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HUONG_DAN" sheetId="1" state="visible" r:id="rId1"/>
    <sheet xmlns:r="http://schemas.openxmlformats.org/officeDocument/2006/relationships" name="TONG_QUAN" sheetId="2" state="visible" r:id="rId2"/>
    <sheet xmlns:r="http://schemas.openxmlformats.org/officeDocument/2006/relationships" name="DATA_MASTER" sheetId="3" state="visible" r:id="rId3"/>
    <sheet xmlns:r="http://schemas.openxmlformats.org/officeDocument/2006/relationships" name="ORDERS" sheetId="4" state="visible" r:id="rId4"/>
    <sheet xmlns:r="http://schemas.openxmlformats.org/officeDocument/2006/relationships" name="MASTER_SOURCE" sheetId="5" state="visible" r:id="rId5"/>
    <sheet xmlns:r="http://schemas.openxmlformats.org/officeDocument/2006/relationships" name="DANH_MUC" sheetId="6" state="visible" r:id="rId6"/>
  </sheets>
  <definedNames>
    <definedName name="_xlnm._FilterDatabase" localSheetId="4" hidden="1">'MASTER_SOURCE'!$A$1:$N$1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dd/mm/yyyy"/>
    <numFmt numFmtId="166" formatCode="mm/dd/yyyy h:mm"/>
    <numFmt numFmtId="167" formatCode="dd/mm/yyyy\ hh:mm"/>
  </numFmts>
  <fonts count="10">
    <font>
      <name val="Calibri"/>
      <color theme="1"/>
      <sz val="11"/>
      <scheme val="minor"/>
    </font>
    <font>
      <name val="Calibri"/>
      <b val="1"/>
      <color theme="1"/>
      <sz val="12"/>
    </font>
    <font>
      <name val="Calibri"/>
      <color theme="1"/>
      <sz val="11"/>
    </font>
    <font>
      <name val="Calibri"/>
      <b val="1"/>
      <color theme="1"/>
      <sz val="14"/>
    </font>
    <font>
      <name val="Calibri"/>
      <i val="1"/>
      <color rgb="FF595959"/>
      <sz val="9"/>
    </font>
    <font>
      <name val="Calibri"/>
      <b val="1"/>
      <color theme="1"/>
      <sz val="11"/>
    </font>
    <font>
      <name val="Calibri"/>
      <color rgb="FF0000FF"/>
      <sz val="11"/>
    </font>
    <font>
      <name val="Calibri"/>
      <color theme="1"/>
      <scheme val="minor"/>
    </font>
    <font>
      <name val="Calibri"/>
      <color rgb="FF0000FF"/>
      <sz val="11"/>
      <u val="single"/>
    </font>
    <font>
      <name val="Calibri"/>
      <i val="1"/>
      <color theme="1"/>
      <sz val="9"/>
    </font>
  </fonts>
  <fills count="6">
    <fill>
      <patternFill/>
    </fill>
    <fill>
      <patternFill patternType="lightGray"/>
    </fill>
    <fill>
      <patternFill patternType="solid">
        <fgColor rgb="FFD9EAF7"/>
        <bgColor rgb="FFD9EAF7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F4F9F1"/>
        <bgColor rgb="FFF4F9F1"/>
      </patternFill>
    </fill>
  </fills>
  <borders count="3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/>
      <bottom/>
    </border>
  </borders>
  <cellStyleXfs count="1">
    <xf numFmtId="0" fontId="0" fillId="0" borderId="0"/>
  </cellStyleXfs>
  <cellXfs count="41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3" fontId="2" fillId="0" borderId="1" pivotButton="0" quotePrefix="0" xfId="0"/>
    <xf numFmtId="3" fontId="5" fillId="0" borderId="1" pivotButton="0" quotePrefix="0" xfId="0"/>
    <xf numFmtId="164" fontId="5" fillId="0" borderId="1" pivotButton="0" quotePrefix="0" xfId="0"/>
    <xf numFmtId="164" fontId="2" fillId="0" borderId="1" pivotButton="0" quotePrefix="0" xfId="0"/>
    <xf numFmtId="0" fontId="2" fillId="0" borderId="1" pivotButton="0" quotePrefix="0" xfId="0"/>
    <xf numFmtId="165" fontId="6" fillId="3" borderId="1" pivotButton="0" quotePrefix="0" xfId="0"/>
    <xf numFmtId="165" fontId="2" fillId="0" borderId="1" pivotButton="0" quotePrefix="0" xfId="0"/>
    <xf numFmtId="0" fontId="5" fillId="4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2" fillId="0" borderId="0" pivotButton="0" quotePrefix="0" xfId="0"/>
    <xf numFmtId="166" fontId="2" fillId="0" borderId="0" pivotButton="0" quotePrefix="0" xfId="0"/>
    <xf numFmtId="49" fontId="2" fillId="0" borderId="0" pivotButton="0" quotePrefix="0" xfId="0"/>
    <xf numFmtId="165" fontId="2" fillId="0" borderId="0" pivotButton="0" quotePrefix="0" xfId="0"/>
    <xf numFmtId="165" fontId="2" fillId="5" borderId="2" pivotButton="0" quotePrefix="0" xfId="0"/>
    <xf numFmtId="0" fontId="2" fillId="5" borderId="2" pivotButton="0" quotePrefix="0" xfId="0"/>
    <xf numFmtId="3" fontId="2" fillId="5" borderId="2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bottom"/>
    </xf>
    <xf numFmtId="167" fontId="2" fillId="0" borderId="0" pivotButton="0" quotePrefix="0" xfId="0"/>
    <xf numFmtId="167" fontId="2" fillId="0" borderId="0" pivotButton="0" quotePrefix="0" xfId="0"/>
    <xf numFmtId="49" fontId="2" fillId="0" borderId="0" pivotButton="0" quotePrefix="0" xfId="0"/>
    <xf numFmtId="165" fontId="2" fillId="0" borderId="0" pivotButton="0" quotePrefix="0" xfId="0"/>
    <xf numFmtId="3" fontId="2" fillId="0" borderId="0" pivotButton="0" quotePrefix="0" xfId="0"/>
    <xf numFmtId="0" fontId="7" fillId="0" borderId="0" pivotButton="0" quotePrefix="0" xfId="0"/>
    <xf numFmtId="0" fontId="8" fillId="5" borderId="1" pivotButton="0" quotePrefix="0" xfId="0"/>
    <xf numFmtId="0" fontId="2" fillId="5" borderId="1" pivotButton="0" quotePrefix="0" xfId="0"/>
    <xf numFmtId="165" fontId="2" fillId="0" borderId="1" pivotButton="0" quotePrefix="0" xfId="0"/>
    <xf numFmtId="0" fontId="7" fillId="0" borderId="1" pivotButton="0" quotePrefix="0" xfId="0"/>
    <xf numFmtId="0" fontId="5" fillId="3" borderId="1" pivotButton="0" quotePrefix="0" xfId="0"/>
    <xf numFmtId="0" fontId="6" fillId="3" borderId="1" pivotButton="0" quotePrefix="0" xfId="0"/>
    <xf numFmtId="0" fontId="6" fillId="3" borderId="1" pivotButton="0" quotePrefix="0" xfId="0"/>
    <xf numFmtId="0" fontId="9" fillId="0" borderId="0" pivotButton="0" quotePrefix="0" xfId="0"/>
    <xf numFmtId="0" fontId="0" fillId="0" borderId="0" pivotButton="0" quotePrefix="0" xfId="0"/>
  </cellXfs>
  <cellStyles count="1">
    <cellStyle name="Normal" xfId="0" builtinId="0"/>
  </cellStyles>
  <dxfs count="4">
    <dxf>
      <font>
        <color rgb="FFC00000"/>
      </font>
      <fill>
        <patternFill patternType="solid">
          <fgColor rgb="FFFCE4E4"/>
          <bgColor rgb="FFFCE4E4"/>
        </patternFill>
      </fill>
      <border/>
    </dxf>
    <dxf>
      <font/>
      <fill>
        <patternFill patternType="solid">
          <fgColor rgb="FFFCE4E4"/>
          <bgColor rgb="FFFCE4E4"/>
        </patternFill>
      </fill>
      <border/>
    </dxf>
    <dxf>
      <font>
        <b val="1"/>
        <color rgb="FFC00000"/>
      </font>
      <fill>
        <patternFill/>
      </fill>
      <border/>
    </dxf>
    <dxf>
      <font>
        <b val="1"/>
        <color rgb="FFC00000"/>
      </font>
      <fill>
        <patternFill patternType="solid">
          <fgColor rgb="FFFCE4E4"/>
          <bgColor rgb="FFFCE4E4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None</author>
  </authors>
  <commentList>
    <comment ref="A19" authorId="0" shapeId="0">
      <text>
        <t>======
ID#AAACHzBt8QI
Unknown Author    (2026-10-01 02:57:14)
Nhập ngày thứ 2 của tuần đầu chiến dịch. Các tuần sau tự tính.</t>
      </text>
    </comment>
  </commentList>
</comments>
</file>

<file path=xl/comments/comment2.xml><?xml version="1.0" encoding="utf-8"?>
<comments xmlns="http://schemas.openxmlformats.org/spreadsheetml/2006/main">
  <authors>
    <author>None</author>
  </authors>
  <commentList>
    <comment ref="D1" authorId="0" shapeId="0">
      <text>
        <t>======
ID#AAACHzBt8Ps
Unknown Author    (2026-10-01 02:57:14)
Định dạng Text để giữ số 0 đầu. 10 số, bắt đầu bằng 0. Đây là khóa nối với ORDERS.</t>
      </text>
    </comment>
    <comment ref="I1" authorId="0" shapeId="0">
      <text>
        <t>======
ID#AAACHzBt8QA
Unknown Author    (2026-10-01 02:57:14)
Chọn từ MASTER_SOURCE. Không rõ nguồn: dùng NHS-UNKNOWN, không gán vào NHS cụ thể.</t>
      </text>
    </comment>
    <comment ref="T1" authorId="0" shapeId="0">
      <text>
        <t>======
ID#AAACHzBt8P8
Unknown Author    (2026-10-01 02:57:14)
Có = đủ họ tên, SĐT đúng, không trùng (lần đăng ký đầu tiên được tính), đủ đồng ý bắt buộc, có nguồn. Điều kiện cấu hình ở DANH_MUC.</t>
      </text>
    </comment>
  </commentList>
</comments>
</file>

<file path=xl/comments/comment3.xml><?xml version="1.0" encoding="utf-8"?>
<comments xmlns="http://schemas.openxmlformats.org/spreadsheetml/2006/main">
  <authors>
    <author>None</author>
  </authors>
  <commentList>
    <comment ref="C1" authorId="0" shapeId="0">
      <text>
        <t>======
ID#AAACHzBt8Pk
Unknown Author    (2026-10-01 02:57:14)
BẮT BUỘC: SĐT mẹ đã đăng ký hội viên (khóa đối soát). SĐT nhận hàng có thể khác, ghi ở cột SĐT nhận hàng.</t>
      </text>
    </comment>
    <comment ref="L1" authorId="0" shapeId="0">
      <text>
        <t>======
ID#AAACHzBt8Po
Unknown Author    (2026-10-01 02:57:14)
Nội dung chuyển khoản phải ghi SĐT đăng ký hoặc Mã đơn để đối soát.</t>
      </text>
    </comment>
  </commentList>
</comments>
</file>

<file path=xl/comments/comment4.xml><?xml version="1.0" encoding="utf-8"?>
<comments xmlns="http://schemas.openxmlformats.org/spreadsheetml/2006/main">
  <authors>
    <author>None</author>
  </authors>
  <commentList>
    <comment ref="A1" authorId="0" shapeId="0">
      <text>
        <t>======
ID#AAACHzBt8P0
Unknown Author    (2026-10-01 02:57:14)
Quy ước: mã viết HOA, không dấu, không khoảng trắng. Team luôn tra từ cột Team của bảng này, không suy từ tiền tố mã.</t>
      </text>
    </comment>
  </commentList>
</comments>
</file>

<file path=xl/comments/comment5.xml><?xml version="1.0" encoding="utf-8"?>
<comments xmlns="http://schemas.openxmlformats.org/spreadsheetml/2006/main">
  <authors>
    <author>None</author>
  </authors>
  <commentList>
    <comment ref="L4" authorId="0" shapeId="0">
      <text>
        <t>======
ID#AAACHzBt8QE
Unknown Author    (2026-10-01 02:57:14)
Giả định: form nằm ở trang chủ. Phát sửa lại đúng đường dẫn form; cột Link/QR bên MASTER_SOURCE tự cập nhật.</t>
      </text>
    </comment>
    <comment ref="L5" authorId="0" shapeId="0">
      <text>
        <t>======
ID#AAACHzBt8P4
Unknown Author    (2026-10-01 02:57:14)
Giả định: cả 4 ô đồng ý đều bắt buộc. Đổi thành "Không" nếu ô này không bắt buộc để gửi CRM Danone.</t>
      </text>
    </comment>
    <comment ref="L6" authorId="0" shapeId="0">
      <text>
        <t>======
ID#AAACHzBt8Pg
Unknown Author    (2026-10-01 02:57:14)
Giả định: cả 4 ô đồng ý đều bắt buộc. Đổi thành "Không" nếu ô này không bắt buộc để gửi CRM Danone.</t>
      </text>
    </comment>
    <comment ref="L7" authorId="0" shapeId="0">
      <text>
        <t>======
ID#AAACHzBt8Pw
Unknown Author    (2026-10-01 02:57:14)
Giả định: cả 4 ô đồng ý đều bắt buộc. Đổi thành "Không" nếu ô này không bắt buộc để gửi CRM Danone.</t>
      </text>
    </comment>
    <comment ref="L8" authorId="0" shapeId="0">
      <text>
        <t>======
ID#AAACHzBt8PY
Unknown Author    (2026-10-01 02:57:14)
Giả định: cả 4 ô đồng ý đều bắt buộc. Đổi thành "Không" nếu ô này không bắt buộc để gửi CRM Danone.</t>
      </text>
    </comment>
    <comment ref="L9" authorId="0" shapeId="0">
      <text>
        <t>======
ID#AAACHzBt8Pc
Unknown Author    (2026-10-01 02:57:14)
Chờ Huy xác nhận với Aptamil. Đổi thành "Không" nếu data chưa rõ nguồn không được tính vào 2.517.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26"/>
  <sheetViews>
    <sheetView workbookViewId="0">
      <selection activeCell="A1" sqref="A1"/>
    </sheetView>
  </sheetViews>
  <sheetFormatPr baseColWidth="8" defaultColWidth="14.43" defaultRowHeight="15" customHeight="1"/>
  <cols>
    <col width="4" customWidth="1" style="40" min="1" max="1"/>
    <col width="110" customWidth="1" style="40" min="2" max="2"/>
    <col width="8.710000000000001" customWidth="1" style="40" min="3" max="26"/>
  </cols>
  <sheetData>
    <row r="1" ht="14.25" customHeight="1" s="40">
      <c r="B1" s="1" t="inlineStr">
        <is>
          <t>HƯỚNG DẪN SỬ DỤNG</t>
        </is>
      </c>
    </row>
    <row r="2" ht="14.25" customHeight="1" s="40">
      <c r="B2" s="2" t="inlineStr">
        <is>
          <t>Header xanh dương = cột nhập tay. Header xanh lá = cột công thức tự động, KHÔNG nhập/ghi đè.</t>
        </is>
      </c>
    </row>
    <row r="3" ht="14.25" customHeight="1" s="40">
      <c r="B3" s="2" t="inlineStr">
        <is>
          <t>Ô vàng chữ xanh dương ở DANH_MUC = cấu hình, sửa được (KPI, link form, điều kiện bắt buộc).</t>
        </is>
      </c>
    </row>
    <row r="4" ht="14.25" customHeight="1" s="40">
      <c r="B4" s="2" t="inlineStr">
        <is>
          <t>Thêm nguồn mới: thêm 1 dòng ở MASTER_SOURCE TRƯỚC khi phát link/QR. Link tự sinh ở cột Link/QR.</t>
        </is>
      </c>
    </row>
    <row r="5" ht="14.25" customHeight="1" s="40">
      <c r="B5" s="2" t="inlineStr">
        <is>
          <t>Đăng ký không có REF: chọn NHS-UNKNOWN. Không gán vào một Nữ hộ sinh cụ thể.</t>
        </is>
      </c>
    </row>
    <row r="6" ht="14.25" customHeight="1" s="40">
      <c r="B6" s="2" t="inlineStr">
        <is>
          <t>Đơn hàng: mỗi đơn 1 dòng ở ORDERS. Cột SĐT đăng ký là bắt buộc; SĐT nhận hàng được phép khác.</t>
        </is>
      </c>
    </row>
    <row r="7" ht="14.25" customHeight="1" s="40">
      <c r="B7" s="2" t="inlineStr">
        <is>
          <t>Dữ liệu gốc vẫn là Pancake CRM. File này kéo từ CRM, giữ cột ID Pancake CRM để đối chiếu ngược.</t>
        </is>
      </c>
    </row>
    <row r="8" ht="14.25" customHeight="1" s="40">
      <c r="B8" s="2" t="inlineStr">
        <is>
          <t>File chứa họ tên + SĐT của mẹ: chỉ chia sẻ cho người cần, không để "ai có link cũng xem".</t>
        </is>
      </c>
    </row>
    <row r="9" ht="14.25" customHeight="1" s="40">
      <c r="B9" s="2" t="inlineStr">
        <is>
          <t>Đã chuẩn bị sẵn công thức cho 5.000 dòng. Dán dữ liệu bằng Paste Values để không mất định dạng/validation.</t>
        </is>
      </c>
    </row>
    <row r="10" ht="14.25" customHeight="1" s="40">
      <c r="B10" s="2" t="n"/>
    </row>
    <row r="11" ht="14.25" customHeight="1" s="40">
      <c r="B11" s="1" t="inlineStr">
        <is>
          <t>THAY ĐỔI SO VỚI BẢN TRƯỚC</t>
        </is>
      </c>
    </row>
    <row r="12" ht="14.25" customHeight="1" s="40">
      <c r="B12" s="2" t="inlineStr">
        <is>
          <t>MASTER_SOURCE: chuẩn hóa Team về 2 giá trị ZM / CDB (trước có ZMOMS, ZM, CỘNG ĐỒNG BẦU, CDB).</t>
        </is>
      </c>
    </row>
    <row r="13" ht="14.25" customHeight="1" s="40">
      <c r="B13" s="2" t="inlineStr">
        <is>
          <t>MASTER_SOURCE: Ngày tạo chuyển từ chữ sang kiểu ngày; thêm NHS-UNKNOWN; Link/QR tự sinh; thêm cột kiểm tra mã trùng và đếm đăng ký / hợp lệ / đơn theo nguồn.</t>
        </is>
      </c>
    </row>
    <row r="14" ht="14.25" customHeight="1" s="40">
      <c r="B14" s="2" t="inlineStr">
        <is>
          <t>DATA_MASTER: thêm ID Pancake CRM, Tuần đăng ký, Loại nguồn; Nguồn/Loại/Team tự tra từ Mã REF.</t>
        </is>
      </c>
    </row>
    <row r="15" ht="14.25" customHeight="1" s="40">
      <c r="B15" s="2" t="inlineStr">
        <is>
          <t>DATA_MASTER: "Đủ điều kiện gửi CRM Danone" thành công thức; thêm Trùng SĐT, SĐT đúng định dạng, Hợp lệ (tính KPI), Lý do không hợp lệ.</t>
        </is>
      </c>
    </row>
    <row r="16" ht="14.25" customHeight="1" s="40">
      <c r="B16" s="2" t="inlineStr">
        <is>
          <t>DATA_MASTER: chuyển Mã đơn, Người bán, Ngày mua, Combo mua sang sheet ORDERS (1 mẹ có thể mua nhiều đơn). Đã mua? / Số đơn / Tổng tiền tự tính.</t>
        </is>
      </c>
    </row>
    <row r="17" ht="14.25" customHeight="1" s="40">
      <c r="B17" s="2" t="inlineStr">
        <is>
          <t>Thêm dropdown cho mọi cột phân loại; SĐT để định dạng Text để giữ số 0 đầu.</t>
        </is>
      </c>
    </row>
    <row r="18" ht="14.25" customHeight="1" s="40">
      <c r="B18" s="2" t="inlineStr">
        <is>
          <t>Thêm TONG_QUAN: tiến độ 2.517, theo team, theo loại nguồn, theo tuần so với KPI 210.</t>
        </is>
      </c>
    </row>
    <row r="19" ht="14.25" customHeight="1" s="40">
      <c r="B19" s="2" t="n"/>
    </row>
    <row r="20" ht="14.25" customHeight="1" s="40">
      <c r="B20" s="1" t="inlineStr">
        <is>
          <t>GIẢ ĐỊNH CẦN XÁC NHẬN</t>
        </is>
      </c>
    </row>
    <row r="21" ht="14.25" customHeight="1" s="40">
      <c r="B21" s="2" t="inlineStr">
        <is>
          <t>1. Link form gốc: đang để https://uudaihoivien.z-moms.com/ – Phát sửa đúng đường dẫn form ở DANH_MUC.</t>
        </is>
      </c>
    </row>
    <row r="22" ht="14.25" customHeight="1" s="40">
      <c r="B22" s="2" t="inlineStr">
        <is>
          <t>2. Cả 4 ô đồng ý đều bắt buộc để gửi CRM Danone – sửa ở DANH_MUC nếu không đúng.</t>
        </is>
      </c>
    </row>
    <row r="23" ht="14.25" customHeight="1" s="40">
      <c r="B23" s="2" t="inlineStr">
        <is>
          <t>3. Data "Chưa xác định" nguồn đang được tính hợp lệ – chờ Huy xác nhận với Aptamil.</t>
        </is>
      </c>
    </row>
    <row r="24" ht="14.25" customHeight="1" s="40">
      <c r="B24" s="2" t="inlineStr">
        <is>
          <t>4. Lần đăng ký đầu tiên của 1 SĐT được tính, các lần sau đánh dấu Trùng.</t>
        </is>
      </c>
    </row>
    <row r="25" ht="14.25" customHeight="1" s="40">
      <c r="B25" s="2" t="inlineStr">
        <is>
          <t>5. Lan có 2 mã (ZM-LAN, CDB-LAN) – cần quy định khi nào dùng mã nào.</t>
        </is>
      </c>
    </row>
    <row r="26" ht="14.25" customHeight="1" s="40">
      <c r="B26" s="2" t="inlineStr">
        <is>
          <t>6. NHS-UNKNOWN để Team "Chưa xác định" – đổi sang ZM nếu team thống nhất tính về Z-Moms.</t>
        </is>
      </c>
    </row>
    <row r="27" ht="14.25" customHeight="1" s="40"/>
    <row r="28" ht="14.25" customHeight="1" s="40"/>
    <row r="29" ht="14.25" customHeight="1" s="40"/>
    <row r="30" ht="14.25" customHeight="1" s="40"/>
    <row r="31" ht="14.25" customHeight="1" s="40"/>
    <row r="32" ht="14.25" customHeight="1" s="40"/>
    <row r="33" ht="14.25" customHeight="1" s="40"/>
    <row r="34" ht="14.25" customHeight="1" s="40"/>
    <row r="35" ht="14.25" customHeight="1" s="40"/>
    <row r="36" ht="14.25" customHeight="1" s="40"/>
    <row r="37" ht="14.25" customHeight="1" s="40"/>
    <row r="38" ht="14.25" customHeight="1" s="40"/>
    <row r="39" ht="14.25" customHeight="1" s="40"/>
    <row r="40" ht="14.25" customHeight="1" s="40"/>
    <row r="41" ht="14.25" customHeight="1" s="40"/>
    <row r="42" ht="14.25" customHeight="1" s="40"/>
    <row r="43" ht="14.25" customHeight="1" s="40"/>
    <row r="44" ht="14.25" customHeight="1" s="40"/>
    <row r="45" ht="14.25" customHeight="1" s="40"/>
    <row r="46" ht="14.25" customHeight="1" s="40"/>
    <row r="47" ht="14.25" customHeight="1" s="40"/>
    <row r="48" ht="14.25" customHeight="1" s="40"/>
    <row r="49" ht="14.25" customHeight="1" s="40"/>
    <row r="50" ht="14.25" customHeight="1" s="40"/>
    <row r="51" ht="14.25" customHeight="1" s="40"/>
    <row r="52" ht="14.25" customHeight="1" s="40"/>
    <row r="53" ht="14.25" customHeight="1" s="40"/>
    <row r="54" ht="14.25" customHeight="1" s="40"/>
    <row r="55" ht="14.25" customHeight="1" s="40"/>
    <row r="56" ht="14.25" customHeight="1" s="40"/>
    <row r="57" ht="14.25" customHeight="1" s="40"/>
    <row r="58" ht="14.25" customHeight="1" s="40"/>
    <row r="59" ht="14.25" customHeight="1" s="40"/>
    <row r="60" ht="14.25" customHeight="1" s="40"/>
    <row r="61" ht="14.25" customHeight="1" s="40"/>
    <row r="62" ht="14.25" customHeight="1" s="40"/>
    <row r="63" ht="14.25" customHeight="1" s="40"/>
    <row r="64" ht="14.25" customHeight="1" s="40"/>
    <row r="65" ht="14.25" customHeight="1" s="40"/>
    <row r="66" ht="14.25" customHeight="1" s="40"/>
    <row r="67" ht="14.25" customHeight="1" s="40"/>
    <row r="68" ht="14.25" customHeight="1" s="40"/>
    <row r="69" ht="14.25" customHeight="1" s="40"/>
    <row r="70" ht="14.25" customHeight="1" s="40"/>
    <row r="71" ht="14.25" customHeight="1" s="40"/>
    <row r="72" ht="14.25" customHeight="1" s="40"/>
    <row r="73" ht="14.25" customHeight="1" s="40"/>
    <row r="74" ht="14.25" customHeight="1" s="40"/>
    <row r="75" ht="14.25" customHeight="1" s="40"/>
    <row r="76" ht="14.25" customHeight="1" s="40"/>
    <row r="77" ht="14.25" customHeight="1" s="40"/>
    <row r="78" ht="14.25" customHeight="1" s="40"/>
    <row r="79" ht="14.25" customHeight="1" s="40"/>
    <row r="80" ht="14.25" customHeight="1" s="40"/>
    <row r="81" ht="14.25" customHeight="1" s="40"/>
    <row r="82" ht="14.25" customHeight="1" s="40"/>
    <row r="83" ht="14.25" customHeight="1" s="40"/>
    <row r="84" ht="14.25" customHeight="1" s="40"/>
    <row r="85" ht="14.25" customHeight="1" s="40"/>
    <row r="86" ht="14.25" customHeight="1" s="40"/>
    <row r="87" ht="14.25" customHeight="1" s="40"/>
    <row r="88" ht="14.25" customHeight="1" s="40"/>
    <row r="89" ht="14.25" customHeight="1" s="40"/>
    <row r="90" ht="14.25" customHeight="1" s="40"/>
    <row r="91" ht="14.25" customHeight="1" s="40"/>
    <row r="92" ht="14.25" customHeight="1" s="40"/>
    <row r="93" ht="14.25" customHeight="1" s="40"/>
    <row r="94" ht="14.25" customHeight="1" s="40"/>
    <row r="95" ht="14.25" customHeight="1" s="40"/>
    <row r="96" ht="14.25" customHeight="1" s="40"/>
    <row r="97" ht="14.25" customHeight="1" s="40"/>
    <row r="98" ht="14.25" customHeight="1" s="40"/>
    <row r="99" ht="14.25" customHeight="1" s="40"/>
    <row r="100" ht="14.25" customHeight="1" s="40"/>
    <row r="101" ht="14.25" customHeight="1" s="40"/>
    <row r="102" ht="14.25" customHeight="1" s="40"/>
    <row r="103" ht="14.25" customHeight="1" s="40"/>
    <row r="104" ht="14.25" customHeight="1" s="40"/>
    <row r="105" ht="14.25" customHeight="1" s="40"/>
    <row r="106" ht="14.25" customHeight="1" s="40"/>
    <row r="107" ht="14.25" customHeight="1" s="40"/>
    <row r="108" ht="14.25" customHeight="1" s="40"/>
    <row r="109" ht="14.25" customHeight="1" s="40"/>
    <row r="110" ht="14.25" customHeight="1" s="40"/>
    <row r="111" ht="14.25" customHeight="1" s="40"/>
    <row r="112" ht="14.25" customHeight="1" s="40"/>
    <row r="113" ht="14.25" customHeight="1" s="40"/>
    <row r="114" ht="14.25" customHeight="1" s="40"/>
    <row r="115" ht="14.25" customHeight="1" s="40"/>
    <row r="116" ht="14.25" customHeight="1" s="40"/>
    <row r="117" ht="14.25" customHeight="1" s="40"/>
    <row r="118" ht="14.25" customHeight="1" s="40"/>
    <row r="119" ht="14.25" customHeight="1" s="40"/>
    <row r="120" ht="14.25" customHeight="1" s="40"/>
    <row r="121" ht="14.25" customHeight="1" s="40"/>
    <row r="122" ht="14.25" customHeight="1" s="40"/>
    <row r="123" ht="14.25" customHeight="1" s="40"/>
    <row r="124" ht="14.25" customHeight="1" s="40"/>
    <row r="125" ht="14.25" customHeight="1" s="40"/>
    <row r="126" ht="14.25" customHeight="1" s="40"/>
    <row r="127" ht="14.25" customHeight="1" s="40"/>
    <row r="128" ht="14.25" customHeight="1" s="40"/>
    <row r="129" ht="14.25" customHeight="1" s="40"/>
    <row r="130" ht="14.25" customHeight="1" s="40"/>
    <row r="131" ht="14.25" customHeight="1" s="40"/>
    <row r="132" ht="14.25" customHeight="1" s="40"/>
    <row r="133" ht="14.25" customHeight="1" s="40"/>
    <row r="134" ht="14.25" customHeight="1" s="40"/>
    <row r="135" ht="14.25" customHeight="1" s="40"/>
    <row r="136" ht="14.25" customHeight="1" s="40"/>
    <row r="137" ht="14.25" customHeight="1" s="40"/>
    <row r="138" ht="14.25" customHeight="1" s="40"/>
    <row r="139" ht="14.25" customHeight="1" s="40"/>
    <row r="140" ht="14.25" customHeight="1" s="40"/>
    <row r="141" ht="14.25" customHeight="1" s="40"/>
    <row r="142" ht="14.25" customHeight="1" s="40"/>
    <row r="143" ht="14.25" customHeight="1" s="40"/>
    <row r="144" ht="14.25" customHeight="1" s="40"/>
    <row r="145" ht="14.25" customHeight="1" s="40"/>
    <row r="146" ht="14.25" customHeight="1" s="40"/>
    <row r="147" ht="14.25" customHeight="1" s="40"/>
    <row r="148" ht="14.25" customHeight="1" s="40"/>
    <row r="149" ht="14.25" customHeight="1" s="40"/>
    <row r="150" ht="14.25" customHeight="1" s="40"/>
    <row r="151" ht="14.25" customHeight="1" s="40"/>
    <row r="152" ht="14.25" customHeight="1" s="40"/>
    <row r="153" ht="14.25" customHeight="1" s="40"/>
    <row r="154" ht="14.25" customHeight="1" s="40"/>
    <row r="155" ht="14.25" customHeight="1" s="40"/>
    <row r="156" ht="14.25" customHeight="1" s="40"/>
    <row r="157" ht="14.25" customHeight="1" s="40"/>
    <row r="158" ht="14.25" customHeight="1" s="40"/>
    <row r="159" ht="14.25" customHeight="1" s="40"/>
    <row r="160" ht="14.25" customHeight="1" s="40"/>
    <row r="161" ht="14.25" customHeight="1" s="40"/>
    <row r="162" ht="14.25" customHeight="1" s="40"/>
    <row r="163" ht="14.25" customHeight="1" s="40"/>
    <row r="164" ht="14.25" customHeight="1" s="40"/>
    <row r="165" ht="14.25" customHeight="1" s="40"/>
    <row r="166" ht="14.25" customHeight="1" s="40"/>
    <row r="167" ht="14.25" customHeight="1" s="40"/>
    <row r="168" ht="14.25" customHeight="1" s="40"/>
    <row r="169" ht="14.25" customHeight="1" s="40"/>
    <row r="170" ht="14.25" customHeight="1" s="40"/>
    <row r="171" ht="14.25" customHeight="1" s="40"/>
    <row r="172" ht="14.25" customHeight="1" s="40"/>
    <row r="173" ht="14.25" customHeight="1" s="40"/>
    <row r="174" ht="14.25" customHeight="1" s="40"/>
    <row r="175" ht="14.25" customHeight="1" s="40"/>
    <row r="176" ht="14.25" customHeight="1" s="40"/>
    <row r="177" ht="14.25" customHeight="1" s="40"/>
    <row r="178" ht="14.25" customHeight="1" s="40"/>
    <row r="179" ht="14.25" customHeight="1" s="40"/>
    <row r="180" ht="14.25" customHeight="1" s="40"/>
    <row r="181" ht="14.25" customHeight="1" s="40"/>
    <row r="182" ht="14.25" customHeight="1" s="40"/>
    <row r="183" ht="14.25" customHeight="1" s="40"/>
    <row r="184" ht="14.25" customHeight="1" s="40"/>
    <row r="185" ht="14.25" customHeight="1" s="40"/>
    <row r="186" ht="14.25" customHeight="1" s="40"/>
    <row r="187" ht="14.25" customHeight="1" s="40"/>
    <row r="188" ht="14.25" customHeight="1" s="40"/>
    <row r="189" ht="14.25" customHeight="1" s="40"/>
    <row r="190" ht="14.25" customHeight="1" s="40"/>
    <row r="191" ht="14.25" customHeight="1" s="40"/>
    <row r="192" ht="14.25" customHeight="1" s="40"/>
    <row r="193" ht="14.25" customHeight="1" s="40"/>
    <row r="194" ht="14.25" customHeight="1" s="40"/>
    <row r="195" ht="14.25" customHeight="1" s="40"/>
    <row r="196" ht="14.25" customHeight="1" s="40"/>
    <row r="197" ht="14.25" customHeight="1" s="40"/>
    <row r="198" ht="14.25" customHeight="1" s="40"/>
    <row r="199" ht="14.25" customHeight="1" s="40"/>
    <row r="200" ht="14.25" customHeight="1" s="40"/>
    <row r="201" ht="14.25" customHeight="1" s="40"/>
    <row r="202" ht="14.25" customHeight="1" s="40"/>
    <row r="203" ht="14.25" customHeight="1" s="40"/>
    <row r="204" ht="14.25" customHeight="1" s="40"/>
    <row r="205" ht="14.25" customHeight="1" s="40"/>
    <row r="206" ht="14.25" customHeight="1" s="40"/>
    <row r="207" ht="14.25" customHeight="1" s="40"/>
    <row r="208" ht="14.25" customHeight="1" s="40"/>
    <row r="209" ht="14.25" customHeight="1" s="40"/>
    <row r="210" ht="14.25" customHeight="1" s="40"/>
    <row r="211" ht="14.25" customHeight="1" s="40"/>
    <row r="212" ht="14.25" customHeight="1" s="40"/>
    <row r="213" ht="14.25" customHeight="1" s="40"/>
    <row r="214" ht="14.25" customHeight="1" s="40"/>
    <row r="215" ht="14.25" customHeight="1" s="40"/>
    <row r="216" ht="14.25" customHeight="1" s="40"/>
    <row r="217" ht="14.25" customHeight="1" s="40"/>
    <row r="218" ht="14.25" customHeight="1" s="40"/>
    <row r="219" ht="14.25" customHeight="1" s="40"/>
    <row r="220" ht="14.25" customHeight="1" s="40"/>
    <row r="221" ht="14.25" customHeight="1" s="40"/>
    <row r="222" ht="14.25" customHeight="1" s="40"/>
    <row r="223" ht="14.25" customHeight="1" s="40"/>
    <row r="224" ht="14.25" customHeight="1" s="40"/>
    <row r="225" ht="14.25" customHeight="1" s="40"/>
    <row r="226" ht="14.25" customHeight="1" s="40"/>
    <row r="227" ht="14.25" customHeight="1" s="40"/>
    <row r="228" ht="14.25" customHeight="1" s="40"/>
    <row r="229" ht="14.25" customHeight="1" s="40"/>
    <row r="230" ht="14.25" customHeight="1" s="40"/>
    <row r="231" ht="14.25" customHeight="1" s="40"/>
    <row r="232" ht="14.25" customHeight="1" s="40"/>
    <row r="233" ht="14.25" customHeight="1" s="40"/>
    <row r="234" ht="14.25" customHeight="1" s="40"/>
    <row r="235" ht="14.25" customHeight="1" s="40"/>
    <row r="236" ht="14.25" customHeight="1" s="40"/>
    <row r="237" ht="14.25" customHeight="1" s="40"/>
    <row r="238" ht="14.25" customHeight="1" s="40"/>
    <row r="239" ht="14.25" customHeight="1" s="40"/>
    <row r="240" ht="14.25" customHeight="1" s="40"/>
    <row r="241" ht="14.25" customHeight="1" s="40"/>
    <row r="242" ht="14.25" customHeight="1" s="40"/>
    <row r="243" ht="14.25" customHeight="1" s="40"/>
    <row r="244" ht="14.25" customHeight="1" s="40"/>
    <row r="245" ht="14.25" customHeight="1" s="40"/>
    <row r="246" ht="14.25" customHeight="1" s="40"/>
    <row r="247" ht="14.25" customHeight="1" s="40"/>
    <row r="248" ht="14.25" customHeight="1" s="40"/>
    <row r="249" ht="14.25" customHeight="1" s="40"/>
    <row r="250" ht="14.25" customHeight="1" s="40"/>
    <row r="251" ht="14.25" customHeight="1" s="40"/>
    <row r="252" ht="14.25" customHeight="1" s="40"/>
    <row r="253" ht="14.25" customHeight="1" s="40"/>
    <row r="254" ht="14.25" customHeight="1" s="40"/>
    <row r="255" ht="14.25" customHeight="1" s="40"/>
    <row r="256" ht="14.25" customHeight="1" s="40"/>
    <row r="257" ht="14.25" customHeight="1" s="40"/>
    <row r="258" ht="14.25" customHeight="1" s="40"/>
    <row r="259" ht="14.25" customHeight="1" s="40"/>
    <row r="260" ht="14.25" customHeight="1" s="40"/>
    <row r="261" ht="14.25" customHeight="1" s="40"/>
    <row r="262" ht="14.25" customHeight="1" s="40"/>
    <row r="263" ht="14.25" customHeight="1" s="40"/>
    <row r="264" ht="14.25" customHeight="1" s="40"/>
    <row r="265" ht="14.25" customHeight="1" s="40"/>
    <row r="266" ht="14.25" customHeight="1" s="40"/>
    <row r="267" ht="14.25" customHeight="1" s="40"/>
    <row r="268" ht="14.25" customHeight="1" s="40"/>
    <row r="269" ht="14.25" customHeight="1" s="40"/>
    <row r="270" ht="14.25" customHeight="1" s="40"/>
    <row r="271" ht="14.25" customHeight="1" s="40"/>
    <row r="272" ht="14.25" customHeight="1" s="40"/>
    <row r="273" ht="14.25" customHeight="1" s="40"/>
    <row r="274" ht="14.25" customHeight="1" s="40"/>
    <row r="275" ht="14.25" customHeight="1" s="40"/>
    <row r="276" ht="14.25" customHeight="1" s="40"/>
    <row r="277" ht="14.25" customHeight="1" s="40"/>
    <row r="278" ht="14.25" customHeight="1" s="40"/>
    <row r="279" ht="14.25" customHeight="1" s="40"/>
    <row r="280" ht="14.25" customHeight="1" s="40"/>
    <row r="281" ht="14.25" customHeight="1" s="40"/>
    <row r="282" ht="14.25" customHeight="1" s="40"/>
    <row r="283" ht="14.25" customHeight="1" s="40"/>
    <row r="284" ht="14.25" customHeight="1" s="40"/>
    <row r="285" ht="14.25" customHeight="1" s="40"/>
    <row r="286" ht="14.25" customHeight="1" s="40"/>
    <row r="287" ht="14.25" customHeight="1" s="40"/>
    <row r="288" ht="14.25" customHeight="1" s="40"/>
    <row r="289" ht="14.25" customHeight="1" s="40"/>
    <row r="290" ht="14.25" customHeight="1" s="40"/>
    <row r="291" ht="14.25" customHeight="1" s="40"/>
    <row r="292" ht="14.25" customHeight="1" s="40"/>
    <row r="293" ht="14.25" customHeight="1" s="40"/>
    <row r="294" ht="14.25" customHeight="1" s="40"/>
    <row r="295" ht="14.25" customHeight="1" s="40"/>
    <row r="296" ht="14.25" customHeight="1" s="40"/>
    <row r="297" ht="14.25" customHeight="1" s="40"/>
    <row r="298" ht="14.25" customHeight="1" s="40"/>
    <row r="299" ht="14.25" customHeight="1" s="40"/>
    <row r="300" ht="14.25" customHeight="1" s="40"/>
    <row r="301" ht="14.25" customHeight="1" s="40"/>
    <row r="302" ht="14.25" customHeight="1" s="40"/>
    <row r="303" ht="14.25" customHeight="1" s="40"/>
    <row r="304" ht="14.25" customHeight="1" s="40"/>
    <row r="305" ht="14.25" customHeight="1" s="40"/>
    <row r="306" ht="14.25" customHeight="1" s="40"/>
    <row r="307" ht="14.25" customHeight="1" s="40"/>
    <row r="308" ht="14.25" customHeight="1" s="40"/>
    <row r="309" ht="14.25" customHeight="1" s="40"/>
    <row r="310" ht="14.25" customHeight="1" s="40"/>
    <row r="311" ht="14.25" customHeight="1" s="40"/>
    <row r="312" ht="14.25" customHeight="1" s="40"/>
    <row r="313" ht="14.25" customHeight="1" s="40"/>
    <row r="314" ht="14.25" customHeight="1" s="40"/>
    <row r="315" ht="14.25" customHeight="1" s="40"/>
    <row r="316" ht="14.25" customHeight="1" s="40"/>
    <row r="317" ht="14.25" customHeight="1" s="40"/>
    <row r="318" ht="14.25" customHeight="1" s="40"/>
    <row r="319" ht="14.25" customHeight="1" s="40"/>
    <row r="320" ht="14.25" customHeight="1" s="40"/>
    <row r="321" ht="14.25" customHeight="1" s="40"/>
    <row r="322" ht="14.25" customHeight="1" s="40"/>
    <row r="323" ht="14.25" customHeight="1" s="40"/>
    <row r="324" ht="14.25" customHeight="1" s="40"/>
    <row r="325" ht="14.25" customHeight="1" s="40"/>
    <row r="326" ht="14.25" customHeight="1" s="40"/>
    <row r="327" ht="14.25" customHeight="1" s="40"/>
    <row r="328" ht="14.25" customHeight="1" s="40"/>
    <row r="329" ht="14.25" customHeight="1" s="40"/>
    <row r="330" ht="14.25" customHeight="1" s="40"/>
    <row r="331" ht="14.25" customHeight="1" s="40"/>
    <row r="332" ht="14.25" customHeight="1" s="40"/>
    <row r="333" ht="14.25" customHeight="1" s="40"/>
    <row r="334" ht="14.25" customHeight="1" s="40"/>
    <row r="335" ht="14.25" customHeight="1" s="40"/>
    <row r="336" ht="14.25" customHeight="1" s="40"/>
    <row r="337" ht="14.25" customHeight="1" s="40"/>
    <row r="338" ht="14.25" customHeight="1" s="40"/>
    <row r="339" ht="14.25" customHeight="1" s="40"/>
    <row r="340" ht="14.25" customHeight="1" s="40"/>
    <row r="341" ht="14.25" customHeight="1" s="40"/>
    <row r="342" ht="14.25" customHeight="1" s="40"/>
    <row r="343" ht="14.25" customHeight="1" s="40"/>
    <row r="344" ht="14.25" customHeight="1" s="40"/>
    <row r="345" ht="14.25" customHeight="1" s="40"/>
    <row r="346" ht="14.25" customHeight="1" s="40"/>
    <row r="347" ht="14.25" customHeight="1" s="40"/>
    <row r="348" ht="14.25" customHeight="1" s="40"/>
    <row r="349" ht="14.25" customHeight="1" s="40"/>
    <row r="350" ht="14.25" customHeight="1" s="40"/>
    <row r="351" ht="14.25" customHeight="1" s="40"/>
    <row r="352" ht="14.25" customHeight="1" s="40"/>
    <row r="353" ht="14.25" customHeight="1" s="40"/>
    <row r="354" ht="14.25" customHeight="1" s="40"/>
    <row r="355" ht="14.25" customHeight="1" s="40"/>
    <row r="356" ht="14.25" customHeight="1" s="40"/>
    <row r="357" ht="14.25" customHeight="1" s="40"/>
    <row r="358" ht="14.25" customHeight="1" s="40"/>
    <row r="359" ht="14.25" customHeight="1" s="40"/>
    <row r="360" ht="14.25" customHeight="1" s="40"/>
    <row r="361" ht="14.25" customHeight="1" s="40"/>
    <row r="362" ht="14.25" customHeight="1" s="40"/>
    <row r="363" ht="14.25" customHeight="1" s="40"/>
    <row r="364" ht="14.25" customHeight="1" s="40"/>
    <row r="365" ht="14.25" customHeight="1" s="40"/>
    <row r="366" ht="14.25" customHeight="1" s="40"/>
    <row r="367" ht="14.25" customHeight="1" s="40"/>
    <row r="368" ht="14.25" customHeight="1" s="40"/>
    <row r="369" ht="14.25" customHeight="1" s="40"/>
    <row r="370" ht="14.25" customHeight="1" s="40"/>
    <row r="371" ht="14.25" customHeight="1" s="40"/>
    <row r="372" ht="14.25" customHeight="1" s="40"/>
    <row r="373" ht="14.25" customHeight="1" s="40"/>
    <row r="374" ht="14.25" customHeight="1" s="40"/>
    <row r="375" ht="14.25" customHeight="1" s="40"/>
    <row r="376" ht="14.25" customHeight="1" s="40"/>
    <row r="377" ht="14.25" customHeight="1" s="40"/>
    <row r="378" ht="14.25" customHeight="1" s="40"/>
    <row r="379" ht="14.25" customHeight="1" s="40"/>
    <row r="380" ht="14.25" customHeight="1" s="40"/>
    <row r="381" ht="14.25" customHeight="1" s="40"/>
    <row r="382" ht="14.25" customHeight="1" s="40"/>
    <row r="383" ht="14.25" customHeight="1" s="40"/>
    <row r="384" ht="14.25" customHeight="1" s="40"/>
    <row r="385" ht="14.25" customHeight="1" s="40"/>
    <row r="386" ht="14.25" customHeight="1" s="40"/>
    <row r="387" ht="14.25" customHeight="1" s="40"/>
    <row r="388" ht="14.25" customHeight="1" s="40"/>
    <row r="389" ht="14.25" customHeight="1" s="40"/>
    <row r="390" ht="14.25" customHeight="1" s="40"/>
    <row r="391" ht="14.25" customHeight="1" s="40"/>
    <row r="392" ht="14.25" customHeight="1" s="40"/>
    <row r="393" ht="14.25" customHeight="1" s="40"/>
    <row r="394" ht="14.25" customHeight="1" s="40"/>
    <row r="395" ht="14.25" customHeight="1" s="40"/>
    <row r="396" ht="14.25" customHeight="1" s="40"/>
    <row r="397" ht="14.25" customHeight="1" s="40"/>
    <row r="398" ht="14.25" customHeight="1" s="40"/>
    <row r="399" ht="14.25" customHeight="1" s="40"/>
    <row r="400" ht="14.25" customHeight="1" s="40"/>
    <row r="401" ht="14.25" customHeight="1" s="40"/>
    <row r="402" ht="14.25" customHeight="1" s="40"/>
    <row r="403" ht="14.25" customHeight="1" s="40"/>
    <row r="404" ht="14.25" customHeight="1" s="40"/>
    <row r="405" ht="14.25" customHeight="1" s="40"/>
    <row r="406" ht="14.25" customHeight="1" s="40"/>
    <row r="407" ht="14.25" customHeight="1" s="40"/>
    <row r="408" ht="14.25" customHeight="1" s="40"/>
    <row r="409" ht="14.25" customHeight="1" s="40"/>
    <row r="410" ht="14.25" customHeight="1" s="40"/>
    <row r="411" ht="14.25" customHeight="1" s="40"/>
    <row r="412" ht="14.25" customHeight="1" s="40"/>
    <row r="413" ht="14.25" customHeight="1" s="40"/>
    <row r="414" ht="14.25" customHeight="1" s="40"/>
    <row r="415" ht="14.25" customHeight="1" s="40"/>
    <row r="416" ht="14.25" customHeight="1" s="40"/>
    <row r="417" ht="14.25" customHeight="1" s="40"/>
    <row r="418" ht="14.25" customHeight="1" s="40"/>
    <row r="419" ht="14.25" customHeight="1" s="40"/>
    <row r="420" ht="14.25" customHeight="1" s="40"/>
    <row r="421" ht="14.25" customHeight="1" s="40"/>
    <row r="422" ht="14.25" customHeight="1" s="40"/>
    <row r="423" ht="14.25" customHeight="1" s="40"/>
    <row r="424" ht="14.25" customHeight="1" s="40"/>
    <row r="425" ht="14.25" customHeight="1" s="40"/>
    <row r="426" ht="14.25" customHeight="1" s="40"/>
    <row r="427" ht="14.25" customHeight="1" s="40"/>
    <row r="428" ht="14.25" customHeight="1" s="40"/>
    <row r="429" ht="14.25" customHeight="1" s="40"/>
    <row r="430" ht="14.25" customHeight="1" s="40"/>
    <row r="431" ht="14.25" customHeight="1" s="40"/>
    <row r="432" ht="14.25" customHeight="1" s="40"/>
    <row r="433" ht="14.25" customHeight="1" s="40"/>
    <row r="434" ht="14.25" customHeight="1" s="40"/>
    <row r="435" ht="14.25" customHeight="1" s="40"/>
    <row r="436" ht="14.25" customHeight="1" s="40"/>
    <row r="437" ht="14.25" customHeight="1" s="40"/>
    <row r="438" ht="14.25" customHeight="1" s="40"/>
    <row r="439" ht="14.25" customHeight="1" s="40"/>
    <row r="440" ht="14.25" customHeight="1" s="40"/>
    <row r="441" ht="14.25" customHeight="1" s="40"/>
    <row r="442" ht="14.25" customHeight="1" s="40"/>
    <row r="443" ht="14.25" customHeight="1" s="40"/>
    <row r="444" ht="14.25" customHeight="1" s="40"/>
    <row r="445" ht="14.25" customHeight="1" s="40"/>
    <row r="446" ht="14.25" customHeight="1" s="40"/>
    <row r="447" ht="14.25" customHeight="1" s="40"/>
    <row r="448" ht="14.25" customHeight="1" s="40"/>
    <row r="449" ht="14.25" customHeight="1" s="40"/>
    <row r="450" ht="14.25" customHeight="1" s="40"/>
    <row r="451" ht="14.25" customHeight="1" s="40"/>
    <row r="452" ht="14.25" customHeight="1" s="40"/>
    <row r="453" ht="14.25" customHeight="1" s="40"/>
    <row r="454" ht="14.25" customHeight="1" s="40"/>
    <row r="455" ht="14.25" customHeight="1" s="40"/>
    <row r="456" ht="14.25" customHeight="1" s="40"/>
    <row r="457" ht="14.25" customHeight="1" s="40"/>
    <row r="458" ht="14.25" customHeight="1" s="40"/>
    <row r="459" ht="14.25" customHeight="1" s="40"/>
    <row r="460" ht="14.25" customHeight="1" s="40"/>
    <row r="461" ht="14.25" customHeight="1" s="40"/>
    <row r="462" ht="14.25" customHeight="1" s="40"/>
    <row r="463" ht="14.25" customHeight="1" s="40"/>
    <row r="464" ht="14.25" customHeight="1" s="40"/>
    <row r="465" ht="14.25" customHeight="1" s="40"/>
    <row r="466" ht="14.25" customHeight="1" s="40"/>
    <row r="467" ht="14.25" customHeight="1" s="40"/>
    <row r="468" ht="14.25" customHeight="1" s="40"/>
    <row r="469" ht="14.25" customHeight="1" s="40"/>
    <row r="470" ht="14.25" customHeight="1" s="40"/>
    <row r="471" ht="14.25" customHeight="1" s="40"/>
    <row r="472" ht="14.25" customHeight="1" s="40"/>
    <row r="473" ht="14.25" customHeight="1" s="40"/>
    <row r="474" ht="14.25" customHeight="1" s="40"/>
    <row r="475" ht="14.25" customHeight="1" s="40"/>
    <row r="476" ht="14.25" customHeight="1" s="40"/>
    <row r="477" ht="14.25" customHeight="1" s="40"/>
    <row r="478" ht="14.25" customHeight="1" s="40"/>
    <row r="479" ht="14.25" customHeight="1" s="40"/>
    <row r="480" ht="14.25" customHeight="1" s="40"/>
    <row r="481" ht="14.25" customHeight="1" s="40"/>
    <row r="482" ht="14.25" customHeight="1" s="40"/>
    <row r="483" ht="14.25" customHeight="1" s="40"/>
    <row r="484" ht="14.25" customHeight="1" s="40"/>
    <row r="485" ht="14.25" customHeight="1" s="40"/>
    <row r="486" ht="14.25" customHeight="1" s="40"/>
    <row r="487" ht="14.25" customHeight="1" s="40"/>
    <row r="488" ht="14.25" customHeight="1" s="40"/>
    <row r="489" ht="14.25" customHeight="1" s="40"/>
    <row r="490" ht="14.25" customHeight="1" s="40"/>
    <row r="491" ht="14.25" customHeight="1" s="40"/>
    <row r="492" ht="14.25" customHeight="1" s="40"/>
    <row r="493" ht="14.25" customHeight="1" s="40"/>
    <row r="494" ht="14.25" customHeight="1" s="40"/>
    <row r="495" ht="14.25" customHeight="1" s="40"/>
    <row r="496" ht="14.25" customHeight="1" s="40"/>
    <row r="497" ht="14.25" customHeight="1" s="40"/>
    <row r="498" ht="14.25" customHeight="1" s="40"/>
    <row r="499" ht="14.25" customHeight="1" s="40"/>
    <row r="500" ht="14.25" customHeight="1" s="40"/>
    <row r="501" ht="14.25" customHeight="1" s="40"/>
    <row r="502" ht="14.25" customHeight="1" s="40"/>
    <row r="503" ht="14.25" customHeight="1" s="40"/>
    <row r="504" ht="14.25" customHeight="1" s="40"/>
    <row r="505" ht="14.25" customHeight="1" s="40"/>
    <row r="506" ht="14.25" customHeight="1" s="40"/>
    <row r="507" ht="14.25" customHeight="1" s="40"/>
    <row r="508" ht="14.25" customHeight="1" s="40"/>
    <row r="509" ht="14.25" customHeight="1" s="40"/>
    <row r="510" ht="14.25" customHeight="1" s="40"/>
    <row r="511" ht="14.25" customHeight="1" s="40"/>
    <row r="512" ht="14.25" customHeight="1" s="40"/>
    <row r="513" ht="14.25" customHeight="1" s="40"/>
    <row r="514" ht="14.25" customHeight="1" s="40"/>
    <row r="515" ht="14.25" customHeight="1" s="40"/>
    <row r="516" ht="14.25" customHeight="1" s="40"/>
    <row r="517" ht="14.25" customHeight="1" s="40"/>
    <row r="518" ht="14.25" customHeight="1" s="40"/>
    <row r="519" ht="14.25" customHeight="1" s="40"/>
    <row r="520" ht="14.25" customHeight="1" s="40"/>
    <row r="521" ht="14.25" customHeight="1" s="40"/>
    <row r="522" ht="14.25" customHeight="1" s="40"/>
    <row r="523" ht="14.25" customHeight="1" s="40"/>
    <row r="524" ht="14.25" customHeight="1" s="40"/>
    <row r="525" ht="14.25" customHeight="1" s="40"/>
    <row r="526" ht="14.25" customHeight="1" s="40"/>
    <row r="527" ht="14.25" customHeight="1" s="40"/>
    <row r="528" ht="14.25" customHeight="1" s="40"/>
    <row r="529" ht="14.25" customHeight="1" s="40"/>
    <row r="530" ht="14.25" customHeight="1" s="40"/>
    <row r="531" ht="14.25" customHeight="1" s="40"/>
    <row r="532" ht="14.25" customHeight="1" s="40"/>
    <row r="533" ht="14.25" customHeight="1" s="40"/>
    <row r="534" ht="14.25" customHeight="1" s="40"/>
    <row r="535" ht="14.25" customHeight="1" s="40"/>
    <row r="536" ht="14.25" customHeight="1" s="40"/>
    <row r="537" ht="14.25" customHeight="1" s="40"/>
    <row r="538" ht="14.25" customHeight="1" s="40"/>
    <row r="539" ht="14.25" customHeight="1" s="40"/>
    <row r="540" ht="14.25" customHeight="1" s="40"/>
    <row r="541" ht="14.25" customHeight="1" s="40"/>
    <row r="542" ht="14.25" customHeight="1" s="40"/>
    <row r="543" ht="14.25" customHeight="1" s="40"/>
    <row r="544" ht="14.25" customHeight="1" s="40"/>
    <row r="545" ht="14.25" customHeight="1" s="40"/>
    <row r="546" ht="14.25" customHeight="1" s="40"/>
    <row r="547" ht="14.25" customHeight="1" s="40"/>
    <row r="548" ht="14.25" customHeight="1" s="40"/>
    <row r="549" ht="14.25" customHeight="1" s="40"/>
    <row r="550" ht="14.25" customHeight="1" s="40"/>
    <row r="551" ht="14.25" customHeight="1" s="40"/>
    <row r="552" ht="14.25" customHeight="1" s="40"/>
    <row r="553" ht="14.25" customHeight="1" s="40"/>
    <row r="554" ht="14.25" customHeight="1" s="40"/>
    <row r="555" ht="14.25" customHeight="1" s="40"/>
    <row r="556" ht="14.25" customHeight="1" s="40"/>
    <row r="557" ht="14.25" customHeight="1" s="40"/>
    <row r="558" ht="14.25" customHeight="1" s="40"/>
    <row r="559" ht="14.25" customHeight="1" s="40"/>
    <row r="560" ht="14.25" customHeight="1" s="40"/>
    <row r="561" ht="14.25" customHeight="1" s="40"/>
    <row r="562" ht="14.25" customHeight="1" s="40"/>
    <row r="563" ht="14.25" customHeight="1" s="40"/>
    <row r="564" ht="14.25" customHeight="1" s="40"/>
    <row r="565" ht="14.25" customHeight="1" s="40"/>
    <row r="566" ht="14.25" customHeight="1" s="40"/>
    <row r="567" ht="14.25" customHeight="1" s="40"/>
    <row r="568" ht="14.25" customHeight="1" s="40"/>
    <row r="569" ht="14.25" customHeight="1" s="40"/>
    <row r="570" ht="14.25" customHeight="1" s="40"/>
    <row r="571" ht="14.25" customHeight="1" s="40"/>
    <row r="572" ht="14.25" customHeight="1" s="40"/>
    <row r="573" ht="14.25" customHeight="1" s="40"/>
    <row r="574" ht="14.25" customHeight="1" s="40"/>
    <row r="575" ht="14.25" customHeight="1" s="40"/>
    <row r="576" ht="14.25" customHeight="1" s="40"/>
    <row r="577" ht="14.25" customHeight="1" s="40"/>
    <row r="578" ht="14.25" customHeight="1" s="40"/>
    <row r="579" ht="14.25" customHeight="1" s="40"/>
    <row r="580" ht="14.25" customHeight="1" s="40"/>
    <row r="581" ht="14.25" customHeight="1" s="40"/>
    <row r="582" ht="14.25" customHeight="1" s="40"/>
    <row r="583" ht="14.25" customHeight="1" s="40"/>
    <row r="584" ht="14.25" customHeight="1" s="40"/>
    <row r="585" ht="14.25" customHeight="1" s="40"/>
    <row r="586" ht="14.25" customHeight="1" s="40"/>
    <row r="587" ht="14.25" customHeight="1" s="40"/>
    <row r="588" ht="14.25" customHeight="1" s="40"/>
    <row r="589" ht="14.25" customHeight="1" s="40"/>
    <row r="590" ht="14.25" customHeight="1" s="40"/>
    <row r="591" ht="14.25" customHeight="1" s="40"/>
    <row r="592" ht="14.25" customHeight="1" s="40"/>
    <row r="593" ht="14.25" customHeight="1" s="40"/>
    <row r="594" ht="14.25" customHeight="1" s="40"/>
    <row r="595" ht="14.25" customHeight="1" s="40"/>
    <row r="596" ht="14.25" customHeight="1" s="40"/>
    <row r="597" ht="14.25" customHeight="1" s="40"/>
    <row r="598" ht="14.25" customHeight="1" s="40"/>
    <row r="599" ht="14.25" customHeight="1" s="40"/>
    <row r="600" ht="14.25" customHeight="1" s="40"/>
    <row r="601" ht="14.25" customHeight="1" s="40"/>
    <row r="602" ht="14.25" customHeight="1" s="40"/>
    <row r="603" ht="14.25" customHeight="1" s="40"/>
    <row r="604" ht="14.25" customHeight="1" s="40"/>
    <row r="605" ht="14.25" customHeight="1" s="40"/>
    <row r="606" ht="14.25" customHeight="1" s="40"/>
    <row r="607" ht="14.25" customHeight="1" s="40"/>
    <row r="608" ht="14.25" customHeight="1" s="40"/>
    <row r="609" ht="14.25" customHeight="1" s="40"/>
    <row r="610" ht="14.25" customHeight="1" s="40"/>
    <row r="611" ht="14.25" customHeight="1" s="40"/>
    <row r="612" ht="14.25" customHeight="1" s="40"/>
    <row r="613" ht="14.25" customHeight="1" s="40"/>
    <row r="614" ht="14.25" customHeight="1" s="40"/>
    <row r="615" ht="14.25" customHeight="1" s="40"/>
    <row r="616" ht="14.25" customHeight="1" s="40"/>
    <row r="617" ht="14.25" customHeight="1" s="40"/>
    <row r="618" ht="14.25" customHeight="1" s="40"/>
    <row r="619" ht="14.25" customHeight="1" s="40"/>
    <row r="620" ht="14.25" customHeight="1" s="40"/>
    <row r="621" ht="14.25" customHeight="1" s="40"/>
    <row r="622" ht="14.25" customHeight="1" s="40"/>
    <row r="623" ht="14.25" customHeight="1" s="40"/>
    <row r="624" ht="14.25" customHeight="1" s="40"/>
    <row r="625" ht="14.25" customHeight="1" s="40"/>
    <row r="626" ht="14.25" customHeight="1" s="40"/>
    <row r="627" ht="14.25" customHeight="1" s="40"/>
    <row r="628" ht="14.25" customHeight="1" s="40"/>
    <row r="629" ht="14.25" customHeight="1" s="40"/>
    <row r="630" ht="14.25" customHeight="1" s="40"/>
    <row r="631" ht="14.25" customHeight="1" s="40"/>
    <row r="632" ht="14.25" customHeight="1" s="40"/>
    <row r="633" ht="14.25" customHeight="1" s="40"/>
    <row r="634" ht="14.25" customHeight="1" s="40"/>
    <row r="635" ht="14.25" customHeight="1" s="40"/>
    <row r="636" ht="14.25" customHeight="1" s="40"/>
    <row r="637" ht="14.25" customHeight="1" s="40"/>
    <row r="638" ht="14.25" customHeight="1" s="40"/>
    <row r="639" ht="14.25" customHeight="1" s="40"/>
    <row r="640" ht="14.25" customHeight="1" s="40"/>
    <row r="641" ht="14.25" customHeight="1" s="40"/>
    <row r="642" ht="14.25" customHeight="1" s="40"/>
    <row r="643" ht="14.25" customHeight="1" s="40"/>
    <row r="644" ht="14.25" customHeight="1" s="40"/>
    <row r="645" ht="14.25" customHeight="1" s="40"/>
    <row r="646" ht="14.25" customHeight="1" s="40"/>
    <row r="647" ht="14.25" customHeight="1" s="40"/>
    <row r="648" ht="14.25" customHeight="1" s="40"/>
    <row r="649" ht="14.25" customHeight="1" s="40"/>
    <row r="650" ht="14.25" customHeight="1" s="40"/>
    <row r="651" ht="14.25" customHeight="1" s="40"/>
    <row r="652" ht="14.25" customHeight="1" s="40"/>
    <row r="653" ht="14.25" customHeight="1" s="40"/>
    <row r="654" ht="14.25" customHeight="1" s="40"/>
    <row r="655" ht="14.25" customHeight="1" s="40"/>
    <row r="656" ht="14.25" customHeight="1" s="40"/>
    <row r="657" ht="14.25" customHeight="1" s="40"/>
    <row r="658" ht="14.25" customHeight="1" s="40"/>
    <row r="659" ht="14.25" customHeight="1" s="40"/>
    <row r="660" ht="14.25" customHeight="1" s="40"/>
    <row r="661" ht="14.25" customHeight="1" s="40"/>
    <row r="662" ht="14.25" customHeight="1" s="40"/>
    <row r="663" ht="14.25" customHeight="1" s="40"/>
    <row r="664" ht="14.25" customHeight="1" s="40"/>
    <row r="665" ht="14.25" customHeight="1" s="40"/>
    <row r="666" ht="14.25" customHeight="1" s="40"/>
    <row r="667" ht="14.25" customHeight="1" s="40"/>
    <row r="668" ht="14.25" customHeight="1" s="40"/>
    <row r="669" ht="14.25" customHeight="1" s="40"/>
    <row r="670" ht="14.25" customHeight="1" s="40"/>
    <row r="671" ht="14.25" customHeight="1" s="40"/>
    <row r="672" ht="14.25" customHeight="1" s="40"/>
    <row r="673" ht="14.25" customHeight="1" s="40"/>
    <row r="674" ht="14.25" customHeight="1" s="40"/>
    <row r="675" ht="14.25" customHeight="1" s="40"/>
    <row r="676" ht="14.25" customHeight="1" s="40"/>
    <row r="677" ht="14.25" customHeight="1" s="40"/>
    <row r="678" ht="14.25" customHeight="1" s="40"/>
    <row r="679" ht="14.25" customHeight="1" s="40"/>
    <row r="680" ht="14.25" customHeight="1" s="40"/>
    <row r="681" ht="14.25" customHeight="1" s="40"/>
    <row r="682" ht="14.25" customHeight="1" s="40"/>
    <row r="683" ht="14.25" customHeight="1" s="40"/>
    <row r="684" ht="14.25" customHeight="1" s="40"/>
    <row r="685" ht="14.25" customHeight="1" s="40"/>
    <row r="686" ht="14.25" customHeight="1" s="40"/>
    <row r="687" ht="14.25" customHeight="1" s="40"/>
    <row r="688" ht="14.25" customHeight="1" s="40"/>
    <row r="689" ht="14.25" customHeight="1" s="40"/>
    <row r="690" ht="14.25" customHeight="1" s="40"/>
    <row r="691" ht="14.25" customHeight="1" s="40"/>
    <row r="692" ht="14.25" customHeight="1" s="40"/>
    <row r="693" ht="14.25" customHeight="1" s="40"/>
    <row r="694" ht="14.25" customHeight="1" s="40"/>
    <row r="695" ht="14.25" customHeight="1" s="40"/>
    <row r="696" ht="14.25" customHeight="1" s="40"/>
    <row r="697" ht="14.25" customHeight="1" s="40"/>
    <row r="698" ht="14.25" customHeight="1" s="40"/>
    <row r="699" ht="14.25" customHeight="1" s="40"/>
    <row r="700" ht="14.25" customHeight="1" s="40"/>
    <row r="701" ht="14.25" customHeight="1" s="40"/>
    <row r="702" ht="14.25" customHeight="1" s="40"/>
    <row r="703" ht="14.25" customHeight="1" s="40"/>
    <row r="704" ht="14.25" customHeight="1" s="40"/>
    <row r="705" ht="14.25" customHeight="1" s="40"/>
    <row r="706" ht="14.25" customHeight="1" s="40"/>
    <row r="707" ht="14.25" customHeight="1" s="40"/>
    <row r="708" ht="14.25" customHeight="1" s="40"/>
    <row r="709" ht="14.25" customHeight="1" s="40"/>
    <row r="710" ht="14.25" customHeight="1" s="40"/>
    <row r="711" ht="14.25" customHeight="1" s="40"/>
    <row r="712" ht="14.25" customHeight="1" s="40"/>
    <row r="713" ht="14.25" customHeight="1" s="40"/>
    <row r="714" ht="14.25" customHeight="1" s="40"/>
    <row r="715" ht="14.25" customHeight="1" s="40"/>
    <row r="716" ht="14.25" customHeight="1" s="40"/>
    <row r="717" ht="14.25" customHeight="1" s="40"/>
    <row r="718" ht="14.25" customHeight="1" s="40"/>
    <row r="719" ht="14.25" customHeight="1" s="40"/>
    <row r="720" ht="14.25" customHeight="1" s="40"/>
    <row r="721" ht="14.25" customHeight="1" s="40"/>
    <row r="722" ht="14.25" customHeight="1" s="40"/>
    <row r="723" ht="14.25" customHeight="1" s="40"/>
    <row r="724" ht="14.25" customHeight="1" s="40"/>
    <row r="725" ht="14.25" customHeight="1" s="40"/>
    <row r="726" ht="14.25" customHeight="1" s="40"/>
    <row r="727" ht="14.25" customHeight="1" s="40"/>
    <row r="728" ht="14.25" customHeight="1" s="40"/>
    <row r="729" ht="14.25" customHeight="1" s="40"/>
    <row r="730" ht="14.25" customHeight="1" s="40"/>
    <row r="731" ht="14.25" customHeight="1" s="40"/>
    <row r="732" ht="14.25" customHeight="1" s="40"/>
    <row r="733" ht="14.25" customHeight="1" s="40"/>
    <row r="734" ht="14.25" customHeight="1" s="40"/>
    <row r="735" ht="14.25" customHeight="1" s="40"/>
    <row r="736" ht="14.25" customHeight="1" s="40"/>
    <row r="737" ht="14.25" customHeight="1" s="40"/>
    <row r="738" ht="14.25" customHeight="1" s="40"/>
    <row r="739" ht="14.25" customHeight="1" s="40"/>
    <row r="740" ht="14.25" customHeight="1" s="40"/>
    <row r="741" ht="14.25" customHeight="1" s="40"/>
    <row r="742" ht="14.25" customHeight="1" s="40"/>
    <row r="743" ht="14.25" customHeight="1" s="40"/>
    <row r="744" ht="14.25" customHeight="1" s="40"/>
    <row r="745" ht="14.25" customHeight="1" s="40"/>
    <row r="746" ht="14.25" customHeight="1" s="40"/>
    <row r="747" ht="14.25" customHeight="1" s="40"/>
    <row r="748" ht="14.25" customHeight="1" s="40"/>
    <row r="749" ht="14.25" customHeight="1" s="40"/>
    <row r="750" ht="14.25" customHeight="1" s="40"/>
    <row r="751" ht="14.25" customHeight="1" s="40"/>
    <row r="752" ht="14.25" customHeight="1" s="40"/>
    <row r="753" ht="14.25" customHeight="1" s="40"/>
    <row r="754" ht="14.25" customHeight="1" s="40"/>
    <row r="755" ht="14.25" customHeight="1" s="40"/>
    <row r="756" ht="14.25" customHeight="1" s="40"/>
    <row r="757" ht="14.25" customHeight="1" s="40"/>
    <row r="758" ht="14.25" customHeight="1" s="40"/>
    <row r="759" ht="14.25" customHeight="1" s="40"/>
    <row r="760" ht="14.25" customHeight="1" s="40"/>
    <row r="761" ht="14.25" customHeight="1" s="40"/>
    <row r="762" ht="14.25" customHeight="1" s="40"/>
    <row r="763" ht="14.25" customHeight="1" s="40"/>
    <row r="764" ht="14.25" customHeight="1" s="40"/>
    <row r="765" ht="14.25" customHeight="1" s="40"/>
    <row r="766" ht="14.25" customHeight="1" s="40"/>
    <row r="767" ht="14.25" customHeight="1" s="40"/>
    <row r="768" ht="14.25" customHeight="1" s="40"/>
    <row r="769" ht="14.25" customHeight="1" s="40"/>
    <row r="770" ht="14.25" customHeight="1" s="40"/>
    <row r="771" ht="14.25" customHeight="1" s="40"/>
    <row r="772" ht="14.25" customHeight="1" s="40"/>
    <row r="773" ht="14.25" customHeight="1" s="40"/>
    <row r="774" ht="14.25" customHeight="1" s="40"/>
    <row r="775" ht="14.25" customHeight="1" s="40"/>
    <row r="776" ht="14.25" customHeight="1" s="40"/>
    <row r="777" ht="14.25" customHeight="1" s="40"/>
    <row r="778" ht="14.25" customHeight="1" s="40"/>
    <row r="779" ht="14.25" customHeight="1" s="40"/>
    <row r="780" ht="14.25" customHeight="1" s="40"/>
    <row r="781" ht="14.25" customHeight="1" s="40"/>
    <row r="782" ht="14.25" customHeight="1" s="40"/>
    <row r="783" ht="14.25" customHeight="1" s="40"/>
    <row r="784" ht="14.25" customHeight="1" s="40"/>
    <row r="785" ht="14.25" customHeight="1" s="40"/>
    <row r="786" ht="14.25" customHeight="1" s="40"/>
    <row r="787" ht="14.25" customHeight="1" s="40"/>
    <row r="788" ht="14.25" customHeight="1" s="40"/>
    <row r="789" ht="14.25" customHeight="1" s="40"/>
    <row r="790" ht="14.25" customHeight="1" s="40"/>
    <row r="791" ht="14.25" customHeight="1" s="40"/>
    <row r="792" ht="14.25" customHeight="1" s="40"/>
    <row r="793" ht="14.25" customHeight="1" s="40"/>
    <row r="794" ht="14.25" customHeight="1" s="40"/>
    <row r="795" ht="14.25" customHeight="1" s="40"/>
    <row r="796" ht="14.25" customHeight="1" s="40"/>
    <row r="797" ht="14.25" customHeight="1" s="40"/>
    <row r="798" ht="14.25" customHeight="1" s="40"/>
    <row r="799" ht="14.25" customHeight="1" s="40"/>
    <row r="800" ht="14.25" customHeight="1" s="40"/>
    <row r="801" ht="14.25" customHeight="1" s="40"/>
    <row r="802" ht="14.25" customHeight="1" s="40"/>
    <row r="803" ht="14.25" customHeight="1" s="40"/>
    <row r="804" ht="14.25" customHeight="1" s="40"/>
    <row r="805" ht="14.25" customHeight="1" s="40"/>
    <row r="806" ht="14.25" customHeight="1" s="40"/>
    <row r="807" ht="14.25" customHeight="1" s="40"/>
    <row r="808" ht="14.25" customHeight="1" s="40"/>
    <row r="809" ht="14.25" customHeight="1" s="40"/>
    <row r="810" ht="14.25" customHeight="1" s="40"/>
    <row r="811" ht="14.25" customHeight="1" s="40"/>
    <row r="812" ht="14.25" customHeight="1" s="40"/>
    <row r="813" ht="14.25" customHeight="1" s="40"/>
    <row r="814" ht="14.25" customHeight="1" s="40"/>
    <row r="815" ht="14.25" customHeight="1" s="40"/>
    <row r="816" ht="14.25" customHeight="1" s="40"/>
    <row r="817" ht="14.25" customHeight="1" s="40"/>
    <row r="818" ht="14.25" customHeight="1" s="40"/>
    <row r="819" ht="14.25" customHeight="1" s="40"/>
    <row r="820" ht="14.25" customHeight="1" s="40"/>
    <row r="821" ht="14.25" customHeight="1" s="40"/>
    <row r="822" ht="14.25" customHeight="1" s="40"/>
    <row r="823" ht="14.25" customHeight="1" s="40"/>
    <row r="824" ht="14.25" customHeight="1" s="40"/>
    <row r="825" ht="14.25" customHeight="1" s="40"/>
    <row r="826" ht="14.25" customHeight="1" s="40"/>
    <row r="827" ht="14.25" customHeight="1" s="40"/>
    <row r="828" ht="14.25" customHeight="1" s="40"/>
    <row r="829" ht="14.25" customHeight="1" s="40"/>
    <row r="830" ht="14.25" customHeight="1" s="40"/>
    <row r="831" ht="14.25" customHeight="1" s="40"/>
    <row r="832" ht="14.25" customHeight="1" s="40"/>
    <row r="833" ht="14.25" customHeight="1" s="40"/>
    <row r="834" ht="14.25" customHeight="1" s="40"/>
    <row r="835" ht="14.25" customHeight="1" s="40"/>
    <row r="836" ht="14.25" customHeight="1" s="40"/>
    <row r="837" ht="14.25" customHeight="1" s="40"/>
    <row r="838" ht="14.25" customHeight="1" s="40"/>
    <row r="839" ht="14.25" customHeight="1" s="40"/>
    <row r="840" ht="14.25" customHeight="1" s="40"/>
    <row r="841" ht="14.25" customHeight="1" s="40"/>
    <row r="842" ht="14.25" customHeight="1" s="40"/>
    <row r="843" ht="14.25" customHeight="1" s="40"/>
    <row r="844" ht="14.25" customHeight="1" s="40"/>
    <row r="845" ht="14.25" customHeight="1" s="40"/>
    <row r="846" ht="14.25" customHeight="1" s="40"/>
    <row r="847" ht="14.25" customHeight="1" s="40"/>
    <row r="848" ht="14.25" customHeight="1" s="40"/>
    <row r="849" ht="14.25" customHeight="1" s="40"/>
    <row r="850" ht="14.25" customHeight="1" s="40"/>
    <row r="851" ht="14.25" customHeight="1" s="40"/>
    <row r="852" ht="14.25" customHeight="1" s="40"/>
    <row r="853" ht="14.25" customHeight="1" s="40"/>
    <row r="854" ht="14.25" customHeight="1" s="40"/>
    <row r="855" ht="14.25" customHeight="1" s="40"/>
    <row r="856" ht="14.25" customHeight="1" s="40"/>
    <row r="857" ht="14.25" customHeight="1" s="40"/>
    <row r="858" ht="14.25" customHeight="1" s="40"/>
    <row r="859" ht="14.25" customHeight="1" s="40"/>
    <row r="860" ht="14.25" customHeight="1" s="40"/>
    <row r="861" ht="14.25" customHeight="1" s="40"/>
    <row r="862" ht="14.25" customHeight="1" s="40"/>
    <row r="863" ht="14.25" customHeight="1" s="40"/>
    <row r="864" ht="14.25" customHeight="1" s="40"/>
    <row r="865" ht="14.25" customHeight="1" s="40"/>
    <row r="866" ht="14.25" customHeight="1" s="40"/>
    <row r="867" ht="14.25" customHeight="1" s="40"/>
    <row r="868" ht="14.25" customHeight="1" s="40"/>
    <row r="869" ht="14.25" customHeight="1" s="40"/>
    <row r="870" ht="14.25" customHeight="1" s="40"/>
    <row r="871" ht="14.25" customHeight="1" s="40"/>
    <row r="872" ht="14.25" customHeight="1" s="40"/>
    <row r="873" ht="14.25" customHeight="1" s="40"/>
    <row r="874" ht="14.25" customHeight="1" s="40"/>
    <row r="875" ht="14.25" customHeight="1" s="40"/>
    <row r="876" ht="14.25" customHeight="1" s="40"/>
    <row r="877" ht="14.25" customHeight="1" s="40"/>
    <row r="878" ht="14.25" customHeight="1" s="40"/>
    <row r="879" ht="14.25" customHeight="1" s="40"/>
    <row r="880" ht="14.25" customHeight="1" s="40"/>
    <row r="881" ht="14.25" customHeight="1" s="40"/>
    <row r="882" ht="14.25" customHeight="1" s="40"/>
    <row r="883" ht="14.25" customHeight="1" s="40"/>
    <row r="884" ht="14.25" customHeight="1" s="40"/>
    <row r="885" ht="14.25" customHeight="1" s="40"/>
    <row r="886" ht="14.25" customHeight="1" s="40"/>
    <row r="887" ht="14.25" customHeight="1" s="40"/>
    <row r="888" ht="14.25" customHeight="1" s="40"/>
    <row r="889" ht="14.25" customHeight="1" s="40"/>
    <row r="890" ht="14.25" customHeight="1" s="40"/>
    <row r="891" ht="14.25" customHeight="1" s="40"/>
    <row r="892" ht="14.25" customHeight="1" s="40"/>
    <row r="893" ht="14.25" customHeight="1" s="40"/>
    <row r="894" ht="14.25" customHeight="1" s="40"/>
    <row r="895" ht="14.25" customHeight="1" s="40"/>
    <row r="896" ht="14.25" customHeight="1" s="40"/>
    <row r="897" ht="14.25" customHeight="1" s="40"/>
    <row r="898" ht="14.25" customHeight="1" s="40"/>
    <row r="899" ht="14.25" customHeight="1" s="40"/>
    <row r="900" ht="14.25" customHeight="1" s="40"/>
    <row r="901" ht="14.25" customHeight="1" s="40"/>
    <row r="902" ht="14.25" customHeight="1" s="40"/>
    <row r="903" ht="14.25" customHeight="1" s="40"/>
    <row r="904" ht="14.25" customHeight="1" s="40"/>
    <row r="905" ht="14.25" customHeight="1" s="40"/>
    <row r="906" ht="14.25" customHeight="1" s="40"/>
    <row r="907" ht="14.25" customHeight="1" s="40"/>
    <row r="908" ht="14.25" customHeight="1" s="40"/>
    <row r="909" ht="14.25" customHeight="1" s="40"/>
    <row r="910" ht="14.25" customHeight="1" s="40"/>
    <row r="911" ht="14.25" customHeight="1" s="40"/>
    <row r="912" ht="14.25" customHeight="1" s="40"/>
    <row r="913" ht="14.25" customHeight="1" s="40"/>
    <row r="914" ht="14.25" customHeight="1" s="40"/>
    <row r="915" ht="14.25" customHeight="1" s="40"/>
    <row r="916" ht="14.25" customHeight="1" s="40"/>
    <row r="917" ht="14.25" customHeight="1" s="40"/>
    <row r="918" ht="14.25" customHeight="1" s="40"/>
    <row r="919" ht="14.25" customHeight="1" s="40"/>
    <row r="920" ht="14.25" customHeight="1" s="40"/>
    <row r="921" ht="14.25" customHeight="1" s="40"/>
    <row r="922" ht="14.25" customHeight="1" s="40"/>
    <row r="923" ht="14.25" customHeight="1" s="40"/>
    <row r="924" ht="14.25" customHeight="1" s="40"/>
    <row r="925" ht="14.25" customHeight="1" s="40"/>
    <row r="926" ht="14.25" customHeight="1" s="40"/>
    <row r="927" ht="14.25" customHeight="1" s="40"/>
    <row r="928" ht="14.25" customHeight="1" s="40"/>
    <row r="929" ht="14.25" customHeight="1" s="40"/>
    <row r="930" ht="14.25" customHeight="1" s="40"/>
    <row r="931" ht="14.25" customHeight="1" s="40"/>
    <row r="932" ht="14.25" customHeight="1" s="40"/>
    <row r="933" ht="14.25" customHeight="1" s="40"/>
    <row r="934" ht="14.25" customHeight="1" s="40"/>
    <row r="935" ht="14.25" customHeight="1" s="40"/>
    <row r="936" ht="14.25" customHeight="1" s="40"/>
    <row r="937" ht="14.25" customHeight="1" s="40"/>
    <row r="938" ht="14.25" customHeight="1" s="40"/>
    <row r="939" ht="14.25" customHeight="1" s="40"/>
    <row r="940" ht="14.25" customHeight="1" s="40"/>
    <row r="941" ht="14.25" customHeight="1" s="40"/>
    <row r="942" ht="14.25" customHeight="1" s="40"/>
    <row r="943" ht="14.25" customHeight="1" s="40"/>
    <row r="944" ht="14.25" customHeight="1" s="40"/>
    <row r="945" ht="14.25" customHeight="1" s="40"/>
    <row r="946" ht="14.25" customHeight="1" s="40"/>
    <row r="947" ht="14.25" customHeight="1" s="40"/>
    <row r="948" ht="14.25" customHeight="1" s="40"/>
    <row r="949" ht="14.25" customHeight="1" s="40"/>
    <row r="950" ht="14.25" customHeight="1" s="40"/>
    <row r="951" ht="14.25" customHeight="1" s="40"/>
    <row r="952" ht="14.25" customHeight="1" s="40"/>
    <row r="953" ht="14.25" customHeight="1" s="40"/>
    <row r="954" ht="14.25" customHeight="1" s="40"/>
    <row r="955" ht="14.25" customHeight="1" s="40"/>
    <row r="956" ht="14.25" customHeight="1" s="40"/>
    <row r="957" ht="14.25" customHeight="1" s="40"/>
    <row r="958" ht="14.25" customHeight="1" s="40"/>
    <row r="959" ht="14.25" customHeight="1" s="40"/>
    <row r="960" ht="14.25" customHeight="1" s="40"/>
    <row r="961" ht="14.25" customHeight="1" s="40"/>
    <row r="962" ht="14.25" customHeight="1" s="40"/>
    <row r="963" ht="14.25" customHeight="1" s="40"/>
    <row r="964" ht="14.25" customHeight="1" s="40"/>
    <row r="965" ht="14.25" customHeight="1" s="40"/>
    <row r="966" ht="14.25" customHeight="1" s="40"/>
    <row r="967" ht="14.25" customHeight="1" s="40"/>
    <row r="968" ht="14.25" customHeight="1" s="40"/>
    <row r="969" ht="14.25" customHeight="1" s="40"/>
    <row r="970" ht="14.25" customHeight="1" s="40"/>
    <row r="971" ht="14.25" customHeight="1" s="40"/>
    <row r="972" ht="14.25" customHeight="1" s="40"/>
    <row r="973" ht="14.25" customHeight="1" s="40"/>
    <row r="974" ht="14.25" customHeight="1" s="40"/>
    <row r="975" ht="14.25" customHeight="1" s="40"/>
    <row r="976" ht="14.25" customHeight="1" s="40"/>
    <row r="977" ht="14.25" customHeight="1" s="40"/>
    <row r="978" ht="14.25" customHeight="1" s="40"/>
    <row r="979" ht="14.25" customHeight="1" s="40"/>
    <row r="980" ht="14.25" customHeight="1" s="40"/>
    <row r="981" ht="14.25" customHeight="1" s="40"/>
    <row r="982" ht="14.25" customHeight="1" s="40"/>
    <row r="983" ht="14.25" customHeight="1" s="40"/>
    <row r="984" ht="14.25" customHeight="1" s="40"/>
    <row r="985" ht="14.25" customHeight="1" s="40"/>
    <row r="986" ht="14.25" customHeight="1" s="40"/>
    <row r="987" ht="14.25" customHeight="1" s="40"/>
    <row r="988" ht="14.25" customHeight="1" s="40"/>
    <row r="989" ht="14.25" customHeight="1" s="40"/>
    <row r="990" ht="14.25" customHeight="1" s="40"/>
    <row r="991" ht="14.25" customHeight="1" s="40"/>
    <row r="992" ht="14.25" customHeight="1" s="40"/>
    <row r="993" ht="14.25" customHeight="1" s="40"/>
    <row r="994" ht="14.25" customHeight="1" s="40"/>
    <row r="995" ht="14.25" customHeight="1" s="40"/>
    <row r="996" ht="14.25" customHeight="1" s="40"/>
    <row r="997" ht="14.25" customHeight="1" s="40"/>
    <row r="998" ht="14.25" customHeight="1" s="40"/>
    <row r="999" ht="14.25" customHeight="1" s="40"/>
    <row r="1000" ht="14.25" customHeight="1" s="40"/>
  </sheetData>
  <pageMargins left="0.75" right="0.75" top="1" bottom="1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ColWidth="14.43" defaultRowHeight="15" customHeight="1"/>
  <cols>
    <col width="34" customWidth="1" style="40" min="1" max="1"/>
    <col width="16" customWidth="1" style="40" min="2" max="6"/>
    <col width="8.710000000000001" customWidth="1" style="40" min="7" max="26"/>
  </cols>
  <sheetData>
    <row r="1" ht="14.25" customHeight="1" s="40">
      <c r="A1" s="3" t="inlineStr">
        <is>
          <t>TỔNG QUAN DATA – Z-MOMS x APTAMIL</t>
        </is>
      </c>
    </row>
    <row r="2" ht="14.25" customHeight="1" s="40">
      <c r="A2" s="4" t="inlineStr">
        <is>
          <t>Mọi số liệu tự tính từ DATA_MASTER / ORDERS. Không nhập tay ở sheet này.</t>
        </is>
      </c>
    </row>
    <row r="3" ht="14.25" customHeight="1" s="40"/>
    <row r="4" ht="14.25" customHeight="1" s="40">
      <c r="A4" s="15" t="inlineStr">
        <is>
          <t>Chỉ số</t>
        </is>
      </c>
      <c r="B4" s="15" t="inlineStr">
        <is>
          <t>Giá trị</t>
        </is>
      </c>
      <c r="D4" s="15" t="inlineStr">
        <is>
          <t>Team</t>
        </is>
      </c>
      <c r="E4" s="15" t="inlineStr">
        <is>
          <t>Đăng ký</t>
        </is>
      </c>
      <c r="F4" s="15" t="inlineStr">
        <is>
          <t>Hợp lệ</t>
        </is>
      </c>
    </row>
    <row r="5" ht="14.25" customHeight="1" s="40">
      <c r="A5" s="11" t="inlineStr">
        <is>
          <t>Tổng đăng ký</t>
        </is>
      </c>
      <c r="B5" s="7">
        <f>COUNTIF(DATA_MASTER!$D$2:$D$5000,"?*")</f>
        <v/>
      </c>
      <c r="D5" s="11" t="inlineStr">
        <is>
          <t>ZM</t>
        </is>
      </c>
      <c r="E5" s="7">
        <f>COUNTIF(DATA_MASTER!$L$2:$L$5000,D5)</f>
        <v/>
      </c>
      <c r="F5" s="7">
        <f>COUNTIFS(DATA_MASTER!$L$2:$L$5000,D5,DATA_MASTER!$T$2:$T$5000,"Có")</f>
        <v/>
      </c>
    </row>
    <row r="6" ht="14.25" customHeight="1" s="40">
      <c r="A6" s="11" t="inlineStr">
        <is>
          <t>Data hợp lệ (tính KPI)</t>
        </is>
      </c>
      <c r="B6" s="8">
        <f>COUNTIF(DATA_MASTER!$T$2:$T$5000,"Có")</f>
        <v/>
      </c>
      <c r="D6" s="11" t="inlineStr">
        <is>
          <t>CDB</t>
        </is>
      </c>
      <c r="E6" s="7">
        <f>COUNTIF(DATA_MASTER!$L$2:$L$5000,D6)</f>
        <v/>
      </c>
      <c r="F6" s="7">
        <f>COUNTIFS(DATA_MASTER!$L$2:$L$5000,D6,DATA_MASTER!$T$2:$T$5000,"Có")</f>
        <v/>
      </c>
    </row>
    <row r="7" ht="14.25" customHeight="1" s="40">
      <c r="A7" s="11" t="inlineStr">
        <is>
          <t>KPI Aptamil</t>
        </is>
      </c>
      <c r="B7" s="7">
        <f>DANH_MUC!$L$2</f>
        <v/>
      </c>
      <c r="D7" s="11" t="inlineStr">
        <is>
          <t>Chưa xác định</t>
        </is>
      </c>
      <c r="E7" s="7">
        <f>COUNTIF(DATA_MASTER!$L$2:$L$5000,D7)</f>
        <v/>
      </c>
      <c r="F7" s="7">
        <f>COUNTIFS(DATA_MASTER!$L$2:$L$5000,D7,DATA_MASTER!$T$2:$T$5000,"Có")</f>
        <v/>
      </c>
    </row>
    <row r="8" ht="14.25" customHeight="1" s="40">
      <c r="A8" s="11" t="inlineStr">
        <is>
          <t>% hoàn thành KPI</t>
        </is>
      </c>
      <c r="B8" s="9">
        <f>IF(B7=0,0,B6/B7)</f>
        <v/>
      </c>
    </row>
    <row r="9" ht="14.25" customHeight="1" s="40">
      <c r="A9" s="11" t="inlineStr">
        <is>
          <t>Còn thiếu</t>
        </is>
      </c>
      <c r="B9" s="7">
        <f>MAX(0,B7-B6)</f>
        <v/>
      </c>
    </row>
    <row r="10" ht="14.25" customHeight="1" s="40">
      <c r="A10" s="11" t="inlineStr">
        <is>
          <t>Không hợp lệ</t>
        </is>
      </c>
      <c r="B10" s="7">
        <f>COUNTIF(DATA_MASTER!$T$2:$T$5000,"Không")</f>
        <v/>
      </c>
      <c r="D10" s="15" t="inlineStr">
        <is>
          <t>Loại nguồn</t>
        </is>
      </c>
      <c r="E10" s="15" t="inlineStr">
        <is>
          <t>Đăng ký</t>
        </is>
      </c>
      <c r="F10" s="15" t="inlineStr">
        <is>
          <t>Hợp lệ</t>
        </is>
      </c>
    </row>
    <row r="11" ht="14.25" customHeight="1" s="40">
      <c r="A11" s="11" t="inlineStr">
        <is>
          <t xml:space="preserve">  trong đó trùng SĐT</t>
        </is>
      </c>
      <c r="B11" s="7">
        <f>COUNTIF(DATA_MASTER!$R$2:$R$5000,"Trùng")</f>
        <v/>
      </c>
      <c r="D11" s="11" t="inlineStr">
        <is>
          <t>NHS</t>
        </is>
      </c>
      <c r="E11" s="7">
        <f>COUNTIF(DATA_MASTER!$K$2:$K$5000,D11)</f>
        <v/>
      </c>
      <c r="F11" s="7">
        <f>COUNTIFS(DATA_MASTER!$K$2:$K$5000,D11,DATA_MASTER!$T$2:$T$5000,"Có")</f>
        <v/>
      </c>
    </row>
    <row r="12" ht="14.25" customHeight="1" s="40">
      <c r="A12" s="11" t="inlineStr">
        <is>
          <t>Đăng ký chưa xác định nguồn</t>
        </is>
      </c>
      <c r="B12" s="7">
        <f>COUNTIF(DATA_MASTER!$L$2:$L$5000,"Chưa xác định")</f>
        <v/>
      </c>
      <c r="D12" s="11" t="inlineStr">
        <is>
          <t>Event</t>
        </is>
      </c>
      <c r="E12" s="7">
        <f>COUNTIF(DATA_MASTER!$K$2:$K$5000,D12)</f>
        <v/>
      </c>
      <c r="F12" s="7">
        <f>COUNTIFS(DATA_MASTER!$K$2:$K$5000,D12,DATA_MASTER!$T$2:$T$5000,"Có")</f>
        <v/>
      </c>
    </row>
    <row r="13" ht="14.25" customHeight="1" s="40">
      <c r="A13" s="11" t="inlineStr">
        <is>
          <t>% chưa xác định nguồn</t>
        </is>
      </c>
      <c r="B13" s="10">
        <f>IF(B5=0,0,B12/B5)</f>
        <v/>
      </c>
      <c r="D13" s="11" t="inlineStr">
        <is>
          <t>Team</t>
        </is>
      </c>
      <c r="E13" s="7">
        <f>COUNTIF(DATA_MASTER!$K$2:$K$5000,D13)</f>
        <v/>
      </c>
      <c r="F13" s="7">
        <f>COUNTIFS(DATA_MASTER!$K$2:$K$5000,D13,DATA_MASTER!$T$2:$T$5000,"Có")</f>
        <v/>
      </c>
    </row>
    <row r="14" ht="14.25" customHeight="1" s="40">
      <c r="A14" s="11" t="inlineStr">
        <is>
          <t>Số mẹ đã mua (đơn đã CK)</t>
        </is>
      </c>
      <c r="B14" s="7">
        <f>COUNTIFS(DATA_MASTER!$W$2:$W$5000,"&gt;0")</f>
        <v/>
      </c>
      <c r="D14" s="11" t="inlineStr">
        <is>
          <t>Khác</t>
        </is>
      </c>
      <c r="E14" s="7">
        <f>COUNTIF(DATA_MASTER!$K$2:$K$5000,D14)</f>
        <v/>
      </c>
      <c r="F14" s="7">
        <f>COUNTIFS(DATA_MASTER!$K$2:$K$5000,D14,DATA_MASTER!$T$2:$T$5000,"Có")</f>
        <v/>
      </c>
    </row>
    <row r="15" ht="14.25" customHeight="1" s="40">
      <c r="A15" s="11" t="inlineStr">
        <is>
          <t>Tỷ lệ mua / data hợp lệ</t>
        </is>
      </c>
      <c r="B15" s="10">
        <f>IF(B6=0,0,B14/B6)</f>
        <v/>
      </c>
      <c r="D15" s="11" t="inlineStr">
        <is>
          <t>Seeding</t>
        </is>
      </c>
      <c r="E15" s="7">
        <f>COUNTIF(DATA_MASTER!$K$2:$K$5000,D15)</f>
        <v/>
      </c>
      <c r="F15" s="7">
        <f>COUNTIFS(DATA_MASTER!$K$2:$K$5000,D15,DATA_MASTER!$T$2:$T$5000,"Có")</f>
        <v/>
      </c>
    </row>
    <row r="16" ht="14.25" customHeight="1" s="40">
      <c r="A16" s="11" t="inlineStr">
        <is>
          <t>Doanh thu đã CK (VNĐ)</t>
        </is>
      </c>
      <c r="B16" s="7">
        <f>SUMIFS(ORDERS!$J$2:$J$4995,ORDERS!$L$2:$L$4995,"Đã chuyển khoản")</f>
        <v/>
      </c>
      <c r="D16" s="11" t="inlineStr">
        <is>
          <t>Sales</t>
        </is>
      </c>
      <c r="E16" s="7">
        <f>COUNTIF(DATA_MASTER!$K$2:$K$5000,D16)</f>
        <v/>
      </c>
      <c r="F16" s="7">
        <f>COUNTIFS(DATA_MASTER!$K$2:$K$5000,D16,DATA_MASTER!$T$2:$T$5000,"Có")</f>
        <v/>
      </c>
    </row>
    <row r="17" ht="14.25" customHeight="1" s="40"/>
    <row r="18" ht="14.25" customHeight="1" s="40">
      <c r="A18" s="15" t="inlineStr">
        <is>
          <t>Tuần bắt đầu (thứ 2)</t>
        </is>
      </c>
      <c r="B18" s="15" t="inlineStr">
        <is>
          <t>Đăng ký mới</t>
        </is>
      </c>
      <c r="C18" s="15" t="inlineStr">
        <is>
          <t>Hợp lệ</t>
        </is>
      </c>
      <c r="D18" s="15" t="inlineStr">
        <is>
          <t>KPI tuần</t>
        </is>
      </c>
      <c r="E18" s="15" t="inlineStr">
        <is>
          <t>Đạt?</t>
        </is>
      </c>
    </row>
    <row r="19" ht="14.25" customHeight="1" s="40">
      <c r="A19" s="12" t="n">
        <v>46293</v>
      </c>
      <c r="B19" s="7">
        <f>COUNTIF(DATA_MASTER!$H$2:$H$5000,A19)</f>
        <v/>
      </c>
      <c r="C19" s="7">
        <f>COUNTIFS(DATA_MASTER!$H$2:$H$5000,A19,DATA_MASTER!$T$2:$T$5000,"Có")</f>
        <v/>
      </c>
      <c r="D19" s="7">
        <f>DANH_MUC!$L$3</f>
        <v/>
      </c>
      <c r="E19" s="11">
        <f>IF(A19&gt;TODAY(),"",IF(C19&gt;=D19,"Đạt","Chưa đạt"))</f>
        <v/>
      </c>
    </row>
    <row r="20" ht="14.25" customHeight="1" s="40">
      <c r="A20" s="34">
        <f>A19+7</f>
        <v/>
      </c>
      <c r="B20" s="7">
        <f>COUNTIF(DATA_MASTER!$H$2:$H$5000,A20)</f>
        <v/>
      </c>
      <c r="C20" s="7">
        <f>COUNTIFS(DATA_MASTER!$H$2:$H$5000,A20,DATA_MASTER!$T$2:$T$5000,"Có")</f>
        <v/>
      </c>
      <c r="D20" s="7">
        <f>DANH_MUC!$L$3</f>
        <v/>
      </c>
      <c r="E20" s="11">
        <f>IF(A20&gt;TODAY(),"",IF(C20&gt;=D20,"Đạt","Chưa đạt"))</f>
        <v/>
      </c>
    </row>
    <row r="21" ht="14.25" customHeight="1" s="40">
      <c r="A21" s="34">
        <f>A20+7</f>
        <v/>
      </c>
      <c r="B21" s="7">
        <f>COUNTIF(DATA_MASTER!$H$2:$H$5000,A21)</f>
        <v/>
      </c>
      <c r="C21" s="7">
        <f>COUNTIFS(DATA_MASTER!$H$2:$H$5000,A21,DATA_MASTER!$T$2:$T$5000,"Có")</f>
        <v/>
      </c>
      <c r="D21" s="7">
        <f>DANH_MUC!$L$3</f>
        <v/>
      </c>
      <c r="E21" s="11">
        <f>IF(A21&gt;TODAY(),"",IF(C21&gt;=D21,"Đạt","Chưa đạt"))</f>
        <v/>
      </c>
    </row>
    <row r="22" ht="14.25" customHeight="1" s="40">
      <c r="A22" s="34">
        <f>A21+7</f>
        <v/>
      </c>
      <c r="B22" s="7">
        <f>COUNTIF(DATA_MASTER!$H$2:$H$5000,A22)</f>
        <v/>
      </c>
      <c r="C22" s="7">
        <f>COUNTIFS(DATA_MASTER!$H$2:$H$5000,A22,DATA_MASTER!$T$2:$T$5000,"Có")</f>
        <v/>
      </c>
      <c r="D22" s="7">
        <f>DANH_MUC!$L$3</f>
        <v/>
      </c>
      <c r="E22" s="11">
        <f>IF(A22&gt;TODAY(),"",IF(C22&gt;=D22,"Đạt","Chưa đạt"))</f>
        <v/>
      </c>
    </row>
    <row r="23" ht="14.25" customHeight="1" s="40">
      <c r="A23" s="34">
        <f>A22+7</f>
        <v/>
      </c>
      <c r="B23" s="7">
        <f>COUNTIF(DATA_MASTER!$H$2:$H$5000,A23)</f>
        <v/>
      </c>
      <c r="C23" s="7">
        <f>COUNTIFS(DATA_MASTER!$H$2:$H$5000,A23,DATA_MASTER!$T$2:$T$5000,"Có")</f>
        <v/>
      </c>
      <c r="D23" s="7">
        <f>DANH_MUC!$L$3</f>
        <v/>
      </c>
      <c r="E23" s="11">
        <f>IF(A23&gt;TODAY(),"",IF(C23&gt;=D23,"Đạt","Chưa đạt"))</f>
        <v/>
      </c>
    </row>
    <row r="24" ht="14.25" customHeight="1" s="40">
      <c r="A24" s="34">
        <f>A23+7</f>
        <v/>
      </c>
      <c r="B24" s="7">
        <f>COUNTIF(DATA_MASTER!$H$2:$H$5000,A24)</f>
        <v/>
      </c>
      <c r="C24" s="7">
        <f>COUNTIFS(DATA_MASTER!$H$2:$H$5000,A24,DATA_MASTER!$T$2:$T$5000,"Có")</f>
        <v/>
      </c>
      <c r="D24" s="7">
        <f>DANH_MUC!$L$3</f>
        <v/>
      </c>
      <c r="E24" s="11">
        <f>IF(A24&gt;TODAY(),"",IF(C24&gt;=D24,"Đạt","Chưa đạt"))</f>
        <v/>
      </c>
    </row>
    <row r="25" ht="14.25" customHeight="1" s="40">
      <c r="A25" s="34">
        <f>A24+7</f>
        <v/>
      </c>
      <c r="B25" s="7">
        <f>COUNTIF(DATA_MASTER!$H$2:$H$5000,A25)</f>
        <v/>
      </c>
      <c r="C25" s="7">
        <f>COUNTIFS(DATA_MASTER!$H$2:$H$5000,A25,DATA_MASTER!$T$2:$T$5000,"Có")</f>
        <v/>
      </c>
      <c r="D25" s="7">
        <f>DANH_MUC!$L$3</f>
        <v/>
      </c>
      <c r="E25" s="11">
        <f>IF(A25&gt;TODAY(),"",IF(C25&gt;=D25,"Đạt","Chưa đạt"))</f>
        <v/>
      </c>
    </row>
    <row r="26" ht="14.25" customHeight="1" s="40">
      <c r="A26" s="34">
        <f>A25+7</f>
        <v/>
      </c>
      <c r="B26" s="7">
        <f>COUNTIF(DATA_MASTER!$H$2:$H$5000,A26)</f>
        <v/>
      </c>
      <c r="C26" s="7">
        <f>COUNTIFS(DATA_MASTER!$H$2:$H$5000,A26,DATA_MASTER!$T$2:$T$5000,"Có")</f>
        <v/>
      </c>
      <c r="D26" s="7">
        <f>DANH_MUC!$L$3</f>
        <v/>
      </c>
      <c r="E26" s="11">
        <f>IF(A26&gt;TODAY(),"",IF(C26&gt;=D26,"Đạt","Chưa đạt"))</f>
        <v/>
      </c>
    </row>
    <row r="27" ht="14.25" customHeight="1" s="40">
      <c r="A27" s="34">
        <f>A26+7</f>
        <v/>
      </c>
      <c r="B27" s="7">
        <f>COUNTIF(DATA_MASTER!$H$2:$H$5000,A27)</f>
        <v/>
      </c>
      <c r="C27" s="7">
        <f>COUNTIFS(DATA_MASTER!$H$2:$H$5000,A27,DATA_MASTER!$T$2:$T$5000,"Có")</f>
        <v/>
      </c>
      <c r="D27" s="7">
        <f>DANH_MUC!$L$3</f>
        <v/>
      </c>
      <c r="E27" s="11">
        <f>IF(A27&gt;TODAY(),"",IF(C27&gt;=D27,"Đạt","Chưa đạt"))</f>
        <v/>
      </c>
    </row>
    <row r="28" ht="14.25" customHeight="1" s="40">
      <c r="A28" s="34">
        <f>A27+7</f>
        <v/>
      </c>
      <c r="B28" s="7">
        <f>COUNTIF(DATA_MASTER!$H$2:$H$5000,A28)</f>
        <v/>
      </c>
      <c r="C28" s="7">
        <f>COUNTIFS(DATA_MASTER!$H$2:$H$5000,A28,DATA_MASTER!$T$2:$T$5000,"Có")</f>
        <v/>
      </c>
      <c r="D28" s="7">
        <f>DANH_MUC!$L$3</f>
        <v/>
      </c>
      <c r="E28" s="11">
        <f>IF(A28&gt;TODAY(),"",IF(C28&gt;=D28,"Đạt","Chưa đạt"))</f>
        <v/>
      </c>
    </row>
    <row r="29" ht="14.25" customHeight="1" s="40">
      <c r="A29" s="34">
        <f>A28+7</f>
        <v/>
      </c>
      <c r="B29" s="7">
        <f>COUNTIF(DATA_MASTER!$H$2:$H$5000,A29)</f>
        <v/>
      </c>
      <c r="C29" s="7">
        <f>COUNTIFS(DATA_MASTER!$H$2:$H$5000,A29,DATA_MASTER!$T$2:$T$5000,"Có")</f>
        <v/>
      </c>
      <c r="D29" s="7">
        <f>DANH_MUC!$L$3</f>
        <v/>
      </c>
      <c r="E29" s="11">
        <f>IF(A29&gt;TODAY(),"",IF(C29&gt;=D29,"Đạt","Chưa đạt"))</f>
        <v/>
      </c>
    </row>
    <row r="30" ht="14.25" customHeight="1" s="40">
      <c r="A30" s="34">
        <f>A29+7</f>
        <v/>
      </c>
      <c r="B30" s="7">
        <f>COUNTIF(DATA_MASTER!$H$2:$H$5000,A30)</f>
        <v/>
      </c>
      <c r="C30" s="7">
        <f>COUNTIFS(DATA_MASTER!$H$2:$H$5000,A30,DATA_MASTER!$T$2:$T$5000,"Có")</f>
        <v/>
      </c>
      <c r="D30" s="7">
        <f>DANH_MUC!$L$3</f>
        <v/>
      </c>
      <c r="E30" s="11">
        <f>IF(A30&gt;TODAY(),"",IF(C30&gt;=D30,"Đạt","Chưa đạt"))</f>
        <v/>
      </c>
    </row>
    <row r="31" ht="14.25" customHeight="1" s="40">
      <c r="A31" s="34">
        <f>A30+7</f>
        <v/>
      </c>
      <c r="B31" s="7">
        <f>COUNTIF(DATA_MASTER!$H$2:$H$5000,A31)</f>
        <v/>
      </c>
      <c r="C31" s="7">
        <f>COUNTIFS(DATA_MASTER!$H$2:$H$5000,A31,DATA_MASTER!$T$2:$T$5000,"Có")</f>
        <v/>
      </c>
      <c r="D31" s="7">
        <f>DANH_MUC!$L$3</f>
        <v/>
      </c>
      <c r="E31" s="11">
        <f>IF(A31&gt;TODAY(),"",IF(C31&gt;=D31,"Đạt","Chưa đạt"))</f>
        <v/>
      </c>
    </row>
    <row r="32" ht="14.25" customHeight="1" s="40">
      <c r="A32" s="34">
        <f>A31+7</f>
        <v/>
      </c>
      <c r="B32" s="7">
        <f>COUNTIF(DATA_MASTER!$H$2:$H$5000,A32)</f>
        <v/>
      </c>
      <c r="C32" s="7">
        <f>COUNTIFS(DATA_MASTER!$H$2:$H$5000,A32,DATA_MASTER!$T$2:$T$5000,"Có")</f>
        <v/>
      </c>
      <c r="D32" s="7">
        <f>DANH_MUC!$L$3</f>
        <v/>
      </c>
      <c r="E32" s="11">
        <f>IF(A32&gt;TODAY(),"",IF(C32&gt;=D32,"Đạt","Chưa đạt"))</f>
        <v/>
      </c>
    </row>
    <row r="33" ht="14.25" customHeight="1" s="40">
      <c r="A33" s="34">
        <f>A32+7</f>
        <v/>
      </c>
      <c r="B33" s="7">
        <f>COUNTIF(DATA_MASTER!$H$2:$H$5000,A33)</f>
        <v/>
      </c>
      <c r="C33" s="7">
        <f>COUNTIFS(DATA_MASTER!$H$2:$H$5000,A33,DATA_MASTER!$T$2:$T$5000,"Có")</f>
        <v/>
      </c>
      <c r="D33" s="7">
        <f>DANH_MUC!$L$3</f>
        <v/>
      </c>
      <c r="E33" s="11">
        <f>IF(A33&gt;TODAY(),"",IF(C33&gt;=D33,"Đạt","Chưa đạt"))</f>
        <v/>
      </c>
    </row>
    <row r="34" ht="14.25" customHeight="1" s="40">
      <c r="A34" s="34">
        <f>A33+7</f>
        <v/>
      </c>
      <c r="B34" s="7">
        <f>COUNTIF(DATA_MASTER!$H$2:$H$5000,A34)</f>
        <v/>
      </c>
      <c r="C34" s="7">
        <f>COUNTIFS(DATA_MASTER!$H$2:$H$5000,A34,DATA_MASTER!$T$2:$T$5000,"Có")</f>
        <v/>
      </c>
      <c r="D34" s="7">
        <f>DANH_MUC!$L$3</f>
        <v/>
      </c>
      <c r="E34" s="11">
        <f>IF(A34&gt;TODAY(),"",IF(C34&gt;=D34,"Đạt","Chưa đạt"))</f>
        <v/>
      </c>
    </row>
    <row r="35" ht="14.25" customHeight="1" s="40">
      <c r="A35" s="34">
        <f>A34+7</f>
        <v/>
      </c>
      <c r="B35" s="7">
        <f>COUNTIF(DATA_MASTER!$H$2:$H$5000,A35)</f>
        <v/>
      </c>
      <c r="C35" s="7">
        <f>COUNTIFS(DATA_MASTER!$H$2:$H$5000,A35,DATA_MASTER!$T$2:$T$5000,"Có")</f>
        <v/>
      </c>
      <c r="D35" s="7">
        <f>DANH_MUC!$L$3</f>
        <v/>
      </c>
      <c r="E35" s="11">
        <f>IF(A35&gt;TODAY(),"",IF(C35&gt;=D35,"Đạt","Chưa đạt"))</f>
        <v/>
      </c>
    </row>
    <row r="36" ht="14.25" customHeight="1" s="40">
      <c r="A36" s="34">
        <f>A35+7</f>
        <v/>
      </c>
      <c r="B36" s="7">
        <f>COUNTIF(DATA_MASTER!$H$2:$H$5000,A36)</f>
        <v/>
      </c>
      <c r="C36" s="7">
        <f>COUNTIFS(DATA_MASTER!$H$2:$H$5000,A36,DATA_MASTER!$T$2:$T$5000,"Có")</f>
        <v/>
      </c>
      <c r="D36" s="7">
        <f>DANH_MUC!$L$3</f>
        <v/>
      </c>
      <c r="E36" s="11">
        <f>IF(A36&gt;TODAY(),"",IF(C36&gt;=D36,"Đạt","Chưa đạt"))</f>
        <v/>
      </c>
    </row>
    <row r="37" ht="14.25" customHeight="1" s="40">
      <c r="A37" s="34">
        <f>A36+7</f>
        <v/>
      </c>
      <c r="B37" s="7">
        <f>COUNTIF(DATA_MASTER!$H$2:$H$5000,A37)</f>
        <v/>
      </c>
      <c r="C37" s="7">
        <f>COUNTIFS(DATA_MASTER!$H$2:$H$5000,A37,DATA_MASTER!$T$2:$T$5000,"Có")</f>
        <v/>
      </c>
      <c r="D37" s="7">
        <f>DANH_MUC!$L$3</f>
        <v/>
      </c>
      <c r="E37" s="11">
        <f>IF(A37&gt;TODAY(),"",IF(C37&gt;=D37,"Đạt","Chưa đạt"))</f>
        <v/>
      </c>
    </row>
    <row r="38" ht="14.25" customHeight="1" s="40">
      <c r="A38" s="34">
        <f>A37+7</f>
        <v/>
      </c>
      <c r="B38" s="7">
        <f>COUNTIF(DATA_MASTER!$H$2:$H$5000,A38)</f>
        <v/>
      </c>
      <c r="C38" s="7">
        <f>COUNTIFS(DATA_MASTER!$H$2:$H$5000,A38,DATA_MASTER!$T$2:$T$5000,"Có")</f>
        <v/>
      </c>
      <c r="D38" s="7">
        <f>DANH_MUC!$L$3</f>
        <v/>
      </c>
      <c r="E38" s="11">
        <f>IF(A38&gt;TODAY(),"",IF(C38&gt;=D38,"Đạt","Chưa đạt"))</f>
        <v/>
      </c>
    </row>
    <row r="39" ht="14.25" customHeight="1" s="40">
      <c r="A39" s="34">
        <f>A38+7</f>
        <v/>
      </c>
      <c r="B39" s="7">
        <f>COUNTIF(DATA_MASTER!$H$2:$H$5000,A39)</f>
        <v/>
      </c>
      <c r="C39" s="7">
        <f>COUNTIFS(DATA_MASTER!$H$2:$H$5000,A39,DATA_MASTER!$T$2:$T$5000,"Có")</f>
        <v/>
      </c>
      <c r="D39" s="7">
        <f>DANH_MUC!$L$3</f>
        <v/>
      </c>
      <c r="E39" s="11">
        <f>IF(A39&gt;TODAY(),"",IF(C39&gt;=D39,"Đạt","Chưa đạt"))</f>
        <v/>
      </c>
    </row>
    <row r="40" ht="14.25" customHeight="1" s="40">
      <c r="A40" s="34">
        <f>A39+7</f>
        <v/>
      </c>
      <c r="B40" s="7">
        <f>COUNTIF(DATA_MASTER!$H$2:$H$5000,A40)</f>
        <v/>
      </c>
      <c r="C40" s="7">
        <f>COUNTIFS(DATA_MASTER!$H$2:$H$5000,A40,DATA_MASTER!$T$2:$T$5000,"Có")</f>
        <v/>
      </c>
      <c r="D40" s="7">
        <f>DANH_MUC!$L$3</f>
        <v/>
      </c>
      <c r="E40" s="11">
        <f>IF(A40&gt;TODAY(),"",IF(C40&gt;=D40,"Đạt","Chưa đạt"))</f>
        <v/>
      </c>
    </row>
    <row r="41" ht="14.25" customHeight="1" s="40">
      <c r="A41" s="34">
        <f>A40+7</f>
        <v/>
      </c>
      <c r="B41" s="7">
        <f>COUNTIF(DATA_MASTER!$H$2:$H$5000,A41)</f>
        <v/>
      </c>
      <c r="C41" s="7">
        <f>COUNTIFS(DATA_MASTER!$H$2:$H$5000,A41,DATA_MASTER!$T$2:$T$5000,"Có")</f>
        <v/>
      </c>
      <c r="D41" s="7">
        <f>DANH_MUC!$L$3</f>
        <v/>
      </c>
      <c r="E41" s="11">
        <f>IF(A41&gt;TODAY(),"",IF(C41&gt;=D41,"Đạt","Chưa đạt"))</f>
        <v/>
      </c>
    </row>
    <row r="42" ht="14.25" customHeight="1" s="40">
      <c r="A42" s="34">
        <f>A41+7</f>
        <v/>
      </c>
      <c r="B42" s="7">
        <f>COUNTIF(DATA_MASTER!$H$2:$H$5000,A42)</f>
        <v/>
      </c>
      <c r="C42" s="7">
        <f>COUNTIFS(DATA_MASTER!$H$2:$H$5000,A42,DATA_MASTER!$T$2:$T$5000,"Có")</f>
        <v/>
      </c>
      <c r="D42" s="7">
        <f>DANH_MUC!$L$3</f>
        <v/>
      </c>
      <c r="E42" s="11">
        <f>IF(A42&gt;TODAY(),"",IF(C42&gt;=D42,"Đạt","Chưa đạt"))</f>
        <v/>
      </c>
    </row>
    <row r="43" ht="14.25" customHeight="1" s="40">
      <c r="A43" s="34">
        <f>A42+7</f>
        <v/>
      </c>
      <c r="B43" s="7">
        <f>COUNTIF(DATA_MASTER!$H$2:$H$5000,A43)</f>
        <v/>
      </c>
      <c r="C43" s="7">
        <f>COUNTIFS(DATA_MASTER!$H$2:$H$5000,A43,DATA_MASTER!$T$2:$T$5000,"Có")</f>
        <v/>
      </c>
      <c r="D43" s="7">
        <f>DANH_MUC!$L$3</f>
        <v/>
      </c>
      <c r="E43" s="11">
        <f>IF(A43&gt;TODAY(),"",IF(C43&gt;=D43,"Đạt","Chưa đạt"))</f>
        <v/>
      </c>
    </row>
    <row r="44" ht="14.25" customHeight="1" s="40">
      <c r="A44" s="34">
        <f>A43+7</f>
        <v/>
      </c>
      <c r="B44" s="7">
        <f>COUNTIF(DATA_MASTER!$H$2:$H$5000,A44)</f>
        <v/>
      </c>
      <c r="C44" s="7">
        <f>COUNTIFS(DATA_MASTER!$H$2:$H$5000,A44,DATA_MASTER!$T$2:$T$5000,"Có")</f>
        <v/>
      </c>
      <c r="D44" s="7">
        <f>DANH_MUC!$L$3</f>
        <v/>
      </c>
      <c r="E44" s="11">
        <f>IF(A44&gt;TODAY(),"",IF(C44&gt;=D44,"Đạt","Chưa đạt"))</f>
        <v/>
      </c>
    </row>
    <row r="45" ht="14.25" customHeight="1" s="40"/>
    <row r="46" ht="14.25" customHeight="1" s="40"/>
    <row r="47" ht="14.25" customHeight="1" s="40"/>
    <row r="48" ht="14.25" customHeight="1" s="40"/>
    <row r="49" ht="14.25" customHeight="1" s="40"/>
    <row r="50" ht="14.25" customHeight="1" s="40"/>
    <row r="51" ht="14.25" customHeight="1" s="40"/>
    <row r="52" ht="14.25" customHeight="1" s="40"/>
    <row r="53" ht="14.25" customHeight="1" s="40"/>
    <row r="54" ht="14.25" customHeight="1" s="40"/>
    <row r="55" ht="14.25" customHeight="1" s="40"/>
    <row r="56" ht="14.25" customHeight="1" s="40"/>
    <row r="57" ht="14.25" customHeight="1" s="40"/>
    <row r="58" ht="14.25" customHeight="1" s="40"/>
    <row r="59" ht="14.25" customHeight="1" s="40"/>
    <row r="60" ht="14.25" customHeight="1" s="40"/>
    <row r="61" ht="14.25" customHeight="1" s="40"/>
    <row r="62" ht="14.25" customHeight="1" s="40"/>
    <row r="63" ht="14.25" customHeight="1" s="40"/>
    <row r="64" ht="14.25" customHeight="1" s="40"/>
    <row r="65" ht="14.25" customHeight="1" s="40"/>
    <row r="66" ht="14.25" customHeight="1" s="40"/>
    <row r="67" ht="14.25" customHeight="1" s="40"/>
    <row r="68" ht="14.25" customHeight="1" s="40"/>
    <row r="69" ht="14.25" customHeight="1" s="40"/>
    <row r="70" ht="14.25" customHeight="1" s="40"/>
    <row r="71" ht="14.25" customHeight="1" s="40"/>
    <row r="72" ht="14.25" customHeight="1" s="40"/>
    <row r="73" ht="14.25" customHeight="1" s="40"/>
    <row r="74" ht="14.25" customHeight="1" s="40"/>
    <row r="75" ht="14.25" customHeight="1" s="40"/>
    <row r="76" ht="14.25" customHeight="1" s="40"/>
    <row r="77" ht="14.25" customHeight="1" s="40"/>
    <row r="78" ht="14.25" customHeight="1" s="40"/>
    <row r="79" ht="14.25" customHeight="1" s="40"/>
    <row r="80" ht="14.25" customHeight="1" s="40"/>
    <row r="81" ht="14.25" customHeight="1" s="40"/>
    <row r="82" ht="14.25" customHeight="1" s="40"/>
    <row r="83" ht="14.25" customHeight="1" s="40"/>
    <row r="84" ht="14.25" customHeight="1" s="40"/>
    <row r="85" ht="14.25" customHeight="1" s="40"/>
    <row r="86" ht="14.25" customHeight="1" s="40"/>
    <row r="87" ht="14.25" customHeight="1" s="40"/>
    <row r="88" ht="14.25" customHeight="1" s="40"/>
    <row r="89" ht="14.25" customHeight="1" s="40"/>
    <row r="90" ht="14.25" customHeight="1" s="40"/>
    <row r="91" ht="14.25" customHeight="1" s="40"/>
    <row r="92" ht="14.25" customHeight="1" s="40"/>
    <row r="93" ht="14.25" customHeight="1" s="40"/>
    <row r="94" ht="14.25" customHeight="1" s="40"/>
    <row r="95" ht="14.25" customHeight="1" s="40"/>
    <row r="96" ht="14.25" customHeight="1" s="40"/>
    <row r="97" ht="14.25" customHeight="1" s="40"/>
    <row r="98" ht="14.25" customHeight="1" s="40"/>
    <row r="99" ht="14.25" customHeight="1" s="40"/>
    <row r="100" ht="14.25" customHeight="1" s="40"/>
    <row r="101" ht="14.25" customHeight="1" s="40"/>
    <row r="102" ht="14.25" customHeight="1" s="40"/>
    <row r="103" ht="14.25" customHeight="1" s="40"/>
    <row r="104" ht="14.25" customHeight="1" s="40"/>
    <row r="105" ht="14.25" customHeight="1" s="40"/>
    <row r="106" ht="14.25" customHeight="1" s="40"/>
    <row r="107" ht="14.25" customHeight="1" s="40"/>
    <row r="108" ht="14.25" customHeight="1" s="40"/>
    <row r="109" ht="14.25" customHeight="1" s="40"/>
    <row r="110" ht="14.25" customHeight="1" s="40"/>
    <row r="111" ht="14.25" customHeight="1" s="40"/>
    <row r="112" ht="14.25" customHeight="1" s="40"/>
    <row r="113" ht="14.25" customHeight="1" s="40"/>
    <row r="114" ht="14.25" customHeight="1" s="40"/>
    <row r="115" ht="14.25" customHeight="1" s="40"/>
    <row r="116" ht="14.25" customHeight="1" s="40"/>
    <row r="117" ht="14.25" customHeight="1" s="40"/>
    <row r="118" ht="14.25" customHeight="1" s="40"/>
    <row r="119" ht="14.25" customHeight="1" s="40"/>
    <row r="120" ht="14.25" customHeight="1" s="40"/>
    <row r="121" ht="14.25" customHeight="1" s="40"/>
    <row r="122" ht="14.25" customHeight="1" s="40"/>
    <row r="123" ht="14.25" customHeight="1" s="40"/>
    <row r="124" ht="14.25" customHeight="1" s="40"/>
    <row r="125" ht="14.25" customHeight="1" s="40"/>
    <row r="126" ht="14.25" customHeight="1" s="40"/>
    <row r="127" ht="14.25" customHeight="1" s="40"/>
    <row r="128" ht="14.25" customHeight="1" s="40"/>
    <row r="129" ht="14.25" customHeight="1" s="40"/>
    <row r="130" ht="14.25" customHeight="1" s="40"/>
    <row r="131" ht="14.25" customHeight="1" s="40"/>
    <row r="132" ht="14.25" customHeight="1" s="40"/>
    <row r="133" ht="14.25" customHeight="1" s="40"/>
    <row r="134" ht="14.25" customHeight="1" s="40"/>
    <row r="135" ht="14.25" customHeight="1" s="40"/>
    <row r="136" ht="14.25" customHeight="1" s="40"/>
    <row r="137" ht="14.25" customHeight="1" s="40"/>
    <row r="138" ht="14.25" customHeight="1" s="40"/>
    <row r="139" ht="14.25" customHeight="1" s="40"/>
    <row r="140" ht="14.25" customHeight="1" s="40"/>
    <row r="141" ht="14.25" customHeight="1" s="40"/>
    <row r="142" ht="14.25" customHeight="1" s="40"/>
    <row r="143" ht="14.25" customHeight="1" s="40"/>
    <row r="144" ht="14.25" customHeight="1" s="40"/>
    <row r="145" ht="14.25" customHeight="1" s="40"/>
    <row r="146" ht="14.25" customHeight="1" s="40"/>
    <row r="147" ht="14.25" customHeight="1" s="40"/>
    <row r="148" ht="14.25" customHeight="1" s="40"/>
    <row r="149" ht="14.25" customHeight="1" s="40"/>
    <row r="150" ht="14.25" customHeight="1" s="40"/>
    <row r="151" ht="14.25" customHeight="1" s="40"/>
    <row r="152" ht="14.25" customHeight="1" s="40"/>
    <row r="153" ht="14.25" customHeight="1" s="40"/>
    <row r="154" ht="14.25" customHeight="1" s="40"/>
    <row r="155" ht="14.25" customHeight="1" s="40"/>
    <row r="156" ht="14.25" customHeight="1" s="40"/>
    <row r="157" ht="14.25" customHeight="1" s="40"/>
    <row r="158" ht="14.25" customHeight="1" s="40"/>
    <row r="159" ht="14.25" customHeight="1" s="40"/>
    <row r="160" ht="14.25" customHeight="1" s="40"/>
    <row r="161" ht="14.25" customHeight="1" s="40"/>
    <row r="162" ht="14.25" customHeight="1" s="40"/>
    <row r="163" ht="14.25" customHeight="1" s="40"/>
    <row r="164" ht="14.25" customHeight="1" s="40"/>
    <row r="165" ht="14.25" customHeight="1" s="40"/>
    <row r="166" ht="14.25" customHeight="1" s="40"/>
    <row r="167" ht="14.25" customHeight="1" s="40"/>
    <row r="168" ht="14.25" customHeight="1" s="40"/>
    <row r="169" ht="14.25" customHeight="1" s="40"/>
    <row r="170" ht="14.25" customHeight="1" s="40"/>
    <row r="171" ht="14.25" customHeight="1" s="40"/>
    <row r="172" ht="14.25" customHeight="1" s="40"/>
    <row r="173" ht="14.25" customHeight="1" s="40"/>
    <row r="174" ht="14.25" customHeight="1" s="40"/>
    <row r="175" ht="14.25" customHeight="1" s="40"/>
    <row r="176" ht="14.25" customHeight="1" s="40"/>
    <row r="177" ht="14.25" customHeight="1" s="40"/>
    <row r="178" ht="14.25" customHeight="1" s="40"/>
    <row r="179" ht="14.25" customHeight="1" s="40"/>
    <row r="180" ht="14.25" customHeight="1" s="40"/>
    <row r="181" ht="14.25" customHeight="1" s="40"/>
    <row r="182" ht="14.25" customHeight="1" s="40"/>
    <row r="183" ht="14.25" customHeight="1" s="40"/>
    <row r="184" ht="14.25" customHeight="1" s="40"/>
    <row r="185" ht="14.25" customHeight="1" s="40"/>
    <row r="186" ht="14.25" customHeight="1" s="40"/>
    <row r="187" ht="14.25" customHeight="1" s="40"/>
    <row r="188" ht="14.25" customHeight="1" s="40"/>
    <row r="189" ht="14.25" customHeight="1" s="40"/>
    <row r="190" ht="14.25" customHeight="1" s="40"/>
    <row r="191" ht="14.25" customHeight="1" s="40"/>
    <row r="192" ht="14.25" customHeight="1" s="40"/>
    <row r="193" ht="14.25" customHeight="1" s="40"/>
    <row r="194" ht="14.25" customHeight="1" s="40"/>
    <row r="195" ht="14.25" customHeight="1" s="40"/>
    <row r="196" ht="14.25" customHeight="1" s="40"/>
    <row r="197" ht="14.25" customHeight="1" s="40"/>
    <row r="198" ht="14.25" customHeight="1" s="40"/>
    <row r="199" ht="14.25" customHeight="1" s="40"/>
    <row r="200" ht="14.25" customHeight="1" s="40"/>
    <row r="201" ht="14.25" customHeight="1" s="40"/>
    <row r="202" ht="14.25" customHeight="1" s="40"/>
    <row r="203" ht="14.25" customHeight="1" s="40"/>
    <row r="204" ht="14.25" customHeight="1" s="40"/>
    <row r="205" ht="14.25" customHeight="1" s="40"/>
    <row r="206" ht="14.25" customHeight="1" s="40"/>
    <row r="207" ht="14.25" customHeight="1" s="40"/>
    <row r="208" ht="14.25" customHeight="1" s="40"/>
    <row r="209" ht="14.25" customHeight="1" s="40"/>
    <row r="210" ht="14.25" customHeight="1" s="40"/>
    <row r="211" ht="14.25" customHeight="1" s="40"/>
    <row r="212" ht="14.25" customHeight="1" s="40"/>
    <row r="213" ht="14.25" customHeight="1" s="40"/>
    <row r="214" ht="14.25" customHeight="1" s="40"/>
    <row r="215" ht="14.25" customHeight="1" s="40"/>
    <row r="216" ht="14.25" customHeight="1" s="40"/>
    <row r="217" ht="14.25" customHeight="1" s="40"/>
    <row r="218" ht="14.25" customHeight="1" s="40"/>
    <row r="219" ht="14.25" customHeight="1" s="40"/>
    <row r="220" ht="14.25" customHeight="1" s="40"/>
    <row r="221" ht="14.25" customHeight="1" s="40"/>
    <row r="222" ht="14.25" customHeight="1" s="40"/>
    <row r="223" ht="14.25" customHeight="1" s="40"/>
    <row r="224" ht="14.25" customHeight="1" s="40"/>
    <row r="225" ht="14.25" customHeight="1" s="40"/>
    <row r="226" ht="14.25" customHeight="1" s="40"/>
    <row r="227" ht="14.25" customHeight="1" s="40"/>
    <row r="228" ht="14.25" customHeight="1" s="40"/>
    <row r="229" ht="14.25" customHeight="1" s="40"/>
    <row r="230" ht="14.25" customHeight="1" s="40"/>
    <row r="231" ht="14.25" customHeight="1" s="40"/>
    <row r="232" ht="14.25" customHeight="1" s="40"/>
    <row r="233" ht="14.25" customHeight="1" s="40"/>
    <row r="234" ht="14.25" customHeight="1" s="40"/>
    <row r="235" ht="14.25" customHeight="1" s="40"/>
    <row r="236" ht="14.25" customHeight="1" s="40"/>
    <row r="237" ht="14.25" customHeight="1" s="40"/>
    <row r="238" ht="14.25" customHeight="1" s="40"/>
    <row r="239" ht="14.25" customHeight="1" s="40"/>
    <row r="240" ht="14.25" customHeight="1" s="40"/>
    <row r="241" ht="14.25" customHeight="1" s="40"/>
    <row r="242" ht="14.25" customHeight="1" s="40"/>
    <row r="243" ht="14.25" customHeight="1" s="40"/>
    <row r="244" ht="14.25" customHeight="1" s="40"/>
    <row r="245" ht="14.25" customHeight="1" s="40"/>
    <row r="246" ht="14.25" customHeight="1" s="40"/>
    <row r="247" ht="14.25" customHeight="1" s="40"/>
    <row r="248" ht="14.25" customHeight="1" s="40"/>
    <row r="249" ht="14.25" customHeight="1" s="40"/>
    <row r="250" ht="14.25" customHeight="1" s="40"/>
    <row r="251" ht="14.25" customHeight="1" s="40"/>
    <row r="252" ht="14.25" customHeight="1" s="40"/>
    <row r="253" ht="14.25" customHeight="1" s="40"/>
    <row r="254" ht="14.25" customHeight="1" s="40"/>
    <row r="255" ht="14.25" customHeight="1" s="40"/>
    <row r="256" ht="14.25" customHeight="1" s="40"/>
    <row r="257" ht="14.25" customHeight="1" s="40"/>
    <row r="258" ht="14.25" customHeight="1" s="40"/>
    <row r="259" ht="14.25" customHeight="1" s="40"/>
    <row r="260" ht="14.25" customHeight="1" s="40"/>
    <row r="261" ht="14.25" customHeight="1" s="40"/>
    <row r="262" ht="14.25" customHeight="1" s="40"/>
    <row r="263" ht="14.25" customHeight="1" s="40"/>
    <row r="264" ht="14.25" customHeight="1" s="40"/>
    <row r="265" ht="14.25" customHeight="1" s="40"/>
    <row r="266" ht="14.25" customHeight="1" s="40"/>
    <row r="267" ht="14.25" customHeight="1" s="40"/>
    <row r="268" ht="14.25" customHeight="1" s="40"/>
    <row r="269" ht="14.25" customHeight="1" s="40"/>
    <row r="270" ht="14.25" customHeight="1" s="40"/>
    <row r="271" ht="14.25" customHeight="1" s="40"/>
    <row r="272" ht="14.25" customHeight="1" s="40"/>
    <row r="273" ht="14.25" customHeight="1" s="40"/>
    <row r="274" ht="14.25" customHeight="1" s="40"/>
    <row r="275" ht="14.25" customHeight="1" s="40"/>
    <row r="276" ht="14.25" customHeight="1" s="40"/>
    <row r="277" ht="14.25" customHeight="1" s="40"/>
    <row r="278" ht="14.25" customHeight="1" s="40"/>
    <row r="279" ht="14.25" customHeight="1" s="40"/>
    <row r="280" ht="14.25" customHeight="1" s="40"/>
    <row r="281" ht="14.25" customHeight="1" s="40"/>
    <row r="282" ht="14.25" customHeight="1" s="40"/>
    <row r="283" ht="14.25" customHeight="1" s="40"/>
    <row r="284" ht="14.25" customHeight="1" s="40"/>
    <row r="285" ht="14.25" customHeight="1" s="40"/>
    <row r="286" ht="14.25" customHeight="1" s="40"/>
    <row r="287" ht="14.25" customHeight="1" s="40"/>
    <row r="288" ht="14.25" customHeight="1" s="40"/>
    <row r="289" ht="14.25" customHeight="1" s="40"/>
    <row r="290" ht="14.25" customHeight="1" s="40"/>
    <row r="291" ht="14.25" customHeight="1" s="40"/>
    <row r="292" ht="14.25" customHeight="1" s="40"/>
    <row r="293" ht="14.25" customHeight="1" s="40"/>
    <row r="294" ht="14.25" customHeight="1" s="40"/>
    <row r="295" ht="14.25" customHeight="1" s="40"/>
    <row r="296" ht="14.25" customHeight="1" s="40"/>
    <row r="297" ht="14.25" customHeight="1" s="40"/>
    <row r="298" ht="14.25" customHeight="1" s="40"/>
    <row r="299" ht="14.25" customHeight="1" s="40"/>
    <row r="300" ht="14.25" customHeight="1" s="40"/>
    <row r="301" ht="14.25" customHeight="1" s="40"/>
    <row r="302" ht="14.25" customHeight="1" s="40"/>
    <row r="303" ht="14.25" customHeight="1" s="40"/>
    <row r="304" ht="14.25" customHeight="1" s="40"/>
    <row r="305" ht="14.25" customHeight="1" s="40"/>
    <row r="306" ht="14.25" customHeight="1" s="40"/>
    <row r="307" ht="14.25" customHeight="1" s="40"/>
    <row r="308" ht="14.25" customHeight="1" s="40"/>
    <row r="309" ht="14.25" customHeight="1" s="40"/>
    <row r="310" ht="14.25" customHeight="1" s="40"/>
    <row r="311" ht="14.25" customHeight="1" s="40"/>
    <row r="312" ht="14.25" customHeight="1" s="40"/>
    <row r="313" ht="14.25" customHeight="1" s="40"/>
    <row r="314" ht="14.25" customHeight="1" s="40"/>
    <row r="315" ht="14.25" customHeight="1" s="40"/>
    <row r="316" ht="14.25" customHeight="1" s="40"/>
    <row r="317" ht="14.25" customHeight="1" s="40"/>
    <row r="318" ht="14.25" customHeight="1" s="40"/>
    <row r="319" ht="14.25" customHeight="1" s="40"/>
    <row r="320" ht="14.25" customHeight="1" s="40"/>
    <row r="321" ht="14.25" customHeight="1" s="40"/>
    <row r="322" ht="14.25" customHeight="1" s="40"/>
    <row r="323" ht="14.25" customHeight="1" s="40"/>
    <row r="324" ht="14.25" customHeight="1" s="40"/>
    <row r="325" ht="14.25" customHeight="1" s="40"/>
    <row r="326" ht="14.25" customHeight="1" s="40"/>
    <row r="327" ht="14.25" customHeight="1" s="40"/>
    <row r="328" ht="14.25" customHeight="1" s="40"/>
    <row r="329" ht="14.25" customHeight="1" s="40"/>
    <row r="330" ht="14.25" customHeight="1" s="40"/>
    <row r="331" ht="14.25" customHeight="1" s="40"/>
    <row r="332" ht="14.25" customHeight="1" s="40"/>
    <row r="333" ht="14.25" customHeight="1" s="40"/>
    <row r="334" ht="14.25" customHeight="1" s="40"/>
    <row r="335" ht="14.25" customHeight="1" s="40"/>
    <row r="336" ht="14.25" customHeight="1" s="40"/>
    <row r="337" ht="14.25" customHeight="1" s="40"/>
    <row r="338" ht="14.25" customHeight="1" s="40"/>
    <row r="339" ht="14.25" customHeight="1" s="40"/>
    <row r="340" ht="14.25" customHeight="1" s="40"/>
    <row r="341" ht="14.25" customHeight="1" s="40"/>
    <row r="342" ht="14.25" customHeight="1" s="40"/>
    <row r="343" ht="14.25" customHeight="1" s="40"/>
    <row r="344" ht="14.25" customHeight="1" s="40"/>
    <row r="345" ht="14.25" customHeight="1" s="40"/>
    <row r="346" ht="14.25" customHeight="1" s="40"/>
    <row r="347" ht="14.25" customHeight="1" s="40"/>
    <row r="348" ht="14.25" customHeight="1" s="40"/>
    <row r="349" ht="14.25" customHeight="1" s="40"/>
    <row r="350" ht="14.25" customHeight="1" s="40"/>
    <row r="351" ht="14.25" customHeight="1" s="40"/>
    <row r="352" ht="14.25" customHeight="1" s="40"/>
    <row r="353" ht="14.25" customHeight="1" s="40"/>
    <row r="354" ht="14.25" customHeight="1" s="40"/>
    <row r="355" ht="14.25" customHeight="1" s="40"/>
    <row r="356" ht="14.25" customHeight="1" s="40"/>
    <row r="357" ht="14.25" customHeight="1" s="40"/>
    <row r="358" ht="14.25" customHeight="1" s="40"/>
    <row r="359" ht="14.25" customHeight="1" s="40"/>
    <row r="360" ht="14.25" customHeight="1" s="40"/>
    <row r="361" ht="14.25" customHeight="1" s="40"/>
    <row r="362" ht="14.25" customHeight="1" s="40"/>
    <row r="363" ht="14.25" customHeight="1" s="40"/>
    <row r="364" ht="14.25" customHeight="1" s="40"/>
    <row r="365" ht="14.25" customHeight="1" s="40"/>
    <row r="366" ht="14.25" customHeight="1" s="40"/>
    <row r="367" ht="14.25" customHeight="1" s="40"/>
    <row r="368" ht="14.25" customHeight="1" s="40"/>
    <row r="369" ht="14.25" customHeight="1" s="40"/>
    <row r="370" ht="14.25" customHeight="1" s="40"/>
    <row r="371" ht="14.25" customHeight="1" s="40"/>
    <row r="372" ht="14.25" customHeight="1" s="40"/>
    <row r="373" ht="14.25" customHeight="1" s="40"/>
    <row r="374" ht="14.25" customHeight="1" s="40"/>
    <row r="375" ht="14.25" customHeight="1" s="40"/>
    <row r="376" ht="14.25" customHeight="1" s="40"/>
    <row r="377" ht="14.25" customHeight="1" s="40"/>
    <row r="378" ht="14.25" customHeight="1" s="40"/>
    <row r="379" ht="14.25" customHeight="1" s="40"/>
    <row r="380" ht="14.25" customHeight="1" s="40"/>
    <row r="381" ht="14.25" customHeight="1" s="40"/>
    <row r="382" ht="14.25" customHeight="1" s="40"/>
    <row r="383" ht="14.25" customHeight="1" s="40"/>
    <row r="384" ht="14.25" customHeight="1" s="40"/>
    <row r="385" ht="14.25" customHeight="1" s="40"/>
    <row r="386" ht="14.25" customHeight="1" s="40"/>
    <row r="387" ht="14.25" customHeight="1" s="40"/>
    <row r="388" ht="14.25" customHeight="1" s="40"/>
    <row r="389" ht="14.25" customHeight="1" s="40"/>
    <row r="390" ht="14.25" customHeight="1" s="40"/>
    <row r="391" ht="14.25" customHeight="1" s="40"/>
    <row r="392" ht="14.25" customHeight="1" s="40"/>
    <row r="393" ht="14.25" customHeight="1" s="40"/>
    <row r="394" ht="14.25" customHeight="1" s="40"/>
    <row r="395" ht="14.25" customHeight="1" s="40"/>
    <row r="396" ht="14.25" customHeight="1" s="40"/>
    <row r="397" ht="14.25" customHeight="1" s="40"/>
    <row r="398" ht="14.25" customHeight="1" s="40"/>
    <row r="399" ht="14.25" customHeight="1" s="40"/>
    <row r="400" ht="14.25" customHeight="1" s="40"/>
    <row r="401" ht="14.25" customHeight="1" s="40"/>
    <row r="402" ht="14.25" customHeight="1" s="40"/>
    <row r="403" ht="14.25" customHeight="1" s="40"/>
    <row r="404" ht="14.25" customHeight="1" s="40"/>
    <row r="405" ht="14.25" customHeight="1" s="40"/>
    <row r="406" ht="14.25" customHeight="1" s="40"/>
    <row r="407" ht="14.25" customHeight="1" s="40"/>
    <row r="408" ht="14.25" customHeight="1" s="40"/>
    <row r="409" ht="14.25" customHeight="1" s="40"/>
    <row r="410" ht="14.25" customHeight="1" s="40"/>
    <row r="411" ht="14.25" customHeight="1" s="40"/>
    <row r="412" ht="14.25" customHeight="1" s="40"/>
    <row r="413" ht="14.25" customHeight="1" s="40"/>
    <row r="414" ht="14.25" customHeight="1" s="40"/>
    <row r="415" ht="14.25" customHeight="1" s="40"/>
    <row r="416" ht="14.25" customHeight="1" s="40"/>
    <row r="417" ht="14.25" customHeight="1" s="40"/>
    <row r="418" ht="14.25" customHeight="1" s="40"/>
    <row r="419" ht="14.25" customHeight="1" s="40"/>
    <row r="420" ht="14.25" customHeight="1" s="40"/>
    <row r="421" ht="14.25" customHeight="1" s="40"/>
    <row r="422" ht="14.25" customHeight="1" s="40"/>
    <row r="423" ht="14.25" customHeight="1" s="40"/>
    <row r="424" ht="14.25" customHeight="1" s="40"/>
    <row r="425" ht="14.25" customHeight="1" s="40"/>
    <row r="426" ht="14.25" customHeight="1" s="40"/>
    <row r="427" ht="14.25" customHeight="1" s="40"/>
    <row r="428" ht="14.25" customHeight="1" s="40"/>
    <row r="429" ht="14.25" customHeight="1" s="40"/>
    <row r="430" ht="14.25" customHeight="1" s="40"/>
    <row r="431" ht="14.25" customHeight="1" s="40"/>
    <row r="432" ht="14.25" customHeight="1" s="40"/>
    <row r="433" ht="14.25" customHeight="1" s="40"/>
    <row r="434" ht="14.25" customHeight="1" s="40"/>
    <row r="435" ht="14.25" customHeight="1" s="40"/>
    <row r="436" ht="14.25" customHeight="1" s="40"/>
    <row r="437" ht="14.25" customHeight="1" s="40"/>
    <row r="438" ht="14.25" customHeight="1" s="40"/>
    <row r="439" ht="14.25" customHeight="1" s="40"/>
    <row r="440" ht="14.25" customHeight="1" s="40"/>
    <row r="441" ht="14.25" customHeight="1" s="40"/>
    <row r="442" ht="14.25" customHeight="1" s="40"/>
    <row r="443" ht="14.25" customHeight="1" s="40"/>
    <row r="444" ht="14.25" customHeight="1" s="40"/>
    <row r="445" ht="14.25" customHeight="1" s="40"/>
    <row r="446" ht="14.25" customHeight="1" s="40"/>
    <row r="447" ht="14.25" customHeight="1" s="40"/>
    <row r="448" ht="14.25" customHeight="1" s="40"/>
    <row r="449" ht="14.25" customHeight="1" s="40"/>
    <row r="450" ht="14.25" customHeight="1" s="40"/>
    <row r="451" ht="14.25" customHeight="1" s="40"/>
    <row r="452" ht="14.25" customHeight="1" s="40"/>
    <row r="453" ht="14.25" customHeight="1" s="40"/>
    <row r="454" ht="14.25" customHeight="1" s="40"/>
    <row r="455" ht="14.25" customHeight="1" s="40"/>
    <row r="456" ht="14.25" customHeight="1" s="40"/>
    <row r="457" ht="14.25" customHeight="1" s="40"/>
    <row r="458" ht="14.25" customHeight="1" s="40"/>
    <row r="459" ht="14.25" customHeight="1" s="40"/>
    <row r="460" ht="14.25" customHeight="1" s="40"/>
    <row r="461" ht="14.25" customHeight="1" s="40"/>
    <row r="462" ht="14.25" customHeight="1" s="40"/>
    <row r="463" ht="14.25" customHeight="1" s="40"/>
    <row r="464" ht="14.25" customHeight="1" s="40"/>
    <row r="465" ht="14.25" customHeight="1" s="40"/>
    <row r="466" ht="14.25" customHeight="1" s="40"/>
    <row r="467" ht="14.25" customHeight="1" s="40"/>
    <row r="468" ht="14.25" customHeight="1" s="40"/>
    <row r="469" ht="14.25" customHeight="1" s="40"/>
    <row r="470" ht="14.25" customHeight="1" s="40"/>
    <row r="471" ht="14.25" customHeight="1" s="40"/>
    <row r="472" ht="14.25" customHeight="1" s="40"/>
    <row r="473" ht="14.25" customHeight="1" s="40"/>
    <row r="474" ht="14.25" customHeight="1" s="40"/>
    <row r="475" ht="14.25" customHeight="1" s="40"/>
    <row r="476" ht="14.25" customHeight="1" s="40"/>
    <row r="477" ht="14.25" customHeight="1" s="40"/>
    <row r="478" ht="14.25" customHeight="1" s="40"/>
    <row r="479" ht="14.25" customHeight="1" s="40"/>
    <row r="480" ht="14.25" customHeight="1" s="40"/>
    <row r="481" ht="14.25" customHeight="1" s="40"/>
    <row r="482" ht="14.25" customHeight="1" s="40"/>
    <row r="483" ht="14.25" customHeight="1" s="40"/>
    <row r="484" ht="14.25" customHeight="1" s="40"/>
    <row r="485" ht="14.25" customHeight="1" s="40"/>
    <row r="486" ht="14.25" customHeight="1" s="40"/>
    <row r="487" ht="14.25" customHeight="1" s="40"/>
    <row r="488" ht="14.25" customHeight="1" s="40"/>
    <row r="489" ht="14.25" customHeight="1" s="40"/>
    <row r="490" ht="14.25" customHeight="1" s="40"/>
    <row r="491" ht="14.25" customHeight="1" s="40"/>
    <row r="492" ht="14.25" customHeight="1" s="40"/>
    <row r="493" ht="14.25" customHeight="1" s="40"/>
    <row r="494" ht="14.25" customHeight="1" s="40"/>
    <row r="495" ht="14.25" customHeight="1" s="40"/>
    <row r="496" ht="14.25" customHeight="1" s="40"/>
    <row r="497" ht="14.25" customHeight="1" s="40"/>
    <row r="498" ht="14.25" customHeight="1" s="40"/>
    <row r="499" ht="14.25" customHeight="1" s="40"/>
    <row r="500" ht="14.25" customHeight="1" s="40"/>
    <row r="501" ht="14.25" customHeight="1" s="40"/>
    <row r="502" ht="14.25" customHeight="1" s="40"/>
    <row r="503" ht="14.25" customHeight="1" s="40"/>
    <row r="504" ht="14.25" customHeight="1" s="40"/>
    <row r="505" ht="14.25" customHeight="1" s="40"/>
    <row r="506" ht="14.25" customHeight="1" s="40"/>
    <row r="507" ht="14.25" customHeight="1" s="40"/>
    <row r="508" ht="14.25" customHeight="1" s="40"/>
    <row r="509" ht="14.25" customHeight="1" s="40"/>
    <row r="510" ht="14.25" customHeight="1" s="40"/>
    <row r="511" ht="14.25" customHeight="1" s="40"/>
    <row r="512" ht="14.25" customHeight="1" s="40"/>
    <row r="513" ht="14.25" customHeight="1" s="40"/>
    <row r="514" ht="14.25" customHeight="1" s="40"/>
    <row r="515" ht="14.25" customHeight="1" s="40"/>
    <row r="516" ht="14.25" customHeight="1" s="40"/>
    <row r="517" ht="14.25" customHeight="1" s="40"/>
    <row r="518" ht="14.25" customHeight="1" s="40"/>
    <row r="519" ht="14.25" customHeight="1" s="40"/>
    <row r="520" ht="14.25" customHeight="1" s="40"/>
    <row r="521" ht="14.25" customHeight="1" s="40"/>
    <row r="522" ht="14.25" customHeight="1" s="40"/>
    <row r="523" ht="14.25" customHeight="1" s="40"/>
    <row r="524" ht="14.25" customHeight="1" s="40"/>
    <row r="525" ht="14.25" customHeight="1" s="40"/>
    <row r="526" ht="14.25" customHeight="1" s="40"/>
    <row r="527" ht="14.25" customHeight="1" s="40"/>
    <row r="528" ht="14.25" customHeight="1" s="40"/>
    <row r="529" ht="14.25" customHeight="1" s="40"/>
    <row r="530" ht="14.25" customHeight="1" s="40"/>
    <row r="531" ht="14.25" customHeight="1" s="40"/>
    <row r="532" ht="14.25" customHeight="1" s="40"/>
    <row r="533" ht="14.25" customHeight="1" s="40"/>
    <row r="534" ht="14.25" customHeight="1" s="40"/>
    <row r="535" ht="14.25" customHeight="1" s="40"/>
    <row r="536" ht="14.25" customHeight="1" s="40"/>
    <row r="537" ht="14.25" customHeight="1" s="40"/>
    <row r="538" ht="14.25" customHeight="1" s="40"/>
    <row r="539" ht="14.25" customHeight="1" s="40"/>
    <row r="540" ht="14.25" customHeight="1" s="40"/>
    <row r="541" ht="14.25" customHeight="1" s="40"/>
    <row r="542" ht="14.25" customHeight="1" s="40"/>
    <row r="543" ht="14.25" customHeight="1" s="40"/>
    <row r="544" ht="14.25" customHeight="1" s="40"/>
    <row r="545" ht="14.25" customHeight="1" s="40"/>
    <row r="546" ht="14.25" customHeight="1" s="40"/>
    <row r="547" ht="14.25" customHeight="1" s="40"/>
    <row r="548" ht="14.25" customHeight="1" s="40"/>
    <row r="549" ht="14.25" customHeight="1" s="40"/>
    <row r="550" ht="14.25" customHeight="1" s="40"/>
    <row r="551" ht="14.25" customHeight="1" s="40"/>
    <row r="552" ht="14.25" customHeight="1" s="40"/>
    <row r="553" ht="14.25" customHeight="1" s="40"/>
    <row r="554" ht="14.25" customHeight="1" s="40"/>
    <row r="555" ht="14.25" customHeight="1" s="40"/>
    <row r="556" ht="14.25" customHeight="1" s="40"/>
    <row r="557" ht="14.25" customHeight="1" s="40"/>
    <row r="558" ht="14.25" customHeight="1" s="40"/>
    <row r="559" ht="14.25" customHeight="1" s="40"/>
    <row r="560" ht="14.25" customHeight="1" s="40"/>
    <row r="561" ht="14.25" customHeight="1" s="40"/>
    <row r="562" ht="14.25" customHeight="1" s="40"/>
    <row r="563" ht="14.25" customHeight="1" s="40"/>
    <row r="564" ht="14.25" customHeight="1" s="40"/>
    <row r="565" ht="14.25" customHeight="1" s="40"/>
    <row r="566" ht="14.25" customHeight="1" s="40"/>
    <row r="567" ht="14.25" customHeight="1" s="40"/>
    <row r="568" ht="14.25" customHeight="1" s="40"/>
    <row r="569" ht="14.25" customHeight="1" s="40"/>
    <row r="570" ht="14.25" customHeight="1" s="40"/>
    <row r="571" ht="14.25" customHeight="1" s="40"/>
    <row r="572" ht="14.25" customHeight="1" s="40"/>
    <row r="573" ht="14.25" customHeight="1" s="40"/>
    <row r="574" ht="14.25" customHeight="1" s="40"/>
    <row r="575" ht="14.25" customHeight="1" s="40"/>
    <row r="576" ht="14.25" customHeight="1" s="40"/>
    <row r="577" ht="14.25" customHeight="1" s="40"/>
    <row r="578" ht="14.25" customHeight="1" s="40"/>
    <row r="579" ht="14.25" customHeight="1" s="40"/>
    <row r="580" ht="14.25" customHeight="1" s="40"/>
    <row r="581" ht="14.25" customHeight="1" s="40"/>
    <row r="582" ht="14.25" customHeight="1" s="40"/>
    <row r="583" ht="14.25" customHeight="1" s="40"/>
    <row r="584" ht="14.25" customHeight="1" s="40"/>
    <row r="585" ht="14.25" customHeight="1" s="40"/>
    <row r="586" ht="14.25" customHeight="1" s="40"/>
    <row r="587" ht="14.25" customHeight="1" s="40"/>
    <row r="588" ht="14.25" customHeight="1" s="40"/>
    <row r="589" ht="14.25" customHeight="1" s="40"/>
    <row r="590" ht="14.25" customHeight="1" s="40"/>
    <row r="591" ht="14.25" customHeight="1" s="40"/>
    <row r="592" ht="14.25" customHeight="1" s="40"/>
    <row r="593" ht="14.25" customHeight="1" s="40"/>
    <row r="594" ht="14.25" customHeight="1" s="40"/>
    <row r="595" ht="14.25" customHeight="1" s="40"/>
    <row r="596" ht="14.25" customHeight="1" s="40"/>
    <row r="597" ht="14.25" customHeight="1" s="40"/>
    <row r="598" ht="14.25" customHeight="1" s="40"/>
    <row r="599" ht="14.25" customHeight="1" s="40"/>
    <row r="600" ht="14.25" customHeight="1" s="40"/>
    <row r="601" ht="14.25" customHeight="1" s="40"/>
    <row r="602" ht="14.25" customHeight="1" s="40"/>
    <row r="603" ht="14.25" customHeight="1" s="40"/>
    <row r="604" ht="14.25" customHeight="1" s="40"/>
    <row r="605" ht="14.25" customHeight="1" s="40"/>
    <row r="606" ht="14.25" customHeight="1" s="40"/>
    <row r="607" ht="14.25" customHeight="1" s="40"/>
    <row r="608" ht="14.25" customHeight="1" s="40"/>
    <row r="609" ht="14.25" customHeight="1" s="40"/>
    <row r="610" ht="14.25" customHeight="1" s="40"/>
    <row r="611" ht="14.25" customHeight="1" s="40"/>
    <row r="612" ht="14.25" customHeight="1" s="40"/>
    <row r="613" ht="14.25" customHeight="1" s="40"/>
    <row r="614" ht="14.25" customHeight="1" s="40"/>
    <row r="615" ht="14.25" customHeight="1" s="40"/>
    <row r="616" ht="14.25" customHeight="1" s="40"/>
    <row r="617" ht="14.25" customHeight="1" s="40"/>
    <row r="618" ht="14.25" customHeight="1" s="40"/>
    <row r="619" ht="14.25" customHeight="1" s="40"/>
    <row r="620" ht="14.25" customHeight="1" s="40"/>
    <row r="621" ht="14.25" customHeight="1" s="40"/>
    <row r="622" ht="14.25" customHeight="1" s="40"/>
    <row r="623" ht="14.25" customHeight="1" s="40"/>
    <row r="624" ht="14.25" customHeight="1" s="40"/>
    <row r="625" ht="14.25" customHeight="1" s="40"/>
    <row r="626" ht="14.25" customHeight="1" s="40"/>
    <row r="627" ht="14.25" customHeight="1" s="40"/>
    <row r="628" ht="14.25" customHeight="1" s="40"/>
    <row r="629" ht="14.25" customHeight="1" s="40"/>
    <row r="630" ht="14.25" customHeight="1" s="40"/>
    <row r="631" ht="14.25" customHeight="1" s="40"/>
    <row r="632" ht="14.25" customHeight="1" s="40"/>
    <row r="633" ht="14.25" customHeight="1" s="40"/>
    <row r="634" ht="14.25" customHeight="1" s="40"/>
    <row r="635" ht="14.25" customHeight="1" s="40"/>
    <row r="636" ht="14.25" customHeight="1" s="40"/>
    <row r="637" ht="14.25" customHeight="1" s="40"/>
    <row r="638" ht="14.25" customHeight="1" s="40"/>
    <row r="639" ht="14.25" customHeight="1" s="40"/>
    <row r="640" ht="14.25" customHeight="1" s="40"/>
    <row r="641" ht="14.25" customHeight="1" s="40"/>
    <row r="642" ht="14.25" customHeight="1" s="40"/>
    <row r="643" ht="14.25" customHeight="1" s="40"/>
    <row r="644" ht="14.25" customHeight="1" s="40"/>
    <row r="645" ht="14.25" customHeight="1" s="40"/>
    <row r="646" ht="14.25" customHeight="1" s="40"/>
    <row r="647" ht="14.25" customHeight="1" s="40"/>
    <row r="648" ht="14.25" customHeight="1" s="40"/>
    <row r="649" ht="14.25" customHeight="1" s="40"/>
    <row r="650" ht="14.25" customHeight="1" s="40"/>
    <row r="651" ht="14.25" customHeight="1" s="40"/>
    <row r="652" ht="14.25" customHeight="1" s="40"/>
    <row r="653" ht="14.25" customHeight="1" s="40"/>
    <row r="654" ht="14.25" customHeight="1" s="40"/>
    <row r="655" ht="14.25" customHeight="1" s="40"/>
    <row r="656" ht="14.25" customHeight="1" s="40"/>
    <row r="657" ht="14.25" customHeight="1" s="40"/>
    <row r="658" ht="14.25" customHeight="1" s="40"/>
    <row r="659" ht="14.25" customHeight="1" s="40"/>
    <row r="660" ht="14.25" customHeight="1" s="40"/>
    <row r="661" ht="14.25" customHeight="1" s="40"/>
    <row r="662" ht="14.25" customHeight="1" s="40"/>
    <row r="663" ht="14.25" customHeight="1" s="40"/>
    <row r="664" ht="14.25" customHeight="1" s="40"/>
    <row r="665" ht="14.25" customHeight="1" s="40"/>
    <row r="666" ht="14.25" customHeight="1" s="40"/>
    <row r="667" ht="14.25" customHeight="1" s="40"/>
    <row r="668" ht="14.25" customHeight="1" s="40"/>
    <row r="669" ht="14.25" customHeight="1" s="40"/>
    <row r="670" ht="14.25" customHeight="1" s="40"/>
    <row r="671" ht="14.25" customHeight="1" s="40"/>
    <row r="672" ht="14.25" customHeight="1" s="40"/>
    <row r="673" ht="14.25" customHeight="1" s="40"/>
    <row r="674" ht="14.25" customHeight="1" s="40"/>
    <row r="675" ht="14.25" customHeight="1" s="40"/>
    <row r="676" ht="14.25" customHeight="1" s="40"/>
    <row r="677" ht="14.25" customHeight="1" s="40"/>
    <row r="678" ht="14.25" customHeight="1" s="40"/>
    <row r="679" ht="14.25" customHeight="1" s="40"/>
    <row r="680" ht="14.25" customHeight="1" s="40"/>
    <row r="681" ht="14.25" customHeight="1" s="40"/>
    <row r="682" ht="14.25" customHeight="1" s="40"/>
    <row r="683" ht="14.25" customHeight="1" s="40"/>
    <row r="684" ht="14.25" customHeight="1" s="40"/>
    <row r="685" ht="14.25" customHeight="1" s="40"/>
    <row r="686" ht="14.25" customHeight="1" s="40"/>
    <row r="687" ht="14.25" customHeight="1" s="40"/>
    <row r="688" ht="14.25" customHeight="1" s="40"/>
    <row r="689" ht="14.25" customHeight="1" s="40"/>
    <row r="690" ht="14.25" customHeight="1" s="40"/>
    <row r="691" ht="14.25" customHeight="1" s="40"/>
    <row r="692" ht="14.25" customHeight="1" s="40"/>
    <row r="693" ht="14.25" customHeight="1" s="40"/>
    <row r="694" ht="14.25" customHeight="1" s="40"/>
    <row r="695" ht="14.25" customHeight="1" s="40"/>
    <row r="696" ht="14.25" customHeight="1" s="40"/>
    <row r="697" ht="14.25" customHeight="1" s="40"/>
    <row r="698" ht="14.25" customHeight="1" s="40"/>
    <row r="699" ht="14.25" customHeight="1" s="40"/>
    <row r="700" ht="14.25" customHeight="1" s="40"/>
    <row r="701" ht="14.25" customHeight="1" s="40"/>
    <row r="702" ht="14.25" customHeight="1" s="40"/>
    <row r="703" ht="14.25" customHeight="1" s="40"/>
    <row r="704" ht="14.25" customHeight="1" s="40"/>
    <row r="705" ht="14.25" customHeight="1" s="40"/>
    <row r="706" ht="14.25" customHeight="1" s="40"/>
    <row r="707" ht="14.25" customHeight="1" s="40"/>
    <row r="708" ht="14.25" customHeight="1" s="40"/>
    <row r="709" ht="14.25" customHeight="1" s="40"/>
    <row r="710" ht="14.25" customHeight="1" s="40"/>
    <row r="711" ht="14.25" customHeight="1" s="40"/>
    <row r="712" ht="14.25" customHeight="1" s="40"/>
    <row r="713" ht="14.25" customHeight="1" s="40"/>
    <row r="714" ht="14.25" customHeight="1" s="40"/>
    <row r="715" ht="14.25" customHeight="1" s="40"/>
    <row r="716" ht="14.25" customHeight="1" s="40"/>
    <row r="717" ht="14.25" customHeight="1" s="40"/>
    <row r="718" ht="14.25" customHeight="1" s="40"/>
    <row r="719" ht="14.25" customHeight="1" s="40"/>
    <row r="720" ht="14.25" customHeight="1" s="40"/>
    <row r="721" ht="14.25" customHeight="1" s="40"/>
    <row r="722" ht="14.25" customHeight="1" s="40"/>
    <row r="723" ht="14.25" customHeight="1" s="40"/>
    <row r="724" ht="14.25" customHeight="1" s="40"/>
    <row r="725" ht="14.25" customHeight="1" s="40"/>
    <row r="726" ht="14.25" customHeight="1" s="40"/>
    <row r="727" ht="14.25" customHeight="1" s="40"/>
    <row r="728" ht="14.25" customHeight="1" s="40"/>
    <row r="729" ht="14.25" customHeight="1" s="40"/>
    <row r="730" ht="14.25" customHeight="1" s="40"/>
    <row r="731" ht="14.25" customHeight="1" s="40"/>
    <row r="732" ht="14.25" customHeight="1" s="40"/>
    <row r="733" ht="14.25" customHeight="1" s="40"/>
    <row r="734" ht="14.25" customHeight="1" s="40"/>
    <row r="735" ht="14.25" customHeight="1" s="40"/>
    <row r="736" ht="14.25" customHeight="1" s="40"/>
    <row r="737" ht="14.25" customHeight="1" s="40"/>
    <row r="738" ht="14.25" customHeight="1" s="40"/>
    <row r="739" ht="14.25" customHeight="1" s="40"/>
    <row r="740" ht="14.25" customHeight="1" s="40"/>
    <row r="741" ht="14.25" customHeight="1" s="40"/>
    <row r="742" ht="14.25" customHeight="1" s="40"/>
    <row r="743" ht="14.25" customHeight="1" s="40"/>
    <row r="744" ht="14.25" customHeight="1" s="40"/>
    <row r="745" ht="14.25" customHeight="1" s="40"/>
    <row r="746" ht="14.25" customHeight="1" s="40"/>
    <row r="747" ht="14.25" customHeight="1" s="40"/>
    <row r="748" ht="14.25" customHeight="1" s="40"/>
    <row r="749" ht="14.25" customHeight="1" s="40"/>
    <row r="750" ht="14.25" customHeight="1" s="40"/>
    <row r="751" ht="14.25" customHeight="1" s="40"/>
    <row r="752" ht="14.25" customHeight="1" s="40"/>
    <row r="753" ht="14.25" customHeight="1" s="40"/>
    <row r="754" ht="14.25" customHeight="1" s="40"/>
    <row r="755" ht="14.25" customHeight="1" s="40"/>
    <row r="756" ht="14.25" customHeight="1" s="40"/>
    <row r="757" ht="14.25" customHeight="1" s="40"/>
    <row r="758" ht="14.25" customHeight="1" s="40"/>
    <row r="759" ht="14.25" customHeight="1" s="40"/>
    <row r="760" ht="14.25" customHeight="1" s="40"/>
    <row r="761" ht="14.25" customHeight="1" s="40"/>
    <row r="762" ht="14.25" customHeight="1" s="40"/>
    <row r="763" ht="14.25" customHeight="1" s="40"/>
    <row r="764" ht="14.25" customHeight="1" s="40"/>
    <row r="765" ht="14.25" customHeight="1" s="40"/>
    <row r="766" ht="14.25" customHeight="1" s="40"/>
    <row r="767" ht="14.25" customHeight="1" s="40"/>
    <row r="768" ht="14.25" customHeight="1" s="40"/>
    <row r="769" ht="14.25" customHeight="1" s="40"/>
    <row r="770" ht="14.25" customHeight="1" s="40"/>
    <row r="771" ht="14.25" customHeight="1" s="40"/>
    <row r="772" ht="14.25" customHeight="1" s="40"/>
    <row r="773" ht="14.25" customHeight="1" s="40"/>
    <row r="774" ht="14.25" customHeight="1" s="40"/>
    <row r="775" ht="14.25" customHeight="1" s="40"/>
    <row r="776" ht="14.25" customHeight="1" s="40"/>
    <row r="777" ht="14.25" customHeight="1" s="40"/>
    <row r="778" ht="14.25" customHeight="1" s="40"/>
    <row r="779" ht="14.25" customHeight="1" s="40"/>
    <row r="780" ht="14.25" customHeight="1" s="40"/>
    <row r="781" ht="14.25" customHeight="1" s="40"/>
    <row r="782" ht="14.25" customHeight="1" s="40"/>
    <row r="783" ht="14.25" customHeight="1" s="40"/>
    <row r="784" ht="14.25" customHeight="1" s="40"/>
    <row r="785" ht="14.25" customHeight="1" s="40"/>
    <row r="786" ht="14.25" customHeight="1" s="40"/>
    <row r="787" ht="14.25" customHeight="1" s="40"/>
    <row r="788" ht="14.25" customHeight="1" s="40"/>
    <row r="789" ht="14.25" customHeight="1" s="40"/>
    <row r="790" ht="14.25" customHeight="1" s="40"/>
    <row r="791" ht="14.25" customHeight="1" s="40"/>
    <row r="792" ht="14.25" customHeight="1" s="40"/>
    <row r="793" ht="14.25" customHeight="1" s="40"/>
    <row r="794" ht="14.25" customHeight="1" s="40"/>
    <row r="795" ht="14.25" customHeight="1" s="40"/>
    <row r="796" ht="14.25" customHeight="1" s="40"/>
    <row r="797" ht="14.25" customHeight="1" s="40"/>
    <row r="798" ht="14.25" customHeight="1" s="40"/>
    <row r="799" ht="14.25" customHeight="1" s="40"/>
    <row r="800" ht="14.25" customHeight="1" s="40"/>
    <row r="801" ht="14.25" customHeight="1" s="40"/>
    <row r="802" ht="14.25" customHeight="1" s="40"/>
    <row r="803" ht="14.25" customHeight="1" s="40"/>
    <row r="804" ht="14.25" customHeight="1" s="40"/>
    <row r="805" ht="14.25" customHeight="1" s="40"/>
    <row r="806" ht="14.25" customHeight="1" s="40"/>
    <row r="807" ht="14.25" customHeight="1" s="40"/>
    <row r="808" ht="14.25" customHeight="1" s="40"/>
    <row r="809" ht="14.25" customHeight="1" s="40"/>
    <row r="810" ht="14.25" customHeight="1" s="40"/>
    <row r="811" ht="14.25" customHeight="1" s="40"/>
    <row r="812" ht="14.25" customHeight="1" s="40"/>
    <row r="813" ht="14.25" customHeight="1" s="40"/>
    <row r="814" ht="14.25" customHeight="1" s="40"/>
    <row r="815" ht="14.25" customHeight="1" s="40"/>
    <row r="816" ht="14.25" customHeight="1" s="40"/>
    <row r="817" ht="14.25" customHeight="1" s="40"/>
    <row r="818" ht="14.25" customHeight="1" s="40"/>
    <row r="819" ht="14.25" customHeight="1" s="40"/>
    <row r="820" ht="14.25" customHeight="1" s="40"/>
    <row r="821" ht="14.25" customHeight="1" s="40"/>
    <row r="822" ht="14.25" customHeight="1" s="40"/>
    <row r="823" ht="14.25" customHeight="1" s="40"/>
    <row r="824" ht="14.25" customHeight="1" s="40"/>
    <row r="825" ht="14.25" customHeight="1" s="40"/>
    <row r="826" ht="14.25" customHeight="1" s="40"/>
    <row r="827" ht="14.25" customHeight="1" s="40"/>
    <row r="828" ht="14.25" customHeight="1" s="40"/>
    <row r="829" ht="14.25" customHeight="1" s="40"/>
    <row r="830" ht="14.25" customHeight="1" s="40"/>
    <row r="831" ht="14.25" customHeight="1" s="40"/>
    <row r="832" ht="14.25" customHeight="1" s="40"/>
    <row r="833" ht="14.25" customHeight="1" s="40"/>
    <row r="834" ht="14.25" customHeight="1" s="40"/>
    <row r="835" ht="14.25" customHeight="1" s="40"/>
    <row r="836" ht="14.25" customHeight="1" s="40"/>
    <row r="837" ht="14.25" customHeight="1" s="40"/>
    <row r="838" ht="14.25" customHeight="1" s="40"/>
    <row r="839" ht="14.25" customHeight="1" s="40"/>
    <row r="840" ht="14.25" customHeight="1" s="40"/>
    <row r="841" ht="14.25" customHeight="1" s="40"/>
    <row r="842" ht="14.25" customHeight="1" s="40"/>
    <row r="843" ht="14.25" customHeight="1" s="40"/>
    <row r="844" ht="14.25" customHeight="1" s="40"/>
    <row r="845" ht="14.25" customHeight="1" s="40"/>
    <row r="846" ht="14.25" customHeight="1" s="40"/>
    <row r="847" ht="14.25" customHeight="1" s="40"/>
    <row r="848" ht="14.25" customHeight="1" s="40"/>
    <row r="849" ht="14.25" customHeight="1" s="40"/>
    <row r="850" ht="14.25" customHeight="1" s="40"/>
    <row r="851" ht="14.25" customHeight="1" s="40"/>
    <row r="852" ht="14.25" customHeight="1" s="40"/>
    <row r="853" ht="14.25" customHeight="1" s="40"/>
    <row r="854" ht="14.25" customHeight="1" s="40"/>
    <row r="855" ht="14.25" customHeight="1" s="40"/>
    <row r="856" ht="14.25" customHeight="1" s="40"/>
    <row r="857" ht="14.25" customHeight="1" s="40"/>
    <row r="858" ht="14.25" customHeight="1" s="40"/>
    <row r="859" ht="14.25" customHeight="1" s="40"/>
    <row r="860" ht="14.25" customHeight="1" s="40"/>
    <row r="861" ht="14.25" customHeight="1" s="40"/>
    <row r="862" ht="14.25" customHeight="1" s="40"/>
    <row r="863" ht="14.25" customHeight="1" s="40"/>
    <row r="864" ht="14.25" customHeight="1" s="40"/>
    <row r="865" ht="14.25" customHeight="1" s="40"/>
    <row r="866" ht="14.25" customHeight="1" s="40"/>
    <row r="867" ht="14.25" customHeight="1" s="40"/>
    <row r="868" ht="14.25" customHeight="1" s="40"/>
    <row r="869" ht="14.25" customHeight="1" s="40"/>
    <row r="870" ht="14.25" customHeight="1" s="40"/>
    <row r="871" ht="14.25" customHeight="1" s="40"/>
    <row r="872" ht="14.25" customHeight="1" s="40"/>
    <row r="873" ht="14.25" customHeight="1" s="40"/>
    <row r="874" ht="14.25" customHeight="1" s="40"/>
    <row r="875" ht="14.25" customHeight="1" s="40"/>
    <row r="876" ht="14.25" customHeight="1" s="40"/>
    <row r="877" ht="14.25" customHeight="1" s="40"/>
    <row r="878" ht="14.25" customHeight="1" s="40"/>
    <row r="879" ht="14.25" customHeight="1" s="40"/>
    <row r="880" ht="14.25" customHeight="1" s="40"/>
    <row r="881" ht="14.25" customHeight="1" s="40"/>
    <row r="882" ht="14.25" customHeight="1" s="40"/>
    <row r="883" ht="14.25" customHeight="1" s="40"/>
    <row r="884" ht="14.25" customHeight="1" s="40"/>
    <row r="885" ht="14.25" customHeight="1" s="40"/>
    <row r="886" ht="14.25" customHeight="1" s="40"/>
    <row r="887" ht="14.25" customHeight="1" s="40"/>
    <row r="888" ht="14.25" customHeight="1" s="40"/>
    <row r="889" ht="14.25" customHeight="1" s="40"/>
    <row r="890" ht="14.25" customHeight="1" s="40"/>
    <row r="891" ht="14.25" customHeight="1" s="40"/>
    <row r="892" ht="14.25" customHeight="1" s="40"/>
    <row r="893" ht="14.25" customHeight="1" s="40"/>
    <row r="894" ht="14.25" customHeight="1" s="40"/>
    <row r="895" ht="14.25" customHeight="1" s="40"/>
    <row r="896" ht="14.25" customHeight="1" s="40"/>
    <row r="897" ht="14.25" customHeight="1" s="40"/>
    <row r="898" ht="14.25" customHeight="1" s="40"/>
    <row r="899" ht="14.25" customHeight="1" s="40"/>
    <row r="900" ht="14.25" customHeight="1" s="40"/>
    <row r="901" ht="14.25" customHeight="1" s="40"/>
    <row r="902" ht="14.25" customHeight="1" s="40"/>
    <row r="903" ht="14.25" customHeight="1" s="40"/>
    <row r="904" ht="14.25" customHeight="1" s="40"/>
    <row r="905" ht="14.25" customHeight="1" s="40"/>
    <row r="906" ht="14.25" customHeight="1" s="40"/>
    <row r="907" ht="14.25" customHeight="1" s="40"/>
    <row r="908" ht="14.25" customHeight="1" s="40"/>
    <row r="909" ht="14.25" customHeight="1" s="40"/>
    <row r="910" ht="14.25" customHeight="1" s="40"/>
    <row r="911" ht="14.25" customHeight="1" s="40"/>
    <row r="912" ht="14.25" customHeight="1" s="40"/>
    <row r="913" ht="14.25" customHeight="1" s="40"/>
    <row r="914" ht="14.25" customHeight="1" s="40"/>
    <row r="915" ht="14.25" customHeight="1" s="40"/>
    <row r="916" ht="14.25" customHeight="1" s="40"/>
    <row r="917" ht="14.25" customHeight="1" s="40"/>
    <row r="918" ht="14.25" customHeight="1" s="40"/>
    <row r="919" ht="14.25" customHeight="1" s="40"/>
    <row r="920" ht="14.25" customHeight="1" s="40"/>
    <row r="921" ht="14.25" customHeight="1" s="40"/>
    <row r="922" ht="14.25" customHeight="1" s="40"/>
    <row r="923" ht="14.25" customHeight="1" s="40"/>
    <row r="924" ht="14.25" customHeight="1" s="40"/>
    <row r="925" ht="14.25" customHeight="1" s="40"/>
    <row r="926" ht="14.25" customHeight="1" s="40"/>
    <row r="927" ht="14.25" customHeight="1" s="40"/>
    <row r="928" ht="14.25" customHeight="1" s="40"/>
    <row r="929" ht="14.25" customHeight="1" s="40"/>
    <row r="930" ht="14.25" customHeight="1" s="40"/>
    <row r="931" ht="14.25" customHeight="1" s="40"/>
    <row r="932" ht="14.25" customHeight="1" s="40"/>
    <row r="933" ht="14.25" customHeight="1" s="40"/>
    <row r="934" ht="14.25" customHeight="1" s="40"/>
    <row r="935" ht="14.25" customHeight="1" s="40"/>
    <row r="936" ht="14.25" customHeight="1" s="40"/>
    <row r="937" ht="14.25" customHeight="1" s="40"/>
    <row r="938" ht="14.25" customHeight="1" s="40"/>
    <row r="939" ht="14.25" customHeight="1" s="40"/>
    <row r="940" ht="14.25" customHeight="1" s="40"/>
    <row r="941" ht="14.25" customHeight="1" s="40"/>
    <row r="942" ht="14.25" customHeight="1" s="40"/>
    <row r="943" ht="14.25" customHeight="1" s="40"/>
    <row r="944" ht="14.25" customHeight="1" s="40"/>
    <row r="945" ht="14.25" customHeight="1" s="40"/>
    <row r="946" ht="14.25" customHeight="1" s="40"/>
    <row r="947" ht="14.25" customHeight="1" s="40"/>
    <row r="948" ht="14.25" customHeight="1" s="40"/>
    <row r="949" ht="14.25" customHeight="1" s="40"/>
    <row r="950" ht="14.25" customHeight="1" s="40"/>
    <row r="951" ht="14.25" customHeight="1" s="40"/>
    <row r="952" ht="14.25" customHeight="1" s="40"/>
    <row r="953" ht="14.25" customHeight="1" s="40"/>
    <row r="954" ht="14.25" customHeight="1" s="40"/>
    <row r="955" ht="14.25" customHeight="1" s="40"/>
    <row r="956" ht="14.25" customHeight="1" s="40"/>
    <row r="957" ht="14.25" customHeight="1" s="40"/>
    <row r="958" ht="14.25" customHeight="1" s="40"/>
    <row r="959" ht="14.25" customHeight="1" s="40"/>
    <row r="960" ht="14.25" customHeight="1" s="40"/>
    <row r="961" ht="14.25" customHeight="1" s="40"/>
    <row r="962" ht="14.25" customHeight="1" s="40"/>
    <row r="963" ht="14.25" customHeight="1" s="40"/>
    <row r="964" ht="14.25" customHeight="1" s="40"/>
    <row r="965" ht="14.25" customHeight="1" s="40"/>
    <row r="966" ht="14.25" customHeight="1" s="40"/>
    <row r="967" ht="14.25" customHeight="1" s="40"/>
    <row r="968" ht="14.25" customHeight="1" s="40"/>
    <row r="969" ht="14.25" customHeight="1" s="40"/>
    <row r="970" ht="14.25" customHeight="1" s="40"/>
    <row r="971" ht="14.25" customHeight="1" s="40"/>
    <row r="972" ht="14.25" customHeight="1" s="40"/>
    <row r="973" ht="14.25" customHeight="1" s="40"/>
    <row r="974" ht="14.25" customHeight="1" s="40"/>
    <row r="975" ht="14.25" customHeight="1" s="40"/>
    <row r="976" ht="14.25" customHeight="1" s="40"/>
    <row r="977" ht="14.25" customHeight="1" s="40"/>
    <row r="978" ht="14.25" customHeight="1" s="40"/>
    <row r="979" ht="14.25" customHeight="1" s="40"/>
    <row r="980" ht="14.25" customHeight="1" s="40"/>
    <row r="981" ht="14.25" customHeight="1" s="40"/>
    <row r="982" ht="14.25" customHeight="1" s="40"/>
    <row r="983" ht="14.25" customHeight="1" s="40"/>
    <row r="984" ht="14.25" customHeight="1" s="40"/>
    <row r="985" ht="14.25" customHeight="1" s="40"/>
    <row r="986" ht="14.25" customHeight="1" s="40"/>
    <row r="987" ht="14.25" customHeight="1" s="40"/>
    <row r="988" ht="14.25" customHeight="1" s="40"/>
    <row r="989" ht="14.25" customHeight="1" s="40"/>
    <row r="990" ht="14.25" customHeight="1" s="40"/>
    <row r="991" ht="14.25" customHeight="1" s="40"/>
    <row r="992" ht="14.25" customHeight="1" s="40"/>
    <row r="993" ht="14.25" customHeight="1" s="40"/>
    <row r="994" ht="14.25" customHeight="1" s="40"/>
    <row r="995" ht="14.25" customHeight="1" s="40"/>
    <row r="996" ht="14.25" customHeight="1" s="40"/>
    <row r="997" ht="14.25" customHeight="1" s="40"/>
    <row r="998" ht="14.25" customHeight="1" s="40"/>
    <row r="999" ht="14.25" customHeight="1" s="40"/>
    <row r="1000" ht="14.25" customHeight="1" s="40"/>
  </sheetData>
  <conditionalFormatting sqref="E19:E44">
    <cfRule type="expression" priority="1" dxfId="0">
      <formula>$E19="Chưa đạt"</formula>
    </cfRule>
  </conditionalFormatting>
  <pageMargins left="0.75" right="0.75" top="1" bottom="1" header="0" footer="0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500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8" defaultColWidth="14.43" defaultRowHeight="15" customHeight="1"/>
  <cols>
    <col width="38.43" customWidth="1" style="40" min="1" max="1"/>
    <col width="17" customWidth="1" style="40" min="2" max="2"/>
    <col width="24" customWidth="1" style="40" min="3" max="3"/>
    <col width="15" customWidth="1" style="40" min="4" max="6"/>
    <col width="17" customWidth="1" style="40" min="7" max="7"/>
    <col width="13" customWidth="1" style="40" min="8" max="8"/>
    <col width="16" customWidth="1" style="40" min="9" max="9"/>
    <col width="26" customWidth="1" style="40" min="10" max="10"/>
    <col width="11" customWidth="1" style="40" min="11" max="11"/>
    <col width="12" customWidth="1" style="40" min="12" max="15"/>
    <col width="13" customWidth="1" style="40" min="16" max="16"/>
    <col width="12" customWidth="1" style="40" min="17" max="17"/>
    <col width="10" customWidth="1" style="40" min="18" max="18"/>
    <col width="11" customWidth="1" style="40" min="19" max="20"/>
    <col width="30" customWidth="1" style="40" min="21" max="21"/>
    <col width="9" customWidth="1" style="40" min="22" max="22"/>
    <col width="10" customWidth="1" style="40" min="23" max="23"/>
    <col width="15" customWidth="1" style="40" min="24" max="24"/>
    <col width="30" customWidth="1" style="40" min="25" max="25"/>
  </cols>
  <sheetData>
    <row r="1" ht="45" customHeight="1" s="40">
      <c r="A1" s="15" t="inlineStr">
        <is>
          <t>ID Pancake CRM</t>
        </is>
      </c>
      <c r="B1" s="15" t="inlineStr">
        <is>
          <t>Thời gian đăng ký</t>
        </is>
      </c>
      <c r="C1" s="15" t="inlineStr">
        <is>
          <t>Họ và tên</t>
        </is>
      </c>
      <c r="D1" s="15" t="inlineStr">
        <is>
          <t>Số điện thoại đăng ký</t>
        </is>
      </c>
      <c r="E1" s="15" t="inlineStr">
        <is>
          <t>Ngày dự sinh / ngày sinh của bé</t>
        </is>
      </c>
      <c r="F1" s="15" t="inlineStr">
        <is>
          <t>Tình trạng mẹ</t>
        </is>
      </c>
      <c r="G1" s="15" t="inlineStr">
        <is>
          <t>Tỉnh/Thành phố</t>
        </is>
      </c>
      <c r="H1" s="16" t="inlineStr">
        <is>
          <t>Tuần đăng ký (thứ 2)</t>
        </is>
      </c>
      <c r="I1" s="15" t="inlineStr">
        <is>
          <t>Mã REF</t>
        </is>
      </c>
      <c r="J1" s="16" t="inlineStr">
        <is>
          <t>Nguồn</t>
        </is>
      </c>
      <c r="K1" s="16" t="inlineStr">
        <is>
          <t>Loại nguồn</t>
        </is>
      </c>
      <c r="L1" s="16" t="inlineStr">
        <is>
          <t>Activation Team</t>
        </is>
      </c>
      <c r="M1" s="15" t="inlineStr">
        <is>
          <t>Đồng ý đăng ký hội viên</t>
        </is>
      </c>
      <c r="N1" s="15" t="inlineStr">
        <is>
          <t>Đã đọc chính sách Aptamil</t>
        </is>
      </c>
      <c r="O1" s="15" t="inlineStr">
        <is>
          <t>Đồng ý nhận thông báo</t>
        </is>
      </c>
      <c r="P1" s="15" t="inlineStr">
        <is>
          <t>Đồng ý chia sẻ để đăng ký Aptaclub</t>
        </is>
      </c>
      <c r="Q1" s="16" t="inlineStr">
        <is>
          <t>Đủ điều kiện gửi CRM Danone</t>
        </is>
      </c>
      <c r="R1" s="16" t="inlineStr">
        <is>
          <t>Trùng SĐT?</t>
        </is>
      </c>
      <c r="S1" s="16" t="inlineStr">
        <is>
          <t>SĐT đúng định dạng?</t>
        </is>
      </c>
      <c r="T1" s="16" t="inlineStr">
        <is>
          <t>Hợp lệ (tính KPI)</t>
        </is>
      </c>
      <c r="U1" s="16" t="inlineStr">
        <is>
          <t>Lý do không hợp lệ</t>
        </is>
      </c>
      <c r="V1" s="16" t="inlineStr">
        <is>
          <t>Đã mua?</t>
        </is>
      </c>
      <c r="W1" s="16" t="inlineStr">
        <is>
          <t>Số đơn đã CK</t>
        </is>
      </c>
      <c r="X1" s="16" t="inlineStr">
        <is>
          <t>Tổng tiền đã CK (VNĐ)</t>
        </is>
      </c>
      <c r="Y1" s="15" t="inlineStr">
        <is>
          <t>Ghi chú</t>
        </is>
      </c>
    </row>
    <row r="2" ht="14.25" customHeight="1" s="40">
      <c r="A2" s="24" t="inlineStr">
        <is>
          <t>e0aab3d1-323e-4c63-ac93-fa4bc0dcd6c2</t>
        </is>
      </c>
      <c r="B2" s="18" t="n">
        <v>46286.75625</v>
      </c>
      <c r="C2" s="24" t="inlineStr">
        <is>
          <t>Lương Thị Hương Liên</t>
        </is>
      </c>
      <c r="D2" s="28" t="inlineStr">
        <is>
          <t>0399222285</t>
        </is>
      </c>
      <c r="E2" s="29" t="n">
        <v>46327</v>
      </c>
      <c r="F2" s="24" t="inlineStr">
        <is>
          <t>Đang mang thai</t>
        </is>
      </c>
      <c r="G2" s="24" t="inlineStr">
        <is>
          <t>Hồ Chí Minh</t>
        </is>
      </c>
      <c r="H2" s="21">
        <f>IF(ISNUMBER($B2),INT($B2)-WEEKDAY($B2,2)+1,"")</f>
        <v/>
      </c>
      <c r="I2" s="24" t="inlineStr">
        <is>
          <t>Z-GREEN</t>
        </is>
      </c>
      <c r="J2" s="22">
        <f t="array" ref="J2">IF($D2="","",IF($I2="","(trống REF)",IFERROR(INDEX(MASTER_SOURCE!$B$2:$B$495,MATCH($I2,MASTER_SOURCE!$A$2:$A$495,0)),"(REF không có trong MASTER_SOURCE)")))</f>
        <v/>
      </c>
      <c r="K2" s="22">
        <f t="array" ref="K2">IF($D2="","",IFERROR(INDEX(MASTER_SOURCE!$C$2:$C$495,MATCH($I2,MASTER_SOURCE!$A$2:$A$495,0)),""))</f>
        <v/>
      </c>
      <c r="L2" s="22">
        <f t="array" ref="L2">IF($D2="","",IFERROR(INDEX(MASTER_SOURCE!$D$2:$D$495,MATCH($I2,MASTER_SOURCE!$A$2:$A$495,0)),""))</f>
        <v/>
      </c>
      <c r="M2" s="24" t="inlineStr">
        <is>
          <t>Có</t>
        </is>
      </c>
      <c r="N2" s="24" t="inlineStr">
        <is>
          <t>Có</t>
        </is>
      </c>
      <c r="O2" s="24" t="inlineStr">
        <is>
          <t>Có</t>
        </is>
      </c>
      <c r="P2" s="24" t="inlineStr">
        <is>
          <t>Có</t>
        </is>
      </c>
      <c r="Q2" s="22">
        <f>IF($D2="","",IF(AND(OR(DANH_MUC!$L$5&lt;&gt;"Có",M2="Có"),OR(DANH_MUC!$L$6&lt;&gt;"Có",N2="Có"),OR(DANH_MUC!$L$7&lt;&gt;"Có",O2="Có"),OR(DANH_MUC!$L$8&lt;&gt;"Có",P2="Có")),"Có","Không"))</f>
        <v/>
      </c>
      <c r="R2" s="22">
        <f>IF($D2="","",IF(COUNTIF($D$2:$D2,$D2)&gt;1,"Trùng",""))</f>
        <v/>
      </c>
      <c r="S2" s="22">
        <f>IF($D2="","",IF(AND(LEN($D2)=10,LEFT($D2,1)="0",ISNUMBER(--$D2)),"Có","Không"))</f>
        <v/>
      </c>
      <c r="T2" s="22">
        <f>IF($D2="","",IF(AND($C2&lt;&gt;"",$Q2="Có",$R2="",$S2="Có",AND($L2&lt;&gt;"",OR($L2&lt;&gt;"Chưa xác định",DANH_MUC!$L$9="Có"))),"Có","Không"))</f>
        <v/>
      </c>
      <c r="U2" s="22">
        <f>IF(OR($D2="",$T2="Có"),"",IF($C2="","Thiếu họ tên; ","")&amp;IF($S2&lt;&gt;"Có","SĐT sai định dạng; ","")&amp;IF($R2="Trùng","Trùng SĐT; ","")&amp;IF($Q2&lt;&gt;"Có","Thiếu đồng ý bắt buộc; ","")&amp;IF($L2="","Thiếu/sai Mã REF; ",IF(AND($L2="Chưa xác định",DANH_MUC!$L$9&lt;&gt;"Có"),"Nguồn chưa xác định; ","")))</f>
        <v/>
      </c>
      <c r="V2" s="22">
        <f>IF(OR($D2="",$R2="Trùng"),"",IF(COUNTIF(ORDERS!$C$2:$C$4995,$D2)&gt;0,"Có","Không"))</f>
        <v/>
      </c>
      <c r="W2" s="22">
        <f>IF(OR($D2="",$R2="Trùng"),"",COUNTIFS(ORDERS!$C$2:$C$4995,$D2,ORDERS!$L$2:$L$4995,"Đã chuyển khoản"))</f>
        <v/>
      </c>
      <c r="X2" s="23">
        <f>IF(OR($D2="",$R2="Trùng"),"",SUMIFS(ORDERS!$J$2:$J$4995,ORDERS!$C$2:$C$4995,$D2,ORDERS!$L$2:$L$4995,"Đã chuyển khoản"))</f>
        <v/>
      </c>
      <c r="Y2" s="24" t="n"/>
    </row>
    <row r="3" ht="14.25" customHeight="1" s="40">
      <c r="A3" s="24" t="inlineStr">
        <is>
          <t>eca8b050-6e7d-4df9-90bd-1c140161b9b2</t>
        </is>
      </c>
      <c r="B3" s="18" t="n">
        <v>46286.89861111111</v>
      </c>
      <c r="C3" s="24" t="inlineStr">
        <is>
          <t>ĐỖ THỊ NHÃ LINH</t>
        </is>
      </c>
      <c r="D3" s="28" t="inlineStr">
        <is>
          <t>0971259214</t>
        </is>
      </c>
      <c r="E3" s="29" t="n">
        <v>46237</v>
      </c>
      <c r="F3" s="24" t="inlineStr">
        <is>
          <t>Đã sinh</t>
        </is>
      </c>
      <c r="G3" s="24" t="inlineStr">
        <is>
          <t>Hồ Chí Minh</t>
        </is>
      </c>
      <c r="H3" s="21">
        <f>IF(ISNUMBER($B3),INT($B3)-WEEKDAY($B3,2)+1,"")</f>
        <v/>
      </c>
      <c r="I3" s="24" t="inlineStr">
        <is>
          <t>Z-CIH</t>
        </is>
      </c>
      <c r="J3" s="22">
        <f t="array" ref="J3">IF($D3="","",IF($I3="","(trống REF)",IFERROR(INDEX(MASTER_SOURCE!$B$2:$B$495,MATCH($I3,MASTER_SOURCE!$A$2:$A$495,0)),"(REF không có trong MASTER_SOURCE)")))</f>
        <v/>
      </c>
      <c r="K3" s="22">
        <f t="array" ref="K3">IF($D3="","",IFERROR(INDEX(MASTER_SOURCE!$C$2:$C$495,MATCH($I3,MASTER_SOURCE!$A$2:$A$495,0)),""))</f>
        <v/>
      </c>
      <c r="L3" s="22">
        <f t="array" ref="L3">IF($D3="","",IFERROR(INDEX(MASTER_SOURCE!$D$2:$D$495,MATCH($I3,MASTER_SOURCE!$A$2:$A$495,0)),""))</f>
        <v/>
      </c>
      <c r="M3" s="24" t="inlineStr">
        <is>
          <t>Có</t>
        </is>
      </c>
      <c r="N3" s="24" t="inlineStr">
        <is>
          <t>Có</t>
        </is>
      </c>
      <c r="O3" s="24" t="inlineStr">
        <is>
          <t>Có</t>
        </is>
      </c>
      <c r="P3" s="24" t="inlineStr">
        <is>
          <t>Có</t>
        </is>
      </c>
      <c r="Q3" s="22">
        <f>IF($D3="","",IF(AND(OR(DANH_MUC!$L$5&lt;&gt;"Có",M3="Có"),OR(DANH_MUC!$L$6&lt;&gt;"Có",N3="Có"),OR(DANH_MUC!$L$7&lt;&gt;"Có",O3="Có"),OR(DANH_MUC!$L$8&lt;&gt;"Có",P3="Có")),"Có","Không"))</f>
        <v/>
      </c>
      <c r="R3" s="22">
        <f>IF($D3="","",IF(COUNTIF($D$2:$D3,$D3)&gt;1,"Trùng",""))</f>
        <v/>
      </c>
      <c r="S3" s="22">
        <f>IF($D3="","",IF(AND(LEN($D3)=10,LEFT($D3,1)="0",ISNUMBER(--$D3)),"Có","Không"))</f>
        <v/>
      </c>
      <c r="T3" s="22">
        <f>IF($D3="","",IF(AND($C3&lt;&gt;"",$Q3="Có",$R3="",$S3="Có",AND($L3&lt;&gt;"",OR($L3&lt;&gt;"Chưa xác định",DANH_MUC!$L$9="Có"))),"Có","Không"))</f>
        <v/>
      </c>
      <c r="U3" s="22">
        <f>IF(OR($D3="",$T3="Có"),"",IF($C3="","Thiếu họ tên; ","")&amp;IF($S3&lt;&gt;"Có","SĐT sai định dạng; ","")&amp;IF($R3="Trùng","Trùng SĐT; ","")&amp;IF($Q3&lt;&gt;"Có","Thiếu đồng ý bắt buộc; ","")&amp;IF($L3="","Thiếu/sai Mã REF; ",IF(AND($L3="Chưa xác định",DANH_MUC!$L$9&lt;&gt;"Có"),"Nguồn chưa xác định; ","")))</f>
        <v/>
      </c>
      <c r="V3" s="22">
        <f>IF(OR($D3="",$R3="Trùng"),"",IF(COUNTIF(ORDERS!$C$2:$C$4995,$D3)&gt;0,"Có","Không"))</f>
        <v/>
      </c>
      <c r="W3" s="22">
        <f>IF(OR($D3="",$R3="Trùng"),"",COUNTIFS(ORDERS!$C$2:$C$4995,$D3,ORDERS!$L$2:$L$4995,"Đã chuyển khoản"))</f>
        <v/>
      </c>
      <c r="X3" s="23">
        <f>IF(OR($D3="",$R3="Trùng"),"",SUMIFS(ORDERS!$J$2:$J$4995,ORDERS!$C$2:$C$4995,$D3,ORDERS!$L$2:$L$4995,"Đã chuyển khoản"))</f>
        <v/>
      </c>
      <c r="Y3" s="24" t="n"/>
    </row>
    <row r="4" ht="14.25" customHeight="1" s="40">
      <c r="A4" s="24" t="inlineStr">
        <is>
          <t>caf11a33-ef88-46cb-91bf-c9a2ff486a87</t>
        </is>
      </c>
      <c r="B4" s="18" t="n">
        <v>46286.91597222222</v>
      </c>
      <c r="C4" s="24" t="inlineStr">
        <is>
          <t>Lương Diệu Hiền</t>
        </is>
      </c>
      <c r="D4" s="28" t="inlineStr">
        <is>
          <t>0924734621</t>
        </is>
      </c>
      <c r="E4" s="29" t="n">
        <v>46174</v>
      </c>
      <c r="F4" s="24" t="inlineStr">
        <is>
          <t>Đã sinh</t>
        </is>
      </c>
      <c r="G4" s="24" t="inlineStr">
        <is>
          <t>Hồ Chí Minh</t>
        </is>
      </c>
      <c r="H4" s="21">
        <f>IF(ISNUMBER($B4),INT($B4)-WEEKDAY($B4,2)+1,"")</f>
        <v/>
      </c>
      <c r="I4" s="24" t="inlineStr">
        <is>
          <t>Z-00</t>
        </is>
      </c>
      <c r="J4" s="22">
        <f t="array" ref="J4">IF($D4="","",IF($I4="","(trống REF)",IFERROR(INDEX(MASTER_SOURCE!$B$2:$B$495,MATCH($I4,MASTER_SOURCE!$A$2:$A$495,0)),"(REF không có trong MASTER_SOURCE)")))</f>
        <v/>
      </c>
      <c r="K4" s="22">
        <f t="array" ref="K4">IF($D4="","",IFERROR(INDEX(MASTER_SOURCE!$C$2:$C$495,MATCH($I4,MASTER_SOURCE!$A$2:$A$495,0)),""))</f>
        <v/>
      </c>
      <c r="L4" s="22">
        <f t="array" ref="L4">IF($D4="","",IFERROR(INDEX(MASTER_SOURCE!$D$2:$D$495,MATCH($I4,MASTER_SOURCE!$A$2:$A$495,0)),""))</f>
        <v/>
      </c>
      <c r="M4" s="24" t="inlineStr">
        <is>
          <t>Có</t>
        </is>
      </c>
      <c r="N4" s="24" t="inlineStr">
        <is>
          <t>Có</t>
        </is>
      </c>
      <c r="O4" s="24" t="inlineStr">
        <is>
          <t>Có</t>
        </is>
      </c>
      <c r="P4" s="24" t="inlineStr">
        <is>
          <t>Có</t>
        </is>
      </c>
      <c r="Q4" s="22">
        <f>IF($D4="","",IF(AND(OR(DANH_MUC!$L$5&lt;&gt;"Có",M4="Có"),OR(DANH_MUC!$L$6&lt;&gt;"Có",N4="Có"),OR(DANH_MUC!$L$7&lt;&gt;"Có",O4="Có"),OR(DANH_MUC!$L$8&lt;&gt;"Có",P4="Có")),"Có","Không"))</f>
        <v/>
      </c>
      <c r="R4" s="22">
        <f>IF($D4="","",IF(COUNTIF($D$2:$D4,$D4)&gt;1,"Trùng",""))</f>
        <v/>
      </c>
      <c r="S4" s="22">
        <f>IF($D4="","",IF(AND(LEN($D4)=10,LEFT($D4,1)="0",ISNUMBER(--$D4)),"Có","Không"))</f>
        <v/>
      </c>
      <c r="T4" s="22">
        <f>IF($D4="","",IF(AND($C4&lt;&gt;"",$Q4="Có",$R4="",$S4="Có",AND($L4&lt;&gt;"",OR($L4&lt;&gt;"Chưa xác định",DANH_MUC!$L$9="Có"))),"Có","Không"))</f>
        <v/>
      </c>
      <c r="U4" s="22">
        <f>IF(OR($D4="",$T4="Có"),"",IF($C4="","Thiếu họ tên; ","")&amp;IF($S4&lt;&gt;"Có","SĐT sai định dạng; ","")&amp;IF($R4="Trùng","Trùng SĐT; ","")&amp;IF($Q4&lt;&gt;"Có","Thiếu đồng ý bắt buộc; ","")&amp;IF($L4="","Thiếu/sai Mã REF; ",IF(AND($L4="Chưa xác định",DANH_MUC!$L$9&lt;&gt;"Có"),"Nguồn chưa xác định; ","")))</f>
        <v/>
      </c>
      <c r="V4" s="22">
        <f>IF(OR($D4="",$R4="Trùng"),"",IF(COUNTIF(ORDERS!$C$2:$C$4995,$D4)&gt;0,"Có","Không"))</f>
        <v/>
      </c>
      <c r="W4" s="22">
        <f>IF(OR($D4="",$R4="Trùng"),"",COUNTIFS(ORDERS!$C$2:$C$4995,$D4,ORDERS!$L$2:$L$4995,"Đã chuyển khoản"))</f>
        <v/>
      </c>
      <c r="X4" s="23">
        <f>IF(OR($D4="",$R4="Trùng"),"",SUMIFS(ORDERS!$J$2:$J$4995,ORDERS!$C$2:$C$4995,$D4,ORDERS!$L$2:$L$4995,"Đã chuyển khoản"))</f>
        <v/>
      </c>
      <c r="Y4" s="24" t="n"/>
    </row>
    <row r="5" ht="14.25" customHeight="1" s="40">
      <c r="A5" s="24" t="inlineStr">
        <is>
          <t>904a3428-7455-4fd8-a08f-ab3bcf722b40</t>
        </is>
      </c>
      <c r="B5" s="18" t="n">
        <v>46287.50277777778</v>
      </c>
      <c r="C5" s="24" t="inlineStr">
        <is>
          <t>Lê Thị Hoa</t>
        </is>
      </c>
      <c r="D5" s="28" t="inlineStr">
        <is>
          <t>0979103592</t>
        </is>
      </c>
      <c r="E5" s="29" t="n">
        <v>46028</v>
      </c>
      <c r="F5" s="24" t="inlineStr">
        <is>
          <t>Đã sinh</t>
        </is>
      </c>
      <c r="G5" s="24" t="inlineStr">
        <is>
          <t>Hồ Chí Minh</t>
        </is>
      </c>
      <c r="H5" s="21">
        <f>IF(ISNUMBER($B5),INT($B5)-WEEKDAY($B5,2)+1,"")</f>
        <v/>
      </c>
      <c r="I5" s="24" t="inlineStr">
        <is>
          <t>Z-00</t>
        </is>
      </c>
      <c r="J5" s="22">
        <f t="array" ref="J5">IF($D5="","",IF($I5="","(trống REF)",IFERROR(INDEX(MASTER_SOURCE!$B$2:$B$495,MATCH($I5,MASTER_SOURCE!$A$2:$A$495,0)),"(REF không có trong MASTER_SOURCE)")))</f>
        <v/>
      </c>
      <c r="K5" s="22">
        <f t="array" ref="K5">IF($D5="","",IFERROR(INDEX(MASTER_SOURCE!$C$2:$C$495,MATCH($I5,MASTER_SOURCE!$A$2:$A$495,0)),""))</f>
        <v/>
      </c>
      <c r="L5" s="22">
        <f t="array" ref="L5">IF($D5="","",IFERROR(INDEX(MASTER_SOURCE!$D$2:$D$495,MATCH($I5,MASTER_SOURCE!$A$2:$A$495,0)),""))</f>
        <v/>
      </c>
      <c r="M5" s="24" t="inlineStr">
        <is>
          <t>Có</t>
        </is>
      </c>
      <c r="N5" s="24" t="inlineStr">
        <is>
          <t>Có</t>
        </is>
      </c>
      <c r="O5" s="24" t="inlineStr">
        <is>
          <t>Có</t>
        </is>
      </c>
      <c r="P5" s="24" t="inlineStr">
        <is>
          <t>Có</t>
        </is>
      </c>
      <c r="Q5" s="22">
        <f>IF($D5="","",IF(AND(OR(DANH_MUC!$L$5&lt;&gt;"Có",M5="Có"),OR(DANH_MUC!$L$6&lt;&gt;"Có",N5="Có"),OR(DANH_MUC!$L$7&lt;&gt;"Có",O5="Có"),OR(DANH_MUC!$L$8&lt;&gt;"Có",P5="Có")),"Có","Không"))</f>
        <v/>
      </c>
      <c r="R5" s="22">
        <f>IF($D5="","",IF(COUNTIF($D$2:$D5,$D5)&gt;1,"Trùng",""))</f>
        <v/>
      </c>
      <c r="S5" s="22">
        <f>IF($D5="","",IF(AND(LEN($D5)=10,LEFT($D5,1)="0",ISNUMBER(--$D5)),"Có","Không"))</f>
        <v/>
      </c>
      <c r="T5" s="22">
        <f>IF($D5="","",IF(AND($C5&lt;&gt;"",$Q5="Có",$R5="",$S5="Có",AND($L5&lt;&gt;"",OR($L5&lt;&gt;"Chưa xác định",DANH_MUC!$L$9="Có"))),"Có","Không"))</f>
        <v/>
      </c>
      <c r="U5" s="22">
        <f>IF(OR($D5="",$T5="Có"),"",IF($C5="","Thiếu họ tên; ","")&amp;IF($S5&lt;&gt;"Có","SĐT sai định dạng; ","")&amp;IF($R5="Trùng","Trùng SĐT; ","")&amp;IF($Q5&lt;&gt;"Có","Thiếu đồng ý bắt buộc; ","")&amp;IF($L5="","Thiếu/sai Mã REF; ",IF(AND($L5="Chưa xác định",DANH_MUC!$L$9&lt;&gt;"Có"),"Nguồn chưa xác định; ","")))</f>
        <v/>
      </c>
      <c r="V5" s="22">
        <f>IF(OR($D5="",$R5="Trùng"),"",IF(COUNTIF(ORDERS!$C$2:$C$4995,$D5)&gt;0,"Có","Không"))</f>
        <v/>
      </c>
      <c r="W5" s="22">
        <f>IF(OR($D5="",$R5="Trùng"),"",COUNTIFS(ORDERS!$C$2:$C$4995,$D5,ORDERS!$L$2:$L$4995,"Đã chuyển khoản"))</f>
        <v/>
      </c>
      <c r="X5" s="23">
        <f>IF(OR($D5="",$R5="Trùng"),"",SUMIFS(ORDERS!$J$2:$J$4995,ORDERS!$C$2:$C$4995,$D5,ORDERS!$L$2:$L$4995,"Đã chuyển khoản"))</f>
        <v/>
      </c>
      <c r="Y5" s="24" t="n"/>
    </row>
    <row r="6" ht="14.25" customHeight="1" s="40">
      <c r="A6" s="24" t="inlineStr">
        <is>
          <t>08ce8ee5-79db-413c-9226-9d5a90f5091c</t>
        </is>
      </c>
      <c r="B6" s="18" t="n">
        <v>46287.50416666667</v>
      </c>
      <c r="C6" s="24" t="inlineStr">
        <is>
          <t>Bùi Thị Lan Anh</t>
        </is>
      </c>
      <c r="D6" s="28" t="inlineStr">
        <is>
          <t>0921247456</t>
        </is>
      </c>
      <c r="E6" s="29" t="n">
        <v>46268</v>
      </c>
      <c r="F6" s="24" t="inlineStr">
        <is>
          <t>Đã sinh</t>
        </is>
      </c>
      <c r="G6" s="24" t="inlineStr">
        <is>
          <t>Nghệ An</t>
        </is>
      </c>
      <c r="H6" s="21">
        <f>IF(ISNUMBER($B6),INT($B6)-WEEKDAY($B6,2)+1,"")</f>
        <v/>
      </c>
      <c r="I6" s="24" t="inlineStr">
        <is>
          <t>Z-00</t>
        </is>
      </c>
      <c r="J6" s="22">
        <f t="array" ref="J6">IF($D6="","",IF($I6="","(trống REF)",IFERROR(INDEX(MASTER_SOURCE!$B$2:$B$495,MATCH($I6,MASTER_SOURCE!$A$2:$A$495,0)),"(REF không có trong MASTER_SOURCE)")))</f>
        <v/>
      </c>
      <c r="K6" s="22">
        <f t="array" ref="K6">IF($D6="","",IFERROR(INDEX(MASTER_SOURCE!$C$2:$C$495,MATCH($I6,MASTER_SOURCE!$A$2:$A$495,0)),""))</f>
        <v/>
      </c>
      <c r="L6" s="22">
        <f t="array" ref="L6">IF($D6="","",IFERROR(INDEX(MASTER_SOURCE!$D$2:$D$495,MATCH($I6,MASTER_SOURCE!$A$2:$A$495,0)),""))</f>
        <v/>
      </c>
      <c r="M6" s="24" t="inlineStr">
        <is>
          <t>Có</t>
        </is>
      </c>
      <c r="N6" s="24" t="inlineStr">
        <is>
          <t>Có</t>
        </is>
      </c>
      <c r="O6" s="24" t="inlineStr">
        <is>
          <t>Có</t>
        </is>
      </c>
      <c r="P6" s="24" t="inlineStr">
        <is>
          <t>Có</t>
        </is>
      </c>
      <c r="Q6" s="22">
        <f>IF($D6="","",IF(AND(OR(DANH_MUC!$L$5&lt;&gt;"Có",M6="Có"),OR(DANH_MUC!$L$6&lt;&gt;"Có",N6="Có"),OR(DANH_MUC!$L$7&lt;&gt;"Có",O6="Có"),OR(DANH_MUC!$L$8&lt;&gt;"Có",P6="Có")),"Có","Không"))</f>
        <v/>
      </c>
      <c r="R6" s="22">
        <f>IF($D6="","",IF(COUNTIF($D$2:$D6,$D6)&gt;1,"Trùng",""))</f>
        <v/>
      </c>
      <c r="S6" s="22">
        <f>IF($D6="","",IF(AND(LEN($D6)=10,LEFT($D6,1)="0",ISNUMBER(--$D6)),"Có","Không"))</f>
        <v/>
      </c>
      <c r="T6" s="22">
        <f>IF($D6="","",IF(AND($C6&lt;&gt;"",$Q6="Có",$R6="",$S6="Có",AND($L6&lt;&gt;"",OR($L6&lt;&gt;"Chưa xác định",DANH_MUC!$L$9="Có"))),"Có","Không"))</f>
        <v/>
      </c>
      <c r="U6" s="22">
        <f>IF(OR($D6="",$T6="Có"),"",IF($C6="","Thiếu họ tên; ","")&amp;IF($S6&lt;&gt;"Có","SĐT sai định dạng; ","")&amp;IF($R6="Trùng","Trùng SĐT; ","")&amp;IF($Q6&lt;&gt;"Có","Thiếu đồng ý bắt buộc; ","")&amp;IF($L6="","Thiếu/sai Mã REF; ",IF(AND($L6="Chưa xác định",DANH_MUC!$L$9&lt;&gt;"Có"),"Nguồn chưa xác định; ","")))</f>
        <v/>
      </c>
      <c r="V6" s="22">
        <f>IF(OR($D6="",$R6="Trùng"),"",IF(COUNTIF(ORDERS!$C$2:$C$4995,$D6)&gt;0,"Có","Không"))</f>
        <v/>
      </c>
      <c r="W6" s="22">
        <f>IF(OR($D6="",$R6="Trùng"),"",COUNTIFS(ORDERS!$C$2:$C$4995,$D6,ORDERS!$L$2:$L$4995,"Đã chuyển khoản"))</f>
        <v/>
      </c>
      <c r="X6" s="23">
        <f>IF(OR($D6="",$R6="Trùng"),"",SUMIFS(ORDERS!$J$2:$J$4995,ORDERS!$C$2:$C$4995,$D6,ORDERS!$L$2:$L$4995,"Đã chuyển khoản"))</f>
        <v/>
      </c>
      <c r="Y6" s="24" t="n"/>
    </row>
    <row r="7" ht="14.25" customHeight="1" s="40">
      <c r="A7" s="24" t="inlineStr">
        <is>
          <t>559520a4-df2e-4c80-91ca-8d624e0aa2f5</t>
        </is>
      </c>
      <c r="B7" s="18" t="n">
        <v>46287.50555555556</v>
      </c>
      <c r="C7" s="24" t="inlineStr">
        <is>
          <t>Nguyễn Thị Phương Dung</t>
        </is>
      </c>
      <c r="D7" s="28" t="inlineStr">
        <is>
          <t>0342794617</t>
        </is>
      </c>
      <c r="E7" s="29" t="n">
        <v>46083</v>
      </c>
      <c r="F7" s="24" t="inlineStr">
        <is>
          <t>Đã sinh</t>
        </is>
      </c>
      <c r="G7" s="24" t="inlineStr">
        <is>
          <t>Đồng Nai</t>
        </is>
      </c>
      <c r="H7" s="21">
        <f>IF(ISNUMBER($B7),INT($B7)-WEEKDAY($B7,2)+1,"")</f>
        <v/>
      </c>
      <c r="I7" s="24" t="inlineStr">
        <is>
          <t>Z-00</t>
        </is>
      </c>
      <c r="J7" s="22">
        <f t="array" ref="J7">IF($D7="","",IF($I7="","(trống REF)",IFERROR(INDEX(MASTER_SOURCE!$B$2:$B$495,MATCH($I7,MASTER_SOURCE!$A$2:$A$495,0)),"(REF không có trong MASTER_SOURCE)")))</f>
        <v/>
      </c>
      <c r="K7" s="22">
        <f t="array" ref="K7">IF($D7="","",IFERROR(INDEX(MASTER_SOURCE!$C$2:$C$495,MATCH($I7,MASTER_SOURCE!$A$2:$A$495,0)),""))</f>
        <v/>
      </c>
      <c r="L7" s="22">
        <f t="array" ref="L7">IF($D7="","",IFERROR(INDEX(MASTER_SOURCE!$D$2:$D$495,MATCH($I7,MASTER_SOURCE!$A$2:$A$495,0)),""))</f>
        <v/>
      </c>
      <c r="M7" s="24" t="inlineStr">
        <is>
          <t>Có</t>
        </is>
      </c>
      <c r="N7" s="24" t="inlineStr">
        <is>
          <t>Có</t>
        </is>
      </c>
      <c r="O7" s="24" t="inlineStr">
        <is>
          <t>Có</t>
        </is>
      </c>
      <c r="P7" s="24" t="inlineStr">
        <is>
          <t>Có</t>
        </is>
      </c>
      <c r="Q7" s="22">
        <f>IF($D7="","",IF(AND(OR(DANH_MUC!$L$5&lt;&gt;"Có",M7="Có"),OR(DANH_MUC!$L$6&lt;&gt;"Có",N7="Có"),OR(DANH_MUC!$L$7&lt;&gt;"Có",O7="Có"),OR(DANH_MUC!$L$8&lt;&gt;"Có",P7="Có")),"Có","Không"))</f>
        <v/>
      </c>
      <c r="R7" s="22">
        <f>IF($D7="","",IF(COUNTIF($D$2:$D7,$D7)&gt;1,"Trùng",""))</f>
        <v/>
      </c>
      <c r="S7" s="22">
        <f>IF($D7="","",IF(AND(LEN($D7)=10,LEFT($D7,1)="0",ISNUMBER(--$D7)),"Có","Không"))</f>
        <v/>
      </c>
      <c r="T7" s="22">
        <f>IF($D7="","",IF(AND($C7&lt;&gt;"",$Q7="Có",$R7="",$S7="Có",AND($L7&lt;&gt;"",OR($L7&lt;&gt;"Chưa xác định",DANH_MUC!$L$9="Có"))),"Có","Không"))</f>
        <v/>
      </c>
      <c r="U7" s="22">
        <f>IF(OR($D7="",$T7="Có"),"",IF($C7="","Thiếu họ tên; ","")&amp;IF($S7&lt;&gt;"Có","SĐT sai định dạng; ","")&amp;IF($R7="Trùng","Trùng SĐT; ","")&amp;IF($Q7&lt;&gt;"Có","Thiếu đồng ý bắt buộc; ","")&amp;IF($L7="","Thiếu/sai Mã REF; ",IF(AND($L7="Chưa xác định",DANH_MUC!$L$9&lt;&gt;"Có"),"Nguồn chưa xác định; ","")))</f>
        <v/>
      </c>
      <c r="V7" s="22">
        <f>IF(OR($D7="",$R7="Trùng"),"",IF(COUNTIF(ORDERS!$C$2:$C$4995,$D7)&gt;0,"Có","Không"))</f>
        <v/>
      </c>
      <c r="W7" s="22">
        <f>IF(OR($D7="",$R7="Trùng"),"",COUNTIFS(ORDERS!$C$2:$C$4995,$D7,ORDERS!$L$2:$L$4995,"Đã chuyển khoản"))</f>
        <v/>
      </c>
      <c r="X7" s="23">
        <f>IF(OR($D7="",$R7="Trùng"),"",SUMIFS(ORDERS!$J$2:$J$4995,ORDERS!$C$2:$C$4995,$D7,ORDERS!$L$2:$L$4995,"Đã chuyển khoản"))</f>
        <v/>
      </c>
      <c r="Y7" s="24" t="n"/>
    </row>
    <row r="8" ht="14.25" customHeight="1" s="40">
      <c r="A8" s="24" t="inlineStr">
        <is>
          <t>335e0615-3f89-4566-ac57-a204ad892801</t>
        </is>
      </c>
      <c r="B8" s="18" t="n">
        <v>46287.50972222222</v>
      </c>
      <c r="C8" s="24" t="inlineStr">
        <is>
          <t>Hà Thị Thu Phương</t>
        </is>
      </c>
      <c r="D8" s="28" t="inlineStr">
        <is>
          <t>0393345239</t>
        </is>
      </c>
      <c r="E8" s="29" t="n">
        <v>46153</v>
      </c>
      <c r="F8" s="24" t="inlineStr">
        <is>
          <t>Đã sinh</t>
        </is>
      </c>
      <c r="G8" s="24" t="inlineStr">
        <is>
          <t>Hồ Chí Minh</t>
        </is>
      </c>
      <c r="H8" s="21">
        <f>IF(ISNUMBER($B8),INT($B8)-WEEKDAY($B8,2)+1,"")</f>
        <v/>
      </c>
      <c r="I8" s="24" t="inlineStr">
        <is>
          <t>Z-00</t>
        </is>
      </c>
      <c r="J8" s="22">
        <f t="array" ref="J8">IF($D8="","",IF($I8="","(trống REF)",IFERROR(INDEX(MASTER_SOURCE!$B$2:$B$495,MATCH($I8,MASTER_SOURCE!$A$2:$A$495,0)),"(REF không có trong MASTER_SOURCE)")))</f>
        <v/>
      </c>
      <c r="K8" s="22">
        <f t="array" ref="K8">IF($D8="","",IFERROR(INDEX(MASTER_SOURCE!$C$2:$C$495,MATCH($I8,MASTER_SOURCE!$A$2:$A$495,0)),""))</f>
        <v/>
      </c>
      <c r="L8" s="22">
        <f t="array" ref="L8">IF($D8="","",IFERROR(INDEX(MASTER_SOURCE!$D$2:$D$495,MATCH($I8,MASTER_SOURCE!$A$2:$A$495,0)),""))</f>
        <v/>
      </c>
      <c r="M8" s="24" t="inlineStr">
        <is>
          <t>Có</t>
        </is>
      </c>
      <c r="N8" s="24" t="inlineStr">
        <is>
          <t>Có</t>
        </is>
      </c>
      <c r="O8" s="24" t="inlineStr">
        <is>
          <t>Có</t>
        </is>
      </c>
      <c r="P8" s="24" t="inlineStr">
        <is>
          <t>Có</t>
        </is>
      </c>
      <c r="Q8" s="22">
        <f>IF($D8="","",IF(AND(OR(DANH_MUC!$L$5&lt;&gt;"Có",M8="Có"),OR(DANH_MUC!$L$6&lt;&gt;"Có",N8="Có"),OR(DANH_MUC!$L$7&lt;&gt;"Có",O8="Có"),OR(DANH_MUC!$L$8&lt;&gt;"Có",P8="Có")),"Có","Không"))</f>
        <v/>
      </c>
      <c r="R8" s="22">
        <f>IF($D8="","",IF(COUNTIF($D$2:$D8,$D8)&gt;1,"Trùng",""))</f>
        <v/>
      </c>
      <c r="S8" s="22">
        <f>IF($D8="","",IF(AND(LEN($D8)=10,LEFT($D8,1)="0",ISNUMBER(--$D8)),"Có","Không"))</f>
        <v/>
      </c>
      <c r="T8" s="22">
        <f>IF($D8="","",IF(AND($C8&lt;&gt;"",$Q8="Có",$R8="",$S8="Có",AND($L8&lt;&gt;"",OR($L8&lt;&gt;"Chưa xác định",DANH_MUC!$L$9="Có"))),"Có","Không"))</f>
        <v/>
      </c>
      <c r="U8" s="22">
        <f>IF(OR($D8="",$T8="Có"),"",IF($C8="","Thiếu họ tên; ","")&amp;IF($S8&lt;&gt;"Có","SĐT sai định dạng; ","")&amp;IF($R8="Trùng","Trùng SĐT; ","")&amp;IF($Q8&lt;&gt;"Có","Thiếu đồng ý bắt buộc; ","")&amp;IF($L8="","Thiếu/sai Mã REF; ",IF(AND($L8="Chưa xác định",DANH_MUC!$L$9&lt;&gt;"Có"),"Nguồn chưa xác định; ","")))</f>
        <v/>
      </c>
      <c r="V8" s="22">
        <f>IF(OR($D8="",$R8="Trùng"),"",IF(COUNTIF(ORDERS!$C$2:$C$4995,$D8)&gt;0,"Có","Không"))</f>
        <v/>
      </c>
      <c r="W8" s="22">
        <f>IF(OR($D8="",$R8="Trùng"),"",COUNTIFS(ORDERS!$C$2:$C$4995,$D8,ORDERS!$L$2:$L$4995,"Đã chuyển khoản"))</f>
        <v/>
      </c>
      <c r="X8" s="23">
        <f>IF(OR($D8="",$R8="Trùng"),"",SUMIFS(ORDERS!$J$2:$J$4995,ORDERS!$C$2:$C$4995,$D8,ORDERS!$L$2:$L$4995,"Đã chuyển khoản"))</f>
        <v/>
      </c>
      <c r="Y8" s="24" t="n"/>
    </row>
    <row r="9" ht="14.25" customHeight="1" s="40">
      <c r="A9" s="24" t="inlineStr">
        <is>
          <t>840f0fea-7095-4fc2-9875-d459e1a162b3</t>
        </is>
      </c>
      <c r="B9" s="18" t="n">
        <v>46287.56875</v>
      </c>
      <c r="C9" s="24" t="inlineStr">
        <is>
          <t>Minh Anh</t>
        </is>
      </c>
      <c r="D9" s="28" t="inlineStr">
        <is>
          <t>0984748123</t>
        </is>
      </c>
      <c r="E9" s="29" t="n">
        <v>46199</v>
      </c>
      <c r="F9" s="24" t="inlineStr">
        <is>
          <t>Đã sinh</t>
        </is>
      </c>
      <c r="G9" s="24" t="inlineStr">
        <is>
          <t>Đồng Nai</t>
        </is>
      </c>
      <c r="H9" s="21">
        <f>IF(ISNUMBER($B9),INT($B9)-WEEKDAY($B9,2)+1,"")</f>
        <v/>
      </c>
      <c r="I9" s="24" t="inlineStr">
        <is>
          <t>Z-00</t>
        </is>
      </c>
      <c r="J9" s="22">
        <f t="array" ref="J9">IF($D9="","",IF($I9="","(trống REF)",IFERROR(INDEX(MASTER_SOURCE!$B$2:$B$495,MATCH($I9,MASTER_SOURCE!$A$2:$A$495,0)),"(REF không có trong MASTER_SOURCE)")))</f>
        <v/>
      </c>
      <c r="K9" s="22">
        <f t="array" ref="K9">IF($D9="","",IFERROR(INDEX(MASTER_SOURCE!$C$2:$C$495,MATCH($I9,MASTER_SOURCE!$A$2:$A$495,0)),""))</f>
        <v/>
      </c>
      <c r="L9" s="22">
        <f t="array" ref="L9">IF($D9="","",IFERROR(INDEX(MASTER_SOURCE!$D$2:$D$495,MATCH($I9,MASTER_SOURCE!$A$2:$A$495,0)),""))</f>
        <v/>
      </c>
      <c r="M9" s="24" t="inlineStr">
        <is>
          <t>Có</t>
        </is>
      </c>
      <c r="N9" s="24" t="inlineStr">
        <is>
          <t>Có</t>
        </is>
      </c>
      <c r="O9" s="24" t="inlineStr">
        <is>
          <t>Có</t>
        </is>
      </c>
      <c r="P9" s="24" t="inlineStr">
        <is>
          <t>Có</t>
        </is>
      </c>
      <c r="Q9" s="22">
        <f>IF($D9="","",IF(AND(OR(DANH_MUC!$L$5&lt;&gt;"Có",M9="Có"),OR(DANH_MUC!$L$6&lt;&gt;"Có",N9="Có"),OR(DANH_MUC!$L$7&lt;&gt;"Có",O9="Có"),OR(DANH_MUC!$L$8&lt;&gt;"Có",P9="Có")),"Có","Không"))</f>
        <v/>
      </c>
      <c r="R9" s="22">
        <f>IF($D9="","",IF(COUNTIF($D$2:$D9,$D9)&gt;1,"Trùng",""))</f>
        <v/>
      </c>
      <c r="S9" s="22">
        <f>IF($D9="","",IF(AND(LEN($D9)=10,LEFT($D9,1)="0",ISNUMBER(--$D9)),"Có","Không"))</f>
        <v/>
      </c>
      <c r="T9" s="22">
        <f>IF($D9="","",IF(AND($C9&lt;&gt;"",$Q9="Có",$R9="",$S9="Có",AND($L9&lt;&gt;"",OR($L9&lt;&gt;"Chưa xác định",DANH_MUC!$L$9="Có"))),"Có","Không"))</f>
        <v/>
      </c>
      <c r="U9" s="22">
        <f>IF(OR($D9="",$T9="Có"),"",IF($C9="","Thiếu họ tên; ","")&amp;IF($S9&lt;&gt;"Có","SĐT sai định dạng; ","")&amp;IF($R9="Trùng","Trùng SĐT; ","")&amp;IF($Q9&lt;&gt;"Có","Thiếu đồng ý bắt buộc; ","")&amp;IF($L9="","Thiếu/sai Mã REF; ",IF(AND($L9="Chưa xác định",DANH_MUC!$L$9&lt;&gt;"Có"),"Nguồn chưa xác định; ","")))</f>
        <v/>
      </c>
      <c r="V9" s="22">
        <f>IF(OR($D9="",$R9="Trùng"),"",IF(COUNTIF(ORDERS!$C$2:$C$4995,$D9)&gt;0,"Có","Không"))</f>
        <v/>
      </c>
      <c r="W9" s="22">
        <f>IF(OR($D9="",$R9="Trùng"),"",COUNTIFS(ORDERS!$C$2:$C$4995,$D9,ORDERS!$L$2:$L$4995,"Đã chuyển khoản"))</f>
        <v/>
      </c>
      <c r="X9" s="23">
        <f>IF(OR($D9="",$R9="Trùng"),"",SUMIFS(ORDERS!$J$2:$J$4995,ORDERS!$C$2:$C$4995,$D9,ORDERS!$L$2:$L$4995,"Đã chuyển khoản"))</f>
        <v/>
      </c>
      <c r="Y9" s="24" t="n"/>
    </row>
    <row r="10" ht="14.25" customHeight="1" s="40">
      <c r="A10" s="24" t="inlineStr">
        <is>
          <t>261a8789-c269-441e-b75f-3d40478618de</t>
        </is>
      </c>
      <c r="B10" s="18" t="n">
        <v>46287.58125</v>
      </c>
      <c r="C10" s="24" t="inlineStr">
        <is>
          <t>Nguyễn Thảo</t>
        </is>
      </c>
      <c r="D10" s="28" t="inlineStr">
        <is>
          <t>0936028702</t>
        </is>
      </c>
      <c r="E10" s="29" t="n">
        <v>46297</v>
      </c>
      <c r="F10" s="24" t="inlineStr">
        <is>
          <t>Đang mang thai</t>
        </is>
      </c>
      <c r="G10" s="24" t="inlineStr">
        <is>
          <t>Hồ Chí Minh</t>
        </is>
      </c>
      <c r="H10" s="21">
        <f>IF(ISNUMBER($B10),INT($B10)-WEEKDAY($B10,2)+1,"")</f>
        <v/>
      </c>
      <c r="I10" s="24" t="inlineStr">
        <is>
          <t>Z-00</t>
        </is>
      </c>
      <c r="J10" s="22">
        <f t="array" ref="J10">IF($D10="","",IF($I10="","(trống REF)",IFERROR(INDEX(MASTER_SOURCE!$B$2:$B$495,MATCH($I10,MASTER_SOURCE!$A$2:$A$495,0)),"(REF không có trong MASTER_SOURCE)")))</f>
        <v/>
      </c>
      <c r="K10" s="22">
        <f t="array" ref="K10">IF($D10="","",IFERROR(INDEX(MASTER_SOURCE!$C$2:$C$495,MATCH($I10,MASTER_SOURCE!$A$2:$A$495,0)),""))</f>
        <v/>
      </c>
      <c r="L10" s="22">
        <f t="array" ref="L10">IF($D10="","",IFERROR(INDEX(MASTER_SOURCE!$D$2:$D$495,MATCH($I10,MASTER_SOURCE!$A$2:$A$495,0)),""))</f>
        <v/>
      </c>
      <c r="M10" s="24" t="inlineStr">
        <is>
          <t>Có</t>
        </is>
      </c>
      <c r="N10" s="24" t="inlineStr">
        <is>
          <t>Có</t>
        </is>
      </c>
      <c r="O10" s="24" t="inlineStr">
        <is>
          <t>Có</t>
        </is>
      </c>
      <c r="P10" s="24" t="inlineStr">
        <is>
          <t>Có</t>
        </is>
      </c>
      <c r="Q10" s="22">
        <f>IF($D10="","",IF(AND(OR(DANH_MUC!$L$5&lt;&gt;"Có",M10="Có"),OR(DANH_MUC!$L$6&lt;&gt;"Có",N10="Có"),OR(DANH_MUC!$L$7&lt;&gt;"Có",O10="Có"),OR(DANH_MUC!$L$8&lt;&gt;"Có",P10="Có")),"Có","Không"))</f>
        <v/>
      </c>
      <c r="R10" s="22">
        <f>IF($D10="","",IF(COUNTIF($D$2:$D10,$D10)&gt;1,"Trùng",""))</f>
        <v/>
      </c>
      <c r="S10" s="22">
        <f>IF($D10="","",IF(AND(LEN($D10)=10,LEFT($D10,1)="0",ISNUMBER(--$D10)),"Có","Không"))</f>
        <v/>
      </c>
      <c r="T10" s="22">
        <f>IF($D10="","",IF(AND($C10&lt;&gt;"",$Q10="Có",$R10="",$S10="Có",AND($L10&lt;&gt;"",OR($L10&lt;&gt;"Chưa xác định",DANH_MUC!$L$9="Có"))),"Có","Không"))</f>
        <v/>
      </c>
      <c r="U10" s="22">
        <f>IF(OR($D10="",$T10="Có"),"",IF($C10="","Thiếu họ tên; ","")&amp;IF($S10&lt;&gt;"Có","SĐT sai định dạng; ","")&amp;IF($R10="Trùng","Trùng SĐT; ","")&amp;IF($Q10&lt;&gt;"Có","Thiếu đồng ý bắt buộc; ","")&amp;IF($L10="","Thiếu/sai Mã REF; ",IF(AND($L10="Chưa xác định",DANH_MUC!$L$9&lt;&gt;"Có"),"Nguồn chưa xác định; ","")))</f>
        <v/>
      </c>
      <c r="V10" s="22">
        <f>IF(OR($D10="",$R10="Trùng"),"",IF(COUNTIF(ORDERS!$C$2:$C$4995,$D10)&gt;0,"Có","Không"))</f>
        <v/>
      </c>
      <c r="W10" s="22">
        <f>IF(OR($D10="",$R10="Trùng"),"",COUNTIFS(ORDERS!$C$2:$C$4995,$D10,ORDERS!$L$2:$L$4995,"Đã chuyển khoản"))</f>
        <v/>
      </c>
      <c r="X10" s="23">
        <f>IF(OR($D10="",$R10="Trùng"),"",SUMIFS(ORDERS!$J$2:$J$4995,ORDERS!$C$2:$C$4995,$D10,ORDERS!$L$2:$L$4995,"Đã chuyển khoản"))</f>
        <v/>
      </c>
      <c r="Y10" s="24" t="n"/>
    </row>
    <row r="11" ht="14.25" customHeight="1" s="40">
      <c r="A11" s="24" t="inlineStr">
        <is>
          <t>34f9340d-e395-403a-9a63-de2c771f56b1</t>
        </is>
      </c>
      <c r="B11" s="18" t="n">
        <v>46287.59027777778</v>
      </c>
      <c r="C11" s="24" t="inlineStr">
        <is>
          <t>Nguyễn Thị Việt</t>
        </is>
      </c>
      <c r="D11" s="28" t="inlineStr">
        <is>
          <t>0368435969</t>
        </is>
      </c>
      <c r="E11" s="29" t="n">
        <v>46315</v>
      </c>
      <c r="F11" s="24" t="inlineStr">
        <is>
          <t>Đang mang thai</t>
        </is>
      </c>
      <c r="G11" s="24" t="inlineStr">
        <is>
          <t>Hồ Chí Minh</t>
        </is>
      </c>
      <c r="H11" s="21">
        <f>IF(ISNUMBER($B11),INT($B11)-WEEKDAY($B11,2)+1,"")</f>
        <v/>
      </c>
      <c r="I11" s="24" t="inlineStr">
        <is>
          <t>Z-00</t>
        </is>
      </c>
      <c r="J11" s="22">
        <f t="array" ref="J11">IF($D11="","",IF($I11="","(trống REF)",IFERROR(INDEX(MASTER_SOURCE!$B$2:$B$495,MATCH($I11,MASTER_SOURCE!$A$2:$A$495,0)),"(REF không có trong MASTER_SOURCE)")))</f>
        <v/>
      </c>
      <c r="K11" s="22">
        <f t="array" ref="K11">IF($D11="","",IFERROR(INDEX(MASTER_SOURCE!$C$2:$C$495,MATCH($I11,MASTER_SOURCE!$A$2:$A$495,0)),""))</f>
        <v/>
      </c>
      <c r="L11" s="22">
        <f t="array" ref="L11">IF($D11="","",IFERROR(INDEX(MASTER_SOURCE!$D$2:$D$495,MATCH($I11,MASTER_SOURCE!$A$2:$A$495,0)),""))</f>
        <v/>
      </c>
      <c r="M11" s="24" t="inlineStr">
        <is>
          <t>Có</t>
        </is>
      </c>
      <c r="N11" s="24" t="inlineStr">
        <is>
          <t>Có</t>
        </is>
      </c>
      <c r="O11" s="24" t="inlineStr">
        <is>
          <t>Có</t>
        </is>
      </c>
      <c r="P11" s="24" t="inlineStr">
        <is>
          <t>Có</t>
        </is>
      </c>
      <c r="Q11" s="22">
        <f>IF($D11="","",IF(AND(OR(DANH_MUC!$L$5&lt;&gt;"Có",M11="Có"),OR(DANH_MUC!$L$6&lt;&gt;"Có",N11="Có"),OR(DANH_MUC!$L$7&lt;&gt;"Có",O11="Có"),OR(DANH_MUC!$L$8&lt;&gt;"Có",P11="Có")),"Có","Không"))</f>
        <v/>
      </c>
      <c r="R11" s="22">
        <f>IF($D11="","",IF(COUNTIF($D$2:$D11,$D11)&gt;1,"Trùng",""))</f>
        <v/>
      </c>
      <c r="S11" s="22">
        <f>IF($D11="","",IF(AND(LEN($D11)=10,LEFT($D11,1)="0",ISNUMBER(--$D11)),"Có","Không"))</f>
        <v/>
      </c>
      <c r="T11" s="22">
        <f>IF($D11="","",IF(AND($C11&lt;&gt;"",$Q11="Có",$R11="",$S11="Có",AND($L11&lt;&gt;"",OR($L11&lt;&gt;"Chưa xác định",DANH_MUC!$L$9="Có"))),"Có","Không"))</f>
        <v/>
      </c>
      <c r="U11" s="22">
        <f>IF(OR($D11="",$T11="Có"),"",IF($C11="","Thiếu họ tên; ","")&amp;IF($S11&lt;&gt;"Có","SĐT sai định dạng; ","")&amp;IF($R11="Trùng","Trùng SĐT; ","")&amp;IF($Q11&lt;&gt;"Có","Thiếu đồng ý bắt buộc; ","")&amp;IF($L11="","Thiếu/sai Mã REF; ",IF(AND($L11="Chưa xác định",DANH_MUC!$L$9&lt;&gt;"Có"),"Nguồn chưa xác định; ","")))</f>
        <v/>
      </c>
      <c r="V11" s="22">
        <f>IF(OR($D11="",$R11="Trùng"),"",IF(COUNTIF(ORDERS!$C$2:$C$4995,$D11)&gt;0,"Có","Không"))</f>
        <v/>
      </c>
      <c r="W11" s="22">
        <f>IF(OR($D11="",$R11="Trùng"),"",COUNTIFS(ORDERS!$C$2:$C$4995,$D11,ORDERS!$L$2:$L$4995,"Đã chuyển khoản"))</f>
        <v/>
      </c>
      <c r="X11" s="23">
        <f>IF(OR($D11="",$R11="Trùng"),"",SUMIFS(ORDERS!$J$2:$J$4995,ORDERS!$C$2:$C$4995,$D11,ORDERS!$L$2:$L$4995,"Đã chuyển khoản"))</f>
        <v/>
      </c>
      <c r="Y11" s="24" t="n"/>
    </row>
    <row r="12" ht="14.25" customHeight="1" s="40">
      <c r="A12" s="24" t="inlineStr">
        <is>
          <t>5d402db6-b4c4-4c3f-b55d-88cf574a2a2f</t>
        </is>
      </c>
      <c r="B12" s="18" t="n">
        <v>46287.63125</v>
      </c>
      <c r="C12" s="24" t="inlineStr">
        <is>
          <t>Cao Nguyễn Anh Thư</t>
        </is>
      </c>
      <c r="D12" s="28" t="inlineStr">
        <is>
          <t>0964079475</t>
        </is>
      </c>
      <c r="E12" s="29" t="n">
        <v>46335</v>
      </c>
      <c r="F12" s="24" t="inlineStr">
        <is>
          <t>Đang mang thai</t>
        </is>
      </c>
      <c r="G12" s="24" t="inlineStr">
        <is>
          <t>Hồ Chí Minh</t>
        </is>
      </c>
      <c r="H12" s="21">
        <f>IF(ISNUMBER($B12),INT($B12)-WEEKDAY($B12,2)+1,"")</f>
        <v/>
      </c>
      <c r="I12" s="24" t="inlineStr">
        <is>
          <t>Z-00</t>
        </is>
      </c>
      <c r="J12" s="22">
        <f t="array" ref="J12">IF($D12="","",IF($I12="","(trống REF)",IFERROR(INDEX(MASTER_SOURCE!$B$2:$B$495,MATCH($I12,MASTER_SOURCE!$A$2:$A$495,0)),"(REF không có trong MASTER_SOURCE)")))</f>
        <v/>
      </c>
      <c r="K12" s="22">
        <f t="array" ref="K12">IF($D12="","",IFERROR(INDEX(MASTER_SOURCE!$C$2:$C$495,MATCH($I12,MASTER_SOURCE!$A$2:$A$495,0)),""))</f>
        <v/>
      </c>
      <c r="L12" s="22">
        <f t="array" ref="L12">IF($D12="","",IFERROR(INDEX(MASTER_SOURCE!$D$2:$D$495,MATCH($I12,MASTER_SOURCE!$A$2:$A$495,0)),""))</f>
        <v/>
      </c>
      <c r="M12" s="24" t="inlineStr">
        <is>
          <t>Có</t>
        </is>
      </c>
      <c r="N12" s="24" t="inlineStr">
        <is>
          <t>Có</t>
        </is>
      </c>
      <c r="O12" s="24" t="inlineStr">
        <is>
          <t>Có</t>
        </is>
      </c>
      <c r="P12" s="24" t="inlineStr">
        <is>
          <t>Có</t>
        </is>
      </c>
      <c r="Q12" s="22">
        <f>IF($D12="","",IF(AND(OR(DANH_MUC!$L$5&lt;&gt;"Có",M12="Có"),OR(DANH_MUC!$L$6&lt;&gt;"Có",N12="Có"),OR(DANH_MUC!$L$7&lt;&gt;"Có",O12="Có"),OR(DANH_MUC!$L$8&lt;&gt;"Có",P12="Có")),"Có","Không"))</f>
        <v/>
      </c>
      <c r="R12" s="22">
        <f>IF($D12="","",IF(COUNTIF($D$2:$D12,$D12)&gt;1,"Trùng",""))</f>
        <v/>
      </c>
      <c r="S12" s="22">
        <f>IF($D12="","",IF(AND(LEN($D12)=10,LEFT($D12,1)="0",ISNUMBER(--$D12)),"Có","Không"))</f>
        <v/>
      </c>
      <c r="T12" s="22">
        <f>IF($D12="","",IF(AND($C12&lt;&gt;"",$Q12="Có",$R12="",$S12="Có",AND($L12&lt;&gt;"",OR($L12&lt;&gt;"Chưa xác định",DANH_MUC!$L$9="Có"))),"Có","Không"))</f>
        <v/>
      </c>
      <c r="U12" s="22">
        <f>IF(OR($D12="",$T12="Có"),"",IF($C12="","Thiếu họ tên; ","")&amp;IF($S12&lt;&gt;"Có","SĐT sai định dạng; ","")&amp;IF($R12="Trùng","Trùng SĐT; ","")&amp;IF($Q12&lt;&gt;"Có","Thiếu đồng ý bắt buộc; ","")&amp;IF($L12="","Thiếu/sai Mã REF; ",IF(AND($L12="Chưa xác định",DANH_MUC!$L$9&lt;&gt;"Có"),"Nguồn chưa xác định; ","")))</f>
        <v/>
      </c>
      <c r="V12" s="22">
        <f>IF(OR($D12="",$R12="Trùng"),"",IF(COUNTIF(ORDERS!$C$2:$C$4995,$D12)&gt;0,"Có","Không"))</f>
        <v/>
      </c>
      <c r="W12" s="22">
        <f>IF(OR($D12="",$R12="Trùng"),"",COUNTIFS(ORDERS!$C$2:$C$4995,$D12,ORDERS!$L$2:$L$4995,"Đã chuyển khoản"))</f>
        <v/>
      </c>
      <c r="X12" s="23">
        <f>IF(OR($D12="",$R12="Trùng"),"",SUMIFS(ORDERS!$J$2:$J$4995,ORDERS!$C$2:$C$4995,$D12,ORDERS!$L$2:$L$4995,"Đã chuyển khoản"))</f>
        <v/>
      </c>
      <c r="Y12" s="24" t="n"/>
    </row>
    <row r="13" ht="14.25" customHeight="1" s="40">
      <c r="A13" s="24" t="inlineStr">
        <is>
          <t>cba10242-654c-422a-bf30-a5239b495974</t>
        </is>
      </c>
      <c r="B13" s="18" t="n">
        <v>46287.63958333333</v>
      </c>
      <c r="C13" s="24" t="inlineStr">
        <is>
          <t>Đào Ngọc</t>
        </is>
      </c>
      <c r="D13" s="28" t="inlineStr">
        <is>
          <t>0933951993</t>
        </is>
      </c>
      <c r="E13" s="29" t="n">
        <v>46349</v>
      </c>
      <c r="F13" s="24" t="inlineStr">
        <is>
          <t>Đang mang thai</t>
        </is>
      </c>
      <c r="G13" s="24" t="inlineStr">
        <is>
          <t>Hồ Chí Minh</t>
        </is>
      </c>
      <c r="H13" s="21">
        <f>IF(ISNUMBER($B13),INT($B13)-WEEKDAY($B13,2)+1,"")</f>
        <v/>
      </c>
      <c r="I13" s="24" t="inlineStr">
        <is>
          <t>Z-00</t>
        </is>
      </c>
      <c r="J13" s="22">
        <f t="array" ref="J13">IF($D13="","",IF($I13="","(trống REF)",IFERROR(INDEX(MASTER_SOURCE!$B$2:$B$495,MATCH($I13,MASTER_SOURCE!$A$2:$A$495,0)),"(REF không có trong MASTER_SOURCE)")))</f>
        <v/>
      </c>
      <c r="K13" s="22">
        <f t="array" ref="K13">IF($D13="","",IFERROR(INDEX(MASTER_SOURCE!$C$2:$C$495,MATCH($I13,MASTER_SOURCE!$A$2:$A$495,0)),""))</f>
        <v/>
      </c>
      <c r="L13" s="22">
        <f t="array" ref="L13">IF($D13="","",IFERROR(INDEX(MASTER_SOURCE!$D$2:$D$495,MATCH($I13,MASTER_SOURCE!$A$2:$A$495,0)),""))</f>
        <v/>
      </c>
      <c r="M13" s="24" t="inlineStr">
        <is>
          <t>Có</t>
        </is>
      </c>
      <c r="N13" s="24" t="inlineStr">
        <is>
          <t>Không</t>
        </is>
      </c>
      <c r="O13" s="24" t="inlineStr">
        <is>
          <t>Có</t>
        </is>
      </c>
      <c r="P13" s="24" t="inlineStr">
        <is>
          <t>Không</t>
        </is>
      </c>
      <c r="Q13" s="22">
        <f>IF($D13="","",IF(AND(OR(DANH_MUC!$L$5&lt;&gt;"Có",M13="Có"),OR(DANH_MUC!$L$6&lt;&gt;"Có",N13="Có"),OR(DANH_MUC!$L$7&lt;&gt;"Có",O13="Có"),OR(DANH_MUC!$L$8&lt;&gt;"Có",P13="Có")),"Có","Không"))</f>
        <v/>
      </c>
      <c r="R13" s="22">
        <f>IF($D13="","",IF(COUNTIF($D$2:$D13,$D13)&gt;1,"Trùng",""))</f>
        <v/>
      </c>
      <c r="S13" s="22">
        <f>IF($D13="","",IF(AND(LEN($D13)=10,LEFT($D13,1)="0",ISNUMBER(--$D13)),"Có","Không"))</f>
        <v/>
      </c>
      <c r="T13" s="22">
        <f>IF($D13="","",IF(AND($C13&lt;&gt;"",$Q13="Có",$R13="",$S13="Có",AND($L13&lt;&gt;"",OR($L13&lt;&gt;"Chưa xác định",DANH_MUC!$L$9="Có"))),"Có","Không"))</f>
        <v/>
      </c>
      <c r="U13" s="22">
        <f>IF(OR($D13="",$T13="Có"),"",IF($C13="","Thiếu họ tên; ","")&amp;IF($S13&lt;&gt;"Có","SĐT sai định dạng; ","")&amp;IF($R13="Trùng","Trùng SĐT; ","")&amp;IF($Q13&lt;&gt;"Có","Thiếu đồng ý bắt buộc; ","")&amp;IF($L13="","Thiếu/sai Mã REF; ",IF(AND($L13="Chưa xác định",DANH_MUC!$L$9&lt;&gt;"Có"),"Nguồn chưa xác định; ","")))</f>
        <v/>
      </c>
      <c r="V13" s="22">
        <f>IF(OR($D13="",$R13="Trùng"),"",IF(COUNTIF(ORDERS!$C$2:$C$4995,$D13)&gt;0,"Có","Không"))</f>
        <v/>
      </c>
      <c r="W13" s="22">
        <f>IF(OR($D13="",$R13="Trùng"),"",COUNTIFS(ORDERS!$C$2:$C$4995,$D13,ORDERS!$L$2:$L$4995,"Đã chuyển khoản"))</f>
        <v/>
      </c>
      <c r="X13" s="23">
        <f>IF(OR($D13="",$R13="Trùng"),"",SUMIFS(ORDERS!$J$2:$J$4995,ORDERS!$C$2:$C$4995,$D13,ORDERS!$L$2:$L$4995,"Đã chuyển khoản"))</f>
        <v/>
      </c>
      <c r="Y13" s="24" t="n"/>
    </row>
    <row r="14" ht="14.25" customHeight="1" s="40">
      <c r="A14" s="24" t="inlineStr">
        <is>
          <t>ab0e6e13-4d4c-4f1f-a98f-3b65b0c00365</t>
        </is>
      </c>
      <c r="B14" s="18" t="n">
        <v>46287.64097222222</v>
      </c>
      <c r="C14" s="24" t="inlineStr">
        <is>
          <t>Nguyễn Ngọc Yến</t>
        </is>
      </c>
      <c r="D14" s="28" t="inlineStr">
        <is>
          <t>0352976805</t>
        </is>
      </c>
      <c r="E14" s="29" t="n">
        <v>46081</v>
      </c>
      <c r="F14" s="24" t="inlineStr">
        <is>
          <t>Đã sinh</t>
        </is>
      </c>
      <c r="G14" s="24" t="inlineStr">
        <is>
          <t>Hải Phòng</t>
        </is>
      </c>
      <c r="H14" s="21">
        <f>IF(ISNUMBER($B14),INT($B14)-WEEKDAY($B14,2)+1,"")</f>
        <v/>
      </c>
      <c r="I14" s="24" t="inlineStr">
        <is>
          <t>Z-00</t>
        </is>
      </c>
      <c r="J14" s="22">
        <f t="array" ref="J14">IF($D14="","",IF($I14="","(trống REF)",IFERROR(INDEX(MASTER_SOURCE!$B$2:$B$495,MATCH($I14,MASTER_SOURCE!$A$2:$A$495,0)),"(REF không có trong MASTER_SOURCE)")))</f>
        <v/>
      </c>
      <c r="K14" s="22">
        <f t="array" ref="K14">IF($D14="","",IFERROR(INDEX(MASTER_SOURCE!$C$2:$C$495,MATCH($I14,MASTER_SOURCE!$A$2:$A$495,0)),""))</f>
        <v/>
      </c>
      <c r="L14" s="22">
        <f t="array" ref="L14">IF($D14="","",IFERROR(INDEX(MASTER_SOURCE!$D$2:$D$495,MATCH($I14,MASTER_SOURCE!$A$2:$A$495,0)),""))</f>
        <v/>
      </c>
      <c r="M14" s="24" t="inlineStr">
        <is>
          <t>Có</t>
        </is>
      </c>
      <c r="N14" s="24" t="inlineStr">
        <is>
          <t>Có</t>
        </is>
      </c>
      <c r="O14" s="24" t="inlineStr">
        <is>
          <t>Có</t>
        </is>
      </c>
      <c r="P14" s="24" t="inlineStr">
        <is>
          <t>Có</t>
        </is>
      </c>
      <c r="Q14" s="22">
        <f>IF($D14="","",IF(AND(OR(DANH_MUC!$L$5&lt;&gt;"Có",M14="Có"),OR(DANH_MUC!$L$6&lt;&gt;"Có",N14="Có"),OR(DANH_MUC!$L$7&lt;&gt;"Có",O14="Có"),OR(DANH_MUC!$L$8&lt;&gt;"Có",P14="Có")),"Có","Không"))</f>
        <v/>
      </c>
      <c r="R14" s="22">
        <f>IF($D14="","",IF(COUNTIF($D$2:$D14,$D14)&gt;1,"Trùng",""))</f>
        <v/>
      </c>
      <c r="S14" s="22">
        <f>IF($D14="","",IF(AND(LEN($D14)=10,LEFT($D14,1)="0",ISNUMBER(--$D14)),"Có","Không"))</f>
        <v/>
      </c>
      <c r="T14" s="22">
        <f>IF($D14="","",IF(AND($C14&lt;&gt;"",$Q14="Có",$R14="",$S14="Có",AND($L14&lt;&gt;"",OR($L14&lt;&gt;"Chưa xác định",DANH_MUC!$L$9="Có"))),"Có","Không"))</f>
        <v/>
      </c>
      <c r="U14" s="22">
        <f>IF(OR($D14="",$T14="Có"),"",IF($C14="","Thiếu họ tên; ","")&amp;IF($S14&lt;&gt;"Có","SĐT sai định dạng; ","")&amp;IF($R14="Trùng","Trùng SĐT; ","")&amp;IF($Q14&lt;&gt;"Có","Thiếu đồng ý bắt buộc; ","")&amp;IF($L14="","Thiếu/sai Mã REF; ",IF(AND($L14="Chưa xác định",DANH_MUC!$L$9&lt;&gt;"Có"),"Nguồn chưa xác định; ","")))</f>
        <v/>
      </c>
      <c r="V14" s="22">
        <f>IF(OR($D14="",$R14="Trùng"),"",IF(COUNTIF(ORDERS!$C$2:$C$4995,$D14)&gt;0,"Có","Không"))</f>
        <v/>
      </c>
      <c r="W14" s="22">
        <f>IF(OR($D14="",$R14="Trùng"),"",COUNTIFS(ORDERS!$C$2:$C$4995,$D14,ORDERS!$L$2:$L$4995,"Đã chuyển khoản"))</f>
        <v/>
      </c>
      <c r="X14" s="23">
        <f>IF(OR($D14="",$R14="Trùng"),"",SUMIFS(ORDERS!$J$2:$J$4995,ORDERS!$C$2:$C$4995,$D14,ORDERS!$L$2:$L$4995,"Đã chuyển khoản"))</f>
        <v/>
      </c>
      <c r="Y14" s="24" t="n"/>
    </row>
    <row r="15" ht="14.25" customHeight="1" s="40">
      <c r="A15" s="24" t="inlineStr">
        <is>
          <t>59d4e726-6ba9-4a73-81b5-bcf0cc06091b</t>
        </is>
      </c>
      <c r="B15" s="18" t="n">
        <v>46287.64791666667</v>
      </c>
      <c r="C15" s="24" t="inlineStr">
        <is>
          <t>Nguyễn Thị Đông</t>
        </is>
      </c>
      <c r="D15" s="28" t="inlineStr">
        <is>
          <t>0382119523</t>
        </is>
      </c>
      <c r="E15" s="29" t="n">
        <v>46218</v>
      </c>
      <c r="F15" s="24" t="inlineStr">
        <is>
          <t>Đã sinh</t>
        </is>
      </c>
      <c r="G15" s="24" t="inlineStr">
        <is>
          <t>Hà Nội</t>
        </is>
      </c>
      <c r="H15" s="21">
        <f>IF(ISNUMBER($B15),INT($B15)-WEEKDAY($B15,2)+1,"")</f>
        <v/>
      </c>
      <c r="I15" s="24" t="inlineStr">
        <is>
          <t>Z-00</t>
        </is>
      </c>
      <c r="J15" s="22">
        <f t="array" ref="J15">IF($D15="","",IF($I15="","(trống REF)",IFERROR(INDEX(MASTER_SOURCE!$B$2:$B$495,MATCH($I15,MASTER_SOURCE!$A$2:$A$495,0)),"(REF không có trong MASTER_SOURCE)")))</f>
        <v/>
      </c>
      <c r="K15" s="22">
        <f t="array" ref="K15">IF($D15="","",IFERROR(INDEX(MASTER_SOURCE!$C$2:$C$495,MATCH($I15,MASTER_SOURCE!$A$2:$A$495,0)),""))</f>
        <v/>
      </c>
      <c r="L15" s="22">
        <f t="array" ref="L15">IF($D15="","",IFERROR(INDEX(MASTER_SOURCE!$D$2:$D$495,MATCH($I15,MASTER_SOURCE!$A$2:$A$495,0)),""))</f>
        <v/>
      </c>
      <c r="M15" s="24" t="inlineStr">
        <is>
          <t>Có</t>
        </is>
      </c>
      <c r="N15" s="24" t="inlineStr">
        <is>
          <t>Có</t>
        </is>
      </c>
      <c r="O15" s="24" t="inlineStr">
        <is>
          <t>Có</t>
        </is>
      </c>
      <c r="P15" s="24" t="inlineStr">
        <is>
          <t>Có</t>
        </is>
      </c>
      <c r="Q15" s="22">
        <f>IF($D15="","",IF(AND(OR(DANH_MUC!$L$5&lt;&gt;"Có",M15="Có"),OR(DANH_MUC!$L$6&lt;&gt;"Có",N15="Có"),OR(DANH_MUC!$L$7&lt;&gt;"Có",O15="Có"),OR(DANH_MUC!$L$8&lt;&gt;"Có",P15="Có")),"Có","Không"))</f>
        <v/>
      </c>
      <c r="R15" s="22">
        <f>IF($D15="","",IF(COUNTIF($D$2:$D15,$D15)&gt;1,"Trùng",""))</f>
        <v/>
      </c>
      <c r="S15" s="22">
        <f>IF($D15="","",IF(AND(LEN($D15)=10,LEFT($D15,1)="0",ISNUMBER(--$D15)),"Có","Không"))</f>
        <v/>
      </c>
      <c r="T15" s="22">
        <f>IF($D15="","",IF(AND($C15&lt;&gt;"",$Q15="Có",$R15="",$S15="Có",AND($L15&lt;&gt;"",OR($L15&lt;&gt;"Chưa xác định",DANH_MUC!$L$9="Có"))),"Có","Không"))</f>
        <v/>
      </c>
      <c r="U15" s="22">
        <f>IF(OR($D15="",$T15="Có"),"",IF($C15="","Thiếu họ tên; ","")&amp;IF($S15&lt;&gt;"Có","SĐT sai định dạng; ","")&amp;IF($R15="Trùng","Trùng SĐT; ","")&amp;IF($Q15&lt;&gt;"Có","Thiếu đồng ý bắt buộc; ","")&amp;IF($L15="","Thiếu/sai Mã REF; ",IF(AND($L15="Chưa xác định",DANH_MUC!$L$9&lt;&gt;"Có"),"Nguồn chưa xác định; ","")))</f>
        <v/>
      </c>
      <c r="V15" s="22">
        <f>IF(OR($D15="",$R15="Trùng"),"",IF(COUNTIF(ORDERS!$C$2:$C$4995,$D15)&gt;0,"Có","Không"))</f>
        <v/>
      </c>
      <c r="W15" s="22">
        <f>IF(OR($D15="",$R15="Trùng"),"",COUNTIFS(ORDERS!$C$2:$C$4995,$D15,ORDERS!$L$2:$L$4995,"Đã chuyển khoản"))</f>
        <v/>
      </c>
      <c r="X15" s="23">
        <f>IF(OR($D15="",$R15="Trùng"),"",SUMIFS(ORDERS!$J$2:$J$4995,ORDERS!$C$2:$C$4995,$D15,ORDERS!$L$2:$L$4995,"Đã chuyển khoản"))</f>
        <v/>
      </c>
      <c r="Y15" s="24" t="n"/>
    </row>
    <row r="16" ht="14.25" customHeight="1" s="40">
      <c r="A16" s="24" t="inlineStr">
        <is>
          <t>4650d3b8-0767-41c4-b6e6-7ee35b455abe</t>
        </is>
      </c>
      <c r="B16" s="18" t="n">
        <v>46287.65277777778</v>
      </c>
      <c r="C16" s="24" t="inlineStr">
        <is>
          <t>Lưu Thanh Tuyền</t>
        </is>
      </c>
      <c r="D16" s="28" t="inlineStr">
        <is>
          <t>0334830088</t>
        </is>
      </c>
      <c r="E16" s="29" t="n">
        <v>45956</v>
      </c>
      <c r="F16" s="24" t="inlineStr">
        <is>
          <t>Đã sinh</t>
        </is>
      </c>
      <c r="G16" s="24" t="inlineStr">
        <is>
          <t>Hồ Chí Minh</t>
        </is>
      </c>
      <c r="H16" s="21">
        <f>IF(ISNUMBER($B16),INT($B16)-WEEKDAY($B16,2)+1,"")</f>
        <v/>
      </c>
      <c r="I16" s="24" t="inlineStr">
        <is>
          <t>Z-00</t>
        </is>
      </c>
      <c r="J16" s="22">
        <f t="array" ref="J16">IF($D16="","",IF($I16="","(trống REF)",IFERROR(INDEX(MASTER_SOURCE!$B$2:$B$495,MATCH($I16,MASTER_SOURCE!$A$2:$A$495,0)),"(REF không có trong MASTER_SOURCE)")))</f>
        <v/>
      </c>
      <c r="K16" s="22">
        <f t="array" ref="K16">IF($D16="","",IFERROR(INDEX(MASTER_SOURCE!$C$2:$C$495,MATCH($I16,MASTER_SOURCE!$A$2:$A$495,0)),""))</f>
        <v/>
      </c>
      <c r="L16" s="22">
        <f t="array" ref="L16">IF($D16="","",IFERROR(INDEX(MASTER_SOURCE!$D$2:$D$495,MATCH($I16,MASTER_SOURCE!$A$2:$A$495,0)),""))</f>
        <v/>
      </c>
      <c r="M16" s="24" t="inlineStr">
        <is>
          <t>Có</t>
        </is>
      </c>
      <c r="N16" s="24" t="inlineStr">
        <is>
          <t>Có</t>
        </is>
      </c>
      <c r="O16" s="24" t="inlineStr">
        <is>
          <t>Có</t>
        </is>
      </c>
      <c r="P16" s="24" t="inlineStr">
        <is>
          <t>Có</t>
        </is>
      </c>
      <c r="Q16" s="22">
        <f>IF($D16="","",IF(AND(OR(DANH_MUC!$L$5&lt;&gt;"Có",M16="Có"),OR(DANH_MUC!$L$6&lt;&gt;"Có",N16="Có"),OR(DANH_MUC!$L$7&lt;&gt;"Có",O16="Có"),OR(DANH_MUC!$L$8&lt;&gt;"Có",P16="Có")),"Có","Không"))</f>
        <v/>
      </c>
      <c r="R16" s="22">
        <f>IF($D16="","",IF(COUNTIF($D$2:$D16,$D16)&gt;1,"Trùng",""))</f>
        <v/>
      </c>
      <c r="S16" s="22">
        <f>IF($D16="","",IF(AND(LEN($D16)=10,LEFT($D16,1)="0",ISNUMBER(--$D16)),"Có","Không"))</f>
        <v/>
      </c>
      <c r="T16" s="22">
        <f>IF($D16="","",IF(AND($C16&lt;&gt;"",$Q16="Có",$R16="",$S16="Có",AND($L16&lt;&gt;"",OR($L16&lt;&gt;"Chưa xác định",DANH_MUC!$L$9="Có"))),"Có","Không"))</f>
        <v/>
      </c>
      <c r="U16" s="22">
        <f>IF(OR($D16="",$T16="Có"),"",IF($C16="","Thiếu họ tên; ","")&amp;IF($S16&lt;&gt;"Có","SĐT sai định dạng; ","")&amp;IF($R16="Trùng","Trùng SĐT; ","")&amp;IF($Q16&lt;&gt;"Có","Thiếu đồng ý bắt buộc; ","")&amp;IF($L16="","Thiếu/sai Mã REF; ",IF(AND($L16="Chưa xác định",DANH_MUC!$L$9&lt;&gt;"Có"),"Nguồn chưa xác định; ","")))</f>
        <v/>
      </c>
      <c r="V16" s="22">
        <f>IF(OR($D16="",$R16="Trùng"),"",IF(COUNTIF(ORDERS!$C$2:$C$4995,$D16)&gt;0,"Có","Không"))</f>
        <v/>
      </c>
      <c r="W16" s="22">
        <f>IF(OR($D16="",$R16="Trùng"),"",COUNTIFS(ORDERS!$C$2:$C$4995,$D16,ORDERS!$L$2:$L$4995,"Đã chuyển khoản"))</f>
        <v/>
      </c>
      <c r="X16" s="23">
        <f>IF(OR($D16="",$R16="Trùng"),"",SUMIFS(ORDERS!$J$2:$J$4995,ORDERS!$C$2:$C$4995,$D16,ORDERS!$L$2:$L$4995,"Đã chuyển khoản"))</f>
        <v/>
      </c>
      <c r="Y16" s="24" t="n"/>
    </row>
    <row r="17" ht="14.25" customHeight="1" s="40">
      <c r="A17" s="24" t="inlineStr">
        <is>
          <t>e1fde4b7-98d5-4bfe-ba4d-0452891d985d</t>
        </is>
      </c>
      <c r="B17" s="18" t="n">
        <v>46287.65555555555</v>
      </c>
      <c r="C17" s="24" t="inlineStr">
        <is>
          <t>Ngô Thảo Tâm</t>
        </is>
      </c>
      <c r="D17" s="28" t="inlineStr">
        <is>
          <t>0944731011</t>
        </is>
      </c>
      <c r="E17" s="29" t="n">
        <v>46161</v>
      </c>
      <c r="F17" s="24" t="inlineStr">
        <is>
          <t>Đã sinh</t>
        </is>
      </c>
      <c r="G17" s="24" t="inlineStr">
        <is>
          <t>Hồ Chí Minh</t>
        </is>
      </c>
      <c r="H17" s="21">
        <f>IF(ISNUMBER($B17),INT($B17)-WEEKDAY($B17,2)+1,"")</f>
        <v/>
      </c>
      <c r="I17" s="24" t="inlineStr">
        <is>
          <t>Z-CIH</t>
        </is>
      </c>
      <c r="J17" s="22">
        <f t="array" ref="J17">IF($D17="","",IF($I17="","(trống REF)",IFERROR(INDEX(MASTER_SOURCE!$B$2:$B$495,MATCH($I17,MASTER_SOURCE!$A$2:$A$495,0)),"(REF không có trong MASTER_SOURCE)")))</f>
        <v/>
      </c>
      <c r="K17" s="22">
        <f t="array" ref="K17">IF($D17="","",IFERROR(INDEX(MASTER_SOURCE!$C$2:$C$495,MATCH($I17,MASTER_SOURCE!$A$2:$A$495,0)),""))</f>
        <v/>
      </c>
      <c r="L17" s="22">
        <f t="array" ref="L17">IF($D17="","",IFERROR(INDEX(MASTER_SOURCE!$D$2:$D$495,MATCH($I17,MASTER_SOURCE!$A$2:$A$495,0)),""))</f>
        <v/>
      </c>
      <c r="M17" s="24" t="inlineStr">
        <is>
          <t>Có</t>
        </is>
      </c>
      <c r="N17" s="24" t="inlineStr">
        <is>
          <t>Có</t>
        </is>
      </c>
      <c r="O17" s="24" t="inlineStr">
        <is>
          <t>Có</t>
        </is>
      </c>
      <c r="P17" s="24" t="inlineStr">
        <is>
          <t>Có</t>
        </is>
      </c>
      <c r="Q17" s="22">
        <f>IF($D17="","",IF(AND(OR(DANH_MUC!$L$5&lt;&gt;"Có",M17="Có"),OR(DANH_MUC!$L$6&lt;&gt;"Có",N17="Có"),OR(DANH_MUC!$L$7&lt;&gt;"Có",O17="Có"),OR(DANH_MUC!$L$8&lt;&gt;"Có",P17="Có")),"Có","Không"))</f>
        <v/>
      </c>
      <c r="R17" s="22">
        <f>IF($D17="","",IF(COUNTIF($D$2:$D17,$D17)&gt;1,"Trùng",""))</f>
        <v/>
      </c>
      <c r="S17" s="22">
        <f>IF($D17="","",IF(AND(LEN($D17)=10,LEFT($D17,1)="0",ISNUMBER(--$D17)),"Có","Không"))</f>
        <v/>
      </c>
      <c r="T17" s="22">
        <f>IF($D17="","",IF(AND($C17&lt;&gt;"",$Q17="Có",$R17="",$S17="Có",AND($L17&lt;&gt;"",OR($L17&lt;&gt;"Chưa xác định",DANH_MUC!$L$9="Có"))),"Có","Không"))</f>
        <v/>
      </c>
      <c r="U17" s="22">
        <f>IF(OR($D17="",$T17="Có"),"",IF($C17="","Thiếu họ tên; ","")&amp;IF($S17&lt;&gt;"Có","SĐT sai định dạng; ","")&amp;IF($R17="Trùng","Trùng SĐT; ","")&amp;IF($Q17&lt;&gt;"Có","Thiếu đồng ý bắt buộc; ","")&amp;IF($L17="","Thiếu/sai Mã REF; ",IF(AND($L17="Chưa xác định",DANH_MUC!$L$9&lt;&gt;"Có"),"Nguồn chưa xác định; ","")))</f>
        <v/>
      </c>
      <c r="V17" s="22">
        <f>IF(OR($D17="",$R17="Trùng"),"",IF(COUNTIF(ORDERS!$C$2:$C$4995,$D17)&gt;0,"Có","Không"))</f>
        <v/>
      </c>
      <c r="W17" s="22">
        <f>IF(OR($D17="",$R17="Trùng"),"",COUNTIFS(ORDERS!$C$2:$C$4995,$D17,ORDERS!$L$2:$L$4995,"Đã chuyển khoản"))</f>
        <v/>
      </c>
      <c r="X17" s="23">
        <f>IF(OR($D17="",$R17="Trùng"),"",SUMIFS(ORDERS!$J$2:$J$4995,ORDERS!$C$2:$C$4995,$D17,ORDERS!$L$2:$L$4995,"Đã chuyển khoản"))</f>
        <v/>
      </c>
      <c r="Y17" s="24" t="n"/>
    </row>
    <row r="18" ht="14.25" customHeight="1" s="40">
      <c r="A18" s="24" t="inlineStr">
        <is>
          <t>167c0a30-5061-4e2f-b472-fd2f18d23d5f</t>
        </is>
      </c>
      <c r="B18" s="18" t="n">
        <v>46287.72638888889</v>
      </c>
      <c r="C18" s="24" t="inlineStr">
        <is>
          <t>Đinh Thị Thuỳ Vân</t>
        </is>
      </c>
      <c r="D18" s="28" t="inlineStr">
        <is>
          <t>0376460547</t>
        </is>
      </c>
      <c r="E18" s="29" t="n">
        <v>46311</v>
      </c>
      <c r="F18" s="24" t="inlineStr">
        <is>
          <t>Đang mang thai</t>
        </is>
      </c>
      <c r="G18" s="24" t="inlineStr">
        <is>
          <t>Hồ Chí Minh</t>
        </is>
      </c>
      <c r="H18" s="21">
        <f>IF(ISNUMBER($B18),INT($B18)-WEEKDAY($B18,2)+1,"")</f>
        <v/>
      </c>
      <c r="I18" s="24" t="inlineStr">
        <is>
          <t>Z-00</t>
        </is>
      </c>
      <c r="J18" s="22">
        <f t="array" ref="J18">IF($D18="","",IF($I18="","(trống REF)",IFERROR(INDEX(MASTER_SOURCE!$B$2:$B$495,MATCH($I18,MASTER_SOURCE!$A$2:$A$495,0)),"(REF không có trong MASTER_SOURCE)")))</f>
        <v/>
      </c>
      <c r="K18" s="22">
        <f t="array" ref="K18">IF($D18="","",IFERROR(INDEX(MASTER_SOURCE!$C$2:$C$495,MATCH($I18,MASTER_SOURCE!$A$2:$A$495,0)),""))</f>
        <v/>
      </c>
      <c r="L18" s="22">
        <f t="array" ref="L18">IF($D18="","",IFERROR(INDEX(MASTER_SOURCE!$D$2:$D$495,MATCH($I18,MASTER_SOURCE!$A$2:$A$495,0)),""))</f>
        <v/>
      </c>
      <c r="M18" s="24" t="inlineStr">
        <is>
          <t>Có</t>
        </is>
      </c>
      <c r="N18" s="24" t="inlineStr">
        <is>
          <t>Có</t>
        </is>
      </c>
      <c r="O18" s="24" t="inlineStr">
        <is>
          <t>Có</t>
        </is>
      </c>
      <c r="P18" s="24" t="inlineStr">
        <is>
          <t>Có</t>
        </is>
      </c>
      <c r="Q18" s="22">
        <f>IF($D18="","",IF(AND(OR(DANH_MUC!$L$5&lt;&gt;"Có",M18="Có"),OR(DANH_MUC!$L$6&lt;&gt;"Có",N18="Có"),OR(DANH_MUC!$L$7&lt;&gt;"Có",O18="Có"),OR(DANH_MUC!$L$8&lt;&gt;"Có",P18="Có")),"Có","Không"))</f>
        <v/>
      </c>
      <c r="R18" s="22">
        <f>IF($D18="","",IF(COUNTIF($D$2:$D18,$D18)&gt;1,"Trùng",""))</f>
        <v/>
      </c>
      <c r="S18" s="22">
        <f>IF($D18="","",IF(AND(LEN($D18)=10,LEFT($D18,1)="0",ISNUMBER(--$D18)),"Có","Không"))</f>
        <v/>
      </c>
      <c r="T18" s="22">
        <f>IF($D18="","",IF(AND($C18&lt;&gt;"",$Q18="Có",$R18="",$S18="Có",AND($L18&lt;&gt;"",OR($L18&lt;&gt;"Chưa xác định",DANH_MUC!$L$9="Có"))),"Có","Không"))</f>
        <v/>
      </c>
      <c r="U18" s="22">
        <f>IF(OR($D18="",$T18="Có"),"",IF($C18="","Thiếu họ tên; ","")&amp;IF($S18&lt;&gt;"Có","SĐT sai định dạng; ","")&amp;IF($R18="Trùng","Trùng SĐT; ","")&amp;IF($Q18&lt;&gt;"Có","Thiếu đồng ý bắt buộc; ","")&amp;IF($L18="","Thiếu/sai Mã REF; ",IF(AND($L18="Chưa xác định",DANH_MUC!$L$9&lt;&gt;"Có"),"Nguồn chưa xác định; ","")))</f>
        <v/>
      </c>
      <c r="V18" s="22">
        <f>IF(OR($D18="",$R18="Trùng"),"",IF(COUNTIF(ORDERS!$C$2:$C$4995,$D18)&gt;0,"Có","Không"))</f>
        <v/>
      </c>
      <c r="W18" s="22">
        <f>IF(OR($D18="",$R18="Trùng"),"",COUNTIFS(ORDERS!$C$2:$C$4995,$D18,ORDERS!$L$2:$L$4995,"Đã chuyển khoản"))</f>
        <v/>
      </c>
      <c r="X18" s="23">
        <f>IF(OR($D18="",$R18="Trùng"),"",SUMIFS(ORDERS!$J$2:$J$4995,ORDERS!$C$2:$C$4995,$D18,ORDERS!$L$2:$L$4995,"Đã chuyển khoản"))</f>
        <v/>
      </c>
      <c r="Y18" s="24" t="n"/>
    </row>
    <row r="19" ht="14.25" customHeight="1" s="40">
      <c r="A19" s="24" t="inlineStr">
        <is>
          <t>00ff6c7c-88bd-499c-a0c6-824a81086e6c</t>
        </is>
      </c>
      <c r="B19" s="18" t="n">
        <v>46287.89097222222</v>
      </c>
      <c r="C19" s="24" t="inlineStr">
        <is>
          <t>Phan Thị Trúc Mai</t>
        </is>
      </c>
      <c r="D19" s="28" t="inlineStr">
        <is>
          <t>0982091253</t>
        </is>
      </c>
      <c r="E19" s="29" t="n">
        <v>46059</v>
      </c>
      <c r="F19" s="24" t="inlineStr">
        <is>
          <t>Đã sinh</t>
        </is>
      </c>
      <c r="G19" s="24" t="inlineStr">
        <is>
          <t>Hồ Chí Minh</t>
        </is>
      </c>
      <c r="H19" s="21">
        <f>IF(ISNUMBER($B19),INT($B19)-WEEKDAY($B19,2)+1,"")</f>
        <v/>
      </c>
      <c r="I19" s="24" t="inlineStr">
        <is>
          <t>Z-CIH</t>
        </is>
      </c>
      <c r="J19" s="22">
        <f t="array" ref="J19">IF($D19="","",IF($I19="","(trống REF)",IFERROR(INDEX(MASTER_SOURCE!$B$2:$B$495,MATCH($I19,MASTER_SOURCE!$A$2:$A$495,0)),"(REF không có trong MASTER_SOURCE)")))</f>
        <v/>
      </c>
      <c r="K19" s="22">
        <f t="array" ref="K19">IF($D19="","",IFERROR(INDEX(MASTER_SOURCE!$C$2:$C$495,MATCH($I19,MASTER_SOURCE!$A$2:$A$495,0)),""))</f>
        <v/>
      </c>
      <c r="L19" s="22">
        <f t="array" ref="L19">IF($D19="","",IFERROR(INDEX(MASTER_SOURCE!$D$2:$D$495,MATCH($I19,MASTER_SOURCE!$A$2:$A$495,0)),""))</f>
        <v/>
      </c>
      <c r="M19" s="24" t="inlineStr">
        <is>
          <t>Có</t>
        </is>
      </c>
      <c r="N19" s="24" t="inlineStr">
        <is>
          <t>Có</t>
        </is>
      </c>
      <c r="O19" s="24" t="inlineStr">
        <is>
          <t>Có</t>
        </is>
      </c>
      <c r="P19" s="24" t="inlineStr">
        <is>
          <t>Có</t>
        </is>
      </c>
      <c r="Q19" s="22">
        <f>IF($D19="","",IF(AND(OR(DANH_MUC!$L$5&lt;&gt;"Có",M19="Có"),OR(DANH_MUC!$L$6&lt;&gt;"Có",N19="Có"),OR(DANH_MUC!$L$7&lt;&gt;"Có",O19="Có"),OR(DANH_MUC!$L$8&lt;&gt;"Có",P19="Có")),"Có","Không"))</f>
        <v/>
      </c>
      <c r="R19" s="22">
        <f>IF($D19="","",IF(COUNTIF($D$2:$D19,$D19)&gt;1,"Trùng",""))</f>
        <v/>
      </c>
      <c r="S19" s="22">
        <f>IF($D19="","",IF(AND(LEN($D19)=10,LEFT($D19,1)="0",ISNUMBER(--$D19)),"Có","Không"))</f>
        <v/>
      </c>
      <c r="T19" s="22">
        <f>IF($D19="","",IF(AND($C19&lt;&gt;"",$Q19="Có",$R19="",$S19="Có",AND($L19&lt;&gt;"",OR($L19&lt;&gt;"Chưa xác định",DANH_MUC!$L$9="Có"))),"Có","Không"))</f>
        <v/>
      </c>
      <c r="U19" s="22">
        <f>IF(OR($D19="",$T19="Có"),"",IF($C19="","Thiếu họ tên; ","")&amp;IF($S19&lt;&gt;"Có","SĐT sai định dạng; ","")&amp;IF($R19="Trùng","Trùng SĐT; ","")&amp;IF($Q19&lt;&gt;"Có","Thiếu đồng ý bắt buộc; ","")&amp;IF($L19="","Thiếu/sai Mã REF; ",IF(AND($L19="Chưa xác định",DANH_MUC!$L$9&lt;&gt;"Có"),"Nguồn chưa xác định; ","")))</f>
        <v/>
      </c>
      <c r="V19" s="22">
        <f>IF(OR($D19="",$R19="Trùng"),"",IF(COUNTIF(ORDERS!$C$2:$C$4995,$D19)&gt;0,"Có","Không"))</f>
        <v/>
      </c>
      <c r="W19" s="22">
        <f>IF(OR($D19="",$R19="Trùng"),"",COUNTIFS(ORDERS!$C$2:$C$4995,$D19,ORDERS!$L$2:$L$4995,"Đã chuyển khoản"))</f>
        <v/>
      </c>
      <c r="X19" s="23">
        <f>IF(OR($D19="",$R19="Trùng"),"",SUMIFS(ORDERS!$J$2:$J$4995,ORDERS!$C$2:$C$4995,$D19,ORDERS!$L$2:$L$4995,"Đã chuyển khoản"))</f>
        <v/>
      </c>
      <c r="Y19" s="24" t="n"/>
    </row>
    <row r="20" ht="14.25" customHeight="1" s="40">
      <c r="A20" s="24" t="inlineStr">
        <is>
          <t>f425e92e-deba-4398-80b7-bc1d5b8773c7</t>
        </is>
      </c>
      <c r="B20" s="18" t="n">
        <v>46287.89444444444</v>
      </c>
      <c r="C20" s="24" t="inlineStr">
        <is>
          <t>ĐẶNG THỊ KIM NINH</t>
        </is>
      </c>
      <c r="D20" s="28" t="inlineStr">
        <is>
          <t>0906675597</t>
        </is>
      </c>
      <c r="E20" s="29" t="n">
        <v>46111</v>
      </c>
      <c r="F20" s="24" t="inlineStr">
        <is>
          <t>Đã sinh</t>
        </is>
      </c>
      <c r="G20" s="24" t="inlineStr">
        <is>
          <t>Hồ Chí Minh</t>
        </is>
      </c>
      <c r="H20" s="21">
        <f>IF(ISNUMBER($B20),INT($B20)-WEEKDAY($B20,2)+1,"")</f>
        <v/>
      </c>
      <c r="I20" s="24" t="inlineStr">
        <is>
          <t>Z-CIH</t>
        </is>
      </c>
      <c r="J20" s="22">
        <f t="array" ref="J20">IF($D20="","",IF($I20="","(trống REF)",IFERROR(INDEX(MASTER_SOURCE!$B$2:$B$495,MATCH($I20,MASTER_SOURCE!$A$2:$A$495,0)),"(REF không có trong MASTER_SOURCE)")))</f>
        <v/>
      </c>
      <c r="K20" s="22">
        <f t="array" ref="K20">IF($D20="","",IFERROR(INDEX(MASTER_SOURCE!$C$2:$C$495,MATCH($I20,MASTER_SOURCE!$A$2:$A$495,0)),""))</f>
        <v/>
      </c>
      <c r="L20" s="22">
        <f t="array" ref="L20">IF($D20="","",IFERROR(INDEX(MASTER_SOURCE!$D$2:$D$495,MATCH($I20,MASTER_SOURCE!$A$2:$A$495,0)),""))</f>
        <v/>
      </c>
      <c r="M20" s="24" t="inlineStr">
        <is>
          <t>Có</t>
        </is>
      </c>
      <c r="N20" s="24" t="inlineStr">
        <is>
          <t>Có</t>
        </is>
      </c>
      <c r="O20" s="24" t="inlineStr">
        <is>
          <t>Có</t>
        </is>
      </c>
      <c r="P20" s="24" t="inlineStr">
        <is>
          <t>Có</t>
        </is>
      </c>
      <c r="Q20" s="22">
        <f>IF($D20="","",IF(AND(OR(DANH_MUC!$L$5&lt;&gt;"Có",M20="Có"),OR(DANH_MUC!$L$6&lt;&gt;"Có",N20="Có"),OR(DANH_MUC!$L$7&lt;&gt;"Có",O20="Có"),OR(DANH_MUC!$L$8&lt;&gt;"Có",P20="Có")),"Có","Không"))</f>
        <v/>
      </c>
      <c r="R20" s="22">
        <f>IF($D20="","",IF(COUNTIF($D$2:$D20,$D20)&gt;1,"Trùng",""))</f>
        <v/>
      </c>
      <c r="S20" s="22">
        <f>IF($D20="","",IF(AND(LEN($D20)=10,LEFT($D20,1)="0",ISNUMBER(--$D20)),"Có","Không"))</f>
        <v/>
      </c>
      <c r="T20" s="22">
        <f>IF($D20="","",IF(AND($C20&lt;&gt;"",$Q20="Có",$R20="",$S20="Có",AND($L20&lt;&gt;"",OR($L20&lt;&gt;"Chưa xác định",DANH_MUC!$L$9="Có"))),"Có","Không"))</f>
        <v/>
      </c>
      <c r="U20" s="22">
        <f>IF(OR($D20="",$T20="Có"),"",IF($C20="","Thiếu họ tên; ","")&amp;IF($S20&lt;&gt;"Có","SĐT sai định dạng; ","")&amp;IF($R20="Trùng","Trùng SĐT; ","")&amp;IF($Q20&lt;&gt;"Có","Thiếu đồng ý bắt buộc; ","")&amp;IF($L20="","Thiếu/sai Mã REF; ",IF(AND($L20="Chưa xác định",DANH_MUC!$L$9&lt;&gt;"Có"),"Nguồn chưa xác định; ","")))</f>
        <v/>
      </c>
      <c r="V20" s="22">
        <f>IF(OR($D20="",$R20="Trùng"),"",IF(COUNTIF(ORDERS!$C$2:$C$4995,$D20)&gt;0,"Có","Không"))</f>
        <v/>
      </c>
      <c r="W20" s="22">
        <f>IF(OR($D20="",$R20="Trùng"),"",COUNTIFS(ORDERS!$C$2:$C$4995,$D20,ORDERS!$L$2:$L$4995,"Đã chuyển khoản"))</f>
        <v/>
      </c>
      <c r="X20" s="23">
        <f>IF(OR($D20="",$R20="Trùng"),"",SUMIFS(ORDERS!$J$2:$J$4995,ORDERS!$C$2:$C$4995,$D20,ORDERS!$L$2:$L$4995,"Đã chuyển khoản"))</f>
        <v/>
      </c>
      <c r="Y20" s="24" t="n"/>
    </row>
    <row r="21" ht="14.25" customHeight="1" s="40">
      <c r="A21" s="24" t="inlineStr">
        <is>
          <t>fc86ed31-59ec-4f9b-a911-c6f86bfa4f9b</t>
        </is>
      </c>
      <c r="B21" s="18" t="n">
        <v>46287.89444444444</v>
      </c>
      <c r="C21" s="24" t="inlineStr">
        <is>
          <t>Nguyễn Dương Hà Thu</t>
        </is>
      </c>
      <c r="D21" s="28" t="inlineStr">
        <is>
          <t>0982432706</t>
        </is>
      </c>
      <c r="E21" s="29" t="n">
        <v>46018</v>
      </c>
      <c r="F21" s="24" t="inlineStr">
        <is>
          <t>Đã sinh</t>
        </is>
      </c>
      <c r="G21" s="24" t="inlineStr">
        <is>
          <t>Đồng Nai</t>
        </is>
      </c>
      <c r="H21" s="21">
        <f>IF(ISNUMBER($B21),INT($B21)-WEEKDAY($B21,2)+1,"")</f>
        <v/>
      </c>
      <c r="I21" s="24" t="inlineStr">
        <is>
          <t>Z-00</t>
        </is>
      </c>
      <c r="J21" s="22">
        <f t="array" ref="J21">IF($D21="","",IF($I21="","(trống REF)",IFERROR(INDEX(MASTER_SOURCE!$B$2:$B$495,MATCH($I21,MASTER_SOURCE!$A$2:$A$495,0)),"(REF không có trong MASTER_SOURCE)")))</f>
        <v/>
      </c>
      <c r="K21" s="22">
        <f t="array" ref="K21">IF($D21="","",IFERROR(INDEX(MASTER_SOURCE!$C$2:$C$495,MATCH($I21,MASTER_SOURCE!$A$2:$A$495,0)),""))</f>
        <v/>
      </c>
      <c r="L21" s="22">
        <f t="array" ref="L21">IF($D21="","",IFERROR(INDEX(MASTER_SOURCE!$D$2:$D$495,MATCH($I21,MASTER_SOURCE!$A$2:$A$495,0)),""))</f>
        <v/>
      </c>
      <c r="M21" s="24" t="inlineStr">
        <is>
          <t>Có</t>
        </is>
      </c>
      <c r="N21" s="24" t="inlineStr">
        <is>
          <t>Có</t>
        </is>
      </c>
      <c r="O21" s="24" t="inlineStr">
        <is>
          <t>Có</t>
        </is>
      </c>
      <c r="P21" s="24" t="inlineStr">
        <is>
          <t>Có</t>
        </is>
      </c>
      <c r="Q21" s="22">
        <f>IF($D21="","",IF(AND(OR(DANH_MUC!$L$5&lt;&gt;"Có",M21="Có"),OR(DANH_MUC!$L$6&lt;&gt;"Có",N21="Có"),OR(DANH_MUC!$L$7&lt;&gt;"Có",O21="Có"),OR(DANH_MUC!$L$8&lt;&gt;"Có",P21="Có")),"Có","Không"))</f>
        <v/>
      </c>
      <c r="R21" s="22">
        <f>IF($D21="","",IF(COUNTIF($D$2:$D21,$D21)&gt;1,"Trùng",""))</f>
        <v/>
      </c>
      <c r="S21" s="22">
        <f>IF($D21="","",IF(AND(LEN($D21)=10,LEFT($D21,1)="0",ISNUMBER(--$D21)),"Có","Không"))</f>
        <v/>
      </c>
      <c r="T21" s="22">
        <f>IF($D21="","",IF(AND($C21&lt;&gt;"",$Q21="Có",$R21="",$S21="Có",AND($L21&lt;&gt;"",OR($L21&lt;&gt;"Chưa xác định",DANH_MUC!$L$9="Có"))),"Có","Không"))</f>
        <v/>
      </c>
      <c r="U21" s="22">
        <f>IF(OR($D21="",$T21="Có"),"",IF($C21="","Thiếu họ tên; ","")&amp;IF($S21&lt;&gt;"Có","SĐT sai định dạng; ","")&amp;IF($R21="Trùng","Trùng SĐT; ","")&amp;IF($Q21&lt;&gt;"Có","Thiếu đồng ý bắt buộc; ","")&amp;IF($L21="","Thiếu/sai Mã REF; ",IF(AND($L21="Chưa xác định",DANH_MUC!$L$9&lt;&gt;"Có"),"Nguồn chưa xác định; ","")))</f>
        <v/>
      </c>
      <c r="V21" s="22">
        <f>IF(OR($D21="",$R21="Trùng"),"",IF(COUNTIF(ORDERS!$C$2:$C$4995,$D21)&gt;0,"Có","Không"))</f>
        <v/>
      </c>
      <c r="W21" s="22">
        <f>IF(OR($D21="",$R21="Trùng"),"",COUNTIFS(ORDERS!$C$2:$C$4995,$D21,ORDERS!$L$2:$L$4995,"Đã chuyển khoản"))</f>
        <v/>
      </c>
      <c r="X21" s="23">
        <f>IF(OR($D21="",$R21="Trùng"),"",SUMIFS(ORDERS!$J$2:$J$4995,ORDERS!$C$2:$C$4995,$D21,ORDERS!$L$2:$L$4995,"Đã chuyển khoản"))</f>
        <v/>
      </c>
      <c r="Y21" s="24" t="n"/>
    </row>
    <row r="22" ht="14.25" customHeight="1" s="40">
      <c r="A22" s="24" t="inlineStr">
        <is>
          <t>681e6836-008f-4fc5-8475-a4265a1cc90f</t>
        </is>
      </c>
      <c r="B22" s="18" t="n">
        <v>46287.89513888889</v>
      </c>
      <c r="C22" s="24" t="inlineStr">
        <is>
          <t>Trần Thị Anh Thư</t>
        </is>
      </c>
      <c r="D22" s="28" t="inlineStr">
        <is>
          <t>0937418427</t>
        </is>
      </c>
      <c r="E22" s="29" t="n">
        <v>46112</v>
      </c>
      <c r="F22" s="24" t="inlineStr">
        <is>
          <t>Đã sinh</t>
        </is>
      </c>
      <c r="G22" s="24" t="inlineStr">
        <is>
          <t>Hồ Chí Minh</t>
        </is>
      </c>
      <c r="H22" s="21">
        <f>IF(ISNUMBER($B22),INT($B22)-WEEKDAY($B22,2)+1,"")</f>
        <v/>
      </c>
      <c r="I22" s="24" t="inlineStr">
        <is>
          <t>Z-00</t>
        </is>
      </c>
      <c r="J22" s="22">
        <f t="array" ref="J22">IF($D22="","",IF($I22="","(trống REF)",IFERROR(INDEX(MASTER_SOURCE!$B$2:$B$495,MATCH($I22,MASTER_SOURCE!$A$2:$A$495,0)),"(REF không có trong MASTER_SOURCE)")))</f>
        <v/>
      </c>
      <c r="K22" s="22">
        <f t="array" ref="K22">IF($D22="","",IFERROR(INDEX(MASTER_SOURCE!$C$2:$C$495,MATCH($I22,MASTER_SOURCE!$A$2:$A$495,0)),""))</f>
        <v/>
      </c>
      <c r="L22" s="22">
        <f t="array" ref="L22">IF($D22="","",IFERROR(INDEX(MASTER_SOURCE!$D$2:$D$495,MATCH($I22,MASTER_SOURCE!$A$2:$A$495,0)),""))</f>
        <v/>
      </c>
      <c r="M22" s="24" t="inlineStr">
        <is>
          <t>Có</t>
        </is>
      </c>
      <c r="N22" s="24" t="inlineStr">
        <is>
          <t>Có</t>
        </is>
      </c>
      <c r="O22" s="24" t="inlineStr">
        <is>
          <t>Có</t>
        </is>
      </c>
      <c r="P22" s="24" t="inlineStr">
        <is>
          <t>Có</t>
        </is>
      </c>
      <c r="Q22" s="22">
        <f>IF($D22="","",IF(AND(OR(DANH_MUC!$L$5&lt;&gt;"Có",M22="Có"),OR(DANH_MUC!$L$6&lt;&gt;"Có",N22="Có"),OR(DANH_MUC!$L$7&lt;&gt;"Có",O22="Có"),OR(DANH_MUC!$L$8&lt;&gt;"Có",P22="Có")),"Có","Không"))</f>
        <v/>
      </c>
      <c r="R22" s="22">
        <f>IF($D22="","",IF(COUNTIF($D$2:$D22,$D22)&gt;1,"Trùng",""))</f>
        <v/>
      </c>
      <c r="S22" s="22">
        <f>IF($D22="","",IF(AND(LEN($D22)=10,LEFT($D22,1)="0",ISNUMBER(--$D22)),"Có","Không"))</f>
        <v/>
      </c>
      <c r="T22" s="22">
        <f>IF($D22="","",IF(AND($C22&lt;&gt;"",$Q22="Có",$R22="",$S22="Có",AND($L22&lt;&gt;"",OR($L22&lt;&gt;"Chưa xác định",DANH_MUC!$L$9="Có"))),"Có","Không"))</f>
        <v/>
      </c>
      <c r="U22" s="22">
        <f>IF(OR($D22="",$T22="Có"),"",IF($C22="","Thiếu họ tên; ","")&amp;IF($S22&lt;&gt;"Có","SĐT sai định dạng; ","")&amp;IF($R22="Trùng","Trùng SĐT; ","")&amp;IF($Q22&lt;&gt;"Có","Thiếu đồng ý bắt buộc; ","")&amp;IF($L22="","Thiếu/sai Mã REF; ",IF(AND($L22="Chưa xác định",DANH_MUC!$L$9&lt;&gt;"Có"),"Nguồn chưa xác định; ","")))</f>
        <v/>
      </c>
      <c r="V22" s="22">
        <f>IF(OR($D22="",$R22="Trùng"),"",IF(COUNTIF(ORDERS!$C$2:$C$4995,$D22)&gt;0,"Có","Không"))</f>
        <v/>
      </c>
      <c r="W22" s="22">
        <f>IF(OR($D22="",$R22="Trùng"),"",COUNTIFS(ORDERS!$C$2:$C$4995,$D22,ORDERS!$L$2:$L$4995,"Đã chuyển khoản"))</f>
        <v/>
      </c>
      <c r="X22" s="23">
        <f>IF(OR($D22="",$R22="Trùng"),"",SUMIFS(ORDERS!$J$2:$J$4995,ORDERS!$C$2:$C$4995,$D22,ORDERS!$L$2:$L$4995,"Đã chuyển khoản"))</f>
        <v/>
      </c>
      <c r="Y22" s="24" t="n"/>
    </row>
    <row r="23" ht="14.25" customHeight="1" s="40">
      <c r="A23" s="24" t="inlineStr">
        <is>
          <t>e1b3e263-dd5d-44c8-8c33-4d461ae98956</t>
        </is>
      </c>
      <c r="B23" s="18" t="n">
        <v>46287.9</v>
      </c>
      <c r="C23" s="24" t="inlineStr">
        <is>
          <t>TRẦN HOÀNG VÂN THY</t>
        </is>
      </c>
      <c r="D23" s="28" t="inlineStr">
        <is>
          <t>0908442266</t>
        </is>
      </c>
      <c r="E23" s="29" t="n">
        <v>45994</v>
      </c>
      <c r="F23" s="24" t="inlineStr">
        <is>
          <t>Đã sinh</t>
        </is>
      </c>
      <c r="G23" s="24" t="inlineStr">
        <is>
          <t>Hồ Chí Minh</t>
        </is>
      </c>
      <c r="H23" s="21">
        <f>IF(ISNUMBER($B23),INT($B23)-WEEKDAY($B23,2)+1,"")</f>
        <v/>
      </c>
      <c r="I23" s="24" t="inlineStr">
        <is>
          <t>Z-CIH</t>
        </is>
      </c>
      <c r="J23" s="22">
        <f t="array" ref="J23">IF($D23="","",IF($I23="","(trống REF)",IFERROR(INDEX(MASTER_SOURCE!$B$2:$B$495,MATCH($I23,MASTER_SOURCE!$A$2:$A$495,0)),"(REF không có trong MASTER_SOURCE)")))</f>
        <v/>
      </c>
      <c r="K23" s="22">
        <f t="array" ref="K23">IF($D23="","",IFERROR(INDEX(MASTER_SOURCE!$C$2:$C$495,MATCH($I23,MASTER_SOURCE!$A$2:$A$495,0)),""))</f>
        <v/>
      </c>
      <c r="L23" s="22">
        <f t="array" ref="L23">IF($D23="","",IFERROR(INDEX(MASTER_SOURCE!$D$2:$D$495,MATCH($I23,MASTER_SOURCE!$A$2:$A$495,0)),""))</f>
        <v/>
      </c>
      <c r="M23" s="24" t="inlineStr">
        <is>
          <t>Có</t>
        </is>
      </c>
      <c r="N23" s="24" t="inlineStr">
        <is>
          <t>Có</t>
        </is>
      </c>
      <c r="O23" s="24" t="inlineStr">
        <is>
          <t>Có</t>
        </is>
      </c>
      <c r="P23" s="24" t="inlineStr">
        <is>
          <t>Có</t>
        </is>
      </c>
      <c r="Q23" s="22">
        <f>IF($D23="","",IF(AND(OR(DANH_MUC!$L$5&lt;&gt;"Có",M23="Có"),OR(DANH_MUC!$L$6&lt;&gt;"Có",N23="Có"),OR(DANH_MUC!$L$7&lt;&gt;"Có",O23="Có"),OR(DANH_MUC!$L$8&lt;&gt;"Có",P23="Có")),"Có","Không"))</f>
        <v/>
      </c>
      <c r="R23" s="22">
        <f>IF($D23="","",IF(COUNTIF($D$2:$D23,$D23)&gt;1,"Trùng",""))</f>
        <v/>
      </c>
      <c r="S23" s="22">
        <f>IF($D23="","",IF(AND(LEN($D23)=10,LEFT($D23,1)="0",ISNUMBER(--$D23)),"Có","Không"))</f>
        <v/>
      </c>
      <c r="T23" s="22">
        <f>IF($D23="","",IF(AND($C23&lt;&gt;"",$Q23="Có",$R23="",$S23="Có",AND($L23&lt;&gt;"",OR($L23&lt;&gt;"Chưa xác định",DANH_MUC!$L$9="Có"))),"Có","Không"))</f>
        <v/>
      </c>
      <c r="U23" s="22">
        <f>IF(OR($D23="",$T23="Có"),"",IF($C23="","Thiếu họ tên; ","")&amp;IF($S23&lt;&gt;"Có","SĐT sai định dạng; ","")&amp;IF($R23="Trùng","Trùng SĐT; ","")&amp;IF($Q23&lt;&gt;"Có","Thiếu đồng ý bắt buộc; ","")&amp;IF($L23="","Thiếu/sai Mã REF; ",IF(AND($L23="Chưa xác định",DANH_MUC!$L$9&lt;&gt;"Có"),"Nguồn chưa xác định; ","")))</f>
        <v/>
      </c>
      <c r="V23" s="22">
        <f>IF(OR($D23="",$R23="Trùng"),"",IF(COUNTIF(ORDERS!$C$2:$C$4995,$D23)&gt;0,"Có","Không"))</f>
        <v/>
      </c>
      <c r="W23" s="22">
        <f>IF(OR($D23="",$R23="Trùng"),"",COUNTIFS(ORDERS!$C$2:$C$4995,$D23,ORDERS!$L$2:$L$4995,"Đã chuyển khoản"))</f>
        <v/>
      </c>
      <c r="X23" s="23">
        <f>IF(OR($D23="",$R23="Trùng"),"",SUMIFS(ORDERS!$J$2:$J$4995,ORDERS!$C$2:$C$4995,$D23,ORDERS!$L$2:$L$4995,"Đã chuyển khoản"))</f>
        <v/>
      </c>
      <c r="Y23" s="24" t="n"/>
    </row>
    <row r="24" ht="14.25" customHeight="1" s="40">
      <c r="A24" s="24" t="inlineStr">
        <is>
          <t>5f758f7f-77c3-4991-b256-78334908becc</t>
        </is>
      </c>
      <c r="B24" s="18" t="n">
        <v>46287.90416666667</v>
      </c>
      <c r="C24" s="24" t="inlineStr">
        <is>
          <t>Đỗ Ngọc Lan</t>
        </is>
      </c>
      <c r="D24" s="28" t="inlineStr">
        <is>
          <t>0971215227</t>
        </is>
      </c>
      <c r="E24" s="29" t="n">
        <v>46197</v>
      </c>
      <c r="F24" s="24" t="inlineStr">
        <is>
          <t>Đã sinh</t>
        </is>
      </c>
      <c r="G24" s="24" t="inlineStr">
        <is>
          <t>Hồ Chí Minh</t>
        </is>
      </c>
      <c r="H24" s="21">
        <f>IF(ISNUMBER($B24),INT($B24)-WEEKDAY($B24,2)+1,"")</f>
        <v/>
      </c>
      <c r="I24" s="24" t="inlineStr">
        <is>
          <t>Z-CIH</t>
        </is>
      </c>
      <c r="J24" s="22">
        <f t="array" ref="J24">IF($D24="","",IF($I24="","(trống REF)",IFERROR(INDEX(MASTER_SOURCE!$B$2:$B$495,MATCH($I24,MASTER_SOURCE!$A$2:$A$495,0)),"(REF không có trong MASTER_SOURCE)")))</f>
        <v/>
      </c>
      <c r="K24" s="22">
        <f t="array" ref="K24">IF($D24="","",IFERROR(INDEX(MASTER_SOURCE!$C$2:$C$495,MATCH($I24,MASTER_SOURCE!$A$2:$A$495,0)),""))</f>
        <v/>
      </c>
      <c r="L24" s="22">
        <f t="array" ref="L24">IF($D24="","",IFERROR(INDEX(MASTER_SOURCE!$D$2:$D$495,MATCH($I24,MASTER_SOURCE!$A$2:$A$495,0)),""))</f>
        <v/>
      </c>
      <c r="M24" s="24" t="inlineStr">
        <is>
          <t>Có</t>
        </is>
      </c>
      <c r="N24" s="24" t="inlineStr">
        <is>
          <t>Có</t>
        </is>
      </c>
      <c r="O24" s="24" t="inlineStr">
        <is>
          <t>Có</t>
        </is>
      </c>
      <c r="P24" s="24" t="inlineStr">
        <is>
          <t>Có</t>
        </is>
      </c>
      <c r="Q24" s="22">
        <f>IF($D24="","",IF(AND(OR(DANH_MUC!$L$5&lt;&gt;"Có",M24="Có"),OR(DANH_MUC!$L$6&lt;&gt;"Có",N24="Có"),OR(DANH_MUC!$L$7&lt;&gt;"Có",O24="Có"),OR(DANH_MUC!$L$8&lt;&gt;"Có",P24="Có")),"Có","Không"))</f>
        <v/>
      </c>
      <c r="R24" s="22">
        <f>IF($D24="","",IF(COUNTIF($D$2:$D24,$D24)&gt;1,"Trùng",""))</f>
        <v/>
      </c>
      <c r="S24" s="22">
        <f>IF($D24="","",IF(AND(LEN($D24)=10,LEFT($D24,1)="0",ISNUMBER(--$D24)),"Có","Không"))</f>
        <v/>
      </c>
      <c r="T24" s="22">
        <f>IF($D24="","",IF(AND($C24&lt;&gt;"",$Q24="Có",$R24="",$S24="Có",AND($L24&lt;&gt;"",OR($L24&lt;&gt;"Chưa xác định",DANH_MUC!$L$9="Có"))),"Có","Không"))</f>
        <v/>
      </c>
      <c r="U24" s="22">
        <f>IF(OR($D24="",$T24="Có"),"",IF($C24="","Thiếu họ tên; ","")&amp;IF($S24&lt;&gt;"Có","SĐT sai định dạng; ","")&amp;IF($R24="Trùng","Trùng SĐT; ","")&amp;IF($Q24&lt;&gt;"Có","Thiếu đồng ý bắt buộc; ","")&amp;IF($L24="","Thiếu/sai Mã REF; ",IF(AND($L24="Chưa xác định",DANH_MUC!$L$9&lt;&gt;"Có"),"Nguồn chưa xác định; ","")))</f>
        <v/>
      </c>
      <c r="V24" s="22">
        <f>IF(OR($D24="",$R24="Trùng"),"",IF(COUNTIF(ORDERS!$C$2:$C$4995,$D24)&gt;0,"Có","Không"))</f>
        <v/>
      </c>
      <c r="W24" s="22">
        <f>IF(OR($D24="",$R24="Trùng"),"",COUNTIFS(ORDERS!$C$2:$C$4995,$D24,ORDERS!$L$2:$L$4995,"Đã chuyển khoản"))</f>
        <v/>
      </c>
      <c r="X24" s="23">
        <f>IF(OR($D24="",$R24="Trùng"),"",SUMIFS(ORDERS!$J$2:$J$4995,ORDERS!$C$2:$C$4995,$D24,ORDERS!$L$2:$L$4995,"Đã chuyển khoản"))</f>
        <v/>
      </c>
      <c r="Y24" s="24" t="n"/>
    </row>
    <row r="25" ht="14.25" customHeight="1" s="40">
      <c r="A25" s="24" t="inlineStr">
        <is>
          <t>4662d5b9-59a6-499b-b16e-184fc5cae65f</t>
        </is>
      </c>
      <c r="B25" s="18" t="n">
        <v>46287.90486111111</v>
      </c>
      <c r="C25" s="24" t="inlineStr">
        <is>
          <t>Lư Nguyệt Quế</t>
        </is>
      </c>
      <c r="D25" s="28" t="inlineStr">
        <is>
          <t>0902847834</t>
        </is>
      </c>
      <c r="E25" s="29" t="n">
        <v>46193</v>
      </c>
      <c r="F25" s="24" t="inlineStr">
        <is>
          <t>Đã sinh</t>
        </is>
      </c>
      <c r="G25" s="24" t="inlineStr">
        <is>
          <t>Hồ Chí Minh</t>
        </is>
      </c>
      <c r="H25" s="21">
        <f>IF(ISNUMBER($B25),INT($B25)-WEEKDAY($B25,2)+1,"")</f>
        <v/>
      </c>
      <c r="I25" s="24" t="inlineStr">
        <is>
          <t>Z-CIH</t>
        </is>
      </c>
      <c r="J25" s="22">
        <f t="array" ref="J25">IF($D25="","",IF($I25="","(trống REF)",IFERROR(INDEX(MASTER_SOURCE!$B$2:$B$495,MATCH($I25,MASTER_SOURCE!$A$2:$A$495,0)),"(REF không có trong MASTER_SOURCE)")))</f>
        <v/>
      </c>
      <c r="K25" s="22">
        <f t="array" ref="K25">IF($D25="","",IFERROR(INDEX(MASTER_SOURCE!$C$2:$C$495,MATCH($I25,MASTER_SOURCE!$A$2:$A$495,0)),""))</f>
        <v/>
      </c>
      <c r="L25" s="22">
        <f t="array" ref="L25">IF($D25="","",IFERROR(INDEX(MASTER_SOURCE!$D$2:$D$495,MATCH($I25,MASTER_SOURCE!$A$2:$A$495,0)),""))</f>
        <v/>
      </c>
      <c r="M25" s="24" t="inlineStr">
        <is>
          <t>Có</t>
        </is>
      </c>
      <c r="N25" s="24" t="inlineStr">
        <is>
          <t>Có</t>
        </is>
      </c>
      <c r="O25" s="24" t="inlineStr">
        <is>
          <t>Có</t>
        </is>
      </c>
      <c r="P25" s="24" t="inlineStr">
        <is>
          <t>Có</t>
        </is>
      </c>
      <c r="Q25" s="22">
        <f>IF($D25="","",IF(AND(OR(DANH_MUC!$L$5&lt;&gt;"Có",M25="Có"),OR(DANH_MUC!$L$6&lt;&gt;"Có",N25="Có"),OR(DANH_MUC!$L$7&lt;&gt;"Có",O25="Có"),OR(DANH_MUC!$L$8&lt;&gt;"Có",P25="Có")),"Có","Không"))</f>
        <v/>
      </c>
      <c r="R25" s="22">
        <f>IF($D25="","",IF(COUNTIF($D$2:$D25,$D25)&gt;1,"Trùng",""))</f>
        <v/>
      </c>
      <c r="S25" s="22">
        <f>IF($D25="","",IF(AND(LEN($D25)=10,LEFT($D25,1)="0",ISNUMBER(--$D25)),"Có","Không"))</f>
        <v/>
      </c>
      <c r="T25" s="22">
        <f>IF($D25="","",IF(AND($C25&lt;&gt;"",$Q25="Có",$R25="",$S25="Có",AND($L25&lt;&gt;"",OR($L25&lt;&gt;"Chưa xác định",DANH_MUC!$L$9="Có"))),"Có","Không"))</f>
        <v/>
      </c>
      <c r="U25" s="22">
        <f>IF(OR($D25="",$T25="Có"),"",IF($C25="","Thiếu họ tên; ","")&amp;IF($S25&lt;&gt;"Có","SĐT sai định dạng; ","")&amp;IF($R25="Trùng","Trùng SĐT; ","")&amp;IF($Q25&lt;&gt;"Có","Thiếu đồng ý bắt buộc; ","")&amp;IF($L25="","Thiếu/sai Mã REF; ",IF(AND($L25="Chưa xác định",DANH_MUC!$L$9&lt;&gt;"Có"),"Nguồn chưa xác định; ","")))</f>
        <v/>
      </c>
      <c r="V25" s="22">
        <f>IF(OR($D25="",$R25="Trùng"),"",IF(COUNTIF(ORDERS!$C$2:$C$4995,$D25)&gt;0,"Có","Không"))</f>
        <v/>
      </c>
      <c r="W25" s="22">
        <f>IF(OR($D25="",$R25="Trùng"),"",COUNTIFS(ORDERS!$C$2:$C$4995,$D25,ORDERS!$L$2:$L$4995,"Đã chuyển khoản"))</f>
        <v/>
      </c>
      <c r="X25" s="23">
        <f>IF(OR($D25="",$R25="Trùng"),"",SUMIFS(ORDERS!$J$2:$J$4995,ORDERS!$C$2:$C$4995,$D25,ORDERS!$L$2:$L$4995,"Đã chuyển khoản"))</f>
        <v/>
      </c>
      <c r="Y25" s="24" t="n"/>
    </row>
    <row r="26" ht="14.25" customHeight="1" s="40">
      <c r="A26" s="24" t="inlineStr">
        <is>
          <t>4638fe1d-2c79-4e90-b842-5676cabf9eb5</t>
        </is>
      </c>
      <c r="B26" s="18" t="n">
        <v>46287.90972222222</v>
      </c>
      <c r="C26" s="24" t="inlineStr">
        <is>
          <t>Lương Thúy Phương</t>
        </is>
      </c>
      <c r="D26" s="28" t="inlineStr">
        <is>
          <t>0904455324</t>
        </is>
      </c>
      <c r="E26" s="29" t="n">
        <v>46161</v>
      </c>
      <c r="F26" s="24" t="inlineStr">
        <is>
          <t>Đã sinh</t>
        </is>
      </c>
      <c r="G26" s="24" t="inlineStr">
        <is>
          <t>Hồ Chí Minh</t>
        </is>
      </c>
      <c r="H26" s="21">
        <f>IF(ISNUMBER($B26),INT($B26)-WEEKDAY($B26,2)+1,"")</f>
        <v/>
      </c>
      <c r="I26" s="24" t="inlineStr">
        <is>
          <t>Z-CIH</t>
        </is>
      </c>
      <c r="J26" s="22">
        <f t="array" ref="J26">IF($D26="","",IF($I26="","(trống REF)",IFERROR(INDEX(MASTER_SOURCE!$B$2:$B$495,MATCH($I26,MASTER_SOURCE!$A$2:$A$495,0)),"(REF không có trong MASTER_SOURCE)")))</f>
        <v/>
      </c>
      <c r="K26" s="22">
        <f t="array" ref="K26">IF($D26="","",IFERROR(INDEX(MASTER_SOURCE!$C$2:$C$495,MATCH($I26,MASTER_SOURCE!$A$2:$A$495,0)),""))</f>
        <v/>
      </c>
      <c r="L26" s="22">
        <f t="array" ref="L26">IF($D26="","",IFERROR(INDEX(MASTER_SOURCE!$D$2:$D$495,MATCH($I26,MASTER_SOURCE!$A$2:$A$495,0)),""))</f>
        <v/>
      </c>
      <c r="M26" s="24" t="inlineStr">
        <is>
          <t>Có</t>
        </is>
      </c>
      <c r="N26" s="24" t="inlineStr">
        <is>
          <t>Có</t>
        </is>
      </c>
      <c r="O26" s="24" t="inlineStr">
        <is>
          <t>Có</t>
        </is>
      </c>
      <c r="P26" s="24" t="inlineStr">
        <is>
          <t>Có</t>
        </is>
      </c>
      <c r="Q26" s="22">
        <f>IF($D26="","",IF(AND(OR(DANH_MUC!$L$5&lt;&gt;"Có",M26="Có"),OR(DANH_MUC!$L$6&lt;&gt;"Có",N26="Có"),OR(DANH_MUC!$L$7&lt;&gt;"Có",O26="Có"),OR(DANH_MUC!$L$8&lt;&gt;"Có",P26="Có")),"Có","Không"))</f>
        <v/>
      </c>
      <c r="R26" s="22">
        <f>IF($D26="","",IF(COUNTIF($D$2:$D26,$D26)&gt;1,"Trùng",""))</f>
        <v/>
      </c>
      <c r="S26" s="22">
        <f>IF($D26="","",IF(AND(LEN($D26)=10,LEFT($D26,1)="0",ISNUMBER(--$D26)),"Có","Không"))</f>
        <v/>
      </c>
      <c r="T26" s="22">
        <f>IF($D26="","",IF(AND($C26&lt;&gt;"",$Q26="Có",$R26="",$S26="Có",AND($L26&lt;&gt;"",OR($L26&lt;&gt;"Chưa xác định",DANH_MUC!$L$9="Có"))),"Có","Không"))</f>
        <v/>
      </c>
      <c r="U26" s="22">
        <f>IF(OR($D26="",$T26="Có"),"",IF($C26="","Thiếu họ tên; ","")&amp;IF($S26&lt;&gt;"Có","SĐT sai định dạng; ","")&amp;IF($R26="Trùng","Trùng SĐT; ","")&amp;IF($Q26&lt;&gt;"Có","Thiếu đồng ý bắt buộc; ","")&amp;IF($L26="","Thiếu/sai Mã REF; ",IF(AND($L26="Chưa xác định",DANH_MUC!$L$9&lt;&gt;"Có"),"Nguồn chưa xác định; ","")))</f>
        <v/>
      </c>
      <c r="V26" s="22">
        <f>IF(OR($D26="",$R26="Trùng"),"",IF(COUNTIF(ORDERS!$C$2:$C$4995,$D26)&gt;0,"Có","Không"))</f>
        <v/>
      </c>
      <c r="W26" s="22">
        <f>IF(OR($D26="",$R26="Trùng"),"",COUNTIFS(ORDERS!$C$2:$C$4995,$D26,ORDERS!$L$2:$L$4995,"Đã chuyển khoản"))</f>
        <v/>
      </c>
      <c r="X26" s="23">
        <f>IF(OR($D26="",$R26="Trùng"),"",SUMIFS(ORDERS!$J$2:$J$4995,ORDERS!$C$2:$C$4995,$D26,ORDERS!$L$2:$L$4995,"Đã chuyển khoản"))</f>
        <v/>
      </c>
      <c r="Y26" s="24" t="n"/>
    </row>
    <row r="27" ht="14.25" customHeight="1" s="40">
      <c r="A27" s="24" t="inlineStr">
        <is>
          <t>0331d971-a3c2-4470-8526-716e18ef4ca5</t>
        </is>
      </c>
      <c r="B27" s="18" t="n">
        <v>46287.90972222222</v>
      </c>
      <c r="C27" s="24" t="inlineStr">
        <is>
          <t>Lương Loan</t>
        </is>
      </c>
      <c r="D27" s="28" t="inlineStr">
        <is>
          <t>0901370868</t>
        </is>
      </c>
      <c r="E27" s="29" t="n">
        <v>46185</v>
      </c>
      <c r="F27" s="24" t="inlineStr">
        <is>
          <t>Đã sinh</t>
        </is>
      </c>
      <c r="G27" s="24" t="inlineStr">
        <is>
          <t>Hồ Chí Minh</t>
        </is>
      </c>
      <c r="H27" s="21">
        <f>IF(ISNUMBER($B27),INT($B27)-WEEKDAY($B27,2)+1,"")</f>
        <v/>
      </c>
      <c r="I27" s="24" t="inlineStr">
        <is>
          <t>Z-CIH</t>
        </is>
      </c>
      <c r="J27" s="22">
        <f t="array" ref="J27">IF($D27="","",IF($I27="","(trống REF)",IFERROR(INDEX(MASTER_SOURCE!$B$2:$B$495,MATCH($I27,MASTER_SOURCE!$A$2:$A$495,0)),"(REF không có trong MASTER_SOURCE)")))</f>
        <v/>
      </c>
      <c r="K27" s="22">
        <f t="array" ref="K27">IF($D27="","",IFERROR(INDEX(MASTER_SOURCE!$C$2:$C$495,MATCH($I27,MASTER_SOURCE!$A$2:$A$495,0)),""))</f>
        <v/>
      </c>
      <c r="L27" s="22">
        <f t="array" ref="L27">IF($D27="","",IFERROR(INDEX(MASTER_SOURCE!$D$2:$D$495,MATCH($I27,MASTER_SOURCE!$A$2:$A$495,0)),""))</f>
        <v/>
      </c>
      <c r="M27" s="24" t="inlineStr">
        <is>
          <t>Có</t>
        </is>
      </c>
      <c r="N27" s="24" t="inlineStr">
        <is>
          <t>Có</t>
        </is>
      </c>
      <c r="O27" s="24" t="inlineStr">
        <is>
          <t>Có</t>
        </is>
      </c>
      <c r="P27" s="24" t="inlineStr">
        <is>
          <t>Có</t>
        </is>
      </c>
      <c r="Q27" s="22">
        <f>IF($D27="","",IF(AND(OR(DANH_MUC!$L$5&lt;&gt;"Có",M27="Có"),OR(DANH_MUC!$L$6&lt;&gt;"Có",N27="Có"),OR(DANH_MUC!$L$7&lt;&gt;"Có",O27="Có"),OR(DANH_MUC!$L$8&lt;&gt;"Có",P27="Có")),"Có","Không"))</f>
        <v/>
      </c>
      <c r="R27" s="22">
        <f>IF($D27="","",IF(COUNTIF($D$2:$D27,$D27)&gt;1,"Trùng",""))</f>
        <v/>
      </c>
      <c r="S27" s="22">
        <f>IF($D27="","",IF(AND(LEN($D27)=10,LEFT($D27,1)="0",ISNUMBER(--$D27)),"Có","Không"))</f>
        <v/>
      </c>
      <c r="T27" s="22">
        <f>IF($D27="","",IF(AND($C27&lt;&gt;"",$Q27="Có",$R27="",$S27="Có",AND($L27&lt;&gt;"",OR($L27&lt;&gt;"Chưa xác định",DANH_MUC!$L$9="Có"))),"Có","Không"))</f>
        <v/>
      </c>
      <c r="U27" s="22">
        <f>IF(OR($D27="",$T27="Có"),"",IF($C27="","Thiếu họ tên; ","")&amp;IF($S27&lt;&gt;"Có","SĐT sai định dạng; ","")&amp;IF($R27="Trùng","Trùng SĐT; ","")&amp;IF($Q27&lt;&gt;"Có","Thiếu đồng ý bắt buộc; ","")&amp;IF($L27="","Thiếu/sai Mã REF; ",IF(AND($L27="Chưa xác định",DANH_MUC!$L$9&lt;&gt;"Có"),"Nguồn chưa xác định; ","")))</f>
        <v/>
      </c>
      <c r="V27" s="22">
        <f>IF(OR($D27="",$R27="Trùng"),"",IF(COUNTIF(ORDERS!$C$2:$C$4995,$D27)&gt;0,"Có","Không"))</f>
        <v/>
      </c>
      <c r="W27" s="22">
        <f>IF(OR($D27="",$R27="Trùng"),"",COUNTIFS(ORDERS!$C$2:$C$4995,$D27,ORDERS!$L$2:$L$4995,"Đã chuyển khoản"))</f>
        <v/>
      </c>
      <c r="X27" s="23">
        <f>IF(OR($D27="",$R27="Trùng"),"",SUMIFS(ORDERS!$J$2:$J$4995,ORDERS!$C$2:$C$4995,$D27,ORDERS!$L$2:$L$4995,"Đã chuyển khoản"))</f>
        <v/>
      </c>
      <c r="Y27" s="24" t="n"/>
    </row>
    <row r="28" ht="14.25" customHeight="1" s="40">
      <c r="A28" s="24" t="inlineStr">
        <is>
          <t>61e06d30-4995-404b-bd85-00b3dda64166</t>
        </is>
      </c>
      <c r="B28" s="18" t="n">
        <v>46287.91319444445</v>
      </c>
      <c r="C28" s="24" t="inlineStr">
        <is>
          <t>Huỳnh Phạm Việt Thanh</t>
        </is>
      </c>
      <c r="D28" s="28" t="inlineStr">
        <is>
          <t>0395242156</t>
        </is>
      </c>
      <c r="E28" s="29" t="n">
        <v>46043</v>
      </c>
      <c r="F28" s="24" t="inlineStr">
        <is>
          <t>Đã sinh</t>
        </is>
      </c>
      <c r="G28" s="24" t="inlineStr">
        <is>
          <t>Hồ Chí Minh</t>
        </is>
      </c>
      <c r="H28" s="21">
        <f>IF(ISNUMBER($B28),INT($B28)-WEEKDAY($B28,2)+1,"")</f>
        <v/>
      </c>
      <c r="I28" s="24" t="inlineStr">
        <is>
          <t>Z-00</t>
        </is>
      </c>
      <c r="J28" s="22">
        <f t="array" ref="J28">IF($D28="","",IF($I28="","(trống REF)",IFERROR(INDEX(MASTER_SOURCE!$B$2:$B$495,MATCH($I28,MASTER_SOURCE!$A$2:$A$495,0)),"(REF không có trong MASTER_SOURCE)")))</f>
        <v/>
      </c>
      <c r="K28" s="22">
        <f t="array" ref="K28">IF($D28="","",IFERROR(INDEX(MASTER_SOURCE!$C$2:$C$495,MATCH($I28,MASTER_SOURCE!$A$2:$A$495,0)),""))</f>
        <v/>
      </c>
      <c r="L28" s="22">
        <f t="array" ref="L28">IF($D28="","",IFERROR(INDEX(MASTER_SOURCE!$D$2:$D$495,MATCH($I28,MASTER_SOURCE!$A$2:$A$495,0)),""))</f>
        <v/>
      </c>
      <c r="M28" s="24" t="inlineStr">
        <is>
          <t>Có</t>
        </is>
      </c>
      <c r="N28" s="24" t="inlineStr">
        <is>
          <t>Có</t>
        </is>
      </c>
      <c r="O28" s="24" t="inlineStr">
        <is>
          <t>Có</t>
        </is>
      </c>
      <c r="P28" s="24" t="inlineStr">
        <is>
          <t>Có</t>
        </is>
      </c>
      <c r="Q28" s="22">
        <f>IF($D28="","",IF(AND(OR(DANH_MUC!$L$5&lt;&gt;"Có",M28="Có"),OR(DANH_MUC!$L$6&lt;&gt;"Có",N28="Có"),OR(DANH_MUC!$L$7&lt;&gt;"Có",O28="Có"),OR(DANH_MUC!$L$8&lt;&gt;"Có",P28="Có")),"Có","Không"))</f>
        <v/>
      </c>
      <c r="R28" s="22">
        <f>IF($D28="","",IF(COUNTIF($D$2:$D28,$D28)&gt;1,"Trùng",""))</f>
        <v/>
      </c>
      <c r="S28" s="22">
        <f>IF($D28="","",IF(AND(LEN($D28)=10,LEFT($D28,1)="0",ISNUMBER(--$D28)),"Có","Không"))</f>
        <v/>
      </c>
      <c r="T28" s="22">
        <f>IF($D28="","",IF(AND($C28&lt;&gt;"",$Q28="Có",$R28="",$S28="Có",AND($L28&lt;&gt;"",OR($L28&lt;&gt;"Chưa xác định",DANH_MUC!$L$9="Có"))),"Có","Không"))</f>
        <v/>
      </c>
      <c r="U28" s="22">
        <f>IF(OR($D28="",$T28="Có"),"",IF($C28="","Thiếu họ tên; ","")&amp;IF($S28&lt;&gt;"Có","SĐT sai định dạng; ","")&amp;IF($R28="Trùng","Trùng SĐT; ","")&amp;IF($Q28&lt;&gt;"Có","Thiếu đồng ý bắt buộc; ","")&amp;IF($L28="","Thiếu/sai Mã REF; ",IF(AND($L28="Chưa xác định",DANH_MUC!$L$9&lt;&gt;"Có"),"Nguồn chưa xác định; ","")))</f>
        <v/>
      </c>
      <c r="V28" s="22">
        <f>IF(OR($D28="",$R28="Trùng"),"",IF(COUNTIF(ORDERS!$C$2:$C$4995,$D28)&gt;0,"Có","Không"))</f>
        <v/>
      </c>
      <c r="W28" s="22">
        <f>IF(OR($D28="",$R28="Trùng"),"",COUNTIFS(ORDERS!$C$2:$C$4995,$D28,ORDERS!$L$2:$L$4995,"Đã chuyển khoản"))</f>
        <v/>
      </c>
      <c r="X28" s="23">
        <f>IF(OR($D28="",$R28="Trùng"),"",SUMIFS(ORDERS!$J$2:$J$4995,ORDERS!$C$2:$C$4995,$D28,ORDERS!$L$2:$L$4995,"Đã chuyển khoản"))</f>
        <v/>
      </c>
      <c r="Y28" s="24" t="n"/>
    </row>
    <row r="29" ht="14.25" customHeight="1" s="40">
      <c r="A29" s="24" t="inlineStr">
        <is>
          <t>267c4200-aa4b-4a31-bf5d-e259587a5d43</t>
        </is>
      </c>
      <c r="B29" s="18" t="n">
        <v>46287.91527777778</v>
      </c>
      <c r="C29" s="24" t="inlineStr">
        <is>
          <t>Trần Thị Cẩm Tú</t>
        </is>
      </c>
      <c r="D29" s="28" t="inlineStr">
        <is>
          <t>0387335373</t>
        </is>
      </c>
      <c r="E29" s="29" t="n">
        <v>45971</v>
      </c>
      <c r="F29" s="24" t="inlineStr">
        <is>
          <t>Đã sinh</t>
        </is>
      </c>
      <c r="G29" s="24" t="inlineStr">
        <is>
          <t>Hồ Chí Minh</t>
        </is>
      </c>
      <c r="H29" s="21">
        <f>IF(ISNUMBER($B29),INT($B29)-WEEKDAY($B29,2)+1,"")</f>
        <v/>
      </c>
      <c r="I29" s="24" t="inlineStr">
        <is>
          <t>Z-CIH</t>
        </is>
      </c>
      <c r="J29" s="22">
        <f t="array" ref="J29">IF($D29="","",IF($I29="","(trống REF)",IFERROR(INDEX(MASTER_SOURCE!$B$2:$B$495,MATCH($I29,MASTER_SOURCE!$A$2:$A$495,0)),"(REF không có trong MASTER_SOURCE)")))</f>
        <v/>
      </c>
      <c r="K29" s="22">
        <f t="array" ref="K29">IF($D29="","",IFERROR(INDEX(MASTER_SOURCE!$C$2:$C$495,MATCH($I29,MASTER_SOURCE!$A$2:$A$495,0)),""))</f>
        <v/>
      </c>
      <c r="L29" s="22">
        <f t="array" ref="L29">IF($D29="","",IFERROR(INDEX(MASTER_SOURCE!$D$2:$D$495,MATCH($I29,MASTER_SOURCE!$A$2:$A$495,0)),""))</f>
        <v/>
      </c>
      <c r="M29" s="24" t="inlineStr">
        <is>
          <t>Có</t>
        </is>
      </c>
      <c r="N29" s="24" t="inlineStr">
        <is>
          <t>Có</t>
        </is>
      </c>
      <c r="O29" s="24" t="inlineStr">
        <is>
          <t>Có</t>
        </is>
      </c>
      <c r="P29" s="24" t="inlineStr">
        <is>
          <t>Có</t>
        </is>
      </c>
      <c r="Q29" s="22">
        <f>IF($D29="","",IF(AND(OR(DANH_MUC!$L$5&lt;&gt;"Có",M29="Có"),OR(DANH_MUC!$L$6&lt;&gt;"Có",N29="Có"),OR(DANH_MUC!$L$7&lt;&gt;"Có",O29="Có"),OR(DANH_MUC!$L$8&lt;&gt;"Có",P29="Có")),"Có","Không"))</f>
        <v/>
      </c>
      <c r="R29" s="22">
        <f>IF($D29="","",IF(COUNTIF($D$2:$D29,$D29)&gt;1,"Trùng",""))</f>
        <v/>
      </c>
      <c r="S29" s="22">
        <f>IF($D29="","",IF(AND(LEN($D29)=10,LEFT($D29,1)="0",ISNUMBER(--$D29)),"Có","Không"))</f>
        <v/>
      </c>
      <c r="T29" s="22">
        <f>IF($D29="","",IF(AND($C29&lt;&gt;"",$Q29="Có",$R29="",$S29="Có",AND($L29&lt;&gt;"",OR($L29&lt;&gt;"Chưa xác định",DANH_MUC!$L$9="Có"))),"Có","Không"))</f>
        <v/>
      </c>
      <c r="U29" s="22">
        <f>IF(OR($D29="",$T29="Có"),"",IF($C29="","Thiếu họ tên; ","")&amp;IF($S29&lt;&gt;"Có","SĐT sai định dạng; ","")&amp;IF($R29="Trùng","Trùng SĐT; ","")&amp;IF($Q29&lt;&gt;"Có","Thiếu đồng ý bắt buộc; ","")&amp;IF($L29="","Thiếu/sai Mã REF; ",IF(AND($L29="Chưa xác định",DANH_MUC!$L$9&lt;&gt;"Có"),"Nguồn chưa xác định; ","")))</f>
        <v/>
      </c>
      <c r="V29" s="22">
        <f>IF(OR($D29="",$R29="Trùng"),"",IF(COUNTIF(ORDERS!$C$2:$C$4995,$D29)&gt;0,"Có","Không"))</f>
        <v/>
      </c>
      <c r="W29" s="22">
        <f>IF(OR($D29="",$R29="Trùng"),"",COUNTIFS(ORDERS!$C$2:$C$4995,$D29,ORDERS!$L$2:$L$4995,"Đã chuyển khoản"))</f>
        <v/>
      </c>
      <c r="X29" s="23">
        <f>IF(OR($D29="",$R29="Trùng"),"",SUMIFS(ORDERS!$J$2:$J$4995,ORDERS!$C$2:$C$4995,$D29,ORDERS!$L$2:$L$4995,"Đã chuyển khoản"))</f>
        <v/>
      </c>
      <c r="Y29" s="24" t="n"/>
    </row>
    <row r="30" ht="14.25" customHeight="1" s="40">
      <c r="A30" s="24" t="inlineStr">
        <is>
          <t>278afc2b-5c85-4894-8b0d-a997b29706ec</t>
        </is>
      </c>
      <c r="B30" s="18" t="n">
        <v>46287.92569444444</v>
      </c>
      <c r="C30" s="24" t="inlineStr">
        <is>
          <t>Nguyễn Thị Long Ẩn</t>
        </is>
      </c>
      <c r="D30" s="28" t="inlineStr">
        <is>
          <t>0359186944</t>
        </is>
      </c>
      <c r="E30" s="29" t="n">
        <v>46040</v>
      </c>
      <c r="F30" s="24" t="inlineStr">
        <is>
          <t>Đã sinh</t>
        </is>
      </c>
      <c r="G30" s="24" t="inlineStr">
        <is>
          <t>Hồ Chí Minh</t>
        </is>
      </c>
      <c r="H30" s="21">
        <f>IF(ISNUMBER($B30),INT($B30)-WEEKDAY($B30,2)+1,"")</f>
        <v/>
      </c>
      <c r="I30" s="24" t="inlineStr">
        <is>
          <t>Z-CIH</t>
        </is>
      </c>
      <c r="J30" s="22">
        <f t="array" ref="J30">IF($D30="","",IF($I30="","(trống REF)",IFERROR(INDEX(MASTER_SOURCE!$B$2:$B$495,MATCH($I30,MASTER_SOURCE!$A$2:$A$495,0)),"(REF không có trong MASTER_SOURCE)")))</f>
        <v/>
      </c>
      <c r="K30" s="22">
        <f t="array" ref="K30">IF($D30="","",IFERROR(INDEX(MASTER_SOURCE!$C$2:$C$495,MATCH($I30,MASTER_SOURCE!$A$2:$A$495,0)),""))</f>
        <v/>
      </c>
      <c r="L30" s="22">
        <f t="array" ref="L30">IF($D30="","",IFERROR(INDEX(MASTER_SOURCE!$D$2:$D$495,MATCH($I30,MASTER_SOURCE!$A$2:$A$495,0)),""))</f>
        <v/>
      </c>
      <c r="M30" s="24" t="inlineStr">
        <is>
          <t>Có</t>
        </is>
      </c>
      <c r="N30" s="24" t="inlineStr">
        <is>
          <t>Có</t>
        </is>
      </c>
      <c r="O30" s="24" t="inlineStr">
        <is>
          <t>Có</t>
        </is>
      </c>
      <c r="P30" s="24" t="inlineStr">
        <is>
          <t>Có</t>
        </is>
      </c>
      <c r="Q30" s="22">
        <f>IF($D30="","",IF(AND(OR(DANH_MUC!$L$5&lt;&gt;"Có",M30="Có"),OR(DANH_MUC!$L$6&lt;&gt;"Có",N30="Có"),OR(DANH_MUC!$L$7&lt;&gt;"Có",O30="Có"),OR(DANH_MUC!$L$8&lt;&gt;"Có",P30="Có")),"Có","Không"))</f>
        <v/>
      </c>
      <c r="R30" s="22">
        <f>IF($D30="","",IF(COUNTIF($D$2:$D30,$D30)&gt;1,"Trùng",""))</f>
        <v/>
      </c>
      <c r="S30" s="22">
        <f>IF($D30="","",IF(AND(LEN($D30)=10,LEFT($D30,1)="0",ISNUMBER(--$D30)),"Có","Không"))</f>
        <v/>
      </c>
      <c r="T30" s="22">
        <f>IF($D30="","",IF(AND($C30&lt;&gt;"",$Q30="Có",$R30="",$S30="Có",AND($L30&lt;&gt;"",OR($L30&lt;&gt;"Chưa xác định",DANH_MUC!$L$9="Có"))),"Có","Không"))</f>
        <v/>
      </c>
      <c r="U30" s="22">
        <f>IF(OR($D30="",$T30="Có"),"",IF($C30="","Thiếu họ tên; ","")&amp;IF($S30&lt;&gt;"Có","SĐT sai định dạng; ","")&amp;IF($R30="Trùng","Trùng SĐT; ","")&amp;IF($Q30&lt;&gt;"Có","Thiếu đồng ý bắt buộc; ","")&amp;IF($L30="","Thiếu/sai Mã REF; ",IF(AND($L30="Chưa xác định",DANH_MUC!$L$9&lt;&gt;"Có"),"Nguồn chưa xác định; ","")))</f>
        <v/>
      </c>
      <c r="V30" s="22">
        <f>IF(OR($D30="",$R30="Trùng"),"",IF(COUNTIF(ORDERS!$C$2:$C$4995,$D30)&gt;0,"Có","Không"))</f>
        <v/>
      </c>
      <c r="W30" s="22">
        <f>IF(OR($D30="",$R30="Trùng"),"",COUNTIFS(ORDERS!$C$2:$C$4995,$D30,ORDERS!$L$2:$L$4995,"Đã chuyển khoản"))</f>
        <v/>
      </c>
      <c r="X30" s="23">
        <f>IF(OR($D30="",$R30="Trùng"),"",SUMIFS(ORDERS!$J$2:$J$4995,ORDERS!$C$2:$C$4995,$D30,ORDERS!$L$2:$L$4995,"Đã chuyển khoản"))</f>
        <v/>
      </c>
      <c r="Y30" s="24" t="n"/>
    </row>
    <row r="31" ht="14.25" customHeight="1" s="40">
      <c r="A31" s="24" t="inlineStr">
        <is>
          <t>5bfdbc85-52db-42f8-9425-2ec74bc967a5</t>
        </is>
      </c>
      <c r="B31" s="18" t="n">
        <v>46287.9375</v>
      </c>
      <c r="C31" s="24" t="inlineStr">
        <is>
          <t>Lê Trà My</t>
        </is>
      </c>
      <c r="D31" s="28" t="inlineStr">
        <is>
          <t>0983683700</t>
        </is>
      </c>
      <c r="E31" s="29" t="n">
        <v>46179</v>
      </c>
      <c r="F31" s="24" t="inlineStr">
        <is>
          <t>Đã sinh</t>
        </is>
      </c>
      <c r="G31" s="24" t="inlineStr">
        <is>
          <t>Hồ Chí Minh</t>
        </is>
      </c>
      <c r="H31" s="21">
        <f>IF(ISNUMBER($B31),INT($B31)-WEEKDAY($B31,2)+1,"")</f>
        <v/>
      </c>
      <c r="I31" s="24" t="inlineStr">
        <is>
          <t>Z-00</t>
        </is>
      </c>
      <c r="J31" s="22">
        <f t="array" ref="J31">IF($D31="","",IF($I31="","(trống REF)",IFERROR(INDEX(MASTER_SOURCE!$B$2:$B$495,MATCH($I31,MASTER_SOURCE!$A$2:$A$495,0)),"(REF không có trong MASTER_SOURCE)")))</f>
        <v/>
      </c>
      <c r="K31" s="22">
        <f t="array" ref="K31">IF($D31="","",IFERROR(INDEX(MASTER_SOURCE!$C$2:$C$495,MATCH($I31,MASTER_SOURCE!$A$2:$A$495,0)),""))</f>
        <v/>
      </c>
      <c r="L31" s="22">
        <f t="array" ref="L31">IF($D31="","",IFERROR(INDEX(MASTER_SOURCE!$D$2:$D$495,MATCH($I31,MASTER_SOURCE!$A$2:$A$495,0)),""))</f>
        <v/>
      </c>
      <c r="M31" s="24" t="inlineStr">
        <is>
          <t>Có</t>
        </is>
      </c>
      <c r="N31" s="24" t="inlineStr">
        <is>
          <t>Có</t>
        </is>
      </c>
      <c r="O31" s="24" t="inlineStr">
        <is>
          <t>Có</t>
        </is>
      </c>
      <c r="P31" s="24" t="inlineStr">
        <is>
          <t>Có</t>
        </is>
      </c>
      <c r="Q31" s="22">
        <f>IF($D31="","",IF(AND(OR(DANH_MUC!$L$5&lt;&gt;"Có",M31="Có"),OR(DANH_MUC!$L$6&lt;&gt;"Có",N31="Có"),OR(DANH_MUC!$L$7&lt;&gt;"Có",O31="Có"),OR(DANH_MUC!$L$8&lt;&gt;"Có",P31="Có")),"Có","Không"))</f>
        <v/>
      </c>
      <c r="R31" s="22">
        <f>IF($D31="","",IF(COUNTIF($D$2:$D31,$D31)&gt;1,"Trùng",""))</f>
        <v/>
      </c>
      <c r="S31" s="22">
        <f>IF($D31="","",IF(AND(LEN($D31)=10,LEFT($D31,1)="0",ISNUMBER(--$D31)),"Có","Không"))</f>
        <v/>
      </c>
      <c r="T31" s="22">
        <f>IF($D31="","",IF(AND($C31&lt;&gt;"",$Q31="Có",$R31="",$S31="Có",AND($L31&lt;&gt;"",OR($L31&lt;&gt;"Chưa xác định",DANH_MUC!$L$9="Có"))),"Có","Không"))</f>
        <v/>
      </c>
      <c r="U31" s="22">
        <f>IF(OR($D31="",$T31="Có"),"",IF($C31="","Thiếu họ tên; ","")&amp;IF($S31&lt;&gt;"Có","SĐT sai định dạng; ","")&amp;IF($R31="Trùng","Trùng SĐT; ","")&amp;IF($Q31&lt;&gt;"Có","Thiếu đồng ý bắt buộc; ","")&amp;IF($L31="","Thiếu/sai Mã REF; ",IF(AND($L31="Chưa xác định",DANH_MUC!$L$9&lt;&gt;"Có"),"Nguồn chưa xác định; ","")))</f>
        <v/>
      </c>
      <c r="V31" s="22">
        <f>IF(OR($D31="",$R31="Trùng"),"",IF(COUNTIF(ORDERS!$C$2:$C$4995,$D31)&gt;0,"Có","Không"))</f>
        <v/>
      </c>
      <c r="W31" s="22">
        <f>IF(OR($D31="",$R31="Trùng"),"",COUNTIFS(ORDERS!$C$2:$C$4995,$D31,ORDERS!$L$2:$L$4995,"Đã chuyển khoản"))</f>
        <v/>
      </c>
      <c r="X31" s="23">
        <f>IF(OR($D31="",$R31="Trùng"),"",SUMIFS(ORDERS!$J$2:$J$4995,ORDERS!$C$2:$C$4995,$D31,ORDERS!$L$2:$L$4995,"Đã chuyển khoản"))</f>
        <v/>
      </c>
      <c r="Y31" s="24" t="n"/>
    </row>
    <row r="32" ht="14.25" customHeight="1" s="40">
      <c r="A32" s="24" t="inlineStr">
        <is>
          <t>ddd9f022-88ef-4e04-8b6e-9af3f16e95b9</t>
        </is>
      </c>
      <c r="B32" s="18" t="n">
        <v>46288.38125</v>
      </c>
      <c r="C32" s="24" t="inlineStr">
        <is>
          <t>Tăng Thu Phương</t>
        </is>
      </c>
      <c r="D32" s="28" t="inlineStr">
        <is>
          <t>0902073748</t>
        </is>
      </c>
      <c r="E32" s="29" t="n">
        <v>46346</v>
      </c>
      <c r="F32" s="24" t="inlineStr">
        <is>
          <t>Đang mang thai</t>
        </is>
      </c>
      <c r="G32" s="24" t="inlineStr">
        <is>
          <t>Hải Phòng</t>
        </is>
      </c>
      <c r="H32" s="21">
        <f>IF(ISNUMBER($B32),INT($B32)-WEEKDAY($B32,2)+1,"")</f>
        <v/>
      </c>
      <c r="I32" s="24" t="inlineStr">
        <is>
          <t>Z-00</t>
        </is>
      </c>
      <c r="J32" s="22">
        <f t="array" ref="J32">IF($D32="","",IF($I32="","(trống REF)",IFERROR(INDEX(MASTER_SOURCE!$B$2:$B$495,MATCH($I32,MASTER_SOURCE!$A$2:$A$495,0)),"(REF không có trong MASTER_SOURCE)")))</f>
        <v/>
      </c>
      <c r="K32" s="22">
        <f t="array" ref="K32">IF($D32="","",IFERROR(INDEX(MASTER_SOURCE!$C$2:$C$495,MATCH($I32,MASTER_SOURCE!$A$2:$A$495,0)),""))</f>
        <v/>
      </c>
      <c r="L32" s="22">
        <f t="array" ref="L32">IF($D32="","",IFERROR(INDEX(MASTER_SOURCE!$D$2:$D$495,MATCH($I32,MASTER_SOURCE!$A$2:$A$495,0)),""))</f>
        <v/>
      </c>
      <c r="M32" s="24" t="inlineStr">
        <is>
          <t>Có</t>
        </is>
      </c>
      <c r="N32" s="24" t="inlineStr">
        <is>
          <t>Có</t>
        </is>
      </c>
      <c r="O32" s="24" t="inlineStr">
        <is>
          <t>Có</t>
        </is>
      </c>
      <c r="P32" s="24" t="inlineStr">
        <is>
          <t>Có</t>
        </is>
      </c>
      <c r="Q32" s="22">
        <f>IF($D32="","",IF(AND(OR(DANH_MUC!$L$5&lt;&gt;"Có",M32="Có"),OR(DANH_MUC!$L$6&lt;&gt;"Có",N32="Có"),OR(DANH_MUC!$L$7&lt;&gt;"Có",O32="Có"),OR(DANH_MUC!$L$8&lt;&gt;"Có",P32="Có")),"Có","Không"))</f>
        <v/>
      </c>
      <c r="R32" s="22">
        <f>IF($D32="","",IF(COUNTIF($D$2:$D32,$D32)&gt;1,"Trùng",""))</f>
        <v/>
      </c>
      <c r="S32" s="22">
        <f>IF($D32="","",IF(AND(LEN($D32)=10,LEFT($D32,1)="0",ISNUMBER(--$D32)),"Có","Không"))</f>
        <v/>
      </c>
      <c r="T32" s="22">
        <f>IF($D32="","",IF(AND($C32&lt;&gt;"",$Q32="Có",$R32="",$S32="Có",AND($L32&lt;&gt;"",OR($L32&lt;&gt;"Chưa xác định",DANH_MUC!$L$9="Có"))),"Có","Không"))</f>
        <v/>
      </c>
      <c r="U32" s="22">
        <f>IF(OR($D32="",$T32="Có"),"",IF($C32="","Thiếu họ tên; ","")&amp;IF($S32&lt;&gt;"Có","SĐT sai định dạng; ","")&amp;IF($R32="Trùng","Trùng SĐT; ","")&amp;IF($Q32&lt;&gt;"Có","Thiếu đồng ý bắt buộc; ","")&amp;IF($L32="","Thiếu/sai Mã REF; ",IF(AND($L32="Chưa xác định",DANH_MUC!$L$9&lt;&gt;"Có"),"Nguồn chưa xác định; ","")))</f>
        <v/>
      </c>
      <c r="V32" s="22">
        <f>IF(OR($D32="",$R32="Trùng"),"",IF(COUNTIF(ORDERS!$C$2:$C$4995,$D32)&gt;0,"Có","Không"))</f>
        <v/>
      </c>
      <c r="W32" s="22">
        <f>IF(OR($D32="",$R32="Trùng"),"",COUNTIFS(ORDERS!$C$2:$C$4995,$D32,ORDERS!$L$2:$L$4995,"Đã chuyển khoản"))</f>
        <v/>
      </c>
      <c r="X32" s="23">
        <f>IF(OR($D32="",$R32="Trùng"),"",SUMIFS(ORDERS!$J$2:$J$4995,ORDERS!$C$2:$C$4995,$D32,ORDERS!$L$2:$L$4995,"Đã chuyển khoản"))</f>
        <v/>
      </c>
      <c r="Y32" s="24" t="n"/>
    </row>
    <row r="33" ht="14.25" customHeight="1" s="40">
      <c r="A33" s="24" t="inlineStr">
        <is>
          <t>038d7b7a-2e4b-43f5-af10-265fc1563bf2</t>
        </is>
      </c>
      <c r="B33" s="18" t="n">
        <v>46288.41666666666</v>
      </c>
      <c r="C33" s="24" t="inlineStr">
        <is>
          <t>NGUYỄN THỊ THU HIỀN</t>
        </is>
      </c>
      <c r="D33" s="28" t="inlineStr">
        <is>
          <t>0936749364</t>
        </is>
      </c>
      <c r="E33" s="29" t="n">
        <v>46234</v>
      </c>
      <c r="F33" s="24" t="inlineStr">
        <is>
          <t>Đã sinh</t>
        </is>
      </c>
      <c r="G33" s="24" t="inlineStr">
        <is>
          <t>Hồ Chí Minh</t>
        </is>
      </c>
      <c r="H33" s="21">
        <f>IF(ISNUMBER($B33),INT($B33)-WEEKDAY($B33,2)+1,"")</f>
        <v/>
      </c>
      <c r="I33" s="24" t="inlineStr">
        <is>
          <t>Z-CIH</t>
        </is>
      </c>
      <c r="J33" s="22">
        <f t="array" ref="J33">IF($D33="","",IF($I33="","(trống REF)",IFERROR(INDEX(MASTER_SOURCE!$B$2:$B$495,MATCH($I33,MASTER_SOURCE!$A$2:$A$495,0)),"(REF không có trong MASTER_SOURCE)")))</f>
        <v/>
      </c>
      <c r="K33" s="22">
        <f t="array" ref="K33">IF($D33="","",IFERROR(INDEX(MASTER_SOURCE!$C$2:$C$495,MATCH($I33,MASTER_SOURCE!$A$2:$A$495,0)),""))</f>
        <v/>
      </c>
      <c r="L33" s="22">
        <f t="array" ref="L33">IF($D33="","",IFERROR(INDEX(MASTER_SOURCE!$D$2:$D$495,MATCH($I33,MASTER_SOURCE!$A$2:$A$495,0)),""))</f>
        <v/>
      </c>
      <c r="M33" s="24" t="inlineStr">
        <is>
          <t>Có</t>
        </is>
      </c>
      <c r="N33" s="24" t="inlineStr">
        <is>
          <t>Có</t>
        </is>
      </c>
      <c r="O33" s="24" t="inlineStr">
        <is>
          <t>Có</t>
        </is>
      </c>
      <c r="P33" s="24" t="inlineStr">
        <is>
          <t>Có</t>
        </is>
      </c>
      <c r="Q33" s="22">
        <f>IF($D33="","",IF(AND(OR(DANH_MUC!$L$5&lt;&gt;"Có",M33="Có"),OR(DANH_MUC!$L$6&lt;&gt;"Có",N33="Có"),OR(DANH_MUC!$L$7&lt;&gt;"Có",O33="Có"),OR(DANH_MUC!$L$8&lt;&gt;"Có",P33="Có")),"Có","Không"))</f>
        <v/>
      </c>
      <c r="R33" s="22">
        <f>IF($D33="","",IF(COUNTIF($D$2:$D33,$D33)&gt;1,"Trùng",""))</f>
        <v/>
      </c>
      <c r="S33" s="22">
        <f>IF($D33="","",IF(AND(LEN($D33)=10,LEFT($D33,1)="0",ISNUMBER(--$D33)),"Có","Không"))</f>
        <v/>
      </c>
      <c r="T33" s="22">
        <f>IF($D33="","",IF(AND($C33&lt;&gt;"",$Q33="Có",$R33="",$S33="Có",AND($L33&lt;&gt;"",OR($L33&lt;&gt;"Chưa xác định",DANH_MUC!$L$9="Có"))),"Có","Không"))</f>
        <v/>
      </c>
      <c r="U33" s="22">
        <f>IF(OR($D33="",$T33="Có"),"",IF($C33="","Thiếu họ tên; ","")&amp;IF($S33&lt;&gt;"Có","SĐT sai định dạng; ","")&amp;IF($R33="Trùng","Trùng SĐT; ","")&amp;IF($Q33&lt;&gt;"Có","Thiếu đồng ý bắt buộc; ","")&amp;IF($L33="","Thiếu/sai Mã REF; ",IF(AND($L33="Chưa xác định",DANH_MUC!$L$9&lt;&gt;"Có"),"Nguồn chưa xác định; ","")))</f>
        <v/>
      </c>
      <c r="V33" s="22">
        <f>IF(OR($D33="",$R33="Trùng"),"",IF(COUNTIF(ORDERS!$C$2:$C$4995,$D33)&gt;0,"Có","Không"))</f>
        <v/>
      </c>
      <c r="W33" s="22">
        <f>IF(OR($D33="",$R33="Trùng"),"",COUNTIFS(ORDERS!$C$2:$C$4995,$D33,ORDERS!$L$2:$L$4995,"Đã chuyển khoản"))</f>
        <v/>
      </c>
      <c r="X33" s="23">
        <f>IF(OR($D33="",$R33="Trùng"),"",SUMIFS(ORDERS!$J$2:$J$4995,ORDERS!$C$2:$C$4995,$D33,ORDERS!$L$2:$L$4995,"Đã chuyển khoản"))</f>
        <v/>
      </c>
      <c r="Y33" s="24" t="n"/>
    </row>
    <row r="34" ht="14.25" customHeight="1" s="40">
      <c r="A34" s="24" t="inlineStr">
        <is>
          <t>e38cd26d-dfab-4add-9ba1-cb8fc6f1c4e3</t>
        </is>
      </c>
      <c r="B34" s="18" t="n">
        <v>46288.50138888889</v>
      </c>
      <c r="C34" s="24" t="inlineStr">
        <is>
          <t>Vũ Thị Thi Huyền</t>
        </is>
      </c>
      <c r="D34" s="28" t="inlineStr">
        <is>
          <t>0787278432</t>
        </is>
      </c>
      <c r="E34" s="29" t="n">
        <v>46331</v>
      </c>
      <c r="F34" s="24" t="inlineStr">
        <is>
          <t>Đang mang thai</t>
        </is>
      </c>
      <c r="G34" s="24" t="inlineStr">
        <is>
          <t>Hải Phòng</t>
        </is>
      </c>
      <c r="H34" s="21">
        <f>IF(ISNUMBER($B34),INT($B34)-WEEKDAY($B34,2)+1,"")</f>
        <v/>
      </c>
      <c r="I34" s="24" t="inlineStr">
        <is>
          <t>Z-00</t>
        </is>
      </c>
      <c r="J34" s="22">
        <f t="array" ref="J34">IF($D34="","",IF($I34="","(trống REF)",IFERROR(INDEX(MASTER_SOURCE!$B$2:$B$495,MATCH($I34,MASTER_SOURCE!$A$2:$A$495,0)),"(REF không có trong MASTER_SOURCE)")))</f>
        <v/>
      </c>
      <c r="K34" s="22">
        <f t="array" ref="K34">IF($D34="","",IFERROR(INDEX(MASTER_SOURCE!$C$2:$C$495,MATCH($I34,MASTER_SOURCE!$A$2:$A$495,0)),""))</f>
        <v/>
      </c>
      <c r="L34" s="22">
        <f t="array" ref="L34">IF($D34="","",IFERROR(INDEX(MASTER_SOURCE!$D$2:$D$495,MATCH($I34,MASTER_SOURCE!$A$2:$A$495,0)),""))</f>
        <v/>
      </c>
      <c r="M34" s="24" t="inlineStr">
        <is>
          <t>Có</t>
        </is>
      </c>
      <c r="N34" s="24" t="inlineStr">
        <is>
          <t>Có</t>
        </is>
      </c>
      <c r="O34" s="24" t="inlineStr">
        <is>
          <t>Có</t>
        </is>
      </c>
      <c r="P34" s="24" t="inlineStr">
        <is>
          <t>Có</t>
        </is>
      </c>
      <c r="Q34" s="22">
        <f>IF($D34="","",IF(AND(OR(DANH_MUC!$L$5&lt;&gt;"Có",M34="Có"),OR(DANH_MUC!$L$6&lt;&gt;"Có",N34="Có"),OR(DANH_MUC!$L$7&lt;&gt;"Có",O34="Có"),OR(DANH_MUC!$L$8&lt;&gt;"Có",P34="Có")),"Có","Không"))</f>
        <v/>
      </c>
      <c r="R34" s="22">
        <f>IF($D34="","",IF(COUNTIF($D$2:$D34,$D34)&gt;1,"Trùng",""))</f>
        <v/>
      </c>
      <c r="S34" s="22">
        <f>IF($D34="","",IF(AND(LEN($D34)=10,LEFT($D34,1)="0",ISNUMBER(--$D34)),"Có","Không"))</f>
        <v/>
      </c>
      <c r="T34" s="22">
        <f>IF($D34="","",IF(AND($C34&lt;&gt;"",$Q34="Có",$R34="",$S34="Có",AND($L34&lt;&gt;"",OR($L34&lt;&gt;"Chưa xác định",DANH_MUC!$L$9="Có"))),"Có","Không"))</f>
        <v/>
      </c>
      <c r="U34" s="22">
        <f>IF(OR($D34="",$T34="Có"),"",IF($C34="","Thiếu họ tên; ","")&amp;IF($S34&lt;&gt;"Có","SĐT sai định dạng; ","")&amp;IF($R34="Trùng","Trùng SĐT; ","")&amp;IF($Q34&lt;&gt;"Có","Thiếu đồng ý bắt buộc; ","")&amp;IF($L34="","Thiếu/sai Mã REF; ",IF(AND($L34="Chưa xác định",DANH_MUC!$L$9&lt;&gt;"Có"),"Nguồn chưa xác định; ","")))</f>
        <v/>
      </c>
      <c r="V34" s="22">
        <f>IF(OR($D34="",$R34="Trùng"),"",IF(COUNTIF(ORDERS!$C$2:$C$4995,$D34)&gt;0,"Có","Không"))</f>
        <v/>
      </c>
      <c r="W34" s="22">
        <f>IF(OR($D34="",$R34="Trùng"),"",COUNTIFS(ORDERS!$C$2:$C$4995,$D34,ORDERS!$L$2:$L$4995,"Đã chuyển khoản"))</f>
        <v/>
      </c>
      <c r="X34" s="23">
        <f>IF(OR($D34="",$R34="Trùng"),"",SUMIFS(ORDERS!$J$2:$J$4995,ORDERS!$C$2:$C$4995,$D34,ORDERS!$L$2:$L$4995,"Đã chuyển khoản"))</f>
        <v/>
      </c>
      <c r="Y34" s="24" t="n"/>
    </row>
    <row r="35" ht="14.25" customHeight="1" s="40">
      <c r="A35" s="24" t="inlineStr">
        <is>
          <t>ae11f024-f657-4733-8449-578bdc38e4a2</t>
        </is>
      </c>
      <c r="B35" s="18" t="n">
        <v>46288.54236111111</v>
      </c>
      <c r="C35" s="24" t="inlineStr">
        <is>
          <t>Lê Thị Kiều Diễm</t>
        </is>
      </c>
      <c r="D35" s="28" t="inlineStr">
        <is>
          <t>0783316286</t>
        </is>
      </c>
      <c r="E35" s="29" t="n">
        <v>46260</v>
      </c>
      <c r="F35" s="24" t="inlineStr">
        <is>
          <t>Đã sinh</t>
        </is>
      </c>
      <c r="G35" s="24" t="inlineStr">
        <is>
          <t>Hồ Chí Minh</t>
        </is>
      </c>
      <c r="H35" s="21">
        <f>IF(ISNUMBER($B35),INT($B35)-WEEKDAY($B35,2)+1,"")</f>
        <v/>
      </c>
      <c r="I35" s="24" t="inlineStr">
        <is>
          <t>Z-00</t>
        </is>
      </c>
      <c r="J35" s="22">
        <f t="array" ref="J35">IF($D35="","",IF($I35="","(trống REF)",IFERROR(INDEX(MASTER_SOURCE!$B$2:$B$495,MATCH($I35,MASTER_SOURCE!$A$2:$A$495,0)),"(REF không có trong MASTER_SOURCE)")))</f>
        <v/>
      </c>
      <c r="K35" s="22">
        <f t="array" ref="K35">IF($D35="","",IFERROR(INDEX(MASTER_SOURCE!$C$2:$C$495,MATCH($I35,MASTER_SOURCE!$A$2:$A$495,0)),""))</f>
        <v/>
      </c>
      <c r="L35" s="22">
        <f t="array" ref="L35">IF($D35="","",IFERROR(INDEX(MASTER_SOURCE!$D$2:$D$495,MATCH($I35,MASTER_SOURCE!$A$2:$A$495,0)),""))</f>
        <v/>
      </c>
      <c r="M35" s="24" t="inlineStr">
        <is>
          <t>Có</t>
        </is>
      </c>
      <c r="N35" s="24" t="inlineStr">
        <is>
          <t>Có</t>
        </is>
      </c>
      <c r="O35" s="24" t="inlineStr">
        <is>
          <t>Có</t>
        </is>
      </c>
      <c r="P35" s="24" t="inlineStr">
        <is>
          <t>Có</t>
        </is>
      </c>
      <c r="Q35" s="22">
        <f>IF($D35="","",IF(AND(OR(DANH_MUC!$L$5&lt;&gt;"Có",M35="Có"),OR(DANH_MUC!$L$6&lt;&gt;"Có",N35="Có"),OR(DANH_MUC!$L$7&lt;&gt;"Có",O35="Có"),OR(DANH_MUC!$L$8&lt;&gt;"Có",P35="Có")),"Có","Không"))</f>
        <v/>
      </c>
      <c r="R35" s="22">
        <f>IF($D35="","",IF(COUNTIF($D$2:$D35,$D35)&gt;1,"Trùng",""))</f>
        <v/>
      </c>
      <c r="S35" s="22">
        <f>IF($D35="","",IF(AND(LEN($D35)=10,LEFT($D35,1)="0",ISNUMBER(--$D35)),"Có","Không"))</f>
        <v/>
      </c>
      <c r="T35" s="22">
        <f>IF($D35="","",IF(AND($C35&lt;&gt;"",$Q35="Có",$R35="",$S35="Có",AND($L35&lt;&gt;"",OR($L35&lt;&gt;"Chưa xác định",DANH_MUC!$L$9="Có"))),"Có","Không"))</f>
        <v/>
      </c>
      <c r="U35" s="22">
        <f>IF(OR($D35="",$T35="Có"),"",IF($C35="","Thiếu họ tên; ","")&amp;IF($S35&lt;&gt;"Có","SĐT sai định dạng; ","")&amp;IF($R35="Trùng","Trùng SĐT; ","")&amp;IF($Q35&lt;&gt;"Có","Thiếu đồng ý bắt buộc; ","")&amp;IF($L35="","Thiếu/sai Mã REF; ",IF(AND($L35="Chưa xác định",DANH_MUC!$L$9&lt;&gt;"Có"),"Nguồn chưa xác định; ","")))</f>
        <v/>
      </c>
      <c r="V35" s="22">
        <f>IF(OR($D35="",$R35="Trùng"),"",IF(COUNTIF(ORDERS!$C$2:$C$4995,$D35)&gt;0,"Có","Không"))</f>
        <v/>
      </c>
      <c r="W35" s="22">
        <f>IF(OR($D35="",$R35="Trùng"),"",COUNTIFS(ORDERS!$C$2:$C$4995,$D35,ORDERS!$L$2:$L$4995,"Đã chuyển khoản"))</f>
        <v/>
      </c>
      <c r="X35" s="23">
        <f>IF(OR($D35="",$R35="Trùng"),"",SUMIFS(ORDERS!$J$2:$J$4995,ORDERS!$C$2:$C$4995,$D35,ORDERS!$L$2:$L$4995,"Đã chuyển khoản"))</f>
        <v/>
      </c>
      <c r="Y35" s="24" t="n"/>
    </row>
    <row r="36" ht="14.25" customHeight="1" s="40">
      <c r="A36" s="24" t="inlineStr">
        <is>
          <t>e7c49bc9-a214-4b55-9ab4-b72d5324c7d9</t>
        </is>
      </c>
      <c r="B36" s="18" t="n">
        <v>46288.61458333334</v>
      </c>
      <c r="C36" s="24" t="inlineStr">
        <is>
          <t>Nguyễn Thị Dịu My</t>
        </is>
      </c>
      <c r="D36" s="28" t="inlineStr">
        <is>
          <t>0909208119</t>
        </is>
      </c>
      <c r="E36" s="29" t="n">
        <v>46167</v>
      </c>
      <c r="F36" s="24" t="inlineStr">
        <is>
          <t>Đã sinh</t>
        </is>
      </c>
      <c r="G36" s="24" t="inlineStr">
        <is>
          <t>Hồ Chí Minh</t>
        </is>
      </c>
      <c r="H36" s="21">
        <f>IF(ISNUMBER($B36),INT($B36)-WEEKDAY($B36,2)+1,"")</f>
        <v/>
      </c>
      <c r="I36" s="24" t="inlineStr">
        <is>
          <t>Z-00</t>
        </is>
      </c>
      <c r="J36" s="22">
        <f t="array" ref="J36">IF($D36="","",IF($I36="","(trống REF)",IFERROR(INDEX(MASTER_SOURCE!$B$2:$B$495,MATCH($I36,MASTER_SOURCE!$A$2:$A$495,0)),"(REF không có trong MASTER_SOURCE)")))</f>
        <v/>
      </c>
      <c r="K36" s="22">
        <f t="array" ref="K36">IF($D36="","",IFERROR(INDEX(MASTER_SOURCE!$C$2:$C$495,MATCH($I36,MASTER_SOURCE!$A$2:$A$495,0)),""))</f>
        <v/>
      </c>
      <c r="L36" s="22">
        <f t="array" ref="L36">IF($D36="","",IFERROR(INDEX(MASTER_SOURCE!$D$2:$D$495,MATCH($I36,MASTER_SOURCE!$A$2:$A$495,0)),""))</f>
        <v/>
      </c>
      <c r="M36" s="24" t="inlineStr">
        <is>
          <t>Có</t>
        </is>
      </c>
      <c r="N36" s="24" t="inlineStr">
        <is>
          <t>Có</t>
        </is>
      </c>
      <c r="O36" s="24" t="inlineStr">
        <is>
          <t>Có</t>
        </is>
      </c>
      <c r="P36" s="24" t="inlineStr">
        <is>
          <t>Có</t>
        </is>
      </c>
      <c r="Q36" s="22">
        <f>IF($D36="","",IF(AND(OR(DANH_MUC!$L$5&lt;&gt;"Có",M36="Có"),OR(DANH_MUC!$L$6&lt;&gt;"Có",N36="Có"),OR(DANH_MUC!$L$7&lt;&gt;"Có",O36="Có"),OR(DANH_MUC!$L$8&lt;&gt;"Có",P36="Có")),"Có","Không"))</f>
        <v/>
      </c>
      <c r="R36" s="22">
        <f>IF($D36="","",IF(COUNTIF($D$2:$D36,$D36)&gt;1,"Trùng",""))</f>
        <v/>
      </c>
      <c r="S36" s="22">
        <f>IF($D36="","",IF(AND(LEN($D36)=10,LEFT($D36,1)="0",ISNUMBER(--$D36)),"Có","Không"))</f>
        <v/>
      </c>
      <c r="T36" s="22">
        <f>IF($D36="","",IF(AND($C36&lt;&gt;"",$Q36="Có",$R36="",$S36="Có",AND($L36&lt;&gt;"",OR($L36&lt;&gt;"Chưa xác định",DANH_MUC!$L$9="Có"))),"Có","Không"))</f>
        <v/>
      </c>
      <c r="U36" s="22">
        <f>IF(OR($D36="",$T36="Có"),"",IF($C36="","Thiếu họ tên; ","")&amp;IF($S36&lt;&gt;"Có","SĐT sai định dạng; ","")&amp;IF($R36="Trùng","Trùng SĐT; ","")&amp;IF($Q36&lt;&gt;"Có","Thiếu đồng ý bắt buộc; ","")&amp;IF($L36="","Thiếu/sai Mã REF; ",IF(AND($L36="Chưa xác định",DANH_MUC!$L$9&lt;&gt;"Có"),"Nguồn chưa xác định; ","")))</f>
        <v/>
      </c>
      <c r="V36" s="22">
        <f>IF(OR($D36="",$R36="Trùng"),"",IF(COUNTIF(ORDERS!$C$2:$C$4995,$D36)&gt;0,"Có","Không"))</f>
        <v/>
      </c>
      <c r="W36" s="22">
        <f>IF(OR($D36="",$R36="Trùng"),"",COUNTIFS(ORDERS!$C$2:$C$4995,$D36,ORDERS!$L$2:$L$4995,"Đã chuyển khoản"))</f>
        <v/>
      </c>
      <c r="X36" s="23">
        <f>IF(OR($D36="",$R36="Trùng"),"",SUMIFS(ORDERS!$J$2:$J$4995,ORDERS!$C$2:$C$4995,$D36,ORDERS!$L$2:$L$4995,"Đã chuyển khoản"))</f>
        <v/>
      </c>
      <c r="Y36" s="24" t="n"/>
    </row>
    <row r="37" ht="14.25" customHeight="1" s="40">
      <c r="A37" s="24" t="inlineStr">
        <is>
          <t>90748097-6218-4621-9545-227371429a7b</t>
        </is>
      </c>
      <c r="B37" s="18" t="n">
        <v>46288.62986111111</v>
      </c>
      <c r="C37" s="24" t="inlineStr">
        <is>
          <t>Tạ Thị Hồng Thắm</t>
        </is>
      </c>
      <c r="D37" s="28" t="inlineStr">
        <is>
          <t>0931970208</t>
        </is>
      </c>
      <c r="E37" s="29" t="n">
        <v>46023</v>
      </c>
      <c r="F37" s="24" t="inlineStr">
        <is>
          <t>Đã sinh</t>
        </is>
      </c>
      <c r="G37" s="24" t="inlineStr">
        <is>
          <t>Hồ Chí Minh</t>
        </is>
      </c>
      <c r="H37" s="21">
        <f>IF(ISNUMBER($B37),INT($B37)-WEEKDAY($B37,2)+1,"")</f>
        <v/>
      </c>
      <c r="I37" s="24" t="inlineStr">
        <is>
          <t>Z-CIH</t>
        </is>
      </c>
      <c r="J37" s="22">
        <f t="array" ref="J37">IF($D37="","",IF($I37="","(trống REF)",IFERROR(INDEX(MASTER_SOURCE!$B$2:$B$495,MATCH($I37,MASTER_SOURCE!$A$2:$A$495,0)),"(REF không có trong MASTER_SOURCE)")))</f>
        <v/>
      </c>
      <c r="K37" s="22">
        <f t="array" ref="K37">IF($D37="","",IFERROR(INDEX(MASTER_SOURCE!$C$2:$C$495,MATCH($I37,MASTER_SOURCE!$A$2:$A$495,0)),""))</f>
        <v/>
      </c>
      <c r="L37" s="22">
        <f t="array" ref="L37">IF($D37="","",IFERROR(INDEX(MASTER_SOURCE!$D$2:$D$495,MATCH($I37,MASTER_SOURCE!$A$2:$A$495,0)),""))</f>
        <v/>
      </c>
      <c r="M37" s="24" t="inlineStr">
        <is>
          <t>Có</t>
        </is>
      </c>
      <c r="N37" s="24" t="inlineStr">
        <is>
          <t>Có</t>
        </is>
      </c>
      <c r="O37" s="24" t="inlineStr">
        <is>
          <t>Có</t>
        </is>
      </c>
      <c r="P37" s="24" t="inlineStr">
        <is>
          <t>Có</t>
        </is>
      </c>
      <c r="Q37" s="22">
        <f>IF($D37="","",IF(AND(OR(DANH_MUC!$L$5&lt;&gt;"Có",M37="Có"),OR(DANH_MUC!$L$6&lt;&gt;"Có",N37="Có"),OR(DANH_MUC!$L$7&lt;&gt;"Có",O37="Có"),OR(DANH_MUC!$L$8&lt;&gt;"Có",P37="Có")),"Có","Không"))</f>
        <v/>
      </c>
      <c r="R37" s="22">
        <f>IF($D37="","",IF(COUNTIF($D$2:$D37,$D37)&gt;1,"Trùng",""))</f>
        <v/>
      </c>
      <c r="S37" s="22">
        <f>IF($D37="","",IF(AND(LEN($D37)=10,LEFT($D37,1)="0",ISNUMBER(--$D37)),"Có","Không"))</f>
        <v/>
      </c>
      <c r="T37" s="22">
        <f>IF($D37="","",IF(AND($C37&lt;&gt;"",$Q37="Có",$R37="",$S37="Có",AND($L37&lt;&gt;"",OR($L37&lt;&gt;"Chưa xác định",DANH_MUC!$L$9="Có"))),"Có","Không"))</f>
        <v/>
      </c>
      <c r="U37" s="22">
        <f>IF(OR($D37="",$T37="Có"),"",IF($C37="","Thiếu họ tên; ","")&amp;IF($S37&lt;&gt;"Có","SĐT sai định dạng; ","")&amp;IF($R37="Trùng","Trùng SĐT; ","")&amp;IF($Q37&lt;&gt;"Có","Thiếu đồng ý bắt buộc; ","")&amp;IF($L37="","Thiếu/sai Mã REF; ",IF(AND($L37="Chưa xác định",DANH_MUC!$L$9&lt;&gt;"Có"),"Nguồn chưa xác định; ","")))</f>
        <v/>
      </c>
      <c r="V37" s="22">
        <f>IF(OR($D37="",$R37="Trùng"),"",IF(COUNTIF(ORDERS!$C$2:$C$4995,$D37)&gt;0,"Có","Không"))</f>
        <v/>
      </c>
      <c r="W37" s="22">
        <f>IF(OR($D37="",$R37="Trùng"),"",COUNTIFS(ORDERS!$C$2:$C$4995,$D37,ORDERS!$L$2:$L$4995,"Đã chuyển khoản"))</f>
        <v/>
      </c>
      <c r="X37" s="23">
        <f>IF(OR($D37="",$R37="Trùng"),"",SUMIFS(ORDERS!$J$2:$J$4995,ORDERS!$C$2:$C$4995,$D37,ORDERS!$L$2:$L$4995,"Đã chuyển khoản"))</f>
        <v/>
      </c>
      <c r="Y37" s="24" t="n"/>
    </row>
    <row r="38" ht="14.25" customHeight="1" s="40">
      <c r="A38" s="24" t="inlineStr">
        <is>
          <t>92298aad-6aa7-47ae-9407-8fa79e8a7ec2</t>
        </is>
      </c>
      <c r="B38" s="18" t="n">
        <v>46288.64166666667</v>
      </c>
      <c r="C38" s="24" t="inlineStr">
        <is>
          <t>Nguyễn Bình Thiên Nga</t>
        </is>
      </c>
      <c r="D38" s="28" t="inlineStr">
        <is>
          <t>0931802142</t>
        </is>
      </c>
      <c r="E38" s="29" t="n">
        <v>46052</v>
      </c>
      <c r="F38" s="24" t="inlineStr">
        <is>
          <t>Đã sinh</t>
        </is>
      </c>
      <c r="G38" s="24" t="inlineStr">
        <is>
          <t>Hồ Chí Minh</t>
        </is>
      </c>
      <c r="H38" s="21">
        <f>IF(ISNUMBER($B38),INT($B38)-WEEKDAY($B38,2)+1,"")</f>
        <v/>
      </c>
      <c r="I38" s="24" t="inlineStr">
        <is>
          <t>Z-CIH</t>
        </is>
      </c>
      <c r="J38" s="22">
        <f t="array" ref="J38">IF($D38="","",IF($I38="","(trống REF)",IFERROR(INDEX(MASTER_SOURCE!$B$2:$B$495,MATCH($I38,MASTER_SOURCE!$A$2:$A$495,0)),"(REF không có trong MASTER_SOURCE)")))</f>
        <v/>
      </c>
      <c r="K38" s="22">
        <f t="array" ref="K38">IF($D38="","",IFERROR(INDEX(MASTER_SOURCE!$C$2:$C$495,MATCH($I38,MASTER_SOURCE!$A$2:$A$495,0)),""))</f>
        <v/>
      </c>
      <c r="L38" s="22">
        <f t="array" ref="L38">IF($D38="","",IFERROR(INDEX(MASTER_SOURCE!$D$2:$D$495,MATCH($I38,MASTER_SOURCE!$A$2:$A$495,0)),""))</f>
        <v/>
      </c>
      <c r="M38" s="24" t="inlineStr">
        <is>
          <t>Có</t>
        </is>
      </c>
      <c r="N38" s="24" t="inlineStr">
        <is>
          <t>Có</t>
        </is>
      </c>
      <c r="O38" s="24" t="inlineStr">
        <is>
          <t>Có</t>
        </is>
      </c>
      <c r="P38" s="24" t="inlineStr">
        <is>
          <t>Có</t>
        </is>
      </c>
      <c r="Q38" s="22">
        <f>IF($D38="","",IF(AND(OR(DANH_MUC!$L$5&lt;&gt;"Có",M38="Có"),OR(DANH_MUC!$L$6&lt;&gt;"Có",N38="Có"),OR(DANH_MUC!$L$7&lt;&gt;"Có",O38="Có"),OR(DANH_MUC!$L$8&lt;&gt;"Có",P38="Có")),"Có","Không"))</f>
        <v/>
      </c>
      <c r="R38" s="22">
        <f>IF($D38="","",IF(COUNTIF($D$2:$D38,$D38)&gt;1,"Trùng",""))</f>
        <v/>
      </c>
      <c r="S38" s="22">
        <f>IF($D38="","",IF(AND(LEN($D38)=10,LEFT($D38,1)="0",ISNUMBER(--$D38)),"Có","Không"))</f>
        <v/>
      </c>
      <c r="T38" s="22">
        <f>IF($D38="","",IF(AND($C38&lt;&gt;"",$Q38="Có",$R38="",$S38="Có",AND($L38&lt;&gt;"",OR($L38&lt;&gt;"Chưa xác định",DANH_MUC!$L$9="Có"))),"Có","Không"))</f>
        <v/>
      </c>
      <c r="U38" s="22">
        <f>IF(OR($D38="",$T38="Có"),"",IF($C38="","Thiếu họ tên; ","")&amp;IF($S38&lt;&gt;"Có","SĐT sai định dạng; ","")&amp;IF($R38="Trùng","Trùng SĐT; ","")&amp;IF($Q38&lt;&gt;"Có","Thiếu đồng ý bắt buộc; ","")&amp;IF($L38="","Thiếu/sai Mã REF; ",IF(AND($L38="Chưa xác định",DANH_MUC!$L$9&lt;&gt;"Có"),"Nguồn chưa xác định; ","")))</f>
        <v/>
      </c>
      <c r="V38" s="22">
        <f>IF(OR($D38="",$R38="Trùng"),"",IF(COUNTIF(ORDERS!$C$2:$C$4995,$D38)&gt;0,"Có","Không"))</f>
        <v/>
      </c>
      <c r="W38" s="22">
        <f>IF(OR($D38="",$R38="Trùng"),"",COUNTIFS(ORDERS!$C$2:$C$4995,$D38,ORDERS!$L$2:$L$4995,"Đã chuyển khoản"))</f>
        <v/>
      </c>
      <c r="X38" s="23">
        <f>IF(OR($D38="",$R38="Trùng"),"",SUMIFS(ORDERS!$J$2:$J$4995,ORDERS!$C$2:$C$4995,$D38,ORDERS!$L$2:$L$4995,"Đã chuyển khoản"))</f>
        <v/>
      </c>
      <c r="Y38" s="24" t="n"/>
    </row>
    <row r="39" ht="14.25" customHeight="1" s="40">
      <c r="A39" s="24" t="inlineStr">
        <is>
          <t>7509a8cc-27ce-4970-a454-9092c9539643</t>
        </is>
      </c>
      <c r="B39" s="18" t="n">
        <v>46288.66111111111</v>
      </c>
      <c r="C39" s="24" t="inlineStr">
        <is>
          <t>Phạm thị thùy linh</t>
        </is>
      </c>
      <c r="D39" s="28" t="inlineStr">
        <is>
          <t>0965279967</t>
        </is>
      </c>
      <c r="E39" s="29" t="n">
        <v>46283</v>
      </c>
      <c r="F39" s="24" t="inlineStr">
        <is>
          <t>Đã sinh</t>
        </is>
      </c>
      <c r="G39" s="24" t="inlineStr">
        <is>
          <t>Đồng Nai</t>
        </is>
      </c>
      <c r="H39" s="21">
        <f>IF(ISNUMBER($B39),INT($B39)-WEEKDAY($B39,2)+1,"")</f>
        <v/>
      </c>
      <c r="I39" s="24" t="inlineStr">
        <is>
          <t>Z-00</t>
        </is>
      </c>
      <c r="J39" s="22">
        <f t="array" ref="J39">IF($D39="","",IF($I39="","(trống REF)",IFERROR(INDEX(MASTER_SOURCE!$B$2:$B$495,MATCH($I39,MASTER_SOURCE!$A$2:$A$495,0)),"(REF không có trong MASTER_SOURCE)")))</f>
        <v/>
      </c>
      <c r="K39" s="22">
        <f t="array" ref="K39">IF($D39="","",IFERROR(INDEX(MASTER_SOURCE!$C$2:$C$495,MATCH($I39,MASTER_SOURCE!$A$2:$A$495,0)),""))</f>
        <v/>
      </c>
      <c r="L39" s="22">
        <f t="array" ref="L39">IF($D39="","",IFERROR(INDEX(MASTER_SOURCE!$D$2:$D$495,MATCH($I39,MASTER_SOURCE!$A$2:$A$495,0)),""))</f>
        <v/>
      </c>
      <c r="M39" s="24" t="inlineStr">
        <is>
          <t>Có</t>
        </is>
      </c>
      <c r="N39" s="24" t="inlineStr">
        <is>
          <t>Có</t>
        </is>
      </c>
      <c r="O39" s="24" t="inlineStr">
        <is>
          <t>Có</t>
        </is>
      </c>
      <c r="P39" s="24" t="inlineStr">
        <is>
          <t>Có</t>
        </is>
      </c>
      <c r="Q39" s="22">
        <f>IF($D39="","",IF(AND(OR(DANH_MUC!$L$5&lt;&gt;"Có",M39="Có"),OR(DANH_MUC!$L$6&lt;&gt;"Có",N39="Có"),OR(DANH_MUC!$L$7&lt;&gt;"Có",O39="Có"),OR(DANH_MUC!$L$8&lt;&gt;"Có",P39="Có")),"Có","Không"))</f>
        <v/>
      </c>
      <c r="R39" s="22">
        <f>IF($D39="","",IF(COUNTIF($D$2:$D39,$D39)&gt;1,"Trùng",""))</f>
        <v/>
      </c>
      <c r="S39" s="22">
        <f>IF($D39="","",IF(AND(LEN($D39)=10,LEFT($D39,1)="0",ISNUMBER(--$D39)),"Có","Không"))</f>
        <v/>
      </c>
      <c r="T39" s="22">
        <f>IF($D39="","",IF(AND($C39&lt;&gt;"",$Q39="Có",$R39="",$S39="Có",AND($L39&lt;&gt;"",OR($L39&lt;&gt;"Chưa xác định",DANH_MUC!$L$9="Có"))),"Có","Không"))</f>
        <v/>
      </c>
      <c r="U39" s="22">
        <f>IF(OR($D39="",$T39="Có"),"",IF($C39="","Thiếu họ tên; ","")&amp;IF($S39&lt;&gt;"Có","SĐT sai định dạng; ","")&amp;IF($R39="Trùng","Trùng SĐT; ","")&amp;IF($Q39&lt;&gt;"Có","Thiếu đồng ý bắt buộc; ","")&amp;IF($L39="","Thiếu/sai Mã REF; ",IF(AND($L39="Chưa xác định",DANH_MUC!$L$9&lt;&gt;"Có"),"Nguồn chưa xác định; ","")))</f>
        <v/>
      </c>
      <c r="V39" s="22">
        <f>IF(OR($D39="",$R39="Trùng"),"",IF(COUNTIF(ORDERS!$C$2:$C$4995,$D39)&gt;0,"Có","Không"))</f>
        <v/>
      </c>
      <c r="W39" s="22">
        <f>IF(OR($D39="",$R39="Trùng"),"",COUNTIFS(ORDERS!$C$2:$C$4995,$D39,ORDERS!$L$2:$L$4995,"Đã chuyển khoản"))</f>
        <v/>
      </c>
      <c r="X39" s="23">
        <f>IF(OR($D39="",$R39="Trùng"),"",SUMIFS(ORDERS!$J$2:$J$4995,ORDERS!$C$2:$C$4995,$D39,ORDERS!$L$2:$L$4995,"Đã chuyển khoản"))</f>
        <v/>
      </c>
      <c r="Y39" s="24" t="n"/>
    </row>
    <row r="40" ht="14.25" customHeight="1" s="40">
      <c r="A40" s="24" t="inlineStr">
        <is>
          <t>a1ab75a4-f998-4716-aaf9-7166404d86a5</t>
        </is>
      </c>
      <c r="B40" s="18" t="n">
        <v>46288.68055555555</v>
      </c>
      <c r="C40" s="24" t="inlineStr">
        <is>
          <t>Ánh Mai</t>
        </is>
      </c>
      <c r="D40" s="28" t="inlineStr">
        <is>
          <t>0968826201</t>
        </is>
      </c>
      <c r="E40" s="29" t="n">
        <v>45974</v>
      </c>
      <c r="F40" s="24" t="inlineStr">
        <is>
          <t>Đã sinh</t>
        </is>
      </c>
      <c r="G40" s="24" t="inlineStr">
        <is>
          <t>Hải Phòng</t>
        </is>
      </c>
      <c r="H40" s="21">
        <f>IF(ISNUMBER($B40),INT($B40)-WEEKDAY($B40,2)+1,"")</f>
        <v/>
      </c>
      <c r="I40" s="24" t="inlineStr">
        <is>
          <t>Z-00</t>
        </is>
      </c>
      <c r="J40" s="22">
        <f t="array" ref="J40">IF($D40="","",IF($I40="","(trống REF)",IFERROR(INDEX(MASTER_SOURCE!$B$2:$B$495,MATCH($I40,MASTER_SOURCE!$A$2:$A$495,0)),"(REF không có trong MASTER_SOURCE)")))</f>
        <v/>
      </c>
      <c r="K40" s="22">
        <f t="array" ref="K40">IF($D40="","",IFERROR(INDEX(MASTER_SOURCE!$C$2:$C$495,MATCH($I40,MASTER_SOURCE!$A$2:$A$495,0)),""))</f>
        <v/>
      </c>
      <c r="L40" s="22">
        <f t="array" ref="L40">IF($D40="","",IFERROR(INDEX(MASTER_SOURCE!$D$2:$D$495,MATCH($I40,MASTER_SOURCE!$A$2:$A$495,0)),""))</f>
        <v/>
      </c>
      <c r="M40" s="24" t="inlineStr">
        <is>
          <t>Có</t>
        </is>
      </c>
      <c r="N40" s="24" t="inlineStr">
        <is>
          <t>Có</t>
        </is>
      </c>
      <c r="O40" s="24" t="inlineStr">
        <is>
          <t>Có</t>
        </is>
      </c>
      <c r="P40" s="24" t="inlineStr">
        <is>
          <t>Có</t>
        </is>
      </c>
      <c r="Q40" s="22">
        <f>IF($D40="","",IF(AND(OR(DANH_MUC!$L$5&lt;&gt;"Có",M40="Có"),OR(DANH_MUC!$L$6&lt;&gt;"Có",N40="Có"),OR(DANH_MUC!$L$7&lt;&gt;"Có",O40="Có"),OR(DANH_MUC!$L$8&lt;&gt;"Có",P40="Có")),"Có","Không"))</f>
        <v/>
      </c>
      <c r="R40" s="22">
        <f>IF($D40="","",IF(COUNTIF($D$2:$D40,$D40)&gt;1,"Trùng",""))</f>
        <v/>
      </c>
      <c r="S40" s="22">
        <f>IF($D40="","",IF(AND(LEN($D40)=10,LEFT($D40,1)="0",ISNUMBER(--$D40)),"Có","Không"))</f>
        <v/>
      </c>
      <c r="T40" s="22">
        <f>IF($D40="","",IF(AND($C40&lt;&gt;"",$Q40="Có",$R40="",$S40="Có",AND($L40&lt;&gt;"",OR($L40&lt;&gt;"Chưa xác định",DANH_MUC!$L$9="Có"))),"Có","Không"))</f>
        <v/>
      </c>
      <c r="U40" s="22">
        <f>IF(OR($D40="",$T40="Có"),"",IF($C40="","Thiếu họ tên; ","")&amp;IF($S40&lt;&gt;"Có","SĐT sai định dạng; ","")&amp;IF($R40="Trùng","Trùng SĐT; ","")&amp;IF($Q40&lt;&gt;"Có","Thiếu đồng ý bắt buộc; ","")&amp;IF($L40="","Thiếu/sai Mã REF; ",IF(AND($L40="Chưa xác định",DANH_MUC!$L$9&lt;&gt;"Có"),"Nguồn chưa xác định; ","")))</f>
        <v/>
      </c>
      <c r="V40" s="22">
        <f>IF(OR($D40="",$R40="Trùng"),"",IF(COUNTIF(ORDERS!$C$2:$C$4995,$D40)&gt;0,"Có","Không"))</f>
        <v/>
      </c>
      <c r="W40" s="22">
        <f>IF(OR($D40="",$R40="Trùng"),"",COUNTIFS(ORDERS!$C$2:$C$4995,$D40,ORDERS!$L$2:$L$4995,"Đã chuyển khoản"))</f>
        <v/>
      </c>
      <c r="X40" s="23">
        <f>IF(OR($D40="",$R40="Trùng"),"",SUMIFS(ORDERS!$J$2:$J$4995,ORDERS!$C$2:$C$4995,$D40,ORDERS!$L$2:$L$4995,"Đã chuyển khoản"))</f>
        <v/>
      </c>
      <c r="Y40" s="24" t="n"/>
    </row>
    <row r="41" ht="14.25" customHeight="1" s="40">
      <c r="A41" s="24" t="inlineStr">
        <is>
          <t>bf5e13ef-9f69-460c-a8ad-6b4976fac8b1</t>
        </is>
      </c>
      <c r="B41" s="18" t="n">
        <v>46288.69861111111</v>
      </c>
      <c r="C41" s="24" t="inlineStr">
        <is>
          <t>Lê Phan Trung Hiếu</t>
        </is>
      </c>
      <c r="D41" s="28" t="inlineStr">
        <is>
          <t>0937662662</t>
        </is>
      </c>
      <c r="E41" s="29" t="n">
        <v>45934</v>
      </c>
      <c r="F41" s="24" t="inlineStr">
        <is>
          <t>Đã sinh</t>
        </is>
      </c>
      <c r="G41" s="24" t="inlineStr">
        <is>
          <t>Hồ Chí Minh</t>
        </is>
      </c>
      <c r="H41" s="21">
        <f>IF(ISNUMBER($B41),INT($B41)-WEEKDAY($B41,2)+1,"")</f>
        <v/>
      </c>
      <c r="I41" s="24" t="inlineStr">
        <is>
          <t>Z-CIH</t>
        </is>
      </c>
      <c r="J41" s="22">
        <f t="array" ref="J41">IF($D41="","",IF($I41="","(trống REF)",IFERROR(INDEX(MASTER_SOURCE!$B$2:$B$495,MATCH($I41,MASTER_SOURCE!$A$2:$A$495,0)),"(REF không có trong MASTER_SOURCE)")))</f>
        <v/>
      </c>
      <c r="K41" s="22">
        <f t="array" ref="K41">IF($D41="","",IFERROR(INDEX(MASTER_SOURCE!$C$2:$C$495,MATCH($I41,MASTER_SOURCE!$A$2:$A$495,0)),""))</f>
        <v/>
      </c>
      <c r="L41" s="22">
        <f t="array" ref="L41">IF($D41="","",IFERROR(INDEX(MASTER_SOURCE!$D$2:$D$495,MATCH($I41,MASTER_SOURCE!$A$2:$A$495,0)),""))</f>
        <v/>
      </c>
      <c r="M41" s="24" t="inlineStr">
        <is>
          <t>Có</t>
        </is>
      </c>
      <c r="N41" s="24" t="inlineStr">
        <is>
          <t>Có</t>
        </is>
      </c>
      <c r="O41" s="24" t="inlineStr">
        <is>
          <t>Có</t>
        </is>
      </c>
      <c r="P41" s="24" t="inlineStr">
        <is>
          <t>Có</t>
        </is>
      </c>
      <c r="Q41" s="22">
        <f>IF($D41="","",IF(AND(OR(DANH_MUC!$L$5&lt;&gt;"Có",M41="Có"),OR(DANH_MUC!$L$6&lt;&gt;"Có",N41="Có"),OR(DANH_MUC!$L$7&lt;&gt;"Có",O41="Có"),OR(DANH_MUC!$L$8&lt;&gt;"Có",P41="Có")),"Có","Không"))</f>
        <v/>
      </c>
      <c r="R41" s="22">
        <f>IF($D41="","",IF(COUNTIF($D$2:$D41,$D41)&gt;1,"Trùng",""))</f>
        <v/>
      </c>
      <c r="S41" s="22">
        <f>IF($D41="","",IF(AND(LEN($D41)=10,LEFT($D41,1)="0",ISNUMBER(--$D41)),"Có","Không"))</f>
        <v/>
      </c>
      <c r="T41" s="22">
        <f>IF($D41="","",IF(AND($C41&lt;&gt;"",$Q41="Có",$R41="",$S41="Có",AND($L41&lt;&gt;"",OR($L41&lt;&gt;"Chưa xác định",DANH_MUC!$L$9="Có"))),"Có","Không"))</f>
        <v/>
      </c>
      <c r="U41" s="22">
        <f>IF(OR($D41="",$T41="Có"),"",IF($C41="","Thiếu họ tên; ","")&amp;IF($S41&lt;&gt;"Có","SĐT sai định dạng; ","")&amp;IF($R41="Trùng","Trùng SĐT; ","")&amp;IF($Q41&lt;&gt;"Có","Thiếu đồng ý bắt buộc; ","")&amp;IF($L41="","Thiếu/sai Mã REF; ",IF(AND($L41="Chưa xác định",DANH_MUC!$L$9&lt;&gt;"Có"),"Nguồn chưa xác định; ","")))</f>
        <v/>
      </c>
      <c r="V41" s="22">
        <f>IF(OR($D41="",$R41="Trùng"),"",IF(COUNTIF(ORDERS!$C$2:$C$4995,$D41)&gt;0,"Có","Không"))</f>
        <v/>
      </c>
      <c r="W41" s="22">
        <f>IF(OR($D41="",$R41="Trùng"),"",COUNTIFS(ORDERS!$C$2:$C$4995,$D41,ORDERS!$L$2:$L$4995,"Đã chuyển khoản"))</f>
        <v/>
      </c>
      <c r="X41" s="23">
        <f>IF(OR($D41="",$R41="Trùng"),"",SUMIFS(ORDERS!$J$2:$J$4995,ORDERS!$C$2:$C$4995,$D41,ORDERS!$L$2:$L$4995,"Đã chuyển khoản"))</f>
        <v/>
      </c>
      <c r="Y41" s="24" t="n"/>
    </row>
    <row r="42" ht="14.25" customHeight="1" s="40">
      <c r="A42" s="24" t="inlineStr">
        <is>
          <t>c6203c0d-7e42-4acd-9b5a-c6390fad8018</t>
        </is>
      </c>
      <c r="B42" s="18" t="n">
        <v>46288.72569444445</v>
      </c>
      <c r="C42" s="24" t="inlineStr">
        <is>
          <t>Vũ thị ánh tuyết</t>
        </is>
      </c>
      <c r="D42" s="28" t="inlineStr">
        <is>
          <t>0789293488</t>
        </is>
      </c>
      <c r="E42" s="29" t="n">
        <v>46345</v>
      </c>
      <c r="F42" s="24" t="inlineStr">
        <is>
          <t>Đang mang thai</t>
        </is>
      </c>
      <c r="G42" s="24" t="inlineStr">
        <is>
          <t>Hải Phòng</t>
        </is>
      </c>
      <c r="H42" s="21">
        <f>IF(ISNUMBER($B42),INT($B42)-WEEKDAY($B42,2)+1,"")</f>
        <v/>
      </c>
      <c r="I42" s="24" t="inlineStr">
        <is>
          <t>Z-00</t>
        </is>
      </c>
      <c r="J42" s="22">
        <f t="array" ref="J42">IF($D42="","",IF($I42="","(trống REF)",IFERROR(INDEX(MASTER_SOURCE!$B$2:$B$495,MATCH($I42,MASTER_SOURCE!$A$2:$A$495,0)),"(REF không có trong MASTER_SOURCE)")))</f>
        <v/>
      </c>
      <c r="K42" s="22">
        <f t="array" ref="K42">IF($D42="","",IFERROR(INDEX(MASTER_SOURCE!$C$2:$C$495,MATCH($I42,MASTER_SOURCE!$A$2:$A$495,0)),""))</f>
        <v/>
      </c>
      <c r="L42" s="22">
        <f t="array" ref="L42">IF($D42="","",IFERROR(INDEX(MASTER_SOURCE!$D$2:$D$495,MATCH($I42,MASTER_SOURCE!$A$2:$A$495,0)),""))</f>
        <v/>
      </c>
      <c r="M42" s="24" t="inlineStr">
        <is>
          <t>Có</t>
        </is>
      </c>
      <c r="N42" s="24" t="inlineStr">
        <is>
          <t>Có</t>
        </is>
      </c>
      <c r="O42" s="24" t="inlineStr">
        <is>
          <t>Có</t>
        </is>
      </c>
      <c r="P42" s="24" t="inlineStr">
        <is>
          <t>Có</t>
        </is>
      </c>
      <c r="Q42" s="22">
        <f>IF($D42="","",IF(AND(OR(DANH_MUC!$L$5&lt;&gt;"Có",M42="Có"),OR(DANH_MUC!$L$6&lt;&gt;"Có",N42="Có"),OR(DANH_MUC!$L$7&lt;&gt;"Có",O42="Có"),OR(DANH_MUC!$L$8&lt;&gt;"Có",P42="Có")),"Có","Không"))</f>
        <v/>
      </c>
      <c r="R42" s="22">
        <f>IF($D42="","",IF(COUNTIF($D$2:$D42,$D42)&gt;1,"Trùng",""))</f>
        <v/>
      </c>
      <c r="S42" s="22">
        <f>IF($D42="","",IF(AND(LEN($D42)=10,LEFT($D42,1)="0",ISNUMBER(--$D42)),"Có","Không"))</f>
        <v/>
      </c>
      <c r="T42" s="22">
        <f>IF($D42="","",IF(AND($C42&lt;&gt;"",$Q42="Có",$R42="",$S42="Có",AND($L42&lt;&gt;"",OR($L42&lt;&gt;"Chưa xác định",DANH_MUC!$L$9="Có"))),"Có","Không"))</f>
        <v/>
      </c>
      <c r="U42" s="22">
        <f>IF(OR($D42="",$T42="Có"),"",IF($C42="","Thiếu họ tên; ","")&amp;IF($S42&lt;&gt;"Có","SĐT sai định dạng; ","")&amp;IF($R42="Trùng","Trùng SĐT; ","")&amp;IF($Q42&lt;&gt;"Có","Thiếu đồng ý bắt buộc; ","")&amp;IF($L42="","Thiếu/sai Mã REF; ",IF(AND($L42="Chưa xác định",DANH_MUC!$L$9&lt;&gt;"Có"),"Nguồn chưa xác định; ","")))</f>
        <v/>
      </c>
      <c r="V42" s="22">
        <f>IF(OR($D42="",$R42="Trùng"),"",IF(COUNTIF(ORDERS!$C$2:$C$4995,$D42)&gt;0,"Có","Không"))</f>
        <v/>
      </c>
      <c r="W42" s="22">
        <f>IF(OR($D42="",$R42="Trùng"),"",COUNTIFS(ORDERS!$C$2:$C$4995,$D42,ORDERS!$L$2:$L$4995,"Đã chuyển khoản"))</f>
        <v/>
      </c>
      <c r="X42" s="23">
        <f>IF(OR($D42="",$R42="Trùng"),"",SUMIFS(ORDERS!$J$2:$J$4995,ORDERS!$C$2:$C$4995,$D42,ORDERS!$L$2:$L$4995,"Đã chuyển khoản"))</f>
        <v/>
      </c>
      <c r="Y42" s="24" t="n"/>
    </row>
    <row r="43" ht="14.25" customHeight="1" s="40">
      <c r="A43" s="24" t="inlineStr">
        <is>
          <t>c70538d4-b988-459c-b4c4-eadd5b3c93c7</t>
        </is>
      </c>
      <c r="B43" s="18" t="n">
        <v>46288.72638888889</v>
      </c>
      <c r="C43" s="24" t="inlineStr">
        <is>
          <t>Nguyễn Thị hậu</t>
        </is>
      </c>
      <c r="D43" s="28" t="inlineStr">
        <is>
          <t>0866521088</t>
        </is>
      </c>
      <c r="E43" s="29" t="n">
        <v>46019</v>
      </c>
      <c r="F43" s="24" t="inlineStr">
        <is>
          <t>Đã sinh</t>
        </is>
      </c>
      <c r="G43" s="24" t="inlineStr">
        <is>
          <t>Hải Phòng</t>
        </is>
      </c>
      <c r="H43" s="21">
        <f>IF(ISNUMBER($B43),INT($B43)-WEEKDAY($B43,2)+1,"")</f>
        <v/>
      </c>
      <c r="I43" s="24" t="inlineStr">
        <is>
          <t>Z-00</t>
        </is>
      </c>
      <c r="J43" s="22">
        <f t="array" ref="J43">IF($D43="","",IF($I43="","(trống REF)",IFERROR(INDEX(MASTER_SOURCE!$B$2:$B$495,MATCH($I43,MASTER_SOURCE!$A$2:$A$495,0)),"(REF không có trong MASTER_SOURCE)")))</f>
        <v/>
      </c>
      <c r="K43" s="22">
        <f t="array" ref="K43">IF($D43="","",IFERROR(INDEX(MASTER_SOURCE!$C$2:$C$495,MATCH($I43,MASTER_SOURCE!$A$2:$A$495,0)),""))</f>
        <v/>
      </c>
      <c r="L43" s="22">
        <f t="array" ref="L43">IF($D43="","",IFERROR(INDEX(MASTER_SOURCE!$D$2:$D$495,MATCH($I43,MASTER_SOURCE!$A$2:$A$495,0)),""))</f>
        <v/>
      </c>
      <c r="M43" s="24" t="inlineStr">
        <is>
          <t>Có</t>
        </is>
      </c>
      <c r="N43" s="24" t="inlineStr">
        <is>
          <t>Có</t>
        </is>
      </c>
      <c r="O43" s="24" t="inlineStr">
        <is>
          <t>Có</t>
        </is>
      </c>
      <c r="P43" s="24" t="inlineStr">
        <is>
          <t>Có</t>
        </is>
      </c>
      <c r="Q43" s="22">
        <f>IF($D43="","",IF(AND(OR(DANH_MUC!$L$5&lt;&gt;"Có",M43="Có"),OR(DANH_MUC!$L$6&lt;&gt;"Có",N43="Có"),OR(DANH_MUC!$L$7&lt;&gt;"Có",O43="Có"),OR(DANH_MUC!$L$8&lt;&gt;"Có",P43="Có")),"Có","Không"))</f>
        <v/>
      </c>
      <c r="R43" s="22">
        <f>IF($D43="","",IF(COUNTIF($D$2:$D43,$D43)&gt;1,"Trùng",""))</f>
        <v/>
      </c>
      <c r="S43" s="22">
        <f>IF($D43="","",IF(AND(LEN($D43)=10,LEFT($D43,1)="0",ISNUMBER(--$D43)),"Có","Không"))</f>
        <v/>
      </c>
      <c r="T43" s="22">
        <f>IF($D43="","",IF(AND($C43&lt;&gt;"",$Q43="Có",$R43="",$S43="Có",AND($L43&lt;&gt;"",OR($L43&lt;&gt;"Chưa xác định",DANH_MUC!$L$9="Có"))),"Có","Không"))</f>
        <v/>
      </c>
      <c r="U43" s="22">
        <f>IF(OR($D43="",$T43="Có"),"",IF($C43="","Thiếu họ tên; ","")&amp;IF($S43&lt;&gt;"Có","SĐT sai định dạng; ","")&amp;IF($R43="Trùng","Trùng SĐT; ","")&amp;IF($Q43&lt;&gt;"Có","Thiếu đồng ý bắt buộc; ","")&amp;IF($L43="","Thiếu/sai Mã REF; ",IF(AND($L43="Chưa xác định",DANH_MUC!$L$9&lt;&gt;"Có"),"Nguồn chưa xác định; ","")))</f>
        <v/>
      </c>
      <c r="V43" s="22">
        <f>IF(OR($D43="",$R43="Trùng"),"",IF(COUNTIF(ORDERS!$C$2:$C$4995,$D43)&gt;0,"Có","Không"))</f>
        <v/>
      </c>
      <c r="W43" s="22">
        <f>IF(OR($D43="",$R43="Trùng"),"",COUNTIFS(ORDERS!$C$2:$C$4995,$D43,ORDERS!$L$2:$L$4995,"Đã chuyển khoản"))</f>
        <v/>
      </c>
      <c r="X43" s="23">
        <f>IF(OR($D43="",$R43="Trùng"),"",SUMIFS(ORDERS!$J$2:$J$4995,ORDERS!$C$2:$C$4995,$D43,ORDERS!$L$2:$L$4995,"Đã chuyển khoản"))</f>
        <v/>
      </c>
      <c r="Y43" s="24" t="n"/>
    </row>
    <row r="44" ht="14.25" customHeight="1" s="40">
      <c r="A44" s="24" t="inlineStr">
        <is>
          <t>e8784e86-10b2-4e80-b0bd-d285607dfb50</t>
        </is>
      </c>
      <c r="B44" s="18" t="n">
        <v>46288.74583333333</v>
      </c>
      <c r="C44" s="24" t="inlineStr">
        <is>
          <t>Nguyễn Thị Quỳnh Nga</t>
        </is>
      </c>
      <c r="D44" s="28" t="inlineStr">
        <is>
          <t>0938150881</t>
        </is>
      </c>
      <c r="E44" s="29" t="n">
        <v>45949</v>
      </c>
      <c r="F44" s="24" t="inlineStr">
        <is>
          <t>Đã sinh</t>
        </is>
      </c>
      <c r="G44" s="24" t="inlineStr">
        <is>
          <t>Hồ Chí Minh</t>
        </is>
      </c>
      <c r="H44" s="21">
        <f>IF(ISNUMBER($B44),INT($B44)-WEEKDAY($B44,2)+1,"")</f>
        <v/>
      </c>
      <c r="I44" s="24" t="inlineStr">
        <is>
          <t>Z-CIH</t>
        </is>
      </c>
      <c r="J44" s="22">
        <f t="array" ref="J44">IF($D44="","",IF($I44="","(trống REF)",IFERROR(INDEX(MASTER_SOURCE!$B$2:$B$495,MATCH($I44,MASTER_SOURCE!$A$2:$A$495,0)),"(REF không có trong MASTER_SOURCE)")))</f>
        <v/>
      </c>
      <c r="K44" s="22">
        <f t="array" ref="K44">IF($D44="","",IFERROR(INDEX(MASTER_SOURCE!$C$2:$C$495,MATCH($I44,MASTER_SOURCE!$A$2:$A$495,0)),""))</f>
        <v/>
      </c>
      <c r="L44" s="22">
        <f t="array" ref="L44">IF($D44="","",IFERROR(INDEX(MASTER_SOURCE!$D$2:$D$495,MATCH($I44,MASTER_SOURCE!$A$2:$A$495,0)),""))</f>
        <v/>
      </c>
      <c r="M44" s="24" t="inlineStr">
        <is>
          <t>Có</t>
        </is>
      </c>
      <c r="N44" s="24" t="inlineStr">
        <is>
          <t>Có</t>
        </is>
      </c>
      <c r="O44" s="24" t="inlineStr">
        <is>
          <t>Có</t>
        </is>
      </c>
      <c r="P44" s="24" t="inlineStr">
        <is>
          <t>Có</t>
        </is>
      </c>
      <c r="Q44" s="22">
        <f>IF($D44="","",IF(AND(OR(DANH_MUC!$L$5&lt;&gt;"Có",M44="Có"),OR(DANH_MUC!$L$6&lt;&gt;"Có",N44="Có"),OR(DANH_MUC!$L$7&lt;&gt;"Có",O44="Có"),OR(DANH_MUC!$L$8&lt;&gt;"Có",P44="Có")),"Có","Không"))</f>
        <v/>
      </c>
      <c r="R44" s="22">
        <f>IF($D44="","",IF(COUNTIF($D$2:$D44,$D44)&gt;1,"Trùng",""))</f>
        <v/>
      </c>
      <c r="S44" s="22">
        <f>IF($D44="","",IF(AND(LEN($D44)=10,LEFT($D44,1)="0",ISNUMBER(--$D44)),"Có","Không"))</f>
        <v/>
      </c>
      <c r="T44" s="22">
        <f>IF($D44="","",IF(AND($C44&lt;&gt;"",$Q44="Có",$R44="",$S44="Có",AND($L44&lt;&gt;"",OR($L44&lt;&gt;"Chưa xác định",DANH_MUC!$L$9="Có"))),"Có","Không"))</f>
        <v/>
      </c>
      <c r="U44" s="22">
        <f>IF(OR($D44="",$T44="Có"),"",IF($C44="","Thiếu họ tên; ","")&amp;IF($S44&lt;&gt;"Có","SĐT sai định dạng; ","")&amp;IF($R44="Trùng","Trùng SĐT; ","")&amp;IF($Q44&lt;&gt;"Có","Thiếu đồng ý bắt buộc; ","")&amp;IF($L44="","Thiếu/sai Mã REF; ",IF(AND($L44="Chưa xác định",DANH_MUC!$L$9&lt;&gt;"Có"),"Nguồn chưa xác định; ","")))</f>
        <v/>
      </c>
      <c r="V44" s="22">
        <f>IF(OR($D44="",$R44="Trùng"),"",IF(COUNTIF(ORDERS!$C$2:$C$4995,$D44)&gt;0,"Có","Không"))</f>
        <v/>
      </c>
      <c r="W44" s="22">
        <f>IF(OR($D44="",$R44="Trùng"),"",COUNTIFS(ORDERS!$C$2:$C$4995,$D44,ORDERS!$L$2:$L$4995,"Đã chuyển khoản"))</f>
        <v/>
      </c>
      <c r="X44" s="23">
        <f>IF(OR($D44="",$R44="Trùng"),"",SUMIFS(ORDERS!$J$2:$J$4995,ORDERS!$C$2:$C$4995,$D44,ORDERS!$L$2:$L$4995,"Đã chuyển khoản"))</f>
        <v/>
      </c>
      <c r="Y44" s="24" t="n"/>
    </row>
    <row r="45" ht="14.25" customHeight="1" s="40">
      <c r="A45" s="24" t="inlineStr">
        <is>
          <t>fbd44ce4-98f4-4565-a764-99180e083c88</t>
        </is>
      </c>
      <c r="B45" s="18" t="n">
        <v>46288.84722222222</v>
      </c>
      <c r="C45" s="24" t="inlineStr">
        <is>
          <t>Nguyễn Thị Trang</t>
        </is>
      </c>
      <c r="D45" s="28" t="inlineStr">
        <is>
          <t>0394039819</t>
        </is>
      </c>
      <c r="E45" s="29" t="n">
        <v>46013</v>
      </c>
      <c r="F45" s="24" t="inlineStr">
        <is>
          <t>Đã sinh</t>
        </is>
      </c>
      <c r="G45" s="24" t="inlineStr">
        <is>
          <t>Hà Nội</t>
        </is>
      </c>
      <c r="H45" s="21">
        <f>IF(ISNUMBER($B45),INT($B45)-WEEKDAY($B45,2)+1,"")</f>
        <v/>
      </c>
      <c r="I45" s="24" t="inlineStr">
        <is>
          <t>Z-00</t>
        </is>
      </c>
      <c r="J45" s="22">
        <f t="array" ref="J45">IF($D45="","",IF($I45="","(trống REF)",IFERROR(INDEX(MASTER_SOURCE!$B$2:$B$495,MATCH($I45,MASTER_SOURCE!$A$2:$A$495,0)),"(REF không có trong MASTER_SOURCE)")))</f>
        <v/>
      </c>
      <c r="K45" s="22">
        <f t="array" ref="K45">IF($D45="","",IFERROR(INDEX(MASTER_SOURCE!$C$2:$C$495,MATCH($I45,MASTER_SOURCE!$A$2:$A$495,0)),""))</f>
        <v/>
      </c>
      <c r="L45" s="22">
        <f t="array" ref="L45">IF($D45="","",IFERROR(INDEX(MASTER_SOURCE!$D$2:$D$495,MATCH($I45,MASTER_SOURCE!$A$2:$A$495,0)),""))</f>
        <v/>
      </c>
      <c r="M45" s="24" t="inlineStr">
        <is>
          <t>Có</t>
        </is>
      </c>
      <c r="N45" s="24" t="inlineStr">
        <is>
          <t>Có</t>
        </is>
      </c>
      <c r="O45" s="24" t="inlineStr">
        <is>
          <t>Có</t>
        </is>
      </c>
      <c r="P45" s="24" t="inlineStr">
        <is>
          <t>Có</t>
        </is>
      </c>
      <c r="Q45" s="22">
        <f>IF($D45="","",IF(AND(OR(DANH_MUC!$L$5&lt;&gt;"Có",M45="Có"),OR(DANH_MUC!$L$6&lt;&gt;"Có",N45="Có"),OR(DANH_MUC!$L$7&lt;&gt;"Có",O45="Có"),OR(DANH_MUC!$L$8&lt;&gt;"Có",P45="Có")),"Có","Không"))</f>
        <v/>
      </c>
      <c r="R45" s="22">
        <f>IF($D45="","",IF(COUNTIF($D$2:$D45,$D45)&gt;1,"Trùng",""))</f>
        <v/>
      </c>
      <c r="S45" s="22">
        <f>IF($D45="","",IF(AND(LEN($D45)=10,LEFT($D45,1)="0",ISNUMBER(--$D45)),"Có","Không"))</f>
        <v/>
      </c>
      <c r="T45" s="22">
        <f>IF($D45="","",IF(AND($C45&lt;&gt;"",$Q45="Có",$R45="",$S45="Có",AND($L45&lt;&gt;"",OR($L45&lt;&gt;"Chưa xác định",DANH_MUC!$L$9="Có"))),"Có","Không"))</f>
        <v/>
      </c>
      <c r="U45" s="22">
        <f>IF(OR($D45="",$T45="Có"),"",IF($C45="","Thiếu họ tên; ","")&amp;IF($S45&lt;&gt;"Có","SĐT sai định dạng; ","")&amp;IF($R45="Trùng","Trùng SĐT; ","")&amp;IF($Q45&lt;&gt;"Có","Thiếu đồng ý bắt buộc; ","")&amp;IF($L45="","Thiếu/sai Mã REF; ",IF(AND($L45="Chưa xác định",DANH_MUC!$L$9&lt;&gt;"Có"),"Nguồn chưa xác định; ","")))</f>
        <v/>
      </c>
      <c r="V45" s="22">
        <f>IF(OR($D45="",$R45="Trùng"),"",IF(COUNTIF(ORDERS!$C$2:$C$4995,$D45)&gt;0,"Có","Không"))</f>
        <v/>
      </c>
      <c r="W45" s="22">
        <f>IF(OR($D45="",$R45="Trùng"),"",COUNTIFS(ORDERS!$C$2:$C$4995,$D45,ORDERS!$L$2:$L$4995,"Đã chuyển khoản"))</f>
        <v/>
      </c>
      <c r="X45" s="23">
        <f>IF(OR($D45="",$R45="Trùng"),"",SUMIFS(ORDERS!$J$2:$J$4995,ORDERS!$C$2:$C$4995,$D45,ORDERS!$L$2:$L$4995,"Đã chuyển khoản"))</f>
        <v/>
      </c>
      <c r="Y45" s="24" t="n"/>
    </row>
    <row r="46" ht="14.25" customHeight="1" s="40">
      <c r="A46" s="24" t="inlineStr">
        <is>
          <t>47283d75-8edb-4491-8216-44f28add1e07</t>
        </is>
      </c>
      <c r="B46" s="18" t="n">
        <v>46288.87361111111</v>
      </c>
      <c r="C46" s="24" t="inlineStr">
        <is>
          <t>Nguyễn Thị Thanh Huyền</t>
        </is>
      </c>
      <c r="D46" s="28" t="inlineStr">
        <is>
          <t>0869606889</t>
        </is>
      </c>
      <c r="E46" s="29" t="n">
        <v>46290</v>
      </c>
      <c r="F46" s="24" t="inlineStr">
        <is>
          <t>Đang mang thai</t>
        </is>
      </c>
      <c r="G46" s="24" t="inlineStr">
        <is>
          <t>Hà Nội</t>
        </is>
      </c>
      <c r="H46" s="21">
        <f>IF(ISNUMBER($B46),INT($B46)-WEEKDAY($B46,2)+1,"")</f>
        <v/>
      </c>
      <c r="I46" s="24" t="inlineStr">
        <is>
          <t>Z-00</t>
        </is>
      </c>
      <c r="J46" s="22">
        <f t="array" ref="J46">IF($D46="","",IF($I46="","(trống REF)",IFERROR(INDEX(MASTER_SOURCE!$B$2:$B$495,MATCH($I46,MASTER_SOURCE!$A$2:$A$495,0)),"(REF không có trong MASTER_SOURCE)")))</f>
        <v/>
      </c>
      <c r="K46" s="22">
        <f t="array" ref="K46">IF($D46="","",IFERROR(INDEX(MASTER_SOURCE!$C$2:$C$495,MATCH($I46,MASTER_SOURCE!$A$2:$A$495,0)),""))</f>
        <v/>
      </c>
      <c r="L46" s="22">
        <f t="array" ref="L46">IF($D46="","",IFERROR(INDEX(MASTER_SOURCE!$D$2:$D$495,MATCH($I46,MASTER_SOURCE!$A$2:$A$495,0)),""))</f>
        <v/>
      </c>
      <c r="M46" s="24" t="inlineStr">
        <is>
          <t>Có</t>
        </is>
      </c>
      <c r="N46" s="24" t="inlineStr">
        <is>
          <t>Có</t>
        </is>
      </c>
      <c r="O46" s="24" t="inlineStr">
        <is>
          <t>Có</t>
        </is>
      </c>
      <c r="P46" s="24" t="inlineStr">
        <is>
          <t>Có</t>
        </is>
      </c>
      <c r="Q46" s="22">
        <f>IF($D46="","",IF(AND(OR(DANH_MUC!$L$5&lt;&gt;"Có",M46="Có"),OR(DANH_MUC!$L$6&lt;&gt;"Có",N46="Có"),OR(DANH_MUC!$L$7&lt;&gt;"Có",O46="Có"),OR(DANH_MUC!$L$8&lt;&gt;"Có",P46="Có")),"Có","Không"))</f>
        <v/>
      </c>
      <c r="R46" s="22">
        <f>IF($D46="","",IF(COUNTIF($D$2:$D46,$D46)&gt;1,"Trùng",""))</f>
        <v/>
      </c>
      <c r="S46" s="22">
        <f>IF($D46="","",IF(AND(LEN($D46)=10,LEFT($D46,1)="0",ISNUMBER(--$D46)),"Có","Không"))</f>
        <v/>
      </c>
      <c r="T46" s="22">
        <f>IF($D46="","",IF(AND($C46&lt;&gt;"",$Q46="Có",$R46="",$S46="Có",AND($L46&lt;&gt;"",OR($L46&lt;&gt;"Chưa xác định",DANH_MUC!$L$9="Có"))),"Có","Không"))</f>
        <v/>
      </c>
      <c r="U46" s="22">
        <f>IF(OR($D46="",$T46="Có"),"",IF($C46="","Thiếu họ tên; ","")&amp;IF($S46&lt;&gt;"Có","SĐT sai định dạng; ","")&amp;IF($R46="Trùng","Trùng SĐT; ","")&amp;IF($Q46&lt;&gt;"Có","Thiếu đồng ý bắt buộc; ","")&amp;IF($L46="","Thiếu/sai Mã REF; ",IF(AND($L46="Chưa xác định",DANH_MUC!$L$9&lt;&gt;"Có"),"Nguồn chưa xác định; ","")))</f>
        <v/>
      </c>
      <c r="V46" s="22">
        <f>IF(OR($D46="",$R46="Trùng"),"",IF(COUNTIF(ORDERS!$C$2:$C$4995,$D46)&gt;0,"Có","Không"))</f>
        <v/>
      </c>
      <c r="W46" s="22">
        <f>IF(OR($D46="",$R46="Trùng"),"",COUNTIFS(ORDERS!$C$2:$C$4995,$D46,ORDERS!$L$2:$L$4995,"Đã chuyển khoản"))</f>
        <v/>
      </c>
      <c r="X46" s="23">
        <f>IF(OR($D46="",$R46="Trùng"),"",SUMIFS(ORDERS!$J$2:$J$4995,ORDERS!$C$2:$C$4995,$D46,ORDERS!$L$2:$L$4995,"Đã chuyển khoản"))</f>
        <v/>
      </c>
      <c r="Y46" s="24" t="n"/>
    </row>
    <row r="47" ht="14.25" customHeight="1" s="40">
      <c r="A47" s="24" t="inlineStr">
        <is>
          <t>cfa6bd14-d1f0-4ee0-92c3-eb7b4b2d8eee</t>
        </is>
      </c>
      <c r="B47" s="18" t="n">
        <v>46289.06944444445</v>
      </c>
      <c r="C47" s="24" t="inlineStr">
        <is>
          <t>Phạm Thị Ánh Phương</t>
        </is>
      </c>
      <c r="D47" s="28" t="inlineStr">
        <is>
          <t>0385334386</t>
        </is>
      </c>
      <c r="E47" s="29" t="n">
        <v>46264</v>
      </c>
      <c r="F47" s="24" t="inlineStr">
        <is>
          <t>Đã sinh</t>
        </is>
      </c>
      <c r="G47" s="24" t="inlineStr">
        <is>
          <t>Hải Phòng</t>
        </is>
      </c>
      <c r="H47" s="21">
        <f>IF(ISNUMBER($B47),INT($B47)-WEEKDAY($B47,2)+1,"")</f>
        <v/>
      </c>
      <c r="I47" s="24" t="inlineStr">
        <is>
          <t>Z-00</t>
        </is>
      </c>
      <c r="J47" s="22">
        <f t="array" ref="J47">IF($D47="","",IF($I47="","(trống REF)",IFERROR(INDEX(MASTER_SOURCE!$B$2:$B$495,MATCH($I47,MASTER_SOURCE!$A$2:$A$495,0)),"(REF không có trong MASTER_SOURCE)")))</f>
        <v/>
      </c>
      <c r="K47" s="22">
        <f t="array" ref="K47">IF($D47="","",IFERROR(INDEX(MASTER_SOURCE!$C$2:$C$495,MATCH($I47,MASTER_SOURCE!$A$2:$A$495,0)),""))</f>
        <v/>
      </c>
      <c r="L47" s="22">
        <f t="array" ref="L47">IF($D47="","",IFERROR(INDEX(MASTER_SOURCE!$D$2:$D$495,MATCH($I47,MASTER_SOURCE!$A$2:$A$495,0)),""))</f>
        <v/>
      </c>
      <c r="M47" s="24" t="inlineStr">
        <is>
          <t>Có</t>
        </is>
      </c>
      <c r="N47" s="24" t="inlineStr">
        <is>
          <t>Có</t>
        </is>
      </c>
      <c r="O47" s="24" t="inlineStr">
        <is>
          <t>Có</t>
        </is>
      </c>
      <c r="P47" s="24" t="inlineStr">
        <is>
          <t>Có</t>
        </is>
      </c>
      <c r="Q47" s="22">
        <f>IF($D47="","",IF(AND(OR(DANH_MUC!$L$5&lt;&gt;"Có",M47="Có"),OR(DANH_MUC!$L$6&lt;&gt;"Có",N47="Có"),OR(DANH_MUC!$L$7&lt;&gt;"Có",O47="Có"),OR(DANH_MUC!$L$8&lt;&gt;"Có",P47="Có")),"Có","Không"))</f>
        <v/>
      </c>
      <c r="R47" s="22">
        <f>IF($D47="","",IF(COUNTIF($D$2:$D47,$D47)&gt;1,"Trùng",""))</f>
        <v/>
      </c>
      <c r="S47" s="22">
        <f>IF($D47="","",IF(AND(LEN($D47)=10,LEFT($D47,1)="0",ISNUMBER(--$D47)),"Có","Không"))</f>
        <v/>
      </c>
      <c r="T47" s="22">
        <f>IF($D47="","",IF(AND($C47&lt;&gt;"",$Q47="Có",$R47="",$S47="Có",AND($L47&lt;&gt;"",OR($L47&lt;&gt;"Chưa xác định",DANH_MUC!$L$9="Có"))),"Có","Không"))</f>
        <v/>
      </c>
      <c r="U47" s="22">
        <f>IF(OR($D47="",$T47="Có"),"",IF($C47="","Thiếu họ tên; ","")&amp;IF($S47&lt;&gt;"Có","SĐT sai định dạng; ","")&amp;IF($R47="Trùng","Trùng SĐT; ","")&amp;IF($Q47&lt;&gt;"Có","Thiếu đồng ý bắt buộc; ","")&amp;IF($L47="","Thiếu/sai Mã REF; ",IF(AND($L47="Chưa xác định",DANH_MUC!$L$9&lt;&gt;"Có"),"Nguồn chưa xác định; ","")))</f>
        <v/>
      </c>
      <c r="V47" s="22">
        <f>IF(OR($D47="",$R47="Trùng"),"",IF(COUNTIF(ORDERS!$C$2:$C$4995,$D47)&gt;0,"Có","Không"))</f>
        <v/>
      </c>
      <c r="W47" s="22">
        <f>IF(OR($D47="",$R47="Trùng"),"",COUNTIFS(ORDERS!$C$2:$C$4995,$D47,ORDERS!$L$2:$L$4995,"Đã chuyển khoản"))</f>
        <v/>
      </c>
      <c r="X47" s="23">
        <f>IF(OR($D47="",$R47="Trùng"),"",SUMIFS(ORDERS!$J$2:$J$4995,ORDERS!$C$2:$C$4995,$D47,ORDERS!$L$2:$L$4995,"Đã chuyển khoản"))</f>
        <v/>
      </c>
      <c r="Y47" s="24" t="n"/>
    </row>
    <row r="48" ht="14.25" customHeight="1" s="40">
      <c r="A48" s="24" t="inlineStr">
        <is>
          <t>917b0eda-0cdc-4c94-9256-92a77163af04</t>
        </is>
      </c>
      <c r="B48" s="18" t="n">
        <v>46289.41111111111</v>
      </c>
      <c r="C48" s="24" t="inlineStr">
        <is>
          <t>Lưu Thị Linh Chi</t>
        </is>
      </c>
      <c r="D48" s="28" t="inlineStr">
        <is>
          <t>0375911123</t>
        </is>
      </c>
      <c r="E48" s="29" t="n">
        <v>46352</v>
      </c>
      <c r="F48" s="24" t="inlineStr">
        <is>
          <t>Đang mang thai</t>
        </is>
      </c>
      <c r="G48" s="24" t="inlineStr">
        <is>
          <t>Hải Phòng</t>
        </is>
      </c>
      <c r="H48" s="21">
        <f>IF(ISNUMBER($B48),INT($B48)-WEEKDAY($B48,2)+1,"")</f>
        <v/>
      </c>
      <c r="I48" s="24" t="inlineStr">
        <is>
          <t>Z-00</t>
        </is>
      </c>
      <c r="J48" s="22">
        <f t="array" ref="J48">IF($D48="","",IF($I48="","(trống REF)",IFERROR(INDEX(MASTER_SOURCE!$B$2:$B$495,MATCH($I48,MASTER_SOURCE!$A$2:$A$495,0)),"(REF không có trong MASTER_SOURCE)")))</f>
        <v/>
      </c>
      <c r="K48" s="22">
        <f t="array" ref="K48">IF($D48="","",IFERROR(INDEX(MASTER_SOURCE!$C$2:$C$495,MATCH($I48,MASTER_SOURCE!$A$2:$A$495,0)),""))</f>
        <v/>
      </c>
      <c r="L48" s="22">
        <f t="array" ref="L48">IF($D48="","",IFERROR(INDEX(MASTER_SOURCE!$D$2:$D$495,MATCH($I48,MASTER_SOURCE!$A$2:$A$495,0)),""))</f>
        <v/>
      </c>
      <c r="M48" s="24" t="inlineStr">
        <is>
          <t>Có</t>
        </is>
      </c>
      <c r="N48" s="24" t="inlineStr">
        <is>
          <t>Có</t>
        </is>
      </c>
      <c r="O48" s="24" t="inlineStr">
        <is>
          <t>Có</t>
        </is>
      </c>
      <c r="P48" s="24" t="inlineStr">
        <is>
          <t>Có</t>
        </is>
      </c>
      <c r="Q48" s="22">
        <f>IF($D48="","",IF(AND(OR(DANH_MUC!$L$5&lt;&gt;"Có",M48="Có"),OR(DANH_MUC!$L$6&lt;&gt;"Có",N48="Có"),OR(DANH_MUC!$L$7&lt;&gt;"Có",O48="Có"),OR(DANH_MUC!$L$8&lt;&gt;"Có",P48="Có")),"Có","Không"))</f>
        <v/>
      </c>
      <c r="R48" s="22">
        <f>IF($D48="","",IF(COUNTIF($D$2:$D48,$D48)&gt;1,"Trùng",""))</f>
        <v/>
      </c>
      <c r="S48" s="22">
        <f>IF($D48="","",IF(AND(LEN($D48)=10,LEFT($D48,1)="0",ISNUMBER(--$D48)),"Có","Không"))</f>
        <v/>
      </c>
      <c r="T48" s="22">
        <f>IF($D48="","",IF(AND($C48&lt;&gt;"",$Q48="Có",$R48="",$S48="Có",AND($L48&lt;&gt;"",OR($L48&lt;&gt;"Chưa xác định",DANH_MUC!$L$9="Có"))),"Có","Không"))</f>
        <v/>
      </c>
      <c r="U48" s="22">
        <f>IF(OR($D48="",$T48="Có"),"",IF($C48="","Thiếu họ tên; ","")&amp;IF($S48&lt;&gt;"Có","SĐT sai định dạng; ","")&amp;IF($R48="Trùng","Trùng SĐT; ","")&amp;IF($Q48&lt;&gt;"Có","Thiếu đồng ý bắt buộc; ","")&amp;IF($L48="","Thiếu/sai Mã REF; ",IF(AND($L48="Chưa xác định",DANH_MUC!$L$9&lt;&gt;"Có"),"Nguồn chưa xác định; ","")))</f>
        <v/>
      </c>
      <c r="V48" s="22">
        <f>IF(OR($D48="",$R48="Trùng"),"",IF(COUNTIF(ORDERS!$C$2:$C$4995,$D48)&gt;0,"Có","Không"))</f>
        <v/>
      </c>
      <c r="W48" s="22">
        <f>IF(OR($D48="",$R48="Trùng"),"",COUNTIFS(ORDERS!$C$2:$C$4995,$D48,ORDERS!$L$2:$L$4995,"Đã chuyển khoản"))</f>
        <v/>
      </c>
      <c r="X48" s="23">
        <f>IF(OR($D48="",$R48="Trùng"),"",SUMIFS(ORDERS!$J$2:$J$4995,ORDERS!$C$2:$C$4995,$D48,ORDERS!$L$2:$L$4995,"Đã chuyển khoản"))</f>
        <v/>
      </c>
      <c r="Y48" s="24" t="n"/>
    </row>
    <row r="49" ht="14.25" customHeight="1" s="40">
      <c r="A49" s="24" t="inlineStr">
        <is>
          <t>17ad0f56-afd3-4e8d-9990-f1d2e266274a</t>
        </is>
      </c>
      <c r="B49" s="18" t="n">
        <v>46289.43958333333</v>
      </c>
      <c r="C49" s="24" t="inlineStr">
        <is>
          <t>Lê Minh Uyên</t>
        </is>
      </c>
      <c r="D49" s="28" t="inlineStr">
        <is>
          <t>0337596370</t>
        </is>
      </c>
      <c r="E49" s="29" t="n">
        <v>46038</v>
      </c>
      <c r="F49" s="24" t="inlineStr">
        <is>
          <t>Đã sinh</t>
        </is>
      </c>
      <c r="G49" s="24" t="inlineStr">
        <is>
          <t>Hồ Chí Minh</t>
        </is>
      </c>
      <c r="H49" s="21">
        <f>IF(ISNUMBER($B49),INT($B49)-WEEKDAY($B49,2)+1,"")</f>
        <v/>
      </c>
      <c r="I49" s="24" t="inlineStr">
        <is>
          <t>Z-CIH</t>
        </is>
      </c>
      <c r="J49" s="22">
        <f t="array" ref="J49">IF($D49="","",IF($I49="","(trống REF)",IFERROR(INDEX(MASTER_SOURCE!$B$2:$B$495,MATCH($I49,MASTER_SOURCE!$A$2:$A$495,0)),"(REF không có trong MASTER_SOURCE)")))</f>
        <v/>
      </c>
      <c r="K49" s="22">
        <f t="array" ref="K49">IF($D49="","",IFERROR(INDEX(MASTER_SOURCE!$C$2:$C$495,MATCH($I49,MASTER_SOURCE!$A$2:$A$495,0)),""))</f>
        <v/>
      </c>
      <c r="L49" s="22">
        <f t="array" ref="L49">IF($D49="","",IFERROR(INDEX(MASTER_SOURCE!$D$2:$D$495,MATCH($I49,MASTER_SOURCE!$A$2:$A$495,0)),""))</f>
        <v/>
      </c>
      <c r="M49" s="24" t="inlineStr">
        <is>
          <t>Có</t>
        </is>
      </c>
      <c r="N49" s="24" t="inlineStr">
        <is>
          <t>Có</t>
        </is>
      </c>
      <c r="O49" s="24" t="inlineStr">
        <is>
          <t>Có</t>
        </is>
      </c>
      <c r="P49" s="24" t="inlineStr">
        <is>
          <t>Có</t>
        </is>
      </c>
      <c r="Q49" s="22">
        <f>IF($D49="","",IF(AND(OR(DANH_MUC!$L$5&lt;&gt;"Có",M49="Có"),OR(DANH_MUC!$L$6&lt;&gt;"Có",N49="Có"),OR(DANH_MUC!$L$7&lt;&gt;"Có",O49="Có"),OR(DANH_MUC!$L$8&lt;&gt;"Có",P49="Có")),"Có","Không"))</f>
        <v/>
      </c>
      <c r="R49" s="22">
        <f>IF($D49="","",IF(COUNTIF($D$2:$D49,$D49)&gt;1,"Trùng",""))</f>
        <v/>
      </c>
      <c r="S49" s="22">
        <f>IF($D49="","",IF(AND(LEN($D49)=10,LEFT($D49,1)="0",ISNUMBER(--$D49)),"Có","Không"))</f>
        <v/>
      </c>
      <c r="T49" s="22">
        <f>IF($D49="","",IF(AND($C49&lt;&gt;"",$Q49="Có",$R49="",$S49="Có",AND($L49&lt;&gt;"",OR($L49&lt;&gt;"Chưa xác định",DANH_MUC!$L$9="Có"))),"Có","Không"))</f>
        <v/>
      </c>
      <c r="U49" s="22">
        <f>IF(OR($D49="",$T49="Có"),"",IF($C49="","Thiếu họ tên; ","")&amp;IF($S49&lt;&gt;"Có","SĐT sai định dạng; ","")&amp;IF($R49="Trùng","Trùng SĐT; ","")&amp;IF($Q49&lt;&gt;"Có","Thiếu đồng ý bắt buộc; ","")&amp;IF($L49="","Thiếu/sai Mã REF; ",IF(AND($L49="Chưa xác định",DANH_MUC!$L$9&lt;&gt;"Có"),"Nguồn chưa xác định; ","")))</f>
        <v/>
      </c>
      <c r="V49" s="22">
        <f>IF(OR($D49="",$R49="Trùng"),"",IF(COUNTIF(ORDERS!$C$2:$C$4995,$D49)&gt;0,"Có","Không"))</f>
        <v/>
      </c>
      <c r="W49" s="22">
        <f>IF(OR($D49="",$R49="Trùng"),"",COUNTIFS(ORDERS!$C$2:$C$4995,$D49,ORDERS!$L$2:$L$4995,"Đã chuyển khoản"))</f>
        <v/>
      </c>
      <c r="X49" s="23">
        <f>IF(OR($D49="",$R49="Trùng"),"",SUMIFS(ORDERS!$J$2:$J$4995,ORDERS!$C$2:$C$4995,$D49,ORDERS!$L$2:$L$4995,"Đã chuyển khoản"))</f>
        <v/>
      </c>
      <c r="Y49" s="24" t="n"/>
    </row>
    <row r="50" ht="14.25" customHeight="1" s="40">
      <c r="A50" s="24" t="inlineStr">
        <is>
          <t>d0806b3e-10fa-47e3-beb5-8e16174e0072</t>
        </is>
      </c>
      <c r="B50" s="18" t="n">
        <v>46289.44236111111</v>
      </c>
      <c r="C50" s="24" t="inlineStr">
        <is>
          <t>Hoàng Thị Thuý Nga</t>
        </is>
      </c>
      <c r="D50" s="28" t="inlineStr">
        <is>
          <t>0704188900</t>
        </is>
      </c>
      <c r="E50" s="29" t="n">
        <v>46326</v>
      </c>
      <c r="F50" s="24" t="inlineStr">
        <is>
          <t>Đang mang thai</t>
        </is>
      </c>
      <c r="G50" s="24" t="inlineStr">
        <is>
          <t>Hải Phòng</t>
        </is>
      </c>
      <c r="H50" s="21">
        <f>IF(ISNUMBER($B50),INT($B50)-WEEKDAY($B50,2)+1,"")</f>
        <v/>
      </c>
      <c r="I50" s="24" t="inlineStr">
        <is>
          <t>Z-00</t>
        </is>
      </c>
      <c r="J50" s="22">
        <f t="array" ref="J50">IF($D50="","",IF($I50="","(trống REF)",IFERROR(INDEX(MASTER_SOURCE!$B$2:$B$495,MATCH($I50,MASTER_SOURCE!$A$2:$A$495,0)),"(REF không có trong MASTER_SOURCE)")))</f>
        <v/>
      </c>
      <c r="K50" s="22">
        <f t="array" ref="K50">IF($D50="","",IFERROR(INDEX(MASTER_SOURCE!$C$2:$C$495,MATCH($I50,MASTER_SOURCE!$A$2:$A$495,0)),""))</f>
        <v/>
      </c>
      <c r="L50" s="22">
        <f t="array" ref="L50">IF($D50="","",IFERROR(INDEX(MASTER_SOURCE!$D$2:$D$495,MATCH($I50,MASTER_SOURCE!$A$2:$A$495,0)),""))</f>
        <v/>
      </c>
      <c r="M50" s="24" t="inlineStr">
        <is>
          <t>Có</t>
        </is>
      </c>
      <c r="N50" s="24" t="inlineStr">
        <is>
          <t>Có</t>
        </is>
      </c>
      <c r="O50" s="24" t="inlineStr">
        <is>
          <t>Có</t>
        </is>
      </c>
      <c r="P50" s="24" t="inlineStr">
        <is>
          <t>Có</t>
        </is>
      </c>
      <c r="Q50" s="22">
        <f>IF($D50="","",IF(AND(OR(DANH_MUC!$L$5&lt;&gt;"Có",M50="Có"),OR(DANH_MUC!$L$6&lt;&gt;"Có",N50="Có"),OR(DANH_MUC!$L$7&lt;&gt;"Có",O50="Có"),OR(DANH_MUC!$L$8&lt;&gt;"Có",P50="Có")),"Có","Không"))</f>
        <v/>
      </c>
      <c r="R50" s="22">
        <f>IF($D50="","",IF(COUNTIF($D$2:$D50,$D50)&gt;1,"Trùng",""))</f>
        <v/>
      </c>
      <c r="S50" s="22">
        <f>IF($D50="","",IF(AND(LEN($D50)=10,LEFT($D50,1)="0",ISNUMBER(--$D50)),"Có","Không"))</f>
        <v/>
      </c>
      <c r="T50" s="22">
        <f>IF($D50="","",IF(AND($C50&lt;&gt;"",$Q50="Có",$R50="",$S50="Có",AND($L50&lt;&gt;"",OR($L50&lt;&gt;"Chưa xác định",DANH_MUC!$L$9="Có"))),"Có","Không"))</f>
        <v/>
      </c>
      <c r="U50" s="22">
        <f>IF(OR($D50="",$T50="Có"),"",IF($C50="","Thiếu họ tên; ","")&amp;IF($S50&lt;&gt;"Có","SĐT sai định dạng; ","")&amp;IF($R50="Trùng","Trùng SĐT; ","")&amp;IF($Q50&lt;&gt;"Có","Thiếu đồng ý bắt buộc; ","")&amp;IF($L50="","Thiếu/sai Mã REF; ",IF(AND($L50="Chưa xác định",DANH_MUC!$L$9&lt;&gt;"Có"),"Nguồn chưa xác định; ","")))</f>
        <v/>
      </c>
      <c r="V50" s="22">
        <f>IF(OR($D50="",$R50="Trùng"),"",IF(COUNTIF(ORDERS!$C$2:$C$4995,$D50)&gt;0,"Có","Không"))</f>
        <v/>
      </c>
      <c r="W50" s="22">
        <f>IF(OR($D50="",$R50="Trùng"),"",COUNTIFS(ORDERS!$C$2:$C$4995,$D50,ORDERS!$L$2:$L$4995,"Đã chuyển khoản"))</f>
        <v/>
      </c>
      <c r="X50" s="23">
        <f>IF(OR($D50="",$R50="Trùng"),"",SUMIFS(ORDERS!$J$2:$J$4995,ORDERS!$C$2:$C$4995,$D50,ORDERS!$L$2:$L$4995,"Đã chuyển khoản"))</f>
        <v/>
      </c>
      <c r="Y50" s="24" t="n"/>
    </row>
    <row r="51" ht="14.25" customHeight="1" s="40">
      <c r="A51" s="24" t="inlineStr">
        <is>
          <t>f4077f8c-5880-4511-8d8c-d39c90cb6999</t>
        </is>
      </c>
      <c r="B51" s="18" t="n">
        <v>46289.44652777778</v>
      </c>
      <c r="C51" s="24" t="inlineStr">
        <is>
          <t>Linh Linh</t>
        </is>
      </c>
      <c r="D51" s="28" t="inlineStr">
        <is>
          <t>0909423981</t>
        </is>
      </c>
      <c r="E51" s="29" t="n">
        <v>45961</v>
      </c>
      <c r="F51" s="24" t="inlineStr">
        <is>
          <t>Đã sinh</t>
        </is>
      </c>
      <c r="G51" s="24" t="inlineStr">
        <is>
          <t>Hồ Chí Minh</t>
        </is>
      </c>
      <c r="H51" s="21">
        <f>IF(ISNUMBER($B51),INT($B51)-WEEKDAY($B51,2)+1,"")</f>
        <v/>
      </c>
      <c r="I51" s="24" t="inlineStr">
        <is>
          <t>Z-CIH</t>
        </is>
      </c>
      <c r="J51" s="22">
        <f t="array" ref="J51">IF($D51="","",IF($I51="","(trống REF)",IFERROR(INDEX(MASTER_SOURCE!$B$2:$B$495,MATCH($I51,MASTER_SOURCE!$A$2:$A$495,0)),"(REF không có trong MASTER_SOURCE)")))</f>
        <v/>
      </c>
      <c r="K51" s="22">
        <f t="array" ref="K51">IF($D51="","",IFERROR(INDEX(MASTER_SOURCE!$C$2:$C$495,MATCH($I51,MASTER_SOURCE!$A$2:$A$495,0)),""))</f>
        <v/>
      </c>
      <c r="L51" s="22">
        <f t="array" ref="L51">IF($D51="","",IFERROR(INDEX(MASTER_SOURCE!$D$2:$D$495,MATCH($I51,MASTER_SOURCE!$A$2:$A$495,0)),""))</f>
        <v/>
      </c>
      <c r="M51" s="24" t="inlineStr">
        <is>
          <t>Có</t>
        </is>
      </c>
      <c r="N51" s="24" t="inlineStr">
        <is>
          <t>Có</t>
        </is>
      </c>
      <c r="O51" s="24" t="inlineStr">
        <is>
          <t>Có</t>
        </is>
      </c>
      <c r="P51" s="24" t="inlineStr">
        <is>
          <t>Có</t>
        </is>
      </c>
      <c r="Q51" s="22">
        <f>IF($D51="","",IF(AND(OR(DANH_MUC!$L$5&lt;&gt;"Có",M51="Có"),OR(DANH_MUC!$L$6&lt;&gt;"Có",N51="Có"),OR(DANH_MUC!$L$7&lt;&gt;"Có",O51="Có"),OR(DANH_MUC!$L$8&lt;&gt;"Có",P51="Có")),"Có","Không"))</f>
        <v/>
      </c>
      <c r="R51" s="22">
        <f>IF($D51="","",IF(COUNTIF($D$2:$D51,$D51)&gt;1,"Trùng",""))</f>
        <v/>
      </c>
      <c r="S51" s="22">
        <f>IF($D51="","",IF(AND(LEN($D51)=10,LEFT($D51,1)="0",ISNUMBER(--$D51)),"Có","Không"))</f>
        <v/>
      </c>
      <c r="T51" s="22">
        <f>IF($D51="","",IF(AND($C51&lt;&gt;"",$Q51="Có",$R51="",$S51="Có",AND($L51&lt;&gt;"",OR($L51&lt;&gt;"Chưa xác định",DANH_MUC!$L$9="Có"))),"Có","Không"))</f>
        <v/>
      </c>
      <c r="U51" s="22">
        <f>IF(OR($D51="",$T51="Có"),"",IF($C51="","Thiếu họ tên; ","")&amp;IF($S51&lt;&gt;"Có","SĐT sai định dạng; ","")&amp;IF($R51="Trùng","Trùng SĐT; ","")&amp;IF($Q51&lt;&gt;"Có","Thiếu đồng ý bắt buộc; ","")&amp;IF($L51="","Thiếu/sai Mã REF; ",IF(AND($L51="Chưa xác định",DANH_MUC!$L$9&lt;&gt;"Có"),"Nguồn chưa xác định; ","")))</f>
        <v/>
      </c>
      <c r="V51" s="22">
        <f>IF(OR($D51="",$R51="Trùng"),"",IF(COUNTIF(ORDERS!$C$2:$C$4995,$D51)&gt;0,"Có","Không"))</f>
        <v/>
      </c>
      <c r="W51" s="22">
        <f>IF(OR($D51="",$R51="Trùng"),"",COUNTIFS(ORDERS!$C$2:$C$4995,$D51,ORDERS!$L$2:$L$4995,"Đã chuyển khoản"))</f>
        <v/>
      </c>
      <c r="X51" s="23">
        <f>IF(OR($D51="",$R51="Trùng"),"",SUMIFS(ORDERS!$J$2:$J$4995,ORDERS!$C$2:$C$4995,$D51,ORDERS!$L$2:$L$4995,"Đã chuyển khoản"))</f>
        <v/>
      </c>
      <c r="Y51" s="24" t="n"/>
    </row>
    <row r="52" ht="14.25" customHeight="1" s="40">
      <c r="A52" s="24" t="inlineStr">
        <is>
          <t>cb840173-a215-4194-a7f5-3c51df077f73</t>
        </is>
      </c>
      <c r="B52" s="18" t="n">
        <v>46289.44722222222</v>
      </c>
      <c r="C52" s="24" t="inlineStr">
        <is>
          <t>Hoa Mai</t>
        </is>
      </c>
      <c r="D52" s="28" t="inlineStr">
        <is>
          <t>0774384647</t>
        </is>
      </c>
      <c r="E52" s="29" t="n">
        <v>46341</v>
      </c>
      <c r="F52" s="24" t="inlineStr">
        <is>
          <t>Đang mang thai</t>
        </is>
      </c>
      <c r="G52" s="24" t="inlineStr">
        <is>
          <t>Hải Phòng</t>
        </is>
      </c>
      <c r="H52" s="21">
        <f>IF(ISNUMBER($B52),INT($B52)-WEEKDAY($B52,2)+1,"")</f>
        <v/>
      </c>
      <c r="I52" s="24" t="inlineStr">
        <is>
          <t>Z-00</t>
        </is>
      </c>
      <c r="J52" s="22">
        <f t="array" ref="J52">IF($D52="","",IF($I52="","(trống REF)",IFERROR(INDEX(MASTER_SOURCE!$B$2:$B$495,MATCH($I52,MASTER_SOURCE!$A$2:$A$495,0)),"(REF không có trong MASTER_SOURCE)")))</f>
        <v/>
      </c>
      <c r="K52" s="22">
        <f t="array" ref="K52">IF($D52="","",IFERROR(INDEX(MASTER_SOURCE!$C$2:$C$495,MATCH($I52,MASTER_SOURCE!$A$2:$A$495,0)),""))</f>
        <v/>
      </c>
      <c r="L52" s="22">
        <f t="array" ref="L52">IF($D52="","",IFERROR(INDEX(MASTER_SOURCE!$D$2:$D$495,MATCH($I52,MASTER_SOURCE!$A$2:$A$495,0)),""))</f>
        <v/>
      </c>
      <c r="M52" s="24" t="inlineStr">
        <is>
          <t>Có</t>
        </is>
      </c>
      <c r="N52" s="24" t="inlineStr">
        <is>
          <t>Có</t>
        </is>
      </c>
      <c r="O52" s="24" t="inlineStr">
        <is>
          <t>Có</t>
        </is>
      </c>
      <c r="P52" s="24" t="inlineStr">
        <is>
          <t>Có</t>
        </is>
      </c>
      <c r="Q52" s="22">
        <f>IF($D52="","",IF(AND(OR(DANH_MUC!$L$5&lt;&gt;"Có",M52="Có"),OR(DANH_MUC!$L$6&lt;&gt;"Có",N52="Có"),OR(DANH_MUC!$L$7&lt;&gt;"Có",O52="Có"),OR(DANH_MUC!$L$8&lt;&gt;"Có",P52="Có")),"Có","Không"))</f>
        <v/>
      </c>
      <c r="R52" s="22">
        <f>IF($D52="","",IF(COUNTIF($D$2:$D52,$D52)&gt;1,"Trùng",""))</f>
        <v/>
      </c>
      <c r="S52" s="22">
        <f>IF($D52="","",IF(AND(LEN($D52)=10,LEFT($D52,1)="0",ISNUMBER(--$D52)),"Có","Không"))</f>
        <v/>
      </c>
      <c r="T52" s="22">
        <f>IF($D52="","",IF(AND($C52&lt;&gt;"",$Q52="Có",$R52="",$S52="Có",AND($L52&lt;&gt;"",OR($L52&lt;&gt;"Chưa xác định",DANH_MUC!$L$9="Có"))),"Có","Không"))</f>
        <v/>
      </c>
      <c r="U52" s="22">
        <f>IF(OR($D52="",$T52="Có"),"",IF($C52="","Thiếu họ tên; ","")&amp;IF($S52&lt;&gt;"Có","SĐT sai định dạng; ","")&amp;IF($R52="Trùng","Trùng SĐT; ","")&amp;IF($Q52&lt;&gt;"Có","Thiếu đồng ý bắt buộc; ","")&amp;IF($L52="","Thiếu/sai Mã REF; ",IF(AND($L52="Chưa xác định",DANH_MUC!$L$9&lt;&gt;"Có"),"Nguồn chưa xác định; ","")))</f>
        <v/>
      </c>
      <c r="V52" s="22">
        <f>IF(OR($D52="",$R52="Trùng"),"",IF(COUNTIF(ORDERS!$C$2:$C$4995,$D52)&gt;0,"Có","Không"))</f>
        <v/>
      </c>
      <c r="W52" s="22">
        <f>IF(OR($D52="",$R52="Trùng"),"",COUNTIFS(ORDERS!$C$2:$C$4995,$D52,ORDERS!$L$2:$L$4995,"Đã chuyển khoản"))</f>
        <v/>
      </c>
      <c r="X52" s="23">
        <f>IF(OR($D52="",$R52="Trùng"),"",SUMIFS(ORDERS!$J$2:$J$4995,ORDERS!$C$2:$C$4995,$D52,ORDERS!$L$2:$L$4995,"Đã chuyển khoản"))</f>
        <v/>
      </c>
      <c r="Y52" s="24" t="n"/>
    </row>
    <row r="53" ht="14.25" customHeight="1" s="40">
      <c r="A53" s="24" t="inlineStr">
        <is>
          <t>81388ce7-7cd8-46bb-bf72-9e3761e18dff</t>
        </is>
      </c>
      <c r="B53" s="18" t="n">
        <v>46289.44861111111</v>
      </c>
      <c r="C53" s="24" t="inlineStr">
        <is>
          <t>Nguyễn vũ Ánh Tuyết</t>
        </is>
      </c>
      <c r="D53" s="28" t="inlineStr">
        <is>
          <t>0703038726</t>
        </is>
      </c>
      <c r="E53" s="29" t="n">
        <v>46341</v>
      </c>
      <c r="F53" s="24" t="inlineStr">
        <is>
          <t>Đang mang thai</t>
        </is>
      </c>
      <c r="G53" s="24" t="inlineStr">
        <is>
          <t>Hồ Chí Minh</t>
        </is>
      </c>
      <c r="H53" s="21">
        <f>IF(ISNUMBER($B53),INT($B53)-WEEKDAY($B53,2)+1,"")</f>
        <v/>
      </c>
      <c r="I53" s="24" t="inlineStr">
        <is>
          <t>Z-00</t>
        </is>
      </c>
      <c r="J53" s="22">
        <f t="array" ref="J53">IF($D53="","",IF($I53="","(trống REF)",IFERROR(INDEX(MASTER_SOURCE!$B$2:$B$495,MATCH($I53,MASTER_SOURCE!$A$2:$A$495,0)),"(REF không có trong MASTER_SOURCE)")))</f>
        <v/>
      </c>
      <c r="K53" s="22">
        <f t="array" ref="K53">IF($D53="","",IFERROR(INDEX(MASTER_SOURCE!$C$2:$C$495,MATCH($I53,MASTER_SOURCE!$A$2:$A$495,0)),""))</f>
        <v/>
      </c>
      <c r="L53" s="22">
        <f t="array" ref="L53">IF($D53="","",IFERROR(INDEX(MASTER_SOURCE!$D$2:$D$495,MATCH($I53,MASTER_SOURCE!$A$2:$A$495,0)),""))</f>
        <v/>
      </c>
      <c r="M53" s="24" t="inlineStr">
        <is>
          <t>Có</t>
        </is>
      </c>
      <c r="N53" s="24" t="inlineStr">
        <is>
          <t>Có</t>
        </is>
      </c>
      <c r="O53" s="24" t="inlineStr">
        <is>
          <t>Có</t>
        </is>
      </c>
      <c r="P53" s="24" t="inlineStr">
        <is>
          <t>Có</t>
        </is>
      </c>
      <c r="Q53" s="22">
        <f>IF($D53="","",IF(AND(OR(DANH_MUC!$L$5&lt;&gt;"Có",M53="Có"),OR(DANH_MUC!$L$6&lt;&gt;"Có",N53="Có"),OR(DANH_MUC!$L$7&lt;&gt;"Có",O53="Có"),OR(DANH_MUC!$L$8&lt;&gt;"Có",P53="Có")),"Có","Không"))</f>
        <v/>
      </c>
      <c r="R53" s="22">
        <f>IF($D53="","",IF(COUNTIF($D$2:$D53,$D53)&gt;1,"Trùng",""))</f>
        <v/>
      </c>
      <c r="S53" s="22">
        <f>IF($D53="","",IF(AND(LEN($D53)=10,LEFT($D53,1)="0",ISNUMBER(--$D53)),"Có","Không"))</f>
        <v/>
      </c>
      <c r="T53" s="22">
        <f>IF($D53="","",IF(AND($C53&lt;&gt;"",$Q53="Có",$R53="",$S53="Có",AND($L53&lt;&gt;"",OR($L53&lt;&gt;"Chưa xác định",DANH_MUC!$L$9="Có"))),"Có","Không"))</f>
        <v/>
      </c>
      <c r="U53" s="22">
        <f>IF(OR($D53="",$T53="Có"),"",IF($C53="","Thiếu họ tên; ","")&amp;IF($S53&lt;&gt;"Có","SĐT sai định dạng; ","")&amp;IF($R53="Trùng","Trùng SĐT; ","")&amp;IF($Q53&lt;&gt;"Có","Thiếu đồng ý bắt buộc; ","")&amp;IF($L53="","Thiếu/sai Mã REF; ",IF(AND($L53="Chưa xác định",DANH_MUC!$L$9&lt;&gt;"Có"),"Nguồn chưa xác định; ","")))</f>
        <v/>
      </c>
      <c r="V53" s="22">
        <f>IF(OR($D53="",$R53="Trùng"),"",IF(COUNTIF(ORDERS!$C$2:$C$4995,$D53)&gt;0,"Có","Không"))</f>
        <v/>
      </c>
      <c r="W53" s="22">
        <f>IF(OR($D53="",$R53="Trùng"),"",COUNTIFS(ORDERS!$C$2:$C$4995,$D53,ORDERS!$L$2:$L$4995,"Đã chuyển khoản"))</f>
        <v/>
      </c>
      <c r="X53" s="23">
        <f>IF(OR($D53="",$R53="Trùng"),"",SUMIFS(ORDERS!$J$2:$J$4995,ORDERS!$C$2:$C$4995,$D53,ORDERS!$L$2:$L$4995,"Đã chuyển khoản"))</f>
        <v/>
      </c>
      <c r="Y53" s="24" t="n"/>
    </row>
    <row r="54" ht="14.25" customHeight="1" s="40">
      <c r="A54" s="24" t="inlineStr">
        <is>
          <t>5f178e36-a745-485f-8d77-72773773931b</t>
        </is>
      </c>
      <c r="B54" s="18" t="n">
        <v>46289.45208333333</v>
      </c>
      <c r="C54" s="24" t="inlineStr">
        <is>
          <t>Nguyễn Thị Hồng</t>
        </is>
      </c>
      <c r="D54" s="28" t="inlineStr">
        <is>
          <t>0337268422</t>
        </is>
      </c>
      <c r="E54" s="29" t="n">
        <v>46122</v>
      </c>
      <c r="F54" s="24" t="inlineStr">
        <is>
          <t>Đã sinh</t>
        </is>
      </c>
      <c r="G54" s="24" t="inlineStr">
        <is>
          <t>Hải Phòng</t>
        </is>
      </c>
      <c r="H54" s="21">
        <f>IF(ISNUMBER($B54),INT($B54)-WEEKDAY($B54,2)+1,"")</f>
        <v/>
      </c>
      <c r="I54" s="24" t="inlineStr">
        <is>
          <t>Z-00</t>
        </is>
      </c>
      <c r="J54" s="22">
        <f t="array" ref="J54">IF($D54="","",IF($I54="","(trống REF)",IFERROR(INDEX(MASTER_SOURCE!$B$2:$B$495,MATCH($I54,MASTER_SOURCE!$A$2:$A$495,0)),"(REF không có trong MASTER_SOURCE)")))</f>
        <v/>
      </c>
      <c r="K54" s="22">
        <f t="array" ref="K54">IF($D54="","",IFERROR(INDEX(MASTER_SOURCE!$C$2:$C$495,MATCH($I54,MASTER_SOURCE!$A$2:$A$495,0)),""))</f>
        <v/>
      </c>
      <c r="L54" s="22">
        <f t="array" ref="L54">IF($D54="","",IFERROR(INDEX(MASTER_SOURCE!$D$2:$D$495,MATCH($I54,MASTER_SOURCE!$A$2:$A$495,0)),""))</f>
        <v/>
      </c>
      <c r="M54" s="24" t="inlineStr">
        <is>
          <t>Có</t>
        </is>
      </c>
      <c r="N54" s="24" t="inlineStr">
        <is>
          <t>Có</t>
        </is>
      </c>
      <c r="O54" s="24" t="inlineStr">
        <is>
          <t>Có</t>
        </is>
      </c>
      <c r="P54" s="24" t="inlineStr">
        <is>
          <t>Có</t>
        </is>
      </c>
      <c r="Q54" s="22">
        <f>IF($D54="","",IF(AND(OR(DANH_MUC!$L$5&lt;&gt;"Có",M54="Có"),OR(DANH_MUC!$L$6&lt;&gt;"Có",N54="Có"),OR(DANH_MUC!$L$7&lt;&gt;"Có",O54="Có"),OR(DANH_MUC!$L$8&lt;&gt;"Có",P54="Có")),"Có","Không"))</f>
        <v/>
      </c>
      <c r="R54" s="22">
        <f>IF($D54="","",IF(COUNTIF($D$2:$D54,$D54)&gt;1,"Trùng",""))</f>
        <v/>
      </c>
      <c r="S54" s="22">
        <f>IF($D54="","",IF(AND(LEN($D54)=10,LEFT($D54,1)="0",ISNUMBER(--$D54)),"Có","Không"))</f>
        <v/>
      </c>
      <c r="T54" s="22">
        <f>IF($D54="","",IF(AND($C54&lt;&gt;"",$Q54="Có",$R54="",$S54="Có",AND($L54&lt;&gt;"",OR($L54&lt;&gt;"Chưa xác định",DANH_MUC!$L$9="Có"))),"Có","Không"))</f>
        <v/>
      </c>
      <c r="U54" s="22">
        <f>IF(OR($D54="",$T54="Có"),"",IF($C54="","Thiếu họ tên; ","")&amp;IF($S54&lt;&gt;"Có","SĐT sai định dạng; ","")&amp;IF($R54="Trùng","Trùng SĐT; ","")&amp;IF($Q54&lt;&gt;"Có","Thiếu đồng ý bắt buộc; ","")&amp;IF($L54="","Thiếu/sai Mã REF; ",IF(AND($L54="Chưa xác định",DANH_MUC!$L$9&lt;&gt;"Có"),"Nguồn chưa xác định; ","")))</f>
        <v/>
      </c>
      <c r="V54" s="22">
        <f>IF(OR($D54="",$R54="Trùng"),"",IF(COUNTIF(ORDERS!$C$2:$C$4995,$D54)&gt;0,"Có","Không"))</f>
        <v/>
      </c>
      <c r="W54" s="22">
        <f>IF(OR($D54="",$R54="Trùng"),"",COUNTIFS(ORDERS!$C$2:$C$4995,$D54,ORDERS!$L$2:$L$4995,"Đã chuyển khoản"))</f>
        <v/>
      </c>
      <c r="X54" s="23">
        <f>IF(OR($D54="",$R54="Trùng"),"",SUMIFS(ORDERS!$J$2:$J$4995,ORDERS!$C$2:$C$4995,$D54,ORDERS!$L$2:$L$4995,"Đã chuyển khoản"))</f>
        <v/>
      </c>
      <c r="Y54" s="25" t="n"/>
    </row>
    <row r="55" ht="14.25" customHeight="1" s="40">
      <c r="A55" s="24" t="inlineStr">
        <is>
          <t>dc90bb2e-6222-4690-b08c-dde275fb9235</t>
        </is>
      </c>
      <c r="B55" s="18" t="n">
        <v>46289.45416666667</v>
      </c>
      <c r="C55" s="24" t="inlineStr">
        <is>
          <t>Lê Thuỳ Trang</t>
        </is>
      </c>
      <c r="D55" s="28" t="inlineStr">
        <is>
          <t>0393855076</t>
        </is>
      </c>
      <c r="E55" s="29" t="n">
        <v>46359</v>
      </c>
      <c r="F55" s="24" t="inlineStr">
        <is>
          <t>Đang mang thai</t>
        </is>
      </c>
      <c r="G55" s="24" t="inlineStr">
        <is>
          <t>Đồng Nai</t>
        </is>
      </c>
      <c r="H55" s="21">
        <f>IF(ISNUMBER($B55),INT($B55)-WEEKDAY($B55,2)+1,"")</f>
        <v/>
      </c>
      <c r="I55" s="24" t="inlineStr">
        <is>
          <t>Z-CIH</t>
        </is>
      </c>
      <c r="J55" s="22">
        <f t="array" ref="J55">IF($D55="","",IF($I55="","(trống REF)",IFERROR(INDEX(MASTER_SOURCE!$B$2:$B$495,MATCH($I55,MASTER_SOURCE!$A$2:$A$495,0)),"(REF không có trong MASTER_SOURCE)")))</f>
        <v/>
      </c>
      <c r="K55" s="22">
        <f t="array" ref="K55">IF($D55="","",IFERROR(INDEX(MASTER_SOURCE!$C$2:$C$495,MATCH($I55,MASTER_SOURCE!$A$2:$A$495,0)),""))</f>
        <v/>
      </c>
      <c r="L55" s="22">
        <f t="array" ref="L55">IF($D55="","",IFERROR(INDEX(MASTER_SOURCE!$D$2:$D$495,MATCH($I55,MASTER_SOURCE!$A$2:$A$495,0)),""))</f>
        <v/>
      </c>
      <c r="M55" s="24" t="inlineStr">
        <is>
          <t>Có</t>
        </is>
      </c>
      <c r="N55" s="24" t="inlineStr">
        <is>
          <t>Có</t>
        </is>
      </c>
      <c r="O55" s="24" t="inlineStr">
        <is>
          <t>Có</t>
        </is>
      </c>
      <c r="P55" s="24" t="inlineStr">
        <is>
          <t>Có</t>
        </is>
      </c>
      <c r="Q55" s="22">
        <f>IF($D55="","",IF(AND(OR(DANH_MUC!$L$5&lt;&gt;"Có",M55="Có"),OR(DANH_MUC!$L$6&lt;&gt;"Có",N55="Có"),OR(DANH_MUC!$L$7&lt;&gt;"Có",O55="Có"),OR(DANH_MUC!$L$8&lt;&gt;"Có",P55="Có")),"Có","Không"))</f>
        <v/>
      </c>
      <c r="R55" s="22">
        <f>IF($D55="","",IF(COUNTIF($D$2:$D55,$D55)&gt;1,"Trùng",""))</f>
        <v/>
      </c>
      <c r="S55" s="22">
        <f>IF($D55="","",IF(AND(LEN($D55)=10,LEFT($D55,1)="0",ISNUMBER(--$D55)),"Có","Không"))</f>
        <v/>
      </c>
      <c r="T55" s="22">
        <f>IF($D55="","",IF(AND($C55&lt;&gt;"",$Q55="Có",$R55="",$S55="Có",AND($L55&lt;&gt;"",OR($L55&lt;&gt;"Chưa xác định",DANH_MUC!$L$9="Có"))),"Có","Không"))</f>
        <v/>
      </c>
      <c r="U55" s="22">
        <f>IF(OR($D55="",$T55="Có"),"",IF($C55="","Thiếu họ tên; ","")&amp;IF($S55&lt;&gt;"Có","SĐT sai định dạng; ","")&amp;IF($R55="Trùng","Trùng SĐT; ","")&amp;IF($Q55&lt;&gt;"Có","Thiếu đồng ý bắt buộc; ","")&amp;IF($L55="","Thiếu/sai Mã REF; ",IF(AND($L55="Chưa xác định",DANH_MUC!$L$9&lt;&gt;"Có"),"Nguồn chưa xác định; ","")))</f>
        <v/>
      </c>
      <c r="V55" s="22">
        <f>IF(OR($D55="",$R55="Trùng"),"",IF(COUNTIF(ORDERS!$C$2:$C$4995,$D55)&gt;0,"Có","Không"))</f>
        <v/>
      </c>
      <c r="W55" s="22">
        <f>IF(OR($D55="",$R55="Trùng"),"",COUNTIFS(ORDERS!$C$2:$C$4995,$D55,ORDERS!$L$2:$L$4995,"Đã chuyển khoản"))</f>
        <v/>
      </c>
      <c r="X55" s="23">
        <f>IF(OR($D55="",$R55="Trùng"),"",SUMIFS(ORDERS!$J$2:$J$4995,ORDERS!$C$2:$C$4995,$D55,ORDERS!$L$2:$L$4995,"Đã chuyển khoản"))</f>
        <v/>
      </c>
      <c r="Y55" s="25" t="n"/>
    </row>
    <row r="56" ht="14.25" customHeight="1" s="40">
      <c r="A56" s="24" t="inlineStr">
        <is>
          <t>45fd27c6-a710-40b8-adb7-c12aea8c96b2</t>
        </is>
      </c>
      <c r="B56" s="18" t="n">
        <v>46289.45416666667</v>
      </c>
      <c r="C56" s="24" t="inlineStr">
        <is>
          <t>Huỳnh Thị Trúc Nhi</t>
        </is>
      </c>
      <c r="D56" s="28" t="inlineStr">
        <is>
          <t>0773803507</t>
        </is>
      </c>
      <c r="E56" s="29" t="n">
        <v>46358</v>
      </c>
      <c r="F56" s="24" t="inlineStr">
        <is>
          <t>Đang mang thai</t>
        </is>
      </c>
      <c r="G56" s="24" t="inlineStr">
        <is>
          <t>Hồ Chí Minh</t>
        </is>
      </c>
      <c r="H56" s="21">
        <f>IF(ISNUMBER($B56),INT($B56)-WEEKDAY($B56,2)+1,"")</f>
        <v/>
      </c>
      <c r="I56" s="24" t="inlineStr">
        <is>
          <t>Z-CIH</t>
        </is>
      </c>
      <c r="J56" s="22">
        <f t="array" ref="J56">IF($D56="","",IF($I56="","(trống REF)",IFERROR(INDEX(MASTER_SOURCE!$B$2:$B$495,MATCH($I56,MASTER_SOURCE!$A$2:$A$495,0)),"(REF không có trong MASTER_SOURCE)")))</f>
        <v/>
      </c>
      <c r="K56" s="22">
        <f t="array" ref="K56">IF($D56="","",IFERROR(INDEX(MASTER_SOURCE!$C$2:$C$495,MATCH($I56,MASTER_SOURCE!$A$2:$A$495,0)),""))</f>
        <v/>
      </c>
      <c r="L56" s="22">
        <f t="array" ref="L56">IF($D56="","",IFERROR(INDEX(MASTER_SOURCE!$D$2:$D$495,MATCH($I56,MASTER_SOURCE!$A$2:$A$495,0)),""))</f>
        <v/>
      </c>
      <c r="M56" s="24" t="inlineStr">
        <is>
          <t>Có</t>
        </is>
      </c>
      <c r="N56" s="24" t="inlineStr">
        <is>
          <t>Có</t>
        </is>
      </c>
      <c r="O56" s="24" t="inlineStr">
        <is>
          <t>Có</t>
        </is>
      </c>
      <c r="P56" s="24" t="inlineStr">
        <is>
          <t>Có</t>
        </is>
      </c>
      <c r="Q56" s="22">
        <f>IF($D56="","",IF(AND(OR(DANH_MUC!$L$5&lt;&gt;"Có",M56="Có"),OR(DANH_MUC!$L$6&lt;&gt;"Có",N56="Có"),OR(DANH_MUC!$L$7&lt;&gt;"Có",O56="Có"),OR(DANH_MUC!$L$8&lt;&gt;"Có",P56="Có")),"Có","Không"))</f>
        <v/>
      </c>
      <c r="R56" s="22">
        <f>IF($D56="","",IF(COUNTIF($D$2:$D56,$D56)&gt;1,"Trùng",""))</f>
        <v/>
      </c>
      <c r="S56" s="22">
        <f>IF($D56="","",IF(AND(LEN($D56)=10,LEFT($D56,1)="0",ISNUMBER(--$D56)),"Có","Không"))</f>
        <v/>
      </c>
      <c r="T56" s="22">
        <f>IF($D56="","",IF(AND($C56&lt;&gt;"",$Q56="Có",$R56="",$S56="Có",AND($L56&lt;&gt;"",OR($L56&lt;&gt;"Chưa xác định",DANH_MUC!$L$9="Có"))),"Có","Không"))</f>
        <v/>
      </c>
      <c r="U56" s="22">
        <f>IF(OR($D56="",$T56="Có"),"",IF($C56="","Thiếu họ tên; ","")&amp;IF($S56&lt;&gt;"Có","SĐT sai định dạng; ","")&amp;IF($R56="Trùng","Trùng SĐT; ","")&amp;IF($Q56&lt;&gt;"Có","Thiếu đồng ý bắt buộc; ","")&amp;IF($L56="","Thiếu/sai Mã REF; ",IF(AND($L56="Chưa xác định",DANH_MUC!$L$9&lt;&gt;"Có"),"Nguồn chưa xác định; ","")))</f>
        <v/>
      </c>
      <c r="V56" s="22">
        <f>IF(OR($D56="",$R56="Trùng"),"",IF(COUNTIF(ORDERS!$C$2:$C$4995,$D56)&gt;0,"Có","Không"))</f>
        <v/>
      </c>
      <c r="W56" s="22">
        <f>IF(OR($D56="",$R56="Trùng"),"",COUNTIFS(ORDERS!$C$2:$C$4995,$D56,ORDERS!$L$2:$L$4995,"Đã chuyển khoản"))</f>
        <v/>
      </c>
      <c r="X56" s="23">
        <f>IF(OR($D56="",$R56="Trùng"),"",SUMIFS(ORDERS!$J$2:$J$4995,ORDERS!$C$2:$C$4995,$D56,ORDERS!$L$2:$L$4995,"Đã chuyển khoản"))</f>
        <v/>
      </c>
      <c r="Y56" s="24" t="n"/>
    </row>
    <row r="57" ht="14.25" customHeight="1" s="40">
      <c r="A57" s="24" t="inlineStr">
        <is>
          <t>d6ef6994-5886-49b7-8b7a-9de5ca079b97</t>
        </is>
      </c>
      <c r="B57" s="18" t="n">
        <v>46289.45486111111</v>
      </c>
      <c r="C57" s="24" t="inlineStr">
        <is>
          <t>NGUYENTHITHU Lan</t>
        </is>
      </c>
      <c r="D57" s="28" t="inlineStr">
        <is>
          <t>0349520876</t>
        </is>
      </c>
      <c r="E57" s="29" t="n">
        <v>46315</v>
      </c>
      <c r="F57" s="24" t="inlineStr">
        <is>
          <t>Đang mang thai</t>
        </is>
      </c>
      <c r="G57" s="24" t="inlineStr">
        <is>
          <t>Hải Phòng</t>
        </is>
      </c>
      <c r="H57" s="21">
        <f>IF(ISNUMBER($B57),INT($B57)-WEEKDAY($B57,2)+1,"")</f>
        <v/>
      </c>
      <c r="I57" s="24" t="inlineStr">
        <is>
          <t>Z-00</t>
        </is>
      </c>
      <c r="J57" s="22">
        <f t="array" ref="J57">IF($D57="","",IF($I57="","(trống REF)",IFERROR(INDEX(MASTER_SOURCE!$B$2:$B$495,MATCH($I57,MASTER_SOURCE!$A$2:$A$495,0)),"(REF không có trong MASTER_SOURCE)")))</f>
        <v/>
      </c>
      <c r="K57" s="22">
        <f t="array" ref="K57">IF($D57="","",IFERROR(INDEX(MASTER_SOURCE!$C$2:$C$495,MATCH($I57,MASTER_SOURCE!$A$2:$A$495,0)),""))</f>
        <v/>
      </c>
      <c r="L57" s="22">
        <f t="array" ref="L57">IF($D57="","",IFERROR(INDEX(MASTER_SOURCE!$D$2:$D$495,MATCH($I57,MASTER_SOURCE!$A$2:$A$495,0)),""))</f>
        <v/>
      </c>
      <c r="M57" s="24" t="inlineStr">
        <is>
          <t>Có</t>
        </is>
      </c>
      <c r="N57" s="24" t="inlineStr">
        <is>
          <t>Có</t>
        </is>
      </c>
      <c r="O57" s="24" t="inlineStr">
        <is>
          <t>Có</t>
        </is>
      </c>
      <c r="P57" s="24" t="inlineStr">
        <is>
          <t>Có</t>
        </is>
      </c>
      <c r="Q57" s="22">
        <f>IF($D57="","",IF(AND(OR(DANH_MUC!$L$5&lt;&gt;"Có",M57="Có"),OR(DANH_MUC!$L$6&lt;&gt;"Có",N57="Có"),OR(DANH_MUC!$L$7&lt;&gt;"Có",O57="Có"),OR(DANH_MUC!$L$8&lt;&gt;"Có",P57="Có")),"Có","Không"))</f>
        <v/>
      </c>
      <c r="R57" s="22">
        <f>IF($D57="","",IF(COUNTIF($D$2:$D57,$D57)&gt;1,"Trùng",""))</f>
        <v/>
      </c>
      <c r="S57" s="22">
        <f>IF($D57="","",IF(AND(LEN($D57)=10,LEFT($D57,1)="0",ISNUMBER(--$D57)),"Có","Không"))</f>
        <v/>
      </c>
      <c r="T57" s="22">
        <f>IF($D57="","",IF(AND($C57&lt;&gt;"",$Q57="Có",$R57="",$S57="Có",AND($L57&lt;&gt;"",OR($L57&lt;&gt;"Chưa xác định",DANH_MUC!$L$9="Có"))),"Có","Không"))</f>
        <v/>
      </c>
      <c r="U57" s="22">
        <f>IF(OR($D57="",$T57="Có"),"",IF($C57="","Thiếu họ tên; ","")&amp;IF($S57&lt;&gt;"Có","SĐT sai định dạng; ","")&amp;IF($R57="Trùng","Trùng SĐT; ","")&amp;IF($Q57&lt;&gt;"Có","Thiếu đồng ý bắt buộc; ","")&amp;IF($L57="","Thiếu/sai Mã REF; ",IF(AND($L57="Chưa xác định",DANH_MUC!$L$9&lt;&gt;"Có"),"Nguồn chưa xác định; ","")))</f>
        <v/>
      </c>
      <c r="V57" s="22">
        <f>IF(OR($D57="",$R57="Trùng"),"",IF(COUNTIF(ORDERS!$C$2:$C$4995,$D57)&gt;0,"Có","Không"))</f>
        <v/>
      </c>
      <c r="W57" s="22">
        <f>IF(OR($D57="",$R57="Trùng"),"",COUNTIFS(ORDERS!$C$2:$C$4995,$D57,ORDERS!$L$2:$L$4995,"Đã chuyển khoản"))</f>
        <v/>
      </c>
      <c r="X57" s="23">
        <f>IF(OR($D57="",$R57="Trùng"),"",SUMIFS(ORDERS!$J$2:$J$4995,ORDERS!$C$2:$C$4995,$D57,ORDERS!$L$2:$L$4995,"Đã chuyển khoản"))</f>
        <v/>
      </c>
      <c r="Y57" s="24" t="n"/>
    </row>
    <row r="58" ht="14.25" customHeight="1" s="40">
      <c r="A58" s="24" t="inlineStr">
        <is>
          <t>44221e64-2ddf-42ea-8173-9f2133a0d791</t>
        </is>
      </c>
      <c r="B58" s="18" t="n">
        <v>46289.45694444444</v>
      </c>
      <c r="C58" s="24" t="inlineStr">
        <is>
          <t>Vũ Thị Hoàng Yến</t>
        </is>
      </c>
      <c r="D58" s="28" t="inlineStr">
        <is>
          <t>0938888679</t>
        </is>
      </c>
      <c r="E58" s="29" t="n">
        <v>46233</v>
      </c>
      <c r="F58" s="24" t="inlineStr">
        <is>
          <t>Đã sinh</t>
        </is>
      </c>
      <c r="G58" s="24" t="inlineStr">
        <is>
          <t>Hồ Chí Minh</t>
        </is>
      </c>
      <c r="H58" s="21">
        <f>IF(ISNUMBER($B58),INT($B58)-WEEKDAY($B58,2)+1,"")</f>
        <v/>
      </c>
      <c r="I58" s="24" t="inlineStr">
        <is>
          <t>Z-CIH</t>
        </is>
      </c>
      <c r="J58" s="22">
        <f t="array" ref="J58">IF($D58="","",IF($I58="","(trống REF)",IFERROR(INDEX(MASTER_SOURCE!$B$2:$B$495,MATCH($I58,MASTER_SOURCE!$A$2:$A$495,0)),"(REF không có trong MASTER_SOURCE)")))</f>
        <v/>
      </c>
      <c r="K58" s="22">
        <f t="array" ref="K58">IF($D58="","",IFERROR(INDEX(MASTER_SOURCE!$C$2:$C$495,MATCH($I58,MASTER_SOURCE!$A$2:$A$495,0)),""))</f>
        <v/>
      </c>
      <c r="L58" s="22">
        <f t="array" ref="L58">IF($D58="","",IFERROR(INDEX(MASTER_SOURCE!$D$2:$D$495,MATCH($I58,MASTER_SOURCE!$A$2:$A$495,0)),""))</f>
        <v/>
      </c>
      <c r="M58" s="24" t="inlineStr">
        <is>
          <t>Có</t>
        </is>
      </c>
      <c r="N58" s="24" t="inlineStr">
        <is>
          <t>Có</t>
        </is>
      </c>
      <c r="O58" s="24" t="inlineStr">
        <is>
          <t>Có</t>
        </is>
      </c>
      <c r="P58" s="24" t="inlineStr">
        <is>
          <t>Có</t>
        </is>
      </c>
      <c r="Q58" s="22">
        <f>IF($D58="","",IF(AND(OR(DANH_MUC!$L$5&lt;&gt;"Có",M58="Có"),OR(DANH_MUC!$L$6&lt;&gt;"Có",N58="Có"),OR(DANH_MUC!$L$7&lt;&gt;"Có",O58="Có"),OR(DANH_MUC!$L$8&lt;&gt;"Có",P58="Có")),"Có","Không"))</f>
        <v/>
      </c>
      <c r="R58" s="22">
        <f>IF($D58="","",IF(COUNTIF($D$2:$D58,$D58)&gt;1,"Trùng",""))</f>
        <v/>
      </c>
      <c r="S58" s="22">
        <f>IF($D58="","",IF(AND(LEN($D58)=10,LEFT($D58,1)="0",ISNUMBER(--$D58)),"Có","Không"))</f>
        <v/>
      </c>
      <c r="T58" s="22">
        <f>IF($D58="","",IF(AND($C58&lt;&gt;"",$Q58="Có",$R58="",$S58="Có",AND($L58&lt;&gt;"",OR($L58&lt;&gt;"Chưa xác định",DANH_MUC!$L$9="Có"))),"Có","Không"))</f>
        <v/>
      </c>
      <c r="U58" s="22">
        <f>IF(OR($D58="",$T58="Có"),"",IF($C58="","Thiếu họ tên; ","")&amp;IF($S58&lt;&gt;"Có","SĐT sai định dạng; ","")&amp;IF($R58="Trùng","Trùng SĐT; ","")&amp;IF($Q58&lt;&gt;"Có","Thiếu đồng ý bắt buộc; ","")&amp;IF($L58="","Thiếu/sai Mã REF; ",IF(AND($L58="Chưa xác định",DANH_MUC!$L$9&lt;&gt;"Có"),"Nguồn chưa xác định; ","")))</f>
        <v/>
      </c>
      <c r="V58" s="22">
        <f>IF(OR($D58="",$R58="Trùng"),"",IF(COUNTIF(ORDERS!$C$2:$C$4995,$D58)&gt;0,"Có","Không"))</f>
        <v/>
      </c>
      <c r="W58" s="22">
        <f>IF(OR($D58="",$R58="Trùng"),"",COUNTIFS(ORDERS!$C$2:$C$4995,$D58,ORDERS!$L$2:$L$4995,"Đã chuyển khoản"))</f>
        <v/>
      </c>
      <c r="X58" s="23">
        <f>IF(OR($D58="",$R58="Trùng"),"",SUMIFS(ORDERS!$J$2:$J$4995,ORDERS!$C$2:$C$4995,$D58,ORDERS!$L$2:$L$4995,"Đã chuyển khoản"))</f>
        <v/>
      </c>
      <c r="Y58" s="24" t="n"/>
    </row>
    <row r="59" ht="14.25" customHeight="1" s="40">
      <c r="A59" s="24" t="inlineStr">
        <is>
          <t>6553ffe4-fbb7-4863-8eae-382383352059</t>
        </is>
      </c>
      <c r="B59" s="18" t="n">
        <v>46289.45833333334</v>
      </c>
      <c r="C59" s="24" t="inlineStr">
        <is>
          <t>Hoàng Kiều Anh</t>
        </is>
      </c>
      <c r="D59" s="28" t="inlineStr">
        <is>
          <t>0936110193</t>
        </is>
      </c>
      <c r="E59" s="29" t="n">
        <v>46295</v>
      </c>
      <c r="F59" s="24" t="inlineStr">
        <is>
          <t>Đang mang thai</t>
        </is>
      </c>
      <c r="G59" s="24" t="inlineStr">
        <is>
          <t>Hồ Chí Minh</t>
        </is>
      </c>
      <c r="H59" s="21">
        <f>IF(ISNUMBER($B59),INT($B59)-WEEKDAY($B59,2)+1,"")</f>
        <v/>
      </c>
      <c r="I59" s="24" t="inlineStr">
        <is>
          <t>Z-CIH</t>
        </is>
      </c>
      <c r="J59" s="22">
        <f t="array" ref="J59">IF($D59="","",IF($I59="","(trống REF)",IFERROR(INDEX(MASTER_SOURCE!$B$2:$B$495,MATCH($I59,MASTER_SOURCE!$A$2:$A$495,0)),"(REF không có trong MASTER_SOURCE)")))</f>
        <v/>
      </c>
      <c r="K59" s="22">
        <f t="array" ref="K59">IF($D59="","",IFERROR(INDEX(MASTER_SOURCE!$C$2:$C$495,MATCH($I59,MASTER_SOURCE!$A$2:$A$495,0)),""))</f>
        <v/>
      </c>
      <c r="L59" s="22">
        <f t="array" ref="L59">IF($D59="","",IFERROR(INDEX(MASTER_SOURCE!$D$2:$D$495,MATCH($I59,MASTER_SOURCE!$A$2:$A$495,0)),""))</f>
        <v/>
      </c>
      <c r="M59" s="24" t="inlineStr">
        <is>
          <t>Có</t>
        </is>
      </c>
      <c r="N59" s="24" t="inlineStr">
        <is>
          <t>Có</t>
        </is>
      </c>
      <c r="O59" s="24" t="inlineStr">
        <is>
          <t>Có</t>
        </is>
      </c>
      <c r="P59" s="24" t="inlineStr">
        <is>
          <t>Có</t>
        </is>
      </c>
      <c r="Q59" s="22">
        <f>IF($D59="","",IF(AND(OR(DANH_MUC!$L$5&lt;&gt;"Có",M59="Có"),OR(DANH_MUC!$L$6&lt;&gt;"Có",N59="Có"),OR(DANH_MUC!$L$7&lt;&gt;"Có",O59="Có"),OR(DANH_MUC!$L$8&lt;&gt;"Có",P59="Có")),"Có","Không"))</f>
        <v/>
      </c>
      <c r="R59" s="22">
        <f>IF($D59="","",IF(COUNTIF($D$2:$D59,$D59)&gt;1,"Trùng",""))</f>
        <v/>
      </c>
      <c r="S59" s="22">
        <f>IF($D59="","",IF(AND(LEN($D59)=10,LEFT($D59,1)="0",ISNUMBER(--$D59)),"Có","Không"))</f>
        <v/>
      </c>
      <c r="T59" s="22">
        <f>IF($D59="","",IF(AND($C59&lt;&gt;"",$Q59="Có",$R59="",$S59="Có",AND($L59&lt;&gt;"",OR($L59&lt;&gt;"Chưa xác định",DANH_MUC!$L$9="Có"))),"Có","Không"))</f>
        <v/>
      </c>
      <c r="U59" s="22">
        <f>IF(OR($D59="",$T59="Có"),"",IF($C59="","Thiếu họ tên; ","")&amp;IF($S59&lt;&gt;"Có","SĐT sai định dạng; ","")&amp;IF($R59="Trùng","Trùng SĐT; ","")&amp;IF($Q59&lt;&gt;"Có","Thiếu đồng ý bắt buộc; ","")&amp;IF($L59="","Thiếu/sai Mã REF; ",IF(AND($L59="Chưa xác định",DANH_MUC!$L$9&lt;&gt;"Có"),"Nguồn chưa xác định; ","")))</f>
        <v/>
      </c>
      <c r="V59" s="22">
        <f>IF(OR($D59="",$R59="Trùng"),"",IF(COUNTIF(ORDERS!$C$2:$C$4995,$D59)&gt;0,"Có","Không"))</f>
        <v/>
      </c>
      <c r="W59" s="22">
        <f>IF(OR($D59="",$R59="Trùng"),"",COUNTIFS(ORDERS!$C$2:$C$4995,$D59,ORDERS!$L$2:$L$4995,"Đã chuyển khoản"))</f>
        <v/>
      </c>
      <c r="X59" s="23">
        <f>IF(OR($D59="",$R59="Trùng"),"",SUMIFS(ORDERS!$J$2:$J$4995,ORDERS!$C$2:$C$4995,$D59,ORDERS!$L$2:$L$4995,"Đã chuyển khoản"))</f>
        <v/>
      </c>
      <c r="Y59" s="24" t="n"/>
    </row>
    <row r="60" ht="14.25" customHeight="1" s="40">
      <c r="A60" s="24" t="inlineStr">
        <is>
          <t>7356e172-ed4f-48e6-b998-2c7ead8f19d0</t>
        </is>
      </c>
      <c r="B60" s="18" t="n">
        <v>46289.45972222222</v>
      </c>
      <c r="C60" s="24" t="inlineStr">
        <is>
          <t>Lê Thuỳ Trang</t>
        </is>
      </c>
      <c r="D60" s="28" t="inlineStr">
        <is>
          <t>0944716554</t>
        </is>
      </c>
      <c r="E60" s="29" t="n">
        <v>46305</v>
      </c>
      <c r="F60" s="24" t="inlineStr">
        <is>
          <t>Đang mang thai</t>
        </is>
      </c>
      <c r="G60" s="24" t="inlineStr">
        <is>
          <t>Hà Nội</t>
        </is>
      </c>
      <c r="H60" s="21">
        <f>IF(ISNUMBER($B60),INT($B60)-WEEKDAY($B60,2)+1,"")</f>
        <v/>
      </c>
      <c r="I60" s="24" t="inlineStr">
        <is>
          <t>Z-00</t>
        </is>
      </c>
      <c r="J60" s="22">
        <f t="array" ref="J60">IF($D60="","",IF($I60="","(trống REF)",IFERROR(INDEX(MASTER_SOURCE!$B$2:$B$495,MATCH($I60,MASTER_SOURCE!$A$2:$A$495,0)),"(REF không có trong MASTER_SOURCE)")))</f>
        <v/>
      </c>
      <c r="K60" s="22">
        <f t="array" ref="K60">IF($D60="","",IFERROR(INDEX(MASTER_SOURCE!$C$2:$C$495,MATCH($I60,MASTER_SOURCE!$A$2:$A$495,0)),""))</f>
        <v/>
      </c>
      <c r="L60" s="22">
        <f t="array" ref="L60">IF($D60="","",IFERROR(INDEX(MASTER_SOURCE!$D$2:$D$495,MATCH($I60,MASTER_SOURCE!$A$2:$A$495,0)),""))</f>
        <v/>
      </c>
      <c r="M60" s="24" t="inlineStr">
        <is>
          <t>Có</t>
        </is>
      </c>
      <c r="N60" s="24" t="inlineStr">
        <is>
          <t>Có</t>
        </is>
      </c>
      <c r="O60" s="24" t="inlineStr">
        <is>
          <t>Có</t>
        </is>
      </c>
      <c r="P60" s="24" t="inlineStr">
        <is>
          <t>Có</t>
        </is>
      </c>
      <c r="Q60" s="22">
        <f>IF($D60="","",IF(AND(OR(DANH_MUC!$L$5&lt;&gt;"Có",M60="Có"),OR(DANH_MUC!$L$6&lt;&gt;"Có",N60="Có"),OR(DANH_MUC!$L$7&lt;&gt;"Có",O60="Có"),OR(DANH_MUC!$L$8&lt;&gt;"Có",P60="Có")),"Có","Không"))</f>
        <v/>
      </c>
      <c r="R60" s="22">
        <f>IF($D60="","",IF(COUNTIF($D$2:$D60,$D60)&gt;1,"Trùng",""))</f>
        <v/>
      </c>
      <c r="S60" s="22">
        <f>IF($D60="","",IF(AND(LEN($D60)=10,LEFT($D60,1)="0",ISNUMBER(--$D60)),"Có","Không"))</f>
        <v/>
      </c>
      <c r="T60" s="22">
        <f>IF($D60="","",IF(AND($C60&lt;&gt;"",$Q60="Có",$R60="",$S60="Có",AND($L60&lt;&gt;"",OR($L60&lt;&gt;"Chưa xác định",DANH_MUC!$L$9="Có"))),"Có","Không"))</f>
        <v/>
      </c>
      <c r="U60" s="22">
        <f>IF(OR($D60="",$T60="Có"),"",IF($C60="","Thiếu họ tên; ","")&amp;IF($S60&lt;&gt;"Có","SĐT sai định dạng; ","")&amp;IF($R60="Trùng","Trùng SĐT; ","")&amp;IF($Q60&lt;&gt;"Có","Thiếu đồng ý bắt buộc; ","")&amp;IF($L60="","Thiếu/sai Mã REF; ",IF(AND($L60="Chưa xác định",DANH_MUC!$L$9&lt;&gt;"Có"),"Nguồn chưa xác định; ","")))</f>
        <v/>
      </c>
      <c r="V60" s="22">
        <f>IF(OR($D60="",$R60="Trùng"),"",IF(COUNTIF(ORDERS!$C$2:$C$4995,$D60)&gt;0,"Có","Không"))</f>
        <v/>
      </c>
      <c r="W60" s="22">
        <f>IF(OR($D60="",$R60="Trùng"),"",COUNTIFS(ORDERS!$C$2:$C$4995,$D60,ORDERS!$L$2:$L$4995,"Đã chuyển khoản"))</f>
        <v/>
      </c>
      <c r="X60" s="23">
        <f>IF(OR($D60="",$R60="Trùng"),"",SUMIFS(ORDERS!$J$2:$J$4995,ORDERS!$C$2:$C$4995,$D60,ORDERS!$L$2:$L$4995,"Đã chuyển khoản"))</f>
        <v/>
      </c>
      <c r="Y60" s="24" t="n"/>
    </row>
    <row r="61" ht="14.25" customHeight="1" s="40">
      <c r="A61" s="24" t="inlineStr">
        <is>
          <t>e6ce087c-1561-4c2d-a19d-f9878db0070e</t>
        </is>
      </c>
      <c r="B61" s="18" t="n">
        <v>46289.46180555555</v>
      </c>
      <c r="C61" s="24" t="inlineStr">
        <is>
          <t>Phạm Mỹ Hạnh</t>
        </is>
      </c>
      <c r="D61" s="28" t="inlineStr">
        <is>
          <t>0984520552</t>
        </is>
      </c>
      <c r="E61" s="29" t="n">
        <v>46046</v>
      </c>
      <c r="F61" s="24" t="inlineStr">
        <is>
          <t>Đã sinh</t>
        </is>
      </c>
      <c r="G61" s="24" t="inlineStr">
        <is>
          <t>Quảng Ninh</t>
        </is>
      </c>
      <c r="H61" s="21">
        <f>IF(ISNUMBER($B61),INT($B61)-WEEKDAY($B61,2)+1,"")</f>
        <v/>
      </c>
      <c r="I61" s="24" t="inlineStr">
        <is>
          <t>Z-00</t>
        </is>
      </c>
      <c r="J61" s="22">
        <f t="array" ref="J61">IF($D61="","",IF($I61="","(trống REF)",IFERROR(INDEX(MASTER_SOURCE!$B$2:$B$495,MATCH($I61,MASTER_SOURCE!$A$2:$A$495,0)),"(REF không có trong MASTER_SOURCE)")))</f>
        <v/>
      </c>
      <c r="K61" s="22">
        <f t="array" ref="K61">IF($D61="","",IFERROR(INDEX(MASTER_SOURCE!$C$2:$C$495,MATCH($I61,MASTER_SOURCE!$A$2:$A$495,0)),""))</f>
        <v/>
      </c>
      <c r="L61" s="22">
        <f t="array" ref="L61">IF($D61="","",IFERROR(INDEX(MASTER_SOURCE!$D$2:$D$495,MATCH($I61,MASTER_SOURCE!$A$2:$A$495,0)),""))</f>
        <v/>
      </c>
      <c r="M61" s="24" t="inlineStr">
        <is>
          <t>Có</t>
        </is>
      </c>
      <c r="N61" s="24" t="inlineStr">
        <is>
          <t>Có</t>
        </is>
      </c>
      <c r="O61" s="24" t="inlineStr">
        <is>
          <t>Có</t>
        </is>
      </c>
      <c r="P61" s="24" t="inlineStr">
        <is>
          <t>Có</t>
        </is>
      </c>
      <c r="Q61" s="22">
        <f>IF($D61="","",IF(AND(OR(DANH_MUC!$L$5&lt;&gt;"Có",M61="Có"),OR(DANH_MUC!$L$6&lt;&gt;"Có",N61="Có"),OR(DANH_MUC!$L$7&lt;&gt;"Có",O61="Có"),OR(DANH_MUC!$L$8&lt;&gt;"Có",P61="Có")),"Có","Không"))</f>
        <v/>
      </c>
      <c r="R61" s="22">
        <f>IF($D61="","",IF(COUNTIF($D$2:$D61,$D61)&gt;1,"Trùng",""))</f>
        <v/>
      </c>
      <c r="S61" s="22">
        <f>IF($D61="","",IF(AND(LEN($D61)=10,LEFT($D61,1)="0",ISNUMBER(--$D61)),"Có","Không"))</f>
        <v/>
      </c>
      <c r="T61" s="22">
        <f>IF($D61="","",IF(AND($C61&lt;&gt;"",$Q61="Có",$R61="",$S61="Có",AND($L61&lt;&gt;"",OR($L61&lt;&gt;"Chưa xác định",DANH_MUC!$L$9="Có"))),"Có","Không"))</f>
        <v/>
      </c>
      <c r="U61" s="22">
        <f>IF(OR($D61="",$T61="Có"),"",IF($C61="","Thiếu họ tên; ","")&amp;IF($S61&lt;&gt;"Có","SĐT sai định dạng; ","")&amp;IF($R61="Trùng","Trùng SĐT; ","")&amp;IF($Q61&lt;&gt;"Có","Thiếu đồng ý bắt buộc; ","")&amp;IF($L61="","Thiếu/sai Mã REF; ",IF(AND($L61="Chưa xác định",DANH_MUC!$L$9&lt;&gt;"Có"),"Nguồn chưa xác định; ","")))</f>
        <v/>
      </c>
      <c r="V61" s="22">
        <f>IF(OR($D61="",$R61="Trùng"),"",IF(COUNTIF(ORDERS!$C$2:$C$4995,$D61)&gt;0,"Có","Không"))</f>
        <v/>
      </c>
      <c r="W61" s="22">
        <f>IF(OR($D61="",$R61="Trùng"),"",COUNTIFS(ORDERS!$C$2:$C$4995,$D61,ORDERS!$L$2:$L$4995,"Đã chuyển khoản"))</f>
        <v/>
      </c>
      <c r="X61" s="23">
        <f>IF(OR($D61="",$R61="Trùng"),"",SUMIFS(ORDERS!$J$2:$J$4995,ORDERS!$C$2:$C$4995,$D61,ORDERS!$L$2:$L$4995,"Đã chuyển khoản"))</f>
        <v/>
      </c>
      <c r="Y61" s="24" t="n"/>
    </row>
    <row r="62" ht="14.25" customHeight="1" s="40">
      <c r="A62" s="24" t="inlineStr">
        <is>
          <t>b3e7fa95-19e8-4f93-a2f0-984ebd6f32ab</t>
        </is>
      </c>
      <c r="B62" s="18" t="n">
        <v>46289.47708333333</v>
      </c>
      <c r="C62" s="24" t="inlineStr">
        <is>
          <t>Trần Ngọc Yến</t>
        </is>
      </c>
      <c r="D62" s="28" t="inlineStr">
        <is>
          <t>0707841696</t>
        </is>
      </c>
      <c r="E62" s="29" t="n">
        <v>46175</v>
      </c>
      <c r="F62" s="24" t="inlineStr">
        <is>
          <t>Đã sinh</t>
        </is>
      </c>
      <c r="G62" s="24" t="inlineStr">
        <is>
          <t>Hồ Chí Minh</t>
        </is>
      </c>
      <c r="H62" s="21">
        <f>IF(ISNUMBER($B62),INT($B62)-WEEKDAY($B62,2)+1,"")</f>
        <v/>
      </c>
      <c r="I62" s="24" t="inlineStr">
        <is>
          <t>Z-CIH</t>
        </is>
      </c>
      <c r="J62" s="22">
        <f t="array" ref="J62">IF($D62="","",IF($I62="","(trống REF)",IFERROR(INDEX(MASTER_SOURCE!$B$2:$B$495,MATCH($I62,MASTER_SOURCE!$A$2:$A$495,0)),"(REF không có trong MASTER_SOURCE)")))</f>
        <v/>
      </c>
      <c r="K62" s="22">
        <f t="array" ref="K62">IF($D62="","",IFERROR(INDEX(MASTER_SOURCE!$C$2:$C$495,MATCH($I62,MASTER_SOURCE!$A$2:$A$495,0)),""))</f>
        <v/>
      </c>
      <c r="L62" s="22">
        <f t="array" ref="L62">IF($D62="","",IFERROR(INDEX(MASTER_SOURCE!$D$2:$D$495,MATCH($I62,MASTER_SOURCE!$A$2:$A$495,0)),""))</f>
        <v/>
      </c>
      <c r="M62" s="24" t="inlineStr">
        <is>
          <t>Có</t>
        </is>
      </c>
      <c r="N62" s="24" t="inlineStr">
        <is>
          <t>Có</t>
        </is>
      </c>
      <c r="O62" s="24" t="inlineStr">
        <is>
          <t>Có</t>
        </is>
      </c>
      <c r="P62" s="24" t="inlineStr">
        <is>
          <t>Có</t>
        </is>
      </c>
      <c r="Q62" s="22">
        <f>IF($D62="","",IF(AND(OR(DANH_MUC!$L$5&lt;&gt;"Có",M62="Có"),OR(DANH_MUC!$L$6&lt;&gt;"Có",N62="Có"),OR(DANH_MUC!$L$7&lt;&gt;"Có",O62="Có"),OR(DANH_MUC!$L$8&lt;&gt;"Có",P62="Có")),"Có","Không"))</f>
        <v/>
      </c>
      <c r="R62" s="22">
        <f>IF($D62="","",IF(COUNTIF($D$2:$D62,$D62)&gt;1,"Trùng",""))</f>
        <v/>
      </c>
      <c r="S62" s="22">
        <f>IF($D62="","",IF(AND(LEN($D62)=10,LEFT($D62,1)="0",ISNUMBER(--$D62)),"Có","Không"))</f>
        <v/>
      </c>
      <c r="T62" s="22">
        <f>IF($D62="","",IF(AND($C62&lt;&gt;"",$Q62="Có",$R62="",$S62="Có",AND($L62&lt;&gt;"",OR($L62&lt;&gt;"Chưa xác định",DANH_MUC!$L$9="Có"))),"Có","Không"))</f>
        <v/>
      </c>
      <c r="U62" s="22">
        <f>IF(OR($D62="",$T62="Có"),"",IF($C62="","Thiếu họ tên; ","")&amp;IF($S62&lt;&gt;"Có","SĐT sai định dạng; ","")&amp;IF($R62="Trùng","Trùng SĐT; ","")&amp;IF($Q62&lt;&gt;"Có","Thiếu đồng ý bắt buộc; ","")&amp;IF($L62="","Thiếu/sai Mã REF; ",IF(AND($L62="Chưa xác định",DANH_MUC!$L$9&lt;&gt;"Có"),"Nguồn chưa xác định; ","")))</f>
        <v/>
      </c>
      <c r="V62" s="22">
        <f>IF(OR($D62="",$R62="Trùng"),"",IF(COUNTIF(ORDERS!$C$2:$C$4995,$D62)&gt;0,"Có","Không"))</f>
        <v/>
      </c>
      <c r="W62" s="22">
        <f>IF(OR($D62="",$R62="Trùng"),"",COUNTIFS(ORDERS!$C$2:$C$4995,$D62,ORDERS!$L$2:$L$4995,"Đã chuyển khoản"))</f>
        <v/>
      </c>
      <c r="X62" s="23">
        <f>IF(OR($D62="",$R62="Trùng"),"",SUMIFS(ORDERS!$J$2:$J$4995,ORDERS!$C$2:$C$4995,$D62,ORDERS!$L$2:$L$4995,"Đã chuyển khoản"))</f>
        <v/>
      </c>
      <c r="Y62" s="24" t="n"/>
    </row>
    <row r="63" ht="14.25" customHeight="1" s="40">
      <c r="A63" s="24" t="inlineStr">
        <is>
          <t>8884238e-2a87-41ed-8402-7c5c1e4fb6aa</t>
        </is>
      </c>
      <c r="B63" s="18" t="n">
        <v>46289.47777777778</v>
      </c>
      <c r="C63" s="24" t="inlineStr">
        <is>
          <t>Nguyễn Thuý Hoàn</t>
        </is>
      </c>
      <c r="D63" s="28" t="inlineStr">
        <is>
          <t>0979664780</t>
        </is>
      </c>
      <c r="E63" s="29" t="n">
        <v>46187</v>
      </c>
      <c r="F63" s="24" t="inlineStr">
        <is>
          <t>Đã sinh</t>
        </is>
      </c>
      <c r="G63" s="24" t="inlineStr">
        <is>
          <t>Hà Nội</t>
        </is>
      </c>
      <c r="H63" s="21">
        <f>IF(ISNUMBER($B63),INT($B63)-WEEKDAY($B63,2)+1,"")</f>
        <v/>
      </c>
      <c r="I63" s="24" t="inlineStr">
        <is>
          <t>Z-00</t>
        </is>
      </c>
      <c r="J63" s="22">
        <f t="array" ref="J63">IF($D63="","",IF($I63="","(trống REF)",IFERROR(INDEX(MASTER_SOURCE!$B$2:$B$495,MATCH($I63,MASTER_SOURCE!$A$2:$A$495,0)),"(REF không có trong MASTER_SOURCE)")))</f>
        <v/>
      </c>
      <c r="K63" s="22">
        <f t="array" ref="K63">IF($D63="","",IFERROR(INDEX(MASTER_SOURCE!$C$2:$C$495,MATCH($I63,MASTER_SOURCE!$A$2:$A$495,0)),""))</f>
        <v/>
      </c>
      <c r="L63" s="22">
        <f t="array" ref="L63">IF($D63="","",IFERROR(INDEX(MASTER_SOURCE!$D$2:$D$495,MATCH($I63,MASTER_SOURCE!$A$2:$A$495,0)),""))</f>
        <v/>
      </c>
      <c r="M63" s="24" t="inlineStr">
        <is>
          <t>Có</t>
        </is>
      </c>
      <c r="N63" s="24" t="inlineStr">
        <is>
          <t>Có</t>
        </is>
      </c>
      <c r="O63" s="24" t="inlineStr">
        <is>
          <t>Có</t>
        </is>
      </c>
      <c r="P63" s="24" t="inlineStr">
        <is>
          <t>Có</t>
        </is>
      </c>
      <c r="Q63" s="22">
        <f>IF($D63="","",IF(AND(OR(DANH_MUC!$L$5&lt;&gt;"Có",M63="Có"),OR(DANH_MUC!$L$6&lt;&gt;"Có",N63="Có"),OR(DANH_MUC!$L$7&lt;&gt;"Có",O63="Có"),OR(DANH_MUC!$L$8&lt;&gt;"Có",P63="Có")),"Có","Không"))</f>
        <v/>
      </c>
      <c r="R63" s="22">
        <f>IF($D63="","",IF(COUNTIF($D$2:$D63,$D63)&gt;1,"Trùng",""))</f>
        <v/>
      </c>
      <c r="S63" s="22">
        <f>IF($D63="","",IF(AND(LEN($D63)=10,LEFT($D63,1)="0",ISNUMBER(--$D63)),"Có","Không"))</f>
        <v/>
      </c>
      <c r="T63" s="22">
        <f>IF($D63="","",IF(AND($C63&lt;&gt;"",$Q63="Có",$R63="",$S63="Có",AND($L63&lt;&gt;"",OR($L63&lt;&gt;"Chưa xác định",DANH_MUC!$L$9="Có"))),"Có","Không"))</f>
        <v/>
      </c>
      <c r="U63" s="22">
        <f>IF(OR($D63="",$T63="Có"),"",IF($C63="","Thiếu họ tên; ","")&amp;IF($S63&lt;&gt;"Có","SĐT sai định dạng; ","")&amp;IF($R63="Trùng","Trùng SĐT; ","")&amp;IF($Q63&lt;&gt;"Có","Thiếu đồng ý bắt buộc; ","")&amp;IF($L63="","Thiếu/sai Mã REF; ",IF(AND($L63="Chưa xác định",DANH_MUC!$L$9&lt;&gt;"Có"),"Nguồn chưa xác định; ","")))</f>
        <v/>
      </c>
      <c r="V63" s="22">
        <f>IF(OR($D63="",$R63="Trùng"),"",IF(COUNTIF(ORDERS!$C$2:$C$4995,$D63)&gt;0,"Có","Không"))</f>
        <v/>
      </c>
      <c r="W63" s="22">
        <f>IF(OR($D63="",$R63="Trùng"),"",COUNTIFS(ORDERS!$C$2:$C$4995,$D63,ORDERS!$L$2:$L$4995,"Đã chuyển khoản"))</f>
        <v/>
      </c>
      <c r="X63" s="23">
        <f>IF(OR($D63="",$R63="Trùng"),"",SUMIFS(ORDERS!$J$2:$J$4995,ORDERS!$C$2:$C$4995,$D63,ORDERS!$L$2:$L$4995,"Đã chuyển khoản"))</f>
        <v/>
      </c>
      <c r="Y63" s="24" t="n"/>
    </row>
    <row r="64" ht="14.25" customHeight="1" s="40">
      <c r="A64" s="24" t="inlineStr">
        <is>
          <t>1b31449c-27b9-4f78-ba3b-22d724a68559</t>
        </is>
      </c>
      <c r="B64" s="18" t="n">
        <v>46289.48263888889</v>
      </c>
      <c r="C64" s="24" t="inlineStr">
        <is>
          <t>Nguyễn Phạm Vân Anh</t>
        </is>
      </c>
      <c r="D64" s="28" t="inlineStr">
        <is>
          <t>0927906219</t>
        </is>
      </c>
      <c r="E64" s="29" t="n">
        <v>46106</v>
      </c>
      <c r="F64" s="24" t="inlineStr">
        <is>
          <t>Đã sinh</t>
        </is>
      </c>
      <c r="G64" s="24" t="inlineStr">
        <is>
          <t>Hồ Chí Minh</t>
        </is>
      </c>
      <c r="H64" s="21">
        <f>IF(ISNUMBER($B64),INT($B64)-WEEKDAY($B64,2)+1,"")</f>
        <v/>
      </c>
      <c r="I64" s="24" t="inlineStr">
        <is>
          <t>Z-00</t>
        </is>
      </c>
      <c r="J64" s="22">
        <f t="array" ref="J64">IF($D64="","",IF($I64="","(trống REF)",IFERROR(INDEX(MASTER_SOURCE!$B$2:$B$495,MATCH($I64,MASTER_SOURCE!$A$2:$A$495,0)),"(REF không có trong MASTER_SOURCE)")))</f>
        <v/>
      </c>
      <c r="K64" s="22">
        <f t="array" ref="K64">IF($D64="","",IFERROR(INDEX(MASTER_SOURCE!$C$2:$C$495,MATCH($I64,MASTER_SOURCE!$A$2:$A$495,0)),""))</f>
        <v/>
      </c>
      <c r="L64" s="22">
        <f t="array" ref="L64">IF($D64="","",IFERROR(INDEX(MASTER_SOURCE!$D$2:$D$495,MATCH($I64,MASTER_SOURCE!$A$2:$A$495,0)),""))</f>
        <v/>
      </c>
      <c r="M64" s="24" t="inlineStr">
        <is>
          <t>Có</t>
        </is>
      </c>
      <c r="N64" s="24" t="inlineStr">
        <is>
          <t>Có</t>
        </is>
      </c>
      <c r="O64" s="24" t="inlineStr">
        <is>
          <t>Có</t>
        </is>
      </c>
      <c r="P64" s="24" t="inlineStr">
        <is>
          <t>Có</t>
        </is>
      </c>
      <c r="Q64" s="22">
        <f>IF($D64="","",IF(AND(OR(DANH_MUC!$L$5&lt;&gt;"Có",M64="Có"),OR(DANH_MUC!$L$6&lt;&gt;"Có",N64="Có"),OR(DANH_MUC!$L$7&lt;&gt;"Có",O64="Có"),OR(DANH_MUC!$L$8&lt;&gt;"Có",P64="Có")),"Có","Không"))</f>
        <v/>
      </c>
      <c r="R64" s="22">
        <f>IF($D64="","",IF(COUNTIF($D$2:$D64,$D64)&gt;1,"Trùng",""))</f>
        <v/>
      </c>
      <c r="S64" s="22">
        <f>IF($D64="","",IF(AND(LEN($D64)=10,LEFT($D64,1)="0",ISNUMBER(--$D64)),"Có","Không"))</f>
        <v/>
      </c>
      <c r="T64" s="22">
        <f>IF($D64="","",IF(AND($C64&lt;&gt;"",$Q64="Có",$R64="",$S64="Có",AND($L64&lt;&gt;"",OR($L64&lt;&gt;"Chưa xác định",DANH_MUC!$L$9="Có"))),"Có","Không"))</f>
        <v/>
      </c>
      <c r="U64" s="22">
        <f>IF(OR($D64="",$T64="Có"),"",IF($C64="","Thiếu họ tên; ","")&amp;IF($S64&lt;&gt;"Có","SĐT sai định dạng; ","")&amp;IF($R64="Trùng","Trùng SĐT; ","")&amp;IF($Q64&lt;&gt;"Có","Thiếu đồng ý bắt buộc; ","")&amp;IF($L64="","Thiếu/sai Mã REF; ",IF(AND($L64="Chưa xác định",DANH_MUC!$L$9&lt;&gt;"Có"),"Nguồn chưa xác định; ","")))</f>
        <v/>
      </c>
      <c r="V64" s="22">
        <f>IF(OR($D64="",$R64="Trùng"),"",IF(COUNTIF(ORDERS!$C$2:$C$4995,$D64)&gt;0,"Có","Không"))</f>
        <v/>
      </c>
      <c r="W64" s="22">
        <f>IF(OR($D64="",$R64="Trùng"),"",COUNTIFS(ORDERS!$C$2:$C$4995,$D64,ORDERS!$L$2:$L$4995,"Đã chuyển khoản"))</f>
        <v/>
      </c>
      <c r="X64" s="23">
        <f>IF(OR($D64="",$R64="Trùng"),"",SUMIFS(ORDERS!$J$2:$J$4995,ORDERS!$C$2:$C$4995,$D64,ORDERS!$L$2:$L$4995,"Đã chuyển khoản"))</f>
        <v/>
      </c>
      <c r="Y64" s="24" t="n"/>
    </row>
    <row r="65" ht="14.25" customHeight="1" s="40">
      <c r="A65" s="24" t="inlineStr">
        <is>
          <t>7a26ce34-a99a-4650-9a10-36b320b99d63</t>
        </is>
      </c>
      <c r="B65" s="18" t="n">
        <v>46289.48402777778</v>
      </c>
      <c r="C65" s="24" t="inlineStr">
        <is>
          <t>Hồng Diễm</t>
        </is>
      </c>
      <c r="D65" s="28" t="inlineStr">
        <is>
          <t>0937210794</t>
        </is>
      </c>
      <c r="E65" s="29" t="n">
        <v>46345</v>
      </c>
      <c r="F65" s="24" t="inlineStr">
        <is>
          <t>Đang mang thai</t>
        </is>
      </c>
      <c r="G65" s="24" t="inlineStr">
        <is>
          <t>Hồ Chí Minh</t>
        </is>
      </c>
      <c r="H65" s="21">
        <f>IF(ISNUMBER($B65),INT($B65)-WEEKDAY($B65,2)+1,"")</f>
        <v/>
      </c>
      <c r="I65" s="24" t="inlineStr">
        <is>
          <t>Z-CIH</t>
        </is>
      </c>
      <c r="J65" s="22">
        <f t="array" ref="J65">IF($D65="","",IF($I65="","(trống REF)",IFERROR(INDEX(MASTER_SOURCE!$B$2:$B$495,MATCH($I65,MASTER_SOURCE!$A$2:$A$495,0)),"(REF không có trong MASTER_SOURCE)")))</f>
        <v/>
      </c>
      <c r="K65" s="22">
        <f t="array" ref="K65">IF($D65="","",IFERROR(INDEX(MASTER_SOURCE!$C$2:$C$495,MATCH($I65,MASTER_SOURCE!$A$2:$A$495,0)),""))</f>
        <v/>
      </c>
      <c r="L65" s="22">
        <f t="array" ref="L65">IF($D65="","",IFERROR(INDEX(MASTER_SOURCE!$D$2:$D$495,MATCH($I65,MASTER_SOURCE!$A$2:$A$495,0)),""))</f>
        <v/>
      </c>
      <c r="M65" s="24" t="inlineStr">
        <is>
          <t>Có</t>
        </is>
      </c>
      <c r="N65" s="24" t="inlineStr">
        <is>
          <t>Có</t>
        </is>
      </c>
      <c r="O65" s="24" t="inlineStr">
        <is>
          <t>Có</t>
        </is>
      </c>
      <c r="P65" s="24" t="inlineStr">
        <is>
          <t>Có</t>
        </is>
      </c>
      <c r="Q65" s="22">
        <f>IF($D65="","",IF(AND(OR(DANH_MUC!$L$5&lt;&gt;"Có",M65="Có"),OR(DANH_MUC!$L$6&lt;&gt;"Có",N65="Có"),OR(DANH_MUC!$L$7&lt;&gt;"Có",O65="Có"),OR(DANH_MUC!$L$8&lt;&gt;"Có",P65="Có")),"Có","Không"))</f>
        <v/>
      </c>
      <c r="R65" s="22">
        <f>IF($D65="","",IF(COUNTIF($D$2:$D65,$D65)&gt;1,"Trùng",""))</f>
        <v/>
      </c>
      <c r="S65" s="22">
        <f>IF($D65="","",IF(AND(LEN($D65)=10,LEFT($D65,1)="0",ISNUMBER(--$D65)),"Có","Không"))</f>
        <v/>
      </c>
      <c r="T65" s="22">
        <f>IF($D65="","",IF(AND($C65&lt;&gt;"",$Q65="Có",$R65="",$S65="Có",AND($L65&lt;&gt;"",OR($L65&lt;&gt;"Chưa xác định",DANH_MUC!$L$9="Có"))),"Có","Không"))</f>
        <v/>
      </c>
      <c r="U65" s="22">
        <f>IF(OR($D65="",$T65="Có"),"",IF($C65="","Thiếu họ tên; ","")&amp;IF($S65&lt;&gt;"Có","SĐT sai định dạng; ","")&amp;IF($R65="Trùng","Trùng SĐT; ","")&amp;IF($Q65&lt;&gt;"Có","Thiếu đồng ý bắt buộc; ","")&amp;IF($L65="","Thiếu/sai Mã REF; ",IF(AND($L65="Chưa xác định",DANH_MUC!$L$9&lt;&gt;"Có"),"Nguồn chưa xác định; ","")))</f>
        <v/>
      </c>
      <c r="V65" s="22">
        <f>IF(OR($D65="",$R65="Trùng"),"",IF(COUNTIF(ORDERS!$C$2:$C$4995,$D65)&gt;0,"Có","Không"))</f>
        <v/>
      </c>
      <c r="W65" s="22">
        <f>IF(OR($D65="",$R65="Trùng"),"",COUNTIFS(ORDERS!$C$2:$C$4995,$D65,ORDERS!$L$2:$L$4995,"Đã chuyển khoản"))</f>
        <v/>
      </c>
      <c r="X65" s="23">
        <f>IF(OR($D65="",$R65="Trùng"),"",SUMIFS(ORDERS!$J$2:$J$4995,ORDERS!$C$2:$C$4995,$D65,ORDERS!$L$2:$L$4995,"Đã chuyển khoản"))</f>
        <v/>
      </c>
      <c r="Y65" s="24" t="n"/>
    </row>
    <row r="66" ht="14.25" customHeight="1" s="40">
      <c r="A66" s="24" t="inlineStr">
        <is>
          <t>c5256998-f6d6-481f-af04-90c0544e9928</t>
        </is>
      </c>
      <c r="B66" s="18" t="n">
        <v>46289.50555555556</v>
      </c>
      <c r="C66" s="24" t="inlineStr">
        <is>
          <t>Nguyen Phuong</t>
        </is>
      </c>
      <c r="D66" s="28" t="inlineStr">
        <is>
          <t>0869666236</t>
        </is>
      </c>
      <c r="E66" s="29" t="n">
        <v>46313</v>
      </c>
      <c r="F66" s="24" t="inlineStr">
        <is>
          <t>Đang mang thai</t>
        </is>
      </c>
      <c r="G66" s="24" t="inlineStr">
        <is>
          <t>Hải Phòng</t>
        </is>
      </c>
      <c r="H66" s="21">
        <f>IF(ISNUMBER($B66),INT($B66)-WEEKDAY($B66,2)+1,"")</f>
        <v/>
      </c>
      <c r="I66" s="24" t="inlineStr">
        <is>
          <t>Z-00</t>
        </is>
      </c>
      <c r="J66" s="22">
        <f t="array" ref="J66">IF($D66="","",IF($I66="","(trống REF)",IFERROR(INDEX(MASTER_SOURCE!$B$2:$B$495,MATCH($I66,MASTER_SOURCE!$A$2:$A$495,0)),"(REF không có trong MASTER_SOURCE)")))</f>
        <v/>
      </c>
      <c r="K66" s="22">
        <f t="array" ref="K66">IF($D66="","",IFERROR(INDEX(MASTER_SOURCE!$C$2:$C$495,MATCH($I66,MASTER_SOURCE!$A$2:$A$495,0)),""))</f>
        <v/>
      </c>
      <c r="L66" s="22">
        <f t="array" ref="L66">IF($D66="","",IFERROR(INDEX(MASTER_SOURCE!$D$2:$D$495,MATCH($I66,MASTER_SOURCE!$A$2:$A$495,0)),""))</f>
        <v/>
      </c>
      <c r="M66" s="24" t="inlineStr">
        <is>
          <t>Có</t>
        </is>
      </c>
      <c r="N66" s="24" t="inlineStr">
        <is>
          <t>Có</t>
        </is>
      </c>
      <c r="O66" s="24" t="inlineStr">
        <is>
          <t>Có</t>
        </is>
      </c>
      <c r="P66" s="24" t="inlineStr">
        <is>
          <t>Có</t>
        </is>
      </c>
      <c r="Q66" s="22">
        <f>IF($D66="","",IF(AND(OR(DANH_MUC!$L$5&lt;&gt;"Có",M66="Có"),OR(DANH_MUC!$L$6&lt;&gt;"Có",N66="Có"),OR(DANH_MUC!$L$7&lt;&gt;"Có",O66="Có"),OR(DANH_MUC!$L$8&lt;&gt;"Có",P66="Có")),"Có","Không"))</f>
        <v/>
      </c>
      <c r="R66" s="22">
        <f>IF($D66="","",IF(COUNTIF($D$2:$D66,$D66)&gt;1,"Trùng",""))</f>
        <v/>
      </c>
      <c r="S66" s="22">
        <f>IF($D66="","",IF(AND(LEN($D66)=10,LEFT($D66,1)="0",ISNUMBER(--$D66)),"Có","Không"))</f>
        <v/>
      </c>
      <c r="T66" s="22">
        <f>IF($D66="","",IF(AND($C66&lt;&gt;"",$Q66="Có",$R66="",$S66="Có",AND($L66&lt;&gt;"",OR($L66&lt;&gt;"Chưa xác định",DANH_MUC!$L$9="Có"))),"Có","Không"))</f>
        <v/>
      </c>
      <c r="U66" s="22">
        <f>IF(OR($D66="",$T66="Có"),"",IF($C66="","Thiếu họ tên; ","")&amp;IF($S66&lt;&gt;"Có","SĐT sai định dạng; ","")&amp;IF($R66="Trùng","Trùng SĐT; ","")&amp;IF($Q66&lt;&gt;"Có","Thiếu đồng ý bắt buộc; ","")&amp;IF($L66="","Thiếu/sai Mã REF; ",IF(AND($L66="Chưa xác định",DANH_MUC!$L$9&lt;&gt;"Có"),"Nguồn chưa xác định; ","")))</f>
        <v/>
      </c>
      <c r="V66" s="22">
        <f>IF(OR($D66="",$R66="Trùng"),"",IF(COUNTIF(ORDERS!$C$2:$C$4995,$D66)&gt;0,"Có","Không"))</f>
        <v/>
      </c>
      <c r="W66" s="22">
        <f>IF(OR($D66="",$R66="Trùng"),"",COUNTIFS(ORDERS!$C$2:$C$4995,$D66,ORDERS!$L$2:$L$4995,"Đã chuyển khoản"))</f>
        <v/>
      </c>
      <c r="X66" s="23">
        <f>IF(OR($D66="",$R66="Trùng"),"",SUMIFS(ORDERS!$J$2:$J$4995,ORDERS!$C$2:$C$4995,$D66,ORDERS!$L$2:$L$4995,"Đã chuyển khoản"))</f>
        <v/>
      </c>
      <c r="Y66" s="24" t="n"/>
    </row>
    <row r="67" ht="14.25" customHeight="1" s="40">
      <c r="A67" s="24" t="inlineStr">
        <is>
          <t>aa741182-f220-4366-8506-ff4b621b50a8</t>
        </is>
      </c>
      <c r="B67" s="18" t="n">
        <v>46289.50972222222</v>
      </c>
      <c r="C67" s="24" t="inlineStr">
        <is>
          <t>Vũ Hồng Nhung</t>
        </is>
      </c>
      <c r="D67" s="28" t="inlineStr">
        <is>
          <t>0369102825</t>
        </is>
      </c>
      <c r="E67" s="29" t="n">
        <v>46257</v>
      </c>
      <c r="F67" s="24" t="inlineStr">
        <is>
          <t>Đã sinh</t>
        </is>
      </c>
      <c r="G67" s="24" t="inlineStr">
        <is>
          <t>Hà Nội</t>
        </is>
      </c>
      <c r="H67" s="21">
        <f>IF(ISNUMBER($B67),INT($B67)-WEEKDAY($B67,2)+1,"")</f>
        <v/>
      </c>
      <c r="I67" s="24" t="inlineStr">
        <is>
          <t>Z-00</t>
        </is>
      </c>
      <c r="J67" s="22">
        <f t="array" ref="J67">IF($D67="","",IF($I67="","(trống REF)",IFERROR(INDEX(MASTER_SOURCE!$B$2:$B$495,MATCH($I67,MASTER_SOURCE!$A$2:$A$495,0)),"(REF không có trong MASTER_SOURCE)")))</f>
        <v/>
      </c>
      <c r="K67" s="22">
        <f t="array" ref="K67">IF($D67="","",IFERROR(INDEX(MASTER_SOURCE!$C$2:$C$495,MATCH($I67,MASTER_SOURCE!$A$2:$A$495,0)),""))</f>
        <v/>
      </c>
      <c r="L67" s="22">
        <f t="array" ref="L67">IF($D67="","",IFERROR(INDEX(MASTER_SOURCE!$D$2:$D$495,MATCH($I67,MASTER_SOURCE!$A$2:$A$495,0)),""))</f>
        <v/>
      </c>
      <c r="M67" s="24" t="inlineStr">
        <is>
          <t>Có</t>
        </is>
      </c>
      <c r="N67" s="24" t="inlineStr">
        <is>
          <t>Có</t>
        </is>
      </c>
      <c r="O67" s="24" t="inlineStr">
        <is>
          <t>Có</t>
        </is>
      </c>
      <c r="P67" s="24" t="inlineStr">
        <is>
          <t>Có</t>
        </is>
      </c>
      <c r="Q67" s="22">
        <f>IF($D67="","",IF(AND(OR(DANH_MUC!$L$5&lt;&gt;"Có",M67="Có"),OR(DANH_MUC!$L$6&lt;&gt;"Có",N67="Có"),OR(DANH_MUC!$L$7&lt;&gt;"Có",O67="Có"),OR(DANH_MUC!$L$8&lt;&gt;"Có",P67="Có")),"Có","Không"))</f>
        <v/>
      </c>
      <c r="R67" s="22">
        <f>IF($D67="","",IF(COUNTIF($D$2:$D67,$D67)&gt;1,"Trùng",""))</f>
        <v/>
      </c>
      <c r="S67" s="22">
        <f>IF($D67="","",IF(AND(LEN($D67)=10,LEFT($D67,1)="0",ISNUMBER(--$D67)),"Có","Không"))</f>
        <v/>
      </c>
      <c r="T67" s="22">
        <f>IF($D67="","",IF(AND($C67&lt;&gt;"",$Q67="Có",$R67="",$S67="Có",AND($L67&lt;&gt;"",OR($L67&lt;&gt;"Chưa xác định",DANH_MUC!$L$9="Có"))),"Có","Không"))</f>
        <v/>
      </c>
      <c r="U67" s="22">
        <f>IF(OR($D67="",$T67="Có"),"",IF($C67="","Thiếu họ tên; ","")&amp;IF($S67&lt;&gt;"Có","SĐT sai định dạng; ","")&amp;IF($R67="Trùng","Trùng SĐT; ","")&amp;IF($Q67&lt;&gt;"Có","Thiếu đồng ý bắt buộc; ","")&amp;IF($L67="","Thiếu/sai Mã REF; ",IF(AND($L67="Chưa xác định",DANH_MUC!$L$9&lt;&gt;"Có"),"Nguồn chưa xác định; ","")))</f>
        <v/>
      </c>
      <c r="V67" s="22">
        <f>IF(OR($D67="",$R67="Trùng"),"",IF(COUNTIF(ORDERS!$C$2:$C$4995,$D67)&gt;0,"Có","Không"))</f>
        <v/>
      </c>
      <c r="W67" s="22">
        <f>IF(OR($D67="",$R67="Trùng"),"",COUNTIFS(ORDERS!$C$2:$C$4995,$D67,ORDERS!$L$2:$L$4995,"Đã chuyển khoản"))</f>
        <v/>
      </c>
      <c r="X67" s="23">
        <f>IF(OR($D67="",$R67="Trùng"),"",SUMIFS(ORDERS!$J$2:$J$4995,ORDERS!$C$2:$C$4995,$D67,ORDERS!$L$2:$L$4995,"Đã chuyển khoản"))</f>
        <v/>
      </c>
      <c r="Y67" s="24" t="n"/>
    </row>
    <row r="68" ht="14.25" customHeight="1" s="40">
      <c r="A68" s="24" t="inlineStr">
        <is>
          <t>1783b56c-5b05-4e30-b999-24395c16b3df</t>
        </is>
      </c>
      <c r="B68" s="18" t="n">
        <v>46289.51041666666</v>
      </c>
      <c r="C68" s="24" t="inlineStr">
        <is>
          <t>Nguyễn Thị Ánh Hồng</t>
        </is>
      </c>
      <c r="D68" s="28" t="inlineStr">
        <is>
          <t>0904147760</t>
        </is>
      </c>
      <c r="E68" s="29" t="n">
        <v>46357</v>
      </c>
      <c r="F68" s="24" t="inlineStr">
        <is>
          <t>Đang mang thai</t>
        </is>
      </c>
      <c r="G68" s="24" t="inlineStr">
        <is>
          <t>Hải Phòng</t>
        </is>
      </c>
      <c r="H68" s="21">
        <f>IF(ISNUMBER($B68),INT($B68)-WEEKDAY($B68,2)+1,"")</f>
        <v/>
      </c>
      <c r="I68" s="24" t="inlineStr">
        <is>
          <t>Z-00</t>
        </is>
      </c>
      <c r="J68" s="22">
        <f t="array" ref="J68">IF($D68="","",IF($I68="","(trống REF)",IFERROR(INDEX(MASTER_SOURCE!$B$2:$B$495,MATCH($I68,MASTER_SOURCE!$A$2:$A$495,0)),"(REF không có trong MASTER_SOURCE)")))</f>
        <v/>
      </c>
      <c r="K68" s="22">
        <f t="array" ref="K68">IF($D68="","",IFERROR(INDEX(MASTER_SOURCE!$C$2:$C$495,MATCH($I68,MASTER_SOURCE!$A$2:$A$495,0)),""))</f>
        <v/>
      </c>
      <c r="L68" s="22">
        <f t="array" ref="L68">IF($D68="","",IFERROR(INDEX(MASTER_SOURCE!$D$2:$D$495,MATCH($I68,MASTER_SOURCE!$A$2:$A$495,0)),""))</f>
        <v/>
      </c>
      <c r="M68" s="24" t="inlineStr">
        <is>
          <t>Có</t>
        </is>
      </c>
      <c r="N68" s="24" t="inlineStr">
        <is>
          <t>Có</t>
        </is>
      </c>
      <c r="O68" s="24" t="inlineStr">
        <is>
          <t>Có</t>
        </is>
      </c>
      <c r="P68" s="24" t="inlineStr">
        <is>
          <t>Có</t>
        </is>
      </c>
      <c r="Q68" s="22">
        <f>IF($D68="","",IF(AND(OR(DANH_MUC!$L$5&lt;&gt;"Có",M68="Có"),OR(DANH_MUC!$L$6&lt;&gt;"Có",N68="Có"),OR(DANH_MUC!$L$7&lt;&gt;"Có",O68="Có"),OR(DANH_MUC!$L$8&lt;&gt;"Có",P68="Có")),"Có","Không"))</f>
        <v/>
      </c>
      <c r="R68" s="22">
        <f>IF($D68="","",IF(COUNTIF($D$2:$D68,$D68)&gt;1,"Trùng",""))</f>
        <v/>
      </c>
      <c r="S68" s="22">
        <f>IF($D68="","",IF(AND(LEN($D68)=10,LEFT($D68,1)="0",ISNUMBER(--$D68)),"Có","Không"))</f>
        <v/>
      </c>
      <c r="T68" s="22">
        <f>IF($D68="","",IF(AND($C68&lt;&gt;"",$Q68="Có",$R68="",$S68="Có",AND($L68&lt;&gt;"",OR($L68&lt;&gt;"Chưa xác định",DANH_MUC!$L$9="Có"))),"Có","Không"))</f>
        <v/>
      </c>
      <c r="U68" s="22">
        <f>IF(OR($D68="",$T68="Có"),"",IF($C68="","Thiếu họ tên; ","")&amp;IF($S68&lt;&gt;"Có","SĐT sai định dạng; ","")&amp;IF($R68="Trùng","Trùng SĐT; ","")&amp;IF($Q68&lt;&gt;"Có","Thiếu đồng ý bắt buộc; ","")&amp;IF($L68="","Thiếu/sai Mã REF; ",IF(AND($L68="Chưa xác định",DANH_MUC!$L$9&lt;&gt;"Có"),"Nguồn chưa xác định; ","")))</f>
        <v/>
      </c>
      <c r="V68" s="22">
        <f>IF(OR($D68="",$R68="Trùng"),"",IF(COUNTIF(ORDERS!$C$2:$C$4995,$D68)&gt;0,"Có","Không"))</f>
        <v/>
      </c>
      <c r="W68" s="22">
        <f>IF(OR($D68="",$R68="Trùng"),"",COUNTIFS(ORDERS!$C$2:$C$4995,$D68,ORDERS!$L$2:$L$4995,"Đã chuyển khoản"))</f>
        <v/>
      </c>
      <c r="X68" s="23">
        <f>IF(OR($D68="",$R68="Trùng"),"",SUMIFS(ORDERS!$J$2:$J$4995,ORDERS!$C$2:$C$4995,$D68,ORDERS!$L$2:$L$4995,"Đã chuyển khoản"))</f>
        <v/>
      </c>
      <c r="Y68" s="24" t="n"/>
    </row>
    <row r="69" ht="14.25" customHeight="1" s="40">
      <c r="A69" s="24" t="inlineStr">
        <is>
          <t>6226f554-4765-4681-9065-34a09095cdb8</t>
        </is>
      </c>
      <c r="B69" s="18" t="n">
        <v>46289.51388888889</v>
      </c>
      <c r="C69" s="24" t="inlineStr">
        <is>
          <t>Hương Ly</t>
        </is>
      </c>
      <c r="D69" s="28" t="inlineStr">
        <is>
          <t>0369608882</t>
        </is>
      </c>
      <c r="E69" s="29" t="n">
        <v>46289</v>
      </c>
      <c r="F69" s="24" t="inlineStr">
        <is>
          <t>Đã sinh</t>
        </is>
      </c>
      <c r="G69" s="24" t="inlineStr">
        <is>
          <t>Hải Phòng</t>
        </is>
      </c>
      <c r="H69" s="21">
        <f>IF(ISNUMBER($B69),INT($B69)-WEEKDAY($B69,2)+1,"")</f>
        <v/>
      </c>
      <c r="I69" s="24" t="inlineStr">
        <is>
          <t>Z-00</t>
        </is>
      </c>
      <c r="J69" s="22">
        <f t="array" ref="J69">IF($D69="","",IF($I69="","(trống REF)",IFERROR(INDEX(MASTER_SOURCE!$B$2:$B$495,MATCH($I69,MASTER_SOURCE!$A$2:$A$495,0)),"(REF không có trong MASTER_SOURCE)")))</f>
        <v/>
      </c>
      <c r="K69" s="22">
        <f t="array" ref="K69">IF($D69="","",IFERROR(INDEX(MASTER_SOURCE!$C$2:$C$495,MATCH($I69,MASTER_SOURCE!$A$2:$A$495,0)),""))</f>
        <v/>
      </c>
      <c r="L69" s="22">
        <f t="array" ref="L69">IF($D69="","",IFERROR(INDEX(MASTER_SOURCE!$D$2:$D$495,MATCH($I69,MASTER_SOURCE!$A$2:$A$495,0)),""))</f>
        <v/>
      </c>
      <c r="M69" s="24" t="inlineStr">
        <is>
          <t>Có</t>
        </is>
      </c>
      <c r="N69" s="24" t="inlineStr">
        <is>
          <t>Có</t>
        </is>
      </c>
      <c r="O69" s="24" t="inlineStr">
        <is>
          <t>Có</t>
        </is>
      </c>
      <c r="P69" s="24" t="inlineStr">
        <is>
          <t>Có</t>
        </is>
      </c>
      <c r="Q69" s="22">
        <f>IF($D69="","",IF(AND(OR(DANH_MUC!$L$5&lt;&gt;"Có",M69="Có"),OR(DANH_MUC!$L$6&lt;&gt;"Có",N69="Có"),OR(DANH_MUC!$L$7&lt;&gt;"Có",O69="Có"),OR(DANH_MUC!$L$8&lt;&gt;"Có",P69="Có")),"Có","Không"))</f>
        <v/>
      </c>
      <c r="R69" s="22">
        <f>IF($D69="","",IF(COUNTIF($D$2:$D69,$D69)&gt;1,"Trùng",""))</f>
        <v/>
      </c>
      <c r="S69" s="22">
        <f>IF($D69="","",IF(AND(LEN($D69)=10,LEFT($D69,1)="0",ISNUMBER(--$D69)),"Có","Không"))</f>
        <v/>
      </c>
      <c r="T69" s="22">
        <f>IF($D69="","",IF(AND($C69&lt;&gt;"",$Q69="Có",$R69="",$S69="Có",AND($L69&lt;&gt;"",OR($L69&lt;&gt;"Chưa xác định",DANH_MUC!$L$9="Có"))),"Có","Không"))</f>
        <v/>
      </c>
      <c r="U69" s="22">
        <f>IF(OR($D69="",$T69="Có"),"",IF($C69="","Thiếu họ tên; ","")&amp;IF($S69&lt;&gt;"Có","SĐT sai định dạng; ","")&amp;IF($R69="Trùng","Trùng SĐT; ","")&amp;IF($Q69&lt;&gt;"Có","Thiếu đồng ý bắt buộc; ","")&amp;IF($L69="","Thiếu/sai Mã REF; ",IF(AND($L69="Chưa xác định",DANH_MUC!$L$9&lt;&gt;"Có"),"Nguồn chưa xác định; ","")))</f>
        <v/>
      </c>
      <c r="V69" s="22">
        <f>IF(OR($D69="",$R69="Trùng"),"",IF(COUNTIF(ORDERS!$C$2:$C$4995,$D69)&gt;0,"Có","Không"))</f>
        <v/>
      </c>
      <c r="W69" s="22">
        <f>IF(OR($D69="",$R69="Trùng"),"",COUNTIFS(ORDERS!$C$2:$C$4995,$D69,ORDERS!$L$2:$L$4995,"Đã chuyển khoản"))</f>
        <v/>
      </c>
      <c r="X69" s="23">
        <f>IF(OR($D69="",$R69="Trùng"),"",SUMIFS(ORDERS!$J$2:$J$4995,ORDERS!$C$2:$C$4995,$D69,ORDERS!$L$2:$L$4995,"Đã chuyển khoản"))</f>
        <v/>
      </c>
      <c r="Y69" s="24" t="n"/>
    </row>
    <row r="70" ht="14.25" customHeight="1" s="40">
      <c r="A70" s="24" t="inlineStr">
        <is>
          <t>02c19a96-a893-4333-bf10-a115e9d19584</t>
        </is>
      </c>
      <c r="B70" s="18" t="n">
        <v>46289.51388888889</v>
      </c>
      <c r="C70" s="24" t="inlineStr">
        <is>
          <t>Trần Thị Mai Hằng</t>
        </is>
      </c>
      <c r="D70" s="28" t="inlineStr">
        <is>
          <t>0878139910</t>
        </is>
      </c>
      <c r="E70" s="29" t="n">
        <v>46348</v>
      </c>
      <c r="F70" s="24" t="inlineStr">
        <is>
          <t>Đang mang thai</t>
        </is>
      </c>
      <c r="G70" s="24" t="inlineStr">
        <is>
          <t>Hải Phòng</t>
        </is>
      </c>
      <c r="H70" s="21">
        <f>IF(ISNUMBER($B70),INT($B70)-WEEKDAY($B70,2)+1,"")</f>
        <v/>
      </c>
      <c r="I70" s="24" t="inlineStr">
        <is>
          <t>Z-00</t>
        </is>
      </c>
      <c r="J70" s="22">
        <f t="array" ref="J70">IF($D70="","",IF($I70="","(trống REF)",IFERROR(INDEX(MASTER_SOURCE!$B$2:$B$495,MATCH($I70,MASTER_SOURCE!$A$2:$A$495,0)),"(REF không có trong MASTER_SOURCE)")))</f>
        <v/>
      </c>
      <c r="K70" s="22">
        <f t="array" ref="K70">IF($D70="","",IFERROR(INDEX(MASTER_SOURCE!$C$2:$C$495,MATCH($I70,MASTER_SOURCE!$A$2:$A$495,0)),""))</f>
        <v/>
      </c>
      <c r="L70" s="22">
        <f t="array" ref="L70">IF($D70="","",IFERROR(INDEX(MASTER_SOURCE!$D$2:$D$495,MATCH($I70,MASTER_SOURCE!$A$2:$A$495,0)),""))</f>
        <v/>
      </c>
      <c r="M70" s="24" t="inlineStr">
        <is>
          <t>Có</t>
        </is>
      </c>
      <c r="N70" s="24" t="inlineStr">
        <is>
          <t>Có</t>
        </is>
      </c>
      <c r="O70" s="24" t="inlineStr">
        <is>
          <t>Có</t>
        </is>
      </c>
      <c r="P70" s="24" t="inlineStr">
        <is>
          <t>Có</t>
        </is>
      </c>
      <c r="Q70" s="22">
        <f>IF($D70="","",IF(AND(OR(DANH_MUC!$L$5&lt;&gt;"Có",M70="Có"),OR(DANH_MUC!$L$6&lt;&gt;"Có",N70="Có"),OR(DANH_MUC!$L$7&lt;&gt;"Có",O70="Có"),OR(DANH_MUC!$L$8&lt;&gt;"Có",P70="Có")),"Có","Không"))</f>
        <v/>
      </c>
      <c r="R70" s="22">
        <f>IF($D70="","",IF(COUNTIF($D$2:$D70,$D70)&gt;1,"Trùng",""))</f>
        <v/>
      </c>
      <c r="S70" s="22">
        <f>IF($D70="","",IF(AND(LEN($D70)=10,LEFT($D70,1)="0",ISNUMBER(--$D70)),"Có","Không"))</f>
        <v/>
      </c>
      <c r="T70" s="22">
        <f>IF($D70="","",IF(AND($C70&lt;&gt;"",$Q70="Có",$R70="",$S70="Có",AND($L70&lt;&gt;"",OR($L70&lt;&gt;"Chưa xác định",DANH_MUC!$L$9="Có"))),"Có","Không"))</f>
        <v/>
      </c>
      <c r="U70" s="22">
        <f>IF(OR($D70="",$T70="Có"),"",IF($C70="","Thiếu họ tên; ","")&amp;IF($S70&lt;&gt;"Có","SĐT sai định dạng; ","")&amp;IF($R70="Trùng","Trùng SĐT; ","")&amp;IF($Q70&lt;&gt;"Có","Thiếu đồng ý bắt buộc; ","")&amp;IF($L70="","Thiếu/sai Mã REF; ",IF(AND($L70="Chưa xác định",DANH_MUC!$L$9&lt;&gt;"Có"),"Nguồn chưa xác định; ","")))</f>
        <v/>
      </c>
      <c r="V70" s="22">
        <f>IF(OR($D70="",$R70="Trùng"),"",IF(COUNTIF(ORDERS!$C$2:$C$4995,$D70)&gt;0,"Có","Không"))</f>
        <v/>
      </c>
      <c r="W70" s="22">
        <f>IF(OR($D70="",$R70="Trùng"),"",COUNTIFS(ORDERS!$C$2:$C$4995,$D70,ORDERS!$L$2:$L$4995,"Đã chuyển khoản"))</f>
        <v/>
      </c>
      <c r="X70" s="23">
        <f>IF(OR($D70="",$R70="Trùng"),"",SUMIFS(ORDERS!$J$2:$J$4995,ORDERS!$C$2:$C$4995,$D70,ORDERS!$L$2:$L$4995,"Đã chuyển khoản"))</f>
        <v/>
      </c>
      <c r="Y70" s="24" t="n"/>
    </row>
    <row r="71" ht="14.25" customHeight="1" s="40">
      <c r="A71" s="24" t="inlineStr">
        <is>
          <t>c36c5b9f-3e9d-404a-b061-6f7b20c235ef</t>
        </is>
      </c>
      <c r="B71" s="18" t="n">
        <v>46289.51388888889</v>
      </c>
      <c r="C71" s="24" t="inlineStr">
        <is>
          <t>Hong Nhung</t>
        </is>
      </c>
      <c r="D71" s="28" t="inlineStr">
        <is>
          <t>0945958358</t>
        </is>
      </c>
      <c r="E71" s="29" t="n">
        <v>46354</v>
      </c>
      <c r="F71" s="24" t="inlineStr">
        <is>
          <t>Đang mang thai</t>
        </is>
      </c>
      <c r="G71" s="24" t="inlineStr">
        <is>
          <t>Hải Phòng</t>
        </is>
      </c>
      <c r="H71" s="21">
        <f>IF(ISNUMBER($B71),INT($B71)-WEEKDAY($B71,2)+1,"")</f>
        <v/>
      </c>
      <c r="I71" s="24" t="inlineStr">
        <is>
          <t>Z-00</t>
        </is>
      </c>
      <c r="J71" s="22">
        <f t="array" ref="J71">IF($D71="","",IF($I71="","(trống REF)",IFERROR(INDEX(MASTER_SOURCE!$B$2:$B$495,MATCH($I71,MASTER_SOURCE!$A$2:$A$495,0)),"(REF không có trong MASTER_SOURCE)")))</f>
        <v/>
      </c>
      <c r="K71" s="22">
        <f t="array" ref="K71">IF($D71="","",IFERROR(INDEX(MASTER_SOURCE!$C$2:$C$495,MATCH($I71,MASTER_SOURCE!$A$2:$A$495,0)),""))</f>
        <v/>
      </c>
      <c r="L71" s="22">
        <f t="array" ref="L71">IF($D71="","",IFERROR(INDEX(MASTER_SOURCE!$D$2:$D$495,MATCH($I71,MASTER_SOURCE!$A$2:$A$495,0)),""))</f>
        <v/>
      </c>
      <c r="M71" s="24" t="inlineStr">
        <is>
          <t>Có</t>
        </is>
      </c>
      <c r="N71" s="24" t="inlineStr">
        <is>
          <t>Có</t>
        </is>
      </c>
      <c r="O71" s="24" t="inlineStr">
        <is>
          <t>Có</t>
        </is>
      </c>
      <c r="P71" s="24" t="inlineStr">
        <is>
          <t>Có</t>
        </is>
      </c>
      <c r="Q71" s="22">
        <f>IF($D71="","",IF(AND(OR(DANH_MUC!$L$5&lt;&gt;"Có",M71="Có"),OR(DANH_MUC!$L$6&lt;&gt;"Có",N71="Có"),OR(DANH_MUC!$L$7&lt;&gt;"Có",O71="Có"),OR(DANH_MUC!$L$8&lt;&gt;"Có",P71="Có")),"Có","Không"))</f>
        <v/>
      </c>
      <c r="R71" s="22">
        <f>IF($D71="","",IF(COUNTIF($D$2:$D71,$D71)&gt;1,"Trùng",""))</f>
        <v/>
      </c>
      <c r="S71" s="22">
        <f>IF($D71="","",IF(AND(LEN($D71)=10,LEFT($D71,1)="0",ISNUMBER(--$D71)),"Có","Không"))</f>
        <v/>
      </c>
      <c r="T71" s="22">
        <f>IF($D71="","",IF(AND($C71&lt;&gt;"",$Q71="Có",$R71="",$S71="Có",AND($L71&lt;&gt;"",OR($L71&lt;&gt;"Chưa xác định",DANH_MUC!$L$9="Có"))),"Có","Không"))</f>
        <v/>
      </c>
      <c r="U71" s="22">
        <f>IF(OR($D71="",$T71="Có"),"",IF($C71="","Thiếu họ tên; ","")&amp;IF($S71&lt;&gt;"Có","SĐT sai định dạng; ","")&amp;IF($R71="Trùng","Trùng SĐT; ","")&amp;IF($Q71&lt;&gt;"Có","Thiếu đồng ý bắt buộc; ","")&amp;IF($L71="","Thiếu/sai Mã REF; ",IF(AND($L71="Chưa xác định",DANH_MUC!$L$9&lt;&gt;"Có"),"Nguồn chưa xác định; ","")))</f>
        <v/>
      </c>
      <c r="V71" s="22">
        <f>IF(OR($D71="",$R71="Trùng"),"",IF(COUNTIF(ORDERS!$C$2:$C$4995,$D71)&gt;0,"Có","Không"))</f>
        <v/>
      </c>
      <c r="W71" s="22">
        <f>IF(OR($D71="",$R71="Trùng"),"",COUNTIFS(ORDERS!$C$2:$C$4995,$D71,ORDERS!$L$2:$L$4995,"Đã chuyển khoản"))</f>
        <v/>
      </c>
      <c r="X71" s="23">
        <f>IF(OR($D71="",$R71="Trùng"),"",SUMIFS(ORDERS!$J$2:$J$4995,ORDERS!$C$2:$C$4995,$D71,ORDERS!$L$2:$L$4995,"Đã chuyển khoản"))</f>
        <v/>
      </c>
      <c r="Y71" s="24" t="n"/>
    </row>
    <row r="72" ht="14.25" customHeight="1" s="40">
      <c r="A72" s="24" t="inlineStr">
        <is>
          <t>46d8ebfe-218d-45f4-9c9a-6a3fa88881ef</t>
        </is>
      </c>
      <c r="B72" s="18" t="n">
        <v>46289.52708333333</v>
      </c>
      <c r="C72" s="24" t="inlineStr">
        <is>
          <t>Lê Thị Kim Sương</t>
        </is>
      </c>
      <c r="D72" s="28" t="inlineStr">
        <is>
          <t>0938675733</t>
        </is>
      </c>
      <c r="E72" s="29" t="n">
        <v>45957</v>
      </c>
      <c r="F72" s="24" t="inlineStr">
        <is>
          <t>Đã sinh</t>
        </is>
      </c>
      <c r="G72" s="24" t="inlineStr">
        <is>
          <t>Hồ Chí Minh</t>
        </is>
      </c>
      <c r="H72" s="21">
        <f>IF(ISNUMBER($B72),INT($B72)-WEEKDAY($B72,2)+1,"")</f>
        <v/>
      </c>
      <c r="I72" s="24" t="inlineStr">
        <is>
          <t>Z-00</t>
        </is>
      </c>
      <c r="J72" s="22">
        <f t="array" ref="J72">IF($D72="","",IF($I72="","(trống REF)",IFERROR(INDEX(MASTER_SOURCE!$B$2:$B$495,MATCH($I72,MASTER_SOURCE!$A$2:$A$495,0)),"(REF không có trong MASTER_SOURCE)")))</f>
        <v/>
      </c>
      <c r="K72" s="22">
        <f t="array" ref="K72">IF($D72="","",IFERROR(INDEX(MASTER_SOURCE!$C$2:$C$495,MATCH($I72,MASTER_SOURCE!$A$2:$A$495,0)),""))</f>
        <v/>
      </c>
      <c r="L72" s="22">
        <f t="array" ref="L72">IF($D72="","",IFERROR(INDEX(MASTER_SOURCE!$D$2:$D$495,MATCH($I72,MASTER_SOURCE!$A$2:$A$495,0)),""))</f>
        <v/>
      </c>
      <c r="M72" s="24" t="inlineStr">
        <is>
          <t>Có</t>
        </is>
      </c>
      <c r="N72" s="24" t="inlineStr">
        <is>
          <t>Có</t>
        </is>
      </c>
      <c r="O72" s="24" t="inlineStr">
        <is>
          <t>Có</t>
        </is>
      </c>
      <c r="P72" s="24" t="inlineStr">
        <is>
          <t>Có</t>
        </is>
      </c>
      <c r="Q72" s="22">
        <f>IF($D72="","",IF(AND(OR(DANH_MUC!$L$5&lt;&gt;"Có",M72="Có"),OR(DANH_MUC!$L$6&lt;&gt;"Có",N72="Có"),OR(DANH_MUC!$L$7&lt;&gt;"Có",O72="Có"),OR(DANH_MUC!$L$8&lt;&gt;"Có",P72="Có")),"Có","Không"))</f>
        <v/>
      </c>
      <c r="R72" s="22">
        <f>IF($D72="","",IF(COUNTIF($D$2:$D72,$D72)&gt;1,"Trùng",""))</f>
        <v/>
      </c>
      <c r="S72" s="22">
        <f>IF($D72="","",IF(AND(LEN($D72)=10,LEFT($D72,1)="0",ISNUMBER(--$D72)),"Có","Không"))</f>
        <v/>
      </c>
      <c r="T72" s="22">
        <f>IF($D72="","",IF(AND($C72&lt;&gt;"",$Q72="Có",$R72="",$S72="Có",AND($L72&lt;&gt;"",OR($L72&lt;&gt;"Chưa xác định",DANH_MUC!$L$9="Có"))),"Có","Không"))</f>
        <v/>
      </c>
      <c r="U72" s="22">
        <f>IF(OR($D72="",$T72="Có"),"",IF($C72="","Thiếu họ tên; ","")&amp;IF($S72&lt;&gt;"Có","SĐT sai định dạng; ","")&amp;IF($R72="Trùng","Trùng SĐT; ","")&amp;IF($Q72&lt;&gt;"Có","Thiếu đồng ý bắt buộc; ","")&amp;IF($L72="","Thiếu/sai Mã REF; ",IF(AND($L72="Chưa xác định",DANH_MUC!$L$9&lt;&gt;"Có"),"Nguồn chưa xác định; ","")))</f>
        <v/>
      </c>
      <c r="V72" s="22">
        <f>IF(OR($D72="",$R72="Trùng"),"",IF(COUNTIF(ORDERS!$C$2:$C$4995,$D72)&gt;0,"Có","Không"))</f>
        <v/>
      </c>
      <c r="W72" s="22">
        <f>IF(OR($D72="",$R72="Trùng"),"",COUNTIFS(ORDERS!$C$2:$C$4995,$D72,ORDERS!$L$2:$L$4995,"Đã chuyển khoản"))</f>
        <v/>
      </c>
      <c r="X72" s="23">
        <f>IF(OR($D72="",$R72="Trùng"),"",SUMIFS(ORDERS!$J$2:$J$4995,ORDERS!$C$2:$C$4995,$D72,ORDERS!$L$2:$L$4995,"Đã chuyển khoản"))</f>
        <v/>
      </c>
      <c r="Y72" s="24" t="n"/>
    </row>
    <row r="73" ht="14.25" customHeight="1" s="40">
      <c r="A73" s="24" t="inlineStr">
        <is>
          <t>fd4b9c06-c80a-4e06-8598-5b38de063725</t>
        </is>
      </c>
      <c r="B73" s="18" t="n">
        <v>46289.54930555556</v>
      </c>
      <c r="C73" s="24" t="inlineStr">
        <is>
          <t>Nguyễn Tường Vi</t>
        </is>
      </c>
      <c r="D73" s="28" t="inlineStr">
        <is>
          <t>0896878585</t>
        </is>
      </c>
      <c r="E73" s="29" t="n">
        <v>46030</v>
      </c>
      <c r="F73" s="24" t="inlineStr">
        <is>
          <t>Đã sinh</t>
        </is>
      </c>
      <c r="G73" s="24" t="inlineStr">
        <is>
          <t>Hồ Chí Minh</t>
        </is>
      </c>
      <c r="H73" s="21">
        <f>IF(ISNUMBER($B73),INT($B73)-WEEKDAY($B73,2)+1,"")</f>
        <v/>
      </c>
      <c r="I73" s="24" t="inlineStr">
        <is>
          <t>Z-CIH</t>
        </is>
      </c>
      <c r="J73" s="22">
        <f t="array" ref="J73">IF($D73="","",IF($I73="","(trống REF)",IFERROR(INDEX(MASTER_SOURCE!$B$2:$B$495,MATCH($I73,MASTER_SOURCE!$A$2:$A$495,0)),"(REF không có trong MASTER_SOURCE)")))</f>
        <v/>
      </c>
      <c r="K73" s="22">
        <f t="array" ref="K73">IF($D73="","",IFERROR(INDEX(MASTER_SOURCE!$C$2:$C$495,MATCH($I73,MASTER_SOURCE!$A$2:$A$495,0)),""))</f>
        <v/>
      </c>
      <c r="L73" s="22">
        <f t="array" ref="L73">IF($D73="","",IFERROR(INDEX(MASTER_SOURCE!$D$2:$D$495,MATCH($I73,MASTER_SOURCE!$A$2:$A$495,0)),""))</f>
        <v/>
      </c>
      <c r="M73" s="24" t="inlineStr">
        <is>
          <t>Có</t>
        </is>
      </c>
      <c r="N73" s="24" t="inlineStr">
        <is>
          <t>Có</t>
        </is>
      </c>
      <c r="O73" s="24" t="inlineStr">
        <is>
          <t>Có</t>
        </is>
      </c>
      <c r="P73" s="24" t="inlineStr">
        <is>
          <t>Có</t>
        </is>
      </c>
      <c r="Q73" s="22">
        <f>IF($D73="","",IF(AND(OR(DANH_MUC!$L$5&lt;&gt;"Có",M73="Có"),OR(DANH_MUC!$L$6&lt;&gt;"Có",N73="Có"),OR(DANH_MUC!$L$7&lt;&gt;"Có",O73="Có"),OR(DANH_MUC!$L$8&lt;&gt;"Có",P73="Có")),"Có","Không"))</f>
        <v/>
      </c>
      <c r="R73" s="22">
        <f>IF($D73="","",IF(COUNTIF($D$2:$D73,$D73)&gt;1,"Trùng",""))</f>
        <v/>
      </c>
      <c r="S73" s="22">
        <f>IF($D73="","",IF(AND(LEN($D73)=10,LEFT($D73,1)="0",ISNUMBER(--$D73)),"Có","Không"))</f>
        <v/>
      </c>
      <c r="T73" s="22">
        <f>IF($D73="","",IF(AND($C73&lt;&gt;"",$Q73="Có",$R73="",$S73="Có",AND($L73&lt;&gt;"",OR($L73&lt;&gt;"Chưa xác định",DANH_MUC!$L$9="Có"))),"Có","Không"))</f>
        <v/>
      </c>
      <c r="U73" s="22">
        <f>IF(OR($D73="",$T73="Có"),"",IF($C73="","Thiếu họ tên; ","")&amp;IF($S73&lt;&gt;"Có","SĐT sai định dạng; ","")&amp;IF($R73="Trùng","Trùng SĐT; ","")&amp;IF($Q73&lt;&gt;"Có","Thiếu đồng ý bắt buộc; ","")&amp;IF($L73="","Thiếu/sai Mã REF; ",IF(AND($L73="Chưa xác định",DANH_MUC!$L$9&lt;&gt;"Có"),"Nguồn chưa xác định; ","")))</f>
        <v/>
      </c>
      <c r="V73" s="22">
        <f>IF(OR($D73="",$R73="Trùng"),"",IF(COUNTIF(ORDERS!$C$2:$C$4995,$D73)&gt;0,"Có","Không"))</f>
        <v/>
      </c>
      <c r="W73" s="22">
        <f>IF(OR($D73="",$R73="Trùng"),"",COUNTIFS(ORDERS!$C$2:$C$4995,$D73,ORDERS!$L$2:$L$4995,"Đã chuyển khoản"))</f>
        <v/>
      </c>
      <c r="X73" s="23">
        <f>IF(OR($D73="",$R73="Trùng"),"",SUMIFS(ORDERS!$J$2:$J$4995,ORDERS!$C$2:$C$4995,$D73,ORDERS!$L$2:$L$4995,"Đã chuyển khoản"))</f>
        <v/>
      </c>
      <c r="Y73" s="24" t="n"/>
    </row>
    <row r="74" ht="14.25" customHeight="1" s="40">
      <c r="A74" s="24" t="inlineStr">
        <is>
          <t>0d85d238-8e6e-4456-8813-527df20ff3fc</t>
        </is>
      </c>
      <c r="B74" s="18" t="n">
        <v>46289.55555555555</v>
      </c>
      <c r="C74" s="24" t="inlineStr">
        <is>
          <t>Nguyễn Thị Đoan Trang</t>
        </is>
      </c>
      <c r="D74" s="28" t="inlineStr">
        <is>
          <t>0962561425</t>
        </is>
      </c>
      <c r="E74" s="29" t="n">
        <v>46315</v>
      </c>
      <c r="F74" s="24" t="inlineStr">
        <is>
          <t>Đang mang thai</t>
        </is>
      </c>
      <c r="G74" s="24" t="inlineStr">
        <is>
          <t>Hải Phòng</t>
        </is>
      </c>
      <c r="H74" s="21">
        <f>IF(ISNUMBER($B74),INT($B74)-WEEKDAY($B74,2)+1,"")</f>
        <v/>
      </c>
      <c r="I74" s="24" t="inlineStr">
        <is>
          <t>Z-00</t>
        </is>
      </c>
      <c r="J74" s="22">
        <f t="array" ref="J74">IF($D74="","",IF($I74="","(trống REF)",IFERROR(INDEX(MASTER_SOURCE!$B$2:$B$495,MATCH($I74,MASTER_SOURCE!$A$2:$A$495,0)),"(REF không có trong MASTER_SOURCE)")))</f>
        <v/>
      </c>
      <c r="K74" s="22">
        <f t="array" ref="K74">IF($D74="","",IFERROR(INDEX(MASTER_SOURCE!$C$2:$C$495,MATCH($I74,MASTER_SOURCE!$A$2:$A$495,0)),""))</f>
        <v/>
      </c>
      <c r="L74" s="22">
        <f t="array" ref="L74">IF($D74="","",IFERROR(INDEX(MASTER_SOURCE!$D$2:$D$495,MATCH($I74,MASTER_SOURCE!$A$2:$A$495,0)),""))</f>
        <v/>
      </c>
      <c r="M74" s="24" t="inlineStr">
        <is>
          <t>Có</t>
        </is>
      </c>
      <c r="N74" s="24" t="inlineStr">
        <is>
          <t>Có</t>
        </is>
      </c>
      <c r="O74" s="24" t="inlineStr">
        <is>
          <t>Có</t>
        </is>
      </c>
      <c r="P74" s="24" t="inlineStr">
        <is>
          <t>Có</t>
        </is>
      </c>
      <c r="Q74" s="22">
        <f>IF($D74="","",IF(AND(OR(DANH_MUC!$L$5&lt;&gt;"Có",M74="Có"),OR(DANH_MUC!$L$6&lt;&gt;"Có",N74="Có"),OR(DANH_MUC!$L$7&lt;&gt;"Có",O74="Có"),OR(DANH_MUC!$L$8&lt;&gt;"Có",P74="Có")),"Có","Không"))</f>
        <v/>
      </c>
      <c r="R74" s="22">
        <f>IF($D74="","",IF(COUNTIF($D$2:$D74,$D74)&gt;1,"Trùng",""))</f>
        <v/>
      </c>
      <c r="S74" s="22">
        <f>IF($D74="","",IF(AND(LEN($D74)=10,LEFT($D74,1)="0",ISNUMBER(--$D74)),"Có","Không"))</f>
        <v/>
      </c>
      <c r="T74" s="22">
        <f>IF($D74="","",IF(AND($C74&lt;&gt;"",$Q74="Có",$R74="",$S74="Có",AND($L74&lt;&gt;"",OR($L74&lt;&gt;"Chưa xác định",DANH_MUC!$L$9="Có"))),"Có","Không"))</f>
        <v/>
      </c>
      <c r="U74" s="22">
        <f>IF(OR($D74="",$T74="Có"),"",IF($C74="","Thiếu họ tên; ","")&amp;IF($S74&lt;&gt;"Có","SĐT sai định dạng; ","")&amp;IF($R74="Trùng","Trùng SĐT; ","")&amp;IF($Q74&lt;&gt;"Có","Thiếu đồng ý bắt buộc; ","")&amp;IF($L74="","Thiếu/sai Mã REF; ",IF(AND($L74="Chưa xác định",DANH_MUC!$L$9&lt;&gt;"Có"),"Nguồn chưa xác định; ","")))</f>
        <v/>
      </c>
      <c r="V74" s="22">
        <f>IF(OR($D74="",$R74="Trùng"),"",IF(COUNTIF(ORDERS!$C$2:$C$4995,$D74)&gt;0,"Có","Không"))</f>
        <v/>
      </c>
      <c r="W74" s="22">
        <f>IF(OR($D74="",$R74="Trùng"),"",COUNTIFS(ORDERS!$C$2:$C$4995,$D74,ORDERS!$L$2:$L$4995,"Đã chuyển khoản"))</f>
        <v/>
      </c>
      <c r="X74" s="23">
        <f>IF(OR($D74="",$R74="Trùng"),"",SUMIFS(ORDERS!$J$2:$J$4995,ORDERS!$C$2:$C$4995,$D74,ORDERS!$L$2:$L$4995,"Đã chuyển khoản"))</f>
        <v/>
      </c>
      <c r="Y74" s="24" t="n"/>
    </row>
    <row r="75" ht="14.25" customHeight="1" s="40">
      <c r="A75" s="24" t="inlineStr">
        <is>
          <t>e4646922-b046-4b87-a01b-e3fa60baaef7</t>
        </is>
      </c>
      <c r="B75" s="18" t="n">
        <v>46289.56319444445</v>
      </c>
      <c r="C75" s="24" t="inlineStr">
        <is>
          <t>Bùi Ngọc Anh</t>
        </is>
      </c>
      <c r="D75" s="28" t="inlineStr">
        <is>
          <t>0398487520</t>
        </is>
      </c>
      <c r="E75" s="29" t="n">
        <v>45998</v>
      </c>
      <c r="F75" s="24" t="inlineStr">
        <is>
          <t>Đã sinh</t>
        </is>
      </c>
      <c r="G75" s="24" t="inlineStr">
        <is>
          <t>Hải Phòng</t>
        </is>
      </c>
      <c r="H75" s="21">
        <f>IF(ISNUMBER($B75),INT($B75)-WEEKDAY($B75,2)+1,"")</f>
        <v/>
      </c>
      <c r="I75" s="24" t="inlineStr">
        <is>
          <t>Z-00</t>
        </is>
      </c>
      <c r="J75" s="22">
        <f t="array" ref="J75">IF($D75="","",IF($I75="","(trống REF)",IFERROR(INDEX(MASTER_SOURCE!$B$2:$B$495,MATCH($I75,MASTER_SOURCE!$A$2:$A$495,0)),"(REF không có trong MASTER_SOURCE)")))</f>
        <v/>
      </c>
      <c r="K75" s="22">
        <f t="array" ref="K75">IF($D75="","",IFERROR(INDEX(MASTER_SOURCE!$C$2:$C$495,MATCH($I75,MASTER_SOURCE!$A$2:$A$495,0)),""))</f>
        <v/>
      </c>
      <c r="L75" s="22">
        <f t="array" ref="L75">IF($D75="","",IFERROR(INDEX(MASTER_SOURCE!$D$2:$D$495,MATCH($I75,MASTER_SOURCE!$A$2:$A$495,0)),""))</f>
        <v/>
      </c>
      <c r="M75" s="24" t="inlineStr">
        <is>
          <t>Có</t>
        </is>
      </c>
      <c r="N75" s="24" t="inlineStr">
        <is>
          <t>Có</t>
        </is>
      </c>
      <c r="O75" s="24" t="inlineStr">
        <is>
          <t>Có</t>
        </is>
      </c>
      <c r="P75" s="24" t="inlineStr">
        <is>
          <t>Có</t>
        </is>
      </c>
      <c r="Q75" s="22">
        <f>IF($D75="","",IF(AND(OR(DANH_MUC!$L$5&lt;&gt;"Có",M75="Có"),OR(DANH_MUC!$L$6&lt;&gt;"Có",N75="Có"),OR(DANH_MUC!$L$7&lt;&gt;"Có",O75="Có"),OR(DANH_MUC!$L$8&lt;&gt;"Có",P75="Có")),"Có","Không"))</f>
        <v/>
      </c>
      <c r="R75" s="22">
        <f>IF($D75="","",IF(COUNTIF($D$2:$D75,$D75)&gt;1,"Trùng",""))</f>
        <v/>
      </c>
      <c r="S75" s="22">
        <f>IF($D75="","",IF(AND(LEN($D75)=10,LEFT($D75,1)="0",ISNUMBER(--$D75)),"Có","Không"))</f>
        <v/>
      </c>
      <c r="T75" s="22">
        <f>IF($D75="","",IF(AND($C75&lt;&gt;"",$Q75="Có",$R75="",$S75="Có",AND($L75&lt;&gt;"",OR($L75&lt;&gt;"Chưa xác định",DANH_MUC!$L$9="Có"))),"Có","Không"))</f>
        <v/>
      </c>
      <c r="U75" s="22">
        <f>IF(OR($D75="",$T75="Có"),"",IF($C75="","Thiếu họ tên; ","")&amp;IF($S75&lt;&gt;"Có","SĐT sai định dạng; ","")&amp;IF($R75="Trùng","Trùng SĐT; ","")&amp;IF($Q75&lt;&gt;"Có","Thiếu đồng ý bắt buộc; ","")&amp;IF($L75="","Thiếu/sai Mã REF; ",IF(AND($L75="Chưa xác định",DANH_MUC!$L$9&lt;&gt;"Có"),"Nguồn chưa xác định; ","")))</f>
        <v/>
      </c>
      <c r="V75" s="22">
        <f>IF(OR($D75="",$R75="Trùng"),"",IF(COUNTIF(ORDERS!$C$2:$C$4995,$D75)&gt;0,"Có","Không"))</f>
        <v/>
      </c>
      <c r="W75" s="22">
        <f>IF(OR($D75="",$R75="Trùng"),"",COUNTIFS(ORDERS!$C$2:$C$4995,$D75,ORDERS!$L$2:$L$4995,"Đã chuyển khoản"))</f>
        <v/>
      </c>
      <c r="X75" s="23">
        <f>IF(OR($D75="",$R75="Trùng"),"",SUMIFS(ORDERS!$J$2:$J$4995,ORDERS!$C$2:$C$4995,$D75,ORDERS!$L$2:$L$4995,"Đã chuyển khoản"))</f>
        <v/>
      </c>
      <c r="Y75" s="24" t="n"/>
    </row>
    <row r="76" ht="14.25" customHeight="1" s="40">
      <c r="A76" s="24" t="inlineStr">
        <is>
          <t>3deb8eb4-b8d9-4de0-9a07-c949fc13aa76</t>
        </is>
      </c>
      <c r="B76" s="18" t="n">
        <v>46289.56527777778</v>
      </c>
      <c r="C76" s="24" t="inlineStr">
        <is>
          <t>Trần Hoàng Kim Phụng</t>
        </is>
      </c>
      <c r="D76" s="28" t="inlineStr">
        <is>
          <t>0764109924</t>
        </is>
      </c>
      <c r="E76" s="29" t="n">
        <v>46113</v>
      </c>
      <c r="F76" s="24" t="inlineStr">
        <is>
          <t>Đã sinh</t>
        </is>
      </c>
      <c r="G76" s="24" t="inlineStr">
        <is>
          <t>Hồ Chí Minh</t>
        </is>
      </c>
      <c r="H76" s="21">
        <f>IF(ISNUMBER($B76),INT($B76)-WEEKDAY($B76,2)+1,"")</f>
        <v/>
      </c>
      <c r="I76" s="24" t="inlineStr">
        <is>
          <t>Z-CIH</t>
        </is>
      </c>
      <c r="J76" s="22">
        <f t="array" ref="J76">IF($D76="","",IF($I76="","(trống REF)",IFERROR(INDEX(MASTER_SOURCE!$B$2:$B$495,MATCH($I76,MASTER_SOURCE!$A$2:$A$495,0)),"(REF không có trong MASTER_SOURCE)")))</f>
        <v/>
      </c>
      <c r="K76" s="22">
        <f t="array" ref="K76">IF($D76="","",IFERROR(INDEX(MASTER_SOURCE!$C$2:$C$495,MATCH($I76,MASTER_SOURCE!$A$2:$A$495,0)),""))</f>
        <v/>
      </c>
      <c r="L76" s="22">
        <f t="array" ref="L76">IF($D76="","",IFERROR(INDEX(MASTER_SOURCE!$D$2:$D$495,MATCH($I76,MASTER_SOURCE!$A$2:$A$495,0)),""))</f>
        <v/>
      </c>
      <c r="M76" s="24" t="inlineStr">
        <is>
          <t>Có</t>
        </is>
      </c>
      <c r="N76" s="24" t="inlineStr">
        <is>
          <t>Có</t>
        </is>
      </c>
      <c r="O76" s="24" t="inlineStr">
        <is>
          <t>Có</t>
        </is>
      </c>
      <c r="P76" s="24" t="inlineStr">
        <is>
          <t>Có</t>
        </is>
      </c>
      <c r="Q76" s="22">
        <f>IF($D76="","",IF(AND(OR(DANH_MUC!$L$5&lt;&gt;"Có",M76="Có"),OR(DANH_MUC!$L$6&lt;&gt;"Có",N76="Có"),OR(DANH_MUC!$L$7&lt;&gt;"Có",O76="Có"),OR(DANH_MUC!$L$8&lt;&gt;"Có",P76="Có")),"Có","Không"))</f>
        <v/>
      </c>
      <c r="R76" s="22">
        <f>IF($D76="","",IF(COUNTIF($D$2:$D76,$D76)&gt;1,"Trùng",""))</f>
        <v/>
      </c>
      <c r="S76" s="22">
        <f>IF($D76="","",IF(AND(LEN($D76)=10,LEFT($D76,1)="0",ISNUMBER(--$D76)),"Có","Không"))</f>
        <v/>
      </c>
      <c r="T76" s="22">
        <f>IF($D76="","",IF(AND($C76&lt;&gt;"",$Q76="Có",$R76="",$S76="Có",AND($L76&lt;&gt;"",OR($L76&lt;&gt;"Chưa xác định",DANH_MUC!$L$9="Có"))),"Có","Không"))</f>
        <v/>
      </c>
      <c r="U76" s="22">
        <f>IF(OR($D76="",$T76="Có"),"",IF($C76="","Thiếu họ tên; ","")&amp;IF($S76&lt;&gt;"Có","SĐT sai định dạng; ","")&amp;IF($R76="Trùng","Trùng SĐT; ","")&amp;IF($Q76&lt;&gt;"Có","Thiếu đồng ý bắt buộc; ","")&amp;IF($L76="","Thiếu/sai Mã REF; ",IF(AND($L76="Chưa xác định",DANH_MUC!$L$9&lt;&gt;"Có"),"Nguồn chưa xác định; ","")))</f>
        <v/>
      </c>
      <c r="V76" s="22">
        <f>IF(OR($D76="",$R76="Trùng"),"",IF(COUNTIF(ORDERS!$C$2:$C$4995,$D76)&gt;0,"Có","Không"))</f>
        <v/>
      </c>
      <c r="W76" s="22">
        <f>IF(OR($D76="",$R76="Trùng"),"",COUNTIFS(ORDERS!$C$2:$C$4995,$D76,ORDERS!$L$2:$L$4995,"Đã chuyển khoản"))</f>
        <v/>
      </c>
      <c r="X76" s="23">
        <f>IF(OR($D76="",$R76="Trùng"),"",SUMIFS(ORDERS!$J$2:$J$4995,ORDERS!$C$2:$C$4995,$D76,ORDERS!$L$2:$L$4995,"Đã chuyển khoản"))</f>
        <v/>
      </c>
      <c r="Y76" s="24" t="n"/>
    </row>
    <row r="77" ht="14.25" customHeight="1" s="40">
      <c r="A77" s="24" t="inlineStr">
        <is>
          <t>4da89af0-b272-4314-8f32-70921d378dcc</t>
        </is>
      </c>
      <c r="B77" s="18" t="n">
        <v>46289.57013888889</v>
      </c>
      <c r="C77" s="24" t="inlineStr">
        <is>
          <t>Vân anh</t>
        </is>
      </c>
      <c r="D77" s="28" t="inlineStr">
        <is>
          <t>0346531350</t>
        </is>
      </c>
      <c r="E77" s="29" t="n">
        <v>46150</v>
      </c>
      <c r="F77" s="24" t="inlineStr">
        <is>
          <t>Đã sinh</t>
        </is>
      </c>
      <c r="G77" s="24" t="inlineStr">
        <is>
          <t>Hải Phòng</t>
        </is>
      </c>
      <c r="H77" s="21">
        <f>IF(ISNUMBER($B77),INT($B77)-WEEKDAY($B77,2)+1,"")</f>
        <v/>
      </c>
      <c r="I77" s="24" t="inlineStr">
        <is>
          <t>Z-00</t>
        </is>
      </c>
      <c r="J77" s="22">
        <f t="array" ref="J77">IF($D77="","",IF($I77="","(trống REF)",IFERROR(INDEX(MASTER_SOURCE!$B$2:$B$495,MATCH($I77,MASTER_SOURCE!$A$2:$A$495,0)),"(REF không có trong MASTER_SOURCE)")))</f>
        <v/>
      </c>
      <c r="K77" s="22">
        <f t="array" ref="K77">IF($D77="","",IFERROR(INDEX(MASTER_SOURCE!$C$2:$C$495,MATCH($I77,MASTER_SOURCE!$A$2:$A$495,0)),""))</f>
        <v/>
      </c>
      <c r="L77" s="22">
        <f t="array" ref="L77">IF($D77="","",IFERROR(INDEX(MASTER_SOURCE!$D$2:$D$495,MATCH($I77,MASTER_SOURCE!$A$2:$A$495,0)),""))</f>
        <v/>
      </c>
      <c r="M77" s="24" t="inlineStr">
        <is>
          <t>Có</t>
        </is>
      </c>
      <c r="N77" s="24" t="inlineStr">
        <is>
          <t>Có</t>
        </is>
      </c>
      <c r="O77" s="24" t="inlineStr">
        <is>
          <t>Có</t>
        </is>
      </c>
      <c r="P77" s="24" t="inlineStr">
        <is>
          <t>Có</t>
        </is>
      </c>
      <c r="Q77" s="22">
        <f>IF($D77="","",IF(AND(OR(DANH_MUC!$L$5&lt;&gt;"Có",M77="Có"),OR(DANH_MUC!$L$6&lt;&gt;"Có",N77="Có"),OR(DANH_MUC!$L$7&lt;&gt;"Có",O77="Có"),OR(DANH_MUC!$L$8&lt;&gt;"Có",P77="Có")),"Có","Không"))</f>
        <v/>
      </c>
      <c r="R77" s="22">
        <f>IF($D77="","",IF(COUNTIF($D$2:$D77,$D77)&gt;1,"Trùng",""))</f>
        <v/>
      </c>
      <c r="S77" s="22">
        <f>IF($D77="","",IF(AND(LEN($D77)=10,LEFT($D77,1)="0",ISNUMBER(--$D77)),"Có","Không"))</f>
        <v/>
      </c>
      <c r="T77" s="22">
        <f>IF($D77="","",IF(AND($C77&lt;&gt;"",$Q77="Có",$R77="",$S77="Có",AND($L77&lt;&gt;"",OR($L77&lt;&gt;"Chưa xác định",DANH_MUC!$L$9="Có"))),"Có","Không"))</f>
        <v/>
      </c>
      <c r="U77" s="22">
        <f>IF(OR($D77="",$T77="Có"),"",IF($C77="","Thiếu họ tên; ","")&amp;IF($S77&lt;&gt;"Có","SĐT sai định dạng; ","")&amp;IF($R77="Trùng","Trùng SĐT; ","")&amp;IF($Q77&lt;&gt;"Có","Thiếu đồng ý bắt buộc; ","")&amp;IF($L77="","Thiếu/sai Mã REF; ",IF(AND($L77="Chưa xác định",DANH_MUC!$L$9&lt;&gt;"Có"),"Nguồn chưa xác định; ","")))</f>
        <v/>
      </c>
      <c r="V77" s="22">
        <f>IF(OR($D77="",$R77="Trùng"),"",IF(COUNTIF(ORDERS!$C$2:$C$4995,$D77)&gt;0,"Có","Không"))</f>
        <v/>
      </c>
      <c r="W77" s="22">
        <f>IF(OR($D77="",$R77="Trùng"),"",COUNTIFS(ORDERS!$C$2:$C$4995,$D77,ORDERS!$L$2:$L$4995,"Đã chuyển khoản"))</f>
        <v/>
      </c>
      <c r="X77" s="23">
        <f>IF(OR($D77="",$R77="Trùng"),"",SUMIFS(ORDERS!$J$2:$J$4995,ORDERS!$C$2:$C$4995,$D77,ORDERS!$L$2:$L$4995,"Đã chuyển khoản"))</f>
        <v/>
      </c>
      <c r="Y77" s="24" t="n"/>
    </row>
    <row r="78" ht="14.25" customHeight="1" s="40">
      <c r="A78" s="24" t="inlineStr">
        <is>
          <t>b4c60bb3-ec38-4c3a-bcef-39d79ab4479c</t>
        </is>
      </c>
      <c r="B78" s="18" t="n">
        <v>46289.64236111111</v>
      </c>
      <c r="C78" s="24" t="inlineStr">
        <is>
          <t>Nghiêm Thị Hải Yến</t>
        </is>
      </c>
      <c r="D78" s="28" t="inlineStr">
        <is>
          <t>0795296016</t>
        </is>
      </c>
      <c r="E78" s="29" t="n">
        <v>46330</v>
      </c>
      <c r="F78" s="24" t="inlineStr">
        <is>
          <t>Đang mang thai</t>
        </is>
      </c>
      <c r="G78" s="24" t="inlineStr">
        <is>
          <t>Hải Phòng</t>
        </is>
      </c>
      <c r="H78" s="21">
        <f>IF(ISNUMBER($B78),INT($B78)-WEEKDAY($B78,2)+1,"")</f>
        <v/>
      </c>
      <c r="I78" s="24" t="inlineStr">
        <is>
          <t>Z-00</t>
        </is>
      </c>
      <c r="J78" s="22">
        <f t="array" ref="J78">IF($D78="","",IF($I78="","(trống REF)",IFERROR(INDEX(MASTER_SOURCE!$B$2:$B$495,MATCH($I78,MASTER_SOURCE!$A$2:$A$495,0)),"(REF không có trong MASTER_SOURCE)")))</f>
        <v/>
      </c>
      <c r="K78" s="22">
        <f t="array" ref="K78">IF($D78="","",IFERROR(INDEX(MASTER_SOURCE!$C$2:$C$495,MATCH($I78,MASTER_SOURCE!$A$2:$A$495,0)),""))</f>
        <v/>
      </c>
      <c r="L78" s="22">
        <f t="array" ref="L78">IF($D78="","",IFERROR(INDEX(MASTER_SOURCE!$D$2:$D$495,MATCH($I78,MASTER_SOURCE!$A$2:$A$495,0)),""))</f>
        <v/>
      </c>
      <c r="M78" s="24" t="inlineStr">
        <is>
          <t>Có</t>
        </is>
      </c>
      <c r="N78" s="24" t="inlineStr">
        <is>
          <t>Có</t>
        </is>
      </c>
      <c r="O78" s="24" t="inlineStr">
        <is>
          <t>Có</t>
        </is>
      </c>
      <c r="P78" s="24" t="inlineStr">
        <is>
          <t>Có</t>
        </is>
      </c>
      <c r="Q78" s="22">
        <f>IF($D78="","",IF(AND(OR(DANH_MUC!$L$5&lt;&gt;"Có",M78="Có"),OR(DANH_MUC!$L$6&lt;&gt;"Có",N78="Có"),OR(DANH_MUC!$L$7&lt;&gt;"Có",O78="Có"),OR(DANH_MUC!$L$8&lt;&gt;"Có",P78="Có")),"Có","Không"))</f>
        <v/>
      </c>
      <c r="R78" s="22">
        <f>IF($D78="","",IF(COUNTIF($D$2:$D78,$D78)&gt;1,"Trùng",""))</f>
        <v/>
      </c>
      <c r="S78" s="22">
        <f>IF($D78="","",IF(AND(LEN($D78)=10,LEFT($D78,1)="0",ISNUMBER(--$D78)),"Có","Không"))</f>
        <v/>
      </c>
      <c r="T78" s="22">
        <f>IF($D78="","",IF(AND($C78&lt;&gt;"",$Q78="Có",$R78="",$S78="Có",AND($L78&lt;&gt;"",OR($L78&lt;&gt;"Chưa xác định",DANH_MUC!$L$9="Có"))),"Có","Không"))</f>
        <v/>
      </c>
      <c r="U78" s="22">
        <f>IF(OR($D78="",$T78="Có"),"",IF($C78="","Thiếu họ tên; ","")&amp;IF($S78&lt;&gt;"Có","SĐT sai định dạng; ","")&amp;IF($R78="Trùng","Trùng SĐT; ","")&amp;IF($Q78&lt;&gt;"Có","Thiếu đồng ý bắt buộc; ","")&amp;IF($L78="","Thiếu/sai Mã REF; ",IF(AND($L78="Chưa xác định",DANH_MUC!$L$9&lt;&gt;"Có"),"Nguồn chưa xác định; ","")))</f>
        <v/>
      </c>
      <c r="V78" s="22">
        <f>IF(OR($D78="",$R78="Trùng"),"",IF(COUNTIF(ORDERS!$C$2:$C$4995,$D78)&gt;0,"Có","Không"))</f>
        <v/>
      </c>
      <c r="W78" s="22">
        <f>IF(OR($D78="",$R78="Trùng"),"",COUNTIFS(ORDERS!$C$2:$C$4995,$D78,ORDERS!$L$2:$L$4995,"Đã chuyển khoản"))</f>
        <v/>
      </c>
      <c r="X78" s="23">
        <f>IF(OR($D78="",$R78="Trùng"),"",SUMIFS(ORDERS!$J$2:$J$4995,ORDERS!$C$2:$C$4995,$D78,ORDERS!$L$2:$L$4995,"Đã chuyển khoản"))</f>
        <v/>
      </c>
      <c r="Y78" s="24" t="n"/>
    </row>
    <row r="79" ht="14.25" customHeight="1" s="40">
      <c r="A79" s="24" t="inlineStr">
        <is>
          <t>17619264-c1d6-4fea-ae78-fab6e14686e0</t>
        </is>
      </c>
      <c r="B79" s="18" t="n">
        <v>46289.7125</v>
      </c>
      <c r="C79" s="24" t="inlineStr">
        <is>
          <t>Lê Phương Hoa</t>
        </is>
      </c>
      <c r="D79" s="28" t="inlineStr">
        <is>
          <t>0964898186</t>
        </is>
      </c>
      <c r="E79" s="29" t="n">
        <v>46334</v>
      </c>
      <c r="F79" s="24" t="inlineStr">
        <is>
          <t>Đang mang thai</t>
        </is>
      </c>
      <c r="G79" s="24" t="inlineStr">
        <is>
          <t>Hải Phòng</t>
        </is>
      </c>
      <c r="H79" s="21">
        <f>IF(ISNUMBER($B79),INT($B79)-WEEKDAY($B79,2)+1,"")</f>
        <v/>
      </c>
      <c r="I79" s="24" t="inlineStr">
        <is>
          <t>Z-00</t>
        </is>
      </c>
      <c r="J79" s="22">
        <f t="array" ref="J79">IF($D79="","",IF($I79="","(trống REF)",IFERROR(INDEX(MASTER_SOURCE!$B$2:$B$495,MATCH($I79,MASTER_SOURCE!$A$2:$A$495,0)),"(REF không có trong MASTER_SOURCE)")))</f>
        <v/>
      </c>
      <c r="K79" s="22">
        <f t="array" ref="K79">IF($D79="","",IFERROR(INDEX(MASTER_SOURCE!$C$2:$C$495,MATCH($I79,MASTER_SOURCE!$A$2:$A$495,0)),""))</f>
        <v/>
      </c>
      <c r="L79" s="22">
        <f t="array" ref="L79">IF($D79="","",IFERROR(INDEX(MASTER_SOURCE!$D$2:$D$495,MATCH($I79,MASTER_SOURCE!$A$2:$A$495,0)),""))</f>
        <v/>
      </c>
      <c r="M79" s="24" t="inlineStr">
        <is>
          <t>Có</t>
        </is>
      </c>
      <c r="N79" s="24" t="inlineStr">
        <is>
          <t>Có</t>
        </is>
      </c>
      <c r="O79" s="24" t="inlineStr">
        <is>
          <t>Có</t>
        </is>
      </c>
      <c r="P79" s="24" t="inlineStr">
        <is>
          <t>Có</t>
        </is>
      </c>
      <c r="Q79" s="22">
        <f>IF($D79="","",IF(AND(OR(DANH_MUC!$L$5&lt;&gt;"Có",M79="Có"),OR(DANH_MUC!$L$6&lt;&gt;"Có",N79="Có"),OR(DANH_MUC!$L$7&lt;&gt;"Có",O79="Có"),OR(DANH_MUC!$L$8&lt;&gt;"Có",P79="Có")),"Có","Không"))</f>
        <v/>
      </c>
      <c r="R79" s="22">
        <f>IF($D79="","",IF(COUNTIF($D$2:$D79,$D79)&gt;1,"Trùng",""))</f>
        <v/>
      </c>
      <c r="S79" s="22">
        <f>IF($D79="","",IF(AND(LEN($D79)=10,LEFT($D79,1)="0",ISNUMBER(--$D79)),"Có","Không"))</f>
        <v/>
      </c>
      <c r="T79" s="22">
        <f>IF($D79="","",IF(AND($C79&lt;&gt;"",$Q79="Có",$R79="",$S79="Có",AND($L79&lt;&gt;"",OR($L79&lt;&gt;"Chưa xác định",DANH_MUC!$L$9="Có"))),"Có","Không"))</f>
        <v/>
      </c>
      <c r="U79" s="22">
        <f>IF(OR($D79="",$T79="Có"),"",IF($C79="","Thiếu họ tên; ","")&amp;IF($S79&lt;&gt;"Có","SĐT sai định dạng; ","")&amp;IF($R79="Trùng","Trùng SĐT; ","")&amp;IF($Q79&lt;&gt;"Có","Thiếu đồng ý bắt buộc; ","")&amp;IF($L79="","Thiếu/sai Mã REF; ",IF(AND($L79="Chưa xác định",DANH_MUC!$L$9&lt;&gt;"Có"),"Nguồn chưa xác định; ","")))</f>
        <v/>
      </c>
      <c r="V79" s="22">
        <f>IF(OR($D79="",$R79="Trùng"),"",IF(COUNTIF(ORDERS!$C$2:$C$4995,$D79)&gt;0,"Có","Không"))</f>
        <v/>
      </c>
      <c r="W79" s="22">
        <f>IF(OR($D79="",$R79="Trùng"),"",COUNTIFS(ORDERS!$C$2:$C$4995,$D79,ORDERS!$L$2:$L$4995,"Đã chuyển khoản"))</f>
        <v/>
      </c>
      <c r="X79" s="23">
        <f>IF(OR($D79="",$R79="Trùng"),"",SUMIFS(ORDERS!$J$2:$J$4995,ORDERS!$C$2:$C$4995,$D79,ORDERS!$L$2:$L$4995,"Đã chuyển khoản"))</f>
        <v/>
      </c>
      <c r="Y79" s="24" t="n"/>
    </row>
    <row r="80" ht="14.25" customHeight="1" s="40">
      <c r="A80" s="24" t="inlineStr">
        <is>
          <t>0e4dde2a-c01f-472d-be4e-da0d07743c09</t>
        </is>
      </c>
      <c r="B80" s="18" t="n">
        <v>46289.9125</v>
      </c>
      <c r="C80" s="24" t="inlineStr">
        <is>
          <t>Nguyễn Thuý An</t>
        </is>
      </c>
      <c r="D80" s="28" t="inlineStr">
        <is>
          <t>0898342089</t>
        </is>
      </c>
      <c r="E80" s="29" t="n">
        <v>45956</v>
      </c>
      <c r="F80" s="24" t="inlineStr">
        <is>
          <t>Đã sinh</t>
        </is>
      </c>
      <c r="G80" s="24" t="inlineStr">
        <is>
          <t>Hồ Chí Minh</t>
        </is>
      </c>
      <c r="H80" s="21">
        <f>IF(ISNUMBER($B80),INT($B80)-WEEKDAY($B80,2)+1,"")</f>
        <v/>
      </c>
      <c r="I80" s="24" t="inlineStr">
        <is>
          <t>Z-00</t>
        </is>
      </c>
      <c r="J80" s="22">
        <f t="array" ref="J80">IF($D80="","",IF($I80="","(trống REF)",IFERROR(INDEX(MASTER_SOURCE!$B$2:$B$495,MATCH($I80,MASTER_SOURCE!$A$2:$A$495,0)),"(REF không có trong MASTER_SOURCE)")))</f>
        <v/>
      </c>
      <c r="K80" s="22">
        <f t="array" ref="K80">IF($D80="","",IFERROR(INDEX(MASTER_SOURCE!$C$2:$C$495,MATCH($I80,MASTER_SOURCE!$A$2:$A$495,0)),""))</f>
        <v/>
      </c>
      <c r="L80" s="22">
        <f t="array" ref="L80">IF($D80="","",IFERROR(INDEX(MASTER_SOURCE!$D$2:$D$495,MATCH($I80,MASTER_SOURCE!$A$2:$A$495,0)),""))</f>
        <v/>
      </c>
      <c r="M80" s="24" t="inlineStr">
        <is>
          <t>Có</t>
        </is>
      </c>
      <c r="N80" s="24" t="inlineStr">
        <is>
          <t>Có</t>
        </is>
      </c>
      <c r="O80" s="24" t="inlineStr">
        <is>
          <t>Có</t>
        </is>
      </c>
      <c r="P80" s="24" t="inlineStr">
        <is>
          <t>Có</t>
        </is>
      </c>
      <c r="Q80" s="22">
        <f>IF($D80="","",IF(AND(OR(DANH_MUC!$L$5&lt;&gt;"Có",M80="Có"),OR(DANH_MUC!$L$6&lt;&gt;"Có",N80="Có"),OR(DANH_MUC!$L$7&lt;&gt;"Có",O80="Có"),OR(DANH_MUC!$L$8&lt;&gt;"Có",P80="Có")),"Có","Không"))</f>
        <v/>
      </c>
      <c r="R80" s="22">
        <f>IF($D80="","",IF(COUNTIF($D$2:$D80,$D80)&gt;1,"Trùng",""))</f>
        <v/>
      </c>
      <c r="S80" s="22">
        <f>IF($D80="","",IF(AND(LEN($D80)=10,LEFT($D80,1)="0",ISNUMBER(--$D80)),"Có","Không"))</f>
        <v/>
      </c>
      <c r="T80" s="22">
        <f>IF($D80="","",IF(AND($C80&lt;&gt;"",$Q80="Có",$R80="",$S80="Có",AND($L80&lt;&gt;"",OR($L80&lt;&gt;"Chưa xác định",DANH_MUC!$L$9="Có"))),"Có","Không"))</f>
        <v/>
      </c>
      <c r="U80" s="22">
        <f>IF(OR($D80="",$T80="Có"),"",IF($C80="","Thiếu họ tên; ","")&amp;IF($S80&lt;&gt;"Có","SĐT sai định dạng; ","")&amp;IF($R80="Trùng","Trùng SĐT; ","")&amp;IF($Q80&lt;&gt;"Có","Thiếu đồng ý bắt buộc; ","")&amp;IF($L80="","Thiếu/sai Mã REF; ",IF(AND($L80="Chưa xác định",DANH_MUC!$L$9&lt;&gt;"Có"),"Nguồn chưa xác định; ","")))</f>
        <v/>
      </c>
      <c r="V80" s="22">
        <f>IF(OR($D80="",$R80="Trùng"),"",IF(COUNTIF(ORDERS!$C$2:$C$4995,$D80)&gt;0,"Có","Không"))</f>
        <v/>
      </c>
      <c r="W80" s="22">
        <f>IF(OR($D80="",$R80="Trùng"),"",COUNTIFS(ORDERS!$C$2:$C$4995,$D80,ORDERS!$L$2:$L$4995,"Đã chuyển khoản"))</f>
        <v/>
      </c>
      <c r="X80" s="23">
        <f>IF(OR($D80="",$R80="Trùng"),"",SUMIFS(ORDERS!$J$2:$J$4995,ORDERS!$C$2:$C$4995,$D80,ORDERS!$L$2:$L$4995,"Đã chuyển khoản"))</f>
        <v/>
      </c>
      <c r="Y80" s="24" t="n"/>
    </row>
    <row r="81" ht="14.25" customHeight="1" s="40">
      <c r="A81" s="24" t="inlineStr">
        <is>
          <t>9175c448-a06c-4c0d-86eb-ca908a04edda</t>
        </is>
      </c>
      <c r="B81" s="18" t="n">
        <v>46289.95416666667</v>
      </c>
      <c r="C81" s="24" t="inlineStr">
        <is>
          <t>Vũ Ngọc Quỳnh Trâm</t>
        </is>
      </c>
      <c r="D81" s="28" t="inlineStr">
        <is>
          <t>0966694617</t>
        </is>
      </c>
      <c r="E81" s="29" t="n">
        <v>46186</v>
      </c>
      <c r="F81" s="24" t="inlineStr">
        <is>
          <t>Đã sinh</t>
        </is>
      </c>
      <c r="G81" s="24" t="inlineStr">
        <is>
          <t>Đồng Nai</t>
        </is>
      </c>
      <c r="H81" s="21">
        <f>IF(ISNUMBER($B81),INT($B81)-WEEKDAY($B81,2)+1,"")</f>
        <v/>
      </c>
      <c r="I81" s="24" t="inlineStr">
        <is>
          <t>Z-00</t>
        </is>
      </c>
      <c r="J81" s="22">
        <f t="array" ref="J81">IF($D81="","",IF($I81="","(trống REF)",IFERROR(INDEX(MASTER_SOURCE!$B$2:$B$495,MATCH($I81,MASTER_SOURCE!$A$2:$A$495,0)),"(REF không có trong MASTER_SOURCE)")))</f>
        <v/>
      </c>
      <c r="K81" s="22">
        <f t="array" ref="K81">IF($D81="","",IFERROR(INDEX(MASTER_SOURCE!$C$2:$C$495,MATCH($I81,MASTER_SOURCE!$A$2:$A$495,0)),""))</f>
        <v/>
      </c>
      <c r="L81" s="22">
        <f t="array" ref="L81">IF($D81="","",IFERROR(INDEX(MASTER_SOURCE!$D$2:$D$495,MATCH($I81,MASTER_SOURCE!$A$2:$A$495,0)),""))</f>
        <v/>
      </c>
      <c r="M81" s="24" t="inlineStr">
        <is>
          <t>Có</t>
        </is>
      </c>
      <c r="N81" s="24" t="inlineStr">
        <is>
          <t>Có</t>
        </is>
      </c>
      <c r="O81" s="24" t="inlineStr">
        <is>
          <t>Có</t>
        </is>
      </c>
      <c r="P81" s="24" t="inlineStr">
        <is>
          <t>Có</t>
        </is>
      </c>
      <c r="Q81" s="22">
        <f>IF($D81="","",IF(AND(OR(DANH_MUC!$L$5&lt;&gt;"Có",M81="Có"),OR(DANH_MUC!$L$6&lt;&gt;"Có",N81="Có"),OR(DANH_MUC!$L$7&lt;&gt;"Có",O81="Có"),OR(DANH_MUC!$L$8&lt;&gt;"Có",P81="Có")),"Có","Không"))</f>
        <v/>
      </c>
      <c r="R81" s="22">
        <f>IF($D81="","",IF(COUNTIF($D$2:$D81,$D81)&gt;1,"Trùng",""))</f>
        <v/>
      </c>
      <c r="S81" s="22">
        <f>IF($D81="","",IF(AND(LEN($D81)=10,LEFT($D81,1)="0",ISNUMBER(--$D81)),"Có","Không"))</f>
        <v/>
      </c>
      <c r="T81" s="22">
        <f>IF($D81="","",IF(AND($C81&lt;&gt;"",$Q81="Có",$R81="",$S81="Có",AND($L81&lt;&gt;"",OR($L81&lt;&gt;"Chưa xác định",DANH_MUC!$L$9="Có"))),"Có","Không"))</f>
        <v/>
      </c>
      <c r="U81" s="22">
        <f>IF(OR($D81="",$T81="Có"),"",IF($C81="","Thiếu họ tên; ","")&amp;IF($S81&lt;&gt;"Có","SĐT sai định dạng; ","")&amp;IF($R81="Trùng","Trùng SĐT; ","")&amp;IF($Q81&lt;&gt;"Có","Thiếu đồng ý bắt buộc; ","")&amp;IF($L81="","Thiếu/sai Mã REF; ",IF(AND($L81="Chưa xác định",DANH_MUC!$L$9&lt;&gt;"Có"),"Nguồn chưa xác định; ","")))</f>
        <v/>
      </c>
      <c r="V81" s="22">
        <f>IF(OR($D81="",$R81="Trùng"),"",IF(COUNTIF(ORDERS!$C$2:$C$4995,$D81)&gt;0,"Có","Không"))</f>
        <v/>
      </c>
      <c r="W81" s="22">
        <f>IF(OR($D81="",$R81="Trùng"),"",COUNTIFS(ORDERS!$C$2:$C$4995,$D81,ORDERS!$L$2:$L$4995,"Đã chuyển khoản"))</f>
        <v/>
      </c>
      <c r="X81" s="23">
        <f>IF(OR($D81="",$R81="Trùng"),"",SUMIFS(ORDERS!$J$2:$J$4995,ORDERS!$C$2:$C$4995,$D81,ORDERS!$L$2:$L$4995,"Đã chuyển khoản"))</f>
        <v/>
      </c>
      <c r="Y81" s="24" t="n"/>
    </row>
    <row r="82" ht="14.25" customHeight="1" s="40">
      <c r="A82" s="24" t="inlineStr">
        <is>
          <t>3c841c2f-c19e-42a3-a364-0fce2f09fcc1</t>
        </is>
      </c>
      <c r="B82" s="18" t="n">
        <v>46290.40347222222</v>
      </c>
      <c r="C82" s="24" t="inlineStr">
        <is>
          <t>Nguyễn Thị Huệ</t>
        </is>
      </c>
      <c r="D82" s="28" t="inlineStr">
        <is>
          <t>0982897639</t>
        </is>
      </c>
      <c r="E82" s="29" t="n">
        <v>45999</v>
      </c>
      <c r="F82" s="24" t="inlineStr">
        <is>
          <t>Đã sinh</t>
        </is>
      </c>
      <c r="G82" s="24" t="inlineStr">
        <is>
          <t>Hải Phòng</t>
        </is>
      </c>
      <c r="H82" s="21">
        <f>IF(ISNUMBER($B82),INT($B82)-WEEKDAY($B82,2)+1,"")</f>
        <v/>
      </c>
      <c r="I82" s="24" t="inlineStr">
        <is>
          <t>Z-CIH</t>
        </is>
      </c>
      <c r="J82" s="22">
        <f t="array" ref="J82">IF($D82="","",IF($I82="","(trống REF)",IFERROR(INDEX(MASTER_SOURCE!$B$2:$B$495,MATCH($I82,MASTER_SOURCE!$A$2:$A$495,0)),"(REF không có trong MASTER_SOURCE)")))</f>
        <v/>
      </c>
      <c r="K82" s="22">
        <f t="array" ref="K82">IF($D82="","",IFERROR(INDEX(MASTER_SOURCE!$C$2:$C$495,MATCH($I82,MASTER_SOURCE!$A$2:$A$495,0)),""))</f>
        <v/>
      </c>
      <c r="L82" s="22">
        <f t="array" ref="L82">IF($D82="","",IFERROR(INDEX(MASTER_SOURCE!$D$2:$D$495,MATCH($I82,MASTER_SOURCE!$A$2:$A$495,0)),""))</f>
        <v/>
      </c>
      <c r="M82" s="24" t="inlineStr">
        <is>
          <t>Có</t>
        </is>
      </c>
      <c r="N82" s="24" t="inlineStr">
        <is>
          <t>Có</t>
        </is>
      </c>
      <c r="O82" s="24" t="inlineStr">
        <is>
          <t>Không</t>
        </is>
      </c>
      <c r="P82" s="24" t="inlineStr">
        <is>
          <t>Không</t>
        </is>
      </c>
      <c r="Q82" s="22">
        <f>IF($D82="","",IF(AND(OR(DANH_MUC!$L$5&lt;&gt;"Có",M82="Có"),OR(DANH_MUC!$L$6&lt;&gt;"Có",N82="Có"),OR(DANH_MUC!$L$7&lt;&gt;"Có",O82="Có"),OR(DANH_MUC!$L$8&lt;&gt;"Có",P82="Có")),"Có","Không"))</f>
        <v/>
      </c>
      <c r="R82" s="22">
        <f>IF($D82="","",IF(COUNTIF($D$2:$D82,$D82)&gt;1,"Trùng",""))</f>
        <v/>
      </c>
      <c r="S82" s="22">
        <f>IF($D82="","",IF(AND(LEN($D82)=10,LEFT($D82,1)="0",ISNUMBER(--$D82)),"Có","Không"))</f>
        <v/>
      </c>
      <c r="T82" s="22">
        <f>IF($D82="","",IF(AND($C82&lt;&gt;"",$Q82="Có",$R82="",$S82="Có",AND($L82&lt;&gt;"",OR($L82&lt;&gt;"Chưa xác định",DANH_MUC!$L$9="Có"))),"Có","Không"))</f>
        <v/>
      </c>
      <c r="U82" s="22">
        <f>IF(OR($D82="",$T82="Có"),"",IF($C82="","Thiếu họ tên; ","")&amp;IF($S82&lt;&gt;"Có","SĐT sai định dạng; ","")&amp;IF($R82="Trùng","Trùng SĐT; ","")&amp;IF($Q82&lt;&gt;"Có","Thiếu đồng ý bắt buộc; ","")&amp;IF($L82="","Thiếu/sai Mã REF; ",IF(AND($L82="Chưa xác định",DANH_MUC!$L$9&lt;&gt;"Có"),"Nguồn chưa xác định; ","")))</f>
        <v/>
      </c>
      <c r="V82" s="22">
        <f>IF(OR($D82="",$R82="Trùng"),"",IF(COUNTIF(ORDERS!$C$2:$C$4995,$D82)&gt;0,"Có","Không"))</f>
        <v/>
      </c>
      <c r="W82" s="22">
        <f>IF(OR($D82="",$R82="Trùng"),"",COUNTIFS(ORDERS!$C$2:$C$4995,$D82,ORDERS!$L$2:$L$4995,"Đã chuyển khoản"))</f>
        <v/>
      </c>
      <c r="X82" s="23">
        <f>IF(OR($D82="",$R82="Trùng"),"",SUMIFS(ORDERS!$J$2:$J$4995,ORDERS!$C$2:$C$4995,$D82,ORDERS!$L$2:$L$4995,"Đã chuyển khoản"))</f>
        <v/>
      </c>
      <c r="Y82" s="24" t="n"/>
    </row>
    <row r="83" ht="14.25" customHeight="1" s="40">
      <c r="A83" s="24" t="inlineStr">
        <is>
          <t>68778f43-8262-4990-8f45-ca2f1b5d8d89</t>
        </is>
      </c>
      <c r="B83" s="18" t="n">
        <v>46290.42708333334</v>
      </c>
      <c r="C83" s="24" t="inlineStr">
        <is>
          <t>Lê Thị Ánh Tiên</t>
        </is>
      </c>
      <c r="D83" s="28" t="inlineStr">
        <is>
          <t>0779819086</t>
        </is>
      </c>
      <c r="E83" s="29" t="n">
        <v>46324</v>
      </c>
      <c r="F83" s="24" t="inlineStr">
        <is>
          <t>Đang mang thai</t>
        </is>
      </c>
      <c r="G83" s="24" t="inlineStr">
        <is>
          <t>Hồ Chí Minh</t>
        </is>
      </c>
      <c r="H83" s="21">
        <f>IF(ISNUMBER($B83),INT($B83)-WEEKDAY($B83,2)+1,"")</f>
        <v/>
      </c>
      <c r="I83" s="24" t="inlineStr">
        <is>
          <t>Z-CIH</t>
        </is>
      </c>
      <c r="J83" s="22">
        <f t="array" ref="J83">IF($D83="","",IF($I83="","(trống REF)",IFERROR(INDEX(MASTER_SOURCE!$B$2:$B$495,MATCH($I83,MASTER_SOURCE!$A$2:$A$495,0)),"(REF không có trong MASTER_SOURCE)")))</f>
        <v/>
      </c>
      <c r="K83" s="22">
        <f t="array" ref="K83">IF($D83="","",IFERROR(INDEX(MASTER_SOURCE!$C$2:$C$495,MATCH($I83,MASTER_SOURCE!$A$2:$A$495,0)),""))</f>
        <v/>
      </c>
      <c r="L83" s="22">
        <f t="array" ref="L83">IF($D83="","",IFERROR(INDEX(MASTER_SOURCE!$D$2:$D$495,MATCH($I83,MASTER_SOURCE!$A$2:$A$495,0)),""))</f>
        <v/>
      </c>
      <c r="M83" s="24" t="inlineStr">
        <is>
          <t>Có</t>
        </is>
      </c>
      <c r="N83" s="24" t="inlineStr">
        <is>
          <t>Có</t>
        </is>
      </c>
      <c r="O83" s="24" t="inlineStr">
        <is>
          <t>Có</t>
        </is>
      </c>
      <c r="P83" s="24" t="inlineStr">
        <is>
          <t>Có</t>
        </is>
      </c>
      <c r="Q83" s="22">
        <f>IF($D83="","",IF(AND(OR(DANH_MUC!$L$5&lt;&gt;"Có",M83="Có"),OR(DANH_MUC!$L$6&lt;&gt;"Có",N83="Có"),OR(DANH_MUC!$L$7&lt;&gt;"Có",O83="Có"),OR(DANH_MUC!$L$8&lt;&gt;"Có",P83="Có")),"Có","Không"))</f>
        <v/>
      </c>
      <c r="R83" s="22">
        <f>IF($D83="","",IF(COUNTIF($D$2:$D83,$D83)&gt;1,"Trùng",""))</f>
        <v/>
      </c>
      <c r="S83" s="22">
        <f>IF($D83="","",IF(AND(LEN($D83)=10,LEFT($D83,1)="0",ISNUMBER(--$D83)),"Có","Không"))</f>
        <v/>
      </c>
      <c r="T83" s="22">
        <f>IF($D83="","",IF(AND($C83&lt;&gt;"",$Q83="Có",$R83="",$S83="Có",AND($L83&lt;&gt;"",OR($L83&lt;&gt;"Chưa xác định",DANH_MUC!$L$9="Có"))),"Có","Không"))</f>
        <v/>
      </c>
      <c r="U83" s="22">
        <f>IF(OR($D83="",$T83="Có"),"",IF($C83="","Thiếu họ tên; ","")&amp;IF($S83&lt;&gt;"Có","SĐT sai định dạng; ","")&amp;IF($R83="Trùng","Trùng SĐT; ","")&amp;IF($Q83&lt;&gt;"Có","Thiếu đồng ý bắt buộc; ","")&amp;IF($L83="","Thiếu/sai Mã REF; ",IF(AND($L83="Chưa xác định",DANH_MUC!$L$9&lt;&gt;"Có"),"Nguồn chưa xác định; ","")))</f>
        <v/>
      </c>
      <c r="V83" s="22">
        <f>IF(OR($D83="",$R83="Trùng"),"",IF(COUNTIF(ORDERS!$C$2:$C$4995,$D83)&gt;0,"Có","Không"))</f>
        <v/>
      </c>
      <c r="W83" s="22">
        <f>IF(OR($D83="",$R83="Trùng"),"",COUNTIFS(ORDERS!$C$2:$C$4995,$D83,ORDERS!$L$2:$L$4995,"Đã chuyển khoản"))</f>
        <v/>
      </c>
      <c r="X83" s="23">
        <f>IF(OR($D83="",$R83="Trùng"),"",SUMIFS(ORDERS!$J$2:$J$4995,ORDERS!$C$2:$C$4995,$D83,ORDERS!$L$2:$L$4995,"Đã chuyển khoản"))</f>
        <v/>
      </c>
      <c r="Y83" s="24" t="n"/>
    </row>
    <row r="84" ht="14.25" customHeight="1" s="40">
      <c r="A84" s="24" t="inlineStr">
        <is>
          <t>61dbe2f9-ad5f-4511-b888-47bcd075610d</t>
        </is>
      </c>
      <c r="B84" s="18" t="n">
        <v>46290.67013888889</v>
      </c>
      <c r="C84" s="24" t="inlineStr">
        <is>
          <t>Phạm Thị Lan Anh</t>
        </is>
      </c>
      <c r="D84" s="28" t="inlineStr">
        <is>
          <t>0977004369</t>
        </is>
      </c>
      <c r="E84" s="29" t="n">
        <v>46305</v>
      </c>
      <c r="F84" s="24" t="inlineStr">
        <is>
          <t>Đang mang thai</t>
        </is>
      </c>
      <c r="G84" s="24" t="inlineStr">
        <is>
          <t>Hưng Yên</t>
        </is>
      </c>
      <c r="H84" s="21">
        <f>IF(ISNUMBER($B84),INT($B84)-WEEKDAY($B84,2)+1,"")</f>
        <v/>
      </c>
      <c r="I84" s="24" t="inlineStr">
        <is>
          <t>Z-00</t>
        </is>
      </c>
      <c r="J84" s="22">
        <f t="array" ref="J84">IF($D84="","",IF($I84="","(trống REF)",IFERROR(INDEX(MASTER_SOURCE!$B$2:$B$495,MATCH($I84,MASTER_SOURCE!$A$2:$A$495,0)),"(REF không có trong MASTER_SOURCE)")))</f>
        <v/>
      </c>
      <c r="K84" s="22">
        <f t="array" ref="K84">IF($D84="","",IFERROR(INDEX(MASTER_SOURCE!$C$2:$C$495,MATCH($I84,MASTER_SOURCE!$A$2:$A$495,0)),""))</f>
        <v/>
      </c>
      <c r="L84" s="22">
        <f t="array" ref="L84">IF($D84="","",IFERROR(INDEX(MASTER_SOURCE!$D$2:$D$495,MATCH($I84,MASTER_SOURCE!$A$2:$A$495,0)),""))</f>
        <v/>
      </c>
      <c r="M84" s="24" t="inlineStr">
        <is>
          <t>Có</t>
        </is>
      </c>
      <c r="N84" s="24" t="inlineStr">
        <is>
          <t>Có</t>
        </is>
      </c>
      <c r="O84" s="24" t="inlineStr">
        <is>
          <t>Có</t>
        </is>
      </c>
      <c r="P84" s="24" t="inlineStr">
        <is>
          <t>Có</t>
        </is>
      </c>
      <c r="Q84" s="22">
        <f>IF($D84="","",IF(AND(OR(DANH_MUC!$L$5&lt;&gt;"Có",M84="Có"),OR(DANH_MUC!$L$6&lt;&gt;"Có",N84="Có"),OR(DANH_MUC!$L$7&lt;&gt;"Có",O84="Có"),OR(DANH_MUC!$L$8&lt;&gt;"Có",P84="Có")),"Có","Không"))</f>
        <v/>
      </c>
      <c r="R84" s="22">
        <f>IF($D84="","",IF(COUNTIF($D$2:$D84,$D84)&gt;1,"Trùng",""))</f>
        <v/>
      </c>
      <c r="S84" s="22">
        <f>IF($D84="","",IF(AND(LEN($D84)=10,LEFT($D84,1)="0",ISNUMBER(--$D84)),"Có","Không"))</f>
        <v/>
      </c>
      <c r="T84" s="22">
        <f>IF($D84="","",IF(AND($C84&lt;&gt;"",$Q84="Có",$R84="",$S84="Có",AND($L84&lt;&gt;"",OR($L84&lt;&gt;"Chưa xác định",DANH_MUC!$L$9="Có"))),"Có","Không"))</f>
        <v/>
      </c>
      <c r="U84" s="22">
        <f>IF(OR($D84="",$T84="Có"),"",IF($C84="","Thiếu họ tên; ","")&amp;IF($S84&lt;&gt;"Có","SĐT sai định dạng; ","")&amp;IF($R84="Trùng","Trùng SĐT; ","")&amp;IF($Q84&lt;&gt;"Có","Thiếu đồng ý bắt buộc; ","")&amp;IF($L84="","Thiếu/sai Mã REF; ",IF(AND($L84="Chưa xác định",DANH_MUC!$L$9&lt;&gt;"Có"),"Nguồn chưa xác định; ","")))</f>
        <v/>
      </c>
      <c r="V84" s="22">
        <f>IF(OR($D84="",$R84="Trùng"),"",IF(COUNTIF(ORDERS!$C$2:$C$4995,$D84)&gt;0,"Có","Không"))</f>
        <v/>
      </c>
      <c r="W84" s="22">
        <f>IF(OR($D84="",$R84="Trùng"),"",COUNTIFS(ORDERS!$C$2:$C$4995,$D84,ORDERS!$L$2:$L$4995,"Đã chuyển khoản"))</f>
        <v/>
      </c>
      <c r="X84" s="23">
        <f>IF(OR($D84="",$R84="Trùng"),"",SUMIFS(ORDERS!$J$2:$J$4995,ORDERS!$C$2:$C$4995,$D84,ORDERS!$L$2:$L$4995,"Đã chuyển khoản"))</f>
        <v/>
      </c>
      <c r="Y84" s="24" t="n"/>
    </row>
    <row r="85" ht="14.25" customHeight="1" s="40">
      <c r="A85" s="24" t="inlineStr">
        <is>
          <t>706a1925-76bf-40e6-bd2b-3e01b84ff98e</t>
        </is>
      </c>
      <c r="B85" s="18" t="n">
        <v>46290.67222222222</v>
      </c>
      <c r="C85" s="24" t="inlineStr">
        <is>
          <t>Châu Mỹ Nhi</t>
        </is>
      </c>
      <c r="D85" s="28" t="inlineStr">
        <is>
          <t>0988318495</t>
        </is>
      </c>
      <c r="E85" s="29" t="n">
        <v>46374</v>
      </c>
      <c r="F85" s="24" t="inlineStr">
        <is>
          <t>Đang mang thai</t>
        </is>
      </c>
      <c r="G85" s="24" t="inlineStr">
        <is>
          <t>Hồ Chí Minh</t>
        </is>
      </c>
      <c r="H85" s="21">
        <f>IF(ISNUMBER($B85),INT($B85)-WEEKDAY($B85,2)+1,"")</f>
        <v/>
      </c>
      <c r="I85" s="24" t="inlineStr">
        <is>
          <t>Z-CIH</t>
        </is>
      </c>
      <c r="J85" s="22">
        <f t="array" ref="J85">IF($D85="","",IF($I85="","(trống REF)",IFERROR(INDEX(MASTER_SOURCE!$B$2:$B$495,MATCH($I85,MASTER_SOURCE!$A$2:$A$495,0)),"(REF không có trong MASTER_SOURCE)")))</f>
        <v/>
      </c>
      <c r="K85" s="22">
        <f t="array" ref="K85">IF($D85="","",IFERROR(INDEX(MASTER_SOURCE!$C$2:$C$495,MATCH($I85,MASTER_SOURCE!$A$2:$A$495,0)),""))</f>
        <v/>
      </c>
      <c r="L85" s="22">
        <f t="array" ref="L85">IF($D85="","",IFERROR(INDEX(MASTER_SOURCE!$D$2:$D$495,MATCH($I85,MASTER_SOURCE!$A$2:$A$495,0)),""))</f>
        <v/>
      </c>
      <c r="M85" s="24" t="inlineStr">
        <is>
          <t>Có</t>
        </is>
      </c>
      <c r="N85" s="24" t="inlineStr">
        <is>
          <t>Có</t>
        </is>
      </c>
      <c r="O85" s="24" t="inlineStr">
        <is>
          <t>Có</t>
        </is>
      </c>
      <c r="P85" s="24" t="inlineStr">
        <is>
          <t>Có</t>
        </is>
      </c>
      <c r="Q85" s="22">
        <f>IF($D85="","",IF(AND(OR(DANH_MUC!$L$5&lt;&gt;"Có",M85="Có"),OR(DANH_MUC!$L$6&lt;&gt;"Có",N85="Có"),OR(DANH_MUC!$L$7&lt;&gt;"Có",O85="Có"),OR(DANH_MUC!$L$8&lt;&gt;"Có",P85="Có")),"Có","Không"))</f>
        <v/>
      </c>
      <c r="R85" s="22">
        <f>IF($D85="","",IF(COUNTIF($D$2:$D85,$D85)&gt;1,"Trùng",""))</f>
        <v/>
      </c>
      <c r="S85" s="22">
        <f>IF($D85="","",IF(AND(LEN($D85)=10,LEFT($D85,1)="0",ISNUMBER(--$D85)),"Có","Không"))</f>
        <v/>
      </c>
      <c r="T85" s="22">
        <f>IF($D85="","",IF(AND($C85&lt;&gt;"",$Q85="Có",$R85="",$S85="Có",AND($L85&lt;&gt;"",OR($L85&lt;&gt;"Chưa xác định",DANH_MUC!$L$9="Có"))),"Có","Không"))</f>
        <v/>
      </c>
      <c r="U85" s="22">
        <f>IF(OR($D85="",$T85="Có"),"",IF($C85="","Thiếu họ tên; ","")&amp;IF($S85&lt;&gt;"Có","SĐT sai định dạng; ","")&amp;IF($R85="Trùng","Trùng SĐT; ","")&amp;IF($Q85&lt;&gt;"Có","Thiếu đồng ý bắt buộc; ","")&amp;IF($L85="","Thiếu/sai Mã REF; ",IF(AND($L85="Chưa xác định",DANH_MUC!$L$9&lt;&gt;"Có"),"Nguồn chưa xác định; ","")))</f>
        <v/>
      </c>
      <c r="V85" s="22">
        <f>IF(OR($D85="",$R85="Trùng"),"",IF(COUNTIF(ORDERS!$C$2:$C$4995,$D85)&gt;0,"Có","Không"))</f>
        <v/>
      </c>
      <c r="W85" s="22">
        <f>IF(OR($D85="",$R85="Trùng"),"",COUNTIFS(ORDERS!$C$2:$C$4995,$D85,ORDERS!$L$2:$L$4995,"Đã chuyển khoản"))</f>
        <v/>
      </c>
      <c r="X85" s="23">
        <f>IF(OR($D85="",$R85="Trùng"),"",SUMIFS(ORDERS!$J$2:$J$4995,ORDERS!$C$2:$C$4995,$D85,ORDERS!$L$2:$L$4995,"Đã chuyển khoản"))</f>
        <v/>
      </c>
      <c r="Y85" s="24" t="n"/>
    </row>
    <row r="86" ht="14.25" customHeight="1" s="40">
      <c r="A86" s="24" t="inlineStr">
        <is>
          <t>be9ec31b-ba2d-4545-8b03-4a15feba1bbf</t>
        </is>
      </c>
      <c r="B86" s="18" t="n">
        <v>46290.67638888889</v>
      </c>
      <c r="C86" s="24" t="inlineStr">
        <is>
          <t>Vũ Thanh Tuyền</t>
        </is>
      </c>
      <c r="D86" s="28" t="inlineStr">
        <is>
          <t>0909907606</t>
        </is>
      </c>
      <c r="E86" s="29" t="n">
        <v>46027</v>
      </c>
      <c r="F86" s="24" t="inlineStr">
        <is>
          <t>Đã sinh</t>
        </is>
      </c>
      <c r="G86" s="24" t="inlineStr">
        <is>
          <t>Hồ Chí Minh</t>
        </is>
      </c>
      <c r="H86" s="21">
        <f>IF(ISNUMBER($B86),INT($B86)-WEEKDAY($B86,2)+1,"")</f>
        <v/>
      </c>
      <c r="I86" s="24" t="inlineStr">
        <is>
          <t>Z-CIH</t>
        </is>
      </c>
      <c r="J86" s="22">
        <f t="array" ref="J86">IF($D86="","",IF($I86="","(trống REF)",IFERROR(INDEX(MASTER_SOURCE!$B$2:$B$495,MATCH($I86,MASTER_SOURCE!$A$2:$A$495,0)),"(REF không có trong MASTER_SOURCE)")))</f>
        <v/>
      </c>
      <c r="K86" s="22">
        <f t="array" ref="K86">IF($D86="","",IFERROR(INDEX(MASTER_SOURCE!$C$2:$C$495,MATCH($I86,MASTER_SOURCE!$A$2:$A$495,0)),""))</f>
        <v/>
      </c>
      <c r="L86" s="22">
        <f t="array" ref="L86">IF($D86="","",IFERROR(INDEX(MASTER_SOURCE!$D$2:$D$495,MATCH($I86,MASTER_SOURCE!$A$2:$A$495,0)),""))</f>
        <v/>
      </c>
      <c r="M86" s="24" t="inlineStr">
        <is>
          <t>Có</t>
        </is>
      </c>
      <c r="N86" s="24" t="inlineStr">
        <is>
          <t>Có</t>
        </is>
      </c>
      <c r="O86" s="24" t="inlineStr">
        <is>
          <t>Có</t>
        </is>
      </c>
      <c r="P86" s="24" t="inlineStr">
        <is>
          <t>Có</t>
        </is>
      </c>
      <c r="Q86" s="22">
        <f>IF($D86="","",IF(AND(OR(DANH_MUC!$L$5&lt;&gt;"Có",M86="Có"),OR(DANH_MUC!$L$6&lt;&gt;"Có",N86="Có"),OR(DANH_MUC!$L$7&lt;&gt;"Có",O86="Có"),OR(DANH_MUC!$L$8&lt;&gt;"Có",P86="Có")),"Có","Không"))</f>
        <v/>
      </c>
      <c r="R86" s="22">
        <f>IF($D86="","",IF(COUNTIF($D$2:$D86,$D86)&gt;1,"Trùng",""))</f>
        <v/>
      </c>
      <c r="S86" s="22">
        <f>IF($D86="","",IF(AND(LEN($D86)=10,LEFT($D86,1)="0",ISNUMBER(--$D86)),"Có","Không"))</f>
        <v/>
      </c>
      <c r="T86" s="22">
        <f>IF($D86="","",IF(AND($C86&lt;&gt;"",$Q86="Có",$R86="",$S86="Có",AND($L86&lt;&gt;"",OR($L86&lt;&gt;"Chưa xác định",DANH_MUC!$L$9="Có"))),"Có","Không"))</f>
        <v/>
      </c>
      <c r="U86" s="22">
        <f>IF(OR($D86="",$T86="Có"),"",IF($C86="","Thiếu họ tên; ","")&amp;IF($S86&lt;&gt;"Có","SĐT sai định dạng; ","")&amp;IF($R86="Trùng","Trùng SĐT; ","")&amp;IF($Q86&lt;&gt;"Có","Thiếu đồng ý bắt buộc; ","")&amp;IF($L86="","Thiếu/sai Mã REF; ",IF(AND($L86="Chưa xác định",DANH_MUC!$L$9&lt;&gt;"Có"),"Nguồn chưa xác định; ","")))</f>
        <v/>
      </c>
      <c r="V86" s="22">
        <f>IF(OR($D86="",$R86="Trùng"),"",IF(COUNTIF(ORDERS!$C$2:$C$4995,$D86)&gt;0,"Có","Không"))</f>
        <v/>
      </c>
      <c r="W86" s="22">
        <f>IF(OR($D86="",$R86="Trùng"),"",COUNTIFS(ORDERS!$C$2:$C$4995,$D86,ORDERS!$L$2:$L$4995,"Đã chuyển khoản"))</f>
        <v/>
      </c>
      <c r="X86" s="23">
        <f>IF(OR($D86="",$R86="Trùng"),"",SUMIFS(ORDERS!$J$2:$J$4995,ORDERS!$C$2:$C$4995,$D86,ORDERS!$L$2:$L$4995,"Đã chuyển khoản"))</f>
        <v/>
      </c>
      <c r="Y86" s="24" t="n"/>
    </row>
    <row r="87" ht="14.25" customHeight="1" s="40">
      <c r="A87" s="24" t="inlineStr">
        <is>
          <t>3a4c795a-36c2-45a1-9752-70338745e3a2</t>
        </is>
      </c>
      <c r="B87" s="18" t="n">
        <v>46290.69861111111</v>
      </c>
      <c r="C87" s="24" t="inlineStr">
        <is>
          <t>Ngô Thu Thảo</t>
        </is>
      </c>
      <c r="D87" s="28" t="inlineStr">
        <is>
          <t>0793248598</t>
        </is>
      </c>
      <c r="E87" s="29" t="n">
        <v>46313</v>
      </c>
      <c r="F87" s="24" t="inlineStr">
        <is>
          <t>Đang mang thai</t>
        </is>
      </c>
      <c r="G87" s="24" t="inlineStr">
        <is>
          <t>Hải Phòng</t>
        </is>
      </c>
      <c r="H87" s="21">
        <f>IF(ISNUMBER($B87),INT($B87)-WEEKDAY($B87,2)+1,"")</f>
        <v/>
      </c>
      <c r="I87" s="24" t="inlineStr">
        <is>
          <t>Z-00</t>
        </is>
      </c>
      <c r="J87" s="22">
        <f t="array" ref="J87">IF($D87="","",IF($I87="","(trống REF)",IFERROR(INDEX(MASTER_SOURCE!$B$2:$B$495,MATCH($I87,MASTER_SOURCE!$A$2:$A$495,0)),"(REF không có trong MASTER_SOURCE)")))</f>
        <v/>
      </c>
      <c r="K87" s="22">
        <f t="array" ref="K87">IF($D87="","",IFERROR(INDEX(MASTER_SOURCE!$C$2:$C$495,MATCH($I87,MASTER_SOURCE!$A$2:$A$495,0)),""))</f>
        <v/>
      </c>
      <c r="L87" s="22">
        <f t="array" ref="L87">IF($D87="","",IFERROR(INDEX(MASTER_SOURCE!$D$2:$D$495,MATCH($I87,MASTER_SOURCE!$A$2:$A$495,0)),""))</f>
        <v/>
      </c>
      <c r="M87" s="24" t="inlineStr">
        <is>
          <t>Có</t>
        </is>
      </c>
      <c r="N87" s="24" t="inlineStr">
        <is>
          <t>Có</t>
        </is>
      </c>
      <c r="O87" s="24" t="inlineStr">
        <is>
          <t>Có</t>
        </is>
      </c>
      <c r="P87" s="24" t="inlineStr">
        <is>
          <t>Có</t>
        </is>
      </c>
      <c r="Q87" s="22">
        <f>IF($D87="","",IF(AND(OR(DANH_MUC!$L$5&lt;&gt;"Có",M87="Có"),OR(DANH_MUC!$L$6&lt;&gt;"Có",N87="Có"),OR(DANH_MUC!$L$7&lt;&gt;"Có",O87="Có"),OR(DANH_MUC!$L$8&lt;&gt;"Có",P87="Có")),"Có","Không"))</f>
        <v/>
      </c>
      <c r="R87" s="22">
        <f>IF($D87="","",IF(COUNTIF($D$2:$D87,$D87)&gt;1,"Trùng",""))</f>
        <v/>
      </c>
      <c r="S87" s="22">
        <f>IF($D87="","",IF(AND(LEN($D87)=10,LEFT($D87,1)="0",ISNUMBER(--$D87)),"Có","Không"))</f>
        <v/>
      </c>
      <c r="T87" s="22">
        <f>IF($D87="","",IF(AND($C87&lt;&gt;"",$Q87="Có",$R87="",$S87="Có",AND($L87&lt;&gt;"",OR($L87&lt;&gt;"Chưa xác định",DANH_MUC!$L$9="Có"))),"Có","Không"))</f>
        <v/>
      </c>
      <c r="U87" s="22">
        <f>IF(OR($D87="",$T87="Có"),"",IF($C87="","Thiếu họ tên; ","")&amp;IF($S87&lt;&gt;"Có","SĐT sai định dạng; ","")&amp;IF($R87="Trùng","Trùng SĐT; ","")&amp;IF($Q87&lt;&gt;"Có","Thiếu đồng ý bắt buộc; ","")&amp;IF($L87="","Thiếu/sai Mã REF; ",IF(AND($L87="Chưa xác định",DANH_MUC!$L$9&lt;&gt;"Có"),"Nguồn chưa xác định; ","")))</f>
        <v/>
      </c>
      <c r="V87" s="22">
        <f>IF(OR($D87="",$R87="Trùng"),"",IF(COUNTIF(ORDERS!$C$2:$C$4995,$D87)&gt;0,"Có","Không"))</f>
        <v/>
      </c>
      <c r="W87" s="22">
        <f>IF(OR($D87="",$R87="Trùng"),"",COUNTIFS(ORDERS!$C$2:$C$4995,$D87,ORDERS!$L$2:$L$4995,"Đã chuyển khoản"))</f>
        <v/>
      </c>
      <c r="X87" s="23">
        <f>IF(OR($D87="",$R87="Trùng"),"",SUMIFS(ORDERS!$J$2:$J$4995,ORDERS!$C$2:$C$4995,$D87,ORDERS!$L$2:$L$4995,"Đã chuyển khoản"))</f>
        <v/>
      </c>
      <c r="Y87" s="24" t="n"/>
    </row>
    <row r="88" ht="14.25" customHeight="1" s="40">
      <c r="A88" s="24" t="inlineStr">
        <is>
          <t>53d39c21-21cc-4525-ba12-d56ba2b09a91</t>
        </is>
      </c>
      <c r="B88" s="18" t="n">
        <v>46290.69930555556</v>
      </c>
      <c r="C88" s="24" t="inlineStr">
        <is>
          <t>Nguyễn Thị Ngọc Xuân</t>
        </is>
      </c>
      <c r="D88" s="28" t="inlineStr">
        <is>
          <t>0333962703</t>
        </is>
      </c>
      <c r="E88" s="29" t="n">
        <v>46347</v>
      </c>
      <c r="F88" s="24" t="inlineStr">
        <is>
          <t>Đang mang thai</t>
        </is>
      </c>
      <c r="G88" s="24" t="inlineStr">
        <is>
          <t>Hải Phòng</t>
        </is>
      </c>
      <c r="H88" s="21">
        <f>IF(ISNUMBER($B88),INT($B88)-WEEKDAY($B88,2)+1,"")</f>
        <v/>
      </c>
      <c r="I88" s="24" t="inlineStr">
        <is>
          <t>Z-00</t>
        </is>
      </c>
      <c r="J88" s="22">
        <f t="array" ref="J88">IF($D88="","",IF($I88="","(trống REF)",IFERROR(INDEX(MASTER_SOURCE!$B$2:$B$495,MATCH($I88,MASTER_SOURCE!$A$2:$A$495,0)),"(REF không có trong MASTER_SOURCE)")))</f>
        <v/>
      </c>
      <c r="K88" s="22">
        <f t="array" ref="K88">IF($D88="","",IFERROR(INDEX(MASTER_SOURCE!$C$2:$C$495,MATCH($I88,MASTER_SOURCE!$A$2:$A$495,0)),""))</f>
        <v/>
      </c>
      <c r="L88" s="22">
        <f t="array" ref="L88">IF($D88="","",IFERROR(INDEX(MASTER_SOURCE!$D$2:$D$495,MATCH($I88,MASTER_SOURCE!$A$2:$A$495,0)),""))</f>
        <v/>
      </c>
      <c r="M88" s="24" t="inlineStr">
        <is>
          <t>Có</t>
        </is>
      </c>
      <c r="N88" s="24" t="inlineStr">
        <is>
          <t>Có</t>
        </is>
      </c>
      <c r="O88" s="24" t="inlineStr">
        <is>
          <t>Có</t>
        </is>
      </c>
      <c r="P88" s="24" t="inlineStr">
        <is>
          <t>Có</t>
        </is>
      </c>
      <c r="Q88" s="22">
        <f>IF($D88="","",IF(AND(OR(DANH_MUC!$L$5&lt;&gt;"Có",M88="Có"),OR(DANH_MUC!$L$6&lt;&gt;"Có",N88="Có"),OR(DANH_MUC!$L$7&lt;&gt;"Có",O88="Có"),OR(DANH_MUC!$L$8&lt;&gt;"Có",P88="Có")),"Có","Không"))</f>
        <v/>
      </c>
      <c r="R88" s="22">
        <f>IF($D88="","",IF(COUNTIF($D$2:$D88,$D88)&gt;1,"Trùng",""))</f>
        <v/>
      </c>
      <c r="S88" s="22">
        <f>IF($D88="","",IF(AND(LEN($D88)=10,LEFT($D88,1)="0",ISNUMBER(--$D88)),"Có","Không"))</f>
        <v/>
      </c>
      <c r="T88" s="22">
        <f>IF($D88="","",IF(AND($C88&lt;&gt;"",$Q88="Có",$R88="",$S88="Có",AND($L88&lt;&gt;"",OR($L88&lt;&gt;"Chưa xác định",DANH_MUC!$L$9="Có"))),"Có","Không"))</f>
        <v/>
      </c>
      <c r="U88" s="22">
        <f>IF(OR($D88="",$T88="Có"),"",IF($C88="","Thiếu họ tên; ","")&amp;IF($S88&lt;&gt;"Có","SĐT sai định dạng; ","")&amp;IF($R88="Trùng","Trùng SĐT; ","")&amp;IF($Q88&lt;&gt;"Có","Thiếu đồng ý bắt buộc; ","")&amp;IF($L88="","Thiếu/sai Mã REF; ",IF(AND($L88="Chưa xác định",DANH_MUC!$L$9&lt;&gt;"Có"),"Nguồn chưa xác định; ","")))</f>
        <v/>
      </c>
      <c r="V88" s="22">
        <f>IF(OR($D88="",$R88="Trùng"),"",IF(COUNTIF(ORDERS!$C$2:$C$4995,$D88)&gt;0,"Có","Không"))</f>
        <v/>
      </c>
      <c r="W88" s="22">
        <f>IF(OR($D88="",$R88="Trùng"),"",COUNTIFS(ORDERS!$C$2:$C$4995,$D88,ORDERS!$L$2:$L$4995,"Đã chuyển khoản"))</f>
        <v/>
      </c>
      <c r="X88" s="23">
        <f>IF(OR($D88="",$R88="Trùng"),"",SUMIFS(ORDERS!$J$2:$J$4995,ORDERS!$C$2:$C$4995,$D88,ORDERS!$L$2:$L$4995,"Đã chuyển khoản"))</f>
        <v/>
      </c>
      <c r="Y88" s="24" t="n"/>
    </row>
    <row r="89" ht="14.25" customHeight="1" s="40">
      <c r="A89" s="24" t="inlineStr">
        <is>
          <t>9adf80c2-91fd-49ed-b2f4-73a23c84309e</t>
        </is>
      </c>
      <c r="B89" s="18" t="n">
        <v>46290.72222222222</v>
      </c>
      <c r="C89" s="24" t="inlineStr">
        <is>
          <t>Nguyễn Quỳnh Anh</t>
        </is>
      </c>
      <c r="D89" s="28" t="inlineStr">
        <is>
          <t>0902023584</t>
        </is>
      </c>
      <c r="E89" s="29" t="n">
        <v>46350</v>
      </c>
      <c r="F89" s="24" t="inlineStr">
        <is>
          <t>Đang mang thai</t>
        </is>
      </c>
      <c r="G89" s="24" t="inlineStr">
        <is>
          <t>Hải Phòng</t>
        </is>
      </c>
      <c r="H89" s="21">
        <f>IF(ISNUMBER($B89),INT($B89)-WEEKDAY($B89,2)+1,"")</f>
        <v/>
      </c>
      <c r="I89" s="24" t="inlineStr">
        <is>
          <t>Z-00</t>
        </is>
      </c>
      <c r="J89" s="22">
        <f t="array" ref="J89">IF($D89="","",IF($I89="","(trống REF)",IFERROR(INDEX(MASTER_SOURCE!$B$2:$B$495,MATCH($I89,MASTER_SOURCE!$A$2:$A$495,0)),"(REF không có trong MASTER_SOURCE)")))</f>
        <v/>
      </c>
      <c r="K89" s="22">
        <f t="array" ref="K89">IF($D89="","",IFERROR(INDEX(MASTER_SOURCE!$C$2:$C$495,MATCH($I89,MASTER_SOURCE!$A$2:$A$495,0)),""))</f>
        <v/>
      </c>
      <c r="L89" s="22">
        <f t="array" ref="L89">IF($D89="","",IFERROR(INDEX(MASTER_SOURCE!$D$2:$D$495,MATCH($I89,MASTER_SOURCE!$A$2:$A$495,0)),""))</f>
        <v/>
      </c>
      <c r="M89" s="24" t="inlineStr">
        <is>
          <t>Có</t>
        </is>
      </c>
      <c r="N89" s="24" t="inlineStr">
        <is>
          <t>Có</t>
        </is>
      </c>
      <c r="O89" s="24" t="inlineStr">
        <is>
          <t>Có</t>
        </is>
      </c>
      <c r="P89" s="24" t="inlineStr">
        <is>
          <t>Có</t>
        </is>
      </c>
      <c r="Q89" s="22">
        <f>IF($D89="","",IF(AND(OR(DANH_MUC!$L$5&lt;&gt;"Có",M89="Có"),OR(DANH_MUC!$L$6&lt;&gt;"Có",N89="Có"),OR(DANH_MUC!$L$7&lt;&gt;"Có",O89="Có"),OR(DANH_MUC!$L$8&lt;&gt;"Có",P89="Có")),"Có","Không"))</f>
        <v/>
      </c>
      <c r="R89" s="22">
        <f>IF($D89="","",IF(COUNTIF($D$2:$D89,$D89)&gt;1,"Trùng",""))</f>
        <v/>
      </c>
      <c r="S89" s="22">
        <f>IF($D89="","",IF(AND(LEN($D89)=10,LEFT($D89,1)="0",ISNUMBER(--$D89)),"Có","Không"))</f>
        <v/>
      </c>
      <c r="T89" s="22">
        <f>IF($D89="","",IF(AND($C89&lt;&gt;"",$Q89="Có",$R89="",$S89="Có",AND($L89&lt;&gt;"",OR($L89&lt;&gt;"Chưa xác định",DANH_MUC!$L$9="Có"))),"Có","Không"))</f>
        <v/>
      </c>
      <c r="U89" s="22">
        <f>IF(OR($D89="",$T89="Có"),"",IF($C89="","Thiếu họ tên; ","")&amp;IF($S89&lt;&gt;"Có","SĐT sai định dạng; ","")&amp;IF($R89="Trùng","Trùng SĐT; ","")&amp;IF($Q89&lt;&gt;"Có","Thiếu đồng ý bắt buộc; ","")&amp;IF($L89="","Thiếu/sai Mã REF; ",IF(AND($L89="Chưa xác định",DANH_MUC!$L$9&lt;&gt;"Có"),"Nguồn chưa xác định; ","")))</f>
        <v/>
      </c>
      <c r="V89" s="22">
        <f>IF(OR($D89="",$R89="Trùng"),"",IF(COUNTIF(ORDERS!$C$2:$C$4995,$D89)&gt;0,"Có","Không"))</f>
        <v/>
      </c>
      <c r="W89" s="22">
        <f>IF(OR($D89="",$R89="Trùng"),"",COUNTIFS(ORDERS!$C$2:$C$4995,$D89,ORDERS!$L$2:$L$4995,"Đã chuyển khoản"))</f>
        <v/>
      </c>
      <c r="X89" s="23">
        <f>IF(OR($D89="",$R89="Trùng"),"",SUMIFS(ORDERS!$J$2:$J$4995,ORDERS!$C$2:$C$4995,$D89,ORDERS!$L$2:$L$4995,"Đã chuyển khoản"))</f>
        <v/>
      </c>
      <c r="Y89" s="24" t="n"/>
    </row>
    <row r="90" ht="14.25" customHeight="1" s="40">
      <c r="A90" s="24" t="inlineStr">
        <is>
          <t>7bdee94d-72aa-4c8c-8fc3-e9deaab920cf</t>
        </is>
      </c>
      <c r="B90" s="18" t="n">
        <v>46291.32222222222</v>
      </c>
      <c r="C90" s="24" t="inlineStr">
        <is>
          <t>Từ Lan Linh</t>
        </is>
      </c>
      <c r="D90" s="28" t="inlineStr">
        <is>
          <t>0375130696</t>
        </is>
      </c>
      <c r="E90" s="29" t="n">
        <v>46334</v>
      </c>
      <c r="F90" s="24" t="inlineStr">
        <is>
          <t>Đang mang thai</t>
        </is>
      </c>
      <c r="G90" s="24" t="inlineStr">
        <is>
          <t>Đồng Nai</t>
        </is>
      </c>
      <c r="H90" s="21">
        <f>IF(ISNUMBER($B90),INT($B90)-WEEKDAY($B90,2)+1,"")</f>
        <v/>
      </c>
      <c r="I90" s="24" t="inlineStr">
        <is>
          <t>Z-SHING</t>
        </is>
      </c>
      <c r="J90" s="22">
        <f t="array" ref="J90">IF($D90="","",IF($I90="","(trống REF)",IFERROR(INDEX(MASTER_SOURCE!$B$2:$B$495,MATCH($I90,MASTER_SOURCE!$A$2:$A$495,0)),"(REF không có trong MASTER_SOURCE)")))</f>
        <v/>
      </c>
      <c r="K90" s="22">
        <f t="array" ref="K90">IF($D90="","",IFERROR(INDEX(MASTER_SOURCE!$C$2:$C$495,MATCH($I90,MASTER_SOURCE!$A$2:$A$495,0)),""))</f>
        <v/>
      </c>
      <c r="L90" s="22">
        <f t="array" ref="L90">IF($D90="","",IFERROR(INDEX(MASTER_SOURCE!$D$2:$D$495,MATCH($I90,MASTER_SOURCE!$A$2:$A$495,0)),""))</f>
        <v/>
      </c>
      <c r="M90" s="24" t="inlineStr">
        <is>
          <t>Có</t>
        </is>
      </c>
      <c r="N90" s="24" t="inlineStr">
        <is>
          <t>Có</t>
        </is>
      </c>
      <c r="O90" s="24" t="inlineStr">
        <is>
          <t>Có</t>
        </is>
      </c>
      <c r="P90" s="24" t="inlineStr">
        <is>
          <t>Có</t>
        </is>
      </c>
      <c r="Q90" s="22">
        <f>IF($D90="","",IF(AND(OR(DANH_MUC!$L$5&lt;&gt;"Có",M90="Có"),OR(DANH_MUC!$L$6&lt;&gt;"Có",N90="Có"),OR(DANH_MUC!$L$7&lt;&gt;"Có",O90="Có"),OR(DANH_MUC!$L$8&lt;&gt;"Có",P90="Có")),"Có","Không"))</f>
        <v/>
      </c>
      <c r="R90" s="22">
        <f>IF($D90="","",IF(COUNTIF($D$2:$D90,$D90)&gt;1,"Trùng",""))</f>
        <v/>
      </c>
      <c r="S90" s="22">
        <f>IF($D90="","",IF(AND(LEN($D90)=10,LEFT($D90,1)="0",ISNUMBER(--$D90)),"Có","Không"))</f>
        <v/>
      </c>
      <c r="T90" s="22">
        <f>IF($D90="","",IF(AND($C90&lt;&gt;"",$Q90="Có",$R90="",$S90="Có",AND($L90&lt;&gt;"",OR($L90&lt;&gt;"Chưa xác định",DANH_MUC!$L$9="Có"))),"Có","Không"))</f>
        <v/>
      </c>
      <c r="U90" s="22">
        <f>IF(OR($D90="",$T90="Có"),"",IF($C90="","Thiếu họ tên; ","")&amp;IF($S90&lt;&gt;"Có","SĐT sai định dạng; ","")&amp;IF($R90="Trùng","Trùng SĐT; ","")&amp;IF($Q90&lt;&gt;"Có","Thiếu đồng ý bắt buộc; ","")&amp;IF($L90="","Thiếu/sai Mã REF; ",IF(AND($L90="Chưa xác định",DANH_MUC!$L$9&lt;&gt;"Có"),"Nguồn chưa xác định; ","")))</f>
        <v/>
      </c>
      <c r="V90" s="22">
        <f>IF(OR($D90="",$R90="Trùng"),"",IF(COUNTIF(ORDERS!$C$2:$C$4995,$D90)&gt;0,"Có","Không"))</f>
        <v/>
      </c>
      <c r="W90" s="22">
        <f>IF(OR($D90="",$R90="Trùng"),"",COUNTIFS(ORDERS!$C$2:$C$4995,$D90,ORDERS!$L$2:$L$4995,"Đã chuyển khoản"))</f>
        <v/>
      </c>
      <c r="X90" s="23">
        <f>IF(OR($D90="",$R90="Trùng"),"",SUMIFS(ORDERS!$J$2:$J$4995,ORDERS!$C$2:$C$4995,$D90,ORDERS!$L$2:$L$4995,"Đã chuyển khoản"))</f>
        <v/>
      </c>
      <c r="Y90" s="24" t="n"/>
    </row>
    <row r="91" ht="14.25" customHeight="1" s="40">
      <c r="A91" s="24" t="inlineStr">
        <is>
          <t>f929c692-9b38-48cd-8783-18fbbaf8b244</t>
        </is>
      </c>
      <c r="B91" s="18" t="n">
        <v>46291.32430555556</v>
      </c>
      <c r="C91" s="24" t="inlineStr">
        <is>
          <t>Nguyễn thị thương</t>
        </is>
      </c>
      <c r="D91" s="28" t="inlineStr">
        <is>
          <t>0962922371</t>
        </is>
      </c>
      <c r="E91" s="29" t="n">
        <v>46322</v>
      </c>
      <c r="F91" s="24" t="inlineStr">
        <is>
          <t>Đang mang thai</t>
        </is>
      </c>
      <c r="G91" s="24" t="inlineStr">
        <is>
          <t>Đồng Nai</t>
        </is>
      </c>
      <c r="H91" s="21">
        <f>IF(ISNUMBER($B91),INT($B91)-WEEKDAY($B91,2)+1,"")</f>
        <v/>
      </c>
      <c r="I91" s="24" t="inlineStr">
        <is>
          <t>Z-SHING</t>
        </is>
      </c>
      <c r="J91" s="22">
        <f t="array" ref="J91">IF($D91="","",IF($I91="","(trống REF)",IFERROR(INDEX(MASTER_SOURCE!$B$2:$B$495,MATCH($I91,MASTER_SOURCE!$A$2:$A$495,0)),"(REF không có trong MASTER_SOURCE)")))</f>
        <v/>
      </c>
      <c r="K91" s="22">
        <f t="array" ref="K91">IF($D91="","",IFERROR(INDEX(MASTER_SOURCE!$C$2:$C$495,MATCH($I91,MASTER_SOURCE!$A$2:$A$495,0)),""))</f>
        <v/>
      </c>
      <c r="L91" s="22">
        <f t="array" ref="L91">IF($D91="","",IFERROR(INDEX(MASTER_SOURCE!$D$2:$D$495,MATCH($I91,MASTER_SOURCE!$A$2:$A$495,0)),""))</f>
        <v/>
      </c>
      <c r="M91" s="24" t="inlineStr">
        <is>
          <t>Có</t>
        </is>
      </c>
      <c r="N91" s="24" t="inlineStr">
        <is>
          <t>Có</t>
        </is>
      </c>
      <c r="O91" s="24" t="inlineStr">
        <is>
          <t>Có</t>
        </is>
      </c>
      <c r="P91" s="24" t="inlineStr">
        <is>
          <t>Có</t>
        </is>
      </c>
      <c r="Q91" s="22">
        <f>IF($D91="","",IF(AND(OR(DANH_MUC!$L$5&lt;&gt;"Có",M91="Có"),OR(DANH_MUC!$L$6&lt;&gt;"Có",N91="Có"),OR(DANH_MUC!$L$7&lt;&gt;"Có",O91="Có"),OR(DANH_MUC!$L$8&lt;&gt;"Có",P91="Có")),"Có","Không"))</f>
        <v/>
      </c>
      <c r="R91" s="22">
        <f>IF($D91="","",IF(COUNTIF($D$2:$D91,$D91)&gt;1,"Trùng",""))</f>
        <v/>
      </c>
      <c r="S91" s="22">
        <f>IF($D91="","",IF(AND(LEN($D91)=10,LEFT($D91,1)="0",ISNUMBER(--$D91)),"Có","Không"))</f>
        <v/>
      </c>
      <c r="T91" s="22">
        <f>IF($D91="","",IF(AND($C91&lt;&gt;"",$Q91="Có",$R91="",$S91="Có",AND($L91&lt;&gt;"",OR($L91&lt;&gt;"Chưa xác định",DANH_MUC!$L$9="Có"))),"Có","Không"))</f>
        <v/>
      </c>
      <c r="U91" s="22">
        <f>IF(OR($D91="",$T91="Có"),"",IF($C91="","Thiếu họ tên; ","")&amp;IF($S91&lt;&gt;"Có","SĐT sai định dạng; ","")&amp;IF($R91="Trùng","Trùng SĐT; ","")&amp;IF($Q91&lt;&gt;"Có","Thiếu đồng ý bắt buộc; ","")&amp;IF($L91="","Thiếu/sai Mã REF; ",IF(AND($L91="Chưa xác định",DANH_MUC!$L$9&lt;&gt;"Có"),"Nguồn chưa xác định; ","")))</f>
        <v/>
      </c>
      <c r="V91" s="22">
        <f>IF(OR($D91="",$R91="Trùng"),"",IF(COUNTIF(ORDERS!$C$2:$C$4995,$D91)&gt;0,"Có","Không"))</f>
        <v/>
      </c>
      <c r="W91" s="22">
        <f>IF(OR($D91="",$R91="Trùng"),"",COUNTIFS(ORDERS!$C$2:$C$4995,$D91,ORDERS!$L$2:$L$4995,"Đã chuyển khoản"))</f>
        <v/>
      </c>
      <c r="X91" s="23">
        <f>IF(OR($D91="",$R91="Trùng"),"",SUMIFS(ORDERS!$J$2:$J$4995,ORDERS!$C$2:$C$4995,$D91,ORDERS!$L$2:$L$4995,"Đã chuyển khoản"))</f>
        <v/>
      </c>
      <c r="Y91" s="24" t="n"/>
    </row>
    <row r="92" ht="14.25" customHeight="1" s="40">
      <c r="A92" s="24" t="inlineStr">
        <is>
          <t>b4c6d702-53c1-4427-916d-82eb97fdd661</t>
        </is>
      </c>
      <c r="B92" s="18" t="n">
        <v>46291.32638888889</v>
      </c>
      <c r="C92" s="24" t="inlineStr">
        <is>
          <t>Võ hồng ngọc mây</t>
        </is>
      </c>
      <c r="D92" s="28" t="inlineStr">
        <is>
          <t>0707030400</t>
        </is>
      </c>
      <c r="E92" s="29" t="n">
        <v>46368</v>
      </c>
      <c r="F92" s="24" t="inlineStr">
        <is>
          <t>Đang mang thai</t>
        </is>
      </c>
      <c r="G92" s="24" t="inlineStr">
        <is>
          <t>Hồ Chí Minh</t>
        </is>
      </c>
      <c r="H92" s="21">
        <f>IF(ISNUMBER($B92),INT($B92)-WEEKDAY($B92,2)+1,"")</f>
        <v/>
      </c>
      <c r="I92" s="24" t="inlineStr">
        <is>
          <t>Z-SHING</t>
        </is>
      </c>
      <c r="J92" s="22">
        <f t="array" ref="J92">IF($D92="","",IF($I92="","(trống REF)",IFERROR(INDEX(MASTER_SOURCE!$B$2:$B$495,MATCH($I92,MASTER_SOURCE!$A$2:$A$495,0)),"(REF không có trong MASTER_SOURCE)")))</f>
        <v/>
      </c>
      <c r="K92" s="22">
        <f t="array" ref="K92">IF($D92="","",IFERROR(INDEX(MASTER_SOURCE!$C$2:$C$495,MATCH($I92,MASTER_SOURCE!$A$2:$A$495,0)),""))</f>
        <v/>
      </c>
      <c r="L92" s="22">
        <f t="array" ref="L92">IF($D92="","",IFERROR(INDEX(MASTER_SOURCE!$D$2:$D$495,MATCH($I92,MASTER_SOURCE!$A$2:$A$495,0)),""))</f>
        <v/>
      </c>
      <c r="M92" s="24" t="inlineStr">
        <is>
          <t>Có</t>
        </is>
      </c>
      <c r="N92" s="24" t="inlineStr">
        <is>
          <t>Không</t>
        </is>
      </c>
      <c r="O92" s="24" t="inlineStr">
        <is>
          <t>Không</t>
        </is>
      </c>
      <c r="P92" s="24" t="inlineStr">
        <is>
          <t>Không</t>
        </is>
      </c>
      <c r="Q92" s="22">
        <f>IF($D92="","",IF(AND(OR(DANH_MUC!$L$5&lt;&gt;"Có",M92="Có"),OR(DANH_MUC!$L$6&lt;&gt;"Có",N92="Có"),OR(DANH_MUC!$L$7&lt;&gt;"Có",O92="Có"),OR(DANH_MUC!$L$8&lt;&gt;"Có",P92="Có")),"Có","Không"))</f>
        <v/>
      </c>
      <c r="R92" s="22">
        <f>IF($D92="","",IF(COUNTIF($D$2:$D92,$D92)&gt;1,"Trùng",""))</f>
        <v/>
      </c>
      <c r="S92" s="22">
        <f>IF($D92="","",IF(AND(LEN($D92)=10,LEFT($D92,1)="0",ISNUMBER(--$D92)),"Có","Không"))</f>
        <v/>
      </c>
      <c r="T92" s="22">
        <f>IF($D92="","",IF(AND($C92&lt;&gt;"",$Q92="Có",$R92="",$S92="Có",AND($L92&lt;&gt;"",OR($L92&lt;&gt;"Chưa xác định",DANH_MUC!$L$9="Có"))),"Có","Không"))</f>
        <v/>
      </c>
      <c r="U92" s="22">
        <f>IF(OR($D92="",$T92="Có"),"",IF($C92="","Thiếu họ tên; ","")&amp;IF($S92&lt;&gt;"Có","SĐT sai định dạng; ","")&amp;IF($R92="Trùng","Trùng SĐT; ","")&amp;IF($Q92&lt;&gt;"Có","Thiếu đồng ý bắt buộc; ","")&amp;IF($L92="","Thiếu/sai Mã REF; ",IF(AND($L92="Chưa xác định",DANH_MUC!$L$9&lt;&gt;"Có"),"Nguồn chưa xác định; ","")))</f>
        <v/>
      </c>
      <c r="V92" s="22">
        <f>IF(OR($D92="",$R92="Trùng"),"",IF(COUNTIF(ORDERS!$C$2:$C$4995,$D92)&gt;0,"Có","Không"))</f>
        <v/>
      </c>
      <c r="W92" s="22">
        <f>IF(OR($D92="",$R92="Trùng"),"",COUNTIFS(ORDERS!$C$2:$C$4995,$D92,ORDERS!$L$2:$L$4995,"Đã chuyển khoản"))</f>
        <v/>
      </c>
      <c r="X92" s="23">
        <f>IF(OR($D92="",$R92="Trùng"),"",SUMIFS(ORDERS!$J$2:$J$4995,ORDERS!$C$2:$C$4995,$D92,ORDERS!$L$2:$L$4995,"Đã chuyển khoản"))</f>
        <v/>
      </c>
      <c r="Y92" s="24" t="n"/>
    </row>
    <row r="93" ht="14.25" customHeight="1" s="40">
      <c r="A93" s="24" t="inlineStr">
        <is>
          <t>2a922099-bd02-4b84-8c87-02c365bb79b0</t>
        </is>
      </c>
      <c r="B93" s="18" t="n">
        <v>46291.32708333333</v>
      </c>
      <c r="C93" s="24" t="inlineStr">
        <is>
          <t>Đỗ Vũ Hồng Hạnh</t>
        </is>
      </c>
      <c r="D93" s="28" t="inlineStr">
        <is>
          <t>0708590706</t>
        </is>
      </c>
      <c r="E93" s="29" t="n">
        <v>46346</v>
      </c>
      <c r="F93" s="24" t="inlineStr">
        <is>
          <t>Đang mang thai</t>
        </is>
      </c>
      <c r="G93" s="24" t="inlineStr">
        <is>
          <t>Hồ Chí Minh</t>
        </is>
      </c>
      <c r="H93" s="21">
        <f>IF(ISNUMBER($B93),INT($B93)-WEEKDAY($B93,2)+1,"")</f>
        <v/>
      </c>
      <c r="I93" s="24" t="inlineStr">
        <is>
          <t>Z-SHING</t>
        </is>
      </c>
      <c r="J93" s="22">
        <f t="array" ref="J93">IF($D93="","",IF($I93="","(trống REF)",IFERROR(INDEX(MASTER_SOURCE!$B$2:$B$495,MATCH($I93,MASTER_SOURCE!$A$2:$A$495,0)),"(REF không có trong MASTER_SOURCE)")))</f>
        <v/>
      </c>
      <c r="K93" s="22">
        <f t="array" ref="K93">IF($D93="","",IFERROR(INDEX(MASTER_SOURCE!$C$2:$C$495,MATCH($I93,MASTER_SOURCE!$A$2:$A$495,0)),""))</f>
        <v/>
      </c>
      <c r="L93" s="22">
        <f t="array" ref="L93">IF($D93="","",IFERROR(INDEX(MASTER_SOURCE!$D$2:$D$495,MATCH($I93,MASTER_SOURCE!$A$2:$A$495,0)),""))</f>
        <v/>
      </c>
      <c r="M93" s="24" t="inlineStr">
        <is>
          <t>Có</t>
        </is>
      </c>
      <c r="N93" s="24" t="inlineStr">
        <is>
          <t>Có</t>
        </is>
      </c>
      <c r="O93" s="24" t="inlineStr">
        <is>
          <t>Có</t>
        </is>
      </c>
      <c r="P93" s="24" t="inlineStr">
        <is>
          <t>Có</t>
        </is>
      </c>
      <c r="Q93" s="22">
        <f>IF($D93="","",IF(AND(OR(DANH_MUC!$L$5&lt;&gt;"Có",M93="Có"),OR(DANH_MUC!$L$6&lt;&gt;"Có",N93="Có"),OR(DANH_MUC!$L$7&lt;&gt;"Có",O93="Có"),OR(DANH_MUC!$L$8&lt;&gt;"Có",P93="Có")),"Có","Không"))</f>
        <v/>
      </c>
      <c r="R93" s="22">
        <f>IF($D93="","",IF(COUNTIF($D$2:$D93,$D93)&gt;1,"Trùng",""))</f>
        <v/>
      </c>
      <c r="S93" s="22">
        <f>IF($D93="","",IF(AND(LEN($D93)=10,LEFT($D93,1)="0",ISNUMBER(--$D93)),"Có","Không"))</f>
        <v/>
      </c>
      <c r="T93" s="22">
        <f>IF($D93="","",IF(AND($C93&lt;&gt;"",$Q93="Có",$R93="",$S93="Có",AND($L93&lt;&gt;"",OR($L93&lt;&gt;"Chưa xác định",DANH_MUC!$L$9="Có"))),"Có","Không"))</f>
        <v/>
      </c>
      <c r="U93" s="22">
        <f>IF(OR($D93="",$T93="Có"),"",IF($C93="","Thiếu họ tên; ","")&amp;IF($S93&lt;&gt;"Có","SĐT sai định dạng; ","")&amp;IF($R93="Trùng","Trùng SĐT; ","")&amp;IF($Q93&lt;&gt;"Có","Thiếu đồng ý bắt buộc; ","")&amp;IF($L93="","Thiếu/sai Mã REF; ",IF(AND($L93="Chưa xác định",DANH_MUC!$L$9&lt;&gt;"Có"),"Nguồn chưa xác định; ","")))</f>
        <v/>
      </c>
      <c r="V93" s="22">
        <f>IF(OR($D93="",$R93="Trùng"),"",IF(COUNTIF(ORDERS!$C$2:$C$4995,$D93)&gt;0,"Có","Không"))</f>
        <v/>
      </c>
      <c r="W93" s="22">
        <f>IF(OR($D93="",$R93="Trùng"),"",COUNTIFS(ORDERS!$C$2:$C$4995,$D93,ORDERS!$L$2:$L$4995,"Đã chuyển khoản"))</f>
        <v/>
      </c>
      <c r="X93" s="23">
        <f>IF(OR($D93="",$R93="Trùng"),"",SUMIFS(ORDERS!$J$2:$J$4995,ORDERS!$C$2:$C$4995,$D93,ORDERS!$L$2:$L$4995,"Đã chuyển khoản"))</f>
        <v/>
      </c>
      <c r="Y93" s="24" t="n"/>
    </row>
    <row r="94" ht="14.25" customHeight="1" s="40">
      <c r="A94" s="24" t="inlineStr">
        <is>
          <t>bd4cab85-0c7f-46c7-a521-0b98b08c32b5</t>
        </is>
      </c>
      <c r="B94" s="18" t="n">
        <v>46291.32847222222</v>
      </c>
      <c r="C94" s="24" t="inlineStr">
        <is>
          <t>Huỳnh Thị Trà My</t>
        </is>
      </c>
      <c r="D94" s="28" t="inlineStr">
        <is>
          <t>0818154020</t>
        </is>
      </c>
      <c r="E94" s="29" t="n">
        <v>46357</v>
      </c>
      <c r="F94" s="24" t="inlineStr">
        <is>
          <t>Đang mang thai</t>
        </is>
      </c>
      <c r="G94" s="24" t="inlineStr">
        <is>
          <t>Hồ Chí Minh</t>
        </is>
      </c>
      <c r="H94" s="21">
        <f>IF(ISNUMBER($B94),INT($B94)-WEEKDAY($B94,2)+1,"")</f>
        <v/>
      </c>
      <c r="I94" s="24" t="inlineStr">
        <is>
          <t>Z-SHING</t>
        </is>
      </c>
      <c r="J94" s="22">
        <f t="array" ref="J94">IF($D94="","",IF($I94="","(trống REF)",IFERROR(INDEX(MASTER_SOURCE!$B$2:$B$495,MATCH($I94,MASTER_SOURCE!$A$2:$A$495,0)),"(REF không có trong MASTER_SOURCE)")))</f>
        <v/>
      </c>
      <c r="K94" s="22">
        <f t="array" ref="K94">IF($D94="","",IFERROR(INDEX(MASTER_SOURCE!$C$2:$C$495,MATCH($I94,MASTER_SOURCE!$A$2:$A$495,0)),""))</f>
        <v/>
      </c>
      <c r="L94" s="22">
        <f t="array" ref="L94">IF($D94="","",IFERROR(INDEX(MASTER_SOURCE!$D$2:$D$495,MATCH($I94,MASTER_SOURCE!$A$2:$A$495,0)),""))</f>
        <v/>
      </c>
      <c r="M94" s="24" t="inlineStr">
        <is>
          <t>Có</t>
        </is>
      </c>
      <c r="N94" s="24" t="inlineStr">
        <is>
          <t>Có</t>
        </is>
      </c>
      <c r="O94" s="24" t="inlineStr">
        <is>
          <t>Có</t>
        </is>
      </c>
      <c r="P94" s="24" t="inlineStr">
        <is>
          <t>Có</t>
        </is>
      </c>
      <c r="Q94" s="22">
        <f>IF($D94="","",IF(AND(OR(DANH_MUC!$L$5&lt;&gt;"Có",M94="Có"),OR(DANH_MUC!$L$6&lt;&gt;"Có",N94="Có"),OR(DANH_MUC!$L$7&lt;&gt;"Có",O94="Có"),OR(DANH_MUC!$L$8&lt;&gt;"Có",P94="Có")),"Có","Không"))</f>
        <v/>
      </c>
      <c r="R94" s="22">
        <f>IF($D94="","",IF(COUNTIF($D$2:$D94,$D94)&gt;1,"Trùng",""))</f>
        <v/>
      </c>
      <c r="S94" s="22">
        <f>IF($D94="","",IF(AND(LEN($D94)=10,LEFT($D94,1)="0",ISNUMBER(--$D94)),"Có","Không"))</f>
        <v/>
      </c>
      <c r="T94" s="22">
        <f>IF($D94="","",IF(AND($C94&lt;&gt;"",$Q94="Có",$R94="",$S94="Có",AND($L94&lt;&gt;"",OR($L94&lt;&gt;"Chưa xác định",DANH_MUC!$L$9="Có"))),"Có","Không"))</f>
        <v/>
      </c>
      <c r="U94" s="22">
        <f>IF(OR($D94="",$T94="Có"),"",IF($C94="","Thiếu họ tên; ","")&amp;IF($S94&lt;&gt;"Có","SĐT sai định dạng; ","")&amp;IF($R94="Trùng","Trùng SĐT; ","")&amp;IF($Q94&lt;&gt;"Có","Thiếu đồng ý bắt buộc; ","")&amp;IF($L94="","Thiếu/sai Mã REF; ",IF(AND($L94="Chưa xác định",DANH_MUC!$L$9&lt;&gt;"Có"),"Nguồn chưa xác định; ","")))</f>
        <v/>
      </c>
      <c r="V94" s="22">
        <f>IF(OR($D94="",$R94="Trùng"),"",IF(COUNTIF(ORDERS!$C$2:$C$4995,$D94)&gt;0,"Có","Không"))</f>
        <v/>
      </c>
      <c r="W94" s="22">
        <f>IF(OR($D94="",$R94="Trùng"),"",COUNTIFS(ORDERS!$C$2:$C$4995,$D94,ORDERS!$L$2:$L$4995,"Đã chuyển khoản"))</f>
        <v/>
      </c>
      <c r="X94" s="23">
        <f>IF(OR($D94="",$R94="Trùng"),"",SUMIFS(ORDERS!$J$2:$J$4995,ORDERS!$C$2:$C$4995,$D94,ORDERS!$L$2:$L$4995,"Đã chuyển khoản"))</f>
        <v/>
      </c>
      <c r="Y94" s="24" t="n"/>
    </row>
    <row r="95" ht="14.25" customHeight="1" s="40">
      <c r="A95" s="24" t="inlineStr">
        <is>
          <t>c3445b3e-6a56-4bf2-ab75-287fcc89b524</t>
        </is>
      </c>
      <c r="B95" s="18" t="n">
        <v>46291.32847222222</v>
      </c>
      <c r="C95" s="24" t="inlineStr">
        <is>
          <t>Nguyễn Thị Mỹ Huyền</t>
        </is>
      </c>
      <c r="D95" s="28" t="inlineStr">
        <is>
          <t>0768791562</t>
        </is>
      </c>
      <c r="E95" s="29" t="n">
        <v>46366</v>
      </c>
      <c r="F95" s="24" t="inlineStr">
        <is>
          <t>Đang mang thai</t>
        </is>
      </c>
      <c r="G95" s="24" t="inlineStr">
        <is>
          <t>Hồ Chí Minh</t>
        </is>
      </c>
      <c r="H95" s="21">
        <f>IF(ISNUMBER($B95),INT($B95)-WEEKDAY($B95,2)+1,"")</f>
        <v/>
      </c>
      <c r="I95" s="24" t="inlineStr">
        <is>
          <t>Z-SHING</t>
        </is>
      </c>
      <c r="J95" s="22">
        <f t="array" ref="J95">IF($D95="","",IF($I95="","(trống REF)",IFERROR(INDEX(MASTER_SOURCE!$B$2:$B$495,MATCH($I95,MASTER_SOURCE!$A$2:$A$495,0)),"(REF không có trong MASTER_SOURCE)")))</f>
        <v/>
      </c>
      <c r="K95" s="22">
        <f t="array" ref="K95">IF($D95="","",IFERROR(INDEX(MASTER_SOURCE!$C$2:$C$495,MATCH($I95,MASTER_SOURCE!$A$2:$A$495,0)),""))</f>
        <v/>
      </c>
      <c r="L95" s="22">
        <f t="array" ref="L95">IF($D95="","",IFERROR(INDEX(MASTER_SOURCE!$D$2:$D$495,MATCH($I95,MASTER_SOURCE!$A$2:$A$495,0)),""))</f>
        <v/>
      </c>
      <c r="M95" s="24" t="inlineStr">
        <is>
          <t>Có</t>
        </is>
      </c>
      <c r="N95" s="24" t="inlineStr">
        <is>
          <t>Có</t>
        </is>
      </c>
      <c r="O95" s="24" t="inlineStr">
        <is>
          <t>Có</t>
        </is>
      </c>
      <c r="P95" s="24" t="inlineStr">
        <is>
          <t>Có</t>
        </is>
      </c>
      <c r="Q95" s="22">
        <f>IF($D95="","",IF(AND(OR(DANH_MUC!$L$5&lt;&gt;"Có",M95="Có"),OR(DANH_MUC!$L$6&lt;&gt;"Có",N95="Có"),OR(DANH_MUC!$L$7&lt;&gt;"Có",O95="Có"),OR(DANH_MUC!$L$8&lt;&gt;"Có",P95="Có")),"Có","Không"))</f>
        <v/>
      </c>
      <c r="R95" s="22">
        <f>IF($D95="","",IF(COUNTIF($D$2:$D95,$D95)&gt;1,"Trùng",""))</f>
        <v/>
      </c>
      <c r="S95" s="22">
        <f>IF($D95="","",IF(AND(LEN($D95)=10,LEFT($D95,1)="0",ISNUMBER(--$D95)),"Có","Không"))</f>
        <v/>
      </c>
      <c r="T95" s="22">
        <f>IF($D95="","",IF(AND($C95&lt;&gt;"",$Q95="Có",$R95="",$S95="Có",AND($L95&lt;&gt;"",OR($L95&lt;&gt;"Chưa xác định",DANH_MUC!$L$9="Có"))),"Có","Không"))</f>
        <v/>
      </c>
      <c r="U95" s="22">
        <f>IF(OR($D95="",$T95="Có"),"",IF($C95="","Thiếu họ tên; ","")&amp;IF($S95&lt;&gt;"Có","SĐT sai định dạng; ","")&amp;IF($R95="Trùng","Trùng SĐT; ","")&amp;IF($Q95&lt;&gt;"Có","Thiếu đồng ý bắt buộc; ","")&amp;IF($L95="","Thiếu/sai Mã REF; ",IF(AND($L95="Chưa xác định",DANH_MUC!$L$9&lt;&gt;"Có"),"Nguồn chưa xác định; ","")))</f>
        <v/>
      </c>
      <c r="V95" s="22">
        <f>IF(OR($D95="",$R95="Trùng"),"",IF(COUNTIF(ORDERS!$C$2:$C$4995,$D95)&gt;0,"Có","Không"))</f>
        <v/>
      </c>
      <c r="W95" s="22">
        <f>IF(OR($D95="",$R95="Trùng"),"",COUNTIFS(ORDERS!$C$2:$C$4995,$D95,ORDERS!$L$2:$L$4995,"Đã chuyển khoản"))</f>
        <v/>
      </c>
      <c r="X95" s="23">
        <f>IF(OR($D95="",$R95="Trùng"),"",SUMIFS(ORDERS!$J$2:$J$4995,ORDERS!$C$2:$C$4995,$D95,ORDERS!$L$2:$L$4995,"Đã chuyển khoản"))</f>
        <v/>
      </c>
      <c r="Y95" s="24" t="n"/>
    </row>
    <row r="96" ht="14.25" customHeight="1" s="40">
      <c r="A96" s="24" t="inlineStr">
        <is>
          <t>02cf94e8-15a1-4c36-b1bc-2fc4c1c3e84a</t>
        </is>
      </c>
      <c r="B96" s="18" t="n">
        <v>46291.32847222222</v>
      </c>
      <c r="C96" s="24" t="inlineStr">
        <is>
          <t>Dương Thị Hồng Nhung</t>
        </is>
      </c>
      <c r="D96" s="28" t="inlineStr">
        <is>
          <t>0933815211</t>
        </is>
      </c>
      <c r="E96" s="29" t="n">
        <v>46347</v>
      </c>
      <c r="F96" s="24" t="inlineStr">
        <is>
          <t>Đang mang thai</t>
        </is>
      </c>
      <c r="G96" s="24" t="inlineStr">
        <is>
          <t>Hồ Chí Minh</t>
        </is>
      </c>
      <c r="H96" s="21">
        <f>IF(ISNUMBER($B96),INT($B96)-WEEKDAY($B96,2)+1,"")</f>
        <v/>
      </c>
      <c r="I96" s="24" t="inlineStr">
        <is>
          <t>Z-SHING</t>
        </is>
      </c>
      <c r="J96" s="22">
        <f t="array" ref="J96">IF($D96="","",IF($I96="","(trống REF)",IFERROR(INDEX(MASTER_SOURCE!$B$2:$B$495,MATCH($I96,MASTER_SOURCE!$A$2:$A$495,0)),"(REF không có trong MASTER_SOURCE)")))</f>
        <v/>
      </c>
      <c r="K96" s="22">
        <f t="array" ref="K96">IF($D96="","",IFERROR(INDEX(MASTER_SOURCE!$C$2:$C$495,MATCH($I96,MASTER_SOURCE!$A$2:$A$495,0)),""))</f>
        <v/>
      </c>
      <c r="L96" s="22">
        <f t="array" ref="L96">IF($D96="","",IFERROR(INDEX(MASTER_SOURCE!$D$2:$D$495,MATCH($I96,MASTER_SOURCE!$A$2:$A$495,0)),""))</f>
        <v/>
      </c>
      <c r="M96" s="24" t="inlineStr">
        <is>
          <t>Có</t>
        </is>
      </c>
      <c r="N96" s="24" t="inlineStr">
        <is>
          <t>Có</t>
        </is>
      </c>
      <c r="O96" s="24" t="inlineStr">
        <is>
          <t>Không</t>
        </is>
      </c>
      <c r="P96" s="24" t="inlineStr">
        <is>
          <t>Không</t>
        </is>
      </c>
      <c r="Q96" s="22">
        <f>IF($D96="","",IF(AND(OR(DANH_MUC!$L$5&lt;&gt;"Có",M96="Có"),OR(DANH_MUC!$L$6&lt;&gt;"Có",N96="Có"),OR(DANH_MUC!$L$7&lt;&gt;"Có",O96="Có"),OR(DANH_MUC!$L$8&lt;&gt;"Có",P96="Có")),"Có","Không"))</f>
        <v/>
      </c>
      <c r="R96" s="22">
        <f>IF($D96="","",IF(COUNTIF($D$2:$D96,$D96)&gt;1,"Trùng",""))</f>
        <v/>
      </c>
      <c r="S96" s="22">
        <f>IF($D96="","",IF(AND(LEN($D96)=10,LEFT($D96,1)="0",ISNUMBER(--$D96)),"Có","Không"))</f>
        <v/>
      </c>
      <c r="T96" s="22">
        <f>IF($D96="","",IF(AND($C96&lt;&gt;"",$Q96="Có",$R96="",$S96="Có",AND($L96&lt;&gt;"",OR($L96&lt;&gt;"Chưa xác định",DANH_MUC!$L$9="Có"))),"Có","Không"))</f>
        <v/>
      </c>
      <c r="U96" s="22">
        <f>IF(OR($D96="",$T96="Có"),"",IF($C96="","Thiếu họ tên; ","")&amp;IF($S96&lt;&gt;"Có","SĐT sai định dạng; ","")&amp;IF($R96="Trùng","Trùng SĐT; ","")&amp;IF($Q96&lt;&gt;"Có","Thiếu đồng ý bắt buộc; ","")&amp;IF($L96="","Thiếu/sai Mã REF; ",IF(AND($L96="Chưa xác định",DANH_MUC!$L$9&lt;&gt;"Có"),"Nguồn chưa xác định; ","")))</f>
        <v/>
      </c>
      <c r="V96" s="22">
        <f>IF(OR($D96="",$R96="Trùng"),"",IF(COUNTIF(ORDERS!$C$2:$C$4995,$D96)&gt;0,"Có","Không"))</f>
        <v/>
      </c>
      <c r="W96" s="22">
        <f>IF(OR($D96="",$R96="Trùng"),"",COUNTIFS(ORDERS!$C$2:$C$4995,$D96,ORDERS!$L$2:$L$4995,"Đã chuyển khoản"))</f>
        <v/>
      </c>
      <c r="X96" s="23">
        <f>IF(OR($D96="",$R96="Trùng"),"",SUMIFS(ORDERS!$J$2:$J$4995,ORDERS!$C$2:$C$4995,$D96,ORDERS!$L$2:$L$4995,"Đã chuyển khoản"))</f>
        <v/>
      </c>
      <c r="Y96" s="24" t="n"/>
    </row>
    <row r="97" ht="14.25" customHeight="1" s="40">
      <c r="A97" s="24" t="inlineStr">
        <is>
          <t>d6b6b246-9523-4292-9c26-84c3bc048cb6</t>
        </is>
      </c>
      <c r="B97" s="18" t="n">
        <v>46291.32847222222</v>
      </c>
      <c r="C97" s="24" t="inlineStr">
        <is>
          <t>Ngô Từ Ái Mỹ</t>
        </is>
      </c>
      <c r="D97" s="28" t="inlineStr">
        <is>
          <t>0367776534</t>
        </is>
      </c>
      <c r="E97" s="29" t="n">
        <v>46375</v>
      </c>
      <c r="F97" s="24" t="inlineStr">
        <is>
          <t>Đang mang thai</t>
        </is>
      </c>
      <c r="G97" s="24" t="inlineStr">
        <is>
          <t>Đồng Nai</t>
        </is>
      </c>
      <c r="H97" s="21">
        <f>IF(ISNUMBER($B97),INT($B97)-WEEKDAY($B97,2)+1,"")</f>
        <v/>
      </c>
      <c r="I97" s="24" t="inlineStr">
        <is>
          <t>Z-SHING</t>
        </is>
      </c>
      <c r="J97" s="22">
        <f t="array" ref="J97">IF($D97="","",IF($I97="","(trống REF)",IFERROR(INDEX(MASTER_SOURCE!$B$2:$B$495,MATCH($I97,MASTER_SOURCE!$A$2:$A$495,0)),"(REF không có trong MASTER_SOURCE)")))</f>
        <v/>
      </c>
      <c r="K97" s="22">
        <f t="array" ref="K97">IF($D97="","",IFERROR(INDEX(MASTER_SOURCE!$C$2:$C$495,MATCH($I97,MASTER_SOURCE!$A$2:$A$495,0)),""))</f>
        <v/>
      </c>
      <c r="L97" s="22">
        <f t="array" ref="L97">IF($D97="","",IFERROR(INDEX(MASTER_SOURCE!$D$2:$D$495,MATCH($I97,MASTER_SOURCE!$A$2:$A$495,0)),""))</f>
        <v/>
      </c>
      <c r="M97" s="24" t="inlineStr">
        <is>
          <t>Có</t>
        </is>
      </c>
      <c r="N97" s="24" t="inlineStr">
        <is>
          <t>Không</t>
        </is>
      </c>
      <c r="O97" s="24" t="inlineStr">
        <is>
          <t>Không</t>
        </is>
      </c>
      <c r="P97" s="24" t="inlineStr">
        <is>
          <t>Không</t>
        </is>
      </c>
      <c r="Q97" s="22">
        <f>IF($D97="","",IF(AND(OR(DANH_MUC!$L$5&lt;&gt;"Có",M97="Có"),OR(DANH_MUC!$L$6&lt;&gt;"Có",N97="Có"),OR(DANH_MUC!$L$7&lt;&gt;"Có",O97="Có"),OR(DANH_MUC!$L$8&lt;&gt;"Có",P97="Có")),"Có","Không"))</f>
        <v/>
      </c>
      <c r="R97" s="22">
        <f>IF($D97="","",IF(COUNTIF($D$2:$D97,$D97)&gt;1,"Trùng",""))</f>
        <v/>
      </c>
      <c r="S97" s="22">
        <f>IF($D97="","",IF(AND(LEN($D97)=10,LEFT($D97,1)="0",ISNUMBER(--$D97)),"Có","Không"))</f>
        <v/>
      </c>
      <c r="T97" s="22">
        <f>IF($D97="","",IF(AND($C97&lt;&gt;"",$Q97="Có",$R97="",$S97="Có",AND($L97&lt;&gt;"",OR($L97&lt;&gt;"Chưa xác định",DANH_MUC!$L$9="Có"))),"Có","Không"))</f>
        <v/>
      </c>
      <c r="U97" s="22">
        <f>IF(OR($D97="",$T97="Có"),"",IF($C97="","Thiếu họ tên; ","")&amp;IF($S97&lt;&gt;"Có","SĐT sai định dạng; ","")&amp;IF($R97="Trùng","Trùng SĐT; ","")&amp;IF($Q97&lt;&gt;"Có","Thiếu đồng ý bắt buộc; ","")&amp;IF($L97="","Thiếu/sai Mã REF; ",IF(AND($L97="Chưa xác định",DANH_MUC!$L$9&lt;&gt;"Có"),"Nguồn chưa xác định; ","")))</f>
        <v/>
      </c>
      <c r="V97" s="22">
        <f>IF(OR($D97="",$R97="Trùng"),"",IF(COUNTIF(ORDERS!$C$2:$C$4995,$D97)&gt;0,"Có","Không"))</f>
        <v/>
      </c>
      <c r="W97" s="22">
        <f>IF(OR($D97="",$R97="Trùng"),"",COUNTIFS(ORDERS!$C$2:$C$4995,$D97,ORDERS!$L$2:$L$4995,"Đã chuyển khoản"))</f>
        <v/>
      </c>
      <c r="X97" s="23">
        <f>IF(OR($D97="",$R97="Trùng"),"",SUMIFS(ORDERS!$J$2:$J$4995,ORDERS!$C$2:$C$4995,$D97,ORDERS!$L$2:$L$4995,"Đã chuyển khoản"))</f>
        <v/>
      </c>
      <c r="Y97" s="24" t="n"/>
    </row>
    <row r="98" ht="14.25" customHeight="1" s="40">
      <c r="A98" s="24" t="inlineStr">
        <is>
          <t>6a87da19-c868-42f4-9eb2-1bc7cc25ca30</t>
        </is>
      </c>
      <c r="B98" s="18" t="n">
        <v>46291.32986111111</v>
      </c>
      <c r="C98" s="24" t="inlineStr">
        <is>
          <t>Đỗ Lê Kim Trang</t>
        </is>
      </c>
      <c r="D98" s="28" t="inlineStr">
        <is>
          <t>0378812298</t>
        </is>
      </c>
      <c r="E98" s="29" t="n">
        <v>46351</v>
      </c>
      <c r="F98" s="24" t="inlineStr">
        <is>
          <t>Đang mang thai</t>
        </is>
      </c>
      <c r="G98" s="24" t="inlineStr">
        <is>
          <t>Đồng Nai</t>
        </is>
      </c>
      <c r="H98" s="21">
        <f>IF(ISNUMBER($B98),INT($B98)-WEEKDAY($B98,2)+1,"")</f>
        <v/>
      </c>
      <c r="I98" s="24" t="inlineStr">
        <is>
          <t>Z-SHING</t>
        </is>
      </c>
      <c r="J98" s="22">
        <f t="array" ref="J98">IF($D98="","",IF($I98="","(trống REF)",IFERROR(INDEX(MASTER_SOURCE!$B$2:$B$495,MATCH($I98,MASTER_SOURCE!$A$2:$A$495,0)),"(REF không có trong MASTER_SOURCE)")))</f>
        <v/>
      </c>
      <c r="K98" s="22">
        <f t="array" ref="K98">IF($D98="","",IFERROR(INDEX(MASTER_SOURCE!$C$2:$C$495,MATCH($I98,MASTER_SOURCE!$A$2:$A$495,0)),""))</f>
        <v/>
      </c>
      <c r="L98" s="22">
        <f t="array" ref="L98">IF($D98="","",IFERROR(INDEX(MASTER_SOURCE!$D$2:$D$495,MATCH($I98,MASTER_SOURCE!$A$2:$A$495,0)),""))</f>
        <v/>
      </c>
      <c r="M98" s="24" t="inlineStr">
        <is>
          <t>Có</t>
        </is>
      </c>
      <c r="N98" s="24" t="inlineStr">
        <is>
          <t>Có</t>
        </is>
      </c>
      <c r="O98" s="24" t="inlineStr">
        <is>
          <t>Có</t>
        </is>
      </c>
      <c r="P98" s="24" t="inlineStr">
        <is>
          <t>Có</t>
        </is>
      </c>
      <c r="Q98" s="22">
        <f>IF($D98="","",IF(AND(OR(DANH_MUC!$L$5&lt;&gt;"Có",M98="Có"),OR(DANH_MUC!$L$6&lt;&gt;"Có",N98="Có"),OR(DANH_MUC!$L$7&lt;&gt;"Có",O98="Có"),OR(DANH_MUC!$L$8&lt;&gt;"Có",P98="Có")),"Có","Không"))</f>
        <v/>
      </c>
      <c r="R98" s="22">
        <f>IF($D98="","",IF(COUNTIF($D$2:$D98,$D98)&gt;1,"Trùng",""))</f>
        <v/>
      </c>
      <c r="S98" s="22">
        <f>IF($D98="","",IF(AND(LEN($D98)=10,LEFT($D98,1)="0",ISNUMBER(--$D98)),"Có","Không"))</f>
        <v/>
      </c>
      <c r="T98" s="22">
        <f>IF($D98="","",IF(AND($C98&lt;&gt;"",$Q98="Có",$R98="",$S98="Có",AND($L98&lt;&gt;"",OR($L98&lt;&gt;"Chưa xác định",DANH_MUC!$L$9="Có"))),"Có","Không"))</f>
        <v/>
      </c>
      <c r="U98" s="22">
        <f>IF(OR($D98="",$T98="Có"),"",IF($C98="","Thiếu họ tên; ","")&amp;IF($S98&lt;&gt;"Có","SĐT sai định dạng; ","")&amp;IF($R98="Trùng","Trùng SĐT; ","")&amp;IF($Q98&lt;&gt;"Có","Thiếu đồng ý bắt buộc; ","")&amp;IF($L98="","Thiếu/sai Mã REF; ",IF(AND($L98="Chưa xác định",DANH_MUC!$L$9&lt;&gt;"Có"),"Nguồn chưa xác định; ","")))</f>
        <v/>
      </c>
      <c r="V98" s="22">
        <f>IF(OR($D98="",$R98="Trùng"),"",IF(COUNTIF(ORDERS!$C$2:$C$4995,$D98)&gt;0,"Có","Không"))</f>
        <v/>
      </c>
      <c r="W98" s="22">
        <f>IF(OR($D98="",$R98="Trùng"),"",COUNTIFS(ORDERS!$C$2:$C$4995,$D98,ORDERS!$L$2:$L$4995,"Đã chuyển khoản"))</f>
        <v/>
      </c>
      <c r="X98" s="23">
        <f>IF(OR($D98="",$R98="Trùng"),"",SUMIFS(ORDERS!$J$2:$J$4995,ORDERS!$C$2:$C$4995,$D98,ORDERS!$L$2:$L$4995,"Đã chuyển khoản"))</f>
        <v/>
      </c>
      <c r="Y98" s="24" t="n"/>
    </row>
    <row r="99" ht="14.25" customHeight="1" s="40">
      <c r="A99" s="24" t="inlineStr">
        <is>
          <t>9539c4f9-70b5-4641-84e1-821e06c88798</t>
        </is>
      </c>
      <c r="B99" s="18" t="n">
        <v>46291.32986111111</v>
      </c>
      <c r="C99" s="24" t="inlineStr">
        <is>
          <t>Vũ Nguyễn Quỳnh Hương</t>
        </is>
      </c>
      <c r="D99" s="28" t="inlineStr">
        <is>
          <t>0898466736</t>
        </is>
      </c>
      <c r="E99" s="29" t="n">
        <v>46339</v>
      </c>
      <c r="F99" s="24" t="inlineStr">
        <is>
          <t>Đang mang thai</t>
        </is>
      </c>
      <c r="G99" s="24" t="inlineStr">
        <is>
          <t>Hồ Chí Minh</t>
        </is>
      </c>
      <c r="H99" s="21">
        <f>IF(ISNUMBER($B99),INT($B99)-WEEKDAY($B99,2)+1,"")</f>
        <v/>
      </c>
      <c r="I99" s="24" t="inlineStr">
        <is>
          <t>Z-SHING</t>
        </is>
      </c>
      <c r="J99" s="22">
        <f t="array" ref="J99">IF($D99="","",IF($I99="","(trống REF)",IFERROR(INDEX(MASTER_SOURCE!$B$2:$B$495,MATCH($I99,MASTER_SOURCE!$A$2:$A$495,0)),"(REF không có trong MASTER_SOURCE)")))</f>
        <v/>
      </c>
      <c r="K99" s="22">
        <f t="array" ref="K99">IF($D99="","",IFERROR(INDEX(MASTER_SOURCE!$C$2:$C$495,MATCH($I99,MASTER_SOURCE!$A$2:$A$495,0)),""))</f>
        <v/>
      </c>
      <c r="L99" s="22">
        <f t="array" ref="L99">IF($D99="","",IFERROR(INDEX(MASTER_SOURCE!$D$2:$D$495,MATCH($I99,MASTER_SOURCE!$A$2:$A$495,0)),""))</f>
        <v/>
      </c>
      <c r="M99" s="24" t="inlineStr">
        <is>
          <t>Có</t>
        </is>
      </c>
      <c r="N99" s="24" t="inlineStr">
        <is>
          <t>Có</t>
        </is>
      </c>
      <c r="O99" s="24" t="inlineStr">
        <is>
          <t>Có</t>
        </is>
      </c>
      <c r="P99" s="24" t="inlineStr">
        <is>
          <t>Có</t>
        </is>
      </c>
      <c r="Q99" s="22">
        <f>IF($D99="","",IF(AND(OR(DANH_MUC!$L$5&lt;&gt;"Có",M99="Có"),OR(DANH_MUC!$L$6&lt;&gt;"Có",N99="Có"),OR(DANH_MUC!$L$7&lt;&gt;"Có",O99="Có"),OR(DANH_MUC!$L$8&lt;&gt;"Có",P99="Có")),"Có","Không"))</f>
        <v/>
      </c>
      <c r="R99" s="22">
        <f>IF($D99="","",IF(COUNTIF($D$2:$D99,$D99)&gt;1,"Trùng",""))</f>
        <v/>
      </c>
      <c r="S99" s="22">
        <f>IF($D99="","",IF(AND(LEN($D99)=10,LEFT($D99,1)="0",ISNUMBER(--$D99)),"Có","Không"))</f>
        <v/>
      </c>
      <c r="T99" s="22">
        <f>IF($D99="","",IF(AND($C99&lt;&gt;"",$Q99="Có",$R99="",$S99="Có",AND($L99&lt;&gt;"",OR($L99&lt;&gt;"Chưa xác định",DANH_MUC!$L$9="Có"))),"Có","Không"))</f>
        <v/>
      </c>
      <c r="U99" s="22">
        <f>IF(OR($D99="",$T99="Có"),"",IF($C99="","Thiếu họ tên; ","")&amp;IF($S99&lt;&gt;"Có","SĐT sai định dạng; ","")&amp;IF($R99="Trùng","Trùng SĐT; ","")&amp;IF($Q99&lt;&gt;"Có","Thiếu đồng ý bắt buộc; ","")&amp;IF($L99="","Thiếu/sai Mã REF; ",IF(AND($L99="Chưa xác định",DANH_MUC!$L$9&lt;&gt;"Có"),"Nguồn chưa xác định; ","")))</f>
        <v/>
      </c>
      <c r="V99" s="22">
        <f>IF(OR($D99="",$R99="Trùng"),"",IF(COUNTIF(ORDERS!$C$2:$C$4995,$D99)&gt;0,"Có","Không"))</f>
        <v/>
      </c>
      <c r="W99" s="22">
        <f>IF(OR($D99="",$R99="Trùng"),"",COUNTIFS(ORDERS!$C$2:$C$4995,$D99,ORDERS!$L$2:$L$4995,"Đã chuyển khoản"))</f>
        <v/>
      </c>
      <c r="X99" s="23">
        <f>IF(OR($D99="",$R99="Trùng"),"",SUMIFS(ORDERS!$J$2:$J$4995,ORDERS!$C$2:$C$4995,$D99,ORDERS!$L$2:$L$4995,"Đã chuyển khoản"))</f>
        <v/>
      </c>
      <c r="Y99" s="24" t="n"/>
    </row>
    <row r="100" ht="14.25" customHeight="1" s="40">
      <c r="A100" s="24" t="inlineStr">
        <is>
          <t>8945e310-1a34-4fd9-b39b-b4ee6f22347c</t>
        </is>
      </c>
      <c r="B100" s="18" t="n">
        <v>46291.33125</v>
      </c>
      <c r="C100" s="24" t="inlineStr">
        <is>
          <t>Cẩm Linh</t>
        </is>
      </c>
      <c r="D100" s="28" t="inlineStr">
        <is>
          <t>0369851565</t>
        </is>
      </c>
      <c r="E100" s="29" t="n">
        <v>46355</v>
      </c>
      <c r="F100" s="24" t="inlineStr">
        <is>
          <t>Đang mang thai</t>
        </is>
      </c>
      <c r="G100" s="24" t="inlineStr">
        <is>
          <t>Hồ Chí Minh</t>
        </is>
      </c>
      <c r="H100" s="21">
        <f>IF(ISNUMBER($B100),INT($B100)-WEEKDAY($B100,2)+1,"")</f>
        <v/>
      </c>
      <c r="I100" s="24" t="inlineStr">
        <is>
          <t>Z-SHING</t>
        </is>
      </c>
      <c r="J100" s="22">
        <f t="array" ref="J100">IF($D100="","",IF($I100="","(trống REF)",IFERROR(INDEX(MASTER_SOURCE!$B$2:$B$495,MATCH($I100,MASTER_SOURCE!$A$2:$A$495,0)),"(REF không có trong MASTER_SOURCE)")))</f>
        <v/>
      </c>
      <c r="K100" s="22">
        <f t="array" ref="K100">IF($D100="","",IFERROR(INDEX(MASTER_SOURCE!$C$2:$C$495,MATCH($I100,MASTER_SOURCE!$A$2:$A$495,0)),""))</f>
        <v/>
      </c>
      <c r="L100" s="22">
        <f t="array" ref="L100">IF($D100="","",IFERROR(INDEX(MASTER_SOURCE!$D$2:$D$495,MATCH($I100,MASTER_SOURCE!$A$2:$A$495,0)),""))</f>
        <v/>
      </c>
      <c r="M100" s="24" t="inlineStr">
        <is>
          <t>Có</t>
        </is>
      </c>
      <c r="N100" s="24" t="inlineStr">
        <is>
          <t>Có</t>
        </is>
      </c>
      <c r="O100" s="24" t="inlineStr">
        <is>
          <t>Có</t>
        </is>
      </c>
      <c r="P100" s="24" t="inlineStr">
        <is>
          <t>Có</t>
        </is>
      </c>
      <c r="Q100" s="22">
        <f>IF($D100="","",IF(AND(OR(DANH_MUC!$L$5&lt;&gt;"Có",M100="Có"),OR(DANH_MUC!$L$6&lt;&gt;"Có",N100="Có"),OR(DANH_MUC!$L$7&lt;&gt;"Có",O100="Có"),OR(DANH_MUC!$L$8&lt;&gt;"Có",P100="Có")),"Có","Không"))</f>
        <v/>
      </c>
      <c r="R100" s="22">
        <f>IF($D100="","",IF(COUNTIF($D$2:$D100,$D100)&gt;1,"Trùng",""))</f>
        <v/>
      </c>
      <c r="S100" s="22">
        <f>IF($D100="","",IF(AND(LEN($D100)=10,LEFT($D100,1)="0",ISNUMBER(--$D100)),"Có","Không"))</f>
        <v/>
      </c>
      <c r="T100" s="22">
        <f>IF($D100="","",IF(AND($C100&lt;&gt;"",$Q100="Có",$R100="",$S100="Có",AND($L100&lt;&gt;"",OR($L100&lt;&gt;"Chưa xác định",DANH_MUC!$L$9="Có"))),"Có","Không"))</f>
        <v/>
      </c>
      <c r="U100" s="22">
        <f>IF(OR($D100="",$T100="Có"),"",IF($C100="","Thiếu họ tên; ","")&amp;IF($S100&lt;&gt;"Có","SĐT sai định dạng; ","")&amp;IF($R100="Trùng","Trùng SĐT; ","")&amp;IF($Q100&lt;&gt;"Có","Thiếu đồng ý bắt buộc; ","")&amp;IF($L100="","Thiếu/sai Mã REF; ",IF(AND($L100="Chưa xác định",DANH_MUC!$L$9&lt;&gt;"Có"),"Nguồn chưa xác định; ","")))</f>
        <v/>
      </c>
      <c r="V100" s="22">
        <f>IF(OR($D100="",$R100="Trùng"),"",IF(COUNTIF(ORDERS!$C$2:$C$4995,$D100)&gt;0,"Có","Không"))</f>
        <v/>
      </c>
      <c r="W100" s="22">
        <f>IF(OR($D100="",$R100="Trùng"),"",COUNTIFS(ORDERS!$C$2:$C$4995,$D100,ORDERS!$L$2:$L$4995,"Đã chuyển khoản"))</f>
        <v/>
      </c>
      <c r="X100" s="23">
        <f>IF(OR($D100="",$R100="Trùng"),"",SUMIFS(ORDERS!$J$2:$J$4995,ORDERS!$C$2:$C$4995,$D100,ORDERS!$L$2:$L$4995,"Đã chuyển khoản"))</f>
        <v/>
      </c>
      <c r="Y100" s="24" t="n"/>
    </row>
    <row r="101" ht="14.25" customHeight="1" s="40">
      <c r="A101" s="24" t="inlineStr">
        <is>
          <t>57f77588-2020-4b5a-92df-27e5674e3330</t>
        </is>
      </c>
      <c r="B101" s="18" t="n">
        <v>46291.33402777778</v>
      </c>
      <c r="C101" s="24" t="inlineStr">
        <is>
          <t>Kiều Hương</t>
        </is>
      </c>
      <c r="D101" s="28" t="inlineStr">
        <is>
          <t>0395772883</t>
        </is>
      </c>
      <c r="E101" s="29" t="n">
        <v>46319</v>
      </c>
      <c r="F101" s="24" t="inlineStr">
        <is>
          <t>Đang mang thai</t>
        </is>
      </c>
      <c r="G101" s="24" t="inlineStr">
        <is>
          <t>Đồng Nai</t>
        </is>
      </c>
      <c r="H101" s="21">
        <f>IF(ISNUMBER($B101),INT($B101)-WEEKDAY($B101,2)+1,"")</f>
        <v/>
      </c>
      <c r="I101" s="24" t="inlineStr">
        <is>
          <t>Z-SHING</t>
        </is>
      </c>
      <c r="J101" s="22">
        <f t="array" ref="J101">IF($D101="","",IF($I101="","(trống REF)",IFERROR(INDEX(MASTER_SOURCE!$B$2:$B$495,MATCH($I101,MASTER_SOURCE!$A$2:$A$495,0)),"(REF không có trong MASTER_SOURCE)")))</f>
        <v/>
      </c>
      <c r="K101" s="22">
        <f t="array" ref="K101">IF($D101="","",IFERROR(INDEX(MASTER_SOURCE!$C$2:$C$495,MATCH($I101,MASTER_SOURCE!$A$2:$A$495,0)),""))</f>
        <v/>
      </c>
      <c r="L101" s="22">
        <f t="array" ref="L101">IF($D101="","",IFERROR(INDEX(MASTER_SOURCE!$D$2:$D$495,MATCH($I101,MASTER_SOURCE!$A$2:$A$495,0)),""))</f>
        <v/>
      </c>
      <c r="M101" s="24" t="inlineStr">
        <is>
          <t>Có</t>
        </is>
      </c>
      <c r="N101" s="24" t="inlineStr">
        <is>
          <t>Có</t>
        </is>
      </c>
      <c r="O101" s="24" t="inlineStr">
        <is>
          <t>Có</t>
        </is>
      </c>
      <c r="P101" s="24" t="inlineStr">
        <is>
          <t>Có</t>
        </is>
      </c>
      <c r="Q101" s="22">
        <f>IF($D101="","",IF(AND(OR(DANH_MUC!$L$5&lt;&gt;"Có",M101="Có"),OR(DANH_MUC!$L$6&lt;&gt;"Có",N101="Có"),OR(DANH_MUC!$L$7&lt;&gt;"Có",O101="Có"),OR(DANH_MUC!$L$8&lt;&gt;"Có",P101="Có")),"Có","Không"))</f>
        <v/>
      </c>
      <c r="R101" s="22">
        <f>IF($D101="","",IF(COUNTIF($D$2:$D101,$D101)&gt;1,"Trùng",""))</f>
        <v/>
      </c>
      <c r="S101" s="22">
        <f>IF($D101="","",IF(AND(LEN($D101)=10,LEFT($D101,1)="0",ISNUMBER(--$D101)),"Có","Không"))</f>
        <v/>
      </c>
      <c r="T101" s="22">
        <f>IF($D101="","",IF(AND($C101&lt;&gt;"",$Q101="Có",$R101="",$S101="Có",AND($L101&lt;&gt;"",OR($L101&lt;&gt;"Chưa xác định",DANH_MUC!$L$9="Có"))),"Có","Không"))</f>
        <v/>
      </c>
      <c r="U101" s="22">
        <f>IF(OR($D101="",$T101="Có"),"",IF($C101="","Thiếu họ tên; ","")&amp;IF($S101&lt;&gt;"Có","SĐT sai định dạng; ","")&amp;IF($R101="Trùng","Trùng SĐT; ","")&amp;IF($Q101&lt;&gt;"Có","Thiếu đồng ý bắt buộc; ","")&amp;IF($L101="","Thiếu/sai Mã REF; ",IF(AND($L101="Chưa xác định",DANH_MUC!$L$9&lt;&gt;"Có"),"Nguồn chưa xác định; ","")))</f>
        <v/>
      </c>
      <c r="V101" s="22">
        <f>IF(OR($D101="",$R101="Trùng"),"",IF(COUNTIF(ORDERS!$C$2:$C$4995,$D101)&gt;0,"Có","Không"))</f>
        <v/>
      </c>
      <c r="W101" s="22">
        <f>IF(OR($D101="",$R101="Trùng"),"",COUNTIFS(ORDERS!$C$2:$C$4995,$D101,ORDERS!$L$2:$L$4995,"Đã chuyển khoản"))</f>
        <v/>
      </c>
      <c r="X101" s="23">
        <f>IF(OR($D101="",$R101="Trùng"),"",SUMIFS(ORDERS!$J$2:$J$4995,ORDERS!$C$2:$C$4995,$D101,ORDERS!$L$2:$L$4995,"Đã chuyển khoản"))</f>
        <v/>
      </c>
      <c r="Y101" s="24" t="n"/>
    </row>
    <row r="102" ht="14.25" customHeight="1" s="40">
      <c r="A102" s="24" t="inlineStr">
        <is>
          <t>1e354389-a846-4012-94ed-a8d020fd87b0</t>
        </is>
      </c>
      <c r="B102" s="18" t="n">
        <v>46291.33402777778</v>
      </c>
      <c r="C102" s="24" t="inlineStr">
        <is>
          <t>Lê thị ý nhi</t>
        </is>
      </c>
      <c r="D102" s="28" t="inlineStr">
        <is>
          <t>0708624072</t>
        </is>
      </c>
      <c r="E102" s="29" t="n">
        <v>46338</v>
      </c>
      <c r="F102" s="24" t="inlineStr">
        <is>
          <t>Đang mang thai</t>
        </is>
      </c>
      <c r="G102" s="24" t="inlineStr">
        <is>
          <t>Đồng Nai</t>
        </is>
      </c>
      <c r="H102" s="21">
        <f>IF(ISNUMBER($B102),INT($B102)-WEEKDAY($B102,2)+1,"")</f>
        <v/>
      </c>
      <c r="I102" s="24" t="inlineStr">
        <is>
          <t>Z-SHING</t>
        </is>
      </c>
      <c r="J102" s="22">
        <f t="array" ref="J102">IF($D102="","",IF($I102="","(trống REF)",IFERROR(INDEX(MASTER_SOURCE!$B$2:$B$495,MATCH($I102,MASTER_SOURCE!$A$2:$A$495,0)),"(REF không có trong MASTER_SOURCE)")))</f>
        <v/>
      </c>
      <c r="K102" s="22">
        <f t="array" ref="K102">IF($D102="","",IFERROR(INDEX(MASTER_SOURCE!$C$2:$C$495,MATCH($I102,MASTER_SOURCE!$A$2:$A$495,0)),""))</f>
        <v/>
      </c>
      <c r="L102" s="22">
        <f t="array" ref="L102">IF($D102="","",IFERROR(INDEX(MASTER_SOURCE!$D$2:$D$495,MATCH($I102,MASTER_SOURCE!$A$2:$A$495,0)),""))</f>
        <v/>
      </c>
      <c r="M102" s="24" t="inlineStr">
        <is>
          <t>Có</t>
        </is>
      </c>
      <c r="N102" s="24" t="inlineStr">
        <is>
          <t>Có</t>
        </is>
      </c>
      <c r="O102" s="24" t="inlineStr">
        <is>
          <t>Có</t>
        </is>
      </c>
      <c r="P102" s="24" t="inlineStr">
        <is>
          <t>Có</t>
        </is>
      </c>
      <c r="Q102" s="22">
        <f>IF($D102="","",IF(AND(OR(DANH_MUC!$L$5&lt;&gt;"Có",M102="Có"),OR(DANH_MUC!$L$6&lt;&gt;"Có",N102="Có"),OR(DANH_MUC!$L$7&lt;&gt;"Có",O102="Có"),OR(DANH_MUC!$L$8&lt;&gt;"Có",P102="Có")),"Có","Không"))</f>
        <v/>
      </c>
      <c r="R102" s="22">
        <f>IF($D102="","",IF(COUNTIF($D$2:$D102,$D102)&gt;1,"Trùng",""))</f>
        <v/>
      </c>
      <c r="S102" s="22">
        <f>IF($D102="","",IF(AND(LEN($D102)=10,LEFT($D102,1)="0",ISNUMBER(--$D102)),"Có","Không"))</f>
        <v/>
      </c>
      <c r="T102" s="22">
        <f>IF($D102="","",IF(AND($C102&lt;&gt;"",$Q102="Có",$R102="",$S102="Có",AND($L102&lt;&gt;"",OR($L102&lt;&gt;"Chưa xác định",DANH_MUC!$L$9="Có"))),"Có","Không"))</f>
        <v/>
      </c>
      <c r="U102" s="22">
        <f>IF(OR($D102="",$T102="Có"),"",IF($C102="","Thiếu họ tên; ","")&amp;IF($S102&lt;&gt;"Có","SĐT sai định dạng; ","")&amp;IF($R102="Trùng","Trùng SĐT; ","")&amp;IF($Q102&lt;&gt;"Có","Thiếu đồng ý bắt buộc; ","")&amp;IF($L102="","Thiếu/sai Mã REF; ",IF(AND($L102="Chưa xác định",DANH_MUC!$L$9&lt;&gt;"Có"),"Nguồn chưa xác định; ","")))</f>
        <v/>
      </c>
      <c r="V102" s="22">
        <f>IF(OR($D102="",$R102="Trùng"),"",IF(COUNTIF(ORDERS!$C$2:$C$4995,$D102)&gt;0,"Có","Không"))</f>
        <v/>
      </c>
      <c r="W102" s="22">
        <f>IF(OR($D102="",$R102="Trùng"),"",COUNTIFS(ORDERS!$C$2:$C$4995,$D102,ORDERS!$L$2:$L$4995,"Đã chuyển khoản"))</f>
        <v/>
      </c>
      <c r="X102" s="23">
        <f>IF(OR($D102="",$R102="Trùng"),"",SUMIFS(ORDERS!$J$2:$J$4995,ORDERS!$C$2:$C$4995,$D102,ORDERS!$L$2:$L$4995,"Đã chuyển khoản"))</f>
        <v/>
      </c>
      <c r="Y102" s="24" t="n"/>
    </row>
    <row r="103" ht="14.25" customHeight="1" s="40">
      <c r="A103" s="24" t="inlineStr">
        <is>
          <t>9e814d4b-3f9b-4eeb-9c40-59716983b879</t>
        </is>
      </c>
      <c r="B103" s="18" t="n">
        <v>46291.33472222222</v>
      </c>
      <c r="C103" s="24" t="inlineStr">
        <is>
          <t>Nguyễn Thị Liên</t>
        </is>
      </c>
      <c r="D103" s="28" t="inlineStr">
        <is>
          <t>0971631528</t>
        </is>
      </c>
      <c r="E103" s="29" t="n">
        <v>46373</v>
      </c>
      <c r="F103" s="24" t="inlineStr">
        <is>
          <t>Đang mang thai</t>
        </is>
      </c>
      <c r="G103" s="24" t="inlineStr">
        <is>
          <t>Hải Phòng</t>
        </is>
      </c>
      <c r="H103" s="21">
        <f>IF(ISNUMBER($B103),INT($B103)-WEEKDAY($B103,2)+1,"")</f>
        <v/>
      </c>
      <c r="I103" s="24" t="inlineStr">
        <is>
          <t>Z-GREEN</t>
        </is>
      </c>
      <c r="J103" s="22">
        <f t="array" ref="J103">IF($D103="","",IF($I103="","(trống REF)",IFERROR(INDEX(MASTER_SOURCE!$B$2:$B$495,MATCH($I103,MASTER_SOURCE!$A$2:$A$495,0)),"(REF không có trong MASTER_SOURCE)")))</f>
        <v/>
      </c>
      <c r="K103" s="22">
        <f t="array" ref="K103">IF($D103="","",IFERROR(INDEX(MASTER_SOURCE!$C$2:$C$495,MATCH($I103,MASTER_SOURCE!$A$2:$A$495,0)),""))</f>
        <v/>
      </c>
      <c r="L103" s="22">
        <f t="array" ref="L103">IF($D103="","",IFERROR(INDEX(MASTER_SOURCE!$D$2:$D$495,MATCH($I103,MASTER_SOURCE!$A$2:$A$495,0)),""))</f>
        <v/>
      </c>
      <c r="M103" s="24" t="inlineStr">
        <is>
          <t>Có</t>
        </is>
      </c>
      <c r="N103" s="24" t="inlineStr">
        <is>
          <t>Có</t>
        </is>
      </c>
      <c r="O103" s="24" t="inlineStr">
        <is>
          <t>Có</t>
        </is>
      </c>
      <c r="P103" s="24" t="inlineStr">
        <is>
          <t>Có</t>
        </is>
      </c>
      <c r="Q103" s="22">
        <f>IF($D103="","",IF(AND(OR(DANH_MUC!$L$5&lt;&gt;"Có",M103="Có"),OR(DANH_MUC!$L$6&lt;&gt;"Có",N103="Có"),OR(DANH_MUC!$L$7&lt;&gt;"Có",O103="Có"),OR(DANH_MUC!$L$8&lt;&gt;"Có",P103="Có")),"Có","Không"))</f>
        <v/>
      </c>
      <c r="R103" s="22">
        <f>IF($D103="","",IF(COUNTIF($D$2:$D103,$D103)&gt;1,"Trùng",""))</f>
        <v/>
      </c>
      <c r="S103" s="22">
        <f>IF($D103="","",IF(AND(LEN($D103)=10,LEFT($D103,1)="0",ISNUMBER(--$D103)),"Có","Không"))</f>
        <v/>
      </c>
      <c r="T103" s="22">
        <f>IF($D103="","",IF(AND($C103&lt;&gt;"",$Q103="Có",$R103="",$S103="Có",AND($L103&lt;&gt;"",OR($L103&lt;&gt;"Chưa xác định",DANH_MUC!$L$9="Có"))),"Có","Không"))</f>
        <v/>
      </c>
      <c r="U103" s="22">
        <f>IF(OR($D103="",$T103="Có"),"",IF($C103="","Thiếu họ tên; ","")&amp;IF($S103&lt;&gt;"Có","SĐT sai định dạng; ","")&amp;IF($R103="Trùng","Trùng SĐT; ","")&amp;IF($Q103&lt;&gt;"Có","Thiếu đồng ý bắt buộc; ","")&amp;IF($L103="","Thiếu/sai Mã REF; ",IF(AND($L103="Chưa xác định",DANH_MUC!$L$9&lt;&gt;"Có"),"Nguồn chưa xác định; ","")))</f>
        <v/>
      </c>
      <c r="V103" s="22">
        <f>IF(OR($D103="",$R103="Trùng"),"",IF(COUNTIF(ORDERS!$C$2:$C$4995,$D103)&gt;0,"Có","Không"))</f>
        <v/>
      </c>
      <c r="W103" s="22">
        <f>IF(OR($D103="",$R103="Trùng"),"",COUNTIFS(ORDERS!$C$2:$C$4995,$D103,ORDERS!$L$2:$L$4995,"Đã chuyển khoản"))</f>
        <v/>
      </c>
      <c r="X103" s="23">
        <f>IF(OR($D103="",$R103="Trùng"),"",SUMIFS(ORDERS!$J$2:$J$4995,ORDERS!$C$2:$C$4995,$D103,ORDERS!$L$2:$L$4995,"Đã chuyển khoản"))</f>
        <v/>
      </c>
      <c r="Y103" s="24" t="n"/>
    </row>
    <row r="104" ht="14.25" customHeight="1" s="40">
      <c r="A104" s="24" t="inlineStr">
        <is>
          <t>9b7528cc-25f3-4059-936a-bafe1c742237</t>
        </is>
      </c>
      <c r="B104" s="18" t="n">
        <v>46291.33472222222</v>
      </c>
      <c r="C104" s="24" t="inlineStr">
        <is>
          <t>Nguyễn Thạn Hương</t>
        </is>
      </c>
      <c r="D104" s="28" t="inlineStr">
        <is>
          <t>0384698687</t>
        </is>
      </c>
      <c r="E104" s="29" t="n">
        <v>46367</v>
      </c>
      <c r="F104" s="24" t="inlineStr">
        <is>
          <t>Đang mang thai</t>
        </is>
      </c>
      <c r="G104" s="24" t="inlineStr">
        <is>
          <t>Đồng Nai</t>
        </is>
      </c>
      <c r="H104" s="21">
        <f>IF(ISNUMBER($B104),INT($B104)-WEEKDAY($B104,2)+1,"")</f>
        <v/>
      </c>
      <c r="I104" s="24" t="inlineStr">
        <is>
          <t>C-SHING</t>
        </is>
      </c>
      <c r="J104" s="22">
        <f t="array" ref="J104">IF($D104="","",IF($I104="","(trống REF)",IFERROR(INDEX(MASTER_SOURCE!$B$2:$B$495,MATCH($I104,MASTER_SOURCE!$A$2:$A$495,0)),"(REF không có trong MASTER_SOURCE)")))</f>
        <v/>
      </c>
      <c r="K104" s="22">
        <f t="array" ref="K104">IF($D104="","",IFERROR(INDEX(MASTER_SOURCE!$C$2:$C$495,MATCH($I104,MASTER_SOURCE!$A$2:$A$495,0)),""))</f>
        <v/>
      </c>
      <c r="L104" s="22">
        <f t="array" ref="L104">IF($D104="","",IFERROR(INDEX(MASTER_SOURCE!$D$2:$D$495,MATCH($I104,MASTER_SOURCE!$A$2:$A$495,0)),""))</f>
        <v/>
      </c>
      <c r="M104" s="24" t="inlineStr">
        <is>
          <t>Có</t>
        </is>
      </c>
      <c r="N104" s="24" t="inlineStr">
        <is>
          <t>Có</t>
        </is>
      </c>
      <c r="O104" s="24" t="inlineStr">
        <is>
          <t>Có</t>
        </is>
      </c>
      <c r="P104" s="24" t="inlineStr">
        <is>
          <t>Có</t>
        </is>
      </c>
      <c r="Q104" s="22">
        <f>IF($D104="","",IF(AND(OR(DANH_MUC!$L$5&lt;&gt;"Có",M104="Có"),OR(DANH_MUC!$L$6&lt;&gt;"Có",N104="Có"),OR(DANH_MUC!$L$7&lt;&gt;"Có",O104="Có"),OR(DANH_MUC!$L$8&lt;&gt;"Có",P104="Có")),"Có","Không"))</f>
        <v/>
      </c>
      <c r="R104" s="22">
        <f>IF($D104="","",IF(COUNTIF($D$2:$D104,$D104)&gt;1,"Trùng",""))</f>
        <v/>
      </c>
      <c r="S104" s="22">
        <f>IF($D104="","",IF(AND(LEN($D104)=10,LEFT($D104,1)="0",ISNUMBER(--$D104)),"Có","Không"))</f>
        <v/>
      </c>
      <c r="T104" s="22">
        <f>IF($D104="","",IF(AND($C104&lt;&gt;"",$Q104="Có",$R104="",$S104="Có",AND($L104&lt;&gt;"",OR($L104&lt;&gt;"Chưa xác định",DANH_MUC!$L$9="Có"))),"Có","Không"))</f>
        <v/>
      </c>
      <c r="U104" s="22">
        <f>IF(OR($D104="",$T104="Có"),"",IF($C104="","Thiếu họ tên; ","")&amp;IF($S104&lt;&gt;"Có","SĐT sai định dạng; ","")&amp;IF($R104="Trùng","Trùng SĐT; ","")&amp;IF($Q104&lt;&gt;"Có","Thiếu đồng ý bắt buộc; ","")&amp;IF($L104="","Thiếu/sai Mã REF; ",IF(AND($L104="Chưa xác định",DANH_MUC!$L$9&lt;&gt;"Có"),"Nguồn chưa xác định; ","")))</f>
        <v/>
      </c>
      <c r="V104" s="22">
        <f>IF(OR($D104="",$R104="Trùng"),"",IF(COUNTIF(ORDERS!$C$2:$C$4995,$D104)&gt;0,"Có","Không"))</f>
        <v/>
      </c>
      <c r="W104" s="22">
        <f>IF(OR($D104="",$R104="Trùng"),"",COUNTIFS(ORDERS!$C$2:$C$4995,$D104,ORDERS!$L$2:$L$4995,"Đã chuyển khoản"))</f>
        <v/>
      </c>
      <c r="X104" s="23">
        <f>IF(OR($D104="",$R104="Trùng"),"",SUMIFS(ORDERS!$J$2:$J$4995,ORDERS!$C$2:$C$4995,$D104,ORDERS!$L$2:$L$4995,"Đã chuyển khoản"))</f>
        <v/>
      </c>
      <c r="Y104" s="24" t="n"/>
    </row>
    <row r="105" ht="14.25" customHeight="1" s="40">
      <c r="A105" s="24" t="inlineStr">
        <is>
          <t>43e61433-accd-45f5-9931-6b8fae1b9194</t>
        </is>
      </c>
      <c r="B105" s="18" t="n">
        <v>46291.33611111111</v>
      </c>
      <c r="C105" s="24" t="inlineStr">
        <is>
          <t>Đỗ hiếu hiền</t>
        </is>
      </c>
      <c r="D105" s="28" t="inlineStr">
        <is>
          <t>0933544591</t>
        </is>
      </c>
      <c r="E105" s="29" t="n">
        <v>46351</v>
      </c>
      <c r="F105" s="24" t="inlineStr">
        <is>
          <t>Đang mang thai</t>
        </is>
      </c>
      <c r="G105" s="24" t="inlineStr">
        <is>
          <t>Đồng Nai</t>
        </is>
      </c>
      <c r="H105" s="21">
        <f>IF(ISNUMBER($B105),INT($B105)-WEEKDAY($B105,2)+1,"")</f>
        <v/>
      </c>
      <c r="I105" s="24" t="inlineStr">
        <is>
          <t>C-SHING</t>
        </is>
      </c>
      <c r="J105" s="22">
        <f t="array" ref="J105">IF($D105="","",IF($I105="","(trống REF)",IFERROR(INDEX(MASTER_SOURCE!$B$2:$B$495,MATCH($I105,MASTER_SOURCE!$A$2:$A$495,0)),"(REF không có trong MASTER_SOURCE)")))</f>
        <v/>
      </c>
      <c r="K105" s="22">
        <f t="array" ref="K105">IF($D105="","",IFERROR(INDEX(MASTER_SOURCE!$C$2:$C$495,MATCH($I105,MASTER_SOURCE!$A$2:$A$495,0)),""))</f>
        <v/>
      </c>
      <c r="L105" s="22">
        <f t="array" ref="L105">IF($D105="","",IFERROR(INDEX(MASTER_SOURCE!$D$2:$D$495,MATCH($I105,MASTER_SOURCE!$A$2:$A$495,0)),""))</f>
        <v/>
      </c>
      <c r="M105" s="24" t="inlineStr">
        <is>
          <t>Có</t>
        </is>
      </c>
      <c r="N105" s="24" t="inlineStr">
        <is>
          <t>Có</t>
        </is>
      </c>
      <c r="O105" s="24" t="inlineStr">
        <is>
          <t>Có</t>
        </is>
      </c>
      <c r="P105" s="24" t="inlineStr">
        <is>
          <t>Có</t>
        </is>
      </c>
      <c r="Q105" s="22">
        <f>IF($D105="","",IF(AND(OR(DANH_MUC!$L$5&lt;&gt;"Có",M105="Có"),OR(DANH_MUC!$L$6&lt;&gt;"Có",N105="Có"),OR(DANH_MUC!$L$7&lt;&gt;"Có",O105="Có"),OR(DANH_MUC!$L$8&lt;&gt;"Có",P105="Có")),"Có","Không"))</f>
        <v/>
      </c>
      <c r="R105" s="22">
        <f>IF($D105="","",IF(COUNTIF($D$2:$D105,$D105)&gt;1,"Trùng",""))</f>
        <v/>
      </c>
      <c r="S105" s="22">
        <f>IF($D105="","",IF(AND(LEN($D105)=10,LEFT($D105,1)="0",ISNUMBER(--$D105)),"Có","Không"))</f>
        <v/>
      </c>
      <c r="T105" s="22">
        <f>IF($D105="","",IF(AND($C105&lt;&gt;"",$Q105="Có",$R105="",$S105="Có",AND($L105&lt;&gt;"",OR($L105&lt;&gt;"Chưa xác định",DANH_MUC!$L$9="Có"))),"Có","Không"))</f>
        <v/>
      </c>
      <c r="U105" s="22">
        <f>IF(OR($D105="",$T105="Có"),"",IF($C105="","Thiếu họ tên; ","")&amp;IF($S105&lt;&gt;"Có","SĐT sai định dạng; ","")&amp;IF($R105="Trùng","Trùng SĐT; ","")&amp;IF($Q105&lt;&gt;"Có","Thiếu đồng ý bắt buộc; ","")&amp;IF($L105="","Thiếu/sai Mã REF; ",IF(AND($L105="Chưa xác định",DANH_MUC!$L$9&lt;&gt;"Có"),"Nguồn chưa xác định; ","")))</f>
        <v/>
      </c>
      <c r="V105" s="22">
        <f>IF(OR($D105="",$R105="Trùng"),"",IF(COUNTIF(ORDERS!$C$2:$C$4995,$D105)&gt;0,"Có","Không"))</f>
        <v/>
      </c>
      <c r="W105" s="22">
        <f>IF(OR($D105="",$R105="Trùng"),"",COUNTIFS(ORDERS!$C$2:$C$4995,$D105,ORDERS!$L$2:$L$4995,"Đã chuyển khoản"))</f>
        <v/>
      </c>
      <c r="X105" s="23">
        <f>IF(OR($D105="",$R105="Trùng"),"",SUMIFS(ORDERS!$J$2:$J$4995,ORDERS!$C$2:$C$4995,$D105,ORDERS!$L$2:$L$4995,"Đã chuyển khoản"))</f>
        <v/>
      </c>
      <c r="Y105" s="24" t="n"/>
    </row>
    <row r="106" ht="14.25" customHeight="1" s="40">
      <c r="A106" s="24" t="inlineStr">
        <is>
          <t>a8fb08c5-f588-4dec-a96e-9b17806b02d1</t>
        </is>
      </c>
      <c r="B106" s="18" t="n">
        <v>46291.33611111111</v>
      </c>
      <c r="C106" s="24" t="inlineStr">
        <is>
          <t>Trịnh Ngọc Tuyền</t>
        </is>
      </c>
      <c r="D106" s="28" t="inlineStr">
        <is>
          <t>0902728603</t>
        </is>
      </c>
      <c r="E106" s="29" t="n">
        <v>46340</v>
      </c>
      <c r="F106" s="24" t="inlineStr">
        <is>
          <t>Đang mang thai</t>
        </is>
      </c>
      <c r="G106" s="24" t="inlineStr">
        <is>
          <t>Hồ Chí Minh</t>
        </is>
      </c>
      <c r="H106" s="21">
        <f>IF(ISNUMBER($B106),INT($B106)-WEEKDAY($B106,2)+1,"")</f>
        <v/>
      </c>
      <c r="I106" s="24" t="inlineStr">
        <is>
          <t>Z-SHING</t>
        </is>
      </c>
      <c r="J106" s="22">
        <f t="array" ref="J106">IF($D106="","",IF($I106="","(trống REF)",IFERROR(INDEX(MASTER_SOURCE!$B$2:$B$495,MATCH($I106,MASTER_SOURCE!$A$2:$A$495,0)),"(REF không có trong MASTER_SOURCE)")))</f>
        <v/>
      </c>
      <c r="K106" s="22">
        <f t="array" ref="K106">IF($D106="","",IFERROR(INDEX(MASTER_SOURCE!$C$2:$C$495,MATCH($I106,MASTER_SOURCE!$A$2:$A$495,0)),""))</f>
        <v/>
      </c>
      <c r="L106" s="22">
        <f t="array" ref="L106">IF($D106="","",IFERROR(INDEX(MASTER_SOURCE!$D$2:$D$495,MATCH($I106,MASTER_SOURCE!$A$2:$A$495,0)),""))</f>
        <v/>
      </c>
      <c r="M106" s="24" t="inlineStr">
        <is>
          <t>Có</t>
        </is>
      </c>
      <c r="N106" s="24" t="inlineStr">
        <is>
          <t>Có</t>
        </is>
      </c>
      <c r="O106" s="24" t="inlineStr">
        <is>
          <t>Có</t>
        </is>
      </c>
      <c r="P106" s="24" t="inlineStr">
        <is>
          <t>Có</t>
        </is>
      </c>
      <c r="Q106" s="22">
        <f>IF($D106="","",IF(AND(OR(DANH_MUC!$L$5&lt;&gt;"Có",M106="Có"),OR(DANH_MUC!$L$6&lt;&gt;"Có",N106="Có"),OR(DANH_MUC!$L$7&lt;&gt;"Có",O106="Có"),OR(DANH_MUC!$L$8&lt;&gt;"Có",P106="Có")),"Có","Không"))</f>
        <v/>
      </c>
      <c r="R106" s="22">
        <f>IF($D106="","",IF(COUNTIF($D$2:$D106,$D106)&gt;1,"Trùng",""))</f>
        <v/>
      </c>
      <c r="S106" s="22">
        <f>IF($D106="","",IF(AND(LEN($D106)=10,LEFT($D106,1)="0",ISNUMBER(--$D106)),"Có","Không"))</f>
        <v/>
      </c>
      <c r="T106" s="22">
        <f>IF($D106="","",IF(AND($C106&lt;&gt;"",$Q106="Có",$R106="",$S106="Có",AND($L106&lt;&gt;"",OR($L106&lt;&gt;"Chưa xác định",DANH_MUC!$L$9="Có"))),"Có","Không"))</f>
        <v/>
      </c>
      <c r="U106" s="22">
        <f>IF(OR($D106="",$T106="Có"),"",IF($C106="","Thiếu họ tên; ","")&amp;IF($S106&lt;&gt;"Có","SĐT sai định dạng; ","")&amp;IF($R106="Trùng","Trùng SĐT; ","")&amp;IF($Q106&lt;&gt;"Có","Thiếu đồng ý bắt buộc; ","")&amp;IF($L106="","Thiếu/sai Mã REF; ",IF(AND($L106="Chưa xác định",DANH_MUC!$L$9&lt;&gt;"Có"),"Nguồn chưa xác định; ","")))</f>
        <v/>
      </c>
      <c r="V106" s="22">
        <f>IF(OR($D106="",$R106="Trùng"),"",IF(COUNTIF(ORDERS!$C$2:$C$4995,$D106)&gt;0,"Có","Không"))</f>
        <v/>
      </c>
      <c r="W106" s="22">
        <f>IF(OR($D106="",$R106="Trùng"),"",COUNTIFS(ORDERS!$C$2:$C$4995,$D106,ORDERS!$L$2:$L$4995,"Đã chuyển khoản"))</f>
        <v/>
      </c>
      <c r="X106" s="23">
        <f>IF(OR($D106="",$R106="Trùng"),"",SUMIFS(ORDERS!$J$2:$J$4995,ORDERS!$C$2:$C$4995,$D106,ORDERS!$L$2:$L$4995,"Đã chuyển khoản"))</f>
        <v/>
      </c>
      <c r="Y106" s="24" t="n"/>
    </row>
    <row r="107" ht="14.25" customHeight="1" s="40">
      <c r="A107" s="24" t="inlineStr">
        <is>
          <t>0938875f-ea70-4a07-acb0-a29571da6d1f</t>
        </is>
      </c>
      <c r="B107" s="18" t="n">
        <v>46291.3375</v>
      </c>
      <c r="C107" s="24" t="inlineStr">
        <is>
          <t>Trần thị thu hường</t>
        </is>
      </c>
      <c r="D107" s="28" t="inlineStr">
        <is>
          <t>0988610487</t>
        </is>
      </c>
      <c r="E107" s="29" t="n">
        <v>46364</v>
      </c>
      <c r="F107" s="24" t="inlineStr">
        <is>
          <t>Đang mang thai</t>
        </is>
      </c>
      <c r="G107" s="24" t="inlineStr">
        <is>
          <t>Đồng Nai</t>
        </is>
      </c>
      <c r="H107" s="21">
        <f>IF(ISNUMBER($B107),INT($B107)-WEEKDAY($B107,2)+1,"")</f>
        <v/>
      </c>
      <c r="I107" s="24" t="inlineStr">
        <is>
          <t>C-SHING</t>
        </is>
      </c>
      <c r="J107" s="22">
        <f t="array" ref="J107">IF($D107="","",IF($I107="","(trống REF)",IFERROR(INDEX(MASTER_SOURCE!$B$2:$B$495,MATCH($I107,MASTER_SOURCE!$A$2:$A$495,0)),"(REF không có trong MASTER_SOURCE)")))</f>
        <v/>
      </c>
      <c r="K107" s="22">
        <f t="array" ref="K107">IF($D107="","",IFERROR(INDEX(MASTER_SOURCE!$C$2:$C$495,MATCH($I107,MASTER_SOURCE!$A$2:$A$495,0)),""))</f>
        <v/>
      </c>
      <c r="L107" s="22">
        <f t="array" ref="L107">IF($D107="","",IFERROR(INDEX(MASTER_SOURCE!$D$2:$D$495,MATCH($I107,MASTER_SOURCE!$A$2:$A$495,0)),""))</f>
        <v/>
      </c>
      <c r="M107" s="24" t="inlineStr">
        <is>
          <t>Có</t>
        </is>
      </c>
      <c r="N107" s="24" t="inlineStr">
        <is>
          <t>Có</t>
        </is>
      </c>
      <c r="O107" s="24" t="inlineStr">
        <is>
          <t>Có</t>
        </is>
      </c>
      <c r="P107" s="24" t="inlineStr">
        <is>
          <t>Có</t>
        </is>
      </c>
      <c r="Q107" s="22">
        <f>IF($D107="","",IF(AND(OR(DANH_MUC!$L$5&lt;&gt;"Có",M107="Có"),OR(DANH_MUC!$L$6&lt;&gt;"Có",N107="Có"),OR(DANH_MUC!$L$7&lt;&gt;"Có",O107="Có"),OR(DANH_MUC!$L$8&lt;&gt;"Có",P107="Có")),"Có","Không"))</f>
        <v/>
      </c>
      <c r="R107" s="22">
        <f>IF($D107="","",IF(COUNTIF($D$2:$D107,$D107)&gt;1,"Trùng",""))</f>
        <v/>
      </c>
      <c r="S107" s="22">
        <f>IF($D107="","",IF(AND(LEN($D107)=10,LEFT($D107,1)="0",ISNUMBER(--$D107)),"Có","Không"))</f>
        <v/>
      </c>
      <c r="T107" s="22">
        <f>IF($D107="","",IF(AND($C107&lt;&gt;"",$Q107="Có",$R107="",$S107="Có",AND($L107&lt;&gt;"",OR($L107&lt;&gt;"Chưa xác định",DANH_MUC!$L$9="Có"))),"Có","Không"))</f>
        <v/>
      </c>
      <c r="U107" s="22">
        <f>IF(OR($D107="",$T107="Có"),"",IF($C107="","Thiếu họ tên; ","")&amp;IF($S107&lt;&gt;"Có","SĐT sai định dạng; ","")&amp;IF($R107="Trùng","Trùng SĐT; ","")&amp;IF($Q107&lt;&gt;"Có","Thiếu đồng ý bắt buộc; ","")&amp;IF($L107="","Thiếu/sai Mã REF; ",IF(AND($L107="Chưa xác định",DANH_MUC!$L$9&lt;&gt;"Có"),"Nguồn chưa xác định; ","")))</f>
        <v/>
      </c>
      <c r="V107" s="22">
        <f>IF(OR($D107="",$R107="Trùng"),"",IF(COUNTIF(ORDERS!$C$2:$C$4995,$D107)&gt;0,"Có","Không"))</f>
        <v/>
      </c>
      <c r="W107" s="22">
        <f>IF(OR($D107="",$R107="Trùng"),"",COUNTIFS(ORDERS!$C$2:$C$4995,$D107,ORDERS!$L$2:$L$4995,"Đã chuyển khoản"))</f>
        <v/>
      </c>
      <c r="X107" s="23">
        <f>IF(OR($D107="",$R107="Trùng"),"",SUMIFS(ORDERS!$J$2:$J$4995,ORDERS!$C$2:$C$4995,$D107,ORDERS!$L$2:$L$4995,"Đã chuyển khoản"))</f>
        <v/>
      </c>
      <c r="Y107" s="24" t="n"/>
    </row>
    <row r="108" ht="14.25" customHeight="1" s="40">
      <c r="A108" s="24" t="inlineStr">
        <is>
          <t>a2a6fe81-a7cb-4e7c-8d9b-655fdbb17c44</t>
        </is>
      </c>
      <c r="B108" s="18" t="n">
        <v>46291.34166666667</v>
      </c>
      <c r="C108" s="24" t="inlineStr">
        <is>
          <t>Mai Thu Phương</t>
        </is>
      </c>
      <c r="D108" s="28" t="inlineStr">
        <is>
          <t>0869132399</t>
        </is>
      </c>
      <c r="E108" s="29" t="n">
        <v>46357</v>
      </c>
      <c r="F108" s="24" t="inlineStr">
        <is>
          <t>Đang mang thai</t>
        </is>
      </c>
      <c r="G108" s="24" t="inlineStr">
        <is>
          <t>Hải Phòng</t>
        </is>
      </c>
      <c r="H108" s="21">
        <f>IF(ISNUMBER($B108),INT($B108)-WEEKDAY($B108,2)+1,"")</f>
        <v/>
      </c>
      <c r="I108" s="24" t="inlineStr">
        <is>
          <t>Z-GREEN</t>
        </is>
      </c>
      <c r="J108" s="22">
        <f t="array" ref="J108">IF($D108="","",IF($I108="","(trống REF)",IFERROR(INDEX(MASTER_SOURCE!$B$2:$B$495,MATCH($I108,MASTER_SOURCE!$A$2:$A$495,0)),"(REF không có trong MASTER_SOURCE)")))</f>
        <v/>
      </c>
      <c r="K108" s="22">
        <f t="array" ref="K108">IF($D108="","",IFERROR(INDEX(MASTER_SOURCE!$C$2:$C$495,MATCH($I108,MASTER_SOURCE!$A$2:$A$495,0)),""))</f>
        <v/>
      </c>
      <c r="L108" s="22">
        <f t="array" ref="L108">IF($D108="","",IFERROR(INDEX(MASTER_SOURCE!$D$2:$D$495,MATCH($I108,MASTER_SOURCE!$A$2:$A$495,0)),""))</f>
        <v/>
      </c>
      <c r="M108" s="24" t="inlineStr">
        <is>
          <t>Có</t>
        </is>
      </c>
      <c r="N108" s="24" t="inlineStr">
        <is>
          <t>Có</t>
        </is>
      </c>
      <c r="O108" s="24" t="inlineStr">
        <is>
          <t>Có</t>
        </is>
      </c>
      <c r="P108" s="24" t="inlineStr">
        <is>
          <t>Có</t>
        </is>
      </c>
      <c r="Q108" s="22">
        <f>IF($D108="","",IF(AND(OR(DANH_MUC!$L$5&lt;&gt;"Có",M108="Có"),OR(DANH_MUC!$L$6&lt;&gt;"Có",N108="Có"),OR(DANH_MUC!$L$7&lt;&gt;"Có",O108="Có"),OR(DANH_MUC!$L$8&lt;&gt;"Có",P108="Có")),"Có","Không"))</f>
        <v/>
      </c>
      <c r="R108" s="22">
        <f>IF($D108="","",IF(COUNTIF($D$2:$D108,$D108)&gt;1,"Trùng",""))</f>
        <v/>
      </c>
      <c r="S108" s="22">
        <f>IF($D108="","",IF(AND(LEN($D108)=10,LEFT($D108,1)="0",ISNUMBER(--$D108)),"Có","Không"))</f>
        <v/>
      </c>
      <c r="T108" s="22">
        <f>IF($D108="","",IF(AND($C108&lt;&gt;"",$Q108="Có",$R108="",$S108="Có",AND($L108&lt;&gt;"",OR($L108&lt;&gt;"Chưa xác định",DANH_MUC!$L$9="Có"))),"Có","Không"))</f>
        <v/>
      </c>
      <c r="U108" s="22">
        <f>IF(OR($D108="",$T108="Có"),"",IF($C108="","Thiếu họ tên; ","")&amp;IF($S108&lt;&gt;"Có","SĐT sai định dạng; ","")&amp;IF($R108="Trùng","Trùng SĐT; ","")&amp;IF($Q108&lt;&gt;"Có","Thiếu đồng ý bắt buộc; ","")&amp;IF($L108="","Thiếu/sai Mã REF; ",IF(AND($L108="Chưa xác định",DANH_MUC!$L$9&lt;&gt;"Có"),"Nguồn chưa xác định; ","")))</f>
        <v/>
      </c>
      <c r="V108" s="22">
        <f>IF(OR($D108="",$R108="Trùng"),"",IF(COUNTIF(ORDERS!$C$2:$C$4995,$D108)&gt;0,"Có","Không"))</f>
        <v/>
      </c>
      <c r="W108" s="22">
        <f>IF(OR($D108="",$R108="Trùng"),"",COUNTIFS(ORDERS!$C$2:$C$4995,$D108,ORDERS!$L$2:$L$4995,"Đã chuyển khoản"))</f>
        <v/>
      </c>
      <c r="X108" s="23">
        <f>IF(OR($D108="",$R108="Trùng"),"",SUMIFS(ORDERS!$J$2:$J$4995,ORDERS!$C$2:$C$4995,$D108,ORDERS!$L$2:$L$4995,"Đã chuyển khoản"))</f>
        <v/>
      </c>
      <c r="Y108" s="24" t="n"/>
    </row>
    <row r="109" ht="14.25" customHeight="1" s="40">
      <c r="A109" s="24" t="inlineStr">
        <is>
          <t>4985a43e-15cc-47ac-84dd-4d960bbe465f</t>
        </is>
      </c>
      <c r="B109" s="18" t="n">
        <v>46291.34236111111</v>
      </c>
      <c r="C109" s="24" t="inlineStr">
        <is>
          <t>Hoàng thuỳ linh</t>
        </is>
      </c>
      <c r="D109" s="28" t="inlineStr">
        <is>
          <t>0332959314</t>
        </is>
      </c>
      <c r="E109" s="29" t="n">
        <v>46294</v>
      </c>
      <c r="F109" s="24" t="inlineStr">
        <is>
          <t>Đang mang thai</t>
        </is>
      </c>
      <c r="G109" s="24" t="inlineStr">
        <is>
          <t>Hải Phòng</t>
        </is>
      </c>
      <c r="H109" s="21">
        <f>IF(ISNUMBER($B109),INT($B109)-WEEKDAY($B109,2)+1,"")</f>
        <v/>
      </c>
      <c r="I109" s="24" t="inlineStr">
        <is>
          <t>Z-GREEN</t>
        </is>
      </c>
      <c r="J109" s="22">
        <f t="array" ref="J109">IF($D109="","",IF($I109="","(trống REF)",IFERROR(INDEX(MASTER_SOURCE!$B$2:$B$495,MATCH($I109,MASTER_SOURCE!$A$2:$A$495,0)),"(REF không có trong MASTER_SOURCE)")))</f>
        <v/>
      </c>
      <c r="K109" s="22">
        <f t="array" ref="K109">IF($D109="","",IFERROR(INDEX(MASTER_SOURCE!$C$2:$C$495,MATCH($I109,MASTER_SOURCE!$A$2:$A$495,0)),""))</f>
        <v/>
      </c>
      <c r="L109" s="22">
        <f t="array" ref="L109">IF($D109="","",IFERROR(INDEX(MASTER_SOURCE!$D$2:$D$495,MATCH($I109,MASTER_SOURCE!$A$2:$A$495,0)),""))</f>
        <v/>
      </c>
      <c r="M109" s="24" t="inlineStr">
        <is>
          <t>Có</t>
        </is>
      </c>
      <c r="N109" s="24" t="inlineStr">
        <is>
          <t>Có</t>
        </is>
      </c>
      <c r="O109" s="24" t="inlineStr">
        <is>
          <t>Có</t>
        </is>
      </c>
      <c r="P109" s="24" t="inlineStr">
        <is>
          <t>Có</t>
        </is>
      </c>
      <c r="Q109" s="22">
        <f>IF($D109="","",IF(AND(OR(DANH_MUC!$L$5&lt;&gt;"Có",M109="Có"),OR(DANH_MUC!$L$6&lt;&gt;"Có",N109="Có"),OR(DANH_MUC!$L$7&lt;&gt;"Có",O109="Có"),OR(DANH_MUC!$L$8&lt;&gt;"Có",P109="Có")),"Có","Không"))</f>
        <v/>
      </c>
      <c r="R109" s="22">
        <f>IF($D109="","",IF(COUNTIF($D$2:$D109,$D109)&gt;1,"Trùng",""))</f>
        <v/>
      </c>
      <c r="S109" s="22">
        <f>IF($D109="","",IF(AND(LEN($D109)=10,LEFT($D109,1)="0",ISNUMBER(--$D109)),"Có","Không"))</f>
        <v/>
      </c>
      <c r="T109" s="22">
        <f>IF($D109="","",IF(AND($C109&lt;&gt;"",$Q109="Có",$R109="",$S109="Có",AND($L109&lt;&gt;"",OR($L109&lt;&gt;"Chưa xác định",DANH_MUC!$L$9="Có"))),"Có","Không"))</f>
        <v/>
      </c>
      <c r="U109" s="22">
        <f>IF(OR($D109="",$T109="Có"),"",IF($C109="","Thiếu họ tên; ","")&amp;IF($S109&lt;&gt;"Có","SĐT sai định dạng; ","")&amp;IF($R109="Trùng","Trùng SĐT; ","")&amp;IF($Q109&lt;&gt;"Có","Thiếu đồng ý bắt buộc; ","")&amp;IF($L109="","Thiếu/sai Mã REF; ",IF(AND($L109="Chưa xác định",DANH_MUC!$L$9&lt;&gt;"Có"),"Nguồn chưa xác định; ","")))</f>
        <v/>
      </c>
      <c r="V109" s="22">
        <f>IF(OR($D109="",$R109="Trùng"),"",IF(COUNTIF(ORDERS!$C$2:$C$4995,$D109)&gt;0,"Có","Không"))</f>
        <v/>
      </c>
      <c r="W109" s="22">
        <f>IF(OR($D109="",$R109="Trùng"),"",COUNTIFS(ORDERS!$C$2:$C$4995,$D109,ORDERS!$L$2:$L$4995,"Đã chuyển khoản"))</f>
        <v/>
      </c>
      <c r="X109" s="23">
        <f>IF(OR($D109="",$R109="Trùng"),"",SUMIFS(ORDERS!$J$2:$J$4995,ORDERS!$C$2:$C$4995,$D109,ORDERS!$L$2:$L$4995,"Đã chuyển khoản"))</f>
        <v/>
      </c>
      <c r="Y109" s="24" t="n"/>
    </row>
    <row r="110" ht="14.25" customHeight="1" s="40">
      <c r="A110" s="24" t="inlineStr">
        <is>
          <t>0b605443-2494-4247-b850-d66008d59fff</t>
        </is>
      </c>
      <c r="B110" s="18" t="n">
        <v>46291.34236111111</v>
      </c>
      <c r="C110" s="24" t="inlineStr">
        <is>
          <t>Đỗ Thị Thu Huyền</t>
        </is>
      </c>
      <c r="D110" s="28" t="inlineStr">
        <is>
          <t>0343864184</t>
        </is>
      </c>
      <c r="E110" s="29" t="n">
        <v>46337</v>
      </c>
      <c r="F110" s="24" t="inlineStr">
        <is>
          <t>Đang mang thai</t>
        </is>
      </c>
      <c r="G110" s="24" t="inlineStr">
        <is>
          <t>Hải Phòng</t>
        </is>
      </c>
      <c r="H110" s="21">
        <f>IF(ISNUMBER($B110),INT($B110)-WEEKDAY($B110,2)+1,"")</f>
        <v/>
      </c>
      <c r="I110" s="24" t="inlineStr">
        <is>
          <t>Z-GREEN</t>
        </is>
      </c>
      <c r="J110" s="22">
        <f t="array" ref="J110">IF($D110="","",IF($I110="","(trống REF)",IFERROR(INDEX(MASTER_SOURCE!$B$2:$B$495,MATCH($I110,MASTER_SOURCE!$A$2:$A$495,0)),"(REF không có trong MASTER_SOURCE)")))</f>
        <v/>
      </c>
      <c r="K110" s="22">
        <f t="array" ref="K110">IF($D110="","",IFERROR(INDEX(MASTER_SOURCE!$C$2:$C$495,MATCH($I110,MASTER_SOURCE!$A$2:$A$495,0)),""))</f>
        <v/>
      </c>
      <c r="L110" s="22">
        <f t="array" ref="L110">IF($D110="","",IFERROR(INDEX(MASTER_SOURCE!$D$2:$D$495,MATCH($I110,MASTER_SOURCE!$A$2:$A$495,0)),""))</f>
        <v/>
      </c>
      <c r="M110" s="24" t="inlineStr">
        <is>
          <t>Có</t>
        </is>
      </c>
      <c r="N110" s="24" t="inlineStr">
        <is>
          <t>Có</t>
        </is>
      </c>
      <c r="O110" s="24" t="inlineStr">
        <is>
          <t>Có</t>
        </is>
      </c>
      <c r="P110" s="24" t="inlineStr">
        <is>
          <t>Có</t>
        </is>
      </c>
      <c r="Q110" s="22">
        <f>IF($D110="","",IF(AND(OR(DANH_MUC!$L$5&lt;&gt;"Có",M110="Có"),OR(DANH_MUC!$L$6&lt;&gt;"Có",N110="Có"),OR(DANH_MUC!$L$7&lt;&gt;"Có",O110="Có"),OR(DANH_MUC!$L$8&lt;&gt;"Có",P110="Có")),"Có","Không"))</f>
        <v/>
      </c>
      <c r="R110" s="22">
        <f>IF($D110="","",IF(COUNTIF($D$2:$D110,$D110)&gt;1,"Trùng",""))</f>
        <v/>
      </c>
      <c r="S110" s="22">
        <f>IF($D110="","",IF(AND(LEN($D110)=10,LEFT($D110,1)="0",ISNUMBER(--$D110)),"Có","Không"))</f>
        <v/>
      </c>
      <c r="T110" s="22">
        <f>IF($D110="","",IF(AND($C110&lt;&gt;"",$Q110="Có",$R110="",$S110="Có",AND($L110&lt;&gt;"",OR($L110&lt;&gt;"Chưa xác định",DANH_MUC!$L$9="Có"))),"Có","Không"))</f>
        <v/>
      </c>
      <c r="U110" s="22">
        <f>IF(OR($D110="",$T110="Có"),"",IF($C110="","Thiếu họ tên; ","")&amp;IF($S110&lt;&gt;"Có","SĐT sai định dạng; ","")&amp;IF($R110="Trùng","Trùng SĐT; ","")&amp;IF($Q110&lt;&gt;"Có","Thiếu đồng ý bắt buộc; ","")&amp;IF($L110="","Thiếu/sai Mã REF; ",IF(AND($L110="Chưa xác định",DANH_MUC!$L$9&lt;&gt;"Có"),"Nguồn chưa xác định; ","")))</f>
        <v/>
      </c>
      <c r="V110" s="22">
        <f>IF(OR($D110="",$R110="Trùng"),"",IF(COUNTIF(ORDERS!$C$2:$C$4995,$D110)&gt;0,"Có","Không"))</f>
        <v/>
      </c>
      <c r="W110" s="22">
        <f>IF(OR($D110="",$R110="Trùng"),"",COUNTIFS(ORDERS!$C$2:$C$4995,$D110,ORDERS!$L$2:$L$4995,"Đã chuyển khoản"))</f>
        <v/>
      </c>
      <c r="X110" s="23">
        <f>IF(OR($D110="",$R110="Trùng"),"",SUMIFS(ORDERS!$J$2:$J$4995,ORDERS!$C$2:$C$4995,$D110,ORDERS!$L$2:$L$4995,"Đã chuyển khoản"))</f>
        <v/>
      </c>
      <c r="Y110" s="24" t="n"/>
    </row>
    <row r="111" ht="14.25" customHeight="1" s="40">
      <c r="A111" s="24" t="inlineStr">
        <is>
          <t>99b116d4-bfb3-447a-bddb-5c4018fbae36</t>
        </is>
      </c>
      <c r="B111" s="18" t="n">
        <v>46291.34375</v>
      </c>
      <c r="C111" s="24" t="inlineStr">
        <is>
          <t>Phạm thị anh</t>
        </is>
      </c>
      <c r="D111" s="28" t="inlineStr">
        <is>
          <t>0358825636</t>
        </is>
      </c>
      <c r="E111" s="29" t="n">
        <v>46316</v>
      </c>
      <c r="F111" s="24" t="inlineStr">
        <is>
          <t>Đang mang thai</t>
        </is>
      </c>
      <c r="G111" s="24" t="inlineStr">
        <is>
          <t>Hải Phòng</t>
        </is>
      </c>
      <c r="H111" s="21">
        <f>IF(ISNUMBER($B111),INT($B111)-WEEKDAY($B111,2)+1,"")</f>
        <v/>
      </c>
      <c r="I111" s="24" t="inlineStr">
        <is>
          <t>Z-GREEN</t>
        </is>
      </c>
      <c r="J111" s="22">
        <f t="array" ref="J111">IF($D111="","",IF($I111="","(trống REF)",IFERROR(INDEX(MASTER_SOURCE!$B$2:$B$495,MATCH($I111,MASTER_SOURCE!$A$2:$A$495,0)),"(REF không có trong MASTER_SOURCE)")))</f>
        <v/>
      </c>
      <c r="K111" s="22">
        <f t="array" ref="K111">IF($D111="","",IFERROR(INDEX(MASTER_SOURCE!$C$2:$C$495,MATCH($I111,MASTER_SOURCE!$A$2:$A$495,0)),""))</f>
        <v/>
      </c>
      <c r="L111" s="22">
        <f t="array" ref="L111">IF($D111="","",IFERROR(INDEX(MASTER_SOURCE!$D$2:$D$495,MATCH($I111,MASTER_SOURCE!$A$2:$A$495,0)),""))</f>
        <v/>
      </c>
      <c r="M111" s="24" t="inlineStr">
        <is>
          <t>Có</t>
        </is>
      </c>
      <c r="N111" s="24" t="inlineStr">
        <is>
          <t>Có</t>
        </is>
      </c>
      <c r="O111" s="24" t="inlineStr">
        <is>
          <t>Có</t>
        </is>
      </c>
      <c r="P111" s="24" t="inlineStr">
        <is>
          <t>Có</t>
        </is>
      </c>
      <c r="Q111" s="22">
        <f>IF($D111="","",IF(AND(OR(DANH_MUC!$L$5&lt;&gt;"Có",M111="Có"),OR(DANH_MUC!$L$6&lt;&gt;"Có",N111="Có"),OR(DANH_MUC!$L$7&lt;&gt;"Có",O111="Có"),OR(DANH_MUC!$L$8&lt;&gt;"Có",P111="Có")),"Có","Không"))</f>
        <v/>
      </c>
      <c r="R111" s="22">
        <f>IF($D111="","",IF(COUNTIF($D$2:$D111,$D111)&gt;1,"Trùng",""))</f>
        <v/>
      </c>
      <c r="S111" s="22">
        <f>IF($D111="","",IF(AND(LEN($D111)=10,LEFT($D111,1)="0",ISNUMBER(--$D111)),"Có","Không"))</f>
        <v/>
      </c>
      <c r="T111" s="22">
        <f>IF($D111="","",IF(AND($C111&lt;&gt;"",$Q111="Có",$R111="",$S111="Có",AND($L111&lt;&gt;"",OR($L111&lt;&gt;"Chưa xác định",DANH_MUC!$L$9="Có"))),"Có","Không"))</f>
        <v/>
      </c>
      <c r="U111" s="22">
        <f>IF(OR($D111="",$T111="Có"),"",IF($C111="","Thiếu họ tên; ","")&amp;IF($S111&lt;&gt;"Có","SĐT sai định dạng; ","")&amp;IF($R111="Trùng","Trùng SĐT; ","")&amp;IF($Q111&lt;&gt;"Có","Thiếu đồng ý bắt buộc; ","")&amp;IF($L111="","Thiếu/sai Mã REF; ",IF(AND($L111="Chưa xác định",DANH_MUC!$L$9&lt;&gt;"Có"),"Nguồn chưa xác định; ","")))</f>
        <v/>
      </c>
      <c r="V111" s="22">
        <f>IF(OR($D111="",$R111="Trùng"),"",IF(COUNTIF(ORDERS!$C$2:$C$4995,$D111)&gt;0,"Có","Không"))</f>
        <v/>
      </c>
      <c r="W111" s="22">
        <f>IF(OR($D111="",$R111="Trùng"),"",COUNTIFS(ORDERS!$C$2:$C$4995,$D111,ORDERS!$L$2:$L$4995,"Đã chuyển khoản"))</f>
        <v/>
      </c>
      <c r="X111" s="23">
        <f>IF(OR($D111="",$R111="Trùng"),"",SUMIFS(ORDERS!$J$2:$J$4995,ORDERS!$C$2:$C$4995,$D111,ORDERS!$L$2:$L$4995,"Đã chuyển khoản"))</f>
        <v/>
      </c>
      <c r="Y111" s="24" t="n"/>
    </row>
    <row r="112" ht="14.25" customHeight="1" s="40">
      <c r="A112" s="24" t="inlineStr">
        <is>
          <t>fe863b82-df47-4d19-91a1-300dee032482</t>
        </is>
      </c>
      <c r="B112" s="18" t="n">
        <v>46291.34375</v>
      </c>
      <c r="C112" s="24" t="inlineStr">
        <is>
          <t>Vu Trang</t>
        </is>
      </c>
      <c r="D112" s="28" t="inlineStr">
        <is>
          <t>0336879889</t>
        </is>
      </c>
      <c r="E112" s="29" t="n">
        <v>46353</v>
      </c>
      <c r="F112" s="24" t="inlineStr">
        <is>
          <t>Đang mang thai</t>
        </is>
      </c>
      <c r="G112" s="24" t="inlineStr">
        <is>
          <t>Hồ Chí Minh</t>
        </is>
      </c>
      <c r="H112" s="21">
        <f>IF(ISNUMBER($B112),INT($B112)-WEEKDAY($B112,2)+1,"")</f>
        <v/>
      </c>
      <c r="I112" s="24" t="inlineStr">
        <is>
          <t>Z-SHING</t>
        </is>
      </c>
      <c r="J112" s="22">
        <f t="array" ref="J112">IF($D112="","",IF($I112="","(trống REF)",IFERROR(INDEX(MASTER_SOURCE!$B$2:$B$495,MATCH($I112,MASTER_SOURCE!$A$2:$A$495,0)),"(REF không có trong MASTER_SOURCE)")))</f>
        <v/>
      </c>
      <c r="K112" s="22">
        <f t="array" ref="K112">IF($D112="","",IFERROR(INDEX(MASTER_SOURCE!$C$2:$C$495,MATCH($I112,MASTER_SOURCE!$A$2:$A$495,0)),""))</f>
        <v/>
      </c>
      <c r="L112" s="22">
        <f t="array" ref="L112">IF($D112="","",IFERROR(INDEX(MASTER_SOURCE!$D$2:$D$495,MATCH($I112,MASTER_SOURCE!$A$2:$A$495,0)),""))</f>
        <v/>
      </c>
      <c r="M112" s="24" t="inlineStr">
        <is>
          <t>Có</t>
        </is>
      </c>
      <c r="N112" s="24" t="inlineStr">
        <is>
          <t>Có</t>
        </is>
      </c>
      <c r="O112" s="24" t="inlineStr">
        <is>
          <t>Có</t>
        </is>
      </c>
      <c r="P112" s="24" t="inlineStr">
        <is>
          <t>Có</t>
        </is>
      </c>
      <c r="Q112" s="22">
        <f>IF($D112="","",IF(AND(OR(DANH_MUC!$L$5&lt;&gt;"Có",M112="Có"),OR(DANH_MUC!$L$6&lt;&gt;"Có",N112="Có"),OR(DANH_MUC!$L$7&lt;&gt;"Có",O112="Có"),OR(DANH_MUC!$L$8&lt;&gt;"Có",P112="Có")),"Có","Không"))</f>
        <v/>
      </c>
      <c r="R112" s="22">
        <f>IF($D112="","",IF(COUNTIF($D$2:$D112,$D112)&gt;1,"Trùng",""))</f>
        <v/>
      </c>
      <c r="S112" s="22">
        <f>IF($D112="","",IF(AND(LEN($D112)=10,LEFT($D112,1)="0",ISNUMBER(--$D112)),"Có","Không"))</f>
        <v/>
      </c>
      <c r="T112" s="22">
        <f>IF($D112="","",IF(AND($C112&lt;&gt;"",$Q112="Có",$R112="",$S112="Có",AND($L112&lt;&gt;"",OR($L112&lt;&gt;"Chưa xác định",DANH_MUC!$L$9="Có"))),"Có","Không"))</f>
        <v/>
      </c>
      <c r="U112" s="22">
        <f>IF(OR($D112="",$T112="Có"),"",IF($C112="","Thiếu họ tên; ","")&amp;IF($S112&lt;&gt;"Có","SĐT sai định dạng; ","")&amp;IF($R112="Trùng","Trùng SĐT; ","")&amp;IF($Q112&lt;&gt;"Có","Thiếu đồng ý bắt buộc; ","")&amp;IF($L112="","Thiếu/sai Mã REF; ",IF(AND($L112="Chưa xác định",DANH_MUC!$L$9&lt;&gt;"Có"),"Nguồn chưa xác định; ","")))</f>
        <v/>
      </c>
      <c r="V112" s="22">
        <f>IF(OR($D112="",$R112="Trùng"),"",IF(COUNTIF(ORDERS!$C$2:$C$4995,$D112)&gt;0,"Có","Không"))</f>
        <v/>
      </c>
      <c r="W112" s="22">
        <f>IF(OR($D112="",$R112="Trùng"),"",COUNTIFS(ORDERS!$C$2:$C$4995,$D112,ORDERS!$L$2:$L$4995,"Đã chuyển khoản"))</f>
        <v/>
      </c>
      <c r="X112" s="23">
        <f>IF(OR($D112="",$R112="Trùng"),"",SUMIFS(ORDERS!$J$2:$J$4995,ORDERS!$C$2:$C$4995,$D112,ORDERS!$L$2:$L$4995,"Đã chuyển khoản"))</f>
        <v/>
      </c>
      <c r="Y112" s="24" t="n"/>
    </row>
    <row r="113" ht="14.25" customHeight="1" s="40">
      <c r="A113" s="24" t="inlineStr">
        <is>
          <t>6f342880-92fc-4c7f-bb64-cd5e4c32d565</t>
        </is>
      </c>
      <c r="B113" s="18" t="n">
        <v>46291.34375</v>
      </c>
      <c r="C113" s="24" t="inlineStr">
        <is>
          <t>Phạm thị như</t>
        </is>
      </c>
      <c r="D113" s="28" t="inlineStr">
        <is>
          <t>0899789636</t>
        </is>
      </c>
      <c r="E113" s="29" t="n">
        <v>46376</v>
      </c>
      <c r="F113" s="24" t="inlineStr">
        <is>
          <t>Đang mang thai</t>
        </is>
      </c>
      <c r="G113" s="24" t="inlineStr">
        <is>
          <t>Hải Phòng</t>
        </is>
      </c>
      <c r="H113" s="21">
        <f>IF(ISNUMBER($B113),INT($B113)-WEEKDAY($B113,2)+1,"")</f>
        <v/>
      </c>
      <c r="I113" s="24" t="inlineStr">
        <is>
          <t>Z-GREEN</t>
        </is>
      </c>
      <c r="J113" s="22">
        <f t="array" ref="J113">IF($D113="","",IF($I113="","(trống REF)",IFERROR(INDEX(MASTER_SOURCE!$B$2:$B$495,MATCH($I113,MASTER_SOURCE!$A$2:$A$495,0)),"(REF không có trong MASTER_SOURCE)")))</f>
        <v/>
      </c>
      <c r="K113" s="22">
        <f t="array" ref="K113">IF($D113="","",IFERROR(INDEX(MASTER_SOURCE!$C$2:$C$495,MATCH($I113,MASTER_SOURCE!$A$2:$A$495,0)),""))</f>
        <v/>
      </c>
      <c r="L113" s="22">
        <f t="array" ref="L113">IF($D113="","",IFERROR(INDEX(MASTER_SOURCE!$D$2:$D$495,MATCH($I113,MASTER_SOURCE!$A$2:$A$495,0)),""))</f>
        <v/>
      </c>
      <c r="M113" s="24" t="inlineStr">
        <is>
          <t>Có</t>
        </is>
      </c>
      <c r="N113" s="24" t="inlineStr">
        <is>
          <t>Có</t>
        </is>
      </c>
      <c r="O113" s="24" t="inlineStr">
        <is>
          <t>Có</t>
        </is>
      </c>
      <c r="P113" s="24" t="inlineStr">
        <is>
          <t>Có</t>
        </is>
      </c>
      <c r="Q113" s="22">
        <f>IF($D113="","",IF(AND(OR(DANH_MUC!$L$5&lt;&gt;"Có",M113="Có"),OR(DANH_MUC!$L$6&lt;&gt;"Có",N113="Có"),OR(DANH_MUC!$L$7&lt;&gt;"Có",O113="Có"),OR(DANH_MUC!$L$8&lt;&gt;"Có",P113="Có")),"Có","Không"))</f>
        <v/>
      </c>
      <c r="R113" s="22">
        <f>IF($D113="","",IF(COUNTIF($D$2:$D113,$D113)&gt;1,"Trùng",""))</f>
        <v/>
      </c>
      <c r="S113" s="22">
        <f>IF($D113="","",IF(AND(LEN($D113)=10,LEFT($D113,1)="0",ISNUMBER(--$D113)),"Có","Không"))</f>
        <v/>
      </c>
      <c r="T113" s="22">
        <f>IF($D113="","",IF(AND($C113&lt;&gt;"",$Q113="Có",$R113="",$S113="Có",AND($L113&lt;&gt;"",OR($L113&lt;&gt;"Chưa xác định",DANH_MUC!$L$9="Có"))),"Có","Không"))</f>
        <v/>
      </c>
      <c r="U113" s="22">
        <f>IF(OR($D113="",$T113="Có"),"",IF($C113="","Thiếu họ tên; ","")&amp;IF($S113&lt;&gt;"Có","SĐT sai định dạng; ","")&amp;IF($R113="Trùng","Trùng SĐT; ","")&amp;IF($Q113&lt;&gt;"Có","Thiếu đồng ý bắt buộc; ","")&amp;IF($L113="","Thiếu/sai Mã REF; ",IF(AND($L113="Chưa xác định",DANH_MUC!$L$9&lt;&gt;"Có"),"Nguồn chưa xác định; ","")))</f>
        <v/>
      </c>
      <c r="V113" s="22">
        <f>IF(OR($D113="",$R113="Trùng"),"",IF(COUNTIF(ORDERS!$C$2:$C$4995,$D113)&gt;0,"Có","Không"))</f>
        <v/>
      </c>
      <c r="W113" s="22">
        <f>IF(OR($D113="",$R113="Trùng"),"",COUNTIFS(ORDERS!$C$2:$C$4995,$D113,ORDERS!$L$2:$L$4995,"Đã chuyển khoản"))</f>
        <v/>
      </c>
      <c r="X113" s="23">
        <f>IF(OR($D113="",$R113="Trùng"),"",SUMIFS(ORDERS!$J$2:$J$4995,ORDERS!$C$2:$C$4995,$D113,ORDERS!$L$2:$L$4995,"Đã chuyển khoản"))</f>
        <v/>
      </c>
      <c r="Y113" s="24" t="n"/>
    </row>
    <row r="114" ht="14.25" customHeight="1" s="40">
      <c r="A114" s="24" t="inlineStr">
        <is>
          <t>8c30e7c4-b1d6-4c5f-9050-c5ab48ce4d3a</t>
        </is>
      </c>
      <c r="B114" s="18" t="n">
        <v>46291.34444444445</v>
      </c>
      <c r="C114" s="24" t="inlineStr">
        <is>
          <t>Nguyễn Hương Giang</t>
        </is>
      </c>
      <c r="D114" s="28" t="inlineStr">
        <is>
          <t>0342963594</t>
        </is>
      </c>
      <c r="E114" s="29" t="n">
        <v>46393</v>
      </c>
      <c r="F114" s="24" t="inlineStr">
        <is>
          <t>Đang mang thai</t>
        </is>
      </c>
      <c r="G114" s="24" t="inlineStr">
        <is>
          <t>Hải Phòng</t>
        </is>
      </c>
      <c r="H114" s="21">
        <f>IF(ISNUMBER($B114),INT($B114)-WEEKDAY($B114,2)+1,"")</f>
        <v/>
      </c>
      <c r="I114" s="24" t="inlineStr">
        <is>
          <t>Z-GREEN</t>
        </is>
      </c>
      <c r="J114" s="22">
        <f t="array" ref="J114">IF($D114="","",IF($I114="","(trống REF)",IFERROR(INDEX(MASTER_SOURCE!$B$2:$B$495,MATCH($I114,MASTER_SOURCE!$A$2:$A$495,0)),"(REF không có trong MASTER_SOURCE)")))</f>
        <v/>
      </c>
      <c r="K114" s="22">
        <f t="array" ref="K114">IF($D114="","",IFERROR(INDEX(MASTER_SOURCE!$C$2:$C$495,MATCH($I114,MASTER_SOURCE!$A$2:$A$495,0)),""))</f>
        <v/>
      </c>
      <c r="L114" s="22">
        <f t="array" ref="L114">IF($D114="","",IFERROR(INDEX(MASTER_SOURCE!$D$2:$D$495,MATCH($I114,MASTER_SOURCE!$A$2:$A$495,0)),""))</f>
        <v/>
      </c>
      <c r="M114" s="24" t="inlineStr">
        <is>
          <t>Có</t>
        </is>
      </c>
      <c r="N114" s="24" t="inlineStr">
        <is>
          <t>Có</t>
        </is>
      </c>
      <c r="O114" s="24" t="inlineStr">
        <is>
          <t>Có</t>
        </is>
      </c>
      <c r="P114" s="24" t="inlineStr">
        <is>
          <t>Có</t>
        </is>
      </c>
      <c r="Q114" s="22">
        <f>IF($D114="","",IF(AND(OR(DANH_MUC!$L$5&lt;&gt;"Có",M114="Có"),OR(DANH_MUC!$L$6&lt;&gt;"Có",N114="Có"),OR(DANH_MUC!$L$7&lt;&gt;"Có",O114="Có"),OR(DANH_MUC!$L$8&lt;&gt;"Có",P114="Có")),"Có","Không"))</f>
        <v/>
      </c>
      <c r="R114" s="22">
        <f>IF($D114="","",IF(COUNTIF($D$2:$D114,$D114)&gt;1,"Trùng",""))</f>
        <v/>
      </c>
      <c r="S114" s="22">
        <f>IF($D114="","",IF(AND(LEN($D114)=10,LEFT($D114,1)="0",ISNUMBER(--$D114)),"Có","Không"))</f>
        <v/>
      </c>
      <c r="T114" s="22">
        <f>IF($D114="","",IF(AND($C114&lt;&gt;"",$Q114="Có",$R114="",$S114="Có",AND($L114&lt;&gt;"",OR($L114&lt;&gt;"Chưa xác định",DANH_MUC!$L$9="Có"))),"Có","Không"))</f>
        <v/>
      </c>
      <c r="U114" s="22">
        <f>IF(OR($D114="",$T114="Có"),"",IF($C114="","Thiếu họ tên; ","")&amp;IF($S114&lt;&gt;"Có","SĐT sai định dạng; ","")&amp;IF($R114="Trùng","Trùng SĐT; ","")&amp;IF($Q114&lt;&gt;"Có","Thiếu đồng ý bắt buộc; ","")&amp;IF($L114="","Thiếu/sai Mã REF; ",IF(AND($L114="Chưa xác định",DANH_MUC!$L$9&lt;&gt;"Có"),"Nguồn chưa xác định; ","")))</f>
        <v/>
      </c>
      <c r="V114" s="22">
        <f>IF(OR($D114="",$R114="Trùng"),"",IF(COUNTIF(ORDERS!$C$2:$C$4995,$D114)&gt;0,"Có","Không"))</f>
        <v/>
      </c>
      <c r="W114" s="22">
        <f>IF(OR($D114="",$R114="Trùng"),"",COUNTIFS(ORDERS!$C$2:$C$4995,$D114,ORDERS!$L$2:$L$4995,"Đã chuyển khoản"))</f>
        <v/>
      </c>
      <c r="X114" s="23">
        <f>IF(OR($D114="",$R114="Trùng"),"",SUMIFS(ORDERS!$J$2:$J$4995,ORDERS!$C$2:$C$4995,$D114,ORDERS!$L$2:$L$4995,"Đã chuyển khoản"))</f>
        <v/>
      </c>
      <c r="Y114" s="24" t="n"/>
    </row>
    <row r="115" ht="14.25" customHeight="1" s="40">
      <c r="A115" s="24" t="inlineStr">
        <is>
          <t>1a822d54-e172-4759-87c7-cbbf0b80d6d3</t>
        </is>
      </c>
      <c r="B115" s="18" t="n">
        <v>46291.34444444445</v>
      </c>
      <c r="C115" s="24" t="inlineStr">
        <is>
          <t>Lê Giang</t>
        </is>
      </c>
      <c r="D115" s="28" t="inlineStr">
        <is>
          <t>0387792927</t>
        </is>
      </c>
      <c r="E115" s="29" t="n">
        <v>46348</v>
      </c>
      <c r="F115" s="24" t="inlineStr">
        <is>
          <t>Đang mang thai</t>
        </is>
      </c>
      <c r="G115" s="24" t="inlineStr">
        <is>
          <t>Hồ Chí Minh</t>
        </is>
      </c>
      <c r="H115" s="21">
        <f>IF(ISNUMBER($B115),INT($B115)-WEEKDAY($B115,2)+1,"")</f>
        <v/>
      </c>
      <c r="I115" s="24" t="inlineStr">
        <is>
          <t>Z-SHING</t>
        </is>
      </c>
      <c r="J115" s="22">
        <f t="array" ref="J115">IF($D115="","",IF($I115="","(trống REF)",IFERROR(INDEX(MASTER_SOURCE!$B$2:$B$495,MATCH($I115,MASTER_SOURCE!$A$2:$A$495,0)),"(REF không có trong MASTER_SOURCE)")))</f>
        <v/>
      </c>
      <c r="K115" s="22">
        <f t="array" ref="K115">IF($D115="","",IFERROR(INDEX(MASTER_SOURCE!$C$2:$C$495,MATCH($I115,MASTER_SOURCE!$A$2:$A$495,0)),""))</f>
        <v/>
      </c>
      <c r="L115" s="22">
        <f t="array" ref="L115">IF($D115="","",IFERROR(INDEX(MASTER_SOURCE!$D$2:$D$495,MATCH($I115,MASTER_SOURCE!$A$2:$A$495,0)),""))</f>
        <v/>
      </c>
      <c r="M115" s="24" t="inlineStr">
        <is>
          <t>Có</t>
        </is>
      </c>
      <c r="N115" s="24" t="inlineStr">
        <is>
          <t>Có</t>
        </is>
      </c>
      <c r="O115" s="24" t="inlineStr">
        <is>
          <t>Có</t>
        </is>
      </c>
      <c r="P115" s="24" t="inlineStr">
        <is>
          <t>Có</t>
        </is>
      </c>
      <c r="Q115" s="22">
        <f>IF($D115="","",IF(AND(OR(DANH_MUC!$L$5&lt;&gt;"Có",M115="Có"),OR(DANH_MUC!$L$6&lt;&gt;"Có",N115="Có"),OR(DANH_MUC!$L$7&lt;&gt;"Có",O115="Có"),OR(DANH_MUC!$L$8&lt;&gt;"Có",P115="Có")),"Có","Không"))</f>
        <v/>
      </c>
      <c r="R115" s="22">
        <f>IF($D115="","",IF(COUNTIF($D$2:$D115,$D115)&gt;1,"Trùng",""))</f>
        <v/>
      </c>
      <c r="S115" s="22">
        <f>IF($D115="","",IF(AND(LEN($D115)=10,LEFT($D115,1)="0",ISNUMBER(--$D115)),"Có","Không"))</f>
        <v/>
      </c>
      <c r="T115" s="22">
        <f>IF($D115="","",IF(AND($C115&lt;&gt;"",$Q115="Có",$R115="",$S115="Có",AND($L115&lt;&gt;"",OR($L115&lt;&gt;"Chưa xác định",DANH_MUC!$L$9="Có"))),"Có","Không"))</f>
        <v/>
      </c>
      <c r="U115" s="22">
        <f>IF(OR($D115="",$T115="Có"),"",IF($C115="","Thiếu họ tên; ","")&amp;IF($S115&lt;&gt;"Có","SĐT sai định dạng; ","")&amp;IF($R115="Trùng","Trùng SĐT; ","")&amp;IF($Q115&lt;&gt;"Có","Thiếu đồng ý bắt buộc; ","")&amp;IF($L115="","Thiếu/sai Mã REF; ",IF(AND($L115="Chưa xác định",DANH_MUC!$L$9&lt;&gt;"Có"),"Nguồn chưa xác định; ","")))</f>
        <v/>
      </c>
      <c r="V115" s="22">
        <f>IF(OR($D115="",$R115="Trùng"),"",IF(COUNTIF(ORDERS!$C$2:$C$4995,$D115)&gt;0,"Có","Không"))</f>
        <v/>
      </c>
      <c r="W115" s="22">
        <f>IF(OR($D115="",$R115="Trùng"),"",COUNTIFS(ORDERS!$C$2:$C$4995,$D115,ORDERS!$L$2:$L$4995,"Đã chuyển khoản"))</f>
        <v/>
      </c>
      <c r="X115" s="23">
        <f>IF(OR($D115="",$R115="Trùng"),"",SUMIFS(ORDERS!$J$2:$J$4995,ORDERS!$C$2:$C$4995,$D115,ORDERS!$L$2:$L$4995,"Đã chuyển khoản"))</f>
        <v/>
      </c>
      <c r="Y115" s="24" t="n"/>
    </row>
    <row r="116" ht="14.25" customHeight="1" s="40">
      <c r="A116" s="24" t="inlineStr">
        <is>
          <t>b0eedb00-6a46-4c22-a7b7-19e635698d3f</t>
        </is>
      </c>
      <c r="B116" s="18" t="n">
        <v>46291.34444444445</v>
      </c>
      <c r="C116" s="24" t="inlineStr">
        <is>
          <t>Đặng Thị Thảo</t>
        </is>
      </c>
      <c r="D116" s="28" t="inlineStr">
        <is>
          <t>0383781045</t>
        </is>
      </c>
      <c r="E116" s="29" t="n">
        <v>46341</v>
      </c>
      <c r="F116" s="24" t="inlineStr">
        <is>
          <t>Đang mang thai</t>
        </is>
      </c>
      <c r="G116" s="24" t="inlineStr">
        <is>
          <t>Đồng Nai</t>
        </is>
      </c>
      <c r="H116" s="21">
        <f>IF(ISNUMBER($B116),INT($B116)-WEEKDAY($B116,2)+1,"")</f>
        <v/>
      </c>
      <c r="I116" s="24" t="inlineStr">
        <is>
          <t>Z-SHING</t>
        </is>
      </c>
      <c r="J116" s="22">
        <f t="array" ref="J116">IF($D116="","",IF($I116="","(trống REF)",IFERROR(INDEX(MASTER_SOURCE!$B$2:$B$495,MATCH($I116,MASTER_SOURCE!$A$2:$A$495,0)),"(REF không có trong MASTER_SOURCE)")))</f>
        <v/>
      </c>
      <c r="K116" s="22">
        <f t="array" ref="K116">IF($D116="","",IFERROR(INDEX(MASTER_SOURCE!$C$2:$C$495,MATCH($I116,MASTER_SOURCE!$A$2:$A$495,0)),""))</f>
        <v/>
      </c>
      <c r="L116" s="22">
        <f t="array" ref="L116">IF($D116="","",IFERROR(INDEX(MASTER_SOURCE!$D$2:$D$495,MATCH($I116,MASTER_SOURCE!$A$2:$A$495,0)),""))</f>
        <v/>
      </c>
      <c r="M116" s="24" t="inlineStr">
        <is>
          <t>Có</t>
        </is>
      </c>
      <c r="N116" s="24" t="inlineStr">
        <is>
          <t>Có</t>
        </is>
      </c>
      <c r="O116" s="24" t="inlineStr">
        <is>
          <t>Có</t>
        </is>
      </c>
      <c r="P116" s="24" t="inlineStr">
        <is>
          <t>Có</t>
        </is>
      </c>
      <c r="Q116" s="22">
        <f>IF($D116="","",IF(AND(OR(DANH_MUC!$L$5&lt;&gt;"Có",M116="Có"),OR(DANH_MUC!$L$6&lt;&gt;"Có",N116="Có"),OR(DANH_MUC!$L$7&lt;&gt;"Có",O116="Có"),OR(DANH_MUC!$L$8&lt;&gt;"Có",P116="Có")),"Có","Không"))</f>
        <v/>
      </c>
      <c r="R116" s="22">
        <f>IF($D116="","",IF(COUNTIF($D$2:$D116,$D116)&gt;1,"Trùng",""))</f>
        <v/>
      </c>
      <c r="S116" s="22">
        <f>IF($D116="","",IF(AND(LEN($D116)=10,LEFT($D116,1)="0",ISNUMBER(--$D116)),"Có","Không"))</f>
        <v/>
      </c>
      <c r="T116" s="22">
        <f>IF($D116="","",IF(AND($C116&lt;&gt;"",$Q116="Có",$R116="",$S116="Có",AND($L116&lt;&gt;"",OR($L116&lt;&gt;"Chưa xác định",DANH_MUC!$L$9="Có"))),"Có","Không"))</f>
        <v/>
      </c>
      <c r="U116" s="22">
        <f>IF(OR($D116="",$T116="Có"),"",IF($C116="","Thiếu họ tên; ","")&amp;IF($S116&lt;&gt;"Có","SĐT sai định dạng; ","")&amp;IF($R116="Trùng","Trùng SĐT; ","")&amp;IF($Q116&lt;&gt;"Có","Thiếu đồng ý bắt buộc; ","")&amp;IF($L116="","Thiếu/sai Mã REF; ",IF(AND($L116="Chưa xác định",DANH_MUC!$L$9&lt;&gt;"Có"),"Nguồn chưa xác định; ","")))</f>
        <v/>
      </c>
      <c r="V116" s="22">
        <f>IF(OR($D116="",$R116="Trùng"),"",IF(COUNTIF(ORDERS!$C$2:$C$4995,$D116)&gt;0,"Có","Không"))</f>
        <v/>
      </c>
      <c r="W116" s="22">
        <f>IF(OR($D116="",$R116="Trùng"),"",COUNTIFS(ORDERS!$C$2:$C$4995,$D116,ORDERS!$L$2:$L$4995,"Đã chuyển khoản"))</f>
        <v/>
      </c>
      <c r="X116" s="23">
        <f>IF(OR($D116="",$R116="Trùng"),"",SUMIFS(ORDERS!$J$2:$J$4995,ORDERS!$C$2:$C$4995,$D116,ORDERS!$L$2:$L$4995,"Đã chuyển khoản"))</f>
        <v/>
      </c>
      <c r="Y116" s="24" t="n"/>
    </row>
    <row r="117" ht="14.25" customHeight="1" s="40">
      <c r="A117" s="24" t="inlineStr">
        <is>
          <t>21b2bfa0-1c59-4235-8270-01e62016d6ba</t>
        </is>
      </c>
      <c r="B117" s="18" t="n">
        <v>46291.34513888889</v>
      </c>
      <c r="C117" s="24" t="inlineStr">
        <is>
          <t>Phạm Thị Lan Anh</t>
        </is>
      </c>
      <c r="D117" s="28" t="inlineStr">
        <is>
          <t>0355173295</t>
        </is>
      </c>
      <c r="E117" s="29" t="n">
        <v>46361</v>
      </c>
      <c r="F117" s="24" t="inlineStr">
        <is>
          <t>Đang mang thai</t>
        </is>
      </c>
      <c r="G117" s="24" t="inlineStr">
        <is>
          <t>Hải Phòng</t>
        </is>
      </c>
      <c r="H117" s="21">
        <f>IF(ISNUMBER($B117),INT($B117)-WEEKDAY($B117,2)+1,"")</f>
        <v/>
      </c>
      <c r="I117" s="24" t="inlineStr">
        <is>
          <t>Z-GREEN</t>
        </is>
      </c>
      <c r="J117" s="22">
        <f t="array" ref="J117">IF($D117="","",IF($I117="","(trống REF)",IFERROR(INDEX(MASTER_SOURCE!$B$2:$B$495,MATCH($I117,MASTER_SOURCE!$A$2:$A$495,0)),"(REF không có trong MASTER_SOURCE)")))</f>
        <v/>
      </c>
      <c r="K117" s="22">
        <f t="array" ref="K117">IF($D117="","",IFERROR(INDEX(MASTER_SOURCE!$C$2:$C$495,MATCH($I117,MASTER_SOURCE!$A$2:$A$495,0)),""))</f>
        <v/>
      </c>
      <c r="L117" s="22">
        <f t="array" ref="L117">IF($D117="","",IFERROR(INDEX(MASTER_SOURCE!$D$2:$D$495,MATCH($I117,MASTER_SOURCE!$A$2:$A$495,0)),""))</f>
        <v/>
      </c>
      <c r="M117" s="24" t="inlineStr">
        <is>
          <t>Có</t>
        </is>
      </c>
      <c r="N117" s="24" t="inlineStr">
        <is>
          <t>Có</t>
        </is>
      </c>
      <c r="O117" s="24" t="inlineStr">
        <is>
          <t>Có</t>
        </is>
      </c>
      <c r="P117" s="24" t="inlineStr">
        <is>
          <t>Có</t>
        </is>
      </c>
      <c r="Q117" s="22">
        <f>IF($D117="","",IF(AND(OR(DANH_MUC!$L$5&lt;&gt;"Có",M117="Có"),OR(DANH_MUC!$L$6&lt;&gt;"Có",N117="Có"),OR(DANH_MUC!$L$7&lt;&gt;"Có",O117="Có"),OR(DANH_MUC!$L$8&lt;&gt;"Có",P117="Có")),"Có","Không"))</f>
        <v/>
      </c>
      <c r="R117" s="22">
        <f>IF($D117="","",IF(COUNTIF($D$2:$D117,$D117)&gt;1,"Trùng",""))</f>
        <v/>
      </c>
      <c r="S117" s="22">
        <f>IF($D117="","",IF(AND(LEN($D117)=10,LEFT($D117,1)="0",ISNUMBER(--$D117)),"Có","Không"))</f>
        <v/>
      </c>
      <c r="T117" s="22">
        <f>IF($D117="","",IF(AND($C117&lt;&gt;"",$Q117="Có",$R117="",$S117="Có",AND($L117&lt;&gt;"",OR($L117&lt;&gt;"Chưa xác định",DANH_MUC!$L$9="Có"))),"Có","Không"))</f>
        <v/>
      </c>
      <c r="U117" s="22">
        <f>IF(OR($D117="",$T117="Có"),"",IF($C117="","Thiếu họ tên; ","")&amp;IF($S117&lt;&gt;"Có","SĐT sai định dạng; ","")&amp;IF($R117="Trùng","Trùng SĐT; ","")&amp;IF($Q117&lt;&gt;"Có","Thiếu đồng ý bắt buộc; ","")&amp;IF($L117="","Thiếu/sai Mã REF; ",IF(AND($L117="Chưa xác định",DANH_MUC!$L$9&lt;&gt;"Có"),"Nguồn chưa xác định; ","")))</f>
        <v/>
      </c>
      <c r="V117" s="22">
        <f>IF(OR($D117="",$R117="Trùng"),"",IF(COUNTIF(ORDERS!$C$2:$C$4995,$D117)&gt;0,"Có","Không"))</f>
        <v/>
      </c>
      <c r="W117" s="22">
        <f>IF(OR($D117="",$R117="Trùng"),"",COUNTIFS(ORDERS!$C$2:$C$4995,$D117,ORDERS!$L$2:$L$4995,"Đã chuyển khoản"))</f>
        <v/>
      </c>
      <c r="X117" s="23">
        <f>IF(OR($D117="",$R117="Trùng"),"",SUMIFS(ORDERS!$J$2:$J$4995,ORDERS!$C$2:$C$4995,$D117,ORDERS!$L$2:$L$4995,"Đã chuyển khoản"))</f>
        <v/>
      </c>
      <c r="Y117" s="24" t="n"/>
    </row>
    <row r="118" ht="14.25" customHeight="1" s="40">
      <c r="A118" s="24" t="inlineStr">
        <is>
          <t>7d8341ff-96ab-4546-ae75-02adc9af9f9e</t>
        </is>
      </c>
      <c r="B118" s="18" t="n">
        <v>46291.34652777778</v>
      </c>
      <c r="C118" s="24" t="inlineStr">
        <is>
          <t>Hong Nhung</t>
        </is>
      </c>
      <c r="D118" s="28" t="inlineStr">
        <is>
          <t>0845958358</t>
        </is>
      </c>
      <c r="E118" s="29" t="n">
        <v>46355</v>
      </c>
      <c r="F118" s="24" t="inlineStr">
        <is>
          <t>Đang mang thai</t>
        </is>
      </c>
      <c r="G118" s="24" t="inlineStr">
        <is>
          <t>Hải Phòng</t>
        </is>
      </c>
      <c r="H118" s="21">
        <f>IF(ISNUMBER($B118),INT($B118)-WEEKDAY($B118,2)+1,"")</f>
        <v/>
      </c>
      <c r="I118" s="24" t="inlineStr">
        <is>
          <t>Z-GREEN</t>
        </is>
      </c>
      <c r="J118" s="22">
        <f t="array" ref="J118">IF($D118="","",IF($I118="","(trống REF)",IFERROR(INDEX(MASTER_SOURCE!$B$2:$B$495,MATCH($I118,MASTER_SOURCE!$A$2:$A$495,0)),"(REF không có trong MASTER_SOURCE)")))</f>
        <v/>
      </c>
      <c r="K118" s="22">
        <f t="array" ref="K118">IF($D118="","",IFERROR(INDEX(MASTER_SOURCE!$C$2:$C$495,MATCH($I118,MASTER_SOURCE!$A$2:$A$495,0)),""))</f>
        <v/>
      </c>
      <c r="L118" s="22">
        <f t="array" ref="L118">IF($D118="","",IFERROR(INDEX(MASTER_SOURCE!$D$2:$D$495,MATCH($I118,MASTER_SOURCE!$A$2:$A$495,0)),""))</f>
        <v/>
      </c>
      <c r="M118" s="24" t="inlineStr">
        <is>
          <t>Có</t>
        </is>
      </c>
      <c r="N118" s="24" t="inlineStr">
        <is>
          <t>Có</t>
        </is>
      </c>
      <c r="O118" s="24" t="inlineStr">
        <is>
          <t>Có</t>
        </is>
      </c>
      <c r="P118" s="24" t="inlineStr">
        <is>
          <t>Có</t>
        </is>
      </c>
      <c r="Q118" s="22">
        <f>IF($D118="","",IF(AND(OR(DANH_MUC!$L$5&lt;&gt;"Có",M118="Có"),OR(DANH_MUC!$L$6&lt;&gt;"Có",N118="Có"),OR(DANH_MUC!$L$7&lt;&gt;"Có",O118="Có"),OR(DANH_MUC!$L$8&lt;&gt;"Có",P118="Có")),"Có","Không"))</f>
        <v/>
      </c>
      <c r="R118" s="22">
        <f>IF($D118="","",IF(COUNTIF($D$2:$D118,$D118)&gt;1,"Trùng",""))</f>
        <v/>
      </c>
      <c r="S118" s="22">
        <f>IF($D118="","",IF(AND(LEN($D118)=10,LEFT($D118,1)="0",ISNUMBER(--$D118)),"Có","Không"))</f>
        <v/>
      </c>
      <c r="T118" s="22">
        <f>IF($D118="","",IF(AND($C118&lt;&gt;"",$Q118="Có",$R118="",$S118="Có",AND($L118&lt;&gt;"",OR($L118&lt;&gt;"Chưa xác định",DANH_MUC!$L$9="Có"))),"Có","Không"))</f>
        <v/>
      </c>
      <c r="U118" s="22">
        <f>IF(OR($D118="",$T118="Có"),"",IF($C118="","Thiếu họ tên; ","")&amp;IF($S118&lt;&gt;"Có","SĐT sai định dạng; ","")&amp;IF($R118="Trùng","Trùng SĐT; ","")&amp;IF($Q118&lt;&gt;"Có","Thiếu đồng ý bắt buộc; ","")&amp;IF($L118="","Thiếu/sai Mã REF; ",IF(AND($L118="Chưa xác định",DANH_MUC!$L$9&lt;&gt;"Có"),"Nguồn chưa xác định; ","")))</f>
        <v/>
      </c>
      <c r="V118" s="22">
        <f>IF(OR($D118="",$R118="Trùng"),"",IF(COUNTIF(ORDERS!$C$2:$C$4995,$D118)&gt;0,"Có","Không"))</f>
        <v/>
      </c>
      <c r="W118" s="22">
        <f>IF(OR($D118="",$R118="Trùng"),"",COUNTIFS(ORDERS!$C$2:$C$4995,$D118,ORDERS!$L$2:$L$4995,"Đã chuyển khoản"))</f>
        <v/>
      </c>
      <c r="X118" s="23">
        <f>IF(OR($D118="",$R118="Trùng"),"",SUMIFS(ORDERS!$J$2:$J$4995,ORDERS!$C$2:$C$4995,$D118,ORDERS!$L$2:$L$4995,"Đã chuyển khoản"))</f>
        <v/>
      </c>
      <c r="Y118" s="24" t="n"/>
    </row>
    <row r="119" ht="14.25" customHeight="1" s="40">
      <c r="A119" s="24" t="inlineStr">
        <is>
          <t>fcc516b7-9ea7-4809-8836-16094d15367c</t>
        </is>
      </c>
      <c r="B119" s="18" t="n">
        <v>46291.34652777778</v>
      </c>
      <c r="C119" s="24" t="inlineStr">
        <is>
          <t>Trần Thuý Nga</t>
        </is>
      </c>
      <c r="D119" s="28" t="inlineStr">
        <is>
          <t>0963128405</t>
        </is>
      </c>
      <c r="E119" s="29" t="n">
        <v>46342</v>
      </c>
      <c r="F119" s="24" t="inlineStr">
        <is>
          <t>Đang mang thai</t>
        </is>
      </c>
      <c r="G119" s="24" t="inlineStr">
        <is>
          <t>Hải Phòng</t>
        </is>
      </c>
      <c r="H119" s="21">
        <f>IF(ISNUMBER($B119),INT($B119)-WEEKDAY($B119,2)+1,"")</f>
        <v/>
      </c>
      <c r="I119" s="24" t="inlineStr">
        <is>
          <t>Z-GREEN</t>
        </is>
      </c>
      <c r="J119" s="22">
        <f t="array" ref="J119">IF($D119="","",IF($I119="","(trống REF)",IFERROR(INDEX(MASTER_SOURCE!$B$2:$B$495,MATCH($I119,MASTER_SOURCE!$A$2:$A$495,0)),"(REF không có trong MASTER_SOURCE)")))</f>
        <v/>
      </c>
      <c r="K119" s="22">
        <f t="array" ref="K119">IF($D119="","",IFERROR(INDEX(MASTER_SOURCE!$C$2:$C$495,MATCH($I119,MASTER_SOURCE!$A$2:$A$495,0)),""))</f>
        <v/>
      </c>
      <c r="L119" s="22">
        <f t="array" ref="L119">IF($D119="","",IFERROR(INDEX(MASTER_SOURCE!$D$2:$D$495,MATCH($I119,MASTER_SOURCE!$A$2:$A$495,0)),""))</f>
        <v/>
      </c>
      <c r="M119" s="24" t="inlineStr">
        <is>
          <t>Có</t>
        </is>
      </c>
      <c r="N119" s="24" t="inlineStr">
        <is>
          <t>Có</t>
        </is>
      </c>
      <c r="O119" s="24" t="inlineStr">
        <is>
          <t>Có</t>
        </is>
      </c>
      <c r="P119" s="24" t="inlineStr">
        <is>
          <t>Có</t>
        </is>
      </c>
      <c r="Q119" s="22">
        <f>IF($D119="","",IF(AND(OR(DANH_MUC!$L$5&lt;&gt;"Có",M119="Có"),OR(DANH_MUC!$L$6&lt;&gt;"Có",N119="Có"),OR(DANH_MUC!$L$7&lt;&gt;"Có",O119="Có"),OR(DANH_MUC!$L$8&lt;&gt;"Có",P119="Có")),"Có","Không"))</f>
        <v/>
      </c>
      <c r="R119" s="22">
        <f>IF($D119="","",IF(COUNTIF($D$2:$D119,$D119)&gt;1,"Trùng",""))</f>
        <v/>
      </c>
      <c r="S119" s="22">
        <f>IF($D119="","",IF(AND(LEN($D119)=10,LEFT($D119,1)="0",ISNUMBER(--$D119)),"Có","Không"))</f>
        <v/>
      </c>
      <c r="T119" s="22">
        <f>IF($D119="","",IF(AND($C119&lt;&gt;"",$Q119="Có",$R119="",$S119="Có",AND($L119&lt;&gt;"",OR($L119&lt;&gt;"Chưa xác định",DANH_MUC!$L$9="Có"))),"Có","Không"))</f>
        <v/>
      </c>
      <c r="U119" s="22">
        <f>IF(OR($D119="",$T119="Có"),"",IF($C119="","Thiếu họ tên; ","")&amp;IF($S119&lt;&gt;"Có","SĐT sai định dạng; ","")&amp;IF($R119="Trùng","Trùng SĐT; ","")&amp;IF($Q119&lt;&gt;"Có","Thiếu đồng ý bắt buộc; ","")&amp;IF($L119="","Thiếu/sai Mã REF; ",IF(AND($L119="Chưa xác định",DANH_MUC!$L$9&lt;&gt;"Có"),"Nguồn chưa xác định; ","")))</f>
        <v/>
      </c>
      <c r="V119" s="22">
        <f>IF(OR($D119="",$R119="Trùng"),"",IF(COUNTIF(ORDERS!$C$2:$C$4995,$D119)&gt;0,"Có","Không"))</f>
        <v/>
      </c>
      <c r="W119" s="22">
        <f>IF(OR($D119="",$R119="Trùng"),"",COUNTIFS(ORDERS!$C$2:$C$4995,$D119,ORDERS!$L$2:$L$4995,"Đã chuyển khoản"))</f>
        <v/>
      </c>
      <c r="X119" s="23">
        <f>IF(OR($D119="",$R119="Trùng"),"",SUMIFS(ORDERS!$J$2:$J$4995,ORDERS!$C$2:$C$4995,$D119,ORDERS!$L$2:$L$4995,"Đã chuyển khoản"))</f>
        <v/>
      </c>
      <c r="Y119" s="24" t="n"/>
    </row>
    <row r="120" ht="14.25" customHeight="1" s="40">
      <c r="A120" s="24" t="inlineStr">
        <is>
          <t>bcfd40cd-3dce-486c-89a0-008aa6cd2188</t>
        </is>
      </c>
      <c r="B120" s="18" t="n">
        <v>46291.34791666667</v>
      </c>
      <c r="C120" s="24" t="inlineStr">
        <is>
          <t>Đặng Quyên</t>
        </is>
      </c>
      <c r="D120" s="28" t="inlineStr">
        <is>
          <t>0562993586</t>
        </is>
      </c>
      <c r="E120" s="29" t="n">
        <v>46347</v>
      </c>
      <c r="F120" s="24" t="inlineStr">
        <is>
          <t>Đang mang thai</t>
        </is>
      </c>
      <c r="G120" s="24" t="inlineStr">
        <is>
          <t>Hải Phòng</t>
        </is>
      </c>
      <c r="H120" s="21">
        <f>IF(ISNUMBER($B120),INT($B120)-WEEKDAY($B120,2)+1,"")</f>
        <v/>
      </c>
      <c r="I120" s="24" t="inlineStr">
        <is>
          <t>Z-GREEN</t>
        </is>
      </c>
      <c r="J120" s="22">
        <f t="array" ref="J120">IF($D120="","",IF($I120="","(trống REF)",IFERROR(INDEX(MASTER_SOURCE!$B$2:$B$495,MATCH($I120,MASTER_SOURCE!$A$2:$A$495,0)),"(REF không có trong MASTER_SOURCE)")))</f>
        <v/>
      </c>
      <c r="K120" s="22">
        <f t="array" ref="K120">IF($D120="","",IFERROR(INDEX(MASTER_SOURCE!$C$2:$C$495,MATCH($I120,MASTER_SOURCE!$A$2:$A$495,0)),""))</f>
        <v/>
      </c>
      <c r="L120" s="22">
        <f t="array" ref="L120">IF($D120="","",IFERROR(INDEX(MASTER_SOURCE!$D$2:$D$495,MATCH($I120,MASTER_SOURCE!$A$2:$A$495,0)),""))</f>
        <v/>
      </c>
      <c r="M120" s="24" t="inlineStr">
        <is>
          <t>Có</t>
        </is>
      </c>
      <c r="N120" s="24" t="inlineStr">
        <is>
          <t>Không</t>
        </is>
      </c>
      <c r="O120" s="24" t="inlineStr">
        <is>
          <t>Không</t>
        </is>
      </c>
      <c r="P120" s="24" t="inlineStr">
        <is>
          <t>Có</t>
        </is>
      </c>
      <c r="Q120" s="22">
        <f>IF($D120="","",IF(AND(OR(DANH_MUC!$L$5&lt;&gt;"Có",M120="Có"),OR(DANH_MUC!$L$6&lt;&gt;"Có",N120="Có"),OR(DANH_MUC!$L$7&lt;&gt;"Có",O120="Có"),OR(DANH_MUC!$L$8&lt;&gt;"Có",P120="Có")),"Có","Không"))</f>
        <v/>
      </c>
      <c r="R120" s="22">
        <f>IF($D120="","",IF(COUNTIF($D$2:$D120,$D120)&gt;1,"Trùng",""))</f>
        <v/>
      </c>
      <c r="S120" s="22">
        <f>IF($D120="","",IF(AND(LEN($D120)=10,LEFT($D120,1)="0",ISNUMBER(--$D120)),"Có","Không"))</f>
        <v/>
      </c>
      <c r="T120" s="22">
        <f>IF($D120="","",IF(AND($C120&lt;&gt;"",$Q120="Có",$R120="",$S120="Có",AND($L120&lt;&gt;"",OR($L120&lt;&gt;"Chưa xác định",DANH_MUC!$L$9="Có"))),"Có","Không"))</f>
        <v/>
      </c>
      <c r="U120" s="22">
        <f>IF(OR($D120="",$T120="Có"),"",IF($C120="","Thiếu họ tên; ","")&amp;IF($S120&lt;&gt;"Có","SĐT sai định dạng; ","")&amp;IF($R120="Trùng","Trùng SĐT; ","")&amp;IF($Q120&lt;&gt;"Có","Thiếu đồng ý bắt buộc; ","")&amp;IF($L120="","Thiếu/sai Mã REF; ",IF(AND($L120="Chưa xác định",DANH_MUC!$L$9&lt;&gt;"Có"),"Nguồn chưa xác định; ","")))</f>
        <v/>
      </c>
      <c r="V120" s="22">
        <f>IF(OR($D120="",$R120="Trùng"),"",IF(COUNTIF(ORDERS!$C$2:$C$4995,$D120)&gt;0,"Có","Không"))</f>
        <v/>
      </c>
      <c r="W120" s="22">
        <f>IF(OR($D120="",$R120="Trùng"),"",COUNTIFS(ORDERS!$C$2:$C$4995,$D120,ORDERS!$L$2:$L$4995,"Đã chuyển khoản"))</f>
        <v/>
      </c>
      <c r="X120" s="23">
        <f>IF(OR($D120="",$R120="Trùng"),"",SUMIFS(ORDERS!$J$2:$J$4995,ORDERS!$C$2:$C$4995,$D120,ORDERS!$L$2:$L$4995,"Đã chuyển khoản"))</f>
        <v/>
      </c>
      <c r="Y120" s="24" t="n"/>
    </row>
    <row r="121" ht="14.25" customHeight="1" s="40">
      <c r="A121" s="24" t="inlineStr">
        <is>
          <t>4a2cc0d3-6327-4518-a01a-04e5248b6ac3</t>
        </is>
      </c>
      <c r="B121" s="18" t="n">
        <v>46291.34861111111</v>
      </c>
      <c r="C121" s="24" t="inlineStr">
        <is>
          <t>Nguyễn Tiên</t>
        </is>
      </c>
      <c r="D121" s="28" t="inlineStr">
        <is>
          <t>0942178742</t>
        </is>
      </c>
      <c r="E121" s="29" t="n">
        <v>46426</v>
      </c>
      <c r="F121" s="24" t="inlineStr">
        <is>
          <t>Đang mang thai</t>
        </is>
      </c>
      <c r="G121" s="24" t="inlineStr">
        <is>
          <t>Đồng Nai</t>
        </is>
      </c>
      <c r="H121" s="21">
        <f>IF(ISNUMBER($B121),INT($B121)-WEEKDAY($B121,2)+1,"")</f>
        <v/>
      </c>
      <c r="I121" s="24" t="inlineStr">
        <is>
          <t>C-SHING</t>
        </is>
      </c>
      <c r="J121" s="22">
        <f t="array" ref="J121">IF($D121="","",IF($I121="","(trống REF)",IFERROR(INDEX(MASTER_SOURCE!$B$2:$B$495,MATCH($I121,MASTER_SOURCE!$A$2:$A$495,0)),"(REF không có trong MASTER_SOURCE)")))</f>
        <v/>
      </c>
      <c r="K121" s="22">
        <f t="array" ref="K121">IF($D121="","",IFERROR(INDEX(MASTER_SOURCE!$C$2:$C$495,MATCH($I121,MASTER_SOURCE!$A$2:$A$495,0)),""))</f>
        <v/>
      </c>
      <c r="L121" s="22">
        <f t="array" ref="L121">IF($D121="","",IFERROR(INDEX(MASTER_SOURCE!$D$2:$D$495,MATCH($I121,MASTER_SOURCE!$A$2:$A$495,0)),""))</f>
        <v/>
      </c>
      <c r="M121" s="24" t="inlineStr">
        <is>
          <t>Có</t>
        </is>
      </c>
      <c r="N121" s="24" t="inlineStr">
        <is>
          <t>Có</t>
        </is>
      </c>
      <c r="O121" s="24" t="inlineStr">
        <is>
          <t>Có</t>
        </is>
      </c>
      <c r="P121" s="24" t="inlineStr">
        <is>
          <t>Không</t>
        </is>
      </c>
      <c r="Q121" s="22">
        <f>IF($D121="","",IF(AND(OR(DANH_MUC!$L$5&lt;&gt;"Có",M121="Có"),OR(DANH_MUC!$L$6&lt;&gt;"Có",N121="Có"),OR(DANH_MUC!$L$7&lt;&gt;"Có",O121="Có"),OR(DANH_MUC!$L$8&lt;&gt;"Có",P121="Có")),"Có","Không"))</f>
        <v/>
      </c>
      <c r="R121" s="22">
        <f>IF($D121="","",IF(COUNTIF($D$2:$D121,$D121)&gt;1,"Trùng",""))</f>
        <v/>
      </c>
      <c r="S121" s="22">
        <f>IF($D121="","",IF(AND(LEN($D121)=10,LEFT($D121,1)="0",ISNUMBER(--$D121)),"Có","Không"))</f>
        <v/>
      </c>
      <c r="T121" s="22">
        <f>IF($D121="","",IF(AND($C121&lt;&gt;"",$Q121="Có",$R121="",$S121="Có",AND($L121&lt;&gt;"",OR($L121&lt;&gt;"Chưa xác định",DANH_MUC!$L$9="Có"))),"Có","Không"))</f>
        <v/>
      </c>
      <c r="U121" s="22">
        <f>IF(OR($D121="",$T121="Có"),"",IF($C121="","Thiếu họ tên; ","")&amp;IF($S121&lt;&gt;"Có","SĐT sai định dạng; ","")&amp;IF($R121="Trùng","Trùng SĐT; ","")&amp;IF($Q121&lt;&gt;"Có","Thiếu đồng ý bắt buộc; ","")&amp;IF($L121="","Thiếu/sai Mã REF; ",IF(AND($L121="Chưa xác định",DANH_MUC!$L$9&lt;&gt;"Có"),"Nguồn chưa xác định; ","")))</f>
        <v/>
      </c>
      <c r="V121" s="22">
        <f>IF(OR($D121="",$R121="Trùng"),"",IF(COUNTIF(ORDERS!$C$2:$C$4995,$D121)&gt;0,"Có","Không"))</f>
        <v/>
      </c>
      <c r="W121" s="22">
        <f>IF(OR($D121="",$R121="Trùng"),"",COUNTIFS(ORDERS!$C$2:$C$4995,$D121,ORDERS!$L$2:$L$4995,"Đã chuyển khoản"))</f>
        <v/>
      </c>
      <c r="X121" s="23">
        <f>IF(OR($D121="",$R121="Trùng"),"",SUMIFS(ORDERS!$J$2:$J$4995,ORDERS!$C$2:$C$4995,$D121,ORDERS!$L$2:$L$4995,"Đã chuyển khoản"))</f>
        <v/>
      </c>
      <c r="Y121" s="24" t="n"/>
    </row>
    <row r="122" ht="14.25" customHeight="1" s="40">
      <c r="A122" s="24" t="inlineStr">
        <is>
          <t>8ae45232-1aa5-49e1-8f76-47f6f1198b87</t>
        </is>
      </c>
      <c r="B122" s="18" t="n">
        <v>46291.34930555556</v>
      </c>
      <c r="C122" s="24" t="inlineStr">
        <is>
          <t>Trần Thị Thuỳ Trang</t>
        </is>
      </c>
      <c r="D122" s="28" t="inlineStr">
        <is>
          <t>0902822240</t>
        </is>
      </c>
      <c r="E122" s="29" t="n">
        <v>46381</v>
      </c>
      <c r="F122" s="24" t="inlineStr">
        <is>
          <t>Đang mang thai</t>
        </is>
      </c>
      <c r="G122" s="24" t="inlineStr">
        <is>
          <t>Hồ Chí Minh</t>
        </is>
      </c>
      <c r="H122" s="21">
        <f>IF(ISNUMBER($B122),INT($B122)-WEEKDAY($B122,2)+1,"")</f>
        <v/>
      </c>
      <c r="I122" s="24" t="inlineStr">
        <is>
          <t>Z-SHING</t>
        </is>
      </c>
      <c r="J122" s="22">
        <f t="array" ref="J122">IF($D122="","",IF($I122="","(trống REF)",IFERROR(INDEX(MASTER_SOURCE!$B$2:$B$495,MATCH($I122,MASTER_SOURCE!$A$2:$A$495,0)),"(REF không có trong MASTER_SOURCE)")))</f>
        <v/>
      </c>
      <c r="K122" s="22">
        <f t="array" ref="K122">IF($D122="","",IFERROR(INDEX(MASTER_SOURCE!$C$2:$C$495,MATCH($I122,MASTER_SOURCE!$A$2:$A$495,0)),""))</f>
        <v/>
      </c>
      <c r="L122" s="22">
        <f t="array" ref="L122">IF($D122="","",IFERROR(INDEX(MASTER_SOURCE!$D$2:$D$495,MATCH($I122,MASTER_SOURCE!$A$2:$A$495,0)),""))</f>
        <v/>
      </c>
      <c r="M122" s="24" t="inlineStr">
        <is>
          <t>Có</t>
        </is>
      </c>
      <c r="N122" s="24" t="inlineStr">
        <is>
          <t>Có</t>
        </is>
      </c>
      <c r="O122" s="24" t="inlineStr">
        <is>
          <t>Không</t>
        </is>
      </c>
      <c r="P122" s="24" t="inlineStr">
        <is>
          <t>Không</t>
        </is>
      </c>
      <c r="Q122" s="22">
        <f>IF($D122="","",IF(AND(OR(DANH_MUC!$L$5&lt;&gt;"Có",M122="Có"),OR(DANH_MUC!$L$6&lt;&gt;"Có",N122="Có"),OR(DANH_MUC!$L$7&lt;&gt;"Có",O122="Có"),OR(DANH_MUC!$L$8&lt;&gt;"Có",P122="Có")),"Có","Không"))</f>
        <v/>
      </c>
      <c r="R122" s="22">
        <f>IF($D122="","",IF(COUNTIF($D$2:$D122,$D122)&gt;1,"Trùng",""))</f>
        <v/>
      </c>
      <c r="S122" s="22">
        <f>IF($D122="","",IF(AND(LEN($D122)=10,LEFT($D122,1)="0",ISNUMBER(--$D122)),"Có","Không"))</f>
        <v/>
      </c>
      <c r="T122" s="22">
        <f>IF($D122="","",IF(AND($C122&lt;&gt;"",$Q122="Có",$R122="",$S122="Có",AND($L122&lt;&gt;"",OR($L122&lt;&gt;"Chưa xác định",DANH_MUC!$L$9="Có"))),"Có","Không"))</f>
        <v/>
      </c>
      <c r="U122" s="22">
        <f>IF(OR($D122="",$T122="Có"),"",IF($C122="","Thiếu họ tên; ","")&amp;IF($S122&lt;&gt;"Có","SĐT sai định dạng; ","")&amp;IF($R122="Trùng","Trùng SĐT; ","")&amp;IF($Q122&lt;&gt;"Có","Thiếu đồng ý bắt buộc; ","")&amp;IF($L122="","Thiếu/sai Mã REF; ",IF(AND($L122="Chưa xác định",DANH_MUC!$L$9&lt;&gt;"Có"),"Nguồn chưa xác định; ","")))</f>
        <v/>
      </c>
      <c r="V122" s="22">
        <f>IF(OR($D122="",$R122="Trùng"),"",IF(COUNTIF(ORDERS!$C$2:$C$4995,$D122)&gt;0,"Có","Không"))</f>
        <v/>
      </c>
      <c r="W122" s="22">
        <f>IF(OR($D122="",$R122="Trùng"),"",COUNTIFS(ORDERS!$C$2:$C$4995,$D122,ORDERS!$L$2:$L$4995,"Đã chuyển khoản"))</f>
        <v/>
      </c>
      <c r="X122" s="23">
        <f>IF(OR($D122="",$R122="Trùng"),"",SUMIFS(ORDERS!$J$2:$J$4995,ORDERS!$C$2:$C$4995,$D122,ORDERS!$L$2:$L$4995,"Đã chuyển khoản"))</f>
        <v/>
      </c>
      <c r="Y122" s="24" t="n"/>
    </row>
    <row r="123" ht="14.25" customHeight="1" s="40">
      <c r="A123" s="24" t="inlineStr">
        <is>
          <t>aea70025-3aa0-4146-9671-bf6294f0cce8</t>
        </is>
      </c>
      <c r="B123" s="18" t="n">
        <v>46291.35</v>
      </c>
      <c r="C123" s="24" t="inlineStr">
        <is>
          <t>Cao trương thanh thuý</t>
        </is>
      </c>
      <c r="D123" s="28" t="inlineStr">
        <is>
          <t>0903454095</t>
        </is>
      </c>
      <c r="E123" s="29" t="n">
        <v>46340</v>
      </c>
      <c r="F123" s="24" t="inlineStr">
        <is>
          <t>Đang mang thai</t>
        </is>
      </c>
      <c r="G123" s="24" t="inlineStr">
        <is>
          <t>Hồ Chí Minh</t>
        </is>
      </c>
      <c r="H123" s="21">
        <f>IF(ISNUMBER($B123),INT($B123)-WEEKDAY($B123,2)+1,"")</f>
        <v/>
      </c>
      <c r="I123" s="24" t="inlineStr">
        <is>
          <t>Z-SHING</t>
        </is>
      </c>
      <c r="J123" s="22">
        <f t="array" ref="J123">IF($D123="","",IF($I123="","(trống REF)",IFERROR(INDEX(MASTER_SOURCE!$B$2:$B$495,MATCH($I123,MASTER_SOURCE!$A$2:$A$495,0)),"(REF không có trong MASTER_SOURCE)")))</f>
        <v/>
      </c>
      <c r="K123" s="22">
        <f t="array" ref="K123">IF($D123="","",IFERROR(INDEX(MASTER_SOURCE!$C$2:$C$495,MATCH($I123,MASTER_SOURCE!$A$2:$A$495,0)),""))</f>
        <v/>
      </c>
      <c r="L123" s="22">
        <f t="array" ref="L123">IF($D123="","",IFERROR(INDEX(MASTER_SOURCE!$D$2:$D$495,MATCH($I123,MASTER_SOURCE!$A$2:$A$495,0)),""))</f>
        <v/>
      </c>
      <c r="M123" s="24" t="inlineStr">
        <is>
          <t>Có</t>
        </is>
      </c>
      <c r="N123" s="24" t="inlineStr">
        <is>
          <t>Có</t>
        </is>
      </c>
      <c r="O123" s="24" t="inlineStr">
        <is>
          <t>Có</t>
        </is>
      </c>
      <c r="P123" s="24" t="inlineStr">
        <is>
          <t>Có</t>
        </is>
      </c>
      <c r="Q123" s="22">
        <f>IF($D123="","",IF(AND(OR(DANH_MUC!$L$5&lt;&gt;"Có",M123="Có"),OR(DANH_MUC!$L$6&lt;&gt;"Có",N123="Có"),OR(DANH_MUC!$L$7&lt;&gt;"Có",O123="Có"),OR(DANH_MUC!$L$8&lt;&gt;"Có",P123="Có")),"Có","Không"))</f>
        <v/>
      </c>
      <c r="R123" s="22">
        <f>IF($D123="","",IF(COUNTIF($D$2:$D123,$D123)&gt;1,"Trùng",""))</f>
        <v/>
      </c>
      <c r="S123" s="22">
        <f>IF($D123="","",IF(AND(LEN($D123)=10,LEFT($D123,1)="0",ISNUMBER(--$D123)),"Có","Không"))</f>
        <v/>
      </c>
      <c r="T123" s="22">
        <f>IF($D123="","",IF(AND($C123&lt;&gt;"",$Q123="Có",$R123="",$S123="Có",AND($L123&lt;&gt;"",OR($L123&lt;&gt;"Chưa xác định",DANH_MUC!$L$9="Có"))),"Có","Không"))</f>
        <v/>
      </c>
      <c r="U123" s="22">
        <f>IF(OR($D123="",$T123="Có"),"",IF($C123="","Thiếu họ tên; ","")&amp;IF($S123&lt;&gt;"Có","SĐT sai định dạng; ","")&amp;IF($R123="Trùng","Trùng SĐT; ","")&amp;IF($Q123&lt;&gt;"Có","Thiếu đồng ý bắt buộc; ","")&amp;IF($L123="","Thiếu/sai Mã REF; ",IF(AND($L123="Chưa xác định",DANH_MUC!$L$9&lt;&gt;"Có"),"Nguồn chưa xác định; ","")))</f>
        <v/>
      </c>
      <c r="V123" s="22">
        <f>IF(OR($D123="",$R123="Trùng"),"",IF(COUNTIF(ORDERS!$C$2:$C$4995,$D123)&gt;0,"Có","Không"))</f>
        <v/>
      </c>
      <c r="W123" s="22">
        <f>IF(OR($D123="",$R123="Trùng"),"",COUNTIFS(ORDERS!$C$2:$C$4995,$D123,ORDERS!$L$2:$L$4995,"Đã chuyển khoản"))</f>
        <v/>
      </c>
      <c r="X123" s="23">
        <f>IF(OR($D123="",$R123="Trùng"),"",SUMIFS(ORDERS!$J$2:$J$4995,ORDERS!$C$2:$C$4995,$D123,ORDERS!$L$2:$L$4995,"Đã chuyển khoản"))</f>
        <v/>
      </c>
      <c r="Y123" s="24" t="n"/>
    </row>
    <row r="124" ht="14.25" customHeight="1" s="40">
      <c r="A124" s="24" t="inlineStr">
        <is>
          <t>4848fc8f-30e5-43eb-a8df-776a8a8201e4</t>
        </is>
      </c>
      <c r="B124" s="18" t="n">
        <v>46291.35</v>
      </c>
      <c r="C124" s="24" t="inlineStr">
        <is>
          <t>Hoàng Yến</t>
        </is>
      </c>
      <c r="D124" s="28" t="inlineStr">
        <is>
          <t>0392595989</t>
        </is>
      </c>
      <c r="E124" s="29" t="n">
        <v>46372</v>
      </c>
      <c r="F124" s="24" t="inlineStr">
        <is>
          <t>Đang mang thai</t>
        </is>
      </c>
      <c r="G124" s="24" t="inlineStr">
        <is>
          <t>Hải Phòng</t>
        </is>
      </c>
      <c r="H124" s="21">
        <f>IF(ISNUMBER($B124),INT($B124)-WEEKDAY($B124,2)+1,"")</f>
        <v/>
      </c>
      <c r="I124" s="24" t="inlineStr">
        <is>
          <t>Z-GREEN</t>
        </is>
      </c>
      <c r="J124" s="22">
        <f t="array" ref="J124">IF($D124="","",IF($I124="","(trống REF)",IFERROR(INDEX(MASTER_SOURCE!$B$2:$B$495,MATCH($I124,MASTER_SOURCE!$A$2:$A$495,0)),"(REF không có trong MASTER_SOURCE)")))</f>
        <v/>
      </c>
      <c r="K124" s="22">
        <f t="array" ref="K124">IF($D124="","",IFERROR(INDEX(MASTER_SOURCE!$C$2:$C$495,MATCH($I124,MASTER_SOURCE!$A$2:$A$495,0)),""))</f>
        <v/>
      </c>
      <c r="L124" s="22">
        <f t="array" ref="L124">IF($D124="","",IFERROR(INDEX(MASTER_SOURCE!$D$2:$D$495,MATCH($I124,MASTER_SOURCE!$A$2:$A$495,0)),""))</f>
        <v/>
      </c>
      <c r="M124" s="24" t="inlineStr">
        <is>
          <t>Có</t>
        </is>
      </c>
      <c r="N124" s="24" t="inlineStr">
        <is>
          <t>Có</t>
        </is>
      </c>
      <c r="O124" s="24" t="inlineStr">
        <is>
          <t>Có</t>
        </is>
      </c>
      <c r="P124" s="24" t="inlineStr">
        <is>
          <t>Có</t>
        </is>
      </c>
      <c r="Q124" s="22">
        <f>IF($D124="","",IF(AND(OR(DANH_MUC!$L$5&lt;&gt;"Có",M124="Có"),OR(DANH_MUC!$L$6&lt;&gt;"Có",N124="Có"),OR(DANH_MUC!$L$7&lt;&gt;"Có",O124="Có"),OR(DANH_MUC!$L$8&lt;&gt;"Có",P124="Có")),"Có","Không"))</f>
        <v/>
      </c>
      <c r="R124" s="22">
        <f>IF($D124="","",IF(COUNTIF($D$2:$D124,$D124)&gt;1,"Trùng",""))</f>
        <v/>
      </c>
      <c r="S124" s="22">
        <f>IF($D124="","",IF(AND(LEN($D124)=10,LEFT($D124,1)="0",ISNUMBER(--$D124)),"Có","Không"))</f>
        <v/>
      </c>
      <c r="T124" s="22">
        <f>IF($D124="","",IF(AND($C124&lt;&gt;"",$Q124="Có",$R124="",$S124="Có",AND($L124&lt;&gt;"",OR($L124&lt;&gt;"Chưa xác định",DANH_MUC!$L$9="Có"))),"Có","Không"))</f>
        <v/>
      </c>
      <c r="U124" s="22">
        <f>IF(OR($D124="",$T124="Có"),"",IF($C124="","Thiếu họ tên; ","")&amp;IF($S124&lt;&gt;"Có","SĐT sai định dạng; ","")&amp;IF($R124="Trùng","Trùng SĐT; ","")&amp;IF($Q124&lt;&gt;"Có","Thiếu đồng ý bắt buộc; ","")&amp;IF($L124="","Thiếu/sai Mã REF; ",IF(AND($L124="Chưa xác định",DANH_MUC!$L$9&lt;&gt;"Có"),"Nguồn chưa xác định; ","")))</f>
        <v/>
      </c>
      <c r="V124" s="22">
        <f>IF(OR($D124="",$R124="Trùng"),"",IF(COUNTIF(ORDERS!$C$2:$C$4995,$D124)&gt;0,"Có","Không"))</f>
        <v/>
      </c>
      <c r="W124" s="22">
        <f>IF(OR($D124="",$R124="Trùng"),"",COUNTIFS(ORDERS!$C$2:$C$4995,$D124,ORDERS!$L$2:$L$4995,"Đã chuyển khoản"))</f>
        <v/>
      </c>
      <c r="X124" s="23">
        <f>IF(OR($D124="",$R124="Trùng"),"",SUMIFS(ORDERS!$J$2:$J$4995,ORDERS!$C$2:$C$4995,$D124,ORDERS!$L$2:$L$4995,"Đã chuyển khoản"))</f>
        <v/>
      </c>
      <c r="Y124" s="24" t="n"/>
    </row>
    <row r="125" ht="14.25" customHeight="1" s="40">
      <c r="A125" s="24" t="inlineStr">
        <is>
          <t>7f68832a-60ca-49c9-a89f-23baacbb909a</t>
        </is>
      </c>
      <c r="B125" s="18" t="n">
        <v>46291.35</v>
      </c>
      <c r="C125" s="24" t="inlineStr">
        <is>
          <t>Tuyết</t>
        </is>
      </c>
      <c r="D125" s="28" t="inlineStr">
        <is>
          <t>0357726015</t>
        </is>
      </c>
      <c r="E125" s="29" t="n">
        <v>46346</v>
      </c>
      <c r="F125" s="24" t="inlineStr">
        <is>
          <t>Đang mang thai</t>
        </is>
      </c>
      <c r="G125" s="24" t="inlineStr">
        <is>
          <t>Hải Phòng</t>
        </is>
      </c>
      <c r="H125" s="21">
        <f>IF(ISNUMBER($B125),INT($B125)-WEEKDAY($B125,2)+1,"")</f>
        <v/>
      </c>
      <c r="I125" s="24" t="inlineStr">
        <is>
          <t>Z-GREEN</t>
        </is>
      </c>
      <c r="J125" s="22">
        <f t="array" ref="J125">IF($D125="","",IF($I125="","(trống REF)",IFERROR(INDEX(MASTER_SOURCE!$B$2:$B$495,MATCH($I125,MASTER_SOURCE!$A$2:$A$495,0)),"(REF không có trong MASTER_SOURCE)")))</f>
        <v/>
      </c>
      <c r="K125" s="22">
        <f t="array" ref="K125">IF($D125="","",IFERROR(INDEX(MASTER_SOURCE!$C$2:$C$495,MATCH($I125,MASTER_SOURCE!$A$2:$A$495,0)),""))</f>
        <v/>
      </c>
      <c r="L125" s="22">
        <f t="array" ref="L125">IF($D125="","",IFERROR(INDEX(MASTER_SOURCE!$D$2:$D$495,MATCH($I125,MASTER_SOURCE!$A$2:$A$495,0)),""))</f>
        <v/>
      </c>
      <c r="M125" s="24" t="inlineStr">
        <is>
          <t>Có</t>
        </is>
      </c>
      <c r="N125" s="24" t="inlineStr">
        <is>
          <t>Có</t>
        </is>
      </c>
      <c r="O125" s="24" t="inlineStr">
        <is>
          <t>Có</t>
        </is>
      </c>
      <c r="P125" s="24" t="inlineStr">
        <is>
          <t>Có</t>
        </is>
      </c>
      <c r="Q125" s="22">
        <f>IF($D125="","",IF(AND(OR(DANH_MUC!$L$5&lt;&gt;"Có",M125="Có"),OR(DANH_MUC!$L$6&lt;&gt;"Có",N125="Có"),OR(DANH_MUC!$L$7&lt;&gt;"Có",O125="Có"),OR(DANH_MUC!$L$8&lt;&gt;"Có",P125="Có")),"Có","Không"))</f>
        <v/>
      </c>
      <c r="R125" s="22">
        <f>IF($D125="","",IF(COUNTIF($D$2:$D125,$D125)&gt;1,"Trùng",""))</f>
        <v/>
      </c>
      <c r="S125" s="22">
        <f>IF($D125="","",IF(AND(LEN($D125)=10,LEFT($D125,1)="0",ISNUMBER(--$D125)),"Có","Không"))</f>
        <v/>
      </c>
      <c r="T125" s="22">
        <f>IF($D125="","",IF(AND($C125&lt;&gt;"",$Q125="Có",$R125="",$S125="Có",AND($L125&lt;&gt;"",OR($L125&lt;&gt;"Chưa xác định",DANH_MUC!$L$9="Có"))),"Có","Không"))</f>
        <v/>
      </c>
      <c r="U125" s="22">
        <f>IF(OR($D125="",$T125="Có"),"",IF($C125="","Thiếu họ tên; ","")&amp;IF($S125&lt;&gt;"Có","SĐT sai định dạng; ","")&amp;IF($R125="Trùng","Trùng SĐT; ","")&amp;IF($Q125&lt;&gt;"Có","Thiếu đồng ý bắt buộc; ","")&amp;IF($L125="","Thiếu/sai Mã REF; ",IF(AND($L125="Chưa xác định",DANH_MUC!$L$9&lt;&gt;"Có"),"Nguồn chưa xác định; ","")))</f>
        <v/>
      </c>
      <c r="V125" s="22">
        <f>IF(OR($D125="",$R125="Trùng"),"",IF(COUNTIF(ORDERS!$C$2:$C$4995,$D125)&gt;0,"Có","Không"))</f>
        <v/>
      </c>
      <c r="W125" s="22">
        <f>IF(OR($D125="",$R125="Trùng"),"",COUNTIFS(ORDERS!$C$2:$C$4995,$D125,ORDERS!$L$2:$L$4995,"Đã chuyển khoản"))</f>
        <v/>
      </c>
      <c r="X125" s="23">
        <f>IF(OR($D125="",$R125="Trùng"),"",SUMIFS(ORDERS!$J$2:$J$4995,ORDERS!$C$2:$C$4995,$D125,ORDERS!$L$2:$L$4995,"Đã chuyển khoản"))</f>
        <v/>
      </c>
      <c r="Y125" s="24" t="n"/>
    </row>
    <row r="126" ht="14.25" customHeight="1" s="40">
      <c r="A126" s="24" t="inlineStr">
        <is>
          <t>bc6069d5-abad-466a-add9-7e6d944938ee</t>
        </is>
      </c>
      <c r="B126" s="18" t="n">
        <v>46291.35069444445</v>
      </c>
      <c r="C126" s="24" t="inlineStr">
        <is>
          <t>Trần Thị Thu Hường</t>
        </is>
      </c>
      <c r="D126" s="28" t="inlineStr">
        <is>
          <t>0858602399</t>
        </is>
      </c>
      <c r="E126" s="29" t="n">
        <v>46370</v>
      </c>
      <c r="F126" s="24" t="inlineStr">
        <is>
          <t>Đang mang thai</t>
        </is>
      </c>
      <c r="G126" s="24" t="inlineStr">
        <is>
          <t>Hải Phòng</t>
        </is>
      </c>
      <c r="H126" s="21">
        <f>IF(ISNUMBER($B126),INT($B126)-WEEKDAY($B126,2)+1,"")</f>
        <v/>
      </c>
      <c r="I126" s="24" t="inlineStr">
        <is>
          <t>Z-GREEN</t>
        </is>
      </c>
      <c r="J126" s="22">
        <f t="array" ref="J126">IF($D126="","",IF($I126="","(trống REF)",IFERROR(INDEX(MASTER_SOURCE!$B$2:$B$495,MATCH($I126,MASTER_SOURCE!$A$2:$A$495,0)),"(REF không có trong MASTER_SOURCE)")))</f>
        <v/>
      </c>
      <c r="K126" s="22">
        <f t="array" ref="K126">IF($D126="","",IFERROR(INDEX(MASTER_SOURCE!$C$2:$C$495,MATCH($I126,MASTER_SOURCE!$A$2:$A$495,0)),""))</f>
        <v/>
      </c>
      <c r="L126" s="22">
        <f t="array" ref="L126">IF($D126="","",IFERROR(INDEX(MASTER_SOURCE!$D$2:$D$495,MATCH($I126,MASTER_SOURCE!$A$2:$A$495,0)),""))</f>
        <v/>
      </c>
      <c r="M126" s="24" t="inlineStr">
        <is>
          <t>Có</t>
        </is>
      </c>
      <c r="N126" s="24" t="inlineStr">
        <is>
          <t>Có</t>
        </is>
      </c>
      <c r="O126" s="24" t="inlineStr">
        <is>
          <t>Có</t>
        </is>
      </c>
      <c r="P126" s="24" t="inlineStr">
        <is>
          <t>Có</t>
        </is>
      </c>
      <c r="Q126" s="22">
        <f>IF($D126="","",IF(AND(OR(DANH_MUC!$L$5&lt;&gt;"Có",M126="Có"),OR(DANH_MUC!$L$6&lt;&gt;"Có",N126="Có"),OR(DANH_MUC!$L$7&lt;&gt;"Có",O126="Có"),OR(DANH_MUC!$L$8&lt;&gt;"Có",P126="Có")),"Có","Không"))</f>
        <v/>
      </c>
      <c r="R126" s="22">
        <f>IF($D126="","",IF(COUNTIF($D$2:$D126,$D126)&gt;1,"Trùng",""))</f>
        <v/>
      </c>
      <c r="S126" s="22">
        <f>IF($D126="","",IF(AND(LEN($D126)=10,LEFT($D126,1)="0",ISNUMBER(--$D126)),"Có","Không"))</f>
        <v/>
      </c>
      <c r="T126" s="22">
        <f>IF($D126="","",IF(AND($C126&lt;&gt;"",$Q126="Có",$R126="",$S126="Có",AND($L126&lt;&gt;"",OR($L126&lt;&gt;"Chưa xác định",DANH_MUC!$L$9="Có"))),"Có","Không"))</f>
        <v/>
      </c>
      <c r="U126" s="22">
        <f>IF(OR($D126="",$T126="Có"),"",IF($C126="","Thiếu họ tên; ","")&amp;IF($S126&lt;&gt;"Có","SĐT sai định dạng; ","")&amp;IF($R126="Trùng","Trùng SĐT; ","")&amp;IF($Q126&lt;&gt;"Có","Thiếu đồng ý bắt buộc; ","")&amp;IF($L126="","Thiếu/sai Mã REF; ",IF(AND($L126="Chưa xác định",DANH_MUC!$L$9&lt;&gt;"Có"),"Nguồn chưa xác định; ","")))</f>
        <v/>
      </c>
      <c r="V126" s="22">
        <f>IF(OR($D126="",$R126="Trùng"),"",IF(COUNTIF(ORDERS!$C$2:$C$4995,$D126)&gt;0,"Có","Không"))</f>
        <v/>
      </c>
      <c r="W126" s="22">
        <f>IF(OR($D126="",$R126="Trùng"),"",COUNTIFS(ORDERS!$C$2:$C$4995,$D126,ORDERS!$L$2:$L$4995,"Đã chuyển khoản"))</f>
        <v/>
      </c>
      <c r="X126" s="23">
        <f>IF(OR($D126="",$R126="Trùng"),"",SUMIFS(ORDERS!$J$2:$J$4995,ORDERS!$C$2:$C$4995,$D126,ORDERS!$L$2:$L$4995,"Đã chuyển khoản"))</f>
        <v/>
      </c>
      <c r="Y126" s="24" t="n"/>
    </row>
    <row r="127" ht="14.25" customHeight="1" s="40">
      <c r="A127" s="24" t="inlineStr">
        <is>
          <t>d2c7bea3-f144-4401-9fcb-7a793a025708</t>
        </is>
      </c>
      <c r="B127" s="18" t="n">
        <v>46291.35138888889</v>
      </c>
      <c r="C127" s="24" t="inlineStr">
        <is>
          <t>LỤC THỊ KIỀU TRANG</t>
        </is>
      </c>
      <c r="D127" s="28" t="inlineStr">
        <is>
          <t>0936631250</t>
        </is>
      </c>
      <c r="E127" s="29" t="n">
        <v>46388</v>
      </c>
      <c r="F127" s="24" t="inlineStr">
        <is>
          <t>Đang mang thai</t>
        </is>
      </c>
      <c r="G127" s="24" t="inlineStr">
        <is>
          <t>Hải Phòng</t>
        </is>
      </c>
      <c r="H127" s="21">
        <f>IF(ISNUMBER($B127),INT($B127)-WEEKDAY($B127,2)+1,"")</f>
        <v/>
      </c>
      <c r="I127" s="24" t="inlineStr">
        <is>
          <t>Z-GREEN</t>
        </is>
      </c>
      <c r="J127" s="22">
        <f t="array" ref="J127">IF($D127="","",IF($I127="","(trống REF)",IFERROR(INDEX(MASTER_SOURCE!$B$2:$B$495,MATCH($I127,MASTER_SOURCE!$A$2:$A$495,0)),"(REF không có trong MASTER_SOURCE)")))</f>
        <v/>
      </c>
      <c r="K127" s="22">
        <f t="array" ref="K127">IF($D127="","",IFERROR(INDEX(MASTER_SOURCE!$C$2:$C$495,MATCH($I127,MASTER_SOURCE!$A$2:$A$495,0)),""))</f>
        <v/>
      </c>
      <c r="L127" s="22">
        <f t="array" ref="L127">IF($D127="","",IFERROR(INDEX(MASTER_SOURCE!$D$2:$D$495,MATCH($I127,MASTER_SOURCE!$A$2:$A$495,0)),""))</f>
        <v/>
      </c>
      <c r="M127" s="24" t="inlineStr">
        <is>
          <t>Có</t>
        </is>
      </c>
      <c r="N127" s="24" t="inlineStr">
        <is>
          <t>Có</t>
        </is>
      </c>
      <c r="O127" s="24" t="inlineStr">
        <is>
          <t>Có</t>
        </is>
      </c>
      <c r="P127" s="24" t="inlineStr">
        <is>
          <t>Có</t>
        </is>
      </c>
      <c r="Q127" s="22">
        <f>IF($D127="","",IF(AND(OR(DANH_MUC!$L$5&lt;&gt;"Có",M127="Có"),OR(DANH_MUC!$L$6&lt;&gt;"Có",N127="Có"),OR(DANH_MUC!$L$7&lt;&gt;"Có",O127="Có"),OR(DANH_MUC!$L$8&lt;&gt;"Có",P127="Có")),"Có","Không"))</f>
        <v/>
      </c>
      <c r="R127" s="22">
        <f>IF($D127="","",IF(COUNTIF($D$2:$D127,$D127)&gt;1,"Trùng",""))</f>
        <v/>
      </c>
      <c r="S127" s="22">
        <f>IF($D127="","",IF(AND(LEN($D127)=10,LEFT($D127,1)="0",ISNUMBER(--$D127)),"Có","Không"))</f>
        <v/>
      </c>
      <c r="T127" s="22">
        <f>IF($D127="","",IF(AND($C127&lt;&gt;"",$Q127="Có",$R127="",$S127="Có",AND($L127&lt;&gt;"",OR($L127&lt;&gt;"Chưa xác định",DANH_MUC!$L$9="Có"))),"Có","Không"))</f>
        <v/>
      </c>
      <c r="U127" s="22">
        <f>IF(OR($D127="",$T127="Có"),"",IF($C127="","Thiếu họ tên; ","")&amp;IF($S127&lt;&gt;"Có","SĐT sai định dạng; ","")&amp;IF($R127="Trùng","Trùng SĐT; ","")&amp;IF($Q127&lt;&gt;"Có","Thiếu đồng ý bắt buộc; ","")&amp;IF($L127="","Thiếu/sai Mã REF; ",IF(AND($L127="Chưa xác định",DANH_MUC!$L$9&lt;&gt;"Có"),"Nguồn chưa xác định; ","")))</f>
        <v/>
      </c>
      <c r="V127" s="22">
        <f>IF(OR($D127="",$R127="Trùng"),"",IF(COUNTIF(ORDERS!$C$2:$C$4995,$D127)&gt;0,"Có","Không"))</f>
        <v/>
      </c>
      <c r="W127" s="22">
        <f>IF(OR($D127="",$R127="Trùng"),"",COUNTIFS(ORDERS!$C$2:$C$4995,$D127,ORDERS!$L$2:$L$4995,"Đã chuyển khoản"))</f>
        <v/>
      </c>
      <c r="X127" s="23">
        <f>IF(OR($D127="",$R127="Trùng"),"",SUMIFS(ORDERS!$J$2:$J$4995,ORDERS!$C$2:$C$4995,$D127,ORDERS!$L$2:$L$4995,"Đã chuyển khoản"))</f>
        <v/>
      </c>
      <c r="Y127" s="24" t="n"/>
    </row>
    <row r="128" ht="14.25" customHeight="1" s="40">
      <c r="A128" s="24" t="inlineStr">
        <is>
          <t>76508f4e-e3a0-44e5-959d-e9d9028c1755</t>
        </is>
      </c>
      <c r="B128" s="18" t="n">
        <v>46291.35208333333</v>
      </c>
      <c r="C128" s="24" t="inlineStr">
        <is>
          <t>Lê Thị Thu Nhàn</t>
        </is>
      </c>
      <c r="D128" s="28" t="inlineStr">
        <is>
          <t>0976352485</t>
        </is>
      </c>
      <c r="E128" s="29" t="n">
        <v>46313</v>
      </c>
      <c r="F128" s="24" t="inlineStr">
        <is>
          <t>Đang mang thai</t>
        </is>
      </c>
      <c r="G128" s="24" t="inlineStr">
        <is>
          <t>Đồng Nai</t>
        </is>
      </c>
      <c r="H128" s="21">
        <f>IF(ISNUMBER($B128),INT($B128)-WEEKDAY($B128,2)+1,"")</f>
        <v/>
      </c>
      <c r="I128" s="24" t="inlineStr">
        <is>
          <t>Z-SHING</t>
        </is>
      </c>
      <c r="J128" s="22">
        <f t="array" ref="J128">IF($D128="","",IF($I128="","(trống REF)",IFERROR(INDEX(MASTER_SOURCE!$B$2:$B$495,MATCH($I128,MASTER_SOURCE!$A$2:$A$495,0)),"(REF không có trong MASTER_SOURCE)")))</f>
        <v/>
      </c>
      <c r="K128" s="22">
        <f t="array" ref="K128">IF($D128="","",IFERROR(INDEX(MASTER_SOURCE!$C$2:$C$495,MATCH($I128,MASTER_SOURCE!$A$2:$A$495,0)),""))</f>
        <v/>
      </c>
      <c r="L128" s="22">
        <f t="array" ref="L128">IF($D128="","",IFERROR(INDEX(MASTER_SOURCE!$D$2:$D$495,MATCH($I128,MASTER_SOURCE!$A$2:$A$495,0)),""))</f>
        <v/>
      </c>
      <c r="M128" s="24" t="inlineStr">
        <is>
          <t>Có</t>
        </is>
      </c>
      <c r="N128" s="24" t="inlineStr">
        <is>
          <t>Có</t>
        </is>
      </c>
      <c r="O128" s="24" t="inlineStr">
        <is>
          <t>Có</t>
        </is>
      </c>
      <c r="P128" s="24" t="inlineStr">
        <is>
          <t>Có</t>
        </is>
      </c>
      <c r="Q128" s="22">
        <f>IF($D128="","",IF(AND(OR(DANH_MUC!$L$5&lt;&gt;"Có",M128="Có"),OR(DANH_MUC!$L$6&lt;&gt;"Có",N128="Có"),OR(DANH_MUC!$L$7&lt;&gt;"Có",O128="Có"),OR(DANH_MUC!$L$8&lt;&gt;"Có",P128="Có")),"Có","Không"))</f>
        <v/>
      </c>
      <c r="R128" s="22">
        <f>IF($D128="","",IF(COUNTIF($D$2:$D128,$D128)&gt;1,"Trùng",""))</f>
        <v/>
      </c>
      <c r="S128" s="22">
        <f>IF($D128="","",IF(AND(LEN($D128)=10,LEFT($D128,1)="0",ISNUMBER(--$D128)),"Có","Không"))</f>
        <v/>
      </c>
      <c r="T128" s="22">
        <f>IF($D128="","",IF(AND($C128&lt;&gt;"",$Q128="Có",$R128="",$S128="Có",AND($L128&lt;&gt;"",OR($L128&lt;&gt;"Chưa xác định",DANH_MUC!$L$9="Có"))),"Có","Không"))</f>
        <v/>
      </c>
      <c r="U128" s="22">
        <f>IF(OR($D128="",$T128="Có"),"",IF($C128="","Thiếu họ tên; ","")&amp;IF($S128&lt;&gt;"Có","SĐT sai định dạng; ","")&amp;IF($R128="Trùng","Trùng SĐT; ","")&amp;IF($Q128&lt;&gt;"Có","Thiếu đồng ý bắt buộc; ","")&amp;IF($L128="","Thiếu/sai Mã REF; ",IF(AND($L128="Chưa xác định",DANH_MUC!$L$9&lt;&gt;"Có"),"Nguồn chưa xác định; ","")))</f>
        <v/>
      </c>
      <c r="V128" s="22">
        <f>IF(OR($D128="",$R128="Trùng"),"",IF(COUNTIF(ORDERS!$C$2:$C$4995,$D128)&gt;0,"Có","Không"))</f>
        <v/>
      </c>
      <c r="W128" s="22">
        <f>IF(OR($D128="",$R128="Trùng"),"",COUNTIFS(ORDERS!$C$2:$C$4995,$D128,ORDERS!$L$2:$L$4995,"Đã chuyển khoản"))</f>
        <v/>
      </c>
      <c r="X128" s="23">
        <f>IF(OR($D128="",$R128="Trùng"),"",SUMIFS(ORDERS!$J$2:$J$4995,ORDERS!$C$2:$C$4995,$D128,ORDERS!$L$2:$L$4995,"Đã chuyển khoản"))</f>
        <v/>
      </c>
      <c r="Y128" s="24" t="n"/>
    </row>
    <row r="129" ht="14.25" customHeight="1" s="40">
      <c r="A129" s="24" t="inlineStr">
        <is>
          <t>92fb13fd-b550-41b1-9f75-ea7b2008cb6a</t>
        </is>
      </c>
      <c r="B129" s="18" t="n">
        <v>46291.35277777778</v>
      </c>
      <c r="C129" s="24" t="inlineStr">
        <is>
          <t>ha gia boi</t>
        </is>
      </c>
      <c r="D129" s="28" t="inlineStr">
        <is>
          <t>0765213228</t>
        </is>
      </c>
      <c r="E129" s="29" t="n">
        <v>46355</v>
      </c>
      <c r="F129" s="24" t="inlineStr">
        <is>
          <t>Đang mang thai</t>
        </is>
      </c>
      <c r="G129" s="24" t="inlineStr">
        <is>
          <t>Hồ Chí Minh</t>
        </is>
      </c>
      <c r="H129" s="21">
        <f>IF(ISNUMBER($B129),INT($B129)-WEEKDAY($B129,2)+1,"")</f>
        <v/>
      </c>
      <c r="I129" s="24" t="inlineStr">
        <is>
          <t>C-SHING</t>
        </is>
      </c>
      <c r="J129" s="22">
        <f t="array" ref="J129">IF($D129="","",IF($I129="","(trống REF)",IFERROR(INDEX(MASTER_SOURCE!$B$2:$B$495,MATCH($I129,MASTER_SOURCE!$A$2:$A$495,0)),"(REF không có trong MASTER_SOURCE)")))</f>
        <v/>
      </c>
      <c r="K129" s="22">
        <f t="array" ref="K129">IF($D129="","",IFERROR(INDEX(MASTER_SOURCE!$C$2:$C$495,MATCH($I129,MASTER_SOURCE!$A$2:$A$495,0)),""))</f>
        <v/>
      </c>
      <c r="L129" s="22">
        <f t="array" ref="L129">IF($D129="","",IFERROR(INDEX(MASTER_SOURCE!$D$2:$D$495,MATCH($I129,MASTER_SOURCE!$A$2:$A$495,0)),""))</f>
        <v/>
      </c>
      <c r="M129" s="24" t="inlineStr">
        <is>
          <t>Có</t>
        </is>
      </c>
      <c r="N129" s="24" t="inlineStr">
        <is>
          <t>Có</t>
        </is>
      </c>
      <c r="O129" s="24" t="inlineStr">
        <is>
          <t>Có</t>
        </is>
      </c>
      <c r="P129" s="24" t="inlineStr">
        <is>
          <t>Có</t>
        </is>
      </c>
      <c r="Q129" s="22">
        <f>IF($D129="","",IF(AND(OR(DANH_MUC!$L$5&lt;&gt;"Có",M129="Có"),OR(DANH_MUC!$L$6&lt;&gt;"Có",N129="Có"),OR(DANH_MUC!$L$7&lt;&gt;"Có",O129="Có"),OR(DANH_MUC!$L$8&lt;&gt;"Có",P129="Có")),"Có","Không"))</f>
        <v/>
      </c>
      <c r="R129" s="22">
        <f>IF($D129="","",IF(COUNTIF($D$2:$D129,$D129)&gt;1,"Trùng",""))</f>
        <v/>
      </c>
      <c r="S129" s="22">
        <f>IF($D129="","",IF(AND(LEN($D129)=10,LEFT($D129,1)="0",ISNUMBER(--$D129)),"Có","Không"))</f>
        <v/>
      </c>
      <c r="T129" s="22">
        <f>IF($D129="","",IF(AND($C129&lt;&gt;"",$Q129="Có",$R129="",$S129="Có",AND($L129&lt;&gt;"",OR($L129&lt;&gt;"Chưa xác định",DANH_MUC!$L$9="Có"))),"Có","Không"))</f>
        <v/>
      </c>
      <c r="U129" s="22">
        <f>IF(OR($D129="",$T129="Có"),"",IF($C129="","Thiếu họ tên; ","")&amp;IF($S129&lt;&gt;"Có","SĐT sai định dạng; ","")&amp;IF($R129="Trùng","Trùng SĐT; ","")&amp;IF($Q129&lt;&gt;"Có","Thiếu đồng ý bắt buộc; ","")&amp;IF($L129="","Thiếu/sai Mã REF; ",IF(AND($L129="Chưa xác định",DANH_MUC!$L$9&lt;&gt;"Có"),"Nguồn chưa xác định; ","")))</f>
        <v/>
      </c>
      <c r="V129" s="22">
        <f>IF(OR($D129="",$R129="Trùng"),"",IF(COUNTIF(ORDERS!$C$2:$C$4995,$D129)&gt;0,"Có","Không"))</f>
        <v/>
      </c>
      <c r="W129" s="22">
        <f>IF(OR($D129="",$R129="Trùng"),"",COUNTIFS(ORDERS!$C$2:$C$4995,$D129,ORDERS!$L$2:$L$4995,"Đã chuyển khoản"))</f>
        <v/>
      </c>
      <c r="X129" s="23">
        <f>IF(OR($D129="",$R129="Trùng"),"",SUMIFS(ORDERS!$J$2:$J$4995,ORDERS!$C$2:$C$4995,$D129,ORDERS!$L$2:$L$4995,"Đã chuyển khoản"))</f>
        <v/>
      </c>
      <c r="Y129" s="24" t="n"/>
    </row>
    <row r="130" ht="14.25" customHeight="1" s="40">
      <c r="A130" s="24" t="inlineStr">
        <is>
          <t>481f1cbd-be61-4339-81af-fad1a84db21b</t>
        </is>
      </c>
      <c r="B130" s="18" t="n">
        <v>46291.35416666666</v>
      </c>
      <c r="C130" s="24" t="inlineStr">
        <is>
          <t>Đồng Thị Quỳnh Anh</t>
        </is>
      </c>
      <c r="D130" s="28" t="inlineStr">
        <is>
          <t>0335136843</t>
        </is>
      </c>
      <c r="E130" s="29" t="n">
        <v>46340</v>
      </c>
      <c r="F130" s="24" t="inlineStr">
        <is>
          <t>Đang mang thai</t>
        </is>
      </c>
      <c r="G130" s="24" t="inlineStr">
        <is>
          <t>Hải Phòng</t>
        </is>
      </c>
      <c r="H130" s="21">
        <f>IF(ISNUMBER($B130),INT($B130)-WEEKDAY($B130,2)+1,"")</f>
        <v/>
      </c>
      <c r="I130" s="24" t="inlineStr">
        <is>
          <t>Z-GREEN</t>
        </is>
      </c>
      <c r="J130" s="22">
        <f t="array" ref="J130">IF($D130="","",IF($I130="","(trống REF)",IFERROR(INDEX(MASTER_SOURCE!$B$2:$B$495,MATCH($I130,MASTER_SOURCE!$A$2:$A$495,0)),"(REF không có trong MASTER_SOURCE)")))</f>
        <v/>
      </c>
      <c r="K130" s="22">
        <f t="array" ref="K130">IF($D130="","",IFERROR(INDEX(MASTER_SOURCE!$C$2:$C$495,MATCH($I130,MASTER_SOURCE!$A$2:$A$495,0)),""))</f>
        <v/>
      </c>
      <c r="L130" s="22">
        <f t="array" ref="L130">IF($D130="","",IFERROR(INDEX(MASTER_SOURCE!$D$2:$D$495,MATCH($I130,MASTER_SOURCE!$A$2:$A$495,0)),""))</f>
        <v/>
      </c>
      <c r="M130" s="24" t="inlineStr">
        <is>
          <t>Có</t>
        </is>
      </c>
      <c r="N130" s="24" t="inlineStr">
        <is>
          <t>Có</t>
        </is>
      </c>
      <c r="O130" s="24" t="inlineStr">
        <is>
          <t>Có</t>
        </is>
      </c>
      <c r="P130" s="24" t="inlineStr">
        <is>
          <t>Có</t>
        </is>
      </c>
      <c r="Q130" s="22">
        <f>IF($D130="","",IF(AND(OR(DANH_MUC!$L$5&lt;&gt;"Có",M130="Có"),OR(DANH_MUC!$L$6&lt;&gt;"Có",N130="Có"),OR(DANH_MUC!$L$7&lt;&gt;"Có",O130="Có"),OR(DANH_MUC!$L$8&lt;&gt;"Có",P130="Có")),"Có","Không"))</f>
        <v/>
      </c>
      <c r="R130" s="22">
        <f>IF($D130="","",IF(COUNTIF($D$2:$D130,$D130)&gt;1,"Trùng",""))</f>
        <v/>
      </c>
      <c r="S130" s="22">
        <f>IF($D130="","",IF(AND(LEN($D130)=10,LEFT($D130,1)="0",ISNUMBER(--$D130)),"Có","Không"))</f>
        <v/>
      </c>
      <c r="T130" s="22">
        <f>IF($D130="","",IF(AND($C130&lt;&gt;"",$Q130="Có",$R130="",$S130="Có",AND($L130&lt;&gt;"",OR($L130&lt;&gt;"Chưa xác định",DANH_MUC!$L$9="Có"))),"Có","Không"))</f>
        <v/>
      </c>
      <c r="U130" s="22">
        <f>IF(OR($D130="",$T130="Có"),"",IF($C130="","Thiếu họ tên; ","")&amp;IF($S130&lt;&gt;"Có","SĐT sai định dạng; ","")&amp;IF($R130="Trùng","Trùng SĐT; ","")&amp;IF($Q130&lt;&gt;"Có","Thiếu đồng ý bắt buộc; ","")&amp;IF($L130="","Thiếu/sai Mã REF; ",IF(AND($L130="Chưa xác định",DANH_MUC!$L$9&lt;&gt;"Có"),"Nguồn chưa xác định; ","")))</f>
        <v/>
      </c>
      <c r="V130" s="22">
        <f>IF(OR($D130="",$R130="Trùng"),"",IF(COUNTIF(ORDERS!$C$2:$C$4995,$D130)&gt;0,"Có","Không"))</f>
        <v/>
      </c>
      <c r="W130" s="22">
        <f>IF(OR($D130="",$R130="Trùng"),"",COUNTIFS(ORDERS!$C$2:$C$4995,$D130,ORDERS!$L$2:$L$4995,"Đã chuyển khoản"))</f>
        <v/>
      </c>
      <c r="X130" s="23">
        <f>IF(OR($D130="",$R130="Trùng"),"",SUMIFS(ORDERS!$J$2:$J$4995,ORDERS!$C$2:$C$4995,$D130,ORDERS!$L$2:$L$4995,"Đã chuyển khoản"))</f>
        <v/>
      </c>
      <c r="Y130" s="24" t="n"/>
    </row>
    <row r="131" ht="14.25" customHeight="1" s="40">
      <c r="A131" s="24" t="inlineStr">
        <is>
          <t>a388de14-5755-4dbf-9260-02d92b0e299b</t>
        </is>
      </c>
      <c r="B131" s="18" t="n">
        <v>46291.35416666666</v>
      </c>
      <c r="C131" s="24" t="inlineStr">
        <is>
          <t>Nguyễn Thanh Nga</t>
        </is>
      </c>
      <c r="D131" s="28" t="inlineStr">
        <is>
          <t>0901519407</t>
        </is>
      </c>
      <c r="E131" s="29" t="n">
        <v>46385</v>
      </c>
      <c r="F131" s="24" t="inlineStr">
        <is>
          <t>Đang mang thai</t>
        </is>
      </c>
      <c r="G131" s="24" t="inlineStr">
        <is>
          <t>Hải Phòng</t>
        </is>
      </c>
      <c r="H131" s="21">
        <f>IF(ISNUMBER($B131),INT($B131)-WEEKDAY($B131,2)+1,"")</f>
        <v/>
      </c>
      <c r="I131" s="24" t="inlineStr">
        <is>
          <t>Z-GREEN</t>
        </is>
      </c>
      <c r="J131" s="22">
        <f t="array" ref="J131">IF($D131="","",IF($I131="","(trống REF)",IFERROR(INDEX(MASTER_SOURCE!$B$2:$B$495,MATCH($I131,MASTER_SOURCE!$A$2:$A$495,0)),"(REF không có trong MASTER_SOURCE)")))</f>
        <v/>
      </c>
      <c r="K131" s="22">
        <f t="array" ref="K131">IF($D131="","",IFERROR(INDEX(MASTER_SOURCE!$C$2:$C$495,MATCH($I131,MASTER_SOURCE!$A$2:$A$495,0)),""))</f>
        <v/>
      </c>
      <c r="L131" s="22">
        <f t="array" ref="L131">IF($D131="","",IFERROR(INDEX(MASTER_SOURCE!$D$2:$D$495,MATCH($I131,MASTER_SOURCE!$A$2:$A$495,0)),""))</f>
        <v/>
      </c>
      <c r="M131" s="24" t="inlineStr">
        <is>
          <t>Có</t>
        </is>
      </c>
      <c r="N131" s="24" t="inlineStr">
        <is>
          <t>Có</t>
        </is>
      </c>
      <c r="O131" s="24" t="inlineStr">
        <is>
          <t>Có</t>
        </is>
      </c>
      <c r="P131" s="24" t="inlineStr">
        <is>
          <t>Có</t>
        </is>
      </c>
      <c r="Q131" s="22">
        <f>IF($D131="","",IF(AND(OR(DANH_MUC!$L$5&lt;&gt;"Có",M131="Có"),OR(DANH_MUC!$L$6&lt;&gt;"Có",N131="Có"),OR(DANH_MUC!$L$7&lt;&gt;"Có",O131="Có"),OR(DANH_MUC!$L$8&lt;&gt;"Có",P131="Có")),"Có","Không"))</f>
        <v/>
      </c>
      <c r="R131" s="22">
        <f>IF($D131="","",IF(COUNTIF($D$2:$D131,$D131)&gt;1,"Trùng",""))</f>
        <v/>
      </c>
      <c r="S131" s="22">
        <f>IF($D131="","",IF(AND(LEN($D131)=10,LEFT($D131,1)="0",ISNUMBER(--$D131)),"Có","Không"))</f>
        <v/>
      </c>
      <c r="T131" s="22">
        <f>IF($D131="","",IF(AND($C131&lt;&gt;"",$Q131="Có",$R131="",$S131="Có",AND($L131&lt;&gt;"",OR($L131&lt;&gt;"Chưa xác định",DANH_MUC!$L$9="Có"))),"Có","Không"))</f>
        <v/>
      </c>
      <c r="U131" s="22">
        <f>IF(OR($D131="",$T131="Có"),"",IF($C131="","Thiếu họ tên; ","")&amp;IF($S131&lt;&gt;"Có","SĐT sai định dạng; ","")&amp;IF($R131="Trùng","Trùng SĐT; ","")&amp;IF($Q131&lt;&gt;"Có","Thiếu đồng ý bắt buộc; ","")&amp;IF($L131="","Thiếu/sai Mã REF; ",IF(AND($L131="Chưa xác định",DANH_MUC!$L$9&lt;&gt;"Có"),"Nguồn chưa xác định; ","")))</f>
        <v/>
      </c>
      <c r="V131" s="22">
        <f>IF(OR($D131="",$R131="Trùng"),"",IF(COUNTIF(ORDERS!$C$2:$C$4995,$D131)&gt;0,"Có","Không"))</f>
        <v/>
      </c>
      <c r="W131" s="22">
        <f>IF(OR($D131="",$R131="Trùng"),"",COUNTIFS(ORDERS!$C$2:$C$4995,$D131,ORDERS!$L$2:$L$4995,"Đã chuyển khoản"))</f>
        <v/>
      </c>
      <c r="X131" s="23">
        <f>IF(OR($D131="",$R131="Trùng"),"",SUMIFS(ORDERS!$J$2:$J$4995,ORDERS!$C$2:$C$4995,$D131,ORDERS!$L$2:$L$4995,"Đã chuyển khoản"))</f>
        <v/>
      </c>
      <c r="Y131" s="24" t="n"/>
    </row>
    <row r="132" ht="14.25" customHeight="1" s="40">
      <c r="A132" s="24" t="inlineStr">
        <is>
          <t>83a4af52-d738-4215-8b29-242ef62b5700</t>
        </is>
      </c>
      <c r="B132" s="18" t="n">
        <v>46291.35486111111</v>
      </c>
      <c r="C132" s="24" t="inlineStr">
        <is>
          <t>Trần Thu Hương</t>
        </is>
      </c>
      <c r="D132" s="28" t="inlineStr">
        <is>
          <t>0965126812</t>
        </is>
      </c>
      <c r="E132" s="29" t="n">
        <v>46379</v>
      </c>
      <c r="F132" s="24" t="inlineStr">
        <is>
          <t>Đang mang thai</t>
        </is>
      </c>
      <c r="G132" s="24" t="inlineStr">
        <is>
          <t>Hải Phòng</t>
        </is>
      </c>
      <c r="H132" s="21">
        <f>IF(ISNUMBER($B132),INT($B132)-WEEKDAY($B132,2)+1,"")</f>
        <v/>
      </c>
      <c r="I132" s="24" t="inlineStr">
        <is>
          <t>Z-GREEN</t>
        </is>
      </c>
      <c r="J132" s="22">
        <f t="array" ref="J132">IF($D132="","",IF($I132="","(trống REF)",IFERROR(INDEX(MASTER_SOURCE!$B$2:$B$495,MATCH($I132,MASTER_SOURCE!$A$2:$A$495,0)),"(REF không có trong MASTER_SOURCE)")))</f>
        <v/>
      </c>
      <c r="K132" s="22">
        <f t="array" ref="K132">IF($D132="","",IFERROR(INDEX(MASTER_SOURCE!$C$2:$C$495,MATCH($I132,MASTER_SOURCE!$A$2:$A$495,0)),""))</f>
        <v/>
      </c>
      <c r="L132" s="22">
        <f t="array" ref="L132">IF($D132="","",IFERROR(INDEX(MASTER_SOURCE!$D$2:$D$495,MATCH($I132,MASTER_SOURCE!$A$2:$A$495,0)),""))</f>
        <v/>
      </c>
      <c r="M132" s="24" t="inlineStr">
        <is>
          <t>Có</t>
        </is>
      </c>
      <c r="N132" s="24" t="inlineStr">
        <is>
          <t>Có</t>
        </is>
      </c>
      <c r="O132" s="24" t="inlineStr">
        <is>
          <t>Có</t>
        </is>
      </c>
      <c r="P132" s="24" t="inlineStr">
        <is>
          <t>Có</t>
        </is>
      </c>
      <c r="Q132" s="22">
        <f>IF($D132="","",IF(AND(OR(DANH_MUC!$L$5&lt;&gt;"Có",M132="Có"),OR(DANH_MUC!$L$6&lt;&gt;"Có",N132="Có"),OR(DANH_MUC!$L$7&lt;&gt;"Có",O132="Có"),OR(DANH_MUC!$L$8&lt;&gt;"Có",P132="Có")),"Có","Không"))</f>
        <v/>
      </c>
      <c r="R132" s="22">
        <f>IF($D132="","",IF(COUNTIF($D$2:$D132,$D132)&gt;1,"Trùng",""))</f>
        <v/>
      </c>
      <c r="S132" s="22">
        <f>IF($D132="","",IF(AND(LEN($D132)=10,LEFT($D132,1)="0",ISNUMBER(--$D132)),"Có","Không"))</f>
        <v/>
      </c>
      <c r="T132" s="22">
        <f>IF($D132="","",IF(AND($C132&lt;&gt;"",$Q132="Có",$R132="",$S132="Có",AND($L132&lt;&gt;"",OR($L132&lt;&gt;"Chưa xác định",DANH_MUC!$L$9="Có"))),"Có","Không"))</f>
        <v/>
      </c>
      <c r="U132" s="22">
        <f>IF(OR($D132="",$T132="Có"),"",IF($C132="","Thiếu họ tên; ","")&amp;IF($S132&lt;&gt;"Có","SĐT sai định dạng; ","")&amp;IF($R132="Trùng","Trùng SĐT; ","")&amp;IF($Q132&lt;&gt;"Có","Thiếu đồng ý bắt buộc; ","")&amp;IF($L132="","Thiếu/sai Mã REF; ",IF(AND($L132="Chưa xác định",DANH_MUC!$L$9&lt;&gt;"Có"),"Nguồn chưa xác định; ","")))</f>
        <v/>
      </c>
      <c r="V132" s="22">
        <f>IF(OR($D132="",$R132="Trùng"),"",IF(COUNTIF(ORDERS!$C$2:$C$4995,$D132)&gt;0,"Có","Không"))</f>
        <v/>
      </c>
      <c r="W132" s="22">
        <f>IF(OR($D132="",$R132="Trùng"),"",COUNTIFS(ORDERS!$C$2:$C$4995,$D132,ORDERS!$L$2:$L$4995,"Đã chuyển khoản"))</f>
        <v/>
      </c>
      <c r="X132" s="23">
        <f>IF(OR($D132="",$R132="Trùng"),"",SUMIFS(ORDERS!$J$2:$J$4995,ORDERS!$C$2:$C$4995,$D132,ORDERS!$L$2:$L$4995,"Đã chuyển khoản"))</f>
        <v/>
      </c>
      <c r="Y132" s="24" t="n"/>
    </row>
    <row r="133" ht="14.25" customHeight="1" s="40">
      <c r="A133" s="24" t="inlineStr">
        <is>
          <t>531dba5e-ef4d-4ab9-96d4-e4f843183d3a</t>
        </is>
      </c>
      <c r="B133" s="18" t="n">
        <v>46291.35555555556</v>
      </c>
      <c r="C133" s="24" t="inlineStr">
        <is>
          <t>Cao Thị dung</t>
        </is>
      </c>
      <c r="D133" s="28" t="inlineStr">
        <is>
          <t>0338779869</t>
        </is>
      </c>
      <c r="E133" s="29" t="n">
        <v>46404</v>
      </c>
      <c r="F133" s="24" t="inlineStr">
        <is>
          <t>Đang mang thai</t>
        </is>
      </c>
      <c r="G133" s="24" t="inlineStr">
        <is>
          <t>Hải Phòng</t>
        </is>
      </c>
      <c r="H133" s="21">
        <f>IF(ISNUMBER($B133),INT($B133)-WEEKDAY($B133,2)+1,"")</f>
        <v/>
      </c>
      <c r="I133" s="24" t="inlineStr">
        <is>
          <t>Z-GREEN</t>
        </is>
      </c>
      <c r="J133" s="22">
        <f t="array" ref="J133">IF($D133="","",IF($I133="","(trống REF)",IFERROR(INDEX(MASTER_SOURCE!$B$2:$B$495,MATCH($I133,MASTER_SOURCE!$A$2:$A$495,0)),"(REF không có trong MASTER_SOURCE)")))</f>
        <v/>
      </c>
      <c r="K133" s="22">
        <f t="array" ref="K133">IF($D133="","",IFERROR(INDEX(MASTER_SOURCE!$C$2:$C$495,MATCH($I133,MASTER_SOURCE!$A$2:$A$495,0)),""))</f>
        <v/>
      </c>
      <c r="L133" s="22">
        <f t="array" ref="L133">IF($D133="","",IFERROR(INDEX(MASTER_SOURCE!$D$2:$D$495,MATCH($I133,MASTER_SOURCE!$A$2:$A$495,0)),""))</f>
        <v/>
      </c>
      <c r="M133" s="24" t="inlineStr">
        <is>
          <t>Có</t>
        </is>
      </c>
      <c r="N133" s="24" t="inlineStr">
        <is>
          <t>Có</t>
        </is>
      </c>
      <c r="O133" s="24" t="inlineStr">
        <is>
          <t>Có</t>
        </is>
      </c>
      <c r="P133" s="24" t="inlineStr">
        <is>
          <t>Có</t>
        </is>
      </c>
      <c r="Q133" s="22">
        <f>IF($D133="","",IF(AND(OR(DANH_MUC!$L$5&lt;&gt;"Có",M133="Có"),OR(DANH_MUC!$L$6&lt;&gt;"Có",N133="Có"),OR(DANH_MUC!$L$7&lt;&gt;"Có",O133="Có"),OR(DANH_MUC!$L$8&lt;&gt;"Có",P133="Có")),"Có","Không"))</f>
        <v/>
      </c>
      <c r="R133" s="22">
        <f>IF($D133="","",IF(COUNTIF($D$2:$D133,$D133)&gt;1,"Trùng",""))</f>
        <v/>
      </c>
      <c r="S133" s="22">
        <f>IF($D133="","",IF(AND(LEN($D133)=10,LEFT($D133,1)="0",ISNUMBER(--$D133)),"Có","Không"))</f>
        <v/>
      </c>
      <c r="T133" s="22">
        <f>IF($D133="","",IF(AND($C133&lt;&gt;"",$Q133="Có",$R133="",$S133="Có",AND($L133&lt;&gt;"",OR($L133&lt;&gt;"Chưa xác định",DANH_MUC!$L$9="Có"))),"Có","Không"))</f>
        <v/>
      </c>
      <c r="U133" s="22">
        <f>IF(OR($D133="",$T133="Có"),"",IF($C133="","Thiếu họ tên; ","")&amp;IF($S133&lt;&gt;"Có","SĐT sai định dạng; ","")&amp;IF($R133="Trùng","Trùng SĐT; ","")&amp;IF($Q133&lt;&gt;"Có","Thiếu đồng ý bắt buộc; ","")&amp;IF($L133="","Thiếu/sai Mã REF; ",IF(AND($L133="Chưa xác định",DANH_MUC!$L$9&lt;&gt;"Có"),"Nguồn chưa xác định; ","")))</f>
        <v/>
      </c>
      <c r="V133" s="22">
        <f>IF(OR($D133="",$R133="Trùng"),"",IF(COUNTIF(ORDERS!$C$2:$C$4995,$D133)&gt;0,"Có","Không"))</f>
        <v/>
      </c>
      <c r="W133" s="22">
        <f>IF(OR($D133="",$R133="Trùng"),"",COUNTIFS(ORDERS!$C$2:$C$4995,$D133,ORDERS!$L$2:$L$4995,"Đã chuyển khoản"))</f>
        <v/>
      </c>
      <c r="X133" s="23">
        <f>IF(OR($D133="",$R133="Trùng"),"",SUMIFS(ORDERS!$J$2:$J$4995,ORDERS!$C$2:$C$4995,$D133,ORDERS!$L$2:$L$4995,"Đã chuyển khoản"))</f>
        <v/>
      </c>
      <c r="Y133" s="24" t="n"/>
    </row>
    <row r="134" ht="14.25" customHeight="1" s="40">
      <c r="A134" s="24" t="inlineStr">
        <is>
          <t>f8bdb31f-d769-4775-b940-193dd76d3a21</t>
        </is>
      </c>
      <c r="B134" s="18" t="n">
        <v>46291.35555555556</v>
      </c>
      <c r="C134" s="24" t="inlineStr">
        <is>
          <t>Nguyen thi huyen trang</t>
        </is>
      </c>
      <c r="D134" s="28" t="inlineStr">
        <is>
          <t>0961856146</t>
        </is>
      </c>
      <c r="E134" s="29" t="n">
        <v>46307</v>
      </c>
      <c r="F134" s="24" t="inlineStr">
        <is>
          <t>Đang mang thai</t>
        </is>
      </c>
      <c r="G134" s="24" t="inlineStr">
        <is>
          <t>Hải Phòng</t>
        </is>
      </c>
      <c r="H134" s="21">
        <f>IF(ISNUMBER($B134),INT($B134)-WEEKDAY($B134,2)+1,"")</f>
        <v/>
      </c>
      <c r="I134" s="24" t="inlineStr">
        <is>
          <t>Z-GREEN</t>
        </is>
      </c>
      <c r="J134" s="22">
        <f t="array" ref="J134">IF($D134="","",IF($I134="","(trống REF)",IFERROR(INDEX(MASTER_SOURCE!$B$2:$B$495,MATCH($I134,MASTER_SOURCE!$A$2:$A$495,0)),"(REF không có trong MASTER_SOURCE)")))</f>
        <v/>
      </c>
      <c r="K134" s="22">
        <f t="array" ref="K134">IF($D134="","",IFERROR(INDEX(MASTER_SOURCE!$C$2:$C$495,MATCH($I134,MASTER_SOURCE!$A$2:$A$495,0)),""))</f>
        <v/>
      </c>
      <c r="L134" s="22">
        <f t="array" ref="L134">IF($D134="","",IFERROR(INDEX(MASTER_SOURCE!$D$2:$D$495,MATCH($I134,MASTER_SOURCE!$A$2:$A$495,0)),""))</f>
        <v/>
      </c>
      <c r="M134" s="24" t="inlineStr">
        <is>
          <t>Có</t>
        </is>
      </c>
      <c r="N134" s="24" t="inlineStr">
        <is>
          <t>Có</t>
        </is>
      </c>
      <c r="O134" s="24" t="inlineStr">
        <is>
          <t>Có</t>
        </is>
      </c>
      <c r="P134" s="24" t="inlineStr">
        <is>
          <t>Có</t>
        </is>
      </c>
      <c r="Q134" s="22">
        <f>IF($D134="","",IF(AND(OR(DANH_MUC!$L$5&lt;&gt;"Có",M134="Có"),OR(DANH_MUC!$L$6&lt;&gt;"Có",N134="Có"),OR(DANH_MUC!$L$7&lt;&gt;"Có",O134="Có"),OR(DANH_MUC!$L$8&lt;&gt;"Có",P134="Có")),"Có","Không"))</f>
        <v/>
      </c>
      <c r="R134" s="22">
        <f>IF($D134="","",IF(COUNTIF($D$2:$D134,$D134)&gt;1,"Trùng",""))</f>
        <v/>
      </c>
      <c r="S134" s="22">
        <f>IF($D134="","",IF(AND(LEN($D134)=10,LEFT($D134,1)="0",ISNUMBER(--$D134)),"Có","Không"))</f>
        <v/>
      </c>
      <c r="T134" s="22">
        <f>IF($D134="","",IF(AND($C134&lt;&gt;"",$Q134="Có",$R134="",$S134="Có",AND($L134&lt;&gt;"",OR($L134&lt;&gt;"Chưa xác định",DANH_MUC!$L$9="Có"))),"Có","Không"))</f>
        <v/>
      </c>
      <c r="U134" s="22">
        <f>IF(OR($D134="",$T134="Có"),"",IF($C134="","Thiếu họ tên; ","")&amp;IF($S134&lt;&gt;"Có","SĐT sai định dạng; ","")&amp;IF($R134="Trùng","Trùng SĐT; ","")&amp;IF($Q134&lt;&gt;"Có","Thiếu đồng ý bắt buộc; ","")&amp;IF($L134="","Thiếu/sai Mã REF; ",IF(AND($L134="Chưa xác định",DANH_MUC!$L$9&lt;&gt;"Có"),"Nguồn chưa xác định; ","")))</f>
        <v/>
      </c>
      <c r="V134" s="22">
        <f>IF(OR($D134="",$R134="Trùng"),"",IF(COUNTIF(ORDERS!$C$2:$C$4995,$D134)&gt;0,"Có","Không"))</f>
        <v/>
      </c>
      <c r="W134" s="22">
        <f>IF(OR($D134="",$R134="Trùng"),"",COUNTIFS(ORDERS!$C$2:$C$4995,$D134,ORDERS!$L$2:$L$4995,"Đã chuyển khoản"))</f>
        <v/>
      </c>
      <c r="X134" s="23">
        <f>IF(OR($D134="",$R134="Trùng"),"",SUMIFS(ORDERS!$J$2:$J$4995,ORDERS!$C$2:$C$4995,$D134,ORDERS!$L$2:$L$4995,"Đã chuyển khoản"))</f>
        <v/>
      </c>
      <c r="Y134" s="24" t="n"/>
    </row>
    <row r="135" ht="14.25" customHeight="1" s="40">
      <c r="A135" s="24" t="inlineStr">
        <is>
          <t>e8da669d-8c7f-4029-a2cd-44526c5d75de</t>
        </is>
      </c>
      <c r="B135" s="18" t="n">
        <v>46291.35625</v>
      </c>
      <c r="C135" s="24" t="inlineStr">
        <is>
          <t>Đặng Quỳnh Chi</t>
        </is>
      </c>
      <c r="D135" s="28" t="inlineStr">
        <is>
          <t>0982301855</t>
        </is>
      </c>
      <c r="E135" s="29" t="n">
        <v>46398</v>
      </c>
      <c r="F135" s="24" t="inlineStr">
        <is>
          <t>Đang mang thai</t>
        </is>
      </c>
      <c r="G135" s="24" t="inlineStr">
        <is>
          <t>Hải Phòng</t>
        </is>
      </c>
      <c r="H135" s="21">
        <f>IF(ISNUMBER($B135),INT($B135)-WEEKDAY($B135,2)+1,"")</f>
        <v/>
      </c>
      <c r="I135" s="24" t="inlineStr">
        <is>
          <t>Z-GREEN</t>
        </is>
      </c>
      <c r="J135" s="22">
        <f t="array" ref="J135">IF($D135="","",IF($I135="","(trống REF)",IFERROR(INDEX(MASTER_SOURCE!$B$2:$B$495,MATCH($I135,MASTER_SOURCE!$A$2:$A$495,0)),"(REF không có trong MASTER_SOURCE)")))</f>
        <v/>
      </c>
      <c r="K135" s="22">
        <f t="array" ref="K135">IF($D135="","",IFERROR(INDEX(MASTER_SOURCE!$C$2:$C$495,MATCH($I135,MASTER_SOURCE!$A$2:$A$495,0)),""))</f>
        <v/>
      </c>
      <c r="L135" s="22">
        <f t="array" ref="L135">IF($D135="","",IFERROR(INDEX(MASTER_SOURCE!$D$2:$D$495,MATCH($I135,MASTER_SOURCE!$A$2:$A$495,0)),""))</f>
        <v/>
      </c>
      <c r="M135" s="24" t="inlineStr">
        <is>
          <t>Có</t>
        </is>
      </c>
      <c r="N135" s="24" t="inlineStr">
        <is>
          <t>Có</t>
        </is>
      </c>
      <c r="O135" s="24" t="inlineStr">
        <is>
          <t>Có</t>
        </is>
      </c>
      <c r="P135" s="24" t="inlineStr">
        <is>
          <t>Có</t>
        </is>
      </c>
      <c r="Q135" s="22">
        <f>IF($D135="","",IF(AND(OR(DANH_MUC!$L$5&lt;&gt;"Có",M135="Có"),OR(DANH_MUC!$L$6&lt;&gt;"Có",N135="Có"),OR(DANH_MUC!$L$7&lt;&gt;"Có",O135="Có"),OR(DANH_MUC!$L$8&lt;&gt;"Có",P135="Có")),"Có","Không"))</f>
        <v/>
      </c>
      <c r="R135" s="22">
        <f>IF($D135="","",IF(COUNTIF($D$2:$D135,$D135)&gt;1,"Trùng",""))</f>
        <v/>
      </c>
      <c r="S135" s="22">
        <f>IF($D135="","",IF(AND(LEN($D135)=10,LEFT($D135,1)="0",ISNUMBER(--$D135)),"Có","Không"))</f>
        <v/>
      </c>
      <c r="T135" s="22">
        <f>IF($D135="","",IF(AND($C135&lt;&gt;"",$Q135="Có",$R135="",$S135="Có",AND($L135&lt;&gt;"",OR($L135&lt;&gt;"Chưa xác định",DANH_MUC!$L$9="Có"))),"Có","Không"))</f>
        <v/>
      </c>
      <c r="U135" s="22">
        <f>IF(OR($D135="",$T135="Có"),"",IF($C135="","Thiếu họ tên; ","")&amp;IF($S135&lt;&gt;"Có","SĐT sai định dạng; ","")&amp;IF($R135="Trùng","Trùng SĐT; ","")&amp;IF($Q135&lt;&gt;"Có","Thiếu đồng ý bắt buộc; ","")&amp;IF($L135="","Thiếu/sai Mã REF; ",IF(AND($L135="Chưa xác định",DANH_MUC!$L$9&lt;&gt;"Có"),"Nguồn chưa xác định; ","")))</f>
        <v/>
      </c>
      <c r="V135" s="22">
        <f>IF(OR($D135="",$R135="Trùng"),"",IF(COUNTIF(ORDERS!$C$2:$C$4995,$D135)&gt;0,"Có","Không"))</f>
        <v/>
      </c>
      <c r="W135" s="22">
        <f>IF(OR($D135="",$R135="Trùng"),"",COUNTIFS(ORDERS!$C$2:$C$4995,$D135,ORDERS!$L$2:$L$4995,"Đã chuyển khoản"))</f>
        <v/>
      </c>
      <c r="X135" s="23">
        <f>IF(OR($D135="",$R135="Trùng"),"",SUMIFS(ORDERS!$J$2:$J$4995,ORDERS!$C$2:$C$4995,$D135,ORDERS!$L$2:$L$4995,"Đã chuyển khoản"))</f>
        <v/>
      </c>
      <c r="Y135" s="24" t="n"/>
    </row>
    <row r="136" ht="14.25" customHeight="1" s="40">
      <c r="A136" s="24" t="inlineStr">
        <is>
          <t>a01b38c2-731b-4f8b-bdcd-fd8d6bbd8672</t>
        </is>
      </c>
      <c r="B136" s="18" t="n">
        <v>46291.35625</v>
      </c>
      <c r="C136" s="24" t="inlineStr">
        <is>
          <t>Quỳnh Jiao</t>
        </is>
      </c>
      <c r="D136" s="28" t="inlineStr">
        <is>
          <t>0904256154</t>
        </is>
      </c>
      <c r="E136" s="29" t="n">
        <v>46482</v>
      </c>
      <c r="F136" s="24" t="inlineStr">
        <is>
          <t>Đang mang thai</t>
        </is>
      </c>
      <c r="G136" s="24" t="inlineStr">
        <is>
          <t>Hải Phòng</t>
        </is>
      </c>
      <c r="H136" s="21">
        <f>IF(ISNUMBER($B136),INT($B136)-WEEKDAY($B136,2)+1,"")</f>
        <v/>
      </c>
      <c r="I136" s="24" t="inlineStr">
        <is>
          <t>Z-GREEN</t>
        </is>
      </c>
      <c r="J136" s="22">
        <f t="array" ref="J136">IF($D136="","",IF($I136="","(trống REF)",IFERROR(INDEX(MASTER_SOURCE!$B$2:$B$495,MATCH($I136,MASTER_SOURCE!$A$2:$A$495,0)),"(REF không có trong MASTER_SOURCE)")))</f>
        <v/>
      </c>
      <c r="K136" s="22">
        <f t="array" ref="K136">IF($D136="","",IFERROR(INDEX(MASTER_SOURCE!$C$2:$C$495,MATCH($I136,MASTER_SOURCE!$A$2:$A$495,0)),""))</f>
        <v/>
      </c>
      <c r="L136" s="22">
        <f t="array" ref="L136">IF($D136="","",IFERROR(INDEX(MASTER_SOURCE!$D$2:$D$495,MATCH($I136,MASTER_SOURCE!$A$2:$A$495,0)),""))</f>
        <v/>
      </c>
      <c r="M136" s="24" t="inlineStr">
        <is>
          <t>Có</t>
        </is>
      </c>
      <c r="N136" s="24" t="inlineStr">
        <is>
          <t>Có</t>
        </is>
      </c>
      <c r="O136" s="24" t="inlineStr">
        <is>
          <t>Có</t>
        </is>
      </c>
      <c r="P136" s="24" t="inlineStr">
        <is>
          <t>Có</t>
        </is>
      </c>
      <c r="Q136" s="22">
        <f>IF($D136="","",IF(AND(OR(DANH_MUC!$L$5&lt;&gt;"Có",M136="Có"),OR(DANH_MUC!$L$6&lt;&gt;"Có",N136="Có"),OR(DANH_MUC!$L$7&lt;&gt;"Có",O136="Có"),OR(DANH_MUC!$L$8&lt;&gt;"Có",P136="Có")),"Có","Không"))</f>
        <v/>
      </c>
      <c r="R136" s="22">
        <f>IF($D136="","",IF(COUNTIF($D$2:$D136,$D136)&gt;1,"Trùng",""))</f>
        <v/>
      </c>
      <c r="S136" s="22">
        <f>IF($D136="","",IF(AND(LEN($D136)=10,LEFT($D136,1)="0",ISNUMBER(--$D136)),"Có","Không"))</f>
        <v/>
      </c>
      <c r="T136" s="22">
        <f>IF($D136="","",IF(AND($C136&lt;&gt;"",$Q136="Có",$R136="",$S136="Có",AND($L136&lt;&gt;"",OR($L136&lt;&gt;"Chưa xác định",DANH_MUC!$L$9="Có"))),"Có","Không"))</f>
        <v/>
      </c>
      <c r="U136" s="22">
        <f>IF(OR($D136="",$T136="Có"),"",IF($C136="","Thiếu họ tên; ","")&amp;IF($S136&lt;&gt;"Có","SĐT sai định dạng; ","")&amp;IF($R136="Trùng","Trùng SĐT; ","")&amp;IF($Q136&lt;&gt;"Có","Thiếu đồng ý bắt buộc; ","")&amp;IF($L136="","Thiếu/sai Mã REF; ",IF(AND($L136="Chưa xác định",DANH_MUC!$L$9&lt;&gt;"Có"),"Nguồn chưa xác định; ","")))</f>
        <v/>
      </c>
      <c r="V136" s="22">
        <f>IF(OR($D136="",$R136="Trùng"),"",IF(COUNTIF(ORDERS!$C$2:$C$4995,$D136)&gt;0,"Có","Không"))</f>
        <v/>
      </c>
      <c r="W136" s="22">
        <f>IF(OR($D136="",$R136="Trùng"),"",COUNTIFS(ORDERS!$C$2:$C$4995,$D136,ORDERS!$L$2:$L$4995,"Đã chuyển khoản"))</f>
        <v/>
      </c>
      <c r="X136" s="23">
        <f>IF(OR($D136="",$R136="Trùng"),"",SUMIFS(ORDERS!$J$2:$J$4995,ORDERS!$C$2:$C$4995,$D136,ORDERS!$L$2:$L$4995,"Đã chuyển khoản"))</f>
        <v/>
      </c>
      <c r="Y136" s="24" t="n"/>
    </row>
    <row r="137" ht="14.25" customHeight="1" s="40">
      <c r="A137" s="24" t="inlineStr">
        <is>
          <t>7cacaf37-95b5-4873-ae65-84d364dd63e9</t>
        </is>
      </c>
      <c r="B137" s="18" t="n">
        <v>46291.35694444444</v>
      </c>
      <c r="C137" s="24" t="inlineStr">
        <is>
          <t>Nguyễn Phương Thảo</t>
        </is>
      </c>
      <c r="D137" s="28" t="inlineStr">
        <is>
          <t>0392026640</t>
        </is>
      </c>
      <c r="E137" s="29" t="n">
        <v>46355</v>
      </c>
      <c r="F137" s="24" t="inlineStr">
        <is>
          <t>Đang mang thai</t>
        </is>
      </c>
      <c r="G137" s="24" t="inlineStr">
        <is>
          <t>Hải Phòng</t>
        </is>
      </c>
      <c r="H137" s="21">
        <f>IF(ISNUMBER($B137),INT($B137)-WEEKDAY($B137,2)+1,"")</f>
        <v/>
      </c>
      <c r="I137" s="24" t="inlineStr">
        <is>
          <t>Z-GREEN</t>
        </is>
      </c>
      <c r="J137" s="22">
        <f t="array" ref="J137">IF($D137="","",IF($I137="","(trống REF)",IFERROR(INDEX(MASTER_SOURCE!$B$2:$B$495,MATCH($I137,MASTER_SOURCE!$A$2:$A$495,0)),"(REF không có trong MASTER_SOURCE)")))</f>
        <v/>
      </c>
      <c r="K137" s="22">
        <f t="array" ref="K137">IF($D137="","",IFERROR(INDEX(MASTER_SOURCE!$C$2:$C$495,MATCH($I137,MASTER_SOURCE!$A$2:$A$495,0)),""))</f>
        <v/>
      </c>
      <c r="L137" s="22">
        <f t="array" ref="L137">IF($D137="","",IFERROR(INDEX(MASTER_SOURCE!$D$2:$D$495,MATCH($I137,MASTER_SOURCE!$A$2:$A$495,0)),""))</f>
        <v/>
      </c>
      <c r="M137" s="24" t="inlineStr">
        <is>
          <t>Có</t>
        </is>
      </c>
      <c r="N137" s="24" t="inlineStr">
        <is>
          <t>Có</t>
        </is>
      </c>
      <c r="O137" s="24" t="inlineStr">
        <is>
          <t>Có</t>
        </is>
      </c>
      <c r="P137" s="24" t="inlineStr">
        <is>
          <t>Có</t>
        </is>
      </c>
      <c r="Q137" s="22">
        <f>IF($D137="","",IF(AND(OR(DANH_MUC!$L$5&lt;&gt;"Có",M137="Có"),OR(DANH_MUC!$L$6&lt;&gt;"Có",N137="Có"),OR(DANH_MUC!$L$7&lt;&gt;"Có",O137="Có"),OR(DANH_MUC!$L$8&lt;&gt;"Có",P137="Có")),"Có","Không"))</f>
        <v/>
      </c>
      <c r="R137" s="22">
        <f>IF($D137="","",IF(COUNTIF($D$2:$D137,$D137)&gt;1,"Trùng",""))</f>
        <v/>
      </c>
      <c r="S137" s="22">
        <f>IF($D137="","",IF(AND(LEN($D137)=10,LEFT($D137,1)="0",ISNUMBER(--$D137)),"Có","Không"))</f>
        <v/>
      </c>
      <c r="T137" s="22">
        <f>IF($D137="","",IF(AND($C137&lt;&gt;"",$Q137="Có",$R137="",$S137="Có",AND($L137&lt;&gt;"",OR($L137&lt;&gt;"Chưa xác định",DANH_MUC!$L$9="Có"))),"Có","Không"))</f>
        <v/>
      </c>
      <c r="U137" s="22">
        <f>IF(OR($D137="",$T137="Có"),"",IF($C137="","Thiếu họ tên; ","")&amp;IF($S137&lt;&gt;"Có","SĐT sai định dạng; ","")&amp;IF($R137="Trùng","Trùng SĐT; ","")&amp;IF($Q137&lt;&gt;"Có","Thiếu đồng ý bắt buộc; ","")&amp;IF($L137="","Thiếu/sai Mã REF; ",IF(AND($L137="Chưa xác định",DANH_MUC!$L$9&lt;&gt;"Có"),"Nguồn chưa xác định; ","")))</f>
        <v/>
      </c>
      <c r="V137" s="22">
        <f>IF(OR($D137="",$R137="Trùng"),"",IF(COUNTIF(ORDERS!$C$2:$C$4995,$D137)&gt;0,"Có","Không"))</f>
        <v/>
      </c>
      <c r="W137" s="22">
        <f>IF(OR($D137="",$R137="Trùng"),"",COUNTIFS(ORDERS!$C$2:$C$4995,$D137,ORDERS!$L$2:$L$4995,"Đã chuyển khoản"))</f>
        <v/>
      </c>
      <c r="X137" s="23">
        <f>IF(OR($D137="",$R137="Trùng"),"",SUMIFS(ORDERS!$J$2:$J$4995,ORDERS!$C$2:$C$4995,$D137,ORDERS!$L$2:$L$4995,"Đã chuyển khoản"))</f>
        <v/>
      </c>
      <c r="Y137" s="24" t="n"/>
    </row>
    <row r="138" ht="14.25" customHeight="1" s="40">
      <c r="A138" s="24" t="inlineStr">
        <is>
          <t>5b2c78da-4a0e-4625-b1de-bca92bd8baeb</t>
        </is>
      </c>
      <c r="B138" s="18" t="n">
        <v>46291.35763888889</v>
      </c>
      <c r="C138" s="24" t="inlineStr">
        <is>
          <t>Lương Thuý An</t>
        </is>
      </c>
      <c r="D138" s="28" t="inlineStr">
        <is>
          <t>0945666528</t>
        </is>
      </c>
      <c r="E138" s="29" t="n">
        <v>46382</v>
      </c>
      <c r="F138" s="24" t="inlineStr">
        <is>
          <t>Đang mang thai</t>
        </is>
      </c>
      <c r="G138" s="24" t="inlineStr">
        <is>
          <t>Hải Phòng</t>
        </is>
      </c>
      <c r="H138" s="21">
        <f>IF(ISNUMBER($B138),INT($B138)-WEEKDAY($B138,2)+1,"")</f>
        <v/>
      </c>
      <c r="I138" s="24" t="inlineStr">
        <is>
          <t>Z-GREEN</t>
        </is>
      </c>
      <c r="J138" s="22">
        <f t="array" ref="J138">IF($D138="","",IF($I138="","(trống REF)",IFERROR(INDEX(MASTER_SOURCE!$B$2:$B$495,MATCH($I138,MASTER_SOURCE!$A$2:$A$495,0)),"(REF không có trong MASTER_SOURCE)")))</f>
        <v/>
      </c>
      <c r="K138" s="22">
        <f t="array" ref="K138">IF($D138="","",IFERROR(INDEX(MASTER_SOURCE!$C$2:$C$495,MATCH($I138,MASTER_SOURCE!$A$2:$A$495,0)),""))</f>
        <v/>
      </c>
      <c r="L138" s="22">
        <f t="array" ref="L138">IF($D138="","",IFERROR(INDEX(MASTER_SOURCE!$D$2:$D$495,MATCH($I138,MASTER_SOURCE!$A$2:$A$495,0)),""))</f>
        <v/>
      </c>
      <c r="M138" s="24" t="inlineStr">
        <is>
          <t>Có</t>
        </is>
      </c>
      <c r="N138" s="24" t="inlineStr">
        <is>
          <t>Có</t>
        </is>
      </c>
      <c r="O138" s="24" t="inlineStr">
        <is>
          <t>Có</t>
        </is>
      </c>
      <c r="P138" s="24" t="inlineStr">
        <is>
          <t>Có</t>
        </is>
      </c>
      <c r="Q138" s="22">
        <f>IF($D138="","",IF(AND(OR(DANH_MUC!$L$5&lt;&gt;"Có",M138="Có"),OR(DANH_MUC!$L$6&lt;&gt;"Có",N138="Có"),OR(DANH_MUC!$L$7&lt;&gt;"Có",O138="Có"),OR(DANH_MUC!$L$8&lt;&gt;"Có",P138="Có")),"Có","Không"))</f>
        <v/>
      </c>
      <c r="R138" s="22">
        <f>IF($D138="","",IF(COUNTIF($D$2:$D138,$D138)&gt;1,"Trùng",""))</f>
        <v/>
      </c>
      <c r="S138" s="22">
        <f>IF($D138="","",IF(AND(LEN($D138)=10,LEFT($D138,1)="0",ISNUMBER(--$D138)),"Có","Không"))</f>
        <v/>
      </c>
      <c r="T138" s="22">
        <f>IF($D138="","",IF(AND($C138&lt;&gt;"",$Q138="Có",$R138="",$S138="Có",AND($L138&lt;&gt;"",OR($L138&lt;&gt;"Chưa xác định",DANH_MUC!$L$9="Có"))),"Có","Không"))</f>
        <v/>
      </c>
      <c r="U138" s="22">
        <f>IF(OR($D138="",$T138="Có"),"",IF($C138="","Thiếu họ tên; ","")&amp;IF($S138&lt;&gt;"Có","SĐT sai định dạng; ","")&amp;IF($R138="Trùng","Trùng SĐT; ","")&amp;IF($Q138&lt;&gt;"Có","Thiếu đồng ý bắt buộc; ","")&amp;IF($L138="","Thiếu/sai Mã REF; ",IF(AND($L138="Chưa xác định",DANH_MUC!$L$9&lt;&gt;"Có"),"Nguồn chưa xác định; ","")))</f>
        <v/>
      </c>
      <c r="V138" s="22">
        <f>IF(OR($D138="",$R138="Trùng"),"",IF(COUNTIF(ORDERS!$C$2:$C$4995,$D138)&gt;0,"Có","Không"))</f>
        <v/>
      </c>
      <c r="W138" s="22">
        <f>IF(OR($D138="",$R138="Trùng"),"",COUNTIFS(ORDERS!$C$2:$C$4995,$D138,ORDERS!$L$2:$L$4995,"Đã chuyển khoản"))</f>
        <v/>
      </c>
      <c r="X138" s="23">
        <f>IF(OR($D138="",$R138="Trùng"),"",SUMIFS(ORDERS!$J$2:$J$4995,ORDERS!$C$2:$C$4995,$D138,ORDERS!$L$2:$L$4995,"Đã chuyển khoản"))</f>
        <v/>
      </c>
      <c r="Y138" s="24" t="n"/>
    </row>
    <row r="139" ht="14.25" customHeight="1" s="40">
      <c r="A139" s="24" t="inlineStr">
        <is>
          <t>e9dd0529-d191-4340-9fc6-1996d78e389d</t>
        </is>
      </c>
      <c r="B139" s="18" t="n">
        <v>46291.35763888889</v>
      </c>
      <c r="C139" s="24" t="inlineStr">
        <is>
          <t>Nguyễn Võ Quỳnh Trâm</t>
        </is>
      </c>
      <c r="D139" s="28" t="inlineStr">
        <is>
          <t>0829846966</t>
        </is>
      </c>
      <c r="E139" s="29" t="n">
        <v>46302</v>
      </c>
      <c r="F139" s="24" t="inlineStr">
        <is>
          <t>Đang mang thai</t>
        </is>
      </c>
      <c r="G139" s="24" t="inlineStr">
        <is>
          <t>Hải Phòng</t>
        </is>
      </c>
      <c r="H139" s="21">
        <f>IF(ISNUMBER($B139),INT($B139)-WEEKDAY($B139,2)+1,"")</f>
        <v/>
      </c>
      <c r="I139" s="24" t="inlineStr">
        <is>
          <t>Z-GREEN</t>
        </is>
      </c>
      <c r="J139" s="22">
        <f t="array" ref="J139">IF($D139="","",IF($I139="","(trống REF)",IFERROR(INDEX(MASTER_SOURCE!$B$2:$B$495,MATCH($I139,MASTER_SOURCE!$A$2:$A$495,0)),"(REF không có trong MASTER_SOURCE)")))</f>
        <v/>
      </c>
      <c r="K139" s="22">
        <f t="array" ref="K139">IF($D139="","",IFERROR(INDEX(MASTER_SOURCE!$C$2:$C$495,MATCH($I139,MASTER_SOURCE!$A$2:$A$495,0)),""))</f>
        <v/>
      </c>
      <c r="L139" s="22">
        <f t="array" ref="L139">IF($D139="","",IFERROR(INDEX(MASTER_SOURCE!$D$2:$D$495,MATCH($I139,MASTER_SOURCE!$A$2:$A$495,0)),""))</f>
        <v/>
      </c>
      <c r="M139" s="24" t="inlineStr">
        <is>
          <t>Có</t>
        </is>
      </c>
      <c r="N139" s="24" t="inlineStr">
        <is>
          <t>Có</t>
        </is>
      </c>
      <c r="O139" s="24" t="inlineStr">
        <is>
          <t>Có</t>
        </is>
      </c>
      <c r="P139" s="24" t="inlineStr">
        <is>
          <t>Có</t>
        </is>
      </c>
      <c r="Q139" s="22">
        <f>IF($D139="","",IF(AND(OR(DANH_MUC!$L$5&lt;&gt;"Có",M139="Có"),OR(DANH_MUC!$L$6&lt;&gt;"Có",N139="Có"),OR(DANH_MUC!$L$7&lt;&gt;"Có",O139="Có"),OR(DANH_MUC!$L$8&lt;&gt;"Có",P139="Có")),"Có","Không"))</f>
        <v/>
      </c>
      <c r="R139" s="22">
        <f>IF($D139="","",IF(COUNTIF($D$2:$D139,$D139)&gt;1,"Trùng",""))</f>
        <v/>
      </c>
      <c r="S139" s="22">
        <f>IF($D139="","",IF(AND(LEN($D139)=10,LEFT($D139,1)="0",ISNUMBER(--$D139)),"Có","Không"))</f>
        <v/>
      </c>
      <c r="T139" s="22">
        <f>IF($D139="","",IF(AND($C139&lt;&gt;"",$Q139="Có",$R139="",$S139="Có",AND($L139&lt;&gt;"",OR($L139&lt;&gt;"Chưa xác định",DANH_MUC!$L$9="Có"))),"Có","Không"))</f>
        <v/>
      </c>
      <c r="U139" s="22">
        <f>IF(OR($D139="",$T139="Có"),"",IF($C139="","Thiếu họ tên; ","")&amp;IF($S139&lt;&gt;"Có","SĐT sai định dạng; ","")&amp;IF($R139="Trùng","Trùng SĐT; ","")&amp;IF($Q139&lt;&gt;"Có","Thiếu đồng ý bắt buộc; ","")&amp;IF($L139="","Thiếu/sai Mã REF; ",IF(AND($L139="Chưa xác định",DANH_MUC!$L$9&lt;&gt;"Có"),"Nguồn chưa xác định; ","")))</f>
        <v/>
      </c>
      <c r="V139" s="22">
        <f>IF(OR($D139="",$R139="Trùng"),"",IF(COUNTIF(ORDERS!$C$2:$C$4995,$D139)&gt;0,"Có","Không"))</f>
        <v/>
      </c>
      <c r="W139" s="22">
        <f>IF(OR($D139="",$R139="Trùng"),"",COUNTIFS(ORDERS!$C$2:$C$4995,$D139,ORDERS!$L$2:$L$4995,"Đã chuyển khoản"))</f>
        <v/>
      </c>
      <c r="X139" s="23">
        <f>IF(OR($D139="",$R139="Trùng"),"",SUMIFS(ORDERS!$J$2:$J$4995,ORDERS!$C$2:$C$4995,$D139,ORDERS!$L$2:$L$4995,"Đã chuyển khoản"))</f>
        <v/>
      </c>
      <c r="Y139" s="24" t="n"/>
    </row>
    <row r="140" ht="14.25" customHeight="1" s="40">
      <c r="A140" s="24" t="inlineStr">
        <is>
          <t>866ec261-3611-421d-8749-653cf8ab4d25</t>
        </is>
      </c>
      <c r="B140" s="18" t="n">
        <v>46291.35763888889</v>
      </c>
      <c r="C140" s="24" t="inlineStr">
        <is>
          <t>Nguyễn Thị Lan Phương</t>
        </is>
      </c>
      <c r="D140" s="28" t="inlineStr">
        <is>
          <t>0789340415</t>
        </is>
      </c>
      <c r="E140" s="29" t="n">
        <v>46312</v>
      </c>
      <c r="F140" s="24" t="inlineStr">
        <is>
          <t>Đang mang thai</t>
        </is>
      </c>
      <c r="G140" s="24" t="inlineStr">
        <is>
          <t>Hải Phòng</t>
        </is>
      </c>
      <c r="H140" s="21">
        <f>IF(ISNUMBER($B140),INT($B140)-WEEKDAY($B140,2)+1,"")</f>
        <v/>
      </c>
      <c r="I140" s="24" t="inlineStr">
        <is>
          <t>Z-GREEN</t>
        </is>
      </c>
      <c r="J140" s="22">
        <f t="array" ref="J140">IF($D140="","",IF($I140="","(trống REF)",IFERROR(INDEX(MASTER_SOURCE!$B$2:$B$495,MATCH($I140,MASTER_SOURCE!$A$2:$A$495,0)),"(REF không có trong MASTER_SOURCE)")))</f>
        <v/>
      </c>
      <c r="K140" s="22">
        <f t="array" ref="K140">IF($D140="","",IFERROR(INDEX(MASTER_SOURCE!$C$2:$C$495,MATCH($I140,MASTER_SOURCE!$A$2:$A$495,0)),""))</f>
        <v/>
      </c>
      <c r="L140" s="22">
        <f t="array" ref="L140">IF($D140="","",IFERROR(INDEX(MASTER_SOURCE!$D$2:$D$495,MATCH($I140,MASTER_SOURCE!$A$2:$A$495,0)),""))</f>
        <v/>
      </c>
      <c r="M140" s="24" t="inlineStr">
        <is>
          <t>Có</t>
        </is>
      </c>
      <c r="N140" s="24" t="inlineStr">
        <is>
          <t>Có</t>
        </is>
      </c>
      <c r="O140" s="24" t="inlineStr">
        <is>
          <t>Có</t>
        </is>
      </c>
      <c r="P140" s="24" t="inlineStr">
        <is>
          <t>Có</t>
        </is>
      </c>
      <c r="Q140" s="22">
        <f>IF($D140="","",IF(AND(OR(DANH_MUC!$L$5&lt;&gt;"Có",M140="Có"),OR(DANH_MUC!$L$6&lt;&gt;"Có",N140="Có"),OR(DANH_MUC!$L$7&lt;&gt;"Có",O140="Có"),OR(DANH_MUC!$L$8&lt;&gt;"Có",P140="Có")),"Có","Không"))</f>
        <v/>
      </c>
      <c r="R140" s="22">
        <f>IF($D140="","",IF(COUNTIF($D$2:$D140,$D140)&gt;1,"Trùng",""))</f>
        <v/>
      </c>
      <c r="S140" s="22">
        <f>IF($D140="","",IF(AND(LEN($D140)=10,LEFT($D140,1)="0",ISNUMBER(--$D140)),"Có","Không"))</f>
        <v/>
      </c>
      <c r="T140" s="22">
        <f>IF($D140="","",IF(AND($C140&lt;&gt;"",$Q140="Có",$R140="",$S140="Có",AND($L140&lt;&gt;"",OR($L140&lt;&gt;"Chưa xác định",DANH_MUC!$L$9="Có"))),"Có","Không"))</f>
        <v/>
      </c>
      <c r="U140" s="22">
        <f>IF(OR($D140="",$T140="Có"),"",IF($C140="","Thiếu họ tên; ","")&amp;IF($S140&lt;&gt;"Có","SĐT sai định dạng; ","")&amp;IF($R140="Trùng","Trùng SĐT; ","")&amp;IF($Q140&lt;&gt;"Có","Thiếu đồng ý bắt buộc; ","")&amp;IF($L140="","Thiếu/sai Mã REF; ",IF(AND($L140="Chưa xác định",DANH_MUC!$L$9&lt;&gt;"Có"),"Nguồn chưa xác định; ","")))</f>
        <v/>
      </c>
      <c r="V140" s="22">
        <f>IF(OR($D140="",$R140="Trùng"),"",IF(COUNTIF(ORDERS!$C$2:$C$4995,$D140)&gt;0,"Có","Không"))</f>
        <v/>
      </c>
      <c r="W140" s="22">
        <f>IF(OR($D140="",$R140="Trùng"),"",COUNTIFS(ORDERS!$C$2:$C$4995,$D140,ORDERS!$L$2:$L$4995,"Đã chuyển khoản"))</f>
        <v/>
      </c>
      <c r="X140" s="23">
        <f>IF(OR($D140="",$R140="Trùng"),"",SUMIFS(ORDERS!$J$2:$J$4995,ORDERS!$C$2:$C$4995,$D140,ORDERS!$L$2:$L$4995,"Đã chuyển khoản"))</f>
        <v/>
      </c>
      <c r="Y140" s="24" t="n"/>
    </row>
    <row r="141" ht="14.25" customHeight="1" s="40">
      <c r="A141" s="24" t="inlineStr">
        <is>
          <t>6d1c0803-1967-419e-9729-5f6b45640534</t>
        </is>
      </c>
      <c r="B141" s="18" t="n">
        <v>46291.35833333333</v>
      </c>
      <c r="C141" s="24" t="inlineStr">
        <is>
          <t>LÊ BẢO YẾN</t>
        </is>
      </c>
      <c r="D141" s="28" t="inlineStr">
        <is>
          <t>0325455090</t>
        </is>
      </c>
      <c r="E141" s="29" t="n">
        <v>46392</v>
      </c>
      <c r="F141" s="24" t="inlineStr">
        <is>
          <t>Đang mang thai</t>
        </is>
      </c>
      <c r="G141" s="24" t="inlineStr">
        <is>
          <t>Đồng Nai</t>
        </is>
      </c>
      <c r="H141" s="21">
        <f>IF(ISNUMBER($B141),INT($B141)-WEEKDAY($B141,2)+1,"")</f>
        <v/>
      </c>
      <c r="I141" s="24" t="inlineStr">
        <is>
          <t>C-SHING</t>
        </is>
      </c>
      <c r="J141" s="22">
        <f t="array" ref="J141">IF($D141="","",IF($I141="","(trống REF)",IFERROR(INDEX(MASTER_SOURCE!$B$2:$B$495,MATCH($I141,MASTER_SOURCE!$A$2:$A$495,0)),"(REF không có trong MASTER_SOURCE)")))</f>
        <v/>
      </c>
      <c r="K141" s="22">
        <f t="array" ref="K141">IF($D141="","",IFERROR(INDEX(MASTER_SOURCE!$C$2:$C$495,MATCH($I141,MASTER_SOURCE!$A$2:$A$495,0)),""))</f>
        <v/>
      </c>
      <c r="L141" s="22">
        <f t="array" ref="L141">IF($D141="","",IFERROR(INDEX(MASTER_SOURCE!$D$2:$D$495,MATCH($I141,MASTER_SOURCE!$A$2:$A$495,0)),""))</f>
        <v/>
      </c>
      <c r="M141" s="24" t="inlineStr">
        <is>
          <t>Có</t>
        </is>
      </c>
      <c r="N141" s="24" t="inlineStr">
        <is>
          <t>Có</t>
        </is>
      </c>
      <c r="O141" s="24" t="inlineStr">
        <is>
          <t>Có</t>
        </is>
      </c>
      <c r="P141" s="24" t="inlineStr">
        <is>
          <t>Có</t>
        </is>
      </c>
      <c r="Q141" s="22">
        <f>IF($D141="","",IF(AND(OR(DANH_MUC!$L$5&lt;&gt;"Có",M141="Có"),OR(DANH_MUC!$L$6&lt;&gt;"Có",N141="Có"),OR(DANH_MUC!$L$7&lt;&gt;"Có",O141="Có"),OR(DANH_MUC!$L$8&lt;&gt;"Có",P141="Có")),"Có","Không"))</f>
        <v/>
      </c>
      <c r="R141" s="22">
        <f>IF($D141="","",IF(COUNTIF($D$2:$D141,$D141)&gt;1,"Trùng",""))</f>
        <v/>
      </c>
      <c r="S141" s="22">
        <f>IF($D141="","",IF(AND(LEN($D141)=10,LEFT($D141,1)="0",ISNUMBER(--$D141)),"Có","Không"))</f>
        <v/>
      </c>
      <c r="T141" s="22">
        <f>IF($D141="","",IF(AND($C141&lt;&gt;"",$Q141="Có",$R141="",$S141="Có",AND($L141&lt;&gt;"",OR($L141&lt;&gt;"Chưa xác định",DANH_MUC!$L$9="Có"))),"Có","Không"))</f>
        <v/>
      </c>
      <c r="U141" s="22">
        <f>IF(OR($D141="",$T141="Có"),"",IF($C141="","Thiếu họ tên; ","")&amp;IF($S141&lt;&gt;"Có","SĐT sai định dạng; ","")&amp;IF($R141="Trùng","Trùng SĐT; ","")&amp;IF($Q141&lt;&gt;"Có","Thiếu đồng ý bắt buộc; ","")&amp;IF($L141="","Thiếu/sai Mã REF; ",IF(AND($L141="Chưa xác định",DANH_MUC!$L$9&lt;&gt;"Có"),"Nguồn chưa xác định; ","")))</f>
        <v/>
      </c>
      <c r="V141" s="22">
        <f>IF(OR($D141="",$R141="Trùng"),"",IF(COUNTIF(ORDERS!$C$2:$C$4995,$D141)&gt;0,"Có","Không"))</f>
        <v/>
      </c>
      <c r="W141" s="22">
        <f>IF(OR($D141="",$R141="Trùng"),"",COUNTIFS(ORDERS!$C$2:$C$4995,$D141,ORDERS!$L$2:$L$4995,"Đã chuyển khoản"))</f>
        <v/>
      </c>
      <c r="X141" s="23">
        <f>IF(OR($D141="",$R141="Trùng"),"",SUMIFS(ORDERS!$J$2:$J$4995,ORDERS!$C$2:$C$4995,$D141,ORDERS!$L$2:$L$4995,"Đã chuyển khoản"))</f>
        <v/>
      </c>
      <c r="Y141" s="24" t="n"/>
    </row>
    <row r="142" ht="14.25" customHeight="1" s="40">
      <c r="A142" s="24" t="inlineStr">
        <is>
          <t>3a6d5276-1220-40ae-b150-1fc13b0a0853</t>
        </is>
      </c>
      <c r="B142" s="18" t="n">
        <v>46291.35902777778</v>
      </c>
      <c r="C142" s="24" t="inlineStr">
        <is>
          <t>Vũ Thị Thuỳ</t>
        </is>
      </c>
      <c r="D142" s="28" t="inlineStr">
        <is>
          <t>0854567396</t>
        </is>
      </c>
      <c r="E142" s="29" t="n">
        <v>46371</v>
      </c>
      <c r="F142" s="24" t="inlineStr">
        <is>
          <t>Đang mang thai</t>
        </is>
      </c>
      <c r="G142" s="24" t="inlineStr">
        <is>
          <t>Quảng Ninh</t>
        </is>
      </c>
      <c r="H142" s="21">
        <f>IF(ISNUMBER($B142),INT($B142)-WEEKDAY($B142,2)+1,"")</f>
        <v/>
      </c>
      <c r="I142" s="24" t="inlineStr">
        <is>
          <t>Z-GREEN</t>
        </is>
      </c>
      <c r="J142" s="22">
        <f t="array" ref="J142">IF($D142="","",IF($I142="","(trống REF)",IFERROR(INDEX(MASTER_SOURCE!$B$2:$B$495,MATCH($I142,MASTER_SOURCE!$A$2:$A$495,0)),"(REF không có trong MASTER_SOURCE)")))</f>
        <v/>
      </c>
      <c r="K142" s="22">
        <f t="array" ref="K142">IF($D142="","",IFERROR(INDEX(MASTER_SOURCE!$C$2:$C$495,MATCH($I142,MASTER_SOURCE!$A$2:$A$495,0)),""))</f>
        <v/>
      </c>
      <c r="L142" s="22">
        <f t="array" ref="L142">IF($D142="","",IFERROR(INDEX(MASTER_SOURCE!$D$2:$D$495,MATCH($I142,MASTER_SOURCE!$A$2:$A$495,0)),""))</f>
        <v/>
      </c>
      <c r="M142" s="24" t="inlineStr">
        <is>
          <t>Có</t>
        </is>
      </c>
      <c r="N142" s="24" t="inlineStr">
        <is>
          <t>Có</t>
        </is>
      </c>
      <c r="O142" s="24" t="inlineStr">
        <is>
          <t>Có</t>
        </is>
      </c>
      <c r="P142" s="24" t="inlineStr">
        <is>
          <t>Có</t>
        </is>
      </c>
      <c r="Q142" s="22">
        <f>IF($D142="","",IF(AND(OR(DANH_MUC!$L$5&lt;&gt;"Có",M142="Có"),OR(DANH_MUC!$L$6&lt;&gt;"Có",N142="Có"),OR(DANH_MUC!$L$7&lt;&gt;"Có",O142="Có"),OR(DANH_MUC!$L$8&lt;&gt;"Có",P142="Có")),"Có","Không"))</f>
        <v/>
      </c>
      <c r="R142" s="22">
        <f>IF($D142="","",IF(COUNTIF($D$2:$D142,$D142)&gt;1,"Trùng",""))</f>
        <v/>
      </c>
      <c r="S142" s="22">
        <f>IF($D142="","",IF(AND(LEN($D142)=10,LEFT($D142,1)="0",ISNUMBER(--$D142)),"Có","Không"))</f>
        <v/>
      </c>
      <c r="T142" s="22">
        <f>IF($D142="","",IF(AND($C142&lt;&gt;"",$Q142="Có",$R142="",$S142="Có",AND($L142&lt;&gt;"",OR($L142&lt;&gt;"Chưa xác định",DANH_MUC!$L$9="Có"))),"Có","Không"))</f>
        <v/>
      </c>
      <c r="U142" s="22">
        <f>IF(OR($D142="",$T142="Có"),"",IF($C142="","Thiếu họ tên; ","")&amp;IF($S142&lt;&gt;"Có","SĐT sai định dạng; ","")&amp;IF($R142="Trùng","Trùng SĐT; ","")&amp;IF($Q142&lt;&gt;"Có","Thiếu đồng ý bắt buộc; ","")&amp;IF($L142="","Thiếu/sai Mã REF; ",IF(AND($L142="Chưa xác định",DANH_MUC!$L$9&lt;&gt;"Có"),"Nguồn chưa xác định; ","")))</f>
        <v/>
      </c>
      <c r="V142" s="22">
        <f>IF(OR($D142="",$R142="Trùng"),"",IF(COUNTIF(ORDERS!$C$2:$C$4995,$D142)&gt;0,"Có","Không"))</f>
        <v/>
      </c>
      <c r="W142" s="22">
        <f>IF(OR($D142="",$R142="Trùng"),"",COUNTIFS(ORDERS!$C$2:$C$4995,$D142,ORDERS!$L$2:$L$4995,"Đã chuyển khoản"))</f>
        <v/>
      </c>
      <c r="X142" s="23">
        <f>IF(OR($D142="",$R142="Trùng"),"",SUMIFS(ORDERS!$J$2:$J$4995,ORDERS!$C$2:$C$4995,$D142,ORDERS!$L$2:$L$4995,"Đã chuyển khoản"))</f>
        <v/>
      </c>
      <c r="Y142" s="24" t="n"/>
    </row>
    <row r="143" ht="14.25" customHeight="1" s="40">
      <c r="A143" s="24" t="inlineStr">
        <is>
          <t>9026d2a5-e793-4447-9a3f-abf39dfd950b</t>
        </is>
      </c>
      <c r="B143" s="18" t="n">
        <v>46291.36180555556</v>
      </c>
      <c r="C143" s="24" t="inlineStr">
        <is>
          <t>Nguyễn Phương Thảo</t>
        </is>
      </c>
      <c r="D143" s="28" t="inlineStr">
        <is>
          <t>0352408115</t>
        </is>
      </c>
      <c r="E143" s="29" t="n">
        <v>46365</v>
      </c>
      <c r="F143" s="24" t="inlineStr">
        <is>
          <t>Đang mang thai</t>
        </is>
      </c>
      <c r="G143" s="24" t="inlineStr">
        <is>
          <t>Hải Phòng</t>
        </is>
      </c>
      <c r="H143" s="21">
        <f>IF(ISNUMBER($B143),INT($B143)-WEEKDAY($B143,2)+1,"")</f>
        <v/>
      </c>
      <c r="I143" s="24" t="inlineStr">
        <is>
          <t>Z-GREEN</t>
        </is>
      </c>
      <c r="J143" s="22">
        <f t="array" ref="J143">IF($D143="","",IF($I143="","(trống REF)",IFERROR(INDEX(MASTER_SOURCE!$B$2:$B$495,MATCH($I143,MASTER_SOURCE!$A$2:$A$495,0)),"(REF không có trong MASTER_SOURCE)")))</f>
        <v/>
      </c>
      <c r="K143" s="22">
        <f t="array" ref="K143">IF($D143="","",IFERROR(INDEX(MASTER_SOURCE!$C$2:$C$495,MATCH($I143,MASTER_SOURCE!$A$2:$A$495,0)),""))</f>
        <v/>
      </c>
      <c r="L143" s="22">
        <f t="array" ref="L143">IF($D143="","",IFERROR(INDEX(MASTER_SOURCE!$D$2:$D$495,MATCH($I143,MASTER_SOURCE!$A$2:$A$495,0)),""))</f>
        <v/>
      </c>
      <c r="M143" s="24" t="inlineStr">
        <is>
          <t>Có</t>
        </is>
      </c>
      <c r="N143" s="24" t="inlineStr">
        <is>
          <t>Có</t>
        </is>
      </c>
      <c r="O143" s="24" t="inlineStr">
        <is>
          <t>Có</t>
        </is>
      </c>
      <c r="P143" s="24" t="inlineStr">
        <is>
          <t>Có</t>
        </is>
      </c>
      <c r="Q143" s="22">
        <f>IF($D143="","",IF(AND(OR(DANH_MUC!$L$5&lt;&gt;"Có",M143="Có"),OR(DANH_MUC!$L$6&lt;&gt;"Có",N143="Có"),OR(DANH_MUC!$L$7&lt;&gt;"Có",O143="Có"),OR(DANH_MUC!$L$8&lt;&gt;"Có",P143="Có")),"Có","Không"))</f>
        <v/>
      </c>
      <c r="R143" s="22">
        <f>IF($D143="","",IF(COUNTIF($D$2:$D143,$D143)&gt;1,"Trùng",""))</f>
        <v/>
      </c>
      <c r="S143" s="22">
        <f>IF($D143="","",IF(AND(LEN($D143)=10,LEFT($D143,1)="0",ISNUMBER(--$D143)),"Có","Không"))</f>
        <v/>
      </c>
      <c r="T143" s="22">
        <f>IF($D143="","",IF(AND($C143&lt;&gt;"",$Q143="Có",$R143="",$S143="Có",AND($L143&lt;&gt;"",OR($L143&lt;&gt;"Chưa xác định",DANH_MUC!$L$9="Có"))),"Có","Không"))</f>
        <v/>
      </c>
      <c r="U143" s="22">
        <f>IF(OR($D143="",$T143="Có"),"",IF($C143="","Thiếu họ tên; ","")&amp;IF($S143&lt;&gt;"Có","SĐT sai định dạng; ","")&amp;IF($R143="Trùng","Trùng SĐT; ","")&amp;IF($Q143&lt;&gt;"Có","Thiếu đồng ý bắt buộc; ","")&amp;IF($L143="","Thiếu/sai Mã REF; ",IF(AND($L143="Chưa xác định",DANH_MUC!$L$9&lt;&gt;"Có"),"Nguồn chưa xác định; ","")))</f>
        <v/>
      </c>
      <c r="V143" s="22">
        <f>IF(OR($D143="",$R143="Trùng"),"",IF(COUNTIF(ORDERS!$C$2:$C$4995,$D143)&gt;0,"Có","Không"))</f>
        <v/>
      </c>
      <c r="W143" s="22">
        <f>IF(OR($D143="",$R143="Trùng"),"",COUNTIFS(ORDERS!$C$2:$C$4995,$D143,ORDERS!$L$2:$L$4995,"Đã chuyển khoản"))</f>
        <v/>
      </c>
      <c r="X143" s="23">
        <f>IF(OR($D143="",$R143="Trùng"),"",SUMIFS(ORDERS!$J$2:$J$4995,ORDERS!$C$2:$C$4995,$D143,ORDERS!$L$2:$L$4995,"Đã chuyển khoản"))</f>
        <v/>
      </c>
      <c r="Y143" s="24" t="n"/>
    </row>
    <row r="144" ht="14.25" customHeight="1" s="40">
      <c r="A144" s="24" t="inlineStr">
        <is>
          <t>027c7035-be72-42b5-a356-f317d75ef815</t>
        </is>
      </c>
      <c r="B144" s="18" t="n">
        <v>46291.3625</v>
      </c>
      <c r="C144" s="24" t="inlineStr">
        <is>
          <t>Hoàng Phương Thảo</t>
        </is>
      </c>
      <c r="D144" s="28" t="inlineStr">
        <is>
          <t>0826160699</t>
        </is>
      </c>
      <c r="E144" s="29" t="n">
        <v>46310</v>
      </c>
      <c r="F144" s="24" t="inlineStr">
        <is>
          <t>Đang mang thai</t>
        </is>
      </c>
      <c r="G144" s="24" t="inlineStr">
        <is>
          <t>Hải Phòng</t>
        </is>
      </c>
      <c r="H144" s="21">
        <f>IF(ISNUMBER($B144),INT($B144)-WEEKDAY($B144,2)+1,"")</f>
        <v/>
      </c>
      <c r="I144" s="24" t="inlineStr">
        <is>
          <t>Z-GREEN</t>
        </is>
      </c>
      <c r="J144" s="22">
        <f t="array" ref="J144">IF($D144="","",IF($I144="","(trống REF)",IFERROR(INDEX(MASTER_SOURCE!$B$2:$B$495,MATCH($I144,MASTER_SOURCE!$A$2:$A$495,0)),"(REF không có trong MASTER_SOURCE)")))</f>
        <v/>
      </c>
      <c r="K144" s="22">
        <f t="array" ref="K144">IF($D144="","",IFERROR(INDEX(MASTER_SOURCE!$C$2:$C$495,MATCH($I144,MASTER_SOURCE!$A$2:$A$495,0)),""))</f>
        <v/>
      </c>
      <c r="L144" s="22">
        <f t="array" ref="L144">IF($D144="","",IFERROR(INDEX(MASTER_SOURCE!$D$2:$D$495,MATCH($I144,MASTER_SOURCE!$A$2:$A$495,0)),""))</f>
        <v/>
      </c>
      <c r="M144" s="24" t="inlineStr">
        <is>
          <t>Có</t>
        </is>
      </c>
      <c r="N144" s="24" t="inlineStr">
        <is>
          <t>Có</t>
        </is>
      </c>
      <c r="O144" s="24" t="inlineStr">
        <is>
          <t>Có</t>
        </is>
      </c>
      <c r="P144" s="24" t="inlineStr">
        <is>
          <t>Có</t>
        </is>
      </c>
      <c r="Q144" s="22">
        <f>IF($D144="","",IF(AND(OR(DANH_MUC!$L$5&lt;&gt;"Có",M144="Có"),OR(DANH_MUC!$L$6&lt;&gt;"Có",N144="Có"),OR(DANH_MUC!$L$7&lt;&gt;"Có",O144="Có"),OR(DANH_MUC!$L$8&lt;&gt;"Có",P144="Có")),"Có","Không"))</f>
        <v/>
      </c>
      <c r="R144" s="22">
        <f>IF($D144="","",IF(COUNTIF($D$2:$D144,$D144)&gt;1,"Trùng",""))</f>
        <v/>
      </c>
      <c r="S144" s="22">
        <f>IF($D144="","",IF(AND(LEN($D144)=10,LEFT($D144,1)="0",ISNUMBER(--$D144)),"Có","Không"))</f>
        <v/>
      </c>
      <c r="T144" s="22">
        <f>IF($D144="","",IF(AND($C144&lt;&gt;"",$Q144="Có",$R144="",$S144="Có",AND($L144&lt;&gt;"",OR($L144&lt;&gt;"Chưa xác định",DANH_MUC!$L$9="Có"))),"Có","Không"))</f>
        <v/>
      </c>
      <c r="U144" s="22">
        <f>IF(OR($D144="",$T144="Có"),"",IF($C144="","Thiếu họ tên; ","")&amp;IF($S144&lt;&gt;"Có","SĐT sai định dạng; ","")&amp;IF($R144="Trùng","Trùng SĐT; ","")&amp;IF($Q144&lt;&gt;"Có","Thiếu đồng ý bắt buộc; ","")&amp;IF($L144="","Thiếu/sai Mã REF; ",IF(AND($L144="Chưa xác định",DANH_MUC!$L$9&lt;&gt;"Có"),"Nguồn chưa xác định; ","")))</f>
        <v/>
      </c>
      <c r="V144" s="22">
        <f>IF(OR($D144="",$R144="Trùng"),"",IF(COUNTIF(ORDERS!$C$2:$C$4995,$D144)&gt;0,"Có","Không"))</f>
        <v/>
      </c>
      <c r="W144" s="22">
        <f>IF(OR($D144="",$R144="Trùng"),"",COUNTIFS(ORDERS!$C$2:$C$4995,$D144,ORDERS!$L$2:$L$4995,"Đã chuyển khoản"))</f>
        <v/>
      </c>
      <c r="X144" s="23">
        <f>IF(OR($D144="",$R144="Trùng"),"",SUMIFS(ORDERS!$J$2:$J$4995,ORDERS!$C$2:$C$4995,$D144,ORDERS!$L$2:$L$4995,"Đã chuyển khoản"))</f>
        <v/>
      </c>
      <c r="Y144" s="24" t="n"/>
    </row>
    <row r="145" ht="14.25" customHeight="1" s="40">
      <c r="A145" s="24" t="inlineStr">
        <is>
          <t>55efce86-7d6e-4818-8d77-845a9e8457ff</t>
        </is>
      </c>
      <c r="B145" s="18" t="n">
        <v>46291.36319444444</v>
      </c>
      <c r="C145" s="24" t="inlineStr">
        <is>
          <t>Nguyễn Thùy Linh</t>
        </is>
      </c>
      <c r="D145" s="28" t="inlineStr">
        <is>
          <t>0962752108</t>
        </is>
      </c>
      <c r="E145" s="29" t="n">
        <v>46401</v>
      </c>
      <c r="F145" s="24" t="inlineStr">
        <is>
          <t>Đang mang thai</t>
        </is>
      </c>
      <c r="G145" s="24" t="inlineStr">
        <is>
          <t>Hải Phòng</t>
        </is>
      </c>
      <c r="H145" s="21">
        <f>IF(ISNUMBER($B145),INT($B145)-WEEKDAY($B145,2)+1,"")</f>
        <v/>
      </c>
      <c r="I145" s="24" t="inlineStr">
        <is>
          <t>Z-GREEN</t>
        </is>
      </c>
      <c r="J145" s="22">
        <f t="array" ref="J145">IF($D145="","",IF($I145="","(trống REF)",IFERROR(INDEX(MASTER_SOURCE!$B$2:$B$495,MATCH($I145,MASTER_SOURCE!$A$2:$A$495,0)),"(REF không có trong MASTER_SOURCE)")))</f>
        <v/>
      </c>
      <c r="K145" s="22">
        <f t="array" ref="K145">IF($D145="","",IFERROR(INDEX(MASTER_SOURCE!$C$2:$C$495,MATCH($I145,MASTER_SOURCE!$A$2:$A$495,0)),""))</f>
        <v/>
      </c>
      <c r="L145" s="22">
        <f t="array" ref="L145">IF($D145="","",IFERROR(INDEX(MASTER_SOURCE!$D$2:$D$495,MATCH($I145,MASTER_SOURCE!$A$2:$A$495,0)),""))</f>
        <v/>
      </c>
      <c r="M145" s="24" t="inlineStr">
        <is>
          <t>Có</t>
        </is>
      </c>
      <c r="N145" s="24" t="inlineStr">
        <is>
          <t>Có</t>
        </is>
      </c>
      <c r="O145" s="24" t="inlineStr">
        <is>
          <t>Có</t>
        </is>
      </c>
      <c r="P145" s="24" t="inlineStr">
        <is>
          <t>Có</t>
        </is>
      </c>
      <c r="Q145" s="22">
        <f>IF($D145="","",IF(AND(OR(DANH_MUC!$L$5&lt;&gt;"Có",M145="Có"),OR(DANH_MUC!$L$6&lt;&gt;"Có",N145="Có"),OR(DANH_MUC!$L$7&lt;&gt;"Có",O145="Có"),OR(DANH_MUC!$L$8&lt;&gt;"Có",P145="Có")),"Có","Không"))</f>
        <v/>
      </c>
      <c r="R145" s="22">
        <f>IF($D145="","",IF(COUNTIF($D$2:$D145,$D145)&gt;1,"Trùng",""))</f>
        <v/>
      </c>
      <c r="S145" s="22">
        <f>IF($D145="","",IF(AND(LEN($D145)=10,LEFT($D145,1)="0",ISNUMBER(--$D145)),"Có","Không"))</f>
        <v/>
      </c>
      <c r="T145" s="22">
        <f>IF($D145="","",IF(AND($C145&lt;&gt;"",$Q145="Có",$R145="",$S145="Có",AND($L145&lt;&gt;"",OR($L145&lt;&gt;"Chưa xác định",DANH_MUC!$L$9="Có"))),"Có","Không"))</f>
        <v/>
      </c>
      <c r="U145" s="22">
        <f>IF(OR($D145="",$T145="Có"),"",IF($C145="","Thiếu họ tên; ","")&amp;IF($S145&lt;&gt;"Có","SĐT sai định dạng; ","")&amp;IF($R145="Trùng","Trùng SĐT; ","")&amp;IF($Q145&lt;&gt;"Có","Thiếu đồng ý bắt buộc; ","")&amp;IF($L145="","Thiếu/sai Mã REF; ",IF(AND($L145="Chưa xác định",DANH_MUC!$L$9&lt;&gt;"Có"),"Nguồn chưa xác định; ","")))</f>
        <v/>
      </c>
      <c r="V145" s="22">
        <f>IF(OR($D145="",$R145="Trùng"),"",IF(COUNTIF(ORDERS!$C$2:$C$4995,$D145)&gt;0,"Có","Không"))</f>
        <v/>
      </c>
      <c r="W145" s="22">
        <f>IF(OR($D145="",$R145="Trùng"),"",COUNTIFS(ORDERS!$C$2:$C$4995,$D145,ORDERS!$L$2:$L$4995,"Đã chuyển khoản"))</f>
        <v/>
      </c>
      <c r="X145" s="23">
        <f>IF(OR($D145="",$R145="Trùng"),"",SUMIFS(ORDERS!$J$2:$J$4995,ORDERS!$C$2:$C$4995,$D145,ORDERS!$L$2:$L$4995,"Đã chuyển khoản"))</f>
        <v/>
      </c>
      <c r="Y145" s="24" t="n"/>
    </row>
    <row r="146" ht="14.25" customHeight="1" s="40">
      <c r="A146" s="24" t="inlineStr">
        <is>
          <t>c28b7fb9-c43a-443b-bf9b-a9e1257d5bb1</t>
        </is>
      </c>
      <c r="B146" s="18" t="n">
        <v>46291.36319444444</v>
      </c>
      <c r="C146" s="24" t="inlineStr">
        <is>
          <t>Nguyễn Thị Thanh Dung</t>
        </is>
      </c>
      <c r="D146" s="28" t="inlineStr">
        <is>
          <t>0362323675</t>
        </is>
      </c>
      <c r="E146" s="29" t="n">
        <v>46370</v>
      </c>
      <c r="F146" s="24" t="inlineStr">
        <is>
          <t>Đang mang thai</t>
        </is>
      </c>
      <c r="G146" s="24" t="inlineStr">
        <is>
          <t>Hải Phòng</t>
        </is>
      </c>
      <c r="H146" s="21">
        <f>IF(ISNUMBER($B146),INT($B146)-WEEKDAY($B146,2)+1,"")</f>
        <v/>
      </c>
      <c r="I146" s="24" t="inlineStr">
        <is>
          <t>Z-GREEN</t>
        </is>
      </c>
      <c r="J146" s="22">
        <f t="array" ref="J146">IF($D146="","",IF($I146="","(trống REF)",IFERROR(INDEX(MASTER_SOURCE!$B$2:$B$495,MATCH($I146,MASTER_SOURCE!$A$2:$A$495,0)),"(REF không có trong MASTER_SOURCE)")))</f>
        <v/>
      </c>
      <c r="K146" s="22">
        <f t="array" ref="K146">IF($D146="","",IFERROR(INDEX(MASTER_SOURCE!$C$2:$C$495,MATCH($I146,MASTER_SOURCE!$A$2:$A$495,0)),""))</f>
        <v/>
      </c>
      <c r="L146" s="22">
        <f t="array" ref="L146">IF($D146="","",IFERROR(INDEX(MASTER_SOURCE!$D$2:$D$495,MATCH($I146,MASTER_SOURCE!$A$2:$A$495,0)),""))</f>
        <v/>
      </c>
      <c r="M146" s="24" t="inlineStr">
        <is>
          <t>Có</t>
        </is>
      </c>
      <c r="N146" s="24" t="inlineStr">
        <is>
          <t>Có</t>
        </is>
      </c>
      <c r="O146" s="24" t="inlineStr">
        <is>
          <t>Có</t>
        </is>
      </c>
      <c r="P146" s="24" t="inlineStr">
        <is>
          <t>Có</t>
        </is>
      </c>
      <c r="Q146" s="22">
        <f>IF($D146="","",IF(AND(OR(DANH_MUC!$L$5&lt;&gt;"Có",M146="Có"),OR(DANH_MUC!$L$6&lt;&gt;"Có",N146="Có"),OR(DANH_MUC!$L$7&lt;&gt;"Có",O146="Có"),OR(DANH_MUC!$L$8&lt;&gt;"Có",P146="Có")),"Có","Không"))</f>
        <v/>
      </c>
      <c r="R146" s="22">
        <f>IF($D146="","",IF(COUNTIF($D$2:$D146,$D146)&gt;1,"Trùng",""))</f>
        <v/>
      </c>
      <c r="S146" s="22">
        <f>IF($D146="","",IF(AND(LEN($D146)=10,LEFT($D146,1)="0",ISNUMBER(--$D146)),"Có","Không"))</f>
        <v/>
      </c>
      <c r="T146" s="22">
        <f>IF($D146="","",IF(AND($C146&lt;&gt;"",$Q146="Có",$R146="",$S146="Có",AND($L146&lt;&gt;"",OR($L146&lt;&gt;"Chưa xác định",DANH_MUC!$L$9="Có"))),"Có","Không"))</f>
        <v/>
      </c>
      <c r="U146" s="22">
        <f>IF(OR($D146="",$T146="Có"),"",IF($C146="","Thiếu họ tên; ","")&amp;IF($S146&lt;&gt;"Có","SĐT sai định dạng; ","")&amp;IF($R146="Trùng","Trùng SĐT; ","")&amp;IF($Q146&lt;&gt;"Có","Thiếu đồng ý bắt buộc; ","")&amp;IF($L146="","Thiếu/sai Mã REF; ",IF(AND($L146="Chưa xác định",DANH_MUC!$L$9&lt;&gt;"Có"),"Nguồn chưa xác định; ","")))</f>
        <v/>
      </c>
      <c r="V146" s="22">
        <f>IF(OR($D146="",$R146="Trùng"),"",IF(COUNTIF(ORDERS!$C$2:$C$4995,$D146)&gt;0,"Có","Không"))</f>
        <v/>
      </c>
      <c r="W146" s="22">
        <f>IF(OR($D146="",$R146="Trùng"),"",COUNTIFS(ORDERS!$C$2:$C$4995,$D146,ORDERS!$L$2:$L$4995,"Đã chuyển khoản"))</f>
        <v/>
      </c>
      <c r="X146" s="23">
        <f>IF(OR($D146="",$R146="Trùng"),"",SUMIFS(ORDERS!$J$2:$J$4995,ORDERS!$C$2:$C$4995,$D146,ORDERS!$L$2:$L$4995,"Đã chuyển khoản"))</f>
        <v/>
      </c>
      <c r="Y146" s="24" t="n"/>
    </row>
    <row r="147" ht="14.25" customHeight="1" s="40">
      <c r="A147" s="24" t="inlineStr">
        <is>
          <t>c3439e77-619c-4138-a7d5-843c0eadf2bf</t>
        </is>
      </c>
      <c r="B147" s="18" t="n">
        <v>46291.36319444444</v>
      </c>
      <c r="C147" s="24" t="inlineStr">
        <is>
          <t>Đỗ Mỹ Nga</t>
        </is>
      </c>
      <c r="D147" s="28" t="inlineStr">
        <is>
          <t>0705696363</t>
        </is>
      </c>
      <c r="E147" s="29" t="n">
        <v>46381</v>
      </c>
      <c r="F147" s="24" t="inlineStr">
        <is>
          <t>Đang mang thai</t>
        </is>
      </c>
      <c r="G147" s="24" t="inlineStr">
        <is>
          <t>Hải Phòng</t>
        </is>
      </c>
      <c r="H147" s="21">
        <f>IF(ISNUMBER($B147),INT($B147)-WEEKDAY($B147,2)+1,"")</f>
        <v/>
      </c>
      <c r="I147" s="24" t="inlineStr">
        <is>
          <t>Z-GREEN</t>
        </is>
      </c>
      <c r="J147" s="22">
        <f t="array" ref="J147">IF($D147="","",IF($I147="","(trống REF)",IFERROR(INDEX(MASTER_SOURCE!$B$2:$B$495,MATCH($I147,MASTER_SOURCE!$A$2:$A$495,0)),"(REF không có trong MASTER_SOURCE)")))</f>
        <v/>
      </c>
      <c r="K147" s="22">
        <f t="array" ref="K147">IF($D147="","",IFERROR(INDEX(MASTER_SOURCE!$C$2:$C$495,MATCH($I147,MASTER_SOURCE!$A$2:$A$495,0)),""))</f>
        <v/>
      </c>
      <c r="L147" s="22">
        <f t="array" ref="L147">IF($D147="","",IFERROR(INDEX(MASTER_SOURCE!$D$2:$D$495,MATCH($I147,MASTER_SOURCE!$A$2:$A$495,0)),""))</f>
        <v/>
      </c>
      <c r="M147" s="24" t="inlineStr">
        <is>
          <t>Có</t>
        </is>
      </c>
      <c r="N147" s="24" t="inlineStr">
        <is>
          <t>Có</t>
        </is>
      </c>
      <c r="O147" s="24" t="inlineStr">
        <is>
          <t>Có</t>
        </is>
      </c>
      <c r="P147" s="24" t="inlineStr">
        <is>
          <t>Có</t>
        </is>
      </c>
      <c r="Q147" s="22">
        <f>IF($D147="","",IF(AND(OR(DANH_MUC!$L$5&lt;&gt;"Có",M147="Có"),OR(DANH_MUC!$L$6&lt;&gt;"Có",N147="Có"),OR(DANH_MUC!$L$7&lt;&gt;"Có",O147="Có"),OR(DANH_MUC!$L$8&lt;&gt;"Có",P147="Có")),"Có","Không"))</f>
        <v/>
      </c>
      <c r="R147" s="22">
        <f>IF($D147="","",IF(COUNTIF($D$2:$D147,$D147)&gt;1,"Trùng",""))</f>
        <v/>
      </c>
      <c r="S147" s="22">
        <f>IF($D147="","",IF(AND(LEN($D147)=10,LEFT($D147,1)="0",ISNUMBER(--$D147)),"Có","Không"))</f>
        <v/>
      </c>
      <c r="T147" s="22">
        <f>IF($D147="","",IF(AND($C147&lt;&gt;"",$Q147="Có",$R147="",$S147="Có",AND($L147&lt;&gt;"",OR($L147&lt;&gt;"Chưa xác định",DANH_MUC!$L$9="Có"))),"Có","Không"))</f>
        <v/>
      </c>
      <c r="U147" s="22">
        <f>IF(OR($D147="",$T147="Có"),"",IF($C147="","Thiếu họ tên; ","")&amp;IF($S147&lt;&gt;"Có","SĐT sai định dạng; ","")&amp;IF($R147="Trùng","Trùng SĐT; ","")&amp;IF($Q147&lt;&gt;"Có","Thiếu đồng ý bắt buộc; ","")&amp;IF($L147="","Thiếu/sai Mã REF; ",IF(AND($L147="Chưa xác định",DANH_MUC!$L$9&lt;&gt;"Có"),"Nguồn chưa xác định; ","")))</f>
        <v/>
      </c>
      <c r="V147" s="22">
        <f>IF(OR($D147="",$R147="Trùng"),"",IF(COUNTIF(ORDERS!$C$2:$C$4995,$D147)&gt;0,"Có","Không"))</f>
        <v/>
      </c>
      <c r="W147" s="22">
        <f>IF(OR($D147="",$R147="Trùng"),"",COUNTIFS(ORDERS!$C$2:$C$4995,$D147,ORDERS!$L$2:$L$4995,"Đã chuyển khoản"))</f>
        <v/>
      </c>
      <c r="X147" s="23">
        <f>IF(OR($D147="",$R147="Trùng"),"",SUMIFS(ORDERS!$J$2:$J$4995,ORDERS!$C$2:$C$4995,$D147,ORDERS!$L$2:$L$4995,"Đã chuyển khoản"))</f>
        <v/>
      </c>
      <c r="Y147" s="24" t="n"/>
    </row>
    <row r="148" ht="14.25" customHeight="1" s="40">
      <c r="A148" s="24" t="inlineStr">
        <is>
          <t>6bcf0ae4-53a9-42ab-8de5-4b8dcd805ed0</t>
        </is>
      </c>
      <c r="B148" s="18" t="n">
        <v>46291.36458333334</v>
      </c>
      <c r="C148" s="24" t="inlineStr">
        <is>
          <t>Trịnh Thị Hương</t>
        </is>
      </c>
      <c r="D148" s="28" t="inlineStr">
        <is>
          <t>0359175536</t>
        </is>
      </c>
      <c r="E148" s="29" t="n">
        <v>46312</v>
      </c>
      <c r="F148" s="24" t="inlineStr">
        <is>
          <t>Đang mang thai</t>
        </is>
      </c>
      <c r="G148" s="24" t="inlineStr">
        <is>
          <t>Hồ Chí Minh</t>
        </is>
      </c>
      <c r="H148" s="21">
        <f>IF(ISNUMBER($B148),INT($B148)-WEEKDAY($B148,2)+1,"")</f>
        <v/>
      </c>
      <c r="I148" s="24" t="inlineStr">
        <is>
          <t>C-SHING</t>
        </is>
      </c>
      <c r="J148" s="22">
        <f t="array" ref="J148">IF($D148="","",IF($I148="","(trống REF)",IFERROR(INDEX(MASTER_SOURCE!$B$2:$B$495,MATCH($I148,MASTER_SOURCE!$A$2:$A$495,0)),"(REF không có trong MASTER_SOURCE)")))</f>
        <v/>
      </c>
      <c r="K148" s="22">
        <f t="array" ref="K148">IF($D148="","",IFERROR(INDEX(MASTER_SOURCE!$C$2:$C$495,MATCH($I148,MASTER_SOURCE!$A$2:$A$495,0)),""))</f>
        <v/>
      </c>
      <c r="L148" s="22">
        <f t="array" ref="L148">IF($D148="","",IFERROR(INDEX(MASTER_SOURCE!$D$2:$D$495,MATCH($I148,MASTER_SOURCE!$A$2:$A$495,0)),""))</f>
        <v/>
      </c>
      <c r="M148" s="24" t="inlineStr">
        <is>
          <t>Có</t>
        </is>
      </c>
      <c r="N148" s="24" t="inlineStr">
        <is>
          <t>Không</t>
        </is>
      </c>
      <c r="O148" s="24" t="inlineStr">
        <is>
          <t>Không</t>
        </is>
      </c>
      <c r="P148" s="24" t="inlineStr">
        <is>
          <t>Không</t>
        </is>
      </c>
      <c r="Q148" s="22">
        <f>IF($D148="","",IF(AND(OR(DANH_MUC!$L$5&lt;&gt;"Có",M148="Có"),OR(DANH_MUC!$L$6&lt;&gt;"Có",N148="Có"),OR(DANH_MUC!$L$7&lt;&gt;"Có",O148="Có"),OR(DANH_MUC!$L$8&lt;&gt;"Có",P148="Có")),"Có","Không"))</f>
        <v/>
      </c>
      <c r="R148" s="22">
        <f>IF($D148="","",IF(COUNTIF($D$2:$D148,$D148)&gt;1,"Trùng",""))</f>
        <v/>
      </c>
      <c r="S148" s="22">
        <f>IF($D148="","",IF(AND(LEN($D148)=10,LEFT($D148,1)="0",ISNUMBER(--$D148)),"Có","Không"))</f>
        <v/>
      </c>
      <c r="T148" s="22">
        <f>IF($D148="","",IF(AND($C148&lt;&gt;"",$Q148="Có",$R148="",$S148="Có",AND($L148&lt;&gt;"",OR($L148&lt;&gt;"Chưa xác định",DANH_MUC!$L$9="Có"))),"Có","Không"))</f>
        <v/>
      </c>
      <c r="U148" s="22">
        <f>IF(OR($D148="",$T148="Có"),"",IF($C148="","Thiếu họ tên; ","")&amp;IF($S148&lt;&gt;"Có","SĐT sai định dạng; ","")&amp;IF($R148="Trùng","Trùng SĐT; ","")&amp;IF($Q148&lt;&gt;"Có","Thiếu đồng ý bắt buộc; ","")&amp;IF($L148="","Thiếu/sai Mã REF; ",IF(AND($L148="Chưa xác định",DANH_MUC!$L$9&lt;&gt;"Có"),"Nguồn chưa xác định; ","")))</f>
        <v/>
      </c>
      <c r="V148" s="22">
        <f>IF(OR($D148="",$R148="Trùng"),"",IF(COUNTIF(ORDERS!$C$2:$C$4995,$D148)&gt;0,"Có","Không"))</f>
        <v/>
      </c>
      <c r="W148" s="22">
        <f>IF(OR($D148="",$R148="Trùng"),"",COUNTIFS(ORDERS!$C$2:$C$4995,$D148,ORDERS!$L$2:$L$4995,"Đã chuyển khoản"))</f>
        <v/>
      </c>
      <c r="X148" s="23">
        <f>IF(OR($D148="",$R148="Trùng"),"",SUMIFS(ORDERS!$J$2:$J$4995,ORDERS!$C$2:$C$4995,$D148,ORDERS!$L$2:$L$4995,"Đã chuyển khoản"))</f>
        <v/>
      </c>
      <c r="Y148" s="24" t="n"/>
    </row>
    <row r="149" ht="14.25" customHeight="1" s="40">
      <c r="A149" s="24" t="inlineStr">
        <is>
          <t>33ff1332-ee02-493c-ace4-bda81b113908</t>
        </is>
      </c>
      <c r="B149" s="18" t="n">
        <v>46291.36527777778</v>
      </c>
      <c r="C149" s="24" t="inlineStr">
        <is>
          <t>Phạm thị thuý ngân</t>
        </is>
      </c>
      <c r="D149" s="28" t="inlineStr">
        <is>
          <t>0385638312</t>
        </is>
      </c>
      <c r="E149" s="29" t="n">
        <v>46341</v>
      </c>
      <c r="F149" s="24" t="inlineStr">
        <is>
          <t>Đang mang thai</t>
        </is>
      </c>
      <c r="G149" s="24" t="inlineStr">
        <is>
          <t>Hải Phòng</t>
        </is>
      </c>
      <c r="H149" s="21">
        <f>IF(ISNUMBER($B149),INT($B149)-WEEKDAY($B149,2)+1,"")</f>
        <v/>
      </c>
      <c r="I149" s="24" t="inlineStr">
        <is>
          <t>Z-GREEN</t>
        </is>
      </c>
      <c r="J149" s="22">
        <f t="array" ref="J149">IF($D149="","",IF($I149="","(trống REF)",IFERROR(INDEX(MASTER_SOURCE!$B$2:$B$495,MATCH($I149,MASTER_SOURCE!$A$2:$A$495,0)),"(REF không có trong MASTER_SOURCE)")))</f>
        <v/>
      </c>
      <c r="K149" s="22">
        <f t="array" ref="K149">IF($D149="","",IFERROR(INDEX(MASTER_SOURCE!$C$2:$C$495,MATCH($I149,MASTER_SOURCE!$A$2:$A$495,0)),""))</f>
        <v/>
      </c>
      <c r="L149" s="22">
        <f t="array" ref="L149">IF($D149="","",IFERROR(INDEX(MASTER_SOURCE!$D$2:$D$495,MATCH($I149,MASTER_SOURCE!$A$2:$A$495,0)),""))</f>
        <v/>
      </c>
      <c r="M149" s="24" t="inlineStr">
        <is>
          <t>Có</t>
        </is>
      </c>
      <c r="N149" s="24" t="inlineStr">
        <is>
          <t>Có</t>
        </is>
      </c>
      <c r="O149" s="24" t="inlineStr">
        <is>
          <t>Có</t>
        </is>
      </c>
      <c r="P149" s="24" t="inlineStr">
        <is>
          <t>Có</t>
        </is>
      </c>
      <c r="Q149" s="22">
        <f>IF($D149="","",IF(AND(OR(DANH_MUC!$L$5&lt;&gt;"Có",M149="Có"),OR(DANH_MUC!$L$6&lt;&gt;"Có",N149="Có"),OR(DANH_MUC!$L$7&lt;&gt;"Có",O149="Có"),OR(DANH_MUC!$L$8&lt;&gt;"Có",P149="Có")),"Có","Không"))</f>
        <v/>
      </c>
      <c r="R149" s="22">
        <f>IF($D149="","",IF(COUNTIF($D$2:$D149,$D149)&gt;1,"Trùng",""))</f>
        <v/>
      </c>
      <c r="S149" s="22">
        <f>IF($D149="","",IF(AND(LEN($D149)=10,LEFT($D149,1)="0",ISNUMBER(--$D149)),"Có","Không"))</f>
        <v/>
      </c>
      <c r="T149" s="22">
        <f>IF($D149="","",IF(AND($C149&lt;&gt;"",$Q149="Có",$R149="",$S149="Có",AND($L149&lt;&gt;"",OR($L149&lt;&gt;"Chưa xác định",DANH_MUC!$L$9="Có"))),"Có","Không"))</f>
        <v/>
      </c>
      <c r="U149" s="22">
        <f>IF(OR($D149="",$T149="Có"),"",IF($C149="","Thiếu họ tên; ","")&amp;IF($S149&lt;&gt;"Có","SĐT sai định dạng; ","")&amp;IF($R149="Trùng","Trùng SĐT; ","")&amp;IF($Q149&lt;&gt;"Có","Thiếu đồng ý bắt buộc; ","")&amp;IF($L149="","Thiếu/sai Mã REF; ",IF(AND($L149="Chưa xác định",DANH_MUC!$L$9&lt;&gt;"Có"),"Nguồn chưa xác định; ","")))</f>
        <v/>
      </c>
      <c r="V149" s="22">
        <f>IF(OR($D149="",$R149="Trùng"),"",IF(COUNTIF(ORDERS!$C$2:$C$4995,$D149)&gt;0,"Có","Không"))</f>
        <v/>
      </c>
      <c r="W149" s="22">
        <f>IF(OR($D149="",$R149="Trùng"),"",COUNTIFS(ORDERS!$C$2:$C$4995,$D149,ORDERS!$L$2:$L$4995,"Đã chuyển khoản"))</f>
        <v/>
      </c>
      <c r="X149" s="23">
        <f>IF(OR($D149="",$R149="Trùng"),"",SUMIFS(ORDERS!$J$2:$J$4995,ORDERS!$C$2:$C$4995,$D149,ORDERS!$L$2:$L$4995,"Đã chuyển khoản"))</f>
        <v/>
      </c>
      <c r="Y149" s="24" t="n"/>
    </row>
    <row r="150" ht="14.25" customHeight="1" s="40">
      <c r="A150" s="24" t="inlineStr">
        <is>
          <t>2c4defcf-a828-4a63-84cc-819cfa04abcc</t>
        </is>
      </c>
      <c r="B150" s="18" t="n">
        <v>46291.36527777778</v>
      </c>
      <c r="C150" s="24" t="inlineStr">
        <is>
          <t>Đỗ Thị Minh Phương</t>
        </is>
      </c>
      <c r="D150" s="28" t="inlineStr">
        <is>
          <t>0344941917</t>
        </is>
      </c>
      <c r="E150" s="29" t="n">
        <v>46332</v>
      </c>
      <c r="F150" s="24" t="inlineStr">
        <is>
          <t>Đang mang thai</t>
        </is>
      </c>
      <c r="G150" s="24" t="inlineStr">
        <is>
          <t>Hải Phòng</t>
        </is>
      </c>
      <c r="H150" s="21">
        <f>IF(ISNUMBER($B150),INT($B150)-WEEKDAY($B150,2)+1,"")</f>
        <v/>
      </c>
      <c r="I150" s="24" t="inlineStr">
        <is>
          <t>Z-GREEN</t>
        </is>
      </c>
      <c r="J150" s="22">
        <f t="array" ref="J150">IF($D150="","",IF($I150="","(trống REF)",IFERROR(INDEX(MASTER_SOURCE!$B$2:$B$495,MATCH($I150,MASTER_SOURCE!$A$2:$A$495,0)),"(REF không có trong MASTER_SOURCE)")))</f>
        <v/>
      </c>
      <c r="K150" s="22">
        <f t="array" ref="K150">IF($D150="","",IFERROR(INDEX(MASTER_SOURCE!$C$2:$C$495,MATCH($I150,MASTER_SOURCE!$A$2:$A$495,0)),""))</f>
        <v/>
      </c>
      <c r="L150" s="22">
        <f t="array" ref="L150">IF($D150="","",IFERROR(INDEX(MASTER_SOURCE!$D$2:$D$495,MATCH($I150,MASTER_SOURCE!$A$2:$A$495,0)),""))</f>
        <v/>
      </c>
      <c r="M150" s="24" t="inlineStr">
        <is>
          <t>Có</t>
        </is>
      </c>
      <c r="N150" s="24" t="inlineStr">
        <is>
          <t>Có</t>
        </is>
      </c>
      <c r="O150" s="24" t="inlineStr">
        <is>
          <t>Có</t>
        </is>
      </c>
      <c r="P150" s="24" t="inlineStr">
        <is>
          <t>Có</t>
        </is>
      </c>
      <c r="Q150" s="22">
        <f>IF($D150="","",IF(AND(OR(DANH_MUC!$L$5&lt;&gt;"Có",M150="Có"),OR(DANH_MUC!$L$6&lt;&gt;"Có",N150="Có"),OR(DANH_MUC!$L$7&lt;&gt;"Có",O150="Có"),OR(DANH_MUC!$L$8&lt;&gt;"Có",P150="Có")),"Có","Không"))</f>
        <v/>
      </c>
      <c r="R150" s="22">
        <f>IF($D150="","",IF(COUNTIF($D$2:$D150,$D150)&gt;1,"Trùng",""))</f>
        <v/>
      </c>
      <c r="S150" s="22">
        <f>IF($D150="","",IF(AND(LEN($D150)=10,LEFT($D150,1)="0",ISNUMBER(--$D150)),"Có","Không"))</f>
        <v/>
      </c>
      <c r="T150" s="22">
        <f>IF($D150="","",IF(AND($C150&lt;&gt;"",$Q150="Có",$R150="",$S150="Có",AND($L150&lt;&gt;"",OR($L150&lt;&gt;"Chưa xác định",DANH_MUC!$L$9="Có"))),"Có","Không"))</f>
        <v/>
      </c>
      <c r="U150" s="22">
        <f>IF(OR($D150="",$T150="Có"),"",IF($C150="","Thiếu họ tên; ","")&amp;IF($S150&lt;&gt;"Có","SĐT sai định dạng; ","")&amp;IF($R150="Trùng","Trùng SĐT; ","")&amp;IF($Q150&lt;&gt;"Có","Thiếu đồng ý bắt buộc; ","")&amp;IF($L150="","Thiếu/sai Mã REF; ",IF(AND($L150="Chưa xác định",DANH_MUC!$L$9&lt;&gt;"Có"),"Nguồn chưa xác định; ","")))</f>
        <v/>
      </c>
      <c r="V150" s="22">
        <f>IF(OR($D150="",$R150="Trùng"),"",IF(COUNTIF(ORDERS!$C$2:$C$4995,$D150)&gt;0,"Có","Không"))</f>
        <v/>
      </c>
      <c r="W150" s="22">
        <f>IF(OR($D150="",$R150="Trùng"),"",COUNTIFS(ORDERS!$C$2:$C$4995,$D150,ORDERS!$L$2:$L$4995,"Đã chuyển khoản"))</f>
        <v/>
      </c>
      <c r="X150" s="23">
        <f>IF(OR($D150="",$R150="Trùng"),"",SUMIFS(ORDERS!$J$2:$J$4995,ORDERS!$C$2:$C$4995,$D150,ORDERS!$L$2:$L$4995,"Đã chuyển khoản"))</f>
        <v/>
      </c>
      <c r="Y150" s="24" t="n"/>
    </row>
    <row r="151" ht="14.25" customHeight="1" s="40">
      <c r="A151" s="24" t="inlineStr">
        <is>
          <t>500b7305-e98f-4582-9876-e89e69958df7</t>
        </is>
      </c>
      <c r="B151" s="18" t="n">
        <v>46291.36527777778</v>
      </c>
      <c r="C151" s="24" t="inlineStr">
        <is>
          <t>Lê Thị Thủy</t>
        </is>
      </c>
      <c r="D151" s="28" t="inlineStr">
        <is>
          <t>0399737608</t>
        </is>
      </c>
      <c r="E151" s="29" t="n">
        <v>46375</v>
      </c>
      <c r="F151" s="24" t="inlineStr">
        <is>
          <t>Đang mang thai</t>
        </is>
      </c>
      <c r="G151" s="24" t="inlineStr">
        <is>
          <t>Đồng Nai</t>
        </is>
      </c>
      <c r="H151" s="21">
        <f>IF(ISNUMBER($B151),INT($B151)-WEEKDAY($B151,2)+1,"")</f>
        <v/>
      </c>
      <c r="I151" s="24" t="inlineStr">
        <is>
          <t>Z-PSAC</t>
        </is>
      </c>
      <c r="J151" s="22">
        <f t="array" ref="J151">IF($D151="","",IF($I151="","(trống REF)",IFERROR(INDEX(MASTER_SOURCE!$B$2:$B$495,MATCH($I151,MASTER_SOURCE!$A$2:$A$495,0)),"(REF không có trong MASTER_SOURCE)")))</f>
        <v/>
      </c>
      <c r="K151" s="22">
        <f t="array" ref="K151">IF($D151="","",IFERROR(INDEX(MASTER_SOURCE!$C$2:$C$495,MATCH($I151,MASTER_SOURCE!$A$2:$A$495,0)),""))</f>
        <v/>
      </c>
      <c r="L151" s="22">
        <f t="array" ref="L151">IF($D151="","",IFERROR(INDEX(MASTER_SOURCE!$D$2:$D$495,MATCH($I151,MASTER_SOURCE!$A$2:$A$495,0)),""))</f>
        <v/>
      </c>
      <c r="M151" s="24" t="inlineStr">
        <is>
          <t>Có</t>
        </is>
      </c>
      <c r="N151" s="24" t="inlineStr">
        <is>
          <t>Có</t>
        </is>
      </c>
      <c r="O151" s="24" t="inlineStr">
        <is>
          <t>Có</t>
        </is>
      </c>
      <c r="P151" s="24" t="inlineStr">
        <is>
          <t>Có</t>
        </is>
      </c>
      <c r="Q151" s="22">
        <f>IF($D151="","",IF(AND(OR(DANH_MUC!$L$5&lt;&gt;"Có",M151="Có"),OR(DANH_MUC!$L$6&lt;&gt;"Có",N151="Có"),OR(DANH_MUC!$L$7&lt;&gt;"Có",O151="Có"),OR(DANH_MUC!$L$8&lt;&gt;"Có",P151="Có")),"Có","Không"))</f>
        <v/>
      </c>
      <c r="R151" s="22">
        <f>IF($D151="","",IF(COUNTIF($D$2:$D151,$D151)&gt;1,"Trùng",""))</f>
        <v/>
      </c>
      <c r="S151" s="22">
        <f>IF($D151="","",IF(AND(LEN($D151)=10,LEFT($D151,1)="0",ISNUMBER(--$D151)),"Có","Không"))</f>
        <v/>
      </c>
      <c r="T151" s="22">
        <f>IF($D151="","",IF(AND($C151&lt;&gt;"",$Q151="Có",$R151="",$S151="Có",AND($L151&lt;&gt;"",OR($L151&lt;&gt;"Chưa xác định",DANH_MUC!$L$9="Có"))),"Có","Không"))</f>
        <v/>
      </c>
      <c r="U151" s="22">
        <f>IF(OR($D151="",$T151="Có"),"",IF($C151="","Thiếu họ tên; ","")&amp;IF($S151&lt;&gt;"Có","SĐT sai định dạng; ","")&amp;IF($R151="Trùng","Trùng SĐT; ","")&amp;IF($Q151&lt;&gt;"Có","Thiếu đồng ý bắt buộc; ","")&amp;IF($L151="","Thiếu/sai Mã REF; ",IF(AND($L151="Chưa xác định",DANH_MUC!$L$9&lt;&gt;"Có"),"Nguồn chưa xác định; ","")))</f>
        <v/>
      </c>
      <c r="V151" s="22">
        <f>IF(OR($D151="",$R151="Trùng"),"",IF(COUNTIF(ORDERS!$C$2:$C$4995,$D151)&gt;0,"Có","Không"))</f>
        <v/>
      </c>
      <c r="W151" s="22">
        <f>IF(OR($D151="",$R151="Trùng"),"",COUNTIFS(ORDERS!$C$2:$C$4995,$D151,ORDERS!$L$2:$L$4995,"Đã chuyển khoản"))</f>
        <v/>
      </c>
      <c r="X151" s="23">
        <f>IF(OR($D151="",$R151="Trùng"),"",SUMIFS(ORDERS!$J$2:$J$4995,ORDERS!$C$2:$C$4995,$D151,ORDERS!$L$2:$L$4995,"Đã chuyển khoản"))</f>
        <v/>
      </c>
      <c r="Y151" s="24" t="n"/>
    </row>
    <row r="152" ht="14.25" customHeight="1" s="40">
      <c r="A152" s="24" t="inlineStr">
        <is>
          <t>09097f89-22e4-499b-b270-6e47567458d4</t>
        </is>
      </c>
      <c r="B152" s="18" t="n">
        <v>46291.36597222222</v>
      </c>
      <c r="C152" s="24" t="inlineStr">
        <is>
          <t>Phan thị giang</t>
        </is>
      </c>
      <c r="D152" s="28" t="inlineStr">
        <is>
          <t>0942488259</t>
        </is>
      </c>
      <c r="E152" s="29" t="n">
        <v>46373</v>
      </c>
      <c r="F152" s="24" t="inlineStr">
        <is>
          <t>Đang mang thai</t>
        </is>
      </c>
      <c r="G152" s="24" t="inlineStr">
        <is>
          <t>Hải Phòng</t>
        </is>
      </c>
      <c r="H152" s="21">
        <f>IF(ISNUMBER($B152),INT($B152)-WEEKDAY($B152,2)+1,"")</f>
        <v/>
      </c>
      <c r="I152" s="24" t="inlineStr">
        <is>
          <t>Z-GREEN</t>
        </is>
      </c>
      <c r="J152" s="22">
        <f t="array" ref="J152">IF($D152="","",IF($I152="","(trống REF)",IFERROR(INDEX(MASTER_SOURCE!$B$2:$B$495,MATCH($I152,MASTER_SOURCE!$A$2:$A$495,0)),"(REF không có trong MASTER_SOURCE)")))</f>
        <v/>
      </c>
      <c r="K152" s="22">
        <f t="array" ref="K152">IF($D152="","",IFERROR(INDEX(MASTER_SOURCE!$C$2:$C$495,MATCH($I152,MASTER_SOURCE!$A$2:$A$495,0)),""))</f>
        <v/>
      </c>
      <c r="L152" s="22">
        <f t="array" ref="L152">IF($D152="","",IFERROR(INDEX(MASTER_SOURCE!$D$2:$D$495,MATCH($I152,MASTER_SOURCE!$A$2:$A$495,0)),""))</f>
        <v/>
      </c>
      <c r="M152" s="24" t="inlineStr">
        <is>
          <t>Có</t>
        </is>
      </c>
      <c r="N152" s="24" t="inlineStr">
        <is>
          <t>Có</t>
        </is>
      </c>
      <c r="O152" s="24" t="inlineStr">
        <is>
          <t>Có</t>
        </is>
      </c>
      <c r="P152" s="24" t="inlineStr">
        <is>
          <t>Có</t>
        </is>
      </c>
      <c r="Q152" s="22">
        <f>IF($D152="","",IF(AND(OR(DANH_MUC!$L$5&lt;&gt;"Có",M152="Có"),OR(DANH_MUC!$L$6&lt;&gt;"Có",N152="Có"),OR(DANH_MUC!$L$7&lt;&gt;"Có",O152="Có"),OR(DANH_MUC!$L$8&lt;&gt;"Có",P152="Có")),"Có","Không"))</f>
        <v/>
      </c>
      <c r="R152" s="22">
        <f>IF($D152="","",IF(COUNTIF($D$2:$D152,$D152)&gt;1,"Trùng",""))</f>
        <v/>
      </c>
      <c r="S152" s="22">
        <f>IF($D152="","",IF(AND(LEN($D152)=10,LEFT($D152,1)="0",ISNUMBER(--$D152)),"Có","Không"))</f>
        <v/>
      </c>
      <c r="T152" s="22">
        <f>IF($D152="","",IF(AND($C152&lt;&gt;"",$Q152="Có",$R152="",$S152="Có",AND($L152&lt;&gt;"",OR($L152&lt;&gt;"Chưa xác định",DANH_MUC!$L$9="Có"))),"Có","Không"))</f>
        <v/>
      </c>
      <c r="U152" s="22">
        <f>IF(OR($D152="",$T152="Có"),"",IF($C152="","Thiếu họ tên; ","")&amp;IF($S152&lt;&gt;"Có","SĐT sai định dạng; ","")&amp;IF($R152="Trùng","Trùng SĐT; ","")&amp;IF($Q152&lt;&gt;"Có","Thiếu đồng ý bắt buộc; ","")&amp;IF($L152="","Thiếu/sai Mã REF; ",IF(AND($L152="Chưa xác định",DANH_MUC!$L$9&lt;&gt;"Có"),"Nguồn chưa xác định; ","")))</f>
        <v/>
      </c>
      <c r="V152" s="22">
        <f>IF(OR($D152="",$R152="Trùng"),"",IF(COUNTIF(ORDERS!$C$2:$C$4995,$D152)&gt;0,"Có","Không"))</f>
        <v/>
      </c>
      <c r="W152" s="22">
        <f>IF(OR($D152="",$R152="Trùng"),"",COUNTIFS(ORDERS!$C$2:$C$4995,$D152,ORDERS!$L$2:$L$4995,"Đã chuyển khoản"))</f>
        <v/>
      </c>
      <c r="X152" s="23">
        <f>IF(OR($D152="",$R152="Trùng"),"",SUMIFS(ORDERS!$J$2:$J$4995,ORDERS!$C$2:$C$4995,$D152,ORDERS!$L$2:$L$4995,"Đã chuyển khoản"))</f>
        <v/>
      </c>
      <c r="Y152" s="24" t="n"/>
    </row>
    <row r="153" ht="14.25" customHeight="1" s="40">
      <c r="A153" s="24" t="inlineStr">
        <is>
          <t>2d4eb90b-b9f4-404a-b20d-a9220bebbee6</t>
        </is>
      </c>
      <c r="B153" s="18" t="n">
        <v>46291.36597222222</v>
      </c>
      <c r="C153" s="24" t="inlineStr">
        <is>
          <t>Phạm Thị Huyền</t>
        </is>
      </c>
      <c r="D153" s="28" t="inlineStr">
        <is>
          <t>0859260626</t>
        </is>
      </c>
      <c r="E153" s="29" t="n">
        <v>46316</v>
      </c>
      <c r="F153" s="24" t="inlineStr">
        <is>
          <t>Đang mang thai</t>
        </is>
      </c>
      <c r="G153" s="24" t="inlineStr">
        <is>
          <t>Hải Phòng</t>
        </is>
      </c>
      <c r="H153" s="21">
        <f>IF(ISNUMBER($B153),INT($B153)-WEEKDAY($B153,2)+1,"")</f>
        <v/>
      </c>
      <c r="I153" s="24" t="inlineStr">
        <is>
          <t>Z-GREEN</t>
        </is>
      </c>
      <c r="J153" s="22">
        <f t="array" ref="J153">IF($D153="","",IF($I153="","(trống REF)",IFERROR(INDEX(MASTER_SOURCE!$B$2:$B$495,MATCH($I153,MASTER_SOURCE!$A$2:$A$495,0)),"(REF không có trong MASTER_SOURCE)")))</f>
        <v/>
      </c>
      <c r="K153" s="22">
        <f t="array" ref="K153">IF($D153="","",IFERROR(INDEX(MASTER_SOURCE!$C$2:$C$495,MATCH($I153,MASTER_SOURCE!$A$2:$A$495,0)),""))</f>
        <v/>
      </c>
      <c r="L153" s="22">
        <f t="array" ref="L153">IF($D153="","",IFERROR(INDEX(MASTER_SOURCE!$D$2:$D$495,MATCH($I153,MASTER_SOURCE!$A$2:$A$495,0)),""))</f>
        <v/>
      </c>
      <c r="M153" s="24" t="inlineStr">
        <is>
          <t>Có</t>
        </is>
      </c>
      <c r="N153" s="24" t="inlineStr">
        <is>
          <t>Có</t>
        </is>
      </c>
      <c r="O153" s="24" t="inlineStr">
        <is>
          <t>Có</t>
        </is>
      </c>
      <c r="P153" s="24" t="inlineStr">
        <is>
          <t>Có</t>
        </is>
      </c>
      <c r="Q153" s="22">
        <f>IF($D153="","",IF(AND(OR(DANH_MUC!$L$5&lt;&gt;"Có",M153="Có"),OR(DANH_MUC!$L$6&lt;&gt;"Có",N153="Có"),OR(DANH_MUC!$L$7&lt;&gt;"Có",O153="Có"),OR(DANH_MUC!$L$8&lt;&gt;"Có",P153="Có")),"Có","Không"))</f>
        <v/>
      </c>
      <c r="R153" s="22">
        <f>IF($D153="","",IF(COUNTIF($D$2:$D153,$D153)&gt;1,"Trùng",""))</f>
        <v/>
      </c>
      <c r="S153" s="22">
        <f>IF($D153="","",IF(AND(LEN($D153)=10,LEFT($D153,1)="0",ISNUMBER(--$D153)),"Có","Không"))</f>
        <v/>
      </c>
      <c r="T153" s="22">
        <f>IF($D153="","",IF(AND($C153&lt;&gt;"",$Q153="Có",$R153="",$S153="Có",AND($L153&lt;&gt;"",OR($L153&lt;&gt;"Chưa xác định",DANH_MUC!$L$9="Có"))),"Có","Không"))</f>
        <v/>
      </c>
      <c r="U153" s="22">
        <f>IF(OR($D153="",$T153="Có"),"",IF($C153="","Thiếu họ tên; ","")&amp;IF($S153&lt;&gt;"Có","SĐT sai định dạng; ","")&amp;IF($R153="Trùng","Trùng SĐT; ","")&amp;IF($Q153&lt;&gt;"Có","Thiếu đồng ý bắt buộc; ","")&amp;IF($L153="","Thiếu/sai Mã REF; ",IF(AND($L153="Chưa xác định",DANH_MUC!$L$9&lt;&gt;"Có"),"Nguồn chưa xác định; ","")))</f>
        <v/>
      </c>
      <c r="V153" s="22">
        <f>IF(OR($D153="",$R153="Trùng"),"",IF(COUNTIF(ORDERS!$C$2:$C$4995,$D153)&gt;0,"Có","Không"))</f>
        <v/>
      </c>
      <c r="W153" s="22">
        <f>IF(OR($D153="",$R153="Trùng"),"",COUNTIFS(ORDERS!$C$2:$C$4995,$D153,ORDERS!$L$2:$L$4995,"Đã chuyển khoản"))</f>
        <v/>
      </c>
      <c r="X153" s="23">
        <f>IF(OR($D153="",$R153="Trùng"),"",SUMIFS(ORDERS!$J$2:$J$4995,ORDERS!$C$2:$C$4995,$D153,ORDERS!$L$2:$L$4995,"Đã chuyển khoản"))</f>
        <v/>
      </c>
      <c r="Y153" s="24" t="n"/>
    </row>
    <row r="154" ht="14.25" customHeight="1" s="40">
      <c r="A154" s="24" t="inlineStr">
        <is>
          <t>cb64c340-7469-413e-af2b-604be6bd49bb</t>
        </is>
      </c>
      <c r="B154" s="18" t="n">
        <v>46291.36666666667</v>
      </c>
      <c r="C154" s="24" t="inlineStr">
        <is>
          <t>Trần Thị Thuỳ Dung</t>
        </is>
      </c>
      <c r="D154" s="28" t="inlineStr">
        <is>
          <t>0326128147</t>
        </is>
      </c>
      <c r="E154" s="29" t="n">
        <v>46383</v>
      </c>
      <c r="F154" s="24" t="inlineStr">
        <is>
          <t>Đang mang thai</t>
        </is>
      </c>
      <c r="G154" s="24" t="inlineStr">
        <is>
          <t>Hải Phòng</t>
        </is>
      </c>
      <c r="H154" s="21">
        <f>IF(ISNUMBER($B154),INT($B154)-WEEKDAY($B154,2)+1,"")</f>
        <v/>
      </c>
      <c r="I154" s="24" t="inlineStr">
        <is>
          <t>Z-GREEN</t>
        </is>
      </c>
      <c r="J154" s="22">
        <f t="array" ref="J154">IF($D154="","",IF($I154="","(trống REF)",IFERROR(INDEX(MASTER_SOURCE!$B$2:$B$495,MATCH($I154,MASTER_SOURCE!$A$2:$A$495,0)),"(REF không có trong MASTER_SOURCE)")))</f>
        <v/>
      </c>
      <c r="K154" s="22">
        <f t="array" ref="K154">IF($D154="","",IFERROR(INDEX(MASTER_SOURCE!$C$2:$C$495,MATCH($I154,MASTER_SOURCE!$A$2:$A$495,0)),""))</f>
        <v/>
      </c>
      <c r="L154" s="22">
        <f t="array" ref="L154">IF($D154="","",IFERROR(INDEX(MASTER_SOURCE!$D$2:$D$495,MATCH($I154,MASTER_SOURCE!$A$2:$A$495,0)),""))</f>
        <v/>
      </c>
      <c r="M154" s="24" t="inlineStr">
        <is>
          <t>Có</t>
        </is>
      </c>
      <c r="N154" s="24" t="inlineStr">
        <is>
          <t>Có</t>
        </is>
      </c>
      <c r="O154" s="24" t="inlineStr">
        <is>
          <t>Có</t>
        </is>
      </c>
      <c r="P154" s="24" t="inlineStr">
        <is>
          <t>Có</t>
        </is>
      </c>
      <c r="Q154" s="22">
        <f>IF($D154="","",IF(AND(OR(DANH_MUC!$L$5&lt;&gt;"Có",M154="Có"),OR(DANH_MUC!$L$6&lt;&gt;"Có",N154="Có"),OR(DANH_MUC!$L$7&lt;&gt;"Có",O154="Có"),OR(DANH_MUC!$L$8&lt;&gt;"Có",P154="Có")),"Có","Không"))</f>
        <v/>
      </c>
      <c r="R154" s="22">
        <f>IF($D154="","",IF(COUNTIF($D$2:$D154,$D154)&gt;1,"Trùng",""))</f>
        <v/>
      </c>
      <c r="S154" s="22">
        <f>IF($D154="","",IF(AND(LEN($D154)=10,LEFT($D154,1)="0",ISNUMBER(--$D154)),"Có","Không"))</f>
        <v/>
      </c>
      <c r="T154" s="22">
        <f>IF($D154="","",IF(AND($C154&lt;&gt;"",$Q154="Có",$R154="",$S154="Có",AND($L154&lt;&gt;"",OR($L154&lt;&gt;"Chưa xác định",DANH_MUC!$L$9="Có"))),"Có","Không"))</f>
        <v/>
      </c>
      <c r="U154" s="22">
        <f>IF(OR($D154="",$T154="Có"),"",IF($C154="","Thiếu họ tên; ","")&amp;IF($S154&lt;&gt;"Có","SĐT sai định dạng; ","")&amp;IF($R154="Trùng","Trùng SĐT; ","")&amp;IF($Q154&lt;&gt;"Có","Thiếu đồng ý bắt buộc; ","")&amp;IF($L154="","Thiếu/sai Mã REF; ",IF(AND($L154="Chưa xác định",DANH_MUC!$L$9&lt;&gt;"Có"),"Nguồn chưa xác định; ","")))</f>
        <v/>
      </c>
      <c r="V154" s="22">
        <f>IF(OR($D154="",$R154="Trùng"),"",IF(COUNTIF(ORDERS!$C$2:$C$4995,$D154)&gt;0,"Có","Không"))</f>
        <v/>
      </c>
      <c r="W154" s="22">
        <f>IF(OR($D154="",$R154="Trùng"),"",COUNTIFS(ORDERS!$C$2:$C$4995,$D154,ORDERS!$L$2:$L$4995,"Đã chuyển khoản"))</f>
        <v/>
      </c>
      <c r="X154" s="23">
        <f>IF(OR($D154="",$R154="Trùng"),"",SUMIFS(ORDERS!$J$2:$J$4995,ORDERS!$C$2:$C$4995,$D154,ORDERS!$L$2:$L$4995,"Đã chuyển khoản"))</f>
        <v/>
      </c>
      <c r="Y154" s="24" t="n"/>
    </row>
    <row r="155" ht="14.25" customHeight="1" s="40">
      <c r="A155" s="24" t="inlineStr">
        <is>
          <t>e7b488cd-f602-426b-bca7-6efed97c8ab3</t>
        </is>
      </c>
      <c r="B155" s="18" t="n">
        <v>46291.36666666667</v>
      </c>
      <c r="C155" s="24" t="inlineStr">
        <is>
          <t>Bùi Hà Phương</t>
        </is>
      </c>
      <c r="D155" s="28" t="inlineStr">
        <is>
          <t>0778329108</t>
        </is>
      </c>
      <c r="E155" s="29" t="n">
        <v>46353</v>
      </c>
      <c r="F155" s="24" t="inlineStr">
        <is>
          <t>Đang mang thai</t>
        </is>
      </c>
      <c r="G155" s="24" t="inlineStr">
        <is>
          <t>Hải Phòng</t>
        </is>
      </c>
      <c r="H155" s="21">
        <f>IF(ISNUMBER($B155),INT($B155)-WEEKDAY($B155,2)+1,"")</f>
        <v/>
      </c>
      <c r="I155" s="24" t="inlineStr">
        <is>
          <t>Z-GREEN</t>
        </is>
      </c>
      <c r="J155" s="22">
        <f t="array" ref="J155">IF($D155="","",IF($I155="","(trống REF)",IFERROR(INDEX(MASTER_SOURCE!$B$2:$B$495,MATCH($I155,MASTER_SOURCE!$A$2:$A$495,0)),"(REF không có trong MASTER_SOURCE)")))</f>
        <v/>
      </c>
      <c r="K155" s="22">
        <f t="array" ref="K155">IF($D155="","",IFERROR(INDEX(MASTER_SOURCE!$C$2:$C$495,MATCH($I155,MASTER_SOURCE!$A$2:$A$495,0)),""))</f>
        <v/>
      </c>
      <c r="L155" s="22">
        <f t="array" ref="L155">IF($D155="","",IFERROR(INDEX(MASTER_SOURCE!$D$2:$D$495,MATCH($I155,MASTER_SOURCE!$A$2:$A$495,0)),""))</f>
        <v/>
      </c>
      <c r="M155" s="24" t="inlineStr">
        <is>
          <t>Có</t>
        </is>
      </c>
      <c r="N155" s="24" t="inlineStr">
        <is>
          <t>Có</t>
        </is>
      </c>
      <c r="O155" s="24" t="inlineStr">
        <is>
          <t>Có</t>
        </is>
      </c>
      <c r="P155" s="24" t="inlineStr">
        <is>
          <t>Có</t>
        </is>
      </c>
      <c r="Q155" s="22">
        <f>IF($D155="","",IF(AND(OR(DANH_MUC!$L$5&lt;&gt;"Có",M155="Có"),OR(DANH_MUC!$L$6&lt;&gt;"Có",N155="Có"),OR(DANH_MUC!$L$7&lt;&gt;"Có",O155="Có"),OR(DANH_MUC!$L$8&lt;&gt;"Có",P155="Có")),"Có","Không"))</f>
        <v/>
      </c>
      <c r="R155" s="22">
        <f>IF($D155="","",IF(COUNTIF($D$2:$D155,$D155)&gt;1,"Trùng",""))</f>
        <v/>
      </c>
      <c r="S155" s="22">
        <f>IF($D155="","",IF(AND(LEN($D155)=10,LEFT($D155,1)="0",ISNUMBER(--$D155)),"Có","Không"))</f>
        <v/>
      </c>
      <c r="T155" s="22">
        <f>IF($D155="","",IF(AND($C155&lt;&gt;"",$Q155="Có",$R155="",$S155="Có",AND($L155&lt;&gt;"",OR($L155&lt;&gt;"Chưa xác định",DANH_MUC!$L$9="Có"))),"Có","Không"))</f>
        <v/>
      </c>
      <c r="U155" s="22">
        <f>IF(OR($D155="",$T155="Có"),"",IF($C155="","Thiếu họ tên; ","")&amp;IF($S155&lt;&gt;"Có","SĐT sai định dạng; ","")&amp;IF($R155="Trùng","Trùng SĐT; ","")&amp;IF($Q155&lt;&gt;"Có","Thiếu đồng ý bắt buộc; ","")&amp;IF($L155="","Thiếu/sai Mã REF; ",IF(AND($L155="Chưa xác định",DANH_MUC!$L$9&lt;&gt;"Có"),"Nguồn chưa xác định; ","")))</f>
        <v/>
      </c>
      <c r="V155" s="22">
        <f>IF(OR($D155="",$R155="Trùng"),"",IF(COUNTIF(ORDERS!$C$2:$C$4995,$D155)&gt;0,"Có","Không"))</f>
        <v/>
      </c>
      <c r="W155" s="22">
        <f>IF(OR($D155="",$R155="Trùng"),"",COUNTIFS(ORDERS!$C$2:$C$4995,$D155,ORDERS!$L$2:$L$4995,"Đã chuyển khoản"))</f>
        <v/>
      </c>
      <c r="X155" s="23">
        <f>IF(OR($D155="",$R155="Trùng"),"",SUMIFS(ORDERS!$J$2:$J$4995,ORDERS!$C$2:$C$4995,$D155,ORDERS!$L$2:$L$4995,"Đã chuyển khoản"))</f>
        <v/>
      </c>
      <c r="Y155" s="24" t="n"/>
    </row>
    <row r="156" ht="14.25" customHeight="1" s="40">
      <c r="A156" s="24" t="inlineStr">
        <is>
          <t>b115dc25-f7e4-438a-880d-6119e5758df2</t>
        </is>
      </c>
      <c r="B156" s="18" t="n">
        <v>46291.36805555555</v>
      </c>
      <c r="C156" s="24" t="inlineStr">
        <is>
          <t>Trần Thị Ngọc Ánh</t>
        </is>
      </c>
      <c r="D156" s="28" t="inlineStr">
        <is>
          <t>0877755870</t>
        </is>
      </c>
      <c r="E156" s="29" t="n">
        <v>46368</v>
      </c>
      <c r="F156" s="24" t="inlineStr">
        <is>
          <t>Đang mang thai</t>
        </is>
      </c>
      <c r="G156" s="24" t="inlineStr">
        <is>
          <t>Hải Phòng</t>
        </is>
      </c>
      <c r="H156" s="21">
        <f>IF(ISNUMBER($B156),INT($B156)-WEEKDAY($B156,2)+1,"")</f>
        <v/>
      </c>
      <c r="I156" s="24" t="inlineStr">
        <is>
          <t>Z-GREEN</t>
        </is>
      </c>
      <c r="J156" s="22">
        <f t="array" ref="J156">IF($D156="","",IF($I156="","(trống REF)",IFERROR(INDEX(MASTER_SOURCE!$B$2:$B$495,MATCH($I156,MASTER_SOURCE!$A$2:$A$495,0)),"(REF không có trong MASTER_SOURCE)")))</f>
        <v/>
      </c>
      <c r="K156" s="22">
        <f t="array" ref="K156">IF($D156="","",IFERROR(INDEX(MASTER_SOURCE!$C$2:$C$495,MATCH($I156,MASTER_SOURCE!$A$2:$A$495,0)),""))</f>
        <v/>
      </c>
      <c r="L156" s="22">
        <f t="array" ref="L156">IF($D156="","",IFERROR(INDEX(MASTER_SOURCE!$D$2:$D$495,MATCH($I156,MASTER_SOURCE!$A$2:$A$495,0)),""))</f>
        <v/>
      </c>
      <c r="M156" s="24" t="inlineStr">
        <is>
          <t>Có</t>
        </is>
      </c>
      <c r="N156" s="24" t="inlineStr">
        <is>
          <t>Có</t>
        </is>
      </c>
      <c r="O156" s="24" t="inlineStr">
        <is>
          <t>Có</t>
        </is>
      </c>
      <c r="P156" s="24" t="inlineStr">
        <is>
          <t>Có</t>
        </is>
      </c>
      <c r="Q156" s="22">
        <f>IF($D156="","",IF(AND(OR(DANH_MUC!$L$5&lt;&gt;"Có",M156="Có"),OR(DANH_MUC!$L$6&lt;&gt;"Có",N156="Có"),OR(DANH_MUC!$L$7&lt;&gt;"Có",O156="Có"),OR(DANH_MUC!$L$8&lt;&gt;"Có",P156="Có")),"Có","Không"))</f>
        <v/>
      </c>
      <c r="R156" s="22">
        <f>IF($D156="","",IF(COUNTIF($D$2:$D156,$D156)&gt;1,"Trùng",""))</f>
        <v/>
      </c>
      <c r="S156" s="22">
        <f>IF($D156="","",IF(AND(LEN($D156)=10,LEFT($D156,1)="0",ISNUMBER(--$D156)),"Có","Không"))</f>
        <v/>
      </c>
      <c r="T156" s="22">
        <f>IF($D156="","",IF(AND($C156&lt;&gt;"",$Q156="Có",$R156="",$S156="Có",AND($L156&lt;&gt;"",OR($L156&lt;&gt;"Chưa xác định",DANH_MUC!$L$9="Có"))),"Có","Không"))</f>
        <v/>
      </c>
      <c r="U156" s="22">
        <f>IF(OR($D156="",$T156="Có"),"",IF($C156="","Thiếu họ tên; ","")&amp;IF($S156&lt;&gt;"Có","SĐT sai định dạng; ","")&amp;IF($R156="Trùng","Trùng SĐT; ","")&amp;IF($Q156&lt;&gt;"Có","Thiếu đồng ý bắt buộc; ","")&amp;IF($L156="","Thiếu/sai Mã REF; ",IF(AND($L156="Chưa xác định",DANH_MUC!$L$9&lt;&gt;"Có"),"Nguồn chưa xác định; ","")))</f>
        <v/>
      </c>
      <c r="V156" s="22">
        <f>IF(OR($D156="",$R156="Trùng"),"",IF(COUNTIF(ORDERS!$C$2:$C$4995,$D156)&gt;0,"Có","Không"))</f>
        <v/>
      </c>
      <c r="W156" s="22">
        <f>IF(OR($D156="",$R156="Trùng"),"",COUNTIFS(ORDERS!$C$2:$C$4995,$D156,ORDERS!$L$2:$L$4995,"Đã chuyển khoản"))</f>
        <v/>
      </c>
      <c r="X156" s="23">
        <f>IF(OR($D156="",$R156="Trùng"),"",SUMIFS(ORDERS!$J$2:$J$4995,ORDERS!$C$2:$C$4995,$D156,ORDERS!$L$2:$L$4995,"Đã chuyển khoản"))</f>
        <v/>
      </c>
      <c r="Y156" s="24" t="n"/>
    </row>
    <row r="157" ht="14.25" customHeight="1" s="40">
      <c r="A157" s="24" t="inlineStr">
        <is>
          <t>e8569ec2-a984-4e5d-a316-08cd58060dd9</t>
        </is>
      </c>
      <c r="B157" s="18" t="n">
        <v>46291.36875</v>
      </c>
      <c r="C157" s="24" t="inlineStr">
        <is>
          <t>Phan thị bích ngọc</t>
        </is>
      </c>
      <c r="D157" s="28" t="inlineStr">
        <is>
          <t>0335047706</t>
        </is>
      </c>
      <c r="E157" s="29" t="n">
        <v>46326</v>
      </c>
      <c r="F157" s="24" t="inlineStr">
        <is>
          <t>Đang mang thai</t>
        </is>
      </c>
      <c r="G157" s="24" t="inlineStr">
        <is>
          <t>Đồng Nai</t>
        </is>
      </c>
      <c r="H157" s="21">
        <f>IF(ISNUMBER($B157),INT($B157)-WEEKDAY($B157,2)+1,"")</f>
        <v/>
      </c>
      <c r="I157" s="24" t="inlineStr">
        <is>
          <t>Z-PSAC</t>
        </is>
      </c>
      <c r="J157" s="22">
        <f t="array" ref="J157">IF($D157="","",IF($I157="","(trống REF)",IFERROR(INDEX(MASTER_SOURCE!$B$2:$B$495,MATCH($I157,MASTER_SOURCE!$A$2:$A$495,0)),"(REF không có trong MASTER_SOURCE)")))</f>
        <v/>
      </c>
      <c r="K157" s="22">
        <f t="array" ref="K157">IF($D157="","",IFERROR(INDEX(MASTER_SOURCE!$C$2:$C$495,MATCH($I157,MASTER_SOURCE!$A$2:$A$495,0)),""))</f>
        <v/>
      </c>
      <c r="L157" s="22">
        <f t="array" ref="L157">IF($D157="","",IFERROR(INDEX(MASTER_SOURCE!$D$2:$D$495,MATCH($I157,MASTER_SOURCE!$A$2:$A$495,0)),""))</f>
        <v/>
      </c>
      <c r="M157" s="24" t="inlineStr">
        <is>
          <t>Có</t>
        </is>
      </c>
      <c r="N157" s="24" t="inlineStr">
        <is>
          <t>Có</t>
        </is>
      </c>
      <c r="O157" s="24" t="inlineStr">
        <is>
          <t>Có</t>
        </is>
      </c>
      <c r="P157" s="24" t="inlineStr">
        <is>
          <t>Có</t>
        </is>
      </c>
      <c r="Q157" s="22">
        <f>IF($D157="","",IF(AND(OR(DANH_MUC!$L$5&lt;&gt;"Có",M157="Có"),OR(DANH_MUC!$L$6&lt;&gt;"Có",N157="Có"),OR(DANH_MUC!$L$7&lt;&gt;"Có",O157="Có"),OR(DANH_MUC!$L$8&lt;&gt;"Có",P157="Có")),"Có","Không"))</f>
        <v/>
      </c>
      <c r="R157" s="22">
        <f>IF($D157="","",IF(COUNTIF($D$2:$D157,$D157)&gt;1,"Trùng",""))</f>
        <v/>
      </c>
      <c r="S157" s="22">
        <f>IF($D157="","",IF(AND(LEN($D157)=10,LEFT($D157,1)="0",ISNUMBER(--$D157)),"Có","Không"))</f>
        <v/>
      </c>
      <c r="T157" s="22">
        <f>IF($D157="","",IF(AND($C157&lt;&gt;"",$Q157="Có",$R157="",$S157="Có",AND($L157&lt;&gt;"",OR($L157&lt;&gt;"Chưa xác định",DANH_MUC!$L$9="Có"))),"Có","Không"))</f>
        <v/>
      </c>
      <c r="U157" s="22">
        <f>IF(OR($D157="",$T157="Có"),"",IF($C157="","Thiếu họ tên; ","")&amp;IF($S157&lt;&gt;"Có","SĐT sai định dạng; ","")&amp;IF($R157="Trùng","Trùng SĐT; ","")&amp;IF($Q157&lt;&gt;"Có","Thiếu đồng ý bắt buộc; ","")&amp;IF($L157="","Thiếu/sai Mã REF; ",IF(AND($L157="Chưa xác định",DANH_MUC!$L$9&lt;&gt;"Có"),"Nguồn chưa xác định; ","")))</f>
        <v/>
      </c>
      <c r="V157" s="22">
        <f>IF(OR($D157="",$R157="Trùng"),"",IF(COUNTIF(ORDERS!$C$2:$C$4995,$D157)&gt;0,"Có","Không"))</f>
        <v/>
      </c>
      <c r="W157" s="22">
        <f>IF(OR($D157="",$R157="Trùng"),"",COUNTIFS(ORDERS!$C$2:$C$4995,$D157,ORDERS!$L$2:$L$4995,"Đã chuyển khoản"))</f>
        <v/>
      </c>
      <c r="X157" s="23">
        <f>IF(OR($D157="",$R157="Trùng"),"",SUMIFS(ORDERS!$J$2:$J$4995,ORDERS!$C$2:$C$4995,$D157,ORDERS!$L$2:$L$4995,"Đã chuyển khoản"))</f>
        <v/>
      </c>
      <c r="Y157" s="24" t="n"/>
    </row>
    <row r="158" ht="14.25" customHeight="1" s="40">
      <c r="A158" s="24" t="inlineStr">
        <is>
          <t>13b40b3b-3aed-4ac2-a50e-61226f051a79</t>
        </is>
      </c>
      <c r="B158" s="18" t="n">
        <v>46291.36944444444</v>
      </c>
      <c r="C158" s="24" t="inlineStr">
        <is>
          <t>Đỗ Bình Minh</t>
        </is>
      </c>
      <c r="D158" s="28" t="inlineStr">
        <is>
          <t>0377161561</t>
        </is>
      </c>
      <c r="E158" s="29" t="n">
        <v>46310</v>
      </c>
      <c r="F158" s="24" t="inlineStr">
        <is>
          <t>Đang mang thai</t>
        </is>
      </c>
      <c r="G158" s="24" t="inlineStr">
        <is>
          <t>Hải Phòng</t>
        </is>
      </c>
      <c r="H158" s="21">
        <f>IF(ISNUMBER($B158),INT($B158)-WEEKDAY($B158,2)+1,"")</f>
        <v/>
      </c>
      <c r="I158" s="24" t="inlineStr">
        <is>
          <t>Z-GREEN</t>
        </is>
      </c>
      <c r="J158" s="22">
        <f t="array" ref="J158">IF($D158="","",IF($I158="","(trống REF)",IFERROR(INDEX(MASTER_SOURCE!$B$2:$B$495,MATCH($I158,MASTER_SOURCE!$A$2:$A$495,0)),"(REF không có trong MASTER_SOURCE)")))</f>
        <v/>
      </c>
      <c r="K158" s="22">
        <f t="array" ref="K158">IF($D158="","",IFERROR(INDEX(MASTER_SOURCE!$C$2:$C$495,MATCH($I158,MASTER_SOURCE!$A$2:$A$495,0)),""))</f>
        <v/>
      </c>
      <c r="L158" s="22">
        <f t="array" ref="L158">IF($D158="","",IFERROR(INDEX(MASTER_SOURCE!$D$2:$D$495,MATCH($I158,MASTER_SOURCE!$A$2:$A$495,0)),""))</f>
        <v/>
      </c>
      <c r="M158" s="24" t="inlineStr">
        <is>
          <t>Có</t>
        </is>
      </c>
      <c r="N158" s="24" t="inlineStr">
        <is>
          <t>Có</t>
        </is>
      </c>
      <c r="O158" s="24" t="inlineStr">
        <is>
          <t>Có</t>
        </is>
      </c>
      <c r="P158" s="24" t="inlineStr">
        <is>
          <t>Có</t>
        </is>
      </c>
      <c r="Q158" s="22">
        <f>IF($D158="","",IF(AND(OR(DANH_MUC!$L$5&lt;&gt;"Có",M158="Có"),OR(DANH_MUC!$L$6&lt;&gt;"Có",N158="Có"),OR(DANH_MUC!$L$7&lt;&gt;"Có",O158="Có"),OR(DANH_MUC!$L$8&lt;&gt;"Có",P158="Có")),"Có","Không"))</f>
        <v/>
      </c>
      <c r="R158" s="22">
        <f>IF($D158="","",IF(COUNTIF($D$2:$D158,$D158)&gt;1,"Trùng",""))</f>
        <v/>
      </c>
      <c r="S158" s="22">
        <f>IF($D158="","",IF(AND(LEN($D158)=10,LEFT($D158,1)="0",ISNUMBER(--$D158)),"Có","Không"))</f>
        <v/>
      </c>
      <c r="T158" s="22">
        <f>IF($D158="","",IF(AND($C158&lt;&gt;"",$Q158="Có",$R158="",$S158="Có",AND($L158&lt;&gt;"",OR($L158&lt;&gt;"Chưa xác định",DANH_MUC!$L$9="Có"))),"Có","Không"))</f>
        <v/>
      </c>
      <c r="U158" s="22">
        <f>IF(OR($D158="",$T158="Có"),"",IF($C158="","Thiếu họ tên; ","")&amp;IF($S158&lt;&gt;"Có","SĐT sai định dạng; ","")&amp;IF($R158="Trùng","Trùng SĐT; ","")&amp;IF($Q158&lt;&gt;"Có","Thiếu đồng ý bắt buộc; ","")&amp;IF($L158="","Thiếu/sai Mã REF; ",IF(AND($L158="Chưa xác định",DANH_MUC!$L$9&lt;&gt;"Có"),"Nguồn chưa xác định; ","")))</f>
        <v/>
      </c>
      <c r="V158" s="22">
        <f>IF(OR($D158="",$R158="Trùng"),"",IF(COUNTIF(ORDERS!$C$2:$C$4995,$D158)&gt;0,"Có","Không"))</f>
        <v/>
      </c>
      <c r="W158" s="22">
        <f>IF(OR($D158="",$R158="Trùng"),"",COUNTIFS(ORDERS!$C$2:$C$4995,$D158,ORDERS!$L$2:$L$4995,"Đã chuyển khoản"))</f>
        <v/>
      </c>
      <c r="X158" s="23">
        <f>IF(OR($D158="",$R158="Trùng"),"",SUMIFS(ORDERS!$J$2:$J$4995,ORDERS!$C$2:$C$4995,$D158,ORDERS!$L$2:$L$4995,"Đã chuyển khoản"))</f>
        <v/>
      </c>
      <c r="Y158" s="24" t="n"/>
    </row>
    <row r="159" ht="14.25" customHeight="1" s="40">
      <c r="A159" s="24" t="inlineStr">
        <is>
          <t>74f70376-e328-4a17-b522-9ceb70777b9d</t>
        </is>
      </c>
      <c r="B159" s="18" t="n">
        <v>46291.37083333333</v>
      </c>
      <c r="C159" s="24" t="inlineStr">
        <is>
          <t>Đặng anh thư</t>
        </is>
      </c>
      <c r="D159" s="28" t="inlineStr">
        <is>
          <t>0329540603</t>
        </is>
      </c>
      <c r="E159" s="29" t="n">
        <v>46397</v>
      </c>
      <c r="F159" s="24" t="inlineStr">
        <is>
          <t>Đang mang thai</t>
        </is>
      </c>
      <c r="G159" s="24" t="inlineStr">
        <is>
          <t>Hải Phòng</t>
        </is>
      </c>
      <c r="H159" s="21">
        <f>IF(ISNUMBER($B159),INT($B159)-WEEKDAY($B159,2)+1,"")</f>
        <v/>
      </c>
      <c r="I159" s="24" t="inlineStr">
        <is>
          <t>Z-GREEN</t>
        </is>
      </c>
      <c r="J159" s="22">
        <f t="array" ref="J159">IF($D159="","",IF($I159="","(trống REF)",IFERROR(INDEX(MASTER_SOURCE!$B$2:$B$495,MATCH($I159,MASTER_SOURCE!$A$2:$A$495,0)),"(REF không có trong MASTER_SOURCE)")))</f>
        <v/>
      </c>
      <c r="K159" s="22">
        <f t="array" ref="K159">IF($D159="","",IFERROR(INDEX(MASTER_SOURCE!$C$2:$C$495,MATCH($I159,MASTER_SOURCE!$A$2:$A$495,0)),""))</f>
        <v/>
      </c>
      <c r="L159" s="22">
        <f t="array" ref="L159">IF($D159="","",IFERROR(INDEX(MASTER_SOURCE!$D$2:$D$495,MATCH($I159,MASTER_SOURCE!$A$2:$A$495,0)),""))</f>
        <v/>
      </c>
      <c r="M159" s="24" t="inlineStr">
        <is>
          <t>Có</t>
        </is>
      </c>
      <c r="N159" s="24" t="inlineStr">
        <is>
          <t>Có</t>
        </is>
      </c>
      <c r="O159" s="24" t="inlineStr">
        <is>
          <t>Có</t>
        </is>
      </c>
      <c r="P159" s="24" t="inlineStr">
        <is>
          <t>Có</t>
        </is>
      </c>
      <c r="Q159" s="22">
        <f>IF($D159="","",IF(AND(OR(DANH_MUC!$L$5&lt;&gt;"Có",M159="Có"),OR(DANH_MUC!$L$6&lt;&gt;"Có",N159="Có"),OR(DANH_MUC!$L$7&lt;&gt;"Có",O159="Có"),OR(DANH_MUC!$L$8&lt;&gt;"Có",P159="Có")),"Có","Không"))</f>
        <v/>
      </c>
      <c r="R159" s="22">
        <f>IF($D159="","",IF(COUNTIF($D$2:$D159,$D159)&gt;1,"Trùng",""))</f>
        <v/>
      </c>
      <c r="S159" s="22">
        <f>IF($D159="","",IF(AND(LEN($D159)=10,LEFT($D159,1)="0",ISNUMBER(--$D159)),"Có","Không"))</f>
        <v/>
      </c>
      <c r="T159" s="22">
        <f>IF($D159="","",IF(AND($C159&lt;&gt;"",$Q159="Có",$R159="",$S159="Có",AND($L159&lt;&gt;"",OR($L159&lt;&gt;"Chưa xác định",DANH_MUC!$L$9="Có"))),"Có","Không"))</f>
        <v/>
      </c>
      <c r="U159" s="22">
        <f>IF(OR($D159="",$T159="Có"),"",IF($C159="","Thiếu họ tên; ","")&amp;IF($S159&lt;&gt;"Có","SĐT sai định dạng; ","")&amp;IF($R159="Trùng","Trùng SĐT; ","")&amp;IF($Q159&lt;&gt;"Có","Thiếu đồng ý bắt buộc; ","")&amp;IF($L159="","Thiếu/sai Mã REF; ",IF(AND($L159="Chưa xác định",DANH_MUC!$L$9&lt;&gt;"Có"),"Nguồn chưa xác định; ","")))</f>
        <v/>
      </c>
      <c r="V159" s="22">
        <f>IF(OR($D159="",$R159="Trùng"),"",IF(COUNTIF(ORDERS!$C$2:$C$4995,$D159)&gt;0,"Có","Không"))</f>
        <v/>
      </c>
      <c r="W159" s="22">
        <f>IF(OR($D159="",$R159="Trùng"),"",COUNTIFS(ORDERS!$C$2:$C$4995,$D159,ORDERS!$L$2:$L$4995,"Đã chuyển khoản"))</f>
        <v/>
      </c>
      <c r="X159" s="23">
        <f>IF(OR($D159="",$R159="Trùng"),"",SUMIFS(ORDERS!$J$2:$J$4995,ORDERS!$C$2:$C$4995,$D159,ORDERS!$L$2:$L$4995,"Đã chuyển khoản"))</f>
        <v/>
      </c>
      <c r="Y159" s="24" t="n"/>
    </row>
    <row r="160" ht="14.25" customHeight="1" s="40">
      <c r="A160" s="24" t="inlineStr">
        <is>
          <t>dd8e2837-d989-4e8d-87e6-6644324624e4</t>
        </is>
      </c>
      <c r="B160" s="18" t="n">
        <v>46291.37152777778</v>
      </c>
      <c r="C160" s="24" t="inlineStr">
        <is>
          <t>Hoàng Phương Thảo</t>
        </is>
      </c>
      <c r="D160" s="28" t="inlineStr">
        <is>
          <t>0783160699</t>
        </is>
      </c>
      <c r="E160" s="29" t="n">
        <v>46310</v>
      </c>
      <c r="F160" s="24" t="inlineStr">
        <is>
          <t>Đang mang thai</t>
        </is>
      </c>
      <c r="G160" s="24" t="inlineStr">
        <is>
          <t>Hải Phòng</t>
        </is>
      </c>
      <c r="H160" s="21">
        <f>IF(ISNUMBER($B160),INT($B160)-WEEKDAY($B160,2)+1,"")</f>
        <v/>
      </c>
      <c r="I160" s="24" t="inlineStr">
        <is>
          <t>Z-GREEN</t>
        </is>
      </c>
      <c r="J160" s="22">
        <f t="array" ref="J160">IF($D160="","",IF($I160="","(trống REF)",IFERROR(INDEX(MASTER_SOURCE!$B$2:$B$495,MATCH($I160,MASTER_SOURCE!$A$2:$A$495,0)),"(REF không có trong MASTER_SOURCE)")))</f>
        <v/>
      </c>
      <c r="K160" s="22">
        <f t="array" ref="K160">IF($D160="","",IFERROR(INDEX(MASTER_SOURCE!$C$2:$C$495,MATCH($I160,MASTER_SOURCE!$A$2:$A$495,0)),""))</f>
        <v/>
      </c>
      <c r="L160" s="22">
        <f t="array" ref="L160">IF($D160="","",IFERROR(INDEX(MASTER_SOURCE!$D$2:$D$495,MATCH($I160,MASTER_SOURCE!$A$2:$A$495,0)),""))</f>
        <v/>
      </c>
      <c r="M160" s="24" t="inlineStr">
        <is>
          <t>Có</t>
        </is>
      </c>
      <c r="N160" s="24" t="inlineStr">
        <is>
          <t>Có</t>
        </is>
      </c>
      <c r="O160" s="24" t="inlineStr">
        <is>
          <t>Có</t>
        </is>
      </c>
      <c r="P160" s="24" t="inlineStr">
        <is>
          <t>Có</t>
        </is>
      </c>
      <c r="Q160" s="22">
        <f>IF($D160="","",IF(AND(OR(DANH_MUC!$L$5&lt;&gt;"Có",M160="Có"),OR(DANH_MUC!$L$6&lt;&gt;"Có",N160="Có"),OR(DANH_MUC!$L$7&lt;&gt;"Có",O160="Có"),OR(DANH_MUC!$L$8&lt;&gt;"Có",P160="Có")),"Có","Không"))</f>
        <v/>
      </c>
      <c r="R160" s="22">
        <f>IF($D160="","",IF(COUNTIF($D$2:$D160,$D160)&gt;1,"Trùng",""))</f>
        <v/>
      </c>
      <c r="S160" s="22">
        <f>IF($D160="","",IF(AND(LEN($D160)=10,LEFT($D160,1)="0",ISNUMBER(--$D160)),"Có","Không"))</f>
        <v/>
      </c>
      <c r="T160" s="22">
        <f>IF($D160="","",IF(AND($C160&lt;&gt;"",$Q160="Có",$R160="",$S160="Có",AND($L160&lt;&gt;"",OR($L160&lt;&gt;"Chưa xác định",DANH_MUC!$L$9="Có"))),"Có","Không"))</f>
        <v/>
      </c>
      <c r="U160" s="22">
        <f>IF(OR($D160="",$T160="Có"),"",IF($C160="","Thiếu họ tên; ","")&amp;IF($S160&lt;&gt;"Có","SĐT sai định dạng; ","")&amp;IF($R160="Trùng","Trùng SĐT; ","")&amp;IF($Q160&lt;&gt;"Có","Thiếu đồng ý bắt buộc; ","")&amp;IF($L160="","Thiếu/sai Mã REF; ",IF(AND($L160="Chưa xác định",DANH_MUC!$L$9&lt;&gt;"Có"),"Nguồn chưa xác định; ","")))</f>
        <v/>
      </c>
      <c r="V160" s="22">
        <f>IF(OR($D160="",$R160="Trùng"),"",IF(COUNTIF(ORDERS!$C$2:$C$4995,$D160)&gt;0,"Có","Không"))</f>
        <v/>
      </c>
      <c r="W160" s="22">
        <f>IF(OR($D160="",$R160="Trùng"),"",COUNTIFS(ORDERS!$C$2:$C$4995,$D160,ORDERS!$L$2:$L$4995,"Đã chuyển khoản"))</f>
        <v/>
      </c>
      <c r="X160" s="23">
        <f>IF(OR($D160="",$R160="Trùng"),"",SUMIFS(ORDERS!$J$2:$J$4995,ORDERS!$C$2:$C$4995,$D160,ORDERS!$L$2:$L$4995,"Đã chuyển khoản"))</f>
        <v/>
      </c>
      <c r="Y160" s="24" t="n"/>
    </row>
    <row r="161" ht="14.25" customHeight="1" s="40">
      <c r="A161" s="24" t="inlineStr">
        <is>
          <t>251fc86a-cc20-4d1b-aae5-6d3861ac4916</t>
        </is>
      </c>
      <c r="B161" s="18" t="n">
        <v>46291.37152777778</v>
      </c>
      <c r="C161" s="24" t="inlineStr">
        <is>
          <t>Cao Thị Minh Nguyệt</t>
        </is>
      </c>
      <c r="D161" s="28" t="inlineStr">
        <is>
          <t>0876595541</t>
        </is>
      </c>
      <c r="E161" s="29" t="n">
        <v>46368</v>
      </c>
      <c r="F161" s="24" t="inlineStr">
        <is>
          <t>Đang mang thai</t>
        </is>
      </c>
      <c r="G161" s="24" t="inlineStr">
        <is>
          <t>Hải Phòng</t>
        </is>
      </c>
      <c r="H161" s="21">
        <f>IF(ISNUMBER($B161),INT($B161)-WEEKDAY($B161,2)+1,"")</f>
        <v/>
      </c>
      <c r="I161" s="24" t="inlineStr">
        <is>
          <t>Z-GREEN</t>
        </is>
      </c>
      <c r="J161" s="22">
        <f t="array" ref="J161">IF($D161="","",IF($I161="","(trống REF)",IFERROR(INDEX(MASTER_SOURCE!$B$2:$B$495,MATCH($I161,MASTER_SOURCE!$A$2:$A$495,0)),"(REF không có trong MASTER_SOURCE)")))</f>
        <v/>
      </c>
      <c r="K161" s="22">
        <f t="array" ref="K161">IF($D161="","",IFERROR(INDEX(MASTER_SOURCE!$C$2:$C$495,MATCH($I161,MASTER_SOURCE!$A$2:$A$495,0)),""))</f>
        <v/>
      </c>
      <c r="L161" s="22">
        <f t="array" ref="L161">IF($D161="","",IFERROR(INDEX(MASTER_SOURCE!$D$2:$D$495,MATCH($I161,MASTER_SOURCE!$A$2:$A$495,0)),""))</f>
        <v/>
      </c>
      <c r="M161" s="24" t="inlineStr">
        <is>
          <t>Có</t>
        </is>
      </c>
      <c r="N161" s="24" t="inlineStr">
        <is>
          <t>Có</t>
        </is>
      </c>
      <c r="O161" s="24" t="inlineStr">
        <is>
          <t>Có</t>
        </is>
      </c>
      <c r="P161" s="24" t="inlineStr">
        <is>
          <t>Có</t>
        </is>
      </c>
      <c r="Q161" s="22">
        <f>IF($D161="","",IF(AND(OR(DANH_MUC!$L$5&lt;&gt;"Có",M161="Có"),OR(DANH_MUC!$L$6&lt;&gt;"Có",N161="Có"),OR(DANH_MUC!$L$7&lt;&gt;"Có",O161="Có"),OR(DANH_MUC!$L$8&lt;&gt;"Có",P161="Có")),"Có","Không"))</f>
        <v/>
      </c>
      <c r="R161" s="22">
        <f>IF($D161="","",IF(COUNTIF($D$2:$D161,$D161)&gt;1,"Trùng",""))</f>
        <v/>
      </c>
      <c r="S161" s="22">
        <f>IF($D161="","",IF(AND(LEN($D161)=10,LEFT($D161,1)="0",ISNUMBER(--$D161)),"Có","Không"))</f>
        <v/>
      </c>
      <c r="T161" s="22">
        <f>IF($D161="","",IF(AND($C161&lt;&gt;"",$Q161="Có",$R161="",$S161="Có",AND($L161&lt;&gt;"",OR($L161&lt;&gt;"Chưa xác định",DANH_MUC!$L$9="Có"))),"Có","Không"))</f>
        <v/>
      </c>
      <c r="U161" s="22">
        <f>IF(OR($D161="",$T161="Có"),"",IF($C161="","Thiếu họ tên; ","")&amp;IF($S161&lt;&gt;"Có","SĐT sai định dạng; ","")&amp;IF($R161="Trùng","Trùng SĐT; ","")&amp;IF($Q161&lt;&gt;"Có","Thiếu đồng ý bắt buộc; ","")&amp;IF($L161="","Thiếu/sai Mã REF; ",IF(AND($L161="Chưa xác định",DANH_MUC!$L$9&lt;&gt;"Có"),"Nguồn chưa xác định; ","")))</f>
        <v/>
      </c>
      <c r="V161" s="22">
        <f>IF(OR($D161="",$R161="Trùng"),"",IF(COUNTIF(ORDERS!$C$2:$C$4995,$D161)&gt;0,"Có","Không"))</f>
        <v/>
      </c>
      <c r="W161" s="22">
        <f>IF(OR($D161="",$R161="Trùng"),"",COUNTIFS(ORDERS!$C$2:$C$4995,$D161,ORDERS!$L$2:$L$4995,"Đã chuyển khoản"))</f>
        <v/>
      </c>
      <c r="X161" s="23">
        <f>IF(OR($D161="",$R161="Trùng"),"",SUMIFS(ORDERS!$J$2:$J$4995,ORDERS!$C$2:$C$4995,$D161,ORDERS!$L$2:$L$4995,"Đã chuyển khoản"))</f>
        <v/>
      </c>
      <c r="Y161" s="24" t="n"/>
    </row>
    <row r="162" ht="14.25" customHeight="1" s="40">
      <c r="A162" s="24" t="inlineStr">
        <is>
          <t>5aa67ffa-31f4-421c-bf6e-0118d5350792</t>
        </is>
      </c>
      <c r="B162" s="18" t="n">
        <v>46291.37222222222</v>
      </c>
      <c r="C162" s="24" t="inlineStr">
        <is>
          <t>Nguyễn Thảo</t>
        </is>
      </c>
      <c r="D162" s="28" t="inlineStr">
        <is>
          <t>0818941979</t>
        </is>
      </c>
      <c r="E162" s="29" t="n">
        <v>46432</v>
      </c>
      <c r="F162" s="24" t="inlineStr">
        <is>
          <t>Đang mang thai</t>
        </is>
      </c>
      <c r="G162" s="24" t="inlineStr">
        <is>
          <t>Hải Phòng</t>
        </is>
      </c>
      <c r="H162" s="21">
        <f>IF(ISNUMBER($B162),INT($B162)-WEEKDAY($B162,2)+1,"")</f>
        <v/>
      </c>
      <c r="I162" s="24" t="inlineStr">
        <is>
          <t>Z-GREEN</t>
        </is>
      </c>
      <c r="J162" s="22">
        <f t="array" ref="J162">IF($D162="","",IF($I162="","(trống REF)",IFERROR(INDEX(MASTER_SOURCE!$B$2:$B$495,MATCH($I162,MASTER_SOURCE!$A$2:$A$495,0)),"(REF không có trong MASTER_SOURCE)")))</f>
        <v/>
      </c>
      <c r="K162" s="22">
        <f t="array" ref="K162">IF($D162="","",IFERROR(INDEX(MASTER_SOURCE!$C$2:$C$495,MATCH($I162,MASTER_SOURCE!$A$2:$A$495,0)),""))</f>
        <v/>
      </c>
      <c r="L162" s="22">
        <f t="array" ref="L162">IF($D162="","",IFERROR(INDEX(MASTER_SOURCE!$D$2:$D$495,MATCH($I162,MASTER_SOURCE!$A$2:$A$495,0)),""))</f>
        <v/>
      </c>
      <c r="M162" s="24" t="inlineStr">
        <is>
          <t>Có</t>
        </is>
      </c>
      <c r="N162" s="24" t="inlineStr">
        <is>
          <t>Có</t>
        </is>
      </c>
      <c r="O162" s="24" t="inlineStr">
        <is>
          <t>Có</t>
        </is>
      </c>
      <c r="P162" s="24" t="inlineStr">
        <is>
          <t>Có</t>
        </is>
      </c>
      <c r="Q162" s="22">
        <f>IF($D162="","",IF(AND(OR(DANH_MUC!$L$5&lt;&gt;"Có",M162="Có"),OR(DANH_MUC!$L$6&lt;&gt;"Có",N162="Có"),OR(DANH_MUC!$L$7&lt;&gt;"Có",O162="Có"),OR(DANH_MUC!$L$8&lt;&gt;"Có",P162="Có")),"Có","Không"))</f>
        <v/>
      </c>
      <c r="R162" s="22">
        <f>IF($D162="","",IF(COUNTIF($D$2:$D162,$D162)&gt;1,"Trùng",""))</f>
        <v/>
      </c>
      <c r="S162" s="22">
        <f>IF($D162="","",IF(AND(LEN($D162)=10,LEFT($D162,1)="0",ISNUMBER(--$D162)),"Có","Không"))</f>
        <v/>
      </c>
      <c r="T162" s="22">
        <f>IF($D162="","",IF(AND($C162&lt;&gt;"",$Q162="Có",$R162="",$S162="Có",AND($L162&lt;&gt;"",OR($L162&lt;&gt;"Chưa xác định",DANH_MUC!$L$9="Có"))),"Có","Không"))</f>
        <v/>
      </c>
      <c r="U162" s="22">
        <f>IF(OR($D162="",$T162="Có"),"",IF($C162="","Thiếu họ tên; ","")&amp;IF($S162&lt;&gt;"Có","SĐT sai định dạng; ","")&amp;IF($R162="Trùng","Trùng SĐT; ","")&amp;IF($Q162&lt;&gt;"Có","Thiếu đồng ý bắt buộc; ","")&amp;IF($L162="","Thiếu/sai Mã REF; ",IF(AND($L162="Chưa xác định",DANH_MUC!$L$9&lt;&gt;"Có"),"Nguồn chưa xác định; ","")))</f>
        <v/>
      </c>
      <c r="V162" s="22">
        <f>IF(OR($D162="",$R162="Trùng"),"",IF(COUNTIF(ORDERS!$C$2:$C$4995,$D162)&gt;0,"Có","Không"))</f>
        <v/>
      </c>
      <c r="W162" s="22">
        <f>IF(OR($D162="",$R162="Trùng"),"",COUNTIFS(ORDERS!$C$2:$C$4995,$D162,ORDERS!$L$2:$L$4995,"Đã chuyển khoản"))</f>
        <v/>
      </c>
      <c r="X162" s="23">
        <f>IF(OR($D162="",$R162="Trùng"),"",SUMIFS(ORDERS!$J$2:$J$4995,ORDERS!$C$2:$C$4995,$D162,ORDERS!$L$2:$L$4995,"Đã chuyển khoản"))</f>
        <v/>
      </c>
      <c r="Y162" s="24" t="n"/>
    </row>
    <row r="163" ht="14.25" customHeight="1" s="40">
      <c r="A163" s="24" t="inlineStr">
        <is>
          <t>d1986164-de48-432e-a324-ca4839b6b82c</t>
        </is>
      </c>
      <c r="B163" s="18" t="n">
        <v>46291.37222222222</v>
      </c>
      <c r="C163" s="24" t="inlineStr">
        <is>
          <t>Đỗ Thị Tươi</t>
        </is>
      </c>
      <c r="D163" s="28" t="inlineStr">
        <is>
          <t>0968934311</t>
        </is>
      </c>
      <c r="E163" s="29" t="n">
        <v>46387</v>
      </c>
      <c r="F163" s="24" t="inlineStr">
        <is>
          <t>Đang mang thai</t>
        </is>
      </c>
      <c r="G163" s="24" t="inlineStr">
        <is>
          <t>Hải Phòng</t>
        </is>
      </c>
      <c r="H163" s="21">
        <f>IF(ISNUMBER($B163),INT($B163)-WEEKDAY($B163,2)+1,"")</f>
        <v/>
      </c>
      <c r="I163" s="24" t="inlineStr">
        <is>
          <t>Z-GREEN</t>
        </is>
      </c>
      <c r="J163" s="22">
        <f t="array" ref="J163">IF($D163="","",IF($I163="","(trống REF)",IFERROR(INDEX(MASTER_SOURCE!$B$2:$B$495,MATCH($I163,MASTER_SOURCE!$A$2:$A$495,0)),"(REF không có trong MASTER_SOURCE)")))</f>
        <v/>
      </c>
      <c r="K163" s="22">
        <f t="array" ref="K163">IF($D163="","",IFERROR(INDEX(MASTER_SOURCE!$C$2:$C$495,MATCH($I163,MASTER_SOURCE!$A$2:$A$495,0)),""))</f>
        <v/>
      </c>
      <c r="L163" s="22">
        <f t="array" ref="L163">IF($D163="","",IFERROR(INDEX(MASTER_SOURCE!$D$2:$D$495,MATCH($I163,MASTER_SOURCE!$A$2:$A$495,0)),""))</f>
        <v/>
      </c>
      <c r="M163" s="24" t="inlineStr">
        <is>
          <t>Có</t>
        </is>
      </c>
      <c r="N163" s="24" t="inlineStr">
        <is>
          <t>Có</t>
        </is>
      </c>
      <c r="O163" s="24" t="inlineStr">
        <is>
          <t>Có</t>
        </is>
      </c>
      <c r="P163" s="24" t="inlineStr">
        <is>
          <t>Có</t>
        </is>
      </c>
      <c r="Q163" s="22">
        <f>IF($D163="","",IF(AND(OR(DANH_MUC!$L$5&lt;&gt;"Có",M163="Có"),OR(DANH_MUC!$L$6&lt;&gt;"Có",N163="Có"),OR(DANH_MUC!$L$7&lt;&gt;"Có",O163="Có"),OR(DANH_MUC!$L$8&lt;&gt;"Có",P163="Có")),"Có","Không"))</f>
        <v/>
      </c>
      <c r="R163" s="22">
        <f>IF($D163="","",IF(COUNTIF($D$2:$D163,$D163)&gt;1,"Trùng",""))</f>
        <v/>
      </c>
      <c r="S163" s="22">
        <f>IF($D163="","",IF(AND(LEN($D163)=10,LEFT($D163,1)="0",ISNUMBER(--$D163)),"Có","Không"))</f>
        <v/>
      </c>
      <c r="T163" s="22">
        <f>IF($D163="","",IF(AND($C163&lt;&gt;"",$Q163="Có",$R163="",$S163="Có",AND($L163&lt;&gt;"",OR($L163&lt;&gt;"Chưa xác định",DANH_MUC!$L$9="Có"))),"Có","Không"))</f>
        <v/>
      </c>
      <c r="U163" s="22">
        <f>IF(OR($D163="",$T163="Có"),"",IF($C163="","Thiếu họ tên; ","")&amp;IF($S163&lt;&gt;"Có","SĐT sai định dạng; ","")&amp;IF($R163="Trùng","Trùng SĐT; ","")&amp;IF($Q163&lt;&gt;"Có","Thiếu đồng ý bắt buộc; ","")&amp;IF($L163="","Thiếu/sai Mã REF; ",IF(AND($L163="Chưa xác định",DANH_MUC!$L$9&lt;&gt;"Có"),"Nguồn chưa xác định; ","")))</f>
        <v/>
      </c>
      <c r="V163" s="22">
        <f>IF(OR($D163="",$R163="Trùng"),"",IF(COUNTIF(ORDERS!$C$2:$C$4995,$D163)&gt;0,"Có","Không"))</f>
        <v/>
      </c>
      <c r="W163" s="22">
        <f>IF(OR($D163="",$R163="Trùng"),"",COUNTIFS(ORDERS!$C$2:$C$4995,$D163,ORDERS!$L$2:$L$4995,"Đã chuyển khoản"))</f>
        <v/>
      </c>
      <c r="X163" s="23">
        <f>IF(OR($D163="",$R163="Trùng"),"",SUMIFS(ORDERS!$J$2:$J$4995,ORDERS!$C$2:$C$4995,$D163,ORDERS!$L$2:$L$4995,"Đã chuyển khoản"))</f>
        <v/>
      </c>
      <c r="Y163" s="24" t="n"/>
    </row>
    <row r="164" ht="14.25" customHeight="1" s="40">
      <c r="A164" s="24" t="inlineStr">
        <is>
          <t>22497b5c-928a-4964-854c-cad8c0ed1a64</t>
        </is>
      </c>
      <c r="B164" s="18" t="n">
        <v>46291.37291666667</v>
      </c>
      <c r="C164" s="24" t="inlineStr">
        <is>
          <t>Kim Nhật Khánh</t>
        </is>
      </c>
      <c r="D164" s="28" t="inlineStr">
        <is>
          <t>0966086102</t>
        </is>
      </c>
      <c r="E164" s="29" t="n">
        <v>46308</v>
      </c>
      <c r="F164" s="24" t="inlineStr">
        <is>
          <t>Đang mang thai</t>
        </is>
      </c>
      <c r="G164" s="24" t="inlineStr">
        <is>
          <t>Hồ Chí Minh</t>
        </is>
      </c>
      <c r="H164" s="21">
        <f>IF(ISNUMBER($B164),INT($B164)-WEEKDAY($B164,2)+1,"")</f>
        <v/>
      </c>
      <c r="I164" s="24" t="inlineStr">
        <is>
          <t>C-SHING</t>
        </is>
      </c>
      <c r="J164" s="22">
        <f t="array" ref="J164">IF($D164="","",IF($I164="","(trống REF)",IFERROR(INDEX(MASTER_SOURCE!$B$2:$B$495,MATCH($I164,MASTER_SOURCE!$A$2:$A$495,0)),"(REF không có trong MASTER_SOURCE)")))</f>
        <v/>
      </c>
      <c r="K164" s="22">
        <f t="array" ref="K164">IF($D164="","",IFERROR(INDEX(MASTER_SOURCE!$C$2:$C$495,MATCH($I164,MASTER_SOURCE!$A$2:$A$495,0)),""))</f>
        <v/>
      </c>
      <c r="L164" s="22">
        <f t="array" ref="L164">IF($D164="","",IFERROR(INDEX(MASTER_SOURCE!$D$2:$D$495,MATCH($I164,MASTER_SOURCE!$A$2:$A$495,0)),""))</f>
        <v/>
      </c>
      <c r="M164" s="24" t="inlineStr">
        <is>
          <t>Có</t>
        </is>
      </c>
      <c r="N164" s="24" t="inlineStr">
        <is>
          <t>Có</t>
        </is>
      </c>
      <c r="O164" s="24" t="inlineStr">
        <is>
          <t>Có</t>
        </is>
      </c>
      <c r="P164" s="24" t="inlineStr">
        <is>
          <t>Có</t>
        </is>
      </c>
      <c r="Q164" s="22">
        <f>IF($D164="","",IF(AND(OR(DANH_MUC!$L$5&lt;&gt;"Có",M164="Có"),OR(DANH_MUC!$L$6&lt;&gt;"Có",N164="Có"),OR(DANH_MUC!$L$7&lt;&gt;"Có",O164="Có"),OR(DANH_MUC!$L$8&lt;&gt;"Có",P164="Có")),"Có","Không"))</f>
        <v/>
      </c>
      <c r="R164" s="22">
        <f>IF($D164="","",IF(COUNTIF($D$2:$D164,$D164)&gt;1,"Trùng",""))</f>
        <v/>
      </c>
      <c r="S164" s="22">
        <f>IF($D164="","",IF(AND(LEN($D164)=10,LEFT($D164,1)="0",ISNUMBER(--$D164)),"Có","Không"))</f>
        <v/>
      </c>
      <c r="T164" s="22">
        <f>IF($D164="","",IF(AND($C164&lt;&gt;"",$Q164="Có",$R164="",$S164="Có",AND($L164&lt;&gt;"",OR($L164&lt;&gt;"Chưa xác định",DANH_MUC!$L$9="Có"))),"Có","Không"))</f>
        <v/>
      </c>
      <c r="U164" s="22">
        <f>IF(OR($D164="",$T164="Có"),"",IF($C164="","Thiếu họ tên; ","")&amp;IF($S164&lt;&gt;"Có","SĐT sai định dạng; ","")&amp;IF($R164="Trùng","Trùng SĐT; ","")&amp;IF($Q164&lt;&gt;"Có","Thiếu đồng ý bắt buộc; ","")&amp;IF($L164="","Thiếu/sai Mã REF; ",IF(AND($L164="Chưa xác định",DANH_MUC!$L$9&lt;&gt;"Có"),"Nguồn chưa xác định; ","")))</f>
        <v/>
      </c>
      <c r="V164" s="22">
        <f>IF(OR($D164="",$R164="Trùng"),"",IF(COUNTIF(ORDERS!$C$2:$C$4995,$D164)&gt;0,"Có","Không"))</f>
        <v/>
      </c>
      <c r="W164" s="22">
        <f>IF(OR($D164="",$R164="Trùng"),"",COUNTIFS(ORDERS!$C$2:$C$4995,$D164,ORDERS!$L$2:$L$4995,"Đã chuyển khoản"))</f>
        <v/>
      </c>
      <c r="X164" s="23">
        <f>IF(OR($D164="",$R164="Trùng"),"",SUMIFS(ORDERS!$J$2:$J$4995,ORDERS!$C$2:$C$4995,$D164,ORDERS!$L$2:$L$4995,"Đã chuyển khoản"))</f>
        <v/>
      </c>
      <c r="Y164" s="24" t="n"/>
    </row>
    <row r="165" ht="14.25" customHeight="1" s="40">
      <c r="A165" s="24" t="inlineStr">
        <is>
          <t>77954c3d-4256-43ca-847e-0e94c0b567c5</t>
        </is>
      </c>
      <c r="B165" s="18" t="n">
        <v>46291.37361111111</v>
      </c>
      <c r="C165" s="24" t="inlineStr">
        <is>
          <t>Vũ Thị Bích Phượng</t>
        </is>
      </c>
      <c r="D165" s="28" t="inlineStr">
        <is>
          <t>0978548597</t>
        </is>
      </c>
      <c r="E165" s="29" t="n">
        <v>46380</v>
      </c>
      <c r="F165" s="24" t="inlineStr">
        <is>
          <t>Đang mang thai</t>
        </is>
      </c>
      <c r="G165" s="24" t="inlineStr">
        <is>
          <t>Hải Phòng</t>
        </is>
      </c>
      <c r="H165" s="21">
        <f>IF(ISNUMBER($B165),INT($B165)-WEEKDAY($B165,2)+1,"")</f>
        <v/>
      </c>
      <c r="I165" s="24" t="inlineStr">
        <is>
          <t>Z-GREEN</t>
        </is>
      </c>
      <c r="J165" s="22">
        <f t="array" ref="J165">IF($D165="","",IF($I165="","(trống REF)",IFERROR(INDEX(MASTER_SOURCE!$B$2:$B$495,MATCH($I165,MASTER_SOURCE!$A$2:$A$495,0)),"(REF không có trong MASTER_SOURCE)")))</f>
        <v/>
      </c>
      <c r="K165" s="22">
        <f t="array" ref="K165">IF($D165="","",IFERROR(INDEX(MASTER_SOURCE!$C$2:$C$495,MATCH($I165,MASTER_SOURCE!$A$2:$A$495,0)),""))</f>
        <v/>
      </c>
      <c r="L165" s="22">
        <f t="array" ref="L165">IF($D165="","",IFERROR(INDEX(MASTER_SOURCE!$D$2:$D$495,MATCH($I165,MASTER_SOURCE!$A$2:$A$495,0)),""))</f>
        <v/>
      </c>
      <c r="M165" s="24" t="inlineStr">
        <is>
          <t>Có</t>
        </is>
      </c>
      <c r="N165" s="24" t="inlineStr">
        <is>
          <t>Có</t>
        </is>
      </c>
      <c r="O165" s="24" t="inlineStr">
        <is>
          <t>Có</t>
        </is>
      </c>
      <c r="P165" s="24" t="inlineStr">
        <is>
          <t>Có</t>
        </is>
      </c>
      <c r="Q165" s="22">
        <f>IF($D165="","",IF(AND(OR(DANH_MUC!$L$5&lt;&gt;"Có",M165="Có"),OR(DANH_MUC!$L$6&lt;&gt;"Có",N165="Có"),OR(DANH_MUC!$L$7&lt;&gt;"Có",O165="Có"),OR(DANH_MUC!$L$8&lt;&gt;"Có",P165="Có")),"Có","Không"))</f>
        <v/>
      </c>
      <c r="R165" s="22">
        <f>IF($D165="","",IF(COUNTIF($D$2:$D165,$D165)&gt;1,"Trùng",""))</f>
        <v/>
      </c>
      <c r="S165" s="22">
        <f>IF($D165="","",IF(AND(LEN($D165)=10,LEFT($D165,1)="0",ISNUMBER(--$D165)),"Có","Không"))</f>
        <v/>
      </c>
      <c r="T165" s="22">
        <f>IF($D165="","",IF(AND($C165&lt;&gt;"",$Q165="Có",$R165="",$S165="Có",AND($L165&lt;&gt;"",OR($L165&lt;&gt;"Chưa xác định",DANH_MUC!$L$9="Có"))),"Có","Không"))</f>
        <v/>
      </c>
      <c r="U165" s="22">
        <f>IF(OR($D165="",$T165="Có"),"",IF($C165="","Thiếu họ tên; ","")&amp;IF($S165&lt;&gt;"Có","SĐT sai định dạng; ","")&amp;IF($R165="Trùng","Trùng SĐT; ","")&amp;IF($Q165&lt;&gt;"Có","Thiếu đồng ý bắt buộc; ","")&amp;IF($L165="","Thiếu/sai Mã REF; ",IF(AND($L165="Chưa xác định",DANH_MUC!$L$9&lt;&gt;"Có"),"Nguồn chưa xác định; ","")))</f>
        <v/>
      </c>
      <c r="V165" s="22">
        <f>IF(OR($D165="",$R165="Trùng"),"",IF(COUNTIF(ORDERS!$C$2:$C$4995,$D165)&gt;0,"Có","Không"))</f>
        <v/>
      </c>
      <c r="W165" s="22">
        <f>IF(OR($D165="",$R165="Trùng"),"",COUNTIFS(ORDERS!$C$2:$C$4995,$D165,ORDERS!$L$2:$L$4995,"Đã chuyển khoản"))</f>
        <v/>
      </c>
      <c r="X165" s="23">
        <f>IF(OR($D165="",$R165="Trùng"),"",SUMIFS(ORDERS!$J$2:$J$4995,ORDERS!$C$2:$C$4995,$D165,ORDERS!$L$2:$L$4995,"Đã chuyển khoản"))</f>
        <v/>
      </c>
      <c r="Y165" s="24" t="n"/>
    </row>
    <row r="166" ht="14.25" customHeight="1" s="40">
      <c r="A166" s="24" t="inlineStr">
        <is>
          <t>0e24d9d8-a9b1-4939-8135-1a086c76e201</t>
        </is>
      </c>
      <c r="B166" s="18" t="n">
        <v>46291.37430555555</v>
      </c>
      <c r="C166" s="24" t="inlineStr">
        <is>
          <t>Nguyễn Diệu Linh</t>
        </is>
      </c>
      <c r="D166" s="28" t="inlineStr">
        <is>
          <t>0828809289</t>
        </is>
      </c>
      <c r="E166" s="29" t="n">
        <v>46318</v>
      </c>
      <c r="F166" s="24" t="inlineStr">
        <is>
          <t>Đang mang thai</t>
        </is>
      </c>
      <c r="G166" s="24" t="inlineStr">
        <is>
          <t>Hải Phòng</t>
        </is>
      </c>
      <c r="H166" s="21">
        <f>IF(ISNUMBER($B166),INT($B166)-WEEKDAY($B166,2)+1,"")</f>
        <v/>
      </c>
      <c r="I166" s="24" t="inlineStr">
        <is>
          <t>Z-GREEN</t>
        </is>
      </c>
      <c r="J166" s="22">
        <f t="array" ref="J166">IF($D166="","",IF($I166="","(trống REF)",IFERROR(INDEX(MASTER_SOURCE!$B$2:$B$495,MATCH($I166,MASTER_SOURCE!$A$2:$A$495,0)),"(REF không có trong MASTER_SOURCE)")))</f>
        <v/>
      </c>
      <c r="K166" s="22">
        <f t="array" ref="K166">IF($D166="","",IFERROR(INDEX(MASTER_SOURCE!$C$2:$C$495,MATCH($I166,MASTER_SOURCE!$A$2:$A$495,0)),""))</f>
        <v/>
      </c>
      <c r="L166" s="22">
        <f t="array" ref="L166">IF($D166="","",IFERROR(INDEX(MASTER_SOURCE!$D$2:$D$495,MATCH($I166,MASTER_SOURCE!$A$2:$A$495,0)),""))</f>
        <v/>
      </c>
      <c r="M166" s="24" t="inlineStr">
        <is>
          <t>Có</t>
        </is>
      </c>
      <c r="N166" s="24" t="inlineStr">
        <is>
          <t>Có</t>
        </is>
      </c>
      <c r="O166" s="24" t="inlineStr">
        <is>
          <t>Có</t>
        </is>
      </c>
      <c r="P166" s="24" t="inlineStr">
        <is>
          <t>Có</t>
        </is>
      </c>
      <c r="Q166" s="22">
        <f>IF($D166="","",IF(AND(OR(DANH_MUC!$L$5&lt;&gt;"Có",M166="Có"),OR(DANH_MUC!$L$6&lt;&gt;"Có",N166="Có"),OR(DANH_MUC!$L$7&lt;&gt;"Có",O166="Có"),OR(DANH_MUC!$L$8&lt;&gt;"Có",P166="Có")),"Có","Không"))</f>
        <v/>
      </c>
      <c r="R166" s="22">
        <f>IF($D166="","",IF(COUNTIF($D$2:$D166,$D166)&gt;1,"Trùng",""))</f>
        <v/>
      </c>
      <c r="S166" s="22">
        <f>IF($D166="","",IF(AND(LEN($D166)=10,LEFT($D166,1)="0",ISNUMBER(--$D166)),"Có","Không"))</f>
        <v/>
      </c>
      <c r="T166" s="22">
        <f>IF($D166="","",IF(AND($C166&lt;&gt;"",$Q166="Có",$R166="",$S166="Có",AND($L166&lt;&gt;"",OR($L166&lt;&gt;"Chưa xác định",DANH_MUC!$L$9="Có"))),"Có","Không"))</f>
        <v/>
      </c>
      <c r="U166" s="22">
        <f>IF(OR($D166="",$T166="Có"),"",IF($C166="","Thiếu họ tên; ","")&amp;IF($S166&lt;&gt;"Có","SĐT sai định dạng; ","")&amp;IF($R166="Trùng","Trùng SĐT; ","")&amp;IF($Q166&lt;&gt;"Có","Thiếu đồng ý bắt buộc; ","")&amp;IF($L166="","Thiếu/sai Mã REF; ",IF(AND($L166="Chưa xác định",DANH_MUC!$L$9&lt;&gt;"Có"),"Nguồn chưa xác định; ","")))</f>
        <v/>
      </c>
      <c r="V166" s="22">
        <f>IF(OR($D166="",$R166="Trùng"),"",IF(COUNTIF(ORDERS!$C$2:$C$4995,$D166)&gt;0,"Có","Không"))</f>
        <v/>
      </c>
      <c r="W166" s="22">
        <f>IF(OR($D166="",$R166="Trùng"),"",COUNTIFS(ORDERS!$C$2:$C$4995,$D166,ORDERS!$L$2:$L$4995,"Đã chuyển khoản"))</f>
        <v/>
      </c>
      <c r="X166" s="23">
        <f>IF(OR($D166="",$R166="Trùng"),"",SUMIFS(ORDERS!$J$2:$J$4995,ORDERS!$C$2:$C$4995,$D166,ORDERS!$L$2:$L$4995,"Đã chuyển khoản"))</f>
        <v/>
      </c>
      <c r="Y166" s="24" t="n"/>
    </row>
    <row r="167" ht="14.25" customHeight="1" s="40">
      <c r="A167" s="24" t="inlineStr">
        <is>
          <t>5361f763-aecc-43f2-8138-f0ca61b535b7</t>
        </is>
      </c>
      <c r="B167" s="18" t="n">
        <v>46291.375</v>
      </c>
      <c r="C167" s="24" t="inlineStr">
        <is>
          <t>An Thị Kim Xuyến</t>
        </is>
      </c>
      <c r="D167" s="28" t="inlineStr">
        <is>
          <t>0966250494</t>
        </is>
      </c>
      <c r="E167" s="29" t="n">
        <v>46362</v>
      </c>
      <c r="F167" s="24" t="inlineStr">
        <is>
          <t>Đang mang thai</t>
        </is>
      </c>
      <c r="G167" s="24" t="inlineStr">
        <is>
          <t>Hải Phòng</t>
        </is>
      </c>
      <c r="H167" s="21">
        <f>IF(ISNUMBER($B167),INT($B167)-WEEKDAY($B167,2)+1,"")</f>
        <v/>
      </c>
      <c r="I167" s="24" t="inlineStr">
        <is>
          <t>Z-GREEN</t>
        </is>
      </c>
      <c r="J167" s="22">
        <f t="array" ref="J167">IF($D167="","",IF($I167="","(trống REF)",IFERROR(INDEX(MASTER_SOURCE!$B$2:$B$495,MATCH($I167,MASTER_SOURCE!$A$2:$A$495,0)),"(REF không có trong MASTER_SOURCE)")))</f>
        <v/>
      </c>
      <c r="K167" s="22">
        <f t="array" ref="K167">IF($D167="","",IFERROR(INDEX(MASTER_SOURCE!$C$2:$C$495,MATCH($I167,MASTER_SOURCE!$A$2:$A$495,0)),""))</f>
        <v/>
      </c>
      <c r="L167" s="22">
        <f t="array" ref="L167">IF($D167="","",IFERROR(INDEX(MASTER_SOURCE!$D$2:$D$495,MATCH($I167,MASTER_SOURCE!$A$2:$A$495,0)),""))</f>
        <v/>
      </c>
      <c r="M167" s="24" t="inlineStr">
        <is>
          <t>Có</t>
        </is>
      </c>
      <c r="N167" s="24" t="inlineStr">
        <is>
          <t>Có</t>
        </is>
      </c>
      <c r="O167" s="24" t="inlineStr">
        <is>
          <t>Có</t>
        </is>
      </c>
      <c r="P167" s="24" t="inlineStr">
        <is>
          <t>Có</t>
        </is>
      </c>
      <c r="Q167" s="22">
        <f>IF($D167="","",IF(AND(OR(DANH_MUC!$L$5&lt;&gt;"Có",M167="Có"),OR(DANH_MUC!$L$6&lt;&gt;"Có",N167="Có"),OR(DANH_MUC!$L$7&lt;&gt;"Có",O167="Có"),OR(DANH_MUC!$L$8&lt;&gt;"Có",P167="Có")),"Có","Không"))</f>
        <v/>
      </c>
      <c r="R167" s="22">
        <f>IF($D167="","",IF(COUNTIF($D$2:$D167,$D167)&gt;1,"Trùng",""))</f>
        <v/>
      </c>
      <c r="S167" s="22">
        <f>IF($D167="","",IF(AND(LEN($D167)=10,LEFT($D167,1)="0",ISNUMBER(--$D167)),"Có","Không"))</f>
        <v/>
      </c>
      <c r="T167" s="22">
        <f>IF($D167="","",IF(AND($C167&lt;&gt;"",$Q167="Có",$R167="",$S167="Có",AND($L167&lt;&gt;"",OR($L167&lt;&gt;"Chưa xác định",DANH_MUC!$L$9="Có"))),"Có","Không"))</f>
        <v/>
      </c>
      <c r="U167" s="22">
        <f>IF(OR($D167="",$T167="Có"),"",IF($C167="","Thiếu họ tên; ","")&amp;IF($S167&lt;&gt;"Có","SĐT sai định dạng; ","")&amp;IF($R167="Trùng","Trùng SĐT; ","")&amp;IF($Q167&lt;&gt;"Có","Thiếu đồng ý bắt buộc; ","")&amp;IF($L167="","Thiếu/sai Mã REF; ",IF(AND($L167="Chưa xác định",DANH_MUC!$L$9&lt;&gt;"Có"),"Nguồn chưa xác định; ","")))</f>
        <v/>
      </c>
      <c r="V167" s="22">
        <f>IF(OR($D167="",$R167="Trùng"),"",IF(COUNTIF(ORDERS!$C$2:$C$4995,$D167)&gt;0,"Có","Không"))</f>
        <v/>
      </c>
      <c r="W167" s="22">
        <f>IF(OR($D167="",$R167="Trùng"),"",COUNTIFS(ORDERS!$C$2:$C$4995,$D167,ORDERS!$L$2:$L$4995,"Đã chuyển khoản"))</f>
        <v/>
      </c>
      <c r="X167" s="23">
        <f>IF(OR($D167="",$R167="Trùng"),"",SUMIFS(ORDERS!$J$2:$J$4995,ORDERS!$C$2:$C$4995,$D167,ORDERS!$L$2:$L$4995,"Đã chuyển khoản"))</f>
        <v/>
      </c>
      <c r="Y167" s="24" t="n"/>
    </row>
    <row r="168" ht="14.25" customHeight="1" s="40">
      <c r="A168" s="24" t="inlineStr">
        <is>
          <t>0a5c3c75-2512-435d-af23-436636a8e40b</t>
        </is>
      </c>
      <c r="B168" s="18" t="n">
        <v>46291.375</v>
      </c>
      <c r="C168" s="24" t="inlineStr">
        <is>
          <t>Lê Hà Giang</t>
        </is>
      </c>
      <c r="D168" s="28" t="inlineStr">
        <is>
          <t>0852797855</t>
        </is>
      </c>
      <c r="E168" s="29" t="n">
        <v>46365</v>
      </c>
      <c r="F168" s="24" t="inlineStr">
        <is>
          <t>Đang mang thai</t>
        </is>
      </c>
      <c r="G168" s="24" t="inlineStr">
        <is>
          <t>Hải Phòng</t>
        </is>
      </c>
      <c r="H168" s="21">
        <f>IF(ISNUMBER($B168),INT($B168)-WEEKDAY($B168,2)+1,"")</f>
        <v/>
      </c>
      <c r="I168" s="24" t="inlineStr">
        <is>
          <t>Z-GREEN</t>
        </is>
      </c>
      <c r="J168" s="22">
        <f t="array" ref="J168">IF($D168="","",IF($I168="","(trống REF)",IFERROR(INDEX(MASTER_SOURCE!$B$2:$B$495,MATCH($I168,MASTER_SOURCE!$A$2:$A$495,0)),"(REF không có trong MASTER_SOURCE)")))</f>
        <v/>
      </c>
      <c r="K168" s="22">
        <f t="array" ref="K168">IF($D168="","",IFERROR(INDEX(MASTER_SOURCE!$C$2:$C$495,MATCH($I168,MASTER_SOURCE!$A$2:$A$495,0)),""))</f>
        <v/>
      </c>
      <c r="L168" s="22">
        <f t="array" ref="L168">IF($D168="","",IFERROR(INDEX(MASTER_SOURCE!$D$2:$D$495,MATCH($I168,MASTER_SOURCE!$A$2:$A$495,0)),""))</f>
        <v/>
      </c>
      <c r="M168" s="24" t="inlineStr">
        <is>
          <t>Có</t>
        </is>
      </c>
      <c r="N168" s="24" t="inlineStr">
        <is>
          <t>Có</t>
        </is>
      </c>
      <c r="O168" s="24" t="inlineStr">
        <is>
          <t>Có</t>
        </is>
      </c>
      <c r="P168" s="24" t="inlineStr">
        <is>
          <t>Có</t>
        </is>
      </c>
      <c r="Q168" s="22">
        <f>IF($D168="","",IF(AND(OR(DANH_MUC!$L$5&lt;&gt;"Có",M168="Có"),OR(DANH_MUC!$L$6&lt;&gt;"Có",N168="Có"),OR(DANH_MUC!$L$7&lt;&gt;"Có",O168="Có"),OR(DANH_MUC!$L$8&lt;&gt;"Có",P168="Có")),"Có","Không"))</f>
        <v/>
      </c>
      <c r="R168" s="22">
        <f>IF($D168="","",IF(COUNTIF($D$2:$D168,$D168)&gt;1,"Trùng",""))</f>
        <v/>
      </c>
      <c r="S168" s="22">
        <f>IF($D168="","",IF(AND(LEN($D168)=10,LEFT($D168,1)="0",ISNUMBER(--$D168)),"Có","Không"))</f>
        <v/>
      </c>
      <c r="T168" s="22">
        <f>IF($D168="","",IF(AND($C168&lt;&gt;"",$Q168="Có",$R168="",$S168="Có",AND($L168&lt;&gt;"",OR($L168&lt;&gt;"Chưa xác định",DANH_MUC!$L$9="Có"))),"Có","Không"))</f>
        <v/>
      </c>
      <c r="U168" s="22">
        <f>IF(OR($D168="",$T168="Có"),"",IF($C168="","Thiếu họ tên; ","")&amp;IF($S168&lt;&gt;"Có","SĐT sai định dạng; ","")&amp;IF($R168="Trùng","Trùng SĐT; ","")&amp;IF($Q168&lt;&gt;"Có","Thiếu đồng ý bắt buộc; ","")&amp;IF($L168="","Thiếu/sai Mã REF; ",IF(AND($L168="Chưa xác định",DANH_MUC!$L$9&lt;&gt;"Có"),"Nguồn chưa xác định; ","")))</f>
        <v/>
      </c>
      <c r="V168" s="22">
        <f>IF(OR($D168="",$R168="Trùng"),"",IF(COUNTIF(ORDERS!$C$2:$C$4995,$D168)&gt;0,"Có","Không"))</f>
        <v/>
      </c>
      <c r="W168" s="22">
        <f>IF(OR($D168="",$R168="Trùng"),"",COUNTIFS(ORDERS!$C$2:$C$4995,$D168,ORDERS!$L$2:$L$4995,"Đã chuyển khoản"))</f>
        <v/>
      </c>
      <c r="X168" s="23">
        <f>IF(OR($D168="",$R168="Trùng"),"",SUMIFS(ORDERS!$J$2:$J$4995,ORDERS!$C$2:$C$4995,$D168,ORDERS!$L$2:$L$4995,"Đã chuyển khoản"))</f>
        <v/>
      </c>
      <c r="Y168" s="24" t="n"/>
    </row>
    <row r="169" ht="14.25" customHeight="1" s="40">
      <c r="A169" s="24" t="inlineStr">
        <is>
          <t>4891b8c0-6b9a-44a0-822b-58cfddba35aa</t>
        </is>
      </c>
      <c r="B169" s="18" t="n">
        <v>46291.37569444445</v>
      </c>
      <c r="C169" s="24" t="inlineStr">
        <is>
          <t>Võ Minh Oanh</t>
        </is>
      </c>
      <c r="D169" s="28" t="inlineStr">
        <is>
          <t>0986370250</t>
        </is>
      </c>
      <c r="E169" s="29" t="n">
        <v>46387</v>
      </c>
      <c r="F169" s="24" t="inlineStr">
        <is>
          <t>Đang mang thai</t>
        </is>
      </c>
      <c r="G169" s="24" t="inlineStr">
        <is>
          <t>Đồng Nai</t>
        </is>
      </c>
      <c r="H169" s="21">
        <f>IF(ISNUMBER($B169),INT($B169)-WEEKDAY($B169,2)+1,"")</f>
        <v/>
      </c>
      <c r="I169" s="24" t="inlineStr">
        <is>
          <t>Z-SHING</t>
        </is>
      </c>
      <c r="J169" s="22">
        <f t="array" ref="J169">IF($D169="","",IF($I169="","(trống REF)",IFERROR(INDEX(MASTER_SOURCE!$B$2:$B$495,MATCH($I169,MASTER_SOURCE!$A$2:$A$495,0)),"(REF không có trong MASTER_SOURCE)")))</f>
        <v/>
      </c>
      <c r="K169" s="22">
        <f t="array" ref="K169">IF($D169="","",IFERROR(INDEX(MASTER_SOURCE!$C$2:$C$495,MATCH($I169,MASTER_SOURCE!$A$2:$A$495,0)),""))</f>
        <v/>
      </c>
      <c r="L169" s="22">
        <f t="array" ref="L169">IF($D169="","",IFERROR(INDEX(MASTER_SOURCE!$D$2:$D$495,MATCH($I169,MASTER_SOURCE!$A$2:$A$495,0)),""))</f>
        <v/>
      </c>
      <c r="M169" s="24" t="inlineStr">
        <is>
          <t>Có</t>
        </is>
      </c>
      <c r="N169" s="24" t="inlineStr">
        <is>
          <t>Có</t>
        </is>
      </c>
      <c r="O169" s="24" t="inlineStr">
        <is>
          <t>Có</t>
        </is>
      </c>
      <c r="P169" s="24" t="inlineStr">
        <is>
          <t>Có</t>
        </is>
      </c>
      <c r="Q169" s="22">
        <f>IF($D169="","",IF(AND(OR(DANH_MUC!$L$5&lt;&gt;"Có",M169="Có"),OR(DANH_MUC!$L$6&lt;&gt;"Có",N169="Có"),OR(DANH_MUC!$L$7&lt;&gt;"Có",O169="Có"),OR(DANH_MUC!$L$8&lt;&gt;"Có",P169="Có")),"Có","Không"))</f>
        <v/>
      </c>
      <c r="R169" s="22">
        <f>IF($D169="","",IF(COUNTIF($D$2:$D169,$D169)&gt;1,"Trùng",""))</f>
        <v/>
      </c>
      <c r="S169" s="22">
        <f>IF($D169="","",IF(AND(LEN($D169)=10,LEFT($D169,1)="0",ISNUMBER(--$D169)),"Có","Không"))</f>
        <v/>
      </c>
      <c r="T169" s="22">
        <f>IF($D169="","",IF(AND($C169&lt;&gt;"",$Q169="Có",$R169="",$S169="Có",AND($L169&lt;&gt;"",OR($L169&lt;&gt;"Chưa xác định",DANH_MUC!$L$9="Có"))),"Có","Không"))</f>
        <v/>
      </c>
      <c r="U169" s="22">
        <f>IF(OR($D169="",$T169="Có"),"",IF($C169="","Thiếu họ tên; ","")&amp;IF($S169&lt;&gt;"Có","SĐT sai định dạng; ","")&amp;IF($R169="Trùng","Trùng SĐT; ","")&amp;IF($Q169&lt;&gt;"Có","Thiếu đồng ý bắt buộc; ","")&amp;IF($L169="","Thiếu/sai Mã REF; ",IF(AND($L169="Chưa xác định",DANH_MUC!$L$9&lt;&gt;"Có"),"Nguồn chưa xác định; ","")))</f>
        <v/>
      </c>
      <c r="V169" s="22">
        <f>IF(OR($D169="",$R169="Trùng"),"",IF(COUNTIF(ORDERS!$C$2:$C$4995,$D169)&gt;0,"Có","Không"))</f>
        <v/>
      </c>
      <c r="W169" s="22">
        <f>IF(OR($D169="",$R169="Trùng"),"",COUNTIFS(ORDERS!$C$2:$C$4995,$D169,ORDERS!$L$2:$L$4995,"Đã chuyển khoản"))</f>
        <v/>
      </c>
      <c r="X169" s="23">
        <f>IF(OR($D169="",$R169="Trùng"),"",SUMIFS(ORDERS!$J$2:$J$4995,ORDERS!$C$2:$C$4995,$D169,ORDERS!$L$2:$L$4995,"Đã chuyển khoản"))</f>
        <v/>
      </c>
      <c r="Y169" s="24" t="n"/>
    </row>
    <row r="170" ht="14.25" customHeight="1" s="40">
      <c r="A170" s="24" t="inlineStr">
        <is>
          <t>cecc955c-a938-426c-96a8-9e57afa594c9</t>
        </is>
      </c>
      <c r="B170" s="18" t="n">
        <v>46291.37569444445</v>
      </c>
      <c r="C170" s="24" t="inlineStr">
        <is>
          <t>Dao thi thanh mai</t>
        </is>
      </c>
      <c r="D170" s="28" t="inlineStr">
        <is>
          <t>0345637083</t>
        </is>
      </c>
      <c r="E170" s="29" t="n">
        <v>46302</v>
      </c>
      <c r="F170" s="24" t="inlineStr">
        <is>
          <t>Đang mang thai</t>
        </is>
      </c>
      <c r="G170" s="24" t="inlineStr">
        <is>
          <t>Hải Phòng</t>
        </is>
      </c>
      <c r="H170" s="21">
        <f>IF(ISNUMBER($B170),INT($B170)-WEEKDAY($B170,2)+1,"")</f>
        <v/>
      </c>
      <c r="I170" s="24" t="inlineStr">
        <is>
          <t>Z-GREEN</t>
        </is>
      </c>
      <c r="J170" s="22">
        <f t="array" ref="J170">IF($D170="","",IF($I170="","(trống REF)",IFERROR(INDEX(MASTER_SOURCE!$B$2:$B$495,MATCH($I170,MASTER_SOURCE!$A$2:$A$495,0)),"(REF không có trong MASTER_SOURCE)")))</f>
        <v/>
      </c>
      <c r="K170" s="22">
        <f t="array" ref="K170">IF($D170="","",IFERROR(INDEX(MASTER_SOURCE!$C$2:$C$495,MATCH($I170,MASTER_SOURCE!$A$2:$A$495,0)),""))</f>
        <v/>
      </c>
      <c r="L170" s="22">
        <f t="array" ref="L170">IF($D170="","",IFERROR(INDEX(MASTER_SOURCE!$D$2:$D$495,MATCH($I170,MASTER_SOURCE!$A$2:$A$495,0)),""))</f>
        <v/>
      </c>
      <c r="M170" s="24" t="inlineStr">
        <is>
          <t>Có</t>
        </is>
      </c>
      <c r="N170" s="24" t="inlineStr">
        <is>
          <t>Có</t>
        </is>
      </c>
      <c r="O170" s="24" t="inlineStr">
        <is>
          <t>Có</t>
        </is>
      </c>
      <c r="P170" s="24" t="inlineStr">
        <is>
          <t>Có</t>
        </is>
      </c>
      <c r="Q170" s="22">
        <f>IF($D170="","",IF(AND(OR(DANH_MUC!$L$5&lt;&gt;"Có",M170="Có"),OR(DANH_MUC!$L$6&lt;&gt;"Có",N170="Có"),OR(DANH_MUC!$L$7&lt;&gt;"Có",O170="Có"),OR(DANH_MUC!$L$8&lt;&gt;"Có",P170="Có")),"Có","Không"))</f>
        <v/>
      </c>
      <c r="R170" s="22">
        <f>IF($D170="","",IF(COUNTIF($D$2:$D170,$D170)&gt;1,"Trùng",""))</f>
        <v/>
      </c>
      <c r="S170" s="22">
        <f>IF($D170="","",IF(AND(LEN($D170)=10,LEFT($D170,1)="0",ISNUMBER(--$D170)),"Có","Không"))</f>
        <v/>
      </c>
      <c r="T170" s="22">
        <f>IF($D170="","",IF(AND($C170&lt;&gt;"",$Q170="Có",$R170="",$S170="Có",AND($L170&lt;&gt;"",OR($L170&lt;&gt;"Chưa xác định",DANH_MUC!$L$9="Có"))),"Có","Không"))</f>
        <v/>
      </c>
      <c r="U170" s="22">
        <f>IF(OR($D170="",$T170="Có"),"",IF($C170="","Thiếu họ tên; ","")&amp;IF($S170&lt;&gt;"Có","SĐT sai định dạng; ","")&amp;IF($R170="Trùng","Trùng SĐT; ","")&amp;IF($Q170&lt;&gt;"Có","Thiếu đồng ý bắt buộc; ","")&amp;IF($L170="","Thiếu/sai Mã REF; ",IF(AND($L170="Chưa xác định",DANH_MUC!$L$9&lt;&gt;"Có"),"Nguồn chưa xác định; ","")))</f>
        <v/>
      </c>
      <c r="V170" s="22">
        <f>IF(OR($D170="",$R170="Trùng"),"",IF(COUNTIF(ORDERS!$C$2:$C$4995,$D170)&gt;0,"Có","Không"))</f>
        <v/>
      </c>
      <c r="W170" s="22">
        <f>IF(OR($D170="",$R170="Trùng"),"",COUNTIFS(ORDERS!$C$2:$C$4995,$D170,ORDERS!$L$2:$L$4995,"Đã chuyển khoản"))</f>
        <v/>
      </c>
      <c r="X170" s="23">
        <f>IF(OR($D170="",$R170="Trùng"),"",SUMIFS(ORDERS!$J$2:$J$4995,ORDERS!$C$2:$C$4995,$D170,ORDERS!$L$2:$L$4995,"Đã chuyển khoản"))</f>
        <v/>
      </c>
      <c r="Y170" s="24" t="n"/>
    </row>
    <row r="171" ht="14.25" customHeight="1" s="40">
      <c r="A171" s="24" t="inlineStr">
        <is>
          <t>ed1a8c22-d29a-46fc-9b40-ef1d4edc53f5</t>
        </is>
      </c>
      <c r="B171" s="18" t="n">
        <v>46291.37708333333</v>
      </c>
      <c r="C171" s="24" t="inlineStr">
        <is>
          <t>Phạm Huyền Trang</t>
        </is>
      </c>
      <c r="D171" s="28" t="inlineStr">
        <is>
          <t>0356751946</t>
        </is>
      </c>
      <c r="E171" s="29" t="n">
        <v>46346</v>
      </c>
      <c r="F171" s="24" t="inlineStr">
        <is>
          <t>Đang mang thai</t>
        </is>
      </c>
      <c r="G171" s="24" t="inlineStr">
        <is>
          <t>Hải Phòng</t>
        </is>
      </c>
      <c r="H171" s="21">
        <f>IF(ISNUMBER($B171),INT($B171)-WEEKDAY($B171,2)+1,"")</f>
        <v/>
      </c>
      <c r="I171" s="24" t="inlineStr">
        <is>
          <t>Z-GREEN</t>
        </is>
      </c>
      <c r="J171" s="22">
        <f t="array" ref="J171">IF($D171="","",IF($I171="","(trống REF)",IFERROR(INDEX(MASTER_SOURCE!$B$2:$B$495,MATCH($I171,MASTER_SOURCE!$A$2:$A$495,0)),"(REF không có trong MASTER_SOURCE)")))</f>
        <v/>
      </c>
      <c r="K171" s="22">
        <f t="array" ref="K171">IF($D171="","",IFERROR(INDEX(MASTER_SOURCE!$C$2:$C$495,MATCH($I171,MASTER_SOURCE!$A$2:$A$495,0)),""))</f>
        <v/>
      </c>
      <c r="L171" s="22">
        <f t="array" ref="L171">IF($D171="","",IFERROR(INDEX(MASTER_SOURCE!$D$2:$D$495,MATCH($I171,MASTER_SOURCE!$A$2:$A$495,0)),""))</f>
        <v/>
      </c>
      <c r="M171" s="24" t="inlineStr">
        <is>
          <t>Có</t>
        </is>
      </c>
      <c r="N171" s="24" t="inlineStr">
        <is>
          <t>Có</t>
        </is>
      </c>
      <c r="O171" s="24" t="inlineStr">
        <is>
          <t>Có</t>
        </is>
      </c>
      <c r="P171" s="24" t="inlineStr">
        <is>
          <t>Có</t>
        </is>
      </c>
      <c r="Q171" s="22">
        <f>IF($D171="","",IF(AND(OR(DANH_MUC!$L$5&lt;&gt;"Có",M171="Có"),OR(DANH_MUC!$L$6&lt;&gt;"Có",N171="Có"),OR(DANH_MUC!$L$7&lt;&gt;"Có",O171="Có"),OR(DANH_MUC!$L$8&lt;&gt;"Có",P171="Có")),"Có","Không"))</f>
        <v/>
      </c>
      <c r="R171" s="22">
        <f>IF($D171="","",IF(COUNTIF($D$2:$D171,$D171)&gt;1,"Trùng",""))</f>
        <v/>
      </c>
      <c r="S171" s="22">
        <f>IF($D171="","",IF(AND(LEN($D171)=10,LEFT($D171,1)="0",ISNUMBER(--$D171)),"Có","Không"))</f>
        <v/>
      </c>
      <c r="T171" s="22">
        <f>IF($D171="","",IF(AND($C171&lt;&gt;"",$Q171="Có",$R171="",$S171="Có",AND($L171&lt;&gt;"",OR($L171&lt;&gt;"Chưa xác định",DANH_MUC!$L$9="Có"))),"Có","Không"))</f>
        <v/>
      </c>
      <c r="U171" s="22">
        <f>IF(OR($D171="",$T171="Có"),"",IF($C171="","Thiếu họ tên; ","")&amp;IF($S171&lt;&gt;"Có","SĐT sai định dạng; ","")&amp;IF($R171="Trùng","Trùng SĐT; ","")&amp;IF($Q171&lt;&gt;"Có","Thiếu đồng ý bắt buộc; ","")&amp;IF($L171="","Thiếu/sai Mã REF; ",IF(AND($L171="Chưa xác định",DANH_MUC!$L$9&lt;&gt;"Có"),"Nguồn chưa xác định; ","")))</f>
        <v/>
      </c>
      <c r="V171" s="22">
        <f>IF(OR($D171="",$R171="Trùng"),"",IF(COUNTIF(ORDERS!$C$2:$C$4995,$D171)&gt;0,"Có","Không"))</f>
        <v/>
      </c>
      <c r="W171" s="22">
        <f>IF(OR($D171="",$R171="Trùng"),"",COUNTIFS(ORDERS!$C$2:$C$4995,$D171,ORDERS!$L$2:$L$4995,"Đã chuyển khoản"))</f>
        <v/>
      </c>
      <c r="X171" s="23">
        <f>IF(OR($D171="",$R171="Trùng"),"",SUMIFS(ORDERS!$J$2:$J$4995,ORDERS!$C$2:$C$4995,$D171,ORDERS!$L$2:$L$4995,"Đã chuyển khoản"))</f>
        <v/>
      </c>
      <c r="Y171" s="24" t="n"/>
    </row>
    <row r="172" ht="14.25" customHeight="1" s="40">
      <c r="A172" s="24" t="inlineStr">
        <is>
          <t>4d3c6afa-4643-4c43-a606-4ff8027c0445</t>
        </is>
      </c>
      <c r="B172" s="18" t="n">
        <v>46291.37847222222</v>
      </c>
      <c r="C172" s="24" t="inlineStr">
        <is>
          <t>Hoang Anh</t>
        </is>
      </c>
      <c r="D172" s="28" t="inlineStr">
        <is>
          <t>0906217368</t>
        </is>
      </c>
      <c r="E172" s="29" t="n">
        <v>46353</v>
      </c>
      <c r="F172" s="24" t="inlineStr">
        <is>
          <t>Đang mang thai</t>
        </is>
      </c>
      <c r="G172" s="24" t="inlineStr">
        <is>
          <t>Hải Phòng</t>
        </is>
      </c>
      <c r="H172" s="21">
        <f>IF(ISNUMBER($B172),INT($B172)-WEEKDAY($B172,2)+1,"")</f>
        <v/>
      </c>
      <c r="I172" s="24" t="inlineStr">
        <is>
          <t>Z-GREEN</t>
        </is>
      </c>
      <c r="J172" s="22">
        <f t="array" ref="J172">IF($D172="","",IF($I172="","(trống REF)",IFERROR(INDEX(MASTER_SOURCE!$B$2:$B$495,MATCH($I172,MASTER_SOURCE!$A$2:$A$495,0)),"(REF không có trong MASTER_SOURCE)")))</f>
        <v/>
      </c>
      <c r="K172" s="22">
        <f t="array" ref="K172">IF($D172="","",IFERROR(INDEX(MASTER_SOURCE!$C$2:$C$495,MATCH($I172,MASTER_SOURCE!$A$2:$A$495,0)),""))</f>
        <v/>
      </c>
      <c r="L172" s="22">
        <f t="array" ref="L172">IF($D172="","",IFERROR(INDEX(MASTER_SOURCE!$D$2:$D$495,MATCH($I172,MASTER_SOURCE!$A$2:$A$495,0)),""))</f>
        <v/>
      </c>
      <c r="M172" s="24" t="inlineStr">
        <is>
          <t>Có</t>
        </is>
      </c>
      <c r="N172" s="24" t="inlineStr">
        <is>
          <t>Có</t>
        </is>
      </c>
      <c r="O172" s="24" t="inlineStr">
        <is>
          <t>Có</t>
        </is>
      </c>
      <c r="P172" s="24" t="inlineStr">
        <is>
          <t>Có</t>
        </is>
      </c>
      <c r="Q172" s="22">
        <f>IF($D172="","",IF(AND(OR(DANH_MUC!$L$5&lt;&gt;"Có",M172="Có"),OR(DANH_MUC!$L$6&lt;&gt;"Có",N172="Có"),OR(DANH_MUC!$L$7&lt;&gt;"Có",O172="Có"),OR(DANH_MUC!$L$8&lt;&gt;"Có",P172="Có")),"Có","Không"))</f>
        <v/>
      </c>
      <c r="R172" s="22">
        <f>IF($D172="","",IF(COUNTIF($D$2:$D172,$D172)&gt;1,"Trùng",""))</f>
        <v/>
      </c>
      <c r="S172" s="22">
        <f>IF($D172="","",IF(AND(LEN($D172)=10,LEFT($D172,1)="0",ISNUMBER(--$D172)),"Có","Không"))</f>
        <v/>
      </c>
      <c r="T172" s="22">
        <f>IF($D172="","",IF(AND($C172&lt;&gt;"",$Q172="Có",$R172="",$S172="Có",AND($L172&lt;&gt;"",OR($L172&lt;&gt;"Chưa xác định",DANH_MUC!$L$9="Có"))),"Có","Không"))</f>
        <v/>
      </c>
      <c r="U172" s="22">
        <f>IF(OR($D172="",$T172="Có"),"",IF($C172="","Thiếu họ tên; ","")&amp;IF($S172&lt;&gt;"Có","SĐT sai định dạng; ","")&amp;IF($R172="Trùng","Trùng SĐT; ","")&amp;IF($Q172&lt;&gt;"Có","Thiếu đồng ý bắt buộc; ","")&amp;IF($L172="","Thiếu/sai Mã REF; ",IF(AND($L172="Chưa xác định",DANH_MUC!$L$9&lt;&gt;"Có"),"Nguồn chưa xác định; ","")))</f>
        <v/>
      </c>
      <c r="V172" s="22">
        <f>IF(OR($D172="",$R172="Trùng"),"",IF(COUNTIF(ORDERS!$C$2:$C$4995,$D172)&gt;0,"Có","Không"))</f>
        <v/>
      </c>
      <c r="W172" s="22">
        <f>IF(OR($D172="",$R172="Trùng"),"",COUNTIFS(ORDERS!$C$2:$C$4995,$D172,ORDERS!$L$2:$L$4995,"Đã chuyển khoản"))</f>
        <v/>
      </c>
      <c r="X172" s="23">
        <f>IF(OR($D172="",$R172="Trùng"),"",SUMIFS(ORDERS!$J$2:$J$4995,ORDERS!$C$2:$C$4995,$D172,ORDERS!$L$2:$L$4995,"Đã chuyển khoản"))</f>
        <v/>
      </c>
      <c r="Y172" s="24" t="n"/>
    </row>
    <row r="173" ht="14.25" customHeight="1" s="40">
      <c r="A173" s="24" t="inlineStr">
        <is>
          <t>42658514-5c90-45d0-9881-1bfb18315783</t>
        </is>
      </c>
      <c r="B173" s="18" t="n">
        <v>46291.37916666667</v>
      </c>
      <c r="C173" s="24" t="inlineStr">
        <is>
          <t>Nguyễn Hương Giang</t>
        </is>
      </c>
      <c r="D173" s="28" t="inlineStr">
        <is>
          <t>0766456888</t>
        </is>
      </c>
      <c r="E173" s="29" t="n">
        <v>46425</v>
      </c>
      <c r="F173" s="24" t="inlineStr">
        <is>
          <t>Đang mang thai</t>
        </is>
      </c>
      <c r="G173" s="24" t="inlineStr">
        <is>
          <t>Hải Phòng</t>
        </is>
      </c>
      <c r="H173" s="21">
        <f>IF(ISNUMBER($B173),INT($B173)-WEEKDAY($B173,2)+1,"")</f>
        <v/>
      </c>
      <c r="I173" s="24" t="inlineStr">
        <is>
          <t>Z-GREEN</t>
        </is>
      </c>
      <c r="J173" s="22">
        <f t="array" ref="J173">IF($D173="","",IF($I173="","(trống REF)",IFERROR(INDEX(MASTER_SOURCE!$B$2:$B$495,MATCH($I173,MASTER_SOURCE!$A$2:$A$495,0)),"(REF không có trong MASTER_SOURCE)")))</f>
        <v/>
      </c>
      <c r="K173" s="22">
        <f t="array" ref="K173">IF($D173="","",IFERROR(INDEX(MASTER_SOURCE!$C$2:$C$495,MATCH($I173,MASTER_SOURCE!$A$2:$A$495,0)),""))</f>
        <v/>
      </c>
      <c r="L173" s="22">
        <f t="array" ref="L173">IF($D173="","",IFERROR(INDEX(MASTER_SOURCE!$D$2:$D$495,MATCH($I173,MASTER_SOURCE!$A$2:$A$495,0)),""))</f>
        <v/>
      </c>
      <c r="M173" s="24" t="inlineStr">
        <is>
          <t>Có</t>
        </is>
      </c>
      <c r="N173" s="24" t="inlineStr">
        <is>
          <t>Có</t>
        </is>
      </c>
      <c r="O173" s="24" t="inlineStr">
        <is>
          <t>Không</t>
        </is>
      </c>
      <c r="P173" s="24" t="inlineStr">
        <is>
          <t>Có</t>
        </is>
      </c>
      <c r="Q173" s="22">
        <f>IF($D173="","",IF(AND(OR(DANH_MUC!$L$5&lt;&gt;"Có",M173="Có"),OR(DANH_MUC!$L$6&lt;&gt;"Có",N173="Có"),OR(DANH_MUC!$L$7&lt;&gt;"Có",O173="Có"),OR(DANH_MUC!$L$8&lt;&gt;"Có",P173="Có")),"Có","Không"))</f>
        <v/>
      </c>
      <c r="R173" s="22">
        <f>IF($D173="","",IF(COUNTIF($D$2:$D173,$D173)&gt;1,"Trùng",""))</f>
        <v/>
      </c>
      <c r="S173" s="22">
        <f>IF($D173="","",IF(AND(LEN($D173)=10,LEFT($D173,1)="0",ISNUMBER(--$D173)),"Có","Không"))</f>
        <v/>
      </c>
      <c r="T173" s="22">
        <f>IF($D173="","",IF(AND($C173&lt;&gt;"",$Q173="Có",$R173="",$S173="Có",AND($L173&lt;&gt;"",OR($L173&lt;&gt;"Chưa xác định",DANH_MUC!$L$9="Có"))),"Có","Không"))</f>
        <v/>
      </c>
      <c r="U173" s="22">
        <f>IF(OR($D173="",$T173="Có"),"",IF($C173="","Thiếu họ tên; ","")&amp;IF($S173&lt;&gt;"Có","SĐT sai định dạng; ","")&amp;IF($R173="Trùng","Trùng SĐT; ","")&amp;IF($Q173&lt;&gt;"Có","Thiếu đồng ý bắt buộc; ","")&amp;IF($L173="","Thiếu/sai Mã REF; ",IF(AND($L173="Chưa xác định",DANH_MUC!$L$9&lt;&gt;"Có"),"Nguồn chưa xác định; ","")))</f>
        <v/>
      </c>
      <c r="V173" s="22">
        <f>IF(OR($D173="",$R173="Trùng"),"",IF(COUNTIF(ORDERS!$C$2:$C$4995,$D173)&gt;0,"Có","Không"))</f>
        <v/>
      </c>
      <c r="W173" s="22">
        <f>IF(OR($D173="",$R173="Trùng"),"",COUNTIFS(ORDERS!$C$2:$C$4995,$D173,ORDERS!$L$2:$L$4995,"Đã chuyển khoản"))</f>
        <v/>
      </c>
      <c r="X173" s="23">
        <f>IF(OR($D173="",$R173="Trùng"),"",SUMIFS(ORDERS!$J$2:$J$4995,ORDERS!$C$2:$C$4995,$D173,ORDERS!$L$2:$L$4995,"Đã chuyển khoản"))</f>
        <v/>
      </c>
      <c r="Y173" s="24" t="n"/>
    </row>
    <row r="174" ht="14.25" customHeight="1" s="40">
      <c r="A174" s="24" t="inlineStr">
        <is>
          <t>b4067e0b-6dab-4cfb-869d-bb7e9feebfdc</t>
        </is>
      </c>
      <c r="B174" s="18" t="n">
        <v>46291.37916666667</v>
      </c>
      <c r="C174" s="24" t="inlineStr">
        <is>
          <t>Nguyễn Thị Thu Sang</t>
        </is>
      </c>
      <c r="D174" s="28" t="inlineStr">
        <is>
          <t>0963647797</t>
        </is>
      </c>
      <c r="E174" s="29" t="n">
        <v>46454</v>
      </c>
      <c r="F174" s="24" t="inlineStr">
        <is>
          <t>Đang mang thai</t>
        </is>
      </c>
      <c r="G174" s="24" t="inlineStr">
        <is>
          <t>Hồ Chí Minh</t>
        </is>
      </c>
      <c r="H174" s="21">
        <f>IF(ISNUMBER($B174),INT($B174)-WEEKDAY($B174,2)+1,"")</f>
        <v/>
      </c>
      <c r="I174" s="24" t="inlineStr">
        <is>
          <t>C-SHING</t>
        </is>
      </c>
      <c r="J174" s="22">
        <f t="array" ref="J174">IF($D174="","",IF($I174="","(trống REF)",IFERROR(INDEX(MASTER_SOURCE!$B$2:$B$495,MATCH($I174,MASTER_SOURCE!$A$2:$A$495,0)),"(REF không có trong MASTER_SOURCE)")))</f>
        <v/>
      </c>
      <c r="K174" s="22">
        <f t="array" ref="K174">IF($D174="","",IFERROR(INDEX(MASTER_SOURCE!$C$2:$C$495,MATCH($I174,MASTER_SOURCE!$A$2:$A$495,0)),""))</f>
        <v/>
      </c>
      <c r="L174" s="22">
        <f t="array" ref="L174">IF($D174="","",IFERROR(INDEX(MASTER_SOURCE!$D$2:$D$495,MATCH($I174,MASTER_SOURCE!$A$2:$A$495,0)),""))</f>
        <v/>
      </c>
      <c r="M174" s="24" t="inlineStr">
        <is>
          <t>Có</t>
        </is>
      </c>
      <c r="N174" s="24" t="inlineStr">
        <is>
          <t>Có</t>
        </is>
      </c>
      <c r="O174" s="24" t="inlineStr">
        <is>
          <t>Có</t>
        </is>
      </c>
      <c r="P174" s="24" t="inlineStr">
        <is>
          <t>Có</t>
        </is>
      </c>
      <c r="Q174" s="22">
        <f>IF($D174="","",IF(AND(OR(DANH_MUC!$L$5&lt;&gt;"Có",M174="Có"),OR(DANH_MUC!$L$6&lt;&gt;"Có",N174="Có"),OR(DANH_MUC!$L$7&lt;&gt;"Có",O174="Có"),OR(DANH_MUC!$L$8&lt;&gt;"Có",P174="Có")),"Có","Không"))</f>
        <v/>
      </c>
      <c r="R174" s="22">
        <f>IF($D174="","",IF(COUNTIF($D$2:$D174,$D174)&gt;1,"Trùng",""))</f>
        <v/>
      </c>
      <c r="S174" s="22">
        <f>IF($D174="","",IF(AND(LEN($D174)=10,LEFT($D174,1)="0",ISNUMBER(--$D174)),"Có","Không"))</f>
        <v/>
      </c>
      <c r="T174" s="22">
        <f>IF($D174="","",IF(AND($C174&lt;&gt;"",$Q174="Có",$R174="",$S174="Có",AND($L174&lt;&gt;"",OR($L174&lt;&gt;"Chưa xác định",DANH_MUC!$L$9="Có"))),"Có","Không"))</f>
        <v/>
      </c>
      <c r="U174" s="22">
        <f>IF(OR($D174="",$T174="Có"),"",IF($C174="","Thiếu họ tên; ","")&amp;IF($S174&lt;&gt;"Có","SĐT sai định dạng; ","")&amp;IF($R174="Trùng","Trùng SĐT; ","")&amp;IF($Q174&lt;&gt;"Có","Thiếu đồng ý bắt buộc; ","")&amp;IF($L174="","Thiếu/sai Mã REF; ",IF(AND($L174="Chưa xác định",DANH_MUC!$L$9&lt;&gt;"Có"),"Nguồn chưa xác định; ","")))</f>
        <v/>
      </c>
      <c r="V174" s="22">
        <f>IF(OR($D174="",$R174="Trùng"),"",IF(COUNTIF(ORDERS!$C$2:$C$4995,$D174)&gt;0,"Có","Không"))</f>
        <v/>
      </c>
      <c r="W174" s="22">
        <f>IF(OR($D174="",$R174="Trùng"),"",COUNTIFS(ORDERS!$C$2:$C$4995,$D174,ORDERS!$L$2:$L$4995,"Đã chuyển khoản"))</f>
        <v/>
      </c>
      <c r="X174" s="23">
        <f>IF(OR($D174="",$R174="Trùng"),"",SUMIFS(ORDERS!$J$2:$J$4995,ORDERS!$C$2:$C$4995,$D174,ORDERS!$L$2:$L$4995,"Đã chuyển khoản"))</f>
        <v/>
      </c>
      <c r="Y174" s="24" t="n"/>
    </row>
    <row r="175" ht="14.25" customHeight="1" s="40">
      <c r="A175" s="24" t="inlineStr">
        <is>
          <t>612f6438-7e7e-4a18-bf84-5827fef50209</t>
        </is>
      </c>
      <c r="B175" s="18" t="n">
        <v>46291.38055555556</v>
      </c>
      <c r="C175" s="24" t="inlineStr">
        <is>
          <t>Quỳnh Giao</t>
        </is>
      </c>
      <c r="D175" s="28" t="inlineStr">
        <is>
          <t>0981047378</t>
        </is>
      </c>
      <c r="E175" s="29" t="n">
        <v>46328</v>
      </c>
      <c r="F175" s="24" t="inlineStr">
        <is>
          <t>Đang mang thai</t>
        </is>
      </c>
      <c r="G175" s="24" t="inlineStr">
        <is>
          <t>Hải Phòng</t>
        </is>
      </c>
      <c r="H175" s="21">
        <f>IF(ISNUMBER($B175),INT($B175)-WEEKDAY($B175,2)+1,"")</f>
        <v/>
      </c>
      <c r="I175" s="24" t="inlineStr">
        <is>
          <t>Z-GREEN</t>
        </is>
      </c>
      <c r="J175" s="22">
        <f t="array" ref="J175">IF($D175="","",IF($I175="","(trống REF)",IFERROR(INDEX(MASTER_SOURCE!$B$2:$B$495,MATCH($I175,MASTER_SOURCE!$A$2:$A$495,0)),"(REF không có trong MASTER_SOURCE)")))</f>
        <v/>
      </c>
      <c r="K175" s="22">
        <f t="array" ref="K175">IF($D175="","",IFERROR(INDEX(MASTER_SOURCE!$C$2:$C$495,MATCH($I175,MASTER_SOURCE!$A$2:$A$495,0)),""))</f>
        <v/>
      </c>
      <c r="L175" s="22">
        <f t="array" ref="L175">IF($D175="","",IFERROR(INDEX(MASTER_SOURCE!$D$2:$D$495,MATCH($I175,MASTER_SOURCE!$A$2:$A$495,0)),""))</f>
        <v/>
      </c>
      <c r="M175" s="24" t="inlineStr">
        <is>
          <t>Có</t>
        </is>
      </c>
      <c r="N175" s="24" t="inlineStr">
        <is>
          <t>Có</t>
        </is>
      </c>
      <c r="O175" s="24" t="inlineStr">
        <is>
          <t>Có</t>
        </is>
      </c>
      <c r="P175" s="24" t="inlineStr">
        <is>
          <t>Có</t>
        </is>
      </c>
      <c r="Q175" s="22">
        <f>IF($D175="","",IF(AND(OR(DANH_MUC!$L$5&lt;&gt;"Có",M175="Có"),OR(DANH_MUC!$L$6&lt;&gt;"Có",N175="Có"),OR(DANH_MUC!$L$7&lt;&gt;"Có",O175="Có"),OR(DANH_MUC!$L$8&lt;&gt;"Có",P175="Có")),"Có","Không"))</f>
        <v/>
      </c>
      <c r="R175" s="22">
        <f>IF($D175="","",IF(COUNTIF($D$2:$D175,$D175)&gt;1,"Trùng",""))</f>
        <v/>
      </c>
      <c r="S175" s="22">
        <f>IF($D175="","",IF(AND(LEN($D175)=10,LEFT($D175,1)="0",ISNUMBER(--$D175)),"Có","Không"))</f>
        <v/>
      </c>
      <c r="T175" s="22">
        <f>IF($D175="","",IF(AND($C175&lt;&gt;"",$Q175="Có",$R175="",$S175="Có",AND($L175&lt;&gt;"",OR($L175&lt;&gt;"Chưa xác định",DANH_MUC!$L$9="Có"))),"Có","Không"))</f>
        <v/>
      </c>
      <c r="U175" s="22">
        <f>IF(OR($D175="",$T175="Có"),"",IF($C175="","Thiếu họ tên; ","")&amp;IF($S175&lt;&gt;"Có","SĐT sai định dạng; ","")&amp;IF($R175="Trùng","Trùng SĐT; ","")&amp;IF($Q175&lt;&gt;"Có","Thiếu đồng ý bắt buộc; ","")&amp;IF($L175="","Thiếu/sai Mã REF; ",IF(AND($L175="Chưa xác định",DANH_MUC!$L$9&lt;&gt;"Có"),"Nguồn chưa xác định; ","")))</f>
        <v/>
      </c>
      <c r="V175" s="22">
        <f>IF(OR($D175="",$R175="Trùng"),"",IF(COUNTIF(ORDERS!$C$2:$C$4995,$D175)&gt;0,"Có","Không"))</f>
        <v/>
      </c>
      <c r="W175" s="22">
        <f>IF(OR($D175="",$R175="Trùng"),"",COUNTIFS(ORDERS!$C$2:$C$4995,$D175,ORDERS!$L$2:$L$4995,"Đã chuyển khoản"))</f>
        <v/>
      </c>
      <c r="X175" s="23">
        <f>IF(OR($D175="",$R175="Trùng"),"",SUMIFS(ORDERS!$J$2:$J$4995,ORDERS!$C$2:$C$4995,$D175,ORDERS!$L$2:$L$4995,"Đã chuyển khoản"))</f>
        <v/>
      </c>
      <c r="Y175" s="24" t="n"/>
    </row>
    <row r="176" ht="14.25" customHeight="1" s="40">
      <c r="A176" s="24" t="inlineStr">
        <is>
          <t>811a3909-d163-4060-981d-05975d258b22</t>
        </is>
      </c>
      <c r="B176" s="18" t="n">
        <v>46291.38125</v>
      </c>
      <c r="C176" s="24" t="inlineStr">
        <is>
          <t>Nguyễn Ngọc Mai Anh</t>
        </is>
      </c>
      <c r="D176" s="28" t="inlineStr">
        <is>
          <t>0386677713</t>
        </is>
      </c>
      <c r="E176" s="29" t="n">
        <v>46342</v>
      </c>
      <c r="F176" s="24" t="inlineStr">
        <is>
          <t>Đang mang thai</t>
        </is>
      </c>
      <c r="G176" s="24" t="inlineStr">
        <is>
          <t>Hải Phòng</t>
        </is>
      </c>
      <c r="H176" s="21">
        <f>IF(ISNUMBER($B176),INT($B176)-WEEKDAY($B176,2)+1,"")</f>
        <v/>
      </c>
      <c r="I176" s="24" t="inlineStr">
        <is>
          <t>Z-GREEN</t>
        </is>
      </c>
      <c r="J176" s="22">
        <f t="array" ref="J176">IF($D176="","",IF($I176="","(trống REF)",IFERROR(INDEX(MASTER_SOURCE!$B$2:$B$495,MATCH($I176,MASTER_SOURCE!$A$2:$A$495,0)),"(REF không có trong MASTER_SOURCE)")))</f>
        <v/>
      </c>
      <c r="K176" s="22">
        <f t="array" ref="K176">IF($D176="","",IFERROR(INDEX(MASTER_SOURCE!$C$2:$C$495,MATCH($I176,MASTER_SOURCE!$A$2:$A$495,0)),""))</f>
        <v/>
      </c>
      <c r="L176" s="22">
        <f t="array" ref="L176">IF($D176="","",IFERROR(INDEX(MASTER_SOURCE!$D$2:$D$495,MATCH($I176,MASTER_SOURCE!$A$2:$A$495,0)),""))</f>
        <v/>
      </c>
      <c r="M176" s="24" t="inlineStr">
        <is>
          <t>Có</t>
        </is>
      </c>
      <c r="N176" s="24" t="inlineStr">
        <is>
          <t>Có</t>
        </is>
      </c>
      <c r="O176" s="24" t="inlineStr">
        <is>
          <t>Có</t>
        </is>
      </c>
      <c r="P176" s="24" t="inlineStr">
        <is>
          <t>Có</t>
        </is>
      </c>
      <c r="Q176" s="22">
        <f>IF($D176="","",IF(AND(OR(DANH_MUC!$L$5&lt;&gt;"Có",M176="Có"),OR(DANH_MUC!$L$6&lt;&gt;"Có",N176="Có"),OR(DANH_MUC!$L$7&lt;&gt;"Có",O176="Có"),OR(DANH_MUC!$L$8&lt;&gt;"Có",P176="Có")),"Có","Không"))</f>
        <v/>
      </c>
      <c r="R176" s="22">
        <f>IF($D176="","",IF(COUNTIF($D$2:$D176,$D176)&gt;1,"Trùng",""))</f>
        <v/>
      </c>
      <c r="S176" s="22">
        <f>IF($D176="","",IF(AND(LEN($D176)=10,LEFT($D176,1)="0",ISNUMBER(--$D176)),"Có","Không"))</f>
        <v/>
      </c>
      <c r="T176" s="22">
        <f>IF($D176="","",IF(AND($C176&lt;&gt;"",$Q176="Có",$R176="",$S176="Có",AND($L176&lt;&gt;"",OR($L176&lt;&gt;"Chưa xác định",DANH_MUC!$L$9="Có"))),"Có","Không"))</f>
        <v/>
      </c>
      <c r="U176" s="22">
        <f>IF(OR($D176="",$T176="Có"),"",IF($C176="","Thiếu họ tên; ","")&amp;IF($S176&lt;&gt;"Có","SĐT sai định dạng; ","")&amp;IF($R176="Trùng","Trùng SĐT; ","")&amp;IF($Q176&lt;&gt;"Có","Thiếu đồng ý bắt buộc; ","")&amp;IF($L176="","Thiếu/sai Mã REF; ",IF(AND($L176="Chưa xác định",DANH_MUC!$L$9&lt;&gt;"Có"),"Nguồn chưa xác định; ","")))</f>
        <v/>
      </c>
      <c r="V176" s="22">
        <f>IF(OR($D176="",$R176="Trùng"),"",IF(COUNTIF(ORDERS!$C$2:$C$4995,$D176)&gt;0,"Có","Không"))</f>
        <v/>
      </c>
      <c r="W176" s="22">
        <f>IF(OR($D176="",$R176="Trùng"),"",COUNTIFS(ORDERS!$C$2:$C$4995,$D176,ORDERS!$L$2:$L$4995,"Đã chuyển khoản"))</f>
        <v/>
      </c>
      <c r="X176" s="23">
        <f>IF(OR($D176="",$R176="Trùng"),"",SUMIFS(ORDERS!$J$2:$J$4995,ORDERS!$C$2:$C$4995,$D176,ORDERS!$L$2:$L$4995,"Đã chuyển khoản"))</f>
        <v/>
      </c>
      <c r="Y176" s="24" t="n"/>
    </row>
    <row r="177" ht="14.25" customHeight="1" s="40">
      <c r="A177" s="24" t="inlineStr">
        <is>
          <t>6e32b1b4-86be-4df7-b6d3-6335e318159e</t>
        </is>
      </c>
      <c r="B177" s="18" t="n">
        <v>46291.38125</v>
      </c>
      <c r="C177" s="24" t="inlineStr">
        <is>
          <t>Đỗ Hồng Trang</t>
        </is>
      </c>
      <c r="D177" s="28" t="inlineStr">
        <is>
          <t>0335963241</t>
        </is>
      </c>
      <c r="E177" s="29" t="n">
        <v>45929</v>
      </c>
      <c r="F177" s="24" t="inlineStr">
        <is>
          <t>Đã sinh</t>
        </is>
      </c>
      <c r="G177" s="24" t="inlineStr">
        <is>
          <t>Hải Phòng</t>
        </is>
      </c>
      <c r="H177" s="21">
        <f>IF(ISNUMBER($B177),INT($B177)-WEEKDAY($B177,2)+1,"")</f>
        <v/>
      </c>
      <c r="I177" s="24" t="inlineStr">
        <is>
          <t>Z-GREEN</t>
        </is>
      </c>
      <c r="J177" s="22">
        <f t="array" ref="J177">IF($D177="","",IF($I177="","(trống REF)",IFERROR(INDEX(MASTER_SOURCE!$B$2:$B$495,MATCH($I177,MASTER_SOURCE!$A$2:$A$495,0)),"(REF không có trong MASTER_SOURCE)")))</f>
        <v/>
      </c>
      <c r="K177" s="22">
        <f t="array" ref="K177">IF($D177="","",IFERROR(INDEX(MASTER_SOURCE!$C$2:$C$495,MATCH($I177,MASTER_SOURCE!$A$2:$A$495,0)),""))</f>
        <v/>
      </c>
      <c r="L177" s="22">
        <f t="array" ref="L177">IF($D177="","",IFERROR(INDEX(MASTER_SOURCE!$D$2:$D$495,MATCH($I177,MASTER_SOURCE!$A$2:$A$495,0)),""))</f>
        <v/>
      </c>
      <c r="M177" s="24" t="inlineStr">
        <is>
          <t>Có</t>
        </is>
      </c>
      <c r="N177" s="24" t="inlineStr">
        <is>
          <t>Có</t>
        </is>
      </c>
      <c r="O177" s="24" t="inlineStr">
        <is>
          <t>Có</t>
        </is>
      </c>
      <c r="P177" s="24" t="inlineStr">
        <is>
          <t>Có</t>
        </is>
      </c>
      <c r="Q177" s="22">
        <f>IF($D177="","",IF(AND(OR(DANH_MUC!$L$5&lt;&gt;"Có",M177="Có"),OR(DANH_MUC!$L$6&lt;&gt;"Có",N177="Có"),OR(DANH_MUC!$L$7&lt;&gt;"Có",O177="Có"),OR(DANH_MUC!$L$8&lt;&gt;"Có",P177="Có")),"Có","Không"))</f>
        <v/>
      </c>
      <c r="R177" s="22">
        <f>IF($D177="","",IF(COUNTIF($D$2:$D177,$D177)&gt;1,"Trùng",""))</f>
        <v/>
      </c>
      <c r="S177" s="22">
        <f>IF($D177="","",IF(AND(LEN($D177)=10,LEFT($D177,1)="0",ISNUMBER(--$D177)),"Có","Không"))</f>
        <v/>
      </c>
      <c r="T177" s="22">
        <f>IF($D177="","",IF(AND($C177&lt;&gt;"",$Q177="Có",$R177="",$S177="Có",AND($L177&lt;&gt;"",OR($L177&lt;&gt;"Chưa xác định",DANH_MUC!$L$9="Có"))),"Có","Không"))</f>
        <v/>
      </c>
      <c r="U177" s="22">
        <f>IF(OR($D177="",$T177="Có"),"",IF($C177="","Thiếu họ tên; ","")&amp;IF($S177&lt;&gt;"Có","SĐT sai định dạng; ","")&amp;IF($R177="Trùng","Trùng SĐT; ","")&amp;IF($Q177&lt;&gt;"Có","Thiếu đồng ý bắt buộc; ","")&amp;IF($L177="","Thiếu/sai Mã REF; ",IF(AND($L177="Chưa xác định",DANH_MUC!$L$9&lt;&gt;"Có"),"Nguồn chưa xác định; ","")))</f>
        <v/>
      </c>
      <c r="V177" s="22">
        <f>IF(OR($D177="",$R177="Trùng"),"",IF(COUNTIF(ORDERS!$C$2:$C$4995,$D177)&gt;0,"Có","Không"))</f>
        <v/>
      </c>
      <c r="W177" s="22">
        <f>IF(OR($D177="",$R177="Trùng"),"",COUNTIFS(ORDERS!$C$2:$C$4995,$D177,ORDERS!$L$2:$L$4995,"Đã chuyển khoản"))</f>
        <v/>
      </c>
      <c r="X177" s="23">
        <f>IF(OR($D177="",$R177="Trùng"),"",SUMIFS(ORDERS!$J$2:$J$4995,ORDERS!$C$2:$C$4995,$D177,ORDERS!$L$2:$L$4995,"Đã chuyển khoản"))</f>
        <v/>
      </c>
      <c r="Y177" s="24" t="n"/>
    </row>
    <row r="178" ht="14.25" customHeight="1" s="40">
      <c r="A178" s="24" t="inlineStr">
        <is>
          <t>393a127f-b87c-4b8d-a93c-f84666adba44</t>
        </is>
      </c>
      <c r="B178" s="18" t="n">
        <v>46291.38194444445</v>
      </c>
      <c r="C178" s="24" t="inlineStr">
        <is>
          <t>Nguyễn Ánh</t>
        </is>
      </c>
      <c r="D178" s="28" t="inlineStr">
        <is>
          <t>0332688963</t>
        </is>
      </c>
      <c r="E178" s="29" t="n">
        <v>46333</v>
      </c>
      <c r="F178" s="24" t="inlineStr">
        <is>
          <t>Đang mang thai</t>
        </is>
      </c>
      <c r="G178" s="24" t="inlineStr">
        <is>
          <t>Hải Phòng</t>
        </is>
      </c>
      <c r="H178" s="21">
        <f>IF(ISNUMBER($B178),INT($B178)-WEEKDAY($B178,2)+1,"")</f>
        <v/>
      </c>
      <c r="I178" s="24" t="inlineStr">
        <is>
          <t>Z-GREEN</t>
        </is>
      </c>
      <c r="J178" s="22">
        <f t="array" ref="J178">IF($D178="","",IF($I178="","(trống REF)",IFERROR(INDEX(MASTER_SOURCE!$B$2:$B$495,MATCH($I178,MASTER_SOURCE!$A$2:$A$495,0)),"(REF không có trong MASTER_SOURCE)")))</f>
        <v/>
      </c>
      <c r="K178" s="22">
        <f t="array" ref="K178">IF($D178="","",IFERROR(INDEX(MASTER_SOURCE!$C$2:$C$495,MATCH($I178,MASTER_SOURCE!$A$2:$A$495,0)),""))</f>
        <v/>
      </c>
      <c r="L178" s="22">
        <f t="array" ref="L178">IF($D178="","",IFERROR(INDEX(MASTER_SOURCE!$D$2:$D$495,MATCH($I178,MASTER_SOURCE!$A$2:$A$495,0)),""))</f>
        <v/>
      </c>
      <c r="M178" s="24" t="inlineStr">
        <is>
          <t>Có</t>
        </is>
      </c>
      <c r="N178" s="24" t="inlineStr">
        <is>
          <t>Có</t>
        </is>
      </c>
      <c r="O178" s="24" t="inlineStr">
        <is>
          <t>Có</t>
        </is>
      </c>
      <c r="P178" s="24" t="inlineStr">
        <is>
          <t>Có</t>
        </is>
      </c>
      <c r="Q178" s="22">
        <f>IF($D178="","",IF(AND(OR(DANH_MUC!$L$5&lt;&gt;"Có",M178="Có"),OR(DANH_MUC!$L$6&lt;&gt;"Có",N178="Có"),OR(DANH_MUC!$L$7&lt;&gt;"Có",O178="Có"),OR(DANH_MUC!$L$8&lt;&gt;"Có",P178="Có")),"Có","Không"))</f>
        <v/>
      </c>
      <c r="R178" s="22">
        <f>IF($D178="","",IF(COUNTIF($D$2:$D178,$D178)&gt;1,"Trùng",""))</f>
        <v/>
      </c>
      <c r="S178" s="22">
        <f>IF($D178="","",IF(AND(LEN($D178)=10,LEFT($D178,1)="0",ISNUMBER(--$D178)),"Có","Không"))</f>
        <v/>
      </c>
      <c r="T178" s="22">
        <f>IF($D178="","",IF(AND($C178&lt;&gt;"",$Q178="Có",$R178="",$S178="Có",AND($L178&lt;&gt;"",OR($L178&lt;&gt;"Chưa xác định",DANH_MUC!$L$9="Có"))),"Có","Không"))</f>
        <v/>
      </c>
      <c r="U178" s="22">
        <f>IF(OR($D178="",$T178="Có"),"",IF($C178="","Thiếu họ tên; ","")&amp;IF($S178&lt;&gt;"Có","SĐT sai định dạng; ","")&amp;IF($R178="Trùng","Trùng SĐT; ","")&amp;IF($Q178&lt;&gt;"Có","Thiếu đồng ý bắt buộc; ","")&amp;IF($L178="","Thiếu/sai Mã REF; ",IF(AND($L178="Chưa xác định",DANH_MUC!$L$9&lt;&gt;"Có"),"Nguồn chưa xác định; ","")))</f>
        <v/>
      </c>
      <c r="V178" s="22">
        <f>IF(OR($D178="",$R178="Trùng"),"",IF(COUNTIF(ORDERS!$C$2:$C$4995,$D178)&gt;0,"Có","Không"))</f>
        <v/>
      </c>
      <c r="W178" s="22">
        <f>IF(OR($D178="",$R178="Trùng"),"",COUNTIFS(ORDERS!$C$2:$C$4995,$D178,ORDERS!$L$2:$L$4995,"Đã chuyển khoản"))</f>
        <v/>
      </c>
      <c r="X178" s="23">
        <f>IF(OR($D178="",$R178="Trùng"),"",SUMIFS(ORDERS!$J$2:$J$4995,ORDERS!$C$2:$C$4995,$D178,ORDERS!$L$2:$L$4995,"Đã chuyển khoản"))</f>
        <v/>
      </c>
      <c r="Y178" s="24" t="n"/>
    </row>
    <row r="179" ht="14.25" customHeight="1" s="40">
      <c r="A179" s="24" t="inlineStr">
        <is>
          <t>17fb23c7-a19d-43a3-a7cc-4521fcd614af</t>
        </is>
      </c>
      <c r="B179" s="18" t="n">
        <v>46291.38263888889</v>
      </c>
      <c r="C179" s="24" t="inlineStr">
        <is>
          <t>Vũ Ngọc Mai</t>
        </is>
      </c>
      <c r="D179" s="28" t="inlineStr">
        <is>
          <t>0948313154</t>
        </is>
      </c>
      <c r="E179" s="29" t="n">
        <v>46335</v>
      </c>
      <c r="F179" s="24" t="inlineStr">
        <is>
          <t>Đang mang thai</t>
        </is>
      </c>
      <c r="G179" s="24" t="inlineStr">
        <is>
          <t>Hải Phòng</t>
        </is>
      </c>
      <c r="H179" s="21">
        <f>IF(ISNUMBER($B179),INT($B179)-WEEKDAY($B179,2)+1,"")</f>
        <v/>
      </c>
      <c r="I179" s="24" t="inlineStr">
        <is>
          <t>Z-GREEN</t>
        </is>
      </c>
      <c r="J179" s="22">
        <f t="array" ref="J179">IF($D179="","",IF($I179="","(trống REF)",IFERROR(INDEX(MASTER_SOURCE!$B$2:$B$495,MATCH($I179,MASTER_SOURCE!$A$2:$A$495,0)),"(REF không có trong MASTER_SOURCE)")))</f>
        <v/>
      </c>
      <c r="K179" s="22">
        <f t="array" ref="K179">IF($D179="","",IFERROR(INDEX(MASTER_SOURCE!$C$2:$C$495,MATCH($I179,MASTER_SOURCE!$A$2:$A$495,0)),""))</f>
        <v/>
      </c>
      <c r="L179" s="22">
        <f t="array" ref="L179">IF($D179="","",IFERROR(INDEX(MASTER_SOURCE!$D$2:$D$495,MATCH($I179,MASTER_SOURCE!$A$2:$A$495,0)),""))</f>
        <v/>
      </c>
      <c r="M179" s="24" t="inlineStr">
        <is>
          <t>Có</t>
        </is>
      </c>
      <c r="N179" s="24" t="inlineStr">
        <is>
          <t>Có</t>
        </is>
      </c>
      <c r="O179" s="24" t="inlineStr">
        <is>
          <t>Có</t>
        </is>
      </c>
      <c r="P179" s="24" t="inlineStr">
        <is>
          <t>Có</t>
        </is>
      </c>
      <c r="Q179" s="22">
        <f>IF($D179="","",IF(AND(OR(DANH_MUC!$L$5&lt;&gt;"Có",M179="Có"),OR(DANH_MUC!$L$6&lt;&gt;"Có",N179="Có"),OR(DANH_MUC!$L$7&lt;&gt;"Có",O179="Có"),OR(DANH_MUC!$L$8&lt;&gt;"Có",P179="Có")),"Có","Không"))</f>
        <v/>
      </c>
      <c r="R179" s="22">
        <f>IF($D179="","",IF(COUNTIF($D$2:$D179,$D179)&gt;1,"Trùng",""))</f>
        <v/>
      </c>
      <c r="S179" s="22">
        <f>IF($D179="","",IF(AND(LEN($D179)=10,LEFT($D179,1)="0",ISNUMBER(--$D179)),"Có","Không"))</f>
        <v/>
      </c>
      <c r="T179" s="22">
        <f>IF($D179="","",IF(AND($C179&lt;&gt;"",$Q179="Có",$R179="",$S179="Có",AND($L179&lt;&gt;"",OR($L179&lt;&gt;"Chưa xác định",DANH_MUC!$L$9="Có"))),"Có","Không"))</f>
        <v/>
      </c>
      <c r="U179" s="22">
        <f>IF(OR($D179="",$T179="Có"),"",IF($C179="","Thiếu họ tên; ","")&amp;IF($S179&lt;&gt;"Có","SĐT sai định dạng; ","")&amp;IF($R179="Trùng","Trùng SĐT; ","")&amp;IF($Q179&lt;&gt;"Có","Thiếu đồng ý bắt buộc; ","")&amp;IF($L179="","Thiếu/sai Mã REF; ",IF(AND($L179="Chưa xác định",DANH_MUC!$L$9&lt;&gt;"Có"),"Nguồn chưa xác định; ","")))</f>
        <v/>
      </c>
      <c r="V179" s="22">
        <f>IF(OR($D179="",$R179="Trùng"),"",IF(COUNTIF(ORDERS!$C$2:$C$4995,$D179)&gt;0,"Có","Không"))</f>
        <v/>
      </c>
      <c r="W179" s="22">
        <f>IF(OR($D179="",$R179="Trùng"),"",COUNTIFS(ORDERS!$C$2:$C$4995,$D179,ORDERS!$L$2:$L$4995,"Đã chuyển khoản"))</f>
        <v/>
      </c>
      <c r="X179" s="23">
        <f>IF(OR($D179="",$R179="Trùng"),"",SUMIFS(ORDERS!$J$2:$J$4995,ORDERS!$C$2:$C$4995,$D179,ORDERS!$L$2:$L$4995,"Đã chuyển khoản"))</f>
        <v/>
      </c>
      <c r="Y179" s="24" t="n"/>
    </row>
    <row r="180" ht="14.25" customHeight="1" s="40">
      <c r="A180" s="24" t="inlineStr">
        <is>
          <t>ab71a81c-e65f-4a5e-9e2f-d2f24aa4a942</t>
        </is>
      </c>
      <c r="B180" s="18" t="n">
        <v>46291.38333333333</v>
      </c>
      <c r="C180" s="24" t="inlineStr">
        <is>
          <t>Lê Hoàng Diệu Thúy</t>
        </is>
      </c>
      <c r="D180" s="28" t="inlineStr">
        <is>
          <t>0908468359</t>
        </is>
      </c>
      <c r="E180" s="29" t="n">
        <v>46349</v>
      </c>
      <c r="F180" s="24" t="inlineStr">
        <is>
          <t>Đang mang thai</t>
        </is>
      </c>
      <c r="G180" s="24" t="inlineStr">
        <is>
          <t>Đồng Nai</t>
        </is>
      </c>
      <c r="H180" s="21">
        <f>IF(ISNUMBER($B180),INT($B180)-WEEKDAY($B180,2)+1,"")</f>
        <v/>
      </c>
      <c r="I180" s="24" t="inlineStr">
        <is>
          <t>Z-PSAC</t>
        </is>
      </c>
      <c r="J180" s="22">
        <f t="array" ref="J180">IF($D180="","",IF($I180="","(trống REF)",IFERROR(INDEX(MASTER_SOURCE!$B$2:$B$495,MATCH($I180,MASTER_SOURCE!$A$2:$A$495,0)),"(REF không có trong MASTER_SOURCE)")))</f>
        <v/>
      </c>
      <c r="K180" s="22">
        <f t="array" ref="K180">IF($D180="","",IFERROR(INDEX(MASTER_SOURCE!$C$2:$C$495,MATCH($I180,MASTER_SOURCE!$A$2:$A$495,0)),""))</f>
        <v/>
      </c>
      <c r="L180" s="22">
        <f t="array" ref="L180">IF($D180="","",IFERROR(INDEX(MASTER_SOURCE!$D$2:$D$495,MATCH($I180,MASTER_SOURCE!$A$2:$A$495,0)),""))</f>
        <v/>
      </c>
      <c r="M180" s="24" t="inlineStr">
        <is>
          <t>Có</t>
        </is>
      </c>
      <c r="N180" s="24" t="inlineStr">
        <is>
          <t>Có</t>
        </is>
      </c>
      <c r="O180" s="24" t="inlineStr">
        <is>
          <t>Có</t>
        </is>
      </c>
      <c r="P180" s="24" t="inlineStr">
        <is>
          <t>Có</t>
        </is>
      </c>
      <c r="Q180" s="22">
        <f>IF($D180="","",IF(AND(OR(DANH_MUC!$L$5&lt;&gt;"Có",M180="Có"),OR(DANH_MUC!$L$6&lt;&gt;"Có",N180="Có"),OR(DANH_MUC!$L$7&lt;&gt;"Có",O180="Có"),OR(DANH_MUC!$L$8&lt;&gt;"Có",P180="Có")),"Có","Không"))</f>
        <v/>
      </c>
      <c r="R180" s="22">
        <f>IF($D180="","",IF(COUNTIF($D$2:$D180,$D180)&gt;1,"Trùng",""))</f>
        <v/>
      </c>
      <c r="S180" s="22">
        <f>IF($D180="","",IF(AND(LEN($D180)=10,LEFT($D180,1)="0",ISNUMBER(--$D180)),"Có","Không"))</f>
        <v/>
      </c>
      <c r="T180" s="22">
        <f>IF($D180="","",IF(AND($C180&lt;&gt;"",$Q180="Có",$R180="",$S180="Có",AND($L180&lt;&gt;"",OR($L180&lt;&gt;"Chưa xác định",DANH_MUC!$L$9="Có"))),"Có","Không"))</f>
        <v/>
      </c>
      <c r="U180" s="22">
        <f>IF(OR($D180="",$T180="Có"),"",IF($C180="","Thiếu họ tên; ","")&amp;IF($S180&lt;&gt;"Có","SĐT sai định dạng; ","")&amp;IF($R180="Trùng","Trùng SĐT; ","")&amp;IF($Q180&lt;&gt;"Có","Thiếu đồng ý bắt buộc; ","")&amp;IF($L180="","Thiếu/sai Mã REF; ",IF(AND($L180="Chưa xác định",DANH_MUC!$L$9&lt;&gt;"Có"),"Nguồn chưa xác định; ","")))</f>
        <v/>
      </c>
      <c r="V180" s="22">
        <f>IF(OR($D180="",$R180="Trùng"),"",IF(COUNTIF(ORDERS!$C$2:$C$4995,$D180)&gt;0,"Có","Không"))</f>
        <v/>
      </c>
      <c r="W180" s="22">
        <f>IF(OR($D180="",$R180="Trùng"),"",COUNTIFS(ORDERS!$C$2:$C$4995,$D180,ORDERS!$L$2:$L$4995,"Đã chuyển khoản"))</f>
        <v/>
      </c>
      <c r="X180" s="23">
        <f>IF(OR($D180="",$R180="Trùng"),"",SUMIFS(ORDERS!$J$2:$J$4995,ORDERS!$C$2:$C$4995,$D180,ORDERS!$L$2:$L$4995,"Đã chuyển khoản"))</f>
        <v/>
      </c>
      <c r="Y180" s="24" t="n"/>
    </row>
    <row r="181" ht="14.25" customHeight="1" s="40">
      <c r="A181" s="24" t="inlineStr">
        <is>
          <t>a9ef94be-5814-4351-8195-3086d1429d18</t>
        </is>
      </c>
      <c r="B181" s="18" t="n">
        <v>46291.38333333333</v>
      </c>
      <c r="C181" s="24" t="inlineStr">
        <is>
          <t>Phạm Thị Ngọc Thanh</t>
        </is>
      </c>
      <c r="D181" s="28" t="inlineStr">
        <is>
          <t>0336609645</t>
        </is>
      </c>
      <c r="E181" s="29" t="n">
        <v>46360</v>
      </c>
      <c r="F181" s="24" t="inlineStr">
        <is>
          <t>Đang mang thai</t>
        </is>
      </c>
      <c r="G181" s="24" t="inlineStr">
        <is>
          <t>Hồ Chí Minh</t>
        </is>
      </c>
      <c r="H181" s="21">
        <f>IF(ISNUMBER($B181),INT($B181)-WEEKDAY($B181,2)+1,"")</f>
        <v/>
      </c>
      <c r="I181" s="24" t="inlineStr">
        <is>
          <t>C-SHING</t>
        </is>
      </c>
      <c r="J181" s="22">
        <f t="array" ref="J181">IF($D181="","",IF($I181="","(trống REF)",IFERROR(INDEX(MASTER_SOURCE!$B$2:$B$495,MATCH($I181,MASTER_SOURCE!$A$2:$A$495,0)),"(REF không có trong MASTER_SOURCE)")))</f>
        <v/>
      </c>
      <c r="K181" s="22">
        <f t="array" ref="K181">IF($D181="","",IFERROR(INDEX(MASTER_SOURCE!$C$2:$C$495,MATCH($I181,MASTER_SOURCE!$A$2:$A$495,0)),""))</f>
        <v/>
      </c>
      <c r="L181" s="22">
        <f t="array" ref="L181">IF($D181="","",IFERROR(INDEX(MASTER_SOURCE!$D$2:$D$495,MATCH($I181,MASTER_SOURCE!$A$2:$A$495,0)),""))</f>
        <v/>
      </c>
      <c r="M181" s="24" t="inlineStr">
        <is>
          <t>Có</t>
        </is>
      </c>
      <c r="N181" s="24" t="inlineStr">
        <is>
          <t>Có</t>
        </is>
      </c>
      <c r="O181" s="24" t="inlineStr">
        <is>
          <t>Có</t>
        </is>
      </c>
      <c r="P181" s="24" t="inlineStr">
        <is>
          <t>Có</t>
        </is>
      </c>
      <c r="Q181" s="22">
        <f>IF($D181="","",IF(AND(OR(DANH_MUC!$L$5&lt;&gt;"Có",M181="Có"),OR(DANH_MUC!$L$6&lt;&gt;"Có",N181="Có"),OR(DANH_MUC!$L$7&lt;&gt;"Có",O181="Có"),OR(DANH_MUC!$L$8&lt;&gt;"Có",P181="Có")),"Có","Không"))</f>
        <v/>
      </c>
      <c r="R181" s="22">
        <f>IF($D181="","",IF(COUNTIF($D$2:$D181,$D181)&gt;1,"Trùng",""))</f>
        <v/>
      </c>
      <c r="S181" s="22">
        <f>IF($D181="","",IF(AND(LEN($D181)=10,LEFT($D181,1)="0",ISNUMBER(--$D181)),"Có","Không"))</f>
        <v/>
      </c>
      <c r="T181" s="22">
        <f>IF($D181="","",IF(AND($C181&lt;&gt;"",$Q181="Có",$R181="",$S181="Có",AND($L181&lt;&gt;"",OR($L181&lt;&gt;"Chưa xác định",DANH_MUC!$L$9="Có"))),"Có","Không"))</f>
        <v/>
      </c>
      <c r="U181" s="22">
        <f>IF(OR($D181="",$T181="Có"),"",IF($C181="","Thiếu họ tên; ","")&amp;IF($S181&lt;&gt;"Có","SĐT sai định dạng; ","")&amp;IF($R181="Trùng","Trùng SĐT; ","")&amp;IF($Q181&lt;&gt;"Có","Thiếu đồng ý bắt buộc; ","")&amp;IF($L181="","Thiếu/sai Mã REF; ",IF(AND($L181="Chưa xác định",DANH_MUC!$L$9&lt;&gt;"Có"),"Nguồn chưa xác định; ","")))</f>
        <v/>
      </c>
      <c r="V181" s="22">
        <f>IF(OR($D181="",$R181="Trùng"),"",IF(COUNTIF(ORDERS!$C$2:$C$4995,$D181)&gt;0,"Có","Không"))</f>
        <v/>
      </c>
      <c r="W181" s="22">
        <f>IF(OR($D181="",$R181="Trùng"),"",COUNTIFS(ORDERS!$C$2:$C$4995,$D181,ORDERS!$L$2:$L$4995,"Đã chuyển khoản"))</f>
        <v/>
      </c>
      <c r="X181" s="23">
        <f>IF(OR($D181="",$R181="Trùng"),"",SUMIFS(ORDERS!$J$2:$J$4995,ORDERS!$C$2:$C$4995,$D181,ORDERS!$L$2:$L$4995,"Đã chuyển khoản"))</f>
        <v/>
      </c>
      <c r="Y181" s="24" t="n"/>
    </row>
    <row r="182" ht="14.25" customHeight="1" s="40">
      <c r="A182" s="24" t="inlineStr">
        <is>
          <t>9493f663-ae4a-47a0-9053-c92681c39e40</t>
        </is>
      </c>
      <c r="B182" s="18" t="n">
        <v>46291.38472222222</v>
      </c>
      <c r="C182" s="24" t="inlineStr">
        <is>
          <t>Vũ Thị Nguyệt</t>
        </is>
      </c>
      <c r="D182" s="28" t="inlineStr">
        <is>
          <t>0924291203</t>
        </is>
      </c>
      <c r="E182" s="29" t="n">
        <v>46348</v>
      </c>
      <c r="F182" s="24" t="inlineStr">
        <is>
          <t>Đang mang thai</t>
        </is>
      </c>
      <c r="G182" s="24" t="inlineStr">
        <is>
          <t>Hải Phòng</t>
        </is>
      </c>
      <c r="H182" s="21">
        <f>IF(ISNUMBER($B182),INT($B182)-WEEKDAY($B182,2)+1,"")</f>
        <v/>
      </c>
      <c r="I182" s="24" t="inlineStr">
        <is>
          <t>Z-GREEN</t>
        </is>
      </c>
      <c r="J182" s="22">
        <f t="array" ref="J182">IF($D182="","",IF($I182="","(trống REF)",IFERROR(INDEX(MASTER_SOURCE!$B$2:$B$495,MATCH($I182,MASTER_SOURCE!$A$2:$A$495,0)),"(REF không có trong MASTER_SOURCE)")))</f>
        <v/>
      </c>
      <c r="K182" s="22">
        <f t="array" ref="K182">IF($D182="","",IFERROR(INDEX(MASTER_SOURCE!$C$2:$C$495,MATCH($I182,MASTER_SOURCE!$A$2:$A$495,0)),""))</f>
        <v/>
      </c>
      <c r="L182" s="22">
        <f t="array" ref="L182">IF($D182="","",IFERROR(INDEX(MASTER_SOURCE!$D$2:$D$495,MATCH($I182,MASTER_SOURCE!$A$2:$A$495,0)),""))</f>
        <v/>
      </c>
      <c r="M182" s="24" t="inlineStr">
        <is>
          <t>Có</t>
        </is>
      </c>
      <c r="N182" s="24" t="inlineStr">
        <is>
          <t>Có</t>
        </is>
      </c>
      <c r="O182" s="24" t="inlineStr">
        <is>
          <t>Có</t>
        </is>
      </c>
      <c r="P182" s="24" t="inlineStr">
        <is>
          <t>Có</t>
        </is>
      </c>
      <c r="Q182" s="22">
        <f>IF($D182="","",IF(AND(OR(DANH_MUC!$L$5&lt;&gt;"Có",M182="Có"),OR(DANH_MUC!$L$6&lt;&gt;"Có",N182="Có"),OR(DANH_MUC!$L$7&lt;&gt;"Có",O182="Có"),OR(DANH_MUC!$L$8&lt;&gt;"Có",P182="Có")),"Có","Không"))</f>
        <v/>
      </c>
      <c r="R182" s="22">
        <f>IF($D182="","",IF(COUNTIF($D$2:$D182,$D182)&gt;1,"Trùng",""))</f>
        <v/>
      </c>
      <c r="S182" s="22">
        <f>IF($D182="","",IF(AND(LEN($D182)=10,LEFT($D182,1)="0",ISNUMBER(--$D182)),"Có","Không"))</f>
        <v/>
      </c>
      <c r="T182" s="22">
        <f>IF($D182="","",IF(AND($C182&lt;&gt;"",$Q182="Có",$R182="",$S182="Có",AND($L182&lt;&gt;"",OR($L182&lt;&gt;"Chưa xác định",DANH_MUC!$L$9="Có"))),"Có","Không"))</f>
        <v/>
      </c>
      <c r="U182" s="22">
        <f>IF(OR($D182="",$T182="Có"),"",IF($C182="","Thiếu họ tên; ","")&amp;IF($S182&lt;&gt;"Có","SĐT sai định dạng; ","")&amp;IF($R182="Trùng","Trùng SĐT; ","")&amp;IF($Q182&lt;&gt;"Có","Thiếu đồng ý bắt buộc; ","")&amp;IF($L182="","Thiếu/sai Mã REF; ",IF(AND($L182="Chưa xác định",DANH_MUC!$L$9&lt;&gt;"Có"),"Nguồn chưa xác định; ","")))</f>
        <v/>
      </c>
      <c r="V182" s="22">
        <f>IF(OR($D182="",$R182="Trùng"),"",IF(COUNTIF(ORDERS!$C$2:$C$4995,$D182)&gt;0,"Có","Không"))</f>
        <v/>
      </c>
      <c r="W182" s="22">
        <f>IF(OR($D182="",$R182="Trùng"),"",COUNTIFS(ORDERS!$C$2:$C$4995,$D182,ORDERS!$L$2:$L$4995,"Đã chuyển khoản"))</f>
        <v/>
      </c>
      <c r="X182" s="23">
        <f>IF(OR($D182="",$R182="Trùng"),"",SUMIFS(ORDERS!$J$2:$J$4995,ORDERS!$C$2:$C$4995,$D182,ORDERS!$L$2:$L$4995,"Đã chuyển khoản"))</f>
        <v/>
      </c>
      <c r="Y182" s="24" t="n"/>
    </row>
    <row r="183" ht="14.25" customHeight="1" s="40">
      <c r="A183" s="24" t="inlineStr">
        <is>
          <t>9113c062-723f-40fd-80ef-ed0765593d0b</t>
        </is>
      </c>
      <c r="B183" s="18" t="n">
        <v>46291.38541666666</v>
      </c>
      <c r="C183" s="24" t="inlineStr">
        <is>
          <t>Hoàng Nhật Lệ</t>
        </is>
      </c>
      <c r="D183" s="28" t="inlineStr">
        <is>
          <t>0325240061</t>
        </is>
      </c>
      <c r="E183" s="29" t="n">
        <v>46337</v>
      </c>
      <c r="F183" s="24" t="inlineStr">
        <is>
          <t>Đang mang thai</t>
        </is>
      </c>
      <c r="G183" s="24" t="inlineStr">
        <is>
          <t>Hải Phòng</t>
        </is>
      </c>
      <c r="H183" s="21">
        <f>IF(ISNUMBER($B183),INT($B183)-WEEKDAY($B183,2)+1,"")</f>
        <v/>
      </c>
      <c r="I183" s="24" t="inlineStr">
        <is>
          <t>Z-GREEN</t>
        </is>
      </c>
      <c r="J183" s="22">
        <f t="array" ref="J183">IF($D183="","",IF($I183="","(trống REF)",IFERROR(INDEX(MASTER_SOURCE!$B$2:$B$495,MATCH($I183,MASTER_SOURCE!$A$2:$A$495,0)),"(REF không có trong MASTER_SOURCE)")))</f>
        <v/>
      </c>
      <c r="K183" s="22">
        <f t="array" ref="K183">IF($D183="","",IFERROR(INDEX(MASTER_SOURCE!$C$2:$C$495,MATCH($I183,MASTER_SOURCE!$A$2:$A$495,0)),""))</f>
        <v/>
      </c>
      <c r="L183" s="22">
        <f t="array" ref="L183">IF($D183="","",IFERROR(INDEX(MASTER_SOURCE!$D$2:$D$495,MATCH($I183,MASTER_SOURCE!$A$2:$A$495,0)),""))</f>
        <v/>
      </c>
      <c r="M183" s="24" t="inlineStr">
        <is>
          <t>Có</t>
        </is>
      </c>
      <c r="N183" s="24" t="inlineStr">
        <is>
          <t>Có</t>
        </is>
      </c>
      <c r="O183" s="24" t="inlineStr">
        <is>
          <t>Có</t>
        </is>
      </c>
      <c r="P183" s="24" t="inlineStr">
        <is>
          <t>Có</t>
        </is>
      </c>
      <c r="Q183" s="22">
        <f>IF($D183="","",IF(AND(OR(DANH_MUC!$L$5&lt;&gt;"Có",M183="Có"),OR(DANH_MUC!$L$6&lt;&gt;"Có",N183="Có"),OR(DANH_MUC!$L$7&lt;&gt;"Có",O183="Có"),OR(DANH_MUC!$L$8&lt;&gt;"Có",P183="Có")),"Có","Không"))</f>
        <v/>
      </c>
      <c r="R183" s="22">
        <f>IF($D183="","",IF(COUNTIF($D$2:$D183,$D183)&gt;1,"Trùng",""))</f>
        <v/>
      </c>
      <c r="S183" s="22">
        <f>IF($D183="","",IF(AND(LEN($D183)=10,LEFT($D183,1)="0",ISNUMBER(--$D183)),"Có","Không"))</f>
        <v/>
      </c>
      <c r="T183" s="22">
        <f>IF($D183="","",IF(AND($C183&lt;&gt;"",$Q183="Có",$R183="",$S183="Có",AND($L183&lt;&gt;"",OR($L183&lt;&gt;"Chưa xác định",DANH_MUC!$L$9="Có"))),"Có","Không"))</f>
        <v/>
      </c>
      <c r="U183" s="22">
        <f>IF(OR($D183="",$T183="Có"),"",IF($C183="","Thiếu họ tên; ","")&amp;IF($S183&lt;&gt;"Có","SĐT sai định dạng; ","")&amp;IF($R183="Trùng","Trùng SĐT; ","")&amp;IF($Q183&lt;&gt;"Có","Thiếu đồng ý bắt buộc; ","")&amp;IF($L183="","Thiếu/sai Mã REF; ",IF(AND($L183="Chưa xác định",DANH_MUC!$L$9&lt;&gt;"Có"),"Nguồn chưa xác định; ","")))</f>
        <v/>
      </c>
      <c r="V183" s="22">
        <f>IF(OR($D183="",$R183="Trùng"),"",IF(COUNTIF(ORDERS!$C$2:$C$4995,$D183)&gt;0,"Có","Không"))</f>
        <v/>
      </c>
      <c r="W183" s="22">
        <f>IF(OR($D183="",$R183="Trùng"),"",COUNTIFS(ORDERS!$C$2:$C$4995,$D183,ORDERS!$L$2:$L$4995,"Đã chuyển khoản"))</f>
        <v/>
      </c>
      <c r="X183" s="23">
        <f>IF(OR($D183="",$R183="Trùng"),"",SUMIFS(ORDERS!$J$2:$J$4995,ORDERS!$C$2:$C$4995,$D183,ORDERS!$L$2:$L$4995,"Đã chuyển khoản"))</f>
        <v/>
      </c>
      <c r="Y183" s="24" t="n"/>
    </row>
    <row r="184" ht="14.25" customHeight="1" s="40">
      <c r="A184" s="24" t="inlineStr">
        <is>
          <t>fbb821b7-cc55-4472-8e02-f32b3a9e58de</t>
        </is>
      </c>
      <c r="B184" s="18" t="n">
        <v>46291.3875</v>
      </c>
      <c r="C184" s="24" t="inlineStr">
        <is>
          <t>Chu Hiền</t>
        </is>
      </c>
      <c r="D184" s="28" t="inlineStr">
        <is>
          <t>0353710595</t>
        </is>
      </c>
      <c r="E184" s="29" t="n">
        <v>46351</v>
      </c>
      <c r="F184" s="24" t="inlineStr">
        <is>
          <t>Đang mang thai</t>
        </is>
      </c>
      <c r="G184" s="24" t="inlineStr">
        <is>
          <t>Đồng Nai</t>
        </is>
      </c>
      <c r="H184" s="21">
        <f>IF(ISNUMBER($B184),INT($B184)-WEEKDAY($B184,2)+1,"")</f>
        <v/>
      </c>
      <c r="I184" s="24" t="inlineStr">
        <is>
          <t>Z-SHING</t>
        </is>
      </c>
      <c r="J184" s="22">
        <f t="array" ref="J184">IF($D184="","",IF($I184="","(trống REF)",IFERROR(INDEX(MASTER_SOURCE!$B$2:$B$495,MATCH($I184,MASTER_SOURCE!$A$2:$A$495,0)),"(REF không có trong MASTER_SOURCE)")))</f>
        <v/>
      </c>
      <c r="K184" s="22">
        <f t="array" ref="K184">IF($D184="","",IFERROR(INDEX(MASTER_SOURCE!$C$2:$C$495,MATCH($I184,MASTER_SOURCE!$A$2:$A$495,0)),""))</f>
        <v/>
      </c>
      <c r="L184" s="22">
        <f t="array" ref="L184">IF($D184="","",IFERROR(INDEX(MASTER_SOURCE!$D$2:$D$495,MATCH($I184,MASTER_SOURCE!$A$2:$A$495,0)),""))</f>
        <v/>
      </c>
      <c r="M184" s="24" t="inlineStr">
        <is>
          <t>Có</t>
        </is>
      </c>
      <c r="N184" s="24" t="inlineStr">
        <is>
          <t>Có</t>
        </is>
      </c>
      <c r="O184" s="24" t="inlineStr">
        <is>
          <t>Có</t>
        </is>
      </c>
      <c r="P184" s="24" t="inlineStr">
        <is>
          <t>Có</t>
        </is>
      </c>
      <c r="Q184" s="22">
        <f>IF($D184="","",IF(AND(OR(DANH_MUC!$L$5&lt;&gt;"Có",M184="Có"),OR(DANH_MUC!$L$6&lt;&gt;"Có",N184="Có"),OR(DANH_MUC!$L$7&lt;&gt;"Có",O184="Có"),OR(DANH_MUC!$L$8&lt;&gt;"Có",P184="Có")),"Có","Không"))</f>
        <v/>
      </c>
      <c r="R184" s="22">
        <f>IF($D184="","",IF(COUNTIF($D$2:$D184,$D184)&gt;1,"Trùng",""))</f>
        <v/>
      </c>
      <c r="S184" s="22">
        <f>IF($D184="","",IF(AND(LEN($D184)=10,LEFT($D184,1)="0",ISNUMBER(--$D184)),"Có","Không"))</f>
        <v/>
      </c>
      <c r="T184" s="22">
        <f>IF($D184="","",IF(AND($C184&lt;&gt;"",$Q184="Có",$R184="",$S184="Có",AND($L184&lt;&gt;"",OR($L184&lt;&gt;"Chưa xác định",DANH_MUC!$L$9="Có"))),"Có","Không"))</f>
        <v/>
      </c>
      <c r="U184" s="22">
        <f>IF(OR($D184="",$T184="Có"),"",IF($C184="","Thiếu họ tên; ","")&amp;IF($S184&lt;&gt;"Có","SĐT sai định dạng; ","")&amp;IF($R184="Trùng","Trùng SĐT; ","")&amp;IF($Q184&lt;&gt;"Có","Thiếu đồng ý bắt buộc; ","")&amp;IF($L184="","Thiếu/sai Mã REF; ",IF(AND($L184="Chưa xác định",DANH_MUC!$L$9&lt;&gt;"Có"),"Nguồn chưa xác định; ","")))</f>
        <v/>
      </c>
      <c r="V184" s="22">
        <f>IF(OR($D184="",$R184="Trùng"),"",IF(COUNTIF(ORDERS!$C$2:$C$4995,$D184)&gt;0,"Có","Không"))</f>
        <v/>
      </c>
      <c r="W184" s="22">
        <f>IF(OR($D184="",$R184="Trùng"),"",COUNTIFS(ORDERS!$C$2:$C$4995,$D184,ORDERS!$L$2:$L$4995,"Đã chuyển khoản"))</f>
        <v/>
      </c>
      <c r="X184" s="23">
        <f>IF(OR($D184="",$R184="Trùng"),"",SUMIFS(ORDERS!$J$2:$J$4995,ORDERS!$C$2:$C$4995,$D184,ORDERS!$L$2:$L$4995,"Đã chuyển khoản"))</f>
        <v/>
      </c>
      <c r="Y184" s="24" t="n"/>
    </row>
    <row r="185" ht="14.25" customHeight="1" s="40">
      <c r="A185" s="24" t="inlineStr">
        <is>
          <t>90ae307a-5927-4c2d-a586-f4c8a3f6706d</t>
        </is>
      </c>
      <c r="B185" s="18" t="n">
        <v>46291.38819444444</v>
      </c>
      <c r="C185" s="24" t="inlineStr">
        <is>
          <t>Nguyễn Trịnh Thu Hoà</t>
        </is>
      </c>
      <c r="D185" s="28" t="inlineStr">
        <is>
          <t>0972177661</t>
        </is>
      </c>
      <c r="E185" s="29" t="n">
        <v>46376</v>
      </c>
      <c r="F185" s="24" t="inlineStr">
        <is>
          <t>Đang mang thai</t>
        </is>
      </c>
      <c r="G185" s="24" t="inlineStr">
        <is>
          <t>Đồng Nai</t>
        </is>
      </c>
      <c r="H185" s="21">
        <f>IF(ISNUMBER($B185),INT($B185)-WEEKDAY($B185,2)+1,"")</f>
        <v/>
      </c>
      <c r="I185" s="24" t="inlineStr">
        <is>
          <t>C-SHING</t>
        </is>
      </c>
      <c r="J185" s="22">
        <f t="array" ref="J185">IF($D185="","",IF($I185="","(trống REF)",IFERROR(INDEX(MASTER_SOURCE!$B$2:$B$495,MATCH($I185,MASTER_SOURCE!$A$2:$A$495,0)),"(REF không có trong MASTER_SOURCE)")))</f>
        <v/>
      </c>
      <c r="K185" s="22">
        <f t="array" ref="K185">IF($D185="","",IFERROR(INDEX(MASTER_SOURCE!$C$2:$C$495,MATCH($I185,MASTER_SOURCE!$A$2:$A$495,0)),""))</f>
        <v/>
      </c>
      <c r="L185" s="22">
        <f t="array" ref="L185">IF($D185="","",IFERROR(INDEX(MASTER_SOURCE!$D$2:$D$495,MATCH($I185,MASTER_SOURCE!$A$2:$A$495,0)),""))</f>
        <v/>
      </c>
      <c r="M185" s="24" t="inlineStr">
        <is>
          <t>Có</t>
        </is>
      </c>
      <c r="N185" s="24" t="inlineStr">
        <is>
          <t>Có</t>
        </is>
      </c>
      <c r="O185" s="24" t="inlineStr">
        <is>
          <t>Có</t>
        </is>
      </c>
      <c r="P185" s="24" t="inlineStr">
        <is>
          <t>Có</t>
        </is>
      </c>
      <c r="Q185" s="22">
        <f>IF($D185="","",IF(AND(OR(DANH_MUC!$L$5&lt;&gt;"Có",M185="Có"),OR(DANH_MUC!$L$6&lt;&gt;"Có",N185="Có"),OR(DANH_MUC!$L$7&lt;&gt;"Có",O185="Có"),OR(DANH_MUC!$L$8&lt;&gt;"Có",P185="Có")),"Có","Không"))</f>
        <v/>
      </c>
      <c r="R185" s="22">
        <f>IF($D185="","",IF(COUNTIF($D$2:$D185,$D185)&gt;1,"Trùng",""))</f>
        <v/>
      </c>
      <c r="S185" s="22">
        <f>IF($D185="","",IF(AND(LEN($D185)=10,LEFT($D185,1)="0",ISNUMBER(--$D185)),"Có","Không"))</f>
        <v/>
      </c>
      <c r="T185" s="22">
        <f>IF($D185="","",IF(AND($C185&lt;&gt;"",$Q185="Có",$R185="",$S185="Có",AND($L185&lt;&gt;"",OR($L185&lt;&gt;"Chưa xác định",DANH_MUC!$L$9="Có"))),"Có","Không"))</f>
        <v/>
      </c>
      <c r="U185" s="22">
        <f>IF(OR($D185="",$T185="Có"),"",IF($C185="","Thiếu họ tên; ","")&amp;IF($S185&lt;&gt;"Có","SĐT sai định dạng; ","")&amp;IF($R185="Trùng","Trùng SĐT; ","")&amp;IF($Q185&lt;&gt;"Có","Thiếu đồng ý bắt buộc; ","")&amp;IF($L185="","Thiếu/sai Mã REF; ",IF(AND($L185="Chưa xác định",DANH_MUC!$L$9&lt;&gt;"Có"),"Nguồn chưa xác định; ","")))</f>
        <v/>
      </c>
      <c r="V185" s="22">
        <f>IF(OR($D185="",$R185="Trùng"),"",IF(COUNTIF(ORDERS!$C$2:$C$4995,$D185)&gt;0,"Có","Không"))</f>
        <v/>
      </c>
      <c r="W185" s="22">
        <f>IF(OR($D185="",$R185="Trùng"),"",COUNTIFS(ORDERS!$C$2:$C$4995,$D185,ORDERS!$L$2:$L$4995,"Đã chuyển khoản"))</f>
        <v/>
      </c>
      <c r="X185" s="23">
        <f>IF(OR($D185="",$R185="Trùng"),"",SUMIFS(ORDERS!$J$2:$J$4995,ORDERS!$C$2:$C$4995,$D185,ORDERS!$L$2:$L$4995,"Đã chuyển khoản"))</f>
        <v/>
      </c>
      <c r="Y185" s="24" t="n"/>
    </row>
    <row r="186" ht="14.25" customHeight="1" s="40">
      <c r="A186" s="24" t="inlineStr">
        <is>
          <t>dbac7753-7722-4e58-a574-7d5a45ed20f1</t>
        </is>
      </c>
      <c r="B186" s="18" t="n">
        <v>46291.39027777778</v>
      </c>
      <c r="C186" s="24" t="inlineStr">
        <is>
          <t>Nhung</t>
        </is>
      </c>
      <c r="D186" s="28" t="inlineStr">
        <is>
          <t>0982559805</t>
        </is>
      </c>
      <c r="E186" s="29" t="n">
        <v>46311</v>
      </c>
      <c r="F186" s="24" t="inlineStr">
        <is>
          <t>Đang mang thai</t>
        </is>
      </c>
      <c r="G186" s="24" t="inlineStr">
        <is>
          <t>Hải Phòng</t>
        </is>
      </c>
      <c r="H186" s="21">
        <f>IF(ISNUMBER($B186),INT($B186)-WEEKDAY($B186,2)+1,"")</f>
        <v/>
      </c>
      <c r="I186" s="24" t="inlineStr">
        <is>
          <t>Z-GREEN</t>
        </is>
      </c>
      <c r="J186" s="22">
        <f t="array" ref="J186">IF($D186="","",IF($I186="","(trống REF)",IFERROR(INDEX(MASTER_SOURCE!$B$2:$B$495,MATCH($I186,MASTER_SOURCE!$A$2:$A$495,0)),"(REF không có trong MASTER_SOURCE)")))</f>
        <v/>
      </c>
      <c r="K186" s="22">
        <f t="array" ref="K186">IF($D186="","",IFERROR(INDEX(MASTER_SOURCE!$C$2:$C$495,MATCH($I186,MASTER_SOURCE!$A$2:$A$495,0)),""))</f>
        <v/>
      </c>
      <c r="L186" s="22">
        <f t="array" ref="L186">IF($D186="","",IFERROR(INDEX(MASTER_SOURCE!$D$2:$D$495,MATCH($I186,MASTER_SOURCE!$A$2:$A$495,0)),""))</f>
        <v/>
      </c>
      <c r="M186" s="24" t="inlineStr">
        <is>
          <t>Có</t>
        </is>
      </c>
      <c r="N186" s="24" t="inlineStr">
        <is>
          <t>Có</t>
        </is>
      </c>
      <c r="O186" s="24" t="inlineStr">
        <is>
          <t>Có</t>
        </is>
      </c>
      <c r="P186" s="24" t="inlineStr">
        <is>
          <t>Có</t>
        </is>
      </c>
      <c r="Q186" s="22">
        <f>IF($D186="","",IF(AND(OR(DANH_MUC!$L$5&lt;&gt;"Có",M186="Có"),OR(DANH_MUC!$L$6&lt;&gt;"Có",N186="Có"),OR(DANH_MUC!$L$7&lt;&gt;"Có",O186="Có"),OR(DANH_MUC!$L$8&lt;&gt;"Có",P186="Có")),"Có","Không"))</f>
        <v/>
      </c>
      <c r="R186" s="22">
        <f>IF($D186="","",IF(COUNTIF($D$2:$D186,$D186)&gt;1,"Trùng",""))</f>
        <v/>
      </c>
      <c r="S186" s="22">
        <f>IF($D186="","",IF(AND(LEN($D186)=10,LEFT($D186,1)="0",ISNUMBER(--$D186)),"Có","Không"))</f>
        <v/>
      </c>
      <c r="T186" s="22">
        <f>IF($D186="","",IF(AND($C186&lt;&gt;"",$Q186="Có",$R186="",$S186="Có",AND($L186&lt;&gt;"",OR($L186&lt;&gt;"Chưa xác định",DANH_MUC!$L$9="Có"))),"Có","Không"))</f>
        <v/>
      </c>
      <c r="U186" s="22">
        <f>IF(OR($D186="",$T186="Có"),"",IF($C186="","Thiếu họ tên; ","")&amp;IF($S186&lt;&gt;"Có","SĐT sai định dạng; ","")&amp;IF($R186="Trùng","Trùng SĐT; ","")&amp;IF($Q186&lt;&gt;"Có","Thiếu đồng ý bắt buộc; ","")&amp;IF($L186="","Thiếu/sai Mã REF; ",IF(AND($L186="Chưa xác định",DANH_MUC!$L$9&lt;&gt;"Có"),"Nguồn chưa xác định; ","")))</f>
        <v/>
      </c>
      <c r="V186" s="22">
        <f>IF(OR($D186="",$R186="Trùng"),"",IF(COUNTIF(ORDERS!$C$2:$C$4995,$D186)&gt;0,"Có","Không"))</f>
        <v/>
      </c>
      <c r="W186" s="22">
        <f>IF(OR($D186="",$R186="Trùng"),"",COUNTIFS(ORDERS!$C$2:$C$4995,$D186,ORDERS!$L$2:$L$4995,"Đã chuyển khoản"))</f>
        <v/>
      </c>
      <c r="X186" s="23">
        <f>IF(OR($D186="",$R186="Trùng"),"",SUMIFS(ORDERS!$J$2:$J$4995,ORDERS!$C$2:$C$4995,$D186,ORDERS!$L$2:$L$4995,"Đã chuyển khoản"))</f>
        <v/>
      </c>
      <c r="Y186" s="24" t="n"/>
    </row>
    <row r="187" ht="14.25" customHeight="1" s="40">
      <c r="A187" s="24" t="inlineStr">
        <is>
          <t>d2217463-eb1c-487f-ba5f-e4acaaa77e5a</t>
        </is>
      </c>
      <c r="B187" s="18" t="n">
        <v>46291.39097222222</v>
      </c>
      <c r="C187" s="24" t="inlineStr">
        <is>
          <t>Mai Thuỷ Tiên</t>
        </is>
      </c>
      <c r="D187" s="28" t="inlineStr">
        <is>
          <t>0375388281</t>
        </is>
      </c>
      <c r="E187" s="29" t="n">
        <v>46505</v>
      </c>
      <c r="F187" s="24" t="inlineStr">
        <is>
          <t>Đang mang thai</t>
        </is>
      </c>
      <c r="G187" s="24" t="inlineStr">
        <is>
          <t>Hải Phòng</t>
        </is>
      </c>
      <c r="H187" s="21">
        <f>IF(ISNUMBER($B187),INT($B187)-WEEKDAY($B187,2)+1,"")</f>
        <v/>
      </c>
      <c r="I187" s="24" t="inlineStr">
        <is>
          <t>Z-GREEN</t>
        </is>
      </c>
      <c r="J187" s="22">
        <f t="array" ref="J187">IF($D187="","",IF($I187="","(trống REF)",IFERROR(INDEX(MASTER_SOURCE!$B$2:$B$495,MATCH($I187,MASTER_SOURCE!$A$2:$A$495,0)),"(REF không có trong MASTER_SOURCE)")))</f>
        <v/>
      </c>
      <c r="K187" s="22">
        <f t="array" ref="K187">IF($D187="","",IFERROR(INDEX(MASTER_SOURCE!$C$2:$C$495,MATCH($I187,MASTER_SOURCE!$A$2:$A$495,0)),""))</f>
        <v/>
      </c>
      <c r="L187" s="22">
        <f t="array" ref="L187">IF($D187="","",IFERROR(INDEX(MASTER_SOURCE!$D$2:$D$495,MATCH($I187,MASTER_SOURCE!$A$2:$A$495,0)),""))</f>
        <v/>
      </c>
      <c r="M187" s="24" t="inlineStr">
        <is>
          <t>Có</t>
        </is>
      </c>
      <c r="N187" s="24" t="inlineStr">
        <is>
          <t>Có</t>
        </is>
      </c>
      <c r="O187" s="24" t="inlineStr">
        <is>
          <t>Có</t>
        </is>
      </c>
      <c r="P187" s="24" t="inlineStr">
        <is>
          <t>Có</t>
        </is>
      </c>
      <c r="Q187" s="22">
        <f>IF($D187="","",IF(AND(OR(DANH_MUC!$L$5&lt;&gt;"Có",M187="Có"),OR(DANH_MUC!$L$6&lt;&gt;"Có",N187="Có"),OR(DANH_MUC!$L$7&lt;&gt;"Có",O187="Có"),OR(DANH_MUC!$L$8&lt;&gt;"Có",P187="Có")),"Có","Không"))</f>
        <v/>
      </c>
      <c r="R187" s="22">
        <f>IF($D187="","",IF(COUNTIF($D$2:$D187,$D187)&gt;1,"Trùng",""))</f>
        <v/>
      </c>
      <c r="S187" s="22">
        <f>IF($D187="","",IF(AND(LEN($D187)=10,LEFT($D187,1)="0",ISNUMBER(--$D187)),"Có","Không"))</f>
        <v/>
      </c>
      <c r="T187" s="22">
        <f>IF($D187="","",IF(AND($C187&lt;&gt;"",$Q187="Có",$R187="",$S187="Có",AND($L187&lt;&gt;"",OR($L187&lt;&gt;"Chưa xác định",DANH_MUC!$L$9="Có"))),"Có","Không"))</f>
        <v/>
      </c>
      <c r="U187" s="22">
        <f>IF(OR($D187="",$T187="Có"),"",IF($C187="","Thiếu họ tên; ","")&amp;IF($S187&lt;&gt;"Có","SĐT sai định dạng; ","")&amp;IF($R187="Trùng","Trùng SĐT; ","")&amp;IF($Q187&lt;&gt;"Có","Thiếu đồng ý bắt buộc; ","")&amp;IF($L187="","Thiếu/sai Mã REF; ",IF(AND($L187="Chưa xác định",DANH_MUC!$L$9&lt;&gt;"Có"),"Nguồn chưa xác định; ","")))</f>
        <v/>
      </c>
      <c r="V187" s="22">
        <f>IF(OR($D187="",$R187="Trùng"),"",IF(COUNTIF(ORDERS!$C$2:$C$4995,$D187)&gt;0,"Có","Không"))</f>
        <v/>
      </c>
      <c r="W187" s="22">
        <f>IF(OR($D187="",$R187="Trùng"),"",COUNTIFS(ORDERS!$C$2:$C$4995,$D187,ORDERS!$L$2:$L$4995,"Đã chuyển khoản"))</f>
        <v/>
      </c>
      <c r="X187" s="23">
        <f>IF(OR($D187="",$R187="Trùng"),"",SUMIFS(ORDERS!$J$2:$J$4995,ORDERS!$C$2:$C$4995,$D187,ORDERS!$L$2:$L$4995,"Đã chuyển khoản"))</f>
        <v/>
      </c>
      <c r="Y187" s="24" t="n"/>
    </row>
    <row r="188" ht="14.25" customHeight="1" s="40">
      <c r="A188" s="24" t="inlineStr">
        <is>
          <t>504c009a-d641-4361-ad6a-7e749740456d</t>
        </is>
      </c>
      <c r="B188" s="18" t="n">
        <v>46291.39444444444</v>
      </c>
      <c r="C188" s="24" t="inlineStr">
        <is>
          <t>Bùi thị hoa</t>
        </is>
      </c>
      <c r="D188" s="28" t="inlineStr">
        <is>
          <t>0986064241</t>
        </is>
      </c>
      <c r="E188" s="29" t="n">
        <v>46311</v>
      </c>
      <c r="F188" s="24" t="inlineStr">
        <is>
          <t>Đang mang thai</t>
        </is>
      </c>
      <c r="G188" s="24" t="inlineStr">
        <is>
          <t>Hải Phòng</t>
        </is>
      </c>
      <c r="H188" s="21">
        <f>IF(ISNUMBER($B188),INT($B188)-WEEKDAY($B188,2)+1,"")</f>
        <v/>
      </c>
      <c r="I188" s="24" t="inlineStr">
        <is>
          <t>Z-GREEN</t>
        </is>
      </c>
      <c r="J188" s="22">
        <f t="array" ref="J188">IF($D188="","",IF($I188="","(trống REF)",IFERROR(INDEX(MASTER_SOURCE!$B$2:$B$495,MATCH($I188,MASTER_SOURCE!$A$2:$A$495,0)),"(REF không có trong MASTER_SOURCE)")))</f>
        <v/>
      </c>
      <c r="K188" s="22">
        <f t="array" ref="K188">IF($D188="","",IFERROR(INDEX(MASTER_SOURCE!$C$2:$C$495,MATCH($I188,MASTER_SOURCE!$A$2:$A$495,0)),""))</f>
        <v/>
      </c>
      <c r="L188" s="22">
        <f t="array" ref="L188">IF($D188="","",IFERROR(INDEX(MASTER_SOURCE!$D$2:$D$495,MATCH($I188,MASTER_SOURCE!$A$2:$A$495,0)),""))</f>
        <v/>
      </c>
      <c r="M188" s="24" t="inlineStr">
        <is>
          <t>Có</t>
        </is>
      </c>
      <c r="N188" s="24" t="inlineStr">
        <is>
          <t>Có</t>
        </is>
      </c>
      <c r="O188" s="24" t="inlineStr">
        <is>
          <t>Có</t>
        </is>
      </c>
      <c r="P188" s="24" t="inlineStr">
        <is>
          <t>Có</t>
        </is>
      </c>
      <c r="Q188" s="22">
        <f>IF($D188="","",IF(AND(OR(DANH_MUC!$L$5&lt;&gt;"Có",M188="Có"),OR(DANH_MUC!$L$6&lt;&gt;"Có",N188="Có"),OR(DANH_MUC!$L$7&lt;&gt;"Có",O188="Có"),OR(DANH_MUC!$L$8&lt;&gt;"Có",P188="Có")),"Có","Không"))</f>
        <v/>
      </c>
      <c r="R188" s="22">
        <f>IF($D188="","",IF(COUNTIF($D$2:$D188,$D188)&gt;1,"Trùng",""))</f>
        <v/>
      </c>
      <c r="S188" s="22">
        <f>IF($D188="","",IF(AND(LEN($D188)=10,LEFT($D188,1)="0",ISNUMBER(--$D188)),"Có","Không"))</f>
        <v/>
      </c>
      <c r="T188" s="22">
        <f>IF($D188="","",IF(AND($C188&lt;&gt;"",$Q188="Có",$R188="",$S188="Có",AND($L188&lt;&gt;"",OR($L188&lt;&gt;"Chưa xác định",DANH_MUC!$L$9="Có"))),"Có","Không"))</f>
        <v/>
      </c>
      <c r="U188" s="22">
        <f>IF(OR($D188="",$T188="Có"),"",IF($C188="","Thiếu họ tên; ","")&amp;IF($S188&lt;&gt;"Có","SĐT sai định dạng; ","")&amp;IF($R188="Trùng","Trùng SĐT; ","")&amp;IF($Q188&lt;&gt;"Có","Thiếu đồng ý bắt buộc; ","")&amp;IF($L188="","Thiếu/sai Mã REF; ",IF(AND($L188="Chưa xác định",DANH_MUC!$L$9&lt;&gt;"Có"),"Nguồn chưa xác định; ","")))</f>
        <v/>
      </c>
      <c r="V188" s="22">
        <f>IF(OR($D188="",$R188="Trùng"),"",IF(COUNTIF(ORDERS!$C$2:$C$4995,$D188)&gt;0,"Có","Không"))</f>
        <v/>
      </c>
      <c r="W188" s="22">
        <f>IF(OR($D188="",$R188="Trùng"),"",COUNTIFS(ORDERS!$C$2:$C$4995,$D188,ORDERS!$L$2:$L$4995,"Đã chuyển khoản"))</f>
        <v/>
      </c>
      <c r="X188" s="23">
        <f>IF(OR($D188="",$R188="Trùng"),"",SUMIFS(ORDERS!$J$2:$J$4995,ORDERS!$C$2:$C$4995,$D188,ORDERS!$L$2:$L$4995,"Đã chuyển khoản"))</f>
        <v/>
      </c>
      <c r="Y188" s="24" t="n"/>
    </row>
    <row r="189" ht="14.25" customHeight="1" s="40">
      <c r="A189" s="24" t="inlineStr">
        <is>
          <t>cf3ae2e3-6cb8-4e49-a4d9-5090f512356a</t>
        </is>
      </c>
      <c r="B189" s="18" t="n">
        <v>46291.39444444444</v>
      </c>
      <c r="C189" s="24" t="inlineStr">
        <is>
          <t>Trần Huyền Trang</t>
        </is>
      </c>
      <c r="D189" s="28" t="inlineStr">
        <is>
          <t>0989172814</t>
        </is>
      </c>
      <c r="E189" s="29" t="n">
        <v>46320</v>
      </c>
      <c r="F189" s="24" t="inlineStr">
        <is>
          <t>Đang mang thai</t>
        </is>
      </c>
      <c r="G189" s="24" t="inlineStr">
        <is>
          <t>Hải Phòng</t>
        </is>
      </c>
      <c r="H189" s="21">
        <f>IF(ISNUMBER($B189),INT($B189)-WEEKDAY($B189,2)+1,"")</f>
        <v/>
      </c>
      <c r="I189" s="24" t="inlineStr">
        <is>
          <t>Z-GREEN</t>
        </is>
      </c>
      <c r="J189" s="22">
        <f t="array" ref="J189">IF($D189="","",IF($I189="","(trống REF)",IFERROR(INDEX(MASTER_SOURCE!$B$2:$B$495,MATCH($I189,MASTER_SOURCE!$A$2:$A$495,0)),"(REF không có trong MASTER_SOURCE)")))</f>
        <v/>
      </c>
      <c r="K189" s="22">
        <f t="array" ref="K189">IF($D189="","",IFERROR(INDEX(MASTER_SOURCE!$C$2:$C$495,MATCH($I189,MASTER_SOURCE!$A$2:$A$495,0)),""))</f>
        <v/>
      </c>
      <c r="L189" s="22">
        <f t="array" ref="L189">IF($D189="","",IFERROR(INDEX(MASTER_SOURCE!$D$2:$D$495,MATCH($I189,MASTER_SOURCE!$A$2:$A$495,0)),""))</f>
        <v/>
      </c>
      <c r="M189" s="24" t="inlineStr">
        <is>
          <t>Có</t>
        </is>
      </c>
      <c r="N189" s="24" t="inlineStr">
        <is>
          <t>Có</t>
        </is>
      </c>
      <c r="O189" s="24" t="inlineStr">
        <is>
          <t>Có</t>
        </is>
      </c>
      <c r="P189" s="24" t="inlineStr">
        <is>
          <t>Có</t>
        </is>
      </c>
      <c r="Q189" s="22">
        <f>IF($D189="","",IF(AND(OR(DANH_MUC!$L$5&lt;&gt;"Có",M189="Có"),OR(DANH_MUC!$L$6&lt;&gt;"Có",N189="Có"),OR(DANH_MUC!$L$7&lt;&gt;"Có",O189="Có"),OR(DANH_MUC!$L$8&lt;&gt;"Có",P189="Có")),"Có","Không"))</f>
        <v/>
      </c>
      <c r="R189" s="22">
        <f>IF($D189="","",IF(COUNTIF($D$2:$D189,$D189)&gt;1,"Trùng",""))</f>
        <v/>
      </c>
      <c r="S189" s="22">
        <f>IF($D189="","",IF(AND(LEN($D189)=10,LEFT($D189,1)="0",ISNUMBER(--$D189)),"Có","Không"))</f>
        <v/>
      </c>
      <c r="T189" s="22">
        <f>IF($D189="","",IF(AND($C189&lt;&gt;"",$Q189="Có",$R189="",$S189="Có",AND($L189&lt;&gt;"",OR($L189&lt;&gt;"Chưa xác định",DANH_MUC!$L$9="Có"))),"Có","Không"))</f>
        <v/>
      </c>
      <c r="U189" s="22">
        <f>IF(OR($D189="",$T189="Có"),"",IF($C189="","Thiếu họ tên; ","")&amp;IF($S189&lt;&gt;"Có","SĐT sai định dạng; ","")&amp;IF($R189="Trùng","Trùng SĐT; ","")&amp;IF($Q189&lt;&gt;"Có","Thiếu đồng ý bắt buộc; ","")&amp;IF($L189="","Thiếu/sai Mã REF; ",IF(AND($L189="Chưa xác định",DANH_MUC!$L$9&lt;&gt;"Có"),"Nguồn chưa xác định; ","")))</f>
        <v/>
      </c>
      <c r="V189" s="22">
        <f>IF(OR($D189="",$R189="Trùng"),"",IF(COUNTIF(ORDERS!$C$2:$C$4995,$D189)&gt;0,"Có","Không"))</f>
        <v/>
      </c>
      <c r="W189" s="22">
        <f>IF(OR($D189="",$R189="Trùng"),"",COUNTIFS(ORDERS!$C$2:$C$4995,$D189,ORDERS!$L$2:$L$4995,"Đã chuyển khoản"))</f>
        <v/>
      </c>
      <c r="X189" s="23">
        <f>IF(OR($D189="",$R189="Trùng"),"",SUMIFS(ORDERS!$J$2:$J$4995,ORDERS!$C$2:$C$4995,$D189,ORDERS!$L$2:$L$4995,"Đã chuyển khoản"))</f>
        <v/>
      </c>
      <c r="Y189" s="24" t="n"/>
    </row>
    <row r="190" ht="14.25" customHeight="1" s="40">
      <c r="A190" s="24" t="inlineStr">
        <is>
          <t>56ef1dfd-8631-45fb-ae81-cf20bf1311e6</t>
        </is>
      </c>
      <c r="B190" s="18" t="n">
        <v>46291.39652777778</v>
      </c>
      <c r="C190" s="24" t="inlineStr">
        <is>
          <t>Dương thị tươi</t>
        </is>
      </c>
      <c r="D190" s="28" t="inlineStr">
        <is>
          <t>0345166182</t>
        </is>
      </c>
      <c r="E190" s="29" t="n">
        <v>46311</v>
      </c>
      <c r="F190" s="24" t="inlineStr">
        <is>
          <t>Đang mang thai</t>
        </is>
      </c>
      <c r="G190" s="24" t="inlineStr">
        <is>
          <t>Hải Phòng</t>
        </is>
      </c>
      <c r="H190" s="21">
        <f>IF(ISNUMBER($B190),INT($B190)-WEEKDAY($B190,2)+1,"")</f>
        <v/>
      </c>
      <c r="I190" s="24" t="inlineStr">
        <is>
          <t>Z-GREEN</t>
        </is>
      </c>
      <c r="J190" s="22">
        <f t="array" ref="J190">IF($D190="","",IF($I190="","(trống REF)",IFERROR(INDEX(MASTER_SOURCE!$B$2:$B$495,MATCH($I190,MASTER_SOURCE!$A$2:$A$495,0)),"(REF không có trong MASTER_SOURCE)")))</f>
        <v/>
      </c>
      <c r="K190" s="22">
        <f t="array" ref="K190">IF($D190="","",IFERROR(INDEX(MASTER_SOURCE!$C$2:$C$495,MATCH($I190,MASTER_SOURCE!$A$2:$A$495,0)),""))</f>
        <v/>
      </c>
      <c r="L190" s="22">
        <f t="array" ref="L190">IF($D190="","",IFERROR(INDEX(MASTER_SOURCE!$D$2:$D$495,MATCH($I190,MASTER_SOURCE!$A$2:$A$495,0)),""))</f>
        <v/>
      </c>
      <c r="M190" s="24" t="inlineStr">
        <is>
          <t>Có</t>
        </is>
      </c>
      <c r="N190" s="24" t="inlineStr">
        <is>
          <t>Có</t>
        </is>
      </c>
      <c r="O190" s="24" t="inlineStr">
        <is>
          <t>Có</t>
        </is>
      </c>
      <c r="P190" s="24" t="inlineStr">
        <is>
          <t>Có</t>
        </is>
      </c>
      <c r="Q190" s="22">
        <f>IF($D190="","",IF(AND(OR(DANH_MUC!$L$5&lt;&gt;"Có",M190="Có"),OR(DANH_MUC!$L$6&lt;&gt;"Có",N190="Có"),OR(DANH_MUC!$L$7&lt;&gt;"Có",O190="Có"),OR(DANH_MUC!$L$8&lt;&gt;"Có",P190="Có")),"Có","Không"))</f>
        <v/>
      </c>
      <c r="R190" s="22">
        <f>IF($D190="","",IF(COUNTIF($D$2:$D190,$D190)&gt;1,"Trùng",""))</f>
        <v/>
      </c>
      <c r="S190" s="22">
        <f>IF($D190="","",IF(AND(LEN($D190)=10,LEFT($D190,1)="0",ISNUMBER(--$D190)),"Có","Không"))</f>
        <v/>
      </c>
      <c r="T190" s="22">
        <f>IF($D190="","",IF(AND($C190&lt;&gt;"",$Q190="Có",$R190="",$S190="Có",AND($L190&lt;&gt;"",OR($L190&lt;&gt;"Chưa xác định",DANH_MUC!$L$9="Có"))),"Có","Không"))</f>
        <v/>
      </c>
      <c r="U190" s="22">
        <f>IF(OR($D190="",$T190="Có"),"",IF($C190="","Thiếu họ tên; ","")&amp;IF($S190&lt;&gt;"Có","SĐT sai định dạng; ","")&amp;IF($R190="Trùng","Trùng SĐT; ","")&amp;IF($Q190&lt;&gt;"Có","Thiếu đồng ý bắt buộc; ","")&amp;IF($L190="","Thiếu/sai Mã REF; ",IF(AND($L190="Chưa xác định",DANH_MUC!$L$9&lt;&gt;"Có"),"Nguồn chưa xác định; ","")))</f>
        <v/>
      </c>
      <c r="V190" s="22">
        <f>IF(OR($D190="",$R190="Trùng"),"",IF(COUNTIF(ORDERS!$C$2:$C$4995,$D190)&gt;0,"Có","Không"))</f>
        <v/>
      </c>
      <c r="W190" s="22">
        <f>IF(OR($D190="",$R190="Trùng"),"",COUNTIFS(ORDERS!$C$2:$C$4995,$D190,ORDERS!$L$2:$L$4995,"Đã chuyển khoản"))</f>
        <v/>
      </c>
      <c r="X190" s="23">
        <f>IF(OR($D190="",$R190="Trùng"),"",SUMIFS(ORDERS!$J$2:$J$4995,ORDERS!$C$2:$C$4995,$D190,ORDERS!$L$2:$L$4995,"Đã chuyển khoản"))</f>
        <v/>
      </c>
      <c r="Y190" s="24" t="n"/>
    </row>
    <row r="191" ht="14.25" customHeight="1" s="40">
      <c r="A191" s="24" t="inlineStr">
        <is>
          <t>05a6f57c-b65c-469d-b92c-1d4acd955780</t>
        </is>
      </c>
      <c r="B191" s="18" t="n">
        <v>46291.41736111111</v>
      </c>
      <c r="C191" s="24" t="inlineStr">
        <is>
          <t>Nguyễn Thị Duyên</t>
        </is>
      </c>
      <c r="D191" s="28" t="inlineStr">
        <is>
          <t>0984893046</t>
        </is>
      </c>
      <c r="E191" s="29" t="n">
        <v>46342</v>
      </c>
      <c r="F191" s="24" t="inlineStr">
        <is>
          <t>Đang mang thai</t>
        </is>
      </c>
      <c r="G191" s="24" t="inlineStr">
        <is>
          <t>Hồ Chí Minh</t>
        </is>
      </c>
      <c r="H191" s="21">
        <f>IF(ISNUMBER($B191),INT($B191)-WEEKDAY($B191,2)+1,"")</f>
        <v/>
      </c>
      <c r="I191" s="24" t="inlineStr">
        <is>
          <t>C-SHING</t>
        </is>
      </c>
      <c r="J191" s="22">
        <f t="array" ref="J191">IF($D191="","",IF($I191="","(trống REF)",IFERROR(INDEX(MASTER_SOURCE!$B$2:$B$495,MATCH($I191,MASTER_SOURCE!$A$2:$A$495,0)),"(REF không có trong MASTER_SOURCE)")))</f>
        <v/>
      </c>
      <c r="K191" s="22">
        <f t="array" ref="K191">IF($D191="","",IFERROR(INDEX(MASTER_SOURCE!$C$2:$C$495,MATCH($I191,MASTER_SOURCE!$A$2:$A$495,0)),""))</f>
        <v/>
      </c>
      <c r="L191" s="22">
        <f t="array" ref="L191">IF($D191="","",IFERROR(INDEX(MASTER_SOURCE!$D$2:$D$495,MATCH($I191,MASTER_SOURCE!$A$2:$A$495,0)),""))</f>
        <v/>
      </c>
      <c r="M191" s="24" t="inlineStr">
        <is>
          <t>Có</t>
        </is>
      </c>
      <c r="N191" s="24" t="inlineStr">
        <is>
          <t>Có</t>
        </is>
      </c>
      <c r="O191" s="24" t="inlineStr">
        <is>
          <t>Có</t>
        </is>
      </c>
      <c r="P191" s="24" t="inlineStr">
        <is>
          <t>Có</t>
        </is>
      </c>
      <c r="Q191" s="22">
        <f>IF($D191="","",IF(AND(OR(DANH_MUC!$L$5&lt;&gt;"Có",M191="Có"),OR(DANH_MUC!$L$6&lt;&gt;"Có",N191="Có"),OR(DANH_MUC!$L$7&lt;&gt;"Có",O191="Có"),OR(DANH_MUC!$L$8&lt;&gt;"Có",P191="Có")),"Có","Không"))</f>
        <v/>
      </c>
      <c r="R191" s="22">
        <f>IF($D191="","",IF(COUNTIF($D$2:$D191,$D191)&gt;1,"Trùng",""))</f>
        <v/>
      </c>
      <c r="S191" s="22">
        <f>IF($D191="","",IF(AND(LEN($D191)=10,LEFT($D191,1)="0",ISNUMBER(--$D191)),"Có","Không"))</f>
        <v/>
      </c>
      <c r="T191" s="22">
        <f>IF($D191="","",IF(AND($C191&lt;&gt;"",$Q191="Có",$R191="",$S191="Có",AND($L191&lt;&gt;"",OR($L191&lt;&gt;"Chưa xác định",DANH_MUC!$L$9="Có"))),"Có","Không"))</f>
        <v/>
      </c>
      <c r="U191" s="22">
        <f>IF(OR($D191="",$T191="Có"),"",IF($C191="","Thiếu họ tên; ","")&amp;IF($S191&lt;&gt;"Có","SĐT sai định dạng; ","")&amp;IF($R191="Trùng","Trùng SĐT; ","")&amp;IF($Q191&lt;&gt;"Có","Thiếu đồng ý bắt buộc; ","")&amp;IF($L191="","Thiếu/sai Mã REF; ",IF(AND($L191="Chưa xác định",DANH_MUC!$L$9&lt;&gt;"Có"),"Nguồn chưa xác định; ","")))</f>
        <v/>
      </c>
      <c r="V191" s="22">
        <f>IF(OR($D191="",$R191="Trùng"),"",IF(COUNTIF(ORDERS!$C$2:$C$4995,$D191)&gt;0,"Có","Không"))</f>
        <v/>
      </c>
      <c r="W191" s="22">
        <f>IF(OR($D191="",$R191="Trùng"),"",COUNTIFS(ORDERS!$C$2:$C$4995,$D191,ORDERS!$L$2:$L$4995,"Đã chuyển khoản"))</f>
        <v/>
      </c>
      <c r="X191" s="23">
        <f>IF(OR($D191="",$R191="Trùng"),"",SUMIFS(ORDERS!$J$2:$J$4995,ORDERS!$C$2:$C$4995,$D191,ORDERS!$L$2:$L$4995,"Đã chuyển khoản"))</f>
        <v/>
      </c>
      <c r="Y191" s="24" t="n"/>
    </row>
    <row r="192" ht="14.25" customHeight="1" s="40">
      <c r="A192" s="24" t="inlineStr">
        <is>
          <t>49fd18ed-21fa-430a-94a9-091c8abad7ff</t>
        </is>
      </c>
      <c r="B192" s="18" t="n">
        <v>46291.41805555556</v>
      </c>
      <c r="C192" s="24" t="inlineStr">
        <is>
          <t>Nguyễn Thị Anh Phương</t>
        </is>
      </c>
      <c r="D192" s="28" t="inlineStr">
        <is>
          <t>0816669967</t>
        </is>
      </c>
      <c r="E192" s="29" t="n">
        <v>46377</v>
      </c>
      <c r="F192" s="24" t="inlineStr">
        <is>
          <t>Đang mang thai</t>
        </is>
      </c>
      <c r="G192" s="24" t="inlineStr">
        <is>
          <t>Đồng Nai</t>
        </is>
      </c>
      <c r="H192" s="21">
        <f>IF(ISNUMBER($B192),INT($B192)-WEEKDAY($B192,2)+1,"")</f>
        <v/>
      </c>
      <c r="I192" s="24" t="inlineStr">
        <is>
          <t>Z-SHING</t>
        </is>
      </c>
      <c r="J192" s="22">
        <f t="array" ref="J192">IF($D192="","",IF($I192="","(trống REF)",IFERROR(INDEX(MASTER_SOURCE!$B$2:$B$495,MATCH($I192,MASTER_SOURCE!$A$2:$A$495,0)),"(REF không có trong MASTER_SOURCE)")))</f>
        <v/>
      </c>
      <c r="K192" s="22">
        <f t="array" ref="K192">IF($D192="","",IFERROR(INDEX(MASTER_SOURCE!$C$2:$C$495,MATCH($I192,MASTER_SOURCE!$A$2:$A$495,0)),""))</f>
        <v/>
      </c>
      <c r="L192" s="22">
        <f t="array" ref="L192">IF($D192="","",IFERROR(INDEX(MASTER_SOURCE!$D$2:$D$495,MATCH($I192,MASTER_SOURCE!$A$2:$A$495,0)),""))</f>
        <v/>
      </c>
      <c r="M192" s="24" t="inlineStr">
        <is>
          <t>Có</t>
        </is>
      </c>
      <c r="N192" s="24" t="inlineStr">
        <is>
          <t>Không</t>
        </is>
      </c>
      <c r="O192" s="24" t="inlineStr">
        <is>
          <t>Không</t>
        </is>
      </c>
      <c r="P192" s="24" t="inlineStr">
        <is>
          <t>Có</t>
        </is>
      </c>
      <c r="Q192" s="22">
        <f>IF($D192="","",IF(AND(OR(DANH_MUC!$L$5&lt;&gt;"Có",M192="Có"),OR(DANH_MUC!$L$6&lt;&gt;"Có",N192="Có"),OR(DANH_MUC!$L$7&lt;&gt;"Có",O192="Có"),OR(DANH_MUC!$L$8&lt;&gt;"Có",P192="Có")),"Có","Không"))</f>
        <v/>
      </c>
      <c r="R192" s="22">
        <f>IF($D192="","",IF(COUNTIF($D$2:$D192,$D192)&gt;1,"Trùng",""))</f>
        <v/>
      </c>
      <c r="S192" s="22">
        <f>IF($D192="","",IF(AND(LEN($D192)=10,LEFT($D192,1)="0",ISNUMBER(--$D192)),"Có","Không"))</f>
        <v/>
      </c>
      <c r="T192" s="22">
        <f>IF($D192="","",IF(AND($C192&lt;&gt;"",$Q192="Có",$R192="",$S192="Có",AND($L192&lt;&gt;"",OR($L192&lt;&gt;"Chưa xác định",DANH_MUC!$L$9="Có"))),"Có","Không"))</f>
        <v/>
      </c>
      <c r="U192" s="22">
        <f>IF(OR($D192="",$T192="Có"),"",IF($C192="","Thiếu họ tên; ","")&amp;IF($S192&lt;&gt;"Có","SĐT sai định dạng; ","")&amp;IF($R192="Trùng","Trùng SĐT; ","")&amp;IF($Q192&lt;&gt;"Có","Thiếu đồng ý bắt buộc; ","")&amp;IF($L192="","Thiếu/sai Mã REF; ",IF(AND($L192="Chưa xác định",DANH_MUC!$L$9&lt;&gt;"Có"),"Nguồn chưa xác định; ","")))</f>
        <v/>
      </c>
      <c r="V192" s="22">
        <f>IF(OR($D192="",$R192="Trùng"),"",IF(COUNTIF(ORDERS!$C$2:$C$4995,$D192)&gt;0,"Có","Không"))</f>
        <v/>
      </c>
      <c r="W192" s="22">
        <f>IF(OR($D192="",$R192="Trùng"),"",COUNTIFS(ORDERS!$C$2:$C$4995,$D192,ORDERS!$L$2:$L$4995,"Đã chuyển khoản"))</f>
        <v/>
      </c>
      <c r="X192" s="23">
        <f>IF(OR($D192="",$R192="Trùng"),"",SUMIFS(ORDERS!$J$2:$J$4995,ORDERS!$C$2:$C$4995,$D192,ORDERS!$L$2:$L$4995,"Đã chuyển khoản"))</f>
        <v/>
      </c>
      <c r="Y192" s="24" t="n"/>
    </row>
    <row r="193" ht="14.25" customHeight="1" s="40">
      <c r="A193" s="24" t="inlineStr">
        <is>
          <t>b46d5f6e-8d49-465a-86dc-51018c652567</t>
        </is>
      </c>
      <c r="B193" s="18" t="n">
        <v>46291.425</v>
      </c>
      <c r="C193" s="24" t="inlineStr">
        <is>
          <t>Hoàng Ngọc Quỳnh Như</t>
        </is>
      </c>
      <c r="D193" s="28" t="inlineStr">
        <is>
          <t>0375222447</t>
        </is>
      </c>
      <c r="E193" s="29" t="n">
        <v>46464</v>
      </c>
      <c r="F193" s="24" t="inlineStr">
        <is>
          <t>Đang mang thai</t>
        </is>
      </c>
      <c r="G193" s="24" t="inlineStr">
        <is>
          <t>Đồng Nai</t>
        </is>
      </c>
      <c r="H193" s="21">
        <f>IF(ISNUMBER($B193),INT($B193)-WEEKDAY($B193,2)+1,"")</f>
        <v/>
      </c>
      <c r="I193" s="24" t="inlineStr">
        <is>
          <t>C-SHING</t>
        </is>
      </c>
      <c r="J193" s="22">
        <f t="array" ref="J193">IF($D193="","",IF($I193="","(trống REF)",IFERROR(INDEX(MASTER_SOURCE!$B$2:$B$495,MATCH($I193,MASTER_SOURCE!$A$2:$A$495,0)),"(REF không có trong MASTER_SOURCE)")))</f>
        <v/>
      </c>
      <c r="K193" s="22">
        <f t="array" ref="K193">IF($D193="","",IFERROR(INDEX(MASTER_SOURCE!$C$2:$C$495,MATCH($I193,MASTER_SOURCE!$A$2:$A$495,0)),""))</f>
        <v/>
      </c>
      <c r="L193" s="22">
        <f t="array" ref="L193">IF($D193="","",IFERROR(INDEX(MASTER_SOURCE!$D$2:$D$495,MATCH($I193,MASTER_SOURCE!$A$2:$A$495,0)),""))</f>
        <v/>
      </c>
      <c r="M193" s="24" t="inlineStr">
        <is>
          <t>Có</t>
        </is>
      </c>
      <c r="N193" s="24" t="inlineStr">
        <is>
          <t>Có</t>
        </is>
      </c>
      <c r="O193" s="24" t="inlineStr">
        <is>
          <t>Có</t>
        </is>
      </c>
      <c r="P193" s="24" t="inlineStr">
        <is>
          <t>Có</t>
        </is>
      </c>
      <c r="Q193" s="22">
        <f>IF($D193="","",IF(AND(OR(DANH_MUC!$L$5&lt;&gt;"Có",M193="Có"),OR(DANH_MUC!$L$6&lt;&gt;"Có",N193="Có"),OR(DANH_MUC!$L$7&lt;&gt;"Có",O193="Có"),OR(DANH_MUC!$L$8&lt;&gt;"Có",P193="Có")),"Có","Không"))</f>
        <v/>
      </c>
      <c r="R193" s="22">
        <f>IF($D193="","",IF(COUNTIF($D$2:$D193,$D193)&gt;1,"Trùng",""))</f>
        <v/>
      </c>
      <c r="S193" s="22">
        <f>IF($D193="","",IF(AND(LEN($D193)=10,LEFT($D193,1)="0",ISNUMBER(--$D193)),"Có","Không"))</f>
        <v/>
      </c>
      <c r="T193" s="22">
        <f>IF($D193="","",IF(AND($C193&lt;&gt;"",$Q193="Có",$R193="",$S193="Có",AND($L193&lt;&gt;"",OR($L193&lt;&gt;"Chưa xác định",DANH_MUC!$L$9="Có"))),"Có","Không"))</f>
        <v/>
      </c>
      <c r="U193" s="22">
        <f>IF(OR($D193="",$T193="Có"),"",IF($C193="","Thiếu họ tên; ","")&amp;IF($S193&lt;&gt;"Có","SĐT sai định dạng; ","")&amp;IF($R193="Trùng","Trùng SĐT; ","")&amp;IF($Q193&lt;&gt;"Có","Thiếu đồng ý bắt buộc; ","")&amp;IF($L193="","Thiếu/sai Mã REF; ",IF(AND($L193="Chưa xác định",DANH_MUC!$L$9&lt;&gt;"Có"),"Nguồn chưa xác định; ","")))</f>
        <v/>
      </c>
      <c r="V193" s="22">
        <f>IF(OR($D193="",$R193="Trùng"),"",IF(COUNTIF(ORDERS!$C$2:$C$4995,$D193)&gt;0,"Có","Không"))</f>
        <v/>
      </c>
      <c r="W193" s="22">
        <f>IF(OR($D193="",$R193="Trùng"),"",COUNTIFS(ORDERS!$C$2:$C$4995,$D193,ORDERS!$L$2:$L$4995,"Đã chuyển khoản"))</f>
        <v/>
      </c>
      <c r="X193" s="23">
        <f>IF(OR($D193="",$R193="Trùng"),"",SUMIFS(ORDERS!$J$2:$J$4995,ORDERS!$C$2:$C$4995,$D193,ORDERS!$L$2:$L$4995,"Đã chuyển khoản"))</f>
        <v/>
      </c>
      <c r="Y193" s="24" t="n"/>
    </row>
    <row r="194" ht="14.25" customHeight="1" s="40">
      <c r="A194" s="24" t="inlineStr">
        <is>
          <t>93feb401-c4fb-412e-b7bf-d2f869ee27b2</t>
        </is>
      </c>
      <c r="B194" s="18" t="n">
        <v>46291.44166666667</v>
      </c>
      <c r="C194" s="24" t="inlineStr">
        <is>
          <t>Nguyễn Thu Hà</t>
        </is>
      </c>
      <c r="D194" s="28" t="inlineStr">
        <is>
          <t>0901020995</t>
        </is>
      </c>
      <c r="E194" s="29" t="n">
        <v>45925</v>
      </c>
      <c r="F194" s="24" t="inlineStr">
        <is>
          <t>Đã sinh</t>
        </is>
      </c>
      <c r="G194" s="24" t="inlineStr">
        <is>
          <t>Hải Phòng</t>
        </is>
      </c>
      <c r="H194" s="21">
        <f>IF(ISNUMBER($B194),INT($B194)-WEEKDAY($B194,2)+1,"")</f>
        <v/>
      </c>
      <c r="I194" s="24" t="inlineStr">
        <is>
          <t>Z-GREEN</t>
        </is>
      </c>
      <c r="J194" s="22">
        <f t="array" ref="J194">IF($D194="","",IF($I194="","(trống REF)",IFERROR(INDEX(MASTER_SOURCE!$B$2:$B$495,MATCH($I194,MASTER_SOURCE!$A$2:$A$495,0)),"(REF không có trong MASTER_SOURCE)")))</f>
        <v/>
      </c>
      <c r="K194" s="22">
        <f t="array" ref="K194">IF($D194="","",IFERROR(INDEX(MASTER_SOURCE!$C$2:$C$495,MATCH($I194,MASTER_SOURCE!$A$2:$A$495,0)),""))</f>
        <v/>
      </c>
      <c r="L194" s="22">
        <f t="array" ref="L194">IF($D194="","",IFERROR(INDEX(MASTER_SOURCE!$D$2:$D$495,MATCH($I194,MASTER_SOURCE!$A$2:$A$495,0)),""))</f>
        <v/>
      </c>
      <c r="M194" s="24" t="inlineStr">
        <is>
          <t>Có</t>
        </is>
      </c>
      <c r="N194" s="24" t="inlineStr">
        <is>
          <t>Có</t>
        </is>
      </c>
      <c r="O194" s="24" t="inlineStr">
        <is>
          <t>Có</t>
        </is>
      </c>
      <c r="P194" s="24" t="inlineStr">
        <is>
          <t>Có</t>
        </is>
      </c>
      <c r="Q194" s="22">
        <f>IF($D194="","",IF(AND(OR(DANH_MUC!$L$5&lt;&gt;"Có",M194="Có"),OR(DANH_MUC!$L$6&lt;&gt;"Có",N194="Có"),OR(DANH_MUC!$L$7&lt;&gt;"Có",O194="Có"),OR(DANH_MUC!$L$8&lt;&gt;"Có",P194="Có")),"Có","Không"))</f>
        <v/>
      </c>
      <c r="R194" s="22">
        <f>IF($D194="","",IF(COUNTIF($D$2:$D194,$D194)&gt;1,"Trùng",""))</f>
        <v/>
      </c>
      <c r="S194" s="22">
        <f>IF($D194="","",IF(AND(LEN($D194)=10,LEFT($D194,1)="0",ISNUMBER(--$D194)),"Có","Không"))</f>
        <v/>
      </c>
      <c r="T194" s="22">
        <f>IF($D194="","",IF(AND($C194&lt;&gt;"",$Q194="Có",$R194="",$S194="Có",AND($L194&lt;&gt;"",OR($L194&lt;&gt;"Chưa xác định",DANH_MUC!$L$9="Có"))),"Có","Không"))</f>
        <v/>
      </c>
      <c r="U194" s="22">
        <f>IF(OR($D194="",$T194="Có"),"",IF($C194="","Thiếu họ tên; ","")&amp;IF($S194&lt;&gt;"Có","SĐT sai định dạng; ","")&amp;IF($R194="Trùng","Trùng SĐT; ","")&amp;IF($Q194&lt;&gt;"Có","Thiếu đồng ý bắt buộc; ","")&amp;IF($L194="","Thiếu/sai Mã REF; ",IF(AND($L194="Chưa xác định",DANH_MUC!$L$9&lt;&gt;"Có"),"Nguồn chưa xác định; ","")))</f>
        <v/>
      </c>
      <c r="V194" s="22">
        <f>IF(OR($D194="",$R194="Trùng"),"",IF(COUNTIF(ORDERS!$C$2:$C$4995,$D194)&gt;0,"Có","Không"))</f>
        <v/>
      </c>
      <c r="W194" s="22">
        <f>IF(OR($D194="",$R194="Trùng"),"",COUNTIFS(ORDERS!$C$2:$C$4995,$D194,ORDERS!$L$2:$L$4995,"Đã chuyển khoản"))</f>
        <v/>
      </c>
      <c r="X194" s="23">
        <f>IF(OR($D194="",$R194="Trùng"),"",SUMIFS(ORDERS!$J$2:$J$4995,ORDERS!$C$2:$C$4995,$D194,ORDERS!$L$2:$L$4995,"Đã chuyển khoản"))</f>
        <v/>
      </c>
      <c r="Y194" s="24" t="n"/>
    </row>
    <row r="195" ht="14.25" customHeight="1" s="40">
      <c r="A195" s="24" t="inlineStr">
        <is>
          <t>974b6cae-b575-42b6-92d0-cdf310cf537f</t>
        </is>
      </c>
      <c r="B195" s="18" t="n">
        <v>46291.44236111111</v>
      </c>
      <c r="C195" s="24" t="inlineStr">
        <is>
          <t>Nguyễn Ánh Ngọc</t>
        </is>
      </c>
      <c r="D195" s="28" t="inlineStr">
        <is>
          <t>0793362939</t>
        </is>
      </c>
      <c r="E195" s="29" t="n">
        <v>44751</v>
      </c>
      <c r="F195" s="24" t="inlineStr">
        <is>
          <t>Đã sinh</t>
        </is>
      </c>
      <c r="G195" s="24" t="inlineStr">
        <is>
          <t>Hải Phòng</t>
        </is>
      </c>
      <c r="H195" s="21">
        <f>IF(ISNUMBER($B195),INT($B195)-WEEKDAY($B195,2)+1,"")</f>
        <v/>
      </c>
      <c r="I195" s="24" t="inlineStr">
        <is>
          <t>Z-GREEN</t>
        </is>
      </c>
      <c r="J195" s="22">
        <f t="array" ref="J195">IF($D195="","",IF($I195="","(trống REF)",IFERROR(INDEX(MASTER_SOURCE!$B$2:$B$495,MATCH($I195,MASTER_SOURCE!$A$2:$A$495,0)),"(REF không có trong MASTER_SOURCE)")))</f>
        <v/>
      </c>
      <c r="K195" s="22">
        <f t="array" ref="K195">IF($D195="","",IFERROR(INDEX(MASTER_SOURCE!$C$2:$C$495,MATCH($I195,MASTER_SOURCE!$A$2:$A$495,0)),""))</f>
        <v/>
      </c>
      <c r="L195" s="22">
        <f t="array" ref="L195">IF($D195="","",IFERROR(INDEX(MASTER_SOURCE!$D$2:$D$495,MATCH($I195,MASTER_SOURCE!$A$2:$A$495,0)),""))</f>
        <v/>
      </c>
      <c r="M195" s="24" t="inlineStr">
        <is>
          <t>Có</t>
        </is>
      </c>
      <c r="N195" s="24" t="inlineStr">
        <is>
          <t>Có</t>
        </is>
      </c>
      <c r="O195" s="24" t="inlineStr">
        <is>
          <t>Có</t>
        </is>
      </c>
      <c r="P195" s="24" t="inlineStr">
        <is>
          <t>Có</t>
        </is>
      </c>
      <c r="Q195" s="22">
        <f>IF($D195="","",IF(AND(OR(DANH_MUC!$L$5&lt;&gt;"Có",M195="Có"),OR(DANH_MUC!$L$6&lt;&gt;"Có",N195="Có"),OR(DANH_MUC!$L$7&lt;&gt;"Có",O195="Có"),OR(DANH_MUC!$L$8&lt;&gt;"Có",P195="Có")),"Có","Không"))</f>
        <v/>
      </c>
      <c r="R195" s="22">
        <f>IF($D195="","",IF(COUNTIF($D$2:$D195,$D195)&gt;1,"Trùng",""))</f>
        <v/>
      </c>
      <c r="S195" s="22">
        <f>IF($D195="","",IF(AND(LEN($D195)=10,LEFT($D195,1)="0",ISNUMBER(--$D195)),"Có","Không"))</f>
        <v/>
      </c>
      <c r="T195" s="22">
        <f>IF($D195="","",IF(AND($C195&lt;&gt;"",$Q195="Có",$R195="",$S195="Có",AND($L195&lt;&gt;"",OR($L195&lt;&gt;"Chưa xác định",DANH_MUC!$L$9="Có"))),"Có","Không"))</f>
        <v/>
      </c>
      <c r="U195" s="22">
        <f>IF(OR($D195="",$T195="Có"),"",IF($C195="","Thiếu họ tên; ","")&amp;IF($S195&lt;&gt;"Có","SĐT sai định dạng; ","")&amp;IF($R195="Trùng","Trùng SĐT; ","")&amp;IF($Q195&lt;&gt;"Có","Thiếu đồng ý bắt buộc; ","")&amp;IF($L195="","Thiếu/sai Mã REF; ",IF(AND($L195="Chưa xác định",DANH_MUC!$L$9&lt;&gt;"Có"),"Nguồn chưa xác định; ","")))</f>
        <v/>
      </c>
      <c r="V195" s="22">
        <f>IF(OR($D195="",$R195="Trùng"),"",IF(COUNTIF(ORDERS!$C$2:$C$4995,$D195)&gt;0,"Có","Không"))</f>
        <v/>
      </c>
      <c r="W195" s="22">
        <f>IF(OR($D195="",$R195="Trùng"),"",COUNTIFS(ORDERS!$C$2:$C$4995,$D195,ORDERS!$L$2:$L$4995,"Đã chuyển khoản"))</f>
        <v/>
      </c>
      <c r="X195" s="23">
        <f>IF(OR($D195="",$R195="Trùng"),"",SUMIFS(ORDERS!$J$2:$J$4995,ORDERS!$C$2:$C$4995,$D195,ORDERS!$L$2:$L$4995,"Đã chuyển khoản"))</f>
        <v/>
      </c>
      <c r="Y195" s="24" t="n"/>
    </row>
    <row r="196" ht="14.25" customHeight="1" s="40">
      <c r="A196" s="24" t="inlineStr">
        <is>
          <t>2f596179-a212-4e1f-82c7-3f41b73d01bf</t>
        </is>
      </c>
      <c r="B196" s="18" t="n">
        <v>46291.44930555556</v>
      </c>
      <c r="C196" s="24" t="inlineStr">
        <is>
          <t>Tram Nguyen</t>
        </is>
      </c>
      <c r="D196" s="28" t="inlineStr">
        <is>
          <t>0972635454</t>
        </is>
      </c>
      <c r="E196" s="29" t="n">
        <v>46305</v>
      </c>
      <c r="F196" s="24" t="inlineStr">
        <is>
          <t>Đang mang thai</t>
        </is>
      </c>
      <c r="G196" s="24" t="inlineStr">
        <is>
          <t>Hồ Chí Minh</t>
        </is>
      </c>
      <c r="H196" s="21">
        <f>IF(ISNUMBER($B196),INT($B196)-WEEKDAY($B196,2)+1,"")</f>
        <v/>
      </c>
      <c r="I196" s="24" t="inlineStr">
        <is>
          <t>C-SHING</t>
        </is>
      </c>
      <c r="J196" s="22">
        <f t="array" ref="J196">IF($D196="","",IF($I196="","(trống REF)",IFERROR(INDEX(MASTER_SOURCE!$B$2:$B$495,MATCH($I196,MASTER_SOURCE!$A$2:$A$495,0)),"(REF không có trong MASTER_SOURCE)")))</f>
        <v/>
      </c>
      <c r="K196" s="22">
        <f t="array" ref="K196">IF($D196="","",IFERROR(INDEX(MASTER_SOURCE!$C$2:$C$495,MATCH($I196,MASTER_SOURCE!$A$2:$A$495,0)),""))</f>
        <v/>
      </c>
      <c r="L196" s="22">
        <f t="array" ref="L196">IF($D196="","",IFERROR(INDEX(MASTER_SOURCE!$D$2:$D$495,MATCH($I196,MASTER_SOURCE!$A$2:$A$495,0)),""))</f>
        <v/>
      </c>
      <c r="M196" s="24" t="inlineStr">
        <is>
          <t>Có</t>
        </is>
      </c>
      <c r="N196" s="24" t="inlineStr">
        <is>
          <t>Có</t>
        </is>
      </c>
      <c r="O196" s="24" t="inlineStr">
        <is>
          <t>Có</t>
        </is>
      </c>
      <c r="P196" s="24" t="inlineStr">
        <is>
          <t>Có</t>
        </is>
      </c>
      <c r="Q196" s="22">
        <f>IF($D196="","",IF(AND(OR(DANH_MUC!$L$5&lt;&gt;"Có",M196="Có"),OR(DANH_MUC!$L$6&lt;&gt;"Có",N196="Có"),OR(DANH_MUC!$L$7&lt;&gt;"Có",O196="Có"),OR(DANH_MUC!$L$8&lt;&gt;"Có",P196="Có")),"Có","Không"))</f>
        <v/>
      </c>
      <c r="R196" s="22">
        <f>IF($D196="","",IF(COUNTIF($D$2:$D196,$D196)&gt;1,"Trùng",""))</f>
        <v/>
      </c>
      <c r="S196" s="22">
        <f>IF($D196="","",IF(AND(LEN($D196)=10,LEFT($D196,1)="0",ISNUMBER(--$D196)),"Có","Không"))</f>
        <v/>
      </c>
      <c r="T196" s="22">
        <f>IF($D196="","",IF(AND($C196&lt;&gt;"",$Q196="Có",$R196="",$S196="Có",AND($L196&lt;&gt;"",OR($L196&lt;&gt;"Chưa xác định",DANH_MUC!$L$9="Có"))),"Có","Không"))</f>
        <v/>
      </c>
      <c r="U196" s="22">
        <f>IF(OR($D196="",$T196="Có"),"",IF($C196="","Thiếu họ tên; ","")&amp;IF($S196&lt;&gt;"Có","SĐT sai định dạng; ","")&amp;IF($R196="Trùng","Trùng SĐT; ","")&amp;IF($Q196&lt;&gt;"Có","Thiếu đồng ý bắt buộc; ","")&amp;IF($L196="","Thiếu/sai Mã REF; ",IF(AND($L196="Chưa xác định",DANH_MUC!$L$9&lt;&gt;"Có"),"Nguồn chưa xác định; ","")))</f>
        <v/>
      </c>
      <c r="V196" s="22">
        <f>IF(OR($D196="",$R196="Trùng"),"",IF(COUNTIF(ORDERS!$C$2:$C$4995,$D196)&gt;0,"Có","Không"))</f>
        <v/>
      </c>
      <c r="W196" s="22">
        <f>IF(OR($D196="",$R196="Trùng"),"",COUNTIFS(ORDERS!$C$2:$C$4995,$D196,ORDERS!$L$2:$L$4995,"Đã chuyển khoản"))</f>
        <v/>
      </c>
      <c r="X196" s="23">
        <f>IF(OR($D196="",$R196="Trùng"),"",SUMIFS(ORDERS!$J$2:$J$4995,ORDERS!$C$2:$C$4995,$D196,ORDERS!$L$2:$L$4995,"Đã chuyển khoản"))</f>
        <v/>
      </c>
      <c r="Y196" s="24" t="n"/>
    </row>
    <row r="197" ht="14.25" customHeight="1" s="40">
      <c r="A197" s="24" t="inlineStr">
        <is>
          <t>ddaf02b3-3afb-45e0-baa5-1c21f0113c66</t>
        </is>
      </c>
      <c r="B197" s="18" t="n">
        <v>46291.45416666667</v>
      </c>
      <c r="C197" s="24" t="inlineStr">
        <is>
          <t>Lê Nguyễn Quỳnh Như</t>
        </is>
      </c>
      <c r="D197" s="28" t="inlineStr">
        <is>
          <t>0908481242</t>
        </is>
      </c>
      <c r="E197" s="29" t="n">
        <v>46322</v>
      </c>
      <c r="F197" s="24" t="inlineStr">
        <is>
          <t>Đang mang thai</t>
        </is>
      </c>
      <c r="G197" s="24" t="inlineStr">
        <is>
          <t>Hồ Chí Minh</t>
        </is>
      </c>
      <c r="H197" s="21">
        <f>IF(ISNUMBER($B197),INT($B197)-WEEKDAY($B197,2)+1,"")</f>
        <v/>
      </c>
      <c r="I197" s="24" t="inlineStr">
        <is>
          <t>Z-SHING</t>
        </is>
      </c>
      <c r="J197" s="22">
        <f t="array" ref="J197">IF($D197="","",IF($I197="","(trống REF)",IFERROR(INDEX(MASTER_SOURCE!$B$2:$B$495,MATCH($I197,MASTER_SOURCE!$A$2:$A$495,0)),"(REF không có trong MASTER_SOURCE)")))</f>
        <v/>
      </c>
      <c r="K197" s="22">
        <f t="array" ref="K197">IF($D197="","",IFERROR(INDEX(MASTER_SOURCE!$C$2:$C$495,MATCH($I197,MASTER_SOURCE!$A$2:$A$495,0)),""))</f>
        <v/>
      </c>
      <c r="L197" s="22">
        <f t="array" ref="L197">IF($D197="","",IFERROR(INDEX(MASTER_SOURCE!$D$2:$D$495,MATCH($I197,MASTER_SOURCE!$A$2:$A$495,0)),""))</f>
        <v/>
      </c>
      <c r="M197" s="24" t="inlineStr">
        <is>
          <t>Có</t>
        </is>
      </c>
      <c r="N197" s="24" t="inlineStr">
        <is>
          <t>Có</t>
        </is>
      </c>
      <c r="O197" s="24" t="inlineStr">
        <is>
          <t>Có</t>
        </is>
      </c>
      <c r="P197" s="24" t="inlineStr">
        <is>
          <t>Có</t>
        </is>
      </c>
      <c r="Q197" s="22">
        <f>IF($D197="","",IF(AND(OR(DANH_MUC!$L$5&lt;&gt;"Có",M197="Có"),OR(DANH_MUC!$L$6&lt;&gt;"Có",N197="Có"),OR(DANH_MUC!$L$7&lt;&gt;"Có",O197="Có"),OR(DANH_MUC!$L$8&lt;&gt;"Có",P197="Có")),"Có","Không"))</f>
        <v/>
      </c>
      <c r="R197" s="22">
        <f>IF($D197="","",IF(COUNTIF($D$2:$D197,$D197)&gt;1,"Trùng",""))</f>
        <v/>
      </c>
      <c r="S197" s="22">
        <f>IF($D197="","",IF(AND(LEN($D197)=10,LEFT($D197,1)="0",ISNUMBER(--$D197)),"Có","Không"))</f>
        <v/>
      </c>
      <c r="T197" s="22">
        <f>IF($D197="","",IF(AND($C197&lt;&gt;"",$Q197="Có",$R197="",$S197="Có",AND($L197&lt;&gt;"",OR($L197&lt;&gt;"Chưa xác định",DANH_MUC!$L$9="Có"))),"Có","Không"))</f>
        <v/>
      </c>
      <c r="U197" s="22">
        <f>IF(OR($D197="",$T197="Có"),"",IF($C197="","Thiếu họ tên; ","")&amp;IF($S197&lt;&gt;"Có","SĐT sai định dạng; ","")&amp;IF($R197="Trùng","Trùng SĐT; ","")&amp;IF($Q197&lt;&gt;"Có","Thiếu đồng ý bắt buộc; ","")&amp;IF($L197="","Thiếu/sai Mã REF; ",IF(AND($L197="Chưa xác định",DANH_MUC!$L$9&lt;&gt;"Có"),"Nguồn chưa xác định; ","")))</f>
        <v/>
      </c>
      <c r="V197" s="22">
        <f>IF(OR($D197="",$R197="Trùng"),"",IF(COUNTIF(ORDERS!$C$2:$C$4995,$D197)&gt;0,"Có","Không"))</f>
        <v/>
      </c>
      <c r="W197" s="22">
        <f>IF(OR($D197="",$R197="Trùng"),"",COUNTIFS(ORDERS!$C$2:$C$4995,$D197,ORDERS!$L$2:$L$4995,"Đã chuyển khoản"))</f>
        <v/>
      </c>
      <c r="X197" s="23">
        <f>IF(OR($D197="",$R197="Trùng"),"",SUMIFS(ORDERS!$J$2:$J$4995,ORDERS!$C$2:$C$4995,$D197,ORDERS!$L$2:$L$4995,"Đã chuyển khoản"))</f>
        <v/>
      </c>
      <c r="Y197" s="24" t="n"/>
    </row>
    <row r="198" ht="14.25" customHeight="1" s="40">
      <c r="A198" s="24" t="inlineStr">
        <is>
          <t>d57aaa4e-f8cb-46d8-94da-eb9276b14bc9</t>
        </is>
      </c>
      <c r="B198" s="18" t="n">
        <v>46291.45416666667</v>
      </c>
      <c r="C198" s="24" t="inlineStr">
        <is>
          <t>Nguyễn Tấn Thành</t>
        </is>
      </c>
      <c r="D198" s="28" t="inlineStr">
        <is>
          <t>0939195416</t>
        </is>
      </c>
      <c r="E198" s="29" t="n">
        <v>46365</v>
      </c>
      <c r="F198" s="24" t="inlineStr">
        <is>
          <t>Đang mang thai</t>
        </is>
      </c>
      <c r="G198" s="24" t="inlineStr">
        <is>
          <t>Hồ Chí Minh</t>
        </is>
      </c>
      <c r="H198" s="21">
        <f>IF(ISNUMBER($B198),INT($B198)-WEEKDAY($B198,2)+1,"")</f>
        <v/>
      </c>
      <c r="I198" s="24" t="inlineStr">
        <is>
          <t>C-SHING</t>
        </is>
      </c>
      <c r="J198" s="22">
        <f t="array" ref="J198">IF($D198="","",IF($I198="","(trống REF)",IFERROR(INDEX(MASTER_SOURCE!$B$2:$B$495,MATCH($I198,MASTER_SOURCE!$A$2:$A$495,0)),"(REF không có trong MASTER_SOURCE)")))</f>
        <v/>
      </c>
      <c r="K198" s="22">
        <f t="array" ref="K198">IF($D198="","",IFERROR(INDEX(MASTER_SOURCE!$C$2:$C$495,MATCH($I198,MASTER_SOURCE!$A$2:$A$495,0)),""))</f>
        <v/>
      </c>
      <c r="L198" s="22">
        <f t="array" ref="L198">IF($D198="","",IFERROR(INDEX(MASTER_SOURCE!$D$2:$D$495,MATCH($I198,MASTER_SOURCE!$A$2:$A$495,0)),""))</f>
        <v/>
      </c>
      <c r="M198" s="24" t="inlineStr">
        <is>
          <t>Có</t>
        </is>
      </c>
      <c r="N198" s="24" t="inlineStr">
        <is>
          <t>Có</t>
        </is>
      </c>
      <c r="O198" s="24" t="inlineStr">
        <is>
          <t>Có</t>
        </is>
      </c>
      <c r="P198" s="24" t="inlineStr">
        <is>
          <t>Có</t>
        </is>
      </c>
      <c r="Q198" s="22">
        <f>IF($D198="","",IF(AND(OR(DANH_MUC!$L$5&lt;&gt;"Có",M198="Có"),OR(DANH_MUC!$L$6&lt;&gt;"Có",N198="Có"),OR(DANH_MUC!$L$7&lt;&gt;"Có",O198="Có"),OR(DANH_MUC!$L$8&lt;&gt;"Có",P198="Có")),"Có","Không"))</f>
        <v/>
      </c>
      <c r="R198" s="22">
        <f>IF($D198="","",IF(COUNTIF($D$2:$D198,$D198)&gt;1,"Trùng",""))</f>
        <v/>
      </c>
      <c r="S198" s="22">
        <f>IF($D198="","",IF(AND(LEN($D198)=10,LEFT($D198,1)="0",ISNUMBER(--$D198)),"Có","Không"))</f>
        <v/>
      </c>
      <c r="T198" s="22">
        <f>IF($D198="","",IF(AND($C198&lt;&gt;"",$Q198="Có",$R198="",$S198="Có",AND($L198&lt;&gt;"",OR($L198&lt;&gt;"Chưa xác định",DANH_MUC!$L$9="Có"))),"Có","Không"))</f>
        <v/>
      </c>
      <c r="U198" s="22">
        <f>IF(OR($D198="",$T198="Có"),"",IF($C198="","Thiếu họ tên; ","")&amp;IF($S198&lt;&gt;"Có","SĐT sai định dạng; ","")&amp;IF($R198="Trùng","Trùng SĐT; ","")&amp;IF($Q198&lt;&gt;"Có","Thiếu đồng ý bắt buộc; ","")&amp;IF($L198="","Thiếu/sai Mã REF; ",IF(AND($L198="Chưa xác định",DANH_MUC!$L$9&lt;&gt;"Có"),"Nguồn chưa xác định; ","")))</f>
        <v/>
      </c>
      <c r="V198" s="22">
        <f>IF(OR($D198="",$R198="Trùng"),"",IF(COUNTIF(ORDERS!$C$2:$C$4995,$D198)&gt;0,"Có","Không"))</f>
        <v/>
      </c>
      <c r="W198" s="22">
        <f>IF(OR($D198="",$R198="Trùng"),"",COUNTIFS(ORDERS!$C$2:$C$4995,$D198,ORDERS!$L$2:$L$4995,"Đã chuyển khoản"))</f>
        <v/>
      </c>
      <c r="X198" s="23">
        <f>IF(OR($D198="",$R198="Trùng"),"",SUMIFS(ORDERS!$J$2:$J$4995,ORDERS!$C$2:$C$4995,$D198,ORDERS!$L$2:$L$4995,"Đã chuyển khoản"))</f>
        <v/>
      </c>
      <c r="Y198" s="24" t="n"/>
    </row>
    <row r="199" ht="14.25" customHeight="1" s="40">
      <c r="A199" s="24" t="inlineStr">
        <is>
          <t>f19a1339-6960-4ba2-9f2a-9f84d74ad49a</t>
        </is>
      </c>
      <c r="B199" s="18" t="n">
        <v>46291.45763888889</v>
      </c>
      <c r="C199" s="24" t="inlineStr">
        <is>
          <t>việt hà</t>
        </is>
      </c>
      <c r="D199" s="28" t="inlineStr">
        <is>
          <t>0867806071</t>
        </is>
      </c>
      <c r="E199" s="29" t="n">
        <v>46417</v>
      </c>
      <c r="F199" s="24" t="inlineStr">
        <is>
          <t>Đang mang thai</t>
        </is>
      </c>
      <c r="G199" s="24" t="inlineStr">
        <is>
          <t>Đồng Nai</t>
        </is>
      </c>
      <c r="H199" s="21">
        <f>IF(ISNUMBER($B199),INT($B199)-WEEKDAY($B199,2)+1,"")</f>
        <v/>
      </c>
      <c r="I199" s="24" t="inlineStr">
        <is>
          <t>C-SHING</t>
        </is>
      </c>
      <c r="J199" s="22">
        <f t="array" ref="J199">IF($D199="","",IF($I199="","(trống REF)",IFERROR(INDEX(MASTER_SOURCE!$B$2:$B$495,MATCH($I199,MASTER_SOURCE!$A$2:$A$495,0)),"(REF không có trong MASTER_SOURCE)")))</f>
        <v/>
      </c>
      <c r="K199" s="22">
        <f t="array" ref="K199">IF($D199="","",IFERROR(INDEX(MASTER_SOURCE!$C$2:$C$495,MATCH($I199,MASTER_SOURCE!$A$2:$A$495,0)),""))</f>
        <v/>
      </c>
      <c r="L199" s="22">
        <f t="array" ref="L199">IF($D199="","",IFERROR(INDEX(MASTER_SOURCE!$D$2:$D$495,MATCH($I199,MASTER_SOURCE!$A$2:$A$495,0)),""))</f>
        <v/>
      </c>
      <c r="M199" s="24" t="inlineStr">
        <is>
          <t>Có</t>
        </is>
      </c>
      <c r="N199" s="24" t="inlineStr">
        <is>
          <t>Có</t>
        </is>
      </c>
      <c r="O199" s="24" t="inlineStr">
        <is>
          <t>Có</t>
        </is>
      </c>
      <c r="P199" s="24" t="inlineStr">
        <is>
          <t>Có</t>
        </is>
      </c>
      <c r="Q199" s="22">
        <f>IF($D199="","",IF(AND(OR(DANH_MUC!$L$5&lt;&gt;"Có",M199="Có"),OR(DANH_MUC!$L$6&lt;&gt;"Có",N199="Có"),OR(DANH_MUC!$L$7&lt;&gt;"Có",O199="Có"),OR(DANH_MUC!$L$8&lt;&gt;"Có",P199="Có")),"Có","Không"))</f>
        <v/>
      </c>
      <c r="R199" s="22">
        <f>IF($D199="","",IF(COUNTIF($D$2:$D199,$D199)&gt;1,"Trùng",""))</f>
        <v/>
      </c>
      <c r="S199" s="22">
        <f>IF($D199="","",IF(AND(LEN($D199)=10,LEFT($D199,1)="0",ISNUMBER(--$D199)),"Có","Không"))</f>
        <v/>
      </c>
      <c r="T199" s="22">
        <f>IF($D199="","",IF(AND($C199&lt;&gt;"",$Q199="Có",$R199="",$S199="Có",AND($L199&lt;&gt;"",OR($L199&lt;&gt;"Chưa xác định",DANH_MUC!$L$9="Có"))),"Có","Không"))</f>
        <v/>
      </c>
      <c r="U199" s="22">
        <f>IF(OR($D199="",$T199="Có"),"",IF($C199="","Thiếu họ tên; ","")&amp;IF($S199&lt;&gt;"Có","SĐT sai định dạng; ","")&amp;IF($R199="Trùng","Trùng SĐT; ","")&amp;IF($Q199&lt;&gt;"Có","Thiếu đồng ý bắt buộc; ","")&amp;IF($L199="","Thiếu/sai Mã REF; ",IF(AND($L199="Chưa xác định",DANH_MUC!$L$9&lt;&gt;"Có"),"Nguồn chưa xác định; ","")))</f>
        <v/>
      </c>
      <c r="V199" s="22">
        <f>IF(OR($D199="",$R199="Trùng"),"",IF(COUNTIF(ORDERS!$C$2:$C$4995,$D199)&gt;0,"Có","Không"))</f>
        <v/>
      </c>
      <c r="W199" s="22">
        <f>IF(OR($D199="",$R199="Trùng"),"",COUNTIFS(ORDERS!$C$2:$C$4995,$D199,ORDERS!$L$2:$L$4995,"Đã chuyển khoản"))</f>
        <v/>
      </c>
      <c r="X199" s="23">
        <f>IF(OR($D199="",$R199="Trùng"),"",SUMIFS(ORDERS!$J$2:$J$4995,ORDERS!$C$2:$C$4995,$D199,ORDERS!$L$2:$L$4995,"Đã chuyển khoản"))</f>
        <v/>
      </c>
      <c r="Y199" s="24" t="n"/>
    </row>
    <row r="200" ht="14.25" customHeight="1" s="40">
      <c r="A200" s="24" t="inlineStr">
        <is>
          <t>b62a3365-70bd-4789-ba34-9d25c23efce3</t>
        </is>
      </c>
      <c r="B200" s="18" t="n">
        <v>46291.45763888889</v>
      </c>
      <c r="C200" s="24" t="inlineStr">
        <is>
          <t>Trần Ngọc Thương Thư</t>
        </is>
      </c>
      <c r="D200" s="28" t="inlineStr">
        <is>
          <t>0896116542</t>
        </is>
      </c>
      <c r="E200" s="29" t="n">
        <v>46306</v>
      </c>
      <c r="F200" s="24" t="inlineStr">
        <is>
          <t>Đang mang thai</t>
        </is>
      </c>
      <c r="G200" s="24" t="inlineStr">
        <is>
          <t>Đồng Nai</t>
        </is>
      </c>
      <c r="H200" s="21">
        <f>IF(ISNUMBER($B200),INT($B200)-WEEKDAY($B200,2)+1,"")</f>
        <v/>
      </c>
      <c r="I200" s="24" t="inlineStr">
        <is>
          <t>C-SHING</t>
        </is>
      </c>
      <c r="J200" s="22">
        <f t="array" ref="J200">IF($D200="","",IF($I200="","(trống REF)",IFERROR(INDEX(MASTER_SOURCE!$B$2:$B$495,MATCH($I200,MASTER_SOURCE!$A$2:$A$495,0)),"(REF không có trong MASTER_SOURCE)")))</f>
        <v/>
      </c>
      <c r="K200" s="22">
        <f t="array" ref="K200">IF($D200="","",IFERROR(INDEX(MASTER_SOURCE!$C$2:$C$495,MATCH($I200,MASTER_SOURCE!$A$2:$A$495,0)),""))</f>
        <v/>
      </c>
      <c r="L200" s="22">
        <f t="array" ref="L200">IF($D200="","",IFERROR(INDEX(MASTER_SOURCE!$D$2:$D$495,MATCH($I200,MASTER_SOURCE!$A$2:$A$495,0)),""))</f>
        <v/>
      </c>
      <c r="M200" s="24" t="inlineStr">
        <is>
          <t>Có</t>
        </is>
      </c>
      <c r="N200" s="24" t="inlineStr">
        <is>
          <t>Có</t>
        </is>
      </c>
      <c r="O200" s="24" t="inlineStr">
        <is>
          <t>Có</t>
        </is>
      </c>
      <c r="P200" s="24" t="inlineStr">
        <is>
          <t>Có</t>
        </is>
      </c>
      <c r="Q200" s="22">
        <f>IF($D200="","",IF(AND(OR(DANH_MUC!$L$5&lt;&gt;"Có",M200="Có"),OR(DANH_MUC!$L$6&lt;&gt;"Có",N200="Có"),OR(DANH_MUC!$L$7&lt;&gt;"Có",O200="Có"),OR(DANH_MUC!$L$8&lt;&gt;"Có",P200="Có")),"Có","Không"))</f>
        <v/>
      </c>
      <c r="R200" s="22">
        <f>IF($D200="","",IF(COUNTIF($D$2:$D200,$D200)&gt;1,"Trùng",""))</f>
        <v/>
      </c>
      <c r="S200" s="22">
        <f>IF($D200="","",IF(AND(LEN($D200)=10,LEFT($D200,1)="0",ISNUMBER(--$D200)),"Có","Không"))</f>
        <v/>
      </c>
      <c r="T200" s="22">
        <f>IF($D200="","",IF(AND($C200&lt;&gt;"",$Q200="Có",$R200="",$S200="Có",AND($L200&lt;&gt;"",OR($L200&lt;&gt;"Chưa xác định",DANH_MUC!$L$9="Có"))),"Có","Không"))</f>
        <v/>
      </c>
      <c r="U200" s="22">
        <f>IF(OR($D200="",$T200="Có"),"",IF($C200="","Thiếu họ tên; ","")&amp;IF($S200&lt;&gt;"Có","SĐT sai định dạng; ","")&amp;IF($R200="Trùng","Trùng SĐT; ","")&amp;IF($Q200&lt;&gt;"Có","Thiếu đồng ý bắt buộc; ","")&amp;IF($L200="","Thiếu/sai Mã REF; ",IF(AND($L200="Chưa xác định",DANH_MUC!$L$9&lt;&gt;"Có"),"Nguồn chưa xác định; ","")))</f>
        <v/>
      </c>
      <c r="V200" s="22">
        <f>IF(OR($D200="",$R200="Trùng"),"",IF(COUNTIF(ORDERS!$C$2:$C$4995,$D200)&gt;0,"Có","Không"))</f>
        <v/>
      </c>
      <c r="W200" s="22">
        <f>IF(OR($D200="",$R200="Trùng"),"",COUNTIFS(ORDERS!$C$2:$C$4995,$D200,ORDERS!$L$2:$L$4995,"Đã chuyển khoản"))</f>
        <v/>
      </c>
      <c r="X200" s="23">
        <f>IF(OR($D200="",$R200="Trùng"),"",SUMIFS(ORDERS!$J$2:$J$4995,ORDERS!$C$2:$C$4995,$D200,ORDERS!$L$2:$L$4995,"Đã chuyển khoản"))</f>
        <v/>
      </c>
      <c r="Y200" s="24" t="n"/>
    </row>
    <row r="201" ht="14.25" customHeight="1" s="40">
      <c r="A201" s="24" t="inlineStr">
        <is>
          <t>4bbfc4fa-abd9-452b-b272-0d28161244bb</t>
        </is>
      </c>
      <c r="B201" s="18" t="n">
        <v>46291.45902777778</v>
      </c>
      <c r="C201" s="24" t="inlineStr">
        <is>
          <t>Lê Thị Thu</t>
        </is>
      </c>
      <c r="D201" s="28" t="inlineStr">
        <is>
          <t>0969526610</t>
        </is>
      </c>
      <c r="E201" s="29" t="n">
        <v>46501</v>
      </c>
      <c r="F201" s="24" t="inlineStr">
        <is>
          <t>Đang mang thai</t>
        </is>
      </c>
      <c r="G201" s="24" t="inlineStr">
        <is>
          <t>Đồng Nai</t>
        </is>
      </c>
      <c r="H201" s="21">
        <f>IF(ISNUMBER($B201),INT($B201)-WEEKDAY($B201,2)+1,"")</f>
        <v/>
      </c>
      <c r="I201" s="24" t="inlineStr">
        <is>
          <t>Z-SHING</t>
        </is>
      </c>
      <c r="J201" s="22">
        <f t="array" ref="J201">IF($D201="","",IF($I201="","(trống REF)",IFERROR(INDEX(MASTER_SOURCE!$B$2:$B$495,MATCH($I201,MASTER_SOURCE!$A$2:$A$495,0)),"(REF không có trong MASTER_SOURCE)")))</f>
        <v/>
      </c>
      <c r="K201" s="22">
        <f t="array" ref="K201">IF($D201="","",IFERROR(INDEX(MASTER_SOURCE!$C$2:$C$495,MATCH($I201,MASTER_SOURCE!$A$2:$A$495,0)),""))</f>
        <v/>
      </c>
      <c r="L201" s="22">
        <f t="array" ref="L201">IF($D201="","",IFERROR(INDEX(MASTER_SOURCE!$D$2:$D$495,MATCH($I201,MASTER_SOURCE!$A$2:$A$495,0)),""))</f>
        <v/>
      </c>
      <c r="M201" s="24" t="inlineStr">
        <is>
          <t>Có</t>
        </is>
      </c>
      <c r="N201" s="24" t="inlineStr">
        <is>
          <t>Có</t>
        </is>
      </c>
      <c r="O201" s="24" t="inlineStr">
        <is>
          <t>Có</t>
        </is>
      </c>
      <c r="P201" s="24" t="inlineStr">
        <is>
          <t>Có</t>
        </is>
      </c>
      <c r="Q201" s="22">
        <f>IF($D201="","",IF(AND(OR(DANH_MUC!$L$5&lt;&gt;"Có",M201="Có"),OR(DANH_MUC!$L$6&lt;&gt;"Có",N201="Có"),OR(DANH_MUC!$L$7&lt;&gt;"Có",O201="Có"),OR(DANH_MUC!$L$8&lt;&gt;"Có",P201="Có")),"Có","Không"))</f>
        <v/>
      </c>
      <c r="R201" s="22">
        <f>IF($D201="","",IF(COUNTIF($D$2:$D201,$D201)&gt;1,"Trùng",""))</f>
        <v/>
      </c>
      <c r="S201" s="22">
        <f>IF($D201="","",IF(AND(LEN($D201)=10,LEFT($D201,1)="0",ISNUMBER(--$D201)),"Có","Không"))</f>
        <v/>
      </c>
      <c r="T201" s="22">
        <f>IF($D201="","",IF(AND($C201&lt;&gt;"",$Q201="Có",$R201="",$S201="Có",AND($L201&lt;&gt;"",OR($L201&lt;&gt;"Chưa xác định",DANH_MUC!$L$9="Có"))),"Có","Không"))</f>
        <v/>
      </c>
      <c r="U201" s="22">
        <f>IF(OR($D201="",$T201="Có"),"",IF($C201="","Thiếu họ tên; ","")&amp;IF($S201&lt;&gt;"Có","SĐT sai định dạng; ","")&amp;IF($R201="Trùng","Trùng SĐT; ","")&amp;IF($Q201&lt;&gt;"Có","Thiếu đồng ý bắt buộc; ","")&amp;IF($L201="","Thiếu/sai Mã REF; ",IF(AND($L201="Chưa xác định",DANH_MUC!$L$9&lt;&gt;"Có"),"Nguồn chưa xác định; ","")))</f>
        <v/>
      </c>
      <c r="V201" s="22">
        <f>IF(OR($D201="",$R201="Trùng"),"",IF(COUNTIF(ORDERS!$C$2:$C$4995,$D201)&gt;0,"Có","Không"))</f>
        <v/>
      </c>
      <c r="W201" s="22">
        <f>IF(OR($D201="",$R201="Trùng"),"",COUNTIFS(ORDERS!$C$2:$C$4995,$D201,ORDERS!$L$2:$L$4995,"Đã chuyển khoản"))</f>
        <v/>
      </c>
      <c r="X201" s="23">
        <f>IF(OR($D201="",$R201="Trùng"),"",SUMIFS(ORDERS!$J$2:$J$4995,ORDERS!$C$2:$C$4995,$D201,ORDERS!$L$2:$L$4995,"Đã chuyển khoản"))</f>
        <v/>
      </c>
      <c r="Y201" s="24" t="n"/>
    </row>
    <row r="202" ht="14.25" customHeight="1" s="40">
      <c r="A202" s="24" t="inlineStr">
        <is>
          <t>b20b4360-e058-48a4-a22a-b2d573eb2ce1</t>
        </is>
      </c>
      <c r="B202" s="18" t="n">
        <v>46291.45972222222</v>
      </c>
      <c r="C202" s="24" t="inlineStr">
        <is>
          <t>Võ Thị Thanh Phúc</t>
        </is>
      </c>
      <c r="D202" s="28" t="inlineStr">
        <is>
          <t>0907087179</t>
        </is>
      </c>
      <c r="E202" s="29" t="n">
        <v>46295</v>
      </c>
      <c r="F202" s="24" t="inlineStr">
        <is>
          <t>Đang mang thai</t>
        </is>
      </c>
      <c r="G202" s="24" t="inlineStr">
        <is>
          <t>Đồng Nai</t>
        </is>
      </c>
      <c r="H202" s="21">
        <f>IF(ISNUMBER($B202),INT($B202)-WEEKDAY($B202,2)+1,"")</f>
        <v/>
      </c>
      <c r="I202" s="24" t="inlineStr">
        <is>
          <t>Z-SHING</t>
        </is>
      </c>
      <c r="J202" s="22">
        <f t="array" ref="J202">IF($D202="","",IF($I202="","(trống REF)",IFERROR(INDEX(MASTER_SOURCE!$B$2:$B$495,MATCH($I202,MASTER_SOURCE!$A$2:$A$495,0)),"(REF không có trong MASTER_SOURCE)")))</f>
        <v/>
      </c>
      <c r="K202" s="22">
        <f t="array" ref="K202">IF($D202="","",IFERROR(INDEX(MASTER_SOURCE!$C$2:$C$495,MATCH($I202,MASTER_SOURCE!$A$2:$A$495,0)),""))</f>
        <v/>
      </c>
      <c r="L202" s="22">
        <f t="array" ref="L202">IF($D202="","",IFERROR(INDEX(MASTER_SOURCE!$D$2:$D$495,MATCH($I202,MASTER_SOURCE!$A$2:$A$495,0)),""))</f>
        <v/>
      </c>
      <c r="M202" s="24" t="inlineStr">
        <is>
          <t>Có</t>
        </is>
      </c>
      <c r="N202" s="24" t="inlineStr">
        <is>
          <t>Có</t>
        </is>
      </c>
      <c r="O202" s="24" t="inlineStr">
        <is>
          <t>Có</t>
        </is>
      </c>
      <c r="P202" s="24" t="inlineStr">
        <is>
          <t>Có</t>
        </is>
      </c>
      <c r="Q202" s="22">
        <f>IF($D202="","",IF(AND(OR(DANH_MUC!$L$5&lt;&gt;"Có",M202="Có"),OR(DANH_MUC!$L$6&lt;&gt;"Có",N202="Có"),OR(DANH_MUC!$L$7&lt;&gt;"Có",O202="Có"),OR(DANH_MUC!$L$8&lt;&gt;"Có",P202="Có")),"Có","Không"))</f>
        <v/>
      </c>
      <c r="R202" s="22">
        <f>IF($D202="","",IF(COUNTIF($D$2:$D202,$D202)&gt;1,"Trùng",""))</f>
        <v/>
      </c>
      <c r="S202" s="22">
        <f>IF($D202="","",IF(AND(LEN($D202)=10,LEFT($D202,1)="0",ISNUMBER(--$D202)),"Có","Không"))</f>
        <v/>
      </c>
      <c r="T202" s="22">
        <f>IF($D202="","",IF(AND($C202&lt;&gt;"",$Q202="Có",$R202="",$S202="Có",AND($L202&lt;&gt;"",OR($L202&lt;&gt;"Chưa xác định",DANH_MUC!$L$9="Có"))),"Có","Không"))</f>
        <v/>
      </c>
      <c r="U202" s="22">
        <f>IF(OR($D202="",$T202="Có"),"",IF($C202="","Thiếu họ tên; ","")&amp;IF($S202&lt;&gt;"Có","SĐT sai định dạng; ","")&amp;IF($R202="Trùng","Trùng SĐT; ","")&amp;IF($Q202&lt;&gt;"Có","Thiếu đồng ý bắt buộc; ","")&amp;IF($L202="","Thiếu/sai Mã REF; ",IF(AND($L202="Chưa xác định",DANH_MUC!$L$9&lt;&gt;"Có"),"Nguồn chưa xác định; ","")))</f>
        <v/>
      </c>
      <c r="V202" s="22">
        <f>IF(OR($D202="",$R202="Trùng"),"",IF(COUNTIF(ORDERS!$C$2:$C$4995,$D202)&gt;0,"Có","Không"))</f>
        <v/>
      </c>
      <c r="W202" s="22">
        <f>IF(OR($D202="",$R202="Trùng"),"",COUNTIFS(ORDERS!$C$2:$C$4995,$D202,ORDERS!$L$2:$L$4995,"Đã chuyển khoản"))</f>
        <v/>
      </c>
      <c r="X202" s="23">
        <f>IF(OR($D202="",$R202="Trùng"),"",SUMIFS(ORDERS!$J$2:$J$4995,ORDERS!$C$2:$C$4995,$D202,ORDERS!$L$2:$L$4995,"Đã chuyển khoản"))</f>
        <v/>
      </c>
      <c r="Y202" s="24" t="n"/>
    </row>
    <row r="203" ht="14.25" customHeight="1" s="40">
      <c r="A203" s="24" t="inlineStr">
        <is>
          <t>30f51f2b-b1b1-4118-a441-9084daa3dca5</t>
        </is>
      </c>
      <c r="B203" s="18" t="n">
        <v>46291.45972222222</v>
      </c>
      <c r="C203" s="24" t="inlineStr">
        <is>
          <t>Hà My</t>
        </is>
      </c>
      <c r="D203" s="28" t="inlineStr">
        <is>
          <t>0764289741</t>
        </is>
      </c>
      <c r="E203" s="29" t="n">
        <v>46327</v>
      </c>
      <c r="F203" s="24" t="inlineStr">
        <is>
          <t>Đang mang thai</t>
        </is>
      </c>
      <c r="G203" s="24" t="inlineStr">
        <is>
          <t>Hồ Chí Minh</t>
        </is>
      </c>
      <c r="H203" s="21">
        <f>IF(ISNUMBER($B203),INT($B203)-WEEKDAY($B203,2)+1,"")</f>
        <v/>
      </c>
      <c r="I203" s="24" t="inlineStr">
        <is>
          <t>C-SHING</t>
        </is>
      </c>
      <c r="J203" s="22">
        <f t="array" ref="J203">IF($D203="","",IF($I203="","(trống REF)",IFERROR(INDEX(MASTER_SOURCE!$B$2:$B$495,MATCH($I203,MASTER_SOURCE!$A$2:$A$495,0)),"(REF không có trong MASTER_SOURCE)")))</f>
        <v/>
      </c>
      <c r="K203" s="22">
        <f t="array" ref="K203">IF($D203="","",IFERROR(INDEX(MASTER_SOURCE!$C$2:$C$495,MATCH($I203,MASTER_SOURCE!$A$2:$A$495,0)),""))</f>
        <v/>
      </c>
      <c r="L203" s="22">
        <f t="array" ref="L203">IF($D203="","",IFERROR(INDEX(MASTER_SOURCE!$D$2:$D$495,MATCH($I203,MASTER_SOURCE!$A$2:$A$495,0)),""))</f>
        <v/>
      </c>
      <c r="M203" s="24" t="inlineStr">
        <is>
          <t>Có</t>
        </is>
      </c>
      <c r="N203" s="24" t="inlineStr">
        <is>
          <t>Có</t>
        </is>
      </c>
      <c r="O203" s="24" t="inlineStr">
        <is>
          <t>Có</t>
        </is>
      </c>
      <c r="P203" s="24" t="inlineStr">
        <is>
          <t>Có</t>
        </is>
      </c>
      <c r="Q203" s="22">
        <f>IF($D203="","",IF(AND(OR(DANH_MUC!$L$5&lt;&gt;"Có",M203="Có"),OR(DANH_MUC!$L$6&lt;&gt;"Có",N203="Có"),OR(DANH_MUC!$L$7&lt;&gt;"Có",O203="Có"),OR(DANH_MUC!$L$8&lt;&gt;"Có",P203="Có")),"Có","Không"))</f>
        <v/>
      </c>
      <c r="R203" s="22">
        <f>IF($D203="","",IF(COUNTIF($D$2:$D203,$D203)&gt;1,"Trùng",""))</f>
        <v/>
      </c>
      <c r="S203" s="22">
        <f>IF($D203="","",IF(AND(LEN($D203)=10,LEFT($D203,1)="0",ISNUMBER(--$D203)),"Có","Không"))</f>
        <v/>
      </c>
      <c r="T203" s="22">
        <f>IF($D203="","",IF(AND($C203&lt;&gt;"",$Q203="Có",$R203="",$S203="Có",AND($L203&lt;&gt;"",OR($L203&lt;&gt;"Chưa xác định",DANH_MUC!$L$9="Có"))),"Có","Không"))</f>
        <v/>
      </c>
      <c r="U203" s="22">
        <f>IF(OR($D203="",$T203="Có"),"",IF($C203="","Thiếu họ tên; ","")&amp;IF($S203&lt;&gt;"Có","SĐT sai định dạng; ","")&amp;IF($R203="Trùng","Trùng SĐT; ","")&amp;IF($Q203&lt;&gt;"Có","Thiếu đồng ý bắt buộc; ","")&amp;IF($L203="","Thiếu/sai Mã REF; ",IF(AND($L203="Chưa xác định",DANH_MUC!$L$9&lt;&gt;"Có"),"Nguồn chưa xác định; ","")))</f>
        <v/>
      </c>
      <c r="V203" s="22">
        <f>IF(OR($D203="",$R203="Trùng"),"",IF(COUNTIF(ORDERS!$C$2:$C$4995,$D203)&gt;0,"Có","Không"))</f>
        <v/>
      </c>
      <c r="W203" s="22">
        <f>IF(OR($D203="",$R203="Trùng"),"",COUNTIFS(ORDERS!$C$2:$C$4995,$D203,ORDERS!$L$2:$L$4995,"Đã chuyển khoản"))</f>
        <v/>
      </c>
      <c r="X203" s="23">
        <f>IF(OR($D203="",$R203="Trùng"),"",SUMIFS(ORDERS!$J$2:$J$4995,ORDERS!$C$2:$C$4995,$D203,ORDERS!$L$2:$L$4995,"Đã chuyển khoản"))</f>
        <v/>
      </c>
      <c r="Y203" s="24" t="n"/>
    </row>
    <row r="204" ht="14.25" customHeight="1" s="40">
      <c r="A204" s="24" t="inlineStr">
        <is>
          <t>4e4364c2-721d-4d27-965f-d3bbd71bc73f</t>
        </is>
      </c>
      <c r="B204" s="18" t="n">
        <v>46291.46111111111</v>
      </c>
      <c r="C204" s="24" t="inlineStr">
        <is>
          <t>Lại Thị Minh Thùy</t>
        </is>
      </c>
      <c r="D204" s="28" t="inlineStr">
        <is>
          <t>0339522225</t>
        </is>
      </c>
      <c r="E204" s="29" t="n">
        <v>46351</v>
      </c>
      <c r="F204" s="24" t="inlineStr">
        <is>
          <t>Đang mang thai</t>
        </is>
      </c>
      <c r="G204" s="24" t="inlineStr">
        <is>
          <t>Đồng Nai</t>
        </is>
      </c>
      <c r="H204" s="21">
        <f>IF(ISNUMBER($B204),INT($B204)-WEEKDAY($B204,2)+1,"")</f>
        <v/>
      </c>
      <c r="I204" s="24" t="inlineStr">
        <is>
          <t>Z-SHING</t>
        </is>
      </c>
      <c r="J204" s="22">
        <f t="array" ref="J204">IF($D204="","",IF($I204="","(trống REF)",IFERROR(INDEX(MASTER_SOURCE!$B$2:$B$495,MATCH($I204,MASTER_SOURCE!$A$2:$A$495,0)),"(REF không có trong MASTER_SOURCE)")))</f>
        <v/>
      </c>
      <c r="K204" s="22">
        <f t="array" ref="K204">IF($D204="","",IFERROR(INDEX(MASTER_SOURCE!$C$2:$C$495,MATCH($I204,MASTER_SOURCE!$A$2:$A$495,0)),""))</f>
        <v/>
      </c>
      <c r="L204" s="22">
        <f t="array" ref="L204">IF($D204="","",IFERROR(INDEX(MASTER_SOURCE!$D$2:$D$495,MATCH($I204,MASTER_SOURCE!$A$2:$A$495,0)),""))</f>
        <v/>
      </c>
      <c r="M204" s="24" t="inlineStr">
        <is>
          <t>Có</t>
        </is>
      </c>
      <c r="N204" s="24" t="inlineStr">
        <is>
          <t>Có</t>
        </is>
      </c>
      <c r="O204" s="24" t="inlineStr">
        <is>
          <t>Có</t>
        </is>
      </c>
      <c r="P204" s="24" t="inlineStr">
        <is>
          <t>Có</t>
        </is>
      </c>
      <c r="Q204" s="22">
        <f>IF($D204="","",IF(AND(OR(DANH_MUC!$L$5&lt;&gt;"Có",M204="Có"),OR(DANH_MUC!$L$6&lt;&gt;"Có",N204="Có"),OR(DANH_MUC!$L$7&lt;&gt;"Có",O204="Có"),OR(DANH_MUC!$L$8&lt;&gt;"Có",P204="Có")),"Có","Không"))</f>
        <v/>
      </c>
      <c r="R204" s="22">
        <f>IF($D204="","",IF(COUNTIF($D$2:$D204,$D204)&gt;1,"Trùng",""))</f>
        <v/>
      </c>
      <c r="S204" s="22">
        <f>IF($D204="","",IF(AND(LEN($D204)=10,LEFT($D204,1)="0",ISNUMBER(--$D204)),"Có","Không"))</f>
        <v/>
      </c>
      <c r="T204" s="22">
        <f>IF($D204="","",IF(AND($C204&lt;&gt;"",$Q204="Có",$R204="",$S204="Có",AND($L204&lt;&gt;"",OR($L204&lt;&gt;"Chưa xác định",DANH_MUC!$L$9="Có"))),"Có","Không"))</f>
        <v/>
      </c>
      <c r="U204" s="22">
        <f>IF(OR($D204="",$T204="Có"),"",IF($C204="","Thiếu họ tên; ","")&amp;IF($S204&lt;&gt;"Có","SĐT sai định dạng; ","")&amp;IF($R204="Trùng","Trùng SĐT; ","")&amp;IF($Q204&lt;&gt;"Có","Thiếu đồng ý bắt buộc; ","")&amp;IF($L204="","Thiếu/sai Mã REF; ",IF(AND($L204="Chưa xác định",DANH_MUC!$L$9&lt;&gt;"Có"),"Nguồn chưa xác định; ","")))</f>
        <v/>
      </c>
      <c r="V204" s="22">
        <f>IF(OR($D204="",$R204="Trùng"),"",IF(COUNTIF(ORDERS!$C$2:$C$4995,$D204)&gt;0,"Có","Không"))</f>
        <v/>
      </c>
      <c r="W204" s="22">
        <f>IF(OR($D204="",$R204="Trùng"),"",COUNTIFS(ORDERS!$C$2:$C$4995,$D204,ORDERS!$L$2:$L$4995,"Đã chuyển khoản"))</f>
        <v/>
      </c>
      <c r="X204" s="23">
        <f>IF(OR($D204="",$R204="Trùng"),"",SUMIFS(ORDERS!$J$2:$J$4995,ORDERS!$C$2:$C$4995,$D204,ORDERS!$L$2:$L$4995,"Đã chuyển khoản"))</f>
        <v/>
      </c>
      <c r="Y204" s="24" t="n"/>
    </row>
    <row r="205" ht="14.25" customHeight="1" s="40">
      <c r="A205" s="24" t="inlineStr">
        <is>
          <t>221bae65-7209-49b4-a9cc-0de9d393c880</t>
        </is>
      </c>
      <c r="B205" s="18" t="n">
        <v>46291.46111111111</v>
      </c>
      <c r="C205" s="24" t="inlineStr">
        <is>
          <t>Phạm Sang</t>
        </is>
      </c>
      <c r="D205" s="28" t="inlineStr">
        <is>
          <t>0359113179</t>
        </is>
      </c>
      <c r="E205" s="29" t="n">
        <v>46447</v>
      </c>
      <c r="F205" s="24" t="inlineStr">
        <is>
          <t>Đang mang thai</t>
        </is>
      </c>
      <c r="G205" s="24" t="inlineStr">
        <is>
          <t>Hồ Chí Minh</t>
        </is>
      </c>
      <c r="H205" s="21">
        <f>IF(ISNUMBER($B205),INT($B205)-WEEKDAY($B205,2)+1,"")</f>
        <v/>
      </c>
      <c r="I205" s="24" t="inlineStr">
        <is>
          <t>C-SHING</t>
        </is>
      </c>
      <c r="J205" s="22">
        <f t="array" ref="J205">IF($D205="","",IF($I205="","(trống REF)",IFERROR(INDEX(MASTER_SOURCE!$B$2:$B$495,MATCH($I205,MASTER_SOURCE!$A$2:$A$495,0)),"(REF không có trong MASTER_SOURCE)")))</f>
        <v/>
      </c>
      <c r="K205" s="22">
        <f t="array" ref="K205">IF($D205="","",IFERROR(INDEX(MASTER_SOURCE!$C$2:$C$495,MATCH($I205,MASTER_SOURCE!$A$2:$A$495,0)),""))</f>
        <v/>
      </c>
      <c r="L205" s="22">
        <f t="array" ref="L205">IF($D205="","",IFERROR(INDEX(MASTER_SOURCE!$D$2:$D$495,MATCH($I205,MASTER_SOURCE!$A$2:$A$495,0)),""))</f>
        <v/>
      </c>
      <c r="M205" s="24" t="inlineStr">
        <is>
          <t>Có</t>
        </is>
      </c>
      <c r="N205" s="24" t="inlineStr">
        <is>
          <t>Có</t>
        </is>
      </c>
      <c r="O205" s="24" t="inlineStr">
        <is>
          <t>Có</t>
        </is>
      </c>
      <c r="P205" s="24" t="inlineStr">
        <is>
          <t>Có</t>
        </is>
      </c>
      <c r="Q205" s="22">
        <f>IF($D205="","",IF(AND(OR(DANH_MUC!$L$5&lt;&gt;"Có",M205="Có"),OR(DANH_MUC!$L$6&lt;&gt;"Có",N205="Có"),OR(DANH_MUC!$L$7&lt;&gt;"Có",O205="Có"),OR(DANH_MUC!$L$8&lt;&gt;"Có",P205="Có")),"Có","Không"))</f>
        <v/>
      </c>
      <c r="R205" s="22">
        <f>IF($D205="","",IF(COUNTIF($D$2:$D205,$D205)&gt;1,"Trùng",""))</f>
        <v/>
      </c>
      <c r="S205" s="22">
        <f>IF($D205="","",IF(AND(LEN($D205)=10,LEFT($D205,1)="0",ISNUMBER(--$D205)),"Có","Không"))</f>
        <v/>
      </c>
      <c r="T205" s="22">
        <f>IF($D205="","",IF(AND($C205&lt;&gt;"",$Q205="Có",$R205="",$S205="Có",AND($L205&lt;&gt;"",OR($L205&lt;&gt;"Chưa xác định",DANH_MUC!$L$9="Có"))),"Có","Không"))</f>
        <v/>
      </c>
      <c r="U205" s="22">
        <f>IF(OR($D205="",$T205="Có"),"",IF($C205="","Thiếu họ tên; ","")&amp;IF($S205&lt;&gt;"Có","SĐT sai định dạng; ","")&amp;IF($R205="Trùng","Trùng SĐT; ","")&amp;IF($Q205&lt;&gt;"Có","Thiếu đồng ý bắt buộc; ","")&amp;IF($L205="","Thiếu/sai Mã REF; ",IF(AND($L205="Chưa xác định",DANH_MUC!$L$9&lt;&gt;"Có"),"Nguồn chưa xác định; ","")))</f>
        <v/>
      </c>
      <c r="V205" s="22">
        <f>IF(OR($D205="",$R205="Trùng"),"",IF(COUNTIF(ORDERS!$C$2:$C$4995,$D205)&gt;0,"Có","Không"))</f>
        <v/>
      </c>
      <c r="W205" s="22">
        <f>IF(OR($D205="",$R205="Trùng"),"",COUNTIFS(ORDERS!$C$2:$C$4995,$D205,ORDERS!$L$2:$L$4995,"Đã chuyển khoản"))</f>
        <v/>
      </c>
      <c r="X205" s="23">
        <f>IF(OR($D205="",$R205="Trùng"),"",SUMIFS(ORDERS!$J$2:$J$4995,ORDERS!$C$2:$C$4995,$D205,ORDERS!$L$2:$L$4995,"Đã chuyển khoản"))</f>
        <v/>
      </c>
      <c r="Y205" s="24" t="n"/>
    </row>
    <row r="206" ht="14.25" customHeight="1" s="40">
      <c r="A206" s="24" t="inlineStr">
        <is>
          <t>75e16c26-0e96-44c6-b112-b0b29021b166</t>
        </is>
      </c>
      <c r="B206" s="18" t="n">
        <v>46291.46180555555</v>
      </c>
      <c r="C206" s="24" t="inlineStr">
        <is>
          <t>Vũ kim ngân tuyền</t>
        </is>
      </c>
      <c r="D206" s="28" t="inlineStr">
        <is>
          <t>0914123541</t>
        </is>
      </c>
      <c r="E206" s="29" t="n">
        <v>46357</v>
      </c>
      <c r="F206" s="24" t="inlineStr">
        <is>
          <t>Đang mang thai</t>
        </is>
      </c>
      <c r="G206" s="24" t="inlineStr">
        <is>
          <t>Đồng Nai</t>
        </is>
      </c>
      <c r="H206" s="21">
        <f>IF(ISNUMBER($B206),INT($B206)-WEEKDAY($B206,2)+1,"")</f>
        <v/>
      </c>
      <c r="I206" s="24" t="inlineStr">
        <is>
          <t>Z-SHING</t>
        </is>
      </c>
      <c r="J206" s="22">
        <f t="array" ref="J206">IF($D206="","",IF($I206="","(trống REF)",IFERROR(INDEX(MASTER_SOURCE!$B$2:$B$495,MATCH($I206,MASTER_SOURCE!$A$2:$A$495,0)),"(REF không có trong MASTER_SOURCE)")))</f>
        <v/>
      </c>
      <c r="K206" s="22">
        <f t="array" ref="K206">IF($D206="","",IFERROR(INDEX(MASTER_SOURCE!$C$2:$C$495,MATCH($I206,MASTER_SOURCE!$A$2:$A$495,0)),""))</f>
        <v/>
      </c>
      <c r="L206" s="22">
        <f t="array" ref="L206">IF($D206="","",IFERROR(INDEX(MASTER_SOURCE!$D$2:$D$495,MATCH($I206,MASTER_SOURCE!$A$2:$A$495,0)),""))</f>
        <v/>
      </c>
      <c r="M206" s="24" t="inlineStr">
        <is>
          <t>Có</t>
        </is>
      </c>
      <c r="N206" s="24" t="inlineStr">
        <is>
          <t>Có</t>
        </is>
      </c>
      <c r="O206" s="24" t="inlineStr">
        <is>
          <t>Có</t>
        </is>
      </c>
      <c r="P206" s="24" t="inlineStr">
        <is>
          <t>Có</t>
        </is>
      </c>
      <c r="Q206" s="22">
        <f>IF($D206="","",IF(AND(OR(DANH_MUC!$L$5&lt;&gt;"Có",M206="Có"),OR(DANH_MUC!$L$6&lt;&gt;"Có",N206="Có"),OR(DANH_MUC!$L$7&lt;&gt;"Có",O206="Có"),OR(DANH_MUC!$L$8&lt;&gt;"Có",P206="Có")),"Có","Không"))</f>
        <v/>
      </c>
      <c r="R206" s="22">
        <f>IF($D206="","",IF(COUNTIF($D$2:$D206,$D206)&gt;1,"Trùng",""))</f>
        <v/>
      </c>
      <c r="S206" s="22">
        <f>IF($D206="","",IF(AND(LEN($D206)=10,LEFT($D206,1)="0",ISNUMBER(--$D206)),"Có","Không"))</f>
        <v/>
      </c>
      <c r="T206" s="22">
        <f>IF($D206="","",IF(AND($C206&lt;&gt;"",$Q206="Có",$R206="",$S206="Có",AND($L206&lt;&gt;"",OR($L206&lt;&gt;"Chưa xác định",DANH_MUC!$L$9="Có"))),"Có","Không"))</f>
        <v/>
      </c>
      <c r="U206" s="22">
        <f>IF(OR($D206="",$T206="Có"),"",IF($C206="","Thiếu họ tên; ","")&amp;IF($S206&lt;&gt;"Có","SĐT sai định dạng; ","")&amp;IF($R206="Trùng","Trùng SĐT; ","")&amp;IF($Q206&lt;&gt;"Có","Thiếu đồng ý bắt buộc; ","")&amp;IF($L206="","Thiếu/sai Mã REF; ",IF(AND($L206="Chưa xác định",DANH_MUC!$L$9&lt;&gt;"Có"),"Nguồn chưa xác định; ","")))</f>
        <v/>
      </c>
      <c r="V206" s="22">
        <f>IF(OR($D206="",$R206="Trùng"),"",IF(COUNTIF(ORDERS!$C$2:$C$4995,$D206)&gt;0,"Có","Không"))</f>
        <v/>
      </c>
      <c r="W206" s="22">
        <f>IF(OR($D206="",$R206="Trùng"),"",COUNTIFS(ORDERS!$C$2:$C$4995,$D206,ORDERS!$L$2:$L$4995,"Đã chuyển khoản"))</f>
        <v/>
      </c>
      <c r="X206" s="23">
        <f>IF(OR($D206="",$R206="Trùng"),"",SUMIFS(ORDERS!$J$2:$J$4995,ORDERS!$C$2:$C$4995,$D206,ORDERS!$L$2:$L$4995,"Đã chuyển khoản"))</f>
        <v/>
      </c>
      <c r="Y206" s="24" t="n"/>
    </row>
    <row r="207" ht="14.25" customHeight="1" s="40">
      <c r="A207" s="24" t="inlineStr">
        <is>
          <t>291cbbcf-f624-4cbd-a95e-f53b2e74aba3</t>
        </is>
      </c>
      <c r="B207" s="18" t="n">
        <v>46291.46180555555</v>
      </c>
      <c r="C207" s="24" t="inlineStr">
        <is>
          <t>Trần Như Quyên</t>
        </is>
      </c>
      <c r="D207" s="28" t="inlineStr">
        <is>
          <t>0963214847</t>
        </is>
      </c>
      <c r="E207" s="29" t="n">
        <v>46397</v>
      </c>
      <c r="F207" s="24" t="inlineStr">
        <is>
          <t>Đang mang thai</t>
        </is>
      </c>
      <c r="G207" s="24" t="inlineStr">
        <is>
          <t>Hồ Chí Minh</t>
        </is>
      </c>
      <c r="H207" s="21">
        <f>IF(ISNUMBER($B207),INT($B207)-WEEKDAY($B207,2)+1,"")</f>
        <v/>
      </c>
      <c r="I207" s="24" t="inlineStr">
        <is>
          <t>Z-SHING</t>
        </is>
      </c>
      <c r="J207" s="22">
        <f t="array" ref="J207">IF($D207="","",IF($I207="","(trống REF)",IFERROR(INDEX(MASTER_SOURCE!$B$2:$B$495,MATCH($I207,MASTER_SOURCE!$A$2:$A$495,0)),"(REF không có trong MASTER_SOURCE)")))</f>
        <v/>
      </c>
      <c r="K207" s="22">
        <f t="array" ref="K207">IF($D207="","",IFERROR(INDEX(MASTER_SOURCE!$C$2:$C$495,MATCH($I207,MASTER_SOURCE!$A$2:$A$495,0)),""))</f>
        <v/>
      </c>
      <c r="L207" s="22">
        <f t="array" ref="L207">IF($D207="","",IFERROR(INDEX(MASTER_SOURCE!$D$2:$D$495,MATCH($I207,MASTER_SOURCE!$A$2:$A$495,0)),""))</f>
        <v/>
      </c>
      <c r="M207" s="24" t="inlineStr">
        <is>
          <t>Có</t>
        </is>
      </c>
      <c r="N207" s="24" t="inlineStr">
        <is>
          <t>Có</t>
        </is>
      </c>
      <c r="O207" s="24" t="inlineStr">
        <is>
          <t>Có</t>
        </is>
      </c>
      <c r="P207" s="24" t="inlineStr">
        <is>
          <t>Có</t>
        </is>
      </c>
      <c r="Q207" s="22">
        <f>IF($D207="","",IF(AND(OR(DANH_MUC!$L$5&lt;&gt;"Có",M207="Có"),OR(DANH_MUC!$L$6&lt;&gt;"Có",N207="Có"),OR(DANH_MUC!$L$7&lt;&gt;"Có",O207="Có"),OR(DANH_MUC!$L$8&lt;&gt;"Có",P207="Có")),"Có","Không"))</f>
        <v/>
      </c>
      <c r="R207" s="22">
        <f>IF($D207="","",IF(COUNTIF($D$2:$D207,$D207)&gt;1,"Trùng",""))</f>
        <v/>
      </c>
      <c r="S207" s="22">
        <f>IF($D207="","",IF(AND(LEN($D207)=10,LEFT($D207,1)="0",ISNUMBER(--$D207)),"Có","Không"))</f>
        <v/>
      </c>
      <c r="T207" s="22">
        <f>IF($D207="","",IF(AND($C207&lt;&gt;"",$Q207="Có",$R207="",$S207="Có",AND($L207&lt;&gt;"",OR($L207&lt;&gt;"Chưa xác định",DANH_MUC!$L$9="Có"))),"Có","Không"))</f>
        <v/>
      </c>
      <c r="U207" s="22">
        <f>IF(OR($D207="",$T207="Có"),"",IF($C207="","Thiếu họ tên; ","")&amp;IF($S207&lt;&gt;"Có","SĐT sai định dạng; ","")&amp;IF($R207="Trùng","Trùng SĐT; ","")&amp;IF($Q207&lt;&gt;"Có","Thiếu đồng ý bắt buộc; ","")&amp;IF($L207="","Thiếu/sai Mã REF; ",IF(AND($L207="Chưa xác định",DANH_MUC!$L$9&lt;&gt;"Có"),"Nguồn chưa xác định; ","")))</f>
        <v/>
      </c>
      <c r="V207" s="22">
        <f>IF(OR($D207="",$R207="Trùng"),"",IF(COUNTIF(ORDERS!$C$2:$C$4995,$D207)&gt;0,"Có","Không"))</f>
        <v/>
      </c>
      <c r="W207" s="22">
        <f>IF(OR($D207="",$R207="Trùng"),"",COUNTIFS(ORDERS!$C$2:$C$4995,$D207,ORDERS!$L$2:$L$4995,"Đã chuyển khoản"))</f>
        <v/>
      </c>
      <c r="X207" s="23">
        <f>IF(OR($D207="",$R207="Trùng"),"",SUMIFS(ORDERS!$J$2:$J$4995,ORDERS!$C$2:$C$4995,$D207,ORDERS!$L$2:$L$4995,"Đã chuyển khoản"))</f>
        <v/>
      </c>
      <c r="Y207" s="24" t="n"/>
    </row>
    <row r="208" ht="14.25" customHeight="1" s="40">
      <c r="A208" s="24" t="inlineStr">
        <is>
          <t>2d4e3847-02c2-46b7-b273-27f93874fceb</t>
        </is>
      </c>
      <c r="B208" s="18" t="n">
        <v>46291.4625</v>
      </c>
      <c r="C208" s="24" t="inlineStr">
        <is>
          <t>Lê thị thi thuỷ</t>
        </is>
      </c>
      <c r="D208" s="28" t="inlineStr">
        <is>
          <t>0866748902</t>
        </is>
      </c>
      <c r="E208" s="29" t="n">
        <v>46427</v>
      </c>
      <c r="F208" s="24" t="inlineStr">
        <is>
          <t>Đang mang thai</t>
        </is>
      </c>
      <c r="G208" s="24" t="inlineStr">
        <is>
          <t>Đồng Nai</t>
        </is>
      </c>
      <c r="H208" s="21">
        <f>IF(ISNUMBER($B208),INT($B208)-WEEKDAY($B208,2)+1,"")</f>
        <v/>
      </c>
      <c r="I208" s="24" t="inlineStr">
        <is>
          <t>Z-SHING</t>
        </is>
      </c>
      <c r="J208" s="22">
        <f t="array" ref="J208">IF($D208="","",IF($I208="","(trống REF)",IFERROR(INDEX(MASTER_SOURCE!$B$2:$B$495,MATCH($I208,MASTER_SOURCE!$A$2:$A$495,0)),"(REF không có trong MASTER_SOURCE)")))</f>
        <v/>
      </c>
      <c r="K208" s="22">
        <f t="array" ref="K208">IF($D208="","",IFERROR(INDEX(MASTER_SOURCE!$C$2:$C$495,MATCH($I208,MASTER_SOURCE!$A$2:$A$495,0)),""))</f>
        <v/>
      </c>
      <c r="L208" s="22">
        <f t="array" ref="L208">IF($D208="","",IFERROR(INDEX(MASTER_SOURCE!$D$2:$D$495,MATCH($I208,MASTER_SOURCE!$A$2:$A$495,0)),""))</f>
        <v/>
      </c>
      <c r="M208" s="24" t="inlineStr">
        <is>
          <t>Có</t>
        </is>
      </c>
      <c r="N208" s="24" t="inlineStr">
        <is>
          <t>Có</t>
        </is>
      </c>
      <c r="O208" s="24" t="inlineStr">
        <is>
          <t>Có</t>
        </is>
      </c>
      <c r="P208" s="24" t="inlineStr">
        <is>
          <t>Có</t>
        </is>
      </c>
      <c r="Q208" s="22">
        <f>IF($D208="","",IF(AND(OR(DANH_MUC!$L$5&lt;&gt;"Có",M208="Có"),OR(DANH_MUC!$L$6&lt;&gt;"Có",N208="Có"),OR(DANH_MUC!$L$7&lt;&gt;"Có",O208="Có"),OR(DANH_MUC!$L$8&lt;&gt;"Có",P208="Có")),"Có","Không"))</f>
        <v/>
      </c>
      <c r="R208" s="22">
        <f>IF($D208="","",IF(COUNTIF($D$2:$D208,$D208)&gt;1,"Trùng",""))</f>
        <v/>
      </c>
      <c r="S208" s="22">
        <f>IF($D208="","",IF(AND(LEN($D208)=10,LEFT($D208,1)="0",ISNUMBER(--$D208)),"Có","Không"))</f>
        <v/>
      </c>
      <c r="T208" s="22">
        <f>IF($D208="","",IF(AND($C208&lt;&gt;"",$Q208="Có",$R208="",$S208="Có",AND($L208&lt;&gt;"",OR($L208&lt;&gt;"Chưa xác định",DANH_MUC!$L$9="Có"))),"Có","Không"))</f>
        <v/>
      </c>
      <c r="U208" s="22">
        <f>IF(OR($D208="",$T208="Có"),"",IF($C208="","Thiếu họ tên; ","")&amp;IF($S208&lt;&gt;"Có","SĐT sai định dạng; ","")&amp;IF($R208="Trùng","Trùng SĐT; ","")&amp;IF($Q208&lt;&gt;"Có","Thiếu đồng ý bắt buộc; ","")&amp;IF($L208="","Thiếu/sai Mã REF; ",IF(AND($L208="Chưa xác định",DANH_MUC!$L$9&lt;&gt;"Có"),"Nguồn chưa xác định; ","")))</f>
        <v/>
      </c>
      <c r="V208" s="22">
        <f>IF(OR($D208="",$R208="Trùng"),"",IF(COUNTIF(ORDERS!$C$2:$C$4995,$D208)&gt;0,"Có","Không"))</f>
        <v/>
      </c>
      <c r="W208" s="22">
        <f>IF(OR($D208="",$R208="Trùng"),"",COUNTIFS(ORDERS!$C$2:$C$4995,$D208,ORDERS!$L$2:$L$4995,"Đã chuyển khoản"))</f>
        <v/>
      </c>
      <c r="X208" s="23">
        <f>IF(OR($D208="",$R208="Trùng"),"",SUMIFS(ORDERS!$J$2:$J$4995,ORDERS!$C$2:$C$4995,$D208,ORDERS!$L$2:$L$4995,"Đã chuyển khoản"))</f>
        <v/>
      </c>
      <c r="Y208" s="24" t="n"/>
    </row>
    <row r="209" ht="14.25" customHeight="1" s="40">
      <c r="A209" s="24" t="inlineStr">
        <is>
          <t>a34e4b40-a1ce-43d8-b0a8-96d7c9e38e32</t>
        </is>
      </c>
      <c r="B209" s="18" t="n">
        <v>46291.46319444444</v>
      </c>
      <c r="C209" s="24" t="inlineStr">
        <is>
          <t>Tường Vi Võ nguyễn</t>
        </is>
      </c>
      <c r="D209" s="28" t="inlineStr">
        <is>
          <t>0775736106</t>
        </is>
      </c>
      <c r="E209" s="29" t="n">
        <v>46332</v>
      </c>
      <c r="F209" s="24" t="inlineStr">
        <is>
          <t>Đang mang thai</t>
        </is>
      </c>
      <c r="G209" s="24" t="inlineStr">
        <is>
          <t>Hồ Chí Minh</t>
        </is>
      </c>
      <c r="H209" s="21">
        <f>IF(ISNUMBER($B209),INT($B209)-WEEKDAY($B209,2)+1,"")</f>
        <v/>
      </c>
      <c r="I209" s="24" t="inlineStr">
        <is>
          <t>C-SHING</t>
        </is>
      </c>
      <c r="J209" s="22">
        <f t="array" ref="J209">IF($D209="","",IF($I209="","(trống REF)",IFERROR(INDEX(MASTER_SOURCE!$B$2:$B$495,MATCH($I209,MASTER_SOURCE!$A$2:$A$495,0)),"(REF không có trong MASTER_SOURCE)")))</f>
        <v/>
      </c>
      <c r="K209" s="22">
        <f t="array" ref="K209">IF($D209="","",IFERROR(INDEX(MASTER_SOURCE!$C$2:$C$495,MATCH($I209,MASTER_SOURCE!$A$2:$A$495,0)),""))</f>
        <v/>
      </c>
      <c r="L209" s="22">
        <f t="array" ref="L209">IF($D209="","",IFERROR(INDEX(MASTER_SOURCE!$D$2:$D$495,MATCH($I209,MASTER_SOURCE!$A$2:$A$495,0)),""))</f>
        <v/>
      </c>
      <c r="M209" s="24" t="inlineStr">
        <is>
          <t>Có</t>
        </is>
      </c>
      <c r="N209" s="24" t="inlineStr">
        <is>
          <t>Có</t>
        </is>
      </c>
      <c r="O209" s="24" t="inlineStr">
        <is>
          <t>Có</t>
        </is>
      </c>
      <c r="P209" s="24" t="inlineStr">
        <is>
          <t>Có</t>
        </is>
      </c>
      <c r="Q209" s="22">
        <f>IF($D209="","",IF(AND(OR(DANH_MUC!$L$5&lt;&gt;"Có",M209="Có"),OR(DANH_MUC!$L$6&lt;&gt;"Có",N209="Có"),OR(DANH_MUC!$L$7&lt;&gt;"Có",O209="Có"),OR(DANH_MUC!$L$8&lt;&gt;"Có",P209="Có")),"Có","Không"))</f>
        <v/>
      </c>
      <c r="R209" s="22">
        <f>IF($D209="","",IF(COUNTIF($D$2:$D209,$D209)&gt;1,"Trùng",""))</f>
        <v/>
      </c>
      <c r="S209" s="22">
        <f>IF($D209="","",IF(AND(LEN($D209)=10,LEFT($D209,1)="0",ISNUMBER(--$D209)),"Có","Không"))</f>
        <v/>
      </c>
      <c r="T209" s="22">
        <f>IF($D209="","",IF(AND($C209&lt;&gt;"",$Q209="Có",$R209="",$S209="Có",AND($L209&lt;&gt;"",OR($L209&lt;&gt;"Chưa xác định",DANH_MUC!$L$9="Có"))),"Có","Không"))</f>
        <v/>
      </c>
      <c r="U209" s="22">
        <f>IF(OR($D209="",$T209="Có"),"",IF($C209="","Thiếu họ tên; ","")&amp;IF($S209&lt;&gt;"Có","SĐT sai định dạng; ","")&amp;IF($R209="Trùng","Trùng SĐT; ","")&amp;IF($Q209&lt;&gt;"Có","Thiếu đồng ý bắt buộc; ","")&amp;IF($L209="","Thiếu/sai Mã REF; ",IF(AND($L209="Chưa xác định",DANH_MUC!$L$9&lt;&gt;"Có"),"Nguồn chưa xác định; ","")))</f>
        <v/>
      </c>
      <c r="V209" s="22">
        <f>IF(OR($D209="",$R209="Trùng"),"",IF(COUNTIF(ORDERS!$C$2:$C$4995,$D209)&gt;0,"Có","Không"))</f>
        <v/>
      </c>
      <c r="W209" s="22">
        <f>IF(OR($D209="",$R209="Trùng"),"",COUNTIFS(ORDERS!$C$2:$C$4995,$D209,ORDERS!$L$2:$L$4995,"Đã chuyển khoản"))</f>
        <v/>
      </c>
      <c r="X209" s="23">
        <f>IF(OR($D209="",$R209="Trùng"),"",SUMIFS(ORDERS!$J$2:$J$4995,ORDERS!$C$2:$C$4995,$D209,ORDERS!$L$2:$L$4995,"Đã chuyển khoản"))</f>
        <v/>
      </c>
      <c r="Y209" s="24" t="n"/>
    </row>
    <row r="210" ht="14.25" customHeight="1" s="40">
      <c r="A210" s="24" t="inlineStr">
        <is>
          <t>643e90f5-83cf-47fe-8b2d-51124672c46b</t>
        </is>
      </c>
      <c r="B210" s="18" t="n">
        <v>46291.46319444444</v>
      </c>
      <c r="C210" s="24" t="inlineStr">
        <is>
          <t>Nguyễn Thị Kim Ngân</t>
        </is>
      </c>
      <c r="D210" s="28" t="inlineStr">
        <is>
          <t>0767229949</t>
        </is>
      </c>
      <c r="E210" s="29" t="n">
        <v>46317</v>
      </c>
      <c r="F210" s="24" t="inlineStr">
        <is>
          <t>Đang mang thai</t>
        </is>
      </c>
      <c r="G210" s="24" t="inlineStr">
        <is>
          <t>Đồng Nai</t>
        </is>
      </c>
      <c r="H210" s="21">
        <f>IF(ISNUMBER($B210),INT($B210)-WEEKDAY($B210,2)+1,"")</f>
        <v/>
      </c>
      <c r="I210" s="24" t="inlineStr">
        <is>
          <t>Z-SHING</t>
        </is>
      </c>
      <c r="J210" s="22">
        <f t="array" ref="J210">IF($D210="","",IF($I210="","(trống REF)",IFERROR(INDEX(MASTER_SOURCE!$B$2:$B$495,MATCH($I210,MASTER_SOURCE!$A$2:$A$495,0)),"(REF không có trong MASTER_SOURCE)")))</f>
        <v/>
      </c>
      <c r="K210" s="22">
        <f t="array" ref="K210">IF($D210="","",IFERROR(INDEX(MASTER_SOURCE!$C$2:$C$495,MATCH($I210,MASTER_SOURCE!$A$2:$A$495,0)),""))</f>
        <v/>
      </c>
      <c r="L210" s="22">
        <f t="array" ref="L210">IF($D210="","",IFERROR(INDEX(MASTER_SOURCE!$D$2:$D$495,MATCH($I210,MASTER_SOURCE!$A$2:$A$495,0)),""))</f>
        <v/>
      </c>
      <c r="M210" s="24" t="inlineStr">
        <is>
          <t>Có</t>
        </is>
      </c>
      <c r="N210" s="24" t="inlineStr">
        <is>
          <t>Có</t>
        </is>
      </c>
      <c r="O210" s="24" t="inlineStr">
        <is>
          <t>Có</t>
        </is>
      </c>
      <c r="P210" s="24" t="inlineStr">
        <is>
          <t>Có</t>
        </is>
      </c>
      <c r="Q210" s="22">
        <f>IF($D210="","",IF(AND(OR(DANH_MUC!$L$5&lt;&gt;"Có",M210="Có"),OR(DANH_MUC!$L$6&lt;&gt;"Có",N210="Có"),OR(DANH_MUC!$L$7&lt;&gt;"Có",O210="Có"),OR(DANH_MUC!$L$8&lt;&gt;"Có",P210="Có")),"Có","Không"))</f>
        <v/>
      </c>
      <c r="R210" s="22">
        <f>IF($D210="","",IF(COUNTIF($D$2:$D210,$D210)&gt;1,"Trùng",""))</f>
        <v/>
      </c>
      <c r="S210" s="22">
        <f>IF($D210="","",IF(AND(LEN($D210)=10,LEFT($D210,1)="0",ISNUMBER(--$D210)),"Có","Không"))</f>
        <v/>
      </c>
      <c r="T210" s="22">
        <f>IF($D210="","",IF(AND($C210&lt;&gt;"",$Q210="Có",$R210="",$S210="Có",AND($L210&lt;&gt;"",OR($L210&lt;&gt;"Chưa xác định",DANH_MUC!$L$9="Có"))),"Có","Không"))</f>
        <v/>
      </c>
      <c r="U210" s="22">
        <f>IF(OR($D210="",$T210="Có"),"",IF($C210="","Thiếu họ tên; ","")&amp;IF($S210&lt;&gt;"Có","SĐT sai định dạng; ","")&amp;IF($R210="Trùng","Trùng SĐT; ","")&amp;IF($Q210&lt;&gt;"Có","Thiếu đồng ý bắt buộc; ","")&amp;IF($L210="","Thiếu/sai Mã REF; ",IF(AND($L210="Chưa xác định",DANH_MUC!$L$9&lt;&gt;"Có"),"Nguồn chưa xác định; ","")))</f>
        <v/>
      </c>
      <c r="V210" s="22">
        <f>IF(OR($D210="",$R210="Trùng"),"",IF(COUNTIF(ORDERS!$C$2:$C$4995,$D210)&gt;0,"Có","Không"))</f>
        <v/>
      </c>
      <c r="W210" s="22">
        <f>IF(OR($D210="",$R210="Trùng"),"",COUNTIFS(ORDERS!$C$2:$C$4995,$D210,ORDERS!$L$2:$L$4995,"Đã chuyển khoản"))</f>
        <v/>
      </c>
      <c r="X210" s="23">
        <f>IF(OR($D210="",$R210="Trùng"),"",SUMIFS(ORDERS!$J$2:$J$4995,ORDERS!$C$2:$C$4995,$D210,ORDERS!$L$2:$L$4995,"Đã chuyển khoản"))</f>
        <v/>
      </c>
      <c r="Y210" s="24" t="n"/>
    </row>
    <row r="211" ht="14.25" customHeight="1" s="40">
      <c r="A211" s="24" t="inlineStr">
        <is>
          <t>823fb3dd-6eee-4a5c-88b6-e337641b12e5</t>
        </is>
      </c>
      <c r="B211" s="18" t="n">
        <v>46291.46319444444</v>
      </c>
      <c r="C211" s="24" t="inlineStr">
        <is>
          <t>Vũ Phạm Thuỳ Trang</t>
        </is>
      </c>
      <c r="D211" s="28" t="inlineStr">
        <is>
          <t>0906038684</t>
        </is>
      </c>
      <c r="E211" s="29" t="n">
        <v>46353</v>
      </c>
      <c r="F211" s="24" t="inlineStr">
        <is>
          <t>Đang mang thai</t>
        </is>
      </c>
      <c r="G211" s="24" t="inlineStr">
        <is>
          <t>Hồ Chí Minh</t>
        </is>
      </c>
      <c r="H211" s="21">
        <f>IF(ISNUMBER($B211),INT($B211)-WEEKDAY($B211,2)+1,"")</f>
        <v/>
      </c>
      <c r="I211" s="24" t="inlineStr">
        <is>
          <t>Z-SHING</t>
        </is>
      </c>
      <c r="J211" s="22">
        <f t="array" ref="J211">IF($D211="","",IF($I211="","(trống REF)",IFERROR(INDEX(MASTER_SOURCE!$B$2:$B$495,MATCH($I211,MASTER_SOURCE!$A$2:$A$495,0)),"(REF không có trong MASTER_SOURCE)")))</f>
        <v/>
      </c>
      <c r="K211" s="22">
        <f t="array" ref="K211">IF($D211="","",IFERROR(INDEX(MASTER_SOURCE!$C$2:$C$495,MATCH($I211,MASTER_SOURCE!$A$2:$A$495,0)),""))</f>
        <v/>
      </c>
      <c r="L211" s="22">
        <f t="array" ref="L211">IF($D211="","",IFERROR(INDEX(MASTER_SOURCE!$D$2:$D$495,MATCH($I211,MASTER_SOURCE!$A$2:$A$495,0)),""))</f>
        <v/>
      </c>
      <c r="M211" s="24" t="inlineStr">
        <is>
          <t>Có</t>
        </is>
      </c>
      <c r="N211" s="24" t="inlineStr">
        <is>
          <t>Có</t>
        </is>
      </c>
      <c r="O211" s="24" t="inlineStr">
        <is>
          <t>Có</t>
        </is>
      </c>
      <c r="P211" s="24" t="inlineStr">
        <is>
          <t>Có</t>
        </is>
      </c>
      <c r="Q211" s="22">
        <f>IF($D211="","",IF(AND(OR(DANH_MUC!$L$5&lt;&gt;"Có",M211="Có"),OR(DANH_MUC!$L$6&lt;&gt;"Có",N211="Có"),OR(DANH_MUC!$L$7&lt;&gt;"Có",O211="Có"),OR(DANH_MUC!$L$8&lt;&gt;"Có",P211="Có")),"Có","Không"))</f>
        <v/>
      </c>
      <c r="R211" s="22">
        <f>IF($D211="","",IF(COUNTIF($D$2:$D211,$D211)&gt;1,"Trùng",""))</f>
        <v/>
      </c>
      <c r="S211" s="22">
        <f>IF($D211="","",IF(AND(LEN($D211)=10,LEFT($D211,1)="0",ISNUMBER(--$D211)),"Có","Không"))</f>
        <v/>
      </c>
      <c r="T211" s="22">
        <f>IF($D211="","",IF(AND($C211&lt;&gt;"",$Q211="Có",$R211="",$S211="Có",AND($L211&lt;&gt;"",OR($L211&lt;&gt;"Chưa xác định",DANH_MUC!$L$9="Có"))),"Có","Không"))</f>
        <v/>
      </c>
      <c r="U211" s="22">
        <f>IF(OR($D211="",$T211="Có"),"",IF($C211="","Thiếu họ tên; ","")&amp;IF($S211&lt;&gt;"Có","SĐT sai định dạng; ","")&amp;IF($R211="Trùng","Trùng SĐT; ","")&amp;IF($Q211&lt;&gt;"Có","Thiếu đồng ý bắt buộc; ","")&amp;IF($L211="","Thiếu/sai Mã REF; ",IF(AND($L211="Chưa xác định",DANH_MUC!$L$9&lt;&gt;"Có"),"Nguồn chưa xác định; ","")))</f>
        <v/>
      </c>
      <c r="V211" s="22">
        <f>IF(OR($D211="",$R211="Trùng"),"",IF(COUNTIF(ORDERS!$C$2:$C$4995,$D211)&gt;0,"Có","Không"))</f>
        <v/>
      </c>
      <c r="W211" s="22">
        <f>IF(OR($D211="",$R211="Trùng"),"",COUNTIFS(ORDERS!$C$2:$C$4995,$D211,ORDERS!$L$2:$L$4995,"Đã chuyển khoản"))</f>
        <v/>
      </c>
      <c r="X211" s="23">
        <f>IF(OR($D211="",$R211="Trùng"),"",SUMIFS(ORDERS!$J$2:$J$4995,ORDERS!$C$2:$C$4995,$D211,ORDERS!$L$2:$L$4995,"Đã chuyển khoản"))</f>
        <v/>
      </c>
      <c r="Y211" s="24" t="n"/>
    </row>
    <row r="212" ht="14.25" customHeight="1" s="40">
      <c r="A212" s="24" t="inlineStr">
        <is>
          <t>f836d59f-acc0-4449-ad5c-3b0573dfa9e8</t>
        </is>
      </c>
      <c r="B212" s="18" t="n">
        <v>46291.46388888889</v>
      </c>
      <c r="C212" s="24" t="inlineStr">
        <is>
          <t>Phạm Lâm Oanh</t>
        </is>
      </c>
      <c r="D212" s="28" t="inlineStr">
        <is>
          <t>0969980594</t>
        </is>
      </c>
      <c r="E212" s="29" t="n">
        <v>46485</v>
      </c>
      <c r="F212" s="24" t="inlineStr">
        <is>
          <t>Đang mang thai</t>
        </is>
      </c>
      <c r="G212" s="24" t="inlineStr">
        <is>
          <t>Đồng Nai</t>
        </is>
      </c>
      <c r="H212" s="21">
        <f>IF(ISNUMBER($B212),INT($B212)-WEEKDAY($B212,2)+1,"")</f>
        <v/>
      </c>
      <c r="I212" s="24" t="inlineStr">
        <is>
          <t>C-SHING</t>
        </is>
      </c>
      <c r="J212" s="22">
        <f t="array" ref="J212">IF($D212="","",IF($I212="","(trống REF)",IFERROR(INDEX(MASTER_SOURCE!$B$2:$B$495,MATCH($I212,MASTER_SOURCE!$A$2:$A$495,0)),"(REF không có trong MASTER_SOURCE)")))</f>
        <v/>
      </c>
      <c r="K212" s="22">
        <f t="array" ref="K212">IF($D212="","",IFERROR(INDEX(MASTER_SOURCE!$C$2:$C$495,MATCH($I212,MASTER_SOURCE!$A$2:$A$495,0)),""))</f>
        <v/>
      </c>
      <c r="L212" s="22">
        <f t="array" ref="L212">IF($D212="","",IFERROR(INDEX(MASTER_SOURCE!$D$2:$D$495,MATCH($I212,MASTER_SOURCE!$A$2:$A$495,0)),""))</f>
        <v/>
      </c>
      <c r="M212" s="24" t="inlineStr">
        <is>
          <t>Có</t>
        </is>
      </c>
      <c r="N212" s="24" t="inlineStr">
        <is>
          <t>Có</t>
        </is>
      </c>
      <c r="O212" s="24" t="inlineStr">
        <is>
          <t>Có</t>
        </is>
      </c>
      <c r="P212" s="24" t="inlineStr">
        <is>
          <t>Có</t>
        </is>
      </c>
      <c r="Q212" s="22">
        <f>IF($D212="","",IF(AND(OR(DANH_MUC!$L$5&lt;&gt;"Có",M212="Có"),OR(DANH_MUC!$L$6&lt;&gt;"Có",N212="Có"),OR(DANH_MUC!$L$7&lt;&gt;"Có",O212="Có"),OR(DANH_MUC!$L$8&lt;&gt;"Có",P212="Có")),"Có","Không"))</f>
        <v/>
      </c>
      <c r="R212" s="22">
        <f>IF($D212="","",IF(COUNTIF($D$2:$D212,$D212)&gt;1,"Trùng",""))</f>
        <v/>
      </c>
      <c r="S212" s="22">
        <f>IF($D212="","",IF(AND(LEN($D212)=10,LEFT($D212,1)="0",ISNUMBER(--$D212)),"Có","Không"))</f>
        <v/>
      </c>
      <c r="T212" s="22">
        <f>IF($D212="","",IF(AND($C212&lt;&gt;"",$Q212="Có",$R212="",$S212="Có",AND($L212&lt;&gt;"",OR($L212&lt;&gt;"Chưa xác định",DANH_MUC!$L$9="Có"))),"Có","Không"))</f>
        <v/>
      </c>
      <c r="U212" s="22">
        <f>IF(OR($D212="",$T212="Có"),"",IF($C212="","Thiếu họ tên; ","")&amp;IF($S212&lt;&gt;"Có","SĐT sai định dạng; ","")&amp;IF($R212="Trùng","Trùng SĐT; ","")&amp;IF($Q212&lt;&gt;"Có","Thiếu đồng ý bắt buộc; ","")&amp;IF($L212="","Thiếu/sai Mã REF; ",IF(AND($L212="Chưa xác định",DANH_MUC!$L$9&lt;&gt;"Có"),"Nguồn chưa xác định; ","")))</f>
        <v/>
      </c>
      <c r="V212" s="22">
        <f>IF(OR($D212="",$R212="Trùng"),"",IF(COUNTIF(ORDERS!$C$2:$C$4995,$D212)&gt;0,"Có","Không"))</f>
        <v/>
      </c>
      <c r="W212" s="22">
        <f>IF(OR($D212="",$R212="Trùng"),"",COUNTIFS(ORDERS!$C$2:$C$4995,$D212,ORDERS!$L$2:$L$4995,"Đã chuyển khoản"))</f>
        <v/>
      </c>
      <c r="X212" s="23">
        <f>IF(OR($D212="",$R212="Trùng"),"",SUMIFS(ORDERS!$J$2:$J$4995,ORDERS!$C$2:$C$4995,$D212,ORDERS!$L$2:$L$4995,"Đã chuyển khoản"))</f>
        <v/>
      </c>
      <c r="Y212" s="24" t="n"/>
    </row>
    <row r="213" ht="14.25" customHeight="1" s="40">
      <c r="A213" s="24" t="inlineStr">
        <is>
          <t>d700a624-100c-4473-932b-153988490dbe</t>
        </is>
      </c>
      <c r="B213" s="18" t="n">
        <v>46291.46388888889</v>
      </c>
      <c r="C213" s="24" t="inlineStr">
        <is>
          <t>Ngô Thị Hương</t>
        </is>
      </c>
      <c r="D213" s="28" t="inlineStr">
        <is>
          <t>0345274056</t>
        </is>
      </c>
      <c r="E213" s="29" t="n">
        <v>46402</v>
      </c>
      <c r="F213" s="24" t="inlineStr">
        <is>
          <t>Đang mang thai</t>
        </is>
      </c>
      <c r="G213" s="24" t="inlineStr">
        <is>
          <t>Hồ Chí Minh</t>
        </is>
      </c>
      <c r="H213" s="21">
        <f>IF(ISNUMBER($B213),INT($B213)-WEEKDAY($B213,2)+1,"")</f>
        <v/>
      </c>
      <c r="I213" s="24" t="inlineStr">
        <is>
          <t>Z-SHING</t>
        </is>
      </c>
      <c r="J213" s="22">
        <f t="array" ref="J213">IF($D213="","",IF($I213="","(trống REF)",IFERROR(INDEX(MASTER_SOURCE!$B$2:$B$495,MATCH($I213,MASTER_SOURCE!$A$2:$A$495,0)),"(REF không có trong MASTER_SOURCE)")))</f>
        <v/>
      </c>
      <c r="K213" s="22">
        <f t="array" ref="K213">IF($D213="","",IFERROR(INDEX(MASTER_SOURCE!$C$2:$C$495,MATCH($I213,MASTER_SOURCE!$A$2:$A$495,0)),""))</f>
        <v/>
      </c>
      <c r="L213" s="22">
        <f t="array" ref="L213">IF($D213="","",IFERROR(INDEX(MASTER_SOURCE!$D$2:$D$495,MATCH($I213,MASTER_SOURCE!$A$2:$A$495,0)),""))</f>
        <v/>
      </c>
      <c r="M213" s="24" t="inlineStr">
        <is>
          <t>Có</t>
        </is>
      </c>
      <c r="N213" s="24" t="inlineStr">
        <is>
          <t>Có</t>
        </is>
      </c>
      <c r="O213" s="24" t="inlineStr">
        <is>
          <t>Có</t>
        </is>
      </c>
      <c r="P213" s="24" t="inlineStr">
        <is>
          <t>Có</t>
        </is>
      </c>
      <c r="Q213" s="22">
        <f>IF($D213="","",IF(AND(OR(DANH_MUC!$L$5&lt;&gt;"Có",M213="Có"),OR(DANH_MUC!$L$6&lt;&gt;"Có",N213="Có"),OR(DANH_MUC!$L$7&lt;&gt;"Có",O213="Có"),OR(DANH_MUC!$L$8&lt;&gt;"Có",P213="Có")),"Có","Không"))</f>
        <v/>
      </c>
      <c r="R213" s="22">
        <f>IF($D213="","",IF(COUNTIF($D$2:$D213,$D213)&gt;1,"Trùng",""))</f>
        <v/>
      </c>
      <c r="S213" s="22">
        <f>IF($D213="","",IF(AND(LEN($D213)=10,LEFT($D213,1)="0",ISNUMBER(--$D213)),"Có","Không"))</f>
        <v/>
      </c>
      <c r="T213" s="22">
        <f>IF($D213="","",IF(AND($C213&lt;&gt;"",$Q213="Có",$R213="",$S213="Có",AND($L213&lt;&gt;"",OR($L213&lt;&gt;"Chưa xác định",DANH_MUC!$L$9="Có"))),"Có","Không"))</f>
        <v/>
      </c>
      <c r="U213" s="22">
        <f>IF(OR($D213="",$T213="Có"),"",IF($C213="","Thiếu họ tên; ","")&amp;IF($S213&lt;&gt;"Có","SĐT sai định dạng; ","")&amp;IF($R213="Trùng","Trùng SĐT; ","")&amp;IF($Q213&lt;&gt;"Có","Thiếu đồng ý bắt buộc; ","")&amp;IF($L213="","Thiếu/sai Mã REF; ",IF(AND($L213="Chưa xác định",DANH_MUC!$L$9&lt;&gt;"Có"),"Nguồn chưa xác định; ","")))</f>
        <v/>
      </c>
      <c r="V213" s="22">
        <f>IF(OR($D213="",$R213="Trùng"),"",IF(COUNTIF(ORDERS!$C$2:$C$4995,$D213)&gt;0,"Có","Không"))</f>
        <v/>
      </c>
      <c r="W213" s="22">
        <f>IF(OR($D213="",$R213="Trùng"),"",COUNTIFS(ORDERS!$C$2:$C$4995,$D213,ORDERS!$L$2:$L$4995,"Đã chuyển khoản"))</f>
        <v/>
      </c>
      <c r="X213" s="23">
        <f>IF(OR($D213="",$R213="Trùng"),"",SUMIFS(ORDERS!$J$2:$J$4995,ORDERS!$C$2:$C$4995,$D213,ORDERS!$L$2:$L$4995,"Đã chuyển khoản"))</f>
        <v/>
      </c>
      <c r="Y213" s="24" t="n"/>
    </row>
    <row r="214" ht="14.25" customHeight="1" s="40">
      <c r="A214" s="24" t="inlineStr">
        <is>
          <t>d3b6031a-3fec-4b13-9eff-703166273135</t>
        </is>
      </c>
      <c r="B214" s="18" t="n">
        <v>46291.46527777778</v>
      </c>
      <c r="C214" s="24" t="inlineStr">
        <is>
          <t>Đỗ Ngân Giang</t>
        </is>
      </c>
      <c r="D214" s="28" t="inlineStr">
        <is>
          <t>0901772094</t>
        </is>
      </c>
      <c r="E214" s="29" t="n">
        <v>46321</v>
      </c>
      <c r="F214" s="24" t="inlineStr">
        <is>
          <t>Đang mang thai</t>
        </is>
      </c>
      <c r="G214" s="24" t="inlineStr">
        <is>
          <t>Hồ Chí Minh</t>
        </is>
      </c>
      <c r="H214" s="21">
        <f>IF(ISNUMBER($B214),INT($B214)-WEEKDAY($B214,2)+1,"")</f>
        <v/>
      </c>
      <c r="I214" s="24" t="inlineStr">
        <is>
          <t>Z-SHING</t>
        </is>
      </c>
      <c r="J214" s="22">
        <f t="array" ref="J214">IF($D214="","",IF($I214="","(trống REF)",IFERROR(INDEX(MASTER_SOURCE!$B$2:$B$495,MATCH($I214,MASTER_SOURCE!$A$2:$A$495,0)),"(REF không có trong MASTER_SOURCE)")))</f>
        <v/>
      </c>
      <c r="K214" s="22">
        <f t="array" ref="K214">IF($D214="","",IFERROR(INDEX(MASTER_SOURCE!$C$2:$C$495,MATCH($I214,MASTER_SOURCE!$A$2:$A$495,0)),""))</f>
        <v/>
      </c>
      <c r="L214" s="22">
        <f t="array" ref="L214">IF($D214="","",IFERROR(INDEX(MASTER_SOURCE!$D$2:$D$495,MATCH($I214,MASTER_SOURCE!$A$2:$A$495,0)),""))</f>
        <v/>
      </c>
      <c r="M214" s="24" t="inlineStr">
        <is>
          <t>Có</t>
        </is>
      </c>
      <c r="N214" s="24" t="inlineStr">
        <is>
          <t>Có</t>
        </is>
      </c>
      <c r="O214" s="24" t="inlineStr">
        <is>
          <t>Có</t>
        </is>
      </c>
      <c r="P214" s="24" t="inlineStr">
        <is>
          <t>Có</t>
        </is>
      </c>
      <c r="Q214" s="22">
        <f>IF($D214="","",IF(AND(OR(DANH_MUC!$L$5&lt;&gt;"Có",M214="Có"),OR(DANH_MUC!$L$6&lt;&gt;"Có",N214="Có"),OR(DANH_MUC!$L$7&lt;&gt;"Có",O214="Có"),OR(DANH_MUC!$L$8&lt;&gt;"Có",P214="Có")),"Có","Không"))</f>
        <v/>
      </c>
      <c r="R214" s="22">
        <f>IF($D214="","",IF(COUNTIF($D$2:$D214,$D214)&gt;1,"Trùng",""))</f>
        <v/>
      </c>
      <c r="S214" s="22">
        <f>IF($D214="","",IF(AND(LEN($D214)=10,LEFT($D214,1)="0",ISNUMBER(--$D214)),"Có","Không"))</f>
        <v/>
      </c>
      <c r="T214" s="22">
        <f>IF($D214="","",IF(AND($C214&lt;&gt;"",$Q214="Có",$R214="",$S214="Có",AND($L214&lt;&gt;"",OR($L214&lt;&gt;"Chưa xác định",DANH_MUC!$L$9="Có"))),"Có","Không"))</f>
        <v/>
      </c>
      <c r="U214" s="22">
        <f>IF(OR($D214="",$T214="Có"),"",IF($C214="","Thiếu họ tên; ","")&amp;IF($S214&lt;&gt;"Có","SĐT sai định dạng; ","")&amp;IF($R214="Trùng","Trùng SĐT; ","")&amp;IF($Q214&lt;&gt;"Có","Thiếu đồng ý bắt buộc; ","")&amp;IF($L214="","Thiếu/sai Mã REF; ",IF(AND($L214="Chưa xác định",DANH_MUC!$L$9&lt;&gt;"Có"),"Nguồn chưa xác định; ","")))</f>
        <v/>
      </c>
      <c r="V214" s="22">
        <f>IF(OR($D214="",$R214="Trùng"),"",IF(COUNTIF(ORDERS!$C$2:$C$4995,$D214)&gt;0,"Có","Không"))</f>
        <v/>
      </c>
      <c r="W214" s="22">
        <f>IF(OR($D214="",$R214="Trùng"),"",COUNTIFS(ORDERS!$C$2:$C$4995,$D214,ORDERS!$L$2:$L$4995,"Đã chuyển khoản"))</f>
        <v/>
      </c>
      <c r="X214" s="23">
        <f>IF(OR($D214="",$R214="Trùng"),"",SUMIFS(ORDERS!$J$2:$J$4995,ORDERS!$C$2:$C$4995,$D214,ORDERS!$L$2:$L$4995,"Đã chuyển khoản"))</f>
        <v/>
      </c>
      <c r="Y214" s="24" t="n"/>
    </row>
    <row r="215" ht="14.25" customHeight="1" s="40">
      <c r="A215" s="24" t="inlineStr">
        <is>
          <t>072f06cc-c5e5-45b5-a300-1febd4845bb9</t>
        </is>
      </c>
      <c r="B215" s="18" t="n">
        <v>46291.46597222222</v>
      </c>
      <c r="C215" s="24" t="inlineStr">
        <is>
          <t>Lâm thị Lan</t>
        </is>
      </c>
      <c r="D215" s="28" t="inlineStr">
        <is>
          <t>0338176452</t>
        </is>
      </c>
      <c r="E215" s="29" t="n">
        <v>46383</v>
      </c>
      <c r="F215" s="24" t="inlineStr">
        <is>
          <t>Đang mang thai</t>
        </is>
      </c>
      <c r="G215" s="24" t="inlineStr">
        <is>
          <t>Đồng Nai</t>
        </is>
      </c>
      <c r="H215" s="21">
        <f>IF(ISNUMBER($B215),INT($B215)-WEEKDAY($B215,2)+1,"")</f>
        <v/>
      </c>
      <c r="I215" s="24" t="inlineStr">
        <is>
          <t>Z-SHING</t>
        </is>
      </c>
      <c r="J215" s="22">
        <f t="array" ref="J215">IF($D215="","",IF($I215="","(trống REF)",IFERROR(INDEX(MASTER_SOURCE!$B$2:$B$495,MATCH($I215,MASTER_SOURCE!$A$2:$A$495,0)),"(REF không có trong MASTER_SOURCE)")))</f>
        <v/>
      </c>
      <c r="K215" s="22">
        <f t="array" ref="K215">IF($D215="","",IFERROR(INDEX(MASTER_SOURCE!$C$2:$C$495,MATCH($I215,MASTER_SOURCE!$A$2:$A$495,0)),""))</f>
        <v/>
      </c>
      <c r="L215" s="22">
        <f t="array" ref="L215">IF($D215="","",IFERROR(INDEX(MASTER_SOURCE!$D$2:$D$495,MATCH($I215,MASTER_SOURCE!$A$2:$A$495,0)),""))</f>
        <v/>
      </c>
      <c r="M215" s="24" t="inlineStr">
        <is>
          <t>Có</t>
        </is>
      </c>
      <c r="N215" s="24" t="inlineStr">
        <is>
          <t>Có</t>
        </is>
      </c>
      <c r="O215" s="24" t="inlineStr">
        <is>
          <t>Có</t>
        </is>
      </c>
      <c r="P215" s="24" t="inlineStr">
        <is>
          <t>Có</t>
        </is>
      </c>
      <c r="Q215" s="22">
        <f>IF($D215="","",IF(AND(OR(DANH_MUC!$L$5&lt;&gt;"Có",M215="Có"),OR(DANH_MUC!$L$6&lt;&gt;"Có",N215="Có"),OR(DANH_MUC!$L$7&lt;&gt;"Có",O215="Có"),OR(DANH_MUC!$L$8&lt;&gt;"Có",P215="Có")),"Có","Không"))</f>
        <v/>
      </c>
      <c r="R215" s="22">
        <f>IF($D215="","",IF(COUNTIF($D$2:$D215,$D215)&gt;1,"Trùng",""))</f>
        <v/>
      </c>
      <c r="S215" s="22">
        <f>IF($D215="","",IF(AND(LEN($D215)=10,LEFT($D215,1)="0",ISNUMBER(--$D215)),"Có","Không"))</f>
        <v/>
      </c>
      <c r="T215" s="22">
        <f>IF($D215="","",IF(AND($C215&lt;&gt;"",$Q215="Có",$R215="",$S215="Có",AND($L215&lt;&gt;"",OR($L215&lt;&gt;"Chưa xác định",DANH_MUC!$L$9="Có"))),"Có","Không"))</f>
        <v/>
      </c>
      <c r="U215" s="22">
        <f>IF(OR($D215="",$T215="Có"),"",IF($C215="","Thiếu họ tên; ","")&amp;IF($S215&lt;&gt;"Có","SĐT sai định dạng; ","")&amp;IF($R215="Trùng","Trùng SĐT; ","")&amp;IF($Q215&lt;&gt;"Có","Thiếu đồng ý bắt buộc; ","")&amp;IF($L215="","Thiếu/sai Mã REF; ",IF(AND($L215="Chưa xác định",DANH_MUC!$L$9&lt;&gt;"Có"),"Nguồn chưa xác định; ","")))</f>
        <v/>
      </c>
      <c r="V215" s="22">
        <f>IF(OR($D215="",$R215="Trùng"),"",IF(COUNTIF(ORDERS!$C$2:$C$4995,$D215)&gt;0,"Có","Không"))</f>
        <v/>
      </c>
      <c r="W215" s="22">
        <f>IF(OR($D215="",$R215="Trùng"),"",COUNTIFS(ORDERS!$C$2:$C$4995,$D215,ORDERS!$L$2:$L$4995,"Đã chuyển khoản"))</f>
        <v/>
      </c>
      <c r="X215" s="23">
        <f>IF(OR($D215="",$R215="Trùng"),"",SUMIFS(ORDERS!$J$2:$J$4995,ORDERS!$C$2:$C$4995,$D215,ORDERS!$L$2:$L$4995,"Đã chuyển khoản"))</f>
        <v/>
      </c>
      <c r="Y215" s="24" t="n"/>
    </row>
    <row r="216" ht="14.25" customHeight="1" s="40">
      <c r="A216" s="24" t="inlineStr">
        <is>
          <t>3dc58947-40e4-4a07-a4e4-f0e625c34da4</t>
        </is>
      </c>
      <c r="B216" s="18" t="n">
        <v>46291.46666666667</v>
      </c>
      <c r="C216" s="24" t="inlineStr">
        <is>
          <t>trần thị phương ngân</t>
        </is>
      </c>
      <c r="D216" s="28" t="inlineStr">
        <is>
          <t>0336051204</t>
        </is>
      </c>
      <c r="E216" s="29" t="n">
        <v>46427</v>
      </c>
      <c r="F216" s="24" t="inlineStr">
        <is>
          <t>Đang mang thai</t>
        </is>
      </c>
      <c r="G216" s="24" t="inlineStr">
        <is>
          <t>Đồng Nai</t>
        </is>
      </c>
      <c r="H216" s="21">
        <f>IF(ISNUMBER($B216),INT($B216)-WEEKDAY($B216,2)+1,"")</f>
        <v/>
      </c>
      <c r="I216" s="24" t="inlineStr">
        <is>
          <t>Z-SHING</t>
        </is>
      </c>
      <c r="J216" s="22">
        <f t="array" ref="J216">IF($D216="","",IF($I216="","(trống REF)",IFERROR(INDEX(MASTER_SOURCE!$B$2:$B$495,MATCH($I216,MASTER_SOURCE!$A$2:$A$495,0)),"(REF không có trong MASTER_SOURCE)")))</f>
        <v/>
      </c>
      <c r="K216" s="22">
        <f t="array" ref="K216">IF($D216="","",IFERROR(INDEX(MASTER_SOURCE!$C$2:$C$495,MATCH($I216,MASTER_SOURCE!$A$2:$A$495,0)),""))</f>
        <v/>
      </c>
      <c r="L216" s="22">
        <f t="array" ref="L216">IF($D216="","",IFERROR(INDEX(MASTER_SOURCE!$D$2:$D$495,MATCH($I216,MASTER_SOURCE!$A$2:$A$495,0)),""))</f>
        <v/>
      </c>
      <c r="M216" s="24" t="inlineStr">
        <is>
          <t>Có</t>
        </is>
      </c>
      <c r="N216" s="24" t="inlineStr">
        <is>
          <t>Có</t>
        </is>
      </c>
      <c r="O216" s="24" t="inlineStr">
        <is>
          <t>Có</t>
        </is>
      </c>
      <c r="P216" s="24" t="inlineStr">
        <is>
          <t>Có</t>
        </is>
      </c>
      <c r="Q216" s="22">
        <f>IF($D216="","",IF(AND(OR(DANH_MUC!$L$5&lt;&gt;"Có",M216="Có"),OR(DANH_MUC!$L$6&lt;&gt;"Có",N216="Có"),OR(DANH_MUC!$L$7&lt;&gt;"Có",O216="Có"),OR(DANH_MUC!$L$8&lt;&gt;"Có",P216="Có")),"Có","Không"))</f>
        <v/>
      </c>
      <c r="R216" s="22">
        <f>IF($D216="","",IF(COUNTIF($D$2:$D216,$D216)&gt;1,"Trùng",""))</f>
        <v/>
      </c>
      <c r="S216" s="22">
        <f>IF($D216="","",IF(AND(LEN($D216)=10,LEFT($D216,1)="0",ISNUMBER(--$D216)),"Có","Không"))</f>
        <v/>
      </c>
      <c r="T216" s="22">
        <f>IF($D216="","",IF(AND($C216&lt;&gt;"",$Q216="Có",$R216="",$S216="Có",AND($L216&lt;&gt;"",OR($L216&lt;&gt;"Chưa xác định",DANH_MUC!$L$9="Có"))),"Có","Không"))</f>
        <v/>
      </c>
      <c r="U216" s="22">
        <f>IF(OR($D216="",$T216="Có"),"",IF($C216="","Thiếu họ tên; ","")&amp;IF($S216&lt;&gt;"Có","SĐT sai định dạng; ","")&amp;IF($R216="Trùng","Trùng SĐT; ","")&amp;IF($Q216&lt;&gt;"Có","Thiếu đồng ý bắt buộc; ","")&amp;IF($L216="","Thiếu/sai Mã REF; ",IF(AND($L216="Chưa xác định",DANH_MUC!$L$9&lt;&gt;"Có"),"Nguồn chưa xác định; ","")))</f>
        <v/>
      </c>
      <c r="V216" s="22">
        <f>IF(OR($D216="",$R216="Trùng"),"",IF(COUNTIF(ORDERS!$C$2:$C$4995,$D216)&gt;0,"Có","Không"))</f>
        <v/>
      </c>
      <c r="W216" s="22">
        <f>IF(OR($D216="",$R216="Trùng"),"",COUNTIFS(ORDERS!$C$2:$C$4995,$D216,ORDERS!$L$2:$L$4995,"Đã chuyển khoản"))</f>
        <v/>
      </c>
      <c r="X216" s="23">
        <f>IF(OR($D216="",$R216="Trùng"),"",SUMIFS(ORDERS!$J$2:$J$4995,ORDERS!$C$2:$C$4995,$D216,ORDERS!$L$2:$L$4995,"Đã chuyển khoản"))</f>
        <v/>
      </c>
      <c r="Y216" s="24" t="n"/>
    </row>
    <row r="217" ht="14.25" customHeight="1" s="40">
      <c r="A217" s="24" t="inlineStr">
        <is>
          <t>2e785007-db0b-4ec3-a48b-68c7322c8482</t>
        </is>
      </c>
      <c r="B217" s="18" t="n">
        <v>46291.46666666667</v>
      </c>
      <c r="C217" s="24" t="inlineStr">
        <is>
          <t>Nguyễn Trịnh Thu Hoà</t>
        </is>
      </c>
      <c r="D217" s="28" t="inlineStr">
        <is>
          <t>0393362617</t>
        </is>
      </c>
      <c r="E217" s="29" t="n">
        <v>46386</v>
      </c>
      <c r="F217" s="24" t="inlineStr">
        <is>
          <t>Đang mang thai</t>
        </is>
      </c>
      <c r="G217" s="24" t="inlineStr">
        <is>
          <t>Đồng Nai</t>
        </is>
      </c>
      <c r="H217" s="21">
        <f>IF(ISNUMBER($B217),INT($B217)-WEEKDAY($B217,2)+1,"")</f>
        <v/>
      </c>
      <c r="I217" s="24" t="inlineStr">
        <is>
          <t>C-SHING</t>
        </is>
      </c>
      <c r="J217" s="22">
        <f t="array" ref="J217">IF($D217="","",IF($I217="","(trống REF)",IFERROR(INDEX(MASTER_SOURCE!$B$2:$B$495,MATCH($I217,MASTER_SOURCE!$A$2:$A$495,0)),"(REF không có trong MASTER_SOURCE)")))</f>
        <v/>
      </c>
      <c r="K217" s="22">
        <f t="array" ref="K217">IF($D217="","",IFERROR(INDEX(MASTER_SOURCE!$C$2:$C$495,MATCH($I217,MASTER_SOURCE!$A$2:$A$495,0)),""))</f>
        <v/>
      </c>
      <c r="L217" s="22">
        <f t="array" ref="L217">IF($D217="","",IFERROR(INDEX(MASTER_SOURCE!$D$2:$D$495,MATCH($I217,MASTER_SOURCE!$A$2:$A$495,0)),""))</f>
        <v/>
      </c>
      <c r="M217" s="24" t="inlineStr">
        <is>
          <t>Có</t>
        </is>
      </c>
      <c r="N217" s="24" t="inlineStr">
        <is>
          <t>Có</t>
        </is>
      </c>
      <c r="O217" s="24" t="inlineStr">
        <is>
          <t>Có</t>
        </is>
      </c>
      <c r="P217" s="24" t="inlineStr">
        <is>
          <t>Có</t>
        </is>
      </c>
      <c r="Q217" s="22">
        <f>IF($D217="","",IF(AND(OR(DANH_MUC!$L$5&lt;&gt;"Có",M217="Có"),OR(DANH_MUC!$L$6&lt;&gt;"Có",N217="Có"),OR(DANH_MUC!$L$7&lt;&gt;"Có",O217="Có"),OR(DANH_MUC!$L$8&lt;&gt;"Có",P217="Có")),"Có","Không"))</f>
        <v/>
      </c>
      <c r="R217" s="22">
        <f>IF($D217="","",IF(COUNTIF($D$2:$D217,$D217)&gt;1,"Trùng",""))</f>
        <v/>
      </c>
      <c r="S217" s="22">
        <f>IF($D217="","",IF(AND(LEN($D217)=10,LEFT($D217,1)="0",ISNUMBER(--$D217)),"Có","Không"))</f>
        <v/>
      </c>
      <c r="T217" s="22">
        <f>IF($D217="","",IF(AND($C217&lt;&gt;"",$Q217="Có",$R217="",$S217="Có",AND($L217&lt;&gt;"",OR($L217&lt;&gt;"Chưa xác định",DANH_MUC!$L$9="Có"))),"Có","Không"))</f>
        <v/>
      </c>
      <c r="U217" s="22">
        <f>IF(OR($D217="",$T217="Có"),"",IF($C217="","Thiếu họ tên; ","")&amp;IF($S217&lt;&gt;"Có","SĐT sai định dạng; ","")&amp;IF($R217="Trùng","Trùng SĐT; ","")&amp;IF($Q217&lt;&gt;"Có","Thiếu đồng ý bắt buộc; ","")&amp;IF($L217="","Thiếu/sai Mã REF; ",IF(AND($L217="Chưa xác định",DANH_MUC!$L$9&lt;&gt;"Có"),"Nguồn chưa xác định; ","")))</f>
        <v/>
      </c>
      <c r="V217" s="22">
        <f>IF(OR($D217="",$R217="Trùng"),"",IF(COUNTIF(ORDERS!$C$2:$C$4995,$D217)&gt;0,"Có","Không"))</f>
        <v/>
      </c>
      <c r="W217" s="22">
        <f>IF(OR($D217="",$R217="Trùng"),"",COUNTIFS(ORDERS!$C$2:$C$4995,$D217,ORDERS!$L$2:$L$4995,"Đã chuyển khoản"))</f>
        <v/>
      </c>
      <c r="X217" s="23">
        <f>IF(OR($D217="",$R217="Trùng"),"",SUMIFS(ORDERS!$J$2:$J$4995,ORDERS!$C$2:$C$4995,$D217,ORDERS!$L$2:$L$4995,"Đã chuyển khoản"))</f>
        <v/>
      </c>
      <c r="Y217" s="24" t="n"/>
    </row>
    <row r="218" ht="14.25" customHeight="1" s="40">
      <c r="A218" s="24" t="inlineStr">
        <is>
          <t>faeebbb0-5242-4d51-8f16-e26b28005cce</t>
        </is>
      </c>
      <c r="B218" s="18" t="n">
        <v>46291.46805555555</v>
      </c>
      <c r="C218" s="24" t="inlineStr">
        <is>
          <t>Đỗ Thị Hồng Thắm</t>
        </is>
      </c>
      <c r="D218" s="28" t="inlineStr">
        <is>
          <t>0968071235</t>
        </is>
      </c>
      <c r="E218" s="29" t="n">
        <v>46368</v>
      </c>
      <c r="F218" s="24" t="inlineStr">
        <is>
          <t>Đang mang thai</t>
        </is>
      </c>
      <c r="G218" s="24" t="inlineStr">
        <is>
          <t>Hồ Chí Minh</t>
        </is>
      </c>
      <c r="H218" s="21">
        <f>IF(ISNUMBER($B218),INT($B218)-WEEKDAY($B218,2)+1,"")</f>
        <v/>
      </c>
      <c r="I218" s="24" t="inlineStr">
        <is>
          <t>Z-SHING</t>
        </is>
      </c>
      <c r="J218" s="22">
        <f t="array" ref="J218">IF($D218="","",IF($I218="","(trống REF)",IFERROR(INDEX(MASTER_SOURCE!$B$2:$B$495,MATCH($I218,MASTER_SOURCE!$A$2:$A$495,0)),"(REF không có trong MASTER_SOURCE)")))</f>
        <v/>
      </c>
      <c r="K218" s="22">
        <f t="array" ref="K218">IF($D218="","",IFERROR(INDEX(MASTER_SOURCE!$C$2:$C$495,MATCH($I218,MASTER_SOURCE!$A$2:$A$495,0)),""))</f>
        <v/>
      </c>
      <c r="L218" s="22">
        <f t="array" ref="L218">IF($D218="","",IFERROR(INDEX(MASTER_SOURCE!$D$2:$D$495,MATCH($I218,MASTER_SOURCE!$A$2:$A$495,0)),""))</f>
        <v/>
      </c>
      <c r="M218" s="24" t="inlineStr">
        <is>
          <t>Có</t>
        </is>
      </c>
      <c r="N218" s="24" t="inlineStr">
        <is>
          <t>Có</t>
        </is>
      </c>
      <c r="O218" s="24" t="inlineStr">
        <is>
          <t>Có</t>
        </is>
      </c>
      <c r="P218" s="24" t="inlineStr">
        <is>
          <t>Có</t>
        </is>
      </c>
      <c r="Q218" s="22">
        <f>IF($D218="","",IF(AND(OR(DANH_MUC!$L$5&lt;&gt;"Có",M218="Có"),OR(DANH_MUC!$L$6&lt;&gt;"Có",N218="Có"),OR(DANH_MUC!$L$7&lt;&gt;"Có",O218="Có"),OR(DANH_MUC!$L$8&lt;&gt;"Có",P218="Có")),"Có","Không"))</f>
        <v/>
      </c>
      <c r="R218" s="22">
        <f>IF($D218="","",IF(COUNTIF($D$2:$D218,$D218)&gt;1,"Trùng",""))</f>
        <v/>
      </c>
      <c r="S218" s="22">
        <f>IF($D218="","",IF(AND(LEN($D218)=10,LEFT($D218,1)="0",ISNUMBER(--$D218)),"Có","Không"))</f>
        <v/>
      </c>
      <c r="T218" s="22">
        <f>IF($D218="","",IF(AND($C218&lt;&gt;"",$Q218="Có",$R218="",$S218="Có",AND($L218&lt;&gt;"",OR($L218&lt;&gt;"Chưa xác định",DANH_MUC!$L$9="Có"))),"Có","Không"))</f>
        <v/>
      </c>
      <c r="U218" s="22">
        <f>IF(OR($D218="",$T218="Có"),"",IF($C218="","Thiếu họ tên; ","")&amp;IF($S218&lt;&gt;"Có","SĐT sai định dạng; ","")&amp;IF($R218="Trùng","Trùng SĐT; ","")&amp;IF($Q218&lt;&gt;"Có","Thiếu đồng ý bắt buộc; ","")&amp;IF($L218="","Thiếu/sai Mã REF; ",IF(AND($L218="Chưa xác định",DANH_MUC!$L$9&lt;&gt;"Có"),"Nguồn chưa xác định; ","")))</f>
        <v/>
      </c>
      <c r="V218" s="22">
        <f>IF(OR($D218="",$R218="Trùng"),"",IF(COUNTIF(ORDERS!$C$2:$C$4995,$D218)&gt;0,"Có","Không"))</f>
        <v/>
      </c>
      <c r="W218" s="22">
        <f>IF(OR($D218="",$R218="Trùng"),"",COUNTIFS(ORDERS!$C$2:$C$4995,$D218,ORDERS!$L$2:$L$4995,"Đã chuyển khoản"))</f>
        <v/>
      </c>
      <c r="X218" s="23">
        <f>IF(OR($D218="",$R218="Trùng"),"",SUMIFS(ORDERS!$J$2:$J$4995,ORDERS!$C$2:$C$4995,$D218,ORDERS!$L$2:$L$4995,"Đã chuyển khoản"))</f>
        <v/>
      </c>
      <c r="Y218" s="24" t="n"/>
    </row>
    <row r="219" ht="14.25" customHeight="1" s="40">
      <c r="A219" s="24" t="inlineStr">
        <is>
          <t>7e5deacb-5076-49ec-9761-32b6ecbaf98f</t>
        </is>
      </c>
      <c r="B219" s="18" t="n">
        <v>46291.4875</v>
      </c>
      <c r="C219" s="24" t="inlineStr">
        <is>
          <t>Lê Thị Hoài Thư</t>
        </is>
      </c>
      <c r="D219" s="28" t="inlineStr">
        <is>
          <t>0906734105</t>
        </is>
      </c>
      <c r="E219" s="29" t="n">
        <v>46041</v>
      </c>
      <c r="F219" s="24" t="inlineStr">
        <is>
          <t>Đã sinh</t>
        </is>
      </c>
      <c r="G219" s="24" t="inlineStr">
        <is>
          <t>Hồ Chí Minh</t>
        </is>
      </c>
      <c r="H219" s="21">
        <f>IF(ISNUMBER($B219),INT($B219)-WEEKDAY($B219,2)+1,"")</f>
        <v/>
      </c>
      <c r="I219" s="24" t="inlineStr">
        <is>
          <t>Z-00</t>
        </is>
      </c>
      <c r="J219" s="22">
        <f t="array" ref="J219">IF($D219="","",IF($I219="","(trống REF)",IFERROR(INDEX(MASTER_SOURCE!$B$2:$B$495,MATCH($I219,MASTER_SOURCE!$A$2:$A$495,0)),"(REF không có trong MASTER_SOURCE)")))</f>
        <v/>
      </c>
      <c r="K219" s="22">
        <f t="array" ref="K219">IF($D219="","",IFERROR(INDEX(MASTER_SOURCE!$C$2:$C$495,MATCH($I219,MASTER_SOURCE!$A$2:$A$495,0)),""))</f>
        <v/>
      </c>
      <c r="L219" s="22">
        <f t="array" ref="L219">IF($D219="","",IFERROR(INDEX(MASTER_SOURCE!$D$2:$D$495,MATCH($I219,MASTER_SOURCE!$A$2:$A$495,0)),""))</f>
        <v/>
      </c>
      <c r="M219" s="24" t="inlineStr">
        <is>
          <t>Có</t>
        </is>
      </c>
      <c r="N219" s="24" t="inlineStr">
        <is>
          <t>Có</t>
        </is>
      </c>
      <c r="O219" s="24" t="inlineStr">
        <is>
          <t>Có</t>
        </is>
      </c>
      <c r="P219" s="24" t="inlineStr">
        <is>
          <t>Có</t>
        </is>
      </c>
      <c r="Q219" s="22">
        <f>IF($D219="","",IF(AND(OR(DANH_MUC!$L$5&lt;&gt;"Có",M219="Có"),OR(DANH_MUC!$L$6&lt;&gt;"Có",N219="Có"),OR(DANH_MUC!$L$7&lt;&gt;"Có",O219="Có"),OR(DANH_MUC!$L$8&lt;&gt;"Có",P219="Có")),"Có","Không"))</f>
        <v/>
      </c>
      <c r="R219" s="22">
        <f>IF($D219="","",IF(COUNTIF($D$2:$D219,$D219)&gt;1,"Trùng",""))</f>
        <v/>
      </c>
      <c r="S219" s="22">
        <f>IF($D219="","",IF(AND(LEN($D219)=10,LEFT($D219,1)="0",ISNUMBER(--$D219)),"Có","Không"))</f>
        <v/>
      </c>
      <c r="T219" s="22">
        <f>IF($D219="","",IF(AND($C219&lt;&gt;"",$Q219="Có",$R219="",$S219="Có",AND($L219&lt;&gt;"",OR($L219&lt;&gt;"Chưa xác định",DANH_MUC!$L$9="Có"))),"Có","Không"))</f>
        <v/>
      </c>
      <c r="U219" s="22">
        <f>IF(OR($D219="",$T219="Có"),"",IF($C219="","Thiếu họ tên; ","")&amp;IF($S219&lt;&gt;"Có","SĐT sai định dạng; ","")&amp;IF($R219="Trùng","Trùng SĐT; ","")&amp;IF($Q219&lt;&gt;"Có","Thiếu đồng ý bắt buộc; ","")&amp;IF($L219="","Thiếu/sai Mã REF; ",IF(AND($L219="Chưa xác định",DANH_MUC!$L$9&lt;&gt;"Có"),"Nguồn chưa xác định; ","")))</f>
        <v/>
      </c>
      <c r="V219" s="22">
        <f>IF(OR($D219="",$R219="Trùng"),"",IF(COUNTIF(ORDERS!$C$2:$C$4995,$D219)&gt;0,"Có","Không"))</f>
        <v/>
      </c>
      <c r="W219" s="22">
        <f>IF(OR($D219="",$R219="Trùng"),"",COUNTIFS(ORDERS!$C$2:$C$4995,$D219,ORDERS!$L$2:$L$4995,"Đã chuyển khoản"))</f>
        <v/>
      </c>
      <c r="X219" s="23">
        <f>IF(OR($D219="",$R219="Trùng"),"",SUMIFS(ORDERS!$J$2:$J$4995,ORDERS!$C$2:$C$4995,$D219,ORDERS!$L$2:$L$4995,"Đã chuyển khoản"))</f>
        <v/>
      </c>
      <c r="Y219" s="24" t="n"/>
    </row>
    <row r="220" ht="14.25" customHeight="1" s="40">
      <c r="A220" s="24" t="inlineStr">
        <is>
          <t>190128a4-6d9a-4f65-817e-6ec8c216b8f0</t>
        </is>
      </c>
      <c r="B220" s="18" t="n">
        <v>46291.49027777778</v>
      </c>
      <c r="C220" s="24" t="inlineStr">
        <is>
          <t>Trần Thị Thanh Hải</t>
        </is>
      </c>
      <c r="D220" s="28" t="inlineStr">
        <is>
          <t>0775564986</t>
        </is>
      </c>
      <c r="E220" s="29" t="n">
        <v>46340</v>
      </c>
      <c r="F220" s="24" t="inlineStr">
        <is>
          <t>Đang mang thai</t>
        </is>
      </c>
      <c r="G220" s="24" t="inlineStr">
        <is>
          <t>Hải Phòng</t>
        </is>
      </c>
      <c r="H220" s="21">
        <f>IF(ISNUMBER($B220),INT($B220)-WEEKDAY($B220,2)+1,"")</f>
        <v/>
      </c>
      <c r="I220" s="24" t="inlineStr">
        <is>
          <t>Z-GREEN</t>
        </is>
      </c>
      <c r="J220" s="22">
        <f t="array" ref="J220">IF($D220="","",IF($I220="","(trống REF)",IFERROR(INDEX(MASTER_SOURCE!$B$2:$B$495,MATCH($I220,MASTER_SOURCE!$A$2:$A$495,0)),"(REF không có trong MASTER_SOURCE)")))</f>
        <v/>
      </c>
      <c r="K220" s="22">
        <f t="array" ref="K220">IF($D220="","",IFERROR(INDEX(MASTER_SOURCE!$C$2:$C$495,MATCH($I220,MASTER_SOURCE!$A$2:$A$495,0)),""))</f>
        <v/>
      </c>
      <c r="L220" s="22">
        <f t="array" ref="L220">IF($D220="","",IFERROR(INDEX(MASTER_SOURCE!$D$2:$D$495,MATCH($I220,MASTER_SOURCE!$A$2:$A$495,0)),""))</f>
        <v/>
      </c>
      <c r="M220" s="24" t="inlineStr">
        <is>
          <t>Có</t>
        </is>
      </c>
      <c r="N220" s="24" t="inlineStr">
        <is>
          <t>Có</t>
        </is>
      </c>
      <c r="O220" s="24" t="inlineStr">
        <is>
          <t>Có</t>
        </is>
      </c>
      <c r="P220" s="24" t="inlineStr">
        <is>
          <t>Có</t>
        </is>
      </c>
      <c r="Q220" s="22">
        <f>IF($D220="","",IF(AND(OR(DANH_MUC!$L$5&lt;&gt;"Có",M220="Có"),OR(DANH_MUC!$L$6&lt;&gt;"Có",N220="Có"),OR(DANH_MUC!$L$7&lt;&gt;"Có",O220="Có"),OR(DANH_MUC!$L$8&lt;&gt;"Có",P220="Có")),"Có","Không"))</f>
        <v/>
      </c>
      <c r="R220" s="22">
        <f>IF($D220="","",IF(COUNTIF($D$2:$D220,$D220)&gt;1,"Trùng",""))</f>
        <v/>
      </c>
      <c r="S220" s="22">
        <f>IF($D220="","",IF(AND(LEN($D220)=10,LEFT($D220,1)="0",ISNUMBER(--$D220)),"Có","Không"))</f>
        <v/>
      </c>
      <c r="T220" s="22">
        <f>IF($D220="","",IF(AND($C220&lt;&gt;"",$Q220="Có",$R220="",$S220="Có",AND($L220&lt;&gt;"",OR($L220&lt;&gt;"Chưa xác định",DANH_MUC!$L$9="Có"))),"Có","Không"))</f>
        <v/>
      </c>
      <c r="U220" s="22">
        <f>IF(OR($D220="",$T220="Có"),"",IF($C220="","Thiếu họ tên; ","")&amp;IF($S220&lt;&gt;"Có","SĐT sai định dạng; ","")&amp;IF($R220="Trùng","Trùng SĐT; ","")&amp;IF($Q220&lt;&gt;"Có","Thiếu đồng ý bắt buộc; ","")&amp;IF($L220="","Thiếu/sai Mã REF; ",IF(AND($L220="Chưa xác định",DANH_MUC!$L$9&lt;&gt;"Có"),"Nguồn chưa xác định; ","")))</f>
        <v/>
      </c>
      <c r="V220" s="22">
        <f>IF(OR($D220="",$R220="Trùng"),"",IF(COUNTIF(ORDERS!$C$2:$C$4995,$D220)&gt;0,"Có","Không"))</f>
        <v/>
      </c>
      <c r="W220" s="22">
        <f>IF(OR($D220="",$R220="Trùng"),"",COUNTIFS(ORDERS!$C$2:$C$4995,$D220,ORDERS!$L$2:$L$4995,"Đã chuyển khoản"))</f>
        <v/>
      </c>
      <c r="X220" s="23">
        <f>IF(OR($D220="",$R220="Trùng"),"",SUMIFS(ORDERS!$J$2:$J$4995,ORDERS!$C$2:$C$4995,$D220,ORDERS!$L$2:$L$4995,"Đã chuyển khoản"))</f>
        <v/>
      </c>
      <c r="Y220" s="24" t="n"/>
    </row>
    <row r="221" ht="14.25" customHeight="1" s="40">
      <c r="A221" s="24" t="inlineStr">
        <is>
          <t>2be7a15d-395c-4ed6-a439-e2f70dbe8d70</t>
        </is>
      </c>
      <c r="B221" s="18" t="n">
        <v>46291.49097222222</v>
      </c>
      <c r="C221" s="24" t="inlineStr">
        <is>
          <t>Bùi Thị ngát</t>
        </is>
      </c>
      <c r="D221" s="28" t="inlineStr">
        <is>
          <t>0393068943</t>
        </is>
      </c>
      <c r="E221" s="29" t="n">
        <v>46314</v>
      </c>
      <c r="F221" s="24" t="inlineStr">
        <is>
          <t>Đang mang thai</t>
        </is>
      </c>
      <c r="G221" s="24" t="inlineStr">
        <is>
          <t>Hải Phòng</t>
        </is>
      </c>
      <c r="H221" s="21">
        <f>IF(ISNUMBER($B221),INT($B221)-WEEKDAY($B221,2)+1,"")</f>
        <v/>
      </c>
      <c r="I221" s="24" t="inlineStr">
        <is>
          <t>Z-GREEN</t>
        </is>
      </c>
      <c r="J221" s="22">
        <f t="array" ref="J221">IF($D221="","",IF($I221="","(trống REF)",IFERROR(INDEX(MASTER_SOURCE!$B$2:$B$495,MATCH($I221,MASTER_SOURCE!$A$2:$A$495,0)),"(REF không có trong MASTER_SOURCE)")))</f>
        <v/>
      </c>
      <c r="K221" s="22">
        <f t="array" ref="K221">IF($D221="","",IFERROR(INDEX(MASTER_SOURCE!$C$2:$C$495,MATCH($I221,MASTER_SOURCE!$A$2:$A$495,0)),""))</f>
        <v/>
      </c>
      <c r="L221" s="22">
        <f t="array" ref="L221">IF($D221="","",IFERROR(INDEX(MASTER_SOURCE!$D$2:$D$495,MATCH($I221,MASTER_SOURCE!$A$2:$A$495,0)),""))</f>
        <v/>
      </c>
      <c r="M221" s="24" t="inlineStr">
        <is>
          <t>Có</t>
        </is>
      </c>
      <c r="N221" s="24" t="inlineStr">
        <is>
          <t>Có</t>
        </is>
      </c>
      <c r="O221" s="24" t="inlineStr">
        <is>
          <t>Có</t>
        </is>
      </c>
      <c r="P221" s="24" t="inlineStr">
        <is>
          <t>Có</t>
        </is>
      </c>
      <c r="Q221" s="22">
        <f>IF($D221="","",IF(AND(OR(DANH_MUC!$L$5&lt;&gt;"Có",M221="Có"),OR(DANH_MUC!$L$6&lt;&gt;"Có",N221="Có"),OR(DANH_MUC!$L$7&lt;&gt;"Có",O221="Có"),OR(DANH_MUC!$L$8&lt;&gt;"Có",P221="Có")),"Có","Không"))</f>
        <v/>
      </c>
      <c r="R221" s="22">
        <f>IF($D221="","",IF(COUNTIF($D$2:$D221,$D221)&gt;1,"Trùng",""))</f>
        <v/>
      </c>
      <c r="S221" s="22">
        <f>IF($D221="","",IF(AND(LEN($D221)=10,LEFT($D221,1)="0",ISNUMBER(--$D221)),"Có","Không"))</f>
        <v/>
      </c>
      <c r="T221" s="22">
        <f>IF($D221="","",IF(AND($C221&lt;&gt;"",$Q221="Có",$R221="",$S221="Có",AND($L221&lt;&gt;"",OR($L221&lt;&gt;"Chưa xác định",DANH_MUC!$L$9="Có"))),"Có","Không"))</f>
        <v/>
      </c>
      <c r="U221" s="22">
        <f>IF(OR($D221="",$T221="Có"),"",IF($C221="","Thiếu họ tên; ","")&amp;IF($S221&lt;&gt;"Có","SĐT sai định dạng; ","")&amp;IF($R221="Trùng","Trùng SĐT; ","")&amp;IF($Q221&lt;&gt;"Có","Thiếu đồng ý bắt buộc; ","")&amp;IF($L221="","Thiếu/sai Mã REF; ",IF(AND($L221="Chưa xác định",DANH_MUC!$L$9&lt;&gt;"Có"),"Nguồn chưa xác định; ","")))</f>
        <v/>
      </c>
      <c r="V221" s="22">
        <f>IF(OR($D221="",$R221="Trùng"),"",IF(COUNTIF(ORDERS!$C$2:$C$4995,$D221)&gt;0,"Có","Không"))</f>
        <v/>
      </c>
      <c r="W221" s="22">
        <f>IF(OR($D221="",$R221="Trùng"),"",COUNTIFS(ORDERS!$C$2:$C$4995,$D221,ORDERS!$L$2:$L$4995,"Đã chuyển khoản"))</f>
        <v/>
      </c>
      <c r="X221" s="23">
        <f>IF(OR($D221="",$R221="Trùng"),"",SUMIFS(ORDERS!$J$2:$J$4995,ORDERS!$C$2:$C$4995,$D221,ORDERS!$L$2:$L$4995,"Đã chuyển khoản"))</f>
        <v/>
      </c>
      <c r="Y221" s="24" t="n"/>
    </row>
    <row r="222" ht="14.25" customHeight="1" s="40">
      <c r="A222" s="24" t="inlineStr">
        <is>
          <t>ba9db370-b1ed-41df-bff5-7c48705bd078</t>
        </is>
      </c>
      <c r="B222" s="18" t="n">
        <v>46291.54791666667</v>
      </c>
      <c r="C222" s="24" t="inlineStr">
        <is>
          <t>Đào Thanh Thảo</t>
        </is>
      </c>
      <c r="D222" s="28" t="inlineStr">
        <is>
          <t>0794291499</t>
        </is>
      </c>
      <c r="E222" s="29" t="n">
        <v>45664</v>
      </c>
      <c r="F222" s="24" t="inlineStr">
        <is>
          <t>Đã sinh</t>
        </is>
      </c>
      <c r="G222" s="24" t="inlineStr">
        <is>
          <t>Hải Phòng</t>
        </is>
      </c>
      <c r="H222" s="21">
        <f>IF(ISNUMBER($B222),INT($B222)-WEEKDAY($B222,2)+1,"")</f>
        <v/>
      </c>
      <c r="I222" s="24" t="inlineStr">
        <is>
          <t>Z-GREEN</t>
        </is>
      </c>
      <c r="J222" s="22">
        <f t="array" ref="J222">IF($D222="","",IF($I222="","(trống REF)",IFERROR(INDEX(MASTER_SOURCE!$B$2:$B$495,MATCH($I222,MASTER_SOURCE!$A$2:$A$495,0)),"(REF không có trong MASTER_SOURCE)")))</f>
        <v/>
      </c>
      <c r="K222" s="22">
        <f t="array" ref="K222">IF($D222="","",IFERROR(INDEX(MASTER_SOURCE!$C$2:$C$495,MATCH($I222,MASTER_SOURCE!$A$2:$A$495,0)),""))</f>
        <v/>
      </c>
      <c r="L222" s="22">
        <f t="array" ref="L222">IF($D222="","",IFERROR(INDEX(MASTER_SOURCE!$D$2:$D$495,MATCH($I222,MASTER_SOURCE!$A$2:$A$495,0)),""))</f>
        <v/>
      </c>
      <c r="M222" s="24" t="inlineStr">
        <is>
          <t>Có</t>
        </is>
      </c>
      <c r="N222" s="24" t="inlineStr">
        <is>
          <t>Có</t>
        </is>
      </c>
      <c r="O222" s="24" t="inlineStr">
        <is>
          <t>Có</t>
        </is>
      </c>
      <c r="P222" s="24" t="inlineStr">
        <is>
          <t>Có</t>
        </is>
      </c>
      <c r="Q222" s="22">
        <f>IF($D222="","",IF(AND(OR(DANH_MUC!$L$5&lt;&gt;"Có",M222="Có"),OR(DANH_MUC!$L$6&lt;&gt;"Có",N222="Có"),OR(DANH_MUC!$L$7&lt;&gt;"Có",O222="Có"),OR(DANH_MUC!$L$8&lt;&gt;"Có",P222="Có")),"Có","Không"))</f>
        <v/>
      </c>
      <c r="R222" s="22">
        <f>IF($D222="","",IF(COUNTIF($D$2:$D222,$D222)&gt;1,"Trùng",""))</f>
        <v/>
      </c>
      <c r="S222" s="22">
        <f>IF($D222="","",IF(AND(LEN($D222)=10,LEFT($D222,1)="0",ISNUMBER(--$D222)),"Có","Không"))</f>
        <v/>
      </c>
      <c r="T222" s="22">
        <f>IF($D222="","",IF(AND($C222&lt;&gt;"",$Q222="Có",$R222="",$S222="Có",AND($L222&lt;&gt;"",OR($L222&lt;&gt;"Chưa xác định",DANH_MUC!$L$9="Có"))),"Có","Không"))</f>
        <v/>
      </c>
      <c r="U222" s="22">
        <f>IF(OR($D222="",$T222="Có"),"",IF($C222="","Thiếu họ tên; ","")&amp;IF($S222&lt;&gt;"Có","SĐT sai định dạng; ","")&amp;IF($R222="Trùng","Trùng SĐT; ","")&amp;IF($Q222&lt;&gt;"Có","Thiếu đồng ý bắt buộc; ","")&amp;IF($L222="","Thiếu/sai Mã REF; ",IF(AND($L222="Chưa xác định",DANH_MUC!$L$9&lt;&gt;"Có"),"Nguồn chưa xác định; ","")))</f>
        <v/>
      </c>
      <c r="V222" s="22">
        <f>IF(OR($D222="",$R222="Trùng"),"",IF(COUNTIF(ORDERS!$C$2:$C$4995,$D222)&gt;0,"Có","Không"))</f>
        <v/>
      </c>
      <c r="W222" s="22">
        <f>IF(OR($D222="",$R222="Trùng"),"",COUNTIFS(ORDERS!$C$2:$C$4995,$D222,ORDERS!$L$2:$L$4995,"Đã chuyển khoản"))</f>
        <v/>
      </c>
      <c r="X222" s="23">
        <f>IF(OR($D222="",$R222="Trùng"),"",SUMIFS(ORDERS!$J$2:$J$4995,ORDERS!$C$2:$C$4995,$D222,ORDERS!$L$2:$L$4995,"Đã chuyển khoản"))</f>
        <v/>
      </c>
      <c r="Y222" s="24" t="n"/>
    </row>
    <row r="223" ht="14.25" customHeight="1" s="40">
      <c r="A223" s="24" t="inlineStr">
        <is>
          <t>96edf9f7-1b29-45d0-a8e3-e6879386fb03</t>
        </is>
      </c>
      <c r="B223" s="18" t="n">
        <v>46291.54930555556</v>
      </c>
      <c r="C223" s="24" t="inlineStr">
        <is>
          <t>Duyên</t>
        </is>
      </c>
      <c r="D223" s="28" t="inlineStr">
        <is>
          <t>0981250298</t>
        </is>
      </c>
      <c r="E223" s="29" t="n">
        <v>46326</v>
      </c>
      <c r="F223" s="24" t="inlineStr">
        <is>
          <t>Đang mang thai</t>
        </is>
      </c>
      <c r="G223" s="24" t="inlineStr">
        <is>
          <t>Hải Phòng</t>
        </is>
      </c>
      <c r="H223" s="21">
        <f>IF(ISNUMBER($B223),INT($B223)-WEEKDAY($B223,2)+1,"")</f>
        <v/>
      </c>
      <c r="I223" s="24" t="inlineStr">
        <is>
          <t>Z-GREEN</t>
        </is>
      </c>
      <c r="J223" s="22">
        <f t="array" ref="J223">IF($D223="","",IF($I223="","(trống REF)",IFERROR(INDEX(MASTER_SOURCE!$B$2:$B$495,MATCH($I223,MASTER_SOURCE!$A$2:$A$495,0)),"(REF không có trong MASTER_SOURCE)")))</f>
        <v/>
      </c>
      <c r="K223" s="22">
        <f t="array" ref="K223">IF($D223="","",IFERROR(INDEX(MASTER_SOURCE!$C$2:$C$495,MATCH($I223,MASTER_SOURCE!$A$2:$A$495,0)),""))</f>
        <v/>
      </c>
      <c r="L223" s="22">
        <f t="array" ref="L223">IF($D223="","",IFERROR(INDEX(MASTER_SOURCE!$D$2:$D$495,MATCH($I223,MASTER_SOURCE!$A$2:$A$495,0)),""))</f>
        <v/>
      </c>
      <c r="M223" s="24" t="inlineStr">
        <is>
          <t>Có</t>
        </is>
      </c>
      <c r="N223" s="24" t="inlineStr">
        <is>
          <t>Có</t>
        </is>
      </c>
      <c r="O223" s="24" t="inlineStr">
        <is>
          <t>Có</t>
        </is>
      </c>
      <c r="P223" s="24" t="inlineStr">
        <is>
          <t>Có</t>
        </is>
      </c>
      <c r="Q223" s="22">
        <f>IF($D223="","",IF(AND(OR(DANH_MUC!$L$5&lt;&gt;"Có",M223="Có"),OR(DANH_MUC!$L$6&lt;&gt;"Có",N223="Có"),OR(DANH_MUC!$L$7&lt;&gt;"Có",O223="Có"),OR(DANH_MUC!$L$8&lt;&gt;"Có",P223="Có")),"Có","Không"))</f>
        <v/>
      </c>
      <c r="R223" s="22">
        <f>IF($D223="","",IF(COUNTIF($D$2:$D223,$D223)&gt;1,"Trùng",""))</f>
        <v/>
      </c>
      <c r="S223" s="22">
        <f>IF($D223="","",IF(AND(LEN($D223)=10,LEFT($D223,1)="0",ISNUMBER(--$D223)),"Có","Không"))</f>
        <v/>
      </c>
      <c r="T223" s="22">
        <f>IF($D223="","",IF(AND($C223&lt;&gt;"",$Q223="Có",$R223="",$S223="Có",AND($L223&lt;&gt;"",OR($L223&lt;&gt;"Chưa xác định",DANH_MUC!$L$9="Có"))),"Có","Không"))</f>
        <v/>
      </c>
      <c r="U223" s="22">
        <f>IF(OR($D223="",$T223="Có"),"",IF($C223="","Thiếu họ tên; ","")&amp;IF($S223&lt;&gt;"Có","SĐT sai định dạng; ","")&amp;IF($R223="Trùng","Trùng SĐT; ","")&amp;IF($Q223&lt;&gt;"Có","Thiếu đồng ý bắt buộc; ","")&amp;IF($L223="","Thiếu/sai Mã REF; ",IF(AND($L223="Chưa xác định",DANH_MUC!$L$9&lt;&gt;"Có"),"Nguồn chưa xác định; ","")))</f>
        <v/>
      </c>
      <c r="V223" s="22">
        <f>IF(OR($D223="",$R223="Trùng"),"",IF(COUNTIF(ORDERS!$C$2:$C$4995,$D223)&gt;0,"Có","Không"))</f>
        <v/>
      </c>
      <c r="W223" s="22">
        <f>IF(OR($D223="",$R223="Trùng"),"",COUNTIFS(ORDERS!$C$2:$C$4995,$D223,ORDERS!$L$2:$L$4995,"Đã chuyển khoản"))</f>
        <v/>
      </c>
      <c r="X223" s="23">
        <f>IF(OR($D223="",$R223="Trùng"),"",SUMIFS(ORDERS!$J$2:$J$4995,ORDERS!$C$2:$C$4995,$D223,ORDERS!$L$2:$L$4995,"Đã chuyển khoản"))</f>
        <v/>
      </c>
      <c r="Y223" s="24" t="n"/>
    </row>
    <row r="224" ht="14.25" customHeight="1" s="40">
      <c r="A224" s="24" t="inlineStr">
        <is>
          <t>c7f96b5e-4d06-4e7e-9b90-ac0b6ca83906</t>
        </is>
      </c>
      <c r="B224" s="18" t="n">
        <v>46291.54930555556</v>
      </c>
      <c r="C224" s="24" t="inlineStr">
        <is>
          <t>Ngô Gia Hân</t>
        </is>
      </c>
      <c r="D224" s="28" t="inlineStr">
        <is>
          <t>0898912195</t>
        </is>
      </c>
      <c r="E224" s="29" t="n">
        <v>46098</v>
      </c>
      <c r="F224" s="24" t="inlineStr">
        <is>
          <t>Đã sinh</t>
        </is>
      </c>
      <c r="G224" s="24" t="inlineStr">
        <is>
          <t>Hải Phòng</t>
        </is>
      </c>
      <c r="H224" s="21">
        <f>IF(ISNUMBER($B224),INT($B224)-WEEKDAY($B224,2)+1,"")</f>
        <v/>
      </c>
      <c r="I224" s="24" t="inlineStr">
        <is>
          <t>Z-GREEN</t>
        </is>
      </c>
      <c r="J224" s="22">
        <f t="array" ref="J224">IF($D224="","",IF($I224="","(trống REF)",IFERROR(INDEX(MASTER_SOURCE!$B$2:$B$495,MATCH($I224,MASTER_SOURCE!$A$2:$A$495,0)),"(REF không có trong MASTER_SOURCE)")))</f>
        <v/>
      </c>
      <c r="K224" s="22">
        <f t="array" ref="K224">IF($D224="","",IFERROR(INDEX(MASTER_SOURCE!$C$2:$C$495,MATCH($I224,MASTER_SOURCE!$A$2:$A$495,0)),""))</f>
        <v/>
      </c>
      <c r="L224" s="22">
        <f t="array" ref="L224">IF($D224="","",IFERROR(INDEX(MASTER_SOURCE!$D$2:$D$495,MATCH($I224,MASTER_SOURCE!$A$2:$A$495,0)),""))</f>
        <v/>
      </c>
      <c r="M224" s="24" t="inlineStr">
        <is>
          <t>Có</t>
        </is>
      </c>
      <c r="N224" s="24" t="inlineStr">
        <is>
          <t>Có</t>
        </is>
      </c>
      <c r="O224" s="24" t="inlineStr">
        <is>
          <t>Có</t>
        </is>
      </c>
      <c r="P224" s="24" t="inlineStr">
        <is>
          <t>Có</t>
        </is>
      </c>
      <c r="Q224" s="22">
        <f>IF($D224="","",IF(AND(OR(DANH_MUC!$L$5&lt;&gt;"Có",M224="Có"),OR(DANH_MUC!$L$6&lt;&gt;"Có",N224="Có"),OR(DANH_MUC!$L$7&lt;&gt;"Có",O224="Có"),OR(DANH_MUC!$L$8&lt;&gt;"Có",P224="Có")),"Có","Không"))</f>
        <v/>
      </c>
      <c r="R224" s="22">
        <f>IF($D224="","",IF(COUNTIF($D$2:$D224,$D224)&gt;1,"Trùng",""))</f>
        <v/>
      </c>
      <c r="S224" s="22">
        <f>IF($D224="","",IF(AND(LEN($D224)=10,LEFT($D224,1)="0",ISNUMBER(--$D224)),"Có","Không"))</f>
        <v/>
      </c>
      <c r="T224" s="22">
        <f>IF($D224="","",IF(AND($C224&lt;&gt;"",$Q224="Có",$R224="",$S224="Có",AND($L224&lt;&gt;"",OR($L224&lt;&gt;"Chưa xác định",DANH_MUC!$L$9="Có"))),"Có","Không"))</f>
        <v/>
      </c>
      <c r="U224" s="22">
        <f>IF(OR($D224="",$T224="Có"),"",IF($C224="","Thiếu họ tên; ","")&amp;IF($S224&lt;&gt;"Có","SĐT sai định dạng; ","")&amp;IF($R224="Trùng","Trùng SĐT; ","")&amp;IF($Q224&lt;&gt;"Có","Thiếu đồng ý bắt buộc; ","")&amp;IF($L224="","Thiếu/sai Mã REF; ",IF(AND($L224="Chưa xác định",DANH_MUC!$L$9&lt;&gt;"Có"),"Nguồn chưa xác định; ","")))</f>
        <v/>
      </c>
      <c r="V224" s="22">
        <f>IF(OR($D224="",$R224="Trùng"),"",IF(COUNTIF(ORDERS!$C$2:$C$4995,$D224)&gt;0,"Có","Không"))</f>
        <v/>
      </c>
      <c r="W224" s="22">
        <f>IF(OR($D224="",$R224="Trùng"),"",COUNTIFS(ORDERS!$C$2:$C$4995,$D224,ORDERS!$L$2:$L$4995,"Đã chuyển khoản"))</f>
        <v/>
      </c>
      <c r="X224" s="23">
        <f>IF(OR($D224="",$R224="Trùng"),"",SUMIFS(ORDERS!$J$2:$J$4995,ORDERS!$C$2:$C$4995,$D224,ORDERS!$L$2:$L$4995,"Đã chuyển khoản"))</f>
        <v/>
      </c>
      <c r="Y224" s="24" t="n"/>
    </row>
    <row r="225" ht="14.25" customHeight="1" s="40">
      <c r="A225" s="24" t="inlineStr">
        <is>
          <t>8fc50a5b-7a95-45b6-88a0-91863febdbc7</t>
        </is>
      </c>
      <c r="B225" s="18" t="n">
        <v>46291.55833333333</v>
      </c>
      <c r="C225" s="24" t="inlineStr">
        <is>
          <t>Nguyễn Thị Hồng Ngọc</t>
        </is>
      </c>
      <c r="D225" s="28" t="inlineStr">
        <is>
          <t>0796346255</t>
        </is>
      </c>
      <c r="E225" s="29" t="n">
        <v>46138</v>
      </c>
      <c r="F225" s="24" t="inlineStr">
        <is>
          <t>Đã sinh</t>
        </is>
      </c>
      <c r="G225" s="24" t="inlineStr">
        <is>
          <t>Hải Phòng</t>
        </is>
      </c>
      <c r="H225" s="21">
        <f>IF(ISNUMBER($B225),INT($B225)-WEEKDAY($B225,2)+1,"")</f>
        <v/>
      </c>
      <c r="I225" s="24" t="inlineStr">
        <is>
          <t>Z-GREEN</t>
        </is>
      </c>
      <c r="J225" s="22">
        <f t="array" ref="J225">IF($D225="","",IF($I225="","(trống REF)",IFERROR(INDEX(MASTER_SOURCE!$B$2:$B$495,MATCH($I225,MASTER_SOURCE!$A$2:$A$495,0)),"(REF không có trong MASTER_SOURCE)")))</f>
        <v/>
      </c>
      <c r="K225" s="22">
        <f t="array" ref="K225">IF($D225="","",IFERROR(INDEX(MASTER_SOURCE!$C$2:$C$495,MATCH($I225,MASTER_SOURCE!$A$2:$A$495,0)),""))</f>
        <v/>
      </c>
      <c r="L225" s="22">
        <f t="array" ref="L225">IF($D225="","",IFERROR(INDEX(MASTER_SOURCE!$D$2:$D$495,MATCH($I225,MASTER_SOURCE!$A$2:$A$495,0)),""))</f>
        <v/>
      </c>
      <c r="M225" s="24" t="inlineStr">
        <is>
          <t>Có</t>
        </is>
      </c>
      <c r="N225" s="24" t="inlineStr">
        <is>
          <t>Có</t>
        </is>
      </c>
      <c r="O225" s="24" t="inlineStr">
        <is>
          <t>Có</t>
        </is>
      </c>
      <c r="P225" s="24" t="inlineStr">
        <is>
          <t>Có</t>
        </is>
      </c>
      <c r="Q225" s="22">
        <f>IF($D225="","",IF(AND(OR(DANH_MUC!$L$5&lt;&gt;"Có",M225="Có"),OR(DANH_MUC!$L$6&lt;&gt;"Có",N225="Có"),OR(DANH_MUC!$L$7&lt;&gt;"Có",O225="Có"),OR(DANH_MUC!$L$8&lt;&gt;"Có",P225="Có")),"Có","Không"))</f>
        <v/>
      </c>
      <c r="R225" s="22">
        <f>IF($D225="","",IF(COUNTIF($D$2:$D225,$D225)&gt;1,"Trùng",""))</f>
        <v/>
      </c>
      <c r="S225" s="22">
        <f>IF($D225="","",IF(AND(LEN($D225)=10,LEFT($D225,1)="0",ISNUMBER(--$D225)),"Có","Không"))</f>
        <v/>
      </c>
      <c r="T225" s="22">
        <f>IF($D225="","",IF(AND($C225&lt;&gt;"",$Q225="Có",$R225="",$S225="Có",AND($L225&lt;&gt;"",OR($L225&lt;&gt;"Chưa xác định",DANH_MUC!$L$9="Có"))),"Có","Không"))</f>
        <v/>
      </c>
      <c r="U225" s="22">
        <f>IF(OR($D225="",$T225="Có"),"",IF($C225="","Thiếu họ tên; ","")&amp;IF($S225&lt;&gt;"Có","SĐT sai định dạng; ","")&amp;IF($R225="Trùng","Trùng SĐT; ","")&amp;IF($Q225&lt;&gt;"Có","Thiếu đồng ý bắt buộc; ","")&amp;IF($L225="","Thiếu/sai Mã REF; ",IF(AND($L225="Chưa xác định",DANH_MUC!$L$9&lt;&gt;"Có"),"Nguồn chưa xác định; ","")))</f>
        <v/>
      </c>
      <c r="V225" s="22">
        <f>IF(OR($D225="",$R225="Trùng"),"",IF(COUNTIF(ORDERS!$C$2:$C$4995,$D225)&gt;0,"Có","Không"))</f>
        <v/>
      </c>
      <c r="W225" s="22">
        <f>IF(OR($D225="",$R225="Trùng"),"",COUNTIFS(ORDERS!$C$2:$C$4995,$D225,ORDERS!$L$2:$L$4995,"Đã chuyển khoản"))</f>
        <v/>
      </c>
      <c r="X225" s="23">
        <f>IF(OR($D225="",$R225="Trùng"),"",SUMIFS(ORDERS!$J$2:$J$4995,ORDERS!$C$2:$C$4995,$D225,ORDERS!$L$2:$L$4995,"Đã chuyển khoản"))</f>
        <v/>
      </c>
      <c r="Y225" s="24" t="n"/>
    </row>
    <row r="226" ht="14.25" customHeight="1" s="40">
      <c r="A226" s="24" t="inlineStr">
        <is>
          <t>4f2033ca-6796-425c-8270-a4d16ca32f24</t>
        </is>
      </c>
      <c r="B226" s="18" t="n">
        <v>46291.55833333333</v>
      </c>
      <c r="C226" s="24" t="inlineStr">
        <is>
          <t>Bùi Thanh Toan</t>
        </is>
      </c>
      <c r="D226" s="28" t="inlineStr">
        <is>
          <t>0966154194</t>
        </is>
      </c>
      <c r="E226" s="29" t="n">
        <v>46344</v>
      </c>
      <c r="F226" s="24" t="inlineStr">
        <is>
          <t>Đang mang thai</t>
        </is>
      </c>
      <c r="G226" s="24" t="inlineStr">
        <is>
          <t>Hải Phòng</t>
        </is>
      </c>
      <c r="H226" s="21">
        <f>IF(ISNUMBER($B226),INT($B226)-WEEKDAY($B226,2)+1,"")</f>
        <v/>
      </c>
      <c r="I226" s="24" t="inlineStr">
        <is>
          <t>Z-GREEN</t>
        </is>
      </c>
      <c r="J226" s="22">
        <f t="array" ref="J226">IF($D226="","",IF($I226="","(trống REF)",IFERROR(INDEX(MASTER_SOURCE!$B$2:$B$495,MATCH($I226,MASTER_SOURCE!$A$2:$A$495,0)),"(REF không có trong MASTER_SOURCE)")))</f>
        <v/>
      </c>
      <c r="K226" s="22">
        <f t="array" ref="K226">IF($D226="","",IFERROR(INDEX(MASTER_SOURCE!$C$2:$C$495,MATCH($I226,MASTER_SOURCE!$A$2:$A$495,0)),""))</f>
        <v/>
      </c>
      <c r="L226" s="22">
        <f t="array" ref="L226">IF($D226="","",IFERROR(INDEX(MASTER_SOURCE!$D$2:$D$495,MATCH($I226,MASTER_SOURCE!$A$2:$A$495,0)),""))</f>
        <v/>
      </c>
      <c r="M226" s="24" t="inlineStr">
        <is>
          <t>Có</t>
        </is>
      </c>
      <c r="N226" s="24" t="inlineStr">
        <is>
          <t>Có</t>
        </is>
      </c>
      <c r="O226" s="24" t="inlineStr">
        <is>
          <t>Có</t>
        </is>
      </c>
      <c r="P226" s="24" t="inlineStr">
        <is>
          <t>Có</t>
        </is>
      </c>
      <c r="Q226" s="22">
        <f>IF($D226="","",IF(AND(OR(DANH_MUC!$L$5&lt;&gt;"Có",M226="Có"),OR(DANH_MUC!$L$6&lt;&gt;"Có",N226="Có"),OR(DANH_MUC!$L$7&lt;&gt;"Có",O226="Có"),OR(DANH_MUC!$L$8&lt;&gt;"Có",P226="Có")),"Có","Không"))</f>
        <v/>
      </c>
      <c r="R226" s="22">
        <f>IF($D226="","",IF(COUNTIF($D$2:$D226,$D226)&gt;1,"Trùng",""))</f>
        <v/>
      </c>
      <c r="S226" s="22">
        <f>IF($D226="","",IF(AND(LEN($D226)=10,LEFT($D226,1)="0",ISNUMBER(--$D226)),"Có","Không"))</f>
        <v/>
      </c>
      <c r="T226" s="22">
        <f>IF($D226="","",IF(AND($C226&lt;&gt;"",$Q226="Có",$R226="",$S226="Có",AND($L226&lt;&gt;"",OR($L226&lt;&gt;"Chưa xác định",DANH_MUC!$L$9="Có"))),"Có","Không"))</f>
        <v/>
      </c>
      <c r="U226" s="22">
        <f>IF(OR($D226="",$T226="Có"),"",IF($C226="","Thiếu họ tên; ","")&amp;IF($S226&lt;&gt;"Có","SĐT sai định dạng; ","")&amp;IF($R226="Trùng","Trùng SĐT; ","")&amp;IF($Q226&lt;&gt;"Có","Thiếu đồng ý bắt buộc; ","")&amp;IF($L226="","Thiếu/sai Mã REF; ",IF(AND($L226="Chưa xác định",DANH_MUC!$L$9&lt;&gt;"Có"),"Nguồn chưa xác định; ","")))</f>
        <v/>
      </c>
      <c r="V226" s="22">
        <f>IF(OR($D226="",$R226="Trùng"),"",IF(COUNTIF(ORDERS!$C$2:$C$4995,$D226)&gt;0,"Có","Không"))</f>
        <v/>
      </c>
      <c r="W226" s="22">
        <f>IF(OR($D226="",$R226="Trùng"),"",COUNTIFS(ORDERS!$C$2:$C$4995,$D226,ORDERS!$L$2:$L$4995,"Đã chuyển khoản"))</f>
        <v/>
      </c>
      <c r="X226" s="23">
        <f>IF(OR($D226="",$R226="Trùng"),"",SUMIFS(ORDERS!$J$2:$J$4995,ORDERS!$C$2:$C$4995,$D226,ORDERS!$L$2:$L$4995,"Đã chuyển khoản"))</f>
        <v/>
      </c>
      <c r="Y226" s="24" t="n"/>
    </row>
    <row r="227" ht="14.25" customHeight="1" s="40">
      <c r="A227" s="24" t="inlineStr">
        <is>
          <t>674c99d4-ef47-44ec-bbe4-7b63bc27fff7</t>
        </is>
      </c>
      <c r="B227" s="18" t="n">
        <v>46291.55902777778</v>
      </c>
      <c r="C227" s="24" t="inlineStr">
        <is>
          <t>Thanh Thuy Nguyen</t>
        </is>
      </c>
      <c r="D227" s="28" t="inlineStr">
        <is>
          <t>0835537968</t>
        </is>
      </c>
      <c r="E227" s="29" t="n">
        <v>46179</v>
      </c>
      <c r="F227" s="24" t="inlineStr">
        <is>
          <t>Đã sinh</t>
        </is>
      </c>
      <c r="G227" s="24" t="inlineStr">
        <is>
          <t>Hải Phòng</t>
        </is>
      </c>
      <c r="H227" s="21">
        <f>IF(ISNUMBER($B227),INT($B227)-WEEKDAY($B227,2)+1,"")</f>
        <v/>
      </c>
      <c r="I227" s="24" t="inlineStr">
        <is>
          <t>Z-GREEN</t>
        </is>
      </c>
      <c r="J227" s="22">
        <f t="array" ref="J227">IF($D227="","",IF($I227="","(trống REF)",IFERROR(INDEX(MASTER_SOURCE!$B$2:$B$495,MATCH($I227,MASTER_SOURCE!$A$2:$A$495,0)),"(REF không có trong MASTER_SOURCE)")))</f>
        <v/>
      </c>
      <c r="K227" s="22">
        <f t="array" ref="K227">IF($D227="","",IFERROR(INDEX(MASTER_SOURCE!$C$2:$C$495,MATCH($I227,MASTER_SOURCE!$A$2:$A$495,0)),""))</f>
        <v/>
      </c>
      <c r="L227" s="22">
        <f t="array" ref="L227">IF($D227="","",IFERROR(INDEX(MASTER_SOURCE!$D$2:$D$495,MATCH($I227,MASTER_SOURCE!$A$2:$A$495,0)),""))</f>
        <v/>
      </c>
      <c r="M227" s="24" t="inlineStr">
        <is>
          <t>Có</t>
        </is>
      </c>
      <c r="N227" s="24" t="inlineStr">
        <is>
          <t>Có</t>
        </is>
      </c>
      <c r="O227" s="24" t="inlineStr">
        <is>
          <t>Có</t>
        </is>
      </c>
      <c r="P227" s="24" t="inlineStr">
        <is>
          <t>Có</t>
        </is>
      </c>
      <c r="Q227" s="22">
        <f>IF($D227="","",IF(AND(OR(DANH_MUC!$L$5&lt;&gt;"Có",M227="Có"),OR(DANH_MUC!$L$6&lt;&gt;"Có",N227="Có"),OR(DANH_MUC!$L$7&lt;&gt;"Có",O227="Có"),OR(DANH_MUC!$L$8&lt;&gt;"Có",P227="Có")),"Có","Không"))</f>
        <v/>
      </c>
      <c r="R227" s="22">
        <f>IF($D227="","",IF(COUNTIF($D$2:$D227,$D227)&gt;1,"Trùng",""))</f>
        <v/>
      </c>
      <c r="S227" s="22">
        <f>IF($D227="","",IF(AND(LEN($D227)=10,LEFT($D227,1)="0",ISNUMBER(--$D227)),"Có","Không"))</f>
        <v/>
      </c>
      <c r="T227" s="22">
        <f>IF($D227="","",IF(AND($C227&lt;&gt;"",$Q227="Có",$R227="",$S227="Có",AND($L227&lt;&gt;"",OR($L227&lt;&gt;"Chưa xác định",DANH_MUC!$L$9="Có"))),"Có","Không"))</f>
        <v/>
      </c>
      <c r="U227" s="22">
        <f>IF(OR($D227="",$T227="Có"),"",IF($C227="","Thiếu họ tên; ","")&amp;IF($S227&lt;&gt;"Có","SĐT sai định dạng; ","")&amp;IF($R227="Trùng","Trùng SĐT; ","")&amp;IF($Q227&lt;&gt;"Có","Thiếu đồng ý bắt buộc; ","")&amp;IF($L227="","Thiếu/sai Mã REF; ",IF(AND($L227="Chưa xác định",DANH_MUC!$L$9&lt;&gt;"Có"),"Nguồn chưa xác định; ","")))</f>
        <v/>
      </c>
      <c r="V227" s="22">
        <f>IF(OR($D227="",$R227="Trùng"),"",IF(COUNTIF(ORDERS!$C$2:$C$4995,$D227)&gt;0,"Có","Không"))</f>
        <v/>
      </c>
      <c r="W227" s="22">
        <f>IF(OR($D227="",$R227="Trùng"),"",COUNTIFS(ORDERS!$C$2:$C$4995,$D227,ORDERS!$L$2:$L$4995,"Đã chuyển khoản"))</f>
        <v/>
      </c>
      <c r="X227" s="23">
        <f>IF(OR($D227="",$R227="Trùng"),"",SUMIFS(ORDERS!$J$2:$J$4995,ORDERS!$C$2:$C$4995,$D227,ORDERS!$L$2:$L$4995,"Đã chuyển khoản"))</f>
        <v/>
      </c>
      <c r="Y227" s="24" t="n"/>
    </row>
    <row r="228" ht="14.25" customHeight="1" s="40">
      <c r="A228" s="24" t="inlineStr">
        <is>
          <t>099127ec-70d1-42b5-869d-e92b643b6fd8</t>
        </is>
      </c>
      <c r="B228" s="18" t="n">
        <v>46291.56180555555</v>
      </c>
      <c r="C228" s="24" t="inlineStr">
        <is>
          <t>Hà Anh Thư</t>
        </is>
      </c>
      <c r="D228" s="28" t="inlineStr">
        <is>
          <t>0528425105</t>
        </is>
      </c>
      <c r="E228" s="29" t="n">
        <v>46390</v>
      </c>
      <c r="F228" s="24" t="inlineStr">
        <is>
          <t>Đang mang thai</t>
        </is>
      </c>
      <c r="G228" s="24" t="inlineStr">
        <is>
          <t>Hải Phòng</t>
        </is>
      </c>
      <c r="H228" s="21">
        <f>IF(ISNUMBER($B228),INT($B228)-WEEKDAY($B228,2)+1,"")</f>
        <v/>
      </c>
      <c r="I228" s="24" t="inlineStr">
        <is>
          <t>Z-GREEN</t>
        </is>
      </c>
      <c r="J228" s="22">
        <f t="array" ref="J228">IF($D228="","",IF($I228="","(trống REF)",IFERROR(INDEX(MASTER_SOURCE!$B$2:$B$495,MATCH($I228,MASTER_SOURCE!$A$2:$A$495,0)),"(REF không có trong MASTER_SOURCE)")))</f>
        <v/>
      </c>
      <c r="K228" s="22">
        <f t="array" ref="K228">IF($D228="","",IFERROR(INDEX(MASTER_SOURCE!$C$2:$C$495,MATCH($I228,MASTER_SOURCE!$A$2:$A$495,0)),""))</f>
        <v/>
      </c>
      <c r="L228" s="22">
        <f t="array" ref="L228">IF($D228="","",IFERROR(INDEX(MASTER_SOURCE!$D$2:$D$495,MATCH($I228,MASTER_SOURCE!$A$2:$A$495,0)),""))</f>
        <v/>
      </c>
      <c r="M228" s="24" t="inlineStr">
        <is>
          <t>Có</t>
        </is>
      </c>
      <c r="N228" s="24" t="inlineStr">
        <is>
          <t>Có</t>
        </is>
      </c>
      <c r="O228" s="24" t="inlineStr">
        <is>
          <t>Có</t>
        </is>
      </c>
      <c r="P228" s="24" t="inlineStr">
        <is>
          <t>Có</t>
        </is>
      </c>
      <c r="Q228" s="22">
        <f>IF($D228="","",IF(AND(OR(DANH_MUC!$L$5&lt;&gt;"Có",M228="Có"),OR(DANH_MUC!$L$6&lt;&gt;"Có",N228="Có"),OR(DANH_MUC!$L$7&lt;&gt;"Có",O228="Có"),OR(DANH_MUC!$L$8&lt;&gt;"Có",P228="Có")),"Có","Không"))</f>
        <v/>
      </c>
      <c r="R228" s="22">
        <f>IF($D228="","",IF(COUNTIF($D$2:$D228,$D228)&gt;1,"Trùng",""))</f>
        <v/>
      </c>
      <c r="S228" s="22">
        <f>IF($D228="","",IF(AND(LEN($D228)=10,LEFT($D228,1)="0",ISNUMBER(--$D228)),"Có","Không"))</f>
        <v/>
      </c>
      <c r="T228" s="22">
        <f>IF($D228="","",IF(AND($C228&lt;&gt;"",$Q228="Có",$R228="",$S228="Có",AND($L228&lt;&gt;"",OR($L228&lt;&gt;"Chưa xác định",DANH_MUC!$L$9="Có"))),"Có","Không"))</f>
        <v/>
      </c>
      <c r="U228" s="22">
        <f>IF(OR($D228="",$T228="Có"),"",IF($C228="","Thiếu họ tên; ","")&amp;IF($S228&lt;&gt;"Có","SĐT sai định dạng; ","")&amp;IF($R228="Trùng","Trùng SĐT; ","")&amp;IF($Q228&lt;&gt;"Có","Thiếu đồng ý bắt buộc; ","")&amp;IF($L228="","Thiếu/sai Mã REF; ",IF(AND($L228="Chưa xác định",DANH_MUC!$L$9&lt;&gt;"Có"),"Nguồn chưa xác định; ","")))</f>
        <v/>
      </c>
      <c r="V228" s="22">
        <f>IF(OR($D228="",$R228="Trùng"),"",IF(COUNTIF(ORDERS!$C$2:$C$4995,$D228)&gt;0,"Có","Không"))</f>
        <v/>
      </c>
      <c r="W228" s="22">
        <f>IF(OR($D228="",$R228="Trùng"),"",COUNTIFS(ORDERS!$C$2:$C$4995,$D228,ORDERS!$L$2:$L$4995,"Đã chuyển khoản"))</f>
        <v/>
      </c>
      <c r="X228" s="23">
        <f>IF(OR($D228="",$R228="Trùng"),"",SUMIFS(ORDERS!$J$2:$J$4995,ORDERS!$C$2:$C$4995,$D228,ORDERS!$L$2:$L$4995,"Đã chuyển khoản"))</f>
        <v/>
      </c>
      <c r="Y228" s="24" t="n"/>
    </row>
    <row r="229" ht="14.25" customHeight="1" s="40">
      <c r="A229" s="24" t="inlineStr">
        <is>
          <t>f05a0d01-a14f-415a-af97-eb47f5709a11</t>
        </is>
      </c>
      <c r="B229" s="18" t="n">
        <v>46291.56180555555</v>
      </c>
      <c r="C229" s="24" t="inlineStr">
        <is>
          <t>Nguyễn Diệp Anh</t>
        </is>
      </c>
      <c r="D229" s="28" t="inlineStr">
        <is>
          <t>0356430928</t>
        </is>
      </c>
      <c r="E229" s="29" t="n">
        <v>46114</v>
      </c>
      <c r="F229" s="24" t="inlineStr">
        <is>
          <t>Đã sinh</t>
        </is>
      </c>
      <c r="G229" s="24" t="inlineStr">
        <is>
          <t>Hải Phòng</t>
        </is>
      </c>
      <c r="H229" s="21">
        <f>IF(ISNUMBER($B229),INT($B229)-WEEKDAY($B229,2)+1,"")</f>
        <v/>
      </c>
      <c r="I229" s="24" t="inlineStr">
        <is>
          <t>Z-GREEN</t>
        </is>
      </c>
      <c r="J229" s="22">
        <f t="array" ref="J229">IF($D229="","",IF($I229="","(trống REF)",IFERROR(INDEX(MASTER_SOURCE!$B$2:$B$495,MATCH($I229,MASTER_SOURCE!$A$2:$A$495,0)),"(REF không có trong MASTER_SOURCE)")))</f>
        <v/>
      </c>
      <c r="K229" s="22">
        <f t="array" ref="K229">IF($D229="","",IFERROR(INDEX(MASTER_SOURCE!$C$2:$C$495,MATCH($I229,MASTER_SOURCE!$A$2:$A$495,0)),""))</f>
        <v/>
      </c>
      <c r="L229" s="22">
        <f t="array" ref="L229">IF($D229="","",IFERROR(INDEX(MASTER_SOURCE!$D$2:$D$495,MATCH($I229,MASTER_SOURCE!$A$2:$A$495,0)),""))</f>
        <v/>
      </c>
      <c r="M229" s="24" t="inlineStr">
        <is>
          <t>Có</t>
        </is>
      </c>
      <c r="N229" s="24" t="inlineStr">
        <is>
          <t>Có</t>
        </is>
      </c>
      <c r="O229" s="24" t="inlineStr">
        <is>
          <t>Có</t>
        </is>
      </c>
      <c r="P229" s="24" t="inlineStr">
        <is>
          <t>Có</t>
        </is>
      </c>
      <c r="Q229" s="22">
        <f>IF($D229="","",IF(AND(OR(DANH_MUC!$L$5&lt;&gt;"Có",M229="Có"),OR(DANH_MUC!$L$6&lt;&gt;"Có",N229="Có"),OR(DANH_MUC!$L$7&lt;&gt;"Có",O229="Có"),OR(DANH_MUC!$L$8&lt;&gt;"Có",P229="Có")),"Có","Không"))</f>
        <v/>
      </c>
      <c r="R229" s="22">
        <f>IF($D229="","",IF(COUNTIF($D$2:$D229,$D229)&gt;1,"Trùng",""))</f>
        <v/>
      </c>
      <c r="S229" s="22">
        <f>IF($D229="","",IF(AND(LEN($D229)=10,LEFT($D229,1)="0",ISNUMBER(--$D229)),"Có","Không"))</f>
        <v/>
      </c>
      <c r="T229" s="22">
        <f>IF($D229="","",IF(AND($C229&lt;&gt;"",$Q229="Có",$R229="",$S229="Có",AND($L229&lt;&gt;"",OR($L229&lt;&gt;"Chưa xác định",DANH_MUC!$L$9="Có"))),"Có","Không"))</f>
        <v/>
      </c>
      <c r="U229" s="22">
        <f>IF(OR($D229="",$T229="Có"),"",IF($C229="","Thiếu họ tên; ","")&amp;IF($S229&lt;&gt;"Có","SĐT sai định dạng; ","")&amp;IF($R229="Trùng","Trùng SĐT; ","")&amp;IF($Q229&lt;&gt;"Có","Thiếu đồng ý bắt buộc; ","")&amp;IF($L229="","Thiếu/sai Mã REF; ",IF(AND($L229="Chưa xác định",DANH_MUC!$L$9&lt;&gt;"Có"),"Nguồn chưa xác định; ","")))</f>
        <v/>
      </c>
      <c r="V229" s="22">
        <f>IF(OR($D229="",$R229="Trùng"),"",IF(COUNTIF(ORDERS!$C$2:$C$4995,$D229)&gt;0,"Có","Không"))</f>
        <v/>
      </c>
      <c r="W229" s="22">
        <f>IF(OR($D229="",$R229="Trùng"),"",COUNTIFS(ORDERS!$C$2:$C$4995,$D229,ORDERS!$L$2:$L$4995,"Đã chuyển khoản"))</f>
        <v/>
      </c>
      <c r="X229" s="23">
        <f>IF(OR($D229="",$R229="Trùng"),"",SUMIFS(ORDERS!$J$2:$J$4995,ORDERS!$C$2:$C$4995,$D229,ORDERS!$L$2:$L$4995,"Đã chuyển khoản"))</f>
        <v/>
      </c>
      <c r="Y229" s="24" t="n"/>
    </row>
    <row r="230" ht="14.25" customHeight="1" s="40">
      <c r="A230" s="24" t="inlineStr">
        <is>
          <t>392cfd5d-b46e-469e-a3a4-835a6988ac65</t>
        </is>
      </c>
      <c r="B230" s="18" t="n">
        <v>46291.5625</v>
      </c>
      <c r="C230" s="24" t="inlineStr">
        <is>
          <t>Phạm Thị Mơ</t>
        </is>
      </c>
      <c r="D230" s="28" t="inlineStr">
        <is>
          <t>0349372818</t>
        </is>
      </c>
      <c r="E230" s="29" t="n">
        <v>46385</v>
      </c>
      <c r="F230" s="24" t="inlineStr">
        <is>
          <t>Đang mang thai</t>
        </is>
      </c>
      <c r="G230" s="24" t="inlineStr">
        <is>
          <t>Hải Phòng</t>
        </is>
      </c>
      <c r="H230" s="21">
        <f>IF(ISNUMBER($B230),INT($B230)-WEEKDAY($B230,2)+1,"")</f>
        <v/>
      </c>
      <c r="I230" s="24" t="inlineStr">
        <is>
          <t>Z-GREEN</t>
        </is>
      </c>
      <c r="J230" s="22">
        <f t="array" ref="J230">IF($D230="","",IF($I230="","(trống REF)",IFERROR(INDEX(MASTER_SOURCE!$B$2:$B$495,MATCH($I230,MASTER_SOURCE!$A$2:$A$495,0)),"(REF không có trong MASTER_SOURCE)")))</f>
        <v/>
      </c>
      <c r="K230" s="22">
        <f t="array" ref="K230">IF($D230="","",IFERROR(INDEX(MASTER_SOURCE!$C$2:$C$495,MATCH($I230,MASTER_SOURCE!$A$2:$A$495,0)),""))</f>
        <v/>
      </c>
      <c r="L230" s="22">
        <f t="array" ref="L230">IF($D230="","",IFERROR(INDEX(MASTER_SOURCE!$D$2:$D$495,MATCH($I230,MASTER_SOURCE!$A$2:$A$495,0)),""))</f>
        <v/>
      </c>
      <c r="M230" s="24" t="inlineStr">
        <is>
          <t>Có</t>
        </is>
      </c>
      <c r="N230" s="24" t="inlineStr">
        <is>
          <t>Có</t>
        </is>
      </c>
      <c r="O230" s="24" t="inlineStr">
        <is>
          <t>Có</t>
        </is>
      </c>
      <c r="P230" s="24" t="inlineStr">
        <is>
          <t>Có</t>
        </is>
      </c>
      <c r="Q230" s="22">
        <f>IF($D230="","",IF(AND(OR(DANH_MUC!$L$5&lt;&gt;"Có",M230="Có"),OR(DANH_MUC!$L$6&lt;&gt;"Có",N230="Có"),OR(DANH_MUC!$L$7&lt;&gt;"Có",O230="Có"),OR(DANH_MUC!$L$8&lt;&gt;"Có",P230="Có")),"Có","Không"))</f>
        <v/>
      </c>
      <c r="R230" s="22">
        <f>IF($D230="","",IF(COUNTIF($D$2:$D230,$D230)&gt;1,"Trùng",""))</f>
        <v/>
      </c>
      <c r="S230" s="22">
        <f>IF($D230="","",IF(AND(LEN($D230)=10,LEFT($D230,1)="0",ISNUMBER(--$D230)),"Có","Không"))</f>
        <v/>
      </c>
      <c r="T230" s="22">
        <f>IF($D230="","",IF(AND($C230&lt;&gt;"",$Q230="Có",$R230="",$S230="Có",AND($L230&lt;&gt;"",OR($L230&lt;&gt;"Chưa xác định",DANH_MUC!$L$9="Có"))),"Có","Không"))</f>
        <v/>
      </c>
      <c r="U230" s="22">
        <f>IF(OR($D230="",$T230="Có"),"",IF($C230="","Thiếu họ tên; ","")&amp;IF($S230&lt;&gt;"Có","SĐT sai định dạng; ","")&amp;IF($R230="Trùng","Trùng SĐT; ","")&amp;IF($Q230&lt;&gt;"Có","Thiếu đồng ý bắt buộc; ","")&amp;IF($L230="","Thiếu/sai Mã REF; ",IF(AND($L230="Chưa xác định",DANH_MUC!$L$9&lt;&gt;"Có"),"Nguồn chưa xác định; ","")))</f>
        <v/>
      </c>
      <c r="V230" s="22">
        <f>IF(OR($D230="",$R230="Trùng"),"",IF(COUNTIF(ORDERS!$C$2:$C$4995,$D230)&gt;0,"Có","Không"))</f>
        <v/>
      </c>
      <c r="W230" s="22">
        <f>IF(OR($D230="",$R230="Trùng"),"",COUNTIFS(ORDERS!$C$2:$C$4995,$D230,ORDERS!$L$2:$L$4995,"Đã chuyển khoản"))</f>
        <v/>
      </c>
      <c r="X230" s="23">
        <f>IF(OR($D230="",$R230="Trùng"),"",SUMIFS(ORDERS!$J$2:$J$4995,ORDERS!$C$2:$C$4995,$D230,ORDERS!$L$2:$L$4995,"Đã chuyển khoản"))</f>
        <v/>
      </c>
      <c r="Y230" s="24" t="n"/>
    </row>
    <row r="231" ht="14.25" customHeight="1" s="40">
      <c r="A231" s="24" t="inlineStr">
        <is>
          <t>4353ce21-a02b-4d8b-95b5-f3ca4abf1c4f</t>
        </is>
      </c>
      <c r="B231" s="18" t="n">
        <v>46291.575</v>
      </c>
      <c r="C231" s="24" t="inlineStr">
        <is>
          <t>Minh</t>
        </is>
      </c>
      <c r="D231" s="28" t="inlineStr">
        <is>
          <t>0833759869</t>
        </is>
      </c>
      <c r="E231" s="29" t="n">
        <v>46077</v>
      </c>
      <c r="F231" s="24" t="inlineStr">
        <is>
          <t>Đã sinh</t>
        </is>
      </c>
      <c r="G231" s="24" t="inlineStr">
        <is>
          <t>Hải Phòng</t>
        </is>
      </c>
      <c r="H231" s="21">
        <f>IF(ISNUMBER($B231),INT($B231)-WEEKDAY($B231,2)+1,"")</f>
        <v/>
      </c>
      <c r="I231" s="24" t="inlineStr">
        <is>
          <t>Z-GREEN</t>
        </is>
      </c>
      <c r="J231" s="22">
        <f t="array" ref="J231">IF($D231="","",IF($I231="","(trống REF)",IFERROR(INDEX(MASTER_SOURCE!$B$2:$B$495,MATCH($I231,MASTER_SOURCE!$A$2:$A$495,0)),"(REF không có trong MASTER_SOURCE)")))</f>
        <v/>
      </c>
      <c r="K231" s="22">
        <f t="array" ref="K231">IF($D231="","",IFERROR(INDEX(MASTER_SOURCE!$C$2:$C$495,MATCH($I231,MASTER_SOURCE!$A$2:$A$495,0)),""))</f>
        <v/>
      </c>
      <c r="L231" s="22">
        <f t="array" ref="L231">IF($D231="","",IFERROR(INDEX(MASTER_SOURCE!$D$2:$D$495,MATCH($I231,MASTER_SOURCE!$A$2:$A$495,0)),""))</f>
        <v/>
      </c>
      <c r="M231" s="24" t="inlineStr">
        <is>
          <t>Có</t>
        </is>
      </c>
      <c r="N231" s="24" t="inlineStr">
        <is>
          <t>Có</t>
        </is>
      </c>
      <c r="O231" s="24" t="inlineStr">
        <is>
          <t>Có</t>
        </is>
      </c>
      <c r="P231" s="24" t="inlineStr">
        <is>
          <t>Có</t>
        </is>
      </c>
      <c r="Q231" s="22">
        <f>IF($D231="","",IF(AND(OR(DANH_MUC!$L$5&lt;&gt;"Có",M231="Có"),OR(DANH_MUC!$L$6&lt;&gt;"Có",N231="Có"),OR(DANH_MUC!$L$7&lt;&gt;"Có",O231="Có"),OR(DANH_MUC!$L$8&lt;&gt;"Có",P231="Có")),"Có","Không"))</f>
        <v/>
      </c>
      <c r="R231" s="22">
        <f>IF($D231="","",IF(COUNTIF($D$2:$D231,$D231)&gt;1,"Trùng",""))</f>
        <v/>
      </c>
      <c r="S231" s="22">
        <f>IF($D231="","",IF(AND(LEN($D231)=10,LEFT($D231,1)="0",ISNUMBER(--$D231)),"Có","Không"))</f>
        <v/>
      </c>
      <c r="T231" s="22">
        <f>IF($D231="","",IF(AND($C231&lt;&gt;"",$Q231="Có",$R231="",$S231="Có",AND($L231&lt;&gt;"",OR($L231&lt;&gt;"Chưa xác định",DANH_MUC!$L$9="Có"))),"Có","Không"))</f>
        <v/>
      </c>
      <c r="U231" s="22">
        <f>IF(OR($D231="",$T231="Có"),"",IF($C231="","Thiếu họ tên; ","")&amp;IF($S231&lt;&gt;"Có","SĐT sai định dạng; ","")&amp;IF($R231="Trùng","Trùng SĐT; ","")&amp;IF($Q231&lt;&gt;"Có","Thiếu đồng ý bắt buộc; ","")&amp;IF($L231="","Thiếu/sai Mã REF; ",IF(AND($L231="Chưa xác định",DANH_MUC!$L$9&lt;&gt;"Có"),"Nguồn chưa xác định; ","")))</f>
        <v/>
      </c>
      <c r="V231" s="22">
        <f>IF(OR($D231="",$R231="Trùng"),"",IF(COUNTIF(ORDERS!$C$2:$C$4995,$D231)&gt;0,"Có","Không"))</f>
        <v/>
      </c>
      <c r="W231" s="22">
        <f>IF(OR($D231="",$R231="Trùng"),"",COUNTIFS(ORDERS!$C$2:$C$4995,$D231,ORDERS!$L$2:$L$4995,"Đã chuyển khoản"))</f>
        <v/>
      </c>
      <c r="X231" s="23">
        <f>IF(OR($D231="",$R231="Trùng"),"",SUMIFS(ORDERS!$J$2:$J$4995,ORDERS!$C$2:$C$4995,$D231,ORDERS!$L$2:$L$4995,"Đã chuyển khoản"))</f>
        <v/>
      </c>
      <c r="Y231" s="24" t="n"/>
    </row>
    <row r="232" ht="14.25" customHeight="1" s="40">
      <c r="A232" s="24" t="inlineStr">
        <is>
          <t>775bee88-1cb8-4de0-aa20-459145d11952</t>
        </is>
      </c>
      <c r="B232" s="18" t="n">
        <v>46291.57638888889</v>
      </c>
      <c r="C232" s="24" t="inlineStr">
        <is>
          <t>Lưu Thị Nhật Lệ</t>
        </is>
      </c>
      <c r="D232" s="28" t="inlineStr">
        <is>
          <t>0981087503</t>
        </is>
      </c>
      <c r="E232" s="29" t="n">
        <v>46352</v>
      </c>
      <c r="F232" s="24" t="inlineStr">
        <is>
          <t>Đang mang thai</t>
        </is>
      </c>
      <c r="G232" s="24" t="inlineStr">
        <is>
          <t>Hải Phòng</t>
        </is>
      </c>
      <c r="H232" s="21">
        <f>IF(ISNUMBER($B232),INT($B232)-WEEKDAY($B232,2)+1,"")</f>
        <v/>
      </c>
      <c r="I232" s="24" t="inlineStr">
        <is>
          <t>Z-GREEN</t>
        </is>
      </c>
      <c r="J232" s="22">
        <f t="array" ref="J232">IF($D232="","",IF($I232="","(trống REF)",IFERROR(INDEX(MASTER_SOURCE!$B$2:$B$495,MATCH($I232,MASTER_SOURCE!$A$2:$A$495,0)),"(REF không có trong MASTER_SOURCE)")))</f>
        <v/>
      </c>
      <c r="K232" s="22">
        <f t="array" ref="K232">IF($D232="","",IFERROR(INDEX(MASTER_SOURCE!$C$2:$C$495,MATCH($I232,MASTER_SOURCE!$A$2:$A$495,0)),""))</f>
        <v/>
      </c>
      <c r="L232" s="22">
        <f t="array" ref="L232">IF($D232="","",IFERROR(INDEX(MASTER_SOURCE!$D$2:$D$495,MATCH($I232,MASTER_SOURCE!$A$2:$A$495,0)),""))</f>
        <v/>
      </c>
      <c r="M232" s="24" t="inlineStr">
        <is>
          <t>Có</t>
        </is>
      </c>
      <c r="N232" s="24" t="inlineStr">
        <is>
          <t>Có</t>
        </is>
      </c>
      <c r="O232" s="24" t="inlineStr">
        <is>
          <t>Có</t>
        </is>
      </c>
      <c r="P232" s="24" t="inlineStr">
        <is>
          <t>Có</t>
        </is>
      </c>
      <c r="Q232" s="22">
        <f>IF($D232="","",IF(AND(OR(DANH_MUC!$L$5&lt;&gt;"Có",M232="Có"),OR(DANH_MUC!$L$6&lt;&gt;"Có",N232="Có"),OR(DANH_MUC!$L$7&lt;&gt;"Có",O232="Có"),OR(DANH_MUC!$L$8&lt;&gt;"Có",P232="Có")),"Có","Không"))</f>
        <v/>
      </c>
      <c r="R232" s="22">
        <f>IF($D232="","",IF(COUNTIF($D$2:$D232,$D232)&gt;1,"Trùng",""))</f>
        <v/>
      </c>
      <c r="S232" s="22">
        <f>IF($D232="","",IF(AND(LEN($D232)=10,LEFT($D232,1)="0",ISNUMBER(--$D232)),"Có","Không"))</f>
        <v/>
      </c>
      <c r="T232" s="22">
        <f>IF($D232="","",IF(AND($C232&lt;&gt;"",$Q232="Có",$R232="",$S232="Có",AND($L232&lt;&gt;"",OR($L232&lt;&gt;"Chưa xác định",DANH_MUC!$L$9="Có"))),"Có","Không"))</f>
        <v/>
      </c>
      <c r="U232" s="22">
        <f>IF(OR($D232="",$T232="Có"),"",IF($C232="","Thiếu họ tên; ","")&amp;IF($S232&lt;&gt;"Có","SĐT sai định dạng; ","")&amp;IF($R232="Trùng","Trùng SĐT; ","")&amp;IF($Q232&lt;&gt;"Có","Thiếu đồng ý bắt buộc; ","")&amp;IF($L232="","Thiếu/sai Mã REF; ",IF(AND($L232="Chưa xác định",DANH_MUC!$L$9&lt;&gt;"Có"),"Nguồn chưa xác định; ","")))</f>
        <v/>
      </c>
      <c r="V232" s="22">
        <f>IF(OR($D232="",$R232="Trùng"),"",IF(COUNTIF(ORDERS!$C$2:$C$4995,$D232)&gt;0,"Có","Không"))</f>
        <v/>
      </c>
      <c r="W232" s="22">
        <f>IF(OR($D232="",$R232="Trùng"),"",COUNTIFS(ORDERS!$C$2:$C$4995,$D232,ORDERS!$L$2:$L$4995,"Đã chuyển khoản"))</f>
        <v/>
      </c>
      <c r="X232" s="23">
        <f>IF(OR($D232="",$R232="Trùng"),"",SUMIFS(ORDERS!$J$2:$J$4995,ORDERS!$C$2:$C$4995,$D232,ORDERS!$L$2:$L$4995,"Đã chuyển khoản"))</f>
        <v/>
      </c>
      <c r="Y232" s="24" t="n"/>
    </row>
    <row r="233" ht="14.25" customHeight="1" s="40">
      <c r="A233" s="24" t="inlineStr">
        <is>
          <t>590ed3bb-7c51-419e-8dd9-2f51344aafb0</t>
        </is>
      </c>
      <c r="B233" s="18" t="n">
        <v>46291.57847222222</v>
      </c>
      <c r="C233" s="24" t="inlineStr">
        <is>
          <t>Trần thị vân</t>
        </is>
      </c>
      <c r="D233" s="28" t="inlineStr">
        <is>
          <t>0389664689</t>
        </is>
      </c>
      <c r="E233" s="29" t="n">
        <v>46194</v>
      </c>
      <c r="F233" s="24" t="inlineStr">
        <is>
          <t>Đã sinh</t>
        </is>
      </c>
      <c r="G233" s="24" t="inlineStr">
        <is>
          <t>Hải Phòng</t>
        </is>
      </c>
      <c r="H233" s="21">
        <f>IF(ISNUMBER($B233),INT($B233)-WEEKDAY($B233,2)+1,"")</f>
        <v/>
      </c>
      <c r="I233" s="24" t="inlineStr">
        <is>
          <t>Z-GREEN</t>
        </is>
      </c>
      <c r="J233" s="22">
        <f t="array" ref="J233">IF($D233="","",IF($I233="","(trống REF)",IFERROR(INDEX(MASTER_SOURCE!$B$2:$B$495,MATCH($I233,MASTER_SOURCE!$A$2:$A$495,0)),"(REF không có trong MASTER_SOURCE)")))</f>
        <v/>
      </c>
      <c r="K233" s="22">
        <f t="array" ref="K233">IF($D233="","",IFERROR(INDEX(MASTER_SOURCE!$C$2:$C$495,MATCH($I233,MASTER_SOURCE!$A$2:$A$495,0)),""))</f>
        <v/>
      </c>
      <c r="L233" s="22">
        <f t="array" ref="L233">IF($D233="","",IFERROR(INDEX(MASTER_SOURCE!$D$2:$D$495,MATCH($I233,MASTER_SOURCE!$A$2:$A$495,0)),""))</f>
        <v/>
      </c>
      <c r="M233" s="24" t="inlineStr">
        <is>
          <t>Có</t>
        </is>
      </c>
      <c r="N233" s="24" t="inlineStr">
        <is>
          <t>Có</t>
        </is>
      </c>
      <c r="O233" s="24" t="inlineStr">
        <is>
          <t>Có</t>
        </is>
      </c>
      <c r="P233" s="24" t="inlineStr">
        <is>
          <t>Có</t>
        </is>
      </c>
      <c r="Q233" s="22">
        <f>IF($D233="","",IF(AND(OR(DANH_MUC!$L$5&lt;&gt;"Có",M233="Có"),OR(DANH_MUC!$L$6&lt;&gt;"Có",N233="Có"),OR(DANH_MUC!$L$7&lt;&gt;"Có",O233="Có"),OR(DANH_MUC!$L$8&lt;&gt;"Có",P233="Có")),"Có","Không"))</f>
        <v/>
      </c>
      <c r="R233" s="22">
        <f>IF($D233="","",IF(COUNTIF($D$2:$D233,$D233)&gt;1,"Trùng",""))</f>
        <v/>
      </c>
      <c r="S233" s="22">
        <f>IF($D233="","",IF(AND(LEN($D233)=10,LEFT($D233,1)="0",ISNUMBER(--$D233)),"Có","Không"))</f>
        <v/>
      </c>
      <c r="T233" s="22">
        <f>IF($D233="","",IF(AND($C233&lt;&gt;"",$Q233="Có",$R233="",$S233="Có",AND($L233&lt;&gt;"",OR($L233&lt;&gt;"Chưa xác định",DANH_MUC!$L$9="Có"))),"Có","Không"))</f>
        <v/>
      </c>
      <c r="U233" s="22">
        <f>IF(OR($D233="",$T233="Có"),"",IF($C233="","Thiếu họ tên; ","")&amp;IF($S233&lt;&gt;"Có","SĐT sai định dạng; ","")&amp;IF($R233="Trùng","Trùng SĐT; ","")&amp;IF($Q233&lt;&gt;"Có","Thiếu đồng ý bắt buộc; ","")&amp;IF($L233="","Thiếu/sai Mã REF; ",IF(AND($L233="Chưa xác định",DANH_MUC!$L$9&lt;&gt;"Có"),"Nguồn chưa xác định; ","")))</f>
        <v/>
      </c>
      <c r="V233" s="22">
        <f>IF(OR($D233="",$R233="Trùng"),"",IF(COUNTIF(ORDERS!$C$2:$C$4995,$D233)&gt;0,"Có","Không"))</f>
        <v/>
      </c>
      <c r="W233" s="22">
        <f>IF(OR($D233="",$R233="Trùng"),"",COUNTIFS(ORDERS!$C$2:$C$4995,$D233,ORDERS!$L$2:$L$4995,"Đã chuyển khoản"))</f>
        <v/>
      </c>
      <c r="X233" s="23">
        <f>IF(OR($D233="",$R233="Trùng"),"",SUMIFS(ORDERS!$J$2:$J$4995,ORDERS!$C$2:$C$4995,$D233,ORDERS!$L$2:$L$4995,"Đã chuyển khoản"))</f>
        <v/>
      </c>
      <c r="Y233" s="24" t="n"/>
    </row>
    <row r="234" ht="14.25" customHeight="1" s="40">
      <c r="A234" s="24" t="inlineStr">
        <is>
          <t>aac34060-beba-4233-824d-247ef68bd4e4</t>
        </is>
      </c>
      <c r="B234" s="18" t="n">
        <v>46291.58194444444</v>
      </c>
      <c r="C234" s="24" t="inlineStr">
        <is>
          <t>Vũ Ngọc Khánh</t>
        </is>
      </c>
      <c r="D234" s="28" t="inlineStr">
        <is>
          <t>0783171106</t>
        </is>
      </c>
      <c r="E234" s="29" t="n">
        <v>46407</v>
      </c>
      <c r="F234" s="24" t="inlineStr">
        <is>
          <t>Đang mang thai</t>
        </is>
      </c>
      <c r="G234" s="24" t="inlineStr">
        <is>
          <t>Hải Phòng</t>
        </is>
      </c>
      <c r="H234" s="21">
        <f>IF(ISNUMBER($B234),INT($B234)-WEEKDAY($B234,2)+1,"")</f>
        <v/>
      </c>
      <c r="I234" s="24" t="inlineStr">
        <is>
          <t>Z-GREEN</t>
        </is>
      </c>
      <c r="J234" s="22">
        <f t="array" ref="J234">IF($D234="","",IF($I234="","(trống REF)",IFERROR(INDEX(MASTER_SOURCE!$B$2:$B$495,MATCH($I234,MASTER_SOURCE!$A$2:$A$495,0)),"(REF không có trong MASTER_SOURCE)")))</f>
        <v/>
      </c>
      <c r="K234" s="22">
        <f t="array" ref="K234">IF($D234="","",IFERROR(INDEX(MASTER_SOURCE!$C$2:$C$495,MATCH($I234,MASTER_SOURCE!$A$2:$A$495,0)),""))</f>
        <v/>
      </c>
      <c r="L234" s="22">
        <f t="array" ref="L234">IF($D234="","",IFERROR(INDEX(MASTER_SOURCE!$D$2:$D$495,MATCH($I234,MASTER_SOURCE!$A$2:$A$495,0)),""))</f>
        <v/>
      </c>
      <c r="M234" s="24" t="inlineStr">
        <is>
          <t>Có</t>
        </is>
      </c>
      <c r="N234" s="24" t="inlineStr">
        <is>
          <t>Có</t>
        </is>
      </c>
      <c r="O234" s="24" t="inlineStr">
        <is>
          <t>Có</t>
        </is>
      </c>
      <c r="P234" s="24" t="inlineStr">
        <is>
          <t>Có</t>
        </is>
      </c>
      <c r="Q234" s="22">
        <f>IF($D234="","",IF(AND(OR(DANH_MUC!$L$5&lt;&gt;"Có",M234="Có"),OR(DANH_MUC!$L$6&lt;&gt;"Có",N234="Có"),OR(DANH_MUC!$L$7&lt;&gt;"Có",O234="Có"),OR(DANH_MUC!$L$8&lt;&gt;"Có",P234="Có")),"Có","Không"))</f>
        <v/>
      </c>
      <c r="R234" s="22">
        <f>IF($D234="","",IF(COUNTIF($D$2:$D234,$D234)&gt;1,"Trùng",""))</f>
        <v/>
      </c>
      <c r="S234" s="22">
        <f>IF($D234="","",IF(AND(LEN($D234)=10,LEFT($D234,1)="0",ISNUMBER(--$D234)),"Có","Không"))</f>
        <v/>
      </c>
      <c r="T234" s="22">
        <f>IF($D234="","",IF(AND($C234&lt;&gt;"",$Q234="Có",$R234="",$S234="Có",AND($L234&lt;&gt;"",OR($L234&lt;&gt;"Chưa xác định",DANH_MUC!$L$9="Có"))),"Có","Không"))</f>
        <v/>
      </c>
      <c r="U234" s="22">
        <f>IF(OR($D234="",$T234="Có"),"",IF($C234="","Thiếu họ tên; ","")&amp;IF($S234&lt;&gt;"Có","SĐT sai định dạng; ","")&amp;IF($R234="Trùng","Trùng SĐT; ","")&amp;IF($Q234&lt;&gt;"Có","Thiếu đồng ý bắt buộc; ","")&amp;IF($L234="","Thiếu/sai Mã REF; ",IF(AND($L234="Chưa xác định",DANH_MUC!$L$9&lt;&gt;"Có"),"Nguồn chưa xác định; ","")))</f>
        <v/>
      </c>
      <c r="V234" s="22">
        <f>IF(OR($D234="",$R234="Trùng"),"",IF(COUNTIF(ORDERS!$C$2:$C$4995,$D234)&gt;0,"Có","Không"))</f>
        <v/>
      </c>
      <c r="W234" s="22">
        <f>IF(OR($D234="",$R234="Trùng"),"",COUNTIFS(ORDERS!$C$2:$C$4995,$D234,ORDERS!$L$2:$L$4995,"Đã chuyển khoản"))</f>
        <v/>
      </c>
      <c r="X234" s="23">
        <f>IF(OR($D234="",$R234="Trùng"),"",SUMIFS(ORDERS!$J$2:$J$4995,ORDERS!$C$2:$C$4995,$D234,ORDERS!$L$2:$L$4995,"Đã chuyển khoản"))</f>
        <v/>
      </c>
      <c r="Y234" s="24" t="n"/>
    </row>
    <row r="235" ht="14.25" customHeight="1" s="40">
      <c r="A235" s="24" t="inlineStr">
        <is>
          <t>00da4684-8148-4896-acd1-fece650946df</t>
        </is>
      </c>
      <c r="B235" s="18" t="n">
        <v>46291.58194444444</v>
      </c>
      <c r="C235" s="24" t="inlineStr">
        <is>
          <t>Nguyễn Thị Hoài Linh</t>
        </is>
      </c>
      <c r="D235" s="28" t="inlineStr">
        <is>
          <t>0358029095</t>
        </is>
      </c>
      <c r="E235" s="29" t="n">
        <v>46403</v>
      </c>
      <c r="F235" s="24" t="inlineStr">
        <is>
          <t>Đang mang thai</t>
        </is>
      </c>
      <c r="G235" s="24" t="inlineStr">
        <is>
          <t>Hải Phòng</t>
        </is>
      </c>
      <c r="H235" s="21">
        <f>IF(ISNUMBER($B235),INT($B235)-WEEKDAY($B235,2)+1,"")</f>
        <v/>
      </c>
      <c r="I235" s="24" t="inlineStr">
        <is>
          <t>Z-GREEN</t>
        </is>
      </c>
      <c r="J235" s="22">
        <f t="array" ref="J235">IF($D235="","",IF($I235="","(trống REF)",IFERROR(INDEX(MASTER_SOURCE!$B$2:$B$495,MATCH($I235,MASTER_SOURCE!$A$2:$A$495,0)),"(REF không có trong MASTER_SOURCE)")))</f>
        <v/>
      </c>
      <c r="K235" s="22">
        <f t="array" ref="K235">IF($D235="","",IFERROR(INDEX(MASTER_SOURCE!$C$2:$C$495,MATCH($I235,MASTER_SOURCE!$A$2:$A$495,0)),""))</f>
        <v/>
      </c>
      <c r="L235" s="22">
        <f t="array" ref="L235">IF($D235="","",IFERROR(INDEX(MASTER_SOURCE!$D$2:$D$495,MATCH($I235,MASTER_SOURCE!$A$2:$A$495,0)),""))</f>
        <v/>
      </c>
      <c r="M235" s="24" t="inlineStr">
        <is>
          <t>Có</t>
        </is>
      </c>
      <c r="N235" s="24" t="inlineStr">
        <is>
          <t>Có</t>
        </is>
      </c>
      <c r="O235" s="24" t="inlineStr">
        <is>
          <t>Có</t>
        </is>
      </c>
      <c r="P235" s="24" t="inlineStr">
        <is>
          <t>Có</t>
        </is>
      </c>
      <c r="Q235" s="22">
        <f>IF($D235="","",IF(AND(OR(DANH_MUC!$L$5&lt;&gt;"Có",M235="Có"),OR(DANH_MUC!$L$6&lt;&gt;"Có",N235="Có"),OR(DANH_MUC!$L$7&lt;&gt;"Có",O235="Có"),OR(DANH_MUC!$L$8&lt;&gt;"Có",P235="Có")),"Có","Không"))</f>
        <v/>
      </c>
      <c r="R235" s="22">
        <f>IF($D235="","",IF(COUNTIF($D$2:$D235,$D235)&gt;1,"Trùng",""))</f>
        <v/>
      </c>
      <c r="S235" s="22">
        <f>IF($D235="","",IF(AND(LEN($D235)=10,LEFT($D235,1)="0",ISNUMBER(--$D235)),"Có","Không"))</f>
        <v/>
      </c>
      <c r="T235" s="22">
        <f>IF($D235="","",IF(AND($C235&lt;&gt;"",$Q235="Có",$R235="",$S235="Có",AND($L235&lt;&gt;"",OR($L235&lt;&gt;"Chưa xác định",DANH_MUC!$L$9="Có"))),"Có","Không"))</f>
        <v/>
      </c>
      <c r="U235" s="22">
        <f>IF(OR($D235="",$T235="Có"),"",IF($C235="","Thiếu họ tên; ","")&amp;IF($S235&lt;&gt;"Có","SĐT sai định dạng; ","")&amp;IF($R235="Trùng","Trùng SĐT; ","")&amp;IF($Q235&lt;&gt;"Có","Thiếu đồng ý bắt buộc; ","")&amp;IF($L235="","Thiếu/sai Mã REF; ",IF(AND($L235="Chưa xác định",DANH_MUC!$L$9&lt;&gt;"Có"),"Nguồn chưa xác định; ","")))</f>
        <v/>
      </c>
      <c r="V235" s="22">
        <f>IF(OR($D235="",$R235="Trùng"),"",IF(COUNTIF(ORDERS!$C$2:$C$4995,$D235)&gt;0,"Có","Không"))</f>
        <v/>
      </c>
      <c r="W235" s="22">
        <f>IF(OR($D235="",$R235="Trùng"),"",COUNTIFS(ORDERS!$C$2:$C$4995,$D235,ORDERS!$L$2:$L$4995,"Đã chuyển khoản"))</f>
        <v/>
      </c>
      <c r="X235" s="23">
        <f>IF(OR($D235="",$R235="Trùng"),"",SUMIFS(ORDERS!$J$2:$J$4995,ORDERS!$C$2:$C$4995,$D235,ORDERS!$L$2:$L$4995,"Đã chuyển khoản"))</f>
        <v/>
      </c>
      <c r="Y235" s="24" t="n"/>
    </row>
    <row r="236" ht="14.25" customHeight="1" s="40">
      <c r="A236" s="24" t="inlineStr">
        <is>
          <t>48603ce2-453b-4780-92b7-b07253d0d4c3</t>
        </is>
      </c>
      <c r="B236" s="18" t="n">
        <v>46291.58541666667</v>
      </c>
      <c r="C236" s="24" t="inlineStr">
        <is>
          <t>Đỗ hạ diễm</t>
        </is>
      </c>
      <c r="D236" s="28" t="inlineStr">
        <is>
          <t>0702260009</t>
        </is>
      </c>
      <c r="E236" s="29" t="n">
        <v>46331</v>
      </c>
      <c r="F236" s="24" t="inlineStr">
        <is>
          <t>Đang mang thai</t>
        </is>
      </c>
      <c r="G236" s="24" t="inlineStr">
        <is>
          <t>Hải Phòng</t>
        </is>
      </c>
      <c r="H236" s="21">
        <f>IF(ISNUMBER($B236),INT($B236)-WEEKDAY($B236,2)+1,"")</f>
        <v/>
      </c>
      <c r="I236" s="24" t="inlineStr">
        <is>
          <t>Z-GREEN</t>
        </is>
      </c>
      <c r="J236" s="22">
        <f t="array" ref="J236">IF($D236="","",IF($I236="","(trống REF)",IFERROR(INDEX(MASTER_SOURCE!$B$2:$B$495,MATCH($I236,MASTER_SOURCE!$A$2:$A$495,0)),"(REF không có trong MASTER_SOURCE)")))</f>
        <v/>
      </c>
      <c r="K236" s="22">
        <f t="array" ref="K236">IF($D236="","",IFERROR(INDEX(MASTER_SOURCE!$C$2:$C$495,MATCH($I236,MASTER_SOURCE!$A$2:$A$495,0)),""))</f>
        <v/>
      </c>
      <c r="L236" s="22">
        <f t="array" ref="L236">IF($D236="","",IFERROR(INDEX(MASTER_SOURCE!$D$2:$D$495,MATCH($I236,MASTER_SOURCE!$A$2:$A$495,0)),""))</f>
        <v/>
      </c>
      <c r="M236" s="24" t="inlineStr">
        <is>
          <t>Có</t>
        </is>
      </c>
      <c r="N236" s="24" t="inlineStr">
        <is>
          <t>Có</t>
        </is>
      </c>
      <c r="O236" s="24" t="inlineStr">
        <is>
          <t>Có</t>
        </is>
      </c>
      <c r="P236" s="24" t="inlineStr">
        <is>
          <t>Có</t>
        </is>
      </c>
      <c r="Q236" s="22">
        <f>IF($D236="","",IF(AND(OR(DANH_MUC!$L$5&lt;&gt;"Có",M236="Có"),OR(DANH_MUC!$L$6&lt;&gt;"Có",N236="Có"),OR(DANH_MUC!$L$7&lt;&gt;"Có",O236="Có"),OR(DANH_MUC!$L$8&lt;&gt;"Có",P236="Có")),"Có","Không"))</f>
        <v/>
      </c>
      <c r="R236" s="22">
        <f>IF($D236="","",IF(COUNTIF($D$2:$D236,$D236)&gt;1,"Trùng",""))</f>
        <v/>
      </c>
      <c r="S236" s="22">
        <f>IF($D236="","",IF(AND(LEN($D236)=10,LEFT($D236,1)="0",ISNUMBER(--$D236)),"Có","Không"))</f>
        <v/>
      </c>
      <c r="T236" s="22">
        <f>IF($D236="","",IF(AND($C236&lt;&gt;"",$Q236="Có",$R236="",$S236="Có",AND($L236&lt;&gt;"",OR($L236&lt;&gt;"Chưa xác định",DANH_MUC!$L$9="Có"))),"Có","Không"))</f>
        <v/>
      </c>
      <c r="U236" s="22">
        <f>IF(OR($D236="",$T236="Có"),"",IF($C236="","Thiếu họ tên; ","")&amp;IF($S236&lt;&gt;"Có","SĐT sai định dạng; ","")&amp;IF($R236="Trùng","Trùng SĐT; ","")&amp;IF($Q236&lt;&gt;"Có","Thiếu đồng ý bắt buộc; ","")&amp;IF($L236="","Thiếu/sai Mã REF; ",IF(AND($L236="Chưa xác định",DANH_MUC!$L$9&lt;&gt;"Có"),"Nguồn chưa xác định; ","")))</f>
        <v/>
      </c>
      <c r="V236" s="22">
        <f>IF(OR($D236="",$R236="Trùng"),"",IF(COUNTIF(ORDERS!$C$2:$C$4995,$D236)&gt;0,"Có","Không"))</f>
        <v/>
      </c>
      <c r="W236" s="22">
        <f>IF(OR($D236="",$R236="Trùng"),"",COUNTIFS(ORDERS!$C$2:$C$4995,$D236,ORDERS!$L$2:$L$4995,"Đã chuyển khoản"))</f>
        <v/>
      </c>
      <c r="X236" s="23">
        <f>IF(OR($D236="",$R236="Trùng"),"",SUMIFS(ORDERS!$J$2:$J$4995,ORDERS!$C$2:$C$4995,$D236,ORDERS!$L$2:$L$4995,"Đã chuyển khoản"))</f>
        <v/>
      </c>
      <c r="Y236" s="24" t="n"/>
    </row>
    <row r="237" ht="14.25" customHeight="1" s="40">
      <c r="A237" s="24" t="inlineStr">
        <is>
          <t>84bdc039-b3eb-496c-9421-8e53b86481fe</t>
        </is>
      </c>
      <c r="B237" s="18" t="n">
        <v>46291.58611111111</v>
      </c>
      <c r="C237" s="24" t="inlineStr">
        <is>
          <t>Nguyễn thị hường</t>
        </is>
      </c>
      <c r="D237" s="28" t="inlineStr">
        <is>
          <t>0398477839</t>
        </is>
      </c>
      <c r="E237" s="29" t="n">
        <v>45796</v>
      </c>
      <c r="F237" s="24" t="inlineStr">
        <is>
          <t>Đã sinh</t>
        </is>
      </c>
      <c r="G237" s="24" t="inlineStr">
        <is>
          <t>Hải Phòng</t>
        </is>
      </c>
      <c r="H237" s="21">
        <f>IF(ISNUMBER($B237),INT($B237)-WEEKDAY($B237,2)+1,"")</f>
        <v/>
      </c>
      <c r="I237" s="24" t="inlineStr">
        <is>
          <t>Z-GREEN</t>
        </is>
      </c>
      <c r="J237" s="22">
        <f t="array" ref="J237">IF($D237="","",IF($I237="","(trống REF)",IFERROR(INDEX(MASTER_SOURCE!$B$2:$B$495,MATCH($I237,MASTER_SOURCE!$A$2:$A$495,0)),"(REF không có trong MASTER_SOURCE)")))</f>
        <v/>
      </c>
      <c r="K237" s="22">
        <f t="array" ref="K237">IF($D237="","",IFERROR(INDEX(MASTER_SOURCE!$C$2:$C$495,MATCH($I237,MASTER_SOURCE!$A$2:$A$495,0)),""))</f>
        <v/>
      </c>
      <c r="L237" s="22">
        <f t="array" ref="L237">IF($D237="","",IFERROR(INDEX(MASTER_SOURCE!$D$2:$D$495,MATCH($I237,MASTER_SOURCE!$A$2:$A$495,0)),""))</f>
        <v/>
      </c>
      <c r="M237" s="24" t="inlineStr">
        <is>
          <t>Có</t>
        </is>
      </c>
      <c r="N237" s="24" t="inlineStr">
        <is>
          <t>Có</t>
        </is>
      </c>
      <c r="O237" s="24" t="inlineStr">
        <is>
          <t>Có</t>
        </is>
      </c>
      <c r="P237" s="24" t="inlineStr">
        <is>
          <t>Có</t>
        </is>
      </c>
      <c r="Q237" s="22">
        <f>IF($D237="","",IF(AND(OR(DANH_MUC!$L$5&lt;&gt;"Có",M237="Có"),OR(DANH_MUC!$L$6&lt;&gt;"Có",N237="Có"),OR(DANH_MUC!$L$7&lt;&gt;"Có",O237="Có"),OR(DANH_MUC!$L$8&lt;&gt;"Có",P237="Có")),"Có","Không"))</f>
        <v/>
      </c>
      <c r="R237" s="22">
        <f>IF($D237="","",IF(COUNTIF($D$2:$D237,$D237)&gt;1,"Trùng",""))</f>
        <v/>
      </c>
      <c r="S237" s="22">
        <f>IF($D237="","",IF(AND(LEN($D237)=10,LEFT($D237,1)="0",ISNUMBER(--$D237)),"Có","Không"))</f>
        <v/>
      </c>
      <c r="T237" s="22">
        <f>IF($D237="","",IF(AND($C237&lt;&gt;"",$Q237="Có",$R237="",$S237="Có",AND($L237&lt;&gt;"",OR($L237&lt;&gt;"Chưa xác định",DANH_MUC!$L$9="Có"))),"Có","Không"))</f>
        <v/>
      </c>
      <c r="U237" s="22">
        <f>IF(OR($D237="",$T237="Có"),"",IF($C237="","Thiếu họ tên; ","")&amp;IF($S237&lt;&gt;"Có","SĐT sai định dạng; ","")&amp;IF($R237="Trùng","Trùng SĐT; ","")&amp;IF($Q237&lt;&gt;"Có","Thiếu đồng ý bắt buộc; ","")&amp;IF($L237="","Thiếu/sai Mã REF; ",IF(AND($L237="Chưa xác định",DANH_MUC!$L$9&lt;&gt;"Có"),"Nguồn chưa xác định; ","")))</f>
        <v/>
      </c>
      <c r="V237" s="22">
        <f>IF(OR($D237="",$R237="Trùng"),"",IF(COUNTIF(ORDERS!$C$2:$C$4995,$D237)&gt;0,"Có","Không"))</f>
        <v/>
      </c>
      <c r="W237" s="22">
        <f>IF(OR($D237="",$R237="Trùng"),"",COUNTIFS(ORDERS!$C$2:$C$4995,$D237,ORDERS!$L$2:$L$4995,"Đã chuyển khoản"))</f>
        <v/>
      </c>
      <c r="X237" s="23">
        <f>IF(OR($D237="",$R237="Trùng"),"",SUMIFS(ORDERS!$J$2:$J$4995,ORDERS!$C$2:$C$4995,$D237,ORDERS!$L$2:$L$4995,"Đã chuyển khoản"))</f>
        <v/>
      </c>
      <c r="Y237" s="24" t="n"/>
    </row>
    <row r="238" ht="14.25" customHeight="1" s="40">
      <c r="A238" s="24" t="inlineStr">
        <is>
          <t>d3e5c8d4-2919-4933-9174-d1e0164d5967</t>
        </is>
      </c>
      <c r="B238" s="18" t="n">
        <v>46291.60486111111</v>
      </c>
      <c r="C238" s="24" t="inlineStr">
        <is>
          <t>Trần Thu Hà</t>
        </is>
      </c>
      <c r="D238" s="28" t="inlineStr">
        <is>
          <t>0813668925</t>
        </is>
      </c>
      <c r="E238" s="29" t="n">
        <v>45908</v>
      </c>
      <c r="F238" s="24" t="inlineStr">
        <is>
          <t>Đã sinh</t>
        </is>
      </c>
      <c r="G238" s="24" t="inlineStr">
        <is>
          <t>Hải Phòng</t>
        </is>
      </c>
      <c r="H238" s="21">
        <f>IF(ISNUMBER($B238),INT($B238)-WEEKDAY($B238,2)+1,"")</f>
        <v/>
      </c>
      <c r="I238" s="24" t="inlineStr">
        <is>
          <t>Z-GREEN</t>
        </is>
      </c>
      <c r="J238" s="22">
        <f t="array" ref="J238">IF($D238="","",IF($I238="","(trống REF)",IFERROR(INDEX(MASTER_SOURCE!$B$2:$B$495,MATCH($I238,MASTER_SOURCE!$A$2:$A$495,0)),"(REF không có trong MASTER_SOURCE)")))</f>
        <v/>
      </c>
      <c r="K238" s="22">
        <f t="array" ref="K238">IF($D238="","",IFERROR(INDEX(MASTER_SOURCE!$C$2:$C$495,MATCH($I238,MASTER_SOURCE!$A$2:$A$495,0)),""))</f>
        <v/>
      </c>
      <c r="L238" s="22">
        <f t="array" ref="L238">IF($D238="","",IFERROR(INDEX(MASTER_SOURCE!$D$2:$D$495,MATCH($I238,MASTER_SOURCE!$A$2:$A$495,0)),""))</f>
        <v/>
      </c>
      <c r="M238" s="24" t="inlineStr">
        <is>
          <t>Có</t>
        </is>
      </c>
      <c r="N238" s="24" t="inlineStr">
        <is>
          <t>Có</t>
        </is>
      </c>
      <c r="O238" s="24" t="inlineStr">
        <is>
          <t>Có</t>
        </is>
      </c>
      <c r="P238" s="24" t="inlineStr">
        <is>
          <t>Có</t>
        </is>
      </c>
      <c r="Q238" s="22">
        <f>IF($D238="","",IF(AND(OR(DANH_MUC!$L$5&lt;&gt;"Có",M238="Có"),OR(DANH_MUC!$L$6&lt;&gt;"Có",N238="Có"),OR(DANH_MUC!$L$7&lt;&gt;"Có",O238="Có"),OR(DANH_MUC!$L$8&lt;&gt;"Có",P238="Có")),"Có","Không"))</f>
        <v/>
      </c>
      <c r="R238" s="22">
        <f>IF($D238="","",IF(COUNTIF($D$2:$D238,$D238)&gt;1,"Trùng",""))</f>
        <v/>
      </c>
      <c r="S238" s="22">
        <f>IF($D238="","",IF(AND(LEN($D238)=10,LEFT($D238,1)="0",ISNUMBER(--$D238)),"Có","Không"))</f>
        <v/>
      </c>
      <c r="T238" s="22">
        <f>IF($D238="","",IF(AND($C238&lt;&gt;"",$Q238="Có",$R238="",$S238="Có",AND($L238&lt;&gt;"",OR($L238&lt;&gt;"Chưa xác định",DANH_MUC!$L$9="Có"))),"Có","Không"))</f>
        <v/>
      </c>
      <c r="U238" s="22">
        <f>IF(OR($D238="",$T238="Có"),"",IF($C238="","Thiếu họ tên; ","")&amp;IF($S238&lt;&gt;"Có","SĐT sai định dạng; ","")&amp;IF($R238="Trùng","Trùng SĐT; ","")&amp;IF($Q238&lt;&gt;"Có","Thiếu đồng ý bắt buộc; ","")&amp;IF($L238="","Thiếu/sai Mã REF; ",IF(AND($L238="Chưa xác định",DANH_MUC!$L$9&lt;&gt;"Có"),"Nguồn chưa xác định; ","")))</f>
        <v/>
      </c>
      <c r="V238" s="22">
        <f>IF(OR($D238="",$R238="Trùng"),"",IF(COUNTIF(ORDERS!$C$2:$C$4995,$D238)&gt;0,"Có","Không"))</f>
        <v/>
      </c>
      <c r="W238" s="22">
        <f>IF(OR($D238="",$R238="Trùng"),"",COUNTIFS(ORDERS!$C$2:$C$4995,$D238,ORDERS!$L$2:$L$4995,"Đã chuyển khoản"))</f>
        <v/>
      </c>
      <c r="X238" s="23">
        <f>IF(OR($D238="",$R238="Trùng"),"",SUMIFS(ORDERS!$J$2:$J$4995,ORDERS!$C$2:$C$4995,$D238,ORDERS!$L$2:$L$4995,"Đã chuyển khoản"))</f>
        <v/>
      </c>
      <c r="Y238" s="24" t="n"/>
    </row>
    <row r="239" ht="14.25" customHeight="1" s="40">
      <c r="A239" s="24" t="inlineStr">
        <is>
          <t>9dd2c677-0775-41bf-a142-feddb0c19f5c</t>
        </is>
      </c>
      <c r="B239" s="18" t="n">
        <v>46291.61805555555</v>
      </c>
      <c r="C239" s="24" t="inlineStr">
        <is>
          <t>Đào Thu Trang</t>
        </is>
      </c>
      <c r="D239" s="28" t="inlineStr">
        <is>
          <t>0799282484</t>
        </is>
      </c>
      <c r="E239" s="29" t="n">
        <v>46193</v>
      </c>
      <c r="F239" s="24" t="inlineStr">
        <is>
          <t>Đã sinh</t>
        </is>
      </c>
      <c r="G239" s="24" t="inlineStr">
        <is>
          <t>Hải Phòng</t>
        </is>
      </c>
      <c r="H239" s="21">
        <f>IF(ISNUMBER($B239),INT($B239)-WEEKDAY($B239,2)+1,"")</f>
        <v/>
      </c>
      <c r="I239" s="24" t="inlineStr">
        <is>
          <t>Z-GREEN</t>
        </is>
      </c>
      <c r="J239" s="22">
        <f t="array" ref="J239">IF($D239="","",IF($I239="","(trống REF)",IFERROR(INDEX(MASTER_SOURCE!$B$2:$B$495,MATCH($I239,MASTER_SOURCE!$A$2:$A$495,0)),"(REF không có trong MASTER_SOURCE)")))</f>
        <v/>
      </c>
      <c r="K239" s="22">
        <f t="array" ref="K239">IF($D239="","",IFERROR(INDEX(MASTER_SOURCE!$C$2:$C$495,MATCH($I239,MASTER_SOURCE!$A$2:$A$495,0)),""))</f>
        <v/>
      </c>
      <c r="L239" s="22">
        <f t="array" ref="L239">IF($D239="","",IFERROR(INDEX(MASTER_SOURCE!$D$2:$D$495,MATCH($I239,MASTER_SOURCE!$A$2:$A$495,0)),""))</f>
        <v/>
      </c>
      <c r="M239" s="24" t="inlineStr">
        <is>
          <t>Có</t>
        </is>
      </c>
      <c r="N239" s="24" t="inlineStr">
        <is>
          <t>Có</t>
        </is>
      </c>
      <c r="O239" s="24" t="inlineStr">
        <is>
          <t>Có</t>
        </is>
      </c>
      <c r="P239" s="24" t="inlineStr">
        <is>
          <t>Có</t>
        </is>
      </c>
      <c r="Q239" s="22">
        <f>IF($D239="","",IF(AND(OR(DANH_MUC!$L$5&lt;&gt;"Có",M239="Có"),OR(DANH_MUC!$L$6&lt;&gt;"Có",N239="Có"),OR(DANH_MUC!$L$7&lt;&gt;"Có",O239="Có"),OR(DANH_MUC!$L$8&lt;&gt;"Có",P239="Có")),"Có","Không"))</f>
        <v/>
      </c>
      <c r="R239" s="22">
        <f>IF($D239="","",IF(COUNTIF($D$2:$D239,$D239)&gt;1,"Trùng",""))</f>
        <v/>
      </c>
      <c r="S239" s="22">
        <f>IF($D239="","",IF(AND(LEN($D239)=10,LEFT($D239,1)="0",ISNUMBER(--$D239)),"Có","Không"))</f>
        <v/>
      </c>
      <c r="T239" s="22">
        <f>IF($D239="","",IF(AND($C239&lt;&gt;"",$Q239="Có",$R239="",$S239="Có",AND($L239&lt;&gt;"",OR($L239&lt;&gt;"Chưa xác định",DANH_MUC!$L$9="Có"))),"Có","Không"))</f>
        <v/>
      </c>
      <c r="U239" s="22">
        <f>IF(OR($D239="",$T239="Có"),"",IF($C239="","Thiếu họ tên; ","")&amp;IF($S239&lt;&gt;"Có","SĐT sai định dạng; ","")&amp;IF($R239="Trùng","Trùng SĐT; ","")&amp;IF($Q239&lt;&gt;"Có","Thiếu đồng ý bắt buộc; ","")&amp;IF($L239="","Thiếu/sai Mã REF; ",IF(AND($L239="Chưa xác định",DANH_MUC!$L$9&lt;&gt;"Có"),"Nguồn chưa xác định; ","")))</f>
        <v/>
      </c>
      <c r="V239" s="22">
        <f>IF(OR($D239="",$R239="Trùng"),"",IF(COUNTIF(ORDERS!$C$2:$C$4995,$D239)&gt;0,"Có","Không"))</f>
        <v/>
      </c>
      <c r="W239" s="22">
        <f>IF(OR($D239="",$R239="Trùng"),"",COUNTIFS(ORDERS!$C$2:$C$4995,$D239,ORDERS!$L$2:$L$4995,"Đã chuyển khoản"))</f>
        <v/>
      </c>
      <c r="X239" s="23">
        <f>IF(OR($D239="",$R239="Trùng"),"",SUMIFS(ORDERS!$J$2:$J$4995,ORDERS!$C$2:$C$4995,$D239,ORDERS!$L$2:$L$4995,"Đã chuyển khoản"))</f>
        <v/>
      </c>
      <c r="Y239" s="24" t="n"/>
    </row>
    <row r="240" ht="14.25" customHeight="1" s="40">
      <c r="A240" s="24" t="inlineStr">
        <is>
          <t>2d47f2d0-1311-4868-8c61-5f3c6b1c1d61</t>
        </is>
      </c>
      <c r="B240" s="18" t="n">
        <v>46291.65972222222</v>
      </c>
      <c r="C240" s="24" t="inlineStr">
        <is>
          <t>Phạm Hồng Trang</t>
        </is>
      </c>
      <c r="D240" s="28" t="inlineStr">
        <is>
          <t>0397651911</t>
        </is>
      </c>
      <c r="E240" s="29" t="n">
        <v>46428</v>
      </c>
      <c r="F240" s="24" t="inlineStr">
        <is>
          <t>Đang mang thai</t>
        </is>
      </c>
      <c r="G240" s="24" t="inlineStr">
        <is>
          <t>Hải Phòng</t>
        </is>
      </c>
      <c r="H240" s="21">
        <f>IF(ISNUMBER($B240),INT($B240)-WEEKDAY($B240,2)+1,"")</f>
        <v/>
      </c>
      <c r="I240" s="24" t="inlineStr">
        <is>
          <t>Z-GREEN</t>
        </is>
      </c>
      <c r="J240" s="22">
        <f t="array" ref="J240">IF($D240="","",IF($I240="","(trống REF)",IFERROR(INDEX(MASTER_SOURCE!$B$2:$B$495,MATCH($I240,MASTER_SOURCE!$A$2:$A$495,0)),"(REF không có trong MASTER_SOURCE)")))</f>
        <v/>
      </c>
      <c r="K240" s="22">
        <f t="array" ref="K240">IF($D240="","",IFERROR(INDEX(MASTER_SOURCE!$C$2:$C$495,MATCH($I240,MASTER_SOURCE!$A$2:$A$495,0)),""))</f>
        <v/>
      </c>
      <c r="L240" s="22">
        <f t="array" ref="L240">IF($D240="","",IFERROR(INDEX(MASTER_SOURCE!$D$2:$D$495,MATCH($I240,MASTER_SOURCE!$A$2:$A$495,0)),""))</f>
        <v/>
      </c>
      <c r="M240" s="24" t="inlineStr">
        <is>
          <t>Có</t>
        </is>
      </c>
      <c r="N240" s="24" t="inlineStr">
        <is>
          <t>Có</t>
        </is>
      </c>
      <c r="O240" s="24" t="inlineStr">
        <is>
          <t>Có</t>
        </is>
      </c>
      <c r="P240" s="24" t="inlineStr">
        <is>
          <t>Có</t>
        </is>
      </c>
      <c r="Q240" s="22">
        <f>IF($D240="","",IF(AND(OR(DANH_MUC!$L$5&lt;&gt;"Có",M240="Có"),OR(DANH_MUC!$L$6&lt;&gt;"Có",N240="Có"),OR(DANH_MUC!$L$7&lt;&gt;"Có",O240="Có"),OR(DANH_MUC!$L$8&lt;&gt;"Có",P240="Có")),"Có","Không"))</f>
        <v/>
      </c>
      <c r="R240" s="22">
        <f>IF($D240="","",IF(COUNTIF($D$2:$D240,$D240)&gt;1,"Trùng",""))</f>
        <v/>
      </c>
      <c r="S240" s="22">
        <f>IF($D240="","",IF(AND(LEN($D240)=10,LEFT($D240,1)="0",ISNUMBER(--$D240)),"Có","Không"))</f>
        <v/>
      </c>
      <c r="T240" s="22">
        <f>IF($D240="","",IF(AND($C240&lt;&gt;"",$Q240="Có",$R240="",$S240="Có",AND($L240&lt;&gt;"",OR($L240&lt;&gt;"Chưa xác định",DANH_MUC!$L$9="Có"))),"Có","Không"))</f>
        <v/>
      </c>
      <c r="U240" s="22">
        <f>IF(OR($D240="",$T240="Có"),"",IF($C240="","Thiếu họ tên; ","")&amp;IF($S240&lt;&gt;"Có","SĐT sai định dạng; ","")&amp;IF($R240="Trùng","Trùng SĐT; ","")&amp;IF($Q240&lt;&gt;"Có","Thiếu đồng ý bắt buộc; ","")&amp;IF($L240="","Thiếu/sai Mã REF; ",IF(AND($L240="Chưa xác định",DANH_MUC!$L$9&lt;&gt;"Có"),"Nguồn chưa xác định; ","")))</f>
        <v/>
      </c>
      <c r="V240" s="22">
        <f>IF(OR($D240="",$R240="Trùng"),"",IF(COUNTIF(ORDERS!$C$2:$C$4995,$D240)&gt;0,"Có","Không"))</f>
        <v/>
      </c>
      <c r="W240" s="22">
        <f>IF(OR($D240="",$R240="Trùng"),"",COUNTIFS(ORDERS!$C$2:$C$4995,$D240,ORDERS!$L$2:$L$4995,"Đã chuyển khoản"))</f>
        <v/>
      </c>
      <c r="X240" s="23">
        <f>IF(OR($D240="",$R240="Trùng"),"",SUMIFS(ORDERS!$J$2:$J$4995,ORDERS!$C$2:$C$4995,$D240,ORDERS!$L$2:$L$4995,"Đã chuyển khoản"))</f>
        <v/>
      </c>
      <c r="Y240" s="24" t="n"/>
    </row>
    <row r="241" ht="14.25" customHeight="1" s="40">
      <c r="A241" s="24" t="inlineStr">
        <is>
          <t>315b4f49-1053-4185-8fff-482354719310</t>
        </is>
      </c>
      <c r="B241" s="18" t="n">
        <v>46292.41944444444</v>
      </c>
      <c r="C241" s="24" t="inlineStr">
        <is>
          <t>Phà Tra</t>
        </is>
      </c>
      <c r="D241" s="28" t="inlineStr">
        <is>
          <t>0349128139</t>
        </is>
      </c>
      <c r="E241" s="29" t="n">
        <v>46394</v>
      </c>
      <c r="F241" s="24" t="inlineStr">
        <is>
          <t>Đang mang thai</t>
        </is>
      </c>
      <c r="G241" s="24" t="inlineStr">
        <is>
          <t>Hồ Chí Minh</t>
        </is>
      </c>
      <c r="H241" s="21">
        <f>IF(ISNUMBER($B241),INT($B241)-WEEKDAY($B241,2)+1,"")</f>
        <v/>
      </c>
      <c r="I241" s="24" t="inlineStr">
        <is>
          <t>C-KEI</t>
        </is>
      </c>
      <c r="J241" s="22">
        <f t="array" ref="J241">IF($D241="","",IF($I241="","(trống REF)",IFERROR(INDEX(MASTER_SOURCE!$B$2:$B$495,MATCH($I241,MASTER_SOURCE!$A$2:$A$495,0)),"(REF không có trong MASTER_SOURCE)")))</f>
        <v/>
      </c>
      <c r="K241" s="22">
        <f t="array" ref="K241">IF($D241="","",IFERROR(INDEX(MASTER_SOURCE!$C$2:$C$495,MATCH($I241,MASTER_SOURCE!$A$2:$A$495,0)),""))</f>
        <v/>
      </c>
      <c r="L241" s="22">
        <f t="array" ref="L241">IF($D241="","",IFERROR(INDEX(MASTER_SOURCE!$D$2:$D$495,MATCH($I241,MASTER_SOURCE!$A$2:$A$495,0)),""))</f>
        <v/>
      </c>
      <c r="M241" s="24" t="inlineStr">
        <is>
          <t>Có</t>
        </is>
      </c>
      <c r="N241" s="24" t="inlineStr">
        <is>
          <t>Có</t>
        </is>
      </c>
      <c r="O241" s="24" t="inlineStr">
        <is>
          <t>Có</t>
        </is>
      </c>
      <c r="P241" s="24" t="inlineStr">
        <is>
          <t>Có</t>
        </is>
      </c>
      <c r="Q241" s="22">
        <f>IF($D241="","",IF(AND(OR(DANH_MUC!$L$5&lt;&gt;"Có",M241="Có"),OR(DANH_MUC!$L$6&lt;&gt;"Có",N241="Có"),OR(DANH_MUC!$L$7&lt;&gt;"Có",O241="Có"),OR(DANH_MUC!$L$8&lt;&gt;"Có",P241="Có")),"Có","Không"))</f>
        <v/>
      </c>
      <c r="R241" s="22">
        <f>IF($D241="","",IF(COUNTIF($D$2:$D241,$D241)&gt;1,"Trùng",""))</f>
        <v/>
      </c>
      <c r="S241" s="22">
        <f>IF($D241="","",IF(AND(LEN($D241)=10,LEFT($D241,1)="0",ISNUMBER(--$D241)),"Có","Không"))</f>
        <v/>
      </c>
      <c r="T241" s="22">
        <f>IF($D241="","",IF(AND($C241&lt;&gt;"",$Q241="Có",$R241="",$S241="Có",AND($L241&lt;&gt;"",OR($L241&lt;&gt;"Chưa xác định",DANH_MUC!$L$9="Có"))),"Có","Không"))</f>
        <v/>
      </c>
      <c r="U241" s="22">
        <f>IF(OR($D241="",$T241="Có"),"",IF($C241="","Thiếu họ tên; ","")&amp;IF($S241&lt;&gt;"Có","SĐT sai định dạng; ","")&amp;IF($R241="Trùng","Trùng SĐT; ","")&amp;IF($Q241&lt;&gt;"Có","Thiếu đồng ý bắt buộc; ","")&amp;IF($L241="","Thiếu/sai Mã REF; ",IF(AND($L241="Chưa xác định",DANH_MUC!$L$9&lt;&gt;"Có"),"Nguồn chưa xác định; ","")))</f>
        <v/>
      </c>
      <c r="V241" s="22">
        <f>IF(OR($D241="",$R241="Trùng"),"",IF(COUNTIF(ORDERS!$C$2:$C$4995,$D241)&gt;0,"Có","Không"))</f>
        <v/>
      </c>
      <c r="W241" s="22">
        <f>IF(OR($D241="",$R241="Trùng"),"",COUNTIFS(ORDERS!$C$2:$C$4995,$D241,ORDERS!$L$2:$L$4995,"Đã chuyển khoản"))</f>
        <v/>
      </c>
      <c r="X241" s="23">
        <f>IF(OR($D241="",$R241="Trùng"),"",SUMIFS(ORDERS!$J$2:$J$4995,ORDERS!$C$2:$C$4995,$D241,ORDERS!$L$2:$L$4995,"Đã chuyển khoản"))</f>
        <v/>
      </c>
      <c r="Y241" s="24" t="n"/>
    </row>
    <row r="242" ht="14.25" customHeight="1" s="40">
      <c r="A242" s="24" t="inlineStr">
        <is>
          <t>eb44c77a-ba54-4c2b-bff1-984e1badd0ba</t>
        </is>
      </c>
      <c r="B242" s="18" t="n">
        <v>46292.43125</v>
      </c>
      <c r="C242" s="24" t="inlineStr">
        <is>
          <t>Nguyễn Thị tuyết</t>
        </is>
      </c>
      <c r="D242" s="28" t="inlineStr">
        <is>
          <t>0782957776</t>
        </is>
      </c>
      <c r="E242" s="29" t="n">
        <v>46473</v>
      </c>
      <c r="F242" s="24" t="inlineStr">
        <is>
          <t>Đang mang thai</t>
        </is>
      </c>
      <c r="G242" s="24" t="inlineStr">
        <is>
          <t>Hồ Chí Minh</t>
        </is>
      </c>
      <c r="H242" s="21">
        <f>IF(ISNUMBER($B242),INT($B242)-WEEKDAY($B242,2)+1,"")</f>
        <v/>
      </c>
      <c r="I242" s="24" t="inlineStr">
        <is>
          <t>C-KEI</t>
        </is>
      </c>
      <c r="J242" s="22">
        <f t="array" ref="J242">IF($D242="","",IF($I242="","(trống REF)",IFERROR(INDEX(MASTER_SOURCE!$B$2:$B$495,MATCH($I242,MASTER_SOURCE!$A$2:$A$495,0)),"(REF không có trong MASTER_SOURCE)")))</f>
        <v/>
      </c>
      <c r="K242" s="22">
        <f t="array" ref="K242">IF($D242="","",IFERROR(INDEX(MASTER_SOURCE!$C$2:$C$495,MATCH($I242,MASTER_SOURCE!$A$2:$A$495,0)),""))</f>
        <v/>
      </c>
      <c r="L242" s="22">
        <f t="array" ref="L242">IF($D242="","",IFERROR(INDEX(MASTER_SOURCE!$D$2:$D$495,MATCH($I242,MASTER_SOURCE!$A$2:$A$495,0)),""))</f>
        <v/>
      </c>
      <c r="M242" s="24" t="inlineStr">
        <is>
          <t>Có</t>
        </is>
      </c>
      <c r="N242" s="24" t="inlineStr">
        <is>
          <t>Có</t>
        </is>
      </c>
      <c r="O242" s="24" t="inlineStr">
        <is>
          <t>Có</t>
        </is>
      </c>
      <c r="P242" s="24" t="inlineStr">
        <is>
          <t>Có</t>
        </is>
      </c>
      <c r="Q242" s="22">
        <f>IF($D242="","",IF(AND(OR(DANH_MUC!$L$5&lt;&gt;"Có",M242="Có"),OR(DANH_MUC!$L$6&lt;&gt;"Có",N242="Có"),OR(DANH_MUC!$L$7&lt;&gt;"Có",O242="Có"),OR(DANH_MUC!$L$8&lt;&gt;"Có",P242="Có")),"Có","Không"))</f>
        <v/>
      </c>
      <c r="R242" s="22">
        <f>IF($D242="","",IF(COUNTIF($D$2:$D242,$D242)&gt;1,"Trùng",""))</f>
        <v/>
      </c>
      <c r="S242" s="22">
        <f>IF($D242="","",IF(AND(LEN($D242)=10,LEFT($D242,1)="0",ISNUMBER(--$D242)),"Có","Không"))</f>
        <v/>
      </c>
      <c r="T242" s="22">
        <f>IF($D242="","",IF(AND($C242&lt;&gt;"",$Q242="Có",$R242="",$S242="Có",AND($L242&lt;&gt;"",OR($L242&lt;&gt;"Chưa xác định",DANH_MUC!$L$9="Có"))),"Có","Không"))</f>
        <v/>
      </c>
      <c r="U242" s="22">
        <f>IF(OR($D242="",$T242="Có"),"",IF($C242="","Thiếu họ tên; ","")&amp;IF($S242&lt;&gt;"Có","SĐT sai định dạng; ","")&amp;IF($R242="Trùng","Trùng SĐT; ","")&amp;IF($Q242&lt;&gt;"Có","Thiếu đồng ý bắt buộc; ","")&amp;IF($L242="","Thiếu/sai Mã REF; ",IF(AND($L242="Chưa xác định",DANH_MUC!$L$9&lt;&gt;"Có"),"Nguồn chưa xác định; ","")))</f>
        <v/>
      </c>
      <c r="V242" s="22">
        <f>IF(OR($D242="",$R242="Trùng"),"",IF(COUNTIF(ORDERS!$C$2:$C$4995,$D242)&gt;0,"Có","Không"))</f>
        <v/>
      </c>
      <c r="W242" s="22">
        <f>IF(OR($D242="",$R242="Trùng"),"",COUNTIFS(ORDERS!$C$2:$C$4995,$D242,ORDERS!$L$2:$L$4995,"Đã chuyển khoản"))</f>
        <v/>
      </c>
      <c r="X242" s="23">
        <f>IF(OR($D242="",$R242="Trùng"),"",SUMIFS(ORDERS!$J$2:$J$4995,ORDERS!$C$2:$C$4995,$D242,ORDERS!$L$2:$L$4995,"Đã chuyển khoản"))</f>
        <v/>
      </c>
      <c r="Y242" s="24" t="n"/>
    </row>
    <row r="243" ht="14.25" customHeight="1" s="40">
      <c r="A243" s="24" t="inlineStr">
        <is>
          <t>98d52832-e48d-4245-878e-f8fae974fc9a</t>
        </is>
      </c>
      <c r="B243" s="18" t="n">
        <v>46292.44097222222</v>
      </c>
      <c r="C243" s="24" t="inlineStr">
        <is>
          <t>Lê thị nga</t>
        </is>
      </c>
      <c r="D243" s="28" t="inlineStr">
        <is>
          <t>0776645191</t>
        </is>
      </c>
      <c r="E243" s="29" t="n">
        <v>46328</v>
      </c>
      <c r="F243" s="24" t="inlineStr">
        <is>
          <t>Đang mang thai</t>
        </is>
      </c>
      <c r="G243" s="24" t="inlineStr">
        <is>
          <t>Hồ Chí Minh</t>
        </is>
      </c>
      <c r="H243" s="21">
        <f>IF(ISNUMBER($B243),INT($B243)-WEEKDAY($B243,2)+1,"")</f>
        <v/>
      </c>
      <c r="I243" s="24" t="inlineStr">
        <is>
          <t>Z-CIH</t>
        </is>
      </c>
      <c r="J243" s="22">
        <f t="array" ref="J243">IF($D243="","",IF($I243="","(trống REF)",IFERROR(INDEX(MASTER_SOURCE!$B$2:$B$495,MATCH($I243,MASTER_SOURCE!$A$2:$A$495,0)),"(REF không có trong MASTER_SOURCE)")))</f>
        <v/>
      </c>
      <c r="K243" s="22">
        <f t="array" ref="K243">IF($D243="","",IFERROR(INDEX(MASTER_SOURCE!$C$2:$C$495,MATCH($I243,MASTER_SOURCE!$A$2:$A$495,0)),""))</f>
        <v/>
      </c>
      <c r="L243" s="22">
        <f t="array" ref="L243">IF($D243="","",IFERROR(INDEX(MASTER_SOURCE!$D$2:$D$495,MATCH($I243,MASTER_SOURCE!$A$2:$A$495,0)),""))</f>
        <v/>
      </c>
      <c r="M243" s="24" t="inlineStr">
        <is>
          <t>Có</t>
        </is>
      </c>
      <c r="N243" s="24" t="inlineStr">
        <is>
          <t>Có</t>
        </is>
      </c>
      <c r="O243" s="24" t="inlineStr">
        <is>
          <t>Có</t>
        </is>
      </c>
      <c r="P243" s="24" t="inlineStr">
        <is>
          <t>Có</t>
        </is>
      </c>
      <c r="Q243" s="22">
        <f>IF($D243="","",IF(AND(OR(DANH_MUC!$L$5&lt;&gt;"Có",M243="Có"),OR(DANH_MUC!$L$6&lt;&gt;"Có",N243="Có"),OR(DANH_MUC!$L$7&lt;&gt;"Có",O243="Có"),OR(DANH_MUC!$L$8&lt;&gt;"Có",P243="Có")),"Có","Không"))</f>
        <v/>
      </c>
      <c r="R243" s="22">
        <f>IF($D243="","",IF(COUNTIF($D$2:$D243,$D243)&gt;1,"Trùng",""))</f>
        <v/>
      </c>
      <c r="S243" s="22">
        <f>IF($D243="","",IF(AND(LEN($D243)=10,LEFT($D243,1)="0",ISNUMBER(--$D243)),"Có","Không"))</f>
        <v/>
      </c>
      <c r="T243" s="22">
        <f>IF($D243="","",IF(AND($C243&lt;&gt;"",$Q243="Có",$R243="",$S243="Có",AND($L243&lt;&gt;"",OR($L243&lt;&gt;"Chưa xác định",DANH_MUC!$L$9="Có"))),"Có","Không"))</f>
        <v/>
      </c>
      <c r="U243" s="22">
        <f>IF(OR($D243="",$T243="Có"),"",IF($C243="","Thiếu họ tên; ","")&amp;IF($S243&lt;&gt;"Có","SĐT sai định dạng; ","")&amp;IF($R243="Trùng","Trùng SĐT; ","")&amp;IF($Q243&lt;&gt;"Có","Thiếu đồng ý bắt buộc; ","")&amp;IF($L243="","Thiếu/sai Mã REF; ",IF(AND($L243="Chưa xác định",DANH_MUC!$L$9&lt;&gt;"Có"),"Nguồn chưa xác định; ","")))</f>
        <v/>
      </c>
      <c r="V243" s="22">
        <f>IF(OR($D243="",$R243="Trùng"),"",IF(COUNTIF(ORDERS!$C$2:$C$4995,$D243)&gt;0,"Có","Không"))</f>
        <v/>
      </c>
      <c r="W243" s="22">
        <f>IF(OR($D243="",$R243="Trùng"),"",COUNTIFS(ORDERS!$C$2:$C$4995,$D243,ORDERS!$L$2:$L$4995,"Đã chuyển khoản"))</f>
        <v/>
      </c>
      <c r="X243" s="23">
        <f>IF(OR($D243="",$R243="Trùng"),"",SUMIFS(ORDERS!$J$2:$J$4995,ORDERS!$C$2:$C$4995,$D243,ORDERS!$L$2:$L$4995,"Đã chuyển khoản"))</f>
        <v/>
      </c>
      <c r="Y243" s="24" t="n"/>
    </row>
    <row r="244" ht="14.25" customHeight="1" s="40">
      <c r="A244" s="24" t="inlineStr">
        <is>
          <t>1776f909-e705-45cc-9639-3ee48531eb0a</t>
        </is>
      </c>
      <c r="B244" s="18" t="n">
        <v>46293.36527777778</v>
      </c>
      <c r="C244" s="24" t="inlineStr">
        <is>
          <t>Trần Huỳnh Mai Phương</t>
        </is>
      </c>
      <c r="D244" s="28" t="inlineStr">
        <is>
          <t>0969254293</t>
        </is>
      </c>
      <c r="E244" s="29" t="n">
        <v>45961</v>
      </c>
      <c r="F244" s="24" t="inlineStr">
        <is>
          <t>Đã sinh</t>
        </is>
      </c>
      <c r="G244" s="24" t="inlineStr">
        <is>
          <t>Hồ Chí Minh</t>
        </is>
      </c>
      <c r="H244" s="21">
        <f>IF(ISNUMBER($B244),INT($B244)-WEEKDAY($B244,2)+1,"")</f>
        <v/>
      </c>
      <c r="I244" s="24" t="inlineStr">
        <is>
          <t>Z-CIH</t>
        </is>
      </c>
      <c r="J244" s="22">
        <f t="array" ref="J244">IF($D244="","",IF($I244="","(trống REF)",IFERROR(INDEX(MASTER_SOURCE!$B$2:$B$495,MATCH($I244,MASTER_SOURCE!$A$2:$A$495,0)),"(REF không có trong MASTER_SOURCE)")))</f>
        <v/>
      </c>
      <c r="K244" s="22">
        <f t="array" ref="K244">IF($D244="","",IFERROR(INDEX(MASTER_SOURCE!$C$2:$C$495,MATCH($I244,MASTER_SOURCE!$A$2:$A$495,0)),""))</f>
        <v/>
      </c>
      <c r="L244" s="22">
        <f t="array" ref="L244">IF($D244="","",IFERROR(INDEX(MASTER_SOURCE!$D$2:$D$495,MATCH($I244,MASTER_SOURCE!$A$2:$A$495,0)),""))</f>
        <v/>
      </c>
      <c r="M244" s="24" t="inlineStr">
        <is>
          <t>Có</t>
        </is>
      </c>
      <c r="N244" s="24" t="inlineStr">
        <is>
          <t>Có</t>
        </is>
      </c>
      <c r="O244" s="24" t="inlineStr">
        <is>
          <t>Có</t>
        </is>
      </c>
      <c r="P244" s="24" t="inlineStr">
        <is>
          <t>Có</t>
        </is>
      </c>
      <c r="Q244" s="22">
        <f>IF($D244="","",IF(AND(OR(DANH_MUC!$L$5&lt;&gt;"Có",M244="Có"),OR(DANH_MUC!$L$6&lt;&gt;"Có",N244="Có"),OR(DANH_MUC!$L$7&lt;&gt;"Có",O244="Có"),OR(DANH_MUC!$L$8&lt;&gt;"Có",P244="Có")),"Có","Không"))</f>
        <v/>
      </c>
      <c r="R244" s="22">
        <f>IF($D244="","",IF(COUNTIF($D$2:$D244,$D244)&gt;1,"Trùng",""))</f>
        <v/>
      </c>
      <c r="S244" s="22">
        <f>IF($D244="","",IF(AND(LEN($D244)=10,LEFT($D244,1)="0",ISNUMBER(--$D244)),"Có","Không"))</f>
        <v/>
      </c>
      <c r="T244" s="22">
        <f>IF($D244="","",IF(AND($C244&lt;&gt;"",$Q244="Có",$R244="",$S244="Có",AND($L244&lt;&gt;"",OR($L244&lt;&gt;"Chưa xác định",DANH_MUC!$L$9="Có"))),"Có","Không"))</f>
        <v/>
      </c>
      <c r="U244" s="22">
        <f>IF(OR($D244="",$T244="Có"),"",IF($C244="","Thiếu họ tên; ","")&amp;IF($S244&lt;&gt;"Có","SĐT sai định dạng; ","")&amp;IF($R244="Trùng","Trùng SĐT; ","")&amp;IF($Q244&lt;&gt;"Có","Thiếu đồng ý bắt buộc; ","")&amp;IF($L244="","Thiếu/sai Mã REF; ",IF(AND($L244="Chưa xác định",DANH_MUC!$L$9&lt;&gt;"Có"),"Nguồn chưa xác định; ","")))</f>
        <v/>
      </c>
      <c r="V244" s="22">
        <f>IF(OR($D244="",$R244="Trùng"),"",IF(COUNTIF(ORDERS!$C$2:$C$4995,$D244)&gt;0,"Có","Không"))</f>
        <v/>
      </c>
      <c r="W244" s="22">
        <f>IF(OR($D244="",$R244="Trùng"),"",COUNTIFS(ORDERS!$C$2:$C$4995,$D244,ORDERS!$L$2:$L$4995,"Đã chuyển khoản"))</f>
        <v/>
      </c>
      <c r="X244" s="23">
        <f>IF(OR($D244="",$R244="Trùng"),"",SUMIFS(ORDERS!$J$2:$J$4995,ORDERS!$C$2:$C$4995,$D244,ORDERS!$L$2:$L$4995,"Đã chuyển khoản"))</f>
        <v/>
      </c>
      <c r="Y244" s="24" t="n"/>
    </row>
    <row r="245" ht="14.25" customHeight="1" s="40">
      <c r="A245" s="24" t="inlineStr">
        <is>
          <t>af8b24e9-1f4b-431d-8451-c1f0eaccab60</t>
        </is>
      </c>
      <c r="B245" s="18" t="n">
        <v>46293.37291666667</v>
      </c>
      <c r="C245" s="24" t="inlineStr">
        <is>
          <t>Đinh Vân</t>
        </is>
      </c>
      <c r="D245" s="28" t="inlineStr">
        <is>
          <t>0971502866</t>
        </is>
      </c>
      <c r="E245" s="29" t="n">
        <v>46256</v>
      </c>
      <c r="F245" s="24" t="inlineStr">
        <is>
          <t>Đã sinh</t>
        </is>
      </c>
      <c r="G245" s="24" t="inlineStr">
        <is>
          <t>Hồ Chí Minh</t>
        </is>
      </c>
      <c r="H245" s="21">
        <f>IF(ISNUMBER($B245),INT($B245)-WEEKDAY($B245,2)+1,"")</f>
        <v/>
      </c>
      <c r="I245" s="24" t="inlineStr">
        <is>
          <t>Z-CIH</t>
        </is>
      </c>
      <c r="J245" s="22">
        <f t="array" ref="J245">IF($D245="","",IF($I245="","(trống REF)",IFERROR(INDEX(MASTER_SOURCE!$B$2:$B$495,MATCH($I245,MASTER_SOURCE!$A$2:$A$495,0)),"(REF không có trong MASTER_SOURCE)")))</f>
        <v/>
      </c>
      <c r="K245" s="22">
        <f t="array" ref="K245">IF($D245="","",IFERROR(INDEX(MASTER_SOURCE!$C$2:$C$495,MATCH($I245,MASTER_SOURCE!$A$2:$A$495,0)),""))</f>
        <v/>
      </c>
      <c r="L245" s="22">
        <f t="array" ref="L245">IF($D245="","",IFERROR(INDEX(MASTER_SOURCE!$D$2:$D$495,MATCH($I245,MASTER_SOURCE!$A$2:$A$495,0)),""))</f>
        <v/>
      </c>
      <c r="M245" s="24" t="inlineStr">
        <is>
          <t>Có</t>
        </is>
      </c>
      <c r="N245" s="24" t="inlineStr">
        <is>
          <t>Có</t>
        </is>
      </c>
      <c r="O245" s="24" t="inlineStr">
        <is>
          <t>Có</t>
        </is>
      </c>
      <c r="P245" s="24" t="inlineStr">
        <is>
          <t>Có</t>
        </is>
      </c>
      <c r="Q245" s="22">
        <f>IF($D245="","",IF(AND(OR(DANH_MUC!$L$5&lt;&gt;"Có",M245="Có"),OR(DANH_MUC!$L$6&lt;&gt;"Có",N245="Có"),OR(DANH_MUC!$L$7&lt;&gt;"Có",O245="Có"),OR(DANH_MUC!$L$8&lt;&gt;"Có",P245="Có")),"Có","Không"))</f>
        <v/>
      </c>
      <c r="R245" s="22">
        <f>IF($D245="","",IF(COUNTIF($D$2:$D245,$D245)&gt;1,"Trùng",""))</f>
        <v/>
      </c>
      <c r="S245" s="22">
        <f>IF($D245="","",IF(AND(LEN($D245)=10,LEFT($D245,1)="0",ISNUMBER(--$D245)),"Có","Không"))</f>
        <v/>
      </c>
      <c r="T245" s="22">
        <f>IF($D245="","",IF(AND($C245&lt;&gt;"",$Q245="Có",$R245="",$S245="Có",AND($L245&lt;&gt;"",OR($L245&lt;&gt;"Chưa xác định",DANH_MUC!$L$9="Có"))),"Có","Không"))</f>
        <v/>
      </c>
      <c r="U245" s="22">
        <f>IF(OR($D245="",$T245="Có"),"",IF($C245="","Thiếu họ tên; ","")&amp;IF($S245&lt;&gt;"Có","SĐT sai định dạng; ","")&amp;IF($R245="Trùng","Trùng SĐT; ","")&amp;IF($Q245&lt;&gt;"Có","Thiếu đồng ý bắt buộc; ","")&amp;IF($L245="","Thiếu/sai Mã REF; ",IF(AND($L245="Chưa xác định",DANH_MUC!$L$9&lt;&gt;"Có"),"Nguồn chưa xác định; ","")))</f>
        <v/>
      </c>
      <c r="V245" s="22">
        <f>IF(OR($D245="",$R245="Trùng"),"",IF(COUNTIF(ORDERS!$C$2:$C$4995,$D245)&gt;0,"Có","Không"))</f>
        <v/>
      </c>
      <c r="W245" s="22">
        <f>IF(OR($D245="",$R245="Trùng"),"",COUNTIFS(ORDERS!$C$2:$C$4995,$D245,ORDERS!$L$2:$L$4995,"Đã chuyển khoản"))</f>
        <v/>
      </c>
      <c r="X245" s="23">
        <f>IF(OR($D245="",$R245="Trùng"),"",SUMIFS(ORDERS!$J$2:$J$4995,ORDERS!$C$2:$C$4995,$D245,ORDERS!$L$2:$L$4995,"Đã chuyển khoản"))</f>
        <v/>
      </c>
      <c r="Y245" s="24" t="n"/>
    </row>
    <row r="246" ht="14.25" customHeight="1" s="40">
      <c r="A246" s="24" t="inlineStr">
        <is>
          <t>91fd23bb-a7eb-45d5-801a-0dc807c348da</t>
        </is>
      </c>
      <c r="B246" s="18" t="n">
        <v>46293.47847222222</v>
      </c>
      <c r="C246" s="24" t="inlineStr">
        <is>
          <t>Trần Thảo Nguyên</t>
        </is>
      </c>
      <c r="D246" s="28" t="inlineStr">
        <is>
          <t>0787129130</t>
        </is>
      </c>
      <c r="E246" s="29" t="n">
        <v>46223</v>
      </c>
      <c r="F246" s="24" t="inlineStr">
        <is>
          <t>Đã sinh</t>
        </is>
      </c>
      <c r="G246" s="24" t="inlineStr">
        <is>
          <t>Hồ Chí Minh</t>
        </is>
      </c>
      <c r="H246" s="21">
        <f>IF(ISNUMBER($B246),INT($B246)-WEEKDAY($B246,2)+1,"")</f>
        <v/>
      </c>
      <c r="I246" s="24" t="inlineStr">
        <is>
          <t>Z-CIH</t>
        </is>
      </c>
      <c r="J246" s="22">
        <f t="array" ref="J246">IF($D246="","",IF($I246="","(trống REF)",IFERROR(INDEX(MASTER_SOURCE!$B$2:$B$495,MATCH($I246,MASTER_SOURCE!$A$2:$A$495,0)),"(REF không có trong MASTER_SOURCE)")))</f>
        <v/>
      </c>
      <c r="K246" s="22">
        <f t="array" ref="K246">IF($D246="","",IFERROR(INDEX(MASTER_SOURCE!$C$2:$C$495,MATCH($I246,MASTER_SOURCE!$A$2:$A$495,0)),""))</f>
        <v/>
      </c>
      <c r="L246" s="22">
        <f t="array" ref="L246">IF($D246="","",IFERROR(INDEX(MASTER_SOURCE!$D$2:$D$495,MATCH($I246,MASTER_SOURCE!$A$2:$A$495,0)),""))</f>
        <v/>
      </c>
      <c r="M246" s="24" t="inlineStr">
        <is>
          <t>Có</t>
        </is>
      </c>
      <c r="N246" s="24" t="inlineStr">
        <is>
          <t>Có</t>
        </is>
      </c>
      <c r="O246" s="24" t="inlineStr">
        <is>
          <t>Có</t>
        </is>
      </c>
      <c r="P246" s="24" t="inlineStr">
        <is>
          <t>Có</t>
        </is>
      </c>
      <c r="Q246" s="22">
        <f>IF($D246="","",IF(AND(OR(DANH_MUC!$L$5&lt;&gt;"Có",M246="Có"),OR(DANH_MUC!$L$6&lt;&gt;"Có",N246="Có"),OR(DANH_MUC!$L$7&lt;&gt;"Có",O246="Có"),OR(DANH_MUC!$L$8&lt;&gt;"Có",P246="Có")),"Có","Không"))</f>
        <v/>
      </c>
      <c r="R246" s="22">
        <f>IF($D246="","",IF(COUNTIF($D$2:$D246,$D246)&gt;1,"Trùng",""))</f>
        <v/>
      </c>
      <c r="S246" s="22">
        <f>IF($D246="","",IF(AND(LEN($D246)=10,LEFT($D246,1)="0",ISNUMBER(--$D246)),"Có","Không"))</f>
        <v/>
      </c>
      <c r="T246" s="22">
        <f>IF($D246="","",IF(AND($C246&lt;&gt;"",$Q246="Có",$R246="",$S246="Có",AND($L246&lt;&gt;"",OR($L246&lt;&gt;"Chưa xác định",DANH_MUC!$L$9="Có"))),"Có","Không"))</f>
        <v/>
      </c>
      <c r="U246" s="22">
        <f>IF(OR($D246="",$T246="Có"),"",IF($C246="","Thiếu họ tên; ","")&amp;IF($S246&lt;&gt;"Có","SĐT sai định dạng; ","")&amp;IF($R246="Trùng","Trùng SĐT; ","")&amp;IF($Q246&lt;&gt;"Có","Thiếu đồng ý bắt buộc; ","")&amp;IF($L246="","Thiếu/sai Mã REF; ",IF(AND($L246="Chưa xác định",DANH_MUC!$L$9&lt;&gt;"Có"),"Nguồn chưa xác định; ","")))</f>
        <v/>
      </c>
      <c r="V246" s="22">
        <f>IF(OR($D246="",$R246="Trùng"),"",IF(COUNTIF(ORDERS!$C$2:$C$4995,$D246)&gt;0,"Có","Không"))</f>
        <v/>
      </c>
      <c r="W246" s="22">
        <f>IF(OR($D246="",$R246="Trùng"),"",COUNTIFS(ORDERS!$C$2:$C$4995,$D246,ORDERS!$L$2:$L$4995,"Đã chuyển khoản"))</f>
        <v/>
      </c>
      <c r="X246" s="23">
        <f>IF(OR($D246="",$R246="Trùng"),"",SUMIFS(ORDERS!$J$2:$J$4995,ORDERS!$C$2:$C$4995,$D246,ORDERS!$L$2:$L$4995,"Đã chuyển khoản"))</f>
        <v/>
      </c>
      <c r="Y246" s="24" t="n"/>
    </row>
    <row r="247" ht="14.25" customHeight="1" s="40">
      <c r="A247" s="24" t="inlineStr">
        <is>
          <t>3ace60cb-17ea-4631-8466-97d87fa2fbe1</t>
        </is>
      </c>
      <c r="B247" s="18" t="n">
        <v>46293.48680555556</v>
      </c>
      <c r="C247" s="24" t="inlineStr">
        <is>
          <t>Thuỳ Vân</t>
        </is>
      </c>
      <c r="D247" s="28" t="inlineStr">
        <is>
          <t>0904323178</t>
        </is>
      </c>
      <c r="E247" s="29" t="n">
        <v>46311</v>
      </c>
      <c r="F247" s="24" t="inlineStr">
        <is>
          <t>Đang mang thai</t>
        </is>
      </c>
      <c r="G247" s="24" t="inlineStr">
        <is>
          <t>Hồ Chí Minh</t>
        </is>
      </c>
      <c r="H247" s="21">
        <f>IF(ISNUMBER($B247),INT($B247)-WEEKDAY($B247,2)+1,"")</f>
        <v/>
      </c>
      <c r="I247" s="24" t="inlineStr">
        <is>
          <t>Z-CIH</t>
        </is>
      </c>
      <c r="J247" s="22">
        <f t="array" ref="J247">IF($D247="","",IF($I247="","(trống REF)",IFERROR(INDEX(MASTER_SOURCE!$B$2:$B$495,MATCH($I247,MASTER_SOURCE!$A$2:$A$495,0)),"(REF không có trong MASTER_SOURCE)")))</f>
        <v/>
      </c>
      <c r="K247" s="22">
        <f t="array" ref="K247">IF($D247="","",IFERROR(INDEX(MASTER_SOURCE!$C$2:$C$495,MATCH($I247,MASTER_SOURCE!$A$2:$A$495,0)),""))</f>
        <v/>
      </c>
      <c r="L247" s="22">
        <f t="array" ref="L247">IF($D247="","",IFERROR(INDEX(MASTER_SOURCE!$D$2:$D$495,MATCH($I247,MASTER_SOURCE!$A$2:$A$495,0)),""))</f>
        <v/>
      </c>
      <c r="M247" s="24" t="inlineStr">
        <is>
          <t>Có</t>
        </is>
      </c>
      <c r="N247" s="24" t="inlineStr">
        <is>
          <t>Có</t>
        </is>
      </c>
      <c r="O247" s="24" t="inlineStr">
        <is>
          <t>Có</t>
        </is>
      </c>
      <c r="P247" s="24" t="inlineStr">
        <is>
          <t>Có</t>
        </is>
      </c>
      <c r="Q247" s="22">
        <f>IF($D247="","",IF(AND(OR(DANH_MUC!$L$5&lt;&gt;"Có",M247="Có"),OR(DANH_MUC!$L$6&lt;&gt;"Có",N247="Có"),OR(DANH_MUC!$L$7&lt;&gt;"Có",O247="Có"),OR(DANH_MUC!$L$8&lt;&gt;"Có",P247="Có")),"Có","Không"))</f>
        <v/>
      </c>
      <c r="R247" s="22">
        <f>IF($D247="","",IF(COUNTIF($D$2:$D247,$D247)&gt;1,"Trùng",""))</f>
        <v/>
      </c>
      <c r="S247" s="22">
        <f>IF($D247="","",IF(AND(LEN($D247)=10,LEFT($D247,1)="0",ISNUMBER(--$D247)),"Có","Không"))</f>
        <v/>
      </c>
      <c r="T247" s="22">
        <f>IF($D247="","",IF(AND($C247&lt;&gt;"",$Q247="Có",$R247="",$S247="Có",AND($L247&lt;&gt;"",OR($L247&lt;&gt;"Chưa xác định",DANH_MUC!$L$9="Có"))),"Có","Không"))</f>
        <v/>
      </c>
      <c r="U247" s="22">
        <f>IF(OR($D247="",$T247="Có"),"",IF($C247="","Thiếu họ tên; ","")&amp;IF($S247&lt;&gt;"Có","SĐT sai định dạng; ","")&amp;IF($R247="Trùng","Trùng SĐT; ","")&amp;IF($Q247&lt;&gt;"Có","Thiếu đồng ý bắt buộc; ","")&amp;IF($L247="","Thiếu/sai Mã REF; ",IF(AND($L247="Chưa xác định",DANH_MUC!$L$9&lt;&gt;"Có"),"Nguồn chưa xác định; ","")))</f>
        <v/>
      </c>
      <c r="V247" s="22">
        <f>IF(OR($D247="",$R247="Trùng"),"",IF(COUNTIF(ORDERS!$C$2:$C$4995,$D247)&gt;0,"Có","Không"))</f>
        <v/>
      </c>
      <c r="W247" s="22">
        <f>IF(OR($D247="",$R247="Trùng"),"",COUNTIFS(ORDERS!$C$2:$C$4995,$D247,ORDERS!$L$2:$L$4995,"Đã chuyển khoản"))</f>
        <v/>
      </c>
      <c r="X247" s="23">
        <f>IF(OR($D247="",$R247="Trùng"),"",SUMIFS(ORDERS!$J$2:$J$4995,ORDERS!$C$2:$C$4995,$D247,ORDERS!$L$2:$L$4995,"Đã chuyển khoản"))</f>
        <v/>
      </c>
      <c r="Y247" s="24" t="n"/>
    </row>
    <row r="248" ht="14.25" customHeight="1" s="40">
      <c r="A248" s="24" t="inlineStr">
        <is>
          <t>7173f2ed-13e4-4bff-a432-b98a3c17fc87</t>
        </is>
      </c>
      <c r="B248" s="18" t="n">
        <v>46293.67708333334</v>
      </c>
      <c r="C248" s="24" t="inlineStr">
        <is>
          <t>Đỗ Thu Yến</t>
        </is>
      </c>
      <c r="D248" s="28" t="inlineStr">
        <is>
          <t>0971462311</t>
        </is>
      </c>
      <c r="E248" s="29" t="n">
        <v>45978</v>
      </c>
      <c r="F248" s="24" t="inlineStr">
        <is>
          <t>Đã sinh</t>
        </is>
      </c>
      <c r="G248" s="24" t="inlineStr">
        <is>
          <t>Hải Phòng</t>
        </is>
      </c>
      <c r="H248" s="21">
        <f>IF(ISNUMBER($B248),INT($B248)-WEEKDAY($B248,2)+1,"")</f>
        <v/>
      </c>
      <c r="I248" s="24" t="inlineStr">
        <is>
          <t>Z-00</t>
        </is>
      </c>
      <c r="J248" s="22">
        <f t="array" ref="J248">IF($D248="","",IF($I248="","(trống REF)",IFERROR(INDEX(MASTER_SOURCE!$B$2:$B$495,MATCH($I248,MASTER_SOURCE!$A$2:$A$495,0)),"(REF không có trong MASTER_SOURCE)")))</f>
        <v/>
      </c>
      <c r="K248" s="22">
        <f t="array" ref="K248">IF($D248="","",IFERROR(INDEX(MASTER_SOURCE!$C$2:$C$495,MATCH($I248,MASTER_SOURCE!$A$2:$A$495,0)),""))</f>
        <v/>
      </c>
      <c r="L248" s="22">
        <f t="array" ref="L248">IF($D248="","",IFERROR(INDEX(MASTER_SOURCE!$D$2:$D$495,MATCH($I248,MASTER_SOURCE!$A$2:$A$495,0)),""))</f>
        <v/>
      </c>
      <c r="M248" s="24" t="inlineStr">
        <is>
          <t>Có</t>
        </is>
      </c>
      <c r="N248" s="24" t="inlineStr">
        <is>
          <t>Không</t>
        </is>
      </c>
      <c r="O248" s="24" t="inlineStr">
        <is>
          <t>Có</t>
        </is>
      </c>
      <c r="P248" s="24" t="inlineStr">
        <is>
          <t>Không</t>
        </is>
      </c>
      <c r="Q248" s="22">
        <f>IF($D248="","",IF(AND(OR(DANH_MUC!$L$5&lt;&gt;"Có",M248="Có"),OR(DANH_MUC!$L$6&lt;&gt;"Có",N248="Có"),OR(DANH_MUC!$L$7&lt;&gt;"Có",O248="Có"),OR(DANH_MUC!$L$8&lt;&gt;"Có",P248="Có")),"Có","Không"))</f>
        <v/>
      </c>
      <c r="R248" s="22">
        <f>IF($D248="","",IF(COUNTIF($D$2:$D248,$D248)&gt;1,"Trùng",""))</f>
        <v/>
      </c>
      <c r="S248" s="22">
        <f>IF($D248="","",IF(AND(LEN($D248)=10,LEFT($D248,1)="0",ISNUMBER(--$D248)),"Có","Không"))</f>
        <v/>
      </c>
      <c r="T248" s="22">
        <f>IF($D248="","",IF(AND($C248&lt;&gt;"",$Q248="Có",$R248="",$S248="Có",AND($L248&lt;&gt;"",OR($L248&lt;&gt;"Chưa xác định",DANH_MUC!$L$9="Có"))),"Có","Không"))</f>
        <v/>
      </c>
      <c r="U248" s="22">
        <f>IF(OR($D248="",$T248="Có"),"",IF($C248="","Thiếu họ tên; ","")&amp;IF($S248&lt;&gt;"Có","SĐT sai định dạng; ","")&amp;IF($R248="Trùng","Trùng SĐT; ","")&amp;IF($Q248&lt;&gt;"Có","Thiếu đồng ý bắt buộc; ","")&amp;IF($L248="","Thiếu/sai Mã REF; ",IF(AND($L248="Chưa xác định",DANH_MUC!$L$9&lt;&gt;"Có"),"Nguồn chưa xác định; ","")))</f>
        <v/>
      </c>
      <c r="V248" s="22">
        <f>IF(OR($D248="",$R248="Trùng"),"",IF(COUNTIF(ORDERS!$C$2:$C$4995,$D248)&gt;0,"Có","Không"))</f>
        <v/>
      </c>
      <c r="W248" s="22">
        <f>IF(OR($D248="",$R248="Trùng"),"",COUNTIFS(ORDERS!$C$2:$C$4995,$D248,ORDERS!$L$2:$L$4995,"Đã chuyển khoản"))</f>
        <v/>
      </c>
      <c r="X248" s="23">
        <f>IF(OR($D248="",$R248="Trùng"),"",SUMIFS(ORDERS!$J$2:$J$4995,ORDERS!$C$2:$C$4995,$D248,ORDERS!$L$2:$L$4995,"Đã chuyển khoản"))</f>
        <v/>
      </c>
      <c r="Y248" s="24" t="n"/>
    </row>
    <row r="249" ht="14.25" customHeight="1" s="40">
      <c r="A249" s="24" t="inlineStr">
        <is>
          <t>815cf95d-73ed-44ff-a52a-21db00a419cc</t>
        </is>
      </c>
      <c r="B249" s="18" t="n">
        <v>46293.73333333333</v>
      </c>
      <c r="C249" s="24" t="inlineStr">
        <is>
          <t>Trần Thị Ngọc Ánh</t>
        </is>
      </c>
      <c r="D249" s="28" t="inlineStr">
        <is>
          <t>0379363608</t>
        </is>
      </c>
      <c r="E249" s="29" t="n">
        <v>46368</v>
      </c>
      <c r="F249" s="24" t="inlineStr">
        <is>
          <t>Đang mang thai</t>
        </is>
      </c>
      <c r="G249" s="24" t="inlineStr">
        <is>
          <t>Hải Phòng</t>
        </is>
      </c>
      <c r="H249" s="21">
        <f>IF(ISNUMBER($B249),INT($B249)-WEEKDAY($B249,2)+1,"")</f>
        <v/>
      </c>
      <c r="I249" s="24" t="inlineStr">
        <is>
          <t>Z-00</t>
        </is>
      </c>
      <c r="J249" s="22">
        <f t="array" ref="J249">IF($D249="","",IF($I249="","(trống REF)",IFERROR(INDEX(MASTER_SOURCE!$B$2:$B$495,MATCH($I249,MASTER_SOURCE!$A$2:$A$495,0)),"(REF không có trong MASTER_SOURCE)")))</f>
        <v/>
      </c>
      <c r="K249" s="22">
        <f t="array" ref="K249">IF($D249="","",IFERROR(INDEX(MASTER_SOURCE!$C$2:$C$495,MATCH($I249,MASTER_SOURCE!$A$2:$A$495,0)),""))</f>
        <v/>
      </c>
      <c r="L249" s="22">
        <f t="array" ref="L249">IF($D249="","",IFERROR(INDEX(MASTER_SOURCE!$D$2:$D$495,MATCH($I249,MASTER_SOURCE!$A$2:$A$495,0)),""))</f>
        <v/>
      </c>
      <c r="M249" s="24" t="inlineStr">
        <is>
          <t>Có</t>
        </is>
      </c>
      <c r="N249" s="24" t="inlineStr">
        <is>
          <t>Có</t>
        </is>
      </c>
      <c r="O249" s="24" t="inlineStr">
        <is>
          <t>Có</t>
        </is>
      </c>
      <c r="P249" s="24" t="inlineStr">
        <is>
          <t>Có</t>
        </is>
      </c>
      <c r="Q249" s="22">
        <f>IF($D249="","",IF(AND(OR(DANH_MUC!$L$5&lt;&gt;"Có",M249="Có"),OR(DANH_MUC!$L$6&lt;&gt;"Có",N249="Có"),OR(DANH_MUC!$L$7&lt;&gt;"Có",O249="Có"),OR(DANH_MUC!$L$8&lt;&gt;"Có",P249="Có")),"Có","Không"))</f>
        <v/>
      </c>
      <c r="R249" s="22">
        <f>IF($D249="","",IF(COUNTIF($D$2:$D249,$D249)&gt;1,"Trùng",""))</f>
        <v/>
      </c>
      <c r="S249" s="22">
        <f>IF($D249="","",IF(AND(LEN($D249)=10,LEFT($D249,1)="0",ISNUMBER(--$D249)),"Có","Không"))</f>
        <v/>
      </c>
      <c r="T249" s="22">
        <f>IF($D249="","",IF(AND($C249&lt;&gt;"",$Q249="Có",$R249="",$S249="Có",AND($L249&lt;&gt;"",OR($L249&lt;&gt;"Chưa xác định",DANH_MUC!$L$9="Có"))),"Có","Không"))</f>
        <v/>
      </c>
      <c r="U249" s="22">
        <f>IF(OR($D249="",$T249="Có"),"",IF($C249="","Thiếu họ tên; ","")&amp;IF($S249&lt;&gt;"Có","SĐT sai định dạng; ","")&amp;IF($R249="Trùng","Trùng SĐT; ","")&amp;IF($Q249&lt;&gt;"Có","Thiếu đồng ý bắt buộc; ","")&amp;IF($L249="","Thiếu/sai Mã REF; ",IF(AND($L249="Chưa xác định",DANH_MUC!$L$9&lt;&gt;"Có"),"Nguồn chưa xác định; ","")))</f>
        <v/>
      </c>
      <c r="V249" s="22">
        <f>IF(OR($D249="",$R249="Trùng"),"",IF(COUNTIF(ORDERS!$C$2:$C$4995,$D249)&gt;0,"Có","Không"))</f>
        <v/>
      </c>
      <c r="W249" s="22">
        <f>IF(OR($D249="",$R249="Trùng"),"",COUNTIFS(ORDERS!$C$2:$C$4995,$D249,ORDERS!$L$2:$L$4995,"Đã chuyển khoản"))</f>
        <v/>
      </c>
      <c r="X249" s="23">
        <f>IF(OR($D249="",$R249="Trùng"),"",SUMIFS(ORDERS!$J$2:$J$4995,ORDERS!$C$2:$C$4995,$D249,ORDERS!$L$2:$L$4995,"Đã chuyển khoản"))</f>
        <v/>
      </c>
      <c r="Y249" s="24" t="n"/>
    </row>
    <row r="250" ht="14.25" customHeight="1" s="40">
      <c r="A250" s="24" t="inlineStr">
        <is>
          <t>82e5e79a-1ef1-42a2-9bde-e258cd403a4f</t>
        </is>
      </c>
      <c r="B250" s="18" t="n">
        <v>46294.38402777778</v>
      </c>
      <c r="C250" s="24" t="inlineStr">
        <is>
          <t>Châu Thị Minh Yến</t>
        </is>
      </c>
      <c r="D250" s="28" t="inlineStr">
        <is>
          <t>0913899722</t>
        </is>
      </c>
      <c r="E250" s="29" t="n">
        <v>45997</v>
      </c>
      <c r="F250" s="24" t="inlineStr">
        <is>
          <t>Đã sinh</t>
        </is>
      </c>
      <c r="G250" s="24" t="inlineStr">
        <is>
          <t>Hồ Chí Minh</t>
        </is>
      </c>
      <c r="H250" s="21">
        <f>IF(ISNUMBER($B250),INT($B250)-WEEKDAY($B250,2)+1,"")</f>
        <v/>
      </c>
      <c r="I250" s="24" t="inlineStr">
        <is>
          <t>Z-00</t>
        </is>
      </c>
      <c r="J250" s="22">
        <f t="array" ref="J250">IF($D250="","",IF($I250="","(trống REF)",IFERROR(INDEX(MASTER_SOURCE!$B$2:$B$495,MATCH($I250,MASTER_SOURCE!$A$2:$A$495,0)),"(REF không có trong MASTER_SOURCE)")))</f>
        <v/>
      </c>
      <c r="K250" s="22">
        <f t="array" ref="K250">IF($D250="","",IFERROR(INDEX(MASTER_SOURCE!$C$2:$C$495,MATCH($I250,MASTER_SOURCE!$A$2:$A$495,0)),""))</f>
        <v/>
      </c>
      <c r="L250" s="22">
        <f t="array" ref="L250">IF($D250="","",IFERROR(INDEX(MASTER_SOURCE!$D$2:$D$495,MATCH($I250,MASTER_SOURCE!$A$2:$A$495,0)),""))</f>
        <v/>
      </c>
      <c r="M250" s="24" t="inlineStr">
        <is>
          <t>Có</t>
        </is>
      </c>
      <c r="N250" s="24" t="inlineStr">
        <is>
          <t>Có</t>
        </is>
      </c>
      <c r="O250" s="24" t="inlineStr">
        <is>
          <t>Có</t>
        </is>
      </c>
      <c r="P250" s="24" t="inlineStr">
        <is>
          <t>Có</t>
        </is>
      </c>
      <c r="Q250" s="22">
        <f>IF($D250="","",IF(AND(OR(DANH_MUC!$L$5&lt;&gt;"Có",M250="Có"),OR(DANH_MUC!$L$6&lt;&gt;"Có",N250="Có"),OR(DANH_MUC!$L$7&lt;&gt;"Có",O250="Có"),OR(DANH_MUC!$L$8&lt;&gt;"Có",P250="Có")),"Có","Không"))</f>
        <v/>
      </c>
      <c r="R250" s="22">
        <f>IF($D250="","",IF(COUNTIF($D$2:$D250,$D250)&gt;1,"Trùng",""))</f>
        <v/>
      </c>
      <c r="S250" s="22">
        <f>IF($D250="","",IF(AND(LEN($D250)=10,LEFT($D250,1)="0",ISNUMBER(--$D250)),"Có","Không"))</f>
        <v/>
      </c>
      <c r="T250" s="22">
        <f>IF($D250="","",IF(AND($C250&lt;&gt;"",$Q250="Có",$R250="",$S250="Có",AND($L250&lt;&gt;"",OR($L250&lt;&gt;"Chưa xác định",DANH_MUC!$L$9="Có"))),"Có","Không"))</f>
        <v/>
      </c>
      <c r="U250" s="22">
        <f>IF(OR($D250="",$T250="Có"),"",IF($C250="","Thiếu họ tên; ","")&amp;IF($S250&lt;&gt;"Có","SĐT sai định dạng; ","")&amp;IF($R250="Trùng","Trùng SĐT; ","")&amp;IF($Q250&lt;&gt;"Có","Thiếu đồng ý bắt buộc; ","")&amp;IF($L250="","Thiếu/sai Mã REF; ",IF(AND($L250="Chưa xác định",DANH_MUC!$L$9&lt;&gt;"Có"),"Nguồn chưa xác định; ","")))</f>
        <v/>
      </c>
      <c r="V250" s="22">
        <f>IF(OR($D250="",$R250="Trùng"),"",IF(COUNTIF(ORDERS!$C$2:$C$4995,$D250)&gt;0,"Có","Không"))</f>
        <v/>
      </c>
      <c r="W250" s="22">
        <f>IF(OR($D250="",$R250="Trùng"),"",COUNTIFS(ORDERS!$C$2:$C$4995,$D250,ORDERS!$L$2:$L$4995,"Đã chuyển khoản"))</f>
        <v/>
      </c>
      <c r="X250" s="23">
        <f>IF(OR($D250="",$R250="Trùng"),"",SUMIFS(ORDERS!$J$2:$J$4995,ORDERS!$C$2:$C$4995,$D250,ORDERS!$L$2:$L$4995,"Đã chuyển khoản"))</f>
        <v/>
      </c>
      <c r="Y250" s="24" t="n"/>
    </row>
    <row r="251" ht="14.25" customHeight="1" s="40">
      <c r="A251" s="24" t="inlineStr">
        <is>
          <t>2d6f60ac-d954-4436-ac6e-8bb175ef1edb</t>
        </is>
      </c>
      <c r="B251" s="18" t="n">
        <v>46294.49513888889</v>
      </c>
      <c r="C251" s="24" t="inlineStr">
        <is>
          <t>Nguyễn Thị Mỹ Duyên</t>
        </is>
      </c>
      <c r="D251" s="28" t="inlineStr">
        <is>
          <t>0812285538</t>
        </is>
      </c>
      <c r="E251" s="29" t="n">
        <v>46148</v>
      </c>
      <c r="F251" s="24" t="inlineStr">
        <is>
          <t>Đã sinh</t>
        </is>
      </c>
      <c r="G251" s="24" t="inlineStr">
        <is>
          <t>Hải Phòng</t>
        </is>
      </c>
      <c r="H251" s="21">
        <f>IF(ISNUMBER($B251),INT($B251)-WEEKDAY($B251,2)+1,"")</f>
        <v/>
      </c>
      <c r="I251" s="24" t="inlineStr">
        <is>
          <t>C-03</t>
        </is>
      </c>
      <c r="J251" s="22">
        <f t="array" ref="J251">IF($D251="","",IF($I251="","(trống REF)",IFERROR(INDEX(MASTER_SOURCE!$B$2:$B$495,MATCH($I251,MASTER_SOURCE!$A$2:$A$495,0)),"(REF không có trong MASTER_SOURCE)")))</f>
        <v/>
      </c>
      <c r="K251" s="22">
        <f t="array" ref="K251">IF($D251="","",IFERROR(INDEX(MASTER_SOURCE!$C$2:$C$495,MATCH($I251,MASTER_SOURCE!$A$2:$A$495,0)),""))</f>
        <v/>
      </c>
      <c r="L251" s="22">
        <f t="array" ref="L251">IF($D251="","",IFERROR(INDEX(MASTER_SOURCE!$D$2:$D$495,MATCH($I251,MASTER_SOURCE!$A$2:$A$495,0)),""))</f>
        <v/>
      </c>
      <c r="M251" s="24" t="inlineStr">
        <is>
          <t>Có</t>
        </is>
      </c>
      <c r="N251" s="24" t="inlineStr">
        <is>
          <t>Có</t>
        </is>
      </c>
      <c r="O251" s="24" t="inlineStr">
        <is>
          <t>Có</t>
        </is>
      </c>
      <c r="P251" s="24" t="inlineStr">
        <is>
          <t>Có</t>
        </is>
      </c>
      <c r="Q251" s="22">
        <f>IF($D251="","",IF(AND(OR(DANH_MUC!$L$5&lt;&gt;"Có",M251="Có"),OR(DANH_MUC!$L$6&lt;&gt;"Có",N251="Có"),OR(DANH_MUC!$L$7&lt;&gt;"Có",O251="Có"),OR(DANH_MUC!$L$8&lt;&gt;"Có",P251="Có")),"Có","Không"))</f>
        <v/>
      </c>
      <c r="R251" s="22">
        <f>IF($D251="","",IF(COUNTIF($D$2:$D251,$D251)&gt;1,"Trùng",""))</f>
        <v/>
      </c>
      <c r="S251" s="22">
        <f>IF($D251="","",IF(AND(LEN($D251)=10,LEFT($D251,1)="0",ISNUMBER(--$D251)),"Có","Không"))</f>
        <v/>
      </c>
      <c r="T251" s="22">
        <f>IF($D251="","",IF(AND($C251&lt;&gt;"",$Q251="Có",$R251="",$S251="Có",AND($L251&lt;&gt;"",OR($L251&lt;&gt;"Chưa xác định",DANH_MUC!$L$9="Có"))),"Có","Không"))</f>
        <v/>
      </c>
      <c r="U251" s="22">
        <f>IF(OR($D251="",$T251="Có"),"",IF($C251="","Thiếu họ tên; ","")&amp;IF($S251&lt;&gt;"Có","SĐT sai định dạng; ","")&amp;IF($R251="Trùng","Trùng SĐT; ","")&amp;IF($Q251&lt;&gt;"Có","Thiếu đồng ý bắt buộc; ","")&amp;IF($L251="","Thiếu/sai Mã REF; ",IF(AND($L251="Chưa xác định",DANH_MUC!$L$9&lt;&gt;"Có"),"Nguồn chưa xác định; ","")))</f>
        <v/>
      </c>
      <c r="V251" s="22">
        <f>IF(OR($D251="",$R251="Trùng"),"",IF(COUNTIF(ORDERS!$C$2:$C$4995,$D251)&gt;0,"Có","Không"))</f>
        <v/>
      </c>
      <c r="W251" s="22">
        <f>IF(OR($D251="",$R251="Trùng"),"",COUNTIFS(ORDERS!$C$2:$C$4995,$D251,ORDERS!$L$2:$L$4995,"Đã chuyển khoản"))</f>
        <v/>
      </c>
      <c r="X251" s="23">
        <f>IF(OR($D251="",$R251="Trùng"),"",SUMIFS(ORDERS!$J$2:$J$4995,ORDERS!$C$2:$C$4995,$D251,ORDERS!$L$2:$L$4995,"Đã chuyển khoản"))</f>
        <v/>
      </c>
      <c r="Y251" s="24" t="n"/>
    </row>
    <row r="252" ht="14.25" customHeight="1" s="40">
      <c r="A252" s="24" t="inlineStr">
        <is>
          <t>f4887c4f-759b-4435-8b93-b8ca5db49c47</t>
        </is>
      </c>
      <c r="B252" s="18" t="n">
        <v>46294.56875</v>
      </c>
      <c r="C252" s="24" t="inlineStr">
        <is>
          <t>Đậu Nguyệt</t>
        </is>
      </c>
      <c r="D252" s="28" t="inlineStr">
        <is>
          <t>0338626407</t>
        </is>
      </c>
      <c r="E252" s="29" t="n">
        <v>46295</v>
      </c>
      <c r="F252" s="24" t="inlineStr">
        <is>
          <t>Đang mang thai</t>
        </is>
      </c>
      <c r="G252" s="24" t="inlineStr">
        <is>
          <t>Đồng Nai</t>
        </is>
      </c>
      <c r="H252" s="21">
        <f>IF(ISNUMBER($B252),INT($B252)-WEEKDAY($B252,2)+1,"")</f>
        <v/>
      </c>
      <c r="I252" s="24" t="inlineStr">
        <is>
          <t>C-04</t>
        </is>
      </c>
      <c r="J252" s="22">
        <f t="array" ref="J252">IF($D252="","",IF($I252="","(trống REF)",IFERROR(INDEX(MASTER_SOURCE!$B$2:$B$495,MATCH($I252,MASTER_SOURCE!$A$2:$A$495,0)),"(REF không có trong MASTER_SOURCE)")))</f>
        <v/>
      </c>
      <c r="K252" s="22">
        <f t="array" ref="K252">IF($D252="","",IFERROR(INDEX(MASTER_SOURCE!$C$2:$C$495,MATCH($I252,MASTER_SOURCE!$A$2:$A$495,0)),""))</f>
        <v/>
      </c>
      <c r="L252" s="22">
        <f t="array" ref="L252">IF($D252="","",IFERROR(INDEX(MASTER_SOURCE!$D$2:$D$495,MATCH($I252,MASTER_SOURCE!$A$2:$A$495,0)),""))</f>
        <v/>
      </c>
      <c r="M252" s="24" t="inlineStr">
        <is>
          <t>Có</t>
        </is>
      </c>
      <c r="N252" s="24" t="inlineStr">
        <is>
          <t>Có</t>
        </is>
      </c>
      <c r="O252" s="24" t="inlineStr">
        <is>
          <t>Có</t>
        </is>
      </c>
      <c r="P252" s="24" t="inlineStr">
        <is>
          <t>Có</t>
        </is>
      </c>
      <c r="Q252" s="22">
        <f>IF($D252="","",IF(AND(OR(DANH_MUC!$L$5&lt;&gt;"Có",M252="Có"),OR(DANH_MUC!$L$6&lt;&gt;"Có",N252="Có"),OR(DANH_MUC!$L$7&lt;&gt;"Có",O252="Có"),OR(DANH_MUC!$L$8&lt;&gt;"Có",P252="Có")),"Có","Không"))</f>
        <v/>
      </c>
      <c r="R252" s="22">
        <f>IF($D252="","",IF(COUNTIF($D$2:$D252,$D252)&gt;1,"Trùng",""))</f>
        <v/>
      </c>
      <c r="S252" s="22">
        <f>IF($D252="","",IF(AND(LEN($D252)=10,LEFT($D252,1)="0",ISNUMBER(--$D252)),"Có","Không"))</f>
        <v/>
      </c>
      <c r="T252" s="22">
        <f>IF($D252="","",IF(AND($C252&lt;&gt;"",$Q252="Có",$R252="",$S252="Có",AND($L252&lt;&gt;"",OR($L252&lt;&gt;"Chưa xác định",DANH_MUC!$L$9="Có"))),"Có","Không"))</f>
        <v/>
      </c>
      <c r="U252" s="22">
        <f>IF(OR($D252="",$T252="Có"),"",IF($C252="","Thiếu họ tên; ","")&amp;IF($S252&lt;&gt;"Có","SĐT sai định dạng; ","")&amp;IF($R252="Trùng","Trùng SĐT; ","")&amp;IF($Q252&lt;&gt;"Có","Thiếu đồng ý bắt buộc; ","")&amp;IF($L252="","Thiếu/sai Mã REF; ",IF(AND($L252="Chưa xác định",DANH_MUC!$L$9&lt;&gt;"Có"),"Nguồn chưa xác định; ","")))</f>
        <v/>
      </c>
      <c r="V252" s="22">
        <f>IF(OR($D252="",$R252="Trùng"),"",IF(COUNTIF(ORDERS!$C$2:$C$4995,$D252)&gt;0,"Có","Không"))</f>
        <v/>
      </c>
      <c r="W252" s="22">
        <f>IF(OR($D252="",$R252="Trùng"),"",COUNTIFS(ORDERS!$C$2:$C$4995,$D252,ORDERS!$L$2:$L$4995,"Đã chuyển khoản"))</f>
        <v/>
      </c>
      <c r="X252" s="23">
        <f>IF(OR($D252="",$R252="Trùng"),"",SUMIFS(ORDERS!$J$2:$J$4995,ORDERS!$C$2:$C$4995,$D252,ORDERS!$L$2:$L$4995,"Đã chuyển khoản"))</f>
        <v/>
      </c>
      <c r="Y252" s="24" t="n"/>
    </row>
    <row r="253" ht="14.25" customHeight="1" s="40">
      <c r="A253" s="24" t="inlineStr">
        <is>
          <t>f8dbc4da-816e-408c-b916-17baaf9b73b7</t>
        </is>
      </c>
      <c r="B253" s="18" t="n">
        <v>46294.59791666667</v>
      </c>
      <c r="C253" s="24" t="inlineStr">
        <is>
          <t>Kim Ngân</t>
        </is>
      </c>
      <c r="D253" s="28" t="inlineStr">
        <is>
          <t>0902334161</t>
        </is>
      </c>
      <c r="E253" s="29" t="n">
        <v>46357</v>
      </c>
      <c r="F253" s="24" t="inlineStr">
        <is>
          <t>Đang mang thai</t>
        </is>
      </c>
      <c r="G253" s="24" t="inlineStr">
        <is>
          <t>Hồ Chí Minh</t>
        </is>
      </c>
      <c r="H253" s="21">
        <f>IF(ISNUMBER($B253),INT($B253)-WEEKDAY($B253,2)+1,"")</f>
        <v/>
      </c>
      <c r="I253" s="24" t="inlineStr">
        <is>
          <t>Z-00</t>
        </is>
      </c>
      <c r="J253" s="22">
        <f t="array" ref="J253">IF($D253="","",IF($I253="","(trống REF)",IFERROR(INDEX(MASTER_SOURCE!$B$2:$B$495,MATCH($I253,MASTER_SOURCE!$A$2:$A$495,0)),"(REF không có trong MASTER_SOURCE)")))</f>
        <v/>
      </c>
      <c r="K253" s="22">
        <f t="array" ref="K253">IF($D253="","",IFERROR(INDEX(MASTER_SOURCE!$C$2:$C$495,MATCH($I253,MASTER_SOURCE!$A$2:$A$495,0)),""))</f>
        <v/>
      </c>
      <c r="L253" s="22">
        <f t="array" ref="L253">IF($D253="","",IFERROR(INDEX(MASTER_SOURCE!$D$2:$D$495,MATCH($I253,MASTER_SOURCE!$A$2:$A$495,0)),""))</f>
        <v/>
      </c>
      <c r="M253" s="24" t="inlineStr">
        <is>
          <t>Có</t>
        </is>
      </c>
      <c r="N253" s="24" t="inlineStr">
        <is>
          <t>Có</t>
        </is>
      </c>
      <c r="O253" s="24" t="inlineStr">
        <is>
          <t>Có</t>
        </is>
      </c>
      <c r="P253" s="24" t="inlineStr">
        <is>
          <t>Có</t>
        </is>
      </c>
      <c r="Q253" s="22">
        <f>IF($D253="","",IF(AND(OR(DANH_MUC!$L$5&lt;&gt;"Có",M253="Có"),OR(DANH_MUC!$L$6&lt;&gt;"Có",N253="Có"),OR(DANH_MUC!$L$7&lt;&gt;"Có",O253="Có"),OR(DANH_MUC!$L$8&lt;&gt;"Có",P253="Có")),"Có","Không"))</f>
        <v/>
      </c>
      <c r="R253" s="22">
        <f>IF($D253="","",IF(COUNTIF($D$2:$D253,$D253)&gt;1,"Trùng",""))</f>
        <v/>
      </c>
      <c r="S253" s="22">
        <f>IF($D253="","",IF(AND(LEN($D253)=10,LEFT($D253,1)="0",ISNUMBER(--$D253)),"Có","Không"))</f>
        <v/>
      </c>
      <c r="T253" s="22">
        <f>IF($D253="","",IF(AND($C253&lt;&gt;"",$Q253="Có",$R253="",$S253="Có",AND($L253&lt;&gt;"",OR($L253&lt;&gt;"Chưa xác định",DANH_MUC!$L$9="Có"))),"Có","Không"))</f>
        <v/>
      </c>
      <c r="U253" s="22">
        <f>IF(OR($D253="",$T253="Có"),"",IF($C253="","Thiếu họ tên; ","")&amp;IF($S253&lt;&gt;"Có","SĐT sai định dạng; ","")&amp;IF($R253="Trùng","Trùng SĐT; ","")&amp;IF($Q253&lt;&gt;"Có","Thiếu đồng ý bắt buộc; ","")&amp;IF($L253="","Thiếu/sai Mã REF; ",IF(AND($L253="Chưa xác định",DANH_MUC!$L$9&lt;&gt;"Có"),"Nguồn chưa xác định; ","")))</f>
        <v/>
      </c>
      <c r="V253" s="22">
        <f>IF(OR($D253="",$R253="Trùng"),"",IF(COUNTIF(ORDERS!$C$2:$C$4995,$D253)&gt;0,"Có","Không"))</f>
        <v/>
      </c>
      <c r="W253" s="22">
        <f>IF(OR($D253="",$R253="Trùng"),"",COUNTIFS(ORDERS!$C$2:$C$4995,$D253,ORDERS!$L$2:$L$4995,"Đã chuyển khoản"))</f>
        <v/>
      </c>
      <c r="X253" s="23">
        <f>IF(OR($D253="",$R253="Trùng"),"",SUMIFS(ORDERS!$J$2:$J$4995,ORDERS!$C$2:$C$4995,$D253,ORDERS!$L$2:$L$4995,"Đã chuyển khoản"))</f>
        <v/>
      </c>
      <c r="Y253" s="24" t="n"/>
    </row>
    <row r="254" ht="14.25" customHeight="1" s="40">
      <c r="A254" s="24" t="inlineStr">
        <is>
          <t>766721e8-fb56-470e-a2f7-1dd12d262a6d</t>
        </is>
      </c>
      <c r="B254" s="18" t="n">
        <v>46294.62569444445</v>
      </c>
      <c r="C254" s="24" t="inlineStr">
        <is>
          <t>Huyen Baby</t>
        </is>
      </c>
      <c r="D254" s="28" t="inlineStr">
        <is>
          <t>0908230387</t>
        </is>
      </c>
      <c r="E254" s="29" t="n">
        <v>46105</v>
      </c>
      <c r="F254" s="24" t="inlineStr">
        <is>
          <t>Đã sinh</t>
        </is>
      </c>
      <c r="G254" s="24" t="inlineStr">
        <is>
          <t>Hồ Chí Minh</t>
        </is>
      </c>
      <c r="H254" s="21">
        <f>IF(ISNUMBER($B254),INT($B254)-WEEKDAY($B254,2)+1,"")</f>
        <v/>
      </c>
      <c r="I254" s="24" t="inlineStr">
        <is>
          <t>C-05</t>
        </is>
      </c>
      <c r="J254" s="22">
        <f t="array" ref="J254">IF($D254="","",IF($I254="","(trống REF)",IFERROR(INDEX(MASTER_SOURCE!$B$2:$B$495,MATCH($I254,MASTER_SOURCE!$A$2:$A$495,0)),"(REF không có trong MASTER_SOURCE)")))</f>
        <v/>
      </c>
      <c r="K254" s="22">
        <f t="array" ref="K254">IF($D254="","",IFERROR(INDEX(MASTER_SOURCE!$C$2:$C$495,MATCH($I254,MASTER_SOURCE!$A$2:$A$495,0)),""))</f>
        <v/>
      </c>
      <c r="L254" s="22">
        <f t="array" ref="L254">IF($D254="","",IFERROR(INDEX(MASTER_SOURCE!$D$2:$D$495,MATCH($I254,MASTER_SOURCE!$A$2:$A$495,0)),""))</f>
        <v/>
      </c>
      <c r="M254" s="24" t="inlineStr">
        <is>
          <t>Có</t>
        </is>
      </c>
      <c r="N254" s="24" t="inlineStr">
        <is>
          <t>Có</t>
        </is>
      </c>
      <c r="O254" s="24" t="inlineStr">
        <is>
          <t>Có</t>
        </is>
      </c>
      <c r="P254" s="24" t="inlineStr">
        <is>
          <t>Có</t>
        </is>
      </c>
      <c r="Q254" s="22">
        <f>IF($D254="","",IF(AND(OR(DANH_MUC!$L$5&lt;&gt;"Có",M254="Có"),OR(DANH_MUC!$L$6&lt;&gt;"Có",N254="Có"),OR(DANH_MUC!$L$7&lt;&gt;"Có",O254="Có"),OR(DANH_MUC!$L$8&lt;&gt;"Có",P254="Có")),"Có","Không"))</f>
        <v/>
      </c>
      <c r="R254" s="22">
        <f>IF($D254="","",IF(COUNTIF($D$2:$D254,$D254)&gt;1,"Trùng",""))</f>
        <v/>
      </c>
      <c r="S254" s="22">
        <f>IF($D254="","",IF(AND(LEN($D254)=10,LEFT($D254,1)="0",ISNUMBER(--$D254)),"Có","Không"))</f>
        <v/>
      </c>
      <c r="T254" s="22">
        <f>IF($D254="","",IF(AND($C254&lt;&gt;"",$Q254="Có",$R254="",$S254="Có",AND($L254&lt;&gt;"",OR($L254&lt;&gt;"Chưa xác định",DANH_MUC!$L$9="Có"))),"Có","Không"))</f>
        <v/>
      </c>
      <c r="U254" s="22">
        <f>IF(OR($D254="",$T254="Có"),"",IF($C254="","Thiếu họ tên; ","")&amp;IF($S254&lt;&gt;"Có","SĐT sai định dạng; ","")&amp;IF($R254="Trùng","Trùng SĐT; ","")&amp;IF($Q254&lt;&gt;"Có","Thiếu đồng ý bắt buộc; ","")&amp;IF($L254="","Thiếu/sai Mã REF; ",IF(AND($L254="Chưa xác định",DANH_MUC!$L$9&lt;&gt;"Có"),"Nguồn chưa xác định; ","")))</f>
        <v/>
      </c>
      <c r="V254" s="22">
        <f>IF(OR($D254="",$R254="Trùng"),"",IF(COUNTIF(ORDERS!$C$2:$C$4995,$D254)&gt;0,"Có","Không"))</f>
        <v/>
      </c>
      <c r="W254" s="22">
        <f>IF(OR($D254="",$R254="Trùng"),"",COUNTIFS(ORDERS!$C$2:$C$4995,$D254,ORDERS!$L$2:$L$4995,"Đã chuyển khoản"))</f>
        <v/>
      </c>
      <c r="X254" s="23">
        <f>IF(OR($D254="",$R254="Trùng"),"",SUMIFS(ORDERS!$J$2:$J$4995,ORDERS!$C$2:$C$4995,$D254,ORDERS!$L$2:$L$4995,"Đã chuyển khoản"))</f>
        <v/>
      </c>
      <c r="Y254" s="24" t="n"/>
    </row>
    <row r="255" ht="14.25" customHeight="1" s="40">
      <c r="A255" s="24" t="inlineStr">
        <is>
          <t>b6c4199b-eee9-4f49-851c-32c913a3d451</t>
        </is>
      </c>
      <c r="B255" s="18" t="n">
        <v>46294.63194444445</v>
      </c>
      <c r="C255" s="24" t="inlineStr">
        <is>
          <t>Diễm Hương</t>
        </is>
      </c>
      <c r="D255" s="28" t="inlineStr">
        <is>
          <t>0707778579</t>
        </is>
      </c>
      <c r="E255" s="29" t="n">
        <v>46132</v>
      </c>
      <c r="F255" s="24" t="inlineStr">
        <is>
          <t>Đã sinh</t>
        </is>
      </c>
      <c r="G255" s="24" t="inlineStr">
        <is>
          <t>Hồ Chí Minh</t>
        </is>
      </c>
      <c r="H255" s="21">
        <f>IF(ISNUMBER($B255),INT($B255)-WEEKDAY($B255,2)+1,"")</f>
        <v/>
      </c>
      <c r="I255" s="24" t="inlineStr">
        <is>
          <t>C-06</t>
        </is>
      </c>
      <c r="J255" s="22">
        <f t="array" ref="J255">IF($D255="","",IF($I255="","(trống REF)",IFERROR(INDEX(MASTER_SOURCE!$B$2:$B$495,MATCH($I255,MASTER_SOURCE!$A$2:$A$495,0)),"(REF không có trong MASTER_SOURCE)")))</f>
        <v/>
      </c>
      <c r="K255" s="22">
        <f t="array" ref="K255">IF($D255="","",IFERROR(INDEX(MASTER_SOURCE!$C$2:$C$495,MATCH($I255,MASTER_SOURCE!$A$2:$A$495,0)),""))</f>
        <v/>
      </c>
      <c r="L255" s="22">
        <f t="array" ref="L255">IF($D255="","",IFERROR(INDEX(MASTER_SOURCE!$D$2:$D$495,MATCH($I255,MASTER_SOURCE!$A$2:$A$495,0)),""))</f>
        <v/>
      </c>
      <c r="M255" s="24" t="inlineStr">
        <is>
          <t>Có</t>
        </is>
      </c>
      <c r="N255" s="24" t="inlineStr">
        <is>
          <t>Có</t>
        </is>
      </c>
      <c r="O255" s="24" t="inlineStr">
        <is>
          <t>Có</t>
        </is>
      </c>
      <c r="P255" s="24" t="inlineStr">
        <is>
          <t>Có</t>
        </is>
      </c>
      <c r="Q255" s="22">
        <f>IF($D255="","",IF(AND(OR(DANH_MUC!$L$5&lt;&gt;"Có",M255="Có"),OR(DANH_MUC!$L$6&lt;&gt;"Có",N255="Có"),OR(DANH_MUC!$L$7&lt;&gt;"Có",O255="Có"),OR(DANH_MUC!$L$8&lt;&gt;"Có",P255="Có")),"Có","Không"))</f>
        <v/>
      </c>
      <c r="R255" s="22">
        <f>IF($D255="","",IF(COUNTIF($D$2:$D255,$D255)&gt;1,"Trùng",""))</f>
        <v/>
      </c>
      <c r="S255" s="22">
        <f>IF($D255="","",IF(AND(LEN($D255)=10,LEFT($D255,1)="0",ISNUMBER(--$D255)),"Có","Không"))</f>
        <v/>
      </c>
      <c r="T255" s="22">
        <f>IF($D255="","",IF(AND($C255&lt;&gt;"",$Q255="Có",$R255="",$S255="Có",AND($L255&lt;&gt;"",OR($L255&lt;&gt;"Chưa xác định",DANH_MUC!$L$9="Có"))),"Có","Không"))</f>
        <v/>
      </c>
      <c r="U255" s="22">
        <f>IF(OR($D255="",$T255="Có"),"",IF($C255="","Thiếu họ tên; ","")&amp;IF($S255&lt;&gt;"Có","SĐT sai định dạng; ","")&amp;IF($R255="Trùng","Trùng SĐT; ","")&amp;IF($Q255&lt;&gt;"Có","Thiếu đồng ý bắt buộc; ","")&amp;IF($L255="","Thiếu/sai Mã REF; ",IF(AND($L255="Chưa xác định",DANH_MUC!$L$9&lt;&gt;"Có"),"Nguồn chưa xác định; ","")))</f>
        <v/>
      </c>
      <c r="V255" s="22">
        <f>IF(OR($D255="",$R255="Trùng"),"",IF(COUNTIF(ORDERS!$C$2:$C$4995,$D255)&gt;0,"Có","Không"))</f>
        <v/>
      </c>
      <c r="W255" s="22">
        <f>IF(OR($D255="",$R255="Trùng"),"",COUNTIFS(ORDERS!$C$2:$C$4995,$D255,ORDERS!$L$2:$L$4995,"Đã chuyển khoản"))</f>
        <v/>
      </c>
      <c r="X255" s="23">
        <f>IF(OR($D255="",$R255="Trùng"),"",SUMIFS(ORDERS!$J$2:$J$4995,ORDERS!$C$2:$C$4995,$D255,ORDERS!$L$2:$L$4995,"Đã chuyển khoản"))</f>
        <v/>
      </c>
      <c r="Y255" s="24" t="n"/>
    </row>
    <row r="256" ht="14.25" customHeight="1" s="40">
      <c r="A256" s="24" t="inlineStr">
        <is>
          <t>de33c123-4895-47af-8034-724f1220f41a</t>
        </is>
      </c>
      <c r="B256" s="18" t="n">
        <v>46294.63472222222</v>
      </c>
      <c r="C256" s="24" t="inlineStr">
        <is>
          <t>Võ thị Thuý triều</t>
        </is>
      </c>
      <c r="D256" s="28" t="inlineStr">
        <is>
          <t>0934104063</t>
        </is>
      </c>
      <c r="E256" s="29" t="n">
        <v>46389</v>
      </c>
      <c r="F256" s="24" t="inlineStr">
        <is>
          <t>Đang mang thai</t>
        </is>
      </c>
      <c r="G256" s="24" t="inlineStr">
        <is>
          <t>Hồ Chí Minh</t>
        </is>
      </c>
      <c r="H256" s="21">
        <f>IF(ISNUMBER($B256),INT($B256)-WEEKDAY($B256,2)+1,"")</f>
        <v/>
      </c>
      <c r="I256" s="24" t="inlineStr">
        <is>
          <t>C-06</t>
        </is>
      </c>
      <c r="J256" s="22">
        <f t="array" ref="J256">IF($D256="","",IF($I256="","(trống REF)",IFERROR(INDEX(MASTER_SOURCE!$B$2:$B$495,MATCH($I256,MASTER_SOURCE!$A$2:$A$495,0)),"(REF không có trong MASTER_SOURCE)")))</f>
        <v/>
      </c>
      <c r="K256" s="22">
        <f t="array" ref="K256">IF($D256="","",IFERROR(INDEX(MASTER_SOURCE!$C$2:$C$495,MATCH($I256,MASTER_SOURCE!$A$2:$A$495,0)),""))</f>
        <v/>
      </c>
      <c r="L256" s="22">
        <f t="array" ref="L256">IF($D256="","",IFERROR(INDEX(MASTER_SOURCE!$D$2:$D$495,MATCH($I256,MASTER_SOURCE!$A$2:$A$495,0)),""))</f>
        <v/>
      </c>
      <c r="M256" s="24" t="inlineStr">
        <is>
          <t>Có</t>
        </is>
      </c>
      <c r="N256" s="24" t="inlineStr">
        <is>
          <t>Có</t>
        </is>
      </c>
      <c r="O256" s="24" t="inlineStr">
        <is>
          <t>Có</t>
        </is>
      </c>
      <c r="P256" s="24" t="inlineStr">
        <is>
          <t>Có</t>
        </is>
      </c>
      <c r="Q256" s="22">
        <f>IF($D256="","",IF(AND(OR(DANH_MUC!$L$5&lt;&gt;"Có",M256="Có"),OR(DANH_MUC!$L$6&lt;&gt;"Có",N256="Có"),OR(DANH_MUC!$L$7&lt;&gt;"Có",O256="Có"),OR(DANH_MUC!$L$8&lt;&gt;"Có",P256="Có")),"Có","Không"))</f>
        <v/>
      </c>
      <c r="R256" s="22">
        <f>IF($D256="","",IF(COUNTIF($D$2:$D256,$D256)&gt;1,"Trùng",""))</f>
        <v/>
      </c>
      <c r="S256" s="22">
        <f>IF($D256="","",IF(AND(LEN($D256)=10,LEFT($D256,1)="0",ISNUMBER(--$D256)),"Có","Không"))</f>
        <v/>
      </c>
      <c r="T256" s="22">
        <f>IF($D256="","",IF(AND($C256&lt;&gt;"",$Q256="Có",$R256="",$S256="Có",AND($L256&lt;&gt;"",OR($L256&lt;&gt;"Chưa xác định",DANH_MUC!$L$9="Có"))),"Có","Không"))</f>
        <v/>
      </c>
      <c r="U256" s="22">
        <f>IF(OR($D256="",$T256="Có"),"",IF($C256="","Thiếu họ tên; ","")&amp;IF($S256&lt;&gt;"Có","SĐT sai định dạng; ","")&amp;IF($R256="Trùng","Trùng SĐT; ","")&amp;IF($Q256&lt;&gt;"Có","Thiếu đồng ý bắt buộc; ","")&amp;IF($L256="","Thiếu/sai Mã REF; ",IF(AND($L256="Chưa xác định",DANH_MUC!$L$9&lt;&gt;"Có"),"Nguồn chưa xác định; ","")))</f>
        <v/>
      </c>
      <c r="V256" s="22">
        <f>IF(OR($D256="",$R256="Trùng"),"",IF(COUNTIF(ORDERS!$C$2:$C$4995,$D256)&gt;0,"Có","Không"))</f>
        <v/>
      </c>
      <c r="W256" s="22">
        <f>IF(OR($D256="",$R256="Trùng"),"",COUNTIFS(ORDERS!$C$2:$C$4995,$D256,ORDERS!$L$2:$L$4995,"Đã chuyển khoản"))</f>
        <v/>
      </c>
      <c r="X256" s="23">
        <f>IF(OR($D256="",$R256="Trùng"),"",SUMIFS(ORDERS!$J$2:$J$4995,ORDERS!$C$2:$C$4995,$D256,ORDERS!$L$2:$L$4995,"Đã chuyển khoản"))</f>
        <v/>
      </c>
      <c r="Y256" s="24" t="n"/>
    </row>
    <row r="257" ht="14.25" customHeight="1" s="40">
      <c r="A257" s="24" t="inlineStr">
        <is>
          <t>9b562eb3-8e4a-416f-80fb-087fa30dbc2b</t>
        </is>
      </c>
      <c r="B257" s="18" t="n">
        <v>46294.64375</v>
      </c>
      <c r="C257" s="24" t="inlineStr">
        <is>
          <t>Lê Thị Thuyền</t>
        </is>
      </c>
      <c r="D257" s="28" t="inlineStr">
        <is>
          <t>0708807255</t>
        </is>
      </c>
      <c r="E257" s="29" t="n">
        <v>46016</v>
      </c>
      <c r="F257" s="24" t="inlineStr">
        <is>
          <t>Đã sinh</t>
        </is>
      </c>
      <c r="G257" s="24" t="inlineStr">
        <is>
          <t>Hồ Chí Minh</t>
        </is>
      </c>
      <c r="H257" s="21">
        <f>IF(ISNUMBER($B257),INT($B257)-WEEKDAY($B257,2)+1,"")</f>
        <v/>
      </c>
      <c r="I257" s="24" t="inlineStr">
        <is>
          <t>C-06</t>
        </is>
      </c>
      <c r="J257" s="22">
        <f t="array" ref="J257">IF($D257="","",IF($I257="","(trống REF)",IFERROR(INDEX(MASTER_SOURCE!$B$2:$B$495,MATCH($I257,MASTER_SOURCE!$A$2:$A$495,0)),"(REF không có trong MASTER_SOURCE)")))</f>
        <v/>
      </c>
      <c r="K257" s="22">
        <f t="array" ref="K257">IF($D257="","",IFERROR(INDEX(MASTER_SOURCE!$C$2:$C$495,MATCH($I257,MASTER_SOURCE!$A$2:$A$495,0)),""))</f>
        <v/>
      </c>
      <c r="L257" s="22">
        <f t="array" ref="L257">IF($D257="","",IFERROR(INDEX(MASTER_SOURCE!$D$2:$D$495,MATCH($I257,MASTER_SOURCE!$A$2:$A$495,0)),""))</f>
        <v/>
      </c>
      <c r="M257" s="24" t="inlineStr">
        <is>
          <t>Có</t>
        </is>
      </c>
      <c r="N257" s="24" t="inlineStr">
        <is>
          <t>Có</t>
        </is>
      </c>
      <c r="O257" s="24" t="inlineStr">
        <is>
          <t>Có</t>
        </is>
      </c>
      <c r="P257" s="24" t="inlineStr">
        <is>
          <t>Có</t>
        </is>
      </c>
      <c r="Q257" s="22">
        <f>IF($D257="","",IF(AND(OR(DANH_MUC!$L$5&lt;&gt;"Có",M257="Có"),OR(DANH_MUC!$L$6&lt;&gt;"Có",N257="Có"),OR(DANH_MUC!$L$7&lt;&gt;"Có",O257="Có"),OR(DANH_MUC!$L$8&lt;&gt;"Có",P257="Có")),"Có","Không"))</f>
        <v/>
      </c>
      <c r="R257" s="22">
        <f>IF($D257="","",IF(COUNTIF($D$2:$D257,$D257)&gt;1,"Trùng",""))</f>
        <v/>
      </c>
      <c r="S257" s="22">
        <f>IF($D257="","",IF(AND(LEN($D257)=10,LEFT($D257,1)="0",ISNUMBER(--$D257)),"Có","Không"))</f>
        <v/>
      </c>
      <c r="T257" s="22">
        <f>IF($D257="","",IF(AND($C257&lt;&gt;"",$Q257="Có",$R257="",$S257="Có",AND($L257&lt;&gt;"",OR($L257&lt;&gt;"Chưa xác định",DANH_MUC!$L$9="Có"))),"Có","Không"))</f>
        <v/>
      </c>
      <c r="U257" s="22">
        <f>IF(OR($D257="",$T257="Có"),"",IF($C257="","Thiếu họ tên; ","")&amp;IF($S257&lt;&gt;"Có","SĐT sai định dạng; ","")&amp;IF($R257="Trùng","Trùng SĐT; ","")&amp;IF($Q257&lt;&gt;"Có","Thiếu đồng ý bắt buộc; ","")&amp;IF($L257="","Thiếu/sai Mã REF; ",IF(AND($L257="Chưa xác định",DANH_MUC!$L$9&lt;&gt;"Có"),"Nguồn chưa xác định; ","")))</f>
        <v/>
      </c>
      <c r="V257" s="22">
        <f>IF(OR($D257="",$R257="Trùng"),"",IF(COUNTIF(ORDERS!$C$2:$C$4995,$D257)&gt;0,"Có","Không"))</f>
        <v/>
      </c>
      <c r="W257" s="22">
        <f>IF(OR($D257="",$R257="Trùng"),"",COUNTIFS(ORDERS!$C$2:$C$4995,$D257,ORDERS!$L$2:$L$4995,"Đã chuyển khoản"))</f>
        <v/>
      </c>
      <c r="X257" s="23">
        <f>IF(OR($D257="",$R257="Trùng"),"",SUMIFS(ORDERS!$J$2:$J$4995,ORDERS!$C$2:$C$4995,$D257,ORDERS!$L$2:$L$4995,"Đã chuyển khoản"))</f>
        <v/>
      </c>
      <c r="Y257" s="24" t="n"/>
    </row>
    <row r="258" ht="14.25" customHeight="1" s="40">
      <c r="A258" s="24" t="inlineStr">
        <is>
          <t>c91efbf1-0922-48dc-83ea-af31f529b49b</t>
        </is>
      </c>
      <c r="B258" s="18" t="n">
        <v>46294.65347222222</v>
      </c>
      <c r="C258" s="24" t="inlineStr">
        <is>
          <t>Thiên Hà Vũ Linh</t>
        </is>
      </c>
      <c r="D258" s="28" t="inlineStr">
        <is>
          <t>0589144639</t>
        </is>
      </c>
      <c r="E258" s="29" t="n">
        <v>45950</v>
      </c>
      <c r="F258" s="24" t="inlineStr">
        <is>
          <t>Đã sinh</t>
        </is>
      </c>
      <c r="G258" s="24" t="inlineStr">
        <is>
          <t>Hồ Chí Minh</t>
        </is>
      </c>
      <c r="H258" s="21">
        <f>IF(ISNUMBER($B258),INT($B258)-WEEKDAY($B258,2)+1,"")</f>
        <v/>
      </c>
      <c r="I258" s="24" t="inlineStr">
        <is>
          <t>C-06</t>
        </is>
      </c>
      <c r="J258" s="22">
        <f t="array" ref="J258">IF($D258="","",IF($I258="","(trống REF)",IFERROR(INDEX(MASTER_SOURCE!$B$2:$B$495,MATCH($I258,MASTER_SOURCE!$A$2:$A$495,0)),"(REF không có trong MASTER_SOURCE)")))</f>
        <v/>
      </c>
      <c r="K258" s="22">
        <f t="array" ref="K258">IF($D258="","",IFERROR(INDEX(MASTER_SOURCE!$C$2:$C$495,MATCH($I258,MASTER_SOURCE!$A$2:$A$495,0)),""))</f>
        <v/>
      </c>
      <c r="L258" s="22">
        <f t="array" ref="L258">IF($D258="","",IFERROR(INDEX(MASTER_SOURCE!$D$2:$D$495,MATCH($I258,MASTER_SOURCE!$A$2:$A$495,0)),""))</f>
        <v/>
      </c>
      <c r="M258" s="24" t="inlineStr">
        <is>
          <t>Có</t>
        </is>
      </c>
      <c r="N258" s="24" t="inlineStr">
        <is>
          <t>Có</t>
        </is>
      </c>
      <c r="O258" s="24" t="inlineStr">
        <is>
          <t>Có</t>
        </is>
      </c>
      <c r="P258" s="24" t="inlineStr">
        <is>
          <t>Có</t>
        </is>
      </c>
      <c r="Q258" s="22">
        <f>IF($D258="","",IF(AND(OR(DANH_MUC!$L$5&lt;&gt;"Có",M258="Có"),OR(DANH_MUC!$L$6&lt;&gt;"Có",N258="Có"),OR(DANH_MUC!$L$7&lt;&gt;"Có",O258="Có"),OR(DANH_MUC!$L$8&lt;&gt;"Có",P258="Có")),"Có","Không"))</f>
        <v/>
      </c>
      <c r="R258" s="22">
        <f>IF($D258="","",IF(COUNTIF($D$2:$D258,$D258)&gt;1,"Trùng",""))</f>
        <v/>
      </c>
      <c r="S258" s="22">
        <f>IF($D258="","",IF(AND(LEN($D258)=10,LEFT($D258,1)="0",ISNUMBER(--$D258)),"Có","Không"))</f>
        <v/>
      </c>
      <c r="T258" s="22">
        <f>IF($D258="","",IF(AND($C258&lt;&gt;"",$Q258="Có",$R258="",$S258="Có",AND($L258&lt;&gt;"",OR($L258&lt;&gt;"Chưa xác định",DANH_MUC!$L$9="Có"))),"Có","Không"))</f>
        <v/>
      </c>
      <c r="U258" s="22">
        <f>IF(OR($D258="",$T258="Có"),"",IF($C258="","Thiếu họ tên; ","")&amp;IF($S258&lt;&gt;"Có","SĐT sai định dạng; ","")&amp;IF($R258="Trùng","Trùng SĐT; ","")&amp;IF($Q258&lt;&gt;"Có","Thiếu đồng ý bắt buộc; ","")&amp;IF($L258="","Thiếu/sai Mã REF; ",IF(AND($L258="Chưa xác định",DANH_MUC!$L$9&lt;&gt;"Có"),"Nguồn chưa xác định; ","")))</f>
        <v/>
      </c>
      <c r="V258" s="22">
        <f>IF(OR($D258="",$R258="Trùng"),"",IF(COUNTIF(ORDERS!$C$2:$C$4995,$D258)&gt;0,"Có","Không"))</f>
        <v/>
      </c>
      <c r="W258" s="22">
        <f>IF(OR($D258="",$R258="Trùng"),"",COUNTIFS(ORDERS!$C$2:$C$4995,$D258,ORDERS!$L$2:$L$4995,"Đã chuyển khoản"))</f>
        <v/>
      </c>
      <c r="X258" s="23">
        <f>IF(OR($D258="",$R258="Trùng"),"",SUMIFS(ORDERS!$J$2:$J$4995,ORDERS!$C$2:$C$4995,$D258,ORDERS!$L$2:$L$4995,"Đã chuyển khoản"))</f>
        <v/>
      </c>
      <c r="Y258" s="24" t="n"/>
    </row>
    <row r="259" ht="14.25" customHeight="1" s="40">
      <c r="A259" s="24" t="inlineStr">
        <is>
          <t>cdbe3ffe-6c8c-4e6f-b8ec-cac0141891d1</t>
        </is>
      </c>
      <c r="B259" s="18" t="n">
        <v>46294.65486111111</v>
      </c>
      <c r="C259" s="24" t="inlineStr">
        <is>
          <t>Nguyễn Thị Trúc Hương</t>
        </is>
      </c>
      <c r="D259" s="28" t="inlineStr">
        <is>
          <t>0972330328</t>
        </is>
      </c>
      <c r="E259" s="29" t="n">
        <v>46083</v>
      </c>
      <c r="F259" s="24" t="inlineStr">
        <is>
          <t>Đã sinh</t>
        </is>
      </c>
      <c r="G259" s="24" t="inlineStr">
        <is>
          <t>Hồ Chí Minh</t>
        </is>
      </c>
      <c r="H259" s="21">
        <f>IF(ISNUMBER($B259),INT($B259)-WEEKDAY($B259,2)+1,"")</f>
        <v/>
      </c>
      <c r="I259" s="24" t="inlineStr">
        <is>
          <t>C-06</t>
        </is>
      </c>
      <c r="J259" s="22">
        <f t="array" ref="J259">IF($D259="","",IF($I259="","(trống REF)",IFERROR(INDEX(MASTER_SOURCE!$B$2:$B$495,MATCH($I259,MASTER_SOURCE!$A$2:$A$495,0)),"(REF không có trong MASTER_SOURCE)")))</f>
        <v/>
      </c>
      <c r="K259" s="22">
        <f t="array" ref="K259">IF($D259="","",IFERROR(INDEX(MASTER_SOURCE!$C$2:$C$495,MATCH($I259,MASTER_SOURCE!$A$2:$A$495,0)),""))</f>
        <v/>
      </c>
      <c r="L259" s="22">
        <f t="array" ref="L259">IF($D259="","",IFERROR(INDEX(MASTER_SOURCE!$D$2:$D$495,MATCH($I259,MASTER_SOURCE!$A$2:$A$495,0)),""))</f>
        <v/>
      </c>
      <c r="M259" s="24" t="inlineStr">
        <is>
          <t>Có</t>
        </is>
      </c>
      <c r="N259" s="24" t="inlineStr">
        <is>
          <t>Có</t>
        </is>
      </c>
      <c r="O259" s="24" t="inlineStr">
        <is>
          <t>Có</t>
        </is>
      </c>
      <c r="P259" s="24" t="inlineStr">
        <is>
          <t>Có</t>
        </is>
      </c>
      <c r="Q259" s="22">
        <f>IF($D259="","",IF(AND(OR(DANH_MUC!$L$5&lt;&gt;"Có",M259="Có"),OR(DANH_MUC!$L$6&lt;&gt;"Có",N259="Có"),OR(DANH_MUC!$L$7&lt;&gt;"Có",O259="Có"),OR(DANH_MUC!$L$8&lt;&gt;"Có",P259="Có")),"Có","Không"))</f>
        <v/>
      </c>
      <c r="R259" s="22">
        <f>IF($D259="","",IF(COUNTIF($D$2:$D259,$D259)&gt;1,"Trùng",""))</f>
        <v/>
      </c>
      <c r="S259" s="22">
        <f>IF($D259="","",IF(AND(LEN($D259)=10,LEFT($D259,1)="0",ISNUMBER(--$D259)),"Có","Không"))</f>
        <v/>
      </c>
      <c r="T259" s="22">
        <f>IF($D259="","",IF(AND($C259&lt;&gt;"",$Q259="Có",$R259="",$S259="Có",AND($L259&lt;&gt;"",OR($L259&lt;&gt;"Chưa xác định",DANH_MUC!$L$9="Có"))),"Có","Không"))</f>
        <v/>
      </c>
      <c r="U259" s="22">
        <f>IF(OR($D259="",$T259="Có"),"",IF($C259="","Thiếu họ tên; ","")&amp;IF($S259&lt;&gt;"Có","SĐT sai định dạng; ","")&amp;IF($R259="Trùng","Trùng SĐT; ","")&amp;IF($Q259&lt;&gt;"Có","Thiếu đồng ý bắt buộc; ","")&amp;IF($L259="","Thiếu/sai Mã REF; ",IF(AND($L259="Chưa xác định",DANH_MUC!$L$9&lt;&gt;"Có"),"Nguồn chưa xác định; ","")))</f>
        <v/>
      </c>
      <c r="V259" s="22">
        <f>IF(OR($D259="",$R259="Trùng"),"",IF(COUNTIF(ORDERS!$C$2:$C$4995,$D259)&gt;0,"Có","Không"))</f>
        <v/>
      </c>
      <c r="W259" s="22">
        <f>IF(OR($D259="",$R259="Trùng"),"",COUNTIFS(ORDERS!$C$2:$C$4995,$D259,ORDERS!$L$2:$L$4995,"Đã chuyển khoản"))</f>
        <v/>
      </c>
      <c r="X259" s="23">
        <f>IF(OR($D259="",$R259="Trùng"),"",SUMIFS(ORDERS!$J$2:$J$4995,ORDERS!$C$2:$C$4995,$D259,ORDERS!$L$2:$L$4995,"Đã chuyển khoản"))</f>
        <v/>
      </c>
      <c r="Y259" s="24" t="n"/>
    </row>
    <row r="260" ht="14.25" customHeight="1" s="40">
      <c r="A260" s="24" t="inlineStr">
        <is>
          <t>323b82b6-e936-4cd2-91e4-908a82f18d20</t>
        </is>
      </c>
      <c r="B260" s="18" t="n">
        <v>46294.66041666667</v>
      </c>
      <c r="C260" s="24" t="inlineStr">
        <is>
          <t>Nguyễn Nhiên Hương</t>
        </is>
      </c>
      <c r="D260" s="28" t="inlineStr">
        <is>
          <t>0983948172</t>
        </is>
      </c>
      <c r="E260" s="29" t="n">
        <v>46180</v>
      </c>
      <c r="F260" s="24" t="inlineStr">
        <is>
          <t>Đã sinh</t>
        </is>
      </c>
      <c r="G260" s="24" t="inlineStr">
        <is>
          <t>Hồ Chí Minh</t>
        </is>
      </c>
      <c r="H260" s="21">
        <f>IF(ISNUMBER($B260),INT($B260)-WEEKDAY($B260,2)+1,"")</f>
        <v/>
      </c>
      <c r="I260" s="24" t="inlineStr">
        <is>
          <t>C-05</t>
        </is>
      </c>
      <c r="J260" s="22">
        <f t="array" ref="J260">IF($D260="","",IF($I260="","(trống REF)",IFERROR(INDEX(MASTER_SOURCE!$B$2:$B$495,MATCH($I260,MASTER_SOURCE!$A$2:$A$495,0)),"(REF không có trong MASTER_SOURCE)")))</f>
        <v/>
      </c>
      <c r="K260" s="22">
        <f t="array" ref="K260">IF($D260="","",IFERROR(INDEX(MASTER_SOURCE!$C$2:$C$495,MATCH($I260,MASTER_SOURCE!$A$2:$A$495,0)),""))</f>
        <v/>
      </c>
      <c r="L260" s="22">
        <f t="array" ref="L260">IF($D260="","",IFERROR(INDEX(MASTER_SOURCE!$D$2:$D$495,MATCH($I260,MASTER_SOURCE!$A$2:$A$495,0)),""))</f>
        <v/>
      </c>
      <c r="M260" s="24" t="inlineStr">
        <is>
          <t>Có</t>
        </is>
      </c>
      <c r="N260" s="24" t="inlineStr">
        <is>
          <t>Có</t>
        </is>
      </c>
      <c r="O260" s="24" t="inlineStr">
        <is>
          <t>Có</t>
        </is>
      </c>
      <c r="P260" s="24" t="inlineStr">
        <is>
          <t>Có</t>
        </is>
      </c>
      <c r="Q260" s="22">
        <f>IF($D260="","",IF(AND(OR(DANH_MUC!$L$5&lt;&gt;"Có",M260="Có"),OR(DANH_MUC!$L$6&lt;&gt;"Có",N260="Có"),OR(DANH_MUC!$L$7&lt;&gt;"Có",O260="Có"),OR(DANH_MUC!$L$8&lt;&gt;"Có",P260="Có")),"Có","Không"))</f>
        <v/>
      </c>
      <c r="R260" s="22">
        <f>IF($D260="","",IF(COUNTIF($D$2:$D260,$D260)&gt;1,"Trùng",""))</f>
        <v/>
      </c>
      <c r="S260" s="22">
        <f>IF($D260="","",IF(AND(LEN($D260)=10,LEFT($D260,1)="0",ISNUMBER(--$D260)),"Có","Không"))</f>
        <v/>
      </c>
      <c r="T260" s="22">
        <f>IF($D260="","",IF(AND($C260&lt;&gt;"",$Q260="Có",$R260="",$S260="Có",AND($L260&lt;&gt;"",OR($L260&lt;&gt;"Chưa xác định",DANH_MUC!$L$9="Có"))),"Có","Không"))</f>
        <v/>
      </c>
      <c r="U260" s="22">
        <f>IF(OR($D260="",$T260="Có"),"",IF($C260="","Thiếu họ tên; ","")&amp;IF($S260&lt;&gt;"Có","SĐT sai định dạng; ","")&amp;IF($R260="Trùng","Trùng SĐT; ","")&amp;IF($Q260&lt;&gt;"Có","Thiếu đồng ý bắt buộc; ","")&amp;IF($L260="","Thiếu/sai Mã REF; ",IF(AND($L260="Chưa xác định",DANH_MUC!$L$9&lt;&gt;"Có"),"Nguồn chưa xác định; ","")))</f>
        <v/>
      </c>
      <c r="V260" s="22">
        <f>IF(OR($D260="",$R260="Trùng"),"",IF(COUNTIF(ORDERS!$C$2:$C$4995,$D260)&gt;0,"Có","Không"))</f>
        <v/>
      </c>
      <c r="W260" s="22">
        <f>IF(OR($D260="",$R260="Trùng"),"",COUNTIFS(ORDERS!$C$2:$C$4995,$D260,ORDERS!$L$2:$L$4995,"Đã chuyển khoản"))</f>
        <v/>
      </c>
      <c r="X260" s="23">
        <f>IF(OR($D260="",$R260="Trùng"),"",SUMIFS(ORDERS!$J$2:$J$4995,ORDERS!$C$2:$C$4995,$D260,ORDERS!$L$2:$L$4995,"Đã chuyển khoản"))</f>
        <v/>
      </c>
      <c r="Y260" s="24" t="n"/>
    </row>
    <row r="261" ht="14.25" customHeight="1" s="40">
      <c r="A261" s="24" t="inlineStr">
        <is>
          <t>689714c5-c479-4f5e-a4f5-6eb70f814bdb</t>
        </is>
      </c>
      <c r="B261" s="18" t="n">
        <v>46294.66111111111</v>
      </c>
      <c r="C261" s="24" t="inlineStr">
        <is>
          <t>Vương ngọc ánh</t>
        </is>
      </c>
      <c r="D261" s="28" t="inlineStr">
        <is>
          <t>0352040599</t>
        </is>
      </c>
      <c r="E261" s="29" t="n">
        <v>45943</v>
      </c>
      <c r="F261" s="24" t="inlineStr">
        <is>
          <t>Đã sinh</t>
        </is>
      </c>
      <c r="G261" s="24" t="inlineStr">
        <is>
          <t>Hà Nội</t>
        </is>
      </c>
      <c r="H261" s="21">
        <f>IF(ISNUMBER($B261),INT($B261)-WEEKDAY($B261,2)+1,"")</f>
        <v/>
      </c>
      <c r="I261" s="24" t="inlineStr">
        <is>
          <t>C-05</t>
        </is>
      </c>
      <c r="J261" s="22">
        <f t="array" ref="J261">IF($D261="","",IF($I261="","(trống REF)",IFERROR(INDEX(MASTER_SOURCE!$B$2:$B$495,MATCH($I261,MASTER_SOURCE!$A$2:$A$495,0)),"(REF không có trong MASTER_SOURCE)")))</f>
        <v/>
      </c>
      <c r="K261" s="22">
        <f t="array" ref="K261">IF($D261="","",IFERROR(INDEX(MASTER_SOURCE!$C$2:$C$495,MATCH($I261,MASTER_SOURCE!$A$2:$A$495,0)),""))</f>
        <v/>
      </c>
      <c r="L261" s="22">
        <f t="array" ref="L261">IF($D261="","",IFERROR(INDEX(MASTER_SOURCE!$D$2:$D$495,MATCH($I261,MASTER_SOURCE!$A$2:$A$495,0)),""))</f>
        <v/>
      </c>
      <c r="M261" s="24" t="inlineStr">
        <is>
          <t>Có</t>
        </is>
      </c>
      <c r="N261" s="24" t="inlineStr">
        <is>
          <t>Có</t>
        </is>
      </c>
      <c r="O261" s="24" t="inlineStr">
        <is>
          <t>Có</t>
        </is>
      </c>
      <c r="P261" s="24" t="inlineStr">
        <is>
          <t>Có</t>
        </is>
      </c>
      <c r="Q261" s="22">
        <f>IF($D261="","",IF(AND(OR(DANH_MUC!$L$5&lt;&gt;"Có",M261="Có"),OR(DANH_MUC!$L$6&lt;&gt;"Có",N261="Có"),OR(DANH_MUC!$L$7&lt;&gt;"Có",O261="Có"),OR(DANH_MUC!$L$8&lt;&gt;"Có",P261="Có")),"Có","Không"))</f>
        <v/>
      </c>
      <c r="R261" s="22">
        <f>IF($D261="","",IF(COUNTIF($D$2:$D261,$D261)&gt;1,"Trùng",""))</f>
        <v/>
      </c>
      <c r="S261" s="22">
        <f>IF($D261="","",IF(AND(LEN($D261)=10,LEFT($D261,1)="0",ISNUMBER(--$D261)),"Có","Không"))</f>
        <v/>
      </c>
      <c r="T261" s="22">
        <f>IF($D261="","",IF(AND($C261&lt;&gt;"",$Q261="Có",$R261="",$S261="Có",AND($L261&lt;&gt;"",OR($L261&lt;&gt;"Chưa xác định",DANH_MUC!$L$9="Có"))),"Có","Không"))</f>
        <v/>
      </c>
      <c r="U261" s="22">
        <f>IF(OR($D261="",$T261="Có"),"",IF($C261="","Thiếu họ tên; ","")&amp;IF($S261&lt;&gt;"Có","SĐT sai định dạng; ","")&amp;IF($R261="Trùng","Trùng SĐT; ","")&amp;IF($Q261&lt;&gt;"Có","Thiếu đồng ý bắt buộc; ","")&amp;IF($L261="","Thiếu/sai Mã REF; ",IF(AND($L261="Chưa xác định",DANH_MUC!$L$9&lt;&gt;"Có"),"Nguồn chưa xác định; ","")))</f>
        <v/>
      </c>
      <c r="V261" s="22">
        <f>IF(OR($D261="",$R261="Trùng"),"",IF(COUNTIF(ORDERS!$C$2:$C$4995,$D261)&gt;0,"Có","Không"))</f>
        <v/>
      </c>
      <c r="W261" s="22">
        <f>IF(OR($D261="",$R261="Trùng"),"",COUNTIFS(ORDERS!$C$2:$C$4995,$D261,ORDERS!$L$2:$L$4995,"Đã chuyển khoản"))</f>
        <v/>
      </c>
      <c r="X261" s="23">
        <f>IF(OR($D261="",$R261="Trùng"),"",SUMIFS(ORDERS!$J$2:$J$4995,ORDERS!$C$2:$C$4995,$D261,ORDERS!$L$2:$L$4995,"Đã chuyển khoản"))</f>
        <v/>
      </c>
      <c r="Y261" s="24" t="n"/>
    </row>
    <row r="262" ht="14.25" customHeight="1" s="40">
      <c r="A262" s="24" t="inlineStr">
        <is>
          <t>98a8d47a-bb68-4384-82b6-0927641cc040</t>
        </is>
      </c>
      <c r="B262" s="18" t="n">
        <v>46294.66875</v>
      </c>
      <c r="C262" s="24" t="inlineStr">
        <is>
          <t>Lê Thị Mai Hương</t>
        </is>
      </c>
      <c r="D262" s="28" t="inlineStr">
        <is>
          <t>0354465731</t>
        </is>
      </c>
      <c r="E262" s="29" t="n">
        <v>46124</v>
      </c>
      <c r="F262" s="24" t="inlineStr">
        <is>
          <t>Đã sinh</t>
        </is>
      </c>
      <c r="G262" s="24" t="inlineStr">
        <is>
          <t>Hải Phòng</t>
        </is>
      </c>
      <c r="H262" s="21">
        <f>IF(ISNUMBER($B262),INT($B262)-WEEKDAY($B262,2)+1,"")</f>
        <v/>
      </c>
      <c r="I262" s="24" t="inlineStr">
        <is>
          <t>C-05</t>
        </is>
      </c>
      <c r="J262" s="22">
        <f t="array" ref="J262">IF($D262="","",IF($I262="","(trống REF)",IFERROR(INDEX(MASTER_SOURCE!$B$2:$B$495,MATCH($I262,MASTER_SOURCE!$A$2:$A$495,0)),"(REF không có trong MASTER_SOURCE)")))</f>
        <v/>
      </c>
      <c r="K262" s="22">
        <f t="array" ref="K262">IF($D262="","",IFERROR(INDEX(MASTER_SOURCE!$C$2:$C$495,MATCH($I262,MASTER_SOURCE!$A$2:$A$495,0)),""))</f>
        <v/>
      </c>
      <c r="L262" s="22">
        <f t="array" ref="L262">IF($D262="","",IFERROR(INDEX(MASTER_SOURCE!$D$2:$D$495,MATCH($I262,MASTER_SOURCE!$A$2:$A$495,0)),""))</f>
        <v/>
      </c>
      <c r="M262" s="24" t="inlineStr">
        <is>
          <t>Có</t>
        </is>
      </c>
      <c r="N262" s="24" t="inlineStr">
        <is>
          <t>Có</t>
        </is>
      </c>
      <c r="O262" s="24" t="inlineStr">
        <is>
          <t>Có</t>
        </is>
      </c>
      <c r="P262" s="24" t="inlineStr">
        <is>
          <t>Có</t>
        </is>
      </c>
      <c r="Q262" s="22">
        <f>IF($D262="","",IF(AND(OR(DANH_MUC!$L$5&lt;&gt;"Có",M262="Có"),OR(DANH_MUC!$L$6&lt;&gt;"Có",N262="Có"),OR(DANH_MUC!$L$7&lt;&gt;"Có",O262="Có"),OR(DANH_MUC!$L$8&lt;&gt;"Có",P262="Có")),"Có","Không"))</f>
        <v/>
      </c>
      <c r="R262" s="22">
        <f>IF($D262="","",IF(COUNTIF($D$2:$D262,$D262)&gt;1,"Trùng",""))</f>
        <v/>
      </c>
      <c r="S262" s="22">
        <f>IF($D262="","",IF(AND(LEN($D262)=10,LEFT($D262,1)="0",ISNUMBER(--$D262)),"Có","Không"))</f>
        <v/>
      </c>
      <c r="T262" s="22">
        <f>IF($D262="","",IF(AND($C262&lt;&gt;"",$Q262="Có",$R262="",$S262="Có",AND($L262&lt;&gt;"",OR($L262&lt;&gt;"Chưa xác định",DANH_MUC!$L$9="Có"))),"Có","Không"))</f>
        <v/>
      </c>
      <c r="U262" s="22">
        <f>IF(OR($D262="",$T262="Có"),"",IF($C262="","Thiếu họ tên; ","")&amp;IF($S262&lt;&gt;"Có","SĐT sai định dạng; ","")&amp;IF($R262="Trùng","Trùng SĐT; ","")&amp;IF($Q262&lt;&gt;"Có","Thiếu đồng ý bắt buộc; ","")&amp;IF($L262="","Thiếu/sai Mã REF; ",IF(AND($L262="Chưa xác định",DANH_MUC!$L$9&lt;&gt;"Có"),"Nguồn chưa xác định; ","")))</f>
        <v/>
      </c>
      <c r="V262" s="22">
        <f>IF(OR($D262="",$R262="Trùng"),"",IF(COUNTIF(ORDERS!$C$2:$C$4995,$D262)&gt;0,"Có","Không"))</f>
        <v/>
      </c>
      <c r="W262" s="22">
        <f>IF(OR($D262="",$R262="Trùng"),"",COUNTIFS(ORDERS!$C$2:$C$4995,$D262,ORDERS!$L$2:$L$4995,"Đã chuyển khoản"))</f>
        <v/>
      </c>
      <c r="X262" s="23">
        <f>IF(OR($D262="",$R262="Trùng"),"",SUMIFS(ORDERS!$J$2:$J$4995,ORDERS!$C$2:$C$4995,$D262,ORDERS!$L$2:$L$4995,"Đã chuyển khoản"))</f>
        <v/>
      </c>
      <c r="Y262" s="24" t="n"/>
    </row>
    <row r="263" ht="14.25" customHeight="1" s="40">
      <c r="A263" s="24" t="inlineStr">
        <is>
          <t>ba85fb23-e122-48a3-8fd6-0b1d14155dff</t>
        </is>
      </c>
      <c r="B263" s="18" t="n">
        <v>46294.67430555556</v>
      </c>
      <c r="C263" s="24" t="inlineStr">
        <is>
          <t>Kiều Thu Huyền</t>
        </is>
      </c>
      <c r="D263" s="28" t="inlineStr">
        <is>
          <t>0369895819</t>
        </is>
      </c>
      <c r="E263" s="29" t="n">
        <v>46059</v>
      </c>
      <c r="F263" s="24" t="inlineStr">
        <is>
          <t>Đã sinh</t>
        </is>
      </c>
      <c r="G263" s="24" t="inlineStr">
        <is>
          <t>Hà Nội</t>
        </is>
      </c>
      <c r="H263" s="21">
        <f>IF(ISNUMBER($B263),INT($B263)-WEEKDAY($B263,2)+1,"")</f>
        <v/>
      </c>
      <c r="I263" s="24" t="inlineStr">
        <is>
          <t>C-06</t>
        </is>
      </c>
      <c r="J263" s="22">
        <f t="array" ref="J263">IF($D263="","",IF($I263="","(trống REF)",IFERROR(INDEX(MASTER_SOURCE!$B$2:$B$495,MATCH($I263,MASTER_SOURCE!$A$2:$A$495,0)),"(REF không có trong MASTER_SOURCE)")))</f>
        <v/>
      </c>
      <c r="K263" s="22">
        <f t="array" ref="K263">IF($D263="","",IFERROR(INDEX(MASTER_SOURCE!$C$2:$C$495,MATCH($I263,MASTER_SOURCE!$A$2:$A$495,0)),""))</f>
        <v/>
      </c>
      <c r="L263" s="22">
        <f t="array" ref="L263">IF($D263="","",IFERROR(INDEX(MASTER_SOURCE!$D$2:$D$495,MATCH($I263,MASTER_SOURCE!$A$2:$A$495,0)),""))</f>
        <v/>
      </c>
      <c r="M263" s="24" t="inlineStr">
        <is>
          <t>Có</t>
        </is>
      </c>
      <c r="N263" s="24" t="inlineStr">
        <is>
          <t>Có</t>
        </is>
      </c>
      <c r="O263" s="24" t="inlineStr">
        <is>
          <t>Có</t>
        </is>
      </c>
      <c r="P263" s="24" t="inlineStr">
        <is>
          <t>Có</t>
        </is>
      </c>
      <c r="Q263" s="22">
        <f>IF($D263="","",IF(AND(OR(DANH_MUC!$L$5&lt;&gt;"Có",M263="Có"),OR(DANH_MUC!$L$6&lt;&gt;"Có",N263="Có"),OR(DANH_MUC!$L$7&lt;&gt;"Có",O263="Có"),OR(DANH_MUC!$L$8&lt;&gt;"Có",P263="Có")),"Có","Không"))</f>
        <v/>
      </c>
      <c r="R263" s="22">
        <f>IF($D263="","",IF(COUNTIF($D$2:$D263,$D263)&gt;1,"Trùng",""))</f>
        <v/>
      </c>
      <c r="S263" s="22">
        <f>IF($D263="","",IF(AND(LEN($D263)=10,LEFT($D263,1)="0",ISNUMBER(--$D263)),"Có","Không"))</f>
        <v/>
      </c>
      <c r="T263" s="22">
        <f>IF($D263="","",IF(AND($C263&lt;&gt;"",$Q263="Có",$R263="",$S263="Có",AND($L263&lt;&gt;"",OR($L263&lt;&gt;"Chưa xác định",DANH_MUC!$L$9="Có"))),"Có","Không"))</f>
        <v/>
      </c>
      <c r="U263" s="22">
        <f>IF(OR($D263="",$T263="Có"),"",IF($C263="","Thiếu họ tên; ","")&amp;IF($S263&lt;&gt;"Có","SĐT sai định dạng; ","")&amp;IF($R263="Trùng","Trùng SĐT; ","")&amp;IF($Q263&lt;&gt;"Có","Thiếu đồng ý bắt buộc; ","")&amp;IF($L263="","Thiếu/sai Mã REF; ",IF(AND($L263="Chưa xác định",DANH_MUC!$L$9&lt;&gt;"Có"),"Nguồn chưa xác định; ","")))</f>
        <v/>
      </c>
      <c r="V263" s="22">
        <f>IF(OR($D263="",$R263="Trùng"),"",IF(COUNTIF(ORDERS!$C$2:$C$4995,$D263)&gt;0,"Có","Không"))</f>
        <v/>
      </c>
      <c r="W263" s="22">
        <f>IF(OR($D263="",$R263="Trùng"),"",COUNTIFS(ORDERS!$C$2:$C$4995,$D263,ORDERS!$L$2:$L$4995,"Đã chuyển khoản"))</f>
        <v/>
      </c>
      <c r="X263" s="23">
        <f>IF(OR($D263="",$R263="Trùng"),"",SUMIFS(ORDERS!$J$2:$J$4995,ORDERS!$C$2:$C$4995,$D263,ORDERS!$L$2:$L$4995,"Đã chuyển khoản"))</f>
        <v/>
      </c>
      <c r="Y263" s="24" t="n"/>
    </row>
    <row r="264" ht="14.25" customHeight="1" s="40">
      <c r="A264" s="24" t="inlineStr">
        <is>
          <t>39bff896-6e55-4fbb-8a39-2d47c698d292</t>
        </is>
      </c>
      <c r="B264" s="18" t="n">
        <v>46294.67777777778</v>
      </c>
      <c r="C264" s="24" t="inlineStr">
        <is>
          <t>Nguyễn Thị Mai Chi</t>
        </is>
      </c>
      <c r="D264" s="28" t="inlineStr">
        <is>
          <t>0819070000</t>
        </is>
      </c>
      <c r="E264" s="29" t="n">
        <v>46147</v>
      </c>
      <c r="F264" s="24" t="inlineStr">
        <is>
          <t>Đã sinh</t>
        </is>
      </c>
      <c r="G264" s="24" t="inlineStr">
        <is>
          <t>Hồ Chí Minh</t>
        </is>
      </c>
      <c r="H264" s="21">
        <f>IF(ISNUMBER($B264),INT($B264)-WEEKDAY($B264,2)+1,"")</f>
        <v/>
      </c>
      <c r="I264" s="24" t="inlineStr">
        <is>
          <t>C-06</t>
        </is>
      </c>
      <c r="J264" s="22">
        <f t="array" ref="J264">IF($D264="","",IF($I264="","(trống REF)",IFERROR(INDEX(MASTER_SOURCE!$B$2:$B$495,MATCH($I264,MASTER_SOURCE!$A$2:$A$495,0)),"(REF không có trong MASTER_SOURCE)")))</f>
        <v/>
      </c>
      <c r="K264" s="22">
        <f t="array" ref="K264">IF($D264="","",IFERROR(INDEX(MASTER_SOURCE!$C$2:$C$495,MATCH($I264,MASTER_SOURCE!$A$2:$A$495,0)),""))</f>
        <v/>
      </c>
      <c r="L264" s="22">
        <f t="array" ref="L264">IF($D264="","",IFERROR(INDEX(MASTER_SOURCE!$D$2:$D$495,MATCH($I264,MASTER_SOURCE!$A$2:$A$495,0)),""))</f>
        <v/>
      </c>
      <c r="M264" s="24" t="inlineStr">
        <is>
          <t>Có</t>
        </is>
      </c>
      <c r="N264" s="24" t="inlineStr">
        <is>
          <t>Có</t>
        </is>
      </c>
      <c r="O264" s="24" t="inlineStr">
        <is>
          <t>Có</t>
        </is>
      </c>
      <c r="P264" s="24" t="inlineStr">
        <is>
          <t>Có</t>
        </is>
      </c>
      <c r="Q264" s="22">
        <f>IF($D264="","",IF(AND(OR(DANH_MUC!$L$5&lt;&gt;"Có",M264="Có"),OR(DANH_MUC!$L$6&lt;&gt;"Có",N264="Có"),OR(DANH_MUC!$L$7&lt;&gt;"Có",O264="Có"),OR(DANH_MUC!$L$8&lt;&gt;"Có",P264="Có")),"Có","Không"))</f>
        <v/>
      </c>
      <c r="R264" s="22">
        <f>IF($D264="","",IF(COUNTIF($D$2:$D264,$D264)&gt;1,"Trùng",""))</f>
        <v/>
      </c>
      <c r="S264" s="22">
        <f>IF($D264="","",IF(AND(LEN($D264)=10,LEFT($D264,1)="0",ISNUMBER(--$D264)),"Có","Không"))</f>
        <v/>
      </c>
      <c r="T264" s="22">
        <f>IF($D264="","",IF(AND($C264&lt;&gt;"",$Q264="Có",$R264="",$S264="Có",AND($L264&lt;&gt;"",OR($L264&lt;&gt;"Chưa xác định",DANH_MUC!$L$9="Có"))),"Có","Không"))</f>
        <v/>
      </c>
      <c r="U264" s="22">
        <f>IF(OR($D264="",$T264="Có"),"",IF($C264="","Thiếu họ tên; ","")&amp;IF($S264&lt;&gt;"Có","SĐT sai định dạng; ","")&amp;IF($R264="Trùng","Trùng SĐT; ","")&amp;IF($Q264&lt;&gt;"Có","Thiếu đồng ý bắt buộc; ","")&amp;IF($L264="","Thiếu/sai Mã REF; ",IF(AND($L264="Chưa xác định",DANH_MUC!$L$9&lt;&gt;"Có"),"Nguồn chưa xác định; ","")))</f>
        <v/>
      </c>
      <c r="V264" s="22">
        <f>IF(OR($D264="",$R264="Trùng"),"",IF(COUNTIF(ORDERS!$C$2:$C$4995,$D264)&gt;0,"Có","Không"))</f>
        <v/>
      </c>
      <c r="W264" s="22">
        <f>IF(OR($D264="",$R264="Trùng"),"",COUNTIFS(ORDERS!$C$2:$C$4995,$D264,ORDERS!$L$2:$L$4995,"Đã chuyển khoản"))</f>
        <v/>
      </c>
      <c r="X264" s="23">
        <f>IF(OR($D264="",$R264="Trùng"),"",SUMIFS(ORDERS!$J$2:$J$4995,ORDERS!$C$2:$C$4995,$D264,ORDERS!$L$2:$L$4995,"Đã chuyển khoản"))</f>
        <v/>
      </c>
      <c r="Y264" s="24" t="n"/>
    </row>
    <row r="265" ht="14.25" customHeight="1" s="40">
      <c r="A265" s="24" t="inlineStr">
        <is>
          <t>4f91d045-386c-448b-82cd-a721e6a91ec4</t>
        </is>
      </c>
      <c r="B265" s="18" t="n">
        <v>46294.68125</v>
      </c>
      <c r="C265" s="24" t="inlineStr">
        <is>
          <t>Phạm Thị Hồng Nhung</t>
        </is>
      </c>
      <c r="D265" s="28" t="inlineStr">
        <is>
          <t>0983329616</t>
        </is>
      </c>
      <c r="E265" s="29" t="n">
        <v>46265</v>
      </c>
      <c r="F265" s="24" t="inlineStr">
        <is>
          <t>Đã sinh</t>
        </is>
      </c>
      <c r="G265" s="24" t="inlineStr">
        <is>
          <t>Hà Nội</t>
        </is>
      </c>
      <c r="H265" s="21">
        <f>IF(ISNUMBER($B265),INT($B265)-WEEKDAY($B265,2)+1,"")</f>
        <v/>
      </c>
      <c r="I265" s="24" t="inlineStr">
        <is>
          <t>Z-SAMMY</t>
        </is>
      </c>
      <c r="J265" s="22">
        <f t="array" ref="J265">IF($D265="","",IF($I265="","(trống REF)",IFERROR(INDEX(MASTER_SOURCE!$B$2:$B$495,MATCH($I265,MASTER_SOURCE!$A$2:$A$495,0)),"(REF không có trong MASTER_SOURCE)")))</f>
        <v/>
      </c>
      <c r="K265" s="22">
        <f t="array" ref="K265">IF($D265="","",IFERROR(INDEX(MASTER_SOURCE!$C$2:$C$495,MATCH($I265,MASTER_SOURCE!$A$2:$A$495,0)),""))</f>
        <v/>
      </c>
      <c r="L265" s="22">
        <f t="array" ref="L265">IF($D265="","",IFERROR(INDEX(MASTER_SOURCE!$D$2:$D$495,MATCH($I265,MASTER_SOURCE!$A$2:$A$495,0)),""))</f>
        <v/>
      </c>
      <c r="M265" s="24" t="inlineStr">
        <is>
          <t>Có</t>
        </is>
      </c>
      <c r="N265" s="24" t="inlineStr">
        <is>
          <t>Có</t>
        </is>
      </c>
      <c r="O265" s="24" t="inlineStr">
        <is>
          <t>Có</t>
        </is>
      </c>
      <c r="P265" s="24" t="inlineStr">
        <is>
          <t>Có</t>
        </is>
      </c>
      <c r="Q265" s="22">
        <f>IF($D265="","",IF(AND(OR(DANH_MUC!$L$5&lt;&gt;"Có",M265="Có"),OR(DANH_MUC!$L$6&lt;&gt;"Có",N265="Có"),OR(DANH_MUC!$L$7&lt;&gt;"Có",O265="Có"),OR(DANH_MUC!$L$8&lt;&gt;"Có",P265="Có")),"Có","Không"))</f>
        <v/>
      </c>
      <c r="R265" s="22">
        <f>IF($D265="","",IF(COUNTIF($D$2:$D265,$D265)&gt;1,"Trùng",""))</f>
        <v/>
      </c>
      <c r="S265" s="22">
        <f>IF($D265="","",IF(AND(LEN($D265)=10,LEFT($D265,1)="0",ISNUMBER(--$D265)),"Có","Không"))</f>
        <v/>
      </c>
      <c r="T265" s="22">
        <f>IF($D265="","",IF(AND($C265&lt;&gt;"",$Q265="Có",$R265="",$S265="Có",AND($L265&lt;&gt;"",OR($L265&lt;&gt;"Chưa xác định",DANH_MUC!$L$9="Có"))),"Có","Không"))</f>
        <v/>
      </c>
      <c r="U265" s="22">
        <f>IF(OR($D265="",$T265="Có"),"",IF($C265="","Thiếu họ tên; ","")&amp;IF($S265&lt;&gt;"Có","SĐT sai định dạng; ","")&amp;IF($R265="Trùng","Trùng SĐT; ","")&amp;IF($Q265&lt;&gt;"Có","Thiếu đồng ý bắt buộc; ","")&amp;IF($L265="","Thiếu/sai Mã REF; ",IF(AND($L265="Chưa xác định",DANH_MUC!$L$9&lt;&gt;"Có"),"Nguồn chưa xác định; ","")))</f>
        <v/>
      </c>
      <c r="V265" s="22">
        <f>IF(OR($D265="",$R265="Trùng"),"",IF(COUNTIF(ORDERS!$C$2:$C$4995,$D265)&gt;0,"Có","Không"))</f>
        <v/>
      </c>
      <c r="W265" s="22">
        <f>IF(OR($D265="",$R265="Trùng"),"",COUNTIFS(ORDERS!$C$2:$C$4995,$D265,ORDERS!$L$2:$L$4995,"Đã chuyển khoản"))</f>
        <v/>
      </c>
      <c r="X265" s="23">
        <f>IF(OR($D265="",$R265="Trùng"),"",SUMIFS(ORDERS!$J$2:$J$4995,ORDERS!$C$2:$C$4995,$D265,ORDERS!$L$2:$L$4995,"Đã chuyển khoản"))</f>
        <v/>
      </c>
      <c r="Y265" s="24" t="n"/>
    </row>
    <row r="266" ht="14.25" customHeight="1" s="40">
      <c r="A266" s="24" t="inlineStr">
        <is>
          <t>349e7c8b-1598-4893-b6e8-0a6fa37b5f2c</t>
        </is>
      </c>
      <c r="B266" s="18" t="n">
        <v>46294.68125</v>
      </c>
      <c r="C266" s="24" t="inlineStr">
        <is>
          <t>Nguyễn Hà My</t>
        </is>
      </c>
      <c r="D266" s="28" t="inlineStr">
        <is>
          <t>0865175068</t>
        </is>
      </c>
      <c r="E266" s="29" t="n">
        <v>46059</v>
      </c>
      <c r="F266" s="24" t="inlineStr">
        <is>
          <t>Đã sinh</t>
        </is>
      </c>
      <c r="G266" s="24" t="inlineStr">
        <is>
          <t>Hà Nội</t>
        </is>
      </c>
      <c r="H266" s="21">
        <f>IF(ISNUMBER($B266),INT($B266)-WEEKDAY($B266,2)+1,"")</f>
        <v/>
      </c>
      <c r="I266" s="24" t="inlineStr">
        <is>
          <t>C-06</t>
        </is>
      </c>
      <c r="J266" s="22">
        <f t="array" ref="J266">IF($D266="","",IF($I266="","(trống REF)",IFERROR(INDEX(MASTER_SOURCE!$B$2:$B$495,MATCH($I266,MASTER_SOURCE!$A$2:$A$495,0)),"(REF không có trong MASTER_SOURCE)")))</f>
        <v/>
      </c>
      <c r="K266" s="22">
        <f t="array" ref="K266">IF($D266="","",IFERROR(INDEX(MASTER_SOURCE!$C$2:$C$495,MATCH($I266,MASTER_SOURCE!$A$2:$A$495,0)),""))</f>
        <v/>
      </c>
      <c r="L266" s="22">
        <f t="array" ref="L266">IF($D266="","",IFERROR(INDEX(MASTER_SOURCE!$D$2:$D$495,MATCH($I266,MASTER_SOURCE!$A$2:$A$495,0)),""))</f>
        <v/>
      </c>
      <c r="M266" s="24" t="inlineStr">
        <is>
          <t>Có</t>
        </is>
      </c>
      <c r="N266" s="24" t="inlineStr">
        <is>
          <t>Có</t>
        </is>
      </c>
      <c r="O266" s="24" t="inlineStr">
        <is>
          <t>Có</t>
        </is>
      </c>
      <c r="P266" s="24" t="inlineStr">
        <is>
          <t>Có</t>
        </is>
      </c>
      <c r="Q266" s="22">
        <f>IF($D266="","",IF(AND(OR(DANH_MUC!$L$5&lt;&gt;"Có",M266="Có"),OR(DANH_MUC!$L$6&lt;&gt;"Có",N266="Có"),OR(DANH_MUC!$L$7&lt;&gt;"Có",O266="Có"),OR(DANH_MUC!$L$8&lt;&gt;"Có",P266="Có")),"Có","Không"))</f>
        <v/>
      </c>
      <c r="R266" s="22">
        <f>IF($D266="","",IF(COUNTIF($D$2:$D266,$D266)&gt;1,"Trùng",""))</f>
        <v/>
      </c>
      <c r="S266" s="22">
        <f>IF($D266="","",IF(AND(LEN($D266)=10,LEFT($D266,1)="0",ISNUMBER(--$D266)),"Có","Không"))</f>
        <v/>
      </c>
      <c r="T266" s="22">
        <f>IF($D266="","",IF(AND($C266&lt;&gt;"",$Q266="Có",$R266="",$S266="Có",AND($L266&lt;&gt;"",OR($L266&lt;&gt;"Chưa xác định",DANH_MUC!$L$9="Có"))),"Có","Không"))</f>
        <v/>
      </c>
      <c r="U266" s="22">
        <f>IF(OR($D266="",$T266="Có"),"",IF($C266="","Thiếu họ tên; ","")&amp;IF($S266&lt;&gt;"Có","SĐT sai định dạng; ","")&amp;IF($R266="Trùng","Trùng SĐT; ","")&amp;IF($Q266&lt;&gt;"Có","Thiếu đồng ý bắt buộc; ","")&amp;IF($L266="","Thiếu/sai Mã REF; ",IF(AND($L266="Chưa xác định",DANH_MUC!$L$9&lt;&gt;"Có"),"Nguồn chưa xác định; ","")))</f>
        <v/>
      </c>
      <c r="V266" s="22">
        <f>IF(OR($D266="",$R266="Trùng"),"",IF(COUNTIF(ORDERS!$C$2:$C$4995,$D266)&gt;0,"Có","Không"))</f>
        <v/>
      </c>
      <c r="W266" s="22">
        <f>IF(OR($D266="",$R266="Trùng"),"",COUNTIFS(ORDERS!$C$2:$C$4995,$D266,ORDERS!$L$2:$L$4995,"Đã chuyển khoản"))</f>
        <v/>
      </c>
      <c r="X266" s="23">
        <f>IF(OR($D266="",$R266="Trùng"),"",SUMIFS(ORDERS!$J$2:$J$4995,ORDERS!$C$2:$C$4995,$D266,ORDERS!$L$2:$L$4995,"Đã chuyển khoản"))</f>
        <v/>
      </c>
      <c r="Y266" s="24" t="n"/>
    </row>
    <row r="267" ht="14.25" customHeight="1" s="40">
      <c r="A267" s="24" t="inlineStr">
        <is>
          <t>541209f1-572a-4021-a27e-6d819647847b</t>
        </is>
      </c>
      <c r="B267" s="18" t="n">
        <v>46294.6875</v>
      </c>
      <c r="C267" s="24" t="inlineStr">
        <is>
          <t>Nguyễn Thị Thoa</t>
        </is>
      </c>
      <c r="D267" s="28" t="inlineStr">
        <is>
          <t>0987828493</t>
        </is>
      </c>
      <c r="E267" s="29" t="n">
        <v>46270</v>
      </c>
      <c r="F267" s="24" t="inlineStr">
        <is>
          <t>Đã sinh</t>
        </is>
      </c>
      <c r="G267" s="24" t="inlineStr">
        <is>
          <t>Hà Nội</t>
        </is>
      </c>
      <c r="H267" s="21">
        <f>IF(ISNUMBER($B267),INT($B267)-WEEKDAY($B267,2)+1,"")</f>
        <v/>
      </c>
      <c r="I267" s="24" t="inlineStr">
        <is>
          <t>Z-SAMMY</t>
        </is>
      </c>
      <c r="J267" s="22">
        <f t="array" ref="J267">IF($D267="","",IF($I267="","(trống REF)",IFERROR(INDEX(MASTER_SOURCE!$B$2:$B$495,MATCH($I267,MASTER_SOURCE!$A$2:$A$495,0)),"(REF không có trong MASTER_SOURCE)")))</f>
        <v/>
      </c>
      <c r="K267" s="22">
        <f t="array" ref="K267">IF($D267="","",IFERROR(INDEX(MASTER_SOURCE!$C$2:$C$495,MATCH($I267,MASTER_SOURCE!$A$2:$A$495,0)),""))</f>
        <v/>
      </c>
      <c r="L267" s="22">
        <f t="array" ref="L267">IF($D267="","",IFERROR(INDEX(MASTER_SOURCE!$D$2:$D$495,MATCH($I267,MASTER_SOURCE!$A$2:$A$495,0)),""))</f>
        <v/>
      </c>
      <c r="M267" s="24" t="inlineStr">
        <is>
          <t>Có</t>
        </is>
      </c>
      <c r="N267" s="24" t="inlineStr">
        <is>
          <t>Có</t>
        </is>
      </c>
      <c r="O267" s="24" t="inlineStr">
        <is>
          <t>Có</t>
        </is>
      </c>
      <c r="P267" s="24" t="inlineStr">
        <is>
          <t>Có</t>
        </is>
      </c>
      <c r="Q267" s="22">
        <f>IF($D267="","",IF(AND(OR(DANH_MUC!$L$5&lt;&gt;"Có",M267="Có"),OR(DANH_MUC!$L$6&lt;&gt;"Có",N267="Có"),OR(DANH_MUC!$L$7&lt;&gt;"Có",O267="Có"),OR(DANH_MUC!$L$8&lt;&gt;"Có",P267="Có")),"Có","Không"))</f>
        <v/>
      </c>
      <c r="R267" s="22">
        <f>IF($D267="","",IF(COUNTIF($D$2:$D267,$D267)&gt;1,"Trùng",""))</f>
        <v/>
      </c>
      <c r="S267" s="22">
        <f>IF($D267="","",IF(AND(LEN($D267)=10,LEFT($D267,1)="0",ISNUMBER(--$D267)),"Có","Không"))</f>
        <v/>
      </c>
      <c r="T267" s="22">
        <f>IF($D267="","",IF(AND($C267&lt;&gt;"",$Q267="Có",$R267="",$S267="Có",AND($L267&lt;&gt;"",OR($L267&lt;&gt;"Chưa xác định",DANH_MUC!$L$9="Có"))),"Có","Không"))</f>
        <v/>
      </c>
      <c r="U267" s="22">
        <f>IF(OR($D267="",$T267="Có"),"",IF($C267="","Thiếu họ tên; ","")&amp;IF($S267&lt;&gt;"Có","SĐT sai định dạng; ","")&amp;IF($R267="Trùng","Trùng SĐT; ","")&amp;IF($Q267&lt;&gt;"Có","Thiếu đồng ý bắt buộc; ","")&amp;IF($L267="","Thiếu/sai Mã REF; ",IF(AND($L267="Chưa xác định",DANH_MUC!$L$9&lt;&gt;"Có"),"Nguồn chưa xác định; ","")))</f>
        <v/>
      </c>
      <c r="V267" s="22">
        <f>IF(OR($D267="",$R267="Trùng"),"",IF(COUNTIF(ORDERS!$C$2:$C$4995,$D267)&gt;0,"Có","Không"))</f>
        <v/>
      </c>
      <c r="W267" s="22">
        <f>IF(OR($D267="",$R267="Trùng"),"",COUNTIFS(ORDERS!$C$2:$C$4995,$D267,ORDERS!$L$2:$L$4995,"Đã chuyển khoản"))</f>
        <v/>
      </c>
      <c r="X267" s="23">
        <f>IF(OR($D267="",$R267="Trùng"),"",SUMIFS(ORDERS!$J$2:$J$4995,ORDERS!$C$2:$C$4995,$D267,ORDERS!$L$2:$L$4995,"Đã chuyển khoản"))</f>
        <v/>
      </c>
      <c r="Y267" s="24" t="n"/>
    </row>
    <row r="268" ht="14.25" customHeight="1" s="40">
      <c r="A268" s="24" t="inlineStr">
        <is>
          <t>72011dae-c686-45d8-a807-8abb48f72fd0</t>
        </is>
      </c>
      <c r="B268" s="18" t="n">
        <v>46294.68958333333</v>
      </c>
      <c r="C268" s="24" t="inlineStr">
        <is>
          <t>Trần Lê Tuyết Nga</t>
        </is>
      </c>
      <c r="D268" s="28" t="inlineStr">
        <is>
          <t>0708833599</t>
        </is>
      </c>
      <c r="E268" s="29" t="n">
        <v>46107</v>
      </c>
      <c r="F268" s="24" t="inlineStr">
        <is>
          <t>Đã sinh</t>
        </is>
      </c>
      <c r="G268" s="24" t="inlineStr">
        <is>
          <t>Hồ Chí Minh</t>
        </is>
      </c>
      <c r="H268" s="21">
        <f>IF(ISNUMBER($B268),INT($B268)-WEEKDAY($B268,2)+1,"")</f>
        <v/>
      </c>
      <c r="I268" s="24" t="inlineStr">
        <is>
          <t>C-05</t>
        </is>
      </c>
      <c r="J268" s="22">
        <f t="array" ref="J268">IF($D268="","",IF($I268="","(trống REF)",IFERROR(INDEX(MASTER_SOURCE!$B$2:$B$495,MATCH($I268,MASTER_SOURCE!$A$2:$A$495,0)),"(REF không có trong MASTER_SOURCE)")))</f>
        <v/>
      </c>
      <c r="K268" s="22">
        <f t="array" ref="K268">IF($D268="","",IFERROR(INDEX(MASTER_SOURCE!$C$2:$C$495,MATCH($I268,MASTER_SOURCE!$A$2:$A$495,0)),""))</f>
        <v/>
      </c>
      <c r="L268" s="22">
        <f t="array" ref="L268">IF($D268="","",IFERROR(INDEX(MASTER_SOURCE!$D$2:$D$495,MATCH($I268,MASTER_SOURCE!$A$2:$A$495,0)),""))</f>
        <v/>
      </c>
      <c r="M268" s="24" t="inlineStr">
        <is>
          <t>Có</t>
        </is>
      </c>
      <c r="N268" s="24" t="inlineStr">
        <is>
          <t>Có</t>
        </is>
      </c>
      <c r="O268" s="24" t="inlineStr">
        <is>
          <t>Có</t>
        </is>
      </c>
      <c r="P268" s="24" t="inlineStr">
        <is>
          <t>Có</t>
        </is>
      </c>
      <c r="Q268" s="22">
        <f>IF($D268="","",IF(AND(OR(DANH_MUC!$L$5&lt;&gt;"Có",M268="Có"),OR(DANH_MUC!$L$6&lt;&gt;"Có",N268="Có"),OR(DANH_MUC!$L$7&lt;&gt;"Có",O268="Có"),OR(DANH_MUC!$L$8&lt;&gt;"Có",P268="Có")),"Có","Không"))</f>
        <v/>
      </c>
      <c r="R268" s="22">
        <f>IF($D268="","",IF(COUNTIF($D$2:$D268,$D268)&gt;1,"Trùng",""))</f>
        <v/>
      </c>
      <c r="S268" s="22">
        <f>IF($D268="","",IF(AND(LEN($D268)=10,LEFT($D268,1)="0",ISNUMBER(--$D268)),"Có","Không"))</f>
        <v/>
      </c>
      <c r="T268" s="22">
        <f>IF($D268="","",IF(AND($C268&lt;&gt;"",$Q268="Có",$R268="",$S268="Có",AND($L268&lt;&gt;"",OR($L268&lt;&gt;"Chưa xác định",DANH_MUC!$L$9="Có"))),"Có","Không"))</f>
        <v/>
      </c>
      <c r="U268" s="22">
        <f>IF(OR($D268="",$T268="Có"),"",IF($C268="","Thiếu họ tên; ","")&amp;IF($S268&lt;&gt;"Có","SĐT sai định dạng; ","")&amp;IF($R268="Trùng","Trùng SĐT; ","")&amp;IF($Q268&lt;&gt;"Có","Thiếu đồng ý bắt buộc; ","")&amp;IF($L268="","Thiếu/sai Mã REF; ",IF(AND($L268="Chưa xác định",DANH_MUC!$L$9&lt;&gt;"Có"),"Nguồn chưa xác định; ","")))</f>
        <v/>
      </c>
      <c r="V268" s="22">
        <f>IF(OR($D268="",$R268="Trùng"),"",IF(COUNTIF(ORDERS!$C$2:$C$4995,$D268)&gt;0,"Có","Không"))</f>
        <v/>
      </c>
      <c r="W268" s="22">
        <f>IF(OR($D268="",$R268="Trùng"),"",COUNTIFS(ORDERS!$C$2:$C$4995,$D268,ORDERS!$L$2:$L$4995,"Đã chuyển khoản"))</f>
        <v/>
      </c>
      <c r="X268" s="23">
        <f>IF(OR($D268="",$R268="Trùng"),"",SUMIFS(ORDERS!$J$2:$J$4995,ORDERS!$C$2:$C$4995,$D268,ORDERS!$L$2:$L$4995,"Đã chuyển khoản"))</f>
        <v/>
      </c>
      <c r="Y268" s="24" t="n"/>
    </row>
    <row r="269" ht="14.25" customHeight="1" s="40">
      <c r="A269" s="24" t="inlineStr">
        <is>
          <t>b0d210b6-5495-4ce6-a2ab-c0434e6962ac</t>
        </is>
      </c>
      <c r="B269" s="18" t="n">
        <v>46294.70347222222</v>
      </c>
      <c r="C269" s="24" t="inlineStr">
        <is>
          <t>Trần Thị Thùy Trang</t>
        </is>
      </c>
      <c r="D269" s="28" t="inlineStr">
        <is>
          <t>0966084585</t>
        </is>
      </c>
      <c r="E269" s="29" t="n">
        <v>45960</v>
      </c>
      <c r="F269" s="24" t="inlineStr">
        <is>
          <t>Đã sinh</t>
        </is>
      </c>
      <c r="G269" s="24" t="inlineStr">
        <is>
          <t>Lâm Đồng</t>
        </is>
      </c>
      <c r="H269" s="21">
        <f>IF(ISNUMBER($B269),INT($B269)-WEEKDAY($B269,2)+1,"")</f>
        <v/>
      </c>
      <c r="I269" s="24" t="inlineStr">
        <is>
          <t>C-06</t>
        </is>
      </c>
      <c r="J269" s="22">
        <f t="array" ref="J269">IF($D269="","",IF($I269="","(trống REF)",IFERROR(INDEX(MASTER_SOURCE!$B$2:$B$495,MATCH($I269,MASTER_SOURCE!$A$2:$A$495,0)),"(REF không có trong MASTER_SOURCE)")))</f>
        <v/>
      </c>
      <c r="K269" s="22">
        <f t="array" ref="K269">IF($D269="","",IFERROR(INDEX(MASTER_SOURCE!$C$2:$C$495,MATCH($I269,MASTER_SOURCE!$A$2:$A$495,0)),""))</f>
        <v/>
      </c>
      <c r="L269" s="22">
        <f t="array" ref="L269">IF($D269="","",IFERROR(INDEX(MASTER_SOURCE!$D$2:$D$495,MATCH($I269,MASTER_SOURCE!$A$2:$A$495,0)),""))</f>
        <v/>
      </c>
      <c r="M269" s="24" t="inlineStr">
        <is>
          <t>Có</t>
        </is>
      </c>
      <c r="N269" s="24" t="inlineStr">
        <is>
          <t>Có</t>
        </is>
      </c>
      <c r="O269" s="24" t="inlineStr">
        <is>
          <t>Có</t>
        </is>
      </c>
      <c r="P269" s="24" t="inlineStr">
        <is>
          <t>Có</t>
        </is>
      </c>
      <c r="Q269" s="22">
        <f>IF($D269="","",IF(AND(OR(DANH_MUC!$L$5&lt;&gt;"Có",M269="Có"),OR(DANH_MUC!$L$6&lt;&gt;"Có",N269="Có"),OR(DANH_MUC!$L$7&lt;&gt;"Có",O269="Có"),OR(DANH_MUC!$L$8&lt;&gt;"Có",P269="Có")),"Có","Không"))</f>
        <v/>
      </c>
      <c r="R269" s="22">
        <f>IF($D269="","",IF(COUNTIF($D$2:$D269,$D269)&gt;1,"Trùng",""))</f>
        <v/>
      </c>
      <c r="S269" s="22">
        <f>IF($D269="","",IF(AND(LEN($D269)=10,LEFT($D269,1)="0",ISNUMBER(--$D269)),"Có","Không"))</f>
        <v/>
      </c>
      <c r="T269" s="22">
        <f>IF($D269="","",IF(AND($C269&lt;&gt;"",$Q269="Có",$R269="",$S269="Có",AND($L269&lt;&gt;"",OR($L269&lt;&gt;"Chưa xác định",DANH_MUC!$L$9="Có"))),"Có","Không"))</f>
        <v/>
      </c>
      <c r="U269" s="22">
        <f>IF(OR($D269="",$T269="Có"),"",IF($C269="","Thiếu họ tên; ","")&amp;IF($S269&lt;&gt;"Có","SĐT sai định dạng; ","")&amp;IF($R269="Trùng","Trùng SĐT; ","")&amp;IF($Q269&lt;&gt;"Có","Thiếu đồng ý bắt buộc; ","")&amp;IF($L269="","Thiếu/sai Mã REF; ",IF(AND($L269="Chưa xác định",DANH_MUC!$L$9&lt;&gt;"Có"),"Nguồn chưa xác định; ","")))</f>
        <v/>
      </c>
      <c r="V269" s="22">
        <f>IF(OR($D269="",$R269="Trùng"),"",IF(COUNTIF(ORDERS!$C$2:$C$4995,$D269)&gt;0,"Có","Không"))</f>
        <v/>
      </c>
      <c r="W269" s="22">
        <f>IF(OR($D269="",$R269="Trùng"),"",COUNTIFS(ORDERS!$C$2:$C$4995,$D269,ORDERS!$L$2:$L$4995,"Đã chuyển khoản"))</f>
        <v/>
      </c>
      <c r="X269" s="23">
        <f>IF(OR($D269="",$R269="Trùng"),"",SUMIFS(ORDERS!$J$2:$J$4995,ORDERS!$C$2:$C$4995,$D269,ORDERS!$L$2:$L$4995,"Đã chuyển khoản"))</f>
        <v/>
      </c>
      <c r="Y269" s="24" t="n"/>
    </row>
    <row r="270" ht="14.25" customHeight="1" s="40">
      <c r="A270" s="24" t="inlineStr">
        <is>
          <t>e16cc57f-29e1-49ed-8d8c-2d925f6b71b8</t>
        </is>
      </c>
      <c r="B270" s="18" t="n">
        <v>46294.70555555556</v>
      </c>
      <c r="C270" s="24" t="inlineStr">
        <is>
          <t>Nguyễn Thị Thu</t>
        </is>
      </c>
      <c r="D270" s="28" t="inlineStr">
        <is>
          <t>0898857241</t>
        </is>
      </c>
      <c r="E270" s="29" t="n">
        <v>46095</v>
      </c>
      <c r="F270" s="24" t="inlineStr">
        <is>
          <t>Đã sinh</t>
        </is>
      </c>
      <c r="G270" s="24" t="inlineStr">
        <is>
          <t>Hồ Chí Minh</t>
        </is>
      </c>
      <c r="H270" s="21">
        <f>IF(ISNUMBER($B270),INT($B270)-WEEKDAY($B270,2)+1,"")</f>
        <v/>
      </c>
      <c r="I270" s="24" t="inlineStr">
        <is>
          <t>C-05</t>
        </is>
      </c>
      <c r="J270" s="22">
        <f t="array" ref="J270">IF($D270="","",IF($I270="","(trống REF)",IFERROR(INDEX(MASTER_SOURCE!$B$2:$B$495,MATCH($I270,MASTER_SOURCE!$A$2:$A$495,0)),"(REF không có trong MASTER_SOURCE)")))</f>
        <v/>
      </c>
      <c r="K270" s="22">
        <f t="array" ref="K270">IF($D270="","",IFERROR(INDEX(MASTER_SOURCE!$C$2:$C$495,MATCH($I270,MASTER_SOURCE!$A$2:$A$495,0)),""))</f>
        <v/>
      </c>
      <c r="L270" s="22">
        <f t="array" ref="L270">IF($D270="","",IFERROR(INDEX(MASTER_SOURCE!$D$2:$D$495,MATCH($I270,MASTER_SOURCE!$A$2:$A$495,0)),""))</f>
        <v/>
      </c>
      <c r="M270" s="24" t="inlineStr">
        <is>
          <t>Có</t>
        </is>
      </c>
      <c r="N270" s="24" t="inlineStr">
        <is>
          <t>Có</t>
        </is>
      </c>
      <c r="O270" s="24" t="inlineStr">
        <is>
          <t>Có</t>
        </is>
      </c>
      <c r="P270" s="24" t="inlineStr">
        <is>
          <t>Có</t>
        </is>
      </c>
      <c r="Q270" s="22">
        <f>IF($D270="","",IF(AND(OR(DANH_MUC!$L$5&lt;&gt;"Có",M270="Có"),OR(DANH_MUC!$L$6&lt;&gt;"Có",N270="Có"),OR(DANH_MUC!$L$7&lt;&gt;"Có",O270="Có"),OR(DANH_MUC!$L$8&lt;&gt;"Có",P270="Có")),"Có","Không"))</f>
        <v/>
      </c>
      <c r="R270" s="22">
        <f>IF($D270="","",IF(COUNTIF($D$2:$D270,$D270)&gt;1,"Trùng",""))</f>
        <v/>
      </c>
      <c r="S270" s="22">
        <f>IF($D270="","",IF(AND(LEN($D270)=10,LEFT($D270,1)="0",ISNUMBER(--$D270)),"Có","Không"))</f>
        <v/>
      </c>
      <c r="T270" s="22">
        <f>IF($D270="","",IF(AND($C270&lt;&gt;"",$Q270="Có",$R270="",$S270="Có",AND($L270&lt;&gt;"",OR($L270&lt;&gt;"Chưa xác định",DANH_MUC!$L$9="Có"))),"Có","Không"))</f>
        <v/>
      </c>
      <c r="U270" s="22">
        <f>IF(OR($D270="",$T270="Có"),"",IF($C270="","Thiếu họ tên; ","")&amp;IF($S270&lt;&gt;"Có","SĐT sai định dạng; ","")&amp;IF($R270="Trùng","Trùng SĐT; ","")&amp;IF($Q270&lt;&gt;"Có","Thiếu đồng ý bắt buộc; ","")&amp;IF($L270="","Thiếu/sai Mã REF; ",IF(AND($L270="Chưa xác định",DANH_MUC!$L$9&lt;&gt;"Có"),"Nguồn chưa xác định; ","")))</f>
        <v/>
      </c>
      <c r="V270" s="22">
        <f>IF(OR($D270="",$R270="Trùng"),"",IF(COUNTIF(ORDERS!$C$2:$C$4995,$D270)&gt;0,"Có","Không"))</f>
        <v/>
      </c>
      <c r="W270" s="22">
        <f>IF(OR($D270="",$R270="Trùng"),"",COUNTIFS(ORDERS!$C$2:$C$4995,$D270,ORDERS!$L$2:$L$4995,"Đã chuyển khoản"))</f>
        <v/>
      </c>
      <c r="X270" s="23">
        <f>IF(OR($D270="",$R270="Trùng"),"",SUMIFS(ORDERS!$J$2:$J$4995,ORDERS!$C$2:$C$4995,$D270,ORDERS!$L$2:$L$4995,"Đã chuyển khoản"))</f>
        <v/>
      </c>
      <c r="Y270" s="24" t="n"/>
    </row>
    <row r="271" ht="14.25" customHeight="1" s="40">
      <c r="A271" s="24" t="inlineStr">
        <is>
          <t>6516ecbf-9078-4683-b897-3607e3510153</t>
        </is>
      </c>
      <c r="B271" s="18" t="n">
        <v>46294.71736111111</v>
      </c>
      <c r="C271" s="24" t="inlineStr">
        <is>
          <t>Lê thị trà</t>
        </is>
      </c>
      <c r="D271" s="28" t="inlineStr">
        <is>
          <t>0915073518</t>
        </is>
      </c>
      <c r="E271" s="29" t="n">
        <v>46271</v>
      </c>
      <c r="F271" s="24" t="inlineStr">
        <is>
          <t>Đã sinh</t>
        </is>
      </c>
      <c r="G271" s="24" t="inlineStr">
        <is>
          <t>Hà Nội</t>
        </is>
      </c>
      <c r="H271" s="21">
        <f>IF(ISNUMBER($B271),INT($B271)-WEEKDAY($B271,2)+1,"")</f>
        <v/>
      </c>
      <c r="I271" s="24" t="inlineStr">
        <is>
          <t>Z-SAMMY</t>
        </is>
      </c>
      <c r="J271" s="22">
        <f t="array" ref="J271">IF($D271="","",IF($I271="","(trống REF)",IFERROR(INDEX(MASTER_SOURCE!$B$2:$B$495,MATCH($I271,MASTER_SOURCE!$A$2:$A$495,0)),"(REF không có trong MASTER_SOURCE)")))</f>
        <v/>
      </c>
      <c r="K271" s="22">
        <f t="array" ref="K271">IF($D271="","",IFERROR(INDEX(MASTER_SOURCE!$C$2:$C$495,MATCH($I271,MASTER_SOURCE!$A$2:$A$495,0)),""))</f>
        <v/>
      </c>
      <c r="L271" s="22">
        <f t="array" ref="L271">IF($D271="","",IFERROR(INDEX(MASTER_SOURCE!$D$2:$D$495,MATCH($I271,MASTER_SOURCE!$A$2:$A$495,0)),""))</f>
        <v/>
      </c>
      <c r="M271" s="24" t="inlineStr">
        <is>
          <t>Có</t>
        </is>
      </c>
      <c r="N271" s="24" t="inlineStr">
        <is>
          <t>Có</t>
        </is>
      </c>
      <c r="O271" s="24" t="inlineStr">
        <is>
          <t>Có</t>
        </is>
      </c>
      <c r="P271" s="24" t="inlineStr">
        <is>
          <t>Có</t>
        </is>
      </c>
      <c r="Q271" s="22">
        <f>IF($D271="","",IF(AND(OR(DANH_MUC!$L$5&lt;&gt;"Có",M271="Có"),OR(DANH_MUC!$L$6&lt;&gt;"Có",N271="Có"),OR(DANH_MUC!$L$7&lt;&gt;"Có",O271="Có"),OR(DANH_MUC!$L$8&lt;&gt;"Có",P271="Có")),"Có","Không"))</f>
        <v/>
      </c>
      <c r="R271" s="22">
        <f>IF($D271="","",IF(COUNTIF($D$2:$D271,$D271)&gt;1,"Trùng",""))</f>
        <v/>
      </c>
      <c r="S271" s="22">
        <f>IF($D271="","",IF(AND(LEN($D271)=10,LEFT($D271,1)="0",ISNUMBER(--$D271)),"Có","Không"))</f>
        <v/>
      </c>
      <c r="T271" s="22">
        <f>IF($D271="","",IF(AND($C271&lt;&gt;"",$Q271="Có",$R271="",$S271="Có",AND($L271&lt;&gt;"",OR($L271&lt;&gt;"Chưa xác định",DANH_MUC!$L$9="Có"))),"Có","Không"))</f>
        <v/>
      </c>
      <c r="U271" s="22">
        <f>IF(OR($D271="",$T271="Có"),"",IF($C271="","Thiếu họ tên; ","")&amp;IF($S271&lt;&gt;"Có","SĐT sai định dạng; ","")&amp;IF($R271="Trùng","Trùng SĐT; ","")&amp;IF($Q271&lt;&gt;"Có","Thiếu đồng ý bắt buộc; ","")&amp;IF($L271="","Thiếu/sai Mã REF; ",IF(AND($L271="Chưa xác định",DANH_MUC!$L$9&lt;&gt;"Có"),"Nguồn chưa xác định; ","")))</f>
        <v/>
      </c>
      <c r="V271" s="22">
        <f>IF(OR($D271="",$R271="Trùng"),"",IF(COUNTIF(ORDERS!$C$2:$C$4995,$D271)&gt;0,"Có","Không"))</f>
        <v/>
      </c>
      <c r="W271" s="22">
        <f>IF(OR($D271="",$R271="Trùng"),"",COUNTIFS(ORDERS!$C$2:$C$4995,$D271,ORDERS!$L$2:$L$4995,"Đã chuyển khoản"))</f>
        <v/>
      </c>
      <c r="X271" s="23">
        <f>IF(OR($D271="",$R271="Trùng"),"",SUMIFS(ORDERS!$J$2:$J$4995,ORDERS!$C$2:$C$4995,$D271,ORDERS!$L$2:$L$4995,"Đã chuyển khoản"))</f>
        <v/>
      </c>
      <c r="Y271" s="24" t="n"/>
    </row>
    <row r="272" ht="14.25" customHeight="1" s="40">
      <c r="A272" s="24" t="inlineStr">
        <is>
          <t>5637e0da-f28e-4c4f-99a8-4d0839520def</t>
        </is>
      </c>
      <c r="B272" s="18" t="n">
        <v>46294.72083333333</v>
      </c>
      <c r="C272" s="24" t="inlineStr">
        <is>
          <t>Đoàn Lý Linh</t>
        </is>
      </c>
      <c r="D272" s="28" t="inlineStr">
        <is>
          <t>0356966195</t>
        </is>
      </c>
      <c r="E272" s="29" t="n">
        <v>46273</v>
      </c>
      <c r="F272" s="24" t="inlineStr">
        <is>
          <t>Đã sinh</t>
        </is>
      </c>
      <c r="G272" s="24" t="inlineStr">
        <is>
          <t>Hà Nội</t>
        </is>
      </c>
      <c r="H272" s="21">
        <f>IF(ISNUMBER($B272),INT($B272)-WEEKDAY($B272,2)+1,"")</f>
        <v/>
      </c>
      <c r="I272" s="24" t="inlineStr">
        <is>
          <t>Z-SAMMY</t>
        </is>
      </c>
      <c r="J272" s="22">
        <f t="array" ref="J272">IF($D272="","",IF($I272="","(trống REF)",IFERROR(INDEX(MASTER_SOURCE!$B$2:$B$495,MATCH($I272,MASTER_SOURCE!$A$2:$A$495,0)),"(REF không có trong MASTER_SOURCE)")))</f>
        <v/>
      </c>
      <c r="K272" s="22">
        <f t="array" ref="K272">IF($D272="","",IFERROR(INDEX(MASTER_SOURCE!$C$2:$C$495,MATCH($I272,MASTER_SOURCE!$A$2:$A$495,0)),""))</f>
        <v/>
      </c>
      <c r="L272" s="22">
        <f t="array" ref="L272">IF($D272="","",IFERROR(INDEX(MASTER_SOURCE!$D$2:$D$495,MATCH($I272,MASTER_SOURCE!$A$2:$A$495,0)),""))</f>
        <v/>
      </c>
      <c r="M272" s="24" t="inlineStr">
        <is>
          <t>Có</t>
        </is>
      </c>
      <c r="N272" s="24" t="inlineStr">
        <is>
          <t>Có</t>
        </is>
      </c>
      <c r="O272" s="24" t="inlineStr">
        <is>
          <t>Có</t>
        </is>
      </c>
      <c r="P272" s="24" t="inlineStr">
        <is>
          <t>Có</t>
        </is>
      </c>
      <c r="Q272" s="22">
        <f>IF($D272="","",IF(AND(OR(DANH_MUC!$L$5&lt;&gt;"Có",M272="Có"),OR(DANH_MUC!$L$6&lt;&gt;"Có",N272="Có"),OR(DANH_MUC!$L$7&lt;&gt;"Có",O272="Có"),OR(DANH_MUC!$L$8&lt;&gt;"Có",P272="Có")),"Có","Không"))</f>
        <v/>
      </c>
      <c r="R272" s="22">
        <f>IF($D272="","",IF(COUNTIF($D$2:$D272,$D272)&gt;1,"Trùng",""))</f>
        <v/>
      </c>
      <c r="S272" s="22">
        <f>IF($D272="","",IF(AND(LEN($D272)=10,LEFT($D272,1)="0",ISNUMBER(--$D272)),"Có","Không"))</f>
        <v/>
      </c>
      <c r="T272" s="22">
        <f>IF($D272="","",IF(AND($C272&lt;&gt;"",$Q272="Có",$R272="",$S272="Có",AND($L272&lt;&gt;"",OR($L272&lt;&gt;"Chưa xác định",DANH_MUC!$L$9="Có"))),"Có","Không"))</f>
        <v/>
      </c>
      <c r="U272" s="22">
        <f>IF(OR($D272="",$T272="Có"),"",IF($C272="","Thiếu họ tên; ","")&amp;IF($S272&lt;&gt;"Có","SĐT sai định dạng; ","")&amp;IF($R272="Trùng","Trùng SĐT; ","")&amp;IF($Q272&lt;&gt;"Có","Thiếu đồng ý bắt buộc; ","")&amp;IF($L272="","Thiếu/sai Mã REF; ",IF(AND($L272="Chưa xác định",DANH_MUC!$L$9&lt;&gt;"Có"),"Nguồn chưa xác định; ","")))</f>
        <v/>
      </c>
      <c r="V272" s="22">
        <f>IF(OR($D272="",$R272="Trùng"),"",IF(COUNTIF(ORDERS!$C$2:$C$4995,$D272)&gt;0,"Có","Không"))</f>
        <v/>
      </c>
      <c r="W272" s="22">
        <f>IF(OR($D272="",$R272="Trùng"),"",COUNTIFS(ORDERS!$C$2:$C$4995,$D272,ORDERS!$L$2:$L$4995,"Đã chuyển khoản"))</f>
        <v/>
      </c>
      <c r="X272" s="23">
        <f>IF(OR($D272="",$R272="Trùng"),"",SUMIFS(ORDERS!$J$2:$J$4995,ORDERS!$C$2:$C$4995,$D272,ORDERS!$L$2:$L$4995,"Đã chuyển khoản"))</f>
        <v/>
      </c>
      <c r="Y272" s="24" t="n"/>
    </row>
    <row r="273" ht="14.25" customHeight="1" s="40">
      <c r="A273" s="24" t="inlineStr">
        <is>
          <t>f13ece17-f94f-4035-afdf-63777661082f</t>
        </is>
      </c>
      <c r="B273" s="18" t="n">
        <v>46294.72638888889</v>
      </c>
      <c r="C273" s="24" t="inlineStr">
        <is>
          <t>HOÀNG THỊ THANH TRÀ</t>
        </is>
      </c>
      <c r="D273" s="28" t="inlineStr">
        <is>
          <t>0903477010</t>
        </is>
      </c>
      <c r="E273" s="29" t="n">
        <v>46412</v>
      </c>
      <c r="F273" s="24" t="inlineStr">
        <is>
          <t>Đang mang thai</t>
        </is>
      </c>
      <c r="G273" s="24" t="inlineStr">
        <is>
          <t>Hà Nội</t>
        </is>
      </c>
      <c r="H273" s="21">
        <f>IF(ISNUMBER($B273),INT($B273)-WEEKDAY($B273,2)+1,"")</f>
        <v/>
      </c>
      <c r="I273" s="24" t="inlineStr">
        <is>
          <t>Z-SAMMY</t>
        </is>
      </c>
      <c r="J273" s="22">
        <f t="array" ref="J273">IF($D273="","",IF($I273="","(trống REF)",IFERROR(INDEX(MASTER_SOURCE!$B$2:$B$495,MATCH($I273,MASTER_SOURCE!$A$2:$A$495,0)),"(REF không có trong MASTER_SOURCE)")))</f>
        <v/>
      </c>
      <c r="K273" s="22">
        <f t="array" ref="K273">IF($D273="","",IFERROR(INDEX(MASTER_SOURCE!$C$2:$C$495,MATCH($I273,MASTER_SOURCE!$A$2:$A$495,0)),""))</f>
        <v/>
      </c>
      <c r="L273" s="22">
        <f t="array" ref="L273">IF($D273="","",IFERROR(INDEX(MASTER_SOURCE!$D$2:$D$495,MATCH($I273,MASTER_SOURCE!$A$2:$A$495,0)),""))</f>
        <v/>
      </c>
      <c r="M273" s="24" t="inlineStr">
        <is>
          <t>Có</t>
        </is>
      </c>
      <c r="N273" s="24" t="inlineStr">
        <is>
          <t>Có</t>
        </is>
      </c>
      <c r="O273" s="24" t="inlineStr">
        <is>
          <t>Có</t>
        </is>
      </c>
      <c r="P273" s="24" t="inlineStr">
        <is>
          <t>Có</t>
        </is>
      </c>
      <c r="Q273" s="22">
        <f>IF($D273="","",IF(AND(OR(DANH_MUC!$L$5&lt;&gt;"Có",M273="Có"),OR(DANH_MUC!$L$6&lt;&gt;"Có",N273="Có"),OR(DANH_MUC!$L$7&lt;&gt;"Có",O273="Có"),OR(DANH_MUC!$L$8&lt;&gt;"Có",P273="Có")),"Có","Không"))</f>
        <v/>
      </c>
      <c r="R273" s="22">
        <f>IF($D273="","",IF(COUNTIF($D$2:$D273,$D273)&gt;1,"Trùng",""))</f>
        <v/>
      </c>
      <c r="S273" s="22">
        <f>IF($D273="","",IF(AND(LEN($D273)=10,LEFT($D273,1)="0",ISNUMBER(--$D273)),"Có","Không"))</f>
        <v/>
      </c>
      <c r="T273" s="22">
        <f>IF($D273="","",IF(AND($C273&lt;&gt;"",$Q273="Có",$R273="",$S273="Có",AND($L273&lt;&gt;"",OR($L273&lt;&gt;"Chưa xác định",DANH_MUC!$L$9="Có"))),"Có","Không"))</f>
        <v/>
      </c>
      <c r="U273" s="22">
        <f>IF(OR($D273="",$T273="Có"),"",IF($C273="","Thiếu họ tên; ","")&amp;IF($S273&lt;&gt;"Có","SĐT sai định dạng; ","")&amp;IF($R273="Trùng","Trùng SĐT; ","")&amp;IF($Q273&lt;&gt;"Có","Thiếu đồng ý bắt buộc; ","")&amp;IF($L273="","Thiếu/sai Mã REF; ",IF(AND($L273="Chưa xác định",DANH_MUC!$L$9&lt;&gt;"Có"),"Nguồn chưa xác định; ","")))</f>
        <v/>
      </c>
      <c r="V273" s="22">
        <f>IF(OR($D273="",$R273="Trùng"),"",IF(COUNTIF(ORDERS!$C$2:$C$4995,$D273)&gt;0,"Có","Không"))</f>
        <v/>
      </c>
      <c r="W273" s="22">
        <f>IF(OR($D273="",$R273="Trùng"),"",COUNTIFS(ORDERS!$C$2:$C$4995,$D273,ORDERS!$L$2:$L$4995,"Đã chuyển khoản"))</f>
        <v/>
      </c>
      <c r="X273" s="23">
        <f>IF(OR($D273="",$R273="Trùng"),"",SUMIFS(ORDERS!$J$2:$J$4995,ORDERS!$C$2:$C$4995,$D273,ORDERS!$L$2:$L$4995,"Đã chuyển khoản"))</f>
        <v/>
      </c>
      <c r="Y273" s="24" t="n"/>
    </row>
    <row r="274" ht="14.25" customHeight="1" s="40">
      <c r="A274" s="24" t="inlineStr">
        <is>
          <t>7a4d81a8-b51f-4ce5-8b6e-c228e13faf25</t>
        </is>
      </c>
      <c r="B274" s="18" t="n">
        <v>46294.72708333333</v>
      </c>
      <c r="C274" s="24" t="inlineStr">
        <is>
          <t>Phan Huệ Bích</t>
        </is>
      </c>
      <c r="D274" s="28" t="inlineStr">
        <is>
          <t>0918489102</t>
        </is>
      </c>
      <c r="E274" s="29" t="n">
        <v>46272</v>
      </c>
      <c r="F274" s="24" t="inlineStr">
        <is>
          <t>Đã sinh</t>
        </is>
      </c>
      <c r="G274" s="24" t="inlineStr">
        <is>
          <t>Hà Nội</t>
        </is>
      </c>
      <c r="H274" s="21">
        <f>IF(ISNUMBER($B274),INT($B274)-WEEKDAY($B274,2)+1,"")</f>
        <v/>
      </c>
      <c r="I274" s="24" t="inlineStr">
        <is>
          <t>Z-SAMMY</t>
        </is>
      </c>
      <c r="J274" s="22">
        <f t="array" ref="J274">IF($D274="","",IF($I274="","(trống REF)",IFERROR(INDEX(MASTER_SOURCE!$B$2:$B$495,MATCH($I274,MASTER_SOURCE!$A$2:$A$495,0)),"(REF không có trong MASTER_SOURCE)")))</f>
        <v/>
      </c>
      <c r="K274" s="22">
        <f t="array" ref="K274">IF($D274="","",IFERROR(INDEX(MASTER_SOURCE!$C$2:$C$495,MATCH($I274,MASTER_SOURCE!$A$2:$A$495,0)),""))</f>
        <v/>
      </c>
      <c r="L274" s="22">
        <f t="array" ref="L274">IF($D274="","",IFERROR(INDEX(MASTER_SOURCE!$D$2:$D$495,MATCH($I274,MASTER_SOURCE!$A$2:$A$495,0)),""))</f>
        <v/>
      </c>
      <c r="M274" s="24" t="inlineStr">
        <is>
          <t>Có</t>
        </is>
      </c>
      <c r="N274" s="24" t="inlineStr">
        <is>
          <t>Có</t>
        </is>
      </c>
      <c r="O274" s="24" t="inlineStr">
        <is>
          <t>Có</t>
        </is>
      </c>
      <c r="P274" s="24" t="inlineStr">
        <is>
          <t>Có</t>
        </is>
      </c>
      <c r="Q274" s="22">
        <f>IF($D274="","",IF(AND(OR(DANH_MUC!$L$5&lt;&gt;"Có",M274="Có"),OR(DANH_MUC!$L$6&lt;&gt;"Có",N274="Có"),OR(DANH_MUC!$L$7&lt;&gt;"Có",O274="Có"),OR(DANH_MUC!$L$8&lt;&gt;"Có",P274="Có")),"Có","Không"))</f>
        <v/>
      </c>
      <c r="R274" s="22">
        <f>IF($D274="","",IF(COUNTIF($D$2:$D274,$D274)&gt;1,"Trùng",""))</f>
        <v/>
      </c>
      <c r="S274" s="22">
        <f>IF($D274="","",IF(AND(LEN($D274)=10,LEFT($D274,1)="0",ISNUMBER(--$D274)),"Có","Không"))</f>
        <v/>
      </c>
      <c r="T274" s="22">
        <f>IF($D274="","",IF(AND($C274&lt;&gt;"",$Q274="Có",$R274="",$S274="Có",AND($L274&lt;&gt;"",OR($L274&lt;&gt;"Chưa xác định",DANH_MUC!$L$9="Có"))),"Có","Không"))</f>
        <v/>
      </c>
      <c r="U274" s="22">
        <f>IF(OR($D274="",$T274="Có"),"",IF($C274="","Thiếu họ tên; ","")&amp;IF($S274&lt;&gt;"Có","SĐT sai định dạng; ","")&amp;IF($R274="Trùng","Trùng SĐT; ","")&amp;IF($Q274&lt;&gt;"Có","Thiếu đồng ý bắt buộc; ","")&amp;IF($L274="","Thiếu/sai Mã REF; ",IF(AND($L274="Chưa xác định",DANH_MUC!$L$9&lt;&gt;"Có"),"Nguồn chưa xác định; ","")))</f>
        <v/>
      </c>
      <c r="V274" s="22">
        <f>IF(OR($D274="",$R274="Trùng"),"",IF(COUNTIF(ORDERS!$C$2:$C$4995,$D274)&gt;0,"Có","Không"))</f>
        <v/>
      </c>
      <c r="W274" s="22">
        <f>IF(OR($D274="",$R274="Trùng"),"",COUNTIFS(ORDERS!$C$2:$C$4995,$D274,ORDERS!$L$2:$L$4995,"Đã chuyển khoản"))</f>
        <v/>
      </c>
      <c r="X274" s="23">
        <f>IF(OR($D274="",$R274="Trùng"),"",SUMIFS(ORDERS!$J$2:$J$4995,ORDERS!$C$2:$C$4995,$D274,ORDERS!$L$2:$L$4995,"Đã chuyển khoản"))</f>
        <v/>
      </c>
      <c r="Y274" s="24" t="n"/>
    </row>
    <row r="275" ht="14.25" customHeight="1" s="40">
      <c r="A275" s="24" t="inlineStr">
        <is>
          <t>54b53fd2-2c79-4224-9ce2-31973e1949fd</t>
        </is>
      </c>
      <c r="B275" s="18" t="n">
        <v>46294.76597222222</v>
      </c>
      <c r="C275" s="24" t="inlineStr">
        <is>
          <t>Nguyễn Thiên Kim</t>
        </is>
      </c>
      <c r="D275" s="28" t="inlineStr">
        <is>
          <t>0903897019</t>
        </is>
      </c>
      <c r="E275" s="29" t="n">
        <v>45944</v>
      </c>
      <c r="F275" s="24" t="inlineStr">
        <is>
          <t>Đã sinh</t>
        </is>
      </c>
      <c r="G275" s="24" t="inlineStr">
        <is>
          <t>Hồ Chí Minh</t>
        </is>
      </c>
      <c r="H275" s="21">
        <f>IF(ISNUMBER($B275),INT($B275)-WEEKDAY($B275,2)+1,"")</f>
        <v/>
      </c>
      <c r="I275" s="24" t="inlineStr">
        <is>
          <t>C-06</t>
        </is>
      </c>
      <c r="J275" s="22">
        <f t="array" ref="J275">IF($D275="","",IF($I275="","(trống REF)",IFERROR(INDEX(MASTER_SOURCE!$B$2:$B$495,MATCH($I275,MASTER_SOURCE!$A$2:$A$495,0)),"(REF không có trong MASTER_SOURCE)")))</f>
        <v/>
      </c>
      <c r="K275" s="22">
        <f t="array" ref="K275">IF($D275="","",IFERROR(INDEX(MASTER_SOURCE!$C$2:$C$495,MATCH($I275,MASTER_SOURCE!$A$2:$A$495,0)),""))</f>
        <v/>
      </c>
      <c r="L275" s="22">
        <f t="array" ref="L275">IF($D275="","",IFERROR(INDEX(MASTER_SOURCE!$D$2:$D$495,MATCH($I275,MASTER_SOURCE!$A$2:$A$495,0)),""))</f>
        <v/>
      </c>
      <c r="M275" s="24" t="inlineStr">
        <is>
          <t>Có</t>
        </is>
      </c>
      <c r="N275" s="24" t="inlineStr">
        <is>
          <t>Có</t>
        </is>
      </c>
      <c r="O275" s="24" t="inlineStr">
        <is>
          <t>Có</t>
        </is>
      </c>
      <c r="P275" s="24" t="inlineStr">
        <is>
          <t>Có</t>
        </is>
      </c>
      <c r="Q275" s="22">
        <f>IF($D275="","",IF(AND(OR(DANH_MUC!$L$5&lt;&gt;"Có",M275="Có"),OR(DANH_MUC!$L$6&lt;&gt;"Có",N275="Có"),OR(DANH_MUC!$L$7&lt;&gt;"Có",O275="Có"),OR(DANH_MUC!$L$8&lt;&gt;"Có",P275="Có")),"Có","Không"))</f>
        <v/>
      </c>
      <c r="R275" s="22">
        <f>IF($D275="","",IF(COUNTIF($D$2:$D275,$D275)&gt;1,"Trùng",""))</f>
        <v/>
      </c>
      <c r="S275" s="22">
        <f>IF($D275="","",IF(AND(LEN($D275)=10,LEFT($D275,1)="0",ISNUMBER(--$D275)),"Có","Không"))</f>
        <v/>
      </c>
      <c r="T275" s="22">
        <f>IF($D275="","",IF(AND($C275&lt;&gt;"",$Q275="Có",$R275="",$S275="Có",AND($L275&lt;&gt;"",OR($L275&lt;&gt;"Chưa xác định",DANH_MUC!$L$9="Có"))),"Có","Không"))</f>
        <v/>
      </c>
      <c r="U275" s="22">
        <f>IF(OR($D275="",$T275="Có"),"",IF($C275="","Thiếu họ tên; ","")&amp;IF($S275&lt;&gt;"Có","SĐT sai định dạng; ","")&amp;IF($R275="Trùng","Trùng SĐT; ","")&amp;IF($Q275&lt;&gt;"Có","Thiếu đồng ý bắt buộc; ","")&amp;IF($L275="","Thiếu/sai Mã REF; ",IF(AND($L275="Chưa xác định",DANH_MUC!$L$9&lt;&gt;"Có"),"Nguồn chưa xác định; ","")))</f>
        <v/>
      </c>
      <c r="V275" s="22">
        <f>IF(OR($D275="",$R275="Trùng"),"",IF(COUNTIF(ORDERS!$C$2:$C$4995,$D275)&gt;0,"Có","Không"))</f>
        <v/>
      </c>
      <c r="W275" s="22">
        <f>IF(OR($D275="",$R275="Trùng"),"",COUNTIFS(ORDERS!$C$2:$C$4995,$D275,ORDERS!$L$2:$L$4995,"Đã chuyển khoản"))</f>
        <v/>
      </c>
      <c r="X275" s="23">
        <f>IF(OR($D275="",$R275="Trùng"),"",SUMIFS(ORDERS!$J$2:$J$4995,ORDERS!$C$2:$C$4995,$D275,ORDERS!$L$2:$L$4995,"Đã chuyển khoản"))</f>
        <v/>
      </c>
      <c r="Y275" s="24" t="n"/>
    </row>
    <row r="276" ht="14.25" customHeight="1" s="40">
      <c r="A276" s="24" t="inlineStr">
        <is>
          <t>c768f35e-abfa-4889-9bc4-5a5b446f6e06</t>
        </is>
      </c>
      <c r="B276" s="18" t="n">
        <v>46294.76805555556</v>
      </c>
      <c r="C276" s="24" t="inlineStr">
        <is>
          <t>Phạm bích trâm</t>
        </is>
      </c>
      <c r="D276" s="28" t="inlineStr">
        <is>
          <t>0902491429</t>
        </is>
      </c>
      <c r="E276" s="29" t="n">
        <v>46035</v>
      </c>
      <c r="F276" s="24" t="inlineStr">
        <is>
          <t>Đã sinh</t>
        </is>
      </c>
      <c r="G276" s="24" t="inlineStr">
        <is>
          <t>Hồ Chí Minh</t>
        </is>
      </c>
      <c r="H276" s="21">
        <f>IF(ISNUMBER($B276),INT($B276)-WEEKDAY($B276,2)+1,"")</f>
        <v/>
      </c>
      <c r="I276" s="24" t="inlineStr">
        <is>
          <t>C-05</t>
        </is>
      </c>
      <c r="J276" s="22">
        <f t="array" ref="J276">IF($D276="","",IF($I276="","(trống REF)",IFERROR(INDEX(MASTER_SOURCE!$B$2:$B$495,MATCH($I276,MASTER_SOURCE!$A$2:$A$495,0)),"(REF không có trong MASTER_SOURCE)")))</f>
        <v/>
      </c>
      <c r="K276" s="22">
        <f t="array" ref="K276">IF($D276="","",IFERROR(INDEX(MASTER_SOURCE!$C$2:$C$495,MATCH($I276,MASTER_SOURCE!$A$2:$A$495,0)),""))</f>
        <v/>
      </c>
      <c r="L276" s="22">
        <f t="array" ref="L276">IF($D276="","",IFERROR(INDEX(MASTER_SOURCE!$D$2:$D$495,MATCH($I276,MASTER_SOURCE!$A$2:$A$495,0)),""))</f>
        <v/>
      </c>
      <c r="M276" s="24" t="inlineStr">
        <is>
          <t>Có</t>
        </is>
      </c>
      <c r="N276" s="24" t="inlineStr">
        <is>
          <t>Có</t>
        </is>
      </c>
      <c r="O276" s="24" t="inlineStr">
        <is>
          <t>Có</t>
        </is>
      </c>
      <c r="P276" s="24" t="inlineStr">
        <is>
          <t>Có</t>
        </is>
      </c>
      <c r="Q276" s="22">
        <f>IF($D276="","",IF(AND(OR(DANH_MUC!$L$5&lt;&gt;"Có",M276="Có"),OR(DANH_MUC!$L$6&lt;&gt;"Có",N276="Có"),OR(DANH_MUC!$L$7&lt;&gt;"Có",O276="Có"),OR(DANH_MUC!$L$8&lt;&gt;"Có",P276="Có")),"Có","Không"))</f>
        <v/>
      </c>
      <c r="R276" s="22">
        <f>IF($D276="","",IF(COUNTIF($D$2:$D276,$D276)&gt;1,"Trùng",""))</f>
        <v/>
      </c>
      <c r="S276" s="22">
        <f>IF($D276="","",IF(AND(LEN($D276)=10,LEFT($D276,1)="0",ISNUMBER(--$D276)),"Có","Không"))</f>
        <v/>
      </c>
      <c r="T276" s="22">
        <f>IF($D276="","",IF(AND($C276&lt;&gt;"",$Q276="Có",$R276="",$S276="Có",AND($L276&lt;&gt;"",OR($L276&lt;&gt;"Chưa xác định",DANH_MUC!$L$9="Có"))),"Có","Không"))</f>
        <v/>
      </c>
      <c r="U276" s="22">
        <f>IF(OR($D276="",$T276="Có"),"",IF($C276="","Thiếu họ tên; ","")&amp;IF($S276&lt;&gt;"Có","SĐT sai định dạng; ","")&amp;IF($R276="Trùng","Trùng SĐT; ","")&amp;IF($Q276&lt;&gt;"Có","Thiếu đồng ý bắt buộc; ","")&amp;IF($L276="","Thiếu/sai Mã REF; ",IF(AND($L276="Chưa xác định",DANH_MUC!$L$9&lt;&gt;"Có"),"Nguồn chưa xác định; ","")))</f>
        <v/>
      </c>
      <c r="V276" s="22">
        <f>IF(OR($D276="",$R276="Trùng"),"",IF(COUNTIF(ORDERS!$C$2:$C$4995,$D276)&gt;0,"Có","Không"))</f>
        <v/>
      </c>
      <c r="W276" s="22">
        <f>IF(OR($D276="",$R276="Trùng"),"",COUNTIFS(ORDERS!$C$2:$C$4995,$D276,ORDERS!$L$2:$L$4995,"Đã chuyển khoản"))</f>
        <v/>
      </c>
      <c r="X276" s="23">
        <f>IF(OR($D276="",$R276="Trùng"),"",SUMIFS(ORDERS!$J$2:$J$4995,ORDERS!$C$2:$C$4995,$D276,ORDERS!$L$2:$L$4995,"Đã chuyển khoản"))</f>
        <v/>
      </c>
      <c r="Y276" s="24" t="n"/>
    </row>
    <row r="277" ht="14.25" customHeight="1" s="40">
      <c r="A277" s="24" t="inlineStr">
        <is>
          <t>2b46b356-3bdf-4f4e-8136-d556b343ef7e</t>
        </is>
      </c>
      <c r="B277" s="18" t="n">
        <v>46294.77083333334</v>
      </c>
      <c r="C277" s="24" t="inlineStr">
        <is>
          <t>Trần Trịnh Quỳnh Hoa</t>
        </is>
      </c>
      <c r="D277" s="28" t="inlineStr">
        <is>
          <t>0336918645</t>
        </is>
      </c>
      <c r="E277" s="29" t="n">
        <v>46087</v>
      </c>
      <c r="F277" s="24" t="inlineStr">
        <is>
          <t>Đã sinh</t>
        </is>
      </c>
      <c r="G277" s="24" t="inlineStr">
        <is>
          <t>Hồ Chí Minh</t>
        </is>
      </c>
      <c r="H277" s="21">
        <f>IF(ISNUMBER($B277),INT($B277)-WEEKDAY($B277,2)+1,"")</f>
        <v/>
      </c>
      <c r="I277" s="24" t="inlineStr">
        <is>
          <t>C-05</t>
        </is>
      </c>
      <c r="J277" s="22">
        <f t="array" ref="J277">IF($D277="","",IF($I277="","(trống REF)",IFERROR(INDEX(MASTER_SOURCE!$B$2:$B$495,MATCH($I277,MASTER_SOURCE!$A$2:$A$495,0)),"(REF không có trong MASTER_SOURCE)")))</f>
        <v/>
      </c>
      <c r="K277" s="22">
        <f t="array" ref="K277">IF($D277="","",IFERROR(INDEX(MASTER_SOURCE!$C$2:$C$495,MATCH($I277,MASTER_SOURCE!$A$2:$A$495,0)),""))</f>
        <v/>
      </c>
      <c r="L277" s="22">
        <f t="array" ref="L277">IF($D277="","",IFERROR(INDEX(MASTER_SOURCE!$D$2:$D$495,MATCH($I277,MASTER_SOURCE!$A$2:$A$495,0)),""))</f>
        <v/>
      </c>
      <c r="M277" s="24" t="inlineStr">
        <is>
          <t>Có</t>
        </is>
      </c>
      <c r="N277" s="24" t="inlineStr">
        <is>
          <t>Có</t>
        </is>
      </c>
      <c r="O277" s="24" t="inlineStr">
        <is>
          <t>Có</t>
        </is>
      </c>
      <c r="P277" s="24" t="inlineStr">
        <is>
          <t>Có</t>
        </is>
      </c>
      <c r="Q277" s="22">
        <f>IF($D277="","",IF(AND(OR(DANH_MUC!$L$5&lt;&gt;"Có",M277="Có"),OR(DANH_MUC!$L$6&lt;&gt;"Có",N277="Có"),OR(DANH_MUC!$L$7&lt;&gt;"Có",O277="Có"),OR(DANH_MUC!$L$8&lt;&gt;"Có",P277="Có")),"Có","Không"))</f>
        <v/>
      </c>
      <c r="R277" s="22">
        <f>IF($D277="","",IF(COUNTIF($D$2:$D277,$D277)&gt;1,"Trùng",""))</f>
        <v/>
      </c>
      <c r="S277" s="22">
        <f>IF($D277="","",IF(AND(LEN($D277)=10,LEFT($D277,1)="0",ISNUMBER(--$D277)),"Có","Không"))</f>
        <v/>
      </c>
      <c r="T277" s="22">
        <f>IF($D277="","",IF(AND($C277&lt;&gt;"",$Q277="Có",$R277="",$S277="Có",AND($L277&lt;&gt;"",OR($L277&lt;&gt;"Chưa xác định",DANH_MUC!$L$9="Có"))),"Có","Không"))</f>
        <v/>
      </c>
      <c r="U277" s="22">
        <f>IF(OR($D277="",$T277="Có"),"",IF($C277="","Thiếu họ tên; ","")&amp;IF($S277&lt;&gt;"Có","SĐT sai định dạng; ","")&amp;IF($R277="Trùng","Trùng SĐT; ","")&amp;IF($Q277&lt;&gt;"Có","Thiếu đồng ý bắt buộc; ","")&amp;IF($L277="","Thiếu/sai Mã REF; ",IF(AND($L277="Chưa xác định",DANH_MUC!$L$9&lt;&gt;"Có"),"Nguồn chưa xác định; ","")))</f>
        <v/>
      </c>
      <c r="V277" s="22">
        <f>IF(OR($D277="",$R277="Trùng"),"",IF(COUNTIF(ORDERS!$C$2:$C$4995,$D277)&gt;0,"Có","Không"))</f>
        <v/>
      </c>
      <c r="W277" s="22">
        <f>IF(OR($D277="",$R277="Trùng"),"",COUNTIFS(ORDERS!$C$2:$C$4995,$D277,ORDERS!$L$2:$L$4995,"Đã chuyển khoản"))</f>
        <v/>
      </c>
      <c r="X277" s="23">
        <f>IF(OR($D277="",$R277="Trùng"),"",SUMIFS(ORDERS!$J$2:$J$4995,ORDERS!$C$2:$C$4995,$D277,ORDERS!$L$2:$L$4995,"Đã chuyển khoản"))</f>
        <v/>
      </c>
      <c r="Y277" s="24" t="n"/>
    </row>
    <row r="278" ht="14.25" customHeight="1" s="40">
      <c r="A278" s="24" t="inlineStr">
        <is>
          <t>922f16d6-1ee2-4364-a86f-f8b2b29721a4</t>
        </is>
      </c>
      <c r="B278" s="18" t="n">
        <v>46294.7875</v>
      </c>
      <c r="C278" s="24" t="inlineStr">
        <is>
          <t>Vũ Đình An Thy</t>
        </is>
      </c>
      <c r="D278" s="28" t="inlineStr">
        <is>
          <t>0346950122</t>
        </is>
      </c>
      <c r="E278" s="29" t="n">
        <v>46073</v>
      </c>
      <c r="F278" s="24" t="inlineStr">
        <is>
          <t>Đã sinh</t>
        </is>
      </c>
      <c r="G278" s="24" t="inlineStr">
        <is>
          <t>Hồ Chí Minh</t>
        </is>
      </c>
      <c r="H278" s="21">
        <f>IF(ISNUMBER($B278),INT($B278)-WEEKDAY($B278,2)+1,"")</f>
        <v/>
      </c>
      <c r="I278" s="24" t="inlineStr">
        <is>
          <t>C-05</t>
        </is>
      </c>
      <c r="J278" s="22">
        <f t="array" ref="J278">IF($D278="","",IF($I278="","(trống REF)",IFERROR(INDEX(MASTER_SOURCE!$B$2:$B$495,MATCH($I278,MASTER_SOURCE!$A$2:$A$495,0)),"(REF không có trong MASTER_SOURCE)")))</f>
        <v/>
      </c>
      <c r="K278" s="22">
        <f t="array" ref="K278">IF($D278="","",IFERROR(INDEX(MASTER_SOURCE!$C$2:$C$495,MATCH($I278,MASTER_SOURCE!$A$2:$A$495,0)),""))</f>
        <v/>
      </c>
      <c r="L278" s="22">
        <f t="array" ref="L278">IF($D278="","",IFERROR(INDEX(MASTER_SOURCE!$D$2:$D$495,MATCH($I278,MASTER_SOURCE!$A$2:$A$495,0)),""))</f>
        <v/>
      </c>
      <c r="M278" s="24" t="inlineStr">
        <is>
          <t>Có</t>
        </is>
      </c>
      <c r="N278" s="24" t="inlineStr">
        <is>
          <t>Có</t>
        </is>
      </c>
      <c r="O278" s="24" t="inlineStr">
        <is>
          <t>Có</t>
        </is>
      </c>
      <c r="P278" s="24" t="inlineStr">
        <is>
          <t>Có</t>
        </is>
      </c>
      <c r="Q278" s="22">
        <f>IF($D278="","",IF(AND(OR(DANH_MUC!$L$5&lt;&gt;"Có",M278="Có"),OR(DANH_MUC!$L$6&lt;&gt;"Có",N278="Có"),OR(DANH_MUC!$L$7&lt;&gt;"Có",O278="Có"),OR(DANH_MUC!$L$8&lt;&gt;"Có",P278="Có")),"Có","Không"))</f>
        <v/>
      </c>
      <c r="R278" s="22">
        <f>IF($D278="","",IF(COUNTIF($D$2:$D278,$D278)&gt;1,"Trùng",""))</f>
        <v/>
      </c>
      <c r="S278" s="22">
        <f>IF($D278="","",IF(AND(LEN($D278)=10,LEFT($D278,1)="0",ISNUMBER(--$D278)),"Có","Không"))</f>
        <v/>
      </c>
      <c r="T278" s="22">
        <f>IF($D278="","",IF(AND($C278&lt;&gt;"",$Q278="Có",$R278="",$S278="Có",AND($L278&lt;&gt;"",OR($L278&lt;&gt;"Chưa xác định",DANH_MUC!$L$9="Có"))),"Có","Không"))</f>
        <v/>
      </c>
      <c r="U278" s="22">
        <f>IF(OR($D278="",$T278="Có"),"",IF($C278="","Thiếu họ tên; ","")&amp;IF($S278&lt;&gt;"Có","SĐT sai định dạng; ","")&amp;IF($R278="Trùng","Trùng SĐT; ","")&amp;IF($Q278&lt;&gt;"Có","Thiếu đồng ý bắt buộc; ","")&amp;IF($L278="","Thiếu/sai Mã REF; ",IF(AND($L278="Chưa xác định",DANH_MUC!$L$9&lt;&gt;"Có"),"Nguồn chưa xác định; ","")))</f>
        <v/>
      </c>
      <c r="V278" s="22">
        <f>IF(OR($D278="",$R278="Trùng"),"",IF(COUNTIF(ORDERS!$C$2:$C$4995,$D278)&gt;0,"Có","Không"))</f>
        <v/>
      </c>
      <c r="W278" s="22">
        <f>IF(OR($D278="",$R278="Trùng"),"",COUNTIFS(ORDERS!$C$2:$C$4995,$D278,ORDERS!$L$2:$L$4995,"Đã chuyển khoản"))</f>
        <v/>
      </c>
      <c r="X278" s="23">
        <f>IF(OR($D278="",$R278="Trùng"),"",SUMIFS(ORDERS!$J$2:$J$4995,ORDERS!$C$2:$C$4995,$D278,ORDERS!$L$2:$L$4995,"Đã chuyển khoản"))</f>
        <v/>
      </c>
      <c r="Y278" s="24" t="n"/>
    </row>
    <row r="279" ht="14.25" customHeight="1" s="40">
      <c r="A279" s="24" t="inlineStr">
        <is>
          <t>6238ad2b-71c1-4f02-b658-cbc3a6c090c0</t>
        </is>
      </c>
      <c r="B279" s="18" t="n">
        <v>46294.79236111111</v>
      </c>
      <c r="C279" s="24" t="inlineStr">
        <is>
          <t>Lê Tuyền</t>
        </is>
      </c>
      <c r="D279" s="28" t="inlineStr">
        <is>
          <t>0789221153</t>
        </is>
      </c>
      <c r="E279" s="29" t="n">
        <v>46223</v>
      </c>
      <c r="F279" s="24" t="inlineStr">
        <is>
          <t>Đã sinh</t>
        </is>
      </c>
      <c r="G279" s="24" t="inlineStr">
        <is>
          <t>Đồng Nai</t>
        </is>
      </c>
      <c r="H279" s="21">
        <f>IF(ISNUMBER($B279),INT($B279)-WEEKDAY($B279,2)+1,"")</f>
        <v/>
      </c>
      <c r="I279" s="24" t="inlineStr">
        <is>
          <t>C-05</t>
        </is>
      </c>
      <c r="J279" s="22">
        <f t="array" ref="J279">IF($D279="","",IF($I279="","(trống REF)",IFERROR(INDEX(MASTER_SOURCE!$B$2:$B$495,MATCH($I279,MASTER_SOURCE!$A$2:$A$495,0)),"(REF không có trong MASTER_SOURCE)")))</f>
        <v/>
      </c>
      <c r="K279" s="22">
        <f t="array" ref="K279">IF($D279="","",IFERROR(INDEX(MASTER_SOURCE!$C$2:$C$495,MATCH($I279,MASTER_SOURCE!$A$2:$A$495,0)),""))</f>
        <v/>
      </c>
      <c r="L279" s="22">
        <f t="array" ref="L279">IF($D279="","",IFERROR(INDEX(MASTER_SOURCE!$D$2:$D$495,MATCH($I279,MASTER_SOURCE!$A$2:$A$495,0)),""))</f>
        <v/>
      </c>
      <c r="M279" s="24" t="inlineStr">
        <is>
          <t>Có</t>
        </is>
      </c>
      <c r="N279" s="24" t="inlineStr">
        <is>
          <t>Có</t>
        </is>
      </c>
      <c r="O279" s="24" t="inlineStr">
        <is>
          <t>Có</t>
        </is>
      </c>
      <c r="P279" s="24" t="inlineStr">
        <is>
          <t>Có</t>
        </is>
      </c>
      <c r="Q279" s="22">
        <f>IF($D279="","",IF(AND(OR(DANH_MUC!$L$5&lt;&gt;"Có",M279="Có"),OR(DANH_MUC!$L$6&lt;&gt;"Có",N279="Có"),OR(DANH_MUC!$L$7&lt;&gt;"Có",O279="Có"),OR(DANH_MUC!$L$8&lt;&gt;"Có",P279="Có")),"Có","Không"))</f>
        <v/>
      </c>
      <c r="R279" s="22">
        <f>IF($D279="","",IF(COUNTIF($D$2:$D279,$D279)&gt;1,"Trùng",""))</f>
        <v/>
      </c>
      <c r="S279" s="22">
        <f>IF($D279="","",IF(AND(LEN($D279)=10,LEFT($D279,1)="0",ISNUMBER(--$D279)),"Có","Không"))</f>
        <v/>
      </c>
      <c r="T279" s="22">
        <f>IF($D279="","",IF(AND($C279&lt;&gt;"",$Q279="Có",$R279="",$S279="Có",AND($L279&lt;&gt;"",OR($L279&lt;&gt;"Chưa xác định",DANH_MUC!$L$9="Có"))),"Có","Không"))</f>
        <v/>
      </c>
      <c r="U279" s="22">
        <f>IF(OR($D279="",$T279="Có"),"",IF($C279="","Thiếu họ tên; ","")&amp;IF($S279&lt;&gt;"Có","SĐT sai định dạng; ","")&amp;IF($R279="Trùng","Trùng SĐT; ","")&amp;IF($Q279&lt;&gt;"Có","Thiếu đồng ý bắt buộc; ","")&amp;IF($L279="","Thiếu/sai Mã REF; ",IF(AND($L279="Chưa xác định",DANH_MUC!$L$9&lt;&gt;"Có"),"Nguồn chưa xác định; ","")))</f>
        <v/>
      </c>
      <c r="V279" s="22">
        <f>IF(OR($D279="",$R279="Trùng"),"",IF(COUNTIF(ORDERS!$C$2:$C$4995,$D279)&gt;0,"Có","Không"))</f>
        <v/>
      </c>
      <c r="W279" s="22">
        <f>IF(OR($D279="",$R279="Trùng"),"",COUNTIFS(ORDERS!$C$2:$C$4995,$D279,ORDERS!$L$2:$L$4995,"Đã chuyển khoản"))</f>
        <v/>
      </c>
      <c r="X279" s="23">
        <f>IF(OR($D279="",$R279="Trùng"),"",SUMIFS(ORDERS!$J$2:$J$4995,ORDERS!$C$2:$C$4995,$D279,ORDERS!$L$2:$L$4995,"Đã chuyển khoản"))</f>
        <v/>
      </c>
      <c r="Y279" s="24" t="n"/>
    </row>
    <row r="280" ht="14.25" customHeight="1" s="40">
      <c r="A280" s="24" t="inlineStr">
        <is>
          <t>0ac3da79-eba0-4798-9f97-ecca64532c23</t>
        </is>
      </c>
      <c r="B280" s="18" t="n">
        <v>46294.97013888889</v>
      </c>
      <c r="C280" s="24" t="inlineStr">
        <is>
          <t>Trần Phú Vỹ</t>
        </is>
      </c>
      <c r="D280" s="28" t="inlineStr">
        <is>
          <t>0393696867</t>
        </is>
      </c>
      <c r="E280" s="29" t="n">
        <v>46087</v>
      </c>
      <c r="F280" s="24" t="inlineStr">
        <is>
          <t>Đã sinh</t>
        </is>
      </c>
      <c r="G280" s="24" t="inlineStr">
        <is>
          <t>Hồ Chí Minh</t>
        </is>
      </c>
      <c r="H280" s="21">
        <f>IF(ISNUMBER($B280),INT($B280)-WEEKDAY($B280,2)+1,"")</f>
        <v/>
      </c>
      <c r="I280" s="24" t="inlineStr">
        <is>
          <t>Z-SL</t>
        </is>
      </c>
      <c r="J280" s="22">
        <f t="array" ref="J280">IF($D280="","",IF($I280="","(trống REF)",IFERROR(INDEX(MASTER_SOURCE!$B$2:$B$495,MATCH($I280,MASTER_SOURCE!$A$2:$A$495,0)),"(REF không có trong MASTER_SOURCE)")))</f>
        <v/>
      </c>
      <c r="K280" s="22">
        <f t="array" ref="K280">IF($D280="","",IFERROR(INDEX(MASTER_SOURCE!$C$2:$C$495,MATCH($I280,MASTER_SOURCE!$A$2:$A$495,0)),""))</f>
        <v/>
      </c>
      <c r="L280" s="22">
        <f t="array" ref="L280">IF($D280="","",IFERROR(INDEX(MASTER_SOURCE!$D$2:$D$495,MATCH($I280,MASTER_SOURCE!$A$2:$A$495,0)),""))</f>
        <v/>
      </c>
      <c r="M280" s="24" t="inlineStr">
        <is>
          <t>Có</t>
        </is>
      </c>
      <c r="N280" s="24" t="inlineStr">
        <is>
          <t>Có</t>
        </is>
      </c>
      <c r="O280" s="24" t="inlineStr">
        <is>
          <t>Có</t>
        </is>
      </c>
      <c r="P280" s="24" t="inlineStr">
        <is>
          <t>Có</t>
        </is>
      </c>
      <c r="Q280" s="22">
        <f>IF($D280="","",IF(AND(OR(DANH_MUC!$L$5&lt;&gt;"Có",M280="Có"),OR(DANH_MUC!$L$6&lt;&gt;"Có",N280="Có"),OR(DANH_MUC!$L$7&lt;&gt;"Có",O280="Có"),OR(DANH_MUC!$L$8&lt;&gt;"Có",P280="Có")),"Có","Không"))</f>
        <v/>
      </c>
      <c r="R280" s="22">
        <f>IF($D280="","",IF(COUNTIF($D$2:$D280,$D280)&gt;1,"Trùng",""))</f>
        <v/>
      </c>
      <c r="S280" s="22">
        <f>IF($D280="","",IF(AND(LEN($D280)=10,LEFT($D280,1)="0",ISNUMBER(--$D280)),"Có","Không"))</f>
        <v/>
      </c>
      <c r="T280" s="22">
        <f>IF($D280="","",IF(AND($C280&lt;&gt;"",$Q280="Có",$R280="",$S280="Có",AND($L280&lt;&gt;"",OR($L280&lt;&gt;"Chưa xác định",DANH_MUC!$L$9="Có"))),"Có","Không"))</f>
        <v/>
      </c>
      <c r="U280" s="22">
        <f>IF(OR($D280="",$T280="Có"),"",IF($C280="","Thiếu họ tên; ","")&amp;IF($S280&lt;&gt;"Có","SĐT sai định dạng; ","")&amp;IF($R280="Trùng","Trùng SĐT; ","")&amp;IF($Q280&lt;&gt;"Có","Thiếu đồng ý bắt buộc; ","")&amp;IF($L280="","Thiếu/sai Mã REF; ",IF(AND($L280="Chưa xác định",DANH_MUC!$L$9&lt;&gt;"Có"),"Nguồn chưa xác định; ","")))</f>
        <v/>
      </c>
      <c r="V280" s="22">
        <f>IF(OR($D280="",$R280="Trùng"),"",IF(COUNTIF(ORDERS!$C$2:$C$4995,$D280)&gt;0,"Có","Không"))</f>
        <v/>
      </c>
      <c r="W280" s="22">
        <f>IF(OR($D280="",$R280="Trùng"),"",COUNTIFS(ORDERS!$C$2:$C$4995,$D280,ORDERS!$L$2:$L$4995,"Đã chuyển khoản"))</f>
        <v/>
      </c>
      <c r="X280" s="23">
        <f>IF(OR($D280="",$R280="Trùng"),"",SUMIFS(ORDERS!$J$2:$J$4995,ORDERS!$C$2:$C$4995,$D280,ORDERS!$L$2:$L$4995,"Đã chuyển khoản"))</f>
        <v/>
      </c>
      <c r="Y280" s="24" t="n"/>
    </row>
    <row r="281" ht="14.25" customHeight="1" s="40">
      <c r="A281" s="24" t="inlineStr">
        <is>
          <t>0dc8aee2-e05c-4abb-b72e-c25250fd8982</t>
        </is>
      </c>
      <c r="B281" s="18" t="n">
        <v>46295.42777777778</v>
      </c>
      <c r="C281" s="24" t="inlineStr">
        <is>
          <t>Phạm Thị Yến</t>
        </is>
      </c>
      <c r="D281" s="28" t="inlineStr">
        <is>
          <t>0909608035</t>
        </is>
      </c>
      <c r="E281" s="29" t="n">
        <v>46110</v>
      </c>
      <c r="F281" s="24" t="inlineStr">
        <is>
          <t>Đã sinh</t>
        </is>
      </c>
      <c r="G281" s="24" t="inlineStr">
        <is>
          <t>Hồ Chí Minh</t>
        </is>
      </c>
      <c r="H281" s="21">
        <f>IF(ISNUMBER($B281),INT($B281)-WEEKDAY($B281,2)+1,"")</f>
        <v/>
      </c>
      <c r="I281" s="24" t="inlineStr">
        <is>
          <t>C-04</t>
        </is>
      </c>
      <c r="J281" s="22">
        <f t="array" ref="J281">IF($D281="","",IF($I281="","(trống REF)",IFERROR(INDEX(MASTER_SOURCE!$B$2:$B$495,MATCH($I281,MASTER_SOURCE!$A$2:$A$495,0)),"(REF không có trong MASTER_SOURCE)")))</f>
        <v/>
      </c>
      <c r="K281" s="22">
        <f t="array" ref="K281">IF($D281="","",IFERROR(INDEX(MASTER_SOURCE!$C$2:$C$495,MATCH($I281,MASTER_SOURCE!$A$2:$A$495,0)),""))</f>
        <v/>
      </c>
      <c r="L281" s="22">
        <f t="array" ref="L281">IF($D281="","",IFERROR(INDEX(MASTER_SOURCE!$D$2:$D$495,MATCH($I281,MASTER_SOURCE!$A$2:$A$495,0)),""))</f>
        <v/>
      </c>
      <c r="M281" s="24" t="inlineStr">
        <is>
          <t>Có</t>
        </is>
      </c>
      <c r="N281" s="24" t="inlineStr">
        <is>
          <t>Có</t>
        </is>
      </c>
      <c r="O281" s="24" t="inlineStr">
        <is>
          <t>Có</t>
        </is>
      </c>
      <c r="P281" s="24" t="inlineStr">
        <is>
          <t>Có</t>
        </is>
      </c>
      <c r="Q281" s="22">
        <f>IF($D281="","",IF(AND(OR(DANH_MUC!$L$5&lt;&gt;"Có",M281="Có"),OR(DANH_MUC!$L$6&lt;&gt;"Có",N281="Có"),OR(DANH_MUC!$L$7&lt;&gt;"Có",O281="Có"),OR(DANH_MUC!$L$8&lt;&gt;"Có",P281="Có")),"Có","Không"))</f>
        <v/>
      </c>
      <c r="R281" s="22">
        <f>IF($D281="","",IF(COUNTIF($D$2:$D281,$D281)&gt;1,"Trùng",""))</f>
        <v/>
      </c>
      <c r="S281" s="22">
        <f>IF($D281="","",IF(AND(LEN($D281)=10,LEFT($D281,1)="0",ISNUMBER(--$D281)),"Có","Không"))</f>
        <v/>
      </c>
      <c r="T281" s="22">
        <f>IF($D281="","",IF(AND($C281&lt;&gt;"",$Q281="Có",$R281="",$S281="Có",AND($L281&lt;&gt;"",OR($L281&lt;&gt;"Chưa xác định",DANH_MUC!$L$9="Có"))),"Có","Không"))</f>
        <v/>
      </c>
      <c r="U281" s="22">
        <f>IF(OR($D281="",$T281="Có"),"",IF($C281="","Thiếu họ tên; ","")&amp;IF($S281&lt;&gt;"Có","SĐT sai định dạng; ","")&amp;IF($R281="Trùng","Trùng SĐT; ","")&amp;IF($Q281&lt;&gt;"Có","Thiếu đồng ý bắt buộc; ","")&amp;IF($L281="","Thiếu/sai Mã REF; ",IF(AND($L281="Chưa xác định",DANH_MUC!$L$9&lt;&gt;"Có"),"Nguồn chưa xác định; ","")))</f>
        <v/>
      </c>
      <c r="V281" s="22">
        <f>IF(OR($D281="",$R281="Trùng"),"",IF(COUNTIF(ORDERS!$C$2:$C$4995,$D281)&gt;0,"Có","Không"))</f>
        <v/>
      </c>
      <c r="W281" s="22">
        <f>IF(OR($D281="",$R281="Trùng"),"",COUNTIFS(ORDERS!$C$2:$C$4995,$D281,ORDERS!$L$2:$L$4995,"Đã chuyển khoản"))</f>
        <v/>
      </c>
      <c r="X281" s="23">
        <f>IF(OR($D281="",$R281="Trùng"),"",SUMIFS(ORDERS!$J$2:$J$4995,ORDERS!$C$2:$C$4995,$D281,ORDERS!$L$2:$L$4995,"Đã chuyển khoản"))</f>
        <v/>
      </c>
      <c r="Y281" s="24" t="n"/>
    </row>
    <row r="282" ht="14.25" customHeight="1" s="40">
      <c r="A282" s="24" t="inlineStr">
        <is>
          <t>7a39f8ce-5991-46a3-8874-cdda01fc96f9</t>
        </is>
      </c>
      <c r="B282" s="18" t="n">
        <v>46295.44375</v>
      </c>
      <c r="C282" s="24" t="inlineStr">
        <is>
          <t>Lương Ngân Hải</t>
        </is>
      </c>
      <c r="D282" s="28" t="inlineStr">
        <is>
          <t>0916350364</t>
        </is>
      </c>
      <c r="E282" s="29" t="n">
        <v>46288</v>
      </c>
      <c r="F282" s="24" t="inlineStr">
        <is>
          <t>Đã sinh</t>
        </is>
      </c>
      <c r="G282" s="24" t="inlineStr">
        <is>
          <t>Hà Nội</t>
        </is>
      </c>
      <c r="H282" s="21">
        <f>IF(ISNUMBER($B282),INT($B282)-WEEKDAY($B282,2)+1,"")</f>
        <v/>
      </c>
      <c r="I282" s="24" t="inlineStr">
        <is>
          <t>C-03</t>
        </is>
      </c>
      <c r="J282" s="22">
        <f t="array" ref="J282">IF($D282="","",IF($I282="","(trống REF)",IFERROR(INDEX(MASTER_SOURCE!$B$2:$B$495,MATCH($I282,MASTER_SOURCE!$A$2:$A$495,0)),"(REF không có trong MASTER_SOURCE)")))</f>
        <v/>
      </c>
      <c r="K282" s="22">
        <f t="array" ref="K282">IF($D282="","",IFERROR(INDEX(MASTER_SOURCE!$C$2:$C$495,MATCH($I282,MASTER_SOURCE!$A$2:$A$495,0)),""))</f>
        <v/>
      </c>
      <c r="L282" s="22">
        <f t="array" ref="L282">IF($D282="","",IFERROR(INDEX(MASTER_SOURCE!$D$2:$D$495,MATCH($I282,MASTER_SOURCE!$A$2:$A$495,0)),""))</f>
        <v/>
      </c>
      <c r="M282" s="24" t="inlineStr">
        <is>
          <t>Có</t>
        </is>
      </c>
      <c r="N282" s="24" t="inlineStr">
        <is>
          <t>Có</t>
        </is>
      </c>
      <c r="O282" s="24" t="inlineStr">
        <is>
          <t>Có</t>
        </is>
      </c>
      <c r="P282" s="24" t="inlineStr">
        <is>
          <t>Có</t>
        </is>
      </c>
      <c r="Q282" s="22">
        <f>IF($D282="","",IF(AND(OR(DANH_MUC!$L$5&lt;&gt;"Có",M282="Có"),OR(DANH_MUC!$L$6&lt;&gt;"Có",N282="Có"),OR(DANH_MUC!$L$7&lt;&gt;"Có",O282="Có"),OR(DANH_MUC!$L$8&lt;&gt;"Có",P282="Có")),"Có","Không"))</f>
        <v/>
      </c>
      <c r="R282" s="22">
        <f>IF($D282="","",IF(COUNTIF($D$2:$D282,$D282)&gt;1,"Trùng",""))</f>
        <v/>
      </c>
      <c r="S282" s="22">
        <f>IF($D282="","",IF(AND(LEN($D282)=10,LEFT($D282,1)="0",ISNUMBER(--$D282)),"Có","Không"))</f>
        <v/>
      </c>
      <c r="T282" s="22">
        <f>IF($D282="","",IF(AND($C282&lt;&gt;"",$Q282="Có",$R282="",$S282="Có",AND($L282&lt;&gt;"",OR($L282&lt;&gt;"Chưa xác định",DANH_MUC!$L$9="Có"))),"Có","Không"))</f>
        <v/>
      </c>
      <c r="U282" s="22">
        <f>IF(OR($D282="",$T282="Có"),"",IF($C282="","Thiếu họ tên; ","")&amp;IF($S282&lt;&gt;"Có","SĐT sai định dạng; ","")&amp;IF($R282="Trùng","Trùng SĐT; ","")&amp;IF($Q282&lt;&gt;"Có","Thiếu đồng ý bắt buộc; ","")&amp;IF($L282="","Thiếu/sai Mã REF; ",IF(AND($L282="Chưa xác định",DANH_MUC!$L$9&lt;&gt;"Có"),"Nguồn chưa xác định; ","")))</f>
        <v/>
      </c>
      <c r="V282" s="22">
        <f>IF(OR($D282="",$R282="Trùng"),"",IF(COUNTIF(ORDERS!$C$2:$C$4995,$D282)&gt;0,"Có","Không"))</f>
        <v/>
      </c>
      <c r="W282" s="22">
        <f>IF(OR($D282="",$R282="Trùng"),"",COUNTIFS(ORDERS!$C$2:$C$4995,$D282,ORDERS!$L$2:$L$4995,"Đã chuyển khoản"))</f>
        <v/>
      </c>
      <c r="X282" s="23">
        <f>IF(OR($D282="",$R282="Trùng"),"",SUMIFS(ORDERS!$J$2:$J$4995,ORDERS!$C$2:$C$4995,$D282,ORDERS!$L$2:$L$4995,"Đã chuyển khoản"))</f>
        <v/>
      </c>
      <c r="Y282" s="24" t="n"/>
    </row>
    <row r="283" ht="14.25" customHeight="1" s="40">
      <c r="A283" s="24" t="inlineStr">
        <is>
          <t>7f415ba1-4ab1-4411-a940-4d2f32a90397</t>
        </is>
      </c>
      <c r="B283" s="18" t="n">
        <v>46295.47847222222</v>
      </c>
      <c r="C283" s="24" t="inlineStr">
        <is>
          <t>Trần Thị Thu Hà</t>
        </is>
      </c>
      <c r="D283" s="28" t="inlineStr">
        <is>
          <t>0969004631</t>
        </is>
      </c>
      <c r="E283" s="29" t="n">
        <v>46286</v>
      </c>
      <c r="F283" s="24" t="inlineStr">
        <is>
          <t>Đã sinh</t>
        </is>
      </c>
      <c r="G283" s="24" t="inlineStr">
        <is>
          <t>Hà Nội</t>
        </is>
      </c>
      <c r="H283" s="21">
        <f>IF(ISNUMBER($B283),INT($B283)-WEEKDAY($B283,2)+1,"")</f>
        <v/>
      </c>
      <c r="I283" s="24" t="inlineStr">
        <is>
          <t>Z-SAMMY</t>
        </is>
      </c>
      <c r="J283" s="22">
        <f t="array" ref="J283">IF($D283="","",IF($I283="","(trống REF)",IFERROR(INDEX(MASTER_SOURCE!$B$2:$B$495,MATCH($I283,MASTER_SOURCE!$A$2:$A$495,0)),"(REF không có trong MASTER_SOURCE)")))</f>
        <v/>
      </c>
      <c r="K283" s="22">
        <f t="array" ref="K283">IF($D283="","",IFERROR(INDEX(MASTER_SOURCE!$C$2:$C$495,MATCH($I283,MASTER_SOURCE!$A$2:$A$495,0)),""))</f>
        <v/>
      </c>
      <c r="L283" s="22">
        <f t="array" ref="L283">IF($D283="","",IFERROR(INDEX(MASTER_SOURCE!$D$2:$D$495,MATCH($I283,MASTER_SOURCE!$A$2:$A$495,0)),""))</f>
        <v/>
      </c>
      <c r="M283" s="24" t="inlineStr">
        <is>
          <t>Có</t>
        </is>
      </c>
      <c r="N283" s="24" t="inlineStr">
        <is>
          <t>Có</t>
        </is>
      </c>
      <c r="O283" s="24" t="inlineStr">
        <is>
          <t>Không</t>
        </is>
      </c>
      <c r="P283" s="24" t="inlineStr">
        <is>
          <t>Không</t>
        </is>
      </c>
      <c r="Q283" s="22">
        <f>IF($D283="","",IF(AND(OR(DANH_MUC!$L$5&lt;&gt;"Có",M283="Có"),OR(DANH_MUC!$L$6&lt;&gt;"Có",N283="Có"),OR(DANH_MUC!$L$7&lt;&gt;"Có",O283="Có"),OR(DANH_MUC!$L$8&lt;&gt;"Có",P283="Có")),"Có","Không"))</f>
        <v/>
      </c>
      <c r="R283" s="22">
        <f>IF($D283="","",IF(COUNTIF($D$2:$D283,$D283)&gt;1,"Trùng",""))</f>
        <v/>
      </c>
      <c r="S283" s="22">
        <f>IF($D283="","",IF(AND(LEN($D283)=10,LEFT($D283,1)="0",ISNUMBER(--$D283)),"Có","Không"))</f>
        <v/>
      </c>
      <c r="T283" s="22">
        <f>IF($D283="","",IF(AND($C283&lt;&gt;"",$Q283="Có",$R283="",$S283="Có",AND($L283&lt;&gt;"",OR($L283&lt;&gt;"Chưa xác định",DANH_MUC!$L$9="Có"))),"Có","Không"))</f>
        <v/>
      </c>
      <c r="U283" s="22">
        <f>IF(OR($D283="",$T283="Có"),"",IF($C283="","Thiếu họ tên; ","")&amp;IF($S283&lt;&gt;"Có","SĐT sai định dạng; ","")&amp;IF($R283="Trùng","Trùng SĐT; ","")&amp;IF($Q283&lt;&gt;"Có","Thiếu đồng ý bắt buộc; ","")&amp;IF($L283="","Thiếu/sai Mã REF; ",IF(AND($L283="Chưa xác định",DANH_MUC!$L$9&lt;&gt;"Có"),"Nguồn chưa xác định; ","")))</f>
        <v/>
      </c>
      <c r="V283" s="22">
        <f>IF(OR($D283="",$R283="Trùng"),"",IF(COUNTIF(ORDERS!$C$2:$C$4995,$D283)&gt;0,"Có","Không"))</f>
        <v/>
      </c>
      <c r="W283" s="22">
        <f>IF(OR($D283="",$R283="Trùng"),"",COUNTIFS(ORDERS!$C$2:$C$4995,$D283,ORDERS!$L$2:$L$4995,"Đã chuyển khoản"))</f>
        <v/>
      </c>
      <c r="X283" s="23">
        <f>IF(OR($D283="",$R283="Trùng"),"",SUMIFS(ORDERS!$J$2:$J$4995,ORDERS!$C$2:$C$4995,$D283,ORDERS!$L$2:$L$4995,"Đã chuyển khoản"))</f>
        <v/>
      </c>
      <c r="Y283" s="24" t="n"/>
    </row>
    <row r="284" ht="14.25" customHeight="1" s="40">
      <c r="A284" s="24" t="inlineStr">
        <is>
          <t>6dfcbb5d-9983-4ec0-960f-4597af0a0e56</t>
        </is>
      </c>
      <c r="B284" s="18" t="n">
        <v>46295.47847222222</v>
      </c>
      <c r="C284" s="24" t="inlineStr">
        <is>
          <t>Nguyễn Thị Thanh Xuân</t>
        </is>
      </c>
      <c r="D284" s="28" t="inlineStr">
        <is>
          <t>0796565685</t>
        </is>
      </c>
      <c r="E284" s="29" t="n">
        <v>46202</v>
      </c>
      <c r="F284" s="24" t="inlineStr">
        <is>
          <t>Đã sinh</t>
        </is>
      </c>
      <c r="G284" s="24" t="inlineStr">
        <is>
          <t>Hồ Chí Minh</t>
        </is>
      </c>
      <c r="H284" s="21">
        <f>IF(ISNUMBER($B284),INT($B284)-WEEKDAY($B284,2)+1,"")</f>
        <v/>
      </c>
      <c r="I284" s="24" t="inlineStr">
        <is>
          <t>C-05</t>
        </is>
      </c>
      <c r="J284" s="22">
        <f t="array" ref="J284">IF($D284="","",IF($I284="","(trống REF)",IFERROR(INDEX(MASTER_SOURCE!$B$2:$B$495,MATCH($I284,MASTER_SOURCE!$A$2:$A$495,0)),"(REF không có trong MASTER_SOURCE)")))</f>
        <v/>
      </c>
      <c r="K284" s="22">
        <f t="array" ref="K284">IF($D284="","",IFERROR(INDEX(MASTER_SOURCE!$C$2:$C$495,MATCH($I284,MASTER_SOURCE!$A$2:$A$495,0)),""))</f>
        <v/>
      </c>
      <c r="L284" s="22">
        <f t="array" ref="L284">IF($D284="","",IFERROR(INDEX(MASTER_SOURCE!$D$2:$D$495,MATCH($I284,MASTER_SOURCE!$A$2:$A$495,0)),""))</f>
        <v/>
      </c>
      <c r="M284" s="24" t="inlineStr">
        <is>
          <t>Có</t>
        </is>
      </c>
      <c r="N284" s="24" t="inlineStr">
        <is>
          <t>Có</t>
        </is>
      </c>
      <c r="O284" s="24" t="inlineStr">
        <is>
          <t>Có</t>
        </is>
      </c>
      <c r="P284" s="24" t="inlineStr">
        <is>
          <t>Có</t>
        </is>
      </c>
      <c r="Q284" s="22">
        <f>IF($D284="","",IF(AND(OR(DANH_MUC!$L$5&lt;&gt;"Có",M284="Có"),OR(DANH_MUC!$L$6&lt;&gt;"Có",N284="Có"),OR(DANH_MUC!$L$7&lt;&gt;"Có",O284="Có"),OR(DANH_MUC!$L$8&lt;&gt;"Có",P284="Có")),"Có","Không"))</f>
        <v/>
      </c>
      <c r="R284" s="22">
        <f>IF($D284="","",IF(COUNTIF($D$2:$D284,$D284)&gt;1,"Trùng",""))</f>
        <v/>
      </c>
      <c r="S284" s="22">
        <f>IF($D284="","",IF(AND(LEN($D284)=10,LEFT($D284,1)="0",ISNUMBER(--$D284)),"Có","Không"))</f>
        <v/>
      </c>
      <c r="T284" s="22">
        <f>IF($D284="","",IF(AND($C284&lt;&gt;"",$Q284="Có",$R284="",$S284="Có",AND($L284&lt;&gt;"",OR($L284&lt;&gt;"Chưa xác định",DANH_MUC!$L$9="Có"))),"Có","Không"))</f>
        <v/>
      </c>
      <c r="U284" s="22">
        <f>IF(OR($D284="",$T284="Có"),"",IF($C284="","Thiếu họ tên; ","")&amp;IF($S284&lt;&gt;"Có","SĐT sai định dạng; ","")&amp;IF($R284="Trùng","Trùng SĐT; ","")&amp;IF($Q284&lt;&gt;"Có","Thiếu đồng ý bắt buộc; ","")&amp;IF($L284="","Thiếu/sai Mã REF; ",IF(AND($L284="Chưa xác định",DANH_MUC!$L$9&lt;&gt;"Có"),"Nguồn chưa xác định; ","")))</f>
        <v/>
      </c>
      <c r="V284" s="22">
        <f>IF(OR($D284="",$R284="Trùng"),"",IF(COUNTIF(ORDERS!$C$2:$C$4995,$D284)&gt;0,"Có","Không"))</f>
        <v/>
      </c>
      <c r="W284" s="22">
        <f>IF(OR($D284="",$R284="Trùng"),"",COUNTIFS(ORDERS!$C$2:$C$4995,$D284,ORDERS!$L$2:$L$4995,"Đã chuyển khoản"))</f>
        <v/>
      </c>
      <c r="X284" s="23">
        <f>IF(OR($D284="",$R284="Trùng"),"",SUMIFS(ORDERS!$J$2:$J$4995,ORDERS!$C$2:$C$4995,$D284,ORDERS!$L$2:$L$4995,"Đã chuyển khoản"))</f>
        <v/>
      </c>
      <c r="Y284" s="24" t="n"/>
    </row>
    <row r="285" ht="14.25" customHeight="1" s="40">
      <c r="A285" s="24" t="inlineStr">
        <is>
          <t>5756a7a3-1a95-4bde-ad18-72bb24a214ee</t>
        </is>
      </c>
      <c r="B285" s="18" t="n">
        <v>46295.49861111111</v>
      </c>
      <c r="C285" s="24" t="inlineStr">
        <is>
          <t>Đỗ Mai Hương</t>
        </is>
      </c>
      <c r="D285" s="28" t="inlineStr">
        <is>
          <t>0962147471</t>
        </is>
      </c>
      <c r="E285" s="29" t="n">
        <v>46344</v>
      </c>
      <c r="F285" s="24" t="inlineStr">
        <is>
          <t>Đang mang thai</t>
        </is>
      </c>
      <c r="G285" s="24" t="inlineStr">
        <is>
          <t>Hà Nội</t>
        </is>
      </c>
      <c r="H285" s="21">
        <f>IF(ISNUMBER($B285),INT($B285)-WEEKDAY($B285,2)+1,"")</f>
        <v/>
      </c>
      <c r="I285" s="24" t="inlineStr">
        <is>
          <t>Z-SAMMY</t>
        </is>
      </c>
      <c r="J285" s="22">
        <f t="array" ref="J285">IF($D285="","",IF($I285="","(trống REF)",IFERROR(INDEX(MASTER_SOURCE!$B$2:$B$495,MATCH($I285,MASTER_SOURCE!$A$2:$A$495,0)),"(REF không có trong MASTER_SOURCE)")))</f>
        <v/>
      </c>
      <c r="K285" s="22">
        <f t="array" ref="K285">IF($D285="","",IFERROR(INDEX(MASTER_SOURCE!$C$2:$C$495,MATCH($I285,MASTER_SOURCE!$A$2:$A$495,0)),""))</f>
        <v/>
      </c>
      <c r="L285" s="22">
        <f t="array" ref="L285">IF($D285="","",IFERROR(INDEX(MASTER_SOURCE!$D$2:$D$495,MATCH($I285,MASTER_SOURCE!$A$2:$A$495,0)),""))</f>
        <v/>
      </c>
      <c r="M285" s="24" t="inlineStr">
        <is>
          <t>Có</t>
        </is>
      </c>
      <c r="N285" s="24" t="inlineStr">
        <is>
          <t>Có</t>
        </is>
      </c>
      <c r="O285" s="24" t="inlineStr">
        <is>
          <t>Không</t>
        </is>
      </c>
      <c r="P285" s="24" t="inlineStr">
        <is>
          <t>Không</t>
        </is>
      </c>
      <c r="Q285" s="22">
        <f>IF($D285="","",IF(AND(OR(DANH_MUC!$L$5&lt;&gt;"Có",M285="Có"),OR(DANH_MUC!$L$6&lt;&gt;"Có",N285="Có"),OR(DANH_MUC!$L$7&lt;&gt;"Có",O285="Có"),OR(DANH_MUC!$L$8&lt;&gt;"Có",P285="Có")),"Có","Không"))</f>
        <v/>
      </c>
      <c r="R285" s="22">
        <f>IF($D285="","",IF(COUNTIF($D$2:$D285,$D285)&gt;1,"Trùng",""))</f>
        <v/>
      </c>
      <c r="S285" s="22">
        <f>IF($D285="","",IF(AND(LEN($D285)=10,LEFT($D285,1)="0",ISNUMBER(--$D285)),"Có","Không"))</f>
        <v/>
      </c>
      <c r="T285" s="22">
        <f>IF($D285="","",IF(AND($C285&lt;&gt;"",$Q285="Có",$R285="",$S285="Có",AND($L285&lt;&gt;"",OR($L285&lt;&gt;"Chưa xác định",DANH_MUC!$L$9="Có"))),"Có","Không"))</f>
        <v/>
      </c>
      <c r="U285" s="22">
        <f>IF(OR($D285="",$T285="Có"),"",IF($C285="","Thiếu họ tên; ","")&amp;IF($S285&lt;&gt;"Có","SĐT sai định dạng; ","")&amp;IF($R285="Trùng","Trùng SĐT; ","")&amp;IF($Q285&lt;&gt;"Có","Thiếu đồng ý bắt buộc; ","")&amp;IF($L285="","Thiếu/sai Mã REF; ",IF(AND($L285="Chưa xác định",DANH_MUC!$L$9&lt;&gt;"Có"),"Nguồn chưa xác định; ","")))</f>
        <v/>
      </c>
      <c r="V285" s="22">
        <f>IF(OR($D285="",$R285="Trùng"),"",IF(COUNTIF(ORDERS!$C$2:$C$4995,$D285)&gt;0,"Có","Không"))</f>
        <v/>
      </c>
      <c r="W285" s="22">
        <f>IF(OR($D285="",$R285="Trùng"),"",COUNTIFS(ORDERS!$C$2:$C$4995,$D285,ORDERS!$L$2:$L$4995,"Đã chuyển khoản"))</f>
        <v/>
      </c>
      <c r="X285" s="23">
        <f>IF(OR($D285="",$R285="Trùng"),"",SUMIFS(ORDERS!$J$2:$J$4995,ORDERS!$C$2:$C$4995,$D285,ORDERS!$L$2:$L$4995,"Đã chuyển khoản"))</f>
        <v/>
      </c>
      <c r="Y285" s="24" t="n"/>
    </row>
    <row r="286" ht="14.25" customHeight="1" s="40">
      <c r="A286" s="24" t="inlineStr">
        <is>
          <t>49aed5e0-fc33-46c0-b5dd-db0268a73367</t>
        </is>
      </c>
      <c r="B286" s="18" t="n">
        <v>46295.56944444445</v>
      </c>
      <c r="C286" s="24" t="inlineStr">
        <is>
          <t>Phan Quỳnh</t>
        </is>
      </c>
      <c r="D286" s="28" t="inlineStr">
        <is>
          <t>0834031197</t>
        </is>
      </c>
      <c r="E286" s="29" t="n">
        <v>46250</v>
      </c>
      <c r="F286" s="24" t="inlineStr">
        <is>
          <t>Đã sinh</t>
        </is>
      </c>
      <c r="G286" s="24" t="inlineStr">
        <is>
          <t>Hồ Chí Minh</t>
        </is>
      </c>
      <c r="H286" s="21">
        <f>IF(ISNUMBER($B286),INT($B286)-WEEKDAY($B286,2)+1,"")</f>
        <v/>
      </c>
      <c r="I286" s="24" t="inlineStr">
        <is>
          <t>Z-GREEN</t>
        </is>
      </c>
      <c r="J286" s="22">
        <f t="array" ref="J286">IF($D286="","",IF($I286="","(trống REF)",IFERROR(INDEX(MASTER_SOURCE!$B$2:$B$495,MATCH($I286,MASTER_SOURCE!$A$2:$A$495,0)),"(REF không có trong MASTER_SOURCE)")))</f>
        <v/>
      </c>
      <c r="K286" s="22">
        <f t="array" ref="K286">IF($D286="","",IFERROR(INDEX(MASTER_SOURCE!$C$2:$C$495,MATCH($I286,MASTER_SOURCE!$A$2:$A$495,0)),""))</f>
        <v/>
      </c>
      <c r="L286" s="22">
        <f t="array" ref="L286">IF($D286="","",IFERROR(INDEX(MASTER_SOURCE!$D$2:$D$495,MATCH($I286,MASTER_SOURCE!$A$2:$A$495,0)),""))</f>
        <v/>
      </c>
      <c r="M286" s="24" t="inlineStr">
        <is>
          <t>Có</t>
        </is>
      </c>
      <c r="N286" s="24" t="inlineStr">
        <is>
          <t>Có</t>
        </is>
      </c>
      <c r="O286" s="24" t="inlineStr">
        <is>
          <t>Có</t>
        </is>
      </c>
      <c r="P286" s="24" t="inlineStr">
        <is>
          <t>Có</t>
        </is>
      </c>
      <c r="Q286" s="22">
        <f>IF($D286="","",IF(AND(OR(DANH_MUC!$L$5&lt;&gt;"Có",M286="Có"),OR(DANH_MUC!$L$6&lt;&gt;"Có",N286="Có"),OR(DANH_MUC!$L$7&lt;&gt;"Có",O286="Có"),OR(DANH_MUC!$L$8&lt;&gt;"Có",P286="Có")),"Có","Không"))</f>
        <v/>
      </c>
      <c r="R286" s="22">
        <f>IF($D286="","",IF(COUNTIF($D$2:$D286,$D286)&gt;1,"Trùng",""))</f>
        <v/>
      </c>
      <c r="S286" s="22">
        <f>IF($D286="","",IF(AND(LEN($D286)=10,LEFT($D286,1)="0",ISNUMBER(--$D286)),"Có","Không"))</f>
        <v/>
      </c>
      <c r="T286" s="22">
        <f>IF($D286="","",IF(AND($C286&lt;&gt;"",$Q286="Có",$R286="",$S286="Có",AND($L286&lt;&gt;"",OR($L286&lt;&gt;"Chưa xác định",DANH_MUC!$L$9="Có"))),"Có","Không"))</f>
        <v/>
      </c>
      <c r="U286" s="22">
        <f>IF(OR($D286="",$T286="Có"),"",IF($C286="","Thiếu họ tên; ","")&amp;IF($S286&lt;&gt;"Có","SĐT sai định dạng; ","")&amp;IF($R286="Trùng","Trùng SĐT; ","")&amp;IF($Q286&lt;&gt;"Có","Thiếu đồng ý bắt buộc; ","")&amp;IF($L286="","Thiếu/sai Mã REF; ",IF(AND($L286="Chưa xác định",DANH_MUC!$L$9&lt;&gt;"Có"),"Nguồn chưa xác định; ","")))</f>
        <v/>
      </c>
      <c r="V286" s="22">
        <f>IF(OR($D286="",$R286="Trùng"),"",IF(COUNTIF(ORDERS!$C$2:$C$4995,$D286)&gt;0,"Có","Không"))</f>
        <v/>
      </c>
      <c r="W286" s="22">
        <f>IF(OR($D286="",$R286="Trùng"),"",COUNTIFS(ORDERS!$C$2:$C$4995,$D286,ORDERS!$L$2:$L$4995,"Đã chuyển khoản"))</f>
        <v/>
      </c>
      <c r="X286" s="23">
        <f>IF(OR($D286="",$R286="Trùng"),"",SUMIFS(ORDERS!$J$2:$J$4995,ORDERS!$C$2:$C$4995,$D286,ORDERS!$L$2:$L$4995,"Đã chuyển khoản"))</f>
        <v/>
      </c>
      <c r="Y286" s="24" t="n"/>
    </row>
    <row r="287" ht="14.25" customHeight="1" s="40">
      <c r="A287" s="24" t="inlineStr">
        <is>
          <t>de4bc1f2-1cd7-4dcc-af71-05232bead850</t>
        </is>
      </c>
      <c r="B287" s="18" t="n">
        <v>46295.57013888889</v>
      </c>
      <c r="C287" s="24" t="inlineStr">
        <is>
          <t>Nguyễn Thị Kim Thu</t>
        </is>
      </c>
      <c r="D287" s="28" t="inlineStr">
        <is>
          <t>0898483098</t>
        </is>
      </c>
      <c r="E287" s="29" t="n">
        <v>46040</v>
      </c>
      <c r="F287" s="24" t="inlineStr">
        <is>
          <t>Đã sinh</t>
        </is>
      </c>
      <c r="G287" s="24" t="inlineStr">
        <is>
          <t>Gia Lai</t>
        </is>
      </c>
      <c r="H287" s="21">
        <f>IF(ISNUMBER($B287),INT($B287)-WEEKDAY($B287,2)+1,"")</f>
        <v/>
      </c>
      <c r="I287" s="24" t="inlineStr">
        <is>
          <t>C-03</t>
        </is>
      </c>
      <c r="J287" s="22">
        <f t="array" ref="J287">IF($D287="","",IF($I287="","(trống REF)",IFERROR(INDEX(MASTER_SOURCE!$B$2:$B$495,MATCH($I287,MASTER_SOURCE!$A$2:$A$495,0)),"(REF không có trong MASTER_SOURCE)")))</f>
        <v/>
      </c>
      <c r="K287" s="22">
        <f t="array" ref="K287">IF($D287="","",IFERROR(INDEX(MASTER_SOURCE!$C$2:$C$495,MATCH($I287,MASTER_SOURCE!$A$2:$A$495,0)),""))</f>
        <v/>
      </c>
      <c r="L287" s="22">
        <f t="array" ref="L287">IF($D287="","",IFERROR(INDEX(MASTER_SOURCE!$D$2:$D$495,MATCH($I287,MASTER_SOURCE!$A$2:$A$495,0)),""))</f>
        <v/>
      </c>
      <c r="M287" s="24" t="inlineStr">
        <is>
          <t>Có</t>
        </is>
      </c>
      <c r="N287" s="24" t="inlineStr">
        <is>
          <t>Có</t>
        </is>
      </c>
      <c r="O287" s="24" t="inlineStr">
        <is>
          <t>Có</t>
        </is>
      </c>
      <c r="P287" s="24" t="inlineStr">
        <is>
          <t>Có</t>
        </is>
      </c>
      <c r="Q287" s="22">
        <f>IF($D287="","",IF(AND(OR(DANH_MUC!$L$5&lt;&gt;"Có",M287="Có"),OR(DANH_MUC!$L$6&lt;&gt;"Có",N287="Có"),OR(DANH_MUC!$L$7&lt;&gt;"Có",O287="Có"),OR(DANH_MUC!$L$8&lt;&gt;"Có",P287="Có")),"Có","Không"))</f>
        <v/>
      </c>
      <c r="R287" s="22">
        <f>IF($D287="","",IF(COUNTIF($D$2:$D287,$D287)&gt;1,"Trùng",""))</f>
        <v/>
      </c>
      <c r="S287" s="22">
        <f>IF($D287="","",IF(AND(LEN($D287)=10,LEFT($D287,1)="0",ISNUMBER(--$D287)),"Có","Không"))</f>
        <v/>
      </c>
      <c r="T287" s="22">
        <f>IF($D287="","",IF(AND($C287&lt;&gt;"",$Q287="Có",$R287="",$S287="Có",AND($L287&lt;&gt;"",OR($L287&lt;&gt;"Chưa xác định",DANH_MUC!$L$9="Có"))),"Có","Không"))</f>
        <v/>
      </c>
      <c r="U287" s="22">
        <f>IF(OR($D287="",$T287="Có"),"",IF($C287="","Thiếu họ tên; ","")&amp;IF($S287&lt;&gt;"Có","SĐT sai định dạng; ","")&amp;IF($R287="Trùng","Trùng SĐT; ","")&amp;IF($Q287&lt;&gt;"Có","Thiếu đồng ý bắt buộc; ","")&amp;IF($L287="","Thiếu/sai Mã REF; ",IF(AND($L287="Chưa xác định",DANH_MUC!$L$9&lt;&gt;"Có"),"Nguồn chưa xác định; ","")))</f>
        <v/>
      </c>
      <c r="V287" s="22">
        <f>IF(OR($D287="",$R287="Trùng"),"",IF(COUNTIF(ORDERS!$C$2:$C$4995,$D287)&gt;0,"Có","Không"))</f>
        <v/>
      </c>
      <c r="W287" s="22">
        <f>IF(OR($D287="",$R287="Trùng"),"",COUNTIFS(ORDERS!$C$2:$C$4995,$D287,ORDERS!$L$2:$L$4995,"Đã chuyển khoản"))</f>
        <v/>
      </c>
      <c r="X287" s="23">
        <f>IF(OR($D287="",$R287="Trùng"),"",SUMIFS(ORDERS!$J$2:$J$4995,ORDERS!$C$2:$C$4995,$D287,ORDERS!$L$2:$L$4995,"Đã chuyển khoản"))</f>
        <v/>
      </c>
      <c r="Y287" s="24" t="n"/>
    </row>
    <row r="288" ht="14.25" customHeight="1" s="40">
      <c r="A288" s="24" t="inlineStr">
        <is>
          <t>c996be92-ffcf-498f-b020-834156b59467</t>
        </is>
      </c>
      <c r="B288" s="18" t="n">
        <v>46295.61319444444</v>
      </c>
      <c r="C288" s="24" t="inlineStr">
        <is>
          <t>Tien Tay</t>
        </is>
      </c>
      <c r="D288" s="28" t="inlineStr">
        <is>
          <t>0966681735</t>
        </is>
      </c>
      <c r="E288" s="29" t="n">
        <v>46127</v>
      </c>
      <c r="F288" s="24" t="inlineStr">
        <is>
          <t>Đã sinh</t>
        </is>
      </c>
      <c r="G288" s="24" t="inlineStr">
        <is>
          <t>Hồ Chí Minh</t>
        </is>
      </c>
      <c r="H288" s="21">
        <f>IF(ISNUMBER($B288),INT($B288)-WEEKDAY($B288,2)+1,"")</f>
        <v/>
      </c>
      <c r="I288" s="24" t="inlineStr">
        <is>
          <t>C-06</t>
        </is>
      </c>
      <c r="J288" s="22">
        <f t="array" ref="J288">IF($D288="","",IF($I288="","(trống REF)",IFERROR(INDEX(MASTER_SOURCE!$B$2:$B$495,MATCH($I288,MASTER_SOURCE!$A$2:$A$495,0)),"(REF không có trong MASTER_SOURCE)")))</f>
        <v/>
      </c>
      <c r="K288" s="22">
        <f t="array" ref="K288">IF($D288="","",IFERROR(INDEX(MASTER_SOURCE!$C$2:$C$495,MATCH($I288,MASTER_SOURCE!$A$2:$A$495,0)),""))</f>
        <v/>
      </c>
      <c r="L288" s="22">
        <f t="array" ref="L288">IF($D288="","",IFERROR(INDEX(MASTER_SOURCE!$D$2:$D$495,MATCH($I288,MASTER_SOURCE!$A$2:$A$495,0)),""))</f>
        <v/>
      </c>
      <c r="M288" s="24" t="inlineStr">
        <is>
          <t>Có</t>
        </is>
      </c>
      <c r="N288" s="24" t="inlineStr">
        <is>
          <t>Có</t>
        </is>
      </c>
      <c r="O288" s="24" t="inlineStr">
        <is>
          <t>Có</t>
        </is>
      </c>
      <c r="P288" s="24" t="inlineStr">
        <is>
          <t>Có</t>
        </is>
      </c>
      <c r="Q288" s="22">
        <f>IF($D288="","",IF(AND(OR(DANH_MUC!$L$5&lt;&gt;"Có",M288="Có"),OR(DANH_MUC!$L$6&lt;&gt;"Có",N288="Có"),OR(DANH_MUC!$L$7&lt;&gt;"Có",O288="Có"),OR(DANH_MUC!$L$8&lt;&gt;"Có",P288="Có")),"Có","Không"))</f>
        <v/>
      </c>
      <c r="R288" s="22">
        <f>IF($D288="","",IF(COUNTIF($D$2:$D288,$D288)&gt;1,"Trùng",""))</f>
        <v/>
      </c>
      <c r="S288" s="22">
        <f>IF($D288="","",IF(AND(LEN($D288)=10,LEFT($D288,1)="0",ISNUMBER(--$D288)),"Có","Không"))</f>
        <v/>
      </c>
      <c r="T288" s="22">
        <f>IF($D288="","",IF(AND($C288&lt;&gt;"",$Q288="Có",$R288="",$S288="Có",AND($L288&lt;&gt;"",OR($L288&lt;&gt;"Chưa xác định",DANH_MUC!$L$9="Có"))),"Có","Không"))</f>
        <v/>
      </c>
      <c r="U288" s="22">
        <f>IF(OR($D288="",$T288="Có"),"",IF($C288="","Thiếu họ tên; ","")&amp;IF($S288&lt;&gt;"Có","SĐT sai định dạng; ","")&amp;IF($R288="Trùng","Trùng SĐT; ","")&amp;IF($Q288&lt;&gt;"Có","Thiếu đồng ý bắt buộc; ","")&amp;IF($L288="","Thiếu/sai Mã REF; ",IF(AND($L288="Chưa xác định",DANH_MUC!$L$9&lt;&gt;"Có"),"Nguồn chưa xác định; ","")))</f>
        <v/>
      </c>
      <c r="V288" s="22">
        <f>IF(OR($D288="",$R288="Trùng"),"",IF(COUNTIF(ORDERS!$C$2:$C$4995,$D288)&gt;0,"Có","Không"))</f>
        <v/>
      </c>
      <c r="W288" s="22">
        <f>IF(OR($D288="",$R288="Trùng"),"",COUNTIFS(ORDERS!$C$2:$C$4995,$D288,ORDERS!$L$2:$L$4995,"Đã chuyển khoản"))</f>
        <v/>
      </c>
      <c r="X288" s="23">
        <f>IF(OR($D288="",$R288="Trùng"),"",SUMIFS(ORDERS!$J$2:$J$4995,ORDERS!$C$2:$C$4995,$D288,ORDERS!$L$2:$L$4995,"Đã chuyển khoản"))</f>
        <v/>
      </c>
      <c r="Y288" s="24" t="n"/>
    </row>
    <row r="289" ht="14.25" customHeight="1" s="40">
      <c r="A289" s="24" t="inlineStr">
        <is>
          <t>3c859219-3d4d-4966-94f7-8542977edd92</t>
        </is>
      </c>
      <c r="B289" s="18" t="n">
        <v>46295.61527777778</v>
      </c>
      <c r="C289" s="24" t="inlineStr">
        <is>
          <t>Lục Thị Tuyết Trang</t>
        </is>
      </c>
      <c r="D289" s="28" t="inlineStr">
        <is>
          <t>0798875231</t>
        </is>
      </c>
      <c r="E289" s="29" t="n">
        <v>46356</v>
      </c>
      <c r="F289" s="24" t="inlineStr">
        <is>
          <t>Đang mang thai</t>
        </is>
      </c>
      <c r="G289" s="24" t="inlineStr">
        <is>
          <t>Hồ Chí Minh</t>
        </is>
      </c>
      <c r="H289" s="21">
        <f>IF(ISNUMBER($B289),INT($B289)-WEEKDAY($B289,2)+1,"")</f>
        <v/>
      </c>
      <c r="I289" s="24" t="inlineStr">
        <is>
          <t>C-06</t>
        </is>
      </c>
      <c r="J289" s="22">
        <f t="array" ref="J289">IF($D289="","",IF($I289="","(trống REF)",IFERROR(INDEX(MASTER_SOURCE!$B$2:$B$495,MATCH($I289,MASTER_SOURCE!$A$2:$A$495,0)),"(REF không có trong MASTER_SOURCE)")))</f>
        <v/>
      </c>
      <c r="K289" s="22">
        <f t="array" ref="K289">IF($D289="","",IFERROR(INDEX(MASTER_SOURCE!$C$2:$C$495,MATCH($I289,MASTER_SOURCE!$A$2:$A$495,0)),""))</f>
        <v/>
      </c>
      <c r="L289" s="22">
        <f t="array" ref="L289">IF($D289="","",IFERROR(INDEX(MASTER_SOURCE!$D$2:$D$495,MATCH($I289,MASTER_SOURCE!$A$2:$A$495,0)),""))</f>
        <v/>
      </c>
      <c r="M289" s="24" t="inlineStr">
        <is>
          <t>Có</t>
        </is>
      </c>
      <c r="N289" s="24" t="inlineStr">
        <is>
          <t>Có</t>
        </is>
      </c>
      <c r="O289" s="24" t="inlineStr">
        <is>
          <t>Có</t>
        </is>
      </c>
      <c r="P289" s="24" t="inlineStr">
        <is>
          <t>Có</t>
        </is>
      </c>
      <c r="Q289" s="22">
        <f>IF($D289="","",IF(AND(OR(DANH_MUC!$L$5&lt;&gt;"Có",M289="Có"),OR(DANH_MUC!$L$6&lt;&gt;"Có",N289="Có"),OR(DANH_MUC!$L$7&lt;&gt;"Có",O289="Có"),OR(DANH_MUC!$L$8&lt;&gt;"Có",P289="Có")),"Có","Không"))</f>
        <v/>
      </c>
      <c r="R289" s="22">
        <f>IF($D289="","",IF(COUNTIF($D$2:$D289,$D289)&gt;1,"Trùng",""))</f>
        <v/>
      </c>
      <c r="S289" s="22">
        <f>IF($D289="","",IF(AND(LEN($D289)=10,LEFT($D289,1)="0",ISNUMBER(--$D289)),"Có","Không"))</f>
        <v/>
      </c>
      <c r="T289" s="22">
        <f>IF($D289="","",IF(AND($C289&lt;&gt;"",$Q289="Có",$R289="",$S289="Có",AND($L289&lt;&gt;"",OR($L289&lt;&gt;"Chưa xác định",DANH_MUC!$L$9="Có"))),"Có","Không"))</f>
        <v/>
      </c>
      <c r="U289" s="22">
        <f>IF(OR($D289="",$T289="Có"),"",IF($C289="","Thiếu họ tên; ","")&amp;IF($S289&lt;&gt;"Có","SĐT sai định dạng; ","")&amp;IF($R289="Trùng","Trùng SĐT; ","")&amp;IF($Q289&lt;&gt;"Có","Thiếu đồng ý bắt buộc; ","")&amp;IF($L289="","Thiếu/sai Mã REF; ",IF(AND($L289="Chưa xác định",DANH_MUC!$L$9&lt;&gt;"Có"),"Nguồn chưa xác định; ","")))</f>
        <v/>
      </c>
      <c r="V289" s="22">
        <f>IF(OR($D289="",$R289="Trùng"),"",IF(COUNTIF(ORDERS!$C$2:$C$4995,$D289)&gt;0,"Có","Không"))</f>
        <v/>
      </c>
      <c r="W289" s="22">
        <f>IF(OR($D289="",$R289="Trùng"),"",COUNTIFS(ORDERS!$C$2:$C$4995,$D289,ORDERS!$L$2:$L$4995,"Đã chuyển khoản"))</f>
        <v/>
      </c>
      <c r="X289" s="23">
        <f>IF(OR($D289="",$R289="Trùng"),"",SUMIFS(ORDERS!$J$2:$J$4995,ORDERS!$C$2:$C$4995,$D289,ORDERS!$L$2:$L$4995,"Đã chuyển khoản"))</f>
        <v/>
      </c>
      <c r="Y289" s="24" t="n"/>
    </row>
    <row r="290" ht="14.25" customHeight="1" s="40">
      <c r="A290" s="24" t="inlineStr">
        <is>
          <t>8e292e76-619a-4636-a3f6-7a15e10e60b2</t>
        </is>
      </c>
      <c r="B290" s="18" t="n">
        <v>46295.61597222222</v>
      </c>
      <c r="C290" s="24" t="inlineStr">
        <is>
          <t>Dương Ngọc Ly</t>
        </is>
      </c>
      <c r="D290" s="28" t="inlineStr">
        <is>
          <t>0395798885</t>
        </is>
      </c>
      <c r="E290" s="29" t="n">
        <v>46120</v>
      </c>
      <c r="F290" s="24" t="inlineStr">
        <is>
          <t>Đã sinh</t>
        </is>
      </c>
      <c r="G290" s="24" t="inlineStr">
        <is>
          <t>Hà Nội</t>
        </is>
      </c>
      <c r="H290" s="21">
        <f>IF(ISNUMBER($B290),INT($B290)-WEEKDAY($B290,2)+1,"")</f>
        <v/>
      </c>
      <c r="I290" s="24" t="inlineStr">
        <is>
          <t>C-03</t>
        </is>
      </c>
      <c r="J290" s="22">
        <f t="array" ref="J290">IF($D290="","",IF($I290="","(trống REF)",IFERROR(INDEX(MASTER_SOURCE!$B$2:$B$495,MATCH($I290,MASTER_SOURCE!$A$2:$A$495,0)),"(REF không có trong MASTER_SOURCE)")))</f>
        <v/>
      </c>
      <c r="K290" s="22">
        <f t="array" ref="K290">IF($D290="","",IFERROR(INDEX(MASTER_SOURCE!$C$2:$C$495,MATCH($I290,MASTER_SOURCE!$A$2:$A$495,0)),""))</f>
        <v/>
      </c>
      <c r="L290" s="22">
        <f t="array" ref="L290">IF($D290="","",IFERROR(INDEX(MASTER_SOURCE!$D$2:$D$495,MATCH($I290,MASTER_SOURCE!$A$2:$A$495,0)),""))</f>
        <v/>
      </c>
      <c r="M290" s="24" t="inlineStr">
        <is>
          <t>Có</t>
        </is>
      </c>
      <c r="N290" s="24" t="inlineStr">
        <is>
          <t>Có</t>
        </is>
      </c>
      <c r="O290" s="24" t="inlineStr">
        <is>
          <t>Có</t>
        </is>
      </c>
      <c r="P290" s="24" t="inlineStr">
        <is>
          <t>Có</t>
        </is>
      </c>
      <c r="Q290" s="22">
        <f>IF($D290="","",IF(AND(OR(DANH_MUC!$L$5&lt;&gt;"Có",M290="Có"),OR(DANH_MUC!$L$6&lt;&gt;"Có",N290="Có"),OR(DANH_MUC!$L$7&lt;&gt;"Có",O290="Có"),OR(DANH_MUC!$L$8&lt;&gt;"Có",P290="Có")),"Có","Không"))</f>
        <v/>
      </c>
      <c r="R290" s="22">
        <f>IF($D290="","",IF(COUNTIF($D$2:$D290,$D290)&gt;1,"Trùng",""))</f>
        <v/>
      </c>
      <c r="S290" s="22">
        <f>IF($D290="","",IF(AND(LEN($D290)=10,LEFT($D290,1)="0",ISNUMBER(--$D290)),"Có","Không"))</f>
        <v/>
      </c>
      <c r="T290" s="22">
        <f>IF($D290="","",IF(AND($C290&lt;&gt;"",$Q290="Có",$R290="",$S290="Có",AND($L290&lt;&gt;"",OR($L290&lt;&gt;"Chưa xác định",DANH_MUC!$L$9="Có"))),"Có","Không"))</f>
        <v/>
      </c>
      <c r="U290" s="22">
        <f>IF(OR($D290="",$T290="Có"),"",IF($C290="","Thiếu họ tên; ","")&amp;IF($S290&lt;&gt;"Có","SĐT sai định dạng; ","")&amp;IF($R290="Trùng","Trùng SĐT; ","")&amp;IF($Q290&lt;&gt;"Có","Thiếu đồng ý bắt buộc; ","")&amp;IF($L290="","Thiếu/sai Mã REF; ",IF(AND($L290="Chưa xác định",DANH_MUC!$L$9&lt;&gt;"Có"),"Nguồn chưa xác định; ","")))</f>
        <v/>
      </c>
      <c r="V290" s="22">
        <f>IF(OR($D290="",$R290="Trùng"),"",IF(COUNTIF(ORDERS!$C$2:$C$4995,$D290)&gt;0,"Có","Không"))</f>
        <v/>
      </c>
      <c r="W290" s="22">
        <f>IF(OR($D290="",$R290="Trùng"),"",COUNTIFS(ORDERS!$C$2:$C$4995,$D290,ORDERS!$L$2:$L$4995,"Đã chuyển khoản"))</f>
        <v/>
      </c>
      <c r="X290" s="23">
        <f>IF(OR($D290="",$R290="Trùng"),"",SUMIFS(ORDERS!$J$2:$J$4995,ORDERS!$C$2:$C$4995,$D290,ORDERS!$L$2:$L$4995,"Đã chuyển khoản"))</f>
        <v/>
      </c>
      <c r="Y290" s="24" t="n"/>
    </row>
    <row r="291" ht="14.25" customHeight="1" s="40">
      <c r="A291" s="24" t="inlineStr">
        <is>
          <t>5b378e61-794b-4b8c-b89f-1e8445af7921</t>
        </is>
      </c>
      <c r="B291" s="18" t="n">
        <v>46295.62916666667</v>
      </c>
      <c r="C291" s="24" t="inlineStr">
        <is>
          <t>Lê Nga</t>
        </is>
      </c>
      <c r="D291" s="28" t="inlineStr">
        <is>
          <t>0393645269</t>
        </is>
      </c>
      <c r="E291" s="29" t="n">
        <v>46284</v>
      </c>
      <c r="F291" s="24" t="inlineStr">
        <is>
          <t>Đã sinh</t>
        </is>
      </c>
      <c r="G291" s="24" t="inlineStr">
        <is>
          <t>Hà Nội</t>
        </is>
      </c>
      <c r="H291" s="21">
        <f>IF(ISNUMBER($B291),INT($B291)-WEEKDAY($B291,2)+1,"")</f>
        <v/>
      </c>
      <c r="I291" s="24" t="inlineStr">
        <is>
          <t>C-03</t>
        </is>
      </c>
      <c r="J291" s="22">
        <f t="array" ref="J291">IF($D291="","",IF($I291="","(trống REF)",IFERROR(INDEX(MASTER_SOURCE!$B$2:$B$495,MATCH($I291,MASTER_SOURCE!$A$2:$A$495,0)),"(REF không có trong MASTER_SOURCE)")))</f>
        <v/>
      </c>
      <c r="K291" s="22">
        <f t="array" ref="K291">IF($D291="","",IFERROR(INDEX(MASTER_SOURCE!$C$2:$C$495,MATCH($I291,MASTER_SOURCE!$A$2:$A$495,0)),""))</f>
        <v/>
      </c>
      <c r="L291" s="22">
        <f t="array" ref="L291">IF($D291="","",IFERROR(INDEX(MASTER_SOURCE!$D$2:$D$495,MATCH($I291,MASTER_SOURCE!$A$2:$A$495,0)),""))</f>
        <v/>
      </c>
      <c r="M291" s="24" t="inlineStr">
        <is>
          <t>Có</t>
        </is>
      </c>
      <c r="N291" s="24" t="inlineStr">
        <is>
          <t>Có</t>
        </is>
      </c>
      <c r="O291" s="24" t="inlineStr">
        <is>
          <t>Có</t>
        </is>
      </c>
      <c r="P291" s="24" t="inlineStr">
        <is>
          <t>Có</t>
        </is>
      </c>
      <c r="Q291" s="22">
        <f>IF($D291="","",IF(AND(OR(DANH_MUC!$L$5&lt;&gt;"Có",M291="Có"),OR(DANH_MUC!$L$6&lt;&gt;"Có",N291="Có"),OR(DANH_MUC!$L$7&lt;&gt;"Có",O291="Có"),OR(DANH_MUC!$L$8&lt;&gt;"Có",P291="Có")),"Có","Không"))</f>
        <v/>
      </c>
      <c r="R291" s="22">
        <f>IF($D291="","",IF(COUNTIF($D$2:$D291,$D291)&gt;1,"Trùng",""))</f>
        <v/>
      </c>
      <c r="S291" s="22">
        <f>IF($D291="","",IF(AND(LEN($D291)=10,LEFT($D291,1)="0",ISNUMBER(--$D291)),"Có","Không"))</f>
        <v/>
      </c>
      <c r="T291" s="22">
        <f>IF($D291="","",IF(AND($C291&lt;&gt;"",$Q291="Có",$R291="",$S291="Có",AND($L291&lt;&gt;"",OR($L291&lt;&gt;"Chưa xác định",DANH_MUC!$L$9="Có"))),"Có","Không"))</f>
        <v/>
      </c>
      <c r="U291" s="22">
        <f>IF(OR($D291="",$T291="Có"),"",IF($C291="","Thiếu họ tên; ","")&amp;IF($S291&lt;&gt;"Có","SĐT sai định dạng; ","")&amp;IF($R291="Trùng","Trùng SĐT; ","")&amp;IF($Q291&lt;&gt;"Có","Thiếu đồng ý bắt buộc; ","")&amp;IF($L291="","Thiếu/sai Mã REF; ",IF(AND($L291="Chưa xác định",DANH_MUC!$L$9&lt;&gt;"Có"),"Nguồn chưa xác định; ","")))</f>
        <v/>
      </c>
      <c r="V291" s="22">
        <f>IF(OR($D291="",$R291="Trùng"),"",IF(COUNTIF(ORDERS!$C$2:$C$4995,$D291)&gt;0,"Có","Không"))</f>
        <v/>
      </c>
      <c r="W291" s="22">
        <f>IF(OR($D291="",$R291="Trùng"),"",COUNTIFS(ORDERS!$C$2:$C$4995,$D291,ORDERS!$L$2:$L$4995,"Đã chuyển khoản"))</f>
        <v/>
      </c>
      <c r="X291" s="23">
        <f>IF(OR($D291="",$R291="Trùng"),"",SUMIFS(ORDERS!$J$2:$J$4995,ORDERS!$C$2:$C$4995,$D291,ORDERS!$L$2:$L$4995,"Đã chuyển khoản"))</f>
        <v/>
      </c>
      <c r="Y291" s="24" t="n"/>
    </row>
    <row r="292" ht="14.25" customHeight="1" s="40">
      <c r="A292" s="24" t="inlineStr">
        <is>
          <t>d14e3464-2122-407b-9d13-3e664e445b4f</t>
        </is>
      </c>
      <c r="B292" s="18" t="n">
        <v>46295.63958333333</v>
      </c>
      <c r="C292" s="24" t="inlineStr">
        <is>
          <t>Phạm Thu Thuỷ</t>
        </is>
      </c>
      <c r="D292" s="28" t="inlineStr">
        <is>
          <t>0973207268</t>
        </is>
      </c>
      <c r="E292" s="29" t="n">
        <v>46233</v>
      </c>
      <c r="F292" s="24" t="inlineStr">
        <is>
          <t>Đã sinh</t>
        </is>
      </c>
      <c r="G292" s="24" t="inlineStr">
        <is>
          <t>Hà Nội</t>
        </is>
      </c>
      <c r="H292" s="21">
        <f>IF(ISNUMBER($B292),INT($B292)-WEEKDAY($B292,2)+1,"")</f>
        <v/>
      </c>
      <c r="I292" s="24" t="inlineStr">
        <is>
          <t>Z-SAMMY</t>
        </is>
      </c>
      <c r="J292" s="22">
        <f t="array" ref="J292">IF($D292="","",IF($I292="","(trống REF)",IFERROR(INDEX(MASTER_SOURCE!$B$2:$B$495,MATCH($I292,MASTER_SOURCE!$A$2:$A$495,0)),"(REF không có trong MASTER_SOURCE)")))</f>
        <v/>
      </c>
      <c r="K292" s="22">
        <f t="array" ref="K292">IF($D292="","",IFERROR(INDEX(MASTER_SOURCE!$C$2:$C$495,MATCH($I292,MASTER_SOURCE!$A$2:$A$495,0)),""))</f>
        <v/>
      </c>
      <c r="L292" s="22">
        <f t="array" ref="L292">IF($D292="","",IFERROR(INDEX(MASTER_SOURCE!$D$2:$D$495,MATCH($I292,MASTER_SOURCE!$A$2:$A$495,0)),""))</f>
        <v/>
      </c>
      <c r="M292" s="24" t="inlineStr">
        <is>
          <t>Có</t>
        </is>
      </c>
      <c r="N292" s="24" t="inlineStr">
        <is>
          <t>Có</t>
        </is>
      </c>
      <c r="O292" s="24" t="inlineStr">
        <is>
          <t>Có</t>
        </is>
      </c>
      <c r="P292" s="24" t="inlineStr">
        <is>
          <t>Có</t>
        </is>
      </c>
      <c r="Q292" s="22">
        <f>IF($D292="","",IF(AND(OR(DANH_MUC!$L$5&lt;&gt;"Có",M292="Có"),OR(DANH_MUC!$L$6&lt;&gt;"Có",N292="Có"),OR(DANH_MUC!$L$7&lt;&gt;"Có",O292="Có"),OR(DANH_MUC!$L$8&lt;&gt;"Có",P292="Có")),"Có","Không"))</f>
        <v/>
      </c>
      <c r="R292" s="22">
        <f>IF($D292="","",IF(COUNTIF($D$2:$D292,$D292)&gt;1,"Trùng",""))</f>
        <v/>
      </c>
      <c r="S292" s="22">
        <f>IF($D292="","",IF(AND(LEN($D292)=10,LEFT($D292,1)="0",ISNUMBER(--$D292)),"Có","Không"))</f>
        <v/>
      </c>
      <c r="T292" s="22">
        <f>IF($D292="","",IF(AND($C292&lt;&gt;"",$Q292="Có",$R292="",$S292="Có",AND($L292&lt;&gt;"",OR($L292&lt;&gt;"Chưa xác định",DANH_MUC!$L$9="Có"))),"Có","Không"))</f>
        <v/>
      </c>
      <c r="U292" s="22">
        <f>IF(OR($D292="",$T292="Có"),"",IF($C292="","Thiếu họ tên; ","")&amp;IF($S292&lt;&gt;"Có","SĐT sai định dạng; ","")&amp;IF($R292="Trùng","Trùng SĐT; ","")&amp;IF($Q292&lt;&gt;"Có","Thiếu đồng ý bắt buộc; ","")&amp;IF($L292="","Thiếu/sai Mã REF; ",IF(AND($L292="Chưa xác định",DANH_MUC!$L$9&lt;&gt;"Có"),"Nguồn chưa xác định; ","")))</f>
        <v/>
      </c>
      <c r="V292" s="22">
        <f>IF(OR($D292="",$R292="Trùng"),"",IF(COUNTIF(ORDERS!$C$2:$C$4995,$D292)&gt;0,"Có","Không"))</f>
        <v/>
      </c>
      <c r="W292" s="22">
        <f>IF(OR($D292="",$R292="Trùng"),"",COUNTIFS(ORDERS!$C$2:$C$4995,$D292,ORDERS!$L$2:$L$4995,"Đã chuyển khoản"))</f>
        <v/>
      </c>
      <c r="X292" s="23">
        <f>IF(OR($D292="",$R292="Trùng"),"",SUMIFS(ORDERS!$J$2:$J$4995,ORDERS!$C$2:$C$4995,$D292,ORDERS!$L$2:$L$4995,"Đã chuyển khoản"))</f>
        <v/>
      </c>
      <c r="Y292" s="24" t="n"/>
    </row>
    <row r="293" ht="14.25" customHeight="1" s="40">
      <c r="A293" s="24" t="inlineStr">
        <is>
          <t>b92dfb7b-60d3-499c-ad32-3b06e6972b4b</t>
        </is>
      </c>
      <c r="B293" s="18" t="n">
        <v>46295.65069444444</v>
      </c>
      <c r="C293" s="24" t="inlineStr">
        <is>
          <t>Nguyễn Thị Ngân</t>
        </is>
      </c>
      <c r="D293" s="28" t="inlineStr">
        <is>
          <t>0962036895</t>
        </is>
      </c>
      <c r="E293" s="29" t="n">
        <v>45895</v>
      </c>
      <c r="F293" s="24" t="inlineStr">
        <is>
          <t>Đã sinh</t>
        </is>
      </c>
      <c r="G293" s="24" t="inlineStr">
        <is>
          <t>Hưng Yên</t>
        </is>
      </c>
      <c r="H293" s="21">
        <f>IF(ISNUMBER($B293),INT($B293)-WEEKDAY($B293,2)+1,"")</f>
        <v/>
      </c>
      <c r="I293" s="24" t="inlineStr">
        <is>
          <t>C-07</t>
        </is>
      </c>
      <c r="J293" s="22">
        <f t="array" ref="J293">IF($D293="","",IF($I293="","(trống REF)",IFERROR(INDEX(MASTER_SOURCE!$B$2:$B$495,MATCH($I293,MASTER_SOURCE!$A$2:$A$495,0)),"(REF không có trong MASTER_SOURCE)")))</f>
        <v/>
      </c>
      <c r="K293" s="22">
        <f t="array" ref="K293">IF($D293="","",IFERROR(INDEX(MASTER_SOURCE!$C$2:$C$495,MATCH($I293,MASTER_SOURCE!$A$2:$A$495,0)),""))</f>
        <v/>
      </c>
      <c r="L293" s="22">
        <f t="array" ref="L293">IF($D293="","",IFERROR(INDEX(MASTER_SOURCE!$D$2:$D$495,MATCH($I293,MASTER_SOURCE!$A$2:$A$495,0)),""))</f>
        <v/>
      </c>
      <c r="M293" s="24" t="inlineStr">
        <is>
          <t>Có</t>
        </is>
      </c>
      <c r="N293" s="24" t="inlineStr">
        <is>
          <t>Có</t>
        </is>
      </c>
      <c r="O293" s="24" t="inlineStr">
        <is>
          <t>Có</t>
        </is>
      </c>
      <c r="P293" s="24" t="inlineStr">
        <is>
          <t>Có</t>
        </is>
      </c>
      <c r="Q293" s="22">
        <f>IF($D293="","",IF(AND(OR(DANH_MUC!$L$5&lt;&gt;"Có",M293="Có"),OR(DANH_MUC!$L$6&lt;&gt;"Có",N293="Có"),OR(DANH_MUC!$L$7&lt;&gt;"Có",O293="Có"),OR(DANH_MUC!$L$8&lt;&gt;"Có",P293="Có")),"Có","Không"))</f>
        <v/>
      </c>
      <c r="R293" s="22">
        <f>IF($D293="","",IF(COUNTIF($D$2:$D293,$D293)&gt;1,"Trùng",""))</f>
        <v/>
      </c>
      <c r="S293" s="22">
        <f>IF($D293="","",IF(AND(LEN($D293)=10,LEFT($D293,1)="0",ISNUMBER(--$D293)),"Có","Không"))</f>
        <v/>
      </c>
      <c r="T293" s="22">
        <f>IF($D293="","",IF(AND($C293&lt;&gt;"",$Q293="Có",$R293="",$S293="Có",AND($L293&lt;&gt;"",OR($L293&lt;&gt;"Chưa xác định",DANH_MUC!$L$9="Có"))),"Có","Không"))</f>
        <v/>
      </c>
      <c r="U293" s="22">
        <f>IF(OR($D293="",$T293="Có"),"",IF($C293="","Thiếu họ tên; ","")&amp;IF($S293&lt;&gt;"Có","SĐT sai định dạng; ","")&amp;IF($R293="Trùng","Trùng SĐT; ","")&amp;IF($Q293&lt;&gt;"Có","Thiếu đồng ý bắt buộc; ","")&amp;IF($L293="","Thiếu/sai Mã REF; ",IF(AND($L293="Chưa xác định",DANH_MUC!$L$9&lt;&gt;"Có"),"Nguồn chưa xác định; ","")))</f>
        <v/>
      </c>
      <c r="V293" s="22">
        <f>IF(OR($D293="",$R293="Trùng"),"",IF(COUNTIF(ORDERS!$C$2:$C$4995,$D293)&gt;0,"Có","Không"))</f>
        <v/>
      </c>
      <c r="W293" s="22">
        <f>IF(OR($D293="",$R293="Trùng"),"",COUNTIFS(ORDERS!$C$2:$C$4995,$D293,ORDERS!$L$2:$L$4995,"Đã chuyển khoản"))</f>
        <v/>
      </c>
      <c r="X293" s="23">
        <f>IF(OR($D293="",$R293="Trùng"),"",SUMIFS(ORDERS!$J$2:$J$4995,ORDERS!$C$2:$C$4995,$D293,ORDERS!$L$2:$L$4995,"Đã chuyển khoản"))</f>
        <v/>
      </c>
      <c r="Y293" s="24" t="n"/>
    </row>
    <row r="294" ht="14.25" customHeight="1" s="40">
      <c r="A294" s="24" t="inlineStr">
        <is>
          <t>65116c28-0bc7-428f-a377-eca5e7ebcc8b</t>
        </is>
      </c>
      <c r="B294" s="18" t="n">
        <v>46295.66111111111</v>
      </c>
      <c r="C294" s="24" t="inlineStr">
        <is>
          <t>Trần Khánh Duyên</t>
        </is>
      </c>
      <c r="D294" s="28" t="inlineStr">
        <is>
          <t>0588314581</t>
        </is>
      </c>
      <c r="E294" s="29" t="n">
        <v>46289</v>
      </c>
      <c r="F294" s="24" t="inlineStr">
        <is>
          <t>Đã sinh</t>
        </is>
      </c>
      <c r="G294" s="24" t="inlineStr">
        <is>
          <t>Hồ Chí Minh</t>
        </is>
      </c>
      <c r="H294" s="21">
        <f>IF(ISNUMBER($B294),INT($B294)-WEEKDAY($B294,2)+1,"")</f>
        <v/>
      </c>
      <c r="I294" s="24" t="inlineStr">
        <is>
          <t>C-03</t>
        </is>
      </c>
      <c r="J294" s="22">
        <f t="array" ref="J294">IF($D294="","",IF($I294="","(trống REF)",IFERROR(INDEX(MASTER_SOURCE!$B$2:$B$495,MATCH($I294,MASTER_SOURCE!$A$2:$A$495,0)),"(REF không có trong MASTER_SOURCE)")))</f>
        <v/>
      </c>
      <c r="K294" s="22">
        <f t="array" ref="K294">IF($D294="","",IFERROR(INDEX(MASTER_SOURCE!$C$2:$C$495,MATCH($I294,MASTER_SOURCE!$A$2:$A$495,0)),""))</f>
        <v/>
      </c>
      <c r="L294" s="22">
        <f t="array" ref="L294">IF($D294="","",IFERROR(INDEX(MASTER_SOURCE!$D$2:$D$495,MATCH($I294,MASTER_SOURCE!$A$2:$A$495,0)),""))</f>
        <v/>
      </c>
      <c r="M294" s="24" t="inlineStr">
        <is>
          <t>Có</t>
        </is>
      </c>
      <c r="N294" s="24" t="inlineStr">
        <is>
          <t>Có</t>
        </is>
      </c>
      <c r="O294" s="24" t="inlineStr">
        <is>
          <t>Có</t>
        </is>
      </c>
      <c r="P294" s="24" t="inlineStr">
        <is>
          <t>Có</t>
        </is>
      </c>
      <c r="Q294" s="22">
        <f>IF($D294="","",IF(AND(OR(DANH_MUC!$L$5&lt;&gt;"Có",M294="Có"),OR(DANH_MUC!$L$6&lt;&gt;"Có",N294="Có"),OR(DANH_MUC!$L$7&lt;&gt;"Có",O294="Có"),OR(DANH_MUC!$L$8&lt;&gt;"Có",P294="Có")),"Có","Không"))</f>
        <v/>
      </c>
      <c r="R294" s="22">
        <f>IF($D294="","",IF(COUNTIF($D$2:$D294,$D294)&gt;1,"Trùng",""))</f>
        <v/>
      </c>
      <c r="S294" s="22">
        <f>IF($D294="","",IF(AND(LEN($D294)=10,LEFT($D294,1)="0",ISNUMBER(--$D294)),"Có","Không"))</f>
        <v/>
      </c>
      <c r="T294" s="22">
        <f>IF($D294="","",IF(AND($C294&lt;&gt;"",$Q294="Có",$R294="",$S294="Có",AND($L294&lt;&gt;"",OR($L294&lt;&gt;"Chưa xác định",DANH_MUC!$L$9="Có"))),"Có","Không"))</f>
        <v/>
      </c>
      <c r="U294" s="22">
        <f>IF(OR($D294="",$T294="Có"),"",IF($C294="","Thiếu họ tên; ","")&amp;IF($S294&lt;&gt;"Có","SĐT sai định dạng; ","")&amp;IF($R294="Trùng","Trùng SĐT; ","")&amp;IF($Q294&lt;&gt;"Có","Thiếu đồng ý bắt buộc; ","")&amp;IF($L294="","Thiếu/sai Mã REF; ",IF(AND($L294="Chưa xác định",DANH_MUC!$L$9&lt;&gt;"Có"),"Nguồn chưa xác định; ","")))</f>
        <v/>
      </c>
      <c r="V294" s="22">
        <f>IF(OR($D294="",$R294="Trùng"),"",IF(COUNTIF(ORDERS!$C$2:$C$4995,$D294)&gt;0,"Có","Không"))</f>
        <v/>
      </c>
      <c r="W294" s="22">
        <f>IF(OR($D294="",$R294="Trùng"),"",COUNTIFS(ORDERS!$C$2:$C$4995,$D294,ORDERS!$L$2:$L$4995,"Đã chuyển khoản"))</f>
        <v/>
      </c>
      <c r="X294" s="23">
        <f>IF(OR($D294="",$R294="Trùng"),"",SUMIFS(ORDERS!$J$2:$J$4995,ORDERS!$C$2:$C$4995,$D294,ORDERS!$L$2:$L$4995,"Đã chuyển khoản"))</f>
        <v/>
      </c>
      <c r="Y294" s="24" t="n"/>
    </row>
    <row r="295" ht="14.25" customHeight="1" s="40">
      <c r="A295" s="24" t="inlineStr">
        <is>
          <t>af069e0b-7e48-4cf5-8152-3f96dd8dacf7</t>
        </is>
      </c>
      <c r="B295" s="18" t="n">
        <v>46295.66597222222</v>
      </c>
      <c r="C295" s="24" t="inlineStr">
        <is>
          <t>Vũ Hoàng Phương</t>
        </is>
      </c>
      <c r="D295" s="28" t="inlineStr">
        <is>
          <t>0978188693</t>
        </is>
      </c>
      <c r="E295" s="29" t="n">
        <v>45935</v>
      </c>
      <c r="F295" s="24" t="inlineStr">
        <is>
          <t>Đã sinh</t>
        </is>
      </c>
      <c r="G295" s="24" t="inlineStr">
        <is>
          <t>Hồ Chí Minh</t>
        </is>
      </c>
      <c r="H295" s="21">
        <f>IF(ISNUMBER($B295),INT($B295)-WEEKDAY($B295,2)+1,"")</f>
        <v/>
      </c>
      <c r="I295" s="24" t="inlineStr">
        <is>
          <t>C-02</t>
        </is>
      </c>
      <c r="J295" s="22">
        <f t="array" ref="J295">IF($D295="","",IF($I295="","(trống REF)",IFERROR(INDEX(MASTER_SOURCE!$B$2:$B$495,MATCH($I295,MASTER_SOURCE!$A$2:$A$495,0)),"(REF không có trong MASTER_SOURCE)")))</f>
        <v/>
      </c>
      <c r="K295" s="22">
        <f t="array" ref="K295">IF($D295="","",IFERROR(INDEX(MASTER_SOURCE!$C$2:$C$495,MATCH($I295,MASTER_SOURCE!$A$2:$A$495,0)),""))</f>
        <v/>
      </c>
      <c r="L295" s="22">
        <f t="array" ref="L295">IF($D295="","",IFERROR(INDEX(MASTER_SOURCE!$D$2:$D$495,MATCH($I295,MASTER_SOURCE!$A$2:$A$495,0)),""))</f>
        <v/>
      </c>
      <c r="M295" s="24" t="inlineStr">
        <is>
          <t>Có</t>
        </is>
      </c>
      <c r="N295" s="24" t="inlineStr">
        <is>
          <t>Có</t>
        </is>
      </c>
      <c r="O295" s="24" t="inlineStr">
        <is>
          <t>Có</t>
        </is>
      </c>
      <c r="P295" s="24" t="inlineStr">
        <is>
          <t>Có</t>
        </is>
      </c>
      <c r="Q295" s="22">
        <f>IF($D295="","",IF(AND(OR(DANH_MUC!$L$5&lt;&gt;"Có",M295="Có"),OR(DANH_MUC!$L$6&lt;&gt;"Có",N295="Có"),OR(DANH_MUC!$L$7&lt;&gt;"Có",O295="Có"),OR(DANH_MUC!$L$8&lt;&gt;"Có",P295="Có")),"Có","Không"))</f>
        <v/>
      </c>
      <c r="R295" s="22">
        <f>IF($D295="","",IF(COUNTIF($D$2:$D295,$D295)&gt;1,"Trùng",""))</f>
        <v/>
      </c>
      <c r="S295" s="22">
        <f>IF($D295="","",IF(AND(LEN($D295)=10,LEFT($D295,1)="0",ISNUMBER(--$D295)),"Có","Không"))</f>
        <v/>
      </c>
      <c r="T295" s="22">
        <f>IF($D295="","",IF(AND($C295&lt;&gt;"",$Q295="Có",$R295="",$S295="Có",AND($L295&lt;&gt;"",OR($L295&lt;&gt;"Chưa xác định",DANH_MUC!$L$9="Có"))),"Có","Không"))</f>
        <v/>
      </c>
      <c r="U295" s="22">
        <f>IF(OR($D295="",$T295="Có"),"",IF($C295="","Thiếu họ tên; ","")&amp;IF($S295&lt;&gt;"Có","SĐT sai định dạng; ","")&amp;IF($R295="Trùng","Trùng SĐT; ","")&amp;IF($Q295&lt;&gt;"Có","Thiếu đồng ý bắt buộc; ","")&amp;IF($L295="","Thiếu/sai Mã REF; ",IF(AND($L295="Chưa xác định",DANH_MUC!$L$9&lt;&gt;"Có"),"Nguồn chưa xác định; ","")))</f>
        <v/>
      </c>
      <c r="V295" s="22">
        <f>IF(OR($D295="",$R295="Trùng"),"",IF(COUNTIF(ORDERS!$C$2:$C$4995,$D295)&gt;0,"Có","Không"))</f>
        <v/>
      </c>
      <c r="W295" s="22">
        <f>IF(OR($D295="",$R295="Trùng"),"",COUNTIFS(ORDERS!$C$2:$C$4995,$D295,ORDERS!$L$2:$L$4995,"Đã chuyển khoản"))</f>
        <v/>
      </c>
      <c r="X295" s="23">
        <f>IF(OR($D295="",$R295="Trùng"),"",SUMIFS(ORDERS!$J$2:$J$4995,ORDERS!$C$2:$C$4995,$D295,ORDERS!$L$2:$L$4995,"Đã chuyển khoản"))</f>
        <v/>
      </c>
      <c r="Y295" s="24" t="n"/>
    </row>
    <row r="296" ht="14.25" customHeight="1" s="40">
      <c r="A296" s="24" t="inlineStr">
        <is>
          <t>78c91986-fd94-4625-9f56-47d20ac98145</t>
        </is>
      </c>
      <c r="B296" s="18" t="n">
        <v>46295.67152777778</v>
      </c>
      <c r="C296" s="24" t="inlineStr">
        <is>
          <t>Đoàn Hà Giang</t>
        </is>
      </c>
      <c r="D296" s="28" t="inlineStr">
        <is>
          <t>0965045518</t>
        </is>
      </c>
      <c r="E296" s="29" t="n">
        <v>46261</v>
      </c>
      <c r="F296" s="24" t="inlineStr">
        <is>
          <t>Đã sinh</t>
        </is>
      </c>
      <c r="G296" s="24" t="inlineStr">
        <is>
          <t>Hà Nội</t>
        </is>
      </c>
      <c r="H296" s="21">
        <f>IF(ISNUMBER($B296),INT($B296)-WEEKDAY($B296,2)+1,"")</f>
        <v/>
      </c>
      <c r="I296" s="24" t="inlineStr">
        <is>
          <t>Z-SAMMY</t>
        </is>
      </c>
      <c r="J296" s="22">
        <f t="array" ref="J296">IF($D296="","",IF($I296="","(trống REF)",IFERROR(INDEX(MASTER_SOURCE!$B$2:$B$495,MATCH($I296,MASTER_SOURCE!$A$2:$A$495,0)),"(REF không có trong MASTER_SOURCE)")))</f>
        <v/>
      </c>
      <c r="K296" s="22">
        <f t="array" ref="K296">IF($D296="","",IFERROR(INDEX(MASTER_SOURCE!$C$2:$C$495,MATCH($I296,MASTER_SOURCE!$A$2:$A$495,0)),""))</f>
        <v/>
      </c>
      <c r="L296" s="22">
        <f t="array" ref="L296">IF($D296="","",IFERROR(INDEX(MASTER_SOURCE!$D$2:$D$495,MATCH($I296,MASTER_SOURCE!$A$2:$A$495,0)),""))</f>
        <v/>
      </c>
      <c r="M296" s="24" t="inlineStr">
        <is>
          <t>Có</t>
        </is>
      </c>
      <c r="N296" s="24" t="inlineStr">
        <is>
          <t>Có</t>
        </is>
      </c>
      <c r="O296" s="24" t="inlineStr">
        <is>
          <t>Có</t>
        </is>
      </c>
      <c r="P296" s="24" t="inlineStr">
        <is>
          <t>Có</t>
        </is>
      </c>
      <c r="Q296" s="22">
        <f>IF($D296="","",IF(AND(OR(DANH_MUC!$L$5&lt;&gt;"Có",M296="Có"),OR(DANH_MUC!$L$6&lt;&gt;"Có",N296="Có"),OR(DANH_MUC!$L$7&lt;&gt;"Có",O296="Có"),OR(DANH_MUC!$L$8&lt;&gt;"Có",P296="Có")),"Có","Không"))</f>
        <v/>
      </c>
      <c r="R296" s="22">
        <f>IF($D296="","",IF(COUNTIF($D$2:$D296,$D296)&gt;1,"Trùng",""))</f>
        <v/>
      </c>
      <c r="S296" s="22">
        <f>IF($D296="","",IF(AND(LEN($D296)=10,LEFT($D296,1)="0",ISNUMBER(--$D296)),"Có","Không"))</f>
        <v/>
      </c>
      <c r="T296" s="22">
        <f>IF($D296="","",IF(AND($C296&lt;&gt;"",$Q296="Có",$R296="",$S296="Có",AND($L296&lt;&gt;"",OR($L296&lt;&gt;"Chưa xác định",DANH_MUC!$L$9="Có"))),"Có","Không"))</f>
        <v/>
      </c>
      <c r="U296" s="22">
        <f>IF(OR($D296="",$T296="Có"),"",IF($C296="","Thiếu họ tên; ","")&amp;IF($S296&lt;&gt;"Có","SĐT sai định dạng; ","")&amp;IF($R296="Trùng","Trùng SĐT; ","")&amp;IF($Q296&lt;&gt;"Có","Thiếu đồng ý bắt buộc; ","")&amp;IF($L296="","Thiếu/sai Mã REF; ",IF(AND($L296="Chưa xác định",DANH_MUC!$L$9&lt;&gt;"Có"),"Nguồn chưa xác định; ","")))</f>
        <v/>
      </c>
      <c r="V296" s="22">
        <f>IF(OR($D296="",$R296="Trùng"),"",IF(COUNTIF(ORDERS!$C$2:$C$4995,$D296)&gt;0,"Có","Không"))</f>
        <v/>
      </c>
      <c r="W296" s="22">
        <f>IF(OR($D296="",$R296="Trùng"),"",COUNTIFS(ORDERS!$C$2:$C$4995,$D296,ORDERS!$L$2:$L$4995,"Đã chuyển khoản"))</f>
        <v/>
      </c>
      <c r="X296" s="23">
        <f>IF(OR($D296="",$R296="Trùng"),"",SUMIFS(ORDERS!$J$2:$J$4995,ORDERS!$C$2:$C$4995,$D296,ORDERS!$L$2:$L$4995,"Đã chuyển khoản"))</f>
        <v/>
      </c>
      <c r="Y296" s="24" t="n"/>
    </row>
    <row r="297" ht="14.25" customHeight="1" s="40">
      <c r="A297" s="24" t="inlineStr">
        <is>
          <t>4724aa94-7eb3-407f-a074-b2b0177ecb50</t>
        </is>
      </c>
      <c r="B297" s="18" t="n">
        <v>46295.67291666667</v>
      </c>
      <c r="C297" s="24" t="inlineStr">
        <is>
          <t>Huỳnh Minh Thu</t>
        </is>
      </c>
      <c r="D297" s="28" t="inlineStr">
        <is>
          <t>0777977992</t>
        </is>
      </c>
      <c r="E297" s="29" t="n">
        <v>46414</v>
      </c>
      <c r="F297" s="24" t="inlineStr">
        <is>
          <t>Đang mang thai</t>
        </is>
      </c>
      <c r="G297" s="24" t="inlineStr">
        <is>
          <t>Hồ Chí Minh</t>
        </is>
      </c>
      <c r="H297" s="21">
        <f>IF(ISNUMBER($B297),INT($B297)-WEEKDAY($B297,2)+1,"")</f>
        <v/>
      </c>
      <c r="I297" s="24" t="inlineStr">
        <is>
          <t>C-03</t>
        </is>
      </c>
      <c r="J297" s="22">
        <f t="array" ref="J297">IF($D297="","",IF($I297="","(trống REF)",IFERROR(INDEX(MASTER_SOURCE!$B$2:$B$495,MATCH($I297,MASTER_SOURCE!$A$2:$A$495,0)),"(REF không có trong MASTER_SOURCE)")))</f>
        <v/>
      </c>
      <c r="K297" s="22">
        <f t="array" ref="K297">IF($D297="","",IFERROR(INDEX(MASTER_SOURCE!$C$2:$C$495,MATCH($I297,MASTER_SOURCE!$A$2:$A$495,0)),""))</f>
        <v/>
      </c>
      <c r="L297" s="22">
        <f t="array" ref="L297">IF($D297="","",IFERROR(INDEX(MASTER_SOURCE!$D$2:$D$495,MATCH($I297,MASTER_SOURCE!$A$2:$A$495,0)),""))</f>
        <v/>
      </c>
      <c r="M297" s="24" t="inlineStr">
        <is>
          <t>Có</t>
        </is>
      </c>
      <c r="N297" s="24" t="inlineStr">
        <is>
          <t>Có</t>
        </is>
      </c>
      <c r="O297" s="24" t="inlineStr">
        <is>
          <t>Có</t>
        </is>
      </c>
      <c r="P297" s="24" t="inlineStr">
        <is>
          <t>Có</t>
        </is>
      </c>
      <c r="Q297" s="22">
        <f>IF($D297="","",IF(AND(OR(DANH_MUC!$L$5&lt;&gt;"Có",M297="Có"),OR(DANH_MUC!$L$6&lt;&gt;"Có",N297="Có"),OR(DANH_MUC!$L$7&lt;&gt;"Có",O297="Có"),OR(DANH_MUC!$L$8&lt;&gt;"Có",P297="Có")),"Có","Không"))</f>
        <v/>
      </c>
      <c r="R297" s="22">
        <f>IF($D297="","",IF(COUNTIF($D$2:$D297,$D297)&gt;1,"Trùng",""))</f>
        <v/>
      </c>
      <c r="S297" s="22">
        <f>IF($D297="","",IF(AND(LEN($D297)=10,LEFT($D297,1)="0",ISNUMBER(--$D297)),"Có","Không"))</f>
        <v/>
      </c>
      <c r="T297" s="22">
        <f>IF($D297="","",IF(AND($C297&lt;&gt;"",$Q297="Có",$R297="",$S297="Có",AND($L297&lt;&gt;"",OR($L297&lt;&gt;"Chưa xác định",DANH_MUC!$L$9="Có"))),"Có","Không"))</f>
        <v/>
      </c>
      <c r="U297" s="22">
        <f>IF(OR($D297="",$T297="Có"),"",IF($C297="","Thiếu họ tên; ","")&amp;IF($S297&lt;&gt;"Có","SĐT sai định dạng; ","")&amp;IF($R297="Trùng","Trùng SĐT; ","")&amp;IF($Q297&lt;&gt;"Có","Thiếu đồng ý bắt buộc; ","")&amp;IF($L297="","Thiếu/sai Mã REF; ",IF(AND($L297="Chưa xác định",DANH_MUC!$L$9&lt;&gt;"Có"),"Nguồn chưa xác định; ","")))</f>
        <v/>
      </c>
      <c r="V297" s="22">
        <f>IF(OR($D297="",$R297="Trùng"),"",IF(COUNTIF(ORDERS!$C$2:$C$4995,$D297)&gt;0,"Có","Không"))</f>
        <v/>
      </c>
      <c r="W297" s="22">
        <f>IF(OR($D297="",$R297="Trùng"),"",COUNTIFS(ORDERS!$C$2:$C$4995,$D297,ORDERS!$L$2:$L$4995,"Đã chuyển khoản"))</f>
        <v/>
      </c>
      <c r="X297" s="23">
        <f>IF(OR($D297="",$R297="Trùng"),"",SUMIFS(ORDERS!$J$2:$J$4995,ORDERS!$C$2:$C$4995,$D297,ORDERS!$L$2:$L$4995,"Đã chuyển khoản"))</f>
        <v/>
      </c>
      <c r="Y297" s="24" t="n"/>
    </row>
    <row r="298" ht="14.25" customHeight="1" s="40">
      <c r="A298" s="24" t="inlineStr">
        <is>
          <t>f3f175f3-97f4-4f19-8090-733ee2e0cce9</t>
        </is>
      </c>
      <c r="B298" s="18" t="n">
        <v>46295.67291666667</v>
      </c>
      <c r="C298" s="24" t="inlineStr">
        <is>
          <t>Lê Thị Hường</t>
        </is>
      </c>
      <c r="D298" s="28" t="inlineStr">
        <is>
          <t>0348649886</t>
        </is>
      </c>
      <c r="E298" s="29" t="n">
        <v>46147</v>
      </c>
      <c r="F298" s="24" t="inlineStr">
        <is>
          <t>Đã sinh</t>
        </is>
      </c>
      <c r="G298" s="24" t="inlineStr">
        <is>
          <t>Hà Nội</t>
        </is>
      </c>
      <c r="H298" s="21">
        <f>IF(ISNUMBER($B298),INT($B298)-WEEKDAY($B298,2)+1,"")</f>
        <v/>
      </c>
      <c r="I298" s="24" t="inlineStr">
        <is>
          <t>C-00</t>
        </is>
      </c>
      <c r="J298" s="22">
        <f t="array" ref="J298">IF($D298="","",IF($I298="","(trống REF)",IFERROR(INDEX(MASTER_SOURCE!$B$2:$B$495,MATCH($I298,MASTER_SOURCE!$A$2:$A$495,0)),"(REF không có trong MASTER_SOURCE)")))</f>
        <v/>
      </c>
      <c r="K298" s="22">
        <f t="array" ref="K298">IF($D298="","",IFERROR(INDEX(MASTER_SOURCE!$C$2:$C$495,MATCH($I298,MASTER_SOURCE!$A$2:$A$495,0)),""))</f>
        <v/>
      </c>
      <c r="L298" s="22">
        <f t="array" ref="L298">IF($D298="","",IFERROR(INDEX(MASTER_SOURCE!$D$2:$D$495,MATCH($I298,MASTER_SOURCE!$A$2:$A$495,0)),""))</f>
        <v/>
      </c>
      <c r="M298" s="24" t="inlineStr">
        <is>
          <t>Có</t>
        </is>
      </c>
      <c r="N298" s="24" t="inlineStr">
        <is>
          <t>Có</t>
        </is>
      </c>
      <c r="O298" s="24" t="inlineStr">
        <is>
          <t>Có</t>
        </is>
      </c>
      <c r="P298" s="24" t="inlineStr">
        <is>
          <t>Có</t>
        </is>
      </c>
      <c r="Q298" s="22">
        <f>IF($D298="","",IF(AND(OR(DANH_MUC!$L$5&lt;&gt;"Có",M298="Có"),OR(DANH_MUC!$L$6&lt;&gt;"Có",N298="Có"),OR(DANH_MUC!$L$7&lt;&gt;"Có",O298="Có"),OR(DANH_MUC!$L$8&lt;&gt;"Có",P298="Có")),"Có","Không"))</f>
        <v/>
      </c>
      <c r="R298" s="22">
        <f>IF($D298="","",IF(COUNTIF($D$2:$D298,$D298)&gt;1,"Trùng",""))</f>
        <v/>
      </c>
      <c r="S298" s="22">
        <f>IF($D298="","",IF(AND(LEN($D298)=10,LEFT($D298,1)="0",ISNUMBER(--$D298)),"Có","Không"))</f>
        <v/>
      </c>
      <c r="T298" s="22">
        <f>IF($D298="","",IF(AND($C298&lt;&gt;"",$Q298="Có",$R298="",$S298="Có",AND($L298&lt;&gt;"",OR($L298&lt;&gt;"Chưa xác định",DANH_MUC!$L$9="Có"))),"Có","Không"))</f>
        <v/>
      </c>
      <c r="U298" s="22">
        <f>IF(OR($D298="",$T298="Có"),"",IF($C298="","Thiếu họ tên; ","")&amp;IF($S298&lt;&gt;"Có","SĐT sai định dạng; ","")&amp;IF($R298="Trùng","Trùng SĐT; ","")&amp;IF($Q298&lt;&gt;"Có","Thiếu đồng ý bắt buộc; ","")&amp;IF($L298="","Thiếu/sai Mã REF; ",IF(AND($L298="Chưa xác định",DANH_MUC!$L$9&lt;&gt;"Có"),"Nguồn chưa xác định; ","")))</f>
        <v/>
      </c>
      <c r="V298" s="22">
        <f>IF(OR($D298="",$R298="Trùng"),"",IF(COUNTIF(ORDERS!$C$2:$C$4995,$D298)&gt;0,"Có","Không"))</f>
        <v/>
      </c>
      <c r="W298" s="22">
        <f>IF(OR($D298="",$R298="Trùng"),"",COUNTIFS(ORDERS!$C$2:$C$4995,$D298,ORDERS!$L$2:$L$4995,"Đã chuyển khoản"))</f>
        <v/>
      </c>
      <c r="X298" s="23">
        <f>IF(OR($D298="",$R298="Trùng"),"",SUMIFS(ORDERS!$J$2:$J$4995,ORDERS!$C$2:$C$4995,$D298,ORDERS!$L$2:$L$4995,"Đã chuyển khoản"))</f>
        <v/>
      </c>
      <c r="Y298" s="24" t="n"/>
    </row>
    <row r="299" ht="14.25" customHeight="1" s="40">
      <c r="A299" s="24" t="inlineStr">
        <is>
          <t>fd51ed37-1e3e-41af-bcc4-6d1544145ad6</t>
        </is>
      </c>
      <c r="B299" s="18" t="n">
        <v>46295.67916666667</v>
      </c>
      <c r="C299" s="24" t="inlineStr">
        <is>
          <t>Nguyễn Thúy Hậu</t>
        </is>
      </c>
      <c r="D299" s="28" t="inlineStr">
        <is>
          <t>0325363909</t>
        </is>
      </c>
      <c r="E299" s="29" t="n">
        <v>46226</v>
      </c>
      <c r="F299" s="24" t="inlineStr">
        <is>
          <t>Đã sinh</t>
        </is>
      </c>
      <c r="G299" s="24" t="inlineStr">
        <is>
          <t>Đồng Nai</t>
        </is>
      </c>
      <c r="H299" s="21">
        <f>IF(ISNUMBER($B299),INT($B299)-WEEKDAY($B299,2)+1,"")</f>
        <v/>
      </c>
      <c r="I299" s="24" t="inlineStr">
        <is>
          <t>C-00</t>
        </is>
      </c>
      <c r="J299" s="22">
        <f t="array" ref="J299">IF($D299="","",IF($I299="","(trống REF)",IFERROR(INDEX(MASTER_SOURCE!$B$2:$B$495,MATCH($I299,MASTER_SOURCE!$A$2:$A$495,0)),"(REF không có trong MASTER_SOURCE)")))</f>
        <v/>
      </c>
      <c r="K299" s="22">
        <f t="array" ref="K299">IF($D299="","",IFERROR(INDEX(MASTER_SOURCE!$C$2:$C$495,MATCH($I299,MASTER_SOURCE!$A$2:$A$495,0)),""))</f>
        <v/>
      </c>
      <c r="L299" s="22">
        <f t="array" ref="L299">IF($D299="","",IFERROR(INDEX(MASTER_SOURCE!$D$2:$D$495,MATCH($I299,MASTER_SOURCE!$A$2:$A$495,0)),""))</f>
        <v/>
      </c>
      <c r="M299" s="24" t="inlineStr">
        <is>
          <t>Có</t>
        </is>
      </c>
      <c r="N299" s="24" t="inlineStr">
        <is>
          <t>Có</t>
        </is>
      </c>
      <c r="O299" s="24" t="inlineStr">
        <is>
          <t>Có</t>
        </is>
      </c>
      <c r="P299" s="24" t="inlineStr">
        <is>
          <t>Có</t>
        </is>
      </c>
      <c r="Q299" s="22">
        <f>IF($D299="","",IF(AND(OR(DANH_MUC!$L$5&lt;&gt;"Có",M299="Có"),OR(DANH_MUC!$L$6&lt;&gt;"Có",N299="Có"),OR(DANH_MUC!$L$7&lt;&gt;"Có",O299="Có"),OR(DANH_MUC!$L$8&lt;&gt;"Có",P299="Có")),"Có","Không"))</f>
        <v/>
      </c>
      <c r="R299" s="22">
        <f>IF($D299="","",IF(COUNTIF($D$2:$D299,$D299)&gt;1,"Trùng",""))</f>
        <v/>
      </c>
      <c r="S299" s="22">
        <f>IF($D299="","",IF(AND(LEN($D299)=10,LEFT($D299,1)="0",ISNUMBER(--$D299)),"Có","Không"))</f>
        <v/>
      </c>
      <c r="T299" s="22">
        <f>IF($D299="","",IF(AND($C299&lt;&gt;"",$Q299="Có",$R299="",$S299="Có",AND($L299&lt;&gt;"",OR($L299&lt;&gt;"Chưa xác định",DANH_MUC!$L$9="Có"))),"Có","Không"))</f>
        <v/>
      </c>
      <c r="U299" s="22">
        <f>IF(OR($D299="",$T299="Có"),"",IF($C299="","Thiếu họ tên; ","")&amp;IF($S299&lt;&gt;"Có","SĐT sai định dạng; ","")&amp;IF($R299="Trùng","Trùng SĐT; ","")&amp;IF($Q299&lt;&gt;"Có","Thiếu đồng ý bắt buộc; ","")&amp;IF($L299="","Thiếu/sai Mã REF; ",IF(AND($L299="Chưa xác định",DANH_MUC!$L$9&lt;&gt;"Có"),"Nguồn chưa xác định; ","")))</f>
        <v/>
      </c>
      <c r="V299" s="22">
        <f>IF(OR($D299="",$R299="Trùng"),"",IF(COUNTIF(ORDERS!$C$2:$C$4995,$D299)&gt;0,"Có","Không"))</f>
        <v/>
      </c>
      <c r="W299" s="22">
        <f>IF(OR($D299="",$R299="Trùng"),"",COUNTIFS(ORDERS!$C$2:$C$4995,$D299,ORDERS!$L$2:$L$4995,"Đã chuyển khoản"))</f>
        <v/>
      </c>
      <c r="X299" s="23">
        <f>IF(OR($D299="",$R299="Trùng"),"",SUMIFS(ORDERS!$J$2:$J$4995,ORDERS!$C$2:$C$4995,$D299,ORDERS!$L$2:$L$4995,"Đã chuyển khoản"))</f>
        <v/>
      </c>
      <c r="Y299" s="24" t="n"/>
    </row>
    <row r="300" ht="14.25" customHeight="1" s="40">
      <c r="A300" s="24" t="inlineStr">
        <is>
          <t>2844c49b-ad1c-4372-b1fa-d627921d1b07</t>
        </is>
      </c>
      <c r="B300" s="18" t="n">
        <v>46295.67986111111</v>
      </c>
      <c r="C300" s="24" t="inlineStr">
        <is>
          <t>An</t>
        </is>
      </c>
      <c r="D300" s="28" t="inlineStr">
        <is>
          <t>0932018541</t>
        </is>
      </c>
      <c r="E300" s="29" t="n">
        <v>46276</v>
      </c>
      <c r="F300" s="24" t="inlineStr">
        <is>
          <t>Đã sinh</t>
        </is>
      </c>
      <c r="G300" s="24" t="inlineStr">
        <is>
          <t>Hồ Chí Minh</t>
        </is>
      </c>
      <c r="H300" s="21">
        <f>IF(ISNUMBER($B300),INT($B300)-WEEKDAY($B300,2)+1,"")</f>
        <v/>
      </c>
      <c r="I300" s="24" t="inlineStr">
        <is>
          <t>C-00</t>
        </is>
      </c>
      <c r="J300" s="22">
        <f t="array" ref="J300">IF($D300="","",IF($I300="","(trống REF)",IFERROR(INDEX(MASTER_SOURCE!$B$2:$B$495,MATCH($I300,MASTER_SOURCE!$A$2:$A$495,0)),"(REF không có trong MASTER_SOURCE)")))</f>
        <v/>
      </c>
      <c r="K300" s="22">
        <f t="array" ref="K300">IF($D300="","",IFERROR(INDEX(MASTER_SOURCE!$C$2:$C$495,MATCH($I300,MASTER_SOURCE!$A$2:$A$495,0)),""))</f>
        <v/>
      </c>
      <c r="L300" s="22">
        <f t="array" ref="L300">IF($D300="","",IFERROR(INDEX(MASTER_SOURCE!$D$2:$D$495,MATCH($I300,MASTER_SOURCE!$A$2:$A$495,0)),""))</f>
        <v/>
      </c>
      <c r="M300" s="24" t="inlineStr">
        <is>
          <t>Có</t>
        </is>
      </c>
      <c r="N300" s="24" t="inlineStr">
        <is>
          <t>Có</t>
        </is>
      </c>
      <c r="O300" s="24" t="inlineStr">
        <is>
          <t>Có</t>
        </is>
      </c>
      <c r="P300" s="24" t="inlineStr">
        <is>
          <t>Có</t>
        </is>
      </c>
      <c r="Q300" s="22">
        <f>IF($D300="","",IF(AND(OR(DANH_MUC!$L$5&lt;&gt;"Có",M300="Có"),OR(DANH_MUC!$L$6&lt;&gt;"Có",N300="Có"),OR(DANH_MUC!$L$7&lt;&gt;"Có",O300="Có"),OR(DANH_MUC!$L$8&lt;&gt;"Có",P300="Có")),"Có","Không"))</f>
        <v/>
      </c>
      <c r="R300" s="22">
        <f>IF($D300="","",IF(COUNTIF($D$2:$D300,$D300)&gt;1,"Trùng",""))</f>
        <v/>
      </c>
      <c r="S300" s="22">
        <f>IF($D300="","",IF(AND(LEN($D300)=10,LEFT($D300,1)="0",ISNUMBER(--$D300)),"Có","Không"))</f>
        <v/>
      </c>
      <c r="T300" s="22">
        <f>IF($D300="","",IF(AND($C300&lt;&gt;"",$Q300="Có",$R300="",$S300="Có",AND($L300&lt;&gt;"",OR($L300&lt;&gt;"Chưa xác định",DANH_MUC!$L$9="Có"))),"Có","Không"))</f>
        <v/>
      </c>
      <c r="U300" s="22">
        <f>IF(OR($D300="",$T300="Có"),"",IF($C300="","Thiếu họ tên; ","")&amp;IF($S300&lt;&gt;"Có","SĐT sai định dạng; ","")&amp;IF($R300="Trùng","Trùng SĐT; ","")&amp;IF($Q300&lt;&gt;"Có","Thiếu đồng ý bắt buộc; ","")&amp;IF($L300="","Thiếu/sai Mã REF; ",IF(AND($L300="Chưa xác định",DANH_MUC!$L$9&lt;&gt;"Có"),"Nguồn chưa xác định; ","")))</f>
        <v/>
      </c>
      <c r="V300" s="22">
        <f>IF(OR($D300="",$R300="Trùng"),"",IF(COUNTIF(ORDERS!$C$2:$C$4995,$D300)&gt;0,"Có","Không"))</f>
        <v/>
      </c>
      <c r="W300" s="22">
        <f>IF(OR($D300="",$R300="Trùng"),"",COUNTIFS(ORDERS!$C$2:$C$4995,$D300,ORDERS!$L$2:$L$4995,"Đã chuyển khoản"))</f>
        <v/>
      </c>
      <c r="X300" s="23">
        <f>IF(OR($D300="",$R300="Trùng"),"",SUMIFS(ORDERS!$J$2:$J$4995,ORDERS!$C$2:$C$4995,$D300,ORDERS!$L$2:$L$4995,"Đã chuyển khoản"))</f>
        <v/>
      </c>
      <c r="Y300" s="24" t="n"/>
    </row>
    <row r="301" ht="14.25" customHeight="1" s="40">
      <c r="A301" s="24" t="inlineStr">
        <is>
          <t>5439055e-e0c6-4434-bc9c-d076a0c01ca3</t>
        </is>
      </c>
      <c r="B301" s="18" t="n">
        <v>46295.69236111111</v>
      </c>
      <c r="C301" s="24" t="inlineStr">
        <is>
          <t>LAN ANH</t>
        </is>
      </c>
      <c r="D301" s="28" t="inlineStr">
        <is>
          <t>0963902110</t>
        </is>
      </c>
      <c r="E301" s="29" t="n">
        <v>45681</v>
      </c>
      <c r="F301" s="24" t="inlineStr">
        <is>
          <t>Đã sinh</t>
        </is>
      </c>
      <c r="G301" s="24" t="inlineStr">
        <is>
          <t>Hải Phòng</t>
        </is>
      </c>
      <c r="H301" s="21">
        <f>IF(ISNUMBER($B301),INT($B301)-WEEKDAY($B301,2)+1,"")</f>
        <v/>
      </c>
      <c r="I301" s="24" t="inlineStr">
        <is>
          <t>C-00</t>
        </is>
      </c>
      <c r="J301" s="22">
        <f t="array" ref="J301">IF($D301="","",IF($I301="","(trống REF)",IFERROR(INDEX(MASTER_SOURCE!$B$2:$B$495,MATCH($I301,MASTER_SOURCE!$A$2:$A$495,0)),"(REF không có trong MASTER_SOURCE)")))</f>
        <v/>
      </c>
      <c r="K301" s="22">
        <f t="array" ref="K301">IF($D301="","",IFERROR(INDEX(MASTER_SOURCE!$C$2:$C$495,MATCH($I301,MASTER_SOURCE!$A$2:$A$495,0)),""))</f>
        <v/>
      </c>
      <c r="L301" s="22">
        <f t="array" ref="L301">IF($D301="","",IFERROR(INDEX(MASTER_SOURCE!$D$2:$D$495,MATCH($I301,MASTER_SOURCE!$A$2:$A$495,0)),""))</f>
        <v/>
      </c>
      <c r="M301" s="24" t="inlineStr">
        <is>
          <t>Có</t>
        </is>
      </c>
      <c r="N301" s="24" t="inlineStr">
        <is>
          <t>Có</t>
        </is>
      </c>
      <c r="O301" s="24" t="inlineStr">
        <is>
          <t>Có</t>
        </is>
      </c>
      <c r="P301" s="24" t="inlineStr">
        <is>
          <t>Có</t>
        </is>
      </c>
      <c r="Q301" s="22">
        <f>IF($D301="","",IF(AND(OR(DANH_MUC!$L$5&lt;&gt;"Có",M301="Có"),OR(DANH_MUC!$L$6&lt;&gt;"Có",N301="Có"),OR(DANH_MUC!$L$7&lt;&gt;"Có",O301="Có"),OR(DANH_MUC!$L$8&lt;&gt;"Có",P301="Có")),"Có","Không"))</f>
        <v/>
      </c>
      <c r="R301" s="22">
        <f>IF($D301="","",IF(COUNTIF($D$2:$D301,$D301)&gt;1,"Trùng",""))</f>
        <v/>
      </c>
      <c r="S301" s="22">
        <f>IF($D301="","",IF(AND(LEN($D301)=10,LEFT($D301,1)="0",ISNUMBER(--$D301)),"Có","Không"))</f>
        <v/>
      </c>
      <c r="T301" s="22">
        <f>IF($D301="","",IF(AND($C301&lt;&gt;"",$Q301="Có",$R301="",$S301="Có",AND($L301&lt;&gt;"",OR($L301&lt;&gt;"Chưa xác định",DANH_MUC!$L$9="Có"))),"Có","Không"))</f>
        <v/>
      </c>
      <c r="U301" s="22">
        <f>IF(OR($D301="",$T301="Có"),"",IF($C301="","Thiếu họ tên; ","")&amp;IF($S301&lt;&gt;"Có","SĐT sai định dạng; ","")&amp;IF($R301="Trùng","Trùng SĐT; ","")&amp;IF($Q301&lt;&gt;"Có","Thiếu đồng ý bắt buộc; ","")&amp;IF($L301="","Thiếu/sai Mã REF; ",IF(AND($L301="Chưa xác định",DANH_MUC!$L$9&lt;&gt;"Có"),"Nguồn chưa xác định; ","")))</f>
        <v/>
      </c>
      <c r="V301" s="22">
        <f>IF(OR($D301="",$R301="Trùng"),"",IF(COUNTIF(ORDERS!$C$2:$C$4995,$D301)&gt;0,"Có","Không"))</f>
        <v/>
      </c>
      <c r="W301" s="22">
        <f>IF(OR($D301="",$R301="Trùng"),"",COUNTIFS(ORDERS!$C$2:$C$4995,$D301,ORDERS!$L$2:$L$4995,"Đã chuyển khoản"))</f>
        <v/>
      </c>
      <c r="X301" s="23">
        <f>IF(OR($D301="",$R301="Trùng"),"",SUMIFS(ORDERS!$J$2:$J$4995,ORDERS!$C$2:$C$4995,$D301,ORDERS!$L$2:$L$4995,"Đã chuyển khoản"))</f>
        <v/>
      </c>
      <c r="Y301" s="24" t="n"/>
    </row>
    <row r="302" ht="14.25" customHeight="1" s="40">
      <c r="A302" s="24" t="inlineStr">
        <is>
          <t>3d4da2dc-1885-43fb-975f-4903a2c1e914</t>
        </is>
      </c>
      <c r="B302" s="18" t="n">
        <v>46295.69722222222</v>
      </c>
      <c r="C302" s="24" t="inlineStr">
        <is>
          <t>Nguyễn Thị Kim Ngân</t>
        </is>
      </c>
      <c r="D302" s="28" t="inlineStr">
        <is>
          <t>0799156118</t>
        </is>
      </c>
      <c r="E302" s="29" t="n">
        <v>46222</v>
      </c>
      <c r="F302" s="24" t="inlineStr">
        <is>
          <t>Đã sinh</t>
        </is>
      </c>
      <c r="G302" s="24" t="inlineStr">
        <is>
          <t>Đồng Tháp</t>
        </is>
      </c>
      <c r="H302" s="21">
        <f>IF(ISNUMBER($B302),INT($B302)-WEEKDAY($B302,2)+1,"")</f>
        <v/>
      </c>
      <c r="I302" s="24" t="inlineStr">
        <is>
          <t>C-00</t>
        </is>
      </c>
      <c r="J302" s="22">
        <f t="array" ref="J302">IF($D302="","",IF($I302="","(trống REF)",IFERROR(INDEX(MASTER_SOURCE!$B$2:$B$495,MATCH($I302,MASTER_SOURCE!$A$2:$A$495,0)),"(REF không có trong MASTER_SOURCE)")))</f>
        <v/>
      </c>
      <c r="K302" s="22">
        <f t="array" ref="K302">IF($D302="","",IFERROR(INDEX(MASTER_SOURCE!$C$2:$C$495,MATCH($I302,MASTER_SOURCE!$A$2:$A$495,0)),""))</f>
        <v/>
      </c>
      <c r="L302" s="22">
        <f t="array" ref="L302">IF($D302="","",IFERROR(INDEX(MASTER_SOURCE!$D$2:$D$495,MATCH($I302,MASTER_SOURCE!$A$2:$A$495,0)),""))</f>
        <v/>
      </c>
      <c r="M302" s="24" t="inlineStr">
        <is>
          <t>Có</t>
        </is>
      </c>
      <c r="N302" s="24" t="inlineStr">
        <is>
          <t>Có</t>
        </is>
      </c>
      <c r="O302" s="24" t="inlineStr">
        <is>
          <t>Có</t>
        </is>
      </c>
      <c r="P302" s="24" t="inlineStr">
        <is>
          <t>Có</t>
        </is>
      </c>
      <c r="Q302" s="22">
        <f>IF($D302="","",IF(AND(OR(DANH_MUC!$L$5&lt;&gt;"Có",M302="Có"),OR(DANH_MUC!$L$6&lt;&gt;"Có",N302="Có"),OR(DANH_MUC!$L$7&lt;&gt;"Có",O302="Có"),OR(DANH_MUC!$L$8&lt;&gt;"Có",P302="Có")),"Có","Không"))</f>
        <v/>
      </c>
      <c r="R302" s="22">
        <f>IF($D302="","",IF(COUNTIF($D$2:$D302,$D302)&gt;1,"Trùng",""))</f>
        <v/>
      </c>
      <c r="S302" s="22">
        <f>IF($D302="","",IF(AND(LEN($D302)=10,LEFT($D302,1)="0",ISNUMBER(--$D302)),"Có","Không"))</f>
        <v/>
      </c>
      <c r="T302" s="22">
        <f>IF($D302="","",IF(AND($C302&lt;&gt;"",$Q302="Có",$R302="",$S302="Có",AND($L302&lt;&gt;"",OR($L302&lt;&gt;"Chưa xác định",DANH_MUC!$L$9="Có"))),"Có","Không"))</f>
        <v/>
      </c>
      <c r="U302" s="22">
        <f>IF(OR($D302="",$T302="Có"),"",IF($C302="","Thiếu họ tên; ","")&amp;IF($S302&lt;&gt;"Có","SĐT sai định dạng; ","")&amp;IF($R302="Trùng","Trùng SĐT; ","")&amp;IF($Q302&lt;&gt;"Có","Thiếu đồng ý bắt buộc; ","")&amp;IF($L302="","Thiếu/sai Mã REF; ",IF(AND($L302="Chưa xác định",DANH_MUC!$L$9&lt;&gt;"Có"),"Nguồn chưa xác định; ","")))</f>
        <v/>
      </c>
      <c r="V302" s="22">
        <f>IF(OR($D302="",$R302="Trùng"),"",IF(COUNTIF(ORDERS!$C$2:$C$4995,$D302)&gt;0,"Có","Không"))</f>
        <v/>
      </c>
      <c r="W302" s="22">
        <f>IF(OR($D302="",$R302="Trùng"),"",COUNTIFS(ORDERS!$C$2:$C$4995,$D302,ORDERS!$L$2:$L$4995,"Đã chuyển khoản"))</f>
        <v/>
      </c>
      <c r="X302" s="23">
        <f>IF(OR($D302="",$R302="Trùng"),"",SUMIFS(ORDERS!$J$2:$J$4995,ORDERS!$C$2:$C$4995,$D302,ORDERS!$L$2:$L$4995,"Đã chuyển khoản"))</f>
        <v/>
      </c>
      <c r="Y302" s="24" t="n"/>
    </row>
    <row r="303" ht="14.25" customHeight="1" s="40">
      <c r="A303" s="24" t="inlineStr">
        <is>
          <t>b858cb07-c329-4286-bd5a-3255ffc810b6</t>
        </is>
      </c>
      <c r="B303" s="18" t="n">
        <v>46295.71319444444</v>
      </c>
      <c r="C303" s="24" t="inlineStr">
        <is>
          <t>Từ Minh Huệ</t>
        </is>
      </c>
      <c r="D303" s="28" t="inlineStr">
        <is>
          <t>0347662883</t>
        </is>
      </c>
      <c r="E303" s="29" t="n">
        <v>46195</v>
      </c>
      <c r="F303" s="24" t="inlineStr">
        <is>
          <t>Đã sinh</t>
        </is>
      </c>
      <c r="G303" s="24" t="inlineStr">
        <is>
          <t>Hà Nội</t>
        </is>
      </c>
      <c r="H303" s="21">
        <f>IF(ISNUMBER($B303),INT($B303)-WEEKDAY($B303,2)+1,"")</f>
        <v/>
      </c>
      <c r="I303" s="24" t="inlineStr">
        <is>
          <t>C-00</t>
        </is>
      </c>
      <c r="J303" s="22">
        <f t="array" ref="J303">IF($D303="","",IF($I303="","(trống REF)",IFERROR(INDEX(MASTER_SOURCE!$B$2:$B$495,MATCH($I303,MASTER_SOURCE!$A$2:$A$495,0)),"(REF không có trong MASTER_SOURCE)")))</f>
        <v/>
      </c>
      <c r="K303" s="22">
        <f t="array" ref="K303">IF($D303="","",IFERROR(INDEX(MASTER_SOURCE!$C$2:$C$495,MATCH($I303,MASTER_SOURCE!$A$2:$A$495,0)),""))</f>
        <v/>
      </c>
      <c r="L303" s="22">
        <f t="array" ref="L303">IF($D303="","",IFERROR(INDEX(MASTER_SOURCE!$D$2:$D$495,MATCH($I303,MASTER_SOURCE!$A$2:$A$495,0)),""))</f>
        <v/>
      </c>
      <c r="M303" s="24" t="inlineStr">
        <is>
          <t>Có</t>
        </is>
      </c>
      <c r="N303" s="24" t="inlineStr">
        <is>
          <t>Có</t>
        </is>
      </c>
      <c r="O303" s="24" t="inlineStr">
        <is>
          <t>Có</t>
        </is>
      </c>
      <c r="P303" s="24" t="inlineStr">
        <is>
          <t>Có</t>
        </is>
      </c>
      <c r="Q303" s="22">
        <f>IF($D303="","",IF(AND(OR(DANH_MUC!$L$5&lt;&gt;"Có",M303="Có"),OR(DANH_MUC!$L$6&lt;&gt;"Có",N303="Có"),OR(DANH_MUC!$L$7&lt;&gt;"Có",O303="Có"),OR(DANH_MUC!$L$8&lt;&gt;"Có",P303="Có")),"Có","Không"))</f>
        <v/>
      </c>
      <c r="R303" s="22">
        <f>IF($D303="","",IF(COUNTIF($D$2:$D303,$D303)&gt;1,"Trùng",""))</f>
        <v/>
      </c>
      <c r="S303" s="22">
        <f>IF($D303="","",IF(AND(LEN($D303)=10,LEFT($D303,1)="0",ISNUMBER(--$D303)),"Có","Không"))</f>
        <v/>
      </c>
      <c r="T303" s="22">
        <f>IF($D303="","",IF(AND($C303&lt;&gt;"",$Q303="Có",$R303="",$S303="Có",AND($L303&lt;&gt;"",OR($L303&lt;&gt;"Chưa xác định",DANH_MUC!$L$9="Có"))),"Có","Không"))</f>
        <v/>
      </c>
      <c r="U303" s="22">
        <f>IF(OR($D303="",$T303="Có"),"",IF($C303="","Thiếu họ tên; ","")&amp;IF($S303&lt;&gt;"Có","SĐT sai định dạng; ","")&amp;IF($R303="Trùng","Trùng SĐT; ","")&amp;IF($Q303&lt;&gt;"Có","Thiếu đồng ý bắt buộc; ","")&amp;IF($L303="","Thiếu/sai Mã REF; ",IF(AND($L303="Chưa xác định",DANH_MUC!$L$9&lt;&gt;"Có"),"Nguồn chưa xác định; ","")))</f>
        <v/>
      </c>
      <c r="V303" s="22">
        <f>IF(OR($D303="",$R303="Trùng"),"",IF(COUNTIF(ORDERS!$C$2:$C$4995,$D303)&gt;0,"Có","Không"))</f>
        <v/>
      </c>
      <c r="W303" s="22">
        <f>IF(OR($D303="",$R303="Trùng"),"",COUNTIFS(ORDERS!$C$2:$C$4995,$D303,ORDERS!$L$2:$L$4995,"Đã chuyển khoản"))</f>
        <v/>
      </c>
      <c r="X303" s="23">
        <f>IF(OR($D303="",$R303="Trùng"),"",SUMIFS(ORDERS!$J$2:$J$4995,ORDERS!$C$2:$C$4995,$D303,ORDERS!$L$2:$L$4995,"Đã chuyển khoản"))</f>
        <v/>
      </c>
      <c r="Y303" s="24" t="n"/>
    </row>
    <row r="304" ht="14.25" customHeight="1" s="40">
      <c r="A304" s="24" t="inlineStr">
        <is>
          <t>8036126e-0d3a-4823-9fe6-7df46d9d0640</t>
        </is>
      </c>
      <c r="B304" s="18" t="n">
        <v>46295.75277777778</v>
      </c>
      <c r="C304" s="24" t="inlineStr">
        <is>
          <t>Hoàng Linh</t>
        </is>
      </c>
      <c r="D304" s="28" t="inlineStr">
        <is>
          <t>0774270262</t>
        </is>
      </c>
      <c r="E304" s="29" t="n">
        <v>46002</v>
      </c>
      <c r="F304" s="24" t="inlineStr">
        <is>
          <t>Đã sinh</t>
        </is>
      </c>
      <c r="G304" s="24" t="inlineStr">
        <is>
          <t>Hà Nội</t>
        </is>
      </c>
      <c r="H304" s="21">
        <f>IF(ISNUMBER($B304),INT($B304)-WEEKDAY($B304,2)+1,"")</f>
        <v/>
      </c>
      <c r="I304" s="24" t="inlineStr">
        <is>
          <t>C-06</t>
        </is>
      </c>
      <c r="J304" s="22">
        <f t="array" ref="J304">IF($D304="","",IF($I304="","(trống REF)",IFERROR(INDEX(MASTER_SOURCE!$B$2:$B$495,MATCH($I304,MASTER_SOURCE!$A$2:$A$495,0)),"(REF không có trong MASTER_SOURCE)")))</f>
        <v/>
      </c>
      <c r="K304" s="22">
        <f t="array" ref="K304">IF($D304="","",IFERROR(INDEX(MASTER_SOURCE!$C$2:$C$495,MATCH($I304,MASTER_SOURCE!$A$2:$A$495,0)),""))</f>
        <v/>
      </c>
      <c r="L304" s="22">
        <f t="array" ref="L304">IF($D304="","",IFERROR(INDEX(MASTER_SOURCE!$D$2:$D$495,MATCH($I304,MASTER_SOURCE!$A$2:$A$495,0)),""))</f>
        <v/>
      </c>
      <c r="M304" s="24" t="inlineStr">
        <is>
          <t>Có</t>
        </is>
      </c>
      <c r="N304" s="24" t="inlineStr">
        <is>
          <t>Có</t>
        </is>
      </c>
      <c r="O304" s="24" t="inlineStr">
        <is>
          <t>Có</t>
        </is>
      </c>
      <c r="P304" s="24" t="inlineStr">
        <is>
          <t>Có</t>
        </is>
      </c>
      <c r="Q304" s="22">
        <f>IF($D304="","",IF(AND(OR(DANH_MUC!$L$5&lt;&gt;"Có",M304="Có"),OR(DANH_MUC!$L$6&lt;&gt;"Có",N304="Có"),OR(DANH_MUC!$L$7&lt;&gt;"Có",O304="Có"),OR(DANH_MUC!$L$8&lt;&gt;"Có",P304="Có")),"Có","Không"))</f>
        <v/>
      </c>
      <c r="R304" s="22">
        <f>IF($D304="","",IF(COUNTIF($D$2:$D304,$D304)&gt;1,"Trùng",""))</f>
        <v/>
      </c>
      <c r="S304" s="22">
        <f>IF($D304="","",IF(AND(LEN($D304)=10,LEFT($D304,1)="0",ISNUMBER(--$D304)),"Có","Không"))</f>
        <v/>
      </c>
      <c r="T304" s="22">
        <f>IF($D304="","",IF(AND($C304&lt;&gt;"",$Q304="Có",$R304="",$S304="Có",AND($L304&lt;&gt;"",OR($L304&lt;&gt;"Chưa xác định",DANH_MUC!$L$9="Có"))),"Có","Không"))</f>
        <v/>
      </c>
      <c r="U304" s="22">
        <f>IF(OR($D304="",$T304="Có"),"",IF($C304="","Thiếu họ tên; ","")&amp;IF($S304&lt;&gt;"Có","SĐT sai định dạng; ","")&amp;IF($R304="Trùng","Trùng SĐT; ","")&amp;IF($Q304&lt;&gt;"Có","Thiếu đồng ý bắt buộc; ","")&amp;IF($L304="","Thiếu/sai Mã REF; ",IF(AND($L304="Chưa xác định",DANH_MUC!$L$9&lt;&gt;"Có"),"Nguồn chưa xác định; ","")))</f>
        <v/>
      </c>
      <c r="V304" s="22">
        <f>IF(OR($D304="",$R304="Trùng"),"",IF(COUNTIF(ORDERS!$C$2:$C$4995,$D304)&gt;0,"Có","Không"))</f>
        <v/>
      </c>
      <c r="W304" s="22">
        <f>IF(OR($D304="",$R304="Trùng"),"",COUNTIFS(ORDERS!$C$2:$C$4995,$D304,ORDERS!$L$2:$L$4995,"Đã chuyển khoản"))</f>
        <v/>
      </c>
      <c r="X304" s="23">
        <f>IF(OR($D304="",$R304="Trùng"),"",SUMIFS(ORDERS!$J$2:$J$4995,ORDERS!$C$2:$C$4995,$D304,ORDERS!$L$2:$L$4995,"Đã chuyển khoản"))</f>
        <v/>
      </c>
      <c r="Y304" s="24" t="n"/>
    </row>
    <row r="305" ht="14.25" customHeight="1" s="40">
      <c r="A305" s="24" t="inlineStr">
        <is>
          <t>36182ec7-17ed-4e1e-a010-1616ca64a446</t>
        </is>
      </c>
      <c r="B305" s="18" t="n">
        <v>46295.78333333333</v>
      </c>
      <c r="C305" s="24" t="inlineStr">
        <is>
          <t>Nguyễn Thị Huyền</t>
        </is>
      </c>
      <c r="D305" s="28" t="inlineStr">
        <is>
          <t>0969869147</t>
        </is>
      </c>
      <c r="E305" s="29" t="n">
        <v>46083</v>
      </c>
      <c r="F305" s="24" t="inlineStr">
        <is>
          <t>Đã sinh</t>
        </is>
      </c>
      <c r="G305" s="24" t="inlineStr">
        <is>
          <t>Đồng Nai</t>
        </is>
      </c>
      <c r="H305" s="21">
        <f>IF(ISNUMBER($B305),INT($B305)-WEEKDAY($B305,2)+1,"")</f>
        <v/>
      </c>
      <c r="I305" s="24" t="inlineStr">
        <is>
          <t>Z-MEDUA</t>
        </is>
      </c>
      <c r="J305" s="22">
        <f t="array" ref="J305">IF($D305="","",IF($I305="","(trống REF)",IFERROR(INDEX(MASTER_SOURCE!$B$2:$B$495,MATCH($I305,MASTER_SOURCE!$A$2:$A$495,0)),"(REF không có trong MASTER_SOURCE)")))</f>
        <v/>
      </c>
      <c r="K305" s="22">
        <f t="array" ref="K305">IF($D305="","",IFERROR(INDEX(MASTER_SOURCE!$C$2:$C$495,MATCH($I305,MASTER_SOURCE!$A$2:$A$495,0)),""))</f>
        <v/>
      </c>
      <c r="L305" s="22">
        <f t="array" ref="L305">IF($D305="","",IFERROR(INDEX(MASTER_SOURCE!$D$2:$D$495,MATCH($I305,MASTER_SOURCE!$A$2:$A$495,0)),""))</f>
        <v/>
      </c>
      <c r="M305" s="24" t="inlineStr">
        <is>
          <t>Có</t>
        </is>
      </c>
      <c r="N305" s="24" t="inlineStr">
        <is>
          <t>Có</t>
        </is>
      </c>
      <c r="O305" s="24" t="inlineStr">
        <is>
          <t>Có</t>
        </is>
      </c>
      <c r="P305" s="24" t="inlineStr">
        <is>
          <t>Có</t>
        </is>
      </c>
      <c r="Q305" s="22">
        <f>IF($D305="","",IF(AND(OR(DANH_MUC!$L$5&lt;&gt;"Có",M305="Có"),OR(DANH_MUC!$L$6&lt;&gt;"Có",N305="Có"),OR(DANH_MUC!$L$7&lt;&gt;"Có",O305="Có"),OR(DANH_MUC!$L$8&lt;&gt;"Có",P305="Có")),"Có","Không"))</f>
        <v/>
      </c>
      <c r="R305" s="22">
        <f>IF($D305="","",IF(COUNTIF($D$2:$D305,$D305)&gt;1,"Trùng",""))</f>
        <v/>
      </c>
      <c r="S305" s="22">
        <f>IF($D305="","",IF(AND(LEN($D305)=10,LEFT($D305,1)="0",ISNUMBER(--$D305)),"Có","Không"))</f>
        <v/>
      </c>
      <c r="T305" s="22">
        <f>IF($D305="","",IF(AND($C305&lt;&gt;"",$Q305="Có",$R305="",$S305="Có",AND($L305&lt;&gt;"",OR($L305&lt;&gt;"Chưa xác định",DANH_MUC!$L$9="Có"))),"Có","Không"))</f>
        <v/>
      </c>
      <c r="U305" s="22">
        <f>IF(OR($D305="",$T305="Có"),"",IF($C305="","Thiếu họ tên; ","")&amp;IF($S305&lt;&gt;"Có","SĐT sai định dạng; ","")&amp;IF($R305="Trùng","Trùng SĐT; ","")&amp;IF($Q305&lt;&gt;"Có","Thiếu đồng ý bắt buộc; ","")&amp;IF($L305="","Thiếu/sai Mã REF; ",IF(AND($L305="Chưa xác định",DANH_MUC!$L$9&lt;&gt;"Có"),"Nguồn chưa xác định; ","")))</f>
        <v/>
      </c>
      <c r="V305" s="22">
        <f>IF(OR($D305="",$R305="Trùng"),"",IF(COUNTIF(ORDERS!$C$2:$C$4995,$D305)&gt;0,"Có","Không"))</f>
        <v/>
      </c>
      <c r="W305" s="22">
        <f>IF(OR($D305="",$R305="Trùng"),"",COUNTIFS(ORDERS!$C$2:$C$4995,$D305,ORDERS!$L$2:$L$4995,"Đã chuyển khoản"))</f>
        <v/>
      </c>
      <c r="X305" s="23">
        <f>IF(OR($D305="",$R305="Trùng"),"",SUMIFS(ORDERS!$J$2:$J$4995,ORDERS!$C$2:$C$4995,$D305,ORDERS!$L$2:$L$4995,"Đã chuyển khoản"))</f>
        <v/>
      </c>
      <c r="Y305" s="24" t="n"/>
    </row>
    <row r="306" ht="14.25" customHeight="1" s="40">
      <c r="A306" s="24" t="inlineStr">
        <is>
          <t>a46d50dc-b180-40b2-b197-dab2851c9a09</t>
        </is>
      </c>
      <c r="B306" s="18" t="n">
        <v>46295.81875</v>
      </c>
      <c r="C306" s="24" t="inlineStr">
        <is>
          <t>Trần Thị Thu Hiền</t>
        </is>
      </c>
      <c r="D306" s="28" t="inlineStr">
        <is>
          <t>0868654529</t>
        </is>
      </c>
      <c r="E306" s="29" t="n">
        <v>46358</v>
      </c>
      <c r="F306" s="24" t="inlineStr">
        <is>
          <t>Đang mang thai</t>
        </is>
      </c>
      <c r="G306" s="24" t="inlineStr">
        <is>
          <t>Hồ Chí Minh</t>
        </is>
      </c>
      <c r="H306" s="21">
        <f>IF(ISNUMBER($B306),INT($B306)-WEEKDAY($B306,2)+1,"")</f>
        <v/>
      </c>
      <c r="I306" s="24" t="inlineStr">
        <is>
          <t>Z-MEDUA</t>
        </is>
      </c>
      <c r="J306" s="22">
        <f t="array" ref="J306">IF($D306="","",IF($I306="","(trống REF)",IFERROR(INDEX(MASTER_SOURCE!$B$2:$B$495,MATCH($I306,MASTER_SOURCE!$A$2:$A$495,0)),"(REF không có trong MASTER_SOURCE)")))</f>
        <v/>
      </c>
      <c r="K306" s="22">
        <f t="array" ref="K306">IF($D306="","",IFERROR(INDEX(MASTER_SOURCE!$C$2:$C$495,MATCH($I306,MASTER_SOURCE!$A$2:$A$495,0)),""))</f>
        <v/>
      </c>
      <c r="L306" s="22">
        <f t="array" ref="L306">IF($D306="","",IFERROR(INDEX(MASTER_SOURCE!$D$2:$D$495,MATCH($I306,MASTER_SOURCE!$A$2:$A$495,0)),""))</f>
        <v/>
      </c>
      <c r="M306" s="24" t="inlineStr">
        <is>
          <t>Có</t>
        </is>
      </c>
      <c r="N306" s="24" t="inlineStr">
        <is>
          <t>Có</t>
        </is>
      </c>
      <c r="O306" s="24" t="inlineStr">
        <is>
          <t>Có</t>
        </is>
      </c>
      <c r="P306" s="24" t="inlineStr">
        <is>
          <t>Có</t>
        </is>
      </c>
      <c r="Q306" s="22">
        <f>IF($D306="","",IF(AND(OR(DANH_MUC!$L$5&lt;&gt;"Có",M306="Có"),OR(DANH_MUC!$L$6&lt;&gt;"Có",N306="Có"),OR(DANH_MUC!$L$7&lt;&gt;"Có",O306="Có"),OR(DANH_MUC!$L$8&lt;&gt;"Có",P306="Có")),"Có","Không"))</f>
        <v/>
      </c>
      <c r="R306" s="22">
        <f>IF($D306="","",IF(COUNTIF($D$2:$D306,$D306)&gt;1,"Trùng",""))</f>
        <v/>
      </c>
      <c r="S306" s="22">
        <f>IF($D306="","",IF(AND(LEN($D306)=10,LEFT($D306,1)="0",ISNUMBER(--$D306)),"Có","Không"))</f>
        <v/>
      </c>
      <c r="T306" s="22">
        <f>IF($D306="","",IF(AND($C306&lt;&gt;"",$Q306="Có",$R306="",$S306="Có",AND($L306&lt;&gt;"",OR($L306&lt;&gt;"Chưa xác định",DANH_MUC!$L$9="Có"))),"Có","Không"))</f>
        <v/>
      </c>
      <c r="U306" s="22">
        <f>IF(OR($D306="",$T306="Có"),"",IF($C306="","Thiếu họ tên; ","")&amp;IF($S306&lt;&gt;"Có","SĐT sai định dạng; ","")&amp;IF($R306="Trùng","Trùng SĐT; ","")&amp;IF($Q306&lt;&gt;"Có","Thiếu đồng ý bắt buộc; ","")&amp;IF($L306="","Thiếu/sai Mã REF; ",IF(AND($L306="Chưa xác định",DANH_MUC!$L$9&lt;&gt;"Có"),"Nguồn chưa xác định; ","")))</f>
        <v/>
      </c>
      <c r="V306" s="22">
        <f>IF(OR($D306="",$R306="Trùng"),"",IF(COUNTIF(ORDERS!$C$2:$C$4995,$D306)&gt;0,"Có","Không"))</f>
        <v/>
      </c>
      <c r="W306" s="22">
        <f>IF(OR($D306="",$R306="Trùng"),"",COUNTIFS(ORDERS!$C$2:$C$4995,$D306,ORDERS!$L$2:$L$4995,"Đã chuyển khoản"))</f>
        <v/>
      </c>
      <c r="X306" s="23">
        <f>IF(OR($D306="",$R306="Trùng"),"",SUMIFS(ORDERS!$J$2:$J$4995,ORDERS!$C$2:$C$4995,$D306,ORDERS!$L$2:$L$4995,"Đã chuyển khoản"))</f>
        <v/>
      </c>
      <c r="Y306" s="24" t="n"/>
    </row>
    <row r="307" ht="14.25" customHeight="1" s="40">
      <c r="A307" s="24" t="inlineStr">
        <is>
          <t>e003ff6f-b1e5-45ca-8584-cef40a4acd5c</t>
        </is>
      </c>
      <c r="B307" s="18" t="n">
        <v>46295.82152777778</v>
      </c>
      <c r="C307" s="24" t="inlineStr">
        <is>
          <t>Nguyễn Thị Ánh Ngọc</t>
        </is>
      </c>
      <c r="D307" s="28" t="inlineStr">
        <is>
          <t>0794304257</t>
        </is>
      </c>
      <c r="E307" s="29" t="n">
        <v>46075</v>
      </c>
      <c r="F307" s="24" t="inlineStr">
        <is>
          <t>Đã sinh</t>
        </is>
      </c>
      <c r="G307" s="24" t="inlineStr">
        <is>
          <t>Hồ Chí Minh</t>
        </is>
      </c>
      <c r="H307" s="21">
        <f>IF(ISNUMBER($B307),INT($B307)-WEEKDAY($B307,2)+1,"")</f>
        <v/>
      </c>
      <c r="I307" s="24" t="inlineStr">
        <is>
          <t>Z-MEDUA</t>
        </is>
      </c>
      <c r="J307" s="22">
        <f t="array" ref="J307">IF($D307="","",IF($I307="","(trống REF)",IFERROR(INDEX(MASTER_SOURCE!$B$2:$B$495,MATCH($I307,MASTER_SOURCE!$A$2:$A$495,0)),"(REF không có trong MASTER_SOURCE)")))</f>
        <v/>
      </c>
      <c r="K307" s="22">
        <f t="array" ref="K307">IF($D307="","",IFERROR(INDEX(MASTER_SOURCE!$C$2:$C$495,MATCH($I307,MASTER_SOURCE!$A$2:$A$495,0)),""))</f>
        <v/>
      </c>
      <c r="L307" s="22">
        <f t="array" ref="L307">IF($D307="","",IFERROR(INDEX(MASTER_SOURCE!$D$2:$D$495,MATCH($I307,MASTER_SOURCE!$A$2:$A$495,0)),""))</f>
        <v/>
      </c>
      <c r="M307" s="24" t="inlineStr">
        <is>
          <t>Có</t>
        </is>
      </c>
      <c r="N307" s="24" t="inlineStr">
        <is>
          <t>Có</t>
        </is>
      </c>
      <c r="O307" s="24" t="inlineStr">
        <is>
          <t>Có</t>
        </is>
      </c>
      <c r="P307" s="24" t="inlineStr">
        <is>
          <t>Có</t>
        </is>
      </c>
      <c r="Q307" s="22">
        <f>IF($D307="","",IF(AND(OR(DANH_MUC!$L$5&lt;&gt;"Có",M307="Có"),OR(DANH_MUC!$L$6&lt;&gt;"Có",N307="Có"),OR(DANH_MUC!$L$7&lt;&gt;"Có",O307="Có"),OR(DANH_MUC!$L$8&lt;&gt;"Có",P307="Có")),"Có","Không"))</f>
        <v/>
      </c>
      <c r="R307" s="22">
        <f>IF($D307="","",IF(COUNTIF($D$2:$D307,$D307)&gt;1,"Trùng",""))</f>
        <v/>
      </c>
      <c r="S307" s="22">
        <f>IF($D307="","",IF(AND(LEN($D307)=10,LEFT($D307,1)="0",ISNUMBER(--$D307)),"Có","Không"))</f>
        <v/>
      </c>
      <c r="T307" s="22">
        <f>IF($D307="","",IF(AND($C307&lt;&gt;"",$Q307="Có",$R307="",$S307="Có",AND($L307&lt;&gt;"",OR($L307&lt;&gt;"Chưa xác định",DANH_MUC!$L$9="Có"))),"Có","Không"))</f>
        <v/>
      </c>
      <c r="U307" s="22">
        <f>IF(OR($D307="",$T307="Có"),"",IF($C307="","Thiếu họ tên; ","")&amp;IF($S307&lt;&gt;"Có","SĐT sai định dạng; ","")&amp;IF($R307="Trùng","Trùng SĐT; ","")&amp;IF($Q307&lt;&gt;"Có","Thiếu đồng ý bắt buộc; ","")&amp;IF($L307="","Thiếu/sai Mã REF; ",IF(AND($L307="Chưa xác định",DANH_MUC!$L$9&lt;&gt;"Có"),"Nguồn chưa xác định; ","")))</f>
        <v/>
      </c>
      <c r="V307" s="22">
        <f>IF(OR($D307="",$R307="Trùng"),"",IF(COUNTIF(ORDERS!$C$2:$C$4995,$D307)&gt;0,"Có","Không"))</f>
        <v/>
      </c>
      <c r="W307" s="22">
        <f>IF(OR($D307="",$R307="Trùng"),"",COUNTIFS(ORDERS!$C$2:$C$4995,$D307,ORDERS!$L$2:$L$4995,"Đã chuyển khoản"))</f>
        <v/>
      </c>
      <c r="X307" s="23">
        <f>IF(OR($D307="",$R307="Trùng"),"",SUMIFS(ORDERS!$J$2:$J$4995,ORDERS!$C$2:$C$4995,$D307,ORDERS!$L$2:$L$4995,"Đã chuyển khoản"))</f>
        <v/>
      </c>
      <c r="Y307" s="24" t="n"/>
    </row>
    <row r="308" ht="14.25" customHeight="1" s="40">
      <c r="A308" s="24" t="inlineStr">
        <is>
          <t>37413ae5-76ca-488d-8540-2422ca692f03</t>
        </is>
      </c>
      <c r="B308" s="18" t="n">
        <v>46295.82152777778</v>
      </c>
      <c r="C308" s="24" t="inlineStr">
        <is>
          <t>Phạm Thị Hồng Nhung</t>
        </is>
      </c>
      <c r="D308" s="28" t="inlineStr">
        <is>
          <t>0979033051</t>
        </is>
      </c>
      <c r="E308" s="29" t="n">
        <v>46393</v>
      </c>
      <c r="F308" s="24" t="inlineStr">
        <is>
          <t>Đang mang thai</t>
        </is>
      </c>
      <c r="G308" s="24" t="inlineStr">
        <is>
          <t>Hồ Chí Minh</t>
        </is>
      </c>
      <c r="H308" s="21">
        <f>IF(ISNUMBER($B308),INT($B308)-WEEKDAY($B308,2)+1,"")</f>
        <v/>
      </c>
      <c r="I308" s="24" t="inlineStr">
        <is>
          <t>Z-MEDUA</t>
        </is>
      </c>
      <c r="J308" s="22">
        <f t="array" ref="J308">IF($D308="","",IF($I308="","(trống REF)",IFERROR(INDEX(MASTER_SOURCE!$B$2:$B$495,MATCH($I308,MASTER_SOURCE!$A$2:$A$495,0)),"(REF không có trong MASTER_SOURCE)")))</f>
        <v/>
      </c>
      <c r="K308" s="22">
        <f t="array" ref="K308">IF($D308="","",IFERROR(INDEX(MASTER_SOURCE!$C$2:$C$495,MATCH($I308,MASTER_SOURCE!$A$2:$A$495,0)),""))</f>
        <v/>
      </c>
      <c r="L308" s="22">
        <f t="array" ref="L308">IF($D308="","",IFERROR(INDEX(MASTER_SOURCE!$D$2:$D$495,MATCH($I308,MASTER_SOURCE!$A$2:$A$495,0)),""))</f>
        <v/>
      </c>
      <c r="M308" s="24" t="inlineStr">
        <is>
          <t>Có</t>
        </is>
      </c>
      <c r="N308" s="24" t="inlineStr">
        <is>
          <t>Có</t>
        </is>
      </c>
      <c r="O308" s="24" t="inlineStr">
        <is>
          <t>Có</t>
        </is>
      </c>
      <c r="P308" s="24" t="inlineStr">
        <is>
          <t>Có</t>
        </is>
      </c>
      <c r="Q308" s="22">
        <f>IF($D308="","",IF(AND(OR(DANH_MUC!$L$5&lt;&gt;"Có",M308="Có"),OR(DANH_MUC!$L$6&lt;&gt;"Có",N308="Có"),OR(DANH_MUC!$L$7&lt;&gt;"Có",O308="Có"),OR(DANH_MUC!$L$8&lt;&gt;"Có",P308="Có")),"Có","Không"))</f>
        <v/>
      </c>
      <c r="R308" s="22">
        <f>IF($D308="","",IF(COUNTIF($D$2:$D308,$D308)&gt;1,"Trùng",""))</f>
        <v/>
      </c>
      <c r="S308" s="22">
        <f>IF($D308="","",IF(AND(LEN($D308)=10,LEFT($D308,1)="0",ISNUMBER(--$D308)),"Có","Không"))</f>
        <v/>
      </c>
      <c r="T308" s="22">
        <f>IF($D308="","",IF(AND($C308&lt;&gt;"",$Q308="Có",$R308="",$S308="Có",AND($L308&lt;&gt;"",OR($L308&lt;&gt;"Chưa xác định",DANH_MUC!$L$9="Có"))),"Có","Không"))</f>
        <v/>
      </c>
      <c r="U308" s="22">
        <f>IF(OR($D308="",$T308="Có"),"",IF($C308="","Thiếu họ tên; ","")&amp;IF($S308&lt;&gt;"Có","SĐT sai định dạng; ","")&amp;IF($R308="Trùng","Trùng SĐT; ","")&amp;IF($Q308&lt;&gt;"Có","Thiếu đồng ý bắt buộc; ","")&amp;IF($L308="","Thiếu/sai Mã REF; ",IF(AND($L308="Chưa xác định",DANH_MUC!$L$9&lt;&gt;"Có"),"Nguồn chưa xác định; ","")))</f>
        <v/>
      </c>
      <c r="V308" s="22">
        <f>IF(OR($D308="",$R308="Trùng"),"",IF(COUNTIF(ORDERS!$C$2:$C$4995,$D308)&gt;0,"Có","Không"))</f>
        <v/>
      </c>
      <c r="W308" s="22">
        <f>IF(OR($D308="",$R308="Trùng"),"",COUNTIFS(ORDERS!$C$2:$C$4995,$D308,ORDERS!$L$2:$L$4995,"Đã chuyển khoản"))</f>
        <v/>
      </c>
      <c r="X308" s="23">
        <f>IF(OR($D308="",$R308="Trùng"),"",SUMIFS(ORDERS!$J$2:$J$4995,ORDERS!$C$2:$C$4995,$D308,ORDERS!$L$2:$L$4995,"Đã chuyển khoản"))</f>
        <v/>
      </c>
      <c r="Y308" s="24" t="n"/>
    </row>
    <row r="309" ht="14.25" customHeight="1" s="40">
      <c r="A309" s="24" t="inlineStr">
        <is>
          <t>87568e40-9c25-424e-82ee-8ec16b03403a</t>
        </is>
      </c>
      <c r="B309" s="18" t="n">
        <v>46295.82361111111</v>
      </c>
      <c r="C309" s="24" t="inlineStr">
        <is>
          <t>Phạm Thị Hồng Gấm</t>
        </is>
      </c>
      <c r="D309" s="28" t="inlineStr">
        <is>
          <t>0354355828</t>
        </is>
      </c>
      <c r="E309" s="29" t="n">
        <v>46313</v>
      </c>
      <c r="F309" s="24" t="inlineStr">
        <is>
          <t>Đang mang thai</t>
        </is>
      </c>
      <c r="G309" s="24" t="inlineStr">
        <is>
          <t>Hồ Chí Minh</t>
        </is>
      </c>
      <c r="H309" s="21">
        <f>IF(ISNUMBER($B309),INT($B309)-WEEKDAY($B309,2)+1,"")</f>
        <v/>
      </c>
      <c r="I309" s="24" t="inlineStr">
        <is>
          <t>Z-MEDUA</t>
        </is>
      </c>
      <c r="J309" s="22">
        <f t="array" ref="J309">IF($D309="","",IF($I309="","(trống REF)",IFERROR(INDEX(MASTER_SOURCE!$B$2:$B$495,MATCH($I309,MASTER_SOURCE!$A$2:$A$495,0)),"(REF không có trong MASTER_SOURCE)")))</f>
        <v/>
      </c>
      <c r="K309" s="22">
        <f t="array" ref="K309">IF($D309="","",IFERROR(INDEX(MASTER_SOURCE!$C$2:$C$495,MATCH($I309,MASTER_SOURCE!$A$2:$A$495,0)),""))</f>
        <v/>
      </c>
      <c r="L309" s="22">
        <f t="array" ref="L309">IF($D309="","",IFERROR(INDEX(MASTER_SOURCE!$D$2:$D$495,MATCH($I309,MASTER_SOURCE!$A$2:$A$495,0)),""))</f>
        <v/>
      </c>
      <c r="M309" s="24" t="inlineStr">
        <is>
          <t>Có</t>
        </is>
      </c>
      <c r="N309" s="24" t="inlineStr">
        <is>
          <t>Có</t>
        </is>
      </c>
      <c r="O309" s="24" t="inlineStr">
        <is>
          <t>Có</t>
        </is>
      </c>
      <c r="P309" s="24" t="inlineStr">
        <is>
          <t>Có</t>
        </is>
      </c>
      <c r="Q309" s="22">
        <f>IF($D309="","",IF(AND(OR(DANH_MUC!$L$5&lt;&gt;"Có",M309="Có"),OR(DANH_MUC!$L$6&lt;&gt;"Có",N309="Có"),OR(DANH_MUC!$L$7&lt;&gt;"Có",O309="Có"),OR(DANH_MUC!$L$8&lt;&gt;"Có",P309="Có")),"Có","Không"))</f>
        <v/>
      </c>
      <c r="R309" s="22">
        <f>IF($D309="","",IF(COUNTIF($D$2:$D309,$D309)&gt;1,"Trùng",""))</f>
        <v/>
      </c>
      <c r="S309" s="22">
        <f>IF($D309="","",IF(AND(LEN($D309)=10,LEFT($D309,1)="0",ISNUMBER(--$D309)),"Có","Không"))</f>
        <v/>
      </c>
      <c r="T309" s="22">
        <f>IF($D309="","",IF(AND($C309&lt;&gt;"",$Q309="Có",$R309="",$S309="Có",AND($L309&lt;&gt;"",OR($L309&lt;&gt;"Chưa xác định",DANH_MUC!$L$9="Có"))),"Có","Không"))</f>
        <v/>
      </c>
      <c r="U309" s="22">
        <f>IF(OR($D309="",$T309="Có"),"",IF($C309="","Thiếu họ tên; ","")&amp;IF($S309&lt;&gt;"Có","SĐT sai định dạng; ","")&amp;IF($R309="Trùng","Trùng SĐT; ","")&amp;IF($Q309&lt;&gt;"Có","Thiếu đồng ý bắt buộc; ","")&amp;IF($L309="","Thiếu/sai Mã REF; ",IF(AND($L309="Chưa xác định",DANH_MUC!$L$9&lt;&gt;"Có"),"Nguồn chưa xác định; ","")))</f>
        <v/>
      </c>
      <c r="V309" s="22">
        <f>IF(OR($D309="",$R309="Trùng"),"",IF(COUNTIF(ORDERS!$C$2:$C$4995,$D309)&gt;0,"Có","Không"))</f>
        <v/>
      </c>
      <c r="W309" s="22">
        <f>IF(OR($D309="",$R309="Trùng"),"",COUNTIFS(ORDERS!$C$2:$C$4995,$D309,ORDERS!$L$2:$L$4995,"Đã chuyển khoản"))</f>
        <v/>
      </c>
      <c r="X309" s="23">
        <f>IF(OR($D309="",$R309="Trùng"),"",SUMIFS(ORDERS!$J$2:$J$4995,ORDERS!$C$2:$C$4995,$D309,ORDERS!$L$2:$L$4995,"Đã chuyển khoản"))</f>
        <v/>
      </c>
      <c r="Y309" s="24" t="n"/>
    </row>
    <row r="310" ht="14.25" customHeight="1" s="40">
      <c r="A310" s="24" t="inlineStr">
        <is>
          <t>c801ffdf-ff31-4e0b-9c82-cc5158429857</t>
        </is>
      </c>
      <c r="B310" s="18" t="n">
        <v>46295.82638888889</v>
      </c>
      <c r="C310" s="24" t="inlineStr">
        <is>
          <t>Lâm mỹ ngọc</t>
        </is>
      </c>
      <c r="D310" s="28" t="inlineStr">
        <is>
          <t>0937206042</t>
        </is>
      </c>
      <c r="E310" s="29" t="n">
        <v>46160</v>
      </c>
      <c r="F310" s="24" t="inlineStr">
        <is>
          <t>Đã sinh</t>
        </is>
      </c>
      <c r="G310" s="24" t="inlineStr">
        <is>
          <t>Hồ Chí Minh</t>
        </is>
      </c>
      <c r="H310" s="21">
        <f>IF(ISNUMBER($B310),INT($B310)-WEEKDAY($B310,2)+1,"")</f>
        <v/>
      </c>
      <c r="I310" s="24" t="inlineStr">
        <is>
          <t>Z-MEDUA</t>
        </is>
      </c>
      <c r="J310" s="22">
        <f t="array" ref="J310">IF($D310="","",IF($I310="","(trống REF)",IFERROR(INDEX(MASTER_SOURCE!$B$2:$B$495,MATCH($I310,MASTER_SOURCE!$A$2:$A$495,0)),"(REF không có trong MASTER_SOURCE)")))</f>
        <v/>
      </c>
      <c r="K310" s="22">
        <f t="array" ref="K310">IF($D310="","",IFERROR(INDEX(MASTER_SOURCE!$C$2:$C$495,MATCH($I310,MASTER_SOURCE!$A$2:$A$495,0)),""))</f>
        <v/>
      </c>
      <c r="L310" s="22">
        <f t="array" ref="L310">IF($D310="","",IFERROR(INDEX(MASTER_SOURCE!$D$2:$D$495,MATCH($I310,MASTER_SOURCE!$A$2:$A$495,0)),""))</f>
        <v/>
      </c>
      <c r="M310" s="24" t="inlineStr">
        <is>
          <t>Có</t>
        </is>
      </c>
      <c r="N310" s="24" t="inlineStr">
        <is>
          <t>Có</t>
        </is>
      </c>
      <c r="O310" s="24" t="inlineStr">
        <is>
          <t>Có</t>
        </is>
      </c>
      <c r="P310" s="24" t="inlineStr">
        <is>
          <t>Có</t>
        </is>
      </c>
      <c r="Q310" s="22">
        <f>IF($D310="","",IF(AND(OR(DANH_MUC!$L$5&lt;&gt;"Có",M310="Có"),OR(DANH_MUC!$L$6&lt;&gt;"Có",N310="Có"),OR(DANH_MUC!$L$7&lt;&gt;"Có",O310="Có"),OR(DANH_MUC!$L$8&lt;&gt;"Có",P310="Có")),"Có","Không"))</f>
        <v/>
      </c>
      <c r="R310" s="22">
        <f>IF($D310="","",IF(COUNTIF($D$2:$D310,$D310)&gt;1,"Trùng",""))</f>
        <v/>
      </c>
      <c r="S310" s="22">
        <f>IF($D310="","",IF(AND(LEN($D310)=10,LEFT($D310,1)="0",ISNUMBER(--$D310)),"Có","Không"))</f>
        <v/>
      </c>
      <c r="T310" s="22">
        <f>IF($D310="","",IF(AND($C310&lt;&gt;"",$Q310="Có",$R310="",$S310="Có",AND($L310&lt;&gt;"",OR($L310&lt;&gt;"Chưa xác định",DANH_MUC!$L$9="Có"))),"Có","Không"))</f>
        <v/>
      </c>
      <c r="U310" s="22">
        <f>IF(OR($D310="",$T310="Có"),"",IF($C310="","Thiếu họ tên; ","")&amp;IF($S310&lt;&gt;"Có","SĐT sai định dạng; ","")&amp;IF($R310="Trùng","Trùng SĐT; ","")&amp;IF($Q310&lt;&gt;"Có","Thiếu đồng ý bắt buộc; ","")&amp;IF($L310="","Thiếu/sai Mã REF; ",IF(AND($L310="Chưa xác định",DANH_MUC!$L$9&lt;&gt;"Có"),"Nguồn chưa xác định; ","")))</f>
        <v/>
      </c>
      <c r="V310" s="22">
        <f>IF(OR($D310="",$R310="Trùng"),"",IF(COUNTIF(ORDERS!$C$2:$C$4995,$D310)&gt;0,"Có","Không"))</f>
        <v/>
      </c>
      <c r="W310" s="22">
        <f>IF(OR($D310="",$R310="Trùng"),"",COUNTIFS(ORDERS!$C$2:$C$4995,$D310,ORDERS!$L$2:$L$4995,"Đã chuyển khoản"))</f>
        <v/>
      </c>
      <c r="X310" s="23">
        <f>IF(OR($D310="",$R310="Trùng"),"",SUMIFS(ORDERS!$J$2:$J$4995,ORDERS!$C$2:$C$4995,$D310,ORDERS!$L$2:$L$4995,"Đã chuyển khoản"))</f>
        <v/>
      </c>
      <c r="Y310" s="24" t="n"/>
    </row>
    <row r="311" ht="14.25" customHeight="1" s="40">
      <c r="A311" s="24" t="inlineStr">
        <is>
          <t>a8cbb4d0-b90c-4e5a-801f-684c501a3f12</t>
        </is>
      </c>
      <c r="B311" s="18" t="n">
        <v>46295.82708333333</v>
      </c>
      <c r="C311" s="24" t="inlineStr">
        <is>
          <t>Bùi Thị Ngọc Anh</t>
        </is>
      </c>
      <c r="D311" s="28" t="inlineStr">
        <is>
          <t>0389085409</t>
        </is>
      </c>
      <c r="E311" s="29" t="n">
        <v>46314</v>
      </c>
      <c r="F311" s="24" t="inlineStr">
        <is>
          <t>Đang mang thai</t>
        </is>
      </c>
      <c r="G311" s="24" t="inlineStr">
        <is>
          <t>Hồ Chí Minh</t>
        </is>
      </c>
      <c r="H311" s="21">
        <f>IF(ISNUMBER($B311),INT($B311)-WEEKDAY($B311,2)+1,"")</f>
        <v/>
      </c>
      <c r="I311" s="24" t="inlineStr">
        <is>
          <t>Z-MEDUA</t>
        </is>
      </c>
      <c r="J311" s="22">
        <f t="array" ref="J311">IF($D311="","",IF($I311="","(trống REF)",IFERROR(INDEX(MASTER_SOURCE!$B$2:$B$495,MATCH($I311,MASTER_SOURCE!$A$2:$A$495,0)),"(REF không có trong MASTER_SOURCE)")))</f>
        <v/>
      </c>
      <c r="K311" s="22">
        <f t="array" ref="K311">IF($D311="","",IFERROR(INDEX(MASTER_SOURCE!$C$2:$C$495,MATCH($I311,MASTER_SOURCE!$A$2:$A$495,0)),""))</f>
        <v/>
      </c>
      <c r="L311" s="22">
        <f t="array" ref="L311">IF($D311="","",IFERROR(INDEX(MASTER_SOURCE!$D$2:$D$495,MATCH($I311,MASTER_SOURCE!$A$2:$A$495,0)),""))</f>
        <v/>
      </c>
      <c r="M311" s="24" t="inlineStr">
        <is>
          <t>Có</t>
        </is>
      </c>
      <c r="N311" s="24" t="inlineStr">
        <is>
          <t>Có</t>
        </is>
      </c>
      <c r="O311" s="24" t="inlineStr">
        <is>
          <t>Có</t>
        </is>
      </c>
      <c r="P311" s="24" t="inlineStr">
        <is>
          <t>Có</t>
        </is>
      </c>
      <c r="Q311" s="22">
        <f>IF($D311="","",IF(AND(OR(DANH_MUC!$L$5&lt;&gt;"Có",M311="Có"),OR(DANH_MUC!$L$6&lt;&gt;"Có",N311="Có"),OR(DANH_MUC!$L$7&lt;&gt;"Có",O311="Có"),OR(DANH_MUC!$L$8&lt;&gt;"Có",P311="Có")),"Có","Không"))</f>
        <v/>
      </c>
      <c r="R311" s="22">
        <f>IF($D311="","",IF(COUNTIF($D$2:$D311,$D311)&gt;1,"Trùng",""))</f>
        <v/>
      </c>
      <c r="S311" s="22">
        <f>IF($D311="","",IF(AND(LEN($D311)=10,LEFT($D311,1)="0",ISNUMBER(--$D311)),"Có","Không"))</f>
        <v/>
      </c>
      <c r="T311" s="22">
        <f>IF($D311="","",IF(AND($C311&lt;&gt;"",$Q311="Có",$R311="",$S311="Có",AND($L311&lt;&gt;"",OR($L311&lt;&gt;"Chưa xác định",DANH_MUC!$L$9="Có"))),"Có","Không"))</f>
        <v/>
      </c>
      <c r="U311" s="22">
        <f>IF(OR($D311="",$T311="Có"),"",IF($C311="","Thiếu họ tên; ","")&amp;IF($S311&lt;&gt;"Có","SĐT sai định dạng; ","")&amp;IF($R311="Trùng","Trùng SĐT; ","")&amp;IF($Q311&lt;&gt;"Có","Thiếu đồng ý bắt buộc; ","")&amp;IF($L311="","Thiếu/sai Mã REF; ",IF(AND($L311="Chưa xác định",DANH_MUC!$L$9&lt;&gt;"Có"),"Nguồn chưa xác định; ","")))</f>
        <v/>
      </c>
      <c r="V311" s="22">
        <f>IF(OR($D311="",$R311="Trùng"),"",IF(COUNTIF(ORDERS!$C$2:$C$4995,$D311)&gt;0,"Có","Không"))</f>
        <v/>
      </c>
      <c r="W311" s="22">
        <f>IF(OR($D311="",$R311="Trùng"),"",COUNTIFS(ORDERS!$C$2:$C$4995,$D311,ORDERS!$L$2:$L$4995,"Đã chuyển khoản"))</f>
        <v/>
      </c>
      <c r="X311" s="23">
        <f>IF(OR($D311="",$R311="Trùng"),"",SUMIFS(ORDERS!$J$2:$J$4995,ORDERS!$C$2:$C$4995,$D311,ORDERS!$L$2:$L$4995,"Đã chuyển khoản"))</f>
        <v/>
      </c>
      <c r="Y311" s="24" t="n"/>
    </row>
    <row r="312" ht="14.25" customHeight="1" s="40">
      <c r="A312" s="24" t="inlineStr">
        <is>
          <t>428b6547-b017-44db-9985-290e62709b62</t>
        </is>
      </c>
      <c r="B312" s="18" t="n">
        <v>46295.82777777778</v>
      </c>
      <c r="C312" s="24" t="inlineStr">
        <is>
          <t>Trần Thị Thu Hiền</t>
        </is>
      </c>
      <c r="D312" s="28" t="inlineStr">
        <is>
          <t>0395345332</t>
        </is>
      </c>
      <c r="E312" s="29" t="n">
        <v>46358</v>
      </c>
      <c r="F312" s="24" t="inlineStr">
        <is>
          <t>Đang mang thai</t>
        </is>
      </c>
      <c r="G312" s="24" t="inlineStr">
        <is>
          <t>Hồ Chí Minh</t>
        </is>
      </c>
      <c r="H312" s="21">
        <f>IF(ISNUMBER($B312),INT($B312)-WEEKDAY($B312,2)+1,"")</f>
        <v/>
      </c>
      <c r="I312" s="24" t="inlineStr">
        <is>
          <t>Z-MEDUA</t>
        </is>
      </c>
      <c r="J312" s="22">
        <f t="array" ref="J312">IF($D312="","",IF($I312="","(trống REF)",IFERROR(INDEX(MASTER_SOURCE!$B$2:$B$495,MATCH($I312,MASTER_SOURCE!$A$2:$A$495,0)),"(REF không có trong MASTER_SOURCE)")))</f>
        <v/>
      </c>
      <c r="K312" s="22">
        <f t="array" ref="K312">IF($D312="","",IFERROR(INDEX(MASTER_SOURCE!$C$2:$C$495,MATCH($I312,MASTER_SOURCE!$A$2:$A$495,0)),""))</f>
        <v/>
      </c>
      <c r="L312" s="22">
        <f t="array" ref="L312">IF($D312="","",IFERROR(INDEX(MASTER_SOURCE!$D$2:$D$495,MATCH($I312,MASTER_SOURCE!$A$2:$A$495,0)),""))</f>
        <v/>
      </c>
      <c r="M312" s="24" t="inlineStr">
        <is>
          <t>Có</t>
        </is>
      </c>
      <c r="N312" s="24" t="inlineStr">
        <is>
          <t>Có</t>
        </is>
      </c>
      <c r="O312" s="24" t="inlineStr">
        <is>
          <t>Có</t>
        </is>
      </c>
      <c r="P312" s="24" t="inlineStr">
        <is>
          <t>Có</t>
        </is>
      </c>
      <c r="Q312" s="22">
        <f>IF($D312="","",IF(AND(OR(DANH_MUC!$L$5&lt;&gt;"Có",M312="Có"),OR(DANH_MUC!$L$6&lt;&gt;"Có",N312="Có"),OR(DANH_MUC!$L$7&lt;&gt;"Có",O312="Có"),OR(DANH_MUC!$L$8&lt;&gt;"Có",P312="Có")),"Có","Không"))</f>
        <v/>
      </c>
      <c r="R312" s="22">
        <f>IF($D312="","",IF(COUNTIF($D$2:$D312,$D312)&gt;1,"Trùng",""))</f>
        <v/>
      </c>
      <c r="S312" s="22">
        <f>IF($D312="","",IF(AND(LEN($D312)=10,LEFT($D312,1)="0",ISNUMBER(--$D312)),"Có","Không"))</f>
        <v/>
      </c>
      <c r="T312" s="22">
        <f>IF($D312="","",IF(AND($C312&lt;&gt;"",$Q312="Có",$R312="",$S312="Có",AND($L312&lt;&gt;"",OR($L312&lt;&gt;"Chưa xác định",DANH_MUC!$L$9="Có"))),"Có","Không"))</f>
        <v/>
      </c>
      <c r="U312" s="22">
        <f>IF(OR($D312="",$T312="Có"),"",IF($C312="","Thiếu họ tên; ","")&amp;IF($S312&lt;&gt;"Có","SĐT sai định dạng; ","")&amp;IF($R312="Trùng","Trùng SĐT; ","")&amp;IF($Q312&lt;&gt;"Có","Thiếu đồng ý bắt buộc; ","")&amp;IF($L312="","Thiếu/sai Mã REF; ",IF(AND($L312="Chưa xác định",DANH_MUC!$L$9&lt;&gt;"Có"),"Nguồn chưa xác định; ","")))</f>
        <v/>
      </c>
      <c r="V312" s="22">
        <f>IF(OR($D312="",$R312="Trùng"),"",IF(COUNTIF(ORDERS!$C$2:$C$4995,$D312)&gt;0,"Có","Không"))</f>
        <v/>
      </c>
      <c r="W312" s="22">
        <f>IF(OR($D312="",$R312="Trùng"),"",COUNTIFS(ORDERS!$C$2:$C$4995,$D312,ORDERS!$L$2:$L$4995,"Đã chuyển khoản"))</f>
        <v/>
      </c>
      <c r="X312" s="23">
        <f>IF(OR($D312="",$R312="Trùng"),"",SUMIFS(ORDERS!$J$2:$J$4995,ORDERS!$C$2:$C$4995,$D312,ORDERS!$L$2:$L$4995,"Đã chuyển khoản"))</f>
        <v/>
      </c>
      <c r="Y312" s="24" t="n"/>
    </row>
    <row r="313" ht="14.25" customHeight="1" s="40">
      <c r="A313" s="24" t="inlineStr">
        <is>
          <t>d37ec62e-38dd-44c0-a463-b6d945757e77</t>
        </is>
      </c>
      <c r="B313" s="18" t="n">
        <v>46295.83125</v>
      </c>
      <c r="C313" s="24" t="inlineStr">
        <is>
          <t>Hứa Bích Ngọc</t>
        </is>
      </c>
      <c r="D313" s="28" t="inlineStr">
        <is>
          <t>0706252655</t>
        </is>
      </c>
      <c r="E313" s="29" t="n">
        <v>46272</v>
      </c>
      <c r="F313" s="24" t="inlineStr">
        <is>
          <t>Đã sinh</t>
        </is>
      </c>
      <c r="G313" s="24" t="inlineStr">
        <is>
          <t>Hồ Chí Minh</t>
        </is>
      </c>
      <c r="H313" s="21">
        <f>IF(ISNUMBER($B313),INT($B313)-WEEKDAY($B313,2)+1,"")</f>
        <v/>
      </c>
      <c r="I313" s="24" t="inlineStr">
        <is>
          <t>Z-MEDUA</t>
        </is>
      </c>
      <c r="J313" s="22">
        <f t="array" ref="J313">IF($D313="","",IF($I313="","(trống REF)",IFERROR(INDEX(MASTER_SOURCE!$B$2:$B$495,MATCH($I313,MASTER_SOURCE!$A$2:$A$495,0)),"(REF không có trong MASTER_SOURCE)")))</f>
        <v/>
      </c>
      <c r="K313" s="22">
        <f t="array" ref="K313">IF($D313="","",IFERROR(INDEX(MASTER_SOURCE!$C$2:$C$495,MATCH($I313,MASTER_SOURCE!$A$2:$A$495,0)),""))</f>
        <v/>
      </c>
      <c r="L313" s="22">
        <f t="array" ref="L313">IF($D313="","",IFERROR(INDEX(MASTER_SOURCE!$D$2:$D$495,MATCH($I313,MASTER_SOURCE!$A$2:$A$495,0)),""))</f>
        <v/>
      </c>
      <c r="M313" s="24" t="inlineStr">
        <is>
          <t>Có</t>
        </is>
      </c>
      <c r="N313" s="24" t="inlineStr">
        <is>
          <t>Có</t>
        </is>
      </c>
      <c r="O313" s="24" t="inlineStr">
        <is>
          <t>Có</t>
        </is>
      </c>
      <c r="P313" s="24" t="inlineStr">
        <is>
          <t>Có</t>
        </is>
      </c>
      <c r="Q313" s="22">
        <f>IF($D313="","",IF(AND(OR(DANH_MUC!$L$5&lt;&gt;"Có",M313="Có"),OR(DANH_MUC!$L$6&lt;&gt;"Có",N313="Có"),OR(DANH_MUC!$L$7&lt;&gt;"Có",O313="Có"),OR(DANH_MUC!$L$8&lt;&gt;"Có",P313="Có")),"Có","Không"))</f>
        <v/>
      </c>
      <c r="R313" s="22">
        <f>IF($D313="","",IF(COUNTIF($D$2:$D313,$D313)&gt;1,"Trùng",""))</f>
        <v/>
      </c>
      <c r="S313" s="22">
        <f>IF($D313="","",IF(AND(LEN($D313)=10,LEFT($D313,1)="0",ISNUMBER(--$D313)),"Có","Không"))</f>
        <v/>
      </c>
      <c r="T313" s="22">
        <f>IF($D313="","",IF(AND($C313&lt;&gt;"",$Q313="Có",$R313="",$S313="Có",AND($L313&lt;&gt;"",OR($L313&lt;&gt;"Chưa xác định",DANH_MUC!$L$9="Có"))),"Có","Không"))</f>
        <v/>
      </c>
      <c r="U313" s="22">
        <f>IF(OR($D313="",$T313="Có"),"",IF($C313="","Thiếu họ tên; ","")&amp;IF($S313&lt;&gt;"Có","SĐT sai định dạng; ","")&amp;IF($R313="Trùng","Trùng SĐT; ","")&amp;IF($Q313&lt;&gt;"Có","Thiếu đồng ý bắt buộc; ","")&amp;IF($L313="","Thiếu/sai Mã REF; ",IF(AND($L313="Chưa xác định",DANH_MUC!$L$9&lt;&gt;"Có"),"Nguồn chưa xác định; ","")))</f>
        <v/>
      </c>
      <c r="V313" s="22">
        <f>IF(OR($D313="",$R313="Trùng"),"",IF(COUNTIF(ORDERS!$C$2:$C$4995,$D313)&gt;0,"Có","Không"))</f>
        <v/>
      </c>
      <c r="W313" s="22">
        <f>IF(OR($D313="",$R313="Trùng"),"",COUNTIFS(ORDERS!$C$2:$C$4995,$D313,ORDERS!$L$2:$L$4995,"Đã chuyển khoản"))</f>
        <v/>
      </c>
      <c r="X313" s="23">
        <f>IF(OR($D313="",$R313="Trùng"),"",SUMIFS(ORDERS!$J$2:$J$4995,ORDERS!$C$2:$C$4995,$D313,ORDERS!$L$2:$L$4995,"Đã chuyển khoản"))</f>
        <v/>
      </c>
      <c r="Y313" s="24" t="n"/>
    </row>
    <row r="314" ht="14.25" customHeight="1" s="40">
      <c r="A314" s="24" t="inlineStr">
        <is>
          <t>6e6df19d-e992-49ab-83af-57d23c7679ea</t>
        </is>
      </c>
      <c r="B314" s="18" t="n">
        <v>46295.83680555555</v>
      </c>
      <c r="C314" s="24" t="inlineStr">
        <is>
          <t>Trần Phước Thuỵ Văn</t>
        </is>
      </c>
      <c r="D314" s="28" t="inlineStr">
        <is>
          <t>0936512839</t>
        </is>
      </c>
      <c r="E314" s="29" t="n">
        <v>45993</v>
      </c>
      <c r="F314" s="24" t="inlineStr">
        <is>
          <t>Đã sinh</t>
        </is>
      </c>
      <c r="G314" s="24" t="inlineStr">
        <is>
          <t>Hồ Chí Minh</t>
        </is>
      </c>
      <c r="H314" s="21">
        <f>IF(ISNUMBER($B314),INT($B314)-WEEKDAY($B314,2)+1,"")</f>
        <v/>
      </c>
      <c r="I314" s="24" t="inlineStr">
        <is>
          <t>Z-MEDUA</t>
        </is>
      </c>
      <c r="J314" s="22">
        <f t="array" ref="J314">IF($D314="","",IF($I314="","(trống REF)",IFERROR(INDEX(MASTER_SOURCE!$B$2:$B$495,MATCH($I314,MASTER_SOURCE!$A$2:$A$495,0)),"(REF không có trong MASTER_SOURCE)")))</f>
        <v/>
      </c>
      <c r="K314" s="22">
        <f t="array" ref="K314">IF($D314="","",IFERROR(INDEX(MASTER_SOURCE!$C$2:$C$495,MATCH($I314,MASTER_SOURCE!$A$2:$A$495,0)),""))</f>
        <v/>
      </c>
      <c r="L314" s="22">
        <f t="array" ref="L314">IF($D314="","",IFERROR(INDEX(MASTER_SOURCE!$D$2:$D$495,MATCH($I314,MASTER_SOURCE!$A$2:$A$495,0)),""))</f>
        <v/>
      </c>
      <c r="M314" s="24" t="inlineStr">
        <is>
          <t>Có</t>
        </is>
      </c>
      <c r="N314" s="24" t="inlineStr">
        <is>
          <t>Có</t>
        </is>
      </c>
      <c r="O314" s="24" t="inlineStr">
        <is>
          <t>Có</t>
        </is>
      </c>
      <c r="P314" s="24" t="inlineStr">
        <is>
          <t>Có</t>
        </is>
      </c>
      <c r="Q314" s="22">
        <f>IF($D314="","",IF(AND(OR(DANH_MUC!$L$5&lt;&gt;"Có",M314="Có"),OR(DANH_MUC!$L$6&lt;&gt;"Có",N314="Có"),OR(DANH_MUC!$L$7&lt;&gt;"Có",O314="Có"),OR(DANH_MUC!$L$8&lt;&gt;"Có",P314="Có")),"Có","Không"))</f>
        <v/>
      </c>
      <c r="R314" s="22">
        <f>IF($D314="","",IF(COUNTIF($D$2:$D314,$D314)&gt;1,"Trùng",""))</f>
        <v/>
      </c>
      <c r="S314" s="22">
        <f>IF($D314="","",IF(AND(LEN($D314)=10,LEFT($D314,1)="0",ISNUMBER(--$D314)),"Có","Không"))</f>
        <v/>
      </c>
      <c r="T314" s="22">
        <f>IF($D314="","",IF(AND($C314&lt;&gt;"",$Q314="Có",$R314="",$S314="Có",AND($L314&lt;&gt;"",OR($L314&lt;&gt;"Chưa xác định",DANH_MUC!$L$9="Có"))),"Có","Không"))</f>
        <v/>
      </c>
      <c r="U314" s="22">
        <f>IF(OR($D314="",$T314="Có"),"",IF($C314="","Thiếu họ tên; ","")&amp;IF($S314&lt;&gt;"Có","SĐT sai định dạng; ","")&amp;IF($R314="Trùng","Trùng SĐT; ","")&amp;IF($Q314&lt;&gt;"Có","Thiếu đồng ý bắt buộc; ","")&amp;IF($L314="","Thiếu/sai Mã REF; ",IF(AND($L314="Chưa xác định",DANH_MUC!$L$9&lt;&gt;"Có"),"Nguồn chưa xác định; ","")))</f>
        <v/>
      </c>
      <c r="V314" s="22">
        <f>IF(OR($D314="",$R314="Trùng"),"",IF(COUNTIF(ORDERS!$C$2:$C$4995,$D314)&gt;0,"Có","Không"))</f>
        <v/>
      </c>
      <c r="W314" s="22">
        <f>IF(OR($D314="",$R314="Trùng"),"",COUNTIFS(ORDERS!$C$2:$C$4995,$D314,ORDERS!$L$2:$L$4995,"Đã chuyển khoản"))</f>
        <v/>
      </c>
      <c r="X314" s="23">
        <f>IF(OR($D314="",$R314="Trùng"),"",SUMIFS(ORDERS!$J$2:$J$4995,ORDERS!$C$2:$C$4995,$D314,ORDERS!$L$2:$L$4995,"Đã chuyển khoản"))</f>
        <v/>
      </c>
      <c r="Y314" s="24" t="n"/>
    </row>
    <row r="315" ht="14.25" customHeight="1" s="40">
      <c r="A315" s="24" t="inlineStr">
        <is>
          <t>a9e52d14-57b9-4c5d-ba7a-7a6c0a16675c</t>
        </is>
      </c>
      <c r="B315" s="18" t="n">
        <v>46295.83680555555</v>
      </c>
      <c r="C315" s="24" t="inlineStr">
        <is>
          <t>Nguyễn Thị Ngọc Ánh</t>
        </is>
      </c>
      <c r="D315" s="28" t="inlineStr">
        <is>
          <t>0767830541</t>
        </is>
      </c>
      <c r="E315" s="29" t="n">
        <v>46184</v>
      </c>
      <c r="F315" s="24" t="inlineStr">
        <is>
          <t>Đã sinh</t>
        </is>
      </c>
      <c r="G315" s="24" t="inlineStr">
        <is>
          <t>Hồ Chí Minh</t>
        </is>
      </c>
      <c r="H315" s="21">
        <f>IF(ISNUMBER($B315),INT($B315)-WEEKDAY($B315,2)+1,"")</f>
        <v/>
      </c>
      <c r="I315" s="24" t="inlineStr">
        <is>
          <t>Z-MEDUA</t>
        </is>
      </c>
      <c r="J315" s="22">
        <f t="array" ref="J315">IF($D315="","",IF($I315="","(trống REF)",IFERROR(INDEX(MASTER_SOURCE!$B$2:$B$495,MATCH($I315,MASTER_SOURCE!$A$2:$A$495,0)),"(REF không có trong MASTER_SOURCE)")))</f>
        <v/>
      </c>
      <c r="K315" s="22">
        <f t="array" ref="K315">IF($D315="","",IFERROR(INDEX(MASTER_SOURCE!$C$2:$C$495,MATCH($I315,MASTER_SOURCE!$A$2:$A$495,0)),""))</f>
        <v/>
      </c>
      <c r="L315" s="22">
        <f t="array" ref="L315">IF($D315="","",IFERROR(INDEX(MASTER_SOURCE!$D$2:$D$495,MATCH($I315,MASTER_SOURCE!$A$2:$A$495,0)),""))</f>
        <v/>
      </c>
      <c r="M315" s="24" t="inlineStr">
        <is>
          <t>Có</t>
        </is>
      </c>
      <c r="N315" s="24" t="inlineStr">
        <is>
          <t>Có</t>
        </is>
      </c>
      <c r="O315" s="24" t="inlineStr">
        <is>
          <t>Có</t>
        </is>
      </c>
      <c r="P315" s="24" t="inlineStr">
        <is>
          <t>Có</t>
        </is>
      </c>
      <c r="Q315" s="22">
        <f>IF($D315="","",IF(AND(OR(DANH_MUC!$L$5&lt;&gt;"Có",M315="Có"),OR(DANH_MUC!$L$6&lt;&gt;"Có",N315="Có"),OR(DANH_MUC!$L$7&lt;&gt;"Có",O315="Có"),OR(DANH_MUC!$L$8&lt;&gt;"Có",P315="Có")),"Có","Không"))</f>
        <v/>
      </c>
      <c r="R315" s="22">
        <f>IF($D315="","",IF(COUNTIF($D$2:$D315,$D315)&gt;1,"Trùng",""))</f>
        <v/>
      </c>
      <c r="S315" s="22">
        <f>IF($D315="","",IF(AND(LEN($D315)=10,LEFT($D315,1)="0",ISNUMBER(--$D315)),"Có","Không"))</f>
        <v/>
      </c>
      <c r="T315" s="22">
        <f>IF($D315="","",IF(AND($C315&lt;&gt;"",$Q315="Có",$R315="",$S315="Có",AND($L315&lt;&gt;"",OR($L315&lt;&gt;"Chưa xác định",DANH_MUC!$L$9="Có"))),"Có","Không"))</f>
        <v/>
      </c>
      <c r="U315" s="22">
        <f>IF(OR($D315="",$T315="Có"),"",IF($C315="","Thiếu họ tên; ","")&amp;IF($S315&lt;&gt;"Có","SĐT sai định dạng; ","")&amp;IF($R315="Trùng","Trùng SĐT; ","")&amp;IF($Q315&lt;&gt;"Có","Thiếu đồng ý bắt buộc; ","")&amp;IF($L315="","Thiếu/sai Mã REF; ",IF(AND($L315="Chưa xác định",DANH_MUC!$L$9&lt;&gt;"Có"),"Nguồn chưa xác định; ","")))</f>
        <v/>
      </c>
      <c r="V315" s="22">
        <f>IF(OR($D315="",$R315="Trùng"),"",IF(COUNTIF(ORDERS!$C$2:$C$4995,$D315)&gt;0,"Có","Không"))</f>
        <v/>
      </c>
      <c r="W315" s="22">
        <f>IF(OR($D315="",$R315="Trùng"),"",COUNTIFS(ORDERS!$C$2:$C$4995,$D315,ORDERS!$L$2:$L$4995,"Đã chuyển khoản"))</f>
        <v/>
      </c>
      <c r="X315" s="23">
        <f>IF(OR($D315="",$R315="Trùng"),"",SUMIFS(ORDERS!$J$2:$J$4995,ORDERS!$C$2:$C$4995,$D315,ORDERS!$L$2:$L$4995,"Đã chuyển khoản"))</f>
        <v/>
      </c>
      <c r="Y315" s="24" t="n"/>
    </row>
    <row r="316" ht="14.25" customHeight="1" s="40">
      <c r="A316" s="24" t="inlineStr">
        <is>
          <t>92a4a18c-0b82-493b-afd6-cefcc038811c</t>
        </is>
      </c>
      <c r="B316" s="18" t="n">
        <v>46295.83888888889</v>
      </c>
      <c r="C316" s="24" t="inlineStr">
        <is>
          <t>Đỗ Viên Thiên Ánh Ngọc</t>
        </is>
      </c>
      <c r="D316" s="28" t="inlineStr">
        <is>
          <t>0976596178</t>
        </is>
      </c>
      <c r="E316" s="29" t="n">
        <v>46319</v>
      </c>
      <c r="F316" s="24" t="inlineStr">
        <is>
          <t>Đang mang thai</t>
        </is>
      </c>
      <c r="G316" s="24" t="inlineStr">
        <is>
          <t>Hồ Chí Minh</t>
        </is>
      </c>
      <c r="H316" s="21">
        <f>IF(ISNUMBER($B316),INT($B316)-WEEKDAY($B316,2)+1,"")</f>
        <v/>
      </c>
      <c r="I316" s="24" t="inlineStr">
        <is>
          <t>Z-MEDUA</t>
        </is>
      </c>
      <c r="J316" s="22">
        <f t="array" ref="J316">IF($D316="","",IF($I316="","(trống REF)",IFERROR(INDEX(MASTER_SOURCE!$B$2:$B$495,MATCH($I316,MASTER_SOURCE!$A$2:$A$495,0)),"(REF không có trong MASTER_SOURCE)")))</f>
        <v/>
      </c>
      <c r="K316" s="22">
        <f t="array" ref="K316">IF($D316="","",IFERROR(INDEX(MASTER_SOURCE!$C$2:$C$495,MATCH($I316,MASTER_SOURCE!$A$2:$A$495,0)),""))</f>
        <v/>
      </c>
      <c r="L316" s="22">
        <f t="array" ref="L316">IF($D316="","",IFERROR(INDEX(MASTER_SOURCE!$D$2:$D$495,MATCH($I316,MASTER_SOURCE!$A$2:$A$495,0)),""))</f>
        <v/>
      </c>
      <c r="M316" s="24" t="inlineStr">
        <is>
          <t>Có</t>
        </is>
      </c>
      <c r="N316" s="24" t="inlineStr">
        <is>
          <t>Có</t>
        </is>
      </c>
      <c r="O316" s="24" t="inlineStr">
        <is>
          <t>Có</t>
        </is>
      </c>
      <c r="P316" s="24" t="inlineStr">
        <is>
          <t>Có</t>
        </is>
      </c>
      <c r="Q316" s="22">
        <f>IF($D316="","",IF(AND(OR(DANH_MUC!$L$5&lt;&gt;"Có",M316="Có"),OR(DANH_MUC!$L$6&lt;&gt;"Có",N316="Có"),OR(DANH_MUC!$L$7&lt;&gt;"Có",O316="Có"),OR(DANH_MUC!$L$8&lt;&gt;"Có",P316="Có")),"Có","Không"))</f>
        <v/>
      </c>
      <c r="R316" s="22">
        <f>IF($D316="","",IF(COUNTIF($D$2:$D316,$D316)&gt;1,"Trùng",""))</f>
        <v/>
      </c>
      <c r="S316" s="22">
        <f>IF($D316="","",IF(AND(LEN($D316)=10,LEFT($D316,1)="0",ISNUMBER(--$D316)),"Có","Không"))</f>
        <v/>
      </c>
      <c r="T316" s="22">
        <f>IF($D316="","",IF(AND($C316&lt;&gt;"",$Q316="Có",$R316="",$S316="Có",AND($L316&lt;&gt;"",OR($L316&lt;&gt;"Chưa xác định",DANH_MUC!$L$9="Có"))),"Có","Không"))</f>
        <v/>
      </c>
      <c r="U316" s="22">
        <f>IF(OR($D316="",$T316="Có"),"",IF($C316="","Thiếu họ tên; ","")&amp;IF($S316&lt;&gt;"Có","SĐT sai định dạng; ","")&amp;IF($R316="Trùng","Trùng SĐT; ","")&amp;IF($Q316&lt;&gt;"Có","Thiếu đồng ý bắt buộc; ","")&amp;IF($L316="","Thiếu/sai Mã REF; ",IF(AND($L316="Chưa xác định",DANH_MUC!$L$9&lt;&gt;"Có"),"Nguồn chưa xác định; ","")))</f>
        <v/>
      </c>
      <c r="V316" s="22">
        <f>IF(OR($D316="",$R316="Trùng"),"",IF(COUNTIF(ORDERS!$C$2:$C$4995,$D316)&gt;0,"Có","Không"))</f>
        <v/>
      </c>
      <c r="W316" s="22">
        <f>IF(OR($D316="",$R316="Trùng"),"",COUNTIFS(ORDERS!$C$2:$C$4995,$D316,ORDERS!$L$2:$L$4995,"Đã chuyển khoản"))</f>
        <v/>
      </c>
      <c r="X316" s="23">
        <f>IF(OR($D316="",$R316="Trùng"),"",SUMIFS(ORDERS!$J$2:$J$4995,ORDERS!$C$2:$C$4995,$D316,ORDERS!$L$2:$L$4995,"Đã chuyển khoản"))</f>
        <v/>
      </c>
      <c r="Y316" s="24" t="n"/>
    </row>
    <row r="317" ht="14.25" customHeight="1" s="40">
      <c r="A317" s="24" t="inlineStr">
        <is>
          <t>27c54bd3-3fc0-4303-8ff9-5f7fea7e1b25</t>
        </is>
      </c>
      <c r="B317" s="18" t="n">
        <v>46295.83888888889</v>
      </c>
      <c r="C317" s="24" t="inlineStr">
        <is>
          <t>Trần Ngọc Lan Huỳnh</t>
        </is>
      </c>
      <c r="D317" s="28" t="inlineStr">
        <is>
          <t>0899977849</t>
        </is>
      </c>
      <c r="E317" s="29" t="n">
        <v>46127</v>
      </c>
      <c r="F317" s="24" t="inlineStr">
        <is>
          <t>Đã sinh</t>
        </is>
      </c>
      <c r="G317" s="24" t="inlineStr">
        <is>
          <t>Hồ Chí Minh</t>
        </is>
      </c>
      <c r="H317" s="21">
        <f>IF(ISNUMBER($B317),INT($B317)-WEEKDAY($B317,2)+1,"")</f>
        <v/>
      </c>
      <c r="I317" s="24" t="inlineStr">
        <is>
          <t>Z-MEDUA</t>
        </is>
      </c>
      <c r="J317" s="22">
        <f t="array" ref="J317">IF($D317="","",IF($I317="","(trống REF)",IFERROR(INDEX(MASTER_SOURCE!$B$2:$B$495,MATCH($I317,MASTER_SOURCE!$A$2:$A$495,0)),"(REF không có trong MASTER_SOURCE)")))</f>
        <v/>
      </c>
      <c r="K317" s="22">
        <f t="array" ref="K317">IF($D317="","",IFERROR(INDEX(MASTER_SOURCE!$C$2:$C$495,MATCH($I317,MASTER_SOURCE!$A$2:$A$495,0)),""))</f>
        <v/>
      </c>
      <c r="L317" s="22">
        <f t="array" ref="L317">IF($D317="","",IFERROR(INDEX(MASTER_SOURCE!$D$2:$D$495,MATCH($I317,MASTER_SOURCE!$A$2:$A$495,0)),""))</f>
        <v/>
      </c>
      <c r="M317" s="24" t="inlineStr">
        <is>
          <t>Có</t>
        </is>
      </c>
      <c r="N317" s="24" t="inlineStr">
        <is>
          <t>Có</t>
        </is>
      </c>
      <c r="O317" s="24" t="inlineStr">
        <is>
          <t>Có</t>
        </is>
      </c>
      <c r="P317" s="24" t="inlineStr">
        <is>
          <t>Có</t>
        </is>
      </c>
      <c r="Q317" s="22">
        <f>IF($D317="","",IF(AND(OR(DANH_MUC!$L$5&lt;&gt;"Có",M317="Có"),OR(DANH_MUC!$L$6&lt;&gt;"Có",N317="Có"),OR(DANH_MUC!$L$7&lt;&gt;"Có",O317="Có"),OR(DANH_MUC!$L$8&lt;&gt;"Có",P317="Có")),"Có","Không"))</f>
        <v/>
      </c>
      <c r="R317" s="22">
        <f>IF($D317="","",IF(COUNTIF($D$2:$D317,$D317)&gt;1,"Trùng",""))</f>
        <v/>
      </c>
      <c r="S317" s="22">
        <f>IF($D317="","",IF(AND(LEN($D317)=10,LEFT($D317,1)="0",ISNUMBER(--$D317)),"Có","Không"))</f>
        <v/>
      </c>
      <c r="T317" s="22">
        <f>IF($D317="","",IF(AND($C317&lt;&gt;"",$Q317="Có",$R317="",$S317="Có",AND($L317&lt;&gt;"",OR($L317&lt;&gt;"Chưa xác định",DANH_MUC!$L$9="Có"))),"Có","Không"))</f>
        <v/>
      </c>
      <c r="U317" s="22">
        <f>IF(OR($D317="",$T317="Có"),"",IF($C317="","Thiếu họ tên; ","")&amp;IF($S317&lt;&gt;"Có","SĐT sai định dạng; ","")&amp;IF($R317="Trùng","Trùng SĐT; ","")&amp;IF($Q317&lt;&gt;"Có","Thiếu đồng ý bắt buộc; ","")&amp;IF($L317="","Thiếu/sai Mã REF; ",IF(AND($L317="Chưa xác định",DANH_MUC!$L$9&lt;&gt;"Có"),"Nguồn chưa xác định; ","")))</f>
        <v/>
      </c>
      <c r="V317" s="22">
        <f>IF(OR($D317="",$R317="Trùng"),"",IF(COUNTIF(ORDERS!$C$2:$C$4995,$D317)&gt;0,"Có","Không"))</f>
        <v/>
      </c>
      <c r="W317" s="22">
        <f>IF(OR($D317="",$R317="Trùng"),"",COUNTIFS(ORDERS!$C$2:$C$4995,$D317,ORDERS!$L$2:$L$4995,"Đã chuyển khoản"))</f>
        <v/>
      </c>
      <c r="X317" s="23">
        <f>IF(OR($D317="",$R317="Trùng"),"",SUMIFS(ORDERS!$J$2:$J$4995,ORDERS!$C$2:$C$4995,$D317,ORDERS!$L$2:$L$4995,"Đã chuyển khoản"))</f>
        <v/>
      </c>
      <c r="Y317" s="24" t="n"/>
    </row>
    <row r="318" ht="14.25" customHeight="1" s="40">
      <c r="A318" s="24" t="inlineStr">
        <is>
          <t>f362a6dc-eaba-4968-a044-4a21a6343b3a</t>
        </is>
      </c>
      <c r="B318" s="18" t="n">
        <v>46295.83958333333</v>
      </c>
      <c r="C318" s="24" t="inlineStr">
        <is>
          <t>Đoàn Thị Lan</t>
        </is>
      </c>
      <c r="D318" s="28" t="inlineStr">
        <is>
          <t>0348616054</t>
        </is>
      </c>
      <c r="E318" s="29" t="n">
        <v>46346</v>
      </c>
      <c r="F318" s="24" t="inlineStr">
        <is>
          <t>Đang mang thai</t>
        </is>
      </c>
      <c r="G318" s="24" t="inlineStr">
        <is>
          <t>Hồ Chí Minh</t>
        </is>
      </c>
      <c r="H318" s="21">
        <f>IF(ISNUMBER($B318),INT($B318)-WEEKDAY($B318,2)+1,"")</f>
        <v/>
      </c>
      <c r="I318" s="24" t="inlineStr">
        <is>
          <t>Z-MEDUA</t>
        </is>
      </c>
      <c r="J318" s="22">
        <f t="array" ref="J318">IF($D318="","",IF($I318="","(trống REF)",IFERROR(INDEX(MASTER_SOURCE!$B$2:$B$495,MATCH($I318,MASTER_SOURCE!$A$2:$A$495,0)),"(REF không có trong MASTER_SOURCE)")))</f>
        <v/>
      </c>
      <c r="K318" s="22">
        <f t="array" ref="K318">IF($D318="","",IFERROR(INDEX(MASTER_SOURCE!$C$2:$C$495,MATCH($I318,MASTER_SOURCE!$A$2:$A$495,0)),""))</f>
        <v/>
      </c>
      <c r="L318" s="22">
        <f t="array" ref="L318">IF($D318="","",IFERROR(INDEX(MASTER_SOURCE!$D$2:$D$495,MATCH($I318,MASTER_SOURCE!$A$2:$A$495,0)),""))</f>
        <v/>
      </c>
      <c r="M318" s="24" t="inlineStr">
        <is>
          <t>Có</t>
        </is>
      </c>
      <c r="N318" s="24" t="inlineStr">
        <is>
          <t>Có</t>
        </is>
      </c>
      <c r="O318" s="24" t="inlineStr">
        <is>
          <t>Có</t>
        </is>
      </c>
      <c r="P318" s="24" t="inlineStr">
        <is>
          <t>Có</t>
        </is>
      </c>
      <c r="Q318" s="22">
        <f>IF($D318="","",IF(AND(OR(DANH_MUC!$L$5&lt;&gt;"Có",M318="Có"),OR(DANH_MUC!$L$6&lt;&gt;"Có",N318="Có"),OR(DANH_MUC!$L$7&lt;&gt;"Có",O318="Có"),OR(DANH_MUC!$L$8&lt;&gt;"Có",P318="Có")),"Có","Không"))</f>
        <v/>
      </c>
      <c r="R318" s="22">
        <f>IF($D318="","",IF(COUNTIF($D$2:$D318,$D318)&gt;1,"Trùng",""))</f>
        <v/>
      </c>
      <c r="S318" s="22">
        <f>IF($D318="","",IF(AND(LEN($D318)=10,LEFT($D318,1)="0",ISNUMBER(--$D318)),"Có","Không"))</f>
        <v/>
      </c>
      <c r="T318" s="22">
        <f>IF($D318="","",IF(AND($C318&lt;&gt;"",$Q318="Có",$R318="",$S318="Có",AND($L318&lt;&gt;"",OR($L318&lt;&gt;"Chưa xác định",DANH_MUC!$L$9="Có"))),"Có","Không"))</f>
        <v/>
      </c>
      <c r="U318" s="22">
        <f>IF(OR($D318="",$T318="Có"),"",IF($C318="","Thiếu họ tên; ","")&amp;IF($S318&lt;&gt;"Có","SĐT sai định dạng; ","")&amp;IF($R318="Trùng","Trùng SĐT; ","")&amp;IF($Q318&lt;&gt;"Có","Thiếu đồng ý bắt buộc; ","")&amp;IF($L318="","Thiếu/sai Mã REF; ",IF(AND($L318="Chưa xác định",DANH_MUC!$L$9&lt;&gt;"Có"),"Nguồn chưa xác định; ","")))</f>
        <v/>
      </c>
      <c r="V318" s="22">
        <f>IF(OR($D318="",$R318="Trùng"),"",IF(COUNTIF(ORDERS!$C$2:$C$4995,$D318)&gt;0,"Có","Không"))</f>
        <v/>
      </c>
      <c r="W318" s="22">
        <f>IF(OR($D318="",$R318="Trùng"),"",COUNTIFS(ORDERS!$C$2:$C$4995,$D318,ORDERS!$L$2:$L$4995,"Đã chuyển khoản"))</f>
        <v/>
      </c>
      <c r="X318" s="23">
        <f>IF(OR($D318="",$R318="Trùng"),"",SUMIFS(ORDERS!$J$2:$J$4995,ORDERS!$C$2:$C$4995,$D318,ORDERS!$L$2:$L$4995,"Đã chuyển khoản"))</f>
        <v/>
      </c>
      <c r="Y318" s="24" t="n"/>
    </row>
    <row r="319" ht="14.25" customHeight="1" s="40">
      <c r="A319" s="24" t="inlineStr">
        <is>
          <t>8150094e-03e0-43cf-a331-f0e39ee40353</t>
        </is>
      </c>
      <c r="B319" s="18" t="n">
        <v>46295.83958333333</v>
      </c>
      <c r="C319" s="24" t="inlineStr">
        <is>
          <t>Tạ Nguyễn Thuỳ Linh</t>
        </is>
      </c>
      <c r="D319" s="28" t="inlineStr">
        <is>
          <t>0932413698</t>
        </is>
      </c>
      <c r="E319" s="29" t="n">
        <v>46275</v>
      </c>
      <c r="F319" s="24" t="inlineStr">
        <is>
          <t>Đã sinh</t>
        </is>
      </c>
      <c r="G319" s="24" t="inlineStr">
        <is>
          <t>Hồ Chí Minh</t>
        </is>
      </c>
      <c r="H319" s="21">
        <f>IF(ISNUMBER($B319),INT($B319)-WEEKDAY($B319,2)+1,"")</f>
        <v/>
      </c>
      <c r="I319" s="24" t="inlineStr">
        <is>
          <t>Z-MEDUA</t>
        </is>
      </c>
      <c r="J319" s="22">
        <f t="array" ref="J319">IF($D319="","",IF($I319="","(trống REF)",IFERROR(INDEX(MASTER_SOURCE!$B$2:$B$495,MATCH($I319,MASTER_SOURCE!$A$2:$A$495,0)),"(REF không có trong MASTER_SOURCE)")))</f>
        <v/>
      </c>
      <c r="K319" s="22">
        <f t="array" ref="K319">IF($D319="","",IFERROR(INDEX(MASTER_SOURCE!$C$2:$C$495,MATCH($I319,MASTER_SOURCE!$A$2:$A$495,0)),""))</f>
        <v/>
      </c>
      <c r="L319" s="22">
        <f t="array" ref="L319">IF($D319="","",IFERROR(INDEX(MASTER_SOURCE!$D$2:$D$495,MATCH($I319,MASTER_SOURCE!$A$2:$A$495,0)),""))</f>
        <v/>
      </c>
      <c r="M319" s="24" t="inlineStr">
        <is>
          <t>Có</t>
        </is>
      </c>
      <c r="N319" s="24" t="inlineStr">
        <is>
          <t>Có</t>
        </is>
      </c>
      <c r="O319" s="24" t="inlineStr">
        <is>
          <t>Có</t>
        </is>
      </c>
      <c r="P319" s="24" t="inlineStr">
        <is>
          <t>Có</t>
        </is>
      </c>
      <c r="Q319" s="22">
        <f>IF($D319="","",IF(AND(OR(DANH_MUC!$L$5&lt;&gt;"Có",M319="Có"),OR(DANH_MUC!$L$6&lt;&gt;"Có",N319="Có"),OR(DANH_MUC!$L$7&lt;&gt;"Có",O319="Có"),OR(DANH_MUC!$L$8&lt;&gt;"Có",P319="Có")),"Có","Không"))</f>
        <v/>
      </c>
      <c r="R319" s="22">
        <f>IF($D319="","",IF(COUNTIF($D$2:$D319,$D319)&gt;1,"Trùng",""))</f>
        <v/>
      </c>
      <c r="S319" s="22">
        <f>IF($D319="","",IF(AND(LEN($D319)=10,LEFT($D319,1)="0",ISNUMBER(--$D319)),"Có","Không"))</f>
        <v/>
      </c>
      <c r="T319" s="22">
        <f>IF($D319="","",IF(AND($C319&lt;&gt;"",$Q319="Có",$R319="",$S319="Có",AND($L319&lt;&gt;"",OR($L319&lt;&gt;"Chưa xác định",DANH_MUC!$L$9="Có"))),"Có","Không"))</f>
        <v/>
      </c>
      <c r="U319" s="22">
        <f>IF(OR($D319="",$T319="Có"),"",IF($C319="","Thiếu họ tên; ","")&amp;IF($S319&lt;&gt;"Có","SĐT sai định dạng; ","")&amp;IF($R319="Trùng","Trùng SĐT; ","")&amp;IF($Q319&lt;&gt;"Có","Thiếu đồng ý bắt buộc; ","")&amp;IF($L319="","Thiếu/sai Mã REF; ",IF(AND($L319="Chưa xác định",DANH_MUC!$L$9&lt;&gt;"Có"),"Nguồn chưa xác định; ","")))</f>
        <v/>
      </c>
      <c r="V319" s="22">
        <f>IF(OR($D319="",$R319="Trùng"),"",IF(COUNTIF(ORDERS!$C$2:$C$4995,$D319)&gt;0,"Có","Không"))</f>
        <v/>
      </c>
      <c r="W319" s="22">
        <f>IF(OR($D319="",$R319="Trùng"),"",COUNTIFS(ORDERS!$C$2:$C$4995,$D319,ORDERS!$L$2:$L$4995,"Đã chuyển khoản"))</f>
        <v/>
      </c>
      <c r="X319" s="23">
        <f>IF(OR($D319="",$R319="Trùng"),"",SUMIFS(ORDERS!$J$2:$J$4995,ORDERS!$C$2:$C$4995,$D319,ORDERS!$L$2:$L$4995,"Đã chuyển khoản"))</f>
        <v/>
      </c>
      <c r="Y319" s="24" t="n"/>
    </row>
    <row r="320" ht="14.25" customHeight="1" s="40">
      <c r="A320" s="24" t="inlineStr">
        <is>
          <t>56cfd43b-13f5-49b1-9174-b96bff1d9387</t>
        </is>
      </c>
      <c r="B320" s="18" t="n">
        <v>46295.84027777778</v>
      </c>
      <c r="C320" s="24" t="inlineStr">
        <is>
          <t>Phạm Thị Ngọc Khá</t>
        </is>
      </c>
      <c r="D320" s="28" t="inlineStr">
        <is>
          <t>0906017438</t>
        </is>
      </c>
      <c r="E320" s="29" t="n">
        <v>46307</v>
      </c>
      <c r="F320" s="24" t="inlineStr">
        <is>
          <t>Đang mang thai</t>
        </is>
      </c>
      <c r="G320" s="24" t="inlineStr">
        <is>
          <t>Hồ Chí Minh</t>
        </is>
      </c>
      <c r="H320" s="21">
        <f>IF(ISNUMBER($B320),INT($B320)-WEEKDAY($B320,2)+1,"")</f>
        <v/>
      </c>
      <c r="I320" s="24" t="inlineStr">
        <is>
          <t>Z-MEDUA</t>
        </is>
      </c>
      <c r="J320" s="22">
        <f t="array" ref="J320">IF($D320="","",IF($I320="","(trống REF)",IFERROR(INDEX(MASTER_SOURCE!$B$2:$B$495,MATCH($I320,MASTER_SOURCE!$A$2:$A$495,0)),"(REF không có trong MASTER_SOURCE)")))</f>
        <v/>
      </c>
      <c r="K320" s="22">
        <f t="array" ref="K320">IF($D320="","",IFERROR(INDEX(MASTER_SOURCE!$C$2:$C$495,MATCH($I320,MASTER_SOURCE!$A$2:$A$495,0)),""))</f>
        <v/>
      </c>
      <c r="L320" s="22">
        <f t="array" ref="L320">IF($D320="","",IFERROR(INDEX(MASTER_SOURCE!$D$2:$D$495,MATCH($I320,MASTER_SOURCE!$A$2:$A$495,0)),""))</f>
        <v/>
      </c>
      <c r="M320" s="24" t="inlineStr">
        <is>
          <t>Có</t>
        </is>
      </c>
      <c r="N320" s="24" t="inlineStr">
        <is>
          <t>Có</t>
        </is>
      </c>
      <c r="O320" s="24" t="inlineStr">
        <is>
          <t>Có</t>
        </is>
      </c>
      <c r="P320" s="24" t="inlineStr">
        <is>
          <t>Có</t>
        </is>
      </c>
      <c r="Q320" s="22">
        <f>IF($D320="","",IF(AND(OR(DANH_MUC!$L$5&lt;&gt;"Có",M320="Có"),OR(DANH_MUC!$L$6&lt;&gt;"Có",N320="Có"),OR(DANH_MUC!$L$7&lt;&gt;"Có",O320="Có"),OR(DANH_MUC!$L$8&lt;&gt;"Có",P320="Có")),"Có","Không"))</f>
        <v/>
      </c>
      <c r="R320" s="22">
        <f>IF($D320="","",IF(COUNTIF($D$2:$D320,$D320)&gt;1,"Trùng",""))</f>
        <v/>
      </c>
      <c r="S320" s="22">
        <f>IF($D320="","",IF(AND(LEN($D320)=10,LEFT($D320,1)="0",ISNUMBER(--$D320)),"Có","Không"))</f>
        <v/>
      </c>
      <c r="T320" s="22">
        <f>IF($D320="","",IF(AND($C320&lt;&gt;"",$Q320="Có",$R320="",$S320="Có",AND($L320&lt;&gt;"",OR($L320&lt;&gt;"Chưa xác định",DANH_MUC!$L$9="Có"))),"Có","Không"))</f>
        <v/>
      </c>
      <c r="U320" s="22">
        <f>IF(OR($D320="",$T320="Có"),"",IF($C320="","Thiếu họ tên; ","")&amp;IF($S320&lt;&gt;"Có","SĐT sai định dạng; ","")&amp;IF($R320="Trùng","Trùng SĐT; ","")&amp;IF($Q320&lt;&gt;"Có","Thiếu đồng ý bắt buộc; ","")&amp;IF($L320="","Thiếu/sai Mã REF; ",IF(AND($L320="Chưa xác định",DANH_MUC!$L$9&lt;&gt;"Có"),"Nguồn chưa xác định; ","")))</f>
        <v/>
      </c>
      <c r="V320" s="22">
        <f>IF(OR($D320="",$R320="Trùng"),"",IF(COUNTIF(ORDERS!$C$2:$C$4995,$D320)&gt;0,"Có","Không"))</f>
        <v/>
      </c>
      <c r="W320" s="22">
        <f>IF(OR($D320="",$R320="Trùng"),"",COUNTIFS(ORDERS!$C$2:$C$4995,$D320,ORDERS!$L$2:$L$4995,"Đã chuyển khoản"))</f>
        <v/>
      </c>
      <c r="X320" s="23">
        <f>IF(OR($D320="",$R320="Trùng"),"",SUMIFS(ORDERS!$J$2:$J$4995,ORDERS!$C$2:$C$4995,$D320,ORDERS!$L$2:$L$4995,"Đã chuyển khoản"))</f>
        <v/>
      </c>
      <c r="Y320" s="24" t="n"/>
    </row>
    <row r="321" ht="14.25" customHeight="1" s="40">
      <c r="A321" s="24" t="inlineStr">
        <is>
          <t>bdd0e2b4-77f9-409a-b524-2faf986acb51</t>
        </is>
      </c>
      <c r="B321" s="18" t="n">
        <v>46295.84236111111</v>
      </c>
      <c r="C321" s="24" t="inlineStr">
        <is>
          <t>Phạm Thị Hồng Loan</t>
        </is>
      </c>
      <c r="D321" s="28" t="inlineStr">
        <is>
          <t>0373775770</t>
        </is>
      </c>
      <c r="E321" s="29" t="n">
        <v>46175</v>
      </c>
      <c r="F321" s="24" t="inlineStr">
        <is>
          <t>Đã sinh</t>
        </is>
      </c>
      <c r="G321" s="24" t="inlineStr">
        <is>
          <t>Đồng Nai</t>
        </is>
      </c>
      <c r="H321" s="21">
        <f>IF(ISNUMBER($B321),INT($B321)-WEEKDAY($B321,2)+1,"")</f>
        <v/>
      </c>
      <c r="I321" s="24" t="inlineStr">
        <is>
          <t>Z-MEDUA</t>
        </is>
      </c>
      <c r="J321" s="22">
        <f t="array" ref="J321">IF($D321="","",IF($I321="","(trống REF)",IFERROR(INDEX(MASTER_SOURCE!$B$2:$B$495,MATCH($I321,MASTER_SOURCE!$A$2:$A$495,0)),"(REF không có trong MASTER_SOURCE)")))</f>
        <v/>
      </c>
      <c r="K321" s="22">
        <f t="array" ref="K321">IF($D321="","",IFERROR(INDEX(MASTER_SOURCE!$C$2:$C$495,MATCH($I321,MASTER_SOURCE!$A$2:$A$495,0)),""))</f>
        <v/>
      </c>
      <c r="L321" s="22">
        <f t="array" ref="L321">IF($D321="","",IFERROR(INDEX(MASTER_SOURCE!$D$2:$D$495,MATCH($I321,MASTER_SOURCE!$A$2:$A$495,0)),""))</f>
        <v/>
      </c>
      <c r="M321" s="24" t="inlineStr">
        <is>
          <t>Có</t>
        </is>
      </c>
      <c r="N321" s="24" t="inlineStr">
        <is>
          <t>Có</t>
        </is>
      </c>
      <c r="O321" s="24" t="inlineStr">
        <is>
          <t>Có</t>
        </is>
      </c>
      <c r="P321" s="24" t="inlineStr">
        <is>
          <t>Có</t>
        </is>
      </c>
      <c r="Q321" s="22">
        <f>IF($D321="","",IF(AND(OR(DANH_MUC!$L$5&lt;&gt;"Có",M321="Có"),OR(DANH_MUC!$L$6&lt;&gt;"Có",N321="Có"),OR(DANH_MUC!$L$7&lt;&gt;"Có",O321="Có"),OR(DANH_MUC!$L$8&lt;&gt;"Có",P321="Có")),"Có","Không"))</f>
        <v/>
      </c>
      <c r="R321" s="22">
        <f>IF($D321="","",IF(COUNTIF($D$2:$D321,$D321)&gt;1,"Trùng",""))</f>
        <v/>
      </c>
      <c r="S321" s="22">
        <f>IF($D321="","",IF(AND(LEN($D321)=10,LEFT($D321,1)="0",ISNUMBER(--$D321)),"Có","Không"))</f>
        <v/>
      </c>
      <c r="T321" s="22">
        <f>IF($D321="","",IF(AND($C321&lt;&gt;"",$Q321="Có",$R321="",$S321="Có",AND($L321&lt;&gt;"",OR($L321&lt;&gt;"Chưa xác định",DANH_MUC!$L$9="Có"))),"Có","Không"))</f>
        <v/>
      </c>
      <c r="U321" s="22">
        <f>IF(OR($D321="",$T321="Có"),"",IF($C321="","Thiếu họ tên; ","")&amp;IF($S321&lt;&gt;"Có","SĐT sai định dạng; ","")&amp;IF($R321="Trùng","Trùng SĐT; ","")&amp;IF($Q321&lt;&gt;"Có","Thiếu đồng ý bắt buộc; ","")&amp;IF($L321="","Thiếu/sai Mã REF; ",IF(AND($L321="Chưa xác định",DANH_MUC!$L$9&lt;&gt;"Có"),"Nguồn chưa xác định; ","")))</f>
        <v/>
      </c>
      <c r="V321" s="22">
        <f>IF(OR($D321="",$R321="Trùng"),"",IF(COUNTIF(ORDERS!$C$2:$C$4995,$D321)&gt;0,"Có","Không"))</f>
        <v/>
      </c>
      <c r="W321" s="22">
        <f>IF(OR($D321="",$R321="Trùng"),"",COUNTIFS(ORDERS!$C$2:$C$4995,$D321,ORDERS!$L$2:$L$4995,"Đã chuyển khoản"))</f>
        <v/>
      </c>
      <c r="X321" s="23">
        <f>IF(OR($D321="",$R321="Trùng"),"",SUMIFS(ORDERS!$J$2:$J$4995,ORDERS!$C$2:$C$4995,$D321,ORDERS!$L$2:$L$4995,"Đã chuyển khoản"))</f>
        <v/>
      </c>
      <c r="Y321" s="24" t="n"/>
    </row>
    <row r="322" ht="14.25" customHeight="1" s="40">
      <c r="A322" s="24" t="inlineStr">
        <is>
          <t>9b109f21-9ed9-4f12-9d86-15fd686d31f0</t>
        </is>
      </c>
      <c r="B322" s="18" t="n">
        <v>46295.84652777778</v>
      </c>
      <c r="C322" s="24" t="inlineStr">
        <is>
          <t>Lưu Trần Thảo Phương</t>
        </is>
      </c>
      <c r="D322" s="28" t="inlineStr">
        <is>
          <t>0773131935</t>
        </is>
      </c>
      <c r="E322" s="29" t="n">
        <v>46041</v>
      </c>
      <c r="F322" s="24" t="inlineStr">
        <is>
          <t>Đã sinh</t>
        </is>
      </c>
      <c r="G322" s="24" t="inlineStr">
        <is>
          <t>Hồ Chí Minh</t>
        </is>
      </c>
      <c r="H322" s="21">
        <f>IF(ISNUMBER($B322),INT($B322)-WEEKDAY($B322,2)+1,"")</f>
        <v/>
      </c>
      <c r="I322" s="24" t="inlineStr">
        <is>
          <t>Z-MEDUA</t>
        </is>
      </c>
      <c r="J322" s="22">
        <f t="array" ref="J322">IF($D322="","",IF($I322="","(trống REF)",IFERROR(INDEX(MASTER_SOURCE!$B$2:$B$495,MATCH($I322,MASTER_SOURCE!$A$2:$A$495,0)),"(REF không có trong MASTER_SOURCE)")))</f>
        <v/>
      </c>
      <c r="K322" s="22">
        <f t="array" ref="K322">IF($D322="","",IFERROR(INDEX(MASTER_SOURCE!$C$2:$C$495,MATCH($I322,MASTER_SOURCE!$A$2:$A$495,0)),""))</f>
        <v/>
      </c>
      <c r="L322" s="22">
        <f t="array" ref="L322">IF($D322="","",IFERROR(INDEX(MASTER_SOURCE!$D$2:$D$495,MATCH($I322,MASTER_SOURCE!$A$2:$A$495,0)),""))</f>
        <v/>
      </c>
      <c r="M322" s="24" t="inlineStr">
        <is>
          <t>Có</t>
        </is>
      </c>
      <c r="N322" s="24" t="inlineStr">
        <is>
          <t>Có</t>
        </is>
      </c>
      <c r="O322" s="24" t="inlineStr">
        <is>
          <t>Có</t>
        </is>
      </c>
      <c r="P322" s="24" t="inlineStr">
        <is>
          <t>Có</t>
        </is>
      </c>
      <c r="Q322" s="22">
        <f>IF($D322="","",IF(AND(OR(DANH_MUC!$L$5&lt;&gt;"Có",M322="Có"),OR(DANH_MUC!$L$6&lt;&gt;"Có",N322="Có"),OR(DANH_MUC!$L$7&lt;&gt;"Có",O322="Có"),OR(DANH_MUC!$L$8&lt;&gt;"Có",P322="Có")),"Có","Không"))</f>
        <v/>
      </c>
      <c r="R322" s="22">
        <f>IF($D322="","",IF(COUNTIF($D$2:$D322,$D322)&gt;1,"Trùng",""))</f>
        <v/>
      </c>
      <c r="S322" s="22">
        <f>IF($D322="","",IF(AND(LEN($D322)=10,LEFT($D322,1)="0",ISNUMBER(--$D322)),"Có","Không"))</f>
        <v/>
      </c>
      <c r="T322" s="22">
        <f>IF($D322="","",IF(AND($C322&lt;&gt;"",$Q322="Có",$R322="",$S322="Có",AND($L322&lt;&gt;"",OR($L322&lt;&gt;"Chưa xác định",DANH_MUC!$L$9="Có"))),"Có","Không"))</f>
        <v/>
      </c>
      <c r="U322" s="22">
        <f>IF(OR($D322="",$T322="Có"),"",IF($C322="","Thiếu họ tên; ","")&amp;IF($S322&lt;&gt;"Có","SĐT sai định dạng; ","")&amp;IF($R322="Trùng","Trùng SĐT; ","")&amp;IF($Q322&lt;&gt;"Có","Thiếu đồng ý bắt buộc; ","")&amp;IF($L322="","Thiếu/sai Mã REF; ",IF(AND($L322="Chưa xác định",DANH_MUC!$L$9&lt;&gt;"Có"),"Nguồn chưa xác định; ","")))</f>
        <v/>
      </c>
      <c r="V322" s="22">
        <f>IF(OR($D322="",$R322="Trùng"),"",IF(COUNTIF(ORDERS!$C$2:$C$4995,$D322)&gt;0,"Có","Không"))</f>
        <v/>
      </c>
      <c r="W322" s="22">
        <f>IF(OR($D322="",$R322="Trùng"),"",COUNTIFS(ORDERS!$C$2:$C$4995,$D322,ORDERS!$L$2:$L$4995,"Đã chuyển khoản"))</f>
        <v/>
      </c>
      <c r="X322" s="23">
        <f>IF(OR($D322="",$R322="Trùng"),"",SUMIFS(ORDERS!$J$2:$J$4995,ORDERS!$C$2:$C$4995,$D322,ORDERS!$L$2:$L$4995,"Đã chuyển khoản"))</f>
        <v/>
      </c>
      <c r="Y322" s="24" t="n"/>
    </row>
    <row r="323" ht="14.25" customHeight="1" s="40">
      <c r="A323" s="24" t="inlineStr">
        <is>
          <t>94fcba2e-7726-449c-a33e-82f095904da7</t>
        </is>
      </c>
      <c r="B323" s="18" t="n">
        <v>46295.84861111111</v>
      </c>
      <c r="C323" s="24" t="inlineStr">
        <is>
          <t>Lý Kim Thuý</t>
        </is>
      </c>
      <c r="D323" s="28" t="inlineStr">
        <is>
          <t>0961964405</t>
        </is>
      </c>
      <c r="E323" s="29" t="n">
        <v>46375</v>
      </c>
      <c r="F323" s="24" t="inlineStr">
        <is>
          <t>Đang mang thai</t>
        </is>
      </c>
      <c r="G323" s="24" t="inlineStr">
        <is>
          <t>Hồ Chí Minh</t>
        </is>
      </c>
      <c r="H323" s="21">
        <f>IF(ISNUMBER($B323),INT($B323)-WEEKDAY($B323,2)+1,"")</f>
        <v/>
      </c>
      <c r="I323" s="24" t="inlineStr">
        <is>
          <t>Z-MEDUA</t>
        </is>
      </c>
      <c r="J323" s="22">
        <f t="array" ref="J323">IF($D323="","",IF($I323="","(trống REF)",IFERROR(INDEX(MASTER_SOURCE!$B$2:$B$495,MATCH($I323,MASTER_SOURCE!$A$2:$A$495,0)),"(REF không có trong MASTER_SOURCE)")))</f>
        <v/>
      </c>
      <c r="K323" s="22">
        <f t="array" ref="K323">IF($D323="","",IFERROR(INDEX(MASTER_SOURCE!$C$2:$C$495,MATCH($I323,MASTER_SOURCE!$A$2:$A$495,0)),""))</f>
        <v/>
      </c>
      <c r="L323" s="22">
        <f t="array" ref="L323">IF($D323="","",IFERROR(INDEX(MASTER_SOURCE!$D$2:$D$495,MATCH($I323,MASTER_SOURCE!$A$2:$A$495,0)),""))</f>
        <v/>
      </c>
      <c r="M323" s="24" t="inlineStr">
        <is>
          <t>Có</t>
        </is>
      </c>
      <c r="N323" s="24" t="inlineStr">
        <is>
          <t>Có</t>
        </is>
      </c>
      <c r="O323" s="24" t="inlineStr">
        <is>
          <t>Có</t>
        </is>
      </c>
      <c r="P323" s="24" t="inlineStr">
        <is>
          <t>Có</t>
        </is>
      </c>
      <c r="Q323" s="22">
        <f>IF($D323="","",IF(AND(OR(DANH_MUC!$L$5&lt;&gt;"Có",M323="Có"),OR(DANH_MUC!$L$6&lt;&gt;"Có",N323="Có"),OR(DANH_MUC!$L$7&lt;&gt;"Có",O323="Có"),OR(DANH_MUC!$L$8&lt;&gt;"Có",P323="Có")),"Có","Không"))</f>
        <v/>
      </c>
      <c r="R323" s="22">
        <f>IF($D323="","",IF(COUNTIF($D$2:$D323,$D323)&gt;1,"Trùng",""))</f>
        <v/>
      </c>
      <c r="S323" s="22">
        <f>IF($D323="","",IF(AND(LEN($D323)=10,LEFT($D323,1)="0",ISNUMBER(--$D323)),"Có","Không"))</f>
        <v/>
      </c>
      <c r="T323" s="22">
        <f>IF($D323="","",IF(AND($C323&lt;&gt;"",$Q323="Có",$R323="",$S323="Có",AND($L323&lt;&gt;"",OR($L323&lt;&gt;"Chưa xác định",DANH_MUC!$L$9="Có"))),"Có","Không"))</f>
        <v/>
      </c>
      <c r="U323" s="22">
        <f>IF(OR($D323="",$T323="Có"),"",IF($C323="","Thiếu họ tên; ","")&amp;IF($S323&lt;&gt;"Có","SĐT sai định dạng; ","")&amp;IF($R323="Trùng","Trùng SĐT; ","")&amp;IF($Q323&lt;&gt;"Có","Thiếu đồng ý bắt buộc; ","")&amp;IF($L323="","Thiếu/sai Mã REF; ",IF(AND($L323="Chưa xác định",DANH_MUC!$L$9&lt;&gt;"Có"),"Nguồn chưa xác định; ","")))</f>
        <v/>
      </c>
      <c r="V323" s="22">
        <f>IF(OR($D323="",$R323="Trùng"),"",IF(COUNTIF(ORDERS!$C$2:$C$4995,$D323)&gt;0,"Có","Không"))</f>
        <v/>
      </c>
      <c r="W323" s="22">
        <f>IF(OR($D323="",$R323="Trùng"),"",COUNTIFS(ORDERS!$C$2:$C$4995,$D323,ORDERS!$L$2:$L$4995,"Đã chuyển khoản"))</f>
        <v/>
      </c>
      <c r="X323" s="23">
        <f>IF(OR($D323="",$R323="Trùng"),"",SUMIFS(ORDERS!$J$2:$J$4995,ORDERS!$C$2:$C$4995,$D323,ORDERS!$L$2:$L$4995,"Đã chuyển khoản"))</f>
        <v/>
      </c>
      <c r="Y323" s="24" t="n"/>
    </row>
    <row r="324" ht="14.25" customHeight="1" s="40">
      <c r="A324" s="24" t="inlineStr">
        <is>
          <t>13d3750d-5e6e-423a-9b41-d4cd17ad8063</t>
        </is>
      </c>
      <c r="B324" s="18" t="n">
        <v>46295.85208333333</v>
      </c>
      <c r="C324" s="24" t="inlineStr">
        <is>
          <t>Nguyễn Thị Kim Phương</t>
        </is>
      </c>
      <c r="D324" s="28" t="inlineStr">
        <is>
          <t>0765776678</t>
        </is>
      </c>
      <c r="E324" s="29" t="n">
        <v>46355</v>
      </c>
      <c r="F324" s="24" t="inlineStr">
        <is>
          <t>Đang mang thai</t>
        </is>
      </c>
      <c r="G324" s="24" t="inlineStr">
        <is>
          <t>Hồ Chí Minh</t>
        </is>
      </c>
      <c r="H324" s="21">
        <f>IF(ISNUMBER($B324),INT($B324)-WEEKDAY($B324,2)+1,"")</f>
        <v/>
      </c>
      <c r="I324" s="24" t="inlineStr">
        <is>
          <t>Z-MEDUA</t>
        </is>
      </c>
      <c r="J324" s="22">
        <f t="array" ref="J324">IF($D324="","",IF($I324="","(trống REF)",IFERROR(INDEX(MASTER_SOURCE!$B$2:$B$495,MATCH($I324,MASTER_SOURCE!$A$2:$A$495,0)),"(REF không có trong MASTER_SOURCE)")))</f>
        <v/>
      </c>
      <c r="K324" s="22">
        <f t="array" ref="K324">IF($D324="","",IFERROR(INDEX(MASTER_SOURCE!$C$2:$C$495,MATCH($I324,MASTER_SOURCE!$A$2:$A$495,0)),""))</f>
        <v/>
      </c>
      <c r="L324" s="22">
        <f t="array" ref="L324">IF($D324="","",IFERROR(INDEX(MASTER_SOURCE!$D$2:$D$495,MATCH($I324,MASTER_SOURCE!$A$2:$A$495,0)),""))</f>
        <v/>
      </c>
      <c r="M324" s="24" t="inlineStr">
        <is>
          <t>Có</t>
        </is>
      </c>
      <c r="N324" s="24" t="inlineStr">
        <is>
          <t>Có</t>
        </is>
      </c>
      <c r="O324" s="24" t="inlineStr">
        <is>
          <t>Có</t>
        </is>
      </c>
      <c r="P324" s="24" t="inlineStr">
        <is>
          <t>Có</t>
        </is>
      </c>
      <c r="Q324" s="22">
        <f>IF($D324="","",IF(AND(OR(DANH_MUC!$L$5&lt;&gt;"Có",M324="Có"),OR(DANH_MUC!$L$6&lt;&gt;"Có",N324="Có"),OR(DANH_MUC!$L$7&lt;&gt;"Có",O324="Có"),OR(DANH_MUC!$L$8&lt;&gt;"Có",P324="Có")),"Có","Không"))</f>
        <v/>
      </c>
      <c r="R324" s="22">
        <f>IF($D324="","",IF(COUNTIF($D$2:$D324,$D324)&gt;1,"Trùng",""))</f>
        <v/>
      </c>
      <c r="S324" s="22">
        <f>IF($D324="","",IF(AND(LEN($D324)=10,LEFT($D324,1)="0",ISNUMBER(--$D324)),"Có","Không"))</f>
        <v/>
      </c>
      <c r="T324" s="22">
        <f>IF($D324="","",IF(AND($C324&lt;&gt;"",$Q324="Có",$R324="",$S324="Có",AND($L324&lt;&gt;"",OR($L324&lt;&gt;"Chưa xác định",DANH_MUC!$L$9="Có"))),"Có","Không"))</f>
        <v/>
      </c>
      <c r="U324" s="22">
        <f>IF(OR($D324="",$T324="Có"),"",IF($C324="","Thiếu họ tên; ","")&amp;IF($S324&lt;&gt;"Có","SĐT sai định dạng; ","")&amp;IF($R324="Trùng","Trùng SĐT; ","")&amp;IF($Q324&lt;&gt;"Có","Thiếu đồng ý bắt buộc; ","")&amp;IF($L324="","Thiếu/sai Mã REF; ",IF(AND($L324="Chưa xác định",DANH_MUC!$L$9&lt;&gt;"Có"),"Nguồn chưa xác định; ","")))</f>
        <v/>
      </c>
      <c r="V324" s="22">
        <f>IF(OR($D324="",$R324="Trùng"),"",IF(COUNTIF(ORDERS!$C$2:$C$4995,$D324)&gt;0,"Có","Không"))</f>
        <v/>
      </c>
      <c r="W324" s="22">
        <f>IF(OR($D324="",$R324="Trùng"),"",COUNTIFS(ORDERS!$C$2:$C$4995,$D324,ORDERS!$L$2:$L$4995,"Đã chuyển khoản"))</f>
        <v/>
      </c>
      <c r="X324" s="23">
        <f>IF(OR($D324="",$R324="Trùng"),"",SUMIFS(ORDERS!$J$2:$J$4995,ORDERS!$C$2:$C$4995,$D324,ORDERS!$L$2:$L$4995,"Đã chuyển khoản"))</f>
        <v/>
      </c>
      <c r="Y324" s="24" t="n"/>
    </row>
    <row r="325" ht="14.25" customHeight="1" s="40">
      <c r="A325" s="24" t="inlineStr">
        <is>
          <t>20dd4928-e892-4a42-beba-79d359b799c1</t>
        </is>
      </c>
      <c r="B325" s="18" t="n">
        <v>46295.85486111111</v>
      </c>
      <c r="C325" s="24" t="inlineStr">
        <is>
          <t>Phạm Anh Như</t>
        </is>
      </c>
      <c r="D325" s="28" t="inlineStr">
        <is>
          <t>0339249723</t>
        </is>
      </c>
      <c r="E325" s="29" t="n">
        <v>46028</v>
      </c>
      <c r="F325" s="24" t="inlineStr">
        <is>
          <t>Đã sinh</t>
        </is>
      </c>
      <c r="G325" s="24" t="inlineStr">
        <is>
          <t>Hồ Chí Minh</t>
        </is>
      </c>
      <c r="H325" s="21">
        <f>IF(ISNUMBER($B325),INT($B325)-WEEKDAY($B325,2)+1,"")</f>
        <v/>
      </c>
      <c r="I325" s="24" t="inlineStr">
        <is>
          <t>Z-MEDUA</t>
        </is>
      </c>
      <c r="J325" s="22">
        <f t="array" ref="J325">IF($D325="","",IF($I325="","(trống REF)",IFERROR(INDEX(MASTER_SOURCE!$B$2:$B$495,MATCH($I325,MASTER_SOURCE!$A$2:$A$495,0)),"(REF không có trong MASTER_SOURCE)")))</f>
        <v/>
      </c>
      <c r="K325" s="22">
        <f t="array" ref="K325">IF($D325="","",IFERROR(INDEX(MASTER_SOURCE!$C$2:$C$495,MATCH($I325,MASTER_SOURCE!$A$2:$A$495,0)),""))</f>
        <v/>
      </c>
      <c r="L325" s="22">
        <f t="array" ref="L325">IF($D325="","",IFERROR(INDEX(MASTER_SOURCE!$D$2:$D$495,MATCH($I325,MASTER_SOURCE!$A$2:$A$495,0)),""))</f>
        <v/>
      </c>
      <c r="M325" s="24" t="inlineStr">
        <is>
          <t>Có</t>
        </is>
      </c>
      <c r="N325" s="24" t="inlineStr">
        <is>
          <t>Có</t>
        </is>
      </c>
      <c r="O325" s="24" t="inlineStr">
        <is>
          <t>Có</t>
        </is>
      </c>
      <c r="P325" s="24" t="inlineStr">
        <is>
          <t>Có</t>
        </is>
      </c>
      <c r="Q325" s="22">
        <f>IF($D325="","",IF(AND(OR(DANH_MUC!$L$5&lt;&gt;"Có",M325="Có"),OR(DANH_MUC!$L$6&lt;&gt;"Có",N325="Có"),OR(DANH_MUC!$L$7&lt;&gt;"Có",O325="Có"),OR(DANH_MUC!$L$8&lt;&gt;"Có",P325="Có")),"Có","Không"))</f>
        <v/>
      </c>
      <c r="R325" s="22">
        <f>IF($D325="","",IF(COUNTIF($D$2:$D325,$D325)&gt;1,"Trùng",""))</f>
        <v/>
      </c>
      <c r="S325" s="22">
        <f>IF($D325="","",IF(AND(LEN($D325)=10,LEFT($D325,1)="0",ISNUMBER(--$D325)),"Có","Không"))</f>
        <v/>
      </c>
      <c r="T325" s="22">
        <f>IF($D325="","",IF(AND($C325&lt;&gt;"",$Q325="Có",$R325="",$S325="Có",AND($L325&lt;&gt;"",OR($L325&lt;&gt;"Chưa xác định",DANH_MUC!$L$9="Có"))),"Có","Không"))</f>
        <v/>
      </c>
      <c r="U325" s="22">
        <f>IF(OR($D325="",$T325="Có"),"",IF($C325="","Thiếu họ tên; ","")&amp;IF($S325&lt;&gt;"Có","SĐT sai định dạng; ","")&amp;IF($R325="Trùng","Trùng SĐT; ","")&amp;IF($Q325&lt;&gt;"Có","Thiếu đồng ý bắt buộc; ","")&amp;IF($L325="","Thiếu/sai Mã REF; ",IF(AND($L325="Chưa xác định",DANH_MUC!$L$9&lt;&gt;"Có"),"Nguồn chưa xác định; ","")))</f>
        <v/>
      </c>
      <c r="V325" s="22">
        <f>IF(OR($D325="",$R325="Trùng"),"",IF(COUNTIF(ORDERS!$C$2:$C$4995,$D325)&gt;0,"Có","Không"))</f>
        <v/>
      </c>
      <c r="W325" s="22">
        <f>IF(OR($D325="",$R325="Trùng"),"",COUNTIFS(ORDERS!$C$2:$C$4995,$D325,ORDERS!$L$2:$L$4995,"Đã chuyển khoản"))</f>
        <v/>
      </c>
      <c r="X325" s="23">
        <f>IF(OR($D325="",$R325="Trùng"),"",SUMIFS(ORDERS!$J$2:$J$4995,ORDERS!$C$2:$C$4995,$D325,ORDERS!$L$2:$L$4995,"Đã chuyển khoản"))</f>
        <v/>
      </c>
      <c r="Y325" s="24" t="n"/>
    </row>
    <row r="326" ht="14.25" customHeight="1" s="40">
      <c r="A326" s="24" t="inlineStr">
        <is>
          <t>e64b136b-8273-492b-abee-a8ab024b53e0</t>
        </is>
      </c>
      <c r="B326" s="18" t="n">
        <v>46295.86111111111</v>
      </c>
      <c r="C326" s="24" t="inlineStr">
        <is>
          <t>phương quyên</t>
        </is>
      </c>
      <c r="D326" s="28" t="inlineStr">
        <is>
          <t>0967189711</t>
        </is>
      </c>
      <c r="E326" s="29" t="n">
        <v>46082</v>
      </c>
      <c r="F326" s="24" t="inlineStr">
        <is>
          <t>Đã sinh</t>
        </is>
      </c>
      <c r="G326" s="24" t="inlineStr">
        <is>
          <t>Hồ Chí Minh</t>
        </is>
      </c>
      <c r="H326" s="21">
        <f>IF(ISNUMBER($B326),INT($B326)-WEEKDAY($B326,2)+1,"")</f>
        <v/>
      </c>
      <c r="I326" s="24" t="inlineStr">
        <is>
          <t>Z-MEDUA</t>
        </is>
      </c>
      <c r="J326" s="22">
        <f t="array" ref="J326">IF($D326="","",IF($I326="","(trống REF)",IFERROR(INDEX(MASTER_SOURCE!$B$2:$B$495,MATCH($I326,MASTER_SOURCE!$A$2:$A$495,0)),"(REF không có trong MASTER_SOURCE)")))</f>
        <v/>
      </c>
      <c r="K326" s="22">
        <f t="array" ref="K326">IF($D326="","",IFERROR(INDEX(MASTER_SOURCE!$C$2:$C$495,MATCH($I326,MASTER_SOURCE!$A$2:$A$495,0)),""))</f>
        <v/>
      </c>
      <c r="L326" s="22">
        <f t="array" ref="L326">IF($D326="","",IFERROR(INDEX(MASTER_SOURCE!$D$2:$D$495,MATCH($I326,MASTER_SOURCE!$A$2:$A$495,0)),""))</f>
        <v/>
      </c>
      <c r="M326" s="24" t="inlineStr">
        <is>
          <t>Có</t>
        </is>
      </c>
      <c r="N326" s="24" t="inlineStr">
        <is>
          <t>Có</t>
        </is>
      </c>
      <c r="O326" s="24" t="inlineStr">
        <is>
          <t>Có</t>
        </is>
      </c>
      <c r="P326" s="24" t="inlineStr">
        <is>
          <t>Có</t>
        </is>
      </c>
      <c r="Q326" s="22">
        <f>IF($D326="","",IF(AND(OR(DANH_MUC!$L$5&lt;&gt;"Có",M326="Có"),OR(DANH_MUC!$L$6&lt;&gt;"Có",N326="Có"),OR(DANH_MUC!$L$7&lt;&gt;"Có",O326="Có"),OR(DANH_MUC!$L$8&lt;&gt;"Có",P326="Có")),"Có","Không"))</f>
        <v/>
      </c>
      <c r="R326" s="22">
        <f>IF($D326="","",IF(COUNTIF($D$2:$D326,$D326)&gt;1,"Trùng",""))</f>
        <v/>
      </c>
      <c r="S326" s="22">
        <f>IF($D326="","",IF(AND(LEN($D326)=10,LEFT($D326,1)="0",ISNUMBER(--$D326)),"Có","Không"))</f>
        <v/>
      </c>
      <c r="T326" s="22">
        <f>IF($D326="","",IF(AND($C326&lt;&gt;"",$Q326="Có",$R326="",$S326="Có",AND($L326&lt;&gt;"",OR($L326&lt;&gt;"Chưa xác định",DANH_MUC!$L$9="Có"))),"Có","Không"))</f>
        <v/>
      </c>
      <c r="U326" s="22">
        <f>IF(OR($D326="",$T326="Có"),"",IF($C326="","Thiếu họ tên; ","")&amp;IF($S326&lt;&gt;"Có","SĐT sai định dạng; ","")&amp;IF($R326="Trùng","Trùng SĐT; ","")&amp;IF($Q326&lt;&gt;"Có","Thiếu đồng ý bắt buộc; ","")&amp;IF($L326="","Thiếu/sai Mã REF; ",IF(AND($L326="Chưa xác định",DANH_MUC!$L$9&lt;&gt;"Có"),"Nguồn chưa xác định; ","")))</f>
        <v/>
      </c>
      <c r="V326" s="22">
        <f>IF(OR($D326="",$R326="Trùng"),"",IF(COUNTIF(ORDERS!$C$2:$C$4995,$D326)&gt;0,"Có","Không"))</f>
        <v/>
      </c>
      <c r="W326" s="22">
        <f>IF(OR($D326="",$R326="Trùng"),"",COUNTIFS(ORDERS!$C$2:$C$4995,$D326,ORDERS!$L$2:$L$4995,"Đã chuyển khoản"))</f>
        <v/>
      </c>
      <c r="X326" s="23">
        <f>IF(OR($D326="",$R326="Trùng"),"",SUMIFS(ORDERS!$J$2:$J$4995,ORDERS!$C$2:$C$4995,$D326,ORDERS!$L$2:$L$4995,"Đã chuyển khoản"))</f>
        <v/>
      </c>
      <c r="Y326" s="24" t="n"/>
    </row>
    <row r="327" ht="14.25" customHeight="1" s="40">
      <c r="A327" s="24" t="inlineStr">
        <is>
          <t>83e55d3c-2a19-460b-940e-7b0036695d38</t>
        </is>
      </c>
      <c r="B327" s="18" t="n">
        <v>46295.86111111111</v>
      </c>
      <c r="C327" s="24" t="inlineStr">
        <is>
          <t>Dương Tuyết Linh</t>
        </is>
      </c>
      <c r="D327" s="28" t="inlineStr">
        <is>
          <t>0933424961</t>
        </is>
      </c>
      <c r="E327" s="29" t="n">
        <v>46203</v>
      </c>
      <c r="F327" s="24" t="inlineStr">
        <is>
          <t>Đã sinh</t>
        </is>
      </c>
      <c r="G327" s="24" t="inlineStr">
        <is>
          <t>Hồ Chí Minh</t>
        </is>
      </c>
      <c r="H327" s="21">
        <f>IF(ISNUMBER($B327),INT($B327)-WEEKDAY($B327,2)+1,"")</f>
        <v/>
      </c>
      <c r="I327" s="24" t="inlineStr">
        <is>
          <t>Z-MEDUA</t>
        </is>
      </c>
      <c r="J327" s="22">
        <f t="array" ref="J327">IF($D327="","",IF($I327="","(trống REF)",IFERROR(INDEX(MASTER_SOURCE!$B$2:$B$495,MATCH($I327,MASTER_SOURCE!$A$2:$A$495,0)),"(REF không có trong MASTER_SOURCE)")))</f>
        <v/>
      </c>
      <c r="K327" s="22">
        <f t="array" ref="K327">IF($D327="","",IFERROR(INDEX(MASTER_SOURCE!$C$2:$C$495,MATCH($I327,MASTER_SOURCE!$A$2:$A$495,0)),""))</f>
        <v/>
      </c>
      <c r="L327" s="22">
        <f t="array" ref="L327">IF($D327="","",IFERROR(INDEX(MASTER_SOURCE!$D$2:$D$495,MATCH($I327,MASTER_SOURCE!$A$2:$A$495,0)),""))</f>
        <v/>
      </c>
      <c r="M327" s="24" t="inlineStr">
        <is>
          <t>Có</t>
        </is>
      </c>
      <c r="N327" s="24" t="inlineStr">
        <is>
          <t>Có</t>
        </is>
      </c>
      <c r="O327" s="24" t="inlineStr">
        <is>
          <t>Có</t>
        </is>
      </c>
      <c r="P327" s="24" t="inlineStr">
        <is>
          <t>Có</t>
        </is>
      </c>
      <c r="Q327" s="22">
        <f>IF($D327="","",IF(AND(OR(DANH_MUC!$L$5&lt;&gt;"Có",M327="Có"),OR(DANH_MUC!$L$6&lt;&gt;"Có",N327="Có"),OR(DANH_MUC!$L$7&lt;&gt;"Có",O327="Có"),OR(DANH_MUC!$L$8&lt;&gt;"Có",P327="Có")),"Có","Không"))</f>
        <v/>
      </c>
      <c r="R327" s="22">
        <f>IF($D327="","",IF(COUNTIF($D$2:$D327,$D327)&gt;1,"Trùng",""))</f>
        <v/>
      </c>
      <c r="S327" s="22">
        <f>IF($D327="","",IF(AND(LEN($D327)=10,LEFT($D327,1)="0",ISNUMBER(--$D327)),"Có","Không"))</f>
        <v/>
      </c>
      <c r="T327" s="22">
        <f>IF($D327="","",IF(AND($C327&lt;&gt;"",$Q327="Có",$R327="",$S327="Có",AND($L327&lt;&gt;"",OR($L327&lt;&gt;"Chưa xác định",DANH_MUC!$L$9="Có"))),"Có","Không"))</f>
        <v/>
      </c>
      <c r="U327" s="22">
        <f>IF(OR($D327="",$T327="Có"),"",IF($C327="","Thiếu họ tên; ","")&amp;IF($S327&lt;&gt;"Có","SĐT sai định dạng; ","")&amp;IF($R327="Trùng","Trùng SĐT; ","")&amp;IF($Q327&lt;&gt;"Có","Thiếu đồng ý bắt buộc; ","")&amp;IF($L327="","Thiếu/sai Mã REF; ",IF(AND($L327="Chưa xác định",DANH_MUC!$L$9&lt;&gt;"Có"),"Nguồn chưa xác định; ","")))</f>
        <v/>
      </c>
      <c r="V327" s="22">
        <f>IF(OR($D327="",$R327="Trùng"),"",IF(COUNTIF(ORDERS!$C$2:$C$4995,$D327)&gt;0,"Có","Không"))</f>
        <v/>
      </c>
      <c r="W327" s="22">
        <f>IF(OR($D327="",$R327="Trùng"),"",COUNTIFS(ORDERS!$C$2:$C$4995,$D327,ORDERS!$L$2:$L$4995,"Đã chuyển khoản"))</f>
        <v/>
      </c>
      <c r="X327" s="23">
        <f>IF(OR($D327="",$R327="Trùng"),"",SUMIFS(ORDERS!$J$2:$J$4995,ORDERS!$C$2:$C$4995,$D327,ORDERS!$L$2:$L$4995,"Đã chuyển khoản"))</f>
        <v/>
      </c>
      <c r="Y327" s="24" t="n"/>
    </row>
    <row r="328" ht="14.25" customHeight="1" s="40">
      <c r="A328" s="24" t="inlineStr">
        <is>
          <t>15329583-8e92-49b5-8340-a21c1bdbd185</t>
        </is>
      </c>
      <c r="B328" s="18" t="n">
        <v>46295.86875</v>
      </c>
      <c r="C328" s="24" t="inlineStr">
        <is>
          <t>Nguyễn Đăng Sao Khuê</t>
        </is>
      </c>
      <c r="D328" s="28" t="inlineStr">
        <is>
          <t>0773979123</t>
        </is>
      </c>
      <c r="E328" s="29" t="n">
        <v>46072</v>
      </c>
      <c r="F328" s="24" t="inlineStr">
        <is>
          <t>Đã sinh</t>
        </is>
      </c>
      <c r="G328" s="24" t="inlineStr">
        <is>
          <t>Hồ Chí Minh</t>
        </is>
      </c>
      <c r="H328" s="21">
        <f>IF(ISNUMBER($B328),INT($B328)-WEEKDAY($B328,2)+1,"")</f>
        <v/>
      </c>
      <c r="I328" s="24" t="inlineStr">
        <is>
          <t>Z-MEDUA</t>
        </is>
      </c>
      <c r="J328" s="22">
        <f t="array" ref="J328">IF($D328="","",IF($I328="","(trống REF)",IFERROR(INDEX(MASTER_SOURCE!$B$2:$B$495,MATCH($I328,MASTER_SOURCE!$A$2:$A$495,0)),"(REF không có trong MASTER_SOURCE)")))</f>
        <v/>
      </c>
      <c r="K328" s="22">
        <f t="array" ref="K328">IF($D328="","",IFERROR(INDEX(MASTER_SOURCE!$C$2:$C$495,MATCH($I328,MASTER_SOURCE!$A$2:$A$495,0)),""))</f>
        <v/>
      </c>
      <c r="L328" s="22">
        <f t="array" ref="L328">IF($D328="","",IFERROR(INDEX(MASTER_SOURCE!$D$2:$D$495,MATCH($I328,MASTER_SOURCE!$A$2:$A$495,0)),""))</f>
        <v/>
      </c>
      <c r="M328" s="24" t="inlineStr">
        <is>
          <t>Có</t>
        </is>
      </c>
      <c r="N328" s="24" t="inlineStr">
        <is>
          <t>Có</t>
        </is>
      </c>
      <c r="O328" s="24" t="inlineStr">
        <is>
          <t>Có</t>
        </is>
      </c>
      <c r="P328" s="24" t="inlineStr">
        <is>
          <t>Có</t>
        </is>
      </c>
      <c r="Q328" s="22">
        <f>IF($D328="","",IF(AND(OR(DANH_MUC!$L$5&lt;&gt;"Có",M328="Có"),OR(DANH_MUC!$L$6&lt;&gt;"Có",N328="Có"),OR(DANH_MUC!$L$7&lt;&gt;"Có",O328="Có"),OR(DANH_MUC!$L$8&lt;&gt;"Có",P328="Có")),"Có","Không"))</f>
        <v/>
      </c>
      <c r="R328" s="22">
        <f>IF($D328="","",IF(COUNTIF($D$2:$D328,$D328)&gt;1,"Trùng",""))</f>
        <v/>
      </c>
      <c r="S328" s="22">
        <f>IF($D328="","",IF(AND(LEN($D328)=10,LEFT($D328,1)="0",ISNUMBER(--$D328)),"Có","Không"))</f>
        <v/>
      </c>
      <c r="T328" s="22">
        <f>IF($D328="","",IF(AND($C328&lt;&gt;"",$Q328="Có",$R328="",$S328="Có",AND($L328&lt;&gt;"",OR($L328&lt;&gt;"Chưa xác định",DANH_MUC!$L$9="Có"))),"Có","Không"))</f>
        <v/>
      </c>
      <c r="U328" s="22">
        <f>IF(OR($D328="",$T328="Có"),"",IF($C328="","Thiếu họ tên; ","")&amp;IF($S328&lt;&gt;"Có","SĐT sai định dạng; ","")&amp;IF($R328="Trùng","Trùng SĐT; ","")&amp;IF($Q328&lt;&gt;"Có","Thiếu đồng ý bắt buộc; ","")&amp;IF($L328="","Thiếu/sai Mã REF; ",IF(AND($L328="Chưa xác định",DANH_MUC!$L$9&lt;&gt;"Có"),"Nguồn chưa xác định; ","")))</f>
        <v/>
      </c>
      <c r="V328" s="22">
        <f>IF(OR($D328="",$R328="Trùng"),"",IF(COUNTIF(ORDERS!$C$2:$C$4995,$D328)&gt;0,"Có","Không"))</f>
        <v/>
      </c>
      <c r="W328" s="22">
        <f>IF(OR($D328="",$R328="Trùng"),"",COUNTIFS(ORDERS!$C$2:$C$4995,$D328,ORDERS!$L$2:$L$4995,"Đã chuyển khoản"))</f>
        <v/>
      </c>
      <c r="X328" s="23">
        <f>IF(OR($D328="",$R328="Trùng"),"",SUMIFS(ORDERS!$J$2:$J$4995,ORDERS!$C$2:$C$4995,$D328,ORDERS!$L$2:$L$4995,"Đã chuyển khoản"))</f>
        <v/>
      </c>
      <c r="Y328" s="24" t="n"/>
    </row>
    <row r="329" ht="14.25" customHeight="1" s="40">
      <c r="A329" s="24" t="inlineStr">
        <is>
          <t>731c4a79-3448-4ba7-b110-cf0fd66332ac</t>
        </is>
      </c>
      <c r="B329" s="18" t="n">
        <v>46295.87291666667</v>
      </c>
      <c r="C329" s="24" t="inlineStr">
        <is>
          <t>Lê Thị Thu Hương</t>
        </is>
      </c>
      <c r="D329" s="28" t="inlineStr">
        <is>
          <t>0962902086</t>
        </is>
      </c>
      <c r="E329" s="29" t="n">
        <v>46072</v>
      </c>
      <c r="F329" s="24" t="inlineStr">
        <is>
          <t>Đã sinh</t>
        </is>
      </c>
      <c r="G329" s="24" t="inlineStr">
        <is>
          <t>Hồ Chí Minh</t>
        </is>
      </c>
      <c r="H329" s="21">
        <f>IF(ISNUMBER($B329),INT($B329)-WEEKDAY($B329,2)+1,"")</f>
        <v/>
      </c>
      <c r="I329" s="24" t="inlineStr">
        <is>
          <t>Z-MEDUA</t>
        </is>
      </c>
      <c r="J329" s="22">
        <f t="array" ref="J329">IF($D329="","",IF($I329="","(trống REF)",IFERROR(INDEX(MASTER_SOURCE!$B$2:$B$495,MATCH($I329,MASTER_SOURCE!$A$2:$A$495,0)),"(REF không có trong MASTER_SOURCE)")))</f>
        <v/>
      </c>
      <c r="K329" s="22">
        <f t="array" ref="K329">IF($D329="","",IFERROR(INDEX(MASTER_SOURCE!$C$2:$C$495,MATCH($I329,MASTER_SOURCE!$A$2:$A$495,0)),""))</f>
        <v/>
      </c>
      <c r="L329" s="22">
        <f t="array" ref="L329">IF($D329="","",IFERROR(INDEX(MASTER_SOURCE!$D$2:$D$495,MATCH($I329,MASTER_SOURCE!$A$2:$A$495,0)),""))</f>
        <v/>
      </c>
      <c r="M329" s="24" t="inlineStr">
        <is>
          <t>Có</t>
        </is>
      </c>
      <c r="N329" s="24" t="inlineStr">
        <is>
          <t>Có</t>
        </is>
      </c>
      <c r="O329" s="24" t="inlineStr">
        <is>
          <t>Có</t>
        </is>
      </c>
      <c r="P329" s="24" t="inlineStr">
        <is>
          <t>Có</t>
        </is>
      </c>
      <c r="Q329" s="22">
        <f>IF($D329="","",IF(AND(OR(DANH_MUC!$L$5&lt;&gt;"Có",M329="Có"),OR(DANH_MUC!$L$6&lt;&gt;"Có",N329="Có"),OR(DANH_MUC!$L$7&lt;&gt;"Có",O329="Có"),OR(DANH_MUC!$L$8&lt;&gt;"Có",P329="Có")),"Có","Không"))</f>
        <v/>
      </c>
      <c r="R329" s="22">
        <f>IF($D329="","",IF(COUNTIF($D$2:$D329,$D329)&gt;1,"Trùng",""))</f>
        <v/>
      </c>
      <c r="S329" s="22">
        <f>IF($D329="","",IF(AND(LEN($D329)=10,LEFT($D329,1)="0",ISNUMBER(--$D329)),"Có","Không"))</f>
        <v/>
      </c>
      <c r="T329" s="22">
        <f>IF($D329="","",IF(AND($C329&lt;&gt;"",$Q329="Có",$R329="",$S329="Có",AND($L329&lt;&gt;"",OR($L329&lt;&gt;"Chưa xác định",DANH_MUC!$L$9="Có"))),"Có","Không"))</f>
        <v/>
      </c>
      <c r="U329" s="22">
        <f>IF(OR($D329="",$T329="Có"),"",IF($C329="","Thiếu họ tên; ","")&amp;IF($S329&lt;&gt;"Có","SĐT sai định dạng; ","")&amp;IF($R329="Trùng","Trùng SĐT; ","")&amp;IF($Q329&lt;&gt;"Có","Thiếu đồng ý bắt buộc; ","")&amp;IF($L329="","Thiếu/sai Mã REF; ",IF(AND($L329="Chưa xác định",DANH_MUC!$L$9&lt;&gt;"Có"),"Nguồn chưa xác định; ","")))</f>
        <v/>
      </c>
      <c r="V329" s="22">
        <f>IF(OR($D329="",$R329="Trùng"),"",IF(COUNTIF(ORDERS!$C$2:$C$4995,$D329)&gt;0,"Có","Không"))</f>
        <v/>
      </c>
      <c r="W329" s="22">
        <f>IF(OR($D329="",$R329="Trùng"),"",COUNTIFS(ORDERS!$C$2:$C$4995,$D329,ORDERS!$L$2:$L$4995,"Đã chuyển khoản"))</f>
        <v/>
      </c>
      <c r="X329" s="23">
        <f>IF(OR($D329="",$R329="Trùng"),"",SUMIFS(ORDERS!$J$2:$J$4995,ORDERS!$C$2:$C$4995,$D329,ORDERS!$L$2:$L$4995,"Đã chuyển khoản"))</f>
        <v/>
      </c>
      <c r="Y329" s="24" t="n"/>
    </row>
    <row r="330" ht="14.25" customHeight="1" s="40">
      <c r="A330" s="24" t="inlineStr">
        <is>
          <t>e46a2932-c5ea-4c42-b158-64d9c41a91c8</t>
        </is>
      </c>
      <c r="B330" s="18" t="n">
        <v>46295.87291666667</v>
      </c>
      <c r="C330" s="24" t="inlineStr">
        <is>
          <t>Nguyễn Thị Thu Quyên</t>
        </is>
      </c>
      <c r="D330" s="28" t="inlineStr">
        <is>
          <t>0767166660</t>
        </is>
      </c>
      <c r="E330" s="29" t="n">
        <v>46389</v>
      </c>
      <c r="F330" s="24" t="inlineStr">
        <is>
          <t>Đang mang thai</t>
        </is>
      </c>
      <c r="G330" s="24" t="inlineStr">
        <is>
          <t>Hồ Chí Minh</t>
        </is>
      </c>
      <c r="H330" s="21">
        <f>IF(ISNUMBER($B330),INT($B330)-WEEKDAY($B330,2)+1,"")</f>
        <v/>
      </c>
      <c r="I330" s="24" t="inlineStr">
        <is>
          <t>Z-MEDUA</t>
        </is>
      </c>
      <c r="J330" s="22">
        <f t="array" ref="J330">IF($D330="","",IF($I330="","(trống REF)",IFERROR(INDEX(MASTER_SOURCE!$B$2:$B$495,MATCH($I330,MASTER_SOURCE!$A$2:$A$495,0)),"(REF không có trong MASTER_SOURCE)")))</f>
        <v/>
      </c>
      <c r="K330" s="22">
        <f t="array" ref="K330">IF($D330="","",IFERROR(INDEX(MASTER_SOURCE!$C$2:$C$495,MATCH($I330,MASTER_SOURCE!$A$2:$A$495,0)),""))</f>
        <v/>
      </c>
      <c r="L330" s="22">
        <f t="array" ref="L330">IF($D330="","",IFERROR(INDEX(MASTER_SOURCE!$D$2:$D$495,MATCH($I330,MASTER_SOURCE!$A$2:$A$495,0)),""))</f>
        <v/>
      </c>
      <c r="M330" s="24" t="inlineStr">
        <is>
          <t>Có</t>
        </is>
      </c>
      <c r="N330" s="24" t="inlineStr">
        <is>
          <t>Có</t>
        </is>
      </c>
      <c r="O330" s="24" t="inlineStr">
        <is>
          <t>Có</t>
        </is>
      </c>
      <c r="P330" s="24" t="inlineStr">
        <is>
          <t>Có</t>
        </is>
      </c>
      <c r="Q330" s="22">
        <f>IF($D330="","",IF(AND(OR(DANH_MUC!$L$5&lt;&gt;"Có",M330="Có"),OR(DANH_MUC!$L$6&lt;&gt;"Có",N330="Có"),OR(DANH_MUC!$L$7&lt;&gt;"Có",O330="Có"),OR(DANH_MUC!$L$8&lt;&gt;"Có",P330="Có")),"Có","Không"))</f>
        <v/>
      </c>
      <c r="R330" s="22">
        <f>IF($D330="","",IF(COUNTIF($D$2:$D330,$D330)&gt;1,"Trùng",""))</f>
        <v/>
      </c>
      <c r="S330" s="22">
        <f>IF($D330="","",IF(AND(LEN($D330)=10,LEFT($D330,1)="0",ISNUMBER(--$D330)),"Có","Không"))</f>
        <v/>
      </c>
      <c r="T330" s="22">
        <f>IF($D330="","",IF(AND($C330&lt;&gt;"",$Q330="Có",$R330="",$S330="Có",AND($L330&lt;&gt;"",OR($L330&lt;&gt;"Chưa xác định",DANH_MUC!$L$9="Có"))),"Có","Không"))</f>
        <v/>
      </c>
      <c r="U330" s="22">
        <f>IF(OR($D330="",$T330="Có"),"",IF($C330="","Thiếu họ tên; ","")&amp;IF($S330&lt;&gt;"Có","SĐT sai định dạng; ","")&amp;IF($R330="Trùng","Trùng SĐT; ","")&amp;IF($Q330&lt;&gt;"Có","Thiếu đồng ý bắt buộc; ","")&amp;IF($L330="","Thiếu/sai Mã REF; ",IF(AND($L330="Chưa xác định",DANH_MUC!$L$9&lt;&gt;"Có"),"Nguồn chưa xác định; ","")))</f>
        <v/>
      </c>
      <c r="V330" s="22">
        <f>IF(OR($D330="",$R330="Trùng"),"",IF(COUNTIF(ORDERS!$C$2:$C$4995,$D330)&gt;0,"Có","Không"))</f>
        <v/>
      </c>
      <c r="W330" s="22">
        <f>IF(OR($D330="",$R330="Trùng"),"",COUNTIFS(ORDERS!$C$2:$C$4995,$D330,ORDERS!$L$2:$L$4995,"Đã chuyển khoản"))</f>
        <v/>
      </c>
      <c r="X330" s="23">
        <f>IF(OR($D330="",$R330="Trùng"),"",SUMIFS(ORDERS!$J$2:$J$4995,ORDERS!$C$2:$C$4995,$D330,ORDERS!$L$2:$L$4995,"Đã chuyển khoản"))</f>
        <v/>
      </c>
      <c r="Y330" s="24" t="n"/>
    </row>
    <row r="331" ht="14.25" customHeight="1" s="40">
      <c r="A331" s="24" t="inlineStr">
        <is>
          <t>e53491c7-3f52-4ae9-b12b-2e0f02089140</t>
        </is>
      </c>
      <c r="B331" s="18" t="n">
        <v>46295.88125</v>
      </c>
      <c r="C331" s="24" t="inlineStr">
        <is>
          <t>Nguyễn Hoài Khánh Linh</t>
        </is>
      </c>
      <c r="D331" s="28" t="inlineStr">
        <is>
          <t>0906801896</t>
        </is>
      </c>
      <c r="E331" s="29" t="n">
        <v>46191</v>
      </c>
      <c r="F331" s="24" t="inlineStr">
        <is>
          <t>Đã sinh</t>
        </is>
      </c>
      <c r="G331" s="24" t="inlineStr">
        <is>
          <t>Hồ Chí Minh</t>
        </is>
      </c>
      <c r="H331" s="21">
        <f>IF(ISNUMBER($B331),INT($B331)-WEEKDAY($B331,2)+1,"")</f>
        <v/>
      </c>
      <c r="I331" s="24" t="inlineStr">
        <is>
          <t>Z-MEDUA</t>
        </is>
      </c>
      <c r="J331" s="22">
        <f t="array" ref="J331">IF($D331="","",IF($I331="","(trống REF)",IFERROR(INDEX(MASTER_SOURCE!$B$2:$B$495,MATCH($I331,MASTER_SOURCE!$A$2:$A$495,0)),"(REF không có trong MASTER_SOURCE)")))</f>
        <v/>
      </c>
      <c r="K331" s="22">
        <f t="array" ref="K331">IF($D331="","",IFERROR(INDEX(MASTER_SOURCE!$C$2:$C$495,MATCH($I331,MASTER_SOURCE!$A$2:$A$495,0)),""))</f>
        <v/>
      </c>
      <c r="L331" s="22">
        <f t="array" ref="L331">IF($D331="","",IFERROR(INDEX(MASTER_SOURCE!$D$2:$D$495,MATCH($I331,MASTER_SOURCE!$A$2:$A$495,0)),""))</f>
        <v/>
      </c>
      <c r="M331" s="24" t="inlineStr">
        <is>
          <t>Có</t>
        </is>
      </c>
      <c r="N331" s="24" t="inlineStr">
        <is>
          <t>Có</t>
        </is>
      </c>
      <c r="O331" s="24" t="inlineStr">
        <is>
          <t>Có</t>
        </is>
      </c>
      <c r="P331" s="24" t="inlineStr">
        <is>
          <t>Có</t>
        </is>
      </c>
      <c r="Q331" s="22">
        <f>IF($D331="","",IF(AND(OR(DANH_MUC!$L$5&lt;&gt;"Có",M331="Có"),OR(DANH_MUC!$L$6&lt;&gt;"Có",N331="Có"),OR(DANH_MUC!$L$7&lt;&gt;"Có",O331="Có"),OR(DANH_MUC!$L$8&lt;&gt;"Có",P331="Có")),"Có","Không"))</f>
        <v/>
      </c>
      <c r="R331" s="22">
        <f>IF($D331="","",IF(COUNTIF($D$2:$D331,$D331)&gt;1,"Trùng",""))</f>
        <v/>
      </c>
      <c r="S331" s="22">
        <f>IF($D331="","",IF(AND(LEN($D331)=10,LEFT($D331,1)="0",ISNUMBER(--$D331)),"Có","Không"))</f>
        <v/>
      </c>
      <c r="T331" s="22">
        <f>IF($D331="","",IF(AND($C331&lt;&gt;"",$Q331="Có",$R331="",$S331="Có",AND($L331&lt;&gt;"",OR($L331&lt;&gt;"Chưa xác định",DANH_MUC!$L$9="Có"))),"Có","Không"))</f>
        <v/>
      </c>
      <c r="U331" s="22">
        <f>IF(OR($D331="",$T331="Có"),"",IF($C331="","Thiếu họ tên; ","")&amp;IF($S331&lt;&gt;"Có","SĐT sai định dạng; ","")&amp;IF($R331="Trùng","Trùng SĐT; ","")&amp;IF($Q331&lt;&gt;"Có","Thiếu đồng ý bắt buộc; ","")&amp;IF($L331="","Thiếu/sai Mã REF; ",IF(AND($L331="Chưa xác định",DANH_MUC!$L$9&lt;&gt;"Có"),"Nguồn chưa xác định; ","")))</f>
        <v/>
      </c>
      <c r="V331" s="22">
        <f>IF(OR($D331="",$R331="Trùng"),"",IF(COUNTIF(ORDERS!$C$2:$C$4995,$D331)&gt;0,"Có","Không"))</f>
        <v/>
      </c>
      <c r="W331" s="22">
        <f>IF(OR($D331="",$R331="Trùng"),"",COUNTIFS(ORDERS!$C$2:$C$4995,$D331,ORDERS!$L$2:$L$4995,"Đã chuyển khoản"))</f>
        <v/>
      </c>
      <c r="X331" s="23">
        <f>IF(OR($D331="",$R331="Trùng"),"",SUMIFS(ORDERS!$J$2:$J$4995,ORDERS!$C$2:$C$4995,$D331,ORDERS!$L$2:$L$4995,"Đã chuyển khoản"))</f>
        <v/>
      </c>
      <c r="Y331" s="24" t="n"/>
    </row>
    <row r="332" ht="14.25" customHeight="1" s="40">
      <c r="A332" s="24" t="inlineStr">
        <is>
          <t>f9f716f7-39be-4c84-93ef-8c6cc5dee14c</t>
        </is>
      </c>
      <c r="B332" s="18" t="n">
        <v>46295.89305555556</v>
      </c>
      <c r="C332" s="24" t="inlineStr">
        <is>
          <t>Hứa Thị Thanh Quyen</t>
        </is>
      </c>
      <c r="D332" s="28" t="inlineStr">
        <is>
          <t>0326295387</t>
        </is>
      </c>
      <c r="E332" s="29" t="n">
        <v>46021</v>
      </c>
      <c r="F332" s="24" t="inlineStr">
        <is>
          <t>Đã sinh</t>
        </is>
      </c>
      <c r="G332" s="24" t="inlineStr">
        <is>
          <t>Hồ Chí Minh</t>
        </is>
      </c>
      <c r="H332" s="21">
        <f>IF(ISNUMBER($B332),INT($B332)-WEEKDAY($B332,2)+1,"")</f>
        <v/>
      </c>
      <c r="I332" s="24" t="inlineStr">
        <is>
          <t>Z-MEDUA</t>
        </is>
      </c>
      <c r="J332" s="22">
        <f t="array" ref="J332">IF($D332="","",IF($I332="","(trống REF)",IFERROR(INDEX(MASTER_SOURCE!$B$2:$B$495,MATCH($I332,MASTER_SOURCE!$A$2:$A$495,0)),"(REF không có trong MASTER_SOURCE)")))</f>
        <v/>
      </c>
      <c r="K332" s="22">
        <f t="array" ref="K332">IF($D332="","",IFERROR(INDEX(MASTER_SOURCE!$C$2:$C$495,MATCH($I332,MASTER_SOURCE!$A$2:$A$495,0)),""))</f>
        <v/>
      </c>
      <c r="L332" s="22">
        <f t="array" ref="L332">IF($D332="","",IFERROR(INDEX(MASTER_SOURCE!$D$2:$D$495,MATCH($I332,MASTER_SOURCE!$A$2:$A$495,0)),""))</f>
        <v/>
      </c>
      <c r="M332" s="24" t="inlineStr">
        <is>
          <t>Có</t>
        </is>
      </c>
      <c r="N332" s="24" t="inlineStr">
        <is>
          <t>Có</t>
        </is>
      </c>
      <c r="O332" s="24" t="inlineStr">
        <is>
          <t>Có</t>
        </is>
      </c>
      <c r="P332" s="24" t="inlineStr">
        <is>
          <t>Có</t>
        </is>
      </c>
      <c r="Q332" s="22">
        <f>IF($D332="","",IF(AND(OR(DANH_MUC!$L$5&lt;&gt;"Có",M332="Có"),OR(DANH_MUC!$L$6&lt;&gt;"Có",N332="Có"),OR(DANH_MUC!$L$7&lt;&gt;"Có",O332="Có"),OR(DANH_MUC!$L$8&lt;&gt;"Có",P332="Có")),"Có","Không"))</f>
        <v/>
      </c>
      <c r="R332" s="22">
        <f>IF($D332="","",IF(COUNTIF($D$2:$D332,$D332)&gt;1,"Trùng",""))</f>
        <v/>
      </c>
      <c r="S332" s="22">
        <f>IF($D332="","",IF(AND(LEN($D332)=10,LEFT($D332,1)="0",ISNUMBER(--$D332)),"Có","Không"))</f>
        <v/>
      </c>
      <c r="T332" s="22">
        <f>IF($D332="","",IF(AND($C332&lt;&gt;"",$Q332="Có",$R332="",$S332="Có",AND($L332&lt;&gt;"",OR($L332&lt;&gt;"Chưa xác định",DANH_MUC!$L$9="Có"))),"Có","Không"))</f>
        <v/>
      </c>
      <c r="U332" s="22">
        <f>IF(OR($D332="",$T332="Có"),"",IF($C332="","Thiếu họ tên; ","")&amp;IF($S332&lt;&gt;"Có","SĐT sai định dạng; ","")&amp;IF($R332="Trùng","Trùng SĐT; ","")&amp;IF($Q332&lt;&gt;"Có","Thiếu đồng ý bắt buộc; ","")&amp;IF($L332="","Thiếu/sai Mã REF; ",IF(AND($L332="Chưa xác định",DANH_MUC!$L$9&lt;&gt;"Có"),"Nguồn chưa xác định; ","")))</f>
        <v/>
      </c>
      <c r="V332" s="22">
        <f>IF(OR($D332="",$R332="Trùng"),"",IF(COUNTIF(ORDERS!$C$2:$C$4995,$D332)&gt;0,"Có","Không"))</f>
        <v/>
      </c>
      <c r="W332" s="22">
        <f>IF(OR($D332="",$R332="Trùng"),"",COUNTIFS(ORDERS!$C$2:$C$4995,$D332,ORDERS!$L$2:$L$4995,"Đã chuyển khoản"))</f>
        <v/>
      </c>
      <c r="X332" s="23">
        <f>IF(OR($D332="",$R332="Trùng"),"",SUMIFS(ORDERS!$J$2:$J$4995,ORDERS!$C$2:$C$4995,$D332,ORDERS!$L$2:$L$4995,"Đã chuyển khoản"))</f>
        <v/>
      </c>
      <c r="Y332" s="24" t="n"/>
    </row>
    <row r="333" ht="14.25" customHeight="1" s="40">
      <c r="A333" s="24" t="inlineStr">
        <is>
          <t>52d6e74c-dc5c-4bed-96ef-d3212c2a3a56</t>
        </is>
      </c>
      <c r="B333" s="18" t="n">
        <v>46295.89791666667</v>
      </c>
      <c r="C333" s="24" t="inlineStr">
        <is>
          <t>Trịnh Thanh Ngân</t>
        </is>
      </c>
      <c r="D333" s="28" t="inlineStr">
        <is>
          <t>0963924838</t>
        </is>
      </c>
      <c r="E333" s="29" t="n">
        <v>46415</v>
      </c>
      <c r="F333" s="24" t="inlineStr">
        <is>
          <t>Đang mang thai</t>
        </is>
      </c>
      <c r="G333" s="24" t="inlineStr">
        <is>
          <t>Hồ Chí Minh</t>
        </is>
      </c>
      <c r="H333" s="21">
        <f>IF(ISNUMBER($B333),INT($B333)-WEEKDAY($B333,2)+1,"")</f>
        <v/>
      </c>
      <c r="I333" s="24" t="inlineStr">
        <is>
          <t>Z-MEDUA</t>
        </is>
      </c>
      <c r="J333" s="22">
        <f t="array" ref="J333">IF($D333="","",IF($I333="","(trống REF)",IFERROR(INDEX(MASTER_SOURCE!$B$2:$B$495,MATCH($I333,MASTER_SOURCE!$A$2:$A$495,0)),"(REF không có trong MASTER_SOURCE)")))</f>
        <v/>
      </c>
      <c r="K333" s="22">
        <f t="array" ref="K333">IF($D333="","",IFERROR(INDEX(MASTER_SOURCE!$C$2:$C$495,MATCH($I333,MASTER_SOURCE!$A$2:$A$495,0)),""))</f>
        <v/>
      </c>
      <c r="L333" s="22">
        <f t="array" ref="L333">IF($D333="","",IFERROR(INDEX(MASTER_SOURCE!$D$2:$D$495,MATCH($I333,MASTER_SOURCE!$A$2:$A$495,0)),""))</f>
        <v/>
      </c>
      <c r="M333" s="24" t="inlineStr">
        <is>
          <t>Có</t>
        </is>
      </c>
      <c r="N333" s="24" t="inlineStr">
        <is>
          <t>Có</t>
        </is>
      </c>
      <c r="O333" s="24" t="inlineStr">
        <is>
          <t>Có</t>
        </is>
      </c>
      <c r="P333" s="24" t="inlineStr">
        <is>
          <t>Có</t>
        </is>
      </c>
      <c r="Q333" s="22">
        <f>IF($D333="","",IF(AND(OR(DANH_MUC!$L$5&lt;&gt;"Có",M333="Có"),OR(DANH_MUC!$L$6&lt;&gt;"Có",N333="Có"),OR(DANH_MUC!$L$7&lt;&gt;"Có",O333="Có"),OR(DANH_MUC!$L$8&lt;&gt;"Có",P333="Có")),"Có","Không"))</f>
        <v/>
      </c>
      <c r="R333" s="22">
        <f>IF($D333="","",IF(COUNTIF($D$2:$D333,$D333)&gt;1,"Trùng",""))</f>
        <v/>
      </c>
      <c r="S333" s="22">
        <f>IF($D333="","",IF(AND(LEN($D333)=10,LEFT($D333,1)="0",ISNUMBER(--$D333)),"Có","Không"))</f>
        <v/>
      </c>
      <c r="T333" s="22">
        <f>IF($D333="","",IF(AND($C333&lt;&gt;"",$Q333="Có",$R333="",$S333="Có",AND($L333&lt;&gt;"",OR($L333&lt;&gt;"Chưa xác định",DANH_MUC!$L$9="Có"))),"Có","Không"))</f>
        <v/>
      </c>
      <c r="U333" s="22">
        <f>IF(OR($D333="",$T333="Có"),"",IF($C333="","Thiếu họ tên; ","")&amp;IF($S333&lt;&gt;"Có","SĐT sai định dạng; ","")&amp;IF($R333="Trùng","Trùng SĐT; ","")&amp;IF($Q333&lt;&gt;"Có","Thiếu đồng ý bắt buộc; ","")&amp;IF($L333="","Thiếu/sai Mã REF; ",IF(AND($L333="Chưa xác định",DANH_MUC!$L$9&lt;&gt;"Có"),"Nguồn chưa xác định; ","")))</f>
        <v/>
      </c>
      <c r="V333" s="22">
        <f>IF(OR($D333="",$R333="Trùng"),"",IF(COUNTIF(ORDERS!$C$2:$C$4995,$D333)&gt;0,"Có","Không"))</f>
        <v/>
      </c>
      <c r="W333" s="22">
        <f>IF(OR($D333="",$R333="Trùng"),"",COUNTIFS(ORDERS!$C$2:$C$4995,$D333,ORDERS!$L$2:$L$4995,"Đã chuyển khoản"))</f>
        <v/>
      </c>
      <c r="X333" s="23">
        <f>IF(OR($D333="",$R333="Trùng"),"",SUMIFS(ORDERS!$J$2:$J$4995,ORDERS!$C$2:$C$4995,$D333,ORDERS!$L$2:$L$4995,"Đã chuyển khoản"))</f>
        <v/>
      </c>
      <c r="Y333" s="24" t="n"/>
    </row>
    <row r="334" ht="14.25" customHeight="1" s="40">
      <c r="A334" s="24" t="inlineStr">
        <is>
          <t>5e706401-f0c8-420d-8ff0-cc17b11c0d46</t>
        </is>
      </c>
      <c r="B334" s="18" t="n">
        <v>46295.90694444445</v>
      </c>
      <c r="C334" s="24" t="inlineStr">
        <is>
          <t>Nguyễn Thị Thu Tuyết</t>
        </is>
      </c>
      <c r="D334" s="28" t="inlineStr">
        <is>
          <t>0326122207</t>
        </is>
      </c>
      <c r="E334" s="29" t="n">
        <v>46235</v>
      </c>
      <c r="F334" s="24" t="inlineStr">
        <is>
          <t>Đã sinh</t>
        </is>
      </c>
      <c r="G334" s="24" t="inlineStr">
        <is>
          <t>Tây Ninh</t>
        </is>
      </c>
      <c r="H334" s="21">
        <f>IF(ISNUMBER($B334),INT($B334)-WEEKDAY($B334,2)+1,"")</f>
        <v/>
      </c>
      <c r="I334" s="24" t="inlineStr">
        <is>
          <t>Z-MEDUA</t>
        </is>
      </c>
      <c r="J334" s="22">
        <f t="array" ref="J334">IF($D334="","",IF($I334="","(trống REF)",IFERROR(INDEX(MASTER_SOURCE!$B$2:$B$495,MATCH($I334,MASTER_SOURCE!$A$2:$A$495,0)),"(REF không có trong MASTER_SOURCE)")))</f>
        <v/>
      </c>
      <c r="K334" s="22">
        <f t="array" ref="K334">IF($D334="","",IFERROR(INDEX(MASTER_SOURCE!$C$2:$C$495,MATCH($I334,MASTER_SOURCE!$A$2:$A$495,0)),""))</f>
        <v/>
      </c>
      <c r="L334" s="22">
        <f t="array" ref="L334">IF($D334="","",IFERROR(INDEX(MASTER_SOURCE!$D$2:$D$495,MATCH($I334,MASTER_SOURCE!$A$2:$A$495,0)),""))</f>
        <v/>
      </c>
      <c r="M334" s="24" t="inlineStr">
        <is>
          <t>Có</t>
        </is>
      </c>
      <c r="N334" s="24" t="inlineStr">
        <is>
          <t>Có</t>
        </is>
      </c>
      <c r="O334" s="24" t="inlineStr">
        <is>
          <t>Có</t>
        </is>
      </c>
      <c r="P334" s="24" t="inlineStr">
        <is>
          <t>Có</t>
        </is>
      </c>
      <c r="Q334" s="22">
        <f>IF($D334="","",IF(AND(OR(DANH_MUC!$L$5&lt;&gt;"Có",M334="Có"),OR(DANH_MUC!$L$6&lt;&gt;"Có",N334="Có"),OR(DANH_MUC!$L$7&lt;&gt;"Có",O334="Có"),OR(DANH_MUC!$L$8&lt;&gt;"Có",P334="Có")),"Có","Không"))</f>
        <v/>
      </c>
      <c r="R334" s="22">
        <f>IF($D334="","",IF(COUNTIF($D$2:$D334,$D334)&gt;1,"Trùng",""))</f>
        <v/>
      </c>
      <c r="S334" s="22">
        <f>IF($D334="","",IF(AND(LEN($D334)=10,LEFT($D334,1)="0",ISNUMBER(--$D334)),"Có","Không"))</f>
        <v/>
      </c>
      <c r="T334" s="22">
        <f>IF($D334="","",IF(AND($C334&lt;&gt;"",$Q334="Có",$R334="",$S334="Có",AND($L334&lt;&gt;"",OR($L334&lt;&gt;"Chưa xác định",DANH_MUC!$L$9="Có"))),"Có","Không"))</f>
        <v/>
      </c>
      <c r="U334" s="22">
        <f>IF(OR($D334="",$T334="Có"),"",IF($C334="","Thiếu họ tên; ","")&amp;IF($S334&lt;&gt;"Có","SĐT sai định dạng; ","")&amp;IF($R334="Trùng","Trùng SĐT; ","")&amp;IF($Q334&lt;&gt;"Có","Thiếu đồng ý bắt buộc; ","")&amp;IF($L334="","Thiếu/sai Mã REF; ",IF(AND($L334="Chưa xác định",DANH_MUC!$L$9&lt;&gt;"Có"),"Nguồn chưa xác định; ","")))</f>
        <v/>
      </c>
      <c r="V334" s="22">
        <f>IF(OR($D334="",$R334="Trùng"),"",IF(COUNTIF(ORDERS!$C$2:$C$4995,$D334)&gt;0,"Có","Không"))</f>
        <v/>
      </c>
      <c r="W334" s="22">
        <f>IF(OR($D334="",$R334="Trùng"),"",COUNTIFS(ORDERS!$C$2:$C$4995,$D334,ORDERS!$L$2:$L$4995,"Đã chuyển khoản"))</f>
        <v/>
      </c>
      <c r="X334" s="23">
        <f>IF(OR($D334="",$R334="Trùng"),"",SUMIFS(ORDERS!$J$2:$J$4995,ORDERS!$C$2:$C$4995,$D334,ORDERS!$L$2:$L$4995,"Đã chuyển khoản"))</f>
        <v/>
      </c>
      <c r="Y334" s="24" t="n"/>
    </row>
    <row r="335" ht="14.25" customHeight="1" s="40">
      <c r="A335" s="24" t="inlineStr">
        <is>
          <t>f23845cf-f7e4-4b77-a261-0a96f022bead</t>
        </is>
      </c>
      <c r="B335" s="18" t="n">
        <v>46295.90763888889</v>
      </c>
      <c r="C335" s="24" t="inlineStr">
        <is>
          <t>Pham thi phuong lanh</t>
        </is>
      </c>
      <c r="D335" s="28" t="inlineStr">
        <is>
          <t>0901447056</t>
        </is>
      </c>
      <c r="E335" s="29" t="n">
        <v>46136</v>
      </c>
      <c r="F335" s="24" t="inlineStr">
        <is>
          <t>Đã sinh</t>
        </is>
      </c>
      <c r="G335" s="24" t="inlineStr">
        <is>
          <t>Hồ Chí Minh</t>
        </is>
      </c>
      <c r="H335" s="21">
        <f>IF(ISNUMBER($B335),INT($B335)-WEEKDAY($B335,2)+1,"")</f>
        <v/>
      </c>
      <c r="I335" s="24" t="inlineStr">
        <is>
          <t>Z-MEDUA</t>
        </is>
      </c>
      <c r="J335" s="22">
        <f t="array" ref="J335">IF($D335="","",IF($I335="","(trống REF)",IFERROR(INDEX(MASTER_SOURCE!$B$2:$B$495,MATCH($I335,MASTER_SOURCE!$A$2:$A$495,0)),"(REF không có trong MASTER_SOURCE)")))</f>
        <v/>
      </c>
      <c r="K335" s="22">
        <f t="array" ref="K335">IF($D335="","",IFERROR(INDEX(MASTER_SOURCE!$C$2:$C$495,MATCH($I335,MASTER_SOURCE!$A$2:$A$495,0)),""))</f>
        <v/>
      </c>
      <c r="L335" s="22">
        <f t="array" ref="L335">IF($D335="","",IFERROR(INDEX(MASTER_SOURCE!$D$2:$D$495,MATCH($I335,MASTER_SOURCE!$A$2:$A$495,0)),""))</f>
        <v/>
      </c>
      <c r="M335" s="24" t="inlineStr">
        <is>
          <t>Có</t>
        </is>
      </c>
      <c r="N335" s="24" t="inlineStr">
        <is>
          <t>Có</t>
        </is>
      </c>
      <c r="O335" s="24" t="inlineStr">
        <is>
          <t>Có</t>
        </is>
      </c>
      <c r="P335" s="24" t="inlineStr">
        <is>
          <t>Có</t>
        </is>
      </c>
      <c r="Q335" s="22">
        <f>IF($D335="","",IF(AND(OR(DANH_MUC!$L$5&lt;&gt;"Có",M335="Có"),OR(DANH_MUC!$L$6&lt;&gt;"Có",N335="Có"),OR(DANH_MUC!$L$7&lt;&gt;"Có",O335="Có"),OR(DANH_MUC!$L$8&lt;&gt;"Có",P335="Có")),"Có","Không"))</f>
        <v/>
      </c>
      <c r="R335" s="22">
        <f>IF($D335="","",IF(COUNTIF($D$2:$D335,$D335)&gt;1,"Trùng",""))</f>
        <v/>
      </c>
      <c r="S335" s="22">
        <f>IF($D335="","",IF(AND(LEN($D335)=10,LEFT($D335,1)="0",ISNUMBER(--$D335)),"Có","Không"))</f>
        <v/>
      </c>
      <c r="T335" s="22">
        <f>IF($D335="","",IF(AND($C335&lt;&gt;"",$Q335="Có",$R335="",$S335="Có",AND($L335&lt;&gt;"",OR($L335&lt;&gt;"Chưa xác định",DANH_MUC!$L$9="Có"))),"Có","Không"))</f>
        <v/>
      </c>
      <c r="U335" s="22">
        <f>IF(OR($D335="",$T335="Có"),"",IF($C335="","Thiếu họ tên; ","")&amp;IF($S335&lt;&gt;"Có","SĐT sai định dạng; ","")&amp;IF($R335="Trùng","Trùng SĐT; ","")&amp;IF($Q335&lt;&gt;"Có","Thiếu đồng ý bắt buộc; ","")&amp;IF($L335="","Thiếu/sai Mã REF; ",IF(AND($L335="Chưa xác định",DANH_MUC!$L$9&lt;&gt;"Có"),"Nguồn chưa xác định; ","")))</f>
        <v/>
      </c>
      <c r="V335" s="22">
        <f>IF(OR($D335="",$R335="Trùng"),"",IF(COUNTIF(ORDERS!$C$2:$C$4995,$D335)&gt;0,"Có","Không"))</f>
        <v/>
      </c>
      <c r="W335" s="22">
        <f>IF(OR($D335="",$R335="Trùng"),"",COUNTIFS(ORDERS!$C$2:$C$4995,$D335,ORDERS!$L$2:$L$4995,"Đã chuyển khoản"))</f>
        <v/>
      </c>
      <c r="X335" s="23">
        <f>IF(OR($D335="",$R335="Trùng"),"",SUMIFS(ORDERS!$J$2:$J$4995,ORDERS!$C$2:$C$4995,$D335,ORDERS!$L$2:$L$4995,"Đã chuyển khoản"))</f>
        <v/>
      </c>
      <c r="Y335" s="24" t="n"/>
    </row>
    <row r="336" ht="14.25" customHeight="1" s="40">
      <c r="A336" s="24" t="inlineStr">
        <is>
          <t>9519a8b2-ed21-4379-bb8f-306e6507548a</t>
        </is>
      </c>
      <c r="B336" s="18" t="n">
        <v>46295.91527777778</v>
      </c>
      <c r="C336" s="24" t="inlineStr">
        <is>
          <t>Trần Thị Thanh Loan</t>
        </is>
      </c>
      <c r="D336" s="28" t="inlineStr">
        <is>
          <t>0765891438</t>
        </is>
      </c>
      <c r="E336" s="29" t="n">
        <v>46208</v>
      </c>
      <c r="F336" s="24" t="inlineStr">
        <is>
          <t>Đã sinh</t>
        </is>
      </c>
      <c r="G336" s="24" t="inlineStr">
        <is>
          <t>Hồ Chí Minh</t>
        </is>
      </c>
      <c r="H336" s="21">
        <f>IF(ISNUMBER($B336),INT($B336)-WEEKDAY($B336,2)+1,"")</f>
        <v/>
      </c>
      <c r="I336" s="24" t="inlineStr">
        <is>
          <t>Z-MEDUA</t>
        </is>
      </c>
      <c r="J336" s="22">
        <f t="array" ref="J336">IF($D336="","",IF($I336="","(trống REF)",IFERROR(INDEX(MASTER_SOURCE!$B$2:$B$495,MATCH($I336,MASTER_SOURCE!$A$2:$A$495,0)),"(REF không có trong MASTER_SOURCE)")))</f>
        <v/>
      </c>
      <c r="K336" s="22">
        <f t="array" ref="K336">IF($D336="","",IFERROR(INDEX(MASTER_SOURCE!$C$2:$C$495,MATCH($I336,MASTER_SOURCE!$A$2:$A$495,0)),""))</f>
        <v/>
      </c>
      <c r="L336" s="22">
        <f t="array" ref="L336">IF($D336="","",IFERROR(INDEX(MASTER_SOURCE!$D$2:$D$495,MATCH($I336,MASTER_SOURCE!$A$2:$A$495,0)),""))</f>
        <v/>
      </c>
      <c r="M336" s="24" t="inlineStr">
        <is>
          <t>Có</t>
        </is>
      </c>
      <c r="N336" s="24" t="inlineStr">
        <is>
          <t>Có</t>
        </is>
      </c>
      <c r="O336" s="24" t="inlineStr">
        <is>
          <t>Có</t>
        </is>
      </c>
      <c r="P336" s="24" t="inlineStr">
        <is>
          <t>Có</t>
        </is>
      </c>
      <c r="Q336" s="22">
        <f>IF($D336="","",IF(AND(OR(DANH_MUC!$L$5&lt;&gt;"Có",M336="Có"),OR(DANH_MUC!$L$6&lt;&gt;"Có",N336="Có"),OR(DANH_MUC!$L$7&lt;&gt;"Có",O336="Có"),OR(DANH_MUC!$L$8&lt;&gt;"Có",P336="Có")),"Có","Không"))</f>
        <v/>
      </c>
      <c r="R336" s="22">
        <f>IF($D336="","",IF(COUNTIF($D$2:$D336,$D336)&gt;1,"Trùng",""))</f>
        <v/>
      </c>
      <c r="S336" s="22">
        <f>IF($D336="","",IF(AND(LEN($D336)=10,LEFT($D336,1)="0",ISNUMBER(--$D336)),"Có","Không"))</f>
        <v/>
      </c>
      <c r="T336" s="22">
        <f>IF($D336="","",IF(AND($C336&lt;&gt;"",$Q336="Có",$R336="",$S336="Có",AND($L336&lt;&gt;"",OR($L336&lt;&gt;"Chưa xác định",DANH_MUC!$L$9="Có"))),"Có","Không"))</f>
        <v/>
      </c>
      <c r="U336" s="22">
        <f>IF(OR($D336="",$T336="Có"),"",IF($C336="","Thiếu họ tên; ","")&amp;IF($S336&lt;&gt;"Có","SĐT sai định dạng; ","")&amp;IF($R336="Trùng","Trùng SĐT; ","")&amp;IF($Q336&lt;&gt;"Có","Thiếu đồng ý bắt buộc; ","")&amp;IF($L336="","Thiếu/sai Mã REF; ",IF(AND($L336="Chưa xác định",DANH_MUC!$L$9&lt;&gt;"Có"),"Nguồn chưa xác định; ","")))</f>
        <v/>
      </c>
      <c r="V336" s="22">
        <f>IF(OR($D336="",$R336="Trùng"),"",IF(COUNTIF(ORDERS!$C$2:$C$4995,$D336)&gt;0,"Có","Không"))</f>
        <v/>
      </c>
      <c r="W336" s="22">
        <f>IF(OR($D336="",$R336="Trùng"),"",COUNTIFS(ORDERS!$C$2:$C$4995,$D336,ORDERS!$L$2:$L$4995,"Đã chuyển khoản"))</f>
        <v/>
      </c>
      <c r="X336" s="23">
        <f>IF(OR($D336="",$R336="Trùng"),"",SUMIFS(ORDERS!$J$2:$J$4995,ORDERS!$C$2:$C$4995,$D336,ORDERS!$L$2:$L$4995,"Đã chuyển khoản"))</f>
        <v/>
      </c>
      <c r="Y336" s="24" t="n"/>
    </row>
    <row r="337" ht="14.25" customHeight="1" s="40">
      <c r="A337" s="24" t="inlineStr">
        <is>
          <t>30162cec-1458-4e43-b269-9e550424f244</t>
        </is>
      </c>
      <c r="B337" s="18" t="n">
        <v>46295.91666666666</v>
      </c>
      <c r="C337" s="24" t="inlineStr">
        <is>
          <t>Nguyễn Nữ Kim Thoa</t>
        </is>
      </c>
      <c r="D337" s="28" t="inlineStr">
        <is>
          <t>0396531940</t>
        </is>
      </c>
      <c r="E337" s="29" t="n">
        <v>46259</v>
      </c>
      <c r="F337" s="24" t="inlineStr">
        <is>
          <t>Đã sinh</t>
        </is>
      </c>
      <c r="G337" s="24" t="inlineStr">
        <is>
          <t>Hồ Chí Minh</t>
        </is>
      </c>
      <c r="H337" s="21">
        <f>IF(ISNUMBER($B337),INT($B337)-WEEKDAY($B337,2)+1,"")</f>
        <v/>
      </c>
      <c r="I337" s="24" t="inlineStr">
        <is>
          <t>Z-MEDUA</t>
        </is>
      </c>
      <c r="J337" s="22">
        <f t="array" ref="J337">IF($D337="","",IF($I337="","(trống REF)",IFERROR(INDEX(MASTER_SOURCE!$B$2:$B$495,MATCH($I337,MASTER_SOURCE!$A$2:$A$495,0)),"(REF không có trong MASTER_SOURCE)")))</f>
        <v/>
      </c>
      <c r="K337" s="22">
        <f t="array" ref="K337">IF($D337="","",IFERROR(INDEX(MASTER_SOURCE!$C$2:$C$495,MATCH($I337,MASTER_SOURCE!$A$2:$A$495,0)),""))</f>
        <v/>
      </c>
      <c r="L337" s="22">
        <f t="array" ref="L337">IF($D337="","",IFERROR(INDEX(MASTER_SOURCE!$D$2:$D$495,MATCH($I337,MASTER_SOURCE!$A$2:$A$495,0)),""))</f>
        <v/>
      </c>
      <c r="M337" s="24" t="inlineStr">
        <is>
          <t>Có</t>
        </is>
      </c>
      <c r="N337" s="24" t="inlineStr">
        <is>
          <t>Có</t>
        </is>
      </c>
      <c r="O337" s="24" t="inlineStr">
        <is>
          <t>Có</t>
        </is>
      </c>
      <c r="P337" s="24" t="inlineStr">
        <is>
          <t>Có</t>
        </is>
      </c>
      <c r="Q337" s="22">
        <f>IF($D337="","",IF(AND(OR(DANH_MUC!$L$5&lt;&gt;"Có",M337="Có"),OR(DANH_MUC!$L$6&lt;&gt;"Có",N337="Có"),OR(DANH_MUC!$L$7&lt;&gt;"Có",O337="Có"),OR(DANH_MUC!$L$8&lt;&gt;"Có",P337="Có")),"Có","Không"))</f>
        <v/>
      </c>
      <c r="R337" s="22">
        <f>IF($D337="","",IF(COUNTIF($D$2:$D337,$D337)&gt;1,"Trùng",""))</f>
        <v/>
      </c>
      <c r="S337" s="22">
        <f>IF($D337="","",IF(AND(LEN($D337)=10,LEFT($D337,1)="0",ISNUMBER(--$D337)),"Có","Không"))</f>
        <v/>
      </c>
      <c r="T337" s="22">
        <f>IF($D337="","",IF(AND($C337&lt;&gt;"",$Q337="Có",$R337="",$S337="Có",AND($L337&lt;&gt;"",OR($L337&lt;&gt;"Chưa xác định",DANH_MUC!$L$9="Có"))),"Có","Không"))</f>
        <v/>
      </c>
      <c r="U337" s="22">
        <f>IF(OR($D337="",$T337="Có"),"",IF($C337="","Thiếu họ tên; ","")&amp;IF($S337&lt;&gt;"Có","SĐT sai định dạng; ","")&amp;IF($R337="Trùng","Trùng SĐT; ","")&amp;IF($Q337&lt;&gt;"Có","Thiếu đồng ý bắt buộc; ","")&amp;IF($L337="","Thiếu/sai Mã REF; ",IF(AND($L337="Chưa xác định",DANH_MUC!$L$9&lt;&gt;"Có"),"Nguồn chưa xác định; ","")))</f>
        <v/>
      </c>
      <c r="V337" s="22">
        <f>IF(OR($D337="",$R337="Trùng"),"",IF(COUNTIF(ORDERS!$C$2:$C$4995,$D337)&gt;0,"Có","Không"))</f>
        <v/>
      </c>
      <c r="W337" s="22">
        <f>IF(OR($D337="",$R337="Trùng"),"",COUNTIFS(ORDERS!$C$2:$C$4995,$D337,ORDERS!$L$2:$L$4995,"Đã chuyển khoản"))</f>
        <v/>
      </c>
      <c r="X337" s="23">
        <f>IF(OR($D337="",$R337="Trùng"),"",SUMIFS(ORDERS!$J$2:$J$4995,ORDERS!$C$2:$C$4995,$D337,ORDERS!$L$2:$L$4995,"Đã chuyển khoản"))</f>
        <v/>
      </c>
      <c r="Y337" s="24" t="n"/>
    </row>
    <row r="338" ht="14.25" customHeight="1" s="40">
      <c r="A338" s="24" t="inlineStr">
        <is>
          <t>a24d02ce-0504-496a-b763-95c4aa6022e8</t>
        </is>
      </c>
      <c r="B338" s="18" t="n">
        <v>46295.92430555556</v>
      </c>
      <c r="C338" s="24" t="inlineStr">
        <is>
          <t>Chiêm Thùy Phương Uyên</t>
        </is>
      </c>
      <c r="D338" s="28" t="inlineStr">
        <is>
          <t>0382917332</t>
        </is>
      </c>
      <c r="E338" s="29" t="n">
        <v>45976</v>
      </c>
      <c r="F338" s="24" t="inlineStr">
        <is>
          <t>Đã sinh</t>
        </is>
      </c>
      <c r="G338" s="24" t="inlineStr">
        <is>
          <t>Hồ Chí Minh</t>
        </is>
      </c>
      <c r="H338" s="21">
        <f>IF(ISNUMBER($B338),INT($B338)-WEEKDAY($B338,2)+1,"")</f>
        <v/>
      </c>
      <c r="I338" s="24" t="inlineStr">
        <is>
          <t>Z-MEDUA</t>
        </is>
      </c>
      <c r="J338" s="22">
        <f t="array" ref="J338">IF($D338="","",IF($I338="","(trống REF)",IFERROR(INDEX(MASTER_SOURCE!$B$2:$B$495,MATCH($I338,MASTER_SOURCE!$A$2:$A$495,0)),"(REF không có trong MASTER_SOURCE)")))</f>
        <v/>
      </c>
      <c r="K338" s="22">
        <f t="array" ref="K338">IF($D338="","",IFERROR(INDEX(MASTER_SOURCE!$C$2:$C$495,MATCH($I338,MASTER_SOURCE!$A$2:$A$495,0)),""))</f>
        <v/>
      </c>
      <c r="L338" s="22">
        <f t="array" ref="L338">IF($D338="","",IFERROR(INDEX(MASTER_SOURCE!$D$2:$D$495,MATCH($I338,MASTER_SOURCE!$A$2:$A$495,0)),""))</f>
        <v/>
      </c>
      <c r="M338" s="24" t="inlineStr">
        <is>
          <t>Có</t>
        </is>
      </c>
      <c r="N338" s="24" t="inlineStr">
        <is>
          <t>Có</t>
        </is>
      </c>
      <c r="O338" s="24" t="inlineStr">
        <is>
          <t>Có</t>
        </is>
      </c>
      <c r="P338" s="24" t="inlineStr">
        <is>
          <t>Có</t>
        </is>
      </c>
      <c r="Q338" s="22">
        <f>IF($D338="","",IF(AND(OR(DANH_MUC!$L$5&lt;&gt;"Có",M338="Có"),OR(DANH_MUC!$L$6&lt;&gt;"Có",N338="Có"),OR(DANH_MUC!$L$7&lt;&gt;"Có",O338="Có"),OR(DANH_MUC!$L$8&lt;&gt;"Có",P338="Có")),"Có","Không"))</f>
        <v/>
      </c>
      <c r="R338" s="22">
        <f>IF($D338="","",IF(COUNTIF($D$2:$D338,$D338)&gt;1,"Trùng",""))</f>
        <v/>
      </c>
      <c r="S338" s="22">
        <f>IF($D338="","",IF(AND(LEN($D338)=10,LEFT($D338,1)="0",ISNUMBER(--$D338)),"Có","Không"))</f>
        <v/>
      </c>
      <c r="T338" s="22">
        <f>IF($D338="","",IF(AND($C338&lt;&gt;"",$Q338="Có",$R338="",$S338="Có",AND($L338&lt;&gt;"",OR($L338&lt;&gt;"Chưa xác định",DANH_MUC!$L$9="Có"))),"Có","Không"))</f>
        <v/>
      </c>
      <c r="U338" s="22">
        <f>IF(OR($D338="",$T338="Có"),"",IF($C338="","Thiếu họ tên; ","")&amp;IF($S338&lt;&gt;"Có","SĐT sai định dạng; ","")&amp;IF($R338="Trùng","Trùng SĐT; ","")&amp;IF($Q338&lt;&gt;"Có","Thiếu đồng ý bắt buộc; ","")&amp;IF($L338="","Thiếu/sai Mã REF; ",IF(AND($L338="Chưa xác định",DANH_MUC!$L$9&lt;&gt;"Có"),"Nguồn chưa xác định; ","")))</f>
        <v/>
      </c>
      <c r="V338" s="22">
        <f>IF(OR($D338="",$R338="Trùng"),"",IF(COUNTIF(ORDERS!$C$2:$C$4995,$D338)&gt;0,"Có","Không"))</f>
        <v/>
      </c>
      <c r="W338" s="22">
        <f>IF(OR($D338="",$R338="Trùng"),"",COUNTIFS(ORDERS!$C$2:$C$4995,$D338,ORDERS!$L$2:$L$4995,"Đã chuyển khoản"))</f>
        <v/>
      </c>
      <c r="X338" s="23">
        <f>IF(OR($D338="",$R338="Trùng"),"",SUMIFS(ORDERS!$J$2:$J$4995,ORDERS!$C$2:$C$4995,$D338,ORDERS!$L$2:$L$4995,"Đã chuyển khoản"))</f>
        <v/>
      </c>
      <c r="Y338" s="24" t="n"/>
    </row>
    <row r="339" ht="14.25" customHeight="1" s="40">
      <c r="A339" s="24" t="inlineStr">
        <is>
          <t>107c446d-504b-4c0f-b673-814984dba8b4</t>
        </is>
      </c>
      <c r="B339" s="18" t="n">
        <v>46295.93680555555</v>
      </c>
      <c r="C339" s="24" t="inlineStr">
        <is>
          <t>Hứa Thị Ngọc Đào</t>
        </is>
      </c>
      <c r="D339" s="28" t="inlineStr">
        <is>
          <t>0984618705</t>
        </is>
      </c>
      <c r="E339" s="29" t="n">
        <v>46347</v>
      </c>
      <c r="F339" s="24" t="inlineStr">
        <is>
          <t>Đang mang thai</t>
        </is>
      </c>
      <c r="G339" s="24" t="inlineStr">
        <is>
          <t>Hồ Chí Minh</t>
        </is>
      </c>
      <c r="H339" s="21">
        <f>IF(ISNUMBER($B339),INT($B339)-WEEKDAY($B339,2)+1,"")</f>
        <v/>
      </c>
      <c r="I339" s="24" t="inlineStr">
        <is>
          <t>Z-MEDUA</t>
        </is>
      </c>
      <c r="J339" s="22">
        <f t="array" ref="J339">IF($D339="","",IF($I339="","(trống REF)",IFERROR(INDEX(MASTER_SOURCE!$B$2:$B$495,MATCH($I339,MASTER_SOURCE!$A$2:$A$495,0)),"(REF không có trong MASTER_SOURCE)")))</f>
        <v/>
      </c>
      <c r="K339" s="22">
        <f t="array" ref="K339">IF($D339="","",IFERROR(INDEX(MASTER_SOURCE!$C$2:$C$495,MATCH($I339,MASTER_SOURCE!$A$2:$A$495,0)),""))</f>
        <v/>
      </c>
      <c r="L339" s="22">
        <f t="array" ref="L339">IF($D339="","",IFERROR(INDEX(MASTER_SOURCE!$D$2:$D$495,MATCH($I339,MASTER_SOURCE!$A$2:$A$495,0)),""))</f>
        <v/>
      </c>
      <c r="M339" s="24" t="inlineStr">
        <is>
          <t>Có</t>
        </is>
      </c>
      <c r="N339" s="24" t="inlineStr">
        <is>
          <t>Có</t>
        </is>
      </c>
      <c r="O339" s="24" t="inlineStr">
        <is>
          <t>Có</t>
        </is>
      </c>
      <c r="P339" s="24" t="inlineStr">
        <is>
          <t>Có</t>
        </is>
      </c>
      <c r="Q339" s="22">
        <f>IF($D339="","",IF(AND(OR(DANH_MUC!$L$5&lt;&gt;"Có",M339="Có"),OR(DANH_MUC!$L$6&lt;&gt;"Có",N339="Có"),OR(DANH_MUC!$L$7&lt;&gt;"Có",O339="Có"),OR(DANH_MUC!$L$8&lt;&gt;"Có",P339="Có")),"Có","Không"))</f>
        <v/>
      </c>
      <c r="R339" s="22">
        <f>IF($D339="","",IF(COUNTIF($D$2:$D339,$D339)&gt;1,"Trùng",""))</f>
        <v/>
      </c>
      <c r="S339" s="22">
        <f>IF($D339="","",IF(AND(LEN($D339)=10,LEFT($D339,1)="0",ISNUMBER(--$D339)),"Có","Không"))</f>
        <v/>
      </c>
      <c r="T339" s="22">
        <f>IF($D339="","",IF(AND($C339&lt;&gt;"",$Q339="Có",$R339="",$S339="Có",AND($L339&lt;&gt;"",OR($L339&lt;&gt;"Chưa xác định",DANH_MUC!$L$9="Có"))),"Có","Không"))</f>
        <v/>
      </c>
      <c r="U339" s="22">
        <f>IF(OR($D339="",$T339="Có"),"",IF($C339="","Thiếu họ tên; ","")&amp;IF($S339&lt;&gt;"Có","SĐT sai định dạng; ","")&amp;IF($R339="Trùng","Trùng SĐT; ","")&amp;IF($Q339&lt;&gt;"Có","Thiếu đồng ý bắt buộc; ","")&amp;IF($L339="","Thiếu/sai Mã REF; ",IF(AND($L339="Chưa xác định",DANH_MUC!$L$9&lt;&gt;"Có"),"Nguồn chưa xác định; ","")))</f>
        <v/>
      </c>
      <c r="V339" s="22">
        <f>IF(OR($D339="",$R339="Trùng"),"",IF(COUNTIF(ORDERS!$C$2:$C$4995,$D339)&gt;0,"Có","Không"))</f>
        <v/>
      </c>
      <c r="W339" s="22">
        <f>IF(OR($D339="",$R339="Trùng"),"",COUNTIFS(ORDERS!$C$2:$C$4995,$D339,ORDERS!$L$2:$L$4995,"Đã chuyển khoản"))</f>
        <v/>
      </c>
      <c r="X339" s="23">
        <f>IF(OR($D339="",$R339="Trùng"),"",SUMIFS(ORDERS!$J$2:$J$4995,ORDERS!$C$2:$C$4995,$D339,ORDERS!$L$2:$L$4995,"Đã chuyển khoản"))</f>
        <v/>
      </c>
      <c r="Y339" s="24" t="n"/>
    </row>
    <row r="340" ht="14.25" customHeight="1" s="40">
      <c r="A340" s="24" t="inlineStr">
        <is>
          <t>86d02187-e483-41fc-b799-ab59b176620e</t>
        </is>
      </c>
      <c r="B340" s="18" t="n">
        <v>46295.93888888889</v>
      </c>
      <c r="C340" s="24" t="inlineStr">
        <is>
          <t>Cao Thị Mỹ Ngọc</t>
        </is>
      </c>
      <c r="D340" s="28" t="inlineStr">
        <is>
          <t>0325569977</t>
        </is>
      </c>
      <c r="E340" s="29" t="n">
        <v>45974</v>
      </c>
      <c r="F340" s="24" t="inlineStr">
        <is>
          <t>Đã sinh</t>
        </is>
      </c>
      <c r="G340" s="24" t="inlineStr">
        <is>
          <t>Hồ Chí Minh</t>
        </is>
      </c>
      <c r="H340" s="21">
        <f>IF(ISNUMBER($B340),INT($B340)-WEEKDAY($B340,2)+1,"")</f>
        <v/>
      </c>
      <c r="I340" s="24" t="inlineStr">
        <is>
          <t>Z-MEDUA</t>
        </is>
      </c>
      <c r="J340" s="22">
        <f t="array" ref="J340">IF($D340="","",IF($I340="","(trống REF)",IFERROR(INDEX(MASTER_SOURCE!$B$2:$B$495,MATCH($I340,MASTER_SOURCE!$A$2:$A$495,0)),"(REF không có trong MASTER_SOURCE)")))</f>
        <v/>
      </c>
      <c r="K340" s="22">
        <f t="array" ref="K340">IF($D340="","",IFERROR(INDEX(MASTER_SOURCE!$C$2:$C$495,MATCH($I340,MASTER_SOURCE!$A$2:$A$495,0)),""))</f>
        <v/>
      </c>
      <c r="L340" s="22">
        <f t="array" ref="L340">IF($D340="","",IFERROR(INDEX(MASTER_SOURCE!$D$2:$D$495,MATCH($I340,MASTER_SOURCE!$A$2:$A$495,0)),""))</f>
        <v/>
      </c>
      <c r="M340" s="24" t="inlineStr">
        <is>
          <t>Có</t>
        </is>
      </c>
      <c r="N340" s="24" t="inlineStr">
        <is>
          <t>Có</t>
        </is>
      </c>
      <c r="O340" s="24" t="inlineStr">
        <is>
          <t>Có</t>
        </is>
      </c>
      <c r="P340" s="24" t="inlineStr">
        <is>
          <t>Có</t>
        </is>
      </c>
      <c r="Q340" s="22">
        <f>IF($D340="","",IF(AND(OR(DANH_MUC!$L$5&lt;&gt;"Có",M340="Có"),OR(DANH_MUC!$L$6&lt;&gt;"Có",N340="Có"),OR(DANH_MUC!$L$7&lt;&gt;"Có",O340="Có"),OR(DANH_MUC!$L$8&lt;&gt;"Có",P340="Có")),"Có","Không"))</f>
        <v/>
      </c>
      <c r="R340" s="22">
        <f>IF($D340="","",IF(COUNTIF($D$2:$D340,$D340)&gt;1,"Trùng",""))</f>
        <v/>
      </c>
      <c r="S340" s="22">
        <f>IF($D340="","",IF(AND(LEN($D340)=10,LEFT($D340,1)="0",ISNUMBER(--$D340)),"Có","Không"))</f>
        <v/>
      </c>
      <c r="T340" s="22">
        <f>IF($D340="","",IF(AND($C340&lt;&gt;"",$Q340="Có",$R340="",$S340="Có",AND($L340&lt;&gt;"",OR($L340&lt;&gt;"Chưa xác định",DANH_MUC!$L$9="Có"))),"Có","Không"))</f>
        <v/>
      </c>
      <c r="U340" s="22">
        <f>IF(OR($D340="",$T340="Có"),"",IF($C340="","Thiếu họ tên; ","")&amp;IF($S340&lt;&gt;"Có","SĐT sai định dạng; ","")&amp;IF($R340="Trùng","Trùng SĐT; ","")&amp;IF($Q340&lt;&gt;"Có","Thiếu đồng ý bắt buộc; ","")&amp;IF($L340="","Thiếu/sai Mã REF; ",IF(AND($L340="Chưa xác định",DANH_MUC!$L$9&lt;&gt;"Có"),"Nguồn chưa xác định; ","")))</f>
        <v/>
      </c>
      <c r="V340" s="22">
        <f>IF(OR($D340="",$R340="Trùng"),"",IF(COUNTIF(ORDERS!$C$2:$C$4995,$D340)&gt;0,"Có","Không"))</f>
        <v/>
      </c>
      <c r="W340" s="22">
        <f>IF(OR($D340="",$R340="Trùng"),"",COUNTIFS(ORDERS!$C$2:$C$4995,$D340,ORDERS!$L$2:$L$4995,"Đã chuyển khoản"))</f>
        <v/>
      </c>
      <c r="X340" s="23">
        <f>IF(OR($D340="",$R340="Trùng"),"",SUMIFS(ORDERS!$J$2:$J$4995,ORDERS!$C$2:$C$4995,$D340,ORDERS!$L$2:$L$4995,"Đã chuyển khoản"))</f>
        <v/>
      </c>
      <c r="Y340" s="24" t="n"/>
    </row>
    <row r="341" ht="14.25" customHeight="1" s="40">
      <c r="A341" s="24" t="inlineStr">
        <is>
          <t>825664f4-431f-4e6b-824e-326ce6167406</t>
        </is>
      </c>
      <c r="B341" s="18" t="n">
        <v>46295.94652777778</v>
      </c>
      <c r="C341" s="24" t="inlineStr">
        <is>
          <t>Nguyễn Thị Bích Phương</t>
        </is>
      </c>
      <c r="D341" s="28" t="inlineStr">
        <is>
          <t>0335201026</t>
        </is>
      </c>
      <c r="E341" s="29" t="n">
        <v>46209</v>
      </c>
      <c r="F341" s="24" t="inlineStr">
        <is>
          <t>Đã sinh</t>
        </is>
      </c>
      <c r="G341" s="24" t="inlineStr">
        <is>
          <t>An Giang</t>
        </is>
      </c>
      <c r="H341" s="21">
        <f>IF(ISNUMBER($B341),INT($B341)-WEEKDAY($B341,2)+1,"")</f>
        <v/>
      </c>
      <c r="I341" s="24" t="inlineStr">
        <is>
          <t>Z-MEDUA</t>
        </is>
      </c>
      <c r="J341" s="22">
        <f t="array" ref="J341">IF($D341="","",IF($I341="","(trống REF)",IFERROR(INDEX(MASTER_SOURCE!$B$2:$B$495,MATCH($I341,MASTER_SOURCE!$A$2:$A$495,0)),"(REF không có trong MASTER_SOURCE)")))</f>
        <v/>
      </c>
      <c r="K341" s="22">
        <f t="array" ref="K341">IF($D341="","",IFERROR(INDEX(MASTER_SOURCE!$C$2:$C$495,MATCH($I341,MASTER_SOURCE!$A$2:$A$495,0)),""))</f>
        <v/>
      </c>
      <c r="L341" s="22">
        <f t="array" ref="L341">IF($D341="","",IFERROR(INDEX(MASTER_SOURCE!$D$2:$D$495,MATCH($I341,MASTER_SOURCE!$A$2:$A$495,0)),""))</f>
        <v/>
      </c>
      <c r="M341" s="24" t="inlineStr">
        <is>
          <t>Có</t>
        </is>
      </c>
      <c r="N341" s="24" t="inlineStr">
        <is>
          <t>Có</t>
        </is>
      </c>
      <c r="O341" s="24" t="inlineStr">
        <is>
          <t>Có</t>
        </is>
      </c>
      <c r="P341" s="24" t="inlineStr">
        <is>
          <t>Có</t>
        </is>
      </c>
      <c r="Q341" s="22">
        <f>IF($D341="","",IF(AND(OR(DANH_MUC!$L$5&lt;&gt;"Có",M341="Có"),OR(DANH_MUC!$L$6&lt;&gt;"Có",N341="Có"),OR(DANH_MUC!$L$7&lt;&gt;"Có",O341="Có"),OR(DANH_MUC!$L$8&lt;&gt;"Có",P341="Có")),"Có","Không"))</f>
        <v/>
      </c>
      <c r="R341" s="22">
        <f>IF($D341="","",IF(COUNTIF($D$2:$D341,$D341)&gt;1,"Trùng",""))</f>
        <v/>
      </c>
      <c r="S341" s="22">
        <f>IF($D341="","",IF(AND(LEN($D341)=10,LEFT($D341,1)="0",ISNUMBER(--$D341)),"Có","Không"))</f>
        <v/>
      </c>
      <c r="T341" s="22">
        <f>IF($D341="","",IF(AND($C341&lt;&gt;"",$Q341="Có",$R341="",$S341="Có",AND($L341&lt;&gt;"",OR($L341&lt;&gt;"Chưa xác định",DANH_MUC!$L$9="Có"))),"Có","Không"))</f>
        <v/>
      </c>
      <c r="U341" s="22">
        <f>IF(OR($D341="",$T341="Có"),"",IF($C341="","Thiếu họ tên; ","")&amp;IF($S341&lt;&gt;"Có","SĐT sai định dạng; ","")&amp;IF($R341="Trùng","Trùng SĐT; ","")&amp;IF($Q341&lt;&gt;"Có","Thiếu đồng ý bắt buộc; ","")&amp;IF($L341="","Thiếu/sai Mã REF; ",IF(AND($L341="Chưa xác định",DANH_MUC!$L$9&lt;&gt;"Có"),"Nguồn chưa xác định; ","")))</f>
        <v/>
      </c>
      <c r="V341" s="22">
        <f>IF(OR($D341="",$R341="Trùng"),"",IF(COUNTIF(ORDERS!$C$2:$C$4995,$D341)&gt;0,"Có","Không"))</f>
        <v/>
      </c>
      <c r="W341" s="22">
        <f>IF(OR($D341="",$R341="Trùng"),"",COUNTIFS(ORDERS!$C$2:$C$4995,$D341,ORDERS!$L$2:$L$4995,"Đã chuyển khoản"))</f>
        <v/>
      </c>
      <c r="X341" s="23">
        <f>IF(OR($D341="",$R341="Trùng"),"",SUMIFS(ORDERS!$J$2:$J$4995,ORDERS!$C$2:$C$4995,$D341,ORDERS!$L$2:$L$4995,"Đã chuyển khoản"))</f>
        <v/>
      </c>
      <c r="Y341" s="24" t="n"/>
    </row>
    <row r="342" ht="14.25" customHeight="1" s="40">
      <c r="A342" s="24" t="inlineStr">
        <is>
          <t>3327bb21-468e-494c-b812-7ee0786805f6</t>
        </is>
      </c>
      <c r="B342" s="18" t="n">
        <v>46295.94791666666</v>
      </c>
      <c r="C342" s="24" t="inlineStr">
        <is>
          <t>Phan Quynh</t>
        </is>
      </c>
      <c r="D342" s="28" t="inlineStr">
        <is>
          <t>0903266772</t>
        </is>
      </c>
      <c r="E342" s="29" t="n">
        <v>46250</v>
      </c>
      <c r="F342" s="24" t="inlineStr">
        <is>
          <t>Đã sinh</t>
        </is>
      </c>
      <c r="G342" s="24" t="inlineStr">
        <is>
          <t>Hồ Chí Minh</t>
        </is>
      </c>
      <c r="H342" s="21">
        <f>IF(ISNUMBER($B342),INT($B342)-WEEKDAY($B342,2)+1,"")</f>
        <v/>
      </c>
      <c r="I342" s="24" t="inlineStr">
        <is>
          <t>Z-MEDUA</t>
        </is>
      </c>
      <c r="J342" s="22">
        <f t="array" ref="J342">IF($D342="","",IF($I342="","(trống REF)",IFERROR(INDEX(MASTER_SOURCE!$B$2:$B$495,MATCH($I342,MASTER_SOURCE!$A$2:$A$495,0)),"(REF không có trong MASTER_SOURCE)")))</f>
        <v/>
      </c>
      <c r="K342" s="22">
        <f t="array" ref="K342">IF($D342="","",IFERROR(INDEX(MASTER_SOURCE!$C$2:$C$495,MATCH($I342,MASTER_SOURCE!$A$2:$A$495,0)),""))</f>
        <v/>
      </c>
      <c r="L342" s="22">
        <f t="array" ref="L342">IF($D342="","",IFERROR(INDEX(MASTER_SOURCE!$D$2:$D$495,MATCH($I342,MASTER_SOURCE!$A$2:$A$495,0)),""))</f>
        <v/>
      </c>
      <c r="M342" s="24" t="inlineStr">
        <is>
          <t>Có</t>
        </is>
      </c>
      <c r="N342" s="24" t="inlineStr">
        <is>
          <t>Có</t>
        </is>
      </c>
      <c r="O342" s="24" t="inlineStr">
        <is>
          <t>Có</t>
        </is>
      </c>
      <c r="P342" s="24" t="inlineStr">
        <is>
          <t>Có</t>
        </is>
      </c>
      <c r="Q342" s="22">
        <f>IF($D342="","",IF(AND(OR(DANH_MUC!$L$5&lt;&gt;"Có",M342="Có"),OR(DANH_MUC!$L$6&lt;&gt;"Có",N342="Có"),OR(DANH_MUC!$L$7&lt;&gt;"Có",O342="Có"),OR(DANH_MUC!$L$8&lt;&gt;"Có",P342="Có")),"Có","Không"))</f>
        <v/>
      </c>
      <c r="R342" s="22">
        <f>IF($D342="","",IF(COUNTIF($D$2:$D342,$D342)&gt;1,"Trùng",""))</f>
        <v/>
      </c>
      <c r="S342" s="22">
        <f>IF($D342="","",IF(AND(LEN($D342)=10,LEFT($D342,1)="0",ISNUMBER(--$D342)),"Có","Không"))</f>
        <v/>
      </c>
      <c r="T342" s="22">
        <f>IF($D342="","",IF(AND($C342&lt;&gt;"",$Q342="Có",$R342="",$S342="Có",AND($L342&lt;&gt;"",OR($L342&lt;&gt;"Chưa xác định",DANH_MUC!$L$9="Có"))),"Có","Không"))</f>
        <v/>
      </c>
      <c r="U342" s="22">
        <f>IF(OR($D342="",$T342="Có"),"",IF($C342="","Thiếu họ tên; ","")&amp;IF($S342&lt;&gt;"Có","SĐT sai định dạng; ","")&amp;IF($R342="Trùng","Trùng SĐT; ","")&amp;IF($Q342&lt;&gt;"Có","Thiếu đồng ý bắt buộc; ","")&amp;IF($L342="","Thiếu/sai Mã REF; ",IF(AND($L342="Chưa xác định",DANH_MUC!$L$9&lt;&gt;"Có"),"Nguồn chưa xác định; ","")))</f>
        <v/>
      </c>
      <c r="V342" s="22">
        <f>IF(OR($D342="",$R342="Trùng"),"",IF(COUNTIF(ORDERS!$C$2:$C$4995,$D342)&gt;0,"Có","Không"))</f>
        <v/>
      </c>
      <c r="W342" s="22">
        <f>IF(OR($D342="",$R342="Trùng"),"",COUNTIFS(ORDERS!$C$2:$C$4995,$D342,ORDERS!$L$2:$L$4995,"Đã chuyển khoản"))</f>
        <v/>
      </c>
      <c r="X342" s="23">
        <f>IF(OR($D342="",$R342="Trùng"),"",SUMIFS(ORDERS!$J$2:$J$4995,ORDERS!$C$2:$C$4995,$D342,ORDERS!$L$2:$L$4995,"Đã chuyển khoản"))</f>
        <v/>
      </c>
      <c r="Y342" s="24" t="n"/>
    </row>
    <row r="343" ht="14.25" customHeight="1" s="40">
      <c r="A343" s="24" t="inlineStr">
        <is>
          <t>03fcd51e-621d-47b2-81de-72e06ff850f6</t>
        </is>
      </c>
      <c r="B343" s="18" t="n">
        <v>46295.97083333333</v>
      </c>
      <c r="C343" s="24" t="inlineStr">
        <is>
          <t>Lê ngọc minh thư</t>
        </is>
      </c>
      <c r="D343" s="28" t="inlineStr">
        <is>
          <t>0908225588</t>
        </is>
      </c>
      <c r="E343" s="29" t="n">
        <v>46228</v>
      </c>
      <c r="F343" s="24" t="inlineStr">
        <is>
          <t>Đã sinh</t>
        </is>
      </c>
      <c r="G343" s="24" t="inlineStr">
        <is>
          <t>Hồ Chí Minh</t>
        </is>
      </c>
      <c r="H343" s="21">
        <f>IF(ISNUMBER($B343),INT($B343)-WEEKDAY($B343,2)+1,"")</f>
        <v/>
      </c>
      <c r="I343" s="24" t="inlineStr">
        <is>
          <t>Z-MEDUA</t>
        </is>
      </c>
      <c r="J343" s="22">
        <f t="array" ref="J343">IF($D343="","",IF($I343="","(trống REF)",IFERROR(INDEX(MASTER_SOURCE!$B$2:$B$495,MATCH($I343,MASTER_SOURCE!$A$2:$A$495,0)),"(REF không có trong MASTER_SOURCE)")))</f>
        <v/>
      </c>
      <c r="K343" s="22">
        <f t="array" ref="K343">IF($D343="","",IFERROR(INDEX(MASTER_SOURCE!$C$2:$C$495,MATCH($I343,MASTER_SOURCE!$A$2:$A$495,0)),""))</f>
        <v/>
      </c>
      <c r="L343" s="22">
        <f t="array" ref="L343">IF($D343="","",IFERROR(INDEX(MASTER_SOURCE!$D$2:$D$495,MATCH($I343,MASTER_SOURCE!$A$2:$A$495,0)),""))</f>
        <v/>
      </c>
      <c r="M343" s="24" t="inlineStr">
        <is>
          <t>Có</t>
        </is>
      </c>
      <c r="N343" s="24" t="inlineStr">
        <is>
          <t>Có</t>
        </is>
      </c>
      <c r="O343" s="24" t="inlineStr">
        <is>
          <t>Có</t>
        </is>
      </c>
      <c r="P343" s="24" t="inlineStr">
        <is>
          <t>Có</t>
        </is>
      </c>
      <c r="Q343" s="22">
        <f>IF($D343="","",IF(AND(OR(DANH_MUC!$L$5&lt;&gt;"Có",M343="Có"),OR(DANH_MUC!$L$6&lt;&gt;"Có",N343="Có"),OR(DANH_MUC!$L$7&lt;&gt;"Có",O343="Có"),OR(DANH_MUC!$L$8&lt;&gt;"Có",P343="Có")),"Có","Không"))</f>
        <v/>
      </c>
      <c r="R343" s="22">
        <f>IF($D343="","",IF(COUNTIF($D$2:$D343,$D343)&gt;1,"Trùng",""))</f>
        <v/>
      </c>
      <c r="S343" s="22">
        <f>IF($D343="","",IF(AND(LEN($D343)=10,LEFT($D343,1)="0",ISNUMBER(--$D343)),"Có","Không"))</f>
        <v/>
      </c>
      <c r="T343" s="22">
        <f>IF($D343="","",IF(AND($C343&lt;&gt;"",$Q343="Có",$R343="",$S343="Có",AND($L343&lt;&gt;"",OR($L343&lt;&gt;"Chưa xác định",DANH_MUC!$L$9="Có"))),"Có","Không"))</f>
        <v/>
      </c>
      <c r="U343" s="22">
        <f>IF(OR($D343="",$T343="Có"),"",IF($C343="","Thiếu họ tên; ","")&amp;IF($S343&lt;&gt;"Có","SĐT sai định dạng; ","")&amp;IF($R343="Trùng","Trùng SĐT; ","")&amp;IF($Q343&lt;&gt;"Có","Thiếu đồng ý bắt buộc; ","")&amp;IF($L343="","Thiếu/sai Mã REF; ",IF(AND($L343="Chưa xác định",DANH_MUC!$L$9&lt;&gt;"Có"),"Nguồn chưa xác định; ","")))</f>
        <v/>
      </c>
      <c r="V343" s="22">
        <f>IF(OR($D343="",$R343="Trùng"),"",IF(COUNTIF(ORDERS!$C$2:$C$4995,$D343)&gt;0,"Có","Không"))</f>
        <v/>
      </c>
      <c r="W343" s="22">
        <f>IF(OR($D343="",$R343="Trùng"),"",COUNTIFS(ORDERS!$C$2:$C$4995,$D343,ORDERS!$L$2:$L$4995,"Đã chuyển khoản"))</f>
        <v/>
      </c>
      <c r="X343" s="23">
        <f>IF(OR($D343="",$R343="Trùng"),"",SUMIFS(ORDERS!$J$2:$J$4995,ORDERS!$C$2:$C$4995,$D343,ORDERS!$L$2:$L$4995,"Đã chuyển khoản"))</f>
        <v/>
      </c>
      <c r="Y343" s="24" t="n"/>
    </row>
    <row r="344" ht="14.25" customHeight="1" s="40">
      <c r="A344" s="24" t="inlineStr">
        <is>
          <t>ac48cfaf-2f6c-47c3-93e6-5fcd17f76701</t>
        </is>
      </c>
      <c r="B344" s="18" t="n">
        <v>46295.97777777778</v>
      </c>
      <c r="C344" s="24" t="inlineStr">
        <is>
          <t>Đặng Thùy Dung</t>
        </is>
      </c>
      <c r="D344" s="28" t="inlineStr">
        <is>
          <t>0979204043</t>
        </is>
      </c>
      <c r="E344" s="29" t="n">
        <v>46384</v>
      </c>
      <c r="F344" s="24" t="inlineStr">
        <is>
          <t>Đang mang thai</t>
        </is>
      </c>
      <c r="G344" s="24" t="inlineStr">
        <is>
          <t>Đồng Nai</t>
        </is>
      </c>
      <c r="H344" s="21">
        <f>IF(ISNUMBER($B344),INT($B344)-WEEKDAY($B344,2)+1,"")</f>
        <v/>
      </c>
      <c r="I344" s="24" t="inlineStr">
        <is>
          <t>Z-MEDUA</t>
        </is>
      </c>
      <c r="J344" s="22">
        <f t="array" ref="J344">IF($D344="","",IF($I344="","(trống REF)",IFERROR(INDEX(MASTER_SOURCE!$B$2:$B$495,MATCH($I344,MASTER_SOURCE!$A$2:$A$495,0)),"(REF không có trong MASTER_SOURCE)")))</f>
        <v/>
      </c>
      <c r="K344" s="22">
        <f t="array" ref="K344">IF($D344="","",IFERROR(INDEX(MASTER_SOURCE!$C$2:$C$495,MATCH($I344,MASTER_SOURCE!$A$2:$A$495,0)),""))</f>
        <v/>
      </c>
      <c r="L344" s="22">
        <f t="array" ref="L344">IF($D344="","",IFERROR(INDEX(MASTER_SOURCE!$D$2:$D$495,MATCH($I344,MASTER_SOURCE!$A$2:$A$495,0)),""))</f>
        <v/>
      </c>
      <c r="M344" s="24" t="inlineStr">
        <is>
          <t>Có</t>
        </is>
      </c>
      <c r="N344" s="24" t="inlineStr">
        <is>
          <t>Có</t>
        </is>
      </c>
      <c r="O344" s="24" t="inlineStr">
        <is>
          <t>Có</t>
        </is>
      </c>
      <c r="P344" s="24" t="inlineStr">
        <is>
          <t>Có</t>
        </is>
      </c>
      <c r="Q344" s="22">
        <f>IF($D344="","",IF(AND(OR(DANH_MUC!$L$5&lt;&gt;"Có",M344="Có"),OR(DANH_MUC!$L$6&lt;&gt;"Có",N344="Có"),OR(DANH_MUC!$L$7&lt;&gt;"Có",O344="Có"),OR(DANH_MUC!$L$8&lt;&gt;"Có",P344="Có")),"Có","Không"))</f>
        <v/>
      </c>
      <c r="R344" s="22">
        <f>IF($D344="","",IF(COUNTIF($D$2:$D344,$D344)&gt;1,"Trùng",""))</f>
        <v/>
      </c>
      <c r="S344" s="22">
        <f>IF($D344="","",IF(AND(LEN($D344)=10,LEFT($D344,1)="0",ISNUMBER(--$D344)),"Có","Không"))</f>
        <v/>
      </c>
      <c r="T344" s="22">
        <f>IF($D344="","",IF(AND($C344&lt;&gt;"",$Q344="Có",$R344="",$S344="Có",AND($L344&lt;&gt;"",OR($L344&lt;&gt;"Chưa xác định",DANH_MUC!$L$9="Có"))),"Có","Không"))</f>
        <v/>
      </c>
      <c r="U344" s="22">
        <f>IF(OR($D344="",$T344="Có"),"",IF($C344="","Thiếu họ tên; ","")&amp;IF($S344&lt;&gt;"Có","SĐT sai định dạng; ","")&amp;IF($R344="Trùng","Trùng SĐT; ","")&amp;IF($Q344&lt;&gt;"Có","Thiếu đồng ý bắt buộc; ","")&amp;IF($L344="","Thiếu/sai Mã REF; ",IF(AND($L344="Chưa xác định",DANH_MUC!$L$9&lt;&gt;"Có"),"Nguồn chưa xác định; ","")))</f>
        <v/>
      </c>
      <c r="V344" s="22">
        <f>IF(OR($D344="",$R344="Trùng"),"",IF(COUNTIF(ORDERS!$C$2:$C$4995,$D344)&gt;0,"Có","Không"))</f>
        <v/>
      </c>
      <c r="W344" s="22">
        <f>IF(OR($D344="",$R344="Trùng"),"",COUNTIFS(ORDERS!$C$2:$C$4995,$D344,ORDERS!$L$2:$L$4995,"Đã chuyển khoản"))</f>
        <v/>
      </c>
      <c r="X344" s="23">
        <f>IF(OR($D344="",$R344="Trùng"),"",SUMIFS(ORDERS!$J$2:$J$4995,ORDERS!$C$2:$C$4995,$D344,ORDERS!$L$2:$L$4995,"Đã chuyển khoản"))</f>
        <v/>
      </c>
      <c r="Y344" s="24" t="n"/>
    </row>
    <row r="345" ht="14.25" customHeight="1" s="40">
      <c r="A345" s="24" t="inlineStr">
        <is>
          <t>f29b7968-6952-4d63-81ad-4aeeb1232595</t>
        </is>
      </c>
      <c r="B345" s="18" t="n">
        <v>46295.99444444444</v>
      </c>
      <c r="C345" s="24" t="inlineStr">
        <is>
          <t>Quế Bùi Mỹ Linh</t>
        </is>
      </c>
      <c r="D345" s="28" t="inlineStr">
        <is>
          <t>0327358099</t>
        </is>
      </c>
      <c r="E345" s="29" t="n">
        <v>46140</v>
      </c>
      <c r="F345" s="24" t="inlineStr">
        <is>
          <t>Đã sinh</t>
        </is>
      </c>
      <c r="G345" s="24" t="inlineStr">
        <is>
          <t>Đồng Nai</t>
        </is>
      </c>
      <c r="H345" s="21">
        <f>IF(ISNUMBER($B345),INT($B345)-WEEKDAY($B345,2)+1,"")</f>
        <v/>
      </c>
      <c r="I345" s="24" t="inlineStr">
        <is>
          <t>Z-MEDUA</t>
        </is>
      </c>
      <c r="J345" s="22">
        <f t="array" ref="J345">IF($D345="","",IF($I345="","(trống REF)",IFERROR(INDEX(MASTER_SOURCE!$B$2:$B$495,MATCH($I345,MASTER_SOURCE!$A$2:$A$495,0)),"(REF không có trong MASTER_SOURCE)")))</f>
        <v/>
      </c>
      <c r="K345" s="22">
        <f t="array" ref="K345">IF($D345="","",IFERROR(INDEX(MASTER_SOURCE!$C$2:$C$495,MATCH($I345,MASTER_SOURCE!$A$2:$A$495,0)),""))</f>
        <v/>
      </c>
      <c r="L345" s="22">
        <f t="array" ref="L345">IF($D345="","",IFERROR(INDEX(MASTER_SOURCE!$D$2:$D$495,MATCH($I345,MASTER_SOURCE!$A$2:$A$495,0)),""))</f>
        <v/>
      </c>
      <c r="M345" s="24" t="inlineStr">
        <is>
          <t>Có</t>
        </is>
      </c>
      <c r="N345" s="24" t="inlineStr">
        <is>
          <t>Có</t>
        </is>
      </c>
      <c r="O345" s="24" t="inlineStr">
        <is>
          <t>Có</t>
        </is>
      </c>
      <c r="P345" s="24" t="inlineStr">
        <is>
          <t>Có</t>
        </is>
      </c>
      <c r="Q345" s="22">
        <f>IF($D345="","",IF(AND(OR(DANH_MUC!$L$5&lt;&gt;"Có",M345="Có"),OR(DANH_MUC!$L$6&lt;&gt;"Có",N345="Có"),OR(DANH_MUC!$L$7&lt;&gt;"Có",O345="Có"),OR(DANH_MUC!$L$8&lt;&gt;"Có",P345="Có")),"Có","Không"))</f>
        <v/>
      </c>
      <c r="R345" s="22">
        <f>IF($D345="","",IF(COUNTIF($D$2:$D345,$D345)&gt;1,"Trùng",""))</f>
        <v/>
      </c>
      <c r="S345" s="22">
        <f>IF($D345="","",IF(AND(LEN($D345)=10,LEFT($D345,1)="0",ISNUMBER(--$D345)),"Có","Không"))</f>
        <v/>
      </c>
      <c r="T345" s="22">
        <f>IF($D345="","",IF(AND($C345&lt;&gt;"",$Q345="Có",$R345="",$S345="Có",AND($L345&lt;&gt;"",OR($L345&lt;&gt;"Chưa xác định",DANH_MUC!$L$9="Có"))),"Có","Không"))</f>
        <v/>
      </c>
      <c r="U345" s="22">
        <f>IF(OR($D345="",$T345="Có"),"",IF($C345="","Thiếu họ tên; ","")&amp;IF($S345&lt;&gt;"Có","SĐT sai định dạng; ","")&amp;IF($R345="Trùng","Trùng SĐT; ","")&amp;IF($Q345&lt;&gt;"Có","Thiếu đồng ý bắt buộc; ","")&amp;IF($L345="","Thiếu/sai Mã REF; ",IF(AND($L345="Chưa xác định",DANH_MUC!$L$9&lt;&gt;"Có"),"Nguồn chưa xác định; ","")))</f>
        <v/>
      </c>
      <c r="V345" s="22">
        <f>IF(OR($D345="",$R345="Trùng"),"",IF(COUNTIF(ORDERS!$C$2:$C$4995,$D345)&gt;0,"Có","Không"))</f>
        <v/>
      </c>
      <c r="W345" s="22">
        <f>IF(OR($D345="",$R345="Trùng"),"",COUNTIFS(ORDERS!$C$2:$C$4995,$D345,ORDERS!$L$2:$L$4995,"Đã chuyển khoản"))</f>
        <v/>
      </c>
      <c r="X345" s="23">
        <f>IF(OR($D345="",$R345="Trùng"),"",SUMIFS(ORDERS!$J$2:$J$4995,ORDERS!$C$2:$C$4995,$D345,ORDERS!$L$2:$L$4995,"Đã chuyển khoản"))</f>
        <v/>
      </c>
      <c r="Y345" s="24" t="n"/>
    </row>
    <row r="346" ht="14.25" customHeight="1" s="40">
      <c r="A346" s="24" t="inlineStr">
        <is>
          <t>69ff8593-9971-4eec-b798-8f1732cb9867</t>
        </is>
      </c>
      <c r="B346" s="27" t="n">
        <v>46296.25277777778</v>
      </c>
      <c r="C346" s="24" t="inlineStr">
        <is>
          <t>Lê Hoàng Vân</t>
        </is>
      </c>
      <c r="D346" s="28" t="inlineStr">
        <is>
          <t>0343344599</t>
        </is>
      </c>
      <c r="E346" s="29" t="n">
        <v>46321</v>
      </c>
      <c r="F346" s="24" t="inlineStr">
        <is>
          <t>Đang mang thai</t>
        </is>
      </c>
      <c r="G346" s="24" t="inlineStr">
        <is>
          <t>Hồ Chí Minh</t>
        </is>
      </c>
      <c r="H346" s="21">
        <f>IF(ISNUMBER($B346),INT($B346)-WEEKDAY($B346,2)+1,"")</f>
        <v/>
      </c>
      <c r="I346" s="24" t="inlineStr">
        <is>
          <t>Z-MEDUA</t>
        </is>
      </c>
      <c r="J346" s="22">
        <f t="array" ref="J346">IF($D346="","",IF($I346="","(trống REF)",IFERROR(INDEX(MASTER_SOURCE!$B$2:$B$495,MATCH($I346,MASTER_SOURCE!$A$2:$A$495,0)),"(REF không có trong MASTER_SOURCE)")))</f>
        <v/>
      </c>
      <c r="K346" s="22">
        <f t="array" ref="K346">IF($D346="","",IFERROR(INDEX(MASTER_SOURCE!$C$2:$C$495,MATCH($I346,MASTER_SOURCE!$A$2:$A$495,0)),""))</f>
        <v/>
      </c>
      <c r="L346" s="22">
        <f t="array" ref="L346">IF($D346="","",IFERROR(INDEX(MASTER_SOURCE!$D$2:$D$495,MATCH($I346,MASTER_SOURCE!$A$2:$A$495,0)),""))</f>
        <v/>
      </c>
      <c r="M346" s="24" t="inlineStr">
        <is>
          <t>Có</t>
        </is>
      </c>
      <c r="N346" s="24" t="inlineStr">
        <is>
          <t>Có</t>
        </is>
      </c>
      <c r="O346" s="24" t="inlineStr">
        <is>
          <t>Có</t>
        </is>
      </c>
      <c r="P346" s="24" t="inlineStr">
        <is>
          <t>Có</t>
        </is>
      </c>
      <c r="Q346" s="22">
        <f>IF($D346="","",IF(AND(OR(DANH_MUC!$L$5&lt;&gt;"Có",M346="Có"),OR(DANH_MUC!$L$6&lt;&gt;"Có",N346="Có"),OR(DANH_MUC!$L$7&lt;&gt;"Có",O346="Có"),OR(DANH_MUC!$L$8&lt;&gt;"Có",P346="Có")),"Có","Không"))</f>
        <v/>
      </c>
      <c r="R346" s="22">
        <f>IF($D346="","",IF(COUNTIF($D$2:$D346,$D346)&gt;1,"Trùng",""))</f>
        <v/>
      </c>
      <c r="S346" s="22">
        <f>IF($D346="","",IF(AND(LEN($D346)=10,LEFT($D346,1)="0",ISNUMBER(--$D346)),"Có","Không"))</f>
        <v/>
      </c>
      <c r="T346" s="22">
        <f>IF($D346="","",IF(AND($C346&lt;&gt;"",$Q346="Có",$R346="",$S346="Có",AND($L346&lt;&gt;"",OR($L346&lt;&gt;"Chưa xác định",DANH_MUC!$L$9="Có"))),"Có","Không"))</f>
        <v/>
      </c>
      <c r="U346" s="22">
        <f>IF(OR($D346="",$T346="Có"),"",IF($C346="","Thiếu họ tên; ","")&amp;IF($S346&lt;&gt;"Có","SĐT sai định dạng; ","")&amp;IF($R346="Trùng","Trùng SĐT; ","")&amp;IF($Q346&lt;&gt;"Có","Thiếu đồng ý bắt buộc; ","")&amp;IF($L346="","Thiếu/sai Mã REF; ",IF(AND($L346="Chưa xác định",DANH_MUC!$L$9&lt;&gt;"Có"),"Nguồn chưa xác định; ","")))</f>
        <v/>
      </c>
      <c r="V346" s="22">
        <f>IF(OR($D346="",$R346="Trùng"),"",IF(COUNTIF(ORDERS!$C$2:$C$4995,$D346)&gt;0,"Có","Không"))</f>
        <v/>
      </c>
      <c r="W346" s="22">
        <f>IF(OR($D346="",$R346="Trùng"),"",COUNTIFS(ORDERS!$C$2:$C$4995,$D346,ORDERS!$L$2:$L$4995,"Đã chuyển khoản"))</f>
        <v/>
      </c>
      <c r="X346" s="23">
        <f>IF(OR($D346="",$R346="Trùng"),"",SUMIFS(ORDERS!$J$2:$J$4995,ORDERS!$C$2:$C$4995,$D346,ORDERS!$L$2:$L$4995,"Đã chuyển khoản"))</f>
        <v/>
      </c>
      <c r="Y346" s="24" t="n"/>
    </row>
    <row r="347" ht="14.25" customHeight="1" s="40">
      <c r="A347" s="24" t="inlineStr">
        <is>
          <t>ce4ae9ce-8463-482b-adba-0bce1670c8ac</t>
        </is>
      </c>
      <c r="B347" s="27" t="n">
        <v>46296.35138888889</v>
      </c>
      <c r="C347" s="24" t="inlineStr">
        <is>
          <t>Lương Thị Ngọc Hương</t>
        </is>
      </c>
      <c r="D347" s="28" t="inlineStr">
        <is>
          <t>0908453376</t>
        </is>
      </c>
      <c r="E347" s="29" t="n">
        <v>45954</v>
      </c>
      <c r="F347" s="24" t="inlineStr">
        <is>
          <t>Đã sinh</t>
        </is>
      </c>
      <c r="G347" s="24" t="inlineStr">
        <is>
          <t>Hồ Chí Minh</t>
        </is>
      </c>
      <c r="H347" s="21">
        <f>IF(ISNUMBER($B347),INT($B347)-WEEKDAY($B347,2)+1,"")</f>
        <v/>
      </c>
      <c r="I347" s="24" t="inlineStr">
        <is>
          <t>Z-MEDUA</t>
        </is>
      </c>
      <c r="J347" s="22">
        <f t="array" ref="J347">IF($D347="","",IF($I347="","(trống REF)",IFERROR(INDEX(MASTER_SOURCE!$B$2:$B$495,MATCH($I347,MASTER_SOURCE!$A$2:$A$495,0)),"(REF không có trong MASTER_SOURCE)")))</f>
        <v/>
      </c>
      <c r="K347" s="22">
        <f t="array" ref="K347">IF($D347="","",IFERROR(INDEX(MASTER_SOURCE!$C$2:$C$495,MATCH($I347,MASTER_SOURCE!$A$2:$A$495,0)),""))</f>
        <v/>
      </c>
      <c r="L347" s="22">
        <f t="array" ref="L347">IF($D347="","",IFERROR(INDEX(MASTER_SOURCE!$D$2:$D$495,MATCH($I347,MASTER_SOURCE!$A$2:$A$495,0)),""))</f>
        <v/>
      </c>
      <c r="M347" s="24" t="inlineStr">
        <is>
          <t>Có</t>
        </is>
      </c>
      <c r="N347" s="24" t="inlineStr">
        <is>
          <t>Có</t>
        </is>
      </c>
      <c r="O347" s="24" t="inlineStr">
        <is>
          <t>Có</t>
        </is>
      </c>
      <c r="P347" s="24" t="inlineStr">
        <is>
          <t>Có</t>
        </is>
      </c>
      <c r="Q347" s="22">
        <f>IF($D347="","",IF(AND(OR(DANH_MUC!$L$5&lt;&gt;"Có",M347="Có"),OR(DANH_MUC!$L$6&lt;&gt;"Có",N347="Có"),OR(DANH_MUC!$L$7&lt;&gt;"Có",O347="Có"),OR(DANH_MUC!$L$8&lt;&gt;"Có",P347="Có")),"Có","Không"))</f>
        <v/>
      </c>
      <c r="R347" s="22">
        <f>IF($D347="","",IF(COUNTIF($D$2:$D347,$D347)&gt;1,"Trùng",""))</f>
        <v/>
      </c>
      <c r="S347" s="22">
        <f>IF($D347="","",IF(AND(LEN($D347)=10,LEFT($D347,1)="0",ISNUMBER(--$D347)),"Có","Không"))</f>
        <v/>
      </c>
      <c r="T347" s="22">
        <f>IF($D347="","",IF(AND($C347&lt;&gt;"",$Q347="Có",$R347="",$S347="Có",AND($L347&lt;&gt;"",OR($L347&lt;&gt;"Chưa xác định",DANH_MUC!$L$9="Có"))),"Có","Không"))</f>
        <v/>
      </c>
      <c r="U347" s="22">
        <f>IF(OR($D347="",$T347="Có"),"",IF($C347="","Thiếu họ tên; ","")&amp;IF($S347&lt;&gt;"Có","SĐT sai định dạng; ","")&amp;IF($R347="Trùng","Trùng SĐT; ","")&amp;IF($Q347&lt;&gt;"Có","Thiếu đồng ý bắt buộc; ","")&amp;IF($L347="","Thiếu/sai Mã REF; ",IF(AND($L347="Chưa xác định",DANH_MUC!$L$9&lt;&gt;"Có"),"Nguồn chưa xác định; ","")))</f>
        <v/>
      </c>
      <c r="V347" s="22">
        <f>IF(OR($D347="",$R347="Trùng"),"",IF(COUNTIF(ORDERS!$C$2:$C$4995,$D347)&gt;0,"Có","Không"))</f>
        <v/>
      </c>
      <c r="W347" s="22">
        <f>IF(OR($D347="",$R347="Trùng"),"",COUNTIFS(ORDERS!$C$2:$C$4995,$D347,ORDERS!$L$2:$L$4995,"Đã chuyển khoản"))</f>
        <v/>
      </c>
      <c r="X347" s="23">
        <f>IF(OR($D347="",$R347="Trùng"),"",SUMIFS(ORDERS!$J$2:$J$4995,ORDERS!$C$2:$C$4995,$D347,ORDERS!$L$2:$L$4995,"Đã chuyển khoản"))</f>
        <v/>
      </c>
      <c r="Y347" s="24" t="n"/>
    </row>
    <row r="348" ht="14.25" customHeight="1" s="40">
      <c r="A348" s="24" t="inlineStr">
        <is>
          <t>fa37fa13-7ade-4132-9839-498f9a056657</t>
        </is>
      </c>
      <c r="B348" s="27" t="n">
        <v>46296.37986111111</v>
      </c>
      <c r="C348" s="24" t="inlineStr">
        <is>
          <t>Nguyễn Thị Mai Anh</t>
        </is>
      </c>
      <c r="D348" s="28" t="inlineStr">
        <is>
          <t>0836631588</t>
        </is>
      </c>
      <c r="E348" s="29" t="n">
        <v>46352</v>
      </c>
      <c r="F348" s="24" t="inlineStr">
        <is>
          <t>Đang mang thai</t>
        </is>
      </c>
      <c r="G348" s="24" t="inlineStr">
        <is>
          <t>Hải Phòng</t>
        </is>
      </c>
      <c r="H348" s="21">
        <f>IF(ISNUMBER($B348),INT($B348)-WEEKDAY($B348,2)+1,"")</f>
        <v/>
      </c>
      <c r="I348" s="24" t="inlineStr">
        <is>
          <t>Z-GREEN</t>
        </is>
      </c>
      <c r="J348" s="22">
        <f t="array" ref="J348">IF($D348="","",IF($I348="","(trống REF)",IFERROR(INDEX(MASTER_SOURCE!$B$2:$B$495,MATCH($I348,MASTER_SOURCE!$A$2:$A$495,0)),"(REF không có trong MASTER_SOURCE)")))</f>
        <v/>
      </c>
      <c r="K348" s="22">
        <f t="array" ref="K348">IF($D348="","",IFERROR(INDEX(MASTER_SOURCE!$C$2:$C$495,MATCH($I348,MASTER_SOURCE!$A$2:$A$495,0)),""))</f>
        <v/>
      </c>
      <c r="L348" s="22">
        <f t="array" ref="L348">IF($D348="","",IFERROR(INDEX(MASTER_SOURCE!$D$2:$D$495,MATCH($I348,MASTER_SOURCE!$A$2:$A$495,0)),""))</f>
        <v/>
      </c>
      <c r="M348" s="24" t="inlineStr">
        <is>
          <t>Có</t>
        </is>
      </c>
      <c r="N348" s="24" t="inlineStr">
        <is>
          <t>Có</t>
        </is>
      </c>
      <c r="O348" s="24" t="inlineStr">
        <is>
          <t>Có</t>
        </is>
      </c>
      <c r="P348" s="24" t="inlineStr">
        <is>
          <t>Có</t>
        </is>
      </c>
      <c r="Q348" s="22">
        <f>IF($D348="","",IF(AND(OR(DANH_MUC!$L$5&lt;&gt;"Có",M348="Có"),OR(DANH_MUC!$L$6&lt;&gt;"Có",N348="Có"),OR(DANH_MUC!$L$7&lt;&gt;"Có",O348="Có"),OR(DANH_MUC!$L$8&lt;&gt;"Có",P348="Có")),"Có","Không"))</f>
        <v/>
      </c>
      <c r="R348" s="22">
        <f>IF($D348="","",IF(COUNTIF($D$2:$D348,$D348)&gt;1,"Trùng",""))</f>
        <v/>
      </c>
      <c r="S348" s="22">
        <f>IF($D348="","",IF(AND(LEN($D348)=10,LEFT($D348,1)="0",ISNUMBER(--$D348)),"Có","Không"))</f>
        <v/>
      </c>
      <c r="T348" s="22">
        <f>IF($D348="","",IF(AND($C348&lt;&gt;"",$Q348="Có",$R348="",$S348="Có",AND($L348&lt;&gt;"",OR($L348&lt;&gt;"Chưa xác định",DANH_MUC!$L$9="Có"))),"Có","Không"))</f>
        <v/>
      </c>
      <c r="U348" s="22">
        <f>IF(OR($D348="",$T348="Có"),"",IF($C348="","Thiếu họ tên; ","")&amp;IF($S348&lt;&gt;"Có","SĐT sai định dạng; ","")&amp;IF($R348="Trùng","Trùng SĐT; ","")&amp;IF($Q348&lt;&gt;"Có","Thiếu đồng ý bắt buộc; ","")&amp;IF($L348="","Thiếu/sai Mã REF; ",IF(AND($L348="Chưa xác định",DANH_MUC!$L$9&lt;&gt;"Có"),"Nguồn chưa xác định; ","")))</f>
        <v/>
      </c>
      <c r="V348" s="22">
        <f>IF(OR($D348="",$R348="Trùng"),"",IF(COUNTIF(ORDERS!$C$2:$C$4995,$D348)&gt;0,"Có","Không"))</f>
        <v/>
      </c>
      <c r="W348" s="22">
        <f>IF(OR($D348="",$R348="Trùng"),"",COUNTIFS(ORDERS!$C$2:$C$4995,$D348,ORDERS!$L$2:$L$4995,"Đã chuyển khoản"))</f>
        <v/>
      </c>
      <c r="X348" s="23">
        <f>IF(OR($D348="",$R348="Trùng"),"",SUMIFS(ORDERS!$J$2:$J$4995,ORDERS!$C$2:$C$4995,$D348,ORDERS!$L$2:$L$4995,"Đã chuyển khoản"))</f>
        <v/>
      </c>
      <c r="Y348" s="24" t="n"/>
    </row>
    <row r="349" ht="14.25" customHeight="1" s="40">
      <c r="A349" s="24" t="inlineStr">
        <is>
          <t>2c953044-62e2-4ebd-90fb-c2e74f933a68</t>
        </is>
      </c>
      <c r="B349" s="27" t="n">
        <v>46296.38819444444</v>
      </c>
      <c r="C349" s="24" t="inlineStr">
        <is>
          <t>Nguyễn thị như Quỳnh</t>
        </is>
      </c>
      <c r="D349" s="28" t="inlineStr">
        <is>
          <t>0816873401</t>
        </is>
      </c>
      <c r="E349" s="29" t="n">
        <v>46154</v>
      </c>
      <c r="F349" s="24" t="inlineStr">
        <is>
          <t>Đã sinh</t>
        </is>
      </c>
      <c r="G349" s="24" t="inlineStr">
        <is>
          <t>Hà Tĩnh</t>
        </is>
      </c>
      <c r="H349" s="21">
        <f>IF(ISNUMBER($B349),INT($B349)-WEEKDAY($B349,2)+1,"")</f>
        <v/>
      </c>
      <c r="I349" s="24" t="inlineStr">
        <is>
          <t>C-00</t>
        </is>
      </c>
      <c r="J349" s="22">
        <f t="array" ref="J349">IF($D349="","",IF($I349="","(trống REF)",IFERROR(INDEX(MASTER_SOURCE!$B$2:$B$495,MATCH($I349,MASTER_SOURCE!$A$2:$A$495,0)),"(REF không có trong MASTER_SOURCE)")))</f>
        <v/>
      </c>
      <c r="K349" s="22">
        <f t="array" ref="K349">IF($D349="","",IFERROR(INDEX(MASTER_SOURCE!$C$2:$C$495,MATCH($I349,MASTER_SOURCE!$A$2:$A$495,0)),""))</f>
        <v/>
      </c>
      <c r="L349" s="22">
        <f t="array" ref="L349">IF($D349="","",IFERROR(INDEX(MASTER_SOURCE!$D$2:$D$495,MATCH($I349,MASTER_SOURCE!$A$2:$A$495,0)),""))</f>
        <v/>
      </c>
      <c r="M349" s="24" t="inlineStr">
        <is>
          <t>Có</t>
        </is>
      </c>
      <c r="N349" s="24" t="inlineStr">
        <is>
          <t>Có</t>
        </is>
      </c>
      <c r="O349" s="24" t="inlineStr">
        <is>
          <t>Có</t>
        </is>
      </c>
      <c r="P349" s="24" t="inlineStr">
        <is>
          <t>Có</t>
        </is>
      </c>
      <c r="Q349" s="22">
        <f>IF($D349="","",IF(AND(OR(DANH_MUC!$L$5&lt;&gt;"Có",M349="Có"),OR(DANH_MUC!$L$6&lt;&gt;"Có",N349="Có"),OR(DANH_MUC!$L$7&lt;&gt;"Có",O349="Có"),OR(DANH_MUC!$L$8&lt;&gt;"Có",P349="Có")),"Có","Không"))</f>
        <v/>
      </c>
      <c r="R349" s="22">
        <f>IF($D349="","",IF(COUNTIF($D$2:$D349,$D349)&gt;1,"Trùng",""))</f>
        <v/>
      </c>
      <c r="S349" s="22">
        <f>IF($D349="","",IF(AND(LEN($D349)=10,LEFT($D349,1)="0",ISNUMBER(--$D349)),"Có","Không"))</f>
        <v/>
      </c>
      <c r="T349" s="22">
        <f>IF($D349="","",IF(AND($C349&lt;&gt;"",$Q349="Có",$R349="",$S349="Có",AND($L349&lt;&gt;"",OR($L349&lt;&gt;"Chưa xác định",DANH_MUC!$L$9="Có"))),"Có","Không"))</f>
        <v/>
      </c>
      <c r="U349" s="22">
        <f>IF(OR($D349="",$T349="Có"),"",IF($C349="","Thiếu họ tên; ","")&amp;IF($S349&lt;&gt;"Có","SĐT sai định dạng; ","")&amp;IF($R349="Trùng","Trùng SĐT; ","")&amp;IF($Q349&lt;&gt;"Có","Thiếu đồng ý bắt buộc; ","")&amp;IF($L349="","Thiếu/sai Mã REF; ",IF(AND($L349="Chưa xác định",DANH_MUC!$L$9&lt;&gt;"Có"),"Nguồn chưa xác định; ","")))</f>
        <v/>
      </c>
      <c r="V349" s="22">
        <f>IF(OR($D349="",$R349="Trùng"),"",IF(COUNTIF(ORDERS!$C$2:$C$4995,$D349)&gt;0,"Có","Không"))</f>
        <v/>
      </c>
      <c r="W349" s="22">
        <f>IF(OR($D349="",$R349="Trùng"),"",COUNTIFS(ORDERS!$C$2:$C$4995,$D349,ORDERS!$L$2:$L$4995,"Đã chuyển khoản"))</f>
        <v/>
      </c>
      <c r="X349" s="23">
        <f>IF(OR($D349="",$R349="Trùng"),"",SUMIFS(ORDERS!$J$2:$J$4995,ORDERS!$C$2:$C$4995,$D349,ORDERS!$L$2:$L$4995,"Đã chuyển khoản"))</f>
        <v/>
      </c>
      <c r="Y349" s="24" t="n"/>
    </row>
    <row r="350" ht="14.25" customHeight="1" s="40">
      <c r="A350" s="24" t="inlineStr">
        <is>
          <t>7d60c508-23a0-4df7-8181-ea134be1d2b5</t>
        </is>
      </c>
      <c r="B350" s="27" t="n">
        <v>46296.42083333333</v>
      </c>
      <c r="C350" s="24" t="inlineStr">
        <is>
          <t>Trần Thị Thanh Trúc</t>
        </is>
      </c>
      <c r="D350" s="28" t="inlineStr">
        <is>
          <t>0988570483</t>
        </is>
      </c>
      <c r="E350" s="29" t="n">
        <v>46182</v>
      </c>
      <c r="F350" s="24" t="inlineStr">
        <is>
          <t>Đã sinh</t>
        </is>
      </c>
      <c r="G350" s="24" t="inlineStr">
        <is>
          <t>Hồ Chí Minh</t>
        </is>
      </c>
      <c r="H350" s="21">
        <f>IF(ISNUMBER($B350),INT($B350)-WEEKDAY($B350,2)+1,"")</f>
        <v/>
      </c>
      <c r="I350" s="24" t="inlineStr">
        <is>
          <t>Z-MEDUA</t>
        </is>
      </c>
      <c r="J350" s="22">
        <f t="array" ref="J350">IF($D350="","",IF($I350="","(trống REF)",IFERROR(INDEX(MASTER_SOURCE!$B$2:$B$495,MATCH($I350,MASTER_SOURCE!$A$2:$A$495,0)),"(REF không có trong MASTER_SOURCE)")))</f>
        <v/>
      </c>
      <c r="K350" s="22">
        <f t="array" ref="K350">IF($D350="","",IFERROR(INDEX(MASTER_SOURCE!$C$2:$C$495,MATCH($I350,MASTER_SOURCE!$A$2:$A$495,0)),""))</f>
        <v/>
      </c>
      <c r="L350" s="22">
        <f t="array" ref="L350">IF($D350="","",IFERROR(INDEX(MASTER_SOURCE!$D$2:$D$495,MATCH($I350,MASTER_SOURCE!$A$2:$A$495,0)),""))</f>
        <v/>
      </c>
      <c r="M350" s="24" t="inlineStr">
        <is>
          <t>Có</t>
        </is>
      </c>
      <c r="N350" s="24" t="inlineStr">
        <is>
          <t>Có</t>
        </is>
      </c>
      <c r="O350" s="24" t="inlineStr">
        <is>
          <t>Có</t>
        </is>
      </c>
      <c r="P350" s="24" t="inlineStr">
        <is>
          <t>Có</t>
        </is>
      </c>
      <c r="Q350" s="22">
        <f>IF($D350="","",IF(AND(OR(DANH_MUC!$L$5&lt;&gt;"Có",M350="Có"),OR(DANH_MUC!$L$6&lt;&gt;"Có",N350="Có"),OR(DANH_MUC!$L$7&lt;&gt;"Có",O350="Có"),OR(DANH_MUC!$L$8&lt;&gt;"Có",P350="Có")),"Có","Không"))</f>
        <v/>
      </c>
      <c r="R350" s="22">
        <f>IF($D350="","",IF(COUNTIF($D$2:$D350,$D350)&gt;1,"Trùng",""))</f>
        <v/>
      </c>
      <c r="S350" s="22">
        <f>IF($D350="","",IF(AND(LEN($D350)=10,LEFT($D350,1)="0",ISNUMBER(--$D350)),"Có","Không"))</f>
        <v/>
      </c>
      <c r="T350" s="22">
        <f>IF($D350="","",IF(AND($C350&lt;&gt;"",$Q350="Có",$R350="",$S350="Có",AND($L350&lt;&gt;"",OR($L350&lt;&gt;"Chưa xác định",DANH_MUC!$L$9="Có"))),"Có","Không"))</f>
        <v/>
      </c>
      <c r="U350" s="22">
        <f>IF(OR($D350="",$T350="Có"),"",IF($C350="","Thiếu họ tên; ","")&amp;IF($S350&lt;&gt;"Có","SĐT sai định dạng; ","")&amp;IF($R350="Trùng","Trùng SĐT; ","")&amp;IF($Q350&lt;&gt;"Có","Thiếu đồng ý bắt buộc; ","")&amp;IF($L350="","Thiếu/sai Mã REF; ",IF(AND($L350="Chưa xác định",DANH_MUC!$L$9&lt;&gt;"Có"),"Nguồn chưa xác định; ","")))</f>
        <v/>
      </c>
      <c r="V350" s="22">
        <f>IF(OR($D350="",$R350="Trùng"),"",IF(COUNTIF(ORDERS!$C$2:$C$4995,$D350)&gt;0,"Có","Không"))</f>
        <v/>
      </c>
      <c r="W350" s="22">
        <f>IF(OR($D350="",$R350="Trùng"),"",COUNTIFS(ORDERS!$C$2:$C$4995,$D350,ORDERS!$L$2:$L$4995,"Đã chuyển khoản"))</f>
        <v/>
      </c>
      <c r="X350" s="23">
        <f>IF(OR($D350="",$R350="Trùng"),"",SUMIFS(ORDERS!$J$2:$J$4995,ORDERS!$C$2:$C$4995,$D350,ORDERS!$L$2:$L$4995,"Đã chuyển khoản"))</f>
        <v/>
      </c>
      <c r="Y350" s="24" t="n"/>
    </row>
    <row r="351" ht="14.25" customHeight="1" s="40">
      <c r="A351" s="24" t="inlineStr">
        <is>
          <t>1875fdbc-1165-46f9-9456-93dd5b2cffce</t>
        </is>
      </c>
      <c r="B351" s="27" t="n">
        <v>46296.42569444444</v>
      </c>
      <c r="C351" s="24" t="inlineStr">
        <is>
          <t>Trần Thị Lan Anh</t>
        </is>
      </c>
      <c r="D351" s="28" t="inlineStr">
        <is>
          <t>0969246745</t>
        </is>
      </c>
      <c r="E351" s="29" t="n">
        <v>46138</v>
      </c>
      <c r="F351" s="24" t="inlineStr">
        <is>
          <t>Đã sinh</t>
        </is>
      </c>
      <c r="G351" s="24" t="inlineStr">
        <is>
          <t>Gia Lai</t>
        </is>
      </c>
      <c r="H351" s="21">
        <f>IF(ISNUMBER($B351),INT($B351)-WEEKDAY($B351,2)+1,"")</f>
        <v/>
      </c>
      <c r="I351" s="24" t="inlineStr">
        <is>
          <t>C-00</t>
        </is>
      </c>
      <c r="J351" s="22">
        <f t="array" ref="J351">IF($D351="","",IF($I351="","(trống REF)",IFERROR(INDEX(MASTER_SOURCE!$B$2:$B$495,MATCH($I351,MASTER_SOURCE!$A$2:$A$495,0)),"(REF không có trong MASTER_SOURCE)")))</f>
        <v/>
      </c>
      <c r="K351" s="22">
        <f t="array" ref="K351">IF($D351="","",IFERROR(INDEX(MASTER_SOURCE!$C$2:$C$495,MATCH($I351,MASTER_SOURCE!$A$2:$A$495,0)),""))</f>
        <v/>
      </c>
      <c r="L351" s="22">
        <f t="array" ref="L351">IF($D351="","",IFERROR(INDEX(MASTER_SOURCE!$D$2:$D$495,MATCH($I351,MASTER_SOURCE!$A$2:$A$495,0)),""))</f>
        <v/>
      </c>
      <c r="M351" s="24" t="inlineStr">
        <is>
          <t>Có</t>
        </is>
      </c>
      <c r="N351" s="24" t="inlineStr">
        <is>
          <t>Có</t>
        </is>
      </c>
      <c r="O351" s="24" t="inlineStr">
        <is>
          <t>Có</t>
        </is>
      </c>
      <c r="P351" s="24" t="inlineStr">
        <is>
          <t>Có</t>
        </is>
      </c>
      <c r="Q351" s="22">
        <f>IF($D351="","",IF(AND(OR(DANH_MUC!$L$5&lt;&gt;"Có",M351="Có"),OR(DANH_MUC!$L$6&lt;&gt;"Có",N351="Có"),OR(DANH_MUC!$L$7&lt;&gt;"Có",O351="Có"),OR(DANH_MUC!$L$8&lt;&gt;"Có",P351="Có")),"Có","Không"))</f>
        <v/>
      </c>
      <c r="R351" s="22">
        <f>IF($D351="","",IF(COUNTIF($D$2:$D351,$D351)&gt;1,"Trùng",""))</f>
        <v/>
      </c>
      <c r="S351" s="22">
        <f>IF($D351="","",IF(AND(LEN($D351)=10,LEFT($D351,1)="0",ISNUMBER(--$D351)),"Có","Không"))</f>
        <v/>
      </c>
      <c r="T351" s="22">
        <f>IF($D351="","",IF(AND($C351&lt;&gt;"",$Q351="Có",$R351="",$S351="Có",AND($L351&lt;&gt;"",OR($L351&lt;&gt;"Chưa xác định",DANH_MUC!$L$9="Có"))),"Có","Không"))</f>
        <v/>
      </c>
      <c r="U351" s="22">
        <f>IF(OR($D351="",$T351="Có"),"",IF($C351="","Thiếu họ tên; ","")&amp;IF($S351&lt;&gt;"Có","SĐT sai định dạng; ","")&amp;IF($R351="Trùng","Trùng SĐT; ","")&amp;IF($Q351&lt;&gt;"Có","Thiếu đồng ý bắt buộc; ","")&amp;IF($L351="","Thiếu/sai Mã REF; ",IF(AND($L351="Chưa xác định",DANH_MUC!$L$9&lt;&gt;"Có"),"Nguồn chưa xác định; ","")))</f>
        <v/>
      </c>
      <c r="V351" s="22">
        <f>IF(OR($D351="",$R351="Trùng"),"",IF(COUNTIF(ORDERS!$C$2:$C$4995,$D351)&gt;0,"Có","Không"))</f>
        <v/>
      </c>
      <c r="W351" s="22">
        <f>IF(OR($D351="",$R351="Trùng"),"",COUNTIFS(ORDERS!$C$2:$C$4995,$D351,ORDERS!$L$2:$L$4995,"Đã chuyển khoản"))</f>
        <v/>
      </c>
      <c r="X351" s="23">
        <f>IF(OR($D351="",$R351="Trùng"),"",SUMIFS(ORDERS!$J$2:$J$4995,ORDERS!$C$2:$C$4995,$D351,ORDERS!$L$2:$L$4995,"Đã chuyển khoản"))</f>
        <v/>
      </c>
      <c r="Y351" s="24" t="n"/>
    </row>
    <row r="352" ht="14.25" customHeight="1" s="40">
      <c r="A352" s="24" t="inlineStr">
        <is>
          <t>9883ac72-0757-4193-9dfc-d4bba6dc34ab</t>
        </is>
      </c>
      <c r="B352" s="27" t="n">
        <v>46296.45902777778</v>
      </c>
      <c r="C352" s="24" t="inlineStr">
        <is>
          <t>Hồ Thị Lan Hương</t>
        </is>
      </c>
      <c r="D352" s="28" t="inlineStr">
        <is>
          <t>0384136901</t>
        </is>
      </c>
      <c r="E352" s="29" t="n">
        <v>45990</v>
      </c>
      <c r="F352" s="24" t="inlineStr">
        <is>
          <t>Đã sinh</t>
        </is>
      </c>
      <c r="G352" s="24" t="inlineStr">
        <is>
          <t>Nghệ An</t>
        </is>
      </c>
      <c r="H352" s="21">
        <f>IF(ISNUMBER($B352),INT($B352)-WEEKDAY($B352,2)+1,"")</f>
        <v/>
      </c>
      <c r="I352" s="24" t="inlineStr">
        <is>
          <t>C-00</t>
        </is>
      </c>
      <c r="J352" s="22">
        <f t="array" ref="J352">IF($D352="","",IF($I352="","(trống REF)",IFERROR(INDEX(MASTER_SOURCE!$B$2:$B$495,MATCH($I352,MASTER_SOURCE!$A$2:$A$495,0)),"(REF không có trong MASTER_SOURCE)")))</f>
        <v/>
      </c>
      <c r="K352" s="22">
        <f t="array" ref="K352">IF($D352="","",IFERROR(INDEX(MASTER_SOURCE!$C$2:$C$495,MATCH($I352,MASTER_SOURCE!$A$2:$A$495,0)),""))</f>
        <v/>
      </c>
      <c r="L352" s="22">
        <f t="array" ref="L352">IF($D352="","",IFERROR(INDEX(MASTER_SOURCE!$D$2:$D$495,MATCH($I352,MASTER_SOURCE!$A$2:$A$495,0)),""))</f>
        <v/>
      </c>
      <c r="M352" s="24" t="inlineStr">
        <is>
          <t>Có</t>
        </is>
      </c>
      <c r="N352" s="24" t="inlineStr">
        <is>
          <t>Không</t>
        </is>
      </c>
      <c r="O352" s="24" t="inlineStr">
        <is>
          <t>Không</t>
        </is>
      </c>
      <c r="P352" s="24" t="inlineStr">
        <is>
          <t>Có</t>
        </is>
      </c>
      <c r="Q352" s="22">
        <f>IF($D352="","",IF(AND(OR(DANH_MUC!$L$5&lt;&gt;"Có",M352="Có"),OR(DANH_MUC!$L$6&lt;&gt;"Có",N352="Có"),OR(DANH_MUC!$L$7&lt;&gt;"Có",O352="Có"),OR(DANH_MUC!$L$8&lt;&gt;"Có",P352="Có")),"Có","Không"))</f>
        <v/>
      </c>
      <c r="R352" s="22">
        <f>IF($D352="","",IF(COUNTIF($D$2:$D352,$D352)&gt;1,"Trùng",""))</f>
        <v/>
      </c>
      <c r="S352" s="22">
        <f>IF($D352="","",IF(AND(LEN($D352)=10,LEFT($D352,1)="0",ISNUMBER(--$D352)),"Có","Không"))</f>
        <v/>
      </c>
      <c r="T352" s="22">
        <f>IF($D352="","",IF(AND($C352&lt;&gt;"",$Q352="Có",$R352="",$S352="Có",AND($L352&lt;&gt;"",OR($L352&lt;&gt;"Chưa xác định",DANH_MUC!$L$9="Có"))),"Có","Không"))</f>
        <v/>
      </c>
      <c r="U352" s="22">
        <f>IF(OR($D352="",$T352="Có"),"",IF($C352="","Thiếu họ tên; ","")&amp;IF($S352&lt;&gt;"Có","SĐT sai định dạng; ","")&amp;IF($R352="Trùng","Trùng SĐT; ","")&amp;IF($Q352&lt;&gt;"Có","Thiếu đồng ý bắt buộc; ","")&amp;IF($L352="","Thiếu/sai Mã REF; ",IF(AND($L352="Chưa xác định",DANH_MUC!$L$9&lt;&gt;"Có"),"Nguồn chưa xác định; ","")))</f>
        <v/>
      </c>
      <c r="V352" s="22">
        <f>IF(OR($D352="",$R352="Trùng"),"",IF(COUNTIF(ORDERS!$C$2:$C$4995,$D352)&gt;0,"Có","Không"))</f>
        <v/>
      </c>
      <c r="W352" s="22">
        <f>IF(OR($D352="",$R352="Trùng"),"",COUNTIFS(ORDERS!$C$2:$C$4995,$D352,ORDERS!$L$2:$L$4995,"Đã chuyển khoản"))</f>
        <v/>
      </c>
      <c r="X352" s="23">
        <f>IF(OR($D352="",$R352="Trùng"),"",SUMIFS(ORDERS!$J$2:$J$4995,ORDERS!$C$2:$C$4995,$D352,ORDERS!$L$2:$L$4995,"Đã chuyển khoản"))</f>
        <v/>
      </c>
      <c r="Y352" s="24" t="n"/>
    </row>
    <row r="353" ht="14.25" customHeight="1" s="40">
      <c r="A353" s="24" t="inlineStr">
        <is>
          <t>a3c04387-53f8-4538-8506-12c85a280aca</t>
        </is>
      </c>
      <c r="B353" s="27" t="n">
        <v>46296.4625</v>
      </c>
      <c r="C353" s="24" t="inlineStr">
        <is>
          <t>Phan Mỹ Duyên</t>
        </is>
      </c>
      <c r="D353" s="28" t="inlineStr">
        <is>
          <t>0335604042</t>
        </is>
      </c>
      <c r="E353" s="29" t="n">
        <v>46133</v>
      </c>
      <c r="F353" s="24" t="inlineStr">
        <is>
          <t>Đã sinh</t>
        </is>
      </c>
      <c r="G353" s="24" t="inlineStr">
        <is>
          <t>Hồ Chí Minh</t>
        </is>
      </c>
      <c r="H353" s="21">
        <f>IF(ISNUMBER($B353),INT($B353)-WEEKDAY($B353,2)+1,"")</f>
        <v/>
      </c>
      <c r="I353" s="24" t="inlineStr">
        <is>
          <t>C-00</t>
        </is>
      </c>
      <c r="J353" s="22">
        <f t="array" ref="J353">IF($D353="","",IF($I353="","(trống REF)",IFERROR(INDEX(MASTER_SOURCE!$B$2:$B$495,MATCH($I353,MASTER_SOURCE!$A$2:$A$495,0)),"(REF không có trong MASTER_SOURCE)")))</f>
        <v/>
      </c>
      <c r="K353" s="22">
        <f t="array" ref="K353">IF($D353="","",IFERROR(INDEX(MASTER_SOURCE!$C$2:$C$495,MATCH($I353,MASTER_SOURCE!$A$2:$A$495,0)),""))</f>
        <v/>
      </c>
      <c r="L353" s="22">
        <f t="array" ref="L353">IF($D353="","",IFERROR(INDEX(MASTER_SOURCE!$D$2:$D$495,MATCH($I353,MASTER_SOURCE!$A$2:$A$495,0)),""))</f>
        <v/>
      </c>
      <c r="M353" s="24" t="inlineStr">
        <is>
          <t>Có</t>
        </is>
      </c>
      <c r="N353" s="24" t="inlineStr">
        <is>
          <t>Có</t>
        </is>
      </c>
      <c r="O353" s="24" t="inlineStr">
        <is>
          <t>Có</t>
        </is>
      </c>
      <c r="P353" s="24" t="inlineStr">
        <is>
          <t>Có</t>
        </is>
      </c>
      <c r="Q353" s="22">
        <f>IF($D353="","",IF(AND(OR(DANH_MUC!$L$5&lt;&gt;"Có",M353="Có"),OR(DANH_MUC!$L$6&lt;&gt;"Có",N353="Có"),OR(DANH_MUC!$L$7&lt;&gt;"Có",O353="Có"),OR(DANH_MUC!$L$8&lt;&gt;"Có",P353="Có")),"Có","Không"))</f>
        <v/>
      </c>
      <c r="R353" s="22">
        <f>IF($D353="","",IF(COUNTIF($D$2:$D353,$D353)&gt;1,"Trùng",""))</f>
        <v/>
      </c>
      <c r="S353" s="22">
        <f>IF($D353="","",IF(AND(LEN($D353)=10,LEFT($D353,1)="0",ISNUMBER(--$D353)),"Có","Không"))</f>
        <v/>
      </c>
      <c r="T353" s="22">
        <f>IF($D353="","",IF(AND($C353&lt;&gt;"",$Q353="Có",$R353="",$S353="Có",AND($L353&lt;&gt;"",OR($L353&lt;&gt;"Chưa xác định",DANH_MUC!$L$9="Có"))),"Có","Không"))</f>
        <v/>
      </c>
      <c r="U353" s="22">
        <f>IF(OR($D353="",$T353="Có"),"",IF($C353="","Thiếu họ tên; ","")&amp;IF($S353&lt;&gt;"Có","SĐT sai định dạng; ","")&amp;IF($R353="Trùng","Trùng SĐT; ","")&amp;IF($Q353&lt;&gt;"Có","Thiếu đồng ý bắt buộc; ","")&amp;IF($L353="","Thiếu/sai Mã REF; ",IF(AND($L353="Chưa xác định",DANH_MUC!$L$9&lt;&gt;"Có"),"Nguồn chưa xác định; ","")))</f>
        <v/>
      </c>
      <c r="V353" s="22">
        <f>IF(OR($D353="",$R353="Trùng"),"",IF(COUNTIF(ORDERS!$C$2:$C$4995,$D353)&gt;0,"Có","Không"))</f>
        <v/>
      </c>
      <c r="W353" s="22">
        <f>IF(OR($D353="",$R353="Trùng"),"",COUNTIFS(ORDERS!$C$2:$C$4995,$D353,ORDERS!$L$2:$L$4995,"Đã chuyển khoản"))</f>
        <v/>
      </c>
      <c r="X353" s="23">
        <f>IF(OR($D353="",$R353="Trùng"),"",SUMIFS(ORDERS!$J$2:$J$4995,ORDERS!$C$2:$C$4995,$D353,ORDERS!$L$2:$L$4995,"Đã chuyển khoản"))</f>
        <v/>
      </c>
      <c r="Y353" s="24" t="n"/>
    </row>
    <row r="354" ht="14.25" customHeight="1" s="40">
      <c r="A354" s="24" t="inlineStr">
        <is>
          <t>bad705e7-482d-44a2-b173-8373964534ea</t>
        </is>
      </c>
      <c r="B354" s="27" t="n">
        <v>46296.47361111111</v>
      </c>
      <c r="C354" s="24" t="inlineStr">
        <is>
          <t>Phạm Thanh Huyền</t>
        </is>
      </c>
      <c r="D354" s="28" t="inlineStr">
        <is>
          <t>0966498640</t>
        </is>
      </c>
      <c r="E354" s="29" t="n">
        <v>45918</v>
      </c>
      <c r="F354" s="24" t="inlineStr">
        <is>
          <t>Đã sinh</t>
        </is>
      </c>
      <c r="G354" s="24" t="inlineStr">
        <is>
          <t>Ninh Bình</t>
        </is>
      </c>
      <c r="H354" s="21">
        <f>IF(ISNUMBER($B354),INT($B354)-WEEKDAY($B354,2)+1,"")</f>
        <v/>
      </c>
      <c r="I354" s="24" t="inlineStr">
        <is>
          <t>C-00</t>
        </is>
      </c>
      <c r="J354" s="22">
        <f t="array" ref="J354">IF($D354="","",IF($I354="","(trống REF)",IFERROR(INDEX(MASTER_SOURCE!$B$2:$B$495,MATCH($I354,MASTER_SOURCE!$A$2:$A$495,0)),"(REF không có trong MASTER_SOURCE)")))</f>
        <v/>
      </c>
      <c r="K354" s="22">
        <f t="array" ref="K354">IF($D354="","",IFERROR(INDEX(MASTER_SOURCE!$C$2:$C$495,MATCH($I354,MASTER_SOURCE!$A$2:$A$495,0)),""))</f>
        <v/>
      </c>
      <c r="L354" s="22">
        <f t="array" ref="L354">IF($D354="","",IFERROR(INDEX(MASTER_SOURCE!$D$2:$D$495,MATCH($I354,MASTER_SOURCE!$A$2:$A$495,0)),""))</f>
        <v/>
      </c>
      <c r="M354" s="24" t="inlineStr">
        <is>
          <t>Có</t>
        </is>
      </c>
      <c r="N354" s="24" t="inlineStr">
        <is>
          <t>Có</t>
        </is>
      </c>
      <c r="O354" s="24" t="inlineStr">
        <is>
          <t>Có</t>
        </is>
      </c>
      <c r="P354" s="24" t="inlineStr">
        <is>
          <t>Có</t>
        </is>
      </c>
      <c r="Q354" s="22">
        <f>IF($D354="","",IF(AND(OR(DANH_MUC!$L$5&lt;&gt;"Có",M354="Có"),OR(DANH_MUC!$L$6&lt;&gt;"Có",N354="Có"),OR(DANH_MUC!$L$7&lt;&gt;"Có",O354="Có"),OR(DANH_MUC!$L$8&lt;&gt;"Có",P354="Có")),"Có","Không"))</f>
        <v/>
      </c>
      <c r="R354" s="22">
        <f>IF($D354="","",IF(COUNTIF($D$2:$D354,$D354)&gt;1,"Trùng",""))</f>
        <v/>
      </c>
      <c r="S354" s="22">
        <f>IF($D354="","",IF(AND(LEN($D354)=10,LEFT($D354,1)="0",ISNUMBER(--$D354)),"Có","Không"))</f>
        <v/>
      </c>
      <c r="T354" s="22">
        <f>IF($D354="","",IF(AND($C354&lt;&gt;"",$Q354="Có",$R354="",$S354="Có",AND($L354&lt;&gt;"",OR($L354&lt;&gt;"Chưa xác định",DANH_MUC!$L$9="Có"))),"Có","Không"))</f>
        <v/>
      </c>
      <c r="U354" s="22">
        <f>IF(OR($D354="",$T354="Có"),"",IF($C354="","Thiếu họ tên; ","")&amp;IF($S354&lt;&gt;"Có","SĐT sai định dạng; ","")&amp;IF($R354="Trùng","Trùng SĐT; ","")&amp;IF($Q354&lt;&gt;"Có","Thiếu đồng ý bắt buộc; ","")&amp;IF($L354="","Thiếu/sai Mã REF; ",IF(AND($L354="Chưa xác định",DANH_MUC!$L$9&lt;&gt;"Có"),"Nguồn chưa xác định; ","")))</f>
        <v/>
      </c>
      <c r="V354" s="22">
        <f>IF(OR($D354="",$R354="Trùng"),"",IF(COUNTIF(ORDERS!$C$2:$C$4995,$D354)&gt;0,"Có","Không"))</f>
        <v/>
      </c>
      <c r="W354" s="22">
        <f>IF(OR($D354="",$R354="Trùng"),"",COUNTIFS(ORDERS!$C$2:$C$4995,$D354,ORDERS!$L$2:$L$4995,"Đã chuyển khoản"))</f>
        <v/>
      </c>
      <c r="X354" s="23">
        <f>IF(OR($D354="",$R354="Trùng"),"",SUMIFS(ORDERS!$J$2:$J$4995,ORDERS!$C$2:$C$4995,$D354,ORDERS!$L$2:$L$4995,"Đã chuyển khoản"))</f>
        <v/>
      </c>
      <c r="Y354" s="24" t="n"/>
    </row>
    <row r="355" ht="14.25" customHeight="1" s="40">
      <c r="A355" s="24" t="inlineStr">
        <is>
          <t>77f2da29-fd72-4cb7-905a-03165b13392f</t>
        </is>
      </c>
      <c r="B355" s="27" t="n">
        <v>46296.47430555556</v>
      </c>
      <c r="C355" s="24" t="inlineStr">
        <is>
          <t>Phan Ngọc Ngà</t>
        </is>
      </c>
      <c r="D355" s="28" t="inlineStr">
        <is>
          <t>0383812800</t>
        </is>
      </c>
      <c r="E355" s="29" t="n">
        <v>45821</v>
      </c>
      <c r="F355" s="24" t="inlineStr">
        <is>
          <t>Đã sinh</t>
        </is>
      </c>
      <c r="G355" s="24" t="inlineStr">
        <is>
          <t>Phú Thọ</t>
        </is>
      </c>
      <c r="H355" s="21">
        <f>IF(ISNUMBER($B355),INT($B355)-WEEKDAY($B355,2)+1,"")</f>
        <v/>
      </c>
      <c r="I355" s="24" t="inlineStr">
        <is>
          <t>C-00</t>
        </is>
      </c>
      <c r="J355" s="22">
        <f t="array" ref="J355">IF($D355="","",IF($I355="","(trống REF)",IFERROR(INDEX(MASTER_SOURCE!$B$2:$B$495,MATCH($I355,MASTER_SOURCE!$A$2:$A$495,0)),"(REF không có trong MASTER_SOURCE)")))</f>
        <v/>
      </c>
      <c r="K355" s="22">
        <f t="array" ref="K355">IF($D355="","",IFERROR(INDEX(MASTER_SOURCE!$C$2:$C$495,MATCH($I355,MASTER_SOURCE!$A$2:$A$495,0)),""))</f>
        <v/>
      </c>
      <c r="L355" s="22">
        <f t="array" ref="L355">IF($D355="","",IFERROR(INDEX(MASTER_SOURCE!$D$2:$D$495,MATCH($I355,MASTER_SOURCE!$A$2:$A$495,0)),""))</f>
        <v/>
      </c>
      <c r="M355" s="24" t="inlineStr">
        <is>
          <t>Có</t>
        </is>
      </c>
      <c r="N355" s="24" t="inlineStr">
        <is>
          <t>Có</t>
        </is>
      </c>
      <c r="O355" s="24" t="inlineStr">
        <is>
          <t>Có</t>
        </is>
      </c>
      <c r="P355" s="24" t="inlineStr">
        <is>
          <t>Có</t>
        </is>
      </c>
      <c r="Q355" s="22">
        <f>IF($D355="","",IF(AND(OR(DANH_MUC!$L$5&lt;&gt;"Có",M355="Có"),OR(DANH_MUC!$L$6&lt;&gt;"Có",N355="Có"),OR(DANH_MUC!$L$7&lt;&gt;"Có",O355="Có"),OR(DANH_MUC!$L$8&lt;&gt;"Có",P355="Có")),"Có","Không"))</f>
        <v/>
      </c>
      <c r="R355" s="22">
        <f>IF($D355="","",IF(COUNTIF($D$2:$D355,$D355)&gt;1,"Trùng",""))</f>
        <v/>
      </c>
      <c r="S355" s="22">
        <f>IF($D355="","",IF(AND(LEN($D355)=10,LEFT($D355,1)="0",ISNUMBER(--$D355)),"Có","Không"))</f>
        <v/>
      </c>
      <c r="T355" s="22">
        <f>IF($D355="","",IF(AND($C355&lt;&gt;"",$Q355="Có",$R355="",$S355="Có",AND($L355&lt;&gt;"",OR($L355&lt;&gt;"Chưa xác định",DANH_MUC!$L$9="Có"))),"Có","Không"))</f>
        <v/>
      </c>
      <c r="U355" s="22">
        <f>IF(OR($D355="",$T355="Có"),"",IF($C355="","Thiếu họ tên; ","")&amp;IF($S355&lt;&gt;"Có","SĐT sai định dạng; ","")&amp;IF($R355="Trùng","Trùng SĐT; ","")&amp;IF($Q355&lt;&gt;"Có","Thiếu đồng ý bắt buộc; ","")&amp;IF($L355="","Thiếu/sai Mã REF; ",IF(AND($L355="Chưa xác định",DANH_MUC!$L$9&lt;&gt;"Có"),"Nguồn chưa xác định; ","")))</f>
        <v/>
      </c>
      <c r="V355" s="22">
        <f>IF(OR($D355="",$R355="Trùng"),"",IF(COUNTIF(ORDERS!$C$2:$C$4995,$D355)&gt;0,"Có","Không"))</f>
        <v/>
      </c>
      <c r="W355" s="22">
        <f>IF(OR($D355="",$R355="Trùng"),"",COUNTIFS(ORDERS!$C$2:$C$4995,$D355,ORDERS!$L$2:$L$4995,"Đã chuyển khoản"))</f>
        <v/>
      </c>
      <c r="X355" s="23">
        <f>IF(OR($D355="",$R355="Trùng"),"",SUMIFS(ORDERS!$J$2:$J$4995,ORDERS!$C$2:$C$4995,$D355,ORDERS!$L$2:$L$4995,"Đã chuyển khoản"))</f>
        <v/>
      </c>
      <c r="Y355" s="24" t="n"/>
    </row>
    <row r="356" ht="14.25" customHeight="1" s="40">
      <c r="A356" s="24" t="inlineStr">
        <is>
          <t>bfe68ce2-52a2-48f2-8a7a-af33e2d63fab</t>
        </is>
      </c>
      <c r="B356" s="27" t="n">
        <v>46296.47708333333</v>
      </c>
      <c r="C356" s="24" t="inlineStr">
        <is>
          <t>Giang Hồng Nhung</t>
        </is>
      </c>
      <c r="D356" s="28" t="inlineStr">
        <is>
          <t>0328608400</t>
        </is>
      </c>
      <c r="E356" s="29" t="n">
        <v>46287</v>
      </c>
      <c r="F356" s="24" t="inlineStr">
        <is>
          <t>Đã sinh</t>
        </is>
      </c>
      <c r="G356" s="24" t="inlineStr">
        <is>
          <t>Hưng Yên</t>
        </is>
      </c>
      <c r="H356" s="21">
        <f>IF(ISNUMBER($B356),INT($B356)-WEEKDAY($B356,2)+1,"")</f>
        <v/>
      </c>
      <c r="I356" s="24" t="inlineStr">
        <is>
          <t>Z-GREEN</t>
        </is>
      </c>
      <c r="J356" s="22">
        <f t="array" ref="J356">IF($D356="","",IF($I356="","(trống REF)",IFERROR(INDEX(MASTER_SOURCE!$B$2:$B$495,MATCH($I356,MASTER_SOURCE!$A$2:$A$495,0)),"(REF không có trong MASTER_SOURCE)")))</f>
        <v/>
      </c>
      <c r="K356" s="22">
        <f t="array" ref="K356">IF($D356="","",IFERROR(INDEX(MASTER_SOURCE!$C$2:$C$495,MATCH($I356,MASTER_SOURCE!$A$2:$A$495,0)),""))</f>
        <v/>
      </c>
      <c r="L356" s="22">
        <f t="array" ref="L356">IF($D356="","",IFERROR(INDEX(MASTER_SOURCE!$D$2:$D$495,MATCH($I356,MASTER_SOURCE!$A$2:$A$495,0)),""))</f>
        <v/>
      </c>
      <c r="M356" s="24" t="inlineStr">
        <is>
          <t>Có</t>
        </is>
      </c>
      <c r="N356" s="24" t="inlineStr">
        <is>
          <t>Có</t>
        </is>
      </c>
      <c r="O356" s="24" t="inlineStr">
        <is>
          <t>Có</t>
        </is>
      </c>
      <c r="P356" s="24" t="inlineStr">
        <is>
          <t>Có</t>
        </is>
      </c>
      <c r="Q356" s="22">
        <f>IF($D356="","",IF(AND(OR(DANH_MUC!$L$5&lt;&gt;"Có",M356="Có"),OR(DANH_MUC!$L$6&lt;&gt;"Có",N356="Có"),OR(DANH_MUC!$L$7&lt;&gt;"Có",O356="Có"),OR(DANH_MUC!$L$8&lt;&gt;"Có",P356="Có")),"Có","Không"))</f>
        <v/>
      </c>
      <c r="R356" s="22">
        <f>IF($D356="","",IF(COUNTIF($D$2:$D356,$D356)&gt;1,"Trùng",""))</f>
        <v/>
      </c>
      <c r="S356" s="22">
        <f>IF($D356="","",IF(AND(LEN($D356)=10,LEFT($D356,1)="0",ISNUMBER(--$D356)),"Có","Không"))</f>
        <v/>
      </c>
      <c r="T356" s="22">
        <f>IF($D356="","",IF(AND($C356&lt;&gt;"",$Q356="Có",$R356="",$S356="Có",AND($L356&lt;&gt;"",OR($L356&lt;&gt;"Chưa xác định",DANH_MUC!$L$9="Có"))),"Có","Không"))</f>
        <v/>
      </c>
      <c r="U356" s="22">
        <f>IF(OR($D356="",$T356="Có"),"",IF($C356="","Thiếu họ tên; ","")&amp;IF($S356&lt;&gt;"Có","SĐT sai định dạng; ","")&amp;IF($R356="Trùng","Trùng SĐT; ","")&amp;IF($Q356&lt;&gt;"Có","Thiếu đồng ý bắt buộc; ","")&amp;IF($L356="","Thiếu/sai Mã REF; ",IF(AND($L356="Chưa xác định",DANH_MUC!$L$9&lt;&gt;"Có"),"Nguồn chưa xác định; ","")))</f>
        <v/>
      </c>
      <c r="V356" s="22">
        <f>IF(OR($D356="",$R356="Trùng"),"",IF(COUNTIF(ORDERS!$C$2:$C$4995,$D356)&gt;0,"Có","Không"))</f>
        <v/>
      </c>
      <c r="W356" s="22">
        <f>IF(OR($D356="",$R356="Trùng"),"",COUNTIFS(ORDERS!$C$2:$C$4995,$D356,ORDERS!$L$2:$L$4995,"Đã chuyển khoản"))</f>
        <v/>
      </c>
      <c r="X356" s="23">
        <f>IF(OR($D356="",$R356="Trùng"),"",SUMIFS(ORDERS!$J$2:$J$4995,ORDERS!$C$2:$C$4995,$D356,ORDERS!$L$2:$L$4995,"Đã chuyển khoản"))</f>
        <v/>
      </c>
      <c r="Y356" s="24" t="n"/>
    </row>
    <row r="357" ht="14.25" customHeight="1" s="40">
      <c r="A357" s="24" t="inlineStr">
        <is>
          <t>df3f8d2c-bc3d-482f-8076-73bd224528a2</t>
        </is>
      </c>
      <c r="B357" s="27" t="n">
        <v>46296.48055555556</v>
      </c>
      <c r="C357" s="24" t="inlineStr">
        <is>
          <t>Nguyễn Thị Phượng</t>
        </is>
      </c>
      <c r="D357" s="28" t="inlineStr">
        <is>
          <t>0399995615</t>
        </is>
      </c>
      <c r="E357" s="29" t="n">
        <v>46181</v>
      </c>
      <c r="F357" s="24" t="inlineStr">
        <is>
          <t>Đã sinh</t>
        </is>
      </c>
      <c r="G357" s="24" t="inlineStr">
        <is>
          <t>Hải Phòng</t>
        </is>
      </c>
      <c r="H357" s="21">
        <f>IF(ISNUMBER($B357),INT($B357)-WEEKDAY($B357,2)+1,"")</f>
        <v/>
      </c>
      <c r="I357" s="24" t="inlineStr">
        <is>
          <t>Z-GREEN</t>
        </is>
      </c>
      <c r="J357" s="22">
        <f t="array" ref="J357">IF($D357="","",IF($I357="","(trống REF)",IFERROR(INDEX(MASTER_SOURCE!$B$2:$B$495,MATCH($I357,MASTER_SOURCE!$A$2:$A$495,0)),"(REF không có trong MASTER_SOURCE)")))</f>
        <v/>
      </c>
      <c r="K357" s="22">
        <f t="array" ref="K357">IF($D357="","",IFERROR(INDEX(MASTER_SOURCE!$C$2:$C$495,MATCH($I357,MASTER_SOURCE!$A$2:$A$495,0)),""))</f>
        <v/>
      </c>
      <c r="L357" s="22">
        <f t="array" ref="L357">IF($D357="","",IFERROR(INDEX(MASTER_SOURCE!$D$2:$D$495,MATCH($I357,MASTER_SOURCE!$A$2:$A$495,0)),""))</f>
        <v/>
      </c>
      <c r="M357" s="24" t="inlineStr">
        <is>
          <t>Có</t>
        </is>
      </c>
      <c r="N357" s="24" t="inlineStr">
        <is>
          <t>Có</t>
        </is>
      </c>
      <c r="O357" s="24" t="inlineStr">
        <is>
          <t>Có</t>
        </is>
      </c>
      <c r="P357" s="24" t="inlineStr">
        <is>
          <t>Có</t>
        </is>
      </c>
      <c r="Q357" s="22">
        <f>IF($D357="","",IF(AND(OR(DANH_MUC!$L$5&lt;&gt;"Có",M357="Có"),OR(DANH_MUC!$L$6&lt;&gt;"Có",N357="Có"),OR(DANH_MUC!$L$7&lt;&gt;"Có",O357="Có"),OR(DANH_MUC!$L$8&lt;&gt;"Có",P357="Có")),"Có","Không"))</f>
        <v/>
      </c>
      <c r="R357" s="22">
        <f>IF($D357="","",IF(COUNTIF($D$2:$D357,$D357)&gt;1,"Trùng",""))</f>
        <v/>
      </c>
      <c r="S357" s="22">
        <f>IF($D357="","",IF(AND(LEN($D357)=10,LEFT($D357,1)="0",ISNUMBER(--$D357)),"Có","Không"))</f>
        <v/>
      </c>
      <c r="T357" s="22">
        <f>IF($D357="","",IF(AND($C357&lt;&gt;"",$Q357="Có",$R357="",$S357="Có",AND($L357&lt;&gt;"",OR($L357&lt;&gt;"Chưa xác định",DANH_MUC!$L$9="Có"))),"Có","Không"))</f>
        <v/>
      </c>
      <c r="U357" s="22">
        <f>IF(OR($D357="",$T357="Có"),"",IF($C357="","Thiếu họ tên; ","")&amp;IF($S357&lt;&gt;"Có","SĐT sai định dạng; ","")&amp;IF($R357="Trùng","Trùng SĐT; ","")&amp;IF($Q357&lt;&gt;"Có","Thiếu đồng ý bắt buộc; ","")&amp;IF($L357="","Thiếu/sai Mã REF; ",IF(AND($L357="Chưa xác định",DANH_MUC!$L$9&lt;&gt;"Có"),"Nguồn chưa xác định; ","")))</f>
        <v/>
      </c>
      <c r="V357" s="22">
        <f>IF(OR($D357="",$R357="Trùng"),"",IF(COUNTIF(ORDERS!$C$2:$C$4995,$D357)&gt;0,"Có","Không"))</f>
        <v/>
      </c>
      <c r="W357" s="22">
        <f>IF(OR($D357="",$R357="Trùng"),"",COUNTIFS(ORDERS!$C$2:$C$4995,$D357,ORDERS!$L$2:$L$4995,"Đã chuyển khoản"))</f>
        <v/>
      </c>
      <c r="X357" s="23">
        <f>IF(OR($D357="",$R357="Trùng"),"",SUMIFS(ORDERS!$J$2:$J$4995,ORDERS!$C$2:$C$4995,$D357,ORDERS!$L$2:$L$4995,"Đã chuyển khoản"))</f>
        <v/>
      </c>
      <c r="Y357" s="24" t="n"/>
    </row>
    <row r="358" ht="14.25" customHeight="1" s="40">
      <c r="A358" s="24" t="inlineStr">
        <is>
          <t>c34ea036-632a-4c7b-b247-64ff92ae5908</t>
        </is>
      </c>
      <c r="B358" s="27" t="n">
        <v>46296.48125</v>
      </c>
      <c r="C358" s="24" t="inlineStr">
        <is>
          <t>Lê Phan Thu Hiền</t>
        </is>
      </c>
      <c r="D358" s="28" t="inlineStr">
        <is>
          <t>0329766331</t>
        </is>
      </c>
      <c r="E358" s="29" t="n">
        <v>46361</v>
      </c>
      <c r="F358" s="24" t="inlineStr">
        <is>
          <t>Đang mang thai</t>
        </is>
      </c>
      <c r="G358" s="24" t="inlineStr">
        <is>
          <t>Hồ Chí Minh</t>
        </is>
      </c>
      <c r="H358" s="21">
        <f>IF(ISNUMBER($B358),INT($B358)-WEEKDAY($B358,2)+1,"")</f>
        <v/>
      </c>
      <c r="I358" s="24" t="inlineStr">
        <is>
          <t>Z-MEDUA</t>
        </is>
      </c>
      <c r="J358" s="22">
        <f t="array" ref="J358">IF($D358="","",IF($I358="","(trống REF)",IFERROR(INDEX(MASTER_SOURCE!$B$2:$B$495,MATCH($I358,MASTER_SOURCE!$A$2:$A$495,0)),"(REF không có trong MASTER_SOURCE)")))</f>
        <v/>
      </c>
      <c r="K358" s="22">
        <f t="array" ref="K358">IF($D358="","",IFERROR(INDEX(MASTER_SOURCE!$C$2:$C$495,MATCH($I358,MASTER_SOURCE!$A$2:$A$495,0)),""))</f>
        <v/>
      </c>
      <c r="L358" s="22">
        <f t="array" ref="L358">IF($D358="","",IFERROR(INDEX(MASTER_SOURCE!$D$2:$D$495,MATCH($I358,MASTER_SOURCE!$A$2:$A$495,0)),""))</f>
        <v/>
      </c>
      <c r="M358" s="24" t="inlineStr">
        <is>
          <t>Có</t>
        </is>
      </c>
      <c r="N358" s="24" t="inlineStr">
        <is>
          <t>Có</t>
        </is>
      </c>
      <c r="O358" s="24" t="inlineStr">
        <is>
          <t>Có</t>
        </is>
      </c>
      <c r="P358" s="24" t="inlineStr">
        <is>
          <t>Có</t>
        </is>
      </c>
      <c r="Q358" s="22">
        <f>IF($D358="","",IF(AND(OR(DANH_MUC!$L$5&lt;&gt;"Có",M358="Có"),OR(DANH_MUC!$L$6&lt;&gt;"Có",N358="Có"),OR(DANH_MUC!$L$7&lt;&gt;"Có",O358="Có"),OR(DANH_MUC!$L$8&lt;&gt;"Có",P358="Có")),"Có","Không"))</f>
        <v/>
      </c>
      <c r="R358" s="22">
        <f>IF($D358="","",IF(COUNTIF($D$2:$D358,$D358)&gt;1,"Trùng",""))</f>
        <v/>
      </c>
      <c r="S358" s="22">
        <f>IF($D358="","",IF(AND(LEN($D358)=10,LEFT($D358,1)="0",ISNUMBER(--$D358)),"Có","Không"))</f>
        <v/>
      </c>
      <c r="T358" s="22">
        <f>IF($D358="","",IF(AND($C358&lt;&gt;"",$Q358="Có",$R358="",$S358="Có",AND($L358&lt;&gt;"",OR($L358&lt;&gt;"Chưa xác định",DANH_MUC!$L$9="Có"))),"Có","Không"))</f>
        <v/>
      </c>
      <c r="U358" s="22">
        <f>IF(OR($D358="",$T358="Có"),"",IF($C358="","Thiếu họ tên; ","")&amp;IF($S358&lt;&gt;"Có","SĐT sai định dạng; ","")&amp;IF($R358="Trùng","Trùng SĐT; ","")&amp;IF($Q358&lt;&gt;"Có","Thiếu đồng ý bắt buộc; ","")&amp;IF($L358="","Thiếu/sai Mã REF; ",IF(AND($L358="Chưa xác định",DANH_MUC!$L$9&lt;&gt;"Có"),"Nguồn chưa xác định; ","")))</f>
        <v/>
      </c>
      <c r="V358" s="22">
        <f>IF(OR($D358="",$R358="Trùng"),"",IF(COUNTIF(ORDERS!$C$2:$C$4995,$D358)&gt;0,"Có","Không"))</f>
        <v/>
      </c>
      <c r="W358" s="22">
        <f>IF(OR($D358="",$R358="Trùng"),"",COUNTIFS(ORDERS!$C$2:$C$4995,$D358,ORDERS!$L$2:$L$4995,"Đã chuyển khoản"))</f>
        <v/>
      </c>
      <c r="X358" s="23">
        <f>IF(OR($D358="",$R358="Trùng"),"",SUMIFS(ORDERS!$J$2:$J$4995,ORDERS!$C$2:$C$4995,$D358,ORDERS!$L$2:$L$4995,"Đã chuyển khoản"))</f>
        <v/>
      </c>
      <c r="Y358" s="24" t="n"/>
    </row>
    <row r="359" ht="14.25" customHeight="1" s="40">
      <c r="A359" s="24" t="inlineStr">
        <is>
          <t>de5fb715-f19d-484b-a844-fb2138dee24a</t>
        </is>
      </c>
      <c r="B359" s="27" t="n">
        <v>46296.49444444444</v>
      </c>
      <c r="C359" s="24" t="inlineStr">
        <is>
          <t>Nguyễn thị phương</t>
        </is>
      </c>
      <c r="D359" s="28" t="inlineStr">
        <is>
          <t>0899568250</t>
        </is>
      </c>
      <c r="E359" s="29" t="n">
        <v>46538</v>
      </c>
      <c r="F359" s="24" t="inlineStr">
        <is>
          <t>Đang mang thai</t>
        </is>
      </c>
      <c r="G359" s="24" t="inlineStr">
        <is>
          <t>Hải Phòng</t>
        </is>
      </c>
      <c r="H359" s="21">
        <f>IF(ISNUMBER($B359),INT($B359)-WEEKDAY($B359,2)+1,"")</f>
        <v/>
      </c>
      <c r="I359" s="24" t="inlineStr">
        <is>
          <t>Z-GREEN</t>
        </is>
      </c>
      <c r="J359" s="22">
        <f t="array" ref="J359">IF($D359="","",IF($I359="","(trống REF)",IFERROR(INDEX(MASTER_SOURCE!$B$2:$B$495,MATCH($I359,MASTER_SOURCE!$A$2:$A$495,0)),"(REF không có trong MASTER_SOURCE)")))</f>
        <v/>
      </c>
      <c r="K359" s="22">
        <f t="array" ref="K359">IF($D359="","",IFERROR(INDEX(MASTER_SOURCE!$C$2:$C$495,MATCH($I359,MASTER_SOURCE!$A$2:$A$495,0)),""))</f>
        <v/>
      </c>
      <c r="L359" s="22">
        <f t="array" ref="L359">IF($D359="","",IFERROR(INDEX(MASTER_SOURCE!$D$2:$D$495,MATCH($I359,MASTER_SOURCE!$A$2:$A$495,0)),""))</f>
        <v/>
      </c>
      <c r="M359" s="24" t="inlineStr">
        <is>
          <t>Có</t>
        </is>
      </c>
      <c r="N359" s="24" t="inlineStr">
        <is>
          <t>Có</t>
        </is>
      </c>
      <c r="O359" s="24" t="inlineStr">
        <is>
          <t>Có</t>
        </is>
      </c>
      <c r="P359" s="24" t="inlineStr">
        <is>
          <t>Có</t>
        </is>
      </c>
      <c r="Q359" s="22">
        <f>IF($D359="","",IF(AND(OR(DANH_MUC!$L$5&lt;&gt;"Có",M359="Có"),OR(DANH_MUC!$L$6&lt;&gt;"Có",N359="Có"),OR(DANH_MUC!$L$7&lt;&gt;"Có",O359="Có"),OR(DANH_MUC!$L$8&lt;&gt;"Có",P359="Có")),"Có","Không"))</f>
        <v/>
      </c>
      <c r="R359" s="22">
        <f>IF($D359="","",IF(COUNTIF($D$2:$D359,$D359)&gt;1,"Trùng",""))</f>
        <v/>
      </c>
      <c r="S359" s="22">
        <f>IF($D359="","",IF(AND(LEN($D359)=10,LEFT($D359,1)="0",ISNUMBER(--$D359)),"Có","Không"))</f>
        <v/>
      </c>
      <c r="T359" s="22">
        <f>IF($D359="","",IF(AND($C359&lt;&gt;"",$Q359="Có",$R359="",$S359="Có",AND($L359&lt;&gt;"",OR($L359&lt;&gt;"Chưa xác định",DANH_MUC!$L$9="Có"))),"Có","Không"))</f>
        <v/>
      </c>
      <c r="U359" s="22">
        <f>IF(OR($D359="",$T359="Có"),"",IF($C359="","Thiếu họ tên; ","")&amp;IF($S359&lt;&gt;"Có","SĐT sai định dạng; ","")&amp;IF($R359="Trùng","Trùng SĐT; ","")&amp;IF($Q359&lt;&gt;"Có","Thiếu đồng ý bắt buộc; ","")&amp;IF($L359="","Thiếu/sai Mã REF; ",IF(AND($L359="Chưa xác định",DANH_MUC!$L$9&lt;&gt;"Có"),"Nguồn chưa xác định; ","")))</f>
        <v/>
      </c>
      <c r="V359" s="22">
        <f>IF(OR($D359="",$R359="Trùng"),"",IF(COUNTIF(ORDERS!$C$2:$C$4995,$D359)&gt;0,"Có","Không"))</f>
        <v/>
      </c>
      <c r="W359" s="22">
        <f>IF(OR($D359="",$R359="Trùng"),"",COUNTIFS(ORDERS!$C$2:$C$4995,$D359,ORDERS!$L$2:$L$4995,"Đã chuyển khoản"))</f>
        <v/>
      </c>
      <c r="X359" s="23">
        <f>IF(OR($D359="",$R359="Trùng"),"",SUMIFS(ORDERS!$J$2:$J$4995,ORDERS!$C$2:$C$4995,$D359,ORDERS!$L$2:$L$4995,"Đã chuyển khoản"))</f>
        <v/>
      </c>
      <c r="Y359" s="24" t="n"/>
    </row>
    <row r="360" ht="14.25" customHeight="1" s="40">
      <c r="A360" s="24" t="inlineStr">
        <is>
          <t>87c15190-15a8-40f0-b412-4257517c5bfb</t>
        </is>
      </c>
      <c r="B360" s="27" t="n">
        <v>46296.49513888889</v>
      </c>
      <c r="C360" s="24" t="inlineStr">
        <is>
          <t>Đỗ Thị Huệ</t>
        </is>
      </c>
      <c r="D360" s="28" t="inlineStr">
        <is>
          <t>0986121025</t>
        </is>
      </c>
      <c r="E360" s="29" t="n">
        <v>45986</v>
      </c>
      <c r="F360" s="24" t="inlineStr">
        <is>
          <t>Đã sinh</t>
        </is>
      </c>
      <c r="G360" s="24" t="inlineStr">
        <is>
          <t>Hưng Yên</t>
        </is>
      </c>
      <c r="H360" s="21">
        <f>IF(ISNUMBER($B360),INT($B360)-WEEKDAY($B360,2)+1,"")</f>
        <v/>
      </c>
      <c r="I360" s="24" t="inlineStr">
        <is>
          <t>C-00</t>
        </is>
      </c>
      <c r="J360" s="22">
        <f t="array" ref="J360">IF($D360="","",IF($I360="","(trống REF)",IFERROR(INDEX(MASTER_SOURCE!$B$2:$B$495,MATCH($I360,MASTER_SOURCE!$A$2:$A$495,0)),"(REF không có trong MASTER_SOURCE)")))</f>
        <v/>
      </c>
      <c r="K360" s="22">
        <f t="array" ref="K360">IF($D360="","",IFERROR(INDEX(MASTER_SOURCE!$C$2:$C$495,MATCH($I360,MASTER_SOURCE!$A$2:$A$495,0)),""))</f>
        <v/>
      </c>
      <c r="L360" s="22">
        <f t="array" ref="L360">IF($D360="","",IFERROR(INDEX(MASTER_SOURCE!$D$2:$D$495,MATCH($I360,MASTER_SOURCE!$A$2:$A$495,0)),""))</f>
        <v/>
      </c>
      <c r="M360" s="24" t="inlineStr">
        <is>
          <t>Có</t>
        </is>
      </c>
      <c r="N360" s="24" t="inlineStr">
        <is>
          <t>Có</t>
        </is>
      </c>
      <c r="O360" s="24" t="inlineStr">
        <is>
          <t>Có</t>
        </is>
      </c>
      <c r="P360" s="24" t="inlineStr">
        <is>
          <t>Có</t>
        </is>
      </c>
      <c r="Q360" s="22">
        <f>IF($D360="","",IF(AND(OR(DANH_MUC!$L$5&lt;&gt;"Có",M360="Có"),OR(DANH_MUC!$L$6&lt;&gt;"Có",N360="Có"),OR(DANH_MUC!$L$7&lt;&gt;"Có",O360="Có"),OR(DANH_MUC!$L$8&lt;&gt;"Có",P360="Có")),"Có","Không"))</f>
        <v/>
      </c>
      <c r="R360" s="22">
        <f>IF($D360="","",IF(COUNTIF($D$2:$D360,$D360)&gt;1,"Trùng",""))</f>
        <v/>
      </c>
      <c r="S360" s="22">
        <f>IF($D360="","",IF(AND(LEN($D360)=10,LEFT($D360,1)="0",ISNUMBER(--$D360)),"Có","Không"))</f>
        <v/>
      </c>
      <c r="T360" s="22">
        <f>IF($D360="","",IF(AND($C360&lt;&gt;"",$Q360="Có",$R360="",$S360="Có",AND($L360&lt;&gt;"",OR($L360&lt;&gt;"Chưa xác định",DANH_MUC!$L$9="Có"))),"Có","Không"))</f>
        <v/>
      </c>
      <c r="U360" s="22">
        <f>IF(OR($D360="",$T360="Có"),"",IF($C360="","Thiếu họ tên; ","")&amp;IF($S360&lt;&gt;"Có","SĐT sai định dạng; ","")&amp;IF($R360="Trùng","Trùng SĐT; ","")&amp;IF($Q360&lt;&gt;"Có","Thiếu đồng ý bắt buộc; ","")&amp;IF($L360="","Thiếu/sai Mã REF; ",IF(AND($L360="Chưa xác định",DANH_MUC!$L$9&lt;&gt;"Có"),"Nguồn chưa xác định; ","")))</f>
        <v/>
      </c>
      <c r="V360" s="22">
        <f>IF(OR($D360="",$R360="Trùng"),"",IF(COUNTIF(ORDERS!$C$2:$C$4995,$D360)&gt;0,"Có","Không"))</f>
        <v/>
      </c>
      <c r="W360" s="22">
        <f>IF(OR($D360="",$R360="Trùng"),"",COUNTIFS(ORDERS!$C$2:$C$4995,$D360,ORDERS!$L$2:$L$4995,"Đã chuyển khoản"))</f>
        <v/>
      </c>
      <c r="X360" s="23">
        <f>IF(OR($D360="",$R360="Trùng"),"",SUMIFS(ORDERS!$J$2:$J$4995,ORDERS!$C$2:$C$4995,$D360,ORDERS!$L$2:$L$4995,"Đã chuyển khoản"))</f>
        <v/>
      </c>
      <c r="Y360" s="24" t="n"/>
    </row>
    <row r="361" ht="14.25" customHeight="1" s="40">
      <c r="A361" s="24" t="inlineStr">
        <is>
          <t>bfad1c28-f2fb-4f96-bc49-d2f58f500b05</t>
        </is>
      </c>
      <c r="B361" s="27" t="n">
        <v>46296.50138888889</v>
      </c>
      <c r="C361" s="24" t="inlineStr">
        <is>
          <t>Nguyễn Thị Ngọc Minh</t>
        </is>
      </c>
      <c r="D361" s="28" t="inlineStr">
        <is>
          <t>0376454942</t>
        </is>
      </c>
      <c r="E361" s="29" t="n">
        <v>46317</v>
      </c>
      <c r="F361" s="24" t="inlineStr">
        <is>
          <t>Đang mang thai</t>
        </is>
      </c>
      <c r="G361" s="24" t="inlineStr">
        <is>
          <t>Hồ Chí Minh</t>
        </is>
      </c>
      <c r="H361" s="21">
        <f>IF(ISNUMBER($B361),INT($B361)-WEEKDAY($B361,2)+1,"")</f>
        <v/>
      </c>
      <c r="I361" s="24" t="inlineStr">
        <is>
          <t>Z-MEDUA</t>
        </is>
      </c>
      <c r="J361" s="22">
        <f t="array" ref="J361">IF($D361="","",IF($I361="","(trống REF)",IFERROR(INDEX(MASTER_SOURCE!$B$2:$B$495,MATCH($I361,MASTER_SOURCE!$A$2:$A$495,0)),"(REF không có trong MASTER_SOURCE)")))</f>
        <v/>
      </c>
      <c r="K361" s="22">
        <f t="array" ref="K361">IF($D361="","",IFERROR(INDEX(MASTER_SOURCE!$C$2:$C$495,MATCH($I361,MASTER_SOURCE!$A$2:$A$495,0)),""))</f>
        <v/>
      </c>
      <c r="L361" s="22">
        <f t="array" ref="L361">IF($D361="","",IFERROR(INDEX(MASTER_SOURCE!$D$2:$D$495,MATCH($I361,MASTER_SOURCE!$A$2:$A$495,0)),""))</f>
        <v/>
      </c>
      <c r="M361" s="24" t="inlineStr">
        <is>
          <t>Có</t>
        </is>
      </c>
      <c r="N361" s="24" t="inlineStr">
        <is>
          <t>Có</t>
        </is>
      </c>
      <c r="O361" s="24" t="inlineStr">
        <is>
          <t>Có</t>
        </is>
      </c>
      <c r="P361" s="24" t="inlineStr">
        <is>
          <t>Có</t>
        </is>
      </c>
      <c r="Q361" s="22">
        <f>IF($D361="","",IF(AND(OR(DANH_MUC!$L$5&lt;&gt;"Có",M361="Có"),OR(DANH_MUC!$L$6&lt;&gt;"Có",N361="Có"),OR(DANH_MUC!$L$7&lt;&gt;"Có",O361="Có"),OR(DANH_MUC!$L$8&lt;&gt;"Có",P361="Có")),"Có","Không"))</f>
        <v/>
      </c>
      <c r="R361" s="22">
        <f>IF($D361="","",IF(COUNTIF($D$2:$D361,$D361)&gt;1,"Trùng",""))</f>
        <v/>
      </c>
      <c r="S361" s="22">
        <f>IF($D361="","",IF(AND(LEN($D361)=10,LEFT($D361,1)="0",ISNUMBER(--$D361)),"Có","Không"))</f>
        <v/>
      </c>
      <c r="T361" s="22">
        <f>IF($D361="","",IF(AND($C361&lt;&gt;"",$Q361="Có",$R361="",$S361="Có",AND($L361&lt;&gt;"",OR($L361&lt;&gt;"Chưa xác định",DANH_MUC!$L$9="Có"))),"Có","Không"))</f>
        <v/>
      </c>
      <c r="U361" s="22">
        <f>IF(OR($D361="",$T361="Có"),"",IF($C361="","Thiếu họ tên; ","")&amp;IF($S361&lt;&gt;"Có","SĐT sai định dạng; ","")&amp;IF($R361="Trùng","Trùng SĐT; ","")&amp;IF($Q361&lt;&gt;"Có","Thiếu đồng ý bắt buộc; ","")&amp;IF($L361="","Thiếu/sai Mã REF; ",IF(AND($L361="Chưa xác định",DANH_MUC!$L$9&lt;&gt;"Có"),"Nguồn chưa xác định; ","")))</f>
        <v/>
      </c>
      <c r="V361" s="22">
        <f>IF(OR($D361="",$R361="Trùng"),"",IF(COUNTIF(ORDERS!$C$2:$C$4995,$D361)&gt;0,"Có","Không"))</f>
        <v/>
      </c>
      <c r="W361" s="22">
        <f>IF(OR($D361="",$R361="Trùng"),"",COUNTIFS(ORDERS!$C$2:$C$4995,$D361,ORDERS!$L$2:$L$4995,"Đã chuyển khoản"))</f>
        <v/>
      </c>
      <c r="X361" s="23">
        <f>IF(OR($D361="",$R361="Trùng"),"",SUMIFS(ORDERS!$J$2:$J$4995,ORDERS!$C$2:$C$4995,$D361,ORDERS!$L$2:$L$4995,"Đã chuyển khoản"))</f>
        <v/>
      </c>
      <c r="Y361" s="24" t="n"/>
    </row>
    <row r="362" ht="14.25" customHeight="1" s="40">
      <c r="A362" s="24" t="inlineStr">
        <is>
          <t>6425209e-5713-4d41-abe7-a19e78f8bdae</t>
        </is>
      </c>
      <c r="B362" s="27" t="n">
        <v>46296.50208333333</v>
      </c>
      <c r="C362" s="24" t="inlineStr">
        <is>
          <t>Nguyễn Thị Mỹ Thiện</t>
        </is>
      </c>
      <c r="D362" s="28" t="inlineStr">
        <is>
          <t>0949523094</t>
        </is>
      </c>
      <c r="E362" s="29" t="n">
        <v>46364</v>
      </c>
      <c r="F362" s="24" t="inlineStr">
        <is>
          <t>Đang mang thai</t>
        </is>
      </c>
      <c r="G362" s="24" t="inlineStr">
        <is>
          <t>Hồ Chí Minh</t>
        </is>
      </c>
      <c r="H362" s="21">
        <f>IF(ISNUMBER($B362),INT($B362)-WEEKDAY($B362,2)+1,"")</f>
        <v/>
      </c>
      <c r="I362" s="24" t="inlineStr">
        <is>
          <t>Z-MEDUA</t>
        </is>
      </c>
      <c r="J362" s="22">
        <f t="array" ref="J362">IF($D362="","",IF($I362="","(trống REF)",IFERROR(INDEX(MASTER_SOURCE!$B$2:$B$495,MATCH($I362,MASTER_SOURCE!$A$2:$A$495,0)),"(REF không có trong MASTER_SOURCE)")))</f>
        <v/>
      </c>
      <c r="K362" s="22">
        <f t="array" ref="K362">IF($D362="","",IFERROR(INDEX(MASTER_SOURCE!$C$2:$C$495,MATCH($I362,MASTER_SOURCE!$A$2:$A$495,0)),""))</f>
        <v/>
      </c>
      <c r="L362" s="22">
        <f t="array" ref="L362">IF($D362="","",IFERROR(INDEX(MASTER_SOURCE!$D$2:$D$495,MATCH($I362,MASTER_SOURCE!$A$2:$A$495,0)),""))</f>
        <v/>
      </c>
      <c r="M362" s="24" t="inlineStr">
        <is>
          <t>Có</t>
        </is>
      </c>
      <c r="N362" s="24" t="inlineStr">
        <is>
          <t>Có</t>
        </is>
      </c>
      <c r="O362" s="24" t="inlineStr">
        <is>
          <t>Có</t>
        </is>
      </c>
      <c r="P362" s="24" t="inlineStr">
        <is>
          <t>Có</t>
        </is>
      </c>
      <c r="Q362" s="22">
        <f>IF($D362="","",IF(AND(OR(DANH_MUC!$L$5&lt;&gt;"Có",M362="Có"),OR(DANH_MUC!$L$6&lt;&gt;"Có",N362="Có"),OR(DANH_MUC!$L$7&lt;&gt;"Có",O362="Có"),OR(DANH_MUC!$L$8&lt;&gt;"Có",P362="Có")),"Có","Không"))</f>
        <v/>
      </c>
      <c r="R362" s="22">
        <f>IF($D362="","",IF(COUNTIF($D$2:$D362,$D362)&gt;1,"Trùng",""))</f>
        <v/>
      </c>
      <c r="S362" s="22">
        <f>IF($D362="","",IF(AND(LEN($D362)=10,LEFT($D362,1)="0",ISNUMBER(--$D362)),"Có","Không"))</f>
        <v/>
      </c>
      <c r="T362" s="22">
        <f>IF($D362="","",IF(AND($C362&lt;&gt;"",$Q362="Có",$R362="",$S362="Có",AND($L362&lt;&gt;"",OR($L362&lt;&gt;"Chưa xác định",DANH_MUC!$L$9="Có"))),"Có","Không"))</f>
        <v/>
      </c>
      <c r="U362" s="22">
        <f>IF(OR($D362="",$T362="Có"),"",IF($C362="","Thiếu họ tên; ","")&amp;IF($S362&lt;&gt;"Có","SĐT sai định dạng; ","")&amp;IF($R362="Trùng","Trùng SĐT; ","")&amp;IF($Q362&lt;&gt;"Có","Thiếu đồng ý bắt buộc; ","")&amp;IF($L362="","Thiếu/sai Mã REF; ",IF(AND($L362="Chưa xác định",DANH_MUC!$L$9&lt;&gt;"Có"),"Nguồn chưa xác định; ","")))</f>
        <v/>
      </c>
      <c r="V362" s="22">
        <f>IF(OR($D362="",$R362="Trùng"),"",IF(COUNTIF(ORDERS!$C$2:$C$4995,$D362)&gt;0,"Có","Không"))</f>
        <v/>
      </c>
      <c r="W362" s="22">
        <f>IF(OR($D362="",$R362="Trùng"),"",COUNTIFS(ORDERS!$C$2:$C$4995,$D362,ORDERS!$L$2:$L$4995,"Đã chuyển khoản"))</f>
        <v/>
      </c>
      <c r="X362" s="23">
        <f>IF(OR($D362="",$R362="Trùng"),"",SUMIFS(ORDERS!$J$2:$J$4995,ORDERS!$C$2:$C$4995,$D362,ORDERS!$L$2:$L$4995,"Đã chuyển khoản"))</f>
        <v/>
      </c>
      <c r="Y362" s="24" t="n"/>
    </row>
    <row r="363" ht="14.25" customHeight="1" s="40">
      <c r="A363" s="24" t="inlineStr">
        <is>
          <t>1472c9a4-bbfa-43ae-a263-4340da9f9b6c</t>
        </is>
      </c>
      <c r="B363" s="27" t="n">
        <v>46296.56597222222</v>
      </c>
      <c r="C363" s="24" t="inlineStr">
        <is>
          <t>Nguyễn Hồng Trang</t>
        </is>
      </c>
      <c r="D363" s="28" t="inlineStr">
        <is>
          <t>0916409298</t>
        </is>
      </c>
      <c r="E363" s="29" t="n">
        <v>46392</v>
      </c>
      <c r="F363" s="24" t="inlineStr">
        <is>
          <t>Đang mang thai</t>
        </is>
      </c>
      <c r="G363" s="24" t="inlineStr">
        <is>
          <t>Hà Nội</t>
        </is>
      </c>
      <c r="H363" s="21">
        <f>IF(ISNUMBER($B363),INT($B363)-WEEKDAY($B363,2)+1,"")</f>
        <v/>
      </c>
      <c r="I363" s="24" t="inlineStr">
        <is>
          <t>C-01</t>
        </is>
      </c>
      <c r="J363" s="22">
        <f t="array" ref="J363">IF($D363="","",IF($I363="","(trống REF)",IFERROR(INDEX(MASTER_SOURCE!$B$2:$B$495,MATCH($I363,MASTER_SOURCE!$A$2:$A$495,0)),"(REF không có trong MASTER_SOURCE)")))</f>
        <v/>
      </c>
      <c r="K363" s="22">
        <f t="array" ref="K363">IF($D363="","",IFERROR(INDEX(MASTER_SOURCE!$C$2:$C$495,MATCH($I363,MASTER_SOURCE!$A$2:$A$495,0)),""))</f>
        <v/>
      </c>
      <c r="L363" s="22">
        <f t="array" ref="L363">IF($D363="","",IFERROR(INDEX(MASTER_SOURCE!$D$2:$D$495,MATCH($I363,MASTER_SOURCE!$A$2:$A$495,0)),""))</f>
        <v/>
      </c>
      <c r="M363" s="24" t="inlineStr">
        <is>
          <t>Có</t>
        </is>
      </c>
      <c r="N363" s="24" t="inlineStr">
        <is>
          <t>Có</t>
        </is>
      </c>
      <c r="O363" s="24" t="inlineStr">
        <is>
          <t>Có</t>
        </is>
      </c>
      <c r="P363" s="24" t="inlineStr">
        <is>
          <t>Không</t>
        </is>
      </c>
      <c r="Q363" s="22">
        <f>IF($D363="","",IF(AND(OR(DANH_MUC!$L$5&lt;&gt;"Có",M363="Có"),OR(DANH_MUC!$L$6&lt;&gt;"Có",N363="Có"),OR(DANH_MUC!$L$7&lt;&gt;"Có",O363="Có"),OR(DANH_MUC!$L$8&lt;&gt;"Có",P363="Có")),"Có","Không"))</f>
        <v/>
      </c>
      <c r="R363" s="22">
        <f>IF($D363="","",IF(COUNTIF($D$2:$D363,$D363)&gt;1,"Trùng",""))</f>
        <v/>
      </c>
      <c r="S363" s="22">
        <f>IF($D363="","",IF(AND(LEN($D363)=10,LEFT($D363,1)="0",ISNUMBER(--$D363)),"Có","Không"))</f>
        <v/>
      </c>
      <c r="T363" s="22">
        <f>IF($D363="","",IF(AND($C363&lt;&gt;"",$Q363="Có",$R363="",$S363="Có",AND($L363&lt;&gt;"",OR($L363&lt;&gt;"Chưa xác định",DANH_MUC!$L$9="Có"))),"Có","Không"))</f>
        <v/>
      </c>
      <c r="U363" s="22">
        <f>IF(OR($D363="",$T363="Có"),"",IF($C363="","Thiếu họ tên; ","")&amp;IF($S363&lt;&gt;"Có","SĐT sai định dạng; ","")&amp;IF($R363="Trùng","Trùng SĐT; ","")&amp;IF($Q363&lt;&gt;"Có","Thiếu đồng ý bắt buộc; ","")&amp;IF($L363="","Thiếu/sai Mã REF; ",IF(AND($L363="Chưa xác định",DANH_MUC!$L$9&lt;&gt;"Có"),"Nguồn chưa xác định; ","")))</f>
        <v/>
      </c>
      <c r="V363" s="22">
        <f>IF(OR($D363="",$R363="Trùng"),"",IF(COUNTIF(ORDERS!$C$2:$C$4995,$D363)&gt;0,"Có","Không"))</f>
        <v/>
      </c>
      <c r="W363" s="22">
        <f>IF(OR($D363="",$R363="Trùng"),"",COUNTIFS(ORDERS!$C$2:$C$4995,$D363,ORDERS!$L$2:$L$4995,"Đã chuyển khoản"))</f>
        <v/>
      </c>
      <c r="X363" s="23">
        <f>IF(OR($D363="",$R363="Trùng"),"",SUMIFS(ORDERS!$J$2:$J$4995,ORDERS!$C$2:$C$4995,$D363,ORDERS!$L$2:$L$4995,"Đã chuyển khoản"))</f>
        <v/>
      </c>
      <c r="Y363" s="24" t="n"/>
    </row>
    <row r="364" ht="14.25" customHeight="1" s="40">
      <c r="A364" s="24" t="inlineStr">
        <is>
          <t>fe270f5d-2cc0-4b0c-86c0-75628aaf2951</t>
        </is>
      </c>
      <c r="B364" s="27" t="n">
        <v>46296.57222222222</v>
      </c>
      <c r="C364" s="24" t="inlineStr">
        <is>
          <t>Nguyễn Thị Tuyết Loan</t>
        </is>
      </c>
      <c r="D364" s="28" t="inlineStr">
        <is>
          <t>0765911482</t>
        </is>
      </c>
      <c r="E364" s="29" t="n">
        <v>45724</v>
      </c>
      <c r="F364" s="24" t="inlineStr">
        <is>
          <t>Đã sinh</t>
        </is>
      </c>
      <c r="G364" s="24" t="inlineStr">
        <is>
          <t>Hồ Chí Minh</t>
        </is>
      </c>
      <c r="H364" s="21">
        <f>IF(ISNUMBER($B364),INT($B364)-WEEKDAY($B364,2)+1,"")</f>
        <v/>
      </c>
      <c r="I364" s="24" t="inlineStr">
        <is>
          <t>C-00</t>
        </is>
      </c>
      <c r="J364" s="22">
        <f t="array" ref="J364">IF($D364="","",IF($I364="","(trống REF)",IFERROR(INDEX(MASTER_SOURCE!$B$2:$B$495,MATCH($I364,MASTER_SOURCE!$A$2:$A$495,0)),"(REF không có trong MASTER_SOURCE)")))</f>
        <v/>
      </c>
      <c r="K364" s="22">
        <f t="array" ref="K364">IF($D364="","",IFERROR(INDEX(MASTER_SOURCE!$C$2:$C$495,MATCH($I364,MASTER_SOURCE!$A$2:$A$495,0)),""))</f>
        <v/>
      </c>
      <c r="L364" s="22">
        <f t="array" ref="L364">IF($D364="","",IFERROR(INDEX(MASTER_SOURCE!$D$2:$D$495,MATCH($I364,MASTER_SOURCE!$A$2:$A$495,0)),""))</f>
        <v/>
      </c>
      <c r="M364" s="24" t="inlineStr">
        <is>
          <t>Có</t>
        </is>
      </c>
      <c r="N364" s="24" t="inlineStr">
        <is>
          <t>Có</t>
        </is>
      </c>
      <c r="O364" s="24" t="inlineStr">
        <is>
          <t>Có</t>
        </is>
      </c>
      <c r="P364" s="24" t="inlineStr">
        <is>
          <t>Có</t>
        </is>
      </c>
      <c r="Q364" s="22">
        <f>IF($D364="","",IF(AND(OR(DANH_MUC!$L$5&lt;&gt;"Có",M364="Có"),OR(DANH_MUC!$L$6&lt;&gt;"Có",N364="Có"),OR(DANH_MUC!$L$7&lt;&gt;"Có",O364="Có"),OR(DANH_MUC!$L$8&lt;&gt;"Có",P364="Có")),"Có","Không"))</f>
        <v/>
      </c>
      <c r="R364" s="22">
        <f>IF($D364="","",IF(COUNTIF($D$2:$D364,$D364)&gt;1,"Trùng",""))</f>
        <v/>
      </c>
      <c r="S364" s="22">
        <f>IF($D364="","",IF(AND(LEN($D364)=10,LEFT($D364,1)="0",ISNUMBER(--$D364)),"Có","Không"))</f>
        <v/>
      </c>
      <c r="T364" s="22">
        <f>IF($D364="","",IF(AND($C364&lt;&gt;"",$Q364="Có",$R364="",$S364="Có",AND($L364&lt;&gt;"",OR($L364&lt;&gt;"Chưa xác định",DANH_MUC!$L$9="Có"))),"Có","Không"))</f>
        <v/>
      </c>
      <c r="U364" s="22">
        <f>IF(OR($D364="",$T364="Có"),"",IF($C364="","Thiếu họ tên; ","")&amp;IF($S364&lt;&gt;"Có","SĐT sai định dạng; ","")&amp;IF($R364="Trùng","Trùng SĐT; ","")&amp;IF($Q364&lt;&gt;"Có","Thiếu đồng ý bắt buộc; ","")&amp;IF($L364="","Thiếu/sai Mã REF; ",IF(AND($L364="Chưa xác định",DANH_MUC!$L$9&lt;&gt;"Có"),"Nguồn chưa xác định; ","")))</f>
        <v/>
      </c>
      <c r="V364" s="22">
        <f>IF(OR($D364="",$R364="Trùng"),"",IF(COUNTIF(ORDERS!$C$2:$C$4995,$D364)&gt;0,"Có","Không"))</f>
        <v/>
      </c>
      <c r="W364" s="22">
        <f>IF(OR($D364="",$R364="Trùng"),"",COUNTIFS(ORDERS!$C$2:$C$4995,$D364,ORDERS!$L$2:$L$4995,"Đã chuyển khoản"))</f>
        <v/>
      </c>
      <c r="X364" s="23">
        <f>IF(OR($D364="",$R364="Trùng"),"",SUMIFS(ORDERS!$J$2:$J$4995,ORDERS!$C$2:$C$4995,$D364,ORDERS!$L$2:$L$4995,"Đã chuyển khoản"))</f>
        <v/>
      </c>
      <c r="Y364" s="24" t="n"/>
    </row>
    <row r="365" ht="14.25" customHeight="1" s="40">
      <c r="A365" s="24" t="inlineStr">
        <is>
          <t>f42b1361-f1a3-4c4c-a043-39aba6c2a67f</t>
        </is>
      </c>
      <c r="B365" s="27" t="n">
        <v>46296.58888888889</v>
      </c>
      <c r="C365" s="24" t="inlineStr">
        <is>
          <t>Nguyễn Thị Hồng Vân</t>
        </is>
      </c>
      <c r="D365" s="28" t="inlineStr">
        <is>
          <t>0334541862</t>
        </is>
      </c>
      <c r="E365" s="29" t="n">
        <v>46047</v>
      </c>
      <c r="F365" s="24" t="inlineStr">
        <is>
          <t>Đã sinh</t>
        </is>
      </c>
      <c r="G365" s="24" t="inlineStr">
        <is>
          <t>Hồ Chí Minh</t>
        </is>
      </c>
      <c r="H365" s="21">
        <f>IF(ISNUMBER($B365),INT($B365)-WEEKDAY($B365,2)+1,"")</f>
        <v/>
      </c>
      <c r="I365" s="24" t="inlineStr">
        <is>
          <t>C-06</t>
        </is>
      </c>
      <c r="J365" s="22">
        <f t="array" ref="J365">IF($D365="","",IF($I365="","(trống REF)",IFERROR(INDEX(MASTER_SOURCE!$B$2:$B$495,MATCH($I365,MASTER_SOURCE!$A$2:$A$495,0)),"(REF không có trong MASTER_SOURCE)")))</f>
        <v/>
      </c>
      <c r="K365" s="22">
        <f t="array" ref="K365">IF($D365="","",IFERROR(INDEX(MASTER_SOURCE!$C$2:$C$495,MATCH($I365,MASTER_SOURCE!$A$2:$A$495,0)),""))</f>
        <v/>
      </c>
      <c r="L365" s="22">
        <f t="array" ref="L365">IF($D365="","",IFERROR(INDEX(MASTER_SOURCE!$D$2:$D$495,MATCH($I365,MASTER_SOURCE!$A$2:$A$495,0)),""))</f>
        <v/>
      </c>
      <c r="M365" s="24" t="inlineStr">
        <is>
          <t>Có</t>
        </is>
      </c>
      <c r="N365" s="24" t="inlineStr">
        <is>
          <t>Có</t>
        </is>
      </c>
      <c r="O365" s="24" t="inlineStr">
        <is>
          <t>Có</t>
        </is>
      </c>
      <c r="P365" s="24" t="inlineStr">
        <is>
          <t>Có</t>
        </is>
      </c>
      <c r="Q365" s="22">
        <f>IF($D365="","",IF(AND(OR(DANH_MUC!$L$5&lt;&gt;"Có",M365="Có"),OR(DANH_MUC!$L$6&lt;&gt;"Có",N365="Có"),OR(DANH_MUC!$L$7&lt;&gt;"Có",O365="Có"),OR(DANH_MUC!$L$8&lt;&gt;"Có",P365="Có")),"Có","Không"))</f>
        <v/>
      </c>
      <c r="R365" s="22">
        <f>IF($D365="","",IF(COUNTIF($D$2:$D365,$D365)&gt;1,"Trùng",""))</f>
        <v/>
      </c>
      <c r="S365" s="22">
        <f>IF($D365="","",IF(AND(LEN($D365)=10,LEFT($D365,1)="0",ISNUMBER(--$D365)),"Có","Không"))</f>
        <v/>
      </c>
      <c r="T365" s="22">
        <f>IF($D365="","",IF(AND($C365&lt;&gt;"",$Q365="Có",$R365="",$S365="Có",AND($L365&lt;&gt;"",OR($L365&lt;&gt;"Chưa xác định",DANH_MUC!$L$9="Có"))),"Có","Không"))</f>
        <v/>
      </c>
      <c r="U365" s="22">
        <f>IF(OR($D365="",$T365="Có"),"",IF($C365="","Thiếu họ tên; ","")&amp;IF($S365&lt;&gt;"Có","SĐT sai định dạng; ","")&amp;IF($R365="Trùng","Trùng SĐT; ","")&amp;IF($Q365&lt;&gt;"Có","Thiếu đồng ý bắt buộc; ","")&amp;IF($L365="","Thiếu/sai Mã REF; ",IF(AND($L365="Chưa xác định",DANH_MUC!$L$9&lt;&gt;"Có"),"Nguồn chưa xác định; ","")))</f>
        <v/>
      </c>
      <c r="V365" s="22">
        <f>IF(OR($D365="",$R365="Trùng"),"",IF(COUNTIF(ORDERS!$C$2:$C$4995,$D365)&gt;0,"Có","Không"))</f>
        <v/>
      </c>
      <c r="W365" s="22">
        <f>IF(OR($D365="",$R365="Trùng"),"",COUNTIFS(ORDERS!$C$2:$C$4995,$D365,ORDERS!$L$2:$L$4995,"Đã chuyển khoản"))</f>
        <v/>
      </c>
      <c r="X365" s="23">
        <f>IF(OR($D365="",$R365="Trùng"),"",SUMIFS(ORDERS!$J$2:$J$4995,ORDERS!$C$2:$C$4995,$D365,ORDERS!$L$2:$L$4995,"Đã chuyển khoản"))</f>
        <v/>
      </c>
      <c r="Y365" s="24" t="n"/>
    </row>
    <row r="366" ht="14.25" customHeight="1" s="40">
      <c r="A366" s="24" t="inlineStr">
        <is>
          <t>a7c8bdd8-933c-499b-8cbc-82df99b9a979</t>
        </is>
      </c>
      <c r="B366" s="27" t="n">
        <v>46296.68333333333</v>
      </c>
      <c r="C366" s="24" t="inlineStr">
        <is>
          <t>Phạm Ngọc Yến</t>
        </is>
      </c>
      <c r="D366" s="28" t="inlineStr">
        <is>
          <t>0909748816</t>
        </is>
      </c>
      <c r="E366" s="29" t="n">
        <v>46254</v>
      </c>
      <c r="F366" s="24" t="inlineStr">
        <is>
          <t>Đã sinh</t>
        </is>
      </c>
      <c r="G366" s="24" t="inlineStr">
        <is>
          <t>An Giang</t>
        </is>
      </c>
      <c r="H366" s="21">
        <f>IF(ISNUMBER($B366),INT($B366)-WEEKDAY($B366,2)+1,"")</f>
        <v/>
      </c>
      <c r="I366" s="24" t="inlineStr">
        <is>
          <t>C-08</t>
        </is>
      </c>
      <c r="J366" s="22">
        <f t="array" ref="J366">IF($D366="","",IF($I366="","(trống REF)",IFERROR(INDEX(MASTER_SOURCE!$B$2:$B$495,MATCH($I366,MASTER_SOURCE!$A$2:$A$495,0)),"(REF không có trong MASTER_SOURCE)")))</f>
        <v/>
      </c>
      <c r="K366" s="22">
        <f t="array" ref="K366">IF($D366="","",IFERROR(INDEX(MASTER_SOURCE!$C$2:$C$495,MATCH($I366,MASTER_SOURCE!$A$2:$A$495,0)),""))</f>
        <v/>
      </c>
      <c r="L366" s="22">
        <f t="array" ref="L366">IF($D366="","",IFERROR(INDEX(MASTER_SOURCE!$D$2:$D$495,MATCH($I366,MASTER_SOURCE!$A$2:$A$495,0)),""))</f>
        <v/>
      </c>
      <c r="M366" s="24" t="inlineStr">
        <is>
          <t>Có</t>
        </is>
      </c>
      <c r="N366" s="24" t="inlineStr">
        <is>
          <t>Có</t>
        </is>
      </c>
      <c r="O366" s="24" t="inlineStr">
        <is>
          <t>Có</t>
        </is>
      </c>
      <c r="P366" s="24" t="inlineStr">
        <is>
          <t>Có</t>
        </is>
      </c>
      <c r="Q366" s="22">
        <f>IF($D366="","",IF(AND(OR(DANH_MUC!$L$5&lt;&gt;"Có",M366="Có"),OR(DANH_MUC!$L$6&lt;&gt;"Có",N366="Có"),OR(DANH_MUC!$L$7&lt;&gt;"Có",O366="Có"),OR(DANH_MUC!$L$8&lt;&gt;"Có",P366="Có")),"Có","Không"))</f>
        <v/>
      </c>
      <c r="R366" s="22">
        <f>IF($D366="","",IF(COUNTIF($D$2:$D366,$D366)&gt;1,"Trùng",""))</f>
        <v/>
      </c>
      <c r="S366" s="22">
        <f>IF($D366="","",IF(AND(LEN($D366)=10,LEFT($D366,1)="0",ISNUMBER(--$D366)),"Có","Không"))</f>
        <v/>
      </c>
      <c r="T366" s="22">
        <f>IF($D366="","",IF(AND($C366&lt;&gt;"",$Q366="Có",$R366="",$S366="Có",AND($L366&lt;&gt;"",OR($L366&lt;&gt;"Chưa xác định",DANH_MUC!$L$9="Có"))),"Có","Không"))</f>
        <v/>
      </c>
      <c r="U366" s="22">
        <f>IF(OR($D366="",$T366="Có"),"",IF($C366="","Thiếu họ tên; ","")&amp;IF($S366&lt;&gt;"Có","SĐT sai định dạng; ","")&amp;IF($R366="Trùng","Trùng SĐT; ","")&amp;IF($Q366&lt;&gt;"Có","Thiếu đồng ý bắt buộc; ","")&amp;IF($L366="","Thiếu/sai Mã REF; ",IF(AND($L366="Chưa xác định",DANH_MUC!$L$9&lt;&gt;"Có"),"Nguồn chưa xác định; ","")))</f>
        <v/>
      </c>
      <c r="V366" s="22">
        <f>IF(OR($D366="",$R366="Trùng"),"",IF(COUNTIF(ORDERS!$C$2:$C$4995,$D366)&gt;0,"Có","Không"))</f>
        <v/>
      </c>
      <c r="W366" s="22">
        <f>IF(OR($D366="",$R366="Trùng"),"",COUNTIFS(ORDERS!$C$2:$C$4995,$D366,ORDERS!$L$2:$L$4995,"Đã chuyển khoản"))</f>
        <v/>
      </c>
      <c r="X366" s="23">
        <f>IF(OR($D366="",$R366="Trùng"),"",SUMIFS(ORDERS!$J$2:$J$4995,ORDERS!$C$2:$C$4995,$D366,ORDERS!$L$2:$L$4995,"Đã chuyển khoản"))</f>
        <v/>
      </c>
      <c r="Y366" s="24" t="n"/>
    </row>
    <row r="367" ht="14.25" customHeight="1" s="40">
      <c r="A367" s="24" t="inlineStr">
        <is>
          <t>b16d708a-b85d-4684-a4d0-df1765f36b84</t>
        </is>
      </c>
      <c r="B367" s="27" t="n">
        <v>46296.68472222222</v>
      </c>
      <c r="C367" s="24" t="inlineStr">
        <is>
          <t>Nhữ Thị Hồng Duyên</t>
        </is>
      </c>
      <c r="D367" s="28" t="inlineStr">
        <is>
          <t>0333509734</t>
        </is>
      </c>
      <c r="E367" s="29" t="n">
        <v>46333</v>
      </c>
      <c r="F367" s="24" t="inlineStr">
        <is>
          <t>Đang mang thai</t>
        </is>
      </c>
      <c r="G367" s="24" t="inlineStr">
        <is>
          <t>Hải Phòng</t>
        </is>
      </c>
      <c r="H367" s="21">
        <f>IF(ISNUMBER($B367),INT($B367)-WEEKDAY($B367,2)+1,"")</f>
        <v/>
      </c>
      <c r="I367" s="24" t="inlineStr">
        <is>
          <t>Z-GREEN</t>
        </is>
      </c>
      <c r="J367" s="22">
        <f t="array" ref="J367">IF($D367="","",IF($I367="","(trống REF)",IFERROR(INDEX(MASTER_SOURCE!$B$2:$B$495,MATCH($I367,MASTER_SOURCE!$A$2:$A$495,0)),"(REF không có trong MASTER_SOURCE)")))</f>
        <v/>
      </c>
      <c r="K367" s="22">
        <f t="array" ref="K367">IF($D367="","",IFERROR(INDEX(MASTER_SOURCE!$C$2:$C$495,MATCH($I367,MASTER_SOURCE!$A$2:$A$495,0)),""))</f>
        <v/>
      </c>
      <c r="L367" s="22">
        <f t="array" ref="L367">IF($D367="","",IFERROR(INDEX(MASTER_SOURCE!$D$2:$D$495,MATCH($I367,MASTER_SOURCE!$A$2:$A$495,0)),""))</f>
        <v/>
      </c>
      <c r="M367" s="24" t="inlineStr">
        <is>
          <t>Có</t>
        </is>
      </c>
      <c r="N367" s="24" t="inlineStr">
        <is>
          <t>Có</t>
        </is>
      </c>
      <c r="O367" s="24" t="inlineStr">
        <is>
          <t>Có</t>
        </is>
      </c>
      <c r="P367" s="24" t="inlineStr">
        <is>
          <t>Có</t>
        </is>
      </c>
      <c r="Q367" s="22">
        <f>IF($D367="","",IF(AND(OR(DANH_MUC!$L$5&lt;&gt;"Có",M367="Có"),OR(DANH_MUC!$L$6&lt;&gt;"Có",N367="Có"),OR(DANH_MUC!$L$7&lt;&gt;"Có",O367="Có"),OR(DANH_MUC!$L$8&lt;&gt;"Có",P367="Có")),"Có","Không"))</f>
        <v/>
      </c>
      <c r="R367" s="22">
        <f>IF($D367="","",IF(COUNTIF($D$2:$D367,$D367)&gt;1,"Trùng",""))</f>
        <v/>
      </c>
      <c r="S367" s="22">
        <f>IF($D367="","",IF(AND(LEN($D367)=10,LEFT($D367,1)="0",ISNUMBER(--$D367)),"Có","Không"))</f>
        <v/>
      </c>
      <c r="T367" s="22">
        <f>IF($D367="","",IF(AND($C367&lt;&gt;"",$Q367="Có",$R367="",$S367="Có",AND($L367&lt;&gt;"",OR($L367&lt;&gt;"Chưa xác định",DANH_MUC!$L$9="Có"))),"Có","Không"))</f>
        <v/>
      </c>
      <c r="U367" s="22">
        <f>IF(OR($D367="",$T367="Có"),"",IF($C367="","Thiếu họ tên; ","")&amp;IF($S367&lt;&gt;"Có","SĐT sai định dạng; ","")&amp;IF($R367="Trùng","Trùng SĐT; ","")&amp;IF($Q367&lt;&gt;"Có","Thiếu đồng ý bắt buộc; ","")&amp;IF($L367="","Thiếu/sai Mã REF; ",IF(AND($L367="Chưa xác định",DANH_MUC!$L$9&lt;&gt;"Có"),"Nguồn chưa xác định; ","")))</f>
        <v/>
      </c>
      <c r="V367" s="22">
        <f>IF(OR($D367="",$R367="Trùng"),"",IF(COUNTIF(ORDERS!$C$2:$C$4995,$D367)&gt;0,"Có","Không"))</f>
        <v/>
      </c>
      <c r="W367" s="22">
        <f>IF(OR($D367="",$R367="Trùng"),"",COUNTIFS(ORDERS!$C$2:$C$4995,$D367,ORDERS!$L$2:$L$4995,"Đã chuyển khoản"))</f>
        <v/>
      </c>
      <c r="X367" s="23">
        <f>IF(OR($D367="",$R367="Trùng"),"",SUMIFS(ORDERS!$J$2:$J$4995,ORDERS!$C$2:$C$4995,$D367,ORDERS!$L$2:$L$4995,"Đã chuyển khoản"))</f>
        <v/>
      </c>
      <c r="Y367" s="24" t="n"/>
    </row>
    <row r="368" ht="14.25" customHeight="1" s="40">
      <c r="A368" s="24" t="inlineStr">
        <is>
          <t>60cf4cea-6bd5-4b88-9883-c5d6f6f3885c</t>
        </is>
      </c>
      <c r="B368" s="27" t="n">
        <v>46296.68541666667</v>
      </c>
      <c r="C368" s="24" t="inlineStr">
        <is>
          <t>Nguyễn Thị Mỹ Linh</t>
        </is>
      </c>
      <c r="D368" s="28" t="inlineStr">
        <is>
          <t>0981500557</t>
        </is>
      </c>
      <c r="E368" s="29" t="n">
        <v>45956</v>
      </c>
      <c r="F368" s="24" t="inlineStr">
        <is>
          <t>Đã sinh</t>
        </is>
      </c>
      <c r="G368" s="24" t="inlineStr">
        <is>
          <t>Hà Nội</t>
        </is>
      </c>
      <c r="H368" s="21">
        <f>IF(ISNUMBER($B368),INT($B368)-WEEKDAY($B368,2)+1,"")</f>
        <v/>
      </c>
      <c r="I368" s="24" t="inlineStr">
        <is>
          <t>C-09</t>
        </is>
      </c>
      <c r="J368" s="22">
        <f t="array" ref="J368">IF($D368="","",IF($I368="","(trống REF)",IFERROR(INDEX(MASTER_SOURCE!$B$2:$B$495,MATCH($I368,MASTER_SOURCE!$A$2:$A$495,0)),"(REF không có trong MASTER_SOURCE)")))</f>
        <v/>
      </c>
      <c r="K368" s="22">
        <f t="array" ref="K368">IF($D368="","",IFERROR(INDEX(MASTER_SOURCE!$C$2:$C$495,MATCH($I368,MASTER_SOURCE!$A$2:$A$495,0)),""))</f>
        <v/>
      </c>
      <c r="L368" s="22">
        <f t="array" ref="L368">IF($D368="","",IFERROR(INDEX(MASTER_SOURCE!$D$2:$D$495,MATCH($I368,MASTER_SOURCE!$A$2:$A$495,0)),""))</f>
        <v/>
      </c>
      <c r="M368" s="24" t="inlineStr">
        <is>
          <t>Có</t>
        </is>
      </c>
      <c r="N368" s="24" t="inlineStr">
        <is>
          <t>Có</t>
        </is>
      </c>
      <c r="O368" s="24" t="inlineStr">
        <is>
          <t>Có</t>
        </is>
      </c>
      <c r="P368" s="24" t="inlineStr">
        <is>
          <t>Có</t>
        </is>
      </c>
      <c r="Q368" s="22">
        <f>IF($D368="","",IF(AND(OR(DANH_MUC!$L$5&lt;&gt;"Có",M368="Có"),OR(DANH_MUC!$L$6&lt;&gt;"Có",N368="Có"),OR(DANH_MUC!$L$7&lt;&gt;"Có",O368="Có"),OR(DANH_MUC!$L$8&lt;&gt;"Có",P368="Có")),"Có","Không"))</f>
        <v/>
      </c>
      <c r="R368" s="22">
        <f>IF($D368="","",IF(COUNTIF($D$2:$D368,$D368)&gt;1,"Trùng",""))</f>
        <v/>
      </c>
      <c r="S368" s="22">
        <f>IF($D368="","",IF(AND(LEN($D368)=10,LEFT($D368,1)="0",ISNUMBER(--$D368)),"Có","Không"))</f>
        <v/>
      </c>
      <c r="T368" s="22">
        <f>IF($D368="","",IF(AND($C368&lt;&gt;"",$Q368="Có",$R368="",$S368="Có",AND($L368&lt;&gt;"",OR($L368&lt;&gt;"Chưa xác định",DANH_MUC!$L$9="Có"))),"Có","Không"))</f>
        <v/>
      </c>
      <c r="U368" s="22">
        <f>IF(OR($D368="",$T368="Có"),"",IF($C368="","Thiếu họ tên; ","")&amp;IF($S368&lt;&gt;"Có","SĐT sai định dạng; ","")&amp;IF($R368="Trùng","Trùng SĐT; ","")&amp;IF($Q368&lt;&gt;"Có","Thiếu đồng ý bắt buộc; ","")&amp;IF($L368="","Thiếu/sai Mã REF; ",IF(AND($L368="Chưa xác định",DANH_MUC!$L$9&lt;&gt;"Có"),"Nguồn chưa xác định; ","")))</f>
        <v/>
      </c>
      <c r="V368" s="22">
        <f>IF(OR($D368="",$R368="Trùng"),"",IF(COUNTIF(ORDERS!$C$2:$C$4995,$D368)&gt;0,"Có","Không"))</f>
        <v/>
      </c>
      <c r="W368" s="22">
        <f>IF(OR($D368="",$R368="Trùng"),"",COUNTIFS(ORDERS!$C$2:$C$4995,$D368,ORDERS!$L$2:$L$4995,"Đã chuyển khoản"))</f>
        <v/>
      </c>
      <c r="X368" s="23">
        <f>IF(OR($D368="",$R368="Trùng"),"",SUMIFS(ORDERS!$J$2:$J$4995,ORDERS!$C$2:$C$4995,$D368,ORDERS!$L$2:$L$4995,"Đã chuyển khoản"))</f>
        <v/>
      </c>
      <c r="Y368" s="24" t="n"/>
    </row>
    <row r="369" ht="14.25" customHeight="1" s="40">
      <c r="A369" s="24" t="inlineStr">
        <is>
          <t>c0fcd993-efa8-4a89-a8b1-4953e7871696</t>
        </is>
      </c>
      <c r="B369" s="27" t="n">
        <v>46296.68541666667</v>
      </c>
      <c r="C369" s="24" t="inlineStr">
        <is>
          <t>Lưu Thu Thuỷ</t>
        </is>
      </c>
      <c r="D369" s="28" t="inlineStr">
        <is>
          <t>0825752124</t>
        </is>
      </c>
      <c r="E369" s="29" t="n">
        <v>46128</v>
      </c>
      <c r="F369" s="24" t="inlineStr">
        <is>
          <t>Đã sinh</t>
        </is>
      </c>
      <c r="G369" s="24" t="inlineStr">
        <is>
          <t>Hải Phòng</t>
        </is>
      </c>
      <c r="H369" s="21">
        <f>IF(ISNUMBER($B369),INT($B369)-WEEKDAY($B369,2)+1,"")</f>
        <v/>
      </c>
      <c r="I369" s="24" t="inlineStr">
        <is>
          <t>C-09</t>
        </is>
      </c>
      <c r="J369" s="22">
        <f t="array" ref="J369">IF($D369="","",IF($I369="","(trống REF)",IFERROR(INDEX(MASTER_SOURCE!$B$2:$B$495,MATCH($I369,MASTER_SOURCE!$A$2:$A$495,0)),"(REF không có trong MASTER_SOURCE)")))</f>
        <v/>
      </c>
      <c r="K369" s="22">
        <f t="array" ref="K369">IF($D369="","",IFERROR(INDEX(MASTER_SOURCE!$C$2:$C$495,MATCH($I369,MASTER_SOURCE!$A$2:$A$495,0)),""))</f>
        <v/>
      </c>
      <c r="L369" s="22">
        <f t="array" ref="L369">IF($D369="","",IFERROR(INDEX(MASTER_SOURCE!$D$2:$D$495,MATCH($I369,MASTER_SOURCE!$A$2:$A$495,0)),""))</f>
        <v/>
      </c>
      <c r="M369" s="24" t="inlineStr">
        <is>
          <t>Có</t>
        </is>
      </c>
      <c r="N369" s="24" t="inlineStr">
        <is>
          <t>Có</t>
        </is>
      </c>
      <c r="O369" s="24" t="inlineStr">
        <is>
          <t>Có</t>
        </is>
      </c>
      <c r="P369" s="24" t="inlineStr">
        <is>
          <t>Có</t>
        </is>
      </c>
      <c r="Q369" s="22">
        <f>IF($D369="","",IF(AND(OR(DANH_MUC!$L$5&lt;&gt;"Có",M369="Có"),OR(DANH_MUC!$L$6&lt;&gt;"Có",N369="Có"),OR(DANH_MUC!$L$7&lt;&gt;"Có",O369="Có"),OR(DANH_MUC!$L$8&lt;&gt;"Có",P369="Có")),"Có","Không"))</f>
        <v/>
      </c>
      <c r="R369" s="22">
        <f>IF($D369="","",IF(COUNTIF($D$2:$D369,$D369)&gt;1,"Trùng",""))</f>
        <v/>
      </c>
      <c r="S369" s="22">
        <f>IF($D369="","",IF(AND(LEN($D369)=10,LEFT($D369,1)="0",ISNUMBER(--$D369)),"Có","Không"))</f>
        <v/>
      </c>
      <c r="T369" s="22">
        <f>IF($D369="","",IF(AND($C369&lt;&gt;"",$Q369="Có",$R369="",$S369="Có",AND($L369&lt;&gt;"",OR($L369&lt;&gt;"Chưa xác định",DANH_MUC!$L$9="Có"))),"Có","Không"))</f>
        <v/>
      </c>
      <c r="U369" s="22">
        <f>IF(OR($D369="",$T369="Có"),"",IF($C369="","Thiếu họ tên; ","")&amp;IF($S369&lt;&gt;"Có","SĐT sai định dạng; ","")&amp;IF($R369="Trùng","Trùng SĐT; ","")&amp;IF($Q369&lt;&gt;"Có","Thiếu đồng ý bắt buộc; ","")&amp;IF($L369="","Thiếu/sai Mã REF; ",IF(AND($L369="Chưa xác định",DANH_MUC!$L$9&lt;&gt;"Có"),"Nguồn chưa xác định; ","")))</f>
        <v/>
      </c>
      <c r="V369" s="22">
        <f>IF(OR($D369="",$R369="Trùng"),"",IF(COUNTIF(ORDERS!$C$2:$C$4995,$D369)&gt;0,"Có","Không"))</f>
        <v/>
      </c>
      <c r="W369" s="22">
        <f>IF(OR($D369="",$R369="Trùng"),"",COUNTIFS(ORDERS!$C$2:$C$4995,$D369,ORDERS!$L$2:$L$4995,"Đã chuyển khoản"))</f>
        <v/>
      </c>
      <c r="X369" s="23">
        <f>IF(OR($D369="",$R369="Trùng"),"",SUMIFS(ORDERS!$J$2:$J$4995,ORDERS!$C$2:$C$4995,$D369,ORDERS!$L$2:$L$4995,"Đã chuyển khoản"))</f>
        <v/>
      </c>
      <c r="Y369" s="24" t="n"/>
    </row>
    <row r="370" ht="14.25" customHeight="1" s="40">
      <c r="A370" s="24" t="inlineStr">
        <is>
          <t>3f8ec900-58e6-4972-ba64-a94917949934</t>
        </is>
      </c>
      <c r="B370" s="27" t="n">
        <v>46296.6875</v>
      </c>
      <c r="C370" s="24" t="inlineStr">
        <is>
          <t>Trương Hà Mi</t>
        </is>
      </c>
      <c r="D370" s="28" t="inlineStr">
        <is>
          <t>0974569628</t>
        </is>
      </c>
      <c r="E370" s="29" t="n">
        <v>46160</v>
      </c>
      <c r="F370" s="24" t="inlineStr">
        <is>
          <t>Đã sinh</t>
        </is>
      </c>
      <c r="G370" s="24" t="inlineStr">
        <is>
          <t>Hồ Chí Minh</t>
        </is>
      </c>
      <c r="H370" s="21">
        <f>IF(ISNUMBER($B370),INT($B370)-WEEKDAY($B370,2)+1,"")</f>
        <v/>
      </c>
      <c r="I370" s="24" t="inlineStr">
        <is>
          <t>Z-MEDUA</t>
        </is>
      </c>
      <c r="J370" s="22">
        <f t="array" ref="J370">IF($D370="","",IF($I370="","(trống REF)",IFERROR(INDEX(MASTER_SOURCE!$B$2:$B$495,MATCH($I370,MASTER_SOURCE!$A$2:$A$495,0)),"(REF không có trong MASTER_SOURCE)")))</f>
        <v/>
      </c>
      <c r="K370" s="22">
        <f t="array" ref="K370">IF($D370="","",IFERROR(INDEX(MASTER_SOURCE!$C$2:$C$495,MATCH($I370,MASTER_SOURCE!$A$2:$A$495,0)),""))</f>
        <v/>
      </c>
      <c r="L370" s="22">
        <f t="array" ref="L370">IF($D370="","",IFERROR(INDEX(MASTER_SOURCE!$D$2:$D$495,MATCH($I370,MASTER_SOURCE!$A$2:$A$495,0)),""))</f>
        <v/>
      </c>
      <c r="M370" s="24" t="inlineStr">
        <is>
          <t>Có</t>
        </is>
      </c>
      <c r="N370" s="24" t="inlineStr">
        <is>
          <t>Có</t>
        </is>
      </c>
      <c r="O370" s="24" t="inlineStr">
        <is>
          <t>Có</t>
        </is>
      </c>
      <c r="P370" s="24" t="inlineStr">
        <is>
          <t>Có</t>
        </is>
      </c>
      <c r="Q370" s="22">
        <f>IF($D370="","",IF(AND(OR(DANH_MUC!$L$5&lt;&gt;"Có",M370="Có"),OR(DANH_MUC!$L$6&lt;&gt;"Có",N370="Có"),OR(DANH_MUC!$L$7&lt;&gt;"Có",O370="Có"),OR(DANH_MUC!$L$8&lt;&gt;"Có",P370="Có")),"Có","Không"))</f>
        <v/>
      </c>
      <c r="R370" s="22">
        <f>IF($D370="","",IF(COUNTIF($D$2:$D370,$D370)&gt;1,"Trùng",""))</f>
        <v/>
      </c>
      <c r="S370" s="22">
        <f>IF($D370="","",IF(AND(LEN($D370)=10,LEFT($D370,1)="0",ISNUMBER(--$D370)),"Có","Không"))</f>
        <v/>
      </c>
      <c r="T370" s="22">
        <f>IF($D370="","",IF(AND($C370&lt;&gt;"",$Q370="Có",$R370="",$S370="Có",AND($L370&lt;&gt;"",OR($L370&lt;&gt;"Chưa xác định",DANH_MUC!$L$9="Có"))),"Có","Không"))</f>
        <v/>
      </c>
      <c r="U370" s="22">
        <f>IF(OR($D370="",$T370="Có"),"",IF($C370="","Thiếu họ tên; ","")&amp;IF($S370&lt;&gt;"Có","SĐT sai định dạng; ","")&amp;IF($R370="Trùng","Trùng SĐT; ","")&amp;IF($Q370&lt;&gt;"Có","Thiếu đồng ý bắt buộc; ","")&amp;IF($L370="","Thiếu/sai Mã REF; ",IF(AND($L370="Chưa xác định",DANH_MUC!$L$9&lt;&gt;"Có"),"Nguồn chưa xác định; ","")))</f>
        <v/>
      </c>
      <c r="V370" s="22">
        <f>IF(OR($D370="",$R370="Trùng"),"",IF(COUNTIF(ORDERS!$C$2:$C$4995,$D370)&gt;0,"Có","Không"))</f>
        <v/>
      </c>
      <c r="W370" s="22">
        <f>IF(OR($D370="",$R370="Trùng"),"",COUNTIFS(ORDERS!$C$2:$C$4995,$D370,ORDERS!$L$2:$L$4995,"Đã chuyển khoản"))</f>
        <v/>
      </c>
      <c r="X370" s="23">
        <f>IF(OR($D370="",$R370="Trùng"),"",SUMIFS(ORDERS!$J$2:$J$4995,ORDERS!$C$2:$C$4995,$D370,ORDERS!$L$2:$L$4995,"Đã chuyển khoản"))</f>
        <v/>
      </c>
      <c r="Y370" s="24" t="n"/>
    </row>
    <row r="371" ht="14.25" customHeight="1" s="40">
      <c r="A371" s="24" t="inlineStr">
        <is>
          <t>2cb2b4aa-e363-4d7f-87f8-da8f28eeee98</t>
        </is>
      </c>
      <c r="B371" s="27" t="n">
        <v>46296.71041666667</v>
      </c>
      <c r="C371" s="24" t="inlineStr">
        <is>
          <t>Ngô Thị Bích Trâm</t>
        </is>
      </c>
      <c r="D371" s="28" t="inlineStr">
        <is>
          <t>0385482702</t>
        </is>
      </c>
      <c r="E371" s="29" t="n">
        <v>46104</v>
      </c>
      <c r="F371" s="24" t="inlineStr">
        <is>
          <t>Đã sinh</t>
        </is>
      </c>
      <c r="G371" s="24" t="inlineStr">
        <is>
          <t>Cần Thơ</t>
        </is>
      </c>
      <c r="H371" s="21">
        <f>IF(ISNUMBER($B371),INT($B371)-WEEKDAY($B371,2)+1,"")</f>
        <v/>
      </c>
      <c r="I371" s="24" t="inlineStr">
        <is>
          <t>C-08</t>
        </is>
      </c>
      <c r="J371" s="22">
        <f t="array" ref="J371">IF($D371="","",IF($I371="","(trống REF)",IFERROR(INDEX(MASTER_SOURCE!$B$2:$B$495,MATCH($I371,MASTER_SOURCE!$A$2:$A$495,0)),"(REF không có trong MASTER_SOURCE)")))</f>
        <v/>
      </c>
      <c r="K371" s="22">
        <f t="array" ref="K371">IF($D371="","",IFERROR(INDEX(MASTER_SOURCE!$C$2:$C$495,MATCH($I371,MASTER_SOURCE!$A$2:$A$495,0)),""))</f>
        <v/>
      </c>
      <c r="L371" s="22">
        <f t="array" ref="L371">IF($D371="","",IFERROR(INDEX(MASTER_SOURCE!$D$2:$D$495,MATCH($I371,MASTER_SOURCE!$A$2:$A$495,0)),""))</f>
        <v/>
      </c>
      <c r="M371" s="24" t="inlineStr">
        <is>
          <t>Có</t>
        </is>
      </c>
      <c r="N371" s="24" t="inlineStr">
        <is>
          <t>Có</t>
        </is>
      </c>
      <c r="O371" s="24" t="inlineStr">
        <is>
          <t>Có</t>
        </is>
      </c>
      <c r="P371" s="24" t="inlineStr">
        <is>
          <t>Có</t>
        </is>
      </c>
      <c r="Q371" s="22">
        <f>IF($D371="","",IF(AND(OR(DANH_MUC!$L$5&lt;&gt;"Có",M371="Có"),OR(DANH_MUC!$L$6&lt;&gt;"Có",N371="Có"),OR(DANH_MUC!$L$7&lt;&gt;"Có",O371="Có"),OR(DANH_MUC!$L$8&lt;&gt;"Có",P371="Có")),"Có","Không"))</f>
        <v/>
      </c>
      <c r="R371" s="22">
        <f>IF($D371="","",IF(COUNTIF($D$2:$D371,$D371)&gt;1,"Trùng",""))</f>
        <v/>
      </c>
      <c r="S371" s="22">
        <f>IF($D371="","",IF(AND(LEN($D371)=10,LEFT($D371,1)="0",ISNUMBER(--$D371)),"Có","Không"))</f>
        <v/>
      </c>
      <c r="T371" s="22">
        <f>IF($D371="","",IF(AND($C371&lt;&gt;"",$Q371="Có",$R371="",$S371="Có",AND($L371&lt;&gt;"",OR($L371&lt;&gt;"Chưa xác định",DANH_MUC!$L$9="Có"))),"Có","Không"))</f>
        <v/>
      </c>
      <c r="U371" s="22">
        <f>IF(OR($D371="",$T371="Có"),"",IF($C371="","Thiếu họ tên; ","")&amp;IF($S371&lt;&gt;"Có","SĐT sai định dạng; ","")&amp;IF($R371="Trùng","Trùng SĐT; ","")&amp;IF($Q371&lt;&gt;"Có","Thiếu đồng ý bắt buộc; ","")&amp;IF($L371="","Thiếu/sai Mã REF; ",IF(AND($L371="Chưa xác định",DANH_MUC!$L$9&lt;&gt;"Có"),"Nguồn chưa xác định; ","")))</f>
        <v/>
      </c>
      <c r="V371" s="22">
        <f>IF(OR($D371="",$R371="Trùng"),"",IF(COUNTIF(ORDERS!$C$2:$C$4995,$D371)&gt;0,"Có","Không"))</f>
        <v/>
      </c>
      <c r="W371" s="22">
        <f>IF(OR($D371="",$R371="Trùng"),"",COUNTIFS(ORDERS!$C$2:$C$4995,$D371,ORDERS!$L$2:$L$4995,"Đã chuyển khoản"))</f>
        <v/>
      </c>
      <c r="X371" s="23">
        <f>IF(OR($D371="",$R371="Trùng"),"",SUMIFS(ORDERS!$J$2:$J$4995,ORDERS!$C$2:$C$4995,$D371,ORDERS!$L$2:$L$4995,"Đã chuyển khoản"))</f>
        <v/>
      </c>
      <c r="Y371" s="24" t="n"/>
    </row>
    <row r="372" ht="14.25" customHeight="1" s="40">
      <c r="A372" s="24" t="inlineStr">
        <is>
          <t>f491c257-684d-480b-8121-604b73b708f7</t>
        </is>
      </c>
      <c r="B372" s="27" t="n">
        <v>46296.73194444444</v>
      </c>
      <c r="C372" s="24" t="inlineStr">
        <is>
          <t>Tuyết Hoa</t>
        </is>
      </c>
      <c r="D372" s="28" t="inlineStr">
        <is>
          <t>0868612934</t>
        </is>
      </c>
      <c r="E372" s="29" t="n">
        <v>46140</v>
      </c>
      <c r="F372" s="24" t="inlineStr">
        <is>
          <t>Đã sinh</t>
        </is>
      </c>
      <c r="G372" s="24" t="inlineStr">
        <is>
          <t>Đồng Nai</t>
        </is>
      </c>
      <c r="H372" s="21">
        <f>IF(ISNUMBER($B372),INT($B372)-WEEKDAY($B372,2)+1,"")</f>
        <v/>
      </c>
      <c r="I372" s="24" t="inlineStr">
        <is>
          <t>Z-MEDUA</t>
        </is>
      </c>
      <c r="J372" s="22">
        <f t="array" ref="J372">IF($D372="","",IF($I372="","(trống REF)",IFERROR(INDEX(MASTER_SOURCE!$B$2:$B$495,MATCH($I372,MASTER_SOURCE!$A$2:$A$495,0)),"(REF không có trong MASTER_SOURCE)")))</f>
        <v/>
      </c>
      <c r="K372" s="22">
        <f t="array" ref="K372">IF($D372="","",IFERROR(INDEX(MASTER_SOURCE!$C$2:$C$495,MATCH($I372,MASTER_SOURCE!$A$2:$A$495,0)),""))</f>
        <v/>
      </c>
      <c r="L372" s="22">
        <f t="array" ref="L372">IF($D372="","",IFERROR(INDEX(MASTER_SOURCE!$D$2:$D$495,MATCH($I372,MASTER_SOURCE!$A$2:$A$495,0)),""))</f>
        <v/>
      </c>
      <c r="M372" s="24" t="inlineStr">
        <is>
          <t>Có</t>
        </is>
      </c>
      <c r="N372" s="24" t="inlineStr">
        <is>
          <t>Có</t>
        </is>
      </c>
      <c r="O372" s="24" t="inlineStr">
        <is>
          <t>Có</t>
        </is>
      </c>
      <c r="P372" s="24" t="inlineStr">
        <is>
          <t>Có</t>
        </is>
      </c>
      <c r="Q372" s="22">
        <f>IF($D372="","",IF(AND(OR(DANH_MUC!$L$5&lt;&gt;"Có",M372="Có"),OR(DANH_MUC!$L$6&lt;&gt;"Có",N372="Có"),OR(DANH_MUC!$L$7&lt;&gt;"Có",O372="Có"),OR(DANH_MUC!$L$8&lt;&gt;"Có",P372="Có")),"Có","Không"))</f>
        <v/>
      </c>
      <c r="R372" s="22">
        <f>IF($D372="","",IF(COUNTIF($D$2:$D372,$D372)&gt;1,"Trùng",""))</f>
        <v/>
      </c>
      <c r="S372" s="22">
        <f>IF($D372="","",IF(AND(LEN($D372)=10,LEFT($D372,1)="0",ISNUMBER(--$D372)),"Có","Không"))</f>
        <v/>
      </c>
      <c r="T372" s="22">
        <f>IF($D372="","",IF(AND($C372&lt;&gt;"",$Q372="Có",$R372="",$S372="Có",AND($L372&lt;&gt;"",OR($L372&lt;&gt;"Chưa xác định",DANH_MUC!$L$9="Có"))),"Có","Không"))</f>
        <v/>
      </c>
      <c r="U372" s="22">
        <f>IF(OR($D372="",$T372="Có"),"",IF($C372="","Thiếu họ tên; ","")&amp;IF($S372&lt;&gt;"Có","SĐT sai định dạng; ","")&amp;IF($R372="Trùng","Trùng SĐT; ","")&amp;IF($Q372&lt;&gt;"Có","Thiếu đồng ý bắt buộc; ","")&amp;IF($L372="","Thiếu/sai Mã REF; ",IF(AND($L372="Chưa xác định",DANH_MUC!$L$9&lt;&gt;"Có"),"Nguồn chưa xác định; ","")))</f>
        <v/>
      </c>
      <c r="V372" s="22">
        <f>IF(OR($D372="",$R372="Trùng"),"",IF(COUNTIF(ORDERS!$C$2:$C$4995,$D372)&gt;0,"Có","Không"))</f>
        <v/>
      </c>
      <c r="W372" s="22">
        <f>IF(OR($D372="",$R372="Trùng"),"",COUNTIFS(ORDERS!$C$2:$C$4995,$D372,ORDERS!$L$2:$L$4995,"Đã chuyển khoản"))</f>
        <v/>
      </c>
      <c r="X372" s="23">
        <f>IF(OR($D372="",$R372="Trùng"),"",SUMIFS(ORDERS!$J$2:$J$4995,ORDERS!$C$2:$C$4995,$D372,ORDERS!$L$2:$L$4995,"Đã chuyển khoản"))</f>
        <v/>
      </c>
      <c r="Y372" s="24" t="n"/>
    </row>
    <row r="373" ht="14.25" customHeight="1" s="40">
      <c r="A373" s="24" t="inlineStr">
        <is>
          <t>247e58a5-f503-48bf-bf0d-ecebe382f47d</t>
        </is>
      </c>
      <c r="B373" s="27" t="n">
        <v>46297.35625</v>
      </c>
      <c r="C373" s="24" t="inlineStr">
        <is>
          <t>nguyễn thị vân anh</t>
        </is>
      </c>
      <c r="D373" s="28" t="inlineStr">
        <is>
          <t>0941257805</t>
        </is>
      </c>
      <c r="E373" s="29" t="n">
        <v>46367</v>
      </c>
      <c r="F373" s="24" t="inlineStr">
        <is>
          <t>Đang mang thai</t>
        </is>
      </c>
      <c r="G373" s="24" t="inlineStr">
        <is>
          <t>Bắc Ninh</t>
        </is>
      </c>
      <c r="H373" s="21">
        <f>IF(ISNUMBER($B373),INT($B373)-WEEKDAY($B373,2)+1,"")</f>
        <v/>
      </c>
      <c r="I373" s="24" t="inlineStr">
        <is>
          <t>Z-GREEN</t>
        </is>
      </c>
      <c r="J373" s="22">
        <f t="array" ref="J373">IF($D373="","",IF($I373="","(trống REF)",IFERROR(INDEX(MASTER_SOURCE!$B$2:$B$495,MATCH($I373,MASTER_SOURCE!$A$2:$A$495,0)),"(REF không có trong MASTER_SOURCE)")))</f>
        <v/>
      </c>
      <c r="K373" s="22">
        <f t="array" ref="K373">IF($D373="","",IFERROR(INDEX(MASTER_SOURCE!$C$2:$C$495,MATCH($I373,MASTER_SOURCE!$A$2:$A$495,0)),""))</f>
        <v/>
      </c>
      <c r="L373" s="22">
        <f t="array" ref="L373">IF($D373="","",IFERROR(INDEX(MASTER_SOURCE!$D$2:$D$495,MATCH($I373,MASTER_SOURCE!$A$2:$A$495,0)),""))</f>
        <v/>
      </c>
      <c r="M373" s="24" t="inlineStr">
        <is>
          <t>Có</t>
        </is>
      </c>
      <c r="N373" s="24" t="inlineStr">
        <is>
          <t>Có</t>
        </is>
      </c>
      <c r="O373" s="24" t="inlineStr">
        <is>
          <t>Có</t>
        </is>
      </c>
      <c r="P373" s="24" t="inlineStr">
        <is>
          <t>Có</t>
        </is>
      </c>
      <c r="Q373" s="22">
        <f>IF($D373="","",IF(AND(OR(DANH_MUC!$L$5&lt;&gt;"Có",M373="Có"),OR(DANH_MUC!$L$6&lt;&gt;"Có",N373="Có"),OR(DANH_MUC!$L$7&lt;&gt;"Có",O373="Có"),OR(DANH_MUC!$L$8&lt;&gt;"Có",P373="Có")),"Có","Không"))</f>
        <v/>
      </c>
      <c r="R373" s="22">
        <f>IF($D373="","",IF(COUNTIF($D$2:$D373,$D373)&gt;1,"Trùng",""))</f>
        <v/>
      </c>
      <c r="S373" s="22">
        <f>IF($D373="","",IF(AND(LEN($D373)=10,LEFT($D373,1)="0",ISNUMBER(--$D373)),"Có","Không"))</f>
        <v/>
      </c>
      <c r="T373" s="22">
        <f>IF($D373="","",IF(AND($C373&lt;&gt;"",$Q373="Có",$R373="",$S373="Có",AND($L373&lt;&gt;"",OR($L373&lt;&gt;"Chưa xác định",DANH_MUC!$L$9="Có"))),"Có","Không"))</f>
        <v/>
      </c>
      <c r="U373" s="22">
        <f>IF(OR($D373="",$T373="Có"),"",IF($C373="","Thiếu họ tên; ","")&amp;IF($S373&lt;&gt;"Có","SĐT sai định dạng; ","")&amp;IF($R373="Trùng","Trùng SĐT; ","")&amp;IF($Q373&lt;&gt;"Có","Thiếu đồng ý bắt buộc; ","")&amp;IF($L373="","Thiếu/sai Mã REF; ",IF(AND($L373="Chưa xác định",DANH_MUC!$L$9&lt;&gt;"Có"),"Nguồn chưa xác định; ","")))</f>
        <v/>
      </c>
      <c r="V373" s="22">
        <f>IF(OR($D373="",$R373="Trùng"),"",IF(COUNTIF(ORDERS!$C$2:$C$4995,$D373)&gt;0,"Có","Không"))</f>
        <v/>
      </c>
      <c r="W373" s="22">
        <f>IF(OR($D373="",$R373="Trùng"),"",COUNTIFS(ORDERS!$C$2:$C$4995,$D373,ORDERS!$L$2:$L$4995,"Đã chuyển khoản"))</f>
        <v/>
      </c>
      <c r="X373" s="23">
        <f>IF(OR($D373="",$R373="Trùng"),"",SUMIFS(ORDERS!$J$2:$J$4995,ORDERS!$C$2:$C$4995,$D373,ORDERS!$L$2:$L$4995,"Đã chuyển khoản"))</f>
        <v/>
      </c>
      <c r="Y373" s="24" t="n"/>
    </row>
    <row r="374" ht="14.25" customHeight="1" s="40">
      <c r="A374" s="24" t="inlineStr">
        <is>
          <t>04d70677-d96a-4372-8258-e765414eb918</t>
        </is>
      </c>
      <c r="B374" s="27" t="n">
        <v>46297.40208333333</v>
      </c>
      <c r="C374" s="24" t="inlineStr">
        <is>
          <t>Phạm Thanh Hiền</t>
        </is>
      </c>
      <c r="D374" s="28" t="inlineStr">
        <is>
          <t>0987098815</t>
        </is>
      </c>
      <c r="E374" s="29" t="n">
        <v>46211</v>
      </c>
      <c r="F374" s="24" t="inlineStr">
        <is>
          <t>Đã sinh</t>
        </is>
      </c>
      <c r="G374" s="24" t="inlineStr">
        <is>
          <t>Hồ Chí Minh</t>
        </is>
      </c>
      <c r="H374" s="21">
        <f>IF(ISNUMBER($B374),INT($B374)-WEEKDAY($B374,2)+1,"")</f>
        <v/>
      </c>
      <c r="I374" s="24" t="inlineStr">
        <is>
          <t>C-01</t>
        </is>
      </c>
      <c r="J374" s="22">
        <f t="array" ref="J374">IF($D374="","",IF($I374="","(trống REF)",IFERROR(INDEX(MASTER_SOURCE!$B$2:$B$495,MATCH($I374,MASTER_SOURCE!$A$2:$A$495,0)),"(REF không có trong MASTER_SOURCE)")))</f>
        <v/>
      </c>
      <c r="K374" s="22">
        <f t="array" ref="K374">IF($D374="","",IFERROR(INDEX(MASTER_SOURCE!$C$2:$C$495,MATCH($I374,MASTER_SOURCE!$A$2:$A$495,0)),""))</f>
        <v/>
      </c>
      <c r="L374" s="22">
        <f t="array" ref="L374">IF($D374="","",IFERROR(INDEX(MASTER_SOURCE!$D$2:$D$495,MATCH($I374,MASTER_SOURCE!$A$2:$A$495,0)),""))</f>
        <v/>
      </c>
      <c r="M374" s="24" t="inlineStr">
        <is>
          <t>Có</t>
        </is>
      </c>
      <c r="N374" s="24" t="inlineStr">
        <is>
          <t>Có</t>
        </is>
      </c>
      <c r="O374" s="24" t="inlineStr">
        <is>
          <t>Có</t>
        </is>
      </c>
      <c r="P374" s="24" t="inlineStr">
        <is>
          <t>Có</t>
        </is>
      </c>
      <c r="Q374" s="22">
        <f>IF($D374="","",IF(AND(OR(DANH_MUC!$L$5&lt;&gt;"Có",M374="Có"),OR(DANH_MUC!$L$6&lt;&gt;"Có",N374="Có"),OR(DANH_MUC!$L$7&lt;&gt;"Có",O374="Có"),OR(DANH_MUC!$L$8&lt;&gt;"Có",P374="Có")),"Có","Không"))</f>
        <v/>
      </c>
      <c r="R374" s="22">
        <f>IF($D374="","",IF(COUNTIF($D$2:$D374,$D374)&gt;1,"Trùng",""))</f>
        <v/>
      </c>
      <c r="S374" s="22">
        <f>IF($D374="","",IF(AND(LEN($D374)=10,LEFT($D374,1)="0",ISNUMBER(--$D374)),"Có","Không"))</f>
        <v/>
      </c>
      <c r="T374" s="22">
        <f>IF($D374="","",IF(AND($C374&lt;&gt;"",$Q374="Có",$R374="",$S374="Có",AND($L374&lt;&gt;"",OR($L374&lt;&gt;"Chưa xác định",DANH_MUC!$L$9="Có"))),"Có","Không"))</f>
        <v/>
      </c>
      <c r="U374" s="22">
        <f>IF(OR($D374="",$T374="Có"),"",IF($C374="","Thiếu họ tên; ","")&amp;IF($S374&lt;&gt;"Có","SĐT sai định dạng; ","")&amp;IF($R374="Trùng","Trùng SĐT; ","")&amp;IF($Q374&lt;&gt;"Có","Thiếu đồng ý bắt buộc; ","")&amp;IF($L374="","Thiếu/sai Mã REF; ",IF(AND($L374="Chưa xác định",DANH_MUC!$L$9&lt;&gt;"Có"),"Nguồn chưa xác định; ","")))</f>
        <v/>
      </c>
      <c r="V374" s="22">
        <f>IF(OR($D374="",$R374="Trùng"),"",IF(COUNTIF(ORDERS!$C$2:$C$4995,$D374)&gt;0,"Có","Không"))</f>
        <v/>
      </c>
      <c r="W374" s="22">
        <f>IF(OR($D374="",$R374="Trùng"),"",COUNTIFS(ORDERS!$C$2:$C$4995,$D374,ORDERS!$L$2:$L$4995,"Đã chuyển khoản"))</f>
        <v/>
      </c>
      <c r="X374" s="23">
        <f>IF(OR($D374="",$R374="Trùng"),"",SUMIFS(ORDERS!$J$2:$J$4995,ORDERS!$C$2:$C$4995,$D374,ORDERS!$L$2:$L$4995,"Đã chuyển khoản"))</f>
        <v/>
      </c>
      <c r="Y374" s="24" t="n"/>
    </row>
    <row r="375" ht="14.25" customHeight="1" s="40">
      <c r="A375" s="24" t="inlineStr">
        <is>
          <t>a24f1b34-11ee-4228-852f-30a04eeae7d2</t>
        </is>
      </c>
      <c r="B375" s="27" t="n">
        <v>46297.42430555556</v>
      </c>
      <c r="C375" s="24" t="inlineStr">
        <is>
          <t>Hoàng Thị Ngọc</t>
        </is>
      </c>
      <c r="D375" s="28" t="inlineStr">
        <is>
          <t>0981711336</t>
        </is>
      </c>
      <c r="E375" s="29" t="n">
        <v>45870</v>
      </c>
      <c r="F375" s="24" t="inlineStr">
        <is>
          <t>Đã sinh</t>
        </is>
      </c>
      <c r="G375" s="24" t="inlineStr">
        <is>
          <t>Bắc Ninh</t>
        </is>
      </c>
      <c r="H375" s="21">
        <f>IF(ISNUMBER($B375),INT($B375)-WEEKDAY($B375,2)+1,"")</f>
        <v/>
      </c>
      <c r="I375" s="24" t="inlineStr">
        <is>
          <t>C-08</t>
        </is>
      </c>
      <c r="J375" s="22">
        <f t="array" ref="J375">IF($D375="","",IF($I375="","(trống REF)",IFERROR(INDEX(MASTER_SOURCE!$B$2:$B$495,MATCH($I375,MASTER_SOURCE!$A$2:$A$495,0)),"(REF không có trong MASTER_SOURCE)")))</f>
        <v/>
      </c>
      <c r="K375" s="22">
        <f t="array" ref="K375">IF($D375="","",IFERROR(INDEX(MASTER_SOURCE!$C$2:$C$495,MATCH($I375,MASTER_SOURCE!$A$2:$A$495,0)),""))</f>
        <v/>
      </c>
      <c r="L375" s="22">
        <f t="array" ref="L375">IF($D375="","",IFERROR(INDEX(MASTER_SOURCE!$D$2:$D$495,MATCH($I375,MASTER_SOURCE!$A$2:$A$495,0)),""))</f>
        <v/>
      </c>
      <c r="M375" s="24" t="inlineStr">
        <is>
          <t>Có</t>
        </is>
      </c>
      <c r="N375" s="24" t="inlineStr">
        <is>
          <t>Có</t>
        </is>
      </c>
      <c r="O375" s="24" t="inlineStr">
        <is>
          <t>Có</t>
        </is>
      </c>
      <c r="P375" s="24" t="inlineStr">
        <is>
          <t>Có</t>
        </is>
      </c>
      <c r="Q375" s="22">
        <f>IF($D375="","",IF(AND(OR(DANH_MUC!$L$5&lt;&gt;"Có",M375="Có"),OR(DANH_MUC!$L$6&lt;&gt;"Có",N375="Có"),OR(DANH_MUC!$L$7&lt;&gt;"Có",O375="Có"),OR(DANH_MUC!$L$8&lt;&gt;"Có",P375="Có")),"Có","Không"))</f>
        <v/>
      </c>
      <c r="R375" s="22">
        <f>IF($D375="","",IF(COUNTIF($D$2:$D375,$D375)&gt;1,"Trùng",""))</f>
        <v/>
      </c>
      <c r="S375" s="22">
        <f>IF($D375="","",IF(AND(LEN($D375)=10,LEFT($D375,1)="0",ISNUMBER(--$D375)),"Có","Không"))</f>
        <v/>
      </c>
      <c r="T375" s="22">
        <f>IF($D375="","",IF(AND($C375&lt;&gt;"",$Q375="Có",$R375="",$S375="Có",AND($L375&lt;&gt;"",OR($L375&lt;&gt;"Chưa xác định",DANH_MUC!$L$9="Có"))),"Có","Không"))</f>
        <v/>
      </c>
      <c r="U375" s="22">
        <f>IF(OR($D375="",$T375="Có"),"",IF($C375="","Thiếu họ tên; ","")&amp;IF($S375&lt;&gt;"Có","SĐT sai định dạng; ","")&amp;IF($R375="Trùng","Trùng SĐT; ","")&amp;IF($Q375&lt;&gt;"Có","Thiếu đồng ý bắt buộc; ","")&amp;IF($L375="","Thiếu/sai Mã REF; ",IF(AND($L375="Chưa xác định",DANH_MUC!$L$9&lt;&gt;"Có"),"Nguồn chưa xác định; ","")))</f>
        <v/>
      </c>
      <c r="V375" s="22">
        <f>IF(OR($D375="",$R375="Trùng"),"",IF(COUNTIF(ORDERS!$C$2:$C$4995,$D375)&gt;0,"Có","Không"))</f>
        <v/>
      </c>
      <c r="W375" s="22">
        <f>IF(OR($D375="",$R375="Trùng"),"",COUNTIFS(ORDERS!$C$2:$C$4995,$D375,ORDERS!$L$2:$L$4995,"Đã chuyển khoản"))</f>
        <v/>
      </c>
      <c r="X375" s="23">
        <f>IF(OR($D375="",$R375="Trùng"),"",SUMIFS(ORDERS!$J$2:$J$4995,ORDERS!$C$2:$C$4995,$D375,ORDERS!$L$2:$L$4995,"Đã chuyển khoản"))</f>
        <v/>
      </c>
      <c r="Y375" s="24" t="n"/>
    </row>
    <row r="376" ht="14.25" customHeight="1" s="40">
      <c r="A376" s="24" t="inlineStr">
        <is>
          <t>5b13520e-2c32-4c4f-90e1-0c84b4ecbf49</t>
        </is>
      </c>
      <c r="B376" s="27" t="n">
        <v>46297.43611111111</v>
      </c>
      <c r="C376" s="24" t="inlineStr">
        <is>
          <t>Hồng Thiệp</t>
        </is>
      </c>
      <c r="D376" s="28" t="inlineStr">
        <is>
          <t>0935064577</t>
        </is>
      </c>
      <c r="E376" s="29" t="n">
        <v>45785</v>
      </c>
      <c r="F376" s="24" t="inlineStr">
        <is>
          <t>Đã sinh</t>
        </is>
      </c>
      <c r="G376" s="24" t="inlineStr">
        <is>
          <t>Gia Lai</t>
        </is>
      </c>
      <c r="H376" s="21">
        <f>IF(ISNUMBER($B376),INT($B376)-WEEKDAY($B376,2)+1,"")</f>
        <v/>
      </c>
      <c r="I376" s="24" t="inlineStr">
        <is>
          <t>C-09</t>
        </is>
      </c>
      <c r="J376" s="22">
        <f t="array" ref="J376">IF($D376="","",IF($I376="","(trống REF)",IFERROR(INDEX(MASTER_SOURCE!$B$2:$B$495,MATCH($I376,MASTER_SOURCE!$A$2:$A$495,0)),"(REF không có trong MASTER_SOURCE)")))</f>
        <v/>
      </c>
      <c r="K376" s="22">
        <f t="array" ref="K376">IF($D376="","",IFERROR(INDEX(MASTER_SOURCE!$C$2:$C$495,MATCH($I376,MASTER_SOURCE!$A$2:$A$495,0)),""))</f>
        <v/>
      </c>
      <c r="L376" s="22">
        <f t="array" ref="L376">IF($D376="","",IFERROR(INDEX(MASTER_SOURCE!$D$2:$D$495,MATCH($I376,MASTER_SOURCE!$A$2:$A$495,0)),""))</f>
        <v/>
      </c>
      <c r="M376" s="24" t="inlineStr">
        <is>
          <t>Có</t>
        </is>
      </c>
      <c r="N376" s="24" t="inlineStr">
        <is>
          <t>Có</t>
        </is>
      </c>
      <c r="O376" s="24" t="inlineStr">
        <is>
          <t>Có</t>
        </is>
      </c>
      <c r="P376" s="24" t="inlineStr">
        <is>
          <t>Có</t>
        </is>
      </c>
      <c r="Q376" s="22">
        <f>IF($D376="","",IF(AND(OR(DANH_MUC!$L$5&lt;&gt;"Có",M376="Có"),OR(DANH_MUC!$L$6&lt;&gt;"Có",N376="Có"),OR(DANH_MUC!$L$7&lt;&gt;"Có",O376="Có"),OR(DANH_MUC!$L$8&lt;&gt;"Có",P376="Có")),"Có","Không"))</f>
        <v/>
      </c>
      <c r="R376" s="22">
        <f>IF($D376="","",IF(COUNTIF($D$2:$D376,$D376)&gt;1,"Trùng",""))</f>
        <v/>
      </c>
      <c r="S376" s="22">
        <f>IF($D376="","",IF(AND(LEN($D376)=10,LEFT($D376,1)="0",ISNUMBER(--$D376)),"Có","Không"))</f>
        <v/>
      </c>
      <c r="T376" s="22">
        <f>IF($D376="","",IF(AND($C376&lt;&gt;"",$Q376="Có",$R376="",$S376="Có",AND($L376&lt;&gt;"",OR($L376&lt;&gt;"Chưa xác định",DANH_MUC!$L$9="Có"))),"Có","Không"))</f>
        <v/>
      </c>
      <c r="U376" s="22">
        <f>IF(OR($D376="",$T376="Có"),"",IF($C376="","Thiếu họ tên; ","")&amp;IF($S376&lt;&gt;"Có","SĐT sai định dạng; ","")&amp;IF($R376="Trùng","Trùng SĐT; ","")&amp;IF($Q376&lt;&gt;"Có","Thiếu đồng ý bắt buộc; ","")&amp;IF($L376="","Thiếu/sai Mã REF; ",IF(AND($L376="Chưa xác định",DANH_MUC!$L$9&lt;&gt;"Có"),"Nguồn chưa xác định; ","")))</f>
        <v/>
      </c>
      <c r="V376" s="22">
        <f>IF(OR($D376="",$R376="Trùng"),"",IF(COUNTIF(ORDERS!$C$2:$C$4995,$D376)&gt;0,"Có","Không"))</f>
        <v/>
      </c>
      <c r="W376" s="22">
        <f>IF(OR($D376="",$R376="Trùng"),"",COUNTIFS(ORDERS!$C$2:$C$4995,$D376,ORDERS!$L$2:$L$4995,"Đã chuyển khoản"))</f>
        <v/>
      </c>
      <c r="X376" s="23">
        <f>IF(OR($D376="",$R376="Trùng"),"",SUMIFS(ORDERS!$J$2:$J$4995,ORDERS!$C$2:$C$4995,$D376,ORDERS!$L$2:$L$4995,"Đã chuyển khoản"))</f>
        <v/>
      </c>
      <c r="Y376" s="24" t="n"/>
    </row>
    <row r="377" ht="14.25" customHeight="1" s="40">
      <c r="A377" s="24" t="inlineStr">
        <is>
          <t>87720507-2ee1-4cb0-bc4c-c4258a8f972c</t>
        </is>
      </c>
      <c r="B377" s="27" t="n">
        <v>46297.4375</v>
      </c>
      <c r="C377" s="24" t="inlineStr">
        <is>
          <t>Huỳnh Thị Kim Thu</t>
        </is>
      </c>
      <c r="D377" s="28" t="inlineStr">
        <is>
          <t>0387178928</t>
        </is>
      </c>
      <c r="E377" s="29" t="n">
        <v>45908</v>
      </c>
      <c r="F377" s="24" t="inlineStr">
        <is>
          <t>Đã sinh</t>
        </is>
      </c>
      <c r="G377" s="24" t="inlineStr">
        <is>
          <t>Tây Ninh</t>
        </is>
      </c>
      <c r="H377" s="21">
        <f>IF(ISNUMBER($B377),INT($B377)-WEEKDAY($B377,2)+1,"")</f>
        <v/>
      </c>
      <c r="I377" s="24" t="inlineStr">
        <is>
          <t>C-09</t>
        </is>
      </c>
      <c r="J377" s="22">
        <f t="array" ref="J377">IF($D377="","",IF($I377="","(trống REF)",IFERROR(INDEX(MASTER_SOURCE!$B$2:$B$495,MATCH($I377,MASTER_SOURCE!$A$2:$A$495,0)),"(REF không có trong MASTER_SOURCE)")))</f>
        <v/>
      </c>
      <c r="K377" s="22">
        <f t="array" ref="K377">IF($D377="","",IFERROR(INDEX(MASTER_SOURCE!$C$2:$C$495,MATCH($I377,MASTER_SOURCE!$A$2:$A$495,0)),""))</f>
        <v/>
      </c>
      <c r="L377" s="22">
        <f t="array" ref="L377">IF($D377="","",IFERROR(INDEX(MASTER_SOURCE!$D$2:$D$495,MATCH($I377,MASTER_SOURCE!$A$2:$A$495,0)),""))</f>
        <v/>
      </c>
      <c r="M377" s="24" t="inlineStr">
        <is>
          <t>Có</t>
        </is>
      </c>
      <c r="N377" s="24" t="inlineStr">
        <is>
          <t>Có</t>
        </is>
      </c>
      <c r="O377" s="24" t="inlineStr">
        <is>
          <t>Có</t>
        </is>
      </c>
      <c r="P377" s="24" t="inlineStr">
        <is>
          <t>Có</t>
        </is>
      </c>
      <c r="Q377" s="22">
        <f>IF($D377="","",IF(AND(OR(DANH_MUC!$L$5&lt;&gt;"Có",M377="Có"),OR(DANH_MUC!$L$6&lt;&gt;"Có",N377="Có"),OR(DANH_MUC!$L$7&lt;&gt;"Có",O377="Có"),OR(DANH_MUC!$L$8&lt;&gt;"Có",P377="Có")),"Có","Không"))</f>
        <v/>
      </c>
      <c r="R377" s="22">
        <f>IF($D377="","",IF(COUNTIF($D$2:$D377,$D377)&gt;1,"Trùng",""))</f>
        <v/>
      </c>
      <c r="S377" s="22">
        <f>IF($D377="","",IF(AND(LEN($D377)=10,LEFT($D377,1)="0",ISNUMBER(--$D377)),"Có","Không"))</f>
        <v/>
      </c>
      <c r="T377" s="22">
        <f>IF($D377="","",IF(AND($C377&lt;&gt;"",$Q377="Có",$R377="",$S377="Có",AND($L377&lt;&gt;"",OR($L377&lt;&gt;"Chưa xác định",DANH_MUC!$L$9="Có"))),"Có","Không"))</f>
        <v/>
      </c>
      <c r="U377" s="22">
        <f>IF(OR($D377="",$T377="Có"),"",IF($C377="","Thiếu họ tên; ","")&amp;IF($S377&lt;&gt;"Có","SĐT sai định dạng; ","")&amp;IF($R377="Trùng","Trùng SĐT; ","")&amp;IF($Q377&lt;&gt;"Có","Thiếu đồng ý bắt buộc; ","")&amp;IF($L377="","Thiếu/sai Mã REF; ",IF(AND($L377="Chưa xác định",DANH_MUC!$L$9&lt;&gt;"Có"),"Nguồn chưa xác định; ","")))</f>
        <v/>
      </c>
      <c r="V377" s="22">
        <f>IF(OR($D377="",$R377="Trùng"),"",IF(COUNTIF(ORDERS!$C$2:$C$4995,$D377)&gt;0,"Có","Không"))</f>
        <v/>
      </c>
      <c r="W377" s="22">
        <f>IF(OR($D377="",$R377="Trùng"),"",COUNTIFS(ORDERS!$C$2:$C$4995,$D377,ORDERS!$L$2:$L$4995,"Đã chuyển khoản"))</f>
        <v/>
      </c>
      <c r="X377" s="23">
        <f>IF(OR($D377="",$R377="Trùng"),"",SUMIFS(ORDERS!$J$2:$J$4995,ORDERS!$C$2:$C$4995,$D377,ORDERS!$L$2:$L$4995,"Đã chuyển khoản"))</f>
        <v/>
      </c>
      <c r="Y377" s="24" t="n"/>
    </row>
    <row r="378" ht="14.25" customHeight="1" s="40">
      <c r="A378" s="24" t="inlineStr">
        <is>
          <t>2b33e6de-0221-4a60-ac3e-d2fe05b514ce</t>
        </is>
      </c>
      <c r="B378" s="27" t="n">
        <v>46297.46666666667</v>
      </c>
      <c r="C378" s="24" t="inlineStr">
        <is>
          <t>Vũ thị bưởi</t>
        </is>
      </c>
      <c r="D378" s="28" t="inlineStr">
        <is>
          <t>0392919281</t>
        </is>
      </c>
      <c r="E378" s="29" t="n">
        <v>46079</v>
      </c>
      <c r="F378" s="24" t="inlineStr">
        <is>
          <t>Đã sinh</t>
        </is>
      </c>
      <c r="G378" s="24" t="inlineStr">
        <is>
          <t>Hưng Yên</t>
        </is>
      </c>
      <c r="H378" s="21">
        <f>IF(ISNUMBER($B378),INT($B378)-WEEKDAY($B378,2)+1,"")</f>
        <v/>
      </c>
      <c r="I378" s="24" t="inlineStr">
        <is>
          <t>C-09</t>
        </is>
      </c>
      <c r="J378" s="22">
        <f t="array" ref="J378">IF($D378="","",IF($I378="","(trống REF)",IFERROR(INDEX(MASTER_SOURCE!$B$2:$B$495,MATCH($I378,MASTER_SOURCE!$A$2:$A$495,0)),"(REF không có trong MASTER_SOURCE)")))</f>
        <v/>
      </c>
      <c r="K378" s="22">
        <f t="array" ref="K378">IF($D378="","",IFERROR(INDEX(MASTER_SOURCE!$C$2:$C$495,MATCH($I378,MASTER_SOURCE!$A$2:$A$495,0)),""))</f>
        <v/>
      </c>
      <c r="L378" s="22">
        <f t="array" ref="L378">IF($D378="","",IFERROR(INDEX(MASTER_SOURCE!$D$2:$D$495,MATCH($I378,MASTER_SOURCE!$A$2:$A$495,0)),""))</f>
        <v/>
      </c>
      <c r="M378" s="24" t="inlineStr">
        <is>
          <t>Có</t>
        </is>
      </c>
      <c r="N378" s="24" t="inlineStr">
        <is>
          <t>Có</t>
        </is>
      </c>
      <c r="O378" s="24" t="inlineStr">
        <is>
          <t>Có</t>
        </is>
      </c>
      <c r="P378" s="24" t="inlineStr">
        <is>
          <t>Có</t>
        </is>
      </c>
      <c r="Q378" s="22">
        <f>IF($D378="","",IF(AND(OR(DANH_MUC!$L$5&lt;&gt;"Có",M378="Có"),OR(DANH_MUC!$L$6&lt;&gt;"Có",N378="Có"),OR(DANH_MUC!$L$7&lt;&gt;"Có",O378="Có"),OR(DANH_MUC!$L$8&lt;&gt;"Có",P378="Có")),"Có","Không"))</f>
        <v/>
      </c>
      <c r="R378" s="22">
        <f>IF($D378="","",IF(COUNTIF($D$2:$D378,$D378)&gt;1,"Trùng",""))</f>
        <v/>
      </c>
      <c r="S378" s="22">
        <f>IF($D378="","",IF(AND(LEN($D378)=10,LEFT($D378,1)="0",ISNUMBER(--$D378)),"Có","Không"))</f>
        <v/>
      </c>
      <c r="T378" s="22">
        <f>IF($D378="","",IF(AND($C378&lt;&gt;"",$Q378="Có",$R378="",$S378="Có",AND($L378&lt;&gt;"",OR($L378&lt;&gt;"Chưa xác định",DANH_MUC!$L$9="Có"))),"Có","Không"))</f>
        <v/>
      </c>
      <c r="U378" s="22">
        <f>IF(OR($D378="",$T378="Có"),"",IF($C378="","Thiếu họ tên; ","")&amp;IF($S378&lt;&gt;"Có","SĐT sai định dạng; ","")&amp;IF($R378="Trùng","Trùng SĐT; ","")&amp;IF($Q378&lt;&gt;"Có","Thiếu đồng ý bắt buộc; ","")&amp;IF($L378="","Thiếu/sai Mã REF; ",IF(AND($L378="Chưa xác định",DANH_MUC!$L$9&lt;&gt;"Có"),"Nguồn chưa xác định; ","")))</f>
        <v/>
      </c>
      <c r="V378" s="22">
        <f>IF(OR($D378="",$R378="Trùng"),"",IF(COUNTIF(ORDERS!$C$2:$C$4995,$D378)&gt;0,"Có","Không"))</f>
        <v/>
      </c>
      <c r="W378" s="22">
        <f>IF(OR($D378="",$R378="Trùng"),"",COUNTIFS(ORDERS!$C$2:$C$4995,$D378,ORDERS!$L$2:$L$4995,"Đã chuyển khoản"))</f>
        <v/>
      </c>
      <c r="X378" s="23">
        <f>IF(OR($D378="",$R378="Trùng"),"",SUMIFS(ORDERS!$J$2:$J$4995,ORDERS!$C$2:$C$4995,$D378,ORDERS!$L$2:$L$4995,"Đã chuyển khoản"))</f>
        <v/>
      </c>
      <c r="Y378" s="24" t="n"/>
    </row>
    <row r="379" ht="14.25" customHeight="1" s="40">
      <c r="A379" s="24" t="inlineStr">
        <is>
          <t>41eb5eec-d3b5-4561-a0f4-772b013e8604</t>
        </is>
      </c>
      <c r="B379" s="27" t="n">
        <v>46297.48958333334</v>
      </c>
      <c r="C379" s="24" t="inlineStr">
        <is>
          <t>Đào Anh Thư</t>
        </is>
      </c>
      <c r="D379" s="28" t="inlineStr">
        <is>
          <t>0968756463</t>
        </is>
      </c>
      <c r="E379" s="29" t="n">
        <v>46089</v>
      </c>
      <c r="F379" s="24" t="inlineStr">
        <is>
          <t>Đã sinh</t>
        </is>
      </c>
      <c r="G379" s="24" t="inlineStr">
        <is>
          <t>Hà Nội</t>
        </is>
      </c>
      <c r="H379" s="21">
        <f>IF(ISNUMBER($B379),INT($B379)-WEEKDAY($B379,2)+1,"")</f>
        <v/>
      </c>
      <c r="I379" s="24" t="inlineStr">
        <is>
          <t>C-03</t>
        </is>
      </c>
      <c r="J379" s="22">
        <f t="array" ref="J379">IF($D379="","",IF($I379="","(trống REF)",IFERROR(INDEX(MASTER_SOURCE!$B$2:$B$495,MATCH($I379,MASTER_SOURCE!$A$2:$A$495,0)),"(REF không có trong MASTER_SOURCE)")))</f>
        <v/>
      </c>
      <c r="K379" s="22">
        <f t="array" ref="K379">IF($D379="","",IFERROR(INDEX(MASTER_SOURCE!$C$2:$C$495,MATCH($I379,MASTER_SOURCE!$A$2:$A$495,0)),""))</f>
        <v/>
      </c>
      <c r="L379" s="22">
        <f t="array" ref="L379">IF($D379="","",IFERROR(INDEX(MASTER_SOURCE!$D$2:$D$495,MATCH($I379,MASTER_SOURCE!$A$2:$A$495,0)),""))</f>
        <v/>
      </c>
      <c r="M379" s="24" t="inlineStr">
        <is>
          <t>Có</t>
        </is>
      </c>
      <c r="N379" s="24" t="inlineStr">
        <is>
          <t>Có</t>
        </is>
      </c>
      <c r="O379" s="24" t="inlineStr">
        <is>
          <t>Có</t>
        </is>
      </c>
      <c r="P379" s="24" t="inlineStr">
        <is>
          <t>Có</t>
        </is>
      </c>
      <c r="Q379" s="22">
        <f>IF($D379="","",IF(AND(OR(DANH_MUC!$L$5&lt;&gt;"Có",M379="Có"),OR(DANH_MUC!$L$6&lt;&gt;"Có",N379="Có"),OR(DANH_MUC!$L$7&lt;&gt;"Có",O379="Có"),OR(DANH_MUC!$L$8&lt;&gt;"Có",P379="Có")),"Có","Không"))</f>
        <v/>
      </c>
      <c r="R379" s="22">
        <f>IF($D379="","",IF(COUNTIF($D$2:$D379,$D379)&gt;1,"Trùng",""))</f>
        <v/>
      </c>
      <c r="S379" s="22">
        <f>IF($D379="","",IF(AND(LEN($D379)=10,LEFT($D379,1)="0",ISNUMBER(--$D379)),"Có","Không"))</f>
        <v/>
      </c>
      <c r="T379" s="22">
        <f>IF($D379="","",IF(AND($C379&lt;&gt;"",$Q379="Có",$R379="",$S379="Có",AND($L379&lt;&gt;"",OR($L379&lt;&gt;"Chưa xác định",DANH_MUC!$L$9="Có"))),"Có","Không"))</f>
        <v/>
      </c>
      <c r="U379" s="22">
        <f>IF(OR($D379="",$T379="Có"),"",IF($C379="","Thiếu họ tên; ","")&amp;IF($S379&lt;&gt;"Có","SĐT sai định dạng; ","")&amp;IF($R379="Trùng","Trùng SĐT; ","")&amp;IF($Q379&lt;&gt;"Có","Thiếu đồng ý bắt buộc; ","")&amp;IF($L379="","Thiếu/sai Mã REF; ",IF(AND($L379="Chưa xác định",DANH_MUC!$L$9&lt;&gt;"Có"),"Nguồn chưa xác định; ","")))</f>
        <v/>
      </c>
      <c r="V379" s="22">
        <f>IF(OR($D379="",$R379="Trùng"),"",IF(COUNTIF(ORDERS!$C$2:$C$4995,$D379)&gt;0,"Có","Không"))</f>
        <v/>
      </c>
      <c r="W379" s="22">
        <f>IF(OR($D379="",$R379="Trùng"),"",COUNTIFS(ORDERS!$C$2:$C$4995,$D379,ORDERS!$L$2:$L$4995,"Đã chuyển khoản"))</f>
        <v/>
      </c>
      <c r="X379" s="23">
        <f>IF(OR($D379="",$R379="Trùng"),"",SUMIFS(ORDERS!$J$2:$J$4995,ORDERS!$C$2:$C$4995,$D379,ORDERS!$L$2:$L$4995,"Đã chuyển khoản"))</f>
        <v/>
      </c>
      <c r="Y379" s="24" t="n"/>
    </row>
    <row r="380" ht="14.25" customHeight="1" s="40">
      <c r="A380" s="24" t="inlineStr">
        <is>
          <t>7d59cc2a-032f-41c3-9c12-31bb51667ea8</t>
        </is>
      </c>
      <c r="B380" s="27" t="n">
        <v>46297.54097222222</v>
      </c>
      <c r="C380" s="24" t="inlineStr">
        <is>
          <t>Phan Thị Mỹ Anh</t>
        </is>
      </c>
      <c r="D380" s="28" t="inlineStr">
        <is>
          <t>0356186184</t>
        </is>
      </c>
      <c r="E380" s="29" t="n">
        <v>46035</v>
      </c>
      <c r="F380" s="24" t="inlineStr">
        <is>
          <t>Đã sinh</t>
        </is>
      </c>
      <c r="G380" s="24" t="inlineStr">
        <is>
          <t>Hồ Chí Minh</t>
        </is>
      </c>
      <c r="H380" s="21">
        <f>IF(ISNUMBER($B380),INT($B380)-WEEKDAY($B380,2)+1,"")</f>
        <v/>
      </c>
      <c r="I380" s="24" t="inlineStr">
        <is>
          <t>NHS-UNKNOWN</t>
        </is>
      </c>
      <c r="J380" s="22">
        <f t="array" ref="J380">IF($D380="","",IF($I380="","(trống REF)",IFERROR(INDEX(MASTER_SOURCE!$B$2:$B$495,MATCH($I380,MASTER_SOURCE!$A$2:$A$495,0)),"(REF không có trong MASTER_SOURCE)")))</f>
        <v/>
      </c>
      <c r="K380" s="22">
        <f t="array" ref="K380">IF($D380="","",IFERROR(INDEX(MASTER_SOURCE!$C$2:$C$495,MATCH($I380,MASTER_SOURCE!$A$2:$A$495,0)),""))</f>
        <v/>
      </c>
      <c r="L380" s="22">
        <f t="array" ref="L380">IF($D380="","",IFERROR(INDEX(MASTER_SOURCE!$D$2:$D$495,MATCH($I380,MASTER_SOURCE!$A$2:$A$495,0)),""))</f>
        <v/>
      </c>
      <c r="M380" s="24" t="inlineStr">
        <is>
          <t>Có</t>
        </is>
      </c>
      <c r="N380" s="24" t="inlineStr">
        <is>
          <t>Có</t>
        </is>
      </c>
      <c r="O380" s="24" t="inlineStr">
        <is>
          <t>Có</t>
        </is>
      </c>
      <c r="P380" s="24" t="inlineStr">
        <is>
          <t>Có</t>
        </is>
      </c>
      <c r="Q380" s="22">
        <f>IF($D380="","",IF(AND(OR(DANH_MUC!$L$5&lt;&gt;"Có",M380="Có"),OR(DANH_MUC!$L$6&lt;&gt;"Có",N380="Có"),OR(DANH_MUC!$L$7&lt;&gt;"Có",O380="Có"),OR(DANH_MUC!$L$8&lt;&gt;"Có",P380="Có")),"Có","Không"))</f>
        <v/>
      </c>
      <c r="R380" s="22">
        <f>IF($D380="","",IF(COUNTIF($D$2:$D380,$D380)&gt;1,"Trùng",""))</f>
        <v/>
      </c>
      <c r="S380" s="22">
        <f>IF($D380="","",IF(AND(LEN($D380)=10,LEFT($D380,1)="0",ISNUMBER(--$D380)),"Có","Không"))</f>
        <v/>
      </c>
      <c r="T380" s="22">
        <f>IF($D380="","",IF(AND($C380&lt;&gt;"",$Q380="Có",$R380="",$S380="Có",AND($L380&lt;&gt;"",OR($L380&lt;&gt;"Chưa xác định",DANH_MUC!$L$9="Có"))),"Có","Không"))</f>
        <v/>
      </c>
      <c r="U380" s="22">
        <f>IF(OR($D380="",$T380="Có"),"",IF($C380="","Thiếu họ tên; ","")&amp;IF($S380&lt;&gt;"Có","SĐT sai định dạng; ","")&amp;IF($R380="Trùng","Trùng SĐT; ","")&amp;IF($Q380&lt;&gt;"Có","Thiếu đồng ý bắt buộc; ","")&amp;IF($L380="","Thiếu/sai Mã REF; ",IF(AND($L380="Chưa xác định",DANH_MUC!$L$9&lt;&gt;"Có"),"Nguồn chưa xác định; ","")))</f>
        <v/>
      </c>
      <c r="V380" s="22">
        <f>IF(OR($D380="",$R380="Trùng"),"",IF(COUNTIF(ORDERS!$C$2:$C$4995,$D380)&gt;0,"Có","Không"))</f>
        <v/>
      </c>
      <c r="W380" s="22">
        <f>IF(OR($D380="",$R380="Trùng"),"",COUNTIFS(ORDERS!$C$2:$C$4995,$D380,ORDERS!$L$2:$L$4995,"Đã chuyển khoản"))</f>
        <v/>
      </c>
      <c r="X380" s="23">
        <f>IF(OR($D380="",$R380="Trùng"),"",SUMIFS(ORDERS!$J$2:$J$4995,ORDERS!$C$2:$C$4995,$D380,ORDERS!$L$2:$L$4995,"Đã chuyển khoản"))</f>
        <v/>
      </c>
      <c r="Y380" s="24" t="n"/>
    </row>
    <row r="381" ht="14.25" customHeight="1" s="40">
      <c r="A381" s="24" t="inlineStr">
        <is>
          <t>6770b0e4-1b18-45f8-bb07-93ffcaeee8b0</t>
        </is>
      </c>
      <c r="B381" s="27" t="n">
        <v>46297.55902777778</v>
      </c>
      <c r="C381" s="24" t="inlineStr">
        <is>
          <t>Phạm Hiền</t>
        </is>
      </c>
      <c r="D381" s="28" t="inlineStr">
        <is>
          <t>0904543820</t>
        </is>
      </c>
      <c r="E381" s="29" t="n">
        <v>45946</v>
      </c>
      <c r="F381" s="24" t="inlineStr">
        <is>
          <t>Đã sinh</t>
        </is>
      </c>
      <c r="G381" s="24" t="inlineStr">
        <is>
          <t>Hà Nội</t>
        </is>
      </c>
      <c r="H381" s="21">
        <f>IF(ISNUMBER($B381),INT($B381)-WEEKDAY($B381,2)+1,"")</f>
        <v/>
      </c>
      <c r="I381" s="24" t="inlineStr">
        <is>
          <t>NHS-UNKNOWN</t>
        </is>
      </c>
      <c r="J381" s="22">
        <f t="array" ref="J381">IF($D381="","",IF($I381="","(trống REF)",IFERROR(INDEX(MASTER_SOURCE!$B$2:$B$495,MATCH($I381,MASTER_SOURCE!$A$2:$A$495,0)),"(REF không có trong MASTER_SOURCE)")))</f>
        <v/>
      </c>
      <c r="K381" s="22">
        <f t="array" ref="K381">IF($D381="","",IFERROR(INDEX(MASTER_SOURCE!$C$2:$C$495,MATCH($I381,MASTER_SOURCE!$A$2:$A$495,0)),""))</f>
        <v/>
      </c>
      <c r="L381" s="22">
        <f t="array" ref="L381">IF($D381="","",IFERROR(INDEX(MASTER_SOURCE!$D$2:$D$495,MATCH($I381,MASTER_SOURCE!$A$2:$A$495,0)),""))</f>
        <v/>
      </c>
      <c r="M381" s="24" t="inlineStr">
        <is>
          <t>Có</t>
        </is>
      </c>
      <c r="N381" s="24" t="inlineStr">
        <is>
          <t>Có</t>
        </is>
      </c>
      <c r="O381" s="24" t="inlineStr">
        <is>
          <t>Có</t>
        </is>
      </c>
      <c r="P381" s="24" t="inlineStr">
        <is>
          <t>Có</t>
        </is>
      </c>
      <c r="Q381" s="22">
        <f>IF($D381="","",IF(AND(OR(DANH_MUC!$L$5&lt;&gt;"Có",M381="Có"),OR(DANH_MUC!$L$6&lt;&gt;"Có",N381="Có"),OR(DANH_MUC!$L$7&lt;&gt;"Có",O381="Có"),OR(DANH_MUC!$L$8&lt;&gt;"Có",P381="Có")),"Có","Không"))</f>
        <v/>
      </c>
      <c r="R381" s="22">
        <f>IF($D381="","",IF(COUNTIF($D$2:$D381,$D381)&gt;1,"Trùng",""))</f>
        <v/>
      </c>
      <c r="S381" s="22">
        <f>IF($D381="","",IF(AND(LEN($D381)=10,LEFT($D381,1)="0",ISNUMBER(--$D381)),"Có","Không"))</f>
        <v/>
      </c>
      <c r="T381" s="22">
        <f>IF($D381="","",IF(AND($C381&lt;&gt;"",$Q381="Có",$R381="",$S381="Có",AND($L381&lt;&gt;"",OR($L381&lt;&gt;"Chưa xác định",DANH_MUC!$L$9="Có"))),"Có","Không"))</f>
        <v/>
      </c>
      <c r="U381" s="22">
        <f>IF(OR($D381="",$T381="Có"),"",IF($C381="","Thiếu họ tên; ","")&amp;IF($S381&lt;&gt;"Có","SĐT sai định dạng; ","")&amp;IF($R381="Trùng","Trùng SĐT; ","")&amp;IF($Q381&lt;&gt;"Có","Thiếu đồng ý bắt buộc; ","")&amp;IF($L381="","Thiếu/sai Mã REF; ",IF(AND($L381="Chưa xác định",DANH_MUC!$L$9&lt;&gt;"Có"),"Nguồn chưa xác định; ","")))</f>
        <v/>
      </c>
      <c r="V381" s="22">
        <f>IF(OR($D381="",$R381="Trùng"),"",IF(COUNTIF(ORDERS!$C$2:$C$4995,$D381)&gt;0,"Có","Không"))</f>
        <v/>
      </c>
      <c r="W381" s="22">
        <f>IF(OR($D381="",$R381="Trùng"),"",COUNTIFS(ORDERS!$C$2:$C$4995,$D381,ORDERS!$L$2:$L$4995,"Đã chuyển khoản"))</f>
        <v/>
      </c>
      <c r="X381" s="23">
        <f>IF(OR($D381="",$R381="Trùng"),"",SUMIFS(ORDERS!$J$2:$J$4995,ORDERS!$C$2:$C$4995,$D381,ORDERS!$L$2:$L$4995,"Đã chuyển khoản"))</f>
        <v/>
      </c>
      <c r="Y381" s="24" t="n"/>
    </row>
    <row r="382" ht="14.25" customHeight="1" s="40">
      <c r="A382" s="24" t="inlineStr">
        <is>
          <t>283b4ea6-9264-490b-8591-99725ed10894</t>
        </is>
      </c>
      <c r="B382" s="27" t="n">
        <v>46297.56319444445</v>
      </c>
      <c r="C382" s="24" t="inlineStr">
        <is>
          <t>Trần Thị Phương Oanh</t>
        </is>
      </c>
      <c r="D382" s="28" t="inlineStr">
        <is>
          <t>0911695558</t>
        </is>
      </c>
      <c r="E382" s="29" t="n">
        <v>45681</v>
      </c>
      <c r="F382" s="24" t="inlineStr">
        <is>
          <t>Đã sinh</t>
        </is>
      </c>
      <c r="G382" s="24" t="inlineStr">
        <is>
          <t>Hà Nội</t>
        </is>
      </c>
      <c r="H382" s="21">
        <f>IF(ISNUMBER($B382),INT($B382)-WEEKDAY($B382,2)+1,"")</f>
        <v/>
      </c>
      <c r="I382" s="24" t="inlineStr">
        <is>
          <t>C-08</t>
        </is>
      </c>
      <c r="J382" s="22">
        <f t="array" ref="J382">IF($D382="","",IF($I382="","(trống REF)",IFERROR(INDEX(MASTER_SOURCE!$B$2:$B$495,MATCH($I382,MASTER_SOURCE!$A$2:$A$495,0)),"(REF không có trong MASTER_SOURCE)")))</f>
        <v/>
      </c>
      <c r="K382" s="22">
        <f t="array" ref="K382">IF($D382="","",IFERROR(INDEX(MASTER_SOURCE!$C$2:$C$495,MATCH($I382,MASTER_SOURCE!$A$2:$A$495,0)),""))</f>
        <v/>
      </c>
      <c r="L382" s="22">
        <f t="array" ref="L382">IF($D382="","",IFERROR(INDEX(MASTER_SOURCE!$D$2:$D$495,MATCH($I382,MASTER_SOURCE!$A$2:$A$495,0)),""))</f>
        <v/>
      </c>
      <c r="M382" s="24" t="inlineStr">
        <is>
          <t>Có</t>
        </is>
      </c>
      <c r="N382" s="24" t="inlineStr">
        <is>
          <t>Có</t>
        </is>
      </c>
      <c r="O382" s="24" t="inlineStr">
        <is>
          <t>Có</t>
        </is>
      </c>
      <c r="P382" s="24" t="inlineStr">
        <is>
          <t>Có</t>
        </is>
      </c>
      <c r="Q382" s="22">
        <f>IF($D382="","",IF(AND(OR(DANH_MUC!$L$5&lt;&gt;"Có",M382="Có"),OR(DANH_MUC!$L$6&lt;&gt;"Có",N382="Có"),OR(DANH_MUC!$L$7&lt;&gt;"Có",O382="Có"),OR(DANH_MUC!$L$8&lt;&gt;"Có",P382="Có")),"Có","Không"))</f>
        <v/>
      </c>
      <c r="R382" s="22">
        <f>IF($D382="","",IF(COUNTIF($D$2:$D382,$D382)&gt;1,"Trùng",""))</f>
        <v/>
      </c>
      <c r="S382" s="22">
        <f>IF($D382="","",IF(AND(LEN($D382)=10,LEFT($D382,1)="0",ISNUMBER(--$D382)),"Có","Không"))</f>
        <v/>
      </c>
      <c r="T382" s="22">
        <f>IF($D382="","",IF(AND($C382&lt;&gt;"",$Q382="Có",$R382="",$S382="Có",AND($L382&lt;&gt;"",OR($L382&lt;&gt;"Chưa xác định",DANH_MUC!$L$9="Có"))),"Có","Không"))</f>
        <v/>
      </c>
      <c r="U382" s="22">
        <f>IF(OR($D382="",$T382="Có"),"",IF($C382="","Thiếu họ tên; ","")&amp;IF($S382&lt;&gt;"Có","SĐT sai định dạng; ","")&amp;IF($R382="Trùng","Trùng SĐT; ","")&amp;IF($Q382&lt;&gt;"Có","Thiếu đồng ý bắt buộc; ","")&amp;IF($L382="","Thiếu/sai Mã REF; ",IF(AND($L382="Chưa xác định",DANH_MUC!$L$9&lt;&gt;"Có"),"Nguồn chưa xác định; ","")))</f>
        <v/>
      </c>
      <c r="V382" s="22">
        <f>IF(OR($D382="",$R382="Trùng"),"",IF(COUNTIF(ORDERS!$C$2:$C$4995,$D382)&gt;0,"Có","Không"))</f>
        <v/>
      </c>
      <c r="W382" s="22">
        <f>IF(OR($D382="",$R382="Trùng"),"",COUNTIFS(ORDERS!$C$2:$C$4995,$D382,ORDERS!$L$2:$L$4995,"Đã chuyển khoản"))</f>
        <v/>
      </c>
      <c r="X382" s="23">
        <f>IF(OR($D382="",$R382="Trùng"),"",SUMIFS(ORDERS!$J$2:$J$4995,ORDERS!$C$2:$C$4995,$D382,ORDERS!$L$2:$L$4995,"Đã chuyển khoản"))</f>
        <v/>
      </c>
      <c r="Y382" s="24" t="n"/>
    </row>
    <row r="383" ht="14.25" customHeight="1" s="40">
      <c r="A383" s="24" t="inlineStr">
        <is>
          <t>e36af854-b4f8-47de-a976-9bb09d187a68</t>
        </is>
      </c>
      <c r="B383" s="27" t="n">
        <v>46297.56388888889</v>
      </c>
      <c r="C383" s="24" t="inlineStr">
        <is>
          <t>Đỗ Thị Trang</t>
        </is>
      </c>
      <c r="D383" s="28" t="inlineStr">
        <is>
          <t>0962346682</t>
        </is>
      </c>
      <c r="E383" s="29" t="n">
        <v>46407</v>
      </c>
      <c r="F383" s="24" t="inlineStr">
        <is>
          <t>Đang mang thai</t>
        </is>
      </c>
      <c r="G383" s="24" t="inlineStr">
        <is>
          <t>Hải Phòng</t>
        </is>
      </c>
      <c r="H383" s="21">
        <f>IF(ISNUMBER($B383),INT($B383)-WEEKDAY($B383,2)+1,"")</f>
        <v/>
      </c>
      <c r="I383" s="24" t="inlineStr">
        <is>
          <t>NHS-UNKNOWN</t>
        </is>
      </c>
      <c r="J383" s="22">
        <f t="array" ref="J383">IF($D383="","",IF($I383="","(trống REF)",IFERROR(INDEX(MASTER_SOURCE!$B$2:$B$495,MATCH($I383,MASTER_SOURCE!$A$2:$A$495,0)),"(REF không có trong MASTER_SOURCE)")))</f>
        <v/>
      </c>
      <c r="K383" s="22">
        <f t="array" ref="K383">IF($D383="","",IFERROR(INDEX(MASTER_SOURCE!$C$2:$C$495,MATCH($I383,MASTER_SOURCE!$A$2:$A$495,0)),""))</f>
        <v/>
      </c>
      <c r="L383" s="22">
        <f t="array" ref="L383">IF($D383="","",IFERROR(INDEX(MASTER_SOURCE!$D$2:$D$495,MATCH($I383,MASTER_SOURCE!$A$2:$A$495,0)),""))</f>
        <v/>
      </c>
      <c r="M383" s="24" t="inlineStr">
        <is>
          <t>Có</t>
        </is>
      </c>
      <c r="N383" s="24" t="inlineStr">
        <is>
          <t>Có</t>
        </is>
      </c>
      <c r="O383" s="24" t="inlineStr">
        <is>
          <t>Có</t>
        </is>
      </c>
      <c r="P383" s="24" t="inlineStr">
        <is>
          <t>Có</t>
        </is>
      </c>
      <c r="Q383" s="22">
        <f>IF($D383="","",IF(AND(OR(DANH_MUC!$L$5&lt;&gt;"Có",M383="Có"),OR(DANH_MUC!$L$6&lt;&gt;"Có",N383="Có"),OR(DANH_MUC!$L$7&lt;&gt;"Có",O383="Có"),OR(DANH_MUC!$L$8&lt;&gt;"Có",P383="Có")),"Có","Không"))</f>
        <v/>
      </c>
      <c r="R383" s="22">
        <f>IF($D383="","",IF(COUNTIF($D$2:$D383,$D383)&gt;1,"Trùng",""))</f>
        <v/>
      </c>
      <c r="S383" s="22">
        <f>IF($D383="","",IF(AND(LEN($D383)=10,LEFT($D383,1)="0",ISNUMBER(--$D383)),"Có","Không"))</f>
        <v/>
      </c>
      <c r="T383" s="22">
        <f>IF($D383="","",IF(AND($C383&lt;&gt;"",$Q383="Có",$R383="",$S383="Có",AND($L383&lt;&gt;"",OR($L383&lt;&gt;"Chưa xác định",DANH_MUC!$L$9="Có"))),"Có","Không"))</f>
        <v/>
      </c>
      <c r="U383" s="22">
        <f>IF(OR($D383="",$T383="Có"),"",IF($C383="","Thiếu họ tên; ","")&amp;IF($S383&lt;&gt;"Có","SĐT sai định dạng; ","")&amp;IF($R383="Trùng","Trùng SĐT; ","")&amp;IF($Q383&lt;&gt;"Có","Thiếu đồng ý bắt buộc; ","")&amp;IF($L383="","Thiếu/sai Mã REF; ",IF(AND($L383="Chưa xác định",DANH_MUC!$L$9&lt;&gt;"Có"),"Nguồn chưa xác định; ","")))</f>
        <v/>
      </c>
      <c r="V383" s="22">
        <f>IF(OR($D383="",$R383="Trùng"),"",IF(COUNTIF(ORDERS!$C$2:$C$4995,$D383)&gt;0,"Có","Không"))</f>
        <v/>
      </c>
      <c r="W383" s="22">
        <f>IF(OR($D383="",$R383="Trùng"),"",COUNTIFS(ORDERS!$C$2:$C$4995,$D383,ORDERS!$L$2:$L$4995,"Đã chuyển khoản"))</f>
        <v/>
      </c>
      <c r="X383" s="23">
        <f>IF(OR($D383="",$R383="Trùng"),"",SUMIFS(ORDERS!$J$2:$J$4995,ORDERS!$C$2:$C$4995,$D383,ORDERS!$L$2:$L$4995,"Đã chuyển khoản"))</f>
        <v/>
      </c>
      <c r="Y383" s="24" t="n"/>
    </row>
    <row r="384" ht="14.25" customHeight="1" s="40">
      <c r="A384" s="24" t="inlineStr">
        <is>
          <t>a32d4dc1-77f6-4dbb-a2eb-f37916149536</t>
        </is>
      </c>
      <c r="B384" s="27" t="n">
        <v>46297.56944444445</v>
      </c>
      <c r="C384" s="24" t="inlineStr">
        <is>
          <t>Trần Thị An</t>
        </is>
      </c>
      <c r="D384" s="28" t="inlineStr">
        <is>
          <t>0969995069</t>
        </is>
      </c>
      <c r="E384" s="29" t="n">
        <v>46013</v>
      </c>
      <c r="F384" s="24" t="inlineStr">
        <is>
          <t>Đã sinh</t>
        </is>
      </c>
      <c r="G384" s="24" t="inlineStr">
        <is>
          <t>Hồ Chí Minh</t>
        </is>
      </c>
      <c r="H384" s="21">
        <f>IF(ISNUMBER($B384),INT($B384)-WEEKDAY($B384,2)+1,"")</f>
        <v/>
      </c>
      <c r="I384" s="24" t="inlineStr">
        <is>
          <t>NHS-UNKNOWN</t>
        </is>
      </c>
      <c r="J384" s="22">
        <f t="array" ref="J384">IF($D384="","",IF($I384="","(trống REF)",IFERROR(INDEX(MASTER_SOURCE!$B$2:$B$495,MATCH($I384,MASTER_SOURCE!$A$2:$A$495,0)),"(REF không có trong MASTER_SOURCE)")))</f>
        <v/>
      </c>
      <c r="K384" s="22">
        <f t="array" ref="K384">IF($D384="","",IFERROR(INDEX(MASTER_SOURCE!$C$2:$C$495,MATCH($I384,MASTER_SOURCE!$A$2:$A$495,0)),""))</f>
        <v/>
      </c>
      <c r="L384" s="22">
        <f t="array" ref="L384">IF($D384="","",IFERROR(INDEX(MASTER_SOURCE!$D$2:$D$495,MATCH($I384,MASTER_SOURCE!$A$2:$A$495,0)),""))</f>
        <v/>
      </c>
      <c r="M384" s="24" t="inlineStr">
        <is>
          <t>Có</t>
        </is>
      </c>
      <c r="N384" s="24" t="inlineStr">
        <is>
          <t>Có</t>
        </is>
      </c>
      <c r="O384" s="24" t="inlineStr">
        <is>
          <t>Có</t>
        </is>
      </c>
      <c r="P384" s="24" t="inlineStr">
        <is>
          <t>Có</t>
        </is>
      </c>
      <c r="Q384" s="22">
        <f>IF($D384="","",IF(AND(OR(DANH_MUC!$L$5&lt;&gt;"Có",M384="Có"),OR(DANH_MUC!$L$6&lt;&gt;"Có",N384="Có"),OR(DANH_MUC!$L$7&lt;&gt;"Có",O384="Có"),OR(DANH_MUC!$L$8&lt;&gt;"Có",P384="Có")),"Có","Không"))</f>
        <v/>
      </c>
      <c r="R384" s="22">
        <f>IF($D384="","",IF(COUNTIF($D$2:$D384,$D384)&gt;1,"Trùng",""))</f>
        <v/>
      </c>
      <c r="S384" s="22">
        <f>IF($D384="","",IF(AND(LEN($D384)=10,LEFT($D384,1)="0",ISNUMBER(--$D384)),"Có","Không"))</f>
        <v/>
      </c>
      <c r="T384" s="22">
        <f>IF($D384="","",IF(AND($C384&lt;&gt;"",$Q384="Có",$R384="",$S384="Có",AND($L384&lt;&gt;"",OR($L384&lt;&gt;"Chưa xác định",DANH_MUC!$L$9="Có"))),"Có","Không"))</f>
        <v/>
      </c>
      <c r="U384" s="22">
        <f>IF(OR($D384="",$T384="Có"),"",IF($C384="","Thiếu họ tên; ","")&amp;IF($S384&lt;&gt;"Có","SĐT sai định dạng; ","")&amp;IF($R384="Trùng","Trùng SĐT; ","")&amp;IF($Q384&lt;&gt;"Có","Thiếu đồng ý bắt buộc; ","")&amp;IF($L384="","Thiếu/sai Mã REF; ",IF(AND($L384="Chưa xác định",DANH_MUC!$L$9&lt;&gt;"Có"),"Nguồn chưa xác định; ","")))</f>
        <v/>
      </c>
      <c r="V384" s="22">
        <f>IF(OR($D384="",$R384="Trùng"),"",IF(COUNTIF(ORDERS!$C$2:$C$4995,$D384)&gt;0,"Có","Không"))</f>
        <v/>
      </c>
      <c r="W384" s="22">
        <f>IF(OR($D384="",$R384="Trùng"),"",COUNTIFS(ORDERS!$C$2:$C$4995,$D384,ORDERS!$L$2:$L$4995,"Đã chuyển khoản"))</f>
        <v/>
      </c>
      <c r="X384" s="23">
        <f>IF(OR($D384="",$R384="Trùng"),"",SUMIFS(ORDERS!$J$2:$J$4995,ORDERS!$C$2:$C$4995,$D384,ORDERS!$L$2:$L$4995,"Đã chuyển khoản"))</f>
        <v/>
      </c>
      <c r="Y384" s="24" t="n"/>
    </row>
    <row r="385" ht="14.25" customHeight="1" s="40">
      <c r="A385" s="24" t="inlineStr">
        <is>
          <t>96c2869f-76c6-47d7-8610-69c65714e979</t>
        </is>
      </c>
      <c r="B385" s="27" t="n">
        <v>46297.57222222222</v>
      </c>
      <c r="C385" s="24" t="inlineStr">
        <is>
          <t>Hồ Thị Thanh Tâm</t>
        </is>
      </c>
      <c r="D385" s="28" t="inlineStr">
        <is>
          <t>0987701320</t>
        </is>
      </c>
      <c r="E385" s="29" t="n">
        <v>46075</v>
      </c>
      <c r="F385" s="24" t="inlineStr">
        <is>
          <t>Đã sinh</t>
        </is>
      </c>
      <c r="G385" s="24" t="inlineStr">
        <is>
          <t>Hồ Chí Minh</t>
        </is>
      </c>
      <c r="H385" s="21">
        <f>IF(ISNUMBER($B385),INT($B385)-WEEKDAY($B385,2)+1,"")</f>
        <v/>
      </c>
      <c r="I385" s="24" t="inlineStr">
        <is>
          <t>C-09</t>
        </is>
      </c>
      <c r="J385" s="22">
        <f t="array" ref="J385">IF($D385="","",IF($I385="","(trống REF)",IFERROR(INDEX(MASTER_SOURCE!$B$2:$B$495,MATCH($I385,MASTER_SOURCE!$A$2:$A$495,0)),"(REF không có trong MASTER_SOURCE)")))</f>
        <v/>
      </c>
      <c r="K385" s="22">
        <f t="array" ref="K385">IF($D385="","",IFERROR(INDEX(MASTER_SOURCE!$C$2:$C$495,MATCH($I385,MASTER_SOURCE!$A$2:$A$495,0)),""))</f>
        <v/>
      </c>
      <c r="L385" s="22">
        <f t="array" ref="L385">IF($D385="","",IFERROR(INDEX(MASTER_SOURCE!$D$2:$D$495,MATCH($I385,MASTER_SOURCE!$A$2:$A$495,0)),""))</f>
        <v/>
      </c>
      <c r="M385" s="24" t="inlineStr">
        <is>
          <t>Có</t>
        </is>
      </c>
      <c r="N385" s="24" t="inlineStr">
        <is>
          <t>Có</t>
        </is>
      </c>
      <c r="O385" s="24" t="inlineStr">
        <is>
          <t>Có</t>
        </is>
      </c>
      <c r="P385" s="24" t="inlineStr">
        <is>
          <t>Có</t>
        </is>
      </c>
      <c r="Q385" s="22">
        <f>IF($D385="","",IF(AND(OR(DANH_MUC!$L$5&lt;&gt;"Có",M385="Có"),OR(DANH_MUC!$L$6&lt;&gt;"Có",N385="Có"),OR(DANH_MUC!$L$7&lt;&gt;"Có",O385="Có"),OR(DANH_MUC!$L$8&lt;&gt;"Có",P385="Có")),"Có","Không"))</f>
        <v/>
      </c>
      <c r="R385" s="22">
        <f>IF($D385="","",IF(COUNTIF($D$2:$D385,$D385)&gt;1,"Trùng",""))</f>
        <v/>
      </c>
      <c r="S385" s="22">
        <f>IF($D385="","",IF(AND(LEN($D385)=10,LEFT($D385,1)="0",ISNUMBER(--$D385)),"Có","Không"))</f>
        <v/>
      </c>
      <c r="T385" s="22">
        <f>IF($D385="","",IF(AND($C385&lt;&gt;"",$Q385="Có",$R385="",$S385="Có",AND($L385&lt;&gt;"",OR($L385&lt;&gt;"Chưa xác định",DANH_MUC!$L$9="Có"))),"Có","Không"))</f>
        <v/>
      </c>
      <c r="U385" s="22">
        <f>IF(OR($D385="",$T385="Có"),"",IF($C385="","Thiếu họ tên; ","")&amp;IF($S385&lt;&gt;"Có","SĐT sai định dạng; ","")&amp;IF($R385="Trùng","Trùng SĐT; ","")&amp;IF($Q385&lt;&gt;"Có","Thiếu đồng ý bắt buộc; ","")&amp;IF($L385="","Thiếu/sai Mã REF; ",IF(AND($L385="Chưa xác định",DANH_MUC!$L$9&lt;&gt;"Có"),"Nguồn chưa xác định; ","")))</f>
        <v/>
      </c>
      <c r="V385" s="22">
        <f>IF(OR($D385="",$R385="Trùng"),"",IF(COUNTIF(ORDERS!$C$2:$C$4995,$D385)&gt;0,"Có","Không"))</f>
        <v/>
      </c>
      <c r="W385" s="22">
        <f>IF(OR($D385="",$R385="Trùng"),"",COUNTIFS(ORDERS!$C$2:$C$4995,$D385,ORDERS!$L$2:$L$4995,"Đã chuyển khoản"))</f>
        <v/>
      </c>
      <c r="X385" s="23">
        <f>IF(OR($D385="",$R385="Trùng"),"",SUMIFS(ORDERS!$J$2:$J$4995,ORDERS!$C$2:$C$4995,$D385,ORDERS!$L$2:$L$4995,"Đã chuyển khoản"))</f>
        <v/>
      </c>
      <c r="Y385" s="24" t="n"/>
    </row>
    <row r="386" ht="14.25" customHeight="1" s="40">
      <c r="A386" s="24" t="inlineStr">
        <is>
          <t>b55285d6-515f-43be-b898-7ace4580a820</t>
        </is>
      </c>
      <c r="B386" s="27" t="n">
        <v>46297.57986111111</v>
      </c>
      <c r="C386" s="24" t="inlineStr">
        <is>
          <t>Trương Thị Lan</t>
        </is>
      </c>
      <c r="D386" s="28" t="inlineStr">
        <is>
          <t>0933268825</t>
        </is>
      </c>
      <c r="E386" s="29" t="n">
        <v>46103</v>
      </c>
      <c r="F386" s="24" t="inlineStr">
        <is>
          <t>Đã sinh</t>
        </is>
      </c>
      <c r="G386" s="24" t="inlineStr">
        <is>
          <t>Hồ Chí Minh</t>
        </is>
      </c>
      <c r="H386" s="21">
        <f>IF(ISNUMBER($B386),INT($B386)-WEEKDAY($B386,2)+1,"")</f>
        <v/>
      </c>
      <c r="I386" s="24" t="inlineStr">
        <is>
          <t>C-03</t>
        </is>
      </c>
      <c r="J386" s="22">
        <f t="array" ref="J386">IF($D386="","",IF($I386="","(trống REF)",IFERROR(INDEX(MASTER_SOURCE!$B$2:$B$495,MATCH($I386,MASTER_SOURCE!$A$2:$A$495,0)),"(REF không có trong MASTER_SOURCE)")))</f>
        <v/>
      </c>
      <c r="K386" s="22">
        <f t="array" ref="K386">IF($D386="","",IFERROR(INDEX(MASTER_SOURCE!$C$2:$C$495,MATCH($I386,MASTER_SOURCE!$A$2:$A$495,0)),""))</f>
        <v/>
      </c>
      <c r="L386" s="22">
        <f t="array" ref="L386">IF($D386="","",IFERROR(INDEX(MASTER_SOURCE!$D$2:$D$495,MATCH($I386,MASTER_SOURCE!$A$2:$A$495,0)),""))</f>
        <v/>
      </c>
      <c r="M386" s="24" t="inlineStr">
        <is>
          <t>Có</t>
        </is>
      </c>
      <c r="N386" s="24" t="inlineStr">
        <is>
          <t>Có</t>
        </is>
      </c>
      <c r="O386" s="24" t="inlineStr">
        <is>
          <t>Có</t>
        </is>
      </c>
      <c r="P386" s="24" t="inlineStr">
        <is>
          <t>Có</t>
        </is>
      </c>
      <c r="Q386" s="22">
        <f>IF($D386="","",IF(AND(OR(DANH_MUC!$L$5&lt;&gt;"Có",M386="Có"),OR(DANH_MUC!$L$6&lt;&gt;"Có",N386="Có"),OR(DANH_MUC!$L$7&lt;&gt;"Có",O386="Có"),OR(DANH_MUC!$L$8&lt;&gt;"Có",P386="Có")),"Có","Không"))</f>
        <v/>
      </c>
      <c r="R386" s="22">
        <f>IF($D386="","",IF(COUNTIF($D$2:$D386,$D386)&gt;1,"Trùng",""))</f>
        <v/>
      </c>
      <c r="S386" s="22">
        <f>IF($D386="","",IF(AND(LEN($D386)=10,LEFT($D386,1)="0",ISNUMBER(--$D386)),"Có","Không"))</f>
        <v/>
      </c>
      <c r="T386" s="22">
        <f>IF($D386="","",IF(AND($C386&lt;&gt;"",$Q386="Có",$R386="",$S386="Có",AND($L386&lt;&gt;"",OR($L386&lt;&gt;"Chưa xác định",DANH_MUC!$L$9="Có"))),"Có","Không"))</f>
        <v/>
      </c>
      <c r="U386" s="22">
        <f>IF(OR($D386="",$T386="Có"),"",IF($C386="","Thiếu họ tên; ","")&amp;IF($S386&lt;&gt;"Có","SĐT sai định dạng; ","")&amp;IF($R386="Trùng","Trùng SĐT; ","")&amp;IF($Q386&lt;&gt;"Có","Thiếu đồng ý bắt buộc; ","")&amp;IF($L386="","Thiếu/sai Mã REF; ",IF(AND($L386="Chưa xác định",DANH_MUC!$L$9&lt;&gt;"Có"),"Nguồn chưa xác định; ","")))</f>
        <v/>
      </c>
      <c r="V386" s="22">
        <f>IF(OR($D386="",$R386="Trùng"),"",IF(COUNTIF(ORDERS!$C$2:$C$4995,$D386)&gt;0,"Có","Không"))</f>
        <v/>
      </c>
      <c r="W386" s="22">
        <f>IF(OR($D386="",$R386="Trùng"),"",COUNTIFS(ORDERS!$C$2:$C$4995,$D386,ORDERS!$L$2:$L$4995,"Đã chuyển khoản"))</f>
        <v/>
      </c>
      <c r="X386" s="23">
        <f>IF(OR($D386="",$R386="Trùng"),"",SUMIFS(ORDERS!$J$2:$J$4995,ORDERS!$C$2:$C$4995,$D386,ORDERS!$L$2:$L$4995,"Đã chuyển khoản"))</f>
        <v/>
      </c>
      <c r="Y386" s="24" t="n"/>
    </row>
    <row r="387" ht="14.25" customHeight="1" s="40">
      <c r="A387" s="24" t="inlineStr">
        <is>
          <t>e30e09e7-ebb2-4d9c-a45c-9f9d82310bfe</t>
        </is>
      </c>
      <c r="B387" s="27" t="n">
        <v>46297.58819444444</v>
      </c>
      <c r="C387" s="24" t="inlineStr">
        <is>
          <t>Đào Nhung</t>
        </is>
      </c>
      <c r="D387" s="28" t="inlineStr">
        <is>
          <t>0979327111</t>
        </is>
      </c>
      <c r="E387" s="29" t="n">
        <v>46297</v>
      </c>
      <c r="F387" s="24" t="inlineStr">
        <is>
          <t>Đã sinh</t>
        </is>
      </c>
      <c r="G387" s="24" t="inlineStr">
        <is>
          <t>Điện Biên</t>
        </is>
      </c>
      <c r="H387" s="21">
        <f>IF(ISNUMBER($B387),INT($B387)-WEEKDAY($B387,2)+1,"")</f>
        <v/>
      </c>
      <c r="I387" s="24" t="inlineStr">
        <is>
          <t>C-09</t>
        </is>
      </c>
      <c r="J387" s="22">
        <f t="array" ref="J387">IF($D387="","",IF($I387="","(trống REF)",IFERROR(INDEX(MASTER_SOURCE!$B$2:$B$495,MATCH($I387,MASTER_SOURCE!$A$2:$A$495,0)),"(REF không có trong MASTER_SOURCE)")))</f>
        <v/>
      </c>
      <c r="K387" s="22">
        <f t="array" ref="K387">IF($D387="","",IFERROR(INDEX(MASTER_SOURCE!$C$2:$C$495,MATCH($I387,MASTER_SOURCE!$A$2:$A$495,0)),""))</f>
        <v/>
      </c>
      <c r="L387" s="22">
        <f t="array" ref="L387">IF($D387="","",IFERROR(INDEX(MASTER_SOURCE!$D$2:$D$495,MATCH($I387,MASTER_SOURCE!$A$2:$A$495,0)),""))</f>
        <v/>
      </c>
      <c r="M387" s="24" t="inlineStr">
        <is>
          <t>Có</t>
        </is>
      </c>
      <c r="N387" s="24" t="inlineStr">
        <is>
          <t>Có</t>
        </is>
      </c>
      <c r="O387" s="24" t="inlineStr">
        <is>
          <t>Có</t>
        </is>
      </c>
      <c r="P387" s="24" t="inlineStr">
        <is>
          <t>Có</t>
        </is>
      </c>
      <c r="Q387" s="22">
        <f>IF($D387="","",IF(AND(OR(DANH_MUC!$L$5&lt;&gt;"Có",M387="Có"),OR(DANH_MUC!$L$6&lt;&gt;"Có",N387="Có"),OR(DANH_MUC!$L$7&lt;&gt;"Có",O387="Có"),OR(DANH_MUC!$L$8&lt;&gt;"Có",P387="Có")),"Có","Không"))</f>
        <v/>
      </c>
      <c r="R387" s="22">
        <f>IF($D387="","",IF(COUNTIF($D$2:$D387,$D387)&gt;1,"Trùng",""))</f>
        <v/>
      </c>
      <c r="S387" s="22">
        <f>IF($D387="","",IF(AND(LEN($D387)=10,LEFT($D387,1)="0",ISNUMBER(--$D387)),"Có","Không"))</f>
        <v/>
      </c>
      <c r="T387" s="22">
        <f>IF($D387="","",IF(AND($C387&lt;&gt;"",$Q387="Có",$R387="",$S387="Có",AND($L387&lt;&gt;"",OR($L387&lt;&gt;"Chưa xác định",DANH_MUC!$L$9="Có"))),"Có","Không"))</f>
        <v/>
      </c>
      <c r="U387" s="22">
        <f>IF(OR($D387="",$T387="Có"),"",IF($C387="","Thiếu họ tên; ","")&amp;IF($S387&lt;&gt;"Có","SĐT sai định dạng; ","")&amp;IF($R387="Trùng","Trùng SĐT; ","")&amp;IF($Q387&lt;&gt;"Có","Thiếu đồng ý bắt buộc; ","")&amp;IF($L387="","Thiếu/sai Mã REF; ",IF(AND($L387="Chưa xác định",DANH_MUC!$L$9&lt;&gt;"Có"),"Nguồn chưa xác định; ","")))</f>
        <v/>
      </c>
      <c r="V387" s="22">
        <f>IF(OR($D387="",$R387="Trùng"),"",IF(COUNTIF(ORDERS!$C$2:$C$4995,$D387)&gt;0,"Có","Không"))</f>
        <v/>
      </c>
      <c r="W387" s="22">
        <f>IF(OR($D387="",$R387="Trùng"),"",COUNTIFS(ORDERS!$C$2:$C$4995,$D387,ORDERS!$L$2:$L$4995,"Đã chuyển khoản"))</f>
        <v/>
      </c>
      <c r="X387" s="23">
        <f>IF(OR($D387="",$R387="Trùng"),"",SUMIFS(ORDERS!$J$2:$J$4995,ORDERS!$C$2:$C$4995,$D387,ORDERS!$L$2:$L$4995,"Đã chuyển khoản"))</f>
        <v/>
      </c>
      <c r="Y387" s="24" t="n"/>
    </row>
    <row r="388" ht="14.25" customHeight="1" s="40">
      <c r="A388" s="24" t="inlineStr">
        <is>
          <t>a140cbb4-e299-4c3b-8e66-91b7304d5ecb</t>
        </is>
      </c>
      <c r="B388" s="27" t="n">
        <v>46297.59375</v>
      </c>
      <c r="C388" s="24" t="inlineStr">
        <is>
          <t>Nguyễn Mai Quỳnh</t>
        </is>
      </c>
      <c r="D388" s="28" t="inlineStr">
        <is>
          <t>0961628731</t>
        </is>
      </c>
      <c r="E388" s="29" t="n">
        <v>45965</v>
      </c>
      <c r="F388" s="24" t="inlineStr">
        <is>
          <t>Đã sinh</t>
        </is>
      </c>
      <c r="G388" s="24" t="inlineStr">
        <is>
          <t>Phú Thọ</t>
        </is>
      </c>
      <c r="H388" s="21">
        <f>IF(ISNUMBER($B388),INT($B388)-WEEKDAY($B388,2)+1,"")</f>
        <v/>
      </c>
      <c r="I388" s="24" t="inlineStr">
        <is>
          <t>C-01</t>
        </is>
      </c>
      <c r="J388" s="22">
        <f t="array" ref="J388">IF($D388="","",IF($I388="","(trống REF)",IFERROR(INDEX(MASTER_SOURCE!$B$2:$B$495,MATCH($I388,MASTER_SOURCE!$A$2:$A$495,0)),"(REF không có trong MASTER_SOURCE)")))</f>
        <v/>
      </c>
      <c r="K388" s="22">
        <f t="array" ref="K388">IF($D388="","",IFERROR(INDEX(MASTER_SOURCE!$C$2:$C$495,MATCH($I388,MASTER_SOURCE!$A$2:$A$495,0)),""))</f>
        <v/>
      </c>
      <c r="L388" s="22">
        <f t="array" ref="L388">IF($D388="","",IFERROR(INDEX(MASTER_SOURCE!$D$2:$D$495,MATCH($I388,MASTER_SOURCE!$A$2:$A$495,0)),""))</f>
        <v/>
      </c>
      <c r="M388" s="24" t="inlineStr">
        <is>
          <t>Có</t>
        </is>
      </c>
      <c r="N388" s="24" t="inlineStr">
        <is>
          <t>Có</t>
        </is>
      </c>
      <c r="O388" s="24" t="inlineStr">
        <is>
          <t>Có</t>
        </is>
      </c>
      <c r="P388" s="24" t="inlineStr">
        <is>
          <t>Có</t>
        </is>
      </c>
      <c r="Q388" s="22">
        <f>IF($D388="","",IF(AND(OR(DANH_MUC!$L$5&lt;&gt;"Có",M388="Có"),OR(DANH_MUC!$L$6&lt;&gt;"Có",N388="Có"),OR(DANH_MUC!$L$7&lt;&gt;"Có",O388="Có"),OR(DANH_MUC!$L$8&lt;&gt;"Có",P388="Có")),"Có","Không"))</f>
        <v/>
      </c>
      <c r="R388" s="22">
        <f>IF($D388="","",IF(COUNTIF($D$2:$D388,$D388)&gt;1,"Trùng",""))</f>
        <v/>
      </c>
      <c r="S388" s="22">
        <f>IF($D388="","",IF(AND(LEN($D388)=10,LEFT($D388,1)="0",ISNUMBER(--$D388)),"Có","Không"))</f>
        <v/>
      </c>
      <c r="T388" s="22">
        <f>IF($D388="","",IF(AND($C388&lt;&gt;"",$Q388="Có",$R388="",$S388="Có",AND($L388&lt;&gt;"",OR($L388&lt;&gt;"Chưa xác định",DANH_MUC!$L$9="Có"))),"Có","Không"))</f>
        <v/>
      </c>
      <c r="U388" s="22">
        <f>IF(OR($D388="",$T388="Có"),"",IF($C388="","Thiếu họ tên; ","")&amp;IF($S388&lt;&gt;"Có","SĐT sai định dạng; ","")&amp;IF($R388="Trùng","Trùng SĐT; ","")&amp;IF($Q388&lt;&gt;"Có","Thiếu đồng ý bắt buộc; ","")&amp;IF($L388="","Thiếu/sai Mã REF; ",IF(AND($L388="Chưa xác định",DANH_MUC!$L$9&lt;&gt;"Có"),"Nguồn chưa xác định; ","")))</f>
        <v/>
      </c>
      <c r="V388" s="22">
        <f>IF(OR($D388="",$R388="Trùng"),"",IF(COUNTIF(ORDERS!$C$2:$C$4995,$D388)&gt;0,"Có","Không"))</f>
        <v/>
      </c>
      <c r="W388" s="22">
        <f>IF(OR($D388="",$R388="Trùng"),"",COUNTIFS(ORDERS!$C$2:$C$4995,$D388,ORDERS!$L$2:$L$4995,"Đã chuyển khoản"))</f>
        <v/>
      </c>
      <c r="X388" s="23">
        <f>IF(OR($D388="",$R388="Trùng"),"",SUMIFS(ORDERS!$J$2:$J$4995,ORDERS!$C$2:$C$4995,$D388,ORDERS!$L$2:$L$4995,"Đã chuyển khoản"))</f>
        <v/>
      </c>
      <c r="Y388" s="24" t="n"/>
    </row>
    <row r="389" ht="14.25" customHeight="1" s="40">
      <c r="A389" s="24" t="inlineStr">
        <is>
          <t>4fa7b5f0-6d02-4a61-ba2f-5ca951bdeb6a</t>
        </is>
      </c>
      <c r="B389" s="27" t="n">
        <v>46297.60555555556</v>
      </c>
      <c r="C389" s="24" t="inlineStr">
        <is>
          <t>Thanh Hoa</t>
        </is>
      </c>
      <c r="D389" s="28" t="inlineStr">
        <is>
          <t>0867212791</t>
        </is>
      </c>
      <c r="E389" s="29" t="n">
        <v>46286</v>
      </c>
      <c r="F389" s="24" t="inlineStr">
        <is>
          <t>Đã sinh</t>
        </is>
      </c>
      <c r="G389" s="24" t="inlineStr">
        <is>
          <t>Hải Phòng</t>
        </is>
      </c>
      <c r="H389" s="21">
        <f>IF(ISNUMBER($B389),INT($B389)-WEEKDAY($B389,2)+1,"")</f>
        <v/>
      </c>
      <c r="I389" s="24" t="inlineStr">
        <is>
          <t>NHS-UNKNOWN</t>
        </is>
      </c>
      <c r="J389" s="22">
        <f t="array" ref="J389">IF($D389="","",IF($I389="","(trống REF)",IFERROR(INDEX(MASTER_SOURCE!$B$2:$B$495,MATCH($I389,MASTER_SOURCE!$A$2:$A$495,0)),"(REF không có trong MASTER_SOURCE)")))</f>
        <v/>
      </c>
      <c r="K389" s="22">
        <f t="array" ref="K389">IF($D389="","",IFERROR(INDEX(MASTER_SOURCE!$C$2:$C$495,MATCH($I389,MASTER_SOURCE!$A$2:$A$495,0)),""))</f>
        <v/>
      </c>
      <c r="L389" s="22">
        <f t="array" ref="L389">IF($D389="","",IFERROR(INDEX(MASTER_SOURCE!$D$2:$D$495,MATCH($I389,MASTER_SOURCE!$A$2:$A$495,0)),""))</f>
        <v/>
      </c>
      <c r="M389" s="24" t="inlineStr">
        <is>
          <t>Có</t>
        </is>
      </c>
      <c r="N389" s="24" t="inlineStr">
        <is>
          <t>Có</t>
        </is>
      </c>
      <c r="O389" s="24" t="inlineStr">
        <is>
          <t>Có</t>
        </is>
      </c>
      <c r="P389" s="24" t="inlineStr">
        <is>
          <t>Có</t>
        </is>
      </c>
      <c r="Q389" s="22">
        <f>IF($D389="","",IF(AND(OR(DANH_MUC!$L$5&lt;&gt;"Có",M389="Có"),OR(DANH_MUC!$L$6&lt;&gt;"Có",N389="Có"),OR(DANH_MUC!$L$7&lt;&gt;"Có",O389="Có"),OR(DANH_MUC!$L$8&lt;&gt;"Có",P389="Có")),"Có","Không"))</f>
        <v/>
      </c>
      <c r="R389" s="22">
        <f>IF($D389="","",IF(COUNTIF($D$2:$D389,$D389)&gt;1,"Trùng",""))</f>
        <v/>
      </c>
      <c r="S389" s="22">
        <f>IF($D389="","",IF(AND(LEN($D389)=10,LEFT($D389,1)="0",ISNUMBER(--$D389)),"Có","Không"))</f>
        <v/>
      </c>
      <c r="T389" s="22">
        <f>IF($D389="","",IF(AND($C389&lt;&gt;"",$Q389="Có",$R389="",$S389="Có",AND($L389&lt;&gt;"",OR($L389&lt;&gt;"Chưa xác định",DANH_MUC!$L$9="Có"))),"Có","Không"))</f>
        <v/>
      </c>
      <c r="U389" s="22">
        <f>IF(OR($D389="",$T389="Có"),"",IF($C389="","Thiếu họ tên; ","")&amp;IF($S389&lt;&gt;"Có","SĐT sai định dạng; ","")&amp;IF($R389="Trùng","Trùng SĐT; ","")&amp;IF($Q389&lt;&gt;"Có","Thiếu đồng ý bắt buộc; ","")&amp;IF($L389="","Thiếu/sai Mã REF; ",IF(AND($L389="Chưa xác định",DANH_MUC!$L$9&lt;&gt;"Có"),"Nguồn chưa xác định; ","")))</f>
        <v/>
      </c>
      <c r="V389" s="22">
        <f>IF(OR($D389="",$R389="Trùng"),"",IF(COUNTIF(ORDERS!$C$2:$C$4995,$D389)&gt;0,"Có","Không"))</f>
        <v/>
      </c>
      <c r="W389" s="22">
        <f>IF(OR($D389="",$R389="Trùng"),"",COUNTIFS(ORDERS!$C$2:$C$4995,$D389,ORDERS!$L$2:$L$4995,"Đã chuyển khoản"))</f>
        <v/>
      </c>
      <c r="X389" s="23">
        <f>IF(OR($D389="",$R389="Trùng"),"",SUMIFS(ORDERS!$J$2:$J$4995,ORDERS!$C$2:$C$4995,$D389,ORDERS!$L$2:$L$4995,"Đã chuyển khoản"))</f>
        <v/>
      </c>
      <c r="Y389" s="24" t="n"/>
    </row>
    <row r="390" ht="14.25" customHeight="1" s="40">
      <c r="A390" s="24" t="inlineStr">
        <is>
          <t>1336dc9c-593e-4110-b9e5-143ec8c14e80</t>
        </is>
      </c>
      <c r="B390" s="27" t="n">
        <v>46297.61597222222</v>
      </c>
      <c r="C390" s="24" t="inlineStr">
        <is>
          <t>Phạm Thị Ngọc Anh</t>
        </is>
      </c>
      <c r="D390" s="28" t="inlineStr">
        <is>
          <t>0347339396</t>
        </is>
      </c>
      <c r="E390" s="29" t="n">
        <v>46270</v>
      </c>
      <c r="F390" s="24" t="inlineStr">
        <is>
          <t>Đã sinh</t>
        </is>
      </c>
      <c r="G390" s="24" t="inlineStr">
        <is>
          <t>Hải Phòng</t>
        </is>
      </c>
      <c r="H390" s="21">
        <f>IF(ISNUMBER($B390),INT($B390)-WEEKDAY($B390,2)+1,"")</f>
        <v/>
      </c>
      <c r="I390" s="24" t="inlineStr">
        <is>
          <t>Z-YHP</t>
        </is>
      </c>
      <c r="J390" s="22">
        <f t="array" ref="J390">IF($D390="","",IF($I390="","(trống REF)",IFERROR(INDEX(MASTER_SOURCE!$B$2:$B$495,MATCH($I390,MASTER_SOURCE!$A$2:$A$495,0)),"(REF không có trong MASTER_SOURCE)")))</f>
        <v/>
      </c>
      <c r="K390" s="22">
        <f t="array" ref="K390">IF($D390="","",IFERROR(INDEX(MASTER_SOURCE!$C$2:$C$495,MATCH($I390,MASTER_SOURCE!$A$2:$A$495,0)),""))</f>
        <v/>
      </c>
      <c r="L390" s="22">
        <f t="array" ref="L390">IF($D390="","",IFERROR(INDEX(MASTER_SOURCE!$D$2:$D$495,MATCH($I390,MASTER_SOURCE!$A$2:$A$495,0)),""))</f>
        <v/>
      </c>
      <c r="M390" s="24" t="inlineStr">
        <is>
          <t>Có</t>
        </is>
      </c>
      <c r="N390" s="24" t="inlineStr">
        <is>
          <t>Có</t>
        </is>
      </c>
      <c r="O390" s="24" t="inlineStr">
        <is>
          <t>Có</t>
        </is>
      </c>
      <c r="P390" s="24" t="inlineStr">
        <is>
          <t>Có</t>
        </is>
      </c>
      <c r="Q390" s="22">
        <f>IF($D390="","",IF(AND(OR(DANH_MUC!$L$5&lt;&gt;"Có",M390="Có"),OR(DANH_MUC!$L$6&lt;&gt;"Có",N390="Có"),OR(DANH_MUC!$L$7&lt;&gt;"Có",O390="Có"),OR(DANH_MUC!$L$8&lt;&gt;"Có",P390="Có")),"Có","Không"))</f>
        <v/>
      </c>
      <c r="R390" s="22">
        <f>IF($D390="","",IF(COUNTIF($D$2:$D390,$D390)&gt;1,"Trùng",""))</f>
        <v/>
      </c>
      <c r="S390" s="22">
        <f>IF($D390="","",IF(AND(LEN($D390)=10,LEFT($D390,1)="0",ISNUMBER(--$D390)),"Có","Không"))</f>
        <v/>
      </c>
      <c r="T390" s="22">
        <f>IF($D390="","",IF(AND($C390&lt;&gt;"",$Q390="Có",$R390="",$S390="Có",AND($L390&lt;&gt;"",OR($L390&lt;&gt;"Chưa xác định",DANH_MUC!$L$9="Có"))),"Có","Không"))</f>
        <v/>
      </c>
      <c r="U390" s="22">
        <f>IF(OR($D390="",$T390="Có"),"",IF($C390="","Thiếu họ tên; ","")&amp;IF($S390&lt;&gt;"Có","SĐT sai định dạng; ","")&amp;IF($R390="Trùng","Trùng SĐT; ","")&amp;IF($Q390&lt;&gt;"Có","Thiếu đồng ý bắt buộc; ","")&amp;IF($L390="","Thiếu/sai Mã REF; ",IF(AND($L390="Chưa xác định",DANH_MUC!$L$9&lt;&gt;"Có"),"Nguồn chưa xác định; ","")))</f>
        <v/>
      </c>
      <c r="V390" s="22">
        <f>IF(OR($D390="",$R390="Trùng"),"",IF(COUNTIF(ORDERS!$C$2:$C$4995,$D390)&gt;0,"Có","Không"))</f>
        <v/>
      </c>
      <c r="W390" s="22">
        <f>IF(OR($D390="",$R390="Trùng"),"",COUNTIFS(ORDERS!$C$2:$C$4995,$D390,ORDERS!$L$2:$L$4995,"Đã chuyển khoản"))</f>
        <v/>
      </c>
      <c r="X390" s="23">
        <f>IF(OR($D390="",$R390="Trùng"),"",SUMIFS(ORDERS!$J$2:$J$4995,ORDERS!$C$2:$C$4995,$D390,ORDERS!$L$2:$L$4995,"Đã chuyển khoản"))</f>
        <v/>
      </c>
      <c r="Y390" s="24" t="n"/>
    </row>
    <row r="391" ht="14.25" customHeight="1" s="40">
      <c r="A391" s="24" t="inlineStr">
        <is>
          <t>83782ace-2d12-40fc-853b-786651bdcddf</t>
        </is>
      </c>
      <c r="B391" s="27" t="n">
        <v>46297.61666666667</v>
      </c>
      <c r="C391" s="24" t="inlineStr">
        <is>
          <t>Nguyễn Thị Thanh Tâm</t>
        </is>
      </c>
      <c r="D391" s="28" t="inlineStr">
        <is>
          <t>0382656122</t>
        </is>
      </c>
      <c r="E391" s="29" t="n">
        <v>46282</v>
      </c>
      <c r="F391" s="24" t="inlineStr">
        <is>
          <t>Đã sinh</t>
        </is>
      </c>
      <c r="G391" s="24" t="inlineStr">
        <is>
          <t>Hải Phòng</t>
        </is>
      </c>
      <c r="H391" s="21">
        <f>IF(ISNUMBER($B391),INT($B391)-WEEKDAY($B391,2)+1,"")</f>
        <v/>
      </c>
      <c r="I391" s="24" t="inlineStr">
        <is>
          <t>NHS-UNKNOWN</t>
        </is>
      </c>
      <c r="J391" s="22">
        <f t="array" ref="J391">IF($D391="","",IF($I391="","(trống REF)",IFERROR(INDEX(MASTER_SOURCE!$B$2:$B$495,MATCH($I391,MASTER_SOURCE!$A$2:$A$495,0)),"(REF không có trong MASTER_SOURCE)")))</f>
        <v/>
      </c>
      <c r="K391" s="22">
        <f t="array" ref="K391">IF($D391="","",IFERROR(INDEX(MASTER_SOURCE!$C$2:$C$495,MATCH($I391,MASTER_SOURCE!$A$2:$A$495,0)),""))</f>
        <v/>
      </c>
      <c r="L391" s="22">
        <f t="array" ref="L391">IF($D391="","",IFERROR(INDEX(MASTER_SOURCE!$D$2:$D$495,MATCH($I391,MASTER_SOURCE!$A$2:$A$495,0)),""))</f>
        <v/>
      </c>
      <c r="M391" s="24" t="inlineStr">
        <is>
          <t>Có</t>
        </is>
      </c>
      <c r="N391" s="24" t="inlineStr">
        <is>
          <t>Không</t>
        </is>
      </c>
      <c r="O391" s="24" t="inlineStr">
        <is>
          <t>Có</t>
        </is>
      </c>
      <c r="P391" s="24" t="inlineStr">
        <is>
          <t>Có</t>
        </is>
      </c>
      <c r="Q391" s="22">
        <f>IF($D391="","",IF(AND(OR(DANH_MUC!$L$5&lt;&gt;"Có",M391="Có"),OR(DANH_MUC!$L$6&lt;&gt;"Có",N391="Có"),OR(DANH_MUC!$L$7&lt;&gt;"Có",O391="Có"),OR(DANH_MUC!$L$8&lt;&gt;"Có",P391="Có")),"Có","Không"))</f>
        <v/>
      </c>
      <c r="R391" s="22">
        <f>IF($D391="","",IF(COUNTIF($D$2:$D391,$D391)&gt;1,"Trùng",""))</f>
        <v/>
      </c>
      <c r="S391" s="22">
        <f>IF($D391="","",IF(AND(LEN($D391)=10,LEFT($D391,1)="0",ISNUMBER(--$D391)),"Có","Không"))</f>
        <v/>
      </c>
      <c r="T391" s="22">
        <f>IF($D391="","",IF(AND($C391&lt;&gt;"",$Q391="Có",$R391="",$S391="Có",AND($L391&lt;&gt;"",OR($L391&lt;&gt;"Chưa xác định",DANH_MUC!$L$9="Có"))),"Có","Không"))</f>
        <v/>
      </c>
      <c r="U391" s="22">
        <f>IF(OR($D391="",$T391="Có"),"",IF($C391="","Thiếu họ tên; ","")&amp;IF($S391&lt;&gt;"Có","SĐT sai định dạng; ","")&amp;IF($R391="Trùng","Trùng SĐT; ","")&amp;IF($Q391&lt;&gt;"Có","Thiếu đồng ý bắt buộc; ","")&amp;IF($L391="","Thiếu/sai Mã REF; ",IF(AND($L391="Chưa xác định",DANH_MUC!$L$9&lt;&gt;"Có"),"Nguồn chưa xác định; ","")))</f>
        <v/>
      </c>
      <c r="V391" s="22">
        <f>IF(OR($D391="",$R391="Trùng"),"",IF(COUNTIF(ORDERS!$C$2:$C$4995,$D391)&gt;0,"Có","Không"))</f>
        <v/>
      </c>
      <c r="W391" s="22">
        <f>IF(OR($D391="",$R391="Trùng"),"",COUNTIFS(ORDERS!$C$2:$C$4995,$D391,ORDERS!$L$2:$L$4995,"Đã chuyển khoản"))</f>
        <v/>
      </c>
      <c r="X391" s="23">
        <f>IF(OR($D391="",$R391="Trùng"),"",SUMIFS(ORDERS!$J$2:$J$4995,ORDERS!$C$2:$C$4995,$D391,ORDERS!$L$2:$L$4995,"Đã chuyển khoản"))</f>
        <v/>
      </c>
      <c r="Y391" s="24" t="n"/>
    </row>
    <row r="392" ht="14.25" customHeight="1" s="40">
      <c r="A392" s="24" t="inlineStr">
        <is>
          <t>f7290fed-56d6-49e1-9a47-8ce8b33f2e23</t>
        </is>
      </c>
      <c r="B392" s="27" t="n">
        <v>46297.61666666667</v>
      </c>
      <c r="C392" s="24" t="inlineStr">
        <is>
          <t>Trần Xuân Ngọc</t>
        </is>
      </c>
      <c r="D392" s="28" t="inlineStr">
        <is>
          <t>0962007081</t>
        </is>
      </c>
      <c r="E392" s="29" t="n">
        <v>46267</v>
      </c>
      <c r="F392" s="24" t="inlineStr">
        <is>
          <t>Đã sinh</t>
        </is>
      </c>
      <c r="G392" s="24" t="inlineStr">
        <is>
          <t>Hải Phòng</t>
        </is>
      </c>
      <c r="H392" s="21">
        <f>IF(ISNUMBER($B392),INT($B392)-WEEKDAY($B392,2)+1,"")</f>
        <v/>
      </c>
      <c r="I392" s="24" t="inlineStr">
        <is>
          <t>Z-YHP</t>
        </is>
      </c>
      <c r="J392" s="22">
        <f t="array" ref="J392">IF($D392="","",IF($I392="","(trống REF)",IFERROR(INDEX(MASTER_SOURCE!$B$2:$B$495,MATCH($I392,MASTER_SOURCE!$A$2:$A$495,0)),"(REF không có trong MASTER_SOURCE)")))</f>
        <v/>
      </c>
      <c r="K392" s="22">
        <f t="array" ref="K392">IF($D392="","",IFERROR(INDEX(MASTER_SOURCE!$C$2:$C$495,MATCH($I392,MASTER_SOURCE!$A$2:$A$495,0)),""))</f>
        <v/>
      </c>
      <c r="L392" s="22">
        <f t="array" ref="L392">IF($D392="","",IFERROR(INDEX(MASTER_SOURCE!$D$2:$D$495,MATCH($I392,MASTER_SOURCE!$A$2:$A$495,0)),""))</f>
        <v/>
      </c>
      <c r="M392" s="24" t="inlineStr">
        <is>
          <t>Có</t>
        </is>
      </c>
      <c r="N392" s="24" t="inlineStr">
        <is>
          <t>Có</t>
        </is>
      </c>
      <c r="O392" s="24" t="inlineStr">
        <is>
          <t>Có</t>
        </is>
      </c>
      <c r="P392" s="24" t="inlineStr">
        <is>
          <t>Có</t>
        </is>
      </c>
      <c r="Q392" s="22">
        <f>IF($D392="","",IF(AND(OR(DANH_MUC!$L$5&lt;&gt;"Có",M392="Có"),OR(DANH_MUC!$L$6&lt;&gt;"Có",N392="Có"),OR(DANH_MUC!$L$7&lt;&gt;"Có",O392="Có"),OR(DANH_MUC!$L$8&lt;&gt;"Có",P392="Có")),"Có","Không"))</f>
        <v/>
      </c>
      <c r="R392" s="22">
        <f>IF($D392="","",IF(COUNTIF($D$2:$D392,$D392)&gt;1,"Trùng",""))</f>
        <v/>
      </c>
      <c r="S392" s="22">
        <f>IF($D392="","",IF(AND(LEN($D392)=10,LEFT($D392,1)="0",ISNUMBER(--$D392)),"Có","Không"))</f>
        <v/>
      </c>
      <c r="T392" s="22">
        <f>IF($D392="","",IF(AND($C392&lt;&gt;"",$Q392="Có",$R392="",$S392="Có",AND($L392&lt;&gt;"",OR($L392&lt;&gt;"Chưa xác định",DANH_MUC!$L$9="Có"))),"Có","Không"))</f>
        <v/>
      </c>
      <c r="U392" s="22">
        <f>IF(OR($D392="",$T392="Có"),"",IF($C392="","Thiếu họ tên; ","")&amp;IF($S392&lt;&gt;"Có","SĐT sai định dạng; ","")&amp;IF($R392="Trùng","Trùng SĐT; ","")&amp;IF($Q392&lt;&gt;"Có","Thiếu đồng ý bắt buộc; ","")&amp;IF($L392="","Thiếu/sai Mã REF; ",IF(AND($L392="Chưa xác định",DANH_MUC!$L$9&lt;&gt;"Có"),"Nguồn chưa xác định; ","")))</f>
        <v/>
      </c>
      <c r="V392" s="22">
        <f>IF(OR($D392="",$R392="Trùng"),"",IF(COUNTIF(ORDERS!$C$2:$C$4995,$D392)&gt;0,"Có","Không"))</f>
        <v/>
      </c>
      <c r="W392" s="22">
        <f>IF(OR($D392="",$R392="Trùng"),"",COUNTIFS(ORDERS!$C$2:$C$4995,$D392,ORDERS!$L$2:$L$4995,"Đã chuyển khoản"))</f>
        <v/>
      </c>
      <c r="X392" s="23">
        <f>IF(OR($D392="",$R392="Trùng"),"",SUMIFS(ORDERS!$J$2:$J$4995,ORDERS!$C$2:$C$4995,$D392,ORDERS!$L$2:$L$4995,"Đã chuyển khoản"))</f>
        <v/>
      </c>
      <c r="Y392" s="24" t="n"/>
    </row>
    <row r="393" ht="14.25" customHeight="1" s="40">
      <c r="A393" s="24" t="inlineStr">
        <is>
          <t>d71515c9-cf40-4332-a2c9-d963d8517e8d</t>
        </is>
      </c>
      <c r="B393" s="27" t="n">
        <v>46297.62083333333</v>
      </c>
      <c r="C393" s="24" t="inlineStr">
        <is>
          <t>Giáp Thị Liên</t>
        </is>
      </c>
      <c r="D393" s="28" t="inlineStr">
        <is>
          <t>0362259229</t>
        </is>
      </c>
      <c r="E393" s="29" t="n">
        <v>46021</v>
      </c>
      <c r="F393" s="24" t="inlineStr">
        <is>
          <t>Đã sinh</t>
        </is>
      </c>
      <c r="G393" s="24" t="inlineStr">
        <is>
          <t>Hồ Chí Minh</t>
        </is>
      </c>
      <c r="H393" s="21">
        <f>IF(ISNUMBER($B393),INT($B393)-WEEKDAY($B393,2)+1,"")</f>
        <v/>
      </c>
      <c r="I393" s="24" t="inlineStr">
        <is>
          <t>C-02</t>
        </is>
      </c>
      <c r="J393" s="22">
        <f t="array" ref="J393">IF($D393="","",IF($I393="","(trống REF)",IFERROR(INDEX(MASTER_SOURCE!$B$2:$B$495,MATCH($I393,MASTER_SOURCE!$A$2:$A$495,0)),"(REF không có trong MASTER_SOURCE)")))</f>
        <v/>
      </c>
      <c r="K393" s="22">
        <f t="array" ref="K393">IF($D393="","",IFERROR(INDEX(MASTER_SOURCE!$C$2:$C$495,MATCH($I393,MASTER_SOURCE!$A$2:$A$495,0)),""))</f>
        <v/>
      </c>
      <c r="L393" s="22">
        <f t="array" ref="L393">IF($D393="","",IFERROR(INDEX(MASTER_SOURCE!$D$2:$D$495,MATCH($I393,MASTER_SOURCE!$A$2:$A$495,0)),""))</f>
        <v/>
      </c>
      <c r="M393" s="24" t="inlineStr">
        <is>
          <t>Có</t>
        </is>
      </c>
      <c r="N393" s="24" t="inlineStr">
        <is>
          <t>Có</t>
        </is>
      </c>
      <c r="O393" s="24" t="inlineStr">
        <is>
          <t>Có</t>
        </is>
      </c>
      <c r="P393" s="24" t="inlineStr">
        <is>
          <t>Có</t>
        </is>
      </c>
      <c r="Q393" s="22">
        <f>IF($D393="","",IF(AND(OR(DANH_MUC!$L$5&lt;&gt;"Có",M393="Có"),OR(DANH_MUC!$L$6&lt;&gt;"Có",N393="Có"),OR(DANH_MUC!$L$7&lt;&gt;"Có",O393="Có"),OR(DANH_MUC!$L$8&lt;&gt;"Có",P393="Có")),"Có","Không"))</f>
        <v/>
      </c>
      <c r="R393" s="22">
        <f>IF($D393="","",IF(COUNTIF($D$2:$D393,$D393)&gt;1,"Trùng",""))</f>
        <v/>
      </c>
      <c r="S393" s="22">
        <f>IF($D393="","",IF(AND(LEN($D393)=10,LEFT($D393,1)="0",ISNUMBER(--$D393)),"Có","Không"))</f>
        <v/>
      </c>
      <c r="T393" s="22">
        <f>IF($D393="","",IF(AND($C393&lt;&gt;"",$Q393="Có",$R393="",$S393="Có",AND($L393&lt;&gt;"",OR($L393&lt;&gt;"Chưa xác định",DANH_MUC!$L$9="Có"))),"Có","Không"))</f>
        <v/>
      </c>
      <c r="U393" s="22">
        <f>IF(OR($D393="",$T393="Có"),"",IF($C393="","Thiếu họ tên; ","")&amp;IF($S393&lt;&gt;"Có","SĐT sai định dạng; ","")&amp;IF($R393="Trùng","Trùng SĐT; ","")&amp;IF($Q393&lt;&gt;"Có","Thiếu đồng ý bắt buộc; ","")&amp;IF($L393="","Thiếu/sai Mã REF; ",IF(AND($L393="Chưa xác định",DANH_MUC!$L$9&lt;&gt;"Có"),"Nguồn chưa xác định; ","")))</f>
        <v/>
      </c>
      <c r="V393" s="22">
        <f>IF(OR($D393="",$R393="Trùng"),"",IF(COUNTIF(ORDERS!$C$2:$C$4995,$D393)&gt;0,"Có","Không"))</f>
        <v/>
      </c>
      <c r="W393" s="22">
        <f>IF(OR($D393="",$R393="Trùng"),"",COUNTIFS(ORDERS!$C$2:$C$4995,$D393,ORDERS!$L$2:$L$4995,"Đã chuyển khoản"))</f>
        <v/>
      </c>
      <c r="X393" s="23">
        <f>IF(OR($D393="",$R393="Trùng"),"",SUMIFS(ORDERS!$J$2:$J$4995,ORDERS!$C$2:$C$4995,$D393,ORDERS!$L$2:$L$4995,"Đã chuyển khoản"))</f>
        <v/>
      </c>
      <c r="Y393" s="24" t="n"/>
    </row>
    <row r="394" ht="14.25" customHeight="1" s="40">
      <c r="A394" s="24" t="inlineStr">
        <is>
          <t>9a808f5f-2fa7-4339-a3c5-f54959894dc9</t>
        </is>
      </c>
      <c r="B394" s="27" t="n">
        <v>46297.63541666666</v>
      </c>
      <c r="C394" s="24" t="inlineStr">
        <is>
          <t>Tường Vy</t>
        </is>
      </c>
      <c r="D394" s="28" t="inlineStr">
        <is>
          <t>0936073752</t>
        </is>
      </c>
      <c r="E394" s="29" t="n">
        <v>46277</v>
      </c>
      <c r="F394" s="24" t="inlineStr">
        <is>
          <t>Đã sinh</t>
        </is>
      </c>
      <c r="G394" s="24" t="inlineStr">
        <is>
          <t>Hải Phòng</t>
        </is>
      </c>
      <c r="H394" s="21">
        <f>IF(ISNUMBER($B394),INT($B394)-WEEKDAY($B394,2)+1,"")</f>
        <v/>
      </c>
      <c r="I394" s="24" t="inlineStr">
        <is>
          <t>Z-YHP</t>
        </is>
      </c>
      <c r="J394" s="22">
        <f t="array" ref="J394">IF($D394="","",IF($I394="","(trống REF)",IFERROR(INDEX(MASTER_SOURCE!$B$2:$B$495,MATCH($I394,MASTER_SOURCE!$A$2:$A$495,0)),"(REF không có trong MASTER_SOURCE)")))</f>
        <v/>
      </c>
      <c r="K394" s="22">
        <f t="array" ref="K394">IF($D394="","",IFERROR(INDEX(MASTER_SOURCE!$C$2:$C$495,MATCH($I394,MASTER_SOURCE!$A$2:$A$495,0)),""))</f>
        <v/>
      </c>
      <c r="L394" s="22">
        <f t="array" ref="L394">IF($D394="","",IFERROR(INDEX(MASTER_SOURCE!$D$2:$D$495,MATCH($I394,MASTER_SOURCE!$A$2:$A$495,0)),""))</f>
        <v/>
      </c>
      <c r="M394" s="24" t="inlineStr">
        <is>
          <t>Có</t>
        </is>
      </c>
      <c r="N394" s="24" t="inlineStr">
        <is>
          <t>Có</t>
        </is>
      </c>
      <c r="O394" s="24" t="inlineStr">
        <is>
          <t>Có</t>
        </is>
      </c>
      <c r="P394" s="24" t="inlineStr">
        <is>
          <t>Có</t>
        </is>
      </c>
      <c r="Q394" s="22">
        <f>IF($D394="","",IF(AND(OR(DANH_MUC!$L$5&lt;&gt;"Có",M394="Có"),OR(DANH_MUC!$L$6&lt;&gt;"Có",N394="Có"),OR(DANH_MUC!$L$7&lt;&gt;"Có",O394="Có"),OR(DANH_MUC!$L$8&lt;&gt;"Có",P394="Có")),"Có","Không"))</f>
        <v/>
      </c>
      <c r="R394" s="22">
        <f>IF($D394="","",IF(COUNTIF($D$2:$D394,$D394)&gt;1,"Trùng",""))</f>
        <v/>
      </c>
      <c r="S394" s="22">
        <f>IF($D394="","",IF(AND(LEN($D394)=10,LEFT($D394,1)="0",ISNUMBER(--$D394)),"Có","Không"))</f>
        <v/>
      </c>
      <c r="T394" s="22">
        <f>IF($D394="","",IF(AND($C394&lt;&gt;"",$Q394="Có",$R394="",$S394="Có",AND($L394&lt;&gt;"",OR($L394&lt;&gt;"Chưa xác định",DANH_MUC!$L$9="Có"))),"Có","Không"))</f>
        <v/>
      </c>
      <c r="U394" s="22">
        <f>IF(OR($D394="",$T394="Có"),"",IF($C394="","Thiếu họ tên; ","")&amp;IF($S394&lt;&gt;"Có","SĐT sai định dạng; ","")&amp;IF($R394="Trùng","Trùng SĐT; ","")&amp;IF($Q394&lt;&gt;"Có","Thiếu đồng ý bắt buộc; ","")&amp;IF($L394="","Thiếu/sai Mã REF; ",IF(AND($L394="Chưa xác định",DANH_MUC!$L$9&lt;&gt;"Có"),"Nguồn chưa xác định; ","")))</f>
        <v/>
      </c>
      <c r="V394" s="22">
        <f>IF(OR($D394="",$R394="Trùng"),"",IF(COUNTIF(ORDERS!$C$2:$C$4995,$D394)&gt;0,"Có","Không"))</f>
        <v/>
      </c>
      <c r="W394" s="22">
        <f>IF(OR($D394="",$R394="Trùng"),"",COUNTIFS(ORDERS!$C$2:$C$4995,$D394,ORDERS!$L$2:$L$4995,"Đã chuyển khoản"))</f>
        <v/>
      </c>
      <c r="X394" s="23">
        <f>IF(OR($D394="",$R394="Trùng"),"",SUMIFS(ORDERS!$J$2:$J$4995,ORDERS!$C$2:$C$4995,$D394,ORDERS!$L$2:$L$4995,"Đã chuyển khoản"))</f>
        <v/>
      </c>
      <c r="Y394" s="24" t="n"/>
    </row>
    <row r="395" ht="14.25" customHeight="1" s="40">
      <c r="A395" s="24" t="inlineStr">
        <is>
          <t>9c2eacd3-7c5f-4821-a80f-75ab7a4848cc</t>
        </is>
      </c>
      <c r="B395" s="27" t="n">
        <v>46297.6375</v>
      </c>
      <c r="C395" s="24" t="inlineStr">
        <is>
          <t>Ngọc trúc</t>
        </is>
      </c>
      <c r="D395" s="28" t="inlineStr">
        <is>
          <t>0389055879</t>
        </is>
      </c>
      <c r="E395" s="29" t="n">
        <v>46013</v>
      </c>
      <c r="F395" s="24" t="inlineStr">
        <is>
          <t>Đã sinh</t>
        </is>
      </c>
      <c r="G395" s="24" t="inlineStr">
        <is>
          <t>Lâm Đồng</t>
        </is>
      </c>
      <c r="H395" s="21">
        <f>IF(ISNUMBER($B395),INT($B395)-WEEKDAY($B395,2)+1,"")</f>
        <v/>
      </c>
      <c r="I395" s="24" t="inlineStr">
        <is>
          <t>C-09</t>
        </is>
      </c>
      <c r="J395" s="22">
        <f t="array" ref="J395">IF($D395="","",IF($I395="","(trống REF)",IFERROR(INDEX(MASTER_SOURCE!$B$2:$B$495,MATCH($I395,MASTER_SOURCE!$A$2:$A$495,0)),"(REF không có trong MASTER_SOURCE)")))</f>
        <v/>
      </c>
      <c r="K395" s="22">
        <f t="array" ref="K395">IF($D395="","",IFERROR(INDEX(MASTER_SOURCE!$C$2:$C$495,MATCH($I395,MASTER_SOURCE!$A$2:$A$495,0)),""))</f>
        <v/>
      </c>
      <c r="L395" s="22">
        <f t="array" ref="L395">IF($D395="","",IFERROR(INDEX(MASTER_SOURCE!$D$2:$D$495,MATCH($I395,MASTER_SOURCE!$A$2:$A$495,0)),""))</f>
        <v/>
      </c>
      <c r="M395" s="24" t="inlineStr">
        <is>
          <t>Có</t>
        </is>
      </c>
      <c r="N395" s="24" t="inlineStr">
        <is>
          <t>Có</t>
        </is>
      </c>
      <c r="O395" s="24" t="inlineStr">
        <is>
          <t>Có</t>
        </is>
      </c>
      <c r="P395" s="24" t="inlineStr">
        <is>
          <t>Có</t>
        </is>
      </c>
      <c r="Q395" s="22">
        <f>IF($D395="","",IF(AND(OR(DANH_MUC!$L$5&lt;&gt;"Có",M395="Có"),OR(DANH_MUC!$L$6&lt;&gt;"Có",N395="Có"),OR(DANH_MUC!$L$7&lt;&gt;"Có",O395="Có"),OR(DANH_MUC!$L$8&lt;&gt;"Có",P395="Có")),"Có","Không"))</f>
        <v/>
      </c>
      <c r="R395" s="22">
        <f>IF($D395="","",IF(COUNTIF($D$2:$D395,$D395)&gt;1,"Trùng",""))</f>
        <v/>
      </c>
      <c r="S395" s="22">
        <f>IF($D395="","",IF(AND(LEN($D395)=10,LEFT($D395,1)="0",ISNUMBER(--$D395)),"Có","Không"))</f>
        <v/>
      </c>
      <c r="T395" s="22">
        <f>IF($D395="","",IF(AND($C395&lt;&gt;"",$Q395="Có",$R395="",$S395="Có",AND($L395&lt;&gt;"",OR($L395&lt;&gt;"Chưa xác định",DANH_MUC!$L$9="Có"))),"Có","Không"))</f>
        <v/>
      </c>
      <c r="U395" s="22">
        <f>IF(OR($D395="",$T395="Có"),"",IF($C395="","Thiếu họ tên; ","")&amp;IF($S395&lt;&gt;"Có","SĐT sai định dạng; ","")&amp;IF($R395="Trùng","Trùng SĐT; ","")&amp;IF($Q395&lt;&gt;"Có","Thiếu đồng ý bắt buộc; ","")&amp;IF($L395="","Thiếu/sai Mã REF; ",IF(AND($L395="Chưa xác định",DANH_MUC!$L$9&lt;&gt;"Có"),"Nguồn chưa xác định; ","")))</f>
        <v/>
      </c>
      <c r="V395" s="22">
        <f>IF(OR($D395="",$R395="Trùng"),"",IF(COUNTIF(ORDERS!$C$2:$C$4995,$D395)&gt;0,"Có","Không"))</f>
        <v/>
      </c>
      <c r="W395" s="22">
        <f>IF(OR($D395="",$R395="Trùng"),"",COUNTIFS(ORDERS!$C$2:$C$4995,$D395,ORDERS!$L$2:$L$4995,"Đã chuyển khoản"))</f>
        <v/>
      </c>
      <c r="X395" s="23">
        <f>IF(OR($D395="",$R395="Trùng"),"",SUMIFS(ORDERS!$J$2:$J$4995,ORDERS!$C$2:$C$4995,$D395,ORDERS!$L$2:$L$4995,"Đã chuyển khoản"))</f>
        <v/>
      </c>
      <c r="Y395" s="24" t="n"/>
    </row>
    <row r="396" ht="14.25" customHeight="1" s="40">
      <c r="A396" s="24" t="inlineStr">
        <is>
          <t>254fc270-83d3-4324-ac55-1add0647aca8</t>
        </is>
      </c>
      <c r="B396" s="27" t="n">
        <v>46297.64097222222</v>
      </c>
      <c r="C396" s="24" t="inlineStr">
        <is>
          <t>Trần Thị Thương Huyền</t>
        </is>
      </c>
      <c r="D396" s="28" t="inlineStr">
        <is>
          <t>0949282468</t>
        </is>
      </c>
      <c r="E396" s="29" t="n">
        <v>46290</v>
      </c>
      <c r="F396" s="24" t="inlineStr">
        <is>
          <t>Đã sinh</t>
        </is>
      </c>
      <c r="G396" s="24" t="inlineStr">
        <is>
          <t>Hà Nội</t>
        </is>
      </c>
      <c r="H396" s="21">
        <f>IF(ISNUMBER($B396),INT($B396)-WEEKDAY($B396,2)+1,"")</f>
        <v/>
      </c>
      <c r="I396" s="24" t="inlineStr">
        <is>
          <t>NHS-UNKNOWN</t>
        </is>
      </c>
      <c r="J396" s="22">
        <f t="array" ref="J396">IF($D396="","",IF($I396="","(trống REF)",IFERROR(INDEX(MASTER_SOURCE!$B$2:$B$495,MATCH($I396,MASTER_SOURCE!$A$2:$A$495,0)),"(REF không có trong MASTER_SOURCE)")))</f>
        <v/>
      </c>
      <c r="K396" s="22">
        <f t="array" ref="K396">IF($D396="","",IFERROR(INDEX(MASTER_SOURCE!$C$2:$C$495,MATCH($I396,MASTER_SOURCE!$A$2:$A$495,0)),""))</f>
        <v/>
      </c>
      <c r="L396" s="22">
        <f t="array" ref="L396">IF($D396="","",IFERROR(INDEX(MASTER_SOURCE!$D$2:$D$495,MATCH($I396,MASTER_SOURCE!$A$2:$A$495,0)),""))</f>
        <v/>
      </c>
      <c r="M396" s="24" t="inlineStr">
        <is>
          <t>Có</t>
        </is>
      </c>
      <c r="N396" s="24" t="inlineStr">
        <is>
          <t>Có</t>
        </is>
      </c>
      <c r="O396" s="24" t="inlineStr">
        <is>
          <t>Có</t>
        </is>
      </c>
      <c r="P396" s="24" t="inlineStr">
        <is>
          <t>Có</t>
        </is>
      </c>
      <c r="Q396" s="22">
        <f>IF($D396="","",IF(AND(OR(DANH_MUC!$L$5&lt;&gt;"Có",M396="Có"),OR(DANH_MUC!$L$6&lt;&gt;"Có",N396="Có"),OR(DANH_MUC!$L$7&lt;&gt;"Có",O396="Có"),OR(DANH_MUC!$L$8&lt;&gt;"Có",P396="Có")),"Có","Không"))</f>
        <v/>
      </c>
      <c r="R396" s="22">
        <f>IF($D396="","",IF(COUNTIF($D$2:$D396,$D396)&gt;1,"Trùng",""))</f>
        <v/>
      </c>
      <c r="S396" s="22">
        <f>IF($D396="","",IF(AND(LEN($D396)=10,LEFT($D396,1)="0",ISNUMBER(--$D396)),"Có","Không"))</f>
        <v/>
      </c>
      <c r="T396" s="22">
        <f>IF($D396="","",IF(AND($C396&lt;&gt;"",$Q396="Có",$R396="",$S396="Có",AND($L396&lt;&gt;"",OR($L396&lt;&gt;"Chưa xác định",DANH_MUC!$L$9="Có"))),"Có","Không"))</f>
        <v/>
      </c>
      <c r="U396" s="22">
        <f>IF(OR($D396="",$T396="Có"),"",IF($C396="","Thiếu họ tên; ","")&amp;IF($S396&lt;&gt;"Có","SĐT sai định dạng; ","")&amp;IF($R396="Trùng","Trùng SĐT; ","")&amp;IF($Q396&lt;&gt;"Có","Thiếu đồng ý bắt buộc; ","")&amp;IF($L396="","Thiếu/sai Mã REF; ",IF(AND($L396="Chưa xác định",DANH_MUC!$L$9&lt;&gt;"Có"),"Nguồn chưa xác định; ","")))</f>
        <v/>
      </c>
      <c r="V396" s="22">
        <f>IF(OR($D396="",$R396="Trùng"),"",IF(COUNTIF(ORDERS!$C$2:$C$4995,$D396)&gt;0,"Có","Không"))</f>
        <v/>
      </c>
      <c r="W396" s="22">
        <f>IF(OR($D396="",$R396="Trùng"),"",COUNTIFS(ORDERS!$C$2:$C$4995,$D396,ORDERS!$L$2:$L$4995,"Đã chuyển khoản"))</f>
        <v/>
      </c>
      <c r="X396" s="23">
        <f>IF(OR($D396="",$R396="Trùng"),"",SUMIFS(ORDERS!$J$2:$J$4995,ORDERS!$C$2:$C$4995,$D396,ORDERS!$L$2:$L$4995,"Đã chuyển khoản"))</f>
        <v/>
      </c>
      <c r="Y396" s="24" t="n"/>
    </row>
    <row r="397" ht="14.25" customHeight="1" s="40">
      <c r="A397" s="24" t="inlineStr">
        <is>
          <t>9452e983-931c-4147-8a1b-89ed85330564</t>
        </is>
      </c>
      <c r="B397" s="27" t="n">
        <v>46297.64444444444</v>
      </c>
      <c r="C397" s="24" t="inlineStr">
        <is>
          <t>Tạ Phương</t>
        </is>
      </c>
      <c r="D397" s="28" t="inlineStr">
        <is>
          <t>0963268896</t>
        </is>
      </c>
      <c r="E397" s="29" t="n">
        <v>46236</v>
      </c>
      <c r="F397" s="24" t="inlineStr">
        <is>
          <t>Đã sinh</t>
        </is>
      </c>
      <c r="G397" s="24" t="inlineStr">
        <is>
          <t>Hà Nội</t>
        </is>
      </c>
      <c r="H397" s="21">
        <f>IF(ISNUMBER($B397),INT($B397)-WEEKDAY($B397,2)+1,"")</f>
        <v/>
      </c>
      <c r="I397" s="24" t="inlineStr">
        <is>
          <t>NHS-UNKNOWN</t>
        </is>
      </c>
      <c r="J397" s="22">
        <f t="array" ref="J397">IF($D397="","",IF($I397="","(trống REF)",IFERROR(INDEX(MASTER_SOURCE!$B$2:$B$495,MATCH($I397,MASTER_SOURCE!$A$2:$A$495,0)),"(REF không có trong MASTER_SOURCE)")))</f>
        <v/>
      </c>
      <c r="K397" s="22">
        <f t="array" ref="K397">IF($D397="","",IFERROR(INDEX(MASTER_SOURCE!$C$2:$C$495,MATCH($I397,MASTER_SOURCE!$A$2:$A$495,0)),""))</f>
        <v/>
      </c>
      <c r="L397" s="22">
        <f t="array" ref="L397">IF($D397="","",IFERROR(INDEX(MASTER_SOURCE!$D$2:$D$495,MATCH($I397,MASTER_SOURCE!$A$2:$A$495,0)),""))</f>
        <v/>
      </c>
      <c r="M397" s="24" t="inlineStr">
        <is>
          <t>Có</t>
        </is>
      </c>
      <c r="N397" s="24" t="inlineStr">
        <is>
          <t>Có</t>
        </is>
      </c>
      <c r="O397" s="24" t="inlineStr">
        <is>
          <t>Có</t>
        </is>
      </c>
      <c r="P397" s="24" t="inlineStr">
        <is>
          <t>Có</t>
        </is>
      </c>
      <c r="Q397" s="22">
        <f>IF($D397="","",IF(AND(OR(DANH_MUC!$L$5&lt;&gt;"Có",M397="Có"),OR(DANH_MUC!$L$6&lt;&gt;"Có",N397="Có"),OR(DANH_MUC!$L$7&lt;&gt;"Có",O397="Có"),OR(DANH_MUC!$L$8&lt;&gt;"Có",P397="Có")),"Có","Không"))</f>
        <v/>
      </c>
      <c r="R397" s="22">
        <f>IF($D397="","",IF(COUNTIF($D$2:$D397,$D397)&gt;1,"Trùng",""))</f>
        <v/>
      </c>
      <c r="S397" s="22">
        <f>IF($D397="","",IF(AND(LEN($D397)=10,LEFT($D397,1)="0",ISNUMBER(--$D397)),"Có","Không"))</f>
        <v/>
      </c>
      <c r="T397" s="22">
        <f>IF($D397="","",IF(AND($C397&lt;&gt;"",$Q397="Có",$R397="",$S397="Có",AND($L397&lt;&gt;"",OR($L397&lt;&gt;"Chưa xác định",DANH_MUC!$L$9="Có"))),"Có","Không"))</f>
        <v/>
      </c>
      <c r="U397" s="22">
        <f>IF(OR($D397="",$T397="Có"),"",IF($C397="","Thiếu họ tên; ","")&amp;IF($S397&lt;&gt;"Có","SĐT sai định dạng; ","")&amp;IF($R397="Trùng","Trùng SĐT; ","")&amp;IF($Q397&lt;&gt;"Có","Thiếu đồng ý bắt buộc; ","")&amp;IF($L397="","Thiếu/sai Mã REF; ",IF(AND($L397="Chưa xác định",DANH_MUC!$L$9&lt;&gt;"Có"),"Nguồn chưa xác định; ","")))</f>
        <v/>
      </c>
      <c r="V397" s="22">
        <f>IF(OR($D397="",$R397="Trùng"),"",IF(COUNTIF(ORDERS!$C$2:$C$4995,$D397)&gt;0,"Có","Không"))</f>
        <v/>
      </c>
      <c r="W397" s="22">
        <f>IF(OR($D397="",$R397="Trùng"),"",COUNTIFS(ORDERS!$C$2:$C$4995,$D397,ORDERS!$L$2:$L$4995,"Đã chuyển khoản"))</f>
        <v/>
      </c>
      <c r="X397" s="23">
        <f>IF(OR($D397="",$R397="Trùng"),"",SUMIFS(ORDERS!$J$2:$J$4995,ORDERS!$C$2:$C$4995,$D397,ORDERS!$L$2:$L$4995,"Đã chuyển khoản"))</f>
        <v/>
      </c>
      <c r="Y397" s="24" t="n"/>
    </row>
    <row r="398" ht="14.25" customHeight="1" s="40">
      <c r="A398" s="24" t="inlineStr">
        <is>
          <t>06cd59d3-e500-4d93-88b9-90ed67d614b2</t>
        </is>
      </c>
      <c r="B398" s="27" t="n">
        <v>46297.64722222222</v>
      </c>
      <c r="C398" s="24" t="inlineStr">
        <is>
          <t>Mai</t>
        </is>
      </c>
      <c r="D398" s="28" t="inlineStr">
        <is>
          <t>0334951944</t>
        </is>
      </c>
      <c r="E398" s="29" t="n">
        <v>46287</v>
      </c>
      <c r="F398" s="24" t="inlineStr">
        <is>
          <t>Đã sinh</t>
        </is>
      </c>
      <c r="G398" s="24" t="inlineStr">
        <is>
          <t>Hải Phòng</t>
        </is>
      </c>
      <c r="H398" s="21">
        <f>IF(ISNUMBER($B398),INT($B398)-WEEKDAY($B398,2)+1,"")</f>
        <v/>
      </c>
      <c r="I398" s="24" t="inlineStr">
        <is>
          <t>Z-YHP</t>
        </is>
      </c>
      <c r="J398" s="22">
        <f t="array" ref="J398">IF($D398="","",IF($I398="","(trống REF)",IFERROR(INDEX(MASTER_SOURCE!$B$2:$B$495,MATCH($I398,MASTER_SOURCE!$A$2:$A$495,0)),"(REF không có trong MASTER_SOURCE)")))</f>
        <v/>
      </c>
      <c r="K398" s="22">
        <f t="array" ref="K398">IF($D398="","",IFERROR(INDEX(MASTER_SOURCE!$C$2:$C$495,MATCH($I398,MASTER_SOURCE!$A$2:$A$495,0)),""))</f>
        <v/>
      </c>
      <c r="L398" s="22">
        <f t="array" ref="L398">IF($D398="","",IFERROR(INDEX(MASTER_SOURCE!$D$2:$D$495,MATCH($I398,MASTER_SOURCE!$A$2:$A$495,0)),""))</f>
        <v/>
      </c>
      <c r="M398" s="24" t="inlineStr">
        <is>
          <t>Có</t>
        </is>
      </c>
      <c r="N398" s="24" t="inlineStr">
        <is>
          <t>Có</t>
        </is>
      </c>
      <c r="O398" s="24" t="inlineStr">
        <is>
          <t>Có</t>
        </is>
      </c>
      <c r="P398" s="24" t="inlineStr">
        <is>
          <t>Có</t>
        </is>
      </c>
      <c r="Q398" s="22">
        <f>IF($D398="","",IF(AND(OR(DANH_MUC!$L$5&lt;&gt;"Có",M398="Có"),OR(DANH_MUC!$L$6&lt;&gt;"Có",N398="Có"),OR(DANH_MUC!$L$7&lt;&gt;"Có",O398="Có"),OR(DANH_MUC!$L$8&lt;&gt;"Có",P398="Có")),"Có","Không"))</f>
        <v/>
      </c>
      <c r="R398" s="22">
        <f>IF($D398="","",IF(COUNTIF($D$2:$D398,$D398)&gt;1,"Trùng",""))</f>
        <v/>
      </c>
      <c r="S398" s="22">
        <f>IF($D398="","",IF(AND(LEN($D398)=10,LEFT($D398,1)="0",ISNUMBER(--$D398)),"Có","Không"))</f>
        <v/>
      </c>
      <c r="T398" s="22">
        <f>IF($D398="","",IF(AND($C398&lt;&gt;"",$Q398="Có",$R398="",$S398="Có",AND($L398&lt;&gt;"",OR($L398&lt;&gt;"Chưa xác định",DANH_MUC!$L$9="Có"))),"Có","Không"))</f>
        <v/>
      </c>
      <c r="U398" s="22">
        <f>IF(OR($D398="",$T398="Có"),"",IF($C398="","Thiếu họ tên; ","")&amp;IF($S398&lt;&gt;"Có","SĐT sai định dạng; ","")&amp;IF($R398="Trùng","Trùng SĐT; ","")&amp;IF($Q398&lt;&gt;"Có","Thiếu đồng ý bắt buộc; ","")&amp;IF($L398="","Thiếu/sai Mã REF; ",IF(AND($L398="Chưa xác định",DANH_MUC!$L$9&lt;&gt;"Có"),"Nguồn chưa xác định; ","")))</f>
        <v/>
      </c>
      <c r="V398" s="22">
        <f>IF(OR($D398="",$R398="Trùng"),"",IF(COUNTIF(ORDERS!$C$2:$C$4995,$D398)&gt;0,"Có","Không"))</f>
        <v/>
      </c>
      <c r="W398" s="22">
        <f>IF(OR($D398="",$R398="Trùng"),"",COUNTIFS(ORDERS!$C$2:$C$4995,$D398,ORDERS!$L$2:$L$4995,"Đã chuyển khoản"))</f>
        <v/>
      </c>
      <c r="X398" s="23">
        <f>IF(OR($D398="",$R398="Trùng"),"",SUMIFS(ORDERS!$J$2:$J$4995,ORDERS!$C$2:$C$4995,$D398,ORDERS!$L$2:$L$4995,"Đã chuyển khoản"))</f>
        <v/>
      </c>
      <c r="Y398" s="24" t="n"/>
    </row>
    <row r="399" ht="14.25" customHeight="1" s="40">
      <c r="A399" s="24" t="inlineStr">
        <is>
          <t>8a054ea6-c280-43f7-8ba3-fe0156d97923</t>
        </is>
      </c>
      <c r="B399" s="27" t="n">
        <v>46297.64791666667</v>
      </c>
      <c r="C399" s="24" t="inlineStr">
        <is>
          <t>Đinh Thị Thanh Hoa</t>
        </is>
      </c>
      <c r="D399" s="28" t="inlineStr">
        <is>
          <t>0363804531</t>
        </is>
      </c>
      <c r="E399" s="29" t="n">
        <v>46146</v>
      </c>
      <c r="F399" s="24" t="inlineStr">
        <is>
          <t>Đã sinh</t>
        </is>
      </c>
      <c r="G399" s="24" t="inlineStr">
        <is>
          <t>Hà Nội</t>
        </is>
      </c>
      <c r="H399" s="21">
        <f>IF(ISNUMBER($B399),INT($B399)-WEEKDAY($B399,2)+1,"")</f>
        <v/>
      </c>
      <c r="I399" s="24" t="inlineStr">
        <is>
          <t>C-04</t>
        </is>
      </c>
      <c r="J399" s="22">
        <f t="array" ref="J399">IF($D399="","",IF($I399="","(trống REF)",IFERROR(INDEX(MASTER_SOURCE!$B$2:$B$495,MATCH($I399,MASTER_SOURCE!$A$2:$A$495,0)),"(REF không có trong MASTER_SOURCE)")))</f>
        <v/>
      </c>
      <c r="K399" s="22">
        <f t="array" ref="K399">IF($D399="","",IFERROR(INDEX(MASTER_SOURCE!$C$2:$C$495,MATCH($I399,MASTER_SOURCE!$A$2:$A$495,0)),""))</f>
        <v/>
      </c>
      <c r="L399" s="22">
        <f t="array" ref="L399">IF($D399="","",IFERROR(INDEX(MASTER_SOURCE!$D$2:$D$495,MATCH($I399,MASTER_SOURCE!$A$2:$A$495,0)),""))</f>
        <v/>
      </c>
      <c r="M399" s="24" t="inlineStr">
        <is>
          <t>Có</t>
        </is>
      </c>
      <c r="N399" s="24" t="inlineStr">
        <is>
          <t>Có</t>
        </is>
      </c>
      <c r="O399" s="24" t="inlineStr">
        <is>
          <t>Có</t>
        </is>
      </c>
      <c r="P399" s="24" t="inlineStr">
        <is>
          <t>Có</t>
        </is>
      </c>
      <c r="Q399" s="22">
        <f>IF($D399="","",IF(AND(OR(DANH_MUC!$L$5&lt;&gt;"Có",M399="Có"),OR(DANH_MUC!$L$6&lt;&gt;"Có",N399="Có"),OR(DANH_MUC!$L$7&lt;&gt;"Có",O399="Có"),OR(DANH_MUC!$L$8&lt;&gt;"Có",P399="Có")),"Có","Không"))</f>
        <v/>
      </c>
      <c r="R399" s="22">
        <f>IF($D399="","",IF(COUNTIF($D$2:$D399,$D399)&gt;1,"Trùng",""))</f>
        <v/>
      </c>
      <c r="S399" s="22">
        <f>IF($D399="","",IF(AND(LEN($D399)=10,LEFT($D399,1)="0",ISNUMBER(--$D399)),"Có","Không"))</f>
        <v/>
      </c>
      <c r="T399" s="22">
        <f>IF($D399="","",IF(AND($C399&lt;&gt;"",$Q399="Có",$R399="",$S399="Có",AND($L399&lt;&gt;"",OR($L399&lt;&gt;"Chưa xác định",DANH_MUC!$L$9="Có"))),"Có","Không"))</f>
        <v/>
      </c>
      <c r="U399" s="22">
        <f>IF(OR($D399="",$T399="Có"),"",IF($C399="","Thiếu họ tên; ","")&amp;IF($S399&lt;&gt;"Có","SĐT sai định dạng; ","")&amp;IF($R399="Trùng","Trùng SĐT; ","")&amp;IF($Q399&lt;&gt;"Có","Thiếu đồng ý bắt buộc; ","")&amp;IF($L399="","Thiếu/sai Mã REF; ",IF(AND($L399="Chưa xác định",DANH_MUC!$L$9&lt;&gt;"Có"),"Nguồn chưa xác định; ","")))</f>
        <v/>
      </c>
      <c r="V399" s="22">
        <f>IF(OR($D399="",$R399="Trùng"),"",IF(COUNTIF(ORDERS!$C$2:$C$4995,$D399)&gt;0,"Có","Không"))</f>
        <v/>
      </c>
      <c r="W399" s="22">
        <f>IF(OR($D399="",$R399="Trùng"),"",COUNTIFS(ORDERS!$C$2:$C$4995,$D399,ORDERS!$L$2:$L$4995,"Đã chuyển khoản"))</f>
        <v/>
      </c>
      <c r="X399" s="23">
        <f>IF(OR($D399="",$R399="Trùng"),"",SUMIFS(ORDERS!$J$2:$J$4995,ORDERS!$C$2:$C$4995,$D399,ORDERS!$L$2:$L$4995,"Đã chuyển khoản"))</f>
        <v/>
      </c>
      <c r="Y399" s="24" t="n"/>
    </row>
    <row r="400" ht="14.25" customHeight="1" s="40">
      <c r="A400" s="24" t="inlineStr">
        <is>
          <t>148782dd-d1c2-498c-893e-739db6b5bc13</t>
        </is>
      </c>
      <c r="B400" s="27" t="n">
        <v>46297.65138888889</v>
      </c>
      <c r="C400" s="24" t="inlineStr">
        <is>
          <t>Bùi Thị Thanh Hương</t>
        </is>
      </c>
      <c r="D400" s="28" t="inlineStr">
        <is>
          <t>0982641282</t>
        </is>
      </c>
      <c r="E400" s="29" t="n">
        <v>45794</v>
      </c>
      <c r="F400" s="24" t="inlineStr">
        <is>
          <t>Đã sinh</t>
        </is>
      </c>
      <c r="G400" s="24" t="inlineStr">
        <is>
          <t>Hải Phòng</t>
        </is>
      </c>
      <c r="H400" s="21">
        <f>IF(ISNUMBER($B400),INT($B400)-WEEKDAY($B400,2)+1,"")</f>
        <v/>
      </c>
      <c r="I400" s="24" t="inlineStr">
        <is>
          <t>Z-YHP</t>
        </is>
      </c>
      <c r="J400" s="22">
        <f t="array" ref="J400">IF($D400="","",IF($I400="","(trống REF)",IFERROR(INDEX(MASTER_SOURCE!$B$2:$B$495,MATCH($I400,MASTER_SOURCE!$A$2:$A$495,0)),"(REF không có trong MASTER_SOURCE)")))</f>
        <v/>
      </c>
      <c r="K400" s="22">
        <f t="array" ref="K400">IF($D400="","",IFERROR(INDEX(MASTER_SOURCE!$C$2:$C$495,MATCH($I400,MASTER_SOURCE!$A$2:$A$495,0)),""))</f>
        <v/>
      </c>
      <c r="L400" s="22">
        <f t="array" ref="L400">IF($D400="","",IFERROR(INDEX(MASTER_SOURCE!$D$2:$D$495,MATCH($I400,MASTER_SOURCE!$A$2:$A$495,0)),""))</f>
        <v/>
      </c>
      <c r="M400" s="24" t="inlineStr">
        <is>
          <t>Có</t>
        </is>
      </c>
      <c r="N400" s="24" t="inlineStr">
        <is>
          <t>Không</t>
        </is>
      </c>
      <c r="O400" s="24" t="inlineStr">
        <is>
          <t>Không</t>
        </is>
      </c>
      <c r="P400" s="24" t="inlineStr">
        <is>
          <t>Không</t>
        </is>
      </c>
      <c r="Q400" s="22">
        <f>IF($D400="","",IF(AND(OR(DANH_MUC!$L$5&lt;&gt;"Có",M400="Có"),OR(DANH_MUC!$L$6&lt;&gt;"Có",N400="Có"),OR(DANH_MUC!$L$7&lt;&gt;"Có",O400="Có"),OR(DANH_MUC!$L$8&lt;&gt;"Có",P400="Có")),"Có","Không"))</f>
        <v/>
      </c>
      <c r="R400" s="22">
        <f>IF($D400="","",IF(COUNTIF($D$2:$D400,$D400)&gt;1,"Trùng",""))</f>
        <v/>
      </c>
      <c r="S400" s="22">
        <f>IF($D400="","",IF(AND(LEN($D400)=10,LEFT($D400,1)="0",ISNUMBER(--$D400)),"Có","Không"))</f>
        <v/>
      </c>
      <c r="T400" s="22">
        <f>IF($D400="","",IF(AND($C400&lt;&gt;"",$Q400="Có",$R400="",$S400="Có",AND($L400&lt;&gt;"",OR($L400&lt;&gt;"Chưa xác định",DANH_MUC!$L$9="Có"))),"Có","Không"))</f>
        <v/>
      </c>
      <c r="U400" s="22">
        <f>IF(OR($D400="",$T400="Có"),"",IF($C400="","Thiếu họ tên; ","")&amp;IF($S400&lt;&gt;"Có","SĐT sai định dạng; ","")&amp;IF($R400="Trùng","Trùng SĐT; ","")&amp;IF($Q400&lt;&gt;"Có","Thiếu đồng ý bắt buộc; ","")&amp;IF($L400="","Thiếu/sai Mã REF; ",IF(AND($L400="Chưa xác định",DANH_MUC!$L$9&lt;&gt;"Có"),"Nguồn chưa xác định; ","")))</f>
        <v/>
      </c>
      <c r="V400" s="22">
        <f>IF(OR($D400="",$R400="Trùng"),"",IF(COUNTIF(ORDERS!$C$2:$C$4995,$D400)&gt;0,"Có","Không"))</f>
        <v/>
      </c>
      <c r="W400" s="22">
        <f>IF(OR($D400="",$R400="Trùng"),"",COUNTIFS(ORDERS!$C$2:$C$4995,$D400,ORDERS!$L$2:$L$4995,"Đã chuyển khoản"))</f>
        <v/>
      </c>
      <c r="X400" s="23">
        <f>IF(OR($D400="",$R400="Trùng"),"",SUMIFS(ORDERS!$J$2:$J$4995,ORDERS!$C$2:$C$4995,$D400,ORDERS!$L$2:$L$4995,"Đã chuyển khoản"))</f>
        <v/>
      </c>
      <c r="Y400" s="24" t="n"/>
    </row>
    <row r="401" ht="14.25" customHeight="1" s="40">
      <c r="A401" s="24" t="inlineStr">
        <is>
          <t>771126f0-8664-425a-b3eb-a095f6c62081</t>
        </is>
      </c>
      <c r="B401" s="27" t="n">
        <v>46297.65277777778</v>
      </c>
      <c r="C401" s="24" t="inlineStr">
        <is>
          <t>Pham Thi Loan</t>
        </is>
      </c>
      <c r="D401" s="28" t="inlineStr">
        <is>
          <t>0975174387</t>
        </is>
      </c>
      <c r="E401" s="29" t="n">
        <v>46294</v>
      </c>
      <c r="F401" s="24" t="inlineStr">
        <is>
          <t>Đã sinh</t>
        </is>
      </c>
      <c r="G401" s="24" t="inlineStr">
        <is>
          <t>Hải Phòng</t>
        </is>
      </c>
      <c r="H401" s="21">
        <f>IF(ISNUMBER($B401),INT($B401)-WEEKDAY($B401,2)+1,"")</f>
        <v/>
      </c>
      <c r="I401" s="24" t="inlineStr">
        <is>
          <t>Z-YHP</t>
        </is>
      </c>
      <c r="J401" s="22">
        <f t="array" ref="J401">IF($D401="","",IF($I401="","(trống REF)",IFERROR(INDEX(MASTER_SOURCE!$B$2:$B$495,MATCH($I401,MASTER_SOURCE!$A$2:$A$495,0)),"(REF không có trong MASTER_SOURCE)")))</f>
        <v/>
      </c>
      <c r="K401" s="22">
        <f t="array" ref="K401">IF($D401="","",IFERROR(INDEX(MASTER_SOURCE!$C$2:$C$495,MATCH($I401,MASTER_SOURCE!$A$2:$A$495,0)),""))</f>
        <v/>
      </c>
      <c r="L401" s="22">
        <f t="array" ref="L401">IF($D401="","",IFERROR(INDEX(MASTER_SOURCE!$D$2:$D$495,MATCH($I401,MASTER_SOURCE!$A$2:$A$495,0)),""))</f>
        <v/>
      </c>
      <c r="M401" s="24" t="inlineStr">
        <is>
          <t>Có</t>
        </is>
      </c>
      <c r="N401" s="24" t="inlineStr">
        <is>
          <t>Có</t>
        </is>
      </c>
      <c r="O401" s="24" t="inlineStr">
        <is>
          <t>Có</t>
        </is>
      </c>
      <c r="P401" s="24" t="inlineStr">
        <is>
          <t>Có</t>
        </is>
      </c>
      <c r="Q401" s="22">
        <f>IF($D401="","",IF(AND(OR(DANH_MUC!$L$5&lt;&gt;"Có",M401="Có"),OR(DANH_MUC!$L$6&lt;&gt;"Có",N401="Có"),OR(DANH_MUC!$L$7&lt;&gt;"Có",O401="Có"),OR(DANH_MUC!$L$8&lt;&gt;"Có",P401="Có")),"Có","Không"))</f>
        <v/>
      </c>
      <c r="R401" s="22">
        <f>IF($D401="","",IF(COUNTIF($D$2:$D401,$D401)&gt;1,"Trùng",""))</f>
        <v/>
      </c>
      <c r="S401" s="22">
        <f>IF($D401="","",IF(AND(LEN($D401)=10,LEFT($D401,1)="0",ISNUMBER(--$D401)),"Có","Không"))</f>
        <v/>
      </c>
      <c r="T401" s="22">
        <f>IF($D401="","",IF(AND($C401&lt;&gt;"",$Q401="Có",$R401="",$S401="Có",AND($L401&lt;&gt;"",OR($L401&lt;&gt;"Chưa xác định",DANH_MUC!$L$9="Có"))),"Có","Không"))</f>
        <v/>
      </c>
      <c r="U401" s="22">
        <f>IF(OR($D401="",$T401="Có"),"",IF($C401="","Thiếu họ tên; ","")&amp;IF($S401&lt;&gt;"Có","SĐT sai định dạng; ","")&amp;IF($R401="Trùng","Trùng SĐT; ","")&amp;IF($Q401&lt;&gt;"Có","Thiếu đồng ý bắt buộc; ","")&amp;IF($L401="","Thiếu/sai Mã REF; ",IF(AND($L401="Chưa xác định",DANH_MUC!$L$9&lt;&gt;"Có"),"Nguồn chưa xác định; ","")))</f>
        <v/>
      </c>
      <c r="V401" s="22">
        <f>IF(OR($D401="",$R401="Trùng"),"",IF(COUNTIF(ORDERS!$C$2:$C$4995,$D401)&gt;0,"Có","Không"))</f>
        <v/>
      </c>
      <c r="W401" s="22">
        <f>IF(OR($D401="",$R401="Trùng"),"",COUNTIFS(ORDERS!$C$2:$C$4995,$D401,ORDERS!$L$2:$L$4995,"Đã chuyển khoản"))</f>
        <v/>
      </c>
      <c r="X401" s="23">
        <f>IF(OR($D401="",$R401="Trùng"),"",SUMIFS(ORDERS!$J$2:$J$4995,ORDERS!$C$2:$C$4995,$D401,ORDERS!$L$2:$L$4995,"Đã chuyển khoản"))</f>
        <v/>
      </c>
      <c r="Y401" s="24" t="n"/>
    </row>
    <row r="402" ht="14.25" customHeight="1" s="40">
      <c r="A402" s="24" t="inlineStr">
        <is>
          <t>06398882-c25e-4b63-8c62-79fda8741e18</t>
        </is>
      </c>
      <c r="B402" s="27" t="n">
        <v>46297.66666666666</v>
      </c>
      <c r="C402" s="24" t="inlineStr">
        <is>
          <t>Nguyễn Thị Phương Thảo</t>
        </is>
      </c>
      <c r="D402" s="28" t="inlineStr">
        <is>
          <t>0366237957</t>
        </is>
      </c>
      <c r="E402" s="29" t="n">
        <v>46285</v>
      </c>
      <c r="F402" s="24" t="inlineStr">
        <is>
          <t>Đã sinh</t>
        </is>
      </c>
      <c r="G402" s="24" t="inlineStr">
        <is>
          <t>Hải Phòng</t>
        </is>
      </c>
      <c r="H402" s="21">
        <f>IF(ISNUMBER($B402),INT($B402)-WEEKDAY($B402,2)+1,"")</f>
        <v/>
      </c>
      <c r="I402" s="24" t="inlineStr">
        <is>
          <t>Z-YHP</t>
        </is>
      </c>
      <c r="J402" s="22">
        <f t="array" ref="J402">IF($D402="","",IF($I402="","(trống REF)",IFERROR(INDEX(MASTER_SOURCE!$B$2:$B$495,MATCH($I402,MASTER_SOURCE!$A$2:$A$495,0)),"(REF không có trong MASTER_SOURCE)")))</f>
        <v/>
      </c>
      <c r="K402" s="22">
        <f t="array" ref="K402">IF($D402="","",IFERROR(INDEX(MASTER_SOURCE!$C$2:$C$495,MATCH($I402,MASTER_SOURCE!$A$2:$A$495,0)),""))</f>
        <v/>
      </c>
      <c r="L402" s="22">
        <f t="array" ref="L402">IF($D402="","",IFERROR(INDEX(MASTER_SOURCE!$D$2:$D$495,MATCH($I402,MASTER_SOURCE!$A$2:$A$495,0)),""))</f>
        <v/>
      </c>
      <c r="M402" s="24" t="inlineStr">
        <is>
          <t>Có</t>
        </is>
      </c>
      <c r="N402" s="24" t="inlineStr">
        <is>
          <t>Có</t>
        </is>
      </c>
      <c r="O402" s="24" t="inlineStr">
        <is>
          <t>Có</t>
        </is>
      </c>
      <c r="P402" s="24" t="inlineStr">
        <is>
          <t>Có</t>
        </is>
      </c>
      <c r="Q402" s="22">
        <f>IF($D402="","",IF(AND(OR(DANH_MUC!$L$5&lt;&gt;"Có",M402="Có"),OR(DANH_MUC!$L$6&lt;&gt;"Có",N402="Có"),OR(DANH_MUC!$L$7&lt;&gt;"Có",O402="Có"),OR(DANH_MUC!$L$8&lt;&gt;"Có",P402="Có")),"Có","Không"))</f>
        <v/>
      </c>
      <c r="R402" s="22">
        <f>IF($D402="","",IF(COUNTIF($D$2:$D402,$D402)&gt;1,"Trùng",""))</f>
        <v/>
      </c>
      <c r="S402" s="22">
        <f>IF($D402="","",IF(AND(LEN($D402)=10,LEFT($D402,1)="0",ISNUMBER(--$D402)),"Có","Không"))</f>
        <v/>
      </c>
      <c r="T402" s="22">
        <f>IF($D402="","",IF(AND($C402&lt;&gt;"",$Q402="Có",$R402="",$S402="Có",AND($L402&lt;&gt;"",OR($L402&lt;&gt;"Chưa xác định",DANH_MUC!$L$9="Có"))),"Có","Không"))</f>
        <v/>
      </c>
      <c r="U402" s="22">
        <f>IF(OR($D402="",$T402="Có"),"",IF($C402="","Thiếu họ tên; ","")&amp;IF($S402&lt;&gt;"Có","SĐT sai định dạng; ","")&amp;IF($R402="Trùng","Trùng SĐT; ","")&amp;IF($Q402&lt;&gt;"Có","Thiếu đồng ý bắt buộc; ","")&amp;IF($L402="","Thiếu/sai Mã REF; ",IF(AND($L402="Chưa xác định",DANH_MUC!$L$9&lt;&gt;"Có"),"Nguồn chưa xác định; ","")))</f>
        <v/>
      </c>
      <c r="V402" s="22">
        <f>IF(OR($D402="",$R402="Trùng"),"",IF(COUNTIF(ORDERS!$C$2:$C$4995,$D402)&gt;0,"Có","Không"))</f>
        <v/>
      </c>
      <c r="W402" s="22">
        <f>IF(OR($D402="",$R402="Trùng"),"",COUNTIFS(ORDERS!$C$2:$C$4995,$D402,ORDERS!$L$2:$L$4995,"Đã chuyển khoản"))</f>
        <v/>
      </c>
      <c r="X402" s="23">
        <f>IF(OR($D402="",$R402="Trùng"),"",SUMIFS(ORDERS!$J$2:$J$4995,ORDERS!$C$2:$C$4995,$D402,ORDERS!$L$2:$L$4995,"Đã chuyển khoản"))</f>
        <v/>
      </c>
      <c r="Y402" s="24" t="n"/>
    </row>
    <row r="403" ht="14.25" customHeight="1" s="40">
      <c r="A403" s="24" t="inlineStr">
        <is>
          <t>ae4b833f-f90e-4cc8-9cd0-5fbafc525d2c</t>
        </is>
      </c>
      <c r="B403" s="27" t="n">
        <v>46297.66875</v>
      </c>
      <c r="C403" s="24" t="inlineStr">
        <is>
          <t>Bùi Thị Tuyến</t>
        </is>
      </c>
      <c r="D403" s="28" t="inlineStr">
        <is>
          <t>0335136580</t>
        </is>
      </c>
      <c r="E403" s="29" t="n">
        <v>46273</v>
      </c>
      <c r="F403" s="24" t="inlineStr">
        <is>
          <t>Đã sinh</t>
        </is>
      </c>
      <c r="G403" s="24" t="inlineStr">
        <is>
          <t>Hải Phòng</t>
        </is>
      </c>
      <c r="H403" s="21">
        <f>IF(ISNUMBER($B403),INT($B403)-WEEKDAY($B403,2)+1,"")</f>
        <v/>
      </c>
      <c r="I403" s="24" t="inlineStr">
        <is>
          <t>Z-YHP</t>
        </is>
      </c>
      <c r="J403" s="22">
        <f t="array" ref="J403">IF($D403="","",IF($I403="","(trống REF)",IFERROR(INDEX(MASTER_SOURCE!$B$2:$B$495,MATCH($I403,MASTER_SOURCE!$A$2:$A$495,0)),"(REF không có trong MASTER_SOURCE)")))</f>
        <v/>
      </c>
      <c r="K403" s="22">
        <f t="array" ref="K403">IF($D403="","",IFERROR(INDEX(MASTER_SOURCE!$C$2:$C$495,MATCH($I403,MASTER_SOURCE!$A$2:$A$495,0)),""))</f>
        <v/>
      </c>
      <c r="L403" s="22">
        <f t="array" ref="L403">IF($D403="","",IFERROR(INDEX(MASTER_SOURCE!$D$2:$D$495,MATCH($I403,MASTER_SOURCE!$A$2:$A$495,0)),""))</f>
        <v/>
      </c>
      <c r="M403" s="24" t="inlineStr">
        <is>
          <t>Có</t>
        </is>
      </c>
      <c r="N403" s="24" t="inlineStr">
        <is>
          <t>Có</t>
        </is>
      </c>
      <c r="O403" s="24" t="inlineStr">
        <is>
          <t>Có</t>
        </is>
      </c>
      <c r="P403" s="24" t="inlineStr">
        <is>
          <t>Có</t>
        </is>
      </c>
      <c r="Q403" s="22">
        <f>IF($D403="","",IF(AND(OR(DANH_MUC!$L$5&lt;&gt;"Có",M403="Có"),OR(DANH_MUC!$L$6&lt;&gt;"Có",N403="Có"),OR(DANH_MUC!$L$7&lt;&gt;"Có",O403="Có"),OR(DANH_MUC!$L$8&lt;&gt;"Có",P403="Có")),"Có","Không"))</f>
        <v/>
      </c>
      <c r="R403" s="22">
        <f>IF($D403="","",IF(COUNTIF($D$2:$D403,$D403)&gt;1,"Trùng",""))</f>
        <v/>
      </c>
      <c r="S403" s="22">
        <f>IF($D403="","",IF(AND(LEN($D403)=10,LEFT($D403,1)="0",ISNUMBER(--$D403)),"Có","Không"))</f>
        <v/>
      </c>
      <c r="T403" s="22">
        <f>IF($D403="","",IF(AND($C403&lt;&gt;"",$Q403="Có",$R403="",$S403="Có",AND($L403&lt;&gt;"",OR($L403&lt;&gt;"Chưa xác định",DANH_MUC!$L$9="Có"))),"Có","Không"))</f>
        <v/>
      </c>
      <c r="U403" s="22">
        <f>IF(OR($D403="",$T403="Có"),"",IF($C403="","Thiếu họ tên; ","")&amp;IF($S403&lt;&gt;"Có","SĐT sai định dạng; ","")&amp;IF($R403="Trùng","Trùng SĐT; ","")&amp;IF($Q403&lt;&gt;"Có","Thiếu đồng ý bắt buộc; ","")&amp;IF($L403="","Thiếu/sai Mã REF; ",IF(AND($L403="Chưa xác định",DANH_MUC!$L$9&lt;&gt;"Có"),"Nguồn chưa xác định; ","")))</f>
        <v/>
      </c>
      <c r="V403" s="22">
        <f>IF(OR($D403="",$R403="Trùng"),"",IF(COUNTIF(ORDERS!$C$2:$C$4995,$D403)&gt;0,"Có","Không"))</f>
        <v/>
      </c>
      <c r="W403" s="22">
        <f>IF(OR($D403="",$R403="Trùng"),"",COUNTIFS(ORDERS!$C$2:$C$4995,$D403,ORDERS!$L$2:$L$4995,"Đã chuyển khoản"))</f>
        <v/>
      </c>
      <c r="X403" s="23">
        <f>IF(OR($D403="",$R403="Trùng"),"",SUMIFS(ORDERS!$J$2:$J$4995,ORDERS!$C$2:$C$4995,$D403,ORDERS!$L$2:$L$4995,"Đã chuyển khoản"))</f>
        <v/>
      </c>
      <c r="Y403" s="24" t="n"/>
    </row>
    <row r="404" ht="14.25" customHeight="1" s="40">
      <c r="A404" s="24" t="inlineStr">
        <is>
          <t>33150f3e-a769-4a29-80ae-edde921d3b8d</t>
        </is>
      </c>
      <c r="B404" s="27" t="n">
        <v>46297.67291666667</v>
      </c>
      <c r="C404" s="24" t="inlineStr">
        <is>
          <t>Đào Thị Phương Linh</t>
        </is>
      </c>
      <c r="D404" s="28" t="inlineStr">
        <is>
          <t>0705843605</t>
        </is>
      </c>
      <c r="E404" s="29" t="n">
        <v>46288</v>
      </c>
      <c r="F404" s="24" t="inlineStr">
        <is>
          <t>Đã sinh</t>
        </is>
      </c>
      <c r="G404" s="24" t="inlineStr">
        <is>
          <t>Hải Phòng</t>
        </is>
      </c>
      <c r="H404" s="21">
        <f>IF(ISNUMBER($B404),INT($B404)-WEEKDAY($B404,2)+1,"")</f>
        <v/>
      </c>
      <c r="I404" s="24" t="inlineStr">
        <is>
          <t>Z-YHP</t>
        </is>
      </c>
      <c r="J404" s="22">
        <f t="array" ref="J404">IF($D404="","",IF($I404="","(trống REF)",IFERROR(INDEX(MASTER_SOURCE!$B$2:$B$495,MATCH($I404,MASTER_SOURCE!$A$2:$A$495,0)),"(REF không có trong MASTER_SOURCE)")))</f>
        <v/>
      </c>
      <c r="K404" s="22">
        <f t="array" ref="K404">IF($D404="","",IFERROR(INDEX(MASTER_SOURCE!$C$2:$C$495,MATCH($I404,MASTER_SOURCE!$A$2:$A$495,0)),""))</f>
        <v/>
      </c>
      <c r="L404" s="22">
        <f t="array" ref="L404">IF($D404="","",IFERROR(INDEX(MASTER_SOURCE!$D$2:$D$495,MATCH($I404,MASTER_SOURCE!$A$2:$A$495,0)),""))</f>
        <v/>
      </c>
      <c r="M404" s="24" t="inlineStr">
        <is>
          <t>Có</t>
        </is>
      </c>
      <c r="N404" s="24" t="inlineStr">
        <is>
          <t>Có</t>
        </is>
      </c>
      <c r="O404" s="24" t="inlineStr">
        <is>
          <t>Không</t>
        </is>
      </c>
      <c r="P404" s="24" t="inlineStr">
        <is>
          <t>Không</t>
        </is>
      </c>
      <c r="Q404" s="22">
        <f>IF($D404="","",IF(AND(OR(DANH_MUC!$L$5&lt;&gt;"Có",M404="Có"),OR(DANH_MUC!$L$6&lt;&gt;"Có",N404="Có"),OR(DANH_MUC!$L$7&lt;&gt;"Có",O404="Có"),OR(DANH_MUC!$L$8&lt;&gt;"Có",P404="Có")),"Có","Không"))</f>
        <v/>
      </c>
      <c r="R404" s="22">
        <f>IF($D404="","",IF(COUNTIF($D$2:$D404,$D404)&gt;1,"Trùng",""))</f>
        <v/>
      </c>
      <c r="S404" s="22">
        <f>IF($D404="","",IF(AND(LEN($D404)=10,LEFT($D404,1)="0",ISNUMBER(--$D404)),"Có","Không"))</f>
        <v/>
      </c>
      <c r="T404" s="22">
        <f>IF($D404="","",IF(AND($C404&lt;&gt;"",$Q404="Có",$R404="",$S404="Có",AND($L404&lt;&gt;"",OR($L404&lt;&gt;"Chưa xác định",DANH_MUC!$L$9="Có"))),"Có","Không"))</f>
        <v/>
      </c>
      <c r="U404" s="22">
        <f>IF(OR($D404="",$T404="Có"),"",IF($C404="","Thiếu họ tên; ","")&amp;IF($S404&lt;&gt;"Có","SĐT sai định dạng; ","")&amp;IF($R404="Trùng","Trùng SĐT; ","")&amp;IF($Q404&lt;&gt;"Có","Thiếu đồng ý bắt buộc; ","")&amp;IF($L404="","Thiếu/sai Mã REF; ",IF(AND($L404="Chưa xác định",DANH_MUC!$L$9&lt;&gt;"Có"),"Nguồn chưa xác định; ","")))</f>
        <v/>
      </c>
      <c r="V404" s="22">
        <f>IF(OR($D404="",$R404="Trùng"),"",IF(COUNTIF(ORDERS!$C$2:$C$4995,$D404)&gt;0,"Có","Không"))</f>
        <v/>
      </c>
      <c r="W404" s="22">
        <f>IF(OR($D404="",$R404="Trùng"),"",COUNTIFS(ORDERS!$C$2:$C$4995,$D404,ORDERS!$L$2:$L$4995,"Đã chuyển khoản"))</f>
        <v/>
      </c>
      <c r="X404" s="23">
        <f>IF(OR($D404="",$R404="Trùng"),"",SUMIFS(ORDERS!$J$2:$J$4995,ORDERS!$C$2:$C$4995,$D404,ORDERS!$L$2:$L$4995,"Đã chuyển khoản"))</f>
        <v/>
      </c>
      <c r="Y404" s="24" t="n"/>
    </row>
    <row r="405" ht="14.25" customHeight="1" s="40">
      <c r="A405" s="24" t="inlineStr">
        <is>
          <t>f617bc14-5aae-43ea-a697-127b9fb6c30d</t>
        </is>
      </c>
      <c r="B405" s="27" t="n">
        <v>46297.67430555556</v>
      </c>
      <c r="C405" s="24" t="inlineStr">
        <is>
          <t>Đỗ Thị Thuỳ Linh</t>
        </is>
      </c>
      <c r="D405" s="28" t="inlineStr">
        <is>
          <t>0357367011</t>
        </is>
      </c>
      <c r="E405" s="29" t="n">
        <v>46268</v>
      </c>
      <c r="F405" s="24" t="inlineStr">
        <is>
          <t>Đã sinh</t>
        </is>
      </c>
      <c r="G405" s="24" t="inlineStr">
        <is>
          <t>Hà Nội</t>
        </is>
      </c>
      <c r="H405" s="21">
        <f>IF(ISNUMBER($B405),INT($B405)-WEEKDAY($B405,2)+1,"")</f>
        <v/>
      </c>
      <c r="I405" s="24" t="inlineStr">
        <is>
          <t>Z-YHP</t>
        </is>
      </c>
      <c r="J405" s="22">
        <f t="array" ref="J405">IF($D405="","",IF($I405="","(trống REF)",IFERROR(INDEX(MASTER_SOURCE!$B$2:$B$495,MATCH($I405,MASTER_SOURCE!$A$2:$A$495,0)),"(REF không có trong MASTER_SOURCE)")))</f>
        <v/>
      </c>
      <c r="K405" s="22">
        <f t="array" ref="K405">IF($D405="","",IFERROR(INDEX(MASTER_SOURCE!$C$2:$C$495,MATCH($I405,MASTER_SOURCE!$A$2:$A$495,0)),""))</f>
        <v/>
      </c>
      <c r="L405" s="22">
        <f t="array" ref="L405">IF($D405="","",IFERROR(INDEX(MASTER_SOURCE!$D$2:$D$495,MATCH($I405,MASTER_SOURCE!$A$2:$A$495,0)),""))</f>
        <v/>
      </c>
      <c r="M405" s="24" t="inlineStr">
        <is>
          <t>Có</t>
        </is>
      </c>
      <c r="N405" s="24" t="inlineStr">
        <is>
          <t>Có</t>
        </is>
      </c>
      <c r="O405" s="24" t="inlineStr">
        <is>
          <t>Có</t>
        </is>
      </c>
      <c r="P405" s="24" t="inlineStr">
        <is>
          <t>Có</t>
        </is>
      </c>
      <c r="Q405" s="22">
        <f>IF($D405="","",IF(AND(OR(DANH_MUC!$L$5&lt;&gt;"Có",M405="Có"),OR(DANH_MUC!$L$6&lt;&gt;"Có",N405="Có"),OR(DANH_MUC!$L$7&lt;&gt;"Có",O405="Có"),OR(DANH_MUC!$L$8&lt;&gt;"Có",P405="Có")),"Có","Không"))</f>
        <v/>
      </c>
      <c r="R405" s="22">
        <f>IF($D405="","",IF(COUNTIF($D$2:$D405,$D405)&gt;1,"Trùng",""))</f>
        <v/>
      </c>
      <c r="S405" s="22">
        <f>IF($D405="","",IF(AND(LEN($D405)=10,LEFT($D405,1)="0",ISNUMBER(--$D405)),"Có","Không"))</f>
        <v/>
      </c>
      <c r="T405" s="22">
        <f>IF($D405="","",IF(AND($C405&lt;&gt;"",$Q405="Có",$R405="",$S405="Có",AND($L405&lt;&gt;"",OR($L405&lt;&gt;"Chưa xác định",DANH_MUC!$L$9="Có"))),"Có","Không"))</f>
        <v/>
      </c>
      <c r="U405" s="22">
        <f>IF(OR($D405="",$T405="Có"),"",IF($C405="","Thiếu họ tên; ","")&amp;IF($S405&lt;&gt;"Có","SĐT sai định dạng; ","")&amp;IF($R405="Trùng","Trùng SĐT; ","")&amp;IF($Q405&lt;&gt;"Có","Thiếu đồng ý bắt buộc; ","")&amp;IF($L405="","Thiếu/sai Mã REF; ",IF(AND($L405="Chưa xác định",DANH_MUC!$L$9&lt;&gt;"Có"),"Nguồn chưa xác định; ","")))</f>
        <v/>
      </c>
      <c r="V405" s="22">
        <f>IF(OR($D405="",$R405="Trùng"),"",IF(COUNTIF(ORDERS!$C$2:$C$4995,$D405)&gt;0,"Có","Không"))</f>
        <v/>
      </c>
      <c r="W405" s="22">
        <f>IF(OR($D405="",$R405="Trùng"),"",COUNTIFS(ORDERS!$C$2:$C$4995,$D405,ORDERS!$L$2:$L$4995,"Đã chuyển khoản"))</f>
        <v/>
      </c>
      <c r="X405" s="23">
        <f>IF(OR($D405="",$R405="Trùng"),"",SUMIFS(ORDERS!$J$2:$J$4995,ORDERS!$C$2:$C$4995,$D405,ORDERS!$L$2:$L$4995,"Đã chuyển khoản"))</f>
        <v/>
      </c>
      <c r="Y405" s="24" t="n"/>
    </row>
    <row r="406" ht="14.25" customHeight="1" s="40">
      <c r="A406" s="24" t="inlineStr">
        <is>
          <t>8b0f788c-1728-4947-96d2-fe86d813b4c1</t>
        </is>
      </c>
      <c r="B406" s="27" t="n">
        <v>46297.68125</v>
      </c>
      <c r="C406" s="24" t="inlineStr">
        <is>
          <t>Chu Trang</t>
        </is>
      </c>
      <c r="D406" s="28" t="inlineStr">
        <is>
          <t>0961272467</t>
        </is>
      </c>
      <c r="E406" s="29" t="n">
        <v>46241</v>
      </c>
      <c r="F406" s="24" t="inlineStr">
        <is>
          <t>Đã sinh</t>
        </is>
      </c>
      <c r="G406" s="24" t="inlineStr">
        <is>
          <t>Hà Nội</t>
        </is>
      </c>
      <c r="H406" s="21">
        <f>IF(ISNUMBER($B406),INT($B406)-WEEKDAY($B406,2)+1,"")</f>
        <v/>
      </c>
      <c r="I406" s="24" t="inlineStr">
        <is>
          <t>NHS-UNKNOWN</t>
        </is>
      </c>
      <c r="J406" s="22">
        <f t="array" ref="J406">IF($D406="","",IF($I406="","(trống REF)",IFERROR(INDEX(MASTER_SOURCE!$B$2:$B$495,MATCH($I406,MASTER_SOURCE!$A$2:$A$495,0)),"(REF không có trong MASTER_SOURCE)")))</f>
        <v/>
      </c>
      <c r="K406" s="22">
        <f t="array" ref="K406">IF($D406="","",IFERROR(INDEX(MASTER_SOURCE!$C$2:$C$495,MATCH($I406,MASTER_SOURCE!$A$2:$A$495,0)),""))</f>
        <v/>
      </c>
      <c r="L406" s="22">
        <f t="array" ref="L406">IF($D406="","",IFERROR(INDEX(MASTER_SOURCE!$D$2:$D$495,MATCH($I406,MASTER_SOURCE!$A$2:$A$495,0)),""))</f>
        <v/>
      </c>
      <c r="M406" s="24" t="inlineStr">
        <is>
          <t>Có</t>
        </is>
      </c>
      <c r="N406" s="24" t="inlineStr">
        <is>
          <t>Có</t>
        </is>
      </c>
      <c r="O406" s="24" t="inlineStr">
        <is>
          <t>Có</t>
        </is>
      </c>
      <c r="P406" s="24" t="inlineStr">
        <is>
          <t>Có</t>
        </is>
      </c>
      <c r="Q406" s="22">
        <f>IF($D406="","",IF(AND(OR(DANH_MUC!$L$5&lt;&gt;"Có",M406="Có"),OR(DANH_MUC!$L$6&lt;&gt;"Có",N406="Có"),OR(DANH_MUC!$L$7&lt;&gt;"Có",O406="Có"),OR(DANH_MUC!$L$8&lt;&gt;"Có",P406="Có")),"Có","Không"))</f>
        <v/>
      </c>
      <c r="R406" s="22">
        <f>IF($D406="","",IF(COUNTIF($D$2:$D406,$D406)&gt;1,"Trùng",""))</f>
        <v/>
      </c>
      <c r="S406" s="22">
        <f>IF($D406="","",IF(AND(LEN($D406)=10,LEFT($D406,1)="0",ISNUMBER(--$D406)),"Có","Không"))</f>
        <v/>
      </c>
      <c r="T406" s="22">
        <f>IF($D406="","",IF(AND($C406&lt;&gt;"",$Q406="Có",$R406="",$S406="Có",AND($L406&lt;&gt;"",OR($L406&lt;&gt;"Chưa xác định",DANH_MUC!$L$9="Có"))),"Có","Không"))</f>
        <v/>
      </c>
      <c r="U406" s="22">
        <f>IF(OR($D406="",$T406="Có"),"",IF($C406="","Thiếu họ tên; ","")&amp;IF($S406&lt;&gt;"Có","SĐT sai định dạng; ","")&amp;IF($R406="Trùng","Trùng SĐT; ","")&amp;IF($Q406&lt;&gt;"Có","Thiếu đồng ý bắt buộc; ","")&amp;IF($L406="","Thiếu/sai Mã REF; ",IF(AND($L406="Chưa xác định",DANH_MUC!$L$9&lt;&gt;"Có"),"Nguồn chưa xác định; ","")))</f>
        <v/>
      </c>
      <c r="V406" s="22">
        <f>IF(OR($D406="",$R406="Trùng"),"",IF(COUNTIF(ORDERS!$C$2:$C$4995,$D406)&gt;0,"Có","Không"))</f>
        <v/>
      </c>
      <c r="W406" s="22">
        <f>IF(OR($D406="",$R406="Trùng"),"",COUNTIFS(ORDERS!$C$2:$C$4995,$D406,ORDERS!$L$2:$L$4995,"Đã chuyển khoản"))</f>
        <v/>
      </c>
      <c r="X406" s="23">
        <f>IF(OR($D406="",$R406="Trùng"),"",SUMIFS(ORDERS!$J$2:$J$4995,ORDERS!$C$2:$C$4995,$D406,ORDERS!$L$2:$L$4995,"Đã chuyển khoản"))</f>
        <v/>
      </c>
      <c r="Y406" s="24" t="n"/>
    </row>
    <row r="407" ht="14.25" customHeight="1" s="40">
      <c r="A407" s="24" t="inlineStr">
        <is>
          <t>32252faf-7716-45ad-b079-6c209af75f42</t>
        </is>
      </c>
      <c r="B407" s="27" t="n">
        <v>46297.68125</v>
      </c>
      <c r="C407" s="24" t="inlineStr">
        <is>
          <t>Khương Thị Ngọc Hà</t>
        </is>
      </c>
      <c r="D407" s="28" t="inlineStr">
        <is>
          <t>0984992559</t>
        </is>
      </c>
      <c r="E407" s="29" t="n">
        <v>46277</v>
      </c>
      <c r="F407" s="24" t="inlineStr">
        <is>
          <t>Đã sinh</t>
        </is>
      </c>
      <c r="G407" s="24" t="inlineStr">
        <is>
          <t>Hải Phòng</t>
        </is>
      </c>
      <c r="H407" s="21">
        <f>IF(ISNUMBER($B407),INT($B407)-WEEKDAY($B407,2)+1,"")</f>
        <v/>
      </c>
      <c r="I407" s="24" t="inlineStr">
        <is>
          <t>Z-YHP</t>
        </is>
      </c>
      <c r="J407" s="22">
        <f t="array" ref="J407">IF($D407="","",IF($I407="","(trống REF)",IFERROR(INDEX(MASTER_SOURCE!$B$2:$B$495,MATCH($I407,MASTER_SOURCE!$A$2:$A$495,0)),"(REF không có trong MASTER_SOURCE)")))</f>
        <v/>
      </c>
      <c r="K407" s="22">
        <f t="array" ref="K407">IF($D407="","",IFERROR(INDEX(MASTER_SOURCE!$C$2:$C$495,MATCH($I407,MASTER_SOURCE!$A$2:$A$495,0)),""))</f>
        <v/>
      </c>
      <c r="L407" s="22">
        <f t="array" ref="L407">IF($D407="","",IFERROR(INDEX(MASTER_SOURCE!$D$2:$D$495,MATCH($I407,MASTER_SOURCE!$A$2:$A$495,0)),""))</f>
        <v/>
      </c>
      <c r="M407" s="24" t="inlineStr">
        <is>
          <t>Có</t>
        </is>
      </c>
      <c r="N407" s="24" t="inlineStr">
        <is>
          <t>Có</t>
        </is>
      </c>
      <c r="O407" s="24" t="inlineStr">
        <is>
          <t>Có</t>
        </is>
      </c>
      <c r="P407" s="24" t="inlineStr">
        <is>
          <t>Có</t>
        </is>
      </c>
      <c r="Q407" s="22">
        <f>IF($D407="","",IF(AND(OR(DANH_MUC!$L$5&lt;&gt;"Có",M407="Có"),OR(DANH_MUC!$L$6&lt;&gt;"Có",N407="Có"),OR(DANH_MUC!$L$7&lt;&gt;"Có",O407="Có"),OR(DANH_MUC!$L$8&lt;&gt;"Có",P407="Có")),"Có","Không"))</f>
        <v/>
      </c>
      <c r="R407" s="22">
        <f>IF($D407="","",IF(COUNTIF($D$2:$D407,$D407)&gt;1,"Trùng",""))</f>
        <v/>
      </c>
      <c r="S407" s="22">
        <f>IF($D407="","",IF(AND(LEN($D407)=10,LEFT($D407,1)="0",ISNUMBER(--$D407)),"Có","Không"))</f>
        <v/>
      </c>
      <c r="T407" s="22">
        <f>IF($D407="","",IF(AND($C407&lt;&gt;"",$Q407="Có",$R407="",$S407="Có",AND($L407&lt;&gt;"",OR($L407&lt;&gt;"Chưa xác định",DANH_MUC!$L$9="Có"))),"Có","Không"))</f>
        <v/>
      </c>
      <c r="U407" s="22">
        <f>IF(OR($D407="",$T407="Có"),"",IF($C407="","Thiếu họ tên; ","")&amp;IF($S407&lt;&gt;"Có","SĐT sai định dạng; ","")&amp;IF($R407="Trùng","Trùng SĐT; ","")&amp;IF($Q407&lt;&gt;"Có","Thiếu đồng ý bắt buộc; ","")&amp;IF($L407="","Thiếu/sai Mã REF; ",IF(AND($L407="Chưa xác định",DANH_MUC!$L$9&lt;&gt;"Có"),"Nguồn chưa xác định; ","")))</f>
        <v/>
      </c>
      <c r="V407" s="22">
        <f>IF(OR($D407="",$R407="Trùng"),"",IF(COUNTIF(ORDERS!$C$2:$C$4995,$D407)&gt;0,"Có","Không"))</f>
        <v/>
      </c>
      <c r="W407" s="22">
        <f>IF(OR($D407="",$R407="Trùng"),"",COUNTIFS(ORDERS!$C$2:$C$4995,$D407,ORDERS!$L$2:$L$4995,"Đã chuyển khoản"))</f>
        <v/>
      </c>
      <c r="X407" s="23">
        <f>IF(OR($D407="",$R407="Trùng"),"",SUMIFS(ORDERS!$J$2:$J$4995,ORDERS!$C$2:$C$4995,$D407,ORDERS!$L$2:$L$4995,"Đã chuyển khoản"))</f>
        <v/>
      </c>
      <c r="Y407" s="24" t="n"/>
    </row>
    <row r="408" ht="14.25" customHeight="1" s="40">
      <c r="A408" s="24" t="inlineStr">
        <is>
          <t>711ad655-5bda-41e8-9b57-cf9c92aa9214</t>
        </is>
      </c>
      <c r="B408" s="27" t="n">
        <v>46297.69027777778</v>
      </c>
      <c r="C408" s="24" t="inlineStr">
        <is>
          <t>Lê Thị Hằng</t>
        </is>
      </c>
      <c r="D408" s="28" t="inlineStr">
        <is>
          <t>0344115857</t>
        </is>
      </c>
      <c r="E408" s="29" t="n">
        <v>46290</v>
      </c>
      <c r="F408" s="24" t="inlineStr">
        <is>
          <t>Đã sinh</t>
        </is>
      </c>
      <c r="G408" s="24" t="inlineStr">
        <is>
          <t>Hải Phòng</t>
        </is>
      </c>
      <c r="H408" s="21">
        <f>IF(ISNUMBER($B408),INT($B408)-WEEKDAY($B408,2)+1,"")</f>
        <v/>
      </c>
      <c r="I408" s="24" t="inlineStr">
        <is>
          <t>Z-YHP</t>
        </is>
      </c>
      <c r="J408" s="22">
        <f t="array" ref="J408">IF($D408="","",IF($I408="","(trống REF)",IFERROR(INDEX(MASTER_SOURCE!$B$2:$B$495,MATCH($I408,MASTER_SOURCE!$A$2:$A$495,0)),"(REF không có trong MASTER_SOURCE)")))</f>
        <v/>
      </c>
      <c r="K408" s="22">
        <f t="array" ref="K408">IF($D408="","",IFERROR(INDEX(MASTER_SOURCE!$C$2:$C$495,MATCH($I408,MASTER_SOURCE!$A$2:$A$495,0)),""))</f>
        <v/>
      </c>
      <c r="L408" s="22">
        <f t="array" ref="L408">IF($D408="","",IFERROR(INDEX(MASTER_SOURCE!$D$2:$D$495,MATCH($I408,MASTER_SOURCE!$A$2:$A$495,0)),""))</f>
        <v/>
      </c>
      <c r="M408" s="24" t="inlineStr">
        <is>
          <t>Có</t>
        </is>
      </c>
      <c r="N408" s="24" t="inlineStr">
        <is>
          <t>Có</t>
        </is>
      </c>
      <c r="O408" s="24" t="inlineStr">
        <is>
          <t>Có</t>
        </is>
      </c>
      <c r="P408" s="24" t="inlineStr">
        <is>
          <t>Có</t>
        </is>
      </c>
      <c r="Q408" s="22">
        <f>IF($D408="","",IF(AND(OR(DANH_MUC!$L$5&lt;&gt;"Có",M408="Có"),OR(DANH_MUC!$L$6&lt;&gt;"Có",N408="Có"),OR(DANH_MUC!$L$7&lt;&gt;"Có",O408="Có"),OR(DANH_MUC!$L$8&lt;&gt;"Có",P408="Có")),"Có","Không"))</f>
        <v/>
      </c>
      <c r="R408" s="22">
        <f>IF($D408="","",IF(COUNTIF($D$2:$D408,$D408)&gt;1,"Trùng",""))</f>
        <v/>
      </c>
      <c r="S408" s="22">
        <f>IF($D408="","",IF(AND(LEN($D408)=10,LEFT($D408,1)="0",ISNUMBER(--$D408)),"Có","Không"))</f>
        <v/>
      </c>
      <c r="T408" s="22">
        <f>IF($D408="","",IF(AND($C408&lt;&gt;"",$Q408="Có",$R408="",$S408="Có",AND($L408&lt;&gt;"",OR($L408&lt;&gt;"Chưa xác định",DANH_MUC!$L$9="Có"))),"Có","Không"))</f>
        <v/>
      </c>
      <c r="U408" s="22">
        <f>IF(OR($D408="",$T408="Có"),"",IF($C408="","Thiếu họ tên; ","")&amp;IF($S408&lt;&gt;"Có","SĐT sai định dạng; ","")&amp;IF($R408="Trùng","Trùng SĐT; ","")&amp;IF($Q408&lt;&gt;"Có","Thiếu đồng ý bắt buộc; ","")&amp;IF($L408="","Thiếu/sai Mã REF; ",IF(AND($L408="Chưa xác định",DANH_MUC!$L$9&lt;&gt;"Có"),"Nguồn chưa xác định; ","")))</f>
        <v/>
      </c>
      <c r="V408" s="22">
        <f>IF(OR($D408="",$R408="Trùng"),"",IF(COUNTIF(ORDERS!$C$2:$C$4995,$D408)&gt;0,"Có","Không"))</f>
        <v/>
      </c>
      <c r="W408" s="22">
        <f>IF(OR($D408="",$R408="Trùng"),"",COUNTIFS(ORDERS!$C$2:$C$4995,$D408,ORDERS!$L$2:$L$4995,"Đã chuyển khoản"))</f>
        <v/>
      </c>
      <c r="X408" s="23">
        <f>IF(OR($D408="",$R408="Trùng"),"",SUMIFS(ORDERS!$J$2:$J$4995,ORDERS!$C$2:$C$4995,$D408,ORDERS!$L$2:$L$4995,"Đã chuyển khoản"))</f>
        <v/>
      </c>
      <c r="Y408" s="24" t="n"/>
    </row>
    <row r="409" ht="14.25" customHeight="1" s="40">
      <c r="A409" s="24" t="inlineStr">
        <is>
          <t>9d594f38-3665-4377-a697-9049c07c6420</t>
        </is>
      </c>
      <c r="B409" s="27" t="n">
        <v>46297.69166666667</v>
      </c>
      <c r="C409" s="24" t="inlineStr">
        <is>
          <t>Lương Hồng Diệp</t>
        </is>
      </c>
      <c r="D409" s="28" t="inlineStr">
        <is>
          <t>0359851999</t>
        </is>
      </c>
      <c r="E409" s="29" t="n">
        <v>46243</v>
      </c>
      <c r="F409" s="24" t="inlineStr">
        <is>
          <t>Đã sinh</t>
        </is>
      </c>
      <c r="G409" s="24" t="inlineStr">
        <is>
          <t>Hà Nội</t>
        </is>
      </c>
      <c r="H409" s="21">
        <f>IF(ISNUMBER($B409),INT($B409)-WEEKDAY($B409,2)+1,"")</f>
        <v/>
      </c>
      <c r="I409" s="24" t="inlineStr">
        <is>
          <t>NHS-UNKNOWN</t>
        </is>
      </c>
      <c r="J409" s="22">
        <f t="array" ref="J409">IF($D409="","",IF($I409="","(trống REF)",IFERROR(INDEX(MASTER_SOURCE!$B$2:$B$495,MATCH($I409,MASTER_SOURCE!$A$2:$A$495,0)),"(REF không có trong MASTER_SOURCE)")))</f>
        <v/>
      </c>
      <c r="K409" s="22">
        <f t="array" ref="K409">IF($D409="","",IFERROR(INDEX(MASTER_SOURCE!$C$2:$C$495,MATCH($I409,MASTER_SOURCE!$A$2:$A$495,0)),""))</f>
        <v/>
      </c>
      <c r="L409" s="22">
        <f t="array" ref="L409">IF($D409="","",IFERROR(INDEX(MASTER_SOURCE!$D$2:$D$495,MATCH($I409,MASTER_SOURCE!$A$2:$A$495,0)),""))</f>
        <v/>
      </c>
      <c r="M409" s="24" t="inlineStr">
        <is>
          <t>Có</t>
        </is>
      </c>
      <c r="N409" s="24" t="inlineStr">
        <is>
          <t>Có</t>
        </is>
      </c>
      <c r="O409" s="24" t="inlineStr">
        <is>
          <t>Có</t>
        </is>
      </c>
      <c r="P409" s="24" t="inlineStr">
        <is>
          <t>Có</t>
        </is>
      </c>
      <c r="Q409" s="22">
        <f>IF($D409="","",IF(AND(OR(DANH_MUC!$L$5&lt;&gt;"Có",M409="Có"),OR(DANH_MUC!$L$6&lt;&gt;"Có",N409="Có"),OR(DANH_MUC!$L$7&lt;&gt;"Có",O409="Có"),OR(DANH_MUC!$L$8&lt;&gt;"Có",P409="Có")),"Có","Không"))</f>
        <v/>
      </c>
      <c r="R409" s="22">
        <f>IF($D409="","",IF(COUNTIF($D$2:$D409,$D409)&gt;1,"Trùng",""))</f>
        <v/>
      </c>
      <c r="S409" s="22">
        <f>IF($D409="","",IF(AND(LEN($D409)=10,LEFT($D409,1)="0",ISNUMBER(--$D409)),"Có","Không"))</f>
        <v/>
      </c>
      <c r="T409" s="22">
        <f>IF($D409="","",IF(AND($C409&lt;&gt;"",$Q409="Có",$R409="",$S409="Có",AND($L409&lt;&gt;"",OR($L409&lt;&gt;"Chưa xác định",DANH_MUC!$L$9="Có"))),"Có","Không"))</f>
        <v/>
      </c>
      <c r="U409" s="22">
        <f>IF(OR($D409="",$T409="Có"),"",IF($C409="","Thiếu họ tên; ","")&amp;IF($S409&lt;&gt;"Có","SĐT sai định dạng; ","")&amp;IF($R409="Trùng","Trùng SĐT; ","")&amp;IF($Q409&lt;&gt;"Có","Thiếu đồng ý bắt buộc; ","")&amp;IF($L409="","Thiếu/sai Mã REF; ",IF(AND($L409="Chưa xác định",DANH_MUC!$L$9&lt;&gt;"Có"),"Nguồn chưa xác định; ","")))</f>
        <v/>
      </c>
      <c r="V409" s="22">
        <f>IF(OR($D409="",$R409="Trùng"),"",IF(COUNTIF(ORDERS!$C$2:$C$4995,$D409)&gt;0,"Có","Không"))</f>
        <v/>
      </c>
      <c r="W409" s="22">
        <f>IF(OR($D409="",$R409="Trùng"),"",COUNTIFS(ORDERS!$C$2:$C$4995,$D409,ORDERS!$L$2:$L$4995,"Đã chuyển khoản"))</f>
        <v/>
      </c>
      <c r="X409" s="23">
        <f>IF(OR($D409="",$R409="Trùng"),"",SUMIFS(ORDERS!$J$2:$J$4995,ORDERS!$C$2:$C$4995,$D409,ORDERS!$L$2:$L$4995,"Đã chuyển khoản"))</f>
        <v/>
      </c>
      <c r="Y409" s="24" t="n"/>
    </row>
    <row r="410" ht="14.25" customHeight="1" s="40">
      <c r="A410" s="24" t="inlineStr">
        <is>
          <t>1e3f4f2e-e182-4a8c-959f-b3112ade6aa1</t>
        </is>
      </c>
      <c r="B410" s="27" t="n">
        <v>46297.69375</v>
      </c>
      <c r="C410" s="24" t="inlineStr">
        <is>
          <t>Trần Thanh</t>
        </is>
      </c>
      <c r="D410" s="28" t="inlineStr">
        <is>
          <t>0368199962</t>
        </is>
      </c>
      <c r="E410" s="29" t="n">
        <v>46346</v>
      </c>
      <c r="F410" s="24" t="inlineStr">
        <is>
          <t>Đang mang thai</t>
        </is>
      </c>
      <c r="G410" s="24" t="inlineStr">
        <is>
          <t>Hải Phòng</t>
        </is>
      </c>
      <c r="H410" s="21">
        <f>IF(ISNUMBER($B410),INT($B410)-WEEKDAY($B410,2)+1,"")</f>
        <v/>
      </c>
      <c r="I410" s="24" t="inlineStr">
        <is>
          <t>Z-GREEN</t>
        </is>
      </c>
      <c r="J410" s="22">
        <f t="array" ref="J410">IF($D410="","",IF($I410="","(trống REF)",IFERROR(INDEX(MASTER_SOURCE!$B$2:$B$495,MATCH($I410,MASTER_SOURCE!$A$2:$A$495,0)),"(REF không có trong MASTER_SOURCE)")))</f>
        <v/>
      </c>
      <c r="K410" s="22">
        <f t="array" ref="K410">IF($D410="","",IFERROR(INDEX(MASTER_SOURCE!$C$2:$C$495,MATCH($I410,MASTER_SOURCE!$A$2:$A$495,0)),""))</f>
        <v/>
      </c>
      <c r="L410" s="22">
        <f t="array" ref="L410">IF($D410="","",IFERROR(INDEX(MASTER_SOURCE!$D$2:$D$495,MATCH($I410,MASTER_SOURCE!$A$2:$A$495,0)),""))</f>
        <v/>
      </c>
      <c r="M410" s="24" t="inlineStr">
        <is>
          <t>Có</t>
        </is>
      </c>
      <c r="N410" s="24" t="inlineStr">
        <is>
          <t>Có</t>
        </is>
      </c>
      <c r="O410" s="24" t="inlineStr">
        <is>
          <t>Có</t>
        </is>
      </c>
      <c r="P410" s="24" t="inlineStr">
        <is>
          <t>Có</t>
        </is>
      </c>
      <c r="Q410" s="22">
        <f>IF($D410="","",IF(AND(OR(DANH_MUC!$L$5&lt;&gt;"Có",M410="Có"),OR(DANH_MUC!$L$6&lt;&gt;"Có",N410="Có"),OR(DANH_MUC!$L$7&lt;&gt;"Có",O410="Có"),OR(DANH_MUC!$L$8&lt;&gt;"Có",P410="Có")),"Có","Không"))</f>
        <v/>
      </c>
      <c r="R410" s="22">
        <f>IF($D410="","",IF(COUNTIF($D$2:$D410,$D410)&gt;1,"Trùng",""))</f>
        <v/>
      </c>
      <c r="S410" s="22">
        <f>IF($D410="","",IF(AND(LEN($D410)=10,LEFT($D410,1)="0",ISNUMBER(--$D410)),"Có","Không"))</f>
        <v/>
      </c>
      <c r="T410" s="22">
        <f>IF($D410="","",IF(AND($C410&lt;&gt;"",$Q410="Có",$R410="",$S410="Có",AND($L410&lt;&gt;"",OR($L410&lt;&gt;"Chưa xác định",DANH_MUC!$L$9="Có"))),"Có","Không"))</f>
        <v/>
      </c>
      <c r="U410" s="22">
        <f>IF(OR($D410="",$T410="Có"),"",IF($C410="","Thiếu họ tên; ","")&amp;IF($S410&lt;&gt;"Có","SĐT sai định dạng; ","")&amp;IF($R410="Trùng","Trùng SĐT; ","")&amp;IF($Q410&lt;&gt;"Có","Thiếu đồng ý bắt buộc; ","")&amp;IF($L410="","Thiếu/sai Mã REF; ",IF(AND($L410="Chưa xác định",DANH_MUC!$L$9&lt;&gt;"Có"),"Nguồn chưa xác định; ","")))</f>
        <v/>
      </c>
      <c r="V410" s="22">
        <f>IF(OR($D410="",$R410="Trùng"),"",IF(COUNTIF(ORDERS!$C$2:$C$4995,$D410)&gt;0,"Có","Không"))</f>
        <v/>
      </c>
      <c r="W410" s="22">
        <f>IF(OR($D410="",$R410="Trùng"),"",COUNTIFS(ORDERS!$C$2:$C$4995,$D410,ORDERS!$L$2:$L$4995,"Đã chuyển khoản"))</f>
        <v/>
      </c>
      <c r="X410" s="23">
        <f>IF(OR($D410="",$R410="Trùng"),"",SUMIFS(ORDERS!$J$2:$J$4995,ORDERS!$C$2:$C$4995,$D410,ORDERS!$L$2:$L$4995,"Đã chuyển khoản"))</f>
        <v/>
      </c>
      <c r="Y410" s="24" t="n"/>
    </row>
    <row r="411" ht="14.25" customHeight="1" s="40">
      <c r="A411" s="24" t="inlineStr">
        <is>
          <t>67e01396-4bdd-4887-b6f3-e9d727daf02d</t>
        </is>
      </c>
      <c r="B411" s="27" t="n">
        <v>46297.69861111111</v>
      </c>
      <c r="C411" s="24" t="inlineStr">
        <is>
          <t>Phạm Minh Hương</t>
        </is>
      </c>
      <c r="D411" s="28" t="inlineStr">
        <is>
          <t>0384321920</t>
        </is>
      </c>
      <c r="E411" s="29" t="n">
        <v>46277</v>
      </c>
      <c r="F411" s="24" t="inlineStr">
        <is>
          <t>Đã sinh</t>
        </is>
      </c>
      <c r="G411" s="24" t="inlineStr">
        <is>
          <t>Hải Phòng</t>
        </is>
      </c>
      <c r="H411" s="21">
        <f>IF(ISNUMBER($B411),INT($B411)-WEEKDAY($B411,2)+1,"")</f>
        <v/>
      </c>
      <c r="I411" s="24" t="inlineStr">
        <is>
          <t>Z-YHP</t>
        </is>
      </c>
      <c r="J411" s="22">
        <f t="array" ref="J411">IF($D411="","",IF($I411="","(trống REF)",IFERROR(INDEX(MASTER_SOURCE!$B$2:$B$495,MATCH($I411,MASTER_SOURCE!$A$2:$A$495,0)),"(REF không có trong MASTER_SOURCE)")))</f>
        <v/>
      </c>
      <c r="K411" s="22">
        <f t="array" ref="K411">IF($D411="","",IFERROR(INDEX(MASTER_SOURCE!$C$2:$C$495,MATCH($I411,MASTER_SOURCE!$A$2:$A$495,0)),""))</f>
        <v/>
      </c>
      <c r="L411" s="22">
        <f t="array" ref="L411">IF($D411="","",IFERROR(INDEX(MASTER_SOURCE!$D$2:$D$495,MATCH($I411,MASTER_SOURCE!$A$2:$A$495,0)),""))</f>
        <v/>
      </c>
      <c r="M411" s="24" t="inlineStr">
        <is>
          <t>Có</t>
        </is>
      </c>
      <c r="N411" s="24" t="inlineStr">
        <is>
          <t>Có</t>
        </is>
      </c>
      <c r="O411" s="24" t="inlineStr">
        <is>
          <t>Có</t>
        </is>
      </c>
      <c r="P411" s="24" t="inlineStr">
        <is>
          <t>Có</t>
        </is>
      </c>
      <c r="Q411" s="22">
        <f>IF($D411="","",IF(AND(OR(DANH_MUC!$L$5&lt;&gt;"Có",M411="Có"),OR(DANH_MUC!$L$6&lt;&gt;"Có",N411="Có"),OR(DANH_MUC!$L$7&lt;&gt;"Có",O411="Có"),OR(DANH_MUC!$L$8&lt;&gt;"Có",P411="Có")),"Có","Không"))</f>
        <v/>
      </c>
      <c r="R411" s="22">
        <f>IF($D411="","",IF(COUNTIF($D$2:$D411,$D411)&gt;1,"Trùng",""))</f>
        <v/>
      </c>
      <c r="S411" s="22">
        <f>IF($D411="","",IF(AND(LEN($D411)=10,LEFT($D411,1)="0",ISNUMBER(--$D411)),"Có","Không"))</f>
        <v/>
      </c>
      <c r="T411" s="22">
        <f>IF($D411="","",IF(AND($C411&lt;&gt;"",$Q411="Có",$R411="",$S411="Có",AND($L411&lt;&gt;"",OR($L411&lt;&gt;"Chưa xác định",DANH_MUC!$L$9="Có"))),"Có","Không"))</f>
        <v/>
      </c>
      <c r="U411" s="22">
        <f>IF(OR($D411="",$T411="Có"),"",IF($C411="","Thiếu họ tên; ","")&amp;IF($S411&lt;&gt;"Có","SĐT sai định dạng; ","")&amp;IF($R411="Trùng","Trùng SĐT; ","")&amp;IF($Q411&lt;&gt;"Có","Thiếu đồng ý bắt buộc; ","")&amp;IF($L411="","Thiếu/sai Mã REF; ",IF(AND($L411="Chưa xác định",DANH_MUC!$L$9&lt;&gt;"Có"),"Nguồn chưa xác định; ","")))</f>
        <v/>
      </c>
      <c r="V411" s="22">
        <f>IF(OR($D411="",$R411="Trùng"),"",IF(COUNTIF(ORDERS!$C$2:$C$4995,$D411)&gt;0,"Có","Không"))</f>
        <v/>
      </c>
      <c r="W411" s="22">
        <f>IF(OR($D411="",$R411="Trùng"),"",COUNTIFS(ORDERS!$C$2:$C$4995,$D411,ORDERS!$L$2:$L$4995,"Đã chuyển khoản"))</f>
        <v/>
      </c>
      <c r="X411" s="23">
        <f>IF(OR($D411="",$R411="Trùng"),"",SUMIFS(ORDERS!$J$2:$J$4995,ORDERS!$C$2:$C$4995,$D411,ORDERS!$L$2:$L$4995,"Đã chuyển khoản"))</f>
        <v/>
      </c>
      <c r="Y411" s="24" t="n"/>
    </row>
    <row r="412" ht="14.25" customHeight="1" s="40">
      <c r="A412" s="24" t="inlineStr">
        <is>
          <t>08716aac-cc1c-4677-8b94-f7356ff20d8d</t>
        </is>
      </c>
      <c r="B412" s="27" t="n">
        <v>46297.69861111111</v>
      </c>
      <c r="C412" s="24" t="inlineStr">
        <is>
          <t>Lê Thị Thu Hậu</t>
        </is>
      </c>
      <c r="D412" s="28" t="inlineStr">
        <is>
          <t>0763400127</t>
        </is>
      </c>
      <c r="E412" s="29" t="n">
        <v>46276</v>
      </c>
      <c r="F412" s="24" t="inlineStr">
        <is>
          <t>Đã sinh</t>
        </is>
      </c>
      <c r="G412" s="24" t="inlineStr">
        <is>
          <t>Hải Phòng</t>
        </is>
      </c>
      <c r="H412" s="21">
        <f>IF(ISNUMBER($B412),INT($B412)-WEEKDAY($B412,2)+1,"")</f>
        <v/>
      </c>
      <c r="I412" s="24" t="inlineStr">
        <is>
          <t>NHS-UNKNOWN</t>
        </is>
      </c>
      <c r="J412" s="22">
        <f t="array" ref="J412">IF($D412="","",IF($I412="","(trống REF)",IFERROR(INDEX(MASTER_SOURCE!$B$2:$B$495,MATCH($I412,MASTER_SOURCE!$A$2:$A$495,0)),"(REF không có trong MASTER_SOURCE)")))</f>
        <v/>
      </c>
      <c r="K412" s="22">
        <f t="array" ref="K412">IF($D412="","",IFERROR(INDEX(MASTER_SOURCE!$C$2:$C$495,MATCH($I412,MASTER_SOURCE!$A$2:$A$495,0)),""))</f>
        <v/>
      </c>
      <c r="L412" s="22">
        <f t="array" ref="L412">IF($D412="","",IFERROR(INDEX(MASTER_SOURCE!$D$2:$D$495,MATCH($I412,MASTER_SOURCE!$A$2:$A$495,0)),""))</f>
        <v/>
      </c>
      <c r="M412" s="24" t="inlineStr">
        <is>
          <t>Có</t>
        </is>
      </c>
      <c r="N412" s="24" t="inlineStr">
        <is>
          <t>Có</t>
        </is>
      </c>
      <c r="O412" s="24" t="inlineStr">
        <is>
          <t>Có</t>
        </is>
      </c>
      <c r="P412" s="24" t="inlineStr">
        <is>
          <t>Có</t>
        </is>
      </c>
      <c r="Q412" s="22">
        <f>IF($D412="","",IF(AND(OR(DANH_MUC!$L$5&lt;&gt;"Có",M412="Có"),OR(DANH_MUC!$L$6&lt;&gt;"Có",N412="Có"),OR(DANH_MUC!$L$7&lt;&gt;"Có",O412="Có"),OR(DANH_MUC!$L$8&lt;&gt;"Có",P412="Có")),"Có","Không"))</f>
        <v/>
      </c>
      <c r="R412" s="22">
        <f>IF($D412="","",IF(COUNTIF($D$2:$D412,$D412)&gt;1,"Trùng",""))</f>
        <v/>
      </c>
      <c r="S412" s="22">
        <f>IF($D412="","",IF(AND(LEN($D412)=10,LEFT($D412,1)="0",ISNUMBER(--$D412)),"Có","Không"))</f>
        <v/>
      </c>
      <c r="T412" s="22">
        <f>IF($D412="","",IF(AND($C412&lt;&gt;"",$Q412="Có",$R412="",$S412="Có",AND($L412&lt;&gt;"",OR($L412&lt;&gt;"Chưa xác định",DANH_MUC!$L$9="Có"))),"Có","Không"))</f>
        <v/>
      </c>
      <c r="U412" s="22">
        <f>IF(OR($D412="",$T412="Có"),"",IF($C412="","Thiếu họ tên; ","")&amp;IF($S412&lt;&gt;"Có","SĐT sai định dạng; ","")&amp;IF($R412="Trùng","Trùng SĐT; ","")&amp;IF($Q412&lt;&gt;"Có","Thiếu đồng ý bắt buộc; ","")&amp;IF($L412="","Thiếu/sai Mã REF; ",IF(AND($L412="Chưa xác định",DANH_MUC!$L$9&lt;&gt;"Có"),"Nguồn chưa xác định; ","")))</f>
        <v/>
      </c>
      <c r="V412" s="22">
        <f>IF(OR($D412="",$R412="Trùng"),"",IF(COUNTIF(ORDERS!$C$2:$C$4995,$D412)&gt;0,"Có","Không"))</f>
        <v/>
      </c>
      <c r="W412" s="22">
        <f>IF(OR($D412="",$R412="Trùng"),"",COUNTIFS(ORDERS!$C$2:$C$4995,$D412,ORDERS!$L$2:$L$4995,"Đã chuyển khoản"))</f>
        <v/>
      </c>
      <c r="X412" s="23">
        <f>IF(OR($D412="",$R412="Trùng"),"",SUMIFS(ORDERS!$J$2:$J$4995,ORDERS!$C$2:$C$4995,$D412,ORDERS!$L$2:$L$4995,"Đã chuyển khoản"))</f>
        <v/>
      </c>
      <c r="Y412" s="24" t="n"/>
    </row>
    <row r="413" ht="14.25" customHeight="1" s="40">
      <c r="A413" s="24" t="inlineStr">
        <is>
          <t>7637fb85-89a6-4260-9776-cbfd6a090aea</t>
        </is>
      </c>
      <c r="B413" s="27" t="n">
        <v>46297.70902777778</v>
      </c>
      <c r="C413" s="24" t="inlineStr">
        <is>
          <t>Nguyễn Kim Ngân</t>
        </is>
      </c>
      <c r="D413" s="28" t="inlineStr">
        <is>
          <t>0762167868</t>
        </is>
      </c>
      <c r="E413" s="29" t="n">
        <v>46242</v>
      </c>
      <c r="F413" s="24" t="inlineStr">
        <is>
          <t>Đã sinh</t>
        </is>
      </c>
      <c r="G413" s="24" t="inlineStr">
        <is>
          <t>Hà Nội</t>
        </is>
      </c>
      <c r="H413" s="21">
        <f>IF(ISNUMBER($B413),INT($B413)-WEEKDAY($B413,2)+1,"")</f>
        <v/>
      </c>
      <c r="I413" s="24" t="inlineStr">
        <is>
          <t>NHS-UNKNOWN</t>
        </is>
      </c>
      <c r="J413" s="22">
        <f t="array" ref="J413">IF($D413="","",IF($I413="","(trống REF)",IFERROR(INDEX(MASTER_SOURCE!$B$2:$B$495,MATCH($I413,MASTER_SOURCE!$A$2:$A$495,0)),"(REF không có trong MASTER_SOURCE)")))</f>
        <v/>
      </c>
      <c r="K413" s="22">
        <f t="array" ref="K413">IF($D413="","",IFERROR(INDEX(MASTER_SOURCE!$C$2:$C$495,MATCH($I413,MASTER_SOURCE!$A$2:$A$495,0)),""))</f>
        <v/>
      </c>
      <c r="L413" s="22">
        <f t="array" ref="L413">IF($D413="","",IFERROR(INDEX(MASTER_SOURCE!$D$2:$D$495,MATCH($I413,MASTER_SOURCE!$A$2:$A$495,0)),""))</f>
        <v/>
      </c>
      <c r="M413" s="24" t="inlineStr">
        <is>
          <t>Có</t>
        </is>
      </c>
      <c r="N413" s="24" t="inlineStr">
        <is>
          <t>Có</t>
        </is>
      </c>
      <c r="O413" s="24" t="inlineStr">
        <is>
          <t>Có</t>
        </is>
      </c>
      <c r="P413" s="24" t="inlineStr">
        <is>
          <t>Có</t>
        </is>
      </c>
      <c r="Q413" s="22">
        <f>IF($D413="","",IF(AND(OR(DANH_MUC!$L$5&lt;&gt;"Có",M413="Có"),OR(DANH_MUC!$L$6&lt;&gt;"Có",N413="Có"),OR(DANH_MUC!$L$7&lt;&gt;"Có",O413="Có"),OR(DANH_MUC!$L$8&lt;&gt;"Có",P413="Có")),"Có","Không"))</f>
        <v/>
      </c>
      <c r="R413" s="22">
        <f>IF($D413="","",IF(COUNTIF($D$2:$D413,$D413)&gt;1,"Trùng",""))</f>
        <v/>
      </c>
      <c r="S413" s="22">
        <f>IF($D413="","",IF(AND(LEN($D413)=10,LEFT($D413,1)="0",ISNUMBER(--$D413)),"Có","Không"))</f>
        <v/>
      </c>
      <c r="T413" s="22">
        <f>IF($D413="","",IF(AND($C413&lt;&gt;"",$Q413="Có",$R413="",$S413="Có",AND($L413&lt;&gt;"",OR($L413&lt;&gt;"Chưa xác định",DANH_MUC!$L$9="Có"))),"Có","Không"))</f>
        <v/>
      </c>
      <c r="U413" s="22">
        <f>IF(OR($D413="",$T413="Có"),"",IF($C413="","Thiếu họ tên; ","")&amp;IF($S413&lt;&gt;"Có","SĐT sai định dạng; ","")&amp;IF($R413="Trùng","Trùng SĐT; ","")&amp;IF($Q413&lt;&gt;"Có","Thiếu đồng ý bắt buộc; ","")&amp;IF($L413="","Thiếu/sai Mã REF; ",IF(AND($L413="Chưa xác định",DANH_MUC!$L$9&lt;&gt;"Có"),"Nguồn chưa xác định; ","")))</f>
        <v/>
      </c>
      <c r="V413" s="22">
        <f>IF(OR($D413="",$R413="Trùng"),"",IF(COUNTIF(ORDERS!$C$2:$C$4995,$D413)&gt;0,"Có","Không"))</f>
        <v/>
      </c>
      <c r="W413" s="22">
        <f>IF(OR($D413="",$R413="Trùng"),"",COUNTIFS(ORDERS!$C$2:$C$4995,$D413,ORDERS!$L$2:$L$4995,"Đã chuyển khoản"))</f>
        <v/>
      </c>
      <c r="X413" s="23">
        <f>IF(OR($D413="",$R413="Trùng"),"",SUMIFS(ORDERS!$J$2:$J$4995,ORDERS!$C$2:$C$4995,$D413,ORDERS!$L$2:$L$4995,"Đã chuyển khoản"))</f>
        <v/>
      </c>
      <c r="Y413" s="24" t="n"/>
    </row>
    <row r="414" ht="14.25" customHeight="1" s="40">
      <c r="A414" s="24" t="inlineStr">
        <is>
          <t>fcdd4b8a-40a3-47d6-b72b-8f64eb45a740</t>
        </is>
      </c>
      <c r="B414" s="27" t="n">
        <v>46297.71736111111</v>
      </c>
      <c r="C414" s="24" t="inlineStr">
        <is>
          <t>Nguyễn Khánh Huyền</t>
        </is>
      </c>
      <c r="D414" s="28" t="inlineStr">
        <is>
          <t>0336086158</t>
        </is>
      </c>
      <c r="E414" s="29" t="n">
        <v>46267</v>
      </c>
      <c r="F414" s="24" t="inlineStr">
        <is>
          <t>Đã sinh</t>
        </is>
      </c>
      <c r="G414" s="24" t="inlineStr">
        <is>
          <t>Hải Phòng</t>
        </is>
      </c>
      <c r="H414" s="21">
        <f>IF(ISNUMBER($B414),INT($B414)-WEEKDAY($B414,2)+1,"")</f>
        <v/>
      </c>
      <c r="I414" s="24" t="inlineStr">
        <is>
          <t>NHS-UNKNOWN</t>
        </is>
      </c>
      <c r="J414" s="22">
        <f t="array" ref="J414">IF($D414="","",IF($I414="","(trống REF)",IFERROR(INDEX(MASTER_SOURCE!$B$2:$B$495,MATCH($I414,MASTER_SOURCE!$A$2:$A$495,0)),"(REF không có trong MASTER_SOURCE)")))</f>
        <v/>
      </c>
      <c r="K414" s="22">
        <f t="array" ref="K414">IF($D414="","",IFERROR(INDEX(MASTER_SOURCE!$C$2:$C$495,MATCH($I414,MASTER_SOURCE!$A$2:$A$495,0)),""))</f>
        <v/>
      </c>
      <c r="L414" s="22">
        <f t="array" ref="L414">IF($D414="","",IFERROR(INDEX(MASTER_SOURCE!$D$2:$D$495,MATCH($I414,MASTER_SOURCE!$A$2:$A$495,0)),""))</f>
        <v/>
      </c>
      <c r="M414" s="24" t="inlineStr">
        <is>
          <t>Có</t>
        </is>
      </c>
      <c r="N414" s="24" t="inlineStr">
        <is>
          <t>Có</t>
        </is>
      </c>
      <c r="O414" s="24" t="inlineStr">
        <is>
          <t>Có</t>
        </is>
      </c>
      <c r="P414" s="24" t="inlineStr">
        <is>
          <t>Có</t>
        </is>
      </c>
      <c r="Q414" s="22">
        <f>IF($D414="","",IF(AND(OR(DANH_MUC!$L$5&lt;&gt;"Có",M414="Có"),OR(DANH_MUC!$L$6&lt;&gt;"Có",N414="Có"),OR(DANH_MUC!$L$7&lt;&gt;"Có",O414="Có"),OR(DANH_MUC!$L$8&lt;&gt;"Có",P414="Có")),"Có","Không"))</f>
        <v/>
      </c>
      <c r="R414" s="22">
        <f>IF($D414="","",IF(COUNTIF($D$2:$D414,$D414)&gt;1,"Trùng",""))</f>
        <v/>
      </c>
      <c r="S414" s="22">
        <f>IF($D414="","",IF(AND(LEN($D414)=10,LEFT($D414,1)="0",ISNUMBER(--$D414)),"Có","Không"))</f>
        <v/>
      </c>
      <c r="T414" s="22">
        <f>IF($D414="","",IF(AND($C414&lt;&gt;"",$Q414="Có",$R414="",$S414="Có",AND($L414&lt;&gt;"",OR($L414&lt;&gt;"Chưa xác định",DANH_MUC!$L$9="Có"))),"Có","Không"))</f>
        <v/>
      </c>
      <c r="U414" s="22">
        <f>IF(OR($D414="",$T414="Có"),"",IF($C414="","Thiếu họ tên; ","")&amp;IF($S414&lt;&gt;"Có","SĐT sai định dạng; ","")&amp;IF($R414="Trùng","Trùng SĐT; ","")&amp;IF($Q414&lt;&gt;"Có","Thiếu đồng ý bắt buộc; ","")&amp;IF($L414="","Thiếu/sai Mã REF; ",IF(AND($L414="Chưa xác định",DANH_MUC!$L$9&lt;&gt;"Có"),"Nguồn chưa xác định; ","")))</f>
        <v/>
      </c>
      <c r="V414" s="22">
        <f>IF(OR($D414="",$R414="Trùng"),"",IF(COUNTIF(ORDERS!$C$2:$C$4995,$D414)&gt;0,"Có","Không"))</f>
        <v/>
      </c>
      <c r="W414" s="22">
        <f>IF(OR($D414="",$R414="Trùng"),"",COUNTIFS(ORDERS!$C$2:$C$4995,$D414,ORDERS!$L$2:$L$4995,"Đã chuyển khoản"))</f>
        <v/>
      </c>
      <c r="X414" s="23">
        <f>IF(OR($D414="",$R414="Trùng"),"",SUMIFS(ORDERS!$J$2:$J$4995,ORDERS!$C$2:$C$4995,$D414,ORDERS!$L$2:$L$4995,"Đã chuyển khoản"))</f>
        <v/>
      </c>
      <c r="Y414" s="24" t="n"/>
    </row>
    <row r="415" ht="14.25" customHeight="1" s="40">
      <c r="A415" s="24" t="inlineStr">
        <is>
          <t>5a92a38b-750e-414a-935a-daeede92fedf</t>
        </is>
      </c>
      <c r="B415" s="27" t="n">
        <v>46297.72569444445</v>
      </c>
      <c r="C415" s="24" t="inlineStr">
        <is>
          <t>Đinh Thị Trang</t>
        </is>
      </c>
      <c r="D415" s="28" t="inlineStr">
        <is>
          <t>0866910942</t>
        </is>
      </c>
      <c r="E415" s="29" t="n">
        <v>46277</v>
      </c>
      <c r="F415" s="24" t="inlineStr">
        <is>
          <t>Đã sinh</t>
        </is>
      </c>
      <c r="G415" s="24" t="inlineStr">
        <is>
          <t>Hải Phòng</t>
        </is>
      </c>
      <c r="H415" s="21">
        <f>IF(ISNUMBER($B415),INT($B415)-WEEKDAY($B415,2)+1,"")</f>
        <v/>
      </c>
      <c r="I415" s="24" t="inlineStr">
        <is>
          <t>Z-YHP</t>
        </is>
      </c>
      <c r="J415" s="22">
        <f t="array" ref="J415">IF($D415="","",IF($I415="","(trống REF)",IFERROR(INDEX(MASTER_SOURCE!$B$2:$B$495,MATCH($I415,MASTER_SOURCE!$A$2:$A$495,0)),"(REF không có trong MASTER_SOURCE)")))</f>
        <v/>
      </c>
      <c r="K415" s="22">
        <f t="array" ref="K415">IF($D415="","",IFERROR(INDEX(MASTER_SOURCE!$C$2:$C$495,MATCH($I415,MASTER_SOURCE!$A$2:$A$495,0)),""))</f>
        <v/>
      </c>
      <c r="L415" s="22">
        <f t="array" ref="L415">IF($D415="","",IFERROR(INDEX(MASTER_SOURCE!$D$2:$D$495,MATCH($I415,MASTER_SOURCE!$A$2:$A$495,0)),""))</f>
        <v/>
      </c>
      <c r="M415" s="24" t="inlineStr">
        <is>
          <t>Có</t>
        </is>
      </c>
      <c r="N415" s="24" t="inlineStr">
        <is>
          <t>Có</t>
        </is>
      </c>
      <c r="O415" s="24" t="inlineStr">
        <is>
          <t>Có</t>
        </is>
      </c>
      <c r="P415" s="24" t="inlineStr">
        <is>
          <t>Có</t>
        </is>
      </c>
      <c r="Q415" s="22">
        <f>IF($D415="","",IF(AND(OR(DANH_MUC!$L$5&lt;&gt;"Có",M415="Có"),OR(DANH_MUC!$L$6&lt;&gt;"Có",N415="Có"),OR(DANH_MUC!$L$7&lt;&gt;"Có",O415="Có"),OR(DANH_MUC!$L$8&lt;&gt;"Có",P415="Có")),"Có","Không"))</f>
        <v/>
      </c>
      <c r="R415" s="22">
        <f>IF($D415="","",IF(COUNTIF($D$2:$D415,$D415)&gt;1,"Trùng",""))</f>
        <v/>
      </c>
      <c r="S415" s="22">
        <f>IF($D415="","",IF(AND(LEN($D415)=10,LEFT($D415,1)="0",ISNUMBER(--$D415)),"Có","Không"))</f>
        <v/>
      </c>
      <c r="T415" s="22">
        <f>IF($D415="","",IF(AND($C415&lt;&gt;"",$Q415="Có",$R415="",$S415="Có",AND($L415&lt;&gt;"",OR($L415&lt;&gt;"Chưa xác định",DANH_MUC!$L$9="Có"))),"Có","Không"))</f>
        <v/>
      </c>
      <c r="U415" s="22">
        <f>IF(OR($D415="",$T415="Có"),"",IF($C415="","Thiếu họ tên; ","")&amp;IF($S415&lt;&gt;"Có","SĐT sai định dạng; ","")&amp;IF($R415="Trùng","Trùng SĐT; ","")&amp;IF($Q415&lt;&gt;"Có","Thiếu đồng ý bắt buộc; ","")&amp;IF($L415="","Thiếu/sai Mã REF; ",IF(AND($L415="Chưa xác định",DANH_MUC!$L$9&lt;&gt;"Có"),"Nguồn chưa xác định; ","")))</f>
        <v/>
      </c>
      <c r="V415" s="22">
        <f>IF(OR($D415="",$R415="Trùng"),"",IF(COUNTIF(ORDERS!$C$2:$C$4995,$D415)&gt;0,"Có","Không"))</f>
        <v/>
      </c>
      <c r="W415" s="22">
        <f>IF(OR($D415="",$R415="Trùng"),"",COUNTIFS(ORDERS!$C$2:$C$4995,$D415,ORDERS!$L$2:$L$4995,"Đã chuyển khoản"))</f>
        <v/>
      </c>
      <c r="X415" s="23">
        <f>IF(OR($D415="",$R415="Trùng"),"",SUMIFS(ORDERS!$J$2:$J$4995,ORDERS!$C$2:$C$4995,$D415,ORDERS!$L$2:$L$4995,"Đã chuyển khoản"))</f>
        <v/>
      </c>
      <c r="Y415" s="24" t="n"/>
    </row>
    <row r="416" ht="14.25" customHeight="1" s="40">
      <c r="A416" s="24" t="inlineStr">
        <is>
          <t>3e2a22a0-4800-4924-892b-15baf0a53bd9</t>
        </is>
      </c>
      <c r="B416" s="27" t="n">
        <v>46297.73888888889</v>
      </c>
      <c r="C416" s="24" t="inlineStr">
        <is>
          <t>Cao Thị Thắm</t>
        </is>
      </c>
      <c r="D416" s="28" t="inlineStr">
        <is>
          <t>0979620711</t>
        </is>
      </c>
      <c r="E416" s="29" t="n">
        <v>46291</v>
      </c>
      <c r="F416" s="24" t="inlineStr">
        <is>
          <t>Đã sinh</t>
        </is>
      </c>
      <c r="G416" s="24" t="inlineStr">
        <is>
          <t>Hải Phòng</t>
        </is>
      </c>
      <c r="H416" s="21">
        <f>IF(ISNUMBER($B416),INT($B416)-WEEKDAY($B416,2)+1,"")</f>
        <v/>
      </c>
      <c r="I416" s="24" t="inlineStr">
        <is>
          <t>Z-YHP</t>
        </is>
      </c>
      <c r="J416" s="22">
        <f t="array" ref="J416">IF($D416="","",IF($I416="","(trống REF)",IFERROR(INDEX(MASTER_SOURCE!$B$2:$B$495,MATCH($I416,MASTER_SOURCE!$A$2:$A$495,0)),"(REF không có trong MASTER_SOURCE)")))</f>
        <v/>
      </c>
      <c r="K416" s="22">
        <f t="array" ref="K416">IF($D416="","",IFERROR(INDEX(MASTER_SOURCE!$C$2:$C$495,MATCH($I416,MASTER_SOURCE!$A$2:$A$495,0)),""))</f>
        <v/>
      </c>
      <c r="L416" s="22">
        <f t="array" ref="L416">IF($D416="","",IFERROR(INDEX(MASTER_SOURCE!$D$2:$D$495,MATCH($I416,MASTER_SOURCE!$A$2:$A$495,0)),""))</f>
        <v/>
      </c>
      <c r="M416" s="24" t="inlineStr">
        <is>
          <t>Có</t>
        </is>
      </c>
      <c r="N416" s="24" t="inlineStr">
        <is>
          <t>Có</t>
        </is>
      </c>
      <c r="O416" s="24" t="inlineStr">
        <is>
          <t>Có</t>
        </is>
      </c>
      <c r="P416" s="24" t="inlineStr">
        <is>
          <t>Có</t>
        </is>
      </c>
      <c r="Q416" s="22">
        <f>IF($D416="","",IF(AND(OR(DANH_MUC!$L$5&lt;&gt;"Có",M416="Có"),OR(DANH_MUC!$L$6&lt;&gt;"Có",N416="Có"),OR(DANH_MUC!$L$7&lt;&gt;"Có",O416="Có"),OR(DANH_MUC!$L$8&lt;&gt;"Có",P416="Có")),"Có","Không"))</f>
        <v/>
      </c>
      <c r="R416" s="22">
        <f>IF($D416="","",IF(COUNTIF($D$2:$D416,$D416)&gt;1,"Trùng",""))</f>
        <v/>
      </c>
      <c r="S416" s="22">
        <f>IF($D416="","",IF(AND(LEN($D416)=10,LEFT($D416,1)="0",ISNUMBER(--$D416)),"Có","Không"))</f>
        <v/>
      </c>
      <c r="T416" s="22">
        <f>IF($D416="","",IF(AND($C416&lt;&gt;"",$Q416="Có",$R416="",$S416="Có",AND($L416&lt;&gt;"",OR($L416&lt;&gt;"Chưa xác định",DANH_MUC!$L$9="Có"))),"Có","Không"))</f>
        <v/>
      </c>
      <c r="U416" s="22">
        <f>IF(OR($D416="",$T416="Có"),"",IF($C416="","Thiếu họ tên; ","")&amp;IF($S416&lt;&gt;"Có","SĐT sai định dạng; ","")&amp;IF($R416="Trùng","Trùng SĐT; ","")&amp;IF($Q416&lt;&gt;"Có","Thiếu đồng ý bắt buộc; ","")&amp;IF($L416="","Thiếu/sai Mã REF; ",IF(AND($L416="Chưa xác định",DANH_MUC!$L$9&lt;&gt;"Có"),"Nguồn chưa xác định; ","")))</f>
        <v/>
      </c>
      <c r="V416" s="22">
        <f>IF(OR($D416="",$R416="Trùng"),"",IF(COUNTIF(ORDERS!$C$2:$C$4995,$D416)&gt;0,"Có","Không"))</f>
        <v/>
      </c>
      <c r="W416" s="22">
        <f>IF(OR($D416="",$R416="Trùng"),"",COUNTIFS(ORDERS!$C$2:$C$4995,$D416,ORDERS!$L$2:$L$4995,"Đã chuyển khoản"))</f>
        <v/>
      </c>
      <c r="X416" s="23">
        <f>IF(OR($D416="",$R416="Trùng"),"",SUMIFS(ORDERS!$J$2:$J$4995,ORDERS!$C$2:$C$4995,$D416,ORDERS!$L$2:$L$4995,"Đã chuyển khoản"))</f>
        <v/>
      </c>
      <c r="Y416" s="24" t="n"/>
    </row>
    <row r="417" ht="14.25" customHeight="1" s="40">
      <c r="A417" s="24" t="inlineStr">
        <is>
          <t>d8ad030b-ed0c-4995-80a9-4d071a58e1ba</t>
        </is>
      </c>
      <c r="B417" s="27" t="n">
        <v>46297.74652777778</v>
      </c>
      <c r="C417" s="24" t="inlineStr">
        <is>
          <t>Bùi Ngọc Dịu</t>
        </is>
      </c>
      <c r="D417" s="28" t="inlineStr">
        <is>
          <t>0353088620</t>
        </is>
      </c>
      <c r="E417" s="29" t="n">
        <v>46290</v>
      </c>
      <c r="F417" s="24" t="inlineStr">
        <is>
          <t>Đã sinh</t>
        </is>
      </c>
      <c r="G417" s="24" t="inlineStr">
        <is>
          <t>Hải Phòng</t>
        </is>
      </c>
      <c r="H417" s="21">
        <f>IF(ISNUMBER($B417),INT($B417)-WEEKDAY($B417,2)+1,"")</f>
        <v/>
      </c>
      <c r="I417" s="24" t="inlineStr">
        <is>
          <t>NHS-UNKNOWN</t>
        </is>
      </c>
      <c r="J417" s="22">
        <f t="array" ref="J417">IF($D417="","",IF($I417="","(trống REF)",IFERROR(INDEX(MASTER_SOURCE!$B$2:$B$495,MATCH($I417,MASTER_SOURCE!$A$2:$A$495,0)),"(REF không có trong MASTER_SOURCE)")))</f>
        <v/>
      </c>
      <c r="K417" s="22">
        <f t="array" ref="K417">IF($D417="","",IFERROR(INDEX(MASTER_SOURCE!$C$2:$C$495,MATCH($I417,MASTER_SOURCE!$A$2:$A$495,0)),""))</f>
        <v/>
      </c>
      <c r="L417" s="22">
        <f t="array" ref="L417">IF($D417="","",IFERROR(INDEX(MASTER_SOURCE!$D$2:$D$495,MATCH($I417,MASTER_SOURCE!$A$2:$A$495,0)),""))</f>
        <v/>
      </c>
      <c r="M417" s="24" t="inlineStr">
        <is>
          <t>Có</t>
        </is>
      </c>
      <c r="N417" s="24" t="inlineStr">
        <is>
          <t>Có</t>
        </is>
      </c>
      <c r="O417" s="24" t="inlineStr">
        <is>
          <t>Có</t>
        </is>
      </c>
      <c r="P417" s="24" t="inlineStr">
        <is>
          <t>Có</t>
        </is>
      </c>
      <c r="Q417" s="22">
        <f>IF($D417="","",IF(AND(OR(DANH_MUC!$L$5&lt;&gt;"Có",M417="Có"),OR(DANH_MUC!$L$6&lt;&gt;"Có",N417="Có"),OR(DANH_MUC!$L$7&lt;&gt;"Có",O417="Có"),OR(DANH_MUC!$L$8&lt;&gt;"Có",P417="Có")),"Có","Không"))</f>
        <v/>
      </c>
      <c r="R417" s="22">
        <f>IF($D417="","",IF(COUNTIF($D$2:$D417,$D417)&gt;1,"Trùng",""))</f>
        <v/>
      </c>
      <c r="S417" s="22">
        <f>IF($D417="","",IF(AND(LEN($D417)=10,LEFT($D417,1)="0",ISNUMBER(--$D417)),"Có","Không"))</f>
        <v/>
      </c>
      <c r="T417" s="22">
        <f>IF($D417="","",IF(AND($C417&lt;&gt;"",$Q417="Có",$R417="",$S417="Có",AND($L417&lt;&gt;"",OR($L417&lt;&gt;"Chưa xác định",DANH_MUC!$L$9="Có"))),"Có","Không"))</f>
        <v/>
      </c>
      <c r="U417" s="22">
        <f>IF(OR($D417="",$T417="Có"),"",IF($C417="","Thiếu họ tên; ","")&amp;IF($S417&lt;&gt;"Có","SĐT sai định dạng; ","")&amp;IF($R417="Trùng","Trùng SĐT; ","")&amp;IF($Q417&lt;&gt;"Có","Thiếu đồng ý bắt buộc; ","")&amp;IF($L417="","Thiếu/sai Mã REF; ",IF(AND($L417="Chưa xác định",DANH_MUC!$L$9&lt;&gt;"Có"),"Nguồn chưa xác định; ","")))</f>
        <v/>
      </c>
      <c r="V417" s="22">
        <f>IF(OR($D417="",$R417="Trùng"),"",IF(COUNTIF(ORDERS!$C$2:$C$4995,$D417)&gt;0,"Có","Không"))</f>
        <v/>
      </c>
      <c r="W417" s="22">
        <f>IF(OR($D417="",$R417="Trùng"),"",COUNTIFS(ORDERS!$C$2:$C$4995,$D417,ORDERS!$L$2:$L$4995,"Đã chuyển khoản"))</f>
        <v/>
      </c>
      <c r="X417" s="23">
        <f>IF(OR($D417="",$R417="Trùng"),"",SUMIFS(ORDERS!$J$2:$J$4995,ORDERS!$C$2:$C$4995,$D417,ORDERS!$L$2:$L$4995,"Đã chuyển khoản"))</f>
        <v/>
      </c>
      <c r="Y417" s="24" t="n"/>
    </row>
    <row r="418" ht="14.25" customHeight="1" s="40">
      <c r="A418" s="24" t="inlineStr">
        <is>
          <t>1cd6d1e3-ff14-4db2-b743-498080bab99f</t>
        </is>
      </c>
      <c r="B418" s="27" t="n">
        <v>46297.77152777778</v>
      </c>
      <c r="C418" s="24" t="inlineStr">
        <is>
          <t>Phạm Thị Kiều</t>
        </is>
      </c>
      <c r="D418" s="28" t="inlineStr">
        <is>
          <t>0328119177</t>
        </is>
      </c>
      <c r="E418" s="29" t="n">
        <v>46335</v>
      </c>
      <c r="F418" s="24" t="inlineStr">
        <is>
          <t>Đang mang thai</t>
        </is>
      </c>
      <c r="G418" s="24" t="inlineStr">
        <is>
          <t>Ninh Bình</t>
        </is>
      </c>
      <c r="H418" s="21">
        <f>IF(ISNUMBER($B418),INT($B418)-WEEKDAY($B418,2)+1,"")</f>
        <v/>
      </c>
      <c r="I418" s="24" t="inlineStr">
        <is>
          <t>NHS-UNKNOWN</t>
        </is>
      </c>
      <c r="J418" s="22">
        <f t="array" ref="J418">IF($D418="","",IF($I418="","(trống REF)",IFERROR(INDEX(MASTER_SOURCE!$B$2:$B$495,MATCH($I418,MASTER_SOURCE!$A$2:$A$495,0)),"(REF không có trong MASTER_SOURCE)")))</f>
        <v/>
      </c>
      <c r="K418" s="22">
        <f t="array" ref="K418">IF($D418="","",IFERROR(INDEX(MASTER_SOURCE!$C$2:$C$495,MATCH($I418,MASTER_SOURCE!$A$2:$A$495,0)),""))</f>
        <v/>
      </c>
      <c r="L418" s="22">
        <f t="array" ref="L418">IF($D418="","",IFERROR(INDEX(MASTER_SOURCE!$D$2:$D$495,MATCH($I418,MASTER_SOURCE!$A$2:$A$495,0)),""))</f>
        <v/>
      </c>
      <c r="M418" s="24" t="inlineStr">
        <is>
          <t>Có</t>
        </is>
      </c>
      <c r="N418" s="24" t="inlineStr">
        <is>
          <t>Có</t>
        </is>
      </c>
      <c r="O418" s="24" t="inlineStr">
        <is>
          <t>Có</t>
        </is>
      </c>
      <c r="P418" s="24" t="inlineStr">
        <is>
          <t>Có</t>
        </is>
      </c>
      <c r="Q418" s="22">
        <f>IF($D418="","",IF(AND(OR(DANH_MUC!$L$5&lt;&gt;"Có",M418="Có"),OR(DANH_MUC!$L$6&lt;&gt;"Có",N418="Có"),OR(DANH_MUC!$L$7&lt;&gt;"Có",O418="Có"),OR(DANH_MUC!$L$8&lt;&gt;"Có",P418="Có")),"Có","Không"))</f>
        <v/>
      </c>
      <c r="R418" s="22">
        <f>IF($D418="","",IF(COUNTIF($D$2:$D418,$D418)&gt;1,"Trùng",""))</f>
        <v/>
      </c>
      <c r="S418" s="22">
        <f>IF($D418="","",IF(AND(LEN($D418)=10,LEFT($D418,1)="0",ISNUMBER(--$D418)),"Có","Không"))</f>
        <v/>
      </c>
      <c r="T418" s="22">
        <f>IF($D418="","",IF(AND($C418&lt;&gt;"",$Q418="Có",$R418="",$S418="Có",AND($L418&lt;&gt;"",OR($L418&lt;&gt;"Chưa xác định",DANH_MUC!$L$9="Có"))),"Có","Không"))</f>
        <v/>
      </c>
      <c r="U418" s="22">
        <f>IF(OR($D418="",$T418="Có"),"",IF($C418="","Thiếu họ tên; ","")&amp;IF($S418&lt;&gt;"Có","SĐT sai định dạng; ","")&amp;IF($R418="Trùng","Trùng SĐT; ","")&amp;IF($Q418&lt;&gt;"Có","Thiếu đồng ý bắt buộc; ","")&amp;IF($L418="","Thiếu/sai Mã REF; ",IF(AND($L418="Chưa xác định",DANH_MUC!$L$9&lt;&gt;"Có"),"Nguồn chưa xác định; ","")))</f>
        <v/>
      </c>
      <c r="V418" s="22">
        <f>IF(OR($D418="",$R418="Trùng"),"",IF(COUNTIF(ORDERS!$C$2:$C$4995,$D418)&gt;0,"Có","Không"))</f>
        <v/>
      </c>
      <c r="W418" s="22">
        <f>IF(OR($D418="",$R418="Trùng"),"",COUNTIFS(ORDERS!$C$2:$C$4995,$D418,ORDERS!$L$2:$L$4995,"Đã chuyển khoản"))</f>
        <v/>
      </c>
      <c r="X418" s="23">
        <f>IF(OR($D418="",$R418="Trùng"),"",SUMIFS(ORDERS!$J$2:$J$4995,ORDERS!$C$2:$C$4995,$D418,ORDERS!$L$2:$L$4995,"Đã chuyển khoản"))</f>
        <v/>
      </c>
      <c r="Y418" s="24" t="n"/>
    </row>
    <row r="419" ht="14.25" customHeight="1" s="40">
      <c r="A419" s="24" t="inlineStr">
        <is>
          <t>0e35a8dd-ff10-45aa-be3c-ef4de6ef9c7c</t>
        </is>
      </c>
      <c r="B419" s="27" t="n">
        <v>46297.79236111111</v>
      </c>
      <c r="C419" s="24" t="inlineStr">
        <is>
          <t>Bùi Thị Bích Liên</t>
        </is>
      </c>
      <c r="D419" s="28" t="inlineStr">
        <is>
          <t>0399077893</t>
        </is>
      </c>
      <c r="E419" s="29" t="n">
        <v>46268</v>
      </c>
      <c r="F419" s="24" t="inlineStr">
        <is>
          <t>Đã sinh</t>
        </is>
      </c>
      <c r="G419" s="24" t="inlineStr">
        <is>
          <t>Hải Phòng</t>
        </is>
      </c>
      <c r="H419" s="21">
        <f>IF(ISNUMBER($B419),INT($B419)-WEEKDAY($B419,2)+1,"")</f>
        <v/>
      </c>
      <c r="I419" s="24" t="inlineStr">
        <is>
          <t>NHS-UNKNOWN</t>
        </is>
      </c>
      <c r="J419" s="22">
        <f t="array" ref="J419">IF($D419="","",IF($I419="","(trống REF)",IFERROR(INDEX(MASTER_SOURCE!$B$2:$B$495,MATCH($I419,MASTER_SOURCE!$A$2:$A$495,0)),"(REF không có trong MASTER_SOURCE)")))</f>
        <v/>
      </c>
      <c r="K419" s="22">
        <f t="array" ref="K419">IF($D419="","",IFERROR(INDEX(MASTER_SOURCE!$C$2:$C$495,MATCH($I419,MASTER_SOURCE!$A$2:$A$495,0)),""))</f>
        <v/>
      </c>
      <c r="L419" s="22">
        <f t="array" ref="L419">IF($D419="","",IFERROR(INDEX(MASTER_SOURCE!$D$2:$D$495,MATCH($I419,MASTER_SOURCE!$A$2:$A$495,0)),""))</f>
        <v/>
      </c>
      <c r="M419" s="24" t="inlineStr">
        <is>
          <t>Có</t>
        </is>
      </c>
      <c r="N419" s="24" t="inlineStr">
        <is>
          <t>Không</t>
        </is>
      </c>
      <c r="O419" s="24" t="inlineStr">
        <is>
          <t>Có</t>
        </is>
      </c>
      <c r="P419" s="24" t="inlineStr">
        <is>
          <t>Có</t>
        </is>
      </c>
      <c r="Q419" s="22">
        <f>IF($D419="","",IF(AND(OR(DANH_MUC!$L$5&lt;&gt;"Có",M419="Có"),OR(DANH_MUC!$L$6&lt;&gt;"Có",N419="Có"),OR(DANH_MUC!$L$7&lt;&gt;"Có",O419="Có"),OR(DANH_MUC!$L$8&lt;&gt;"Có",P419="Có")),"Có","Không"))</f>
        <v/>
      </c>
      <c r="R419" s="22">
        <f>IF($D419="","",IF(COUNTIF($D$2:$D419,$D419)&gt;1,"Trùng",""))</f>
        <v/>
      </c>
      <c r="S419" s="22">
        <f>IF($D419="","",IF(AND(LEN($D419)=10,LEFT($D419,1)="0",ISNUMBER(--$D419)),"Có","Không"))</f>
        <v/>
      </c>
      <c r="T419" s="22">
        <f>IF($D419="","",IF(AND($C419&lt;&gt;"",$Q419="Có",$R419="",$S419="Có",AND($L419&lt;&gt;"",OR($L419&lt;&gt;"Chưa xác định",DANH_MUC!$L$9="Có"))),"Có","Không"))</f>
        <v/>
      </c>
      <c r="U419" s="22">
        <f>IF(OR($D419="",$T419="Có"),"",IF($C419="","Thiếu họ tên; ","")&amp;IF($S419&lt;&gt;"Có","SĐT sai định dạng; ","")&amp;IF($R419="Trùng","Trùng SĐT; ","")&amp;IF($Q419&lt;&gt;"Có","Thiếu đồng ý bắt buộc; ","")&amp;IF($L419="","Thiếu/sai Mã REF; ",IF(AND($L419="Chưa xác định",DANH_MUC!$L$9&lt;&gt;"Có"),"Nguồn chưa xác định; ","")))</f>
        <v/>
      </c>
      <c r="V419" s="22">
        <f>IF(OR($D419="",$R419="Trùng"),"",IF(COUNTIF(ORDERS!$C$2:$C$4995,$D419)&gt;0,"Có","Không"))</f>
        <v/>
      </c>
      <c r="W419" s="22">
        <f>IF(OR($D419="",$R419="Trùng"),"",COUNTIFS(ORDERS!$C$2:$C$4995,$D419,ORDERS!$L$2:$L$4995,"Đã chuyển khoản"))</f>
        <v/>
      </c>
      <c r="X419" s="23">
        <f>IF(OR($D419="",$R419="Trùng"),"",SUMIFS(ORDERS!$J$2:$J$4995,ORDERS!$C$2:$C$4995,$D419,ORDERS!$L$2:$L$4995,"Đã chuyển khoản"))</f>
        <v/>
      </c>
      <c r="Y419" s="24" t="n"/>
    </row>
    <row r="420" ht="14.25" customHeight="1" s="40">
      <c r="A420" s="24" t="inlineStr">
        <is>
          <t>0bb9d10e-3926-461c-b11f-70c801dad2b8</t>
        </is>
      </c>
      <c r="B420" s="27" t="n">
        <v>46297.87847222222</v>
      </c>
      <c r="C420" s="24" t="inlineStr">
        <is>
          <t>Ngô thị thanh nhàn</t>
        </is>
      </c>
      <c r="D420" s="28" t="inlineStr">
        <is>
          <t>0373557285</t>
        </is>
      </c>
      <c r="E420" s="29" t="n">
        <v>46270</v>
      </c>
      <c r="F420" s="24" t="inlineStr">
        <is>
          <t>Đã sinh</t>
        </is>
      </c>
      <c r="G420" s="24" t="inlineStr">
        <is>
          <t>Hải Phòng</t>
        </is>
      </c>
      <c r="H420" s="21">
        <f>IF(ISNUMBER($B420),INT($B420)-WEEKDAY($B420,2)+1,"")</f>
        <v/>
      </c>
      <c r="I420" s="24" t="inlineStr">
        <is>
          <t>Z-YHP</t>
        </is>
      </c>
      <c r="J420" s="22">
        <f t="array" ref="J420">IF($D420="","",IF($I420="","(trống REF)",IFERROR(INDEX(MASTER_SOURCE!$B$2:$B$495,MATCH($I420,MASTER_SOURCE!$A$2:$A$495,0)),"(REF không có trong MASTER_SOURCE)")))</f>
        <v/>
      </c>
      <c r="K420" s="22">
        <f t="array" ref="K420">IF($D420="","",IFERROR(INDEX(MASTER_SOURCE!$C$2:$C$495,MATCH($I420,MASTER_SOURCE!$A$2:$A$495,0)),""))</f>
        <v/>
      </c>
      <c r="L420" s="22">
        <f t="array" ref="L420">IF($D420="","",IFERROR(INDEX(MASTER_SOURCE!$D$2:$D$495,MATCH($I420,MASTER_SOURCE!$A$2:$A$495,0)),""))</f>
        <v/>
      </c>
      <c r="M420" s="24" t="inlineStr">
        <is>
          <t>Có</t>
        </is>
      </c>
      <c r="N420" s="24" t="inlineStr">
        <is>
          <t>Có</t>
        </is>
      </c>
      <c r="O420" s="24" t="inlineStr">
        <is>
          <t>Có</t>
        </is>
      </c>
      <c r="P420" s="24" t="inlineStr">
        <is>
          <t>Có</t>
        </is>
      </c>
      <c r="Q420" s="22">
        <f>IF($D420="","",IF(AND(OR(DANH_MUC!$L$5&lt;&gt;"Có",M420="Có"),OR(DANH_MUC!$L$6&lt;&gt;"Có",N420="Có"),OR(DANH_MUC!$L$7&lt;&gt;"Có",O420="Có"),OR(DANH_MUC!$L$8&lt;&gt;"Có",P420="Có")),"Có","Không"))</f>
        <v/>
      </c>
      <c r="R420" s="22">
        <f>IF($D420="","",IF(COUNTIF($D$2:$D420,$D420)&gt;1,"Trùng",""))</f>
        <v/>
      </c>
      <c r="S420" s="22">
        <f>IF($D420="","",IF(AND(LEN($D420)=10,LEFT($D420,1)="0",ISNUMBER(--$D420)),"Có","Không"))</f>
        <v/>
      </c>
      <c r="T420" s="22">
        <f>IF($D420="","",IF(AND($C420&lt;&gt;"",$Q420="Có",$R420="",$S420="Có",AND($L420&lt;&gt;"",OR($L420&lt;&gt;"Chưa xác định",DANH_MUC!$L$9="Có"))),"Có","Không"))</f>
        <v/>
      </c>
      <c r="U420" s="22">
        <f>IF(OR($D420="",$T420="Có"),"",IF($C420="","Thiếu họ tên; ","")&amp;IF($S420&lt;&gt;"Có","SĐT sai định dạng; ","")&amp;IF($R420="Trùng","Trùng SĐT; ","")&amp;IF($Q420&lt;&gt;"Có","Thiếu đồng ý bắt buộc; ","")&amp;IF($L420="","Thiếu/sai Mã REF; ",IF(AND($L420="Chưa xác định",DANH_MUC!$L$9&lt;&gt;"Có"),"Nguồn chưa xác định; ","")))</f>
        <v/>
      </c>
      <c r="V420" s="22">
        <f>IF(OR($D420="",$R420="Trùng"),"",IF(COUNTIF(ORDERS!$C$2:$C$4995,$D420)&gt;0,"Có","Không"))</f>
        <v/>
      </c>
      <c r="W420" s="22">
        <f>IF(OR($D420="",$R420="Trùng"),"",COUNTIFS(ORDERS!$C$2:$C$4995,$D420,ORDERS!$L$2:$L$4995,"Đã chuyển khoản"))</f>
        <v/>
      </c>
      <c r="X420" s="23">
        <f>IF(OR($D420="",$R420="Trùng"),"",SUMIFS(ORDERS!$J$2:$J$4995,ORDERS!$C$2:$C$4995,$D420,ORDERS!$L$2:$L$4995,"Đã chuyển khoản"))</f>
        <v/>
      </c>
      <c r="Y420" s="24" t="n"/>
    </row>
    <row r="421" ht="14.25" customHeight="1" s="40">
      <c r="A421" s="24" t="inlineStr">
        <is>
          <t>e59bb9ef-217f-4f0c-8e18-40bfa2bab0c8</t>
        </is>
      </c>
      <c r="B421" s="27" t="n">
        <v>46297.88125</v>
      </c>
      <c r="C421" s="24" t="inlineStr">
        <is>
          <t>Trần Thị Ngọc Anh</t>
        </is>
      </c>
      <c r="D421" s="28" t="inlineStr">
        <is>
          <t>0789288772</t>
        </is>
      </c>
      <c r="E421" s="29" t="n">
        <v>46289</v>
      </c>
      <c r="F421" s="24" t="inlineStr">
        <is>
          <t>Đã sinh</t>
        </is>
      </c>
      <c r="G421" s="24" t="inlineStr">
        <is>
          <t>Hải Phòng</t>
        </is>
      </c>
      <c r="H421" s="21">
        <f>IF(ISNUMBER($B421),INT($B421)-WEEKDAY($B421,2)+1,"")</f>
        <v/>
      </c>
      <c r="I421" s="24" t="inlineStr">
        <is>
          <t>Z-YHP</t>
        </is>
      </c>
      <c r="J421" s="22">
        <f t="array" ref="J421">IF($D421="","",IF($I421="","(trống REF)",IFERROR(INDEX(MASTER_SOURCE!$B$2:$B$495,MATCH($I421,MASTER_SOURCE!$A$2:$A$495,0)),"(REF không có trong MASTER_SOURCE)")))</f>
        <v/>
      </c>
      <c r="K421" s="22">
        <f t="array" ref="K421">IF($D421="","",IFERROR(INDEX(MASTER_SOURCE!$C$2:$C$495,MATCH($I421,MASTER_SOURCE!$A$2:$A$495,0)),""))</f>
        <v/>
      </c>
      <c r="L421" s="22">
        <f t="array" ref="L421">IF($D421="","",IFERROR(INDEX(MASTER_SOURCE!$D$2:$D$495,MATCH($I421,MASTER_SOURCE!$A$2:$A$495,0)),""))</f>
        <v/>
      </c>
      <c r="M421" s="24" t="inlineStr">
        <is>
          <t>Có</t>
        </is>
      </c>
      <c r="N421" s="24" t="inlineStr">
        <is>
          <t>Có</t>
        </is>
      </c>
      <c r="O421" s="24" t="inlineStr">
        <is>
          <t>Có</t>
        </is>
      </c>
      <c r="P421" s="24" t="inlineStr">
        <is>
          <t>Có</t>
        </is>
      </c>
      <c r="Q421" s="22">
        <f>IF($D421="","",IF(AND(OR(DANH_MUC!$L$5&lt;&gt;"Có",M421="Có"),OR(DANH_MUC!$L$6&lt;&gt;"Có",N421="Có"),OR(DANH_MUC!$L$7&lt;&gt;"Có",O421="Có"),OR(DANH_MUC!$L$8&lt;&gt;"Có",P421="Có")),"Có","Không"))</f>
        <v/>
      </c>
      <c r="R421" s="22">
        <f>IF($D421="","",IF(COUNTIF($D$2:$D421,$D421)&gt;1,"Trùng",""))</f>
        <v/>
      </c>
      <c r="S421" s="22">
        <f>IF($D421="","",IF(AND(LEN($D421)=10,LEFT($D421,1)="0",ISNUMBER(--$D421)),"Có","Không"))</f>
        <v/>
      </c>
      <c r="T421" s="22">
        <f>IF($D421="","",IF(AND($C421&lt;&gt;"",$Q421="Có",$R421="",$S421="Có",AND($L421&lt;&gt;"",OR($L421&lt;&gt;"Chưa xác định",DANH_MUC!$L$9="Có"))),"Có","Không"))</f>
        <v/>
      </c>
      <c r="U421" s="22">
        <f>IF(OR($D421="",$T421="Có"),"",IF($C421="","Thiếu họ tên; ","")&amp;IF($S421&lt;&gt;"Có","SĐT sai định dạng; ","")&amp;IF($R421="Trùng","Trùng SĐT; ","")&amp;IF($Q421&lt;&gt;"Có","Thiếu đồng ý bắt buộc; ","")&amp;IF($L421="","Thiếu/sai Mã REF; ",IF(AND($L421="Chưa xác định",DANH_MUC!$L$9&lt;&gt;"Có"),"Nguồn chưa xác định; ","")))</f>
        <v/>
      </c>
      <c r="V421" s="22">
        <f>IF(OR($D421="",$R421="Trùng"),"",IF(COUNTIF(ORDERS!$C$2:$C$4995,$D421)&gt;0,"Có","Không"))</f>
        <v/>
      </c>
      <c r="W421" s="22">
        <f>IF(OR($D421="",$R421="Trùng"),"",COUNTIFS(ORDERS!$C$2:$C$4995,$D421,ORDERS!$L$2:$L$4995,"Đã chuyển khoản"))</f>
        <v/>
      </c>
      <c r="X421" s="23">
        <f>IF(OR($D421="",$R421="Trùng"),"",SUMIFS(ORDERS!$J$2:$J$4995,ORDERS!$C$2:$C$4995,$D421,ORDERS!$L$2:$L$4995,"Đã chuyển khoản"))</f>
        <v/>
      </c>
      <c r="Y421" s="24" t="n"/>
    </row>
    <row r="422" ht="14.25" customHeight="1" s="40">
      <c r="A422" s="24" t="inlineStr">
        <is>
          <t>a4001cc0-2baf-4b6b-970b-df1283a93952</t>
        </is>
      </c>
      <c r="B422" s="27" t="n">
        <v>46297.90138888889</v>
      </c>
      <c r="C422" s="24" t="inlineStr">
        <is>
          <t>Nguyễn thị Mỹ hồng</t>
        </is>
      </c>
      <c r="D422" s="28" t="inlineStr">
        <is>
          <t>0397595548</t>
        </is>
      </c>
      <c r="E422" s="29" t="n">
        <v>46337</v>
      </c>
      <c r="F422" s="24" t="inlineStr">
        <is>
          <t>Đang mang thai</t>
        </is>
      </c>
      <c r="G422" s="24" t="inlineStr">
        <is>
          <t>Lâm Đồng</t>
        </is>
      </c>
      <c r="H422" s="21">
        <f>IF(ISNUMBER($B422),INT($B422)-WEEKDAY($B422,2)+1,"")</f>
        <v/>
      </c>
      <c r="I422" s="24" t="inlineStr">
        <is>
          <t>NHS-UNKNOWN</t>
        </is>
      </c>
      <c r="J422" s="22">
        <f t="array" ref="J422">IF($D422="","",IF($I422="","(trống REF)",IFERROR(INDEX(MASTER_SOURCE!$B$2:$B$495,MATCH($I422,MASTER_SOURCE!$A$2:$A$495,0)),"(REF không có trong MASTER_SOURCE)")))</f>
        <v/>
      </c>
      <c r="K422" s="22">
        <f t="array" ref="K422">IF($D422="","",IFERROR(INDEX(MASTER_SOURCE!$C$2:$C$495,MATCH($I422,MASTER_SOURCE!$A$2:$A$495,0)),""))</f>
        <v/>
      </c>
      <c r="L422" s="22">
        <f t="array" ref="L422">IF($D422="","",IFERROR(INDEX(MASTER_SOURCE!$D$2:$D$495,MATCH($I422,MASTER_SOURCE!$A$2:$A$495,0)),""))</f>
        <v/>
      </c>
      <c r="M422" s="24" t="inlineStr">
        <is>
          <t>Có</t>
        </is>
      </c>
      <c r="N422" s="24" t="inlineStr">
        <is>
          <t>Có</t>
        </is>
      </c>
      <c r="O422" s="24" t="inlineStr">
        <is>
          <t>Có</t>
        </is>
      </c>
      <c r="P422" s="24" t="inlineStr">
        <is>
          <t>Có</t>
        </is>
      </c>
      <c r="Q422" s="22">
        <f>IF($D422="","",IF(AND(OR(DANH_MUC!$L$5&lt;&gt;"Có",M422="Có"),OR(DANH_MUC!$L$6&lt;&gt;"Có",N422="Có"),OR(DANH_MUC!$L$7&lt;&gt;"Có",O422="Có"),OR(DANH_MUC!$L$8&lt;&gt;"Có",P422="Có")),"Có","Không"))</f>
        <v/>
      </c>
      <c r="R422" s="22">
        <f>IF($D422="","",IF(COUNTIF($D$2:$D422,$D422)&gt;1,"Trùng",""))</f>
        <v/>
      </c>
      <c r="S422" s="22">
        <f>IF($D422="","",IF(AND(LEN($D422)=10,LEFT($D422,1)="0",ISNUMBER(--$D422)),"Có","Không"))</f>
        <v/>
      </c>
      <c r="T422" s="22">
        <f>IF($D422="","",IF(AND($C422&lt;&gt;"",$Q422="Có",$R422="",$S422="Có",AND($L422&lt;&gt;"",OR($L422&lt;&gt;"Chưa xác định",DANH_MUC!$L$9="Có"))),"Có","Không"))</f>
        <v/>
      </c>
      <c r="U422" s="22">
        <f>IF(OR($D422="",$T422="Có"),"",IF($C422="","Thiếu họ tên; ","")&amp;IF($S422&lt;&gt;"Có","SĐT sai định dạng; ","")&amp;IF($R422="Trùng","Trùng SĐT; ","")&amp;IF($Q422&lt;&gt;"Có","Thiếu đồng ý bắt buộc; ","")&amp;IF($L422="","Thiếu/sai Mã REF; ",IF(AND($L422="Chưa xác định",DANH_MUC!$L$9&lt;&gt;"Có"),"Nguồn chưa xác định; ","")))</f>
        <v/>
      </c>
      <c r="V422" s="22">
        <f>IF(OR($D422="",$R422="Trùng"),"",IF(COUNTIF(ORDERS!$C$2:$C$4995,$D422)&gt;0,"Có","Không"))</f>
        <v/>
      </c>
      <c r="W422" s="22">
        <f>IF(OR($D422="",$R422="Trùng"),"",COUNTIFS(ORDERS!$C$2:$C$4995,$D422,ORDERS!$L$2:$L$4995,"Đã chuyển khoản"))</f>
        <v/>
      </c>
      <c r="X422" s="23">
        <f>IF(OR($D422="",$R422="Trùng"),"",SUMIFS(ORDERS!$J$2:$J$4995,ORDERS!$C$2:$C$4995,$D422,ORDERS!$L$2:$L$4995,"Đã chuyển khoản"))</f>
        <v/>
      </c>
      <c r="Y422" s="24" t="n"/>
    </row>
    <row r="423" ht="14.25" customHeight="1" s="40">
      <c r="A423" s="24" t="inlineStr">
        <is>
          <t>ea140e1a-fcc5-4b99-986b-d2fab559d8bf</t>
        </is>
      </c>
      <c r="B423" s="27" t="n">
        <v>46297.90902777778</v>
      </c>
      <c r="C423" s="24" t="inlineStr">
        <is>
          <t>Vũ Bảo Ngọc</t>
        </is>
      </c>
      <c r="D423" s="28" t="inlineStr">
        <is>
          <t>0379348422</t>
        </is>
      </c>
      <c r="E423" s="29" t="n">
        <v>46223</v>
      </c>
      <c r="F423" s="24" t="inlineStr">
        <is>
          <t>Đã sinh</t>
        </is>
      </c>
      <c r="G423" s="24" t="inlineStr">
        <is>
          <t>Hà Nội</t>
        </is>
      </c>
      <c r="H423" s="21">
        <f>IF(ISNUMBER($B423),INT($B423)-WEEKDAY($B423,2)+1,"")</f>
        <v/>
      </c>
      <c r="I423" s="24" t="inlineStr">
        <is>
          <t>NHS-UNKNOWN</t>
        </is>
      </c>
      <c r="J423" s="22">
        <f t="array" ref="J423">IF($D423="","",IF($I423="","(trống REF)",IFERROR(INDEX(MASTER_SOURCE!$B$2:$B$495,MATCH($I423,MASTER_SOURCE!$A$2:$A$495,0)),"(REF không có trong MASTER_SOURCE)")))</f>
        <v/>
      </c>
      <c r="K423" s="22">
        <f t="array" ref="K423">IF($D423="","",IFERROR(INDEX(MASTER_SOURCE!$C$2:$C$495,MATCH($I423,MASTER_SOURCE!$A$2:$A$495,0)),""))</f>
        <v/>
      </c>
      <c r="L423" s="22">
        <f t="array" ref="L423">IF($D423="","",IFERROR(INDEX(MASTER_SOURCE!$D$2:$D$495,MATCH($I423,MASTER_SOURCE!$A$2:$A$495,0)),""))</f>
        <v/>
      </c>
      <c r="M423" s="24" t="inlineStr">
        <is>
          <t>Có</t>
        </is>
      </c>
      <c r="N423" s="24" t="inlineStr">
        <is>
          <t>Có</t>
        </is>
      </c>
      <c r="O423" s="24" t="inlineStr">
        <is>
          <t>Có</t>
        </is>
      </c>
      <c r="P423" s="24" t="inlineStr">
        <is>
          <t>Có</t>
        </is>
      </c>
      <c r="Q423" s="22">
        <f>IF($D423="","",IF(AND(OR(DANH_MUC!$L$5&lt;&gt;"Có",M423="Có"),OR(DANH_MUC!$L$6&lt;&gt;"Có",N423="Có"),OR(DANH_MUC!$L$7&lt;&gt;"Có",O423="Có"),OR(DANH_MUC!$L$8&lt;&gt;"Có",P423="Có")),"Có","Không"))</f>
        <v/>
      </c>
      <c r="R423" s="22">
        <f>IF($D423="","",IF(COUNTIF($D$2:$D423,$D423)&gt;1,"Trùng",""))</f>
        <v/>
      </c>
      <c r="S423" s="22">
        <f>IF($D423="","",IF(AND(LEN($D423)=10,LEFT($D423,1)="0",ISNUMBER(--$D423)),"Có","Không"))</f>
        <v/>
      </c>
      <c r="T423" s="22">
        <f>IF($D423="","",IF(AND($C423&lt;&gt;"",$Q423="Có",$R423="",$S423="Có",AND($L423&lt;&gt;"",OR($L423&lt;&gt;"Chưa xác định",DANH_MUC!$L$9="Có"))),"Có","Không"))</f>
        <v/>
      </c>
      <c r="U423" s="22">
        <f>IF(OR($D423="",$T423="Có"),"",IF($C423="","Thiếu họ tên; ","")&amp;IF($S423&lt;&gt;"Có","SĐT sai định dạng; ","")&amp;IF($R423="Trùng","Trùng SĐT; ","")&amp;IF($Q423&lt;&gt;"Có","Thiếu đồng ý bắt buộc; ","")&amp;IF($L423="","Thiếu/sai Mã REF; ",IF(AND($L423="Chưa xác định",DANH_MUC!$L$9&lt;&gt;"Có"),"Nguồn chưa xác định; ","")))</f>
        <v/>
      </c>
      <c r="V423" s="22">
        <f>IF(OR($D423="",$R423="Trùng"),"",IF(COUNTIF(ORDERS!$C$2:$C$4995,$D423)&gt;0,"Có","Không"))</f>
        <v/>
      </c>
      <c r="W423" s="22">
        <f>IF(OR($D423="",$R423="Trùng"),"",COUNTIFS(ORDERS!$C$2:$C$4995,$D423,ORDERS!$L$2:$L$4995,"Đã chuyển khoản"))</f>
        <v/>
      </c>
      <c r="X423" s="23">
        <f>IF(OR($D423="",$R423="Trùng"),"",SUMIFS(ORDERS!$J$2:$J$4995,ORDERS!$C$2:$C$4995,$D423,ORDERS!$L$2:$L$4995,"Đã chuyển khoản"))</f>
        <v/>
      </c>
      <c r="Y423" s="24" t="n"/>
    </row>
    <row r="424" ht="14.25" customHeight="1" s="40">
      <c r="A424" s="24" t="inlineStr">
        <is>
          <t>0fad289e-0f3b-4725-a4d5-a1970e688ac0</t>
        </is>
      </c>
      <c r="B424" s="27" t="n">
        <v>46297.92222222222</v>
      </c>
      <c r="C424" s="24" t="inlineStr">
        <is>
          <t>Lê Thị Phượng</t>
        </is>
      </c>
      <c r="D424" s="28" t="inlineStr">
        <is>
          <t>0354862626</t>
        </is>
      </c>
      <c r="E424" s="29" t="n">
        <v>46270</v>
      </c>
      <c r="F424" s="24" t="inlineStr">
        <is>
          <t>Đã sinh</t>
        </is>
      </c>
      <c r="G424" s="24" t="inlineStr">
        <is>
          <t>Hải Phòng</t>
        </is>
      </c>
      <c r="H424" s="21">
        <f>IF(ISNUMBER($B424),INT($B424)-WEEKDAY($B424,2)+1,"")</f>
        <v/>
      </c>
      <c r="I424" s="24" t="inlineStr">
        <is>
          <t>Z-YHP</t>
        </is>
      </c>
      <c r="J424" s="22">
        <f t="array" ref="J424">IF($D424="","",IF($I424="","(trống REF)",IFERROR(INDEX(MASTER_SOURCE!$B$2:$B$495,MATCH($I424,MASTER_SOURCE!$A$2:$A$495,0)),"(REF không có trong MASTER_SOURCE)")))</f>
        <v/>
      </c>
      <c r="K424" s="22">
        <f t="array" ref="K424">IF($D424="","",IFERROR(INDEX(MASTER_SOURCE!$C$2:$C$495,MATCH($I424,MASTER_SOURCE!$A$2:$A$495,0)),""))</f>
        <v/>
      </c>
      <c r="L424" s="22">
        <f t="array" ref="L424">IF($D424="","",IFERROR(INDEX(MASTER_SOURCE!$D$2:$D$495,MATCH($I424,MASTER_SOURCE!$A$2:$A$495,0)),""))</f>
        <v/>
      </c>
      <c r="M424" s="24" t="inlineStr">
        <is>
          <t>Có</t>
        </is>
      </c>
      <c r="N424" s="24" t="inlineStr">
        <is>
          <t>Có</t>
        </is>
      </c>
      <c r="O424" s="24" t="inlineStr">
        <is>
          <t>Có</t>
        </is>
      </c>
      <c r="P424" s="24" t="inlineStr">
        <is>
          <t>Có</t>
        </is>
      </c>
      <c r="Q424" s="22">
        <f>IF($D424="","",IF(AND(OR(DANH_MUC!$L$5&lt;&gt;"Có",M424="Có"),OR(DANH_MUC!$L$6&lt;&gt;"Có",N424="Có"),OR(DANH_MUC!$L$7&lt;&gt;"Có",O424="Có"),OR(DANH_MUC!$L$8&lt;&gt;"Có",P424="Có")),"Có","Không"))</f>
        <v/>
      </c>
      <c r="R424" s="22">
        <f>IF($D424="","",IF(COUNTIF($D$2:$D424,$D424)&gt;1,"Trùng",""))</f>
        <v/>
      </c>
      <c r="S424" s="22">
        <f>IF($D424="","",IF(AND(LEN($D424)=10,LEFT($D424,1)="0",ISNUMBER(--$D424)),"Có","Không"))</f>
        <v/>
      </c>
      <c r="T424" s="22">
        <f>IF($D424="","",IF(AND($C424&lt;&gt;"",$Q424="Có",$R424="",$S424="Có",AND($L424&lt;&gt;"",OR($L424&lt;&gt;"Chưa xác định",DANH_MUC!$L$9="Có"))),"Có","Không"))</f>
        <v/>
      </c>
      <c r="U424" s="22">
        <f>IF(OR($D424="",$T424="Có"),"",IF($C424="","Thiếu họ tên; ","")&amp;IF($S424&lt;&gt;"Có","SĐT sai định dạng; ","")&amp;IF($R424="Trùng","Trùng SĐT; ","")&amp;IF($Q424&lt;&gt;"Có","Thiếu đồng ý bắt buộc; ","")&amp;IF($L424="","Thiếu/sai Mã REF; ",IF(AND($L424="Chưa xác định",DANH_MUC!$L$9&lt;&gt;"Có"),"Nguồn chưa xác định; ","")))</f>
        <v/>
      </c>
      <c r="V424" s="22">
        <f>IF(OR($D424="",$R424="Trùng"),"",IF(COUNTIF(ORDERS!$C$2:$C$4995,$D424)&gt;0,"Có","Không"))</f>
        <v/>
      </c>
      <c r="W424" s="22">
        <f>IF(OR($D424="",$R424="Trùng"),"",COUNTIFS(ORDERS!$C$2:$C$4995,$D424,ORDERS!$L$2:$L$4995,"Đã chuyển khoản"))</f>
        <v/>
      </c>
      <c r="X424" s="23">
        <f>IF(OR($D424="",$R424="Trùng"),"",SUMIFS(ORDERS!$J$2:$J$4995,ORDERS!$C$2:$C$4995,$D424,ORDERS!$L$2:$L$4995,"Đã chuyển khoản"))</f>
        <v/>
      </c>
      <c r="Y424" s="24" t="n"/>
    </row>
    <row r="425" ht="14.25" customHeight="1" s="40">
      <c r="A425" s="24" t="n"/>
      <c r="B425" s="27" t="n"/>
      <c r="C425" s="24" t="n"/>
      <c r="D425" s="28" t="n"/>
      <c r="E425" s="29" t="n"/>
      <c r="F425" s="24" t="n"/>
      <c r="G425" s="24" t="n"/>
      <c r="H425" s="21">
        <f>IF(ISNUMBER($B425),INT($B425)-WEEKDAY($B425,2)+1,"")</f>
        <v/>
      </c>
      <c r="I425" s="24" t="n"/>
      <c r="J425" s="22">
        <f t="array" ref="J425">IF($D425="","",IF($I425="","(trống REF)",IFERROR(INDEX(MASTER_SOURCE!$B$2:$B$495,MATCH($I425,MASTER_SOURCE!$A$2:$A$495,0)),"(REF không có trong MASTER_SOURCE)")))</f>
        <v/>
      </c>
      <c r="K425" s="22">
        <f t="array" ref="K425">IF($D425="","",IFERROR(INDEX(MASTER_SOURCE!$C$2:$C$495,MATCH($I425,MASTER_SOURCE!$A$2:$A$495,0)),""))</f>
        <v/>
      </c>
      <c r="L425" s="22">
        <f t="array" ref="L425">IF($D425="","",IFERROR(INDEX(MASTER_SOURCE!$D$2:$D$495,MATCH($I425,MASTER_SOURCE!$A$2:$A$495,0)),""))</f>
        <v/>
      </c>
      <c r="M425" s="24" t="n"/>
      <c r="N425" s="24" t="n"/>
      <c r="O425" s="24" t="n"/>
      <c r="P425" s="24" t="n"/>
      <c r="Q425" s="22">
        <f>IF($D425="","",IF(AND(OR(DANH_MUC!$L$5&lt;&gt;"Có",M425="Có"),OR(DANH_MUC!$L$6&lt;&gt;"Có",N425="Có"),OR(DANH_MUC!$L$7&lt;&gt;"Có",O425="Có"),OR(DANH_MUC!$L$8&lt;&gt;"Có",P425="Có")),"Có","Không"))</f>
        <v/>
      </c>
      <c r="R425" s="22">
        <f>IF($D425="","",IF(COUNTIF($D$2:$D425,$D425)&gt;1,"Trùng",""))</f>
        <v/>
      </c>
      <c r="S425" s="22">
        <f>IF($D425="","",IF(AND(LEN($D425)=10,LEFT($D425,1)="0",ISNUMBER(--$D425)),"Có","Không"))</f>
        <v/>
      </c>
      <c r="T425" s="22">
        <f>IF($D425="","",IF(AND($C425&lt;&gt;"",$Q425="Có",$R425="",$S425="Có",AND($L425&lt;&gt;"",OR($L425&lt;&gt;"Chưa xác định",DANH_MUC!$L$9="Có"))),"Có","Không"))</f>
        <v/>
      </c>
      <c r="U425" s="22">
        <f>IF(OR($D425="",$T425="Có"),"",IF($C425="","Thiếu họ tên; ","")&amp;IF($S425&lt;&gt;"Có","SĐT sai định dạng; ","")&amp;IF($R425="Trùng","Trùng SĐT; ","")&amp;IF($Q425&lt;&gt;"Có","Thiếu đồng ý bắt buộc; ","")&amp;IF($L425="","Thiếu/sai Mã REF; ",IF(AND($L425="Chưa xác định",DANH_MUC!$L$9&lt;&gt;"Có"),"Nguồn chưa xác định; ","")))</f>
        <v/>
      </c>
      <c r="V425" s="22">
        <f>IF(OR($D425="",$R425="Trùng"),"",IF(COUNTIF(ORDERS!$C$2:$C$4995,$D425)&gt;0,"Có","Không"))</f>
        <v/>
      </c>
      <c r="W425" s="22">
        <f>IF(OR($D425="",$R425="Trùng"),"",COUNTIFS(ORDERS!$C$2:$C$4995,$D425,ORDERS!$L$2:$L$4995,"Đã chuyển khoản"))</f>
        <v/>
      </c>
      <c r="X425" s="23">
        <f>IF(OR($D425="",$R425="Trùng"),"",SUMIFS(ORDERS!$J$2:$J$4995,ORDERS!$C$2:$C$4995,$D425,ORDERS!$L$2:$L$4995,"Đã chuyển khoản"))</f>
        <v/>
      </c>
      <c r="Y425" s="24" t="n"/>
    </row>
    <row r="426" ht="14.25" customHeight="1" s="40">
      <c r="A426" s="24" t="n"/>
      <c r="B426" s="27" t="n"/>
      <c r="C426" s="24" t="n"/>
      <c r="D426" s="28" t="n"/>
      <c r="E426" s="29" t="n"/>
      <c r="F426" s="24" t="n"/>
      <c r="G426" s="24" t="n"/>
      <c r="H426" s="21">
        <f>IF(ISNUMBER($B426),INT($B426)-WEEKDAY($B426,2)+1,"")</f>
        <v/>
      </c>
      <c r="I426" s="24" t="n"/>
      <c r="J426" s="22">
        <f t="array" ref="J426">IF($D426="","",IF($I426="","(trống REF)",IFERROR(INDEX(MASTER_SOURCE!$B$2:$B$495,MATCH($I426,MASTER_SOURCE!$A$2:$A$495,0)),"(REF không có trong MASTER_SOURCE)")))</f>
        <v/>
      </c>
      <c r="K426" s="22">
        <f t="array" ref="K426">IF($D426="","",IFERROR(INDEX(MASTER_SOURCE!$C$2:$C$495,MATCH($I426,MASTER_SOURCE!$A$2:$A$495,0)),""))</f>
        <v/>
      </c>
      <c r="L426" s="22">
        <f t="array" ref="L426">IF($D426="","",IFERROR(INDEX(MASTER_SOURCE!$D$2:$D$495,MATCH($I426,MASTER_SOURCE!$A$2:$A$495,0)),""))</f>
        <v/>
      </c>
      <c r="M426" s="24" t="n"/>
      <c r="N426" s="24" t="n"/>
      <c r="O426" s="24" t="n"/>
      <c r="P426" s="24" t="n"/>
      <c r="Q426" s="22">
        <f>IF($D426="","",IF(AND(OR(DANH_MUC!$L$5&lt;&gt;"Có",M426="Có"),OR(DANH_MUC!$L$6&lt;&gt;"Có",N426="Có"),OR(DANH_MUC!$L$7&lt;&gt;"Có",O426="Có"),OR(DANH_MUC!$L$8&lt;&gt;"Có",P426="Có")),"Có","Không"))</f>
        <v/>
      </c>
      <c r="R426" s="22">
        <f>IF($D426="","",IF(COUNTIF($D$2:$D426,$D426)&gt;1,"Trùng",""))</f>
        <v/>
      </c>
      <c r="S426" s="22">
        <f>IF($D426="","",IF(AND(LEN($D426)=10,LEFT($D426,1)="0",ISNUMBER(--$D426)),"Có","Không"))</f>
        <v/>
      </c>
      <c r="T426" s="22">
        <f>IF($D426="","",IF(AND($C426&lt;&gt;"",$Q426="Có",$R426="",$S426="Có",AND($L426&lt;&gt;"",OR($L426&lt;&gt;"Chưa xác định",DANH_MUC!$L$9="Có"))),"Có","Không"))</f>
        <v/>
      </c>
      <c r="U426" s="22">
        <f>IF(OR($D426="",$T426="Có"),"",IF($C426="","Thiếu họ tên; ","")&amp;IF($S426&lt;&gt;"Có","SĐT sai định dạng; ","")&amp;IF($R426="Trùng","Trùng SĐT; ","")&amp;IF($Q426&lt;&gt;"Có","Thiếu đồng ý bắt buộc; ","")&amp;IF($L426="","Thiếu/sai Mã REF; ",IF(AND($L426="Chưa xác định",DANH_MUC!$L$9&lt;&gt;"Có"),"Nguồn chưa xác định; ","")))</f>
        <v/>
      </c>
      <c r="V426" s="22">
        <f>IF(OR($D426="",$R426="Trùng"),"",IF(COUNTIF(ORDERS!$C$2:$C$4995,$D426)&gt;0,"Có","Không"))</f>
        <v/>
      </c>
      <c r="W426" s="22">
        <f>IF(OR($D426="",$R426="Trùng"),"",COUNTIFS(ORDERS!$C$2:$C$4995,$D426,ORDERS!$L$2:$L$4995,"Đã chuyển khoản"))</f>
        <v/>
      </c>
      <c r="X426" s="23">
        <f>IF(OR($D426="",$R426="Trùng"),"",SUMIFS(ORDERS!$J$2:$J$4995,ORDERS!$C$2:$C$4995,$D426,ORDERS!$L$2:$L$4995,"Đã chuyển khoản"))</f>
        <v/>
      </c>
      <c r="Y426" s="24" t="n"/>
    </row>
    <row r="427" ht="14.25" customHeight="1" s="40">
      <c r="A427" s="24" t="n"/>
      <c r="B427" s="27" t="n"/>
      <c r="C427" s="24" t="n"/>
      <c r="D427" s="28" t="n"/>
      <c r="E427" s="29" t="n"/>
      <c r="F427" s="24" t="n"/>
      <c r="G427" s="24" t="n"/>
      <c r="H427" s="21">
        <f>IF(ISNUMBER($B427),INT($B427)-WEEKDAY($B427,2)+1,"")</f>
        <v/>
      </c>
      <c r="I427" s="24" t="n"/>
      <c r="J427" s="22">
        <f t="array" ref="J427">IF($D427="","",IF($I427="","(trống REF)",IFERROR(INDEX(MASTER_SOURCE!$B$2:$B$495,MATCH($I427,MASTER_SOURCE!$A$2:$A$495,0)),"(REF không có trong MASTER_SOURCE)")))</f>
        <v/>
      </c>
      <c r="K427" s="22">
        <f t="array" ref="K427">IF($D427="","",IFERROR(INDEX(MASTER_SOURCE!$C$2:$C$495,MATCH($I427,MASTER_SOURCE!$A$2:$A$495,0)),""))</f>
        <v/>
      </c>
      <c r="L427" s="22">
        <f t="array" ref="L427">IF($D427="","",IFERROR(INDEX(MASTER_SOURCE!$D$2:$D$495,MATCH($I427,MASTER_SOURCE!$A$2:$A$495,0)),""))</f>
        <v/>
      </c>
      <c r="M427" s="24" t="n"/>
      <c r="N427" s="24" t="n"/>
      <c r="O427" s="24" t="n"/>
      <c r="P427" s="24" t="n"/>
      <c r="Q427" s="22">
        <f>IF($D427="","",IF(AND(OR(DANH_MUC!$L$5&lt;&gt;"Có",M427="Có"),OR(DANH_MUC!$L$6&lt;&gt;"Có",N427="Có"),OR(DANH_MUC!$L$7&lt;&gt;"Có",O427="Có"),OR(DANH_MUC!$L$8&lt;&gt;"Có",P427="Có")),"Có","Không"))</f>
        <v/>
      </c>
      <c r="R427" s="22">
        <f>IF($D427="","",IF(COUNTIF($D$2:$D427,$D427)&gt;1,"Trùng",""))</f>
        <v/>
      </c>
      <c r="S427" s="22">
        <f>IF($D427="","",IF(AND(LEN($D427)=10,LEFT($D427,1)="0",ISNUMBER(--$D427)),"Có","Không"))</f>
        <v/>
      </c>
      <c r="T427" s="22">
        <f>IF($D427="","",IF(AND($C427&lt;&gt;"",$Q427="Có",$R427="",$S427="Có",AND($L427&lt;&gt;"",OR($L427&lt;&gt;"Chưa xác định",DANH_MUC!$L$9="Có"))),"Có","Không"))</f>
        <v/>
      </c>
      <c r="U427" s="22">
        <f>IF(OR($D427="",$T427="Có"),"",IF($C427="","Thiếu họ tên; ","")&amp;IF($S427&lt;&gt;"Có","SĐT sai định dạng; ","")&amp;IF($R427="Trùng","Trùng SĐT; ","")&amp;IF($Q427&lt;&gt;"Có","Thiếu đồng ý bắt buộc; ","")&amp;IF($L427="","Thiếu/sai Mã REF; ",IF(AND($L427="Chưa xác định",DANH_MUC!$L$9&lt;&gt;"Có"),"Nguồn chưa xác định; ","")))</f>
        <v/>
      </c>
      <c r="V427" s="22">
        <f>IF(OR($D427="",$R427="Trùng"),"",IF(COUNTIF(ORDERS!$C$2:$C$4995,$D427)&gt;0,"Có","Không"))</f>
        <v/>
      </c>
      <c r="W427" s="22">
        <f>IF(OR($D427="",$R427="Trùng"),"",COUNTIFS(ORDERS!$C$2:$C$4995,$D427,ORDERS!$L$2:$L$4995,"Đã chuyển khoản"))</f>
        <v/>
      </c>
      <c r="X427" s="23">
        <f>IF(OR($D427="",$R427="Trùng"),"",SUMIFS(ORDERS!$J$2:$J$4995,ORDERS!$C$2:$C$4995,$D427,ORDERS!$L$2:$L$4995,"Đã chuyển khoản"))</f>
        <v/>
      </c>
      <c r="Y427" s="24" t="n"/>
    </row>
    <row r="428" ht="14.25" customHeight="1" s="40">
      <c r="A428" s="24" t="n"/>
      <c r="B428" s="27" t="n"/>
      <c r="C428" s="24" t="n"/>
      <c r="D428" s="28" t="n"/>
      <c r="E428" s="29" t="n"/>
      <c r="F428" s="24" t="n"/>
      <c r="G428" s="24" t="n"/>
      <c r="H428" s="21">
        <f>IF(ISNUMBER($B428),INT($B428)-WEEKDAY($B428,2)+1,"")</f>
        <v/>
      </c>
      <c r="I428" s="24" t="n"/>
      <c r="J428" s="22">
        <f t="array" ref="J428">IF($D428="","",IF($I428="","(trống REF)",IFERROR(INDEX(MASTER_SOURCE!$B$2:$B$495,MATCH($I428,MASTER_SOURCE!$A$2:$A$495,0)),"(REF không có trong MASTER_SOURCE)")))</f>
        <v/>
      </c>
      <c r="K428" s="22">
        <f t="array" ref="K428">IF($D428="","",IFERROR(INDEX(MASTER_SOURCE!$C$2:$C$495,MATCH($I428,MASTER_SOURCE!$A$2:$A$495,0)),""))</f>
        <v/>
      </c>
      <c r="L428" s="22">
        <f t="array" ref="L428">IF($D428="","",IFERROR(INDEX(MASTER_SOURCE!$D$2:$D$495,MATCH($I428,MASTER_SOURCE!$A$2:$A$495,0)),""))</f>
        <v/>
      </c>
      <c r="M428" s="24" t="n"/>
      <c r="N428" s="24" t="n"/>
      <c r="O428" s="24" t="n"/>
      <c r="P428" s="24" t="n"/>
      <c r="Q428" s="22">
        <f>IF($D428="","",IF(AND(OR(DANH_MUC!$L$5&lt;&gt;"Có",M428="Có"),OR(DANH_MUC!$L$6&lt;&gt;"Có",N428="Có"),OR(DANH_MUC!$L$7&lt;&gt;"Có",O428="Có"),OR(DANH_MUC!$L$8&lt;&gt;"Có",P428="Có")),"Có","Không"))</f>
        <v/>
      </c>
      <c r="R428" s="22">
        <f>IF($D428="","",IF(COUNTIF($D$2:$D428,$D428)&gt;1,"Trùng",""))</f>
        <v/>
      </c>
      <c r="S428" s="22">
        <f>IF($D428="","",IF(AND(LEN($D428)=10,LEFT($D428,1)="0",ISNUMBER(--$D428)),"Có","Không"))</f>
        <v/>
      </c>
      <c r="T428" s="22">
        <f>IF($D428="","",IF(AND($C428&lt;&gt;"",$Q428="Có",$R428="",$S428="Có",AND($L428&lt;&gt;"",OR($L428&lt;&gt;"Chưa xác định",DANH_MUC!$L$9="Có"))),"Có","Không"))</f>
        <v/>
      </c>
      <c r="U428" s="22">
        <f>IF(OR($D428="",$T428="Có"),"",IF($C428="","Thiếu họ tên; ","")&amp;IF($S428&lt;&gt;"Có","SĐT sai định dạng; ","")&amp;IF($R428="Trùng","Trùng SĐT; ","")&amp;IF($Q428&lt;&gt;"Có","Thiếu đồng ý bắt buộc; ","")&amp;IF($L428="","Thiếu/sai Mã REF; ",IF(AND($L428="Chưa xác định",DANH_MUC!$L$9&lt;&gt;"Có"),"Nguồn chưa xác định; ","")))</f>
        <v/>
      </c>
      <c r="V428" s="22">
        <f>IF(OR($D428="",$R428="Trùng"),"",IF(COUNTIF(ORDERS!$C$2:$C$4995,$D428)&gt;0,"Có","Không"))</f>
        <v/>
      </c>
      <c r="W428" s="22">
        <f>IF(OR($D428="",$R428="Trùng"),"",COUNTIFS(ORDERS!$C$2:$C$4995,$D428,ORDERS!$L$2:$L$4995,"Đã chuyển khoản"))</f>
        <v/>
      </c>
      <c r="X428" s="23">
        <f>IF(OR($D428="",$R428="Trùng"),"",SUMIFS(ORDERS!$J$2:$J$4995,ORDERS!$C$2:$C$4995,$D428,ORDERS!$L$2:$L$4995,"Đã chuyển khoản"))</f>
        <v/>
      </c>
      <c r="Y428" s="24" t="n"/>
    </row>
    <row r="429" ht="14.25" customHeight="1" s="40">
      <c r="A429" s="24" t="n"/>
      <c r="B429" s="27" t="n"/>
      <c r="C429" s="24" t="n"/>
      <c r="D429" s="28" t="n"/>
      <c r="E429" s="29" t="n"/>
      <c r="F429" s="24" t="n"/>
      <c r="G429" s="24" t="n"/>
      <c r="H429" s="21">
        <f>IF(ISNUMBER($B429),INT($B429)-WEEKDAY($B429,2)+1,"")</f>
        <v/>
      </c>
      <c r="I429" s="24" t="n"/>
      <c r="J429" s="22">
        <f t="array" ref="J429">IF($D429="","",IF($I429="","(trống REF)",IFERROR(INDEX(MASTER_SOURCE!$B$2:$B$495,MATCH($I429,MASTER_SOURCE!$A$2:$A$495,0)),"(REF không có trong MASTER_SOURCE)")))</f>
        <v/>
      </c>
      <c r="K429" s="22">
        <f t="array" ref="K429">IF($D429="","",IFERROR(INDEX(MASTER_SOURCE!$C$2:$C$495,MATCH($I429,MASTER_SOURCE!$A$2:$A$495,0)),""))</f>
        <v/>
      </c>
      <c r="L429" s="22">
        <f t="array" ref="L429">IF($D429="","",IFERROR(INDEX(MASTER_SOURCE!$D$2:$D$495,MATCH($I429,MASTER_SOURCE!$A$2:$A$495,0)),""))</f>
        <v/>
      </c>
      <c r="M429" s="24" t="n"/>
      <c r="N429" s="24" t="n"/>
      <c r="O429" s="24" t="n"/>
      <c r="P429" s="24" t="n"/>
      <c r="Q429" s="22">
        <f>IF($D429="","",IF(AND(OR(DANH_MUC!$L$5&lt;&gt;"Có",M429="Có"),OR(DANH_MUC!$L$6&lt;&gt;"Có",N429="Có"),OR(DANH_MUC!$L$7&lt;&gt;"Có",O429="Có"),OR(DANH_MUC!$L$8&lt;&gt;"Có",P429="Có")),"Có","Không"))</f>
        <v/>
      </c>
      <c r="R429" s="22">
        <f>IF($D429="","",IF(COUNTIF($D$2:$D429,$D429)&gt;1,"Trùng",""))</f>
        <v/>
      </c>
      <c r="S429" s="22">
        <f>IF($D429="","",IF(AND(LEN($D429)=10,LEFT($D429,1)="0",ISNUMBER(--$D429)),"Có","Không"))</f>
        <v/>
      </c>
      <c r="T429" s="22">
        <f>IF($D429="","",IF(AND($C429&lt;&gt;"",$Q429="Có",$R429="",$S429="Có",AND($L429&lt;&gt;"",OR($L429&lt;&gt;"Chưa xác định",DANH_MUC!$L$9="Có"))),"Có","Không"))</f>
        <v/>
      </c>
      <c r="U429" s="22">
        <f>IF(OR($D429="",$T429="Có"),"",IF($C429="","Thiếu họ tên; ","")&amp;IF($S429&lt;&gt;"Có","SĐT sai định dạng; ","")&amp;IF($R429="Trùng","Trùng SĐT; ","")&amp;IF($Q429&lt;&gt;"Có","Thiếu đồng ý bắt buộc; ","")&amp;IF($L429="","Thiếu/sai Mã REF; ",IF(AND($L429="Chưa xác định",DANH_MUC!$L$9&lt;&gt;"Có"),"Nguồn chưa xác định; ","")))</f>
        <v/>
      </c>
      <c r="V429" s="22">
        <f>IF(OR($D429="",$R429="Trùng"),"",IF(COUNTIF(ORDERS!$C$2:$C$4995,$D429)&gt;0,"Có","Không"))</f>
        <v/>
      </c>
      <c r="W429" s="22">
        <f>IF(OR($D429="",$R429="Trùng"),"",COUNTIFS(ORDERS!$C$2:$C$4995,$D429,ORDERS!$L$2:$L$4995,"Đã chuyển khoản"))</f>
        <v/>
      </c>
      <c r="X429" s="23">
        <f>IF(OR($D429="",$R429="Trùng"),"",SUMIFS(ORDERS!$J$2:$J$4995,ORDERS!$C$2:$C$4995,$D429,ORDERS!$L$2:$L$4995,"Đã chuyển khoản"))</f>
        <v/>
      </c>
      <c r="Y429" s="24" t="n"/>
    </row>
    <row r="430" ht="14.25" customHeight="1" s="40">
      <c r="A430" s="24" t="n"/>
      <c r="B430" s="27" t="n"/>
      <c r="C430" s="24" t="n"/>
      <c r="D430" s="28" t="n"/>
      <c r="E430" s="29" t="n"/>
      <c r="F430" s="24" t="n"/>
      <c r="G430" s="24" t="n"/>
      <c r="H430" s="21">
        <f>IF(ISNUMBER($B430),INT($B430)-WEEKDAY($B430,2)+1,"")</f>
        <v/>
      </c>
      <c r="I430" s="24" t="n"/>
      <c r="J430" s="22">
        <f t="array" ref="J430">IF($D430="","",IF($I430="","(trống REF)",IFERROR(INDEX(MASTER_SOURCE!$B$2:$B$495,MATCH($I430,MASTER_SOURCE!$A$2:$A$495,0)),"(REF không có trong MASTER_SOURCE)")))</f>
        <v/>
      </c>
      <c r="K430" s="22">
        <f t="array" ref="K430">IF($D430="","",IFERROR(INDEX(MASTER_SOURCE!$C$2:$C$495,MATCH($I430,MASTER_SOURCE!$A$2:$A$495,0)),""))</f>
        <v/>
      </c>
      <c r="L430" s="22">
        <f t="array" ref="L430">IF($D430="","",IFERROR(INDEX(MASTER_SOURCE!$D$2:$D$495,MATCH($I430,MASTER_SOURCE!$A$2:$A$495,0)),""))</f>
        <v/>
      </c>
      <c r="M430" s="24" t="n"/>
      <c r="N430" s="24" t="n"/>
      <c r="O430" s="24" t="n"/>
      <c r="P430" s="24" t="n"/>
      <c r="Q430" s="22">
        <f>IF($D430="","",IF(AND(OR(DANH_MUC!$L$5&lt;&gt;"Có",M430="Có"),OR(DANH_MUC!$L$6&lt;&gt;"Có",N430="Có"),OR(DANH_MUC!$L$7&lt;&gt;"Có",O430="Có"),OR(DANH_MUC!$L$8&lt;&gt;"Có",P430="Có")),"Có","Không"))</f>
        <v/>
      </c>
      <c r="R430" s="22">
        <f>IF($D430="","",IF(COUNTIF($D$2:$D430,$D430)&gt;1,"Trùng",""))</f>
        <v/>
      </c>
      <c r="S430" s="22">
        <f>IF($D430="","",IF(AND(LEN($D430)=10,LEFT($D430,1)="0",ISNUMBER(--$D430)),"Có","Không"))</f>
        <v/>
      </c>
      <c r="T430" s="22">
        <f>IF($D430="","",IF(AND($C430&lt;&gt;"",$Q430="Có",$R430="",$S430="Có",AND($L430&lt;&gt;"",OR($L430&lt;&gt;"Chưa xác định",DANH_MUC!$L$9="Có"))),"Có","Không"))</f>
        <v/>
      </c>
      <c r="U430" s="22">
        <f>IF(OR($D430="",$T430="Có"),"",IF($C430="","Thiếu họ tên; ","")&amp;IF($S430&lt;&gt;"Có","SĐT sai định dạng; ","")&amp;IF($R430="Trùng","Trùng SĐT; ","")&amp;IF($Q430&lt;&gt;"Có","Thiếu đồng ý bắt buộc; ","")&amp;IF($L430="","Thiếu/sai Mã REF; ",IF(AND($L430="Chưa xác định",DANH_MUC!$L$9&lt;&gt;"Có"),"Nguồn chưa xác định; ","")))</f>
        <v/>
      </c>
      <c r="V430" s="22">
        <f>IF(OR($D430="",$R430="Trùng"),"",IF(COUNTIF(ORDERS!$C$2:$C$4995,$D430)&gt;0,"Có","Không"))</f>
        <v/>
      </c>
      <c r="W430" s="22">
        <f>IF(OR($D430="",$R430="Trùng"),"",COUNTIFS(ORDERS!$C$2:$C$4995,$D430,ORDERS!$L$2:$L$4995,"Đã chuyển khoản"))</f>
        <v/>
      </c>
      <c r="X430" s="23">
        <f>IF(OR($D430="",$R430="Trùng"),"",SUMIFS(ORDERS!$J$2:$J$4995,ORDERS!$C$2:$C$4995,$D430,ORDERS!$L$2:$L$4995,"Đã chuyển khoản"))</f>
        <v/>
      </c>
      <c r="Y430" s="24" t="n"/>
    </row>
    <row r="431" ht="14.25" customHeight="1" s="40">
      <c r="A431" s="24" t="n"/>
      <c r="B431" s="27" t="n"/>
      <c r="C431" s="24" t="n"/>
      <c r="D431" s="28" t="n"/>
      <c r="E431" s="29" t="n"/>
      <c r="F431" s="24" t="n"/>
      <c r="G431" s="24" t="n"/>
      <c r="H431" s="21">
        <f>IF(ISNUMBER($B431),INT($B431)-WEEKDAY($B431,2)+1,"")</f>
        <v/>
      </c>
      <c r="I431" s="24" t="n"/>
      <c r="J431" s="22">
        <f t="array" ref="J431">IF($D431="","",IF($I431="","(trống REF)",IFERROR(INDEX(MASTER_SOURCE!$B$2:$B$495,MATCH($I431,MASTER_SOURCE!$A$2:$A$495,0)),"(REF không có trong MASTER_SOURCE)")))</f>
        <v/>
      </c>
      <c r="K431" s="22">
        <f t="array" ref="K431">IF($D431="","",IFERROR(INDEX(MASTER_SOURCE!$C$2:$C$495,MATCH($I431,MASTER_SOURCE!$A$2:$A$495,0)),""))</f>
        <v/>
      </c>
      <c r="L431" s="22">
        <f t="array" ref="L431">IF($D431="","",IFERROR(INDEX(MASTER_SOURCE!$D$2:$D$495,MATCH($I431,MASTER_SOURCE!$A$2:$A$495,0)),""))</f>
        <v/>
      </c>
      <c r="M431" s="24" t="n"/>
      <c r="N431" s="24" t="n"/>
      <c r="O431" s="24" t="n"/>
      <c r="P431" s="24" t="n"/>
      <c r="Q431" s="22">
        <f>IF($D431="","",IF(AND(OR(DANH_MUC!$L$5&lt;&gt;"Có",M431="Có"),OR(DANH_MUC!$L$6&lt;&gt;"Có",N431="Có"),OR(DANH_MUC!$L$7&lt;&gt;"Có",O431="Có"),OR(DANH_MUC!$L$8&lt;&gt;"Có",P431="Có")),"Có","Không"))</f>
        <v/>
      </c>
      <c r="R431" s="22">
        <f>IF($D431="","",IF(COUNTIF($D$2:$D431,$D431)&gt;1,"Trùng",""))</f>
        <v/>
      </c>
      <c r="S431" s="22">
        <f>IF($D431="","",IF(AND(LEN($D431)=10,LEFT($D431,1)="0",ISNUMBER(--$D431)),"Có","Không"))</f>
        <v/>
      </c>
      <c r="T431" s="22">
        <f>IF($D431="","",IF(AND($C431&lt;&gt;"",$Q431="Có",$R431="",$S431="Có",AND($L431&lt;&gt;"",OR($L431&lt;&gt;"Chưa xác định",DANH_MUC!$L$9="Có"))),"Có","Không"))</f>
        <v/>
      </c>
      <c r="U431" s="22">
        <f>IF(OR($D431="",$T431="Có"),"",IF($C431="","Thiếu họ tên; ","")&amp;IF($S431&lt;&gt;"Có","SĐT sai định dạng; ","")&amp;IF($R431="Trùng","Trùng SĐT; ","")&amp;IF($Q431&lt;&gt;"Có","Thiếu đồng ý bắt buộc; ","")&amp;IF($L431="","Thiếu/sai Mã REF; ",IF(AND($L431="Chưa xác định",DANH_MUC!$L$9&lt;&gt;"Có"),"Nguồn chưa xác định; ","")))</f>
        <v/>
      </c>
      <c r="V431" s="22">
        <f>IF(OR($D431="",$R431="Trùng"),"",IF(COUNTIF(ORDERS!$C$2:$C$4995,$D431)&gt;0,"Có","Không"))</f>
        <v/>
      </c>
      <c r="W431" s="22">
        <f>IF(OR($D431="",$R431="Trùng"),"",COUNTIFS(ORDERS!$C$2:$C$4995,$D431,ORDERS!$L$2:$L$4995,"Đã chuyển khoản"))</f>
        <v/>
      </c>
      <c r="X431" s="23">
        <f>IF(OR($D431="",$R431="Trùng"),"",SUMIFS(ORDERS!$J$2:$J$4995,ORDERS!$C$2:$C$4995,$D431,ORDERS!$L$2:$L$4995,"Đã chuyển khoản"))</f>
        <v/>
      </c>
      <c r="Y431" s="24" t="n"/>
    </row>
    <row r="432" ht="14.25" customHeight="1" s="40">
      <c r="A432" s="24" t="n"/>
      <c r="B432" s="27" t="n"/>
      <c r="C432" s="24" t="n"/>
      <c r="D432" s="28" t="n"/>
      <c r="E432" s="29" t="n"/>
      <c r="F432" s="24" t="n"/>
      <c r="G432" s="24" t="n"/>
      <c r="H432" s="21">
        <f>IF(ISNUMBER($B432),INT($B432)-WEEKDAY($B432,2)+1,"")</f>
        <v/>
      </c>
      <c r="I432" s="24" t="n"/>
      <c r="J432" s="22">
        <f t="array" ref="J432">IF($D432="","",IF($I432="","(trống REF)",IFERROR(INDEX(MASTER_SOURCE!$B$2:$B$495,MATCH($I432,MASTER_SOURCE!$A$2:$A$495,0)),"(REF không có trong MASTER_SOURCE)")))</f>
        <v/>
      </c>
      <c r="K432" s="22">
        <f t="array" ref="K432">IF($D432="","",IFERROR(INDEX(MASTER_SOURCE!$C$2:$C$495,MATCH($I432,MASTER_SOURCE!$A$2:$A$495,0)),""))</f>
        <v/>
      </c>
      <c r="L432" s="22">
        <f t="array" ref="L432">IF($D432="","",IFERROR(INDEX(MASTER_SOURCE!$D$2:$D$495,MATCH($I432,MASTER_SOURCE!$A$2:$A$495,0)),""))</f>
        <v/>
      </c>
      <c r="M432" s="24" t="n"/>
      <c r="N432" s="24" t="n"/>
      <c r="O432" s="24" t="n"/>
      <c r="P432" s="24" t="n"/>
      <c r="Q432" s="22">
        <f>IF($D432="","",IF(AND(OR(DANH_MUC!$L$5&lt;&gt;"Có",M432="Có"),OR(DANH_MUC!$L$6&lt;&gt;"Có",N432="Có"),OR(DANH_MUC!$L$7&lt;&gt;"Có",O432="Có"),OR(DANH_MUC!$L$8&lt;&gt;"Có",P432="Có")),"Có","Không"))</f>
        <v/>
      </c>
      <c r="R432" s="22">
        <f>IF($D432="","",IF(COUNTIF($D$2:$D432,$D432)&gt;1,"Trùng",""))</f>
        <v/>
      </c>
      <c r="S432" s="22">
        <f>IF($D432="","",IF(AND(LEN($D432)=10,LEFT($D432,1)="0",ISNUMBER(--$D432)),"Có","Không"))</f>
        <v/>
      </c>
      <c r="T432" s="22">
        <f>IF($D432="","",IF(AND($C432&lt;&gt;"",$Q432="Có",$R432="",$S432="Có",AND($L432&lt;&gt;"",OR($L432&lt;&gt;"Chưa xác định",DANH_MUC!$L$9="Có"))),"Có","Không"))</f>
        <v/>
      </c>
      <c r="U432" s="22">
        <f>IF(OR($D432="",$T432="Có"),"",IF($C432="","Thiếu họ tên; ","")&amp;IF($S432&lt;&gt;"Có","SĐT sai định dạng; ","")&amp;IF($R432="Trùng","Trùng SĐT; ","")&amp;IF($Q432&lt;&gt;"Có","Thiếu đồng ý bắt buộc; ","")&amp;IF($L432="","Thiếu/sai Mã REF; ",IF(AND($L432="Chưa xác định",DANH_MUC!$L$9&lt;&gt;"Có"),"Nguồn chưa xác định; ","")))</f>
        <v/>
      </c>
      <c r="V432" s="22">
        <f>IF(OR($D432="",$R432="Trùng"),"",IF(COUNTIF(ORDERS!$C$2:$C$4995,$D432)&gt;0,"Có","Không"))</f>
        <v/>
      </c>
      <c r="W432" s="22">
        <f>IF(OR($D432="",$R432="Trùng"),"",COUNTIFS(ORDERS!$C$2:$C$4995,$D432,ORDERS!$L$2:$L$4995,"Đã chuyển khoản"))</f>
        <v/>
      </c>
      <c r="X432" s="23">
        <f>IF(OR($D432="",$R432="Trùng"),"",SUMIFS(ORDERS!$J$2:$J$4995,ORDERS!$C$2:$C$4995,$D432,ORDERS!$L$2:$L$4995,"Đã chuyển khoản"))</f>
        <v/>
      </c>
      <c r="Y432" s="24" t="n"/>
    </row>
    <row r="433" ht="14.25" customHeight="1" s="40">
      <c r="A433" s="24" t="n"/>
      <c r="B433" s="27" t="n"/>
      <c r="C433" s="24" t="n"/>
      <c r="D433" s="28" t="n"/>
      <c r="E433" s="29" t="n"/>
      <c r="F433" s="24" t="n"/>
      <c r="G433" s="24" t="n"/>
      <c r="H433" s="21">
        <f>IF(ISNUMBER($B433),INT($B433)-WEEKDAY($B433,2)+1,"")</f>
        <v/>
      </c>
      <c r="I433" s="24" t="n"/>
      <c r="J433" s="22">
        <f t="array" ref="J433">IF($D433="","",IF($I433="","(trống REF)",IFERROR(INDEX(MASTER_SOURCE!$B$2:$B$495,MATCH($I433,MASTER_SOURCE!$A$2:$A$495,0)),"(REF không có trong MASTER_SOURCE)")))</f>
        <v/>
      </c>
      <c r="K433" s="22">
        <f t="array" ref="K433">IF($D433="","",IFERROR(INDEX(MASTER_SOURCE!$C$2:$C$495,MATCH($I433,MASTER_SOURCE!$A$2:$A$495,0)),""))</f>
        <v/>
      </c>
      <c r="L433" s="22">
        <f t="array" ref="L433">IF($D433="","",IFERROR(INDEX(MASTER_SOURCE!$D$2:$D$495,MATCH($I433,MASTER_SOURCE!$A$2:$A$495,0)),""))</f>
        <v/>
      </c>
      <c r="M433" s="24" t="n"/>
      <c r="N433" s="24" t="n"/>
      <c r="O433" s="24" t="n"/>
      <c r="P433" s="24" t="n"/>
      <c r="Q433" s="22">
        <f>IF($D433="","",IF(AND(OR(DANH_MUC!$L$5&lt;&gt;"Có",M433="Có"),OR(DANH_MUC!$L$6&lt;&gt;"Có",N433="Có"),OR(DANH_MUC!$L$7&lt;&gt;"Có",O433="Có"),OR(DANH_MUC!$L$8&lt;&gt;"Có",P433="Có")),"Có","Không"))</f>
        <v/>
      </c>
      <c r="R433" s="22">
        <f>IF($D433="","",IF(COUNTIF($D$2:$D433,$D433)&gt;1,"Trùng",""))</f>
        <v/>
      </c>
      <c r="S433" s="22">
        <f>IF($D433="","",IF(AND(LEN($D433)=10,LEFT($D433,1)="0",ISNUMBER(--$D433)),"Có","Không"))</f>
        <v/>
      </c>
      <c r="T433" s="22">
        <f>IF($D433="","",IF(AND($C433&lt;&gt;"",$Q433="Có",$R433="",$S433="Có",AND($L433&lt;&gt;"",OR($L433&lt;&gt;"Chưa xác định",DANH_MUC!$L$9="Có"))),"Có","Không"))</f>
        <v/>
      </c>
      <c r="U433" s="22">
        <f>IF(OR($D433="",$T433="Có"),"",IF($C433="","Thiếu họ tên; ","")&amp;IF($S433&lt;&gt;"Có","SĐT sai định dạng; ","")&amp;IF($R433="Trùng","Trùng SĐT; ","")&amp;IF($Q433&lt;&gt;"Có","Thiếu đồng ý bắt buộc; ","")&amp;IF($L433="","Thiếu/sai Mã REF; ",IF(AND($L433="Chưa xác định",DANH_MUC!$L$9&lt;&gt;"Có"),"Nguồn chưa xác định; ","")))</f>
        <v/>
      </c>
      <c r="V433" s="22">
        <f>IF(OR($D433="",$R433="Trùng"),"",IF(COUNTIF(ORDERS!$C$2:$C$4995,$D433)&gt;0,"Có","Không"))</f>
        <v/>
      </c>
      <c r="W433" s="22">
        <f>IF(OR($D433="",$R433="Trùng"),"",COUNTIFS(ORDERS!$C$2:$C$4995,$D433,ORDERS!$L$2:$L$4995,"Đã chuyển khoản"))</f>
        <v/>
      </c>
      <c r="X433" s="23">
        <f>IF(OR($D433="",$R433="Trùng"),"",SUMIFS(ORDERS!$J$2:$J$4995,ORDERS!$C$2:$C$4995,$D433,ORDERS!$L$2:$L$4995,"Đã chuyển khoản"))</f>
        <v/>
      </c>
      <c r="Y433" s="24" t="n"/>
    </row>
    <row r="434" ht="14.25" customHeight="1" s="40">
      <c r="A434" s="24" t="n"/>
      <c r="B434" s="27" t="n"/>
      <c r="C434" s="24" t="n"/>
      <c r="D434" s="28" t="n"/>
      <c r="E434" s="29" t="n"/>
      <c r="F434" s="24" t="n"/>
      <c r="G434" s="24" t="n"/>
      <c r="H434" s="21">
        <f>IF(ISNUMBER($B434),INT($B434)-WEEKDAY($B434,2)+1,"")</f>
        <v/>
      </c>
      <c r="I434" s="24" t="n"/>
      <c r="J434" s="22">
        <f t="array" ref="J434">IF($D434="","",IF($I434="","(trống REF)",IFERROR(INDEX(MASTER_SOURCE!$B$2:$B$495,MATCH($I434,MASTER_SOURCE!$A$2:$A$495,0)),"(REF không có trong MASTER_SOURCE)")))</f>
        <v/>
      </c>
      <c r="K434" s="22">
        <f t="array" ref="K434">IF($D434="","",IFERROR(INDEX(MASTER_SOURCE!$C$2:$C$495,MATCH($I434,MASTER_SOURCE!$A$2:$A$495,0)),""))</f>
        <v/>
      </c>
      <c r="L434" s="22">
        <f t="array" ref="L434">IF($D434="","",IFERROR(INDEX(MASTER_SOURCE!$D$2:$D$495,MATCH($I434,MASTER_SOURCE!$A$2:$A$495,0)),""))</f>
        <v/>
      </c>
      <c r="M434" s="24" t="n"/>
      <c r="N434" s="24" t="n"/>
      <c r="O434" s="24" t="n"/>
      <c r="P434" s="24" t="n"/>
      <c r="Q434" s="22">
        <f>IF($D434="","",IF(AND(OR(DANH_MUC!$L$5&lt;&gt;"Có",M434="Có"),OR(DANH_MUC!$L$6&lt;&gt;"Có",N434="Có"),OR(DANH_MUC!$L$7&lt;&gt;"Có",O434="Có"),OR(DANH_MUC!$L$8&lt;&gt;"Có",P434="Có")),"Có","Không"))</f>
        <v/>
      </c>
      <c r="R434" s="22">
        <f>IF($D434="","",IF(COUNTIF($D$2:$D434,$D434)&gt;1,"Trùng",""))</f>
        <v/>
      </c>
      <c r="S434" s="22">
        <f>IF($D434="","",IF(AND(LEN($D434)=10,LEFT($D434,1)="0",ISNUMBER(--$D434)),"Có","Không"))</f>
        <v/>
      </c>
      <c r="T434" s="22">
        <f>IF($D434="","",IF(AND($C434&lt;&gt;"",$Q434="Có",$R434="",$S434="Có",AND($L434&lt;&gt;"",OR($L434&lt;&gt;"Chưa xác định",DANH_MUC!$L$9="Có"))),"Có","Không"))</f>
        <v/>
      </c>
      <c r="U434" s="22">
        <f>IF(OR($D434="",$T434="Có"),"",IF($C434="","Thiếu họ tên; ","")&amp;IF($S434&lt;&gt;"Có","SĐT sai định dạng; ","")&amp;IF($R434="Trùng","Trùng SĐT; ","")&amp;IF($Q434&lt;&gt;"Có","Thiếu đồng ý bắt buộc; ","")&amp;IF($L434="","Thiếu/sai Mã REF; ",IF(AND($L434="Chưa xác định",DANH_MUC!$L$9&lt;&gt;"Có"),"Nguồn chưa xác định; ","")))</f>
        <v/>
      </c>
      <c r="V434" s="22">
        <f>IF(OR($D434="",$R434="Trùng"),"",IF(COUNTIF(ORDERS!$C$2:$C$4995,$D434)&gt;0,"Có","Không"))</f>
        <v/>
      </c>
      <c r="W434" s="22">
        <f>IF(OR($D434="",$R434="Trùng"),"",COUNTIFS(ORDERS!$C$2:$C$4995,$D434,ORDERS!$L$2:$L$4995,"Đã chuyển khoản"))</f>
        <v/>
      </c>
      <c r="X434" s="23">
        <f>IF(OR($D434="",$R434="Trùng"),"",SUMIFS(ORDERS!$J$2:$J$4995,ORDERS!$C$2:$C$4995,$D434,ORDERS!$L$2:$L$4995,"Đã chuyển khoản"))</f>
        <v/>
      </c>
      <c r="Y434" s="24" t="n"/>
    </row>
    <row r="435" ht="14.25" customHeight="1" s="40">
      <c r="A435" s="24" t="n"/>
      <c r="B435" s="27" t="n"/>
      <c r="C435" s="24" t="n"/>
      <c r="D435" s="28" t="n"/>
      <c r="E435" s="29" t="n"/>
      <c r="F435" s="24" t="n"/>
      <c r="G435" s="24" t="n"/>
      <c r="H435" s="21">
        <f>IF(ISNUMBER($B435),INT($B435)-WEEKDAY($B435,2)+1,"")</f>
        <v/>
      </c>
      <c r="I435" s="24" t="n"/>
      <c r="J435" s="22">
        <f t="array" ref="J435">IF($D435="","",IF($I435="","(trống REF)",IFERROR(INDEX(MASTER_SOURCE!$B$2:$B$495,MATCH($I435,MASTER_SOURCE!$A$2:$A$495,0)),"(REF không có trong MASTER_SOURCE)")))</f>
        <v/>
      </c>
      <c r="K435" s="22">
        <f t="array" ref="K435">IF($D435="","",IFERROR(INDEX(MASTER_SOURCE!$C$2:$C$495,MATCH($I435,MASTER_SOURCE!$A$2:$A$495,0)),""))</f>
        <v/>
      </c>
      <c r="L435" s="22">
        <f t="array" ref="L435">IF($D435="","",IFERROR(INDEX(MASTER_SOURCE!$D$2:$D$495,MATCH($I435,MASTER_SOURCE!$A$2:$A$495,0)),""))</f>
        <v/>
      </c>
      <c r="M435" s="24" t="n"/>
      <c r="N435" s="24" t="n"/>
      <c r="O435" s="24" t="n"/>
      <c r="P435" s="24" t="n"/>
      <c r="Q435" s="22">
        <f>IF($D435="","",IF(AND(OR(DANH_MUC!$L$5&lt;&gt;"Có",M435="Có"),OR(DANH_MUC!$L$6&lt;&gt;"Có",N435="Có"),OR(DANH_MUC!$L$7&lt;&gt;"Có",O435="Có"),OR(DANH_MUC!$L$8&lt;&gt;"Có",P435="Có")),"Có","Không"))</f>
        <v/>
      </c>
      <c r="R435" s="22">
        <f>IF($D435="","",IF(COUNTIF($D$2:$D435,$D435)&gt;1,"Trùng",""))</f>
        <v/>
      </c>
      <c r="S435" s="22">
        <f>IF($D435="","",IF(AND(LEN($D435)=10,LEFT($D435,1)="0",ISNUMBER(--$D435)),"Có","Không"))</f>
        <v/>
      </c>
      <c r="T435" s="22">
        <f>IF($D435="","",IF(AND($C435&lt;&gt;"",$Q435="Có",$R435="",$S435="Có",AND($L435&lt;&gt;"",OR($L435&lt;&gt;"Chưa xác định",DANH_MUC!$L$9="Có"))),"Có","Không"))</f>
        <v/>
      </c>
      <c r="U435" s="22">
        <f>IF(OR($D435="",$T435="Có"),"",IF($C435="","Thiếu họ tên; ","")&amp;IF($S435&lt;&gt;"Có","SĐT sai định dạng; ","")&amp;IF($R435="Trùng","Trùng SĐT; ","")&amp;IF($Q435&lt;&gt;"Có","Thiếu đồng ý bắt buộc; ","")&amp;IF($L435="","Thiếu/sai Mã REF; ",IF(AND($L435="Chưa xác định",DANH_MUC!$L$9&lt;&gt;"Có"),"Nguồn chưa xác định; ","")))</f>
        <v/>
      </c>
      <c r="V435" s="22">
        <f>IF(OR($D435="",$R435="Trùng"),"",IF(COUNTIF(ORDERS!$C$2:$C$4995,$D435)&gt;0,"Có","Không"))</f>
        <v/>
      </c>
      <c r="W435" s="22">
        <f>IF(OR($D435="",$R435="Trùng"),"",COUNTIFS(ORDERS!$C$2:$C$4995,$D435,ORDERS!$L$2:$L$4995,"Đã chuyển khoản"))</f>
        <v/>
      </c>
      <c r="X435" s="23">
        <f>IF(OR($D435="",$R435="Trùng"),"",SUMIFS(ORDERS!$J$2:$J$4995,ORDERS!$C$2:$C$4995,$D435,ORDERS!$L$2:$L$4995,"Đã chuyển khoản"))</f>
        <v/>
      </c>
      <c r="Y435" s="24" t="n"/>
    </row>
    <row r="436" ht="14.25" customHeight="1" s="40">
      <c r="A436" s="24" t="n"/>
      <c r="B436" s="27" t="n"/>
      <c r="C436" s="24" t="n"/>
      <c r="D436" s="28" t="n"/>
      <c r="E436" s="29" t="n"/>
      <c r="F436" s="24" t="n"/>
      <c r="G436" s="24" t="n"/>
      <c r="H436" s="21">
        <f>IF(ISNUMBER($B436),INT($B436)-WEEKDAY($B436,2)+1,"")</f>
        <v/>
      </c>
      <c r="I436" s="24" t="n"/>
      <c r="J436" s="22">
        <f t="array" ref="J436">IF($D436="","",IF($I436="","(trống REF)",IFERROR(INDEX(MASTER_SOURCE!$B$2:$B$495,MATCH($I436,MASTER_SOURCE!$A$2:$A$495,0)),"(REF không có trong MASTER_SOURCE)")))</f>
        <v/>
      </c>
      <c r="K436" s="22">
        <f t="array" ref="K436">IF($D436="","",IFERROR(INDEX(MASTER_SOURCE!$C$2:$C$495,MATCH($I436,MASTER_SOURCE!$A$2:$A$495,0)),""))</f>
        <v/>
      </c>
      <c r="L436" s="22">
        <f t="array" ref="L436">IF($D436="","",IFERROR(INDEX(MASTER_SOURCE!$D$2:$D$495,MATCH($I436,MASTER_SOURCE!$A$2:$A$495,0)),""))</f>
        <v/>
      </c>
      <c r="M436" s="24" t="n"/>
      <c r="N436" s="24" t="n"/>
      <c r="O436" s="24" t="n"/>
      <c r="P436" s="24" t="n"/>
      <c r="Q436" s="22">
        <f>IF($D436="","",IF(AND(OR(DANH_MUC!$L$5&lt;&gt;"Có",M436="Có"),OR(DANH_MUC!$L$6&lt;&gt;"Có",N436="Có"),OR(DANH_MUC!$L$7&lt;&gt;"Có",O436="Có"),OR(DANH_MUC!$L$8&lt;&gt;"Có",P436="Có")),"Có","Không"))</f>
        <v/>
      </c>
      <c r="R436" s="22">
        <f>IF($D436="","",IF(COUNTIF($D$2:$D436,$D436)&gt;1,"Trùng",""))</f>
        <v/>
      </c>
      <c r="S436" s="22">
        <f>IF($D436="","",IF(AND(LEN($D436)=10,LEFT($D436,1)="0",ISNUMBER(--$D436)),"Có","Không"))</f>
        <v/>
      </c>
      <c r="T436" s="22">
        <f>IF($D436="","",IF(AND($C436&lt;&gt;"",$Q436="Có",$R436="",$S436="Có",AND($L436&lt;&gt;"",OR($L436&lt;&gt;"Chưa xác định",DANH_MUC!$L$9="Có"))),"Có","Không"))</f>
        <v/>
      </c>
      <c r="U436" s="22">
        <f>IF(OR($D436="",$T436="Có"),"",IF($C436="","Thiếu họ tên; ","")&amp;IF($S436&lt;&gt;"Có","SĐT sai định dạng; ","")&amp;IF($R436="Trùng","Trùng SĐT; ","")&amp;IF($Q436&lt;&gt;"Có","Thiếu đồng ý bắt buộc; ","")&amp;IF($L436="","Thiếu/sai Mã REF; ",IF(AND($L436="Chưa xác định",DANH_MUC!$L$9&lt;&gt;"Có"),"Nguồn chưa xác định; ","")))</f>
        <v/>
      </c>
      <c r="V436" s="22">
        <f>IF(OR($D436="",$R436="Trùng"),"",IF(COUNTIF(ORDERS!$C$2:$C$4995,$D436)&gt;0,"Có","Không"))</f>
        <v/>
      </c>
      <c r="W436" s="22">
        <f>IF(OR($D436="",$R436="Trùng"),"",COUNTIFS(ORDERS!$C$2:$C$4995,$D436,ORDERS!$L$2:$L$4995,"Đã chuyển khoản"))</f>
        <v/>
      </c>
      <c r="X436" s="23">
        <f>IF(OR($D436="",$R436="Trùng"),"",SUMIFS(ORDERS!$J$2:$J$4995,ORDERS!$C$2:$C$4995,$D436,ORDERS!$L$2:$L$4995,"Đã chuyển khoản"))</f>
        <v/>
      </c>
      <c r="Y436" s="24" t="n"/>
    </row>
    <row r="437" ht="14.25" customHeight="1" s="40">
      <c r="A437" s="24" t="n"/>
      <c r="B437" s="27" t="n"/>
      <c r="C437" s="24" t="n"/>
      <c r="D437" s="28" t="n"/>
      <c r="E437" s="29" t="n"/>
      <c r="F437" s="24" t="n"/>
      <c r="G437" s="24" t="n"/>
      <c r="H437" s="21">
        <f>IF(ISNUMBER($B437),INT($B437)-WEEKDAY($B437,2)+1,"")</f>
        <v/>
      </c>
      <c r="I437" s="24" t="n"/>
      <c r="J437" s="22">
        <f t="array" ref="J437">IF($D437="","",IF($I437="","(trống REF)",IFERROR(INDEX(MASTER_SOURCE!$B$2:$B$495,MATCH($I437,MASTER_SOURCE!$A$2:$A$495,0)),"(REF không có trong MASTER_SOURCE)")))</f>
        <v/>
      </c>
      <c r="K437" s="22">
        <f t="array" ref="K437">IF($D437="","",IFERROR(INDEX(MASTER_SOURCE!$C$2:$C$495,MATCH($I437,MASTER_SOURCE!$A$2:$A$495,0)),""))</f>
        <v/>
      </c>
      <c r="L437" s="22">
        <f t="array" ref="L437">IF($D437="","",IFERROR(INDEX(MASTER_SOURCE!$D$2:$D$495,MATCH($I437,MASTER_SOURCE!$A$2:$A$495,0)),""))</f>
        <v/>
      </c>
      <c r="M437" s="24" t="n"/>
      <c r="N437" s="24" t="n"/>
      <c r="O437" s="24" t="n"/>
      <c r="P437" s="24" t="n"/>
      <c r="Q437" s="22">
        <f>IF($D437="","",IF(AND(OR(DANH_MUC!$L$5&lt;&gt;"Có",M437="Có"),OR(DANH_MUC!$L$6&lt;&gt;"Có",N437="Có"),OR(DANH_MUC!$L$7&lt;&gt;"Có",O437="Có"),OR(DANH_MUC!$L$8&lt;&gt;"Có",P437="Có")),"Có","Không"))</f>
        <v/>
      </c>
      <c r="R437" s="22">
        <f>IF($D437="","",IF(COUNTIF($D$2:$D437,$D437)&gt;1,"Trùng",""))</f>
        <v/>
      </c>
      <c r="S437" s="22">
        <f>IF($D437="","",IF(AND(LEN($D437)=10,LEFT($D437,1)="0",ISNUMBER(--$D437)),"Có","Không"))</f>
        <v/>
      </c>
      <c r="T437" s="22">
        <f>IF($D437="","",IF(AND($C437&lt;&gt;"",$Q437="Có",$R437="",$S437="Có",AND($L437&lt;&gt;"",OR($L437&lt;&gt;"Chưa xác định",DANH_MUC!$L$9="Có"))),"Có","Không"))</f>
        <v/>
      </c>
      <c r="U437" s="22">
        <f>IF(OR($D437="",$T437="Có"),"",IF($C437="","Thiếu họ tên; ","")&amp;IF($S437&lt;&gt;"Có","SĐT sai định dạng; ","")&amp;IF($R437="Trùng","Trùng SĐT; ","")&amp;IF($Q437&lt;&gt;"Có","Thiếu đồng ý bắt buộc; ","")&amp;IF($L437="","Thiếu/sai Mã REF; ",IF(AND($L437="Chưa xác định",DANH_MUC!$L$9&lt;&gt;"Có"),"Nguồn chưa xác định; ","")))</f>
        <v/>
      </c>
      <c r="V437" s="22">
        <f>IF(OR($D437="",$R437="Trùng"),"",IF(COUNTIF(ORDERS!$C$2:$C$4995,$D437)&gt;0,"Có","Không"))</f>
        <v/>
      </c>
      <c r="W437" s="22">
        <f>IF(OR($D437="",$R437="Trùng"),"",COUNTIFS(ORDERS!$C$2:$C$4995,$D437,ORDERS!$L$2:$L$4995,"Đã chuyển khoản"))</f>
        <v/>
      </c>
      <c r="X437" s="23">
        <f>IF(OR($D437="",$R437="Trùng"),"",SUMIFS(ORDERS!$J$2:$J$4995,ORDERS!$C$2:$C$4995,$D437,ORDERS!$L$2:$L$4995,"Đã chuyển khoản"))</f>
        <v/>
      </c>
      <c r="Y437" s="24" t="n"/>
    </row>
    <row r="438" ht="14.25" customHeight="1" s="40">
      <c r="A438" s="24" t="n"/>
      <c r="B438" s="27" t="n"/>
      <c r="C438" s="24" t="n"/>
      <c r="D438" s="28" t="n"/>
      <c r="E438" s="29" t="n"/>
      <c r="F438" s="24" t="n"/>
      <c r="G438" s="24" t="n"/>
      <c r="H438" s="21">
        <f>IF(ISNUMBER($B438),INT($B438)-WEEKDAY($B438,2)+1,"")</f>
        <v/>
      </c>
      <c r="I438" s="24" t="n"/>
      <c r="J438" s="22">
        <f t="array" ref="J438">IF($D438="","",IF($I438="","(trống REF)",IFERROR(INDEX(MASTER_SOURCE!$B$2:$B$495,MATCH($I438,MASTER_SOURCE!$A$2:$A$495,0)),"(REF không có trong MASTER_SOURCE)")))</f>
        <v/>
      </c>
      <c r="K438" s="22">
        <f t="array" ref="K438">IF($D438="","",IFERROR(INDEX(MASTER_SOURCE!$C$2:$C$495,MATCH($I438,MASTER_SOURCE!$A$2:$A$495,0)),""))</f>
        <v/>
      </c>
      <c r="L438" s="22">
        <f t="array" ref="L438">IF($D438="","",IFERROR(INDEX(MASTER_SOURCE!$D$2:$D$495,MATCH($I438,MASTER_SOURCE!$A$2:$A$495,0)),""))</f>
        <v/>
      </c>
      <c r="M438" s="24" t="n"/>
      <c r="N438" s="24" t="n"/>
      <c r="O438" s="24" t="n"/>
      <c r="P438" s="24" t="n"/>
      <c r="Q438" s="22">
        <f>IF($D438="","",IF(AND(OR(DANH_MUC!$L$5&lt;&gt;"Có",M438="Có"),OR(DANH_MUC!$L$6&lt;&gt;"Có",N438="Có"),OR(DANH_MUC!$L$7&lt;&gt;"Có",O438="Có"),OR(DANH_MUC!$L$8&lt;&gt;"Có",P438="Có")),"Có","Không"))</f>
        <v/>
      </c>
      <c r="R438" s="22">
        <f>IF($D438="","",IF(COUNTIF($D$2:$D438,$D438)&gt;1,"Trùng",""))</f>
        <v/>
      </c>
      <c r="S438" s="22">
        <f>IF($D438="","",IF(AND(LEN($D438)=10,LEFT($D438,1)="0",ISNUMBER(--$D438)),"Có","Không"))</f>
        <v/>
      </c>
      <c r="T438" s="22">
        <f>IF($D438="","",IF(AND($C438&lt;&gt;"",$Q438="Có",$R438="",$S438="Có",AND($L438&lt;&gt;"",OR($L438&lt;&gt;"Chưa xác định",DANH_MUC!$L$9="Có"))),"Có","Không"))</f>
        <v/>
      </c>
      <c r="U438" s="22">
        <f>IF(OR($D438="",$T438="Có"),"",IF($C438="","Thiếu họ tên; ","")&amp;IF($S438&lt;&gt;"Có","SĐT sai định dạng; ","")&amp;IF($R438="Trùng","Trùng SĐT; ","")&amp;IF($Q438&lt;&gt;"Có","Thiếu đồng ý bắt buộc; ","")&amp;IF($L438="","Thiếu/sai Mã REF; ",IF(AND($L438="Chưa xác định",DANH_MUC!$L$9&lt;&gt;"Có"),"Nguồn chưa xác định; ","")))</f>
        <v/>
      </c>
      <c r="V438" s="22">
        <f>IF(OR($D438="",$R438="Trùng"),"",IF(COUNTIF(ORDERS!$C$2:$C$4995,$D438)&gt;0,"Có","Không"))</f>
        <v/>
      </c>
      <c r="W438" s="22">
        <f>IF(OR($D438="",$R438="Trùng"),"",COUNTIFS(ORDERS!$C$2:$C$4995,$D438,ORDERS!$L$2:$L$4995,"Đã chuyển khoản"))</f>
        <v/>
      </c>
      <c r="X438" s="23">
        <f>IF(OR($D438="",$R438="Trùng"),"",SUMIFS(ORDERS!$J$2:$J$4995,ORDERS!$C$2:$C$4995,$D438,ORDERS!$L$2:$L$4995,"Đã chuyển khoản"))</f>
        <v/>
      </c>
      <c r="Y438" s="24" t="n"/>
    </row>
    <row r="439" ht="14.25" customHeight="1" s="40">
      <c r="A439" s="24" t="n"/>
      <c r="B439" s="27" t="n"/>
      <c r="C439" s="24" t="n"/>
      <c r="D439" s="28" t="n"/>
      <c r="E439" s="29" t="n"/>
      <c r="F439" s="24" t="n"/>
      <c r="G439" s="24" t="n"/>
      <c r="H439" s="21">
        <f>IF(ISNUMBER($B439),INT($B439)-WEEKDAY($B439,2)+1,"")</f>
        <v/>
      </c>
      <c r="I439" s="24" t="n"/>
      <c r="J439" s="22">
        <f t="array" ref="J439">IF($D439="","",IF($I439="","(trống REF)",IFERROR(INDEX(MASTER_SOURCE!$B$2:$B$495,MATCH($I439,MASTER_SOURCE!$A$2:$A$495,0)),"(REF không có trong MASTER_SOURCE)")))</f>
        <v/>
      </c>
      <c r="K439" s="22">
        <f t="array" ref="K439">IF($D439="","",IFERROR(INDEX(MASTER_SOURCE!$C$2:$C$495,MATCH($I439,MASTER_SOURCE!$A$2:$A$495,0)),""))</f>
        <v/>
      </c>
      <c r="L439" s="22">
        <f t="array" ref="L439">IF($D439="","",IFERROR(INDEX(MASTER_SOURCE!$D$2:$D$495,MATCH($I439,MASTER_SOURCE!$A$2:$A$495,0)),""))</f>
        <v/>
      </c>
      <c r="M439" s="24" t="n"/>
      <c r="N439" s="24" t="n"/>
      <c r="O439" s="24" t="n"/>
      <c r="P439" s="24" t="n"/>
      <c r="Q439" s="22">
        <f>IF($D439="","",IF(AND(OR(DANH_MUC!$L$5&lt;&gt;"Có",M439="Có"),OR(DANH_MUC!$L$6&lt;&gt;"Có",N439="Có"),OR(DANH_MUC!$L$7&lt;&gt;"Có",O439="Có"),OR(DANH_MUC!$L$8&lt;&gt;"Có",P439="Có")),"Có","Không"))</f>
        <v/>
      </c>
      <c r="R439" s="22">
        <f>IF($D439="","",IF(COUNTIF($D$2:$D439,$D439)&gt;1,"Trùng",""))</f>
        <v/>
      </c>
      <c r="S439" s="22">
        <f>IF($D439="","",IF(AND(LEN($D439)=10,LEFT($D439,1)="0",ISNUMBER(--$D439)),"Có","Không"))</f>
        <v/>
      </c>
      <c r="T439" s="22">
        <f>IF($D439="","",IF(AND($C439&lt;&gt;"",$Q439="Có",$R439="",$S439="Có",AND($L439&lt;&gt;"",OR($L439&lt;&gt;"Chưa xác định",DANH_MUC!$L$9="Có"))),"Có","Không"))</f>
        <v/>
      </c>
      <c r="U439" s="22">
        <f>IF(OR($D439="",$T439="Có"),"",IF($C439="","Thiếu họ tên; ","")&amp;IF($S439&lt;&gt;"Có","SĐT sai định dạng; ","")&amp;IF($R439="Trùng","Trùng SĐT; ","")&amp;IF($Q439&lt;&gt;"Có","Thiếu đồng ý bắt buộc; ","")&amp;IF($L439="","Thiếu/sai Mã REF; ",IF(AND($L439="Chưa xác định",DANH_MUC!$L$9&lt;&gt;"Có"),"Nguồn chưa xác định; ","")))</f>
        <v/>
      </c>
      <c r="V439" s="22">
        <f>IF(OR($D439="",$R439="Trùng"),"",IF(COUNTIF(ORDERS!$C$2:$C$4995,$D439)&gt;0,"Có","Không"))</f>
        <v/>
      </c>
      <c r="W439" s="22">
        <f>IF(OR($D439="",$R439="Trùng"),"",COUNTIFS(ORDERS!$C$2:$C$4995,$D439,ORDERS!$L$2:$L$4995,"Đã chuyển khoản"))</f>
        <v/>
      </c>
      <c r="X439" s="23">
        <f>IF(OR($D439="",$R439="Trùng"),"",SUMIFS(ORDERS!$J$2:$J$4995,ORDERS!$C$2:$C$4995,$D439,ORDERS!$L$2:$L$4995,"Đã chuyển khoản"))</f>
        <v/>
      </c>
      <c r="Y439" s="24" t="n"/>
    </row>
    <row r="440" ht="14.25" customHeight="1" s="40">
      <c r="A440" s="24" t="n"/>
      <c r="B440" s="27" t="n"/>
      <c r="C440" s="24" t="n"/>
      <c r="D440" s="28" t="n"/>
      <c r="E440" s="29" t="n"/>
      <c r="F440" s="24" t="n"/>
      <c r="G440" s="24" t="n"/>
      <c r="H440" s="21">
        <f>IF(ISNUMBER($B440),INT($B440)-WEEKDAY($B440,2)+1,"")</f>
        <v/>
      </c>
      <c r="I440" s="24" t="n"/>
      <c r="J440" s="22">
        <f t="array" ref="J440">IF($D440="","",IF($I440="","(trống REF)",IFERROR(INDEX(MASTER_SOURCE!$B$2:$B$495,MATCH($I440,MASTER_SOURCE!$A$2:$A$495,0)),"(REF không có trong MASTER_SOURCE)")))</f>
        <v/>
      </c>
      <c r="K440" s="22">
        <f t="array" ref="K440">IF($D440="","",IFERROR(INDEX(MASTER_SOURCE!$C$2:$C$495,MATCH($I440,MASTER_SOURCE!$A$2:$A$495,0)),""))</f>
        <v/>
      </c>
      <c r="L440" s="22">
        <f t="array" ref="L440">IF($D440="","",IFERROR(INDEX(MASTER_SOURCE!$D$2:$D$495,MATCH($I440,MASTER_SOURCE!$A$2:$A$495,0)),""))</f>
        <v/>
      </c>
      <c r="M440" s="24" t="n"/>
      <c r="N440" s="24" t="n"/>
      <c r="O440" s="24" t="n"/>
      <c r="P440" s="24" t="n"/>
      <c r="Q440" s="22">
        <f>IF($D440="","",IF(AND(OR(DANH_MUC!$L$5&lt;&gt;"Có",M440="Có"),OR(DANH_MUC!$L$6&lt;&gt;"Có",N440="Có"),OR(DANH_MUC!$L$7&lt;&gt;"Có",O440="Có"),OR(DANH_MUC!$L$8&lt;&gt;"Có",P440="Có")),"Có","Không"))</f>
        <v/>
      </c>
      <c r="R440" s="22">
        <f>IF($D440="","",IF(COUNTIF($D$2:$D440,$D440)&gt;1,"Trùng",""))</f>
        <v/>
      </c>
      <c r="S440" s="22">
        <f>IF($D440="","",IF(AND(LEN($D440)=10,LEFT($D440,1)="0",ISNUMBER(--$D440)),"Có","Không"))</f>
        <v/>
      </c>
      <c r="T440" s="22">
        <f>IF($D440="","",IF(AND($C440&lt;&gt;"",$Q440="Có",$R440="",$S440="Có",AND($L440&lt;&gt;"",OR($L440&lt;&gt;"Chưa xác định",DANH_MUC!$L$9="Có"))),"Có","Không"))</f>
        <v/>
      </c>
      <c r="U440" s="22">
        <f>IF(OR($D440="",$T440="Có"),"",IF($C440="","Thiếu họ tên; ","")&amp;IF($S440&lt;&gt;"Có","SĐT sai định dạng; ","")&amp;IF($R440="Trùng","Trùng SĐT; ","")&amp;IF($Q440&lt;&gt;"Có","Thiếu đồng ý bắt buộc; ","")&amp;IF($L440="","Thiếu/sai Mã REF; ",IF(AND($L440="Chưa xác định",DANH_MUC!$L$9&lt;&gt;"Có"),"Nguồn chưa xác định; ","")))</f>
        <v/>
      </c>
      <c r="V440" s="22">
        <f>IF(OR($D440="",$R440="Trùng"),"",IF(COUNTIF(ORDERS!$C$2:$C$4995,$D440)&gt;0,"Có","Không"))</f>
        <v/>
      </c>
      <c r="W440" s="22">
        <f>IF(OR($D440="",$R440="Trùng"),"",COUNTIFS(ORDERS!$C$2:$C$4995,$D440,ORDERS!$L$2:$L$4995,"Đã chuyển khoản"))</f>
        <v/>
      </c>
      <c r="X440" s="23">
        <f>IF(OR($D440="",$R440="Trùng"),"",SUMIFS(ORDERS!$J$2:$J$4995,ORDERS!$C$2:$C$4995,$D440,ORDERS!$L$2:$L$4995,"Đã chuyển khoản"))</f>
        <v/>
      </c>
      <c r="Y440" s="24" t="n"/>
    </row>
    <row r="441" ht="14.25" customHeight="1" s="40">
      <c r="A441" s="24" t="n"/>
      <c r="B441" s="27" t="n"/>
      <c r="C441" s="24" t="n"/>
      <c r="D441" s="28" t="n"/>
      <c r="E441" s="29" t="n"/>
      <c r="F441" s="24" t="n"/>
      <c r="G441" s="24" t="n"/>
      <c r="H441" s="21">
        <f>IF(ISNUMBER($B441),INT($B441)-WEEKDAY($B441,2)+1,"")</f>
        <v/>
      </c>
      <c r="I441" s="24" t="n"/>
      <c r="J441" s="22">
        <f t="array" ref="J441">IF($D441="","",IF($I441="","(trống REF)",IFERROR(INDEX(MASTER_SOURCE!$B$2:$B$495,MATCH($I441,MASTER_SOURCE!$A$2:$A$495,0)),"(REF không có trong MASTER_SOURCE)")))</f>
        <v/>
      </c>
      <c r="K441" s="22">
        <f t="array" ref="K441">IF($D441="","",IFERROR(INDEX(MASTER_SOURCE!$C$2:$C$495,MATCH($I441,MASTER_SOURCE!$A$2:$A$495,0)),""))</f>
        <v/>
      </c>
      <c r="L441" s="22">
        <f t="array" ref="L441">IF($D441="","",IFERROR(INDEX(MASTER_SOURCE!$D$2:$D$495,MATCH($I441,MASTER_SOURCE!$A$2:$A$495,0)),""))</f>
        <v/>
      </c>
      <c r="M441" s="24" t="n"/>
      <c r="N441" s="24" t="n"/>
      <c r="O441" s="24" t="n"/>
      <c r="P441" s="24" t="n"/>
      <c r="Q441" s="22">
        <f>IF($D441="","",IF(AND(OR(DANH_MUC!$L$5&lt;&gt;"Có",M441="Có"),OR(DANH_MUC!$L$6&lt;&gt;"Có",N441="Có"),OR(DANH_MUC!$L$7&lt;&gt;"Có",O441="Có"),OR(DANH_MUC!$L$8&lt;&gt;"Có",P441="Có")),"Có","Không"))</f>
        <v/>
      </c>
      <c r="R441" s="22">
        <f>IF($D441="","",IF(COUNTIF($D$2:$D441,$D441)&gt;1,"Trùng",""))</f>
        <v/>
      </c>
      <c r="S441" s="22">
        <f>IF($D441="","",IF(AND(LEN($D441)=10,LEFT($D441,1)="0",ISNUMBER(--$D441)),"Có","Không"))</f>
        <v/>
      </c>
      <c r="T441" s="22">
        <f>IF($D441="","",IF(AND($C441&lt;&gt;"",$Q441="Có",$R441="",$S441="Có",AND($L441&lt;&gt;"",OR($L441&lt;&gt;"Chưa xác định",DANH_MUC!$L$9="Có"))),"Có","Không"))</f>
        <v/>
      </c>
      <c r="U441" s="22">
        <f>IF(OR($D441="",$T441="Có"),"",IF($C441="","Thiếu họ tên; ","")&amp;IF($S441&lt;&gt;"Có","SĐT sai định dạng; ","")&amp;IF($R441="Trùng","Trùng SĐT; ","")&amp;IF($Q441&lt;&gt;"Có","Thiếu đồng ý bắt buộc; ","")&amp;IF($L441="","Thiếu/sai Mã REF; ",IF(AND($L441="Chưa xác định",DANH_MUC!$L$9&lt;&gt;"Có"),"Nguồn chưa xác định; ","")))</f>
        <v/>
      </c>
      <c r="V441" s="22">
        <f>IF(OR($D441="",$R441="Trùng"),"",IF(COUNTIF(ORDERS!$C$2:$C$4995,$D441)&gt;0,"Có","Không"))</f>
        <v/>
      </c>
      <c r="W441" s="22">
        <f>IF(OR($D441="",$R441="Trùng"),"",COUNTIFS(ORDERS!$C$2:$C$4995,$D441,ORDERS!$L$2:$L$4995,"Đã chuyển khoản"))</f>
        <v/>
      </c>
      <c r="X441" s="23">
        <f>IF(OR($D441="",$R441="Trùng"),"",SUMIFS(ORDERS!$J$2:$J$4995,ORDERS!$C$2:$C$4995,$D441,ORDERS!$L$2:$L$4995,"Đã chuyển khoản"))</f>
        <v/>
      </c>
      <c r="Y441" s="24" t="n"/>
    </row>
    <row r="442" ht="14.25" customHeight="1" s="40">
      <c r="A442" s="24" t="n"/>
      <c r="B442" s="27" t="n"/>
      <c r="C442" s="24" t="n"/>
      <c r="D442" s="28" t="n"/>
      <c r="E442" s="29" t="n"/>
      <c r="F442" s="24" t="n"/>
      <c r="G442" s="24" t="n"/>
      <c r="H442" s="21">
        <f>IF(ISNUMBER($B442),INT($B442)-WEEKDAY($B442,2)+1,"")</f>
        <v/>
      </c>
      <c r="I442" s="24" t="n"/>
      <c r="J442" s="22">
        <f t="array" ref="J442">IF($D442="","",IF($I442="","(trống REF)",IFERROR(INDEX(MASTER_SOURCE!$B$2:$B$495,MATCH($I442,MASTER_SOURCE!$A$2:$A$495,0)),"(REF không có trong MASTER_SOURCE)")))</f>
        <v/>
      </c>
      <c r="K442" s="22">
        <f t="array" ref="K442">IF($D442="","",IFERROR(INDEX(MASTER_SOURCE!$C$2:$C$495,MATCH($I442,MASTER_SOURCE!$A$2:$A$495,0)),""))</f>
        <v/>
      </c>
      <c r="L442" s="22">
        <f t="array" ref="L442">IF($D442="","",IFERROR(INDEX(MASTER_SOURCE!$D$2:$D$495,MATCH($I442,MASTER_SOURCE!$A$2:$A$495,0)),""))</f>
        <v/>
      </c>
      <c r="M442" s="24" t="n"/>
      <c r="N442" s="24" t="n"/>
      <c r="O442" s="24" t="n"/>
      <c r="P442" s="24" t="n"/>
      <c r="Q442" s="22">
        <f>IF($D442="","",IF(AND(OR(DANH_MUC!$L$5&lt;&gt;"Có",M442="Có"),OR(DANH_MUC!$L$6&lt;&gt;"Có",N442="Có"),OR(DANH_MUC!$L$7&lt;&gt;"Có",O442="Có"),OR(DANH_MUC!$L$8&lt;&gt;"Có",P442="Có")),"Có","Không"))</f>
        <v/>
      </c>
      <c r="R442" s="22">
        <f>IF($D442="","",IF(COUNTIF($D$2:$D442,$D442)&gt;1,"Trùng",""))</f>
        <v/>
      </c>
      <c r="S442" s="22">
        <f>IF($D442="","",IF(AND(LEN($D442)=10,LEFT($D442,1)="0",ISNUMBER(--$D442)),"Có","Không"))</f>
        <v/>
      </c>
      <c r="T442" s="22">
        <f>IF($D442="","",IF(AND($C442&lt;&gt;"",$Q442="Có",$R442="",$S442="Có",AND($L442&lt;&gt;"",OR($L442&lt;&gt;"Chưa xác định",DANH_MUC!$L$9="Có"))),"Có","Không"))</f>
        <v/>
      </c>
      <c r="U442" s="22">
        <f>IF(OR($D442="",$T442="Có"),"",IF($C442="","Thiếu họ tên; ","")&amp;IF($S442&lt;&gt;"Có","SĐT sai định dạng; ","")&amp;IF($R442="Trùng","Trùng SĐT; ","")&amp;IF($Q442&lt;&gt;"Có","Thiếu đồng ý bắt buộc; ","")&amp;IF($L442="","Thiếu/sai Mã REF; ",IF(AND($L442="Chưa xác định",DANH_MUC!$L$9&lt;&gt;"Có"),"Nguồn chưa xác định; ","")))</f>
        <v/>
      </c>
      <c r="V442" s="22">
        <f>IF(OR($D442="",$R442="Trùng"),"",IF(COUNTIF(ORDERS!$C$2:$C$4995,$D442)&gt;0,"Có","Không"))</f>
        <v/>
      </c>
      <c r="W442" s="22">
        <f>IF(OR($D442="",$R442="Trùng"),"",COUNTIFS(ORDERS!$C$2:$C$4995,$D442,ORDERS!$L$2:$L$4995,"Đã chuyển khoản"))</f>
        <v/>
      </c>
      <c r="X442" s="23">
        <f>IF(OR($D442="",$R442="Trùng"),"",SUMIFS(ORDERS!$J$2:$J$4995,ORDERS!$C$2:$C$4995,$D442,ORDERS!$L$2:$L$4995,"Đã chuyển khoản"))</f>
        <v/>
      </c>
      <c r="Y442" s="24" t="n"/>
    </row>
    <row r="443" ht="14.25" customHeight="1" s="40">
      <c r="A443" s="24" t="n"/>
      <c r="B443" s="27" t="n"/>
      <c r="C443" s="24" t="n"/>
      <c r="D443" s="28" t="n"/>
      <c r="E443" s="29" t="n"/>
      <c r="F443" s="24" t="n"/>
      <c r="G443" s="24" t="n"/>
      <c r="H443" s="21">
        <f>IF(ISNUMBER($B443),INT($B443)-WEEKDAY($B443,2)+1,"")</f>
        <v/>
      </c>
      <c r="I443" s="24" t="n"/>
      <c r="J443" s="22">
        <f t="array" ref="J443">IF($D443="","",IF($I443="","(trống REF)",IFERROR(INDEX(MASTER_SOURCE!$B$2:$B$495,MATCH($I443,MASTER_SOURCE!$A$2:$A$495,0)),"(REF không có trong MASTER_SOURCE)")))</f>
        <v/>
      </c>
      <c r="K443" s="22">
        <f t="array" ref="K443">IF($D443="","",IFERROR(INDEX(MASTER_SOURCE!$C$2:$C$495,MATCH($I443,MASTER_SOURCE!$A$2:$A$495,0)),""))</f>
        <v/>
      </c>
      <c r="L443" s="22">
        <f t="array" ref="L443">IF($D443="","",IFERROR(INDEX(MASTER_SOURCE!$D$2:$D$495,MATCH($I443,MASTER_SOURCE!$A$2:$A$495,0)),""))</f>
        <v/>
      </c>
      <c r="M443" s="24" t="n"/>
      <c r="N443" s="24" t="n"/>
      <c r="O443" s="24" t="n"/>
      <c r="P443" s="24" t="n"/>
      <c r="Q443" s="22">
        <f>IF($D443="","",IF(AND(OR(DANH_MUC!$L$5&lt;&gt;"Có",M443="Có"),OR(DANH_MUC!$L$6&lt;&gt;"Có",N443="Có"),OR(DANH_MUC!$L$7&lt;&gt;"Có",O443="Có"),OR(DANH_MUC!$L$8&lt;&gt;"Có",P443="Có")),"Có","Không"))</f>
        <v/>
      </c>
      <c r="R443" s="22">
        <f>IF($D443="","",IF(COUNTIF($D$2:$D443,$D443)&gt;1,"Trùng",""))</f>
        <v/>
      </c>
      <c r="S443" s="22">
        <f>IF($D443="","",IF(AND(LEN($D443)=10,LEFT($D443,1)="0",ISNUMBER(--$D443)),"Có","Không"))</f>
        <v/>
      </c>
      <c r="T443" s="22">
        <f>IF($D443="","",IF(AND($C443&lt;&gt;"",$Q443="Có",$R443="",$S443="Có",AND($L443&lt;&gt;"",OR($L443&lt;&gt;"Chưa xác định",DANH_MUC!$L$9="Có"))),"Có","Không"))</f>
        <v/>
      </c>
      <c r="U443" s="22">
        <f>IF(OR($D443="",$T443="Có"),"",IF($C443="","Thiếu họ tên; ","")&amp;IF($S443&lt;&gt;"Có","SĐT sai định dạng; ","")&amp;IF($R443="Trùng","Trùng SĐT; ","")&amp;IF($Q443&lt;&gt;"Có","Thiếu đồng ý bắt buộc; ","")&amp;IF($L443="","Thiếu/sai Mã REF; ",IF(AND($L443="Chưa xác định",DANH_MUC!$L$9&lt;&gt;"Có"),"Nguồn chưa xác định; ","")))</f>
        <v/>
      </c>
      <c r="V443" s="22">
        <f>IF(OR($D443="",$R443="Trùng"),"",IF(COUNTIF(ORDERS!$C$2:$C$4995,$D443)&gt;0,"Có","Không"))</f>
        <v/>
      </c>
      <c r="W443" s="22">
        <f>IF(OR($D443="",$R443="Trùng"),"",COUNTIFS(ORDERS!$C$2:$C$4995,$D443,ORDERS!$L$2:$L$4995,"Đã chuyển khoản"))</f>
        <v/>
      </c>
      <c r="X443" s="23">
        <f>IF(OR($D443="",$R443="Trùng"),"",SUMIFS(ORDERS!$J$2:$J$4995,ORDERS!$C$2:$C$4995,$D443,ORDERS!$L$2:$L$4995,"Đã chuyển khoản"))</f>
        <v/>
      </c>
      <c r="Y443" s="24" t="n"/>
    </row>
    <row r="444" ht="14.25" customHeight="1" s="40">
      <c r="A444" s="24" t="n"/>
      <c r="B444" s="27" t="n"/>
      <c r="C444" s="24" t="n"/>
      <c r="D444" s="28" t="n"/>
      <c r="E444" s="29" t="n"/>
      <c r="F444" s="24" t="n"/>
      <c r="G444" s="24" t="n"/>
      <c r="H444" s="21">
        <f>IF(ISNUMBER($B444),INT($B444)-WEEKDAY($B444,2)+1,"")</f>
        <v/>
      </c>
      <c r="I444" s="24" t="n"/>
      <c r="J444" s="22">
        <f t="array" ref="J444">IF($D444="","",IF($I444="","(trống REF)",IFERROR(INDEX(MASTER_SOURCE!$B$2:$B$495,MATCH($I444,MASTER_SOURCE!$A$2:$A$495,0)),"(REF không có trong MASTER_SOURCE)")))</f>
        <v/>
      </c>
      <c r="K444" s="22">
        <f t="array" ref="K444">IF($D444="","",IFERROR(INDEX(MASTER_SOURCE!$C$2:$C$495,MATCH($I444,MASTER_SOURCE!$A$2:$A$495,0)),""))</f>
        <v/>
      </c>
      <c r="L444" s="22">
        <f t="array" ref="L444">IF($D444="","",IFERROR(INDEX(MASTER_SOURCE!$D$2:$D$495,MATCH($I444,MASTER_SOURCE!$A$2:$A$495,0)),""))</f>
        <v/>
      </c>
      <c r="M444" s="24" t="n"/>
      <c r="N444" s="24" t="n"/>
      <c r="O444" s="24" t="n"/>
      <c r="P444" s="24" t="n"/>
      <c r="Q444" s="22">
        <f>IF($D444="","",IF(AND(OR(DANH_MUC!$L$5&lt;&gt;"Có",M444="Có"),OR(DANH_MUC!$L$6&lt;&gt;"Có",N444="Có"),OR(DANH_MUC!$L$7&lt;&gt;"Có",O444="Có"),OR(DANH_MUC!$L$8&lt;&gt;"Có",P444="Có")),"Có","Không"))</f>
        <v/>
      </c>
      <c r="R444" s="22">
        <f>IF($D444="","",IF(COUNTIF($D$2:$D444,$D444)&gt;1,"Trùng",""))</f>
        <v/>
      </c>
      <c r="S444" s="22">
        <f>IF($D444="","",IF(AND(LEN($D444)=10,LEFT($D444,1)="0",ISNUMBER(--$D444)),"Có","Không"))</f>
        <v/>
      </c>
      <c r="T444" s="22">
        <f>IF($D444="","",IF(AND($C444&lt;&gt;"",$Q444="Có",$R444="",$S444="Có",AND($L444&lt;&gt;"",OR($L444&lt;&gt;"Chưa xác định",DANH_MUC!$L$9="Có"))),"Có","Không"))</f>
        <v/>
      </c>
      <c r="U444" s="22">
        <f>IF(OR($D444="",$T444="Có"),"",IF($C444="","Thiếu họ tên; ","")&amp;IF($S444&lt;&gt;"Có","SĐT sai định dạng; ","")&amp;IF($R444="Trùng","Trùng SĐT; ","")&amp;IF($Q444&lt;&gt;"Có","Thiếu đồng ý bắt buộc; ","")&amp;IF($L444="","Thiếu/sai Mã REF; ",IF(AND($L444="Chưa xác định",DANH_MUC!$L$9&lt;&gt;"Có"),"Nguồn chưa xác định; ","")))</f>
        <v/>
      </c>
      <c r="V444" s="22">
        <f>IF(OR($D444="",$R444="Trùng"),"",IF(COUNTIF(ORDERS!$C$2:$C$4995,$D444)&gt;0,"Có","Không"))</f>
        <v/>
      </c>
      <c r="W444" s="22">
        <f>IF(OR($D444="",$R444="Trùng"),"",COUNTIFS(ORDERS!$C$2:$C$4995,$D444,ORDERS!$L$2:$L$4995,"Đã chuyển khoản"))</f>
        <v/>
      </c>
      <c r="X444" s="23">
        <f>IF(OR($D444="",$R444="Trùng"),"",SUMIFS(ORDERS!$J$2:$J$4995,ORDERS!$C$2:$C$4995,$D444,ORDERS!$L$2:$L$4995,"Đã chuyển khoản"))</f>
        <v/>
      </c>
      <c r="Y444" s="24" t="n"/>
    </row>
    <row r="445" ht="14.25" customHeight="1" s="40">
      <c r="A445" s="24" t="n"/>
      <c r="B445" s="27" t="n"/>
      <c r="C445" s="24" t="n"/>
      <c r="D445" s="28" t="n"/>
      <c r="E445" s="29" t="n"/>
      <c r="F445" s="24" t="n"/>
      <c r="G445" s="24" t="n"/>
      <c r="H445" s="21">
        <f>IF(ISNUMBER($B445),INT($B445)-WEEKDAY($B445,2)+1,"")</f>
        <v/>
      </c>
      <c r="I445" s="24" t="n"/>
      <c r="J445" s="22">
        <f t="array" ref="J445">IF($D445="","",IF($I445="","(trống REF)",IFERROR(INDEX(MASTER_SOURCE!$B$2:$B$495,MATCH($I445,MASTER_SOURCE!$A$2:$A$495,0)),"(REF không có trong MASTER_SOURCE)")))</f>
        <v/>
      </c>
      <c r="K445" s="22">
        <f t="array" ref="K445">IF($D445="","",IFERROR(INDEX(MASTER_SOURCE!$C$2:$C$495,MATCH($I445,MASTER_SOURCE!$A$2:$A$495,0)),""))</f>
        <v/>
      </c>
      <c r="L445" s="22">
        <f t="array" ref="L445">IF($D445="","",IFERROR(INDEX(MASTER_SOURCE!$D$2:$D$495,MATCH($I445,MASTER_SOURCE!$A$2:$A$495,0)),""))</f>
        <v/>
      </c>
      <c r="M445" s="24" t="n"/>
      <c r="N445" s="24" t="n"/>
      <c r="O445" s="24" t="n"/>
      <c r="P445" s="24" t="n"/>
      <c r="Q445" s="22">
        <f>IF($D445="","",IF(AND(OR(DANH_MUC!$L$5&lt;&gt;"Có",M445="Có"),OR(DANH_MUC!$L$6&lt;&gt;"Có",N445="Có"),OR(DANH_MUC!$L$7&lt;&gt;"Có",O445="Có"),OR(DANH_MUC!$L$8&lt;&gt;"Có",P445="Có")),"Có","Không"))</f>
        <v/>
      </c>
      <c r="R445" s="22">
        <f>IF($D445="","",IF(COUNTIF($D$2:$D445,$D445)&gt;1,"Trùng",""))</f>
        <v/>
      </c>
      <c r="S445" s="22">
        <f>IF($D445="","",IF(AND(LEN($D445)=10,LEFT($D445,1)="0",ISNUMBER(--$D445)),"Có","Không"))</f>
        <v/>
      </c>
      <c r="T445" s="22">
        <f>IF($D445="","",IF(AND($C445&lt;&gt;"",$Q445="Có",$R445="",$S445="Có",AND($L445&lt;&gt;"",OR($L445&lt;&gt;"Chưa xác định",DANH_MUC!$L$9="Có"))),"Có","Không"))</f>
        <v/>
      </c>
      <c r="U445" s="22">
        <f>IF(OR($D445="",$T445="Có"),"",IF($C445="","Thiếu họ tên; ","")&amp;IF($S445&lt;&gt;"Có","SĐT sai định dạng; ","")&amp;IF($R445="Trùng","Trùng SĐT; ","")&amp;IF($Q445&lt;&gt;"Có","Thiếu đồng ý bắt buộc; ","")&amp;IF($L445="","Thiếu/sai Mã REF; ",IF(AND($L445="Chưa xác định",DANH_MUC!$L$9&lt;&gt;"Có"),"Nguồn chưa xác định; ","")))</f>
        <v/>
      </c>
      <c r="V445" s="22">
        <f>IF(OR($D445="",$R445="Trùng"),"",IF(COUNTIF(ORDERS!$C$2:$C$4995,$D445)&gt;0,"Có","Không"))</f>
        <v/>
      </c>
      <c r="W445" s="22">
        <f>IF(OR($D445="",$R445="Trùng"),"",COUNTIFS(ORDERS!$C$2:$C$4995,$D445,ORDERS!$L$2:$L$4995,"Đã chuyển khoản"))</f>
        <v/>
      </c>
      <c r="X445" s="23">
        <f>IF(OR($D445="",$R445="Trùng"),"",SUMIFS(ORDERS!$J$2:$J$4995,ORDERS!$C$2:$C$4995,$D445,ORDERS!$L$2:$L$4995,"Đã chuyển khoản"))</f>
        <v/>
      </c>
      <c r="Y445" s="24" t="n"/>
    </row>
    <row r="446" ht="14.25" customHeight="1" s="40">
      <c r="A446" s="24" t="n"/>
      <c r="B446" s="27" t="n"/>
      <c r="C446" s="24" t="n"/>
      <c r="D446" s="28" t="n"/>
      <c r="E446" s="29" t="n"/>
      <c r="F446" s="24" t="n"/>
      <c r="G446" s="24" t="n"/>
      <c r="H446" s="21">
        <f>IF(ISNUMBER($B446),INT($B446)-WEEKDAY($B446,2)+1,"")</f>
        <v/>
      </c>
      <c r="I446" s="24" t="n"/>
      <c r="J446" s="22">
        <f t="array" ref="J446">IF($D446="","",IF($I446="","(trống REF)",IFERROR(INDEX(MASTER_SOURCE!$B$2:$B$495,MATCH($I446,MASTER_SOURCE!$A$2:$A$495,0)),"(REF không có trong MASTER_SOURCE)")))</f>
        <v/>
      </c>
      <c r="K446" s="22">
        <f t="array" ref="K446">IF($D446="","",IFERROR(INDEX(MASTER_SOURCE!$C$2:$C$495,MATCH($I446,MASTER_SOURCE!$A$2:$A$495,0)),""))</f>
        <v/>
      </c>
      <c r="L446" s="22">
        <f t="array" ref="L446">IF($D446="","",IFERROR(INDEX(MASTER_SOURCE!$D$2:$D$495,MATCH($I446,MASTER_SOURCE!$A$2:$A$495,0)),""))</f>
        <v/>
      </c>
      <c r="M446" s="24" t="n"/>
      <c r="N446" s="24" t="n"/>
      <c r="O446" s="24" t="n"/>
      <c r="P446" s="24" t="n"/>
      <c r="Q446" s="22">
        <f>IF($D446="","",IF(AND(OR(DANH_MUC!$L$5&lt;&gt;"Có",M446="Có"),OR(DANH_MUC!$L$6&lt;&gt;"Có",N446="Có"),OR(DANH_MUC!$L$7&lt;&gt;"Có",O446="Có"),OR(DANH_MUC!$L$8&lt;&gt;"Có",P446="Có")),"Có","Không"))</f>
        <v/>
      </c>
      <c r="R446" s="22">
        <f>IF($D446="","",IF(COUNTIF($D$2:$D446,$D446)&gt;1,"Trùng",""))</f>
        <v/>
      </c>
      <c r="S446" s="22">
        <f>IF($D446="","",IF(AND(LEN($D446)=10,LEFT($D446,1)="0",ISNUMBER(--$D446)),"Có","Không"))</f>
        <v/>
      </c>
      <c r="T446" s="22">
        <f>IF($D446="","",IF(AND($C446&lt;&gt;"",$Q446="Có",$R446="",$S446="Có",AND($L446&lt;&gt;"",OR($L446&lt;&gt;"Chưa xác định",DANH_MUC!$L$9="Có"))),"Có","Không"))</f>
        <v/>
      </c>
      <c r="U446" s="22">
        <f>IF(OR($D446="",$T446="Có"),"",IF($C446="","Thiếu họ tên; ","")&amp;IF($S446&lt;&gt;"Có","SĐT sai định dạng; ","")&amp;IF($R446="Trùng","Trùng SĐT; ","")&amp;IF($Q446&lt;&gt;"Có","Thiếu đồng ý bắt buộc; ","")&amp;IF($L446="","Thiếu/sai Mã REF; ",IF(AND($L446="Chưa xác định",DANH_MUC!$L$9&lt;&gt;"Có"),"Nguồn chưa xác định; ","")))</f>
        <v/>
      </c>
      <c r="V446" s="22">
        <f>IF(OR($D446="",$R446="Trùng"),"",IF(COUNTIF(ORDERS!$C$2:$C$4995,$D446)&gt;0,"Có","Không"))</f>
        <v/>
      </c>
      <c r="W446" s="22">
        <f>IF(OR($D446="",$R446="Trùng"),"",COUNTIFS(ORDERS!$C$2:$C$4995,$D446,ORDERS!$L$2:$L$4995,"Đã chuyển khoản"))</f>
        <v/>
      </c>
      <c r="X446" s="23">
        <f>IF(OR($D446="",$R446="Trùng"),"",SUMIFS(ORDERS!$J$2:$J$4995,ORDERS!$C$2:$C$4995,$D446,ORDERS!$L$2:$L$4995,"Đã chuyển khoản"))</f>
        <v/>
      </c>
      <c r="Y446" s="24" t="n"/>
    </row>
    <row r="447" ht="14.25" customHeight="1" s="40">
      <c r="A447" s="24" t="n"/>
      <c r="B447" s="27" t="n"/>
      <c r="C447" s="24" t="n"/>
      <c r="D447" s="28" t="n"/>
      <c r="E447" s="29" t="n"/>
      <c r="F447" s="24" t="n"/>
      <c r="G447" s="24" t="n"/>
      <c r="H447" s="21">
        <f>IF(ISNUMBER($B447),INT($B447)-WEEKDAY($B447,2)+1,"")</f>
        <v/>
      </c>
      <c r="I447" s="24" t="n"/>
      <c r="J447" s="22">
        <f t="array" ref="J447">IF($D447="","",IF($I447="","(trống REF)",IFERROR(INDEX(MASTER_SOURCE!$B$2:$B$495,MATCH($I447,MASTER_SOURCE!$A$2:$A$495,0)),"(REF không có trong MASTER_SOURCE)")))</f>
        <v/>
      </c>
      <c r="K447" s="22">
        <f t="array" ref="K447">IF($D447="","",IFERROR(INDEX(MASTER_SOURCE!$C$2:$C$495,MATCH($I447,MASTER_SOURCE!$A$2:$A$495,0)),""))</f>
        <v/>
      </c>
      <c r="L447" s="22">
        <f t="array" ref="L447">IF($D447="","",IFERROR(INDEX(MASTER_SOURCE!$D$2:$D$495,MATCH($I447,MASTER_SOURCE!$A$2:$A$495,0)),""))</f>
        <v/>
      </c>
      <c r="M447" s="24" t="n"/>
      <c r="N447" s="24" t="n"/>
      <c r="O447" s="24" t="n"/>
      <c r="P447" s="24" t="n"/>
      <c r="Q447" s="22">
        <f>IF($D447="","",IF(AND(OR(DANH_MUC!$L$5&lt;&gt;"Có",M447="Có"),OR(DANH_MUC!$L$6&lt;&gt;"Có",N447="Có"),OR(DANH_MUC!$L$7&lt;&gt;"Có",O447="Có"),OR(DANH_MUC!$L$8&lt;&gt;"Có",P447="Có")),"Có","Không"))</f>
        <v/>
      </c>
      <c r="R447" s="22">
        <f>IF($D447="","",IF(COUNTIF($D$2:$D447,$D447)&gt;1,"Trùng",""))</f>
        <v/>
      </c>
      <c r="S447" s="22">
        <f>IF($D447="","",IF(AND(LEN($D447)=10,LEFT($D447,1)="0",ISNUMBER(--$D447)),"Có","Không"))</f>
        <v/>
      </c>
      <c r="T447" s="22">
        <f>IF($D447="","",IF(AND($C447&lt;&gt;"",$Q447="Có",$R447="",$S447="Có",AND($L447&lt;&gt;"",OR($L447&lt;&gt;"Chưa xác định",DANH_MUC!$L$9="Có"))),"Có","Không"))</f>
        <v/>
      </c>
      <c r="U447" s="22">
        <f>IF(OR($D447="",$T447="Có"),"",IF($C447="","Thiếu họ tên; ","")&amp;IF($S447&lt;&gt;"Có","SĐT sai định dạng; ","")&amp;IF($R447="Trùng","Trùng SĐT; ","")&amp;IF($Q447&lt;&gt;"Có","Thiếu đồng ý bắt buộc; ","")&amp;IF($L447="","Thiếu/sai Mã REF; ",IF(AND($L447="Chưa xác định",DANH_MUC!$L$9&lt;&gt;"Có"),"Nguồn chưa xác định; ","")))</f>
        <v/>
      </c>
      <c r="V447" s="22">
        <f>IF(OR($D447="",$R447="Trùng"),"",IF(COUNTIF(ORDERS!$C$2:$C$4995,$D447)&gt;0,"Có","Không"))</f>
        <v/>
      </c>
      <c r="W447" s="22">
        <f>IF(OR($D447="",$R447="Trùng"),"",COUNTIFS(ORDERS!$C$2:$C$4995,$D447,ORDERS!$L$2:$L$4995,"Đã chuyển khoản"))</f>
        <v/>
      </c>
      <c r="X447" s="23">
        <f>IF(OR($D447="",$R447="Trùng"),"",SUMIFS(ORDERS!$J$2:$J$4995,ORDERS!$C$2:$C$4995,$D447,ORDERS!$L$2:$L$4995,"Đã chuyển khoản"))</f>
        <v/>
      </c>
      <c r="Y447" s="24" t="n"/>
    </row>
    <row r="448" ht="14.25" customHeight="1" s="40">
      <c r="A448" s="24" t="n"/>
      <c r="B448" s="27" t="n"/>
      <c r="C448" s="24" t="n"/>
      <c r="D448" s="28" t="n"/>
      <c r="E448" s="29" t="n"/>
      <c r="F448" s="24" t="n"/>
      <c r="G448" s="24" t="n"/>
      <c r="H448" s="21">
        <f>IF(ISNUMBER($B448),INT($B448)-WEEKDAY($B448,2)+1,"")</f>
        <v/>
      </c>
      <c r="I448" s="24" t="n"/>
      <c r="J448" s="22">
        <f t="array" ref="J448">IF($D448="","",IF($I448="","(trống REF)",IFERROR(INDEX(MASTER_SOURCE!$B$2:$B$495,MATCH($I448,MASTER_SOURCE!$A$2:$A$495,0)),"(REF không có trong MASTER_SOURCE)")))</f>
        <v/>
      </c>
      <c r="K448" s="22">
        <f t="array" ref="K448">IF($D448="","",IFERROR(INDEX(MASTER_SOURCE!$C$2:$C$495,MATCH($I448,MASTER_SOURCE!$A$2:$A$495,0)),""))</f>
        <v/>
      </c>
      <c r="L448" s="22">
        <f t="array" ref="L448">IF($D448="","",IFERROR(INDEX(MASTER_SOURCE!$D$2:$D$495,MATCH($I448,MASTER_SOURCE!$A$2:$A$495,0)),""))</f>
        <v/>
      </c>
      <c r="M448" s="24" t="n"/>
      <c r="N448" s="24" t="n"/>
      <c r="O448" s="24" t="n"/>
      <c r="P448" s="24" t="n"/>
      <c r="Q448" s="22">
        <f>IF($D448="","",IF(AND(OR(DANH_MUC!$L$5&lt;&gt;"Có",M448="Có"),OR(DANH_MUC!$L$6&lt;&gt;"Có",N448="Có"),OR(DANH_MUC!$L$7&lt;&gt;"Có",O448="Có"),OR(DANH_MUC!$L$8&lt;&gt;"Có",P448="Có")),"Có","Không"))</f>
        <v/>
      </c>
      <c r="R448" s="22">
        <f>IF($D448="","",IF(COUNTIF($D$2:$D448,$D448)&gt;1,"Trùng",""))</f>
        <v/>
      </c>
      <c r="S448" s="22">
        <f>IF($D448="","",IF(AND(LEN($D448)=10,LEFT($D448,1)="0",ISNUMBER(--$D448)),"Có","Không"))</f>
        <v/>
      </c>
      <c r="T448" s="22">
        <f>IF($D448="","",IF(AND($C448&lt;&gt;"",$Q448="Có",$R448="",$S448="Có",AND($L448&lt;&gt;"",OR($L448&lt;&gt;"Chưa xác định",DANH_MUC!$L$9="Có"))),"Có","Không"))</f>
        <v/>
      </c>
      <c r="U448" s="22">
        <f>IF(OR($D448="",$T448="Có"),"",IF($C448="","Thiếu họ tên; ","")&amp;IF($S448&lt;&gt;"Có","SĐT sai định dạng; ","")&amp;IF($R448="Trùng","Trùng SĐT; ","")&amp;IF($Q448&lt;&gt;"Có","Thiếu đồng ý bắt buộc; ","")&amp;IF($L448="","Thiếu/sai Mã REF; ",IF(AND($L448="Chưa xác định",DANH_MUC!$L$9&lt;&gt;"Có"),"Nguồn chưa xác định; ","")))</f>
        <v/>
      </c>
      <c r="V448" s="22">
        <f>IF(OR($D448="",$R448="Trùng"),"",IF(COUNTIF(ORDERS!$C$2:$C$4995,$D448)&gt;0,"Có","Không"))</f>
        <v/>
      </c>
      <c r="W448" s="22">
        <f>IF(OR($D448="",$R448="Trùng"),"",COUNTIFS(ORDERS!$C$2:$C$4995,$D448,ORDERS!$L$2:$L$4995,"Đã chuyển khoản"))</f>
        <v/>
      </c>
      <c r="X448" s="23">
        <f>IF(OR($D448="",$R448="Trùng"),"",SUMIFS(ORDERS!$J$2:$J$4995,ORDERS!$C$2:$C$4995,$D448,ORDERS!$L$2:$L$4995,"Đã chuyển khoản"))</f>
        <v/>
      </c>
      <c r="Y448" s="24" t="n"/>
    </row>
    <row r="449" ht="14.25" customHeight="1" s="40">
      <c r="A449" s="24" t="n"/>
      <c r="B449" s="27" t="n"/>
      <c r="C449" s="24" t="n"/>
      <c r="D449" s="28" t="n"/>
      <c r="E449" s="29" t="n"/>
      <c r="F449" s="24" t="n"/>
      <c r="G449" s="24" t="n"/>
      <c r="H449" s="21">
        <f>IF(ISNUMBER($B449),INT($B449)-WEEKDAY($B449,2)+1,"")</f>
        <v/>
      </c>
      <c r="I449" s="24" t="n"/>
      <c r="J449" s="22">
        <f t="array" ref="J449">IF($D449="","",IF($I449="","(trống REF)",IFERROR(INDEX(MASTER_SOURCE!$B$2:$B$495,MATCH($I449,MASTER_SOURCE!$A$2:$A$495,0)),"(REF không có trong MASTER_SOURCE)")))</f>
        <v/>
      </c>
      <c r="K449" s="22">
        <f t="array" ref="K449">IF($D449="","",IFERROR(INDEX(MASTER_SOURCE!$C$2:$C$495,MATCH($I449,MASTER_SOURCE!$A$2:$A$495,0)),""))</f>
        <v/>
      </c>
      <c r="L449" s="22">
        <f t="array" ref="L449">IF($D449="","",IFERROR(INDEX(MASTER_SOURCE!$D$2:$D$495,MATCH($I449,MASTER_SOURCE!$A$2:$A$495,0)),""))</f>
        <v/>
      </c>
      <c r="M449" s="24" t="n"/>
      <c r="N449" s="24" t="n"/>
      <c r="O449" s="24" t="n"/>
      <c r="P449" s="24" t="n"/>
      <c r="Q449" s="22">
        <f>IF($D449="","",IF(AND(OR(DANH_MUC!$L$5&lt;&gt;"Có",M449="Có"),OR(DANH_MUC!$L$6&lt;&gt;"Có",N449="Có"),OR(DANH_MUC!$L$7&lt;&gt;"Có",O449="Có"),OR(DANH_MUC!$L$8&lt;&gt;"Có",P449="Có")),"Có","Không"))</f>
        <v/>
      </c>
      <c r="R449" s="22">
        <f>IF($D449="","",IF(COUNTIF($D$2:$D449,$D449)&gt;1,"Trùng",""))</f>
        <v/>
      </c>
      <c r="S449" s="22">
        <f>IF($D449="","",IF(AND(LEN($D449)=10,LEFT($D449,1)="0",ISNUMBER(--$D449)),"Có","Không"))</f>
        <v/>
      </c>
      <c r="T449" s="22">
        <f>IF($D449="","",IF(AND($C449&lt;&gt;"",$Q449="Có",$R449="",$S449="Có",AND($L449&lt;&gt;"",OR($L449&lt;&gt;"Chưa xác định",DANH_MUC!$L$9="Có"))),"Có","Không"))</f>
        <v/>
      </c>
      <c r="U449" s="22">
        <f>IF(OR($D449="",$T449="Có"),"",IF($C449="","Thiếu họ tên; ","")&amp;IF($S449&lt;&gt;"Có","SĐT sai định dạng; ","")&amp;IF($R449="Trùng","Trùng SĐT; ","")&amp;IF($Q449&lt;&gt;"Có","Thiếu đồng ý bắt buộc; ","")&amp;IF($L449="","Thiếu/sai Mã REF; ",IF(AND($L449="Chưa xác định",DANH_MUC!$L$9&lt;&gt;"Có"),"Nguồn chưa xác định; ","")))</f>
        <v/>
      </c>
      <c r="V449" s="22">
        <f>IF(OR($D449="",$R449="Trùng"),"",IF(COUNTIF(ORDERS!$C$2:$C$4995,$D449)&gt;0,"Có","Không"))</f>
        <v/>
      </c>
      <c r="W449" s="22">
        <f>IF(OR($D449="",$R449="Trùng"),"",COUNTIFS(ORDERS!$C$2:$C$4995,$D449,ORDERS!$L$2:$L$4995,"Đã chuyển khoản"))</f>
        <v/>
      </c>
      <c r="X449" s="23">
        <f>IF(OR($D449="",$R449="Trùng"),"",SUMIFS(ORDERS!$J$2:$J$4995,ORDERS!$C$2:$C$4995,$D449,ORDERS!$L$2:$L$4995,"Đã chuyển khoản"))</f>
        <v/>
      </c>
      <c r="Y449" s="24" t="n"/>
    </row>
    <row r="450" ht="14.25" customHeight="1" s="40">
      <c r="A450" s="24" t="n"/>
      <c r="B450" s="27" t="n"/>
      <c r="C450" s="24" t="n"/>
      <c r="D450" s="28" t="n"/>
      <c r="E450" s="29" t="n"/>
      <c r="F450" s="24" t="n"/>
      <c r="G450" s="24" t="n"/>
      <c r="H450" s="21">
        <f>IF(ISNUMBER($B450),INT($B450)-WEEKDAY($B450,2)+1,"")</f>
        <v/>
      </c>
      <c r="I450" s="24" t="n"/>
      <c r="J450" s="22">
        <f t="array" ref="J450">IF($D450="","",IF($I450="","(trống REF)",IFERROR(INDEX(MASTER_SOURCE!$B$2:$B$495,MATCH($I450,MASTER_SOURCE!$A$2:$A$495,0)),"(REF không có trong MASTER_SOURCE)")))</f>
        <v/>
      </c>
      <c r="K450" s="22">
        <f t="array" ref="K450">IF($D450="","",IFERROR(INDEX(MASTER_SOURCE!$C$2:$C$495,MATCH($I450,MASTER_SOURCE!$A$2:$A$495,0)),""))</f>
        <v/>
      </c>
      <c r="L450" s="22">
        <f t="array" ref="L450">IF($D450="","",IFERROR(INDEX(MASTER_SOURCE!$D$2:$D$495,MATCH($I450,MASTER_SOURCE!$A$2:$A$495,0)),""))</f>
        <v/>
      </c>
      <c r="M450" s="24" t="n"/>
      <c r="N450" s="24" t="n"/>
      <c r="O450" s="24" t="n"/>
      <c r="P450" s="24" t="n"/>
      <c r="Q450" s="22">
        <f>IF($D450="","",IF(AND(OR(DANH_MUC!$L$5&lt;&gt;"Có",M450="Có"),OR(DANH_MUC!$L$6&lt;&gt;"Có",N450="Có"),OR(DANH_MUC!$L$7&lt;&gt;"Có",O450="Có"),OR(DANH_MUC!$L$8&lt;&gt;"Có",P450="Có")),"Có","Không"))</f>
        <v/>
      </c>
      <c r="R450" s="22">
        <f>IF($D450="","",IF(COUNTIF($D$2:$D450,$D450)&gt;1,"Trùng",""))</f>
        <v/>
      </c>
      <c r="S450" s="22">
        <f>IF($D450="","",IF(AND(LEN($D450)=10,LEFT($D450,1)="0",ISNUMBER(--$D450)),"Có","Không"))</f>
        <v/>
      </c>
      <c r="T450" s="22">
        <f>IF($D450="","",IF(AND($C450&lt;&gt;"",$Q450="Có",$R450="",$S450="Có",AND($L450&lt;&gt;"",OR($L450&lt;&gt;"Chưa xác định",DANH_MUC!$L$9="Có"))),"Có","Không"))</f>
        <v/>
      </c>
      <c r="U450" s="22">
        <f>IF(OR($D450="",$T450="Có"),"",IF($C450="","Thiếu họ tên; ","")&amp;IF($S450&lt;&gt;"Có","SĐT sai định dạng; ","")&amp;IF($R450="Trùng","Trùng SĐT; ","")&amp;IF($Q450&lt;&gt;"Có","Thiếu đồng ý bắt buộc; ","")&amp;IF($L450="","Thiếu/sai Mã REF; ",IF(AND($L450="Chưa xác định",DANH_MUC!$L$9&lt;&gt;"Có"),"Nguồn chưa xác định; ","")))</f>
        <v/>
      </c>
      <c r="V450" s="22">
        <f>IF(OR($D450="",$R450="Trùng"),"",IF(COUNTIF(ORDERS!$C$2:$C$4995,$D450)&gt;0,"Có","Không"))</f>
        <v/>
      </c>
      <c r="W450" s="22">
        <f>IF(OR($D450="",$R450="Trùng"),"",COUNTIFS(ORDERS!$C$2:$C$4995,$D450,ORDERS!$L$2:$L$4995,"Đã chuyển khoản"))</f>
        <v/>
      </c>
      <c r="X450" s="23">
        <f>IF(OR($D450="",$R450="Trùng"),"",SUMIFS(ORDERS!$J$2:$J$4995,ORDERS!$C$2:$C$4995,$D450,ORDERS!$L$2:$L$4995,"Đã chuyển khoản"))</f>
        <v/>
      </c>
      <c r="Y450" s="24" t="n"/>
    </row>
    <row r="451" ht="14.25" customHeight="1" s="40">
      <c r="A451" s="24" t="n"/>
      <c r="B451" s="27" t="n"/>
      <c r="C451" s="24" t="n"/>
      <c r="D451" s="28" t="n"/>
      <c r="E451" s="29" t="n"/>
      <c r="F451" s="24" t="n"/>
      <c r="G451" s="24" t="n"/>
      <c r="H451" s="21">
        <f>IF(ISNUMBER($B451),INT($B451)-WEEKDAY($B451,2)+1,"")</f>
        <v/>
      </c>
      <c r="I451" s="24" t="n"/>
      <c r="J451" s="22">
        <f t="array" ref="J451">IF($D451="","",IF($I451="","(trống REF)",IFERROR(INDEX(MASTER_SOURCE!$B$2:$B$495,MATCH($I451,MASTER_SOURCE!$A$2:$A$495,0)),"(REF không có trong MASTER_SOURCE)")))</f>
        <v/>
      </c>
      <c r="K451" s="22">
        <f t="array" ref="K451">IF($D451="","",IFERROR(INDEX(MASTER_SOURCE!$C$2:$C$495,MATCH($I451,MASTER_SOURCE!$A$2:$A$495,0)),""))</f>
        <v/>
      </c>
      <c r="L451" s="22">
        <f t="array" ref="L451">IF($D451="","",IFERROR(INDEX(MASTER_SOURCE!$D$2:$D$495,MATCH($I451,MASTER_SOURCE!$A$2:$A$495,0)),""))</f>
        <v/>
      </c>
      <c r="M451" s="24" t="n"/>
      <c r="N451" s="24" t="n"/>
      <c r="O451" s="24" t="n"/>
      <c r="P451" s="24" t="n"/>
      <c r="Q451" s="22">
        <f>IF($D451="","",IF(AND(OR(DANH_MUC!$L$5&lt;&gt;"Có",M451="Có"),OR(DANH_MUC!$L$6&lt;&gt;"Có",N451="Có"),OR(DANH_MUC!$L$7&lt;&gt;"Có",O451="Có"),OR(DANH_MUC!$L$8&lt;&gt;"Có",P451="Có")),"Có","Không"))</f>
        <v/>
      </c>
      <c r="R451" s="22">
        <f>IF($D451="","",IF(COUNTIF($D$2:$D451,$D451)&gt;1,"Trùng",""))</f>
        <v/>
      </c>
      <c r="S451" s="22">
        <f>IF($D451="","",IF(AND(LEN($D451)=10,LEFT($D451,1)="0",ISNUMBER(--$D451)),"Có","Không"))</f>
        <v/>
      </c>
      <c r="T451" s="22">
        <f>IF($D451="","",IF(AND($C451&lt;&gt;"",$Q451="Có",$R451="",$S451="Có",AND($L451&lt;&gt;"",OR($L451&lt;&gt;"Chưa xác định",DANH_MUC!$L$9="Có"))),"Có","Không"))</f>
        <v/>
      </c>
      <c r="U451" s="22">
        <f>IF(OR($D451="",$T451="Có"),"",IF($C451="","Thiếu họ tên; ","")&amp;IF($S451&lt;&gt;"Có","SĐT sai định dạng; ","")&amp;IF($R451="Trùng","Trùng SĐT; ","")&amp;IF($Q451&lt;&gt;"Có","Thiếu đồng ý bắt buộc; ","")&amp;IF($L451="","Thiếu/sai Mã REF; ",IF(AND($L451="Chưa xác định",DANH_MUC!$L$9&lt;&gt;"Có"),"Nguồn chưa xác định; ","")))</f>
        <v/>
      </c>
      <c r="V451" s="22">
        <f>IF(OR($D451="",$R451="Trùng"),"",IF(COUNTIF(ORDERS!$C$2:$C$4995,$D451)&gt;0,"Có","Không"))</f>
        <v/>
      </c>
      <c r="W451" s="22">
        <f>IF(OR($D451="",$R451="Trùng"),"",COUNTIFS(ORDERS!$C$2:$C$4995,$D451,ORDERS!$L$2:$L$4995,"Đã chuyển khoản"))</f>
        <v/>
      </c>
      <c r="X451" s="23">
        <f>IF(OR($D451="",$R451="Trùng"),"",SUMIFS(ORDERS!$J$2:$J$4995,ORDERS!$C$2:$C$4995,$D451,ORDERS!$L$2:$L$4995,"Đã chuyển khoản"))</f>
        <v/>
      </c>
      <c r="Y451" s="24" t="n"/>
    </row>
    <row r="452" ht="14.25" customHeight="1" s="40">
      <c r="A452" s="24" t="n"/>
      <c r="B452" s="27" t="n"/>
      <c r="C452" s="24" t="n"/>
      <c r="D452" s="28" t="n"/>
      <c r="E452" s="29" t="n"/>
      <c r="F452" s="24" t="n"/>
      <c r="G452" s="24" t="n"/>
      <c r="H452" s="21">
        <f>IF(ISNUMBER($B452),INT($B452)-WEEKDAY($B452,2)+1,"")</f>
        <v/>
      </c>
      <c r="I452" s="24" t="n"/>
      <c r="J452" s="22">
        <f t="array" ref="J452">IF($D452="","",IF($I452="","(trống REF)",IFERROR(INDEX(MASTER_SOURCE!$B$2:$B$495,MATCH($I452,MASTER_SOURCE!$A$2:$A$495,0)),"(REF không có trong MASTER_SOURCE)")))</f>
        <v/>
      </c>
      <c r="K452" s="22">
        <f t="array" ref="K452">IF($D452="","",IFERROR(INDEX(MASTER_SOURCE!$C$2:$C$495,MATCH($I452,MASTER_SOURCE!$A$2:$A$495,0)),""))</f>
        <v/>
      </c>
      <c r="L452" s="22">
        <f t="array" ref="L452">IF($D452="","",IFERROR(INDEX(MASTER_SOURCE!$D$2:$D$495,MATCH($I452,MASTER_SOURCE!$A$2:$A$495,0)),""))</f>
        <v/>
      </c>
      <c r="M452" s="24" t="n"/>
      <c r="N452" s="24" t="n"/>
      <c r="O452" s="24" t="n"/>
      <c r="P452" s="24" t="n"/>
      <c r="Q452" s="22">
        <f>IF($D452="","",IF(AND(OR(DANH_MUC!$L$5&lt;&gt;"Có",M452="Có"),OR(DANH_MUC!$L$6&lt;&gt;"Có",N452="Có"),OR(DANH_MUC!$L$7&lt;&gt;"Có",O452="Có"),OR(DANH_MUC!$L$8&lt;&gt;"Có",P452="Có")),"Có","Không"))</f>
        <v/>
      </c>
      <c r="R452" s="22">
        <f>IF($D452="","",IF(COUNTIF($D$2:$D452,$D452)&gt;1,"Trùng",""))</f>
        <v/>
      </c>
      <c r="S452" s="22">
        <f>IF($D452="","",IF(AND(LEN($D452)=10,LEFT($D452,1)="0",ISNUMBER(--$D452)),"Có","Không"))</f>
        <v/>
      </c>
      <c r="T452" s="22">
        <f>IF($D452="","",IF(AND($C452&lt;&gt;"",$Q452="Có",$R452="",$S452="Có",AND($L452&lt;&gt;"",OR($L452&lt;&gt;"Chưa xác định",DANH_MUC!$L$9="Có"))),"Có","Không"))</f>
        <v/>
      </c>
      <c r="U452" s="22">
        <f>IF(OR($D452="",$T452="Có"),"",IF($C452="","Thiếu họ tên; ","")&amp;IF($S452&lt;&gt;"Có","SĐT sai định dạng; ","")&amp;IF($R452="Trùng","Trùng SĐT; ","")&amp;IF($Q452&lt;&gt;"Có","Thiếu đồng ý bắt buộc; ","")&amp;IF($L452="","Thiếu/sai Mã REF; ",IF(AND($L452="Chưa xác định",DANH_MUC!$L$9&lt;&gt;"Có"),"Nguồn chưa xác định; ","")))</f>
        <v/>
      </c>
      <c r="V452" s="22">
        <f>IF(OR($D452="",$R452="Trùng"),"",IF(COUNTIF(ORDERS!$C$2:$C$4995,$D452)&gt;0,"Có","Không"))</f>
        <v/>
      </c>
      <c r="W452" s="22">
        <f>IF(OR($D452="",$R452="Trùng"),"",COUNTIFS(ORDERS!$C$2:$C$4995,$D452,ORDERS!$L$2:$L$4995,"Đã chuyển khoản"))</f>
        <v/>
      </c>
      <c r="X452" s="23">
        <f>IF(OR($D452="",$R452="Trùng"),"",SUMIFS(ORDERS!$J$2:$J$4995,ORDERS!$C$2:$C$4995,$D452,ORDERS!$L$2:$L$4995,"Đã chuyển khoản"))</f>
        <v/>
      </c>
      <c r="Y452" s="24" t="n"/>
    </row>
    <row r="453" ht="14.25" customHeight="1" s="40">
      <c r="A453" s="24" t="n"/>
      <c r="B453" s="27" t="n"/>
      <c r="C453" s="24" t="n"/>
      <c r="D453" s="28" t="n"/>
      <c r="E453" s="29" t="n"/>
      <c r="F453" s="24" t="n"/>
      <c r="G453" s="24" t="n"/>
      <c r="H453" s="21">
        <f>IF(ISNUMBER($B453),INT($B453)-WEEKDAY($B453,2)+1,"")</f>
        <v/>
      </c>
      <c r="I453" s="24" t="n"/>
      <c r="J453" s="22">
        <f t="array" ref="J453">IF($D453="","",IF($I453="","(trống REF)",IFERROR(INDEX(MASTER_SOURCE!$B$2:$B$495,MATCH($I453,MASTER_SOURCE!$A$2:$A$495,0)),"(REF không có trong MASTER_SOURCE)")))</f>
        <v/>
      </c>
      <c r="K453" s="22">
        <f t="array" ref="K453">IF($D453="","",IFERROR(INDEX(MASTER_SOURCE!$C$2:$C$495,MATCH($I453,MASTER_SOURCE!$A$2:$A$495,0)),""))</f>
        <v/>
      </c>
      <c r="L453" s="22">
        <f t="array" ref="L453">IF($D453="","",IFERROR(INDEX(MASTER_SOURCE!$D$2:$D$495,MATCH($I453,MASTER_SOURCE!$A$2:$A$495,0)),""))</f>
        <v/>
      </c>
      <c r="M453" s="24" t="n"/>
      <c r="N453" s="24" t="n"/>
      <c r="O453" s="24" t="n"/>
      <c r="P453" s="24" t="n"/>
      <c r="Q453" s="22">
        <f>IF($D453="","",IF(AND(OR(DANH_MUC!$L$5&lt;&gt;"Có",M453="Có"),OR(DANH_MUC!$L$6&lt;&gt;"Có",N453="Có"),OR(DANH_MUC!$L$7&lt;&gt;"Có",O453="Có"),OR(DANH_MUC!$L$8&lt;&gt;"Có",P453="Có")),"Có","Không"))</f>
        <v/>
      </c>
      <c r="R453" s="22">
        <f>IF($D453="","",IF(COUNTIF($D$2:$D453,$D453)&gt;1,"Trùng",""))</f>
        <v/>
      </c>
      <c r="S453" s="22">
        <f>IF($D453="","",IF(AND(LEN($D453)=10,LEFT($D453,1)="0",ISNUMBER(--$D453)),"Có","Không"))</f>
        <v/>
      </c>
      <c r="T453" s="22">
        <f>IF($D453="","",IF(AND($C453&lt;&gt;"",$Q453="Có",$R453="",$S453="Có",AND($L453&lt;&gt;"",OR($L453&lt;&gt;"Chưa xác định",DANH_MUC!$L$9="Có"))),"Có","Không"))</f>
        <v/>
      </c>
      <c r="U453" s="22">
        <f>IF(OR($D453="",$T453="Có"),"",IF($C453="","Thiếu họ tên; ","")&amp;IF($S453&lt;&gt;"Có","SĐT sai định dạng; ","")&amp;IF($R453="Trùng","Trùng SĐT; ","")&amp;IF($Q453&lt;&gt;"Có","Thiếu đồng ý bắt buộc; ","")&amp;IF($L453="","Thiếu/sai Mã REF; ",IF(AND($L453="Chưa xác định",DANH_MUC!$L$9&lt;&gt;"Có"),"Nguồn chưa xác định; ","")))</f>
        <v/>
      </c>
      <c r="V453" s="22">
        <f>IF(OR($D453="",$R453="Trùng"),"",IF(COUNTIF(ORDERS!$C$2:$C$4995,$D453)&gt;0,"Có","Không"))</f>
        <v/>
      </c>
      <c r="W453" s="22">
        <f>IF(OR($D453="",$R453="Trùng"),"",COUNTIFS(ORDERS!$C$2:$C$4995,$D453,ORDERS!$L$2:$L$4995,"Đã chuyển khoản"))</f>
        <v/>
      </c>
      <c r="X453" s="23">
        <f>IF(OR($D453="",$R453="Trùng"),"",SUMIFS(ORDERS!$J$2:$J$4995,ORDERS!$C$2:$C$4995,$D453,ORDERS!$L$2:$L$4995,"Đã chuyển khoản"))</f>
        <v/>
      </c>
      <c r="Y453" s="24" t="n"/>
    </row>
    <row r="454" ht="14.25" customHeight="1" s="40">
      <c r="A454" s="24" t="n"/>
      <c r="B454" s="27" t="n"/>
      <c r="C454" s="24" t="n"/>
      <c r="D454" s="28" t="n"/>
      <c r="E454" s="29" t="n"/>
      <c r="F454" s="24" t="n"/>
      <c r="G454" s="24" t="n"/>
      <c r="H454" s="21">
        <f>IF(ISNUMBER($B454),INT($B454)-WEEKDAY($B454,2)+1,"")</f>
        <v/>
      </c>
      <c r="I454" s="24" t="n"/>
      <c r="J454" s="22">
        <f t="array" ref="J454">IF($D454="","",IF($I454="","(trống REF)",IFERROR(INDEX(MASTER_SOURCE!$B$2:$B$495,MATCH($I454,MASTER_SOURCE!$A$2:$A$495,0)),"(REF không có trong MASTER_SOURCE)")))</f>
        <v/>
      </c>
      <c r="K454" s="22">
        <f t="array" ref="K454">IF($D454="","",IFERROR(INDEX(MASTER_SOURCE!$C$2:$C$495,MATCH($I454,MASTER_SOURCE!$A$2:$A$495,0)),""))</f>
        <v/>
      </c>
      <c r="L454" s="22">
        <f t="array" ref="L454">IF($D454="","",IFERROR(INDEX(MASTER_SOURCE!$D$2:$D$495,MATCH($I454,MASTER_SOURCE!$A$2:$A$495,0)),""))</f>
        <v/>
      </c>
      <c r="M454" s="24" t="n"/>
      <c r="N454" s="24" t="n"/>
      <c r="O454" s="24" t="n"/>
      <c r="P454" s="24" t="n"/>
      <c r="Q454" s="22">
        <f>IF($D454="","",IF(AND(OR(DANH_MUC!$L$5&lt;&gt;"Có",M454="Có"),OR(DANH_MUC!$L$6&lt;&gt;"Có",N454="Có"),OR(DANH_MUC!$L$7&lt;&gt;"Có",O454="Có"),OR(DANH_MUC!$L$8&lt;&gt;"Có",P454="Có")),"Có","Không"))</f>
        <v/>
      </c>
      <c r="R454" s="22">
        <f>IF($D454="","",IF(COUNTIF($D$2:$D454,$D454)&gt;1,"Trùng",""))</f>
        <v/>
      </c>
      <c r="S454" s="22">
        <f>IF($D454="","",IF(AND(LEN($D454)=10,LEFT($D454,1)="0",ISNUMBER(--$D454)),"Có","Không"))</f>
        <v/>
      </c>
      <c r="T454" s="22">
        <f>IF($D454="","",IF(AND($C454&lt;&gt;"",$Q454="Có",$R454="",$S454="Có",AND($L454&lt;&gt;"",OR($L454&lt;&gt;"Chưa xác định",DANH_MUC!$L$9="Có"))),"Có","Không"))</f>
        <v/>
      </c>
      <c r="U454" s="22">
        <f>IF(OR($D454="",$T454="Có"),"",IF($C454="","Thiếu họ tên; ","")&amp;IF($S454&lt;&gt;"Có","SĐT sai định dạng; ","")&amp;IF($R454="Trùng","Trùng SĐT; ","")&amp;IF($Q454&lt;&gt;"Có","Thiếu đồng ý bắt buộc; ","")&amp;IF($L454="","Thiếu/sai Mã REF; ",IF(AND($L454="Chưa xác định",DANH_MUC!$L$9&lt;&gt;"Có"),"Nguồn chưa xác định; ","")))</f>
        <v/>
      </c>
      <c r="V454" s="22">
        <f>IF(OR($D454="",$R454="Trùng"),"",IF(COUNTIF(ORDERS!$C$2:$C$4995,$D454)&gt;0,"Có","Không"))</f>
        <v/>
      </c>
      <c r="W454" s="22">
        <f>IF(OR($D454="",$R454="Trùng"),"",COUNTIFS(ORDERS!$C$2:$C$4995,$D454,ORDERS!$L$2:$L$4995,"Đã chuyển khoản"))</f>
        <v/>
      </c>
      <c r="X454" s="23">
        <f>IF(OR($D454="",$R454="Trùng"),"",SUMIFS(ORDERS!$J$2:$J$4995,ORDERS!$C$2:$C$4995,$D454,ORDERS!$L$2:$L$4995,"Đã chuyển khoản"))</f>
        <v/>
      </c>
      <c r="Y454" s="24" t="n"/>
    </row>
    <row r="455" ht="14.25" customHeight="1" s="40">
      <c r="A455" s="24" t="n"/>
      <c r="B455" s="27" t="n"/>
      <c r="C455" s="24" t="n"/>
      <c r="D455" s="28" t="n"/>
      <c r="E455" s="29" t="n"/>
      <c r="F455" s="24" t="n"/>
      <c r="G455" s="24" t="n"/>
      <c r="H455" s="21">
        <f>IF(ISNUMBER($B455),INT($B455)-WEEKDAY($B455,2)+1,"")</f>
        <v/>
      </c>
      <c r="I455" s="24" t="n"/>
      <c r="J455" s="22">
        <f t="array" ref="J455">IF($D455="","",IF($I455="","(trống REF)",IFERROR(INDEX(MASTER_SOURCE!$B$2:$B$495,MATCH($I455,MASTER_SOURCE!$A$2:$A$495,0)),"(REF không có trong MASTER_SOURCE)")))</f>
        <v/>
      </c>
      <c r="K455" s="22">
        <f t="array" ref="K455">IF($D455="","",IFERROR(INDEX(MASTER_SOURCE!$C$2:$C$495,MATCH($I455,MASTER_SOURCE!$A$2:$A$495,0)),""))</f>
        <v/>
      </c>
      <c r="L455" s="22">
        <f t="array" ref="L455">IF($D455="","",IFERROR(INDEX(MASTER_SOURCE!$D$2:$D$495,MATCH($I455,MASTER_SOURCE!$A$2:$A$495,0)),""))</f>
        <v/>
      </c>
      <c r="M455" s="24" t="n"/>
      <c r="N455" s="24" t="n"/>
      <c r="O455" s="24" t="n"/>
      <c r="P455" s="24" t="n"/>
      <c r="Q455" s="22">
        <f>IF($D455="","",IF(AND(OR(DANH_MUC!$L$5&lt;&gt;"Có",M455="Có"),OR(DANH_MUC!$L$6&lt;&gt;"Có",N455="Có"),OR(DANH_MUC!$L$7&lt;&gt;"Có",O455="Có"),OR(DANH_MUC!$L$8&lt;&gt;"Có",P455="Có")),"Có","Không"))</f>
        <v/>
      </c>
      <c r="R455" s="22">
        <f>IF($D455="","",IF(COUNTIF($D$2:$D455,$D455)&gt;1,"Trùng",""))</f>
        <v/>
      </c>
      <c r="S455" s="22">
        <f>IF($D455="","",IF(AND(LEN($D455)=10,LEFT($D455,1)="0",ISNUMBER(--$D455)),"Có","Không"))</f>
        <v/>
      </c>
      <c r="T455" s="22">
        <f>IF($D455="","",IF(AND($C455&lt;&gt;"",$Q455="Có",$R455="",$S455="Có",AND($L455&lt;&gt;"",OR($L455&lt;&gt;"Chưa xác định",DANH_MUC!$L$9="Có"))),"Có","Không"))</f>
        <v/>
      </c>
      <c r="U455" s="22">
        <f>IF(OR($D455="",$T455="Có"),"",IF($C455="","Thiếu họ tên; ","")&amp;IF($S455&lt;&gt;"Có","SĐT sai định dạng; ","")&amp;IF($R455="Trùng","Trùng SĐT; ","")&amp;IF($Q455&lt;&gt;"Có","Thiếu đồng ý bắt buộc; ","")&amp;IF($L455="","Thiếu/sai Mã REF; ",IF(AND($L455="Chưa xác định",DANH_MUC!$L$9&lt;&gt;"Có"),"Nguồn chưa xác định; ","")))</f>
        <v/>
      </c>
      <c r="V455" s="22">
        <f>IF(OR($D455="",$R455="Trùng"),"",IF(COUNTIF(ORDERS!$C$2:$C$4995,$D455)&gt;0,"Có","Không"))</f>
        <v/>
      </c>
      <c r="W455" s="22">
        <f>IF(OR($D455="",$R455="Trùng"),"",COUNTIFS(ORDERS!$C$2:$C$4995,$D455,ORDERS!$L$2:$L$4995,"Đã chuyển khoản"))</f>
        <v/>
      </c>
      <c r="X455" s="23">
        <f>IF(OR($D455="",$R455="Trùng"),"",SUMIFS(ORDERS!$J$2:$J$4995,ORDERS!$C$2:$C$4995,$D455,ORDERS!$L$2:$L$4995,"Đã chuyển khoản"))</f>
        <v/>
      </c>
      <c r="Y455" s="24" t="n"/>
    </row>
    <row r="456" ht="14.25" customHeight="1" s="40">
      <c r="A456" s="24" t="n"/>
      <c r="B456" s="27" t="n"/>
      <c r="C456" s="24" t="n"/>
      <c r="D456" s="28" t="n"/>
      <c r="E456" s="29" t="n"/>
      <c r="F456" s="24" t="n"/>
      <c r="G456" s="24" t="n"/>
      <c r="H456" s="21">
        <f>IF(ISNUMBER($B456),INT($B456)-WEEKDAY($B456,2)+1,"")</f>
        <v/>
      </c>
      <c r="I456" s="24" t="n"/>
      <c r="J456" s="22">
        <f t="array" ref="J456">IF($D456="","",IF($I456="","(trống REF)",IFERROR(INDEX(MASTER_SOURCE!$B$2:$B$495,MATCH($I456,MASTER_SOURCE!$A$2:$A$495,0)),"(REF không có trong MASTER_SOURCE)")))</f>
        <v/>
      </c>
      <c r="K456" s="22">
        <f t="array" ref="K456">IF($D456="","",IFERROR(INDEX(MASTER_SOURCE!$C$2:$C$495,MATCH($I456,MASTER_SOURCE!$A$2:$A$495,0)),""))</f>
        <v/>
      </c>
      <c r="L456" s="22">
        <f t="array" ref="L456">IF($D456="","",IFERROR(INDEX(MASTER_SOURCE!$D$2:$D$495,MATCH($I456,MASTER_SOURCE!$A$2:$A$495,0)),""))</f>
        <v/>
      </c>
      <c r="M456" s="24" t="n"/>
      <c r="N456" s="24" t="n"/>
      <c r="O456" s="24" t="n"/>
      <c r="P456" s="24" t="n"/>
      <c r="Q456" s="22">
        <f>IF($D456="","",IF(AND(OR(DANH_MUC!$L$5&lt;&gt;"Có",M456="Có"),OR(DANH_MUC!$L$6&lt;&gt;"Có",N456="Có"),OR(DANH_MUC!$L$7&lt;&gt;"Có",O456="Có"),OR(DANH_MUC!$L$8&lt;&gt;"Có",P456="Có")),"Có","Không"))</f>
        <v/>
      </c>
      <c r="R456" s="22">
        <f>IF($D456="","",IF(COUNTIF($D$2:$D456,$D456)&gt;1,"Trùng",""))</f>
        <v/>
      </c>
      <c r="S456" s="22">
        <f>IF($D456="","",IF(AND(LEN($D456)=10,LEFT($D456,1)="0",ISNUMBER(--$D456)),"Có","Không"))</f>
        <v/>
      </c>
      <c r="T456" s="22">
        <f>IF($D456="","",IF(AND($C456&lt;&gt;"",$Q456="Có",$R456="",$S456="Có",AND($L456&lt;&gt;"",OR($L456&lt;&gt;"Chưa xác định",DANH_MUC!$L$9="Có"))),"Có","Không"))</f>
        <v/>
      </c>
      <c r="U456" s="22">
        <f>IF(OR($D456="",$T456="Có"),"",IF($C456="","Thiếu họ tên; ","")&amp;IF($S456&lt;&gt;"Có","SĐT sai định dạng; ","")&amp;IF($R456="Trùng","Trùng SĐT; ","")&amp;IF($Q456&lt;&gt;"Có","Thiếu đồng ý bắt buộc; ","")&amp;IF($L456="","Thiếu/sai Mã REF; ",IF(AND($L456="Chưa xác định",DANH_MUC!$L$9&lt;&gt;"Có"),"Nguồn chưa xác định; ","")))</f>
        <v/>
      </c>
      <c r="V456" s="22">
        <f>IF(OR($D456="",$R456="Trùng"),"",IF(COUNTIF(ORDERS!$C$2:$C$4995,$D456)&gt;0,"Có","Không"))</f>
        <v/>
      </c>
      <c r="W456" s="22">
        <f>IF(OR($D456="",$R456="Trùng"),"",COUNTIFS(ORDERS!$C$2:$C$4995,$D456,ORDERS!$L$2:$L$4995,"Đã chuyển khoản"))</f>
        <v/>
      </c>
      <c r="X456" s="23">
        <f>IF(OR($D456="",$R456="Trùng"),"",SUMIFS(ORDERS!$J$2:$J$4995,ORDERS!$C$2:$C$4995,$D456,ORDERS!$L$2:$L$4995,"Đã chuyển khoản"))</f>
        <v/>
      </c>
      <c r="Y456" s="24" t="n"/>
    </row>
    <row r="457" ht="14.25" customHeight="1" s="40">
      <c r="A457" s="24" t="n"/>
      <c r="B457" s="27" t="n"/>
      <c r="C457" s="24" t="n"/>
      <c r="D457" s="28" t="n"/>
      <c r="E457" s="29" t="n"/>
      <c r="F457" s="24" t="n"/>
      <c r="G457" s="24" t="n"/>
      <c r="H457" s="21">
        <f>IF(ISNUMBER($B457),INT($B457)-WEEKDAY($B457,2)+1,"")</f>
        <v/>
      </c>
      <c r="I457" s="24" t="n"/>
      <c r="J457" s="22">
        <f t="array" ref="J457">IF($D457="","",IF($I457="","(trống REF)",IFERROR(INDEX(MASTER_SOURCE!$B$2:$B$495,MATCH($I457,MASTER_SOURCE!$A$2:$A$495,0)),"(REF không có trong MASTER_SOURCE)")))</f>
        <v/>
      </c>
      <c r="K457" s="22">
        <f t="array" ref="K457">IF($D457="","",IFERROR(INDEX(MASTER_SOURCE!$C$2:$C$495,MATCH($I457,MASTER_SOURCE!$A$2:$A$495,0)),""))</f>
        <v/>
      </c>
      <c r="L457" s="22">
        <f t="array" ref="L457">IF($D457="","",IFERROR(INDEX(MASTER_SOURCE!$D$2:$D$495,MATCH($I457,MASTER_SOURCE!$A$2:$A$495,0)),""))</f>
        <v/>
      </c>
      <c r="M457" s="24" t="n"/>
      <c r="N457" s="24" t="n"/>
      <c r="O457" s="24" t="n"/>
      <c r="P457" s="24" t="n"/>
      <c r="Q457" s="22">
        <f>IF($D457="","",IF(AND(OR(DANH_MUC!$L$5&lt;&gt;"Có",M457="Có"),OR(DANH_MUC!$L$6&lt;&gt;"Có",N457="Có"),OR(DANH_MUC!$L$7&lt;&gt;"Có",O457="Có"),OR(DANH_MUC!$L$8&lt;&gt;"Có",P457="Có")),"Có","Không"))</f>
        <v/>
      </c>
      <c r="R457" s="22">
        <f>IF($D457="","",IF(COUNTIF($D$2:$D457,$D457)&gt;1,"Trùng",""))</f>
        <v/>
      </c>
      <c r="S457" s="22">
        <f>IF($D457="","",IF(AND(LEN($D457)=10,LEFT($D457,1)="0",ISNUMBER(--$D457)),"Có","Không"))</f>
        <v/>
      </c>
      <c r="T457" s="22">
        <f>IF($D457="","",IF(AND($C457&lt;&gt;"",$Q457="Có",$R457="",$S457="Có",AND($L457&lt;&gt;"",OR($L457&lt;&gt;"Chưa xác định",DANH_MUC!$L$9="Có"))),"Có","Không"))</f>
        <v/>
      </c>
      <c r="U457" s="22">
        <f>IF(OR($D457="",$T457="Có"),"",IF($C457="","Thiếu họ tên; ","")&amp;IF($S457&lt;&gt;"Có","SĐT sai định dạng; ","")&amp;IF($R457="Trùng","Trùng SĐT; ","")&amp;IF($Q457&lt;&gt;"Có","Thiếu đồng ý bắt buộc; ","")&amp;IF($L457="","Thiếu/sai Mã REF; ",IF(AND($L457="Chưa xác định",DANH_MUC!$L$9&lt;&gt;"Có"),"Nguồn chưa xác định; ","")))</f>
        <v/>
      </c>
      <c r="V457" s="22">
        <f>IF(OR($D457="",$R457="Trùng"),"",IF(COUNTIF(ORDERS!$C$2:$C$4995,$D457)&gt;0,"Có","Không"))</f>
        <v/>
      </c>
      <c r="W457" s="22">
        <f>IF(OR($D457="",$R457="Trùng"),"",COUNTIFS(ORDERS!$C$2:$C$4995,$D457,ORDERS!$L$2:$L$4995,"Đã chuyển khoản"))</f>
        <v/>
      </c>
      <c r="X457" s="23">
        <f>IF(OR($D457="",$R457="Trùng"),"",SUMIFS(ORDERS!$J$2:$J$4995,ORDERS!$C$2:$C$4995,$D457,ORDERS!$L$2:$L$4995,"Đã chuyển khoản"))</f>
        <v/>
      </c>
      <c r="Y457" s="24" t="n"/>
    </row>
    <row r="458" ht="14.25" customHeight="1" s="40">
      <c r="A458" s="24" t="n"/>
      <c r="B458" s="27" t="n"/>
      <c r="C458" s="24" t="n"/>
      <c r="D458" s="28" t="n"/>
      <c r="E458" s="29" t="n"/>
      <c r="F458" s="24" t="n"/>
      <c r="G458" s="24" t="n"/>
      <c r="H458" s="21">
        <f>IF(ISNUMBER($B458),INT($B458)-WEEKDAY($B458,2)+1,"")</f>
        <v/>
      </c>
      <c r="I458" s="24" t="n"/>
      <c r="J458" s="22">
        <f t="array" ref="J458">IF($D458="","",IF($I458="","(trống REF)",IFERROR(INDEX(MASTER_SOURCE!$B$2:$B$495,MATCH($I458,MASTER_SOURCE!$A$2:$A$495,0)),"(REF không có trong MASTER_SOURCE)")))</f>
        <v/>
      </c>
      <c r="K458" s="22">
        <f t="array" ref="K458">IF($D458="","",IFERROR(INDEX(MASTER_SOURCE!$C$2:$C$495,MATCH($I458,MASTER_SOURCE!$A$2:$A$495,0)),""))</f>
        <v/>
      </c>
      <c r="L458" s="22">
        <f t="array" ref="L458">IF($D458="","",IFERROR(INDEX(MASTER_SOURCE!$D$2:$D$495,MATCH($I458,MASTER_SOURCE!$A$2:$A$495,0)),""))</f>
        <v/>
      </c>
      <c r="M458" s="24" t="n"/>
      <c r="N458" s="24" t="n"/>
      <c r="O458" s="24" t="n"/>
      <c r="P458" s="24" t="n"/>
      <c r="Q458" s="22">
        <f>IF($D458="","",IF(AND(OR(DANH_MUC!$L$5&lt;&gt;"Có",M458="Có"),OR(DANH_MUC!$L$6&lt;&gt;"Có",N458="Có"),OR(DANH_MUC!$L$7&lt;&gt;"Có",O458="Có"),OR(DANH_MUC!$L$8&lt;&gt;"Có",P458="Có")),"Có","Không"))</f>
        <v/>
      </c>
      <c r="R458" s="22">
        <f>IF($D458="","",IF(COUNTIF($D$2:$D458,$D458)&gt;1,"Trùng",""))</f>
        <v/>
      </c>
      <c r="S458" s="22">
        <f>IF($D458="","",IF(AND(LEN($D458)=10,LEFT($D458,1)="0",ISNUMBER(--$D458)),"Có","Không"))</f>
        <v/>
      </c>
      <c r="T458" s="22">
        <f>IF($D458="","",IF(AND($C458&lt;&gt;"",$Q458="Có",$R458="",$S458="Có",AND($L458&lt;&gt;"",OR($L458&lt;&gt;"Chưa xác định",DANH_MUC!$L$9="Có"))),"Có","Không"))</f>
        <v/>
      </c>
      <c r="U458" s="22">
        <f>IF(OR($D458="",$T458="Có"),"",IF($C458="","Thiếu họ tên; ","")&amp;IF($S458&lt;&gt;"Có","SĐT sai định dạng; ","")&amp;IF($R458="Trùng","Trùng SĐT; ","")&amp;IF($Q458&lt;&gt;"Có","Thiếu đồng ý bắt buộc; ","")&amp;IF($L458="","Thiếu/sai Mã REF; ",IF(AND($L458="Chưa xác định",DANH_MUC!$L$9&lt;&gt;"Có"),"Nguồn chưa xác định; ","")))</f>
        <v/>
      </c>
      <c r="V458" s="22">
        <f>IF(OR($D458="",$R458="Trùng"),"",IF(COUNTIF(ORDERS!$C$2:$C$4995,$D458)&gt;0,"Có","Không"))</f>
        <v/>
      </c>
      <c r="W458" s="22">
        <f>IF(OR($D458="",$R458="Trùng"),"",COUNTIFS(ORDERS!$C$2:$C$4995,$D458,ORDERS!$L$2:$L$4995,"Đã chuyển khoản"))</f>
        <v/>
      </c>
      <c r="X458" s="23">
        <f>IF(OR($D458="",$R458="Trùng"),"",SUMIFS(ORDERS!$J$2:$J$4995,ORDERS!$C$2:$C$4995,$D458,ORDERS!$L$2:$L$4995,"Đã chuyển khoản"))</f>
        <v/>
      </c>
      <c r="Y458" s="24" t="n"/>
    </row>
    <row r="459" ht="14.25" customHeight="1" s="40">
      <c r="A459" s="24" t="n"/>
      <c r="B459" s="27" t="n"/>
      <c r="C459" s="24" t="n"/>
      <c r="D459" s="28" t="n"/>
      <c r="E459" s="29" t="n"/>
      <c r="F459" s="24" t="n"/>
      <c r="G459" s="24" t="n"/>
      <c r="H459" s="21">
        <f>IF(ISNUMBER($B459),INT($B459)-WEEKDAY($B459,2)+1,"")</f>
        <v/>
      </c>
      <c r="I459" s="24" t="n"/>
      <c r="J459" s="22">
        <f t="array" ref="J459">IF($D459="","",IF($I459="","(trống REF)",IFERROR(INDEX(MASTER_SOURCE!$B$2:$B$495,MATCH($I459,MASTER_SOURCE!$A$2:$A$495,0)),"(REF không có trong MASTER_SOURCE)")))</f>
        <v/>
      </c>
      <c r="K459" s="22">
        <f t="array" ref="K459">IF($D459="","",IFERROR(INDEX(MASTER_SOURCE!$C$2:$C$495,MATCH($I459,MASTER_SOURCE!$A$2:$A$495,0)),""))</f>
        <v/>
      </c>
      <c r="L459" s="22">
        <f t="array" ref="L459">IF($D459="","",IFERROR(INDEX(MASTER_SOURCE!$D$2:$D$495,MATCH($I459,MASTER_SOURCE!$A$2:$A$495,0)),""))</f>
        <v/>
      </c>
      <c r="M459" s="24" t="n"/>
      <c r="N459" s="24" t="n"/>
      <c r="O459" s="24" t="n"/>
      <c r="P459" s="24" t="n"/>
      <c r="Q459" s="22">
        <f>IF($D459="","",IF(AND(OR(DANH_MUC!$L$5&lt;&gt;"Có",M459="Có"),OR(DANH_MUC!$L$6&lt;&gt;"Có",N459="Có"),OR(DANH_MUC!$L$7&lt;&gt;"Có",O459="Có"),OR(DANH_MUC!$L$8&lt;&gt;"Có",P459="Có")),"Có","Không"))</f>
        <v/>
      </c>
      <c r="R459" s="22">
        <f>IF($D459="","",IF(COUNTIF($D$2:$D459,$D459)&gt;1,"Trùng",""))</f>
        <v/>
      </c>
      <c r="S459" s="22">
        <f>IF($D459="","",IF(AND(LEN($D459)=10,LEFT($D459,1)="0",ISNUMBER(--$D459)),"Có","Không"))</f>
        <v/>
      </c>
      <c r="T459" s="22">
        <f>IF($D459="","",IF(AND($C459&lt;&gt;"",$Q459="Có",$R459="",$S459="Có",AND($L459&lt;&gt;"",OR($L459&lt;&gt;"Chưa xác định",DANH_MUC!$L$9="Có"))),"Có","Không"))</f>
        <v/>
      </c>
      <c r="U459" s="22">
        <f>IF(OR($D459="",$T459="Có"),"",IF($C459="","Thiếu họ tên; ","")&amp;IF($S459&lt;&gt;"Có","SĐT sai định dạng; ","")&amp;IF($R459="Trùng","Trùng SĐT; ","")&amp;IF($Q459&lt;&gt;"Có","Thiếu đồng ý bắt buộc; ","")&amp;IF($L459="","Thiếu/sai Mã REF; ",IF(AND($L459="Chưa xác định",DANH_MUC!$L$9&lt;&gt;"Có"),"Nguồn chưa xác định; ","")))</f>
        <v/>
      </c>
      <c r="V459" s="22">
        <f>IF(OR($D459="",$R459="Trùng"),"",IF(COUNTIF(ORDERS!$C$2:$C$4995,$D459)&gt;0,"Có","Không"))</f>
        <v/>
      </c>
      <c r="W459" s="22">
        <f>IF(OR($D459="",$R459="Trùng"),"",COUNTIFS(ORDERS!$C$2:$C$4995,$D459,ORDERS!$L$2:$L$4995,"Đã chuyển khoản"))</f>
        <v/>
      </c>
      <c r="X459" s="23">
        <f>IF(OR($D459="",$R459="Trùng"),"",SUMIFS(ORDERS!$J$2:$J$4995,ORDERS!$C$2:$C$4995,$D459,ORDERS!$L$2:$L$4995,"Đã chuyển khoản"))</f>
        <v/>
      </c>
      <c r="Y459" s="24" t="n"/>
    </row>
    <row r="460" ht="14.25" customHeight="1" s="40">
      <c r="A460" s="24" t="n"/>
      <c r="B460" s="27" t="n"/>
      <c r="C460" s="24" t="n"/>
      <c r="D460" s="28" t="n"/>
      <c r="E460" s="29" t="n"/>
      <c r="F460" s="24" t="n"/>
      <c r="G460" s="24" t="n"/>
      <c r="H460" s="21">
        <f>IF(ISNUMBER($B460),INT($B460)-WEEKDAY($B460,2)+1,"")</f>
        <v/>
      </c>
      <c r="I460" s="24" t="n"/>
      <c r="J460" s="22">
        <f t="array" ref="J460">IF($D460="","",IF($I460="","(trống REF)",IFERROR(INDEX(MASTER_SOURCE!$B$2:$B$495,MATCH($I460,MASTER_SOURCE!$A$2:$A$495,0)),"(REF không có trong MASTER_SOURCE)")))</f>
        <v/>
      </c>
      <c r="K460" s="22">
        <f t="array" ref="K460">IF($D460="","",IFERROR(INDEX(MASTER_SOURCE!$C$2:$C$495,MATCH($I460,MASTER_SOURCE!$A$2:$A$495,0)),""))</f>
        <v/>
      </c>
      <c r="L460" s="22">
        <f t="array" ref="L460">IF($D460="","",IFERROR(INDEX(MASTER_SOURCE!$D$2:$D$495,MATCH($I460,MASTER_SOURCE!$A$2:$A$495,0)),""))</f>
        <v/>
      </c>
      <c r="M460" s="24" t="n"/>
      <c r="N460" s="24" t="n"/>
      <c r="O460" s="24" t="n"/>
      <c r="P460" s="24" t="n"/>
      <c r="Q460" s="22">
        <f>IF($D460="","",IF(AND(OR(DANH_MUC!$L$5&lt;&gt;"Có",M460="Có"),OR(DANH_MUC!$L$6&lt;&gt;"Có",N460="Có"),OR(DANH_MUC!$L$7&lt;&gt;"Có",O460="Có"),OR(DANH_MUC!$L$8&lt;&gt;"Có",P460="Có")),"Có","Không"))</f>
        <v/>
      </c>
      <c r="R460" s="22">
        <f>IF($D460="","",IF(COUNTIF($D$2:$D460,$D460)&gt;1,"Trùng",""))</f>
        <v/>
      </c>
      <c r="S460" s="22">
        <f>IF($D460="","",IF(AND(LEN($D460)=10,LEFT($D460,1)="0",ISNUMBER(--$D460)),"Có","Không"))</f>
        <v/>
      </c>
      <c r="T460" s="22">
        <f>IF($D460="","",IF(AND($C460&lt;&gt;"",$Q460="Có",$R460="",$S460="Có",AND($L460&lt;&gt;"",OR($L460&lt;&gt;"Chưa xác định",DANH_MUC!$L$9="Có"))),"Có","Không"))</f>
        <v/>
      </c>
      <c r="U460" s="22">
        <f>IF(OR($D460="",$T460="Có"),"",IF($C460="","Thiếu họ tên; ","")&amp;IF($S460&lt;&gt;"Có","SĐT sai định dạng; ","")&amp;IF($R460="Trùng","Trùng SĐT; ","")&amp;IF($Q460&lt;&gt;"Có","Thiếu đồng ý bắt buộc; ","")&amp;IF($L460="","Thiếu/sai Mã REF; ",IF(AND($L460="Chưa xác định",DANH_MUC!$L$9&lt;&gt;"Có"),"Nguồn chưa xác định; ","")))</f>
        <v/>
      </c>
      <c r="V460" s="22">
        <f>IF(OR($D460="",$R460="Trùng"),"",IF(COUNTIF(ORDERS!$C$2:$C$4995,$D460)&gt;0,"Có","Không"))</f>
        <v/>
      </c>
      <c r="W460" s="22">
        <f>IF(OR($D460="",$R460="Trùng"),"",COUNTIFS(ORDERS!$C$2:$C$4995,$D460,ORDERS!$L$2:$L$4995,"Đã chuyển khoản"))</f>
        <v/>
      </c>
      <c r="X460" s="23">
        <f>IF(OR($D460="",$R460="Trùng"),"",SUMIFS(ORDERS!$J$2:$J$4995,ORDERS!$C$2:$C$4995,$D460,ORDERS!$L$2:$L$4995,"Đã chuyển khoản"))</f>
        <v/>
      </c>
      <c r="Y460" s="24" t="n"/>
    </row>
    <row r="461" ht="14.25" customHeight="1" s="40">
      <c r="A461" s="24" t="n"/>
      <c r="B461" s="27" t="n"/>
      <c r="C461" s="24" t="n"/>
      <c r="D461" s="28" t="n"/>
      <c r="E461" s="29" t="n"/>
      <c r="F461" s="24" t="n"/>
      <c r="G461" s="24" t="n"/>
      <c r="H461" s="21">
        <f>IF(ISNUMBER($B461),INT($B461)-WEEKDAY($B461,2)+1,"")</f>
        <v/>
      </c>
      <c r="I461" s="24" t="n"/>
      <c r="J461" s="22">
        <f t="array" ref="J461">IF($D461="","",IF($I461="","(trống REF)",IFERROR(INDEX(MASTER_SOURCE!$B$2:$B$495,MATCH($I461,MASTER_SOURCE!$A$2:$A$495,0)),"(REF không có trong MASTER_SOURCE)")))</f>
        <v/>
      </c>
      <c r="K461" s="22">
        <f t="array" ref="K461">IF($D461="","",IFERROR(INDEX(MASTER_SOURCE!$C$2:$C$495,MATCH($I461,MASTER_SOURCE!$A$2:$A$495,0)),""))</f>
        <v/>
      </c>
      <c r="L461" s="22">
        <f t="array" ref="L461">IF($D461="","",IFERROR(INDEX(MASTER_SOURCE!$D$2:$D$495,MATCH($I461,MASTER_SOURCE!$A$2:$A$495,0)),""))</f>
        <v/>
      </c>
      <c r="M461" s="24" t="n"/>
      <c r="N461" s="24" t="n"/>
      <c r="O461" s="24" t="n"/>
      <c r="P461" s="24" t="n"/>
      <c r="Q461" s="22">
        <f>IF($D461="","",IF(AND(OR(DANH_MUC!$L$5&lt;&gt;"Có",M461="Có"),OR(DANH_MUC!$L$6&lt;&gt;"Có",N461="Có"),OR(DANH_MUC!$L$7&lt;&gt;"Có",O461="Có"),OR(DANH_MUC!$L$8&lt;&gt;"Có",P461="Có")),"Có","Không"))</f>
        <v/>
      </c>
      <c r="R461" s="22">
        <f>IF($D461="","",IF(COUNTIF($D$2:$D461,$D461)&gt;1,"Trùng",""))</f>
        <v/>
      </c>
      <c r="S461" s="22">
        <f>IF($D461="","",IF(AND(LEN($D461)=10,LEFT($D461,1)="0",ISNUMBER(--$D461)),"Có","Không"))</f>
        <v/>
      </c>
      <c r="T461" s="22">
        <f>IF($D461="","",IF(AND($C461&lt;&gt;"",$Q461="Có",$R461="",$S461="Có",AND($L461&lt;&gt;"",OR($L461&lt;&gt;"Chưa xác định",DANH_MUC!$L$9="Có"))),"Có","Không"))</f>
        <v/>
      </c>
      <c r="U461" s="22">
        <f>IF(OR($D461="",$T461="Có"),"",IF($C461="","Thiếu họ tên; ","")&amp;IF($S461&lt;&gt;"Có","SĐT sai định dạng; ","")&amp;IF($R461="Trùng","Trùng SĐT; ","")&amp;IF($Q461&lt;&gt;"Có","Thiếu đồng ý bắt buộc; ","")&amp;IF($L461="","Thiếu/sai Mã REF; ",IF(AND($L461="Chưa xác định",DANH_MUC!$L$9&lt;&gt;"Có"),"Nguồn chưa xác định; ","")))</f>
        <v/>
      </c>
      <c r="V461" s="22">
        <f>IF(OR($D461="",$R461="Trùng"),"",IF(COUNTIF(ORDERS!$C$2:$C$4995,$D461)&gt;0,"Có","Không"))</f>
        <v/>
      </c>
      <c r="W461" s="22">
        <f>IF(OR($D461="",$R461="Trùng"),"",COUNTIFS(ORDERS!$C$2:$C$4995,$D461,ORDERS!$L$2:$L$4995,"Đã chuyển khoản"))</f>
        <v/>
      </c>
      <c r="X461" s="23">
        <f>IF(OR($D461="",$R461="Trùng"),"",SUMIFS(ORDERS!$J$2:$J$4995,ORDERS!$C$2:$C$4995,$D461,ORDERS!$L$2:$L$4995,"Đã chuyển khoản"))</f>
        <v/>
      </c>
      <c r="Y461" s="24" t="n"/>
    </row>
    <row r="462" ht="14.25" customHeight="1" s="40">
      <c r="A462" s="24" t="n"/>
      <c r="B462" s="27" t="n"/>
      <c r="C462" s="24" t="n"/>
      <c r="D462" s="28" t="n"/>
      <c r="E462" s="29" t="n"/>
      <c r="F462" s="24" t="n"/>
      <c r="G462" s="24" t="n"/>
      <c r="H462" s="21">
        <f>IF(ISNUMBER($B462),INT($B462)-WEEKDAY($B462,2)+1,"")</f>
        <v/>
      </c>
      <c r="I462" s="24" t="n"/>
      <c r="J462" s="22">
        <f t="array" ref="J462">IF($D462="","",IF($I462="","(trống REF)",IFERROR(INDEX(MASTER_SOURCE!$B$2:$B$495,MATCH($I462,MASTER_SOURCE!$A$2:$A$495,0)),"(REF không có trong MASTER_SOURCE)")))</f>
        <v/>
      </c>
      <c r="K462" s="22">
        <f t="array" ref="K462">IF($D462="","",IFERROR(INDEX(MASTER_SOURCE!$C$2:$C$495,MATCH($I462,MASTER_SOURCE!$A$2:$A$495,0)),""))</f>
        <v/>
      </c>
      <c r="L462" s="22">
        <f t="array" ref="L462">IF($D462="","",IFERROR(INDEX(MASTER_SOURCE!$D$2:$D$495,MATCH($I462,MASTER_SOURCE!$A$2:$A$495,0)),""))</f>
        <v/>
      </c>
      <c r="M462" s="24" t="n"/>
      <c r="N462" s="24" t="n"/>
      <c r="O462" s="24" t="n"/>
      <c r="P462" s="24" t="n"/>
      <c r="Q462" s="22">
        <f>IF($D462="","",IF(AND(OR(DANH_MUC!$L$5&lt;&gt;"Có",M462="Có"),OR(DANH_MUC!$L$6&lt;&gt;"Có",N462="Có"),OR(DANH_MUC!$L$7&lt;&gt;"Có",O462="Có"),OR(DANH_MUC!$L$8&lt;&gt;"Có",P462="Có")),"Có","Không"))</f>
        <v/>
      </c>
      <c r="R462" s="22">
        <f>IF($D462="","",IF(COUNTIF($D$2:$D462,$D462)&gt;1,"Trùng",""))</f>
        <v/>
      </c>
      <c r="S462" s="22">
        <f>IF($D462="","",IF(AND(LEN($D462)=10,LEFT($D462,1)="0",ISNUMBER(--$D462)),"Có","Không"))</f>
        <v/>
      </c>
      <c r="T462" s="22">
        <f>IF($D462="","",IF(AND($C462&lt;&gt;"",$Q462="Có",$R462="",$S462="Có",AND($L462&lt;&gt;"",OR($L462&lt;&gt;"Chưa xác định",DANH_MUC!$L$9="Có"))),"Có","Không"))</f>
        <v/>
      </c>
      <c r="U462" s="22">
        <f>IF(OR($D462="",$T462="Có"),"",IF($C462="","Thiếu họ tên; ","")&amp;IF($S462&lt;&gt;"Có","SĐT sai định dạng; ","")&amp;IF($R462="Trùng","Trùng SĐT; ","")&amp;IF($Q462&lt;&gt;"Có","Thiếu đồng ý bắt buộc; ","")&amp;IF($L462="","Thiếu/sai Mã REF; ",IF(AND($L462="Chưa xác định",DANH_MUC!$L$9&lt;&gt;"Có"),"Nguồn chưa xác định; ","")))</f>
        <v/>
      </c>
      <c r="V462" s="22">
        <f>IF(OR($D462="",$R462="Trùng"),"",IF(COUNTIF(ORDERS!$C$2:$C$4995,$D462)&gt;0,"Có","Không"))</f>
        <v/>
      </c>
      <c r="W462" s="22">
        <f>IF(OR($D462="",$R462="Trùng"),"",COUNTIFS(ORDERS!$C$2:$C$4995,$D462,ORDERS!$L$2:$L$4995,"Đã chuyển khoản"))</f>
        <v/>
      </c>
      <c r="X462" s="23">
        <f>IF(OR($D462="",$R462="Trùng"),"",SUMIFS(ORDERS!$J$2:$J$4995,ORDERS!$C$2:$C$4995,$D462,ORDERS!$L$2:$L$4995,"Đã chuyển khoản"))</f>
        <v/>
      </c>
      <c r="Y462" s="24" t="n"/>
    </row>
    <row r="463" ht="14.25" customHeight="1" s="40">
      <c r="A463" s="24" t="n"/>
      <c r="B463" s="27" t="n"/>
      <c r="C463" s="24" t="n"/>
      <c r="D463" s="28" t="n"/>
      <c r="E463" s="29" t="n"/>
      <c r="F463" s="24" t="n"/>
      <c r="G463" s="24" t="n"/>
      <c r="H463" s="21">
        <f>IF(ISNUMBER($B463),INT($B463)-WEEKDAY($B463,2)+1,"")</f>
        <v/>
      </c>
      <c r="I463" s="24" t="n"/>
      <c r="J463" s="22">
        <f t="array" ref="J463">IF($D463="","",IF($I463="","(trống REF)",IFERROR(INDEX(MASTER_SOURCE!$B$2:$B$495,MATCH($I463,MASTER_SOURCE!$A$2:$A$495,0)),"(REF không có trong MASTER_SOURCE)")))</f>
        <v/>
      </c>
      <c r="K463" s="22">
        <f t="array" ref="K463">IF($D463="","",IFERROR(INDEX(MASTER_SOURCE!$C$2:$C$495,MATCH($I463,MASTER_SOURCE!$A$2:$A$495,0)),""))</f>
        <v/>
      </c>
      <c r="L463" s="22">
        <f t="array" ref="L463">IF($D463="","",IFERROR(INDEX(MASTER_SOURCE!$D$2:$D$495,MATCH($I463,MASTER_SOURCE!$A$2:$A$495,0)),""))</f>
        <v/>
      </c>
      <c r="M463" s="24" t="n"/>
      <c r="N463" s="24" t="n"/>
      <c r="O463" s="24" t="n"/>
      <c r="P463" s="24" t="n"/>
      <c r="Q463" s="22">
        <f>IF($D463="","",IF(AND(OR(DANH_MUC!$L$5&lt;&gt;"Có",M463="Có"),OR(DANH_MUC!$L$6&lt;&gt;"Có",N463="Có"),OR(DANH_MUC!$L$7&lt;&gt;"Có",O463="Có"),OR(DANH_MUC!$L$8&lt;&gt;"Có",P463="Có")),"Có","Không"))</f>
        <v/>
      </c>
      <c r="R463" s="22">
        <f>IF($D463="","",IF(COUNTIF($D$2:$D463,$D463)&gt;1,"Trùng",""))</f>
        <v/>
      </c>
      <c r="S463" s="22">
        <f>IF($D463="","",IF(AND(LEN($D463)=10,LEFT($D463,1)="0",ISNUMBER(--$D463)),"Có","Không"))</f>
        <v/>
      </c>
      <c r="T463" s="22">
        <f>IF($D463="","",IF(AND($C463&lt;&gt;"",$Q463="Có",$R463="",$S463="Có",AND($L463&lt;&gt;"",OR($L463&lt;&gt;"Chưa xác định",DANH_MUC!$L$9="Có"))),"Có","Không"))</f>
        <v/>
      </c>
      <c r="U463" s="22">
        <f>IF(OR($D463="",$T463="Có"),"",IF($C463="","Thiếu họ tên; ","")&amp;IF($S463&lt;&gt;"Có","SĐT sai định dạng; ","")&amp;IF($R463="Trùng","Trùng SĐT; ","")&amp;IF($Q463&lt;&gt;"Có","Thiếu đồng ý bắt buộc; ","")&amp;IF($L463="","Thiếu/sai Mã REF; ",IF(AND($L463="Chưa xác định",DANH_MUC!$L$9&lt;&gt;"Có"),"Nguồn chưa xác định; ","")))</f>
        <v/>
      </c>
      <c r="V463" s="22">
        <f>IF(OR($D463="",$R463="Trùng"),"",IF(COUNTIF(ORDERS!$C$2:$C$4995,$D463)&gt;0,"Có","Không"))</f>
        <v/>
      </c>
      <c r="W463" s="22">
        <f>IF(OR($D463="",$R463="Trùng"),"",COUNTIFS(ORDERS!$C$2:$C$4995,$D463,ORDERS!$L$2:$L$4995,"Đã chuyển khoản"))</f>
        <v/>
      </c>
      <c r="X463" s="23">
        <f>IF(OR($D463="",$R463="Trùng"),"",SUMIFS(ORDERS!$J$2:$J$4995,ORDERS!$C$2:$C$4995,$D463,ORDERS!$L$2:$L$4995,"Đã chuyển khoản"))</f>
        <v/>
      </c>
      <c r="Y463" s="24" t="n"/>
    </row>
    <row r="464" ht="14.25" customHeight="1" s="40">
      <c r="A464" s="24" t="n"/>
      <c r="B464" s="27" t="n"/>
      <c r="C464" s="24" t="n"/>
      <c r="D464" s="28" t="n"/>
      <c r="E464" s="29" t="n"/>
      <c r="F464" s="24" t="n"/>
      <c r="G464" s="24" t="n"/>
      <c r="H464" s="21">
        <f>IF(ISNUMBER($B464),INT($B464)-WEEKDAY($B464,2)+1,"")</f>
        <v/>
      </c>
      <c r="I464" s="24" t="n"/>
      <c r="J464" s="22">
        <f t="array" ref="J464">IF($D464="","",IF($I464="","(trống REF)",IFERROR(INDEX(MASTER_SOURCE!$B$2:$B$495,MATCH($I464,MASTER_SOURCE!$A$2:$A$495,0)),"(REF không có trong MASTER_SOURCE)")))</f>
        <v/>
      </c>
      <c r="K464" s="22">
        <f t="array" ref="K464">IF($D464="","",IFERROR(INDEX(MASTER_SOURCE!$C$2:$C$495,MATCH($I464,MASTER_SOURCE!$A$2:$A$495,0)),""))</f>
        <v/>
      </c>
      <c r="L464" s="22">
        <f t="array" ref="L464">IF($D464="","",IFERROR(INDEX(MASTER_SOURCE!$D$2:$D$495,MATCH($I464,MASTER_SOURCE!$A$2:$A$495,0)),""))</f>
        <v/>
      </c>
      <c r="M464" s="24" t="n"/>
      <c r="N464" s="24" t="n"/>
      <c r="O464" s="24" t="n"/>
      <c r="P464" s="24" t="n"/>
      <c r="Q464" s="22">
        <f>IF($D464="","",IF(AND(OR(DANH_MUC!$L$5&lt;&gt;"Có",M464="Có"),OR(DANH_MUC!$L$6&lt;&gt;"Có",N464="Có"),OR(DANH_MUC!$L$7&lt;&gt;"Có",O464="Có"),OR(DANH_MUC!$L$8&lt;&gt;"Có",P464="Có")),"Có","Không"))</f>
        <v/>
      </c>
      <c r="R464" s="22">
        <f>IF($D464="","",IF(COUNTIF($D$2:$D464,$D464)&gt;1,"Trùng",""))</f>
        <v/>
      </c>
      <c r="S464" s="22">
        <f>IF($D464="","",IF(AND(LEN($D464)=10,LEFT($D464,1)="0",ISNUMBER(--$D464)),"Có","Không"))</f>
        <v/>
      </c>
      <c r="T464" s="22">
        <f>IF($D464="","",IF(AND($C464&lt;&gt;"",$Q464="Có",$R464="",$S464="Có",AND($L464&lt;&gt;"",OR($L464&lt;&gt;"Chưa xác định",DANH_MUC!$L$9="Có"))),"Có","Không"))</f>
        <v/>
      </c>
      <c r="U464" s="22">
        <f>IF(OR($D464="",$T464="Có"),"",IF($C464="","Thiếu họ tên; ","")&amp;IF($S464&lt;&gt;"Có","SĐT sai định dạng; ","")&amp;IF($R464="Trùng","Trùng SĐT; ","")&amp;IF($Q464&lt;&gt;"Có","Thiếu đồng ý bắt buộc; ","")&amp;IF($L464="","Thiếu/sai Mã REF; ",IF(AND($L464="Chưa xác định",DANH_MUC!$L$9&lt;&gt;"Có"),"Nguồn chưa xác định; ","")))</f>
        <v/>
      </c>
      <c r="V464" s="22">
        <f>IF(OR($D464="",$R464="Trùng"),"",IF(COUNTIF(ORDERS!$C$2:$C$4995,$D464)&gt;0,"Có","Không"))</f>
        <v/>
      </c>
      <c r="W464" s="22">
        <f>IF(OR($D464="",$R464="Trùng"),"",COUNTIFS(ORDERS!$C$2:$C$4995,$D464,ORDERS!$L$2:$L$4995,"Đã chuyển khoản"))</f>
        <v/>
      </c>
      <c r="X464" s="23">
        <f>IF(OR($D464="",$R464="Trùng"),"",SUMIFS(ORDERS!$J$2:$J$4995,ORDERS!$C$2:$C$4995,$D464,ORDERS!$L$2:$L$4995,"Đã chuyển khoản"))</f>
        <v/>
      </c>
      <c r="Y464" s="24" t="n"/>
    </row>
    <row r="465" ht="14.25" customHeight="1" s="40">
      <c r="A465" s="24" t="n"/>
      <c r="B465" s="27" t="n"/>
      <c r="C465" s="24" t="n"/>
      <c r="D465" s="28" t="n"/>
      <c r="E465" s="29" t="n"/>
      <c r="F465" s="24" t="n"/>
      <c r="G465" s="24" t="n"/>
      <c r="H465" s="21">
        <f>IF(ISNUMBER($B465),INT($B465)-WEEKDAY($B465,2)+1,"")</f>
        <v/>
      </c>
      <c r="I465" s="24" t="n"/>
      <c r="J465" s="22">
        <f t="array" ref="J465">IF($D465="","",IF($I465="","(trống REF)",IFERROR(INDEX(MASTER_SOURCE!$B$2:$B$495,MATCH($I465,MASTER_SOURCE!$A$2:$A$495,0)),"(REF không có trong MASTER_SOURCE)")))</f>
        <v/>
      </c>
      <c r="K465" s="22">
        <f t="array" ref="K465">IF($D465="","",IFERROR(INDEX(MASTER_SOURCE!$C$2:$C$495,MATCH($I465,MASTER_SOURCE!$A$2:$A$495,0)),""))</f>
        <v/>
      </c>
      <c r="L465" s="22">
        <f t="array" ref="L465">IF($D465="","",IFERROR(INDEX(MASTER_SOURCE!$D$2:$D$495,MATCH($I465,MASTER_SOURCE!$A$2:$A$495,0)),""))</f>
        <v/>
      </c>
      <c r="M465" s="24" t="n"/>
      <c r="N465" s="24" t="n"/>
      <c r="O465" s="24" t="n"/>
      <c r="P465" s="24" t="n"/>
      <c r="Q465" s="22">
        <f>IF($D465="","",IF(AND(OR(DANH_MUC!$L$5&lt;&gt;"Có",M465="Có"),OR(DANH_MUC!$L$6&lt;&gt;"Có",N465="Có"),OR(DANH_MUC!$L$7&lt;&gt;"Có",O465="Có"),OR(DANH_MUC!$L$8&lt;&gt;"Có",P465="Có")),"Có","Không"))</f>
        <v/>
      </c>
      <c r="R465" s="22">
        <f>IF($D465="","",IF(COUNTIF($D$2:$D465,$D465)&gt;1,"Trùng",""))</f>
        <v/>
      </c>
      <c r="S465" s="22">
        <f>IF($D465="","",IF(AND(LEN($D465)=10,LEFT($D465,1)="0",ISNUMBER(--$D465)),"Có","Không"))</f>
        <v/>
      </c>
      <c r="T465" s="22">
        <f>IF($D465="","",IF(AND($C465&lt;&gt;"",$Q465="Có",$R465="",$S465="Có",AND($L465&lt;&gt;"",OR($L465&lt;&gt;"Chưa xác định",DANH_MUC!$L$9="Có"))),"Có","Không"))</f>
        <v/>
      </c>
      <c r="U465" s="22">
        <f>IF(OR($D465="",$T465="Có"),"",IF($C465="","Thiếu họ tên; ","")&amp;IF($S465&lt;&gt;"Có","SĐT sai định dạng; ","")&amp;IF($R465="Trùng","Trùng SĐT; ","")&amp;IF($Q465&lt;&gt;"Có","Thiếu đồng ý bắt buộc; ","")&amp;IF($L465="","Thiếu/sai Mã REF; ",IF(AND($L465="Chưa xác định",DANH_MUC!$L$9&lt;&gt;"Có"),"Nguồn chưa xác định; ","")))</f>
        <v/>
      </c>
      <c r="V465" s="22">
        <f>IF(OR($D465="",$R465="Trùng"),"",IF(COUNTIF(ORDERS!$C$2:$C$4995,$D465)&gt;0,"Có","Không"))</f>
        <v/>
      </c>
      <c r="W465" s="22">
        <f>IF(OR($D465="",$R465="Trùng"),"",COUNTIFS(ORDERS!$C$2:$C$4995,$D465,ORDERS!$L$2:$L$4995,"Đã chuyển khoản"))</f>
        <v/>
      </c>
      <c r="X465" s="23">
        <f>IF(OR($D465="",$R465="Trùng"),"",SUMIFS(ORDERS!$J$2:$J$4995,ORDERS!$C$2:$C$4995,$D465,ORDERS!$L$2:$L$4995,"Đã chuyển khoản"))</f>
        <v/>
      </c>
      <c r="Y465" s="24" t="n"/>
    </row>
    <row r="466" ht="14.25" customHeight="1" s="40">
      <c r="A466" s="24" t="n"/>
      <c r="B466" s="27" t="n"/>
      <c r="C466" s="24" t="n"/>
      <c r="D466" s="28" t="n"/>
      <c r="E466" s="29" t="n"/>
      <c r="F466" s="24" t="n"/>
      <c r="G466" s="24" t="n"/>
      <c r="H466" s="21">
        <f>IF(ISNUMBER($B466),INT($B466)-WEEKDAY($B466,2)+1,"")</f>
        <v/>
      </c>
      <c r="I466" s="24" t="n"/>
      <c r="J466" s="22">
        <f t="array" ref="J466">IF($D466="","",IF($I466="","(trống REF)",IFERROR(INDEX(MASTER_SOURCE!$B$2:$B$495,MATCH($I466,MASTER_SOURCE!$A$2:$A$495,0)),"(REF không có trong MASTER_SOURCE)")))</f>
        <v/>
      </c>
      <c r="K466" s="22">
        <f t="array" ref="K466">IF($D466="","",IFERROR(INDEX(MASTER_SOURCE!$C$2:$C$495,MATCH($I466,MASTER_SOURCE!$A$2:$A$495,0)),""))</f>
        <v/>
      </c>
      <c r="L466" s="22">
        <f t="array" ref="L466">IF($D466="","",IFERROR(INDEX(MASTER_SOURCE!$D$2:$D$495,MATCH($I466,MASTER_SOURCE!$A$2:$A$495,0)),""))</f>
        <v/>
      </c>
      <c r="M466" s="24" t="n"/>
      <c r="N466" s="24" t="n"/>
      <c r="O466" s="24" t="n"/>
      <c r="P466" s="24" t="n"/>
      <c r="Q466" s="22">
        <f>IF($D466="","",IF(AND(OR(DANH_MUC!$L$5&lt;&gt;"Có",M466="Có"),OR(DANH_MUC!$L$6&lt;&gt;"Có",N466="Có"),OR(DANH_MUC!$L$7&lt;&gt;"Có",O466="Có"),OR(DANH_MUC!$L$8&lt;&gt;"Có",P466="Có")),"Có","Không"))</f>
        <v/>
      </c>
      <c r="R466" s="22">
        <f>IF($D466="","",IF(COUNTIF($D$2:$D466,$D466)&gt;1,"Trùng",""))</f>
        <v/>
      </c>
      <c r="S466" s="22">
        <f>IF($D466="","",IF(AND(LEN($D466)=10,LEFT($D466,1)="0",ISNUMBER(--$D466)),"Có","Không"))</f>
        <v/>
      </c>
      <c r="T466" s="22">
        <f>IF($D466="","",IF(AND($C466&lt;&gt;"",$Q466="Có",$R466="",$S466="Có",AND($L466&lt;&gt;"",OR($L466&lt;&gt;"Chưa xác định",DANH_MUC!$L$9="Có"))),"Có","Không"))</f>
        <v/>
      </c>
      <c r="U466" s="22">
        <f>IF(OR($D466="",$T466="Có"),"",IF($C466="","Thiếu họ tên; ","")&amp;IF($S466&lt;&gt;"Có","SĐT sai định dạng; ","")&amp;IF($R466="Trùng","Trùng SĐT; ","")&amp;IF($Q466&lt;&gt;"Có","Thiếu đồng ý bắt buộc; ","")&amp;IF($L466="","Thiếu/sai Mã REF; ",IF(AND($L466="Chưa xác định",DANH_MUC!$L$9&lt;&gt;"Có"),"Nguồn chưa xác định; ","")))</f>
        <v/>
      </c>
      <c r="V466" s="22">
        <f>IF(OR($D466="",$R466="Trùng"),"",IF(COUNTIF(ORDERS!$C$2:$C$4995,$D466)&gt;0,"Có","Không"))</f>
        <v/>
      </c>
      <c r="W466" s="22">
        <f>IF(OR($D466="",$R466="Trùng"),"",COUNTIFS(ORDERS!$C$2:$C$4995,$D466,ORDERS!$L$2:$L$4995,"Đã chuyển khoản"))</f>
        <v/>
      </c>
      <c r="X466" s="23">
        <f>IF(OR($D466="",$R466="Trùng"),"",SUMIFS(ORDERS!$J$2:$J$4995,ORDERS!$C$2:$C$4995,$D466,ORDERS!$L$2:$L$4995,"Đã chuyển khoản"))</f>
        <v/>
      </c>
      <c r="Y466" s="24" t="n"/>
    </row>
    <row r="467" ht="14.25" customHeight="1" s="40">
      <c r="A467" s="24" t="n"/>
      <c r="B467" s="27" t="n"/>
      <c r="C467" s="24" t="n"/>
      <c r="D467" s="28" t="n"/>
      <c r="E467" s="29" t="n"/>
      <c r="F467" s="24" t="n"/>
      <c r="G467" s="24" t="n"/>
      <c r="H467" s="21">
        <f>IF(ISNUMBER($B467),INT($B467)-WEEKDAY($B467,2)+1,"")</f>
        <v/>
      </c>
      <c r="I467" s="24" t="n"/>
      <c r="J467" s="22">
        <f t="array" ref="J467">IF($D467="","",IF($I467="","(trống REF)",IFERROR(INDEX(MASTER_SOURCE!$B$2:$B$495,MATCH($I467,MASTER_SOURCE!$A$2:$A$495,0)),"(REF không có trong MASTER_SOURCE)")))</f>
        <v/>
      </c>
      <c r="K467" s="22">
        <f t="array" ref="K467">IF($D467="","",IFERROR(INDEX(MASTER_SOURCE!$C$2:$C$495,MATCH($I467,MASTER_SOURCE!$A$2:$A$495,0)),""))</f>
        <v/>
      </c>
      <c r="L467" s="22">
        <f t="array" ref="L467">IF($D467="","",IFERROR(INDEX(MASTER_SOURCE!$D$2:$D$495,MATCH($I467,MASTER_SOURCE!$A$2:$A$495,0)),""))</f>
        <v/>
      </c>
      <c r="M467" s="24" t="n"/>
      <c r="N467" s="24" t="n"/>
      <c r="O467" s="24" t="n"/>
      <c r="P467" s="24" t="n"/>
      <c r="Q467" s="22">
        <f>IF($D467="","",IF(AND(OR(DANH_MUC!$L$5&lt;&gt;"Có",M467="Có"),OR(DANH_MUC!$L$6&lt;&gt;"Có",N467="Có"),OR(DANH_MUC!$L$7&lt;&gt;"Có",O467="Có"),OR(DANH_MUC!$L$8&lt;&gt;"Có",P467="Có")),"Có","Không"))</f>
        <v/>
      </c>
      <c r="R467" s="22">
        <f>IF($D467="","",IF(COUNTIF($D$2:$D467,$D467)&gt;1,"Trùng",""))</f>
        <v/>
      </c>
      <c r="S467" s="22">
        <f>IF($D467="","",IF(AND(LEN($D467)=10,LEFT($D467,1)="0",ISNUMBER(--$D467)),"Có","Không"))</f>
        <v/>
      </c>
      <c r="T467" s="22">
        <f>IF($D467="","",IF(AND($C467&lt;&gt;"",$Q467="Có",$R467="",$S467="Có",AND($L467&lt;&gt;"",OR($L467&lt;&gt;"Chưa xác định",DANH_MUC!$L$9="Có"))),"Có","Không"))</f>
        <v/>
      </c>
      <c r="U467" s="22">
        <f>IF(OR($D467="",$T467="Có"),"",IF($C467="","Thiếu họ tên; ","")&amp;IF($S467&lt;&gt;"Có","SĐT sai định dạng; ","")&amp;IF($R467="Trùng","Trùng SĐT; ","")&amp;IF($Q467&lt;&gt;"Có","Thiếu đồng ý bắt buộc; ","")&amp;IF($L467="","Thiếu/sai Mã REF; ",IF(AND($L467="Chưa xác định",DANH_MUC!$L$9&lt;&gt;"Có"),"Nguồn chưa xác định; ","")))</f>
        <v/>
      </c>
      <c r="V467" s="22">
        <f>IF(OR($D467="",$R467="Trùng"),"",IF(COUNTIF(ORDERS!$C$2:$C$4995,$D467)&gt;0,"Có","Không"))</f>
        <v/>
      </c>
      <c r="W467" s="22">
        <f>IF(OR($D467="",$R467="Trùng"),"",COUNTIFS(ORDERS!$C$2:$C$4995,$D467,ORDERS!$L$2:$L$4995,"Đã chuyển khoản"))</f>
        <v/>
      </c>
      <c r="X467" s="23">
        <f>IF(OR($D467="",$R467="Trùng"),"",SUMIFS(ORDERS!$J$2:$J$4995,ORDERS!$C$2:$C$4995,$D467,ORDERS!$L$2:$L$4995,"Đã chuyển khoản"))</f>
        <v/>
      </c>
      <c r="Y467" s="24" t="n"/>
    </row>
    <row r="468" ht="14.25" customHeight="1" s="40">
      <c r="A468" s="24" t="n"/>
      <c r="B468" s="27" t="n"/>
      <c r="C468" s="24" t="n"/>
      <c r="D468" s="28" t="n"/>
      <c r="E468" s="29" t="n"/>
      <c r="F468" s="24" t="n"/>
      <c r="G468" s="24" t="n"/>
      <c r="H468" s="21">
        <f>IF(ISNUMBER($B468),INT($B468)-WEEKDAY($B468,2)+1,"")</f>
        <v/>
      </c>
      <c r="I468" s="24" t="n"/>
      <c r="J468" s="22">
        <f t="array" ref="J468">IF($D468="","",IF($I468="","(trống REF)",IFERROR(INDEX(MASTER_SOURCE!$B$2:$B$495,MATCH($I468,MASTER_SOURCE!$A$2:$A$495,0)),"(REF không có trong MASTER_SOURCE)")))</f>
        <v/>
      </c>
      <c r="K468" s="22">
        <f t="array" ref="K468">IF($D468="","",IFERROR(INDEX(MASTER_SOURCE!$C$2:$C$495,MATCH($I468,MASTER_SOURCE!$A$2:$A$495,0)),""))</f>
        <v/>
      </c>
      <c r="L468" s="22">
        <f t="array" ref="L468">IF($D468="","",IFERROR(INDEX(MASTER_SOURCE!$D$2:$D$495,MATCH($I468,MASTER_SOURCE!$A$2:$A$495,0)),""))</f>
        <v/>
      </c>
      <c r="M468" s="24" t="n"/>
      <c r="N468" s="24" t="n"/>
      <c r="O468" s="24" t="n"/>
      <c r="P468" s="24" t="n"/>
      <c r="Q468" s="22">
        <f>IF($D468="","",IF(AND(OR(DANH_MUC!$L$5&lt;&gt;"Có",M468="Có"),OR(DANH_MUC!$L$6&lt;&gt;"Có",N468="Có"),OR(DANH_MUC!$L$7&lt;&gt;"Có",O468="Có"),OR(DANH_MUC!$L$8&lt;&gt;"Có",P468="Có")),"Có","Không"))</f>
        <v/>
      </c>
      <c r="R468" s="22">
        <f>IF($D468="","",IF(COUNTIF($D$2:$D468,$D468)&gt;1,"Trùng",""))</f>
        <v/>
      </c>
      <c r="S468" s="22">
        <f>IF($D468="","",IF(AND(LEN($D468)=10,LEFT($D468,1)="0",ISNUMBER(--$D468)),"Có","Không"))</f>
        <v/>
      </c>
      <c r="T468" s="22">
        <f>IF($D468="","",IF(AND($C468&lt;&gt;"",$Q468="Có",$R468="",$S468="Có",AND($L468&lt;&gt;"",OR($L468&lt;&gt;"Chưa xác định",DANH_MUC!$L$9="Có"))),"Có","Không"))</f>
        <v/>
      </c>
      <c r="U468" s="22">
        <f>IF(OR($D468="",$T468="Có"),"",IF($C468="","Thiếu họ tên; ","")&amp;IF($S468&lt;&gt;"Có","SĐT sai định dạng; ","")&amp;IF($R468="Trùng","Trùng SĐT; ","")&amp;IF($Q468&lt;&gt;"Có","Thiếu đồng ý bắt buộc; ","")&amp;IF($L468="","Thiếu/sai Mã REF; ",IF(AND($L468="Chưa xác định",DANH_MUC!$L$9&lt;&gt;"Có"),"Nguồn chưa xác định; ","")))</f>
        <v/>
      </c>
      <c r="V468" s="22">
        <f>IF(OR($D468="",$R468="Trùng"),"",IF(COUNTIF(ORDERS!$C$2:$C$4995,$D468)&gt;0,"Có","Không"))</f>
        <v/>
      </c>
      <c r="W468" s="22">
        <f>IF(OR($D468="",$R468="Trùng"),"",COUNTIFS(ORDERS!$C$2:$C$4995,$D468,ORDERS!$L$2:$L$4995,"Đã chuyển khoản"))</f>
        <v/>
      </c>
      <c r="X468" s="23">
        <f>IF(OR($D468="",$R468="Trùng"),"",SUMIFS(ORDERS!$J$2:$J$4995,ORDERS!$C$2:$C$4995,$D468,ORDERS!$L$2:$L$4995,"Đã chuyển khoản"))</f>
        <v/>
      </c>
      <c r="Y468" s="24" t="n"/>
    </row>
    <row r="469" ht="14.25" customHeight="1" s="40">
      <c r="A469" s="24" t="n"/>
      <c r="B469" s="27" t="n"/>
      <c r="C469" s="24" t="n"/>
      <c r="D469" s="28" t="n"/>
      <c r="E469" s="29" t="n"/>
      <c r="F469" s="24" t="n"/>
      <c r="G469" s="24" t="n"/>
      <c r="H469" s="21">
        <f>IF(ISNUMBER($B469),INT($B469)-WEEKDAY($B469,2)+1,"")</f>
        <v/>
      </c>
      <c r="I469" s="24" t="n"/>
      <c r="J469" s="22">
        <f t="array" ref="J469">IF($D469="","",IF($I469="","(trống REF)",IFERROR(INDEX(MASTER_SOURCE!$B$2:$B$495,MATCH($I469,MASTER_SOURCE!$A$2:$A$495,0)),"(REF không có trong MASTER_SOURCE)")))</f>
        <v/>
      </c>
      <c r="K469" s="22">
        <f t="array" ref="K469">IF($D469="","",IFERROR(INDEX(MASTER_SOURCE!$C$2:$C$495,MATCH($I469,MASTER_SOURCE!$A$2:$A$495,0)),""))</f>
        <v/>
      </c>
      <c r="L469" s="22">
        <f t="array" ref="L469">IF($D469="","",IFERROR(INDEX(MASTER_SOURCE!$D$2:$D$495,MATCH($I469,MASTER_SOURCE!$A$2:$A$495,0)),""))</f>
        <v/>
      </c>
      <c r="M469" s="24" t="n"/>
      <c r="N469" s="24" t="n"/>
      <c r="O469" s="24" t="n"/>
      <c r="P469" s="24" t="n"/>
      <c r="Q469" s="22">
        <f>IF($D469="","",IF(AND(OR(DANH_MUC!$L$5&lt;&gt;"Có",M469="Có"),OR(DANH_MUC!$L$6&lt;&gt;"Có",N469="Có"),OR(DANH_MUC!$L$7&lt;&gt;"Có",O469="Có"),OR(DANH_MUC!$L$8&lt;&gt;"Có",P469="Có")),"Có","Không"))</f>
        <v/>
      </c>
      <c r="R469" s="22">
        <f>IF($D469="","",IF(COUNTIF($D$2:$D469,$D469)&gt;1,"Trùng",""))</f>
        <v/>
      </c>
      <c r="S469" s="22">
        <f>IF($D469="","",IF(AND(LEN($D469)=10,LEFT($D469,1)="0",ISNUMBER(--$D469)),"Có","Không"))</f>
        <v/>
      </c>
      <c r="T469" s="22">
        <f>IF($D469="","",IF(AND($C469&lt;&gt;"",$Q469="Có",$R469="",$S469="Có",AND($L469&lt;&gt;"",OR($L469&lt;&gt;"Chưa xác định",DANH_MUC!$L$9="Có"))),"Có","Không"))</f>
        <v/>
      </c>
      <c r="U469" s="22">
        <f>IF(OR($D469="",$T469="Có"),"",IF($C469="","Thiếu họ tên; ","")&amp;IF($S469&lt;&gt;"Có","SĐT sai định dạng; ","")&amp;IF($R469="Trùng","Trùng SĐT; ","")&amp;IF($Q469&lt;&gt;"Có","Thiếu đồng ý bắt buộc; ","")&amp;IF($L469="","Thiếu/sai Mã REF; ",IF(AND($L469="Chưa xác định",DANH_MUC!$L$9&lt;&gt;"Có"),"Nguồn chưa xác định; ","")))</f>
        <v/>
      </c>
      <c r="V469" s="22">
        <f>IF(OR($D469="",$R469="Trùng"),"",IF(COUNTIF(ORDERS!$C$2:$C$4995,$D469)&gt;0,"Có","Không"))</f>
        <v/>
      </c>
      <c r="W469" s="22">
        <f>IF(OR($D469="",$R469="Trùng"),"",COUNTIFS(ORDERS!$C$2:$C$4995,$D469,ORDERS!$L$2:$L$4995,"Đã chuyển khoản"))</f>
        <v/>
      </c>
      <c r="X469" s="23">
        <f>IF(OR($D469="",$R469="Trùng"),"",SUMIFS(ORDERS!$J$2:$J$4995,ORDERS!$C$2:$C$4995,$D469,ORDERS!$L$2:$L$4995,"Đã chuyển khoản"))</f>
        <v/>
      </c>
      <c r="Y469" s="24" t="n"/>
    </row>
    <row r="470" ht="14.25" customHeight="1" s="40">
      <c r="A470" s="24" t="n"/>
      <c r="B470" s="27" t="n"/>
      <c r="C470" s="24" t="n"/>
      <c r="D470" s="28" t="n"/>
      <c r="E470" s="29" t="n"/>
      <c r="F470" s="24" t="n"/>
      <c r="G470" s="24" t="n"/>
      <c r="H470" s="21">
        <f>IF(ISNUMBER($B470),INT($B470)-WEEKDAY($B470,2)+1,"")</f>
        <v/>
      </c>
      <c r="I470" s="24" t="n"/>
      <c r="J470" s="22">
        <f t="array" ref="J470">IF($D470="","",IF($I470="","(trống REF)",IFERROR(INDEX(MASTER_SOURCE!$B$2:$B$495,MATCH($I470,MASTER_SOURCE!$A$2:$A$495,0)),"(REF không có trong MASTER_SOURCE)")))</f>
        <v/>
      </c>
      <c r="K470" s="22">
        <f t="array" ref="K470">IF($D470="","",IFERROR(INDEX(MASTER_SOURCE!$C$2:$C$495,MATCH($I470,MASTER_SOURCE!$A$2:$A$495,0)),""))</f>
        <v/>
      </c>
      <c r="L470" s="22">
        <f t="array" ref="L470">IF($D470="","",IFERROR(INDEX(MASTER_SOURCE!$D$2:$D$495,MATCH($I470,MASTER_SOURCE!$A$2:$A$495,0)),""))</f>
        <v/>
      </c>
      <c r="M470" s="24" t="n"/>
      <c r="N470" s="24" t="n"/>
      <c r="O470" s="24" t="n"/>
      <c r="P470" s="24" t="n"/>
      <c r="Q470" s="22">
        <f>IF($D470="","",IF(AND(OR(DANH_MUC!$L$5&lt;&gt;"Có",M470="Có"),OR(DANH_MUC!$L$6&lt;&gt;"Có",N470="Có"),OR(DANH_MUC!$L$7&lt;&gt;"Có",O470="Có"),OR(DANH_MUC!$L$8&lt;&gt;"Có",P470="Có")),"Có","Không"))</f>
        <v/>
      </c>
      <c r="R470" s="22">
        <f>IF($D470="","",IF(COUNTIF($D$2:$D470,$D470)&gt;1,"Trùng",""))</f>
        <v/>
      </c>
      <c r="S470" s="22">
        <f>IF($D470="","",IF(AND(LEN($D470)=10,LEFT($D470,1)="0",ISNUMBER(--$D470)),"Có","Không"))</f>
        <v/>
      </c>
      <c r="T470" s="22">
        <f>IF($D470="","",IF(AND($C470&lt;&gt;"",$Q470="Có",$R470="",$S470="Có",AND($L470&lt;&gt;"",OR($L470&lt;&gt;"Chưa xác định",DANH_MUC!$L$9="Có"))),"Có","Không"))</f>
        <v/>
      </c>
      <c r="U470" s="22">
        <f>IF(OR($D470="",$T470="Có"),"",IF($C470="","Thiếu họ tên; ","")&amp;IF($S470&lt;&gt;"Có","SĐT sai định dạng; ","")&amp;IF($R470="Trùng","Trùng SĐT; ","")&amp;IF($Q470&lt;&gt;"Có","Thiếu đồng ý bắt buộc; ","")&amp;IF($L470="","Thiếu/sai Mã REF; ",IF(AND($L470="Chưa xác định",DANH_MUC!$L$9&lt;&gt;"Có"),"Nguồn chưa xác định; ","")))</f>
        <v/>
      </c>
      <c r="V470" s="22">
        <f>IF(OR($D470="",$R470="Trùng"),"",IF(COUNTIF(ORDERS!$C$2:$C$4995,$D470)&gt;0,"Có","Không"))</f>
        <v/>
      </c>
      <c r="W470" s="22">
        <f>IF(OR($D470="",$R470="Trùng"),"",COUNTIFS(ORDERS!$C$2:$C$4995,$D470,ORDERS!$L$2:$L$4995,"Đã chuyển khoản"))</f>
        <v/>
      </c>
      <c r="X470" s="23">
        <f>IF(OR($D470="",$R470="Trùng"),"",SUMIFS(ORDERS!$J$2:$J$4995,ORDERS!$C$2:$C$4995,$D470,ORDERS!$L$2:$L$4995,"Đã chuyển khoản"))</f>
        <v/>
      </c>
      <c r="Y470" s="24" t="n"/>
    </row>
    <row r="471" ht="14.25" customHeight="1" s="40">
      <c r="A471" s="24" t="n"/>
      <c r="B471" s="27" t="n"/>
      <c r="C471" s="24" t="n"/>
      <c r="D471" s="28" t="n"/>
      <c r="E471" s="29" t="n"/>
      <c r="F471" s="24" t="n"/>
      <c r="G471" s="24" t="n"/>
      <c r="H471" s="21">
        <f>IF(ISNUMBER($B471),INT($B471)-WEEKDAY($B471,2)+1,"")</f>
        <v/>
      </c>
      <c r="I471" s="24" t="n"/>
      <c r="J471" s="22">
        <f t="array" ref="J471">IF($D471="","",IF($I471="","(trống REF)",IFERROR(INDEX(MASTER_SOURCE!$B$2:$B$495,MATCH($I471,MASTER_SOURCE!$A$2:$A$495,0)),"(REF không có trong MASTER_SOURCE)")))</f>
        <v/>
      </c>
      <c r="K471" s="22">
        <f t="array" ref="K471">IF($D471="","",IFERROR(INDEX(MASTER_SOURCE!$C$2:$C$495,MATCH($I471,MASTER_SOURCE!$A$2:$A$495,0)),""))</f>
        <v/>
      </c>
      <c r="L471" s="22">
        <f t="array" ref="L471">IF($D471="","",IFERROR(INDEX(MASTER_SOURCE!$D$2:$D$495,MATCH($I471,MASTER_SOURCE!$A$2:$A$495,0)),""))</f>
        <v/>
      </c>
      <c r="M471" s="24" t="n"/>
      <c r="N471" s="24" t="n"/>
      <c r="O471" s="24" t="n"/>
      <c r="P471" s="24" t="n"/>
      <c r="Q471" s="22">
        <f>IF($D471="","",IF(AND(OR(DANH_MUC!$L$5&lt;&gt;"Có",M471="Có"),OR(DANH_MUC!$L$6&lt;&gt;"Có",N471="Có"),OR(DANH_MUC!$L$7&lt;&gt;"Có",O471="Có"),OR(DANH_MUC!$L$8&lt;&gt;"Có",P471="Có")),"Có","Không"))</f>
        <v/>
      </c>
      <c r="R471" s="22">
        <f>IF($D471="","",IF(COUNTIF($D$2:$D471,$D471)&gt;1,"Trùng",""))</f>
        <v/>
      </c>
      <c r="S471" s="22">
        <f>IF($D471="","",IF(AND(LEN($D471)=10,LEFT($D471,1)="0",ISNUMBER(--$D471)),"Có","Không"))</f>
        <v/>
      </c>
      <c r="T471" s="22">
        <f>IF($D471="","",IF(AND($C471&lt;&gt;"",$Q471="Có",$R471="",$S471="Có",AND($L471&lt;&gt;"",OR($L471&lt;&gt;"Chưa xác định",DANH_MUC!$L$9="Có"))),"Có","Không"))</f>
        <v/>
      </c>
      <c r="U471" s="22">
        <f>IF(OR($D471="",$T471="Có"),"",IF($C471="","Thiếu họ tên; ","")&amp;IF($S471&lt;&gt;"Có","SĐT sai định dạng; ","")&amp;IF($R471="Trùng","Trùng SĐT; ","")&amp;IF($Q471&lt;&gt;"Có","Thiếu đồng ý bắt buộc; ","")&amp;IF($L471="","Thiếu/sai Mã REF; ",IF(AND($L471="Chưa xác định",DANH_MUC!$L$9&lt;&gt;"Có"),"Nguồn chưa xác định; ","")))</f>
        <v/>
      </c>
      <c r="V471" s="22">
        <f>IF(OR($D471="",$R471="Trùng"),"",IF(COUNTIF(ORDERS!$C$2:$C$4995,$D471)&gt;0,"Có","Không"))</f>
        <v/>
      </c>
      <c r="W471" s="22">
        <f>IF(OR($D471="",$R471="Trùng"),"",COUNTIFS(ORDERS!$C$2:$C$4995,$D471,ORDERS!$L$2:$L$4995,"Đã chuyển khoản"))</f>
        <v/>
      </c>
      <c r="X471" s="23">
        <f>IF(OR($D471="",$R471="Trùng"),"",SUMIFS(ORDERS!$J$2:$J$4995,ORDERS!$C$2:$C$4995,$D471,ORDERS!$L$2:$L$4995,"Đã chuyển khoản"))</f>
        <v/>
      </c>
      <c r="Y471" s="24" t="n"/>
    </row>
    <row r="472" ht="14.25" customHeight="1" s="40">
      <c r="A472" s="24" t="n"/>
      <c r="B472" s="27" t="n"/>
      <c r="C472" s="24" t="n"/>
      <c r="D472" s="28" t="n"/>
      <c r="E472" s="29" t="n"/>
      <c r="F472" s="24" t="n"/>
      <c r="G472" s="24" t="n"/>
      <c r="H472" s="21">
        <f>IF(ISNUMBER($B472),INT($B472)-WEEKDAY($B472,2)+1,"")</f>
        <v/>
      </c>
      <c r="I472" s="24" t="n"/>
      <c r="J472" s="22">
        <f t="array" ref="J472">IF($D472="","",IF($I472="","(trống REF)",IFERROR(INDEX(MASTER_SOURCE!$B$2:$B$495,MATCH($I472,MASTER_SOURCE!$A$2:$A$495,0)),"(REF không có trong MASTER_SOURCE)")))</f>
        <v/>
      </c>
      <c r="K472" s="22">
        <f t="array" ref="K472">IF($D472="","",IFERROR(INDEX(MASTER_SOURCE!$C$2:$C$495,MATCH($I472,MASTER_SOURCE!$A$2:$A$495,0)),""))</f>
        <v/>
      </c>
      <c r="L472" s="22">
        <f t="array" ref="L472">IF($D472="","",IFERROR(INDEX(MASTER_SOURCE!$D$2:$D$495,MATCH($I472,MASTER_SOURCE!$A$2:$A$495,0)),""))</f>
        <v/>
      </c>
      <c r="M472" s="24" t="n"/>
      <c r="N472" s="24" t="n"/>
      <c r="O472" s="24" t="n"/>
      <c r="P472" s="24" t="n"/>
      <c r="Q472" s="22">
        <f>IF($D472="","",IF(AND(OR(DANH_MUC!$L$5&lt;&gt;"Có",M472="Có"),OR(DANH_MUC!$L$6&lt;&gt;"Có",N472="Có"),OR(DANH_MUC!$L$7&lt;&gt;"Có",O472="Có"),OR(DANH_MUC!$L$8&lt;&gt;"Có",P472="Có")),"Có","Không"))</f>
        <v/>
      </c>
      <c r="R472" s="22">
        <f>IF($D472="","",IF(COUNTIF($D$2:$D472,$D472)&gt;1,"Trùng",""))</f>
        <v/>
      </c>
      <c r="S472" s="22">
        <f>IF($D472="","",IF(AND(LEN($D472)=10,LEFT($D472,1)="0",ISNUMBER(--$D472)),"Có","Không"))</f>
        <v/>
      </c>
      <c r="T472" s="22">
        <f>IF($D472="","",IF(AND($C472&lt;&gt;"",$Q472="Có",$R472="",$S472="Có",AND($L472&lt;&gt;"",OR($L472&lt;&gt;"Chưa xác định",DANH_MUC!$L$9="Có"))),"Có","Không"))</f>
        <v/>
      </c>
      <c r="U472" s="22">
        <f>IF(OR($D472="",$T472="Có"),"",IF($C472="","Thiếu họ tên; ","")&amp;IF($S472&lt;&gt;"Có","SĐT sai định dạng; ","")&amp;IF($R472="Trùng","Trùng SĐT; ","")&amp;IF($Q472&lt;&gt;"Có","Thiếu đồng ý bắt buộc; ","")&amp;IF($L472="","Thiếu/sai Mã REF; ",IF(AND($L472="Chưa xác định",DANH_MUC!$L$9&lt;&gt;"Có"),"Nguồn chưa xác định; ","")))</f>
        <v/>
      </c>
      <c r="V472" s="22">
        <f>IF(OR($D472="",$R472="Trùng"),"",IF(COUNTIF(ORDERS!$C$2:$C$4995,$D472)&gt;0,"Có","Không"))</f>
        <v/>
      </c>
      <c r="W472" s="22">
        <f>IF(OR($D472="",$R472="Trùng"),"",COUNTIFS(ORDERS!$C$2:$C$4995,$D472,ORDERS!$L$2:$L$4995,"Đã chuyển khoản"))</f>
        <v/>
      </c>
      <c r="X472" s="23">
        <f>IF(OR($D472="",$R472="Trùng"),"",SUMIFS(ORDERS!$J$2:$J$4995,ORDERS!$C$2:$C$4995,$D472,ORDERS!$L$2:$L$4995,"Đã chuyển khoản"))</f>
        <v/>
      </c>
      <c r="Y472" s="24" t="n"/>
    </row>
    <row r="473" ht="14.25" customHeight="1" s="40">
      <c r="A473" s="24" t="n"/>
      <c r="B473" s="27" t="n"/>
      <c r="C473" s="24" t="n"/>
      <c r="D473" s="28" t="n"/>
      <c r="E473" s="29" t="n"/>
      <c r="F473" s="24" t="n"/>
      <c r="G473" s="24" t="n"/>
      <c r="H473" s="21">
        <f>IF(ISNUMBER($B473),INT($B473)-WEEKDAY($B473,2)+1,"")</f>
        <v/>
      </c>
      <c r="I473" s="24" t="n"/>
      <c r="J473" s="22">
        <f t="array" ref="J473">IF($D473="","",IF($I473="","(trống REF)",IFERROR(INDEX(MASTER_SOURCE!$B$2:$B$495,MATCH($I473,MASTER_SOURCE!$A$2:$A$495,0)),"(REF không có trong MASTER_SOURCE)")))</f>
        <v/>
      </c>
      <c r="K473" s="22">
        <f t="array" ref="K473">IF($D473="","",IFERROR(INDEX(MASTER_SOURCE!$C$2:$C$495,MATCH($I473,MASTER_SOURCE!$A$2:$A$495,0)),""))</f>
        <v/>
      </c>
      <c r="L473" s="22">
        <f t="array" ref="L473">IF($D473="","",IFERROR(INDEX(MASTER_SOURCE!$D$2:$D$495,MATCH($I473,MASTER_SOURCE!$A$2:$A$495,0)),""))</f>
        <v/>
      </c>
      <c r="M473" s="24" t="n"/>
      <c r="N473" s="24" t="n"/>
      <c r="O473" s="24" t="n"/>
      <c r="P473" s="24" t="n"/>
      <c r="Q473" s="22">
        <f>IF($D473="","",IF(AND(OR(DANH_MUC!$L$5&lt;&gt;"Có",M473="Có"),OR(DANH_MUC!$L$6&lt;&gt;"Có",N473="Có"),OR(DANH_MUC!$L$7&lt;&gt;"Có",O473="Có"),OR(DANH_MUC!$L$8&lt;&gt;"Có",P473="Có")),"Có","Không"))</f>
        <v/>
      </c>
      <c r="R473" s="22">
        <f>IF($D473="","",IF(COUNTIF($D$2:$D473,$D473)&gt;1,"Trùng",""))</f>
        <v/>
      </c>
      <c r="S473" s="22">
        <f>IF($D473="","",IF(AND(LEN($D473)=10,LEFT($D473,1)="0",ISNUMBER(--$D473)),"Có","Không"))</f>
        <v/>
      </c>
      <c r="T473" s="22">
        <f>IF($D473="","",IF(AND($C473&lt;&gt;"",$Q473="Có",$R473="",$S473="Có",AND($L473&lt;&gt;"",OR($L473&lt;&gt;"Chưa xác định",DANH_MUC!$L$9="Có"))),"Có","Không"))</f>
        <v/>
      </c>
      <c r="U473" s="22">
        <f>IF(OR($D473="",$T473="Có"),"",IF($C473="","Thiếu họ tên; ","")&amp;IF($S473&lt;&gt;"Có","SĐT sai định dạng; ","")&amp;IF($R473="Trùng","Trùng SĐT; ","")&amp;IF($Q473&lt;&gt;"Có","Thiếu đồng ý bắt buộc; ","")&amp;IF($L473="","Thiếu/sai Mã REF; ",IF(AND($L473="Chưa xác định",DANH_MUC!$L$9&lt;&gt;"Có"),"Nguồn chưa xác định; ","")))</f>
        <v/>
      </c>
      <c r="V473" s="22">
        <f>IF(OR($D473="",$R473="Trùng"),"",IF(COUNTIF(ORDERS!$C$2:$C$4995,$D473)&gt;0,"Có","Không"))</f>
        <v/>
      </c>
      <c r="W473" s="22">
        <f>IF(OR($D473="",$R473="Trùng"),"",COUNTIFS(ORDERS!$C$2:$C$4995,$D473,ORDERS!$L$2:$L$4995,"Đã chuyển khoản"))</f>
        <v/>
      </c>
      <c r="X473" s="23">
        <f>IF(OR($D473="",$R473="Trùng"),"",SUMIFS(ORDERS!$J$2:$J$4995,ORDERS!$C$2:$C$4995,$D473,ORDERS!$L$2:$L$4995,"Đã chuyển khoản"))</f>
        <v/>
      </c>
      <c r="Y473" s="24" t="n"/>
    </row>
    <row r="474" ht="14.25" customHeight="1" s="40">
      <c r="A474" s="24" t="n"/>
      <c r="B474" s="27" t="n"/>
      <c r="C474" s="24" t="n"/>
      <c r="D474" s="28" t="n"/>
      <c r="E474" s="29" t="n"/>
      <c r="F474" s="24" t="n"/>
      <c r="G474" s="24" t="n"/>
      <c r="H474" s="21">
        <f>IF(ISNUMBER($B474),INT($B474)-WEEKDAY($B474,2)+1,"")</f>
        <v/>
      </c>
      <c r="I474" s="24" t="n"/>
      <c r="J474" s="22">
        <f t="array" ref="J474">IF($D474="","",IF($I474="","(trống REF)",IFERROR(INDEX(MASTER_SOURCE!$B$2:$B$495,MATCH($I474,MASTER_SOURCE!$A$2:$A$495,0)),"(REF không có trong MASTER_SOURCE)")))</f>
        <v/>
      </c>
      <c r="K474" s="22">
        <f t="array" ref="K474">IF($D474="","",IFERROR(INDEX(MASTER_SOURCE!$C$2:$C$495,MATCH($I474,MASTER_SOURCE!$A$2:$A$495,0)),""))</f>
        <v/>
      </c>
      <c r="L474" s="22">
        <f t="array" ref="L474">IF($D474="","",IFERROR(INDEX(MASTER_SOURCE!$D$2:$D$495,MATCH($I474,MASTER_SOURCE!$A$2:$A$495,0)),""))</f>
        <v/>
      </c>
      <c r="M474" s="24" t="n"/>
      <c r="N474" s="24" t="n"/>
      <c r="O474" s="24" t="n"/>
      <c r="P474" s="24" t="n"/>
      <c r="Q474" s="22">
        <f>IF($D474="","",IF(AND(OR(DANH_MUC!$L$5&lt;&gt;"Có",M474="Có"),OR(DANH_MUC!$L$6&lt;&gt;"Có",N474="Có"),OR(DANH_MUC!$L$7&lt;&gt;"Có",O474="Có"),OR(DANH_MUC!$L$8&lt;&gt;"Có",P474="Có")),"Có","Không"))</f>
        <v/>
      </c>
      <c r="R474" s="22">
        <f>IF($D474="","",IF(COUNTIF($D$2:$D474,$D474)&gt;1,"Trùng",""))</f>
        <v/>
      </c>
      <c r="S474" s="22">
        <f>IF($D474="","",IF(AND(LEN($D474)=10,LEFT($D474,1)="0",ISNUMBER(--$D474)),"Có","Không"))</f>
        <v/>
      </c>
      <c r="T474" s="22">
        <f>IF($D474="","",IF(AND($C474&lt;&gt;"",$Q474="Có",$R474="",$S474="Có",AND($L474&lt;&gt;"",OR($L474&lt;&gt;"Chưa xác định",DANH_MUC!$L$9="Có"))),"Có","Không"))</f>
        <v/>
      </c>
      <c r="U474" s="22">
        <f>IF(OR($D474="",$T474="Có"),"",IF($C474="","Thiếu họ tên; ","")&amp;IF($S474&lt;&gt;"Có","SĐT sai định dạng; ","")&amp;IF($R474="Trùng","Trùng SĐT; ","")&amp;IF($Q474&lt;&gt;"Có","Thiếu đồng ý bắt buộc; ","")&amp;IF($L474="","Thiếu/sai Mã REF; ",IF(AND($L474="Chưa xác định",DANH_MUC!$L$9&lt;&gt;"Có"),"Nguồn chưa xác định; ","")))</f>
        <v/>
      </c>
      <c r="V474" s="22">
        <f>IF(OR($D474="",$R474="Trùng"),"",IF(COUNTIF(ORDERS!$C$2:$C$4995,$D474)&gt;0,"Có","Không"))</f>
        <v/>
      </c>
      <c r="W474" s="22">
        <f>IF(OR($D474="",$R474="Trùng"),"",COUNTIFS(ORDERS!$C$2:$C$4995,$D474,ORDERS!$L$2:$L$4995,"Đã chuyển khoản"))</f>
        <v/>
      </c>
      <c r="X474" s="23">
        <f>IF(OR($D474="",$R474="Trùng"),"",SUMIFS(ORDERS!$J$2:$J$4995,ORDERS!$C$2:$C$4995,$D474,ORDERS!$L$2:$L$4995,"Đã chuyển khoản"))</f>
        <v/>
      </c>
      <c r="Y474" s="24" t="n"/>
    </row>
    <row r="475" ht="14.25" customHeight="1" s="40">
      <c r="A475" s="24" t="n"/>
      <c r="B475" s="27" t="n"/>
      <c r="C475" s="24" t="n"/>
      <c r="D475" s="28" t="n"/>
      <c r="E475" s="29" t="n"/>
      <c r="F475" s="24" t="n"/>
      <c r="G475" s="24" t="n"/>
      <c r="H475" s="21">
        <f>IF(ISNUMBER($B475),INT($B475)-WEEKDAY($B475,2)+1,"")</f>
        <v/>
      </c>
      <c r="I475" s="24" t="n"/>
      <c r="J475" s="22">
        <f t="array" ref="J475">IF($D475="","",IF($I475="","(trống REF)",IFERROR(INDEX(MASTER_SOURCE!$B$2:$B$495,MATCH($I475,MASTER_SOURCE!$A$2:$A$495,0)),"(REF không có trong MASTER_SOURCE)")))</f>
        <v/>
      </c>
      <c r="K475" s="22">
        <f t="array" ref="K475">IF($D475="","",IFERROR(INDEX(MASTER_SOURCE!$C$2:$C$495,MATCH($I475,MASTER_SOURCE!$A$2:$A$495,0)),""))</f>
        <v/>
      </c>
      <c r="L475" s="22">
        <f t="array" ref="L475">IF($D475="","",IFERROR(INDEX(MASTER_SOURCE!$D$2:$D$495,MATCH($I475,MASTER_SOURCE!$A$2:$A$495,0)),""))</f>
        <v/>
      </c>
      <c r="M475" s="24" t="n"/>
      <c r="N475" s="24" t="n"/>
      <c r="O475" s="24" t="n"/>
      <c r="P475" s="24" t="n"/>
      <c r="Q475" s="22">
        <f>IF($D475="","",IF(AND(OR(DANH_MUC!$L$5&lt;&gt;"Có",M475="Có"),OR(DANH_MUC!$L$6&lt;&gt;"Có",N475="Có"),OR(DANH_MUC!$L$7&lt;&gt;"Có",O475="Có"),OR(DANH_MUC!$L$8&lt;&gt;"Có",P475="Có")),"Có","Không"))</f>
        <v/>
      </c>
      <c r="R475" s="22">
        <f>IF($D475="","",IF(COUNTIF($D$2:$D475,$D475)&gt;1,"Trùng",""))</f>
        <v/>
      </c>
      <c r="S475" s="22">
        <f>IF($D475="","",IF(AND(LEN($D475)=10,LEFT($D475,1)="0",ISNUMBER(--$D475)),"Có","Không"))</f>
        <v/>
      </c>
      <c r="T475" s="22">
        <f>IF($D475="","",IF(AND($C475&lt;&gt;"",$Q475="Có",$R475="",$S475="Có",AND($L475&lt;&gt;"",OR($L475&lt;&gt;"Chưa xác định",DANH_MUC!$L$9="Có"))),"Có","Không"))</f>
        <v/>
      </c>
      <c r="U475" s="22">
        <f>IF(OR($D475="",$T475="Có"),"",IF($C475="","Thiếu họ tên; ","")&amp;IF($S475&lt;&gt;"Có","SĐT sai định dạng; ","")&amp;IF($R475="Trùng","Trùng SĐT; ","")&amp;IF($Q475&lt;&gt;"Có","Thiếu đồng ý bắt buộc; ","")&amp;IF($L475="","Thiếu/sai Mã REF; ",IF(AND($L475="Chưa xác định",DANH_MUC!$L$9&lt;&gt;"Có"),"Nguồn chưa xác định; ","")))</f>
        <v/>
      </c>
      <c r="V475" s="22">
        <f>IF(OR($D475="",$R475="Trùng"),"",IF(COUNTIF(ORDERS!$C$2:$C$4995,$D475)&gt;0,"Có","Không"))</f>
        <v/>
      </c>
      <c r="W475" s="22">
        <f>IF(OR($D475="",$R475="Trùng"),"",COUNTIFS(ORDERS!$C$2:$C$4995,$D475,ORDERS!$L$2:$L$4995,"Đã chuyển khoản"))</f>
        <v/>
      </c>
      <c r="X475" s="23">
        <f>IF(OR($D475="",$R475="Trùng"),"",SUMIFS(ORDERS!$J$2:$J$4995,ORDERS!$C$2:$C$4995,$D475,ORDERS!$L$2:$L$4995,"Đã chuyển khoản"))</f>
        <v/>
      </c>
      <c r="Y475" s="24" t="n"/>
    </row>
    <row r="476" ht="14.25" customHeight="1" s="40">
      <c r="A476" s="24" t="n"/>
      <c r="B476" s="27" t="n"/>
      <c r="C476" s="24" t="n"/>
      <c r="D476" s="28" t="n"/>
      <c r="E476" s="29" t="n"/>
      <c r="F476" s="24" t="n"/>
      <c r="G476" s="24" t="n"/>
      <c r="H476" s="21">
        <f>IF(ISNUMBER($B476),INT($B476)-WEEKDAY($B476,2)+1,"")</f>
        <v/>
      </c>
      <c r="I476" s="24" t="n"/>
      <c r="J476" s="22">
        <f t="array" ref="J476">IF($D476="","",IF($I476="","(trống REF)",IFERROR(INDEX(MASTER_SOURCE!$B$2:$B$495,MATCH($I476,MASTER_SOURCE!$A$2:$A$495,0)),"(REF không có trong MASTER_SOURCE)")))</f>
        <v/>
      </c>
      <c r="K476" s="22">
        <f t="array" ref="K476">IF($D476="","",IFERROR(INDEX(MASTER_SOURCE!$C$2:$C$495,MATCH($I476,MASTER_SOURCE!$A$2:$A$495,0)),""))</f>
        <v/>
      </c>
      <c r="L476" s="22">
        <f t="array" ref="L476">IF($D476="","",IFERROR(INDEX(MASTER_SOURCE!$D$2:$D$495,MATCH($I476,MASTER_SOURCE!$A$2:$A$495,0)),""))</f>
        <v/>
      </c>
      <c r="M476" s="24" t="n"/>
      <c r="N476" s="24" t="n"/>
      <c r="O476" s="24" t="n"/>
      <c r="P476" s="24" t="n"/>
      <c r="Q476" s="22">
        <f>IF($D476="","",IF(AND(OR(DANH_MUC!$L$5&lt;&gt;"Có",M476="Có"),OR(DANH_MUC!$L$6&lt;&gt;"Có",N476="Có"),OR(DANH_MUC!$L$7&lt;&gt;"Có",O476="Có"),OR(DANH_MUC!$L$8&lt;&gt;"Có",P476="Có")),"Có","Không"))</f>
        <v/>
      </c>
      <c r="R476" s="22">
        <f>IF($D476="","",IF(COUNTIF($D$2:$D476,$D476)&gt;1,"Trùng",""))</f>
        <v/>
      </c>
      <c r="S476" s="22">
        <f>IF($D476="","",IF(AND(LEN($D476)=10,LEFT($D476,1)="0",ISNUMBER(--$D476)),"Có","Không"))</f>
        <v/>
      </c>
      <c r="T476" s="22">
        <f>IF($D476="","",IF(AND($C476&lt;&gt;"",$Q476="Có",$R476="",$S476="Có",AND($L476&lt;&gt;"",OR($L476&lt;&gt;"Chưa xác định",DANH_MUC!$L$9="Có"))),"Có","Không"))</f>
        <v/>
      </c>
      <c r="U476" s="22">
        <f>IF(OR($D476="",$T476="Có"),"",IF($C476="","Thiếu họ tên; ","")&amp;IF($S476&lt;&gt;"Có","SĐT sai định dạng; ","")&amp;IF($R476="Trùng","Trùng SĐT; ","")&amp;IF($Q476&lt;&gt;"Có","Thiếu đồng ý bắt buộc; ","")&amp;IF($L476="","Thiếu/sai Mã REF; ",IF(AND($L476="Chưa xác định",DANH_MUC!$L$9&lt;&gt;"Có"),"Nguồn chưa xác định; ","")))</f>
        <v/>
      </c>
      <c r="V476" s="22">
        <f>IF(OR($D476="",$R476="Trùng"),"",IF(COUNTIF(ORDERS!$C$2:$C$4995,$D476)&gt;0,"Có","Không"))</f>
        <v/>
      </c>
      <c r="W476" s="22">
        <f>IF(OR($D476="",$R476="Trùng"),"",COUNTIFS(ORDERS!$C$2:$C$4995,$D476,ORDERS!$L$2:$L$4995,"Đã chuyển khoản"))</f>
        <v/>
      </c>
      <c r="X476" s="23">
        <f>IF(OR($D476="",$R476="Trùng"),"",SUMIFS(ORDERS!$J$2:$J$4995,ORDERS!$C$2:$C$4995,$D476,ORDERS!$L$2:$L$4995,"Đã chuyển khoản"))</f>
        <v/>
      </c>
      <c r="Y476" s="24" t="n"/>
    </row>
    <row r="477" ht="14.25" customHeight="1" s="40">
      <c r="A477" s="24" t="n"/>
      <c r="B477" s="27" t="n"/>
      <c r="C477" s="24" t="n"/>
      <c r="D477" s="28" t="n"/>
      <c r="E477" s="29" t="n"/>
      <c r="F477" s="24" t="n"/>
      <c r="G477" s="24" t="n"/>
      <c r="H477" s="21">
        <f>IF(ISNUMBER($B477),INT($B477)-WEEKDAY($B477,2)+1,"")</f>
        <v/>
      </c>
      <c r="I477" s="24" t="n"/>
      <c r="J477" s="22">
        <f t="array" ref="J477">IF($D477="","",IF($I477="","(trống REF)",IFERROR(INDEX(MASTER_SOURCE!$B$2:$B$495,MATCH($I477,MASTER_SOURCE!$A$2:$A$495,0)),"(REF không có trong MASTER_SOURCE)")))</f>
        <v/>
      </c>
      <c r="K477" s="22">
        <f t="array" ref="K477">IF($D477="","",IFERROR(INDEX(MASTER_SOURCE!$C$2:$C$495,MATCH($I477,MASTER_SOURCE!$A$2:$A$495,0)),""))</f>
        <v/>
      </c>
      <c r="L477" s="22">
        <f t="array" ref="L477">IF($D477="","",IFERROR(INDEX(MASTER_SOURCE!$D$2:$D$495,MATCH($I477,MASTER_SOURCE!$A$2:$A$495,0)),""))</f>
        <v/>
      </c>
      <c r="M477" s="24" t="n"/>
      <c r="N477" s="24" t="n"/>
      <c r="O477" s="24" t="n"/>
      <c r="P477" s="24" t="n"/>
      <c r="Q477" s="22">
        <f>IF($D477="","",IF(AND(OR(DANH_MUC!$L$5&lt;&gt;"Có",M477="Có"),OR(DANH_MUC!$L$6&lt;&gt;"Có",N477="Có"),OR(DANH_MUC!$L$7&lt;&gt;"Có",O477="Có"),OR(DANH_MUC!$L$8&lt;&gt;"Có",P477="Có")),"Có","Không"))</f>
        <v/>
      </c>
      <c r="R477" s="22">
        <f>IF($D477="","",IF(COUNTIF($D$2:$D477,$D477)&gt;1,"Trùng",""))</f>
        <v/>
      </c>
      <c r="S477" s="22">
        <f>IF($D477="","",IF(AND(LEN($D477)=10,LEFT($D477,1)="0",ISNUMBER(--$D477)),"Có","Không"))</f>
        <v/>
      </c>
      <c r="T477" s="22">
        <f>IF($D477="","",IF(AND($C477&lt;&gt;"",$Q477="Có",$R477="",$S477="Có",AND($L477&lt;&gt;"",OR($L477&lt;&gt;"Chưa xác định",DANH_MUC!$L$9="Có"))),"Có","Không"))</f>
        <v/>
      </c>
      <c r="U477" s="22">
        <f>IF(OR($D477="",$T477="Có"),"",IF($C477="","Thiếu họ tên; ","")&amp;IF($S477&lt;&gt;"Có","SĐT sai định dạng; ","")&amp;IF($R477="Trùng","Trùng SĐT; ","")&amp;IF($Q477&lt;&gt;"Có","Thiếu đồng ý bắt buộc; ","")&amp;IF($L477="","Thiếu/sai Mã REF; ",IF(AND($L477="Chưa xác định",DANH_MUC!$L$9&lt;&gt;"Có"),"Nguồn chưa xác định; ","")))</f>
        <v/>
      </c>
      <c r="V477" s="22">
        <f>IF(OR($D477="",$R477="Trùng"),"",IF(COUNTIF(ORDERS!$C$2:$C$4995,$D477)&gt;0,"Có","Không"))</f>
        <v/>
      </c>
      <c r="W477" s="22">
        <f>IF(OR($D477="",$R477="Trùng"),"",COUNTIFS(ORDERS!$C$2:$C$4995,$D477,ORDERS!$L$2:$L$4995,"Đã chuyển khoản"))</f>
        <v/>
      </c>
      <c r="X477" s="23">
        <f>IF(OR($D477="",$R477="Trùng"),"",SUMIFS(ORDERS!$J$2:$J$4995,ORDERS!$C$2:$C$4995,$D477,ORDERS!$L$2:$L$4995,"Đã chuyển khoản"))</f>
        <v/>
      </c>
      <c r="Y477" s="24" t="n"/>
    </row>
    <row r="478" ht="14.25" customHeight="1" s="40">
      <c r="A478" s="24" t="n"/>
      <c r="B478" s="27" t="n"/>
      <c r="C478" s="24" t="n"/>
      <c r="D478" s="28" t="n"/>
      <c r="E478" s="29" t="n"/>
      <c r="F478" s="24" t="n"/>
      <c r="G478" s="24" t="n"/>
      <c r="H478" s="21">
        <f>IF(ISNUMBER($B478),INT($B478)-WEEKDAY($B478,2)+1,"")</f>
        <v/>
      </c>
      <c r="I478" s="24" t="n"/>
      <c r="J478" s="22">
        <f t="array" ref="J478">IF($D478="","",IF($I478="","(trống REF)",IFERROR(INDEX(MASTER_SOURCE!$B$2:$B$495,MATCH($I478,MASTER_SOURCE!$A$2:$A$495,0)),"(REF không có trong MASTER_SOURCE)")))</f>
        <v/>
      </c>
      <c r="K478" s="22">
        <f t="array" ref="K478">IF($D478="","",IFERROR(INDEX(MASTER_SOURCE!$C$2:$C$495,MATCH($I478,MASTER_SOURCE!$A$2:$A$495,0)),""))</f>
        <v/>
      </c>
      <c r="L478" s="22">
        <f t="array" ref="L478">IF($D478="","",IFERROR(INDEX(MASTER_SOURCE!$D$2:$D$495,MATCH($I478,MASTER_SOURCE!$A$2:$A$495,0)),""))</f>
        <v/>
      </c>
      <c r="M478" s="24" t="n"/>
      <c r="N478" s="24" t="n"/>
      <c r="O478" s="24" t="n"/>
      <c r="P478" s="24" t="n"/>
      <c r="Q478" s="22">
        <f>IF($D478="","",IF(AND(OR(DANH_MUC!$L$5&lt;&gt;"Có",M478="Có"),OR(DANH_MUC!$L$6&lt;&gt;"Có",N478="Có"),OR(DANH_MUC!$L$7&lt;&gt;"Có",O478="Có"),OR(DANH_MUC!$L$8&lt;&gt;"Có",P478="Có")),"Có","Không"))</f>
        <v/>
      </c>
      <c r="R478" s="22">
        <f>IF($D478="","",IF(COUNTIF($D$2:$D478,$D478)&gt;1,"Trùng",""))</f>
        <v/>
      </c>
      <c r="S478" s="22">
        <f>IF($D478="","",IF(AND(LEN($D478)=10,LEFT($D478,1)="0",ISNUMBER(--$D478)),"Có","Không"))</f>
        <v/>
      </c>
      <c r="T478" s="22">
        <f>IF($D478="","",IF(AND($C478&lt;&gt;"",$Q478="Có",$R478="",$S478="Có",AND($L478&lt;&gt;"",OR($L478&lt;&gt;"Chưa xác định",DANH_MUC!$L$9="Có"))),"Có","Không"))</f>
        <v/>
      </c>
      <c r="U478" s="22">
        <f>IF(OR($D478="",$T478="Có"),"",IF($C478="","Thiếu họ tên; ","")&amp;IF($S478&lt;&gt;"Có","SĐT sai định dạng; ","")&amp;IF($R478="Trùng","Trùng SĐT; ","")&amp;IF($Q478&lt;&gt;"Có","Thiếu đồng ý bắt buộc; ","")&amp;IF($L478="","Thiếu/sai Mã REF; ",IF(AND($L478="Chưa xác định",DANH_MUC!$L$9&lt;&gt;"Có"),"Nguồn chưa xác định; ","")))</f>
        <v/>
      </c>
      <c r="V478" s="22">
        <f>IF(OR($D478="",$R478="Trùng"),"",IF(COUNTIF(ORDERS!$C$2:$C$4995,$D478)&gt;0,"Có","Không"))</f>
        <v/>
      </c>
      <c r="W478" s="22">
        <f>IF(OR($D478="",$R478="Trùng"),"",COUNTIFS(ORDERS!$C$2:$C$4995,$D478,ORDERS!$L$2:$L$4995,"Đã chuyển khoản"))</f>
        <v/>
      </c>
      <c r="X478" s="23">
        <f>IF(OR($D478="",$R478="Trùng"),"",SUMIFS(ORDERS!$J$2:$J$4995,ORDERS!$C$2:$C$4995,$D478,ORDERS!$L$2:$L$4995,"Đã chuyển khoản"))</f>
        <v/>
      </c>
      <c r="Y478" s="24" t="n"/>
    </row>
    <row r="479" ht="14.25" customHeight="1" s="40">
      <c r="A479" s="24" t="n"/>
      <c r="B479" s="27" t="n"/>
      <c r="C479" s="24" t="n"/>
      <c r="D479" s="28" t="n"/>
      <c r="E479" s="29" t="n"/>
      <c r="F479" s="24" t="n"/>
      <c r="G479" s="24" t="n"/>
      <c r="H479" s="21">
        <f>IF(ISNUMBER($B479),INT($B479)-WEEKDAY($B479,2)+1,"")</f>
        <v/>
      </c>
      <c r="I479" s="24" t="n"/>
      <c r="J479" s="22">
        <f t="array" ref="J479">IF($D479="","",IF($I479="","(trống REF)",IFERROR(INDEX(MASTER_SOURCE!$B$2:$B$495,MATCH($I479,MASTER_SOURCE!$A$2:$A$495,0)),"(REF không có trong MASTER_SOURCE)")))</f>
        <v/>
      </c>
      <c r="K479" s="22">
        <f t="array" ref="K479">IF($D479="","",IFERROR(INDEX(MASTER_SOURCE!$C$2:$C$495,MATCH($I479,MASTER_SOURCE!$A$2:$A$495,0)),""))</f>
        <v/>
      </c>
      <c r="L479" s="22">
        <f t="array" ref="L479">IF($D479="","",IFERROR(INDEX(MASTER_SOURCE!$D$2:$D$495,MATCH($I479,MASTER_SOURCE!$A$2:$A$495,0)),""))</f>
        <v/>
      </c>
      <c r="M479" s="24" t="n"/>
      <c r="N479" s="24" t="n"/>
      <c r="O479" s="24" t="n"/>
      <c r="P479" s="24" t="n"/>
      <c r="Q479" s="22">
        <f>IF($D479="","",IF(AND(OR(DANH_MUC!$L$5&lt;&gt;"Có",M479="Có"),OR(DANH_MUC!$L$6&lt;&gt;"Có",N479="Có"),OR(DANH_MUC!$L$7&lt;&gt;"Có",O479="Có"),OR(DANH_MUC!$L$8&lt;&gt;"Có",P479="Có")),"Có","Không"))</f>
        <v/>
      </c>
      <c r="R479" s="22">
        <f>IF($D479="","",IF(COUNTIF($D$2:$D479,$D479)&gt;1,"Trùng",""))</f>
        <v/>
      </c>
      <c r="S479" s="22">
        <f>IF($D479="","",IF(AND(LEN($D479)=10,LEFT($D479,1)="0",ISNUMBER(--$D479)),"Có","Không"))</f>
        <v/>
      </c>
      <c r="T479" s="22">
        <f>IF($D479="","",IF(AND($C479&lt;&gt;"",$Q479="Có",$R479="",$S479="Có",AND($L479&lt;&gt;"",OR($L479&lt;&gt;"Chưa xác định",DANH_MUC!$L$9="Có"))),"Có","Không"))</f>
        <v/>
      </c>
      <c r="U479" s="22">
        <f>IF(OR($D479="",$T479="Có"),"",IF($C479="","Thiếu họ tên; ","")&amp;IF($S479&lt;&gt;"Có","SĐT sai định dạng; ","")&amp;IF($R479="Trùng","Trùng SĐT; ","")&amp;IF($Q479&lt;&gt;"Có","Thiếu đồng ý bắt buộc; ","")&amp;IF($L479="","Thiếu/sai Mã REF; ",IF(AND($L479="Chưa xác định",DANH_MUC!$L$9&lt;&gt;"Có"),"Nguồn chưa xác định; ","")))</f>
        <v/>
      </c>
      <c r="V479" s="22">
        <f>IF(OR($D479="",$R479="Trùng"),"",IF(COUNTIF(ORDERS!$C$2:$C$4995,$D479)&gt;0,"Có","Không"))</f>
        <v/>
      </c>
      <c r="W479" s="22">
        <f>IF(OR($D479="",$R479="Trùng"),"",COUNTIFS(ORDERS!$C$2:$C$4995,$D479,ORDERS!$L$2:$L$4995,"Đã chuyển khoản"))</f>
        <v/>
      </c>
      <c r="X479" s="23">
        <f>IF(OR($D479="",$R479="Trùng"),"",SUMIFS(ORDERS!$J$2:$J$4995,ORDERS!$C$2:$C$4995,$D479,ORDERS!$L$2:$L$4995,"Đã chuyển khoản"))</f>
        <v/>
      </c>
      <c r="Y479" s="24" t="n"/>
    </row>
    <row r="480" ht="14.25" customHeight="1" s="40">
      <c r="A480" s="24" t="n"/>
      <c r="B480" s="27" t="n"/>
      <c r="C480" s="24" t="n"/>
      <c r="D480" s="28" t="n"/>
      <c r="E480" s="29" t="n"/>
      <c r="F480" s="24" t="n"/>
      <c r="G480" s="24" t="n"/>
      <c r="H480" s="21">
        <f>IF(ISNUMBER($B480),INT($B480)-WEEKDAY($B480,2)+1,"")</f>
        <v/>
      </c>
      <c r="I480" s="24" t="n"/>
      <c r="J480" s="22">
        <f t="array" ref="J480">IF($D480="","",IF($I480="","(trống REF)",IFERROR(INDEX(MASTER_SOURCE!$B$2:$B$495,MATCH($I480,MASTER_SOURCE!$A$2:$A$495,0)),"(REF không có trong MASTER_SOURCE)")))</f>
        <v/>
      </c>
      <c r="K480" s="22">
        <f t="array" ref="K480">IF($D480="","",IFERROR(INDEX(MASTER_SOURCE!$C$2:$C$495,MATCH($I480,MASTER_SOURCE!$A$2:$A$495,0)),""))</f>
        <v/>
      </c>
      <c r="L480" s="22">
        <f t="array" ref="L480">IF($D480="","",IFERROR(INDEX(MASTER_SOURCE!$D$2:$D$495,MATCH($I480,MASTER_SOURCE!$A$2:$A$495,0)),""))</f>
        <v/>
      </c>
      <c r="M480" s="24" t="n"/>
      <c r="N480" s="24" t="n"/>
      <c r="O480" s="24" t="n"/>
      <c r="P480" s="24" t="n"/>
      <c r="Q480" s="22">
        <f>IF($D480="","",IF(AND(OR(DANH_MUC!$L$5&lt;&gt;"Có",M480="Có"),OR(DANH_MUC!$L$6&lt;&gt;"Có",N480="Có"),OR(DANH_MUC!$L$7&lt;&gt;"Có",O480="Có"),OR(DANH_MUC!$L$8&lt;&gt;"Có",P480="Có")),"Có","Không"))</f>
        <v/>
      </c>
      <c r="R480" s="22">
        <f>IF($D480="","",IF(COUNTIF($D$2:$D480,$D480)&gt;1,"Trùng",""))</f>
        <v/>
      </c>
      <c r="S480" s="22">
        <f>IF($D480="","",IF(AND(LEN($D480)=10,LEFT($D480,1)="0",ISNUMBER(--$D480)),"Có","Không"))</f>
        <v/>
      </c>
      <c r="T480" s="22">
        <f>IF($D480="","",IF(AND($C480&lt;&gt;"",$Q480="Có",$R480="",$S480="Có",AND($L480&lt;&gt;"",OR($L480&lt;&gt;"Chưa xác định",DANH_MUC!$L$9="Có"))),"Có","Không"))</f>
        <v/>
      </c>
      <c r="U480" s="22">
        <f>IF(OR($D480="",$T480="Có"),"",IF($C480="","Thiếu họ tên; ","")&amp;IF($S480&lt;&gt;"Có","SĐT sai định dạng; ","")&amp;IF($R480="Trùng","Trùng SĐT; ","")&amp;IF($Q480&lt;&gt;"Có","Thiếu đồng ý bắt buộc; ","")&amp;IF($L480="","Thiếu/sai Mã REF; ",IF(AND($L480="Chưa xác định",DANH_MUC!$L$9&lt;&gt;"Có"),"Nguồn chưa xác định; ","")))</f>
        <v/>
      </c>
      <c r="V480" s="22">
        <f>IF(OR($D480="",$R480="Trùng"),"",IF(COUNTIF(ORDERS!$C$2:$C$4995,$D480)&gt;0,"Có","Không"))</f>
        <v/>
      </c>
      <c r="W480" s="22">
        <f>IF(OR($D480="",$R480="Trùng"),"",COUNTIFS(ORDERS!$C$2:$C$4995,$D480,ORDERS!$L$2:$L$4995,"Đã chuyển khoản"))</f>
        <v/>
      </c>
      <c r="X480" s="23">
        <f>IF(OR($D480="",$R480="Trùng"),"",SUMIFS(ORDERS!$J$2:$J$4995,ORDERS!$C$2:$C$4995,$D480,ORDERS!$L$2:$L$4995,"Đã chuyển khoản"))</f>
        <v/>
      </c>
      <c r="Y480" s="24" t="n"/>
    </row>
    <row r="481" ht="14.25" customHeight="1" s="40">
      <c r="A481" s="24" t="n"/>
      <c r="B481" s="27" t="n"/>
      <c r="C481" s="24" t="n"/>
      <c r="D481" s="28" t="n"/>
      <c r="E481" s="29" t="n"/>
      <c r="F481" s="24" t="n"/>
      <c r="G481" s="24" t="n"/>
      <c r="H481" s="21">
        <f>IF(ISNUMBER($B481),INT($B481)-WEEKDAY($B481,2)+1,"")</f>
        <v/>
      </c>
      <c r="I481" s="24" t="n"/>
      <c r="J481" s="22">
        <f t="array" ref="J481">IF($D481="","",IF($I481="","(trống REF)",IFERROR(INDEX(MASTER_SOURCE!$B$2:$B$495,MATCH($I481,MASTER_SOURCE!$A$2:$A$495,0)),"(REF không có trong MASTER_SOURCE)")))</f>
        <v/>
      </c>
      <c r="K481" s="22">
        <f t="array" ref="K481">IF($D481="","",IFERROR(INDEX(MASTER_SOURCE!$C$2:$C$495,MATCH($I481,MASTER_SOURCE!$A$2:$A$495,0)),""))</f>
        <v/>
      </c>
      <c r="L481" s="22">
        <f t="array" ref="L481">IF($D481="","",IFERROR(INDEX(MASTER_SOURCE!$D$2:$D$495,MATCH($I481,MASTER_SOURCE!$A$2:$A$495,0)),""))</f>
        <v/>
      </c>
      <c r="M481" s="24" t="n"/>
      <c r="N481" s="24" t="n"/>
      <c r="O481" s="24" t="n"/>
      <c r="P481" s="24" t="n"/>
      <c r="Q481" s="22">
        <f>IF($D481="","",IF(AND(OR(DANH_MUC!$L$5&lt;&gt;"Có",M481="Có"),OR(DANH_MUC!$L$6&lt;&gt;"Có",N481="Có"),OR(DANH_MUC!$L$7&lt;&gt;"Có",O481="Có"),OR(DANH_MUC!$L$8&lt;&gt;"Có",P481="Có")),"Có","Không"))</f>
        <v/>
      </c>
      <c r="R481" s="22">
        <f>IF($D481="","",IF(COUNTIF($D$2:$D481,$D481)&gt;1,"Trùng",""))</f>
        <v/>
      </c>
      <c r="S481" s="22">
        <f>IF($D481="","",IF(AND(LEN($D481)=10,LEFT($D481,1)="0",ISNUMBER(--$D481)),"Có","Không"))</f>
        <v/>
      </c>
      <c r="T481" s="22">
        <f>IF($D481="","",IF(AND($C481&lt;&gt;"",$Q481="Có",$R481="",$S481="Có",AND($L481&lt;&gt;"",OR($L481&lt;&gt;"Chưa xác định",DANH_MUC!$L$9="Có"))),"Có","Không"))</f>
        <v/>
      </c>
      <c r="U481" s="22">
        <f>IF(OR($D481="",$T481="Có"),"",IF($C481="","Thiếu họ tên; ","")&amp;IF($S481&lt;&gt;"Có","SĐT sai định dạng; ","")&amp;IF($R481="Trùng","Trùng SĐT; ","")&amp;IF($Q481&lt;&gt;"Có","Thiếu đồng ý bắt buộc; ","")&amp;IF($L481="","Thiếu/sai Mã REF; ",IF(AND($L481="Chưa xác định",DANH_MUC!$L$9&lt;&gt;"Có"),"Nguồn chưa xác định; ","")))</f>
        <v/>
      </c>
      <c r="V481" s="22">
        <f>IF(OR($D481="",$R481="Trùng"),"",IF(COUNTIF(ORDERS!$C$2:$C$4995,$D481)&gt;0,"Có","Không"))</f>
        <v/>
      </c>
      <c r="W481" s="22">
        <f>IF(OR($D481="",$R481="Trùng"),"",COUNTIFS(ORDERS!$C$2:$C$4995,$D481,ORDERS!$L$2:$L$4995,"Đã chuyển khoản"))</f>
        <v/>
      </c>
      <c r="X481" s="23">
        <f>IF(OR($D481="",$R481="Trùng"),"",SUMIFS(ORDERS!$J$2:$J$4995,ORDERS!$C$2:$C$4995,$D481,ORDERS!$L$2:$L$4995,"Đã chuyển khoản"))</f>
        <v/>
      </c>
      <c r="Y481" s="24" t="n"/>
    </row>
    <row r="482" ht="14.25" customHeight="1" s="40">
      <c r="A482" s="24" t="n"/>
      <c r="B482" s="27" t="n"/>
      <c r="C482" s="24" t="n"/>
      <c r="D482" s="28" t="n"/>
      <c r="E482" s="29" t="n"/>
      <c r="F482" s="24" t="n"/>
      <c r="G482" s="24" t="n"/>
      <c r="H482" s="21">
        <f>IF(ISNUMBER($B482),INT($B482)-WEEKDAY($B482,2)+1,"")</f>
        <v/>
      </c>
      <c r="I482" s="24" t="n"/>
      <c r="J482" s="22">
        <f t="array" ref="J482">IF($D482="","",IF($I482="","(trống REF)",IFERROR(INDEX(MASTER_SOURCE!$B$2:$B$495,MATCH($I482,MASTER_SOURCE!$A$2:$A$495,0)),"(REF không có trong MASTER_SOURCE)")))</f>
        <v/>
      </c>
      <c r="K482" s="22">
        <f t="array" ref="K482">IF($D482="","",IFERROR(INDEX(MASTER_SOURCE!$C$2:$C$495,MATCH($I482,MASTER_SOURCE!$A$2:$A$495,0)),""))</f>
        <v/>
      </c>
      <c r="L482" s="22">
        <f t="array" ref="L482">IF($D482="","",IFERROR(INDEX(MASTER_SOURCE!$D$2:$D$495,MATCH($I482,MASTER_SOURCE!$A$2:$A$495,0)),""))</f>
        <v/>
      </c>
      <c r="M482" s="24" t="n"/>
      <c r="N482" s="24" t="n"/>
      <c r="O482" s="24" t="n"/>
      <c r="P482" s="24" t="n"/>
      <c r="Q482" s="22">
        <f>IF($D482="","",IF(AND(OR(DANH_MUC!$L$5&lt;&gt;"Có",M482="Có"),OR(DANH_MUC!$L$6&lt;&gt;"Có",N482="Có"),OR(DANH_MUC!$L$7&lt;&gt;"Có",O482="Có"),OR(DANH_MUC!$L$8&lt;&gt;"Có",P482="Có")),"Có","Không"))</f>
        <v/>
      </c>
      <c r="R482" s="22">
        <f>IF($D482="","",IF(COUNTIF($D$2:$D482,$D482)&gt;1,"Trùng",""))</f>
        <v/>
      </c>
      <c r="S482" s="22">
        <f>IF($D482="","",IF(AND(LEN($D482)=10,LEFT($D482,1)="0",ISNUMBER(--$D482)),"Có","Không"))</f>
        <v/>
      </c>
      <c r="T482" s="22">
        <f>IF($D482="","",IF(AND($C482&lt;&gt;"",$Q482="Có",$R482="",$S482="Có",AND($L482&lt;&gt;"",OR($L482&lt;&gt;"Chưa xác định",DANH_MUC!$L$9="Có"))),"Có","Không"))</f>
        <v/>
      </c>
      <c r="U482" s="22">
        <f>IF(OR($D482="",$T482="Có"),"",IF($C482="","Thiếu họ tên; ","")&amp;IF($S482&lt;&gt;"Có","SĐT sai định dạng; ","")&amp;IF($R482="Trùng","Trùng SĐT; ","")&amp;IF($Q482&lt;&gt;"Có","Thiếu đồng ý bắt buộc; ","")&amp;IF($L482="","Thiếu/sai Mã REF; ",IF(AND($L482="Chưa xác định",DANH_MUC!$L$9&lt;&gt;"Có"),"Nguồn chưa xác định; ","")))</f>
        <v/>
      </c>
      <c r="V482" s="22">
        <f>IF(OR($D482="",$R482="Trùng"),"",IF(COUNTIF(ORDERS!$C$2:$C$4995,$D482)&gt;0,"Có","Không"))</f>
        <v/>
      </c>
      <c r="W482" s="22">
        <f>IF(OR($D482="",$R482="Trùng"),"",COUNTIFS(ORDERS!$C$2:$C$4995,$D482,ORDERS!$L$2:$L$4995,"Đã chuyển khoản"))</f>
        <v/>
      </c>
      <c r="X482" s="23">
        <f>IF(OR($D482="",$R482="Trùng"),"",SUMIFS(ORDERS!$J$2:$J$4995,ORDERS!$C$2:$C$4995,$D482,ORDERS!$L$2:$L$4995,"Đã chuyển khoản"))</f>
        <v/>
      </c>
      <c r="Y482" s="24" t="n"/>
    </row>
    <row r="483" ht="14.25" customHeight="1" s="40">
      <c r="A483" s="24" t="n"/>
      <c r="B483" s="27" t="n"/>
      <c r="C483" s="24" t="n"/>
      <c r="D483" s="28" t="n"/>
      <c r="E483" s="29" t="n"/>
      <c r="F483" s="24" t="n"/>
      <c r="G483" s="24" t="n"/>
      <c r="H483" s="21">
        <f>IF(ISNUMBER($B483),INT($B483)-WEEKDAY($B483,2)+1,"")</f>
        <v/>
      </c>
      <c r="I483" s="24" t="n"/>
      <c r="J483" s="22">
        <f t="array" ref="J483">IF($D483="","",IF($I483="","(trống REF)",IFERROR(INDEX(MASTER_SOURCE!$B$2:$B$495,MATCH($I483,MASTER_SOURCE!$A$2:$A$495,0)),"(REF không có trong MASTER_SOURCE)")))</f>
        <v/>
      </c>
      <c r="K483" s="22">
        <f t="array" ref="K483">IF($D483="","",IFERROR(INDEX(MASTER_SOURCE!$C$2:$C$495,MATCH($I483,MASTER_SOURCE!$A$2:$A$495,0)),""))</f>
        <v/>
      </c>
      <c r="L483" s="22">
        <f t="array" ref="L483">IF($D483="","",IFERROR(INDEX(MASTER_SOURCE!$D$2:$D$495,MATCH($I483,MASTER_SOURCE!$A$2:$A$495,0)),""))</f>
        <v/>
      </c>
      <c r="M483" s="24" t="n"/>
      <c r="N483" s="24" t="n"/>
      <c r="O483" s="24" t="n"/>
      <c r="P483" s="24" t="n"/>
      <c r="Q483" s="22">
        <f>IF($D483="","",IF(AND(OR(DANH_MUC!$L$5&lt;&gt;"Có",M483="Có"),OR(DANH_MUC!$L$6&lt;&gt;"Có",N483="Có"),OR(DANH_MUC!$L$7&lt;&gt;"Có",O483="Có"),OR(DANH_MUC!$L$8&lt;&gt;"Có",P483="Có")),"Có","Không"))</f>
        <v/>
      </c>
      <c r="R483" s="22">
        <f>IF($D483="","",IF(COUNTIF($D$2:$D483,$D483)&gt;1,"Trùng",""))</f>
        <v/>
      </c>
      <c r="S483" s="22">
        <f>IF($D483="","",IF(AND(LEN($D483)=10,LEFT($D483,1)="0",ISNUMBER(--$D483)),"Có","Không"))</f>
        <v/>
      </c>
      <c r="T483" s="22">
        <f>IF($D483="","",IF(AND($C483&lt;&gt;"",$Q483="Có",$R483="",$S483="Có",AND($L483&lt;&gt;"",OR($L483&lt;&gt;"Chưa xác định",DANH_MUC!$L$9="Có"))),"Có","Không"))</f>
        <v/>
      </c>
      <c r="U483" s="22">
        <f>IF(OR($D483="",$T483="Có"),"",IF($C483="","Thiếu họ tên; ","")&amp;IF($S483&lt;&gt;"Có","SĐT sai định dạng; ","")&amp;IF($R483="Trùng","Trùng SĐT; ","")&amp;IF($Q483&lt;&gt;"Có","Thiếu đồng ý bắt buộc; ","")&amp;IF($L483="","Thiếu/sai Mã REF; ",IF(AND($L483="Chưa xác định",DANH_MUC!$L$9&lt;&gt;"Có"),"Nguồn chưa xác định; ","")))</f>
        <v/>
      </c>
      <c r="V483" s="22">
        <f>IF(OR($D483="",$R483="Trùng"),"",IF(COUNTIF(ORDERS!$C$2:$C$4995,$D483)&gt;0,"Có","Không"))</f>
        <v/>
      </c>
      <c r="W483" s="22">
        <f>IF(OR($D483="",$R483="Trùng"),"",COUNTIFS(ORDERS!$C$2:$C$4995,$D483,ORDERS!$L$2:$L$4995,"Đã chuyển khoản"))</f>
        <v/>
      </c>
      <c r="X483" s="23">
        <f>IF(OR($D483="",$R483="Trùng"),"",SUMIFS(ORDERS!$J$2:$J$4995,ORDERS!$C$2:$C$4995,$D483,ORDERS!$L$2:$L$4995,"Đã chuyển khoản"))</f>
        <v/>
      </c>
      <c r="Y483" s="24" t="n"/>
    </row>
    <row r="484" ht="14.25" customHeight="1" s="40">
      <c r="A484" s="24" t="n"/>
      <c r="B484" s="27" t="n"/>
      <c r="C484" s="24" t="n"/>
      <c r="D484" s="28" t="n"/>
      <c r="E484" s="29" t="n"/>
      <c r="F484" s="24" t="n"/>
      <c r="G484" s="24" t="n"/>
      <c r="H484" s="21">
        <f>IF(ISNUMBER($B484),INT($B484)-WEEKDAY($B484,2)+1,"")</f>
        <v/>
      </c>
      <c r="I484" s="24" t="n"/>
      <c r="J484" s="22">
        <f t="array" ref="J484">IF($D484="","",IF($I484="","(trống REF)",IFERROR(INDEX(MASTER_SOURCE!$B$2:$B$495,MATCH($I484,MASTER_SOURCE!$A$2:$A$495,0)),"(REF không có trong MASTER_SOURCE)")))</f>
        <v/>
      </c>
      <c r="K484" s="22">
        <f t="array" ref="K484">IF($D484="","",IFERROR(INDEX(MASTER_SOURCE!$C$2:$C$495,MATCH($I484,MASTER_SOURCE!$A$2:$A$495,0)),""))</f>
        <v/>
      </c>
      <c r="L484" s="22">
        <f t="array" ref="L484">IF($D484="","",IFERROR(INDEX(MASTER_SOURCE!$D$2:$D$495,MATCH($I484,MASTER_SOURCE!$A$2:$A$495,0)),""))</f>
        <v/>
      </c>
      <c r="M484" s="24" t="n"/>
      <c r="N484" s="24" t="n"/>
      <c r="O484" s="24" t="n"/>
      <c r="P484" s="24" t="n"/>
      <c r="Q484" s="22">
        <f>IF($D484="","",IF(AND(OR(DANH_MUC!$L$5&lt;&gt;"Có",M484="Có"),OR(DANH_MUC!$L$6&lt;&gt;"Có",N484="Có"),OR(DANH_MUC!$L$7&lt;&gt;"Có",O484="Có"),OR(DANH_MUC!$L$8&lt;&gt;"Có",P484="Có")),"Có","Không"))</f>
        <v/>
      </c>
      <c r="R484" s="22">
        <f>IF($D484="","",IF(COUNTIF($D$2:$D484,$D484)&gt;1,"Trùng",""))</f>
        <v/>
      </c>
      <c r="S484" s="22">
        <f>IF($D484="","",IF(AND(LEN($D484)=10,LEFT($D484,1)="0",ISNUMBER(--$D484)),"Có","Không"))</f>
        <v/>
      </c>
      <c r="T484" s="22">
        <f>IF($D484="","",IF(AND($C484&lt;&gt;"",$Q484="Có",$R484="",$S484="Có",AND($L484&lt;&gt;"",OR($L484&lt;&gt;"Chưa xác định",DANH_MUC!$L$9="Có"))),"Có","Không"))</f>
        <v/>
      </c>
      <c r="U484" s="22">
        <f>IF(OR($D484="",$T484="Có"),"",IF($C484="","Thiếu họ tên; ","")&amp;IF($S484&lt;&gt;"Có","SĐT sai định dạng; ","")&amp;IF($R484="Trùng","Trùng SĐT; ","")&amp;IF($Q484&lt;&gt;"Có","Thiếu đồng ý bắt buộc; ","")&amp;IF($L484="","Thiếu/sai Mã REF; ",IF(AND($L484="Chưa xác định",DANH_MUC!$L$9&lt;&gt;"Có"),"Nguồn chưa xác định; ","")))</f>
        <v/>
      </c>
      <c r="V484" s="22">
        <f>IF(OR($D484="",$R484="Trùng"),"",IF(COUNTIF(ORDERS!$C$2:$C$4995,$D484)&gt;0,"Có","Không"))</f>
        <v/>
      </c>
      <c r="W484" s="22">
        <f>IF(OR($D484="",$R484="Trùng"),"",COUNTIFS(ORDERS!$C$2:$C$4995,$D484,ORDERS!$L$2:$L$4995,"Đã chuyển khoản"))</f>
        <v/>
      </c>
      <c r="X484" s="23">
        <f>IF(OR($D484="",$R484="Trùng"),"",SUMIFS(ORDERS!$J$2:$J$4995,ORDERS!$C$2:$C$4995,$D484,ORDERS!$L$2:$L$4995,"Đã chuyển khoản"))</f>
        <v/>
      </c>
      <c r="Y484" s="24" t="n"/>
    </row>
    <row r="485" ht="14.25" customHeight="1" s="40">
      <c r="A485" s="24" t="n"/>
      <c r="B485" s="27" t="n"/>
      <c r="C485" s="24" t="n"/>
      <c r="D485" s="28" t="n"/>
      <c r="E485" s="29" t="n"/>
      <c r="F485" s="24" t="n"/>
      <c r="G485" s="24" t="n"/>
      <c r="H485" s="21">
        <f>IF(ISNUMBER($B485),INT($B485)-WEEKDAY($B485,2)+1,"")</f>
        <v/>
      </c>
      <c r="I485" s="24" t="n"/>
      <c r="J485" s="22">
        <f t="array" ref="J485">IF($D485="","",IF($I485="","(trống REF)",IFERROR(INDEX(MASTER_SOURCE!$B$2:$B$495,MATCH($I485,MASTER_SOURCE!$A$2:$A$495,0)),"(REF không có trong MASTER_SOURCE)")))</f>
        <v/>
      </c>
      <c r="K485" s="22">
        <f t="array" ref="K485">IF($D485="","",IFERROR(INDEX(MASTER_SOURCE!$C$2:$C$495,MATCH($I485,MASTER_SOURCE!$A$2:$A$495,0)),""))</f>
        <v/>
      </c>
      <c r="L485" s="22">
        <f t="array" ref="L485">IF($D485="","",IFERROR(INDEX(MASTER_SOURCE!$D$2:$D$495,MATCH($I485,MASTER_SOURCE!$A$2:$A$495,0)),""))</f>
        <v/>
      </c>
      <c r="M485" s="24" t="n"/>
      <c r="N485" s="24" t="n"/>
      <c r="O485" s="24" t="n"/>
      <c r="P485" s="24" t="n"/>
      <c r="Q485" s="22">
        <f>IF($D485="","",IF(AND(OR(DANH_MUC!$L$5&lt;&gt;"Có",M485="Có"),OR(DANH_MUC!$L$6&lt;&gt;"Có",N485="Có"),OR(DANH_MUC!$L$7&lt;&gt;"Có",O485="Có"),OR(DANH_MUC!$L$8&lt;&gt;"Có",P485="Có")),"Có","Không"))</f>
        <v/>
      </c>
      <c r="R485" s="22">
        <f>IF($D485="","",IF(COUNTIF($D$2:$D485,$D485)&gt;1,"Trùng",""))</f>
        <v/>
      </c>
      <c r="S485" s="22">
        <f>IF($D485="","",IF(AND(LEN($D485)=10,LEFT($D485,1)="0",ISNUMBER(--$D485)),"Có","Không"))</f>
        <v/>
      </c>
      <c r="T485" s="22">
        <f>IF($D485="","",IF(AND($C485&lt;&gt;"",$Q485="Có",$R485="",$S485="Có",AND($L485&lt;&gt;"",OR($L485&lt;&gt;"Chưa xác định",DANH_MUC!$L$9="Có"))),"Có","Không"))</f>
        <v/>
      </c>
      <c r="U485" s="22">
        <f>IF(OR($D485="",$T485="Có"),"",IF($C485="","Thiếu họ tên; ","")&amp;IF($S485&lt;&gt;"Có","SĐT sai định dạng; ","")&amp;IF($R485="Trùng","Trùng SĐT; ","")&amp;IF($Q485&lt;&gt;"Có","Thiếu đồng ý bắt buộc; ","")&amp;IF($L485="","Thiếu/sai Mã REF; ",IF(AND($L485="Chưa xác định",DANH_MUC!$L$9&lt;&gt;"Có"),"Nguồn chưa xác định; ","")))</f>
        <v/>
      </c>
      <c r="V485" s="22">
        <f>IF(OR($D485="",$R485="Trùng"),"",IF(COUNTIF(ORDERS!$C$2:$C$4995,$D485)&gt;0,"Có","Không"))</f>
        <v/>
      </c>
      <c r="W485" s="22">
        <f>IF(OR($D485="",$R485="Trùng"),"",COUNTIFS(ORDERS!$C$2:$C$4995,$D485,ORDERS!$L$2:$L$4995,"Đã chuyển khoản"))</f>
        <v/>
      </c>
      <c r="X485" s="23">
        <f>IF(OR($D485="",$R485="Trùng"),"",SUMIFS(ORDERS!$J$2:$J$4995,ORDERS!$C$2:$C$4995,$D485,ORDERS!$L$2:$L$4995,"Đã chuyển khoản"))</f>
        <v/>
      </c>
      <c r="Y485" s="24" t="n"/>
    </row>
    <row r="486" ht="14.25" customHeight="1" s="40">
      <c r="A486" s="24" t="n"/>
      <c r="B486" s="27" t="n"/>
      <c r="C486" s="24" t="n"/>
      <c r="D486" s="28" t="n"/>
      <c r="E486" s="29" t="n"/>
      <c r="F486" s="24" t="n"/>
      <c r="G486" s="24" t="n"/>
      <c r="H486" s="21">
        <f>IF(ISNUMBER($B486),INT($B486)-WEEKDAY($B486,2)+1,"")</f>
        <v/>
      </c>
      <c r="I486" s="24" t="n"/>
      <c r="J486" s="22">
        <f t="array" ref="J486">IF($D486="","",IF($I486="","(trống REF)",IFERROR(INDEX(MASTER_SOURCE!$B$2:$B$495,MATCH($I486,MASTER_SOURCE!$A$2:$A$495,0)),"(REF không có trong MASTER_SOURCE)")))</f>
        <v/>
      </c>
      <c r="K486" s="22">
        <f t="array" ref="K486">IF($D486="","",IFERROR(INDEX(MASTER_SOURCE!$C$2:$C$495,MATCH($I486,MASTER_SOURCE!$A$2:$A$495,0)),""))</f>
        <v/>
      </c>
      <c r="L486" s="22">
        <f t="array" ref="L486">IF($D486="","",IFERROR(INDEX(MASTER_SOURCE!$D$2:$D$495,MATCH($I486,MASTER_SOURCE!$A$2:$A$495,0)),""))</f>
        <v/>
      </c>
      <c r="M486" s="24" t="n"/>
      <c r="N486" s="24" t="n"/>
      <c r="O486" s="24" t="n"/>
      <c r="P486" s="24" t="n"/>
      <c r="Q486" s="22">
        <f>IF($D486="","",IF(AND(OR(DANH_MUC!$L$5&lt;&gt;"Có",M486="Có"),OR(DANH_MUC!$L$6&lt;&gt;"Có",N486="Có"),OR(DANH_MUC!$L$7&lt;&gt;"Có",O486="Có"),OR(DANH_MUC!$L$8&lt;&gt;"Có",P486="Có")),"Có","Không"))</f>
        <v/>
      </c>
      <c r="R486" s="22">
        <f>IF($D486="","",IF(COUNTIF($D$2:$D486,$D486)&gt;1,"Trùng",""))</f>
        <v/>
      </c>
      <c r="S486" s="22">
        <f>IF($D486="","",IF(AND(LEN($D486)=10,LEFT($D486,1)="0",ISNUMBER(--$D486)),"Có","Không"))</f>
        <v/>
      </c>
      <c r="T486" s="22">
        <f>IF($D486="","",IF(AND($C486&lt;&gt;"",$Q486="Có",$R486="",$S486="Có",AND($L486&lt;&gt;"",OR($L486&lt;&gt;"Chưa xác định",DANH_MUC!$L$9="Có"))),"Có","Không"))</f>
        <v/>
      </c>
      <c r="U486" s="22">
        <f>IF(OR($D486="",$T486="Có"),"",IF($C486="","Thiếu họ tên; ","")&amp;IF($S486&lt;&gt;"Có","SĐT sai định dạng; ","")&amp;IF($R486="Trùng","Trùng SĐT; ","")&amp;IF($Q486&lt;&gt;"Có","Thiếu đồng ý bắt buộc; ","")&amp;IF($L486="","Thiếu/sai Mã REF; ",IF(AND($L486="Chưa xác định",DANH_MUC!$L$9&lt;&gt;"Có"),"Nguồn chưa xác định; ","")))</f>
        <v/>
      </c>
      <c r="V486" s="22">
        <f>IF(OR($D486="",$R486="Trùng"),"",IF(COUNTIF(ORDERS!$C$2:$C$4995,$D486)&gt;0,"Có","Không"))</f>
        <v/>
      </c>
      <c r="W486" s="22">
        <f>IF(OR($D486="",$R486="Trùng"),"",COUNTIFS(ORDERS!$C$2:$C$4995,$D486,ORDERS!$L$2:$L$4995,"Đã chuyển khoản"))</f>
        <v/>
      </c>
      <c r="X486" s="23">
        <f>IF(OR($D486="",$R486="Trùng"),"",SUMIFS(ORDERS!$J$2:$J$4995,ORDERS!$C$2:$C$4995,$D486,ORDERS!$L$2:$L$4995,"Đã chuyển khoản"))</f>
        <v/>
      </c>
      <c r="Y486" s="24" t="n"/>
    </row>
    <row r="487" ht="14.25" customHeight="1" s="40">
      <c r="A487" s="24" t="n"/>
      <c r="B487" s="27" t="n"/>
      <c r="C487" s="24" t="n"/>
      <c r="D487" s="28" t="n"/>
      <c r="E487" s="29" t="n"/>
      <c r="F487" s="24" t="n"/>
      <c r="G487" s="24" t="n"/>
      <c r="H487" s="21">
        <f>IF(ISNUMBER($B487),INT($B487)-WEEKDAY($B487,2)+1,"")</f>
        <v/>
      </c>
      <c r="I487" s="24" t="n"/>
      <c r="J487" s="22">
        <f t="array" ref="J487">IF($D487="","",IF($I487="","(trống REF)",IFERROR(INDEX(MASTER_SOURCE!$B$2:$B$495,MATCH($I487,MASTER_SOURCE!$A$2:$A$495,0)),"(REF không có trong MASTER_SOURCE)")))</f>
        <v/>
      </c>
      <c r="K487" s="22">
        <f t="array" ref="K487">IF($D487="","",IFERROR(INDEX(MASTER_SOURCE!$C$2:$C$495,MATCH($I487,MASTER_SOURCE!$A$2:$A$495,0)),""))</f>
        <v/>
      </c>
      <c r="L487" s="22">
        <f t="array" ref="L487">IF($D487="","",IFERROR(INDEX(MASTER_SOURCE!$D$2:$D$495,MATCH($I487,MASTER_SOURCE!$A$2:$A$495,0)),""))</f>
        <v/>
      </c>
      <c r="M487" s="24" t="n"/>
      <c r="N487" s="24" t="n"/>
      <c r="O487" s="24" t="n"/>
      <c r="P487" s="24" t="n"/>
      <c r="Q487" s="22">
        <f>IF($D487="","",IF(AND(OR(DANH_MUC!$L$5&lt;&gt;"Có",M487="Có"),OR(DANH_MUC!$L$6&lt;&gt;"Có",N487="Có"),OR(DANH_MUC!$L$7&lt;&gt;"Có",O487="Có"),OR(DANH_MUC!$L$8&lt;&gt;"Có",P487="Có")),"Có","Không"))</f>
        <v/>
      </c>
      <c r="R487" s="22">
        <f>IF($D487="","",IF(COUNTIF($D$2:$D487,$D487)&gt;1,"Trùng",""))</f>
        <v/>
      </c>
      <c r="S487" s="22">
        <f>IF($D487="","",IF(AND(LEN($D487)=10,LEFT($D487,1)="0",ISNUMBER(--$D487)),"Có","Không"))</f>
        <v/>
      </c>
      <c r="T487" s="22">
        <f>IF($D487="","",IF(AND($C487&lt;&gt;"",$Q487="Có",$R487="",$S487="Có",AND($L487&lt;&gt;"",OR($L487&lt;&gt;"Chưa xác định",DANH_MUC!$L$9="Có"))),"Có","Không"))</f>
        <v/>
      </c>
      <c r="U487" s="22">
        <f>IF(OR($D487="",$T487="Có"),"",IF($C487="","Thiếu họ tên; ","")&amp;IF($S487&lt;&gt;"Có","SĐT sai định dạng; ","")&amp;IF($R487="Trùng","Trùng SĐT; ","")&amp;IF($Q487&lt;&gt;"Có","Thiếu đồng ý bắt buộc; ","")&amp;IF($L487="","Thiếu/sai Mã REF; ",IF(AND($L487="Chưa xác định",DANH_MUC!$L$9&lt;&gt;"Có"),"Nguồn chưa xác định; ","")))</f>
        <v/>
      </c>
      <c r="V487" s="22">
        <f>IF(OR($D487="",$R487="Trùng"),"",IF(COUNTIF(ORDERS!$C$2:$C$4995,$D487)&gt;0,"Có","Không"))</f>
        <v/>
      </c>
      <c r="W487" s="22">
        <f>IF(OR($D487="",$R487="Trùng"),"",COUNTIFS(ORDERS!$C$2:$C$4995,$D487,ORDERS!$L$2:$L$4995,"Đã chuyển khoản"))</f>
        <v/>
      </c>
      <c r="X487" s="23">
        <f>IF(OR($D487="",$R487="Trùng"),"",SUMIFS(ORDERS!$J$2:$J$4995,ORDERS!$C$2:$C$4995,$D487,ORDERS!$L$2:$L$4995,"Đã chuyển khoản"))</f>
        <v/>
      </c>
      <c r="Y487" s="24" t="n"/>
    </row>
    <row r="488" ht="14.25" customHeight="1" s="40">
      <c r="A488" s="24" t="n"/>
      <c r="B488" s="27" t="n"/>
      <c r="C488" s="24" t="n"/>
      <c r="D488" s="28" t="n"/>
      <c r="E488" s="29" t="n"/>
      <c r="F488" s="24" t="n"/>
      <c r="G488" s="24" t="n"/>
      <c r="H488" s="21">
        <f>IF(ISNUMBER($B488),INT($B488)-WEEKDAY($B488,2)+1,"")</f>
        <v/>
      </c>
      <c r="I488" s="24" t="n"/>
      <c r="J488" s="22">
        <f t="array" ref="J488">IF($D488="","",IF($I488="","(trống REF)",IFERROR(INDEX(MASTER_SOURCE!$B$2:$B$495,MATCH($I488,MASTER_SOURCE!$A$2:$A$495,0)),"(REF không có trong MASTER_SOURCE)")))</f>
        <v/>
      </c>
      <c r="K488" s="22">
        <f t="array" ref="K488">IF($D488="","",IFERROR(INDEX(MASTER_SOURCE!$C$2:$C$495,MATCH($I488,MASTER_SOURCE!$A$2:$A$495,0)),""))</f>
        <v/>
      </c>
      <c r="L488" s="22">
        <f t="array" ref="L488">IF($D488="","",IFERROR(INDEX(MASTER_SOURCE!$D$2:$D$495,MATCH($I488,MASTER_SOURCE!$A$2:$A$495,0)),""))</f>
        <v/>
      </c>
      <c r="M488" s="24" t="n"/>
      <c r="N488" s="24" t="n"/>
      <c r="O488" s="24" t="n"/>
      <c r="P488" s="24" t="n"/>
      <c r="Q488" s="22">
        <f>IF($D488="","",IF(AND(OR(DANH_MUC!$L$5&lt;&gt;"Có",M488="Có"),OR(DANH_MUC!$L$6&lt;&gt;"Có",N488="Có"),OR(DANH_MUC!$L$7&lt;&gt;"Có",O488="Có"),OR(DANH_MUC!$L$8&lt;&gt;"Có",P488="Có")),"Có","Không"))</f>
        <v/>
      </c>
      <c r="R488" s="22">
        <f>IF($D488="","",IF(COUNTIF($D$2:$D488,$D488)&gt;1,"Trùng",""))</f>
        <v/>
      </c>
      <c r="S488" s="22">
        <f>IF($D488="","",IF(AND(LEN($D488)=10,LEFT($D488,1)="0",ISNUMBER(--$D488)),"Có","Không"))</f>
        <v/>
      </c>
      <c r="T488" s="22">
        <f>IF($D488="","",IF(AND($C488&lt;&gt;"",$Q488="Có",$R488="",$S488="Có",AND($L488&lt;&gt;"",OR($L488&lt;&gt;"Chưa xác định",DANH_MUC!$L$9="Có"))),"Có","Không"))</f>
        <v/>
      </c>
      <c r="U488" s="22">
        <f>IF(OR($D488="",$T488="Có"),"",IF($C488="","Thiếu họ tên; ","")&amp;IF($S488&lt;&gt;"Có","SĐT sai định dạng; ","")&amp;IF($R488="Trùng","Trùng SĐT; ","")&amp;IF($Q488&lt;&gt;"Có","Thiếu đồng ý bắt buộc; ","")&amp;IF($L488="","Thiếu/sai Mã REF; ",IF(AND($L488="Chưa xác định",DANH_MUC!$L$9&lt;&gt;"Có"),"Nguồn chưa xác định; ","")))</f>
        <v/>
      </c>
      <c r="V488" s="22">
        <f>IF(OR($D488="",$R488="Trùng"),"",IF(COUNTIF(ORDERS!$C$2:$C$4995,$D488)&gt;0,"Có","Không"))</f>
        <v/>
      </c>
      <c r="W488" s="22">
        <f>IF(OR($D488="",$R488="Trùng"),"",COUNTIFS(ORDERS!$C$2:$C$4995,$D488,ORDERS!$L$2:$L$4995,"Đã chuyển khoản"))</f>
        <v/>
      </c>
      <c r="X488" s="23">
        <f>IF(OR($D488="",$R488="Trùng"),"",SUMIFS(ORDERS!$J$2:$J$4995,ORDERS!$C$2:$C$4995,$D488,ORDERS!$L$2:$L$4995,"Đã chuyển khoản"))</f>
        <v/>
      </c>
      <c r="Y488" s="24" t="n"/>
    </row>
    <row r="489" ht="14.25" customHeight="1" s="40">
      <c r="A489" s="24" t="n"/>
      <c r="B489" s="27" t="n"/>
      <c r="C489" s="24" t="n"/>
      <c r="D489" s="28" t="n"/>
      <c r="E489" s="29" t="n"/>
      <c r="F489" s="24" t="n"/>
      <c r="G489" s="24" t="n"/>
      <c r="H489" s="21">
        <f>IF(ISNUMBER($B489),INT($B489)-WEEKDAY($B489,2)+1,"")</f>
        <v/>
      </c>
      <c r="I489" s="24" t="n"/>
      <c r="J489" s="22">
        <f t="array" ref="J489">IF($D489="","",IF($I489="","(trống REF)",IFERROR(INDEX(MASTER_SOURCE!$B$2:$B$495,MATCH($I489,MASTER_SOURCE!$A$2:$A$495,0)),"(REF không có trong MASTER_SOURCE)")))</f>
        <v/>
      </c>
      <c r="K489" s="22">
        <f t="array" ref="K489">IF($D489="","",IFERROR(INDEX(MASTER_SOURCE!$C$2:$C$495,MATCH($I489,MASTER_SOURCE!$A$2:$A$495,0)),""))</f>
        <v/>
      </c>
      <c r="L489" s="22">
        <f t="array" ref="L489">IF($D489="","",IFERROR(INDEX(MASTER_SOURCE!$D$2:$D$495,MATCH($I489,MASTER_SOURCE!$A$2:$A$495,0)),""))</f>
        <v/>
      </c>
      <c r="M489" s="24" t="n"/>
      <c r="N489" s="24" t="n"/>
      <c r="O489" s="24" t="n"/>
      <c r="P489" s="24" t="n"/>
      <c r="Q489" s="22">
        <f>IF($D489="","",IF(AND(OR(DANH_MUC!$L$5&lt;&gt;"Có",M489="Có"),OR(DANH_MUC!$L$6&lt;&gt;"Có",N489="Có"),OR(DANH_MUC!$L$7&lt;&gt;"Có",O489="Có"),OR(DANH_MUC!$L$8&lt;&gt;"Có",P489="Có")),"Có","Không"))</f>
        <v/>
      </c>
      <c r="R489" s="22">
        <f>IF($D489="","",IF(COUNTIF($D$2:$D489,$D489)&gt;1,"Trùng",""))</f>
        <v/>
      </c>
      <c r="S489" s="22">
        <f>IF($D489="","",IF(AND(LEN($D489)=10,LEFT($D489,1)="0",ISNUMBER(--$D489)),"Có","Không"))</f>
        <v/>
      </c>
      <c r="T489" s="22">
        <f>IF($D489="","",IF(AND($C489&lt;&gt;"",$Q489="Có",$R489="",$S489="Có",AND($L489&lt;&gt;"",OR($L489&lt;&gt;"Chưa xác định",DANH_MUC!$L$9="Có"))),"Có","Không"))</f>
        <v/>
      </c>
      <c r="U489" s="22">
        <f>IF(OR($D489="",$T489="Có"),"",IF($C489="","Thiếu họ tên; ","")&amp;IF($S489&lt;&gt;"Có","SĐT sai định dạng; ","")&amp;IF($R489="Trùng","Trùng SĐT; ","")&amp;IF($Q489&lt;&gt;"Có","Thiếu đồng ý bắt buộc; ","")&amp;IF($L489="","Thiếu/sai Mã REF; ",IF(AND($L489="Chưa xác định",DANH_MUC!$L$9&lt;&gt;"Có"),"Nguồn chưa xác định; ","")))</f>
        <v/>
      </c>
      <c r="V489" s="22">
        <f>IF(OR($D489="",$R489="Trùng"),"",IF(COUNTIF(ORDERS!$C$2:$C$4995,$D489)&gt;0,"Có","Không"))</f>
        <v/>
      </c>
      <c r="W489" s="22">
        <f>IF(OR($D489="",$R489="Trùng"),"",COUNTIFS(ORDERS!$C$2:$C$4995,$D489,ORDERS!$L$2:$L$4995,"Đã chuyển khoản"))</f>
        <v/>
      </c>
      <c r="X489" s="23">
        <f>IF(OR($D489="",$R489="Trùng"),"",SUMIFS(ORDERS!$J$2:$J$4995,ORDERS!$C$2:$C$4995,$D489,ORDERS!$L$2:$L$4995,"Đã chuyển khoản"))</f>
        <v/>
      </c>
      <c r="Y489" s="24" t="n"/>
    </row>
    <row r="490" ht="14.25" customHeight="1" s="40">
      <c r="A490" s="24" t="n"/>
      <c r="B490" s="27" t="n"/>
      <c r="C490" s="24" t="n"/>
      <c r="D490" s="28" t="n"/>
      <c r="E490" s="29" t="n"/>
      <c r="F490" s="24" t="n"/>
      <c r="G490" s="24" t="n"/>
      <c r="H490" s="21">
        <f>IF(ISNUMBER($B490),INT($B490)-WEEKDAY($B490,2)+1,"")</f>
        <v/>
      </c>
      <c r="I490" s="24" t="n"/>
      <c r="J490" s="22">
        <f t="array" ref="J490">IF($D490="","",IF($I490="","(trống REF)",IFERROR(INDEX(MASTER_SOURCE!$B$2:$B$495,MATCH($I490,MASTER_SOURCE!$A$2:$A$495,0)),"(REF không có trong MASTER_SOURCE)")))</f>
        <v/>
      </c>
      <c r="K490" s="22">
        <f t="array" ref="K490">IF($D490="","",IFERROR(INDEX(MASTER_SOURCE!$C$2:$C$495,MATCH($I490,MASTER_SOURCE!$A$2:$A$495,0)),""))</f>
        <v/>
      </c>
      <c r="L490" s="22">
        <f t="array" ref="L490">IF($D490="","",IFERROR(INDEX(MASTER_SOURCE!$D$2:$D$495,MATCH($I490,MASTER_SOURCE!$A$2:$A$495,0)),""))</f>
        <v/>
      </c>
      <c r="M490" s="24" t="n"/>
      <c r="N490" s="24" t="n"/>
      <c r="O490" s="24" t="n"/>
      <c r="P490" s="24" t="n"/>
      <c r="Q490" s="22">
        <f>IF($D490="","",IF(AND(OR(DANH_MUC!$L$5&lt;&gt;"Có",M490="Có"),OR(DANH_MUC!$L$6&lt;&gt;"Có",N490="Có"),OR(DANH_MUC!$L$7&lt;&gt;"Có",O490="Có"),OR(DANH_MUC!$L$8&lt;&gt;"Có",P490="Có")),"Có","Không"))</f>
        <v/>
      </c>
      <c r="R490" s="22">
        <f>IF($D490="","",IF(COUNTIF($D$2:$D490,$D490)&gt;1,"Trùng",""))</f>
        <v/>
      </c>
      <c r="S490" s="22">
        <f>IF($D490="","",IF(AND(LEN($D490)=10,LEFT($D490,1)="0",ISNUMBER(--$D490)),"Có","Không"))</f>
        <v/>
      </c>
      <c r="T490" s="22">
        <f>IF($D490="","",IF(AND($C490&lt;&gt;"",$Q490="Có",$R490="",$S490="Có",AND($L490&lt;&gt;"",OR($L490&lt;&gt;"Chưa xác định",DANH_MUC!$L$9="Có"))),"Có","Không"))</f>
        <v/>
      </c>
      <c r="U490" s="22">
        <f>IF(OR($D490="",$T490="Có"),"",IF($C490="","Thiếu họ tên; ","")&amp;IF($S490&lt;&gt;"Có","SĐT sai định dạng; ","")&amp;IF($R490="Trùng","Trùng SĐT; ","")&amp;IF($Q490&lt;&gt;"Có","Thiếu đồng ý bắt buộc; ","")&amp;IF($L490="","Thiếu/sai Mã REF; ",IF(AND($L490="Chưa xác định",DANH_MUC!$L$9&lt;&gt;"Có"),"Nguồn chưa xác định; ","")))</f>
        <v/>
      </c>
      <c r="V490" s="22">
        <f>IF(OR($D490="",$R490="Trùng"),"",IF(COUNTIF(ORDERS!$C$2:$C$4995,$D490)&gt;0,"Có","Không"))</f>
        <v/>
      </c>
      <c r="W490" s="22">
        <f>IF(OR($D490="",$R490="Trùng"),"",COUNTIFS(ORDERS!$C$2:$C$4995,$D490,ORDERS!$L$2:$L$4995,"Đã chuyển khoản"))</f>
        <v/>
      </c>
      <c r="X490" s="23">
        <f>IF(OR($D490="",$R490="Trùng"),"",SUMIFS(ORDERS!$J$2:$J$4995,ORDERS!$C$2:$C$4995,$D490,ORDERS!$L$2:$L$4995,"Đã chuyển khoản"))</f>
        <v/>
      </c>
      <c r="Y490" s="24" t="n"/>
    </row>
    <row r="491" ht="14.25" customHeight="1" s="40">
      <c r="A491" s="24" t="n"/>
      <c r="B491" s="27" t="n"/>
      <c r="C491" s="24" t="n"/>
      <c r="D491" s="28" t="n"/>
      <c r="E491" s="29" t="n"/>
      <c r="F491" s="24" t="n"/>
      <c r="G491" s="24" t="n"/>
      <c r="H491" s="21">
        <f>IF(ISNUMBER($B491),INT($B491)-WEEKDAY($B491,2)+1,"")</f>
        <v/>
      </c>
      <c r="I491" s="24" t="n"/>
      <c r="J491" s="22">
        <f t="array" ref="J491">IF($D491="","",IF($I491="","(trống REF)",IFERROR(INDEX(MASTER_SOURCE!$B$2:$B$495,MATCH($I491,MASTER_SOURCE!$A$2:$A$495,0)),"(REF không có trong MASTER_SOURCE)")))</f>
        <v/>
      </c>
      <c r="K491" s="22">
        <f t="array" ref="K491">IF($D491="","",IFERROR(INDEX(MASTER_SOURCE!$C$2:$C$495,MATCH($I491,MASTER_SOURCE!$A$2:$A$495,0)),""))</f>
        <v/>
      </c>
      <c r="L491" s="22">
        <f t="array" ref="L491">IF($D491="","",IFERROR(INDEX(MASTER_SOURCE!$D$2:$D$495,MATCH($I491,MASTER_SOURCE!$A$2:$A$495,0)),""))</f>
        <v/>
      </c>
      <c r="M491" s="24" t="n"/>
      <c r="N491" s="24" t="n"/>
      <c r="O491" s="24" t="n"/>
      <c r="P491" s="24" t="n"/>
      <c r="Q491" s="22">
        <f>IF($D491="","",IF(AND(OR(DANH_MUC!$L$5&lt;&gt;"Có",M491="Có"),OR(DANH_MUC!$L$6&lt;&gt;"Có",N491="Có"),OR(DANH_MUC!$L$7&lt;&gt;"Có",O491="Có"),OR(DANH_MUC!$L$8&lt;&gt;"Có",P491="Có")),"Có","Không"))</f>
        <v/>
      </c>
      <c r="R491" s="22">
        <f>IF($D491="","",IF(COUNTIF($D$2:$D491,$D491)&gt;1,"Trùng",""))</f>
        <v/>
      </c>
      <c r="S491" s="22">
        <f>IF($D491="","",IF(AND(LEN($D491)=10,LEFT($D491,1)="0",ISNUMBER(--$D491)),"Có","Không"))</f>
        <v/>
      </c>
      <c r="T491" s="22">
        <f>IF($D491="","",IF(AND($C491&lt;&gt;"",$Q491="Có",$R491="",$S491="Có",AND($L491&lt;&gt;"",OR($L491&lt;&gt;"Chưa xác định",DANH_MUC!$L$9="Có"))),"Có","Không"))</f>
        <v/>
      </c>
      <c r="U491" s="22">
        <f>IF(OR($D491="",$T491="Có"),"",IF($C491="","Thiếu họ tên; ","")&amp;IF($S491&lt;&gt;"Có","SĐT sai định dạng; ","")&amp;IF($R491="Trùng","Trùng SĐT; ","")&amp;IF($Q491&lt;&gt;"Có","Thiếu đồng ý bắt buộc; ","")&amp;IF($L491="","Thiếu/sai Mã REF; ",IF(AND($L491="Chưa xác định",DANH_MUC!$L$9&lt;&gt;"Có"),"Nguồn chưa xác định; ","")))</f>
        <v/>
      </c>
      <c r="V491" s="22">
        <f>IF(OR($D491="",$R491="Trùng"),"",IF(COUNTIF(ORDERS!$C$2:$C$4995,$D491)&gt;0,"Có","Không"))</f>
        <v/>
      </c>
      <c r="W491" s="22">
        <f>IF(OR($D491="",$R491="Trùng"),"",COUNTIFS(ORDERS!$C$2:$C$4995,$D491,ORDERS!$L$2:$L$4995,"Đã chuyển khoản"))</f>
        <v/>
      </c>
      <c r="X491" s="23">
        <f>IF(OR($D491="",$R491="Trùng"),"",SUMIFS(ORDERS!$J$2:$J$4995,ORDERS!$C$2:$C$4995,$D491,ORDERS!$L$2:$L$4995,"Đã chuyển khoản"))</f>
        <v/>
      </c>
      <c r="Y491" s="24" t="n"/>
    </row>
    <row r="492" ht="14.25" customHeight="1" s="40">
      <c r="A492" s="24" t="n"/>
      <c r="B492" s="27" t="n"/>
      <c r="C492" s="24" t="n"/>
      <c r="D492" s="28" t="n"/>
      <c r="E492" s="29" t="n"/>
      <c r="F492" s="24" t="n"/>
      <c r="G492" s="24" t="n"/>
      <c r="H492" s="21">
        <f>IF(ISNUMBER($B492),INT($B492)-WEEKDAY($B492,2)+1,"")</f>
        <v/>
      </c>
      <c r="I492" s="24" t="n"/>
      <c r="J492" s="22">
        <f t="array" ref="J492">IF($D492="","",IF($I492="","(trống REF)",IFERROR(INDEX(MASTER_SOURCE!$B$2:$B$495,MATCH($I492,MASTER_SOURCE!$A$2:$A$495,0)),"(REF không có trong MASTER_SOURCE)")))</f>
        <v/>
      </c>
      <c r="K492" s="22">
        <f t="array" ref="K492">IF($D492="","",IFERROR(INDEX(MASTER_SOURCE!$C$2:$C$495,MATCH($I492,MASTER_SOURCE!$A$2:$A$495,0)),""))</f>
        <v/>
      </c>
      <c r="L492" s="22">
        <f t="array" ref="L492">IF($D492="","",IFERROR(INDEX(MASTER_SOURCE!$D$2:$D$495,MATCH($I492,MASTER_SOURCE!$A$2:$A$495,0)),""))</f>
        <v/>
      </c>
      <c r="M492" s="24" t="n"/>
      <c r="N492" s="24" t="n"/>
      <c r="O492" s="24" t="n"/>
      <c r="P492" s="24" t="n"/>
      <c r="Q492" s="22">
        <f>IF($D492="","",IF(AND(OR(DANH_MUC!$L$5&lt;&gt;"Có",M492="Có"),OR(DANH_MUC!$L$6&lt;&gt;"Có",N492="Có"),OR(DANH_MUC!$L$7&lt;&gt;"Có",O492="Có"),OR(DANH_MUC!$L$8&lt;&gt;"Có",P492="Có")),"Có","Không"))</f>
        <v/>
      </c>
      <c r="R492" s="22">
        <f>IF($D492="","",IF(COUNTIF($D$2:$D492,$D492)&gt;1,"Trùng",""))</f>
        <v/>
      </c>
      <c r="S492" s="22">
        <f>IF($D492="","",IF(AND(LEN($D492)=10,LEFT($D492,1)="0",ISNUMBER(--$D492)),"Có","Không"))</f>
        <v/>
      </c>
      <c r="T492" s="22">
        <f>IF($D492="","",IF(AND($C492&lt;&gt;"",$Q492="Có",$R492="",$S492="Có",AND($L492&lt;&gt;"",OR($L492&lt;&gt;"Chưa xác định",DANH_MUC!$L$9="Có"))),"Có","Không"))</f>
        <v/>
      </c>
      <c r="U492" s="22">
        <f>IF(OR($D492="",$T492="Có"),"",IF($C492="","Thiếu họ tên; ","")&amp;IF($S492&lt;&gt;"Có","SĐT sai định dạng; ","")&amp;IF($R492="Trùng","Trùng SĐT; ","")&amp;IF($Q492&lt;&gt;"Có","Thiếu đồng ý bắt buộc; ","")&amp;IF($L492="","Thiếu/sai Mã REF; ",IF(AND($L492="Chưa xác định",DANH_MUC!$L$9&lt;&gt;"Có"),"Nguồn chưa xác định; ","")))</f>
        <v/>
      </c>
      <c r="V492" s="22">
        <f>IF(OR($D492="",$R492="Trùng"),"",IF(COUNTIF(ORDERS!$C$2:$C$4995,$D492)&gt;0,"Có","Không"))</f>
        <v/>
      </c>
      <c r="W492" s="22">
        <f>IF(OR($D492="",$R492="Trùng"),"",COUNTIFS(ORDERS!$C$2:$C$4995,$D492,ORDERS!$L$2:$L$4995,"Đã chuyển khoản"))</f>
        <v/>
      </c>
      <c r="X492" s="23">
        <f>IF(OR($D492="",$R492="Trùng"),"",SUMIFS(ORDERS!$J$2:$J$4995,ORDERS!$C$2:$C$4995,$D492,ORDERS!$L$2:$L$4995,"Đã chuyển khoản"))</f>
        <v/>
      </c>
      <c r="Y492" s="24" t="n"/>
    </row>
    <row r="493" ht="14.25" customHeight="1" s="40">
      <c r="A493" s="24" t="n"/>
      <c r="B493" s="27" t="n"/>
      <c r="C493" s="24" t="n"/>
      <c r="D493" s="28" t="n"/>
      <c r="E493" s="29" t="n"/>
      <c r="F493" s="24" t="n"/>
      <c r="G493" s="24" t="n"/>
      <c r="H493" s="21">
        <f>IF(ISNUMBER($B493),INT($B493)-WEEKDAY($B493,2)+1,"")</f>
        <v/>
      </c>
      <c r="I493" s="24" t="n"/>
      <c r="J493" s="22">
        <f t="array" ref="J493">IF($D493="","",IF($I493="","(trống REF)",IFERROR(INDEX(MASTER_SOURCE!$B$2:$B$495,MATCH($I493,MASTER_SOURCE!$A$2:$A$495,0)),"(REF không có trong MASTER_SOURCE)")))</f>
        <v/>
      </c>
      <c r="K493" s="22">
        <f t="array" ref="K493">IF($D493="","",IFERROR(INDEX(MASTER_SOURCE!$C$2:$C$495,MATCH($I493,MASTER_SOURCE!$A$2:$A$495,0)),""))</f>
        <v/>
      </c>
      <c r="L493" s="22">
        <f t="array" ref="L493">IF($D493="","",IFERROR(INDEX(MASTER_SOURCE!$D$2:$D$495,MATCH($I493,MASTER_SOURCE!$A$2:$A$495,0)),""))</f>
        <v/>
      </c>
      <c r="M493" s="24" t="n"/>
      <c r="N493" s="24" t="n"/>
      <c r="O493" s="24" t="n"/>
      <c r="P493" s="24" t="n"/>
      <c r="Q493" s="22">
        <f>IF($D493="","",IF(AND(OR(DANH_MUC!$L$5&lt;&gt;"Có",M493="Có"),OR(DANH_MUC!$L$6&lt;&gt;"Có",N493="Có"),OR(DANH_MUC!$L$7&lt;&gt;"Có",O493="Có"),OR(DANH_MUC!$L$8&lt;&gt;"Có",P493="Có")),"Có","Không"))</f>
        <v/>
      </c>
      <c r="R493" s="22">
        <f>IF($D493="","",IF(COUNTIF($D$2:$D493,$D493)&gt;1,"Trùng",""))</f>
        <v/>
      </c>
      <c r="S493" s="22">
        <f>IF($D493="","",IF(AND(LEN($D493)=10,LEFT($D493,1)="0",ISNUMBER(--$D493)),"Có","Không"))</f>
        <v/>
      </c>
      <c r="T493" s="22">
        <f>IF($D493="","",IF(AND($C493&lt;&gt;"",$Q493="Có",$R493="",$S493="Có",AND($L493&lt;&gt;"",OR($L493&lt;&gt;"Chưa xác định",DANH_MUC!$L$9="Có"))),"Có","Không"))</f>
        <v/>
      </c>
      <c r="U493" s="22">
        <f>IF(OR($D493="",$T493="Có"),"",IF($C493="","Thiếu họ tên; ","")&amp;IF($S493&lt;&gt;"Có","SĐT sai định dạng; ","")&amp;IF($R493="Trùng","Trùng SĐT; ","")&amp;IF($Q493&lt;&gt;"Có","Thiếu đồng ý bắt buộc; ","")&amp;IF($L493="","Thiếu/sai Mã REF; ",IF(AND($L493="Chưa xác định",DANH_MUC!$L$9&lt;&gt;"Có"),"Nguồn chưa xác định; ","")))</f>
        <v/>
      </c>
      <c r="V493" s="22">
        <f>IF(OR($D493="",$R493="Trùng"),"",IF(COUNTIF(ORDERS!$C$2:$C$4995,$D493)&gt;0,"Có","Không"))</f>
        <v/>
      </c>
      <c r="W493" s="22">
        <f>IF(OR($D493="",$R493="Trùng"),"",COUNTIFS(ORDERS!$C$2:$C$4995,$D493,ORDERS!$L$2:$L$4995,"Đã chuyển khoản"))</f>
        <v/>
      </c>
      <c r="X493" s="23">
        <f>IF(OR($D493="",$R493="Trùng"),"",SUMIFS(ORDERS!$J$2:$J$4995,ORDERS!$C$2:$C$4995,$D493,ORDERS!$L$2:$L$4995,"Đã chuyển khoản"))</f>
        <v/>
      </c>
      <c r="Y493" s="24" t="n"/>
    </row>
    <row r="494" ht="14.25" customHeight="1" s="40">
      <c r="A494" s="24" t="n"/>
      <c r="B494" s="27" t="n"/>
      <c r="C494" s="24" t="n"/>
      <c r="D494" s="28" t="n"/>
      <c r="E494" s="29" t="n"/>
      <c r="F494" s="24" t="n"/>
      <c r="G494" s="24" t="n"/>
      <c r="H494" s="21">
        <f>IF(ISNUMBER($B494),INT($B494)-WEEKDAY($B494,2)+1,"")</f>
        <v/>
      </c>
      <c r="I494" s="24" t="n"/>
      <c r="J494" s="22">
        <f t="array" ref="J494">IF($D494="","",IF($I494="","(trống REF)",IFERROR(INDEX(MASTER_SOURCE!$B$2:$B$495,MATCH($I494,MASTER_SOURCE!$A$2:$A$495,0)),"(REF không có trong MASTER_SOURCE)")))</f>
        <v/>
      </c>
      <c r="K494" s="22">
        <f t="array" ref="K494">IF($D494="","",IFERROR(INDEX(MASTER_SOURCE!$C$2:$C$495,MATCH($I494,MASTER_SOURCE!$A$2:$A$495,0)),""))</f>
        <v/>
      </c>
      <c r="L494" s="22">
        <f t="array" ref="L494">IF($D494="","",IFERROR(INDEX(MASTER_SOURCE!$D$2:$D$495,MATCH($I494,MASTER_SOURCE!$A$2:$A$495,0)),""))</f>
        <v/>
      </c>
      <c r="M494" s="24" t="n"/>
      <c r="N494" s="24" t="n"/>
      <c r="O494" s="24" t="n"/>
      <c r="P494" s="24" t="n"/>
      <c r="Q494" s="22">
        <f>IF($D494="","",IF(AND(OR(DANH_MUC!$L$5&lt;&gt;"Có",M494="Có"),OR(DANH_MUC!$L$6&lt;&gt;"Có",N494="Có"),OR(DANH_MUC!$L$7&lt;&gt;"Có",O494="Có"),OR(DANH_MUC!$L$8&lt;&gt;"Có",P494="Có")),"Có","Không"))</f>
        <v/>
      </c>
      <c r="R494" s="22">
        <f>IF($D494="","",IF(COUNTIF($D$2:$D494,$D494)&gt;1,"Trùng",""))</f>
        <v/>
      </c>
      <c r="S494" s="22">
        <f>IF($D494="","",IF(AND(LEN($D494)=10,LEFT($D494,1)="0",ISNUMBER(--$D494)),"Có","Không"))</f>
        <v/>
      </c>
      <c r="T494" s="22">
        <f>IF($D494="","",IF(AND($C494&lt;&gt;"",$Q494="Có",$R494="",$S494="Có",AND($L494&lt;&gt;"",OR($L494&lt;&gt;"Chưa xác định",DANH_MUC!$L$9="Có"))),"Có","Không"))</f>
        <v/>
      </c>
      <c r="U494" s="22">
        <f>IF(OR($D494="",$T494="Có"),"",IF($C494="","Thiếu họ tên; ","")&amp;IF($S494&lt;&gt;"Có","SĐT sai định dạng; ","")&amp;IF($R494="Trùng","Trùng SĐT; ","")&amp;IF($Q494&lt;&gt;"Có","Thiếu đồng ý bắt buộc; ","")&amp;IF($L494="","Thiếu/sai Mã REF; ",IF(AND($L494="Chưa xác định",DANH_MUC!$L$9&lt;&gt;"Có"),"Nguồn chưa xác định; ","")))</f>
        <v/>
      </c>
      <c r="V494" s="22">
        <f>IF(OR($D494="",$R494="Trùng"),"",IF(COUNTIF(ORDERS!$C$2:$C$4995,$D494)&gt;0,"Có","Không"))</f>
        <v/>
      </c>
      <c r="W494" s="22">
        <f>IF(OR($D494="",$R494="Trùng"),"",COUNTIFS(ORDERS!$C$2:$C$4995,$D494,ORDERS!$L$2:$L$4995,"Đã chuyển khoản"))</f>
        <v/>
      </c>
      <c r="X494" s="23">
        <f>IF(OR($D494="",$R494="Trùng"),"",SUMIFS(ORDERS!$J$2:$J$4995,ORDERS!$C$2:$C$4995,$D494,ORDERS!$L$2:$L$4995,"Đã chuyển khoản"))</f>
        <v/>
      </c>
      <c r="Y494" s="24" t="n"/>
    </row>
    <row r="495" ht="14.25" customHeight="1" s="40">
      <c r="A495" s="24" t="n"/>
      <c r="B495" s="27" t="n"/>
      <c r="C495" s="24" t="n"/>
      <c r="D495" s="28" t="n"/>
      <c r="E495" s="29" t="n"/>
      <c r="F495" s="24" t="n"/>
      <c r="G495" s="24" t="n"/>
      <c r="H495" s="21">
        <f>IF(ISNUMBER($B495),INT($B495)-WEEKDAY($B495,2)+1,"")</f>
        <v/>
      </c>
      <c r="I495" s="24" t="n"/>
      <c r="J495" s="22">
        <f t="array" ref="J495">IF($D495="","",IF($I495="","(trống REF)",IFERROR(INDEX(MASTER_SOURCE!$B$2:$B$495,MATCH($I495,MASTER_SOURCE!$A$2:$A$495,0)),"(REF không có trong MASTER_SOURCE)")))</f>
        <v/>
      </c>
      <c r="K495" s="22">
        <f t="array" ref="K495">IF($D495="","",IFERROR(INDEX(MASTER_SOURCE!$C$2:$C$495,MATCH($I495,MASTER_SOURCE!$A$2:$A$495,0)),""))</f>
        <v/>
      </c>
      <c r="L495" s="22">
        <f t="array" ref="L495">IF($D495="","",IFERROR(INDEX(MASTER_SOURCE!$D$2:$D$495,MATCH($I495,MASTER_SOURCE!$A$2:$A$495,0)),""))</f>
        <v/>
      </c>
      <c r="M495" s="24" t="n"/>
      <c r="N495" s="24" t="n"/>
      <c r="O495" s="24" t="n"/>
      <c r="P495" s="24" t="n"/>
      <c r="Q495" s="22">
        <f>IF($D495="","",IF(AND(OR(DANH_MUC!$L$5&lt;&gt;"Có",M495="Có"),OR(DANH_MUC!$L$6&lt;&gt;"Có",N495="Có"),OR(DANH_MUC!$L$7&lt;&gt;"Có",O495="Có"),OR(DANH_MUC!$L$8&lt;&gt;"Có",P495="Có")),"Có","Không"))</f>
        <v/>
      </c>
      <c r="R495" s="22">
        <f>IF($D495="","",IF(COUNTIF($D$2:$D495,$D495)&gt;1,"Trùng",""))</f>
        <v/>
      </c>
      <c r="S495" s="22">
        <f>IF($D495="","",IF(AND(LEN($D495)=10,LEFT($D495,1)="0",ISNUMBER(--$D495)),"Có","Không"))</f>
        <v/>
      </c>
      <c r="T495" s="22">
        <f>IF($D495="","",IF(AND($C495&lt;&gt;"",$Q495="Có",$R495="",$S495="Có",AND($L495&lt;&gt;"",OR($L495&lt;&gt;"Chưa xác định",DANH_MUC!$L$9="Có"))),"Có","Không"))</f>
        <v/>
      </c>
      <c r="U495" s="22">
        <f>IF(OR($D495="",$T495="Có"),"",IF($C495="","Thiếu họ tên; ","")&amp;IF($S495&lt;&gt;"Có","SĐT sai định dạng; ","")&amp;IF($R495="Trùng","Trùng SĐT; ","")&amp;IF($Q495&lt;&gt;"Có","Thiếu đồng ý bắt buộc; ","")&amp;IF($L495="","Thiếu/sai Mã REF; ",IF(AND($L495="Chưa xác định",DANH_MUC!$L$9&lt;&gt;"Có"),"Nguồn chưa xác định; ","")))</f>
        <v/>
      </c>
      <c r="V495" s="22">
        <f>IF(OR($D495="",$R495="Trùng"),"",IF(COUNTIF(ORDERS!$C$2:$C$4995,$D495)&gt;0,"Có","Không"))</f>
        <v/>
      </c>
      <c r="W495" s="22">
        <f>IF(OR($D495="",$R495="Trùng"),"",COUNTIFS(ORDERS!$C$2:$C$4995,$D495,ORDERS!$L$2:$L$4995,"Đã chuyển khoản"))</f>
        <v/>
      </c>
      <c r="X495" s="23">
        <f>IF(OR($D495="",$R495="Trùng"),"",SUMIFS(ORDERS!$J$2:$J$4995,ORDERS!$C$2:$C$4995,$D495,ORDERS!$L$2:$L$4995,"Đã chuyển khoản"))</f>
        <v/>
      </c>
      <c r="Y495" s="24" t="n"/>
    </row>
    <row r="496" ht="14.25" customHeight="1" s="40">
      <c r="A496" s="24" t="n"/>
      <c r="B496" s="27" t="n"/>
      <c r="C496" s="24" t="n"/>
      <c r="D496" s="28" t="n"/>
      <c r="E496" s="29" t="n"/>
      <c r="F496" s="24" t="n"/>
      <c r="G496" s="24" t="n"/>
      <c r="H496" s="21">
        <f>IF(ISNUMBER($B496),INT($B496)-WEEKDAY($B496,2)+1,"")</f>
        <v/>
      </c>
      <c r="I496" s="24" t="n"/>
      <c r="J496" s="22">
        <f t="array" ref="J496">IF($D496="","",IF($I496="","(trống REF)",IFERROR(INDEX(MASTER_SOURCE!$B$2:$B$495,MATCH($I496,MASTER_SOURCE!$A$2:$A$495,0)),"(REF không có trong MASTER_SOURCE)")))</f>
        <v/>
      </c>
      <c r="K496" s="22">
        <f t="array" ref="K496">IF($D496="","",IFERROR(INDEX(MASTER_SOURCE!$C$2:$C$495,MATCH($I496,MASTER_SOURCE!$A$2:$A$495,0)),""))</f>
        <v/>
      </c>
      <c r="L496" s="22">
        <f t="array" ref="L496">IF($D496="","",IFERROR(INDEX(MASTER_SOURCE!$D$2:$D$495,MATCH($I496,MASTER_SOURCE!$A$2:$A$495,0)),""))</f>
        <v/>
      </c>
      <c r="M496" s="24" t="n"/>
      <c r="N496" s="24" t="n"/>
      <c r="O496" s="24" t="n"/>
      <c r="P496" s="24" t="n"/>
      <c r="Q496" s="22">
        <f>IF($D496="","",IF(AND(OR(DANH_MUC!$L$5&lt;&gt;"Có",M496="Có"),OR(DANH_MUC!$L$6&lt;&gt;"Có",N496="Có"),OR(DANH_MUC!$L$7&lt;&gt;"Có",O496="Có"),OR(DANH_MUC!$L$8&lt;&gt;"Có",P496="Có")),"Có","Không"))</f>
        <v/>
      </c>
      <c r="R496" s="22">
        <f>IF($D496="","",IF(COUNTIF($D$2:$D496,$D496)&gt;1,"Trùng",""))</f>
        <v/>
      </c>
      <c r="S496" s="22">
        <f>IF($D496="","",IF(AND(LEN($D496)=10,LEFT($D496,1)="0",ISNUMBER(--$D496)),"Có","Không"))</f>
        <v/>
      </c>
      <c r="T496" s="22">
        <f>IF($D496="","",IF(AND($C496&lt;&gt;"",$Q496="Có",$R496="",$S496="Có",AND($L496&lt;&gt;"",OR($L496&lt;&gt;"Chưa xác định",DANH_MUC!$L$9="Có"))),"Có","Không"))</f>
        <v/>
      </c>
      <c r="U496" s="22">
        <f>IF(OR($D496="",$T496="Có"),"",IF($C496="","Thiếu họ tên; ","")&amp;IF($S496&lt;&gt;"Có","SĐT sai định dạng; ","")&amp;IF($R496="Trùng","Trùng SĐT; ","")&amp;IF($Q496&lt;&gt;"Có","Thiếu đồng ý bắt buộc; ","")&amp;IF($L496="","Thiếu/sai Mã REF; ",IF(AND($L496="Chưa xác định",DANH_MUC!$L$9&lt;&gt;"Có"),"Nguồn chưa xác định; ","")))</f>
        <v/>
      </c>
      <c r="V496" s="22">
        <f>IF(OR($D496="",$R496="Trùng"),"",IF(COUNTIF(ORDERS!$C$2:$C$4995,$D496)&gt;0,"Có","Không"))</f>
        <v/>
      </c>
      <c r="W496" s="22">
        <f>IF(OR($D496="",$R496="Trùng"),"",COUNTIFS(ORDERS!$C$2:$C$4995,$D496,ORDERS!$L$2:$L$4995,"Đã chuyển khoản"))</f>
        <v/>
      </c>
      <c r="X496" s="23">
        <f>IF(OR($D496="",$R496="Trùng"),"",SUMIFS(ORDERS!$J$2:$J$4995,ORDERS!$C$2:$C$4995,$D496,ORDERS!$L$2:$L$4995,"Đã chuyển khoản"))</f>
        <v/>
      </c>
      <c r="Y496" s="24" t="n"/>
    </row>
    <row r="497" ht="14.25" customHeight="1" s="40">
      <c r="A497" s="24" t="n"/>
      <c r="B497" s="27" t="n"/>
      <c r="C497" s="24" t="n"/>
      <c r="D497" s="28" t="n"/>
      <c r="E497" s="29" t="n"/>
      <c r="F497" s="24" t="n"/>
      <c r="G497" s="24" t="n"/>
      <c r="H497" s="21">
        <f>IF(ISNUMBER($B497),INT($B497)-WEEKDAY($B497,2)+1,"")</f>
        <v/>
      </c>
      <c r="I497" s="24" t="n"/>
      <c r="J497" s="22">
        <f t="array" ref="J497">IF($D497="","",IF($I497="","(trống REF)",IFERROR(INDEX(MASTER_SOURCE!$B$2:$B$495,MATCH($I497,MASTER_SOURCE!$A$2:$A$495,0)),"(REF không có trong MASTER_SOURCE)")))</f>
        <v/>
      </c>
      <c r="K497" s="22">
        <f t="array" ref="K497">IF($D497="","",IFERROR(INDEX(MASTER_SOURCE!$C$2:$C$495,MATCH($I497,MASTER_SOURCE!$A$2:$A$495,0)),""))</f>
        <v/>
      </c>
      <c r="L497" s="22">
        <f t="array" ref="L497">IF($D497="","",IFERROR(INDEX(MASTER_SOURCE!$D$2:$D$495,MATCH($I497,MASTER_SOURCE!$A$2:$A$495,0)),""))</f>
        <v/>
      </c>
      <c r="M497" s="24" t="n"/>
      <c r="N497" s="24" t="n"/>
      <c r="O497" s="24" t="n"/>
      <c r="P497" s="24" t="n"/>
      <c r="Q497" s="22">
        <f>IF($D497="","",IF(AND(OR(DANH_MUC!$L$5&lt;&gt;"Có",M497="Có"),OR(DANH_MUC!$L$6&lt;&gt;"Có",N497="Có"),OR(DANH_MUC!$L$7&lt;&gt;"Có",O497="Có"),OR(DANH_MUC!$L$8&lt;&gt;"Có",P497="Có")),"Có","Không"))</f>
        <v/>
      </c>
      <c r="R497" s="22">
        <f>IF($D497="","",IF(COUNTIF($D$2:$D497,$D497)&gt;1,"Trùng",""))</f>
        <v/>
      </c>
      <c r="S497" s="22">
        <f>IF($D497="","",IF(AND(LEN($D497)=10,LEFT($D497,1)="0",ISNUMBER(--$D497)),"Có","Không"))</f>
        <v/>
      </c>
      <c r="T497" s="22">
        <f>IF($D497="","",IF(AND($C497&lt;&gt;"",$Q497="Có",$R497="",$S497="Có",AND($L497&lt;&gt;"",OR($L497&lt;&gt;"Chưa xác định",DANH_MUC!$L$9="Có"))),"Có","Không"))</f>
        <v/>
      </c>
      <c r="U497" s="22">
        <f>IF(OR($D497="",$T497="Có"),"",IF($C497="","Thiếu họ tên; ","")&amp;IF($S497&lt;&gt;"Có","SĐT sai định dạng; ","")&amp;IF($R497="Trùng","Trùng SĐT; ","")&amp;IF($Q497&lt;&gt;"Có","Thiếu đồng ý bắt buộc; ","")&amp;IF($L497="","Thiếu/sai Mã REF; ",IF(AND($L497="Chưa xác định",DANH_MUC!$L$9&lt;&gt;"Có"),"Nguồn chưa xác định; ","")))</f>
        <v/>
      </c>
      <c r="V497" s="22">
        <f>IF(OR($D497="",$R497="Trùng"),"",IF(COUNTIF(ORDERS!$C$2:$C$4995,$D497)&gt;0,"Có","Không"))</f>
        <v/>
      </c>
      <c r="W497" s="22">
        <f>IF(OR($D497="",$R497="Trùng"),"",COUNTIFS(ORDERS!$C$2:$C$4995,$D497,ORDERS!$L$2:$L$4995,"Đã chuyển khoản"))</f>
        <v/>
      </c>
      <c r="X497" s="23">
        <f>IF(OR($D497="",$R497="Trùng"),"",SUMIFS(ORDERS!$J$2:$J$4995,ORDERS!$C$2:$C$4995,$D497,ORDERS!$L$2:$L$4995,"Đã chuyển khoản"))</f>
        <v/>
      </c>
      <c r="Y497" s="24" t="n"/>
    </row>
    <row r="498" ht="14.25" customHeight="1" s="40">
      <c r="A498" s="24" t="n"/>
      <c r="B498" s="27" t="n"/>
      <c r="C498" s="24" t="n"/>
      <c r="D498" s="28" t="n"/>
      <c r="E498" s="29" t="n"/>
      <c r="F498" s="24" t="n"/>
      <c r="G498" s="24" t="n"/>
      <c r="H498" s="21">
        <f>IF(ISNUMBER($B498),INT($B498)-WEEKDAY($B498,2)+1,"")</f>
        <v/>
      </c>
      <c r="I498" s="24" t="n"/>
      <c r="J498" s="22">
        <f t="array" ref="J498">IF($D498="","",IF($I498="","(trống REF)",IFERROR(INDEX(MASTER_SOURCE!$B$2:$B$495,MATCH($I498,MASTER_SOURCE!$A$2:$A$495,0)),"(REF không có trong MASTER_SOURCE)")))</f>
        <v/>
      </c>
      <c r="K498" s="22">
        <f t="array" ref="K498">IF($D498="","",IFERROR(INDEX(MASTER_SOURCE!$C$2:$C$495,MATCH($I498,MASTER_SOURCE!$A$2:$A$495,0)),""))</f>
        <v/>
      </c>
      <c r="L498" s="22">
        <f t="array" ref="L498">IF($D498="","",IFERROR(INDEX(MASTER_SOURCE!$D$2:$D$495,MATCH($I498,MASTER_SOURCE!$A$2:$A$495,0)),""))</f>
        <v/>
      </c>
      <c r="M498" s="24" t="n"/>
      <c r="N498" s="24" t="n"/>
      <c r="O498" s="24" t="n"/>
      <c r="P498" s="24" t="n"/>
      <c r="Q498" s="22">
        <f>IF($D498="","",IF(AND(OR(DANH_MUC!$L$5&lt;&gt;"Có",M498="Có"),OR(DANH_MUC!$L$6&lt;&gt;"Có",N498="Có"),OR(DANH_MUC!$L$7&lt;&gt;"Có",O498="Có"),OR(DANH_MUC!$L$8&lt;&gt;"Có",P498="Có")),"Có","Không"))</f>
        <v/>
      </c>
      <c r="R498" s="22">
        <f>IF($D498="","",IF(COUNTIF($D$2:$D498,$D498)&gt;1,"Trùng",""))</f>
        <v/>
      </c>
      <c r="S498" s="22">
        <f>IF($D498="","",IF(AND(LEN($D498)=10,LEFT($D498,1)="0",ISNUMBER(--$D498)),"Có","Không"))</f>
        <v/>
      </c>
      <c r="T498" s="22">
        <f>IF($D498="","",IF(AND($C498&lt;&gt;"",$Q498="Có",$R498="",$S498="Có",AND($L498&lt;&gt;"",OR($L498&lt;&gt;"Chưa xác định",DANH_MUC!$L$9="Có"))),"Có","Không"))</f>
        <v/>
      </c>
      <c r="U498" s="22">
        <f>IF(OR($D498="",$T498="Có"),"",IF($C498="","Thiếu họ tên; ","")&amp;IF($S498&lt;&gt;"Có","SĐT sai định dạng; ","")&amp;IF($R498="Trùng","Trùng SĐT; ","")&amp;IF($Q498&lt;&gt;"Có","Thiếu đồng ý bắt buộc; ","")&amp;IF($L498="","Thiếu/sai Mã REF; ",IF(AND($L498="Chưa xác định",DANH_MUC!$L$9&lt;&gt;"Có"),"Nguồn chưa xác định; ","")))</f>
        <v/>
      </c>
      <c r="V498" s="22">
        <f>IF(OR($D498="",$R498="Trùng"),"",IF(COUNTIF(ORDERS!$C$2:$C$4995,$D498)&gt;0,"Có","Không"))</f>
        <v/>
      </c>
      <c r="W498" s="22">
        <f>IF(OR($D498="",$R498="Trùng"),"",COUNTIFS(ORDERS!$C$2:$C$4995,$D498,ORDERS!$L$2:$L$4995,"Đã chuyển khoản"))</f>
        <v/>
      </c>
      <c r="X498" s="23">
        <f>IF(OR($D498="",$R498="Trùng"),"",SUMIFS(ORDERS!$J$2:$J$4995,ORDERS!$C$2:$C$4995,$D498,ORDERS!$L$2:$L$4995,"Đã chuyển khoản"))</f>
        <v/>
      </c>
      <c r="Y498" s="24" t="n"/>
    </row>
    <row r="499" ht="14.25" customHeight="1" s="40">
      <c r="A499" s="24" t="n"/>
      <c r="B499" s="27" t="n"/>
      <c r="C499" s="24" t="n"/>
      <c r="D499" s="28" t="n"/>
      <c r="E499" s="29" t="n"/>
      <c r="F499" s="24" t="n"/>
      <c r="G499" s="24" t="n"/>
      <c r="H499" s="21">
        <f>IF(ISNUMBER($B499),INT($B499)-WEEKDAY($B499,2)+1,"")</f>
        <v/>
      </c>
      <c r="I499" s="24" t="n"/>
      <c r="J499" s="22">
        <f t="array" ref="J499">IF($D499="","",IF($I499="","(trống REF)",IFERROR(INDEX(MASTER_SOURCE!$B$2:$B$495,MATCH($I499,MASTER_SOURCE!$A$2:$A$495,0)),"(REF không có trong MASTER_SOURCE)")))</f>
        <v/>
      </c>
      <c r="K499" s="22">
        <f t="array" ref="K499">IF($D499="","",IFERROR(INDEX(MASTER_SOURCE!$C$2:$C$495,MATCH($I499,MASTER_SOURCE!$A$2:$A$495,0)),""))</f>
        <v/>
      </c>
      <c r="L499" s="22">
        <f t="array" ref="L499">IF($D499="","",IFERROR(INDEX(MASTER_SOURCE!$D$2:$D$495,MATCH($I499,MASTER_SOURCE!$A$2:$A$495,0)),""))</f>
        <v/>
      </c>
      <c r="M499" s="24" t="n"/>
      <c r="N499" s="24" t="n"/>
      <c r="O499" s="24" t="n"/>
      <c r="P499" s="24" t="n"/>
      <c r="Q499" s="22">
        <f>IF($D499="","",IF(AND(OR(DANH_MUC!$L$5&lt;&gt;"Có",M499="Có"),OR(DANH_MUC!$L$6&lt;&gt;"Có",N499="Có"),OR(DANH_MUC!$L$7&lt;&gt;"Có",O499="Có"),OR(DANH_MUC!$L$8&lt;&gt;"Có",P499="Có")),"Có","Không"))</f>
        <v/>
      </c>
      <c r="R499" s="22">
        <f>IF($D499="","",IF(COUNTIF($D$2:$D499,$D499)&gt;1,"Trùng",""))</f>
        <v/>
      </c>
      <c r="S499" s="22">
        <f>IF($D499="","",IF(AND(LEN($D499)=10,LEFT($D499,1)="0",ISNUMBER(--$D499)),"Có","Không"))</f>
        <v/>
      </c>
      <c r="T499" s="22">
        <f>IF($D499="","",IF(AND($C499&lt;&gt;"",$Q499="Có",$R499="",$S499="Có",AND($L499&lt;&gt;"",OR($L499&lt;&gt;"Chưa xác định",DANH_MUC!$L$9="Có"))),"Có","Không"))</f>
        <v/>
      </c>
      <c r="U499" s="22">
        <f>IF(OR($D499="",$T499="Có"),"",IF($C499="","Thiếu họ tên; ","")&amp;IF($S499&lt;&gt;"Có","SĐT sai định dạng; ","")&amp;IF($R499="Trùng","Trùng SĐT; ","")&amp;IF($Q499&lt;&gt;"Có","Thiếu đồng ý bắt buộc; ","")&amp;IF($L499="","Thiếu/sai Mã REF; ",IF(AND($L499="Chưa xác định",DANH_MUC!$L$9&lt;&gt;"Có"),"Nguồn chưa xác định; ","")))</f>
        <v/>
      </c>
      <c r="V499" s="22">
        <f>IF(OR($D499="",$R499="Trùng"),"",IF(COUNTIF(ORDERS!$C$2:$C$4995,$D499)&gt;0,"Có","Không"))</f>
        <v/>
      </c>
      <c r="W499" s="22">
        <f>IF(OR($D499="",$R499="Trùng"),"",COUNTIFS(ORDERS!$C$2:$C$4995,$D499,ORDERS!$L$2:$L$4995,"Đã chuyển khoản"))</f>
        <v/>
      </c>
      <c r="X499" s="23">
        <f>IF(OR($D499="",$R499="Trùng"),"",SUMIFS(ORDERS!$J$2:$J$4995,ORDERS!$C$2:$C$4995,$D499,ORDERS!$L$2:$L$4995,"Đã chuyển khoản"))</f>
        <v/>
      </c>
      <c r="Y499" s="24" t="n"/>
    </row>
    <row r="500" ht="14.25" customHeight="1" s="40">
      <c r="A500" s="24" t="n"/>
      <c r="B500" s="27" t="n"/>
      <c r="C500" s="24" t="n"/>
      <c r="D500" s="28" t="n"/>
      <c r="E500" s="29" t="n"/>
      <c r="F500" s="24" t="n"/>
      <c r="G500" s="24" t="n"/>
      <c r="H500" s="21">
        <f>IF(ISNUMBER($B500),INT($B500)-WEEKDAY($B500,2)+1,"")</f>
        <v/>
      </c>
      <c r="I500" s="24" t="n"/>
      <c r="J500" s="22">
        <f t="array" ref="J500">IF($D500="","",IF($I500="","(trống REF)",IFERROR(INDEX(MASTER_SOURCE!$B$2:$B$495,MATCH($I500,MASTER_SOURCE!$A$2:$A$495,0)),"(REF không có trong MASTER_SOURCE)")))</f>
        <v/>
      </c>
      <c r="K500" s="22">
        <f t="array" ref="K500">IF($D500="","",IFERROR(INDEX(MASTER_SOURCE!$C$2:$C$495,MATCH($I500,MASTER_SOURCE!$A$2:$A$495,0)),""))</f>
        <v/>
      </c>
      <c r="L500" s="22">
        <f t="array" ref="L500">IF($D500="","",IFERROR(INDEX(MASTER_SOURCE!$D$2:$D$495,MATCH($I500,MASTER_SOURCE!$A$2:$A$495,0)),""))</f>
        <v/>
      </c>
      <c r="M500" s="24" t="n"/>
      <c r="N500" s="24" t="n"/>
      <c r="O500" s="24" t="n"/>
      <c r="P500" s="24" t="n"/>
      <c r="Q500" s="22">
        <f>IF($D500="","",IF(AND(OR(DANH_MUC!$L$5&lt;&gt;"Có",M500="Có"),OR(DANH_MUC!$L$6&lt;&gt;"Có",N500="Có"),OR(DANH_MUC!$L$7&lt;&gt;"Có",O500="Có"),OR(DANH_MUC!$L$8&lt;&gt;"Có",P500="Có")),"Có","Không"))</f>
        <v/>
      </c>
      <c r="R500" s="22">
        <f>IF($D500="","",IF(COUNTIF($D$2:$D500,$D500)&gt;1,"Trùng",""))</f>
        <v/>
      </c>
      <c r="S500" s="22">
        <f>IF($D500="","",IF(AND(LEN($D500)=10,LEFT($D500,1)="0",ISNUMBER(--$D500)),"Có","Không"))</f>
        <v/>
      </c>
      <c r="T500" s="22">
        <f>IF($D500="","",IF(AND($C500&lt;&gt;"",$Q500="Có",$R500="",$S500="Có",AND($L500&lt;&gt;"",OR($L500&lt;&gt;"Chưa xác định",DANH_MUC!$L$9="Có"))),"Có","Không"))</f>
        <v/>
      </c>
      <c r="U500" s="22">
        <f>IF(OR($D500="",$T500="Có"),"",IF($C500="","Thiếu họ tên; ","")&amp;IF($S500&lt;&gt;"Có","SĐT sai định dạng; ","")&amp;IF($R500="Trùng","Trùng SĐT; ","")&amp;IF($Q500&lt;&gt;"Có","Thiếu đồng ý bắt buộc; ","")&amp;IF($L500="","Thiếu/sai Mã REF; ",IF(AND($L500="Chưa xác định",DANH_MUC!$L$9&lt;&gt;"Có"),"Nguồn chưa xác định; ","")))</f>
        <v/>
      </c>
      <c r="V500" s="22">
        <f>IF(OR($D500="",$R500="Trùng"),"",IF(COUNTIF(ORDERS!$C$2:$C$4995,$D500)&gt;0,"Có","Không"))</f>
        <v/>
      </c>
      <c r="W500" s="22">
        <f>IF(OR($D500="",$R500="Trùng"),"",COUNTIFS(ORDERS!$C$2:$C$4995,$D500,ORDERS!$L$2:$L$4995,"Đã chuyển khoản"))</f>
        <v/>
      </c>
      <c r="X500" s="23">
        <f>IF(OR($D500="",$R500="Trùng"),"",SUMIFS(ORDERS!$J$2:$J$4995,ORDERS!$C$2:$C$4995,$D500,ORDERS!$L$2:$L$4995,"Đã chuyển khoản"))</f>
        <v/>
      </c>
      <c r="Y500" s="24" t="n"/>
    </row>
    <row r="501" ht="14.25" customHeight="1" s="40">
      <c r="A501" s="24" t="n"/>
      <c r="B501" s="27" t="n"/>
      <c r="C501" s="24" t="n"/>
      <c r="D501" s="28" t="n"/>
      <c r="E501" s="29" t="n"/>
      <c r="F501" s="24" t="n"/>
      <c r="G501" s="24" t="n"/>
      <c r="H501" s="21">
        <f>IF(ISNUMBER($B501),INT($B501)-WEEKDAY($B501,2)+1,"")</f>
        <v/>
      </c>
      <c r="I501" s="24" t="n"/>
      <c r="J501" s="22">
        <f t="array" ref="J501">IF($D501="","",IF($I501="","(trống REF)",IFERROR(INDEX(MASTER_SOURCE!$B$2:$B$495,MATCH($I501,MASTER_SOURCE!$A$2:$A$495,0)),"(REF không có trong MASTER_SOURCE)")))</f>
        <v/>
      </c>
      <c r="K501" s="22">
        <f t="array" ref="K501">IF($D501="","",IFERROR(INDEX(MASTER_SOURCE!$C$2:$C$495,MATCH($I501,MASTER_SOURCE!$A$2:$A$495,0)),""))</f>
        <v/>
      </c>
      <c r="L501" s="22">
        <f t="array" ref="L501">IF($D501="","",IFERROR(INDEX(MASTER_SOURCE!$D$2:$D$495,MATCH($I501,MASTER_SOURCE!$A$2:$A$495,0)),""))</f>
        <v/>
      </c>
      <c r="M501" s="24" t="n"/>
      <c r="N501" s="24" t="n"/>
      <c r="O501" s="24" t="n"/>
      <c r="P501" s="24" t="n"/>
      <c r="Q501" s="22">
        <f>IF($D501="","",IF(AND(OR(DANH_MUC!$L$5&lt;&gt;"Có",M501="Có"),OR(DANH_MUC!$L$6&lt;&gt;"Có",N501="Có"),OR(DANH_MUC!$L$7&lt;&gt;"Có",O501="Có"),OR(DANH_MUC!$L$8&lt;&gt;"Có",P501="Có")),"Có","Không"))</f>
        <v/>
      </c>
      <c r="R501" s="22">
        <f>IF($D501="","",IF(COUNTIF($D$2:$D501,$D501)&gt;1,"Trùng",""))</f>
        <v/>
      </c>
      <c r="S501" s="22">
        <f>IF($D501="","",IF(AND(LEN($D501)=10,LEFT($D501,1)="0",ISNUMBER(--$D501)),"Có","Không"))</f>
        <v/>
      </c>
      <c r="T501" s="22">
        <f>IF($D501="","",IF(AND($C501&lt;&gt;"",$Q501="Có",$R501="",$S501="Có",AND($L501&lt;&gt;"",OR($L501&lt;&gt;"Chưa xác định",DANH_MUC!$L$9="Có"))),"Có","Không"))</f>
        <v/>
      </c>
      <c r="U501" s="22">
        <f>IF(OR($D501="",$T501="Có"),"",IF($C501="","Thiếu họ tên; ","")&amp;IF($S501&lt;&gt;"Có","SĐT sai định dạng; ","")&amp;IF($R501="Trùng","Trùng SĐT; ","")&amp;IF($Q501&lt;&gt;"Có","Thiếu đồng ý bắt buộc; ","")&amp;IF($L501="","Thiếu/sai Mã REF; ",IF(AND($L501="Chưa xác định",DANH_MUC!$L$9&lt;&gt;"Có"),"Nguồn chưa xác định; ","")))</f>
        <v/>
      </c>
      <c r="V501" s="22">
        <f>IF(OR($D501="",$R501="Trùng"),"",IF(COUNTIF(ORDERS!$C$2:$C$4995,$D501)&gt;0,"Có","Không"))</f>
        <v/>
      </c>
      <c r="W501" s="22">
        <f>IF(OR($D501="",$R501="Trùng"),"",COUNTIFS(ORDERS!$C$2:$C$4995,$D501,ORDERS!$L$2:$L$4995,"Đã chuyển khoản"))</f>
        <v/>
      </c>
      <c r="X501" s="23">
        <f>IF(OR($D501="",$R501="Trùng"),"",SUMIFS(ORDERS!$J$2:$J$4995,ORDERS!$C$2:$C$4995,$D501,ORDERS!$L$2:$L$4995,"Đã chuyển khoản"))</f>
        <v/>
      </c>
      <c r="Y501" s="24" t="n"/>
    </row>
    <row r="502" ht="14.25" customHeight="1" s="40">
      <c r="A502" s="24" t="n"/>
      <c r="B502" s="27" t="n"/>
      <c r="C502" s="24" t="n"/>
      <c r="D502" s="28" t="n"/>
      <c r="E502" s="29" t="n"/>
      <c r="F502" s="24" t="n"/>
      <c r="G502" s="24" t="n"/>
      <c r="H502" s="21">
        <f>IF(ISNUMBER($B502),INT($B502)-WEEKDAY($B502,2)+1,"")</f>
        <v/>
      </c>
      <c r="I502" s="24" t="n"/>
      <c r="J502" s="22">
        <f t="array" ref="J502">IF($D502="","",IF($I502="","(trống REF)",IFERROR(INDEX(MASTER_SOURCE!$B$2:$B$495,MATCH($I502,MASTER_SOURCE!$A$2:$A$495,0)),"(REF không có trong MASTER_SOURCE)")))</f>
        <v/>
      </c>
      <c r="K502" s="22">
        <f t="array" ref="K502">IF($D502="","",IFERROR(INDEX(MASTER_SOURCE!$C$2:$C$495,MATCH($I502,MASTER_SOURCE!$A$2:$A$495,0)),""))</f>
        <v/>
      </c>
      <c r="L502" s="22">
        <f t="array" ref="L502">IF($D502="","",IFERROR(INDEX(MASTER_SOURCE!$D$2:$D$495,MATCH($I502,MASTER_SOURCE!$A$2:$A$495,0)),""))</f>
        <v/>
      </c>
      <c r="M502" s="24" t="n"/>
      <c r="N502" s="24" t="n"/>
      <c r="O502" s="24" t="n"/>
      <c r="P502" s="24" t="n"/>
      <c r="Q502" s="22">
        <f>IF($D502="","",IF(AND(OR(DANH_MUC!$L$5&lt;&gt;"Có",M502="Có"),OR(DANH_MUC!$L$6&lt;&gt;"Có",N502="Có"),OR(DANH_MUC!$L$7&lt;&gt;"Có",O502="Có"),OR(DANH_MUC!$L$8&lt;&gt;"Có",P502="Có")),"Có","Không"))</f>
        <v/>
      </c>
      <c r="R502" s="22">
        <f>IF($D502="","",IF(COUNTIF($D$2:$D502,$D502)&gt;1,"Trùng",""))</f>
        <v/>
      </c>
      <c r="S502" s="22">
        <f>IF($D502="","",IF(AND(LEN($D502)=10,LEFT($D502,1)="0",ISNUMBER(--$D502)),"Có","Không"))</f>
        <v/>
      </c>
      <c r="T502" s="22">
        <f>IF($D502="","",IF(AND($C502&lt;&gt;"",$Q502="Có",$R502="",$S502="Có",AND($L502&lt;&gt;"",OR($L502&lt;&gt;"Chưa xác định",DANH_MUC!$L$9="Có"))),"Có","Không"))</f>
        <v/>
      </c>
      <c r="U502" s="22">
        <f>IF(OR($D502="",$T502="Có"),"",IF($C502="","Thiếu họ tên; ","")&amp;IF($S502&lt;&gt;"Có","SĐT sai định dạng; ","")&amp;IF($R502="Trùng","Trùng SĐT; ","")&amp;IF($Q502&lt;&gt;"Có","Thiếu đồng ý bắt buộc; ","")&amp;IF($L502="","Thiếu/sai Mã REF; ",IF(AND($L502="Chưa xác định",DANH_MUC!$L$9&lt;&gt;"Có"),"Nguồn chưa xác định; ","")))</f>
        <v/>
      </c>
      <c r="V502" s="22">
        <f>IF(OR($D502="",$R502="Trùng"),"",IF(COUNTIF(ORDERS!$C$2:$C$4995,$D502)&gt;0,"Có","Không"))</f>
        <v/>
      </c>
      <c r="W502" s="22">
        <f>IF(OR($D502="",$R502="Trùng"),"",COUNTIFS(ORDERS!$C$2:$C$4995,$D502,ORDERS!$L$2:$L$4995,"Đã chuyển khoản"))</f>
        <v/>
      </c>
      <c r="X502" s="23">
        <f>IF(OR($D502="",$R502="Trùng"),"",SUMIFS(ORDERS!$J$2:$J$4995,ORDERS!$C$2:$C$4995,$D502,ORDERS!$L$2:$L$4995,"Đã chuyển khoản"))</f>
        <v/>
      </c>
      <c r="Y502" s="24" t="n"/>
    </row>
    <row r="503" ht="14.25" customHeight="1" s="40">
      <c r="A503" s="24" t="n"/>
      <c r="B503" s="27" t="n"/>
      <c r="C503" s="24" t="n"/>
      <c r="D503" s="28" t="n"/>
      <c r="E503" s="29" t="n"/>
      <c r="F503" s="24" t="n"/>
      <c r="G503" s="24" t="n"/>
      <c r="H503" s="21">
        <f>IF(ISNUMBER($B503),INT($B503)-WEEKDAY($B503,2)+1,"")</f>
        <v/>
      </c>
      <c r="I503" s="24" t="n"/>
      <c r="J503" s="22">
        <f t="array" ref="J503">IF($D503="","",IF($I503="","(trống REF)",IFERROR(INDEX(MASTER_SOURCE!$B$2:$B$495,MATCH($I503,MASTER_SOURCE!$A$2:$A$495,0)),"(REF không có trong MASTER_SOURCE)")))</f>
        <v/>
      </c>
      <c r="K503" s="22">
        <f t="array" ref="K503">IF($D503="","",IFERROR(INDEX(MASTER_SOURCE!$C$2:$C$495,MATCH($I503,MASTER_SOURCE!$A$2:$A$495,0)),""))</f>
        <v/>
      </c>
      <c r="L503" s="22">
        <f t="array" ref="L503">IF($D503="","",IFERROR(INDEX(MASTER_SOURCE!$D$2:$D$495,MATCH($I503,MASTER_SOURCE!$A$2:$A$495,0)),""))</f>
        <v/>
      </c>
      <c r="M503" s="24" t="n"/>
      <c r="N503" s="24" t="n"/>
      <c r="O503" s="24" t="n"/>
      <c r="P503" s="24" t="n"/>
      <c r="Q503" s="22">
        <f>IF($D503="","",IF(AND(OR(DANH_MUC!$L$5&lt;&gt;"Có",M503="Có"),OR(DANH_MUC!$L$6&lt;&gt;"Có",N503="Có"),OR(DANH_MUC!$L$7&lt;&gt;"Có",O503="Có"),OR(DANH_MUC!$L$8&lt;&gt;"Có",P503="Có")),"Có","Không"))</f>
        <v/>
      </c>
      <c r="R503" s="22">
        <f>IF($D503="","",IF(COUNTIF($D$2:$D503,$D503)&gt;1,"Trùng",""))</f>
        <v/>
      </c>
      <c r="S503" s="22">
        <f>IF($D503="","",IF(AND(LEN($D503)=10,LEFT($D503,1)="0",ISNUMBER(--$D503)),"Có","Không"))</f>
        <v/>
      </c>
      <c r="T503" s="22">
        <f>IF($D503="","",IF(AND($C503&lt;&gt;"",$Q503="Có",$R503="",$S503="Có",AND($L503&lt;&gt;"",OR($L503&lt;&gt;"Chưa xác định",DANH_MUC!$L$9="Có"))),"Có","Không"))</f>
        <v/>
      </c>
      <c r="U503" s="22">
        <f>IF(OR($D503="",$T503="Có"),"",IF($C503="","Thiếu họ tên; ","")&amp;IF($S503&lt;&gt;"Có","SĐT sai định dạng; ","")&amp;IF($R503="Trùng","Trùng SĐT; ","")&amp;IF($Q503&lt;&gt;"Có","Thiếu đồng ý bắt buộc; ","")&amp;IF($L503="","Thiếu/sai Mã REF; ",IF(AND($L503="Chưa xác định",DANH_MUC!$L$9&lt;&gt;"Có"),"Nguồn chưa xác định; ","")))</f>
        <v/>
      </c>
      <c r="V503" s="22">
        <f>IF(OR($D503="",$R503="Trùng"),"",IF(COUNTIF(ORDERS!$C$2:$C$4995,$D503)&gt;0,"Có","Không"))</f>
        <v/>
      </c>
      <c r="W503" s="22">
        <f>IF(OR($D503="",$R503="Trùng"),"",COUNTIFS(ORDERS!$C$2:$C$4995,$D503,ORDERS!$L$2:$L$4995,"Đã chuyển khoản"))</f>
        <v/>
      </c>
      <c r="X503" s="23">
        <f>IF(OR($D503="",$R503="Trùng"),"",SUMIFS(ORDERS!$J$2:$J$4995,ORDERS!$C$2:$C$4995,$D503,ORDERS!$L$2:$L$4995,"Đã chuyển khoản"))</f>
        <v/>
      </c>
      <c r="Y503" s="24" t="n"/>
    </row>
    <row r="504" ht="14.25" customHeight="1" s="40">
      <c r="A504" s="24" t="n"/>
      <c r="B504" s="27" t="n"/>
      <c r="C504" s="24" t="n"/>
      <c r="D504" s="28" t="n"/>
      <c r="E504" s="29" t="n"/>
      <c r="F504" s="24" t="n"/>
      <c r="G504" s="24" t="n"/>
      <c r="H504" s="21">
        <f>IF(ISNUMBER($B504),INT($B504)-WEEKDAY($B504,2)+1,"")</f>
        <v/>
      </c>
      <c r="I504" s="24" t="n"/>
      <c r="J504" s="22">
        <f t="array" ref="J504">IF($D504="","",IF($I504="","(trống REF)",IFERROR(INDEX(MASTER_SOURCE!$B$2:$B$495,MATCH($I504,MASTER_SOURCE!$A$2:$A$495,0)),"(REF không có trong MASTER_SOURCE)")))</f>
        <v/>
      </c>
      <c r="K504" s="22">
        <f t="array" ref="K504">IF($D504="","",IFERROR(INDEX(MASTER_SOURCE!$C$2:$C$495,MATCH($I504,MASTER_SOURCE!$A$2:$A$495,0)),""))</f>
        <v/>
      </c>
      <c r="L504" s="22">
        <f t="array" ref="L504">IF($D504="","",IFERROR(INDEX(MASTER_SOURCE!$D$2:$D$495,MATCH($I504,MASTER_SOURCE!$A$2:$A$495,0)),""))</f>
        <v/>
      </c>
      <c r="M504" s="24" t="n"/>
      <c r="N504" s="24" t="n"/>
      <c r="O504" s="24" t="n"/>
      <c r="P504" s="24" t="n"/>
      <c r="Q504" s="22">
        <f>IF($D504="","",IF(AND(OR(DANH_MUC!$L$5&lt;&gt;"Có",M504="Có"),OR(DANH_MUC!$L$6&lt;&gt;"Có",N504="Có"),OR(DANH_MUC!$L$7&lt;&gt;"Có",O504="Có"),OR(DANH_MUC!$L$8&lt;&gt;"Có",P504="Có")),"Có","Không"))</f>
        <v/>
      </c>
      <c r="R504" s="22">
        <f>IF($D504="","",IF(COUNTIF($D$2:$D504,$D504)&gt;1,"Trùng",""))</f>
        <v/>
      </c>
      <c r="S504" s="22">
        <f>IF($D504="","",IF(AND(LEN($D504)=10,LEFT($D504,1)="0",ISNUMBER(--$D504)),"Có","Không"))</f>
        <v/>
      </c>
      <c r="T504" s="22">
        <f>IF($D504="","",IF(AND($C504&lt;&gt;"",$Q504="Có",$R504="",$S504="Có",AND($L504&lt;&gt;"",OR($L504&lt;&gt;"Chưa xác định",DANH_MUC!$L$9="Có"))),"Có","Không"))</f>
        <v/>
      </c>
      <c r="U504" s="22">
        <f>IF(OR($D504="",$T504="Có"),"",IF($C504="","Thiếu họ tên; ","")&amp;IF($S504&lt;&gt;"Có","SĐT sai định dạng; ","")&amp;IF($R504="Trùng","Trùng SĐT; ","")&amp;IF($Q504&lt;&gt;"Có","Thiếu đồng ý bắt buộc; ","")&amp;IF($L504="","Thiếu/sai Mã REF; ",IF(AND($L504="Chưa xác định",DANH_MUC!$L$9&lt;&gt;"Có"),"Nguồn chưa xác định; ","")))</f>
        <v/>
      </c>
      <c r="V504" s="22">
        <f>IF(OR($D504="",$R504="Trùng"),"",IF(COUNTIF(ORDERS!$C$2:$C$4995,$D504)&gt;0,"Có","Không"))</f>
        <v/>
      </c>
      <c r="W504" s="22">
        <f>IF(OR($D504="",$R504="Trùng"),"",COUNTIFS(ORDERS!$C$2:$C$4995,$D504,ORDERS!$L$2:$L$4995,"Đã chuyển khoản"))</f>
        <v/>
      </c>
      <c r="X504" s="23">
        <f>IF(OR($D504="",$R504="Trùng"),"",SUMIFS(ORDERS!$J$2:$J$4995,ORDERS!$C$2:$C$4995,$D504,ORDERS!$L$2:$L$4995,"Đã chuyển khoản"))</f>
        <v/>
      </c>
      <c r="Y504" s="24" t="n"/>
    </row>
    <row r="505" ht="14.25" customHeight="1" s="40">
      <c r="A505" s="24" t="n"/>
      <c r="B505" s="27" t="n"/>
      <c r="C505" s="24" t="n"/>
      <c r="D505" s="28" t="n"/>
      <c r="E505" s="29" t="n"/>
      <c r="F505" s="24" t="n"/>
      <c r="G505" s="24" t="n"/>
      <c r="H505" s="21">
        <f>IF(ISNUMBER($B505),INT($B505)-WEEKDAY($B505,2)+1,"")</f>
        <v/>
      </c>
      <c r="I505" s="24" t="n"/>
      <c r="J505" s="22">
        <f t="array" ref="J505">IF($D505="","",IF($I505="","(trống REF)",IFERROR(INDEX(MASTER_SOURCE!$B$2:$B$495,MATCH($I505,MASTER_SOURCE!$A$2:$A$495,0)),"(REF không có trong MASTER_SOURCE)")))</f>
        <v/>
      </c>
      <c r="K505" s="22">
        <f t="array" ref="K505">IF($D505="","",IFERROR(INDEX(MASTER_SOURCE!$C$2:$C$495,MATCH($I505,MASTER_SOURCE!$A$2:$A$495,0)),""))</f>
        <v/>
      </c>
      <c r="L505" s="22">
        <f t="array" ref="L505">IF($D505="","",IFERROR(INDEX(MASTER_SOURCE!$D$2:$D$495,MATCH($I505,MASTER_SOURCE!$A$2:$A$495,0)),""))</f>
        <v/>
      </c>
      <c r="M505" s="24" t="n"/>
      <c r="N505" s="24" t="n"/>
      <c r="O505" s="24" t="n"/>
      <c r="P505" s="24" t="n"/>
      <c r="Q505" s="22">
        <f>IF($D505="","",IF(AND(OR(DANH_MUC!$L$5&lt;&gt;"Có",M505="Có"),OR(DANH_MUC!$L$6&lt;&gt;"Có",N505="Có"),OR(DANH_MUC!$L$7&lt;&gt;"Có",O505="Có"),OR(DANH_MUC!$L$8&lt;&gt;"Có",P505="Có")),"Có","Không"))</f>
        <v/>
      </c>
      <c r="R505" s="22">
        <f>IF($D505="","",IF(COUNTIF($D$2:$D505,$D505)&gt;1,"Trùng",""))</f>
        <v/>
      </c>
      <c r="S505" s="22">
        <f>IF($D505="","",IF(AND(LEN($D505)=10,LEFT($D505,1)="0",ISNUMBER(--$D505)),"Có","Không"))</f>
        <v/>
      </c>
      <c r="T505" s="22">
        <f>IF($D505="","",IF(AND($C505&lt;&gt;"",$Q505="Có",$R505="",$S505="Có",AND($L505&lt;&gt;"",OR($L505&lt;&gt;"Chưa xác định",DANH_MUC!$L$9="Có"))),"Có","Không"))</f>
        <v/>
      </c>
      <c r="U505" s="22">
        <f>IF(OR($D505="",$T505="Có"),"",IF($C505="","Thiếu họ tên; ","")&amp;IF($S505&lt;&gt;"Có","SĐT sai định dạng; ","")&amp;IF($R505="Trùng","Trùng SĐT; ","")&amp;IF($Q505&lt;&gt;"Có","Thiếu đồng ý bắt buộc; ","")&amp;IF($L505="","Thiếu/sai Mã REF; ",IF(AND($L505="Chưa xác định",DANH_MUC!$L$9&lt;&gt;"Có"),"Nguồn chưa xác định; ","")))</f>
        <v/>
      </c>
      <c r="V505" s="22">
        <f>IF(OR($D505="",$R505="Trùng"),"",IF(COUNTIF(ORDERS!$C$2:$C$4995,$D505)&gt;0,"Có","Không"))</f>
        <v/>
      </c>
      <c r="W505" s="22">
        <f>IF(OR($D505="",$R505="Trùng"),"",COUNTIFS(ORDERS!$C$2:$C$4995,$D505,ORDERS!$L$2:$L$4995,"Đã chuyển khoản"))</f>
        <v/>
      </c>
      <c r="X505" s="23">
        <f>IF(OR($D505="",$R505="Trùng"),"",SUMIFS(ORDERS!$J$2:$J$4995,ORDERS!$C$2:$C$4995,$D505,ORDERS!$L$2:$L$4995,"Đã chuyển khoản"))</f>
        <v/>
      </c>
      <c r="Y505" s="24" t="n"/>
    </row>
    <row r="506" ht="14.25" customHeight="1" s="40">
      <c r="A506" s="24" t="n"/>
      <c r="B506" s="27" t="n"/>
      <c r="C506" s="24" t="n"/>
      <c r="D506" s="28" t="n"/>
      <c r="E506" s="29" t="n"/>
      <c r="F506" s="24" t="n"/>
      <c r="G506" s="24" t="n"/>
      <c r="H506" s="21">
        <f>IF(ISNUMBER($B506),INT($B506)-WEEKDAY($B506,2)+1,"")</f>
        <v/>
      </c>
      <c r="I506" s="24" t="n"/>
      <c r="J506" s="22">
        <f t="array" ref="J506">IF($D506="","",IF($I506="","(trống REF)",IFERROR(INDEX(MASTER_SOURCE!$B$2:$B$495,MATCH($I506,MASTER_SOURCE!$A$2:$A$495,0)),"(REF không có trong MASTER_SOURCE)")))</f>
        <v/>
      </c>
      <c r="K506" s="22">
        <f t="array" ref="K506">IF($D506="","",IFERROR(INDEX(MASTER_SOURCE!$C$2:$C$495,MATCH($I506,MASTER_SOURCE!$A$2:$A$495,0)),""))</f>
        <v/>
      </c>
      <c r="L506" s="22">
        <f t="array" ref="L506">IF($D506="","",IFERROR(INDEX(MASTER_SOURCE!$D$2:$D$495,MATCH($I506,MASTER_SOURCE!$A$2:$A$495,0)),""))</f>
        <v/>
      </c>
      <c r="M506" s="24" t="n"/>
      <c r="N506" s="24" t="n"/>
      <c r="O506" s="24" t="n"/>
      <c r="P506" s="24" t="n"/>
      <c r="Q506" s="22">
        <f>IF($D506="","",IF(AND(OR(DANH_MUC!$L$5&lt;&gt;"Có",M506="Có"),OR(DANH_MUC!$L$6&lt;&gt;"Có",N506="Có"),OR(DANH_MUC!$L$7&lt;&gt;"Có",O506="Có"),OR(DANH_MUC!$L$8&lt;&gt;"Có",P506="Có")),"Có","Không"))</f>
        <v/>
      </c>
      <c r="R506" s="22">
        <f>IF($D506="","",IF(COUNTIF($D$2:$D506,$D506)&gt;1,"Trùng",""))</f>
        <v/>
      </c>
      <c r="S506" s="22">
        <f>IF($D506="","",IF(AND(LEN($D506)=10,LEFT($D506,1)="0",ISNUMBER(--$D506)),"Có","Không"))</f>
        <v/>
      </c>
      <c r="T506" s="22">
        <f>IF($D506="","",IF(AND($C506&lt;&gt;"",$Q506="Có",$R506="",$S506="Có",AND($L506&lt;&gt;"",OR($L506&lt;&gt;"Chưa xác định",DANH_MUC!$L$9="Có"))),"Có","Không"))</f>
        <v/>
      </c>
      <c r="U506" s="22">
        <f>IF(OR($D506="",$T506="Có"),"",IF($C506="","Thiếu họ tên; ","")&amp;IF($S506&lt;&gt;"Có","SĐT sai định dạng; ","")&amp;IF($R506="Trùng","Trùng SĐT; ","")&amp;IF($Q506&lt;&gt;"Có","Thiếu đồng ý bắt buộc; ","")&amp;IF($L506="","Thiếu/sai Mã REF; ",IF(AND($L506="Chưa xác định",DANH_MUC!$L$9&lt;&gt;"Có"),"Nguồn chưa xác định; ","")))</f>
        <v/>
      </c>
      <c r="V506" s="22">
        <f>IF(OR($D506="",$R506="Trùng"),"",IF(COUNTIF(ORDERS!$C$2:$C$4995,$D506)&gt;0,"Có","Không"))</f>
        <v/>
      </c>
      <c r="W506" s="22">
        <f>IF(OR($D506="",$R506="Trùng"),"",COUNTIFS(ORDERS!$C$2:$C$4995,$D506,ORDERS!$L$2:$L$4995,"Đã chuyển khoản"))</f>
        <v/>
      </c>
      <c r="X506" s="23">
        <f>IF(OR($D506="",$R506="Trùng"),"",SUMIFS(ORDERS!$J$2:$J$4995,ORDERS!$C$2:$C$4995,$D506,ORDERS!$L$2:$L$4995,"Đã chuyển khoản"))</f>
        <v/>
      </c>
      <c r="Y506" s="24" t="n"/>
    </row>
    <row r="507" ht="14.25" customHeight="1" s="40">
      <c r="A507" s="24" t="n"/>
      <c r="B507" s="27" t="n"/>
      <c r="C507" s="24" t="n"/>
      <c r="D507" s="28" t="n"/>
      <c r="E507" s="29" t="n"/>
      <c r="F507" s="24" t="n"/>
      <c r="G507" s="24" t="n"/>
      <c r="H507" s="21">
        <f>IF(ISNUMBER($B507),INT($B507)-WEEKDAY($B507,2)+1,"")</f>
        <v/>
      </c>
      <c r="I507" s="24" t="n"/>
      <c r="J507" s="22">
        <f t="array" ref="J507">IF($D507="","",IF($I507="","(trống REF)",IFERROR(INDEX(MASTER_SOURCE!$B$2:$B$495,MATCH($I507,MASTER_SOURCE!$A$2:$A$495,0)),"(REF không có trong MASTER_SOURCE)")))</f>
        <v/>
      </c>
      <c r="K507" s="22">
        <f t="array" ref="K507">IF($D507="","",IFERROR(INDEX(MASTER_SOURCE!$C$2:$C$495,MATCH($I507,MASTER_SOURCE!$A$2:$A$495,0)),""))</f>
        <v/>
      </c>
      <c r="L507" s="22">
        <f t="array" ref="L507">IF($D507="","",IFERROR(INDEX(MASTER_SOURCE!$D$2:$D$495,MATCH($I507,MASTER_SOURCE!$A$2:$A$495,0)),""))</f>
        <v/>
      </c>
      <c r="M507" s="24" t="n"/>
      <c r="N507" s="24" t="n"/>
      <c r="O507" s="24" t="n"/>
      <c r="P507" s="24" t="n"/>
      <c r="Q507" s="22">
        <f>IF($D507="","",IF(AND(OR(DANH_MUC!$L$5&lt;&gt;"Có",M507="Có"),OR(DANH_MUC!$L$6&lt;&gt;"Có",N507="Có"),OR(DANH_MUC!$L$7&lt;&gt;"Có",O507="Có"),OR(DANH_MUC!$L$8&lt;&gt;"Có",P507="Có")),"Có","Không"))</f>
        <v/>
      </c>
      <c r="R507" s="22">
        <f>IF($D507="","",IF(COUNTIF($D$2:$D507,$D507)&gt;1,"Trùng",""))</f>
        <v/>
      </c>
      <c r="S507" s="22">
        <f>IF($D507="","",IF(AND(LEN($D507)=10,LEFT($D507,1)="0",ISNUMBER(--$D507)),"Có","Không"))</f>
        <v/>
      </c>
      <c r="T507" s="22">
        <f>IF($D507="","",IF(AND($C507&lt;&gt;"",$Q507="Có",$R507="",$S507="Có",AND($L507&lt;&gt;"",OR($L507&lt;&gt;"Chưa xác định",DANH_MUC!$L$9="Có"))),"Có","Không"))</f>
        <v/>
      </c>
      <c r="U507" s="22">
        <f>IF(OR($D507="",$T507="Có"),"",IF($C507="","Thiếu họ tên; ","")&amp;IF($S507&lt;&gt;"Có","SĐT sai định dạng; ","")&amp;IF($R507="Trùng","Trùng SĐT; ","")&amp;IF($Q507&lt;&gt;"Có","Thiếu đồng ý bắt buộc; ","")&amp;IF($L507="","Thiếu/sai Mã REF; ",IF(AND($L507="Chưa xác định",DANH_MUC!$L$9&lt;&gt;"Có"),"Nguồn chưa xác định; ","")))</f>
        <v/>
      </c>
      <c r="V507" s="22">
        <f>IF(OR($D507="",$R507="Trùng"),"",IF(COUNTIF(ORDERS!$C$2:$C$4995,$D507)&gt;0,"Có","Không"))</f>
        <v/>
      </c>
      <c r="W507" s="22">
        <f>IF(OR($D507="",$R507="Trùng"),"",COUNTIFS(ORDERS!$C$2:$C$4995,$D507,ORDERS!$L$2:$L$4995,"Đã chuyển khoản"))</f>
        <v/>
      </c>
      <c r="X507" s="23">
        <f>IF(OR($D507="",$R507="Trùng"),"",SUMIFS(ORDERS!$J$2:$J$4995,ORDERS!$C$2:$C$4995,$D507,ORDERS!$L$2:$L$4995,"Đã chuyển khoản"))</f>
        <v/>
      </c>
      <c r="Y507" s="24" t="n"/>
    </row>
    <row r="508" ht="14.25" customHeight="1" s="40">
      <c r="A508" s="24" t="n"/>
      <c r="B508" s="27" t="n"/>
      <c r="C508" s="24" t="n"/>
      <c r="D508" s="28" t="n"/>
      <c r="E508" s="29" t="n"/>
      <c r="F508" s="24" t="n"/>
      <c r="G508" s="24" t="n"/>
      <c r="H508" s="21">
        <f>IF(ISNUMBER($B508),INT($B508)-WEEKDAY($B508,2)+1,"")</f>
        <v/>
      </c>
      <c r="I508" s="24" t="n"/>
      <c r="J508" s="22">
        <f t="array" ref="J508">IF($D508="","",IF($I508="","(trống REF)",IFERROR(INDEX(MASTER_SOURCE!$B$2:$B$495,MATCH($I508,MASTER_SOURCE!$A$2:$A$495,0)),"(REF không có trong MASTER_SOURCE)")))</f>
        <v/>
      </c>
      <c r="K508" s="22">
        <f t="array" ref="K508">IF($D508="","",IFERROR(INDEX(MASTER_SOURCE!$C$2:$C$495,MATCH($I508,MASTER_SOURCE!$A$2:$A$495,0)),""))</f>
        <v/>
      </c>
      <c r="L508" s="22">
        <f t="array" ref="L508">IF($D508="","",IFERROR(INDEX(MASTER_SOURCE!$D$2:$D$495,MATCH($I508,MASTER_SOURCE!$A$2:$A$495,0)),""))</f>
        <v/>
      </c>
      <c r="M508" s="24" t="n"/>
      <c r="N508" s="24" t="n"/>
      <c r="O508" s="24" t="n"/>
      <c r="P508" s="24" t="n"/>
      <c r="Q508" s="22">
        <f>IF($D508="","",IF(AND(OR(DANH_MUC!$L$5&lt;&gt;"Có",M508="Có"),OR(DANH_MUC!$L$6&lt;&gt;"Có",N508="Có"),OR(DANH_MUC!$L$7&lt;&gt;"Có",O508="Có"),OR(DANH_MUC!$L$8&lt;&gt;"Có",P508="Có")),"Có","Không"))</f>
        <v/>
      </c>
      <c r="R508" s="22">
        <f>IF($D508="","",IF(COUNTIF($D$2:$D508,$D508)&gt;1,"Trùng",""))</f>
        <v/>
      </c>
      <c r="S508" s="22">
        <f>IF($D508="","",IF(AND(LEN($D508)=10,LEFT($D508,1)="0",ISNUMBER(--$D508)),"Có","Không"))</f>
        <v/>
      </c>
      <c r="T508" s="22">
        <f>IF($D508="","",IF(AND($C508&lt;&gt;"",$Q508="Có",$R508="",$S508="Có",AND($L508&lt;&gt;"",OR($L508&lt;&gt;"Chưa xác định",DANH_MUC!$L$9="Có"))),"Có","Không"))</f>
        <v/>
      </c>
      <c r="U508" s="22">
        <f>IF(OR($D508="",$T508="Có"),"",IF($C508="","Thiếu họ tên; ","")&amp;IF($S508&lt;&gt;"Có","SĐT sai định dạng; ","")&amp;IF($R508="Trùng","Trùng SĐT; ","")&amp;IF($Q508&lt;&gt;"Có","Thiếu đồng ý bắt buộc; ","")&amp;IF($L508="","Thiếu/sai Mã REF; ",IF(AND($L508="Chưa xác định",DANH_MUC!$L$9&lt;&gt;"Có"),"Nguồn chưa xác định; ","")))</f>
        <v/>
      </c>
      <c r="V508" s="22">
        <f>IF(OR($D508="",$R508="Trùng"),"",IF(COUNTIF(ORDERS!$C$2:$C$4995,$D508)&gt;0,"Có","Không"))</f>
        <v/>
      </c>
      <c r="W508" s="22">
        <f>IF(OR($D508="",$R508="Trùng"),"",COUNTIFS(ORDERS!$C$2:$C$4995,$D508,ORDERS!$L$2:$L$4995,"Đã chuyển khoản"))</f>
        <v/>
      </c>
      <c r="X508" s="23">
        <f>IF(OR($D508="",$R508="Trùng"),"",SUMIFS(ORDERS!$J$2:$J$4995,ORDERS!$C$2:$C$4995,$D508,ORDERS!$L$2:$L$4995,"Đã chuyển khoản"))</f>
        <v/>
      </c>
      <c r="Y508" s="24" t="n"/>
    </row>
    <row r="509" ht="14.25" customHeight="1" s="40">
      <c r="A509" s="24" t="n"/>
      <c r="B509" s="27" t="n"/>
      <c r="C509" s="24" t="n"/>
      <c r="D509" s="28" t="n"/>
      <c r="E509" s="29" t="n"/>
      <c r="F509" s="24" t="n"/>
      <c r="G509" s="24" t="n"/>
      <c r="H509" s="21">
        <f>IF(ISNUMBER($B509),INT($B509)-WEEKDAY($B509,2)+1,"")</f>
        <v/>
      </c>
      <c r="I509" s="24" t="n"/>
      <c r="J509" s="22">
        <f t="array" ref="J509">IF($D509="","",IF($I509="","(trống REF)",IFERROR(INDEX(MASTER_SOURCE!$B$2:$B$495,MATCH($I509,MASTER_SOURCE!$A$2:$A$495,0)),"(REF không có trong MASTER_SOURCE)")))</f>
        <v/>
      </c>
      <c r="K509" s="22">
        <f t="array" ref="K509">IF($D509="","",IFERROR(INDEX(MASTER_SOURCE!$C$2:$C$495,MATCH($I509,MASTER_SOURCE!$A$2:$A$495,0)),""))</f>
        <v/>
      </c>
      <c r="L509" s="22">
        <f t="array" ref="L509">IF($D509="","",IFERROR(INDEX(MASTER_SOURCE!$D$2:$D$495,MATCH($I509,MASTER_SOURCE!$A$2:$A$495,0)),""))</f>
        <v/>
      </c>
      <c r="M509" s="24" t="n"/>
      <c r="N509" s="24" t="n"/>
      <c r="O509" s="24" t="n"/>
      <c r="P509" s="24" t="n"/>
      <c r="Q509" s="22">
        <f>IF($D509="","",IF(AND(OR(DANH_MUC!$L$5&lt;&gt;"Có",M509="Có"),OR(DANH_MUC!$L$6&lt;&gt;"Có",N509="Có"),OR(DANH_MUC!$L$7&lt;&gt;"Có",O509="Có"),OR(DANH_MUC!$L$8&lt;&gt;"Có",P509="Có")),"Có","Không"))</f>
        <v/>
      </c>
      <c r="R509" s="22">
        <f>IF($D509="","",IF(COUNTIF($D$2:$D509,$D509)&gt;1,"Trùng",""))</f>
        <v/>
      </c>
      <c r="S509" s="22">
        <f>IF($D509="","",IF(AND(LEN($D509)=10,LEFT($D509,1)="0",ISNUMBER(--$D509)),"Có","Không"))</f>
        <v/>
      </c>
      <c r="T509" s="22">
        <f>IF($D509="","",IF(AND($C509&lt;&gt;"",$Q509="Có",$R509="",$S509="Có",AND($L509&lt;&gt;"",OR($L509&lt;&gt;"Chưa xác định",DANH_MUC!$L$9="Có"))),"Có","Không"))</f>
        <v/>
      </c>
      <c r="U509" s="22">
        <f>IF(OR($D509="",$T509="Có"),"",IF($C509="","Thiếu họ tên; ","")&amp;IF($S509&lt;&gt;"Có","SĐT sai định dạng; ","")&amp;IF($R509="Trùng","Trùng SĐT; ","")&amp;IF($Q509&lt;&gt;"Có","Thiếu đồng ý bắt buộc; ","")&amp;IF($L509="","Thiếu/sai Mã REF; ",IF(AND($L509="Chưa xác định",DANH_MUC!$L$9&lt;&gt;"Có"),"Nguồn chưa xác định; ","")))</f>
        <v/>
      </c>
      <c r="V509" s="22">
        <f>IF(OR($D509="",$R509="Trùng"),"",IF(COUNTIF(ORDERS!$C$2:$C$4995,$D509)&gt;0,"Có","Không"))</f>
        <v/>
      </c>
      <c r="W509" s="22">
        <f>IF(OR($D509="",$R509="Trùng"),"",COUNTIFS(ORDERS!$C$2:$C$4995,$D509,ORDERS!$L$2:$L$4995,"Đã chuyển khoản"))</f>
        <v/>
      </c>
      <c r="X509" s="23">
        <f>IF(OR($D509="",$R509="Trùng"),"",SUMIFS(ORDERS!$J$2:$J$4995,ORDERS!$C$2:$C$4995,$D509,ORDERS!$L$2:$L$4995,"Đã chuyển khoản"))</f>
        <v/>
      </c>
      <c r="Y509" s="24" t="n"/>
    </row>
    <row r="510" ht="14.25" customHeight="1" s="40">
      <c r="A510" s="24" t="n"/>
      <c r="B510" s="27" t="n"/>
      <c r="C510" s="24" t="n"/>
      <c r="D510" s="28" t="n"/>
      <c r="E510" s="29" t="n"/>
      <c r="F510" s="24" t="n"/>
      <c r="G510" s="24" t="n"/>
      <c r="H510" s="21">
        <f>IF(ISNUMBER($B510),INT($B510)-WEEKDAY($B510,2)+1,"")</f>
        <v/>
      </c>
      <c r="I510" s="24" t="n"/>
      <c r="J510" s="22">
        <f t="array" ref="J510">IF($D510="","",IF($I510="","(trống REF)",IFERROR(INDEX(MASTER_SOURCE!$B$2:$B$495,MATCH($I510,MASTER_SOURCE!$A$2:$A$495,0)),"(REF không có trong MASTER_SOURCE)")))</f>
        <v/>
      </c>
      <c r="K510" s="22">
        <f t="array" ref="K510">IF($D510="","",IFERROR(INDEX(MASTER_SOURCE!$C$2:$C$495,MATCH($I510,MASTER_SOURCE!$A$2:$A$495,0)),""))</f>
        <v/>
      </c>
      <c r="L510" s="22">
        <f t="array" ref="L510">IF($D510="","",IFERROR(INDEX(MASTER_SOURCE!$D$2:$D$495,MATCH($I510,MASTER_SOURCE!$A$2:$A$495,0)),""))</f>
        <v/>
      </c>
      <c r="M510" s="24" t="n"/>
      <c r="N510" s="24" t="n"/>
      <c r="O510" s="24" t="n"/>
      <c r="P510" s="24" t="n"/>
      <c r="Q510" s="22">
        <f>IF($D510="","",IF(AND(OR(DANH_MUC!$L$5&lt;&gt;"Có",M510="Có"),OR(DANH_MUC!$L$6&lt;&gt;"Có",N510="Có"),OR(DANH_MUC!$L$7&lt;&gt;"Có",O510="Có"),OR(DANH_MUC!$L$8&lt;&gt;"Có",P510="Có")),"Có","Không"))</f>
        <v/>
      </c>
      <c r="R510" s="22">
        <f>IF($D510="","",IF(COUNTIF($D$2:$D510,$D510)&gt;1,"Trùng",""))</f>
        <v/>
      </c>
      <c r="S510" s="22">
        <f>IF($D510="","",IF(AND(LEN($D510)=10,LEFT($D510,1)="0",ISNUMBER(--$D510)),"Có","Không"))</f>
        <v/>
      </c>
      <c r="T510" s="22">
        <f>IF($D510="","",IF(AND($C510&lt;&gt;"",$Q510="Có",$R510="",$S510="Có",AND($L510&lt;&gt;"",OR($L510&lt;&gt;"Chưa xác định",DANH_MUC!$L$9="Có"))),"Có","Không"))</f>
        <v/>
      </c>
      <c r="U510" s="22">
        <f>IF(OR($D510="",$T510="Có"),"",IF($C510="","Thiếu họ tên; ","")&amp;IF($S510&lt;&gt;"Có","SĐT sai định dạng; ","")&amp;IF($R510="Trùng","Trùng SĐT; ","")&amp;IF($Q510&lt;&gt;"Có","Thiếu đồng ý bắt buộc; ","")&amp;IF($L510="","Thiếu/sai Mã REF; ",IF(AND($L510="Chưa xác định",DANH_MUC!$L$9&lt;&gt;"Có"),"Nguồn chưa xác định; ","")))</f>
        <v/>
      </c>
      <c r="V510" s="22">
        <f>IF(OR($D510="",$R510="Trùng"),"",IF(COUNTIF(ORDERS!$C$2:$C$4995,$D510)&gt;0,"Có","Không"))</f>
        <v/>
      </c>
      <c r="W510" s="22">
        <f>IF(OR($D510="",$R510="Trùng"),"",COUNTIFS(ORDERS!$C$2:$C$4995,$D510,ORDERS!$L$2:$L$4995,"Đã chuyển khoản"))</f>
        <v/>
      </c>
      <c r="X510" s="23">
        <f>IF(OR($D510="",$R510="Trùng"),"",SUMIFS(ORDERS!$J$2:$J$4995,ORDERS!$C$2:$C$4995,$D510,ORDERS!$L$2:$L$4995,"Đã chuyển khoản"))</f>
        <v/>
      </c>
      <c r="Y510" s="24" t="n"/>
    </row>
    <row r="511" ht="14.25" customHeight="1" s="40">
      <c r="A511" s="24" t="n"/>
      <c r="B511" s="27" t="n"/>
      <c r="C511" s="24" t="n"/>
      <c r="D511" s="28" t="n"/>
      <c r="E511" s="29" t="n"/>
      <c r="F511" s="24" t="n"/>
      <c r="G511" s="24" t="n"/>
      <c r="H511" s="21">
        <f>IF(ISNUMBER($B511),INT($B511)-WEEKDAY($B511,2)+1,"")</f>
        <v/>
      </c>
      <c r="I511" s="24" t="n"/>
      <c r="J511" s="22">
        <f t="array" ref="J511">IF($D511="","",IF($I511="","(trống REF)",IFERROR(INDEX(MASTER_SOURCE!$B$2:$B$495,MATCH($I511,MASTER_SOURCE!$A$2:$A$495,0)),"(REF không có trong MASTER_SOURCE)")))</f>
        <v/>
      </c>
      <c r="K511" s="22">
        <f t="array" ref="K511">IF($D511="","",IFERROR(INDEX(MASTER_SOURCE!$C$2:$C$495,MATCH($I511,MASTER_SOURCE!$A$2:$A$495,0)),""))</f>
        <v/>
      </c>
      <c r="L511" s="22">
        <f t="array" ref="L511">IF($D511="","",IFERROR(INDEX(MASTER_SOURCE!$D$2:$D$495,MATCH($I511,MASTER_SOURCE!$A$2:$A$495,0)),""))</f>
        <v/>
      </c>
      <c r="M511" s="24" t="n"/>
      <c r="N511" s="24" t="n"/>
      <c r="O511" s="24" t="n"/>
      <c r="P511" s="24" t="n"/>
      <c r="Q511" s="22">
        <f>IF($D511="","",IF(AND(OR(DANH_MUC!$L$5&lt;&gt;"Có",M511="Có"),OR(DANH_MUC!$L$6&lt;&gt;"Có",N511="Có"),OR(DANH_MUC!$L$7&lt;&gt;"Có",O511="Có"),OR(DANH_MUC!$L$8&lt;&gt;"Có",P511="Có")),"Có","Không"))</f>
        <v/>
      </c>
      <c r="R511" s="22">
        <f>IF($D511="","",IF(COUNTIF($D$2:$D511,$D511)&gt;1,"Trùng",""))</f>
        <v/>
      </c>
      <c r="S511" s="22">
        <f>IF($D511="","",IF(AND(LEN($D511)=10,LEFT($D511,1)="0",ISNUMBER(--$D511)),"Có","Không"))</f>
        <v/>
      </c>
      <c r="T511" s="22">
        <f>IF($D511="","",IF(AND($C511&lt;&gt;"",$Q511="Có",$R511="",$S511="Có",AND($L511&lt;&gt;"",OR($L511&lt;&gt;"Chưa xác định",DANH_MUC!$L$9="Có"))),"Có","Không"))</f>
        <v/>
      </c>
      <c r="U511" s="22">
        <f>IF(OR($D511="",$T511="Có"),"",IF($C511="","Thiếu họ tên; ","")&amp;IF($S511&lt;&gt;"Có","SĐT sai định dạng; ","")&amp;IF($R511="Trùng","Trùng SĐT; ","")&amp;IF($Q511&lt;&gt;"Có","Thiếu đồng ý bắt buộc; ","")&amp;IF($L511="","Thiếu/sai Mã REF; ",IF(AND($L511="Chưa xác định",DANH_MUC!$L$9&lt;&gt;"Có"),"Nguồn chưa xác định; ","")))</f>
        <v/>
      </c>
      <c r="V511" s="22">
        <f>IF(OR($D511="",$R511="Trùng"),"",IF(COUNTIF(ORDERS!$C$2:$C$4995,$D511)&gt;0,"Có","Không"))</f>
        <v/>
      </c>
      <c r="W511" s="22">
        <f>IF(OR($D511="",$R511="Trùng"),"",COUNTIFS(ORDERS!$C$2:$C$4995,$D511,ORDERS!$L$2:$L$4995,"Đã chuyển khoản"))</f>
        <v/>
      </c>
      <c r="X511" s="23">
        <f>IF(OR($D511="",$R511="Trùng"),"",SUMIFS(ORDERS!$J$2:$J$4995,ORDERS!$C$2:$C$4995,$D511,ORDERS!$L$2:$L$4995,"Đã chuyển khoản"))</f>
        <v/>
      </c>
      <c r="Y511" s="24" t="n"/>
    </row>
    <row r="512" ht="14.25" customHeight="1" s="40">
      <c r="A512" s="24" t="n"/>
      <c r="B512" s="27" t="n"/>
      <c r="C512" s="24" t="n"/>
      <c r="D512" s="28" t="n"/>
      <c r="E512" s="29" t="n"/>
      <c r="F512" s="24" t="n"/>
      <c r="G512" s="24" t="n"/>
      <c r="H512" s="21">
        <f>IF(ISNUMBER($B512),INT($B512)-WEEKDAY($B512,2)+1,"")</f>
        <v/>
      </c>
      <c r="I512" s="24" t="n"/>
      <c r="J512" s="22">
        <f t="array" ref="J512">IF($D512="","",IF($I512="","(trống REF)",IFERROR(INDEX(MASTER_SOURCE!$B$2:$B$495,MATCH($I512,MASTER_SOURCE!$A$2:$A$495,0)),"(REF không có trong MASTER_SOURCE)")))</f>
        <v/>
      </c>
      <c r="K512" s="22">
        <f t="array" ref="K512">IF($D512="","",IFERROR(INDEX(MASTER_SOURCE!$C$2:$C$495,MATCH($I512,MASTER_SOURCE!$A$2:$A$495,0)),""))</f>
        <v/>
      </c>
      <c r="L512" s="22">
        <f t="array" ref="L512">IF($D512="","",IFERROR(INDEX(MASTER_SOURCE!$D$2:$D$495,MATCH($I512,MASTER_SOURCE!$A$2:$A$495,0)),""))</f>
        <v/>
      </c>
      <c r="M512" s="24" t="n"/>
      <c r="N512" s="24" t="n"/>
      <c r="O512" s="24" t="n"/>
      <c r="P512" s="24" t="n"/>
      <c r="Q512" s="22">
        <f>IF($D512="","",IF(AND(OR(DANH_MUC!$L$5&lt;&gt;"Có",M512="Có"),OR(DANH_MUC!$L$6&lt;&gt;"Có",N512="Có"),OR(DANH_MUC!$L$7&lt;&gt;"Có",O512="Có"),OR(DANH_MUC!$L$8&lt;&gt;"Có",P512="Có")),"Có","Không"))</f>
        <v/>
      </c>
      <c r="R512" s="22">
        <f>IF($D512="","",IF(COUNTIF($D$2:$D512,$D512)&gt;1,"Trùng",""))</f>
        <v/>
      </c>
      <c r="S512" s="22">
        <f>IF($D512="","",IF(AND(LEN($D512)=10,LEFT($D512,1)="0",ISNUMBER(--$D512)),"Có","Không"))</f>
        <v/>
      </c>
      <c r="T512" s="22">
        <f>IF($D512="","",IF(AND($C512&lt;&gt;"",$Q512="Có",$R512="",$S512="Có",AND($L512&lt;&gt;"",OR($L512&lt;&gt;"Chưa xác định",DANH_MUC!$L$9="Có"))),"Có","Không"))</f>
        <v/>
      </c>
      <c r="U512" s="22">
        <f>IF(OR($D512="",$T512="Có"),"",IF($C512="","Thiếu họ tên; ","")&amp;IF($S512&lt;&gt;"Có","SĐT sai định dạng; ","")&amp;IF($R512="Trùng","Trùng SĐT; ","")&amp;IF($Q512&lt;&gt;"Có","Thiếu đồng ý bắt buộc; ","")&amp;IF($L512="","Thiếu/sai Mã REF; ",IF(AND($L512="Chưa xác định",DANH_MUC!$L$9&lt;&gt;"Có"),"Nguồn chưa xác định; ","")))</f>
        <v/>
      </c>
      <c r="V512" s="22">
        <f>IF(OR($D512="",$R512="Trùng"),"",IF(COUNTIF(ORDERS!$C$2:$C$4995,$D512)&gt;0,"Có","Không"))</f>
        <v/>
      </c>
      <c r="W512" s="22">
        <f>IF(OR($D512="",$R512="Trùng"),"",COUNTIFS(ORDERS!$C$2:$C$4995,$D512,ORDERS!$L$2:$L$4995,"Đã chuyển khoản"))</f>
        <v/>
      </c>
      <c r="X512" s="23">
        <f>IF(OR($D512="",$R512="Trùng"),"",SUMIFS(ORDERS!$J$2:$J$4995,ORDERS!$C$2:$C$4995,$D512,ORDERS!$L$2:$L$4995,"Đã chuyển khoản"))</f>
        <v/>
      </c>
      <c r="Y512" s="24" t="n"/>
    </row>
    <row r="513" ht="14.25" customHeight="1" s="40">
      <c r="A513" s="24" t="n"/>
      <c r="B513" s="27" t="n"/>
      <c r="C513" s="24" t="n"/>
      <c r="D513" s="28" t="n"/>
      <c r="E513" s="29" t="n"/>
      <c r="F513" s="24" t="n"/>
      <c r="G513" s="24" t="n"/>
      <c r="H513" s="21">
        <f>IF(ISNUMBER($B513),INT($B513)-WEEKDAY($B513,2)+1,"")</f>
        <v/>
      </c>
      <c r="I513" s="24" t="n"/>
      <c r="J513" s="22">
        <f t="array" ref="J513">IF($D513="","",IF($I513="","(trống REF)",IFERROR(INDEX(MASTER_SOURCE!$B$2:$B$495,MATCH($I513,MASTER_SOURCE!$A$2:$A$495,0)),"(REF không có trong MASTER_SOURCE)")))</f>
        <v/>
      </c>
      <c r="K513" s="22">
        <f t="array" ref="K513">IF($D513="","",IFERROR(INDEX(MASTER_SOURCE!$C$2:$C$495,MATCH($I513,MASTER_SOURCE!$A$2:$A$495,0)),""))</f>
        <v/>
      </c>
      <c r="L513" s="22">
        <f t="array" ref="L513">IF($D513="","",IFERROR(INDEX(MASTER_SOURCE!$D$2:$D$495,MATCH($I513,MASTER_SOURCE!$A$2:$A$495,0)),""))</f>
        <v/>
      </c>
      <c r="M513" s="24" t="n"/>
      <c r="N513" s="24" t="n"/>
      <c r="O513" s="24" t="n"/>
      <c r="P513" s="24" t="n"/>
      <c r="Q513" s="22">
        <f>IF($D513="","",IF(AND(OR(DANH_MUC!$L$5&lt;&gt;"Có",M513="Có"),OR(DANH_MUC!$L$6&lt;&gt;"Có",N513="Có"),OR(DANH_MUC!$L$7&lt;&gt;"Có",O513="Có"),OR(DANH_MUC!$L$8&lt;&gt;"Có",P513="Có")),"Có","Không"))</f>
        <v/>
      </c>
      <c r="R513" s="22">
        <f>IF($D513="","",IF(COUNTIF($D$2:$D513,$D513)&gt;1,"Trùng",""))</f>
        <v/>
      </c>
      <c r="S513" s="22">
        <f>IF($D513="","",IF(AND(LEN($D513)=10,LEFT($D513,1)="0",ISNUMBER(--$D513)),"Có","Không"))</f>
        <v/>
      </c>
      <c r="T513" s="22">
        <f>IF($D513="","",IF(AND($C513&lt;&gt;"",$Q513="Có",$R513="",$S513="Có",AND($L513&lt;&gt;"",OR($L513&lt;&gt;"Chưa xác định",DANH_MUC!$L$9="Có"))),"Có","Không"))</f>
        <v/>
      </c>
      <c r="U513" s="22">
        <f>IF(OR($D513="",$T513="Có"),"",IF($C513="","Thiếu họ tên; ","")&amp;IF($S513&lt;&gt;"Có","SĐT sai định dạng; ","")&amp;IF($R513="Trùng","Trùng SĐT; ","")&amp;IF($Q513&lt;&gt;"Có","Thiếu đồng ý bắt buộc; ","")&amp;IF($L513="","Thiếu/sai Mã REF; ",IF(AND($L513="Chưa xác định",DANH_MUC!$L$9&lt;&gt;"Có"),"Nguồn chưa xác định; ","")))</f>
        <v/>
      </c>
      <c r="V513" s="22">
        <f>IF(OR($D513="",$R513="Trùng"),"",IF(COUNTIF(ORDERS!$C$2:$C$4995,$D513)&gt;0,"Có","Không"))</f>
        <v/>
      </c>
      <c r="W513" s="22">
        <f>IF(OR($D513="",$R513="Trùng"),"",COUNTIFS(ORDERS!$C$2:$C$4995,$D513,ORDERS!$L$2:$L$4995,"Đã chuyển khoản"))</f>
        <v/>
      </c>
      <c r="X513" s="23">
        <f>IF(OR($D513="",$R513="Trùng"),"",SUMIFS(ORDERS!$J$2:$J$4995,ORDERS!$C$2:$C$4995,$D513,ORDERS!$L$2:$L$4995,"Đã chuyển khoản"))</f>
        <v/>
      </c>
      <c r="Y513" s="24" t="n"/>
    </row>
    <row r="514" ht="14.25" customHeight="1" s="40">
      <c r="A514" s="24" t="n"/>
      <c r="B514" s="27" t="n"/>
      <c r="C514" s="24" t="n"/>
      <c r="D514" s="28" t="n"/>
      <c r="E514" s="29" t="n"/>
      <c r="F514" s="24" t="n"/>
      <c r="G514" s="24" t="n"/>
      <c r="H514" s="21">
        <f>IF(ISNUMBER($B514),INT($B514)-WEEKDAY($B514,2)+1,"")</f>
        <v/>
      </c>
      <c r="I514" s="24" t="n"/>
      <c r="J514" s="22">
        <f t="array" ref="J514">IF($D514="","",IF($I514="","(trống REF)",IFERROR(INDEX(MASTER_SOURCE!$B$2:$B$495,MATCH($I514,MASTER_SOURCE!$A$2:$A$495,0)),"(REF không có trong MASTER_SOURCE)")))</f>
        <v/>
      </c>
      <c r="K514" s="22">
        <f t="array" ref="K514">IF($D514="","",IFERROR(INDEX(MASTER_SOURCE!$C$2:$C$495,MATCH($I514,MASTER_SOURCE!$A$2:$A$495,0)),""))</f>
        <v/>
      </c>
      <c r="L514" s="22">
        <f t="array" ref="L514">IF($D514="","",IFERROR(INDEX(MASTER_SOURCE!$D$2:$D$495,MATCH($I514,MASTER_SOURCE!$A$2:$A$495,0)),""))</f>
        <v/>
      </c>
      <c r="M514" s="24" t="n"/>
      <c r="N514" s="24" t="n"/>
      <c r="O514" s="24" t="n"/>
      <c r="P514" s="24" t="n"/>
      <c r="Q514" s="22">
        <f>IF($D514="","",IF(AND(OR(DANH_MUC!$L$5&lt;&gt;"Có",M514="Có"),OR(DANH_MUC!$L$6&lt;&gt;"Có",N514="Có"),OR(DANH_MUC!$L$7&lt;&gt;"Có",O514="Có"),OR(DANH_MUC!$L$8&lt;&gt;"Có",P514="Có")),"Có","Không"))</f>
        <v/>
      </c>
      <c r="R514" s="22">
        <f>IF($D514="","",IF(COUNTIF($D$2:$D514,$D514)&gt;1,"Trùng",""))</f>
        <v/>
      </c>
      <c r="S514" s="22">
        <f>IF($D514="","",IF(AND(LEN($D514)=10,LEFT($D514,1)="0",ISNUMBER(--$D514)),"Có","Không"))</f>
        <v/>
      </c>
      <c r="T514" s="22">
        <f>IF($D514="","",IF(AND($C514&lt;&gt;"",$Q514="Có",$R514="",$S514="Có",AND($L514&lt;&gt;"",OR($L514&lt;&gt;"Chưa xác định",DANH_MUC!$L$9="Có"))),"Có","Không"))</f>
        <v/>
      </c>
      <c r="U514" s="22">
        <f>IF(OR($D514="",$T514="Có"),"",IF($C514="","Thiếu họ tên; ","")&amp;IF($S514&lt;&gt;"Có","SĐT sai định dạng; ","")&amp;IF($R514="Trùng","Trùng SĐT; ","")&amp;IF($Q514&lt;&gt;"Có","Thiếu đồng ý bắt buộc; ","")&amp;IF($L514="","Thiếu/sai Mã REF; ",IF(AND($L514="Chưa xác định",DANH_MUC!$L$9&lt;&gt;"Có"),"Nguồn chưa xác định; ","")))</f>
        <v/>
      </c>
      <c r="V514" s="22">
        <f>IF(OR($D514="",$R514="Trùng"),"",IF(COUNTIF(ORDERS!$C$2:$C$4995,$D514)&gt;0,"Có","Không"))</f>
        <v/>
      </c>
      <c r="W514" s="22">
        <f>IF(OR($D514="",$R514="Trùng"),"",COUNTIFS(ORDERS!$C$2:$C$4995,$D514,ORDERS!$L$2:$L$4995,"Đã chuyển khoản"))</f>
        <v/>
      </c>
      <c r="X514" s="23">
        <f>IF(OR($D514="",$R514="Trùng"),"",SUMIFS(ORDERS!$J$2:$J$4995,ORDERS!$C$2:$C$4995,$D514,ORDERS!$L$2:$L$4995,"Đã chuyển khoản"))</f>
        <v/>
      </c>
      <c r="Y514" s="24" t="n"/>
    </row>
    <row r="515" ht="14.25" customHeight="1" s="40">
      <c r="A515" s="24" t="n"/>
      <c r="B515" s="27" t="n"/>
      <c r="C515" s="24" t="n"/>
      <c r="D515" s="28" t="n"/>
      <c r="E515" s="29" t="n"/>
      <c r="F515" s="24" t="n"/>
      <c r="G515" s="24" t="n"/>
      <c r="H515" s="21">
        <f>IF(ISNUMBER($B515),INT($B515)-WEEKDAY($B515,2)+1,"")</f>
        <v/>
      </c>
      <c r="I515" s="24" t="n"/>
      <c r="J515" s="22">
        <f t="array" ref="J515">IF($D515="","",IF($I515="","(trống REF)",IFERROR(INDEX(MASTER_SOURCE!$B$2:$B$495,MATCH($I515,MASTER_SOURCE!$A$2:$A$495,0)),"(REF không có trong MASTER_SOURCE)")))</f>
        <v/>
      </c>
      <c r="K515" s="22">
        <f t="array" ref="K515">IF($D515="","",IFERROR(INDEX(MASTER_SOURCE!$C$2:$C$495,MATCH($I515,MASTER_SOURCE!$A$2:$A$495,0)),""))</f>
        <v/>
      </c>
      <c r="L515" s="22">
        <f t="array" ref="L515">IF($D515="","",IFERROR(INDEX(MASTER_SOURCE!$D$2:$D$495,MATCH($I515,MASTER_SOURCE!$A$2:$A$495,0)),""))</f>
        <v/>
      </c>
      <c r="M515" s="24" t="n"/>
      <c r="N515" s="24" t="n"/>
      <c r="O515" s="24" t="n"/>
      <c r="P515" s="24" t="n"/>
      <c r="Q515" s="22">
        <f>IF($D515="","",IF(AND(OR(DANH_MUC!$L$5&lt;&gt;"Có",M515="Có"),OR(DANH_MUC!$L$6&lt;&gt;"Có",N515="Có"),OR(DANH_MUC!$L$7&lt;&gt;"Có",O515="Có"),OR(DANH_MUC!$L$8&lt;&gt;"Có",P515="Có")),"Có","Không"))</f>
        <v/>
      </c>
      <c r="R515" s="22">
        <f>IF($D515="","",IF(COUNTIF($D$2:$D515,$D515)&gt;1,"Trùng",""))</f>
        <v/>
      </c>
      <c r="S515" s="22">
        <f>IF($D515="","",IF(AND(LEN($D515)=10,LEFT($D515,1)="0",ISNUMBER(--$D515)),"Có","Không"))</f>
        <v/>
      </c>
      <c r="T515" s="22">
        <f>IF($D515="","",IF(AND($C515&lt;&gt;"",$Q515="Có",$R515="",$S515="Có",AND($L515&lt;&gt;"",OR($L515&lt;&gt;"Chưa xác định",DANH_MUC!$L$9="Có"))),"Có","Không"))</f>
        <v/>
      </c>
      <c r="U515" s="22">
        <f>IF(OR($D515="",$T515="Có"),"",IF($C515="","Thiếu họ tên; ","")&amp;IF($S515&lt;&gt;"Có","SĐT sai định dạng; ","")&amp;IF($R515="Trùng","Trùng SĐT; ","")&amp;IF($Q515&lt;&gt;"Có","Thiếu đồng ý bắt buộc; ","")&amp;IF($L515="","Thiếu/sai Mã REF; ",IF(AND($L515="Chưa xác định",DANH_MUC!$L$9&lt;&gt;"Có"),"Nguồn chưa xác định; ","")))</f>
        <v/>
      </c>
      <c r="V515" s="22">
        <f>IF(OR($D515="",$R515="Trùng"),"",IF(COUNTIF(ORDERS!$C$2:$C$4995,$D515)&gt;0,"Có","Không"))</f>
        <v/>
      </c>
      <c r="W515" s="22">
        <f>IF(OR($D515="",$R515="Trùng"),"",COUNTIFS(ORDERS!$C$2:$C$4995,$D515,ORDERS!$L$2:$L$4995,"Đã chuyển khoản"))</f>
        <v/>
      </c>
      <c r="X515" s="23">
        <f>IF(OR($D515="",$R515="Trùng"),"",SUMIFS(ORDERS!$J$2:$J$4995,ORDERS!$C$2:$C$4995,$D515,ORDERS!$L$2:$L$4995,"Đã chuyển khoản"))</f>
        <v/>
      </c>
      <c r="Y515" s="24" t="n"/>
    </row>
    <row r="516" ht="14.25" customHeight="1" s="40">
      <c r="A516" s="24" t="n"/>
      <c r="B516" s="27" t="n"/>
      <c r="C516" s="24" t="n"/>
      <c r="D516" s="28" t="n"/>
      <c r="E516" s="29" t="n"/>
      <c r="F516" s="24" t="n"/>
      <c r="G516" s="24" t="n"/>
      <c r="H516" s="21">
        <f>IF(ISNUMBER($B516),INT($B516)-WEEKDAY($B516,2)+1,"")</f>
        <v/>
      </c>
      <c r="I516" s="24" t="n"/>
      <c r="J516" s="22">
        <f t="array" ref="J516">IF($D516="","",IF($I516="","(trống REF)",IFERROR(INDEX(MASTER_SOURCE!$B$2:$B$495,MATCH($I516,MASTER_SOURCE!$A$2:$A$495,0)),"(REF không có trong MASTER_SOURCE)")))</f>
        <v/>
      </c>
      <c r="K516" s="22">
        <f t="array" ref="K516">IF($D516="","",IFERROR(INDEX(MASTER_SOURCE!$C$2:$C$495,MATCH($I516,MASTER_SOURCE!$A$2:$A$495,0)),""))</f>
        <v/>
      </c>
      <c r="L516" s="22">
        <f t="array" ref="L516">IF($D516="","",IFERROR(INDEX(MASTER_SOURCE!$D$2:$D$495,MATCH($I516,MASTER_SOURCE!$A$2:$A$495,0)),""))</f>
        <v/>
      </c>
      <c r="M516" s="24" t="n"/>
      <c r="N516" s="24" t="n"/>
      <c r="O516" s="24" t="n"/>
      <c r="P516" s="24" t="n"/>
      <c r="Q516" s="22">
        <f>IF($D516="","",IF(AND(OR(DANH_MUC!$L$5&lt;&gt;"Có",M516="Có"),OR(DANH_MUC!$L$6&lt;&gt;"Có",N516="Có"),OR(DANH_MUC!$L$7&lt;&gt;"Có",O516="Có"),OR(DANH_MUC!$L$8&lt;&gt;"Có",P516="Có")),"Có","Không"))</f>
        <v/>
      </c>
      <c r="R516" s="22">
        <f>IF($D516="","",IF(COUNTIF($D$2:$D516,$D516)&gt;1,"Trùng",""))</f>
        <v/>
      </c>
      <c r="S516" s="22">
        <f>IF($D516="","",IF(AND(LEN($D516)=10,LEFT($D516,1)="0",ISNUMBER(--$D516)),"Có","Không"))</f>
        <v/>
      </c>
      <c r="T516" s="22">
        <f>IF($D516="","",IF(AND($C516&lt;&gt;"",$Q516="Có",$R516="",$S516="Có",AND($L516&lt;&gt;"",OR($L516&lt;&gt;"Chưa xác định",DANH_MUC!$L$9="Có"))),"Có","Không"))</f>
        <v/>
      </c>
      <c r="U516" s="22">
        <f>IF(OR($D516="",$T516="Có"),"",IF($C516="","Thiếu họ tên; ","")&amp;IF($S516&lt;&gt;"Có","SĐT sai định dạng; ","")&amp;IF($R516="Trùng","Trùng SĐT; ","")&amp;IF($Q516&lt;&gt;"Có","Thiếu đồng ý bắt buộc; ","")&amp;IF($L516="","Thiếu/sai Mã REF; ",IF(AND($L516="Chưa xác định",DANH_MUC!$L$9&lt;&gt;"Có"),"Nguồn chưa xác định; ","")))</f>
        <v/>
      </c>
      <c r="V516" s="22">
        <f>IF(OR($D516="",$R516="Trùng"),"",IF(COUNTIF(ORDERS!$C$2:$C$4995,$D516)&gt;0,"Có","Không"))</f>
        <v/>
      </c>
      <c r="W516" s="22">
        <f>IF(OR($D516="",$R516="Trùng"),"",COUNTIFS(ORDERS!$C$2:$C$4995,$D516,ORDERS!$L$2:$L$4995,"Đã chuyển khoản"))</f>
        <v/>
      </c>
      <c r="X516" s="23">
        <f>IF(OR($D516="",$R516="Trùng"),"",SUMIFS(ORDERS!$J$2:$J$4995,ORDERS!$C$2:$C$4995,$D516,ORDERS!$L$2:$L$4995,"Đã chuyển khoản"))</f>
        <v/>
      </c>
      <c r="Y516" s="24" t="n"/>
    </row>
    <row r="517" ht="14.25" customHeight="1" s="40">
      <c r="A517" s="24" t="n"/>
      <c r="B517" s="27" t="n"/>
      <c r="C517" s="24" t="n"/>
      <c r="D517" s="28" t="n"/>
      <c r="E517" s="29" t="n"/>
      <c r="F517" s="24" t="n"/>
      <c r="G517" s="24" t="n"/>
      <c r="H517" s="21">
        <f>IF(ISNUMBER($B517),INT($B517)-WEEKDAY($B517,2)+1,"")</f>
        <v/>
      </c>
      <c r="I517" s="24" t="n"/>
      <c r="J517" s="22">
        <f t="array" ref="J517">IF($D517="","",IF($I517="","(trống REF)",IFERROR(INDEX(MASTER_SOURCE!$B$2:$B$495,MATCH($I517,MASTER_SOURCE!$A$2:$A$495,0)),"(REF không có trong MASTER_SOURCE)")))</f>
        <v/>
      </c>
      <c r="K517" s="22">
        <f t="array" ref="K517">IF($D517="","",IFERROR(INDEX(MASTER_SOURCE!$C$2:$C$495,MATCH($I517,MASTER_SOURCE!$A$2:$A$495,0)),""))</f>
        <v/>
      </c>
      <c r="L517" s="22">
        <f t="array" ref="L517">IF($D517="","",IFERROR(INDEX(MASTER_SOURCE!$D$2:$D$495,MATCH($I517,MASTER_SOURCE!$A$2:$A$495,0)),""))</f>
        <v/>
      </c>
      <c r="M517" s="24" t="n"/>
      <c r="N517" s="24" t="n"/>
      <c r="O517" s="24" t="n"/>
      <c r="P517" s="24" t="n"/>
      <c r="Q517" s="22">
        <f>IF($D517="","",IF(AND(OR(DANH_MUC!$L$5&lt;&gt;"Có",M517="Có"),OR(DANH_MUC!$L$6&lt;&gt;"Có",N517="Có"),OR(DANH_MUC!$L$7&lt;&gt;"Có",O517="Có"),OR(DANH_MUC!$L$8&lt;&gt;"Có",P517="Có")),"Có","Không"))</f>
        <v/>
      </c>
      <c r="R517" s="22">
        <f>IF($D517="","",IF(COUNTIF($D$2:$D517,$D517)&gt;1,"Trùng",""))</f>
        <v/>
      </c>
      <c r="S517" s="22">
        <f>IF($D517="","",IF(AND(LEN($D517)=10,LEFT($D517,1)="0",ISNUMBER(--$D517)),"Có","Không"))</f>
        <v/>
      </c>
      <c r="T517" s="22">
        <f>IF($D517="","",IF(AND($C517&lt;&gt;"",$Q517="Có",$R517="",$S517="Có",AND($L517&lt;&gt;"",OR($L517&lt;&gt;"Chưa xác định",DANH_MUC!$L$9="Có"))),"Có","Không"))</f>
        <v/>
      </c>
      <c r="U517" s="22">
        <f>IF(OR($D517="",$T517="Có"),"",IF($C517="","Thiếu họ tên; ","")&amp;IF($S517&lt;&gt;"Có","SĐT sai định dạng; ","")&amp;IF($R517="Trùng","Trùng SĐT; ","")&amp;IF($Q517&lt;&gt;"Có","Thiếu đồng ý bắt buộc; ","")&amp;IF($L517="","Thiếu/sai Mã REF; ",IF(AND($L517="Chưa xác định",DANH_MUC!$L$9&lt;&gt;"Có"),"Nguồn chưa xác định; ","")))</f>
        <v/>
      </c>
      <c r="V517" s="22">
        <f>IF(OR($D517="",$R517="Trùng"),"",IF(COUNTIF(ORDERS!$C$2:$C$4995,$D517)&gt;0,"Có","Không"))</f>
        <v/>
      </c>
      <c r="W517" s="22">
        <f>IF(OR($D517="",$R517="Trùng"),"",COUNTIFS(ORDERS!$C$2:$C$4995,$D517,ORDERS!$L$2:$L$4995,"Đã chuyển khoản"))</f>
        <v/>
      </c>
      <c r="X517" s="23">
        <f>IF(OR($D517="",$R517="Trùng"),"",SUMIFS(ORDERS!$J$2:$J$4995,ORDERS!$C$2:$C$4995,$D517,ORDERS!$L$2:$L$4995,"Đã chuyển khoản"))</f>
        <v/>
      </c>
      <c r="Y517" s="24" t="n"/>
    </row>
    <row r="518" ht="14.25" customHeight="1" s="40">
      <c r="A518" s="24" t="n"/>
      <c r="B518" s="27" t="n"/>
      <c r="C518" s="24" t="n"/>
      <c r="D518" s="28" t="n"/>
      <c r="E518" s="29" t="n"/>
      <c r="F518" s="24" t="n"/>
      <c r="G518" s="24" t="n"/>
      <c r="H518" s="21">
        <f>IF(ISNUMBER($B518),INT($B518)-WEEKDAY($B518,2)+1,"")</f>
        <v/>
      </c>
      <c r="I518" s="24" t="n"/>
      <c r="J518" s="22">
        <f t="array" ref="J518">IF($D518="","",IF($I518="","(trống REF)",IFERROR(INDEX(MASTER_SOURCE!$B$2:$B$495,MATCH($I518,MASTER_SOURCE!$A$2:$A$495,0)),"(REF không có trong MASTER_SOURCE)")))</f>
        <v/>
      </c>
      <c r="K518" s="22">
        <f t="array" ref="K518">IF($D518="","",IFERROR(INDEX(MASTER_SOURCE!$C$2:$C$495,MATCH($I518,MASTER_SOURCE!$A$2:$A$495,0)),""))</f>
        <v/>
      </c>
      <c r="L518" s="22">
        <f t="array" ref="L518">IF($D518="","",IFERROR(INDEX(MASTER_SOURCE!$D$2:$D$495,MATCH($I518,MASTER_SOURCE!$A$2:$A$495,0)),""))</f>
        <v/>
      </c>
      <c r="M518" s="24" t="n"/>
      <c r="N518" s="24" t="n"/>
      <c r="O518" s="24" t="n"/>
      <c r="P518" s="24" t="n"/>
      <c r="Q518" s="22">
        <f>IF($D518="","",IF(AND(OR(DANH_MUC!$L$5&lt;&gt;"Có",M518="Có"),OR(DANH_MUC!$L$6&lt;&gt;"Có",N518="Có"),OR(DANH_MUC!$L$7&lt;&gt;"Có",O518="Có"),OR(DANH_MUC!$L$8&lt;&gt;"Có",P518="Có")),"Có","Không"))</f>
        <v/>
      </c>
      <c r="R518" s="22">
        <f>IF($D518="","",IF(COUNTIF($D$2:$D518,$D518)&gt;1,"Trùng",""))</f>
        <v/>
      </c>
      <c r="S518" s="22">
        <f>IF($D518="","",IF(AND(LEN($D518)=10,LEFT($D518,1)="0",ISNUMBER(--$D518)),"Có","Không"))</f>
        <v/>
      </c>
      <c r="T518" s="22">
        <f>IF($D518="","",IF(AND($C518&lt;&gt;"",$Q518="Có",$R518="",$S518="Có",AND($L518&lt;&gt;"",OR($L518&lt;&gt;"Chưa xác định",DANH_MUC!$L$9="Có"))),"Có","Không"))</f>
        <v/>
      </c>
      <c r="U518" s="22">
        <f>IF(OR($D518="",$T518="Có"),"",IF($C518="","Thiếu họ tên; ","")&amp;IF($S518&lt;&gt;"Có","SĐT sai định dạng; ","")&amp;IF($R518="Trùng","Trùng SĐT; ","")&amp;IF($Q518&lt;&gt;"Có","Thiếu đồng ý bắt buộc; ","")&amp;IF($L518="","Thiếu/sai Mã REF; ",IF(AND($L518="Chưa xác định",DANH_MUC!$L$9&lt;&gt;"Có"),"Nguồn chưa xác định; ","")))</f>
        <v/>
      </c>
      <c r="V518" s="22">
        <f>IF(OR($D518="",$R518="Trùng"),"",IF(COUNTIF(ORDERS!$C$2:$C$4995,$D518)&gt;0,"Có","Không"))</f>
        <v/>
      </c>
      <c r="W518" s="22">
        <f>IF(OR($D518="",$R518="Trùng"),"",COUNTIFS(ORDERS!$C$2:$C$4995,$D518,ORDERS!$L$2:$L$4995,"Đã chuyển khoản"))</f>
        <v/>
      </c>
      <c r="X518" s="23">
        <f>IF(OR($D518="",$R518="Trùng"),"",SUMIFS(ORDERS!$J$2:$J$4995,ORDERS!$C$2:$C$4995,$D518,ORDERS!$L$2:$L$4995,"Đã chuyển khoản"))</f>
        <v/>
      </c>
      <c r="Y518" s="24" t="n"/>
    </row>
    <row r="519" ht="14.25" customHeight="1" s="40">
      <c r="A519" s="24" t="n"/>
      <c r="B519" s="27" t="n"/>
      <c r="C519" s="24" t="n"/>
      <c r="D519" s="28" t="n"/>
      <c r="E519" s="29" t="n"/>
      <c r="F519" s="24" t="n"/>
      <c r="G519" s="24" t="n"/>
      <c r="H519" s="21">
        <f>IF(ISNUMBER($B519),INT($B519)-WEEKDAY($B519,2)+1,"")</f>
        <v/>
      </c>
      <c r="I519" s="24" t="n"/>
      <c r="J519" s="22">
        <f t="array" ref="J519">IF($D519="","",IF($I519="","(trống REF)",IFERROR(INDEX(MASTER_SOURCE!$B$2:$B$495,MATCH($I519,MASTER_SOURCE!$A$2:$A$495,0)),"(REF không có trong MASTER_SOURCE)")))</f>
        <v/>
      </c>
      <c r="K519" s="22">
        <f t="array" ref="K519">IF($D519="","",IFERROR(INDEX(MASTER_SOURCE!$C$2:$C$495,MATCH($I519,MASTER_SOURCE!$A$2:$A$495,0)),""))</f>
        <v/>
      </c>
      <c r="L519" s="22">
        <f t="array" ref="L519">IF($D519="","",IFERROR(INDEX(MASTER_SOURCE!$D$2:$D$495,MATCH($I519,MASTER_SOURCE!$A$2:$A$495,0)),""))</f>
        <v/>
      </c>
      <c r="M519" s="24" t="n"/>
      <c r="N519" s="24" t="n"/>
      <c r="O519" s="24" t="n"/>
      <c r="P519" s="24" t="n"/>
      <c r="Q519" s="22">
        <f>IF($D519="","",IF(AND(OR(DANH_MUC!$L$5&lt;&gt;"Có",M519="Có"),OR(DANH_MUC!$L$6&lt;&gt;"Có",N519="Có"),OR(DANH_MUC!$L$7&lt;&gt;"Có",O519="Có"),OR(DANH_MUC!$L$8&lt;&gt;"Có",P519="Có")),"Có","Không"))</f>
        <v/>
      </c>
      <c r="R519" s="22">
        <f>IF($D519="","",IF(COUNTIF($D$2:$D519,$D519)&gt;1,"Trùng",""))</f>
        <v/>
      </c>
      <c r="S519" s="22">
        <f>IF($D519="","",IF(AND(LEN($D519)=10,LEFT($D519,1)="0",ISNUMBER(--$D519)),"Có","Không"))</f>
        <v/>
      </c>
      <c r="T519" s="22">
        <f>IF($D519="","",IF(AND($C519&lt;&gt;"",$Q519="Có",$R519="",$S519="Có",AND($L519&lt;&gt;"",OR($L519&lt;&gt;"Chưa xác định",DANH_MUC!$L$9="Có"))),"Có","Không"))</f>
        <v/>
      </c>
      <c r="U519" s="22">
        <f>IF(OR($D519="",$T519="Có"),"",IF($C519="","Thiếu họ tên; ","")&amp;IF($S519&lt;&gt;"Có","SĐT sai định dạng; ","")&amp;IF($R519="Trùng","Trùng SĐT; ","")&amp;IF($Q519&lt;&gt;"Có","Thiếu đồng ý bắt buộc; ","")&amp;IF($L519="","Thiếu/sai Mã REF; ",IF(AND($L519="Chưa xác định",DANH_MUC!$L$9&lt;&gt;"Có"),"Nguồn chưa xác định; ","")))</f>
        <v/>
      </c>
      <c r="V519" s="22">
        <f>IF(OR($D519="",$R519="Trùng"),"",IF(COUNTIF(ORDERS!$C$2:$C$4995,$D519)&gt;0,"Có","Không"))</f>
        <v/>
      </c>
      <c r="W519" s="22">
        <f>IF(OR($D519="",$R519="Trùng"),"",COUNTIFS(ORDERS!$C$2:$C$4995,$D519,ORDERS!$L$2:$L$4995,"Đã chuyển khoản"))</f>
        <v/>
      </c>
      <c r="X519" s="23">
        <f>IF(OR($D519="",$R519="Trùng"),"",SUMIFS(ORDERS!$J$2:$J$4995,ORDERS!$C$2:$C$4995,$D519,ORDERS!$L$2:$L$4995,"Đã chuyển khoản"))</f>
        <v/>
      </c>
      <c r="Y519" s="24" t="n"/>
    </row>
    <row r="520" ht="14.25" customHeight="1" s="40">
      <c r="A520" s="24" t="n"/>
      <c r="B520" s="27" t="n"/>
      <c r="C520" s="24" t="n"/>
      <c r="D520" s="28" t="n"/>
      <c r="E520" s="29" t="n"/>
      <c r="F520" s="24" t="n"/>
      <c r="G520" s="24" t="n"/>
      <c r="H520" s="21">
        <f>IF(ISNUMBER($B520),INT($B520)-WEEKDAY($B520,2)+1,"")</f>
        <v/>
      </c>
      <c r="I520" s="24" t="n"/>
      <c r="J520" s="22">
        <f t="array" ref="J520">IF($D520="","",IF($I520="","(trống REF)",IFERROR(INDEX(MASTER_SOURCE!$B$2:$B$495,MATCH($I520,MASTER_SOURCE!$A$2:$A$495,0)),"(REF không có trong MASTER_SOURCE)")))</f>
        <v/>
      </c>
      <c r="K520" s="22">
        <f t="array" ref="K520">IF($D520="","",IFERROR(INDEX(MASTER_SOURCE!$C$2:$C$495,MATCH($I520,MASTER_SOURCE!$A$2:$A$495,0)),""))</f>
        <v/>
      </c>
      <c r="L520" s="22">
        <f t="array" ref="L520">IF($D520="","",IFERROR(INDEX(MASTER_SOURCE!$D$2:$D$495,MATCH($I520,MASTER_SOURCE!$A$2:$A$495,0)),""))</f>
        <v/>
      </c>
      <c r="M520" s="24" t="n"/>
      <c r="N520" s="24" t="n"/>
      <c r="O520" s="24" t="n"/>
      <c r="P520" s="24" t="n"/>
      <c r="Q520" s="22">
        <f>IF($D520="","",IF(AND(OR(DANH_MUC!$L$5&lt;&gt;"Có",M520="Có"),OR(DANH_MUC!$L$6&lt;&gt;"Có",N520="Có"),OR(DANH_MUC!$L$7&lt;&gt;"Có",O520="Có"),OR(DANH_MUC!$L$8&lt;&gt;"Có",P520="Có")),"Có","Không"))</f>
        <v/>
      </c>
      <c r="R520" s="22">
        <f>IF($D520="","",IF(COUNTIF($D$2:$D520,$D520)&gt;1,"Trùng",""))</f>
        <v/>
      </c>
      <c r="S520" s="22">
        <f>IF($D520="","",IF(AND(LEN($D520)=10,LEFT($D520,1)="0",ISNUMBER(--$D520)),"Có","Không"))</f>
        <v/>
      </c>
      <c r="T520" s="22">
        <f>IF($D520="","",IF(AND($C520&lt;&gt;"",$Q520="Có",$R520="",$S520="Có",AND($L520&lt;&gt;"",OR($L520&lt;&gt;"Chưa xác định",DANH_MUC!$L$9="Có"))),"Có","Không"))</f>
        <v/>
      </c>
      <c r="U520" s="22">
        <f>IF(OR($D520="",$T520="Có"),"",IF($C520="","Thiếu họ tên; ","")&amp;IF($S520&lt;&gt;"Có","SĐT sai định dạng; ","")&amp;IF($R520="Trùng","Trùng SĐT; ","")&amp;IF($Q520&lt;&gt;"Có","Thiếu đồng ý bắt buộc; ","")&amp;IF($L520="","Thiếu/sai Mã REF; ",IF(AND($L520="Chưa xác định",DANH_MUC!$L$9&lt;&gt;"Có"),"Nguồn chưa xác định; ","")))</f>
        <v/>
      </c>
      <c r="V520" s="22">
        <f>IF(OR($D520="",$R520="Trùng"),"",IF(COUNTIF(ORDERS!$C$2:$C$4995,$D520)&gt;0,"Có","Không"))</f>
        <v/>
      </c>
      <c r="W520" s="22">
        <f>IF(OR($D520="",$R520="Trùng"),"",COUNTIFS(ORDERS!$C$2:$C$4995,$D520,ORDERS!$L$2:$L$4995,"Đã chuyển khoản"))</f>
        <v/>
      </c>
      <c r="X520" s="23">
        <f>IF(OR($D520="",$R520="Trùng"),"",SUMIFS(ORDERS!$J$2:$J$4995,ORDERS!$C$2:$C$4995,$D520,ORDERS!$L$2:$L$4995,"Đã chuyển khoản"))</f>
        <v/>
      </c>
      <c r="Y520" s="24" t="n"/>
    </row>
    <row r="521" ht="14.25" customHeight="1" s="40">
      <c r="A521" s="24" t="n"/>
      <c r="B521" s="27" t="n"/>
      <c r="C521" s="24" t="n"/>
      <c r="D521" s="28" t="n"/>
      <c r="E521" s="29" t="n"/>
      <c r="F521" s="24" t="n"/>
      <c r="G521" s="24" t="n"/>
      <c r="H521" s="21">
        <f>IF(ISNUMBER($B521),INT($B521)-WEEKDAY($B521,2)+1,"")</f>
        <v/>
      </c>
      <c r="I521" s="24" t="n"/>
      <c r="J521" s="22">
        <f t="array" ref="J521">IF($D521="","",IF($I521="","(trống REF)",IFERROR(INDEX(MASTER_SOURCE!$B$2:$B$495,MATCH($I521,MASTER_SOURCE!$A$2:$A$495,0)),"(REF không có trong MASTER_SOURCE)")))</f>
        <v/>
      </c>
      <c r="K521" s="22">
        <f t="array" ref="K521">IF($D521="","",IFERROR(INDEX(MASTER_SOURCE!$C$2:$C$495,MATCH($I521,MASTER_SOURCE!$A$2:$A$495,0)),""))</f>
        <v/>
      </c>
      <c r="L521" s="22">
        <f t="array" ref="L521">IF($D521="","",IFERROR(INDEX(MASTER_SOURCE!$D$2:$D$495,MATCH($I521,MASTER_SOURCE!$A$2:$A$495,0)),""))</f>
        <v/>
      </c>
      <c r="M521" s="24" t="n"/>
      <c r="N521" s="24" t="n"/>
      <c r="O521" s="24" t="n"/>
      <c r="P521" s="24" t="n"/>
      <c r="Q521" s="22">
        <f>IF($D521="","",IF(AND(OR(DANH_MUC!$L$5&lt;&gt;"Có",M521="Có"),OR(DANH_MUC!$L$6&lt;&gt;"Có",N521="Có"),OR(DANH_MUC!$L$7&lt;&gt;"Có",O521="Có"),OR(DANH_MUC!$L$8&lt;&gt;"Có",P521="Có")),"Có","Không"))</f>
        <v/>
      </c>
      <c r="R521" s="22">
        <f>IF($D521="","",IF(COUNTIF($D$2:$D521,$D521)&gt;1,"Trùng",""))</f>
        <v/>
      </c>
      <c r="S521" s="22">
        <f>IF($D521="","",IF(AND(LEN($D521)=10,LEFT($D521,1)="0",ISNUMBER(--$D521)),"Có","Không"))</f>
        <v/>
      </c>
      <c r="T521" s="22">
        <f>IF($D521="","",IF(AND($C521&lt;&gt;"",$Q521="Có",$R521="",$S521="Có",AND($L521&lt;&gt;"",OR($L521&lt;&gt;"Chưa xác định",DANH_MUC!$L$9="Có"))),"Có","Không"))</f>
        <v/>
      </c>
      <c r="U521" s="22">
        <f>IF(OR($D521="",$T521="Có"),"",IF($C521="","Thiếu họ tên; ","")&amp;IF($S521&lt;&gt;"Có","SĐT sai định dạng; ","")&amp;IF($R521="Trùng","Trùng SĐT; ","")&amp;IF($Q521&lt;&gt;"Có","Thiếu đồng ý bắt buộc; ","")&amp;IF($L521="","Thiếu/sai Mã REF; ",IF(AND($L521="Chưa xác định",DANH_MUC!$L$9&lt;&gt;"Có"),"Nguồn chưa xác định; ","")))</f>
        <v/>
      </c>
      <c r="V521" s="22">
        <f>IF(OR($D521="",$R521="Trùng"),"",IF(COUNTIF(ORDERS!$C$2:$C$4995,$D521)&gt;0,"Có","Không"))</f>
        <v/>
      </c>
      <c r="W521" s="22">
        <f>IF(OR($D521="",$R521="Trùng"),"",COUNTIFS(ORDERS!$C$2:$C$4995,$D521,ORDERS!$L$2:$L$4995,"Đã chuyển khoản"))</f>
        <v/>
      </c>
      <c r="X521" s="23">
        <f>IF(OR($D521="",$R521="Trùng"),"",SUMIFS(ORDERS!$J$2:$J$4995,ORDERS!$C$2:$C$4995,$D521,ORDERS!$L$2:$L$4995,"Đã chuyển khoản"))</f>
        <v/>
      </c>
      <c r="Y521" s="24" t="n"/>
    </row>
    <row r="522" ht="14.25" customHeight="1" s="40">
      <c r="A522" s="24" t="n"/>
      <c r="B522" s="27" t="n"/>
      <c r="C522" s="24" t="n"/>
      <c r="D522" s="28" t="n"/>
      <c r="E522" s="29" t="n"/>
      <c r="F522" s="24" t="n"/>
      <c r="G522" s="24" t="n"/>
      <c r="H522" s="21">
        <f>IF(ISNUMBER($B522),INT($B522)-WEEKDAY($B522,2)+1,"")</f>
        <v/>
      </c>
      <c r="I522" s="24" t="n"/>
      <c r="J522" s="22">
        <f t="array" ref="J522">IF($D522="","",IF($I522="","(trống REF)",IFERROR(INDEX(MASTER_SOURCE!$B$2:$B$495,MATCH($I522,MASTER_SOURCE!$A$2:$A$495,0)),"(REF không có trong MASTER_SOURCE)")))</f>
        <v/>
      </c>
      <c r="K522" s="22">
        <f t="array" ref="K522">IF($D522="","",IFERROR(INDEX(MASTER_SOURCE!$C$2:$C$495,MATCH($I522,MASTER_SOURCE!$A$2:$A$495,0)),""))</f>
        <v/>
      </c>
      <c r="L522" s="22">
        <f t="array" ref="L522">IF($D522="","",IFERROR(INDEX(MASTER_SOURCE!$D$2:$D$495,MATCH($I522,MASTER_SOURCE!$A$2:$A$495,0)),""))</f>
        <v/>
      </c>
      <c r="M522" s="24" t="n"/>
      <c r="N522" s="24" t="n"/>
      <c r="O522" s="24" t="n"/>
      <c r="P522" s="24" t="n"/>
      <c r="Q522" s="22">
        <f>IF($D522="","",IF(AND(OR(DANH_MUC!$L$5&lt;&gt;"Có",M522="Có"),OR(DANH_MUC!$L$6&lt;&gt;"Có",N522="Có"),OR(DANH_MUC!$L$7&lt;&gt;"Có",O522="Có"),OR(DANH_MUC!$L$8&lt;&gt;"Có",P522="Có")),"Có","Không"))</f>
        <v/>
      </c>
      <c r="R522" s="22">
        <f>IF($D522="","",IF(COUNTIF($D$2:$D522,$D522)&gt;1,"Trùng",""))</f>
        <v/>
      </c>
      <c r="S522" s="22">
        <f>IF($D522="","",IF(AND(LEN($D522)=10,LEFT($D522,1)="0",ISNUMBER(--$D522)),"Có","Không"))</f>
        <v/>
      </c>
      <c r="T522" s="22">
        <f>IF($D522="","",IF(AND($C522&lt;&gt;"",$Q522="Có",$R522="",$S522="Có",AND($L522&lt;&gt;"",OR($L522&lt;&gt;"Chưa xác định",DANH_MUC!$L$9="Có"))),"Có","Không"))</f>
        <v/>
      </c>
      <c r="U522" s="22">
        <f>IF(OR($D522="",$T522="Có"),"",IF($C522="","Thiếu họ tên; ","")&amp;IF($S522&lt;&gt;"Có","SĐT sai định dạng; ","")&amp;IF($R522="Trùng","Trùng SĐT; ","")&amp;IF($Q522&lt;&gt;"Có","Thiếu đồng ý bắt buộc; ","")&amp;IF($L522="","Thiếu/sai Mã REF; ",IF(AND($L522="Chưa xác định",DANH_MUC!$L$9&lt;&gt;"Có"),"Nguồn chưa xác định; ","")))</f>
        <v/>
      </c>
      <c r="V522" s="22">
        <f>IF(OR($D522="",$R522="Trùng"),"",IF(COUNTIF(ORDERS!$C$2:$C$4995,$D522)&gt;0,"Có","Không"))</f>
        <v/>
      </c>
      <c r="W522" s="22">
        <f>IF(OR($D522="",$R522="Trùng"),"",COUNTIFS(ORDERS!$C$2:$C$4995,$D522,ORDERS!$L$2:$L$4995,"Đã chuyển khoản"))</f>
        <v/>
      </c>
      <c r="X522" s="23">
        <f>IF(OR($D522="",$R522="Trùng"),"",SUMIFS(ORDERS!$J$2:$J$4995,ORDERS!$C$2:$C$4995,$D522,ORDERS!$L$2:$L$4995,"Đã chuyển khoản"))</f>
        <v/>
      </c>
      <c r="Y522" s="24" t="n"/>
    </row>
    <row r="523" ht="14.25" customHeight="1" s="40">
      <c r="A523" s="24" t="n"/>
      <c r="B523" s="27" t="n"/>
      <c r="C523" s="24" t="n"/>
      <c r="D523" s="28" t="n"/>
      <c r="E523" s="29" t="n"/>
      <c r="F523" s="24" t="n"/>
      <c r="G523" s="24" t="n"/>
      <c r="H523" s="21">
        <f>IF(ISNUMBER($B523),INT($B523)-WEEKDAY($B523,2)+1,"")</f>
        <v/>
      </c>
      <c r="I523" s="24" t="n"/>
      <c r="J523" s="22">
        <f t="array" ref="J523">IF($D523="","",IF($I523="","(trống REF)",IFERROR(INDEX(MASTER_SOURCE!$B$2:$B$495,MATCH($I523,MASTER_SOURCE!$A$2:$A$495,0)),"(REF không có trong MASTER_SOURCE)")))</f>
        <v/>
      </c>
      <c r="K523" s="22">
        <f t="array" ref="K523">IF($D523="","",IFERROR(INDEX(MASTER_SOURCE!$C$2:$C$495,MATCH($I523,MASTER_SOURCE!$A$2:$A$495,0)),""))</f>
        <v/>
      </c>
      <c r="L523" s="22">
        <f t="array" ref="L523">IF($D523="","",IFERROR(INDEX(MASTER_SOURCE!$D$2:$D$495,MATCH($I523,MASTER_SOURCE!$A$2:$A$495,0)),""))</f>
        <v/>
      </c>
      <c r="M523" s="24" t="n"/>
      <c r="N523" s="24" t="n"/>
      <c r="O523" s="24" t="n"/>
      <c r="P523" s="24" t="n"/>
      <c r="Q523" s="22">
        <f>IF($D523="","",IF(AND(OR(DANH_MUC!$L$5&lt;&gt;"Có",M523="Có"),OR(DANH_MUC!$L$6&lt;&gt;"Có",N523="Có"),OR(DANH_MUC!$L$7&lt;&gt;"Có",O523="Có"),OR(DANH_MUC!$L$8&lt;&gt;"Có",P523="Có")),"Có","Không"))</f>
        <v/>
      </c>
      <c r="R523" s="22">
        <f>IF($D523="","",IF(COUNTIF($D$2:$D523,$D523)&gt;1,"Trùng",""))</f>
        <v/>
      </c>
      <c r="S523" s="22">
        <f>IF($D523="","",IF(AND(LEN($D523)=10,LEFT($D523,1)="0",ISNUMBER(--$D523)),"Có","Không"))</f>
        <v/>
      </c>
      <c r="T523" s="22">
        <f>IF($D523="","",IF(AND($C523&lt;&gt;"",$Q523="Có",$R523="",$S523="Có",AND($L523&lt;&gt;"",OR($L523&lt;&gt;"Chưa xác định",DANH_MUC!$L$9="Có"))),"Có","Không"))</f>
        <v/>
      </c>
      <c r="U523" s="22">
        <f>IF(OR($D523="",$T523="Có"),"",IF($C523="","Thiếu họ tên; ","")&amp;IF($S523&lt;&gt;"Có","SĐT sai định dạng; ","")&amp;IF($R523="Trùng","Trùng SĐT; ","")&amp;IF($Q523&lt;&gt;"Có","Thiếu đồng ý bắt buộc; ","")&amp;IF($L523="","Thiếu/sai Mã REF; ",IF(AND($L523="Chưa xác định",DANH_MUC!$L$9&lt;&gt;"Có"),"Nguồn chưa xác định; ","")))</f>
        <v/>
      </c>
      <c r="V523" s="22">
        <f>IF(OR($D523="",$R523="Trùng"),"",IF(COUNTIF(ORDERS!$C$2:$C$4995,$D523)&gt;0,"Có","Không"))</f>
        <v/>
      </c>
      <c r="W523" s="22">
        <f>IF(OR($D523="",$R523="Trùng"),"",COUNTIFS(ORDERS!$C$2:$C$4995,$D523,ORDERS!$L$2:$L$4995,"Đã chuyển khoản"))</f>
        <v/>
      </c>
      <c r="X523" s="23">
        <f>IF(OR($D523="",$R523="Trùng"),"",SUMIFS(ORDERS!$J$2:$J$4995,ORDERS!$C$2:$C$4995,$D523,ORDERS!$L$2:$L$4995,"Đã chuyển khoản"))</f>
        <v/>
      </c>
      <c r="Y523" s="24" t="n"/>
    </row>
    <row r="524" ht="14.25" customHeight="1" s="40">
      <c r="A524" s="24" t="n"/>
      <c r="B524" s="27" t="n"/>
      <c r="C524" s="24" t="n"/>
      <c r="D524" s="28" t="n"/>
      <c r="E524" s="29" t="n"/>
      <c r="F524" s="24" t="n"/>
      <c r="G524" s="24" t="n"/>
      <c r="H524" s="21">
        <f>IF(ISNUMBER($B524),INT($B524)-WEEKDAY($B524,2)+1,"")</f>
        <v/>
      </c>
      <c r="I524" s="24" t="n"/>
      <c r="J524" s="22">
        <f t="array" ref="J524">IF($D524="","",IF($I524="","(trống REF)",IFERROR(INDEX(MASTER_SOURCE!$B$2:$B$495,MATCH($I524,MASTER_SOURCE!$A$2:$A$495,0)),"(REF không có trong MASTER_SOURCE)")))</f>
        <v/>
      </c>
      <c r="K524" s="22">
        <f t="array" ref="K524">IF($D524="","",IFERROR(INDEX(MASTER_SOURCE!$C$2:$C$495,MATCH($I524,MASTER_SOURCE!$A$2:$A$495,0)),""))</f>
        <v/>
      </c>
      <c r="L524" s="22">
        <f t="array" ref="L524">IF($D524="","",IFERROR(INDEX(MASTER_SOURCE!$D$2:$D$495,MATCH($I524,MASTER_SOURCE!$A$2:$A$495,0)),""))</f>
        <v/>
      </c>
      <c r="M524" s="24" t="n"/>
      <c r="N524" s="24" t="n"/>
      <c r="O524" s="24" t="n"/>
      <c r="P524" s="24" t="n"/>
      <c r="Q524" s="22">
        <f>IF($D524="","",IF(AND(OR(DANH_MUC!$L$5&lt;&gt;"Có",M524="Có"),OR(DANH_MUC!$L$6&lt;&gt;"Có",N524="Có"),OR(DANH_MUC!$L$7&lt;&gt;"Có",O524="Có"),OR(DANH_MUC!$L$8&lt;&gt;"Có",P524="Có")),"Có","Không"))</f>
        <v/>
      </c>
      <c r="R524" s="22">
        <f>IF($D524="","",IF(COUNTIF($D$2:$D524,$D524)&gt;1,"Trùng",""))</f>
        <v/>
      </c>
      <c r="S524" s="22">
        <f>IF($D524="","",IF(AND(LEN($D524)=10,LEFT($D524,1)="0",ISNUMBER(--$D524)),"Có","Không"))</f>
        <v/>
      </c>
      <c r="T524" s="22">
        <f>IF($D524="","",IF(AND($C524&lt;&gt;"",$Q524="Có",$R524="",$S524="Có",AND($L524&lt;&gt;"",OR($L524&lt;&gt;"Chưa xác định",DANH_MUC!$L$9="Có"))),"Có","Không"))</f>
        <v/>
      </c>
      <c r="U524" s="22">
        <f>IF(OR($D524="",$T524="Có"),"",IF($C524="","Thiếu họ tên; ","")&amp;IF($S524&lt;&gt;"Có","SĐT sai định dạng; ","")&amp;IF($R524="Trùng","Trùng SĐT; ","")&amp;IF($Q524&lt;&gt;"Có","Thiếu đồng ý bắt buộc; ","")&amp;IF($L524="","Thiếu/sai Mã REF; ",IF(AND($L524="Chưa xác định",DANH_MUC!$L$9&lt;&gt;"Có"),"Nguồn chưa xác định; ","")))</f>
        <v/>
      </c>
      <c r="V524" s="22">
        <f>IF(OR($D524="",$R524="Trùng"),"",IF(COUNTIF(ORDERS!$C$2:$C$4995,$D524)&gt;0,"Có","Không"))</f>
        <v/>
      </c>
      <c r="W524" s="22">
        <f>IF(OR($D524="",$R524="Trùng"),"",COUNTIFS(ORDERS!$C$2:$C$4995,$D524,ORDERS!$L$2:$L$4995,"Đã chuyển khoản"))</f>
        <v/>
      </c>
      <c r="X524" s="23">
        <f>IF(OR($D524="",$R524="Trùng"),"",SUMIFS(ORDERS!$J$2:$J$4995,ORDERS!$C$2:$C$4995,$D524,ORDERS!$L$2:$L$4995,"Đã chuyển khoản"))</f>
        <v/>
      </c>
      <c r="Y524" s="24" t="n"/>
    </row>
    <row r="525" ht="14.25" customHeight="1" s="40">
      <c r="A525" s="24" t="n"/>
      <c r="B525" s="27" t="n"/>
      <c r="C525" s="24" t="n"/>
      <c r="D525" s="28" t="n"/>
      <c r="E525" s="29" t="n"/>
      <c r="F525" s="24" t="n"/>
      <c r="G525" s="24" t="n"/>
      <c r="H525" s="21">
        <f>IF(ISNUMBER($B525),INT($B525)-WEEKDAY($B525,2)+1,"")</f>
        <v/>
      </c>
      <c r="I525" s="24" t="n"/>
      <c r="J525" s="22">
        <f t="array" ref="J525">IF($D525="","",IF($I525="","(trống REF)",IFERROR(INDEX(MASTER_SOURCE!$B$2:$B$495,MATCH($I525,MASTER_SOURCE!$A$2:$A$495,0)),"(REF không có trong MASTER_SOURCE)")))</f>
        <v/>
      </c>
      <c r="K525" s="22">
        <f t="array" ref="K525">IF($D525="","",IFERROR(INDEX(MASTER_SOURCE!$C$2:$C$495,MATCH($I525,MASTER_SOURCE!$A$2:$A$495,0)),""))</f>
        <v/>
      </c>
      <c r="L525" s="22">
        <f t="array" ref="L525">IF($D525="","",IFERROR(INDEX(MASTER_SOURCE!$D$2:$D$495,MATCH($I525,MASTER_SOURCE!$A$2:$A$495,0)),""))</f>
        <v/>
      </c>
      <c r="M525" s="24" t="n"/>
      <c r="N525" s="24" t="n"/>
      <c r="O525" s="24" t="n"/>
      <c r="P525" s="24" t="n"/>
      <c r="Q525" s="22">
        <f>IF($D525="","",IF(AND(OR(DANH_MUC!$L$5&lt;&gt;"Có",M525="Có"),OR(DANH_MUC!$L$6&lt;&gt;"Có",N525="Có"),OR(DANH_MUC!$L$7&lt;&gt;"Có",O525="Có"),OR(DANH_MUC!$L$8&lt;&gt;"Có",P525="Có")),"Có","Không"))</f>
        <v/>
      </c>
      <c r="R525" s="22">
        <f>IF($D525="","",IF(COUNTIF($D$2:$D525,$D525)&gt;1,"Trùng",""))</f>
        <v/>
      </c>
      <c r="S525" s="22">
        <f>IF($D525="","",IF(AND(LEN($D525)=10,LEFT($D525,1)="0",ISNUMBER(--$D525)),"Có","Không"))</f>
        <v/>
      </c>
      <c r="T525" s="22">
        <f>IF($D525="","",IF(AND($C525&lt;&gt;"",$Q525="Có",$R525="",$S525="Có",AND($L525&lt;&gt;"",OR($L525&lt;&gt;"Chưa xác định",DANH_MUC!$L$9="Có"))),"Có","Không"))</f>
        <v/>
      </c>
      <c r="U525" s="22">
        <f>IF(OR($D525="",$T525="Có"),"",IF($C525="","Thiếu họ tên; ","")&amp;IF($S525&lt;&gt;"Có","SĐT sai định dạng; ","")&amp;IF($R525="Trùng","Trùng SĐT; ","")&amp;IF($Q525&lt;&gt;"Có","Thiếu đồng ý bắt buộc; ","")&amp;IF($L525="","Thiếu/sai Mã REF; ",IF(AND($L525="Chưa xác định",DANH_MUC!$L$9&lt;&gt;"Có"),"Nguồn chưa xác định; ","")))</f>
        <v/>
      </c>
      <c r="V525" s="22">
        <f>IF(OR($D525="",$R525="Trùng"),"",IF(COUNTIF(ORDERS!$C$2:$C$4995,$D525)&gt;0,"Có","Không"))</f>
        <v/>
      </c>
      <c r="W525" s="22">
        <f>IF(OR($D525="",$R525="Trùng"),"",COUNTIFS(ORDERS!$C$2:$C$4995,$D525,ORDERS!$L$2:$L$4995,"Đã chuyển khoản"))</f>
        <v/>
      </c>
      <c r="X525" s="23">
        <f>IF(OR($D525="",$R525="Trùng"),"",SUMIFS(ORDERS!$J$2:$J$4995,ORDERS!$C$2:$C$4995,$D525,ORDERS!$L$2:$L$4995,"Đã chuyển khoản"))</f>
        <v/>
      </c>
      <c r="Y525" s="24" t="n"/>
    </row>
    <row r="526" ht="14.25" customHeight="1" s="40">
      <c r="A526" s="24" t="n"/>
      <c r="B526" s="27" t="n"/>
      <c r="C526" s="24" t="n"/>
      <c r="D526" s="28" t="n"/>
      <c r="E526" s="29" t="n"/>
      <c r="F526" s="24" t="n"/>
      <c r="G526" s="24" t="n"/>
      <c r="H526" s="21">
        <f>IF(ISNUMBER($B526),INT($B526)-WEEKDAY($B526,2)+1,"")</f>
        <v/>
      </c>
      <c r="I526" s="24" t="n"/>
      <c r="J526" s="22">
        <f t="array" ref="J526">IF($D526="","",IF($I526="","(trống REF)",IFERROR(INDEX(MASTER_SOURCE!$B$2:$B$495,MATCH($I526,MASTER_SOURCE!$A$2:$A$495,0)),"(REF không có trong MASTER_SOURCE)")))</f>
        <v/>
      </c>
      <c r="K526" s="22">
        <f t="array" ref="K526">IF($D526="","",IFERROR(INDEX(MASTER_SOURCE!$C$2:$C$495,MATCH($I526,MASTER_SOURCE!$A$2:$A$495,0)),""))</f>
        <v/>
      </c>
      <c r="L526" s="22">
        <f t="array" ref="L526">IF($D526="","",IFERROR(INDEX(MASTER_SOURCE!$D$2:$D$495,MATCH($I526,MASTER_SOURCE!$A$2:$A$495,0)),""))</f>
        <v/>
      </c>
      <c r="M526" s="24" t="n"/>
      <c r="N526" s="24" t="n"/>
      <c r="O526" s="24" t="n"/>
      <c r="P526" s="24" t="n"/>
      <c r="Q526" s="22">
        <f>IF($D526="","",IF(AND(OR(DANH_MUC!$L$5&lt;&gt;"Có",M526="Có"),OR(DANH_MUC!$L$6&lt;&gt;"Có",N526="Có"),OR(DANH_MUC!$L$7&lt;&gt;"Có",O526="Có"),OR(DANH_MUC!$L$8&lt;&gt;"Có",P526="Có")),"Có","Không"))</f>
        <v/>
      </c>
      <c r="R526" s="22">
        <f>IF($D526="","",IF(COUNTIF($D$2:$D526,$D526)&gt;1,"Trùng",""))</f>
        <v/>
      </c>
      <c r="S526" s="22">
        <f>IF($D526="","",IF(AND(LEN($D526)=10,LEFT($D526,1)="0",ISNUMBER(--$D526)),"Có","Không"))</f>
        <v/>
      </c>
      <c r="T526" s="22">
        <f>IF($D526="","",IF(AND($C526&lt;&gt;"",$Q526="Có",$R526="",$S526="Có",AND($L526&lt;&gt;"",OR($L526&lt;&gt;"Chưa xác định",DANH_MUC!$L$9="Có"))),"Có","Không"))</f>
        <v/>
      </c>
      <c r="U526" s="22">
        <f>IF(OR($D526="",$T526="Có"),"",IF($C526="","Thiếu họ tên; ","")&amp;IF($S526&lt;&gt;"Có","SĐT sai định dạng; ","")&amp;IF($R526="Trùng","Trùng SĐT; ","")&amp;IF($Q526&lt;&gt;"Có","Thiếu đồng ý bắt buộc; ","")&amp;IF($L526="","Thiếu/sai Mã REF; ",IF(AND($L526="Chưa xác định",DANH_MUC!$L$9&lt;&gt;"Có"),"Nguồn chưa xác định; ","")))</f>
        <v/>
      </c>
      <c r="V526" s="22">
        <f>IF(OR($D526="",$R526="Trùng"),"",IF(COUNTIF(ORDERS!$C$2:$C$4995,$D526)&gt;0,"Có","Không"))</f>
        <v/>
      </c>
      <c r="W526" s="22">
        <f>IF(OR($D526="",$R526="Trùng"),"",COUNTIFS(ORDERS!$C$2:$C$4995,$D526,ORDERS!$L$2:$L$4995,"Đã chuyển khoản"))</f>
        <v/>
      </c>
      <c r="X526" s="23">
        <f>IF(OR($D526="",$R526="Trùng"),"",SUMIFS(ORDERS!$J$2:$J$4995,ORDERS!$C$2:$C$4995,$D526,ORDERS!$L$2:$L$4995,"Đã chuyển khoản"))</f>
        <v/>
      </c>
      <c r="Y526" s="24" t="n"/>
    </row>
    <row r="527" ht="14.25" customHeight="1" s="40">
      <c r="A527" s="24" t="n"/>
      <c r="B527" s="27" t="n"/>
      <c r="C527" s="24" t="n"/>
      <c r="D527" s="28" t="n"/>
      <c r="E527" s="29" t="n"/>
      <c r="F527" s="24" t="n"/>
      <c r="G527" s="24" t="n"/>
      <c r="H527" s="21">
        <f>IF(ISNUMBER($B527),INT($B527)-WEEKDAY($B527,2)+1,"")</f>
        <v/>
      </c>
      <c r="I527" s="24" t="n"/>
      <c r="J527" s="22">
        <f t="array" ref="J527">IF($D527="","",IF($I527="","(trống REF)",IFERROR(INDEX(MASTER_SOURCE!$B$2:$B$495,MATCH($I527,MASTER_SOURCE!$A$2:$A$495,0)),"(REF không có trong MASTER_SOURCE)")))</f>
        <v/>
      </c>
      <c r="K527" s="22">
        <f t="array" ref="K527">IF($D527="","",IFERROR(INDEX(MASTER_SOURCE!$C$2:$C$495,MATCH($I527,MASTER_SOURCE!$A$2:$A$495,0)),""))</f>
        <v/>
      </c>
      <c r="L527" s="22">
        <f t="array" ref="L527">IF($D527="","",IFERROR(INDEX(MASTER_SOURCE!$D$2:$D$495,MATCH($I527,MASTER_SOURCE!$A$2:$A$495,0)),""))</f>
        <v/>
      </c>
      <c r="M527" s="24" t="n"/>
      <c r="N527" s="24" t="n"/>
      <c r="O527" s="24" t="n"/>
      <c r="P527" s="24" t="n"/>
      <c r="Q527" s="22">
        <f>IF($D527="","",IF(AND(OR(DANH_MUC!$L$5&lt;&gt;"Có",M527="Có"),OR(DANH_MUC!$L$6&lt;&gt;"Có",N527="Có"),OR(DANH_MUC!$L$7&lt;&gt;"Có",O527="Có"),OR(DANH_MUC!$L$8&lt;&gt;"Có",P527="Có")),"Có","Không"))</f>
        <v/>
      </c>
      <c r="R527" s="22">
        <f>IF($D527="","",IF(COUNTIF($D$2:$D527,$D527)&gt;1,"Trùng",""))</f>
        <v/>
      </c>
      <c r="S527" s="22">
        <f>IF($D527="","",IF(AND(LEN($D527)=10,LEFT($D527,1)="0",ISNUMBER(--$D527)),"Có","Không"))</f>
        <v/>
      </c>
      <c r="T527" s="22">
        <f>IF($D527="","",IF(AND($C527&lt;&gt;"",$Q527="Có",$R527="",$S527="Có",AND($L527&lt;&gt;"",OR($L527&lt;&gt;"Chưa xác định",DANH_MUC!$L$9="Có"))),"Có","Không"))</f>
        <v/>
      </c>
      <c r="U527" s="22">
        <f>IF(OR($D527="",$T527="Có"),"",IF($C527="","Thiếu họ tên; ","")&amp;IF($S527&lt;&gt;"Có","SĐT sai định dạng; ","")&amp;IF($R527="Trùng","Trùng SĐT; ","")&amp;IF($Q527&lt;&gt;"Có","Thiếu đồng ý bắt buộc; ","")&amp;IF($L527="","Thiếu/sai Mã REF; ",IF(AND($L527="Chưa xác định",DANH_MUC!$L$9&lt;&gt;"Có"),"Nguồn chưa xác định; ","")))</f>
        <v/>
      </c>
      <c r="V527" s="22">
        <f>IF(OR($D527="",$R527="Trùng"),"",IF(COUNTIF(ORDERS!$C$2:$C$4995,$D527)&gt;0,"Có","Không"))</f>
        <v/>
      </c>
      <c r="W527" s="22">
        <f>IF(OR($D527="",$R527="Trùng"),"",COUNTIFS(ORDERS!$C$2:$C$4995,$D527,ORDERS!$L$2:$L$4995,"Đã chuyển khoản"))</f>
        <v/>
      </c>
      <c r="X527" s="23">
        <f>IF(OR($D527="",$R527="Trùng"),"",SUMIFS(ORDERS!$J$2:$J$4995,ORDERS!$C$2:$C$4995,$D527,ORDERS!$L$2:$L$4995,"Đã chuyển khoản"))</f>
        <v/>
      </c>
      <c r="Y527" s="24" t="n"/>
    </row>
    <row r="528" ht="14.25" customHeight="1" s="40">
      <c r="A528" s="24" t="n"/>
      <c r="B528" s="27" t="n"/>
      <c r="C528" s="24" t="n"/>
      <c r="D528" s="28" t="n"/>
      <c r="E528" s="29" t="n"/>
      <c r="F528" s="24" t="n"/>
      <c r="G528" s="24" t="n"/>
      <c r="H528" s="21">
        <f>IF(ISNUMBER($B528),INT($B528)-WEEKDAY($B528,2)+1,"")</f>
        <v/>
      </c>
      <c r="I528" s="24" t="n"/>
      <c r="J528" s="22">
        <f t="array" ref="J528">IF($D528="","",IF($I528="","(trống REF)",IFERROR(INDEX(MASTER_SOURCE!$B$2:$B$495,MATCH($I528,MASTER_SOURCE!$A$2:$A$495,0)),"(REF không có trong MASTER_SOURCE)")))</f>
        <v/>
      </c>
      <c r="K528" s="22">
        <f t="array" ref="K528">IF($D528="","",IFERROR(INDEX(MASTER_SOURCE!$C$2:$C$495,MATCH($I528,MASTER_SOURCE!$A$2:$A$495,0)),""))</f>
        <v/>
      </c>
      <c r="L528" s="22">
        <f t="array" ref="L528">IF($D528="","",IFERROR(INDEX(MASTER_SOURCE!$D$2:$D$495,MATCH($I528,MASTER_SOURCE!$A$2:$A$495,0)),""))</f>
        <v/>
      </c>
      <c r="M528" s="24" t="n"/>
      <c r="N528" s="24" t="n"/>
      <c r="O528" s="24" t="n"/>
      <c r="P528" s="24" t="n"/>
      <c r="Q528" s="22">
        <f>IF($D528="","",IF(AND(OR(DANH_MUC!$L$5&lt;&gt;"Có",M528="Có"),OR(DANH_MUC!$L$6&lt;&gt;"Có",N528="Có"),OR(DANH_MUC!$L$7&lt;&gt;"Có",O528="Có"),OR(DANH_MUC!$L$8&lt;&gt;"Có",P528="Có")),"Có","Không"))</f>
        <v/>
      </c>
      <c r="R528" s="22">
        <f>IF($D528="","",IF(COUNTIF($D$2:$D528,$D528)&gt;1,"Trùng",""))</f>
        <v/>
      </c>
      <c r="S528" s="22">
        <f>IF($D528="","",IF(AND(LEN($D528)=10,LEFT($D528,1)="0",ISNUMBER(--$D528)),"Có","Không"))</f>
        <v/>
      </c>
      <c r="T528" s="22">
        <f>IF($D528="","",IF(AND($C528&lt;&gt;"",$Q528="Có",$R528="",$S528="Có",AND($L528&lt;&gt;"",OR($L528&lt;&gt;"Chưa xác định",DANH_MUC!$L$9="Có"))),"Có","Không"))</f>
        <v/>
      </c>
      <c r="U528" s="22">
        <f>IF(OR($D528="",$T528="Có"),"",IF($C528="","Thiếu họ tên; ","")&amp;IF($S528&lt;&gt;"Có","SĐT sai định dạng; ","")&amp;IF($R528="Trùng","Trùng SĐT; ","")&amp;IF($Q528&lt;&gt;"Có","Thiếu đồng ý bắt buộc; ","")&amp;IF($L528="","Thiếu/sai Mã REF; ",IF(AND($L528="Chưa xác định",DANH_MUC!$L$9&lt;&gt;"Có"),"Nguồn chưa xác định; ","")))</f>
        <v/>
      </c>
      <c r="V528" s="22">
        <f>IF(OR($D528="",$R528="Trùng"),"",IF(COUNTIF(ORDERS!$C$2:$C$4995,$D528)&gt;0,"Có","Không"))</f>
        <v/>
      </c>
      <c r="W528" s="22">
        <f>IF(OR($D528="",$R528="Trùng"),"",COUNTIFS(ORDERS!$C$2:$C$4995,$D528,ORDERS!$L$2:$L$4995,"Đã chuyển khoản"))</f>
        <v/>
      </c>
      <c r="X528" s="23">
        <f>IF(OR($D528="",$R528="Trùng"),"",SUMIFS(ORDERS!$J$2:$J$4995,ORDERS!$C$2:$C$4995,$D528,ORDERS!$L$2:$L$4995,"Đã chuyển khoản"))</f>
        <v/>
      </c>
      <c r="Y528" s="24" t="n"/>
    </row>
    <row r="529" ht="14.25" customHeight="1" s="40">
      <c r="A529" s="24" t="n"/>
      <c r="B529" s="27" t="n"/>
      <c r="C529" s="24" t="n"/>
      <c r="D529" s="28" t="n"/>
      <c r="E529" s="29" t="n"/>
      <c r="F529" s="24" t="n"/>
      <c r="G529" s="24" t="n"/>
      <c r="H529" s="21">
        <f>IF(ISNUMBER($B529),INT($B529)-WEEKDAY($B529,2)+1,"")</f>
        <v/>
      </c>
      <c r="I529" s="24" t="n"/>
      <c r="J529" s="22">
        <f t="array" ref="J529">IF($D529="","",IF($I529="","(trống REF)",IFERROR(INDEX(MASTER_SOURCE!$B$2:$B$495,MATCH($I529,MASTER_SOURCE!$A$2:$A$495,0)),"(REF không có trong MASTER_SOURCE)")))</f>
        <v/>
      </c>
      <c r="K529" s="22">
        <f t="array" ref="K529">IF($D529="","",IFERROR(INDEX(MASTER_SOURCE!$C$2:$C$495,MATCH($I529,MASTER_SOURCE!$A$2:$A$495,0)),""))</f>
        <v/>
      </c>
      <c r="L529" s="22">
        <f t="array" ref="L529">IF($D529="","",IFERROR(INDEX(MASTER_SOURCE!$D$2:$D$495,MATCH($I529,MASTER_SOURCE!$A$2:$A$495,0)),""))</f>
        <v/>
      </c>
      <c r="M529" s="24" t="n"/>
      <c r="N529" s="24" t="n"/>
      <c r="O529" s="24" t="n"/>
      <c r="P529" s="24" t="n"/>
      <c r="Q529" s="22">
        <f>IF($D529="","",IF(AND(OR(DANH_MUC!$L$5&lt;&gt;"Có",M529="Có"),OR(DANH_MUC!$L$6&lt;&gt;"Có",N529="Có"),OR(DANH_MUC!$L$7&lt;&gt;"Có",O529="Có"),OR(DANH_MUC!$L$8&lt;&gt;"Có",P529="Có")),"Có","Không"))</f>
        <v/>
      </c>
      <c r="R529" s="22">
        <f>IF($D529="","",IF(COUNTIF($D$2:$D529,$D529)&gt;1,"Trùng",""))</f>
        <v/>
      </c>
      <c r="S529" s="22">
        <f>IF($D529="","",IF(AND(LEN($D529)=10,LEFT($D529,1)="0",ISNUMBER(--$D529)),"Có","Không"))</f>
        <v/>
      </c>
      <c r="T529" s="22">
        <f>IF($D529="","",IF(AND($C529&lt;&gt;"",$Q529="Có",$R529="",$S529="Có",AND($L529&lt;&gt;"",OR($L529&lt;&gt;"Chưa xác định",DANH_MUC!$L$9="Có"))),"Có","Không"))</f>
        <v/>
      </c>
      <c r="U529" s="22">
        <f>IF(OR($D529="",$T529="Có"),"",IF($C529="","Thiếu họ tên; ","")&amp;IF($S529&lt;&gt;"Có","SĐT sai định dạng; ","")&amp;IF($R529="Trùng","Trùng SĐT; ","")&amp;IF($Q529&lt;&gt;"Có","Thiếu đồng ý bắt buộc; ","")&amp;IF($L529="","Thiếu/sai Mã REF; ",IF(AND($L529="Chưa xác định",DANH_MUC!$L$9&lt;&gt;"Có"),"Nguồn chưa xác định; ","")))</f>
        <v/>
      </c>
      <c r="V529" s="22">
        <f>IF(OR($D529="",$R529="Trùng"),"",IF(COUNTIF(ORDERS!$C$2:$C$4995,$D529)&gt;0,"Có","Không"))</f>
        <v/>
      </c>
      <c r="W529" s="22">
        <f>IF(OR($D529="",$R529="Trùng"),"",COUNTIFS(ORDERS!$C$2:$C$4995,$D529,ORDERS!$L$2:$L$4995,"Đã chuyển khoản"))</f>
        <v/>
      </c>
      <c r="X529" s="23">
        <f>IF(OR($D529="",$R529="Trùng"),"",SUMIFS(ORDERS!$J$2:$J$4995,ORDERS!$C$2:$C$4995,$D529,ORDERS!$L$2:$L$4995,"Đã chuyển khoản"))</f>
        <v/>
      </c>
      <c r="Y529" s="24" t="n"/>
    </row>
    <row r="530" ht="14.25" customHeight="1" s="40">
      <c r="A530" s="24" t="n"/>
      <c r="B530" s="27" t="n"/>
      <c r="C530" s="24" t="n"/>
      <c r="D530" s="28" t="n"/>
      <c r="E530" s="29" t="n"/>
      <c r="F530" s="24" t="n"/>
      <c r="G530" s="24" t="n"/>
      <c r="H530" s="21">
        <f>IF(ISNUMBER($B530),INT($B530)-WEEKDAY($B530,2)+1,"")</f>
        <v/>
      </c>
      <c r="I530" s="24" t="n"/>
      <c r="J530" s="22">
        <f t="array" ref="J530">IF($D530="","",IF($I530="","(trống REF)",IFERROR(INDEX(MASTER_SOURCE!$B$2:$B$495,MATCH($I530,MASTER_SOURCE!$A$2:$A$495,0)),"(REF không có trong MASTER_SOURCE)")))</f>
        <v/>
      </c>
      <c r="K530" s="22">
        <f t="array" ref="K530">IF($D530="","",IFERROR(INDEX(MASTER_SOURCE!$C$2:$C$495,MATCH($I530,MASTER_SOURCE!$A$2:$A$495,0)),""))</f>
        <v/>
      </c>
      <c r="L530" s="22">
        <f t="array" ref="L530">IF($D530="","",IFERROR(INDEX(MASTER_SOURCE!$D$2:$D$495,MATCH($I530,MASTER_SOURCE!$A$2:$A$495,0)),""))</f>
        <v/>
      </c>
      <c r="M530" s="24" t="n"/>
      <c r="N530" s="24" t="n"/>
      <c r="O530" s="24" t="n"/>
      <c r="P530" s="24" t="n"/>
      <c r="Q530" s="22">
        <f>IF($D530="","",IF(AND(OR(DANH_MUC!$L$5&lt;&gt;"Có",M530="Có"),OR(DANH_MUC!$L$6&lt;&gt;"Có",N530="Có"),OR(DANH_MUC!$L$7&lt;&gt;"Có",O530="Có"),OR(DANH_MUC!$L$8&lt;&gt;"Có",P530="Có")),"Có","Không"))</f>
        <v/>
      </c>
      <c r="R530" s="22">
        <f>IF($D530="","",IF(COUNTIF($D$2:$D530,$D530)&gt;1,"Trùng",""))</f>
        <v/>
      </c>
      <c r="S530" s="22">
        <f>IF($D530="","",IF(AND(LEN($D530)=10,LEFT($D530,1)="0",ISNUMBER(--$D530)),"Có","Không"))</f>
        <v/>
      </c>
      <c r="T530" s="22">
        <f>IF($D530="","",IF(AND($C530&lt;&gt;"",$Q530="Có",$R530="",$S530="Có",AND($L530&lt;&gt;"",OR($L530&lt;&gt;"Chưa xác định",DANH_MUC!$L$9="Có"))),"Có","Không"))</f>
        <v/>
      </c>
      <c r="U530" s="22">
        <f>IF(OR($D530="",$T530="Có"),"",IF($C530="","Thiếu họ tên; ","")&amp;IF($S530&lt;&gt;"Có","SĐT sai định dạng; ","")&amp;IF($R530="Trùng","Trùng SĐT; ","")&amp;IF($Q530&lt;&gt;"Có","Thiếu đồng ý bắt buộc; ","")&amp;IF($L530="","Thiếu/sai Mã REF; ",IF(AND($L530="Chưa xác định",DANH_MUC!$L$9&lt;&gt;"Có"),"Nguồn chưa xác định; ","")))</f>
        <v/>
      </c>
      <c r="V530" s="22">
        <f>IF(OR($D530="",$R530="Trùng"),"",IF(COUNTIF(ORDERS!$C$2:$C$4995,$D530)&gt;0,"Có","Không"))</f>
        <v/>
      </c>
      <c r="W530" s="22">
        <f>IF(OR($D530="",$R530="Trùng"),"",COUNTIFS(ORDERS!$C$2:$C$4995,$D530,ORDERS!$L$2:$L$4995,"Đã chuyển khoản"))</f>
        <v/>
      </c>
      <c r="X530" s="23">
        <f>IF(OR($D530="",$R530="Trùng"),"",SUMIFS(ORDERS!$J$2:$J$4995,ORDERS!$C$2:$C$4995,$D530,ORDERS!$L$2:$L$4995,"Đã chuyển khoản"))</f>
        <v/>
      </c>
      <c r="Y530" s="24" t="n"/>
    </row>
    <row r="531" ht="14.25" customHeight="1" s="40">
      <c r="A531" s="24" t="n"/>
      <c r="B531" s="27" t="n"/>
      <c r="C531" s="24" t="n"/>
      <c r="D531" s="28" t="n"/>
      <c r="E531" s="29" t="n"/>
      <c r="F531" s="24" t="n"/>
      <c r="G531" s="24" t="n"/>
      <c r="H531" s="21">
        <f>IF(ISNUMBER($B531),INT($B531)-WEEKDAY($B531,2)+1,"")</f>
        <v/>
      </c>
      <c r="I531" s="24" t="n"/>
      <c r="J531" s="22">
        <f t="array" ref="J531">IF($D531="","",IF($I531="","(trống REF)",IFERROR(INDEX(MASTER_SOURCE!$B$2:$B$495,MATCH($I531,MASTER_SOURCE!$A$2:$A$495,0)),"(REF không có trong MASTER_SOURCE)")))</f>
        <v/>
      </c>
      <c r="K531" s="22">
        <f t="array" ref="K531">IF($D531="","",IFERROR(INDEX(MASTER_SOURCE!$C$2:$C$495,MATCH($I531,MASTER_SOURCE!$A$2:$A$495,0)),""))</f>
        <v/>
      </c>
      <c r="L531" s="22">
        <f t="array" ref="L531">IF($D531="","",IFERROR(INDEX(MASTER_SOURCE!$D$2:$D$495,MATCH($I531,MASTER_SOURCE!$A$2:$A$495,0)),""))</f>
        <v/>
      </c>
      <c r="M531" s="24" t="n"/>
      <c r="N531" s="24" t="n"/>
      <c r="O531" s="24" t="n"/>
      <c r="P531" s="24" t="n"/>
      <c r="Q531" s="22">
        <f>IF($D531="","",IF(AND(OR(DANH_MUC!$L$5&lt;&gt;"Có",M531="Có"),OR(DANH_MUC!$L$6&lt;&gt;"Có",N531="Có"),OR(DANH_MUC!$L$7&lt;&gt;"Có",O531="Có"),OR(DANH_MUC!$L$8&lt;&gt;"Có",P531="Có")),"Có","Không"))</f>
        <v/>
      </c>
      <c r="R531" s="22">
        <f>IF($D531="","",IF(COUNTIF($D$2:$D531,$D531)&gt;1,"Trùng",""))</f>
        <v/>
      </c>
      <c r="S531" s="22">
        <f>IF($D531="","",IF(AND(LEN($D531)=10,LEFT($D531,1)="0",ISNUMBER(--$D531)),"Có","Không"))</f>
        <v/>
      </c>
      <c r="T531" s="22">
        <f>IF($D531="","",IF(AND($C531&lt;&gt;"",$Q531="Có",$R531="",$S531="Có",AND($L531&lt;&gt;"",OR($L531&lt;&gt;"Chưa xác định",DANH_MUC!$L$9="Có"))),"Có","Không"))</f>
        <v/>
      </c>
      <c r="U531" s="22">
        <f>IF(OR($D531="",$T531="Có"),"",IF($C531="","Thiếu họ tên; ","")&amp;IF($S531&lt;&gt;"Có","SĐT sai định dạng; ","")&amp;IF($R531="Trùng","Trùng SĐT; ","")&amp;IF($Q531&lt;&gt;"Có","Thiếu đồng ý bắt buộc; ","")&amp;IF($L531="","Thiếu/sai Mã REF; ",IF(AND($L531="Chưa xác định",DANH_MUC!$L$9&lt;&gt;"Có"),"Nguồn chưa xác định; ","")))</f>
        <v/>
      </c>
      <c r="V531" s="22">
        <f>IF(OR($D531="",$R531="Trùng"),"",IF(COUNTIF(ORDERS!$C$2:$C$4995,$D531)&gt;0,"Có","Không"))</f>
        <v/>
      </c>
      <c r="W531" s="22">
        <f>IF(OR($D531="",$R531="Trùng"),"",COUNTIFS(ORDERS!$C$2:$C$4995,$D531,ORDERS!$L$2:$L$4995,"Đã chuyển khoản"))</f>
        <v/>
      </c>
      <c r="X531" s="23">
        <f>IF(OR($D531="",$R531="Trùng"),"",SUMIFS(ORDERS!$J$2:$J$4995,ORDERS!$C$2:$C$4995,$D531,ORDERS!$L$2:$L$4995,"Đã chuyển khoản"))</f>
        <v/>
      </c>
      <c r="Y531" s="24" t="n"/>
    </row>
    <row r="532" ht="14.25" customHeight="1" s="40">
      <c r="A532" s="24" t="n"/>
      <c r="B532" s="27" t="n"/>
      <c r="C532" s="24" t="n"/>
      <c r="D532" s="28" t="n"/>
      <c r="E532" s="29" t="n"/>
      <c r="F532" s="24" t="n"/>
      <c r="G532" s="24" t="n"/>
      <c r="H532" s="21">
        <f>IF(ISNUMBER($B532),INT($B532)-WEEKDAY($B532,2)+1,"")</f>
        <v/>
      </c>
      <c r="I532" s="24" t="n"/>
      <c r="J532" s="22">
        <f t="array" ref="J532">IF($D532="","",IF($I532="","(trống REF)",IFERROR(INDEX(MASTER_SOURCE!$B$2:$B$495,MATCH($I532,MASTER_SOURCE!$A$2:$A$495,0)),"(REF không có trong MASTER_SOURCE)")))</f>
        <v/>
      </c>
      <c r="K532" s="22">
        <f t="array" ref="K532">IF($D532="","",IFERROR(INDEX(MASTER_SOURCE!$C$2:$C$495,MATCH($I532,MASTER_SOURCE!$A$2:$A$495,0)),""))</f>
        <v/>
      </c>
      <c r="L532" s="22">
        <f t="array" ref="L532">IF($D532="","",IFERROR(INDEX(MASTER_SOURCE!$D$2:$D$495,MATCH($I532,MASTER_SOURCE!$A$2:$A$495,0)),""))</f>
        <v/>
      </c>
      <c r="M532" s="24" t="n"/>
      <c r="N532" s="24" t="n"/>
      <c r="O532" s="24" t="n"/>
      <c r="P532" s="24" t="n"/>
      <c r="Q532" s="22">
        <f>IF($D532="","",IF(AND(OR(DANH_MUC!$L$5&lt;&gt;"Có",M532="Có"),OR(DANH_MUC!$L$6&lt;&gt;"Có",N532="Có"),OR(DANH_MUC!$L$7&lt;&gt;"Có",O532="Có"),OR(DANH_MUC!$L$8&lt;&gt;"Có",P532="Có")),"Có","Không"))</f>
        <v/>
      </c>
      <c r="R532" s="22">
        <f>IF($D532="","",IF(COUNTIF($D$2:$D532,$D532)&gt;1,"Trùng",""))</f>
        <v/>
      </c>
      <c r="S532" s="22">
        <f>IF($D532="","",IF(AND(LEN($D532)=10,LEFT($D532,1)="0",ISNUMBER(--$D532)),"Có","Không"))</f>
        <v/>
      </c>
      <c r="T532" s="22">
        <f>IF($D532="","",IF(AND($C532&lt;&gt;"",$Q532="Có",$R532="",$S532="Có",AND($L532&lt;&gt;"",OR($L532&lt;&gt;"Chưa xác định",DANH_MUC!$L$9="Có"))),"Có","Không"))</f>
        <v/>
      </c>
      <c r="U532" s="22">
        <f>IF(OR($D532="",$T532="Có"),"",IF($C532="","Thiếu họ tên; ","")&amp;IF($S532&lt;&gt;"Có","SĐT sai định dạng; ","")&amp;IF($R532="Trùng","Trùng SĐT; ","")&amp;IF($Q532&lt;&gt;"Có","Thiếu đồng ý bắt buộc; ","")&amp;IF($L532="","Thiếu/sai Mã REF; ",IF(AND($L532="Chưa xác định",DANH_MUC!$L$9&lt;&gt;"Có"),"Nguồn chưa xác định; ","")))</f>
        <v/>
      </c>
      <c r="V532" s="22">
        <f>IF(OR($D532="",$R532="Trùng"),"",IF(COUNTIF(ORDERS!$C$2:$C$4995,$D532)&gt;0,"Có","Không"))</f>
        <v/>
      </c>
      <c r="W532" s="22">
        <f>IF(OR($D532="",$R532="Trùng"),"",COUNTIFS(ORDERS!$C$2:$C$4995,$D532,ORDERS!$L$2:$L$4995,"Đã chuyển khoản"))</f>
        <v/>
      </c>
      <c r="X532" s="23">
        <f>IF(OR($D532="",$R532="Trùng"),"",SUMIFS(ORDERS!$J$2:$J$4995,ORDERS!$C$2:$C$4995,$D532,ORDERS!$L$2:$L$4995,"Đã chuyển khoản"))</f>
        <v/>
      </c>
      <c r="Y532" s="24" t="n"/>
    </row>
    <row r="533" ht="14.25" customHeight="1" s="40">
      <c r="A533" s="24" t="n"/>
      <c r="B533" s="27" t="n"/>
      <c r="C533" s="24" t="n"/>
      <c r="D533" s="28" t="n"/>
      <c r="E533" s="29" t="n"/>
      <c r="F533" s="24" t="n"/>
      <c r="G533" s="24" t="n"/>
      <c r="H533" s="21">
        <f>IF(ISNUMBER($B533),INT($B533)-WEEKDAY($B533,2)+1,"")</f>
        <v/>
      </c>
      <c r="I533" s="24" t="n"/>
      <c r="J533" s="22">
        <f t="array" ref="J533">IF($D533="","",IF($I533="","(trống REF)",IFERROR(INDEX(MASTER_SOURCE!$B$2:$B$495,MATCH($I533,MASTER_SOURCE!$A$2:$A$495,0)),"(REF không có trong MASTER_SOURCE)")))</f>
        <v/>
      </c>
      <c r="K533" s="22">
        <f t="array" ref="K533">IF($D533="","",IFERROR(INDEX(MASTER_SOURCE!$C$2:$C$495,MATCH($I533,MASTER_SOURCE!$A$2:$A$495,0)),""))</f>
        <v/>
      </c>
      <c r="L533" s="22">
        <f t="array" ref="L533">IF($D533="","",IFERROR(INDEX(MASTER_SOURCE!$D$2:$D$495,MATCH($I533,MASTER_SOURCE!$A$2:$A$495,0)),""))</f>
        <v/>
      </c>
      <c r="M533" s="24" t="n"/>
      <c r="N533" s="24" t="n"/>
      <c r="O533" s="24" t="n"/>
      <c r="P533" s="24" t="n"/>
      <c r="Q533" s="22">
        <f>IF($D533="","",IF(AND(OR(DANH_MUC!$L$5&lt;&gt;"Có",M533="Có"),OR(DANH_MUC!$L$6&lt;&gt;"Có",N533="Có"),OR(DANH_MUC!$L$7&lt;&gt;"Có",O533="Có"),OR(DANH_MUC!$L$8&lt;&gt;"Có",P533="Có")),"Có","Không"))</f>
        <v/>
      </c>
      <c r="R533" s="22">
        <f>IF($D533="","",IF(COUNTIF($D$2:$D533,$D533)&gt;1,"Trùng",""))</f>
        <v/>
      </c>
      <c r="S533" s="22">
        <f>IF($D533="","",IF(AND(LEN($D533)=10,LEFT($D533,1)="0",ISNUMBER(--$D533)),"Có","Không"))</f>
        <v/>
      </c>
      <c r="T533" s="22">
        <f>IF($D533="","",IF(AND($C533&lt;&gt;"",$Q533="Có",$R533="",$S533="Có",AND($L533&lt;&gt;"",OR($L533&lt;&gt;"Chưa xác định",DANH_MUC!$L$9="Có"))),"Có","Không"))</f>
        <v/>
      </c>
      <c r="U533" s="22">
        <f>IF(OR($D533="",$T533="Có"),"",IF($C533="","Thiếu họ tên; ","")&amp;IF($S533&lt;&gt;"Có","SĐT sai định dạng; ","")&amp;IF($R533="Trùng","Trùng SĐT; ","")&amp;IF($Q533&lt;&gt;"Có","Thiếu đồng ý bắt buộc; ","")&amp;IF($L533="","Thiếu/sai Mã REF; ",IF(AND($L533="Chưa xác định",DANH_MUC!$L$9&lt;&gt;"Có"),"Nguồn chưa xác định; ","")))</f>
        <v/>
      </c>
      <c r="V533" s="22">
        <f>IF(OR($D533="",$R533="Trùng"),"",IF(COUNTIF(ORDERS!$C$2:$C$4995,$D533)&gt;0,"Có","Không"))</f>
        <v/>
      </c>
      <c r="W533" s="22">
        <f>IF(OR($D533="",$R533="Trùng"),"",COUNTIFS(ORDERS!$C$2:$C$4995,$D533,ORDERS!$L$2:$L$4995,"Đã chuyển khoản"))</f>
        <v/>
      </c>
      <c r="X533" s="23">
        <f>IF(OR($D533="",$R533="Trùng"),"",SUMIFS(ORDERS!$J$2:$J$4995,ORDERS!$C$2:$C$4995,$D533,ORDERS!$L$2:$L$4995,"Đã chuyển khoản"))</f>
        <v/>
      </c>
      <c r="Y533" s="24" t="n"/>
    </row>
    <row r="534" ht="14.25" customHeight="1" s="40">
      <c r="A534" s="24" t="n"/>
      <c r="B534" s="27" t="n"/>
      <c r="C534" s="24" t="n"/>
      <c r="D534" s="28" t="n"/>
      <c r="E534" s="29" t="n"/>
      <c r="F534" s="24" t="n"/>
      <c r="G534" s="24" t="n"/>
      <c r="H534" s="21">
        <f>IF(ISNUMBER($B534),INT($B534)-WEEKDAY($B534,2)+1,"")</f>
        <v/>
      </c>
      <c r="I534" s="24" t="n"/>
      <c r="J534" s="22">
        <f t="array" ref="J534">IF($D534="","",IF($I534="","(trống REF)",IFERROR(INDEX(MASTER_SOURCE!$B$2:$B$495,MATCH($I534,MASTER_SOURCE!$A$2:$A$495,0)),"(REF không có trong MASTER_SOURCE)")))</f>
        <v/>
      </c>
      <c r="K534" s="22">
        <f t="array" ref="K534">IF($D534="","",IFERROR(INDEX(MASTER_SOURCE!$C$2:$C$495,MATCH($I534,MASTER_SOURCE!$A$2:$A$495,0)),""))</f>
        <v/>
      </c>
      <c r="L534" s="22">
        <f t="array" ref="L534">IF($D534="","",IFERROR(INDEX(MASTER_SOURCE!$D$2:$D$495,MATCH($I534,MASTER_SOURCE!$A$2:$A$495,0)),""))</f>
        <v/>
      </c>
      <c r="M534" s="24" t="n"/>
      <c r="N534" s="24" t="n"/>
      <c r="O534" s="24" t="n"/>
      <c r="P534" s="24" t="n"/>
      <c r="Q534" s="22">
        <f>IF($D534="","",IF(AND(OR(DANH_MUC!$L$5&lt;&gt;"Có",M534="Có"),OR(DANH_MUC!$L$6&lt;&gt;"Có",N534="Có"),OR(DANH_MUC!$L$7&lt;&gt;"Có",O534="Có"),OR(DANH_MUC!$L$8&lt;&gt;"Có",P534="Có")),"Có","Không"))</f>
        <v/>
      </c>
      <c r="R534" s="22">
        <f>IF($D534="","",IF(COUNTIF($D$2:$D534,$D534)&gt;1,"Trùng",""))</f>
        <v/>
      </c>
      <c r="S534" s="22">
        <f>IF($D534="","",IF(AND(LEN($D534)=10,LEFT($D534,1)="0",ISNUMBER(--$D534)),"Có","Không"))</f>
        <v/>
      </c>
      <c r="T534" s="22">
        <f>IF($D534="","",IF(AND($C534&lt;&gt;"",$Q534="Có",$R534="",$S534="Có",AND($L534&lt;&gt;"",OR($L534&lt;&gt;"Chưa xác định",DANH_MUC!$L$9="Có"))),"Có","Không"))</f>
        <v/>
      </c>
      <c r="U534" s="22">
        <f>IF(OR($D534="",$T534="Có"),"",IF($C534="","Thiếu họ tên; ","")&amp;IF($S534&lt;&gt;"Có","SĐT sai định dạng; ","")&amp;IF($R534="Trùng","Trùng SĐT; ","")&amp;IF($Q534&lt;&gt;"Có","Thiếu đồng ý bắt buộc; ","")&amp;IF($L534="","Thiếu/sai Mã REF; ",IF(AND($L534="Chưa xác định",DANH_MUC!$L$9&lt;&gt;"Có"),"Nguồn chưa xác định; ","")))</f>
        <v/>
      </c>
      <c r="V534" s="22">
        <f>IF(OR($D534="",$R534="Trùng"),"",IF(COUNTIF(ORDERS!$C$2:$C$4995,$D534)&gt;0,"Có","Không"))</f>
        <v/>
      </c>
      <c r="W534" s="22">
        <f>IF(OR($D534="",$R534="Trùng"),"",COUNTIFS(ORDERS!$C$2:$C$4995,$D534,ORDERS!$L$2:$L$4995,"Đã chuyển khoản"))</f>
        <v/>
      </c>
      <c r="X534" s="23">
        <f>IF(OR($D534="",$R534="Trùng"),"",SUMIFS(ORDERS!$J$2:$J$4995,ORDERS!$C$2:$C$4995,$D534,ORDERS!$L$2:$L$4995,"Đã chuyển khoản"))</f>
        <v/>
      </c>
      <c r="Y534" s="24" t="n"/>
    </row>
    <row r="535" ht="14.25" customHeight="1" s="40">
      <c r="A535" s="24" t="n"/>
      <c r="B535" s="27" t="n"/>
      <c r="C535" s="24" t="n"/>
      <c r="D535" s="28" t="n"/>
      <c r="E535" s="29" t="n"/>
      <c r="F535" s="24" t="n"/>
      <c r="G535" s="24" t="n"/>
      <c r="H535" s="21">
        <f>IF(ISNUMBER($B535),INT($B535)-WEEKDAY($B535,2)+1,"")</f>
        <v/>
      </c>
      <c r="I535" s="24" t="n"/>
      <c r="J535" s="22">
        <f t="array" ref="J535">IF($D535="","",IF($I535="","(trống REF)",IFERROR(INDEX(MASTER_SOURCE!$B$2:$B$495,MATCH($I535,MASTER_SOURCE!$A$2:$A$495,0)),"(REF không có trong MASTER_SOURCE)")))</f>
        <v/>
      </c>
      <c r="K535" s="22">
        <f t="array" ref="K535">IF($D535="","",IFERROR(INDEX(MASTER_SOURCE!$C$2:$C$495,MATCH($I535,MASTER_SOURCE!$A$2:$A$495,0)),""))</f>
        <v/>
      </c>
      <c r="L535" s="22">
        <f t="array" ref="L535">IF($D535="","",IFERROR(INDEX(MASTER_SOURCE!$D$2:$D$495,MATCH($I535,MASTER_SOURCE!$A$2:$A$495,0)),""))</f>
        <v/>
      </c>
      <c r="M535" s="24" t="n"/>
      <c r="N535" s="24" t="n"/>
      <c r="O535" s="24" t="n"/>
      <c r="P535" s="24" t="n"/>
      <c r="Q535" s="22">
        <f>IF($D535="","",IF(AND(OR(DANH_MUC!$L$5&lt;&gt;"Có",M535="Có"),OR(DANH_MUC!$L$6&lt;&gt;"Có",N535="Có"),OR(DANH_MUC!$L$7&lt;&gt;"Có",O535="Có"),OR(DANH_MUC!$L$8&lt;&gt;"Có",P535="Có")),"Có","Không"))</f>
        <v/>
      </c>
      <c r="R535" s="22">
        <f>IF($D535="","",IF(COUNTIF($D$2:$D535,$D535)&gt;1,"Trùng",""))</f>
        <v/>
      </c>
      <c r="S535" s="22">
        <f>IF($D535="","",IF(AND(LEN($D535)=10,LEFT($D535,1)="0",ISNUMBER(--$D535)),"Có","Không"))</f>
        <v/>
      </c>
      <c r="T535" s="22">
        <f>IF($D535="","",IF(AND($C535&lt;&gt;"",$Q535="Có",$R535="",$S535="Có",AND($L535&lt;&gt;"",OR($L535&lt;&gt;"Chưa xác định",DANH_MUC!$L$9="Có"))),"Có","Không"))</f>
        <v/>
      </c>
      <c r="U535" s="22">
        <f>IF(OR($D535="",$T535="Có"),"",IF($C535="","Thiếu họ tên; ","")&amp;IF($S535&lt;&gt;"Có","SĐT sai định dạng; ","")&amp;IF($R535="Trùng","Trùng SĐT; ","")&amp;IF($Q535&lt;&gt;"Có","Thiếu đồng ý bắt buộc; ","")&amp;IF($L535="","Thiếu/sai Mã REF; ",IF(AND($L535="Chưa xác định",DANH_MUC!$L$9&lt;&gt;"Có"),"Nguồn chưa xác định; ","")))</f>
        <v/>
      </c>
      <c r="V535" s="22">
        <f>IF(OR($D535="",$R535="Trùng"),"",IF(COUNTIF(ORDERS!$C$2:$C$4995,$D535)&gt;0,"Có","Không"))</f>
        <v/>
      </c>
      <c r="W535" s="22">
        <f>IF(OR($D535="",$R535="Trùng"),"",COUNTIFS(ORDERS!$C$2:$C$4995,$D535,ORDERS!$L$2:$L$4995,"Đã chuyển khoản"))</f>
        <v/>
      </c>
      <c r="X535" s="23">
        <f>IF(OR($D535="",$R535="Trùng"),"",SUMIFS(ORDERS!$J$2:$J$4995,ORDERS!$C$2:$C$4995,$D535,ORDERS!$L$2:$L$4995,"Đã chuyển khoản"))</f>
        <v/>
      </c>
      <c r="Y535" s="24" t="n"/>
    </row>
    <row r="536" ht="14.25" customHeight="1" s="40">
      <c r="A536" s="24" t="n"/>
      <c r="B536" s="27" t="n"/>
      <c r="C536" s="24" t="n"/>
      <c r="D536" s="28" t="n"/>
      <c r="E536" s="29" t="n"/>
      <c r="F536" s="24" t="n"/>
      <c r="G536" s="24" t="n"/>
      <c r="H536" s="21">
        <f>IF(ISNUMBER($B536),INT($B536)-WEEKDAY($B536,2)+1,"")</f>
        <v/>
      </c>
      <c r="I536" s="24" t="n"/>
      <c r="J536" s="22">
        <f t="array" ref="J536">IF($D536="","",IF($I536="","(trống REF)",IFERROR(INDEX(MASTER_SOURCE!$B$2:$B$495,MATCH($I536,MASTER_SOURCE!$A$2:$A$495,0)),"(REF không có trong MASTER_SOURCE)")))</f>
        <v/>
      </c>
      <c r="K536" s="22">
        <f t="array" ref="K536">IF($D536="","",IFERROR(INDEX(MASTER_SOURCE!$C$2:$C$495,MATCH($I536,MASTER_SOURCE!$A$2:$A$495,0)),""))</f>
        <v/>
      </c>
      <c r="L536" s="22">
        <f t="array" ref="L536">IF($D536="","",IFERROR(INDEX(MASTER_SOURCE!$D$2:$D$495,MATCH($I536,MASTER_SOURCE!$A$2:$A$495,0)),""))</f>
        <v/>
      </c>
      <c r="M536" s="24" t="n"/>
      <c r="N536" s="24" t="n"/>
      <c r="O536" s="24" t="n"/>
      <c r="P536" s="24" t="n"/>
      <c r="Q536" s="22">
        <f>IF($D536="","",IF(AND(OR(DANH_MUC!$L$5&lt;&gt;"Có",M536="Có"),OR(DANH_MUC!$L$6&lt;&gt;"Có",N536="Có"),OR(DANH_MUC!$L$7&lt;&gt;"Có",O536="Có"),OR(DANH_MUC!$L$8&lt;&gt;"Có",P536="Có")),"Có","Không"))</f>
        <v/>
      </c>
      <c r="R536" s="22">
        <f>IF($D536="","",IF(COUNTIF($D$2:$D536,$D536)&gt;1,"Trùng",""))</f>
        <v/>
      </c>
      <c r="S536" s="22">
        <f>IF($D536="","",IF(AND(LEN($D536)=10,LEFT($D536,1)="0",ISNUMBER(--$D536)),"Có","Không"))</f>
        <v/>
      </c>
      <c r="T536" s="22">
        <f>IF($D536="","",IF(AND($C536&lt;&gt;"",$Q536="Có",$R536="",$S536="Có",AND($L536&lt;&gt;"",OR($L536&lt;&gt;"Chưa xác định",DANH_MUC!$L$9="Có"))),"Có","Không"))</f>
        <v/>
      </c>
      <c r="U536" s="22">
        <f>IF(OR($D536="",$T536="Có"),"",IF($C536="","Thiếu họ tên; ","")&amp;IF($S536&lt;&gt;"Có","SĐT sai định dạng; ","")&amp;IF($R536="Trùng","Trùng SĐT; ","")&amp;IF($Q536&lt;&gt;"Có","Thiếu đồng ý bắt buộc; ","")&amp;IF($L536="","Thiếu/sai Mã REF; ",IF(AND($L536="Chưa xác định",DANH_MUC!$L$9&lt;&gt;"Có"),"Nguồn chưa xác định; ","")))</f>
        <v/>
      </c>
      <c r="V536" s="22">
        <f>IF(OR($D536="",$R536="Trùng"),"",IF(COUNTIF(ORDERS!$C$2:$C$4995,$D536)&gt;0,"Có","Không"))</f>
        <v/>
      </c>
      <c r="W536" s="22">
        <f>IF(OR($D536="",$R536="Trùng"),"",COUNTIFS(ORDERS!$C$2:$C$4995,$D536,ORDERS!$L$2:$L$4995,"Đã chuyển khoản"))</f>
        <v/>
      </c>
      <c r="X536" s="23">
        <f>IF(OR($D536="",$R536="Trùng"),"",SUMIFS(ORDERS!$J$2:$J$4995,ORDERS!$C$2:$C$4995,$D536,ORDERS!$L$2:$L$4995,"Đã chuyển khoản"))</f>
        <v/>
      </c>
      <c r="Y536" s="24" t="n"/>
    </row>
    <row r="537" ht="14.25" customHeight="1" s="40">
      <c r="A537" s="24" t="n"/>
      <c r="B537" s="27" t="n"/>
      <c r="C537" s="24" t="n"/>
      <c r="D537" s="28" t="n"/>
      <c r="E537" s="29" t="n"/>
      <c r="F537" s="24" t="n"/>
      <c r="G537" s="24" t="n"/>
      <c r="H537" s="21">
        <f>IF(ISNUMBER($B537),INT($B537)-WEEKDAY($B537,2)+1,"")</f>
        <v/>
      </c>
      <c r="I537" s="24" t="n"/>
      <c r="J537" s="22">
        <f t="array" ref="J537">IF($D537="","",IF($I537="","(trống REF)",IFERROR(INDEX(MASTER_SOURCE!$B$2:$B$495,MATCH($I537,MASTER_SOURCE!$A$2:$A$495,0)),"(REF không có trong MASTER_SOURCE)")))</f>
        <v/>
      </c>
      <c r="K537" s="22">
        <f t="array" ref="K537">IF($D537="","",IFERROR(INDEX(MASTER_SOURCE!$C$2:$C$495,MATCH($I537,MASTER_SOURCE!$A$2:$A$495,0)),""))</f>
        <v/>
      </c>
      <c r="L537" s="22">
        <f t="array" ref="L537">IF($D537="","",IFERROR(INDEX(MASTER_SOURCE!$D$2:$D$495,MATCH($I537,MASTER_SOURCE!$A$2:$A$495,0)),""))</f>
        <v/>
      </c>
      <c r="M537" s="24" t="n"/>
      <c r="N537" s="24" t="n"/>
      <c r="O537" s="24" t="n"/>
      <c r="P537" s="24" t="n"/>
      <c r="Q537" s="22">
        <f>IF($D537="","",IF(AND(OR(DANH_MUC!$L$5&lt;&gt;"Có",M537="Có"),OR(DANH_MUC!$L$6&lt;&gt;"Có",N537="Có"),OR(DANH_MUC!$L$7&lt;&gt;"Có",O537="Có"),OR(DANH_MUC!$L$8&lt;&gt;"Có",P537="Có")),"Có","Không"))</f>
        <v/>
      </c>
      <c r="R537" s="22">
        <f>IF($D537="","",IF(COUNTIF($D$2:$D537,$D537)&gt;1,"Trùng",""))</f>
        <v/>
      </c>
      <c r="S537" s="22">
        <f>IF($D537="","",IF(AND(LEN($D537)=10,LEFT($D537,1)="0",ISNUMBER(--$D537)),"Có","Không"))</f>
        <v/>
      </c>
      <c r="T537" s="22">
        <f>IF($D537="","",IF(AND($C537&lt;&gt;"",$Q537="Có",$R537="",$S537="Có",AND($L537&lt;&gt;"",OR($L537&lt;&gt;"Chưa xác định",DANH_MUC!$L$9="Có"))),"Có","Không"))</f>
        <v/>
      </c>
      <c r="U537" s="22">
        <f>IF(OR($D537="",$T537="Có"),"",IF($C537="","Thiếu họ tên; ","")&amp;IF($S537&lt;&gt;"Có","SĐT sai định dạng; ","")&amp;IF($R537="Trùng","Trùng SĐT; ","")&amp;IF($Q537&lt;&gt;"Có","Thiếu đồng ý bắt buộc; ","")&amp;IF($L537="","Thiếu/sai Mã REF; ",IF(AND($L537="Chưa xác định",DANH_MUC!$L$9&lt;&gt;"Có"),"Nguồn chưa xác định; ","")))</f>
        <v/>
      </c>
      <c r="V537" s="22">
        <f>IF(OR($D537="",$R537="Trùng"),"",IF(COUNTIF(ORDERS!$C$2:$C$4995,$D537)&gt;0,"Có","Không"))</f>
        <v/>
      </c>
      <c r="W537" s="22">
        <f>IF(OR($D537="",$R537="Trùng"),"",COUNTIFS(ORDERS!$C$2:$C$4995,$D537,ORDERS!$L$2:$L$4995,"Đã chuyển khoản"))</f>
        <v/>
      </c>
      <c r="X537" s="23">
        <f>IF(OR($D537="",$R537="Trùng"),"",SUMIFS(ORDERS!$J$2:$J$4995,ORDERS!$C$2:$C$4995,$D537,ORDERS!$L$2:$L$4995,"Đã chuyển khoản"))</f>
        <v/>
      </c>
      <c r="Y537" s="24" t="n"/>
    </row>
    <row r="538" ht="14.25" customHeight="1" s="40">
      <c r="A538" s="24" t="n"/>
      <c r="B538" s="27" t="n"/>
      <c r="C538" s="24" t="n"/>
      <c r="D538" s="28" t="n"/>
      <c r="E538" s="29" t="n"/>
      <c r="F538" s="24" t="n"/>
      <c r="G538" s="24" t="n"/>
      <c r="H538" s="21">
        <f>IF(ISNUMBER($B538),INT($B538)-WEEKDAY($B538,2)+1,"")</f>
        <v/>
      </c>
      <c r="I538" s="24" t="n"/>
      <c r="J538" s="22">
        <f t="array" ref="J538">IF($D538="","",IF($I538="","(trống REF)",IFERROR(INDEX(MASTER_SOURCE!$B$2:$B$495,MATCH($I538,MASTER_SOURCE!$A$2:$A$495,0)),"(REF không có trong MASTER_SOURCE)")))</f>
        <v/>
      </c>
      <c r="K538" s="22">
        <f t="array" ref="K538">IF($D538="","",IFERROR(INDEX(MASTER_SOURCE!$C$2:$C$495,MATCH($I538,MASTER_SOURCE!$A$2:$A$495,0)),""))</f>
        <v/>
      </c>
      <c r="L538" s="22">
        <f t="array" ref="L538">IF($D538="","",IFERROR(INDEX(MASTER_SOURCE!$D$2:$D$495,MATCH($I538,MASTER_SOURCE!$A$2:$A$495,0)),""))</f>
        <v/>
      </c>
      <c r="M538" s="24" t="n"/>
      <c r="N538" s="24" t="n"/>
      <c r="O538" s="24" t="n"/>
      <c r="P538" s="24" t="n"/>
      <c r="Q538" s="22">
        <f>IF($D538="","",IF(AND(OR(DANH_MUC!$L$5&lt;&gt;"Có",M538="Có"),OR(DANH_MUC!$L$6&lt;&gt;"Có",N538="Có"),OR(DANH_MUC!$L$7&lt;&gt;"Có",O538="Có"),OR(DANH_MUC!$L$8&lt;&gt;"Có",P538="Có")),"Có","Không"))</f>
        <v/>
      </c>
      <c r="R538" s="22">
        <f>IF($D538="","",IF(COUNTIF($D$2:$D538,$D538)&gt;1,"Trùng",""))</f>
        <v/>
      </c>
      <c r="S538" s="22">
        <f>IF($D538="","",IF(AND(LEN($D538)=10,LEFT($D538,1)="0",ISNUMBER(--$D538)),"Có","Không"))</f>
        <v/>
      </c>
      <c r="T538" s="22">
        <f>IF($D538="","",IF(AND($C538&lt;&gt;"",$Q538="Có",$R538="",$S538="Có",AND($L538&lt;&gt;"",OR($L538&lt;&gt;"Chưa xác định",DANH_MUC!$L$9="Có"))),"Có","Không"))</f>
        <v/>
      </c>
      <c r="U538" s="22">
        <f>IF(OR($D538="",$T538="Có"),"",IF($C538="","Thiếu họ tên; ","")&amp;IF($S538&lt;&gt;"Có","SĐT sai định dạng; ","")&amp;IF($R538="Trùng","Trùng SĐT; ","")&amp;IF($Q538&lt;&gt;"Có","Thiếu đồng ý bắt buộc; ","")&amp;IF($L538="","Thiếu/sai Mã REF; ",IF(AND($L538="Chưa xác định",DANH_MUC!$L$9&lt;&gt;"Có"),"Nguồn chưa xác định; ","")))</f>
        <v/>
      </c>
      <c r="V538" s="22">
        <f>IF(OR($D538="",$R538="Trùng"),"",IF(COUNTIF(ORDERS!$C$2:$C$4995,$D538)&gt;0,"Có","Không"))</f>
        <v/>
      </c>
      <c r="W538" s="22">
        <f>IF(OR($D538="",$R538="Trùng"),"",COUNTIFS(ORDERS!$C$2:$C$4995,$D538,ORDERS!$L$2:$L$4995,"Đã chuyển khoản"))</f>
        <v/>
      </c>
      <c r="X538" s="23">
        <f>IF(OR($D538="",$R538="Trùng"),"",SUMIFS(ORDERS!$J$2:$J$4995,ORDERS!$C$2:$C$4995,$D538,ORDERS!$L$2:$L$4995,"Đã chuyển khoản"))</f>
        <v/>
      </c>
      <c r="Y538" s="24" t="n"/>
    </row>
    <row r="539" ht="14.25" customHeight="1" s="40">
      <c r="A539" s="24" t="n"/>
      <c r="B539" s="27" t="n"/>
      <c r="C539" s="24" t="n"/>
      <c r="D539" s="28" t="n"/>
      <c r="E539" s="29" t="n"/>
      <c r="F539" s="24" t="n"/>
      <c r="G539" s="24" t="n"/>
      <c r="H539" s="21">
        <f>IF(ISNUMBER($B539),INT($B539)-WEEKDAY($B539,2)+1,"")</f>
        <v/>
      </c>
      <c r="I539" s="24" t="n"/>
      <c r="J539" s="22">
        <f t="array" ref="J539">IF($D539="","",IF($I539="","(trống REF)",IFERROR(INDEX(MASTER_SOURCE!$B$2:$B$495,MATCH($I539,MASTER_SOURCE!$A$2:$A$495,0)),"(REF không có trong MASTER_SOURCE)")))</f>
        <v/>
      </c>
      <c r="K539" s="22">
        <f t="array" ref="K539">IF($D539="","",IFERROR(INDEX(MASTER_SOURCE!$C$2:$C$495,MATCH($I539,MASTER_SOURCE!$A$2:$A$495,0)),""))</f>
        <v/>
      </c>
      <c r="L539" s="22">
        <f t="array" ref="L539">IF($D539="","",IFERROR(INDEX(MASTER_SOURCE!$D$2:$D$495,MATCH($I539,MASTER_SOURCE!$A$2:$A$495,0)),""))</f>
        <v/>
      </c>
      <c r="M539" s="24" t="n"/>
      <c r="N539" s="24" t="n"/>
      <c r="O539" s="24" t="n"/>
      <c r="P539" s="24" t="n"/>
      <c r="Q539" s="22">
        <f>IF($D539="","",IF(AND(OR(DANH_MUC!$L$5&lt;&gt;"Có",M539="Có"),OR(DANH_MUC!$L$6&lt;&gt;"Có",N539="Có"),OR(DANH_MUC!$L$7&lt;&gt;"Có",O539="Có"),OR(DANH_MUC!$L$8&lt;&gt;"Có",P539="Có")),"Có","Không"))</f>
        <v/>
      </c>
      <c r="R539" s="22">
        <f>IF($D539="","",IF(COUNTIF($D$2:$D539,$D539)&gt;1,"Trùng",""))</f>
        <v/>
      </c>
      <c r="S539" s="22">
        <f>IF($D539="","",IF(AND(LEN($D539)=10,LEFT($D539,1)="0",ISNUMBER(--$D539)),"Có","Không"))</f>
        <v/>
      </c>
      <c r="T539" s="22">
        <f>IF($D539="","",IF(AND($C539&lt;&gt;"",$Q539="Có",$R539="",$S539="Có",AND($L539&lt;&gt;"",OR($L539&lt;&gt;"Chưa xác định",DANH_MUC!$L$9="Có"))),"Có","Không"))</f>
        <v/>
      </c>
      <c r="U539" s="22">
        <f>IF(OR($D539="",$T539="Có"),"",IF($C539="","Thiếu họ tên; ","")&amp;IF($S539&lt;&gt;"Có","SĐT sai định dạng; ","")&amp;IF($R539="Trùng","Trùng SĐT; ","")&amp;IF($Q539&lt;&gt;"Có","Thiếu đồng ý bắt buộc; ","")&amp;IF($L539="","Thiếu/sai Mã REF; ",IF(AND($L539="Chưa xác định",DANH_MUC!$L$9&lt;&gt;"Có"),"Nguồn chưa xác định; ","")))</f>
        <v/>
      </c>
      <c r="V539" s="22">
        <f>IF(OR($D539="",$R539="Trùng"),"",IF(COUNTIF(ORDERS!$C$2:$C$4995,$D539)&gt;0,"Có","Không"))</f>
        <v/>
      </c>
      <c r="W539" s="22">
        <f>IF(OR($D539="",$R539="Trùng"),"",COUNTIFS(ORDERS!$C$2:$C$4995,$D539,ORDERS!$L$2:$L$4995,"Đã chuyển khoản"))</f>
        <v/>
      </c>
      <c r="X539" s="23">
        <f>IF(OR($D539="",$R539="Trùng"),"",SUMIFS(ORDERS!$J$2:$J$4995,ORDERS!$C$2:$C$4995,$D539,ORDERS!$L$2:$L$4995,"Đã chuyển khoản"))</f>
        <v/>
      </c>
      <c r="Y539" s="24" t="n"/>
    </row>
    <row r="540" ht="14.25" customHeight="1" s="40">
      <c r="A540" s="24" t="n"/>
      <c r="B540" s="27" t="n"/>
      <c r="C540" s="24" t="n"/>
      <c r="D540" s="28" t="n"/>
      <c r="E540" s="29" t="n"/>
      <c r="F540" s="24" t="n"/>
      <c r="G540" s="24" t="n"/>
      <c r="H540" s="21">
        <f>IF(ISNUMBER($B540),INT($B540)-WEEKDAY($B540,2)+1,"")</f>
        <v/>
      </c>
      <c r="I540" s="24" t="n"/>
      <c r="J540" s="22">
        <f t="array" ref="J540">IF($D540="","",IF($I540="","(trống REF)",IFERROR(INDEX(MASTER_SOURCE!$B$2:$B$495,MATCH($I540,MASTER_SOURCE!$A$2:$A$495,0)),"(REF không có trong MASTER_SOURCE)")))</f>
        <v/>
      </c>
      <c r="K540" s="22">
        <f t="array" ref="K540">IF($D540="","",IFERROR(INDEX(MASTER_SOURCE!$C$2:$C$495,MATCH($I540,MASTER_SOURCE!$A$2:$A$495,0)),""))</f>
        <v/>
      </c>
      <c r="L540" s="22">
        <f t="array" ref="L540">IF($D540="","",IFERROR(INDEX(MASTER_SOURCE!$D$2:$D$495,MATCH($I540,MASTER_SOURCE!$A$2:$A$495,0)),""))</f>
        <v/>
      </c>
      <c r="M540" s="24" t="n"/>
      <c r="N540" s="24" t="n"/>
      <c r="O540" s="24" t="n"/>
      <c r="P540" s="24" t="n"/>
      <c r="Q540" s="22">
        <f>IF($D540="","",IF(AND(OR(DANH_MUC!$L$5&lt;&gt;"Có",M540="Có"),OR(DANH_MUC!$L$6&lt;&gt;"Có",N540="Có"),OR(DANH_MUC!$L$7&lt;&gt;"Có",O540="Có"),OR(DANH_MUC!$L$8&lt;&gt;"Có",P540="Có")),"Có","Không"))</f>
        <v/>
      </c>
      <c r="R540" s="22">
        <f>IF($D540="","",IF(COUNTIF($D$2:$D540,$D540)&gt;1,"Trùng",""))</f>
        <v/>
      </c>
      <c r="S540" s="22">
        <f>IF($D540="","",IF(AND(LEN($D540)=10,LEFT($D540,1)="0",ISNUMBER(--$D540)),"Có","Không"))</f>
        <v/>
      </c>
      <c r="T540" s="22">
        <f>IF($D540="","",IF(AND($C540&lt;&gt;"",$Q540="Có",$R540="",$S540="Có",AND($L540&lt;&gt;"",OR($L540&lt;&gt;"Chưa xác định",DANH_MUC!$L$9="Có"))),"Có","Không"))</f>
        <v/>
      </c>
      <c r="U540" s="22">
        <f>IF(OR($D540="",$T540="Có"),"",IF($C540="","Thiếu họ tên; ","")&amp;IF($S540&lt;&gt;"Có","SĐT sai định dạng; ","")&amp;IF($R540="Trùng","Trùng SĐT; ","")&amp;IF($Q540&lt;&gt;"Có","Thiếu đồng ý bắt buộc; ","")&amp;IF($L540="","Thiếu/sai Mã REF; ",IF(AND($L540="Chưa xác định",DANH_MUC!$L$9&lt;&gt;"Có"),"Nguồn chưa xác định; ","")))</f>
        <v/>
      </c>
      <c r="V540" s="22">
        <f>IF(OR($D540="",$R540="Trùng"),"",IF(COUNTIF(ORDERS!$C$2:$C$4995,$D540)&gt;0,"Có","Không"))</f>
        <v/>
      </c>
      <c r="W540" s="22">
        <f>IF(OR($D540="",$R540="Trùng"),"",COUNTIFS(ORDERS!$C$2:$C$4995,$D540,ORDERS!$L$2:$L$4995,"Đã chuyển khoản"))</f>
        <v/>
      </c>
      <c r="X540" s="23">
        <f>IF(OR($D540="",$R540="Trùng"),"",SUMIFS(ORDERS!$J$2:$J$4995,ORDERS!$C$2:$C$4995,$D540,ORDERS!$L$2:$L$4995,"Đã chuyển khoản"))</f>
        <v/>
      </c>
      <c r="Y540" s="24" t="n"/>
    </row>
    <row r="541" ht="14.25" customHeight="1" s="40">
      <c r="A541" s="24" t="n"/>
      <c r="B541" s="27" t="n"/>
      <c r="C541" s="24" t="n"/>
      <c r="D541" s="28" t="n"/>
      <c r="E541" s="29" t="n"/>
      <c r="F541" s="24" t="n"/>
      <c r="G541" s="24" t="n"/>
      <c r="H541" s="21">
        <f>IF(ISNUMBER($B541),INT($B541)-WEEKDAY($B541,2)+1,"")</f>
        <v/>
      </c>
      <c r="I541" s="24" t="n"/>
      <c r="J541" s="22">
        <f t="array" ref="J541">IF($D541="","",IF($I541="","(trống REF)",IFERROR(INDEX(MASTER_SOURCE!$B$2:$B$495,MATCH($I541,MASTER_SOURCE!$A$2:$A$495,0)),"(REF không có trong MASTER_SOURCE)")))</f>
        <v/>
      </c>
      <c r="K541" s="22">
        <f t="array" ref="K541">IF($D541="","",IFERROR(INDEX(MASTER_SOURCE!$C$2:$C$495,MATCH($I541,MASTER_SOURCE!$A$2:$A$495,0)),""))</f>
        <v/>
      </c>
      <c r="L541" s="22">
        <f t="array" ref="L541">IF($D541="","",IFERROR(INDEX(MASTER_SOURCE!$D$2:$D$495,MATCH($I541,MASTER_SOURCE!$A$2:$A$495,0)),""))</f>
        <v/>
      </c>
      <c r="M541" s="24" t="n"/>
      <c r="N541" s="24" t="n"/>
      <c r="O541" s="24" t="n"/>
      <c r="P541" s="24" t="n"/>
      <c r="Q541" s="22">
        <f>IF($D541="","",IF(AND(OR(DANH_MUC!$L$5&lt;&gt;"Có",M541="Có"),OR(DANH_MUC!$L$6&lt;&gt;"Có",N541="Có"),OR(DANH_MUC!$L$7&lt;&gt;"Có",O541="Có"),OR(DANH_MUC!$L$8&lt;&gt;"Có",P541="Có")),"Có","Không"))</f>
        <v/>
      </c>
      <c r="R541" s="22">
        <f>IF($D541="","",IF(COUNTIF($D$2:$D541,$D541)&gt;1,"Trùng",""))</f>
        <v/>
      </c>
      <c r="S541" s="22">
        <f>IF($D541="","",IF(AND(LEN($D541)=10,LEFT($D541,1)="0",ISNUMBER(--$D541)),"Có","Không"))</f>
        <v/>
      </c>
      <c r="T541" s="22">
        <f>IF($D541="","",IF(AND($C541&lt;&gt;"",$Q541="Có",$R541="",$S541="Có",AND($L541&lt;&gt;"",OR($L541&lt;&gt;"Chưa xác định",DANH_MUC!$L$9="Có"))),"Có","Không"))</f>
        <v/>
      </c>
      <c r="U541" s="22">
        <f>IF(OR($D541="",$T541="Có"),"",IF($C541="","Thiếu họ tên; ","")&amp;IF($S541&lt;&gt;"Có","SĐT sai định dạng; ","")&amp;IF($R541="Trùng","Trùng SĐT; ","")&amp;IF($Q541&lt;&gt;"Có","Thiếu đồng ý bắt buộc; ","")&amp;IF($L541="","Thiếu/sai Mã REF; ",IF(AND($L541="Chưa xác định",DANH_MUC!$L$9&lt;&gt;"Có"),"Nguồn chưa xác định; ","")))</f>
        <v/>
      </c>
      <c r="V541" s="22">
        <f>IF(OR($D541="",$R541="Trùng"),"",IF(COUNTIF(ORDERS!$C$2:$C$4995,$D541)&gt;0,"Có","Không"))</f>
        <v/>
      </c>
      <c r="W541" s="22">
        <f>IF(OR($D541="",$R541="Trùng"),"",COUNTIFS(ORDERS!$C$2:$C$4995,$D541,ORDERS!$L$2:$L$4995,"Đã chuyển khoản"))</f>
        <v/>
      </c>
      <c r="X541" s="23">
        <f>IF(OR($D541="",$R541="Trùng"),"",SUMIFS(ORDERS!$J$2:$J$4995,ORDERS!$C$2:$C$4995,$D541,ORDERS!$L$2:$L$4995,"Đã chuyển khoản"))</f>
        <v/>
      </c>
      <c r="Y541" s="24" t="n"/>
    </row>
    <row r="542" ht="14.25" customHeight="1" s="40">
      <c r="A542" s="24" t="n"/>
      <c r="B542" s="27" t="n"/>
      <c r="C542" s="24" t="n"/>
      <c r="D542" s="28" t="n"/>
      <c r="E542" s="29" t="n"/>
      <c r="F542" s="24" t="n"/>
      <c r="G542" s="24" t="n"/>
      <c r="H542" s="21">
        <f>IF(ISNUMBER($B542),INT($B542)-WEEKDAY($B542,2)+1,"")</f>
        <v/>
      </c>
      <c r="I542" s="24" t="n"/>
      <c r="J542" s="22">
        <f t="array" ref="J542">IF($D542="","",IF($I542="","(trống REF)",IFERROR(INDEX(MASTER_SOURCE!$B$2:$B$495,MATCH($I542,MASTER_SOURCE!$A$2:$A$495,0)),"(REF không có trong MASTER_SOURCE)")))</f>
        <v/>
      </c>
      <c r="K542" s="22">
        <f t="array" ref="K542">IF($D542="","",IFERROR(INDEX(MASTER_SOURCE!$C$2:$C$495,MATCH($I542,MASTER_SOURCE!$A$2:$A$495,0)),""))</f>
        <v/>
      </c>
      <c r="L542" s="22">
        <f t="array" ref="L542">IF($D542="","",IFERROR(INDEX(MASTER_SOURCE!$D$2:$D$495,MATCH($I542,MASTER_SOURCE!$A$2:$A$495,0)),""))</f>
        <v/>
      </c>
      <c r="M542" s="24" t="n"/>
      <c r="N542" s="24" t="n"/>
      <c r="O542" s="24" t="n"/>
      <c r="P542" s="24" t="n"/>
      <c r="Q542" s="22">
        <f>IF($D542="","",IF(AND(OR(DANH_MUC!$L$5&lt;&gt;"Có",M542="Có"),OR(DANH_MUC!$L$6&lt;&gt;"Có",N542="Có"),OR(DANH_MUC!$L$7&lt;&gt;"Có",O542="Có"),OR(DANH_MUC!$L$8&lt;&gt;"Có",P542="Có")),"Có","Không"))</f>
        <v/>
      </c>
      <c r="R542" s="22">
        <f>IF($D542="","",IF(COUNTIF($D$2:$D542,$D542)&gt;1,"Trùng",""))</f>
        <v/>
      </c>
      <c r="S542" s="22">
        <f>IF($D542="","",IF(AND(LEN($D542)=10,LEFT($D542,1)="0",ISNUMBER(--$D542)),"Có","Không"))</f>
        <v/>
      </c>
      <c r="T542" s="22">
        <f>IF($D542="","",IF(AND($C542&lt;&gt;"",$Q542="Có",$R542="",$S542="Có",AND($L542&lt;&gt;"",OR($L542&lt;&gt;"Chưa xác định",DANH_MUC!$L$9="Có"))),"Có","Không"))</f>
        <v/>
      </c>
      <c r="U542" s="22">
        <f>IF(OR($D542="",$T542="Có"),"",IF($C542="","Thiếu họ tên; ","")&amp;IF($S542&lt;&gt;"Có","SĐT sai định dạng; ","")&amp;IF($R542="Trùng","Trùng SĐT; ","")&amp;IF($Q542&lt;&gt;"Có","Thiếu đồng ý bắt buộc; ","")&amp;IF($L542="","Thiếu/sai Mã REF; ",IF(AND($L542="Chưa xác định",DANH_MUC!$L$9&lt;&gt;"Có"),"Nguồn chưa xác định; ","")))</f>
        <v/>
      </c>
      <c r="V542" s="22">
        <f>IF(OR($D542="",$R542="Trùng"),"",IF(COUNTIF(ORDERS!$C$2:$C$4995,$D542)&gt;0,"Có","Không"))</f>
        <v/>
      </c>
      <c r="W542" s="22">
        <f>IF(OR($D542="",$R542="Trùng"),"",COUNTIFS(ORDERS!$C$2:$C$4995,$D542,ORDERS!$L$2:$L$4995,"Đã chuyển khoản"))</f>
        <v/>
      </c>
      <c r="X542" s="23">
        <f>IF(OR($D542="",$R542="Trùng"),"",SUMIFS(ORDERS!$J$2:$J$4995,ORDERS!$C$2:$C$4995,$D542,ORDERS!$L$2:$L$4995,"Đã chuyển khoản"))</f>
        <v/>
      </c>
      <c r="Y542" s="24" t="n"/>
    </row>
    <row r="543" ht="14.25" customHeight="1" s="40">
      <c r="A543" s="24" t="n"/>
      <c r="B543" s="27" t="n"/>
      <c r="C543" s="24" t="n"/>
      <c r="D543" s="28" t="n"/>
      <c r="E543" s="29" t="n"/>
      <c r="F543" s="24" t="n"/>
      <c r="G543" s="24" t="n"/>
      <c r="H543" s="21">
        <f>IF(ISNUMBER($B543),INT($B543)-WEEKDAY($B543,2)+1,"")</f>
        <v/>
      </c>
      <c r="I543" s="24" t="n"/>
      <c r="J543" s="22">
        <f t="array" ref="J543">IF($D543="","",IF($I543="","(trống REF)",IFERROR(INDEX(MASTER_SOURCE!$B$2:$B$495,MATCH($I543,MASTER_SOURCE!$A$2:$A$495,0)),"(REF không có trong MASTER_SOURCE)")))</f>
        <v/>
      </c>
      <c r="K543" s="22">
        <f t="array" ref="K543">IF($D543="","",IFERROR(INDEX(MASTER_SOURCE!$C$2:$C$495,MATCH($I543,MASTER_SOURCE!$A$2:$A$495,0)),""))</f>
        <v/>
      </c>
      <c r="L543" s="22">
        <f t="array" ref="L543">IF($D543="","",IFERROR(INDEX(MASTER_SOURCE!$D$2:$D$495,MATCH($I543,MASTER_SOURCE!$A$2:$A$495,0)),""))</f>
        <v/>
      </c>
      <c r="M543" s="24" t="n"/>
      <c r="N543" s="24" t="n"/>
      <c r="O543" s="24" t="n"/>
      <c r="P543" s="24" t="n"/>
      <c r="Q543" s="22">
        <f>IF($D543="","",IF(AND(OR(DANH_MUC!$L$5&lt;&gt;"Có",M543="Có"),OR(DANH_MUC!$L$6&lt;&gt;"Có",N543="Có"),OR(DANH_MUC!$L$7&lt;&gt;"Có",O543="Có"),OR(DANH_MUC!$L$8&lt;&gt;"Có",P543="Có")),"Có","Không"))</f>
        <v/>
      </c>
      <c r="R543" s="22">
        <f>IF($D543="","",IF(COUNTIF($D$2:$D543,$D543)&gt;1,"Trùng",""))</f>
        <v/>
      </c>
      <c r="S543" s="22">
        <f>IF($D543="","",IF(AND(LEN($D543)=10,LEFT($D543,1)="0",ISNUMBER(--$D543)),"Có","Không"))</f>
        <v/>
      </c>
      <c r="T543" s="22">
        <f>IF($D543="","",IF(AND($C543&lt;&gt;"",$Q543="Có",$R543="",$S543="Có",AND($L543&lt;&gt;"",OR($L543&lt;&gt;"Chưa xác định",DANH_MUC!$L$9="Có"))),"Có","Không"))</f>
        <v/>
      </c>
      <c r="U543" s="22">
        <f>IF(OR($D543="",$T543="Có"),"",IF($C543="","Thiếu họ tên; ","")&amp;IF($S543&lt;&gt;"Có","SĐT sai định dạng; ","")&amp;IF($R543="Trùng","Trùng SĐT; ","")&amp;IF($Q543&lt;&gt;"Có","Thiếu đồng ý bắt buộc; ","")&amp;IF($L543="","Thiếu/sai Mã REF; ",IF(AND($L543="Chưa xác định",DANH_MUC!$L$9&lt;&gt;"Có"),"Nguồn chưa xác định; ","")))</f>
        <v/>
      </c>
      <c r="V543" s="22">
        <f>IF(OR($D543="",$R543="Trùng"),"",IF(COUNTIF(ORDERS!$C$2:$C$4995,$D543)&gt;0,"Có","Không"))</f>
        <v/>
      </c>
      <c r="W543" s="22">
        <f>IF(OR($D543="",$R543="Trùng"),"",COUNTIFS(ORDERS!$C$2:$C$4995,$D543,ORDERS!$L$2:$L$4995,"Đã chuyển khoản"))</f>
        <v/>
      </c>
      <c r="X543" s="23">
        <f>IF(OR($D543="",$R543="Trùng"),"",SUMIFS(ORDERS!$J$2:$J$4995,ORDERS!$C$2:$C$4995,$D543,ORDERS!$L$2:$L$4995,"Đã chuyển khoản"))</f>
        <v/>
      </c>
      <c r="Y543" s="24" t="n"/>
    </row>
    <row r="544" ht="14.25" customHeight="1" s="40">
      <c r="A544" s="24" t="n"/>
      <c r="B544" s="27" t="n"/>
      <c r="C544" s="24" t="n"/>
      <c r="D544" s="28" t="n"/>
      <c r="E544" s="29" t="n"/>
      <c r="F544" s="24" t="n"/>
      <c r="G544" s="24" t="n"/>
      <c r="H544" s="21">
        <f>IF(ISNUMBER($B544),INT($B544)-WEEKDAY($B544,2)+1,"")</f>
        <v/>
      </c>
      <c r="I544" s="24" t="n"/>
      <c r="J544" s="22">
        <f t="array" ref="J544">IF($D544="","",IF($I544="","(trống REF)",IFERROR(INDEX(MASTER_SOURCE!$B$2:$B$495,MATCH($I544,MASTER_SOURCE!$A$2:$A$495,0)),"(REF không có trong MASTER_SOURCE)")))</f>
        <v/>
      </c>
      <c r="K544" s="22">
        <f t="array" ref="K544">IF($D544="","",IFERROR(INDEX(MASTER_SOURCE!$C$2:$C$495,MATCH($I544,MASTER_SOURCE!$A$2:$A$495,0)),""))</f>
        <v/>
      </c>
      <c r="L544" s="22">
        <f t="array" ref="L544">IF($D544="","",IFERROR(INDEX(MASTER_SOURCE!$D$2:$D$495,MATCH($I544,MASTER_SOURCE!$A$2:$A$495,0)),""))</f>
        <v/>
      </c>
      <c r="M544" s="24" t="n"/>
      <c r="N544" s="24" t="n"/>
      <c r="O544" s="24" t="n"/>
      <c r="P544" s="24" t="n"/>
      <c r="Q544" s="22">
        <f>IF($D544="","",IF(AND(OR(DANH_MUC!$L$5&lt;&gt;"Có",M544="Có"),OR(DANH_MUC!$L$6&lt;&gt;"Có",N544="Có"),OR(DANH_MUC!$L$7&lt;&gt;"Có",O544="Có"),OR(DANH_MUC!$L$8&lt;&gt;"Có",P544="Có")),"Có","Không"))</f>
        <v/>
      </c>
      <c r="R544" s="22">
        <f>IF($D544="","",IF(COUNTIF($D$2:$D544,$D544)&gt;1,"Trùng",""))</f>
        <v/>
      </c>
      <c r="S544" s="22">
        <f>IF($D544="","",IF(AND(LEN($D544)=10,LEFT($D544,1)="0",ISNUMBER(--$D544)),"Có","Không"))</f>
        <v/>
      </c>
      <c r="T544" s="22">
        <f>IF($D544="","",IF(AND($C544&lt;&gt;"",$Q544="Có",$R544="",$S544="Có",AND($L544&lt;&gt;"",OR($L544&lt;&gt;"Chưa xác định",DANH_MUC!$L$9="Có"))),"Có","Không"))</f>
        <v/>
      </c>
      <c r="U544" s="22">
        <f>IF(OR($D544="",$T544="Có"),"",IF($C544="","Thiếu họ tên; ","")&amp;IF($S544&lt;&gt;"Có","SĐT sai định dạng; ","")&amp;IF($R544="Trùng","Trùng SĐT; ","")&amp;IF($Q544&lt;&gt;"Có","Thiếu đồng ý bắt buộc; ","")&amp;IF($L544="","Thiếu/sai Mã REF; ",IF(AND($L544="Chưa xác định",DANH_MUC!$L$9&lt;&gt;"Có"),"Nguồn chưa xác định; ","")))</f>
        <v/>
      </c>
      <c r="V544" s="22">
        <f>IF(OR($D544="",$R544="Trùng"),"",IF(COUNTIF(ORDERS!$C$2:$C$4995,$D544)&gt;0,"Có","Không"))</f>
        <v/>
      </c>
      <c r="W544" s="22">
        <f>IF(OR($D544="",$R544="Trùng"),"",COUNTIFS(ORDERS!$C$2:$C$4995,$D544,ORDERS!$L$2:$L$4995,"Đã chuyển khoản"))</f>
        <v/>
      </c>
      <c r="X544" s="23">
        <f>IF(OR($D544="",$R544="Trùng"),"",SUMIFS(ORDERS!$J$2:$J$4995,ORDERS!$C$2:$C$4995,$D544,ORDERS!$L$2:$L$4995,"Đã chuyển khoản"))</f>
        <v/>
      </c>
      <c r="Y544" s="24" t="n"/>
    </row>
    <row r="545" ht="14.25" customHeight="1" s="40">
      <c r="A545" s="24" t="n"/>
      <c r="B545" s="27" t="n"/>
      <c r="C545" s="24" t="n"/>
      <c r="D545" s="28" t="n"/>
      <c r="E545" s="29" t="n"/>
      <c r="F545" s="24" t="n"/>
      <c r="G545" s="24" t="n"/>
      <c r="H545" s="21">
        <f>IF(ISNUMBER($B545),INT($B545)-WEEKDAY($B545,2)+1,"")</f>
        <v/>
      </c>
      <c r="I545" s="24" t="n"/>
      <c r="J545" s="22">
        <f t="array" ref="J545">IF($D545="","",IF($I545="","(trống REF)",IFERROR(INDEX(MASTER_SOURCE!$B$2:$B$495,MATCH($I545,MASTER_SOURCE!$A$2:$A$495,0)),"(REF không có trong MASTER_SOURCE)")))</f>
        <v/>
      </c>
      <c r="K545" s="22">
        <f t="array" ref="K545">IF($D545="","",IFERROR(INDEX(MASTER_SOURCE!$C$2:$C$495,MATCH($I545,MASTER_SOURCE!$A$2:$A$495,0)),""))</f>
        <v/>
      </c>
      <c r="L545" s="22">
        <f t="array" ref="L545">IF($D545="","",IFERROR(INDEX(MASTER_SOURCE!$D$2:$D$495,MATCH($I545,MASTER_SOURCE!$A$2:$A$495,0)),""))</f>
        <v/>
      </c>
      <c r="M545" s="24" t="n"/>
      <c r="N545" s="24" t="n"/>
      <c r="O545" s="24" t="n"/>
      <c r="P545" s="24" t="n"/>
      <c r="Q545" s="22">
        <f>IF($D545="","",IF(AND(OR(DANH_MUC!$L$5&lt;&gt;"Có",M545="Có"),OR(DANH_MUC!$L$6&lt;&gt;"Có",N545="Có"),OR(DANH_MUC!$L$7&lt;&gt;"Có",O545="Có"),OR(DANH_MUC!$L$8&lt;&gt;"Có",P545="Có")),"Có","Không"))</f>
        <v/>
      </c>
      <c r="R545" s="22">
        <f>IF($D545="","",IF(COUNTIF($D$2:$D545,$D545)&gt;1,"Trùng",""))</f>
        <v/>
      </c>
      <c r="S545" s="22">
        <f>IF($D545="","",IF(AND(LEN($D545)=10,LEFT($D545,1)="0",ISNUMBER(--$D545)),"Có","Không"))</f>
        <v/>
      </c>
      <c r="T545" s="22">
        <f>IF($D545="","",IF(AND($C545&lt;&gt;"",$Q545="Có",$R545="",$S545="Có",AND($L545&lt;&gt;"",OR($L545&lt;&gt;"Chưa xác định",DANH_MUC!$L$9="Có"))),"Có","Không"))</f>
        <v/>
      </c>
      <c r="U545" s="22">
        <f>IF(OR($D545="",$T545="Có"),"",IF($C545="","Thiếu họ tên; ","")&amp;IF($S545&lt;&gt;"Có","SĐT sai định dạng; ","")&amp;IF($R545="Trùng","Trùng SĐT; ","")&amp;IF($Q545&lt;&gt;"Có","Thiếu đồng ý bắt buộc; ","")&amp;IF($L545="","Thiếu/sai Mã REF; ",IF(AND($L545="Chưa xác định",DANH_MUC!$L$9&lt;&gt;"Có"),"Nguồn chưa xác định; ","")))</f>
        <v/>
      </c>
      <c r="V545" s="22">
        <f>IF(OR($D545="",$R545="Trùng"),"",IF(COUNTIF(ORDERS!$C$2:$C$4995,$D545)&gt;0,"Có","Không"))</f>
        <v/>
      </c>
      <c r="W545" s="22">
        <f>IF(OR($D545="",$R545="Trùng"),"",COUNTIFS(ORDERS!$C$2:$C$4995,$D545,ORDERS!$L$2:$L$4995,"Đã chuyển khoản"))</f>
        <v/>
      </c>
      <c r="X545" s="23">
        <f>IF(OR($D545="",$R545="Trùng"),"",SUMIFS(ORDERS!$J$2:$J$4995,ORDERS!$C$2:$C$4995,$D545,ORDERS!$L$2:$L$4995,"Đã chuyển khoản"))</f>
        <v/>
      </c>
      <c r="Y545" s="24" t="n"/>
    </row>
    <row r="546" ht="14.25" customHeight="1" s="40">
      <c r="A546" s="24" t="n"/>
      <c r="B546" s="27" t="n"/>
      <c r="C546" s="24" t="n"/>
      <c r="D546" s="28" t="n"/>
      <c r="E546" s="29" t="n"/>
      <c r="F546" s="24" t="n"/>
      <c r="G546" s="24" t="n"/>
      <c r="H546" s="21">
        <f>IF(ISNUMBER($B546),INT($B546)-WEEKDAY($B546,2)+1,"")</f>
        <v/>
      </c>
      <c r="I546" s="24" t="n"/>
      <c r="J546" s="22">
        <f t="array" ref="J546">IF($D546="","",IF($I546="","(trống REF)",IFERROR(INDEX(MASTER_SOURCE!$B$2:$B$495,MATCH($I546,MASTER_SOURCE!$A$2:$A$495,0)),"(REF không có trong MASTER_SOURCE)")))</f>
        <v/>
      </c>
      <c r="K546" s="22">
        <f t="array" ref="K546">IF($D546="","",IFERROR(INDEX(MASTER_SOURCE!$C$2:$C$495,MATCH($I546,MASTER_SOURCE!$A$2:$A$495,0)),""))</f>
        <v/>
      </c>
      <c r="L546" s="22">
        <f t="array" ref="L546">IF($D546="","",IFERROR(INDEX(MASTER_SOURCE!$D$2:$D$495,MATCH($I546,MASTER_SOURCE!$A$2:$A$495,0)),""))</f>
        <v/>
      </c>
      <c r="M546" s="24" t="n"/>
      <c r="N546" s="24" t="n"/>
      <c r="O546" s="24" t="n"/>
      <c r="P546" s="24" t="n"/>
      <c r="Q546" s="22">
        <f>IF($D546="","",IF(AND(OR(DANH_MUC!$L$5&lt;&gt;"Có",M546="Có"),OR(DANH_MUC!$L$6&lt;&gt;"Có",N546="Có"),OR(DANH_MUC!$L$7&lt;&gt;"Có",O546="Có"),OR(DANH_MUC!$L$8&lt;&gt;"Có",P546="Có")),"Có","Không"))</f>
        <v/>
      </c>
      <c r="R546" s="22">
        <f>IF($D546="","",IF(COUNTIF($D$2:$D546,$D546)&gt;1,"Trùng",""))</f>
        <v/>
      </c>
      <c r="S546" s="22">
        <f>IF($D546="","",IF(AND(LEN($D546)=10,LEFT($D546,1)="0",ISNUMBER(--$D546)),"Có","Không"))</f>
        <v/>
      </c>
      <c r="T546" s="22">
        <f>IF($D546="","",IF(AND($C546&lt;&gt;"",$Q546="Có",$R546="",$S546="Có",AND($L546&lt;&gt;"",OR($L546&lt;&gt;"Chưa xác định",DANH_MUC!$L$9="Có"))),"Có","Không"))</f>
        <v/>
      </c>
      <c r="U546" s="22">
        <f>IF(OR($D546="",$T546="Có"),"",IF($C546="","Thiếu họ tên; ","")&amp;IF($S546&lt;&gt;"Có","SĐT sai định dạng; ","")&amp;IF($R546="Trùng","Trùng SĐT; ","")&amp;IF($Q546&lt;&gt;"Có","Thiếu đồng ý bắt buộc; ","")&amp;IF($L546="","Thiếu/sai Mã REF; ",IF(AND($L546="Chưa xác định",DANH_MUC!$L$9&lt;&gt;"Có"),"Nguồn chưa xác định; ","")))</f>
        <v/>
      </c>
      <c r="V546" s="22">
        <f>IF(OR($D546="",$R546="Trùng"),"",IF(COUNTIF(ORDERS!$C$2:$C$4995,$D546)&gt;0,"Có","Không"))</f>
        <v/>
      </c>
      <c r="W546" s="22">
        <f>IF(OR($D546="",$R546="Trùng"),"",COUNTIFS(ORDERS!$C$2:$C$4995,$D546,ORDERS!$L$2:$L$4995,"Đã chuyển khoản"))</f>
        <v/>
      </c>
      <c r="X546" s="23">
        <f>IF(OR($D546="",$R546="Trùng"),"",SUMIFS(ORDERS!$J$2:$J$4995,ORDERS!$C$2:$C$4995,$D546,ORDERS!$L$2:$L$4995,"Đã chuyển khoản"))</f>
        <v/>
      </c>
      <c r="Y546" s="24" t="n"/>
    </row>
    <row r="547" ht="14.25" customHeight="1" s="40">
      <c r="A547" s="24" t="n"/>
      <c r="B547" s="27" t="n"/>
      <c r="C547" s="24" t="n"/>
      <c r="D547" s="28" t="n"/>
      <c r="E547" s="29" t="n"/>
      <c r="F547" s="24" t="n"/>
      <c r="G547" s="24" t="n"/>
      <c r="H547" s="21">
        <f>IF(ISNUMBER($B547),INT($B547)-WEEKDAY($B547,2)+1,"")</f>
        <v/>
      </c>
      <c r="I547" s="24" t="n"/>
      <c r="J547" s="22">
        <f t="array" ref="J547">IF($D547="","",IF($I547="","(trống REF)",IFERROR(INDEX(MASTER_SOURCE!$B$2:$B$495,MATCH($I547,MASTER_SOURCE!$A$2:$A$495,0)),"(REF không có trong MASTER_SOURCE)")))</f>
        <v/>
      </c>
      <c r="K547" s="22">
        <f t="array" ref="K547">IF($D547="","",IFERROR(INDEX(MASTER_SOURCE!$C$2:$C$495,MATCH($I547,MASTER_SOURCE!$A$2:$A$495,0)),""))</f>
        <v/>
      </c>
      <c r="L547" s="22">
        <f t="array" ref="L547">IF($D547="","",IFERROR(INDEX(MASTER_SOURCE!$D$2:$D$495,MATCH($I547,MASTER_SOURCE!$A$2:$A$495,0)),""))</f>
        <v/>
      </c>
      <c r="M547" s="24" t="n"/>
      <c r="N547" s="24" t="n"/>
      <c r="O547" s="24" t="n"/>
      <c r="P547" s="24" t="n"/>
      <c r="Q547" s="22">
        <f>IF($D547="","",IF(AND(OR(DANH_MUC!$L$5&lt;&gt;"Có",M547="Có"),OR(DANH_MUC!$L$6&lt;&gt;"Có",N547="Có"),OR(DANH_MUC!$L$7&lt;&gt;"Có",O547="Có"),OR(DANH_MUC!$L$8&lt;&gt;"Có",P547="Có")),"Có","Không"))</f>
        <v/>
      </c>
      <c r="R547" s="22">
        <f>IF($D547="","",IF(COUNTIF($D$2:$D547,$D547)&gt;1,"Trùng",""))</f>
        <v/>
      </c>
      <c r="S547" s="22">
        <f>IF($D547="","",IF(AND(LEN($D547)=10,LEFT($D547,1)="0",ISNUMBER(--$D547)),"Có","Không"))</f>
        <v/>
      </c>
      <c r="T547" s="22">
        <f>IF($D547="","",IF(AND($C547&lt;&gt;"",$Q547="Có",$R547="",$S547="Có",AND($L547&lt;&gt;"",OR($L547&lt;&gt;"Chưa xác định",DANH_MUC!$L$9="Có"))),"Có","Không"))</f>
        <v/>
      </c>
      <c r="U547" s="22">
        <f>IF(OR($D547="",$T547="Có"),"",IF($C547="","Thiếu họ tên; ","")&amp;IF($S547&lt;&gt;"Có","SĐT sai định dạng; ","")&amp;IF($R547="Trùng","Trùng SĐT; ","")&amp;IF($Q547&lt;&gt;"Có","Thiếu đồng ý bắt buộc; ","")&amp;IF($L547="","Thiếu/sai Mã REF; ",IF(AND($L547="Chưa xác định",DANH_MUC!$L$9&lt;&gt;"Có"),"Nguồn chưa xác định; ","")))</f>
        <v/>
      </c>
      <c r="V547" s="22">
        <f>IF(OR($D547="",$R547="Trùng"),"",IF(COUNTIF(ORDERS!$C$2:$C$4995,$D547)&gt;0,"Có","Không"))</f>
        <v/>
      </c>
      <c r="W547" s="22">
        <f>IF(OR($D547="",$R547="Trùng"),"",COUNTIFS(ORDERS!$C$2:$C$4995,$D547,ORDERS!$L$2:$L$4995,"Đã chuyển khoản"))</f>
        <v/>
      </c>
      <c r="X547" s="23">
        <f>IF(OR($D547="",$R547="Trùng"),"",SUMIFS(ORDERS!$J$2:$J$4995,ORDERS!$C$2:$C$4995,$D547,ORDERS!$L$2:$L$4995,"Đã chuyển khoản"))</f>
        <v/>
      </c>
      <c r="Y547" s="24" t="n"/>
    </row>
    <row r="548" ht="14.25" customHeight="1" s="40">
      <c r="A548" s="24" t="n"/>
      <c r="B548" s="27" t="n"/>
      <c r="C548" s="24" t="n"/>
      <c r="D548" s="28" t="n"/>
      <c r="E548" s="29" t="n"/>
      <c r="F548" s="24" t="n"/>
      <c r="G548" s="24" t="n"/>
      <c r="H548" s="21">
        <f>IF(ISNUMBER($B548),INT($B548)-WEEKDAY($B548,2)+1,"")</f>
        <v/>
      </c>
      <c r="I548" s="24" t="n"/>
      <c r="J548" s="22">
        <f t="array" ref="J548">IF($D548="","",IF($I548="","(trống REF)",IFERROR(INDEX(MASTER_SOURCE!$B$2:$B$495,MATCH($I548,MASTER_SOURCE!$A$2:$A$495,0)),"(REF không có trong MASTER_SOURCE)")))</f>
        <v/>
      </c>
      <c r="K548" s="22">
        <f t="array" ref="K548">IF($D548="","",IFERROR(INDEX(MASTER_SOURCE!$C$2:$C$495,MATCH($I548,MASTER_SOURCE!$A$2:$A$495,0)),""))</f>
        <v/>
      </c>
      <c r="L548" s="22">
        <f t="array" ref="L548">IF($D548="","",IFERROR(INDEX(MASTER_SOURCE!$D$2:$D$495,MATCH($I548,MASTER_SOURCE!$A$2:$A$495,0)),""))</f>
        <v/>
      </c>
      <c r="M548" s="24" t="n"/>
      <c r="N548" s="24" t="n"/>
      <c r="O548" s="24" t="n"/>
      <c r="P548" s="24" t="n"/>
      <c r="Q548" s="22">
        <f>IF($D548="","",IF(AND(OR(DANH_MUC!$L$5&lt;&gt;"Có",M548="Có"),OR(DANH_MUC!$L$6&lt;&gt;"Có",N548="Có"),OR(DANH_MUC!$L$7&lt;&gt;"Có",O548="Có"),OR(DANH_MUC!$L$8&lt;&gt;"Có",P548="Có")),"Có","Không"))</f>
        <v/>
      </c>
      <c r="R548" s="22">
        <f>IF($D548="","",IF(COUNTIF($D$2:$D548,$D548)&gt;1,"Trùng",""))</f>
        <v/>
      </c>
      <c r="S548" s="22">
        <f>IF($D548="","",IF(AND(LEN($D548)=10,LEFT($D548,1)="0",ISNUMBER(--$D548)),"Có","Không"))</f>
        <v/>
      </c>
      <c r="T548" s="22">
        <f>IF($D548="","",IF(AND($C548&lt;&gt;"",$Q548="Có",$R548="",$S548="Có",AND($L548&lt;&gt;"",OR($L548&lt;&gt;"Chưa xác định",DANH_MUC!$L$9="Có"))),"Có","Không"))</f>
        <v/>
      </c>
      <c r="U548" s="22">
        <f>IF(OR($D548="",$T548="Có"),"",IF($C548="","Thiếu họ tên; ","")&amp;IF($S548&lt;&gt;"Có","SĐT sai định dạng; ","")&amp;IF($R548="Trùng","Trùng SĐT; ","")&amp;IF($Q548&lt;&gt;"Có","Thiếu đồng ý bắt buộc; ","")&amp;IF($L548="","Thiếu/sai Mã REF; ",IF(AND($L548="Chưa xác định",DANH_MUC!$L$9&lt;&gt;"Có"),"Nguồn chưa xác định; ","")))</f>
        <v/>
      </c>
      <c r="V548" s="22">
        <f>IF(OR($D548="",$R548="Trùng"),"",IF(COUNTIF(ORDERS!$C$2:$C$4995,$D548)&gt;0,"Có","Không"))</f>
        <v/>
      </c>
      <c r="W548" s="22">
        <f>IF(OR($D548="",$R548="Trùng"),"",COUNTIFS(ORDERS!$C$2:$C$4995,$D548,ORDERS!$L$2:$L$4995,"Đã chuyển khoản"))</f>
        <v/>
      </c>
      <c r="X548" s="23">
        <f>IF(OR($D548="",$R548="Trùng"),"",SUMIFS(ORDERS!$J$2:$J$4995,ORDERS!$C$2:$C$4995,$D548,ORDERS!$L$2:$L$4995,"Đã chuyển khoản"))</f>
        <v/>
      </c>
      <c r="Y548" s="24" t="n"/>
    </row>
    <row r="549" ht="14.25" customHeight="1" s="40">
      <c r="A549" s="24" t="n"/>
      <c r="B549" s="27" t="n"/>
      <c r="C549" s="24" t="n"/>
      <c r="D549" s="28" t="n"/>
      <c r="E549" s="29" t="n"/>
      <c r="F549" s="24" t="n"/>
      <c r="G549" s="24" t="n"/>
      <c r="H549" s="21">
        <f>IF(ISNUMBER($B549),INT($B549)-WEEKDAY($B549,2)+1,"")</f>
        <v/>
      </c>
      <c r="I549" s="24" t="n"/>
      <c r="J549" s="22">
        <f t="array" ref="J549">IF($D549="","",IF($I549="","(trống REF)",IFERROR(INDEX(MASTER_SOURCE!$B$2:$B$495,MATCH($I549,MASTER_SOURCE!$A$2:$A$495,0)),"(REF không có trong MASTER_SOURCE)")))</f>
        <v/>
      </c>
      <c r="K549" s="22">
        <f t="array" ref="K549">IF($D549="","",IFERROR(INDEX(MASTER_SOURCE!$C$2:$C$495,MATCH($I549,MASTER_SOURCE!$A$2:$A$495,0)),""))</f>
        <v/>
      </c>
      <c r="L549" s="22">
        <f t="array" ref="L549">IF($D549="","",IFERROR(INDEX(MASTER_SOURCE!$D$2:$D$495,MATCH($I549,MASTER_SOURCE!$A$2:$A$495,0)),""))</f>
        <v/>
      </c>
      <c r="M549" s="24" t="n"/>
      <c r="N549" s="24" t="n"/>
      <c r="O549" s="24" t="n"/>
      <c r="P549" s="24" t="n"/>
      <c r="Q549" s="22">
        <f>IF($D549="","",IF(AND(OR(DANH_MUC!$L$5&lt;&gt;"Có",M549="Có"),OR(DANH_MUC!$L$6&lt;&gt;"Có",N549="Có"),OR(DANH_MUC!$L$7&lt;&gt;"Có",O549="Có"),OR(DANH_MUC!$L$8&lt;&gt;"Có",P549="Có")),"Có","Không"))</f>
        <v/>
      </c>
      <c r="R549" s="22">
        <f>IF($D549="","",IF(COUNTIF($D$2:$D549,$D549)&gt;1,"Trùng",""))</f>
        <v/>
      </c>
      <c r="S549" s="22">
        <f>IF($D549="","",IF(AND(LEN($D549)=10,LEFT($D549,1)="0",ISNUMBER(--$D549)),"Có","Không"))</f>
        <v/>
      </c>
      <c r="T549" s="22">
        <f>IF($D549="","",IF(AND($C549&lt;&gt;"",$Q549="Có",$R549="",$S549="Có",AND($L549&lt;&gt;"",OR($L549&lt;&gt;"Chưa xác định",DANH_MUC!$L$9="Có"))),"Có","Không"))</f>
        <v/>
      </c>
      <c r="U549" s="22">
        <f>IF(OR($D549="",$T549="Có"),"",IF($C549="","Thiếu họ tên; ","")&amp;IF($S549&lt;&gt;"Có","SĐT sai định dạng; ","")&amp;IF($R549="Trùng","Trùng SĐT; ","")&amp;IF($Q549&lt;&gt;"Có","Thiếu đồng ý bắt buộc; ","")&amp;IF($L549="","Thiếu/sai Mã REF; ",IF(AND($L549="Chưa xác định",DANH_MUC!$L$9&lt;&gt;"Có"),"Nguồn chưa xác định; ","")))</f>
        <v/>
      </c>
      <c r="V549" s="22">
        <f>IF(OR($D549="",$R549="Trùng"),"",IF(COUNTIF(ORDERS!$C$2:$C$4995,$D549)&gt;0,"Có","Không"))</f>
        <v/>
      </c>
      <c r="W549" s="22">
        <f>IF(OR($D549="",$R549="Trùng"),"",COUNTIFS(ORDERS!$C$2:$C$4995,$D549,ORDERS!$L$2:$L$4995,"Đã chuyển khoản"))</f>
        <v/>
      </c>
      <c r="X549" s="23">
        <f>IF(OR($D549="",$R549="Trùng"),"",SUMIFS(ORDERS!$J$2:$J$4995,ORDERS!$C$2:$C$4995,$D549,ORDERS!$L$2:$L$4995,"Đã chuyển khoản"))</f>
        <v/>
      </c>
      <c r="Y549" s="24" t="n"/>
    </row>
    <row r="550" ht="14.25" customHeight="1" s="40">
      <c r="A550" s="24" t="n"/>
      <c r="B550" s="27" t="n"/>
      <c r="C550" s="24" t="n"/>
      <c r="D550" s="28" t="n"/>
      <c r="E550" s="29" t="n"/>
      <c r="F550" s="24" t="n"/>
      <c r="G550" s="24" t="n"/>
      <c r="H550" s="21">
        <f>IF(ISNUMBER($B550),INT($B550)-WEEKDAY($B550,2)+1,"")</f>
        <v/>
      </c>
      <c r="I550" s="24" t="n"/>
      <c r="J550" s="22">
        <f t="array" ref="J550">IF($D550="","",IF($I550="","(trống REF)",IFERROR(INDEX(MASTER_SOURCE!$B$2:$B$495,MATCH($I550,MASTER_SOURCE!$A$2:$A$495,0)),"(REF không có trong MASTER_SOURCE)")))</f>
        <v/>
      </c>
      <c r="K550" s="22">
        <f t="array" ref="K550">IF($D550="","",IFERROR(INDEX(MASTER_SOURCE!$C$2:$C$495,MATCH($I550,MASTER_SOURCE!$A$2:$A$495,0)),""))</f>
        <v/>
      </c>
      <c r="L550" s="22">
        <f t="array" ref="L550">IF($D550="","",IFERROR(INDEX(MASTER_SOURCE!$D$2:$D$495,MATCH($I550,MASTER_SOURCE!$A$2:$A$495,0)),""))</f>
        <v/>
      </c>
      <c r="M550" s="24" t="n"/>
      <c r="N550" s="24" t="n"/>
      <c r="O550" s="24" t="n"/>
      <c r="P550" s="24" t="n"/>
      <c r="Q550" s="22">
        <f>IF($D550="","",IF(AND(OR(DANH_MUC!$L$5&lt;&gt;"Có",M550="Có"),OR(DANH_MUC!$L$6&lt;&gt;"Có",N550="Có"),OR(DANH_MUC!$L$7&lt;&gt;"Có",O550="Có"),OR(DANH_MUC!$L$8&lt;&gt;"Có",P550="Có")),"Có","Không"))</f>
        <v/>
      </c>
      <c r="R550" s="22">
        <f>IF($D550="","",IF(COUNTIF($D$2:$D550,$D550)&gt;1,"Trùng",""))</f>
        <v/>
      </c>
      <c r="S550" s="22">
        <f>IF($D550="","",IF(AND(LEN($D550)=10,LEFT($D550,1)="0",ISNUMBER(--$D550)),"Có","Không"))</f>
        <v/>
      </c>
      <c r="T550" s="22">
        <f>IF($D550="","",IF(AND($C550&lt;&gt;"",$Q550="Có",$R550="",$S550="Có",AND($L550&lt;&gt;"",OR($L550&lt;&gt;"Chưa xác định",DANH_MUC!$L$9="Có"))),"Có","Không"))</f>
        <v/>
      </c>
      <c r="U550" s="22">
        <f>IF(OR($D550="",$T550="Có"),"",IF($C550="","Thiếu họ tên; ","")&amp;IF($S550&lt;&gt;"Có","SĐT sai định dạng; ","")&amp;IF($R550="Trùng","Trùng SĐT; ","")&amp;IF($Q550&lt;&gt;"Có","Thiếu đồng ý bắt buộc; ","")&amp;IF($L550="","Thiếu/sai Mã REF; ",IF(AND($L550="Chưa xác định",DANH_MUC!$L$9&lt;&gt;"Có"),"Nguồn chưa xác định; ","")))</f>
        <v/>
      </c>
      <c r="V550" s="22">
        <f>IF(OR($D550="",$R550="Trùng"),"",IF(COUNTIF(ORDERS!$C$2:$C$4995,$D550)&gt;0,"Có","Không"))</f>
        <v/>
      </c>
      <c r="W550" s="22">
        <f>IF(OR($D550="",$R550="Trùng"),"",COUNTIFS(ORDERS!$C$2:$C$4995,$D550,ORDERS!$L$2:$L$4995,"Đã chuyển khoản"))</f>
        <v/>
      </c>
      <c r="X550" s="23">
        <f>IF(OR($D550="",$R550="Trùng"),"",SUMIFS(ORDERS!$J$2:$J$4995,ORDERS!$C$2:$C$4995,$D550,ORDERS!$L$2:$L$4995,"Đã chuyển khoản"))</f>
        <v/>
      </c>
      <c r="Y550" s="24" t="n"/>
    </row>
    <row r="551" ht="14.25" customHeight="1" s="40">
      <c r="A551" s="24" t="n"/>
      <c r="B551" s="27" t="n"/>
      <c r="C551" s="24" t="n"/>
      <c r="D551" s="28" t="n"/>
      <c r="E551" s="29" t="n"/>
      <c r="F551" s="24" t="n"/>
      <c r="G551" s="24" t="n"/>
      <c r="H551" s="21">
        <f>IF(ISNUMBER($B551),INT($B551)-WEEKDAY($B551,2)+1,"")</f>
        <v/>
      </c>
      <c r="I551" s="24" t="n"/>
      <c r="J551" s="22">
        <f t="array" ref="J551">IF($D551="","",IF($I551="","(trống REF)",IFERROR(INDEX(MASTER_SOURCE!$B$2:$B$495,MATCH($I551,MASTER_SOURCE!$A$2:$A$495,0)),"(REF không có trong MASTER_SOURCE)")))</f>
        <v/>
      </c>
      <c r="K551" s="22">
        <f t="array" ref="K551">IF($D551="","",IFERROR(INDEX(MASTER_SOURCE!$C$2:$C$495,MATCH($I551,MASTER_SOURCE!$A$2:$A$495,0)),""))</f>
        <v/>
      </c>
      <c r="L551" s="22">
        <f t="array" ref="L551">IF($D551="","",IFERROR(INDEX(MASTER_SOURCE!$D$2:$D$495,MATCH($I551,MASTER_SOURCE!$A$2:$A$495,0)),""))</f>
        <v/>
      </c>
      <c r="M551" s="24" t="n"/>
      <c r="N551" s="24" t="n"/>
      <c r="O551" s="24" t="n"/>
      <c r="P551" s="24" t="n"/>
      <c r="Q551" s="22">
        <f>IF($D551="","",IF(AND(OR(DANH_MUC!$L$5&lt;&gt;"Có",M551="Có"),OR(DANH_MUC!$L$6&lt;&gt;"Có",N551="Có"),OR(DANH_MUC!$L$7&lt;&gt;"Có",O551="Có"),OR(DANH_MUC!$L$8&lt;&gt;"Có",P551="Có")),"Có","Không"))</f>
        <v/>
      </c>
      <c r="R551" s="22">
        <f>IF($D551="","",IF(COUNTIF($D$2:$D551,$D551)&gt;1,"Trùng",""))</f>
        <v/>
      </c>
      <c r="S551" s="22">
        <f>IF($D551="","",IF(AND(LEN($D551)=10,LEFT($D551,1)="0",ISNUMBER(--$D551)),"Có","Không"))</f>
        <v/>
      </c>
      <c r="T551" s="22">
        <f>IF($D551="","",IF(AND($C551&lt;&gt;"",$Q551="Có",$R551="",$S551="Có",AND($L551&lt;&gt;"",OR($L551&lt;&gt;"Chưa xác định",DANH_MUC!$L$9="Có"))),"Có","Không"))</f>
        <v/>
      </c>
      <c r="U551" s="22">
        <f>IF(OR($D551="",$T551="Có"),"",IF($C551="","Thiếu họ tên; ","")&amp;IF($S551&lt;&gt;"Có","SĐT sai định dạng; ","")&amp;IF($R551="Trùng","Trùng SĐT; ","")&amp;IF($Q551&lt;&gt;"Có","Thiếu đồng ý bắt buộc; ","")&amp;IF($L551="","Thiếu/sai Mã REF; ",IF(AND($L551="Chưa xác định",DANH_MUC!$L$9&lt;&gt;"Có"),"Nguồn chưa xác định; ","")))</f>
        <v/>
      </c>
      <c r="V551" s="22">
        <f>IF(OR($D551="",$R551="Trùng"),"",IF(COUNTIF(ORDERS!$C$2:$C$4995,$D551)&gt;0,"Có","Không"))</f>
        <v/>
      </c>
      <c r="W551" s="22">
        <f>IF(OR($D551="",$R551="Trùng"),"",COUNTIFS(ORDERS!$C$2:$C$4995,$D551,ORDERS!$L$2:$L$4995,"Đã chuyển khoản"))</f>
        <v/>
      </c>
      <c r="X551" s="23">
        <f>IF(OR($D551="",$R551="Trùng"),"",SUMIFS(ORDERS!$J$2:$J$4995,ORDERS!$C$2:$C$4995,$D551,ORDERS!$L$2:$L$4995,"Đã chuyển khoản"))</f>
        <v/>
      </c>
      <c r="Y551" s="24" t="n"/>
    </row>
    <row r="552" ht="14.25" customHeight="1" s="40">
      <c r="A552" s="24" t="n"/>
      <c r="B552" s="27" t="n"/>
      <c r="C552" s="24" t="n"/>
      <c r="D552" s="28" t="n"/>
      <c r="E552" s="29" t="n"/>
      <c r="F552" s="24" t="n"/>
      <c r="G552" s="24" t="n"/>
      <c r="H552" s="21">
        <f>IF(ISNUMBER($B552),INT($B552)-WEEKDAY($B552,2)+1,"")</f>
        <v/>
      </c>
      <c r="I552" s="24" t="n"/>
      <c r="J552" s="22">
        <f t="array" ref="J552">IF($D552="","",IF($I552="","(trống REF)",IFERROR(INDEX(MASTER_SOURCE!$B$2:$B$495,MATCH($I552,MASTER_SOURCE!$A$2:$A$495,0)),"(REF không có trong MASTER_SOURCE)")))</f>
        <v/>
      </c>
      <c r="K552" s="22">
        <f t="array" ref="K552">IF($D552="","",IFERROR(INDEX(MASTER_SOURCE!$C$2:$C$495,MATCH($I552,MASTER_SOURCE!$A$2:$A$495,0)),""))</f>
        <v/>
      </c>
      <c r="L552" s="22">
        <f t="array" ref="L552">IF($D552="","",IFERROR(INDEX(MASTER_SOURCE!$D$2:$D$495,MATCH($I552,MASTER_SOURCE!$A$2:$A$495,0)),""))</f>
        <v/>
      </c>
      <c r="M552" s="24" t="n"/>
      <c r="N552" s="24" t="n"/>
      <c r="O552" s="24" t="n"/>
      <c r="P552" s="24" t="n"/>
      <c r="Q552" s="22">
        <f>IF($D552="","",IF(AND(OR(DANH_MUC!$L$5&lt;&gt;"Có",M552="Có"),OR(DANH_MUC!$L$6&lt;&gt;"Có",N552="Có"),OR(DANH_MUC!$L$7&lt;&gt;"Có",O552="Có"),OR(DANH_MUC!$L$8&lt;&gt;"Có",P552="Có")),"Có","Không"))</f>
        <v/>
      </c>
      <c r="R552" s="22">
        <f>IF($D552="","",IF(COUNTIF($D$2:$D552,$D552)&gt;1,"Trùng",""))</f>
        <v/>
      </c>
      <c r="S552" s="22">
        <f>IF($D552="","",IF(AND(LEN($D552)=10,LEFT($D552,1)="0",ISNUMBER(--$D552)),"Có","Không"))</f>
        <v/>
      </c>
      <c r="T552" s="22">
        <f>IF($D552="","",IF(AND($C552&lt;&gt;"",$Q552="Có",$R552="",$S552="Có",AND($L552&lt;&gt;"",OR($L552&lt;&gt;"Chưa xác định",DANH_MUC!$L$9="Có"))),"Có","Không"))</f>
        <v/>
      </c>
      <c r="U552" s="22">
        <f>IF(OR($D552="",$T552="Có"),"",IF($C552="","Thiếu họ tên; ","")&amp;IF($S552&lt;&gt;"Có","SĐT sai định dạng; ","")&amp;IF($R552="Trùng","Trùng SĐT; ","")&amp;IF($Q552&lt;&gt;"Có","Thiếu đồng ý bắt buộc; ","")&amp;IF($L552="","Thiếu/sai Mã REF; ",IF(AND($L552="Chưa xác định",DANH_MUC!$L$9&lt;&gt;"Có"),"Nguồn chưa xác định; ","")))</f>
        <v/>
      </c>
      <c r="V552" s="22">
        <f>IF(OR($D552="",$R552="Trùng"),"",IF(COUNTIF(ORDERS!$C$2:$C$4995,$D552)&gt;0,"Có","Không"))</f>
        <v/>
      </c>
      <c r="W552" s="22">
        <f>IF(OR($D552="",$R552="Trùng"),"",COUNTIFS(ORDERS!$C$2:$C$4995,$D552,ORDERS!$L$2:$L$4995,"Đã chuyển khoản"))</f>
        <v/>
      </c>
      <c r="X552" s="23">
        <f>IF(OR($D552="",$R552="Trùng"),"",SUMIFS(ORDERS!$J$2:$J$4995,ORDERS!$C$2:$C$4995,$D552,ORDERS!$L$2:$L$4995,"Đã chuyển khoản"))</f>
        <v/>
      </c>
      <c r="Y552" s="24" t="n"/>
    </row>
    <row r="553" ht="14.25" customHeight="1" s="40">
      <c r="A553" s="24" t="n"/>
      <c r="B553" s="27" t="n"/>
      <c r="C553" s="24" t="n"/>
      <c r="D553" s="28" t="n"/>
      <c r="E553" s="29" t="n"/>
      <c r="F553" s="24" t="n"/>
      <c r="G553" s="24" t="n"/>
      <c r="H553" s="21">
        <f>IF(ISNUMBER($B553),INT($B553)-WEEKDAY($B553,2)+1,"")</f>
        <v/>
      </c>
      <c r="I553" s="24" t="n"/>
      <c r="J553" s="22">
        <f t="array" ref="J553">IF($D553="","",IF($I553="","(trống REF)",IFERROR(INDEX(MASTER_SOURCE!$B$2:$B$495,MATCH($I553,MASTER_SOURCE!$A$2:$A$495,0)),"(REF không có trong MASTER_SOURCE)")))</f>
        <v/>
      </c>
      <c r="K553" s="22">
        <f t="array" ref="K553">IF($D553="","",IFERROR(INDEX(MASTER_SOURCE!$C$2:$C$495,MATCH($I553,MASTER_SOURCE!$A$2:$A$495,0)),""))</f>
        <v/>
      </c>
      <c r="L553" s="22">
        <f t="array" ref="L553">IF($D553="","",IFERROR(INDEX(MASTER_SOURCE!$D$2:$D$495,MATCH($I553,MASTER_SOURCE!$A$2:$A$495,0)),""))</f>
        <v/>
      </c>
      <c r="M553" s="24" t="n"/>
      <c r="N553" s="24" t="n"/>
      <c r="O553" s="24" t="n"/>
      <c r="P553" s="24" t="n"/>
      <c r="Q553" s="22">
        <f>IF($D553="","",IF(AND(OR(DANH_MUC!$L$5&lt;&gt;"Có",M553="Có"),OR(DANH_MUC!$L$6&lt;&gt;"Có",N553="Có"),OR(DANH_MUC!$L$7&lt;&gt;"Có",O553="Có"),OR(DANH_MUC!$L$8&lt;&gt;"Có",P553="Có")),"Có","Không"))</f>
        <v/>
      </c>
      <c r="R553" s="22">
        <f>IF($D553="","",IF(COUNTIF($D$2:$D553,$D553)&gt;1,"Trùng",""))</f>
        <v/>
      </c>
      <c r="S553" s="22">
        <f>IF($D553="","",IF(AND(LEN($D553)=10,LEFT($D553,1)="0",ISNUMBER(--$D553)),"Có","Không"))</f>
        <v/>
      </c>
      <c r="T553" s="22">
        <f>IF($D553="","",IF(AND($C553&lt;&gt;"",$Q553="Có",$R553="",$S553="Có",AND($L553&lt;&gt;"",OR($L553&lt;&gt;"Chưa xác định",DANH_MUC!$L$9="Có"))),"Có","Không"))</f>
        <v/>
      </c>
      <c r="U553" s="22">
        <f>IF(OR($D553="",$T553="Có"),"",IF($C553="","Thiếu họ tên; ","")&amp;IF($S553&lt;&gt;"Có","SĐT sai định dạng; ","")&amp;IF($R553="Trùng","Trùng SĐT; ","")&amp;IF($Q553&lt;&gt;"Có","Thiếu đồng ý bắt buộc; ","")&amp;IF($L553="","Thiếu/sai Mã REF; ",IF(AND($L553="Chưa xác định",DANH_MUC!$L$9&lt;&gt;"Có"),"Nguồn chưa xác định; ","")))</f>
        <v/>
      </c>
      <c r="V553" s="22">
        <f>IF(OR($D553="",$R553="Trùng"),"",IF(COUNTIF(ORDERS!$C$2:$C$4995,$D553)&gt;0,"Có","Không"))</f>
        <v/>
      </c>
      <c r="W553" s="22">
        <f>IF(OR($D553="",$R553="Trùng"),"",COUNTIFS(ORDERS!$C$2:$C$4995,$D553,ORDERS!$L$2:$L$4995,"Đã chuyển khoản"))</f>
        <v/>
      </c>
      <c r="X553" s="23">
        <f>IF(OR($D553="",$R553="Trùng"),"",SUMIFS(ORDERS!$J$2:$J$4995,ORDERS!$C$2:$C$4995,$D553,ORDERS!$L$2:$L$4995,"Đã chuyển khoản"))</f>
        <v/>
      </c>
      <c r="Y553" s="24" t="n"/>
    </row>
    <row r="554" ht="14.25" customHeight="1" s="40">
      <c r="A554" s="24" t="n"/>
      <c r="B554" s="27" t="n"/>
      <c r="C554" s="24" t="n"/>
      <c r="D554" s="28" t="n"/>
      <c r="E554" s="29" t="n"/>
      <c r="F554" s="24" t="n"/>
      <c r="G554" s="24" t="n"/>
      <c r="H554" s="21">
        <f>IF(ISNUMBER($B554),INT($B554)-WEEKDAY($B554,2)+1,"")</f>
        <v/>
      </c>
      <c r="I554" s="24" t="n"/>
      <c r="J554" s="22">
        <f t="array" ref="J554">IF($D554="","",IF($I554="","(trống REF)",IFERROR(INDEX(MASTER_SOURCE!$B$2:$B$495,MATCH($I554,MASTER_SOURCE!$A$2:$A$495,0)),"(REF không có trong MASTER_SOURCE)")))</f>
        <v/>
      </c>
      <c r="K554" s="22">
        <f t="array" ref="K554">IF($D554="","",IFERROR(INDEX(MASTER_SOURCE!$C$2:$C$495,MATCH($I554,MASTER_SOURCE!$A$2:$A$495,0)),""))</f>
        <v/>
      </c>
      <c r="L554" s="22">
        <f t="array" ref="L554">IF($D554="","",IFERROR(INDEX(MASTER_SOURCE!$D$2:$D$495,MATCH($I554,MASTER_SOURCE!$A$2:$A$495,0)),""))</f>
        <v/>
      </c>
      <c r="M554" s="24" t="n"/>
      <c r="N554" s="24" t="n"/>
      <c r="O554" s="24" t="n"/>
      <c r="P554" s="24" t="n"/>
      <c r="Q554" s="22">
        <f>IF($D554="","",IF(AND(OR(DANH_MUC!$L$5&lt;&gt;"Có",M554="Có"),OR(DANH_MUC!$L$6&lt;&gt;"Có",N554="Có"),OR(DANH_MUC!$L$7&lt;&gt;"Có",O554="Có"),OR(DANH_MUC!$L$8&lt;&gt;"Có",P554="Có")),"Có","Không"))</f>
        <v/>
      </c>
      <c r="R554" s="22">
        <f>IF($D554="","",IF(COUNTIF($D$2:$D554,$D554)&gt;1,"Trùng",""))</f>
        <v/>
      </c>
      <c r="S554" s="22">
        <f>IF($D554="","",IF(AND(LEN($D554)=10,LEFT($D554,1)="0",ISNUMBER(--$D554)),"Có","Không"))</f>
        <v/>
      </c>
      <c r="T554" s="22">
        <f>IF($D554="","",IF(AND($C554&lt;&gt;"",$Q554="Có",$R554="",$S554="Có",AND($L554&lt;&gt;"",OR($L554&lt;&gt;"Chưa xác định",DANH_MUC!$L$9="Có"))),"Có","Không"))</f>
        <v/>
      </c>
      <c r="U554" s="22">
        <f>IF(OR($D554="",$T554="Có"),"",IF($C554="","Thiếu họ tên; ","")&amp;IF($S554&lt;&gt;"Có","SĐT sai định dạng; ","")&amp;IF($R554="Trùng","Trùng SĐT; ","")&amp;IF($Q554&lt;&gt;"Có","Thiếu đồng ý bắt buộc; ","")&amp;IF($L554="","Thiếu/sai Mã REF; ",IF(AND($L554="Chưa xác định",DANH_MUC!$L$9&lt;&gt;"Có"),"Nguồn chưa xác định; ","")))</f>
        <v/>
      </c>
      <c r="V554" s="22">
        <f>IF(OR($D554="",$R554="Trùng"),"",IF(COUNTIF(ORDERS!$C$2:$C$4995,$D554)&gt;0,"Có","Không"))</f>
        <v/>
      </c>
      <c r="W554" s="22">
        <f>IF(OR($D554="",$R554="Trùng"),"",COUNTIFS(ORDERS!$C$2:$C$4995,$D554,ORDERS!$L$2:$L$4995,"Đã chuyển khoản"))</f>
        <v/>
      </c>
      <c r="X554" s="23">
        <f>IF(OR($D554="",$R554="Trùng"),"",SUMIFS(ORDERS!$J$2:$J$4995,ORDERS!$C$2:$C$4995,$D554,ORDERS!$L$2:$L$4995,"Đã chuyển khoản"))</f>
        <v/>
      </c>
      <c r="Y554" s="24" t="n"/>
    </row>
    <row r="555" ht="14.25" customHeight="1" s="40">
      <c r="A555" s="24" t="n"/>
      <c r="B555" s="27" t="n"/>
      <c r="C555" s="24" t="n"/>
      <c r="D555" s="28" t="n"/>
      <c r="E555" s="29" t="n"/>
      <c r="F555" s="24" t="n"/>
      <c r="G555" s="24" t="n"/>
      <c r="H555" s="21">
        <f>IF(ISNUMBER($B555),INT($B555)-WEEKDAY($B555,2)+1,"")</f>
        <v/>
      </c>
      <c r="I555" s="24" t="n"/>
      <c r="J555" s="22">
        <f t="array" ref="J555">IF($D555="","",IF($I555="","(trống REF)",IFERROR(INDEX(MASTER_SOURCE!$B$2:$B$495,MATCH($I555,MASTER_SOURCE!$A$2:$A$495,0)),"(REF không có trong MASTER_SOURCE)")))</f>
        <v/>
      </c>
      <c r="K555" s="22">
        <f t="array" ref="K555">IF($D555="","",IFERROR(INDEX(MASTER_SOURCE!$C$2:$C$495,MATCH($I555,MASTER_SOURCE!$A$2:$A$495,0)),""))</f>
        <v/>
      </c>
      <c r="L555" s="22">
        <f t="array" ref="L555">IF($D555="","",IFERROR(INDEX(MASTER_SOURCE!$D$2:$D$495,MATCH($I555,MASTER_SOURCE!$A$2:$A$495,0)),""))</f>
        <v/>
      </c>
      <c r="M555" s="24" t="n"/>
      <c r="N555" s="24" t="n"/>
      <c r="O555" s="24" t="n"/>
      <c r="P555" s="24" t="n"/>
      <c r="Q555" s="22">
        <f>IF($D555="","",IF(AND(OR(DANH_MUC!$L$5&lt;&gt;"Có",M555="Có"),OR(DANH_MUC!$L$6&lt;&gt;"Có",N555="Có"),OR(DANH_MUC!$L$7&lt;&gt;"Có",O555="Có"),OR(DANH_MUC!$L$8&lt;&gt;"Có",P555="Có")),"Có","Không"))</f>
        <v/>
      </c>
      <c r="R555" s="22">
        <f>IF($D555="","",IF(COUNTIF($D$2:$D555,$D555)&gt;1,"Trùng",""))</f>
        <v/>
      </c>
      <c r="S555" s="22">
        <f>IF($D555="","",IF(AND(LEN($D555)=10,LEFT($D555,1)="0",ISNUMBER(--$D555)),"Có","Không"))</f>
        <v/>
      </c>
      <c r="T555" s="22">
        <f>IF($D555="","",IF(AND($C555&lt;&gt;"",$Q555="Có",$R555="",$S555="Có",AND($L555&lt;&gt;"",OR($L555&lt;&gt;"Chưa xác định",DANH_MUC!$L$9="Có"))),"Có","Không"))</f>
        <v/>
      </c>
      <c r="U555" s="22">
        <f>IF(OR($D555="",$T555="Có"),"",IF($C555="","Thiếu họ tên; ","")&amp;IF($S555&lt;&gt;"Có","SĐT sai định dạng; ","")&amp;IF($R555="Trùng","Trùng SĐT; ","")&amp;IF($Q555&lt;&gt;"Có","Thiếu đồng ý bắt buộc; ","")&amp;IF($L555="","Thiếu/sai Mã REF; ",IF(AND($L555="Chưa xác định",DANH_MUC!$L$9&lt;&gt;"Có"),"Nguồn chưa xác định; ","")))</f>
        <v/>
      </c>
      <c r="V555" s="22">
        <f>IF(OR($D555="",$R555="Trùng"),"",IF(COUNTIF(ORDERS!$C$2:$C$4995,$D555)&gt;0,"Có","Không"))</f>
        <v/>
      </c>
      <c r="W555" s="22">
        <f>IF(OR($D555="",$R555="Trùng"),"",COUNTIFS(ORDERS!$C$2:$C$4995,$D555,ORDERS!$L$2:$L$4995,"Đã chuyển khoản"))</f>
        <v/>
      </c>
      <c r="X555" s="23">
        <f>IF(OR($D555="",$R555="Trùng"),"",SUMIFS(ORDERS!$J$2:$J$4995,ORDERS!$C$2:$C$4995,$D555,ORDERS!$L$2:$L$4995,"Đã chuyển khoản"))</f>
        <v/>
      </c>
      <c r="Y555" s="24" t="n"/>
    </row>
    <row r="556" ht="14.25" customHeight="1" s="40">
      <c r="A556" s="24" t="n"/>
      <c r="B556" s="27" t="n"/>
      <c r="C556" s="24" t="n"/>
      <c r="D556" s="28" t="n"/>
      <c r="E556" s="29" t="n"/>
      <c r="F556" s="24" t="n"/>
      <c r="G556" s="24" t="n"/>
      <c r="H556" s="21">
        <f>IF(ISNUMBER($B556),INT($B556)-WEEKDAY($B556,2)+1,"")</f>
        <v/>
      </c>
      <c r="I556" s="24" t="n"/>
      <c r="J556" s="22">
        <f t="array" ref="J556">IF($D556="","",IF($I556="","(trống REF)",IFERROR(INDEX(MASTER_SOURCE!$B$2:$B$495,MATCH($I556,MASTER_SOURCE!$A$2:$A$495,0)),"(REF không có trong MASTER_SOURCE)")))</f>
        <v/>
      </c>
      <c r="K556" s="22">
        <f t="array" ref="K556">IF($D556="","",IFERROR(INDEX(MASTER_SOURCE!$C$2:$C$495,MATCH($I556,MASTER_SOURCE!$A$2:$A$495,0)),""))</f>
        <v/>
      </c>
      <c r="L556" s="22">
        <f t="array" ref="L556">IF($D556="","",IFERROR(INDEX(MASTER_SOURCE!$D$2:$D$495,MATCH($I556,MASTER_SOURCE!$A$2:$A$495,0)),""))</f>
        <v/>
      </c>
      <c r="M556" s="24" t="n"/>
      <c r="N556" s="24" t="n"/>
      <c r="O556" s="24" t="n"/>
      <c r="P556" s="24" t="n"/>
      <c r="Q556" s="22">
        <f>IF($D556="","",IF(AND(OR(DANH_MUC!$L$5&lt;&gt;"Có",M556="Có"),OR(DANH_MUC!$L$6&lt;&gt;"Có",N556="Có"),OR(DANH_MUC!$L$7&lt;&gt;"Có",O556="Có"),OR(DANH_MUC!$L$8&lt;&gt;"Có",P556="Có")),"Có","Không"))</f>
        <v/>
      </c>
      <c r="R556" s="22">
        <f>IF($D556="","",IF(COUNTIF($D$2:$D556,$D556)&gt;1,"Trùng",""))</f>
        <v/>
      </c>
      <c r="S556" s="22">
        <f>IF($D556="","",IF(AND(LEN($D556)=10,LEFT($D556,1)="0",ISNUMBER(--$D556)),"Có","Không"))</f>
        <v/>
      </c>
      <c r="T556" s="22">
        <f>IF($D556="","",IF(AND($C556&lt;&gt;"",$Q556="Có",$R556="",$S556="Có",AND($L556&lt;&gt;"",OR($L556&lt;&gt;"Chưa xác định",DANH_MUC!$L$9="Có"))),"Có","Không"))</f>
        <v/>
      </c>
      <c r="U556" s="22">
        <f>IF(OR($D556="",$T556="Có"),"",IF($C556="","Thiếu họ tên; ","")&amp;IF($S556&lt;&gt;"Có","SĐT sai định dạng; ","")&amp;IF($R556="Trùng","Trùng SĐT; ","")&amp;IF($Q556&lt;&gt;"Có","Thiếu đồng ý bắt buộc; ","")&amp;IF($L556="","Thiếu/sai Mã REF; ",IF(AND($L556="Chưa xác định",DANH_MUC!$L$9&lt;&gt;"Có"),"Nguồn chưa xác định; ","")))</f>
        <v/>
      </c>
      <c r="V556" s="22">
        <f>IF(OR($D556="",$R556="Trùng"),"",IF(COUNTIF(ORDERS!$C$2:$C$4995,$D556)&gt;0,"Có","Không"))</f>
        <v/>
      </c>
      <c r="W556" s="22">
        <f>IF(OR($D556="",$R556="Trùng"),"",COUNTIFS(ORDERS!$C$2:$C$4995,$D556,ORDERS!$L$2:$L$4995,"Đã chuyển khoản"))</f>
        <v/>
      </c>
      <c r="X556" s="23">
        <f>IF(OR($D556="",$R556="Trùng"),"",SUMIFS(ORDERS!$J$2:$J$4995,ORDERS!$C$2:$C$4995,$D556,ORDERS!$L$2:$L$4995,"Đã chuyển khoản"))</f>
        <v/>
      </c>
      <c r="Y556" s="24" t="n"/>
    </row>
    <row r="557" ht="14.25" customHeight="1" s="40">
      <c r="A557" s="24" t="n"/>
      <c r="B557" s="27" t="n"/>
      <c r="C557" s="24" t="n"/>
      <c r="D557" s="28" t="n"/>
      <c r="E557" s="29" t="n"/>
      <c r="F557" s="24" t="n"/>
      <c r="G557" s="24" t="n"/>
      <c r="H557" s="21">
        <f>IF(ISNUMBER($B557),INT($B557)-WEEKDAY($B557,2)+1,"")</f>
        <v/>
      </c>
      <c r="I557" s="24" t="n"/>
      <c r="J557" s="22">
        <f t="array" ref="J557">IF($D557="","",IF($I557="","(trống REF)",IFERROR(INDEX(MASTER_SOURCE!$B$2:$B$495,MATCH($I557,MASTER_SOURCE!$A$2:$A$495,0)),"(REF không có trong MASTER_SOURCE)")))</f>
        <v/>
      </c>
      <c r="K557" s="22">
        <f t="array" ref="K557">IF($D557="","",IFERROR(INDEX(MASTER_SOURCE!$C$2:$C$495,MATCH($I557,MASTER_SOURCE!$A$2:$A$495,0)),""))</f>
        <v/>
      </c>
      <c r="L557" s="22">
        <f t="array" ref="L557">IF($D557="","",IFERROR(INDEX(MASTER_SOURCE!$D$2:$D$495,MATCH($I557,MASTER_SOURCE!$A$2:$A$495,0)),""))</f>
        <v/>
      </c>
      <c r="M557" s="24" t="n"/>
      <c r="N557" s="24" t="n"/>
      <c r="O557" s="24" t="n"/>
      <c r="P557" s="24" t="n"/>
      <c r="Q557" s="22">
        <f>IF($D557="","",IF(AND(OR(DANH_MUC!$L$5&lt;&gt;"Có",M557="Có"),OR(DANH_MUC!$L$6&lt;&gt;"Có",N557="Có"),OR(DANH_MUC!$L$7&lt;&gt;"Có",O557="Có"),OR(DANH_MUC!$L$8&lt;&gt;"Có",P557="Có")),"Có","Không"))</f>
        <v/>
      </c>
      <c r="R557" s="22">
        <f>IF($D557="","",IF(COUNTIF($D$2:$D557,$D557)&gt;1,"Trùng",""))</f>
        <v/>
      </c>
      <c r="S557" s="22">
        <f>IF($D557="","",IF(AND(LEN($D557)=10,LEFT($D557,1)="0",ISNUMBER(--$D557)),"Có","Không"))</f>
        <v/>
      </c>
      <c r="T557" s="22">
        <f>IF($D557="","",IF(AND($C557&lt;&gt;"",$Q557="Có",$R557="",$S557="Có",AND($L557&lt;&gt;"",OR($L557&lt;&gt;"Chưa xác định",DANH_MUC!$L$9="Có"))),"Có","Không"))</f>
        <v/>
      </c>
      <c r="U557" s="22">
        <f>IF(OR($D557="",$T557="Có"),"",IF($C557="","Thiếu họ tên; ","")&amp;IF($S557&lt;&gt;"Có","SĐT sai định dạng; ","")&amp;IF($R557="Trùng","Trùng SĐT; ","")&amp;IF($Q557&lt;&gt;"Có","Thiếu đồng ý bắt buộc; ","")&amp;IF($L557="","Thiếu/sai Mã REF; ",IF(AND($L557="Chưa xác định",DANH_MUC!$L$9&lt;&gt;"Có"),"Nguồn chưa xác định; ","")))</f>
        <v/>
      </c>
      <c r="V557" s="22">
        <f>IF(OR($D557="",$R557="Trùng"),"",IF(COUNTIF(ORDERS!$C$2:$C$4995,$D557)&gt;0,"Có","Không"))</f>
        <v/>
      </c>
      <c r="W557" s="22">
        <f>IF(OR($D557="",$R557="Trùng"),"",COUNTIFS(ORDERS!$C$2:$C$4995,$D557,ORDERS!$L$2:$L$4995,"Đã chuyển khoản"))</f>
        <v/>
      </c>
      <c r="X557" s="23">
        <f>IF(OR($D557="",$R557="Trùng"),"",SUMIFS(ORDERS!$J$2:$J$4995,ORDERS!$C$2:$C$4995,$D557,ORDERS!$L$2:$L$4995,"Đã chuyển khoản"))</f>
        <v/>
      </c>
      <c r="Y557" s="24" t="n"/>
    </row>
    <row r="558" ht="14.25" customHeight="1" s="40">
      <c r="A558" s="24" t="n"/>
      <c r="B558" s="27" t="n"/>
      <c r="C558" s="24" t="n"/>
      <c r="D558" s="28" t="n"/>
      <c r="E558" s="29" t="n"/>
      <c r="F558" s="24" t="n"/>
      <c r="G558" s="24" t="n"/>
      <c r="H558" s="21">
        <f>IF(ISNUMBER($B558),INT($B558)-WEEKDAY($B558,2)+1,"")</f>
        <v/>
      </c>
      <c r="I558" s="24" t="n"/>
      <c r="J558" s="22">
        <f t="array" ref="J558">IF($D558="","",IF($I558="","(trống REF)",IFERROR(INDEX(MASTER_SOURCE!$B$2:$B$495,MATCH($I558,MASTER_SOURCE!$A$2:$A$495,0)),"(REF không có trong MASTER_SOURCE)")))</f>
        <v/>
      </c>
      <c r="K558" s="22">
        <f t="array" ref="K558">IF($D558="","",IFERROR(INDEX(MASTER_SOURCE!$C$2:$C$495,MATCH($I558,MASTER_SOURCE!$A$2:$A$495,0)),""))</f>
        <v/>
      </c>
      <c r="L558" s="22">
        <f t="array" ref="L558">IF($D558="","",IFERROR(INDEX(MASTER_SOURCE!$D$2:$D$495,MATCH($I558,MASTER_SOURCE!$A$2:$A$495,0)),""))</f>
        <v/>
      </c>
      <c r="M558" s="24" t="n"/>
      <c r="N558" s="24" t="n"/>
      <c r="O558" s="24" t="n"/>
      <c r="P558" s="24" t="n"/>
      <c r="Q558" s="22">
        <f>IF($D558="","",IF(AND(OR(DANH_MUC!$L$5&lt;&gt;"Có",M558="Có"),OR(DANH_MUC!$L$6&lt;&gt;"Có",N558="Có"),OR(DANH_MUC!$L$7&lt;&gt;"Có",O558="Có"),OR(DANH_MUC!$L$8&lt;&gt;"Có",P558="Có")),"Có","Không"))</f>
        <v/>
      </c>
      <c r="R558" s="22">
        <f>IF($D558="","",IF(COUNTIF($D$2:$D558,$D558)&gt;1,"Trùng",""))</f>
        <v/>
      </c>
      <c r="S558" s="22">
        <f>IF($D558="","",IF(AND(LEN($D558)=10,LEFT($D558,1)="0",ISNUMBER(--$D558)),"Có","Không"))</f>
        <v/>
      </c>
      <c r="T558" s="22">
        <f>IF($D558="","",IF(AND($C558&lt;&gt;"",$Q558="Có",$R558="",$S558="Có",AND($L558&lt;&gt;"",OR($L558&lt;&gt;"Chưa xác định",DANH_MUC!$L$9="Có"))),"Có","Không"))</f>
        <v/>
      </c>
      <c r="U558" s="22">
        <f>IF(OR($D558="",$T558="Có"),"",IF($C558="","Thiếu họ tên; ","")&amp;IF($S558&lt;&gt;"Có","SĐT sai định dạng; ","")&amp;IF($R558="Trùng","Trùng SĐT; ","")&amp;IF($Q558&lt;&gt;"Có","Thiếu đồng ý bắt buộc; ","")&amp;IF($L558="","Thiếu/sai Mã REF; ",IF(AND($L558="Chưa xác định",DANH_MUC!$L$9&lt;&gt;"Có"),"Nguồn chưa xác định; ","")))</f>
        <v/>
      </c>
      <c r="V558" s="22">
        <f>IF(OR($D558="",$R558="Trùng"),"",IF(COUNTIF(ORDERS!$C$2:$C$4995,$D558)&gt;0,"Có","Không"))</f>
        <v/>
      </c>
      <c r="W558" s="22">
        <f>IF(OR($D558="",$R558="Trùng"),"",COUNTIFS(ORDERS!$C$2:$C$4995,$D558,ORDERS!$L$2:$L$4995,"Đã chuyển khoản"))</f>
        <v/>
      </c>
      <c r="X558" s="23">
        <f>IF(OR($D558="",$R558="Trùng"),"",SUMIFS(ORDERS!$J$2:$J$4995,ORDERS!$C$2:$C$4995,$D558,ORDERS!$L$2:$L$4995,"Đã chuyển khoản"))</f>
        <v/>
      </c>
      <c r="Y558" s="24" t="n"/>
    </row>
    <row r="559" ht="14.25" customHeight="1" s="40">
      <c r="A559" s="24" t="n"/>
      <c r="B559" s="27" t="n"/>
      <c r="C559" s="24" t="n"/>
      <c r="D559" s="28" t="n"/>
      <c r="E559" s="29" t="n"/>
      <c r="F559" s="24" t="n"/>
      <c r="G559" s="24" t="n"/>
      <c r="H559" s="21">
        <f>IF(ISNUMBER($B559),INT($B559)-WEEKDAY($B559,2)+1,"")</f>
        <v/>
      </c>
      <c r="I559" s="24" t="n"/>
      <c r="J559" s="22">
        <f t="array" ref="J559">IF($D559="","",IF($I559="","(trống REF)",IFERROR(INDEX(MASTER_SOURCE!$B$2:$B$495,MATCH($I559,MASTER_SOURCE!$A$2:$A$495,0)),"(REF không có trong MASTER_SOURCE)")))</f>
        <v/>
      </c>
      <c r="K559" s="22">
        <f t="array" ref="K559">IF($D559="","",IFERROR(INDEX(MASTER_SOURCE!$C$2:$C$495,MATCH($I559,MASTER_SOURCE!$A$2:$A$495,0)),""))</f>
        <v/>
      </c>
      <c r="L559" s="22">
        <f t="array" ref="L559">IF($D559="","",IFERROR(INDEX(MASTER_SOURCE!$D$2:$D$495,MATCH($I559,MASTER_SOURCE!$A$2:$A$495,0)),""))</f>
        <v/>
      </c>
      <c r="M559" s="24" t="n"/>
      <c r="N559" s="24" t="n"/>
      <c r="O559" s="24" t="n"/>
      <c r="P559" s="24" t="n"/>
      <c r="Q559" s="22">
        <f>IF($D559="","",IF(AND(OR(DANH_MUC!$L$5&lt;&gt;"Có",M559="Có"),OR(DANH_MUC!$L$6&lt;&gt;"Có",N559="Có"),OR(DANH_MUC!$L$7&lt;&gt;"Có",O559="Có"),OR(DANH_MUC!$L$8&lt;&gt;"Có",P559="Có")),"Có","Không"))</f>
        <v/>
      </c>
      <c r="R559" s="22">
        <f>IF($D559="","",IF(COUNTIF($D$2:$D559,$D559)&gt;1,"Trùng",""))</f>
        <v/>
      </c>
      <c r="S559" s="22">
        <f>IF($D559="","",IF(AND(LEN($D559)=10,LEFT($D559,1)="0",ISNUMBER(--$D559)),"Có","Không"))</f>
        <v/>
      </c>
      <c r="T559" s="22">
        <f>IF($D559="","",IF(AND($C559&lt;&gt;"",$Q559="Có",$R559="",$S559="Có",AND($L559&lt;&gt;"",OR($L559&lt;&gt;"Chưa xác định",DANH_MUC!$L$9="Có"))),"Có","Không"))</f>
        <v/>
      </c>
      <c r="U559" s="22">
        <f>IF(OR($D559="",$T559="Có"),"",IF($C559="","Thiếu họ tên; ","")&amp;IF($S559&lt;&gt;"Có","SĐT sai định dạng; ","")&amp;IF($R559="Trùng","Trùng SĐT; ","")&amp;IF($Q559&lt;&gt;"Có","Thiếu đồng ý bắt buộc; ","")&amp;IF($L559="","Thiếu/sai Mã REF; ",IF(AND($L559="Chưa xác định",DANH_MUC!$L$9&lt;&gt;"Có"),"Nguồn chưa xác định; ","")))</f>
        <v/>
      </c>
      <c r="V559" s="22">
        <f>IF(OR($D559="",$R559="Trùng"),"",IF(COUNTIF(ORDERS!$C$2:$C$4995,$D559)&gt;0,"Có","Không"))</f>
        <v/>
      </c>
      <c r="W559" s="22">
        <f>IF(OR($D559="",$R559="Trùng"),"",COUNTIFS(ORDERS!$C$2:$C$4995,$D559,ORDERS!$L$2:$L$4995,"Đã chuyển khoản"))</f>
        <v/>
      </c>
      <c r="X559" s="23">
        <f>IF(OR($D559="",$R559="Trùng"),"",SUMIFS(ORDERS!$J$2:$J$4995,ORDERS!$C$2:$C$4995,$D559,ORDERS!$L$2:$L$4995,"Đã chuyển khoản"))</f>
        <v/>
      </c>
      <c r="Y559" s="24" t="n"/>
    </row>
    <row r="560" ht="14.25" customHeight="1" s="40">
      <c r="A560" s="24" t="n"/>
      <c r="B560" s="27" t="n"/>
      <c r="C560" s="24" t="n"/>
      <c r="D560" s="28" t="n"/>
      <c r="E560" s="29" t="n"/>
      <c r="F560" s="24" t="n"/>
      <c r="G560" s="24" t="n"/>
      <c r="H560" s="21">
        <f>IF(ISNUMBER($B560),INT($B560)-WEEKDAY($B560,2)+1,"")</f>
        <v/>
      </c>
      <c r="I560" s="24" t="n"/>
      <c r="J560" s="22">
        <f t="array" ref="J560">IF($D560="","",IF($I560="","(trống REF)",IFERROR(INDEX(MASTER_SOURCE!$B$2:$B$495,MATCH($I560,MASTER_SOURCE!$A$2:$A$495,0)),"(REF không có trong MASTER_SOURCE)")))</f>
        <v/>
      </c>
      <c r="K560" s="22">
        <f t="array" ref="K560">IF($D560="","",IFERROR(INDEX(MASTER_SOURCE!$C$2:$C$495,MATCH($I560,MASTER_SOURCE!$A$2:$A$495,0)),""))</f>
        <v/>
      </c>
      <c r="L560" s="22">
        <f t="array" ref="L560">IF($D560="","",IFERROR(INDEX(MASTER_SOURCE!$D$2:$D$495,MATCH($I560,MASTER_SOURCE!$A$2:$A$495,0)),""))</f>
        <v/>
      </c>
      <c r="M560" s="24" t="n"/>
      <c r="N560" s="24" t="n"/>
      <c r="O560" s="24" t="n"/>
      <c r="P560" s="24" t="n"/>
      <c r="Q560" s="22">
        <f>IF($D560="","",IF(AND(OR(DANH_MUC!$L$5&lt;&gt;"Có",M560="Có"),OR(DANH_MUC!$L$6&lt;&gt;"Có",N560="Có"),OR(DANH_MUC!$L$7&lt;&gt;"Có",O560="Có"),OR(DANH_MUC!$L$8&lt;&gt;"Có",P560="Có")),"Có","Không"))</f>
        <v/>
      </c>
      <c r="R560" s="22">
        <f>IF($D560="","",IF(COUNTIF($D$2:$D560,$D560)&gt;1,"Trùng",""))</f>
        <v/>
      </c>
      <c r="S560" s="22">
        <f>IF($D560="","",IF(AND(LEN($D560)=10,LEFT($D560,1)="0",ISNUMBER(--$D560)),"Có","Không"))</f>
        <v/>
      </c>
      <c r="T560" s="22">
        <f>IF($D560="","",IF(AND($C560&lt;&gt;"",$Q560="Có",$R560="",$S560="Có",AND($L560&lt;&gt;"",OR($L560&lt;&gt;"Chưa xác định",DANH_MUC!$L$9="Có"))),"Có","Không"))</f>
        <v/>
      </c>
      <c r="U560" s="22">
        <f>IF(OR($D560="",$T560="Có"),"",IF($C560="","Thiếu họ tên; ","")&amp;IF($S560&lt;&gt;"Có","SĐT sai định dạng; ","")&amp;IF($R560="Trùng","Trùng SĐT; ","")&amp;IF($Q560&lt;&gt;"Có","Thiếu đồng ý bắt buộc; ","")&amp;IF($L560="","Thiếu/sai Mã REF; ",IF(AND($L560="Chưa xác định",DANH_MUC!$L$9&lt;&gt;"Có"),"Nguồn chưa xác định; ","")))</f>
        <v/>
      </c>
      <c r="V560" s="22">
        <f>IF(OR($D560="",$R560="Trùng"),"",IF(COUNTIF(ORDERS!$C$2:$C$4995,$D560)&gt;0,"Có","Không"))</f>
        <v/>
      </c>
      <c r="W560" s="22">
        <f>IF(OR($D560="",$R560="Trùng"),"",COUNTIFS(ORDERS!$C$2:$C$4995,$D560,ORDERS!$L$2:$L$4995,"Đã chuyển khoản"))</f>
        <v/>
      </c>
      <c r="X560" s="23">
        <f>IF(OR($D560="",$R560="Trùng"),"",SUMIFS(ORDERS!$J$2:$J$4995,ORDERS!$C$2:$C$4995,$D560,ORDERS!$L$2:$L$4995,"Đã chuyển khoản"))</f>
        <v/>
      </c>
      <c r="Y560" s="24" t="n"/>
    </row>
    <row r="561" ht="14.25" customHeight="1" s="40">
      <c r="A561" s="24" t="n"/>
      <c r="B561" s="27" t="n"/>
      <c r="C561" s="24" t="n"/>
      <c r="D561" s="28" t="n"/>
      <c r="E561" s="29" t="n"/>
      <c r="F561" s="24" t="n"/>
      <c r="G561" s="24" t="n"/>
      <c r="H561" s="21">
        <f>IF(ISNUMBER($B561),INT($B561)-WEEKDAY($B561,2)+1,"")</f>
        <v/>
      </c>
      <c r="I561" s="24" t="n"/>
      <c r="J561" s="22">
        <f t="array" ref="J561">IF($D561="","",IF($I561="","(trống REF)",IFERROR(INDEX(MASTER_SOURCE!$B$2:$B$495,MATCH($I561,MASTER_SOURCE!$A$2:$A$495,0)),"(REF không có trong MASTER_SOURCE)")))</f>
        <v/>
      </c>
      <c r="K561" s="22">
        <f t="array" ref="K561">IF($D561="","",IFERROR(INDEX(MASTER_SOURCE!$C$2:$C$495,MATCH($I561,MASTER_SOURCE!$A$2:$A$495,0)),""))</f>
        <v/>
      </c>
      <c r="L561" s="22">
        <f t="array" ref="L561">IF($D561="","",IFERROR(INDEX(MASTER_SOURCE!$D$2:$D$495,MATCH($I561,MASTER_SOURCE!$A$2:$A$495,0)),""))</f>
        <v/>
      </c>
      <c r="M561" s="24" t="n"/>
      <c r="N561" s="24" t="n"/>
      <c r="O561" s="24" t="n"/>
      <c r="P561" s="24" t="n"/>
      <c r="Q561" s="22">
        <f>IF($D561="","",IF(AND(OR(DANH_MUC!$L$5&lt;&gt;"Có",M561="Có"),OR(DANH_MUC!$L$6&lt;&gt;"Có",N561="Có"),OR(DANH_MUC!$L$7&lt;&gt;"Có",O561="Có"),OR(DANH_MUC!$L$8&lt;&gt;"Có",P561="Có")),"Có","Không"))</f>
        <v/>
      </c>
      <c r="R561" s="22">
        <f>IF($D561="","",IF(COUNTIF($D$2:$D561,$D561)&gt;1,"Trùng",""))</f>
        <v/>
      </c>
      <c r="S561" s="22">
        <f>IF($D561="","",IF(AND(LEN($D561)=10,LEFT($D561,1)="0",ISNUMBER(--$D561)),"Có","Không"))</f>
        <v/>
      </c>
      <c r="T561" s="22">
        <f>IF($D561="","",IF(AND($C561&lt;&gt;"",$Q561="Có",$R561="",$S561="Có",AND($L561&lt;&gt;"",OR($L561&lt;&gt;"Chưa xác định",DANH_MUC!$L$9="Có"))),"Có","Không"))</f>
        <v/>
      </c>
      <c r="U561" s="22">
        <f>IF(OR($D561="",$T561="Có"),"",IF($C561="","Thiếu họ tên; ","")&amp;IF($S561&lt;&gt;"Có","SĐT sai định dạng; ","")&amp;IF($R561="Trùng","Trùng SĐT; ","")&amp;IF($Q561&lt;&gt;"Có","Thiếu đồng ý bắt buộc; ","")&amp;IF($L561="","Thiếu/sai Mã REF; ",IF(AND($L561="Chưa xác định",DANH_MUC!$L$9&lt;&gt;"Có"),"Nguồn chưa xác định; ","")))</f>
        <v/>
      </c>
      <c r="V561" s="22">
        <f>IF(OR($D561="",$R561="Trùng"),"",IF(COUNTIF(ORDERS!$C$2:$C$4995,$D561)&gt;0,"Có","Không"))</f>
        <v/>
      </c>
      <c r="W561" s="22">
        <f>IF(OR($D561="",$R561="Trùng"),"",COUNTIFS(ORDERS!$C$2:$C$4995,$D561,ORDERS!$L$2:$L$4995,"Đã chuyển khoản"))</f>
        <v/>
      </c>
      <c r="X561" s="23">
        <f>IF(OR($D561="",$R561="Trùng"),"",SUMIFS(ORDERS!$J$2:$J$4995,ORDERS!$C$2:$C$4995,$D561,ORDERS!$L$2:$L$4995,"Đã chuyển khoản"))</f>
        <v/>
      </c>
      <c r="Y561" s="24" t="n"/>
    </row>
    <row r="562" ht="14.25" customHeight="1" s="40">
      <c r="A562" s="24" t="n"/>
      <c r="B562" s="27" t="n"/>
      <c r="C562" s="24" t="n"/>
      <c r="D562" s="28" t="n"/>
      <c r="E562" s="29" t="n"/>
      <c r="F562" s="24" t="n"/>
      <c r="G562" s="24" t="n"/>
      <c r="H562" s="21">
        <f>IF(ISNUMBER($B562),INT($B562)-WEEKDAY($B562,2)+1,"")</f>
        <v/>
      </c>
      <c r="I562" s="24" t="n"/>
      <c r="J562" s="22">
        <f t="array" ref="J562">IF($D562="","",IF($I562="","(trống REF)",IFERROR(INDEX(MASTER_SOURCE!$B$2:$B$495,MATCH($I562,MASTER_SOURCE!$A$2:$A$495,0)),"(REF không có trong MASTER_SOURCE)")))</f>
        <v/>
      </c>
      <c r="K562" s="22">
        <f t="array" ref="K562">IF($D562="","",IFERROR(INDEX(MASTER_SOURCE!$C$2:$C$495,MATCH($I562,MASTER_SOURCE!$A$2:$A$495,0)),""))</f>
        <v/>
      </c>
      <c r="L562" s="22">
        <f t="array" ref="L562">IF($D562="","",IFERROR(INDEX(MASTER_SOURCE!$D$2:$D$495,MATCH($I562,MASTER_SOURCE!$A$2:$A$495,0)),""))</f>
        <v/>
      </c>
      <c r="M562" s="24" t="n"/>
      <c r="N562" s="24" t="n"/>
      <c r="O562" s="24" t="n"/>
      <c r="P562" s="24" t="n"/>
      <c r="Q562" s="22">
        <f>IF($D562="","",IF(AND(OR(DANH_MUC!$L$5&lt;&gt;"Có",M562="Có"),OR(DANH_MUC!$L$6&lt;&gt;"Có",N562="Có"),OR(DANH_MUC!$L$7&lt;&gt;"Có",O562="Có"),OR(DANH_MUC!$L$8&lt;&gt;"Có",P562="Có")),"Có","Không"))</f>
        <v/>
      </c>
      <c r="R562" s="22">
        <f>IF($D562="","",IF(COUNTIF($D$2:$D562,$D562)&gt;1,"Trùng",""))</f>
        <v/>
      </c>
      <c r="S562" s="22">
        <f>IF($D562="","",IF(AND(LEN($D562)=10,LEFT($D562,1)="0",ISNUMBER(--$D562)),"Có","Không"))</f>
        <v/>
      </c>
      <c r="T562" s="22">
        <f>IF($D562="","",IF(AND($C562&lt;&gt;"",$Q562="Có",$R562="",$S562="Có",AND($L562&lt;&gt;"",OR($L562&lt;&gt;"Chưa xác định",DANH_MUC!$L$9="Có"))),"Có","Không"))</f>
        <v/>
      </c>
      <c r="U562" s="22">
        <f>IF(OR($D562="",$T562="Có"),"",IF($C562="","Thiếu họ tên; ","")&amp;IF($S562&lt;&gt;"Có","SĐT sai định dạng; ","")&amp;IF($R562="Trùng","Trùng SĐT; ","")&amp;IF($Q562&lt;&gt;"Có","Thiếu đồng ý bắt buộc; ","")&amp;IF($L562="","Thiếu/sai Mã REF; ",IF(AND($L562="Chưa xác định",DANH_MUC!$L$9&lt;&gt;"Có"),"Nguồn chưa xác định; ","")))</f>
        <v/>
      </c>
      <c r="V562" s="22">
        <f>IF(OR($D562="",$R562="Trùng"),"",IF(COUNTIF(ORDERS!$C$2:$C$4995,$D562)&gt;0,"Có","Không"))</f>
        <v/>
      </c>
      <c r="W562" s="22">
        <f>IF(OR($D562="",$R562="Trùng"),"",COUNTIFS(ORDERS!$C$2:$C$4995,$D562,ORDERS!$L$2:$L$4995,"Đã chuyển khoản"))</f>
        <v/>
      </c>
      <c r="X562" s="23">
        <f>IF(OR($D562="",$R562="Trùng"),"",SUMIFS(ORDERS!$J$2:$J$4995,ORDERS!$C$2:$C$4995,$D562,ORDERS!$L$2:$L$4995,"Đã chuyển khoản"))</f>
        <v/>
      </c>
      <c r="Y562" s="24" t="n"/>
    </row>
    <row r="563" ht="14.25" customHeight="1" s="40">
      <c r="A563" s="24" t="n"/>
      <c r="B563" s="27" t="n"/>
      <c r="C563" s="24" t="n"/>
      <c r="D563" s="28" t="n"/>
      <c r="E563" s="29" t="n"/>
      <c r="F563" s="24" t="n"/>
      <c r="G563" s="24" t="n"/>
      <c r="H563" s="21">
        <f>IF(ISNUMBER($B563),INT($B563)-WEEKDAY($B563,2)+1,"")</f>
        <v/>
      </c>
      <c r="I563" s="24" t="n"/>
      <c r="J563" s="22">
        <f t="array" ref="J563">IF($D563="","",IF($I563="","(trống REF)",IFERROR(INDEX(MASTER_SOURCE!$B$2:$B$495,MATCH($I563,MASTER_SOURCE!$A$2:$A$495,0)),"(REF không có trong MASTER_SOURCE)")))</f>
        <v/>
      </c>
      <c r="K563" s="22">
        <f t="array" ref="K563">IF($D563="","",IFERROR(INDEX(MASTER_SOURCE!$C$2:$C$495,MATCH($I563,MASTER_SOURCE!$A$2:$A$495,0)),""))</f>
        <v/>
      </c>
      <c r="L563" s="22">
        <f t="array" ref="L563">IF($D563="","",IFERROR(INDEX(MASTER_SOURCE!$D$2:$D$495,MATCH($I563,MASTER_SOURCE!$A$2:$A$495,0)),""))</f>
        <v/>
      </c>
      <c r="M563" s="24" t="n"/>
      <c r="N563" s="24" t="n"/>
      <c r="O563" s="24" t="n"/>
      <c r="P563" s="24" t="n"/>
      <c r="Q563" s="22">
        <f>IF($D563="","",IF(AND(OR(DANH_MUC!$L$5&lt;&gt;"Có",M563="Có"),OR(DANH_MUC!$L$6&lt;&gt;"Có",N563="Có"),OR(DANH_MUC!$L$7&lt;&gt;"Có",O563="Có"),OR(DANH_MUC!$L$8&lt;&gt;"Có",P563="Có")),"Có","Không"))</f>
        <v/>
      </c>
      <c r="R563" s="22">
        <f>IF($D563="","",IF(COUNTIF($D$2:$D563,$D563)&gt;1,"Trùng",""))</f>
        <v/>
      </c>
      <c r="S563" s="22">
        <f>IF($D563="","",IF(AND(LEN($D563)=10,LEFT($D563,1)="0",ISNUMBER(--$D563)),"Có","Không"))</f>
        <v/>
      </c>
      <c r="T563" s="22">
        <f>IF($D563="","",IF(AND($C563&lt;&gt;"",$Q563="Có",$R563="",$S563="Có",AND($L563&lt;&gt;"",OR($L563&lt;&gt;"Chưa xác định",DANH_MUC!$L$9="Có"))),"Có","Không"))</f>
        <v/>
      </c>
      <c r="U563" s="22">
        <f>IF(OR($D563="",$T563="Có"),"",IF($C563="","Thiếu họ tên; ","")&amp;IF($S563&lt;&gt;"Có","SĐT sai định dạng; ","")&amp;IF($R563="Trùng","Trùng SĐT; ","")&amp;IF($Q563&lt;&gt;"Có","Thiếu đồng ý bắt buộc; ","")&amp;IF($L563="","Thiếu/sai Mã REF; ",IF(AND($L563="Chưa xác định",DANH_MUC!$L$9&lt;&gt;"Có"),"Nguồn chưa xác định; ","")))</f>
        <v/>
      </c>
      <c r="V563" s="22">
        <f>IF(OR($D563="",$R563="Trùng"),"",IF(COUNTIF(ORDERS!$C$2:$C$4995,$D563)&gt;0,"Có","Không"))</f>
        <v/>
      </c>
      <c r="W563" s="22">
        <f>IF(OR($D563="",$R563="Trùng"),"",COUNTIFS(ORDERS!$C$2:$C$4995,$D563,ORDERS!$L$2:$L$4995,"Đã chuyển khoản"))</f>
        <v/>
      </c>
      <c r="X563" s="23">
        <f>IF(OR($D563="",$R563="Trùng"),"",SUMIFS(ORDERS!$J$2:$J$4995,ORDERS!$C$2:$C$4995,$D563,ORDERS!$L$2:$L$4995,"Đã chuyển khoản"))</f>
        <v/>
      </c>
      <c r="Y563" s="24" t="n"/>
    </row>
    <row r="564" ht="14.25" customHeight="1" s="40">
      <c r="A564" s="24" t="n"/>
      <c r="B564" s="27" t="n"/>
      <c r="C564" s="24" t="n"/>
      <c r="D564" s="28" t="n"/>
      <c r="E564" s="29" t="n"/>
      <c r="F564" s="24" t="n"/>
      <c r="G564" s="24" t="n"/>
      <c r="H564" s="21">
        <f>IF(ISNUMBER($B564),INT($B564)-WEEKDAY($B564,2)+1,"")</f>
        <v/>
      </c>
      <c r="I564" s="24" t="n"/>
      <c r="J564" s="22">
        <f t="array" ref="J564">IF($D564="","",IF($I564="","(trống REF)",IFERROR(INDEX(MASTER_SOURCE!$B$2:$B$495,MATCH($I564,MASTER_SOURCE!$A$2:$A$495,0)),"(REF không có trong MASTER_SOURCE)")))</f>
        <v/>
      </c>
      <c r="K564" s="22">
        <f t="array" ref="K564">IF($D564="","",IFERROR(INDEX(MASTER_SOURCE!$C$2:$C$495,MATCH($I564,MASTER_SOURCE!$A$2:$A$495,0)),""))</f>
        <v/>
      </c>
      <c r="L564" s="22">
        <f t="array" ref="L564">IF($D564="","",IFERROR(INDEX(MASTER_SOURCE!$D$2:$D$495,MATCH($I564,MASTER_SOURCE!$A$2:$A$495,0)),""))</f>
        <v/>
      </c>
      <c r="M564" s="24" t="n"/>
      <c r="N564" s="24" t="n"/>
      <c r="O564" s="24" t="n"/>
      <c r="P564" s="24" t="n"/>
      <c r="Q564" s="22">
        <f>IF($D564="","",IF(AND(OR(DANH_MUC!$L$5&lt;&gt;"Có",M564="Có"),OR(DANH_MUC!$L$6&lt;&gt;"Có",N564="Có"),OR(DANH_MUC!$L$7&lt;&gt;"Có",O564="Có"),OR(DANH_MUC!$L$8&lt;&gt;"Có",P564="Có")),"Có","Không"))</f>
        <v/>
      </c>
      <c r="R564" s="22">
        <f>IF($D564="","",IF(COUNTIF($D$2:$D564,$D564)&gt;1,"Trùng",""))</f>
        <v/>
      </c>
      <c r="S564" s="22">
        <f>IF($D564="","",IF(AND(LEN($D564)=10,LEFT($D564,1)="0",ISNUMBER(--$D564)),"Có","Không"))</f>
        <v/>
      </c>
      <c r="T564" s="22">
        <f>IF($D564="","",IF(AND($C564&lt;&gt;"",$Q564="Có",$R564="",$S564="Có",AND($L564&lt;&gt;"",OR($L564&lt;&gt;"Chưa xác định",DANH_MUC!$L$9="Có"))),"Có","Không"))</f>
        <v/>
      </c>
      <c r="U564" s="22">
        <f>IF(OR($D564="",$T564="Có"),"",IF($C564="","Thiếu họ tên; ","")&amp;IF($S564&lt;&gt;"Có","SĐT sai định dạng; ","")&amp;IF($R564="Trùng","Trùng SĐT; ","")&amp;IF($Q564&lt;&gt;"Có","Thiếu đồng ý bắt buộc; ","")&amp;IF($L564="","Thiếu/sai Mã REF; ",IF(AND($L564="Chưa xác định",DANH_MUC!$L$9&lt;&gt;"Có"),"Nguồn chưa xác định; ","")))</f>
        <v/>
      </c>
      <c r="V564" s="22">
        <f>IF(OR($D564="",$R564="Trùng"),"",IF(COUNTIF(ORDERS!$C$2:$C$4995,$D564)&gt;0,"Có","Không"))</f>
        <v/>
      </c>
      <c r="W564" s="22">
        <f>IF(OR($D564="",$R564="Trùng"),"",COUNTIFS(ORDERS!$C$2:$C$4995,$D564,ORDERS!$L$2:$L$4995,"Đã chuyển khoản"))</f>
        <v/>
      </c>
      <c r="X564" s="23">
        <f>IF(OR($D564="",$R564="Trùng"),"",SUMIFS(ORDERS!$J$2:$J$4995,ORDERS!$C$2:$C$4995,$D564,ORDERS!$L$2:$L$4995,"Đã chuyển khoản"))</f>
        <v/>
      </c>
      <c r="Y564" s="24" t="n"/>
    </row>
    <row r="565" ht="14.25" customHeight="1" s="40">
      <c r="A565" s="24" t="n"/>
      <c r="B565" s="27" t="n"/>
      <c r="C565" s="24" t="n"/>
      <c r="D565" s="28" t="n"/>
      <c r="E565" s="29" t="n"/>
      <c r="F565" s="24" t="n"/>
      <c r="G565" s="24" t="n"/>
      <c r="H565" s="21">
        <f>IF(ISNUMBER($B565),INT($B565)-WEEKDAY($B565,2)+1,"")</f>
        <v/>
      </c>
      <c r="I565" s="24" t="n"/>
      <c r="J565" s="22">
        <f t="array" ref="J565">IF($D565="","",IF($I565="","(trống REF)",IFERROR(INDEX(MASTER_SOURCE!$B$2:$B$495,MATCH($I565,MASTER_SOURCE!$A$2:$A$495,0)),"(REF không có trong MASTER_SOURCE)")))</f>
        <v/>
      </c>
      <c r="K565" s="22">
        <f t="array" ref="K565">IF($D565="","",IFERROR(INDEX(MASTER_SOURCE!$C$2:$C$495,MATCH($I565,MASTER_SOURCE!$A$2:$A$495,0)),""))</f>
        <v/>
      </c>
      <c r="L565" s="22">
        <f t="array" ref="L565">IF($D565="","",IFERROR(INDEX(MASTER_SOURCE!$D$2:$D$495,MATCH($I565,MASTER_SOURCE!$A$2:$A$495,0)),""))</f>
        <v/>
      </c>
      <c r="M565" s="24" t="n"/>
      <c r="N565" s="24" t="n"/>
      <c r="O565" s="24" t="n"/>
      <c r="P565" s="24" t="n"/>
      <c r="Q565" s="22">
        <f>IF($D565="","",IF(AND(OR(DANH_MUC!$L$5&lt;&gt;"Có",M565="Có"),OR(DANH_MUC!$L$6&lt;&gt;"Có",N565="Có"),OR(DANH_MUC!$L$7&lt;&gt;"Có",O565="Có"),OR(DANH_MUC!$L$8&lt;&gt;"Có",P565="Có")),"Có","Không"))</f>
        <v/>
      </c>
      <c r="R565" s="22">
        <f>IF($D565="","",IF(COUNTIF($D$2:$D565,$D565)&gt;1,"Trùng",""))</f>
        <v/>
      </c>
      <c r="S565" s="22">
        <f>IF($D565="","",IF(AND(LEN($D565)=10,LEFT($D565,1)="0",ISNUMBER(--$D565)),"Có","Không"))</f>
        <v/>
      </c>
      <c r="T565" s="22">
        <f>IF($D565="","",IF(AND($C565&lt;&gt;"",$Q565="Có",$R565="",$S565="Có",AND($L565&lt;&gt;"",OR($L565&lt;&gt;"Chưa xác định",DANH_MUC!$L$9="Có"))),"Có","Không"))</f>
        <v/>
      </c>
      <c r="U565" s="22">
        <f>IF(OR($D565="",$T565="Có"),"",IF($C565="","Thiếu họ tên; ","")&amp;IF($S565&lt;&gt;"Có","SĐT sai định dạng; ","")&amp;IF($R565="Trùng","Trùng SĐT; ","")&amp;IF($Q565&lt;&gt;"Có","Thiếu đồng ý bắt buộc; ","")&amp;IF($L565="","Thiếu/sai Mã REF; ",IF(AND($L565="Chưa xác định",DANH_MUC!$L$9&lt;&gt;"Có"),"Nguồn chưa xác định; ","")))</f>
        <v/>
      </c>
      <c r="V565" s="22">
        <f>IF(OR($D565="",$R565="Trùng"),"",IF(COUNTIF(ORDERS!$C$2:$C$4995,$D565)&gt;0,"Có","Không"))</f>
        <v/>
      </c>
      <c r="W565" s="22">
        <f>IF(OR($D565="",$R565="Trùng"),"",COUNTIFS(ORDERS!$C$2:$C$4995,$D565,ORDERS!$L$2:$L$4995,"Đã chuyển khoản"))</f>
        <v/>
      </c>
      <c r="X565" s="23">
        <f>IF(OR($D565="",$R565="Trùng"),"",SUMIFS(ORDERS!$J$2:$J$4995,ORDERS!$C$2:$C$4995,$D565,ORDERS!$L$2:$L$4995,"Đã chuyển khoản"))</f>
        <v/>
      </c>
      <c r="Y565" s="24" t="n"/>
    </row>
    <row r="566" ht="14.25" customHeight="1" s="40">
      <c r="A566" s="24" t="n"/>
      <c r="B566" s="27" t="n"/>
      <c r="C566" s="24" t="n"/>
      <c r="D566" s="28" t="n"/>
      <c r="E566" s="29" t="n"/>
      <c r="F566" s="24" t="n"/>
      <c r="G566" s="24" t="n"/>
      <c r="H566" s="21">
        <f>IF(ISNUMBER($B566),INT($B566)-WEEKDAY($B566,2)+1,"")</f>
        <v/>
      </c>
      <c r="I566" s="24" t="n"/>
      <c r="J566" s="22">
        <f t="array" ref="J566">IF($D566="","",IF($I566="","(trống REF)",IFERROR(INDEX(MASTER_SOURCE!$B$2:$B$495,MATCH($I566,MASTER_SOURCE!$A$2:$A$495,0)),"(REF không có trong MASTER_SOURCE)")))</f>
        <v/>
      </c>
      <c r="K566" s="22">
        <f t="array" ref="K566">IF($D566="","",IFERROR(INDEX(MASTER_SOURCE!$C$2:$C$495,MATCH($I566,MASTER_SOURCE!$A$2:$A$495,0)),""))</f>
        <v/>
      </c>
      <c r="L566" s="22">
        <f t="array" ref="L566">IF($D566="","",IFERROR(INDEX(MASTER_SOURCE!$D$2:$D$495,MATCH($I566,MASTER_SOURCE!$A$2:$A$495,0)),""))</f>
        <v/>
      </c>
      <c r="M566" s="24" t="n"/>
      <c r="N566" s="24" t="n"/>
      <c r="O566" s="24" t="n"/>
      <c r="P566" s="24" t="n"/>
      <c r="Q566" s="22">
        <f>IF($D566="","",IF(AND(OR(DANH_MUC!$L$5&lt;&gt;"Có",M566="Có"),OR(DANH_MUC!$L$6&lt;&gt;"Có",N566="Có"),OR(DANH_MUC!$L$7&lt;&gt;"Có",O566="Có"),OR(DANH_MUC!$L$8&lt;&gt;"Có",P566="Có")),"Có","Không"))</f>
        <v/>
      </c>
      <c r="R566" s="22">
        <f>IF($D566="","",IF(COUNTIF($D$2:$D566,$D566)&gt;1,"Trùng",""))</f>
        <v/>
      </c>
      <c r="S566" s="22">
        <f>IF($D566="","",IF(AND(LEN($D566)=10,LEFT($D566,1)="0",ISNUMBER(--$D566)),"Có","Không"))</f>
        <v/>
      </c>
      <c r="T566" s="22">
        <f>IF($D566="","",IF(AND($C566&lt;&gt;"",$Q566="Có",$R566="",$S566="Có",AND($L566&lt;&gt;"",OR($L566&lt;&gt;"Chưa xác định",DANH_MUC!$L$9="Có"))),"Có","Không"))</f>
        <v/>
      </c>
      <c r="U566" s="22">
        <f>IF(OR($D566="",$T566="Có"),"",IF($C566="","Thiếu họ tên; ","")&amp;IF($S566&lt;&gt;"Có","SĐT sai định dạng; ","")&amp;IF($R566="Trùng","Trùng SĐT; ","")&amp;IF($Q566&lt;&gt;"Có","Thiếu đồng ý bắt buộc; ","")&amp;IF($L566="","Thiếu/sai Mã REF; ",IF(AND($L566="Chưa xác định",DANH_MUC!$L$9&lt;&gt;"Có"),"Nguồn chưa xác định; ","")))</f>
        <v/>
      </c>
      <c r="V566" s="22">
        <f>IF(OR($D566="",$R566="Trùng"),"",IF(COUNTIF(ORDERS!$C$2:$C$4995,$D566)&gt;0,"Có","Không"))</f>
        <v/>
      </c>
      <c r="W566" s="22">
        <f>IF(OR($D566="",$R566="Trùng"),"",COUNTIFS(ORDERS!$C$2:$C$4995,$D566,ORDERS!$L$2:$L$4995,"Đã chuyển khoản"))</f>
        <v/>
      </c>
      <c r="X566" s="23">
        <f>IF(OR($D566="",$R566="Trùng"),"",SUMIFS(ORDERS!$J$2:$J$4995,ORDERS!$C$2:$C$4995,$D566,ORDERS!$L$2:$L$4995,"Đã chuyển khoản"))</f>
        <v/>
      </c>
      <c r="Y566" s="24" t="n"/>
    </row>
    <row r="567" ht="14.25" customHeight="1" s="40">
      <c r="A567" s="24" t="n"/>
      <c r="B567" s="27" t="n"/>
      <c r="C567" s="24" t="n"/>
      <c r="D567" s="28" t="n"/>
      <c r="E567" s="29" t="n"/>
      <c r="F567" s="24" t="n"/>
      <c r="G567" s="24" t="n"/>
      <c r="H567" s="21">
        <f>IF(ISNUMBER($B567),INT($B567)-WEEKDAY($B567,2)+1,"")</f>
        <v/>
      </c>
      <c r="I567" s="24" t="n"/>
      <c r="J567" s="22">
        <f t="array" ref="J567">IF($D567="","",IF($I567="","(trống REF)",IFERROR(INDEX(MASTER_SOURCE!$B$2:$B$495,MATCH($I567,MASTER_SOURCE!$A$2:$A$495,0)),"(REF không có trong MASTER_SOURCE)")))</f>
        <v/>
      </c>
      <c r="K567" s="22">
        <f t="array" ref="K567">IF($D567="","",IFERROR(INDEX(MASTER_SOURCE!$C$2:$C$495,MATCH($I567,MASTER_SOURCE!$A$2:$A$495,0)),""))</f>
        <v/>
      </c>
      <c r="L567" s="22">
        <f t="array" ref="L567">IF($D567="","",IFERROR(INDEX(MASTER_SOURCE!$D$2:$D$495,MATCH($I567,MASTER_SOURCE!$A$2:$A$495,0)),""))</f>
        <v/>
      </c>
      <c r="M567" s="24" t="n"/>
      <c r="N567" s="24" t="n"/>
      <c r="O567" s="24" t="n"/>
      <c r="P567" s="24" t="n"/>
      <c r="Q567" s="22">
        <f>IF($D567="","",IF(AND(OR(DANH_MUC!$L$5&lt;&gt;"Có",M567="Có"),OR(DANH_MUC!$L$6&lt;&gt;"Có",N567="Có"),OR(DANH_MUC!$L$7&lt;&gt;"Có",O567="Có"),OR(DANH_MUC!$L$8&lt;&gt;"Có",P567="Có")),"Có","Không"))</f>
        <v/>
      </c>
      <c r="R567" s="22">
        <f>IF($D567="","",IF(COUNTIF($D$2:$D567,$D567)&gt;1,"Trùng",""))</f>
        <v/>
      </c>
      <c r="S567" s="22">
        <f>IF($D567="","",IF(AND(LEN($D567)=10,LEFT($D567,1)="0",ISNUMBER(--$D567)),"Có","Không"))</f>
        <v/>
      </c>
      <c r="T567" s="22">
        <f>IF($D567="","",IF(AND($C567&lt;&gt;"",$Q567="Có",$R567="",$S567="Có",AND($L567&lt;&gt;"",OR($L567&lt;&gt;"Chưa xác định",DANH_MUC!$L$9="Có"))),"Có","Không"))</f>
        <v/>
      </c>
      <c r="U567" s="22">
        <f>IF(OR($D567="",$T567="Có"),"",IF($C567="","Thiếu họ tên; ","")&amp;IF($S567&lt;&gt;"Có","SĐT sai định dạng; ","")&amp;IF($R567="Trùng","Trùng SĐT; ","")&amp;IF($Q567&lt;&gt;"Có","Thiếu đồng ý bắt buộc; ","")&amp;IF($L567="","Thiếu/sai Mã REF; ",IF(AND($L567="Chưa xác định",DANH_MUC!$L$9&lt;&gt;"Có"),"Nguồn chưa xác định; ","")))</f>
        <v/>
      </c>
      <c r="V567" s="22">
        <f>IF(OR($D567="",$R567="Trùng"),"",IF(COUNTIF(ORDERS!$C$2:$C$4995,$D567)&gt;0,"Có","Không"))</f>
        <v/>
      </c>
      <c r="W567" s="22">
        <f>IF(OR($D567="",$R567="Trùng"),"",COUNTIFS(ORDERS!$C$2:$C$4995,$D567,ORDERS!$L$2:$L$4995,"Đã chuyển khoản"))</f>
        <v/>
      </c>
      <c r="X567" s="23">
        <f>IF(OR($D567="",$R567="Trùng"),"",SUMIFS(ORDERS!$J$2:$J$4995,ORDERS!$C$2:$C$4995,$D567,ORDERS!$L$2:$L$4995,"Đã chuyển khoản"))</f>
        <v/>
      </c>
      <c r="Y567" s="24" t="n"/>
    </row>
    <row r="568" ht="14.25" customHeight="1" s="40">
      <c r="A568" s="24" t="n"/>
      <c r="B568" s="27" t="n"/>
      <c r="C568" s="24" t="n"/>
      <c r="D568" s="28" t="n"/>
      <c r="E568" s="29" t="n"/>
      <c r="F568" s="24" t="n"/>
      <c r="G568" s="24" t="n"/>
      <c r="H568" s="21">
        <f>IF(ISNUMBER($B568),INT($B568)-WEEKDAY($B568,2)+1,"")</f>
        <v/>
      </c>
      <c r="I568" s="24" t="n"/>
      <c r="J568" s="22">
        <f t="array" ref="J568">IF($D568="","",IF($I568="","(trống REF)",IFERROR(INDEX(MASTER_SOURCE!$B$2:$B$495,MATCH($I568,MASTER_SOURCE!$A$2:$A$495,0)),"(REF không có trong MASTER_SOURCE)")))</f>
        <v/>
      </c>
      <c r="K568" s="22">
        <f t="array" ref="K568">IF($D568="","",IFERROR(INDEX(MASTER_SOURCE!$C$2:$C$495,MATCH($I568,MASTER_SOURCE!$A$2:$A$495,0)),""))</f>
        <v/>
      </c>
      <c r="L568" s="22">
        <f t="array" ref="L568">IF($D568="","",IFERROR(INDEX(MASTER_SOURCE!$D$2:$D$495,MATCH($I568,MASTER_SOURCE!$A$2:$A$495,0)),""))</f>
        <v/>
      </c>
      <c r="M568" s="24" t="n"/>
      <c r="N568" s="24" t="n"/>
      <c r="O568" s="24" t="n"/>
      <c r="P568" s="24" t="n"/>
      <c r="Q568" s="22">
        <f>IF($D568="","",IF(AND(OR(DANH_MUC!$L$5&lt;&gt;"Có",M568="Có"),OR(DANH_MUC!$L$6&lt;&gt;"Có",N568="Có"),OR(DANH_MUC!$L$7&lt;&gt;"Có",O568="Có"),OR(DANH_MUC!$L$8&lt;&gt;"Có",P568="Có")),"Có","Không"))</f>
        <v/>
      </c>
      <c r="R568" s="22">
        <f>IF($D568="","",IF(COUNTIF($D$2:$D568,$D568)&gt;1,"Trùng",""))</f>
        <v/>
      </c>
      <c r="S568" s="22">
        <f>IF($D568="","",IF(AND(LEN($D568)=10,LEFT($D568,1)="0",ISNUMBER(--$D568)),"Có","Không"))</f>
        <v/>
      </c>
      <c r="T568" s="22">
        <f>IF($D568="","",IF(AND($C568&lt;&gt;"",$Q568="Có",$R568="",$S568="Có",AND($L568&lt;&gt;"",OR($L568&lt;&gt;"Chưa xác định",DANH_MUC!$L$9="Có"))),"Có","Không"))</f>
        <v/>
      </c>
      <c r="U568" s="22">
        <f>IF(OR($D568="",$T568="Có"),"",IF($C568="","Thiếu họ tên; ","")&amp;IF($S568&lt;&gt;"Có","SĐT sai định dạng; ","")&amp;IF($R568="Trùng","Trùng SĐT; ","")&amp;IF($Q568&lt;&gt;"Có","Thiếu đồng ý bắt buộc; ","")&amp;IF($L568="","Thiếu/sai Mã REF; ",IF(AND($L568="Chưa xác định",DANH_MUC!$L$9&lt;&gt;"Có"),"Nguồn chưa xác định; ","")))</f>
        <v/>
      </c>
      <c r="V568" s="22">
        <f>IF(OR($D568="",$R568="Trùng"),"",IF(COUNTIF(ORDERS!$C$2:$C$4995,$D568)&gt;0,"Có","Không"))</f>
        <v/>
      </c>
      <c r="W568" s="22">
        <f>IF(OR($D568="",$R568="Trùng"),"",COUNTIFS(ORDERS!$C$2:$C$4995,$D568,ORDERS!$L$2:$L$4995,"Đã chuyển khoản"))</f>
        <v/>
      </c>
      <c r="X568" s="23">
        <f>IF(OR($D568="",$R568="Trùng"),"",SUMIFS(ORDERS!$J$2:$J$4995,ORDERS!$C$2:$C$4995,$D568,ORDERS!$L$2:$L$4995,"Đã chuyển khoản"))</f>
        <v/>
      </c>
      <c r="Y568" s="24" t="n"/>
    </row>
    <row r="569" ht="14.25" customHeight="1" s="40">
      <c r="A569" s="24" t="n"/>
      <c r="B569" s="27" t="n"/>
      <c r="C569" s="24" t="n"/>
      <c r="D569" s="28" t="n"/>
      <c r="E569" s="29" t="n"/>
      <c r="F569" s="24" t="n"/>
      <c r="G569" s="24" t="n"/>
      <c r="H569" s="21">
        <f>IF(ISNUMBER($B569),INT($B569)-WEEKDAY($B569,2)+1,"")</f>
        <v/>
      </c>
      <c r="I569" s="24" t="n"/>
      <c r="J569" s="22">
        <f t="array" ref="J569">IF($D569="","",IF($I569="","(trống REF)",IFERROR(INDEX(MASTER_SOURCE!$B$2:$B$495,MATCH($I569,MASTER_SOURCE!$A$2:$A$495,0)),"(REF không có trong MASTER_SOURCE)")))</f>
        <v/>
      </c>
      <c r="K569" s="22">
        <f t="array" ref="K569">IF($D569="","",IFERROR(INDEX(MASTER_SOURCE!$C$2:$C$495,MATCH($I569,MASTER_SOURCE!$A$2:$A$495,0)),""))</f>
        <v/>
      </c>
      <c r="L569" s="22">
        <f t="array" ref="L569">IF($D569="","",IFERROR(INDEX(MASTER_SOURCE!$D$2:$D$495,MATCH($I569,MASTER_SOURCE!$A$2:$A$495,0)),""))</f>
        <v/>
      </c>
      <c r="M569" s="24" t="n"/>
      <c r="N569" s="24" t="n"/>
      <c r="O569" s="24" t="n"/>
      <c r="P569" s="24" t="n"/>
      <c r="Q569" s="22">
        <f>IF($D569="","",IF(AND(OR(DANH_MUC!$L$5&lt;&gt;"Có",M569="Có"),OR(DANH_MUC!$L$6&lt;&gt;"Có",N569="Có"),OR(DANH_MUC!$L$7&lt;&gt;"Có",O569="Có"),OR(DANH_MUC!$L$8&lt;&gt;"Có",P569="Có")),"Có","Không"))</f>
        <v/>
      </c>
      <c r="R569" s="22">
        <f>IF($D569="","",IF(COUNTIF($D$2:$D569,$D569)&gt;1,"Trùng",""))</f>
        <v/>
      </c>
      <c r="S569" s="22">
        <f>IF($D569="","",IF(AND(LEN($D569)=10,LEFT($D569,1)="0",ISNUMBER(--$D569)),"Có","Không"))</f>
        <v/>
      </c>
      <c r="T569" s="22">
        <f>IF($D569="","",IF(AND($C569&lt;&gt;"",$Q569="Có",$R569="",$S569="Có",AND($L569&lt;&gt;"",OR($L569&lt;&gt;"Chưa xác định",DANH_MUC!$L$9="Có"))),"Có","Không"))</f>
        <v/>
      </c>
      <c r="U569" s="22">
        <f>IF(OR($D569="",$T569="Có"),"",IF($C569="","Thiếu họ tên; ","")&amp;IF($S569&lt;&gt;"Có","SĐT sai định dạng; ","")&amp;IF($R569="Trùng","Trùng SĐT; ","")&amp;IF($Q569&lt;&gt;"Có","Thiếu đồng ý bắt buộc; ","")&amp;IF($L569="","Thiếu/sai Mã REF; ",IF(AND($L569="Chưa xác định",DANH_MUC!$L$9&lt;&gt;"Có"),"Nguồn chưa xác định; ","")))</f>
        <v/>
      </c>
      <c r="V569" s="22">
        <f>IF(OR($D569="",$R569="Trùng"),"",IF(COUNTIF(ORDERS!$C$2:$C$4995,$D569)&gt;0,"Có","Không"))</f>
        <v/>
      </c>
      <c r="W569" s="22">
        <f>IF(OR($D569="",$R569="Trùng"),"",COUNTIFS(ORDERS!$C$2:$C$4995,$D569,ORDERS!$L$2:$L$4995,"Đã chuyển khoản"))</f>
        <v/>
      </c>
      <c r="X569" s="23">
        <f>IF(OR($D569="",$R569="Trùng"),"",SUMIFS(ORDERS!$J$2:$J$4995,ORDERS!$C$2:$C$4995,$D569,ORDERS!$L$2:$L$4995,"Đã chuyển khoản"))</f>
        <v/>
      </c>
      <c r="Y569" s="24" t="n"/>
    </row>
    <row r="570" ht="14.25" customHeight="1" s="40">
      <c r="A570" s="24" t="n"/>
      <c r="B570" s="27" t="n"/>
      <c r="C570" s="24" t="n"/>
      <c r="D570" s="28" t="n"/>
      <c r="E570" s="29" t="n"/>
      <c r="F570" s="24" t="n"/>
      <c r="G570" s="24" t="n"/>
      <c r="H570" s="21">
        <f>IF(ISNUMBER($B570),INT($B570)-WEEKDAY($B570,2)+1,"")</f>
        <v/>
      </c>
      <c r="I570" s="24" t="n"/>
      <c r="J570" s="22">
        <f t="array" ref="J570">IF($D570="","",IF($I570="","(trống REF)",IFERROR(INDEX(MASTER_SOURCE!$B$2:$B$495,MATCH($I570,MASTER_SOURCE!$A$2:$A$495,0)),"(REF không có trong MASTER_SOURCE)")))</f>
        <v/>
      </c>
      <c r="K570" s="22">
        <f t="array" ref="K570">IF($D570="","",IFERROR(INDEX(MASTER_SOURCE!$C$2:$C$495,MATCH($I570,MASTER_SOURCE!$A$2:$A$495,0)),""))</f>
        <v/>
      </c>
      <c r="L570" s="22">
        <f t="array" ref="L570">IF($D570="","",IFERROR(INDEX(MASTER_SOURCE!$D$2:$D$495,MATCH($I570,MASTER_SOURCE!$A$2:$A$495,0)),""))</f>
        <v/>
      </c>
      <c r="M570" s="24" t="n"/>
      <c r="N570" s="24" t="n"/>
      <c r="O570" s="24" t="n"/>
      <c r="P570" s="24" t="n"/>
      <c r="Q570" s="22">
        <f>IF($D570="","",IF(AND(OR(DANH_MUC!$L$5&lt;&gt;"Có",M570="Có"),OR(DANH_MUC!$L$6&lt;&gt;"Có",N570="Có"),OR(DANH_MUC!$L$7&lt;&gt;"Có",O570="Có"),OR(DANH_MUC!$L$8&lt;&gt;"Có",P570="Có")),"Có","Không"))</f>
        <v/>
      </c>
      <c r="R570" s="22">
        <f>IF($D570="","",IF(COUNTIF($D$2:$D570,$D570)&gt;1,"Trùng",""))</f>
        <v/>
      </c>
      <c r="S570" s="22">
        <f>IF($D570="","",IF(AND(LEN($D570)=10,LEFT($D570,1)="0",ISNUMBER(--$D570)),"Có","Không"))</f>
        <v/>
      </c>
      <c r="T570" s="22">
        <f>IF($D570="","",IF(AND($C570&lt;&gt;"",$Q570="Có",$R570="",$S570="Có",AND($L570&lt;&gt;"",OR($L570&lt;&gt;"Chưa xác định",DANH_MUC!$L$9="Có"))),"Có","Không"))</f>
        <v/>
      </c>
      <c r="U570" s="22">
        <f>IF(OR($D570="",$T570="Có"),"",IF($C570="","Thiếu họ tên; ","")&amp;IF($S570&lt;&gt;"Có","SĐT sai định dạng; ","")&amp;IF($R570="Trùng","Trùng SĐT; ","")&amp;IF($Q570&lt;&gt;"Có","Thiếu đồng ý bắt buộc; ","")&amp;IF($L570="","Thiếu/sai Mã REF; ",IF(AND($L570="Chưa xác định",DANH_MUC!$L$9&lt;&gt;"Có"),"Nguồn chưa xác định; ","")))</f>
        <v/>
      </c>
      <c r="V570" s="22">
        <f>IF(OR($D570="",$R570="Trùng"),"",IF(COUNTIF(ORDERS!$C$2:$C$4995,$D570)&gt;0,"Có","Không"))</f>
        <v/>
      </c>
      <c r="W570" s="22">
        <f>IF(OR($D570="",$R570="Trùng"),"",COUNTIFS(ORDERS!$C$2:$C$4995,$D570,ORDERS!$L$2:$L$4995,"Đã chuyển khoản"))</f>
        <v/>
      </c>
      <c r="X570" s="23">
        <f>IF(OR($D570="",$R570="Trùng"),"",SUMIFS(ORDERS!$J$2:$J$4995,ORDERS!$C$2:$C$4995,$D570,ORDERS!$L$2:$L$4995,"Đã chuyển khoản"))</f>
        <v/>
      </c>
      <c r="Y570" s="24" t="n"/>
    </row>
    <row r="571" ht="14.25" customHeight="1" s="40">
      <c r="A571" s="24" t="n"/>
      <c r="B571" s="27" t="n"/>
      <c r="C571" s="24" t="n"/>
      <c r="D571" s="28" t="n"/>
      <c r="E571" s="29" t="n"/>
      <c r="F571" s="24" t="n"/>
      <c r="G571" s="24" t="n"/>
      <c r="H571" s="21">
        <f>IF(ISNUMBER($B571),INT($B571)-WEEKDAY($B571,2)+1,"")</f>
        <v/>
      </c>
      <c r="I571" s="24" t="n"/>
      <c r="J571" s="22">
        <f t="array" ref="J571">IF($D571="","",IF($I571="","(trống REF)",IFERROR(INDEX(MASTER_SOURCE!$B$2:$B$495,MATCH($I571,MASTER_SOURCE!$A$2:$A$495,0)),"(REF không có trong MASTER_SOURCE)")))</f>
        <v/>
      </c>
      <c r="K571" s="22">
        <f t="array" ref="K571">IF($D571="","",IFERROR(INDEX(MASTER_SOURCE!$C$2:$C$495,MATCH($I571,MASTER_SOURCE!$A$2:$A$495,0)),""))</f>
        <v/>
      </c>
      <c r="L571" s="22">
        <f t="array" ref="L571">IF($D571="","",IFERROR(INDEX(MASTER_SOURCE!$D$2:$D$495,MATCH($I571,MASTER_SOURCE!$A$2:$A$495,0)),""))</f>
        <v/>
      </c>
      <c r="M571" s="24" t="n"/>
      <c r="N571" s="24" t="n"/>
      <c r="O571" s="24" t="n"/>
      <c r="P571" s="24" t="n"/>
      <c r="Q571" s="22">
        <f>IF($D571="","",IF(AND(OR(DANH_MUC!$L$5&lt;&gt;"Có",M571="Có"),OR(DANH_MUC!$L$6&lt;&gt;"Có",N571="Có"),OR(DANH_MUC!$L$7&lt;&gt;"Có",O571="Có"),OR(DANH_MUC!$L$8&lt;&gt;"Có",P571="Có")),"Có","Không"))</f>
        <v/>
      </c>
      <c r="R571" s="22">
        <f>IF($D571="","",IF(COUNTIF($D$2:$D571,$D571)&gt;1,"Trùng",""))</f>
        <v/>
      </c>
      <c r="S571" s="22">
        <f>IF($D571="","",IF(AND(LEN($D571)=10,LEFT($D571,1)="0",ISNUMBER(--$D571)),"Có","Không"))</f>
        <v/>
      </c>
      <c r="T571" s="22">
        <f>IF($D571="","",IF(AND($C571&lt;&gt;"",$Q571="Có",$R571="",$S571="Có",AND($L571&lt;&gt;"",OR($L571&lt;&gt;"Chưa xác định",DANH_MUC!$L$9="Có"))),"Có","Không"))</f>
        <v/>
      </c>
      <c r="U571" s="22">
        <f>IF(OR($D571="",$T571="Có"),"",IF($C571="","Thiếu họ tên; ","")&amp;IF($S571&lt;&gt;"Có","SĐT sai định dạng; ","")&amp;IF($R571="Trùng","Trùng SĐT; ","")&amp;IF($Q571&lt;&gt;"Có","Thiếu đồng ý bắt buộc; ","")&amp;IF($L571="","Thiếu/sai Mã REF; ",IF(AND($L571="Chưa xác định",DANH_MUC!$L$9&lt;&gt;"Có"),"Nguồn chưa xác định; ","")))</f>
        <v/>
      </c>
      <c r="V571" s="22">
        <f>IF(OR($D571="",$R571="Trùng"),"",IF(COUNTIF(ORDERS!$C$2:$C$4995,$D571)&gt;0,"Có","Không"))</f>
        <v/>
      </c>
      <c r="W571" s="22">
        <f>IF(OR($D571="",$R571="Trùng"),"",COUNTIFS(ORDERS!$C$2:$C$4995,$D571,ORDERS!$L$2:$L$4995,"Đã chuyển khoản"))</f>
        <v/>
      </c>
      <c r="X571" s="23">
        <f>IF(OR($D571="",$R571="Trùng"),"",SUMIFS(ORDERS!$J$2:$J$4995,ORDERS!$C$2:$C$4995,$D571,ORDERS!$L$2:$L$4995,"Đã chuyển khoản"))</f>
        <v/>
      </c>
      <c r="Y571" s="24" t="n"/>
    </row>
    <row r="572" ht="14.25" customHeight="1" s="40">
      <c r="A572" s="24" t="n"/>
      <c r="B572" s="27" t="n"/>
      <c r="C572" s="24" t="n"/>
      <c r="D572" s="28" t="n"/>
      <c r="E572" s="29" t="n"/>
      <c r="F572" s="24" t="n"/>
      <c r="G572" s="24" t="n"/>
      <c r="H572" s="21">
        <f>IF(ISNUMBER($B572),INT($B572)-WEEKDAY($B572,2)+1,"")</f>
        <v/>
      </c>
      <c r="I572" s="24" t="n"/>
      <c r="J572" s="22">
        <f t="array" ref="J572">IF($D572="","",IF($I572="","(trống REF)",IFERROR(INDEX(MASTER_SOURCE!$B$2:$B$495,MATCH($I572,MASTER_SOURCE!$A$2:$A$495,0)),"(REF không có trong MASTER_SOURCE)")))</f>
        <v/>
      </c>
      <c r="K572" s="22">
        <f t="array" ref="K572">IF($D572="","",IFERROR(INDEX(MASTER_SOURCE!$C$2:$C$495,MATCH($I572,MASTER_SOURCE!$A$2:$A$495,0)),""))</f>
        <v/>
      </c>
      <c r="L572" s="22">
        <f t="array" ref="L572">IF($D572="","",IFERROR(INDEX(MASTER_SOURCE!$D$2:$D$495,MATCH($I572,MASTER_SOURCE!$A$2:$A$495,0)),""))</f>
        <v/>
      </c>
      <c r="M572" s="24" t="n"/>
      <c r="N572" s="24" t="n"/>
      <c r="O572" s="24" t="n"/>
      <c r="P572" s="24" t="n"/>
      <c r="Q572" s="22">
        <f>IF($D572="","",IF(AND(OR(DANH_MUC!$L$5&lt;&gt;"Có",M572="Có"),OR(DANH_MUC!$L$6&lt;&gt;"Có",N572="Có"),OR(DANH_MUC!$L$7&lt;&gt;"Có",O572="Có"),OR(DANH_MUC!$L$8&lt;&gt;"Có",P572="Có")),"Có","Không"))</f>
        <v/>
      </c>
      <c r="R572" s="22">
        <f>IF($D572="","",IF(COUNTIF($D$2:$D572,$D572)&gt;1,"Trùng",""))</f>
        <v/>
      </c>
      <c r="S572" s="22">
        <f>IF($D572="","",IF(AND(LEN($D572)=10,LEFT($D572,1)="0",ISNUMBER(--$D572)),"Có","Không"))</f>
        <v/>
      </c>
      <c r="T572" s="22">
        <f>IF($D572="","",IF(AND($C572&lt;&gt;"",$Q572="Có",$R572="",$S572="Có",AND($L572&lt;&gt;"",OR($L572&lt;&gt;"Chưa xác định",DANH_MUC!$L$9="Có"))),"Có","Không"))</f>
        <v/>
      </c>
      <c r="U572" s="22">
        <f>IF(OR($D572="",$T572="Có"),"",IF($C572="","Thiếu họ tên; ","")&amp;IF($S572&lt;&gt;"Có","SĐT sai định dạng; ","")&amp;IF($R572="Trùng","Trùng SĐT; ","")&amp;IF($Q572&lt;&gt;"Có","Thiếu đồng ý bắt buộc; ","")&amp;IF($L572="","Thiếu/sai Mã REF; ",IF(AND($L572="Chưa xác định",DANH_MUC!$L$9&lt;&gt;"Có"),"Nguồn chưa xác định; ","")))</f>
        <v/>
      </c>
      <c r="V572" s="22">
        <f>IF(OR($D572="",$R572="Trùng"),"",IF(COUNTIF(ORDERS!$C$2:$C$4995,$D572)&gt;0,"Có","Không"))</f>
        <v/>
      </c>
      <c r="W572" s="22">
        <f>IF(OR($D572="",$R572="Trùng"),"",COUNTIFS(ORDERS!$C$2:$C$4995,$D572,ORDERS!$L$2:$L$4995,"Đã chuyển khoản"))</f>
        <v/>
      </c>
      <c r="X572" s="23">
        <f>IF(OR($D572="",$R572="Trùng"),"",SUMIFS(ORDERS!$J$2:$J$4995,ORDERS!$C$2:$C$4995,$D572,ORDERS!$L$2:$L$4995,"Đã chuyển khoản"))</f>
        <v/>
      </c>
      <c r="Y572" s="24" t="n"/>
    </row>
    <row r="573" ht="14.25" customHeight="1" s="40">
      <c r="A573" s="24" t="n"/>
      <c r="B573" s="27" t="n"/>
      <c r="C573" s="24" t="n"/>
      <c r="D573" s="28" t="n"/>
      <c r="E573" s="29" t="n"/>
      <c r="F573" s="24" t="n"/>
      <c r="G573" s="24" t="n"/>
      <c r="H573" s="21">
        <f>IF(ISNUMBER($B573),INT($B573)-WEEKDAY($B573,2)+1,"")</f>
        <v/>
      </c>
      <c r="I573" s="24" t="n"/>
      <c r="J573" s="22">
        <f t="array" ref="J573">IF($D573="","",IF($I573="","(trống REF)",IFERROR(INDEX(MASTER_SOURCE!$B$2:$B$495,MATCH($I573,MASTER_SOURCE!$A$2:$A$495,0)),"(REF không có trong MASTER_SOURCE)")))</f>
        <v/>
      </c>
      <c r="K573" s="22">
        <f t="array" ref="K573">IF($D573="","",IFERROR(INDEX(MASTER_SOURCE!$C$2:$C$495,MATCH($I573,MASTER_SOURCE!$A$2:$A$495,0)),""))</f>
        <v/>
      </c>
      <c r="L573" s="22">
        <f t="array" ref="L573">IF($D573="","",IFERROR(INDEX(MASTER_SOURCE!$D$2:$D$495,MATCH($I573,MASTER_SOURCE!$A$2:$A$495,0)),""))</f>
        <v/>
      </c>
      <c r="M573" s="24" t="n"/>
      <c r="N573" s="24" t="n"/>
      <c r="O573" s="24" t="n"/>
      <c r="P573" s="24" t="n"/>
      <c r="Q573" s="22">
        <f>IF($D573="","",IF(AND(OR(DANH_MUC!$L$5&lt;&gt;"Có",M573="Có"),OR(DANH_MUC!$L$6&lt;&gt;"Có",N573="Có"),OR(DANH_MUC!$L$7&lt;&gt;"Có",O573="Có"),OR(DANH_MUC!$L$8&lt;&gt;"Có",P573="Có")),"Có","Không"))</f>
        <v/>
      </c>
      <c r="R573" s="22">
        <f>IF($D573="","",IF(COUNTIF($D$2:$D573,$D573)&gt;1,"Trùng",""))</f>
        <v/>
      </c>
      <c r="S573" s="22">
        <f>IF($D573="","",IF(AND(LEN($D573)=10,LEFT($D573,1)="0",ISNUMBER(--$D573)),"Có","Không"))</f>
        <v/>
      </c>
      <c r="T573" s="22">
        <f>IF($D573="","",IF(AND($C573&lt;&gt;"",$Q573="Có",$R573="",$S573="Có",AND($L573&lt;&gt;"",OR($L573&lt;&gt;"Chưa xác định",DANH_MUC!$L$9="Có"))),"Có","Không"))</f>
        <v/>
      </c>
      <c r="U573" s="22">
        <f>IF(OR($D573="",$T573="Có"),"",IF($C573="","Thiếu họ tên; ","")&amp;IF($S573&lt;&gt;"Có","SĐT sai định dạng; ","")&amp;IF($R573="Trùng","Trùng SĐT; ","")&amp;IF($Q573&lt;&gt;"Có","Thiếu đồng ý bắt buộc; ","")&amp;IF($L573="","Thiếu/sai Mã REF; ",IF(AND($L573="Chưa xác định",DANH_MUC!$L$9&lt;&gt;"Có"),"Nguồn chưa xác định; ","")))</f>
        <v/>
      </c>
      <c r="V573" s="22">
        <f>IF(OR($D573="",$R573="Trùng"),"",IF(COUNTIF(ORDERS!$C$2:$C$4995,$D573)&gt;0,"Có","Không"))</f>
        <v/>
      </c>
      <c r="W573" s="22">
        <f>IF(OR($D573="",$R573="Trùng"),"",COUNTIFS(ORDERS!$C$2:$C$4995,$D573,ORDERS!$L$2:$L$4995,"Đã chuyển khoản"))</f>
        <v/>
      </c>
      <c r="X573" s="23">
        <f>IF(OR($D573="",$R573="Trùng"),"",SUMIFS(ORDERS!$J$2:$J$4995,ORDERS!$C$2:$C$4995,$D573,ORDERS!$L$2:$L$4995,"Đã chuyển khoản"))</f>
        <v/>
      </c>
      <c r="Y573" s="24" t="n"/>
    </row>
    <row r="574" ht="14.25" customHeight="1" s="40">
      <c r="A574" s="24" t="n"/>
      <c r="B574" s="27" t="n"/>
      <c r="C574" s="24" t="n"/>
      <c r="D574" s="28" t="n"/>
      <c r="E574" s="29" t="n"/>
      <c r="F574" s="24" t="n"/>
      <c r="G574" s="24" t="n"/>
      <c r="H574" s="21">
        <f>IF(ISNUMBER($B574),INT($B574)-WEEKDAY($B574,2)+1,"")</f>
        <v/>
      </c>
      <c r="I574" s="24" t="n"/>
      <c r="J574" s="22">
        <f t="array" ref="J574">IF($D574="","",IF($I574="","(trống REF)",IFERROR(INDEX(MASTER_SOURCE!$B$2:$B$495,MATCH($I574,MASTER_SOURCE!$A$2:$A$495,0)),"(REF không có trong MASTER_SOURCE)")))</f>
        <v/>
      </c>
      <c r="K574" s="22">
        <f t="array" ref="K574">IF($D574="","",IFERROR(INDEX(MASTER_SOURCE!$C$2:$C$495,MATCH($I574,MASTER_SOURCE!$A$2:$A$495,0)),""))</f>
        <v/>
      </c>
      <c r="L574" s="22">
        <f t="array" ref="L574">IF($D574="","",IFERROR(INDEX(MASTER_SOURCE!$D$2:$D$495,MATCH($I574,MASTER_SOURCE!$A$2:$A$495,0)),""))</f>
        <v/>
      </c>
      <c r="M574" s="24" t="n"/>
      <c r="N574" s="24" t="n"/>
      <c r="O574" s="24" t="n"/>
      <c r="P574" s="24" t="n"/>
      <c r="Q574" s="22">
        <f>IF($D574="","",IF(AND(OR(DANH_MUC!$L$5&lt;&gt;"Có",M574="Có"),OR(DANH_MUC!$L$6&lt;&gt;"Có",N574="Có"),OR(DANH_MUC!$L$7&lt;&gt;"Có",O574="Có"),OR(DANH_MUC!$L$8&lt;&gt;"Có",P574="Có")),"Có","Không"))</f>
        <v/>
      </c>
      <c r="R574" s="22">
        <f>IF($D574="","",IF(COUNTIF($D$2:$D574,$D574)&gt;1,"Trùng",""))</f>
        <v/>
      </c>
      <c r="S574" s="22">
        <f>IF($D574="","",IF(AND(LEN($D574)=10,LEFT($D574,1)="0",ISNUMBER(--$D574)),"Có","Không"))</f>
        <v/>
      </c>
      <c r="T574" s="22">
        <f>IF($D574="","",IF(AND($C574&lt;&gt;"",$Q574="Có",$R574="",$S574="Có",AND($L574&lt;&gt;"",OR($L574&lt;&gt;"Chưa xác định",DANH_MUC!$L$9="Có"))),"Có","Không"))</f>
        <v/>
      </c>
      <c r="U574" s="22">
        <f>IF(OR($D574="",$T574="Có"),"",IF($C574="","Thiếu họ tên; ","")&amp;IF($S574&lt;&gt;"Có","SĐT sai định dạng; ","")&amp;IF($R574="Trùng","Trùng SĐT; ","")&amp;IF($Q574&lt;&gt;"Có","Thiếu đồng ý bắt buộc; ","")&amp;IF($L574="","Thiếu/sai Mã REF; ",IF(AND($L574="Chưa xác định",DANH_MUC!$L$9&lt;&gt;"Có"),"Nguồn chưa xác định; ","")))</f>
        <v/>
      </c>
      <c r="V574" s="22">
        <f>IF(OR($D574="",$R574="Trùng"),"",IF(COUNTIF(ORDERS!$C$2:$C$4995,$D574)&gt;0,"Có","Không"))</f>
        <v/>
      </c>
      <c r="W574" s="22">
        <f>IF(OR($D574="",$R574="Trùng"),"",COUNTIFS(ORDERS!$C$2:$C$4995,$D574,ORDERS!$L$2:$L$4995,"Đã chuyển khoản"))</f>
        <v/>
      </c>
      <c r="X574" s="23">
        <f>IF(OR($D574="",$R574="Trùng"),"",SUMIFS(ORDERS!$J$2:$J$4995,ORDERS!$C$2:$C$4995,$D574,ORDERS!$L$2:$L$4995,"Đã chuyển khoản"))</f>
        <v/>
      </c>
      <c r="Y574" s="24" t="n"/>
    </row>
    <row r="575" ht="14.25" customHeight="1" s="40">
      <c r="A575" s="24" t="n"/>
      <c r="B575" s="27" t="n"/>
      <c r="C575" s="24" t="n"/>
      <c r="D575" s="28" t="n"/>
      <c r="E575" s="29" t="n"/>
      <c r="F575" s="24" t="n"/>
      <c r="G575" s="24" t="n"/>
      <c r="H575" s="21">
        <f>IF(ISNUMBER($B575),INT($B575)-WEEKDAY($B575,2)+1,"")</f>
        <v/>
      </c>
      <c r="I575" s="24" t="n"/>
      <c r="J575" s="22">
        <f t="array" ref="J575">IF($D575="","",IF($I575="","(trống REF)",IFERROR(INDEX(MASTER_SOURCE!$B$2:$B$495,MATCH($I575,MASTER_SOURCE!$A$2:$A$495,0)),"(REF không có trong MASTER_SOURCE)")))</f>
        <v/>
      </c>
      <c r="K575" s="22">
        <f t="array" ref="K575">IF($D575="","",IFERROR(INDEX(MASTER_SOURCE!$C$2:$C$495,MATCH($I575,MASTER_SOURCE!$A$2:$A$495,0)),""))</f>
        <v/>
      </c>
      <c r="L575" s="22">
        <f t="array" ref="L575">IF($D575="","",IFERROR(INDEX(MASTER_SOURCE!$D$2:$D$495,MATCH($I575,MASTER_SOURCE!$A$2:$A$495,0)),""))</f>
        <v/>
      </c>
      <c r="M575" s="24" t="n"/>
      <c r="N575" s="24" t="n"/>
      <c r="O575" s="24" t="n"/>
      <c r="P575" s="24" t="n"/>
      <c r="Q575" s="22">
        <f>IF($D575="","",IF(AND(OR(DANH_MUC!$L$5&lt;&gt;"Có",M575="Có"),OR(DANH_MUC!$L$6&lt;&gt;"Có",N575="Có"),OR(DANH_MUC!$L$7&lt;&gt;"Có",O575="Có"),OR(DANH_MUC!$L$8&lt;&gt;"Có",P575="Có")),"Có","Không"))</f>
        <v/>
      </c>
      <c r="R575" s="22">
        <f>IF($D575="","",IF(COUNTIF($D$2:$D575,$D575)&gt;1,"Trùng",""))</f>
        <v/>
      </c>
      <c r="S575" s="22">
        <f>IF($D575="","",IF(AND(LEN($D575)=10,LEFT($D575,1)="0",ISNUMBER(--$D575)),"Có","Không"))</f>
        <v/>
      </c>
      <c r="T575" s="22">
        <f>IF($D575="","",IF(AND($C575&lt;&gt;"",$Q575="Có",$R575="",$S575="Có",AND($L575&lt;&gt;"",OR($L575&lt;&gt;"Chưa xác định",DANH_MUC!$L$9="Có"))),"Có","Không"))</f>
        <v/>
      </c>
      <c r="U575" s="22">
        <f>IF(OR($D575="",$T575="Có"),"",IF($C575="","Thiếu họ tên; ","")&amp;IF($S575&lt;&gt;"Có","SĐT sai định dạng; ","")&amp;IF($R575="Trùng","Trùng SĐT; ","")&amp;IF($Q575&lt;&gt;"Có","Thiếu đồng ý bắt buộc; ","")&amp;IF($L575="","Thiếu/sai Mã REF; ",IF(AND($L575="Chưa xác định",DANH_MUC!$L$9&lt;&gt;"Có"),"Nguồn chưa xác định; ","")))</f>
        <v/>
      </c>
      <c r="V575" s="22">
        <f>IF(OR($D575="",$R575="Trùng"),"",IF(COUNTIF(ORDERS!$C$2:$C$4995,$D575)&gt;0,"Có","Không"))</f>
        <v/>
      </c>
      <c r="W575" s="22">
        <f>IF(OR($D575="",$R575="Trùng"),"",COUNTIFS(ORDERS!$C$2:$C$4995,$D575,ORDERS!$L$2:$L$4995,"Đã chuyển khoản"))</f>
        <v/>
      </c>
      <c r="X575" s="23">
        <f>IF(OR($D575="",$R575="Trùng"),"",SUMIFS(ORDERS!$J$2:$J$4995,ORDERS!$C$2:$C$4995,$D575,ORDERS!$L$2:$L$4995,"Đã chuyển khoản"))</f>
        <v/>
      </c>
      <c r="Y575" s="24" t="n"/>
    </row>
    <row r="576" ht="14.25" customHeight="1" s="40">
      <c r="A576" s="24" t="n"/>
      <c r="B576" s="27" t="n"/>
      <c r="C576" s="24" t="n"/>
      <c r="D576" s="28" t="n"/>
      <c r="E576" s="29" t="n"/>
      <c r="F576" s="24" t="n"/>
      <c r="G576" s="24" t="n"/>
      <c r="H576" s="21">
        <f>IF(ISNUMBER($B576),INT($B576)-WEEKDAY($B576,2)+1,"")</f>
        <v/>
      </c>
      <c r="I576" s="24" t="n"/>
      <c r="J576" s="22">
        <f t="array" ref="J576">IF($D576="","",IF($I576="","(trống REF)",IFERROR(INDEX(MASTER_SOURCE!$B$2:$B$495,MATCH($I576,MASTER_SOURCE!$A$2:$A$495,0)),"(REF không có trong MASTER_SOURCE)")))</f>
        <v/>
      </c>
      <c r="K576" s="22">
        <f t="array" ref="K576">IF($D576="","",IFERROR(INDEX(MASTER_SOURCE!$C$2:$C$495,MATCH($I576,MASTER_SOURCE!$A$2:$A$495,0)),""))</f>
        <v/>
      </c>
      <c r="L576" s="22">
        <f t="array" ref="L576">IF($D576="","",IFERROR(INDEX(MASTER_SOURCE!$D$2:$D$495,MATCH($I576,MASTER_SOURCE!$A$2:$A$495,0)),""))</f>
        <v/>
      </c>
      <c r="M576" s="24" t="n"/>
      <c r="N576" s="24" t="n"/>
      <c r="O576" s="24" t="n"/>
      <c r="P576" s="24" t="n"/>
      <c r="Q576" s="22">
        <f>IF($D576="","",IF(AND(OR(DANH_MUC!$L$5&lt;&gt;"Có",M576="Có"),OR(DANH_MUC!$L$6&lt;&gt;"Có",N576="Có"),OR(DANH_MUC!$L$7&lt;&gt;"Có",O576="Có"),OR(DANH_MUC!$L$8&lt;&gt;"Có",P576="Có")),"Có","Không"))</f>
        <v/>
      </c>
      <c r="R576" s="22">
        <f>IF($D576="","",IF(COUNTIF($D$2:$D576,$D576)&gt;1,"Trùng",""))</f>
        <v/>
      </c>
      <c r="S576" s="22">
        <f>IF($D576="","",IF(AND(LEN($D576)=10,LEFT($D576,1)="0",ISNUMBER(--$D576)),"Có","Không"))</f>
        <v/>
      </c>
      <c r="T576" s="22">
        <f>IF($D576="","",IF(AND($C576&lt;&gt;"",$Q576="Có",$R576="",$S576="Có",AND($L576&lt;&gt;"",OR($L576&lt;&gt;"Chưa xác định",DANH_MUC!$L$9="Có"))),"Có","Không"))</f>
        <v/>
      </c>
      <c r="U576" s="22">
        <f>IF(OR($D576="",$T576="Có"),"",IF($C576="","Thiếu họ tên; ","")&amp;IF($S576&lt;&gt;"Có","SĐT sai định dạng; ","")&amp;IF($R576="Trùng","Trùng SĐT; ","")&amp;IF($Q576&lt;&gt;"Có","Thiếu đồng ý bắt buộc; ","")&amp;IF($L576="","Thiếu/sai Mã REF; ",IF(AND($L576="Chưa xác định",DANH_MUC!$L$9&lt;&gt;"Có"),"Nguồn chưa xác định; ","")))</f>
        <v/>
      </c>
      <c r="V576" s="22">
        <f>IF(OR($D576="",$R576="Trùng"),"",IF(COUNTIF(ORDERS!$C$2:$C$4995,$D576)&gt;0,"Có","Không"))</f>
        <v/>
      </c>
      <c r="W576" s="22">
        <f>IF(OR($D576="",$R576="Trùng"),"",COUNTIFS(ORDERS!$C$2:$C$4995,$D576,ORDERS!$L$2:$L$4995,"Đã chuyển khoản"))</f>
        <v/>
      </c>
      <c r="X576" s="23">
        <f>IF(OR($D576="",$R576="Trùng"),"",SUMIFS(ORDERS!$J$2:$J$4995,ORDERS!$C$2:$C$4995,$D576,ORDERS!$L$2:$L$4995,"Đã chuyển khoản"))</f>
        <v/>
      </c>
      <c r="Y576" s="24" t="n"/>
    </row>
    <row r="577" ht="14.25" customHeight="1" s="40">
      <c r="A577" s="24" t="n"/>
      <c r="B577" s="27" t="n"/>
      <c r="C577" s="24" t="n"/>
      <c r="D577" s="28" t="n"/>
      <c r="E577" s="29" t="n"/>
      <c r="F577" s="24" t="n"/>
      <c r="G577" s="24" t="n"/>
      <c r="H577" s="21">
        <f>IF(ISNUMBER($B577),INT($B577)-WEEKDAY($B577,2)+1,"")</f>
        <v/>
      </c>
      <c r="I577" s="24" t="n"/>
      <c r="J577" s="22">
        <f t="array" ref="J577">IF($D577="","",IF($I577="","(trống REF)",IFERROR(INDEX(MASTER_SOURCE!$B$2:$B$495,MATCH($I577,MASTER_SOURCE!$A$2:$A$495,0)),"(REF không có trong MASTER_SOURCE)")))</f>
        <v/>
      </c>
      <c r="K577" s="22">
        <f t="array" ref="K577">IF($D577="","",IFERROR(INDEX(MASTER_SOURCE!$C$2:$C$495,MATCH($I577,MASTER_SOURCE!$A$2:$A$495,0)),""))</f>
        <v/>
      </c>
      <c r="L577" s="22">
        <f t="array" ref="L577">IF($D577="","",IFERROR(INDEX(MASTER_SOURCE!$D$2:$D$495,MATCH($I577,MASTER_SOURCE!$A$2:$A$495,0)),""))</f>
        <v/>
      </c>
      <c r="M577" s="24" t="n"/>
      <c r="N577" s="24" t="n"/>
      <c r="O577" s="24" t="n"/>
      <c r="P577" s="24" t="n"/>
      <c r="Q577" s="22">
        <f>IF($D577="","",IF(AND(OR(DANH_MUC!$L$5&lt;&gt;"Có",M577="Có"),OR(DANH_MUC!$L$6&lt;&gt;"Có",N577="Có"),OR(DANH_MUC!$L$7&lt;&gt;"Có",O577="Có"),OR(DANH_MUC!$L$8&lt;&gt;"Có",P577="Có")),"Có","Không"))</f>
        <v/>
      </c>
      <c r="R577" s="22">
        <f>IF($D577="","",IF(COUNTIF($D$2:$D577,$D577)&gt;1,"Trùng",""))</f>
        <v/>
      </c>
      <c r="S577" s="22">
        <f>IF($D577="","",IF(AND(LEN($D577)=10,LEFT($D577,1)="0",ISNUMBER(--$D577)),"Có","Không"))</f>
        <v/>
      </c>
      <c r="T577" s="22">
        <f>IF($D577="","",IF(AND($C577&lt;&gt;"",$Q577="Có",$R577="",$S577="Có",AND($L577&lt;&gt;"",OR($L577&lt;&gt;"Chưa xác định",DANH_MUC!$L$9="Có"))),"Có","Không"))</f>
        <v/>
      </c>
      <c r="U577" s="22">
        <f>IF(OR($D577="",$T577="Có"),"",IF($C577="","Thiếu họ tên; ","")&amp;IF($S577&lt;&gt;"Có","SĐT sai định dạng; ","")&amp;IF($R577="Trùng","Trùng SĐT; ","")&amp;IF($Q577&lt;&gt;"Có","Thiếu đồng ý bắt buộc; ","")&amp;IF($L577="","Thiếu/sai Mã REF; ",IF(AND($L577="Chưa xác định",DANH_MUC!$L$9&lt;&gt;"Có"),"Nguồn chưa xác định; ","")))</f>
        <v/>
      </c>
      <c r="V577" s="22">
        <f>IF(OR($D577="",$R577="Trùng"),"",IF(COUNTIF(ORDERS!$C$2:$C$4995,$D577)&gt;0,"Có","Không"))</f>
        <v/>
      </c>
      <c r="W577" s="22">
        <f>IF(OR($D577="",$R577="Trùng"),"",COUNTIFS(ORDERS!$C$2:$C$4995,$D577,ORDERS!$L$2:$L$4995,"Đã chuyển khoản"))</f>
        <v/>
      </c>
      <c r="X577" s="23">
        <f>IF(OR($D577="",$R577="Trùng"),"",SUMIFS(ORDERS!$J$2:$J$4995,ORDERS!$C$2:$C$4995,$D577,ORDERS!$L$2:$L$4995,"Đã chuyển khoản"))</f>
        <v/>
      </c>
      <c r="Y577" s="24" t="n"/>
    </row>
    <row r="578" ht="14.25" customHeight="1" s="40">
      <c r="A578" s="24" t="n"/>
      <c r="B578" s="27" t="n"/>
      <c r="C578" s="24" t="n"/>
      <c r="D578" s="28" t="n"/>
      <c r="E578" s="29" t="n"/>
      <c r="F578" s="24" t="n"/>
      <c r="G578" s="24" t="n"/>
      <c r="H578" s="21">
        <f>IF(ISNUMBER($B578),INT($B578)-WEEKDAY($B578,2)+1,"")</f>
        <v/>
      </c>
      <c r="I578" s="24" t="n"/>
      <c r="J578" s="22">
        <f t="array" ref="J578">IF($D578="","",IF($I578="","(trống REF)",IFERROR(INDEX(MASTER_SOURCE!$B$2:$B$495,MATCH($I578,MASTER_SOURCE!$A$2:$A$495,0)),"(REF không có trong MASTER_SOURCE)")))</f>
        <v/>
      </c>
      <c r="K578" s="22">
        <f t="array" ref="K578">IF($D578="","",IFERROR(INDEX(MASTER_SOURCE!$C$2:$C$495,MATCH($I578,MASTER_SOURCE!$A$2:$A$495,0)),""))</f>
        <v/>
      </c>
      <c r="L578" s="22">
        <f t="array" ref="L578">IF($D578="","",IFERROR(INDEX(MASTER_SOURCE!$D$2:$D$495,MATCH($I578,MASTER_SOURCE!$A$2:$A$495,0)),""))</f>
        <v/>
      </c>
      <c r="M578" s="24" t="n"/>
      <c r="N578" s="24" t="n"/>
      <c r="O578" s="24" t="n"/>
      <c r="P578" s="24" t="n"/>
      <c r="Q578" s="22">
        <f>IF($D578="","",IF(AND(OR(DANH_MUC!$L$5&lt;&gt;"Có",M578="Có"),OR(DANH_MUC!$L$6&lt;&gt;"Có",N578="Có"),OR(DANH_MUC!$L$7&lt;&gt;"Có",O578="Có"),OR(DANH_MUC!$L$8&lt;&gt;"Có",P578="Có")),"Có","Không"))</f>
        <v/>
      </c>
      <c r="R578" s="22">
        <f>IF($D578="","",IF(COUNTIF($D$2:$D578,$D578)&gt;1,"Trùng",""))</f>
        <v/>
      </c>
      <c r="S578" s="22">
        <f>IF($D578="","",IF(AND(LEN($D578)=10,LEFT($D578,1)="0",ISNUMBER(--$D578)),"Có","Không"))</f>
        <v/>
      </c>
      <c r="T578" s="22">
        <f>IF($D578="","",IF(AND($C578&lt;&gt;"",$Q578="Có",$R578="",$S578="Có",AND($L578&lt;&gt;"",OR($L578&lt;&gt;"Chưa xác định",DANH_MUC!$L$9="Có"))),"Có","Không"))</f>
        <v/>
      </c>
      <c r="U578" s="22">
        <f>IF(OR($D578="",$T578="Có"),"",IF($C578="","Thiếu họ tên; ","")&amp;IF($S578&lt;&gt;"Có","SĐT sai định dạng; ","")&amp;IF($R578="Trùng","Trùng SĐT; ","")&amp;IF($Q578&lt;&gt;"Có","Thiếu đồng ý bắt buộc; ","")&amp;IF($L578="","Thiếu/sai Mã REF; ",IF(AND($L578="Chưa xác định",DANH_MUC!$L$9&lt;&gt;"Có"),"Nguồn chưa xác định; ","")))</f>
        <v/>
      </c>
      <c r="V578" s="22">
        <f>IF(OR($D578="",$R578="Trùng"),"",IF(COUNTIF(ORDERS!$C$2:$C$4995,$D578)&gt;0,"Có","Không"))</f>
        <v/>
      </c>
      <c r="W578" s="22">
        <f>IF(OR($D578="",$R578="Trùng"),"",COUNTIFS(ORDERS!$C$2:$C$4995,$D578,ORDERS!$L$2:$L$4995,"Đã chuyển khoản"))</f>
        <v/>
      </c>
      <c r="X578" s="23">
        <f>IF(OR($D578="",$R578="Trùng"),"",SUMIFS(ORDERS!$J$2:$J$4995,ORDERS!$C$2:$C$4995,$D578,ORDERS!$L$2:$L$4995,"Đã chuyển khoản"))</f>
        <v/>
      </c>
      <c r="Y578" s="24" t="n"/>
    </row>
    <row r="579" ht="14.25" customHeight="1" s="40">
      <c r="A579" s="24" t="n"/>
      <c r="B579" s="27" t="n"/>
      <c r="C579" s="24" t="n"/>
      <c r="D579" s="28" t="n"/>
      <c r="E579" s="29" t="n"/>
      <c r="F579" s="24" t="n"/>
      <c r="G579" s="24" t="n"/>
      <c r="H579" s="21">
        <f>IF(ISNUMBER($B579),INT($B579)-WEEKDAY($B579,2)+1,"")</f>
        <v/>
      </c>
      <c r="I579" s="24" t="n"/>
      <c r="J579" s="22">
        <f t="array" ref="J579">IF($D579="","",IF($I579="","(trống REF)",IFERROR(INDEX(MASTER_SOURCE!$B$2:$B$495,MATCH($I579,MASTER_SOURCE!$A$2:$A$495,0)),"(REF không có trong MASTER_SOURCE)")))</f>
        <v/>
      </c>
      <c r="K579" s="22">
        <f t="array" ref="K579">IF($D579="","",IFERROR(INDEX(MASTER_SOURCE!$C$2:$C$495,MATCH($I579,MASTER_SOURCE!$A$2:$A$495,0)),""))</f>
        <v/>
      </c>
      <c r="L579" s="22">
        <f t="array" ref="L579">IF($D579="","",IFERROR(INDEX(MASTER_SOURCE!$D$2:$D$495,MATCH($I579,MASTER_SOURCE!$A$2:$A$495,0)),""))</f>
        <v/>
      </c>
      <c r="M579" s="24" t="n"/>
      <c r="N579" s="24" t="n"/>
      <c r="O579" s="24" t="n"/>
      <c r="P579" s="24" t="n"/>
      <c r="Q579" s="22">
        <f>IF($D579="","",IF(AND(OR(DANH_MUC!$L$5&lt;&gt;"Có",M579="Có"),OR(DANH_MUC!$L$6&lt;&gt;"Có",N579="Có"),OR(DANH_MUC!$L$7&lt;&gt;"Có",O579="Có"),OR(DANH_MUC!$L$8&lt;&gt;"Có",P579="Có")),"Có","Không"))</f>
        <v/>
      </c>
      <c r="R579" s="22">
        <f>IF($D579="","",IF(COUNTIF($D$2:$D579,$D579)&gt;1,"Trùng",""))</f>
        <v/>
      </c>
      <c r="S579" s="22">
        <f>IF($D579="","",IF(AND(LEN($D579)=10,LEFT($D579,1)="0",ISNUMBER(--$D579)),"Có","Không"))</f>
        <v/>
      </c>
      <c r="T579" s="22">
        <f>IF($D579="","",IF(AND($C579&lt;&gt;"",$Q579="Có",$R579="",$S579="Có",AND($L579&lt;&gt;"",OR($L579&lt;&gt;"Chưa xác định",DANH_MUC!$L$9="Có"))),"Có","Không"))</f>
        <v/>
      </c>
      <c r="U579" s="22">
        <f>IF(OR($D579="",$T579="Có"),"",IF($C579="","Thiếu họ tên; ","")&amp;IF($S579&lt;&gt;"Có","SĐT sai định dạng; ","")&amp;IF($R579="Trùng","Trùng SĐT; ","")&amp;IF($Q579&lt;&gt;"Có","Thiếu đồng ý bắt buộc; ","")&amp;IF($L579="","Thiếu/sai Mã REF; ",IF(AND($L579="Chưa xác định",DANH_MUC!$L$9&lt;&gt;"Có"),"Nguồn chưa xác định; ","")))</f>
        <v/>
      </c>
      <c r="V579" s="22">
        <f>IF(OR($D579="",$R579="Trùng"),"",IF(COUNTIF(ORDERS!$C$2:$C$4995,$D579)&gt;0,"Có","Không"))</f>
        <v/>
      </c>
      <c r="W579" s="22">
        <f>IF(OR($D579="",$R579="Trùng"),"",COUNTIFS(ORDERS!$C$2:$C$4995,$D579,ORDERS!$L$2:$L$4995,"Đã chuyển khoản"))</f>
        <v/>
      </c>
      <c r="X579" s="23">
        <f>IF(OR($D579="",$R579="Trùng"),"",SUMIFS(ORDERS!$J$2:$J$4995,ORDERS!$C$2:$C$4995,$D579,ORDERS!$L$2:$L$4995,"Đã chuyển khoản"))</f>
        <v/>
      </c>
      <c r="Y579" s="24" t="n"/>
    </row>
    <row r="580" ht="14.25" customHeight="1" s="40">
      <c r="A580" s="24" t="n"/>
      <c r="B580" s="27" t="n"/>
      <c r="C580" s="24" t="n"/>
      <c r="D580" s="28" t="n"/>
      <c r="E580" s="29" t="n"/>
      <c r="F580" s="24" t="n"/>
      <c r="G580" s="24" t="n"/>
      <c r="H580" s="21">
        <f>IF(ISNUMBER($B580),INT($B580)-WEEKDAY($B580,2)+1,"")</f>
        <v/>
      </c>
      <c r="I580" s="24" t="n"/>
      <c r="J580" s="22">
        <f t="array" ref="J580">IF($D580="","",IF($I580="","(trống REF)",IFERROR(INDEX(MASTER_SOURCE!$B$2:$B$495,MATCH($I580,MASTER_SOURCE!$A$2:$A$495,0)),"(REF không có trong MASTER_SOURCE)")))</f>
        <v/>
      </c>
      <c r="K580" s="22">
        <f t="array" ref="K580">IF($D580="","",IFERROR(INDEX(MASTER_SOURCE!$C$2:$C$495,MATCH($I580,MASTER_SOURCE!$A$2:$A$495,0)),""))</f>
        <v/>
      </c>
      <c r="L580" s="22">
        <f t="array" ref="L580">IF($D580="","",IFERROR(INDEX(MASTER_SOURCE!$D$2:$D$495,MATCH($I580,MASTER_SOURCE!$A$2:$A$495,0)),""))</f>
        <v/>
      </c>
      <c r="M580" s="24" t="n"/>
      <c r="N580" s="24" t="n"/>
      <c r="O580" s="24" t="n"/>
      <c r="P580" s="24" t="n"/>
      <c r="Q580" s="22">
        <f>IF($D580="","",IF(AND(OR(DANH_MUC!$L$5&lt;&gt;"Có",M580="Có"),OR(DANH_MUC!$L$6&lt;&gt;"Có",N580="Có"),OR(DANH_MUC!$L$7&lt;&gt;"Có",O580="Có"),OR(DANH_MUC!$L$8&lt;&gt;"Có",P580="Có")),"Có","Không"))</f>
        <v/>
      </c>
      <c r="R580" s="22">
        <f>IF($D580="","",IF(COUNTIF($D$2:$D580,$D580)&gt;1,"Trùng",""))</f>
        <v/>
      </c>
      <c r="S580" s="22">
        <f>IF($D580="","",IF(AND(LEN($D580)=10,LEFT($D580,1)="0",ISNUMBER(--$D580)),"Có","Không"))</f>
        <v/>
      </c>
      <c r="T580" s="22">
        <f>IF($D580="","",IF(AND($C580&lt;&gt;"",$Q580="Có",$R580="",$S580="Có",AND($L580&lt;&gt;"",OR($L580&lt;&gt;"Chưa xác định",DANH_MUC!$L$9="Có"))),"Có","Không"))</f>
        <v/>
      </c>
      <c r="U580" s="22">
        <f>IF(OR($D580="",$T580="Có"),"",IF($C580="","Thiếu họ tên; ","")&amp;IF($S580&lt;&gt;"Có","SĐT sai định dạng; ","")&amp;IF($R580="Trùng","Trùng SĐT; ","")&amp;IF($Q580&lt;&gt;"Có","Thiếu đồng ý bắt buộc; ","")&amp;IF($L580="","Thiếu/sai Mã REF; ",IF(AND($L580="Chưa xác định",DANH_MUC!$L$9&lt;&gt;"Có"),"Nguồn chưa xác định; ","")))</f>
        <v/>
      </c>
      <c r="V580" s="22">
        <f>IF(OR($D580="",$R580="Trùng"),"",IF(COUNTIF(ORDERS!$C$2:$C$4995,$D580)&gt;0,"Có","Không"))</f>
        <v/>
      </c>
      <c r="W580" s="22">
        <f>IF(OR($D580="",$R580="Trùng"),"",COUNTIFS(ORDERS!$C$2:$C$4995,$D580,ORDERS!$L$2:$L$4995,"Đã chuyển khoản"))</f>
        <v/>
      </c>
      <c r="X580" s="23">
        <f>IF(OR($D580="",$R580="Trùng"),"",SUMIFS(ORDERS!$J$2:$J$4995,ORDERS!$C$2:$C$4995,$D580,ORDERS!$L$2:$L$4995,"Đã chuyển khoản"))</f>
        <v/>
      </c>
      <c r="Y580" s="24" t="n"/>
    </row>
    <row r="581" ht="14.25" customHeight="1" s="40">
      <c r="A581" s="24" t="n"/>
      <c r="B581" s="27" t="n"/>
      <c r="C581" s="24" t="n"/>
      <c r="D581" s="28" t="n"/>
      <c r="E581" s="29" t="n"/>
      <c r="F581" s="24" t="n"/>
      <c r="G581" s="24" t="n"/>
      <c r="H581" s="21">
        <f>IF(ISNUMBER($B581),INT($B581)-WEEKDAY($B581,2)+1,"")</f>
        <v/>
      </c>
      <c r="I581" s="24" t="n"/>
      <c r="J581" s="22">
        <f t="array" ref="J581">IF($D581="","",IF($I581="","(trống REF)",IFERROR(INDEX(MASTER_SOURCE!$B$2:$B$495,MATCH($I581,MASTER_SOURCE!$A$2:$A$495,0)),"(REF không có trong MASTER_SOURCE)")))</f>
        <v/>
      </c>
      <c r="K581" s="22">
        <f t="array" ref="K581">IF($D581="","",IFERROR(INDEX(MASTER_SOURCE!$C$2:$C$495,MATCH($I581,MASTER_SOURCE!$A$2:$A$495,0)),""))</f>
        <v/>
      </c>
      <c r="L581" s="22">
        <f t="array" ref="L581">IF($D581="","",IFERROR(INDEX(MASTER_SOURCE!$D$2:$D$495,MATCH($I581,MASTER_SOURCE!$A$2:$A$495,0)),""))</f>
        <v/>
      </c>
      <c r="M581" s="24" t="n"/>
      <c r="N581" s="24" t="n"/>
      <c r="O581" s="24" t="n"/>
      <c r="P581" s="24" t="n"/>
      <c r="Q581" s="22">
        <f>IF($D581="","",IF(AND(OR(DANH_MUC!$L$5&lt;&gt;"Có",M581="Có"),OR(DANH_MUC!$L$6&lt;&gt;"Có",N581="Có"),OR(DANH_MUC!$L$7&lt;&gt;"Có",O581="Có"),OR(DANH_MUC!$L$8&lt;&gt;"Có",P581="Có")),"Có","Không"))</f>
        <v/>
      </c>
      <c r="R581" s="22">
        <f>IF($D581="","",IF(COUNTIF($D$2:$D581,$D581)&gt;1,"Trùng",""))</f>
        <v/>
      </c>
      <c r="S581" s="22">
        <f>IF($D581="","",IF(AND(LEN($D581)=10,LEFT($D581,1)="0",ISNUMBER(--$D581)),"Có","Không"))</f>
        <v/>
      </c>
      <c r="T581" s="22">
        <f>IF($D581="","",IF(AND($C581&lt;&gt;"",$Q581="Có",$R581="",$S581="Có",AND($L581&lt;&gt;"",OR($L581&lt;&gt;"Chưa xác định",DANH_MUC!$L$9="Có"))),"Có","Không"))</f>
        <v/>
      </c>
      <c r="U581" s="22">
        <f>IF(OR($D581="",$T581="Có"),"",IF($C581="","Thiếu họ tên; ","")&amp;IF($S581&lt;&gt;"Có","SĐT sai định dạng; ","")&amp;IF($R581="Trùng","Trùng SĐT; ","")&amp;IF($Q581&lt;&gt;"Có","Thiếu đồng ý bắt buộc; ","")&amp;IF($L581="","Thiếu/sai Mã REF; ",IF(AND($L581="Chưa xác định",DANH_MUC!$L$9&lt;&gt;"Có"),"Nguồn chưa xác định; ","")))</f>
        <v/>
      </c>
      <c r="V581" s="22">
        <f>IF(OR($D581="",$R581="Trùng"),"",IF(COUNTIF(ORDERS!$C$2:$C$4995,$D581)&gt;0,"Có","Không"))</f>
        <v/>
      </c>
      <c r="W581" s="22">
        <f>IF(OR($D581="",$R581="Trùng"),"",COUNTIFS(ORDERS!$C$2:$C$4995,$D581,ORDERS!$L$2:$L$4995,"Đã chuyển khoản"))</f>
        <v/>
      </c>
      <c r="X581" s="23">
        <f>IF(OR($D581="",$R581="Trùng"),"",SUMIFS(ORDERS!$J$2:$J$4995,ORDERS!$C$2:$C$4995,$D581,ORDERS!$L$2:$L$4995,"Đã chuyển khoản"))</f>
        <v/>
      </c>
      <c r="Y581" s="24" t="n"/>
    </row>
    <row r="582" ht="14.25" customHeight="1" s="40">
      <c r="A582" s="24" t="n"/>
      <c r="B582" s="27" t="n"/>
      <c r="C582" s="24" t="n"/>
      <c r="D582" s="28" t="n"/>
      <c r="E582" s="29" t="n"/>
      <c r="F582" s="24" t="n"/>
      <c r="G582" s="24" t="n"/>
      <c r="H582" s="21">
        <f>IF(ISNUMBER($B582),INT($B582)-WEEKDAY($B582,2)+1,"")</f>
        <v/>
      </c>
      <c r="I582" s="24" t="n"/>
      <c r="J582" s="22">
        <f t="array" ref="J582">IF($D582="","",IF($I582="","(trống REF)",IFERROR(INDEX(MASTER_SOURCE!$B$2:$B$495,MATCH($I582,MASTER_SOURCE!$A$2:$A$495,0)),"(REF không có trong MASTER_SOURCE)")))</f>
        <v/>
      </c>
      <c r="K582" s="22">
        <f t="array" ref="K582">IF($D582="","",IFERROR(INDEX(MASTER_SOURCE!$C$2:$C$495,MATCH($I582,MASTER_SOURCE!$A$2:$A$495,0)),""))</f>
        <v/>
      </c>
      <c r="L582" s="22">
        <f t="array" ref="L582">IF($D582="","",IFERROR(INDEX(MASTER_SOURCE!$D$2:$D$495,MATCH($I582,MASTER_SOURCE!$A$2:$A$495,0)),""))</f>
        <v/>
      </c>
      <c r="M582" s="24" t="n"/>
      <c r="N582" s="24" t="n"/>
      <c r="O582" s="24" t="n"/>
      <c r="P582" s="24" t="n"/>
      <c r="Q582" s="22">
        <f>IF($D582="","",IF(AND(OR(DANH_MUC!$L$5&lt;&gt;"Có",M582="Có"),OR(DANH_MUC!$L$6&lt;&gt;"Có",N582="Có"),OR(DANH_MUC!$L$7&lt;&gt;"Có",O582="Có"),OR(DANH_MUC!$L$8&lt;&gt;"Có",P582="Có")),"Có","Không"))</f>
        <v/>
      </c>
      <c r="R582" s="22">
        <f>IF($D582="","",IF(COUNTIF($D$2:$D582,$D582)&gt;1,"Trùng",""))</f>
        <v/>
      </c>
      <c r="S582" s="22">
        <f>IF($D582="","",IF(AND(LEN($D582)=10,LEFT($D582,1)="0",ISNUMBER(--$D582)),"Có","Không"))</f>
        <v/>
      </c>
      <c r="T582" s="22">
        <f>IF($D582="","",IF(AND($C582&lt;&gt;"",$Q582="Có",$R582="",$S582="Có",AND($L582&lt;&gt;"",OR($L582&lt;&gt;"Chưa xác định",DANH_MUC!$L$9="Có"))),"Có","Không"))</f>
        <v/>
      </c>
      <c r="U582" s="22">
        <f>IF(OR($D582="",$T582="Có"),"",IF($C582="","Thiếu họ tên; ","")&amp;IF($S582&lt;&gt;"Có","SĐT sai định dạng; ","")&amp;IF($R582="Trùng","Trùng SĐT; ","")&amp;IF($Q582&lt;&gt;"Có","Thiếu đồng ý bắt buộc; ","")&amp;IF($L582="","Thiếu/sai Mã REF; ",IF(AND($L582="Chưa xác định",DANH_MUC!$L$9&lt;&gt;"Có"),"Nguồn chưa xác định; ","")))</f>
        <v/>
      </c>
      <c r="V582" s="22">
        <f>IF(OR($D582="",$R582="Trùng"),"",IF(COUNTIF(ORDERS!$C$2:$C$4995,$D582)&gt;0,"Có","Không"))</f>
        <v/>
      </c>
      <c r="W582" s="22">
        <f>IF(OR($D582="",$R582="Trùng"),"",COUNTIFS(ORDERS!$C$2:$C$4995,$D582,ORDERS!$L$2:$L$4995,"Đã chuyển khoản"))</f>
        <v/>
      </c>
      <c r="X582" s="23">
        <f>IF(OR($D582="",$R582="Trùng"),"",SUMIFS(ORDERS!$J$2:$J$4995,ORDERS!$C$2:$C$4995,$D582,ORDERS!$L$2:$L$4995,"Đã chuyển khoản"))</f>
        <v/>
      </c>
      <c r="Y582" s="24" t="n"/>
    </row>
    <row r="583" ht="14.25" customHeight="1" s="40">
      <c r="A583" s="24" t="n"/>
      <c r="B583" s="27" t="n"/>
      <c r="C583" s="24" t="n"/>
      <c r="D583" s="28" t="n"/>
      <c r="E583" s="29" t="n"/>
      <c r="F583" s="24" t="n"/>
      <c r="G583" s="24" t="n"/>
      <c r="H583" s="21">
        <f>IF(ISNUMBER($B583),INT($B583)-WEEKDAY($B583,2)+1,"")</f>
        <v/>
      </c>
      <c r="I583" s="24" t="n"/>
      <c r="J583" s="22">
        <f t="array" ref="J583">IF($D583="","",IF($I583="","(trống REF)",IFERROR(INDEX(MASTER_SOURCE!$B$2:$B$495,MATCH($I583,MASTER_SOURCE!$A$2:$A$495,0)),"(REF không có trong MASTER_SOURCE)")))</f>
        <v/>
      </c>
      <c r="K583" s="22">
        <f t="array" ref="K583">IF($D583="","",IFERROR(INDEX(MASTER_SOURCE!$C$2:$C$495,MATCH($I583,MASTER_SOURCE!$A$2:$A$495,0)),""))</f>
        <v/>
      </c>
      <c r="L583" s="22">
        <f t="array" ref="L583">IF($D583="","",IFERROR(INDEX(MASTER_SOURCE!$D$2:$D$495,MATCH($I583,MASTER_SOURCE!$A$2:$A$495,0)),""))</f>
        <v/>
      </c>
      <c r="M583" s="24" t="n"/>
      <c r="N583" s="24" t="n"/>
      <c r="O583" s="24" t="n"/>
      <c r="P583" s="24" t="n"/>
      <c r="Q583" s="22">
        <f>IF($D583="","",IF(AND(OR(DANH_MUC!$L$5&lt;&gt;"Có",M583="Có"),OR(DANH_MUC!$L$6&lt;&gt;"Có",N583="Có"),OR(DANH_MUC!$L$7&lt;&gt;"Có",O583="Có"),OR(DANH_MUC!$L$8&lt;&gt;"Có",P583="Có")),"Có","Không"))</f>
        <v/>
      </c>
      <c r="R583" s="22">
        <f>IF($D583="","",IF(COUNTIF($D$2:$D583,$D583)&gt;1,"Trùng",""))</f>
        <v/>
      </c>
      <c r="S583" s="22">
        <f>IF($D583="","",IF(AND(LEN($D583)=10,LEFT($D583,1)="0",ISNUMBER(--$D583)),"Có","Không"))</f>
        <v/>
      </c>
      <c r="T583" s="22">
        <f>IF($D583="","",IF(AND($C583&lt;&gt;"",$Q583="Có",$R583="",$S583="Có",AND($L583&lt;&gt;"",OR($L583&lt;&gt;"Chưa xác định",DANH_MUC!$L$9="Có"))),"Có","Không"))</f>
        <v/>
      </c>
      <c r="U583" s="22">
        <f>IF(OR($D583="",$T583="Có"),"",IF($C583="","Thiếu họ tên; ","")&amp;IF($S583&lt;&gt;"Có","SĐT sai định dạng; ","")&amp;IF($R583="Trùng","Trùng SĐT; ","")&amp;IF($Q583&lt;&gt;"Có","Thiếu đồng ý bắt buộc; ","")&amp;IF($L583="","Thiếu/sai Mã REF; ",IF(AND($L583="Chưa xác định",DANH_MUC!$L$9&lt;&gt;"Có"),"Nguồn chưa xác định; ","")))</f>
        <v/>
      </c>
      <c r="V583" s="22">
        <f>IF(OR($D583="",$R583="Trùng"),"",IF(COUNTIF(ORDERS!$C$2:$C$4995,$D583)&gt;0,"Có","Không"))</f>
        <v/>
      </c>
      <c r="W583" s="22">
        <f>IF(OR($D583="",$R583="Trùng"),"",COUNTIFS(ORDERS!$C$2:$C$4995,$D583,ORDERS!$L$2:$L$4995,"Đã chuyển khoản"))</f>
        <v/>
      </c>
      <c r="X583" s="23">
        <f>IF(OR($D583="",$R583="Trùng"),"",SUMIFS(ORDERS!$J$2:$J$4995,ORDERS!$C$2:$C$4995,$D583,ORDERS!$L$2:$L$4995,"Đã chuyển khoản"))</f>
        <v/>
      </c>
      <c r="Y583" s="24" t="n"/>
    </row>
    <row r="584" ht="14.25" customHeight="1" s="40">
      <c r="A584" s="24" t="n"/>
      <c r="B584" s="27" t="n"/>
      <c r="C584" s="24" t="n"/>
      <c r="D584" s="28" t="n"/>
      <c r="E584" s="29" t="n"/>
      <c r="F584" s="24" t="n"/>
      <c r="G584" s="24" t="n"/>
      <c r="H584" s="21">
        <f>IF(ISNUMBER($B584),INT($B584)-WEEKDAY($B584,2)+1,"")</f>
        <v/>
      </c>
      <c r="I584" s="24" t="n"/>
      <c r="J584" s="22">
        <f t="array" ref="J584">IF($D584="","",IF($I584="","(trống REF)",IFERROR(INDEX(MASTER_SOURCE!$B$2:$B$495,MATCH($I584,MASTER_SOURCE!$A$2:$A$495,0)),"(REF không có trong MASTER_SOURCE)")))</f>
        <v/>
      </c>
      <c r="K584" s="22">
        <f t="array" ref="K584">IF($D584="","",IFERROR(INDEX(MASTER_SOURCE!$C$2:$C$495,MATCH($I584,MASTER_SOURCE!$A$2:$A$495,0)),""))</f>
        <v/>
      </c>
      <c r="L584" s="22">
        <f t="array" ref="L584">IF($D584="","",IFERROR(INDEX(MASTER_SOURCE!$D$2:$D$495,MATCH($I584,MASTER_SOURCE!$A$2:$A$495,0)),""))</f>
        <v/>
      </c>
      <c r="M584" s="24" t="n"/>
      <c r="N584" s="24" t="n"/>
      <c r="O584" s="24" t="n"/>
      <c r="P584" s="24" t="n"/>
      <c r="Q584" s="22">
        <f>IF($D584="","",IF(AND(OR(DANH_MUC!$L$5&lt;&gt;"Có",M584="Có"),OR(DANH_MUC!$L$6&lt;&gt;"Có",N584="Có"),OR(DANH_MUC!$L$7&lt;&gt;"Có",O584="Có"),OR(DANH_MUC!$L$8&lt;&gt;"Có",P584="Có")),"Có","Không"))</f>
        <v/>
      </c>
      <c r="R584" s="22">
        <f>IF($D584="","",IF(COUNTIF($D$2:$D584,$D584)&gt;1,"Trùng",""))</f>
        <v/>
      </c>
      <c r="S584" s="22">
        <f>IF($D584="","",IF(AND(LEN($D584)=10,LEFT($D584,1)="0",ISNUMBER(--$D584)),"Có","Không"))</f>
        <v/>
      </c>
      <c r="T584" s="22">
        <f>IF($D584="","",IF(AND($C584&lt;&gt;"",$Q584="Có",$R584="",$S584="Có",AND($L584&lt;&gt;"",OR($L584&lt;&gt;"Chưa xác định",DANH_MUC!$L$9="Có"))),"Có","Không"))</f>
        <v/>
      </c>
      <c r="U584" s="22">
        <f>IF(OR($D584="",$T584="Có"),"",IF($C584="","Thiếu họ tên; ","")&amp;IF($S584&lt;&gt;"Có","SĐT sai định dạng; ","")&amp;IF($R584="Trùng","Trùng SĐT; ","")&amp;IF($Q584&lt;&gt;"Có","Thiếu đồng ý bắt buộc; ","")&amp;IF($L584="","Thiếu/sai Mã REF; ",IF(AND($L584="Chưa xác định",DANH_MUC!$L$9&lt;&gt;"Có"),"Nguồn chưa xác định; ","")))</f>
        <v/>
      </c>
      <c r="V584" s="22">
        <f>IF(OR($D584="",$R584="Trùng"),"",IF(COUNTIF(ORDERS!$C$2:$C$4995,$D584)&gt;0,"Có","Không"))</f>
        <v/>
      </c>
      <c r="W584" s="22">
        <f>IF(OR($D584="",$R584="Trùng"),"",COUNTIFS(ORDERS!$C$2:$C$4995,$D584,ORDERS!$L$2:$L$4995,"Đã chuyển khoản"))</f>
        <v/>
      </c>
      <c r="X584" s="23">
        <f>IF(OR($D584="",$R584="Trùng"),"",SUMIFS(ORDERS!$J$2:$J$4995,ORDERS!$C$2:$C$4995,$D584,ORDERS!$L$2:$L$4995,"Đã chuyển khoản"))</f>
        <v/>
      </c>
      <c r="Y584" s="24" t="n"/>
    </row>
    <row r="585" ht="14.25" customHeight="1" s="40">
      <c r="A585" s="24" t="n"/>
      <c r="B585" s="27" t="n"/>
      <c r="C585" s="24" t="n"/>
      <c r="D585" s="28" t="n"/>
      <c r="E585" s="29" t="n"/>
      <c r="F585" s="24" t="n"/>
      <c r="G585" s="24" t="n"/>
      <c r="H585" s="21">
        <f>IF(ISNUMBER($B585),INT($B585)-WEEKDAY($B585,2)+1,"")</f>
        <v/>
      </c>
      <c r="I585" s="24" t="n"/>
      <c r="J585" s="22">
        <f t="array" ref="J585">IF($D585="","",IF($I585="","(trống REF)",IFERROR(INDEX(MASTER_SOURCE!$B$2:$B$495,MATCH($I585,MASTER_SOURCE!$A$2:$A$495,0)),"(REF không có trong MASTER_SOURCE)")))</f>
        <v/>
      </c>
      <c r="K585" s="22">
        <f t="array" ref="K585">IF($D585="","",IFERROR(INDEX(MASTER_SOURCE!$C$2:$C$495,MATCH($I585,MASTER_SOURCE!$A$2:$A$495,0)),""))</f>
        <v/>
      </c>
      <c r="L585" s="22">
        <f t="array" ref="L585">IF($D585="","",IFERROR(INDEX(MASTER_SOURCE!$D$2:$D$495,MATCH($I585,MASTER_SOURCE!$A$2:$A$495,0)),""))</f>
        <v/>
      </c>
      <c r="M585" s="24" t="n"/>
      <c r="N585" s="24" t="n"/>
      <c r="O585" s="24" t="n"/>
      <c r="P585" s="24" t="n"/>
      <c r="Q585" s="22">
        <f>IF($D585="","",IF(AND(OR(DANH_MUC!$L$5&lt;&gt;"Có",M585="Có"),OR(DANH_MUC!$L$6&lt;&gt;"Có",N585="Có"),OR(DANH_MUC!$L$7&lt;&gt;"Có",O585="Có"),OR(DANH_MUC!$L$8&lt;&gt;"Có",P585="Có")),"Có","Không"))</f>
        <v/>
      </c>
      <c r="R585" s="22">
        <f>IF($D585="","",IF(COUNTIF($D$2:$D585,$D585)&gt;1,"Trùng",""))</f>
        <v/>
      </c>
      <c r="S585" s="22">
        <f>IF($D585="","",IF(AND(LEN($D585)=10,LEFT($D585,1)="0",ISNUMBER(--$D585)),"Có","Không"))</f>
        <v/>
      </c>
      <c r="T585" s="22">
        <f>IF($D585="","",IF(AND($C585&lt;&gt;"",$Q585="Có",$R585="",$S585="Có",AND($L585&lt;&gt;"",OR($L585&lt;&gt;"Chưa xác định",DANH_MUC!$L$9="Có"))),"Có","Không"))</f>
        <v/>
      </c>
      <c r="U585" s="22">
        <f>IF(OR($D585="",$T585="Có"),"",IF($C585="","Thiếu họ tên; ","")&amp;IF($S585&lt;&gt;"Có","SĐT sai định dạng; ","")&amp;IF($R585="Trùng","Trùng SĐT; ","")&amp;IF($Q585&lt;&gt;"Có","Thiếu đồng ý bắt buộc; ","")&amp;IF($L585="","Thiếu/sai Mã REF; ",IF(AND($L585="Chưa xác định",DANH_MUC!$L$9&lt;&gt;"Có"),"Nguồn chưa xác định; ","")))</f>
        <v/>
      </c>
      <c r="V585" s="22">
        <f>IF(OR($D585="",$R585="Trùng"),"",IF(COUNTIF(ORDERS!$C$2:$C$4995,$D585)&gt;0,"Có","Không"))</f>
        <v/>
      </c>
      <c r="W585" s="22">
        <f>IF(OR($D585="",$R585="Trùng"),"",COUNTIFS(ORDERS!$C$2:$C$4995,$D585,ORDERS!$L$2:$L$4995,"Đã chuyển khoản"))</f>
        <v/>
      </c>
      <c r="X585" s="23">
        <f>IF(OR($D585="",$R585="Trùng"),"",SUMIFS(ORDERS!$J$2:$J$4995,ORDERS!$C$2:$C$4995,$D585,ORDERS!$L$2:$L$4995,"Đã chuyển khoản"))</f>
        <v/>
      </c>
      <c r="Y585" s="24" t="n"/>
    </row>
    <row r="586" ht="14.25" customHeight="1" s="40">
      <c r="A586" s="24" t="n"/>
      <c r="B586" s="27" t="n"/>
      <c r="C586" s="24" t="n"/>
      <c r="D586" s="28" t="n"/>
      <c r="E586" s="29" t="n"/>
      <c r="F586" s="24" t="n"/>
      <c r="G586" s="24" t="n"/>
      <c r="H586" s="21">
        <f>IF(ISNUMBER($B586),INT($B586)-WEEKDAY($B586,2)+1,"")</f>
        <v/>
      </c>
      <c r="I586" s="24" t="n"/>
      <c r="J586" s="22">
        <f t="array" ref="J586">IF($D586="","",IF($I586="","(trống REF)",IFERROR(INDEX(MASTER_SOURCE!$B$2:$B$495,MATCH($I586,MASTER_SOURCE!$A$2:$A$495,0)),"(REF không có trong MASTER_SOURCE)")))</f>
        <v/>
      </c>
      <c r="K586" s="22">
        <f t="array" ref="K586">IF($D586="","",IFERROR(INDEX(MASTER_SOURCE!$C$2:$C$495,MATCH($I586,MASTER_SOURCE!$A$2:$A$495,0)),""))</f>
        <v/>
      </c>
      <c r="L586" s="22">
        <f t="array" ref="L586">IF($D586="","",IFERROR(INDEX(MASTER_SOURCE!$D$2:$D$495,MATCH($I586,MASTER_SOURCE!$A$2:$A$495,0)),""))</f>
        <v/>
      </c>
      <c r="M586" s="24" t="n"/>
      <c r="N586" s="24" t="n"/>
      <c r="O586" s="24" t="n"/>
      <c r="P586" s="24" t="n"/>
      <c r="Q586" s="22">
        <f>IF($D586="","",IF(AND(OR(DANH_MUC!$L$5&lt;&gt;"Có",M586="Có"),OR(DANH_MUC!$L$6&lt;&gt;"Có",N586="Có"),OR(DANH_MUC!$L$7&lt;&gt;"Có",O586="Có"),OR(DANH_MUC!$L$8&lt;&gt;"Có",P586="Có")),"Có","Không"))</f>
        <v/>
      </c>
      <c r="R586" s="22">
        <f>IF($D586="","",IF(COUNTIF($D$2:$D586,$D586)&gt;1,"Trùng",""))</f>
        <v/>
      </c>
      <c r="S586" s="22">
        <f>IF($D586="","",IF(AND(LEN($D586)=10,LEFT($D586,1)="0",ISNUMBER(--$D586)),"Có","Không"))</f>
        <v/>
      </c>
      <c r="T586" s="22">
        <f>IF($D586="","",IF(AND($C586&lt;&gt;"",$Q586="Có",$R586="",$S586="Có",AND($L586&lt;&gt;"",OR($L586&lt;&gt;"Chưa xác định",DANH_MUC!$L$9="Có"))),"Có","Không"))</f>
        <v/>
      </c>
      <c r="U586" s="22">
        <f>IF(OR($D586="",$T586="Có"),"",IF($C586="","Thiếu họ tên; ","")&amp;IF($S586&lt;&gt;"Có","SĐT sai định dạng; ","")&amp;IF($R586="Trùng","Trùng SĐT; ","")&amp;IF($Q586&lt;&gt;"Có","Thiếu đồng ý bắt buộc; ","")&amp;IF($L586="","Thiếu/sai Mã REF; ",IF(AND($L586="Chưa xác định",DANH_MUC!$L$9&lt;&gt;"Có"),"Nguồn chưa xác định; ","")))</f>
        <v/>
      </c>
      <c r="V586" s="22">
        <f>IF(OR($D586="",$R586="Trùng"),"",IF(COUNTIF(ORDERS!$C$2:$C$4995,$D586)&gt;0,"Có","Không"))</f>
        <v/>
      </c>
      <c r="W586" s="22">
        <f>IF(OR($D586="",$R586="Trùng"),"",COUNTIFS(ORDERS!$C$2:$C$4995,$D586,ORDERS!$L$2:$L$4995,"Đã chuyển khoản"))</f>
        <v/>
      </c>
      <c r="X586" s="23">
        <f>IF(OR($D586="",$R586="Trùng"),"",SUMIFS(ORDERS!$J$2:$J$4995,ORDERS!$C$2:$C$4995,$D586,ORDERS!$L$2:$L$4995,"Đã chuyển khoản"))</f>
        <v/>
      </c>
      <c r="Y586" s="24" t="n"/>
    </row>
    <row r="587" ht="14.25" customHeight="1" s="40">
      <c r="A587" s="24" t="n"/>
      <c r="B587" s="27" t="n"/>
      <c r="C587" s="24" t="n"/>
      <c r="D587" s="28" t="n"/>
      <c r="E587" s="29" t="n"/>
      <c r="F587" s="24" t="n"/>
      <c r="G587" s="24" t="n"/>
      <c r="H587" s="21">
        <f>IF(ISNUMBER($B587),INT($B587)-WEEKDAY($B587,2)+1,"")</f>
        <v/>
      </c>
      <c r="I587" s="24" t="n"/>
      <c r="J587" s="22">
        <f t="array" ref="J587">IF($D587="","",IF($I587="","(trống REF)",IFERROR(INDEX(MASTER_SOURCE!$B$2:$B$495,MATCH($I587,MASTER_SOURCE!$A$2:$A$495,0)),"(REF không có trong MASTER_SOURCE)")))</f>
        <v/>
      </c>
      <c r="K587" s="22">
        <f t="array" ref="K587">IF($D587="","",IFERROR(INDEX(MASTER_SOURCE!$C$2:$C$495,MATCH($I587,MASTER_SOURCE!$A$2:$A$495,0)),""))</f>
        <v/>
      </c>
      <c r="L587" s="22">
        <f t="array" ref="L587">IF($D587="","",IFERROR(INDEX(MASTER_SOURCE!$D$2:$D$495,MATCH($I587,MASTER_SOURCE!$A$2:$A$495,0)),""))</f>
        <v/>
      </c>
      <c r="M587" s="24" t="n"/>
      <c r="N587" s="24" t="n"/>
      <c r="O587" s="24" t="n"/>
      <c r="P587" s="24" t="n"/>
      <c r="Q587" s="22">
        <f>IF($D587="","",IF(AND(OR(DANH_MUC!$L$5&lt;&gt;"Có",M587="Có"),OR(DANH_MUC!$L$6&lt;&gt;"Có",N587="Có"),OR(DANH_MUC!$L$7&lt;&gt;"Có",O587="Có"),OR(DANH_MUC!$L$8&lt;&gt;"Có",P587="Có")),"Có","Không"))</f>
        <v/>
      </c>
      <c r="R587" s="22">
        <f>IF($D587="","",IF(COUNTIF($D$2:$D587,$D587)&gt;1,"Trùng",""))</f>
        <v/>
      </c>
      <c r="S587" s="22">
        <f>IF($D587="","",IF(AND(LEN($D587)=10,LEFT($D587,1)="0",ISNUMBER(--$D587)),"Có","Không"))</f>
        <v/>
      </c>
      <c r="T587" s="22">
        <f>IF($D587="","",IF(AND($C587&lt;&gt;"",$Q587="Có",$R587="",$S587="Có",AND($L587&lt;&gt;"",OR($L587&lt;&gt;"Chưa xác định",DANH_MUC!$L$9="Có"))),"Có","Không"))</f>
        <v/>
      </c>
      <c r="U587" s="22">
        <f>IF(OR($D587="",$T587="Có"),"",IF($C587="","Thiếu họ tên; ","")&amp;IF($S587&lt;&gt;"Có","SĐT sai định dạng; ","")&amp;IF($R587="Trùng","Trùng SĐT; ","")&amp;IF($Q587&lt;&gt;"Có","Thiếu đồng ý bắt buộc; ","")&amp;IF($L587="","Thiếu/sai Mã REF; ",IF(AND($L587="Chưa xác định",DANH_MUC!$L$9&lt;&gt;"Có"),"Nguồn chưa xác định; ","")))</f>
        <v/>
      </c>
      <c r="V587" s="22">
        <f>IF(OR($D587="",$R587="Trùng"),"",IF(COUNTIF(ORDERS!$C$2:$C$4995,$D587)&gt;0,"Có","Không"))</f>
        <v/>
      </c>
      <c r="W587" s="22">
        <f>IF(OR($D587="",$R587="Trùng"),"",COUNTIFS(ORDERS!$C$2:$C$4995,$D587,ORDERS!$L$2:$L$4995,"Đã chuyển khoản"))</f>
        <v/>
      </c>
      <c r="X587" s="23">
        <f>IF(OR($D587="",$R587="Trùng"),"",SUMIFS(ORDERS!$J$2:$J$4995,ORDERS!$C$2:$C$4995,$D587,ORDERS!$L$2:$L$4995,"Đã chuyển khoản"))</f>
        <v/>
      </c>
      <c r="Y587" s="24" t="n"/>
    </row>
    <row r="588" ht="14.25" customHeight="1" s="40">
      <c r="A588" s="24" t="n"/>
      <c r="B588" s="27" t="n"/>
      <c r="C588" s="24" t="n"/>
      <c r="D588" s="28" t="n"/>
      <c r="E588" s="29" t="n"/>
      <c r="F588" s="24" t="n"/>
      <c r="G588" s="24" t="n"/>
      <c r="H588" s="21">
        <f>IF(ISNUMBER($B588),INT($B588)-WEEKDAY($B588,2)+1,"")</f>
        <v/>
      </c>
      <c r="I588" s="24" t="n"/>
      <c r="J588" s="22">
        <f t="array" ref="J588">IF($D588="","",IF($I588="","(trống REF)",IFERROR(INDEX(MASTER_SOURCE!$B$2:$B$495,MATCH($I588,MASTER_SOURCE!$A$2:$A$495,0)),"(REF không có trong MASTER_SOURCE)")))</f>
        <v/>
      </c>
      <c r="K588" s="22">
        <f t="array" ref="K588">IF($D588="","",IFERROR(INDEX(MASTER_SOURCE!$C$2:$C$495,MATCH($I588,MASTER_SOURCE!$A$2:$A$495,0)),""))</f>
        <v/>
      </c>
      <c r="L588" s="22">
        <f t="array" ref="L588">IF($D588="","",IFERROR(INDEX(MASTER_SOURCE!$D$2:$D$495,MATCH($I588,MASTER_SOURCE!$A$2:$A$495,0)),""))</f>
        <v/>
      </c>
      <c r="M588" s="24" t="n"/>
      <c r="N588" s="24" t="n"/>
      <c r="O588" s="24" t="n"/>
      <c r="P588" s="24" t="n"/>
      <c r="Q588" s="22">
        <f>IF($D588="","",IF(AND(OR(DANH_MUC!$L$5&lt;&gt;"Có",M588="Có"),OR(DANH_MUC!$L$6&lt;&gt;"Có",N588="Có"),OR(DANH_MUC!$L$7&lt;&gt;"Có",O588="Có"),OR(DANH_MUC!$L$8&lt;&gt;"Có",P588="Có")),"Có","Không"))</f>
        <v/>
      </c>
      <c r="R588" s="22">
        <f>IF($D588="","",IF(COUNTIF($D$2:$D588,$D588)&gt;1,"Trùng",""))</f>
        <v/>
      </c>
      <c r="S588" s="22">
        <f>IF($D588="","",IF(AND(LEN($D588)=10,LEFT($D588,1)="0",ISNUMBER(--$D588)),"Có","Không"))</f>
        <v/>
      </c>
      <c r="T588" s="22">
        <f>IF($D588="","",IF(AND($C588&lt;&gt;"",$Q588="Có",$R588="",$S588="Có",AND($L588&lt;&gt;"",OR($L588&lt;&gt;"Chưa xác định",DANH_MUC!$L$9="Có"))),"Có","Không"))</f>
        <v/>
      </c>
      <c r="U588" s="22">
        <f>IF(OR($D588="",$T588="Có"),"",IF($C588="","Thiếu họ tên; ","")&amp;IF($S588&lt;&gt;"Có","SĐT sai định dạng; ","")&amp;IF($R588="Trùng","Trùng SĐT; ","")&amp;IF($Q588&lt;&gt;"Có","Thiếu đồng ý bắt buộc; ","")&amp;IF($L588="","Thiếu/sai Mã REF; ",IF(AND($L588="Chưa xác định",DANH_MUC!$L$9&lt;&gt;"Có"),"Nguồn chưa xác định; ","")))</f>
        <v/>
      </c>
      <c r="V588" s="22">
        <f>IF(OR($D588="",$R588="Trùng"),"",IF(COUNTIF(ORDERS!$C$2:$C$4995,$D588)&gt;0,"Có","Không"))</f>
        <v/>
      </c>
      <c r="W588" s="22">
        <f>IF(OR($D588="",$R588="Trùng"),"",COUNTIFS(ORDERS!$C$2:$C$4995,$D588,ORDERS!$L$2:$L$4995,"Đã chuyển khoản"))</f>
        <v/>
      </c>
      <c r="X588" s="23">
        <f>IF(OR($D588="",$R588="Trùng"),"",SUMIFS(ORDERS!$J$2:$J$4995,ORDERS!$C$2:$C$4995,$D588,ORDERS!$L$2:$L$4995,"Đã chuyển khoản"))</f>
        <v/>
      </c>
      <c r="Y588" s="24" t="n"/>
    </row>
    <row r="589" ht="14.25" customHeight="1" s="40">
      <c r="A589" s="24" t="n"/>
      <c r="B589" s="27" t="n"/>
      <c r="C589" s="24" t="n"/>
      <c r="D589" s="28" t="n"/>
      <c r="E589" s="29" t="n"/>
      <c r="F589" s="24" t="n"/>
      <c r="G589" s="24" t="n"/>
      <c r="H589" s="21">
        <f>IF(ISNUMBER($B589),INT($B589)-WEEKDAY($B589,2)+1,"")</f>
        <v/>
      </c>
      <c r="I589" s="24" t="n"/>
      <c r="J589" s="22">
        <f t="array" ref="J589">IF($D589="","",IF($I589="","(trống REF)",IFERROR(INDEX(MASTER_SOURCE!$B$2:$B$495,MATCH($I589,MASTER_SOURCE!$A$2:$A$495,0)),"(REF không có trong MASTER_SOURCE)")))</f>
        <v/>
      </c>
      <c r="K589" s="22">
        <f t="array" ref="K589">IF($D589="","",IFERROR(INDEX(MASTER_SOURCE!$C$2:$C$495,MATCH($I589,MASTER_SOURCE!$A$2:$A$495,0)),""))</f>
        <v/>
      </c>
      <c r="L589" s="22">
        <f t="array" ref="L589">IF($D589="","",IFERROR(INDEX(MASTER_SOURCE!$D$2:$D$495,MATCH($I589,MASTER_SOURCE!$A$2:$A$495,0)),""))</f>
        <v/>
      </c>
      <c r="M589" s="24" t="n"/>
      <c r="N589" s="24" t="n"/>
      <c r="O589" s="24" t="n"/>
      <c r="P589" s="24" t="n"/>
      <c r="Q589" s="22">
        <f>IF($D589="","",IF(AND(OR(DANH_MUC!$L$5&lt;&gt;"Có",M589="Có"),OR(DANH_MUC!$L$6&lt;&gt;"Có",N589="Có"),OR(DANH_MUC!$L$7&lt;&gt;"Có",O589="Có"),OR(DANH_MUC!$L$8&lt;&gt;"Có",P589="Có")),"Có","Không"))</f>
        <v/>
      </c>
      <c r="R589" s="22">
        <f>IF($D589="","",IF(COUNTIF($D$2:$D589,$D589)&gt;1,"Trùng",""))</f>
        <v/>
      </c>
      <c r="S589" s="22">
        <f>IF($D589="","",IF(AND(LEN($D589)=10,LEFT($D589,1)="0",ISNUMBER(--$D589)),"Có","Không"))</f>
        <v/>
      </c>
      <c r="T589" s="22">
        <f>IF($D589="","",IF(AND($C589&lt;&gt;"",$Q589="Có",$R589="",$S589="Có",AND($L589&lt;&gt;"",OR($L589&lt;&gt;"Chưa xác định",DANH_MUC!$L$9="Có"))),"Có","Không"))</f>
        <v/>
      </c>
      <c r="U589" s="22">
        <f>IF(OR($D589="",$T589="Có"),"",IF($C589="","Thiếu họ tên; ","")&amp;IF($S589&lt;&gt;"Có","SĐT sai định dạng; ","")&amp;IF($R589="Trùng","Trùng SĐT; ","")&amp;IF($Q589&lt;&gt;"Có","Thiếu đồng ý bắt buộc; ","")&amp;IF($L589="","Thiếu/sai Mã REF; ",IF(AND($L589="Chưa xác định",DANH_MUC!$L$9&lt;&gt;"Có"),"Nguồn chưa xác định; ","")))</f>
        <v/>
      </c>
      <c r="V589" s="22">
        <f>IF(OR($D589="",$R589="Trùng"),"",IF(COUNTIF(ORDERS!$C$2:$C$4995,$D589)&gt;0,"Có","Không"))</f>
        <v/>
      </c>
      <c r="W589" s="22">
        <f>IF(OR($D589="",$R589="Trùng"),"",COUNTIFS(ORDERS!$C$2:$C$4995,$D589,ORDERS!$L$2:$L$4995,"Đã chuyển khoản"))</f>
        <v/>
      </c>
      <c r="X589" s="23">
        <f>IF(OR($D589="",$R589="Trùng"),"",SUMIFS(ORDERS!$J$2:$J$4995,ORDERS!$C$2:$C$4995,$D589,ORDERS!$L$2:$L$4995,"Đã chuyển khoản"))</f>
        <v/>
      </c>
      <c r="Y589" s="24" t="n"/>
    </row>
    <row r="590" ht="14.25" customHeight="1" s="40">
      <c r="A590" s="24" t="n"/>
      <c r="B590" s="27" t="n"/>
      <c r="C590" s="24" t="n"/>
      <c r="D590" s="28" t="n"/>
      <c r="E590" s="29" t="n"/>
      <c r="F590" s="24" t="n"/>
      <c r="G590" s="24" t="n"/>
      <c r="H590" s="21">
        <f>IF(ISNUMBER($B590),INT($B590)-WEEKDAY($B590,2)+1,"")</f>
        <v/>
      </c>
      <c r="I590" s="24" t="n"/>
      <c r="J590" s="22">
        <f t="array" ref="J590">IF($D590="","",IF($I590="","(trống REF)",IFERROR(INDEX(MASTER_SOURCE!$B$2:$B$495,MATCH($I590,MASTER_SOURCE!$A$2:$A$495,0)),"(REF không có trong MASTER_SOURCE)")))</f>
        <v/>
      </c>
      <c r="K590" s="22">
        <f t="array" ref="K590">IF($D590="","",IFERROR(INDEX(MASTER_SOURCE!$C$2:$C$495,MATCH($I590,MASTER_SOURCE!$A$2:$A$495,0)),""))</f>
        <v/>
      </c>
      <c r="L590" s="22">
        <f t="array" ref="L590">IF($D590="","",IFERROR(INDEX(MASTER_SOURCE!$D$2:$D$495,MATCH($I590,MASTER_SOURCE!$A$2:$A$495,0)),""))</f>
        <v/>
      </c>
      <c r="M590" s="24" t="n"/>
      <c r="N590" s="24" t="n"/>
      <c r="O590" s="24" t="n"/>
      <c r="P590" s="24" t="n"/>
      <c r="Q590" s="22">
        <f>IF($D590="","",IF(AND(OR(DANH_MUC!$L$5&lt;&gt;"Có",M590="Có"),OR(DANH_MUC!$L$6&lt;&gt;"Có",N590="Có"),OR(DANH_MUC!$L$7&lt;&gt;"Có",O590="Có"),OR(DANH_MUC!$L$8&lt;&gt;"Có",P590="Có")),"Có","Không"))</f>
        <v/>
      </c>
      <c r="R590" s="22">
        <f>IF($D590="","",IF(COUNTIF($D$2:$D590,$D590)&gt;1,"Trùng",""))</f>
        <v/>
      </c>
      <c r="S590" s="22">
        <f>IF($D590="","",IF(AND(LEN($D590)=10,LEFT($D590,1)="0",ISNUMBER(--$D590)),"Có","Không"))</f>
        <v/>
      </c>
      <c r="T590" s="22">
        <f>IF($D590="","",IF(AND($C590&lt;&gt;"",$Q590="Có",$R590="",$S590="Có",AND($L590&lt;&gt;"",OR($L590&lt;&gt;"Chưa xác định",DANH_MUC!$L$9="Có"))),"Có","Không"))</f>
        <v/>
      </c>
      <c r="U590" s="22">
        <f>IF(OR($D590="",$T590="Có"),"",IF($C590="","Thiếu họ tên; ","")&amp;IF($S590&lt;&gt;"Có","SĐT sai định dạng; ","")&amp;IF($R590="Trùng","Trùng SĐT; ","")&amp;IF($Q590&lt;&gt;"Có","Thiếu đồng ý bắt buộc; ","")&amp;IF($L590="","Thiếu/sai Mã REF; ",IF(AND($L590="Chưa xác định",DANH_MUC!$L$9&lt;&gt;"Có"),"Nguồn chưa xác định; ","")))</f>
        <v/>
      </c>
      <c r="V590" s="22">
        <f>IF(OR($D590="",$R590="Trùng"),"",IF(COUNTIF(ORDERS!$C$2:$C$4995,$D590)&gt;0,"Có","Không"))</f>
        <v/>
      </c>
      <c r="W590" s="22">
        <f>IF(OR($D590="",$R590="Trùng"),"",COUNTIFS(ORDERS!$C$2:$C$4995,$D590,ORDERS!$L$2:$L$4995,"Đã chuyển khoản"))</f>
        <v/>
      </c>
      <c r="X590" s="23">
        <f>IF(OR($D590="",$R590="Trùng"),"",SUMIFS(ORDERS!$J$2:$J$4995,ORDERS!$C$2:$C$4995,$D590,ORDERS!$L$2:$L$4995,"Đã chuyển khoản"))</f>
        <v/>
      </c>
      <c r="Y590" s="24" t="n"/>
    </row>
    <row r="591" ht="14.25" customHeight="1" s="40">
      <c r="A591" s="24" t="n"/>
      <c r="B591" s="27" t="n"/>
      <c r="C591" s="24" t="n"/>
      <c r="D591" s="28" t="n"/>
      <c r="E591" s="29" t="n"/>
      <c r="F591" s="24" t="n"/>
      <c r="G591" s="24" t="n"/>
      <c r="H591" s="21">
        <f>IF(ISNUMBER($B591),INT($B591)-WEEKDAY($B591,2)+1,"")</f>
        <v/>
      </c>
      <c r="I591" s="24" t="n"/>
      <c r="J591" s="22">
        <f t="array" ref="J591">IF($D591="","",IF($I591="","(trống REF)",IFERROR(INDEX(MASTER_SOURCE!$B$2:$B$495,MATCH($I591,MASTER_SOURCE!$A$2:$A$495,0)),"(REF không có trong MASTER_SOURCE)")))</f>
        <v/>
      </c>
      <c r="K591" s="22">
        <f t="array" ref="K591">IF($D591="","",IFERROR(INDEX(MASTER_SOURCE!$C$2:$C$495,MATCH($I591,MASTER_SOURCE!$A$2:$A$495,0)),""))</f>
        <v/>
      </c>
      <c r="L591" s="22">
        <f t="array" ref="L591">IF($D591="","",IFERROR(INDEX(MASTER_SOURCE!$D$2:$D$495,MATCH($I591,MASTER_SOURCE!$A$2:$A$495,0)),""))</f>
        <v/>
      </c>
      <c r="M591" s="24" t="n"/>
      <c r="N591" s="24" t="n"/>
      <c r="O591" s="24" t="n"/>
      <c r="P591" s="24" t="n"/>
      <c r="Q591" s="22">
        <f>IF($D591="","",IF(AND(OR(DANH_MUC!$L$5&lt;&gt;"Có",M591="Có"),OR(DANH_MUC!$L$6&lt;&gt;"Có",N591="Có"),OR(DANH_MUC!$L$7&lt;&gt;"Có",O591="Có"),OR(DANH_MUC!$L$8&lt;&gt;"Có",P591="Có")),"Có","Không"))</f>
        <v/>
      </c>
      <c r="R591" s="22">
        <f>IF($D591="","",IF(COUNTIF($D$2:$D591,$D591)&gt;1,"Trùng",""))</f>
        <v/>
      </c>
      <c r="S591" s="22">
        <f>IF($D591="","",IF(AND(LEN($D591)=10,LEFT($D591,1)="0",ISNUMBER(--$D591)),"Có","Không"))</f>
        <v/>
      </c>
      <c r="T591" s="22">
        <f>IF($D591="","",IF(AND($C591&lt;&gt;"",$Q591="Có",$R591="",$S591="Có",AND($L591&lt;&gt;"",OR($L591&lt;&gt;"Chưa xác định",DANH_MUC!$L$9="Có"))),"Có","Không"))</f>
        <v/>
      </c>
      <c r="U591" s="22">
        <f>IF(OR($D591="",$T591="Có"),"",IF($C591="","Thiếu họ tên; ","")&amp;IF($S591&lt;&gt;"Có","SĐT sai định dạng; ","")&amp;IF($R591="Trùng","Trùng SĐT; ","")&amp;IF($Q591&lt;&gt;"Có","Thiếu đồng ý bắt buộc; ","")&amp;IF($L591="","Thiếu/sai Mã REF; ",IF(AND($L591="Chưa xác định",DANH_MUC!$L$9&lt;&gt;"Có"),"Nguồn chưa xác định; ","")))</f>
        <v/>
      </c>
      <c r="V591" s="22">
        <f>IF(OR($D591="",$R591="Trùng"),"",IF(COUNTIF(ORDERS!$C$2:$C$4995,$D591)&gt;0,"Có","Không"))</f>
        <v/>
      </c>
      <c r="W591" s="22">
        <f>IF(OR($D591="",$R591="Trùng"),"",COUNTIFS(ORDERS!$C$2:$C$4995,$D591,ORDERS!$L$2:$L$4995,"Đã chuyển khoản"))</f>
        <v/>
      </c>
      <c r="X591" s="23">
        <f>IF(OR($D591="",$R591="Trùng"),"",SUMIFS(ORDERS!$J$2:$J$4995,ORDERS!$C$2:$C$4995,$D591,ORDERS!$L$2:$L$4995,"Đã chuyển khoản"))</f>
        <v/>
      </c>
      <c r="Y591" s="24" t="n"/>
    </row>
    <row r="592" ht="14.25" customHeight="1" s="40">
      <c r="A592" s="24" t="n"/>
      <c r="B592" s="27" t="n"/>
      <c r="C592" s="24" t="n"/>
      <c r="D592" s="28" t="n"/>
      <c r="E592" s="29" t="n"/>
      <c r="F592" s="24" t="n"/>
      <c r="G592" s="24" t="n"/>
      <c r="H592" s="21">
        <f>IF(ISNUMBER($B592),INT($B592)-WEEKDAY($B592,2)+1,"")</f>
        <v/>
      </c>
      <c r="I592" s="24" t="n"/>
      <c r="J592" s="22">
        <f t="array" ref="J592">IF($D592="","",IF($I592="","(trống REF)",IFERROR(INDEX(MASTER_SOURCE!$B$2:$B$495,MATCH($I592,MASTER_SOURCE!$A$2:$A$495,0)),"(REF không có trong MASTER_SOURCE)")))</f>
        <v/>
      </c>
      <c r="K592" s="22">
        <f t="array" ref="K592">IF($D592="","",IFERROR(INDEX(MASTER_SOURCE!$C$2:$C$495,MATCH($I592,MASTER_SOURCE!$A$2:$A$495,0)),""))</f>
        <v/>
      </c>
      <c r="L592" s="22">
        <f t="array" ref="L592">IF($D592="","",IFERROR(INDEX(MASTER_SOURCE!$D$2:$D$495,MATCH($I592,MASTER_SOURCE!$A$2:$A$495,0)),""))</f>
        <v/>
      </c>
      <c r="M592" s="24" t="n"/>
      <c r="N592" s="24" t="n"/>
      <c r="O592" s="24" t="n"/>
      <c r="P592" s="24" t="n"/>
      <c r="Q592" s="22">
        <f>IF($D592="","",IF(AND(OR(DANH_MUC!$L$5&lt;&gt;"Có",M592="Có"),OR(DANH_MUC!$L$6&lt;&gt;"Có",N592="Có"),OR(DANH_MUC!$L$7&lt;&gt;"Có",O592="Có"),OR(DANH_MUC!$L$8&lt;&gt;"Có",P592="Có")),"Có","Không"))</f>
        <v/>
      </c>
      <c r="R592" s="22">
        <f>IF($D592="","",IF(COUNTIF($D$2:$D592,$D592)&gt;1,"Trùng",""))</f>
        <v/>
      </c>
      <c r="S592" s="22">
        <f>IF($D592="","",IF(AND(LEN($D592)=10,LEFT($D592,1)="0",ISNUMBER(--$D592)),"Có","Không"))</f>
        <v/>
      </c>
      <c r="T592" s="22">
        <f>IF($D592="","",IF(AND($C592&lt;&gt;"",$Q592="Có",$R592="",$S592="Có",AND($L592&lt;&gt;"",OR($L592&lt;&gt;"Chưa xác định",DANH_MUC!$L$9="Có"))),"Có","Không"))</f>
        <v/>
      </c>
      <c r="U592" s="22">
        <f>IF(OR($D592="",$T592="Có"),"",IF($C592="","Thiếu họ tên; ","")&amp;IF($S592&lt;&gt;"Có","SĐT sai định dạng; ","")&amp;IF($R592="Trùng","Trùng SĐT; ","")&amp;IF($Q592&lt;&gt;"Có","Thiếu đồng ý bắt buộc; ","")&amp;IF($L592="","Thiếu/sai Mã REF; ",IF(AND($L592="Chưa xác định",DANH_MUC!$L$9&lt;&gt;"Có"),"Nguồn chưa xác định; ","")))</f>
        <v/>
      </c>
      <c r="V592" s="22">
        <f>IF(OR($D592="",$R592="Trùng"),"",IF(COUNTIF(ORDERS!$C$2:$C$4995,$D592)&gt;0,"Có","Không"))</f>
        <v/>
      </c>
      <c r="W592" s="22">
        <f>IF(OR($D592="",$R592="Trùng"),"",COUNTIFS(ORDERS!$C$2:$C$4995,$D592,ORDERS!$L$2:$L$4995,"Đã chuyển khoản"))</f>
        <v/>
      </c>
      <c r="X592" s="23">
        <f>IF(OR($D592="",$R592="Trùng"),"",SUMIFS(ORDERS!$J$2:$J$4995,ORDERS!$C$2:$C$4995,$D592,ORDERS!$L$2:$L$4995,"Đã chuyển khoản"))</f>
        <v/>
      </c>
      <c r="Y592" s="24" t="n"/>
    </row>
    <row r="593" ht="14.25" customHeight="1" s="40">
      <c r="A593" s="24" t="n"/>
      <c r="B593" s="27" t="n"/>
      <c r="C593" s="24" t="n"/>
      <c r="D593" s="28" t="n"/>
      <c r="E593" s="29" t="n"/>
      <c r="F593" s="24" t="n"/>
      <c r="G593" s="24" t="n"/>
      <c r="H593" s="21">
        <f>IF(ISNUMBER($B593),INT($B593)-WEEKDAY($B593,2)+1,"")</f>
        <v/>
      </c>
      <c r="I593" s="24" t="n"/>
      <c r="J593" s="22">
        <f t="array" ref="J593">IF($D593="","",IF($I593="","(trống REF)",IFERROR(INDEX(MASTER_SOURCE!$B$2:$B$495,MATCH($I593,MASTER_SOURCE!$A$2:$A$495,0)),"(REF không có trong MASTER_SOURCE)")))</f>
        <v/>
      </c>
      <c r="K593" s="22">
        <f t="array" ref="K593">IF($D593="","",IFERROR(INDEX(MASTER_SOURCE!$C$2:$C$495,MATCH($I593,MASTER_SOURCE!$A$2:$A$495,0)),""))</f>
        <v/>
      </c>
      <c r="L593" s="22">
        <f t="array" ref="L593">IF($D593="","",IFERROR(INDEX(MASTER_SOURCE!$D$2:$D$495,MATCH($I593,MASTER_SOURCE!$A$2:$A$495,0)),""))</f>
        <v/>
      </c>
      <c r="M593" s="24" t="n"/>
      <c r="N593" s="24" t="n"/>
      <c r="O593" s="24" t="n"/>
      <c r="P593" s="24" t="n"/>
      <c r="Q593" s="22">
        <f>IF($D593="","",IF(AND(OR(DANH_MUC!$L$5&lt;&gt;"Có",M593="Có"),OR(DANH_MUC!$L$6&lt;&gt;"Có",N593="Có"),OR(DANH_MUC!$L$7&lt;&gt;"Có",O593="Có"),OR(DANH_MUC!$L$8&lt;&gt;"Có",P593="Có")),"Có","Không"))</f>
        <v/>
      </c>
      <c r="R593" s="22">
        <f>IF($D593="","",IF(COUNTIF($D$2:$D593,$D593)&gt;1,"Trùng",""))</f>
        <v/>
      </c>
      <c r="S593" s="22">
        <f>IF($D593="","",IF(AND(LEN($D593)=10,LEFT($D593,1)="0",ISNUMBER(--$D593)),"Có","Không"))</f>
        <v/>
      </c>
      <c r="T593" s="22">
        <f>IF($D593="","",IF(AND($C593&lt;&gt;"",$Q593="Có",$R593="",$S593="Có",AND($L593&lt;&gt;"",OR($L593&lt;&gt;"Chưa xác định",DANH_MUC!$L$9="Có"))),"Có","Không"))</f>
        <v/>
      </c>
      <c r="U593" s="22">
        <f>IF(OR($D593="",$T593="Có"),"",IF($C593="","Thiếu họ tên; ","")&amp;IF($S593&lt;&gt;"Có","SĐT sai định dạng; ","")&amp;IF($R593="Trùng","Trùng SĐT; ","")&amp;IF($Q593&lt;&gt;"Có","Thiếu đồng ý bắt buộc; ","")&amp;IF($L593="","Thiếu/sai Mã REF; ",IF(AND($L593="Chưa xác định",DANH_MUC!$L$9&lt;&gt;"Có"),"Nguồn chưa xác định; ","")))</f>
        <v/>
      </c>
      <c r="V593" s="22">
        <f>IF(OR($D593="",$R593="Trùng"),"",IF(COUNTIF(ORDERS!$C$2:$C$4995,$D593)&gt;0,"Có","Không"))</f>
        <v/>
      </c>
      <c r="W593" s="22">
        <f>IF(OR($D593="",$R593="Trùng"),"",COUNTIFS(ORDERS!$C$2:$C$4995,$D593,ORDERS!$L$2:$L$4995,"Đã chuyển khoản"))</f>
        <v/>
      </c>
      <c r="X593" s="23">
        <f>IF(OR($D593="",$R593="Trùng"),"",SUMIFS(ORDERS!$J$2:$J$4995,ORDERS!$C$2:$C$4995,$D593,ORDERS!$L$2:$L$4995,"Đã chuyển khoản"))</f>
        <v/>
      </c>
      <c r="Y593" s="24" t="n"/>
    </row>
    <row r="594" ht="14.25" customHeight="1" s="40">
      <c r="A594" s="24" t="n"/>
      <c r="B594" s="27" t="n"/>
      <c r="C594" s="24" t="n"/>
      <c r="D594" s="28" t="n"/>
      <c r="E594" s="29" t="n"/>
      <c r="F594" s="24" t="n"/>
      <c r="G594" s="24" t="n"/>
      <c r="H594" s="21">
        <f>IF(ISNUMBER($B594),INT($B594)-WEEKDAY($B594,2)+1,"")</f>
        <v/>
      </c>
      <c r="I594" s="24" t="n"/>
      <c r="J594" s="22">
        <f t="array" ref="J594">IF($D594="","",IF($I594="","(trống REF)",IFERROR(INDEX(MASTER_SOURCE!$B$2:$B$495,MATCH($I594,MASTER_SOURCE!$A$2:$A$495,0)),"(REF không có trong MASTER_SOURCE)")))</f>
        <v/>
      </c>
      <c r="K594" s="22">
        <f t="array" ref="K594">IF($D594="","",IFERROR(INDEX(MASTER_SOURCE!$C$2:$C$495,MATCH($I594,MASTER_SOURCE!$A$2:$A$495,0)),""))</f>
        <v/>
      </c>
      <c r="L594" s="22">
        <f t="array" ref="L594">IF($D594="","",IFERROR(INDEX(MASTER_SOURCE!$D$2:$D$495,MATCH($I594,MASTER_SOURCE!$A$2:$A$495,0)),""))</f>
        <v/>
      </c>
      <c r="M594" s="24" t="n"/>
      <c r="N594" s="24" t="n"/>
      <c r="O594" s="24" t="n"/>
      <c r="P594" s="24" t="n"/>
      <c r="Q594" s="22">
        <f>IF($D594="","",IF(AND(OR(DANH_MUC!$L$5&lt;&gt;"Có",M594="Có"),OR(DANH_MUC!$L$6&lt;&gt;"Có",N594="Có"),OR(DANH_MUC!$L$7&lt;&gt;"Có",O594="Có"),OR(DANH_MUC!$L$8&lt;&gt;"Có",P594="Có")),"Có","Không"))</f>
        <v/>
      </c>
      <c r="R594" s="22">
        <f>IF($D594="","",IF(COUNTIF($D$2:$D594,$D594)&gt;1,"Trùng",""))</f>
        <v/>
      </c>
      <c r="S594" s="22">
        <f>IF($D594="","",IF(AND(LEN($D594)=10,LEFT($D594,1)="0",ISNUMBER(--$D594)),"Có","Không"))</f>
        <v/>
      </c>
      <c r="T594" s="22">
        <f>IF($D594="","",IF(AND($C594&lt;&gt;"",$Q594="Có",$R594="",$S594="Có",AND($L594&lt;&gt;"",OR($L594&lt;&gt;"Chưa xác định",DANH_MUC!$L$9="Có"))),"Có","Không"))</f>
        <v/>
      </c>
      <c r="U594" s="22">
        <f>IF(OR($D594="",$T594="Có"),"",IF($C594="","Thiếu họ tên; ","")&amp;IF($S594&lt;&gt;"Có","SĐT sai định dạng; ","")&amp;IF($R594="Trùng","Trùng SĐT; ","")&amp;IF($Q594&lt;&gt;"Có","Thiếu đồng ý bắt buộc; ","")&amp;IF($L594="","Thiếu/sai Mã REF; ",IF(AND($L594="Chưa xác định",DANH_MUC!$L$9&lt;&gt;"Có"),"Nguồn chưa xác định; ","")))</f>
        <v/>
      </c>
      <c r="V594" s="22">
        <f>IF(OR($D594="",$R594="Trùng"),"",IF(COUNTIF(ORDERS!$C$2:$C$4995,$D594)&gt;0,"Có","Không"))</f>
        <v/>
      </c>
      <c r="W594" s="22">
        <f>IF(OR($D594="",$R594="Trùng"),"",COUNTIFS(ORDERS!$C$2:$C$4995,$D594,ORDERS!$L$2:$L$4995,"Đã chuyển khoản"))</f>
        <v/>
      </c>
      <c r="X594" s="23">
        <f>IF(OR($D594="",$R594="Trùng"),"",SUMIFS(ORDERS!$J$2:$J$4995,ORDERS!$C$2:$C$4995,$D594,ORDERS!$L$2:$L$4995,"Đã chuyển khoản"))</f>
        <v/>
      </c>
      <c r="Y594" s="24" t="n"/>
    </row>
    <row r="595" ht="14.25" customHeight="1" s="40">
      <c r="A595" s="24" t="n"/>
      <c r="B595" s="27" t="n"/>
      <c r="C595" s="24" t="n"/>
      <c r="D595" s="28" t="n"/>
      <c r="E595" s="29" t="n"/>
      <c r="F595" s="24" t="n"/>
      <c r="G595" s="24" t="n"/>
      <c r="H595" s="21">
        <f>IF(ISNUMBER($B595),INT($B595)-WEEKDAY($B595,2)+1,"")</f>
        <v/>
      </c>
      <c r="I595" s="24" t="n"/>
      <c r="J595" s="22">
        <f t="array" ref="J595">IF($D595="","",IF($I595="","(trống REF)",IFERROR(INDEX(MASTER_SOURCE!$B$2:$B$495,MATCH($I595,MASTER_SOURCE!$A$2:$A$495,0)),"(REF không có trong MASTER_SOURCE)")))</f>
        <v/>
      </c>
      <c r="K595" s="22">
        <f t="array" ref="K595">IF($D595="","",IFERROR(INDEX(MASTER_SOURCE!$C$2:$C$495,MATCH($I595,MASTER_SOURCE!$A$2:$A$495,0)),""))</f>
        <v/>
      </c>
      <c r="L595" s="22">
        <f t="array" ref="L595">IF($D595="","",IFERROR(INDEX(MASTER_SOURCE!$D$2:$D$495,MATCH($I595,MASTER_SOURCE!$A$2:$A$495,0)),""))</f>
        <v/>
      </c>
      <c r="M595" s="24" t="n"/>
      <c r="N595" s="24" t="n"/>
      <c r="O595" s="24" t="n"/>
      <c r="P595" s="24" t="n"/>
      <c r="Q595" s="22">
        <f>IF($D595="","",IF(AND(OR(DANH_MUC!$L$5&lt;&gt;"Có",M595="Có"),OR(DANH_MUC!$L$6&lt;&gt;"Có",N595="Có"),OR(DANH_MUC!$L$7&lt;&gt;"Có",O595="Có"),OR(DANH_MUC!$L$8&lt;&gt;"Có",P595="Có")),"Có","Không"))</f>
        <v/>
      </c>
      <c r="R595" s="22">
        <f>IF($D595="","",IF(COUNTIF($D$2:$D595,$D595)&gt;1,"Trùng",""))</f>
        <v/>
      </c>
      <c r="S595" s="22">
        <f>IF($D595="","",IF(AND(LEN($D595)=10,LEFT($D595,1)="0",ISNUMBER(--$D595)),"Có","Không"))</f>
        <v/>
      </c>
      <c r="T595" s="22">
        <f>IF($D595="","",IF(AND($C595&lt;&gt;"",$Q595="Có",$R595="",$S595="Có",AND($L595&lt;&gt;"",OR($L595&lt;&gt;"Chưa xác định",DANH_MUC!$L$9="Có"))),"Có","Không"))</f>
        <v/>
      </c>
      <c r="U595" s="22">
        <f>IF(OR($D595="",$T595="Có"),"",IF($C595="","Thiếu họ tên; ","")&amp;IF($S595&lt;&gt;"Có","SĐT sai định dạng; ","")&amp;IF($R595="Trùng","Trùng SĐT; ","")&amp;IF($Q595&lt;&gt;"Có","Thiếu đồng ý bắt buộc; ","")&amp;IF($L595="","Thiếu/sai Mã REF; ",IF(AND($L595="Chưa xác định",DANH_MUC!$L$9&lt;&gt;"Có"),"Nguồn chưa xác định; ","")))</f>
        <v/>
      </c>
      <c r="V595" s="22">
        <f>IF(OR($D595="",$R595="Trùng"),"",IF(COUNTIF(ORDERS!$C$2:$C$4995,$D595)&gt;0,"Có","Không"))</f>
        <v/>
      </c>
      <c r="W595" s="22">
        <f>IF(OR($D595="",$R595="Trùng"),"",COUNTIFS(ORDERS!$C$2:$C$4995,$D595,ORDERS!$L$2:$L$4995,"Đã chuyển khoản"))</f>
        <v/>
      </c>
      <c r="X595" s="23">
        <f>IF(OR($D595="",$R595="Trùng"),"",SUMIFS(ORDERS!$J$2:$J$4995,ORDERS!$C$2:$C$4995,$D595,ORDERS!$L$2:$L$4995,"Đã chuyển khoản"))</f>
        <v/>
      </c>
      <c r="Y595" s="24" t="n"/>
    </row>
    <row r="596" ht="14.25" customHeight="1" s="40">
      <c r="A596" s="24" t="n"/>
      <c r="B596" s="27" t="n"/>
      <c r="C596" s="24" t="n"/>
      <c r="D596" s="28" t="n"/>
      <c r="E596" s="29" t="n"/>
      <c r="F596" s="24" t="n"/>
      <c r="G596" s="24" t="n"/>
      <c r="H596" s="21">
        <f>IF(ISNUMBER($B596),INT($B596)-WEEKDAY($B596,2)+1,"")</f>
        <v/>
      </c>
      <c r="I596" s="24" t="n"/>
      <c r="J596" s="22">
        <f t="array" ref="J596">IF($D596="","",IF($I596="","(trống REF)",IFERROR(INDEX(MASTER_SOURCE!$B$2:$B$495,MATCH($I596,MASTER_SOURCE!$A$2:$A$495,0)),"(REF không có trong MASTER_SOURCE)")))</f>
        <v/>
      </c>
      <c r="K596" s="22">
        <f t="array" ref="K596">IF($D596="","",IFERROR(INDEX(MASTER_SOURCE!$C$2:$C$495,MATCH($I596,MASTER_SOURCE!$A$2:$A$495,0)),""))</f>
        <v/>
      </c>
      <c r="L596" s="22">
        <f t="array" ref="L596">IF($D596="","",IFERROR(INDEX(MASTER_SOURCE!$D$2:$D$495,MATCH($I596,MASTER_SOURCE!$A$2:$A$495,0)),""))</f>
        <v/>
      </c>
      <c r="M596" s="24" t="n"/>
      <c r="N596" s="24" t="n"/>
      <c r="O596" s="24" t="n"/>
      <c r="P596" s="24" t="n"/>
      <c r="Q596" s="22">
        <f>IF($D596="","",IF(AND(OR(DANH_MUC!$L$5&lt;&gt;"Có",M596="Có"),OR(DANH_MUC!$L$6&lt;&gt;"Có",N596="Có"),OR(DANH_MUC!$L$7&lt;&gt;"Có",O596="Có"),OR(DANH_MUC!$L$8&lt;&gt;"Có",P596="Có")),"Có","Không"))</f>
        <v/>
      </c>
      <c r="R596" s="22">
        <f>IF($D596="","",IF(COUNTIF($D$2:$D596,$D596)&gt;1,"Trùng",""))</f>
        <v/>
      </c>
      <c r="S596" s="22">
        <f>IF($D596="","",IF(AND(LEN($D596)=10,LEFT($D596,1)="0",ISNUMBER(--$D596)),"Có","Không"))</f>
        <v/>
      </c>
      <c r="T596" s="22">
        <f>IF($D596="","",IF(AND($C596&lt;&gt;"",$Q596="Có",$R596="",$S596="Có",AND($L596&lt;&gt;"",OR($L596&lt;&gt;"Chưa xác định",DANH_MUC!$L$9="Có"))),"Có","Không"))</f>
        <v/>
      </c>
      <c r="U596" s="22">
        <f>IF(OR($D596="",$T596="Có"),"",IF($C596="","Thiếu họ tên; ","")&amp;IF($S596&lt;&gt;"Có","SĐT sai định dạng; ","")&amp;IF($R596="Trùng","Trùng SĐT; ","")&amp;IF($Q596&lt;&gt;"Có","Thiếu đồng ý bắt buộc; ","")&amp;IF($L596="","Thiếu/sai Mã REF; ",IF(AND($L596="Chưa xác định",DANH_MUC!$L$9&lt;&gt;"Có"),"Nguồn chưa xác định; ","")))</f>
        <v/>
      </c>
      <c r="V596" s="22">
        <f>IF(OR($D596="",$R596="Trùng"),"",IF(COUNTIF(ORDERS!$C$2:$C$4995,$D596)&gt;0,"Có","Không"))</f>
        <v/>
      </c>
      <c r="W596" s="22">
        <f>IF(OR($D596="",$R596="Trùng"),"",COUNTIFS(ORDERS!$C$2:$C$4995,$D596,ORDERS!$L$2:$L$4995,"Đã chuyển khoản"))</f>
        <v/>
      </c>
      <c r="X596" s="23">
        <f>IF(OR($D596="",$R596="Trùng"),"",SUMIFS(ORDERS!$J$2:$J$4995,ORDERS!$C$2:$C$4995,$D596,ORDERS!$L$2:$L$4995,"Đã chuyển khoản"))</f>
        <v/>
      </c>
      <c r="Y596" s="24" t="n"/>
    </row>
    <row r="597" ht="14.25" customHeight="1" s="40">
      <c r="A597" s="24" t="n"/>
      <c r="B597" s="27" t="n"/>
      <c r="C597" s="24" t="n"/>
      <c r="D597" s="28" t="n"/>
      <c r="E597" s="29" t="n"/>
      <c r="F597" s="24" t="n"/>
      <c r="G597" s="24" t="n"/>
      <c r="H597" s="21">
        <f>IF(ISNUMBER($B597),INT($B597)-WEEKDAY($B597,2)+1,"")</f>
        <v/>
      </c>
      <c r="I597" s="24" t="n"/>
      <c r="J597" s="22">
        <f t="array" ref="J597">IF($D597="","",IF($I597="","(trống REF)",IFERROR(INDEX(MASTER_SOURCE!$B$2:$B$495,MATCH($I597,MASTER_SOURCE!$A$2:$A$495,0)),"(REF không có trong MASTER_SOURCE)")))</f>
        <v/>
      </c>
      <c r="K597" s="22">
        <f t="array" ref="K597">IF($D597="","",IFERROR(INDEX(MASTER_SOURCE!$C$2:$C$495,MATCH($I597,MASTER_SOURCE!$A$2:$A$495,0)),""))</f>
        <v/>
      </c>
      <c r="L597" s="22">
        <f t="array" ref="L597">IF($D597="","",IFERROR(INDEX(MASTER_SOURCE!$D$2:$D$495,MATCH($I597,MASTER_SOURCE!$A$2:$A$495,0)),""))</f>
        <v/>
      </c>
      <c r="M597" s="24" t="n"/>
      <c r="N597" s="24" t="n"/>
      <c r="O597" s="24" t="n"/>
      <c r="P597" s="24" t="n"/>
      <c r="Q597" s="22">
        <f>IF($D597="","",IF(AND(OR(DANH_MUC!$L$5&lt;&gt;"Có",M597="Có"),OR(DANH_MUC!$L$6&lt;&gt;"Có",N597="Có"),OR(DANH_MUC!$L$7&lt;&gt;"Có",O597="Có"),OR(DANH_MUC!$L$8&lt;&gt;"Có",P597="Có")),"Có","Không"))</f>
        <v/>
      </c>
      <c r="R597" s="22">
        <f>IF($D597="","",IF(COUNTIF($D$2:$D597,$D597)&gt;1,"Trùng",""))</f>
        <v/>
      </c>
      <c r="S597" s="22">
        <f>IF($D597="","",IF(AND(LEN($D597)=10,LEFT($D597,1)="0",ISNUMBER(--$D597)),"Có","Không"))</f>
        <v/>
      </c>
      <c r="T597" s="22">
        <f>IF($D597="","",IF(AND($C597&lt;&gt;"",$Q597="Có",$R597="",$S597="Có",AND($L597&lt;&gt;"",OR($L597&lt;&gt;"Chưa xác định",DANH_MUC!$L$9="Có"))),"Có","Không"))</f>
        <v/>
      </c>
      <c r="U597" s="22">
        <f>IF(OR($D597="",$T597="Có"),"",IF($C597="","Thiếu họ tên; ","")&amp;IF($S597&lt;&gt;"Có","SĐT sai định dạng; ","")&amp;IF($R597="Trùng","Trùng SĐT; ","")&amp;IF($Q597&lt;&gt;"Có","Thiếu đồng ý bắt buộc; ","")&amp;IF($L597="","Thiếu/sai Mã REF; ",IF(AND($L597="Chưa xác định",DANH_MUC!$L$9&lt;&gt;"Có"),"Nguồn chưa xác định; ","")))</f>
        <v/>
      </c>
      <c r="V597" s="22">
        <f>IF(OR($D597="",$R597="Trùng"),"",IF(COUNTIF(ORDERS!$C$2:$C$4995,$D597)&gt;0,"Có","Không"))</f>
        <v/>
      </c>
      <c r="W597" s="22">
        <f>IF(OR($D597="",$R597="Trùng"),"",COUNTIFS(ORDERS!$C$2:$C$4995,$D597,ORDERS!$L$2:$L$4995,"Đã chuyển khoản"))</f>
        <v/>
      </c>
      <c r="X597" s="23">
        <f>IF(OR($D597="",$R597="Trùng"),"",SUMIFS(ORDERS!$J$2:$J$4995,ORDERS!$C$2:$C$4995,$D597,ORDERS!$L$2:$L$4995,"Đã chuyển khoản"))</f>
        <v/>
      </c>
      <c r="Y597" s="24" t="n"/>
    </row>
    <row r="598" ht="14.25" customHeight="1" s="40">
      <c r="A598" s="24" t="n"/>
      <c r="B598" s="27" t="n"/>
      <c r="C598" s="24" t="n"/>
      <c r="D598" s="28" t="n"/>
      <c r="E598" s="29" t="n"/>
      <c r="F598" s="24" t="n"/>
      <c r="G598" s="24" t="n"/>
      <c r="H598" s="21">
        <f>IF(ISNUMBER($B598),INT($B598)-WEEKDAY($B598,2)+1,"")</f>
        <v/>
      </c>
      <c r="I598" s="24" t="n"/>
      <c r="J598" s="22">
        <f t="array" ref="J598">IF($D598="","",IF($I598="","(trống REF)",IFERROR(INDEX(MASTER_SOURCE!$B$2:$B$495,MATCH($I598,MASTER_SOURCE!$A$2:$A$495,0)),"(REF không có trong MASTER_SOURCE)")))</f>
        <v/>
      </c>
      <c r="K598" s="22">
        <f t="array" ref="K598">IF($D598="","",IFERROR(INDEX(MASTER_SOURCE!$C$2:$C$495,MATCH($I598,MASTER_SOURCE!$A$2:$A$495,0)),""))</f>
        <v/>
      </c>
      <c r="L598" s="22">
        <f t="array" ref="L598">IF($D598="","",IFERROR(INDEX(MASTER_SOURCE!$D$2:$D$495,MATCH($I598,MASTER_SOURCE!$A$2:$A$495,0)),""))</f>
        <v/>
      </c>
      <c r="M598" s="24" t="n"/>
      <c r="N598" s="24" t="n"/>
      <c r="O598" s="24" t="n"/>
      <c r="P598" s="24" t="n"/>
      <c r="Q598" s="22">
        <f>IF($D598="","",IF(AND(OR(DANH_MUC!$L$5&lt;&gt;"Có",M598="Có"),OR(DANH_MUC!$L$6&lt;&gt;"Có",N598="Có"),OR(DANH_MUC!$L$7&lt;&gt;"Có",O598="Có"),OR(DANH_MUC!$L$8&lt;&gt;"Có",P598="Có")),"Có","Không"))</f>
        <v/>
      </c>
      <c r="R598" s="22">
        <f>IF($D598="","",IF(COUNTIF($D$2:$D598,$D598)&gt;1,"Trùng",""))</f>
        <v/>
      </c>
      <c r="S598" s="22">
        <f>IF($D598="","",IF(AND(LEN($D598)=10,LEFT($D598,1)="0",ISNUMBER(--$D598)),"Có","Không"))</f>
        <v/>
      </c>
      <c r="T598" s="22">
        <f>IF($D598="","",IF(AND($C598&lt;&gt;"",$Q598="Có",$R598="",$S598="Có",AND($L598&lt;&gt;"",OR($L598&lt;&gt;"Chưa xác định",DANH_MUC!$L$9="Có"))),"Có","Không"))</f>
        <v/>
      </c>
      <c r="U598" s="22">
        <f>IF(OR($D598="",$T598="Có"),"",IF($C598="","Thiếu họ tên; ","")&amp;IF($S598&lt;&gt;"Có","SĐT sai định dạng; ","")&amp;IF($R598="Trùng","Trùng SĐT; ","")&amp;IF($Q598&lt;&gt;"Có","Thiếu đồng ý bắt buộc; ","")&amp;IF($L598="","Thiếu/sai Mã REF; ",IF(AND($L598="Chưa xác định",DANH_MUC!$L$9&lt;&gt;"Có"),"Nguồn chưa xác định; ","")))</f>
        <v/>
      </c>
      <c r="V598" s="22">
        <f>IF(OR($D598="",$R598="Trùng"),"",IF(COUNTIF(ORDERS!$C$2:$C$4995,$D598)&gt;0,"Có","Không"))</f>
        <v/>
      </c>
      <c r="W598" s="22">
        <f>IF(OR($D598="",$R598="Trùng"),"",COUNTIFS(ORDERS!$C$2:$C$4995,$D598,ORDERS!$L$2:$L$4995,"Đã chuyển khoản"))</f>
        <v/>
      </c>
      <c r="X598" s="23">
        <f>IF(OR($D598="",$R598="Trùng"),"",SUMIFS(ORDERS!$J$2:$J$4995,ORDERS!$C$2:$C$4995,$D598,ORDERS!$L$2:$L$4995,"Đã chuyển khoản"))</f>
        <v/>
      </c>
      <c r="Y598" s="24" t="n"/>
    </row>
    <row r="599" ht="14.25" customHeight="1" s="40">
      <c r="A599" s="24" t="n"/>
      <c r="B599" s="27" t="n"/>
      <c r="C599" s="24" t="n"/>
      <c r="D599" s="28" t="n"/>
      <c r="E599" s="29" t="n"/>
      <c r="F599" s="24" t="n"/>
      <c r="G599" s="24" t="n"/>
      <c r="H599" s="21">
        <f>IF(ISNUMBER($B599),INT($B599)-WEEKDAY($B599,2)+1,"")</f>
        <v/>
      </c>
      <c r="I599" s="24" t="n"/>
      <c r="J599" s="22">
        <f t="array" ref="J599">IF($D599="","",IF($I599="","(trống REF)",IFERROR(INDEX(MASTER_SOURCE!$B$2:$B$495,MATCH($I599,MASTER_SOURCE!$A$2:$A$495,0)),"(REF không có trong MASTER_SOURCE)")))</f>
        <v/>
      </c>
      <c r="K599" s="22">
        <f t="array" ref="K599">IF($D599="","",IFERROR(INDEX(MASTER_SOURCE!$C$2:$C$495,MATCH($I599,MASTER_SOURCE!$A$2:$A$495,0)),""))</f>
        <v/>
      </c>
      <c r="L599" s="22">
        <f t="array" ref="L599">IF($D599="","",IFERROR(INDEX(MASTER_SOURCE!$D$2:$D$495,MATCH($I599,MASTER_SOURCE!$A$2:$A$495,0)),""))</f>
        <v/>
      </c>
      <c r="M599" s="24" t="n"/>
      <c r="N599" s="24" t="n"/>
      <c r="O599" s="24" t="n"/>
      <c r="P599" s="24" t="n"/>
      <c r="Q599" s="22">
        <f>IF($D599="","",IF(AND(OR(DANH_MUC!$L$5&lt;&gt;"Có",M599="Có"),OR(DANH_MUC!$L$6&lt;&gt;"Có",N599="Có"),OR(DANH_MUC!$L$7&lt;&gt;"Có",O599="Có"),OR(DANH_MUC!$L$8&lt;&gt;"Có",P599="Có")),"Có","Không"))</f>
        <v/>
      </c>
      <c r="R599" s="22">
        <f>IF($D599="","",IF(COUNTIF($D$2:$D599,$D599)&gt;1,"Trùng",""))</f>
        <v/>
      </c>
      <c r="S599" s="22">
        <f>IF($D599="","",IF(AND(LEN($D599)=10,LEFT($D599,1)="0",ISNUMBER(--$D599)),"Có","Không"))</f>
        <v/>
      </c>
      <c r="T599" s="22">
        <f>IF($D599="","",IF(AND($C599&lt;&gt;"",$Q599="Có",$R599="",$S599="Có",AND($L599&lt;&gt;"",OR($L599&lt;&gt;"Chưa xác định",DANH_MUC!$L$9="Có"))),"Có","Không"))</f>
        <v/>
      </c>
      <c r="U599" s="22">
        <f>IF(OR($D599="",$T599="Có"),"",IF($C599="","Thiếu họ tên; ","")&amp;IF($S599&lt;&gt;"Có","SĐT sai định dạng; ","")&amp;IF($R599="Trùng","Trùng SĐT; ","")&amp;IF($Q599&lt;&gt;"Có","Thiếu đồng ý bắt buộc; ","")&amp;IF($L599="","Thiếu/sai Mã REF; ",IF(AND($L599="Chưa xác định",DANH_MUC!$L$9&lt;&gt;"Có"),"Nguồn chưa xác định; ","")))</f>
        <v/>
      </c>
      <c r="V599" s="22">
        <f>IF(OR($D599="",$R599="Trùng"),"",IF(COUNTIF(ORDERS!$C$2:$C$4995,$D599)&gt;0,"Có","Không"))</f>
        <v/>
      </c>
      <c r="W599" s="22">
        <f>IF(OR($D599="",$R599="Trùng"),"",COUNTIFS(ORDERS!$C$2:$C$4995,$D599,ORDERS!$L$2:$L$4995,"Đã chuyển khoản"))</f>
        <v/>
      </c>
      <c r="X599" s="23">
        <f>IF(OR($D599="",$R599="Trùng"),"",SUMIFS(ORDERS!$J$2:$J$4995,ORDERS!$C$2:$C$4995,$D599,ORDERS!$L$2:$L$4995,"Đã chuyển khoản"))</f>
        <v/>
      </c>
      <c r="Y599" s="24" t="n"/>
    </row>
    <row r="600" ht="14.25" customHeight="1" s="40">
      <c r="A600" s="24" t="n"/>
      <c r="B600" s="27" t="n"/>
      <c r="C600" s="24" t="n"/>
      <c r="D600" s="28" t="n"/>
      <c r="E600" s="29" t="n"/>
      <c r="F600" s="24" t="n"/>
      <c r="G600" s="24" t="n"/>
      <c r="H600" s="21">
        <f>IF(ISNUMBER($B600),INT($B600)-WEEKDAY($B600,2)+1,"")</f>
        <v/>
      </c>
      <c r="I600" s="24" t="n"/>
      <c r="J600" s="22">
        <f t="array" ref="J600">IF($D600="","",IF($I600="","(trống REF)",IFERROR(INDEX(MASTER_SOURCE!$B$2:$B$495,MATCH($I600,MASTER_SOURCE!$A$2:$A$495,0)),"(REF không có trong MASTER_SOURCE)")))</f>
        <v/>
      </c>
      <c r="K600" s="22">
        <f t="array" ref="K600">IF($D600="","",IFERROR(INDEX(MASTER_SOURCE!$C$2:$C$495,MATCH($I600,MASTER_SOURCE!$A$2:$A$495,0)),""))</f>
        <v/>
      </c>
      <c r="L600" s="22">
        <f t="array" ref="L600">IF($D600="","",IFERROR(INDEX(MASTER_SOURCE!$D$2:$D$495,MATCH($I600,MASTER_SOURCE!$A$2:$A$495,0)),""))</f>
        <v/>
      </c>
      <c r="M600" s="24" t="n"/>
      <c r="N600" s="24" t="n"/>
      <c r="O600" s="24" t="n"/>
      <c r="P600" s="24" t="n"/>
      <c r="Q600" s="22">
        <f>IF($D600="","",IF(AND(OR(DANH_MUC!$L$5&lt;&gt;"Có",M600="Có"),OR(DANH_MUC!$L$6&lt;&gt;"Có",N600="Có"),OR(DANH_MUC!$L$7&lt;&gt;"Có",O600="Có"),OR(DANH_MUC!$L$8&lt;&gt;"Có",P600="Có")),"Có","Không"))</f>
        <v/>
      </c>
      <c r="R600" s="22">
        <f>IF($D600="","",IF(COUNTIF($D$2:$D600,$D600)&gt;1,"Trùng",""))</f>
        <v/>
      </c>
      <c r="S600" s="22">
        <f>IF($D600="","",IF(AND(LEN($D600)=10,LEFT($D600,1)="0",ISNUMBER(--$D600)),"Có","Không"))</f>
        <v/>
      </c>
      <c r="T600" s="22">
        <f>IF($D600="","",IF(AND($C600&lt;&gt;"",$Q600="Có",$R600="",$S600="Có",AND($L600&lt;&gt;"",OR($L600&lt;&gt;"Chưa xác định",DANH_MUC!$L$9="Có"))),"Có","Không"))</f>
        <v/>
      </c>
      <c r="U600" s="22">
        <f>IF(OR($D600="",$T600="Có"),"",IF($C600="","Thiếu họ tên; ","")&amp;IF($S600&lt;&gt;"Có","SĐT sai định dạng; ","")&amp;IF($R600="Trùng","Trùng SĐT; ","")&amp;IF($Q600&lt;&gt;"Có","Thiếu đồng ý bắt buộc; ","")&amp;IF($L600="","Thiếu/sai Mã REF; ",IF(AND($L600="Chưa xác định",DANH_MUC!$L$9&lt;&gt;"Có"),"Nguồn chưa xác định; ","")))</f>
        <v/>
      </c>
      <c r="V600" s="22">
        <f>IF(OR($D600="",$R600="Trùng"),"",IF(COUNTIF(ORDERS!$C$2:$C$4995,$D600)&gt;0,"Có","Không"))</f>
        <v/>
      </c>
      <c r="W600" s="22">
        <f>IF(OR($D600="",$R600="Trùng"),"",COUNTIFS(ORDERS!$C$2:$C$4995,$D600,ORDERS!$L$2:$L$4995,"Đã chuyển khoản"))</f>
        <v/>
      </c>
      <c r="X600" s="23">
        <f>IF(OR($D600="",$R600="Trùng"),"",SUMIFS(ORDERS!$J$2:$J$4995,ORDERS!$C$2:$C$4995,$D600,ORDERS!$L$2:$L$4995,"Đã chuyển khoản"))</f>
        <v/>
      </c>
      <c r="Y600" s="24" t="n"/>
    </row>
    <row r="601" ht="14.25" customHeight="1" s="40">
      <c r="A601" s="24" t="n"/>
      <c r="B601" s="27" t="n"/>
      <c r="C601" s="24" t="n"/>
      <c r="D601" s="28" t="n"/>
      <c r="E601" s="29" t="n"/>
      <c r="F601" s="24" t="n"/>
      <c r="G601" s="24" t="n"/>
      <c r="H601" s="21">
        <f>IF(ISNUMBER($B601),INT($B601)-WEEKDAY($B601,2)+1,"")</f>
        <v/>
      </c>
      <c r="I601" s="24" t="n"/>
      <c r="J601" s="22">
        <f t="array" ref="J601">IF($D601="","",IF($I601="","(trống REF)",IFERROR(INDEX(MASTER_SOURCE!$B$2:$B$495,MATCH($I601,MASTER_SOURCE!$A$2:$A$495,0)),"(REF không có trong MASTER_SOURCE)")))</f>
        <v/>
      </c>
      <c r="K601" s="22">
        <f t="array" ref="K601">IF($D601="","",IFERROR(INDEX(MASTER_SOURCE!$C$2:$C$495,MATCH($I601,MASTER_SOURCE!$A$2:$A$495,0)),""))</f>
        <v/>
      </c>
      <c r="L601" s="22">
        <f t="array" ref="L601">IF($D601="","",IFERROR(INDEX(MASTER_SOURCE!$D$2:$D$495,MATCH($I601,MASTER_SOURCE!$A$2:$A$495,0)),""))</f>
        <v/>
      </c>
      <c r="M601" s="24" t="n"/>
      <c r="N601" s="24" t="n"/>
      <c r="O601" s="24" t="n"/>
      <c r="P601" s="24" t="n"/>
      <c r="Q601" s="22">
        <f>IF($D601="","",IF(AND(OR(DANH_MUC!$L$5&lt;&gt;"Có",M601="Có"),OR(DANH_MUC!$L$6&lt;&gt;"Có",N601="Có"),OR(DANH_MUC!$L$7&lt;&gt;"Có",O601="Có"),OR(DANH_MUC!$L$8&lt;&gt;"Có",P601="Có")),"Có","Không"))</f>
        <v/>
      </c>
      <c r="R601" s="22">
        <f>IF($D601="","",IF(COUNTIF($D$2:$D601,$D601)&gt;1,"Trùng",""))</f>
        <v/>
      </c>
      <c r="S601" s="22">
        <f>IF($D601="","",IF(AND(LEN($D601)=10,LEFT($D601,1)="0",ISNUMBER(--$D601)),"Có","Không"))</f>
        <v/>
      </c>
      <c r="T601" s="22">
        <f>IF($D601="","",IF(AND($C601&lt;&gt;"",$Q601="Có",$R601="",$S601="Có",AND($L601&lt;&gt;"",OR($L601&lt;&gt;"Chưa xác định",DANH_MUC!$L$9="Có"))),"Có","Không"))</f>
        <v/>
      </c>
      <c r="U601" s="22">
        <f>IF(OR($D601="",$T601="Có"),"",IF($C601="","Thiếu họ tên; ","")&amp;IF($S601&lt;&gt;"Có","SĐT sai định dạng; ","")&amp;IF($R601="Trùng","Trùng SĐT; ","")&amp;IF($Q601&lt;&gt;"Có","Thiếu đồng ý bắt buộc; ","")&amp;IF($L601="","Thiếu/sai Mã REF; ",IF(AND($L601="Chưa xác định",DANH_MUC!$L$9&lt;&gt;"Có"),"Nguồn chưa xác định; ","")))</f>
        <v/>
      </c>
      <c r="V601" s="22">
        <f>IF(OR($D601="",$R601="Trùng"),"",IF(COUNTIF(ORDERS!$C$2:$C$4995,$D601)&gt;0,"Có","Không"))</f>
        <v/>
      </c>
      <c r="W601" s="22">
        <f>IF(OR($D601="",$R601="Trùng"),"",COUNTIFS(ORDERS!$C$2:$C$4995,$D601,ORDERS!$L$2:$L$4995,"Đã chuyển khoản"))</f>
        <v/>
      </c>
      <c r="X601" s="23">
        <f>IF(OR($D601="",$R601="Trùng"),"",SUMIFS(ORDERS!$J$2:$J$4995,ORDERS!$C$2:$C$4995,$D601,ORDERS!$L$2:$L$4995,"Đã chuyển khoản"))</f>
        <v/>
      </c>
      <c r="Y601" s="24" t="n"/>
    </row>
    <row r="602" ht="14.25" customHeight="1" s="40">
      <c r="A602" s="24" t="n"/>
      <c r="B602" s="27" t="n"/>
      <c r="C602" s="24" t="n"/>
      <c r="D602" s="28" t="n"/>
      <c r="E602" s="29" t="n"/>
      <c r="F602" s="24" t="n"/>
      <c r="G602" s="24" t="n"/>
      <c r="H602" s="21">
        <f>IF(ISNUMBER($B602),INT($B602)-WEEKDAY($B602,2)+1,"")</f>
        <v/>
      </c>
      <c r="I602" s="24" t="n"/>
      <c r="J602" s="22">
        <f t="array" ref="J602">IF($D602="","",IF($I602="","(trống REF)",IFERROR(INDEX(MASTER_SOURCE!$B$2:$B$495,MATCH($I602,MASTER_SOURCE!$A$2:$A$495,0)),"(REF không có trong MASTER_SOURCE)")))</f>
        <v/>
      </c>
      <c r="K602" s="22">
        <f t="array" ref="K602">IF($D602="","",IFERROR(INDEX(MASTER_SOURCE!$C$2:$C$495,MATCH($I602,MASTER_SOURCE!$A$2:$A$495,0)),""))</f>
        <v/>
      </c>
      <c r="L602" s="22">
        <f t="array" ref="L602">IF($D602="","",IFERROR(INDEX(MASTER_SOURCE!$D$2:$D$495,MATCH($I602,MASTER_SOURCE!$A$2:$A$495,0)),""))</f>
        <v/>
      </c>
      <c r="M602" s="24" t="n"/>
      <c r="N602" s="24" t="n"/>
      <c r="O602" s="24" t="n"/>
      <c r="P602" s="24" t="n"/>
      <c r="Q602" s="22">
        <f>IF($D602="","",IF(AND(OR(DANH_MUC!$L$5&lt;&gt;"Có",M602="Có"),OR(DANH_MUC!$L$6&lt;&gt;"Có",N602="Có"),OR(DANH_MUC!$L$7&lt;&gt;"Có",O602="Có"),OR(DANH_MUC!$L$8&lt;&gt;"Có",P602="Có")),"Có","Không"))</f>
        <v/>
      </c>
      <c r="R602" s="22">
        <f>IF($D602="","",IF(COUNTIF($D$2:$D602,$D602)&gt;1,"Trùng",""))</f>
        <v/>
      </c>
      <c r="S602" s="22">
        <f>IF($D602="","",IF(AND(LEN($D602)=10,LEFT($D602,1)="0",ISNUMBER(--$D602)),"Có","Không"))</f>
        <v/>
      </c>
      <c r="T602" s="22">
        <f>IF($D602="","",IF(AND($C602&lt;&gt;"",$Q602="Có",$R602="",$S602="Có",AND($L602&lt;&gt;"",OR($L602&lt;&gt;"Chưa xác định",DANH_MUC!$L$9="Có"))),"Có","Không"))</f>
        <v/>
      </c>
      <c r="U602" s="22">
        <f>IF(OR($D602="",$T602="Có"),"",IF($C602="","Thiếu họ tên; ","")&amp;IF($S602&lt;&gt;"Có","SĐT sai định dạng; ","")&amp;IF($R602="Trùng","Trùng SĐT; ","")&amp;IF($Q602&lt;&gt;"Có","Thiếu đồng ý bắt buộc; ","")&amp;IF($L602="","Thiếu/sai Mã REF; ",IF(AND($L602="Chưa xác định",DANH_MUC!$L$9&lt;&gt;"Có"),"Nguồn chưa xác định; ","")))</f>
        <v/>
      </c>
      <c r="V602" s="22">
        <f>IF(OR($D602="",$R602="Trùng"),"",IF(COUNTIF(ORDERS!$C$2:$C$4995,$D602)&gt;0,"Có","Không"))</f>
        <v/>
      </c>
      <c r="W602" s="22">
        <f>IF(OR($D602="",$R602="Trùng"),"",COUNTIFS(ORDERS!$C$2:$C$4995,$D602,ORDERS!$L$2:$L$4995,"Đã chuyển khoản"))</f>
        <v/>
      </c>
      <c r="X602" s="23">
        <f>IF(OR($D602="",$R602="Trùng"),"",SUMIFS(ORDERS!$J$2:$J$4995,ORDERS!$C$2:$C$4995,$D602,ORDERS!$L$2:$L$4995,"Đã chuyển khoản"))</f>
        <v/>
      </c>
      <c r="Y602" s="24" t="n"/>
    </row>
    <row r="603" ht="14.25" customHeight="1" s="40">
      <c r="A603" s="24" t="n"/>
      <c r="B603" s="27" t="n"/>
      <c r="C603" s="24" t="n"/>
      <c r="D603" s="28" t="n"/>
      <c r="E603" s="29" t="n"/>
      <c r="F603" s="24" t="n"/>
      <c r="G603" s="24" t="n"/>
      <c r="H603" s="21">
        <f>IF(ISNUMBER($B603),INT($B603)-WEEKDAY($B603,2)+1,"")</f>
        <v/>
      </c>
      <c r="I603" s="24" t="n"/>
      <c r="J603" s="22">
        <f t="array" ref="J603">IF($D603="","",IF($I603="","(trống REF)",IFERROR(INDEX(MASTER_SOURCE!$B$2:$B$495,MATCH($I603,MASTER_SOURCE!$A$2:$A$495,0)),"(REF không có trong MASTER_SOURCE)")))</f>
        <v/>
      </c>
      <c r="K603" s="22">
        <f t="array" ref="K603">IF($D603="","",IFERROR(INDEX(MASTER_SOURCE!$C$2:$C$495,MATCH($I603,MASTER_SOURCE!$A$2:$A$495,0)),""))</f>
        <v/>
      </c>
      <c r="L603" s="22">
        <f t="array" ref="L603">IF($D603="","",IFERROR(INDEX(MASTER_SOURCE!$D$2:$D$495,MATCH($I603,MASTER_SOURCE!$A$2:$A$495,0)),""))</f>
        <v/>
      </c>
      <c r="M603" s="24" t="n"/>
      <c r="N603" s="24" t="n"/>
      <c r="O603" s="24" t="n"/>
      <c r="P603" s="24" t="n"/>
      <c r="Q603" s="22">
        <f>IF($D603="","",IF(AND(OR(DANH_MUC!$L$5&lt;&gt;"Có",M603="Có"),OR(DANH_MUC!$L$6&lt;&gt;"Có",N603="Có"),OR(DANH_MUC!$L$7&lt;&gt;"Có",O603="Có"),OR(DANH_MUC!$L$8&lt;&gt;"Có",P603="Có")),"Có","Không"))</f>
        <v/>
      </c>
      <c r="R603" s="22">
        <f>IF($D603="","",IF(COUNTIF($D$2:$D603,$D603)&gt;1,"Trùng",""))</f>
        <v/>
      </c>
      <c r="S603" s="22">
        <f>IF($D603="","",IF(AND(LEN($D603)=10,LEFT($D603,1)="0",ISNUMBER(--$D603)),"Có","Không"))</f>
        <v/>
      </c>
      <c r="T603" s="22">
        <f>IF($D603="","",IF(AND($C603&lt;&gt;"",$Q603="Có",$R603="",$S603="Có",AND($L603&lt;&gt;"",OR($L603&lt;&gt;"Chưa xác định",DANH_MUC!$L$9="Có"))),"Có","Không"))</f>
        <v/>
      </c>
      <c r="U603" s="22">
        <f>IF(OR($D603="",$T603="Có"),"",IF($C603="","Thiếu họ tên; ","")&amp;IF($S603&lt;&gt;"Có","SĐT sai định dạng; ","")&amp;IF($R603="Trùng","Trùng SĐT; ","")&amp;IF($Q603&lt;&gt;"Có","Thiếu đồng ý bắt buộc; ","")&amp;IF($L603="","Thiếu/sai Mã REF; ",IF(AND($L603="Chưa xác định",DANH_MUC!$L$9&lt;&gt;"Có"),"Nguồn chưa xác định; ","")))</f>
        <v/>
      </c>
      <c r="V603" s="22">
        <f>IF(OR($D603="",$R603="Trùng"),"",IF(COUNTIF(ORDERS!$C$2:$C$4995,$D603)&gt;0,"Có","Không"))</f>
        <v/>
      </c>
      <c r="W603" s="22">
        <f>IF(OR($D603="",$R603="Trùng"),"",COUNTIFS(ORDERS!$C$2:$C$4995,$D603,ORDERS!$L$2:$L$4995,"Đã chuyển khoản"))</f>
        <v/>
      </c>
      <c r="X603" s="23">
        <f>IF(OR($D603="",$R603="Trùng"),"",SUMIFS(ORDERS!$J$2:$J$4995,ORDERS!$C$2:$C$4995,$D603,ORDERS!$L$2:$L$4995,"Đã chuyển khoản"))</f>
        <v/>
      </c>
      <c r="Y603" s="24" t="n"/>
    </row>
    <row r="604" ht="14.25" customHeight="1" s="40">
      <c r="A604" s="24" t="n"/>
      <c r="B604" s="27" t="n"/>
      <c r="C604" s="24" t="n"/>
      <c r="D604" s="28" t="n"/>
      <c r="E604" s="29" t="n"/>
      <c r="F604" s="24" t="n"/>
      <c r="G604" s="24" t="n"/>
      <c r="H604" s="21">
        <f>IF(ISNUMBER($B604),INT($B604)-WEEKDAY($B604,2)+1,"")</f>
        <v/>
      </c>
      <c r="I604" s="24" t="n"/>
      <c r="J604" s="22">
        <f t="array" ref="J604">IF($D604="","",IF($I604="","(trống REF)",IFERROR(INDEX(MASTER_SOURCE!$B$2:$B$495,MATCH($I604,MASTER_SOURCE!$A$2:$A$495,0)),"(REF không có trong MASTER_SOURCE)")))</f>
        <v/>
      </c>
      <c r="K604" s="22">
        <f t="array" ref="K604">IF($D604="","",IFERROR(INDEX(MASTER_SOURCE!$C$2:$C$495,MATCH($I604,MASTER_SOURCE!$A$2:$A$495,0)),""))</f>
        <v/>
      </c>
      <c r="L604" s="22">
        <f t="array" ref="L604">IF($D604="","",IFERROR(INDEX(MASTER_SOURCE!$D$2:$D$495,MATCH($I604,MASTER_SOURCE!$A$2:$A$495,0)),""))</f>
        <v/>
      </c>
      <c r="M604" s="24" t="n"/>
      <c r="N604" s="24" t="n"/>
      <c r="O604" s="24" t="n"/>
      <c r="P604" s="24" t="n"/>
      <c r="Q604" s="22">
        <f>IF($D604="","",IF(AND(OR(DANH_MUC!$L$5&lt;&gt;"Có",M604="Có"),OR(DANH_MUC!$L$6&lt;&gt;"Có",N604="Có"),OR(DANH_MUC!$L$7&lt;&gt;"Có",O604="Có"),OR(DANH_MUC!$L$8&lt;&gt;"Có",P604="Có")),"Có","Không"))</f>
        <v/>
      </c>
      <c r="R604" s="22">
        <f>IF($D604="","",IF(COUNTIF($D$2:$D604,$D604)&gt;1,"Trùng",""))</f>
        <v/>
      </c>
      <c r="S604" s="22">
        <f>IF($D604="","",IF(AND(LEN($D604)=10,LEFT($D604,1)="0",ISNUMBER(--$D604)),"Có","Không"))</f>
        <v/>
      </c>
      <c r="T604" s="22">
        <f>IF($D604="","",IF(AND($C604&lt;&gt;"",$Q604="Có",$R604="",$S604="Có",AND($L604&lt;&gt;"",OR($L604&lt;&gt;"Chưa xác định",DANH_MUC!$L$9="Có"))),"Có","Không"))</f>
        <v/>
      </c>
      <c r="U604" s="22">
        <f>IF(OR($D604="",$T604="Có"),"",IF($C604="","Thiếu họ tên; ","")&amp;IF($S604&lt;&gt;"Có","SĐT sai định dạng; ","")&amp;IF($R604="Trùng","Trùng SĐT; ","")&amp;IF($Q604&lt;&gt;"Có","Thiếu đồng ý bắt buộc; ","")&amp;IF($L604="","Thiếu/sai Mã REF; ",IF(AND($L604="Chưa xác định",DANH_MUC!$L$9&lt;&gt;"Có"),"Nguồn chưa xác định; ","")))</f>
        <v/>
      </c>
      <c r="V604" s="22">
        <f>IF(OR($D604="",$R604="Trùng"),"",IF(COUNTIF(ORDERS!$C$2:$C$4995,$D604)&gt;0,"Có","Không"))</f>
        <v/>
      </c>
      <c r="W604" s="22">
        <f>IF(OR($D604="",$R604="Trùng"),"",COUNTIFS(ORDERS!$C$2:$C$4995,$D604,ORDERS!$L$2:$L$4995,"Đã chuyển khoản"))</f>
        <v/>
      </c>
      <c r="X604" s="23">
        <f>IF(OR($D604="",$R604="Trùng"),"",SUMIFS(ORDERS!$J$2:$J$4995,ORDERS!$C$2:$C$4995,$D604,ORDERS!$L$2:$L$4995,"Đã chuyển khoản"))</f>
        <v/>
      </c>
      <c r="Y604" s="24" t="n"/>
    </row>
    <row r="605" ht="14.25" customHeight="1" s="40">
      <c r="A605" s="24" t="n"/>
      <c r="B605" s="27" t="n"/>
      <c r="C605" s="24" t="n"/>
      <c r="D605" s="28" t="n"/>
      <c r="E605" s="29" t="n"/>
      <c r="F605" s="24" t="n"/>
      <c r="G605" s="24" t="n"/>
      <c r="H605" s="21">
        <f>IF(ISNUMBER($B605),INT($B605)-WEEKDAY($B605,2)+1,"")</f>
        <v/>
      </c>
      <c r="I605" s="24" t="n"/>
      <c r="J605" s="22">
        <f t="array" ref="J605">IF($D605="","",IF($I605="","(trống REF)",IFERROR(INDEX(MASTER_SOURCE!$B$2:$B$495,MATCH($I605,MASTER_SOURCE!$A$2:$A$495,0)),"(REF không có trong MASTER_SOURCE)")))</f>
        <v/>
      </c>
      <c r="K605" s="22">
        <f t="array" ref="K605">IF($D605="","",IFERROR(INDEX(MASTER_SOURCE!$C$2:$C$495,MATCH($I605,MASTER_SOURCE!$A$2:$A$495,0)),""))</f>
        <v/>
      </c>
      <c r="L605" s="22">
        <f t="array" ref="L605">IF($D605="","",IFERROR(INDEX(MASTER_SOURCE!$D$2:$D$495,MATCH($I605,MASTER_SOURCE!$A$2:$A$495,0)),""))</f>
        <v/>
      </c>
      <c r="M605" s="24" t="n"/>
      <c r="N605" s="24" t="n"/>
      <c r="O605" s="24" t="n"/>
      <c r="P605" s="24" t="n"/>
      <c r="Q605" s="22">
        <f>IF($D605="","",IF(AND(OR(DANH_MUC!$L$5&lt;&gt;"Có",M605="Có"),OR(DANH_MUC!$L$6&lt;&gt;"Có",N605="Có"),OR(DANH_MUC!$L$7&lt;&gt;"Có",O605="Có"),OR(DANH_MUC!$L$8&lt;&gt;"Có",P605="Có")),"Có","Không"))</f>
        <v/>
      </c>
      <c r="R605" s="22">
        <f>IF($D605="","",IF(COUNTIF($D$2:$D605,$D605)&gt;1,"Trùng",""))</f>
        <v/>
      </c>
      <c r="S605" s="22">
        <f>IF($D605="","",IF(AND(LEN($D605)=10,LEFT($D605,1)="0",ISNUMBER(--$D605)),"Có","Không"))</f>
        <v/>
      </c>
      <c r="T605" s="22">
        <f>IF($D605="","",IF(AND($C605&lt;&gt;"",$Q605="Có",$R605="",$S605="Có",AND($L605&lt;&gt;"",OR($L605&lt;&gt;"Chưa xác định",DANH_MUC!$L$9="Có"))),"Có","Không"))</f>
        <v/>
      </c>
      <c r="U605" s="22">
        <f>IF(OR($D605="",$T605="Có"),"",IF($C605="","Thiếu họ tên; ","")&amp;IF($S605&lt;&gt;"Có","SĐT sai định dạng; ","")&amp;IF($R605="Trùng","Trùng SĐT; ","")&amp;IF($Q605&lt;&gt;"Có","Thiếu đồng ý bắt buộc; ","")&amp;IF($L605="","Thiếu/sai Mã REF; ",IF(AND($L605="Chưa xác định",DANH_MUC!$L$9&lt;&gt;"Có"),"Nguồn chưa xác định; ","")))</f>
        <v/>
      </c>
      <c r="V605" s="22">
        <f>IF(OR($D605="",$R605="Trùng"),"",IF(COUNTIF(ORDERS!$C$2:$C$4995,$D605)&gt;0,"Có","Không"))</f>
        <v/>
      </c>
      <c r="W605" s="22">
        <f>IF(OR($D605="",$R605="Trùng"),"",COUNTIFS(ORDERS!$C$2:$C$4995,$D605,ORDERS!$L$2:$L$4995,"Đã chuyển khoản"))</f>
        <v/>
      </c>
      <c r="X605" s="23">
        <f>IF(OR($D605="",$R605="Trùng"),"",SUMIFS(ORDERS!$J$2:$J$4995,ORDERS!$C$2:$C$4995,$D605,ORDERS!$L$2:$L$4995,"Đã chuyển khoản"))</f>
        <v/>
      </c>
      <c r="Y605" s="24" t="n"/>
    </row>
    <row r="606" ht="14.25" customHeight="1" s="40">
      <c r="A606" s="24" t="n"/>
      <c r="B606" s="27" t="n"/>
      <c r="C606" s="24" t="n"/>
      <c r="D606" s="28" t="n"/>
      <c r="E606" s="29" t="n"/>
      <c r="F606" s="24" t="n"/>
      <c r="G606" s="24" t="n"/>
      <c r="H606" s="21">
        <f>IF(ISNUMBER($B606),INT($B606)-WEEKDAY($B606,2)+1,"")</f>
        <v/>
      </c>
      <c r="I606" s="24" t="n"/>
      <c r="J606" s="22">
        <f t="array" ref="J606">IF($D606="","",IF($I606="","(trống REF)",IFERROR(INDEX(MASTER_SOURCE!$B$2:$B$495,MATCH($I606,MASTER_SOURCE!$A$2:$A$495,0)),"(REF không có trong MASTER_SOURCE)")))</f>
        <v/>
      </c>
      <c r="K606" s="22">
        <f t="array" ref="K606">IF($D606="","",IFERROR(INDEX(MASTER_SOURCE!$C$2:$C$495,MATCH($I606,MASTER_SOURCE!$A$2:$A$495,0)),""))</f>
        <v/>
      </c>
      <c r="L606" s="22">
        <f t="array" ref="L606">IF($D606="","",IFERROR(INDEX(MASTER_SOURCE!$D$2:$D$495,MATCH($I606,MASTER_SOURCE!$A$2:$A$495,0)),""))</f>
        <v/>
      </c>
      <c r="M606" s="24" t="n"/>
      <c r="N606" s="24" t="n"/>
      <c r="O606" s="24" t="n"/>
      <c r="P606" s="24" t="n"/>
      <c r="Q606" s="22">
        <f>IF($D606="","",IF(AND(OR(DANH_MUC!$L$5&lt;&gt;"Có",M606="Có"),OR(DANH_MUC!$L$6&lt;&gt;"Có",N606="Có"),OR(DANH_MUC!$L$7&lt;&gt;"Có",O606="Có"),OR(DANH_MUC!$L$8&lt;&gt;"Có",P606="Có")),"Có","Không"))</f>
        <v/>
      </c>
      <c r="R606" s="22">
        <f>IF($D606="","",IF(COUNTIF($D$2:$D606,$D606)&gt;1,"Trùng",""))</f>
        <v/>
      </c>
      <c r="S606" s="22">
        <f>IF($D606="","",IF(AND(LEN($D606)=10,LEFT($D606,1)="0",ISNUMBER(--$D606)),"Có","Không"))</f>
        <v/>
      </c>
      <c r="T606" s="22">
        <f>IF($D606="","",IF(AND($C606&lt;&gt;"",$Q606="Có",$R606="",$S606="Có",AND($L606&lt;&gt;"",OR($L606&lt;&gt;"Chưa xác định",DANH_MUC!$L$9="Có"))),"Có","Không"))</f>
        <v/>
      </c>
      <c r="U606" s="22">
        <f>IF(OR($D606="",$T606="Có"),"",IF($C606="","Thiếu họ tên; ","")&amp;IF($S606&lt;&gt;"Có","SĐT sai định dạng; ","")&amp;IF($R606="Trùng","Trùng SĐT; ","")&amp;IF($Q606&lt;&gt;"Có","Thiếu đồng ý bắt buộc; ","")&amp;IF($L606="","Thiếu/sai Mã REF; ",IF(AND($L606="Chưa xác định",DANH_MUC!$L$9&lt;&gt;"Có"),"Nguồn chưa xác định; ","")))</f>
        <v/>
      </c>
      <c r="V606" s="22">
        <f>IF(OR($D606="",$R606="Trùng"),"",IF(COUNTIF(ORDERS!$C$2:$C$4995,$D606)&gt;0,"Có","Không"))</f>
        <v/>
      </c>
      <c r="W606" s="22">
        <f>IF(OR($D606="",$R606="Trùng"),"",COUNTIFS(ORDERS!$C$2:$C$4995,$D606,ORDERS!$L$2:$L$4995,"Đã chuyển khoản"))</f>
        <v/>
      </c>
      <c r="X606" s="23">
        <f>IF(OR($D606="",$R606="Trùng"),"",SUMIFS(ORDERS!$J$2:$J$4995,ORDERS!$C$2:$C$4995,$D606,ORDERS!$L$2:$L$4995,"Đã chuyển khoản"))</f>
        <v/>
      </c>
      <c r="Y606" s="24" t="n"/>
    </row>
    <row r="607" ht="14.25" customHeight="1" s="40">
      <c r="A607" s="24" t="n"/>
      <c r="B607" s="27" t="n"/>
      <c r="C607" s="24" t="n"/>
      <c r="D607" s="28" t="n"/>
      <c r="E607" s="29" t="n"/>
      <c r="F607" s="24" t="n"/>
      <c r="G607" s="24" t="n"/>
      <c r="H607" s="21">
        <f>IF(ISNUMBER($B607),INT($B607)-WEEKDAY($B607,2)+1,"")</f>
        <v/>
      </c>
      <c r="I607" s="24" t="n"/>
      <c r="J607" s="22">
        <f t="array" ref="J607">IF($D607="","",IF($I607="","(trống REF)",IFERROR(INDEX(MASTER_SOURCE!$B$2:$B$495,MATCH($I607,MASTER_SOURCE!$A$2:$A$495,0)),"(REF không có trong MASTER_SOURCE)")))</f>
        <v/>
      </c>
      <c r="K607" s="22">
        <f t="array" ref="K607">IF($D607="","",IFERROR(INDEX(MASTER_SOURCE!$C$2:$C$495,MATCH($I607,MASTER_SOURCE!$A$2:$A$495,0)),""))</f>
        <v/>
      </c>
      <c r="L607" s="22">
        <f t="array" ref="L607">IF($D607="","",IFERROR(INDEX(MASTER_SOURCE!$D$2:$D$495,MATCH($I607,MASTER_SOURCE!$A$2:$A$495,0)),""))</f>
        <v/>
      </c>
      <c r="M607" s="24" t="n"/>
      <c r="N607" s="24" t="n"/>
      <c r="O607" s="24" t="n"/>
      <c r="P607" s="24" t="n"/>
      <c r="Q607" s="22">
        <f>IF($D607="","",IF(AND(OR(DANH_MUC!$L$5&lt;&gt;"Có",M607="Có"),OR(DANH_MUC!$L$6&lt;&gt;"Có",N607="Có"),OR(DANH_MUC!$L$7&lt;&gt;"Có",O607="Có"),OR(DANH_MUC!$L$8&lt;&gt;"Có",P607="Có")),"Có","Không"))</f>
        <v/>
      </c>
      <c r="R607" s="22">
        <f>IF($D607="","",IF(COUNTIF($D$2:$D607,$D607)&gt;1,"Trùng",""))</f>
        <v/>
      </c>
      <c r="S607" s="22">
        <f>IF($D607="","",IF(AND(LEN($D607)=10,LEFT($D607,1)="0",ISNUMBER(--$D607)),"Có","Không"))</f>
        <v/>
      </c>
      <c r="T607" s="22">
        <f>IF($D607="","",IF(AND($C607&lt;&gt;"",$Q607="Có",$R607="",$S607="Có",AND($L607&lt;&gt;"",OR($L607&lt;&gt;"Chưa xác định",DANH_MUC!$L$9="Có"))),"Có","Không"))</f>
        <v/>
      </c>
      <c r="U607" s="22">
        <f>IF(OR($D607="",$T607="Có"),"",IF($C607="","Thiếu họ tên; ","")&amp;IF($S607&lt;&gt;"Có","SĐT sai định dạng; ","")&amp;IF($R607="Trùng","Trùng SĐT; ","")&amp;IF($Q607&lt;&gt;"Có","Thiếu đồng ý bắt buộc; ","")&amp;IF($L607="","Thiếu/sai Mã REF; ",IF(AND($L607="Chưa xác định",DANH_MUC!$L$9&lt;&gt;"Có"),"Nguồn chưa xác định; ","")))</f>
        <v/>
      </c>
      <c r="V607" s="22">
        <f>IF(OR($D607="",$R607="Trùng"),"",IF(COUNTIF(ORDERS!$C$2:$C$4995,$D607)&gt;0,"Có","Không"))</f>
        <v/>
      </c>
      <c r="W607" s="22">
        <f>IF(OR($D607="",$R607="Trùng"),"",COUNTIFS(ORDERS!$C$2:$C$4995,$D607,ORDERS!$L$2:$L$4995,"Đã chuyển khoản"))</f>
        <v/>
      </c>
      <c r="X607" s="23">
        <f>IF(OR($D607="",$R607="Trùng"),"",SUMIFS(ORDERS!$J$2:$J$4995,ORDERS!$C$2:$C$4995,$D607,ORDERS!$L$2:$L$4995,"Đã chuyển khoản"))</f>
        <v/>
      </c>
      <c r="Y607" s="24" t="n"/>
    </row>
    <row r="608" ht="14.25" customHeight="1" s="40">
      <c r="A608" s="24" t="n"/>
      <c r="B608" s="27" t="n"/>
      <c r="C608" s="24" t="n"/>
      <c r="D608" s="28" t="n"/>
      <c r="E608" s="29" t="n"/>
      <c r="F608" s="24" t="n"/>
      <c r="G608" s="24" t="n"/>
      <c r="H608" s="21">
        <f>IF(ISNUMBER($B608),INT($B608)-WEEKDAY($B608,2)+1,"")</f>
        <v/>
      </c>
      <c r="I608" s="24" t="n"/>
      <c r="J608" s="22">
        <f t="array" ref="J608">IF($D608="","",IF($I608="","(trống REF)",IFERROR(INDEX(MASTER_SOURCE!$B$2:$B$495,MATCH($I608,MASTER_SOURCE!$A$2:$A$495,0)),"(REF không có trong MASTER_SOURCE)")))</f>
        <v/>
      </c>
      <c r="K608" s="22">
        <f t="array" ref="K608">IF($D608="","",IFERROR(INDEX(MASTER_SOURCE!$C$2:$C$495,MATCH($I608,MASTER_SOURCE!$A$2:$A$495,0)),""))</f>
        <v/>
      </c>
      <c r="L608" s="22">
        <f t="array" ref="L608">IF($D608="","",IFERROR(INDEX(MASTER_SOURCE!$D$2:$D$495,MATCH($I608,MASTER_SOURCE!$A$2:$A$495,0)),""))</f>
        <v/>
      </c>
      <c r="M608" s="24" t="n"/>
      <c r="N608" s="24" t="n"/>
      <c r="O608" s="24" t="n"/>
      <c r="P608" s="24" t="n"/>
      <c r="Q608" s="22">
        <f>IF($D608="","",IF(AND(OR(DANH_MUC!$L$5&lt;&gt;"Có",M608="Có"),OR(DANH_MUC!$L$6&lt;&gt;"Có",N608="Có"),OR(DANH_MUC!$L$7&lt;&gt;"Có",O608="Có"),OR(DANH_MUC!$L$8&lt;&gt;"Có",P608="Có")),"Có","Không"))</f>
        <v/>
      </c>
      <c r="R608" s="22">
        <f>IF($D608="","",IF(COUNTIF($D$2:$D608,$D608)&gt;1,"Trùng",""))</f>
        <v/>
      </c>
      <c r="S608" s="22">
        <f>IF($D608="","",IF(AND(LEN($D608)=10,LEFT($D608,1)="0",ISNUMBER(--$D608)),"Có","Không"))</f>
        <v/>
      </c>
      <c r="T608" s="22">
        <f>IF($D608="","",IF(AND($C608&lt;&gt;"",$Q608="Có",$R608="",$S608="Có",AND($L608&lt;&gt;"",OR($L608&lt;&gt;"Chưa xác định",DANH_MUC!$L$9="Có"))),"Có","Không"))</f>
        <v/>
      </c>
      <c r="U608" s="22">
        <f>IF(OR($D608="",$T608="Có"),"",IF($C608="","Thiếu họ tên; ","")&amp;IF($S608&lt;&gt;"Có","SĐT sai định dạng; ","")&amp;IF($R608="Trùng","Trùng SĐT; ","")&amp;IF($Q608&lt;&gt;"Có","Thiếu đồng ý bắt buộc; ","")&amp;IF($L608="","Thiếu/sai Mã REF; ",IF(AND($L608="Chưa xác định",DANH_MUC!$L$9&lt;&gt;"Có"),"Nguồn chưa xác định; ","")))</f>
        <v/>
      </c>
      <c r="V608" s="22">
        <f>IF(OR($D608="",$R608="Trùng"),"",IF(COUNTIF(ORDERS!$C$2:$C$4995,$D608)&gt;0,"Có","Không"))</f>
        <v/>
      </c>
      <c r="W608" s="22">
        <f>IF(OR($D608="",$R608="Trùng"),"",COUNTIFS(ORDERS!$C$2:$C$4995,$D608,ORDERS!$L$2:$L$4995,"Đã chuyển khoản"))</f>
        <v/>
      </c>
      <c r="X608" s="23">
        <f>IF(OR($D608="",$R608="Trùng"),"",SUMIFS(ORDERS!$J$2:$J$4995,ORDERS!$C$2:$C$4995,$D608,ORDERS!$L$2:$L$4995,"Đã chuyển khoản"))</f>
        <v/>
      </c>
      <c r="Y608" s="24" t="n"/>
    </row>
    <row r="609" ht="14.25" customHeight="1" s="40">
      <c r="A609" s="24" t="n"/>
      <c r="B609" s="27" t="n"/>
      <c r="C609" s="24" t="n"/>
      <c r="D609" s="28" t="n"/>
      <c r="E609" s="29" t="n"/>
      <c r="F609" s="24" t="n"/>
      <c r="G609" s="24" t="n"/>
      <c r="H609" s="21">
        <f>IF(ISNUMBER($B609),INT($B609)-WEEKDAY($B609,2)+1,"")</f>
        <v/>
      </c>
      <c r="I609" s="24" t="n"/>
      <c r="J609" s="22">
        <f t="array" ref="J609">IF($D609="","",IF($I609="","(trống REF)",IFERROR(INDEX(MASTER_SOURCE!$B$2:$B$495,MATCH($I609,MASTER_SOURCE!$A$2:$A$495,0)),"(REF không có trong MASTER_SOURCE)")))</f>
        <v/>
      </c>
      <c r="K609" s="22">
        <f t="array" ref="K609">IF($D609="","",IFERROR(INDEX(MASTER_SOURCE!$C$2:$C$495,MATCH($I609,MASTER_SOURCE!$A$2:$A$495,0)),""))</f>
        <v/>
      </c>
      <c r="L609" s="22">
        <f t="array" ref="L609">IF($D609="","",IFERROR(INDEX(MASTER_SOURCE!$D$2:$D$495,MATCH($I609,MASTER_SOURCE!$A$2:$A$495,0)),""))</f>
        <v/>
      </c>
      <c r="M609" s="24" t="n"/>
      <c r="N609" s="24" t="n"/>
      <c r="O609" s="24" t="n"/>
      <c r="P609" s="24" t="n"/>
      <c r="Q609" s="22">
        <f>IF($D609="","",IF(AND(OR(DANH_MUC!$L$5&lt;&gt;"Có",M609="Có"),OR(DANH_MUC!$L$6&lt;&gt;"Có",N609="Có"),OR(DANH_MUC!$L$7&lt;&gt;"Có",O609="Có"),OR(DANH_MUC!$L$8&lt;&gt;"Có",P609="Có")),"Có","Không"))</f>
        <v/>
      </c>
      <c r="R609" s="22">
        <f>IF($D609="","",IF(COUNTIF($D$2:$D609,$D609)&gt;1,"Trùng",""))</f>
        <v/>
      </c>
      <c r="S609" s="22">
        <f>IF($D609="","",IF(AND(LEN($D609)=10,LEFT($D609,1)="0",ISNUMBER(--$D609)),"Có","Không"))</f>
        <v/>
      </c>
      <c r="T609" s="22">
        <f>IF($D609="","",IF(AND($C609&lt;&gt;"",$Q609="Có",$R609="",$S609="Có",AND($L609&lt;&gt;"",OR($L609&lt;&gt;"Chưa xác định",DANH_MUC!$L$9="Có"))),"Có","Không"))</f>
        <v/>
      </c>
      <c r="U609" s="22">
        <f>IF(OR($D609="",$T609="Có"),"",IF($C609="","Thiếu họ tên; ","")&amp;IF($S609&lt;&gt;"Có","SĐT sai định dạng; ","")&amp;IF($R609="Trùng","Trùng SĐT; ","")&amp;IF($Q609&lt;&gt;"Có","Thiếu đồng ý bắt buộc; ","")&amp;IF($L609="","Thiếu/sai Mã REF; ",IF(AND($L609="Chưa xác định",DANH_MUC!$L$9&lt;&gt;"Có"),"Nguồn chưa xác định; ","")))</f>
        <v/>
      </c>
      <c r="V609" s="22">
        <f>IF(OR($D609="",$R609="Trùng"),"",IF(COUNTIF(ORDERS!$C$2:$C$4995,$D609)&gt;0,"Có","Không"))</f>
        <v/>
      </c>
      <c r="W609" s="22">
        <f>IF(OR($D609="",$R609="Trùng"),"",COUNTIFS(ORDERS!$C$2:$C$4995,$D609,ORDERS!$L$2:$L$4995,"Đã chuyển khoản"))</f>
        <v/>
      </c>
      <c r="X609" s="23">
        <f>IF(OR($D609="",$R609="Trùng"),"",SUMIFS(ORDERS!$J$2:$J$4995,ORDERS!$C$2:$C$4995,$D609,ORDERS!$L$2:$L$4995,"Đã chuyển khoản"))</f>
        <v/>
      </c>
      <c r="Y609" s="24" t="n"/>
    </row>
    <row r="610" ht="14.25" customHeight="1" s="40">
      <c r="A610" s="24" t="n"/>
      <c r="B610" s="27" t="n"/>
      <c r="C610" s="24" t="n"/>
      <c r="D610" s="28" t="n"/>
      <c r="E610" s="29" t="n"/>
      <c r="F610" s="24" t="n"/>
      <c r="G610" s="24" t="n"/>
      <c r="H610" s="21">
        <f>IF(ISNUMBER($B610),INT($B610)-WEEKDAY($B610,2)+1,"")</f>
        <v/>
      </c>
      <c r="I610" s="24" t="n"/>
      <c r="J610" s="22">
        <f t="array" ref="J610">IF($D610="","",IF($I610="","(trống REF)",IFERROR(INDEX(MASTER_SOURCE!$B$2:$B$495,MATCH($I610,MASTER_SOURCE!$A$2:$A$495,0)),"(REF không có trong MASTER_SOURCE)")))</f>
        <v/>
      </c>
      <c r="K610" s="22">
        <f t="array" ref="K610">IF($D610="","",IFERROR(INDEX(MASTER_SOURCE!$C$2:$C$495,MATCH($I610,MASTER_SOURCE!$A$2:$A$495,0)),""))</f>
        <v/>
      </c>
      <c r="L610" s="22">
        <f t="array" ref="L610">IF($D610="","",IFERROR(INDEX(MASTER_SOURCE!$D$2:$D$495,MATCH($I610,MASTER_SOURCE!$A$2:$A$495,0)),""))</f>
        <v/>
      </c>
      <c r="M610" s="24" t="n"/>
      <c r="N610" s="24" t="n"/>
      <c r="O610" s="24" t="n"/>
      <c r="P610" s="24" t="n"/>
      <c r="Q610" s="22">
        <f>IF($D610="","",IF(AND(OR(DANH_MUC!$L$5&lt;&gt;"Có",M610="Có"),OR(DANH_MUC!$L$6&lt;&gt;"Có",N610="Có"),OR(DANH_MUC!$L$7&lt;&gt;"Có",O610="Có"),OR(DANH_MUC!$L$8&lt;&gt;"Có",P610="Có")),"Có","Không"))</f>
        <v/>
      </c>
      <c r="R610" s="22">
        <f>IF($D610="","",IF(COUNTIF($D$2:$D610,$D610)&gt;1,"Trùng",""))</f>
        <v/>
      </c>
      <c r="S610" s="22">
        <f>IF($D610="","",IF(AND(LEN($D610)=10,LEFT($D610,1)="0",ISNUMBER(--$D610)),"Có","Không"))</f>
        <v/>
      </c>
      <c r="T610" s="22">
        <f>IF($D610="","",IF(AND($C610&lt;&gt;"",$Q610="Có",$R610="",$S610="Có",AND($L610&lt;&gt;"",OR($L610&lt;&gt;"Chưa xác định",DANH_MUC!$L$9="Có"))),"Có","Không"))</f>
        <v/>
      </c>
      <c r="U610" s="22">
        <f>IF(OR($D610="",$T610="Có"),"",IF($C610="","Thiếu họ tên; ","")&amp;IF($S610&lt;&gt;"Có","SĐT sai định dạng; ","")&amp;IF($R610="Trùng","Trùng SĐT; ","")&amp;IF($Q610&lt;&gt;"Có","Thiếu đồng ý bắt buộc; ","")&amp;IF($L610="","Thiếu/sai Mã REF; ",IF(AND($L610="Chưa xác định",DANH_MUC!$L$9&lt;&gt;"Có"),"Nguồn chưa xác định; ","")))</f>
        <v/>
      </c>
      <c r="V610" s="22">
        <f>IF(OR($D610="",$R610="Trùng"),"",IF(COUNTIF(ORDERS!$C$2:$C$4995,$D610)&gt;0,"Có","Không"))</f>
        <v/>
      </c>
      <c r="W610" s="22">
        <f>IF(OR($D610="",$R610="Trùng"),"",COUNTIFS(ORDERS!$C$2:$C$4995,$D610,ORDERS!$L$2:$L$4995,"Đã chuyển khoản"))</f>
        <v/>
      </c>
      <c r="X610" s="23">
        <f>IF(OR($D610="",$R610="Trùng"),"",SUMIFS(ORDERS!$J$2:$J$4995,ORDERS!$C$2:$C$4995,$D610,ORDERS!$L$2:$L$4995,"Đã chuyển khoản"))</f>
        <v/>
      </c>
      <c r="Y610" s="24" t="n"/>
    </row>
    <row r="611" ht="14.25" customHeight="1" s="40">
      <c r="A611" s="24" t="n"/>
      <c r="B611" s="27" t="n"/>
      <c r="C611" s="24" t="n"/>
      <c r="D611" s="28" t="n"/>
      <c r="E611" s="29" t="n"/>
      <c r="F611" s="24" t="n"/>
      <c r="G611" s="24" t="n"/>
      <c r="H611" s="21">
        <f>IF(ISNUMBER($B611),INT($B611)-WEEKDAY($B611,2)+1,"")</f>
        <v/>
      </c>
      <c r="I611" s="24" t="n"/>
      <c r="J611" s="22">
        <f t="array" ref="J611">IF($D611="","",IF($I611="","(trống REF)",IFERROR(INDEX(MASTER_SOURCE!$B$2:$B$495,MATCH($I611,MASTER_SOURCE!$A$2:$A$495,0)),"(REF không có trong MASTER_SOURCE)")))</f>
        <v/>
      </c>
      <c r="K611" s="22">
        <f t="array" ref="K611">IF($D611="","",IFERROR(INDEX(MASTER_SOURCE!$C$2:$C$495,MATCH($I611,MASTER_SOURCE!$A$2:$A$495,0)),""))</f>
        <v/>
      </c>
      <c r="L611" s="22">
        <f t="array" ref="L611">IF($D611="","",IFERROR(INDEX(MASTER_SOURCE!$D$2:$D$495,MATCH($I611,MASTER_SOURCE!$A$2:$A$495,0)),""))</f>
        <v/>
      </c>
      <c r="M611" s="24" t="n"/>
      <c r="N611" s="24" t="n"/>
      <c r="O611" s="24" t="n"/>
      <c r="P611" s="24" t="n"/>
      <c r="Q611" s="22">
        <f>IF($D611="","",IF(AND(OR(DANH_MUC!$L$5&lt;&gt;"Có",M611="Có"),OR(DANH_MUC!$L$6&lt;&gt;"Có",N611="Có"),OR(DANH_MUC!$L$7&lt;&gt;"Có",O611="Có"),OR(DANH_MUC!$L$8&lt;&gt;"Có",P611="Có")),"Có","Không"))</f>
        <v/>
      </c>
      <c r="R611" s="22">
        <f>IF($D611="","",IF(COUNTIF($D$2:$D611,$D611)&gt;1,"Trùng",""))</f>
        <v/>
      </c>
      <c r="S611" s="22">
        <f>IF($D611="","",IF(AND(LEN($D611)=10,LEFT($D611,1)="0",ISNUMBER(--$D611)),"Có","Không"))</f>
        <v/>
      </c>
      <c r="T611" s="22">
        <f>IF($D611="","",IF(AND($C611&lt;&gt;"",$Q611="Có",$R611="",$S611="Có",AND($L611&lt;&gt;"",OR($L611&lt;&gt;"Chưa xác định",DANH_MUC!$L$9="Có"))),"Có","Không"))</f>
        <v/>
      </c>
      <c r="U611" s="22">
        <f>IF(OR($D611="",$T611="Có"),"",IF($C611="","Thiếu họ tên; ","")&amp;IF($S611&lt;&gt;"Có","SĐT sai định dạng; ","")&amp;IF($R611="Trùng","Trùng SĐT; ","")&amp;IF($Q611&lt;&gt;"Có","Thiếu đồng ý bắt buộc; ","")&amp;IF($L611="","Thiếu/sai Mã REF; ",IF(AND($L611="Chưa xác định",DANH_MUC!$L$9&lt;&gt;"Có"),"Nguồn chưa xác định; ","")))</f>
        <v/>
      </c>
      <c r="V611" s="22">
        <f>IF(OR($D611="",$R611="Trùng"),"",IF(COUNTIF(ORDERS!$C$2:$C$4995,$D611)&gt;0,"Có","Không"))</f>
        <v/>
      </c>
      <c r="W611" s="22">
        <f>IF(OR($D611="",$R611="Trùng"),"",COUNTIFS(ORDERS!$C$2:$C$4995,$D611,ORDERS!$L$2:$L$4995,"Đã chuyển khoản"))</f>
        <v/>
      </c>
      <c r="X611" s="23">
        <f>IF(OR($D611="",$R611="Trùng"),"",SUMIFS(ORDERS!$J$2:$J$4995,ORDERS!$C$2:$C$4995,$D611,ORDERS!$L$2:$L$4995,"Đã chuyển khoản"))</f>
        <v/>
      </c>
      <c r="Y611" s="24" t="n"/>
    </row>
    <row r="612" ht="14.25" customHeight="1" s="40">
      <c r="A612" s="24" t="n"/>
      <c r="B612" s="27" t="n"/>
      <c r="C612" s="24" t="n"/>
      <c r="D612" s="28" t="n"/>
      <c r="E612" s="29" t="n"/>
      <c r="F612" s="24" t="n"/>
      <c r="G612" s="24" t="n"/>
      <c r="H612" s="21">
        <f>IF(ISNUMBER($B612),INT($B612)-WEEKDAY($B612,2)+1,"")</f>
        <v/>
      </c>
      <c r="I612" s="24" t="n"/>
      <c r="J612" s="22">
        <f t="array" ref="J612">IF($D612="","",IF($I612="","(trống REF)",IFERROR(INDEX(MASTER_SOURCE!$B$2:$B$495,MATCH($I612,MASTER_SOURCE!$A$2:$A$495,0)),"(REF không có trong MASTER_SOURCE)")))</f>
        <v/>
      </c>
      <c r="K612" s="22">
        <f t="array" ref="K612">IF($D612="","",IFERROR(INDEX(MASTER_SOURCE!$C$2:$C$495,MATCH($I612,MASTER_SOURCE!$A$2:$A$495,0)),""))</f>
        <v/>
      </c>
      <c r="L612" s="22">
        <f t="array" ref="L612">IF($D612="","",IFERROR(INDEX(MASTER_SOURCE!$D$2:$D$495,MATCH($I612,MASTER_SOURCE!$A$2:$A$495,0)),""))</f>
        <v/>
      </c>
      <c r="M612" s="24" t="n"/>
      <c r="N612" s="24" t="n"/>
      <c r="O612" s="24" t="n"/>
      <c r="P612" s="24" t="n"/>
      <c r="Q612" s="22">
        <f>IF($D612="","",IF(AND(OR(DANH_MUC!$L$5&lt;&gt;"Có",M612="Có"),OR(DANH_MUC!$L$6&lt;&gt;"Có",N612="Có"),OR(DANH_MUC!$L$7&lt;&gt;"Có",O612="Có"),OR(DANH_MUC!$L$8&lt;&gt;"Có",P612="Có")),"Có","Không"))</f>
        <v/>
      </c>
      <c r="R612" s="22">
        <f>IF($D612="","",IF(COUNTIF($D$2:$D612,$D612)&gt;1,"Trùng",""))</f>
        <v/>
      </c>
      <c r="S612" s="22">
        <f>IF($D612="","",IF(AND(LEN($D612)=10,LEFT($D612,1)="0",ISNUMBER(--$D612)),"Có","Không"))</f>
        <v/>
      </c>
      <c r="T612" s="22">
        <f>IF($D612="","",IF(AND($C612&lt;&gt;"",$Q612="Có",$R612="",$S612="Có",AND($L612&lt;&gt;"",OR($L612&lt;&gt;"Chưa xác định",DANH_MUC!$L$9="Có"))),"Có","Không"))</f>
        <v/>
      </c>
      <c r="U612" s="22">
        <f>IF(OR($D612="",$T612="Có"),"",IF($C612="","Thiếu họ tên; ","")&amp;IF($S612&lt;&gt;"Có","SĐT sai định dạng; ","")&amp;IF($R612="Trùng","Trùng SĐT; ","")&amp;IF($Q612&lt;&gt;"Có","Thiếu đồng ý bắt buộc; ","")&amp;IF($L612="","Thiếu/sai Mã REF; ",IF(AND($L612="Chưa xác định",DANH_MUC!$L$9&lt;&gt;"Có"),"Nguồn chưa xác định; ","")))</f>
        <v/>
      </c>
      <c r="V612" s="22">
        <f>IF(OR($D612="",$R612="Trùng"),"",IF(COUNTIF(ORDERS!$C$2:$C$4995,$D612)&gt;0,"Có","Không"))</f>
        <v/>
      </c>
      <c r="W612" s="22">
        <f>IF(OR($D612="",$R612="Trùng"),"",COUNTIFS(ORDERS!$C$2:$C$4995,$D612,ORDERS!$L$2:$L$4995,"Đã chuyển khoản"))</f>
        <v/>
      </c>
      <c r="X612" s="23">
        <f>IF(OR($D612="",$R612="Trùng"),"",SUMIFS(ORDERS!$J$2:$J$4995,ORDERS!$C$2:$C$4995,$D612,ORDERS!$L$2:$L$4995,"Đã chuyển khoản"))</f>
        <v/>
      </c>
      <c r="Y612" s="24" t="n"/>
    </row>
    <row r="613" ht="14.25" customHeight="1" s="40">
      <c r="A613" s="24" t="n"/>
      <c r="B613" s="27" t="n"/>
      <c r="C613" s="24" t="n"/>
      <c r="D613" s="28" t="n"/>
      <c r="E613" s="29" t="n"/>
      <c r="F613" s="24" t="n"/>
      <c r="G613" s="24" t="n"/>
      <c r="H613" s="21">
        <f>IF(ISNUMBER($B613),INT($B613)-WEEKDAY($B613,2)+1,"")</f>
        <v/>
      </c>
      <c r="I613" s="24" t="n"/>
      <c r="J613" s="22">
        <f t="array" ref="J613">IF($D613="","",IF($I613="","(trống REF)",IFERROR(INDEX(MASTER_SOURCE!$B$2:$B$495,MATCH($I613,MASTER_SOURCE!$A$2:$A$495,0)),"(REF không có trong MASTER_SOURCE)")))</f>
        <v/>
      </c>
      <c r="K613" s="22">
        <f t="array" ref="K613">IF($D613="","",IFERROR(INDEX(MASTER_SOURCE!$C$2:$C$495,MATCH($I613,MASTER_SOURCE!$A$2:$A$495,0)),""))</f>
        <v/>
      </c>
      <c r="L613" s="22">
        <f t="array" ref="L613">IF($D613="","",IFERROR(INDEX(MASTER_SOURCE!$D$2:$D$495,MATCH($I613,MASTER_SOURCE!$A$2:$A$495,0)),""))</f>
        <v/>
      </c>
      <c r="M613" s="24" t="n"/>
      <c r="N613" s="24" t="n"/>
      <c r="O613" s="24" t="n"/>
      <c r="P613" s="24" t="n"/>
      <c r="Q613" s="22">
        <f>IF($D613="","",IF(AND(OR(DANH_MUC!$L$5&lt;&gt;"Có",M613="Có"),OR(DANH_MUC!$L$6&lt;&gt;"Có",N613="Có"),OR(DANH_MUC!$L$7&lt;&gt;"Có",O613="Có"),OR(DANH_MUC!$L$8&lt;&gt;"Có",P613="Có")),"Có","Không"))</f>
        <v/>
      </c>
      <c r="R613" s="22">
        <f>IF($D613="","",IF(COUNTIF($D$2:$D613,$D613)&gt;1,"Trùng",""))</f>
        <v/>
      </c>
      <c r="S613" s="22">
        <f>IF($D613="","",IF(AND(LEN($D613)=10,LEFT($D613,1)="0",ISNUMBER(--$D613)),"Có","Không"))</f>
        <v/>
      </c>
      <c r="T613" s="22">
        <f>IF($D613="","",IF(AND($C613&lt;&gt;"",$Q613="Có",$R613="",$S613="Có",AND($L613&lt;&gt;"",OR($L613&lt;&gt;"Chưa xác định",DANH_MUC!$L$9="Có"))),"Có","Không"))</f>
        <v/>
      </c>
      <c r="U613" s="22">
        <f>IF(OR($D613="",$T613="Có"),"",IF($C613="","Thiếu họ tên; ","")&amp;IF($S613&lt;&gt;"Có","SĐT sai định dạng; ","")&amp;IF($R613="Trùng","Trùng SĐT; ","")&amp;IF($Q613&lt;&gt;"Có","Thiếu đồng ý bắt buộc; ","")&amp;IF($L613="","Thiếu/sai Mã REF; ",IF(AND($L613="Chưa xác định",DANH_MUC!$L$9&lt;&gt;"Có"),"Nguồn chưa xác định; ","")))</f>
        <v/>
      </c>
      <c r="V613" s="22">
        <f>IF(OR($D613="",$R613="Trùng"),"",IF(COUNTIF(ORDERS!$C$2:$C$4995,$D613)&gt;0,"Có","Không"))</f>
        <v/>
      </c>
      <c r="W613" s="22">
        <f>IF(OR($D613="",$R613="Trùng"),"",COUNTIFS(ORDERS!$C$2:$C$4995,$D613,ORDERS!$L$2:$L$4995,"Đã chuyển khoản"))</f>
        <v/>
      </c>
      <c r="X613" s="23">
        <f>IF(OR($D613="",$R613="Trùng"),"",SUMIFS(ORDERS!$J$2:$J$4995,ORDERS!$C$2:$C$4995,$D613,ORDERS!$L$2:$L$4995,"Đã chuyển khoản"))</f>
        <v/>
      </c>
      <c r="Y613" s="24" t="n"/>
    </row>
    <row r="614" ht="14.25" customHeight="1" s="40">
      <c r="A614" s="24" t="n"/>
      <c r="B614" s="27" t="n"/>
      <c r="C614" s="24" t="n"/>
      <c r="D614" s="28" t="n"/>
      <c r="E614" s="29" t="n"/>
      <c r="F614" s="24" t="n"/>
      <c r="G614" s="24" t="n"/>
      <c r="H614" s="21">
        <f>IF(ISNUMBER($B614),INT($B614)-WEEKDAY($B614,2)+1,"")</f>
        <v/>
      </c>
      <c r="I614" s="24" t="n"/>
      <c r="J614" s="22">
        <f t="array" ref="J614">IF($D614="","",IF($I614="","(trống REF)",IFERROR(INDEX(MASTER_SOURCE!$B$2:$B$495,MATCH($I614,MASTER_SOURCE!$A$2:$A$495,0)),"(REF không có trong MASTER_SOURCE)")))</f>
        <v/>
      </c>
      <c r="K614" s="22">
        <f t="array" ref="K614">IF($D614="","",IFERROR(INDEX(MASTER_SOURCE!$C$2:$C$495,MATCH($I614,MASTER_SOURCE!$A$2:$A$495,0)),""))</f>
        <v/>
      </c>
      <c r="L614" s="22">
        <f t="array" ref="L614">IF($D614="","",IFERROR(INDEX(MASTER_SOURCE!$D$2:$D$495,MATCH($I614,MASTER_SOURCE!$A$2:$A$495,0)),""))</f>
        <v/>
      </c>
      <c r="M614" s="24" t="n"/>
      <c r="N614" s="24" t="n"/>
      <c r="O614" s="24" t="n"/>
      <c r="P614" s="24" t="n"/>
      <c r="Q614" s="22">
        <f>IF($D614="","",IF(AND(OR(DANH_MUC!$L$5&lt;&gt;"Có",M614="Có"),OR(DANH_MUC!$L$6&lt;&gt;"Có",N614="Có"),OR(DANH_MUC!$L$7&lt;&gt;"Có",O614="Có"),OR(DANH_MUC!$L$8&lt;&gt;"Có",P614="Có")),"Có","Không"))</f>
        <v/>
      </c>
      <c r="R614" s="22">
        <f>IF($D614="","",IF(COUNTIF($D$2:$D614,$D614)&gt;1,"Trùng",""))</f>
        <v/>
      </c>
      <c r="S614" s="22">
        <f>IF($D614="","",IF(AND(LEN($D614)=10,LEFT($D614,1)="0",ISNUMBER(--$D614)),"Có","Không"))</f>
        <v/>
      </c>
      <c r="T614" s="22">
        <f>IF($D614="","",IF(AND($C614&lt;&gt;"",$Q614="Có",$R614="",$S614="Có",AND($L614&lt;&gt;"",OR($L614&lt;&gt;"Chưa xác định",DANH_MUC!$L$9="Có"))),"Có","Không"))</f>
        <v/>
      </c>
      <c r="U614" s="22">
        <f>IF(OR($D614="",$T614="Có"),"",IF($C614="","Thiếu họ tên; ","")&amp;IF($S614&lt;&gt;"Có","SĐT sai định dạng; ","")&amp;IF($R614="Trùng","Trùng SĐT; ","")&amp;IF($Q614&lt;&gt;"Có","Thiếu đồng ý bắt buộc; ","")&amp;IF($L614="","Thiếu/sai Mã REF; ",IF(AND($L614="Chưa xác định",DANH_MUC!$L$9&lt;&gt;"Có"),"Nguồn chưa xác định; ","")))</f>
        <v/>
      </c>
      <c r="V614" s="22">
        <f>IF(OR($D614="",$R614="Trùng"),"",IF(COUNTIF(ORDERS!$C$2:$C$4995,$D614)&gt;0,"Có","Không"))</f>
        <v/>
      </c>
      <c r="W614" s="22">
        <f>IF(OR($D614="",$R614="Trùng"),"",COUNTIFS(ORDERS!$C$2:$C$4995,$D614,ORDERS!$L$2:$L$4995,"Đã chuyển khoản"))</f>
        <v/>
      </c>
      <c r="X614" s="23">
        <f>IF(OR($D614="",$R614="Trùng"),"",SUMIFS(ORDERS!$J$2:$J$4995,ORDERS!$C$2:$C$4995,$D614,ORDERS!$L$2:$L$4995,"Đã chuyển khoản"))</f>
        <v/>
      </c>
      <c r="Y614" s="24" t="n"/>
    </row>
    <row r="615" ht="14.25" customHeight="1" s="40">
      <c r="A615" s="24" t="n"/>
      <c r="B615" s="27" t="n"/>
      <c r="C615" s="24" t="n"/>
      <c r="D615" s="28" t="n"/>
      <c r="E615" s="29" t="n"/>
      <c r="F615" s="24" t="n"/>
      <c r="G615" s="24" t="n"/>
      <c r="H615" s="21">
        <f>IF(ISNUMBER($B615),INT($B615)-WEEKDAY($B615,2)+1,"")</f>
        <v/>
      </c>
      <c r="I615" s="24" t="n"/>
      <c r="J615" s="22">
        <f t="array" ref="J615">IF($D615="","",IF($I615="","(trống REF)",IFERROR(INDEX(MASTER_SOURCE!$B$2:$B$495,MATCH($I615,MASTER_SOURCE!$A$2:$A$495,0)),"(REF không có trong MASTER_SOURCE)")))</f>
        <v/>
      </c>
      <c r="K615" s="22">
        <f t="array" ref="K615">IF($D615="","",IFERROR(INDEX(MASTER_SOURCE!$C$2:$C$495,MATCH($I615,MASTER_SOURCE!$A$2:$A$495,0)),""))</f>
        <v/>
      </c>
      <c r="L615" s="22">
        <f t="array" ref="L615">IF($D615="","",IFERROR(INDEX(MASTER_SOURCE!$D$2:$D$495,MATCH($I615,MASTER_SOURCE!$A$2:$A$495,0)),""))</f>
        <v/>
      </c>
      <c r="M615" s="24" t="n"/>
      <c r="N615" s="24" t="n"/>
      <c r="O615" s="24" t="n"/>
      <c r="P615" s="24" t="n"/>
      <c r="Q615" s="22">
        <f>IF($D615="","",IF(AND(OR(DANH_MUC!$L$5&lt;&gt;"Có",M615="Có"),OR(DANH_MUC!$L$6&lt;&gt;"Có",N615="Có"),OR(DANH_MUC!$L$7&lt;&gt;"Có",O615="Có"),OR(DANH_MUC!$L$8&lt;&gt;"Có",P615="Có")),"Có","Không"))</f>
        <v/>
      </c>
      <c r="R615" s="22">
        <f>IF($D615="","",IF(COUNTIF($D$2:$D615,$D615)&gt;1,"Trùng",""))</f>
        <v/>
      </c>
      <c r="S615" s="22">
        <f>IF($D615="","",IF(AND(LEN($D615)=10,LEFT($D615,1)="0",ISNUMBER(--$D615)),"Có","Không"))</f>
        <v/>
      </c>
      <c r="T615" s="22">
        <f>IF($D615="","",IF(AND($C615&lt;&gt;"",$Q615="Có",$R615="",$S615="Có",AND($L615&lt;&gt;"",OR($L615&lt;&gt;"Chưa xác định",DANH_MUC!$L$9="Có"))),"Có","Không"))</f>
        <v/>
      </c>
      <c r="U615" s="22">
        <f>IF(OR($D615="",$T615="Có"),"",IF($C615="","Thiếu họ tên; ","")&amp;IF($S615&lt;&gt;"Có","SĐT sai định dạng; ","")&amp;IF($R615="Trùng","Trùng SĐT; ","")&amp;IF($Q615&lt;&gt;"Có","Thiếu đồng ý bắt buộc; ","")&amp;IF($L615="","Thiếu/sai Mã REF; ",IF(AND($L615="Chưa xác định",DANH_MUC!$L$9&lt;&gt;"Có"),"Nguồn chưa xác định; ","")))</f>
        <v/>
      </c>
      <c r="V615" s="22">
        <f>IF(OR($D615="",$R615="Trùng"),"",IF(COUNTIF(ORDERS!$C$2:$C$4995,$D615)&gt;0,"Có","Không"))</f>
        <v/>
      </c>
      <c r="W615" s="22">
        <f>IF(OR($D615="",$R615="Trùng"),"",COUNTIFS(ORDERS!$C$2:$C$4995,$D615,ORDERS!$L$2:$L$4995,"Đã chuyển khoản"))</f>
        <v/>
      </c>
      <c r="X615" s="23">
        <f>IF(OR($D615="",$R615="Trùng"),"",SUMIFS(ORDERS!$J$2:$J$4995,ORDERS!$C$2:$C$4995,$D615,ORDERS!$L$2:$L$4995,"Đã chuyển khoản"))</f>
        <v/>
      </c>
      <c r="Y615" s="24" t="n"/>
    </row>
    <row r="616" ht="14.25" customHeight="1" s="40">
      <c r="A616" s="24" t="n"/>
      <c r="B616" s="27" t="n"/>
      <c r="C616" s="24" t="n"/>
      <c r="D616" s="28" t="n"/>
      <c r="E616" s="29" t="n"/>
      <c r="F616" s="24" t="n"/>
      <c r="G616" s="24" t="n"/>
      <c r="H616" s="21">
        <f>IF(ISNUMBER($B616),INT($B616)-WEEKDAY($B616,2)+1,"")</f>
        <v/>
      </c>
      <c r="I616" s="24" t="n"/>
      <c r="J616" s="22">
        <f t="array" ref="J616">IF($D616="","",IF($I616="","(trống REF)",IFERROR(INDEX(MASTER_SOURCE!$B$2:$B$495,MATCH($I616,MASTER_SOURCE!$A$2:$A$495,0)),"(REF không có trong MASTER_SOURCE)")))</f>
        <v/>
      </c>
      <c r="K616" s="22">
        <f t="array" ref="K616">IF($D616="","",IFERROR(INDEX(MASTER_SOURCE!$C$2:$C$495,MATCH($I616,MASTER_SOURCE!$A$2:$A$495,0)),""))</f>
        <v/>
      </c>
      <c r="L616" s="22">
        <f t="array" ref="L616">IF($D616="","",IFERROR(INDEX(MASTER_SOURCE!$D$2:$D$495,MATCH($I616,MASTER_SOURCE!$A$2:$A$495,0)),""))</f>
        <v/>
      </c>
      <c r="M616" s="24" t="n"/>
      <c r="N616" s="24" t="n"/>
      <c r="O616" s="24" t="n"/>
      <c r="P616" s="24" t="n"/>
      <c r="Q616" s="22">
        <f>IF($D616="","",IF(AND(OR(DANH_MUC!$L$5&lt;&gt;"Có",M616="Có"),OR(DANH_MUC!$L$6&lt;&gt;"Có",N616="Có"),OR(DANH_MUC!$L$7&lt;&gt;"Có",O616="Có"),OR(DANH_MUC!$L$8&lt;&gt;"Có",P616="Có")),"Có","Không"))</f>
        <v/>
      </c>
      <c r="R616" s="22">
        <f>IF($D616="","",IF(COUNTIF($D$2:$D616,$D616)&gt;1,"Trùng",""))</f>
        <v/>
      </c>
      <c r="S616" s="22">
        <f>IF($D616="","",IF(AND(LEN($D616)=10,LEFT($D616,1)="0",ISNUMBER(--$D616)),"Có","Không"))</f>
        <v/>
      </c>
      <c r="T616" s="22">
        <f>IF($D616="","",IF(AND($C616&lt;&gt;"",$Q616="Có",$R616="",$S616="Có",AND($L616&lt;&gt;"",OR($L616&lt;&gt;"Chưa xác định",DANH_MUC!$L$9="Có"))),"Có","Không"))</f>
        <v/>
      </c>
      <c r="U616" s="22">
        <f>IF(OR($D616="",$T616="Có"),"",IF($C616="","Thiếu họ tên; ","")&amp;IF($S616&lt;&gt;"Có","SĐT sai định dạng; ","")&amp;IF($R616="Trùng","Trùng SĐT; ","")&amp;IF($Q616&lt;&gt;"Có","Thiếu đồng ý bắt buộc; ","")&amp;IF($L616="","Thiếu/sai Mã REF; ",IF(AND($L616="Chưa xác định",DANH_MUC!$L$9&lt;&gt;"Có"),"Nguồn chưa xác định; ","")))</f>
        <v/>
      </c>
      <c r="V616" s="22">
        <f>IF(OR($D616="",$R616="Trùng"),"",IF(COUNTIF(ORDERS!$C$2:$C$4995,$D616)&gt;0,"Có","Không"))</f>
        <v/>
      </c>
      <c r="W616" s="22">
        <f>IF(OR($D616="",$R616="Trùng"),"",COUNTIFS(ORDERS!$C$2:$C$4995,$D616,ORDERS!$L$2:$L$4995,"Đã chuyển khoản"))</f>
        <v/>
      </c>
      <c r="X616" s="23">
        <f>IF(OR($D616="",$R616="Trùng"),"",SUMIFS(ORDERS!$J$2:$J$4995,ORDERS!$C$2:$C$4995,$D616,ORDERS!$L$2:$L$4995,"Đã chuyển khoản"))</f>
        <v/>
      </c>
      <c r="Y616" s="24" t="n"/>
    </row>
    <row r="617" ht="14.25" customHeight="1" s="40">
      <c r="A617" s="24" t="n"/>
      <c r="B617" s="27" t="n"/>
      <c r="C617" s="24" t="n"/>
      <c r="D617" s="28" t="n"/>
      <c r="E617" s="29" t="n"/>
      <c r="F617" s="24" t="n"/>
      <c r="G617" s="24" t="n"/>
      <c r="H617" s="21">
        <f>IF(ISNUMBER($B617),INT($B617)-WEEKDAY($B617,2)+1,"")</f>
        <v/>
      </c>
      <c r="I617" s="24" t="n"/>
      <c r="J617" s="22">
        <f t="array" ref="J617">IF($D617="","",IF($I617="","(trống REF)",IFERROR(INDEX(MASTER_SOURCE!$B$2:$B$495,MATCH($I617,MASTER_SOURCE!$A$2:$A$495,0)),"(REF không có trong MASTER_SOURCE)")))</f>
        <v/>
      </c>
      <c r="K617" s="22">
        <f t="array" ref="K617">IF($D617="","",IFERROR(INDEX(MASTER_SOURCE!$C$2:$C$495,MATCH($I617,MASTER_SOURCE!$A$2:$A$495,0)),""))</f>
        <v/>
      </c>
      <c r="L617" s="22">
        <f t="array" ref="L617">IF($D617="","",IFERROR(INDEX(MASTER_SOURCE!$D$2:$D$495,MATCH($I617,MASTER_SOURCE!$A$2:$A$495,0)),""))</f>
        <v/>
      </c>
      <c r="M617" s="24" t="n"/>
      <c r="N617" s="24" t="n"/>
      <c r="O617" s="24" t="n"/>
      <c r="P617" s="24" t="n"/>
      <c r="Q617" s="22">
        <f>IF($D617="","",IF(AND(OR(DANH_MUC!$L$5&lt;&gt;"Có",M617="Có"),OR(DANH_MUC!$L$6&lt;&gt;"Có",N617="Có"),OR(DANH_MUC!$L$7&lt;&gt;"Có",O617="Có"),OR(DANH_MUC!$L$8&lt;&gt;"Có",P617="Có")),"Có","Không"))</f>
        <v/>
      </c>
      <c r="R617" s="22">
        <f>IF($D617="","",IF(COUNTIF($D$2:$D617,$D617)&gt;1,"Trùng",""))</f>
        <v/>
      </c>
      <c r="S617" s="22">
        <f>IF($D617="","",IF(AND(LEN($D617)=10,LEFT($D617,1)="0",ISNUMBER(--$D617)),"Có","Không"))</f>
        <v/>
      </c>
      <c r="T617" s="22">
        <f>IF($D617="","",IF(AND($C617&lt;&gt;"",$Q617="Có",$R617="",$S617="Có",AND($L617&lt;&gt;"",OR($L617&lt;&gt;"Chưa xác định",DANH_MUC!$L$9="Có"))),"Có","Không"))</f>
        <v/>
      </c>
      <c r="U617" s="22">
        <f>IF(OR($D617="",$T617="Có"),"",IF($C617="","Thiếu họ tên; ","")&amp;IF($S617&lt;&gt;"Có","SĐT sai định dạng; ","")&amp;IF($R617="Trùng","Trùng SĐT; ","")&amp;IF($Q617&lt;&gt;"Có","Thiếu đồng ý bắt buộc; ","")&amp;IF($L617="","Thiếu/sai Mã REF; ",IF(AND($L617="Chưa xác định",DANH_MUC!$L$9&lt;&gt;"Có"),"Nguồn chưa xác định; ","")))</f>
        <v/>
      </c>
      <c r="V617" s="22">
        <f>IF(OR($D617="",$R617="Trùng"),"",IF(COUNTIF(ORDERS!$C$2:$C$4995,$D617)&gt;0,"Có","Không"))</f>
        <v/>
      </c>
      <c r="W617" s="22">
        <f>IF(OR($D617="",$R617="Trùng"),"",COUNTIFS(ORDERS!$C$2:$C$4995,$D617,ORDERS!$L$2:$L$4995,"Đã chuyển khoản"))</f>
        <v/>
      </c>
      <c r="X617" s="23">
        <f>IF(OR($D617="",$R617="Trùng"),"",SUMIFS(ORDERS!$J$2:$J$4995,ORDERS!$C$2:$C$4995,$D617,ORDERS!$L$2:$L$4995,"Đã chuyển khoản"))</f>
        <v/>
      </c>
      <c r="Y617" s="24" t="n"/>
    </row>
    <row r="618" ht="14.25" customHeight="1" s="40">
      <c r="A618" s="24" t="n"/>
      <c r="B618" s="27" t="n"/>
      <c r="C618" s="24" t="n"/>
      <c r="D618" s="28" t="n"/>
      <c r="E618" s="29" t="n"/>
      <c r="F618" s="24" t="n"/>
      <c r="G618" s="24" t="n"/>
      <c r="H618" s="21">
        <f>IF(ISNUMBER($B618),INT($B618)-WEEKDAY($B618,2)+1,"")</f>
        <v/>
      </c>
      <c r="I618" s="24" t="n"/>
      <c r="J618" s="22">
        <f t="array" ref="J618">IF($D618="","",IF($I618="","(trống REF)",IFERROR(INDEX(MASTER_SOURCE!$B$2:$B$495,MATCH($I618,MASTER_SOURCE!$A$2:$A$495,0)),"(REF không có trong MASTER_SOURCE)")))</f>
        <v/>
      </c>
      <c r="K618" s="22">
        <f t="array" ref="K618">IF($D618="","",IFERROR(INDEX(MASTER_SOURCE!$C$2:$C$495,MATCH($I618,MASTER_SOURCE!$A$2:$A$495,0)),""))</f>
        <v/>
      </c>
      <c r="L618" s="22">
        <f t="array" ref="L618">IF($D618="","",IFERROR(INDEX(MASTER_SOURCE!$D$2:$D$495,MATCH($I618,MASTER_SOURCE!$A$2:$A$495,0)),""))</f>
        <v/>
      </c>
      <c r="M618" s="24" t="n"/>
      <c r="N618" s="24" t="n"/>
      <c r="O618" s="24" t="n"/>
      <c r="P618" s="24" t="n"/>
      <c r="Q618" s="22">
        <f>IF($D618="","",IF(AND(OR(DANH_MUC!$L$5&lt;&gt;"Có",M618="Có"),OR(DANH_MUC!$L$6&lt;&gt;"Có",N618="Có"),OR(DANH_MUC!$L$7&lt;&gt;"Có",O618="Có"),OR(DANH_MUC!$L$8&lt;&gt;"Có",P618="Có")),"Có","Không"))</f>
        <v/>
      </c>
      <c r="R618" s="22">
        <f>IF($D618="","",IF(COUNTIF($D$2:$D618,$D618)&gt;1,"Trùng",""))</f>
        <v/>
      </c>
      <c r="S618" s="22">
        <f>IF($D618="","",IF(AND(LEN($D618)=10,LEFT($D618,1)="0",ISNUMBER(--$D618)),"Có","Không"))</f>
        <v/>
      </c>
      <c r="T618" s="22">
        <f>IF($D618="","",IF(AND($C618&lt;&gt;"",$Q618="Có",$R618="",$S618="Có",AND($L618&lt;&gt;"",OR($L618&lt;&gt;"Chưa xác định",DANH_MUC!$L$9="Có"))),"Có","Không"))</f>
        <v/>
      </c>
      <c r="U618" s="22">
        <f>IF(OR($D618="",$T618="Có"),"",IF($C618="","Thiếu họ tên; ","")&amp;IF($S618&lt;&gt;"Có","SĐT sai định dạng; ","")&amp;IF($R618="Trùng","Trùng SĐT; ","")&amp;IF($Q618&lt;&gt;"Có","Thiếu đồng ý bắt buộc; ","")&amp;IF($L618="","Thiếu/sai Mã REF; ",IF(AND($L618="Chưa xác định",DANH_MUC!$L$9&lt;&gt;"Có"),"Nguồn chưa xác định; ","")))</f>
        <v/>
      </c>
      <c r="V618" s="22">
        <f>IF(OR($D618="",$R618="Trùng"),"",IF(COUNTIF(ORDERS!$C$2:$C$4995,$D618)&gt;0,"Có","Không"))</f>
        <v/>
      </c>
      <c r="W618" s="22">
        <f>IF(OR($D618="",$R618="Trùng"),"",COUNTIFS(ORDERS!$C$2:$C$4995,$D618,ORDERS!$L$2:$L$4995,"Đã chuyển khoản"))</f>
        <v/>
      </c>
      <c r="X618" s="23">
        <f>IF(OR($D618="",$R618="Trùng"),"",SUMIFS(ORDERS!$J$2:$J$4995,ORDERS!$C$2:$C$4995,$D618,ORDERS!$L$2:$L$4995,"Đã chuyển khoản"))</f>
        <v/>
      </c>
      <c r="Y618" s="24" t="n"/>
    </row>
    <row r="619" ht="14.25" customHeight="1" s="40">
      <c r="A619" s="24" t="n"/>
      <c r="B619" s="27" t="n"/>
      <c r="C619" s="24" t="n"/>
      <c r="D619" s="28" t="n"/>
      <c r="E619" s="29" t="n"/>
      <c r="F619" s="24" t="n"/>
      <c r="G619" s="24" t="n"/>
      <c r="H619" s="21">
        <f>IF(ISNUMBER($B619),INT($B619)-WEEKDAY($B619,2)+1,"")</f>
        <v/>
      </c>
      <c r="I619" s="24" t="n"/>
      <c r="J619" s="22">
        <f t="array" ref="J619">IF($D619="","",IF($I619="","(trống REF)",IFERROR(INDEX(MASTER_SOURCE!$B$2:$B$495,MATCH($I619,MASTER_SOURCE!$A$2:$A$495,0)),"(REF không có trong MASTER_SOURCE)")))</f>
        <v/>
      </c>
      <c r="K619" s="22">
        <f t="array" ref="K619">IF($D619="","",IFERROR(INDEX(MASTER_SOURCE!$C$2:$C$495,MATCH($I619,MASTER_SOURCE!$A$2:$A$495,0)),""))</f>
        <v/>
      </c>
      <c r="L619" s="22">
        <f t="array" ref="L619">IF($D619="","",IFERROR(INDEX(MASTER_SOURCE!$D$2:$D$495,MATCH($I619,MASTER_SOURCE!$A$2:$A$495,0)),""))</f>
        <v/>
      </c>
      <c r="M619" s="24" t="n"/>
      <c r="N619" s="24" t="n"/>
      <c r="O619" s="24" t="n"/>
      <c r="P619" s="24" t="n"/>
      <c r="Q619" s="22">
        <f>IF($D619="","",IF(AND(OR(DANH_MUC!$L$5&lt;&gt;"Có",M619="Có"),OR(DANH_MUC!$L$6&lt;&gt;"Có",N619="Có"),OR(DANH_MUC!$L$7&lt;&gt;"Có",O619="Có"),OR(DANH_MUC!$L$8&lt;&gt;"Có",P619="Có")),"Có","Không"))</f>
        <v/>
      </c>
      <c r="R619" s="22">
        <f>IF($D619="","",IF(COUNTIF($D$2:$D619,$D619)&gt;1,"Trùng",""))</f>
        <v/>
      </c>
      <c r="S619" s="22">
        <f>IF($D619="","",IF(AND(LEN($D619)=10,LEFT($D619,1)="0",ISNUMBER(--$D619)),"Có","Không"))</f>
        <v/>
      </c>
      <c r="T619" s="22">
        <f>IF($D619="","",IF(AND($C619&lt;&gt;"",$Q619="Có",$R619="",$S619="Có",AND($L619&lt;&gt;"",OR($L619&lt;&gt;"Chưa xác định",DANH_MUC!$L$9="Có"))),"Có","Không"))</f>
        <v/>
      </c>
      <c r="U619" s="22">
        <f>IF(OR($D619="",$T619="Có"),"",IF($C619="","Thiếu họ tên; ","")&amp;IF($S619&lt;&gt;"Có","SĐT sai định dạng; ","")&amp;IF($R619="Trùng","Trùng SĐT; ","")&amp;IF($Q619&lt;&gt;"Có","Thiếu đồng ý bắt buộc; ","")&amp;IF($L619="","Thiếu/sai Mã REF; ",IF(AND($L619="Chưa xác định",DANH_MUC!$L$9&lt;&gt;"Có"),"Nguồn chưa xác định; ","")))</f>
        <v/>
      </c>
      <c r="V619" s="22">
        <f>IF(OR($D619="",$R619="Trùng"),"",IF(COUNTIF(ORDERS!$C$2:$C$4995,$D619)&gt;0,"Có","Không"))</f>
        <v/>
      </c>
      <c r="W619" s="22">
        <f>IF(OR($D619="",$R619="Trùng"),"",COUNTIFS(ORDERS!$C$2:$C$4995,$D619,ORDERS!$L$2:$L$4995,"Đã chuyển khoản"))</f>
        <v/>
      </c>
      <c r="X619" s="23">
        <f>IF(OR($D619="",$R619="Trùng"),"",SUMIFS(ORDERS!$J$2:$J$4995,ORDERS!$C$2:$C$4995,$D619,ORDERS!$L$2:$L$4995,"Đã chuyển khoản"))</f>
        <v/>
      </c>
      <c r="Y619" s="24" t="n"/>
    </row>
    <row r="620" ht="14.25" customHeight="1" s="40">
      <c r="A620" s="24" t="n"/>
      <c r="B620" s="27" t="n"/>
      <c r="C620" s="24" t="n"/>
      <c r="D620" s="28" t="n"/>
      <c r="E620" s="29" t="n"/>
      <c r="F620" s="24" t="n"/>
      <c r="G620" s="24" t="n"/>
      <c r="H620" s="21">
        <f>IF(ISNUMBER($B620),INT($B620)-WEEKDAY($B620,2)+1,"")</f>
        <v/>
      </c>
      <c r="I620" s="24" t="n"/>
      <c r="J620" s="22">
        <f t="array" ref="J620">IF($D620="","",IF($I620="","(trống REF)",IFERROR(INDEX(MASTER_SOURCE!$B$2:$B$495,MATCH($I620,MASTER_SOURCE!$A$2:$A$495,0)),"(REF không có trong MASTER_SOURCE)")))</f>
        <v/>
      </c>
      <c r="K620" s="22">
        <f t="array" ref="K620">IF($D620="","",IFERROR(INDEX(MASTER_SOURCE!$C$2:$C$495,MATCH($I620,MASTER_SOURCE!$A$2:$A$495,0)),""))</f>
        <v/>
      </c>
      <c r="L620" s="22">
        <f t="array" ref="L620">IF($D620="","",IFERROR(INDEX(MASTER_SOURCE!$D$2:$D$495,MATCH($I620,MASTER_SOURCE!$A$2:$A$495,0)),""))</f>
        <v/>
      </c>
      <c r="M620" s="24" t="n"/>
      <c r="N620" s="24" t="n"/>
      <c r="O620" s="24" t="n"/>
      <c r="P620" s="24" t="n"/>
      <c r="Q620" s="22">
        <f>IF($D620="","",IF(AND(OR(DANH_MUC!$L$5&lt;&gt;"Có",M620="Có"),OR(DANH_MUC!$L$6&lt;&gt;"Có",N620="Có"),OR(DANH_MUC!$L$7&lt;&gt;"Có",O620="Có"),OR(DANH_MUC!$L$8&lt;&gt;"Có",P620="Có")),"Có","Không"))</f>
        <v/>
      </c>
      <c r="R620" s="22">
        <f>IF($D620="","",IF(COUNTIF($D$2:$D620,$D620)&gt;1,"Trùng",""))</f>
        <v/>
      </c>
      <c r="S620" s="22">
        <f>IF($D620="","",IF(AND(LEN($D620)=10,LEFT($D620,1)="0",ISNUMBER(--$D620)),"Có","Không"))</f>
        <v/>
      </c>
      <c r="T620" s="22">
        <f>IF($D620="","",IF(AND($C620&lt;&gt;"",$Q620="Có",$R620="",$S620="Có",AND($L620&lt;&gt;"",OR($L620&lt;&gt;"Chưa xác định",DANH_MUC!$L$9="Có"))),"Có","Không"))</f>
        <v/>
      </c>
      <c r="U620" s="22">
        <f>IF(OR($D620="",$T620="Có"),"",IF($C620="","Thiếu họ tên; ","")&amp;IF($S620&lt;&gt;"Có","SĐT sai định dạng; ","")&amp;IF($R620="Trùng","Trùng SĐT; ","")&amp;IF($Q620&lt;&gt;"Có","Thiếu đồng ý bắt buộc; ","")&amp;IF($L620="","Thiếu/sai Mã REF; ",IF(AND($L620="Chưa xác định",DANH_MUC!$L$9&lt;&gt;"Có"),"Nguồn chưa xác định; ","")))</f>
        <v/>
      </c>
      <c r="V620" s="22">
        <f>IF(OR($D620="",$R620="Trùng"),"",IF(COUNTIF(ORDERS!$C$2:$C$4995,$D620)&gt;0,"Có","Không"))</f>
        <v/>
      </c>
      <c r="W620" s="22">
        <f>IF(OR($D620="",$R620="Trùng"),"",COUNTIFS(ORDERS!$C$2:$C$4995,$D620,ORDERS!$L$2:$L$4995,"Đã chuyển khoản"))</f>
        <v/>
      </c>
      <c r="X620" s="23">
        <f>IF(OR($D620="",$R620="Trùng"),"",SUMIFS(ORDERS!$J$2:$J$4995,ORDERS!$C$2:$C$4995,$D620,ORDERS!$L$2:$L$4995,"Đã chuyển khoản"))</f>
        <v/>
      </c>
      <c r="Y620" s="24" t="n"/>
    </row>
    <row r="621" ht="14.25" customHeight="1" s="40">
      <c r="A621" s="24" t="n"/>
      <c r="B621" s="27" t="n"/>
      <c r="C621" s="24" t="n"/>
      <c r="D621" s="28" t="n"/>
      <c r="E621" s="29" t="n"/>
      <c r="F621" s="24" t="n"/>
      <c r="G621" s="24" t="n"/>
      <c r="H621" s="21">
        <f>IF(ISNUMBER($B621),INT($B621)-WEEKDAY($B621,2)+1,"")</f>
        <v/>
      </c>
      <c r="I621" s="24" t="n"/>
      <c r="J621" s="22">
        <f t="array" ref="J621">IF($D621="","",IF($I621="","(trống REF)",IFERROR(INDEX(MASTER_SOURCE!$B$2:$B$495,MATCH($I621,MASTER_SOURCE!$A$2:$A$495,0)),"(REF không có trong MASTER_SOURCE)")))</f>
        <v/>
      </c>
      <c r="K621" s="22">
        <f t="array" ref="K621">IF($D621="","",IFERROR(INDEX(MASTER_SOURCE!$C$2:$C$495,MATCH($I621,MASTER_SOURCE!$A$2:$A$495,0)),""))</f>
        <v/>
      </c>
      <c r="L621" s="22">
        <f t="array" ref="L621">IF($D621="","",IFERROR(INDEX(MASTER_SOURCE!$D$2:$D$495,MATCH($I621,MASTER_SOURCE!$A$2:$A$495,0)),""))</f>
        <v/>
      </c>
      <c r="M621" s="24" t="n"/>
      <c r="N621" s="24" t="n"/>
      <c r="O621" s="24" t="n"/>
      <c r="P621" s="24" t="n"/>
      <c r="Q621" s="22">
        <f>IF($D621="","",IF(AND(OR(DANH_MUC!$L$5&lt;&gt;"Có",M621="Có"),OR(DANH_MUC!$L$6&lt;&gt;"Có",N621="Có"),OR(DANH_MUC!$L$7&lt;&gt;"Có",O621="Có"),OR(DANH_MUC!$L$8&lt;&gt;"Có",P621="Có")),"Có","Không"))</f>
        <v/>
      </c>
      <c r="R621" s="22">
        <f>IF($D621="","",IF(COUNTIF($D$2:$D621,$D621)&gt;1,"Trùng",""))</f>
        <v/>
      </c>
      <c r="S621" s="22">
        <f>IF($D621="","",IF(AND(LEN($D621)=10,LEFT($D621,1)="0",ISNUMBER(--$D621)),"Có","Không"))</f>
        <v/>
      </c>
      <c r="T621" s="22">
        <f>IF($D621="","",IF(AND($C621&lt;&gt;"",$Q621="Có",$R621="",$S621="Có",AND($L621&lt;&gt;"",OR($L621&lt;&gt;"Chưa xác định",DANH_MUC!$L$9="Có"))),"Có","Không"))</f>
        <v/>
      </c>
      <c r="U621" s="22">
        <f>IF(OR($D621="",$T621="Có"),"",IF($C621="","Thiếu họ tên; ","")&amp;IF($S621&lt;&gt;"Có","SĐT sai định dạng; ","")&amp;IF($R621="Trùng","Trùng SĐT; ","")&amp;IF($Q621&lt;&gt;"Có","Thiếu đồng ý bắt buộc; ","")&amp;IF($L621="","Thiếu/sai Mã REF; ",IF(AND($L621="Chưa xác định",DANH_MUC!$L$9&lt;&gt;"Có"),"Nguồn chưa xác định; ","")))</f>
        <v/>
      </c>
      <c r="V621" s="22">
        <f>IF(OR($D621="",$R621="Trùng"),"",IF(COUNTIF(ORDERS!$C$2:$C$4995,$D621)&gt;0,"Có","Không"))</f>
        <v/>
      </c>
      <c r="W621" s="22">
        <f>IF(OR($D621="",$R621="Trùng"),"",COUNTIFS(ORDERS!$C$2:$C$4995,$D621,ORDERS!$L$2:$L$4995,"Đã chuyển khoản"))</f>
        <v/>
      </c>
      <c r="X621" s="23">
        <f>IF(OR($D621="",$R621="Trùng"),"",SUMIFS(ORDERS!$J$2:$J$4995,ORDERS!$C$2:$C$4995,$D621,ORDERS!$L$2:$L$4995,"Đã chuyển khoản"))</f>
        <v/>
      </c>
      <c r="Y621" s="24" t="n"/>
    </row>
    <row r="622" ht="14.25" customHeight="1" s="40">
      <c r="A622" s="24" t="n"/>
      <c r="B622" s="27" t="n"/>
      <c r="C622" s="24" t="n"/>
      <c r="D622" s="28" t="n"/>
      <c r="E622" s="29" t="n"/>
      <c r="F622" s="24" t="n"/>
      <c r="G622" s="24" t="n"/>
      <c r="H622" s="21">
        <f>IF(ISNUMBER($B622),INT($B622)-WEEKDAY($B622,2)+1,"")</f>
        <v/>
      </c>
      <c r="I622" s="24" t="n"/>
      <c r="J622" s="22">
        <f t="array" ref="J622">IF($D622="","",IF($I622="","(trống REF)",IFERROR(INDEX(MASTER_SOURCE!$B$2:$B$495,MATCH($I622,MASTER_SOURCE!$A$2:$A$495,0)),"(REF không có trong MASTER_SOURCE)")))</f>
        <v/>
      </c>
      <c r="K622" s="22">
        <f t="array" ref="K622">IF($D622="","",IFERROR(INDEX(MASTER_SOURCE!$C$2:$C$495,MATCH($I622,MASTER_SOURCE!$A$2:$A$495,0)),""))</f>
        <v/>
      </c>
      <c r="L622" s="22">
        <f t="array" ref="L622">IF($D622="","",IFERROR(INDEX(MASTER_SOURCE!$D$2:$D$495,MATCH($I622,MASTER_SOURCE!$A$2:$A$495,0)),""))</f>
        <v/>
      </c>
      <c r="M622" s="24" t="n"/>
      <c r="N622" s="24" t="n"/>
      <c r="O622" s="24" t="n"/>
      <c r="P622" s="24" t="n"/>
      <c r="Q622" s="22">
        <f>IF($D622="","",IF(AND(OR(DANH_MUC!$L$5&lt;&gt;"Có",M622="Có"),OR(DANH_MUC!$L$6&lt;&gt;"Có",N622="Có"),OR(DANH_MUC!$L$7&lt;&gt;"Có",O622="Có"),OR(DANH_MUC!$L$8&lt;&gt;"Có",P622="Có")),"Có","Không"))</f>
        <v/>
      </c>
      <c r="R622" s="22">
        <f>IF($D622="","",IF(COUNTIF($D$2:$D622,$D622)&gt;1,"Trùng",""))</f>
        <v/>
      </c>
      <c r="S622" s="22">
        <f>IF($D622="","",IF(AND(LEN($D622)=10,LEFT($D622,1)="0",ISNUMBER(--$D622)),"Có","Không"))</f>
        <v/>
      </c>
      <c r="T622" s="22">
        <f>IF($D622="","",IF(AND($C622&lt;&gt;"",$Q622="Có",$R622="",$S622="Có",AND($L622&lt;&gt;"",OR($L622&lt;&gt;"Chưa xác định",DANH_MUC!$L$9="Có"))),"Có","Không"))</f>
        <v/>
      </c>
      <c r="U622" s="22">
        <f>IF(OR($D622="",$T622="Có"),"",IF($C622="","Thiếu họ tên; ","")&amp;IF($S622&lt;&gt;"Có","SĐT sai định dạng; ","")&amp;IF($R622="Trùng","Trùng SĐT; ","")&amp;IF($Q622&lt;&gt;"Có","Thiếu đồng ý bắt buộc; ","")&amp;IF($L622="","Thiếu/sai Mã REF; ",IF(AND($L622="Chưa xác định",DANH_MUC!$L$9&lt;&gt;"Có"),"Nguồn chưa xác định; ","")))</f>
        <v/>
      </c>
      <c r="V622" s="22">
        <f>IF(OR($D622="",$R622="Trùng"),"",IF(COUNTIF(ORDERS!$C$2:$C$4995,$D622)&gt;0,"Có","Không"))</f>
        <v/>
      </c>
      <c r="W622" s="22">
        <f>IF(OR($D622="",$R622="Trùng"),"",COUNTIFS(ORDERS!$C$2:$C$4995,$D622,ORDERS!$L$2:$L$4995,"Đã chuyển khoản"))</f>
        <v/>
      </c>
      <c r="X622" s="23">
        <f>IF(OR($D622="",$R622="Trùng"),"",SUMIFS(ORDERS!$J$2:$J$4995,ORDERS!$C$2:$C$4995,$D622,ORDERS!$L$2:$L$4995,"Đã chuyển khoản"))</f>
        <v/>
      </c>
      <c r="Y622" s="24" t="n"/>
    </row>
    <row r="623" ht="14.25" customHeight="1" s="40">
      <c r="A623" s="24" t="n"/>
      <c r="B623" s="27" t="n"/>
      <c r="C623" s="24" t="n"/>
      <c r="D623" s="28" t="n"/>
      <c r="E623" s="29" t="n"/>
      <c r="F623" s="24" t="n"/>
      <c r="G623" s="24" t="n"/>
      <c r="H623" s="21">
        <f>IF(ISNUMBER($B623),INT($B623)-WEEKDAY($B623,2)+1,"")</f>
        <v/>
      </c>
      <c r="I623" s="24" t="n"/>
      <c r="J623" s="22">
        <f t="array" ref="J623">IF($D623="","",IF($I623="","(trống REF)",IFERROR(INDEX(MASTER_SOURCE!$B$2:$B$495,MATCH($I623,MASTER_SOURCE!$A$2:$A$495,0)),"(REF không có trong MASTER_SOURCE)")))</f>
        <v/>
      </c>
      <c r="K623" s="22">
        <f t="array" ref="K623">IF($D623="","",IFERROR(INDEX(MASTER_SOURCE!$C$2:$C$495,MATCH($I623,MASTER_SOURCE!$A$2:$A$495,0)),""))</f>
        <v/>
      </c>
      <c r="L623" s="22">
        <f t="array" ref="L623">IF($D623="","",IFERROR(INDEX(MASTER_SOURCE!$D$2:$D$495,MATCH($I623,MASTER_SOURCE!$A$2:$A$495,0)),""))</f>
        <v/>
      </c>
      <c r="M623" s="24" t="n"/>
      <c r="N623" s="24" t="n"/>
      <c r="O623" s="24" t="n"/>
      <c r="P623" s="24" t="n"/>
      <c r="Q623" s="22">
        <f>IF($D623="","",IF(AND(OR(DANH_MUC!$L$5&lt;&gt;"Có",M623="Có"),OR(DANH_MUC!$L$6&lt;&gt;"Có",N623="Có"),OR(DANH_MUC!$L$7&lt;&gt;"Có",O623="Có"),OR(DANH_MUC!$L$8&lt;&gt;"Có",P623="Có")),"Có","Không"))</f>
        <v/>
      </c>
      <c r="R623" s="22">
        <f>IF($D623="","",IF(COUNTIF($D$2:$D623,$D623)&gt;1,"Trùng",""))</f>
        <v/>
      </c>
      <c r="S623" s="22">
        <f>IF($D623="","",IF(AND(LEN($D623)=10,LEFT($D623,1)="0",ISNUMBER(--$D623)),"Có","Không"))</f>
        <v/>
      </c>
      <c r="T623" s="22">
        <f>IF($D623="","",IF(AND($C623&lt;&gt;"",$Q623="Có",$R623="",$S623="Có",AND($L623&lt;&gt;"",OR($L623&lt;&gt;"Chưa xác định",DANH_MUC!$L$9="Có"))),"Có","Không"))</f>
        <v/>
      </c>
      <c r="U623" s="22">
        <f>IF(OR($D623="",$T623="Có"),"",IF($C623="","Thiếu họ tên; ","")&amp;IF($S623&lt;&gt;"Có","SĐT sai định dạng; ","")&amp;IF($R623="Trùng","Trùng SĐT; ","")&amp;IF($Q623&lt;&gt;"Có","Thiếu đồng ý bắt buộc; ","")&amp;IF($L623="","Thiếu/sai Mã REF; ",IF(AND($L623="Chưa xác định",DANH_MUC!$L$9&lt;&gt;"Có"),"Nguồn chưa xác định; ","")))</f>
        <v/>
      </c>
      <c r="V623" s="22">
        <f>IF(OR($D623="",$R623="Trùng"),"",IF(COUNTIF(ORDERS!$C$2:$C$4995,$D623)&gt;0,"Có","Không"))</f>
        <v/>
      </c>
      <c r="W623" s="22">
        <f>IF(OR($D623="",$R623="Trùng"),"",COUNTIFS(ORDERS!$C$2:$C$4995,$D623,ORDERS!$L$2:$L$4995,"Đã chuyển khoản"))</f>
        <v/>
      </c>
      <c r="X623" s="23">
        <f>IF(OR($D623="",$R623="Trùng"),"",SUMIFS(ORDERS!$J$2:$J$4995,ORDERS!$C$2:$C$4995,$D623,ORDERS!$L$2:$L$4995,"Đã chuyển khoản"))</f>
        <v/>
      </c>
      <c r="Y623" s="24" t="n"/>
    </row>
    <row r="624" ht="14.25" customHeight="1" s="40">
      <c r="A624" s="24" t="n"/>
      <c r="B624" s="27" t="n"/>
      <c r="C624" s="24" t="n"/>
      <c r="D624" s="28" t="n"/>
      <c r="E624" s="29" t="n"/>
      <c r="F624" s="24" t="n"/>
      <c r="G624" s="24" t="n"/>
      <c r="H624" s="21">
        <f>IF(ISNUMBER($B624),INT($B624)-WEEKDAY($B624,2)+1,"")</f>
        <v/>
      </c>
      <c r="I624" s="24" t="n"/>
      <c r="J624" s="22">
        <f t="array" ref="J624">IF($D624="","",IF($I624="","(trống REF)",IFERROR(INDEX(MASTER_SOURCE!$B$2:$B$495,MATCH($I624,MASTER_SOURCE!$A$2:$A$495,0)),"(REF không có trong MASTER_SOURCE)")))</f>
        <v/>
      </c>
      <c r="K624" s="22">
        <f t="array" ref="K624">IF($D624="","",IFERROR(INDEX(MASTER_SOURCE!$C$2:$C$495,MATCH($I624,MASTER_SOURCE!$A$2:$A$495,0)),""))</f>
        <v/>
      </c>
      <c r="L624" s="22">
        <f t="array" ref="L624">IF($D624="","",IFERROR(INDEX(MASTER_SOURCE!$D$2:$D$495,MATCH($I624,MASTER_SOURCE!$A$2:$A$495,0)),""))</f>
        <v/>
      </c>
      <c r="M624" s="24" t="n"/>
      <c r="N624" s="24" t="n"/>
      <c r="O624" s="24" t="n"/>
      <c r="P624" s="24" t="n"/>
      <c r="Q624" s="22">
        <f>IF($D624="","",IF(AND(OR(DANH_MUC!$L$5&lt;&gt;"Có",M624="Có"),OR(DANH_MUC!$L$6&lt;&gt;"Có",N624="Có"),OR(DANH_MUC!$L$7&lt;&gt;"Có",O624="Có"),OR(DANH_MUC!$L$8&lt;&gt;"Có",P624="Có")),"Có","Không"))</f>
        <v/>
      </c>
      <c r="R624" s="22">
        <f>IF($D624="","",IF(COUNTIF($D$2:$D624,$D624)&gt;1,"Trùng",""))</f>
        <v/>
      </c>
      <c r="S624" s="22">
        <f>IF($D624="","",IF(AND(LEN($D624)=10,LEFT($D624,1)="0",ISNUMBER(--$D624)),"Có","Không"))</f>
        <v/>
      </c>
      <c r="T624" s="22">
        <f>IF($D624="","",IF(AND($C624&lt;&gt;"",$Q624="Có",$R624="",$S624="Có",AND($L624&lt;&gt;"",OR($L624&lt;&gt;"Chưa xác định",DANH_MUC!$L$9="Có"))),"Có","Không"))</f>
        <v/>
      </c>
      <c r="U624" s="22">
        <f>IF(OR($D624="",$T624="Có"),"",IF($C624="","Thiếu họ tên; ","")&amp;IF($S624&lt;&gt;"Có","SĐT sai định dạng; ","")&amp;IF($R624="Trùng","Trùng SĐT; ","")&amp;IF($Q624&lt;&gt;"Có","Thiếu đồng ý bắt buộc; ","")&amp;IF($L624="","Thiếu/sai Mã REF; ",IF(AND($L624="Chưa xác định",DANH_MUC!$L$9&lt;&gt;"Có"),"Nguồn chưa xác định; ","")))</f>
        <v/>
      </c>
      <c r="V624" s="22">
        <f>IF(OR($D624="",$R624="Trùng"),"",IF(COUNTIF(ORDERS!$C$2:$C$4995,$D624)&gt;0,"Có","Không"))</f>
        <v/>
      </c>
      <c r="W624" s="22">
        <f>IF(OR($D624="",$R624="Trùng"),"",COUNTIFS(ORDERS!$C$2:$C$4995,$D624,ORDERS!$L$2:$L$4995,"Đã chuyển khoản"))</f>
        <v/>
      </c>
      <c r="X624" s="23">
        <f>IF(OR($D624="",$R624="Trùng"),"",SUMIFS(ORDERS!$J$2:$J$4995,ORDERS!$C$2:$C$4995,$D624,ORDERS!$L$2:$L$4995,"Đã chuyển khoản"))</f>
        <v/>
      </c>
      <c r="Y624" s="24" t="n"/>
    </row>
    <row r="625" ht="14.25" customHeight="1" s="40">
      <c r="A625" s="24" t="n"/>
      <c r="B625" s="27" t="n"/>
      <c r="C625" s="24" t="n"/>
      <c r="D625" s="28" t="n"/>
      <c r="E625" s="29" t="n"/>
      <c r="F625" s="24" t="n"/>
      <c r="G625" s="24" t="n"/>
      <c r="H625" s="21">
        <f>IF(ISNUMBER($B625),INT($B625)-WEEKDAY($B625,2)+1,"")</f>
        <v/>
      </c>
      <c r="I625" s="24" t="n"/>
      <c r="J625" s="22">
        <f t="array" ref="J625">IF($D625="","",IF($I625="","(trống REF)",IFERROR(INDEX(MASTER_SOURCE!$B$2:$B$495,MATCH($I625,MASTER_SOURCE!$A$2:$A$495,0)),"(REF không có trong MASTER_SOURCE)")))</f>
        <v/>
      </c>
      <c r="K625" s="22">
        <f t="array" ref="K625">IF($D625="","",IFERROR(INDEX(MASTER_SOURCE!$C$2:$C$495,MATCH($I625,MASTER_SOURCE!$A$2:$A$495,0)),""))</f>
        <v/>
      </c>
      <c r="L625" s="22">
        <f t="array" ref="L625">IF($D625="","",IFERROR(INDEX(MASTER_SOURCE!$D$2:$D$495,MATCH($I625,MASTER_SOURCE!$A$2:$A$495,0)),""))</f>
        <v/>
      </c>
      <c r="M625" s="24" t="n"/>
      <c r="N625" s="24" t="n"/>
      <c r="O625" s="24" t="n"/>
      <c r="P625" s="24" t="n"/>
      <c r="Q625" s="22">
        <f>IF($D625="","",IF(AND(OR(DANH_MUC!$L$5&lt;&gt;"Có",M625="Có"),OR(DANH_MUC!$L$6&lt;&gt;"Có",N625="Có"),OR(DANH_MUC!$L$7&lt;&gt;"Có",O625="Có"),OR(DANH_MUC!$L$8&lt;&gt;"Có",P625="Có")),"Có","Không"))</f>
        <v/>
      </c>
      <c r="R625" s="22">
        <f>IF($D625="","",IF(COUNTIF($D$2:$D625,$D625)&gt;1,"Trùng",""))</f>
        <v/>
      </c>
      <c r="S625" s="22">
        <f>IF($D625="","",IF(AND(LEN($D625)=10,LEFT($D625,1)="0",ISNUMBER(--$D625)),"Có","Không"))</f>
        <v/>
      </c>
      <c r="T625" s="22">
        <f>IF($D625="","",IF(AND($C625&lt;&gt;"",$Q625="Có",$R625="",$S625="Có",AND($L625&lt;&gt;"",OR($L625&lt;&gt;"Chưa xác định",DANH_MUC!$L$9="Có"))),"Có","Không"))</f>
        <v/>
      </c>
      <c r="U625" s="22">
        <f>IF(OR($D625="",$T625="Có"),"",IF($C625="","Thiếu họ tên; ","")&amp;IF($S625&lt;&gt;"Có","SĐT sai định dạng; ","")&amp;IF($R625="Trùng","Trùng SĐT; ","")&amp;IF($Q625&lt;&gt;"Có","Thiếu đồng ý bắt buộc; ","")&amp;IF($L625="","Thiếu/sai Mã REF; ",IF(AND($L625="Chưa xác định",DANH_MUC!$L$9&lt;&gt;"Có"),"Nguồn chưa xác định; ","")))</f>
        <v/>
      </c>
      <c r="V625" s="22">
        <f>IF(OR($D625="",$R625="Trùng"),"",IF(COUNTIF(ORDERS!$C$2:$C$4995,$D625)&gt;0,"Có","Không"))</f>
        <v/>
      </c>
      <c r="W625" s="22">
        <f>IF(OR($D625="",$R625="Trùng"),"",COUNTIFS(ORDERS!$C$2:$C$4995,$D625,ORDERS!$L$2:$L$4995,"Đã chuyển khoản"))</f>
        <v/>
      </c>
      <c r="X625" s="23">
        <f>IF(OR($D625="",$R625="Trùng"),"",SUMIFS(ORDERS!$J$2:$J$4995,ORDERS!$C$2:$C$4995,$D625,ORDERS!$L$2:$L$4995,"Đã chuyển khoản"))</f>
        <v/>
      </c>
      <c r="Y625" s="24" t="n"/>
    </row>
    <row r="626" ht="14.25" customHeight="1" s="40">
      <c r="A626" s="24" t="n"/>
      <c r="B626" s="27" t="n"/>
      <c r="C626" s="24" t="n"/>
      <c r="D626" s="28" t="n"/>
      <c r="E626" s="29" t="n"/>
      <c r="F626" s="24" t="n"/>
      <c r="G626" s="24" t="n"/>
      <c r="H626" s="21">
        <f>IF(ISNUMBER($B626),INT($B626)-WEEKDAY($B626,2)+1,"")</f>
        <v/>
      </c>
      <c r="I626" s="24" t="n"/>
      <c r="J626" s="22">
        <f t="array" ref="J626">IF($D626="","",IF($I626="","(trống REF)",IFERROR(INDEX(MASTER_SOURCE!$B$2:$B$495,MATCH($I626,MASTER_SOURCE!$A$2:$A$495,0)),"(REF không có trong MASTER_SOURCE)")))</f>
        <v/>
      </c>
      <c r="K626" s="22">
        <f t="array" ref="K626">IF($D626="","",IFERROR(INDEX(MASTER_SOURCE!$C$2:$C$495,MATCH($I626,MASTER_SOURCE!$A$2:$A$495,0)),""))</f>
        <v/>
      </c>
      <c r="L626" s="22">
        <f t="array" ref="L626">IF($D626="","",IFERROR(INDEX(MASTER_SOURCE!$D$2:$D$495,MATCH($I626,MASTER_SOURCE!$A$2:$A$495,0)),""))</f>
        <v/>
      </c>
      <c r="M626" s="24" t="n"/>
      <c r="N626" s="24" t="n"/>
      <c r="O626" s="24" t="n"/>
      <c r="P626" s="24" t="n"/>
      <c r="Q626" s="22">
        <f>IF($D626="","",IF(AND(OR(DANH_MUC!$L$5&lt;&gt;"Có",M626="Có"),OR(DANH_MUC!$L$6&lt;&gt;"Có",N626="Có"),OR(DANH_MUC!$L$7&lt;&gt;"Có",O626="Có"),OR(DANH_MUC!$L$8&lt;&gt;"Có",P626="Có")),"Có","Không"))</f>
        <v/>
      </c>
      <c r="R626" s="22">
        <f>IF($D626="","",IF(COUNTIF($D$2:$D626,$D626)&gt;1,"Trùng",""))</f>
        <v/>
      </c>
      <c r="S626" s="22">
        <f>IF($D626="","",IF(AND(LEN($D626)=10,LEFT($D626,1)="0",ISNUMBER(--$D626)),"Có","Không"))</f>
        <v/>
      </c>
      <c r="T626" s="22">
        <f>IF($D626="","",IF(AND($C626&lt;&gt;"",$Q626="Có",$R626="",$S626="Có",AND($L626&lt;&gt;"",OR($L626&lt;&gt;"Chưa xác định",DANH_MUC!$L$9="Có"))),"Có","Không"))</f>
        <v/>
      </c>
      <c r="U626" s="22">
        <f>IF(OR($D626="",$T626="Có"),"",IF($C626="","Thiếu họ tên; ","")&amp;IF($S626&lt;&gt;"Có","SĐT sai định dạng; ","")&amp;IF($R626="Trùng","Trùng SĐT; ","")&amp;IF($Q626&lt;&gt;"Có","Thiếu đồng ý bắt buộc; ","")&amp;IF($L626="","Thiếu/sai Mã REF; ",IF(AND($L626="Chưa xác định",DANH_MUC!$L$9&lt;&gt;"Có"),"Nguồn chưa xác định; ","")))</f>
        <v/>
      </c>
      <c r="V626" s="22">
        <f>IF(OR($D626="",$R626="Trùng"),"",IF(COUNTIF(ORDERS!$C$2:$C$4995,$D626)&gt;0,"Có","Không"))</f>
        <v/>
      </c>
      <c r="W626" s="22">
        <f>IF(OR($D626="",$R626="Trùng"),"",COUNTIFS(ORDERS!$C$2:$C$4995,$D626,ORDERS!$L$2:$L$4995,"Đã chuyển khoản"))</f>
        <v/>
      </c>
      <c r="X626" s="23">
        <f>IF(OR($D626="",$R626="Trùng"),"",SUMIFS(ORDERS!$J$2:$J$4995,ORDERS!$C$2:$C$4995,$D626,ORDERS!$L$2:$L$4995,"Đã chuyển khoản"))</f>
        <v/>
      </c>
      <c r="Y626" s="24" t="n"/>
    </row>
    <row r="627" ht="14.25" customHeight="1" s="40">
      <c r="A627" s="24" t="n"/>
      <c r="B627" s="27" t="n"/>
      <c r="C627" s="24" t="n"/>
      <c r="D627" s="28" t="n"/>
      <c r="E627" s="29" t="n"/>
      <c r="F627" s="24" t="n"/>
      <c r="G627" s="24" t="n"/>
      <c r="H627" s="21">
        <f>IF(ISNUMBER($B627),INT($B627)-WEEKDAY($B627,2)+1,"")</f>
        <v/>
      </c>
      <c r="I627" s="24" t="n"/>
      <c r="J627" s="22">
        <f t="array" ref="J627">IF($D627="","",IF($I627="","(trống REF)",IFERROR(INDEX(MASTER_SOURCE!$B$2:$B$495,MATCH($I627,MASTER_SOURCE!$A$2:$A$495,0)),"(REF không có trong MASTER_SOURCE)")))</f>
        <v/>
      </c>
      <c r="K627" s="22">
        <f t="array" ref="K627">IF($D627="","",IFERROR(INDEX(MASTER_SOURCE!$C$2:$C$495,MATCH($I627,MASTER_SOURCE!$A$2:$A$495,0)),""))</f>
        <v/>
      </c>
      <c r="L627" s="22">
        <f t="array" ref="L627">IF($D627="","",IFERROR(INDEX(MASTER_SOURCE!$D$2:$D$495,MATCH($I627,MASTER_SOURCE!$A$2:$A$495,0)),""))</f>
        <v/>
      </c>
      <c r="M627" s="24" t="n"/>
      <c r="N627" s="24" t="n"/>
      <c r="O627" s="24" t="n"/>
      <c r="P627" s="24" t="n"/>
      <c r="Q627" s="22">
        <f>IF($D627="","",IF(AND(OR(DANH_MUC!$L$5&lt;&gt;"Có",M627="Có"),OR(DANH_MUC!$L$6&lt;&gt;"Có",N627="Có"),OR(DANH_MUC!$L$7&lt;&gt;"Có",O627="Có"),OR(DANH_MUC!$L$8&lt;&gt;"Có",P627="Có")),"Có","Không"))</f>
        <v/>
      </c>
      <c r="R627" s="22">
        <f>IF($D627="","",IF(COUNTIF($D$2:$D627,$D627)&gt;1,"Trùng",""))</f>
        <v/>
      </c>
      <c r="S627" s="22">
        <f>IF($D627="","",IF(AND(LEN($D627)=10,LEFT($D627,1)="0",ISNUMBER(--$D627)),"Có","Không"))</f>
        <v/>
      </c>
      <c r="T627" s="22">
        <f>IF($D627="","",IF(AND($C627&lt;&gt;"",$Q627="Có",$R627="",$S627="Có",AND($L627&lt;&gt;"",OR($L627&lt;&gt;"Chưa xác định",DANH_MUC!$L$9="Có"))),"Có","Không"))</f>
        <v/>
      </c>
      <c r="U627" s="22">
        <f>IF(OR($D627="",$T627="Có"),"",IF($C627="","Thiếu họ tên; ","")&amp;IF($S627&lt;&gt;"Có","SĐT sai định dạng; ","")&amp;IF($R627="Trùng","Trùng SĐT; ","")&amp;IF($Q627&lt;&gt;"Có","Thiếu đồng ý bắt buộc; ","")&amp;IF($L627="","Thiếu/sai Mã REF; ",IF(AND($L627="Chưa xác định",DANH_MUC!$L$9&lt;&gt;"Có"),"Nguồn chưa xác định; ","")))</f>
        <v/>
      </c>
      <c r="V627" s="22">
        <f>IF(OR($D627="",$R627="Trùng"),"",IF(COUNTIF(ORDERS!$C$2:$C$4995,$D627)&gt;0,"Có","Không"))</f>
        <v/>
      </c>
      <c r="W627" s="22">
        <f>IF(OR($D627="",$R627="Trùng"),"",COUNTIFS(ORDERS!$C$2:$C$4995,$D627,ORDERS!$L$2:$L$4995,"Đã chuyển khoản"))</f>
        <v/>
      </c>
      <c r="X627" s="23">
        <f>IF(OR($D627="",$R627="Trùng"),"",SUMIFS(ORDERS!$J$2:$J$4995,ORDERS!$C$2:$C$4995,$D627,ORDERS!$L$2:$L$4995,"Đã chuyển khoản"))</f>
        <v/>
      </c>
      <c r="Y627" s="24" t="n"/>
    </row>
    <row r="628" ht="14.25" customHeight="1" s="40">
      <c r="A628" s="24" t="n"/>
      <c r="B628" s="27" t="n"/>
      <c r="C628" s="24" t="n"/>
      <c r="D628" s="28" t="n"/>
      <c r="E628" s="29" t="n"/>
      <c r="F628" s="24" t="n"/>
      <c r="G628" s="24" t="n"/>
      <c r="H628" s="21">
        <f>IF(ISNUMBER($B628),INT($B628)-WEEKDAY($B628,2)+1,"")</f>
        <v/>
      </c>
      <c r="I628" s="24" t="n"/>
      <c r="J628" s="22">
        <f t="array" ref="J628">IF($D628="","",IF($I628="","(trống REF)",IFERROR(INDEX(MASTER_SOURCE!$B$2:$B$495,MATCH($I628,MASTER_SOURCE!$A$2:$A$495,0)),"(REF không có trong MASTER_SOURCE)")))</f>
        <v/>
      </c>
      <c r="K628" s="22">
        <f t="array" ref="K628">IF($D628="","",IFERROR(INDEX(MASTER_SOURCE!$C$2:$C$495,MATCH($I628,MASTER_SOURCE!$A$2:$A$495,0)),""))</f>
        <v/>
      </c>
      <c r="L628" s="22">
        <f t="array" ref="L628">IF($D628="","",IFERROR(INDEX(MASTER_SOURCE!$D$2:$D$495,MATCH($I628,MASTER_SOURCE!$A$2:$A$495,0)),""))</f>
        <v/>
      </c>
      <c r="M628" s="24" t="n"/>
      <c r="N628" s="24" t="n"/>
      <c r="O628" s="24" t="n"/>
      <c r="P628" s="24" t="n"/>
      <c r="Q628" s="22">
        <f>IF($D628="","",IF(AND(OR(DANH_MUC!$L$5&lt;&gt;"Có",M628="Có"),OR(DANH_MUC!$L$6&lt;&gt;"Có",N628="Có"),OR(DANH_MUC!$L$7&lt;&gt;"Có",O628="Có"),OR(DANH_MUC!$L$8&lt;&gt;"Có",P628="Có")),"Có","Không"))</f>
        <v/>
      </c>
      <c r="R628" s="22">
        <f>IF($D628="","",IF(COUNTIF($D$2:$D628,$D628)&gt;1,"Trùng",""))</f>
        <v/>
      </c>
      <c r="S628" s="22">
        <f>IF($D628="","",IF(AND(LEN($D628)=10,LEFT($D628,1)="0",ISNUMBER(--$D628)),"Có","Không"))</f>
        <v/>
      </c>
      <c r="T628" s="22">
        <f>IF($D628="","",IF(AND($C628&lt;&gt;"",$Q628="Có",$R628="",$S628="Có",AND($L628&lt;&gt;"",OR($L628&lt;&gt;"Chưa xác định",DANH_MUC!$L$9="Có"))),"Có","Không"))</f>
        <v/>
      </c>
      <c r="U628" s="22">
        <f>IF(OR($D628="",$T628="Có"),"",IF($C628="","Thiếu họ tên; ","")&amp;IF($S628&lt;&gt;"Có","SĐT sai định dạng; ","")&amp;IF($R628="Trùng","Trùng SĐT; ","")&amp;IF($Q628&lt;&gt;"Có","Thiếu đồng ý bắt buộc; ","")&amp;IF($L628="","Thiếu/sai Mã REF; ",IF(AND($L628="Chưa xác định",DANH_MUC!$L$9&lt;&gt;"Có"),"Nguồn chưa xác định; ","")))</f>
        <v/>
      </c>
      <c r="V628" s="22">
        <f>IF(OR($D628="",$R628="Trùng"),"",IF(COUNTIF(ORDERS!$C$2:$C$4995,$D628)&gt;0,"Có","Không"))</f>
        <v/>
      </c>
      <c r="W628" s="22">
        <f>IF(OR($D628="",$R628="Trùng"),"",COUNTIFS(ORDERS!$C$2:$C$4995,$D628,ORDERS!$L$2:$L$4995,"Đã chuyển khoản"))</f>
        <v/>
      </c>
      <c r="X628" s="23">
        <f>IF(OR($D628="",$R628="Trùng"),"",SUMIFS(ORDERS!$J$2:$J$4995,ORDERS!$C$2:$C$4995,$D628,ORDERS!$L$2:$L$4995,"Đã chuyển khoản"))</f>
        <v/>
      </c>
      <c r="Y628" s="24" t="n"/>
    </row>
    <row r="629" ht="14.25" customHeight="1" s="40">
      <c r="A629" s="24" t="n"/>
      <c r="B629" s="27" t="n"/>
      <c r="C629" s="24" t="n"/>
      <c r="D629" s="28" t="n"/>
      <c r="E629" s="29" t="n"/>
      <c r="F629" s="24" t="n"/>
      <c r="G629" s="24" t="n"/>
      <c r="H629" s="21">
        <f>IF(ISNUMBER($B629),INT($B629)-WEEKDAY($B629,2)+1,"")</f>
        <v/>
      </c>
      <c r="I629" s="24" t="n"/>
      <c r="J629" s="22">
        <f t="array" ref="J629">IF($D629="","",IF($I629="","(trống REF)",IFERROR(INDEX(MASTER_SOURCE!$B$2:$B$495,MATCH($I629,MASTER_SOURCE!$A$2:$A$495,0)),"(REF không có trong MASTER_SOURCE)")))</f>
        <v/>
      </c>
      <c r="K629" s="22">
        <f t="array" ref="K629">IF($D629="","",IFERROR(INDEX(MASTER_SOURCE!$C$2:$C$495,MATCH($I629,MASTER_SOURCE!$A$2:$A$495,0)),""))</f>
        <v/>
      </c>
      <c r="L629" s="22">
        <f t="array" ref="L629">IF($D629="","",IFERROR(INDEX(MASTER_SOURCE!$D$2:$D$495,MATCH($I629,MASTER_SOURCE!$A$2:$A$495,0)),""))</f>
        <v/>
      </c>
      <c r="M629" s="24" t="n"/>
      <c r="N629" s="24" t="n"/>
      <c r="O629" s="24" t="n"/>
      <c r="P629" s="24" t="n"/>
      <c r="Q629" s="22">
        <f>IF($D629="","",IF(AND(OR(DANH_MUC!$L$5&lt;&gt;"Có",M629="Có"),OR(DANH_MUC!$L$6&lt;&gt;"Có",N629="Có"),OR(DANH_MUC!$L$7&lt;&gt;"Có",O629="Có"),OR(DANH_MUC!$L$8&lt;&gt;"Có",P629="Có")),"Có","Không"))</f>
        <v/>
      </c>
      <c r="R629" s="22">
        <f>IF($D629="","",IF(COUNTIF($D$2:$D629,$D629)&gt;1,"Trùng",""))</f>
        <v/>
      </c>
      <c r="S629" s="22">
        <f>IF($D629="","",IF(AND(LEN($D629)=10,LEFT($D629,1)="0",ISNUMBER(--$D629)),"Có","Không"))</f>
        <v/>
      </c>
      <c r="T629" s="22">
        <f>IF($D629="","",IF(AND($C629&lt;&gt;"",$Q629="Có",$R629="",$S629="Có",AND($L629&lt;&gt;"",OR($L629&lt;&gt;"Chưa xác định",DANH_MUC!$L$9="Có"))),"Có","Không"))</f>
        <v/>
      </c>
      <c r="U629" s="22">
        <f>IF(OR($D629="",$T629="Có"),"",IF($C629="","Thiếu họ tên; ","")&amp;IF($S629&lt;&gt;"Có","SĐT sai định dạng; ","")&amp;IF($R629="Trùng","Trùng SĐT; ","")&amp;IF($Q629&lt;&gt;"Có","Thiếu đồng ý bắt buộc; ","")&amp;IF($L629="","Thiếu/sai Mã REF; ",IF(AND($L629="Chưa xác định",DANH_MUC!$L$9&lt;&gt;"Có"),"Nguồn chưa xác định; ","")))</f>
        <v/>
      </c>
      <c r="V629" s="22">
        <f>IF(OR($D629="",$R629="Trùng"),"",IF(COUNTIF(ORDERS!$C$2:$C$4995,$D629)&gt;0,"Có","Không"))</f>
        <v/>
      </c>
      <c r="W629" s="22">
        <f>IF(OR($D629="",$R629="Trùng"),"",COUNTIFS(ORDERS!$C$2:$C$4995,$D629,ORDERS!$L$2:$L$4995,"Đã chuyển khoản"))</f>
        <v/>
      </c>
      <c r="X629" s="23">
        <f>IF(OR($D629="",$R629="Trùng"),"",SUMIFS(ORDERS!$J$2:$J$4995,ORDERS!$C$2:$C$4995,$D629,ORDERS!$L$2:$L$4995,"Đã chuyển khoản"))</f>
        <v/>
      </c>
      <c r="Y629" s="24" t="n"/>
    </row>
    <row r="630" ht="14.25" customHeight="1" s="40">
      <c r="A630" s="24" t="n"/>
      <c r="B630" s="27" t="n"/>
      <c r="C630" s="24" t="n"/>
      <c r="D630" s="28" t="n"/>
      <c r="E630" s="29" t="n"/>
      <c r="F630" s="24" t="n"/>
      <c r="G630" s="24" t="n"/>
      <c r="H630" s="21">
        <f>IF(ISNUMBER($B630),INT($B630)-WEEKDAY($B630,2)+1,"")</f>
        <v/>
      </c>
      <c r="I630" s="24" t="n"/>
      <c r="J630" s="22">
        <f t="array" ref="J630">IF($D630="","",IF($I630="","(trống REF)",IFERROR(INDEX(MASTER_SOURCE!$B$2:$B$495,MATCH($I630,MASTER_SOURCE!$A$2:$A$495,0)),"(REF không có trong MASTER_SOURCE)")))</f>
        <v/>
      </c>
      <c r="K630" s="22">
        <f t="array" ref="K630">IF($D630="","",IFERROR(INDEX(MASTER_SOURCE!$C$2:$C$495,MATCH($I630,MASTER_SOURCE!$A$2:$A$495,0)),""))</f>
        <v/>
      </c>
      <c r="L630" s="22">
        <f t="array" ref="L630">IF($D630="","",IFERROR(INDEX(MASTER_SOURCE!$D$2:$D$495,MATCH($I630,MASTER_SOURCE!$A$2:$A$495,0)),""))</f>
        <v/>
      </c>
      <c r="M630" s="24" t="n"/>
      <c r="N630" s="24" t="n"/>
      <c r="O630" s="24" t="n"/>
      <c r="P630" s="24" t="n"/>
      <c r="Q630" s="22">
        <f>IF($D630="","",IF(AND(OR(DANH_MUC!$L$5&lt;&gt;"Có",M630="Có"),OR(DANH_MUC!$L$6&lt;&gt;"Có",N630="Có"),OR(DANH_MUC!$L$7&lt;&gt;"Có",O630="Có"),OR(DANH_MUC!$L$8&lt;&gt;"Có",P630="Có")),"Có","Không"))</f>
        <v/>
      </c>
      <c r="R630" s="22">
        <f>IF($D630="","",IF(COUNTIF($D$2:$D630,$D630)&gt;1,"Trùng",""))</f>
        <v/>
      </c>
      <c r="S630" s="22">
        <f>IF($D630="","",IF(AND(LEN($D630)=10,LEFT($D630,1)="0",ISNUMBER(--$D630)),"Có","Không"))</f>
        <v/>
      </c>
      <c r="T630" s="22">
        <f>IF($D630="","",IF(AND($C630&lt;&gt;"",$Q630="Có",$R630="",$S630="Có",AND($L630&lt;&gt;"",OR($L630&lt;&gt;"Chưa xác định",DANH_MUC!$L$9="Có"))),"Có","Không"))</f>
        <v/>
      </c>
      <c r="U630" s="22">
        <f>IF(OR($D630="",$T630="Có"),"",IF($C630="","Thiếu họ tên; ","")&amp;IF($S630&lt;&gt;"Có","SĐT sai định dạng; ","")&amp;IF($R630="Trùng","Trùng SĐT; ","")&amp;IF($Q630&lt;&gt;"Có","Thiếu đồng ý bắt buộc; ","")&amp;IF($L630="","Thiếu/sai Mã REF; ",IF(AND($L630="Chưa xác định",DANH_MUC!$L$9&lt;&gt;"Có"),"Nguồn chưa xác định; ","")))</f>
        <v/>
      </c>
      <c r="V630" s="22">
        <f>IF(OR($D630="",$R630="Trùng"),"",IF(COUNTIF(ORDERS!$C$2:$C$4995,$D630)&gt;0,"Có","Không"))</f>
        <v/>
      </c>
      <c r="W630" s="22">
        <f>IF(OR($D630="",$R630="Trùng"),"",COUNTIFS(ORDERS!$C$2:$C$4995,$D630,ORDERS!$L$2:$L$4995,"Đã chuyển khoản"))</f>
        <v/>
      </c>
      <c r="X630" s="23">
        <f>IF(OR($D630="",$R630="Trùng"),"",SUMIFS(ORDERS!$J$2:$J$4995,ORDERS!$C$2:$C$4995,$D630,ORDERS!$L$2:$L$4995,"Đã chuyển khoản"))</f>
        <v/>
      </c>
      <c r="Y630" s="24" t="n"/>
    </row>
    <row r="631" ht="14.25" customHeight="1" s="40">
      <c r="A631" s="24" t="n"/>
      <c r="B631" s="27" t="n"/>
      <c r="C631" s="24" t="n"/>
      <c r="D631" s="28" t="n"/>
      <c r="E631" s="29" t="n"/>
      <c r="F631" s="24" t="n"/>
      <c r="G631" s="24" t="n"/>
      <c r="H631" s="21">
        <f>IF(ISNUMBER($B631),INT($B631)-WEEKDAY($B631,2)+1,"")</f>
        <v/>
      </c>
      <c r="I631" s="24" t="n"/>
      <c r="J631" s="22">
        <f t="array" ref="J631">IF($D631="","",IF($I631="","(trống REF)",IFERROR(INDEX(MASTER_SOURCE!$B$2:$B$495,MATCH($I631,MASTER_SOURCE!$A$2:$A$495,0)),"(REF không có trong MASTER_SOURCE)")))</f>
        <v/>
      </c>
      <c r="K631" s="22">
        <f t="array" ref="K631">IF($D631="","",IFERROR(INDEX(MASTER_SOURCE!$C$2:$C$495,MATCH($I631,MASTER_SOURCE!$A$2:$A$495,0)),""))</f>
        <v/>
      </c>
      <c r="L631" s="22">
        <f t="array" ref="L631">IF($D631="","",IFERROR(INDEX(MASTER_SOURCE!$D$2:$D$495,MATCH($I631,MASTER_SOURCE!$A$2:$A$495,0)),""))</f>
        <v/>
      </c>
      <c r="M631" s="24" t="n"/>
      <c r="N631" s="24" t="n"/>
      <c r="O631" s="24" t="n"/>
      <c r="P631" s="24" t="n"/>
      <c r="Q631" s="22">
        <f>IF($D631="","",IF(AND(OR(DANH_MUC!$L$5&lt;&gt;"Có",M631="Có"),OR(DANH_MUC!$L$6&lt;&gt;"Có",N631="Có"),OR(DANH_MUC!$L$7&lt;&gt;"Có",O631="Có"),OR(DANH_MUC!$L$8&lt;&gt;"Có",P631="Có")),"Có","Không"))</f>
        <v/>
      </c>
      <c r="R631" s="22">
        <f>IF($D631="","",IF(COUNTIF($D$2:$D631,$D631)&gt;1,"Trùng",""))</f>
        <v/>
      </c>
      <c r="S631" s="22">
        <f>IF($D631="","",IF(AND(LEN($D631)=10,LEFT($D631,1)="0",ISNUMBER(--$D631)),"Có","Không"))</f>
        <v/>
      </c>
      <c r="T631" s="22">
        <f>IF($D631="","",IF(AND($C631&lt;&gt;"",$Q631="Có",$R631="",$S631="Có",AND($L631&lt;&gt;"",OR($L631&lt;&gt;"Chưa xác định",DANH_MUC!$L$9="Có"))),"Có","Không"))</f>
        <v/>
      </c>
      <c r="U631" s="22">
        <f>IF(OR($D631="",$T631="Có"),"",IF($C631="","Thiếu họ tên; ","")&amp;IF($S631&lt;&gt;"Có","SĐT sai định dạng; ","")&amp;IF($R631="Trùng","Trùng SĐT; ","")&amp;IF($Q631&lt;&gt;"Có","Thiếu đồng ý bắt buộc; ","")&amp;IF($L631="","Thiếu/sai Mã REF; ",IF(AND($L631="Chưa xác định",DANH_MUC!$L$9&lt;&gt;"Có"),"Nguồn chưa xác định; ","")))</f>
        <v/>
      </c>
      <c r="V631" s="22">
        <f>IF(OR($D631="",$R631="Trùng"),"",IF(COUNTIF(ORDERS!$C$2:$C$4995,$D631)&gt;0,"Có","Không"))</f>
        <v/>
      </c>
      <c r="W631" s="22">
        <f>IF(OR($D631="",$R631="Trùng"),"",COUNTIFS(ORDERS!$C$2:$C$4995,$D631,ORDERS!$L$2:$L$4995,"Đã chuyển khoản"))</f>
        <v/>
      </c>
      <c r="X631" s="23">
        <f>IF(OR($D631="",$R631="Trùng"),"",SUMIFS(ORDERS!$J$2:$J$4995,ORDERS!$C$2:$C$4995,$D631,ORDERS!$L$2:$L$4995,"Đã chuyển khoản"))</f>
        <v/>
      </c>
      <c r="Y631" s="24" t="n"/>
    </row>
    <row r="632" ht="14.25" customHeight="1" s="40">
      <c r="A632" s="24" t="n"/>
      <c r="B632" s="27" t="n"/>
      <c r="C632" s="24" t="n"/>
      <c r="D632" s="28" t="n"/>
      <c r="E632" s="29" t="n"/>
      <c r="F632" s="24" t="n"/>
      <c r="G632" s="24" t="n"/>
      <c r="H632" s="21">
        <f>IF(ISNUMBER($B632),INT($B632)-WEEKDAY($B632,2)+1,"")</f>
        <v/>
      </c>
      <c r="I632" s="24" t="n"/>
      <c r="J632" s="22">
        <f t="array" ref="J632">IF($D632="","",IF($I632="","(trống REF)",IFERROR(INDEX(MASTER_SOURCE!$B$2:$B$495,MATCH($I632,MASTER_SOURCE!$A$2:$A$495,0)),"(REF không có trong MASTER_SOURCE)")))</f>
        <v/>
      </c>
      <c r="K632" s="22">
        <f t="array" ref="K632">IF($D632="","",IFERROR(INDEX(MASTER_SOURCE!$C$2:$C$495,MATCH($I632,MASTER_SOURCE!$A$2:$A$495,0)),""))</f>
        <v/>
      </c>
      <c r="L632" s="22">
        <f t="array" ref="L632">IF($D632="","",IFERROR(INDEX(MASTER_SOURCE!$D$2:$D$495,MATCH($I632,MASTER_SOURCE!$A$2:$A$495,0)),""))</f>
        <v/>
      </c>
      <c r="M632" s="24" t="n"/>
      <c r="N632" s="24" t="n"/>
      <c r="O632" s="24" t="n"/>
      <c r="P632" s="24" t="n"/>
      <c r="Q632" s="22">
        <f>IF($D632="","",IF(AND(OR(DANH_MUC!$L$5&lt;&gt;"Có",M632="Có"),OR(DANH_MUC!$L$6&lt;&gt;"Có",N632="Có"),OR(DANH_MUC!$L$7&lt;&gt;"Có",O632="Có"),OR(DANH_MUC!$L$8&lt;&gt;"Có",P632="Có")),"Có","Không"))</f>
        <v/>
      </c>
      <c r="R632" s="22">
        <f>IF($D632="","",IF(COUNTIF($D$2:$D632,$D632)&gt;1,"Trùng",""))</f>
        <v/>
      </c>
      <c r="S632" s="22">
        <f>IF($D632="","",IF(AND(LEN($D632)=10,LEFT($D632,1)="0",ISNUMBER(--$D632)),"Có","Không"))</f>
        <v/>
      </c>
      <c r="T632" s="22">
        <f>IF($D632="","",IF(AND($C632&lt;&gt;"",$Q632="Có",$R632="",$S632="Có",AND($L632&lt;&gt;"",OR($L632&lt;&gt;"Chưa xác định",DANH_MUC!$L$9="Có"))),"Có","Không"))</f>
        <v/>
      </c>
      <c r="U632" s="22">
        <f>IF(OR($D632="",$T632="Có"),"",IF($C632="","Thiếu họ tên; ","")&amp;IF($S632&lt;&gt;"Có","SĐT sai định dạng; ","")&amp;IF($R632="Trùng","Trùng SĐT; ","")&amp;IF($Q632&lt;&gt;"Có","Thiếu đồng ý bắt buộc; ","")&amp;IF($L632="","Thiếu/sai Mã REF; ",IF(AND($L632="Chưa xác định",DANH_MUC!$L$9&lt;&gt;"Có"),"Nguồn chưa xác định; ","")))</f>
        <v/>
      </c>
      <c r="V632" s="22">
        <f>IF(OR($D632="",$R632="Trùng"),"",IF(COUNTIF(ORDERS!$C$2:$C$4995,$D632)&gt;0,"Có","Không"))</f>
        <v/>
      </c>
      <c r="W632" s="22">
        <f>IF(OR($D632="",$R632="Trùng"),"",COUNTIFS(ORDERS!$C$2:$C$4995,$D632,ORDERS!$L$2:$L$4995,"Đã chuyển khoản"))</f>
        <v/>
      </c>
      <c r="X632" s="23">
        <f>IF(OR($D632="",$R632="Trùng"),"",SUMIFS(ORDERS!$J$2:$J$4995,ORDERS!$C$2:$C$4995,$D632,ORDERS!$L$2:$L$4995,"Đã chuyển khoản"))</f>
        <v/>
      </c>
      <c r="Y632" s="24" t="n"/>
    </row>
    <row r="633" ht="14.25" customHeight="1" s="40">
      <c r="A633" s="24" t="n"/>
      <c r="B633" s="27" t="n"/>
      <c r="C633" s="24" t="n"/>
      <c r="D633" s="28" t="n"/>
      <c r="E633" s="29" t="n"/>
      <c r="F633" s="24" t="n"/>
      <c r="G633" s="24" t="n"/>
      <c r="H633" s="21">
        <f>IF(ISNUMBER($B633),INT($B633)-WEEKDAY($B633,2)+1,"")</f>
        <v/>
      </c>
      <c r="I633" s="24" t="n"/>
      <c r="J633" s="22">
        <f t="array" ref="J633">IF($D633="","",IF($I633="","(trống REF)",IFERROR(INDEX(MASTER_SOURCE!$B$2:$B$495,MATCH($I633,MASTER_SOURCE!$A$2:$A$495,0)),"(REF không có trong MASTER_SOURCE)")))</f>
        <v/>
      </c>
      <c r="K633" s="22">
        <f t="array" ref="K633">IF($D633="","",IFERROR(INDEX(MASTER_SOURCE!$C$2:$C$495,MATCH($I633,MASTER_SOURCE!$A$2:$A$495,0)),""))</f>
        <v/>
      </c>
      <c r="L633" s="22">
        <f t="array" ref="L633">IF($D633="","",IFERROR(INDEX(MASTER_SOURCE!$D$2:$D$495,MATCH($I633,MASTER_SOURCE!$A$2:$A$495,0)),""))</f>
        <v/>
      </c>
      <c r="M633" s="24" t="n"/>
      <c r="N633" s="24" t="n"/>
      <c r="O633" s="24" t="n"/>
      <c r="P633" s="24" t="n"/>
      <c r="Q633" s="22">
        <f>IF($D633="","",IF(AND(OR(DANH_MUC!$L$5&lt;&gt;"Có",M633="Có"),OR(DANH_MUC!$L$6&lt;&gt;"Có",N633="Có"),OR(DANH_MUC!$L$7&lt;&gt;"Có",O633="Có"),OR(DANH_MUC!$L$8&lt;&gt;"Có",P633="Có")),"Có","Không"))</f>
        <v/>
      </c>
      <c r="R633" s="22">
        <f>IF($D633="","",IF(COUNTIF($D$2:$D633,$D633)&gt;1,"Trùng",""))</f>
        <v/>
      </c>
      <c r="S633" s="22">
        <f>IF($D633="","",IF(AND(LEN($D633)=10,LEFT($D633,1)="0",ISNUMBER(--$D633)),"Có","Không"))</f>
        <v/>
      </c>
      <c r="T633" s="22">
        <f>IF($D633="","",IF(AND($C633&lt;&gt;"",$Q633="Có",$R633="",$S633="Có",AND($L633&lt;&gt;"",OR($L633&lt;&gt;"Chưa xác định",DANH_MUC!$L$9="Có"))),"Có","Không"))</f>
        <v/>
      </c>
      <c r="U633" s="22">
        <f>IF(OR($D633="",$T633="Có"),"",IF($C633="","Thiếu họ tên; ","")&amp;IF($S633&lt;&gt;"Có","SĐT sai định dạng; ","")&amp;IF($R633="Trùng","Trùng SĐT; ","")&amp;IF($Q633&lt;&gt;"Có","Thiếu đồng ý bắt buộc; ","")&amp;IF($L633="","Thiếu/sai Mã REF; ",IF(AND($L633="Chưa xác định",DANH_MUC!$L$9&lt;&gt;"Có"),"Nguồn chưa xác định; ","")))</f>
        <v/>
      </c>
      <c r="V633" s="22">
        <f>IF(OR($D633="",$R633="Trùng"),"",IF(COUNTIF(ORDERS!$C$2:$C$4995,$D633)&gt;0,"Có","Không"))</f>
        <v/>
      </c>
      <c r="W633" s="22">
        <f>IF(OR($D633="",$R633="Trùng"),"",COUNTIFS(ORDERS!$C$2:$C$4995,$D633,ORDERS!$L$2:$L$4995,"Đã chuyển khoản"))</f>
        <v/>
      </c>
      <c r="X633" s="23">
        <f>IF(OR($D633="",$R633="Trùng"),"",SUMIFS(ORDERS!$J$2:$J$4995,ORDERS!$C$2:$C$4995,$D633,ORDERS!$L$2:$L$4995,"Đã chuyển khoản"))</f>
        <v/>
      </c>
      <c r="Y633" s="24" t="n"/>
    </row>
    <row r="634" ht="14.25" customHeight="1" s="40">
      <c r="A634" s="24" t="n"/>
      <c r="B634" s="27" t="n"/>
      <c r="C634" s="24" t="n"/>
      <c r="D634" s="28" t="n"/>
      <c r="E634" s="29" t="n"/>
      <c r="F634" s="24" t="n"/>
      <c r="G634" s="24" t="n"/>
      <c r="H634" s="21">
        <f>IF(ISNUMBER($B634),INT($B634)-WEEKDAY($B634,2)+1,"")</f>
        <v/>
      </c>
      <c r="I634" s="24" t="n"/>
      <c r="J634" s="22">
        <f t="array" ref="J634">IF($D634="","",IF($I634="","(trống REF)",IFERROR(INDEX(MASTER_SOURCE!$B$2:$B$495,MATCH($I634,MASTER_SOURCE!$A$2:$A$495,0)),"(REF không có trong MASTER_SOURCE)")))</f>
        <v/>
      </c>
      <c r="K634" s="22">
        <f t="array" ref="K634">IF($D634="","",IFERROR(INDEX(MASTER_SOURCE!$C$2:$C$495,MATCH($I634,MASTER_SOURCE!$A$2:$A$495,0)),""))</f>
        <v/>
      </c>
      <c r="L634" s="22">
        <f t="array" ref="L634">IF($D634="","",IFERROR(INDEX(MASTER_SOURCE!$D$2:$D$495,MATCH($I634,MASTER_SOURCE!$A$2:$A$495,0)),""))</f>
        <v/>
      </c>
      <c r="M634" s="24" t="n"/>
      <c r="N634" s="24" t="n"/>
      <c r="O634" s="24" t="n"/>
      <c r="P634" s="24" t="n"/>
      <c r="Q634" s="22">
        <f>IF($D634="","",IF(AND(OR(DANH_MUC!$L$5&lt;&gt;"Có",M634="Có"),OR(DANH_MUC!$L$6&lt;&gt;"Có",N634="Có"),OR(DANH_MUC!$L$7&lt;&gt;"Có",O634="Có"),OR(DANH_MUC!$L$8&lt;&gt;"Có",P634="Có")),"Có","Không"))</f>
        <v/>
      </c>
      <c r="R634" s="22">
        <f>IF($D634="","",IF(COUNTIF($D$2:$D634,$D634)&gt;1,"Trùng",""))</f>
        <v/>
      </c>
      <c r="S634" s="22">
        <f>IF($D634="","",IF(AND(LEN($D634)=10,LEFT($D634,1)="0",ISNUMBER(--$D634)),"Có","Không"))</f>
        <v/>
      </c>
      <c r="T634" s="22">
        <f>IF($D634="","",IF(AND($C634&lt;&gt;"",$Q634="Có",$R634="",$S634="Có",AND($L634&lt;&gt;"",OR($L634&lt;&gt;"Chưa xác định",DANH_MUC!$L$9="Có"))),"Có","Không"))</f>
        <v/>
      </c>
      <c r="U634" s="22">
        <f>IF(OR($D634="",$T634="Có"),"",IF($C634="","Thiếu họ tên; ","")&amp;IF($S634&lt;&gt;"Có","SĐT sai định dạng; ","")&amp;IF($R634="Trùng","Trùng SĐT; ","")&amp;IF($Q634&lt;&gt;"Có","Thiếu đồng ý bắt buộc; ","")&amp;IF($L634="","Thiếu/sai Mã REF; ",IF(AND($L634="Chưa xác định",DANH_MUC!$L$9&lt;&gt;"Có"),"Nguồn chưa xác định; ","")))</f>
        <v/>
      </c>
      <c r="V634" s="22">
        <f>IF(OR($D634="",$R634="Trùng"),"",IF(COUNTIF(ORDERS!$C$2:$C$4995,$D634)&gt;0,"Có","Không"))</f>
        <v/>
      </c>
      <c r="W634" s="22">
        <f>IF(OR($D634="",$R634="Trùng"),"",COUNTIFS(ORDERS!$C$2:$C$4995,$D634,ORDERS!$L$2:$L$4995,"Đã chuyển khoản"))</f>
        <v/>
      </c>
      <c r="X634" s="23">
        <f>IF(OR($D634="",$R634="Trùng"),"",SUMIFS(ORDERS!$J$2:$J$4995,ORDERS!$C$2:$C$4995,$D634,ORDERS!$L$2:$L$4995,"Đã chuyển khoản"))</f>
        <v/>
      </c>
      <c r="Y634" s="24" t="n"/>
    </row>
    <row r="635" ht="14.25" customHeight="1" s="40">
      <c r="A635" s="24" t="n"/>
      <c r="B635" s="27" t="n"/>
      <c r="C635" s="24" t="n"/>
      <c r="D635" s="28" t="n"/>
      <c r="E635" s="29" t="n"/>
      <c r="F635" s="24" t="n"/>
      <c r="G635" s="24" t="n"/>
      <c r="H635" s="21">
        <f>IF(ISNUMBER($B635),INT($B635)-WEEKDAY($B635,2)+1,"")</f>
        <v/>
      </c>
      <c r="I635" s="24" t="n"/>
      <c r="J635" s="22">
        <f t="array" ref="J635">IF($D635="","",IF($I635="","(trống REF)",IFERROR(INDEX(MASTER_SOURCE!$B$2:$B$495,MATCH($I635,MASTER_SOURCE!$A$2:$A$495,0)),"(REF không có trong MASTER_SOURCE)")))</f>
        <v/>
      </c>
      <c r="K635" s="22">
        <f t="array" ref="K635">IF($D635="","",IFERROR(INDEX(MASTER_SOURCE!$C$2:$C$495,MATCH($I635,MASTER_SOURCE!$A$2:$A$495,0)),""))</f>
        <v/>
      </c>
      <c r="L635" s="22">
        <f t="array" ref="L635">IF($D635="","",IFERROR(INDEX(MASTER_SOURCE!$D$2:$D$495,MATCH($I635,MASTER_SOURCE!$A$2:$A$495,0)),""))</f>
        <v/>
      </c>
      <c r="M635" s="24" t="n"/>
      <c r="N635" s="24" t="n"/>
      <c r="O635" s="24" t="n"/>
      <c r="P635" s="24" t="n"/>
      <c r="Q635" s="22">
        <f>IF($D635="","",IF(AND(OR(DANH_MUC!$L$5&lt;&gt;"Có",M635="Có"),OR(DANH_MUC!$L$6&lt;&gt;"Có",N635="Có"),OR(DANH_MUC!$L$7&lt;&gt;"Có",O635="Có"),OR(DANH_MUC!$L$8&lt;&gt;"Có",P635="Có")),"Có","Không"))</f>
        <v/>
      </c>
      <c r="R635" s="22">
        <f>IF($D635="","",IF(COUNTIF($D$2:$D635,$D635)&gt;1,"Trùng",""))</f>
        <v/>
      </c>
      <c r="S635" s="22">
        <f>IF($D635="","",IF(AND(LEN($D635)=10,LEFT($D635,1)="0",ISNUMBER(--$D635)),"Có","Không"))</f>
        <v/>
      </c>
      <c r="T635" s="22">
        <f>IF($D635="","",IF(AND($C635&lt;&gt;"",$Q635="Có",$R635="",$S635="Có",AND($L635&lt;&gt;"",OR($L635&lt;&gt;"Chưa xác định",DANH_MUC!$L$9="Có"))),"Có","Không"))</f>
        <v/>
      </c>
      <c r="U635" s="22">
        <f>IF(OR($D635="",$T635="Có"),"",IF($C635="","Thiếu họ tên; ","")&amp;IF($S635&lt;&gt;"Có","SĐT sai định dạng; ","")&amp;IF($R635="Trùng","Trùng SĐT; ","")&amp;IF($Q635&lt;&gt;"Có","Thiếu đồng ý bắt buộc; ","")&amp;IF($L635="","Thiếu/sai Mã REF; ",IF(AND($L635="Chưa xác định",DANH_MUC!$L$9&lt;&gt;"Có"),"Nguồn chưa xác định; ","")))</f>
        <v/>
      </c>
      <c r="V635" s="22">
        <f>IF(OR($D635="",$R635="Trùng"),"",IF(COUNTIF(ORDERS!$C$2:$C$4995,$D635)&gt;0,"Có","Không"))</f>
        <v/>
      </c>
      <c r="W635" s="22">
        <f>IF(OR($D635="",$R635="Trùng"),"",COUNTIFS(ORDERS!$C$2:$C$4995,$D635,ORDERS!$L$2:$L$4995,"Đã chuyển khoản"))</f>
        <v/>
      </c>
      <c r="X635" s="23">
        <f>IF(OR($D635="",$R635="Trùng"),"",SUMIFS(ORDERS!$J$2:$J$4995,ORDERS!$C$2:$C$4995,$D635,ORDERS!$L$2:$L$4995,"Đã chuyển khoản"))</f>
        <v/>
      </c>
      <c r="Y635" s="24" t="n"/>
    </row>
    <row r="636" ht="14.25" customHeight="1" s="40">
      <c r="A636" s="24" t="n"/>
      <c r="B636" s="27" t="n"/>
      <c r="C636" s="24" t="n"/>
      <c r="D636" s="28" t="n"/>
      <c r="E636" s="29" t="n"/>
      <c r="F636" s="24" t="n"/>
      <c r="G636" s="24" t="n"/>
      <c r="H636" s="21">
        <f>IF(ISNUMBER($B636),INT($B636)-WEEKDAY($B636,2)+1,"")</f>
        <v/>
      </c>
      <c r="I636" s="24" t="n"/>
      <c r="J636" s="22">
        <f t="array" ref="J636">IF($D636="","",IF($I636="","(trống REF)",IFERROR(INDEX(MASTER_SOURCE!$B$2:$B$495,MATCH($I636,MASTER_SOURCE!$A$2:$A$495,0)),"(REF không có trong MASTER_SOURCE)")))</f>
        <v/>
      </c>
      <c r="K636" s="22">
        <f t="array" ref="K636">IF($D636="","",IFERROR(INDEX(MASTER_SOURCE!$C$2:$C$495,MATCH($I636,MASTER_SOURCE!$A$2:$A$495,0)),""))</f>
        <v/>
      </c>
      <c r="L636" s="22">
        <f t="array" ref="L636">IF($D636="","",IFERROR(INDEX(MASTER_SOURCE!$D$2:$D$495,MATCH($I636,MASTER_SOURCE!$A$2:$A$495,0)),""))</f>
        <v/>
      </c>
      <c r="M636" s="24" t="n"/>
      <c r="N636" s="24" t="n"/>
      <c r="O636" s="24" t="n"/>
      <c r="P636" s="24" t="n"/>
      <c r="Q636" s="22">
        <f>IF($D636="","",IF(AND(OR(DANH_MUC!$L$5&lt;&gt;"Có",M636="Có"),OR(DANH_MUC!$L$6&lt;&gt;"Có",N636="Có"),OR(DANH_MUC!$L$7&lt;&gt;"Có",O636="Có"),OR(DANH_MUC!$L$8&lt;&gt;"Có",P636="Có")),"Có","Không"))</f>
        <v/>
      </c>
      <c r="R636" s="22">
        <f>IF($D636="","",IF(COUNTIF($D$2:$D636,$D636)&gt;1,"Trùng",""))</f>
        <v/>
      </c>
      <c r="S636" s="22">
        <f>IF($D636="","",IF(AND(LEN($D636)=10,LEFT($D636,1)="0",ISNUMBER(--$D636)),"Có","Không"))</f>
        <v/>
      </c>
      <c r="T636" s="22">
        <f>IF($D636="","",IF(AND($C636&lt;&gt;"",$Q636="Có",$R636="",$S636="Có",AND($L636&lt;&gt;"",OR($L636&lt;&gt;"Chưa xác định",DANH_MUC!$L$9="Có"))),"Có","Không"))</f>
        <v/>
      </c>
      <c r="U636" s="22">
        <f>IF(OR($D636="",$T636="Có"),"",IF($C636="","Thiếu họ tên; ","")&amp;IF($S636&lt;&gt;"Có","SĐT sai định dạng; ","")&amp;IF($R636="Trùng","Trùng SĐT; ","")&amp;IF($Q636&lt;&gt;"Có","Thiếu đồng ý bắt buộc; ","")&amp;IF($L636="","Thiếu/sai Mã REF; ",IF(AND($L636="Chưa xác định",DANH_MUC!$L$9&lt;&gt;"Có"),"Nguồn chưa xác định; ","")))</f>
        <v/>
      </c>
      <c r="V636" s="22">
        <f>IF(OR($D636="",$R636="Trùng"),"",IF(COUNTIF(ORDERS!$C$2:$C$4995,$D636)&gt;0,"Có","Không"))</f>
        <v/>
      </c>
      <c r="W636" s="22">
        <f>IF(OR($D636="",$R636="Trùng"),"",COUNTIFS(ORDERS!$C$2:$C$4995,$D636,ORDERS!$L$2:$L$4995,"Đã chuyển khoản"))</f>
        <v/>
      </c>
      <c r="X636" s="23">
        <f>IF(OR($D636="",$R636="Trùng"),"",SUMIFS(ORDERS!$J$2:$J$4995,ORDERS!$C$2:$C$4995,$D636,ORDERS!$L$2:$L$4995,"Đã chuyển khoản"))</f>
        <v/>
      </c>
      <c r="Y636" s="24" t="n"/>
    </row>
    <row r="637" ht="14.25" customHeight="1" s="40">
      <c r="A637" s="24" t="n"/>
      <c r="B637" s="27" t="n"/>
      <c r="C637" s="24" t="n"/>
      <c r="D637" s="28" t="n"/>
      <c r="E637" s="29" t="n"/>
      <c r="F637" s="24" t="n"/>
      <c r="G637" s="24" t="n"/>
      <c r="H637" s="21">
        <f>IF(ISNUMBER($B637),INT($B637)-WEEKDAY($B637,2)+1,"")</f>
        <v/>
      </c>
      <c r="I637" s="24" t="n"/>
      <c r="J637" s="22">
        <f t="array" ref="J637">IF($D637="","",IF($I637="","(trống REF)",IFERROR(INDEX(MASTER_SOURCE!$B$2:$B$495,MATCH($I637,MASTER_SOURCE!$A$2:$A$495,0)),"(REF không có trong MASTER_SOURCE)")))</f>
        <v/>
      </c>
      <c r="K637" s="22">
        <f t="array" ref="K637">IF($D637="","",IFERROR(INDEX(MASTER_SOURCE!$C$2:$C$495,MATCH($I637,MASTER_SOURCE!$A$2:$A$495,0)),""))</f>
        <v/>
      </c>
      <c r="L637" s="22">
        <f t="array" ref="L637">IF($D637="","",IFERROR(INDEX(MASTER_SOURCE!$D$2:$D$495,MATCH($I637,MASTER_SOURCE!$A$2:$A$495,0)),""))</f>
        <v/>
      </c>
      <c r="M637" s="24" t="n"/>
      <c r="N637" s="24" t="n"/>
      <c r="O637" s="24" t="n"/>
      <c r="P637" s="24" t="n"/>
      <c r="Q637" s="22">
        <f>IF($D637="","",IF(AND(OR(DANH_MUC!$L$5&lt;&gt;"Có",M637="Có"),OR(DANH_MUC!$L$6&lt;&gt;"Có",N637="Có"),OR(DANH_MUC!$L$7&lt;&gt;"Có",O637="Có"),OR(DANH_MUC!$L$8&lt;&gt;"Có",P637="Có")),"Có","Không"))</f>
        <v/>
      </c>
      <c r="R637" s="22">
        <f>IF($D637="","",IF(COUNTIF($D$2:$D637,$D637)&gt;1,"Trùng",""))</f>
        <v/>
      </c>
      <c r="S637" s="22">
        <f>IF($D637="","",IF(AND(LEN($D637)=10,LEFT($D637,1)="0",ISNUMBER(--$D637)),"Có","Không"))</f>
        <v/>
      </c>
      <c r="T637" s="22">
        <f>IF($D637="","",IF(AND($C637&lt;&gt;"",$Q637="Có",$R637="",$S637="Có",AND($L637&lt;&gt;"",OR($L637&lt;&gt;"Chưa xác định",DANH_MUC!$L$9="Có"))),"Có","Không"))</f>
        <v/>
      </c>
      <c r="U637" s="22">
        <f>IF(OR($D637="",$T637="Có"),"",IF($C637="","Thiếu họ tên; ","")&amp;IF($S637&lt;&gt;"Có","SĐT sai định dạng; ","")&amp;IF($R637="Trùng","Trùng SĐT; ","")&amp;IF($Q637&lt;&gt;"Có","Thiếu đồng ý bắt buộc; ","")&amp;IF($L637="","Thiếu/sai Mã REF; ",IF(AND($L637="Chưa xác định",DANH_MUC!$L$9&lt;&gt;"Có"),"Nguồn chưa xác định; ","")))</f>
        <v/>
      </c>
      <c r="V637" s="22">
        <f>IF(OR($D637="",$R637="Trùng"),"",IF(COUNTIF(ORDERS!$C$2:$C$4995,$D637)&gt;0,"Có","Không"))</f>
        <v/>
      </c>
      <c r="W637" s="22">
        <f>IF(OR($D637="",$R637="Trùng"),"",COUNTIFS(ORDERS!$C$2:$C$4995,$D637,ORDERS!$L$2:$L$4995,"Đã chuyển khoản"))</f>
        <v/>
      </c>
      <c r="X637" s="23">
        <f>IF(OR($D637="",$R637="Trùng"),"",SUMIFS(ORDERS!$J$2:$J$4995,ORDERS!$C$2:$C$4995,$D637,ORDERS!$L$2:$L$4995,"Đã chuyển khoản"))</f>
        <v/>
      </c>
      <c r="Y637" s="24" t="n"/>
    </row>
    <row r="638" ht="14.25" customHeight="1" s="40">
      <c r="A638" s="24" t="n"/>
      <c r="B638" s="27" t="n"/>
      <c r="C638" s="24" t="n"/>
      <c r="D638" s="28" t="n"/>
      <c r="E638" s="29" t="n"/>
      <c r="F638" s="24" t="n"/>
      <c r="G638" s="24" t="n"/>
      <c r="H638" s="21">
        <f>IF(ISNUMBER($B638),INT($B638)-WEEKDAY($B638,2)+1,"")</f>
        <v/>
      </c>
      <c r="I638" s="24" t="n"/>
      <c r="J638" s="22">
        <f t="array" ref="J638">IF($D638="","",IF($I638="","(trống REF)",IFERROR(INDEX(MASTER_SOURCE!$B$2:$B$495,MATCH($I638,MASTER_SOURCE!$A$2:$A$495,0)),"(REF không có trong MASTER_SOURCE)")))</f>
        <v/>
      </c>
      <c r="K638" s="22">
        <f t="array" ref="K638">IF($D638="","",IFERROR(INDEX(MASTER_SOURCE!$C$2:$C$495,MATCH($I638,MASTER_SOURCE!$A$2:$A$495,0)),""))</f>
        <v/>
      </c>
      <c r="L638" s="22">
        <f t="array" ref="L638">IF($D638="","",IFERROR(INDEX(MASTER_SOURCE!$D$2:$D$495,MATCH($I638,MASTER_SOURCE!$A$2:$A$495,0)),""))</f>
        <v/>
      </c>
      <c r="M638" s="24" t="n"/>
      <c r="N638" s="24" t="n"/>
      <c r="O638" s="24" t="n"/>
      <c r="P638" s="24" t="n"/>
      <c r="Q638" s="22">
        <f>IF($D638="","",IF(AND(OR(DANH_MUC!$L$5&lt;&gt;"Có",M638="Có"),OR(DANH_MUC!$L$6&lt;&gt;"Có",N638="Có"),OR(DANH_MUC!$L$7&lt;&gt;"Có",O638="Có"),OR(DANH_MUC!$L$8&lt;&gt;"Có",P638="Có")),"Có","Không"))</f>
        <v/>
      </c>
      <c r="R638" s="22">
        <f>IF($D638="","",IF(COUNTIF($D$2:$D638,$D638)&gt;1,"Trùng",""))</f>
        <v/>
      </c>
      <c r="S638" s="22">
        <f>IF($D638="","",IF(AND(LEN($D638)=10,LEFT($D638,1)="0",ISNUMBER(--$D638)),"Có","Không"))</f>
        <v/>
      </c>
      <c r="T638" s="22">
        <f>IF($D638="","",IF(AND($C638&lt;&gt;"",$Q638="Có",$R638="",$S638="Có",AND($L638&lt;&gt;"",OR($L638&lt;&gt;"Chưa xác định",DANH_MUC!$L$9="Có"))),"Có","Không"))</f>
        <v/>
      </c>
      <c r="U638" s="22">
        <f>IF(OR($D638="",$T638="Có"),"",IF($C638="","Thiếu họ tên; ","")&amp;IF($S638&lt;&gt;"Có","SĐT sai định dạng; ","")&amp;IF($R638="Trùng","Trùng SĐT; ","")&amp;IF($Q638&lt;&gt;"Có","Thiếu đồng ý bắt buộc; ","")&amp;IF($L638="","Thiếu/sai Mã REF; ",IF(AND($L638="Chưa xác định",DANH_MUC!$L$9&lt;&gt;"Có"),"Nguồn chưa xác định; ","")))</f>
        <v/>
      </c>
      <c r="V638" s="22">
        <f>IF(OR($D638="",$R638="Trùng"),"",IF(COUNTIF(ORDERS!$C$2:$C$4995,$D638)&gt;0,"Có","Không"))</f>
        <v/>
      </c>
      <c r="W638" s="22">
        <f>IF(OR($D638="",$R638="Trùng"),"",COUNTIFS(ORDERS!$C$2:$C$4995,$D638,ORDERS!$L$2:$L$4995,"Đã chuyển khoản"))</f>
        <v/>
      </c>
      <c r="X638" s="23">
        <f>IF(OR($D638="",$R638="Trùng"),"",SUMIFS(ORDERS!$J$2:$J$4995,ORDERS!$C$2:$C$4995,$D638,ORDERS!$L$2:$L$4995,"Đã chuyển khoản"))</f>
        <v/>
      </c>
      <c r="Y638" s="24" t="n"/>
    </row>
    <row r="639" ht="14.25" customHeight="1" s="40">
      <c r="A639" s="24" t="n"/>
      <c r="B639" s="27" t="n"/>
      <c r="C639" s="24" t="n"/>
      <c r="D639" s="28" t="n"/>
      <c r="E639" s="29" t="n"/>
      <c r="F639" s="24" t="n"/>
      <c r="G639" s="24" t="n"/>
      <c r="H639" s="21">
        <f>IF(ISNUMBER($B639),INT($B639)-WEEKDAY($B639,2)+1,"")</f>
        <v/>
      </c>
      <c r="I639" s="24" t="n"/>
      <c r="J639" s="22">
        <f t="array" ref="J639">IF($D639="","",IF($I639="","(trống REF)",IFERROR(INDEX(MASTER_SOURCE!$B$2:$B$495,MATCH($I639,MASTER_SOURCE!$A$2:$A$495,0)),"(REF không có trong MASTER_SOURCE)")))</f>
        <v/>
      </c>
      <c r="K639" s="22">
        <f t="array" ref="K639">IF($D639="","",IFERROR(INDEX(MASTER_SOURCE!$C$2:$C$495,MATCH($I639,MASTER_SOURCE!$A$2:$A$495,0)),""))</f>
        <v/>
      </c>
      <c r="L639" s="22">
        <f t="array" ref="L639">IF($D639="","",IFERROR(INDEX(MASTER_SOURCE!$D$2:$D$495,MATCH($I639,MASTER_SOURCE!$A$2:$A$495,0)),""))</f>
        <v/>
      </c>
      <c r="M639" s="24" t="n"/>
      <c r="N639" s="24" t="n"/>
      <c r="O639" s="24" t="n"/>
      <c r="P639" s="24" t="n"/>
      <c r="Q639" s="22">
        <f>IF($D639="","",IF(AND(OR(DANH_MUC!$L$5&lt;&gt;"Có",M639="Có"),OR(DANH_MUC!$L$6&lt;&gt;"Có",N639="Có"),OR(DANH_MUC!$L$7&lt;&gt;"Có",O639="Có"),OR(DANH_MUC!$L$8&lt;&gt;"Có",P639="Có")),"Có","Không"))</f>
        <v/>
      </c>
      <c r="R639" s="22">
        <f>IF($D639="","",IF(COUNTIF($D$2:$D639,$D639)&gt;1,"Trùng",""))</f>
        <v/>
      </c>
      <c r="S639" s="22">
        <f>IF($D639="","",IF(AND(LEN($D639)=10,LEFT($D639,1)="0",ISNUMBER(--$D639)),"Có","Không"))</f>
        <v/>
      </c>
      <c r="T639" s="22">
        <f>IF($D639="","",IF(AND($C639&lt;&gt;"",$Q639="Có",$R639="",$S639="Có",AND($L639&lt;&gt;"",OR($L639&lt;&gt;"Chưa xác định",DANH_MUC!$L$9="Có"))),"Có","Không"))</f>
        <v/>
      </c>
      <c r="U639" s="22">
        <f>IF(OR($D639="",$T639="Có"),"",IF($C639="","Thiếu họ tên; ","")&amp;IF($S639&lt;&gt;"Có","SĐT sai định dạng; ","")&amp;IF($R639="Trùng","Trùng SĐT; ","")&amp;IF($Q639&lt;&gt;"Có","Thiếu đồng ý bắt buộc; ","")&amp;IF($L639="","Thiếu/sai Mã REF; ",IF(AND($L639="Chưa xác định",DANH_MUC!$L$9&lt;&gt;"Có"),"Nguồn chưa xác định; ","")))</f>
        <v/>
      </c>
      <c r="V639" s="22">
        <f>IF(OR($D639="",$R639="Trùng"),"",IF(COUNTIF(ORDERS!$C$2:$C$4995,$D639)&gt;0,"Có","Không"))</f>
        <v/>
      </c>
      <c r="W639" s="22">
        <f>IF(OR($D639="",$R639="Trùng"),"",COUNTIFS(ORDERS!$C$2:$C$4995,$D639,ORDERS!$L$2:$L$4995,"Đã chuyển khoản"))</f>
        <v/>
      </c>
      <c r="X639" s="23">
        <f>IF(OR($D639="",$R639="Trùng"),"",SUMIFS(ORDERS!$J$2:$J$4995,ORDERS!$C$2:$C$4995,$D639,ORDERS!$L$2:$L$4995,"Đã chuyển khoản"))</f>
        <v/>
      </c>
      <c r="Y639" s="24" t="n"/>
    </row>
    <row r="640" ht="14.25" customHeight="1" s="40">
      <c r="A640" s="24" t="n"/>
      <c r="B640" s="27" t="n"/>
      <c r="C640" s="24" t="n"/>
      <c r="D640" s="28" t="n"/>
      <c r="E640" s="29" t="n"/>
      <c r="F640" s="24" t="n"/>
      <c r="G640" s="24" t="n"/>
      <c r="H640" s="21">
        <f>IF(ISNUMBER($B640),INT($B640)-WEEKDAY($B640,2)+1,"")</f>
        <v/>
      </c>
      <c r="I640" s="24" t="n"/>
      <c r="J640" s="22">
        <f t="array" ref="J640">IF($D640="","",IF($I640="","(trống REF)",IFERROR(INDEX(MASTER_SOURCE!$B$2:$B$495,MATCH($I640,MASTER_SOURCE!$A$2:$A$495,0)),"(REF không có trong MASTER_SOURCE)")))</f>
        <v/>
      </c>
      <c r="K640" s="22">
        <f t="array" ref="K640">IF($D640="","",IFERROR(INDEX(MASTER_SOURCE!$C$2:$C$495,MATCH($I640,MASTER_SOURCE!$A$2:$A$495,0)),""))</f>
        <v/>
      </c>
      <c r="L640" s="22">
        <f t="array" ref="L640">IF($D640="","",IFERROR(INDEX(MASTER_SOURCE!$D$2:$D$495,MATCH($I640,MASTER_SOURCE!$A$2:$A$495,0)),""))</f>
        <v/>
      </c>
      <c r="M640" s="24" t="n"/>
      <c r="N640" s="24" t="n"/>
      <c r="O640" s="24" t="n"/>
      <c r="P640" s="24" t="n"/>
      <c r="Q640" s="22">
        <f>IF($D640="","",IF(AND(OR(DANH_MUC!$L$5&lt;&gt;"Có",M640="Có"),OR(DANH_MUC!$L$6&lt;&gt;"Có",N640="Có"),OR(DANH_MUC!$L$7&lt;&gt;"Có",O640="Có"),OR(DANH_MUC!$L$8&lt;&gt;"Có",P640="Có")),"Có","Không"))</f>
        <v/>
      </c>
      <c r="R640" s="22">
        <f>IF($D640="","",IF(COUNTIF($D$2:$D640,$D640)&gt;1,"Trùng",""))</f>
        <v/>
      </c>
      <c r="S640" s="22">
        <f>IF($D640="","",IF(AND(LEN($D640)=10,LEFT($D640,1)="0",ISNUMBER(--$D640)),"Có","Không"))</f>
        <v/>
      </c>
      <c r="T640" s="22">
        <f>IF($D640="","",IF(AND($C640&lt;&gt;"",$Q640="Có",$R640="",$S640="Có",AND($L640&lt;&gt;"",OR($L640&lt;&gt;"Chưa xác định",DANH_MUC!$L$9="Có"))),"Có","Không"))</f>
        <v/>
      </c>
      <c r="U640" s="22">
        <f>IF(OR($D640="",$T640="Có"),"",IF($C640="","Thiếu họ tên; ","")&amp;IF($S640&lt;&gt;"Có","SĐT sai định dạng; ","")&amp;IF($R640="Trùng","Trùng SĐT; ","")&amp;IF($Q640&lt;&gt;"Có","Thiếu đồng ý bắt buộc; ","")&amp;IF($L640="","Thiếu/sai Mã REF; ",IF(AND($L640="Chưa xác định",DANH_MUC!$L$9&lt;&gt;"Có"),"Nguồn chưa xác định; ","")))</f>
        <v/>
      </c>
      <c r="V640" s="22">
        <f>IF(OR($D640="",$R640="Trùng"),"",IF(COUNTIF(ORDERS!$C$2:$C$4995,$D640)&gt;0,"Có","Không"))</f>
        <v/>
      </c>
      <c r="W640" s="22">
        <f>IF(OR($D640="",$R640="Trùng"),"",COUNTIFS(ORDERS!$C$2:$C$4995,$D640,ORDERS!$L$2:$L$4995,"Đã chuyển khoản"))</f>
        <v/>
      </c>
      <c r="X640" s="23">
        <f>IF(OR($D640="",$R640="Trùng"),"",SUMIFS(ORDERS!$J$2:$J$4995,ORDERS!$C$2:$C$4995,$D640,ORDERS!$L$2:$L$4995,"Đã chuyển khoản"))</f>
        <v/>
      </c>
      <c r="Y640" s="24" t="n"/>
    </row>
    <row r="641" ht="14.25" customHeight="1" s="40">
      <c r="A641" s="24" t="n"/>
      <c r="B641" s="27" t="n"/>
      <c r="C641" s="24" t="n"/>
      <c r="D641" s="28" t="n"/>
      <c r="E641" s="29" t="n"/>
      <c r="F641" s="24" t="n"/>
      <c r="G641" s="24" t="n"/>
      <c r="H641" s="21">
        <f>IF(ISNUMBER($B641),INT($B641)-WEEKDAY($B641,2)+1,"")</f>
        <v/>
      </c>
      <c r="I641" s="24" t="n"/>
      <c r="J641" s="22">
        <f t="array" ref="J641">IF($D641="","",IF($I641="","(trống REF)",IFERROR(INDEX(MASTER_SOURCE!$B$2:$B$495,MATCH($I641,MASTER_SOURCE!$A$2:$A$495,0)),"(REF không có trong MASTER_SOURCE)")))</f>
        <v/>
      </c>
      <c r="K641" s="22">
        <f t="array" ref="K641">IF($D641="","",IFERROR(INDEX(MASTER_SOURCE!$C$2:$C$495,MATCH($I641,MASTER_SOURCE!$A$2:$A$495,0)),""))</f>
        <v/>
      </c>
      <c r="L641" s="22">
        <f t="array" ref="L641">IF($D641="","",IFERROR(INDEX(MASTER_SOURCE!$D$2:$D$495,MATCH($I641,MASTER_SOURCE!$A$2:$A$495,0)),""))</f>
        <v/>
      </c>
      <c r="M641" s="24" t="n"/>
      <c r="N641" s="24" t="n"/>
      <c r="O641" s="24" t="n"/>
      <c r="P641" s="24" t="n"/>
      <c r="Q641" s="22">
        <f>IF($D641="","",IF(AND(OR(DANH_MUC!$L$5&lt;&gt;"Có",M641="Có"),OR(DANH_MUC!$L$6&lt;&gt;"Có",N641="Có"),OR(DANH_MUC!$L$7&lt;&gt;"Có",O641="Có"),OR(DANH_MUC!$L$8&lt;&gt;"Có",P641="Có")),"Có","Không"))</f>
        <v/>
      </c>
      <c r="R641" s="22">
        <f>IF($D641="","",IF(COUNTIF($D$2:$D641,$D641)&gt;1,"Trùng",""))</f>
        <v/>
      </c>
      <c r="S641" s="22">
        <f>IF($D641="","",IF(AND(LEN($D641)=10,LEFT($D641,1)="0",ISNUMBER(--$D641)),"Có","Không"))</f>
        <v/>
      </c>
      <c r="T641" s="22">
        <f>IF($D641="","",IF(AND($C641&lt;&gt;"",$Q641="Có",$R641="",$S641="Có",AND($L641&lt;&gt;"",OR($L641&lt;&gt;"Chưa xác định",DANH_MUC!$L$9="Có"))),"Có","Không"))</f>
        <v/>
      </c>
      <c r="U641" s="22">
        <f>IF(OR($D641="",$T641="Có"),"",IF($C641="","Thiếu họ tên; ","")&amp;IF($S641&lt;&gt;"Có","SĐT sai định dạng; ","")&amp;IF($R641="Trùng","Trùng SĐT; ","")&amp;IF($Q641&lt;&gt;"Có","Thiếu đồng ý bắt buộc; ","")&amp;IF($L641="","Thiếu/sai Mã REF; ",IF(AND($L641="Chưa xác định",DANH_MUC!$L$9&lt;&gt;"Có"),"Nguồn chưa xác định; ","")))</f>
        <v/>
      </c>
      <c r="V641" s="22">
        <f>IF(OR($D641="",$R641="Trùng"),"",IF(COUNTIF(ORDERS!$C$2:$C$4995,$D641)&gt;0,"Có","Không"))</f>
        <v/>
      </c>
      <c r="W641" s="22">
        <f>IF(OR($D641="",$R641="Trùng"),"",COUNTIFS(ORDERS!$C$2:$C$4995,$D641,ORDERS!$L$2:$L$4995,"Đã chuyển khoản"))</f>
        <v/>
      </c>
      <c r="X641" s="23">
        <f>IF(OR($D641="",$R641="Trùng"),"",SUMIFS(ORDERS!$J$2:$J$4995,ORDERS!$C$2:$C$4995,$D641,ORDERS!$L$2:$L$4995,"Đã chuyển khoản"))</f>
        <v/>
      </c>
      <c r="Y641" s="24" t="n"/>
    </row>
    <row r="642" ht="14.25" customHeight="1" s="40">
      <c r="A642" s="24" t="n"/>
      <c r="B642" s="27" t="n"/>
      <c r="C642" s="24" t="n"/>
      <c r="D642" s="28" t="n"/>
      <c r="E642" s="29" t="n"/>
      <c r="F642" s="24" t="n"/>
      <c r="G642" s="24" t="n"/>
      <c r="H642" s="21">
        <f>IF(ISNUMBER($B642),INT($B642)-WEEKDAY($B642,2)+1,"")</f>
        <v/>
      </c>
      <c r="I642" s="24" t="n"/>
      <c r="J642" s="22">
        <f t="array" ref="J642">IF($D642="","",IF($I642="","(trống REF)",IFERROR(INDEX(MASTER_SOURCE!$B$2:$B$495,MATCH($I642,MASTER_SOURCE!$A$2:$A$495,0)),"(REF không có trong MASTER_SOURCE)")))</f>
        <v/>
      </c>
      <c r="K642" s="22">
        <f t="array" ref="K642">IF($D642="","",IFERROR(INDEX(MASTER_SOURCE!$C$2:$C$495,MATCH($I642,MASTER_SOURCE!$A$2:$A$495,0)),""))</f>
        <v/>
      </c>
      <c r="L642" s="22">
        <f t="array" ref="L642">IF($D642="","",IFERROR(INDEX(MASTER_SOURCE!$D$2:$D$495,MATCH($I642,MASTER_SOURCE!$A$2:$A$495,0)),""))</f>
        <v/>
      </c>
      <c r="M642" s="24" t="n"/>
      <c r="N642" s="24" t="n"/>
      <c r="O642" s="24" t="n"/>
      <c r="P642" s="24" t="n"/>
      <c r="Q642" s="22">
        <f>IF($D642="","",IF(AND(OR(DANH_MUC!$L$5&lt;&gt;"Có",M642="Có"),OR(DANH_MUC!$L$6&lt;&gt;"Có",N642="Có"),OR(DANH_MUC!$L$7&lt;&gt;"Có",O642="Có"),OR(DANH_MUC!$L$8&lt;&gt;"Có",P642="Có")),"Có","Không"))</f>
        <v/>
      </c>
      <c r="R642" s="22">
        <f>IF($D642="","",IF(COUNTIF($D$2:$D642,$D642)&gt;1,"Trùng",""))</f>
        <v/>
      </c>
      <c r="S642" s="22">
        <f>IF($D642="","",IF(AND(LEN($D642)=10,LEFT($D642,1)="0",ISNUMBER(--$D642)),"Có","Không"))</f>
        <v/>
      </c>
      <c r="T642" s="22">
        <f>IF($D642="","",IF(AND($C642&lt;&gt;"",$Q642="Có",$R642="",$S642="Có",AND($L642&lt;&gt;"",OR($L642&lt;&gt;"Chưa xác định",DANH_MUC!$L$9="Có"))),"Có","Không"))</f>
        <v/>
      </c>
      <c r="U642" s="22">
        <f>IF(OR($D642="",$T642="Có"),"",IF($C642="","Thiếu họ tên; ","")&amp;IF($S642&lt;&gt;"Có","SĐT sai định dạng; ","")&amp;IF($R642="Trùng","Trùng SĐT; ","")&amp;IF($Q642&lt;&gt;"Có","Thiếu đồng ý bắt buộc; ","")&amp;IF($L642="","Thiếu/sai Mã REF; ",IF(AND($L642="Chưa xác định",DANH_MUC!$L$9&lt;&gt;"Có"),"Nguồn chưa xác định; ","")))</f>
        <v/>
      </c>
      <c r="V642" s="22">
        <f>IF(OR($D642="",$R642="Trùng"),"",IF(COUNTIF(ORDERS!$C$2:$C$4995,$D642)&gt;0,"Có","Không"))</f>
        <v/>
      </c>
      <c r="W642" s="22">
        <f>IF(OR($D642="",$R642="Trùng"),"",COUNTIFS(ORDERS!$C$2:$C$4995,$D642,ORDERS!$L$2:$L$4995,"Đã chuyển khoản"))</f>
        <v/>
      </c>
      <c r="X642" s="23">
        <f>IF(OR($D642="",$R642="Trùng"),"",SUMIFS(ORDERS!$J$2:$J$4995,ORDERS!$C$2:$C$4995,$D642,ORDERS!$L$2:$L$4995,"Đã chuyển khoản"))</f>
        <v/>
      </c>
      <c r="Y642" s="24" t="n"/>
    </row>
    <row r="643" ht="14.25" customHeight="1" s="40">
      <c r="A643" s="24" t="n"/>
      <c r="B643" s="27" t="n"/>
      <c r="C643" s="24" t="n"/>
      <c r="D643" s="28" t="n"/>
      <c r="E643" s="29" t="n"/>
      <c r="F643" s="24" t="n"/>
      <c r="G643" s="24" t="n"/>
      <c r="H643" s="21">
        <f>IF(ISNUMBER($B643),INT($B643)-WEEKDAY($B643,2)+1,"")</f>
        <v/>
      </c>
      <c r="I643" s="24" t="n"/>
      <c r="J643" s="22">
        <f t="array" ref="J643">IF($D643="","",IF($I643="","(trống REF)",IFERROR(INDEX(MASTER_SOURCE!$B$2:$B$495,MATCH($I643,MASTER_SOURCE!$A$2:$A$495,0)),"(REF không có trong MASTER_SOURCE)")))</f>
        <v/>
      </c>
      <c r="K643" s="22">
        <f t="array" ref="K643">IF($D643="","",IFERROR(INDEX(MASTER_SOURCE!$C$2:$C$495,MATCH($I643,MASTER_SOURCE!$A$2:$A$495,0)),""))</f>
        <v/>
      </c>
      <c r="L643" s="22">
        <f t="array" ref="L643">IF($D643="","",IFERROR(INDEX(MASTER_SOURCE!$D$2:$D$495,MATCH($I643,MASTER_SOURCE!$A$2:$A$495,0)),""))</f>
        <v/>
      </c>
      <c r="M643" s="24" t="n"/>
      <c r="N643" s="24" t="n"/>
      <c r="O643" s="24" t="n"/>
      <c r="P643" s="24" t="n"/>
      <c r="Q643" s="22">
        <f>IF($D643="","",IF(AND(OR(DANH_MUC!$L$5&lt;&gt;"Có",M643="Có"),OR(DANH_MUC!$L$6&lt;&gt;"Có",N643="Có"),OR(DANH_MUC!$L$7&lt;&gt;"Có",O643="Có"),OR(DANH_MUC!$L$8&lt;&gt;"Có",P643="Có")),"Có","Không"))</f>
        <v/>
      </c>
      <c r="R643" s="22">
        <f>IF($D643="","",IF(COUNTIF($D$2:$D643,$D643)&gt;1,"Trùng",""))</f>
        <v/>
      </c>
      <c r="S643" s="22">
        <f>IF($D643="","",IF(AND(LEN($D643)=10,LEFT($D643,1)="0",ISNUMBER(--$D643)),"Có","Không"))</f>
        <v/>
      </c>
      <c r="T643" s="22">
        <f>IF($D643="","",IF(AND($C643&lt;&gt;"",$Q643="Có",$R643="",$S643="Có",AND($L643&lt;&gt;"",OR($L643&lt;&gt;"Chưa xác định",DANH_MUC!$L$9="Có"))),"Có","Không"))</f>
        <v/>
      </c>
      <c r="U643" s="22">
        <f>IF(OR($D643="",$T643="Có"),"",IF($C643="","Thiếu họ tên; ","")&amp;IF($S643&lt;&gt;"Có","SĐT sai định dạng; ","")&amp;IF($R643="Trùng","Trùng SĐT; ","")&amp;IF($Q643&lt;&gt;"Có","Thiếu đồng ý bắt buộc; ","")&amp;IF($L643="","Thiếu/sai Mã REF; ",IF(AND($L643="Chưa xác định",DANH_MUC!$L$9&lt;&gt;"Có"),"Nguồn chưa xác định; ","")))</f>
        <v/>
      </c>
      <c r="V643" s="22">
        <f>IF(OR($D643="",$R643="Trùng"),"",IF(COUNTIF(ORDERS!$C$2:$C$4995,$D643)&gt;0,"Có","Không"))</f>
        <v/>
      </c>
      <c r="W643" s="22">
        <f>IF(OR($D643="",$R643="Trùng"),"",COUNTIFS(ORDERS!$C$2:$C$4995,$D643,ORDERS!$L$2:$L$4995,"Đã chuyển khoản"))</f>
        <v/>
      </c>
      <c r="X643" s="23">
        <f>IF(OR($D643="",$R643="Trùng"),"",SUMIFS(ORDERS!$J$2:$J$4995,ORDERS!$C$2:$C$4995,$D643,ORDERS!$L$2:$L$4995,"Đã chuyển khoản"))</f>
        <v/>
      </c>
      <c r="Y643" s="24" t="n"/>
    </row>
    <row r="644" ht="14.25" customHeight="1" s="40">
      <c r="A644" s="24" t="n"/>
      <c r="B644" s="27" t="n"/>
      <c r="C644" s="24" t="n"/>
      <c r="D644" s="28" t="n"/>
      <c r="E644" s="29" t="n"/>
      <c r="F644" s="24" t="n"/>
      <c r="G644" s="24" t="n"/>
      <c r="H644" s="21">
        <f>IF(ISNUMBER($B644),INT($B644)-WEEKDAY($B644,2)+1,"")</f>
        <v/>
      </c>
      <c r="I644" s="24" t="n"/>
      <c r="J644" s="22">
        <f t="array" ref="J644">IF($D644="","",IF($I644="","(trống REF)",IFERROR(INDEX(MASTER_SOURCE!$B$2:$B$495,MATCH($I644,MASTER_SOURCE!$A$2:$A$495,0)),"(REF không có trong MASTER_SOURCE)")))</f>
        <v/>
      </c>
      <c r="K644" s="22">
        <f t="array" ref="K644">IF($D644="","",IFERROR(INDEX(MASTER_SOURCE!$C$2:$C$495,MATCH($I644,MASTER_SOURCE!$A$2:$A$495,0)),""))</f>
        <v/>
      </c>
      <c r="L644" s="22">
        <f t="array" ref="L644">IF($D644="","",IFERROR(INDEX(MASTER_SOURCE!$D$2:$D$495,MATCH($I644,MASTER_SOURCE!$A$2:$A$495,0)),""))</f>
        <v/>
      </c>
      <c r="M644" s="24" t="n"/>
      <c r="N644" s="24" t="n"/>
      <c r="O644" s="24" t="n"/>
      <c r="P644" s="24" t="n"/>
      <c r="Q644" s="22">
        <f>IF($D644="","",IF(AND(OR(DANH_MUC!$L$5&lt;&gt;"Có",M644="Có"),OR(DANH_MUC!$L$6&lt;&gt;"Có",N644="Có"),OR(DANH_MUC!$L$7&lt;&gt;"Có",O644="Có"),OR(DANH_MUC!$L$8&lt;&gt;"Có",P644="Có")),"Có","Không"))</f>
        <v/>
      </c>
      <c r="R644" s="22">
        <f>IF($D644="","",IF(COUNTIF($D$2:$D644,$D644)&gt;1,"Trùng",""))</f>
        <v/>
      </c>
      <c r="S644" s="22">
        <f>IF($D644="","",IF(AND(LEN($D644)=10,LEFT($D644,1)="0",ISNUMBER(--$D644)),"Có","Không"))</f>
        <v/>
      </c>
      <c r="T644" s="22">
        <f>IF($D644="","",IF(AND($C644&lt;&gt;"",$Q644="Có",$R644="",$S644="Có",AND($L644&lt;&gt;"",OR($L644&lt;&gt;"Chưa xác định",DANH_MUC!$L$9="Có"))),"Có","Không"))</f>
        <v/>
      </c>
      <c r="U644" s="22">
        <f>IF(OR($D644="",$T644="Có"),"",IF($C644="","Thiếu họ tên; ","")&amp;IF($S644&lt;&gt;"Có","SĐT sai định dạng; ","")&amp;IF($R644="Trùng","Trùng SĐT; ","")&amp;IF($Q644&lt;&gt;"Có","Thiếu đồng ý bắt buộc; ","")&amp;IF($L644="","Thiếu/sai Mã REF; ",IF(AND($L644="Chưa xác định",DANH_MUC!$L$9&lt;&gt;"Có"),"Nguồn chưa xác định; ","")))</f>
        <v/>
      </c>
      <c r="V644" s="22">
        <f>IF(OR($D644="",$R644="Trùng"),"",IF(COUNTIF(ORDERS!$C$2:$C$4995,$D644)&gt;0,"Có","Không"))</f>
        <v/>
      </c>
      <c r="W644" s="22">
        <f>IF(OR($D644="",$R644="Trùng"),"",COUNTIFS(ORDERS!$C$2:$C$4995,$D644,ORDERS!$L$2:$L$4995,"Đã chuyển khoản"))</f>
        <v/>
      </c>
      <c r="X644" s="23">
        <f>IF(OR($D644="",$R644="Trùng"),"",SUMIFS(ORDERS!$J$2:$J$4995,ORDERS!$C$2:$C$4995,$D644,ORDERS!$L$2:$L$4995,"Đã chuyển khoản"))</f>
        <v/>
      </c>
      <c r="Y644" s="24" t="n"/>
    </row>
    <row r="645" ht="14.25" customHeight="1" s="40">
      <c r="A645" s="24" t="n"/>
      <c r="B645" s="27" t="n"/>
      <c r="C645" s="24" t="n"/>
      <c r="D645" s="28" t="n"/>
      <c r="E645" s="29" t="n"/>
      <c r="F645" s="24" t="n"/>
      <c r="G645" s="24" t="n"/>
      <c r="H645" s="21">
        <f>IF(ISNUMBER($B645),INT($B645)-WEEKDAY($B645,2)+1,"")</f>
        <v/>
      </c>
      <c r="I645" s="24" t="n"/>
      <c r="J645" s="22">
        <f t="array" ref="J645">IF($D645="","",IF($I645="","(trống REF)",IFERROR(INDEX(MASTER_SOURCE!$B$2:$B$495,MATCH($I645,MASTER_SOURCE!$A$2:$A$495,0)),"(REF không có trong MASTER_SOURCE)")))</f>
        <v/>
      </c>
      <c r="K645" s="22">
        <f t="array" ref="K645">IF($D645="","",IFERROR(INDEX(MASTER_SOURCE!$C$2:$C$495,MATCH($I645,MASTER_SOURCE!$A$2:$A$495,0)),""))</f>
        <v/>
      </c>
      <c r="L645" s="22">
        <f t="array" ref="L645">IF($D645="","",IFERROR(INDEX(MASTER_SOURCE!$D$2:$D$495,MATCH($I645,MASTER_SOURCE!$A$2:$A$495,0)),""))</f>
        <v/>
      </c>
      <c r="M645" s="24" t="n"/>
      <c r="N645" s="24" t="n"/>
      <c r="O645" s="24" t="n"/>
      <c r="P645" s="24" t="n"/>
      <c r="Q645" s="22">
        <f>IF($D645="","",IF(AND(OR(DANH_MUC!$L$5&lt;&gt;"Có",M645="Có"),OR(DANH_MUC!$L$6&lt;&gt;"Có",N645="Có"),OR(DANH_MUC!$L$7&lt;&gt;"Có",O645="Có"),OR(DANH_MUC!$L$8&lt;&gt;"Có",P645="Có")),"Có","Không"))</f>
        <v/>
      </c>
      <c r="R645" s="22">
        <f>IF($D645="","",IF(COUNTIF($D$2:$D645,$D645)&gt;1,"Trùng",""))</f>
        <v/>
      </c>
      <c r="S645" s="22">
        <f>IF($D645="","",IF(AND(LEN($D645)=10,LEFT($D645,1)="0",ISNUMBER(--$D645)),"Có","Không"))</f>
        <v/>
      </c>
      <c r="T645" s="22">
        <f>IF($D645="","",IF(AND($C645&lt;&gt;"",$Q645="Có",$R645="",$S645="Có",AND($L645&lt;&gt;"",OR($L645&lt;&gt;"Chưa xác định",DANH_MUC!$L$9="Có"))),"Có","Không"))</f>
        <v/>
      </c>
      <c r="U645" s="22">
        <f>IF(OR($D645="",$T645="Có"),"",IF($C645="","Thiếu họ tên; ","")&amp;IF($S645&lt;&gt;"Có","SĐT sai định dạng; ","")&amp;IF($R645="Trùng","Trùng SĐT; ","")&amp;IF($Q645&lt;&gt;"Có","Thiếu đồng ý bắt buộc; ","")&amp;IF($L645="","Thiếu/sai Mã REF; ",IF(AND($L645="Chưa xác định",DANH_MUC!$L$9&lt;&gt;"Có"),"Nguồn chưa xác định; ","")))</f>
        <v/>
      </c>
      <c r="V645" s="22">
        <f>IF(OR($D645="",$R645="Trùng"),"",IF(COUNTIF(ORDERS!$C$2:$C$4995,$D645)&gt;0,"Có","Không"))</f>
        <v/>
      </c>
      <c r="W645" s="22">
        <f>IF(OR($D645="",$R645="Trùng"),"",COUNTIFS(ORDERS!$C$2:$C$4995,$D645,ORDERS!$L$2:$L$4995,"Đã chuyển khoản"))</f>
        <v/>
      </c>
      <c r="X645" s="23">
        <f>IF(OR($D645="",$R645="Trùng"),"",SUMIFS(ORDERS!$J$2:$J$4995,ORDERS!$C$2:$C$4995,$D645,ORDERS!$L$2:$L$4995,"Đã chuyển khoản"))</f>
        <v/>
      </c>
      <c r="Y645" s="24" t="n"/>
    </row>
    <row r="646" ht="14.25" customHeight="1" s="40">
      <c r="A646" s="24" t="n"/>
      <c r="B646" s="27" t="n"/>
      <c r="C646" s="24" t="n"/>
      <c r="D646" s="28" t="n"/>
      <c r="E646" s="29" t="n"/>
      <c r="F646" s="24" t="n"/>
      <c r="G646" s="24" t="n"/>
      <c r="H646" s="21">
        <f>IF(ISNUMBER($B646),INT($B646)-WEEKDAY($B646,2)+1,"")</f>
        <v/>
      </c>
      <c r="I646" s="24" t="n"/>
      <c r="J646" s="22">
        <f t="array" ref="J646">IF($D646="","",IF($I646="","(trống REF)",IFERROR(INDEX(MASTER_SOURCE!$B$2:$B$495,MATCH($I646,MASTER_SOURCE!$A$2:$A$495,0)),"(REF không có trong MASTER_SOURCE)")))</f>
        <v/>
      </c>
      <c r="K646" s="22">
        <f t="array" ref="K646">IF($D646="","",IFERROR(INDEX(MASTER_SOURCE!$C$2:$C$495,MATCH($I646,MASTER_SOURCE!$A$2:$A$495,0)),""))</f>
        <v/>
      </c>
      <c r="L646" s="22">
        <f t="array" ref="L646">IF($D646="","",IFERROR(INDEX(MASTER_SOURCE!$D$2:$D$495,MATCH($I646,MASTER_SOURCE!$A$2:$A$495,0)),""))</f>
        <v/>
      </c>
      <c r="M646" s="24" t="n"/>
      <c r="N646" s="24" t="n"/>
      <c r="O646" s="24" t="n"/>
      <c r="P646" s="24" t="n"/>
      <c r="Q646" s="22">
        <f>IF($D646="","",IF(AND(OR(DANH_MUC!$L$5&lt;&gt;"Có",M646="Có"),OR(DANH_MUC!$L$6&lt;&gt;"Có",N646="Có"),OR(DANH_MUC!$L$7&lt;&gt;"Có",O646="Có"),OR(DANH_MUC!$L$8&lt;&gt;"Có",P646="Có")),"Có","Không"))</f>
        <v/>
      </c>
      <c r="R646" s="22">
        <f>IF($D646="","",IF(COUNTIF($D$2:$D646,$D646)&gt;1,"Trùng",""))</f>
        <v/>
      </c>
      <c r="S646" s="22">
        <f>IF($D646="","",IF(AND(LEN($D646)=10,LEFT($D646,1)="0",ISNUMBER(--$D646)),"Có","Không"))</f>
        <v/>
      </c>
      <c r="T646" s="22">
        <f>IF($D646="","",IF(AND($C646&lt;&gt;"",$Q646="Có",$R646="",$S646="Có",AND($L646&lt;&gt;"",OR($L646&lt;&gt;"Chưa xác định",DANH_MUC!$L$9="Có"))),"Có","Không"))</f>
        <v/>
      </c>
      <c r="U646" s="22">
        <f>IF(OR($D646="",$T646="Có"),"",IF($C646="","Thiếu họ tên; ","")&amp;IF($S646&lt;&gt;"Có","SĐT sai định dạng; ","")&amp;IF($R646="Trùng","Trùng SĐT; ","")&amp;IF($Q646&lt;&gt;"Có","Thiếu đồng ý bắt buộc; ","")&amp;IF($L646="","Thiếu/sai Mã REF; ",IF(AND($L646="Chưa xác định",DANH_MUC!$L$9&lt;&gt;"Có"),"Nguồn chưa xác định; ","")))</f>
        <v/>
      </c>
      <c r="V646" s="22">
        <f>IF(OR($D646="",$R646="Trùng"),"",IF(COUNTIF(ORDERS!$C$2:$C$4995,$D646)&gt;0,"Có","Không"))</f>
        <v/>
      </c>
      <c r="W646" s="22">
        <f>IF(OR($D646="",$R646="Trùng"),"",COUNTIFS(ORDERS!$C$2:$C$4995,$D646,ORDERS!$L$2:$L$4995,"Đã chuyển khoản"))</f>
        <v/>
      </c>
      <c r="X646" s="23">
        <f>IF(OR($D646="",$R646="Trùng"),"",SUMIFS(ORDERS!$J$2:$J$4995,ORDERS!$C$2:$C$4995,$D646,ORDERS!$L$2:$L$4995,"Đã chuyển khoản"))</f>
        <v/>
      </c>
      <c r="Y646" s="24" t="n"/>
    </row>
    <row r="647" ht="14.25" customHeight="1" s="40">
      <c r="A647" s="24" t="n"/>
      <c r="B647" s="27" t="n"/>
      <c r="C647" s="24" t="n"/>
      <c r="D647" s="28" t="n"/>
      <c r="E647" s="29" t="n"/>
      <c r="F647" s="24" t="n"/>
      <c r="G647" s="24" t="n"/>
      <c r="H647" s="21">
        <f>IF(ISNUMBER($B647),INT($B647)-WEEKDAY($B647,2)+1,"")</f>
        <v/>
      </c>
      <c r="I647" s="24" t="n"/>
      <c r="J647" s="22">
        <f t="array" ref="J647">IF($D647="","",IF($I647="","(trống REF)",IFERROR(INDEX(MASTER_SOURCE!$B$2:$B$495,MATCH($I647,MASTER_SOURCE!$A$2:$A$495,0)),"(REF không có trong MASTER_SOURCE)")))</f>
        <v/>
      </c>
      <c r="K647" s="22">
        <f t="array" ref="K647">IF($D647="","",IFERROR(INDEX(MASTER_SOURCE!$C$2:$C$495,MATCH($I647,MASTER_SOURCE!$A$2:$A$495,0)),""))</f>
        <v/>
      </c>
      <c r="L647" s="22">
        <f t="array" ref="L647">IF($D647="","",IFERROR(INDEX(MASTER_SOURCE!$D$2:$D$495,MATCH($I647,MASTER_SOURCE!$A$2:$A$495,0)),""))</f>
        <v/>
      </c>
      <c r="M647" s="24" t="n"/>
      <c r="N647" s="24" t="n"/>
      <c r="O647" s="24" t="n"/>
      <c r="P647" s="24" t="n"/>
      <c r="Q647" s="22">
        <f>IF($D647="","",IF(AND(OR(DANH_MUC!$L$5&lt;&gt;"Có",M647="Có"),OR(DANH_MUC!$L$6&lt;&gt;"Có",N647="Có"),OR(DANH_MUC!$L$7&lt;&gt;"Có",O647="Có"),OR(DANH_MUC!$L$8&lt;&gt;"Có",P647="Có")),"Có","Không"))</f>
        <v/>
      </c>
      <c r="R647" s="22">
        <f>IF($D647="","",IF(COUNTIF($D$2:$D647,$D647)&gt;1,"Trùng",""))</f>
        <v/>
      </c>
      <c r="S647" s="22">
        <f>IF($D647="","",IF(AND(LEN($D647)=10,LEFT($D647,1)="0",ISNUMBER(--$D647)),"Có","Không"))</f>
        <v/>
      </c>
      <c r="T647" s="22">
        <f>IF($D647="","",IF(AND($C647&lt;&gt;"",$Q647="Có",$R647="",$S647="Có",AND($L647&lt;&gt;"",OR($L647&lt;&gt;"Chưa xác định",DANH_MUC!$L$9="Có"))),"Có","Không"))</f>
        <v/>
      </c>
      <c r="U647" s="22">
        <f>IF(OR($D647="",$T647="Có"),"",IF($C647="","Thiếu họ tên; ","")&amp;IF($S647&lt;&gt;"Có","SĐT sai định dạng; ","")&amp;IF($R647="Trùng","Trùng SĐT; ","")&amp;IF($Q647&lt;&gt;"Có","Thiếu đồng ý bắt buộc; ","")&amp;IF($L647="","Thiếu/sai Mã REF; ",IF(AND($L647="Chưa xác định",DANH_MUC!$L$9&lt;&gt;"Có"),"Nguồn chưa xác định; ","")))</f>
        <v/>
      </c>
      <c r="V647" s="22">
        <f>IF(OR($D647="",$R647="Trùng"),"",IF(COUNTIF(ORDERS!$C$2:$C$4995,$D647)&gt;0,"Có","Không"))</f>
        <v/>
      </c>
      <c r="W647" s="22">
        <f>IF(OR($D647="",$R647="Trùng"),"",COUNTIFS(ORDERS!$C$2:$C$4995,$D647,ORDERS!$L$2:$L$4995,"Đã chuyển khoản"))</f>
        <v/>
      </c>
      <c r="X647" s="23">
        <f>IF(OR($D647="",$R647="Trùng"),"",SUMIFS(ORDERS!$J$2:$J$4995,ORDERS!$C$2:$C$4995,$D647,ORDERS!$L$2:$L$4995,"Đã chuyển khoản"))</f>
        <v/>
      </c>
      <c r="Y647" s="24" t="n"/>
    </row>
    <row r="648" ht="14.25" customHeight="1" s="40">
      <c r="A648" s="24" t="n"/>
      <c r="B648" s="27" t="n"/>
      <c r="C648" s="24" t="n"/>
      <c r="D648" s="28" t="n"/>
      <c r="E648" s="29" t="n"/>
      <c r="F648" s="24" t="n"/>
      <c r="G648" s="24" t="n"/>
      <c r="H648" s="21">
        <f>IF(ISNUMBER($B648),INT($B648)-WEEKDAY($B648,2)+1,"")</f>
        <v/>
      </c>
      <c r="I648" s="24" t="n"/>
      <c r="J648" s="22">
        <f t="array" ref="J648">IF($D648="","",IF($I648="","(trống REF)",IFERROR(INDEX(MASTER_SOURCE!$B$2:$B$495,MATCH($I648,MASTER_SOURCE!$A$2:$A$495,0)),"(REF không có trong MASTER_SOURCE)")))</f>
        <v/>
      </c>
      <c r="K648" s="22">
        <f t="array" ref="K648">IF($D648="","",IFERROR(INDEX(MASTER_SOURCE!$C$2:$C$495,MATCH($I648,MASTER_SOURCE!$A$2:$A$495,0)),""))</f>
        <v/>
      </c>
      <c r="L648" s="22">
        <f t="array" ref="L648">IF($D648="","",IFERROR(INDEX(MASTER_SOURCE!$D$2:$D$495,MATCH($I648,MASTER_SOURCE!$A$2:$A$495,0)),""))</f>
        <v/>
      </c>
      <c r="M648" s="24" t="n"/>
      <c r="N648" s="24" t="n"/>
      <c r="O648" s="24" t="n"/>
      <c r="P648" s="24" t="n"/>
      <c r="Q648" s="22">
        <f>IF($D648="","",IF(AND(OR(DANH_MUC!$L$5&lt;&gt;"Có",M648="Có"),OR(DANH_MUC!$L$6&lt;&gt;"Có",N648="Có"),OR(DANH_MUC!$L$7&lt;&gt;"Có",O648="Có"),OR(DANH_MUC!$L$8&lt;&gt;"Có",P648="Có")),"Có","Không"))</f>
        <v/>
      </c>
      <c r="R648" s="22">
        <f>IF($D648="","",IF(COUNTIF($D$2:$D648,$D648)&gt;1,"Trùng",""))</f>
        <v/>
      </c>
      <c r="S648" s="22">
        <f>IF($D648="","",IF(AND(LEN($D648)=10,LEFT($D648,1)="0",ISNUMBER(--$D648)),"Có","Không"))</f>
        <v/>
      </c>
      <c r="T648" s="22">
        <f>IF($D648="","",IF(AND($C648&lt;&gt;"",$Q648="Có",$R648="",$S648="Có",AND($L648&lt;&gt;"",OR($L648&lt;&gt;"Chưa xác định",DANH_MUC!$L$9="Có"))),"Có","Không"))</f>
        <v/>
      </c>
      <c r="U648" s="22">
        <f>IF(OR($D648="",$T648="Có"),"",IF($C648="","Thiếu họ tên; ","")&amp;IF($S648&lt;&gt;"Có","SĐT sai định dạng; ","")&amp;IF($R648="Trùng","Trùng SĐT; ","")&amp;IF($Q648&lt;&gt;"Có","Thiếu đồng ý bắt buộc; ","")&amp;IF($L648="","Thiếu/sai Mã REF; ",IF(AND($L648="Chưa xác định",DANH_MUC!$L$9&lt;&gt;"Có"),"Nguồn chưa xác định; ","")))</f>
        <v/>
      </c>
      <c r="V648" s="22">
        <f>IF(OR($D648="",$R648="Trùng"),"",IF(COUNTIF(ORDERS!$C$2:$C$4995,$D648)&gt;0,"Có","Không"))</f>
        <v/>
      </c>
      <c r="W648" s="22">
        <f>IF(OR($D648="",$R648="Trùng"),"",COUNTIFS(ORDERS!$C$2:$C$4995,$D648,ORDERS!$L$2:$L$4995,"Đã chuyển khoản"))</f>
        <v/>
      </c>
      <c r="X648" s="23">
        <f>IF(OR($D648="",$R648="Trùng"),"",SUMIFS(ORDERS!$J$2:$J$4995,ORDERS!$C$2:$C$4995,$D648,ORDERS!$L$2:$L$4995,"Đã chuyển khoản"))</f>
        <v/>
      </c>
      <c r="Y648" s="24" t="n"/>
    </row>
    <row r="649" ht="14.25" customHeight="1" s="40">
      <c r="A649" s="24" t="n"/>
      <c r="B649" s="27" t="n"/>
      <c r="C649" s="24" t="n"/>
      <c r="D649" s="28" t="n"/>
      <c r="E649" s="29" t="n"/>
      <c r="F649" s="24" t="n"/>
      <c r="G649" s="24" t="n"/>
      <c r="H649" s="21">
        <f>IF(ISNUMBER($B649),INT($B649)-WEEKDAY($B649,2)+1,"")</f>
        <v/>
      </c>
      <c r="I649" s="24" t="n"/>
      <c r="J649" s="22">
        <f t="array" ref="J649">IF($D649="","",IF($I649="","(trống REF)",IFERROR(INDEX(MASTER_SOURCE!$B$2:$B$495,MATCH($I649,MASTER_SOURCE!$A$2:$A$495,0)),"(REF không có trong MASTER_SOURCE)")))</f>
        <v/>
      </c>
      <c r="K649" s="22">
        <f t="array" ref="K649">IF($D649="","",IFERROR(INDEX(MASTER_SOURCE!$C$2:$C$495,MATCH($I649,MASTER_SOURCE!$A$2:$A$495,0)),""))</f>
        <v/>
      </c>
      <c r="L649" s="22">
        <f t="array" ref="L649">IF($D649="","",IFERROR(INDEX(MASTER_SOURCE!$D$2:$D$495,MATCH($I649,MASTER_SOURCE!$A$2:$A$495,0)),""))</f>
        <v/>
      </c>
      <c r="M649" s="24" t="n"/>
      <c r="N649" s="24" t="n"/>
      <c r="O649" s="24" t="n"/>
      <c r="P649" s="24" t="n"/>
      <c r="Q649" s="22">
        <f>IF($D649="","",IF(AND(OR(DANH_MUC!$L$5&lt;&gt;"Có",M649="Có"),OR(DANH_MUC!$L$6&lt;&gt;"Có",N649="Có"),OR(DANH_MUC!$L$7&lt;&gt;"Có",O649="Có"),OR(DANH_MUC!$L$8&lt;&gt;"Có",P649="Có")),"Có","Không"))</f>
        <v/>
      </c>
      <c r="R649" s="22">
        <f>IF($D649="","",IF(COUNTIF($D$2:$D649,$D649)&gt;1,"Trùng",""))</f>
        <v/>
      </c>
      <c r="S649" s="22">
        <f>IF($D649="","",IF(AND(LEN($D649)=10,LEFT($D649,1)="0",ISNUMBER(--$D649)),"Có","Không"))</f>
        <v/>
      </c>
      <c r="T649" s="22">
        <f>IF($D649="","",IF(AND($C649&lt;&gt;"",$Q649="Có",$R649="",$S649="Có",AND($L649&lt;&gt;"",OR($L649&lt;&gt;"Chưa xác định",DANH_MUC!$L$9="Có"))),"Có","Không"))</f>
        <v/>
      </c>
      <c r="U649" s="22">
        <f>IF(OR($D649="",$T649="Có"),"",IF($C649="","Thiếu họ tên; ","")&amp;IF($S649&lt;&gt;"Có","SĐT sai định dạng; ","")&amp;IF($R649="Trùng","Trùng SĐT; ","")&amp;IF($Q649&lt;&gt;"Có","Thiếu đồng ý bắt buộc; ","")&amp;IF($L649="","Thiếu/sai Mã REF; ",IF(AND($L649="Chưa xác định",DANH_MUC!$L$9&lt;&gt;"Có"),"Nguồn chưa xác định; ","")))</f>
        <v/>
      </c>
      <c r="V649" s="22">
        <f>IF(OR($D649="",$R649="Trùng"),"",IF(COUNTIF(ORDERS!$C$2:$C$4995,$D649)&gt;0,"Có","Không"))</f>
        <v/>
      </c>
      <c r="W649" s="22">
        <f>IF(OR($D649="",$R649="Trùng"),"",COUNTIFS(ORDERS!$C$2:$C$4995,$D649,ORDERS!$L$2:$L$4995,"Đã chuyển khoản"))</f>
        <v/>
      </c>
      <c r="X649" s="23">
        <f>IF(OR($D649="",$R649="Trùng"),"",SUMIFS(ORDERS!$J$2:$J$4995,ORDERS!$C$2:$C$4995,$D649,ORDERS!$L$2:$L$4995,"Đã chuyển khoản"))</f>
        <v/>
      </c>
      <c r="Y649" s="24" t="n"/>
    </row>
    <row r="650" ht="14.25" customHeight="1" s="40">
      <c r="A650" s="24" t="n"/>
      <c r="B650" s="27" t="n"/>
      <c r="C650" s="24" t="n"/>
      <c r="D650" s="28" t="n"/>
      <c r="E650" s="29" t="n"/>
      <c r="F650" s="24" t="n"/>
      <c r="G650" s="24" t="n"/>
      <c r="H650" s="21">
        <f>IF(ISNUMBER($B650),INT($B650)-WEEKDAY($B650,2)+1,"")</f>
        <v/>
      </c>
      <c r="I650" s="24" t="n"/>
      <c r="J650" s="22">
        <f t="array" ref="J650">IF($D650="","",IF($I650="","(trống REF)",IFERROR(INDEX(MASTER_SOURCE!$B$2:$B$495,MATCH($I650,MASTER_SOURCE!$A$2:$A$495,0)),"(REF không có trong MASTER_SOURCE)")))</f>
        <v/>
      </c>
      <c r="K650" s="22">
        <f t="array" ref="K650">IF($D650="","",IFERROR(INDEX(MASTER_SOURCE!$C$2:$C$495,MATCH($I650,MASTER_SOURCE!$A$2:$A$495,0)),""))</f>
        <v/>
      </c>
      <c r="L650" s="22">
        <f t="array" ref="L650">IF($D650="","",IFERROR(INDEX(MASTER_SOURCE!$D$2:$D$495,MATCH($I650,MASTER_SOURCE!$A$2:$A$495,0)),""))</f>
        <v/>
      </c>
      <c r="M650" s="24" t="n"/>
      <c r="N650" s="24" t="n"/>
      <c r="O650" s="24" t="n"/>
      <c r="P650" s="24" t="n"/>
      <c r="Q650" s="22">
        <f>IF($D650="","",IF(AND(OR(DANH_MUC!$L$5&lt;&gt;"Có",M650="Có"),OR(DANH_MUC!$L$6&lt;&gt;"Có",N650="Có"),OR(DANH_MUC!$L$7&lt;&gt;"Có",O650="Có"),OR(DANH_MUC!$L$8&lt;&gt;"Có",P650="Có")),"Có","Không"))</f>
        <v/>
      </c>
      <c r="R650" s="22">
        <f>IF($D650="","",IF(COUNTIF($D$2:$D650,$D650)&gt;1,"Trùng",""))</f>
        <v/>
      </c>
      <c r="S650" s="22">
        <f>IF($D650="","",IF(AND(LEN($D650)=10,LEFT($D650,1)="0",ISNUMBER(--$D650)),"Có","Không"))</f>
        <v/>
      </c>
      <c r="T650" s="22">
        <f>IF($D650="","",IF(AND($C650&lt;&gt;"",$Q650="Có",$R650="",$S650="Có",AND($L650&lt;&gt;"",OR($L650&lt;&gt;"Chưa xác định",DANH_MUC!$L$9="Có"))),"Có","Không"))</f>
        <v/>
      </c>
      <c r="U650" s="22">
        <f>IF(OR($D650="",$T650="Có"),"",IF($C650="","Thiếu họ tên; ","")&amp;IF($S650&lt;&gt;"Có","SĐT sai định dạng; ","")&amp;IF($R650="Trùng","Trùng SĐT; ","")&amp;IF($Q650&lt;&gt;"Có","Thiếu đồng ý bắt buộc; ","")&amp;IF($L650="","Thiếu/sai Mã REF; ",IF(AND($L650="Chưa xác định",DANH_MUC!$L$9&lt;&gt;"Có"),"Nguồn chưa xác định; ","")))</f>
        <v/>
      </c>
      <c r="V650" s="22">
        <f>IF(OR($D650="",$R650="Trùng"),"",IF(COUNTIF(ORDERS!$C$2:$C$4995,$D650)&gt;0,"Có","Không"))</f>
        <v/>
      </c>
      <c r="W650" s="22">
        <f>IF(OR($D650="",$R650="Trùng"),"",COUNTIFS(ORDERS!$C$2:$C$4995,$D650,ORDERS!$L$2:$L$4995,"Đã chuyển khoản"))</f>
        <v/>
      </c>
      <c r="X650" s="23">
        <f>IF(OR($D650="",$R650="Trùng"),"",SUMIFS(ORDERS!$J$2:$J$4995,ORDERS!$C$2:$C$4995,$D650,ORDERS!$L$2:$L$4995,"Đã chuyển khoản"))</f>
        <v/>
      </c>
      <c r="Y650" s="24" t="n"/>
    </row>
    <row r="651" ht="14.25" customHeight="1" s="40">
      <c r="A651" s="24" t="n"/>
      <c r="B651" s="27" t="n"/>
      <c r="C651" s="24" t="n"/>
      <c r="D651" s="28" t="n"/>
      <c r="E651" s="29" t="n"/>
      <c r="F651" s="24" t="n"/>
      <c r="G651" s="24" t="n"/>
      <c r="H651" s="21">
        <f>IF(ISNUMBER($B651),INT($B651)-WEEKDAY($B651,2)+1,"")</f>
        <v/>
      </c>
      <c r="I651" s="24" t="n"/>
      <c r="J651" s="22">
        <f t="array" ref="J651">IF($D651="","",IF($I651="","(trống REF)",IFERROR(INDEX(MASTER_SOURCE!$B$2:$B$495,MATCH($I651,MASTER_SOURCE!$A$2:$A$495,0)),"(REF không có trong MASTER_SOURCE)")))</f>
        <v/>
      </c>
      <c r="K651" s="22">
        <f t="array" ref="K651">IF($D651="","",IFERROR(INDEX(MASTER_SOURCE!$C$2:$C$495,MATCH($I651,MASTER_SOURCE!$A$2:$A$495,0)),""))</f>
        <v/>
      </c>
      <c r="L651" s="22">
        <f t="array" ref="L651">IF($D651="","",IFERROR(INDEX(MASTER_SOURCE!$D$2:$D$495,MATCH($I651,MASTER_SOURCE!$A$2:$A$495,0)),""))</f>
        <v/>
      </c>
      <c r="M651" s="24" t="n"/>
      <c r="N651" s="24" t="n"/>
      <c r="O651" s="24" t="n"/>
      <c r="P651" s="24" t="n"/>
      <c r="Q651" s="22">
        <f>IF($D651="","",IF(AND(OR(DANH_MUC!$L$5&lt;&gt;"Có",M651="Có"),OR(DANH_MUC!$L$6&lt;&gt;"Có",N651="Có"),OR(DANH_MUC!$L$7&lt;&gt;"Có",O651="Có"),OR(DANH_MUC!$L$8&lt;&gt;"Có",P651="Có")),"Có","Không"))</f>
        <v/>
      </c>
      <c r="R651" s="22">
        <f>IF($D651="","",IF(COUNTIF($D$2:$D651,$D651)&gt;1,"Trùng",""))</f>
        <v/>
      </c>
      <c r="S651" s="22">
        <f>IF($D651="","",IF(AND(LEN($D651)=10,LEFT($D651,1)="0",ISNUMBER(--$D651)),"Có","Không"))</f>
        <v/>
      </c>
      <c r="T651" s="22">
        <f>IF($D651="","",IF(AND($C651&lt;&gt;"",$Q651="Có",$R651="",$S651="Có",AND($L651&lt;&gt;"",OR($L651&lt;&gt;"Chưa xác định",DANH_MUC!$L$9="Có"))),"Có","Không"))</f>
        <v/>
      </c>
      <c r="U651" s="22">
        <f>IF(OR($D651="",$T651="Có"),"",IF($C651="","Thiếu họ tên; ","")&amp;IF($S651&lt;&gt;"Có","SĐT sai định dạng; ","")&amp;IF($R651="Trùng","Trùng SĐT; ","")&amp;IF($Q651&lt;&gt;"Có","Thiếu đồng ý bắt buộc; ","")&amp;IF($L651="","Thiếu/sai Mã REF; ",IF(AND($L651="Chưa xác định",DANH_MUC!$L$9&lt;&gt;"Có"),"Nguồn chưa xác định; ","")))</f>
        <v/>
      </c>
      <c r="V651" s="22">
        <f>IF(OR($D651="",$R651="Trùng"),"",IF(COUNTIF(ORDERS!$C$2:$C$4995,$D651)&gt;0,"Có","Không"))</f>
        <v/>
      </c>
      <c r="W651" s="22">
        <f>IF(OR($D651="",$R651="Trùng"),"",COUNTIFS(ORDERS!$C$2:$C$4995,$D651,ORDERS!$L$2:$L$4995,"Đã chuyển khoản"))</f>
        <v/>
      </c>
      <c r="X651" s="23">
        <f>IF(OR($D651="",$R651="Trùng"),"",SUMIFS(ORDERS!$J$2:$J$4995,ORDERS!$C$2:$C$4995,$D651,ORDERS!$L$2:$L$4995,"Đã chuyển khoản"))</f>
        <v/>
      </c>
      <c r="Y651" s="24" t="n"/>
    </row>
    <row r="652" ht="14.25" customHeight="1" s="40">
      <c r="A652" s="24" t="n"/>
      <c r="B652" s="27" t="n"/>
      <c r="C652" s="24" t="n"/>
      <c r="D652" s="28" t="n"/>
      <c r="E652" s="29" t="n"/>
      <c r="F652" s="24" t="n"/>
      <c r="G652" s="24" t="n"/>
      <c r="H652" s="21">
        <f>IF(ISNUMBER($B652),INT($B652)-WEEKDAY($B652,2)+1,"")</f>
        <v/>
      </c>
      <c r="I652" s="24" t="n"/>
      <c r="J652" s="22">
        <f t="array" ref="J652">IF($D652="","",IF($I652="","(trống REF)",IFERROR(INDEX(MASTER_SOURCE!$B$2:$B$495,MATCH($I652,MASTER_SOURCE!$A$2:$A$495,0)),"(REF không có trong MASTER_SOURCE)")))</f>
        <v/>
      </c>
      <c r="K652" s="22">
        <f t="array" ref="K652">IF($D652="","",IFERROR(INDEX(MASTER_SOURCE!$C$2:$C$495,MATCH($I652,MASTER_SOURCE!$A$2:$A$495,0)),""))</f>
        <v/>
      </c>
      <c r="L652" s="22">
        <f t="array" ref="L652">IF($D652="","",IFERROR(INDEX(MASTER_SOURCE!$D$2:$D$495,MATCH($I652,MASTER_SOURCE!$A$2:$A$495,0)),""))</f>
        <v/>
      </c>
      <c r="M652" s="24" t="n"/>
      <c r="N652" s="24" t="n"/>
      <c r="O652" s="24" t="n"/>
      <c r="P652" s="24" t="n"/>
      <c r="Q652" s="22">
        <f>IF($D652="","",IF(AND(OR(DANH_MUC!$L$5&lt;&gt;"Có",M652="Có"),OR(DANH_MUC!$L$6&lt;&gt;"Có",N652="Có"),OR(DANH_MUC!$L$7&lt;&gt;"Có",O652="Có"),OR(DANH_MUC!$L$8&lt;&gt;"Có",P652="Có")),"Có","Không"))</f>
        <v/>
      </c>
      <c r="R652" s="22">
        <f>IF($D652="","",IF(COUNTIF($D$2:$D652,$D652)&gt;1,"Trùng",""))</f>
        <v/>
      </c>
      <c r="S652" s="22">
        <f>IF($D652="","",IF(AND(LEN($D652)=10,LEFT($D652,1)="0",ISNUMBER(--$D652)),"Có","Không"))</f>
        <v/>
      </c>
      <c r="T652" s="22">
        <f>IF($D652="","",IF(AND($C652&lt;&gt;"",$Q652="Có",$R652="",$S652="Có",AND($L652&lt;&gt;"",OR($L652&lt;&gt;"Chưa xác định",DANH_MUC!$L$9="Có"))),"Có","Không"))</f>
        <v/>
      </c>
      <c r="U652" s="22">
        <f>IF(OR($D652="",$T652="Có"),"",IF($C652="","Thiếu họ tên; ","")&amp;IF($S652&lt;&gt;"Có","SĐT sai định dạng; ","")&amp;IF($R652="Trùng","Trùng SĐT; ","")&amp;IF($Q652&lt;&gt;"Có","Thiếu đồng ý bắt buộc; ","")&amp;IF($L652="","Thiếu/sai Mã REF; ",IF(AND($L652="Chưa xác định",DANH_MUC!$L$9&lt;&gt;"Có"),"Nguồn chưa xác định; ","")))</f>
        <v/>
      </c>
      <c r="V652" s="22">
        <f>IF(OR($D652="",$R652="Trùng"),"",IF(COUNTIF(ORDERS!$C$2:$C$4995,$D652)&gt;0,"Có","Không"))</f>
        <v/>
      </c>
      <c r="W652" s="22">
        <f>IF(OR($D652="",$R652="Trùng"),"",COUNTIFS(ORDERS!$C$2:$C$4995,$D652,ORDERS!$L$2:$L$4995,"Đã chuyển khoản"))</f>
        <v/>
      </c>
      <c r="X652" s="23">
        <f>IF(OR($D652="",$R652="Trùng"),"",SUMIFS(ORDERS!$J$2:$J$4995,ORDERS!$C$2:$C$4995,$D652,ORDERS!$L$2:$L$4995,"Đã chuyển khoản"))</f>
        <v/>
      </c>
      <c r="Y652" s="24" t="n"/>
    </row>
    <row r="653" ht="14.25" customHeight="1" s="40">
      <c r="A653" s="24" t="n"/>
      <c r="B653" s="27" t="n"/>
      <c r="C653" s="24" t="n"/>
      <c r="D653" s="28" t="n"/>
      <c r="E653" s="29" t="n"/>
      <c r="F653" s="24" t="n"/>
      <c r="G653" s="24" t="n"/>
      <c r="H653" s="21">
        <f>IF(ISNUMBER($B653),INT($B653)-WEEKDAY($B653,2)+1,"")</f>
        <v/>
      </c>
      <c r="I653" s="24" t="n"/>
      <c r="J653" s="22">
        <f t="array" ref="J653">IF($D653="","",IF($I653="","(trống REF)",IFERROR(INDEX(MASTER_SOURCE!$B$2:$B$495,MATCH($I653,MASTER_SOURCE!$A$2:$A$495,0)),"(REF không có trong MASTER_SOURCE)")))</f>
        <v/>
      </c>
      <c r="K653" s="22">
        <f t="array" ref="K653">IF($D653="","",IFERROR(INDEX(MASTER_SOURCE!$C$2:$C$495,MATCH($I653,MASTER_SOURCE!$A$2:$A$495,0)),""))</f>
        <v/>
      </c>
      <c r="L653" s="22">
        <f t="array" ref="L653">IF($D653="","",IFERROR(INDEX(MASTER_SOURCE!$D$2:$D$495,MATCH($I653,MASTER_SOURCE!$A$2:$A$495,0)),""))</f>
        <v/>
      </c>
      <c r="M653" s="24" t="n"/>
      <c r="N653" s="24" t="n"/>
      <c r="O653" s="24" t="n"/>
      <c r="P653" s="24" t="n"/>
      <c r="Q653" s="22">
        <f>IF($D653="","",IF(AND(OR(DANH_MUC!$L$5&lt;&gt;"Có",M653="Có"),OR(DANH_MUC!$L$6&lt;&gt;"Có",N653="Có"),OR(DANH_MUC!$L$7&lt;&gt;"Có",O653="Có"),OR(DANH_MUC!$L$8&lt;&gt;"Có",P653="Có")),"Có","Không"))</f>
        <v/>
      </c>
      <c r="R653" s="22">
        <f>IF($D653="","",IF(COUNTIF($D$2:$D653,$D653)&gt;1,"Trùng",""))</f>
        <v/>
      </c>
      <c r="S653" s="22">
        <f>IF($D653="","",IF(AND(LEN($D653)=10,LEFT($D653,1)="0",ISNUMBER(--$D653)),"Có","Không"))</f>
        <v/>
      </c>
      <c r="T653" s="22">
        <f>IF($D653="","",IF(AND($C653&lt;&gt;"",$Q653="Có",$R653="",$S653="Có",AND($L653&lt;&gt;"",OR($L653&lt;&gt;"Chưa xác định",DANH_MUC!$L$9="Có"))),"Có","Không"))</f>
        <v/>
      </c>
      <c r="U653" s="22">
        <f>IF(OR($D653="",$T653="Có"),"",IF($C653="","Thiếu họ tên; ","")&amp;IF($S653&lt;&gt;"Có","SĐT sai định dạng; ","")&amp;IF($R653="Trùng","Trùng SĐT; ","")&amp;IF($Q653&lt;&gt;"Có","Thiếu đồng ý bắt buộc; ","")&amp;IF($L653="","Thiếu/sai Mã REF; ",IF(AND($L653="Chưa xác định",DANH_MUC!$L$9&lt;&gt;"Có"),"Nguồn chưa xác định; ","")))</f>
        <v/>
      </c>
      <c r="V653" s="22">
        <f>IF(OR($D653="",$R653="Trùng"),"",IF(COUNTIF(ORDERS!$C$2:$C$4995,$D653)&gt;0,"Có","Không"))</f>
        <v/>
      </c>
      <c r="W653" s="22">
        <f>IF(OR($D653="",$R653="Trùng"),"",COUNTIFS(ORDERS!$C$2:$C$4995,$D653,ORDERS!$L$2:$L$4995,"Đã chuyển khoản"))</f>
        <v/>
      </c>
      <c r="X653" s="23">
        <f>IF(OR($D653="",$R653="Trùng"),"",SUMIFS(ORDERS!$J$2:$J$4995,ORDERS!$C$2:$C$4995,$D653,ORDERS!$L$2:$L$4995,"Đã chuyển khoản"))</f>
        <v/>
      </c>
      <c r="Y653" s="24" t="n"/>
    </row>
    <row r="654" ht="14.25" customHeight="1" s="40">
      <c r="A654" s="24" t="n"/>
      <c r="B654" s="27" t="n"/>
      <c r="C654" s="24" t="n"/>
      <c r="D654" s="28" t="n"/>
      <c r="E654" s="29" t="n"/>
      <c r="F654" s="24" t="n"/>
      <c r="G654" s="24" t="n"/>
      <c r="H654" s="21">
        <f>IF(ISNUMBER($B654),INT($B654)-WEEKDAY($B654,2)+1,"")</f>
        <v/>
      </c>
      <c r="I654" s="24" t="n"/>
      <c r="J654" s="22">
        <f t="array" ref="J654">IF($D654="","",IF($I654="","(trống REF)",IFERROR(INDEX(MASTER_SOURCE!$B$2:$B$495,MATCH($I654,MASTER_SOURCE!$A$2:$A$495,0)),"(REF không có trong MASTER_SOURCE)")))</f>
        <v/>
      </c>
      <c r="K654" s="22">
        <f t="array" ref="K654">IF($D654="","",IFERROR(INDEX(MASTER_SOURCE!$C$2:$C$495,MATCH($I654,MASTER_SOURCE!$A$2:$A$495,0)),""))</f>
        <v/>
      </c>
      <c r="L654" s="22">
        <f t="array" ref="L654">IF($D654="","",IFERROR(INDEX(MASTER_SOURCE!$D$2:$D$495,MATCH($I654,MASTER_SOURCE!$A$2:$A$495,0)),""))</f>
        <v/>
      </c>
      <c r="M654" s="24" t="n"/>
      <c r="N654" s="24" t="n"/>
      <c r="O654" s="24" t="n"/>
      <c r="P654" s="24" t="n"/>
      <c r="Q654" s="22">
        <f>IF($D654="","",IF(AND(OR(DANH_MUC!$L$5&lt;&gt;"Có",M654="Có"),OR(DANH_MUC!$L$6&lt;&gt;"Có",N654="Có"),OR(DANH_MUC!$L$7&lt;&gt;"Có",O654="Có"),OR(DANH_MUC!$L$8&lt;&gt;"Có",P654="Có")),"Có","Không"))</f>
        <v/>
      </c>
      <c r="R654" s="22">
        <f>IF($D654="","",IF(COUNTIF($D$2:$D654,$D654)&gt;1,"Trùng",""))</f>
        <v/>
      </c>
      <c r="S654" s="22">
        <f>IF($D654="","",IF(AND(LEN($D654)=10,LEFT($D654,1)="0",ISNUMBER(--$D654)),"Có","Không"))</f>
        <v/>
      </c>
      <c r="T654" s="22">
        <f>IF($D654="","",IF(AND($C654&lt;&gt;"",$Q654="Có",$R654="",$S654="Có",AND($L654&lt;&gt;"",OR($L654&lt;&gt;"Chưa xác định",DANH_MUC!$L$9="Có"))),"Có","Không"))</f>
        <v/>
      </c>
      <c r="U654" s="22">
        <f>IF(OR($D654="",$T654="Có"),"",IF($C654="","Thiếu họ tên; ","")&amp;IF($S654&lt;&gt;"Có","SĐT sai định dạng; ","")&amp;IF($R654="Trùng","Trùng SĐT; ","")&amp;IF($Q654&lt;&gt;"Có","Thiếu đồng ý bắt buộc; ","")&amp;IF($L654="","Thiếu/sai Mã REF; ",IF(AND($L654="Chưa xác định",DANH_MUC!$L$9&lt;&gt;"Có"),"Nguồn chưa xác định; ","")))</f>
        <v/>
      </c>
      <c r="V654" s="22">
        <f>IF(OR($D654="",$R654="Trùng"),"",IF(COUNTIF(ORDERS!$C$2:$C$4995,$D654)&gt;0,"Có","Không"))</f>
        <v/>
      </c>
      <c r="W654" s="22">
        <f>IF(OR($D654="",$R654="Trùng"),"",COUNTIFS(ORDERS!$C$2:$C$4995,$D654,ORDERS!$L$2:$L$4995,"Đã chuyển khoản"))</f>
        <v/>
      </c>
      <c r="X654" s="23">
        <f>IF(OR($D654="",$R654="Trùng"),"",SUMIFS(ORDERS!$J$2:$J$4995,ORDERS!$C$2:$C$4995,$D654,ORDERS!$L$2:$L$4995,"Đã chuyển khoản"))</f>
        <v/>
      </c>
      <c r="Y654" s="24" t="n"/>
    </row>
    <row r="655" ht="14.25" customHeight="1" s="40">
      <c r="A655" s="24" t="n"/>
      <c r="B655" s="27" t="n"/>
      <c r="C655" s="24" t="n"/>
      <c r="D655" s="28" t="n"/>
      <c r="E655" s="29" t="n"/>
      <c r="F655" s="24" t="n"/>
      <c r="G655" s="24" t="n"/>
      <c r="H655" s="21">
        <f>IF(ISNUMBER($B655),INT($B655)-WEEKDAY($B655,2)+1,"")</f>
        <v/>
      </c>
      <c r="I655" s="24" t="n"/>
      <c r="J655" s="22">
        <f t="array" ref="J655">IF($D655="","",IF($I655="","(trống REF)",IFERROR(INDEX(MASTER_SOURCE!$B$2:$B$495,MATCH($I655,MASTER_SOURCE!$A$2:$A$495,0)),"(REF không có trong MASTER_SOURCE)")))</f>
        <v/>
      </c>
      <c r="K655" s="22">
        <f t="array" ref="K655">IF($D655="","",IFERROR(INDEX(MASTER_SOURCE!$C$2:$C$495,MATCH($I655,MASTER_SOURCE!$A$2:$A$495,0)),""))</f>
        <v/>
      </c>
      <c r="L655" s="22">
        <f t="array" ref="L655">IF($D655="","",IFERROR(INDEX(MASTER_SOURCE!$D$2:$D$495,MATCH($I655,MASTER_SOURCE!$A$2:$A$495,0)),""))</f>
        <v/>
      </c>
      <c r="M655" s="24" t="n"/>
      <c r="N655" s="24" t="n"/>
      <c r="O655" s="24" t="n"/>
      <c r="P655" s="24" t="n"/>
      <c r="Q655" s="22">
        <f>IF($D655="","",IF(AND(OR(DANH_MUC!$L$5&lt;&gt;"Có",M655="Có"),OR(DANH_MUC!$L$6&lt;&gt;"Có",N655="Có"),OR(DANH_MUC!$L$7&lt;&gt;"Có",O655="Có"),OR(DANH_MUC!$L$8&lt;&gt;"Có",P655="Có")),"Có","Không"))</f>
        <v/>
      </c>
      <c r="R655" s="22">
        <f>IF($D655="","",IF(COUNTIF($D$2:$D655,$D655)&gt;1,"Trùng",""))</f>
        <v/>
      </c>
      <c r="S655" s="22">
        <f>IF($D655="","",IF(AND(LEN($D655)=10,LEFT($D655,1)="0",ISNUMBER(--$D655)),"Có","Không"))</f>
        <v/>
      </c>
      <c r="T655" s="22">
        <f>IF($D655="","",IF(AND($C655&lt;&gt;"",$Q655="Có",$R655="",$S655="Có",AND($L655&lt;&gt;"",OR($L655&lt;&gt;"Chưa xác định",DANH_MUC!$L$9="Có"))),"Có","Không"))</f>
        <v/>
      </c>
      <c r="U655" s="22">
        <f>IF(OR($D655="",$T655="Có"),"",IF($C655="","Thiếu họ tên; ","")&amp;IF($S655&lt;&gt;"Có","SĐT sai định dạng; ","")&amp;IF($R655="Trùng","Trùng SĐT; ","")&amp;IF($Q655&lt;&gt;"Có","Thiếu đồng ý bắt buộc; ","")&amp;IF($L655="","Thiếu/sai Mã REF; ",IF(AND($L655="Chưa xác định",DANH_MUC!$L$9&lt;&gt;"Có"),"Nguồn chưa xác định; ","")))</f>
        <v/>
      </c>
      <c r="V655" s="22">
        <f>IF(OR($D655="",$R655="Trùng"),"",IF(COUNTIF(ORDERS!$C$2:$C$4995,$D655)&gt;0,"Có","Không"))</f>
        <v/>
      </c>
      <c r="W655" s="22">
        <f>IF(OR($D655="",$R655="Trùng"),"",COUNTIFS(ORDERS!$C$2:$C$4995,$D655,ORDERS!$L$2:$L$4995,"Đã chuyển khoản"))</f>
        <v/>
      </c>
      <c r="X655" s="23">
        <f>IF(OR($D655="",$R655="Trùng"),"",SUMIFS(ORDERS!$J$2:$J$4995,ORDERS!$C$2:$C$4995,$D655,ORDERS!$L$2:$L$4995,"Đã chuyển khoản"))</f>
        <v/>
      </c>
      <c r="Y655" s="24" t="n"/>
    </row>
    <row r="656" ht="14.25" customHeight="1" s="40">
      <c r="A656" s="24" t="n"/>
      <c r="B656" s="27" t="n"/>
      <c r="C656" s="24" t="n"/>
      <c r="D656" s="28" t="n"/>
      <c r="E656" s="29" t="n"/>
      <c r="F656" s="24" t="n"/>
      <c r="G656" s="24" t="n"/>
      <c r="H656" s="21">
        <f>IF(ISNUMBER($B656),INT($B656)-WEEKDAY($B656,2)+1,"")</f>
        <v/>
      </c>
      <c r="I656" s="24" t="n"/>
      <c r="J656" s="22">
        <f t="array" ref="J656">IF($D656="","",IF($I656="","(trống REF)",IFERROR(INDEX(MASTER_SOURCE!$B$2:$B$495,MATCH($I656,MASTER_SOURCE!$A$2:$A$495,0)),"(REF không có trong MASTER_SOURCE)")))</f>
        <v/>
      </c>
      <c r="K656" s="22">
        <f t="array" ref="K656">IF($D656="","",IFERROR(INDEX(MASTER_SOURCE!$C$2:$C$495,MATCH($I656,MASTER_SOURCE!$A$2:$A$495,0)),""))</f>
        <v/>
      </c>
      <c r="L656" s="22">
        <f t="array" ref="L656">IF($D656="","",IFERROR(INDEX(MASTER_SOURCE!$D$2:$D$495,MATCH($I656,MASTER_SOURCE!$A$2:$A$495,0)),""))</f>
        <v/>
      </c>
      <c r="M656" s="24" t="n"/>
      <c r="N656" s="24" t="n"/>
      <c r="O656" s="24" t="n"/>
      <c r="P656" s="24" t="n"/>
      <c r="Q656" s="22">
        <f>IF($D656="","",IF(AND(OR(DANH_MUC!$L$5&lt;&gt;"Có",M656="Có"),OR(DANH_MUC!$L$6&lt;&gt;"Có",N656="Có"),OR(DANH_MUC!$L$7&lt;&gt;"Có",O656="Có"),OR(DANH_MUC!$L$8&lt;&gt;"Có",P656="Có")),"Có","Không"))</f>
        <v/>
      </c>
      <c r="R656" s="22">
        <f>IF($D656="","",IF(COUNTIF($D$2:$D656,$D656)&gt;1,"Trùng",""))</f>
        <v/>
      </c>
      <c r="S656" s="22">
        <f>IF($D656="","",IF(AND(LEN($D656)=10,LEFT($D656,1)="0",ISNUMBER(--$D656)),"Có","Không"))</f>
        <v/>
      </c>
      <c r="T656" s="22">
        <f>IF($D656="","",IF(AND($C656&lt;&gt;"",$Q656="Có",$R656="",$S656="Có",AND($L656&lt;&gt;"",OR($L656&lt;&gt;"Chưa xác định",DANH_MUC!$L$9="Có"))),"Có","Không"))</f>
        <v/>
      </c>
      <c r="U656" s="22">
        <f>IF(OR($D656="",$T656="Có"),"",IF($C656="","Thiếu họ tên; ","")&amp;IF($S656&lt;&gt;"Có","SĐT sai định dạng; ","")&amp;IF($R656="Trùng","Trùng SĐT; ","")&amp;IF($Q656&lt;&gt;"Có","Thiếu đồng ý bắt buộc; ","")&amp;IF($L656="","Thiếu/sai Mã REF; ",IF(AND($L656="Chưa xác định",DANH_MUC!$L$9&lt;&gt;"Có"),"Nguồn chưa xác định; ","")))</f>
        <v/>
      </c>
      <c r="V656" s="22">
        <f>IF(OR($D656="",$R656="Trùng"),"",IF(COUNTIF(ORDERS!$C$2:$C$4995,$D656)&gt;0,"Có","Không"))</f>
        <v/>
      </c>
      <c r="W656" s="22">
        <f>IF(OR($D656="",$R656="Trùng"),"",COUNTIFS(ORDERS!$C$2:$C$4995,$D656,ORDERS!$L$2:$L$4995,"Đã chuyển khoản"))</f>
        <v/>
      </c>
      <c r="X656" s="23">
        <f>IF(OR($D656="",$R656="Trùng"),"",SUMIFS(ORDERS!$J$2:$J$4995,ORDERS!$C$2:$C$4995,$D656,ORDERS!$L$2:$L$4995,"Đã chuyển khoản"))</f>
        <v/>
      </c>
      <c r="Y656" s="24" t="n"/>
    </row>
    <row r="657" ht="14.25" customHeight="1" s="40">
      <c r="A657" s="24" t="n"/>
      <c r="B657" s="27" t="n"/>
      <c r="C657" s="24" t="n"/>
      <c r="D657" s="28" t="n"/>
      <c r="E657" s="29" t="n"/>
      <c r="F657" s="24" t="n"/>
      <c r="G657" s="24" t="n"/>
      <c r="H657" s="21">
        <f>IF(ISNUMBER($B657),INT($B657)-WEEKDAY($B657,2)+1,"")</f>
        <v/>
      </c>
      <c r="I657" s="24" t="n"/>
      <c r="J657" s="22">
        <f t="array" ref="J657">IF($D657="","",IF($I657="","(trống REF)",IFERROR(INDEX(MASTER_SOURCE!$B$2:$B$495,MATCH($I657,MASTER_SOURCE!$A$2:$A$495,0)),"(REF không có trong MASTER_SOURCE)")))</f>
        <v/>
      </c>
      <c r="K657" s="22">
        <f t="array" ref="K657">IF($D657="","",IFERROR(INDEX(MASTER_SOURCE!$C$2:$C$495,MATCH($I657,MASTER_SOURCE!$A$2:$A$495,0)),""))</f>
        <v/>
      </c>
      <c r="L657" s="22">
        <f t="array" ref="L657">IF($D657="","",IFERROR(INDEX(MASTER_SOURCE!$D$2:$D$495,MATCH($I657,MASTER_SOURCE!$A$2:$A$495,0)),""))</f>
        <v/>
      </c>
      <c r="M657" s="24" t="n"/>
      <c r="N657" s="24" t="n"/>
      <c r="O657" s="24" t="n"/>
      <c r="P657" s="24" t="n"/>
      <c r="Q657" s="22">
        <f>IF($D657="","",IF(AND(OR(DANH_MUC!$L$5&lt;&gt;"Có",M657="Có"),OR(DANH_MUC!$L$6&lt;&gt;"Có",N657="Có"),OR(DANH_MUC!$L$7&lt;&gt;"Có",O657="Có"),OR(DANH_MUC!$L$8&lt;&gt;"Có",P657="Có")),"Có","Không"))</f>
        <v/>
      </c>
      <c r="R657" s="22">
        <f>IF($D657="","",IF(COUNTIF($D$2:$D657,$D657)&gt;1,"Trùng",""))</f>
        <v/>
      </c>
      <c r="S657" s="22">
        <f>IF($D657="","",IF(AND(LEN($D657)=10,LEFT($D657,1)="0",ISNUMBER(--$D657)),"Có","Không"))</f>
        <v/>
      </c>
      <c r="T657" s="22">
        <f>IF($D657="","",IF(AND($C657&lt;&gt;"",$Q657="Có",$R657="",$S657="Có",AND($L657&lt;&gt;"",OR($L657&lt;&gt;"Chưa xác định",DANH_MUC!$L$9="Có"))),"Có","Không"))</f>
        <v/>
      </c>
      <c r="U657" s="22">
        <f>IF(OR($D657="",$T657="Có"),"",IF($C657="","Thiếu họ tên; ","")&amp;IF($S657&lt;&gt;"Có","SĐT sai định dạng; ","")&amp;IF($R657="Trùng","Trùng SĐT; ","")&amp;IF($Q657&lt;&gt;"Có","Thiếu đồng ý bắt buộc; ","")&amp;IF($L657="","Thiếu/sai Mã REF; ",IF(AND($L657="Chưa xác định",DANH_MUC!$L$9&lt;&gt;"Có"),"Nguồn chưa xác định; ","")))</f>
        <v/>
      </c>
      <c r="V657" s="22">
        <f>IF(OR($D657="",$R657="Trùng"),"",IF(COUNTIF(ORDERS!$C$2:$C$4995,$D657)&gt;0,"Có","Không"))</f>
        <v/>
      </c>
      <c r="W657" s="22">
        <f>IF(OR($D657="",$R657="Trùng"),"",COUNTIFS(ORDERS!$C$2:$C$4995,$D657,ORDERS!$L$2:$L$4995,"Đã chuyển khoản"))</f>
        <v/>
      </c>
      <c r="X657" s="23">
        <f>IF(OR($D657="",$R657="Trùng"),"",SUMIFS(ORDERS!$J$2:$J$4995,ORDERS!$C$2:$C$4995,$D657,ORDERS!$L$2:$L$4995,"Đã chuyển khoản"))</f>
        <v/>
      </c>
      <c r="Y657" s="24" t="n"/>
    </row>
    <row r="658" ht="14.25" customHeight="1" s="40">
      <c r="A658" s="24" t="n"/>
      <c r="B658" s="27" t="n"/>
      <c r="C658" s="24" t="n"/>
      <c r="D658" s="28" t="n"/>
      <c r="E658" s="29" t="n"/>
      <c r="F658" s="24" t="n"/>
      <c r="G658" s="24" t="n"/>
      <c r="H658" s="21">
        <f>IF(ISNUMBER($B658),INT($B658)-WEEKDAY($B658,2)+1,"")</f>
        <v/>
      </c>
      <c r="I658" s="24" t="n"/>
      <c r="J658" s="22">
        <f t="array" ref="J658">IF($D658="","",IF($I658="","(trống REF)",IFERROR(INDEX(MASTER_SOURCE!$B$2:$B$495,MATCH($I658,MASTER_SOURCE!$A$2:$A$495,0)),"(REF không có trong MASTER_SOURCE)")))</f>
        <v/>
      </c>
      <c r="K658" s="22">
        <f t="array" ref="K658">IF($D658="","",IFERROR(INDEX(MASTER_SOURCE!$C$2:$C$495,MATCH($I658,MASTER_SOURCE!$A$2:$A$495,0)),""))</f>
        <v/>
      </c>
      <c r="L658" s="22">
        <f t="array" ref="L658">IF($D658="","",IFERROR(INDEX(MASTER_SOURCE!$D$2:$D$495,MATCH($I658,MASTER_SOURCE!$A$2:$A$495,0)),""))</f>
        <v/>
      </c>
      <c r="M658" s="24" t="n"/>
      <c r="N658" s="24" t="n"/>
      <c r="O658" s="24" t="n"/>
      <c r="P658" s="24" t="n"/>
      <c r="Q658" s="22">
        <f>IF($D658="","",IF(AND(OR(DANH_MUC!$L$5&lt;&gt;"Có",M658="Có"),OR(DANH_MUC!$L$6&lt;&gt;"Có",N658="Có"),OR(DANH_MUC!$L$7&lt;&gt;"Có",O658="Có"),OR(DANH_MUC!$L$8&lt;&gt;"Có",P658="Có")),"Có","Không"))</f>
        <v/>
      </c>
      <c r="R658" s="22">
        <f>IF($D658="","",IF(COUNTIF($D$2:$D658,$D658)&gt;1,"Trùng",""))</f>
        <v/>
      </c>
      <c r="S658" s="22">
        <f>IF($D658="","",IF(AND(LEN($D658)=10,LEFT($D658,1)="0",ISNUMBER(--$D658)),"Có","Không"))</f>
        <v/>
      </c>
      <c r="T658" s="22">
        <f>IF($D658="","",IF(AND($C658&lt;&gt;"",$Q658="Có",$R658="",$S658="Có",AND($L658&lt;&gt;"",OR($L658&lt;&gt;"Chưa xác định",DANH_MUC!$L$9="Có"))),"Có","Không"))</f>
        <v/>
      </c>
      <c r="U658" s="22">
        <f>IF(OR($D658="",$T658="Có"),"",IF($C658="","Thiếu họ tên; ","")&amp;IF($S658&lt;&gt;"Có","SĐT sai định dạng; ","")&amp;IF($R658="Trùng","Trùng SĐT; ","")&amp;IF($Q658&lt;&gt;"Có","Thiếu đồng ý bắt buộc; ","")&amp;IF($L658="","Thiếu/sai Mã REF; ",IF(AND($L658="Chưa xác định",DANH_MUC!$L$9&lt;&gt;"Có"),"Nguồn chưa xác định; ","")))</f>
        <v/>
      </c>
      <c r="V658" s="22">
        <f>IF(OR($D658="",$R658="Trùng"),"",IF(COUNTIF(ORDERS!$C$2:$C$4995,$D658)&gt;0,"Có","Không"))</f>
        <v/>
      </c>
      <c r="W658" s="22">
        <f>IF(OR($D658="",$R658="Trùng"),"",COUNTIFS(ORDERS!$C$2:$C$4995,$D658,ORDERS!$L$2:$L$4995,"Đã chuyển khoản"))</f>
        <v/>
      </c>
      <c r="X658" s="23">
        <f>IF(OR($D658="",$R658="Trùng"),"",SUMIFS(ORDERS!$J$2:$J$4995,ORDERS!$C$2:$C$4995,$D658,ORDERS!$L$2:$L$4995,"Đã chuyển khoản"))</f>
        <v/>
      </c>
      <c r="Y658" s="24" t="n"/>
    </row>
    <row r="659" ht="14.25" customHeight="1" s="40">
      <c r="A659" s="24" t="n"/>
      <c r="B659" s="27" t="n"/>
      <c r="C659" s="24" t="n"/>
      <c r="D659" s="28" t="n"/>
      <c r="E659" s="29" t="n"/>
      <c r="F659" s="24" t="n"/>
      <c r="G659" s="24" t="n"/>
      <c r="H659" s="21">
        <f>IF(ISNUMBER($B659),INT($B659)-WEEKDAY($B659,2)+1,"")</f>
        <v/>
      </c>
      <c r="I659" s="24" t="n"/>
      <c r="J659" s="22">
        <f t="array" ref="J659">IF($D659="","",IF($I659="","(trống REF)",IFERROR(INDEX(MASTER_SOURCE!$B$2:$B$495,MATCH($I659,MASTER_SOURCE!$A$2:$A$495,0)),"(REF không có trong MASTER_SOURCE)")))</f>
        <v/>
      </c>
      <c r="K659" s="22">
        <f t="array" ref="K659">IF($D659="","",IFERROR(INDEX(MASTER_SOURCE!$C$2:$C$495,MATCH($I659,MASTER_SOURCE!$A$2:$A$495,0)),""))</f>
        <v/>
      </c>
      <c r="L659" s="22">
        <f t="array" ref="L659">IF($D659="","",IFERROR(INDEX(MASTER_SOURCE!$D$2:$D$495,MATCH($I659,MASTER_SOURCE!$A$2:$A$495,0)),""))</f>
        <v/>
      </c>
      <c r="M659" s="24" t="n"/>
      <c r="N659" s="24" t="n"/>
      <c r="O659" s="24" t="n"/>
      <c r="P659" s="24" t="n"/>
      <c r="Q659" s="22">
        <f>IF($D659="","",IF(AND(OR(DANH_MUC!$L$5&lt;&gt;"Có",M659="Có"),OR(DANH_MUC!$L$6&lt;&gt;"Có",N659="Có"),OR(DANH_MUC!$L$7&lt;&gt;"Có",O659="Có"),OR(DANH_MUC!$L$8&lt;&gt;"Có",P659="Có")),"Có","Không"))</f>
        <v/>
      </c>
      <c r="R659" s="22">
        <f>IF($D659="","",IF(COUNTIF($D$2:$D659,$D659)&gt;1,"Trùng",""))</f>
        <v/>
      </c>
      <c r="S659" s="22">
        <f>IF($D659="","",IF(AND(LEN($D659)=10,LEFT($D659,1)="0",ISNUMBER(--$D659)),"Có","Không"))</f>
        <v/>
      </c>
      <c r="T659" s="22">
        <f>IF($D659="","",IF(AND($C659&lt;&gt;"",$Q659="Có",$R659="",$S659="Có",AND($L659&lt;&gt;"",OR($L659&lt;&gt;"Chưa xác định",DANH_MUC!$L$9="Có"))),"Có","Không"))</f>
        <v/>
      </c>
      <c r="U659" s="22">
        <f>IF(OR($D659="",$T659="Có"),"",IF($C659="","Thiếu họ tên; ","")&amp;IF($S659&lt;&gt;"Có","SĐT sai định dạng; ","")&amp;IF($R659="Trùng","Trùng SĐT; ","")&amp;IF($Q659&lt;&gt;"Có","Thiếu đồng ý bắt buộc; ","")&amp;IF($L659="","Thiếu/sai Mã REF; ",IF(AND($L659="Chưa xác định",DANH_MUC!$L$9&lt;&gt;"Có"),"Nguồn chưa xác định; ","")))</f>
        <v/>
      </c>
      <c r="V659" s="22">
        <f>IF(OR($D659="",$R659="Trùng"),"",IF(COUNTIF(ORDERS!$C$2:$C$4995,$D659)&gt;0,"Có","Không"))</f>
        <v/>
      </c>
      <c r="W659" s="22">
        <f>IF(OR($D659="",$R659="Trùng"),"",COUNTIFS(ORDERS!$C$2:$C$4995,$D659,ORDERS!$L$2:$L$4995,"Đã chuyển khoản"))</f>
        <v/>
      </c>
      <c r="X659" s="23">
        <f>IF(OR($D659="",$R659="Trùng"),"",SUMIFS(ORDERS!$J$2:$J$4995,ORDERS!$C$2:$C$4995,$D659,ORDERS!$L$2:$L$4995,"Đã chuyển khoản"))</f>
        <v/>
      </c>
      <c r="Y659" s="24" t="n"/>
    </row>
    <row r="660" ht="14.25" customHeight="1" s="40">
      <c r="A660" s="24" t="n"/>
      <c r="B660" s="27" t="n"/>
      <c r="C660" s="24" t="n"/>
      <c r="D660" s="28" t="n"/>
      <c r="E660" s="29" t="n"/>
      <c r="F660" s="24" t="n"/>
      <c r="G660" s="24" t="n"/>
      <c r="H660" s="21">
        <f>IF(ISNUMBER($B660),INT($B660)-WEEKDAY($B660,2)+1,"")</f>
        <v/>
      </c>
      <c r="I660" s="24" t="n"/>
      <c r="J660" s="22">
        <f t="array" ref="J660">IF($D660="","",IF($I660="","(trống REF)",IFERROR(INDEX(MASTER_SOURCE!$B$2:$B$495,MATCH($I660,MASTER_SOURCE!$A$2:$A$495,0)),"(REF không có trong MASTER_SOURCE)")))</f>
        <v/>
      </c>
      <c r="K660" s="22">
        <f t="array" ref="K660">IF($D660="","",IFERROR(INDEX(MASTER_SOURCE!$C$2:$C$495,MATCH($I660,MASTER_SOURCE!$A$2:$A$495,0)),""))</f>
        <v/>
      </c>
      <c r="L660" s="22">
        <f t="array" ref="L660">IF($D660="","",IFERROR(INDEX(MASTER_SOURCE!$D$2:$D$495,MATCH($I660,MASTER_SOURCE!$A$2:$A$495,0)),""))</f>
        <v/>
      </c>
      <c r="M660" s="24" t="n"/>
      <c r="N660" s="24" t="n"/>
      <c r="O660" s="24" t="n"/>
      <c r="P660" s="24" t="n"/>
      <c r="Q660" s="22">
        <f>IF($D660="","",IF(AND(OR(DANH_MUC!$L$5&lt;&gt;"Có",M660="Có"),OR(DANH_MUC!$L$6&lt;&gt;"Có",N660="Có"),OR(DANH_MUC!$L$7&lt;&gt;"Có",O660="Có"),OR(DANH_MUC!$L$8&lt;&gt;"Có",P660="Có")),"Có","Không"))</f>
        <v/>
      </c>
      <c r="R660" s="22">
        <f>IF($D660="","",IF(COUNTIF($D$2:$D660,$D660)&gt;1,"Trùng",""))</f>
        <v/>
      </c>
      <c r="S660" s="22">
        <f>IF($D660="","",IF(AND(LEN($D660)=10,LEFT($D660,1)="0",ISNUMBER(--$D660)),"Có","Không"))</f>
        <v/>
      </c>
      <c r="T660" s="22">
        <f>IF($D660="","",IF(AND($C660&lt;&gt;"",$Q660="Có",$R660="",$S660="Có",AND($L660&lt;&gt;"",OR($L660&lt;&gt;"Chưa xác định",DANH_MUC!$L$9="Có"))),"Có","Không"))</f>
        <v/>
      </c>
      <c r="U660" s="22">
        <f>IF(OR($D660="",$T660="Có"),"",IF($C660="","Thiếu họ tên; ","")&amp;IF($S660&lt;&gt;"Có","SĐT sai định dạng; ","")&amp;IF($R660="Trùng","Trùng SĐT; ","")&amp;IF($Q660&lt;&gt;"Có","Thiếu đồng ý bắt buộc; ","")&amp;IF($L660="","Thiếu/sai Mã REF; ",IF(AND($L660="Chưa xác định",DANH_MUC!$L$9&lt;&gt;"Có"),"Nguồn chưa xác định; ","")))</f>
        <v/>
      </c>
      <c r="V660" s="22">
        <f>IF(OR($D660="",$R660="Trùng"),"",IF(COUNTIF(ORDERS!$C$2:$C$4995,$D660)&gt;0,"Có","Không"))</f>
        <v/>
      </c>
      <c r="W660" s="22">
        <f>IF(OR($D660="",$R660="Trùng"),"",COUNTIFS(ORDERS!$C$2:$C$4995,$D660,ORDERS!$L$2:$L$4995,"Đã chuyển khoản"))</f>
        <v/>
      </c>
      <c r="X660" s="23">
        <f>IF(OR($D660="",$R660="Trùng"),"",SUMIFS(ORDERS!$J$2:$J$4995,ORDERS!$C$2:$C$4995,$D660,ORDERS!$L$2:$L$4995,"Đã chuyển khoản"))</f>
        <v/>
      </c>
      <c r="Y660" s="24" t="n"/>
    </row>
    <row r="661" ht="14.25" customHeight="1" s="40">
      <c r="A661" s="24" t="n"/>
      <c r="B661" s="27" t="n"/>
      <c r="C661" s="24" t="n"/>
      <c r="D661" s="28" t="n"/>
      <c r="E661" s="29" t="n"/>
      <c r="F661" s="24" t="n"/>
      <c r="G661" s="24" t="n"/>
      <c r="H661" s="21">
        <f>IF(ISNUMBER($B661),INT($B661)-WEEKDAY($B661,2)+1,"")</f>
        <v/>
      </c>
      <c r="I661" s="24" t="n"/>
      <c r="J661" s="22">
        <f t="array" ref="J661">IF($D661="","",IF($I661="","(trống REF)",IFERROR(INDEX(MASTER_SOURCE!$B$2:$B$495,MATCH($I661,MASTER_SOURCE!$A$2:$A$495,0)),"(REF không có trong MASTER_SOURCE)")))</f>
        <v/>
      </c>
      <c r="K661" s="22">
        <f t="array" ref="K661">IF($D661="","",IFERROR(INDEX(MASTER_SOURCE!$C$2:$C$495,MATCH($I661,MASTER_SOURCE!$A$2:$A$495,0)),""))</f>
        <v/>
      </c>
      <c r="L661" s="22">
        <f t="array" ref="L661">IF($D661="","",IFERROR(INDEX(MASTER_SOURCE!$D$2:$D$495,MATCH($I661,MASTER_SOURCE!$A$2:$A$495,0)),""))</f>
        <v/>
      </c>
      <c r="M661" s="24" t="n"/>
      <c r="N661" s="24" t="n"/>
      <c r="O661" s="24" t="n"/>
      <c r="P661" s="24" t="n"/>
      <c r="Q661" s="22">
        <f>IF($D661="","",IF(AND(OR(DANH_MUC!$L$5&lt;&gt;"Có",M661="Có"),OR(DANH_MUC!$L$6&lt;&gt;"Có",N661="Có"),OR(DANH_MUC!$L$7&lt;&gt;"Có",O661="Có"),OR(DANH_MUC!$L$8&lt;&gt;"Có",P661="Có")),"Có","Không"))</f>
        <v/>
      </c>
      <c r="R661" s="22">
        <f>IF($D661="","",IF(COUNTIF($D$2:$D661,$D661)&gt;1,"Trùng",""))</f>
        <v/>
      </c>
      <c r="S661" s="22">
        <f>IF($D661="","",IF(AND(LEN($D661)=10,LEFT($D661,1)="0",ISNUMBER(--$D661)),"Có","Không"))</f>
        <v/>
      </c>
      <c r="T661" s="22">
        <f>IF($D661="","",IF(AND($C661&lt;&gt;"",$Q661="Có",$R661="",$S661="Có",AND($L661&lt;&gt;"",OR($L661&lt;&gt;"Chưa xác định",DANH_MUC!$L$9="Có"))),"Có","Không"))</f>
        <v/>
      </c>
      <c r="U661" s="22">
        <f>IF(OR($D661="",$T661="Có"),"",IF($C661="","Thiếu họ tên; ","")&amp;IF($S661&lt;&gt;"Có","SĐT sai định dạng; ","")&amp;IF($R661="Trùng","Trùng SĐT; ","")&amp;IF($Q661&lt;&gt;"Có","Thiếu đồng ý bắt buộc; ","")&amp;IF($L661="","Thiếu/sai Mã REF; ",IF(AND($L661="Chưa xác định",DANH_MUC!$L$9&lt;&gt;"Có"),"Nguồn chưa xác định; ","")))</f>
        <v/>
      </c>
      <c r="V661" s="22">
        <f>IF(OR($D661="",$R661="Trùng"),"",IF(COUNTIF(ORDERS!$C$2:$C$4995,$D661)&gt;0,"Có","Không"))</f>
        <v/>
      </c>
      <c r="W661" s="22">
        <f>IF(OR($D661="",$R661="Trùng"),"",COUNTIFS(ORDERS!$C$2:$C$4995,$D661,ORDERS!$L$2:$L$4995,"Đã chuyển khoản"))</f>
        <v/>
      </c>
      <c r="X661" s="23">
        <f>IF(OR($D661="",$R661="Trùng"),"",SUMIFS(ORDERS!$J$2:$J$4995,ORDERS!$C$2:$C$4995,$D661,ORDERS!$L$2:$L$4995,"Đã chuyển khoản"))</f>
        <v/>
      </c>
      <c r="Y661" s="24" t="n"/>
    </row>
    <row r="662" ht="14.25" customHeight="1" s="40">
      <c r="A662" s="24" t="n"/>
      <c r="B662" s="27" t="n"/>
      <c r="C662" s="24" t="n"/>
      <c r="D662" s="28" t="n"/>
      <c r="E662" s="29" t="n"/>
      <c r="F662" s="24" t="n"/>
      <c r="G662" s="24" t="n"/>
      <c r="H662" s="21">
        <f>IF(ISNUMBER($B662),INT($B662)-WEEKDAY($B662,2)+1,"")</f>
        <v/>
      </c>
      <c r="I662" s="24" t="n"/>
      <c r="J662" s="22">
        <f t="array" ref="J662">IF($D662="","",IF($I662="","(trống REF)",IFERROR(INDEX(MASTER_SOURCE!$B$2:$B$495,MATCH($I662,MASTER_SOURCE!$A$2:$A$495,0)),"(REF không có trong MASTER_SOURCE)")))</f>
        <v/>
      </c>
      <c r="K662" s="22">
        <f t="array" ref="K662">IF($D662="","",IFERROR(INDEX(MASTER_SOURCE!$C$2:$C$495,MATCH($I662,MASTER_SOURCE!$A$2:$A$495,0)),""))</f>
        <v/>
      </c>
      <c r="L662" s="22">
        <f t="array" ref="L662">IF($D662="","",IFERROR(INDEX(MASTER_SOURCE!$D$2:$D$495,MATCH($I662,MASTER_SOURCE!$A$2:$A$495,0)),""))</f>
        <v/>
      </c>
      <c r="M662" s="24" t="n"/>
      <c r="N662" s="24" t="n"/>
      <c r="O662" s="24" t="n"/>
      <c r="P662" s="24" t="n"/>
      <c r="Q662" s="22">
        <f>IF($D662="","",IF(AND(OR(DANH_MUC!$L$5&lt;&gt;"Có",M662="Có"),OR(DANH_MUC!$L$6&lt;&gt;"Có",N662="Có"),OR(DANH_MUC!$L$7&lt;&gt;"Có",O662="Có"),OR(DANH_MUC!$L$8&lt;&gt;"Có",P662="Có")),"Có","Không"))</f>
        <v/>
      </c>
      <c r="R662" s="22">
        <f>IF($D662="","",IF(COUNTIF($D$2:$D662,$D662)&gt;1,"Trùng",""))</f>
        <v/>
      </c>
      <c r="S662" s="22">
        <f>IF($D662="","",IF(AND(LEN($D662)=10,LEFT($D662,1)="0",ISNUMBER(--$D662)),"Có","Không"))</f>
        <v/>
      </c>
      <c r="T662" s="22">
        <f>IF($D662="","",IF(AND($C662&lt;&gt;"",$Q662="Có",$R662="",$S662="Có",AND($L662&lt;&gt;"",OR($L662&lt;&gt;"Chưa xác định",DANH_MUC!$L$9="Có"))),"Có","Không"))</f>
        <v/>
      </c>
      <c r="U662" s="22">
        <f>IF(OR($D662="",$T662="Có"),"",IF($C662="","Thiếu họ tên; ","")&amp;IF($S662&lt;&gt;"Có","SĐT sai định dạng; ","")&amp;IF($R662="Trùng","Trùng SĐT; ","")&amp;IF($Q662&lt;&gt;"Có","Thiếu đồng ý bắt buộc; ","")&amp;IF($L662="","Thiếu/sai Mã REF; ",IF(AND($L662="Chưa xác định",DANH_MUC!$L$9&lt;&gt;"Có"),"Nguồn chưa xác định; ","")))</f>
        <v/>
      </c>
      <c r="V662" s="22">
        <f>IF(OR($D662="",$R662="Trùng"),"",IF(COUNTIF(ORDERS!$C$2:$C$4995,$D662)&gt;0,"Có","Không"))</f>
        <v/>
      </c>
      <c r="W662" s="22">
        <f>IF(OR($D662="",$R662="Trùng"),"",COUNTIFS(ORDERS!$C$2:$C$4995,$D662,ORDERS!$L$2:$L$4995,"Đã chuyển khoản"))</f>
        <v/>
      </c>
      <c r="X662" s="23">
        <f>IF(OR($D662="",$R662="Trùng"),"",SUMIFS(ORDERS!$J$2:$J$4995,ORDERS!$C$2:$C$4995,$D662,ORDERS!$L$2:$L$4995,"Đã chuyển khoản"))</f>
        <v/>
      </c>
      <c r="Y662" s="24" t="n"/>
    </row>
    <row r="663" ht="14.25" customHeight="1" s="40">
      <c r="A663" s="24" t="n"/>
      <c r="B663" s="27" t="n"/>
      <c r="C663" s="24" t="n"/>
      <c r="D663" s="28" t="n"/>
      <c r="E663" s="29" t="n"/>
      <c r="F663" s="24" t="n"/>
      <c r="G663" s="24" t="n"/>
      <c r="H663" s="21">
        <f>IF(ISNUMBER($B663),INT($B663)-WEEKDAY($B663,2)+1,"")</f>
        <v/>
      </c>
      <c r="I663" s="24" t="n"/>
      <c r="J663" s="22">
        <f t="array" ref="J663">IF($D663="","",IF($I663="","(trống REF)",IFERROR(INDEX(MASTER_SOURCE!$B$2:$B$495,MATCH($I663,MASTER_SOURCE!$A$2:$A$495,0)),"(REF không có trong MASTER_SOURCE)")))</f>
        <v/>
      </c>
      <c r="K663" s="22">
        <f t="array" ref="K663">IF($D663="","",IFERROR(INDEX(MASTER_SOURCE!$C$2:$C$495,MATCH($I663,MASTER_SOURCE!$A$2:$A$495,0)),""))</f>
        <v/>
      </c>
      <c r="L663" s="22">
        <f t="array" ref="L663">IF($D663="","",IFERROR(INDEX(MASTER_SOURCE!$D$2:$D$495,MATCH($I663,MASTER_SOURCE!$A$2:$A$495,0)),""))</f>
        <v/>
      </c>
      <c r="M663" s="24" t="n"/>
      <c r="N663" s="24" t="n"/>
      <c r="O663" s="24" t="n"/>
      <c r="P663" s="24" t="n"/>
      <c r="Q663" s="22">
        <f>IF($D663="","",IF(AND(OR(DANH_MUC!$L$5&lt;&gt;"Có",M663="Có"),OR(DANH_MUC!$L$6&lt;&gt;"Có",N663="Có"),OR(DANH_MUC!$L$7&lt;&gt;"Có",O663="Có"),OR(DANH_MUC!$L$8&lt;&gt;"Có",P663="Có")),"Có","Không"))</f>
        <v/>
      </c>
      <c r="R663" s="22">
        <f>IF($D663="","",IF(COUNTIF($D$2:$D663,$D663)&gt;1,"Trùng",""))</f>
        <v/>
      </c>
      <c r="S663" s="22">
        <f>IF($D663="","",IF(AND(LEN($D663)=10,LEFT($D663,1)="0",ISNUMBER(--$D663)),"Có","Không"))</f>
        <v/>
      </c>
      <c r="T663" s="22">
        <f>IF($D663="","",IF(AND($C663&lt;&gt;"",$Q663="Có",$R663="",$S663="Có",AND($L663&lt;&gt;"",OR($L663&lt;&gt;"Chưa xác định",DANH_MUC!$L$9="Có"))),"Có","Không"))</f>
        <v/>
      </c>
      <c r="U663" s="22">
        <f>IF(OR($D663="",$T663="Có"),"",IF($C663="","Thiếu họ tên; ","")&amp;IF($S663&lt;&gt;"Có","SĐT sai định dạng; ","")&amp;IF($R663="Trùng","Trùng SĐT; ","")&amp;IF($Q663&lt;&gt;"Có","Thiếu đồng ý bắt buộc; ","")&amp;IF($L663="","Thiếu/sai Mã REF; ",IF(AND($L663="Chưa xác định",DANH_MUC!$L$9&lt;&gt;"Có"),"Nguồn chưa xác định; ","")))</f>
        <v/>
      </c>
      <c r="V663" s="22">
        <f>IF(OR($D663="",$R663="Trùng"),"",IF(COUNTIF(ORDERS!$C$2:$C$4995,$D663)&gt;0,"Có","Không"))</f>
        <v/>
      </c>
      <c r="W663" s="22">
        <f>IF(OR($D663="",$R663="Trùng"),"",COUNTIFS(ORDERS!$C$2:$C$4995,$D663,ORDERS!$L$2:$L$4995,"Đã chuyển khoản"))</f>
        <v/>
      </c>
      <c r="X663" s="23">
        <f>IF(OR($D663="",$R663="Trùng"),"",SUMIFS(ORDERS!$J$2:$J$4995,ORDERS!$C$2:$C$4995,$D663,ORDERS!$L$2:$L$4995,"Đã chuyển khoản"))</f>
        <v/>
      </c>
      <c r="Y663" s="24" t="n"/>
    </row>
    <row r="664" ht="14.25" customHeight="1" s="40">
      <c r="A664" s="24" t="n"/>
      <c r="B664" s="27" t="n"/>
      <c r="C664" s="24" t="n"/>
      <c r="D664" s="28" t="n"/>
      <c r="E664" s="29" t="n"/>
      <c r="F664" s="24" t="n"/>
      <c r="G664" s="24" t="n"/>
      <c r="H664" s="21">
        <f>IF(ISNUMBER($B664),INT($B664)-WEEKDAY($B664,2)+1,"")</f>
        <v/>
      </c>
      <c r="I664" s="24" t="n"/>
      <c r="J664" s="22">
        <f t="array" ref="J664">IF($D664="","",IF($I664="","(trống REF)",IFERROR(INDEX(MASTER_SOURCE!$B$2:$B$495,MATCH($I664,MASTER_SOURCE!$A$2:$A$495,0)),"(REF không có trong MASTER_SOURCE)")))</f>
        <v/>
      </c>
      <c r="K664" s="22">
        <f t="array" ref="K664">IF($D664="","",IFERROR(INDEX(MASTER_SOURCE!$C$2:$C$495,MATCH($I664,MASTER_SOURCE!$A$2:$A$495,0)),""))</f>
        <v/>
      </c>
      <c r="L664" s="22">
        <f t="array" ref="L664">IF($D664="","",IFERROR(INDEX(MASTER_SOURCE!$D$2:$D$495,MATCH($I664,MASTER_SOURCE!$A$2:$A$495,0)),""))</f>
        <v/>
      </c>
      <c r="M664" s="24" t="n"/>
      <c r="N664" s="24" t="n"/>
      <c r="O664" s="24" t="n"/>
      <c r="P664" s="24" t="n"/>
      <c r="Q664" s="22">
        <f>IF($D664="","",IF(AND(OR(DANH_MUC!$L$5&lt;&gt;"Có",M664="Có"),OR(DANH_MUC!$L$6&lt;&gt;"Có",N664="Có"),OR(DANH_MUC!$L$7&lt;&gt;"Có",O664="Có"),OR(DANH_MUC!$L$8&lt;&gt;"Có",P664="Có")),"Có","Không"))</f>
        <v/>
      </c>
      <c r="R664" s="22">
        <f>IF($D664="","",IF(COUNTIF($D$2:$D664,$D664)&gt;1,"Trùng",""))</f>
        <v/>
      </c>
      <c r="S664" s="22">
        <f>IF($D664="","",IF(AND(LEN($D664)=10,LEFT($D664,1)="0",ISNUMBER(--$D664)),"Có","Không"))</f>
        <v/>
      </c>
      <c r="T664" s="22">
        <f>IF($D664="","",IF(AND($C664&lt;&gt;"",$Q664="Có",$R664="",$S664="Có",AND($L664&lt;&gt;"",OR($L664&lt;&gt;"Chưa xác định",DANH_MUC!$L$9="Có"))),"Có","Không"))</f>
        <v/>
      </c>
      <c r="U664" s="22">
        <f>IF(OR($D664="",$T664="Có"),"",IF($C664="","Thiếu họ tên; ","")&amp;IF($S664&lt;&gt;"Có","SĐT sai định dạng; ","")&amp;IF($R664="Trùng","Trùng SĐT; ","")&amp;IF($Q664&lt;&gt;"Có","Thiếu đồng ý bắt buộc; ","")&amp;IF($L664="","Thiếu/sai Mã REF; ",IF(AND($L664="Chưa xác định",DANH_MUC!$L$9&lt;&gt;"Có"),"Nguồn chưa xác định; ","")))</f>
        <v/>
      </c>
      <c r="V664" s="22">
        <f>IF(OR($D664="",$R664="Trùng"),"",IF(COUNTIF(ORDERS!$C$2:$C$4995,$D664)&gt;0,"Có","Không"))</f>
        <v/>
      </c>
      <c r="W664" s="22">
        <f>IF(OR($D664="",$R664="Trùng"),"",COUNTIFS(ORDERS!$C$2:$C$4995,$D664,ORDERS!$L$2:$L$4995,"Đã chuyển khoản"))</f>
        <v/>
      </c>
      <c r="X664" s="23">
        <f>IF(OR($D664="",$R664="Trùng"),"",SUMIFS(ORDERS!$J$2:$J$4995,ORDERS!$C$2:$C$4995,$D664,ORDERS!$L$2:$L$4995,"Đã chuyển khoản"))</f>
        <v/>
      </c>
      <c r="Y664" s="24" t="n"/>
    </row>
    <row r="665" ht="14.25" customHeight="1" s="40">
      <c r="A665" s="24" t="n"/>
      <c r="B665" s="27" t="n"/>
      <c r="C665" s="24" t="n"/>
      <c r="D665" s="28" t="n"/>
      <c r="E665" s="29" t="n"/>
      <c r="F665" s="24" t="n"/>
      <c r="G665" s="24" t="n"/>
      <c r="H665" s="21">
        <f>IF(ISNUMBER($B665),INT($B665)-WEEKDAY($B665,2)+1,"")</f>
        <v/>
      </c>
      <c r="I665" s="24" t="n"/>
      <c r="J665" s="22">
        <f t="array" ref="J665">IF($D665="","",IF($I665="","(trống REF)",IFERROR(INDEX(MASTER_SOURCE!$B$2:$B$495,MATCH($I665,MASTER_SOURCE!$A$2:$A$495,0)),"(REF không có trong MASTER_SOURCE)")))</f>
        <v/>
      </c>
      <c r="K665" s="22">
        <f t="array" ref="K665">IF($D665="","",IFERROR(INDEX(MASTER_SOURCE!$C$2:$C$495,MATCH($I665,MASTER_SOURCE!$A$2:$A$495,0)),""))</f>
        <v/>
      </c>
      <c r="L665" s="22">
        <f t="array" ref="L665">IF($D665="","",IFERROR(INDEX(MASTER_SOURCE!$D$2:$D$495,MATCH($I665,MASTER_SOURCE!$A$2:$A$495,0)),""))</f>
        <v/>
      </c>
      <c r="M665" s="24" t="n"/>
      <c r="N665" s="24" t="n"/>
      <c r="O665" s="24" t="n"/>
      <c r="P665" s="24" t="n"/>
      <c r="Q665" s="22">
        <f>IF($D665="","",IF(AND(OR(DANH_MUC!$L$5&lt;&gt;"Có",M665="Có"),OR(DANH_MUC!$L$6&lt;&gt;"Có",N665="Có"),OR(DANH_MUC!$L$7&lt;&gt;"Có",O665="Có"),OR(DANH_MUC!$L$8&lt;&gt;"Có",P665="Có")),"Có","Không"))</f>
        <v/>
      </c>
      <c r="R665" s="22">
        <f>IF($D665="","",IF(COUNTIF($D$2:$D665,$D665)&gt;1,"Trùng",""))</f>
        <v/>
      </c>
      <c r="S665" s="22">
        <f>IF($D665="","",IF(AND(LEN($D665)=10,LEFT($D665,1)="0",ISNUMBER(--$D665)),"Có","Không"))</f>
        <v/>
      </c>
      <c r="T665" s="22">
        <f>IF($D665="","",IF(AND($C665&lt;&gt;"",$Q665="Có",$R665="",$S665="Có",AND($L665&lt;&gt;"",OR($L665&lt;&gt;"Chưa xác định",DANH_MUC!$L$9="Có"))),"Có","Không"))</f>
        <v/>
      </c>
      <c r="U665" s="22">
        <f>IF(OR($D665="",$T665="Có"),"",IF($C665="","Thiếu họ tên; ","")&amp;IF($S665&lt;&gt;"Có","SĐT sai định dạng; ","")&amp;IF($R665="Trùng","Trùng SĐT; ","")&amp;IF($Q665&lt;&gt;"Có","Thiếu đồng ý bắt buộc; ","")&amp;IF($L665="","Thiếu/sai Mã REF; ",IF(AND($L665="Chưa xác định",DANH_MUC!$L$9&lt;&gt;"Có"),"Nguồn chưa xác định; ","")))</f>
        <v/>
      </c>
      <c r="V665" s="22">
        <f>IF(OR($D665="",$R665="Trùng"),"",IF(COUNTIF(ORDERS!$C$2:$C$4995,$D665)&gt;0,"Có","Không"))</f>
        <v/>
      </c>
      <c r="W665" s="22">
        <f>IF(OR($D665="",$R665="Trùng"),"",COUNTIFS(ORDERS!$C$2:$C$4995,$D665,ORDERS!$L$2:$L$4995,"Đã chuyển khoản"))</f>
        <v/>
      </c>
      <c r="X665" s="23">
        <f>IF(OR($D665="",$R665="Trùng"),"",SUMIFS(ORDERS!$J$2:$J$4995,ORDERS!$C$2:$C$4995,$D665,ORDERS!$L$2:$L$4995,"Đã chuyển khoản"))</f>
        <v/>
      </c>
      <c r="Y665" s="24" t="n"/>
    </row>
    <row r="666" ht="14.25" customHeight="1" s="40">
      <c r="A666" s="24" t="n"/>
      <c r="B666" s="27" t="n"/>
      <c r="C666" s="24" t="n"/>
      <c r="D666" s="28" t="n"/>
      <c r="E666" s="29" t="n"/>
      <c r="F666" s="24" t="n"/>
      <c r="G666" s="24" t="n"/>
      <c r="H666" s="21">
        <f>IF(ISNUMBER($B666),INT($B666)-WEEKDAY($B666,2)+1,"")</f>
        <v/>
      </c>
      <c r="I666" s="24" t="n"/>
      <c r="J666" s="22">
        <f t="array" ref="J666">IF($D666="","",IF($I666="","(trống REF)",IFERROR(INDEX(MASTER_SOURCE!$B$2:$B$495,MATCH($I666,MASTER_SOURCE!$A$2:$A$495,0)),"(REF không có trong MASTER_SOURCE)")))</f>
        <v/>
      </c>
      <c r="K666" s="22">
        <f t="array" ref="K666">IF($D666="","",IFERROR(INDEX(MASTER_SOURCE!$C$2:$C$495,MATCH($I666,MASTER_SOURCE!$A$2:$A$495,0)),""))</f>
        <v/>
      </c>
      <c r="L666" s="22">
        <f t="array" ref="L666">IF($D666="","",IFERROR(INDEX(MASTER_SOURCE!$D$2:$D$495,MATCH($I666,MASTER_SOURCE!$A$2:$A$495,0)),""))</f>
        <v/>
      </c>
      <c r="M666" s="24" t="n"/>
      <c r="N666" s="24" t="n"/>
      <c r="O666" s="24" t="n"/>
      <c r="P666" s="24" t="n"/>
      <c r="Q666" s="22">
        <f>IF($D666="","",IF(AND(OR(DANH_MUC!$L$5&lt;&gt;"Có",M666="Có"),OR(DANH_MUC!$L$6&lt;&gt;"Có",N666="Có"),OR(DANH_MUC!$L$7&lt;&gt;"Có",O666="Có"),OR(DANH_MUC!$L$8&lt;&gt;"Có",P666="Có")),"Có","Không"))</f>
        <v/>
      </c>
      <c r="R666" s="22">
        <f>IF($D666="","",IF(COUNTIF($D$2:$D666,$D666)&gt;1,"Trùng",""))</f>
        <v/>
      </c>
      <c r="S666" s="22">
        <f>IF($D666="","",IF(AND(LEN($D666)=10,LEFT($D666,1)="0",ISNUMBER(--$D666)),"Có","Không"))</f>
        <v/>
      </c>
      <c r="T666" s="22">
        <f>IF($D666="","",IF(AND($C666&lt;&gt;"",$Q666="Có",$R666="",$S666="Có",AND($L666&lt;&gt;"",OR($L666&lt;&gt;"Chưa xác định",DANH_MUC!$L$9="Có"))),"Có","Không"))</f>
        <v/>
      </c>
      <c r="U666" s="22">
        <f>IF(OR($D666="",$T666="Có"),"",IF($C666="","Thiếu họ tên; ","")&amp;IF($S666&lt;&gt;"Có","SĐT sai định dạng; ","")&amp;IF($R666="Trùng","Trùng SĐT; ","")&amp;IF($Q666&lt;&gt;"Có","Thiếu đồng ý bắt buộc; ","")&amp;IF($L666="","Thiếu/sai Mã REF; ",IF(AND($L666="Chưa xác định",DANH_MUC!$L$9&lt;&gt;"Có"),"Nguồn chưa xác định; ","")))</f>
        <v/>
      </c>
      <c r="V666" s="22">
        <f>IF(OR($D666="",$R666="Trùng"),"",IF(COUNTIF(ORDERS!$C$2:$C$4995,$D666)&gt;0,"Có","Không"))</f>
        <v/>
      </c>
      <c r="W666" s="22">
        <f>IF(OR($D666="",$R666="Trùng"),"",COUNTIFS(ORDERS!$C$2:$C$4995,$D666,ORDERS!$L$2:$L$4995,"Đã chuyển khoản"))</f>
        <v/>
      </c>
      <c r="X666" s="23">
        <f>IF(OR($D666="",$R666="Trùng"),"",SUMIFS(ORDERS!$J$2:$J$4995,ORDERS!$C$2:$C$4995,$D666,ORDERS!$L$2:$L$4995,"Đã chuyển khoản"))</f>
        <v/>
      </c>
      <c r="Y666" s="24" t="n"/>
    </row>
    <row r="667" ht="14.25" customHeight="1" s="40">
      <c r="A667" s="24" t="n"/>
      <c r="B667" s="27" t="n"/>
      <c r="C667" s="24" t="n"/>
      <c r="D667" s="28" t="n"/>
      <c r="E667" s="29" t="n"/>
      <c r="F667" s="24" t="n"/>
      <c r="G667" s="24" t="n"/>
      <c r="H667" s="21">
        <f>IF(ISNUMBER($B667),INT($B667)-WEEKDAY($B667,2)+1,"")</f>
        <v/>
      </c>
      <c r="I667" s="24" t="n"/>
      <c r="J667" s="22">
        <f t="array" ref="J667">IF($D667="","",IF($I667="","(trống REF)",IFERROR(INDEX(MASTER_SOURCE!$B$2:$B$495,MATCH($I667,MASTER_SOURCE!$A$2:$A$495,0)),"(REF không có trong MASTER_SOURCE)")))</f>
        <v/>
      </c>
      <c r="K667" s="22">
        <f t="array" ref="K667">IF($D667="","",IFERROR(INDEX(MASTER_SOURCE!$C$2:$C$495,MATCH($I667,MASTER_SOURCE!$A$2:$A$495,0)),""))</f>
        <v/>
      </c>
      <c r="L667" s="22">
        <f t="array" ref="L667">IF($D667="","",IFERROR(INDEX(MASTER_SOURCE!$D$2:$D$495,MATCH($I667,MASTER_SOURCE!$A$2:$A$495,0)),""))</f>
        <v/>
      </c>
      <c r="M667" s="24" t="n"/>
      <c r="N667" s="24" t="n"/>
      <c r="O667" s="24" t="n"/>
      <c r="P667" s="24" t="n"/>
      <c r="Q667" s="22">
        <f>IF($D667="","",IF(AND(OR(DANH_MUC!$L$5&lt;&gt;"Có",M667="Có"),OR(DANH_MUC!$L$6&lt;&gt;"Có",N667="Có"),OR(DANH_MUC!$L$7&lt;&gt;"Có",O667="Có"),OR(DANH_MUC!$L$8&lt;&gt;"Có",P667="Có")),"Có","Không"))</f>
        <v/>
      </c>
      <c r="R667" s="22">
        <f>IF($D667="","",IF(COUNTIF($D$2:$D667,$D667)&gt;1,"Trùng",""))</f>
        <v/>
      </c>
      <c r="S667" s="22">
        <f>IF($D667="","",IF(AND(LEN($D667)=10,LEFT($D667,1)="0",ISNUMBER(--$D667)),"Có","Không"))</f>
        <v/>
      </c>
      <c r="T667" s="22">
        <f>IF($D667="","",IF(AND($C667&lt;&gt;"",$Q667="Có",$R667="",$S667="Có",AND($L667&lt;&gt;"",OR($L667&lt;&gt;"Chưa xác định",DANH_MUC!$L$9="Có"))),"Có","Không"))</f>
        <v/>
      </c>
      <c r="U667" s="22">
        <f>IF(OR($D667="",$T667="Có"),"",IF($C667="","Thiếu họ tên; ","")&amp;IF($S667&lt;&gt;"Có","SĐT sai định dạng; ","")&amp;IF($R667="Trùng","Trùng SĐT; ","")&amp;IF($Q667&lt;&gt;"Có","Thiếu đồng ý bắt buộc; ","")&amp;IF($L667="","Thiếu/sai Mã REF; ",IF(AND($L667="Chưa xác định",DANH_MUC!$L$9&lt;&gt;"Có"),"Nguồn chưa xác định; ","")))</f>
        <v/>
      </c>
      <c r="V667" s="22">
        <f>IF(OR($D667="",$R667="Trùng"),"",IF(COUNTIF(ORDERS!$C$2:$C$4995,$D667)&gt;0,"Có","Không"))</f>
        <v/>
      </c>
      <c r="W667" s="22">
        <f>IF(OR($D667="",$R667="Trùng"),"",COUNTIFS(ORDERS!$C$2:$C$4995,$D667,ORDERS!$L$2:$L$4995,"Đã chuyển khoản"))</f>
        <v/>
      </c>
      <c r="X667" s="23">
        <f>IF(OR($D667="",$R667="Trùng"),"",SUMIFS(ORDERS!$J$2:$J$4995,ORDERS!$C$2:$C$4995,$D667,ORDERS!$L$2:$L$4995,"Đã chuyển khoản"))</f>
        <v/>
      </c>
      <c r="Y667" s="24" t="n"/>
    </row>
    <row r="668" ht="14.25" customHeight="1" s="40">
      <c r="A668" s="24" t="n"/>
      <c r="B668" s="27" t="n"/>
      <c r="C668" s="24" t="n"/>
      <c r="D668" s="28" t="n"/>
      <c r="E668" s="29" t="n"/>
      <c r="F668" s="24" t="n"/>
      <c r="G668" s="24" t="n"/>
      <c r="H668" s="21">
        <f>IF(ISNUMBER($B668),INT($B668)-WEEKDAY($B668,2)+1,"")</f>
        <v/>
      </c>
      <c r="I668" s="24" t="n"/>
      <c r="J668" s="22">
        <f t="array" ref="J668">IF($D668="","",IF($I668="","(trống REF)",IFERROR(INDEX(MASTER_SOURCE!$B$2:$B$495,MATCH($I668,MASTER_SOURCE!$A$2:$A$495,0)),"(REF không có trong MASTER_SOURCE)")))</f>
        <v/>
      </c>
      <c r="K668" s="22">
        <f t="array" ref="K668">IF($D668="","",IFERROR(INDEX(MASTER_SOURCE!$C$2:$C$495,MATCH($I668,MASTER_SOURCE!$A$2:$A$495,0)),""))</f>
        <v/>
      </c>
      <c r="L668" s="22">
        <f t="array" ref="L668">IF($D668="","",IFERROR(INDEX(MASTER_SOURCE!$D$2:$D$495,MATCH($I668,MASTER_SOURCE!$A$2:$A$495,0)),""))</f>
        <v/>
      </c>
      <c r="M668" s="24" t="n"/>
      <c r="N668" s="24" t="n"/>
      <c r="O668" s="24" t="n"/>
      <c r="P668" s="24" t="n"/>
      <c r="Q668" s="22">
        <f>IF($D668="","",IF(AND(OR(DANH_MUC!$L$5&lt;&gt;"Có",M668="Có"),OR(DANH_MUC!$L$6&lt;&gt;"Có",N668="Có"),OR(DANH_MUC!$L$7&lt;&gt;"Có",O668="Có"),OR(DANH_MUC!$L$8&lt;&gt;"Có",P668="Có")),"Có","Không"))</f>
        <v/>
      </c>
      <c r="R668" s="22">
        <f>IF($D668="","",IF(COUNTIF($D$2:$D668,$D668)&gt;1,"Trùng",""))</f>
        <v/>
      </c>
      <c r="S668" s="22">
        <f>IF($D668="","",IF(AND(LEN($D668)=10,LEFT($D668,1)="0",ISNUMBER(--$D668)),"Có","Không"))</f>
        <v/>
      </c>
      <c r="T668" s="22">
        <f>IF($D668="","",IF(AND($C668&lt;&gt;"",$Q668="Có",$R668="",$S668="Có",AND($L668&lt;&gt;"",OR($L668&lt;&gt;"Chưa xác định",DANH_MUC!$L$9="Có"))),"Có","Không"))</f>
        <v/>
      </c>
      <c r="U668" s="22">
        <f>IF(OR($D668="",$T668="Có"),"",IF($C668="","Thiếu họ tên; ","")&amp;IF($S668&lt;&gt;"Có","SĐT sai định dạng; ","")&amp;IF($R668="Trùng","Trùng SĐT; ","")&amp;IF($Q668&lt;&gt;"Có","Thiếu đồng ý bắt buộc; ","")&amp;IF($L668="","Thiếu/sai Mã REF; ",IF(AND($L668="Chưa xác định",DANH_MUC!$L$9&lt;&gt;"Có"),"Nguồn chưa xác định; ","")))</f>
        <v/>
      </c>
      <c r="V668" s="22">
        <f>IF(OR($D668="",$R668="Trùng"),"",IF(COUNTIF(ORDERS!$C$2:$C$4995,$D668)&gt;0,"Có","Không"))</f>
        <v/>
      </c>
      <c r="W668" s="22">
        <f>IF(OR($D668="",$R668="Trùng"),"",COUNTIFS(ORDERS!$C$2:$C$4995,$D668,ORDERS!$L$2:$L$4995,"Đã chuyển khoản"))</f>
        <v/>
      </c>
      <c r="X668" s="23">
        <f>IF(OR($D668="",$R668="Trùng"),"",SUMIFS(ORDERS!$J$2:$J$4995,ORDERS!$C$2:$C$4995,$D668,ORDERS!$L$2:$L$4995,"Đã chuyển khoản"))</f>
        <v/>
      </c>
      <c r="Y668" s="24" t="n"/>
    </row>
    <row r="669" ht="14.25" customHeight="1" s="40">
      <c r="A669" s="24" t="n"/>
      <c r="B669" s="27" t="n"/>
      <c r="C669" s="24" t="n"/>
      <c r="D669" s="28" t="n"/>
      <c r="E669" s="29" t="n"/>
      <c r="F669" s="24" t="n"/>
      <c r="G669" s="24" t="n"/>
      <c r="H669" s="21">
        <f>IF(ISNUMBER($B669),INT($B669)-WEEKDAY($B669,2)+1,"")</f>
        <v/>
      </c>
      <c r="I669" s="24" t="n"/>
      <c r="J669" s="22">
        <f t="array" ref="J669">IF($D669="","",IF($I669="","(trống REF)",IFERROR(INDEX(MASTER_SOURCE!$B$2:$B$495,MATCH($I669,MASTER_SOURCE!$A$2:$A$495,0)),"(REF không có trong MASTER_SOURCE)")))</f>
        <v/>
      </c>
      <c r="K669" s="22">
        <f t="array" ref="K669">IF($D669="","",IFERROR(INDEX(MASTER_SOURCE!$C$2:$C$495,MATCH($I669,MASTER_SOURCE!$A$2:$A$495,0)),""))</f>
        <v/>
      </c>
      <c r="L669" s="22">
        <f t="array" ref="L669">IF($D669="","",IFERROR(INDEX(MASTER_SOURCE!$D$2:$D$495,MATCH($I669,MASTER_SOURCE!$A$2:$A$495,0)),""))</f>
        <v/>
      </c>
      <c r="M669" s="24" t="n"/>
      <c r="N669" s="24" t="n"/>
      <c r="O669" s="24" t="n"/>
      <c r="P669" s="24" t="n"/>
      <c r="Q669" s="22">
        <f>IF($D669="","",IF(AND(OR(DANH_MUC!$L$5&lt;&gt;"Có",M669="Có"),OR(DANH_MUC!$L$6&lt;&gt;"Có",N669="Có"),OR(DANH_MUC!$L$7&lt;&gt;"Có",O669="Có"),OR(DANH_MUC!$L$8&lt;&gt;"Có",P669="Có")),"Có","Không"))</f>
        <v/>
      </c>
      <c r="R669" s="22">
        <f>IF($D669="","",IF(COUNTIF($D$2:$D669,$D669)&gt;1,"Trùng",""))</f>
        <v/>
      </c>
      <c r="S669" s="22">
        <f>IF($D669="","",IF(AND(LEN($D669)=10,LEFT($D669,1)="0",ISNUMBER(--$D669)),"Có","Không"))</f>
        <v/>
      </c>
      <c r="T669" s="22">
        <f>IF($D669="","",IF(AND($C669&lt;&gt;"",$Q669="Có",$R669="",$S669="Có",AND($L669&lt;&gt;"",OR($L669&lt;&gt;"Chưa xác định",DANH_MUC!$L$9="Có"))),"Có","Không"))</f>
        <v/>
      </c>
      <c r="U669" s="22">
        <f>IF(OR($D669="",$T669="Có"),"",IF($C669="","Thiếu họ tên; ","")&amp;IF($S669&lt;&gt;"Có","SĐT sai định dạng; ","")&amp;IF($R669="Trùng","Trùng SĐT; ","")&amp;IF($Q669&lt;&gt;"Có","Thiếu đồng ý bắt buộc; ","")&amp;IF($L669="","Thiếu/sai Mã REF; ",IF(AND($L669="Chưa xác định",DANH_MUC!$L$9&lt;&gt;"Có"),"Nguồn chưa xác định; ","")))</f>
        <v/>
      </c>
      <c r="V669" s="22">
        <f>IF(OR($D669="",$R669="Trùng"),"",IF(COUNTIF(ORDERS!$C$2:$C$4995,$D669)&gt;0,"Có","Không"))</f>
        <v/>
      </c>
      <c r="W669" s="22">
        <f>IF(OR($D669="",$R669="Trùng"),"",COUNTIFS(ORDERS!$C$2:$C$4995,$D669,ORDERS!$L$2:$L$4995,"Đã chuyển khoản"))</f>
        <v/>
      </c>
      <c r="X669" s="23">
        <f>IF(OR($D669="",$R669="Trùng"),"",SUMIFS(ORDERS!$J$2:$J$4995,ORDERS!$C$2:$C$4995,$D669,ORDERS!$L$2:$L$4995,"Đã chuyển khoản"))</f>
        <v/>
      </c>
      <c r="Y669" s="24" t="n"/>
    </row>
    <row r="670" ht="14.25" customHeight="1" s="40">
      <c r="A670" s="24" t="n"/>
      <c r="B670" s="27" t="n"/>
      <c r="C670" s="24" t="n"/>
      <c r="D670" s="28" t="n"/>
      <c r="E670" s="29" t="n"/>
      <c r="F670" s="24" t="n"/>
      <c r="G670" s="24" t="n"/>
      <c r="H670" s="21">
        <f>IF(ISNUMBER($B670),INT($B670)-WEEKDAY($B670,2)+1,"")</f>
        <v/>
      </c>
      <c r="I670" s="24" t="n"/>
      <c r="J670" s="22">
        <f t="array" ref="J670">IF($D670="","",IF($I670="","(trống REF)",IFERROR(INDEX(MASTER_SOURCE!$B$2:$B$495,MATCH($I670,MASTER_SOURCE!$A$2:$A$495,0)),"(REF không có trong MASTER_SOURCE)")))</f>
        <v/>
      </c>
      <c r="K670" s="22">
        <f t="array" ref="K670">IF($D670="","",IFERROR(INDEX(MASTER_SOURCE!$C$2:$C$495,MATCH($I670,MASTER_SOURCE!$A$2:$A$495,0)),""))</f>
        <v/>
      </c>
      <c r="L670" s="22">
        <f t="array" ref="L670">IF($D670="","",IFERROR(INDEX(MASTER_SOURCE!$D$2:$D$495,MATCH($I670,MASTER_SOURCE!$A$2:$A$495,0)),""))</f>
        <v/>
      </c>
      <c r="M670" s="24" t="n"/>
      <c r="N670" s="24" t="n"/>
      <c r="O670" s="24" t="n"/>
      <c r="P670" s="24" t="n"/>
      <c r="Q670" s="22">
        <f>IF($D670="","",IF(AND(OR(DANH_MUC!$L$5&lt;&gt;"Có",M670="Có"),OR(DANH_MUC!$L$6&lt;&gt;"Có",N670="Có"),OR(DANH_MUC!$L$7&lt;&gt;"Có",O670="Có"),OR(DANH_MUC!$L$8&lt;&gt;"Có",P670="Có")),"Có","Không"))</f>
        <v/>
      </c>
      <c r="R670" s="22">
        <f>IF($D670="","",IF(COUNTIF($D$2:$D670,$D670)&gt;1,"Trùng",""))</f>
        <v/>
      </c>
      <c r="S670" s="22">
        <f>IF($D670="","",IF(AND(LEN($D670)=10,LEFT($D670,1)="0",ISNUMBER(--$D670)),"Có","Không"))</f>
        <v/>
      </c>
      <c r="T670" s="22">
        <f>IF($D670="","",IF(AND($C670&lt;&gt;"",$Q670="Có",$R670="",$S670="Có",AND($L670&lt;&gt;"",OR($L670&lt;&gt;"Chưa xác định",DANH_MUC!$L$9="Có"))),"Có","Không"))</f>
        <v/>
      </c>
      <c r="U670" s="22">
        <f>IF(OR($D670="",$T670="Có"),"",IF($C670="","Thiếu họ tên; ","")&amp;IF($S670&lt;&gt;"Có","SĐT sai định dạng; ","")&amp;IF($R670="Trùng","Trùng SĐT; ","")&amp;IF($Q670&lt;&gt;"Có","Thiếu đồng ý bắt buộc; ","")&amp;IF($L670="","Thiếu/sai Mã REF; ",IF(AND($L670="Chưa xác định",DANH_MUC!$L$9&lt;&gt;"Có"),"Nguồn chưa xác định; ","")))</f>
        <v/>
      </c>
      <c r="V670" s="22">
        <f>IF(OR($D670="",$R670="Trùng"),"",IF(COUNTIF(ORDERS!$C$2:$C$4995,$D670)&gt;0,"Có","Không"))</f>
        <v/>
      </c>
      <c r="W670" s="22">
        <f>IF(OR($D670="",$R670="Trùng"),"",COUNTIFS(ORDERS!$C$2:$C$4995,$D670,ORDERS!$L$2:$L$4995,"Đã chuyển khoản"))</f>
        <v/>
      </c>
      <c r="X670" s="23">
        <f>IF(OR($D670="",$R670="Trùng"),"",SUMIFS(ORDERS!$J$2:$J$4995,ORDERS!$C$2:$C$4995,$D670,ORDERS!$L$2:$L$4995,"Đã chuyển khoản"))</f>
        <v/>
      </c>
      <c r="Y670" s="24" t="n"/>
    </row>
    <row r="671" ht="14.25" customHeight="1" s="40">
      <c r="A671" s="24" t="n"/>
      <c r="B671" s="27" t="n"/>
      <c r="C671" s="24" t="n"/>
      <c r="D671" s="28" t="n"/>
      <c r="E671" s="29" t="n"/>
      <c r="F671" s="24" t="n"/>
      <c r="G671" s="24" t="n"/>
      <c r="H671" s="21">
        <f>IF(ISNUMBER($B671),INT($B671)-WEEKDAY($B671,2)+1,"")</f>
        <v/>
      </c>
      <c r="I671" s="24" t="n"/>
      <c r="J671" s="22">
        <f t="array" ref="J671">IF($D671="","",IF($I671="","(trống REF)",IFERROR(INDEX(MASTER_SOURCE!$B$2:$B$495,MATCH($I671,MASTER_SOURCE!$A$2:$A$495,0)),"(REF không có trong MASTER_SOURCE)")))</f>
        <v/>
      </c>
      <c r="K671" s="22">
        <f t="array" ref="K671">IF($D671="","",IFERROR(INDEX(MASTER_SOURCE!$C$2:$C$495,MATCH($I671,MASTER_SOURCE!$A$2:$A$495,0)),""))</f>
        <v/>
      </c>
      <c r="L671" s="22">
        <f t="array" ref="L671">IF($D671="","",IFERROR(INDEX(MASTER_SOURCE!$D$2:$D$495,MATCH($I671,MASTER_SOURCE!$A$2:$A$495,0)),""))</f>
        <v/>
      </c>
      <c r="M671" s="24" t="n"/>
      <c r="N671" s="24" t="n"/>
      <c r="O671" s="24" t="n"/>
      <c r="P671" s="24" t="n"/>
      <c r="Q671" s="22">
        <f>IF($D671="","",IF(AND(OR(DANH_MUC!$L$5&lt;&gt;"Có",M671="Có"),OR(DANH_MUC!$L$6&lt;&gt;"Có",N671="Có"),OR(DANH_MUC!$L$7&lt;&gt;"Có",O671="Có"),OR(DANH_MUC!$L$8&lt;&gt;"Có",P671="Có")),"Có","Không"))</f>
        <v/>
      </c>
      <c r="R671" s="22">
        <f>IF($D671="","",IF(COUNTIF($D$2:$D671,$D671)&gt;1,"Trùng",""))</f>
        <v/>
      </c>
      <c r="S671" s="22">
        <f>IF($D671="","",IF(AND(LEN($D671)=10,LEFT($D671,1)="0",ISNUMBER(--$D671)),"Có","Không"))</f>
        <v/>
      </c>
      <c r="T671" s="22">
        <f>IF($D671="","",IF(AND($C671&lt;&gt;"",$Q671="Có",$R671="",$S671="Có",AND($L671&lt;&gt;"",OR($L671&lt;&gt;"Chưa xác định",DANH_MUC!$L$9="Có"))),"Có","Không"))</f>
        <v/>
      </c>
      <c r="U671" s="22">
        <f>IF(OR($D671="",$T671="Có"),"",IF($C671="","Thiếu họ tên; ","")&amp;IF($S671&lt;&gt;"Có","SĐT sai định dạng; ","")&amp;IF($R671="Trùng","Trùng SĐT; ","")&amp;IF($Q671&lt;&gt;"Có","Thiếu đồng ý bắt buộc; ","")&amp;IF($L671="","Thiếu/sai Mã REF; ",IF(AND($L671="Chưa xác định",DANH_MUC!$L$9&lt;&gt;"Có"),"Nguồn chưa xác định; ","")))</f>
        <v/>
      </c>
      <c r="V671" s="22">
        <f>IF(OR($D671="",$R671="Trùng"),"",IF(COUNTIF(ORDERS!$C$2:$C$4995,$D671)&gt;0,"Có","Không"))</f>
        <v/>
      </c>
      <c r="W671" s="22">
        <f>IF(OR($D671="",$R671="Trùng"),"",COUNTIFS(ORDERS!$C$2:$C$4995,$D671,ORDERS!$L$2:$L$4995,"Đã chuyển khoản"))</f>
        <v/>
      </c>
      <c r="X671" s="23">
        <f>IF(OR($D671="",$R671="Trùng"),"",SUMIFS(ORDERS!$J$2:$J$4995,ORDERS!$C$2:$C$4995,$D671,ORDERS!$L$2:$L$4995,"Đã chuyển khoản"))</f>
        <v/>
      </c>
      <c r="Y671" s="24" t="n"/>
    </row>
    <row r="672" ht="14.25" customHeight="1" s="40">
      <c r="A672" s="24" t="n"/>
      <c r="B672" s="27" t="n"/>
      <c r="C672" s="24" t="n"/>
      <c r="D672" s="28" t="n"/>
      <c r="E672" s="29" t="n"/>
      <c r="F672" s="24" t="n"/>
      <c r="G672" s="24" t="n"/>
      <c r="H672" s="21">
        <f>IF(ISNUMBER($B672),INT($B672)-WEEKDAY($B672,2)+1,"")</f>
        <v/>
      </c>
      <c r="I672" s="24" t="n"/>
      <c r="J672" s="22">
        <f t="array" ref="J672">IF($D672="","",IF($I672="","(trống REF)",IFERROR(INDEX(MASTER_SOURCE!$B$2:$B$495,MATCH($I672,MASTER_SOURCE!$A$2:$A$495,0)),"(REF không có trong MASTER_SOURCE)")))</f>
        <v/>
      </c>
      <c r="K672" s="22">
        <f t="array" ref="K672">IF($D672="","",IFERROR(INDEX(MASTER_SOURCE!$C$2:$C$495,MATCH($I672,MASTER_SOURCE!$A$2:$A$495,0)),""))</f>
        <v/>
      </c>
      <c r="L672" s="22">
        <f t="array" ref="L672">IF($D672="","",IFERROR(INDEX(MASTER_SOURCE!$D$2:$D$495,MATCH($I672,MASTER_SOURCE!$A$2:$A$495,0)),""))</f>
        <v/>
      </c>
      <c r="M672" s="24" t="n"/>
      <c r="N672" s="24" t="n"/>
      <c r="O672" s="24" t="n"/>
      <c r="P672" s="24" t="n"/>
      <c r="Q672" s="22">
        <f>IF($D672="","",IF(AND(OR(DANH_MUC!$L$5&lt;&gt;"Có",M672="Có"),OR(DANH_MUC!$L$6&lt;&gt;"Có",N672="Có"),OR(DANH_MUC!$L$7&lt;&gt;"Có",O672="Có"),OR(DANH_MUC!$L$8&lt;&gt;"Có",P672="Có")),"Có","Không"))</f>
        <v/>
      </c>
      <c r="R672" s="22">
        <f>IF($D672="","",IF(COUNTIF($D$2:$D672,$D672)&gt;1,"Trùng",""))</f>
        <v/>
      </c>
      <c r="S672" s="22">
        <f>IF($D672="","",IF(AND(LEN($D672)=10,LEFT($D672,1)="0",ISNUMBER(--$D672)),"Có","Không"))</f>
        <v/>
      </c>
      <c r="T672" s="22">
        <f>IF($D672="","",IF(AND($C672&lt;&gt;"",$Q672="Có",$R672="",$S672="Có",AND($L672&lt;&gt;"",OR($L672&lt;&gt;"Chưa xác định",DANH_MUC!$L$9="Có"))),"Có","Không"))</f>
        <v/>
      </c>
      <c r="U672" s="22">
        <f>IF(OR($D672="",$T672="Có"),"",IF($C672="","Thiếu họ tên; ","")&amp;IF($S672&lt;&gt;"Có","SĐT sai định dạng; ","")&amp;IF($R672="Trùng","Trùng SĐT; ","")&amp;IF($Q672&lt;&gt;"Có","Thiếu đồng ý bắt buộc; ","")&amp;IF($L672="","Thiếu/sai Mã REF; ",IF(AND($L672="Chưa xác định",DANH_MUC!$L$9&lt;&gt;"Có"),"Nguồn chưa xác định; ","")))</f>
        <v/>
      </c>
      <c r="V672" s="22">
        <f>IF(OR($D672="",$R672="Trùng"),"",IF(COUNTIF(ORDERS!$C$2:$C$4995,$D672)&gt;0,"Có","Không"))</f>
        <v/>
      </c>
      <c r="W672" s="22">
        <f>IF(OR($D672="",$R672="Trùng"),"",COUNTIFS(ORDERS!$C$2:$C$4995,$D672,ORDERS!$L$2:$L$4995,"Đã chuyển khoản"))</f>
        <v/>
      </c>
      <c r="X672" s="23">
        <f>IF(OR($D672="",$R672="Trùng"),"",SUMIFS(ORDERS!$J$2:$J$4995,ORDERS!$C$2:$C$4995,$D672,ORDERS!$L$2:$L$4995,"Đã chuyển khoản"))</f>
        <v/>
      </c>
      <c r="Y672" s="24" t="n"/>
    </row>
    <row r="673" ht="14.25" customHeight="1" s="40">
      <c r="A673" s="24" t="n"/>
      <c r="B673" s="27" t="n"/>
      <c r="C673" s="24" t="n"/>
      <c r="D673" s="28" t="n"/>
      <c r="E673" s="29" t="n"/>
      <c r="F673" s="24" t="n"/>
      <c r="G673" s="24" t="n"/>
      <c r="H673" s="21">
        <f>IF(ISNUMBER($B673),INT($B673)-WEEKDAY($B673,2)+1,"")</f>
        <v/>
      </c>
      <c r="I673" s="24" t="n"/>
      <c r="J673" s="22">
        <f t="array" ref="J673">IF($D673="","",IF($I673="","(trống REF)",IFERROR(INDEX(MASTER_SOURCE!$B$2:$B$495,MATCH($I673,MASTER_SOURCE!$A$2:$A$495,0)),"(REF không có trong MASTER_SOURCE)")))</f>
        <v/>
      </c>
      <c r="K673" s="22">
        <f t="array" ref="K673">IF($D673="","",IFERROR(INDEX(MASTER_SOURCE!$C$2:$C$495,MATCH($I673,MASTER_SOURCE!$A$2:$A$495,0)),""))</f>
        <v/>
      </c>
      <c r="L673" s="22">
        <f t="array" ref="L673">IF($D673="","",IFERROR(INDEX(MASTER_SOURCE!$D$2:$D$495,MATCH($I673,MASTER_SOURCE!$A$2:$A$495,0)),""))</f>
        <v/>
      </c>
      <c r="M673" s="24" t="n"/>
      <c r="N673" s="24" t="n"/>
      <c r="O673" s="24" t="n"/>
      <c r="P673" s="24" t="n"/>
      <c r="Q673" s="22">
        <f>IF($D673="","",IF(AND(OR(DANH_MUC!$L$5&lt;&gt;"Có",M673="Có"),OR(DANH_MUC!$L$6&lt;&gt;"Có",N673="Có"),OR(DANH_MUC!$L$7&lt;&gt;"Có",O673="Có"),OR(DANH_MUC!$L$8&lt;&gt;"Có",P673="Có")),"Có","Không"))</f>
        <v/>
      </c>
      <c r="R673" s="22">
        <f>IF($D673="","",IF(COUNTIF($D$2:$D673,$D673)&gt;1,"Trùng",""))</f>
        <v/>
      </c>
      <c r="S673" s="22">
        <f>IF($D673="","",IF(AND(LEN($D673)=10,LEFT($D673,1)="0",ISNUMBER(--$D673)),"Có","Không"))</f>
        <v/>
      </c>
      <c r="T673" s="22">
        <f>IF($D673="","",IF(AND($C673&lt;&gt;"",$Q673="Có",$R673="",$S673="Có",AND($L673&lt;&gt;"",OR($L673&lt;&gt;"Chưa xác định",DANH_MUC!$L$9="Có"))),"Có","Không"))</f>
        <v/>
      </c>
      <c r="U673" s="22">
        <f>IF(OR($D673="",$T673="Có"),"",IF($C673="","Thiếu họ tên; ","")&amp;IF($S673&lt;&gt;"Có","SĐT sai định dạng; ","")&amp;IF($R673="Trùng","Trùng SĐT; ","")&amp;IF($Q673&lt;&gt;"Có","Thiếu đồng ý bắt buộc; ","")&amp;IF($L673="","Thiếu/sai Mã REF; ",IF(AND($L673="Chưa xác định",DANH_MUC!$L$9&lt;&gt;"Có"),"Nguồn chưa xác định; ","")))</f>
        <v/>
      </c>
      <c r="V673" s="22">
        <f>IF(OR($D673="",$R673="Trùng"),"",IF(COUNTIF(ORDERS!$C$2:$C$4995,$D673)&gt;0,"Có","Không"))</f>
        <v/>
      </c>
      <c r="W673" s="22">
        <f>IF(OR($D673="",$R673="Trùng"),"",COUNTIFS(ORDERS!$C$2:$C$4995,$D673,ORDERS!$L$2:$L$4995,"Đã chuyển khoản"))</f>
        <v/>
      </c>
      <c r="X673" s="23">
        <f>IF(OR($D673="",$R673="Trùng"),"",SUMIFS(ORDERS!$J$2:$J$4995,ORDERS!$C$2:$C$4995,$D673,ORDERS!$L$2:$L$4995,"Đã chuyển khoản"))</f>
        <v/>
      </c>
      <c r="Y673" s="24" t="n"/>
    </row>
    <row r="674" ht="14.25" customHeight="1" s="40">
      <c r="A674" s="24" t="n"/>
      <c r="B674" s="27" t="n"/>
      <c r="C674" s="24" t="n"/>
      <c r="D674" s="28" t="n"/>
      <c r="E674" s="29" t="n"/>
      <c r="F674" s="24" t="n"/>
      <c r="G674" s="24" t="n"/>
      <c r="H674" s="21">
        <f>IF(ISNUMBER($B674),INT($B674)-WEEKDAY($B674,2)+1,"")</f>
        <v/>
      </c>
      <c r="I674" s="24" t="n"/>
      <c r="J674" s="22">
        <f t="array" ref="J674">IF($D674="","",IF($I674="","(trống REF)",IFERROR(INDEX(MASTER_SOURCE!$B$2:$B$495,MATCH($I674,MASTER_SOURCE!$A$2:$A$495,0)),"(REF không có trong MASTER_SOURCE)")))</f>
        <v/>
      </c>
      <c r="K674" s="22">
        <f t="array" ref="K674">IF($D674="","",IFERROR(INDEX(MASTER_SOURCE!$C$2:$C$495,MATCH($I674,MASTER_SOURCE!$A$2:$A$495,0)),""))</f>
        <v/>
      </c>
      <c r="L674" s="22">
        <f t="array" ref="L674">IF($D674="","",IFERROR(INDEX(MASTER_SOURCE!$D$2:$D$495,MATCH($I674,MASTER_SOURCE!$A$2:$A$495,0)),""))</f>
        <v/>
      </c>
      <c r="M674" s="24" t="n"/>
      <c r="N674" s="24" t="n"/>
      <c r="O674" s="24" t="n"/>
      <c r="P674" s="24" t="n"/>
      <c r="Q674" s="22">
        <f>IF($D674="","",IF(AND(OR(DANH_MUC!$L$5&lt;&gt;"Có",M674="Có"),OR(DANH_MUC!$L$6&lt;&gt;"Có",N674="Có"),OR(DANH_MUC!$L$7&lt;&gt;"Có",O674="Có"),OR(DANH_MUC!$L$8&lt;&gt;"Có",P674="Có")),"Có","Không"))</f>
        <v/>
      </c>
      <c r="R674" s="22">
        <f>IF($D674="","",IF(COUNTIF($D$2:$D674,$D674)&gt;1,"Trùng",""))</f>
        <v/>
      </c>
      <c r="S674" s="22">
        <f>IF($D674="","",IF(AND(LEN($D674)=10,LEFT($D674,1)="0",ISNUMBER(--$D674)),"Có","Không"))</f>
        <v/>
      </c>
      <c r="T674" s="22">
        <f>IF($D674="","",IF(AND($C674&lt;&gt;"",$Q674="Có",$R674="",$S674="Có",AND($L674&lt;&gt;"",OR($L674&lt;&gt;"Chưa xác định",DANH_MUC!$L$9="Có"))),"Có","Không"))</f>
        <v/>
      </c>
      <c r="U674" s="22">
        <f>IF(OR($D674="",$T674="Có"),"",IF($C674="","Thiếu họ tên; ","")&amp;IF($S674&lt;&gt;"Có","SĐT sai định dạng; ","")&amp;IF($R674="Trùng","Trùng SĐT; ","")&amp;IF($Q674&lt;&gt;"Có","Thiếu đồng ý bắt buộc; ","")&amp;IF($L674="","Thiếu/sai Mã REF; ",IF(AND($L674="Chưa xác định",DANH_MUC!$L$9&lt;&gt;"Có"),"Nguồn chưa xác định; ","")))</f>
        <v/>
      </c>
      <c r="V674" s="22">
        <f>IF(OR($D674="",$R674="Trùng"),"",IF(COUNTIF(ORDERS!$C$2:$C$4995,$D674)&gt;0,"Có","Không"))</f>
        <v/>
      </c>
      <c r="W674" s="22">
        <f>IF(OR($D674="",$R674="Trùng"),"",COUNTIFS(ORDERS!$C$2:$C$4995,$D674,ORDERS!$L$2:$L$4995,"Đã chuyển khoản"))</f>
        <v/>
      </c>
      <c r="X674" s="23">
        <f>IF(OR($D674="",$R674="Trùng"),"",SUMIFS(ORDERS!$J$2:$J$4995,ORDERS!$C$2:$C$4995,$D674,ORDERS!$L$2:$L$4995,"Đã chuyển khoản"))</f>
        <v/>
      </c>
      <c r="Y674" s="24" t="n"/>
    </row>
    <row r="675" ht="14.25" customHeight="1" s="40">
      <c r="A675" s="24" t="n"/>
      <c r="B675" s="27" t="n"/>
      <c r="C675" s="24" t="n"/>
      <c r="D675" s="28" t="n"/>
      <c r="E675" s="29" t="n"/>
      <c r="F675" s="24" t="n"/>
      <c r="G675" s="24" t="n"/>
      <c r="H675" s="21">
        <f>IF(ISNUMBER($B675),INT($B675)-WEEKDAY($B675,2)+1,"")</f>
        <v/>
      </c>
      <c r="I675" s="24" t="n"/>
      <c r="J675" s="22">
        <f t="array" ref="J675">IF($D675="","",IF($I675="","(trống REF)",IFERROR(INDEX(MASTER_SOURCE!$B$2:$B$495,MATCH($I675,MASTER_SOURCE!$A$2:$A$495,0)),"(REF không có trong MASTER_SOURCE)")))</f>
        <v/>
      </c>
      <c r="K675" s="22">
        <f t="array" ref="K675">IF($D675="","",IFERROR(INDEX(MASTER_SOURCE!$C$2:$C$495,MATCH($I675,MASTER_SOURCE!$A$2:$A$495,0)),""))</f>
        <v/>
      </c>
      <c r="L675" s="22">
        <f t="array" ref="L675">IF($D675="","",IFERROR(INDEX(MASTER_SOURCE!$D$2:$D$495,MATCH($I675,MASTER_SOURCE!$A$2:$A$495,0)),""))</f>
        <v/>
      </c>
      <c r="M675" s="24" t="n"/>
      <c r="N675" s="24" t="n"/>
      <c r="O675" s="24" t="n"/>
      <c r="P675" s="24" t="n"/>
      <c r="Q675" s="22">
        <f>IF($D675="","",IF(AND(OR(DANH_MUC!$L$5&lt;&gt;"Có",M675="Có"),OR(DANH_MUC!$L$6&lt;&gt;"Có",N675="Có"),OR(DANH_MUC!$L$7&lt;&gt;"Có",O675="Có"),OR(DANH_MUC!$L$8&lt;&gt;"Có",P675="Có")),"Có","Không"))</f>
        <v/>
      </c>
      <c r="R675" s="22">
        <f>IF($D675="","",IF(COUNTIF($D$2:$D675,$D675)&gt;1,"Trùng",""))</f>
        <v/>
      </c>
      <c r="S675" s="22">
        <f>IF($D675="","",IF(AND(LEN($D675)=10,LEFT($D675,1)="0",ISNUMBER(--$D675)),"Có","Không"))</f>
        <v/>
      </c>
      <c r="T675" s="22">
        <f>IF($D675="","",IF(AND($C675&lt;&gt;"",$Q675="Có",$R675="",$S675="Có",AND($L675&lt;&gt;"",OR($L675&lt;&gt;"Chưa xác định",DANH_MUC!$L$9="Có"))),"Có","Không"))</f>
        <v/>
      </c>
      <c r="U675" s="22">
        <f>IF(OR($D675="",$T675="Có"),"",IF($C675="","Thiếu họ tên; ","")&amp;IF($S675&lt;&gt;"Có","SĐT sai định dạng; ","")&amp;IF($R675="Trùng","Trùng SĐT; ","")&amp;IF($Q675&lt;&gt;"Có","Thiếu đồng ý bắt buộc; ","")&amp;IF($L675="","Thiếu/sai Mã REF; ",IF(AND($L675="Chưa xác định",DANH_MUC!$L$9&lt;&gt;"Có"),"Nguồn chưa xác định; ","")))</f>
        <v/>
      </c>
      <c r="V675" s="22">
        <f>IF(OR($D675="",$R675="Trùng"),"",IF(COUNTIF(ORDERS!$C$2:$C$4995,$D675)&gt;0,"Có","Không"))</f>
        <v/>
      </c>
      <c r="W675" s="22">
        <f>IF(OR($D675="",$R675="Trùng"),"",COUNTIFS(ORDERS!$C$2:$C$4995,$D675,ORDERS!$L$2:$L$4995,"Đã chuyển khoản"))</f>
        <v/>
      </c>
      <c r="X675" s="23">
        <f>IF(OR($D675="",$R675="Trùng"),"",SUMIFS(ORDERS!$J$2:$J$4995,ORDERS!$C$2:$C$4995,$D675,ORDERS!$L$2:$L$4995,"Đã chuyển khoản"))</f>
        <v/>
      </c>
      <c r="Y675" s="24" t="n"/>
    </row>
    <row r="676" ht="14.25" customHeight="1" s="40">
      <c r="A676" s="24" t="n"/>
      <c r="B676" s="27" t="n"/>
      <c r="C676" s="24" t="n"/>
      <c r="D676" s="28" t="n"/>
      <c r="E676" s="29" t="n"/>
      <c r="F676" s="24" t="n"/>
      <c r="G676" s="24" t="n"/>
      <c r="H676" s="21">
        <f>IF(ISNUMBER($B676),INT($B676)-WEEKDAY($B676,2)+1,"")</f>
        <v/>
      </c>
      <c r="I676" s="24" t="n"/>
      <c r="J676" s="22">
        <f t="array" ref="J676">IF($D676="","",IF($I676="","(trống REF)",IFERROR(INDEX(MASTER_SOURCE!$B$2:$B$495,MATCH($I676,MASTER_SOURCE!$A$2:$A$495,0)),"(REF không có trong MASTER_SOURCE)")))</f>
        <v/>
      </c>
      <c r="K676" s="22">
        <f t="array" ref="K676">IF($D676="","",IFERROR(INDEX(MASTER_SOURCE!$C$2:$C$495,MATCH($I676,MASTER_SOURCE!$A$2:$A$495,0)),""))</f>
        <v/>
      </c>
      <c r="L676" s="22">
        <f t="array" ref="L676">IF($D676="","",IFERROR(INDEX(MASTER_SOURCE!$D$2:$D$495,MATCH($I676,MASTER_SOURCE!$A$2:$A$495,0)),""))</f>
        <v/>
      </c>
      <c r="M676" s="24" t="n"/>
      <c r="N676" s="24" t="n"/>
      <c r="O676" s="24" t="n"/>
      <c r="P676" s="24" t="n"/>
      <c r="Q676" s="22">
        <f>IF($D676="","",IF(AND(OR(DANH_MUC!$L$5&lt;&gt;"Có",M676="Có"),OR(DANH_MUC!$L$6&lt;&gt;"Có",N676="Có"),OR(DANH_MUC!$L$7&lt;&gt;"Có",O676="Có"),OR(DANH_MUC!$L$8&lt;&gt;"Có",P676="Có")),"Có","Không"))</f>
        <v/>
      </c>
      <c r="R676" s="22">
        <f>IF($D676="","",IF(COUNTIF($D$2:$D676,$D676)&gt;1,"Trùng",""))</f>
        <v/>
      </c>
      <c r="S676" s="22">
        <f>IF($D676="","",IF(AND(LEN($D676)=10,LEFT($D676,1)="0",ISNUMBER(--$D676)),"Có","Không"))</f>
        <v/>
      </c>
      <c r="T676" s="22">
        <f>IF($D676="","",IF(AND($C676&lt;&gt;"",$Q676="Có",$R676="",$S676="Có",AND($L676&lt;&gt;"",OR($L676&lt;&gt;"Chưa xác định",DANH_MUC!$L$9="Có"))),"Có","Không"))</f>
        <v/>
      </c>
      <c r="U676" s="22">
        <f>IF(OR($D676="",$T676="Có"),"",IF($C676="","Thiếu họ tên; ","")&amp;IF($S676&lt;&gt;"Có","SĐT sai định dạng; ","")&amp;IF($R676="Trùng","Trùng SĐT; ","")&amp;IF($Q676&lt;&gt;"Có","Thiếu đồng ý bắt buộc; ","")&amp;IF($L676="","Thiếu/sai Mã REF; ",IF(AND($L676="Chưa xác định",DANH_MUC!$L$9&lt;&gt;"Có"),"Nguồn chưa xác định; ","")))</f>
        <v/>
      </c>
      <c r="V676" s="22">
        <f>IF(OR($D676="",$R676="Trùng"),"",IF(COUNTIF(ORDERS!$C$2:$C$4995,$D676)&gt;0,"Có","Không"))</f>
        <v/>
      </c>
      <c r="W676" s="22">
        <f>IF(OR($D676="",$R676="Trùng"),"",COUNTIFS(ORDERS!$C$2:$C$4995,$D676,ORDERS!$L$2:$L$4995,"Đã chuyển khoản"))</f>
        <v/>
      </c>
      <c r="X676" s="23">
        <f>IF(OR($D676="",$R676="Trùng"),"",SUMIFS(ORDERS!$J$2:$J$4995,ORDERS!$C$2:$C$4995,$D676,ORDERS!$L$2:$L$4995,"Đã chuyển khoản"))</f>
        <v/>
      </c>
      <c r="Y676" s="24" t="n"/>
    </row>
    <row r="677" ht="14.25" customHeight="1" s="40">
      <c r="A677" s="24" t="n"/>
      <c r="B677" s="27" t="n"/>
      <c r="C677" s="24" t="n"/>
      <c r="D677" s="28" t="n"/>
      <c r="E677" s="29" t="n"/>
      <c r="F677" s="24" t="n"/>
      <c r="G677" s="24" t="n"/>
      <c r="H677" s="21">
        <f>IF(ISNUMBER($B677),INT($B677)-WEEKDAY($B677,2)+1,"")</f>
        <v/>
      </c>
      <c r="I677" s="24" t="n"/>
      <c r="J677" s="22">
        <f t="array" ref="J677">IF($D677="","",IF($I677="","(trống REF)",IFERROR(INDEX(MASTER_SOURCE!$B$2:$B$495,MATCH($I677,MASTER_SOURCE!$A$2:$A$495,0)),"(REF không có trong MASTER_SOURCE)")))</f>
        <v/>
      </c>
      <c r="K677" s="22">
        <f t="array" ref="K677">IF($D677="","",IFERROR(INDEX(MASTER_SOURCE!$C$2:$C$495,MATCH($I677,MASTER_SOURCE!$A$2:$A$495,0)),""))</f>
        <v/>
      </c>
      <c r="L677" s="22">
        <f t="array" ref="L677">IF($D677="","",IFERROR(INDEX(MASTER_SOURCE!$D$2:$D$495,MATCH($I677,MASTER_SOURCE!$A$2:$A$495,0)),""))</f>
        <v/>
      </c>
      <c r="M677" s="24" t="n"/>
      <c r="N677" s="24" t="n"/>
      <c r="O677" s="24" t="n"/>
      <c r="P677" s="24" t="n"/>
      <c r="Q677" s="22">
        <f>IF($D677="","",IF(AND(OR(DANH_MUC!$L$5&lt;&gt;"Có",M677="Có"),OR(DANH_MUC!$L$6&lt;&gt;"Có",N677="Có"),OR(DANH_MUC!$L$7&lt;&gt;"Có",O677="Có"),OR(DANH_MUC!$L$8&lt;&gt;"Có",P677="Có")),"Có","Không"))</f>
        <v/>
      </c>
      <c r="R677" s="22">
        <f>IF($D677="","",IF(COUNTIF($D$2:$D677,$D677)&gt;1,"Trùng",""))</f>
        <v/>
      </c>
      <c r="S677" s="22">
        <f>IF($D677="","",IF(AND(LEN($D677)=10,LEFT($D677,1)="0",ISNUMBER(--$D677)),"Có","Không"))</f>
        <v/>
      </c>
      <c r="T677" s="22">
        <f>IF($D677="","",IF(AND($C677&lt;&gt;"",$Q677="Có",$R677="",$S677="Có",AND($L677&lt;&gt;"",OR($L677&lt;&gt;"Chưa xác định",DANH_MUC!$L$9="Có"))),"Có","Không"))</f>
        <v/>
      </c>
      <c r="U677" s="22">
        <f>IF(OR($D677="",$T677="Có"),"",IF($C677="","Thiếu họ tên; ","")&amp;IF($S677&lt;&gt;"Có","SĐT sai định dạng; ","")&amp;IF($R677="Trùng","Trùng SĐT; ","")&amp;IF($Q677&lt;&gt;"Có","Thiếu đồng ý bắt buộc; ","")&amp;IF($L677="","Thiếu/sai Mã REF; ",IF(AND($L677="Chưa xác định",DANH_MUC!$L$9&lt;&gt;"Có"),"Nguồn chưa xác định; ","")))</f>
        <v/>
      </c>
      <c r="V677" s="22">
        <f>IF(OR($D677="",$R677="Trùng"),"",IF(COUNTIF(ORDERS!$C$2:$C$4995,$D677)&gt;0,"Có","Không"))</f>
        <v/>
      </c>
      <c r="W677" s="22">
        <f>IF(OR($D677="",$R677="Trùng"),"",COUNTIFS(ORDERS!$C$2:$C$4995,$D677,ORDERS!$L$2:$L$4995,"Đã chuyển khoản"))</f>
        <v/>
      </c>
      <c r="X677" s="23">
        <f>IF(OR($D677="",$R677="Trùng"),"",SUMIFS(ORDERS!$J$2:$J$4995,ORDERS!$C$2:$C$4995,$D677,ORDERS!$L$2:$L$4995,"Đã chuyển khoản"))</f>
        <v/>
      </c>
      <c r="Y677" s="24" t="n"/>
    </row>
    <row r="678" ht="14.25" customHeight="1" s="40">
      <c r="A678" s="24" t="n"/>
      <c r="B678" s="27" t="n"/>
      <c r="C678" s="24" t="n"/>
      <c r="D678" s="28" t="n"/>
      <c r="E678" s="29" t="n"/>
      <c r="F678" s="24" t="n"/>
      <c r="G678" s="24" t="n"/>
      <c r="H678" s="21">
        <f>IF(ISNUMBER($B678),INT($B678)-WEEKDAY($B678,2)+1,"")</f>
        <v/>
      </c>
      <c r="I678" s="24" t="n"/>
      <c r="J678" s="22">
        <f t="array" ref="J678">IF($D678="","",IF($I678="","(trống REF)",IFERROR(INDEX(MASTER_SOURCE!$B$2:$B$495,MATCH($I678,MASTER_SOURCE!$A$2:$A$495,0)),"(REF không có trong MASTER_SOURCE)")))</f>
        <v/>
      </c>
      <c r="K678" s="22">
        <f t="array" ref="K678">IF($D678="","",IFERROR(INDEX(MASTER_SOURCE!$C$2:$C$495,MATCH($I678,MASTER_SOURCE!$A$2:$A$495,0)),""))</f>
        <v/>
      </c>
      <c r="L678" s="22">
        <f t="array" ref="L678">IF($D678="","",IFERROR(INDEX(MASTER_SOURCE!$D$2:$D$495,MATCH($I678,MASTER_SOURCE!$A$2:$A$495,0)),""))</f>
        <v/>
      </c>
      <c r="M678" s="24" t="n"/>
      <c r="N678" s="24" t="n"/>
      <c r="O678" s="24" t="n"/>
      <c r="P678" s="24" t="n"/>
      <c r="Q678" s="22">
        <f>IF($D678="","",IF(AND(OR(DANH_MUC!$L$5&lt;&gt;"Có",M678="Có"),OR(DANH_MUC!$L$6&lt;&gt;"Có",N678="Có"),OR(DANH_MUC!$L$7&lt;&gt;"Có",O678="Có"),OR(DANH_MUC!$L$8&lt;&gt;"Có",P678="Có")),"Có","Không"))</f>
        <v/>
      </c>
      <c r="R678" s="22">
        <f>IF($D678="","",IF(COUNTIF($D$2:$D678,$D678)&gt;1,"Trùng",""))</f>
        <v/>
      </c>
      <c r="S678" s="22">
        <f>IF($D678="","",IF(AND(LEN($D678)=10,LEFT($D678,1)="0",ISNUMBER(--$D678)),"Có","Không"))</f>
        <v/>
      </c>
      <c r="T678" s="22">
        <f>IF($D678="","",IF(AND($C678&lt;&gt;"",$Q678="Có",$R678="",$S678="Có",AND($L678&lt;&gt;"",OR($L678&lt;&gt;"Chưa xác định",DANH_MUC!$L$9="Có"))),"Có","Không"))</f>
        <v/>
      </c>
      <c r="U678" s="22">
        <f>IF(OR($D678="",$T678="Có"),"",IF($C678="","Thiếu họ tên; ","")&amp;IF($S678&lt;&gt;"Có","SĐT sai định dạng; ","")&amp;IF($R678="Trùng","Trùng SĐT; ","")&amp;IF($Q678&lt;&gt;"Có","Thiếu đồng ý bắt buộc; ","")&amp;IF($L678="","Thiếu/sai Mã REF; ",IF(AND($L678="Chưa xác định",DANH_MUC!$L$9&lt;&gt;"Có"),"Nguồn chưa xác định; ","")))</f>
        <v/>
      </c>
      <c r="V678" s="22">
        <f>IF(OR($D678="",$R678="Trùng"),"",IF(COUNTIF(ORDERS!$C$2:$C$4995,$D678)&gt;0,"Có","Không"))</f>
        <v/>
      </c>
      <c r="W678" s="22">
        <f>IF(OR($D678="",$R678="Trùng"),"",COUNTIFS(ORDERS!$C$2:$C$4995,$D678,ORDERS!$L$2:$L$4995,"Đã chuyển khoản"))</f>
        <v/>
      </c>
      <c r="X678" s="23">
        <f>IF(OR($D678="",$R678="Trùng"),"",SUMIFS(ORDERS!$J$2:$J$4995,ORDERS!$C$2:$C$4995,$D678,ORDERS!$L$2:$L$4995,"Đã chuyển khoản"))</f>
        <v/>
      </c>
      <c r="Y678" s="24" t="n"/>
    </row>
    <row r="679" ht="14.25" customHeight="1" s="40">
      <c r="A679" s="24" t="n"/>
      <c r="B679" s="27" t="n"/>
      <c r="C679" s="24" t="n"/>
      <c r="D679" s="28" t="n"/>
      <c r="E679" s="29" t="n"/>
      <c r="F679" s="24" t="n"/>
      <c r="G679" s="24" t="n"/>
      <c r="H679" s="21">
        <f>IF(ISNUMBER($B679),INT($B679)-WEEKDAY($B679,2)+1,"")</f>
        <v/>
      </c>
      <c r="I679" s="24" t="n"/>
      <c r="J679" s="22">
        <f t="array" ref="J679">IF($D679="","",IF($I679="","(trống REF)",IFERROR(INDEX(MASTER_SOURCE!$B$2:$B$495,MATCH($I679,MASTER_SOURCE!$A$2:$A$495,0)),"(REF không có trong MASTER_SOURCE)")))</f>
        <v/>
      </c>
      <c r="K679" s="22">
        <f t="array" ref="K679">IF($D679="","",IFERROR(INDEX(MASTER_SOURCE!$C$2:$C$495,MATCH($I679,MASTER_SOURCE!$A$2:$A$495,0)),""))</f>
        <v/>
      </c>
      <c r="L679" s="22">
        <f t="array" ref="L679">IF($D679="","",IFERROR(INDEX(MASTER_SOURCE!$D$2:$D$495,MATCH($I679,MASTER_SOURCE!$A$2:$A$495,0)),""))</f>
        <v/>
      </c>
      <c r="M679" s="24" t="n"/>
      <c r="N679" s="24" t="n"/>
      <c r="O679" s="24" t="n"/>
      <c r="P679" s="24" t="n"/>
      <c r="Q679" s="22">
        <f>IF($D679="","",IF(AND(OR(DANH_MUC!$L$5&lt;&gt;"Có",M679="Có"),OR(DANH_MUC!$L$6&lt;&gt;"Có",N679="Có"),OR(DANH_MUC!$L$7&lt;&gt;"Có",O679="Có"),OR(DANH_MUC!$L$8&lt;&gt;"Có",P679="Có")),"Có","Không"))</f>
        <v/>
      </c>
      <c r="R679" s="22">
        <f>IF($D679="","",IF(COUNTIF($D$2:$D679,$D679)&gt;1,"Trùng",""))</f>
        <v/>
      </c>
      <c r="S679" s="22">
        <f>IF($D679="","",IF(AND(LEN($D679)=10,LEFT($D679,1)="0",ISNUMBER(--$D679)),"Có","Không"))</f>
        <v/>
      </c>
      <c r="T679" s="22">
        <f>IF($D679="","",IF(AND($C679&lt;&gt;"",$Q679="Có",$R679="",$S679="Có",AND($L679&lt;&gt;"",OR($L679&lt;&gt;"Chưa xác định",DANH_MUC!$L$9="Có"))),"Có","Không"))</f>
        <v/>
      </c>
      <c r="U679" s="22">
        <f>IF(OR($D679="",$T679="Có"),"",IF($C679="","Thiếu họ tên; ","")&amp;IF($S679&lt;&gt;"Có","SĐT sai định dạng; ","")&amp;IF($R679="Trùng","Trùng SĐT; ","")&amp;IF($Q679&lt;&gt;"Có","Thiếu đồng ý bắt buộc; ","")&amp;IF($L679="","Thiếu/sai Mã REF; ",IF(AND($L679="Chưa xác định",DANH_MUC!$L$9&lt;&gt;"Có"),"Nguồn chưa xác định; ","")))</f>
        <v/>
      </c>
      <c r="V679" s="22">
        <f>IF(OR($D679="",$R679="Trùng"),"",IF(COUNTIF(ORDERS!$C$2:$C$4995,$D679)&gt;0,"Có","Không"))</f>
        <v/>
      </c>
      <c r="W679" s="22">
        <f>IF(OR($D679="",$R679="Trùng"),"",COUNTIFS(ORDERS!$C$2:$C$4995,$D679,ORDERS!$L$2:$L$4995,"Đã chuyển khoản"))</f>
        <v/>
      </c>
      <c r="X679" s="23">
        <f>IF(OR($D679="",$R679="Trùng"),"",SUMIFS(ORDERS!$J$2:$J$4995,ORDERS!$C$2:$C$4995,$D679,ORDERS!$L$2:$L$4995,"Đã chuyển khoản"))</f>
        <v/>
      </c>
      <c r="Y679" s="24" t="n"/>
    </row>
    <row r="680" ht="14.25" customHeight="1" s="40">
      <c r="A680" s="24" t="n"/>
      <c r="B680" s="27" t="n"/>
      <c r="C680" s="24" t="n"/>
      <c r="D680" s="28" t="n"/>
      <c r="E680" s="29" t="n"/>
      <c r="F680" s="24" t="n"/>
      <c r="G680" s="24" t="n"/>
      <c r="H680" s="21">
        <f>IF(ISNUMBER($B680),INT($B680)-WEEKDAY($B680,2)+1,"")</f>
        <v/>
      </c>
      <c r="I680" s="24" t="n"/>
      <c r="J680" s="22">
        <f t="array" ref="J680">IF($D680="","",IF($I680="","(trống REF)",IFERROR(INDEX(MASTER_SOURCE!$B$2:$B$495,MATCH($I680,MASTER_SOURCE!$A$2:$A$495,0)),"(REF không có trong MASTER_SOURCE)")))</f>
        <v/>
      </c>
      <c r="K680" s="22">
        <f t="array" ref="K680">IF($D680="","",IFERROR(INDEX(MASTER_SOURCE!$C$2:$C$495,MATCH($I680,MASTER_SOURCE!$A$2:$A$495,0)),""))</f>
        <v/>
      </c>
      <c r="L680" s="22">
        <f t="array" ref="L680">IF($D680="","",IFERROR(INDEX(MASTER_SOURCE!$D$2:$D$495,MATCH($I680,MASTER_SOURCE!$A$2:$A$495,0)),""))</f>
        <v/>
      </c>
      <c r="M680" s="24" t="n"/>
      <c r="N680" s="24" t="n"/>
      <c r="O680" s="24" t="n"/>
      <c r="P680" s="24" t="n"/>
      <c r="Q680" s="22">
        <f>IF($D680="","",IF(AND(OR(DANH_MUC!$L$5&lt;&gt;"Có",M680="Có"),OR(DANH_MUC!$L$6&lt;&gt;"Có",N680="Có"),OR(DANH_MUC!$L$7&lt;&gt;"Có",O680="Có"),OR(DANH_MUC!$L$8&lt;&gt;"Có",P680="Có")),"Có","Không"))</f>
        <v/>
      </c>
      <c r="R680" s="22">
        <f>IF($D680="","",IF(COUNTIF($D$2:$D680,$D680)&gt;1,"Trùng",""))</f>
        <v/>
      </c>
      <c r="S680" s="22">
        <f>IF($D680="","",IF(AND(LEN($D680)=10,LEFT($D680,1)="0",ISNUMBER(--$D680)),"Có","Không"))</f>
        <v/>
      </c>
      <c r="T680" s="22">
        <f>IF($D680="","",IF(AND($C680&lt;&gt;"",$Q680="Có",$R680="",$S680="Có",AND($L680&lt;&gt;"",OR($L680&lt;&gt;"Chưa xác định",DANH_MUC!$L$9="Có"))),"Có","Không"))</f>
        <v/>
      </c>
      <c r="U680" s="22">
        <f>IF(OR($D680="",$T680="Có"),"",IF($C680="","Thiếu họ tên; ","")&amp;IF($S680&lt;&gt;"Có","SĐT sai định dạng; ","")&amp;IF($R680="Trùng","Trùng SĐT; ","")&amp;IF($Q680&lt;&gt;"Có","Thiếu đồng ý bắt buộc; ","")&amp;IF($L680="","Thiếu/sai Mã REF; ",IF(AND($L680="Chưa xác định",DANH_MUC!$L$9&lt;&gt;"Có"),"Nguồn chưa xác định; ","")))</f>
        <v/>
      </c>
      <c r="V680" s="22">
        <f>IF(OR($D680="",$R680="Trùng"),"",IF(COUNTIF(ORDERS!$C$2:$C$4995,$D680)&gt;0,"Có","Không"))</f>
        <v/>
      </c>
      <c r="W680" s="22">
        <f>IF(OR($D680="",$R680="Trùng"),"",COUNTIFS(ORDERS!$C$2:$C$4995,$D680,ORDERS!$L$2:$L$4995,"Đã chuyển khoản"))</f>
        <v/>
      </c>
      <c r="X680" s="23">
        <f>IF(OR($D680="",$R680="Trùng"),"",SUMIFS(ORDERS!$J$2:$J$4995,ORDERS!$C$2:$C$4995,$D680,ORDERS!$L$2:$L$4995,"Đã chuyển khoản"))</f>
        <v/>
      </c>
      <c r="Y680" s="24" t="n"/>
    </row>
    <row r="681" ht="14.25" customHeight="1" s="40">
      <c r="A681" s="24" t="n"/>
      <c r="B681" s="27" t="n"/>
      <c r="C681" s="24" t="n"/>
      <c r="D681" s="28" t="n"/>
      <c r="E681" s="29" t="n"/>
      <c r="F681" s="24" t="n"/>
      <c r="G681" s="24" t="n"/>
      <c r="H681" s="21">
        <f>IF(ISNUMBER($B681),INT($B681)-WEEKDAY($B681,2)+1,"")</f>
        <v/>
      </c>
      <c r="I681" s="24" t="n"/>
      <c r="J681" s="22">
        <f t="array" ref="J681">IF($D681="","",IF($I681="","(trống REF)",IFERROR(INDEX(MASTER_SOURCE!$B$2:$B$495,MATCH($I681,MASTER_SOURCE!$A$2:$A$495,0)),"(REF không có trong MASTER_SOURCE)")))</f>
        <v/>
      </c>
      <c r="K681" s="22">
        <f t="array" ref="K681">IF($D681="","",IFERROR(INDEX(MASTER_SOURCE!$C$2:$C$495,MATCH($I681,MASTER_SOURCE!$A$2:$A$495,0)),""))</f>
        <v/>
      </c>
      <c r="L681" s="22">
        <f t="array" ref="L681">IF($D681="","",IFERROR(INDEX(MASTER_SOURCE!$D$2:$D$495,MATCH($I681,MASTER_SOURCE!$A$2:$A$495,0)),""))</f>
        <v/>
      </c>
      <c r="M681" s="24" t="n"/>
      <c r="N681" s="24" t="n"/>
      <c r="O681" s="24" t="n"/>
      <c r="P681" s="24" t="n"/>
      <c r="Q681" s="22">
        <f>IF($D681="","",IF(AND(OR(DANH_MUC!$L$5&lt;&gt;"Có",M681="Có"),OR(DANH_MUC!$L$6&lt;&gt;"Có",N681="Có"),OR(DANH_MUC!$L$7&lt;&gt;"Có",O681="Có"),OR(DANH_MUC!$L$8&lt;&gt;"Có",P681="Có")),"Có","Không"))</f>
        <v/>
      </c>
      <c r="R681" s="22">
        <f>IF($D681="","",IF(COUNTIF($D$2:$D681,$D681)&gt;1,"Trùng",""))</f>
        <v/>
      </c>
      <c r="S681" s="22">
        <f>IF($D681="","",IF(AND(LEN($D681)=10,LEFT($D681,1)="0",ISNUMBER(--$D681)),"Có","Không"))</f>
        <v/>
      </c>
      <c r="T681" s="22">
        <f>IF($D681="","",IF(AND($C681&lt;&gt;"",$Q681="Có",$R681="",$S681="Có",AND($L681&lt;&gt;"",OR($L681&lt;&gt;"Chưa xác định",DANH_MUC!$L$9="Có"))),"Có","Không"))</f>
        <v/>
      </c>
      <c r="U681" s="22">
        <f>IF(OR($D681="",$T681="Có"),"",IF($C681="","Thiếu họ tên; ","")&amp;IF($S681&lt;&gt;"Có","SĐT sai định dạng; ","")&amp;IF($R681="Trùng","Trùng SĐT; ","")&amp;IF($Q681&lt;&gt;"Có","Thiếu đồng ý bắt buộc; ","")&amp;IF($L681="","Thiếu/sai Mã REF; ",IF(AND($L681="Chưa xác định",DANH_MUC!$L$9&lt;&gt;"Có"),"Nguồn chưa xác định; ","")))</f>
        <v/>
      </c>
      <c r="V681" s="22">
        <f>IF(OR($D681="",$R681="Trùng"),"",IF(COUNTIF(ORDERS!$C$2:$C$4995,$D681)&gt;0,"Có","Không"))</f>
        <v/>
      </c>
      <c r="W681" s="22">
        <f>IF(OR($D681="",$R681="Trùng"),"",COUNTIFS(ORDERS!$C$2:$C$4995,$D681,ORDERS!$L$2:$L$4995,"Đã chuyển khoản"))</f>
        <v/>
      </c>
      <c r="X681" s="23">
        <f>IF(OR($D681="",$R681="Trùng"),"",SUMIFS(ORDERS!$J$2:$J$4995,ORDERS!$C$2:$C$4995,$D681,ORDERS!$L$2:$L$4995,"Đã chuyển khoản"))</f>
        <v/>
      </c>
      <c r="Y681" s="24" t="n"/>
    </row>
    <row r="682" ht="14.25" customHeight="1" s="40">
      <c r="A682" s="24" t="n"/>
      <c r="B682" s="27" t="n"/>
      <c r="C682" s="24" t="n"/>
      <c r="D682" s="28" t="n"/>
      <c r="E682" s="29" t="n"/>
      <c r="F682" s="24" t="n"/>
      <c r="G682" s="24" t="n"/>
      <c r="H682" s="21">
        <f>IF(ISNUMBER($B682),INT($B682)-WEEKDAY($B682,2)+1,"")</f>
        <v/>
      </c>
      <c r="I682" s="24" t="n"/>
      <c r="J682" s="22">
        <f t="array" ref="J682">IF($D682="","",IF($I682="","(trống REF)",IFERROR(INDEX(MASTER_SOURCE!$B$2:$B$495,MATCH($I682,MASTER_SOURCE!$A$2:$A$495,0)),"(REF không có trong MASTER_SOURCE)")))</f>
        <v/>
      </c>
      <c r="K682" s="22">
        <f t="array" ref="K682">IF($D682="","",IFERROR(INDEX(MASTER_SOURCE!$C$2:$C$495,MATCH($I682,MASTER_SOURCE!$A$2:$A$495,0)),""))</f>
        <v/>
      </c>
      <c r="L682" s="22">
        <f t="array" ref="L682">IF($D682="","",IFERROR(INDEX(MASTER_SOURCE!$D$2:$D$495,MATCH($I682,MASTER_SOURCE!$A$2:$A$495,0)),""))</f>
        <v/>
      </c>
      <c r="M682" s="24" t="n"/>
      <c r="N682" s="24" t="n"/>
      <c r="O682" s="24" t="n"/>
      <c r="P682" s="24" t="n"/>
      <c r="Q682" s="22">
        <f>IF($D682="","",IF(AND(OR(DANH_MUC!$L$5&lt;&gt;"Có",M682="Có"),OR(DANH_MUC!$L$6&lt;&gt;"Có",N682="Có"),OR(DANH_MUC!$L$7&lt;&gt;"Có",O682="Có"),OR(DANH_MUC!$L$8&lt;&gt;"Có",P682="Có")),"Có","Không"))</f>
        <v/>
      </c>
      <c r="R682" s="22">
        <f>IF($D682="","",IF(COUNTIF($D$2:$D682,$D682)&gt;1,"Trùng",""))</f>
        <v/>
      </c>
      <c r="S682" s="22">
        <f>IF($D682="","",IF(AND(LEN($D682)=10,LEFT($D682,1)="0",ISNUMBER(--$D682)),"Có","Không"))</f>
        <v/>
      </c>
      <c r="T682" s="22">
        <f>IF($D682="","",IF(AND($C682&lt;&gt;"",$Q682="Có",$R682="",$S682="Có",AND($L682&lt;&gt;"",OR($L682&lt;&gt;"Chưa xác định",DANH_MUC!$L$9="Có"))),"Có","Không"))</f>
        <v/>
      </c>
      <c r="U682" s="22">
        <f>IF(OR($D682="",$T682="Có"),"",IF($C682="","Thiếu họ tên; ","")&amp;IF($S682&lt;&gt;"Có","SĐT sai định dạng; ","")&amp;IF($R682="Trùng","Trùng SĐT; ","")&amp;IF($Q682&lt;&gt;"Có","Thiếu đồng ý bắt buộc; ","")&amp;IF($L682="","Thiếu/sai Mã REF; ",IF(AND($L682="Chưa xác định",DANH_MUC!$L$9&lt;&gt;"Có"),"Nguồn chưa xác định; ","")))</f>
        <v/>
      </c>
      <c r="V682" s="22">
        <f>IF(OR($D682="",$R682="Trùng"),"",IF(COUNTIF(ORDERS!$C$2:$C$4995,$D682)&gt;0,"Có","Không"))</f>
        <v/>
      </c>
      <c r="W682" s="22">
        <f>IF(OR($D682="",$R682="Trùng"),"",COUNTIFS(ORDERS!$C$2:$C$4995,$D682,ORDERS!$L$2:$L$4995,"Đã chuyển khoản"))</f>
        <v/>
      </c>
      <c r="X682" s="23">
        <f>IF(OR($D682="",$R682="Trùng"),"",SUMIFS(ORDERS!$J$2:$J$4995,ORDERS!$C$2:$C$4995,$D682,ORDERS!$L$2:$L$4995,"Đã chuyển khoản"))</f>
        <v/>
      </c>
      <c r="Y682" s="24" t="n"/>
    </row>
    <row r="683" ht="14.25" customHeight="1" s="40">
      <c r="A683" s="24" t="n"/>
      <c r="B683" s="27" t="n"/>
      <c r="C683" s="24" t="n"/>
      <c r="D683" s="28" t="n"/>
      <c r="E683" s="29" t="n"/>
      <c r="F683" s="24" t="n"/>
      <c r="G683" s="24" t="n"/>
      <c r="H683" s="21">
        <f>IF(ISNUMBER($B683),INT($B683)-WEEKDAY($B683,2)+1,"")</f>
        <v/>
      </c>
      <c r="I683" s="24" t="n"/>
      <c r="J683" s="22">
        <f t="array" ref="J683">IF($D683="","",IF($I683="","(trống REF)",IFERROR(INDEX(MASTER_SOURCE!$B$2:$B$495,MATCH($I683,MASTER_SOURCE!$A$2:$A$495,0)),"(REF không có trong MASTER_SOURCE)")))</f>
        <v/>
      </c>
      <c r="K683" s="22">
        <f t="array" ref="K683">IF($D683="","",IFERROR(INDEX(MASTER_SOURCE!$C$2:$C$495,MATCH($I683,MASTER_SOURCE!$A$2:$A$495,0)),""))</f>
        <v/>
      </c>
      <c r="L683" s="22">
        <f t="array" ref="L683">IF($D683="","",IFERROR(INDEX(MASTER_SOURCE!$D$2:$D$495,MATCH($I683,MASTER_SOURCE!$A$2:$A$495,0)),""))</f>
        <v/>
      </c>
      <c r="M683" s="24" t="n"/>
      <c r="N683" s="24" t="n"/>
      <c r="O683" s="24" t="n"/>
      <c r="P683" s="24" t="n"/>
      <c r="Q683" s="22">
        <f>IF($D683="","",IF(AND(OR(DANH_MUC!$L$5&lt;&gt;"Có",M683="Có"),OR(DANH_MUC!$L$6&lt;&gt;"Có",N683="Có"),OR(DANH_MUC!$L$7&lt;&gt;"Có",O683="Có"),OR(DANH_MUC!$L$8&lt;&gt;"Có",P683="Có")),"Có","Không"))</f>
        <v/>
      </c>
      <c r="R683" s="22">
        <f>IF($D683="","",IF(COUNTIF($D$2:$D683,$D683)&gt;1,"Trùng",""))</f>
        <v/>
      </c>
      <c r="S683" s="22">
        <f>IF($D683="","",IF(AND(LEN($D683)=10,LEFT($D683,1)="0",ISNUMBER(--$D683)),"Có","Không"))</f>
        <v/>
      </c>
      <c r="T683" s="22">
        <f>IF($D683="","",IF(AND($C683&lt;&gt;"",$Q683="Có",$R683="",$S683="Có",AND($L683&lt;&gt;"",OR($L683&lt;&gt;"Chưa xác định",DANH_MUC!$L$9="Có"))),"Có","Không"))</f>
        <v/>
      </c>
      <c r="U683" s="22">
        <f>IF(OR($D683="",$T683="Có"),"",IF($C683="","Thiếu họ tên; ","")&amp;IF($S683&lt;&gt;"Có","SĐT sai định dạng; ","")&amp;IF($R683="Trùng","Trùng SĐT; ","")&amp;IF($Q683&lt;&gt;"Có","Thiếu đồng ý bắt buộc; ","")&amp;IF($L683="","Thiếu/sai Mã REF; ",IF(AND($L683="Chưa xác định",DANH_MUC!$L$9&lt;&gt;"Có"),"Nguồn chưa xác định; ","")))</f>
        <v/>
      </c>
      <c r="V683" s="22">
        <f>IF(OR($D683="",$R683="Trùng"),"",IF(COUNTIF(ORDERS!$C$2:$C$4995,$D683)&gt;0,"Có","Không"))</f>
        <v/>
      </c>
      <c r="W683" s="22">
        <f>IF(OR($D683="",$R683="Trùng"),"",COUNTIFS(ORDERS!$C$2:$C$4995,$D683,ORDERS!$L$2:$L$4995,"Đã chuyển khoản"))</f>
        <v/>
      </c>
      <c r="X683" s="23">
        <f>IF(OR($D683="",$R683="Trùng"),"",SUMIFS(ORDERS!$J$2:$J$4995,ORDERS!$C$2:$C$4995,$D683,ORDERS!$L$2:$L$4995,"Đã chuyển khoản"))</f>
        <v/>
      </c>
      <c r="Y683" s="24" t="n"/>
    </row>
    <row r="684" ht="14.25" customHeight="1" s="40">
      <c r="A684" s="24" t="n"/>
      <c r="B684" s="27" t="n"/>
      <c r="C684" s="24" t="n"/>
      <c r="D684" s="28" t="n"/>
      <c r="E684" s="29" t="n"/>
      <c r="F684" s="24" t="n"/>
      <c r="G684" s="24" t="n"/>
      <c r="H684" s="21">
        <f>IF(ISNUMBER($B684),INT($B684)-WEEKDAY($B684,2)+1,"")</f>
        <v/>
      </c>
      <c r="I684" s="24" t="n"/>
      <c r="J684" s="22">
        <f t="array" ref="J684">IF($D684="","",IF($I684="","(trống REF)",IFERROR(INDEX(MASTER_SOURCE!$B$2:$B$495,MATCH($I684,MASTER_SOURCE!$A$2:$A$495,0)),"(REF không có trong MASTER_SOURCE)")))</f>
        <v/>
      </c>
      <c r="K684" s="22">
        <f t="array" ref="K684">IF($D684="","",IFERROR(INDEX(MASTER_SOURCE!$C$2:$C$495,MATCH($I684,MASTER_SOURCE!$A$2:$A$495,0)),""))</f>
        <v/>
      </c>
      <c r="L684" s="22">
        <f t="array" ref="L684">IF($D684="","",IFERROR(INDEX(MASTER_SOURCE!$D$2:$D$495,MATCH($I684,MASTER_SOURCE!$A$2:$A$495,0)),""))</f>
        <v/>
      </c>
      <c r="M684" s="24" t="n"/>
      <c r="N684" s="24" t="n"/>
      <c r="O684" s="24" t="n"/>
      <c r="P684" s="24" t="n"/>
      <c r="Q684" s="22">
        <f>IF($D684="","",IF(AND(OR(DANH_MUC!$L$5&lt;&gt;"Có",M684="Có"),OR(DANH_MUC!$L$6&lt;&gt;"Có",N684="Có"),OR(DANH_MUC!$L$7&lt;&gt;"Có",O684="Có"),OR(DANH_MUC!$L$8&lt;&gt;"Có",P684="Có")),"Có","Không"))</f>
        <v/>
      </c>
      <c r="R684" s="22">
        <f>IF($D684="","",IF(COUNTIF($D$2:$D684,$D684)&gt;1,"Trùng",""))</f>
        <v/>
      </c>
      <c r="S684" s="22">
        <f>IF($D684="","",IF(AND(LEN($D684)=10,LEFT($D684,1)="0",ISNUMBER(--$D684)),"Có","Không"))</f>
        <v/>
      </c>
      <c r="T684" s="22">
        <f>IF($D684="","",IF(AND($C684&lt;&gt;"",$Q684="Có",$R684="",$S684="Có",AND($L684&lt;&gt;"",OR($L684&lt;&gt;"Chưa xác định",DANH_MUC!$L$9="Có"))),"Có","Không"))</f>
        <v/>
      </c>
      <c r="U684" s="22">
        <f>IF(OR($D684="",$T684="Có"),"",IF($C684="","Thiếu họ tên; ","")&amp;IF($S684&lt;&gt;"Có","SĐT sai định dạng; ","")&amp;IF($R684="Trùng","Trùng SĐT; ","")&amp;IF($Q684&lt;&gt;"Có","Thiếu đồng ý bắt buộc; ","")&amp;IF($L684="","Thiếu/sai Mã REF; ",IF(AND($L684="Chưa xác định",DANH_MUC!$L$9&lt;&gt;"Có"),"Nguồn chưa xác định; ","")))</f>
        <v/>
      </c>
      <c r="V684" s="22">
        <f>IF(OR($D684="",$R684="Trùng"),"",IF(COUNTIF(ORDERS!$C$2:$C$4995,$D684)&gt;0,"Có","Không"))</f>
        <v/>
      </c>
      <c r="W684" s="22">
        <f>IF(OR($D684="",$R684="Trùng"),"",COUNTIFS(ORDERS!$C$2:$C$4995,$D684,ORDERS!$L$2:$L$4995,"Đã chuyển khoản"))</f>
        <v/>
      </c>
      <c r="X684" s="23">
        <f>IF(OR($D684="",$R684="Trùng"),"",SUMIFS(ORDERS!$J$2:$J$4995,ORDERS!$C$2:$C$4995,$D684,ORDERS!$L$2:$L$4995,"Đã chuyển khoản"))</f>
        <v/>
      </c>
      <c r="Y684" s="24" t="n"/>
    </row>
    <row r="685" ht="14.25" customHeight="1" s="40">
      <c r="A685" s="24" t="n"/>
      <c r="B685" s="27" t="n"/>
      <c r="C685" s="24" t="n"/>
      <c r="D685" s="28" t="n"/>
      <c r="E685" s="29" t="n"/>
      <c r="F685" s="24" t="n"/>
      <c r="G685" s="24" t="n"/>
      <c r="H685" s="21">
        <f>IF(ISNUMBER($B685),INT($B685)-WEEKDAY($B685,2)+1,"")</f>
        <v/>
      </c>
      <c r="I685" s="24" t="n"/>
      <c r="J685" s="22">
        <f t="array" ref="J685">IF($D685="","",IF($I685="","(trống REF)",IFERROR(INDEX(MASTER_SOURCE!$B$2:$B$495,MATCH($I685,MASTER_SOURCE!$A$2:$A$495,0)),"(REF không có trong MASTER_SOURCE)")))</f>
        <v/>
      </c>
      <c r="K685" s="22">
        <f t="array" ref="K685">IF($D685="","",IFERROR(INDEX(MASTER_SOURCE!$C$2:$C$495,MATCH($I685,MASTER_SOURCE!$A$2:$A$495,0)),""))</f>
        <v/>
      </c>
      <c r="L685" s="22">
        <f t="array" ref="L685">IF($D685="","",IFERROR(INDEX(MASTER_SOURCE!$D$2:$D$495,MATCH($I685,MASTER_SOURCE!$A$2:$A$495,0)),""))</f>
        <v/>
      </c>
      <c r="M685" s="24" t="n"/>
      <c r="N685" s="24" t="n"/>
      <c r="O685" s="24" t="n"/>
      <c r="P685" s="24" t="n"/>
      <c r="Q685" s="22">
        <f>IF($D685="","",IF(AND(OR(DANH_MUC!$L$5&lt;&gt;"Có",M685="Có"),OR(DANH_MUC!$L$6&lt;&gt;"Có",N685="Có"),OR(DANH_MUC!$L$7&lt;&gt;"Có",O685="Có"),OR(DANH_MUC!$L$8&lt;&gt;"Có",P685="Có")),"Có","Không"))</f>
        <v/>
      </c>
      <c r="R685" s="22">
        <f>IF($D685="","",IF(COUNTIF($D$2:$D685,$D685)&gt;1,"Trùng",""))</f>
        <v/>
      </c>
      <c r="S685" s="22">
        <f>IF($D685="","",IF(AND(LEN($D685)=10,LEFT($D685,1)="0",ISNUMBER(--$D685)),"Có","Không"))</f>
        <v/>
      </c>
      <c r="T685" s="22">
        <f>IF($D685="","",IF(AND($C685&lt;&gt;"",$Q685="Có",$R685="",$S685="Có",AND($L685&lt;&gt;"",OR($L685&lt;&gt;"Chưa xác định",DANH_MUC!$L$9="Có"))),"Có","Không"))</f>
        <v/>
      </c>
      <c r="U685" s="22">
        <f>IF(OR($D685="",$T685="Có"),"",IF($C685="","Thiếu họ tên; ","")&amp;IF($S685&lt;&gt;"Có","SĐT sai định dạng; ","")&amp;IF($R685="Trùng","Trùng SĐT; ","")&amp;IF($Q685&lt;&gt;"Có","Thiếu đồng ý bắt buộc; ","")&amp;IF($L685="","Thiếu/sai Mã REF; ",IF(AND($L685="Chưa xác định",DANH_MUC!$L$9&lt;&gt;"Có"),"Nguồn chưa xác định; ","")))</f>
        <v/>
      </c>
      <c r="V685" s="22">
        <f>IF(OR($D685="",$R685="Trùng"),"",IF(COUNTIF(ORDERS!$C$2:$C$4995,$D685)&gt;0,"Có","Không"))</f>
        <v/>
      </c>
      <c r="W685" s="22">
        <f>IF(OR($D685="",$R685="Trùng"),"",COUNTIFS(ORDERS!$C$2:$C$4995,$D685,ORDERS!$L$2:$L$4995,"Đã chuyển khoản"))</f>
        <v/>
      </c>
      <c r="X685" s="23">
        <f>IF(OR($D685="",$R685="Trùng"),"",SUMIFS(ORDERS!$J$2:$J$4995,ORDERS!$C$2:$C$4995,$D685,ORDERS!$L$2:$L$4995,"Đã chuyển khoản"))</f>
        <v/>
      </c>
      <c r="Y685" s="24" t="n"/>
    </row>
    <row r="686" ht="14.25" customHeight="1" s="40">
      <c r="A686" s="24" t="n"/>
      <c r="B686" s="27" t="n"/>
      <c r="C686" s="24" t="n"/>
      <c r="D686" s="28" t="n"/>
      <c r="E686" s="29" t="n"/>
      <c r="F686" s="24" t="n"/>
      <c r="G686" s="24" t="n"/>
      <c r="H686" s="21">
        <f>IF(ISNUMBER($B686),INT($B686)-WEEKDAY($B686,2)+1,"")</f>
        <v/>
      </c>
      <c r="I686" s="24" t="n"/>
      <c r="J686" s="22">
        <f t="array" ref="J686">IF($D686="","",IF($I686="","(trống REF)",IFERROR(INDEX(MASTER_SOURCE!$B$2:$B$495,MATCH($I686,MASTER_SOURCE!$A$2:$A$495,0)),"(REF không có trong MASTER_SOURCE)")))</f>
        <v/>
      </c>
      <c r="K686" s="22">
        <f t="array" ref="K686">IF($D686="","",IFERROR(INDEX(MASTER_SOURCE!$C$2:$C$495,MATCH($I686,MASTER_SOURCE!$A$2:$A$495,0)),""))</f>
        <v/>
      </c>
      <c r="L686" s="22">
        <f t="array" ref="L686">IF($D686="","",IFERROR(INDEX(MASTER_SOURCE!$D$2:$D$495,MATCH($I686,MASTER_SOURCE!$A$2:$A$495,0)),""))</f>
        <v/>
      </c>
      <c r="M686" s="24" t="n"/>
      <c r="N686" s="24" t="n"/>
      <c r="O686" s="24" t="n"/>
      <c r="P686" s="24" t="n"/>
      <c r="Q686" s="22">
        <f>IF($D686="","",IF(AND(OR(DANH_MUC!$L$5&lt;&gt;"Có",M686="Có"),OR(DANH_MUC!$L$6&lt;&gt;"Có",N686="Có"),OR(DANH_MUC!$L$7&lt;&gt;"Có",O686="Có"),OR(DANH_MUC!$L$8&lt;&gt;"Có",P686="Có")),"Có","Không"))</f>
        <v/>
      </c>
      <c r="R686" s="22">
        <f>IF($D686="","",IF(COUNTIF($D$2:$D686,$D686)&gt;1,"Trùng",""))</f>
        <v/>
      </c>
      <c r="S686" s="22">
        <f>IF($D686="","",IF(AND(LEN($D686)=10,LEFT($D686,1)="0",ISNUMBER(--$D686)),"Có","Không"))</f>
        <v/>
      </c>
      <c r="T686" s="22">
        <f>IF($D686="","",IF(AND($C686&lt;&gt;"",$Q686="Có",$R686="",$S686="Có",AND($L686&lt;&gt;"",OR($L686&lt;&gt;"Chưa xác định",DANH_MUC!$L$9="Có"))),"Có","Không"))</f>
        <v/>
      </c>
      <c r="U686" s="22">
        <f>IF(OR($D686="",$T686="Có"),"",IF($C686="","Thiếu họ tên; ","")&amp;IF($S686&lt;&gt;"Có","SĐT sai định dạng; ","")&amp;IF($R686="Trùng","Trùng SĐT; ","")&amp;IF($Q686&lt;&gt;"Có","Thiếu đồng ý bắt buộc; ","")&amp;IF($L686="","Thiếu/sai Mã REF; ",IF(AND($L686="Chưa xác định",DANH_MUC!$L$9&lt;&gt;"Có"),"Nguồn chưa xác định; ","")))</f>
        <v/>
      </c>
      <c r="V686" s="22">
        <f>IF(OR($D686="",$R686="Trùng"),"",IF(COUNTIF(ORDERS!$C$2:$C$4995,$D686)&gt;0,"Có","Không"))</f>
        <v/>
      </c>
      <c r="W686" s="22">
        <f>IF(OR($D686="",$R686="Trùng"),"",COUNTIFS(ORDERS!$C$2:$C$4995,$D686,ORDERS!$L$2:$L$4995,"Đã chuyển khoản"))</f>
        <v/>
      </c>
      <c r="X686" s="23">
        <f>IF(OR($D686="",$R686="Trùng"),"",SUMIFS(ORDERS!$J$2:$J$4995,ORDERS!$C$2:$C$4995,$D686,ORDERS!$L$2:$L$4995,"Đã chuyển khoản"))</f>
        <v/>
      </c>
      <c r="Y686" s="24" t="n"/>
    </row>
    <row r="687" ht="14.25" customHeight="1" s="40">
      <c r="A687" s="24" t="n"/>
      <c r="B687" s="27" t="n"/>
      <c r="C687" s="24" t="n"/>
      <c r="D687" s="28" t="n"/>
      <c r="E687" s="29" t="n"/>
      <c r="F687" s="24" t="n"/>
      <c r="G687" s="24" t="n"/>
      <c r="H687" s="21">
        <f>IF(ISNUMBER($B687),INT($B687)-WEEKDAY($B687,2)+1,"")</f>
        <v/>
      </c>
      <c r="I687" s="24" t="n"/>
      <c r="J687" s="22">
        <f t="array" ref="J687">IF($D687="","",IF($I687="","(trống REF)",IFERROR(INDEX(MASTER_SOURCE!$B$2:$B$495,MATCH($I687,MASTER_SOURCE!$A$2:$A$495,0)),"(REF không có trong MASTER_SOURCE)")))</f>
        <v/>
      </c>
      <c r="K687" s="22">
        <f t="array" ref="K687">IF($D687="","",IFERROR(INDEX(MASTER_SOURCE!$C$2:$C$495,MATCH($I687,MASTER_SOURCE!$A$2:$A$495,0)),""))</f>
        <v/>
      </c>
      <c r="L687" s="22">
        <f t="array" ref="L687">IF($D687="","",IFERROR(INDEX(MASTER_SOURCE!$D$2:$D$495,MATCH($I687,MASTER_SOURCE!$A$2:$A$495,0)),""))</f>
        <v/>
      </c>
      <c r="M687" s="24" t="n"/>
      <c r="N687" s="24" t="n"/>
      <c r="O687" s="24" t="n"/>
      <c r="P687" s="24" t="n"/>
      <c r="Q687" s="22">
        <f>IF($D687="","",IF(AND(OR(DANH_MUC!$L$5&lt;&gt;"Có",M687="Có"),OR(DANH_MUC!$L$6&lt;&gt;"Có",N687="Có"),OR(DANH_MUC!$L$7&lt;&gt;"Có",O687="Có"),OR(DANH_MUC!$L$8&lt;&gt;"Có",P687="Có")),"Có","Không"))</f>
        <v/>
      </c>
      <c r="R687" s="22">
        <f>IF($D687="","",IF(COUNTIF($D$2:$D687,$D687)&gt;1,"Trùng",""))</f>
        <v/>
      </c>
      <c r="S687" s="22">
        <f>IF($D687="","",IF(AND(LEN($D687)=10,LEFT($D687,1)="0",ISNUMBER(--$D687)),"Có","Không"))</f>
        <v/>
      </c>
      <c r="T687" s="22">
        <f>IF($D687="","",IF(AND($C687&lt;&gt;"",$Q687="Có",$R687="",$S687="Có",AND($L687&lt;&gt;"",OR($L687&lt;&gt;"Chưa xác định",DANH_MUC!$L$9="Có"))),"Có","Không"))</f>
        <v/>
      </c>
      <c r="U687" s="22">
        <f>IF(OR($D687="",$T687="Có"),"",IF($C687="","Thiếu họ tên; ","")&amp;IF($S687&lt;&gt;"Có","SĐT sai định dạng; ","")&amp;IF($R687="Trùng","Trùng SĐT; ","")&amp;IF($Q687&lt;&gt;"Có","Thiếu đồng ý bắt buộc; ","")&amp;IF($L687="","Thiếu/sai Mã REF; ",IF(AND($L687="Chưa xác định",DANH_MUC!$L$9&lt;&gt;"Có"),"Nguồn chưa xác định; ","")))</f>
        <v/>
      </c>
      <c r="V687" s="22">
        <f>IF(OR($D687="",$R687="Trùng"),"",IF(COUNTIF(ORDERS!$C$2:$C$4995,$D687)&gt;0,"Có","Không"))</f>
        <v/>
      </c>
      <c r="W687" s="22">
        <f>IF(OR($D687="",$R687="Trùng"),"",COUNTIFS(ORDERS!$C$2:$C$4995,$D687,ORDERS!$L$2:$L$4995,"Đã chuyển khoản"))</f>
        <v/>
      </c>
      <c r="X687" s="23">
        <f>IF(OR($D687="",$R687="Trùng"),"",SUMIFS(ORDERS!$J$2:$J$4995,ORDERS!$C$2:$C$4995,$D687,ORDERS!$L$2:$L$4995,"Đã chuyển khoản"))</f>
        <v/>
      </c>
      <c r="Y687" s="24" t="n"/>
    </row>
    <row r="688" ht="14.25" customHeight="1" s="40">
      <c r="A688" s="24" t="n"/>
      <c r="B688" s="27" t="n"/>
      <c r="C688" s="24" t="n"/>
      <c r="D688" s="28" t="n"/>
      <c r="E688" s="29" t="n"/>
      <c r="F688" s="24" t="n"/>
      <c r="G688" s="24" t="n"/>
      <c r="H688" s="21">
        <f>IF(ISNUMBER($B688),INT($B688)-WEEKDAY($B688,2)+1,"")</f>
        <v/>
      </c>
      <c r="I688" s="24" t="n"/>
      <c r="J688" s="22">
        <f t="array" ref="J688">IF($D688="","",IF($I688="","(trống REF)",IFERROR(INDEX(MASTER_SOURCE!$B$2:$B$495,MATCH($I688,MASTER_SOURCE!$A$2:$A$495,0)),"(REF không có trong MASTER_SOURCE)")))</f>
        <v/>
      </c>
      <c r="K688" s="22">
        <f t="array" ref="K688">IF($D688="","",IFERROR(INDEX(MASTER_SOURCE!$C$2:$C$495,MATCH($I688,MASTER_SOURCE!$A$2:$A$495,0)),""))</f>
        <v/>
      </c>
      <c r="L688" s="22">
        <f t="array" ref="L688">IF($D688="","",IFERROR(INDEX(MASTER_SOURCE!$D$2:$D$495,MATCH($I688,MASTER_SOURCE!$A$2:$A$495,0)),""))</f>
        <v/>
      </c>
      <c r="M688" s="24" t="n"/>
      <c r="N688" s="24" t="n"/>
      <c r="O688" s="24" t="n"/>
      <c r="P688" s="24" t="n"/>
      <c r="Q688" s="22">
        <f>IF($D688="","",IF(AND(OR(DANH_MUC!$L$5&lt;&gt;"Có",M688="Có"),OR(DANH_MUC!$L$6&lt;&gt;"Có",N688="Có"),OR(DANH_MUC!$L$7&lt;&gt;"Có",O688="Có"),OR(DANH_MUC!$L$8&lt;&gt;"Có",P688="Có")),"Có","Không"))</f>
        <v/>
      </c>
      <c r="R688" s="22">
        <f>IF($D688="","",IF(COUNTIF($D$2:$D688,$D688)&gt;1,"Trùng",""))</f>
        <v/>
      </c>
      <c r="S688" s="22">
        <f>IF($D688="","",IF(AND(LEN($D688)=10,LEFT($D688,1)="0",ISNUMBER(--$D688)),"Có","Không"))</f>
        <v/>
      </c>
      <c r="T688" s="22">
        <f>IF($D688="","",IF(AND($C688&lt;&gt;"",$Q688="Có",$R688="",$S688="Có",AND($L688&lt;&gt;"",OR($L688&lt;&gt;"Chưa xác định",DANH_MUC!$L$9="Có"))),"Có","Không"))</f>
        <v/>
      </c>
      <c r="U688" s="22">
        <f>IF(OR($D688="",$T688="Có"),"",IF($C688="","Thiếu họ tên; ","")&amp;IF($S688&lt;&gt;"Có","SĐT sai định dạng; ","")&amp;IF($R688="Trùng","Trùng SĐT; ","")&amp;IF($Q688&lt;&gt;"Có","Thiếu đồng ý bắt buộc; ","")&amp;IF($L688="","Thiếu/sai Mã REF; ",IF(AND($L688="Chưa xác định",DANH_MUC!$L$9&lt;&gt;"Có"),"Nguồn chưa xác định; ","")))</f>
        <v/>
      </c>
      <c r="V688" s="22">
        <f>IF(OR($D688="",$R688="Trùng"),"",IF(COUNTIF(ORDERS!$C$2:$C$4995,$D688)&gt;0,"Có","Không"))</f>
        <v/>
      </c>
      <c r="W688" s="22">
        <f>IF(OR($D688="",$R688="Trùng"),"",COUNTIFS(ORDERS!$C$2:$C$4995,$D688,ORDERS!$L$2:$L$4995,"Đã chuyển khoản"))</f>
        <v/>
      </c>
      <c r="X688" s="23">
        <f>IF(OR($D688="",$R688="Trùng"),"",SUMIFS(ORDERS!$J$2:$J$4995,ORDERS!$C$2:$C$4995,$D688,ORDERS!$L$2:$L$4995,"Đã chuyển khoản"))</f>
        <v/>
      </c>
      <c r="Y688" s="24" t="n"/>
    </row>
    <row r="689" ht="14.25" customHeight="1" s="40">
      <c r="A689" s="24" t="n"/>
      <c r="B689" s="27" t="n"/>
      <c r="C689" s="24" t="n"/>
      <c r="D689" s="28" t="n"/>
      <c r="E689" s="29" t="n"/>
      <c r="F689" s="24" t="n"/>
      <c r="G689" s="24" t="n"/>
      <c r="H689" s="21">
        <f>IF(ISNUMBER($B689),INT($B689)-WEEKDAY($B689,2)+1,"")</f>
        <v/>
      </c>
      <c r="I689" s="24" t="n"/>
      <c r="J689" s="22">
        <f t="array" ref="J689">IF($D689="","",IF($I689="","(trống REF)",IFERROR(INDEX(MASTER_SOURCE!$B$2:$B$495,MATCH($I689,MASTER_SOURCE!$A$2:$A$495,0)),"(REF không có trong MASTER_SOURCE)")))</f>
        <v/>
      </c>
      <c r="K689" s="22">
        <f t="array" ref="K689">IF($D689="","",IFERROR(INDEX(MASTER_SOURCE!$C$2:$C$495,MATCH($I689,MASTER_SOURCE!$A$2:$A$495,0)),""))</f>
        <v/>
      </c>
      <c r="L689" s="22">
        <f t="array" ref="L689">IF($D689="","",IFERROR(INDEX(MASTER_SOURCE!$D$2:$D$495,MATCH($I689,MASTER_SOURCE!$A$2:$A$495,0)),""))</f>
        <v/>
      </c>
      <c r="M689" s="24" t="n"/>
      <c r="N689" s="24" t="n"/>
      <c r="O689" s="24" t="n"/>
      <c r="P689" s="24" t="n"/>
      <c r="Q689" s="22">
        <f>IF($D689="","",IF(AND(OR(DANH_MUC!$L$5&lt;&gt;"Có",M689="Có"),OR(DANH_MUC!$L$6&lt;&gt;"Có",N689="Có"),OR(DANH_MUC!$L$7&lt;&gt;"Có",O689="Có"),OR(DANH_MUC!$L$8&lt;&gt;"Có",P689="Có")),"Có","Không"))</f>
        <v/>
      </c>
      <c r="R689" s="22">
        <f>IF($D689="","",IF(COUNTIF($D$2:$D689,$D689)&gt;1,"Trùng",""))</f>
        <v/>
      </c>
      <c r="S689" s="22">
        <f>IF($D689="","",IF(AND(LEN($D689)=10,LEFT($D689,1)="0",ISNUMBER(--$D689)),"Có","Không"))</f>
        <v/>
      </c>
      <c r="T689" s="22">
        <f>IF($D689="","",IF(AND($C689&lt;&gt;"",$Q689="Có",$R689="",$S689="Có",AND($L689&lt;&gt;"",OR($L689&lt;&gt;"Chưa xác định",DANH_MUC!$L$9="Có"))),"Có","Không"))</f>
        <v/>
      </c>
      <c r="U689" s="22">
        <f>IF(OR($D689="",$T689="Có"),"",IF($C689="","Thiếu họ tên; ","")&amp;IF($S689&lt;&gt;"Có","SĐT sai định dạng; ","")&amp;IF($R689="Trùng","Trùng SĐT; ","")&amp;IF($Q689&lt;&gt;"Có","Thiếu đồng ý bắt buộc; ","")&amp;IF($L689="","Thiếu/sai Mã REF; ",IF(AND($L689="Chưa xác định",DANH_MUC!$L$9&lt;&gt;"Có"),"Nguồn chưa xác định; ","")))</f>
        <v/>
      </c>
      <c r="V689" s="22">
        <f>IF(OR($D689="",$R689="Trùng"),"",IF(COUNTIF(ORDERS!$C$2:$C$4995,$D689)&gt;0,"Có","Không"))</f>
        <v/>
      </c>
      <c r="W689" s="22">
        <f>IF(OR($D689="",$R689="Trùng"),"",COUNTIFS(ORDERS!$C$2:$C$4995,$D689,ORDERS!$L$2:$L$4995,"Đã chuyển khoản"))</f>
        <v/>
      </c>
      <c r="X689" s="23">
        <f>IF(OR($D689="",$R689="Trùng"),"",SUMIFS(ORDERS!$J$2:$J$4995,ORDERS!$C$2:$C$4995,$D689,ORDERS!$L$2:$L$4995,"Đã chuyển khoản"))</f>
        <v/>
      </c>
      <c r="Y689" s="24" t="n"/>
    </row>
    <row r="690" ht="14.25" customHeight="1" s="40">
      <c r="A690" s="24" t="n"/>
      <c r="B690" s="27" t="n"/>
      <c r="C690" s="24" t="n"/>
      <c r="D690" s="28" t="n"/>
      <c r="E690" s="29" t="n"/>
      <c r="F690" s="24" t="n"/>
      <c r="G690" s="24" t="n"/>
      <c r="H690" s="21">
        <f>IF(ISNUMBER($B690),INT($B690)-WEEKDAY($B690,2)+1,"")</f>
        <v/>
      </c>
      <c r="I690" s="24" t="n"/>
      <c r="J690" s="22">
        <f t="array" ref="J690">IF($D690="","",IF($I690="","(trống REF)",IFERROR(INDEX(MASTER_SOURCE!$B$2:$B$495,MATCH($I690,MASTER_SOURCE!$A$2:$A$495,0)),"(REF không có trong MASTER_SOURCE)")))</f>
        <v/>
      </c>
      <c r="K690" s="22">
        <f t="array" ref="K690">IF($D690="","",IFERROR(INDEX(MASTER_SOURCE!$C$2:$C$495,MATCH($I690,MASTER_SOURCE!$A$2:$A$495,0)),""))</f>
        <v/>
      </c>
      <c r="L690" s="22">
        <f t="array" ref="L690">IF($D690="","",IFERROR(INDEX(MASTER_SOURCE!$D$2:$D$495,MATCH($I690,MASTER_SOURCE!$A$2:$A$495,0)),""))</f>
        <v/>
      </c>
      <c r="M690" s="24" t="n"/>
      <c r="N690" s="24" t="n"/>
      <c r="O690" s="24" t="n"/>
      <c r="P690" s="24" t="n"/>
      <c r="Q690" s="22">
        <f>IF($D690="","",IF(AND(OR(DANH_MUC!$L$5&lt;&gt;"Có",M690="Có"),OR(DANH_MUC!$L$6&lt;&gt;"Có",N690="Có"),OR(DANH_MUC!$L$7&lt;&gt;"Có",O690="Có"),OR(DANH_MUC!$L$8&lt;&gt;"Có",P690="Có")),"Có","Không"))</f>
        <v/>
      </c>
      <c r="R690" s="22">
        <f>IF($D690="","",IF(COUNTIF($D$2:$D690,$D690)&gt;1,"Trùng",""))</f>
        <v/>
      </c>
      <c r="S690" s="22">
        <f>IF($D690="","",IF(AND(LEN($D690)=10,LEFT($D690,1)="0",ISNUMBER(--$D690)),"Có","Không"))</f>
        <v/>
      </c>
      <c r="T690" s="22">
        <f>IF($D690="","",IF(AND($C690&lt;&gt;"",$Q690="Có",$R690="",$S690="Có",AND($L690&lt;&gt;"",OR($L690&lt;&gt;"Chưa xác định",DANH_MUC!$L$9="Có"))),"Có","Không"))</f>
        <v/>
      </c>
      <c r="U690" s="22">
        <f>IF(OR($D690="",$T690="Có"),"",IF($C690="","Thiếu họ tên; ","")&amp;IF($S690&lt;&gt;"Có","SĐT sai định dạng; ","")&amp;IF($R690="Trùng","Trùng SĐT; ","")&amp;IF($Q690&lt;&gt;"Có","Thiếu đồng ý bắt buộc; ","")&amp;IF($L690="","Thiếu/sai Mã REF; ",IF(AND($L690="Chưa xác định",DANH_MUC!$L$9&lt;&gt;"Có"),"Nguồn chưa xác định; ","")))</f>
        <v/>
      </c>
      <c r="V690" s="22">
        <f>IF(OR($D690="",$R690="Trùng"),"",IF(COUNTIF(ORDERS!$C$2:$C$4995,$D690)&gt;0,"Có","Không"))</f>
        <v/>
      </c>
      <c r="W690" s="22">
        <f>IF(OR($D690="",$R690="Trùng"),"",COUNTIFS(ORDERS!$C$2:$C$4995,$D690,ORDERS!$L$2:$L$4995,"Đã chuyển khoản"))</f>
        <v/>
      </c>
      <c r="X690" s="23">
        <f>IF(OR($D690="",$R690="Trùng"),"",SUMIFS(ORDERS!$J$2:$J$4995,ORDERS!$C$2:$C$4995,$D690,ORDERS!$L$2:$L$4995,"Đã chuyển khoản"))</f>
        <v/>
      </c>
      <c r="Y690" s="24" t="n"/>
    </row>
    <row r="691" ht="14.25" customHeight="1" s="40">
      <c r="A691" s="24" t="n"/>
      <c r="B691" s="27" t="n"/>
      <c r="C691" s="24" t="n"/>
      <c r="D691" s="28" t="n"/>
      <c r="E691" s="29" t="n"/>
      <c r="F691" s="24" t="n"/>
      <c r="G691" s="24" t="n"/>
      <c r="H691" s="21">
        <f>IF(ISNUMBER($B691),INT($B691)-WEEKDAY($B691,2)+1,"")</f>
        <v/>
      </c>
      <c r="I691" s="24" t="n"/>
      <c r="J691" s="22">
        <f t="array" ref="J691">IF($D691="","",IF($I691="","(trống REF)",IFERROR(INDEX(MASTER_SOURCE!$B$2:$B$495,MATCH($I691,MASTER_SOURCE!$A$2:$A$495,0)),"(REF không có trong MASTER_SOURCE)")))</f>
        <v/>
      </c>
      <c r="K691" s="22">
        <f t="array" ref="K691">IF($D691="","",IFERROR(INDEX(MASTER_SOURCE!$C$2:$C$495,MATCH($I691,MASTER_SOURCE!$A$2:$A$495,0)),""))</f>
        <v/>
      </c>
      <c r="L691" s="22">
        <f t="array" ref="L691">IF($D691="","",IFERROR(INDEX(MASTER_SOURCE!$D$2:$D$495,MATCH($I691,MASTER_SOURCE!$A$2:$A$495,0)),""))</f>
        <v/>
      </c>
      <c r="M691" s="24" t="n"/>
      <c r="N691" s="24" t="n"/>
      <c r="O691" s="24" t="n"/>
      <c r="P691" s="24" t="n"/>
      <c r="Q691" s="22">
        <f>IF($D691="","",IF(AND(OR(DANH_MUC!$L$5&lt;&gt;"Có",M691="Có"),OR(DANH_MUC!$L$6&lt;&gt;"Có",N691="Có"),OR(DANH_MUC!$L$7&lt;&gt;"Có",O691="Có"),OR(DANH_MUC!$L$8&lt;&gt;"Có",P691="Có")),"Có","Không"))</f>
        <v/>
      </c>
      <c r="R691" s="22">
        <f>IF($D691="","",IF(COUNTIF($D$2:$D691,$D691)&gt;1,"Trùng",""))</f>
        <v/>
      </c>
      <c r="S691" s="22">
        <f>IF($D691="","",IF(AND(LEN($D691)=10,LEFT($D691,1)="0",ISNUMBER(--$D691)),"Có","Không"))</f>
        <v/>
      </c>
      <c r="T691" s="22">
        <f>IF($D691="","",IF(AND($C691&lt;&gt;"",$Q691="Có",$R691="",$S691="Có",AND($L691&lt;&gt;"",OR($L691&lt;&gt;"Chưa xác định",DANH_MUC!$L$9="Có"))),"Có","Không"))</f>
        <v/>
      </c>
      <c r="U691" s="22">
        <f>IF(OR($D691="",$T691="Có"),"",IF($C691="","Thiếu họ tên; ","")&amp;IF($S691&lt;&gt;"Có","SĐT sai định dạng; ","")&amp;IF($R691="Trùng","Trùng SĐT; ","")&amp;IF($Q691&lt;&gt;"Có","Thiếu đồng ý bắt buộc; ","")&amp;IF($L691="","Thiếu/sai Mã REF; ",IF(AND($L691="Chưa xác định",DANH_MUC!$L$9&lt;&gt;"Có"),"Nguồn chưa xác định; ","")))</f>
        <v/>
      </c>
      <c r="V691" s="22">
        <f>IF(OR($D691="",$R691="Trùng"),"",IF(COUNTIF(ORDERS!$C$2:$C$4995,$D691)&gt;0,"Có","Không"))</f>
        <v/>
      </c>
      <c r="W691" s="22">
        <f>IF(OR($D691="",$R691="Trùng"),"",COUNTIFS(ORDERS!$C$2:$C$4995,$D691,ORDERS!$L$2:$L$4995,"Đã chuyển khoản"))</f>
        <v/>
      </c>
      <c r="X691" s="23">
        <f>IF(OR($D691="",$R691="Trùng"),"",SUMIFS(ORDERS!$J$2:$J$4995,ORDERS!$C$2:$C$4995,$D691,ORDERS!$L$2:$L$4995,"Đã chuyển khoản"))</f>
        <v/>
      </c>
      <c r="Y691" s="24" t="n"/>
    </row>
    <row r="692" ht="14.25" customHeight="1" s="40">
      <c r="A692" s="24" t="n"/>
      <c r="B692" s="27" t="n"/>
      <c r="C692" s="24" t="n"/>
      <c r="D692" s="28" t="n"/>
      <c r="E692" s="29" t="n"/>
      <c r="F692" s="24" t="n"/>
      <c r="G692" s="24" t="n"/>
      <c r="H692" s="21">
        <f>IF(ISNUMBER($B692),INT($B692)-WEEKDAY($B692,2)+1,"")</f>
        <v/>
      </c>
      <c r="I692" s="24" t="n"/>
      <c r="J692" s="22">
        <f t="array" ref="J692">IF($D692="","",IF($I692="","(trống REF)",IFERROR(INDEX(MASTER_SOURCE!$B$2:$B$495,MATCH($I692,MASTER_SOURCE!$A$2:$A$495,0)),"(REF không có trong MASTER_SOURCE)")))</f>
        <v/>
      </c>
      <c r="K692" s="22">
        <f t="array" ref="K692">IF($D692="","",IFERROR(INDEX(MASTER_SOURCE!$C$2:$C$495,MATCH($I692,MASTER_SOURCE!$A$2:$A$495,0)),""))</f>
        <v/>
      </c>
      <c r="L692" s="22">
        <f t="array" ref="L692">IF($D692="","",IFERROR(INDEX(MASTER_SOURCE!$D$2:$D$495,MATCH($I692,MASTER_SOURCE!$A$2:$A$495,0)),""))</f>
        <v/>
      </c>
      <c r="M692" s="24" t="n"/>
      <c r="N692" s="24" t="n"/>
      <c r="O692" s="24" t="n"/>
      <c r="P692" s="24" t="n"/>
      <c r="Q692" s="22">
        <f>IF($D692="","",IF(AND(OR(DANH_MUC!$L$5&lt;&gt;"Có",M692="Có"),OR(DANH_MUC!$L$6&lt;&gt;"Có",N692="Có"),OR(DANH_MUC!$L$7&lt;&gt;"Có",O692="Có"),OR(DANH_MUC!$L$8&lt;&gt;"Có",P692="Có")),"Có","Không"))</f>
        <v/>
      </c>
      <c r="R692" s="22">
        <f>IF($D692="","",IF(COUNTIF($D$2:$D692,$D692)&gt;1,"Trùng",""))</f>
        <v/>
      </c>
      <c r="S692" s="22">
        <f>IF($D692="","",IF(AND(LEN($D692)=10,LEFT($D692,1)="0",ISNUMBER(--$D692)),"Có","Không"))</f>
        <v/>
      </c>
      <c r="T692" s="22">
        <f>IF($D692="","",IF(AND($C692&lt;&gt;"",$Q692="Có",$R692="",$S692="Có",AND($L692&lt;&gt;"",OR($L692&lt;&gt;"Chưa xác định",DANH_MUC!$L$9="Có"))),"Có","Không"))</f>
        <v/>
      </c>
      <c r="U692" s="22">
        <f>IF(OR($D692="",$T692="Có"),"",IF($C692="","Thiếu họ tên; ","")&amp;IF($S692&lt;&gt;"Có","SĐT sai định dạng; ","")&amp;IF($R692="Trùng","Trùng SĐT; ","")&amp;IF($Q692&lt;&gt;"Có","Thiếu đồng ý bắt buộc; ","")&amp;IF($L692="","Thiếu/sai Mã REF; ",IF(AND($L692="Chưa xác định",DANH_MUC!$L$9&lt;&gt;"Có"),"Nguồn chưa xác định; ","")))</f>
        <v/>
      </c>
      <c r="V692" s="22">
        <f>IF(OR($D692="",$R692="Trùng"),"",IF(COUNTIF(ORDERS!$C$2:$C$4995,$D692)&gt;0,"Có","Không"))</f>
        <v/>
      </c>
      <c r="W692" s="22">
        <f>IF(OR($D692="",$R692="Trùng"),"",COUNTIFS(ORDERS!$C$2:$C$4995,$D692,ORDERS!$L$2:$L$4995,"Đã chuyển khoản"))</f>
        <v/>
      </c>
      <c r="X692" s="23">
        <f>IF(OR($D692="",$R692="Trùng"),"",SUMIFS(ORDERS!$J$2:$J$4995,ORDERS!$C$2:$C$4995,$D692,ORDERS!$L$2:$L$4995,"Đã chuyển khoản"))</f>
        <v/>
      </c>
      <c r="Y692" s="24" t="n"/>
    </row>
    <row r="693" ht="14.25" customHeight="1" s="40">
      <c r="A693" s="24" t="n"/>
      <c r="B693" s="27" t="n"/>
      <c r="C693" s="24" t="n"/>
      <c r="D693" s="28" t="n"/>
      <c r="E693" s="29" t="n"/>
      <c r="F693" s="24" t="n"/>
      <c r="G693" s="24" t="n"/>
      <c r="H693" s="21">
        <f>IF(ISNUMBER($B693),INT($B693)-WEEKDAY($B693,2)+1,"")</f>
        <v/>
      </c>
      <c r="I693" s="24" t="n"/>
      <c r="J693" s="22">
        <f t="array" ref="J693">IF($D693="","",IF($I693="","(trống REF)",IFERROR(INDEX(MASTER_SOURCE!$B$2:$B$495,MATCH($I693,MASTER_SOURCE!$A$2:$A$495,0)),"(REF không có trong MASTER_SOURCE)")))</f>
        <v/>
      </c>
      <c r="K693" s="22">
        <f t="array" ref="K693">IF($D693="","",IFERROR(INDEX(MASTER_SOURCE!$C$2:$C$495,MATCH($I693,MASTER_SOURCE!$A$2:$A$495,0)),""))</f>
        <v/>
      </c>
      <c r="L693" s="22">
        <f t="array" ref="L693">IF($D693="","",IFERROR(INDEX(MASTER_SOURCE!$D$2:$D$495,MATCH($I693,MASTER_SOURCE!$A$2:$A$495,0)),""))</f>
        <v/>
      </c>
      <c r="M693" s="24" t="n"/>
      <c r="N693" s="24" t="n"/>
      <c r="O693" s="24" t="n"/>
      <c r="P693" s="24" t="n"/>
      <c r="Q693" s="22">
        <f>IF($D693="","",IF(AND(OR(DANH_MUC!$L$5&lt;&gt;"Có",M693="Có"),OR(DANH_MUC!$L$6&lt;&gt;"Có",N693="Có"),OR(DANH_MUC!$L$7&lt;&gt;"Có",O693="Có"),OR(DANH_MUC!$L$8&lt;&gt;"Có",P693="Có")),"Có","Không"))</f>
        <v/>
      </c>
      <c r="R693" s="22">
        <f>IF($D693="","",IF(COUNTIF($D$2:$D693,$D693)&gt;1,"Trùng",""))</f>
        <v/>
      </c>
      <c r="S693" s="22">
        <f>IF($D693="","",IF(AND(LEN($D693)=10,LEFT($D693,1)="0",ISNUMBER(--$D693)),"Có","Không"))</f>
        <v/>
      </c>
      <c r="T693" s="22">
        <f>IF($D693="","",IF(AND($C693&lt;&gt;"",$Q693="Có",$R693="",$S693="Có",AND($L693&lt;&gt;"",OR($L693&lt;&gt;"Chưa xác định",DANH_MUC!$L$9="Có"))),"Có","Không"))</f>
        <v/>
      </c>
      <c r="U693" s="22">
        <f>IF(OR($D693="",$T693="Có"),"",IF($C693="","Thiếu họ tên; ","")&amp;IF($S693&lt;&gt;"Có","SĐT sai định dạng; ","")&amp;IF($R693="Trùng","Trùng SĐT; ","")&amp;IF($Q693&lt;&gt;"Có","Thiếu đồng ý bắt buộc; ","")&amp;IF($L693="","Thiếu/sai Mã REF; ",IF(AND($L693="Chưa xác định",DANH_MUC!$L$9&lt;&gt;"Có"),"Nguồn chưa xác định; ","")))</f>
        <v/>
      </c>
      <c r="V693" s="22">
        <f>IF(OR($D693="",$R693="Trùng"),"",IF(COUNTIF(ORDERS!$C$2:$C$4995,$D693)&gt;0,"Có","Không"))</f>
        <v/>
      </c>
      <c r="W693" s="22">
        <f>IF(OR($D693="",$R693="Trùng"),"",COUNTIFS(ORDERS!$C$2:$C$4995,$D693,ORDERS!$L$2:$L$4995,"Đã chuyển khoản"))</f>
        <v/>
      </c>
      <c r="X693" s="23">
        <f>IF(OR($D693="",$R693="Trùng"),"",SUMIFS(ORDERS!$J$2:$J$4995,ORDERS!$C$2:$C$4995,$D693,ORDERS!$L$2:$L$4995,"Đã chuyển khoản"))</f>
        <v/>
      </c>
      <c r="Y693" s="24" t="n"/>
    </row>
    <row r="694" ht="14.25" customHeight="1" s="40">
      <c r="A694" s="24" t="n"/>
      <c r="B694" s="27" t="n"/>
      <c r="C694" s="24" t="n"/>
      <c r="D694" s="28" t="n"/>
      <c r="E694" s="29" t="n"/>
      <c r="F694" s="24" t="n"/>
      <c r="G694" s="24" t="n"/>
      <c r="H694" s="21">
        <f>IF(ISNUMBER($B694),INT($B694)-WEEKDAY($B694,2)+1,"")</f>
        <v/>
      </c>
      <c r="I694" s="24" t="n"/>
      <c r="J694" s="22">
        <f t="array" ref="J694">IF($D694="","",IF($I694="","(trống REF)",IFERROR(INDEX(MASTER_SOURCE!$B$2:$B$495,MATCH($I694,MASTER_SOURCE!$A$2:$A$495,0)),"(REF không có trong MASTER_SOURCE)")))</f>
        <v/>
      </c>
      <c r="K694" s="22">
        <f t="array" ref="K694">IF($D694="","",IFERROR(INDEX(MASTER_SOURCE!$C$2:$C$495,MATCH($I694,MASTER_SOURCE!$A$2:$A$495,0)),""))</f>
        <v/>
      </c>
      <c r="L694" s="22">
        <f t="array" ref="L694">IF($D694="","",IFERROR(INDEX(MASTER_SOURCE!$D$2:$D$495,MATCH($I694,MASTER_SOURCE!$A$2:$A$495,0)),""))</f>
        <v/>
      </c>
      <c r="M694" s="24" t="n"/>
      <c r="N694" s="24" t="n"/>
      <c r="O694" s="24" t="n"/>
      <c r="P694" s="24" t="n"/>
      <c r="Q694" s="22">
        <f>IF($D694="","",IF(AND(OR(DANH_MUC!$L$5&lt;&gt;"Có",M694="Có"),OR(DANH_MUC!$L$6&lt;&gt;"Có",N694="Có"),OR(DANH_MUC!$L$7&lt;&gt;"Có",O694="Có"),OR(DANH_MUC!$L$8&lt;&gt;"Có",P694="Có")),"Có","Không"))</f>
        <v/>
      </c>
      <c r="R694" s="22">
        <f>IF($D694="","",IF(COUNTIF($D$2:$D694,$D694)&gt;1,"Trùng",""))</f>
        <v/>
      </c>
      <c r="S694" s="22">
        <f>IF($D694="","",IF(AND(LEN($D694)=10,LEFT($D694,1)="0",ISNUMBER(--$D694)),"Có","Không"))</f>
        <v/>
      </c>
      <c r="T694" s="22">
        <f>IF($D694="","",IF(AND($C694&lt;&gt;"",$Q694="Có",$R694="",$S694="Có",AND($L694&lt;&gt;"",OR($L694&lt;&gt;"Chưa xác định",DANH_MUC!$L$9="Có"))),"Có","Không"))</f>
        <v/>
      </c>
      <c r="U694" s="22">
        <f>IF(OR($D694="",$T694="Có"),"",IF($C694="","Thiếu họ tên; ","")&amp;IF($S694&lt;&gt;"Có","SĐT sai định dạng; ","")&amp;IF($R694="Trùng","Trùng SĐT; ","")&amp;IF($Q694&lt;&gt;"Có","Thiếu đồng ý bắt buộc; ","")&amp;IF($L694="","Thiếu/sai Mã REF; ",IF(AND($L694="Chưa xác định",DANH_MUC!$L$9&lt;&gt;"Có"),"Nguồn chưa xác định; ","")))</f>
        <v/>
      </c>
      <c r="V694" s="22">
        <f>IF(OR($D694="",$R694="Trùng"),"",IF(COUNTIF(ORDERS!$C$2:$C$4995,$D694)&gt;0,"Có","Không"))</f>
        <v/>
      </c>
      <c r="W694" s="22">
        <f>IF(OR($D694="",$R694="Trùng"),"",COUNTIFS(ORDERS!$C$2:$C$4995,$D694,ORDERS!$L$2:$L$4995,"Đã chuyển khoản"))</f>
        <v/>
      </c>
      <c r="X694" s="23">
        <f>IF(OR($D694="",$R694="Trùng"),"",SUMIFS(ORDERS!$J$2:$J$4995,ORDERS!$C$2:$C$4995,$D694,ORDERS!$L$2:$L$4995,"Đã chuyển khoản"))</f>
        <v/>
      </c>
      <c r="Y694" s="24" t="n"/>
    </row>
    <row r="695" ht="14.25" customHeight="1" s="40">
      <c r="A695" s="24" t="n"/>
      <c r="B695" s="27" t="n"/>
      <c r="C695" s="24" t="n"/>
      <c r="D695" s="28" t="n"/>
      <c r="E695" s="29" t="n"/>
      <c r="F695" s="24" t="n"/>
      <c r="G695" s="24" t="n"/>
      <c r="H695" s="21">
        <f>IF(ISNUMBER($B695),INT($B695)-WEEKDAY($B695,2)+1,"")</f>
        <v/>
      </c>
      <c r="I695" s="24" t="n"/>
      <c r="J695" s="22">
        <f t="array" ref="J695">IF($D695="","",IF($I695="","(trống REF)",IFERROR(INDEX(MASTER_SOURCE!$B$2:$B$495,MATCH($I695,MASTER_SOURCE!$A$2:$A$495,0)),"(REF không có trong MASTER_SOURCE)")))</f>
        <v/>
      </c>
      <c r="K695" s="22">
        <f t="array" ref="K695">IF($D695="","",IFERROR(INDEX(MASTER_SOURCE!$C$2:$C$495,MATCH($I695,MASTER_SOURCE!$A$2:$A$495,0)),""))</f>
        <v/>
      </c>
      <c r="L695" s="22">
        <f t="array" ref="L695">IF($D695="","",IFERROR(INDEX(MASTER_SOURCE!$D$2:$D$495,MATCH($I695,MASTER_SOURCE!$A$2:$A$495,0)),""))</f>
        <v/>
      </c>
      <c r="M695" s="24" t="n"/>
      <c r="N695" s="24" t="n"/>
      <c r="O695" s="24" t="n"/>
      <c r="P695" s="24" t="n"/>
      <c r="Q695" s="22">
        <f>IF($D695="","",IF(AND(OR(DANH_MUC!$L$5&lt;&gt;"Có",M695="Có"),OR(DANH_MUC!$L$6&lt;&gt;"Có",N695="Có"),OR(DANH_MUC!$L$7&lt;&gt;"Có",O695="Có"),OR(DANH_MUC!$L$8&lt;&gt;"Có",P695="Có")),"Có","Không"))</f>
        <v/>
      </c>
      <c r="R695" s="22">
        <f>IF($D695="","",IF(COUNTIF($D$2:$D695,$D695)&gt;1,"Trùng",""))</f>
        <v/>
      </c>
      <c r="S695" s="22">
        <f>IF($D695="","",IF(AND(LEN($D695)=10,LEFT($D695,1)="0",ISNUMBER(--$D695)),"Có","Không"))</f>
        <v/>
      </c>
      <c r="T695" s="22">
        <f>IF($D695="","",IF(AND($C695&lt;&gt;"",$Q695="Có",$R695="",$S695="Có",AND($L695&lt;&gt;"",OR($L695&lt;&gt;"Chưa xác định",DANH_MUC!$L$9="Có"))),"Có","Không"))</f>
        <v/>
      </c>
      <c r="U695" s="22">
        <f>IF(OR($D695="",$T695="Có"),"",IF($C695="","Thiếu họ tên; ","")&amp;IF($S695&lt;&gt;"Có","SĐT sai định dạng; ","")&amp;IF($R695="Trùng","Trùng SĐT; ","")&amp;IF($Q695&lt;&gt;"Có","Thiếu đồng ý bắt buộc; ","")&amp;IF($L695="","Thiếu/sai Mã REF; ",IF(AND($L695="Chưa xác định",DANH_MUC!$L$9&lt;&gt;"Có"),"Nguồn chưa xác định; ","")))</f>
        <v/>
      </c>
      <c r="V695" s="22">
        <f>IF(OR($D695="",$R695="Trùng"),"",IF(COUNTIF(ORDERS!$C$2:$C$4995,$D695)&gt;0,"Có","Không"))</f>
        <v/>
      </c>
      <c r="W695" s="22">
        <f>IF(OR($D695="",$R695="Trùng"),"",COUNTIFS(ORDERS!$C$2:$C$4995,$D695,ORDERS!$L$2:$L$4995,"Đã chuyển khoản"))</f>
        <v/>
      </c>
      <c r="X695" s="23">
        <f>IF(OR($D695="",$R695="Trùng"),"",SUMIFS(ORDERS!$J$2:$J$4995,ORDERS!$C$2:$C$4995,$D695,ORDERS!$L$2:$L$4995,"Đã chuyển khoản"))</f>
        <v/>
      </c>
      <c r="Y695" s="24" t="n"/>
    </row>
    <row r="696" ht="14.25" customHeight="1" s="40">
      <c r="A696" s="24" t="n"/>
      <c r="B696" s="27" t="n"/>
      <c r="C696" s="24" t="n"/>
      <c r="D696" s="28" t="n"/>
      <c r="E696" s="29" t="n"/>
      <c r="F696" s="24" t="n"/>
      <c r="G696" s="24" t="n"/>
      <c r="H696" s="21">
        <f>IF(ISNUMBER($B696),INT($B696)-WEEKDAY($B696,2)+1,"")</f>
        <v/>
      </c>
      <c r="I696" s="24" t="n"/>
      <c r="J696" s="22">
        <f t="array" ref="J696">IF($D696="","",IF($I696="","(trống REF)",IFERROR(INDEX(MASTER_SOURCE!$B$2:$B$495,MATCH($I696,MASTER_SOURCE!$A$2:$A$495,0)),"(REF không có trong MASTER_SOURCE)")))</f>
        <v/>
      </c>
      <c r="K696" s="22">
        <f t="array" ref="K696">IF($D696="","",IFERROR(INDEX(MASTER_SOURCE!$C$2:$C$495,MATCH($I696,MASTER_SOURCE!$A$2:$A$495,0)),""))</f>
        <v/>
      </c>
      <c r="L696" s="22">
        <f t="array" ref="L696">IF($D696="","",IFERROR(INDEX(MASTER_SOURCE!$D$2:$D$495,MATCH($I696,MASTER_SOURCE!$A$2:$A$495,0)),""))</f>
        <v/>
      </c>
      <c r="M696" s="24" t="n"/>
      <c r="N696" s="24" t="n"/>
      <c r="O696" s="24" t="n"/>
      <c r="P696" s="24" t="n"/>
      <c r="Q696" s="22">
        <f>IF($D696="","",IF(AND(OR(DANH_MUC!$L$5&lt;&gt;"Có",M696="Có"),OR(DANH_MUC!$L$6&lt;&gt;"Có",N696="Có"),OR(DANH_MUC!$L$7&lt;&gt;"Có",O696="Có"),OR(DANH_MUC!$L$8&lt;&gt;"Có",P696="Có")),"Có","Không"))</f>
        <v/>
      </c>
      <c r="R696" s="22">
        <f>IF($D696="","",IF(COUNTIF($D$2:$D696,$D696)&gt;1,"Trùng",""))</f>
        <v/>
      </c>
      <c r="S696" s="22">
        <f>IF($D696="","",IF(AND(LEN($D696)=10,LEFT($D696,1)="0",ISNUMBER(--$D696)),"Có","Không"))</f>
        <v/>
      </c>
      <c r="T696" s="22">
        <f>IF($D696="","",IF(AND($C696&lt;&gt;"",$Q696="Có",$R696="",$S696="Có",AND($L696&lt;&gt;"",OR($L696&lt;&gt;"Chưa xác định",DANH_MUC!$L$9="Có"))),"Có","Không"))</f>
        <v/>
      </c>
      <c r="U696" s="22">
        <f>IF(OR($D696="",$T696="Có"),"",IF($C696="","Thiếu họ tên; ","")&amp;IF($S696&lt;&gt;"Có","SĐT sai định dạng; ","")&amp;IF($R696="Trùng","Trùng SĐT; ","")&amp;IF($Q696&lt;&gt;"Có","Thiếu đồng ý bắt buộc; ","")&amp;IF($L696="","Thiếu/sai Mã REF; ",IF(AND($L696="Chưa xác định",DANH_MUC!$L$9&lt;&gt;"Có"),"Nguồn chưa xác định; ","")))</f>
        <v/>
      </c>
      <c r="V696" s="22">
        <f>IF(OR($D696="",$R696="Trùng"),"",IF(COUNTIF(ORDERS!$C$2:$C$4995,$D696)&gt;0,"Có","Không"))</f>
        <v/>
      </c>
      <c r="W696" s="22">
        <f>IF(OR($D696="",$R696="Trùng"),"",COUNTIFS(ORDERS!$C$2:$C$4995,$D696,ORDERS!$L$2:$L$4995,"Đã chuyển khoản"))</f>
        <v/>
      </c>
      <c r="X696" s="23">
        <f>IF(OR($D696="",$R696="Trùng"),"",SUMIFS(ORDERS!$J$2:$J$4995,ORDERS!$C$2:$C$4995,$D696,ORDERS!$L$2:$L$4995,"Đã chuyển khoản"))</f>
        <v/>
      </c>
      <c r="Y696" s="24" t="n"/>
    </row>
    <row r="697" ht="14.25" customHeight="1" s="40">
      <c r="A697" s="24" t="n"/>
      <c r="B697" s="27" t="n"/>
      <c r="C697" s="24" t="n"/>
      <c r="D697" s="28" t="n"/>
      <c r="E697" s="29" t="n"/>
      <c r="F697" s="24" t="n"/>
      <c r="G697" s="24" t="n"/>
      <c r="H697" s="21">
        <f>IF(ISNUMBER($B697),INT($B697)-WEEKDAY($B697,2)+1,"")</f>
        <v/>
      </c>
      <c r="I697" s="24" t="n"/>
      <c r="J697" s="22">
        <f t="array" ref="J697">IF($D697="","",IF($I697="","(trống REF)",IFERROR(INDEX(MASTER_SOURCE!$B$2:$B$495,MATCH($I697,MASTER_SOURCE!$A$2:$A$495,0)),"(REF không có trong MASTER_SOURCE)")))</f>
        <v/>
      </c>
      <c r="K697" s="22">
        <f t="array" ref="K697">IF($D697="","",IFERROR(INDEX(MASTER_SOURCE!$C$2:$C$495,MATCH($I697,MASTER_SOURCE!$A$2:$A$495,0)),""))</f>
        <v/>
      </c>
      <c r="L697" s="22">
        <f t="array" ref="L697">IF($D697="","",IFERROR(INDEX(MASTER_SOURCE!$D$2:$D$495,MATCH($I697,MASTER_SOURCE!$A$2:$A$495,0)),""))</f>
        <v/>
      </c>
      <c r="M697" s="24" t="n"/>
      <c r="N697" s="24" t="n"/>
      <c r="O697" s="24" t="n"/>
      <c r="P697" s="24" t="n"/>
      <c r="Q697" s="22">
        <f>IF($D697="","",IF(AND(OR(DANH_MUC!$L$5&lt;&gt;"Có",M697="Có"),OR(DANH_MUC!$L$6&lt;&gt;"Có",N697="Có"),OR(DANH_MUC!$L$7&lt;&gt;"Có",O697="Có"),OR(DANH_MUC!$L$8&lt;&gt;"Có",P697="Có")),"Có","Không"))</f>
        <v/>
      </c>
      <c r="R697" s="22">
        <f>IF($D697="","",IF(COUNTIF($D$2:$D697,$D697)&gt;1,"Trùng",""))</f>
        <v/>
      </c>
      <c r="S697" s="22">
        <f>IF($D697="","",IF(AND(LEN($D697)=10,LEFT($D697,1)="0",ISNUMBER(--$D697)),"Có","Không"))</f>
        <v/>
      </c>
      <c r="T697" s="22">
        <f>IF($D697="","",IF(AND($C697&lt;&gt;"",$Q697="Có",$R697="",$S697="Có",AND($L697&lt;&gt;"",OR($L697&lt;&gt;"Chưa xác định",DANH_MUC!$L$9="Có"))),"Có","Không"))</f>
        <v/>
      </c>
      <c r="U697" s="22">
        <f>IF(OR($D697="",$T697="Có"),"",IF($C697="","Thiếu họ tên; ","")&amp;IF($S697&lt;&gt;"Có","SĐT sai định dạng; ","")&amp;IF($R697="Trùng","Trùng SĐT; ","")&amp;IF($Q697&lt;&gt;"Có","Thiếu đồng ý bắt buộc; ","")&amp;IF($L697="","Thiếu/sai Mã REF; ",IF(AND($L697="Chưa xác định",DANH_MUC!$L$9&lt;&gt;"Có"),"Nguồn chưa xác định; ","")))</f>
        <v/>
      </c>
      <c r="V697" s="22">
        <f>IF(OR($D697="",$R697="Trùng"),"",IF(COUNTIF(ORDERS!$C$2:$C$4995,$D697)&gt;0,"Có","Không"))</f>
        <v/>
      </c>
      <c r="W697" s="22">
        <f>IF(OR($D697="",$R697="Trùng"),"",COUNTIFS(ORDERS!$C$2:$C$4995,$D697,ORDERS!$L$2:$L$4995,"Đã chuyển khoản"))</f>
        <v/>
      </c>
      <c r="X697" s="23">
        <f>IF(OR($D697="",$R697="Trùng"),"",SUMIFS(ORDERS!$J$2:$J$4995,ORDERS!$C$2:$C$4995,$D697,ORDERS!$L$2:$L$4995,"Đã chuyển khoản"))</f>
        <v/>
      </c>
      <c r="Y697" s="24" t="n"/>
    </row>
    <row r="698" ht="14.25" customHeight="1" s="40">
      <c r="A698" s="24" t="n"/>
      <c r="B698" s="27" t="n"/>
      <c r="C698" s="24" t="n"/>
      <c r="D698" s="28" t="n"/>
      <c r="E698" s="29" t="n"/>
      <c r="F698" s="24" t="n"/>
      <c r="G698" s="24" t="n"/>
      <c r="H698" s="21">
        <f>IF(ISNUMBER($B698),INT($B698)-WEEKDAY($B698,2)+1,"")</f>
        <v/>
      </c>
      <c r="I698" s="24" t="n"/>
      <c r="J698" s="22">
        <f t="array" ref="J698">IF($D698="","",IF($I698="","(trống REF)",IFERROR(INDEX(MASTER_SOURCE!$B$2:$B$495,MATCH($I698,MASTER_SOURCE!$A$2:$A$495,0)),"(REF không có trong MASTER_SOURCE)")))</f>
        <v/>
      </c>
      <c r="K698" s="22">
        <f t="array" ref="K698">IF($D698="","",IFERROR(INDEX(MASTER_SOURCE!$C$2:$C$495,MATCH($I698,MASTER_SOURCE!$A$2:$A$495,0)),""))</f>
        <v/>
      </c>
      <c r="L698" s="22">
        <f t="array" ref="L698">IF($D698="","",IFERROR(INDEX(MASTER_SOURCE!$D$2:$D$495,MATCH($I698,MASTER_SOURCE!$A$2:$A$495,0)),""))</f>
        <v/>
      </c>
      <c r="M698" s="24" t="n"/>
      <c r="N698" s="24" t="n"/>
      <c r="O698" s="24" t="n"/>
      <c r="P698" s="24" t="n"/>
      <c r="Q698" s="22">
        <f>IF($D698="","",IF(AND(OR(DANH_MUC!$L$5&lt;&gt;"Có",M698="Có"),OR(DANH_MUC!$L$6&lt;&gt;"Có",N698="Có"),OR(DANH_MUC!$L$7&lt;&gt;"Có",O698="Có"),OR(DANH_MUC!$L$8&lt;&gt;"Có",P698="Có")),"Có","Không"))</f>
        <v/>
      </c>
      <c r="R698" s="22">
        <f>IF($D698="","",IF(COUNTIF($D$2:$D698,$D698)&gt;1,"Trùng",""))</f>
        <v/>
      </c>
      <c r="S698" s="22">
        <f>IF($D698="","",IF(AND(LEN($D698)=10,LEFT($D698,1)="0",ISNUMBER(--$D698)),"Có","Không"))</f>
        <v/>
      </c>
      <c r="T698" s="22">
        <f>IF($D698="","",IF(AND($C698&lt;&gt;"",$Q698="Có",$R698="",$S698="Có",AND($L698&lt;&gt;"",OR($L698&lt;&gt;"Chưa xác định",DANH_MUC!$L$9="Có"))),"Có","Không"))</f>
        <v/>
      </c>
      <c r="U698" s="22">
        <f>IF(OR($D698="",$T698="Có"),"",IF($C698="","Thiếu họ tên; ","")&amp;IF($S698&lt;&gt;"Có","SĐT sai định dạng; ","")&amp;IF($R698="Trùng","Trùng SĐT; ","")&amp;IF($Q698&lt;&gt;"Có","Thiếu đồng ý bắt buộc; ","")&amp;IF($L698="","Thiếu/sai Mã REF; ",IF(AND($L698="Chưa xác định",DANH_MUC!$L$9&lt;&gt;"Có"),"Nguồn chưa xác định; ","")))</f>
        <v/>
      </c>
      <c r="V698" s="22">
        <f>IF(OR($D698="",$R698="Trùng"),"",IF(COUNTIF(ORDERS!$C$2:$C$4995,$D698)&gt;0,"Có","Không"))</f>
        <v/>
      </c>
      <c r="W698" s="22">
        <f>IF(OR($D698="",$R698="Trùng"),"",COUNTIFS(ORDERS!$C$2:$C$4995,$D698,ORDERS!$L$2:$L$4995,"Đã chuyển khoản"))</f>
        <v/>
      </c>
      <c r="X698" s="23">
        <f>IF(OR($D698="",$R698="Trùng"),"",SUMIFS(ORDERS!$J$2:$J$4995,ORDERS!$C$2:$C$4995,$D698,ORDERS!$L$2:$L$4995,"Đã chuyển khoản"))</f>
        <v/>
      </c>
      <c r="Y698" s="24" t="n"/>
    </row>
    <row r="699" ht="14.25" customHeight="1" s="40">
      <c r="A699" s="24" t="n"/>
      <c r="B699" s="27" t="n"/>
      <c r="C699" s="24" t="n"/>
      <c r="D699" s="28" t="n"/>
      <c r="E699" s="29" t="n"/>
      <c r="F699" s="24" t="n"/>
      <c r="G699" s="24" t="n"/>
      <c r="H699" s="21">
        <f>IF(ISNUMBER($B699),INT($B699)-WEEKDAY($B699,2)+1,"")</f>
        <v/>
      </c>
      <c r="I699" s="24" t="n"/>
      <c r="J699" s="22">
        <f t="array" ref="J699">IF($D699="","",IF($I699="","(trống REF)",IFERROR(INDEX(MASTER_SOURCE!$B$2:$B$495,MATCH($I699,MASTER_SOURCE!$A$2:$A$495,0)),"(REF không có trong MASTER_SOURCE)")))</f>
        <v/>
      </c>
      <c r="K699" s="22">
        <f t="array" ref="K699">IF($D699="","",IFERROR(INDEX(MASTER_SOURCE!$C$2:$C$495,MATCH($I699,MASTER_SOURCE!$A$2:$A$495,0)),""))</f>
        <v/>
      </c>
      <c r="L699" s="22">
        <f t="array" ref="L699">IF($D699="","",IFERROR(INDEX(MASTER_SOURCE!$D$2:$D$495,MATCH($I699,MASTER_SOURCE!$A$2:$A$495,0)),""))</f>
        <v/>
      </c>
      <c r="M699" s="24" t="n"/>
      <c r="N699" s="24" t="n"/>
      <c r="O699" s="24" t="n"/>
      <c r="P699" s="24" t="n"/>
      <c r="Q699" s="22">
        <f>IF($D699="","",IF(AND(OR(DANH_MUC!$L$5&lt;&gt;"Có",M699="Có"),OR(DANH_MUC!$L$6&lt;&gt;"Có",N699="Có"),OR(DANH_MUC!$L$7&lt;&gt;"Có",O699="Có"),OR(DANH_MUC!$L$8&lt;&gt;"Có",P699="Có")),"Có","Không"))</f>
        <v/>
      </c>
      <c r="R699" s="22">
        <f>IF($D699="","",IF(COUNTIF($D$2:$D699,$D699)&gt;1,"Trùng",""))</f>
        <v/>
      </c>
      <c r="S699" s="22">
        <f>IF($D699="","",IF(AND(LEN($D699)=10,LEFT($D699,1)="0",ISNUMBER(--$D699)),"Có","Không"))</f>
        <v/>
      </c>
      <c r="T699" s="22">
        <f>IF($D699="","",IF(AND($C699&lt;&gt;"",$Q699="Có",$R699="",$S699="Có",AND($L699&lt;&gt;"",OR($L699&lt;&gt;"Chưa xác định",DANH_MUC!$L$9="Có"))),"Có","Không"))</f>
        <v/>
      </c>
      <c r="U699" s="22">
        <f>IF(OR($D699="",$T699="Có"),"",IF($C699="","Thiếu họ tên; ","")&amp;IF($S699&lt;&gt;"Có","SĐT sai định dạng; ","")&amp;IF($R699="Trùng","Trùng SĐT; ","")&amp;IF($Q699&lt;&gt;"Có","Thiếu đồng ý bắt buộc; ","")&amp;IF($L699="","Thiếu/sai Mã REF; ",IF(AND($L699="Chưa xác định",DANH_MUC!$L$9&lt;&gt;"Có"),"Nguồn chưa xác định; ","")))</f>
        <v/>
      </c>
      <c r="V699" s="22">
        <f>IF(OR($D699="",$R699="Trùng"),"",IF(COUNTIF(ORDERS!$C$2:$C$4995,$D699)&gt;0,"Có","Không"))</f>
        <v/>
      </c>
      <c r="W699" s="22">
        <f>IF(OR($D699="",$R699="Trùng"),"",COUNTIFS(ORDERS!$C$2:$C$4995,$D699,ORDERS!$L$2:$L$4995,"Đã chuyển khoản"))</f>
        <v/>
      </c>
      <c r="X699" s="23">
        <f>IF(OR($D699="",$R699="Trùng"),"",SUMIFS(ORDERS!$J$2:$J$4995,ORDERS!$C$2:$C$4995,$D699,ORDERS!$L$2:$L$4995,"Đã chuyển khoản"))</f>
        <v/>
      </c>
      <c r="Y699" s="24" t="n"/>
    </row>
    <row r="700" ht="14.25" customHeight="1" s="40">
      <c r="A700" s="24" t="n"/>
      <c r="B700" s="27" t="n"/>
      <c r="C700" s="24" t="n"/>
      <c r="D700" s="28" t="n"/>
      <c r="E700" s="29" t="n"/>
      <c r="F700" s="24" t="n"/>
      <c r="G700" s="24" t="n"/>
      <c r="H700" s="21">
        <f>IF(ISNUMBER($B700),INT($B700)-WEEKDAY($B700,2)+1,"")</f>
        <v/>
      </c>
      <c r="I700" s="24" t="n"/>
      <c r="J700" s="22">
        <f t="array" ref="J700">IF($D700="","",IF($I700="","(trống REF)",IFERROR(INDEX(MASTER_SOURCE!$B$2:$B$495,MATCH($I700,MASTER_SOURCE!$A$2:$A$495,0)),"(REF không có trong MASTER_SOURCE)")))</f>
        <v/>
      </c>
      <c r="K700" s="22">
        <f t="array" ref="K700">IF($D700="","",IFERROR(INDEX(MASTER_SOURCE!$C$2:$C$495,MATCH($I700,MASTER_SOURCE!$A$2:$A$495,0)),""))</f>
        <v/>
      </c>
      <c r="L700" s="22">
        <f t="array" ref="L700">IF($D700="","",IFERROR(INDEX(MASTER_SOURCE!$D$2:$D$495,MATCH($I700,MASTER_SOURCE!$A$2:$A$495,0)),""))</f>
        <v/>
      </c>
      <c r="M700" s="24" t="n"/>
      <c r="N700" s="24" t="n"/>
      <c r="O700" s="24" t="n"/>
      <c r="P700" s="24" t="n"/>
      <c r="Q700" s="22">
        <f>IF($D700="","",IF(AND(OR(DANH_MUC!$L$5&lt;&gt;"Có",M700="Có"),OR(DANH_MUC!$L$6&lt;&gt;"Có",N700="Có"),OR(DANH_MUC!$L$7&lt;&gt;"Có",O700="Có"),OR(DANH_MUC!$L$8&lt;&gt;"Có",P700="Có")),"Có","Không"))</f>
        <v/>
      </c>
      <c r="R700" s="22">
        <f>IF($D700="","",IF(COUNTIF($D$2:$D700,$D700)&gt;1,"Trùng",""))</f>
        <v/>
      </c>
      <c r="S700" s="22">
        <f>IF($D700="","",IF(AND(LEN($D700)=10,LEFT($D700,1)="0",ISNUMBER(--$D700)),"Có","Không"))</f>
        <v/>
      </c>
      <c r="T700" s="22">
        <f>IF($D700="","",IF(AND($C700&lt;&gt;"",$Q700="Có",$R700="",$S700="Có",AND($L700&lt;&gt;"",OR($L700&lt;&gt;"Chưa xác định",DANH_MUC!$L$9="Có"))),"Có","Không"))</f>
        <v/>
      </c>
      <c r="U700" s="22">
        <f>IF(OR($D700="",$T700="Có"),"",IF($C700="","Thiếu họ tên; ","")&amp;IF($S700&lt;&gt;"Có","SĐT sai định dạng; ","")&amp;IF($R700="Trùng","Trùng SĐT; ","")&amp;IF($Q700&lt;&gt;"Có","Thiếu đồng ý bắt buộc; ","")&amp;IF($L700="","Thiếu/sai Mã REF; ",IF(AND($L700="Chưa xác định",DANH_MUC!$L$9&lt;&gt;"Có"),"Nguồn chưa xác định; ","")))</f>
        <v/>
      </c>
      <c r="V700" s="22">
        <f>IF(OR($D700="",$R700="Trùng"),"",IF(COUNTIF(ORDERS!$C$2:$C$4995,$D700)&gt;0,"Có","Không"))</f>
        <v/>
      </c>
      <c r="W700" s="22">
        <f>IF(OR($D700="",$R700="Trùng"),"",COUNTIFS(ORDERS!$C$2:$C$4995,$D700,ORDERS!$L$2:$L$4995,"Đã chuyển khoản"))</f>
        <v/>
      </c>
      <c r="X700" s="23">
        <f>IF(OR($D700="",$R700="Trùng"),"",SUMIFS(ORDERS!$J$2:$J$4995,ORDERS!$C$2:$C$4995,$D700,ORDERS!$L$2:$L$4995,"Đã chuyển khoản"))</f>
        <v/>
      </c>
      <c r="Y700" s="24" t="n"/>
    </row>
    <row r="701" ht="14.25" customHeight="1" s="40">
      <c r="A701" s="24" t="n"/>
      <c r="B701" s="27" t="n"/>
      <c r="C701" s="24" t="n"/>
      <c r="D701" s="28" t="n"/>
      <c r="E701" s="29" t="n"/>
      <c r="F701" s="24" t="n"/>
      <c r="G701" s="24" t="n"/>
      <c r="H701" s="21">
        <f>IF(ISNUMBER($B701),INT($B701)-WEEKDAY($B701,2)+1,"")</f>
        <v/>
      </c>
      <c r="I701" s="24" t="n"/>
      <c r="J701" s="22">
        <f t="array" ref="J701">IF($D701="","",IF($I701="","(trống REF)",IFERROR(INDEX(MASTER_SOURCE!$B$2:$B$495,MATCH($I701,MASTER_SOURCE!$A$2:$A$495,0)),"(REF không có trong MASTER_SOURCE)")))</f>
        <v/>
      </c>
      <c r="K701" s="22">
        <f t="array" ref="K701">IF($D701="","",IFERROR(INDEX(MASTER_SOURCE!$C$2:$C$495,MATCH($I701,MASTER_SOURCE!$A$2:$A$495,0)),""))</f>
        <v/>
      </c>
      <c r="L701" s="22">
        <f t="array" ref="L701">IF($D701="","",IFERROR(INDEX(MASTER_SOURCE!$D$2:$D$495,MATCH($I701,MASTER_SOURCE!$A$2:$A$495,0)),""))</f>
        <v/>
      </c>
      <c r="M701" s="24" t="n"/>
      <c r="N701" s="24" t="n"/>
      <c r="O701" s="24" t="n"/>
      <c r="P701" s="24" t="n"/>
      <c r="Q701" s="22">
        <f>IF($D701="","",IF(AND(OR(DANH_MUC!$L$5&lt;&gt;"Có",M701="Có"),OR(DANH_MUC!$L$6&lt;&gt;"Có",N701="Có"),OR(DANH_MUC!$L$7&lt;&gt;"Có",O701="Có"),OR(DANH_MUC!$L$8&lt;&gt;"Có",P701="Có")),"Có","Không"))</f>
        <v/>
      </c>
      <c r="R701" s="22">
        <f>IF($D701="","",IF(COUNTIF($D$2:$D701,$D701)&gt;1,"Trùng",""))</f>
        <v/>
      </c>
      <c r="S701" s="22">
        <f>IF($D701="","",IF(AND(LEN($D701)=10,LEFT($D701,1)="0",ISNUMBER(--$D701)),"Có","Không"))</f>
        <v/>
      </c>
      <c r="T701" s="22">
        <f>IF($D701="","",IF(AND($C701&lt;&gt;"",$Q701="Có",$R701="",$S701="Có",AND($L701&lt;&gt;"",OR($L701&lt;&gt;"Chưa xác định",DANH_MUC!$L$9="Có"))),"Có","Không"))</f>
        <v/>
      </c>
      <c r="U701" s="22">
        <f>IF(OR($D701="",$T701="Có"),"",IF($C701="","Thiếu họ tên; ","")&amp;IF($S701&lt;&gt;"Có","SĐT sai định dạng; ","")&amp;IF($R701="Trùng","Trùng SĐT; ","")&amp;IF($Q701&lt;&gt;"Có","Thiếu đồng ý bắt buộc; ","")&amp;IF($L701="","Thiếu/sai Mã REF; ",IF(AND($L701="Chưa xác định",DANH_MUC!$L$9&lt;&gt;"Có"),"Nguồn chưa xác định; ","")))</f>
        <v/>
      </c>
      <c r="V701" s="22">
        <f>IF(OR($D701="",$R701="Trùng"),"",IF(COUNTIF(ORDERS!$C$2:$C$4995,$D701)&gt;0,"Có","Không"))</f>
        <v/>
      </c>
      <c r="W701" s="22">
        <f>IF(OR($D701="",$R701="Trùng"),"",COUNTIFS(ORDERS!$C$2:$C$4995,$D701,ORDERS!$L$2:$L$4995,"Đã chuyển khoản"))</f>
        <v/>
      </c>
      <c r="X701" s="23">
        <f>IF(OR($D701="",$R701="Trùng"),"",SUMIFS(ORDERS!$J$2:$J$4995,ORDERS!$C$2:$C$4995,$D701,ORDERS!$L$2:$L$4995,"Đã chuyển khoản"))</f>
        <v/>
      </c>
      <c r="Y701" s="24" t="n"/>
    </row>
    <row r="702" ht="14.25" customHeight="1" s="40">
      <c r="A702" s="24" t="n"/>
      <c r="B702" s="27" t="n"/>
      <c r="C702" s="24" t="n"/>
      <c r="D702" s="28" t="n"/>
      <c r="E702" s="29" t="n"/>
      <c r="F702" s="24" t="n"/>
      <c r="G702" s="24" t="n"/>
      <c r="H702" s="21">
        <f>IF(ISNUMBER($B702),INT($B702)-WEEKDAY($B702,2)+1,"")</f>
        <v/>
      </c>
      <c r="I702" s="24" t="n"/>
      <c r="J702" s="22">
        <f t="array" ref="J702">IF($D702="","",IF($I702="","(trống REF)",IFERROR(INDEX(MASTER_SOURCE!$B$2:$B$495,MATCH($I702,MASTER_SOURCE!$A$2:$A$495,0)),"(REF không có trong MASTER_SOURCE)")))</f>
        <v/>
      </c>
      <c r="K702" s="22">
        <f t="array" ref="K702">IF($D702="","",IFERROR(INDEX(MASTER_SOURCE!$C$2:$C$495,MATCH($I702,MASTER_SOURCE!$A$2:$A$495,0)),""))</f>
        <v/>
      </c>
      <c r="L702" s="22">
        <f t="array" ref="L702">IF($D702="","",IFERROR(INDEX(MASTER_SOURCE!$D$2:$D$495,MATCH($I702,MASTER_SOURCE!$A$2:$A$495,0)),""))</f>
        <v/>
      </c>
      <c r="M702" s="24" t="n"/>
      <c r="N702" s="24" t="n"/>
      <c r="O702" s="24" t="n"/>
      <c r="P702" s="24" t="n"/>
      <c r="Q702" s="22">
        <f>IF($D702="","",IF(AND(OR(DANH_MUC!$L$5&lt;&gt;"Có",M702="Có"),OR(DANH_MUC!$L$6&lt;&gt;"Có",N702="Có"),OR(DANH_MUC!$L$7&lt;&gt;"Có",O702="Có"),OR(DANH_MUC!$L$8&lt;&gt;"Có",P702="Có")),"Có","Không"))</f>
        <v/>
      </c>
      <c r="R702" s="22">
        <f>IF($D702="","",IF(COUNTIF($D$2:$D702,$D702)&gt;1,"Trùng",""))</f>
        <v/>
      </c>
      <c r="S702" s="22">
        <f>IF($D702="","",IF(AND(LEN($D702)=10,LEFT($D702,1)="0",ISNUMBER(--$D702)),"Có","Không"))</f>
        <v/>
      </c>
      <c r="T702" s="22">
        <f>IF($D702="","",IF(AND($C702&lt;&gt;"",$Q702="Có",$R702="",$S702="Có",AND($L702&lt;&gt;"",OR($L702&lt;&gt;"Chưa xác định",DANH_MUC!$L$9="Có"))),"Có","Không"))</f>
        <v/>
      </c>
      <c r="U702" s="22">
        <f>IF(OR($D702="",$T702="Có"),"",IF($C702="","Thiếu họ tên; ","")&amp;IF($S702&lt;&gt;"Có","SĐT sai định dạng; ","")&amp;IF($R702="Trùng","Trùng SĐT; ","")&amp;IF($Q702&lt;&gt;"Có","Thiếu đồng ý bắt buộc; ","")&amp;IF($L702="","Thiếu/sai Mã REF; ",IF(AND($L702="Chưa xác định",DANH_MUC!$L$9&lt;&gt;"Có"),"Nguồn chưa xác định; ","")))</f>
        <v/>
      </c>
      <c r="V702" s="22">
        <f>IF(OR($D702="",$R702="Trùng"),"",IF(COUNTIF(ORDERS!$C$2:$C$4995,$D702)&gt;0,"Có","Không"))</f>
        <v/>
      </c>
      <c r="W702" s="22">
        <f>IF(OR($D702="",$R702="Trùng"),"",COUNTIFS(ORDERS!$C$2:$C$4995,$D702,ORDERS!$L$2:$L$4995,"Đã chuyển khoản"))</f>
        <v/>
      </c>
      <c r="X702" s="23">
        <f>IF(OR($D702="",$R702="Trùng"),"",SUMIFS(ORDERS!$J$2:$J$4995,ORDERS!$C$2:$C$4995,$D702,ORDERS!$L$2:$L$4995,"Đã chuyển khoản"))</f>
        <v/>
      </c>
      <c r="Y702" s="24" t="n"/>
    </row>
    <row r="703" ht="14.25" customHeight="1" s="40">
      <c r="A703" s="24" t="n"/>
      <c r="B703" s="27" t="n"/>
      <c r="C703" s="24" t="n"/>
      <c r="D703" s="28" t="n"/>
      <c r="E703" s="29" t="n"/>
      <c r="F703" s="24" t="n"/>
      <c r="G703" s="24" t="n"/>
      <c r="H703" s="21">
        <f>IF(ISNUMBER($B703),INT($B703)-WEEKDAY($B703,2)+1,"")</f>
        <v/>
      </c>
      <c r="I703" s="24" t="n"/>
      <c r="J703" s="22">
        <f t="array" ref="J703">IF($D703="","",IF($I703="","(trống REF)",IFERROR(INDEX(MASTER_SOURCE!$B$2:$B$495,MATCH($I703,MASTER_SOURCE!$A$2:$A$495,0)),"(REF không có trong MASTER_SOURCE)")))</f>
        <v/>
      </c>
      <c r="K703" s="22">
        <f t="array" ref="K703">IF($D703="","",IFERROR(INDEX(MASTER_SOURCE!$C$2:$C$495,MATCH($I703,MASTER_SOURCE!$A$2:$A$495,0)),""))</f>
        <v/>
      </c>
      <c r="L703" s="22">
        <f t="array" ref="L703">IF($D703="","",IFERROR(INDEX(MASTER_SOURCE!$D$2:$D$495,MATCH($I703,MASTER_SOURCE!$A$2:$A$495,0)),""))</f>
        <v/>
      </c>
      <c r="M703" s="24" t="n"/>
      <c r="N703" s="24" t="n"/>
      <c r="O703" s="24" t="n"/>
      <c r="P703" s="24" t="n"/>
      <c r="Q703" s="22">
        <f>IF($D703="","",IF(AND(OR(DANH_MUC!$L$5&lt;&gt;"Có",M703="Có"),OR(DANH_MUC!$L$6&lt;&gt;"Có",N703="Có"),OR(DANH_MUC!$L$7&lt;&gt;"Có",O703="Có"),OR(DANH_MUC!$L$8&lt;&gt;"Có",P703="Có")),"Có","Không"))</f>
        <v/>
      </c>
      <c r="R703" s="22">
        <f>IF($D703="","",IF(COUNTIF($D$2:$D703,$D703)&gt;1,"Trùng",""))</f>
        <v/>
      </c>
      <c r="S703" s="22">
        <f>IF($D703="","",IF(AND(LEN($D703)=10,LEFT($D703,1)="0",ISNUMBER(--$D703)),"Có","Không"))</f>
        <v/>
      </c>
      <c r="T703" s="22">
        <f>IF($D703="","",IF(AND($C703&lt;&gt;"",$Q703="Có",$R703="",$S703="Có",AND($L703&lt;&gt;"",OR($L703&lt;&gt;"Chưa xác định",DANH_MUC!$L$9="Có"))),"Có","Không"))</f>
        <v/>
      </c>
      <c r="U703" s="22">
        <f>IF(OR($D703="",$T703="Có"),"",IF($C703="","Thiếu họ tên; ","")&amp;IF($S703&lt;&gt;"Có","SĐT sai định dạng; ","")&amp;IF($R703="Trùng","Trùng SĐT; ","")&amp;IF($Q703&lt;&gt;"Có","Thiếu đồng ý bắt buộc; ","")&amp;IF($L703="","Thiếu/sai Mã REF; ",IF(AND($L703="Chưa xác định",DANH_MUC!$L$9&lt;&gt;"Có"),"Nguồn chưa xác định; ","")))</f>
        <v/>
      </c>
      <c r="V703" s="22">
        <f>IF(OR($D703="",$R703="Trùng"),"",IF(COUNTIF(ORDERS!$C$2:$C$4995,$D703)&gt;0,"Có","Không"))</f>
        <v/>
      </c>
      <c r="W703" s="22">
        <f>IF(OR($D703="",$R703="Trùng"),"",COUNTIFS(ORDERS!$C$2:$C$4995,$D703,ORDERS!$L$2:$L$4995,"Đã chuyển khoản"))</f>
        <v/>
      </c>
      <c r="X703" s="23">
        <f>IF(OR($D703="",$R703="Trùng"),"",SUMIFS(ORDERS!$J$2:$J$4995,ORDERS!$C$2:$C$4995,$D703,ORDERS!$L$2:$L$4995,"Đã chuyển khoản"))</f>
        <v/>
      </c>
      <c r="Y703" s="24" t="n"/>
    </row>
    <row r="704" ht="14.25" customHeight="1" s="40">
      <c r="A704" s="24" t="n"/>
      <c r="B704" s="27" t="n"/>
      <c r="C704" s="24" t="n"/>
      <c r="D704" s="28" t="n"/>
      <c r="E704" s="29" t="n"/>
      <c r="F704" s="24" t="n"/>
      <c r="G704" s="24" t="n"/>
      <c r="H704" s="21">
        <f>IF(ISNUMBER($B704),INT($B704)-WEEKDAY($B704,2)+1,"")</f>
        <v/>
      </c>
      <c r="I704" s="24" t="n"/>
      <c r="J704" s="22">
        <f t="array" ref="J704">IF($D704="","",IF($I704="","(trống REF)",IFERROR(INDEX(MASTER_SOURCE!$B$2:$B$495,MATCH($I704,MASTER_SOURCE!$A$2:$A$495,0)),"(REF không có trong MASTER_SOURCE)")))</f>
        <v/>
      </c>
      <c r="K704" s="22">
        <f t="array" ref="K704">IF($D704="","",IFERROR(INDEX(MASTER_SOURCE!$C$2:$C$495,MATCH($I704,MASTER_SOURCE!$A$2:$A$495,0)),""))</f>
        <v/>
      </c>
      <c r="L704" s="22">
        <f t="array" ref="L704">IF($D704="","",IFERROR(INDEX(MASTER_SOURCE!$D$2:$D$495,MATCH($I704,MASTER_SOURCE!$A$2:$A$495,0)),""))</f>
        <v/>
      </c>
      <c r="M704" s="24" t="n"/>
      <c r="N704" s="24" t="n"/>
      <c r="O704" s="24" t="n"/>
      <c r="P704" s="24" t="n"/>
      <c r="Q704" s="22">
        <f>IF($D704="","",IF(AND(OR(DANH_MUC!$L$5&lt;&gt;"Có",M704="Có"),OR(DANH_MUC!$L$6&lt;&gt;"Có",N704="Có"),OR(DANH_MUC!$L$7&lt;&gt;"Có",O704="Có"),OR(DANH_MUC!$L$8&lt;&gt;"Có",P704="Có")),"Có","Không"))</f>
        <v/>
      </c>
      <c r="R704" s="22">
        <f>IF($D704="","",IF(COUNTIF($D$2:$D704,$D704)&gt;1,"Trùng",""))</f>
        <v/>
      </c>
      <c r="S704" s="22">
        <f>IF($D704="","",IF(AND(LEN($D704)=10,LEFT($D704,1)="0",ISNUMBER(--$D704)),"Có","Không"))</f>
        <v/>
      </c>
      <c r="T704" s="22">
        <f>IF($D704="","",IF(AND($C704&lt;&gt;"",$Q704="Có",$R704="",$S704="Có",AND($L704&lt;&gt;"",OR($L704&lt;&gt;"Chưa xác định",DANH_MUC!$L$9="Có"))),"Có","Không"))</f>
        <v/>
      </c>
      <c r="U704" s="22">
        <f>IF(OR($D704="",$T704="Có"),"",IF($C704="","Thiếu họ tên; ","")&amp;IF($S704&lt;&gt;"Có","SĐT sai định dạng; ","")&amp;IF($R704="Trùng","Trùng SĐT; ","")&amp;IF($Q704&lt;&gt;"Có","Thiếu đồng ý bắt buộc; ","")&amp;IF($L704="","Thiếu/sai Mã REF; ",IF(AND($L704="Chưa xác định",DANH_MUC!$L$9&lt;&gt;"Có"),"Nguồn chưa xác định; ","")))</f>
        <v/>
      </c>
      <c r="V704" s="22">
        <f>IF(OR($D704="",$R704="Trùng"),"",IF(COUNTIF(ORDERS!$C$2:$C$4995,$D704)&gt;0,"Có","Không"))</f>
        <v/>
      </c>
      <c r="W704" s="22">
        <f>IF(OR($D704="",$R704="Trùng"),"",COUNTIFS(ORDERS!$C$2:$C$4995,$D704,ORDERS!$L$2:$L$4995,"Đã chuyển khoản"))</f>
        <v/>
      </c>
      <c r="X704" s="23">
        <f>IF(OR($D704="",$R704="Trùng"),"",SUMIFS(ORDERS!$J$2:$J$4995,ORDERS!$C$2:$C$4995,$D704,ORDERS!$L$2:$L$4995,"Đã chuyển khoản"))</f>
        <v/>
      </c>
      <c r="Y704" s="24" t="n"/>
    </row>
    <row r="705" ht="14.25" customHeight="1" s="40">
      <c r="A705" s="24" t="n"/>
      <c r="B705" s="27" t="n"/>
      <c r="C705" s="24" t="n"/>
      <c r="D705" s="28" t="n"/>
      <c r="E705" s="29" t="n"/>
      <c r="F705" s="24" t="n"/>
      <c r="G705" s="24" t="n"/>
      <c r="H705" s="21">
        <f>IF(ISNUMBER($B705),INT($B705)-WEEKDAY($B705,2)+1,"")</f>
        <v/>
      </c>
      <c r="I705" s="24" t="n"/>
      <c r="J705" s="22">
        <f t="array" ref="J705">IF($D705="","",IF($I705="","(trống REF)",IFERROR(INDEX(MASTER_SOURCE!$B$2:$B$495,MATCH($I705,MASTER_SOURCE!$A$2:$A$495,0)),"(REF không có trong MASTER_SOURCE)")))</f>
        <v/>
      </c>
      <c r="K705" s="22">
        <f t="array" ref="K705">IF($D705="","",IFERROR(INDEX(MASTER_SOURCE!$C$2:$C$495,MATCH($I705,MASTER_SOURCE!$A$2:$A$495,0)),""))</f>
        <v/>
      </c>
      <c r="L705" s="22">
        <f t="array" ref="L705">IF($D705="","",IFERROR(INDEX(MASTER_SOURCE!$D$2:$D$495,MATCH($I705,MASTER_SOURCE!$A$2:$A$495,0)),""))</f>
        <v/>
      </c>
      <c r="M705" s="24" t="n"/>
      <c r="N705" s="24" t="n"/>
      <c r="O705" s="24" t="n"/>
      <c r="P705" s="24" t="n"/>
      <c r="Q705" s="22">
        <f>IF($D705="","",IF(AND(OR(DANH_MUC!$L$5&lt;&gt;"Có",M705="Có"),OR(DANH_MUC!$L$6&lt;&gt;"Có",N705="Có"),OR(DANH_MUC!$L$7&lt;&gt;"Có",O705="Có"),OR(DANH_MUC!$L$8&lt;&gt;"Có",P705="Có")),"Có","Không"))</f>
        <v/>
      </c>
      <c r="R705" s="22">
        <f>IF($D705="","",IF(COUNTIF($D$2:$D705,$D705)&gt;1,"Trùng",""))</f>
        <v/>
      </c>
      <c r="S705" s="22">
        <f>IF($D705="","",IF(AND(LEN($D705)=10,LEFT($D705,1)="0",ISNUMBER(--$D705)),"Có","Không"))</f>
        <v/>
      </c>
      <c r="T705" s="22">
        <f>IF($D705="","",IF(AND($C705&lt;&gt;"",$Q705="Có",$R705="",$S705="Có",AND($L705&lt;&gt;"",OR($L705&lt;&gt;"Chưa xác định",DANH_MUC!$L$9="Có"))),"Có","Không"))</f>
        <v/>
      </c>
      <c r="U705" s="22">
        <f>IF(OR($D705="",$T705="Có"),"",IF($C705="","Thiếu họ tên; ","")&amp;IF($S705&lt;&gt;"Có","SĐT sai định dạng; ","")&amp;IF($R705="Trùng","Trùng SĐT; ","")&amp;IF($Q705&lt;&gt;"Có","Thiếu đồng ý bắt buộc; ","")&amp;IF($L705="","Thiếu/sai Mã REF; ",IF(AND($L705="Chưa xác định",DANH_MUC!$L$9&lt;&gt;"Có"),"Nguồn chưa xác định; ","")))</f>
        <v/>
      </c>
      <c r="V705" s="22">
        <f>IF(OR($D705="",$R705="Trùng"),"",IF(COUNTIF(ORDERS!$C$2:$C$4995,$D705)&gt;0,"Có","Không"))</f>
        <v/>
      </c>
      <c r="W705" s="22">
        <f>IF(OR($D705="",$R705="Trùng"),"",COUNTIFS(ORDERS!$C$2:$C$4995,$D705,ORDERS!$L$2:$L$4995,"Đã chuyển khoản"))</f>
        <v/>
      </c>
      <c r="X705" s="23">
        <f>IF(OR($D705="",$R705="Trùng"),"",SUMIFS(ORDERS!$J$2:$J$4995,ORDERS!$C$2:$C$4995,$D705,ORDERS!$L$2:$L$4995,"Đã chuyển khoản"))</f>
        <v/>
      </c>
      <c r="Y705" s="24" t="n"/>
    </row>
    <row r="706" ht="14.25" customHeight="1" s="40">
      <c r="A706" s="24" t="n"/>
      <c r="B706" s="27" t="n"/>
      <c r="C706" s="24" t="n"/>
      <c r="D706" s="28" t="n"/>
      <c r="E706" s="29" t="n"/>
      <c r="F706" s="24" t="n"/>
      <c r="G706" s="24" t="n"/>
      <c r="H706" s="21">
        <f>IF(ISNUMBER($B706),INT($B706)-WEEKDAY($B706,2)+1,"")</f>
        <v/>
      </c>
      <c r="I706" s="24" t="n"/>
      <c r="J706" s="22">
        <f t="array" ref="J706">IF($D706="","",IF($I706="","(trống REF)",IFERROR(INDEX(MASTER_SOURCE!$B$2:$B$495,MATCH($I706,MASTER_SOURCE!$A$2:$A$495,0)),"(REF không có trong MASTER_SOURCE)")))</f>
        <v/>
      </c>
      <c r="K706" s="22">
        <f t="array" ref="K706">IF($D706="","",IFERROR(INDEX(MASTER_SOURCE!$C$2:$C$495,MATCH($I706,MASTER_SOURCE!$A$2:$A$495,0)),""))</f>
        <v/>
      </c>
      <c r="L706" s="22">
        <f t="array" ref="L706">IF($D706="","",IFERROR(INDEX(MASTER_SOURCE!$D$2:$D$495,MATCH($I706,MASTER_SOURCE!$A$2:$A$495,0)),""))</f>
        <v/>
      </c>
      <c r="M706" s="24" t="n"/>
      <c r="N706" s="24" t="n"/>
      <c r="O706" s="24" t="n"/>
      <c r="P706" s="24" t="n"/>
      <c r="Q706" s="22">
        <f>IF($D706="","",IF(AND(OR(DANH_MUC!$L$5&lt;&gt;"Có",M706="Có"),OR(DANH_MUC!$L$6&lt;&gt;"Có",N706="Có"),OR(DANH_MUC!$L$7&lt;&gt;"Có",O706="Có"),OR(DANH_MUC!$L$8&lt;&gt;"Có",P706="Có")),"Có","Không"))</f>
        <v/>
      </c>
      <c r="R706" s="22">
        <f>IF($D706="","",IF(COUNTIF($D$2:$D706,$D706)&gt;1,"Trùng",""))</f>
        <v/>
      </c>
      <c r="S706" s="22">
        <f>IF($D706="","",IF(AND(LEN($D706)=10,LEFT($D706,1)="0",ISNUMBER(--$D706)),"Có","Không"))</f>
        <v/>
      </c>
      <c r="T706" s="22">
        <f>IF($D706="","",IF(AND($C706&lt;&gt;"",$Q706="Có",$R706="",$S706="Có",AND($L706&lt;&gt;"",OR($L706&lt;&gt;"Chưa xác định",DANH_MUC!$L$9="Có"))),"Có","Không"))</f>
        <v/>
      </c>
      <c r="U706" s="22">
        <f>IF(OR($D706="",$T706="Có"),"",IF($C706="","Thiếu họ tên; ","")&amp;IF($S706&lt;&gt;"Có","SĐT sai định dạng; ","")&amp;IF($R706="Trùng","Trùng SĐT; ","")&amp;IF($Q706&lt;&gt;"Có","Thiếu đồng ý bắt buộc; ","")&amp;IF($L706="","Thiếu/sai Mã REF; ",IF(AND($L706="Chưa xác định",DANH_MUC!$L$9&lt;&gt;"Có"),"Nguồn chưa xác định; ","")))</f>
        <v/>
      </c>
      <c r="V706" s="22">
        <f>IF(OR($D706="",$R706="Trùng"),"",IF(COUNTIF(ORDERS!$C$2:$C$4995,$D706)&gt;0,"Có","Không"))</f>
        <v/>
      </c>
      <c r="W706" s="22">
        <f>IF(OR($D706="",$R706="Trùng"),"",COUNTIFS(ORDERS!$C$2:$C$4995,$D706,ORDERS!$L$2:$L$4995,"Đã chuyển khoản"))</f>
        <v/>
      </c>
      <c r="X706" s="23">
        <f>IF(OR($D706="",$R706="Trùng"),"",SUMIFS(ORDERS!$J$2:$J$4995,ORDERS!$C$2:$C$4995,$D706,ORDERS!$L$2:$L$4995,"Đã chuyển khoản"))</f>
        <v/>
      </c>
      <c r="Y706" s="24" t="n"/>
    </row>
    <row r="707" ht="14.25" customHeight="1" s="40">
      <c r="A707" s="24" t="n"/>
      <c r="B707" s="27" t="n"/>
      <c r="C707" s="24" t="n"/>
      <c r="D707" s="28" t="n"/>
      <c r="E707" s="29" t="n"/>
      <c r="F707" s="24" t="n"/>
      <c r="G707" s="24" t="n"/>
      <c r="H707" s="21">
        <f>IF(ISNUMBER($B707),INT($B707)-WEEKDAY($B707,2)+1,"")</f>
        <v/>
      </c>
      <c r="I707" s="24" t="n"/>
      <c r="J707" s="22">
        <f t="array" ref="J707">IF($D707="","",IF($I707="","(trống REF)",IFERROR(INDEX(MASTER_SOURCE!$B$2:$B$495,MATCH($I707,MASTER_SOURCE!$A$2:$A$495,0)),"(REF không có trong MASTER_SOURCE)")))</f>
        <v/>
      </c>
      <c r="K707" s="22">
        <f t="array" ref="K707">IF($D707="","",IFERROR(INDEX(MASTER_SOURCE!$C$2:$C$495,MATCH($I707,MASTER_SOURCE!$A$2:$A$495,0)),""))</f>
        <v/>
      </c>
      <c r="L707" s="22">
        <f t="array" ref="L707">IF($D707="","",IFERROR(INDEX(MASTER_SOURCE!$D$2:$D$495,MATCH($I707,MASTER_SOURCE!$A$2:$A$495,0)),""))</f>
        <v/>
      </c>
      <c r="M707" s="24" t="n"/>
      <c r="N707" s="24" t="n"/>
      <c r="O707" s="24" t="n"/>
      <c r="P707" s="24" t="n"/>
      <c r="Q707" s="22">
        <f>IF($D707="","",IF(AND(OR(DANH_MUC!$L$5&lt;&gt;"Có",M707="Có"),OR(DANH_MUC!$L$6&lt;&gt;"Có",N707="Có"),OR(DANH_MUC!$L$7&lt;&gt;"Có",O707="Có"),OR(DANH_MUC!$L$8&lt;&gt;"Có",P707="Có")),"Có","Không"))</f>
        <v/>
      </c>
      <c r="R707" s="22">
        <f>IF($D707="","",IF(COUNTIF($D$2:$D707,$D707)&gt;1,"Trùng",""))</f>
        <v/>
      </c>
      <c r="S707" s="22">
        <f>IF($D707="","",IF(AND(LEN($D707)=10,LEFT($D707,1)="0",ISNUMBER(--$D707)),"Có","Không"))</f>
        <v/>
      </c>
      <c r="T707" s="22">
        <f>IF($D707="","",IF(AND($C707&lt;&gt;"",$Q707="Có",$R707="",$S707="Có",AND($L707&lt;&gt;"",OR($L707&lt;&gt;"Chưa xác định",DANH_MUC!$L$9="Có"))),"Có","Không"))</f>
        <v/>
      </c>
      <c r="U707" s="22">
        <f>IF(OR($D707="",$T707="Có"),"",IF($C707="","Thiếu họ tên; ","")&amp;IF($S707&lt;&gt;"Có","SĐT sai định dạng; ","")&amp;IF($R707="Trùng","Trùng SĐT; ","")&amp;IF($Q707&lt;&gt;"Có","Thiếu đồng ý bắt buộc; ","")&amp;IF($L707="","Thiếu/sai Mã REF; ",IF(AND($L707="Chưa xác định",DANH_MUC!$L$9&lt;&gt;"Có"),"Nguồn chưa xác định; ","")))</f>
        <v/>
      </c>
      <c r="V707" s="22">
        <f>IF(OR($D707="",$R707="Trùng"),"",IF(COUNTIF(ORDERS!$C$2:$C$4995,$D707)&gt;0,"Có","Không"))</f>
        <v/>
      </c>
      <c r="W707" s="22">
        <f>IF(OR($D707="",$R707="Trùng"),"",COUNTIFS(ORDERS!$C$2:$C$4995,$D707,ORDERS!$L$2:$L$4995,"Đã chuyển khoản"))</f>
        <v/>
      </c>
      <c r="X707" s="23">
        <f>IF(OR($D707="",$R707="Trùng"),"",SUMIFS(ORDERS!$J$2:$J$4995,ORDERS!$C$2:$C$4995,$D707,ORDERS!$L$2:$L$4995,"Đã chuyển khoản"))</f>
        <v/>
      </c>
      <c r="Y707" s="24" t="n"/>
    </row>
    <row r="708" ht="14.25" customHeight="1" s="40">
      <c r="A708" s="24" t="n"/>
      <c r="B708" s="27" t="n"/>
      <c r="C708" s="24" t="n"/>
      <c r="D708" s="28" t="n"/>
      <c r="E708" s="29" t="n"/>
      <c r="F708" s="24" t="n"/>
      <c r="G708" s="24" t="n"/>
      <c r="H708" s="21">
        <f>IF(ISNUMBER($B708),INT($B708)-WEEKDAY($B708,2)+1,"")</f>
        <v/>
      </c>
      <c r="I708" s="24" t="n"/>
      <c r="J708" s="22">
        <f t="array" ref="J708">IF($D708="","",IF($I708="","(trống REF)",IFERROR(INDEX(MASTER_SOURCE!$B$2:$B$495,MATCH($I708,MASTER_SOURCE!$A$2:$A$495,0)),"(REF không có trong MASTER_SOURCE)")))</f>
        <v/>
      </c>
      <c r="K708" s="22">
        <f t="array" ref="K708">IF($D708="","",IFERROR(INDEX(MASTER_SOURCE!$C$2:$C$495,MATCH($I708,MASTER_SOURCE!$A$2:$A$495,0)),""))</f>
        <v/>
      </c>
      <c r="L708" s="22">
        <f t="array" ref="L708">IF($D708="","",IFERROR(INDEX(MASTER_SOURCE!$D$2:$D$495,MATCH($I708,MASTER_SOURCE!$A$2:$A$495,0)),""))</f>
        <v/>
      </c>
      <c r="M708" s="24" t="n"/>
      <c r="N708" s="24" t="n"/>
      <c r="O708" s="24" t="n"/>
      <c r="P708" s="24" t="n"/>
      <c r="Q708" s="22">
        <f>IF($D708="","",IF(AND(OR(DANH_MUC!$L$5&lt;&gt;"Có",M708="Có"),OR(DANH_MUC!$L$6&lt;&gt;"Có",N708="Có"),OR(DANH_MUC!$L$7&lt;&gt;"Có",O708="Có"),OR(DANH_MUC!$L$8&lt;&gt;"Có",P708="Có")),"Có","Không"))</f>
        <v/>
      </c>
      <c r="R708" s="22">
        <f>IF($D708="","",IF(COUNTIF($D$2:$D708,$D708)&gt;1,"Trùng",""))</f>
        <v/>
      </c>
      <c r="S708" s="22">
        <f>IF($D708="","",IF(AND(LEN($D708)=10,LEFT($D708,1)="0",ISNUMBER(--$D708)),"Có","Không"))</f>
        <v/>
      </c>
      <c r="T708" s="22">
        <f>IF($D708="","",IF(AND($C708&lt;&gt;"",$Q708="Có",$R708="",$S708="Có",AND($L708&lt;&gt;"",OR($L708&lt;&gt;"Chưa xác định",DANH_MUC!$L$9="Có"))),"Có","Không"))</f>
        <v/>
      </c>
      <c r="U708" s="22">
        <f>IF(OR($D708="",$T708="Có"),"",IF($C708="","Thiếu họ tên; ","")&amp;IF($S708&lt;&gt;"Có","SĐT sai định dạng; ","")&amp;IF($R708="Trùng","Trùng SĐT; ","")&amp;IF($Q708&lt;&gt;"Có","Thiếu đồng ý bắt buộc; ","")&amp;IF($L708="","Thiếu/sai Mã REF; ",IF(AND($L708="Chưa xác định",DANH_MUC!$L$9&lt;&gt;"Có"),"Nguồn chưa xác định; ","")))</f>
        <v/>
      </c>
      <c r="V708" s="22">
        <f>IF(OR($D708="",$R708="Trùng"),"",IF(COUNTIF(ORDERS!$C$2:$C$4995,$D708)&gt;0,"Có","Không"))</f>
        <v/>
      </c>
      <c r="W708" s="22">
        <f>IF(OR($D708="",$R708="Trùng"),"",COUNTIFS(ORDERS!$C$2:$C$4995,$D708,ORDERS!$L$2:$L$4995,"Đã chuyển khoản"))</f>
        <v/>
      </c>
      <c r="X708" s="23">
        <f>IF(OR($D708="",$R708="Trùng"),"",SUMIFS(ORDERS!$J$2:$J$4995,ORDERS!$C$2:$C$4995,$D708,ORDERS!$L$2:$L$4995,"Đã chuyển khoản"))</f>
        <v/>
      </c>
      <c r="Y708" s="24" t="n"/>
    </row>
    <row r="709" ht="14.25" customHeight="1" s="40">
      <c r="A709" s="24" t="n"/>
      <c r="B709" s="27" t="n"/>
      <c r="C709" s="24" t="n"/>
      <c r="D709" s="28" t="n"/>
      <c r="E709" s="29" t="n"/>
      <c r="F709" s="24" t="n"/>
      <c r="G709" s="24" t="n"/>
      <c r="H709" s="21">
        <f>IF(ISNUMBER($B709),INT($B709)-WEEKDAY($B709,2)+1,"")</f>
        <v/>
      </c>
      <c r="I709" s="24" t="n"/>
      <c r="J709" s="22">
        <f t="array" ref="J709">IF($D709="","",IF($I709="","(trống REF)",IFERROR(INDEX(MASTER_SOURCE!$B$2:$B$495,MATCH($I709,MASTER_SOURCE!$A$2:$A$495,0)),"(REF không có trong MASTER_SOURCE)")))</f>
        <v/>
      </c>
      <c r="K709" s="22">
        <f t="array" ref="K709">IF($D709="","",IFERROR(INDEX(MASTER_SOURCE!$C$2:$C$495,MATCH($I709,MASTER_SOURCE!$A$2:$A$495,0)),""))</f>
        <v/>
      </c>
      <c r="L709" s="22">
        <f t="array" ref="L709">IF($D709="","",IFERROR(INDEX(MASTER_SOURCE!$D$2:$D$495,MATCH($I709,MASTER_SOURCE!$A$2:$A$495,0)),""))</f>
        <v/>
      </c>
      <c r="M709" s="24" t="n"/>
      <c r="N709" s="24" t="n"/>
      <c r="O709" s="24" t="n"/>
      <c r="P709" s="24" t="n"/>
      <c r="Q709" s="22">
        <f>IF($D709="","",IF(AND(OR(DANH_MUC!$L$5&lt;&gt;"Có",M709="Có"),OR(DANH_MUC!$L$6&lt;&gt;"Có",N709="Có"),OR(DANH_MUC!$L$7&lt;&gt;"Có",O709="Có"),OR(DANH_MUC!$L$8&lt;&gt;"Có",P709="Có")),"Có","Không"))</f>
        <v/>
      </c>
      <c r="R709" s="22">
        <f>IF($D709="","",IF(COUNTIF($D$2:$D709,$D709)&gt;1,"Trùng",""))</f>
        <v/>
      </c>
      <c r="S709" s="22">
        <f>IF($D709="","",IF(AND(LEN($D709)=10,LEFT($D709,1)="0",ISNUMBER(--$D709)),"Có","Không"))</f>
        <v/>
      </c>
      <c r="T709" s="22">
        <f>IF($D709="","",IF(AND($C709&lt;&gt;"",$Q709="Có",$R709="",$S709="Có",AND($L709&lt;&gt;"",OR($L709&lt;&gt;"Chưa xác định",DANH_MUC!$L$9="Có"))),"Có","Không"))</f>
        <v/>
      </c>
      <c r="U709" s="22">
        <f>IF(OR($D709="",$T709="Có"),"",IF($C709="","Thiếu họ tên; ","")&amp;IF($S709&lt;&gt;"Có","SĐT sai định dạng; ","")&amp;IF($R709="Trùng","Trùng SĐT; ","")&amp;IF($Q709&lt;&gt;"Có","Thiếu đồng ý bắt buộc; ","")&amp;IF($L709="","Thiếu/sai Mã REF; ",IF(AND($L709="Chưa xác định",DANH_MUC!$L$9&lt;&gt;"Có"),"Nguồn chưa xác định; ","")))</f>
        <v/>
      </c>
      <c r="V709" s="22">
        <f>IF(OR($D709="",$R709="Trùng"),"",IF(COUNTIF(ORDERS!$C$2:$C$4995,$D709)&gt;0,"Có","Không"))</f>
        <v/>
      </c>
      <c r="W709" s="22">
        <f>IF(OR($D709="",$R709="Trùng"),"",COUNTIFS(ORDERS!$C$2:$C$4995,$D709,ORDERS!$L$2:$L$4995,"Đã chuyển khoản"))</f>
        <v/>
      </c>
      <c r="X709" s="23">
        <f>IF(OR($D709="",$R709="Trùng"),"",SUMIFS(ORDERS!$J$2:$J$4995,ORDERS!$C$2:$C$4995,$D709,ORDERS!$L$2:$L$4995,"Đã chuyển khoản"))</f>
        <v/>
      </c>
      <c r="Y709" s="24" t="n"/>
    </row>
    <row r="710" ht="14.25" customHeight="1" s="40">
      <c r="A710" s="24" t="n"/>
      <c r="B710" s="27" t="n"/>
      <c r="C710" s="24" t="n"/>
      <c r="D710" s="28" t="n"/>
      <c r="E710" s="29" t="n"/>
      <c r="F710" s="24" t="n"/>
      <c r="G710" s="24" t="n"/>
      <c r="H710" s="21">
        <f>IF(ISNUMBER($B710),INT($B710)-WEEKDAY($B710,2)+1,"")</f>
        <v/>
      </c>
      <c r="I710" s="24" t="n"/>
      <c r="J710" s="22">
        <f t="array" ref="J710">IF($D710="","",IF($I710="","(trống REF)",IFERROR(INDEX(MASTER_SOURCE!$B$2:$B$495,MATCH($I710,MASTER_SOURCE!$A$2:$A$495,0)),"(REF không có trong MASTER_SOURCE)")))</f>
        <v/>
      </c>
      <c r="K710" s="22">
        <f t="array" ref="K710">IF($D710="","",IFERROR(INDEX(MASTER_SOURCE!$C$2:$C$495,MATCH($I710,MASTER_SOURCE!$A$2:$A$495,0)),""))</f>
        <v/>
      </c>
      <c r="L710" s="22">
        <f t="array" ref="L710">IF($D710="","",IFERROR(INDEX(MASTER_SOURCE!$D$2:$D$495,MATCH($I710,MASTER_SOURCE!$A$2:$A$495,0)),""))</f>
        <v/>
      </c>
      <c r="M710" s="24" t="n"/>
      <c r="N710" s="24" t="n"/>
      <c r="O710" s="24" t="n"/>
      <c r="P710" s="24" t="n"/>
      <c r="Q710" s="22">
        <f>IF($D710="","",IF(AND(OR(DANH_MUC!$L$5&lt;&gt;"Có",M710="Có"),OR(DANH_MUC!$L$6&lt;&gt;"Có",N710="Có"),OR(DANH_MUC!$L$7&lt;&gt;"Có",O710="Có"),OR(DANH_MUC!$L$8&lt;&gt;"Có",P710="Có")),"Có","Không"))</f>
        <v/>
      </c>
      <c r="R710" s="22">
        <f>IF($D710="","",IF(COUNTIF($D$2:$D710,$D710)&gt;1,"Trùng",""))</f>
        <v/>
      </c>
      <c r="S710" s="22">
        <f>IF($D710="","",IF(AND(LEN($D710)=10,LEFT($D710,1)="0",ISNUMBER(--$D710)),"Có","Không"))</f>
        <v/>
      </c>
      <c r="T710" s="22">
        <f>IF($D710="","",IF(AND($C710&lt;&gt;"",$Q710="Có",$R710="",$S710="Có",AND($L710&lt;&gt;"",OR($L710&lt;&gt;"Chưa xác định",DANH_MUC!$L$9="Có"))),"Có","Không"))</f>
        <v/>
      </c>
      <c r="U710" s="22">
        <f>IF(OR($D710="",$T710="Có"),"",IF($C710="","Thiếu họ tên; ","")&amp;IF($S710&lt;&gt;"Có","SĐT sai định dạng; ","")&amp;IF($R710="Trùng","Trùng SĐT; ","")&amp;IF($Q710&lt;&gt;"Có","Thiếu đồng ý bắt buộc; ","")&amp;IF($L710="","Thiếu/sai Mã REF; ",IF(AND($L710="Chưa xác định",DANH_MUC!$L$9&lt;&gt;"Có"),"Nguồn chưa xác định; ","")))</f>
        <v/>
      </c>
      <c r="V710" s="22">
        <f>IF(OR($D710="",$R710="Trùng"),"",IF(COUNTIF(ORDERS!$C$2:$C$4995,$D710)&gt;0,"Có","Không"))</f>
        <v/>
      </c>
      <c r="W710" s="22">
        <f>IF(OR($D710="",$R710="Trùng"),"",COUNTIFS(ORDERS!$C$2:$C$4995,$D710,ORDERS!$L$2:$L$4995,"Đã chuyển khoản"))</f>
        <v/>
      </c>
      <c r="X710" s="23">
        <f>IF(OR($D710="",$R710="Trùng"),"",SUMIFS(ORDERS!$J$2:$J$4995,ORDERS!$C$2:$C$4995,$D710,ORDERS!$L$2:$L$4995,"Đã chuyển khoản"))</f>
        <v/>
      </c>
      <c r="Y710" s="24" t="n"/>
    </row>
    <row r="711" ht="14.25" customHeight="1" s="40">
      <c r="A711" s="24" t="n"/>
      <c r="B711" s="27" t="n"/>
      <c r="C711" s="24" t="n"/>
      <c r="D711" s="28" t="n"/>
      <c r="E711" s="29" t="n"/>
      <c r="F711" s="24" t="n"/>
      <c r="G711" s="24" t="n"/>
      <c r="H711" s="21">
        <f>IF(ISNUMBER($B711),INT($B711)-WEEKDAY($B711,2)+1,"")</f>
        <v/>
      </c>
      <c r="I711" s="24" t="n"/>
      <c r="J711" s="22">
        <f t="array" ref="J711">IF($D711="","",IF($I711="","(trống REF)",IFERROR(INDEX(MASTER_SOURCE!$B$2:$B$495,MATCH($I711,MASTER_SOURCE!$A$2:$A$495,0)),"(REF không có trong MASTER_SOURCE)")))</f>
        <v/>
      </c>
      <c r="K711" s="22">
        <f t="array" ref="K711">IF($D711="","",IFERROR(INDEX(MASTER_SOURCE!$C$2:$C$495,MATCH($I711,MASTER_SOURCE!$A$2:$A$495,0)),""))</f>
        <v/>
      </c>
      <c r="L711" s="22">
        <f t="array" ref="L711">IF($D711="","",IFERROR(INDEX(MASTER_SOURCE!$D$2:$D$495,MATCH($I711,MASTER_SOURCE!$A$2:$A$495,0)),""))</f>
        <v/>
      </c>
      <c r="M711" s="24" t="n"/>
      <c r="N711" s="24" t="n"/>
      <c r="O711" s="24" t="n"/>
      <c r="P711" s="24" t="n"/>
      <c r="Q711" s="22">
        <f>IF($D711="","",IF(AND(OR(DANH_MUC!$L$5&lt;&gt;"Có",M711="Có"),OR(DANH_MUC!$L$6&lt;&gt;"Có",N711="Có"),OR(DANH_MUC!$L$7&lt;&gt;"Có",O711="Có"),OR(DANH_MUC!$L$8&lt;&gt;"Có",P711="Có")),"Có","Không"))</f>
        <v/>
      </c>
      <c r="R711" s="22">
        <f>IF($D711="","",IF(COUNTIF($D$2:$D711,$D711)&gt;1,"Trùng",""))</f>
        <v/>
      </c>
      <c r="S711" s="22">
        <f>IF($D711="","",IF(AND(LEN($D711)=10,LEFT($D711,1)="0",ISNUMBER(--$D711)),"Có","Không"))</f>
        <v/>
      </c>
      <c r="T711" s="22">
        <f>IF($D711="","",IF(AND($C711&lt;&gt;"",$Q711="Có",$R711="",$S711="Có",AND($L711&lt;&gt;"",OR($L711&lt;&gt;"Chưa xác định",DANH_MUC!$L$9="Có"))),"Có","Không"))</f>
        <v/>
      </c>
      <c r="U711" s="22">
        <f>IF(OR($D711="",$T711="Có"),"",IF($C711="","Thiếu họ tên; ","")&amp;IF($S711&lt;&gt;"Có","SĐT sai định dạng; ","")&amp;IF($R711="Trùng","Trùng SĐT; ","")&amp;IF($Q711&lt;&gt;"Có","Thiếu đồng ý bắt buộc; ","")&amp;IF($L711="","Thiếu/sai Mã REF; ",IF(AND($L711="Chưa xác định",DANH_MUC!$L$9&lt;&gt;"Có"),"Nguồn chưa xác định; ","")))</f>
        <v/>
      </c>
      <c r="V711" s="22">
        <f>IF(OR($D711="",$R711="Trùng"),"",IF(COUNTIF(ORDERS!$C$2:$C$4995,$D711)&gt;0,"Có","Không"))</f>
        <v/>
      </c>
      <c r="W711" s="22">
        <f>IF(OR($D711="",$R711="Trùng"),"",COUNTIFS(ORDERS!$C$2:$C$4995,$D711,ORDERS!$L$2:$L$4995,"Đã chuyển khoản"))</f>
        <v/>
      </c>
      <c r="X711" s="23">
        <f>IF(OR($D711="",$R711="Trùng"),"",SUMIFS(ORDERS!$J$2:$J$4995,ORDERS!$C$2:$C$4995,$D711,ORDERS!$L$2:$L$4995,"Đã chuyển khoản"))</f>
        <v/>
      </c>
      <c r="Y711" s="24" t="n"/>
    </row>
    <row r="712" ht="14.25" customHeight="1" s="40">
      <c r="A712" s="24" t="n"/>
      <c r="B712" s="27" t="n"/>
      <c r="C712" s="24" t="n"/>
      <c r="D712" s="28" t="n"/>
      <c r="E712" s="29" t="n"/>
      <c r="F712" s="24" t="n"/>
      <c r="G712" s="24" t="n"/>
      <c r="H712" s="21">
        <f>IF(ISNUMBER($B712),INT($B712)-WEEKDAY($B712,2)+1,"")</f>
        <v/>
      </c>
      <c r="I712" s="24" t="n"/>
      <c r="J712" s="22">
        <f t="array" ref="J712">IF($D712="","",IF($I712="","(trống REF)",IFERROR(INDEX(MASTER_SOURCE!$B$2:$B$495,MATCH($I712,MASTER_SOURCE!$A$2:$A$495,0)),"(REF không có trong MASTER_SOURCE)")))</f>
        <v/>
      </c>
      <c r="K712" s="22">
        <f t="array" ref="K712">IF($D712="","",IFERROR(INDEX(MASTER_SOURCE!$C$2:$C$495,MATCH($I712,MASTER_SOURCE!$A$2:$A$495,0)),""))</f>
        <v/>
      </c>
      <c r="L712" s="22">
        <f t="array" ref="L712">IF($D712="","",IFERROR(INDEX(MASTER_SOURCE!$D$2:$D$495,MATCH($I712,MASTER_SOURCE!$A$2:$A$495,0)),""))</f>
        <v/>
      </c>
      <c r="M712" s="24" t="n"/>
      <c r="N712" s="24" t="n"/>
      <c r="O712" s="24" t="n"/>
      <c r="P712" s="24" t="n"/>
      <c r="Q712" s="22">
        <f>IF($D712="","",IF(AND(OR(DANH_MUC!$L$5&lt;&gt;"Có",M712="Có"),OR(DANH_MUC!$L$6&lt;&gt;"Có",N712="Có"),OR(DANH_MUC!$L$7&lt;&gt;"Có",O712="Có"),OR(DANH_MUC!$L$8&lt;&gt;"Có",P712="Có")),"Có","Không"))</f>
        <v/>
      </c>
      <c r="R712" s="22">
        <f>IF($D712="","",IF(COUNTIF($D$2:$D712,$D712)&gt;1,"Trùng",""))</f>
        <v/>
      </c>
      <c r="S712" s="22">
        <f>IF($D712="","",IF(AND(LEN($D712)=10,LEFT($D712,1)="0",ISNUMBER(--$D712)),"Có","Không"))</f>
        <v/>
      </c>
      <c r="T712" s="22">
        <f>IF($D712="","",IF(AND($C712&lt;&gt;"",$Q712="Có",$R712="",$S712="Có",AND($L712&lt;&gt;"",OR($L712&lt;&gt;"Chưa xác định",DANH_MUC!$L$9="Có"))),"Có","Không"))</f>
        <v/>
      </c>
      <c r="U712" s="22">
        <f>IF(OR($D712="",$T712="Có"),"",IF($C712="","Thiếu họ tên; ","")&amp;IF($S712&lt;&gt;"Có","SĐT sai định dạng; ","")&amp;IF($R712="Trùng","Trùng SĐT; ","")&amp;IF($Q712&lt;&gt;"Có","Thiếu đồng ý bắt buộc; ","")&amp;IF($L712="","Thiếu/sai Mã REF; ",IF(AND($L712="Chưa xác định",DANH_MUC!$L$9&lt;&gt;"Có"),"Nguồn chưa xác định; ","")))</f>
        <v/>
      </c>
      <c r="V712" s="22">
        <f>IF(OR($D712="",$R712="Trùng"),"",IF(COUNTIF(ORDERS!$C$2:$C$4995,$D712)&gt;0,"Có","Không"))</f>
        <v/>
      </c>
      <c r="W712" s="22">
        <f>IF(OR($D712="",$R712="Trùng"),"",COUNTIFS(ORDERS!$C$2:$C$4995,$D712,ORDERS!$L$2:$L$4995,"Đã chuyển khoản"))</f>
        <v/>
      </c>
      <c r="X712" s="23">
        <f>IF(OR($D712="",$R712="Trùng"),"",SUMIFS(ORDERS!$J$2:$J$4995,ORDERS!$C$2:$C$4995,$D712,ORDERS!$L$2:$L$4995,"Đã chuyển khoản"))</f>
        <v/>
      </c>
      <c r="Y712" s="24" t="n"/>
    </row>
    <row r="713" ht="14.25" customHeight="1" s="40">
      <c r="A713" s="24" t="n"/>
      <c r="B713" s="27" t="n"/>
      <c r="C713" s="24" t="n"/>
      <c r="D713" s="28" t="n"/>
      <c r="E713" s="29" t="n"/>
      <c r="F713" s="24" t="n"/>
      <c r="G713" s="24" t="n"/>
      <c r="H713" s="21">
        <f>IF(ISNUMBER($B713),INT($B713)-WEEKDAY($B713,2)+1,"")</f>
        <v/>
      </c>
      <c r="I713" s="24" t="n"/>
      <c r="J713" s="22">
        <f t="array" ref="J713">IF($D713="","",IF($I713="","(trống REF)",IFERROR(INDEX(MASTER_SOURCE!$B$2:$B$495,MATCH($I713,MASTER_SOURCE!$A$2:$A$495,0)),"(REF không có trong MASTER_SOURCE)")))</f>
        <v/>
      </c>
      <c r="K713" s="22">
        <f t="array" ref="K713">IF($D713="","",IFERROR(INDEX(MASTER_SOURCE!$C$2:$C$495,MATCH($I713,MASTER_SOURCE!$A$2:$A$495,0)),""))</f>
        <v/>
      </c>
      <c r="L713" s="22">
        <f t="array" ref="L713">IF($D713="","",IFERROR(INDEX(MASTER_SOURCE!$D$2:$D$495,MATCH($I713,MASTER_SOURCE!$A$2:$A$495,0)),""))</f>
        <v/>
      </c>
      <c r="M713" s="24" t="n"/>
      <c r="N713" s="24" t="n"/>
      <c r="O713" s="24" t="n"/>
      <c r="P713" s="24" t="n"/>
      <c r="Q713" s="22">
        <f>IF($D713="","",IF(AND(OR(DANH_MUC!$L$5&lt;&gt;"Có",M713="Có"),OR(DANH_MUC!$L$6&lt;&gt;"Có",N713="Có"),OR(DANH_MUC!$L$7&lt;&gt;"Có",O713="Có"),OR(DANH_MUC!$L$8&lt;&gt;"Có",P713="Có")),"Có","Không"))</f>
        <v/>
      </c>
      <c r="R713" s="22">
        <f>IF($D713="","",IF(COUNTIF($D$2:$D713,$D713)&gt;1,"Trùng",""))</f>
        <v/>
      </c>
      <c r="S713" s="22">
        <f>IF($D713="","",IF(AND(LEN($D713)=10,LEFT($D713,1)="0",ISNUMBER(--$D713)),"Có","Không"))</f>
        <v/>
      </c>
      <c r="T713" s="22">
        <f>IF($D713="","",IF(AND($C713&lt;&gt;"",$Q713="Có",$R713="",$S713="Có",AND($L713&lt;&gt;"",OR($L713&lt;&gt;"Chưa xác định",DANH_MUC!$L$9="Có"))),"Có","Không"))</f>
        <v/>
      </c>
      <c r="U713" s="22">
        <f>IF(OR($D713="",$T713="Có"),"",IF($C713="","Thiếu họ tên; ","")&amp;IF($S713&lt;&gt;"Có","SĐT sai định dạng; ","")&amp;IF($R713="Trùng","Trùng SĐT; ","")&amp;IF($Q713&lt;&gt;"Có","Thiếu đồng ý bắt buộc; ","")&amp;IF($L713="","Thiếu/sai Mã REF; ",IF(AND($L713="Chưa xác định",DANH_MUC!$L$9&lt;&gt;"Có"),"Nguồn chưa xác định; ","")))</f>
        <v/>
      </c>
      <c r="V713" s="22">
        <f>IF(OR($D713="",$R713="Trùng"),"",IF(COUNTIF(ORDERS!$C$2:$C$4995,$D713)&gt;0,"Có","Không"))</f>
        <v/>
      </c>
      <c r="W713" s="22">
        <f>IF(OR($D713="",$R713="Trùng"),"",COUNTIFS(ORDERS!$C$2:$C$4995,$D713,ORDERS!$L$2:$L$4995,"Đã chuyển khoản"))</f>
        <v/>
      </c>
      <c r="X713" s="23">
        <f>IF(OR($D713="",$R713="Trùng"),"",SUMIFS(ORDERS!$J$2:$J$4995,ORDERS!$C$2:$C$4995,$D713,ORDERS!$L$2:$L$4995,"Đã chuyển khoản"))</f>
        <v/>
      </c>
      <c r="Y713" s="24" t="n"/>
    </row>
    <row r="714" ht="14.25" customHeight="1" s="40">
      <c r="A714" s="24" t="n"/>
      <c r="B714" s="27" t="n"/>
      <c r="C714" s="24" t="n"/>
      <c r="D714" s="28" t="n"/>
      <c r="E714" s="29" t="n"/>
      <c r="F714" s="24" t="n"/>
      <c r="G714" s="24" t="n"/>
      <c r="H714" s="21">
        <f>IF(ISNUMBER($B714),INT($B714)-WEEKDAY($B714,2)+1,"")</f>
        <v/>
      </c>
      <c r="I714" s="24" t="n"/>
      <c r="J714" s="22">
        <f t="array" ref="J714">IF($D714="","",IF($I714="","(trống REF)",IFERROR(INDEX(MASTER_SOURCE!$B$2:$B$495,MATCH($I714,MASTER_SOURCE!$A$2:$A$495,0)),"(REF không có trong MASTER_SOURCE)")))</f>
        <v/>
      </c>
      <c r="K714" s="22">
        <f t="array" ref="K714">IF($D714="","",IFERROR(INDEX(MASTER_SOURCE!$C$2:$C$495,MATCH($I714,MASTER_SOURCE!$A$2:$A$495,0)),""))</f>
        <v/>
      </c>
      <c r="L714" s="22">
        <f t="array" ref="L714">IF($D714="","",IFERROR(INDEX(MASTER_SOURCE!$D$2:$D$495,MATCH($I714,MASTER_SOURCE!$A$2:$A$495,0)),""))</f>
        <v/>
      </c>
      <c r="M714" s="24" t="n"/>
      <c r="N714" s="24" t="n"/>
      <c r="O714" s="24" t="n"/>
      <c r="P714" s="24" t="n"/>
      <c r="Q714" s="22">
        <f>IF($D714="","",IF(AND(OR(DANH_MUC!$L$5&lt;&gt;"Có",M714="Có"),OR(DANH_MUC!$L$6&lt;&gt;"Có",N714="Có"),OR(DANH_MUC!$L$7&lt;&gt;"Có",O714="Có"),OR(DANH_MUC!$L$8&lt;&gt;"Có",P714="Có")),"Có","Không"))</f>
        <v/>
      </c>
      <c r="R714" s="22">
        <f>IF($D714="","",IF(COUNTIF($D$2:$D714,$D714)&gt;1,"Trùng",""))</f>
        <v/>
      </c>
      <c r="S714" s="22">
        <f>IF($D714="","",IF(AND(LEN($D714)=10,LEFT($D714,1)="0",ISNUMBER(--$D714)),"Có","Không"))</f>
        <v/>
      </c>
      <c r="T714" s="22">
        <f>IF($D714="","",IF(AND($C714&lt;&gt;"",$Q714="Có",$R714="",$S714="Có",AND($L714&lt;&gt;"",OR($L714&lt;&gt;"Chưa xác định",DANH_MUC!$L$9="Có"))),"Có","Không"))</f>
        <v/>
      </c>
      <c r="U714" s="22">
        <f>IF(OR($D714="",$T714="Có"),"",IF($C714="","Thiếu họ tên; ","")&amp;IF($S714&lt;&gt;"Có","SĐT sai định dạng; ","")&amp;IF($R714="Trùng","Trùng SĐT; ","")&amp;IF($Q714&lt;&gt;"Có","Thiếu đồng ý bắt buộc; ","")&amp;IF($L714="","Thiếu/sai Mã REF; ",IF(AND($L714="Chưa xác định",DANH_MUC!$L$9&lt;&gt;"Có"),"Nguồn chưa xác định; ","")))</f>
        <v/>
      </c>
      <c r="V714" s="22">
        <f>IF(OR($D714="",$R714="Trùng"),"",IF(COUNTIF(ORDERS!$C$2:$C$4995,$D714)&gt;0,"Có","Không"))</f>
        <v/>
      </c>
      <c r="W714" s="22">
        <f>IF(OR($D714="",$R714="Trùng"),"",COUNTIFS(ORDERS!$C$2:$C$4995,$D714,ORDERS!$L$2:$L$4995,"Đã chuyển khoản"))</f>
        <v/>
      </c>
      <c r="X714" s="23">
        <f>IF(OR($D714="",$R714="Trùng"),"",SUMIFS(ORDERS!$J$2:$J$4995,ORDERS!$C$2:$C$4995,$D714,ORDERS!$L$2:$L$4995,"Đã chuyển khoản"))</f>
        <v/>
      </c>
      <c r="Y714" s="24" t="n"/>
    </row>
    <row r="715" ht="14.25" customHeight="1" s="40">
      <c r="A715" s="24" t="n"/>
      <c r="B715" s="27" t="n"/>
      <c r="C715" s="24" t="n"/>
      <c r="D715" s="28" t="n"/>
      <c r="E715" s="29" t="n"/>
      <c r="F715" s="24" t="n"/>
      <c r="G715" s="24" t="n"/>
      <c r="H715" s="21">
        <f>IF(ISNUMBER($B715),INT($B715)-WEEKDAY($B715,2)+1,"")</f>
        <v/>
      </c>
      <c r="I715" s="24" t="n"/>
      <c r="J715" s="22">
        <f t="array" ref="J715">IF($D715="","",IF($I715="","(trống REF)",IFERROR(INDEX(MASTER_SOURCE!$B$2:$B$495,MATCH($I715,MASTER_SOURCE!$A$2:$A$495,0)),"(REF không có trong MASTER_SOURCE)")))</f>
        <v/>
      </c>
      <c r="K715" s="22">
        <f t="array" ref="K715">IF($D715="","",IFERROR(INDEX(MASTER_SOURCE!$C$2:$C$495,MATCH($I715,MASTER_SOURCE!$A$2:$A$495,0)),""))</f>
        <v/>
      </c>
      <c r="L715" s="22">
        <f t="array" ref="L715">IF($D715="","",IFERROR(INDEX(MASTER_SOURCE!$D$2:$D$495,MATCH($I715,MASTER_SOURCE!$A$2:$A$495,0)),""))</f>
        <v/>
      </c>
      <c r="M715" s="24" t="n"/>
      <c r="N715" s="24" t="n"/>
      <c r="O715" s="24" t="n"/>
      <c r="P715" s="24" t="n"/>
      <c r="Q715" s="22">
        <f>IF($D715="","",IF(AND(OR(DANH_MUC!$L$5&lt;&gt;"Có",M715="Có"),OR(DANH_MUC!$L$6&lt;&gt;"Có",N715="Có"),OR(DANH_MUC!$L$7&lt;&gt;"Có",O715="Có"),OR(DANH_MUC!$L$8&lt;&gt;"Có",P715="Có")),"Có","Không"))</f>
        <v/>
      </c>
      <c r="R715" s="22">
        <f>IF($D715="","",IF(COUNTIF($D$2:$D715,$D715)&gt;1,"Trùng",""))</f>
        <v/>
      </c>
      <c r="S715" s="22">
        <f>IF($D715="","",IF(AND(LEN($D715)=10,LEFT($D715,1)="0",ISNUMBER(--$D715)),"Có","Không"))</f>
        <v/>
      </c>
      <c r="T715" s="22">
        <f>IF($D715="","",IF(AND($C715&lt;&gt;"",$Q715="Có",$R715="",$S715="Có",AND($L715&lt;&gt;"",OR($L715&lt;&gt;"Chưa xác định",DANH_MUC!$L$9="Có"))),"Có","Không"))</f>
        <v/>
      </c>
      <c r="U715" s="22">
        <f>IF(OR($D715="",$T715="Có"),"",IF($C715="","Thiếu họ tên; ","")&amp;IF($S715&lt;&gt;"Có","SĐT sai định dạng; ","")&amp;IF($R715="Trùng","Trùng SĐT; ","")&amp;IF($Q715&lt;&gt;"Có","Thiếu đồng ý bắt buộc; ","")&amp;IF($L715="","Thiếu/sai Mã REF; ",IF(AND($L715="Chưa xác định",DANH_MUC!$L$9&lt;&gt;"Có"),"Nguồn chưa xác định; ","")))</f>
        <v/>
      </c>
      <c r="V715" s="22">
        <f>IF(OR($D715="",$R715="Trùng"),"",IF(COUNTIF(ORDERS!$C$2:$C$4995,$D715)&gt;0,"Có","Không"))</f>
        <v/>
      </c>
      <c r="W715" s="22">
        <f>IF(OR($D715="",$R715="Trùng"),"",COUNTIFS(ORDERS!$C$2:$C$4995,$D715,ORDERS!$L$2:$L$4995,"Đã chuyển khoản"))</f>
        <v/>
      </c>
      <c r="X715" s="23">
        <f>IF(OR($D715="",$R715="Trùng"),"",SUMIFS(ORDERS!$J$2:$J$4995,ORDERS!$C$2:$C$4995,$D715,ORDERS!$L$2:$L$4995,"Đã chuyển khoản"))</f>
        <v/>
      </c>
      <c r="Y715" s="24" t="n"/>
    </row>
    <row r="716" ht="14.25" customHeight="1" s="40">
      <c r="A716" s="24" t="n"/>
      <c r="B716" s="27" t="n"/>
      <c r="C716" s="24" t="n"/>
      <c r="D716" s="28" t="n"/>
      <c r="E716" s="29" t="n"/>
      <c r="F716" s="24" t="n"/>
      <c r="G716" s="24" t="n"/>
      <c r="H716" s="21">
        <f>IF(ISNUMBER($B716),INT($B716)-WEEKDAY($B716,2)+1,"")</f>
        <v/>
      </c>
      <c r="I716" s="24" t="n"/>
      <c r="J716" s="22">
        <f t="array" ref="J716">IF($D716="","",IF($I716="","(trống REF)",IFERROR(INDEX(MASTER_SOURCE!$B$2:$B$495,MATCH($I716,MASTER_SOURCE!$A$2:$A$495,0)),"(REF không có trong MASTER_SOURCE)")))</f>
        <v/>
      </c>
      <c r="K716" s="22">
        <f t="array" ref="K716">IF($D716="","",IFERROR(INDEX(MASTER_SOURCE!$C$2:$C$495,MATCH($I716,MASTER_SOURCE!$A$2:$A$495,0)),""))</f>
        <v/>
      </c>
      <c r="L716" s="22">
        <f t="array" ref="L716">IF($D716="","",IFERROR(INDEX(MASTER_SOURCE!$D$2:$D$495,MATCH($I716,MASTER_SOURCE!$A$2:$A$495,0)),""))</f>
        <v/>
      </c>
      <c r="M716" s="24" t="n"/>
      <c r="N716" s="24" t="n"/>
      <c r="O716" s="24" t="n"/>
      <c r="P716" s="24" t="n"/>
      <c r="Q716" s="22">
        <f>IF($D716="","",IF(AND(OR(DANH_MUC!$L$5&lt;&gt;"Có",M716="Có"),OR(DANH_MUC!$L$6&lt;&gt;"Có",N716="Có"),OR(DANH_MUC!$L$7&lt;&gt;"Có",O716="Có"),OR(DANH_MUC!$L$8&lt;&gt;"Có",P716="Có")),"Có","Không"))</f>
        <v/>
      </c>
      <c r="R716" s="22">
        <f>IF($D716="","",IF(COUNTIF($D$2:$D716,$D716)&gt;1,"Trùng",""))</f>
        <v/>
      </c>
      <c r="S716" s="22">
        <f>IF($D716="","",IF(AND(LEN($D716)=10,LEFT($D716,1)="0",ISNUMBER(--$D716)),"Có","Không"))</f>
        <v/>
      </c>
      <c r="T716" s="22">
        <f>IF($D716="","",IF(AND($C716&lt;&gt;"",$Q716="Có",$R716="",$S716="Có",AND($L716&lt;&gt;"",OR($L716&lt;&gt;"Chưa xác định",DANH_MUC!$L$9="Có"))),"Có","Không"))</f>
        <v/>
      </c>
      <c r="U716" s="22">
        <f>IF(OR($D716="",$T716="Có"),"",IF($C716="","Thiếu họ tên; ","")&amp;IF($S716&lt;&gt;"Có","SĐT sai định dạng; ","")&amp;IF($R716="Trùng","Trùng SĐT; ","")&amp;IF($Q716&lt;&gt;"Có","Thiếu đồng ý bắt buộc; ","")&amp;IF($L716="","Thiếu/sai Mã REF; ",IF(AND($L716="Chưa xác định",DANH_MUC!$L$9&lt;&gt;"Có"),"Nguồn chưa xác định; ","")))</f>
        <v/>
      </c>
      <c r="V716" s="22">
        <f>IF(OR($D716="",$R716="Trùng"),"",IF(COUNTIF(ORDERS!$C$2:$C$4995,$D716)&gt;0,"Có","Không"))</f>
        <v/>
      </c>
      <c r="W716" s="22">
        <f>IF(OR($D716="",$R716="Trùng"),"",COUNTIFS(ORDERS!$C$2:$C$4995,$D716,ORDERS!$L$2:$L$4995,"Đã chuyển khoản"))</f>
        <v/>
      </c>
      <c r="X716" s="23">
        <f>IF(OR($D716="",$R716="Trùng"),"",SUMIFS(ORDERS!$J$2:$J$4995,ORDERS!$C$2:$C$4995,$D716,ORDERS!$L$2:$L$4995,"Đã chuyển khoản"))</f>
        <v/>
      </c>
      <c r="Y716" s="24" t="n"/>
    </row>
    <row r="717" ht="14.25" customHeight="1" s="40">
      <c r="A717" s="24" t="n"/>
      <c r="B717" s="27" t="n"/>
      <c r="C717" s="24" t="n"/>
      <c r="D717" s="28" t="n"/>
      <c r="E717" s="29" t="n"/>
      <c r="F717" s="24" t="n"/>
      <c r="G717" s="24" t="n"/>
      <c r="H717" s="21">
        <f>IF(ISNUMBER($B717),INT($B717)-WEEKDAY($B717,2)+1,"")</f>
        <v/>
      </c>
      <c r="I717" s="24" t="n"/>
      <c r="J717" s="22">
        <f t="array" ref="J717">IF($D717="","",IF($I717="","(trống REF)",IFERROR(INDEX(MASTER_SOURCE!$B$2:$B$495,MATCH($I717,MASTER_SOURCE!$A$2:$A$495,0)),"(REF không có trong MASTER_SOURCE)")))</f>
        <v/>
      </c>
      <c r="K717" s="22">
        <f t="array" ref="K717">IF($D717="","",IFERROR(INDEX(MASTER_SOURCE!$C$2:$C$495,MATCH($I717,MASTER_SOURCE!$A$2:$A$495,0)),""))</f>
        <v/>
      </c>
      <c r="L717" s="22">
        <f t="array" ref="L717">IF($D717="","",IFERROR(INDEX(MASTER_SOURCE!$D$2:$D$495,MATCH($I717,MASTER_SOURCE!$A$2:$A$495,0)),""))</f>
        <v/>
      </c>
      <c r="M717" s="24" t="n"/>
      <c r="N717" s="24" t="n"/>
      <c r="O717" s="24" t="n"/>
      <c r="P717" s="24" t="n"/>
      <c r="Q717" s="22">
        <f>IF($D717="","",IF(AND(OR(DANH_MUC!$L$5&lt;&gt;"Có",M717="Có"),OR(DANH_MUC!$L$6&lt;&gt;"Có",N717="Có"),OR(DANH_MUC!$L$7&lt;&gt;"Có",O717="Có"),OR(DANH_MUC!$L$8&lt;&gt;"Có",P717="Có")),"Có","Không"))</f>
        <v/>
      </c>
      <c r="R717" s="22">
        <f>IF($D717="","",IF(COUNTIF($D$2:$D717,$D717)&gt;1,"Trùng",""))</f>
        <v/>
      </c>
      <c r="S717" s="22">
        <f>IF($D717="","",IF(AND(LEN($D717)=10,LEFT($D717,1)="0",ISNUMBER(--$D717)),"Có","Không"))</f>
        <v/>
      </c>
      <c r="T717" s="22">
        <f>IF($D717="","",IF(AND($C717&lt;&gt;"",$Q717="Có",$R717="",$S717="Có",AND($L717&lt;&gt;"",OR($L717&lt;&gt;"Chưa xác định",DANH_MUC!$L$9="Có"))),"Có","Không"))</f>
        <v/>
      </c>
      <c r="U717" s="22">
        <f>IF(OR($D717="",$T717="Có"),"",IF($C717="","Thiếu họ tên; ","")&amp;IF($S717&lt;&gt;"Có","SĐT sai định dạng; ","")&amp;IF($R717="Trùng","Trùng SĐT; ","")&amp;IF($Q717&lt;&gt;"Có","Thiếu đồng ý bắt buộc; ","")&amp;IF($L717="","Thiếu/sai Mã REF; ",IF(AND($L717="Chưa xác định",DANH_MUC!$L$9&lt;&gt;"Có"),"Nguồn chưa xác định; ","")))</f>
        <v/>
      </c>
      <c r="V717" s="22">
        <f>IF(OR($D717="",$R717="Trùng"),"",IF(COUNTIF(ORDERS!$C$2:$C$4995,$D717)&gt;0,"Có","Không"))</f>
        <v/>
      </c>
      <c r="W717" s="22">
        <f>IF(OR($D717="",$R717="Trùng"),"",COUNTIFS(ORDERS!$C$2:$C$4995,$D717,ORDERS!$L$2:$L$4995,"Đã chuyển khoản"))</f>
        <v/>
      </c>
      <c r="X717" s="23">
        <f>IF(OR($D717="",$R717="Trùng"),"",SUMIFS(ORDERS!$J$2:$J$4995,ORDERS!$C$2:$C$4995,$D717,ORDERS!$L$2:$L$4995,"Đã chuyển khoản"))</f>
        <v/>
      </c>
      <c r="Y717" s="24" t="n"/>
    </row>
    <row r="718" ht="14.25" customHeight="1" s="40">
      <c r="A718" s="24" t="n"/>
      <c r="B718" s="27" t="n"/>
      <c r="C718" s="24" t="n"/>
      <c r="D718" s="28" t="n"/>
      <c r="E718" s="29" t="n"/>
      <c r="F718" s="24" t="n"/>
      <c r="G718" s="24" t="n"/>
      <c r="H718" s="21">
        <f>IF(ISNUMBER($B718),INT($B718)-WEEKDAY($B718,2)+1,"")</f>
        <v/>
      </c>
      <c r="I718" s="24" t="n"/>
      <c r="J718" s="22">
        <f t="array" ref="J718">IF($D718="","",IF($I718="","(trống REF)",IFERROR(INDEX(MASTER_SOURCE!$B$2:$B$495,MATCH($I718,MASTER_SOURCE!$A$2:$A$495,0)),"(REF không có trong MASTER_SOURCE)")))</f>
        <v/>
      </c>
      <c r="K718" s="22">
        <f t="array" ref="K718">IF($D718="","",IFERROR(INDEX(MASTER_SOURCE!$C$2:$C$495,MATCH($I718,MASTER_SOURCE!$A$2:$A$495,0)),""))</f>
        <v/>
      </c>
      <c r="L718" s="22">
        <f t="array" ref="L718">IF($D718="","",IFERROR(INDEX(MASTER_SOURCE!$D$2:$D$495,MATCH($I718,MASTER_SOURCE!$A$2:$A$495,0)),""))</f>
        <v/>
      </c>
      <c r="M718" s="24" t="n"/>
      <c r="N718" s="24" t="n"/>
      <c r="O718" s="24" t="n"/>
      <c r="P718" s="24" t="n"/>
      <c r="Q718" s="22">
        <f>IF($D718="","",IF(AND(OR(DANH_MUC!$L$5&lt;&gt;"Có",M718="Có"),OR(DANH_MUC!$L$6&lt;&gt;"Có",N718="Có"),OR(DANH_MUC!$L$7&lt;&gt;"Có",O718="Có"),OR(DANH_MUC!$L$8&lt;&gt;"Có",P718="Có")),"Có","Không"))</f>
        <v/>
      </c>
      <c r="R718" s="22">
        <f>IF($D718="","",IF(COUNTIF($D$2:$D718,$D718)&gt;1,"Trùng",""))</f>
        <v/>
      </c>
      <c r="S718" s="22">
        <f>IF($D718="","",IF(AND(LEN($D718)=10,LEFT($D718,1)="0",ISNUMBER(--$D718)),"Có","Không"))</f>
        <v/>
      </c>
      <c r="T718" s="22">
        <f>IF($D718="","",IF(AND($C718&lt;&gt;"",$Q718="Có",$R718="",$S718="Có",AND($L718&lt;&gt;"",OR($L718&lt;&gt;"Chưa xác định",DANH_MUC!$L$9="Có"))),"Có","Không"))</f>
        <v/>
      </c>
      <c r="U718" s="22">
        <f>IF(OR($D718="",$T718="Có"),"",IF($C718="","Thiếu họ tên; ","")&amp;IF($S718&lt;&gt;"Có","SĐT sai định dạng; ","")&amp;IF($R718="Trùng","Trùng SĐT; ","")&amp;IF($Q718&lt;&gt;"Có","Thiếu đồng ý bắt buộc; ","")&amp;IF($L718="","Thiếu/sai Mã REF; ",IF(AND($L718="Chưa xác định",DANH_MUC!$L$9&lt;&gt;"Có"),"Nguồn chưa xác định; ","")))</f>
        <v/>
      </c>
      <c r="V718" s="22">
        <f>IF(OR($D718="",$R718="Trùng"),"",IF(COUNTIF(ORDERS!$C$2:$C$4995,$D718)&gt;0,"Có","Không"))</f>
        <v/>
      </c>
      <c r="W718" s="22">
        <f>IF(OR($D718="",$R718="Trùng"),"",COUNTIFS(ORDERS!$C$2:$C$4995,$D718,ORDERS!$L$2:$L$4995,"Đã chuyển khoản"))</f>
        <v/>
      </c>
      <c r="X718" s="23">
        <f>IF(OR($D718="",$R718="Trùng"),"",SUMIFS(ORDERS!$J$2:$J$4995,ORDERS!$C$2:$C$4995,$D718,ORDERS!$L$2:$L$4995,"Đã chuyển khoản"))</f>
        <v/>
      </c>
      <c r="Y718" s="24" t="n"/>
    </row>
    <row r="719" ht="14.25" customHeight="1" s="40">
      <c r="A719" s="24" t="n"/>
      <c r="B719" s="27" t="n"/>
      <c r="C719" s="24" t="n"/>
      <c r="D719" s="28" t="n"/>
      <c r="E719" s="29" t="n"/>
      <c r="F719" s="24" t="n"/>
      <c r="G719" s="24" t="n"/>
      <c r="H719" s="21">
        <f>IF(ISNUMBER($B719),INT($B719)-WEEKDAY($B719,2)+1,"")</f>
        <v/>
      </c>
      <c r="I719" s="24" t="n"/>
      <c r="J719" s="22">
        <f t="array" ref="J719">IF($D719="","",IF($I719="","(trống REF)",IFERROR(INDEX(MASTER_SOURCE!$B$2:$B$495,MATCH($I719,MASTER_SOURCE!$A$2:$A$495,0)),"(REF không có trong MASTER_SOURCE)")))</f>
        <v/>
      </c>
      <c r="K719" s="22">
        <f t="array" ref="K719">IF($D719="","",IFERROR(INDEX(MASTER_SOURCE!$C$2:$C$495,MATCH($I719,MASTER_SOURCE!$A$2:$A$495,0)),""))</f>
        <v/>
      </c>
      <c r="L719" s="22">
        <f t="array" ref="L719">IF($D719="","",IFERROR(INDEX(MASTER_SOURCE!$D$2:$D$495,MATCH($I719,MASTER_SOURCE!$A$2:$A$495,0)),""))</f>
        <v/>
      </c>
      <c r="M719" s="24" t="n"/>
      <c r="N719" s="24" t="n"/>
      <c r="O719" s="24" t="n"/>
      <c r="P719" s="24" t="n"/>
      <c r="Q719" s="22">
        <f>IF($D719="","",IF(AND(OR(DANH_MUC!$L$5&lt;&gt;"Có",M719="Có"),OR(DANH_MUC!$L$6&lt;&gt;"Có",N719="Có"),OR(DANH_MUC!$L$7&lt;&gt;"Có",O719="Có"),OR(DANH_MUC!$L$8&lt;&gt;"Có",P719="Có")),"Có","Không"))</f>
        <v/>
      </c>
      <c r="R719" s="22">
        <f>IF($D719="","",IF(COUNTIF($D$2:$D719,$D719)&gt;1,"Trùng",""))</f>
        <v/>
      </c>
      <c r="S719" s="22">
        <f>IF($D719="","",IF(AND(LEN($D719)=10,LEFT($D719,1)="0",ISNUMBER(--$D719)),"Có","Không"))</f>
        <v/>
      </c>
      <c r="T719" s="22">
        <f>IF($D719="","",IF(AND($C719&lt;&gt;"",$Q719="Có",$R719="",$S719="Có",AND($L719&lt;&gt;"",OR($L719&lt;&gt;"Chưa xác định",DANH_MUC!$L$9="Có"))),"Có","Không"))</f>
        <v/>
      </c>
      <c r="U719" s="22">
        <f>IF(OR($D719="",$T719="Có"),"",IF($C719="","Thiếu họ tên; ","")&amp;IF($S719&lt;&gt;"Có","SĐT sai định dạng; ","")&amp;IF($R719="Trùng","Trùng SĐT; ","")&amp;IF($Q719&lt;&gt;"Có","Thiếu đồng ý bắt buộc; ","")&amp;IF($L719="","Thiếu/sai Mã REF; ",IF(AND($L719="Chưa xác định",DANH_MUC!$L$9&lt;&gt;"Có"),"Nguồn chưa xác định; ","")))</f>
        <v/>
      </c>
      <c r="V719" s="22">
        <f>IF(OR($D719="",$R719="Trùng"),"",IF(COUNTIF(ORDERS!$C$2:$C$4995,$D719)&gt;0,"Có","Không"))</f>
        <v/>
      </c>
      <c r="W719" s="22">
        <f>IF(OR($D719="",$R719="Trùng"),"",COUNTIFS(ORDERS!$C$2:$C$4995,$D719,ORDERS!$L$2:$L$4995,"Đã chuyển khoản"))</f>
        <v/>
      </c>
      <c r="X719" s="23">
        <f>IF(OR($D719="",$R719="Trùng"),"",SUMIFS(ORDERS!$J$2:$J$4995,ORDERS!$C$2:$C$4995,$D719,ORDERS!$L$2:$L$4995,"Đã chuyển khoản"))</f>
        <v/>
      </c>
      <c r="Y719" s="24" t="n"/>
    </row>
    <row r="720" ht="14.25" customHeight="1" s="40">
      <c r="A720" s="24" t="n"/>
      <c r="B720" s="27" t="n"/>
      <c r="C720" s="24" t="n"/>
      <c r="D720" s="28" t="n"/>
      <c r="E720" s="29" t="n"/>
      <c r="F720" s="24" t="n"/>
      <c r="G720" s="24" t="n"/>
      <c r="H720" s="21">
        <f>IF(ISNUMBER($B720),INT($B720)-WEEKDAY($B720,2)+1,"")</f>
        <v/>
      </c>
      <c r="I720" s="24" t="n"/>
      <c r="J720" s="22">
        <f t="array" ref="J720">IF($D720="","",IF($I720="","(trống REF)",IFERROR(INDEX(MASTER_SOURCE!$B$2:$B$495,MATCH($I720,MASTER_SOURCE!$A$2:$A$495,0)),"(REF không có trong MASTER_SOURCE)")))</f>
        <v/>
      </c>
      <c r="K720" s="22">
        <f t="array" ref="K720">IF($D720="","",IFERROR(INDEX(MASTER_SOURCE!$C$2:$C$495,MATCH($I720,MASTER_SOURCE!$A$2:$A$495,0)),""))</f>
        <v/>
      </c>
      <c r="L720" s="22">
        <f t="array" ref="L720">IF($D720="","",IFERROR(INDEX(MASTER_SOURCE!$D$2:$D$495,MATCH($I720,MASTER_SOURCE!$A$2:$A$495,0)),""))</f>
        <v/>
      </c>
      <c r="M720" s="24" t="n"/>
      <c r="N720" s="24" t="n"/>
      <c r="O720" s="24" t="n"/>
      <c r="P720" s="24" t="n"/>
      <c r="Q720" s="22">
        <f>IF($D720="","",IF(AND(OR(DANH_MUC!$L$5&lt;&gt;"Có",M720="Có"),OR(DANH_MUC!$L$6&lt;&gt;"Có",N720="Có"),OR(DANH_MUC!$L$7&lt;&gt;"Có",O720="Có"),OR(DANH_MUC!$L$8&lt;&gt;"Có",P720="Có")),"Có","Không"))</f>
        <v/>
      </c>
      <c r="R720" s="22">
        <f>IF($D720="","",IF(COUNTIF($D$2:$D720,$D720)&gt;1,"Trùng",""))</f>
        <v/>
      </c>
      <c r="S720" s="22">
        <f>IF($D720="","",IF(AND(LEN($D720)=10,LEFT($D720,1)="0",ISNUMBER(--$D720)),"Có","Không"))</f>
        <v/>
      </c>
      <c r="T720" s="22">
        <f>IF($D720="","",IF(AND($C720&lt;&gt;"",$Q720="Có",$R720="",$S720="Có",AND($L720&lt;&gt;"",OR($L720&lt;&gt;"Chưa xác định",DANH_MUC!$L$9="Có"))),"Có","Không"))</f>
        <v/>
      </c>
      <c r="U720" s="22">
        <f>IF(OR($D720="",$T720="Có"),"",IF($C720="","Thiếu họ tên; ","")&amp;IF($S720&lt;&gt;"Có","SĐT sai định dạng; ","")&amp;IF($R720="Trùng","Trùng SĐT; ","")&amp;IF($Q720&lt;&gt;"Có","Thiếu đồng ý bắt buộc; ","")&amp;IF($L720="","Thiếu/sai Mã REF; ",IF(AND($L720="Chưa xác định",DANH_MUC!$L$9&lt;&gt;"Có"),"Nguồn chưa xác định; ","")))</f>
        <v/>
      </c>
      <c r="V720" s="22">
        <f>IF(OR($D720="",$R720="Trùng"),"",IF(COUNTIF(ORDERS!$C$2:$C$4995,$D720)&gt;0,"Có","Không"))</f>
        <v/>
      </c>
      <c r="W720" s="22">
        <f>IF(OR($D720="",$R720="Trùng"),"",COUNTIFS(ORDERS!$C$2:$C$4995,$D720,ORDERS!$L$2:$L$4995,"Đã chuyển khoản"))</f>
        <v/>
      </c>
      <c r="X720" s="23">
        <f>IF(OR($D720="",$R720="Trùng"),"",SUMIFS(ORDERS!$J$2:$J$4995,ORDERS!$C$2:$C$4995,$D720,ORDERS!$L$2:$L$4995,"Đã chuyển khoản"))</f>
        <v/>
      </c>
      <c r="Y720" s="24" t="n"/>
    </row>
    <row r="721" ht="14.25" customHeight="1" s="40">
      <c r="A721" s="24" t="n"/>
      <c r="B721" s="27" t="n"/>
      <c r="C721" s="24" t="n"/>
      <c r="D721" s="28" t="n"/>
      <c r="E721" s="29" t="n"/>
      <c r="F721" s="24" t="n"/>
      <c r="G721" s="24" t="n"/>
      <c r="H721" s="21">
        <f>IF(ISNUMBER($B721),INT($B721)-WEEKDAY($B721,2)+1,"")</f>
        <v/>
      </c>
      <c r="I721" s="24" t="n"/>
      <c r="J721" s="22">
        <f t="array" ref="J721">IF($D721="","",IF($I721="","(trống REF)",IFERROR(INDEX(MASTER_SOURCE!$B$2:$B$495,MATCH($I721,MASTER_SOURCE!$A$2:$A$495,0)),"(REF không có trong MASTER_SOURCE)")))</f>
        <v/>
      </c>
      <c r="K721" s="22">
        <f t="array" ref="K721">IF($D721="","",IFERROR(INDEX(MASTER_SOURCE!$C$2:$C$495,MATCH($I721,MASTER_SOURCE!$A$2:$A$495,0)),""))</f>
        <v/>
      </c>
      <c r="L721" s="22">
        <f t="array" ref="L721">IF($D721="","",IFERROR(INDEX(MASTER_SOURCE!$D$2:$D$495,MATCH($I721,MASTER_SOURCE!$A$2:$A$495,0)),""))</f>
        <v/>
      </c>
      <c r="M721" s="24" t="n"/>
      <c r="N721" s="24" t="n"/>
      <c r="O721" s="24" t="n"/>
      <c r="P721" s="24" t="n"/>
      <c r="Q721" s="22">
        <f>IF($D721="","",IF(AND(OR(DANH_MUC!$L$5&lt;&gt;"Có",M721="Có"),OR(DANH_MUC!$L$6&lt;&gt;"Có",N721="Có"),OR(DANH_MUC!$L$7&lt;&gt;"Có",O721="Có"),OR(DANH_MUC!$L$8&lt;&gt;"Có",P721="Có")),"Có","Không"))</f>
        <v/>
      </c>
      <c r="R721" s="22">
        <f>IF($D721="","",IF(COUNTIF($D$2:$D721,$D721)&gt;1,"Trùng",""))</f>
        <v/>
      </c>
      <c r="S721" s="22">
        <f>IF($D721="","",IF(AND(LEN($D721)=10,LEFT($D721,1)="0",ISNUMBER(--$D721)),"Có","Không"))</f>
        <v/>
      </c>
      <c r="T721" s="22">
        <f>IF($D721="","",IF(AND($C721&lt;&gt;"",$Q721="Có",$R721="",$S721="Có",AND($L721&lt;&gt;"",OR($L721&lt;&gt;"Chưa xác định",DANH_MUC!$L$9="Có"))),"Có","Không"))</f>
        <v/>
      </c>
      <c r="U721" s="22">
        <f>IF(OR($D721="",$T721="Có"),"",IF($C721="","Thiếu họ tên; ","")&amp;IF($S721&lt;&gt;"Có","SĐT sai định dạng; ","")&amp;IF($R721="Trùng","Trùng SĐT; ","")&amp;IF($Q721&lt;&gt;"Có","Thiếu đồng ý bắt buộc; ","")&amp;IF($L721="","Thiếu/sai Mã REF; ",IF(AND($L721="Chưa xác định",DANH_MUC!$L$9&lt;&gt;"Có"),"Nguồn chưa xác định; ","")))</f>
        <v/>
      </c>
      <c r="V721" s="22">
        <f>IF(OR($D721="",$R721="Trùng"),"",IF(COUNTIF(ORDERS!$C$2:$C$4995,$D721)&gt;0,"Có","Không"))</f>
        <v/>
      </c>
      <c r="W721" s="22">
        <f>IF(OR($D721="",$R721="Trùng"),"",COUNTIFS(ORDERS!$C$2:$C$4995,$D721,ORDERS!$L$2:$L$4995,"Đã chuyển khoản"))</f>
        <v/>
      </c>
      <c r="X721" s="23">
        <f>IF(OR($D721="",$R721="Trùng"),"",SUMIFS(ORDERS!$J$2:$J$4995,ORDERS!$C$2:$C$4995,$D721,ORDERS!$L$2:$L$4995,"Đã chuyển khoản"))</f>
        <v/>
      </c>
      <c r="Y721" s="24" t="n"/>
    </row>
    <row r="722" ht="14.25" customHeight="1" s="40">
      <c r="A722" s="24" t="n"/>
      <c r="B722" s="27" t="n"/>
      <c r="C722" s="24" t="n"/>
      <c r="D722" s="28" t="n"/>
      <c r="E722" s="29" t="n"/>
      <c r="F722" s="24" t="n"/>
      <c r="G722" s="24" t="n"/>
      <c r="H722" s="21">
        <f>IF(ISNUMBER($B722),INT($B722)-WEEKDAY($B722,2)+1,"")</f>
        <v/>
      </c>
      <c r="I722" s="24" t="n"/>
      <c r="J722" s="22">
        <f t="array" ref="J722">IF($D722="","",IF($I722="","(trống REF)",IFERROR(INDEX(MASTER_SOURCE!$B$2:$B$495,MATCH($I722,MASTER_SOURCE!$A$2:$A$495,0)),"(REF không có trong MASTER_SOURCE)")))</f>
        <v/>
      </c>
      <c r="K722" s="22">
        <f t="array" ref="K722">IF($D722="","",IFERROR(INDEX(MASTER_SOURCE!$C$2:$C$495,MATCH($I722,MASTER_SOURCE!$A$2:$A$495,0)),""))</f>
        <v/>
      </c>
      <c r="L722" s="22">
        <f t="array" ref="L722">IF($D722="","",IFERROR(INDEX(MASTER_SOURCE!$D$2:$D$495,MATCH($I722,MASTER_SOURCE!$A$2:$A$495,0)),""))</f>
        <v/>
      </c>
      <c r="M722" s="24" t="n"/>
      <c r="N722" s="24" t="n"/>
      <c r="O722" s="24" t="n"/>
      <c r="P722" s="24" t="n"/>
      <c r="Q722" s="22">
        <f>IF($D722="","",IF(AND(OR(DANH_MUC!$L$5&lt;&gt;"Có",M722="Có"),OR(DANH_MUC!$L$6&lt;&gt;"Có",N722="Có"),OR(DANH_MUC!$L$7&lt;&gt;"Có",O722="Có"),OR(DANH_MUC!$L$8&lt;&gt;"Có",P722="Có")),"Có","Không"))</f>
        <v/>
      </c>
      <c r="R722" s="22">
        <f>IF($D722="","",IF(COUNTIF($D$2:$D722,$D722)&gt;1,"Trùng",""))</f>
        <v/>
      </c>
      <c r="S722" s="22">
        <f>IF($D722="","",IF(AND(LEN($D722)=10,LEFT($D722,1)="0",ISNUMBER(--$D722)),"Có","Không"))</f>
        <v/>
      </c>
      <c r="T722" s="22">
        <f>IF($D722="","",IF(AND($C722&lt;&gt;"",$Q722="Có",$R722="",$S722="Có",AND($L722&lt;&gt;"",OR($L722&lt;&gt;"Chưa xác định",DANH_MUC!$L$9="Có"))),"Có","Không"))</f>
        <v/>
      </c>
      <c r="U722" s="22">
        <f>IF(OR($D722="",$T722="Có"),"",IF($C722="","Thiếu họ tên; ","")&amp;IF($S722&lt;&gt;"Có","SĐT sai định dạng; ","")&amp;IF($R722="Trùng","Trùng SĐT; ","")&amp;IF($Q722&lt;&gt;"Có","Thiếu đồng ý bắt buộc; ","")&amp;IF($L722="","Thiếu/sai Mã REF; ",IF(AND($L722="Chưa xác định",DANH_MUC!$L$9&lt;&gt;"Có"),"Nguồn chưa xác định; ","")))</f>
        <v/>
      </c>
      <c r="V722" s="22">
        <f>IF(OR($D722="",$R722="Trùng"),"",IF(COUNTIF(ORDERS!$C$2:$C$4995,$D722)&gt;0,"Có","Không"))</f>
        <v/>
      </c>
      <c r="W722" s="22">
        <f>IF(OR($D722="",$R722="Trùng"),"",COUNTIFS(ORDERS!$C$2:$C$4995,$D722,ORDERS!$L$2:$L$4995,"Đã chuyển khoản"))</f>
        <v/>
      </c>
      <c r="X722" s="23">
        <f>IF(OR($D722="",$R722="Trùng"),"",SUMIFS(ORDERS!$J$2:$J$4995,ORDERS!$C$2:$C$4995,$D722,ORDERS!$L$2:$L$4995,"Đã chuyển khoản"))</f>
        <v/>
      </c>
      <c r="Y722" s="24" t="n"/>
    </row>
    <row r="723" ht="14.25" customHeight="1" s="40">
      <c r="A723" s="24" t="n"/>
      <c r="B723" s="27" t="n"/>
      <c r="C723" s="24" t="n"/>
      <c r="D723" s="28" t="n"/>
      <c r="E723" s="29" t="n"/>
      <c r="F723" s="24" t="n"/>
      <c r="G723" s="24" t="n"/>
      <c r="H723" s="21">
        <f>IF(ISNUMBER($B723),INT($B723)-WEEKDAY($B723,2)+1,"")</f>
        <v/>
      </c>
      <c r="I723" s="24" t="n"/>
      <c r="J723" s="22">
        <f t="array" ref="J723">IF($D723="","",IF($I723="","(trống REF)",IFERROR(INDEX(MASTER_SOURCE!$B$2:$B$495,MATCH($I723,MASTER_SOURCE!$A$2:$A$495,0)),"(REF không có trong MASTER_SOURCE)")))</f>
        <v/>
      </c>
      <c r="K723" s="22">
        <f t="array" ref="K723">IF($D723="","",IFERROR(INDEX(MASTER_SOURCE!$C$2:$C$495,MATCH($I723,MASTER_SOURCE!$A$2:$A$495,0)),""))</f>
        <v/>
      </c>
      <c r="L723" s="22">
        <f t="array" ref="L723">IF($D723="","",IFERROR(INDEX(MASTER_SOURCE!$D$2:$D$495,MATCH($I723,MASTER_SOURCE!$A$2:$A$495,0)),""))</f>
        <v/>
      </c>
      <c r="M723" s="24" t="n"/>
      <c r="N723" s="24" t="n"/>
      <c r="O723" s="24" t="n"/>
      <c r="P723" s="24" t="n"/>
      <c r="Q723" s="22">
        <f>IF($D723="","",IF(AND(OR(DANH_MUC!$L$5&lt;&gt;"Có",M723="Có"),OR(DANH_MUC!$L$6&lt;&gt;"Có",N723="Có"),OR(DANH_MUC!$L$7&lt;&gt;"Có",O723="Có"),OR(DANH_MUC!$L$8&lt;&gt;"Có",P723="Có")),"Có","Không"))</f>
        <v/>
      </c>
      <c r="R723" s="22">
        <f>IF($D723="","",IF(COUNTIF($D$2:$D723,$D723)&gt;1,"Trùng",""))</f>
        <v/>
      </c>
      <c r="S723" s="22">
        <f>IF($D723="","",IF(AND(LEN($D723)=10,LEFT($D723,1)="0",ISNUMBER(--$D723)),"Có","Không"))</f>
        <v/>
      </c>
      <c r="T723" s="22">
        <f>IF($D723="","",IF(AND($C723&lt;&gt;"",$Q723="Có",$R723="",$S723="Có",AND($L723&lt;&gt;"",OR($L723&lt;&gt;"Chưa xác định",DANH_MUC!$L$9="Có"))),"Có","Không"))</f>
        <v/>
      </c>
      <c r="U723" s="22">
        <f>IF(OR($D723="",$T723="Có"),"",IF($C723="","Thiếu họ tên; ","")&amp;IF($S723&lt;&gt;"Có","SĐT sai định dạng; ","")&amp;IF($R723="Trùng","Trùng SĐT; ","")&amp;IF($Q723&lt;&gt;"Có","Thiếu đồng ý bắt buộc; ","")&amp;IF($L723="","Thiếu/sai Mã REF; ",IF(AND($L723="Chưa xác định",DANH_MUC!$L$9&lt;&gt;"Có"),"Nguồn chưa xác định; ","")))</f>
        <v/>
      </c>
      <c r="V723" s="22">
        <f>IF(OR($D723="",$R723="Trùng"),"",IF(COUNTIF(ORDERS!$C$2:$C$4995,$D723)&gt;0,"Có","Không"))</f>
        <v/>
      </c>
      <c r="W723" s="22">
        <f>IF(OR($D723="",$R723="Trùng"),"",COUNTIFS(ORDERS!$C$2:$C$4995,$D723,ORDERS!$L$2:$L$4995,"Đã chuyển khoản"))</f>
        <v/>
      </c>
      <c r="X723" s="23">
        <f>IF(OR($D723="",$R723="Trùng"),"",SUMIFS(ORDERS!$J$2:$J$4995,ORDERS!$C$2:$C$4995,$D723,ORDERS!$L$2:$L$4995,"Đã chuyển khoản"))</f>
        <v/>
      </c>
      <c r="Y723" s="24" t="n"/>
    </row>
    <row r="724" ht="14.25" customHeight="1" s="40">
      <c r="A724" s="24" t="n"/>
      <c r="B724" s="27" t="n"/>
      <c r="C724" s="24" t="n"/>
      <c r="D724" s="28" t="n"/>
      <c r="E724" s="29" t="n"/>
      <c r="F724" s="24" t="n"/>
      <c r="G724" s="24" t="n"/>
      <c r="H724" s="21">
        <f>IF(ISNUMBER($B724),INT($B724)-WEEKDAY($B724,2)+1,"")</f>
        <v/>
      </c>
      <c r="I724" s="24" t="n"/>
      <c r="J724" s="22">
        <f t="array" ref="J724">IF($D724="","",IF($I724="","(trống REF)",IFERROR(INDEX(MASTER_SOURCE!$B$2:$B$495,MATCH($I724,MASTER_SOURCE!$A$2:$A$495,0)),"(REF không có trong MASTER_SOURCE)")))</f>
        <v/>
      </c>
      <c r="K724" s="22">
        <f t="array" ref="K724">IF($D724="","",IFERROR(INDEX(MASTER_SOURCE!$C$2:$C$495,MATCH($I724,MASTER_SOURCE!$A$2:$A$495,0)),""))</f>
        <v/>
      </c>
      <c r="L724" s="22">
        <f t="array" ref="L724">IF($D724="","",IFERROR(INDEX(MASTER_SOURCE!$D$2:$D$495,MATCH($I724,MASTER_SOURCE!$A$2:$A$495,0)),""))</f>
        <v/>
      </c>
      <c r="M724" s="24" t="n"/>
      <c r="N724" s="24" t="n"/>
      <c r="O724" s="24" t="n"/>
      <c r="P724" s="24" t="n"/>
      <c r="Q724" s="22">
        <f>IF($D724="","",IF(AND(OR(DANH_MUC!$L$5&lt;&gt;"Có",M724="Có"),OR(DANH_MUC!$L$6&lt;&gt;"Có",N724="Có"),OR(DANH_MUC!$L$7&lt;&gt;"Có",O724="Có"),OR(DANH_MUC!$L$8&lt;&gt;"Có",P724="Có")),"Có","Không"))</f>
        <v/>
      </c>
      <c r="R724" s="22">
        <f>IF($D724="","",IF(COUNTIF($D$2:$D724,$D724)&gt;1,"Trùng",""))</f>
        <v/>
      </c>
      <c r="S724" s="22">
        <f>IF($D724="","",IF(AND(LEN($D724)=10,LEFT($D724,1)="0",ISNUMBER(--$D724)),"Có","Không"))</f>
        <v/>
      </c>
      <c r="T724" s="22">
        <f>IF($D724="","",IF(AND($C724&lt;&gt;"",$Q724="Có",$R724="",$S724="Có",AND($L724&lt;&gt;"",OR($L724&lt;&gt;"Chưa xác định",DANH_MUC!$L$9="Có"))),"Có","Không"))</f>
        <v/>
      </c>
      <c r="U724" s="22">
        <f>IF(OR($D724="",$T724="Có"),"",IF($C724="","Thiếu họ tên; ","")&amp;IF($S724&lt;&gt;"Có","SĐT sai định dạng; ","")&amp;IF($R724="Trùng","Trùng SĐT; ","")&amp;IF($Q724&lt;&gt;"Có","Thiếu đồng ý bắt buộc; ","")&amp;IF($L724="","Thiếu/sai Mã REF; ",IF(AND($L724="Chưa xác định",DANH_MUC!$L$9&lt;&gt;"Có"),"Nguồn chưa xác định; ","")))</f>
        <v/>
      </c>
      <c r="V724" s="22">
        <f>IF(OR($D724="",$R724="Trùng"),"",IF(COUNTIF(ORDERS!$C$2:$C$4995,$D724)&gt;0,"Có","Không"))</f>
        <v/>
      </c>
      <c r="W724" s="22">
        <f>IF(OR($D724="",$R724="Trùng"),"",COUNTIFS(ORDERS!$C$2:$C$4995,$D724,ORDERS!$L$2:$L$4995,"Đã chuyển khoản"))</f>
        <v/>
      </c>
      <c r="X724" s="23">
        <f>IF(OR($D724="",$R724="Trùng"),"",SUMIFS(ORDERS!$J$2:$J$4995,ORDERS!$C$2:$C$4995,$D724,ORDERS!$L$2:$L$4995,"Đã chuyển khoản"))</f>
        <v/>
      </c>
      <c r="Y724" s="24" t="n"/>
    </row>
    <row r="725" ht="14.25" customHeight="1" s="40">
      <c r="A725" s="24" t="n"/>
      <c r="B725" s="27" t="n"/>
      <c r="C725" s="24" t="n"/>
      <c r="D725" s="28" t="n"/>
      <c r="E725" s="29" t="n"/>
      <c r="F725" s="24" t="n"/>
      <c r="G725" s="24" t="n"/>
      <c r="H725" s="21">
        <f>IF(ISNUMBER($B725),INT($B725)-WEEKDAY($B725,2)+1,"")</f>
        <v/>
      </c>
      <c r="I725" s="24" t="n"/>
      <c r="J725" s="22">
        <f t="array" ref="J725">IF($D725="","",IF($I725="","(trống REF)",IFERROR(INDEX(MASTER_SOURCE!$B$2:$B$495,MATCH($I725,MASTER_SOURCE!$A$2:$A$495,0)),"(REF không có trong MASTER_SOURCE)")))</f>
        <v/>
      </c>
      <c r="K725" s="22">
        <f t="array" ref="K725">IF($D725="","",IFERROR(INDEX(MASTER_SOURCE!$C$2:$C$495,MATCH($I725,MASTER_SOURCE!$A$2:$A$495,0)),""))</f>
        <v/>
      </c>
      <c r="L725" s="22">
        <f t="array" ref="L725">IF($D725="","",IFERROR(INDEX(MASTER_SOURCE!$D$2:$D$495,MATCH($I725,MASTER_SOURCE!$A$2:$A$495,0)),""))</f>
        <v/>
      </c>
      <c r="M725" s="24" t="n"/>
      <c r="N725" s="24" t="n"/>
      <c r="O725" s="24" t="n"/>
      <c r="P725" s="24" t="n"/>
      <c r="Q725" s="22">
        <f>IF($D725="","",IF(AND(OR(DANH_MUC!$L$5&lt;&gt;"Có",M725="Có"),OR(DANH_MUC!$L$6&lt;&gt;"Có",N725="Có"),OR(DANH_MUC!$L$7&lt;&gt;"Có",O725="Có"),OR(DANH_MUC!$L$8&lt;&gt;"Có",P725="Có")),"Có","Không"))</f>
        <v/>
      </c>
      <c r="R725" s="22">
        <f>IF($D725="","",IF(COUNTIF($D$2:$D725,$D725)&gt;1,"Trùng",""))</f>
        <v/>
      </c>
      <c r="S725" s="22">
        <f>IF($D725="","",IF(AND(LEN($D725)=10,LEFT($D725,1)="0",ISNUMBER(--$D725)),"Có","Không"))</f>
        <v/>
      </c>
      <c r="T725" s="22">
        <f>IF($D725="","",IF(AND($C725&lt;&gt;"",$Q725="Có",$R725="",$S725="Có",AND($L725&lt;&gt;"",OR($L725&lt;&gt;"Chưa xác định",DANH_MUC!$L$9="Có"))),"Có","Không"))</f>
        <v/>
      </c>
      <c r="U725" s="22">
        <f>IF(OR($D725="",$T725="Có"),"",IF($C725="","Thiếu họ tên; ","")&amp;IF($S725&lt;&gt;"Có","SĐT sai định dạng; ","")&amp;IF($R725="Trùng","Trùng SĐT; ","")&amp;IF($Q725&lt;&gt;"Có","Thiếu đồng ý bắt buộc; ","")&amp;IF($L725="","Thiếu/sai Mã REF; ",IF(AND($L725="Chưa xác định",DANH_MUC!$L$9&lt;&gt;"Có"),"Nguồn chưa xác định; ","")))</f>
        <v/>
      </c>
      <c r="V725" s="22">
        <f>IF(OR($D725="",$R725="Trùng"),"",IF(COUNTIF(ORDERS!$C$2:$C$4995,$D725)&gt;0,"Có","Không"))</f>
        <v/>
      </c>
      <c r="W725" s="22">
        <f>IF(OR($D725="",$R725="Trùng"),"",COUNTIFS(ORDERS!$C$2:$C$4995,$D725,ORDERS!$L$2:$L$4995,"Đã chuyển khoản"))</f>
        <v/>
      </c>
      <c r="X725" s="23">
        <f>IF(OR($D725="",$R725="Trùng"),"",SUMIFS(ORDERS!$J$2:$J$4995,ORDERS!$C$2:$C$4995,$D725,ORDERS!$L$2:$L$4995,"Đã chuyển khoản"))</f>
        <v/>
      </c>
      <c r="Y725" s="24" t="n"/>
    </row>
    <row r="726" ht="14.25" customHeight="1" s="40">
      <c r="A726" s="24" t="n"/>
      <c r="B726" s="27" t="n"/>
      <c r="C726" s="24" t="n"/>
      <c r="D726" s="28" t="n"/>
      <c r="E726" s="29" t="n"/>
      <c r="F726" s="24" t="n"/>
      <c r="G726" s="24" t="n"/>
      <c r="H726" s="21">
        <f>IF(ISNUMBER($B726),INT($B726)-WEEKDAY($B726,2)+1,"")</f>
        <v/>
      </c>
      <c r="I726" s="24" t="n"/>
      <c r="J726" s="22">
        <f t="array" ref="J726">IF($D726="","",IF($I726="","(trống REF)",IFERROR(INDEX(MASTER_SOURCE!$B$2:$B$495,MATCH($I726,MASTER_SOURCE!$A$2:$A$495,0)),"(REF không có trong MASTER_SOURCE)")))</f>
        <v/>
      </c>
      <c r="K726" s="22">
        <f t="array" ref="K726">IF($D726="","",IFERROR(INDEX(MASTER_SOURCE!$C$2:$C$495,MATCH($I726,MASTER_SOURCE!$A$2:$A$495,0)),""))</f>
        <v/>
      </c>
      <c r="L726" s="22">
        <f t="array" ref="L726">IF($D726="","",IFERROR(INDEX(MASTER_SOURCE!$D$2:$D$495,MATCH($I726,MASTER_SOURCE!$A$2:$A$495,0)),""))</f>
        <v/>
      </c>
      <c r="M726" s="24" t="n"/>
      <c r="N726" s="24" t="n"/>
      <c r="O726" s="24" t="n"/>
      <c r="P726" s="24" t="n"/>
      <c r="Q726" s="22">
        <f>IF($D726="","",IF(AND(OR(DANH_MUC!$L$5&lt;&gt;"Có",M726="Có"),OR(DANH_MUC!$L$6&lt;&gt;"Có",N726="Có"),OR(DANH_MUC!$L$7&lt;&gt;"Có",O726="Có"),OR(DANH_MUC!$L$8&lt;&gt;"Có",P726="Có")),"Có","Không"))</f>
        <v/>
      </c>
      <c r="R726" s="22">
        <f>IF($D726="","",IF(COUNTIF($D$2:$D726,$D726)&gt;1,"Trùng",""))</f>
        <v/>
      </c>
      <c r="S726" s="22">
        <f>IF($D726="","",IF(AND(LEN($D726)=10,LEFT($D726,1)="0",ISNUMBER(--$D726)),"Có","Không"))</f>
        <v/>
      </c>
      <c r="T726" s="22">
        <f>IF($D726="","",IF(AND($C726&lt;&gt;"",$Q726="Có",$R726="",$S726="Có",AND($L726&lt;&gt;"",OR($L726&lt;&gt;"Chưa xác định",DANH_MUC!$L$9="Có"))),"Có","Không"))</f>
        <v/>
      </c>
      <c r="U726" s="22">
        <f>IF(OR($D726="",$T726="Có"),"",IF($C726="","Thiếu họ tên; ","")&amp;IF($S726&lt;&gt;"Có","SĐT sai định dạng; ","")&amp;IF($R726="Trùng","Trùng SĐT; ","")&amp;IF($Q726&lt;&gt;"Có","Thiếu đồng ý bắt buộc; ","")&amp;IF($L726="","Thiếu/sai Mã REF; ",IF(AND($L726="Chưa xác định",DANH_MUC!$L$9&lt;&gt;"Có"),"Nguồn chưa xác định; ","")))</f>
        <v/>
      </c>
      <c r="V726" s="22">
        <f>IF(OR($D726="",$R726="Trùng"),"",IF(COUNTIF(ORDERS!$C$2:$C$4995,$D726)&gt;0,"Có","Không"))</f>
        <v/>
      </c>
      <c r="W726" s="22">
        <f>IF(OR($D726="",$R726="Trùng"),"",COUNTIFS(ORDERS!$C$2:$C$4995,$D726,ORDERS!$L$2:$L$4995,"Đã chuyển khoản"))</f>
        <v/>
      </c>
      <c r="X726" s="23">
        <f>IF(OR($D726="",$R726="Trùng"),"",SUMIFS(ORDERS!$J$2:$J$4995,ORDERS!$C$2:$C$4995,$D726,ORDERS!$L$2:$L$4995,"Đã chuyển khoản"))</f>
        <v/>
      </c>
      <c r="Y726" s="24" t="n"/>
    </row>
    <row r="727" ht="14.25" customHeight="1" s="40">
      <c r="A727" s="24" t="n"/>
      <c r="B727" s="27" t="n"/>
      <c r="C727" s="24" t="n"/>
      <c r="D727" s="28" t="n"/>
      <c r="E727" s="29" t="n"/>
      <c r="F727" s="24" t="n"/>
      <c r="G727" s="24" t="n"/>
      <c r="H727" s="21">
        <f>IF(ISNUMBER($B727),INT($B727)-WEEKDAY($B727,2)+1,"")</f>
        <v/>
      </c>
      <c r="I727" s="24" t="n"/>
      <c r="J727" s="22">
        <f t="array" ref="J727">IF($D727="","",IF($I727="","(trống REF)",IFERROR(INDEX(MASTER_SOURCE!$B$2:$B$495,MATCH($I727,MASTER_SOURCE!$A$2:$A$495,0)),"(REF không có trong MASTER_SOURCE)")))</f>
        <v/>
      </c>
      <c r="K727" s="22">
        <f t="array" ref="K727">IF($D727="","",IFERROR(INDEX(MASTER_SOURCE!$C$2:$C$495,MATCH($I727,MASTER_SOURCE!$A$2:$A$495,0)),""))</f>
        <v/>
      </c>
      <c r="L727" s="22">
        <f t="array" ref="L727">IF($D727="","",IFERROR(INDEX(MASTER_SOURCE!$D$2:$D$495,MATCH($I727,MASTER_SOURCE!$A$2:$A$495,0)),""))</f>
        <v/>
      </c>
      <c r="M727" s="24" t="n"/>
      <c r="N727" s="24" t="n"/>
      <c r="O727" s="24" t="n"/>
      <c r="P727" s="24" t="n"/>
      <c r="Q727" s="22">
        <f>IF($D727="","",IF(AND(OR(DANH_MUC!$L$5&lt;&gt;"Có",M727="Có"),OR(DANH_MUC!$L$6&lt;&gt;"Có",N727="Có"),OR(DANH_MUC!$L$7&lt;&gt;"Có",O727="Có"),OR(DANH_MUC!$L$8&lt;&gt;"Có",P727="Có")),"Có","Không"))</f>
        <v/>
      </c>
      <c r="R727" s="22">
        <f>IF($D727="","",IF(COUNTIF($D$2:$D727,$D727)&gt;1,"Trùng",""))</f>
        <v/>
      </c>
      <c r="S727" s="22">
        <f>IF($D727="","",IF(AND(LEN($D727)=10,LEFT($D727,1)="0",ISNUMBER(--$D727)),"Có","Không"))</f>
        <v/>
      </c>
      <c r="T727" s="22">
        <f>IF($D727="","",IF(AND($C727&lt;&gt;"",$Q727="Có",$R727="",$S727="Có",AND($L727&lt;&gt;"",OR($L727&lt;&gt;"Chưa xác định",DANH_MUC!$L$9="Có"))),"Có","Không"))</f>
        <v/>
      </c>
      <c r="U727" s="22">
        <f>IF(OR($D727="",$T727="Có"),"",IF($C727="","Thiếu họ tên; ","")&amp;IF($S727&lt;&gt;"Có","SĐT sai định dạng; ","")&amp;IF($R727="Trùng","Trùng SĐT; ","")&amp;IF($Q727&lt;&gt;"Có","Thiếu đồng ý bắt buộc; ","")&amp;IF($L727="","Thiếu/sai Mã REF; ",IF(AND($L727="Chưa xác định",DANH_MUC!$L$9&lt;&gt;"Có"),"Nguồn chưa xác định; ","")))</f>
        <v/>
      </c>
      <c r="V727" s="22">
        <f>IF(OR($D727="",$R727="Trùng"),"",IF(COUNTIF(ORDERS!$C$2:$C$4995,$D727)&gt;0,"Có","Không"))</f>
        <v/>
      </c>
      <c r="W727" s="22">
        <f>IF(OR($D727="",$R727="Trùng"),"",COUNTIFS(ORDERS!$C$2:$C$4995,$D727,ORDERS!$L$2:$L$4995,"Đã chuyển khoản"))</f>
        <v/>
      </c>
      <c r="X727" s="23">
        <f>IF(OR($D727="",$R727="Trùng"),"",SUMIFS(ORDERS!$J$2:$J$4995,ORDERS!$C$2:$C$4995,$D727,ORDERS!$L$2:$L$4995,"Đã chuyển khoản"))</f>
        <v/>
      </c>
      <c r="Y727" s="24" t="n"/>
    </row>
    <row r="728" ht="14.25" customHeight="1" s="40">
      <c r="A728" s="24" t="n"/>
      <c r="B728" s="27" t="n"/>
      <c r="C728" s="24" t="n"/>
      <c r="D728" s="28" t="n"/>
      <c r="E728" s="29" t="n"/>
      <c r="F728" s="24" t="n"/>
      <c r="G728" s="24" t="n"/>
      <c r="H728" s="21">
        <f>IF(ISNUMBER($B728),INT($B728)-WEEKDAY($B728,2)+1,"")</f>
        <v/>
      </c>
      <c r="I728" s="24" t="n"/>
      <c r="J728" s="22">
        <f t="array" ref="J728">IF($D728="","",IF($I728="","(trống REF)",IFERROR(INDEX(MASTER_SOURCE!$B$2:$B$495,MATCH($I728,MASTER_SOURCE!$A$2:$A$495,0)),"(REF không có trong MASTER_SOURCE)")))</f>
        <v/>
      </c>
      <c r="K728" s="22">
        <f t="array" ref="K728">IF($D728="","",IFERROR(INDEX(MASTER_SOURCE!$C$2:$C$495,MATCH($I728,MASTER_SOURCE!$A$2:$A$495,0)),""))</f>
        <v/>
      </c>
      <c r="L728" s="22">
        <f t="array" ref="L728">IF($D728="","",IFERROR(INDEX(MASTER_SOURCE!$D$2:$D$495,MATCH($I728,MASTER_SOURCE!$A$2:$A$495,0)),""))</f>
        <v/>
      </c>
      <c r="M728" s="24" t="n"/>
      <c r="N728" s="24" t="n"/>
      <c r="O728" s="24" t="n"/>
      <c r="P728" s="24" t="n"/>
      <c r="Q728" s="22">
        <f>IF($D728="","",IF(AND(OR(DANH_MUC!$L$5&lt;&gt;"Có",M728="Có"),OR(DANH_MUC!$L$6&lt;&gt;"Có",N728="Có"),OR(DANH_MUC!$L$7&lt;&gt;"Có",O728="Có"),OR(DANH_MUC!$L$8&lt;&gt;"Có",P728="Có")),"Có","Không"))</f>
        <v/>
      </c>
      <c r="R728" s="22">
        <f>IF($D728="","",IF(COUNTIF($D$2:$D728,$D728)&gt;1,"Trùng",""))</f>
        <v/>
      </c>
      <c r="S728" s="22">
        <f>IF($D728="","",IF(AND(LEN($D728)=10,LEFT($D728,1)="0",ISNUMBER(--$D728)),"Có","Không"))</f>
        <v/>
      </c>
      <c r="T728" s="22">
        <f>IF($D728="","",IF(AND($C728&lt;&gt;"",$Q728="Có",$R728="",$S728="Có",AND($L728&lt;&gt;"",OR($L728&lt;&gt;"Chưa xác định",DANH_MUC!$L$9="Có"))),"Có","Không"))</f>
        <v/>
      </c>
      <c r="U728" s="22">
        <f>IF(OR($D728="",$T728="Có"),"",IF($C728="","Thiếu họ tên; ","")&amp;IF($S728&lt;&gt;"Có","SĐT sai định dạng; ","")&amp;IF($R728="Trùng","Trùng SĐT; ","")&amp;IF($Q728&lt;&gt;"Có","Thiếu đồng ý bắt buộc; ","")&amp;IF($L728="","Thiếu/sai Mã REF; ",IF(AND($L728="Chưa xác định",DANH_MUC!$L$9&lt;&gt;"Có"),"Nguồn chưa xác định; ","")))</f>
        <v/>
      </c>
      <c r="V728" s="22">
        <f>IF(OR($D728="",$R728="Trùng"),"",IF(COUNTIF(ORDERS!$C$2:$C$4995,$D728)&gt;0,"Có","Không"))</f>
        <v/>
      </c>
      <c r="W728" s="22">
        <f>IF(OR($D728="",$R728="Trùng"),"",COUNTIFS(ORDERS!$C$2:$C$4995,$D728,ORDERS!$L$2:$L$4995,"Đã chuyển khoản"))</f>
        <v/>
      </c>
      <c r="X728" s="23">
        <f>IF(OR($D728="",$R728="Trùng"),"",SUMIFS(ORDERS!$J$2:$J$4995,ORDERS!$C$2:$C$4995,$D728,ORDERS!$L$2:$L$4995,"Đã chuyển khoản"))</f>
        <v/>
      </c>
      <c r="Y728" s="24" t="n"/>
    </row>
    <row r="729" ht="14.25" customHeight="1" s="40">
      <c r="A729" s="24" t="n"/>
      <c r="B729" s="27" t="n"/>
      <c r="C729" s="24" t="n"/>
      <c r="D729" s="28" t="n"/>
      <c r="E729" s="29" t="n"/>
      <c r="F729" s="24" t="n"/>
      <c r="G729" s="24" t="n"/>
      <c r="H729" s="21">
        <f>IF(ISNUMBER($B729),INT($B729)-WEEKDAY($B729,2)+1,"")</f>
        <v/>
      </c>
      <c r="I729" s="24" t="n"/>
      <c r="J729" s="22">
        <f t="array" ref="J729">IF($D729="","",IF($I729="","(trống REF)",IFERROR(INDEX(MASTER_SOURCE!$B$2:$B$495,MATCH($I729,MASTER_SOURCE!$A$2:$A$495,0)),"(REF không có trong MASTER_SOURCE)")))</f>
        <v/>
      </c>
      <c r="K729" s="22">
        <f t="array" ref="K729">IF($D729="","",IFERROR(INDEX(MASTER_SOURCE!$C$2:$C$495,MATCH($I729,MASTER_SOURCE!$A$2:$A$495,0)),""))</f>
        <v/>
      </c>
      <c r="L729" s="22">
        <f t="array" ref="L729">IF($D729="","",IFERROR(INDEX(MASTER_SOURCE!$D$2:$D$495,MATCH($I729,MASTER_SOURCE!$A$2:$A$495,0)),""))</f>
        <v/>
      </c>
      <c r="M729" s="24" t="n"/>
      <c r="N729" s="24" t="n"/>
      <c r="O729" s="24" t="n"/>
      <c r="P729" s="24" t="n"/>
      <c r="Q729" s="22">
        <f>IF($D729="","",IF(AND(OR(DANH_MUC!$L$5&lt;&gt;"Có",M729="Có"),OR(DANH_MUC!$L$6&lt;&gt;"Có",N729="Có"),OR(DANH_MUC!$L$7&lt;&gt;"Có",O729="Có"),OR(DANH_MUC!$L$8&lt;&gt;"Có",P729="Có")),"Có","Không"))</f>
        <v/>
      </c>
      <c r="R729" s="22">
        <f>IF($D729="","",IF(COUNTIF($D$2:$D729,$D729)&gt;1,"Trùng",""))</f>
        <v/>
      </c>
      <c r="S729" s="22">
        <f>IF($D729="","",IF(AND(LEN($D729)=10,LEFT($D729,1)="0",ISNUMBER(--$D729)),"Có","Không"))</f>
        <v/>
      </c>
      <c r="T729" s="22">
        <f>IF($D729="","",IF(AND($C729&lt;&gt;"",$Q729="Có",$R729="",$S729="Có",AND($L729&lt;&gt;"",OR($L729&lt;&gt;"Chưa xác định",DANH_MUC!$L$9="Có"))),"Có","Không"))</f>
        <v/>
      </c>
      <c r="U729" s="22">
        <f>IF(OR($D729="",$T729="Có"),"",IF($C729="","Thiếu họ tên; ","")&amp;IF($S729&lt;&gt;"Có","SĐT sai định dạng; ","")&amp;IF($R729="Trùng","Trùng SĐT; ","")&amp;IF($Q729&lt;&gt;"Có","Thiếu đồng ý bắt buộc; ","")&amp;IF($L729="","Thiếu/sai Mã REF; ",IF(AND($L729="Chưa xác định",DANH_MUC!$L$9&lt;&gt;"Có"),"Nguồn chưa xác định; ","")))</f>
        <v/>
      </c>
      <c r="V729" s="22">
        <f>IF(OR($D729="",$R729="Trùng"),"",IF(COUNTIF(ORDERS!$C$2:$C$4995,$D729)&gt;0,"Có","Không"))</f>
        <v/>
      </c>
      <c r="W729" s="22">
        <f>IF(OR($D729="",$R729="Trùng"),"",COUNTIFS(ORDERS!$C$2:$C$4995,$D729,ORDERS!$L$2:$L$4995,"Đã chuyển khoản"))</f>
        <v/>
      </c>
      <c r="X729" s="23">
        <f>IF(OR($D729="",$R729="Trùng"),"",SUMIFS(ORDERS!$J$2:$J$4995,ORDERS!$C$2:$C$4995,$D729,ORDERS!$L$2:$L$4995,"Đã chuyển khoản"))</f>
        <v/>
      </c>
      <c r="Y729" s="24" t="n"/>
    </row>
    <row r="730" ht="14.25" customHeight="1" s="40">
      <c r="A730" s="24" t="n"/>
      <c r="B730" s="27" t="n"/>
      <c r="C730" s="24" t="n"/>
      <c r="D730" s="28" t="n"/>
      <c r="E730" s="29" t="n"/>
      <c r="F730" s="24" t="n"/>
      <c r="G730" s="24" t="n"/>
      <c r="H730" s="21">
        <f>IF(ISNUMBER($B730),INT($B730)-WEEKDAY($B730,2)+1,"")</f>
        <v/>
      </c>
      <c r="I730" s="24" t="n"/>
      <c r="J730" s="22">
        <f t="array" ref="J730">IF($D730="","",IF($I730="","(trống REF)",IFERROR(INDEX(MASTER_SOURCE!$B$2:$B$495,MATCH($I730,MASTER_SOURCE!$A$2:$A$495,0)),"(REF không có trong MASTER_SOURCE)")))</f>
        <v/>
      </c>
      <c r="K730" s="22">
        <f t="array" ref="K730">IF($D730="","",IFERROR(INDEX(MASTER_SOURCE!$C$2:$C$495,MATCH($I730,MASTER_SOURCE!$A$2:$A$495,0)),""))</f>
        <v/>
      </c>
      <c r="L730" s="22">
        <f t="array" ref="L730">IF($D730="","",IFERROR(INDEX(MASTER_SOURCE!$D$2:$D$495,MATCH($I730,MASTER_SOURCE!$A$2:$A$495,0)),""))</f>
        <v/>
      </c>
      <c r="M730" s="24" t="n"/>
      <c r="N730" s="24" t="n"/>
      <c r="O730" s="24" t="n"/>
      <c r="P730" s="24" t="n"/>
      <c r="Q730" s="22">
        <f>IF($D730="","",IF(AND(OR(DANH_MUC!$L$5&lt;&gt;"Có",M730="Có"),OR(DANH_MUC!$L$6&lt;&gt;"Có",N730="Có"),OR(DANH_MUC!$L$7&lt;&gt;"Có",O730="Có"),OR(DANH_MUC!$L$8&lt;&gt;"Có",P730="Có")),"Có","Không"))</f>
        <v/>
      </c>
      <c r="R730" s="22">
        <f>IF($D730="","",IF(COUNTIF($D$2:$D730,$D730)&gt;1,"Trùng",""))</f>
        <v/>
      </c>
      <c r="S730" s="22">
        <f>IF($D730="","",IF(AND(LEN($D730)=10,LEFT($D730,1)="0",ISNUMBER(--$D730)),"Có","Không"))</f>
        <v/>
      </c>
      <c r="T730" s="22">
        <f>IF($D730="","",IF(AND($C730&lt;&gt;"",$Q730="Có",$R730="",$S730="Có",AND($L730&lt;&gt;"",OR($L730&lt;&gt;"Chưa xác định",DANH_MUC!$L$9="Có"))),"Có","Không"))</f>
        <v/>
      </c>
      <c r="U730" s="22">
        <f>IF(OR($D730="",$T730="Có"),"",IF($C730="","Thiếu họ tên; ","")&amp;IF($S730&lt;&gt;"Có","SĐT sai định dạng; ","")&amp;IF($R730="Trùng","Trùng SĐT; ","")&amp;IF($Q730&lt;&gt;"Có","Thiếu đồng ý bắt buộc; ","")&amp;IF($L730="","Thiếu/sai Mã REF; ",IF(AND($L730="Chưa xác định",DANH_MUC!$L$9&lt;&gt;"Có"),"Nguồn chưa xác định; ","")))</f>
        <v/>
      </c>
      <c r="V730" s="22">
        <f>IF(OR($D730="",$R730="Trùng"),"",IF(COUNTIF(ORDERS!$C$2:$C$4995,$D730)&gt;0,"Có","Không"))</f>
        <v/>
      </c>
      <c r="W730" s="22">
        <f>IF(OR($D730="",$R730="Trùng"),"",COUNTIFS(ORDERS!$C$2:$C$4995,$D730,ORDERS!$L$2:$L$4995,"Đã chuyển khoản"))</f>
        <v/>
      </c>
      <c r="X730" s="23">
        <f>IF(OR($D730="",$R730="Trùng"),"",SUMIFS(ORDERS!$J$2:$J$4995,ORDERS!$C$2:$C$4995,$D730,ORDERS!$L$2:$L$4995,"Đã chuyển khoản"))</f>
        <v/>
      </c>
      <c r="Y730" s="24" t="n"/>
    </row>
    <row r="731" ht="14.25" customHeight="1" s="40">
      <c r="A731" s="24" t="n"/>
      <c r="B731" s="27" t="n"/>
      <c r="C731" s="24" t="n"/>
      <c r="D731" s="28" t="n"/>
      <c r="E731" s="29" t="n"/>
      <c r="F731" s="24" t="n"/>
      <c r="G731" s="24" t="n"/>
      <c r="H731" s="21">
        <f>IF(ISNUMBER($B731),INT($B731)-WEEKDAY($B731,2)+1,"")</f>
        <v/>
      </c>
      <c r="I731" s="24" t="n"/>
      <c r="J731" s="22">
        <f t="array" ref="J731">IF($D731="","",IF($I731="","(trống REF)",IFERROR(INDEX(MASTER_SOURCE!$B$2:$B$495,MATCH($I731,MASTER_SOURCE!$A$2:$A$495,0)),"(REF không có trong MASTER_SOURCE)")))</f>
        <v/>
      </c>
      <c r="K731" s="22">
        <f t="array" ref="K731">IF($D731="","",IFERROR(INDEX(MASTER_SOURCE!$C$2:$C$495,MATCH($I731,MASTER_SOURCE!$A$2:$A$495,0)),""))</f>
        <v/>
      </c>
      <c r="L731" s="22">
        <f t="array" ref="L731">IF($D731="","",IFERROR(INDEX(MASTER_SOURCE!$D$2:$D$495,MATCH($I731,MASTER_SOURCE!$A$2:$A$495,0)),""))</f>
        <v/>
      </c>
      <c r="M731" s="24" t="n"/>
      <c r="N731" s="24" t="n"/>
      <c r="O731" s="24" t="n"/>
      <c r="P731" s="24" t="n"/>
      <c r="Q731" s="22">
        <f>IF($D731="","",IF(AND(OR(DANH_MUC!$L$5&lt;&gt;"Có",M731="Có"),OR(DANH_MUC!$L$6&lt;&gt;"Có",N731="Có"),OR(DANH_MUC!$L$7&lt;&gt;"Có",O731="Có"),OR(DANH_MUC!$L$8&lt;&gt;"Có",P731="Có")),"Có","Không"))</f>
        <v/>
      </c>
      <c r="R731" s="22">
        <f>IF($D731="","",IF(COUNTIF($D$2:$D731,$D731)&gt;1,"Trùng",""))</f>
        <v/>
      </c>
      <c r="S731" s="22">
        <f>IF($D731="","",IF(AND(LEN($D731)=10,LEFT($D731,1)="0",ISNUMBER(--$D731)),"Có","Không"))</f>
        <v/>
      </c>
      <c r="T731" s="22">
        <f>IF($D731="","",IF(AND($C731&lt;&gt;"",$Q731="Có",$R731="",$S731="Có",AND($L731&lt;&gt;"",OR($L731&lt;&gt;"Chưa xác định",DANH_MUC!$L$9="Có"))),"Có","Không"))</f>
        <v/>
      </c>
      <c r="U731" s="22">
        <f>IF(OR($D731="",$T731="Có"),"",IF($C731="","Thiếu họ tên; ","")&amp;IF($S731&lt;&gt;"Có","SĐT sai định dạng; ","")&amp;IF($R731="Trùng","Trùng SĐT; ","")&amp;IF($Q731&lt;&gt;"Có","Thiếu đồng ý bắt buộc; ","")&amp;IF($L731="","Thiếu/sai Mã REF; ",IF(AND($L731="Chưa xác định",DANH_MUC!$L$9&lt;&gt;"Có"),"Nguồn chưa xác định; ","")))</f>
        <v/>
      </c>
      <c r="V731" s="22">
        <f>IF(OR($D731="",$R731="Trùng"),"",IF(COUNTIF(ORDERS!$C$2:$C$4995,$D731)&gt;0,"Có","Không"))</f>
        <v/>
      </c>
      <c r="W731" s="22">
        <f>IF(OR($D731="",$R731="Trùng"),"",COUNTIFS(ORDERS!$C$2:$C$4995,$D731,ORDERS!$L$2:$L$4995,"Đã chuyển khoản"))</f>
        <v/>
      </c>
      <c r="X731" s="23">
        <f>IF(OR($D731="",$R731="Trùng"),"",SUMIFS(ORDERS!$J$2:$J$4995,ORDERS!$C$2:$C$4995,$D731,ORDERS!$L$2:$L$4995,"Đã chuyển khoản"))</f>
        <v/>
      </c>
      <c r="Y731" s="24" t="n"/>
    </row>
    <row r="732" ht="14.25" customHeight="1" s="40">
      <c r="A732" s="24" t="n"/>
      <c r="B732" s="27" t="n"/>
      <c r="C732" s="24" t="n"/>
      <c r="D732" s="28" t="n"/>
      <c r="E732" s="29" t="n"/>
      <c r="F732" s="24" t="n"/>
      <c r="G732" s="24" t="n"/>
      <c r="H732" s="21">
        <f>IF(ISNUMBER($B732),INT($B732)-WEEKDAY($B732,2)+1,"")</f>
        <v/>
      </c>
      <c r="I732" s="24" t="n"/>
      <c r="J732" s="22">
        <f t="array" ref="J732">IF($D732="","",IF($I732="","(trống REF)",IFERROR(INDEX(MASTER_SOURCE!$B$2:$B$495,MATCH($I732,MASTER_SOURCE!$A$2:$A$495,0)),"(REF không có trong MASTER_SOURCE)")))</f>
        <v/>
      </c>
      <c r="K732" s="22">
        <f t="array" ref="K732">IF($D732="","",IFERROR(INDEX(MASTER_SOURCE!$C$2:$C$495,MATCH($I732,MASTER_SOURCE!$A$2:$A$495,0)),""))</f>
        <v/>
      </c>
      <c r="L732" s="22">
        <f t="array" ref="L732">IF($D732="","",IFERROR(INDEX(MASTER_SOURCE!$D$2:$D$495,MATCH($I732,MASTER_SOURCE!$A$2:$A$495,0)),""))</f>
        <v/>
      </c>
      <c r="M732" s="24" t="n"/>
      <c r="N732" s="24" t="n"/>
      <c r="O732" s="24" t="n"/>
      <c r="P732" s="24" t="n"/>
      <c r="Q732" s="22">
        <f>IF($D732="","",IF(AND(OR(DANH_MUC!$L$5&lt;&gt;"Có",M732="Có"),OR(DANH_MUC!$L$6&lt;&gt;"Có",N732="Có"),OR(DANH_MUC!$L$7&lt;&gt;"Có",O732="Có"),OR(DANH_MUC!$L$8&lt;&gt;"Có",P732="Có")),"Có","Không"))</f>
        <v/>
      </c>
      <c r="R732" s="22">
        <f>IF($D732="","",IF(COUNTIF($D$2:$D732,$D732)&gt;1,"Trùng",""))</f>
        <v/>
      </c>
      <c r="S732" s="22">
        <f>IF($D732="","",IF(AND(LEN($D732)=10,LEFT($D732,1)="0",ISNUMBER(--$D732)),"Có","Không"))</f>
        <v/>
      </c>
      <c r="T732" s="22">
        <f>IF($D732="","",IF(AND($C732&lt;&gt;"",$Q732="Có",$R732="",$S732="Có",AND($L732&lt;&gt;"",OR($L732&lt;&gt;"Chưa xác định",DANH_MUC!$L$9="Có"))),"Có","Không"))</f>
        <v/>
      </c>
      <c r="U732" s="22">
        <f>IF(OR($D732="",$T732="Có"),"",IF($C732="","Thiếu họ tên; ","")&amp;IF($S732&lt;&gt;"Có","SĐT sai định dạng; ","")&amp;IF($R732="Trùng","Trùng SĐT; ","")&amp;IF($Q732&lt;&gt;"Có","Thiếu đồng ý bắt buộc; ","")&amp;IF($L732="","Thiếu/sai Mã REF; ",IF(AND($L732="Chưa xác định",DANH_MUC!$L$9&lt;&gt;"Có"),"Nguồn chưa xác định; ","")))</f>
        <v/>
      </c>
      <c r="V732" s="22">
        <f>IF(OR($D732="",$R732="Trùng"),"",IF(COUNTIF(ORDERS!$C$2:$C$4995,$D732)&gt;0,"Có","Không"))</f>
        <v/>
      </c>
      <c r="W732" s="22">
        <f>IF(OR($D732="",$R732="Trùng"),"",COUNTIFS(ORDERS!$C$2:$C$4995,$D732,ORDERS!$L$2:$L$4995,"Đã chuyển khoản"))</f>
        <v/>
      </c>
      <c r="X732" s="23">
        <f>IF(OR($D732="",$R732="Trùng"),"",SUMIFS(ORDERS!$J$2:$J$4995,ORDERS!$C$2:$C$4995,$D732,ORDERS!$L$2:$L$4995,"Đã chuyển khoản"))</f>
        <v/>
      </c>
      <c r="Y732" s="24" t="n"/>
    </row>
    <row r="733" ht="14.25" customHeight="1" s="40">
      <c r="A733" s="24" t="n"/>
      <c r="B733" s="27" t="n"/>
      <c r="C733" s="24" t="n"/>
      <c r="D733" s="28" t="n"/>
      <c r="E733" s="29" t="n"/>
      <c r="F733" s="24" t="n"/>
      <c r="G733" s="24" t="n"/>
      <c r="H733" s="21">
        <f>IF(ISNUMBER($B733),INT($B733)-WEEKDAY($B733,2)+1,"")</f>
        <v/>
      </c>
      <c r="I733" s="24" t="n"/>
      <c r="J733" s="22">
        <f t="array" ref="J733">IF($D733="","",IF($I733="","(trống REF)",IFERROR(INDEX(MASTER_SOURCE!$B$2:$B$495,MATCH($I733,MASTER_SOURCE!$A$2:$A$495,0)),"(REF không có trong MASTER_SOURCE)")))</f>
        <v/>
      </c>
      <c r="K733" s="22">
        <f t="array" ref="K733">IF($D733="","",IFERROR(INDEX(MASTER_SOURCE!$C$2:$C$495,MATCH($I733,MASTER_SOURCE!$A$2:$A$495,0)),""))</f>
        <v/>
      </c>
      <c r="L733" s="22">
        <f t="array" ref="L733">IF($D733="","",IFERROR(INDEX(MASTER_SOURCE!$D$2:$D$495,MATCH($I733,MASTER_SOURCE!$A$2:$A$495,0)),""))</f>
        <v/>
      </c>
      <c r="M733" s="24" t="n"/>
      <c r="N733" s="24" t="n"/>
      <c r="O733" s="24" t="n"/>
      <c r="P733" s="24" t="n"/>
      <c r="Q733" s="22">
        <f>IF($D733="","",IF(AND(OR(DANH_MUC!$L$5&lt;&gt;"Có",M733="Có"),OR(DANH_MUC!$L$6&lt;&gt;"Có",N733="Có"),OR(DANH_MUC!$L$7&lt;&gt;"Có",O733="Có"),OR(DANH_MUC!$L$8&lt;&gt;"Có",P733="Có")),"Có","Không"))</f>
        <v/>
      </c>
      <c r="R733" s="22">
        <f>IF($D733="","",IF(COUNTIF($D$2:$D733,$D733)&gt;1,"Trùng",""))</f>
        <v/>
      </c>
      <c r="S733" s="22">
        <f>IF($D733="","",IF(AND(LEN($D733)=10,LEFT($D733,1)="0",ISNUMBER(--$D733)),"Có","Không"))</f>
        <v/>
      </c>
      <c r="T733" s="22">
        <f>IF($D733="","",IF(AND($C733&lt;&gt;"",$Q733="Có",$R733="",$S733="Có",AND($L733&lt;&gt;"",OR($L733&lt;&gt;"Chưa xác định",DANH_MUC!$L$9="Có"))),"Có","Không"))</f>
        <v/>
      </c>
      <c r="U733" s="22">
        <f>IF(OR($D733="",$T733="Có"),"",IF($C733="","Thiếu họ tên; ","")&amp;IF($S733&lt;&gt;"Có","SĐT sai định dạng; ","")&amp;IF($R733="Trùng","Trùng SĐT; ","")&amp;IF($Q733&lt;&gt;"Có","Thiếu đồng ý bắt buộc; ","")&amp;IF($L733="","Thiếu/sai Mã REF; ",IF(AND($L733="Chưa xác định",DANH_MUC!$L$9&lt;&gt;"Có"),"Nguồn chưa xác định; ","")))</f>
        <v/>
      </c>
      <c r="V733" s="22">
        <f>IF(OR($D733="",$R733="Trùng"),"",IF(COUNTIF(ORDERS!$C$2:$C$4995,$D733)&gt;0,"Có","Không"))</f>
        <v/>
      </c>
      <c r="W733" s="22">
        <f>IF(OR($D733="",$R733="Trùng"),"",COUNTIFS(ORDERS!$C$2:$C$4995,$D733,ORDERS!$L$2:$L$4995,"Đã chuyển khoản"))</f>
        <v/>
      </c>
      <c r="X733" s="23">
        <f>IF(OR($D733="",$R733="Trùng"),"",SUMIFS(ORDERS!$J$2:$J$4995,ORDERS!$C$2:$C$4995,$D733,ORDERS!$L$2:$L$4995,"Đã chuyển khoản"))</f>
        <v/>
      </c>
      <c r="Y733" s="24" t="n"/>
    </row>
    <row r="734" ht="14.25" customHeight="1" s="40">
      <c r="A734" s="24" t="n"/>
      <c r="B734" s="27" t="n"/>
      <c r="C734" s="24" t="n"/>
      <c r="D734" s="28" t="n"/>
      <c r="E734" s="29" t="n"/>
      <c r="F734" s="24" t="n"/>
      <c r="G734" s="24" t="n"/>
      <c r="H734" s="21">
        <f>IF(ISNUMBER($B734),INT($B734)-WEEKDAY($B734,2)+1,"")</f>
        <v/>
      </c>
      <c r="I734" s="24" t="n"/>
      <c r="J734" s="22">
        <f t="array" ref="J734">IF($D734="","",IF($I734="","(trống REF)",IFERROR(INDEX(MASTER_SOURCE!$B$2:$B$495,MATCH($I734,MASTER_SOURCE!$A$2:$A$495,0)),"(REF không có trong MASTER_SOURCE)")))</f>
        <v/>
      </c>
      <c r="K734" s="22">
        <f t="array" ref="K734">IF($D734="","",IFERROR(INDEX(MASTER_SOURCE!$C$2:$C$495,MATCH($I734,MASTER_SOURCE!$A$2:$A$495,0)),""))</f>
        <v/>
      </c>
      <c r="L734" s="22">
        <f t="array" ref="L734">IF($D734="","",IFERROR(INDEX(MASTER_SOURCE!$D$2:$D$495,MATCH($I734,MASTER_SOURCE!$A$2:$A$495,0)),""))</f>
        <v/>
      </c>
      <c r="M734" s="24" t="n"/>
      <c r="N734" s="24" t="n"/>
      <c r="O734" s="24" t="n"/>
      <c r="P734" s="24" t="n"/>
      <c r="Q734" s="22">
        <f>IF($D734="","",IF(AND(OR(DANH_MUC!$L$5&lt;&gt;"Có",M734="Có"),OR(DANH_MUC!$L$6&lt;&gt;"Có",N734="Có"),OR(DANH_MUC!$L$7&lt;&gt;"Có",O734="Có"),OR(DANH_MUC!$L$8&lt;&gt;"Có",P734="Có")),"Có","Không"))</f>
        <v/>
      </c>
      <c r="R734" s="22">
        <f>IF($D734="","",IF(COUNTIF($D$2:$D734,$D734)&gt;1,"Trùng",""))</f>
        <v/>
      </c>
      <c r="S734" s="22">
        <f>IF($D734="","",IF(AND(LEN($D734)=10,LEFT($D734,1)="0",ISNUMBER(--$D734)),"Có","Không"))</f>
        <v/>
      </c>
      <c r="T734" s="22">
        <f>IF($D734="","",IF(AND($C734&lt;&gt;"",$Q734="Có",$R734="",$S734="Có",AND($L734&lt;&gt;"",OR($L734&lt;&gt;"Chưa xác định",DANH_MUC!$L$9="Có"))),"Có","Không"))</f>
        <v/>
      </c>
      <c r="U734" s="22">
        <f>IF(OR($D734="",$T734="Có"),"",IF($C734="","Thiếu họ tên; ","")&amp;IF($S734&lt;&gt;"Có","SĐT sai định dạng; ","")&amp;IF($R734="Trùng","Trùng SĐT; ","")&amp;IF($Q734&lt;&gt;"Có","Thiếu đồng ý bắt buộc; ","")&amp;IF($L734="","Thiếu/sai Mã REF; ",IF(AND($L734="Chưa xác định",DANH_MUC!$L$9&lt;&gt;"Có"),"Nguồn chưa xác định; ","")))</f>
        <v/>
      </c>
      <c r="V734" s="22">
        <f>IF(OR($D734="",$R734="Trùng"),"",IF(COUNTIF(ORDERS!$C$2:$C$4995,$D734)&gt;0,"Có","Không"))</f>
        <v/>
      </c>
      <c r="W734" s="22">
        <f>IF(OR($D734="",$R734="Trùng"),"",COUNTIFS(ORDERS!$C$2:$C$4995,$D734,ORDERS!$L$2:$L$4995,"Đã chuyển khoản"))</f>
        <v/>
      </c>
      <c r="X734" s="23">
        <f>IF(OR($D734="",$R734="Trùng"),"",SUMIFS(ORDERS!$J$2:$J$4995,ORDERS!$C$2:$C$4995,$D734,ORDERS!$L$2:$L$4995,"Đã chuyển khoản"))</f>
        <v/>
      </c>
      <c r="Y734" s="24" t="n"/>
    </row>
    <row r="735" ht="14.25" customHeight="1" s="40">
      <c r="A735" s="24" t="n"/>
      <c r="B735" s="27" t="n"/>
      <c r="C735" s="24" t="n"/>
      <c r="D735" s="28" t="n"/>
      <c r="E735" s="29" t="n"/>
      <c r="F735" s="24" t="n"/>
      <c r="G735" s="24" t="n"/>
      <c r="H735" s="21">
        <f>IF(ISNUMBER($B735),INT($B735)-WEEKDAY($B735,2)+1,"")</f>
        <v/>
      </c>
      <c r="I735" s="24" t="n"/>
      <c r="J735" s="22">
        <f t="array" ref="J735">IF($D735="","",IF($I735="","(trống REF)",IFERROR(INDEX(MASTER_SOURCE!$B$2:$B$495,MATCH($I735,MASTER_SOURCE!$A$2:$A$495,0)),"(REF không có trong MASTER_SOURCE)")))</f>
        <v/>
      </c>
      <c r="K735" s="22">
        <f t="array" ref="K735">IF($D735="","",IFERROR(INDEX(MASTER_SOURCE!$C$2:$C$495,MATCH($I735,MASTER_SOURCE!$A$2:$A$495,0)),""))</f>
        <v/>
      </c>
      <c r="L735" s="22">
        <f t="array" ref="L735">IF($D735="","",IFERROR(INDEX(MASTER_SOURCE!$D$2:$D$495,MATCH($I735,MASTER_SOURCE!$A$2:$A$495,0)),""))</f>
        <v/>
      </c>
      <c r="M735" s="24" t="n"/>
      <c r="N735" s="24" t="n"/>
      <c r="O735" s="24" t="n"/>
      <c r="P735" s="24" t="n"/>
      <c r="Q735" s="22">
        <f>IF($D735="","",IF(AND(OR(DANH_MUC!$L$5&lt;&gt;"Có",M735="Có"),OR(DANH_MUC!$L$6&lt;&gt;"Có",N735="Có"),OR(DANH_MUC!$L$7&lt;&gt;"Có",O735="Có"),OR(DANH_MUC!$L$8&lt;&gt;"Có",P735="Có")),"Có","Không"))</f>
        <v/>
      </c>
      <c r="R735" s="22">
        <f>IF($D735="","",IF(COUNTIF($D$2:$D735,$D735)&gt;1,"Trùng",""))</f>
        <v/>
      </c>
      <c r="S735" s="22">
        <f>IF($D735="","",IF(AND(LEN($D735)=10,LEFT($D735,1)="0",ISNUMBER(--$D735)),"Có","Không"))</f>
        <v/>
      </c>
      <c r="T735" s="22">
        <f>IF($D735="","",IF(AND($C735&lt;&gt;"",$Q735="Có",$R735="",$S735="Có",AND($L735&lt;&gt;"",OR($L735&lt;&gt;"Chưa xác định",DANH_MUC!$L$9="Có"))),"Có","Không"))</f>
        <v/>
      </c>
      <c r="U735" s="22">
        <f>IF(OR($D735="",$T735="Có"),"",IF($C735="","Thiếu họ tên; ","")&amp;IF($S735&lt;&gt;"Có","SĐT sai định dạng; ","")&amp;IF($R735="Trùng","Trùng SĐT; ","")&amp;IF($Q735&lt;&gt;"Có","Thiếu đồng ý bắt buộc; ","")&amp;IF($L735="","Thiếu/sai Mã REF; ",IF(AND($L735="Chưa xác định",DANH_MUC!$L$9&lt;&gt;"Có"),"Nguồn chưa xác định; ","")))</f>
        <v/>
      </c>
      <c r="V735" s="22">
        <f>IF(OR($D735="",$R735="Trùng"),"",IF(COUNTIF(ORDERS!$C$2:$C$4995,$D735)&gt;0,"Có","Không"))</f>
        <v/>
      </c>
      <c r="W735" s="22">
        <f>IF(OR($D735="",$R735="Trùng"),"",COUNTIFS(ORDERS!$C$2:$C$4995,$D735,ORDERS!$L$2:$L$4995,"Đã chuyển khoản"))</f>
        <v/>
      </c>
      <c r="X735" s="23">
        <f>IF(OR($D735="",$R735="Trùng"),"",SUMIFS(ORDERS!$J$2:$J$4995,ORDERS!$C$2:$C$4995,$D735,ORDERS!$L$2:$L$4995,"Đã chuyển khoản"))</f>
        <v/>
      </c>
      <c r="Y735" s="24" t="n"/>
    </row>
    <row r="736" ht="14.25" customHeight="1" s="40">
      <c r="A736" s="24" t="n"/>
      <c r="B736" s="27" t="n"/>
      <c r="C736" s="24" t="n"/>
      <c r="D736" s="28" t="n"/>
      <c r="E736" s="29" t="n"/>
      <c r="F736" s="24" t="n"/>
      <c r="G736" s="24" t="n"/>
      <c r="H736" s="21">
        <f>IF(ISNUMBER($B736),INT($B736)-WEEKDAY($B736,2)+1,"")</f>
        <v/>
      </c>
      <c r="I736" s="24" t="n"/>
      <c r="J736" s="22">
        <f t="array" ref="J736">IF($D736="","",IF($I736="","(trống REF)",IFERROR(INDEX(MASTER_SOURCE!$B$2:$B$495,MATCH($I736,MASTER_SOURCE!$A$2:$A$495,0)),"(REF không có trong MASTER_SOURCE)")))</f>
        <v/>
      </c>
      <c r="K736" s="22">
        <f t="array" ref="K736">IF($D736="","",IFERROR(INDEX(MASTER_SOURCE!$C$2:$C$495,MATCH($I736,MASTER_SOURCE!$A$2:$A$495,0)),""))</f>
        <v/>
      </c>
      <c r="L736" s="22">
        <f t="array" ref="L736">IF($D736="","",IFERROR(INDEX(MASTER_SOURCE!$D$2:$D$495,MATCH($I736,MASTER_SOURCE!$A$2:$A$495,0)),""))</f>
        <v/>
      </c>
      <c r="M736" s="24" t="n"/>
      <c r="N736" s="24" t="n"/>
      <c r="O736" s="24" t="n"/>
      <c r="P736" s="24" t="n"/>
      <c r="Q736" s="22">
        <f>IF($D736="","",IF(AND(OR(DANH_MUC!$L$5&lt;&gt;"Có",M736="Có"),OR(DANH_MUC!$L$6&lt;&gt;"Có",N736="Có"),OR(DANH_MUC!$L$7&lt;&gt;"Có",O736="Có"),OR(DANH_MUC!$L$8&lt;&gt;"Có",P736="Có")),"Có","Không"))</f>
        <v/>
      </c>
      <c r="R736" s="22">
        <f>IF($D736="","",IF(COUNTIF($D$2:$D736,$D736)&gt;1,"Trùng",""))</f>
        <v/>
      </c>
      <c r="S736" s="22">
        <f>IF($D736="","",IF(AND(LEN($D736)=10,LEFT($D736,1)="0",ISNUMBER(--$D736)),"Có","Không"))</f>
        <v/>
      </c>
      <c r="T736" s="22">
        <f>IF($D736="","",IF(AND($C736&lt;&gt;"",$Q736="Có",$R736="",$S736="Có",AND($L736&lt;&gt;"",OR($L736&lt;&gt;"Chưa xác định",DANH_MUC!$L$9="Có"))),"Có","Không"))</f>
        <v/>
      </c>
      <c r="U736" s="22">
        <f>IF(OR($D736="",$T736="Có"),"",IF($C736="","Thiếu họ tên; ","")&amp;IF($S736&lt;&gt;"Có","SĐT sai định dạng; ","")&amp;IF($R736="Trùng","Trùng SĐT; ","")&amp;IF($Q736&lt;&gt;"Có","Thiếu đồng ý bắt buộc; ","")&amp;IF($L736="","Thiếu/sai Mã REF; ",IF(AND($L736="Chưa xác định",DANH_MUC!$L$9&lt;&gt;"Có"),"Nguồn chưa xác định; ","")))</f>
        <v/>
      </c>
      <c r="V736" s="22">
        <f>IF(OR($D736="",$R736="Trùng"),"",IF(COUNTIF(ORDERS!$C$2:$C$4995,$D736)&gt;0,"Có","Không"))</f>
        <v/>
      </c>
      <c r="W736" s="22">
        <f>IF(OR($D736="",$R736="Trùng"),"",COUNTIFS(ORDERS!$C$2:$C$4995,$D736,ORDERS!$L$2:$L$4995,"Đã chuyển khoản"))</f>
        <v/>
      </c>
      <c r="X736" s="23">
        <f>IF(OR($D736="",$R736="Trùng"),"",SUMIFS(ORDERS!$J$2:$J$4995,ORDERS!$C$2:$C$4995,$D736,ORDERS!$L$2:$L$4995,"Đã chuyển khoản"))</f>
        <v/>
      </c>
      <c r="Y736" s="24" t="n"/>
    </row>
    <row r="737" ht="14.25" customHeight="1" s="40">
      <c r="A737" s="24" t="n"/>
      <c r="B737" s="27" t="n"/>
      <c r="C737" s="24" t="n"/>
      <c r="D737" s="28" t="n"/>
      <c r="E737" s="29" t="n"/>
      <c r="F737" s="24" t="n"/>
      <c r="G737" s="24" t="n"/>
      <c r="H737" s="21">
        <f>IF(ISNUMBER($B737),INT($B737)-WEEKDAY($B737,2)+1,"")</f>
        <v/>
      </c>
      <c r="I737" s="24" t="n"/>
      <c r="J737" s="22">
        <f t="array" ref="J737">IF($D737="","",IF($I737="","(trống REF)",IFERROR(INDEX(MASTER_SOURCE!$B$2:$B$495,MATCH($I737,MASTER_SOURCE!$A$2:$A$495,0)),"(REF không có trong MASTER_SOURCE)")))</f>
        <v/>
      </c>
      <c r="K737" s="22">
        <f t="array" ref="K737">IF($D737="","",IFERROR(INDEX(MASTER_SOURCE!$C$2:$C$495,MATCH($I737,MASTER_SOURCE!$A$2:$A$495,0)),""))</f>
        <v/>
      </c>
      <c r="L737" s="22">
        <f t="array" ref="L737">IF($D737="","",IFERROR(INDEX(MASTER_SOURCE!$D$2:$D$495,MATCH($I737,MASTER_SOURCE!$A$2:$A$495,0)),""))</f>
        <v/>
      </c>
      <c r="M737" s="24" t="n"/>
      <c r="N737" s="24" t="n"/>
      <c r="O737" s="24" t="n"/>
      <c r="P737" s="24" t="n"/>
      <c r="Q737" s="22">
        <f>IF($D737="","",IF(AND(OR(DANH_MUC!$L$5&lt;&gt;"Có",M737="Có"),OR(DANH_MUC!$L$6&lt;&gt;"Có",N737="Có"),OR(DANH_MUC!$L$7&lt;&gt;"Có",O737="Có"),OR(DANH_MUC!$L$8&lt;&gt;"Có",P737="Có")),"Có","Không"))</f>
        <v/>
      </c>
      <c r="R737" s="22">
        <f>IF($D737="","",IF(COUNTIF($D$2:$D737,$D737)&gt;1,"Trùng",""))</f>
        <v/>
      </c>
      <c r="S737" s="22">
        <f>IF($D737="","",IF(AND(LEN($D737)=10,LEFT($D737,1)="0",ISNUMBER(--$D737)),"Có","Không"))</f>
        <v/>
      </c>
      <c r="T737" s="22">
        <f>IF($D737="","",IF(AND($C737&lt;&gt;"",$Q737="Có",$R737="",$S737="Có",AND($L737&lt;&gt;"",OR($L737&lt;&gt;"Chưa xác định",DANH_MUC!$L$9="Có"))),"Có","Không"))</f>
        <v/>
      </c>
      <c r="U737" s="22">
        <f>IF(OR($D737="",$T737="Có"),"",IF($C737="","Thiếu họ tên; ","")&amp;IF($S737&lt;&gt;"Có","SĐT sai định dạng; ","")&amp;IF($R737="Trùng","Trùng SĐT; ","")&amp;IF($Q737&lt;&gt;"Có","Thiếu đồng ý bắt buộc; ","")&amp;IF($L737="","Thiếu/sai Mã REF; ",IF(AND($L737="Chưa xác định",DANH_MUC!$L$9&lt;&gt;"Có"),"Nguồn chưa xác định; ","")))</f>
        <v/>
      </c>
      <c r="V737" s="22">
        <f>IF(OR($D737="",$R737="Trùng"),"",IF(COUNTIF(ORDERS!$C$2:$C$4995,$D737)&gt;0,"Có","Không"))</f>
        <v/>
      </c>
      <c r="W737" s="22">
        <f>IF(OR($D737="",$R737="Trùng"),"",COUNTIFS(ORDERS!$C$2:$C$4995,$D737,ORDERS!$L$2:$L$4995,"Đã chuyển khoản"))</f>
        <v/>
      </c>
      <c r="X737" s="23">
        <f>IF(OR($D737="",$R737="Trùng"),"",SUMIFS(ORDERS!$J$2:$J$4995,ORDERS!$C$2:$C$4995,$D737,ORDERS!$L$2:$L$4995,"Đã chuyển khoản"))</f>
        <v/>
      </c>
      <c r="Y737" s="24" t="n"/>
    </row>
    <row r="738" ht="14.25" customHeight="1" s="40">
      <c r="A738" s="24" t="n"/>
      <c r="B738" s="27" t="n"/>
      <c r="C738" s="24" t="n"/>
      <c r="D738" s="28" t="n"/>
      <c r="E738" s="29" t="n"/>
      <c r="F738" s="24" t="n"/>
      <c r="G738" s="24" t="n"/>
      <c r="H738" s="21">
        <f>IF(ISNUMBER($B738),INT($B738)-WEEKDAY($B738,2)+1,"")</f>
        <v/>
      </c>
      <c r="I738" s="24" t="n"/>
      <c r="J738" s="22">
        <f t="array" ref="J738">IF($D738="","",IF($I738="","(trống REF)",IFERROR(INDEX(MASTER_SOURCE!$B$2:$B$495,MATCH($I738,MASTER_SOURCE!$A$2:$A$495,0)),"(REF không có trong MASTER_SOURCE)")))</f>
        <v/>
      </c>
      <c r="K738" s="22">
        <f t="array" ref="K738">IF($D738="","",IFERROR(INDEX(MASTER_SOURCE!$C$2:$C$495,MATCH($I738,MASTER_SOURCE!$A$2:$A$495,0)),""))</f>
        <v/>
      </c>
      <c r="L738" s="22">
        <f t="array" ref="L738">IF($D738="","",IFERROR(INDEX(MASTER_SOURCE!$D$2:$D$495,MATCH($I738,MASTER_SOURCE!$A$2:$A$495,0)),""))</f>
        <v/>
      </c>
      <c r="M738" s="24" t="n"/>
      <c r="N738" s="24" t="n"/>
      <c r="O738" s="24" t="n"/>
      <c r="P738" s="24" t="n"/>
      <c r="Q738" s="22">
        <f>IF($D738="","",IF(AND(OR(DANH_MUC!$L$5&lt;&gt;"Có",M738="Có"),OR(DANH_MUC!$L$6&lt;&gt;"Có",N738="Có"),OR(DANH_MUC!$L$7&lt;&gt;"Có",O738="Có"),OR(DANH_MUC!$L$8&lt;&gt;"Có",P738="Có")),"Có","Không"))</f>
        <v/>
      </c>
      <c r="R738" s="22">
        <f>IF($D738="","",IF(COUNTIF($D$2:$D738,$D738)&gt;1,"Trùng",""))</f>
        <v/>
      </c>
      <c r="S738" s="22">
        <f>IF($D738="","",IF(AND(LEN($D738)=10,LEFT($D738,1)="0",ISNUMBER(--$D738)),"Có","Không"))</f>
        <v/>
      </c>
      <c r="T738" s="22">
        <f>IF($D738="","",IF(AND($C738&lt;&gt;"",$Q738="Có",$R738="",$S738="Có",AND($L738&lt;&gt;"",OR($L738&lt;&gt;"Chưa xác định",DANH_MUC!$L$9="Có"))),"Có","Không"))</f>
        <v/>
      </c>
      <c r="U738" s="22">
        <f>IF(OR($D738="",$T738="Có"),"",IF($C738="","Thiếu họ tên; ","")&amp;IF($S738&lt;&gt;"Có","SĐT sai định dạng; ","")&amp;IF($R738="Trùng","Trùng SĐT; ","")&amp;IF($Q738&lt;&gt;"Có","Thiếu đồng ý bắt buộc; ","")&amp;IF($L738="","Thiếu/sai Mã REF; ",IF(AND($L738="Chưa xác định",DANH_MUC!$L$9&lt;&gt;"Có"),"Nguồn chưa xác định; ","")))</f>
        <v/>
      </c>
      <c r="V738" s="22">
        <f>IF(OR($D738="",$R738="Trùng"),"",IF(COUNTIF(ORDERS!$C$2:$C$4995,$D738)&gt;0,"Có","Không"))</f>
        <v/>
      </c>
      <c r="W738" s="22">
        <f>IF(OR($D738="",$R738="Trùng"),"",COUNTIFS(ORDERS!$C$2:$C$4995,$D738,ORDERS!$L$2:$L$4995,"Đã chuyển khoản"))</f>
        <v/>
      </c>
      <c r="X738" s="23">
        <f>IF(OR($D738="",$R738="Trùng"),"",SUMIFS(ORDERS!$J$2:$J$4995,ORDERS!$C$2:$C$4995,$D738,ORDERS!$L$2:$L$4995,"Đã chuyển khoản"))</f>
        <v/>
      </c>
      <c r="Y738" s="24" t="n"/>
    </row>
    <row r="739" ht="14.25" customHeight="1" s="40">
      <c r="A739" s="24" t="n"/>
      <c r="B739" s="27" t="n"/>
      <c r="C739" s="24" t="n"/>
      <c r="D739" s="28" t="n"/>
      <c r="E739" s="29" t="n"/>
      <c r="F739" s="24" t="n"/>
      <c r="G739" s="24" t="n"/>
      <c r="H739" s="21">
        <f>IF(ISNUMBER($B739),INT($B739)-WEEKDAY($B739,2)+1,"")</f>
        <v/>
      </c>
      <c r="I739" s="24" t="n"/>
      <c r="J739" s="22">
        <f t="array" ref="J739">IF($D739="","",IF($I739="","(trống REF)",IFERROR(INDEX(MASTER_SOURCE!$B$2:$B$495,MATCH($I739,MASTER_SOURCE!$A$2:$A$495,0)),"(REF không có trong MASTER_SOURCE)")))</f>
        <v/>
      </c>
      <c r="K739" s="22">
        <f t="array" ref="K739">IF($D739="","",IFERROR(INDEX(MASTER_SOURCE!$C$2:$C$495,MATCH($I739,MASTER_SOURCE!$A$2:$A$495,0)),""))</f>
        <v/>
      </c>
      <c r="L739" s="22">
        <f t="array" ref="L739">IF($D739="","",IFERROR(INDEX(MASTER_SOURCE!$D$2:$D$495,MATCH($I739,MASTER_SOURCE!$A$2:$A$495,0)),""))</f>
        <v/>
      </c>
      <c r="M739" s="24" t="n"/>
      <c r="N739" s="24" t="n"/>
      <c r="O739" s="24" t="n"/>
      <c r="P739" s="24" t="n"/>
      <c r="Q739" s="22">
        <f>IF($D739="","",IF(AND(OR(DANH_MUC!$L$5&lt;&gt;"Có",M739="Có"),OR(DANH_MUC!$L$6&lt;&gt;"Có",N739="Có"),OR(DANH_MUC!$L$7&lt;&gt;"Có",O739="Có"),OR(DANH_MUC!$L$8&lt;&gt;"Có",P739="Có")),"Có","Không"))</f>
        <v/>
      </c>
      <c r="R739" s="22">
        <f>IF($D739="","",IF(COUNTIF($D$2:$D739,$D739)&gt;1,"Trùng",""))</f>
        <v/>
      </c>
      <c r="S739" s="22">
        <f>IF($D739="","",IF(AND(LEN($D739)=10,LEFT($D739,1)="0",ISNUMBER(--$D739)),"Có","Không"))</f>
        <v/>
      </c>
      <c r="T739" s="22">
        <f>IF($D739="","",IF(AND($C739&lt;&gt;"",$Q739="Có",$R739="",$S739="Có",AND($L739&lt;&gt;"",OR($L739&lt;&gt;"Chưa xác định",DANH_MUC!$L$9="Có"))),"Có","Không"))</f>
        <v/>
      </c>
      <c r="U739" s="22">
        <f>IF(OR($D739="",$T739="Có"),"",IF($C739="","Thiếu họ tên; ","")&amp;IF($S739&lt;&gt;"Có","SĐT sai định dạng; ","")&amp;IF($R739="Trùng","Trùng SĐT; ","")&amp;IF($Q739&lt;&gt;"Có","Thiếu đồng ý bắt buộc; ","")&amp;IF($L739="","Thiếu/sai Mã REF; ",IF(AND($L739="Chưa xác định",DANH_MUC!$L$9&lt;&gt;"Có"),"Nguồn chưa xác định; ","")))</f>
        <v/>
      </c>
      <c r="V739" s="22">
        <f>IF(OR($D739="",$R739="Trùng"),"",IF(COUNTIF(ORDERS!$C$2:$C$4995,$D739)&gt;0,"Có","Không"))</f>
        <v/>
      </c>
      <c r="W739" s="22">
        <f>IF(OR($D739="",$R739="Trùng"),"",COUNTIFS(ORDERS!$C$2:$C$4995,$D739,ORDERS!$L$2:$L$4995,"Đã chuyển khoản"))</f>
        <v/>
      </c>
      <c r="X739" s="23">
        <f>IF(OR($D739="",$R739="Trùng"),"",SUMIFS(ORDERS!$J$2:$J$4995,ORDERS!$C$2:$C$4995,$D739,ORDERS!$L$2:$L$4995,"Đã chuyển khoản"))</f>
        <v/>
      </c>
      <c r="Y739" s="24" t="n"/>
    </row>
    <row r="740" ht="14.25" customHeight="1" s="40">
      <c r="A740" s="24" t="n"/>
      <c r="B740" s="27" t="n"/>
      <c r="C740" s="24" t="n"/>
      <c r="D740" s="28" t="n"/>
      <c r="E740" s="29" t="n"/>
      <c r="F740" s="24" t="n"/>
      <c r="G740" s="24" t="n"/>
      <c r="H740" s="21">
        <f>IF(ISNUMBER($B740),INT($B740)-WEEKDAY($B740,2)+1,"")</f>
        <v/>
      </c>
      <c r="I740" s="24" t="n"/>
      <c r="J740" s="22">
        <f t="array" ref="J740">IF($D740="","",IF($I740="","(trống REF)",IFERROR(INDEX(MASTER_SOURCE!$B$2:$B$495,MATCH($I740,MASTER_SOURCE!$A$2:$A$495,0)),"(REF không có trong MASTER_SOURCE)")))</f>
        <v/>
      </c>
      <c r="K740" s="22">
        <f t="array" ref="K740">IF($D740="","",IFERROR(INDEX(MASTER_SOURCE!$C$2:$C$495,MATCH($I740,MASTER_SOURCE!$A$2:$A$495,0)),""))</f>
        <v/>
      </c>
      <c r="L740" s="22">
        <f t="array" ref="L740">IF($D740="","",IFERROR(INDEX(MASTER_SOURCE!$D$2:$D$495,MATCH($I740,MASTER_SOURCE!$A$2:$A$495,0)),""))</f>
        <v/>
      </c>
      <c r="M740" s="24" t="n"/>
      <c r="N740" s="24" t="n"/>
      <c r="O740" s="24" t="n"/>
      <c r="P740" s="24" t="n"/>
      <c r="Q740" s="22">
        <f>IF($D740="","",IF(AND(OR(DANH_MUC!$L$5&lt;&gt;"Có",M740="Có"),OR(DANH_MUC!$L$6&lt;&gt;"Có",N740="Có"),OR(DANH_MUC!$L$7&lt;&gt;"Có",O740="Có"),OR(DANH_MUC!$L$8&lt;&gt;"Có",P740="Có")),"Có","Không"))</f>
        <v/>
      </c>
      <c r="R740" s="22">
        <f>IF($D740="","",IF(COUNTIF($D$2:$D740,$D740)&gt;1,"Trùng",""))</f>
        <v/>
      </c>
      <c r="S740" s="22">
        <f>IF($D740="","",IF(AND(LEN($D740)=10,LEFT($D740,1)="0",ISNUMBER(--$D740)),"Có","Không"))</f>
        <v/>
      </c>
      <c r="T740" s="22">
        <f>IF($D740="","",IF(AND($C740&lt;&gt;"",$Q740="Có",$R740="",$S740="Có",AND($L740&lt;&gt;"",OR($L740&lt;&gt;"Chưa xác định",DANH_MUC!$L$9="Có"))),"Có","Không"))</f>
        <v/>
      </c>
      <c r="U740" s="22">
        <f>IF(OR($D740="",$T740="Có"),"",IF($C740="","Thiếu họ tên; ","")&amp;IF($S740&lt;&gt;"Có","SĐT sai định dạng; ","")&amp;IF($R740="Trùng","Trùng SĐT; ","")&amp;IF($Q740&lt;&gt;"Có","Thiếu đồng ý bắt buộc; ","")&amp;IF($L740="","Thiếu/sai Mã REF; ",IF(AND($L740="Chưa xác định",DANH_MUC!$L$9&lt;&gt;"Có"),"Nguồn chưa xác định; ","")))</f>
        <v/>
      </c>
      <c r="V740" s="22">
        <f>IF(OR($D740="",$R740="Trùng"),"",IF(COUNTIF(ORDERS!$C$2:$C$4995,$D740)&gt;0,"Có","Không"))</f>
        <v/>
      </c>
      <c r="W740" s="22">
        <f>IF(OR($D740="",$R740="Trùng"),"",COUNTIFS(ORDERS!$C$2:$C$4995,$D740,ORDERS!$L$2:$L$4995,"Đã chuyển khoản"))</f>
        <v/>
      </c>
      <c r="X740" s="23">
        <f>IF(OR($D740="",$R740="Trùng"),"",SUMIFS(ORDERS!$J$2:$J$4995,ORDERS!$C$2:$C$4995,$D740,ORDERS!$L$2:$L$4995,"Đã chuyển khoản"))</f>
        <v/>
      </c>
      <c r="Y740" s="24" t="n"/>
    </row>
    <row r="741" ht="14.25" customHeight="1" s="40">
      <c r="A741" s="24" t="n"/>
      <c r="B741" s="27" t="n"/>
      <c r="C741" s="24" t="n"/>
      <c r="D741" s="28" t="n"/>
      <c r="E741" s="29" t="n"/>
      <c r="F741" s="24" t="n"/>
      <c r="G741" s="24" t="n"/>
      <c r="H741" s="21">
        <f>IF(ISNUMBER($B741),INT($B741)-WEEKDAY($B741,2)+1,"")</f>
        <v/>
      </c>
      <c r="I741" s="24" t="n"/>
      <c r="J741" s="22">
        <f t="array" ref="J741">IF($D741="","",IF($I741="","(trống REF)",IFERROR(INDEX(MASTER_SOURCE!$B$2:$B$495,MATCH($I741,MASTER_SOURCE!$A$2:$A$495,0)),"(REF không có trong MASTER_SOURCE)")))</f>
        <v/>
      </c>
      <c r="K741" s="22">
        <f t="array" ref="K741">IF($D741="","",IFERROR(INDEX(MASTER_SOURCE!$C$2:$C$495,MATCH($I741,MASTER_SOURCE!$A$2:$A$495,0)),""))</f>
        <v/>
      </c>
      <c r="L741" s="22">
        <f t="array" ref="L741">IF($D741="","",IFERROR(INDEX(MASTER_SOURCE!$D$2:$D$495,MATCH($I741,MASTER_SOURCE!$A$2:$A$495,0)),""))</f>
        <v/>
      </c>
      <c r="M741" s="24" t="n"/>
      <c r="N741" s="24" t="n"/>
      <c r="O741" s="24" t="n"/>
      <c r="P741" s="24" t="n"/>
      <c r="Q741" s="22">
        <f>IF($D741="","",IF(AND(OR(DANH_MUC!$L$5&lt;&gt;"Có",M741="Có"),OR(DANH_MUC!$L$6&lt;&gt;"Có",N741="Có"),OR(DANH_MUC!$L$7&lt;&gt;"Có",O741="Có"),OR(DANH_MUC!$L$8&lt;&gt;"Có",P741="Có")),"Có","Không"))</f>
        <v/>
      </c>
      <c r="R741" s="22">
        <f>IF($D741="","",IF(COUNTIF($D$2:$D741,$D741)&gt;1,"Trùng",""))</f>
        <v/>
      </c>
      <c r="S741" s="22">
        <f>IF($D741="","",IF(AND(LEN($D741)=10,LEFT($D741,1)="0",ISNUMBER(--$D741)),"Có","Không"))</f>
        <v/>
      </c>
      <c r="T741" s="22">
        <f>IF($D741="","",IF(AND($C741&lt;&gt;"",$Q741="Có",$R741="",$S741="Có",AND($L741&lt;&gt;"",OR($L741&lt;&gt;"Chưa xác định",DANH_MUC!$L$9="Có"))),"Có","Không"))</f>
        <v/>
      </c>
      <c r="U741" s="22">
        <f>IF(OR($D741="",$T741="Có"),"",IF($C741="","Thiếu họ tên; ","")&amp;IF($S741&lt;&gt;"Có","SĐT sai định dạng; ","")&amp;IF($R741="Trùng","Trùng SĐT; ","")&amp;IF($Q741&lt;&gt;"Có","Thiếu đồng ý bắt buộc; ","")&amp;IF($L741="","Thiếu/sai Mã REF; ",IF(AND($L741="Chưa xác định",DANH_MUC!$L$9&lt;&gt;"Có"),"Nguồn chưa xác định; ","")))</f>
        <v/>
      </c>
      <c r="V741" s="22">
        <f>IF(OR($D741="",$R741="Trùng"),"",IF(COUNTIF(ORDERS!$C$2:$C$4995,$D741)&gt;0,"Có","Không"))</f>
        <v/>
      </c>
      <c r="W741" s="22">
        <f>IF(OR($D741="",$R741="Trùng"),"",COUNTIFS(ORDERS!$C$2:$C$4995,$D741,ORDERS!$L$2:$L$4995,"Đã chuyển khoản"))</f>
        <v/>
      </c>
      <c r="X741" s="23">
        <f>IF(OR($D741="",$R741="Trùng"),"",SUMIFS(ORDERS!$J$2:$J$4995,ORDERS!$C$2:$C$4995,$D741,ORDERS!$L$2:$L$4995,"Đã chuyển khoản"))</f>
        <v/>
      </c>
      <c r="Y741" s="24" t="n"/>
    </row>
    <row r="742" ht="14.25" customHeight="1" s="40">
      <c r="A742" s="24" t="n"/>
      <c r="B742" s="27" t="n"/>
      <c r="C742" s="24" t="n"/>
      <c r="D742" s="28" t="n"/>
      <c r="E742" s="29" t="n"/>
      <c r="F742" s="24" t="n"/>
      <c r="G742" s="24" t="n"/>
      <c r="H742" s="21">
        <f>IF(ISNUMBER($B742),INT($B742)-WEEKDAY($B742,2)+1,"")</f>
        <v/>
      </c>
      <c r="I742" s="24" t="n"/>
      <c r="J742" s="22">
        <f t="array" ref="J742">IF($D742="","",IF($I742="","(trống REF)",IFERROR(INDEX(MASTER_SOURCE!$B$2:$B$495,MATCH($I742,MASTER_SOURCE!$A$2:$A$495,0)),"(REF không có trong MASTER_SOURCE)")))</f>
        <v/>
      </c>
      <c r="K742" s="22">
        <f t="array" ref="K742">IF($D742="","",IFERROR(INDEX(MASTER_SOURCE!$C$2:$C$495,MATCH($I742,MASTER_SOURCE!$A$2:$A$495,0)),""))</f>
        <v/>
      </c>
      <c r="L742" s="22">
        <f t="array" ref="L742">IF($D742="","",IFERROR(INDEX(MASTER_SOURCE!$D$2:$D$495,MATCH($I742,MASTER_SOURCE!$A$2:$A$495,0)),""))</f>
        <v/>
      </c>
      <c r="M742" s="24" t="n"/>
      <c r="N742" s="24" t="n"/>
      <c r="O742" s="24" t="n"/>
      <c r="P742" s="24" t="n"/>
      <c r="Q742" s="22">
        <f>IF($D742="","",IF(AND(OR(DANH_MUC!$L$5&lt;&gt;"Có",M742="Có"),OR(DANH_MUC!$L$6&lt;&gt;"Có",N742="Có"),OR(DANH_MUC!$L$7&lt;&gt;"Có",O742="Có"),OR(DANH_MUC!$L$8&lt;&gt;"Có",P742="Có")),"Có","Không"))</f>
        <v/>
      </c>
      <c r="R742" s="22">
        <f>IF($D742="","",IF(COUNTIF($D$2:$D742,$D742)&gt;1,"Trùng",""))</f>
        <v/>
      </c>
      <c r="S742" s="22">
        <f>IF($D742="","",IF(AND(LEN($D742)=10,LEFT($D742,1)="0",ISNUMBER(--$D742)),"Có","Không"))</f>
        <v/>
      </c>
      <c r="T742" s="22">
        <f>IF($D742="","",IF(AND($C742&lt;&gt;"",$Q742="Có",$R742="",$S742="Có",AND($L742&lt;&gt;"",OR($L742&lt;&gt;"Chưa xác định",DANH_MUC!$L$9="Có"))),"Có","Không"))</f>
        <v/>
      </c>
      <c r="U742" s="22">
        <f>IF(OR($D742="",$T742="Có"),"",IF($C742="","Thiếu họ tên; ","")&amp;IF($S742&lt;&gt;"Có","SĐT sai định dạng; ","")&amp;IF($R742="Trùng","Trùng SĐT; ","")&amp;IF($Q742&lt;&gt;"Có","Thiếu đồng ý bắt buộc; ","")&amp;IF($L742="","Thiếu/sai Mã REF; ",IF(AND($L742="Chưa xác định",DANH_MUC!$L$9&lt;&gt;"Có"),"Nguồn chưa xác định; ","")))</f>
        <v/>
      </c>
      <c r="V742" s="22">
        <f>IF(OR($D742="",$R742="Trùng"),"",IF(COUNTIF(ORDERS!$C$2:$C$4995,$D742)&gt;0,"Có","Không"))</f>
        <v/>
      </c>
      <c r="W742" s="22">
        <f>IF(OR($D742="",$R742="Trùng"),"",COUNTIFS(ORDERS!$C$2:$C$4995,$D742,ORDERS!$L$2:$L$4995,"Đã chuyển khoản"))</f>
        <v/>
      </c>
      <c r="X742" s="23">
        <f>IF(OR($D742="",$R742="Trùng"),"",SUMIFS(ORDERS!$J$2:$J$4995,ORDERS!$C$2:$C$4995,$D742,ORDERS!$L$2:$L$4995,"Đã chuyển khoản"))</f>
        <v/>
      </c>
      <c r="Y742" s="24" t="n"/>
    </row>
    <row r="743" ht="14.25" customHeight="1" s="40">
      <c r="A743" s="24" t="n"/>
      <c r="B743" s="27" t="n"/>
      <c r="C743" s="24" t="n"/>
      <c r="D743" s="28" t="n"/>
      <c r="E743" s="29" t="n"/>
      <c r="F743" s="24" t="n"/>
      <c r="G743" s="24" t="n"/>
      <c r="H743" s="21">
        <f>IF(ISNUMBER($B743),INT($B743)-WEEKDAY($B743,2)+1,"")</f>
        <v/>
      </c>
      <c r="I743" s="24" t="n"/>
      <c r="J743" s="22">
        <f t="array" ref="J743">IF($D743="","",IF($I743="","(trống REF)",IFERROR(INDEX(MASTER_SOURCE!$B$2:$B$495,MATCH($I743,MASTER_SOURCE!$A$2:$A$495,0)),"(REF không có trong MASTER_SOURCE)")))</f>
        <v/>
      </c>
      <c r="K743" s="22">
        <f t="array" ref="K743">IF($D743="","",IFERROR(INDEX(MASTER_SOURCE!$C$2:$C$495,MATCH($I743,MASTER_SOURCE!$A$2:$A$495,0)),""))</f>
        <v/>
      </c>
      <c r="L743" s="22">
        <f t="array" ref="L743">IF($D743="","",IFERROR(INDEX(MASTER_SOURCE!$D$2:$D$495,MATCH($I743,MASTER_SOURCE!$A$2:$A$495,0)),""))</f>
        <v/>
      </c>
      <c r="M743" s="24" t="n"/>
      <c r="N743" s="24" t="n"/>
      <c r="O743" s="24" t="n"/>
      <c r="P743" s="24" t="n"/>
      <c r="Q743" s="22">
        <f>IF($D743="","",IF(AND(OR(DANH_MUC!$L$5&lt;&gt;"Có",M743="Có"),OR(DANH_MUC!$L$6&lt;&gt;"Có",N743="Có"),OR(DANH_MUC!$L$7&lt;&gt;"Có",O743="Có"),OR(DANH_MUC!$L$8&lt;&gt;"Có",P743="Có")),"Có","Không"))</f>
        <v/>
      </c>
      <c r="R743" s="22">
        <f>IF($D743="","",IF(COUNTIF($D$2:$D743,$D743)&gt;1,"Trùng",""))</f>
        <v/>
      </c>
      <c r="S743" s="22">
        <f>IF($D743="","",IF(AND(LEN($D743)=10,LEFT($D743,1)="0",ISNUMBER(--$D743)),"Có","Không"))</f>
        <v/>
      </c>
      <c r="T743" s="22">
        <f>IF($D743="","",IF(AND($C743&lt;&gt;"",$Q743="Có",$R743="",$S743="Có",AND($L743&lt;&gt;"",OR($L743&lt;&gt;"Chưa xác định",DANH_MUC!$L$9="Có"))),"Có","Không"))</f>
        <v/>
      </c>
      <c r="U743" s="22">
        <f>IF(OR($D743="",$T743="Có"),"",IF($C743="","Thiếu họ tên; ","")&amp;IF($S743&lt;&gt;"Có","SĐT sai định dạng; ","")&amp;IF($R743="Trùng","Trùng SĐT; ","")&amp;IF($Q743&lt;&gt;"Có","Thiếu đồng ý bắt buộc; ","")&amp;IF($L743="","Thiếu/sai Mã REF; ",IF(AND($L743="Chưa xác định",DANH_MUC!$L$9&lt;&gt;"Có"),"Nguồn chưa xác định; ","")))</f>
        <v/>
      </c>
      <c r="V743" s="22">
        <f>IF(OR($D743="",$R743="Trùng"),"",IF(COUNTIF(ORDERS!$C$2:$C$4995,$D743)&gt;0,"Có","Không"))</f>
        <v/>
      </c>
      <c r="W743" s="22">
        <f>IF(OR($D743="",$R743="Trùng"),"",COUNTIFS(ORDERS!$C$2:$C$4995,$D743,ORDERS!$L$2:$L$4995,"Đã chuyển khoản"))</f>
        <v/>
      </c>
      <c r="X743" s="23">
        <f>IF(OR($D743="",$R743="Trùng"),"",SUMIFS(ORDERS!$J$2:$J$4995,ORDERS!$C$2:$C$4995,$D743,ORDERS!$L$2:$L$4995,"Đã chuyển khoản"))</f>
        <v/>
      </c>
      <c r="Y743" s="24" t="n"/>
    </row>
    <row r="744" ht="14.25" customHeight="1" s="40">
      <c r="A744" s="24" t="n"/>
      <c r="B744" s="27" t="n"/>
      <c r="C744" s="24" t="n"/>
      <c r="D744" s="28" t="n"/>
      <c r="E744" s="29" t="n"/>
      <c r="F744" s="24" t="n"/>
      <c r="G744" s="24" t="n"/>
      <c r="H744" s="21">
        <f>IF(ISNUMBER($B744),INT($B744)-WEEKDAY($B744,2)+1,"")</f>
        <v/>
      </c>
      <c r="I744" s="24" t="n"/>
      <c r="J744" s="22">
        <f t="array" ref="J744">IF($D744="","",IF($I744="","(trống REF)",IFERROR(INDEX(MASTER_SOURCE!$B$2:$B$495,MATCH($I744,MASTER_SOURCE!$A$2:$A$495,0)),"(REF không có trong MASTER_SOURCE)")))</f>
        <v/>
      </c>
      <c r="K744" s="22">
        <f t="array" ref="K744">IF($D744="","",IFERROR(INDEX(MASTER_SOURCE!$C$2:$C$495,MATCH($I744,MASTER_SOURCE!$A$2:$A$495,0)),""))</f>
        <v/>
      </c>
      <c r="L744" s="22">
        <f t="array" ref="L744">IF($D744="","",IFERROR(INDEX(MASTER_SOURCE!$D$2:$D$495,MATCH($I744,MASTER_SOURCE!$A$2:$A$495,0)),""))</f>
        <v/>
      </c>
      <c r="M744" s="24" t="n"/>
      <c r="N744" s="24" t="n"/>
      <c r="O744" s="24" t="n"/>
      <c r="P744" s="24" t="n"/>
      <c r="Q744" s="22">
        <f>IF($D744="","",IF(AND(OR(DANH_MUC!$L$5&lt;&gt;"Có",M744="Có"),OR(DANH_MUC!$L$6&lt;&gt;"Có",N744="Có"),OR(DANH_MUC!$L$7&lt;&gt;"Có",O744="Có"),OR(DANH_MUC!$L$8&lt;&gt;"Có",P744="Có")),"Có","Không"))</f>
        <v/>
      </c>
      <c r="R744" s="22">
        <f>IF($D744="","",IF(COUNTIF($D$2:$D744,$D744)&gt;1,"Trùng",""))</f>
        <v/>
      </c>
      <c r="S744" s="22">
        <f>IF($D744="","",IF(AND(LEN($D744)=10,LEFT($D744,1)="0",ISNUMBER(--$D744)),"Có","Không"))</f>
        <v/>
      </c>
      <c r="T744" s="22">
        <f>IF($D744="","",IF(AND($C744&lt;&gt;"",$Q744="Có",$R744="",$S744="Có",AND($L744&lt;&gt;"",OR($L744&lt;&gt;"Chưa xác định",DANH_MUC!$L$9="Có"))),"Có","Không"))</f>
        <v/>
      </c>
      <c r="U744" s="22">
        <f>IF(OR($D744="",$T744="Có"),"",IF($C744="","Thiếu họ tên; ","")&amp;IF($S744&lt;&gt;"Có","SĐT sai định dạng; ","")&amp;IF($R744="Trùng","Trùng SĐT; ","")&amp;IF($Q744&lt;&gt;"Có","Thiếu đồng ý bắt buộc; ","")&amp;IF($L744="","Thiếu/sai Mã REF; ",IF(AND($L744="Chưa xác định",DANH_MUC!$L$9&lt;&gt;"Có"),"Nguồn chưa xác định; ","")))</f>
        <v/>
      </c>
      <c r="V744" s="22">
        <f>IF(OR($D744="",$R744="Trùng"),"",IF(COUNTIF(ORDERS!$C$2:$C$4995,$D744)&gt;0,"Có","Không"))</f>
        <v/>
      </c>
      <c r="W744" s="22">
        <f>IF(OR($D744="",$R744="Trùng"),"",COUNTIFS(ORDERS!$C$2:$C$4995,$D744,ORDERS!$L$2:$L$4995,"Đã chuyển khoản"))</f>
        <v/>
      </c>
      <c r="X744" s="23">
        <f>IF(OR($D744="",$R744="Trùng"),"",SUMIFS(ORDERS!$J$2:$J$4995,ORDERS!$C$2:$C$4995,$D744,ORDERS!$L$2:$L$4995,"Đã chuyển khoản"))</f>
        <v/>
      </c>
      <c r="Y744" s="24" t="n"/>
    </row>
    <row r="745" ht="14.25" customHeight="1" s="40">
      <c r="A745" s="24" t="n"/>
      <c r="B745" s="27" t="n"/>
      <c r="C745" s="24" t="n"/>
      <c r="D745" s="28" t="n"/>
      <c r="E745" s="29" t="n"/>
      <c r="F745" s="24" t="n"/>
      <c r="G745" s="24" t="n"/>
      <c r="H745" s="21">
        <f>IF(ISNUMBER($B745),INT($B745)-WEEKDAY($B745,2)+1,"")</f>
        <v/>
      </c>
      <c r="I745" s="24" t="n"/>
      <c r="J745" s="22">
        <f t="array" ref="J745">IF($D745="","",IF($I745="","(trống REF)",IFERROR(INDEX(MASTER_SOURCE!$B$2:$B$495,MATCH($I745,MASTER_SOURCE!$A$2:$A$495,0)),"(REF không có trong MASTER_SOURCE)")))</f>
        <v/>
      </c>
      <c r="K745" s="22">
        <f t="array" ref="K745">IF($D745="","",IFERROR(INDEX(MASTER_SOURCE!$C$2:$C$495,MATCH($I745,MASTER_SOURCE!$A$2:$A$495,0)),""))</f>
        <v/>
      </c>
      <c r="L745" s="22">
        <f t="array" ref="L745">IF($D745="","",IFERROR(INDEX(MASTER_SOURCE!$D$2:$D$495,MATCH($I745,MASTER_SOURCE!$A$2:$A$495,0)),""))</f>
        <v/>
      </c>
      <c r="M745" s="24" t="n"/>
      <c r="N745" s="24" t="n"/>
      <c r="O745" s="24" t="n"/>
      <c r="P745" s="24" t="n"/>
      <c r="Q745" s="22">
        <f>IF($D745="","",IF(AND(OR(DANH_MUC!$L$5&lt;&gt;"Có",M745="Có"),OR(DANH_MUC!$L$6&lt;&gt;"Có",N745="Có"),OR(DANH_MUC!$L$7&lt;&gt;"Có",O745="Có"),OR(DANH_MUC!$L$8&lt;&gt;"Có",P745="Có")),"Có","Không"))</f>
        <v/>
      </c>
      <c r="R745" s="22">
        <f>IF($D745="","",IF(COUNTIF($D$2:$D745,$D745)&gt;1,"Trùng",""))</f>
        <v/>
      </c>
      <c r="S745" s="22">
        <f>IF($D745="","",IF(AND(LEN($D745)=10,LEFT($D745,1)="0",ISNUMBER(--$D745)),"Có","Không"))</f>
        <v/>
      </c>
      <c r="T745" s="22">
        <f>IF($D745="","",IF(AND($C745&lt;&gt;"",$Q745="Có",$R745="",$S745="Có",AND($L745&lt;&gt;"",OR($L745&lt;&gt;"Chưa xác định",DANH_MUC!$L$9="Có"))),"Có","Không"))</f>
        <v/>
      </c>
      <c r="U745" s="22">
        <f>IF(OR($D745="",$T745="Có"),"",IF($C745="","Thiếu họ tên; ","")&amp;IF($S745&lt;&gt;"Có","SĐT sai định dạng; ","")&amp;IF($R745="Trùng","Trùng SĐT; ","")&amp;IF($Q745&lt;&gt;"Có","Thiếu đồng ý bắt buộc; ","")&amp;IF($L745="","Thiếu/sai Mã REF; ",IF(AND($L745="Chưa xác định",DANH_MUC!$L$9&lt;&gt;"Có"),"Nguồn chưa xác định; ","")))</f>
        <v/>
      </c>
      <c r="V745" s="22">
        <f>IF(OR($D745="",$R745="Trùng"),"",IF(COUNTIF(ORDERS!$C$2:$C$4995,$D745)&gt;0,"Có","Không"))</f>
        <v/>
      </c>
      <c r="W745" s="22">
        <f>IF(OR($D745="",$R745="Trùng"),"",COUNTIFS(ORDERS!$C$2:$C$4995,$D745,ORDERS!$L$2:$L$4995,"Đã chuyển khoản"))</f>
        <v/>
      </c>
      <c r="X745" s="23">
        <f>IF(OR($D745="",$R745="Trùng"),"",SUMIFS(ORDERS!$J$2:$J$4995,ORDERS!$C$2:$C$4995,$D745,ORDERS!$L$2:$L$4995,"Đã chuyển khoản"))</f>
        <v/>
      </c>
      <c r="Y745" s="24" t="n"/>
    </row>
    <row r="746" ht="14.25" customHeight="1" s="40">
      <c r="A746" s="24" t="n"/>
      <c r="B746" s="27" t="n"/>
      <c r="C746" s="24" t="n"/>
      <c r="D746" s="28" t="n"/>
      <c r="E746" s="29" t="n"/>
      <c r="F746" s="24" t="n"/>
      <c r="G746" s="24" t="n"/>
      <c r="H746" s="21">
        <f>IF(ISNUMBER($B746),INT($B746)-WEEKDAY($B746,2)+1,"")</f>
        <v/>
      </c>
      <c r="I746" s="24" t="n"/>
      <c r="J746" s="22">
        <f t="array" ref="J746">IF($D746="","",IF($I746="","(trống REF)",IFERROR(INDEX(MASTER_SOURCE!$B$2:$B$495,MATCH($I746,MASTER_SOURCE!$A$2:$A$495,0)),"(REF không có trong MASTER_SOURCE)")))</f>
        <v/>
      </c>
      <c r="K746" s="22">
        <f t="array" ref="K746">IF($D746="","",IFERROR(INDEX(MASTER_SOURCE!$C$2:$C$495,MATCH($I746,MASTER_SOURCE!$A$2:$A$495,0)),""))</f>
        <v/>
      </c>
      <c r="L746" s="22">
        <f t="array" ref="L746">IF($D746="","",IFERROR(INDEX(MASTER_SOURCE!$D$2:$D$495,MATCH($I746,MASTER_SOURCE!$A$2:$A$495,0)),""))</f>
        <v/>
      </c>
      <c r="M746" s="24" t="n"/>
      <c r="N746" s="24" t="n"/>
      <c r="O746" s="24" t="n"/>
      <c r="P746" s="24" t="n"/>
      <c r="Q746" s="22">
        <f>IF($D746="","",IF(AND(OR(DANH_MUC!$L$5&lt;&gt;"Có",M746="Có"),OR(DANH_MUC!$L$6&lt;&gt;"Có",N746="Có"),OR(DANH_MUC!$L$7&lt;&gt;"Có",O746="Có"),OR(DANH_MUC!$L$8&lt;&gt;"Có",P746="Có")),"Có","Không"))</f>
        <v/>
      </c>
      <c r="R746" s="22">
        <f>IF($D746="","",IF(COUNTIF($D$2:$D746,$D746)&gt;1,"Trùng",""))</f>
        <v/>
      </c>
      <c r="S746" s="22">
        <f>IF($D746="","",IF(AND(LEN($D746)=10,LEFT($D746,1)="0",ISNUMBER(--$D746)),"Có","Không"))</f>
        <v/>
      </c>
      <c r="T746" s="22">
        <f>IF($D746="","",IF(AND($C746&lt;&gt;"",$Q746="Có",$R746="",$S746="Có",AND($L746&lt;&gt;"",OR($L746&lt;&gt;"Chưa xác định",DANH_MUC!$L$9="Có"))),"Có","Không"))</f>
        <v/>
      </c>
      <c r="U746" s="22">
        <f>IF(OR($D746="",$T746="Có"),"",IF($C746="","Thiếu họ tên; ","")&amp;IF($S746&lt;&gt;"Có","SĐT sai định dạng; ","")&amp;IF($R746="Trùng","Trùng SĐT; ","")&amp;IF($Q746&lt;&gt;"Có","Thiếu đồng ý bắt buộc; ","")&amp;IF($L746="","Thiếu/sai Mã REF; ",IF(AND($L746="Chưa xác định",DANH_MUC!$L$9&lt;&gt;"Có"),"Nguồn chưa xác định; ","")))</f>
        <v/>
      </c>
      <c r="V746" s="22">
        <f>IF(OR($D746="",$R746="Trùng"),"",IF(COUNTIF(ORDERS!$C$2:$C$4995,$D746)&gt;0,"Có","Không"))</f>
        <v/>
      </c>
      <c r="W746" s="22">
        <f>IF(OR($D746="",$R746="Trùng"),"",COUNTIFS(ORDERS!$C$2:$C$4995,$D746,ORDERS!$L$2:$L$4995,"Đã chuyển khoản"))</f>
        <v/>
      </c>
      <c r="X746" s="23">
        <f>IF(OR($D746="",$R746="Trùng"),"",SUMIFS(ORDERS!$J$2:$J$4995,ORDERS!$C$2:$C$4995,$D746,ORDERS!$L$2:$L$4995,"Đã chuyển khoản"))</f>
        <v/>
      </c>
      <c r="Y746" s="24" t="n"/>
    </row>
    <row r="747" ht="14.25" customHeight="1" s="40">
      <c r="A747" s="24" t="n"/>
      <c r="B747" s="27" t="n"/>
      <c r="C747" s="24" t="n"/>
      <c r="D747" s="28" t="n"/>
      <c r="E747" s="29" t="n"/>
      <c r="F747" s="24" t="n"/>
      <c r="G747" s="24" t="n"/>
      <c r="H747" s="21">
        <f>IF(ISNUMBER($B747),INT($B747)-WEEKDAY($B747,2)+1,"")</f>
        <v/>
      </c>
      <c r="I747" s="24" t="n"/>
      <c r="J747" s="22">
        <f t="array" ref="J747">IF($D747="","",IF($I747="","(trống REF)",IFERROR(INDEX(MASTER_SOURCE!$B$2:$B$495,MATCH($I747,MASTER_SOURCE!$A$2:$A$495,0)),"(REF không có trong MASTER_SOURCE)")))</f>
        <v/>
      </c>
      <c r="K747" s="22">
        <f t="array" ref="K747">IF($D747="","",IFERROR(INDEX(MASTER_SOURCE!$C$2:$C$495,MATCH($I747,MASTER_SOURCE!$A$2:$A$495,0)),""))</f>
        <v/>
      </c>
      <c r="L747" s="22">
        <f t="array" ref="L747">IF($D747="","",IFERROR(INDEX(MASTER_SOURCE!$D$2:$D$495,MATCH($I747,MASTER_SOURCE!$A$2:$A$495,0)),""))</f>
        <v/>
      </c>
      <c r="M747" s="24" t="n"/>
      <c r="N747" s="24" t="n"/>
      <c r="O747" s="24" t="n"/>
      <c r="P747" s="24" t="n"/>
      <c r="Q747" s="22">
        <f>IF($D747="","",IF(AND(OR(DANH_MUC!$L$5&lt;&gt;"Có",M747="Có"),OR(DANH_MUC!$L$6&lt;&gt;"Có",N747="Có"),OR(DANH_MUC!$L$7&lt;&gt;"Có",O747="Có"),OR(DANH_MUC!$L$8&lt;&gt;"Có",P747="Có")),"Có","Không"))</f>
        <v/>
      </c>
      <c r="R747" s="22">
        <f>IF($D747="","",IF(COUNTIF($D$2:$D747,$D747)&gt;1,"Trùng",""))</f>
        <v/>
      </c>
      <c r="S747" s="22">
        <f>IF($D747="","",IF(AND(LEN($D747)=10,LEFT($D747,1)="0",ISNUMBER(--$D747)),"Có","Không"))</f>
        <v/>
      </c>
      <c r="T747" s="22">
        <f>IF($D747="","",IF(AND($C747&lt;&gt;"",$Q747="Có",$R747="",$S747="Có",AND($L747&lt;&gt;"",OR($L747&lt;&gt;"Chưa xác định",DANH_MUC!$L$9="Có"))),"Có","Không"))</f>
        <v/>
      </c>
      <c r="U747" s="22">
        <f>IF(OR($D747="",$T747="Có"),"",IF($C747="","Thiếu họ tên; ","")&amp;IF($S747&lt;&gt;"Có","SĐT sai định dạng; ","")&amp;IF($R747="Trùng","Trùng SĐT; ","")&amp;IF($Q747&lt;&gt;"Có","Thiếu đồng ý bắt buộc; ","")&amp;IF($L747="","Thiếu/sai Mã REF; ",IF(AND($L747="Chưa xác định",DANH_MUC!$L$9&lt;&gt;"Có"),"Nguồn chưa xác định; ","")))</f>
        <v/>
      </c>
      <c r="V747" s="22">
        <f>IF(OR($D747="",$R747="Trùng"),"",IF(COUNTIF(ORDERS!$C$2:$C$4995,$D747)&gt;0,"Có","Không"))</f>
        <v/>
      </c>
      <c r="W747" s="22">
        <f>IF(OR($D747="",$R747="Trùng"),"",COUNTIFS(ORDERS!$C$2:$C$4995,$D747,ORDERS!$L$2:$L$4995,"Đã chuyển khoản"))</f>
        <v/>
      </c>
      <c r="X747" s="23">
        <f>IF(OR($D747="",$R747="Trùng"),"",SUMIFS(ORDERS!$J$2:$J$4995,ORDERS!$C$2:$C$4995,$D747,ORDERS!$L$2:$L$4995,"Đã chuyển khoản"))</f>
        <v/>
      </c>
      <c r="Y747" s="24" t="n"/>
    </row>
    <row r="748" ht="14.25" customHeight="1" s="40">
      <c r="A748" s="24" t="n"/>
      <c r="B748" s="27" t="n"/>
      <c r="C748" s="24" t="n"/>
      <c r="D748" s="28" t="n"/>
      <c r="E748" s="29" t="n"/>
      <c r="F748" s="24" t="n"/>
      <c r="G748" s="24" t="n"/>
      <c r="H748" s="21">
        <f>IF(ISNUMBER($B748),INT($B748)-WEEKDAY($B748,2)+1,"")</f>
        <v/>
      </c>
      <c r="I748" s="24" t="n"/>
      <c r="J748" s="22">
        <f t="array" ref="J748">IF($D748="","",IF($I748="","(trống REF)",IFERROR(INDEX(MASTER_SOURCE!$B$2:$B$495,MATCH($I748,MASTER_SOURCE!$A$2:$A$495,0)),"(REF không có trong MASTER_SOURCE)")))</f>
        <v/>
      </c>
      <c r="K748" s="22">
        <f t="array" ref="K748">IF($D748="","",IFERROR(INDEX(MASTER_SOURCE!$C$2:$C$495,MATCH($I748,MASTER_SOURCE!$A$2:$A$495,0)),""))</f>
        <v/>
      </c>
      <c r="L748" s="22">
        <f t="array" ref="L748">IF($D748="","",IFERROR(INDEX(MASTER_SOURCE!$D$2:$D$495,MATCH($I748,MASTER_SOURCE!$A$2:$A$495,0)),""))</f>
        <v/>
      </c>
      <c r="M748" s="24" t="n"/>
      <c r="N748" s="24" t="n"/>
      <c r="O748" s="24" t="n"/>
      <c r="P748" s="24" t="n"/>
      <c r="Q748" s="22">
        <f>IF($D748="","",IF(AND(OR(DANH_MUC!$L$5&lt;&gt;"Có",M748="Có"),OR(DANH_MUC!$L$6&lt;&gt;"Có",N748="Có"),OR(DANH_MUC!$L$7&lt;&gt;"Có",O748="Có"),OR(DANH_MUC!$L$8&lt;&gt;"Có",P748="Có")),"Có","Không"))</f>
        <v/>
      </c>
      <c r="R748" s="22">
        <f>IF($D748="","",IF(COUNTIF($D$2:$D748,$D748)&gt;1,"Trùng",""))</f>
        <v/>
      </c>
      <c r="S748" s="22">
        <f>IF($D748="","",IF(AND(LEN($D748)=10,LEFT($D748,1)="0",ISNUMBER(--$D748)),"Có","Không"))</f>
        <v/>
      </c>
      <c r="T748" s="22">
        <f>IF($D748="","",IF(AND($C748&lt;&gt;"",$Q748="Có",$R748="",$S748="Có",AND($L748&lt;&gt;"",OR($L748&lt;&gt;"Chưa xác định",DANH_MUC!$L$9="Có"))),"Có","Không"))</f>
        <v/>
      </c>
      <c r="U748" s="22">
        <f>IF(OR($D748="",$T748="Có"),"",IF($C748="","Thiếu họ tên; ","")&amp;IF($S748&lt;&gt;"Có","SĐT sai định dạng; ","")&amp;IF($R748="Trùng","Trùng SĐT; ","")&amp;IF($Q748&lt;&gt;"Có","Thiếu đồng ý bắt buộc; ","")&amp;IF($L748="","Thiếu/sai Mã REF; ",IF(AND($L748="Chưa xác định",DANH_MUC!$L$9&lt;&gt;"Có"),"Nguồn chưa xác định; ","")))</f>
        <v/>
      </c>
      <c r="V748" s="22">
        <f>IF(OR($D748="",$R748="Trùng"),"",IF(COUNTIF(ORDERS!$C$2:$C$4995,$D748)&gt;0,"Có","Không"))</f>
        <v/>
      </c>
      <c r="W748" s="22">
        <f>IF(OR($D748="",$R748="Trùng"),"",COUNTIFS(ORDERS!$C$2:$C$4995,$D748,ORDERS!$L$2:$L$4995,"Đã chuyển khoản"))</f>
        <v/>
      </c>
      <c r="X748" s="23">
        <f>IF(OR($D748="",$R748="Trùng"),"",SUMIFS(ORDERS!$J$2:$J$4995,ORDERS!$C$2:$C$4995,$D748,ORDERS!$L$2:$L$4995,"Đã chuyển khoản"))</f>
        <v/>
      </c>
      <c r="Y748" s="24" t="n"/>
    </row>
    <row r="749" ht="14.25" customHeight="1" s="40">
      <c r="A749" s="24" t="n"/>
      <c r="B749" s="27" t="n"/>
      <c r="C749" s="24" t="n"/>
      <c r="D749" s="28" t="n"/>
      <c r="E749" s="29" t="n"/>
      <c r="F749" s="24" t="n"/>
      <c r="G749" s="24" t="n"/>
      <c r="H749" s="21">
        <f>IF(ISNUMBER($B749),INT($B749)-WEEKDAY($B749,2)+1,"")</f>
        <v/>
      </c>
      <c r="I749" s="24" t="n"/>
      <c r="J749" s="22">
        <f t="array" ref="J749">IF($D749="","",IF($I749="","(trống REF)",IFERROR(INDEX(MASTER_SOURCE!$B$2:$B$495,MATCH($I749,MASTER_SOURCE!$A$2:$A$495,0)),"(REF không có trong MASTER_SOURCE)")))</f>
        <v/>
      </c>
      <c r="K749" s="22">
        <f t="array" ref="K749">IF($D749="","",IFERROR(INDEX(MASTER_SOURCE!$C$2:$C$495,MATCH($I749,MASTER_SOURCE!$A$2:$A$495,0)),""))</f>
        <v/>
      </c>
      <c r="L749" s="22">
        <f t="array" ref="L749">IF($D749="","",IFERROR(INDEX(MASTER_SOURCE!$D$2:$D$495,MATCH($I749,MASTER_SOURCE!$A$2:$A$495,0)),""))</f>
        <v/>
      </c>
      <c r="M749" s="24" t="n"/>
      <c r="N749" s="24" t="n"/>
      <c r="O749" s="24" t="n"/>
      <c r="P749" s="24" t="n"/>
      <c r="Q749" s="22">
        <f>IF($D749="","",IF(AND(OR(DANH_MUC!$L$5&lt;&gt;"Có",M749="Có"),OR(DANH_MUC!$L$6&lt;&gt;"Có",N749="Có"),OR(DANH_MUC!$L$7&lt;&gt;"Có",O749="Có"),OR(DANH_MUC!$L$8&lt;&gt;"Có",P749="Có")),"Có","Không"))</f>
        <v/>
      </c>
      <c r="R749" s="22">
        <f>IF($D749="","",IF(COUNTIF($D$2:$D749,$D749)&gt;1,"Trùng",""))</f>
        <v/>
      </c>
      <c r="S749" s="22">
        <f>IF($D749="","",IF(AND(LEN($D749)=10,LEFT($D749,1)="0",ISNUMBER(--$D749)),"Có","Không"))</f>
        <v/>
      </c>
      <c r="T749" s="22">
        <f>IF($D749="","",IF(AND($C749&lt;&gt;"",$Q749="Có",$R749="",$S749="Có",AND($L749&lt;&gt;"",OR($L749&lt;&gt;"Chưa xác định",DANH_MUC!$L$9="Có"))),"Có","Không"))</f>
        <v/>
      </c>
      <c r="U749" s="22">
        <f>IF(OR($D749="",$T749="Có"),"",IF($C749="","Thiếu họ tên; ","")&amp;IF($S749&lt;&gt;"Có","SĐT sai định dạng; ","")&amp;IF($R749="Trùng","Trùng SĐT; ","")&amp;IF($Q749&lt;&gt;"Có","Thiếu đồng ý bắt buộc; ","")&amp;IF($L749="","Thiếu/sai Mã REF; ",IF(AND($L749="Chưa xác định",DANH_MUC!$L$9&lt;&gt;"Có"),"Nguồn chưa xác định; ","")))</f>
        <v/>
      </c>
      <c r="V749" s="22">
        <f>IF(OR($D749="",$R749="Trùng"),"",IF(COUNTIF(ORDERS!$C$2:$C$4995,$D749)&gt;0,"Có","Không"))</f>
        <v/>
      </c>
      <c r="W749" s="22">
        <f>IF(OR($D749="",$R749="Trùng"),"",COUNTIFS(ORDERS!$C$2:$C$4995,$D749,ORDERS!$L$2:$L$4995,"Đã chuyển khoản"))</f>
        <v/>
      </c>
      <c r="X749" s="23">
        <f>IF(OR($D749="",$R749="Trùng"),"",SUMIFS(ORDERS!$J$2:$J$4995,ORDERS!$C$2:$C$4995,$D749,ORDERS!$L$2:$L$4995,"Đã chuyển khoản"))</f>
        <v/>
      </c>
      <c r="Y749" s="24" t="n"/>
    </row>
    <row r="750" ht="14.25" customHeight="1" s="40">
      <c r="A750" s="24" t="n"/>
      <c r="B750" s="27" t="n"/>
      <c r="C750" s="24" t="n"/>
      <c r="D750" s="28" t="n"/>
      <c r="E750" s="29" t="n"/>
      <c r="F750" s="24" t="n"/>
      <c r="G750" s="24" t="n"/>
      <c r="H750" s="21">
        <f>IF(ISNUMBER($B750),INT($B750)-WEEKDAY($B750,2)+1,"")</f>
        <v/>
      </c>
      <c r="I750" s="24" t="n"/>
      <c r="J750" s="22">
        <f t="array" ref="J750">IF($D750="","",IF($I750="","(trống REF)",IFERROR(INDEX(MASTER_SOURCE!$B$2:$B$495,MATCH($I750,MASTER_SOURCE!$A$2:$A$495,0)),"(REF không có trong MASTER_SOURCE)")))</f>
        <v/>
      </c>
      <c r="K750" s="22">
        <f t="array" ref="K750">IF($D750="","",IFERROR(INDEX(MASTER_SOURCE!$C$2:$C$495,MATCH($I750,MASTER_SOURCE!$A$2:$A$495,0)),""))</f>
        <v/>
      </c>
      <c r="L750" s="22">
        <f t="array" ref="L750">IF($D750="","",IFERROR(INDEX(MASTER_SOURCE!$D$2:$D$495,MATCH($I750,MASTER_SOURCE!$A$2:$A$495,0)),""))</f>
        <v/>
      </c>
      <c r="M750" s="24" t="n"/>
      <c r="N750" s="24" t="n"/>
      <c r="O750" s="24" t="n"/>
      <c r="P750" s="24" t="n"/>
      <c r="Q750" s="22">
        <f>IF($D750="","",IF(AND(OR(DANH_MUC!$L$5&lt;&gt;"Có",M750="Có"),OR(DANH_MUC!$L$6&lt;&gt;"Có",N750="Có"),OR(DANH_MUC!$L$7&lt;&gt;"Có",O750="Có"),OR(DANH_MUC!$L$8&lt;&gt;"Có",P750="Có")),"Có","Không"))</f>
        <v/>
      </c>
      <c r="R750" s="22">
        <f>IF($D750="","",IF(COUNTIF($D$2:$D750,$D750)&gt;1,"Trùng",""))</f>
        <v/>
      </c>
      <c r="S750" s="22">
        <f>IF($D750="","",IF(AND(LEN($D750)=10,LEFT($D750,1)="0",ISNUMBER(--$D750)),"Có","Không"))</f>
        <v/>
      </c>
      <c r="T750" s="22">
        <f>IF($D750="","",IF(AND($C750&lt;&gt;"",$Q750="Có",$R750="",$S750="Có",AND($L750&lt;&gt;"",OR($L750&lt;&gt;"Chưa xác định",DANH_MUC!$L$9="Có"))),"Có","Không"))</f>
        <v/>
      </c>
      <c r="U750" s="22">
        <f>IF(OR($D750="",$T750="Có"),"",IF($C750="","Thiếu họ tên; ","")&amp;IF($S750&lt;&gt;"Có","SĐT sai định dạng; ","")&amp;IF($R750="Trùng","Trùng SĐT; ","")&amp;IF($Q750&lt;&gt;"Có","Thiếu đồng ý bắt buộc; ","")&amp;IF($L750="","Thiếu/sai Mã REF; ",IF(AND($L750="Chưa xác định",DANH_MUC!$L$9&lt;&gt;"Có"),"Nguồn chưa xác định; ","")))</f>
        <v/>
      </c>
      <c r="V750" s="22">
        <f>IF(OR($D750="",$R750="Trùng"),"",IF(COUNTIF(ORDERS!$C$2:$C$4995,$D750)&gt;0,"Có","Không"))</f>
        <v/>
      </c>
      <c r="W750" s="22">
        <f>IF(OR($D750="",$R750="Trùng"),"",COUNTIFS(ORDERS!$C$2:$C$4995,$D750,ORDERS!$L$2:$L$4995,"Đã chuyển khoản"))</f>
        <v/>
      </c>
      <c r="X750" s="23">
        <f>IF(OR($D750="",$R750="Trùng"),"",SUMIFS(ORDERS!$J$2:$J$4995,ORDERS!$C$2:$C$4995,$D750,ORDERS!$L$2:$L$4995,"Đã chuyển khoản"))</f>
        <v/>
      </c>
      <c r="Y750" s="24" t="n"/>
    </row>
    <row r="751" ht="14.25" customHeight="1" s="40">
      <c r="A751" s="24" t="n"/>
      <c r="B751" s="27" t="n"/>
      <c r="C751" s="24" t="n"/>
      <c r="D751" s="28" t="n"/>
      <c r="E751" s="29" t="n"/>
      <c r="F751" s="24" t="n"/>
      <c r="G751" s="24" t="n"/>
      <c r="H751" s="21">
        <f>IF(ISNUMBER($B751),INT($B751)-WEEKDAY($B751,2)+1,"")</f>
        <v/>
      </c>
      <c r="I751" s="24" t="n"/>
      <c r="J751" s="22">
        <f t="array" ref="J751">IF($D751="","",IF($I751="","(trống REF)",IFERROR(INDEX(MASTER_SOURCE!$B$2:$B$495,MATCH($I751,MASTER_SOURCE!$A$2:$A$495,0)),"(REF không có trong MASTER_SOURCE)")))</f>
        <v/>
      </c>
      <c r="K751" s="22">
        <f t="array" ref="K751">IF($D751="","",IFERROR(INDEX(MASTER_SOURCE!$C$2:$C$495,MATCH($I751,MASTER_SOURCE!$A$2:$A$495,0)),""))</f>
        <v/>
      </c>
      <c r="L751" s="22">
        <f t="array" ref="L751">IF($D751="","",IFERROR(INDEX(MASTER_SOURCE!$D$2:$D$495,MATCH($I751,MASTER_SOURCE!$A$2:$A$495,0)),""))</f>
        <v/>
      </c>
      <c r="M751" s="24" t="n"/>
      <c r="N751" s="24" t="n"/>
      <c r="O751" s="24" t="n"/>
      <c r="P751" s="24" t="n"/>
      <c r="Q751" s="22">
        <f>IF($D751="","",IF(AND(OR(DANH_MUC!$L$5&lt;&gt;"Có",M751="Có"),OR(DANH_MUC!$L$6&lt;&gt;"Có",N751="Có"),OR(DANH_MUC!$L$7&lt;&gt;"Có",O751="Có"),OR(DANH_MUC!$L$8&lt;&gt;"Có",P751="Có")),"Có","Không"))</f>
        <v/>
      </c>
      <c r="R751" s="22">
        <f>IF($D751="","",IF(COUNTIF($D$2:$D751,$D751)&gt;1,"Trùng",""))</f>
        <v/>
      </c>
      <c r="S751" s="22">
        <f>IF($D751="","",IF(AND(LEN($D751)=10,LEFT($D751,1)="0",ISNUMBER(--$D751)),"Có","Không"))</f>
        <v/>
      </c>
      <c r="T751" s="22">
        <f>IF($D751="","",IF(AND($C751&lt;&gt;"",$Q751="Có",$R751="",$S751="Có",AND($L751&lt;&gt;"",OR($L751&lt;&gt;"Chưa xác định",DANH_MUC!$L$9="Có"))),"Có","Không"))</f>
        <v/>
      </c>
      <c r="U751" s="22">
        <f>IF(OR($D751="",$T751="Có"),"",IF($C751="","Thiếu họ tên; ","")&amp;IF($S751&lt;&gt;"Có","SĐT sai định dạng; ","")&amp;IF($R751="Trùng","Trùng SĐT; ","")&amp;IF($Q751&lt;&gt;"Có","Thiếu đồng ý bắt buộc; ","")&amp;IF($L751="","Thiếu/sai Mã REF; ",IF(AND($L751="Chưa xác định",DANH_MUC!$L$9&lt;&gt;"Có"),"Nguồn chưa xác định; ","")))</f>
        <v/>
      </c>
      <c r="V751" s="22">
        <f>IF(OR($D751="",$R751="Trùng"),"",IF(COUNTIF(ORDERS!$C$2:$C$4995,$D751)&gt;0,"Có","Không"))</f>
        <v/>
      </c>
      <c r="W751" s="22">
        <f>IF(OR($D751="",$R751="Trùng"),"",COUNTIFS(ORDERS!$C$2:$C$4995,$D751,ORDERS!$L$2:$L$4995,"Đã chuyển khoản"))</f>
        <v/>
      </c>
      <c r="X751" s="23">
        <f>IF(OR($D751="",$R751="Trùng"),"",SUMIFS(ORDERS!$J$2:$J$4995,ORDERS!$C$2:$C$4995,$D751,ORDERS!$L$2:$L$4995,"Đã chuyển khoản"))</f>
        <v/>
      </c>
      <c r="Y751" s="24" t="n"/>
    </row>
    <row r="752" ht="14.25" customHeight="1" s="40">
      <c r="A752" s="24" t="n"/>
      <c r="B752" s="27" t="n"/>
      <c r="C752" s="24" t="n"/>
      <c r="D752" s="28" t="n"/>
      <c r="E752" s="29" t="n"/>
      <c r="F752" s="24" t="n"/>
      <c r="G752" s="24" t="n"/>
      <c r="H752" s="21">
        <f>IF(ISNUMBER($B752),INT($B752)-WEEKDAY($B752,2)+1,"")</f>
        <v/>
      </c>
      <c r="I752" s="24" t="n"/>
      <c r="J752" s="22">
        <f t="array" ref="J752">IF($D752="","",IF($I752="","(trống REF)",IFERROR(INDEX(MASTER_SOURCE!$B$2:$B$495,MATCH($I752,MASTER_SOURCE!$A$2:$A$495,0)),"(REF không có trong MASTER_SOURCE)")))</f>
        <v/>
      </c>
      <c r="K752" s="22">
        <f t="array" ref="K752">IF($D752="","",IFERROR(INDEX(MASTER_SOURCE!$C$2:$C$495,MATCH($I752,MASTER_SOURCE!$A$2:$A$495,0)),""))</f>
        <v/>
      </c>
      <c r="L752" s="22">
        <f t="array" ref="L752">IF($D752="","",IFERROR(INDEX(MASTER_SOURCE!$D$2:$D$495,MATCH($I752,MASTER_SOURCE!$A$2:$A$495,0)),""))</f>
        <v/>
      </c>
      <c r="M752" s="24" t="n"/>
      <c r="N752" s="24" t="n"/>
      <c r="O752" s="24" t="n"/>
      <c r="P752" s="24" t="n"/>
      <c r="Q752" s="22">
        <f>IF($D752="","",IF(AND(OR(DANH_MUC!$L$5&lt;&gt;"Có",M752="Có"),OR(DANH_MUC!$L$6&lt;&gt;"Có",N752="Có"),OR(DANH_MUC!$L$7&lt;&gt;"Có",O752="Có"),OR(DANH_MUC!$L$8&lt;&gt;"Có",P752="Có")),"Có","Không"))</f>
        <v/>
      </c>
      <c r="R752" s="22">
        <f>IF($D752="","",IF(COUNTIF($D$2:$D752,$D752)&gt;1,"Trùng",""))</f>
        <v/>
      </c>
      <c r="S752" s="22">
        <f>IF($D752="","",IF(AND(LEN($D752)=10,LEFT($D752,1)="0",ISNUMBER(--$D752)),"Có","Không"))</f>
        <v/>
      </c>
      <c r="T752" s="22">
        <f>IF($D752="","",IF(AND($C752&lt;&gt;"",$Q752="Có",$R752="",$S752="Có",AND($L752&lt;&gt;"",OR($L752&lt;&gt;"Chưa xác định",DANH_MUC!$L$9="Có"))),"Có","Không"))</f>
        <v/>
      </c>
      <c r="U752" s="22">
        <f>IF(OR($D752="",$T752="Có"),"",IF($C752="","Thiếu họ tên; ","")&amp;IF($S752&lt;&gt;"Có","SĐT sai định dạng; ","")&amp;IF($R752="Trùng","Trùng SĐT; ","")&amp;IF($Q752&lt;&gt;"Có","Thiếu đồng ý bắt buộc; ","")&amp;IF($L752="","Thiếu/sai Mã REF; ",IF(AND($L752="Chưa xác định",DANH_MUC!$L$9&lt;&gt;"Có"),"Nguồn chưa xác định; ","")))</f>
        <v/>
      </c>
      <c r="V752" s="22">
        <f>IF(OR($D752="",$R752="Trùng"),"",IF(COUNTIF(ORDERS!$C$2:$C$4995,$D752)&gt;0,"Có","Không"))</f>
        <v/>
      </c>
      <c r="W752" s="22">
        <f>IF(OR($D752="",$R752="Trùng"),"",COUNTIFS(ORDERS!$C$2:$C$4995,$D752,ORDERS!$L$2:$L$4995,"Đã chuyển khoản"))</f>
        <v/>
      </c>
      <c r="X752" s="23">
        <f>IF(OR($D752="",$R752="Trùng"),"",SUMIFS(ORDERS!$J$2:$J$4995,ORDERS!$C$2:$C$4995,$D752,ORDERS!$L$2:$L$4995,"Đã chuyển khoản"))</f>
        <v/>
      </c>
      <c r="Y752" s="24" t="n"/>
    </row>
    <row r="753" ht="14.25" customHeight="1" s="40">
      <c r="A753" s="24" t="n"/>
      <c r="B753" s="27" t="n"/>
      <c r="C753" s="24" t="n"/>
      <c r="D753" s="28" t="n"/>
      <c r="E753" s="29" t="n"/>
      <c r="F753" s="24" t="n"/>
      <c r="G753" s="24" t="n"/>
      <c r="H753" s="21">
        <f>IF(ISNUMBER($B753),INT($B753)-WEEKDAY($B753,2)+1,"")</f>
        <v/>
      </c>
      <c r="I753" s="24" t="n"/>
      <c r="J753" s="22">
        <f t="array" ref="J753">IF($D753="","",IF($I753="","(trống REF)",IFERROR(INDEX(MASTER_SOURCE!$B$2:$B$495,MATCH($I753,MASTER_SOURCE!$A$2:$A$495,0)),"(REF không có trong MASTER_SOURCE)")))</f>
        <v/>
      </c>
      <c r="K753" s="22">
        <f t="array" ref="K753">IF($D753="","",IFERROR(INDEX(MASTER_SOURCE!$C$2:$C$495,MATCH($I753,MASTER_SOURCE!$A$2:$A$495,0)),""))</f>
        <v/>
      </c>
      <c r="L753" s="22">
        <f t="array" ref="L753">IF($D753="","",IFERROR(INDEX(MASTER_SOURCE!$D$2:$D$495,MATCH($I753,MASTER_SOURCE!$A$2:$A$495,0)),""))</f>
        <v/>
      </c>
      <c r="M753" s="24" t="n"/>
      <c r="N753" s="24" t="n"/>
      <c r="O753" s="24" t="n"/>
      <c r="P753" s="24" t="n"/>
      <c r="Q753" s="22">
        <f>IF($D753="","",IF(AND(OR(DANH_MUC!$L$5&lt;&gt;"Có",M753="Có"),OR(DANH_MUC!$L$6&lt;&gt;"Có",N753="Có"),OR(DANH_MUC!$L$7&lt;&gt;"Có",O753="Có"),OR(DANH_MUC!$L$8&lt;&gt;"Có",P753="Có")),"Có","Không"))</f>
        <v/>
      </c>
      <c r="R753" s="22">
        <f>IF($D753="","",IF(COUNTIF($D$2:$D753,$D753)&gt;1,"Trùng",""))</f>
        <v/>
      </c>
      <c r="S753" s="22">
        <f>IF($D753="","",IF(AND(LEN($D753)=10,LEFT($D753,1)="0",ISNUMBER(--$D753)),"Có","Không"))</f>
        <v/>
      </c>
      <c r="T753" s="22">
        <f>IF($D753="","",IF(AND($C753&lt;&gt;"",$Q753="Có",$R753="",$S753="Có",AND($L753&lt;&gt;"",OR($L753&lt;&gt;"Chưa xác định",DANH_MUC!$L$9="Có"))),"Có","Không"))</f>
        <v/>
      </c>
      <c r="U753" s="22">
        <f>IF(OR($D753="",$T753="Có"),"",IF($C753="","Thiếu họ tên; ","")&amp;IF($S753&lt;&gt;"Có","SĐT sai định dạng; ","")&amp;IF($R753="Trùng","Trùng SĐT; ","")&amp;IF($Q753&lt;&gt;"Có","Thiếu đồng ý bắt buộc; ","")&amp;IF($L753="","Thiếu/sai Mã REF; ",IF(AND($L753="Chưa xác định",DANH_MUC!$L$9&lt;&gt;"Có"),"Nguồn chưa xác định; ","")))</f>
        <v/>
      </c>
      <c r="V753" s="22">
        <f>IF(OR($D753="",$R753="Trùng"),"",IF(COUNTIF(ORDERS!$C$2:$C$4995,$D753)&gt;0,"Có","Không"))</f>
        <v/>
      </c>
      <c r="W753" s="22">
        <f>IF(OR($D753="",$R753="Trùng"),"",COUNTIFS(ORDERS!$C$2:$C$4995,$D753,ORDERS!$L$2:$L$4995,"Đã chuyển khoản"))</f>
        <v/>
      </c>
      <c r="X753" s="23">
        <f>IF(OR($D753="",$R753="Trùng"),"",SUMIFS(ORDERS!$J$2:$J$4995,ORDERS!$C$2:$C$4995,$D753,ORDERS!$L$2:$L$4995,"Đã chuyển khoản"))</f>
        <v/>
      </c>
      <c r="Y753" s="24" t="n"/>
    </row>
    <row r="754" ht="14.25" customHeight="1" s="40">
      <c r="A754" s="24" t="n"/>
      <c r="B754" s="27" t="n"/>
      <c r="C754" s="24" t="n"/>
      <c r="D754" s="28" t="n"/>
      <c r="E754" s="29" t="n"/>
      <c r="F754" s="24" t="n"/>
      <c r="G754" s="24" t="n"/>
      <c r="H754" s="21">
        <f>IF(ISNUMBER($B754),INT($B754)-WEEKDAY($B754,2)+1,"")</f>
        <v/>
      </c>
      <c r="I754" s="24" t="n"/>
      <c r="J754" s="22">
        <f t="array" ref="J754">IF($D754="","",IF($I754="","(trống REF)",IFERROR(INDEX(MASTER_SOURCE!$B$2:$B$495,MATCH($I754,MASTER_SOURCE!$A$2:$A$495,0)),"(REF không có trong MASTER_SOURCE)")))</f>
        <v/>
      </c>
      <c r="K754" s="22">
        <f t="array" ref="K754">IF($D754="","",IFERROR(INDEX(MASTER_SOURCE!$C$2:$C$495,MATCH($I754,MASTER_SOURCE!$A$2:$A$495,0)),""))</f>
        <v/>
      </c>
      <c r="L754" s="22">
        <f t="array" ref="L754">IF($D754="","",IFERROR(INDEX(MASTER_SOURCE!$D$2:$D$495,MATCH($I754,MASTER_SOURCE!$A$2:$A$495,0)),""))</f>
        <v/>
      </c>
      <c r="M754" s="24" t="n"/>
      <c r="N754" s="24" t="n"/>
      <c r="O754" s="24" t="n"/>
      <c r="P754" s="24" t="n"/>
      <c r="Q754" s="22">
        <f>IF($D754="","",IF(AND(OR(DANH_MUC!$L$5&lt;&gt;"Có",M754="Có"),OR(DANH_MUC!$L$6&lt;&gt;"Có",N754="Có"),OR(DANH_MUC!$L$7&lt;&gt;"Có",O754="Có"),OR(DANH_MUC!$L$8&lt;&gt;"Có",P754="Có")),"Có","Không"))</f>
        <v/>
      </c>
      <c r="R754" s="22">
        <f>IF($D754="","",IF(COUNTIF($D$2:$D754,$D754)&gt;1,"Trùng",""))</f>
        <v/>
      </c>
      <c r="S754" s="22">
        <f>IF($D754="","",IF(AND(LEN($D754)=10,LEFT($D754,1)="0",ISNUMBER(--$D754)),"Có","Không"))</f>
        <v/>
      </c>
      <c r="T754" s="22">
        <f>IF($D754="","",IF(AND($C754&lt;&gt;"",$Q754="Có",$R754="",$S754="Có",AND($L754&lt;&gt;"",OR($L754&lt;&gt;"Chưa xác định",DANH_MUC!$L$9="Có"))),"Có","Không"))</f>
        <v/>
      </c>
      <c r="U754" s="22">
        <f>IF(OR($D754="",$T754="Có"),"",IF($C754="","Thiếu họ tên; ","")&amp;IF($S754&lt;&gt;"Có","SĐT sai định dạng; ","")&amp;IF($R754="Trùng","Trùng SĐT; ","")&amp;IF($Q754&lt;&gt;"Có","Thiếu đồng ý bắt buộc; ","")&amp;IF($L754="","Thiếu/sai Mã REF; ",IF(AND($L754="Chưa xác định",DANH_MUC!$L$9&lt;&gt;"Có"),"Nguồn chưa xác định; ","")))</f>
        <v/>
      </c>
      <c r="V754" s="22">
        <f>IF(OR($D754="",$R754="Trùng"),"",IF(COUNTIF(ORDERS!$C$2:$C$4995,$D754)&gt;0,"Có","Không"))</f>
        <v/>
      </c>
      <c r="W754" s="22">
        <f>IF(OR($D754="",$R754="Trùng"),"",COUNTIFS(ORDERS!$C$2:$C$4995,$D754,ORDERS!$L$2:$L$4995,"Đã chuyển khoản"))</f>
        <v/>
      </c>
      <c r="X754" s="23">
        <f>IF(OR($D754="",$R754="Trùng"),"",SUMIFS(ORDERS!$J$2:$J$4995,ORDERS!$C$2:$C$4995,$D754,ORDERS!$L$2:$L$4995,"Đã chuyển khoản"))</f>
        <v/>
      </c>
      <c r="Y754" s="24" t="n"/>
    </row>
    <row r="755" ht="14.25" customHeight="1" s="40">
      <c r="A755" s="24" t="n"/>
      <c r="B755" s="27" t="n"/>
      <c r="C755" s="24" t="n"/>
      <c r="D755" s="28" t="n"/>
      <c r="E755" s="29" t="n"/>
      <c r="F755" s="24" t="n"/>
      <c r="G755" s="24" t="n"/>
      <c r="H755" s="21">
        <f>IF(ISNUMBER($B755),INT($B755)-WEEKDAY($B755,2)+1,"")</f>
        <v/>
      </c>
      <c r="I755" s="24" t="n"/>
      <c r="J755" s="22">
        <f t="array" ref="J755">IF($D755="","",IF($I755="","(trống REF)",IFERROR(INDEX(MASTER_SOURCE!$B$2:$B$495,MATCH($I755,MASTER_SOURCE!$A$2:$A$495,0)),"(REF không có trong MASTER_SOURCE)")))</f>
        <v/>
      </c>
      <c r="K755" s="22">
        <f t="array" ref="K755">IF($D755="","",IFERROR(INDEX(MASTER_SOURCE!$C$2:$C$495,MATCH($I755,MASTER_SOURCE!$A$2:$A$495,0)),""))</f>
        <v/>
      </c>
      <c r="L755" s="22">
        <f t="array" ref="L755">IF($D755="","",IFERROR(INDEX(MASTER_SOURCE!$D$2:$D$495,MATCH($I755,MASTER_SOURCE!$A$2:$A$495,0)),""))</f>
        <v/>
      </c>
      <c r="M755" s="24" t="n"/>
      <c r="N755" s="24" t="n"/>
      <c r="O755" s="24" t="n"/>
      <c r="P755" s="24" t="n"/>
      <c r="Q755" s="22">
        <f>IF($D755="","",IF(AND(OR(DANH_MUC!$L$5&lt;&gt;"Có",M755="Có"),OR(DANH_MUC!$L$6&lt;&gt;"Có",N755="Có"),OR(DANH_MUC!$L$7&lt;&gt;"Có",O755="Có"),OR(DANH_MUC!$L$8&lt;&gt;"Có",P755="Có")),"Có","Không"))</f>
        <v/>
      </c>
      <c r="R755" s="22">
        <f>IF($D755="","",IF(COUNTIF($D$2:$D755,$D755)&gt;1,"Trùng",""))</f>
        <v/>
      </c>
      <c r="S755" s="22">
        <f>IF($D755="","",IF(AND(LEN($D755)=10,LEFT($D755,1)="0",ISNUMBER(--$D755)),"Có","Không"))</f>
        <v/>
      </c>
      <c r="T755" s="22">
        <f>IF($D755="","",IF(AND($C755&lt;&gt;"",$Q755="Có",$R755="",$S755="Có",AND($L755&lt;&gt;"",OR($L755&lt;&gt;"Chưa xác định",DANH_MUC!$L$9="Có"))),"Có","Không"))</f>
        <v/>
      </c>
      <c r="U755" s="22">
        <f>IF(OR($D755="",$T755="Có"),"",IF($C755="","Thiếu họ tên; ","")&amp;IF($S755&lt;&gt;"Có","SĐT sai định dạng; ","")&amp;IF($R755="Trùng","Trùng SĐT; ","")&amp;IF($Q755&lt;&gt;"Có","Thiếu đồng ý bắt buộc; ","")&amp;IF($L755="","Thiếu/sai Mã REF; ",IF(AND($L755="Chưa xác định",DANH_MUC!$L$9&lt;&gt;"Có"),"Nguồn chưa xác định; ","")))</f>
        <v/>
      </c>
      <c r="V755" s="22">
        <f>IF(OR($D755="",$R755="Trùng"),"",IF(COUNTIF(ORDERS!$C$2:$C$4995,$D755)&gt;0,"Có","Không"))</f>
        <v/>
      </c>
      <c r="W755" s="22">
        <f>IF(OR($D755="",$R755="Trùng"),"",COUNTIFS(ORDERS!$C$2:$C$4995,$D755,ORDERS!$L$2:$L$4995,"Đã chuyển khoản"))</f>
        <v/>
      </c>
      <c r="X755" s="23">
        <f>IF(OR($D755="",$R755="Trùng"),"",SUMIFS(ORDERS!$J$2:$J$4995,ORDERS!$C$2:$C$4995,$D755,ORDERS!$L$2:$L$4995,"Đã chuyển khoản"))</f>
        <v/>
      </c>
      <c r="Y755" s="24" t="n"/>
    </row>
    <row r="756" ht="14.25" customHeight="1" s="40">
      <c r="A756" s="24" t="n"/>
      <c r="B756" s="27" t="n"/>
      <c r="C756" s="24" t="n"/>
      <c r="D756" s="28" t="n"/>
      <c r="E756" s="29" t="n"/>
      <c r="F756" s="24" t="n"/>
      <c r="G756" s="24" t="n"/>
      <c r="H756" s="21">
        <f>IF(ISNUMBER($B756),INT($B756)-WEEKDAY($B756,2)+1,"")</f>
        <v/>
      </c>
      <c r="I756" s="24" t="n"/>
      <c r="J756" s="22">
        <f t="array" ref="J756">IF($D756="","",IF($I756="","(trống REF)",IFERROR(INDEX(MASTER_SOURCE!$B$2:$B$495,MATCH($I756,MASTER_SOURCE!$A$2:$A$495,0)),"(REF không có trong MASTER_SOURCE)")))</f>
        <v/>
      </c>
      <c r="K756" s="22">
        <f t="array" ref="K756">IF($D756="","",IFERROR(INDEX(MASTER_SOURCE!$C$2:$C$495,MATCH($I756,MASTER_SOURCE!$A$2:$A$495,0)),""))</f>
        <v/>
      </c>
      <c r="L756" s="22">
        <f t="array" ref="L756">IF($D756="","",IFERROR(INDEX(MASTER_SOURCE!$D$2:$D$495,MATCH($I756,MASTER_SOURCE!$A$2:$A$495,0)),""))</f>
        <v/>
      </c>
      <c r="M756" s="24" t="n"/>
      <c r="N756" s="24" t="n"/>
      <c r="O756" s="24" t="n"/>
      <c r="P756" s="24" t="n"/>
      <c r="Q756" s="22">
        <f>IF($D756="","",IF(AND(OR(DANH_MUC!$L$5&lt;&gt;"Có",M756="Có"),OR(DANH_MUC!$L$6&lt;&gt;"Có",N756="Có"),OR(DANH_MUC!$L$7&lt;&gt;"Có",O756="Có"),OR(DANH_MUC!$L$8&lt;&gt;"Có",P756="Có")),"Có","Không"))</f>
        <v/>
      </c>
      <c r="R756" s="22">
        <f>IF($D756="","",IF(COUNTIF($D$2:$D756,$D756)&gt;1,"Trùng",""))</f>
        <v/>
      </c>
      <c r="S756" s="22">
        <f>IF($D756="","",IF(AND(LEN($D756)=10,LEFT($D756,1)="0",ISNUMBER(--$D756)),"Có","Không"))</f>
        <v/>
      </c>
      <c r="T756" s="22">
        <f>IF($D756="","",IF(AND($C756&lt;&gt;"",$Q756="Có",$R756="",$S756="Có",AND($L756&lt;&gt;"",OR($L756&lt;&gt;"Chưa xác định",DANH_MUC!$L$9="Có"))),"Có","Không"))</f>
        <v/>
      </c>
      <c r="U756" s="22">
        <f>IF(OR($D756="",$T756="Có"),"",IF($C756="","Thiếu họ tên; ","")&amp;IF($S756&lt;&gt;"Có","SĐT sai định dạng; ","")&amp;IF($R756="Trùng","Trùng SĐT; ","")&amp;IF($Q756&lt;&gt;"Có","Thiếu đồng ý bắt buộc; ","")&amp;IF($L756="","Thiếu/sai Mã REF; ",IF(AND($L756="Chưa xác định",DANH_MUC!$L$9&lt;&gt;"Có"),"Nguồn chưa xác định; ","")))</f>
        <v/>
      </c>
      <c r="V756" s="22">
        <f>IF(OR($D756="",$R756="Trùng"),"",IF(COUNTIF(ORDERS!$C$2:$C$4995,$D756)&gt;0,"Có","Không"))</f>
        <v/>
      </c>
      <c r="W756" s="22">
        <f>IF(OR($D756="",$R756="Trùng"),"",COUNTIFS(ORDERS!$C$2:$C$4995,$D756,ORDERS!$L$2:$L$4995,"Đã chuyển khoản"))</f>
        <v/>
      </c>
      <c r="X756" s="23">
        <f>IF(OR($D756="",$R756="Trùng"),"",SUMIFS(ORDERS!$J$2:$J$4995,ORDERS!$C$2:$C$4995,$D756,ORDERS!$L$2:$L$4995,"Đã chuyển khoản"))</f>
        <v/>
      </c>
      <c r="Y756" s="24" t="n"/>
    </row>
    <row r="757" ht="14.25" customHeight="1" s="40">
      <c r="A757" s="24" t="n"/>
      <c r="B757" s="27" t="n"/>
      <c r="C757" s="24" t="n"/>
      <c r="D757" s="28" t="n"/>
      <c r="E757" s="29" t="n"/>
      <c r="F757" s="24" t="n"/>
      <c r="G757" s="24" t="n"/>
      <c r="H757" s="21">
        <f>IF(ISNUMBER($B757),INT($B757)-WEEKDAY($B757,2)+1,"")</f>
        <v/>
      </c>
      <c r="I757" s="24" t="n"/>
      <c r="J757" s="22">
        <f t="array" ref="J757">IF($D757="","",IF($I757="","(trống REF)",IFERROR(INDEX(MASTER_SOURCE!$B$2:$B$495,MATCH($I757,MASTER_SOURCE!$A$2:$A$495,0)),"(REF không có trong MASTER_SOURCE)")))</f>
        <v/>
      </c>
      <c r="K757" s="22">
        <f t="array" ref="K757">IF($D757="","",IFERROR(INDEX(MASTER_SOURCE!$C$2:$C$495,MATCH($I757,MASTER_SOURCE!$A$2:$A$495,0)),""))</f>
        <v/>
      </c>
      <c r="L757" s="22">
        <f t="array" ref="L757">IF($D757="","",IFERROR(INDEX(MASTER_SOURCE!$D$2:$D$495,MATCH($I757,MASTER_SOURCE!$A$2:$A$495,0)),""))</f>
        <v/>
      </c>
      <c r="M757" s="24" t="n"/>
      <c r="N757" s="24" t="n"/>
      <c r="O757" s="24" t="n"/>
      <c r="P757" s="24" t="n"/>
      <c r="Q757" s="22">
        <f>IF($D757="","",IF(AND(OR(DANH_MUC!$L$5&lt;&gt;"Có",M757="Có"),OR(DANH_MUC!$L$6&lt;&gt;"Có",N757="Có"),OR(DANH_MUC!$L$7&lt;&gt;"Có",O757="Có"),OR(DANH_MUC!$L$8&lt;&gt;"Có",P757="Có")),"Có","Không"))</f>
        <v/>
      </c>
      <c r="R757" s="22">
        <f>IF($D757="","",IF(COUNTIF($D$2:$D757,$D757)&gt;1,"Trùng",""))</f>
        <v/>
      </c>
      <c r="S757" s="22">
        <f>IF($D757="","",IF(AND(LEN($D757)=10,LEFT($D757,1)="0",ISNUMBER(--$D757)),"Có","Không"))</f>
        <v/>
      </c>
      <c r="T757" s="22">
        <f>IF($D757="","",IF(AND($C757&lt;&gt;"",$Q757="Có",$R757="",$S757="Có",AND($L757&lt;&gt;"",OR($L757&lt;&gt;"Chưa xác định",DANH_MUC!$L$9="Có"))),"Có","Không"))</f>
        <v/>
      </c>
      <c r="U757" s="22">
        <f>IF(OR($D757="",$T757="Có"),"",IF($C757="","Thiếu họ tên; ","")&amp;IF($S757&lt;&gt;"Có","SĐT sai định dạng; ","")&amp;IF($R757="Trùng","Trùng SĐT; ","")&amp;IF($Q757&lt;&gt;"Có","Thiếu đồng ý bắt buộc; ","")&amp;IF($L757="","Thiếu/sai Mã REF; ",IF(AND($L757="Chưa xác định",DANH_MUC!$L$9&lt;&gt;"Có"),"Nguồn chưa xác định; ","")))</f>
        <v/>
      </c>
      <c r="V757" s="22">
        <f>IF(OR($D757="",$R757="Trùng"),"",IF(COUNTIF(ORDERS!$C$2:$C$4995,$D757)&gt;0,"Có","Không"))</f>
        <v/>
      </c>
      <c r="W757" s="22">
        <f>IF(OR($D757="",$R757="Trùng"),"",COUNTIFS(ORDERS!$C$2:$C$4995,$D757,ORDERS!$L$2:$L$4995,"Đã chuyển khoản"))</f>
        <v/>
      </c>
      <c r="X757" s="23">
        <f>IF(OR($D757="",$R757="Trùng"),"",SUMIFS(ORDERS!$J$2:$J$4995,ORDERS!$C$2:$C$4995,$D757,ORDERS!$L$2:$L$4995,"Đã chuyển khoản"))</f>
        <v/>
      </c>
      <c r="Y757" s="24" t="n"/>
    </row>
    <row r="758" ht="14.25" customHeight="1" s="40">
      <c r="A758" s="24" t="n"/>
      <c r="B758" s="27" t="n"/>
      <c r="C758" s="24" t="n"/>
      <c r="D758" s="28" t="n"/>
      <c r="E758" s="29" t="n"/>
      <c r="F758" s="24" t="n"/>
      <c r="G758" s="24" t="n"/>
      <c r="H758" s="21">
        <f>IF(ISNUMBER($B758),INT($B758)-WEEKDAY($B758,2)+1,"")</f>
        <v/>
      </c>
      <c r="I758" s="24" t="n"/>
      <c r="J758" s="22">
        <f t="array" ref="J758">IF($D758="","",IF($I758="","(trống REF)",IFERROR(INDEX(MASTER_SOURCE!$B$2:$B$495,MATCH($I758,MASTER_SOURCE!$A$2:$A$495,0)),"(REF không có trong MASTER_SOURCE)")))</f>
        <v/>
      </c>
      <c r="K758" s="22">
        <f t="array" ref="K758">IF($D758="","",IFERROR(INDEX(MASTER_SOURCE!$C$2:$C$495,MATCH($I758,MASTER_SOURCE!$A$2:$A$495,0)),""))</f>
        <v/>
      </c>
      <c r="L758" s="22">
        <f t="array" ref="L758">IF($D758="","",IFERROR(INDEX(MASTER_SOURCE!$D$2:$D$495,MATCH($I758,MASTER_SOURCE!$A$2:$A$495,0)),""))</f>
        <v/>
      </c>
      <c r="M758" s="24" t="n"/>
      <c r="N758" s="24" t="n"/>
      <c r="O758" s="24" t="n"/>
      <c r="P758" s="24" t="n"/>
      <c r="Q758" s="22">
        <f>IF($D758="","",IF(AND(OR(DANH_MUC!$L$5&lt;&gt;"Có",M758="Có"),OR(DANH_MUC!$L$6&lt;&gt;"Có",N758="Có"),OR(DANH_MUC!$L$7&lt;&gt;"Có",O758="Có"),OR(DANH_MUC!$L$8&lt;&gt;"Có",P758="Có")),"Có","Không"))</f>
        <v/>
      </c>
      <c r="R758" s="22">
        <f>IF($D758="","",IF(COUNTIF($D$2:$D758,$D758)&gt;1,"Trùng",""))</f>
        <v/>
      </c>
      <c r="S758" s="22">
        <f>IF($D758="","",IF(AND(LEN($D758)=10,LEFT($D758,1)="0",ISNUMBER(--$D758)),"Có","Không"))</f>
        <v/>
      </c>
      <c r="T758" s="22">
        <f>IF($D758="","",IF(AND($C758&lt;&gt;"",$Q758="Có",$R758="",$S758="Có",AND($L758&lt;&gt;"",OR($L758&lt;&gt;"Chưa xác định",DANH_MUC!$L$9="Có"))),"Có","Không"))</f>
        <v/>
      </c>
      <c r="U758" s="22">
        <f>IF(OR($D758="",$T758="Có"),"",IF($C758="","Thiếu họ tên; ","")&amp;IF($S758&lt;&gt;"Có","SĐT sai định dạng; ","")&amp;IF($R758="Trùng","Trùng SĐT; ","")&amp;IF($Q758&lt;&gt;"Có","Thiếu đồng ý bắt buộc; ","")&amp;IF($L758="","Thiếu/sai Mã REF; ",IF(AND($L758="Chưa xác định",DANH_MUC!$L$9&lt;&gt;"Có"),"Nguồn chưa xác định; ","")))</f>
        <v/>
      </c>
      <c r="V758" s="22">
        <f>IF(OR($D758="",$R758="Trùng"),"",IF(COUNTIF(ORDERS!$C$2:$C$4995,$D758)&gt;0,"Có","Không"))</f>
        <v/>
      </c>
      <c r="W758" s="22">
        <f>IF(OR($D758="",$R758="Trùng"),"",COUNTIFS(ORDERS!$C$2:$C$4995,$D758,ORDERS!$L$2:$L$4995,"Đã chuyển khoản"))</f>
        <v/>
      </c>
      <c r="X758" s="23">
        <f>IF(OR($D758="",$R758="Trùng"),"",SUMIFS(ORDERS!$J$2:$J$4995,ORDERS!$C$2:$C$4995,$D758,ORDERS!$L$2:$L$4995,"Đã chuyển khoản"))</f>
        <v/>
      </c>
      <c r="Y758" s="24" t="n"/>
    </row>
    <row r="759" ht="14.25" customHeight="1" s="40">
      <c r="A759" s="24" t="n"/>
      <c r="B759" s="27" t="n"/>
      <c r="C759" s="24" t="n"/>
      <c r="D759" s="28" t="n"/>
      <c r="E759" s="29" t="n"/>
      <c r="F759" s="24" t="n"/>
      <c r="G759" s="24" t="n"/>
      <c r="H759" s="21">
        <f>IF(ISNUMBER($B759),INT($B759)-WEEKDAY($B759,2)+1,"")</f>
        <v/>
      </c>
      <c r="I759" s="24" t="n"/>
      <c r="J759" s="22">
        <f t="array" ref="J759">IF($D759="","",IF($I759="","(trống REF)",IFERROR(INDEX(MASTER_SOURCE!$B$2:$B$495,MATCH($I759,MASTER_SOURCE!$A$2:$A$495,0)),"(REF không có trong MASTER_SOURCE)")))</f>
        <v/>
      </c>
      <c r="K759" s="22">
        <f t="array" ref="K759">IF($D759="","",IFERROR(INDEX(MASTER_SOURCE!$C$2:$C$495,MATCH($I759,MASTER_SOURCE!$A$2:$A$495,0)),""))</f>
        <v/>
      </c>
      <c r="L759" s="22">
        <f t="array" ref="L759">IF($D759="","",IFERROR(INDEX(MASTER_SOURCE!$D$2:$D$495,MATCH($I759,MASTER_SOURCE!$A$2:$A$495,0)),""))</f>
        <v/>
      </c>
      <c r="M759" s="24" t="n"/>
      <c r="N759" s="24" t="n"/>
      <c r="O759" s="24" t="n"/>
      <c r="P759" s="24" t="n"/>
      <c r="Q759" s="22">
        <f>IF($D759="","",IF(AND(OR(DANH_MUC!$L$5&lt;&gt;"Có",M759="Có"),OR(DANH_MUC!$L$6&lt;&gt;"Có",N759="Có"),OR(DANH_MUC!$L$7&lt;&gt;"Có",O759="Có"),OR(DANH_MUC!$L$8&lt;&gt;"Có",P759="Có")),"Có","Không"))</f>
        <v/>
      </c>
      <c r="R759" s="22">
        <f>IF($D759="","",IF(COUNTIF($D$2:$D759,$D759)&gt;1,"Trùng",""))</f>
        <v/>
      </c>
      <c r="S759" s="22">
        <f>IF($D759="","",IF(AND(LEN($D759)=10,LEFT($D759,1)="0",ISNUMBER(--$D759)),"Có","Không"))</f>
        <v/>
      </c>
      <c r="T759" s="22">
        <f>IF($D759="","",IF(AND($C759&lt;&gt;"",$Q759="Có",$R759="",$S759="Có",AND($L759&lt;&gt;"",OR($L759&lt;&gt;"Chưa xác định",DANH_MUC!$L$9="Có"))),"Có","Không"))</f>
        <v/>
      </c>
      <c r="U759" s="22">
        <f>IF(OR($D759="",$T759="Có"),"",IF($C759="","Thiếu họ tên; ","")&amp;IF($S759&lt;&gt;"Có","SĐT sai định dạng; ","")&amp;IF($R759="Trùng","Trùng SĐT; ","")&amp;IF($Q759&lt;&gt;"Có","Thiếu đồng ý bắt buộc; ","")&amp;IF($L759="","Thiếu/sai Mã REF; ",IF(AND($L759="Chưa xác định",DANH_MUC!$L$9&lt;&gt;"Có"),"Nguồn chưa xác định; ","")))</f>
        <v/>
      </c>
      <c r="V759" s="22">
        <f>IF(OR($D759="",$R759="Trùng"),"",IF(COUNTIF(ORDERS!$C$2:$C$4995,$D759)&gt;0,"Có","Không"))</f>
        <v/>
      </c>
      <c r="W759" s="22">
        <f>IF(OR($D759="",$R759="Trùng"),"",COUNTIFS(ORDERS!$C$2:$C$4995,$D759,ORDERS!$L$2:$L$4995,"Đã chuyển khoản"))</f>
        <v/>
      </c>
      <c r="X759" s="23">
        <f>IF(OR($D759="",$R759="Trùng"),"",SUMIFS(ORDERS!$J$2:$J$4995,ORDERS!$C$2:$C$4995,$D759,ORDERS!$L$2:$L$4995,"Đã chuyển khoản"))</f>
        <v/>
      </c>
      <c r="Y759" s="24" t="n"/>
    </row>
    <row r="760" ht="14.25" customHeight="1" s="40">
      <c r="A760" s="24" t="n"/>
      <c r="B760" s="27" t="n"/>
      <c r="C760" s="24" t="n"/>
      <c r="D760" s="28" t="n"/>
      <c r="E760" s="29" t="n"/>
      <c r="F760" s="24" t="n"/>
      <c r="G760" s="24" t="n"/>
      <c r="H760" s="21">
        <f>IF(ISNUMBER($B760),INT($B760)-WEEKDAY($B760,2)+1,"")</f>
        <v/>
      </c>
      <c r="I760" s="24" t="n"/>
      <c r="J760" s="22">
        <f t="array" ref="J760">IF($D760="","",IF($I760="","(trống REF)",IFERROR(INDEX(MASTER_SOURCE!$B$2:$B$495,MATCH($I760,MASTER_SOURCE!$A$2:$A$495,0)),"(REF không có trong MASTER_SOURCE)")))</f>
        <v/>
      </c>
      <c r="K760" s="22">
        <f t="array" ref="K760">IF($D760="","",IFERROR(INDEX(MASTER_SOURCE!$C$2:$C$495,MATCH($I760,MASTER_SOURCE!$A$2:$A$495,0)),""))</f>
        <v/>
      </c>
      <c r="L760" s="22">
        <f t="array" ref="L760">IF($D760="","",IFERROR(INDEX(MASTER_SOURCE!$D$2:$D$495,MATCH($I760,MASTER_SOURCE!$A$2:$A$495,0)),""))</f>
        <v/>
      </c>
      <c r="M760" s="24" t="n"/>
      <c r="N760" s="24" t="n"/>
      <c r="O760" s="24" t="n"/>
      <c r="P760" s="24" t="n"/>
      <c r="Q760" s="22">
        <f>IF($D760="","",IF(AND(OR(DANH_MUC!$L$5&lt;&gt;"Có",M760="Có"),OR(DANH_MUC!$L$6&lt;&gt;"Có",N760="Có"),OR(DANH_MUC!$L$7&lt;&gt;"Có",O760="Có"),OR(DANH_MUC!$L$8&lt;&gt;"Có",P760="Có")),"Có","Không"))</f>
        <v/>
      </c>
      <c r="R760" s="22">
        <f>IF($D760="","",IF(COUNTIF($D$2:$D760,$D760)&gt;1,"Trùng",""))</f>
        <v/>
      </c>
      <c r="S760" s="22">
        <f>IF($D760="","",IF(AND(LEN($D760)=10,LEFT($D760,1)="0",ISNUMBER(--$D760)),"Có","Không"))</f>
        <v/>
      </c>
      <c r="T760" s="22">
        <f>IF($D760="","",IF(AND($C760&lt;&gt;"",$Q760="Có",$R760="",$S760="Có",AND($L760&lt;&gt;"",OR($L760&lt;&gt;"Chưa xác định",DANH_MUC!$L$9="Có"))),"Có","Không"))</f>
        <v/>
      </c>
      <c r="U760" s="22">
        <f>IF(OR($D760="",$T760="Có"),"",IF($C760="","Thiếu họ tên; ","")&amp;IF($S760&lt;&gt;"Có","SĐT sai định dạng; ","")&amp;IF($R760="Trùng","Trùng SĐT; ","")&amp;IF($Q760&lt;&gt;"Có","Thiếu đồng ý bắt buộc; ","")&amp;IF($L760="","Thiếu/sai Mã REF; ",IF(AND($L760="Chưa xác định",DANH_MUC!$L$9&lt;&gt;"Có"),"Nguồn chưa xác định; ","")))</f>
        <v/>
      </c>
      <c r="V760" s="22">
        <f>IF(OR($D760="",$R760="Trùng"),"",IF(COUNTIF(ORDERS!$C$2:$C$4995,$D760)&gt;0,"Có","Không"))</f>
        <v/>
      </c>
      <c r="W760" s="22">
        <f>IF(OR($D760="",$R760="Trùng"),"",COUNTIFS(ORDERS!$C$2:$C$4995,$D760,ORDERS!$L$2:$L$4995,"Đã chuyển khoản"))</f>
        <v/>
      </c>
      <c r="X760" s="23">
        <f>IF(OR($D760="",$R760="Trùng"),"",SUMIFS(ORDERS!$J$2:$J$4995,ORDERS!$C$2:$C$4995,$D760,ORDERS!$L$2:$L$4995,"Đã chuyển khoản"))</f>
        <v/>
      </c>
      <c r="Y760" s="24" t="n"/>
    </row>
    <row r="761" ht="14.25" customHeight="1" s="40">
      <c r="A761" s="24" t="n"/>
      <c r="B761" s="27" t="n"/>
      <c r="C761" s="24" t="n"/>
      <c r="D761" s="28" t="n"/>
      <c r="E761" s="29" t="n"/>
      <c r="F761" s="24" t="n"/>
      <c r="G761" s="24" t="n"/>
      <c r="H761" s="21">
        <f>IF(ISNUMBER($B761),INT($B761)-WEEKDAY($B761,2)+1,"")</f>
        <v/>
      </c>
      <c r="I761" s="24" t="n"/>
      <c r="J761" s="22">
        <f t="array" ref="J761">IF($D761="","",IF($I761="","(trống REF)",IFERROR(INDEX(MASTER_SOURCE!$B$2:$B$495,MATCH($I761,MASTER_SOURCE!$A$2:$A$495,0)),"(REF không có trong MASTER_SOURCE)")))</f>
        <v/>
      </c>
      <c r="K761" s="22">
        <f t="array" ref="K761">IF($D761="","",IFERROR(INDEX(MASTER_SOURCE!$C$2:$C$495,MATCH($I761,MASTER_SOURCE!$A$2:$A$495,0)),""))</f>
        <v/>
      </c>
      <c r="L761" s="22">
        <f t="array" ref="L761">IF($D761="","",IFERROR(INDEX(MASTER_SOURCE!$D$2:$D$495,MATCH($I761,MASTER_SOURCE!$A$2:$A$495,0)),""))</f>
        <v/>
      </c>
      <c r="M761" s="24" t="n"/>
      <c r="N761" s="24" t="n"/>
      <c r="O761" s="24" t="n"/>
      <c r="P761" s="24" t="n"/>
      <c r="Q761" s="22">
        <f>IF($D761="","",IF(AND(OR(DANH_MUC!$L$5&lt;&gt;"Có",M761="Có"),OR(DANH_MUC!$L$6&lt;&gt;"Có",N761="Có"),OR(DANH_MUC!$L$7&lt;&gt;"Có",O761="Có"),OR(DANH_MUC!$L$8&lt;&gt;"Có",P761="Có")),"Có","Không"))</f>
        <v/>
      </c>
      <c r="R761" s="22">
        <f>IF($D761="","",IF(COUNTIF($D$2:$D761,$D761)&gt;1,"Trùng",""))</f>
        <v/>
      </c>
      <c r="S761" s="22">
        <f>IF($D761="","",IF(AND(LEN($D761)=10,LEFT($D761,1)="0",ISNUMBER(--$D761)),"Có","Không"))</f>
        <v/>
      </c>
      <c r="T761" s="22">
        <f>IF($D761="","",IF(AND($C761&lt;&gt;"",$Q761="Có",$R761="",$S761="Có",AND($L761&lt;&gt;"",OR($L761&lt;&gt;"Chưa xác định",DANH_MUC!$L$9="Có"))),"Có","Không"))</f>
        <v/>
      </c>
      <c r="U761" s="22">
        <f>IF(OR($D761="",$T761="Có"),"",IF($C761="","Thiếu họ tên; ","")&amp;IF($S761&lt;&gt;"Có","SĐT sai định dạng; ","")&amp;IF($R761="Trùng","Trùng SĐT; ","")&amp;IF($Q761&lt;&gt;"Có","Thiếu đồng ý bắt buộc; ","")&amp;IF($L761="","Thiếu/sai Mã REF; ",IF(AND($L761="Chưa xác định",DANH_MUC!$L$9&lt;&gt;"Có"),"Nguồn chưa xác định; ","")))</f>
        <v/>
      </c>
      <c r="V761" s="22">
        <f>IF(OR($D761="",$R761="Trùng"),"",IF(COUNTIF(ORDERS!$C$2:$C$4995,$D761)&gt;0,"Có","Không"))</f>
        <v/>
      </c>
      <c r="W761" s="22">
        <f>IF(OR($D761="",$R761="Trùng"),"",COUNTIFS(ORDERS!$C$2:$C$4995,$D761,ORDERS!$L$2:$L$4995,"Đã chuyển khoản"))</f>
        <v/>
      </c>
      <c r="X761" s="23">
        <f>IF(OR($D761="",$R761="Trùng"),"",SUMIFS(ORDERS!$J$2:$J$4995,ORDERS!$C$2:$C$4995,$D761,ORDERS!$L$2:$L$4995,"Đã chuyển khoản"))</f>
        <v/>
      </c>
      <c r="Y761" s="24" t="n"/>
    </row>
    <row r="762" ht="14.25" customHeight="1" s="40">
      <c r="A762" s="24" t="n"/>
      <c r="B762" s="27" t="n"/>
      <c r="C762" s="24" t="n"/>
      <c r="D762" s="28" t="n"/>
      <c r="E762" s="29" t="n"/>
      <c r="F762" s="24" t="n"/>
      <c r="G762" s="24" t="n"/>
      <c r="H762" s="21">
        <f>IF(ISNUMBER($B762),INT($B762)-WEEKDAY($B762,2)+1,"")</f>
        <v/>
      </c>
      <c r="I762" s="24" t="n"/>
      <c r="J762" s="22">
        <f t="array" ref="J762">IF($D762="","",IF($I762="","(trống REF)",IFERROR(INDEX(MASTER_SOURCE!$B$2:$B$495,MATCH($I762,MASTER_SOURCE!$A$2:$A$495,0)),"(REF không có trong MASTER_SOURCE)")))</f>
        <v/>
      </c>
      <c r="K762" s="22">
        <f t="array" ref="K762">IF($D762="","",IFERROR(INDEX(MASTER_SOURCE!$C$2:$C$495,MATCH($I762,MASTER_SOURCE!$A$2:$A$495,0)),""))</f>
        <v/>
      </c>
      <c r="L762" s="22">
        <f t="array" ref="L762">IF($D762="","",IFERROR(INDEX(MASTER_SOURCE!$D$2:$D$495,MATCH($I762,MASTER_SOURCE!$A$2:$A$495,0)),""))</f>
        <v/>
      </c>
      <c r="M762" s="24" t="n"/>
      <c r="N762" s="24" t="n"/>
      <c r="O762" s="24" t="n"/>
      <c r="P762" s="24" t="n"/>
      <c r="Q762" s="22">
        <f>IF($D762="","",IF(AND(OR(DANH_MUC!$L$5&lt;&gt;"Có",M762="Có"),OR(DANH_MUC!$L$6&lt;&gt;"Có",N762="Có"),OR(DANH_MUC!$L$7&lt;&gt;"Có",O762="Có"),OR(DANH_MUC!$L$8&lt;&gt;"Có",P762="Có")),"Có","Không"))</f>
        <v/>
      </c>
      <c r="R762" s="22">
        <f>IF($D762="","",IF(COUNTIF($D$2:$D762,$D762)&gt;1,"Trùng",""))</f>
        <v/>
      </c>
      <c r="S762" s="22">
        <f>IF($D762="","",IF(AND(LEN($D762)=10,LEFT($D762,1)="0",ISNUMBER(--$D762)),"Có","Không"))</f>
        <v/>
      </c>
      <c r="T762" s="22">
        <f>IF($D762="","",IF(AND($C762&lt;&gt;"",$Q762="Có",$R762="",$S762="Có",AND($L762&lt;&gt;"",OR($L762&lt;&gt;"Chưa xác định",DANH_MUC!$L$9="Có"))),"Có","Không"))</f>
        <v/>
      </c>
      <c r="U762" s="22">
        <f>IF(OR($D762="",$T762="Có"),"",IF($C762="","Thiếu họ tên; ","")&amp;IF($S762&lt;&gt;"Có","SĐT sai định dạng; ","")&amp;IF($R762="Trùng","Trùng SĐT; ","")&amp;IF($Q762&lt;&gt;"Có","Thiếu đồng ý bắt buộc; ","")&amp;IF($L762="","Thiếu/sai Mã REF; ",IF(AND($L762="Chưa xác định",DANH_MUC!$L$9&lt;&gt;"Có"),"Nguồn chưa xác định; ","")))</f>
        <v/>
      </c>
      <c r="V762" s="22">
        <f>IF(OR($D762="",$R762="Trùng"),"",IF(COUNTIF(ORDERS!$C$2:$C$4995,$D762)&gt;0,"Có","Không"))</f>
        <v/>
      </c>
      <c r="W762" s="22">
        <f>IF(OR($D762="",$R762="Trùng"),"",COUNTIFS(ORDERS!$C$2:$C$4995,$D762,ORDERS!$L$2:$L$4995,"Đã chuyển khoản"))</f>
        <v/>
      </c>
      <c r="X762" s="23">
        <f>IF(OR($D762="",$R762="Trùng"),"",SUMIFS(ORDERS!$J$2:$J$4995,ORDERS!$C$2:$C$4995,$D762,ORDERS!$L$2:$L$4995,"Đã chuyển khoản"))</f>
        <v/>
      </c>
      <c r="Y762" s="24" t="n"/>
    </row>
    <row r="763" ht="14.25" customHeight="1" s="40">
      <c r="A763" s="24" t="n"/>
      <c r="B763" s="27" t="n"/>
      <c r="C763" s="24" t="n"/>
      <c r="D763" s="28" t="n"/>
      <c r="E763" s="29" t="n"/>
      <c r="F763" s="24" t="n"/>
      <c r="G763" s="24" t="n"/>
      <c r="H763" s="21">
        <f>IF(ISNUMBER($B763),INT($B763)-WEEKDAY($B763,2)+1,"")</f>
        <v/>
      </c>
      <c r="I763" s="24" t="n"/>
      <c r="J763" s="22">
        <f t="array" ref="J763">IF($D763="","",IF($I763="","(trống REF)",IFERROR(INDEX(MASTER_SOURCE!$B$2:$B$495,MATCH($I763,MASTER_SOURCE!$A$2:$A$495,0)),"(REF không có trong MASTER_SOURCE)")))</f>
        <v/>
      </c>
      <c r="K763" s="22">
        <f t="array" ref="K763">IF($D763="","",IFERROR(INDEX(MASTER_SOURCE!$C$2:$C$495,MATCH($I763,MASTER_SOURCE!$A$2:$A$495,0)),""))</f>
        <v/>
      </c>
      <c r="L763" s="22">
        <f t="array" ref="L763">IF($D763="","",IFERROR(INDEX(MASTER_SOURCE!$D$2:$D$495,MATCH($I763,MASTER_SOURCE!$A$2:$A$495,0)),""))</f>
        <v/>
      </c>
      <c r="M763" s="24" t="n"/>
      <c r="N763" s="24" t="n"/>
      <c r="O763" s="24" t="n"/>
      <c r="P763" s="24" t="n"/>
      <c r="Q763" s="22">
        <f>IF($D763="","",IF(AND(OR(DANH_MUC!$L$5&lt;&gt;"Có",M763="Có"),OR(DANH_MUC!$L$6&lt;&gt;"Có",N763="Có"),OR(DANH_MUC!$L$7&lt;&gt;"Có",O763="Có"),OR(DANH_MUC!$L$8&lt;&gt;"Có",P763="Có")),"Có","Không"))</f>
        <v/>
      </c>
      <c r="R763" s="22">
        <f>IF($D763="","",IF(COUNTIF($D$2:$D763,$D763)&gt;1,"Trùng",""))</f>
        <v/>
      </c>
      <c r="S763" s="22">
        <f>IF($D763="","",IF(AND(LEN($D763)=10,LEFT($D763,1)="0",ISNUMBER(--$D763)),"Có","Không"))</f>
        <v/>
      </c>
      <c r="T763" s="22">
        <f>IF($D763="","",IF(AND($C763&lt;&gt;"",$Q763="Có",$R763="",$S763="Có",AND($L763&lt;&gt;"",OR($L763&lt;&gt;"Chưa xác định",DANH_MUC!$L$9="Có"))),"Có","Không"))</f>
        <v/>
      </c>
      <c r="U763" s="22">
        <f>IF(OR($D763="",$T763="Có"),"",IF($C763="","Thiếu họ tên; ","")&amp;IF($S763&lt;&gt;"Có","SĐT sai định dạng; ","")&amp;IF($R763="Trùng","Trùng SĐT; ","")&amp;IF($Q763&lt;&gt;"Có","Thiếu đồng ý bắt buộc; ","")&amp;IF($L763="","Thiếu/sai Mã REF; ",IF(AND($L763="Chưa xác định",DANH_MUC!$L$9&lt;&gt;"Có"),"Nguồn chưa xác định; ","")))</f>
        <v/>
      </c>
      <c r="V763" s="22">
        <f>IF(OR($D763="",$R763="Trùng"),"",IF(COUNTIF(ORDERS!$C$2:$C$4995,$D763)&gt;0,"Có","Không"))</f>
        <v/>
      </c>
      <c r="W763" s="22">
        <f>IF(OR($D763="",$R763="Trùng"),"",COUNTIFS(ORDERS!$C$2:$C$4995,$D763,ORDERS!$L$2:$L$4995,"Đã chuyển khoản"))</f>
        <v/>
      </c>
      <c r="X763" s="23">
        <f>IF(OR($D763="",$R763="Trùng"),"",SUMIFS(ORDERS!$J$2:$J$4995,ORDERS!$C$2:$C$4995,$D763,ORDERS!$L$2:$L$4995,"Đã chuyển khoản"))</f>
        <v/>
      </c>
      <c r="Y763" s="24" t="n"/>
    </row>
    <row r="764" ht="14.25" customHeight="1" s="40">
      <c r="A764" s="24" t="n"/>
      <c r="B764" s="27" t="n"/>
      <c r="C764" s="24" t="n"/>
      <c r="D764" s="28" t="n"/>
      <c r="E764" s="29" t="n"/>
      <c r="F764" s="24" t="n"/>
      <c r="G764" s="24" t="n"/>
      <c r="H764" s="21">
        <f>IF(ISNUMBER($B764),INT($B764)-WEEKDAY($B764,2)+1,"")</f>
        <v/>
      </c>
      <c r="I764" s="24" t="n"/>
      <c r="J764" s="22">
        <f t="array" ref="J764">IF($D764="","",IF($I764="","(trống REF)",IFERROR(INDEX(MASTER_SOURCE!$B$2:$B$495,MATCH($I764,MASTER_SOURCE!$A$2:$A$495,0)),"(REF không có trong MASTER_SOURCE)")))</f>
        <v/>
      </c>
      <c r="K764" s="22">
        <f t="array" ref="K764">IF($D764="","",IFERROR(INDEX(MASTER_SOURCE!$C$2:$C$495,MATCH($I764,MASTER_SOURCE!$A$2:$A$495,0)),""))</f>
        <v/>
      </c>
      <c r="L764" s="22">
        <f t="array" ref="L764">IF($D764="","",IFERROR(INDEX(MASTER_SOURCE!$D$2:$D$495,MATCH($I764,MASTER_SOURCE!$A$2:$A$495,0)),""))</f>
        <v/>
      </c>
      <c r="M764" s="24" t="n"/>
      <c r="N764" s="24" t="n"/>
      <c r="O764" s="24" t="n"/>
      <c r="P764" s="24" t="n"/>
      <c r="Q764" s="22">
        <f>IF($D764="","",IF(AND(OR(DANH_MUC!$L$5&lt;&gt;"Có",M764="Có"),OR(DANH_MUC!$L$6&lt;&gt;"Có",N764="Có"),OR(DANH_MUC!$L$7&lt;&gt;"Có",O764="Có"),OR(DANH_MUC!$L$8&lt;&gt;"Có",P764="Có")),"Có","Không"))</f>
        <v/>
      </c>
      <c r="R764" s="22">
        <f>IF($D764="","",IF(COUNTIF($D$2:$D764,$D764)&gt;1,"Trùng",""))</f>
        <v/>
      </c>
      <c r="S764" s="22">
        <f>IF($D764="","",IF(AND(LEN($D764)=10,LEFT($D764,1)="0",ISNUMBER(--$D764)),"Có","Không"))</f>
        <v/>
      </c>
      <c r="T764" s="22">
        <f>IF($D764="","",IF(AND($C764&lt;&gt;"",$Q764="Có",$R764="",$S764="Có",AND($L764&lt;&gt;"",OR($L764&lt;&gt;"Chưa xác định",DANH_MUC!$L$9="Có"))),"Có","Không"))</f>
        <v/>
      </c>
      <c r="U764" s="22">
        <f>IF(OR($D764="",$T764="Có"),"",IF($C764="","Thiếu họ tên; ","")&amp;IF($S764&lt;&gt;"Có","SĐT sai định dạng; ","")&amp;IF($R764="Trùng","Trùng SĐT; ","")&amp;IF($Q764&lt;&gt;"Có","Thiếu đồng ý bắt buộc; ","")&amp;IF($L764="","Thiếu/sai Mã REF; ",IF(AND($L764="Chưa xác định",DANH_MUC!$L$9&lt;&gt;"Có"),"Nguồn chưa xác định; ","")))</f>
        <v/>
      </c>
      <c r="V764" s="22">
        <f>IF(OR($D764="",$R764="Trùng"),"",IF(COUNTIF(ORDERS!$C$2:$C$4995,$D764)&gt;0,"Có","Không"))</f>
        <v/>
      </c>
      <c r="W764" s="22">
        <f>IF(OR($D764="",$R764="Trùng"),"",COUNTIFS(ORDERS!$C$2:$C$4995,$D764,ORDERS!$L$2:$L$4995,"Đã chuyển khoản"))</f>
        <v/>
      </c>
      <c r="X764" s="23">
        <f>IF(OR($D764="",$R764="Trùng"),"",SUMIFS(ORDERS!$J$2:$J$4995,ORDERS!$C$2:$C$4995,$D764,ORDERS!$L$2:$L$4995,"Đã chuyển khoản"))</f>
        <v/>
      </c>
      <c r="Y764" s="24" t="n"/>
    </row>
    <row r="765" ht="14.25" customHeight="1" s="40">
      <c r="A765" s="24" t="n"/>
      <c r="B765" s="27" t="n"/>
      <c r="C765" s="24" t="n"/>
      <c r="D765" s="28" t="n"/>
      <c r="E765" s="29" t="n"/>
      <c r="F765" s="24" t="n"/>
      <c r="G765" s="24" t="n"/>
      <c r="H765" s="21">
        <f>IF(ISNUMBER($B765),INT($B765)-WEEKDAY($B765,2)+1,"")</f>
        <v/>
      </c>
      <c r="I765" s="24" t="n"/>
      <c r="J765" s="22">
        <f t="array" ref="J765">IF($D765="","",IF($I765="","(trống REF)",IFERROR(INDEX(MASTER_SOURCE!$B$2:$B$495,MATCH($I765,MASTER_SOURCE!$A$2:$A$495,0)),"(REF không có trong MASTER_SOURCE)")))</f>
        <v/>
      </c>
      <c r="K765" s="22">
        <f t="array" ref="K765">IF($D765="","",IFERROR(INDEX(MASTER_SOURCE!$C$2:$C$495,MATCH($I765,MASTER_SOURCE!$A$2:$A$495,0)),""))</f>
        <v/>
      </c>
      <c r="L765" s="22">
        <f t="array" ref="L765">IF($D765="","",IFERROR(INDEX(MASTER_SOURCE!$D$2:$D$495,MATCH($I765,MASTER_SOURCE!$A$2:$A$495,0)),""))</f>
        <v/>
      </c>
      <c r="M765" s="24" t="n"/>
      <c r="N765" s="24" t="n"/>
      <c r="O765" s="24" t="n"/>
      <c r="P765" s="24" t="n"/>
      <c r="Q765" s="22">
        <f>IF($D765="","",IF(AND(OR(DANH_MUC!$L$5&lt;&gt;"Có",M765="Có"),OR(DANH_MUC!$L$6&lt;&gt;"Có",N765="Có"),OR(DANH_MUC!$L$7&lt;&gt;"Có",O765="Có"),OR(DANH_MUC!$L$8&lt;&gt;"Có",P765="Có")),"Có","Không"))</f>
        <v/>
      </c>
      <c r="R765" s="22">
        <f>IF($D765="","",IF(COUNTIF($D$2:$D765,$D765)&gt;1,"Trùng",""))</f>
        <v/>
      </c>
      <c r="S765" s="22">
        <f>IF($D765="","",IF(AND(LEN($D765)=10,LEFT($D765,1)="0",ISNUMBER(--$D765)),"Có","Không"))</f>
        <v/>
      </c>
      <c r="T765" s="22">
        <f>IF($D765="","",IF(AND($C765&lt;&gt;"",$Q765="Có",$R765="",$S765="Có",AND($L765&lt;&gt;"",OR($L765&lt;&gt;"Chưa xác định",DANH_MUC!$L$9="Có"))),"Có","Không"))</f>
        <v/>
      </c>
      <c r="U765" s="22">
        <f>IF(OR($D765="",$T765="Có"),"",IF($C765="","Thiếu họ tên; ","")&amp;IF($S765&lt;&gt;"Có","SĐT sai định dạng; ","")&amp;IF($R765="Trùng","Trùng SĐT; ","")&amp;IF($Q765&lt;&gt;"Có","Thiếu đồng ý bắt buộc; ","")&amp;IF($L765="","Thiếu/sai Mã REF; ",IF(AND($L765="Chưa xác định",DANH_MUC!$L$9&lt;&gt;"Có"),"Nguồn chưa xác định; ","")))</f>
        <v/>
      </c>
      <c r="V765" s="22">
        <f>IF(OR($D765="",$R765="Trùng"),"",IF(COUNTIF(ORDERS!$C$2:$C$4995,$D765)&gt;0,"Có","Không"))</f>
        <v/>
      </c>
      <c r="W765" s="22">
        <f>IF(OR($D765="",$R765="Trùng"),"",COUNTIFS(ORDERS!$C$2:$C$4995,$D765,ORDERS!$L$2:$L$4995,"Đã chuyển khoản"))</f>
        <v/>
      </c>
      <c r="X765" s="23">
        <f>IF(OR($D765="",$R765="Trùng"),"",SUMIFS(ORDERS!$J$2:$J$4995,ORDERS!$C$2:$C$4995,$D765,ORDERS!$L$2:$L$4995,"Đã chuyển khoản"))</f>
        <v/>
      </c>
      <c r="Y765" s="24" t="n"/>
    </row>
    <row r="766" ht="14.25" customHeight="1" s="40">
      <c r="A766" s="24" t="n"/>
      <c r="B766" s="27" t="n"/>
      <c r="C766" s="24" t="n"/>
      <c r="D766" s="28" t="n"/>
      <c r="E766" s="29" t="n"/>
      <c r="F766" s="24" t="n"/>
      <c r="G766" s="24" t="n"/>
      <c r="H766" s="21">
        <f>IF(ISNUMBER($B766),INT($B766)-WEEKDAY($B766,2)+1,"")</f>
        <v/>
      </c>
      <c r="I766" s="24" t="n"/>
      <c r="J766" s="22">
        <f t="array" ref="J766">IF($D766="","",IF($I766="","(trống REF)",IFERROR(INDEX(MASTER_SOURCE!$B$2:$B$495,MATCH($I766,MASTER_SOURCE!$A$2:$A$495,0)),"(REF không có trong MASTER_SOURCE)")))</f>
        <v/>
      </c>
      <c r="K766" s="22">
        <f t="array" ref="K766">IF($D766="","",IFERROR(INDEX(MASTER_SOURCE!$C$2:$C$495,MATCH($I766,MASTER_SOURCE!$A$2:$A$495,0)),""))</f>
        <v/>
      </c>
      <c r="L766" s="22">
        <f t="array" ref="L766">IF($D766="","",IFERROR(INDEX(MASTER_SOURCE!$D$2:$D$495,MATCH($I766,MASTER_SOURCE!$A$2:$A$495,0)),""))</f>
        <v/>
      </c>
      <c r="M766" s="24" t="n"/>
      <c r="N766" s="24" t="n"/>
      <c r="O766" s="24" t="n"/>
      <c r="P766" s="24" t="n"/>
      <c r="Q766" s="22">
        <f>IF($D766="","",IF(AND(OR(DANH_MUC!$L$5&lt;&gt;"Có",M766="Có"),OR(DANH_MUC!$L$6&lt;&gt;"Có",N766="Có"),OR(DANH_MUC!$L$7&lt;&gt;"Có",O766="Có"),OR(DANH_MUC!$L$8&lt;&gt;"Có",P766="Có")),"Có","Không"))</f>
        <v/>
      </c>
      <c r="R766" s="22">
        <f>IF($D766="","",IF(COUNTIF($D$2:$D766,$D766)&gt;1,"Trùng",""))</f>
        <v/>
      </c>
      <c r="S766" s="22">
        <f>IF($D766="","",IF(AND(LEN($D766)=10,LEFT($D766,1)="0",ISNUMBER(--$D766)),"Có","Không"))</f>
        <v/>
      </c>
      <c r="T766" s="22">
        <f>IF($D766="","",IF(AND($C766&lt;&gt;"",$Q766="Có",$R766="",$S766="Có",AND($L766&lt;&gt;"",OR($L766&lt;&gt;"Chưa xác định",DANH_MUC!$L$9="Có"))),"Có","Không"))</f>
        <v/>
      </c>
      <c r="U766" s="22">
        <f>IF(OR($D766="",$T766="Có"),"",IF($C766="","Thiếu họ tên; ","")&amp;IF($S766&lt;&gt;"Có","SĐT sai định dạng; ","")&amp;IF($R766="Trùng","Trùng SĐT; ","")&amp;IF($Q766&lt;&gt;"Có","Thiếu đồng ý bắt buộc; ","")&amp;IF($L766="","Thiếu/sai Mã REF; ",IF(AND($L766="Chưa xác định",DANH_MUC!$L$9&lt;&gt;"Có"),"Nguồn chưa xác định; ","")))</f>
        <v/>
      </c>
      <c r="V766" s="22">
        <f>IF(OR($D766="",$R766="Trùng"),"",IF(COUNTIF(ORDERS!$C$2:$C$4995,$D766)&gt;0,"Có","Không"))</f>
        <v/>
      </c>
      <c r="W766" s="22">
        <f>IF(OR($D766="",$R766="Trùng"),"",COUNTIFS(ORDERS!$C$2:$C$4995,$D766,ORDERS!$L$2:$L$4995,"Đã chuyển khoản"))</f>
        <v/>
      </c>
      <c r="X766" s="23">
        <f>IF(OR($D766="",$R766="Trùng"),"",SUMIFS(ORDERS!$J$2:$J$4995,ORDERS!$C$2:$C$4995,$D766,ORDERS!$L$2:$L$4995,"Đã chuyển khoản"))</f>
        <v/>
      </c>
      <c r="Y766" s="24" t="n"/>
    </row>
    <row r="767" ht="14.25" customHeight="1" s="40">
      <c r="A767" s="24" t="n"/>
      <c r="B767" s="27" t="n"/>
      <c r="C767" s="24" t="n"/>
      <c r="D767" s="28" t="n"/>
      <c r="E767" s="29" t="n"/>
      <c r="F767" s="24" t="n"/>
      <c r="G767" s="24" t="n"/>
      <c r="H767" s="21">
        <f>IF(ISNUMBER($B767),INT($B767)-WEEKDAY($B767,2)+1,"")</f>
        <v/>
      </c>
      <c r="I767" s="24" t="n"/>
      <c r="J767" s="22">
        <f t="array" ref="J767">IF($D767="","",IF($I767="","(trống REF)",IFERROR(INDEX(MASTER_SOURCE!$B$2:$B$495,MATCH($I767,MASTER_SOURCE!$A$2:$A$495,0)),"(REF không có trong MASTER_SOURCE)")))</f>
        <v/>
      </c>
      <c r="K767" s="22">
        <f t="array" ref="K767">IF($D767="","",IFERROR(INDEX(MASTER_SOURCE!$C$2:$C$495,MATCH($I767,MASTER_SOURCE!$A$2:$A$495,0)),""))</f>
        <v/>
      </c>
      <c r="L767" s="22">
        <f t="array" ref="L767">IF($D767="","",IFERROR(INDEX(MASTER_SOURCE!$D$2:$D$495,MATCH($I767,MASTER_SOURCE!$A$2:$A$495,0)),""))</f>
        <v/>
      </c>
      <c r="M767" s="24" t="n"/>
      <c r="N767" s="24" t="n"/>
      <c r="O767" s="24" t="n"/>
      <c r="P767" s="24" t="n"/>
      <c r="Q767" s="22">
        <f>IF($D767="","",IF(AND(OR(DANH_MUC!$L$5&lt;&gt;"Có",M767="Có"),OR(DANH_MUC!$L$6&lt;&gt;"Có",N767="Có"),OR(DANH_MUC!$L$7&lt;&gt;"Có",O767="Có"),OR(DANH_MUC!$L$8&lt;&gt;"Có",P767="Có")),"Có","Không"))</f>
        <v/>
      </c>
      <c r="R767" s="22">
        <f>IF($D767="","",IF(COUNTIF($D$2:$D767,$D767)&gt;1,"Trùng",""))</f>
        <v/>
      </c>
      <c r="S767" s="22">
        <f>IF($D767="","",IF(AND(LEN($D767)=10,LEFT($D767,1)="0",ISNUMBER(--$D767)),"Có","Không"))</f>
        <v/>
      </c>
      <c r="T767" s="22">
        <f>IF($D767="","",IF(AND($C767&lt;&gt;"",$Q767="Có",$R767="",$S767="Có",AND($L767&lt;&gt;"",OR($L767&lt;&gt;"Chưa xác định",DANH_MUC!$L$9="Có"))),"Có","Không"))</f>
        <v/>
      </c>
      <c r="U767" s="22">
        <f>IF(OR($D767="",$T767="Có"),"",IF($C767="","Thiếu họ tên; ","")&amp;IF($S767&lt;&gt;"Có","SĐT sai định dạng; ","")&amp;IF($R767="Trùng","Trùng SĐT; ","")&amp;IF($Q767&lt;&gt;"Có","Thiếu đồng ý bắt buộc; ","")&amp;IF($L767="","Thiếu/sai Mã REF; ",IF(AND($L767="Chưa xác định",DANH_MUC!$L$9&lt;&gt;"Có"),"Nguồn chưa xác định; ","")))</f>
        <v/>
      </c>
      <c r="V767" s="22">
        <f>IF(OR($D767="",$R767="Trùng"),"",IF(COUNTIF(ORDERS!$C$2:$C$4995,$D767)&gt;0,"Có","Không"))</f>
        <v/>
      </c>
      <c r="W767" s="22">
        <f>IF(OR($D767="",$R767="Trùng"),"",COUNTIFS(ORDERS!$C$2:$C$4995,$D767,ORDERS!$L$2:$L$4995,"Đã chuyển khoản"))</f>
        <v/>
      </c>
      <c r="X767" s="23">
        <f>IF(OR($D767="",$R767="Trùng"),"",SUMIFS(ORDERS!$J$2:$J$4995,ORDERS!$C$2:$C$4995,$D767,ORDERS!$L$2:$L$4995,"Đã chuyển khoản"))</f>
        <v/>
      </c>
      <c r="Y767" s="24" t="n"/>
    </row>
    <row r="768" ht="14.25" customHeight="1" s="40">
      <c r="A768" s="24" t="n"/>
      <c r="B768" s="27" t="n"/>
      <c r="C768" s="24" t="n"/>
      <c r="D768" s="28" t="n"/>
      <c r="E768" s="29" t="n"/>
      <c r="F768" s="24" t="n"/>
      <c r="G768" s="24" t="n"/>
      <c r="H768" s="21">
        <f>IF(ISNUMBER($B768),INT($B768)-WEEKDAY($B768,2)+1,"")</f>
        <v/>
      </c>
      <c r="I768" s="24" t="n"/>
      <c r="J768" s="22">
        <f t="array" ref="J768">IF($D768="","",IF($I768="","(trống REF)",IFERROR(INDEX(MASTER_SOURCE!$B$2:$B$495,MATCH($I768,MASTER_SOURCE!$A$2:$A$495,0)),"(REF không có trong MASTER_SOURCE)")))</f>
        <v/>
      </c>
      <c r="K768" s="22">
        <f t="array" ref="K768">IF($D768="","",IFERROR(INDEX(MASTER_SOURCE!$C$2:$C$495,MATCH($I768,MASTER_SOURCE!$A$2:$A$495,0)),""))</f>
        <v/>
      </c>
      <c r="L768" s="22">
        <f t="array" ref="L768">IF($D768="","",IFERROR(INDEX(MASTER_SOURCE!$D$2:$D$495,MATCH($I768,MASTER_SOURCE!$A$2:$A$495,0)),""))</f>
        <v/>
      </c>
      <c r="M768" s="24" t="n"/>
      <c r="N768" s="24" t="n"/>
      <c r="O768" s="24" t="n"/>
      <c r="P768" s="24" t="n"/>
      <c r="Q768" s="22">
        <f>IF($D768="","",IF(AND(OR(DANH_MUC!$L$5&lt;&gt;"Có",M768="Có"),OR(DANH_MUC!$L$6&lt;&gt;"Có",N768="Có"),OR(DANH_MUC!$L$7&lt;&gt;"Có",O768="Có"),OR(DANH_MUC!$L$8&lt;&gt;"Có",P768="Có")),"Có","Không"))</f>
        <v/>
      </c>
      <c r="R768" s="22">
        <f>IF($D768="","",IF(COUNTIF($D$2:$D768,$D768)&gt;1,"Trùng",""))</f>
        <v/>
      </c>
      <c r="S768" s="22">
        <f>IF($D768="","",IF(AND(LEN($D768)=10,LEFT($D768,1)="0",ISNUMBER(--$D768)),"Có","Không"))</f>
        <v/>
      </c>
      <c r="T768" s="22">
        <f>IF($D768="","",IF(AND($C768&lt;&gt;"",$Q768="Có",$R768="",$S768="Có",AND($L768&lt;&gt;"",OR($L768&lt;&gt;"Chưa xác định",DANH_MUC!$L$9="Có"))),"Có","Không"))</f>
        <v/>
      </c>
      <c r="U768" s="22">
        <f>IF(OR($D768="",$T768="Có"),"",IF($C768="","Thiếu họ tên; ","")&amp;IF($S768&lt;&gt;"Có","SĐT sai định dạng; ","")&amp;IF($R768="Trùng","Trùng SĐT; ","")&amp;IF($Q768&lt;&gt;"Có","Thiếu đồng ý bắt buộc; ","")&amp;IF($L768="","Thiếu/sai Mã REF; ",IF(AND($L768="Chưa xác định",DANH_MUC!$L$9&lt;&gt;"Có"),"Nguồn chưa xác định; ","")))</f>
        <v/>
      </c>
      <c r="V768" s="22">
        <f>IF(OR($D768="",$R768="Trùng"),"",IF(COUNTIF(ORDERS!$C$2:$C$4995,$D768)&gt;0,"Có","Không"))</f>
        <v/>
      </c>
      <c r="W768" s="22">
        <f>IF(OR($D768="",$R768="Trùng"),"",COUNTIFS(ORDERS!$C$2:$C$4995,$D768,ORDERS!$L$2:$L$4995,"Đã chuyển khoản"))</f>
        <v/>
      </c>
      <c r="X768" s="23">
        <f>IF(OR($D768="",$R768="Trùng"),"",SUMIFS(ORDERS!$J$2:$J$4995,ORDERS!$C$2:$C$4995,$D768,ORDERS!$L$2:$L$4995,"Đã chuyển khoản"))</f>
        <v/>
      </c>
      <c r="Y768" s="24" t="n"/>
    </row>
    <row r="769" ht="14.25" customHeight="1" s="40">
      <c r="A769" s="24" t="n"/>
      <c r="B769" s="27" t="n"/>
      <c r="C769" s="24" t="n"/>
      <c r="D769" s="28" t="n"/>
      <c r="E769" s="29" t="n"/>
      <c r="F769" s="24" t="n"/>
      <c r="G769" s="24" t="n"/>
      <c r="H769" s="21">
        <f>IF(ISNUMBER($B769),INT($B769)-WEEKDAY($B769,2)+1,"")</f>
        <v/>
      </c>
      <c r="I769" s="24" t="n"/>
      <c r="J769" s="22">
        <f t="array" ref="J769">IF($D769="","",IF($I769="","(trống REF)",IFERROR(INDEX(MASTER_SOURCE!$B$2:$B$495,MATCH($I769,MASTER_SOURCE!$A$2:$A$495,0)),"(REF không có trong MASTER_SOURCE)")))</f>
        <v/>
      </c>
      <c r="K769" s="22">
        <f t="array" ref="K769">IF($D769="","",IFERROR(INDEX(MASTER_SOURCE!$C$2:$C$495,MATCH($I769,MASTER_SOURCE!$A$2:$A$495,0)),""))</f>
        <v/>
      </c>
      <c r="L769" s="22">
        <f t="array" ref="L769">IF($D769="","",IFERROR(INDEX(MASTER_SOURCE!$D$2:$D$495,MATCH($I769,MASTER_SOURCE!$A$2:$A$495,0)),""))</f>
        <v/>
      </c>
      <c r="M769" s="24" t="n"/>
      <c r="N769" s="24" t="n"/>
      <c r="O769" s="24" t="n"/>
      <c r="P769" s="24" t="n"/>
      <c r="Q769" s="22">
        <f>IF($D769="","",IF(AND(OR(DANH_MUC!$L$5&lt;&gt;"Có",M769="Có"),OR(DANH_MUC!$L$6&lt;&gt;"Có",N769="Có"),OR(DANH_MUC!$L$7&lt;&gt;"Có",O769="Có"),OR(DANH_MUC!$L$8&lt;&gt;"Có",P769="Có")),"Có","Không"))</f>
        <v/>
      </c>
      <c r="R769" s="22">
        <f>IF($D769="","",IF(COUNTIF($D$2:$D769,$D769)&gt;1,"Trùng",""))</f>
        <v/>
      </c>
      <c r="S769" s="22">
        <f>IF($D769="","",IF(AND(LEN($D769)=10,LEFT($D769,1)="0",ISNUMBER(--$D769)),"Có","Không"))</f>
        <v/>
      </c>
      <c r="T769" s="22">
        <f>IF($D769="","",IF(AND($C769&lt;&gt;"",$Q769="Có",$R769="",$S769="Có",AND($L769&lt;&gt;"",OR($L769&lt;&gt;"Chưa xác định",DANH_MUC!$L$9="Có"))),"Có","Không"))</f>
        <v/>
      </c>
      <c r="U769" s="22">
        <f>IF(OR($D769="",$T769="Có"),"",IF($C769="","Thiếu họ tên; ","")&amp;IF($S769&lt;&gt;"Có","SĐT sai định dạng; ","")&amp;IF($R769="Trùng","Trùng SĐT; ","")&amp;IF($Q769&lt;&gt;"Có","Thiếu đồng ý bắt buộc; ","")&amp;IF($L769="","Thiếu/sai Mã REF; ",IF(AND($L769="Chưa xác định",DANH_MUC!$L$9&lt;&gt;"Có"),"Nguồn chưa xác định; ","")))</f>
        <v/>
      </c>
      <c r="V769" s="22">
        <f>IF(OR($D769="",$R769="Trùng"),"",IF(COUNTIF(ORDERS!$C$2:$C$4995,$D769)&gt;0,"Có","Không"))</f>
        <v/>
      </c>
      <c r="W769" s="22">
        <f>IF(OR($D769="",$R769="Trùng"),"",COUNTIFS(ORDERS!$C$2:$C$4995,$D769,ORDERS!$L$2:$L$4995,"Đã chuyển khoản"))</f>
        <v/>
      </c>
      <c r="X769" s="23">
        <f>IF(OR($D769="",$R769="Trùng"),"",SUMIFS(ORDERS!$J$2:$J$4995,ORDERS!$C$2:$C$4995,$D769,ORDERS!$L$2:$L$4995,"Đã chuyển khoản"))</f>
        <v/>
      </c>
      <c r="Y769" s="24" t="n"/>
    </row>
    <row r="770" ht="14.25" customHeight="1" s="40">
      <c r="A770" s="24" t="n"/>
      <c r="B770" s="27" t="n"/>
      <c r="C770" s="24" t="n"/>
      <c r="D770" s="28" t="n"/>
      <c r="E770" s="29" t="n"/>
      <c r="F770" s="24" t="n"/>
      <c r="G770" s="24" t="n"/>
      <c r="H770" s="21">
        <f>IF(ISNUMBER($B770),INT($B770)-WEEKDAY($B770,2)+1,"")</f>
        <v/>
      </c>
      <c r="I770" s="24" t="n"/>
      <c r="J770" s="22">
        <f t="array" ref="J770">IF($D770="","",IF($I770="","(trống REF)",IFERROR(INDEX(MASTER_SOURCE!$B$2:$B$495,MATCH($I770,MASTER_SOURCE!$A$2:$A$495,0)),"(REF không có trong MASTER_SOURCE)")))</f>
        <v/>
      </c>
      <c r="K770" s="22">
        <f t="array" ref="K770">IF($D770="","",IFERROR(INDEX(MASTER_SOURCE!$C$2:$C$495,MATCH($I770,MASTER_SOURCE!$A$2:$A$495,0)),""))</f>
        <v/>
      </c>
      <c r="L770" s="22">
        <f t="array" ref="L770">IF($D770="","",IFERROR(INDEX(MASTER_SOURCE!$D$2:$D$495,MATCH($I770,MASTER_SOURCE!$A$2:$A$495,0)),""))</f>
        <v/>
      </c>
      <c r="M770" s="24" t="n"/>
      <c r="N770" s="24" t="n"/>
      <c r="O770" s="24" t="n"/>
      <c r="P770" s="24" t="n"/>
      <c r="Q770" s="22">
        <f>IF($D770="","",IF(AND(OR(DANH_MUC!$L$5&lt;&gt;"Có",M770="Có"),OR(DANH_MUC!$L$6&lt;&gt;"Có",N770="Có"),OR(DANH_MUC!$L$7&lt;&gt;"Có",O770="Có"),OR(DANH_MUC!$L$8&lt;&gt;"Có",P770="Có")),"Có","Không"))</f>
        <v/>
      </c>
      <c r="R770" s="22">
        <f>IF($D770="","",IF(COUNTIF($D$2:$D770,$D770)&gt;1,"Trùng",""))</f>
        <v/>
      </c>
      <c r="S770" s="22">
        <f>IF($D770="","",IF(AND(LEN($D770)=10,LEFT($D770,1)="0",ISNUMBER(--$D770)),"Có","Không"))</f>
        <v/>
      </c>
      <c r="T770" s="22">
        <f>IF($D770="","",IF(AND($C770&lt;&gt;"",$Q770="Có",$R770="",$S770="Có",AND($L770&lt;&gt;"",OR($L770&lt;&gt;"Chưa xác định",DANH_MUC!$L$9="Có"))),"Có","Không"))</f>
        <v/>
      </c>
      <c r="U770" s="22">
        <f>IF(OR($D770="",$T770="Có"),"",IF($C770="","Thiếu họ tên; ","")&amp;IF($S770&lt;&gt;"Có","SĐT sai định dạng; ","")&amp;IF($R770="Trùng","Trùng SĐT; ","")&amp;IF($Q770&lt;&gt;"Có","Thiếu đồng ý bắt buộc; ","")&amp;IF($L770="","Thiếu/sai Mã REF; ",IF(AND($L770="Chưa xác định",DANH_MUC!$L$9&lt;&gt;"Có"),"Nguồn chưa xác định; ","")))</f>
        <v/>
      </c>
      <c r="V770" s="22">
        <f>IF(OR($D770="",$R770="Trùng"),"",IF(COUNTIF(ORDERS!$C$2:$C$4995,$D770)&gt;0,"Có","Không"))</f>
        <v/>
      </c>
      <c r="W770" s="22">
        <f>IF(OR($D770="",$R770="Trùng"),"",COUNTIFS(ORDERS!$C$2:$C$4995,$D770,ORDERS!$L$2:$L$4995,"Đã chuyển khoản"))</f>
        <v/>
      </c>
      <c r="X770" s="23">
        <f>IF(OR($D770="",$R770="Trùng"),"",SUMIFS(ORDERS!$J$2:$J$4995,ORDERS!$C$2:$C$4995,$D770,ORDERS!$L$2:$L$4995,"Đã chuyển khoản"))</f>
        <v/>
      </c>
      <c r="Y770" s="24" t="n"/>
    </row>
    <row r="771" ht="14.25" customHeight="1" s="40">
      <c r="A771" s="24" t="n"/>
      <c r="B771" s="27" t="n"/>
      <c r="C771" s="24" t="n"/>
      <c r="D771" s="28" t="n"/>
      <c r="E771" s="29" t="n"/>
      <c r="F771" s="24" t="n"/>
      <c r="G771" s="24" t="n"/>
      <c r="H771" s="21">
        <f>IF(ISNUMBER($B771),INT($B771)-WEEKDAY($B771,2)+1,"")</f>
        <v/>
      </c>
      <c r="I771" s="24" t="n"/>
      <c r="J771" s="22">
        <f t="array" ref="J771">IF($D771="","",IF($I771="","(trống REF)",IFERROR(INDEX(MASTER_SOURCE!$B$2:$B$495,MATCH($I771,MASTER_SOURCE!$A$2:$A$495,0)),"(REF không có trong MASTER_SOURCE)")))</f>
        <v/>
      </c>
      <c r="K771" s="22">
        <f t="array" ref="K771">IF($D771="","",IFERROR(INDEX(MASTER_SOURCE!$C$2:$C$495,MATCH($I771,MASTER_SOURCE!$A$2:$A$495,0)),""))</f>
        <v/>
      </c>
      <c r="L771" s="22">
        <f t="array" ref="L771">IF($D771="","",IFERROR(INDEX(MASTER_SOURCE!$D$2:$D$495,MATCH($I771,MASTER_SOURCE!$A$2:$A$495,0)),""))</f>
        <v/>
      </c>
      <c r="M771" s="24" t="n"/>
      <c r="N771" s="24" t="n"/>
      <c r="O771" s="24" t="n"/>
      <c r="P771" s="24" t="n"/>
      <c r="Q771" s="22">
        <f>IF($D771="","",IF(AND(OR(DANH_MUC!$L$5&lt;&gt;"Có",M771="Có"),OR(DANH_MUC!$L$6&lt;&gt;"Có",N771="Có"),OR(DANH_MUC!$L$7&lt;&gt;"Có",O771="Có"),OR(DANH_MUC!$L$8&lt;&gt;"Có",P771="Có")),"Có","Không"))</f>
        <v/>
      </c>
      <c r="R771" s="22">
        <f>IF($D771="","",IF(COUNTIF($D$2:$D771,$D771)&gt;1,"Trùng",""))</f>
        <v/>
      </c>
      <c r="S771" s="22">
        <f>IF($D771="","",IF(AND(LEN($D771)=10,LEFT($D771,1)="0",ISNUMBER(--$D771)),"Có","Không"))</f>
        <v/>
      </c>
      <c r="T771" s="22">
        <f>IF($D771="","",IF(AND($C771&lt;&gt;"",$Q771="Có",$R771="",$S771="Có",AND($L771&lt;&gt;"",OR($L771&lt;&gt;"Chưa xác định",DANH_MUC!$L$9="Có"))),"Có","Không"))</f>
        <v/>
      </c>
      <c r="U771" s="22">
        <f>IF(OR($D771="",$T771="Có"),"",IF($C771="","Thiếu họ tên; ","")&amp;IF($S771&lt;&gt;"Có","SĐT sai định dạng; ","")&amp;IF($R771="Trùng","Trùng SĐT; ","")&amp;IF($Q771&lt;&gt;"Có","Thiếu đồng ý bắt buộc; ","")&amp;IF($L771="","Thiếu/sai Mã REF; ",IF(AND($L771="Chưa xác định",DANH_MUC!$L$9&lt;&gt;"Có"),"Nguồn chưa xác định; ","")))</f>
        <v/>
      </c>
      <c r="V771" s="22">
        <f>IF(OR($D771="",$R771="Trùng"),"",IF(COUNTIF(ORDERS!$C$2:$C$4995,$D771)&gt;0,"Có","Không"))</f>
        <v/>
      </c>
      <c r="W771" s="22">
        <f>IF(OR($D771="",$R771="Trùng"),"",COUNTIFS(ORDERS!$C$2:$C$4995,$D771,ORDERS!$L$2:$L$4995,"Đã chuyển khoản"))</f>
        <v/>
      </c>
      <c r="X771" s="23">
        <f>IF(OR($D771="",$R771="Trùng"),"",SUMIFS(ORDERS!$J$2:$J$4995,ORDERS!$C$2:$C$4995,$D771,ORDERS!$L$2:$L$4995,"Đã chuyển khoản"))</f>
        <v/>
      </c>
      <c r="Y771" s="24" t="n"/>
    </row>
    <row r="772" ht="14.25" customHeight="1" s="40">
      <c r="A772" s="24" t="n"/>
      <c r="B772" s="27" t="n"/>
      <c r="C772" s="24" t="n"/>
      <c r="D772" s="28" t="n"/>
      <c r="E772" s="29" t="n"/>
      <c r="F772" s="24" t="n"/>
      <c r="G772" s="24" t="n"/>
      <c r="H772" s="21">
        <f>IF(ISNUMBER($B772),INT($B772)-WEEKDAY($B772,2)+1,"")</f>
        <v/>
      </c>
      <c r="I772" s="24" t="n"/>
      <c r="J772" s="22">
        <f t="array" ref="J772">IF($D772="","",IF($I772="","(trống REF)",IFERROR(INDEX(MASTER_SOURCE!$B$2:$B$495,MATCH($I772,MASTER_SOURCE!$A$2:$A$495,0)),"(REF không có trong MASTER_SOURCE)")))</f>
        <v/>
      </c>
      <c r="K772" s="22">
        <f t="array" ref="K772">IF($D772="","",IFERROR(INDEX(MASTER_SOURCE!$C$2:$C$495,MATCH($I772,MASTER_SOURCE!$A$2:$A$495,0)),""))</f>
        <v/>
      </c>
      <c r="L772" s="22">
        <f t="array" ref="L772">IF($D772="","",IFERROR(INDEX(MASTER_SOURCE!$D$2:$D$495,MATCH($I772,MASTER_SOURCE!$A$2:$A$495,0)),""))</f>
        <v/>
      </c>
      <c r="M772" s="24" t="n"/>
      <c r="N772" s="24" t="n"/>
      <c r="O772" s="24" t="n"/>
      <c r="P772" s="24" t="n"/>
      <c r="Q772" s="22">
        <f>IF($D772="","",IF(AND(OR(DANH_MUC!$L$5&lt;&gt;"Có",M772="Có"),OR(DANH_MUC!$L$6&lt;&gt;"Có",N772="Có"),OR(DANH_MUC!$L$7&lt;&gt;"Có",O772="Có"),OR(DANH_MUC!$L$8&lt;&gt;"Có",P772="Có")),"Có","Không"))</f>
        <v/>
      </c>
      <c r="R772" s="22">
        <f>IF($D772="","",IF(COUNTIF($D$2:$D772,$D772)&gt;1,"Trùng",""))</f>
        <v/>
      </c>
      <c r="S772" s="22">
        <f>IF($D772="","",IF(AND(LEN($D772)=10,LEFT($D772,1)="0",ISNUMBER(--$D772)),"Có","Không"))</f>
        <v/>
      </c>
      <c r="T772" s="22">
        <f>IF($D772="","",IF(AND($C772&lt;&gt;"",$Q772="Có",$R772="",$S772="Có",AND($L772&lt;&gt;"",OR($L772&lt;&gt;"Chưa xác định",DANH_MUC!$L$9="Có"))),"Có","Không"))</f>
        <v/>
      </c>
      <c r="U772" s="22">
        <f>IF(OR($D772="",$T772="Có"),"",IF($C772="","Thiếu họ tên; ","")&amp;IF($S772&lt;&gt;"Có","SĐT sai định dạng; ","")&amp;IF($R772="Trùng","Trùng SĐT; ","")&amp;IF($Q772&lt;&gt;"Có","Thiếu đồng ý bắt buộc; ","")&amp;IF($L772="","Thiếu/sai Mã REF; ",IF(AND($L772="Chưa xác định",DANH_MUC!$L$9&lt;&gt;"Có"),"Nguồn chưa xác định; ","")))</f>
        <v/>
      </c>
      <c r="V772" s="22">
        <f>IF(OR($D772="",$R772="Trùng"),"",IF(COUNTIF(ORDERS!$C$2:$C$4995,$D772)&gt;0,"Có","Không"))</f>
        <v/>
      </c>
      <c r="W772" s="22">
        <f>IF(OR($D772="",$R772="Trùng"),"",COUNTIFS(ORDERS!$C$2:$C$4995,$D772,ORDERS!$L$2:$L$4995,"Đã chuyển khoản"))</f>
        <v/>
      </c>
      <c r="X772" s="23">
        <f>IF(OR($D772="",$R772="Trùng"),"",SUMIFS(ORDERS!$J$2:$J$4995,ORDERS!$C$2:$C$4995,$D772,ORDERS!$L$2:$L$4995,"Đã chuyển khoản"))</f>
        <v/>
      </c>
      <c r="Y772" s="24" t="n"/>
    </row>
    <row r="773" ht="14.25" customHeight="1" s="40">
      <c r="A773" s="24" t="n"/>
      <c r="B773" s="27" t="n"/>
      <c r="C773" s="24" t="n"/>
      <c r="D773" s="28" t="n"/>
      <c r="E773" s="29" t="n"/>
      <c r="F773" s="24" t="n"/>
      <c r="G773" s="24" t="n"/>
      <c r="H773" s="21">
        <f>IF(ISNUMBER($B773),INT($B773)-WEEKDAY($B773,2)+1,"")</f>
        <v/>
      </c>
      <c r="I773" s="24" t="n"/>
      <c r="J773" s="22">
        <f t="array" ref="J773">IF($D773="","",IF($I773="","(trống REF)",IFERROR(INDEX(MASTER_SOURCE!$B$2:$B$495,MATCH($I773,MASTER_SOURCE!$A$2:$A$495,0)),"(REF không có trong MASTER_SOURCE)")))</f>
        <v/>
      </c>
      <c r="K773" s="22">
        <f t="array" ref="K773">IF($D773="","",IFERROR(INDEX(MASTER_SOURCE!$C$2:$C$495,MATCH($I773,MASTER_SOURCE!$A$2:$A$495,0)),""))</f>
        <v/>
      </c>
      <c r="L773" s="22">
        <f t="array" ref="L773">IF($D773="","",IFERROR(INDEX(MASTER_SOURCE!$D$2:$D$495,MATCH($I773,MASTER_SOURCE!$A$2:$A$495,0)),""))</f>
        <v/>
      </c>
      <c r="M773" s="24" t="n"/>
      <c r="N773" s="24" t="n"/>
      <c r="O773" s="24" t="n"/>
      <c r="P773" s="24" t="n"/>
      <c r="Q773" s="22">
        <f>IF($D773="","",IF(AND(OR(DANH_MUC!$L$5&lt;&gt;"Có",M773="Có"),OR(DANH_MUC!$L$6&lt;&gt;"Có",N773="Có"),OR(DANH_MUC!$L$7&lt;&gt;"Có",O773="Có"),OR(DANH_MUC!$L$8&lt;&gt;"Có",P773="Có")),"Có","Không"))</f>
        <v/>
      </c>
      <c r="R773" s="22">
        <f>IF($D773="","",IF(COUNTIF($D$2:$D773,$D773)&gt;1,"Trùng",""))</f>
        <v/>
      </c>
      <c r="S773" s="22">
        <f>IF($D773="","",IF(AND(LEN($D773)=10,LEFT($D773,1)="0",ISNUMBER(--$D773)),"Có","Không"))</f>
        <v/>
      </c>
      <c r="T773" s="22">
        <f>IF($D773="","",IF(AND($C773&lt;&gt;"",$Q773="Có",$R773="",$S773="Có",AND($L773&lt;&gt;"",OR($L773&lt;&gt;"Chưa xác định",DANH_MUC!$L$9="Có"))),"Có","Không"))</f>
        <v/>
      </c>
      <c r="U773" s="22">
        <f>IF(OR($D773="",$T773="Có"),"",IF($C773="","Thiếu họ tên; ","")&amp;IF($S773&lt;&gt;"Có","SĐT sai định dạng; ","")&amp;IF($R773="Trùng","Trùng SĐT; ","")&amp;IF($Q773&lt;&gt;"Có","Thiếu đồng ý bắt buộc; ","")&amp;IF($L773="","Thiếu/sai Mã REF; ",IF(AND($L773="Chưa xác định",DANH_MUC!$L$9&lt;&gt;"Có"),"Nguồn chưa xác định; ","")))</f>
        <v/>
      </c>
      <c r="V773" s="22">
        <f>IF(OR($D773="",$R773="Trùng"),"",IF(COUNTIF(ORDERS!$C$2:$C$4995,$D773)&gt;0,"Có","Không"))</f>
        <v/>
      </c>
      <c r="W773" s="22">
        <f>IF(OR($D773="",$R773="Trùng"),"",COUNTIFS(ORDERS!$C$2:$C$4995,$D773,ORDERS!$L$2:$L$4995,"Đã chuyển khoản"))</f>
        <v/>
      </c>
      <c r="X773" s="23">
        <f>IF(OR($D773="",$R773="Trùng"),"",SUMIFS(ORDERS!$J$2:$J$4995,ORDERS!$C$2:$C$4995,$D773,ORDERS!$L$2:$L$4995,"Đã chuyển khoản"))</f>
        <v/>
      </c>
      <c r="Y773" s="24" t="n"/>
    </row>
    <row r="774" ht="14.25" customHeight="1" s="40">
      <c r="A774" s="24" t="n"/>
      <c r="B774" s="27" t="n"/>
      <c r="C774" s="24" t="n"/>
      <c r="D774" s="28" t="n"/>
      <c r="E774" s="29" t="n"/>
      <c r="F774" s="24" t="n"/>
      <c r="G774" s="24" t="n"/>
      <c r="H774" s="21">
        <f>IF(ISNUMBER($B774),INT($B774)-WEEKDAY($B774,2)+1,"")</f>
        <v/>
      </c>
      <c r="I774" s="24" t="n"/>
      <c r="J774" s="22">
        <f t="array" ref="J774">IF($D774="","",IF($I774="","(trống REF)",IFERROR(INDEX(MASTER_SOURCE!$B$2:$B$495,MATCH($I774,MASTER_SOURCE!$A$2:$A$495,0)),"(REF không có trong MASTER_SOURCE)")))</f>
        <v/>
      </c>
      <c r="K774" s="22">
        <f t="array" ref="K774">IF($D774="","",IFERROR(INDEX(MASTER_SOURCE!$C$2:$C$495,MATCH($I774,MASTER_SOURCE!$A$2:$A$495,0)),""))</f>
        <v/>
      </c>
      <c r="L774" s="22">
        <f t="array" ref="L774">IF($D774="","",IFERROR(INDEX(MASTER_SOURCE!$D$2:$D$495,MATCH($I774,MASTER_SOURCE!$A$2:$A$495,0)),""))</f>
        <v/>
      </c>
      <c r="M774" s="24" t="n"/>
      <c r="N774" s="24" t="n"/>
      <c r="O774" s="24" t="n"/>
      <c r="P774" s="24" t="n"/>
      <c r="Q774" s="22">
        <f>IF($D774="","",IF(AND(OR(DANH_MUC!$L$5&lt;&gt;"Có",M774="Có"),OR(DANH_MUC!$L$6&lt;&gt;"Có",N774="Có"),OR(DANH_MUC!$L$7&lt;&gt;"Có",O774="Có"),OR(DANH_MUC!$L$8&lt;&gt;"Có",P774="Có")),"Có","Không"))</f>
        <v/>
      </c>
      <c r="R774" s="22">
        <f>IF($D774="","",IF(COUNTIF($D$2:$D774,$D774)&gt;1,"Trùng",""))</f>
        <v/>
      </c>
      <c r="S774" s="22">
        <f>IF($D774="","",IF(AND(LEN($D774)=10,LEFT($D774,1)="0",ISNUMBER(--$D774)),"Có","Không"))</f>
        <v/>
      </c>
      <c r="T774" s="22">
        <f>IF($D774="","",IF(AND($C774&lt;&gt;"",$Q774="Có",$R774="",$S774="Có",AND($L774&lt;&gt;"",OR($L774&lt;&gt;"Chưa xác định",DANH_MUC!$L$9="Có"))),"Có","Không"))</f>
        <v/>
      </c>
      <c r="U774" s="22">
        <f>IF(OR($D774="",$T774="Có"),"",IF($C774="","Thiếu họ tên; ","")&amp;IF($S774&lt;&gt;"Có","SĐT sai định dạng; ","")&amp;IF($R774="Trùng","Trùng SĐT; ","")&amp;IF($Q774&lt;&gt;"Có","Thiếu đồng ý bắt buộc; ","")&amp;IF($L774="","Thiếu/sai Mã REF; ",IF(AND($L774="Chưa xác định",DANH_MUC!$L$9&lt;&gt;"Có"),"Nguồn chưa xác định; ","")))</f>
        <v/>
      </c>
      <c r="V774" s="22">
        <f>IF(OR($D774="",$R774="Trùng"),"",IF(COUNTIF(ORDERS!$C$2:$C$4995,$D774)&gt;0,"Có","Không"))</f>
        <v/>
      </c>
      <c r="W774" s="22">
        <f>IF(OR($D774="",$R774="Trùng"),"",COUNTIFS(ORDERS!$C$2:$C$4995,$D774,ORDERS!$L$2:$L$4995,"Đã chuyển khoản"))</f>
        <v/>
      </c>
      <c r="X774" s="23">
        <f>IF(OR($D774="",$R774="Trùng"),"",SUMIFS(ORDERS!$J$2:$J$4995,ORDERS!$C$2:$C$4995,$D774,ORDERS!$L$2:$L$4995,"Đã chuyển khoản"))</f>
        <v/>
      </c>
      <c r="Y774" s="24" t="n"/>
    </row>
    <row r="775" ht="14.25" customHeight="1" s="40">
      <c r="A775" s="24" t="n"/>
      <c r="B775" s="27" t="n"/>
      <c r="C775" s="24" t="n"/>
      <c r="D775" s="28" t="n"/>
      <c r="E775" s="29" t="n"/>
      <c r="F775" s="24" t="n"/>
      <c r="G775" s="24" t="n"/>
      <c r="H775" s="21">
        <f>IF(ISNUMBER($B775),INT($B775)-WEEKDAY($B775,2)+1,"")</f>
        <v/>
      </c>
      <c r="I775" s="24" t="n"/>
      <c r="J775" s="22">
        <f t="array" ref="J775">IF($D775="","",IF($I775="","(trống REF)",IFERROR(INDEX(MASTER_SOURCE!$B$2:$B$495,MATCH($I775,MASTER_SOURCE!$A$2:$A$495,0)),"(REF không có trong MASTER_SOURCE)")))</f>
        <v/>
      </c>
      <c r="K775" s="22">
        <f t="array" ref="K775">IF($D775="","",IFERROR(INDEX(MASTER_SOURCE!$C$2:$C$495,MATCH($I775,MASTER_SOURCE!$A$2:$A$495,0)),""))</f>
        <v/>
      </c>
      <c r="L775" s="22">
        <f t="array" ref="L775">IF($D775="","",IFERROR(INDEX(MASTER_SOURCE!$D$2:$D$495,MATCH($I775,MASTER_SOURCE!$A$2:$A$495,0)),""))</f>
        <v/>
      </c>
      <c r="M775" s="24" t="n"/>
      <c r="N775" s="24" t="n"/>
      <c r="O775" s="24" t="n"/>
      <c r="P775" s="24" t="n"/>
      <c r="Q775" s="22">
        <f>IF($D775="","",IF(AND(OR(DANH_MUC!$L$5&lt;&gt;"Có",M775="Có"),OR(DANH_MUC!$L$6&lt;&gt;"Có",N775="Có"),OR(DANH_MUC!$L$7&lt;&gt;"Có",O775="Có"),OR(DANH_MUC!$L$8&lt;&gt;"Có",P775="Có")),"Có","Không"))</f>
        <v/>
      </c>
      <c r="R775" s="22">
        <f>IF($D775="","",IF(COUNTIF($D$2:$D775,$D775)&gt;1,"Trùng",""))</f>
        <v/>
      </c>
      <c r="S775" s="22">
        <f>IF($D775="","",IF(AND(LEN($D775)=10,LEFT($D775,1)="0",ISNUMBER(--$D775)),"Có","Không"))</f>
        <v/>
      </c>
      <c r="T775" s="22">
        <f>IF($D775="","",IF(AND($C775&lt;&gt;"",$Q775="Có",$R775="",$S775="Có",AND($L775&lt;&gt;"",OR($L775&lt;&gt;"Chưa xác định",DANH_MUC!$L$9="Có"))),"Có","Không"))</f>
        <v/>
      </c>
      <c r="U775" s="22">
        <f>IF(OR($D775="",$T775="Có"),"",IF($C775="","Thiếu họ tên; ","")&amp;IF($S775&lt;&gt;"Có","SĐT sai định dạng; ","")&amp;IF($R775="Trùng","Trùng SĐT; ","")&amp;IF($Q775&lt;&gt;"Có","Thiếu đồng ý bắt buộc; ","")&amp;IF($L775="","Thiếu/sai Mã REF; ",IF(AND($L775="Chưa xác định",DANH_MUC!$L$9&lt;&gt;"Có"),"Nguồn chưa xác định; ","")))</f>
        <v/>
      </c>
      <c r="V775" s="22">
        <f>IF(OR($D775="",$R775="Trùng"),"",IF(COUNTIF(ORDERS!$C$2:$C$4995,$D775)&gt;0,"Có","Không"))</f>
        <v/>
      </c>
      <c r="W775" s="22">
        <f>IF(OR($D775="",$R775="Trùng"),"",COUNTIFS(ORDERS!$C$2:$C$4995,$D775,ORDERS!$L$2:$L$4995,"Đã chuyển khoản"))</f>
        <v/>
      </c>
      <c r="X775" s="23">
        <f>IF(OR($D775="",$R775="Trùng"),"",SUMIFS(ORDERS!$J$2:$J$4995,ORDERS!$C$2:$C$4995,$D775,ORDERS!$L$2:$L$4995,"Đã chuyển khoản"))</f>
        <v/>
      </c>
      <c r="Y775" s="24" t="n"/>
    </row>
    <row r="776" ht="14.25" customHeight="1" s="40">
      <c r="A776" s="24" t="n"/>
      <c r="B776" s="27" t="n"/>
      <c r="C776" s="24" t="n"/>
      <c r="D776" s="28" t="n"/>
      <c r="E776" s="29" t="n"/>
      <c r="F776" s="24" t="n"/>
      <c r="G776" s="24" t="n"/>
      <c r="H776" s="21">
        <f>IF(ISNUMBER($B776),INT($B776)-WEEKDAY($B776,2)+1,"")</f>
        <v/>
      </c>
      <c r="I776" s="24" t="n"/>
      <c r="J776" s="22">
        <f t="array" ref="J776">IF($D776="","",IF($I776="","(trống REF)",IFERROR(INDEX(MASTER_SOURCE!$B$2:$B$495,MATCH($I776,MASTER_SOURCE!$A$2:$A$495,0)),"(REF không có trong MASTER_SOURCE)")))</f>
        <v/>
      </c>
      <c r="K776" s="22">
        <f t="array" ref="K776">IF($D776="","",IFERROR(INDEX(MASTER_SOURCE!$C$2:$C$495,MATCH($I776,MASTER_SOURCE!$A$2:$A$495,0)),""))</f>
        <v/>
      </c>
      <c r="L776" s="22">
        <f t="array" ref="L776">IF($D776="","",IFERROR(INDEX(MASTER_SOURCE!$D$2:$D$495,MATCH($I776,MASTER_SOURCE!$A$2:$A$495,0)),""))</f>
        <v/>
      </c>
      <c r="M776" s="24" t="n"/>
      <c r="N776" s="24" t="n"/>
      <c r="O776" s="24" t="n"/>
      <c r="P776" s="24" t="n"/>
      <c r="Q776" s="22">
        <f>IF($D776="","",IF(AND(OR(DANH_MUC!$L$5&lt;&gt;"Có",M776="Có"),OR(DANH_MUC!$L$6&lt;&gt;"Có",N776="Có"),OR(DANH_MUC!$L$7&lt;&gt;"Có",O776="Có"),OR(DANH_MUC!$L$8&lt;&gt;"Có",P776="Có")),"Có","Không"))</f>
        <v/>
      </c>
      <c r="R776" s="22">
        <f>IF($D776="","",IF(COUNTIF($D$2:$D776,$D776)&gt;1,"Trùng",""))</f>
        <v/>
      </c>
      <c r="S776" s="22">
        <f>IF($D776="","",IF(AND(LEN($D776)=10,LEFT($D776,1)="0",ISNUMBER(--$D776)),"Có","Không"))</f>
        <v/>
      </c>
      <c r="T776" s="22">
        <f>IF($D776="","",IF(AND($C776&lt;&gt;"",$Q776="Có",$R776="",$S776="Có",AND($L776&lt;&gt;"",OR($L776&lt;&gt;"Chưa xác định",DANH_MUC!$L$9="Có"))),"Có","Không"))</f>
        <v/>
      </c>
      <c r="U776" s="22">
        <f>IF(OR($D776="",$T776="Có"),"",IF($C776="","Thiếu họ tên; ","")&amp;IF($S776&lt;&gt;"Có","SĐT sai định dạng; ","")&amp;IF($R776="Trùng","Trùng SĐT; ","")&amp;IF($Q776&lt;&gt;"Có","Thiếu đồng ý bắt buộc; ","")&amp;IF($L776="","Thiếu/sai Mã REF; ",IF(AND($L776="Chưa xác định",DANH_MUC!$L$9&lt;&gt;"Có"),"Nguồn chưa xác định; ","")))</f>
        <v/>
      </c>
      <c r="V776" s="22">
        <f>IF(OR($D776="",$R776="Trùng"),"",IF(COUNTIF(ORDERS!$C$2:$C$4995,$D776)&gt;0,"Có","Không"))</f>
        <v/>
      </c>
      <c r="W776" s="22">
        <f>IF(OR($D776="",$R776="Trùng"),"",COUNTIFS(ORDERS!$C$2:$C$4995,$D776,ORDERS!$L$2:$L$4995,"Đã chuyển khoản"))</f>
        <v/>
      </c>
      <c r="X776" s="23">
        <f>IF(OR($D776="",$R776="Trùng"),"",SUMIFS(ORDERS!$J$2:$J$4995,ORDERS!$C$2:$C$4995,$D776,ORDERS!$L$2:$L$4995,"Đã chuyển khoản"))</f>
        <v/>
      </c>
      <c r="Y776" s="24" t="n"/>
    </row>
    <row r="777" ht="14.25" customHeight="1" s="40">
      <c r="A777" s="24" t="n"/>
      <c r="B777" s="27" t="n"/>
      <c r="C777" s="24" t="n"/>
      <c r="D777" s="28" t="n"/>
      <c r="E777" s="29" t="n"/>
      <c r="F777" s="24" t="n"/>
      <c r="G777" s="24" t="n"/>
      <c r="H777" s="21">
        <f>IF(ISNUMBER($B777),INT($B777)-WEEKDAY($B777,2)+1,"")</f>
        <v/>
      </c>
      <c r="I777" s="24" t="n"/>
      <c r="J777" s="22">
        <f t="array" ref="J777">IF($D777="","",IF($I777="","(trống REF)",IFERROR(INDEX(MASTER_SOURCE!$B$2:$B$495,MATCH($I777,MASTER_SOURCE!$A$2:$A$495,0)),"(REF không có trong MASTER_SOURCE)")))</f>
        <v/>
      </c>
      <c r="K777" s="22">
        <f t="array" ref="K777">IF($D777="","",IFERROR(INDEX(MASTER_SOURCE!$C$2:$C$495,MATCH($I777,MASTER_SOURCE!$A$2:$A$495,0)),""))</f>
        <v/>
      </c>
      <c r="L777" s="22">
        <f t="array" ref="L777">IF($D777="","",IFERROR(INDEX(MASTER_SOURCE!$D$2:$D$495,MATCH($I777,MASTER_SOURCE!$A$2:$A$495,0)),""))</f>
        <v/>
      </c>
      <c r="M777" s="24" t="n"/>
      <c r="N777" s="24" t="n"/>
      <c r="O777" s="24" t="n"/>
      <c r="P777" s="24" t="n"/>
      <c r="Q777" s="22">
        <f>IF($D777="","",IF(AND(OR(DANH_MUC!$L$5&lt;&gt;"Có",M777="Có"),OR(DANH_MUC!$L$6&lt;&gt;"Có",N777="Có"),OR(DANH_MUC!$L$7&lt;&gt;"Có",O777="Có"),OR(DANH_MUC!$L$8&lt;&gt;"Có",P777="Có")),"Có","Không"))</f>
        <v/>
      </c>
      <c r="R777" s="22">
        <f>IF($D777="","",IF(COUNTIF($D$2:$D777,$D777)&gt;1,"Trùng",""))</f>
        <v/>
      </c>
      <c r="S777" s="22">
        <f>IF($D777="","",IF(AND(LEN($D777)=10,LEFT($D777,1)="0",ISNUMBER(--$D777)),"Có","Không"))</f>
        <v/>
      </c>
      <c r="T777" s="22">
        <f>IF($D777="","",IF(AND($C777&lt;&gt;"",$Q777="Có",$R777="",$S777="Có",AND($L777&lt;&gt;"",OR($L777&lt;&gt;"Chưa xác định",DANH_MUC!$L$9="Có"))),"Có","Không"))</f>
        <v/>
      </c>
      <c r="U777" s="22">
        <f>IF(OR($D777="",$T777="Có"),"",IF($C777="","Thiếu họ tên; ","")&amp;IF($S777&lt;&gt;"Có","SĐT sai định dạng; ","")&amp;IF($R777="Trùng","Trùng SĐT; ","")&amp;IF($Q777&lt;&gt;"Có","Thiếu đồng ý bắt buộc; ","")&amp;IF($L777="","Thiếu/sai Mã REF; ",IF(AND($L777="Chưa xác định",DANH_MUC!$L$9&lt;&gt;"Có"),"Nguồn chưa xác định; ","")))</f>
        <v/>
      </c>
      <c r="V777" s="22">
        <f>IF(OR($D777="",$R777="Trùng"),"",IF(COUNTIF(ORDERS!$C$2:$C$4995,$D777)&gt;0,"Có","Không"))</f>
        <v/>
      </c>
      <c r="W777" s="22">
        <f>IF(OR($D777="",$R777="Trùng"),"",COUNTIFS(ORDERS!$C$2:$C$4995,$D777,ORDERS!$L$2:$L$4995,"Đã chuyển khoản"))</f>
        <v/>
      </c>
      <c r="X777" s="23">
        <f>IF(OR($D777="",$R777="Trùng"),"",SUMIFS(ORDERS!$J$2:$J$4995,ORDERS!$C$2:$C$4995,$D777,ORDERS!$L$2:$L$4995,"Đã chuyển khoản"))</f>
        <v/>
      </c>
      <c r="Y777" s="24" t="n"/>
    </row>
    <row r="778" ht="14.25" customHeight="1" s="40">
      <c r="A778" s="24" t="n"/>
      <c r="B778" s="27" t="n"/>
      <c r="C778" s="24" t="n"/>
      <c r="D778" s="28" t="n"/>
      <c r="E778" s="29" t="n"/>
      <c r="F778" s="24" t="n"/>
      <c r="G778" s="24" t="n"/>
      <c r="H778" s="21">
        <f>IF(ISNUMBER($B778),INT($B778)-WEEKDAY($B778,2)+1,"")</f>
        <v/>
      </c>
      <c r="I778" s="24" t="n"/>
      <c r="J778" s="22">
        <f t="array" ref="J778">IF($D778="","",IF($I778="","(trống REF)",IFERROR(INDEX(MASTER_SOURCE!$B$2:$B$495,MATCH($I778,MASTER_SOURCE!$A$2:$A$495,0)),"(REF không có trong MASTER_SOURCE)")))</f>
        <v/>
      </c>
      <c r="K778" s="22">
        <f t="array" ref="K778">IF($D778="","",IFERROR(INDEX(MASTER_SOURCE!$C$2:$C$495,MATCH($I778,MASTER_SOURCE!$A$2:$A$495,0)),""))</f>
        <v/>
      </c>
      <c r="L778" s="22">
        <f t="array" ref="L778">IF($D778="","",IFERROR(INDEX(MASTER_SOURCE!$D$2:$D$495,MATCH($I778,MASTER_SOURCE!$A$2:$A$495,0)),""))</f>
        <v/>
      </c>
      <c r="M778" s="24" t="n"/>
      <c r="N778" s="24" t="n"/>
      <c r="O778" s="24" t="n"/>
      <c r="P778" s="24" t="n"/>
      <c r="Q778" s="22">
        <f>IF($D778="","",IF(AND(OR(DANH_MUC!$L$5&lt;&gt;"Có",M778="Có"),OR(DANH_MUC!$L$6&lt;&gt;"Có",N778="Có"),OR(DANH_MUC!$L$7&lt;&gt;"Có",O778="Có"),OR(DANH_MUC!$L$8&lt;&gt;"Có",P778="Có")),"Có","Không"))</f>
        <v/>
      </c>
      <c r="R778" s="22">
        <f>IF($D778="","",IF(COUNTIF($D$2:$D778,$D778)&gt;1,"Trùng",""))</f>
        <v/>
      </c>
      <c r="S778" s="22">
        <f>IF($D778="","",IF(AND(LEN($D778)=10,LEFT($D778,1)="0",ISNUMBER(--$D778)),"Có","Không"))</f>
        <v/>
      </c>
      <c r="T778" s="22">
        <f>IF($D778="","",IF(AND($C778&lt;&gt;"",$Q778="Có",$R778="",$S778="Có",AND($L778&lt;&gt;"",OR($L778&lt;&gt;"Chưa xác định",DANH_MUC!$L$9="Có"))),"Có","Không"))</f>
        <v/>
      </c>
      <c r="U778" s="22">
        <f>IF(OR($D778="",$T778="Có"),"",IF($C778="","Thiếu họ tên; ","")&amp;IF($S778&lt;&gt;"Có","SĐT sai định dạng; ","")&amp;IF($R778="Trùng","Trùng SĐT; ","")&amp;IF($Q778&lt;&gt;"Có","Thiếu đồng ý bắt buộc; ","")&amp;IF($L778="","Thiếu/sai Mã REF; ",IF(AND($L778="Chưa xác định",DANH_MUC!$L$9&lt;&gt;"Có"),"Nguồn chưa xác định; ","")))</f>
        <v/>
      </c>
      <c r="V778" s="22">
        <f>IF(OR($D778="",$R778="Trùng"),"",IF(COUNTIF(ORDERS!$C$2:$C$4995,$D778)&gt;0,"Có","Không"))</f>
        <v/>
      </c>
      <c r="W778" s="22">
        <f>IF(OR($D778="",$R778="Trùng"),"",COUNTIFS(ORDERS!$C$2:$C$4995,$D778,ORDERS!$L$2:$L$4995,"Đã chuyển khoản"))</f>
        <v/>
      </c>
      <c r="X778" s="23">
        <f>IF(OR($D778="",$R778="Trùng"),"",SUMIFS(ORDERS!$J$2:$J$4995,ORDERS!$C$2:$C$4995,$D778,ORDERS!$L$2:$L$4995,"Đã chuyển khoản"))</f>
        <v/>
      </c>
      <c r="Y778" s="24" t="n"/>
    </row>
    <row r="779" ht="14.25" customHeight="1" s="40">
      <c r="A779" s="24" t="n"/>
      <c r="B779" s="27" t="n"/>
      <c r="C779" s="24" t="n"/>
      <c r="D779" s="28" t="n"/>
      <c r="E779" s="29" t="n"/>
      <c r="F779" s="24" t="n"/>
      <c r="G779" s="24" t="n"/>
      <c r="H779" s="21">
        <f>IF(ISNUMBER($B779),INT($B779)-WEEKDAY($B779,2)+1,"")</f>
        <v/>
      </c>
      <c r="I779" s="24" t="n"/>
      <c r="J779" s="22">
        <f t="array" ref="J779">IF($D779="","",IF($I779="","(trống REF)",IFERROR(INDEX(MASTER_SOURCE!$B$2:$B$495,MATCH($I779,MASTER_SOURCE!$A$2:$A$495,0)),"(REF không có trong MASTER_SOURCE)")))</f>
        <v/>
      </c>
      <c r="K779" s="22">
        <f t="array" ref="K779">IF($D779="","",IFERROR(INDEX(MASTER_SOURCE!$C$2:$C$495,MATCH($I779,MASTER_SOURCE!$A$2:$A$495,0)),""))</f>
        <v/>
      </c>
      <c r="L779" s="22">
        <f t="array" ref="L779">IF($D779="","",IFERROR(INDEX(MASTER_SOURCE!$D$2:$D$495,MATCH($I779,MASTER_SOURCE!$A$2:$A$495,0)),""))</f>
        <v/>
      </c>
      <c r="M779" s="24" t="n"/>
      <c r="N779" s="24" t="n"/>
      <c r="O779" s="24" t="n"/>
      <c r="P779" s="24" t="n"/>
      <c r="Q779" s="22">
        <f>IF($D779="","",IF(AND(OR(DANH_MUC!$L$5&lt;&gt;"Có",M779="Có"),OR(DANH_MUC!$L$6&lt;&gt;"Có",N779="Có"),OR(DANH_MUC!$L$7&lt;&gt;"Có",O779="Có"),OR(DANH_MUC!$L$8&lt;&gt;"Có",P779="Có")),"Có","Không"))</f>
        <v/>
      </c>
      <c r="R779" s="22">
        <f>IF($D779="","",IF(COUNTIF($D$2:$D779,$D779)&gt;1,"Trùng",""))</f>
        <v/>
      </c>
      <c r="S779" s="22">
        <f>IF($D779="","",IF(AND(LEN($D779)=10,LEFT($D779,1)="0",ISNUMBER(--$D779)),"Có","Không"))</f>
        <v/>
      </c>
      <c r="T779" s="22">
        <f>IF($D779="","",IF(AND($C779&lt;&gt;"",$Q779="Có",$R779="",$S779="Có",AND($L779&lt;&gt;"",OR($L779&lt;&gt;"Chưa xác định",DANH_MUC!$L$9="Có"))),"Có","Không"))</f>
        <v/>
      </c>
      <c r="U779" s="22">
        <f>IF(OR($D779="",$T779="Có"),"",IF($C779="","Thiếu họ tên; ","")&amp;IF($S779&lt;&gt;"Có","SĐT sai định dạng; ","")&amp;IF($R779="Trùng","Trùng SĐT; ","")&amp;IF($Q779&lt;&gt;"Có","Thiếu đồng ý bắt buộc; ","")&amp;IF($L779="","Thiếu/sai Mã REF; ",IF(AND($L779="Chưa xác định",DANH_MUC!$L$9&lt;&gt;"Có"),"Nguồn chưa xác định; ","")))</f>
        <v/>
      </c>
      <c r="V779" s="22">
        <f>IF(OR($D779="",$R779="Trùng"),"",IF(COUNTIF(ORDERS!$C$2:$C$4995,$D779)&gt;0,"Có","Không"))</f>
        <v/>
      </c>
      <c r="W779" s="22">
        <f>IF(OR($D779="",$R779="Trùng"),"",COUNTIFS(ORDERS!$C$2:$C$4995,$D779,ORDERS!$L$2:$L$4995,"Đã chuyển khoản"))</f>
        <v/>
      </c>
      <c r="X779" s="23">
        <f>IF(OR($D779="",$R779="Trùng"),"",SUMIFS(ORDERS!$J$2:$J$4995,ORDERS!$C$2:$C$4995,$D779,ORDERS!$L$2:$L$4995,"Đã chuyển khoản"))</f>
        <v/>
      </c>
      <c r="Y779" s="24" t="n"/>
    </row>
    <row r="780" ht="14.25" customHeight="1" s="40">
      <c r="A780" s="24" t="n"/>
      <c r="B780" s="27" t="n"/>
      <c r="C780" s="24" t="n"/>
      <c r="D780" s="28" t="n"/>
      <c r="E780" s="29" t="n"/>
      <c r="F780" s="24" t="n"/>
      <c r="G780" s="24" t="n"/>
      <c r="H780" s="21">
        <f>IF(ISNUMBER($B780),INT($B780)-WEEKDAY($B780,2)+1,"")</f>
        <v/>
      </c>
      <c r="I780" s="24" t="n"/>
      <c r="J780" s="22">
        <f t="array" ref="J780">IF($D780="","",IF($I780="","(trống REF)",IFERROR(INDEX(MASTER_SOURCE!$B$2:$B$495,MATCH($I780,MASTER_SOURCE!$A$2:$A$495,0)),"(REF không có trong MASTER_SOURCE)")))</f>
        <v/>
      </c>
      <c r="K780" s="22">
        <f t="array" ref="K780">IF($D780="","",IFERROR(INDEX(MASTER_SOURCE!$C$2:$C$495,MATCH($I780,MASTER_SOURCE!$A$2:$A$495,0)),""))</f>
        <v/>
      </c>
      <c r="L780" s="22">
        <f t="array" ref="L780">IF($D780="","",IFERROR(INDEX(MASTER_SOURCE!$D$2:$D$495,MATCH($I780,MASTER_SOURCE!$A$2:$A$495,0)),""))</f>
        <v/>
      </c>
      <c r="M780" s="24" t="n"/>
      <c r="N780" s="24" t="n"/>
      <c r="O780" s="24" t="n"/>
      <c r="P780" s="24" t="n"/>
      <c r="Q780" s="22">
        <f>IF($D780="","",IF(AND(OR(DANH_MUC!$L$5&lt;&gt;"Có",M780="Có"),OR(DANH_MUC!$L$6&lt;&gt;"Có",N780="Có"),OR(DANH_MUC!$L$7&lt;&gt;"Có",O780="Có"),OR(DANH_MUC!$L$8&lt;&gt;"Có",P780="Có")),"Có","Không"))</f>
        <v/>
      </c>
      <c r="R780" s="22">
        <f>IF($D780="","",IF(COUNTIF($D$2:$D780,$D780)&gt;1,"Trùng",""))</f>
        <v/>
      </c>
      <c r="S780" s="22">
        <f>IF($D780="","",IF(AND(LEN($D780)=10,LEFT($D780,1)="0",ISNUMBER(--$D780)),"Có","Không"))</f>
        <v/>
      </c>
      <c r="T780" s="22">
        <f>IF($D780="","",IF(AND($C780&lt;&gt;"",$Q780="Có",$R780="",$S780="Có",AND($L780&lt;&gt;"",OR($L780&lt;&gt;"Chưa xác định",DANH_MUC!$L$9="Có"))),"Có","Không"))</f>
        <v/>
      </c>
      <c r="U780" s="22">
        <f>IF(OR($D780="",$T780="Có"),"",IF($C780="","Thiếu họ tên; ","")&amp;IF($S780&lt;&gt;"Có","SĐT sai định dạng; ","")&amp;IF($R780="Trùng","Trùng SĐT; ","")&amp;IF($Q780&lt;&gt;"Có","Thiếu đồng ý bắt buộc; ","")&amp;IF($L780="","Thiếu/sai Mã REF; ",IF(AND($L780="Chưa xác định",DANH_MUC!$L$9&lt;&gt;"Có"),"Nguồn chưa xác định; ","")))</f>
        <v/>
      </c>
      <c r="V780" s="22">
        <f>IF(OR($D780="",$R780="Trùng"),"",IF(COUNTIF(ORDERS!$C$2:$C$4995,$D780)&gt;0,"Có","Không"))</f>
        <v/>
      </c>
      <c r="W780" s="22">
        <f>IF(OR($D780="",$R780="Trùng"),"",COUNTIFS(ORDERS!$C$2:$C$4995,$D780,ORDERS!$L$2:$L$4995,"Đã chuyển khoản"))</f>
        <v/>
      </c>
      <c r="X780" s="23">
        <f>IF(OR($D780="",$R780="Trùng"),"",SUMIFS(ORDERS!$J$2:$J$4995,ORDERS!$C$2:$C$4995,$D780,ORDERS!$L$2:$L$4995,"Đã chuyển khoản"))</f>
        <v/>
      </c>
      <c r="Y780" s="24" t="n"/>
    </row>
    <row r="781" ht="14.25" customHeight="1" s="40">
      <c r="A781" s="24" t="n"/>
      <c r="B781" s="27" t="n"/>
      <c r="C781" s="24" t="n"/>
      <c r="D781" s="28" t="n"/>
      <c r="E781" s="29" t="n"/>
      <c r="F781" s="24" t="n"/>
      <c r="G781" s="24" t="n"/>
      <c r="H781" s="21">
        <f>IF(ISNUMBER($B781),INT($B781)-WEEKDAY($B781,2)+1,"")</f>
        <v/>
      </c>
      <c r="I781" s="24" t="n"/>
      <c r="J781" s="22">
        <f t="array" ref="J781">IF($D781="","",IF($I781="","(trống REF)",IFERROR(INDEX(MASTER_SOURCE!$B$2:$B$495,MATCH($I781,MASTER_SOURCE!$A$2:$A$495,0)),"(REF không có trong MASTER_SOURCE)")))</f>
        <v/>
      </c>
      <c r="K781" s="22">
        <f t="array" ref="K781">IF($D781="","",IFERROR(INDEX(MASTER_SOURCE!$C$2:$C$495,MATCH($I781,MASTER_SOURCE!$A$2:$A$495,0)),""))</f>
        <v/>
      </c>
      <c r="L781" s="22">
        <f t="array" ref="L781">IF($D781="","",IFERROR(INDEX(MASTER_SOURCE!$D$2:$D$495,MATCH($I781,MASTER_SOURCE!$A$2:$A$495,0)),""))</f>
        <v/>
      </c>
      <c r="M781" s="24" t="n"/>
      <c r="N781" s="24" t="n"/>
      <c r="O781" s="24" t="n"/>
      <c r="P781" s="24" t="n"/>
      <c r="Q781" s="22">
        <f>IF($D781="","",IF(AND(OR(DANH_MUC!$L$5&lt;&gt;"Có",M781="Có"),OR(DANH_MUC!$L$6&lt;&gt;"Có",N781="Có"),OR(DANH_MUC!$L$7&lt;&gt;"Có",O781="Có"),OR(DANH_MUC!$L$8&lt;&gt;"Có",P781="Có")),"Có","Không"))</f>
        <v/>
      </c>
      <c r="R781" s="22">
        <f>IF($D781="","",IF(COUNTIF($D$2:$D781,$D781)&gt;1,"Trùng",""))</f>
        <v/>
      </c>
      <c r="S781" s="22">
        <f>IF($D781="","",IF(AND(LEN($D781)=10,LEFT($D781,1)="0",ISNUMBER(--$D781)),"Có","Không"))</f>
        <v/>
      </c>
      <c r="T781" s="22">
        <f>IF($D781="","",IF(AND($C781&lt;&gt;"",$Q781="Có",$R781="",$S781="Có",AND($L781&lt;&gt;"",OR($L781&lt;&gt;"Chưa xác định",DANH_MUC!$L$9="Có"))),"Có","Không"))</f>
        <v/>
      </c>
      <c r="U781" s="22">
        <f>IF(OR($D781="",$T781="Có"),"",IF($C781="","Thiếu họ tên; ","")&amp;IF($S781&lt;&gt;"Có","SĐT sai định dạng; ","")&amp;IF($R781="Trùng","Trùng SĐT; ","")&amp;IF($Q781&lt;&gt;"Có","Thiếu đồng ý bắt buộc; ","")&amp;IF($L781="","Thiếu/sai Mã REF; ",IF(AND($L781="Chưa xác định",DANH_MUC!$L$9&lt;&gt;"Có"),"Nguồn chưa xác định; ","")))</f>
        <v/>
      </c>
      <c r="V781" s="22">
        <f>IF(OR($D781="",$R781="Trùng"),"",IF(COUNTIF(ORDERS!$C$2:$C$4995,$D781)&gt;0,"Có","Không"))</f>
        <v/>
      </c>
      <c r="W781" s="22">
        <f>IF(OR($D781="",$R781="Trùng"),"",COUNTIFS(ORDERS!$C$2:$C$4995,$D781,ORDERS!$L$2:$L$4995,"Đã chuyển khoản"))</f>
        <v/>
      </c>
      <c r="X781" s="23">
        <f>IF(OR($D781="",$R781="Trùng"),"",SUMIFS(ORDERS!$J$2:$J$4995,ORDERS!$C$2:$C$4995,$D781,ORDERS!$L$2:$L$4995,"Đã chuyển khoản"))</f>
        <v/>
      </c>
      <c r="Y781" s="24" t="n"/>
    </row>
    <row r="782" ht="14.25" customHeight="1" s="40">
      <c r="A782" s="24" t="n"/>
      <c r="B782" s="27" t="n"/>
      <c r="C782" s="24" t="n"/>
      <c r="D782" s="28" t="n"/>
      <c r="E782" s="29" t="n"/>
      <c r="F782" s="24" t="n"/>
      <c r="G782" s="24" t="n"/>
      <c r="H782" s="21">
        <f>IF(ISNUMBER($B782),INT($B782)-WEEKDAY($B782,2)+1,"")</f>
        <v/>
      </c>
      <c r="I782" s="24" t="n"/>
      <c r="J782" s="22">
        <f t="array" ref="J782">IF($D782="","",IF($I782="","(trống REF)",IFERROR(INDEX(MASTER_SOURCE!$B$2:$B$495,MATCH($I782,MASTER_SOURCE!$A$2:$A$495,0)),"(REF không có trong MASTER_SOURCE)")))</f>
        <v/>
      </c>
      <c r="K782" s="22">
        <f t="array" ref="K782">IF($D782="","",IFERROR(INDEX(MASTER_SOURCE!$C$2:$C$495,MATCH($I782,MASTER_SOURCE!$A$2:$A$495,0)),""))</f>
        <v/>
      </c>
      <c r="L782" s="22">
        <f t="array" ref="L782">IF($D782="","",IFERROR(INDEX(MASTER_SOURCE!$D$2:$D$495,MATCH($I782,MASTER_SOURCE!$A$2:$A$495,0)),""))</f>
        <v/>
      </c>
      <c r="M782" s="24" t="n"/>
      <c r="N782" s="24" t="n"/>
      <c r="O782" s="24" t="n"/>
      <c r="P782" s="24" t="n"/>
      <c r="Q782" s="22">
        <f>IF($D782="","",IF(AND(OR(DANH_MUC!$L$5&lt;&gt;"Có",M782="Có"),OR(DANH_MUC!$L$6&lt;&gt;"Có",N782="Có"),OR(DANH_MUC!$L$7&lt;&gt;"Có",O782="Có"),OR(DANH_MUC!$L$8&lt;&gt;"Có",P782="Có")),"Có","Không"))</f>
        <v/>
      </c>
      <c r="R782" s="22">
        <f>IF($D782="","",IF(COUNTIF($D$2:$D782,$D782)&gt;1,"Trùng",""))</f>
        <v/>
      </c>
      <c r="S782" s="22">
        <f>IF($D782="","",IF(AND(LEN($D782)=10,LEFT($D782,1)="0",ISNUMBER(--$D782)),"Có","Không"))</f>
        <v/>
      </c>
      <c r="T782" s="22">
        <f>IF($D782="","",IF(AND($C782&lt;&gt;"",$Q782="Có",$R782="",$S782="Có",AND($L782&lt;&gt;"",OR($L782&lt;&gt;"Chưa xác định",DANH_MUC!$L$9="Có"))),"Có","Không"))</f>
        <v/>
      </c>
      <c r="U782" s="22">
        <f>IF(OR($D782="",$T782="Có"),"",IF($C782="","Thiếu họ tên; ","")&amp;IF($S782&lt;&gt;"Có","SĐT sai định dạng; ","")&amp;IF($R782="Trùng","Trùng SĐT; ","")&amp;IF($Q782&lt;&gt;"Có","Thiếu đồng ý bắt buộc; ","")&amp;IF($L782="","Thiếu/sai Mã REF; ",IF(AND($L782="Chưa xác định",DANH_MUC!$L$9&lt;&gt;"Có"),"Nguồn chưa xác định; ","")))</f>
        <v/>
      </c>
      <c r="V782" s="22">
        <f>IF(OR($D782="",$R782="Trùng"),"",IF(COUNTIF(ORDERS!$C$2:$C$4995,$D782)&gt;0,"Có","Không"))</f>
        <v/>
      </c>
      <c r="W782" s="22">
        <f>IF(OR($D782="",$R782="Trùng"),"",COUNTIFS(ORDERS!$C$2:$C$4995,$D782,ORDERS!$L$2:$L$4995,"Đã chuyển khoản"))</f>
        <v/>
      </c>
      <c r="X782" s="23">
        <f>IF(OR($D782="",$R782="Trùng"),"",SUMIFS(ORDERS!$J$2:$J$4995,ORDERS!$C$2:$C$4995,$D782,ORDERS!$L$2:$L$4995,"Đã chuyển khoản"))</f>
        <v/>
      </c>
      <c r="Y782" s="24" t="n"/>
    </row>
    <row r="783" ht="14.25" customHeight="1" s="40">
      <c r="A783" s="24" t="n"/>
      <c r="B783" s="27" t="n"/>
      <c r="C783" s="24" t="n"/>
      <c r="D783" s="28" t="n"/>
      <c r="E783" s="29" t="n"/>
      <c r="F783" s="24" t="n"/>
      <c r="G783" s="24" t="n"/>
      <c r="H783" s="21">
        <f>IF(ISNUMBER($B783),INT($B783)-WEEKDAY($B783,2)+1,"")</f>
        <v/>
      </c>
      <c r="I783" s="24" t="n"/>
      <c r="J783" s="22">
        <f t="array" ref="J783">IF($D783="","",IF($I783="","(trống REF)",IFERROR(INDEX(MASTER_SOURCE!$B$2:$B$495,MATCH($I783,MASTER_SOURCE!$A$2:$A$495,0)),"(REF không có trong MASTER_SOURCE)")))</f>
        <v/>
      </c>
      <c r="K783" s="22">
        <f t="array" ref="K783">IF($D783="","",IFERROR(INDEX(MASTER_SOURCE!$C$2:$C$495,MATCH($I783,MASTER_SOURCE!$A$2:$A$495,0)),""))</f>
        <v/>
      </c>
      <c r="L783" s="22">
        <f t="array" ref="L783">IF($D783="","",IFERROR(INDEX(MASTER_SOURCE!$D$2:$D$495,MATCH($I783,MASTER_SOURCE!$A$2:$A$495,0)),""))</f>
        <v/>
      </c>
      <c r="M783" s="24" t="n"/>
      <c r="N783" s="24" t="n"/>
      <c r="O783" s="24" t="n"/>
      <c r="P783" s="24" t="n"/>
      <c r="Q783" s="22">
        <f>IF($D783="","",IF(AND(OR(DANH_MUC!$L$5&lt;&gt;"Có",M783="Có"),OR(DANH_MUC!$L$6&lt;&gt;"Có",N783="Có"),OR(DANH_MUC!$L$7&lt;&gt;"Có",O783="Có"),OR(DANH_MUC!$L$8&lt;&gt;"Có",P783="Có")),"Có","Không"))</f>
        <v/>
      </c>
      <c r="R783" s="22">
        <f>IF($D783="","",IF(COUNTIF($D$2:$D783,$D783)&gt;1,"Trùng",""))</f>
        <v/>
      </c>
      <c r="S783" s="22">
        <f>IF($D783="","",IF(AND(LEN($D783)=10,LEFT($D783,1)="0",ISNUMBER(--$D783)),"Có","Không"))</f>
        <v/>
      </c>
      <c r="T783" s="22">
        <f>IF($D783="","",IF(AND($C783&lt;&gt;"",$Q783="Có",$R783="",$S783="Có",AND($L783&lt;&gt;"",OR($L783&lt;&gt;"Chưa xác định",DANH_MUC!$L$9="Có"))),"Có","Không"))</f>
        <v/>
      </c>
      <c r="U783" s="22">
        <f>IF(OR($D783="",$T783="Có"),"",IF($C783="","Thiếu họ tên; ","")&amp;IF($S783&lt;&gt;"Có","SĐT sai định dạng; ","")&amp;IF($R783="Trùng","Trùng SĐT; ","")&amp;IF($Q783&lt;&gt;"Có","Thiếu đồng ý bắt buộc; ","")&amp;IF($L783="","Thiếu/sai Mã REF; ",IF(AND($L783="Chưa xác định",DANH_MUC!$L$9&lt;&gt;"Có"),"Nguồn chưa xác định; ","")))</f>
        <v/>
      </c>
      <c r="V783" s="22">
        <f>IF(OR($D783="",$R783="Trùng"),"",IF(COUNTIF(ORDERS!$C$2:$C$4995,$D783)&gt;0,"Có","Không"))</f>
        <v/>
      </c>
      <c r="W783" s="22">
        <f>IF(OR($D783="",$R783="Trùng"),"",COUNTIFS(ORDERS!$C$2:$C$4995,$D783,ORDERS!$L$2:$L$4995,"Đã chuyển khoản"))</f>
        <v/>
      </c>
      <c r="X783" s="23">
        <f>IF(OR($D783="",$R783="Trùng"),"",SUMIFS(ORDERS!$J$2:$J$4995,ORDERS!$C$2:$C$4995,$D783,ORDERS!$L$2:$L$4995,"Đã chuyển khoản"))</f>
        <v/>
      </c>
      <c r="Y783" s="24" t="n"/>
    </row>
    <row r="784" ht="14.25" customHeight="1" s="40">
      <c r="A784" s="24" t="n"/>
      <c r="B784" s="27" t="n"/>
      <c r="C784" s="24" t="n"/>
      <c r="D784" s="28" t="n"/>
      <c r="E784" s="29" t="n"/>
      <c r="F784" s="24" t="n"/>
      <c r="G784" s="24" t="n"/>
      <c r="H784" s="21">
        <f>IF(ISNUMBER($B784),INT($B784)-WEEKDAY($B784,2)+1,"")</f>
        <v/>
      </c>
      <c r="I784" s="24" t="n"/>
      <c r="J784" s="22">
        <f t="array" ref="J784">IF($D784="","",IF($I784="","(trống REF)",IFERROR(INDEX(MASTER_SOURCE!$B$2:$B$495,MATCH($I784,MASTER_SOURCE!$A$2:$A$495,0)),"(REF không có trong MASTER_SOURCE)")))</f>
        <v/>
      </c>
      <c r="K784" s="22">
        <f t="array" ref="K784">IF($D784="","",IFERROR(INDEX(MASTER_SOURCE!$C$2:$C$495,MATCH($I784,MASTER_SOURCE!$A$2:$A$495,0)),""))</f>
        <v/>
      </c>
      <c r="L784" s="22">
        <f t="array" ref="L784">IF($D784="","",IFERROR(INDEX(MASTER_SOURCE!$D$2:$D$495,MATCH($I784,MASTER_SOURCE!$A$2:$A$495,0)),""))</f>
        <v/>
      </c>
      <c r="M784" s="24" t="n"/>
      <c r="N784" s="24" t="n"/>
      <c r="O784" s="24" t="n"/>
      <c r="P784" s="24" t="n"/>
      <c r="Q784" s="22">
        <f>IF($D784="","",IF(AND(OR(DANH_MUC!$L$5&lt;&gt;"Có",M784="Có"),OR(DANH_MUC!$L$6&lt;&gt;"Có",N784="Có"),OR(DANH_MUC!$L$7&lt;&gt;"Có",O784="Có"),OR(DANH_MUC!$L$8&lt;&gt;"Có",P784="Có")),"Có","Không"))</f>
        <v/>
      </c>
      <c r="R784" s="22">
        <f>IF($D784="","",IF(COUNTIF($D$2:$D784,$D784)&gt;1,"Trùng",""))</f>
        <v/>
      </c>
      <c r="S784" s="22">
        <f>IF($D784="","",IF(AND(LEN($D784)=10,LEFT($D784,1)="0",ISNUMBER(--$D784)),"Có","Không"))</f>
        <v/>
      </c>
      <c r="T784" s="22">
        <f>IF($D784="","",IF(AND($C784&lt;&gt;"",$Q784="Có",$R784="",$S784="Có",AND($L784&lt;&gt;"",OR($L784&lt;&gt;"Chưa xác định",DANH_MUC!$L$9="Có"))),"Có","Không"))</f>
        <v/>
      </c>
      <c r="U784" s="22">
        <f>IF(OR($D784="",$T784="Có"),"",IF($C784="","Thiếu họ tên; ","")&amp;IF($S784&lt;&gt;"Có","SĐT sai định dạng; ","")&amp;IF($R784="Trùng","Trùng SĐT; ","")&amp;IF($Q784&lt;&gt;"Có","Thiếu đồng ý bắt buộc; ","")&amp;IF($L784="","Thiếu/sai Mã REF; ",IF(AND($L784="Chưa xác định",DANH_MUC!$L$9&lt;&gt;"Có"),"Nguồn chưa xác định; ","")))</f>
        <v/>
      </c>
      <c r="V784" s="22">
        <f>IF(OR($D784="",$R784="Trùng"),"",IF(COUNTIF(ORDERS!$C$2:$C$4995,$D784)&gt;0,"Có","Không"))</f>
        <v/>
      </c>
      <c r="W784" s="22">
        <f>IF(OR($D784="",$R784="Trùng"),"",COUNTIFS(ORDERS!$C$2:$C$4995,$D784,ORDERS!$L$2:$L$4995,"Đã chuyển khoản"))</f>
        <v/>
      </c>
      <c r="X784" s="23">
        <f>IF(OR($D784="",$R784="Trùng"),"",SUMIFS(ORDERS!$J$2:$J$4995,ORDERS!$C$2:$C$4995,$D784,ORDERS!$L$2:$L$4995,"Đã chuyển khoản"))</f>
        <v/>
      </c>
      <c r="Y784" s="24" t="n"/>
    </row>
    <row r="785" ht="14.25" customHeight="1" s="40">
      <c r="A785" s="24" t="n"/>
      <c r="B785" s="27" t="n"/>
      <c r="C785" s="24" t="n"/>
      <c r="D785" s="28" t="n"/>
      <c r="E785" s="29" t="n"/>
      <c r="F785" s="24" t="n"/>
      <c r="G785" s="24" t="n"/>
      <c r="H785" s="21">
        <f>IF(ISNUMBER($B785),INT($B785)-WEEKDAY($B785,2)+1,"")</f>
        <v/>
      </c>
      <c r="I785" s="24" t="n"/>
      <c r="J785" s="22">
        <f t="array" ref="J785">IF($D785="","",IF($I785="","(trống REF)",IFERROR(INDEX(MASTER_SOURCE!$B$2:$B$495,MATCH($I785,MASTER_SOURCE!$A$2:$A$495,0)),"(REF không có trong MASTER_SOURCE)")))</f>
        <v/>
      </c>
      <c r="K785" s="22">
        <f t="array" ref="K785">IF($D785="","",IFERROR(INDEX(MASTER_SOURCE!$C$2:$C$495,MATCH($I785,MASTER_SOURCE!$A$2:$A$495,0)),""))</f>
        <v/>
      </c>
      <c r="L785" s="22">
        <f t="array" ref="L785">IF($D785="","",IFERROR(INDEX(MASTER_SOURCE!$D$2:$D$495,MATCH($I785,MASTER_SOURCE!$A$2:$A$495,0)),""))</f>
        <v/>
      </c>
      <c r="M785" s="24" t="n"/>
      <c r="N785" s="24" t="n"/>
      <c r="O785" s="24" t="n"/>
      <c r="P785" s="24" t="n"/>
      <c r="Q785" s="22">
        <f>IF($D785="","",IF(AND(OR(DANH_MUC!$L$5&lt;&gt;"Có",M785="Có"),OR(DANH_MUC!$L$6&lt;&gt;"Có",N785="Có"),OR(DANH_MUC!$L$7&lt;&gt;"Có",O785="Có"),OR(DANH_MUC!$L$8&lt;&gt;"Có",P785="Có")),"Có","Không"))</f>
        <v/>
      </c>
      <c r="R785" s="22">
        <f>IF($D785="","",IF(COUNTIF($D$2:$D785,$D785)&gt;1,"Trùng",""))</f>
        <v/>
      </c>
      <c r="S785" s="22">
        <f>IF($D785="","",IF(AND(LEN($D785)=10,LEFT($D785,1)="0",ISNUMBER(--$D785)),"Có","Không"))</f>
        <v/>
      </c>
      <c r="T785" s="22">
        <f>IF($D785="","",IF(AND($C785&lt;&gt;"",$Q785="Có",$R785="",$S785="Có",AND($L785&lt;&gt;"",OR($L785&lt;&gt;"Chưa xác định",DANH_MUC!$L$9="Có"))),"Có","Không"))</f>
        <v/>
      </c>
      <c r="U785" s="22">
        <f>IF(OR($D785="",$T785="Có"),"",IF($C785="","Thiếu họ tên; ","")&amp;IF($S785&lt;&gt;"Có","SĐT sai định dạng; ","")&amp;IF($R785="Trùng","Trùng SĐT; ","")&amp;IF($Q785&lt;&gt;"Có","Thiếu đồng ý bắt buộc; ","")&amp;IF($L785="","Thiếu/sai Mã REF; ",IF(AND($L785="Chưa xác định",DANH_MUC!$L$9&lt;&gt;"Có"),"Nguồn chưa xác định; ","")))</f>
        <v/>
      </c>
      <c r="V785" s="22">
        <f>IF(OR($D785="",$R785="Trùng"),"",IF(COUNTIF(ORDERS!$C$2:$C$4995,$D785)&gt;0,"Có","Không"))</f>
        <v/>
      </c>
      <c r="W785" s="22">
        <f>IF(OR($D785="",$R785="Trùng"),"",COUNTIFS(ORDERS!$C$2:$C$4995,$D785,ORDERS!$L$2:$L$4995,"Đã chuyển khoản"))</f>
        <v/>
      </c>
      <c r="X785" s="23">
        <f>IF(OR($D785="",$R785="Trùng"),"",SUMIFS(ORDERS!$J$2:$J$4995,ORDERS!$C$2:$C$4995,$D785,ORDERS!$L$2:$L$4995,"Đã chuyển khoản"))</f>
        <v/>
      </c>
      <c r="Y785" s="24" t="n"/>
    </row>
    <row r="786" ht="14.25" customHeight="1" s="40">
      <c r="A786" s="24" t="n"/>
      <c r="B786" s="27" t="n"/>
      <c r="C786" s="24" t="n"/>
      <c r="D786" s="28" t="n"/>
      <c r="E786" s="29" t="n"/>
      <c r="F786" s="24" t="n"/>
      <c r="G786" s="24" t="n"/>
      <c r="H786" s="21">
        <f>IF(ISNUMBER($B786),INT($B786)-WEEKDAY($B786,2)+1,"")</f>
        <v/>
      </c>
      <c r="I786" s="24" t="n"/>
      <c r="J786" s="22">
        <f t="array" ref="J786">IF($D786="","",IF($I786="","(trống REF)",IFERROR(INDEX(MASTER_SOURCE!$B$2:$B$495,MATCH($I786,MASTER_SOURCE!$A$2:$A$495,0)),"(REF không có trong MASTER_SOURCE)")))</f>
        <v/>
      </c>
      <c r="K786" s="22">
        <f t="array" ref="K786">IF($D786="","",IFERROR(INDEX(MASTER_SOURCE!$C$2:$C$495,MATCH($I786,MASTER_SOURCE!$A$2:$A$495,0)),""))</f>
        <v/>
      </c>
      <c r="L786" s="22">
        <f t="array" ref="L786">IF($D786="","",IFERROR(INDEX(MASTER_SOURCE!$D$2:$D$495,MATCH($I786,MASTER_SOURCE!$A$2:$A$495,0)),""))</f>
        <v/>
      </c>
      <c r="M786" s="24" t="n"/>
      <c r="N786" s="24" t="n"/>
      <c r="O786" s="24" t="n"/>
      <c r="P786" s="24" t="n"/>
      <c r="Q786" s="22">
        <f>IF($D786="","",IF(AND(OR(DANH_MUC!$L$5&lt;&gt;"Có",M786="Có"),OR(DANH_MUC!$L$6&lt;&gt;"Có",N786="Có"),OR(DANH_MUC!$L$7&lt;&gt;"Có",O786="Có"),OR(DANH_MUC!$L$8&lt;&gt;"Có",P786="Có")),"Có","Không"))</f>
        <v/>
      </c>
      <c r="R786" s="22">
        <f>IF($D786="","",IF(COUNTIF($D$2:$D786,$D786)&gt;1,"Trùng",""))</f>
        <v/>
      </c>
      <c r="S786" s="22">
        <f>IF($D786="","",IF(AND(LEN($D786)=10,LEFT($D786,1)="0",ISNUMBER(--$D786)),"Có","Không"))</f>
        <v/>
      </c>
      <c r="T786" s="22">
        <f>IF($D786="","",IF(AND($C786&lt;&gt;"",$Q786="Có",$R786="",$S786="Có",AND($L786&lt;&gt;"",OR($L786&lt;&gt;"Chưa xác định",DANH_MUC!$L$9="Có"))),"Có","Không"))</f>
        <v/>
      </c>
      <c r="U786" s="22">
        <f>IF(OR($D786="",$T786="Có"),"",IF($C786="","Thiếu họ tên; ","")&amp;IF($S786&lt;&gt;"Có","SĐT sai định dạng; ","")&amp;IF($R786="Trùng","Trùng SĐT; ","")&amp;IF($Q786&lt;&gt;"Có","Thiếu đồng ý bắt buộc; ","")&amp;IF($L786="","Thiếu/sai Mã REF; ",IF(AND($L786="Chưa xác định",DANH_MUC!$L$9&lt;&gt;"Có"),"Nguồn chưa xác định; ","")))</f>
        <v/>
      </c>
      <c r="V786" s="22">
        <f>IF(OR($D786="",$R786="Trùng"),"",IF(COUNTIF(ORDERS!$C$2:$C$4995,$D786)&gt;0,"Có","Không"))</f>
        <v/>
      </c>
      <c r="W786" s="22">
        <f>IF(OR($D786="",$R786="Trùng"),"",COUNTIFS(ORDERS!$C$2:$C$4995,$D786,ORDERS!$L$2:$L$4995,"Đã chuyển khoản"))</f>
        <v/>
      </c>
      <c r="X786" s="23">
        <f>IF(OR($D786="",$R786="Trùng"),"",SUMIFS(ORDERS!$J$2:$J$4995,ORDERS!$C$2:$C$4995,$D786,ORDERS!$L$2:$L$4995,"Đã chuyển khoản"))</f>
        <v/>
      </c>
      <c r="Y786" s="24" t="n"/>
    </row>
    <row r="787" ht="14.25" customHeight="1" s="40">
      <c r="A787" s="24" t="n"/>
      <c r="B787" s="27" t="n"/>
      <c r="C787" s="24" t="n"/>
      <c r="D787" s="28" t="n"/>
      <c r="E787" s="29" t="n"/>
      <c r="F787" s="24" t="n"/>
      <c r="G787" s="24" t="n"/>
      <c r="H787" s="21">
        <f>IF(ISNUMBER($B787),INT($B787)-WEEKDAY($B787,2)+1,"")</f>
        <v/>
      </c>
      <c r="I787" s="24" t="n"/>
      <c r="J787" s="22">
        <f t="array" ref="J787">IF($D787="","",IF($I787="","(trống REF)",IFERROR(INDEX(MASTER_SOURCE!$B$2:$B$495,MATCH($I787,MASTER_SOURCE!$A$2:$A$495,0)),"(REF không có trong MASTER_SOURCE)")))</f>
        <v/>
      </c>
      <c r="K787" s="22">
        <f t="array" ref="K787">IF($D787="","",IFERROR(INDEX(MASTER_SOURCE!$C$2:$C$495,MATCH($I787,MASTER_SOURCE!$A$2:$A$495,0)),""))</f>
        <v/>
      </c>
      <c r="L787" s="22">
        <f t="array" ref="L787">IF($D787="","",IFERROR(INDEX(MASTER_SOURCE!$D$2:$D$495,MATCH($I787,MASTER_SOURCE!$A$2:$A$495,0)),""))</f>
        <v/>
      </c>
      <c r="M787" s="24" t="n"/>
      <c r="N787" s="24" t="n"/>
      <c r="O787" s="24" t="n"/>
      <c r="P787" s="24" t="n"/>
      <c r="Q787" s="22">
        <f>IF($D787="","",IF(AND(OR(DANH_MUC!$L$5&lt;&gt;"Có",M787="Có"),OR(DANH_MUC!$L$6&lt;&gt;"Có",N787="Có"),OR(DANH_MUC!$L$7&lt;&gt;"Có",O787="Có"),OR(DANH_MUC!$L$8&lt;&gt;"Có",P787="Có")),"Có","Không"))</f>
        <v/>
      </c>
      <c r="R787" s="22">
        <f>IF($D787="","",IF(COUNTIF($D$2:$D787,$D787)&gt;1,"Trùng",""))</f>
        <v/>
      </c>
      <c r="S787" s="22">
        <f>IF($D787="","",IF(AND(LEN($D787)=10,LEFT($D787,1)="0",ISNUMBER(--$D787)),"Có","Không"))</f>
        <v/>
      </c>
      <c r="T787" s="22">
        <f>IF($D787="","",IF(AND($C787&lt;&gt;"",$Q787="Có",$R787="",$S787="Có",AND($L787&lt;&gt;"",OR($L787&lt;&gt;"Chưa xác định",DANH_MUC!$L$9="Có"))),"Có","Không"))</f>
        <v/>
      </c>
      <c r="U787" s="22">
        <f>IF(OR($D787="",$T787="Có"),"",IF($C787="","Thiếu họ tên; ","")&amp;IF($S787&lt;&gt;"Có","SĐT sai định dạng; ","")&amp;IF($R787="Trùng","Trùng SĐT; ","")&amp;IF($Q787&lt;&gt;"Có","Thiếu đồng ý bắt buộc; ","")&amp;IF($L787="","Thiếu/sai Mã REF; ",IF(AND($L787="Chưa xác định",DANH_MUC!$L$9&lt;&gt;"Có"),"Nguồn chưa xác định; ","")))</f>
        <v/>
      </c>
      <c r="V787" s="22">
        <f>IF(OR($D787="",$R787="Trùng"),"",IF(COUNTIF(ORDERS!$C$2:$C$4995,$D787)&gt;0,"Có","Không"))</f>
        <v/>
      </c>
      <c r="W787" s="22">
        <f>IF(OR($D787="",$R787="Trùng"),"",COUNTIFS(ORDERS!$C$2:$C$4995,$D787,ORDERS!$L$2:$L$4995,"Đã chuyển khoản"))</f>
        <v/>
      </c>
      <c r="X787" s="23">
        <f>IF(OR($D787="",$R787="Trùng"),"",SUMIFS(ORDERS!$J$2:$J$4995,ORDERS!$C$2:$C$4995,$D787,ORDERS!$L$2:$L$4995,"Đã chuyển khoản"))</f>
        <v/>
      </c>
      <c r="Y787" s="24" t="n"/>
    </row>
    <row r="788" ht="14.25" customHeight="1" s="40">
      <c r="A788" s="24" t="n"/>
      <c r="B788" s="27" t="n"/>
      <c r="C788" s="24" t="n"/>
      <c r="D788" s="28" t="n"/>
      <c r="E788" s="29" t="n"/>
      <c r="F788" s="24" t="n"/>
      <c r="G788" s="24" t="n"/>
      <c r="H788" s="21">
        <f>IF(ISNUMBER($B788),INT($B788)-WEEKDAY($B788,2)+1,"")</f>
        <v/>
      </c>
      <c r="I788" s="24" t="n"/>
      <c r="J788" s="22">
        <f t="array" ref="J788">IF($D788="","",IF($I788="","(trống REF)",IFERROR(INDEX(MASTER_SOURCE!$B$2:$B$495,MATCH($I788,MASTER_SOURCE!$A$2:$A$495,0)),"(REF không có trong MASTER_SOURCE)")))</f>
        <v/>
      </c>
      <c r="K788" s="22">
        <f t="array" ref="K788">IF($D788="","",IFERROR(INDEX(MASTER_SOURCE!$C$2:$C$495,MATCH($I788,MASTER_SOURCE!$A$2:$A$495,0)),""))</f>
        <v/>
      </c>
      <c r="L788" s="22">
        <f t="array" ref="L788">IF($D788="","",IFERROR(INDEX(MASTER_SOURCE!$D$2:$D$495,MATCH($I788,MASTER_SOURCE!$A$2:$A$495,0)),""))</f>
        <v/>
      </c>
      <c r="M788" s="24" t="n"/>
      <c r="N788" s="24" t="n"/>
      <c r="O788" s="24" t="n"/>
      <c r="P788" s="24" t="n"/>
      <c r="Q788" s="22">
        <f>IF($D788="","",IF(AND(OR(DANH_MUC!$L$5&lt;&gt;"Có",M788="Có"),OR(DANH_MUC!$L$6&lt;&gt;"Có",N788="Có"),OR(DANH_MUC!$L$7&lt;&gt;"Có",O788="Có"),OR(DANH_MUC!$L$8&lt;&gt;"Có",P788="Có")),"Có","Không"))</f>
        <v/>
      </c>
      <c r="R788" s="22">
        <f>IF($D788="","",IF(COUNTIF($D$2:$D788,$D788)&gt;1,"Trùng",""))</f>
        <v/>
      </c>
      <c r="S788" s="22">
        <f>IF($D788="","",IF(AND(LEN($D788)=10,LEFT($D788,1)="0",ISNUMBER(--$D788)),"Có","Không"))</f>
        <v/>
      </c>
      <c r="T788" s="22">
        <f>IF($D788="","",IF(AND($C788&lt;&gt;"",$Q788="Có",$R788="",$S788="Có",AND($L788&lt;&gt;"",OR($L788&lt;&gt;"Chưa xác định",DANH_MUC!$L$9="Có"))),"Có","Không"))</f>
        <v/>
      </c>
      <c r="U788" s="22">
        <f>IF(OR($D788="",$T788="Có"),"",IF($C788="","Thiếu họ tên; ","")&amp;IF($S788&lt;&gt;"Có","SĐT sai định dạng; ","")&amp;IF($R788="Trùng","Trùng SĐT; ","")&amp;IF($Q788&lt;&gt;"Có","Thiếu đồng ý bắt buộc; ","")&amp;IF($L788="","Thiếu/sai Mã REF; ",IF(AND($L788="Chưa xác định",DANH_MUC!$L$9&lt;&gt;"Có"),"Nguồn chưa xác định; ","")))</f>
        <v/>
      </c>
      <c r="V788" s="22">
        <f>IF(OR($D788="",$R788="Trùng"),"",IF(COUNTIF(ORDERS!$C$2:$C$4995,$D788)&gt;0,"Có","Không"))</f>
        <v/>
      </c>
      <c r="W788" s="22">
        <f>IF(OR($D788="",$R788="Trùng"),"",COUNTIFS(ORDERS!$C$2:$C$4995,$D788,ORDERS!$L$2:$L$4995,"Đã chuyển khoản"))</f>
        <v/>
      </c>
      <c r="X788" s="23">
        <f>IF(OR($D788="",$R788="Trùng"),"",SUMIFS(ORDERS!$J$2:$J$4995,ORDERS!$C$2:$C$4995,$D788,ORDERS!$L$2:$L$4995,"Đã chuyển khoản"))</f>
        <v/>
      </c>
      <c r="Y788" s="24" t="n"/>
    </row>
    <row r="789" ht="14.25" customHeight="1" s="40">
      <c r="A789" s="24" t="n"/>
      <c r="B789" s="27" t="n"/>
      <c r="C789" s="24" t="n"/>
      <c r="D789" s="28" t="n"/>
      <c r="E789" s="29" t="n"/>
      <c r="F789" s="24" t="n"/>
      <c r="G789" s="24" t="n"/>
      <c r="H789" s="21">
        <f>IF(ISNUMBER($B789),INT($B789)-WEEKDAY($B789,2)+1,"")</f>
        <v/>
      </c>
      <c r="I789" s="24" t="n"/>
      <c r="J789" s="22">
        <f t="array" ref="J789">IF($D789="","",IF($I789="","(trống REF)",IFERROR(INDEX(MASTER_SOURCE!$B$2:$B$495,MATCH($I789,MASTER_SOURCE!$A$2:$A$495,0)),"(REF không có trong MASTER_SOURCE)")))</f>
        <v/>
      </c>
      <c r="K789" s="22">
        <f t="array" ref="K789">IF($D789="","",IFERROR(INDEX(MASTER_SOURCE!$C$2:$C$495,MATCH($I789,MASTER_SOURCE!$A$2:$A$495,0)),""))</f>
        <v/>
      </c>
      <c r="L789" s="22">
        <f t="array" ref="L789">IF($D789="","",IFERROR(INDEX(MASTER_SOURCE!$D$2:$D$495,MATCH($I789,MASTER_SOURCE!$A$2:$A$495,0)),""))</f>
        <v/>
      </c>
      <c r="M789" s="24" t="n"/>
      <c r="N789" s="24" t="n"/>
      <c r="O789" s="24" t="n"/>
      <c r="P789" s="24" t="n"/>
      <c r="Q789" s="22">
        <f>IF($D789="","",IF(AND(OR(DANH_MUC!$L$5&lt;&gt;"Có",M789="Có"),OR(DANH_MUC!$L$6&lt;&gt;"Có",N789="Có"),OR(DANH_MUC!$L$7&lt;&gt;"Có",O789="Có"),OR(DANH_MUC!$L$8&lt;&gt;"Có",P789="Có")),"Có","Không"))</f>
        <v/>
      </c>
      <c r="R789" s="22">
        <f>IF($D789="","",IF(COUNTIF($D$2:$D789,$D789)&gt;1,"Trùng",""))</f>
        <v/>
      </c>
      <c r="S789" s="22">
        <f>IF($D789="","",IF(AND(LEN($D789)=10,LEFT($D789,1)="0",ISNUMBER(--$D789)),"Có","Không"))</f>
        <v/>
      </c>
      <c r="T789" s="22">
        <f>IF($D789="","",IF(AND($C789&lt;&gt;"",$Q789="Có",$R789="",$S789="Có",AND($L789&lt;&gt;"",OR($L789&lt;&gt;"Chưa xác định",DANH_MUC!$L$9="Có"))),"Có","Không"))</f>
        <v/>
      </c>
      <c r="U789" s="22">
        <f>IF(OR($D789="",$T789="Có"),"",IF($C789="","Thiếu họ tên; ","")&amp;IF($S789&lt;&gt;"Có","SĐT sai định dạng; ","")&amp;IF($R789="Trùng","Trùng SĐT; ","")&amp;IF($Q789&lt;&gt;"Có","Thiếu đồng ý bắt buộc; ","")&amp;IF($L789="","Thiếu/sai Mã REF; ",IF(AND($L789="Chưa xác định",DANH_MUC!$L$9&lt;&gt;"Có"),"Nguồn chưa xác định; ","")))</f>
        <v/>
      </c>
      <c r="V789" s="22">
        <f>IF(OR($D789="",$R789="Trùng"),"",IF(COUNTIF(ORDERS!$C$2:$C$4995,$D789)&gt;0,"Có","Không"))</f>
        <v/>
      </c>
      <c r="W789" s="22">
        <f>IF(OR($D789="",$R789="Trùng"),"",COUNTIFS(ORDERS!$C$2:$C$4995,$D789,ORDERS!$L$2:$L$4995,"Đã chuyển khoản"))</f>
        <v/>
      </c>
      <c r="X789" s="23">
        <f>IF(OR($D789="",$R789="Trùng"),"",SUMIFS(ORDERS!$J$2:$J$4995,ORDERS!$C$2:$C$4995,$D789,ORDERS!$L$2:$L$4995,"Đã chuyển khoản"))</f>
        <v/>
      </c>
      <c r="Y789" s="24" t="n"/>
    </row>
    <row r="790" ht="14.25" customHeight="1" s="40">
      <c r="A790" s="24" t="n"/>
      <c r="B790" s="27" t="n"/>
      <c r="C790" s="24" t="n"/>
      <c r="D790" s="28" t="n"/>
      <c r="E790" s="29" t="n"/>
      <c r="F790" s="24" t="n"/>
      <c r="G790" s="24" t="n"/>
      <c r="H790" s="21">
        <f>IF(ISNUMBER($B790),INT($B790)-WEEKDAY($B790,2)+1,"")</f>
        <v/>
      </c>
      <c r="I790" s="24" t="n"/>
      <c r="J790" s="22">
        <f t="array" ref="J790">IF($D790="","",IF($I790="","(trống REF)",IFERROR(INDEX(MASTER_SOURCE!$B$2:$B$495,MATCH($I790,MASTER_SOURCE!$A$2:$A$495,0)),"(REF không có trong MASTER_SOURCE)")))</f>
        <v/>
      </c>
      <c r="K790" s="22">
        <f t="array" ref="K790">IF($D790="","",IFERROR(INDEX(MASTER_SOURCE!$C$2:$C$495,MATCH($I790,MASTER_SOURCE!$A$2:$A$495,0)),""))</f>
        <v/>
      </c>
      <c r="L790" s="22">
        <f t="array" ref="L790">IF($D790="","",IFERROR(INDEX(MASTER_SOURCE!$D$2:$D$495,MATCH($I790,MASTER_SOURCE!$A$2:$A$495,0)),""))</f>
        <v/>
      </c>
      <c r="M790" s="24" t="n"/>
      <c r="N790" s="24" t="n"/>
      <c r="O790" s="24" t="n"/>
      <c r="P790" s="24" t="n"/>
      <c r="Q790" s="22">
        <f>IF($D790="","",IF(AND(OR(DANH_MUC!$L$5&lt;&gt;"Có",M790="Có"),OR(DANH_MUC!$L$6&lt;&gt;"Có",N790="Có"),OR(DANH_MUC!$L$7&lt;&gt;"Có",O790="Có"),OR(DANH_MUC!$L$8&lt;&gt;"Có",P790="Có")),"Có","Không"))</f>
        <v/>
      </c>
      <c r="R790" s="22">
        <f>IF($D790="","",IF(COUNTIF($D$2:$D790,$D790)&gt;1,"Trùng",""))</f>
        <v/>
      </c>
      <c r="S790" s="22">
        <f>IF($D790="","",IF(AND(LEN($D790)=10,LEFT($D790,1)="0",ISNUMBER(--$D790)),"Có","Không"))</f>
        <v/>
      </c>
      <c r="T790" s="22">
        <f>IF($D790="","",IF(AND($C790&lt;&gt;"",$Q790="Có",$R790="",$S790="Có",AND($L790&lt;&gt;"",OR($L790&lt;&gt;"Chưa xác định",DANH_MUC!$L$9="Có"))),"Có","Không"))</f>
        <v/>
      </c>
      <c r="U790" s="22">
        <f>IF(OR($D790="",$T790="Có"),"",IF($C790="","Thiếu họ tên; ","")&amp;IF($S790&lt;&gt;"Có","SĐT sai định dạng; ","")&amp;IF($R790="Trùng","Trùng SĐT; ","")&amp;IF($Q790&lt;&gt;"Có","Thiếu đồng ý bắt buộc; ","")&amp;IF($L790="","Thiếu/sai Mã REF; ",IF(AND($L790="Chưa xác định",DANH_MUC!$L$9&lt;&gt;"Có"),"Nguồn chưa xác định; ","")))</f>
        <v/>
      </c>
      <c r="V790" s="22">
        <f>IF(OR($D790="",$R790="Trùng"),"",IF(COUNTIF(ORDERS!$C$2:$C$4995,$D790)&gt;0,"Có","Không"))</f>
        <v/>
      </c>
      <c r="W790" s="22">
        <f>IF(OR($D790="",$R790="Trùng"),"",COUNTIFS(ORDERS!$C$2:$C$4995,$D790,ORDERS!$L$2:$L$4995,"Đã chuyển khoản"))</f>
        <v/>
      </c>
      <c r="X790" s="23">
        <f>IF(OR($D790="",$R790="Trùng"),"",SUMIFS(ORDERS!$J$2:$J$4995,ORDERS!$C$2:$C$4995,$D790,ORDERS!$L$2:$L$4995,"Đã chuyển khoản"))</f>
        <v/>
      </c>
      <c r="Y790" s="24" t="n"/>
    </row>
    <row r="791" ht="14.25" customHeight="1" s="40">
      <c r="A791" s="24" t="n"/>
      <c r="B791" s="27" t="n"/>
      <c r="C791" s="24" t="n"/>
      <c r="D791" s="28" t="n"/>
      <c r="E791" s="29" t="n"/>
      <c r="F791" s="24" t="n"/>
      <c r="G791" s="24" t="n"/>
      <c r="H791" s="21">
        <f>IF(ISNUMBER($B791),INT($B791)-WEEKDAY($B791,2)+1,"")</f>
        <v/>
      </c>
      <c r="I791" s="24" t="n"/>
      <c r="J791" s="22">
        <f t="array" ref="J791">IF($D791="","",IF($I791="","(trống REF)",IFERROR(INDEX(MASTER_SOURCE!$B$2:$B$495,MATCH($I791,MASTER_SOURCE!$A$2:$A$495,0)),"(REF không có trong MASTER_SOURCE)")))</f>
        <v/>
      </c>
      <c r="K791" s="22">
        <f t="array" ref="K791">IF($D791="","",IFERROR(INDEX(MASTER_SOURCE!$C$2:$C$495,MATCH($I791,MASTER_SOURCE!$A$2:$A$495,0)),""))</f>
        <v/>
      </c>
      <c r="L791" s="22">
        <f t="array" ref="L791">IF($D791="","",IFERROR(INDEX(MASTER_SOURCE!$D$2:$D$495,MATCH($I791,MASTER_SOURCE!$A$2:$A$495,0)),""))</f>
        <v/>
      </c>
      <c r="M791" s="24" t="n"/>
      <c r="N791" s="24" t="n"/>
      <c r="O791" s="24" t="n"/>
      <c r="P791" s="24" t="n"/>
      <c r="Q791" s="22">
        <f>IF($D791="","",IF(AND(OR(DANH_MUC!$L$5&lt;&gt;"Có",M791="Có"),OR(DANH_MUC!$L$6&lt;&gt;"Có",N791="Có"),OR(DANH_MUC!$L$7&lt;&gt;"Có",O791="Có"),OR(DANH_MUC!$L$8&lt;&gt;"Có",P791="Có")),"Có","Không"))</f>
        <v/>
      </c>
      <c r="R791" s="22">
        <f>IF($D791="","",IF(COUNTIF($D$2:$D791,$D791)&gt;1,"Trùng",""))</f>
        <v/>
      </c>
      <c r="S791" s="22">
        <f>IF($D791="","",IF(AND(LEN($D791)=10,LEFT($D791,1)="0",ISNUMBER(--$D791)),"Có","Không"))</f>
        <v/>
      </c>
      <c r="T791" s="22">
        <f>IF($D791="","",IF(AND($C791&lt;&gt;"",$Q791="Có",$R791="",$S791="Có",AND($L791&lt;&gt;"",OR($L791&lt;&gt;"Chưa xác định",DANH_MUC!$L$9="Có"))),"Có","Không"))</f>
        <v/>
      </c>
      <c r="U791" s="22">
        <f>IF(OR($D791="",$T791="Có"),"",IF($C791="","Thiếu họ tên; ","")&amp;IF($S791&lt;&gt;"Có","SĐT sai định dạng; ","")&amp;IF($R791="Trùng","Trùng SĐT; ","")&amp;IF($Q791&lt;&gt;"Có","Thiếu đồng ý bắt buộc; ","")&amp;IF($L791="","Thiếu/sai Mã REF; ",IF(AND($L791="Chưa xác định",DANH_MUC!$L$9&lt;&gt;"Có"),"Nguồn chưa xác định; ","")))</f>
        <v/>
      </c>
      <c r="V791" s="22">
        <f>IF(OR($D791="",$R791="Trùng"),"",IF(COUNTIF(ORDERS!$C$2:$C$4995,$D791)&gt;0,"Có","Không"))</f>
        <v/>
      </c>
      <c r="W791" s="22">
        <f>IF(OR($D791="",$R791="Trùng"),"",COUNTIFS(ORDERS!$C$2:$C$4995,$D791,ORDERS!$L$2:$L$4995,"Đã chuyển khoản"))</f>
        <v/>
      </c>
      <c r="X791" s="23">
        <f>IF(OR($D791="",$R791="Trùng"),"",SUMIFS(ORDERS!$J$2:$J$4995,ORDERS!$C$2:$C$4995,$D791,ORDERS!$L$2:$L$4995,"Đã chuyển khoản"))</f>
        <v/>
      </c>
      <c r="Y791" s="24" t="n"/>
    </row>
    <row r="792" ht="14.25" customHeight="1" s="40">
      <c r="A792" s="24" t="n"/>
      <c r="B792" s="27" t="n"/>
      <c r="C792" s="24" t="n"/>
      <c r="D792" s="28" t="n"/>
      <c r="E792" s="29" t="n"/>
      <c r="F792" s="24" t="n"/>
      <c r="G792" s="24" t="n"/>
      <c r="H792" s="21">
        <f>IF(ISNUMBER($B792),INT($B792)-WEEKDAY($B792,2)+1,"")</f>
        <v/>
      </c>
      <c r="I792" s="24" t="n"/>
      <c r="J792" s="22">
        <f t="array" ref="J792">IF($D792="","",IF($I792="","(trống REF)",IFERROR(INDEX(MASTER_SOURCE!$B$2:$B$495,MATCH($I792,MASTER_SOURCE!$A$2:$A$495,0)),"(REF không có trong MASTER_SOURCE)")))</f>
        <v/>
      </c>
      <c r="K792" s="22">
        <f t="array" ref="K792">IF($D792="","",IFERROR(INDEX(MASTER_SOURCE!$C$2:$C$495,MATCH($I792,MASTER_SOURCE!$A$2:$A$495,0)),""))</f>
        <v/>
      </c>
      <c r="L792" s="22">
        <f t="array" ref="L792">IF($D792="","",IFERROR(INDEX(MASTER_SOURCE!$D$2:$D$495,MATCH($I792,MASTER_SOURCE!$A$2:$A$495,0)),""))</f>
        <v/>
      </c>
      <c r="M792" s="24" t="n"/>
      <c r="N792" s="24" t="n"/>
      <c r="O792" s="24" t="n"/>
      <c r="P792" s="24" t="n"/>
      <c r="Q792" s="22">
        <f>IF($D792="","",IF(AND(OR(DANH_MUC!$L$5&lt;&gt;"Có",M792="Có"),OR(DANH_MUC!$L$6&lt;&gt;"Có",N792="Có"),OR(DANH_MUC!$L$7&lt;&gt;"Có",O792="Có"),OR(DANH_MUC!$L$8&lt;&gt;"Có",P792="Có")),"Có","Không"))</f>
        <v/>
      </c>
      <c r="R792" s="22">
        <f>IF($D792="","",IF(COUNTIF($D$2:$D792,$D792)&gt;1,"Trùng",""))</f>
        <v/>
      </c>
      <c r="S792" s="22">
        <f>IF($D792="","",IF(AND(LEN($D792)=10,LEFT($D792,1)="0",ISNUMBER(--$D792)),"Có","Không"))</f>
        <v/>
      </c>
      <c r="T792" s="22">
        <f>IF($D792="","",IF(AND($C792&lt;&gt;"",$Q792="Có",$R792="",$S792="Có",AND($L792&lt;&gt;"",OR($L792&lt;&gt;"Chưa xác định",DANH_MUC!$L$9="Có"))),"Có","Không"))</f>
        <v/>
      </c>
      <c r="U792" s="22">
        <f>IF(OR($D792="",$T792="Có"),"",IF($C792="","Thiếu họ tên; ","")&amp;IF($S792&lt;&gt;"Có","SĐT sai định dạng; ","")&amp;IF($R792="Trùng","Trùng SĐT; ","")&amp;IF($Q792&lt;&gt;"Có","Thiếu đồng ý bắt buộc; ","")&amp;IF($L792="","Thiếu/sai Mã REF; ",IF(AND($L792="Chưa xác định",DANH_MUC!$L$9&lt;&gt;"Có"),"Nguồn chưa xác định; ","")))</f>
        <v/>
      </c>
      <c r="V792" s="22">
        <f>IF(OR($D792="",$R792="Trùng"),"",IF(COUNTIF(ORDERS!$C$2:$C$4995,$D792)&gt;0,"Có","Không"))</f>
        <v/>
      </c>
      <c r="W792" s="22">
        <f>IF(OR($D792="",$R792="Trùng"),"",COUNTIFS(ORDERS!$C$2:$C$4995,$D792,ORDERS!$L$2:$L$4995,"Đã chuyển khoản"))</f>
        <v/>
      </c>
      <c r="X792" s="23">
        <f>IF(OR($D792="",$R792="Trùng"),"",SUMIFS(ORDERS!$J$2:$J$4995,ORDERS!$C$2:$C$4995,$D792,ORDERS!$L$2:$L$4995,"Đã chuyển khoản"))</f>
        <v/>
      </c>
      <c r="Y792" s="24" t="n"/>
    </row>
    <row r="793" ht="14.25" customHeight="1" s="40">
      <c r="A793" s="24" t="n"/>
      <c r="B793" s="27" t="n"/>
      <c r="C793" s="24" t="n"/>
      <c r="D793" s="28" t="n"/>
      <c r="E793" s="29" t="n"/>
      <c r="F793" s="24" t="n"/>
      <c r="G793" s="24" t="n"/>
      <c r="H793" s="21">
        <f>IF(ISNUMBER($B793),INT($B793)-WEEKDAY($B793,2)+1,"")</f>
        <v/>
      </c>
      <c r="I793" s="24" t="n"/>
      <c r="J793" s="22">
        <f t="array" ref="J793">IF($D793="","",IF($I793="","(trống REF)",IFERROR(INDEX(MASTER_SOURCE!$B$2:$B$495,MATCH($I793,MASTER_SOURCE!$A$2:$A$495,0)),"(REF không có trong MASTER_SOURCE)")))</f>
        <v/>
      </c>
      <c r="K793" s="22">
        <f t="array" ref="K793">IF($D793="","",IFERROR(INDEX(MASTER_SOURCE!$C$2:$C$495,MATCH($I793,MASTER_SOURCE!$A$2:$A$495,0)),""))</f>
        <v/>
      </c>
      <c r="L793" s="22">
        <f t="array" ref="L793">IF($D793="","",IFERROR(INDEX(MASTER_SOURCE!$D$2:$D$495,MATCH($I793,MASTER_SOURCE!$A$2:$A$495,0)),""))</f>
        <v/>
      </c>
      <c r="M793" s="24" t="n"/>
      <c r="N793" s="24" t="n"/>
      <c r="O793" s="24" t="n"/>
      <c r="P793" s="24" t="n"/>
      <c r="Q793" s="22">
        <f>IF($D793="","",IF(AND(OR(DANH_MUC!$L$5&lt;&gt;"Có",M793="Có"),OR(DANH_MUC!$L$6&lt;&gt;"Có",N793="Có"),OR(DANH_MUC!$L$7&lt;&gt;"Có",O793="Có"),OR(DANH_MUC!$L$8&lt;&gt;"Có",P793="Có")),"Có","Không"))</f>
        <v/>
      </c>
      <c r="R793" s="22">
        <f>IF($D793="","",IF(COUNTIF($D$2:$D793,$D793)&gt;1,"Trùng",""))</f>
        <v/>
      </c>
      <c r="S793" s="22">
        <f>IF($D793="","",IF(AND(LEN($D793)=10,LEFT($D793,1)="0",ISNUMBER(--$D793)),"Có","Không"))</f>
        <v/>
      </c>
      <c r="T793" s="22">
        <f>IF($D793="","",IF(AND($C793&lt;&gt;"",$Q793="Có",$R793="",$S793="Có",AND($L793&lt;&gt;"",OR($L793&lt;&gt;"Chưa xác định",DANH_MUC!$L$9="Có"))),"Có","Không"))</f>
        <v/>
      </c>
      <c r="U793" s="22">
        <f>IF(OR($D793="",$T793="Có"),"",IF($C793="","Thiếu họ tên; ","")&amp;IF($S793&lt;&gt;"Có","SĐT sai định dạng; ","")&amp;IF($R793="Trùng","Trùng SĐT; ","")&amp;IF($Q793&lt;&gt;"Có","Thiếu đồng ý bắt buộc; ","")&amp;IF($L793="","Thiếu/sai Mã REF; ",IF(AND($L793="Chưa xác định",DANH_MUC!$L$9&lt;&gt;"Có"),"Nguồn chưa xác định; ","")))</f>
        <v/>
      </c>
      <c r="V793" s="22">
        <f>IF(OR($D793="",$R793="Trùng"),"",IF(COUNTIF(ORDERS!$C$2:$C$4995,$D793)&gt;0,"Có","Không"))</f>
        <v/>
      </c>
      <c r="W793" s="22">
        <f>IF(OR($D793="",$R793="Trùng"),"",COUNTIFS(ORDERS!$C$2:$C$4995,$D793,ORDERS!$L$2:$L$4995,"Đã chuyển khoản"))</f>
        <v/>
      </c>
      <c r="X793" s="23">
        <f>IF(OR($D793="",$R793="Trùng"),"",SUMIFS(ORDERS!$J$2:$J$4995,ORDERS!$C$2:$C$4995,$D793,ORDERS!$L$2:$L$4995,"Đã chuyển khoản"))</f>
        <v/>
      </c>
      <c r="Y793" s="24" t="n"/>
    </row>
    <row r="794" ht="14.25" customHeight="1" s="40">
      <c r="A794" s="24" t="n"/>
      <c r="B794" s="27" t="n"/>
      <c r="C794" s="24" t="n"/>
      <c r="D794" s="28" t="n"/>
      <c r="E794" s="29" t="n"/>
      <c r="F794" s="24" t="n"/>
      <c r="G794" s="24" t="n"/>
      <c r="H794" s="21">
        <f>IF(ISNUMBER($B794),INT($B794)-WEEKDAY($B794,2)+1,"")</f>
        <v/>
      </c>
      <c r="I794" s="24" t="n"/>
      <c r="J794" s="22">
        <f t="array" ref="J794">IF($D794="","",IF($I794="","(trống REF)",IFERROR(INDEX(MASTER_SOURCE!$B$2:$B$495,MATCH($I794,MASTER_SOURCE!$A$2:$A$495,0)),"(REF không có trong MASTER_SOURCE)")))</f>
        <v/>
      </c>
      <c r="K794" s="22">
        <f t="array" ref="K794">IF($D794="","",IFERROR(INDEX(MASTER_SOURCE!$C$2:$C$495,MATCH($I794,MASTER_SOURCE!$A$2:$A$495,0)),""))</f>
        <v/>
      </c>
      <c r="L794" s="22">
        <f t="array" ref="L794">IF($D794="","",IFERROR(INDEX(MASTER_SOURCE!$D$2:$D$495,MATCH($I794,MASTER_SOURCE!$A$2:$A$495,0)),""))</f>
        <v/>
      </c>
      <c r="M794" s="24" t="n"/>
      <c r="N794" s="24" t="n"/>
      <c r="O794" s="24" t="n"/>
      <c r="P794" s="24" t="n"/>
      <c r="Q794" s="22">
        <f>IF($D794="","",IF(AND(OR(DANH_MUC!$L$5&lt;&gt;"Có",M794="Có"),OR(DANH_MUC!$L$6&lt;&gt;"Có",N794="Có"),OR(DANH_MUC!$L$7&lt;&gt;"Có",O794="Có"),OR(DANH_MUC!$L$8&lt;&gt;"Có",P794="Có")),"Có","Không"))</f>
        <v/>
      </c>
      <c r="R794" s="22">
        <f>IF($D794="","",IF(COUNTIF($D$2:$D794,$D794)&gt;1,"Trùng",""))</f>
        <v/>
      </c>
      <c r="S794" s="22">
        <f>IF($D794="","",IF(AND(LEN($D794)=10,LEFT($D794,1)="0",ISNUMBER(--$D794)),"Có","Không"))</f>
        <v/>
      </c>
      <c r="T794" s="22">
        <f>IF($D794="","",IF(AND($C794&lt;&gt;"",$Q794="Có",$R794="",$S794="Có",AND($L794&lt;&gt;"",OR($L794&lt;&gt;"Chưa xác định",DANH_MUC!$L$9="Có"))),"Có","Không"))</f>
        <v/>
      </c>
      <c r="U794" s="22">
        <f>IF(OR($D794="",$T794="Có"),"",IF($C794="","Thiếu họ tên; ","")&amp;IF($S794&lt;&gt;"Có","SĐT sai định dạng; ","")&amp;IF($R794="Trùng","Trùng SĐT; ","")&amp;IF($Q794&lt;&gt;"Có","Thiếu đồng ý bắt buộc; ","")&amp;IF($L794="","Thiếu/sai Mã REF; ",IF(AND($L794="Chưa xác định",DANH_MUC!$L$9&lt;&gt;"Có"),"Nguồn chưa xác định; ","")))</f>
        <v/>
      </c>
      <c r="V794" s="22">
        <f>IF(OR($D794="",$R794="Trùng"),"",IF(COUNTIF(ORDERS!$C$2:$C$4995,$D794)&gt;0,"Có","Không"))</f>
        <v/>
      </c>
      <c r="W794" s="22">
        <f>IF(OR($D794="",$R794="Trùng"),"",COUNTIFS(ORDERS!$C$2:$C$4995,$D794,ORDERS!$L$2:$L$4995,"Đã chuyển khoản"))</f>
        <v/>
      </c>
      <c r="X794" s="23">
        <f>IF(OR($D794="",$R794="Trùng"),"",SUMIFS(ORDERS!$J$2:$J$4995,ORDERS!$C$2:$C$4995,$D794,ORDERS!$L$2:$L$4995,"Đã chuyển khoản"))</f>
        <v/>
      </c>
      <c r="Y794" s="24" t="n"/>
    </row>
    <row r="795" ht="14.25" customHeight="1" s="40">
      <c r="A795" s="24" t="n"/>
      <c r="B795" s="27" t="n"/>
      <c r="C795" s="24" t="n"/>
      <c r="D795" s="28" t="n"/>
      <c r="E795" s="29" t="n"/>
      <c r="F795" s="24" t="n"/>
      <c r="G795" s="24" t="n"/>
      <c r="H795" s="21">
        <f>IF(ISNUMBER($B795),INT($B795)-WEEKDAY($B795,2)+1,"")</f>
        <v/>
      </c>
      <c r="I795" s="24" t="n"/>
      <c r="J795" s="22">
        <f t="array" ref="J795">IF($D795="","",IF($I795="","(trống REF)",IFERROR(INDEX(MASTER_SOURCE!$B$2:$B$495,MATCH($I795,MASTER_SOURCE!$A$2:$A$495,0)),"(REF không có trong MASTER_SOURCE)")))</f>
        <v/>
      </c>
      <c r="K795" s="22">
        <f t="array" ref="K795">IF($D795="","",IFERROR(INDEX(MASTER_SOURCE!$C$2:$C$495,MATCH($I795,MASTER_SOURCE!$A$2:$A$495,0)),""))</f>
        <v/>
      </c>
      <c r="L795" s="22">
        <f t="array" ref="L795">IF($D795="","",IFERROR(INDEX(MASTER_SOURCE!$D$2:$D$495,MATCH($I795,MASTER_SOURCE!$A$2:$A$495,0)),""))</f>
        <v/>
      </c>
      <c r="M795" s="24" t="n"/>
      <c r="N795" s="24" t="n"/>
      <c r="O795" s="24" t="n"/>
      <c r="P795" s="24" t="n"/>
      <c r="Q795" s="22">
        <f>IF($D795="","",IF(AND(OR(DANH_MUC!$L$5&lt;&gt;"Có",M795="Có"),OR(DANH_MUC!$L$6&lt;&gt;"Có",N795="Có"),OR(DANH_MUC!$L$7&lt;&gt;"Có",O795="Có"),OR(DANH_MUC!$L$8&lt;&gt;"Có",P795="Có")),"Có","Không"))</f>
        <v/>
      </c>
      <c r="R795" s="22">
        <f>IF($D795="","",IF(COUNTIF($D$2:$D795,$D795)&gt;1,"Trùng",""))</f>
        <v/>
      </c>
      <c r="S795" s="22">
        <f>IF($D795="","",IF(AND(LEN($D795)=10,LEFT($D795,1)="0",ISNUMBER(--$D795)),"Có","Không"))</f>
        <v/>
      </c>
      <c r="T795" s="22">
        <f>IF($D795="","",IF(AND($C795&lt;&gt;"",$Q795="Có",$R795="",$S795="Có",AND($L795&lt;&gt;"",OR($L795&lt;&gt;"Chưa xác định",DANH_MUC!$L$9="Có"))),"Có","Không"))</f>
        <v/>
      </c>
      <c r="U795" s="22">
        <f>IF(OR($D795="",$T795="Có"),"",IF($C795="","Thiếu họ tên; ","")&amp;IF($S795&lt;&gt;"Có","SĐT sai định dạng; ","")&amp;IF($R795="Trùng","Trùng SĐT; ","")&amp;IF($Q795&lt;&gt;"Có","Thiếu đồng ý bắt buộc; ","")&amp;IF($L795="","Thiếu/sai Mã REF; ",IF(AND($L795="Chưa xác định",DANH_MUC!$L$9&lt;&gt;"Có"),"Nguồn chưa xác định; ","")))</f>
        <v/>
      </c>
      <c r="V795" s="22">
        <f>IF(OR($D795="",$R795="Trùng"),"",IF(COUNTIF(ORDERS!$C$2:$C$4995,$D795)&gt;0,"Có","Không"))</f>
        <v/>
      </c>
      <c r="W795" s="22">
        <f>IF(OR($D795="",$R795="Trùng"),"",COUNTIFS(ORDERS!$C$2:$C$4995,$D795,ORDERS!$L$2:$L$4995,"Đã chuyển khoản"))</f>
        <v/>
      </c>
      <c r="X795" s="23">
        <f>IF(OR($D795="",$R795="Trùng"),"",SUMIFS(ORDERS!$J$2:$J$4995,ORDERS!$C$2:$C$4995,$D795,ORDERS!$L$2:$L$4995,"Đã chuyển khoản"))</f>
        <v/>
      </c>
      <c r="Y795" s="24" t="n"/>
    </row>
    <row r="796" ht="14.25" customHeight="1" s="40">
      <c r="A796" s="24" t="n"/>
      <c r="B796" s="27" t="n"/>
      <c r="C796" s="24" t="n"/>
      <c r="D796" s="28" t="n"/>
      <c r="E796" s="29" t="n"/>
      <c r="F796" s="24" t="n"/>
      <c r="G796" s="24" t="n"/>
      <c r="H796" s="21">
        <f>IF(ISNUMBER($B796),INT($B796)-WEEKDAY($B796,2)+1,"")</f>
        <v/>
      </c>
      <c r="I796" s="24" t="n"/>
      <c r="J796" s="22">
        <f t="array" ref="J796">IF($D796="","",IF($I796="","(trống REF)",IFERROR(INDEX(MASTER_SOURCE!$B$2:$B$495,MATCH($I796,MASTER_SOURCE!$A$2:$A$495,0)),"(REF không có trong MASTER_SOURCE)")))</f>
        <v/>
      </c>
      <c r="K796" s="22">
        <f t="array" ref="K796">IF($D796="","",IFERROR(INDEX(MASTER_SOURCE!$C$2:$C$495,MATCH($I796,MASTER_SOURCE!$A$2:$A$495,0)),""))</f>
        <v/>
      </c>
      <c r="L796" s="22">
        <f t="array" ref="L796">IF($D796="","",IFERROR(INDEX(MASTER_SOURCE!$D$2:$D$495,MATCH($I796,MASTER_SOURCE!$A$2:$A$495,0)),""))</f>
        <v/>
      </c>
      <c r="M796" s="24" t="n"/>
      <c r="N796" s="24" t="n"/>
      <c r="O796" s="24" t="n"/>
      <c r="P796" s="24" t="n"/>
      <c r="Q796" s="22">
        <f>IF($D796="","",IF(AND(OR(DANH_MUC!$L$5&lt;&gt;"Có",M796="Có"),OR(DANH_MUC!$L$6&lt;&gt;"Có",N796="Có"),OR(DANH_MUC!$L$7&lt;&gt;"Có",O796="Có"),OR(DANH_MUC!$L$8&lt;&gt;"Có",P796="Có")),"Có","Không"))</f>
        <v/>
      </c>
      <c r="R796" s="22">
        <f>IF($D796="","",IF(COUNTIF($D$2:$D796,$D796)&gt;1,"Trùng",""))</f>
        <v/>
      </c>
      <c r="S796" s="22">
        <f>IF($D796="","",IF(AND(LEN($D796)=10,LEFT($D796,1)="0",ISNUMBER(--$D796)),"Có","Không"))</f>
        <v/>
      </c>
      <c r="T796" s="22">
        <f>IF($D796="","",IF(AND($C796&lt;&gt;"",$Q796="Có",$R796="",$S796="Có",AND($L796&lt;&gt;"",OR($L796&lt;&gt;"Chưa xác định",DANH_MUC!$L$9="Có"))),"Có","Không"))</f>
        <v/>
      </c>
      <c r="U796" s="22">
        <f>IF(OR($D796="",$T796="Có"),"",IF($C796="","Thiếu họ tên; ","")&amp;IF($S796&lt;&gt;"Có","SĐT sai định dạng; ","")&amp;IF($R796="Trùng","Trùng SĐT; ","")&amp;IF($Q796&lt;&gt;"Có","Thiếu đồng ý bắt buộc; ","")&amp;IF($L796="","Thiếu/sai Mã REF; ",IF(AND($L796="Chưa xác định",DANH_MUC!$L$9&lt;&gt;"Có"),"Nguồn chưa xác định; ","")))</f>
        <v/>
      </c>
      <c r="V796" s="22">
        <f>IF(OR($D796="",$R796="Trùng"),"",IF(COUNTIF(ORDERS!$C$2:$C$4995,$D796)&gt;0,"Có","Không"))</f>
        <v/>
      </c>
      <c r="W796" s="22">
        <f>IF(OR($D796="",$R796="Trùng"),"",COUNTIFS(ORDERS!$C$2:$C$4995,$D796,ORDERS!$L$2:$L$4995,"Đã chuyển khoản"))</f>
        <v/>
      </c>
      <c r="X796" s="23">
        <f>IF(OR($D796="",$R796="Trùng"),"",SUMIFS(ORDERS!$J$2:$J$4995,ORDERS!$C$2:$C$4995,$D796,ORDERS!$L$2:$L$4995,"Đã chuyển khoản"))</f>
        <v/>
      </c>
      <c r="Y796" s="24" t="n"/>
    </row>
    <row r="797" ht="14.25" customHeight="1" s="40">
      <c r="A797" s="24" t="n"/>
      <c r="B797" s="27" t="n"/>
      <c r="C797" s="24" t="n"/>
      <c r="D797" s="28" t="n"/>
      <c r="E797" s="29" t="n"/>
      <c r="F797" s="24" t="n"/>
      <c r="G797" s="24" t="n"/>
      <c r="H797" s="21">
        <f>IF(ISNUMBER($B797),INT($B797)-WEEKDAY($B797,2)+1,"")</f>
        <v/>
      </c>
      <c r="I797" s="24" t="n"/>
      <c r="J797" s="22">
        <f t="array" ref="J797">IF($D797="","",IF($I797="","(trống REF)",IFERROR(INDEX(MASTER_SOURCE!$B$2:$B$495,MATCH($I797,MASTER_SOURCE!$A$2:$A$495,0)),"(REF không có trong MASTER_SOURCE)")))</f>
        <v/>
      </c>
      <c r="K797" s="22">
        <f t="array" ref="K797">IF($D797="","",IFERROR(INDEX(MASTER_SOURCE!$C$2:$C$495,MATCH($I797,MASTER_SOURCE!$A$2:$A$495,0)),""))</f>
        <v/>
      </c>
      <c r="L797" s="22">
        <f t="array" ref="L797">IF($D797="","",IFERROR(INDEX(MASTER_SOURCE!$D$2:$D$495,MATCH($I797,MASTER_SOURCE!$A$2:$A$495,0)),""))</f>
        <v/>
      </c>
      <c r="M797" s="24" t="n"/>
      <c r="N797" s="24" t="n"/>
      <c r="O797" s="24" t="n"/>
      <c r="P797" s="24" t="n"/>
      <c r="Q797" s="22">
        <f>IF($D797="","",IF(AND(OR(DANH_MUC!$L$5&lt;&gt;"Có",M797="Có"),OR(DANH_MUC!$L$6&lt;&gt;"Có",N797="Có"),OR(DANH_MUC!$L$7&lt;&gt;"Có",O797="Có"),OR(DANH_MUC!$L$8&lt;&gt;"Có",P797="Có")),"Có","Không"))</f>
        <v/>
      </c>
      <c r="R797" s="22">
        <f>IF($D797="","",IF(COUNTIF($D$2:$D797,$D797)&gt;1,"Trùng",""))</f>
        <v/>
      </c>
      <c r="S797" s="22">
        <f>IF($D797="","",IF(AND(LEN($D797)=10,LEFT($D797,1)="0",ISNUMBER(--$D797)),"Có","Không"))</f>
        <v/>
      </c>
      <c r="T797" s="22">
        <f>IF($D797="","",IF(AND($C797&lt;&gt;"",$Q797="Có",$R797="",$S797="Có",AND($L797&lt;&gt;"",OR($L797&lt;&gt;"Chưa xác định",DANH_MUC!$L$9="Có"))),"Có","Không"))</f>
        <v/>
      </c>
      <c r="U797" s="22">
        <f>IF(OR($D797="",$T797="Có"),"",IF($C797="","Thiếu họ tên; ","")&amp;IF($S797&lt;&gt;"Có","SĐT sai định dạng; ","")&amp;IF($R797="Trùng","Trùng SĐT; ","")&amp;IF($Q797&lt;&gt;"Có","Thiếu đồng ý bắt buộc; ","")&amp;IF($L797="","Thiếu/sai Mã REF; ",IF(AND($L797="Chưa xác định",DANH_MUC!$L$9&lt;&gt;"Có"),"Nguồn chưa xác định; ","")))</f>
        <v/>
      </c>
      <c r="V797" s="22">
        <f>IF(OR($D797="",$R797="Trùng"),"",IF(COUNTIF(ORDERS!$C$2:$C$4995,$D797)&gt;0,"Có","Không"))</f>
        <v/>
      </c>
      <c r="W797" s="22">
        <f>IF(OR($D797="",$R797="Trùng"),"",COUNTIFS(ORDERS!$C$2:$C$4995,$D797,ORDERS!$L$2:$L$4995,"Đã chuyển khoản"))</f>
        <v/>
      </c>
      <c r="X797" s="23">
        <f>IF(OR($D797="",$R797="Trùng"),"",SUMIFS(ORDERS!$J$2:$J$4995,ORDERS!$C$2:$C$4995,$D797,ORDERS!$L$2:$L$4995,"Đã chuyển khoản"))</f>
        <v/>
      </c>
      <c r="Y797" s="24" t="n"/>
    </row>
    <row r="798" ht="14.25" customHeight="1" s="40">
      <c r="A798" s="24" t="n"/>
      <c r="B798" s="27" t="n"/>
      <c r="C798" s="24" t="n"/>
      <c r="D798" s="28" t="n"/>
      <c r="E798" s="29" t="n"/>
      <c r="F798" s="24" t="n"/>
      <c r="G798" s="24" t="n"/>
      <c r="H798" s="21">
        <f>IF(ISNUMBER($B798),INT($B798)-WEEKDAY($B798,2)+1,"")</f>
        <v/>
      </c>
      <c r="I798" s="24" t="n"/>
      <c r="J798" s="22">
        <f t="array" ref="J798">IF($D798="","",IF($I798="","(trống REF)",IFERROR(INDEX(MASTER_SOURCE!$B$2:$B$495,MATCH($I798,MASTER_SOURCE!$A$2:$A$495,0)),"(REF không có trong MASTER_SOURCE)")))</f>
        <v/>
      </c>
      <c r="K798" s="22">
        <f t="array" ref="K798">IF($D798="","",IFERROR(INDEX(MASTER_SOURCE!$C$2:$C$495,MATCH($I798,MASTER_SOURCE!$A$2:$A$495,0)),""))</f>
        <v/>
      </c>
      <c r="L798" s="22">
        <f t="array" ref="L798">IF($D798="","",IFERROR(INDEX(MASTER_SOURCE!$D$2:$D$495,MATCH($I798,MASTER_SOURCE!$A$2:$A$495,0)),""))</f>
        <v/>
      </c>
      <c r="M798" s="24" t="n"/>
      <c r="N798" s="24" t="n"/>
      <c r="O798" s="24" t="n"/>
      <c r="P798" s="24" t="n"/>
      <c r="Q798" s="22">
        <f>IF($D798="","",IF(AND(OR(DANH_MUC!$L$5&lt;&gt;"Có",M798="Có"),OR(DANH_MUC!$L$6&lt;&gt;"Có",N798="Có"),OR(DANH_MUC!$L$7&lt;&gt;"Có",O798="Có"),OR(DANH_MUC!$L$8&lt;&gt;"Có",P798="Có")),"Có","Không"))</f>
        <v/>
      </c>
      <c r="R798" s="22">
        <f>IF($D798="","",IF(COUNTIF($D$2:$D798,$D798)&gt;1,"Trùng",""))</f>
        <v/>
      </c>
      <c r="S798" s="22">
        <f>IF($D798="","",IF(AND(LEN($D798)=10,LEFT($D798,1)="0",ISNUMBER(--$D798)),"Có","Không"))</f>
        <v/>
      </c>
      <c r="T798" s="22">
        <f>IF($D798="","",IF(AND($C798&lt;&gt;"",$Q798="Có",$R798="",$S798="Có",AND($L798&lt;&gt;"",OR($L798&lt;&gt;"Chưa xác định",DANH_MUC!$L$9="Có"))),"Có","Không"))</f>
        <v/>
      </c>
      <c r="U798" s="22">
        <f>IF(OR($D798="",$T798="Có"),"",IF($C798="","Thiếu họ tên; ","")&amp;IF($S798&lt;&gt;"Có","SĐT sai định dạng; ","")&amp;IF($R798="Trùng","Trùng SĐT; ","")&amp;IF($Q798&lt;&gt;"Có","Thiếu đồng ý bắt buộc; ","")&amp;IF($L798="","Thiếu/sai Mã REF; ",IF(AND($L798="Chưa xác định",DANH_MUC!$L$9&lt;&gt;"Có"),"Nguồn chưa xác định; ","")))</f>
        <v/>
      </c>
      <c r="V798" s="22">
        <f>IF(OR($D798="",$R798="Trùng"),"",IF(COUNTIF(ORDERS!$C$2:$C$4995,$D798)&gt;0,"Có","Không"))</f>
        <v/>
      </c>
      <c r="W798" s="22">
        <f>IF(OR($D798="",$R798="Trùng"),"",COUNTIFS(ORDERS!$C$2:$C$4995,$D798,ORDERS!$L$2:$L$4995,"Đã chuyển khoản"))</f>
        <v/>
      </c>
      <c r="X798" s="23">
        <f>IF(OR($D798="",$R798="Trùng"),"",SUMIFS(ORDERS!$J$2:$J$4995,ORDERS!$C$2:$C$4995,$D798,ORDERS!$L$2:$L$4995,"Đã chuyển khoản"))</f>
        <v/>
      </c>
      <c r="Y798" s="24" t="n"/>
    </row>
    <row r="799" ht="14.25" customHeight="1" s="40">
      <c r="A799" s="24" t="n"/>
      <c r="B799" s="27" t="n"/>
      <c r="C799" s="24" t="n"/>
      <c r="D799" s="28" t="n"/>
      <c r="E799" s="29" t="n"/>
      <c r="F799" s="24" t="n"/>
      <c r="G799" s="24" t="n"/>
      <c r="H799" s="21">
        <f>IF(ISNUMBER($B799),INT($B799)-WEEKDAY($B799,2)+1,"")</f>
        <v/>
      </c>
      <c r="I799" s="24" t="n"/>
      <c r="J799" s="22">
        <f t="array" ref="J799">IF($D799="","",IF($I799="","(trống REF)",IFERROR(INDEX(MASTER_SOURCE!$B$2:$B$495,MATCH($I799,MASTER_SOURCE!$A$2:$A$495,0)),"(REF không có trong MASTER_SOURCE)")))</f>
        <v/>
      </c>
      <c r="K799" s="22">
        <f t="array" ref="K799">IF($D799="","",IFERROR(INDEX(MASTER_SOURCE!$C$2:$C$495,MATCH($I799,MASTER_SOURCE!$A$2:$A$495,0)),""))</f>
        <v/>
      </c>
      <c r="L799" s="22">
        <f t="array" ref="L799">IF($D799="","",IFERROR(INDEX(MASTER_SOURCE!$D$2:$D$495,MATCH($I799,MASTER_SOURCE!$A$2:$A$495,0)),""))</f>
        <v/>
      </c>
      <c r="M799" s="24" t="n"/>
      <c r="N799" s="24" t="n"/>
      <c r="O799" s="24" t="n"/>
      <c r="P799" s="24" t="n"/>
      <c r="Q799" s="22">
        <f>IF($D799="","",IF(AND(OR(DANH_MUC!$L$5&lt;&gt;"Có",M799="Có"),OR(DANH_MUC!$L$6&lt;&gt;"Có",N799="Có"),OR(DANH_MUC!$L$7&lt;&gt;"Có",O799="Có"),OR(DANH_MUC!$L$8&lt;&gt;"Có",P799="Có")),"Có","Không"))</f>
        <v/>
      </c>
      <c r="R799" s="22">
        <f>IF($D799="","",IF(COUNTIF($D$2:$D799,$D799)&gt;1,"Trùng",""))</f>
        <v/>
      </c>
      <c r="S799" s="22">
        <f>IF($D799="","",IF(AND(LEN($D799)=10,LEFT($D799,1)="0",ISNUMBER(--$D799)),"Có","Không"))</f>
        <v/>
      </c>
      <c r="T799" s="22">
        <f>IF($D799="","",IF(AND($C799&lt;&gt;"",$Q799="Có",$R799="",$S799="Có",AND($L799&lt;&gt;"",OR($L799&lt;&gt;"Chưa xác định",DANH_MUC!$L$9="Có"))),"Có","Không"))</f>
        <v/>
      </c>
      <c r="U799" s="22">
        <f>IF(OR($D799="",$T799="Có"),"",IF($C799="","Thiếu họ tên; ","")&amp;IF($S799&lt;&gt;"Có","SĐT sai định dạng; ","")&amp;IF($R799="Trùng","Trùng SĐT; ","")&amp;IF($Q799&lt;&gt;"Có","Thiếu đồng ý bắt buộc; ","")&amp;IF($L799="","Thiếu/sai Mã REF; ",IF(AND($L799="Chưa xác định",DANH_MUC!$L$9&lt;&gt;"Có"),"Nguồn chưa xác định; ","")))</f>
        <v/>
      </c>
      <c r="V799" s="22">
        <f>IF(OR($D799="",$R799="Trùng"),"",IF(COUNTIF(ORDERS!$C$2:$C$4995,$D799)&gt;0,"Có","Không"))</f>
        <v/>
      </c>
      <c r="W799" s="22">
        <f>IF(OR($D799="",$R799="Trùng"),"",COUNTIFS(ORDERS!$C$2:$C$4995,$D799,ORDERS!$L$2:$L$4995,"Đã chuyển khoản"))</f>
        <v/>
      </c>
      <c r="X799" s="23">
        <f>IF(OR($D799="",$R799="Trùng"),"",SUMIFS(ORDERS!$J$2:$J$4995,ORDERS!$C$2:$C$4995,$D799,ORDERS!$L$2:$L$4995,"Đã chuyển khoản"))</f>
        <v/>
      </c>
      <c r="Y799" s="24" t="n"/>
    </row>
    <row r="800" ht="14.25" customHeight="1" s="40">
      <c r="A800" s="24" t="n"/>
      <c r="B800" s="27" t="n"/>
      <c r="C800" s="24" t="n"/>
      <c r="D800" s="28" t="n"/>
      <c r="E800" s="29" t="n"/>
      <c r="F800" s="24" t="n"/>
      <c r="G800" s="24" t="n"/>
      <c r="H800" s="21">
        <f>IF(ISNUMBER($B800),INT($B800)-WEEKDAY($B800,2)+1,"")</f>
        <v/>
      </c>
      <c r="I800" s="24" t="n"/>
      <c r="J800" s="22">
        <f t="array" ref="J800">IF($D800="","",IF($I800="","(trống REF)",IFERROR(INDEX(MASTER_SOURCE!$B$2:$B$495,MATCH($I800,MASTER_SOURCE!$A$2:$A$495,0)),"(REF không có trong MASTER_SOURCE)")))</f>
        <v/>
      </c>
      <c r="K800" s="22">
        <f t="array" ref="K800">IF($D800="","",IFERROR(INDEX(MASTER_SOURCE!$C$2:$C$495,MATCH($I800,MASTER_SOURCE!$A$2:$A$495,0)),""))</f>
        <v/>
      </c>
      <c r="L800" s="22">
        <f t="array" ref="L800">IF($D800="","",IFERROR(INDEX(MASTER_SOURCE!$D$2:$D$495,MATCH($I800,MASTER_SOURCE!$A$2:$A$495,0)),""))</f>
        <v/>
      </c>
      <c r="M800" s="24" t="n"/>
      <c r="N800" s="24" t="n"/>
      <c r="O800" s="24" t="n"/>
      <c r="P800" s="24" t="n"/>
      <c r="Q800" s="22">
        <f>IF($D800="","",IF(AND(OR(DANH_MUC!$L$5&lt;&gt;"Có",M800="Có"),OR(DANH_MUC!$L$6&lt;&gt;"Có",N800="Có"),OR(DANH_MUC!$L$7&lt;&gt;"Có",O800="Có"),OR(DANH_MUC!$L$8&lt;&gt;"Có",P800="Có")),"Có","Không"))</f>
        <v/>
      </c>
      <c r="R800" s="22">
        <f>IF($D800="","",IF(COUNTIF($D$2:$D800,$D800)&gt;1,"Trùng",""))</f>
        <v/>
      </c>
      <c r="S800" s="22">
        <f>IF($D800="","",IF(AND(LEN($D800)=10,LEFT($D800,1)="0",ISNUMBER(--$D800)),"Có","Không"))</f>
        <v/>
      </c>
      <c r="T800" s="22">
        <f>IF($D800="","",IF(AND($C800&lt;&gt;"",$Q800="Có",$R800="",$S800="Có",AND($L800&lt;&gt;"",OR($L800&lt;&gt;"Chưa xác định",DANH_MUC!$L$9="Có"))),"Có","Không"))</f>
        <v/>
      </c>
      <c r="U800" s="22">
        <f>IF(OR($D800="",$T800="Có"),"",IF($C800="","Thiếu họ tên; ","")&amp;IF($S800&lt;&gt;"Có","SĐT sai định dạng; ","")&amp;IF($R800="Trùng","Trùng SĐT; ","")&amp;IF($Q800&lt;&gt;"Có","Thiếu đồng ý bắt buộc; ","")&amp;IF($L800="","Thiếu/sai Mã REF; ",IF(AND($L800="Chưa xác định",DANH_MUC!$L$9&lt;&gt;"Có"),"Nguồn chưa xác định; ","")))</f>
        <v/>
      </c>
      <c r="V800" s="22">
        <f>IF(OR($D800="",$R800="Trùng"),"",IF(COUNTIF(ORDERS!$C$2:$C$4995,$D800)&gt;0,"Có","Không"))</f>
        <v/>
      </c>
      <c r="W800" s="22">
        <f>IF(OR($D800="",$R800="Trùng"),"",COUNTIFS(ORDERS!$C$2:$C$4995,$D800,ORDERS!$L$2:$L$4995,"Đã chuyển khoản"))</f>
        <v/>
      </c>
      <c r="X800" s="23">
        <f>IF(OR($D800="",$R800="Trùng"),"",SUMIFS(ORDERS!$J$2:$J$4995,ORDERS!$C$2:$C$4995,$D800,ORDERS!$L$2:$L$4995,"Đã chuyển khoản"))</f>
        <v/>
      </c>
      <c r="Y800" s="24" t="n"/>
    </row>
    <row r="801" ht="14.25" customHeight="1" s="40">
      <c r="A801" s="24" t="n"/>
      <c r="B801" s="27" t="n"/>
      <c r="C801" s="24" t="n"/>
      <c r="D801" s="28" t="n"/>
      <c r="E801" s="29" t="n"/>
      <c r="F801" s="24" t="n"/>
      <c r="G801" s="24" t="n"/>
      <c r="H801" s="21">
        <f>IF(ISNUMBER($B801),INT($B801)-WEEKDAY($B801,2)+1,"")</f>
        <v/>
      </c>
      <c r="I801" s="24" t="n"/>
      <c r="J801" s="22">
        <f t="array" ref="J801">IF($D801="","",IF($I801="","(trống REF)",IFERROR(INDEX(MASTER_SOURCE!$B$2:$B$495,MATCH($I801,MASTER_SOURCE!$A$2:$A$495,0)),"(REF không có trong MASTER_SOURCE)")))</f>
        <v/>
      </c>
      <c r="K801" s="22">
        <f t="array" ref="K801">IF($D801="","",IFERROR(INDEX(MASTER_SOURCE!$C$2:$C$495,MATCH($I801,MASTER_SOURCE!$A$2:$A$495,0)),""))</f>
        <v/>
      </c>
      <c r="L801" s="22">
        <f t="array" ref="L801">IF($D801="","",IFERROR(INDEX(MASTER_SOURCE!$D$2:$D$495,MATCH($I801,MASTER_SOURCE!$A$2:$A$495,0)),""))</f>
        <v/>
      </c>
      <c r="M801" s="24" t="n"/>
      <c r="N801" s="24" t="n"/>
      <c r="O801" s="24" t="n"/>
      <c r="P801" s="24" t="n"/>
      <c r="Q801" s="22">
        <f>IF($D801="","",IF(AND(OR(DANH_MUC!$L$5&lt;&gt;"Có",M801="Có"),OR(DANH_MUC!$L$6&lt;&gt;"Có",N801="Có"),OR(DANH_MUC!$L$7&lt;&gt;"Có",O801="Có"),OR(DANH_MUC!$L$8&lt;&gt;"Có",P801="Có")),"Có","Không"))</f>
        <v/>
      </c>
      <c r="R801" s="22">
        <f>IF($D801="","",IF(COUNTIF($D$2:$D801,$D801)&gt;1,"Trùng",""))</f>
        <v/>
      </c>
      <c r="S801" s="22">
        <f>IF($D801="","",IF(AND(LEN($D801)=10,LEFT($D801,1)="0",ISNUMBER(--$D801)),"Có","Không"))</f>
        <v/>
      </c>
      <c r="T801" s="22">
        <f>IF($D801="","",IF(AND($C801&lt;&gt;"",$Q801="Có",$R801="",$S801="Có",AND($L801&lt;&gt;"",OR($L801&lt;&gt;"Chưa xác định",DANH_MUC!$L$9="Có"))),"Có","Không"))</f>
        <v/>
      </c>
      <c r="U801" s="22">
        <f>IF(OR($D801="",$T801="Có"),"",IF($C801="","Thiếu họ tên; ","")&amp;IF($S801&lt;&gt;"Có","SĐT sai định dạng; ","")&amp;IF($R801="Trùng","Trùng SĐT; ","")&amp;IF($Q801&lt;&gt;"Có","Thiếu đồng ý bắt buộc; ","")&amp;IF($L801="","Thiếu/sai Mã REF; ",IF(AND($L801="Chưa xác định",DANH_MUC!$L$9&lt;&gt;"Có"),"Nguồn chưa xác định; ","")))</f>
        <v/>
      </c>
      <c r="V801" s="22">
        <f>IF(OR($D801="",$R801="Trùng"),"",IF(COUNTIF(ORDERS!$C$2:$C$4995,$D801)&gt;0,"Có","Không"))</f>
        <v/>
      </c>
      <c r="W801" s="22">
        <f>IF(OR($D801="",$R801="Trùng"),"",COUNTIFS(ORDERS!$C$2:$C$4995,$D801,ORDERS!$L$2:$L$4995,"Đã chuyển khoản"))</f>
        <v/>
      </c>
      <c r="X801" s="23">
        <f>IF(OR($D801="",$R801="Trùng"),"",SUMIFS(ORDERS!$J$2:$J$4995,ORDERS!$C$2:$C$4995,$D801,ORDERS!$L$2:$L$4995,"Đã chuyển khoản"))</f>
        <v/>
      </c>
      <c r="Y801" s="24" t="n"/>
    </row>
    <row r="802" ht="14.25" customHeight="1" s="40">
      <c r="A802" s="24" t="n"/>
      <c r="B802" s="27" t="n"/>
      <c r="C802" s="24" t="n"/>
      <c r="D802" s="28" t="n"/>
      <c r="E802" s="29" t="n"/>
      <c r="F802" s="24" t="n"/>
      <c r="G802" s="24" t="n"/>
      <c r="H802" s="21">
        <f>IF(ISNUMBER($B802),INT($B802)-WEEKDAY($B802,2)+1,"")</f>
        <v/>
      </c>
      <c r="I802" s="24" t="n"/>
      <c r="J802" s="22">
        <f t="array" ref="J802">IF($D802="","",IF($I802="","(trống REF)",IFERROR(INDEX(MASTER_SOURCE!$B$2:$B$495,MATCH($I802,MASTER_SOURCE!$A$2:$A$495,0)),"(REF không có trong MASTER_SOURCE)")))</f>
        <v/>
      </c>
      <c r="K802" s="22">
        <f t="array" ref="K802">IF($D802="","",IFERROR(INDEX(MASTER_SOURCE!$C$2:$C$495,MATCH($I802,MASTER_SOURCE!$A$2:$A$495,0)),""))</f>
        <v/>
      </c>
      <c r="L802" s="22">
        <f t="array" ref="L802">IF($D802="","",IFERROR(INDEX(MASTER_SOURCE!$D$2:$D$495,MATCH($I802,MASTER_SOURCE!$A$2:$A$495,0)),""))</f>
        <v/>
      </c>
      <c r="M802" s="24" t="n"/>
      <c r="N802" s="24" t="n"/>
      <c r="O802" s="24" t="n"/>
      <c r="P802" s="24" t="n"/>
      <c r="Q802" s="22">
        <f>IF($D802="","",IF(AND(OR(DANH_MUC!$L$5&lt;&gt;"Có",M802="Có"),OR(DANH_MUC!$L$6&lt;&gt;"Có",N802="Có"),OR(DANH_MUC!$L$7&lt;&gt;"Có",O802="Có"),OR(DANH_MUC!$L$8&lt;&gt;"Có",P802="Có")),"Có","Không"))</f>
        <v/>
      </c>
      <c r="R802" s="22">
        <f>IF($D802="","",IF(COUNTIF($D$2:$D802,$D802)&gt;1,"Trùng",""))</f>
        <v/>
      </c>
      <c r="S802" s="22">
        <f>IF($D802="","",IF(AND(LEN($D802)=10,LEFT($D802,1)="0",ISNUMBER(--$D802)),"Có","Không"))</f>
        <v/>
      </c>
      <c r="T802" s="22">
        <f>IF($D802="","",IF(AND($C802&lt;&gt;"",$Q802="Có",$R802="",$S802="Có",AND($L802&lt;&gt;"",OR($L802&lt;&gt;"Chưa xác định",DANH_MUC!$L$9="Có"))),"Có","Không"))</f>
        <v/>
      </c>
      <c r="U802" s="22">
        <f>IF(OR($D802="",$T802="Có"),"",IF($C802="","Thiếu họ tên; ","")&amp;IF($S802&lt;&gt;"Có","SĐT sai định dạng; ","")&amp;IF($R802="Trùng","Trùng SĐT; ","")&amp;IF($Q802&lt;&gt;"Có","Thiếu đồng ý bắt buộc; ","")&amp;IF($L802="","Thiếu/sai Mã REF; ",IF(AND($L802="Chưa xác định",DANH_MUC!$L$9&lt;&gt;"Có"),"Nguồn chưa xác định; ","")))</f>
        <v/>
      </c>
      <c r="V802" s="22">
        <f>IF(OR($D802="",$R802="Trùng"),"",IF(COUNTIF(ORDERS!$C$2:$C$4995,$D802)&gt;0,"Có","Không"))</f>
        <v/>
      </c>
      <c r="W802" s="22">
        <f>IF(OR($D802="",$R802="Trùng"),"",COUNTIFS(ORDERS!$C$2:$C$4995,$D802,ORDERS!$L$2:$L$4995,"Đã chuyển khoản"))</f>
        <v/>
      </c>
      <c r="X802" s="23">
        <f>IF(OR($D802="",$R802="Trùng"),"",SUMIFS(ORDERS!$J$2:$J$4995,ORDERS!$C$2:$C$4995,$D802,ORDERS!$L$2:$L$4995,"Đã chuyển khoản"))</f>
        <v/>
      </c>
      <c r="Y802" s="24" t="n"/>
    </row>
    <row r="803" ht="14.25" customHeight="1" s="40">
      <c r="A803" s="24" t="n"/>
      <c r="B803" s="27" t="n"/>
      <c r="C803" s="24" t="n"/>
      <c r="D803" s="28" t="n"/>
      <c r="E803" s="29" t="n"/>
      <c r="F803" s="24" t="n"/>
      <c r="G803" s="24" t="n"/>
      <c r="H803" s="21">
        <f>IF(ISNUMBER($B803),INT($B803)-WEEKDAY($B803,2)+1,"")</f>
        <v/>
      </c>
      <c r="I803" s="24" t="n"/>
      <c r="J803" s="22">
        <f t="array" ref="J803">IF($D803="","",IF($I803="","(trống REF)",IFERROR(INDEX(MASTER_SOURCE!$B$2:$B$495,MATCH($I803,MASTER_SOURCE!$A$2:$A$495,0)),"(REF không có trong MASTER_SOURCE)")))</f>
        <v/>
      </c>
      <c r="K803" s="22">
        <f t="array" ref="K803">IF($D803="","",IFERROR(INDEX(MASTER_SOURCE!$C$2:$C$495,MATCH($I803,MASTER_SOURCE!$A$2:$A$495,0)),""))</f>
        <v/>
      </c>
      <c r="L803" s="22">
        <f t="array" ref="L803">IF($D803="","",IFERROR(INDEX(MASTER_SOURCE!$D$2:$D$495,MATCH($I803,MASTER_SOURCE!$A$2:$A$495,0)),""))</f>
        <v/>
      </c>
      <c r="M803" s="24" t="n"/>
      <c r="N803" s="24" t="n"/>
      <c r="O803" s="24" t="n"/>
      <c r="P803" s="24" t="n"/>
      <c r="Q803" s="22">
        <f>IF($D803="","",IF(AND(OR(DANH_MUC!$L$5&lt;&gt;"Có",M803="Có"),OR(DANH_MUC!$L$6&lt;&gt;"Có",N803="Có"),OR(DANH_MUC!$L$7&lt;&gt;"Có",O803="Có"),OR(DANH_MUC!$L$8&lt;&gt;"Có",P803="Có")),"Có","Không"))</f>
        <v/>
      </c>
      <c r="R803" s="22">
        <f>IF($D803="","",IF(COUNTIF($D$2:$D803,$D803)&gt;1,"Trùng",""))</f>
        <v/>
      </c>
      <c r="S803" s="22">
        <f>IF($D803="","",IF(AND(LEN($D803)=10,LEFT($D803,1)="0",ISNUMBER(--$D803)),"Có","Không"))</f>
        <v/>
      </c>
      <c r="T803" s="22">
        <f>IF($D803="","",IF(AND($C803&lt;&gt;"",$Q803="Có",$R803="",$S803="Có",AND($L803&lt;&gt;"",OR($L803&lt;&gt;"Chưa xác định",DANH_MUC!$L$9="Có"))),"Có","Không"))</f>
        <v/>
      </c>
      <c r="U803" s="22">
        <f>IF(OR($D803="",$T803="Có"),"",IF($C803="","Thiếu họ tên; ","")&amp;IF($S803&lt;&gt;"Có","SĐT sai định dạng; ","")&amp;IF($R803="Trùng","Trùng SĐT; ","")&amp;IF($Q803&lt;&gt;"Có","Thiếu đồng ý bắt buộc; ","")&amp;IF($L803="","Thiếu/sai Mã REF; ",IF(AND($L803="Chưa xác định",DANH_MUC!$L$9&lt;&gt;"Có"),"Nguồn chưa xác định; ","")))</f>
        <v/>
      </c>
      <c r="V803" s="22">
        <f>IF(OR($D803="",$R803="Trùng"),"",IF(COUNTIF(ORDERS!$C$2:$C$4995,$D803)&gt;0,"Có","Không"))</f>
        <v/>
      </c>
      <c r="W803" s="22">
        <f>IF(OR($D803="",$R803="Trùng"),"",COUNTIFS(ORDERS!$C$2:$C$4995,$D803,ORDERS!$L$2:$L$4995,"Đã chuyển khoản"))</f>
        <v/>
      </c>
      <c r="X803" s="23">
        <f>IF(OR($D803="",$R803="Trùng"),"",SUMIFS(ORDERS!$J$2:$J$4995,ORDERS!$C$2:$C$4995,$D803,ORDERS!$L$2:$L$4995,"Đã chuyển khoản"))</f>
        <v/>
      </c>
      <c r="Y803" s="24" t="n"/>
    </row>
    <row r="804" ht="14.25" customHeight="1" s="40">
      <c r="A804" s="24" t="n"/>
      <c r="B804" s="27" t="n"/>
      <c r="C804" s="24" t="n"/>
      <c r="D804" s="28" t="n"/>
      <c r="E804" s="29" t="n"/>
      <c r="F804" s="24" t="n"/>
      <c r="G804" s="24" t="n"/>
      <c r="H804" s="21">
        <f>IF(ISNUMBER($B804),INT($B804)-WEEKDAY($B804,2)+1,"")</f>
        <v/>
      </c>
      <c r="I804" s="24" t="n"/>
      <c r="J804" s="22">
        <f t="array" ref="J804">IF($D804="","",IF($I804="","(trống REF)",IFERROR(INDEX(MASTER_SOURCE!$B$2:$B$495,MATCH($I804,MASTER_SOURCE!$A$2:$A$495,0)),"(REF không có trong MASTER_SOURCE)")))</f>
        <v/>
      </c>
      <c r="K804" s="22">
        <f t="array" ref="K804">IF($D804="","",IFERROR(INDEX(MASTER_SOURCE!$C$2:$C$495,MATCH($I804,MASTER_SOURCE!$A$2:$A$495,0)),""))</f>
        <v/>
      </c>
      <c r="L804" s="22">
        <f t="array" ref="L804">IF($D804="","",IFERROR(INDEX(MASTER_SOURCE!$D$2:$D$495,MATCH($I804,MASTER_SOURCE!$A$2:$A$495,0)),""))</f>
        <v/>
      </c>
      <c r="M804" s="24" t="n"/>
      <c r="N804" s="24" t="n"/>
      <c r="O804" s="24" t="n"/>
      <c r="P804" s="24" t="n"/>
      <c r="Q804" s="22">
        <f>IF($D804="","",IF(AND(OR(DANH_MUC!$L$5&lt;&gt;"Có",M804="Có"),OR(DANH_MUC!$L$6&lt;&gt;"Có",N804="Có"),OR(DANH_MUC!$L$7&lt;&gt;"Có",O804="Có"),OR(DANH_MUC!$L$8&lt;&gt;"Có",P804="Có")),"Có","Không"))</f>
        <v/>
      </c>
      <c r="R804" s="22">
        <f>IF($D804="","",IF(COUNTIF($D$2:$D804,$D804)&gt;1,"Trùng",""))</f>
        <v/>
      </c>
      <c r="S804" s="22">
        <f>IF($D804="","",IF(AND(LEN($D804)=10,LEFT($D804,1)="0",ISNUMBER(--$D804)),"Có","Không"))</f>
        <v/>
      </c>
      <c r="T804" s="22">
        <f>IF($D804="","",IF(AND($C804&lt;&gt;"",$Q804="Có",$R804="",$S804="Có",AND($L804&lt;&gt;"",OR($L804&lt;&gt;"Chưa xác định",DANH_MUC!$L$9="Có"))),"Có","Không"))</f>
        <v/>
      </c>
      <c r="U804" s="22">
        <f>IF(OR($D804="",$T804="Có"),"",IF($C804="","Thiếu họ tên; ","")&amp;IF($S804&lt;&gt;"Có","SĐT sai định dạng; ","")&amp;IF($R804="Trùng","Trùng SĐT; ","")&amp;IF($Q804&lt;&gt;"Có","Thiếu đồng ý bắt buộc; ","")&amp;IF($L804="","Thiếu/sai Mã REF; ",IF(AND($L804="Chưa xác định",DANH_MUC!$L$9&lt;&gt;"Có"),"Nguồn chưa xác định; ","")))</f>
        <v/>
      </c>
      <c r="V804" s="22">
        <f>IF(OR($D804="",$R804="Trùng"),"",IF(COUNTIF(ORDERS!$C$2:$C$4995,$D804)&gt;0,"Có","Không"))</f>
        <v/>
      </c>
      <c r="W804" s="22">
        <f>IF(OR($D804="",$R804="Trùng"),"",COUNTIFS(ORDERS!$C$2:$C$4995,$D804,ORDERS!$L$2:$L$4995,"Đã chuyển khoản"))</f>
        <v/>
      </c>
      <c r="X804" s="23">
        <f>IF(OR($D804="",$R804="Trùng"),"",SUMIFS(ORDERS!$J$2:$J$4995,ORDERS!$C$2:$C$4995,$D804,ORDERS!$L$2:$L$4995,"Đã chuyển khoản"))</f>
        <v/>
      </c>
      <c r="Y804" s="24" t="n"/>
    </row>
    <row r="805" ht="14.25" customHeight="1" s="40">
      <c r="A805" s="24" t="n"/>
      <c r="B805" s="27" t="n"/>
      <c r="C805" s="24" t="n"/>
      <c r="D805" s="28" t="n"/>
      <c r="E805" s="29" t="n"/>
      <c r="F805" s="24" t="n"/>
      <c r="G805" s="24" t="n"/>
      <c r="H805" s="21">
        <f>IF(ISNUMBER($B805),INT($B805)-WEEKDAY($B805,2)+1,"")</f>
        <v/>
      </c>
      <c r="I805" s="24" t="n"/>
      <c r="J805" s="22">
        <f t="array" ref="J805">IF($D805="","",IF($I805="","(trống REF)",IFERROR(INDEX(MASTER_SOURCE!$B$2:$B$495,MATCH($I805,MASTER_SOURCE!$A$2:$A$495,0)),"(REF không có trong MASTER_SOURCE)")))</f>
        <v/>
      </c>
      <c r="K805" s="22">
        <f t="array" ref="K805">IF($D805="","",IFERROR(INDEX(MASTER_SOURCE!$C$2:$C$495,MATCH($I805,MASTER_SOURCE!$A$2:$A$495,0)),""))</f>
        <v/>
      </c>
      <c r="L805" s="22">
        <f t="array" ref="L805">IF($D805="","",IFERROR(INDEX(MASTER_SOURCE!$D$2:$D$495,MATCH($I805,MASTER_SOURCE!$A$2:$A$495,0)),""))</f>
        <v/>
      </c>
      <c r="M805" s="24" t="n"/>
      <c r="N805" s="24" t="n"/>
      <c r="O805" s="24" t="n"/>
      <c r="P805" s="24" t="n"/>
      <c r="Q805" s="22">
        <f>IF($D805="","",IF(AND(OR(DANH_MUC!$L$5&lt;&gt;"Có",M805="Có"),OR(DANH_MUC!$L$6&lt;&gt;"Có",N805="Có"),OR(DANH_MUC!$L$7&lt;&gt;"Có",O805="Có"),OR(DANH_MUC!$L$8&lt;&gt;"Có",P805="Có")),"Có","Không"))</f>
        <v/>
      </c>
      <c r="R805" s="22">
        <f>IF($D805="","",IF(COUNTIF($D$2:$D805,$D805)&gt;1,"Trùng",""))</f>
        <v/>
      </c>
      <c r="S805" s="22">
        <f>IF($D805="","",IF(AND(LEN($D805)=10,LEFT($D805,1)="0",ISNUMBER(--$D805)),"Có","Không"))</f>
        <v/>
      </c>
      <c r="T805" s="22">
        <f>IF($D805="","",IF(AND($C805&lt;&gt;"",$Q805="Có",$R805="",$S805="Có",AND($L805&lt;&gt;"",OR($L805&lt;&gt;"Chưa xác định",DANH_MUC!$L$9="Có"))),"Có","Không"))</f>
        <v/>
      </c>
      <c r="U805" s="22">
        <f>IF(OR($D805="",$T805="Có"),"",IF($C805="","Thiếu họ tên; ","")&amp;IF($S805&lt;&gt;"Có","SĐT sai định dạng; ","")&amp;IF($R805="Trùng","Trùng SĐT; ","")&amp;IF($Q805&lt;&gt;"Có","Thiếu đồng ý bắt buộc; ","")&amp;IF($L805="","Thiếu/sai Mã REF; ",IF(AND($L805="Chưa xác định",DANH_MUC!$L$9&lt;&gt;"Có"),"Nguồn chưa xác định; ","")))</f>
        <v/>
      </c>
      <c r="V805" s="22">
        <f>IF(OR($D805="",$R805="Trùng"),"",IF(COUNTIF(ORDERS!$C$2:$C$4995,$D805)&gt;0,"Có","Không"))</f>
        <v/>
      </c>
      <c r="W805" s="22">
        <f>IF(OR($D805="",$R805="Trùng"),"",COUNTIFS(ORDERS!$C$2:$C$4995,$D805,ORDERS!$L$2:$L$4995,"Đã chuyển khoản"))</f>
        <v/>
      </c>
      <c r="X805" s="23">
        <f>IF(OR($D805="",$R805="Trùng"),"",SUMIFS(ORDERS!$J$2:$J$4995,ORDERS!$C$2:$C$4995,$D805,ORDERS!$L$2:$L$4995,"Đã chuyển khoản"))</f>
        <v/>
      </c>
      <c r="Y805" s="24" t="n"/>
    </row>
    <row r="806" ht="14.25" customHeight="1" s="40">
      <c r="A806" s="24" t="n"/>
      <c r="B806" s="27" t="n"/>
      <c r="C806" s="24" t="n"/>
      <c r="D806" s="28" t="n"/>
      <c r="E806" s="29" t="n"/>
      <c r="F806" s="24" t="n"/>
      <c r="G806" s="24" t="n"/>
      <c r="H806" s="21">
        <f>IF(ISNUMBER($B806),INT($B806)-WEEKDAY($B806,2)+1,"")</f>
        <v/>
      </c>
      <c r="I806" s="24" t="n"/>
      <c r="J806" s="22">
        <f t="array" ref="J806">IF($D806="","",IF($I806="","(trống REF)",IFERROR(INDEX(MASTER_SOURCE!$B$2:$B$495,MATCH($I806,MASTER_SOURCE!$A$2:$A$495,0)),"(REF không có trong MASTER_SOURCE)")))</f>
        <v/>
      </c>
      <c r="K806" s="22">
        <f t="array" ref="K806">IF($D806="","",IFERROR(INDEX(MASTER_SOURCE!$C$2:$C$495,MATCH($I806,MASTER_SOURCE!$A$2:$A$495,0)),""))</f>
        <v/>
      </c>
      <c r="L806" s="22">
        <f t="array" ref="L806">IF($D806="","",IFERROR(INDEX(MASTER_SOURCE!$D$2:$D$495,MATCH($I806,MASTER_SOURCE!$A$2:$A$495,0)),""))</f>
        <v/>
      </c>
      <c r="M806" s="24" t="n"/>
      <c r="N806" s="24" t="n"/>
      <c r="O806" s="24" t="n"/>
      <c r="P806" s="24" t="n"/>
      <c r="Q806" s="22">
        <f>IF($D806="","",IF(AND(OR(DANH_MUC!$L$5&lt;&gt;"Có",M806="Có"),OR(DANH_MUC!$L$6&lt;&gt;"Có",N806="Có"),OR(DANH_MUC!$L$7&lt;&gt;"Có",O806="Có"),OR(DANH_MUC!$L$8&lt;&gt;"Có",P806="Có")),"Có","Không"))</f>
        <v/>
      </c>
      <c r="R806" s="22">
        <f>IF($D806="","",IF(COUNTIF($D$2:$D806,$D806)&gt;1,"Trùng",""))</f>
        <v/>
      </c>
      <c r="S806" s="22">
        <f>IF($D806="","",IF(AND(LEN($D806)=10,LEFT($D806,1)="0",ISNUMBER(--$D806)),"Có","Không"))</f>
        <v/>
      </c>
      <c r="T806" s="22">
        <f>IF($D806="","",IF(AND($C806&lt;&gt;"",$Q806="Có",$R806="",$S806="Có",AND($L806&lt;&gt;"",OR($L806&lt;&gt;"Chưa xác định",DANH_MUC!$L$9="Có"))),"Có","Không"))</f>
        <v/>
      </c>
      <c r="U806" s="22">
        <f>IF(OR($D806="",$T806="Có"),"",IF($C806="","Thiếu họ tên; ","")&amp;IF($S806&lt;&gt;"Có","SĐT sai định dạng; ","")&amp;IF($R806="Trùng","Trùng SĐT; ","")&amp;IF($Q806&lt;&gt;"Có","Thiếu đồng ý bắt buộc; ","")&amp;IF($L806="","Thiếu/sai Mã REF; ",IF(AND($L806="Chưa xác định",DANH_MUC!$L$9&lt;&gt;"Có"),"Nguồn chưa xác định; ","")))</f>
        <v/>
      </c>
      <c r="V806" s="22">
        <f>IF(OR($D806="",$R806="Trùng"),"",IF(COUNTIF(ORDERS!$C$2:$C$4995,$D806)&gt;0,"Có","Không"))</f>
        <v/>
      </c>
      <c r="W806" s="22">
        <f>IF(OR($D806="",$R806="Trùng"),"",COUNTIFS(ORDERS!$C$2:$C$4995,$D806,ORDERS!$L$2:$L$4995,"Đã chuyển khoản"))</f>
        <v/>
      </c>
      <c r="X806" s="23">
        <f>IF(OR($D806="",$R806="Trùng"),"",SUMIFS(ORDERS!$J$2:$J$4995,ORDERS!$C$2:$C$4995,$D806,ORDERS!$L$2:$L$4995,"Đã chuyển khoản"))</f>
        <v/>
      </c>
      <c r="Y806" s="24" t="n"/>
    </row>
    <row r="807" ht="14.25" customHeight="1" s="40">
      <c r="A807" s="24" t="n"/>
      <c r="B807" s="27" t="n"/>
      <c r="C807" s="24" t="n"/>
      <c r="D807" s="28" t="n"/>
      <c r="E807" s="29" t="n"/>
      <c r="F807" s="24" t="n"/>
      <c r="G807" s="24" t="n"/>
      <c r="H807" s="21">
        <f>IF(ISNUMBER($B807),INT($B807)-WEEKDAY($B807,2)+1,"")</f>
        <v/>
      </c>
      <c r="I807" s="24" t="n"/>
      <c r="J807" s="22">
        <f t="array" ref="J807">IF($D807="","",IF($I807="","(trống REF)",IFERROR(INDEX(MASTER_SOURCE!$B$2:$B$495,MATCH($I807,MASTER_SOURCE!$A$2:$A$495,0)),"(REF không có trong MASTER_SOURCE)")))</f>
        <v/>
      </c>
      <c r="K807" s="22">
        <f t="array" ref="K807">IF($D807="","",IFERROR(INDEX(MASTER_SOURCE!$C$2:$C$495,MATCH($I807,MASTER_SOURCE!$A$2:$A$495,0)),""))</f>
        <v/>
      </c>
      <c r="L807" s="22">
        <f t="array" ref="L807">IF($D807="","",IFERROR(INDEX(MASTER_SOURCE!$D$2:$D$495,MATCH($I807,MASTER_SOURCE!$A$2:$A$495,0)),""))</f>
        <v/>
      </c>
      <c r="M807" s="24" t="n"/>
      <c r="N807" s="24" t="n"/>
      <c r="O807" s="24" t="n"/>
      <c r="P807" s="24" t="n"/>
      <c r="Q807" s="22">
        <f>IF($D807="","",IF(AND(OR(DANH_MUC!$L$5&lt;&gt;"Có",M807="Có"),OR(DANH_MUC!$L$6&lt;&gt;"Có",N807="Có"),OR(DANH_MUC!$L$7&lt;&gt;"Có",O807="Có"),OR(DANH_MUC!$L$8&lt;&gt;"Có",P807="Có")),"Có","Không"))</f>
        <v/>
      </c>
      <c r="R807" s="22">
        <f>IF($D807="","",IF(COUNTIF($D$2:$D807,$D807)&gt;1,"Trùng",""))</f>
        <v/>
      </c>
      <c r="S807" s="22">
        <f>IF($D807="","",IF(AND(LEN($D807)=10,LEFT($D807,1)="0",ISNUMBER(--$D807)),"Có","Không"))</f>
        <v/>
      </c>
      <c r="T807" s="22">
        <f>IF($D807="","",IF(AND($C807&lt;&gt;"",$Q807="Có",$R807="",$S807="Có",AND($L807&lt;&gt;"",OR($L807&lt;&gt;"Chưa xác định",DANH_MUC!$L$9="Có"))),"Có","Không"))</f>
        <v/>
      </c>
      <c r="U807" s="22">
        <f>IF(OR($D807="",$T807="Có"),"",IF($C807="","Thiếu họ tên; ","")&amp;IF($S807&lt;&gt;"Có","SĐT sai định dạng; ","")&amp;IF($R807="Trùng","Trùng SĐT; ","")&amp;IF($Q807&lt;&gt;"Có","Thiếu đồng ý bắt buộc; ","")&amp;IF($L807="","Thiếu/sai Mã REF; ",IF(AND($L807="Chưa xác định",DANH_MUC!$L$9&lt;&gt;"Có"),"Nguồn chưa xác định; ","")))</f>
        <v/>
      </c>
      <c r="V807" s="22">
        <f>IF(OR($D807="",$R807="Trùng"),"",IF(COUNTIF(ORDERS!$C$2:$C$4995,$D807)&gt;0,"Có","Không"))</f>
        <v/>
      </c>
      <c r="W807" s="22">
        <f>IF(OR($D807="",$R807="Trùng"),"",COUNTIFS(ORDERS!$C$2:$C$4995,$D807,ORDERS!$L$2:$L$4995,"Đã chuyển khoản"))</f>
        <v/>
      </c>
      <c r="X807" s="23">
        <f>IF(OR($D807="",$R807="Trùng"),"",SUMIFS(ORDERS!$J$2:$J$4995,ORDERS!$C$2:$C$4995,$D807,ORDERS!$L$2:$L$4995,"Đã chuyển khoản"))</f>
        <v/>
      </c>
      <c r="Y807" s="24" t="n"/>
    </row>
    <row r="808" ht="14.25" customHeight="1" s="40">
      <c r="A808" s="24" t="n"/>
      <c r="B808" s="27" t="n"/>
      <c r="C808" s="24" t="n"/>
      <c r="D808" s="28" t="n"/>
      <c r="E808" s="29" t="n"/>
      <c r="F808" s="24" t="n"/>
      <c r="G808" s="24" t="n"/>
      <c r="H808" s="21">
        <f>IF(ISNUMBER($B808),INT($B808)-WEEKDAY($B808,2)+1,"")</f>
        <v/>
      </c>
      <c r="I808" s="24" t="n"/>
      <c r="J808" s="22">
        <f t="array" ref="J808">IF($D808="","",IF($I808="","(trống REF)",IFERROR(INDEX(MASTER_SOURCE!$B$2:$B$495,MATCH($I808,MASTER_SOURCE!$A$2:$A$495,0)),"(REF không có trong MASTER_SOURCE)")))</f>
        <v/>
      </c>
      <c r="K808" s="22">
        <f t="array" ref="K808">IF($D808="","",IFERROR(INDEX(MASTER_SOURCE!$C$2:$C$495,MATCH($I808,MASTER_SOURCE!$A$2:$A$495,0)),""))</f>
        <v/>
      </c>
      <c r="L808" s="22">
        <f t="array" ref="L808">IF($D808="","",IFERROR(INDEX(MASTER_SOURCE!$D$2:$D$495,MATCH($I808,MASTER_SOURCE!$A$2:$A$495,0)),""))</f>
        <v/>
      </c>
      <c r="M808" s="24" t="n"/>
      <c r="N808" s="24" t="n"/>
      <c r="O808" s="24" t="n"/>
      <c r="P808" s="24" t="n"/>
      <c r="Q808" s="22">
        <f>IF($D808="","",IF(AND(OR(DANH_MUC!$L$5&lt;&gt;"Có",M808="Có"),OR(DANH_MUC!$L$6&lt;&gt;"Có",N808="Có"),OR(DANH_MUC!$L$7&lt;&gt;"Có",O808="Có"),OR(DANH_MUC!$L$8&lt;&gt;"Có",P808="Có")),"Có","Không"))</f>
        <v/>
      </c>
      <c r="R808" s="22">
        <f>IF($D808="","",IF(COUNTIF($D$2:$D808,$D808)&gt;1,"Trùng",""))</f>
        <v/>
      </c>
      <c r="S808" s="22">
        <f>IF($D808="","",IF(AND(LEN($D808)=10,LEFT($D808,1)="0",ISNUMBER(--$D808)),"Có","Không"))</f>
        <v/>
      </c>
      <c r="T808" s="22">
        <f>IF($D808="","",IF(AND($C808&lt;&gt;"",$Q808="Có",$R808="",$S808="Có",AND($L808&lt;&gt;"",OR($L808&lt;&gt;"Chưa xác định",DANH_MUC!$L$9="Có"))),"Có","Không"))</f>
        <v/>
      </c>
      <c r="U808" s="22">
        <f>IF(OR($D808="",$T808="Có"),"",IF($C808="","Thiếu họ tên; ","")&amp;IF($S808&lt;&gt;"Có","SĐT sai định dạng; ","")&amp;IF($R808="Trùng","Trùng SĐT; ","")&amp;IF($Q808&lt;&gt;"Có","Thiếu đồng ý bắt buộc; ","")&amp;IF($L808="","Thiếu/sai Mã REF; ",IF(AND($L808="Chưa xác định",DANH_MUC!$L$9&lt;&gt;"Có"),"Nguồn chưa xác định; ","")))</f>
        <v/>
      </c>
      <c r="V808" s="22">
        <f>IF(OR($D808="",$R808="Trùng"),"",IF(COUNTIF(ORDERS!$C$2:$C$4995,$D808)&gt;0,"Có","Không"))</f>
        <v/>
      </c>
      <c r="W808" s="22">
        <f>IF(OR($D808="",$R808="Trùng"),"",COUNTIFS(ORDERS!$C$2:$C$4995,$D808,ORDERS!$L$2:$L$4995,"Đã chuyển khoản"))</f>
        <v/>
      </c>
      <c r="X808" s="23">
        <f>IF(OR($D808="",$R808="Trùng"),"",SUMIFS(ORDERS!$J$2:$J$4995,ORDERS!$C$2:$C$4995,$D808,ORDERS!$L$2:$L$4995,"Đã chuyển khoản"))</f>
        <v/>
      </c>
      <c r="Y808" s="24" t="n"/>
    </row>
    <row r="809" ht="14.25" customHeight="1" s="40">
      <c r="A809" s="24" t="n"/>
      <c r="B809" s="27" t="n"/>
      <c r="C809" s="24" t="n"/>
      <c r="D809" s="28" t="n"/>
      <c r="E809" s="29" t="n"/>
      <c r="F809" s="24" t="n"/>
      <c r="G809" s="24" t="n"/>
      <c r="H809" s="21">
        <f>IF(ISNUMBER($B809),INT($B809)-WEEKDAY($B809,2)+1,"")</f>
        <v/>
      </c>
      <c r="I809" s="24" t="n"/>
      <c r="J809" s="22">
        <f t="array" ref="J809">IF($D809="","",IF($I809="","(trống REF)",IFERROR(INDEX(MASTER_SOURCE!$B$2:$B$495,MATCH($I809,MASTER_SOURCE!$A$2:$A$495,0)),"(REF không có trong MASTER_SOURCE)")))</f>
        <v/>
      </c>
      <c r="K809" s="22">
        <f t="array" ref="K809">IF($D809="","",IFERROR(INDEX(MASTER_SOURCE!$C$2:$C$495,MATCH($I809,MASTER_SOURCE!$A$2:$A$495,0)),""))</f>
        <v/>
      </c>
      <c r="L809" s="22">
        <f t="array" ref="L809">IF($D809="","",IFERROR(INDEX(MASTER_SOURCE!$D$2:$D$495,MATCH($I809,MASTER_SOURCE!$A$2:$A$495,0)),""))</f>
        <v/>
      </c>
      <c r="M809" s="24" t="n"/>
      <c r="N809" s="24" t="n"/>
      <c r="O809" s="24" t="n"/>
      <c r="P809" s="24" t="n"/>
      <c r="Q809" s="22">
        <f>IF($D809="","",IF(AND(OR(DANH_MUC!$L$5&lt;&gt;"Có",M809="Có"),OR(DANH_MUC!$L$6&lt;&gt;"Có",N809="Có"),OR(DANH_MUC!$L$7&lt;&gt;"Có",O809="Có"),OR(DANH_MUC!$L$8&lt;&gt;"Có",P809="Có")),"Có","Không"))</f>
        <v/>
      </c>
      <c r="R809" s="22">
        <f>IF($D809="","",IF(COUNTIF($D$2:$D809,$D809)&gt;1,"Trùng",""))</f>
        <v/>
      </c>
      <c r="S809" s="22">
        <f>IF($D809="","",IF(AND(LEN($D809)=10,LEFT($D809,1)="0",ISNUMBER(--$D809)),"Có","Không"))</f>
        <v/>
      </c>
      <c r="T809" s="22">
        <f>IF($D809="","",IF(AND($C809&lt;&gt;"",$Q809="Có",$R809="",$S809="Có",AND($L809&lt;&gt;"",OR($L809&lt;&gt;"Chưa xác định",DANH_MUC!$L$9="Có"))),"Có","Không"))</f>
        <v/>
      </c>
      <c r="U809" s="22">
        <f>IF(OR($D809="",$T809="Có"),"",IF($C809="","Thiếu họ tên; ","")&amp;IF($S809&lt;&gt;"Có","SĐT sai định dạng; ","")&amp;IF($R809="Trùng","Trùng SĐT; ","")&amp;IF($Q809&lt;&gt;"Có","Thiếu đồng ý bắt buộc; ","")&amp;IF($L809="","Thiếu/sai Mã REF; ",IF(AND($L809="Chưa xác định",DANH_MUC!$L$9&lt;&gt;"Có"),"Nguồn chưa xác định; ","")))</f>
        <v/>
      </c>
      <c r="V809" s="22">
        <f>IF(OR($D809="",$R809="Trùng"),"",IF(COUNTIF(ORDERS!$C$2:$C$4995,$D809)&gt;0,"Có","Không"))</f>
        <v/>
      </c>
      <c r="W809" s="22">
        <f>IF(OR($D809="",$R809="Trùng"),"",COUNTIFS(ORDERS!$C$2:$C$4995,$D809,ORDERS!$L$2:$L$4995,"Đã chuyển khoản"))</f>
        <v/>
      </c>
      <c r="X809" s="23">
        <f>IF(OR($D809="",$R809="Trùng"),"",SUMIFS(ORDERS!$J$2:$J$4995,ORDERS!$C$2:$C$4995,$D809,ORDERS!$L$2:$L$4995,"Đã chuyển khoản"))</f>
        <v/>
      </c>
      <c r="Y809" s="24" t="n"/>
    </row>
    <row r="810" ht="14.25" customHeight="1" s="40">
      <c r="A810" s="24" t="n"/>
      <c r="B810" s="27" t="n"/>
      <c r="C810" s="24" t="n"/>
      <c r="D810" s="28" t="n"/>
      <c r="E810" s="29" t="n"/>
      <c r="F810" s="24" t="n"/>
      <c r="G810" s="24" t="n"/>
      <c r="H810" s="21">
        <f>IF(ISNUMBER($B810),INT($B810)-WEEKDAY($B810,2)+1,"")</f>
        <v/>
      </c>
      <c r="I810" s="24" t="n"/>
      <c r="J810" s="22">
        <f t="array" ref="J810">IF($D810="","",IF($I810="","(trống REF)",IFERROR(INDEX(MASTER_SOURCE!$B$2:$B$495,MATCH($I810,MASTER_SOURCE!$A$2:$A$495,0)),"(REF không có trong MASTER_SOURCE)")))</f>
        <v/>
      </c>
      <c r="K810" s="22">
        <f t="array" ref="K810">IF($D810="","",IFERROR(INDEX(MASTER_SOURCE!$C$2:$C$495,MATCH($I810,MASTER_SOURCE!$A$2:$A$495,0)),""))</f>
        <v/>
      </c>
      <c r="L810" s="22">
        <f t="array" ref="L810">IF($D810="","",IFERROR(INDEX(MASTER_SOURCE!$D$2:$D$495,MATCH($I810,MASTER_SOURCE!$A$2:$A$495,0)),""))</f>
        <v/>
      </c>
      <c r="M810" s="24" t="n"/>
      <c r="N810" s="24" t="n"/>
      <c r="O810" s="24" t="n"/>
      <c r="P810" s="24" t="n"/>
      <c r="Q810" s="22">
        <f>IF($D810="","",IF(AND(OR(DANH_MUC!$L$5&lt;&gt;"Có",M810="Có"),OR(DANH_MUC!$L$6&lt;&gt;"Có",N810="Có"),OR(DANH_MUC!$L$7&lt;&gt;"Có",O810="Có"),OR(DANH_MUC!$L$8&lt;&gt;"Có",P810="Có")),"Có","Không"))</f>
        <v/>
      </c>
      <c r="R810" s="22">
        <f>IF($D810="","",IF(COUNTIF($D$2:$D810,$D810)&gt;1,"Trùng",""))</f>
        <v/>
      </c>
      <c r="S810" s="22">
        <f>IF($D810="","",IF(AND(LEN($D810)=10,LEFT($D810,1)="0",ISNUMBER(--$D810)),"Có","Không"))</f>
        <v/>
      </c>
      <c r="T810" s="22">
        <f>IF($D810="","",IF(AND($C810&lt;&gt;"",$Q810="Có",$R810="",$S810="Có",AND($L810&lt;&gt;"",OR($L810&lt;&gt;"Chưa xác định",DANH_MUC!$L$9="Có"))),"Có","Không"))</f>
        <v/>
      </c>
      <c r="U810" s="22">
        <f>IF(OR($D810="",$T810="Có"),"",IF($C810="","Thiếu họ tên; ","")&amp;IF($S810&lt;&gt;"Có","SĐT sai định dạng; ","")&amp;IF($R810="Trùng","Trùng SĐT; ","")&amp;IF($Q810&lt;&gt;"Có","Thiếu đồng ý bắt buộc; ","")&amp;IF($L810="","Thiếu/sai Mã REF; ",IF(AND($L810="Chưa xác định",DANH_MUC!$L$9&lt;&gt;"Có"),"Nguồn chưa xác định; ","")))</f>
        <v/>
      </c>
      <c r="V810" s="22">
        <f>IF(OR($D810="",$R810="Trùng"),"",IF(COUNTIF(ORDERS!$C$2:$C$4995,$D810)&gt;0,"Có","Không"))</f>
        <v/>
      </c>
      <c r="W810" s="22">
        <f>IF(OR($D810="",$R810="Trùng"),"",COUNTIFS(ORDERS!$C$2:$C$4995,$D810,ORDERS!$L$2:$L$4995,"Đã chuyển khoản"))</f>
        <v/>
      </c>
      <c r="X810" s="23">
        <f>IF(OR($D810="",$R810="Trùng"),"",SUMIFS(ORDERS!$J$2:$J$4995,ORDERS!$C$2:$C$4995,$D810,ORDERS!$L$2:$L$4995,"Đã chuyển khoản"))</f>
        <v/>
      </c>
      <c r="Y810" s="24" t="n"/>
    </row>
    <row r="811" ht="14.25" customHeight="1" s="40">
      <c r="A811" s="24" t="n"/>
      <c r="B811" s="27" t="n"/>
      <c r="C811" s="24" t="n"/>
      <c r="D811" s="28" t="n"/>
      <c r="E811" s="29" t="n"/>
      <c r="F811" s="24" t="n"/>
      <c r="G811" s="24" t="n"/>
      <c r="H811" s="21">
        <f>IF(ISNUMBER($B811),INT($B811)-WEEKDAY($B811,2)+1,"")</f>
        <v/>
      </c>
      <c r="I811" s="24" t="n"/>
      <c r="J811" s="22">
        <f t="array" ref="J811">IF($D811="","",IF($I811="","(trống REF)",IFERROR(INDEX(MASTER_SOURCE!$B$2:$B$495,MATCH($I811,MASTER_SOURCE!$A$2:$A$495,0)),"(REF không có trong MASTER_SOURCE)")))</f>
        <v/>
      </c>
      <c r="K811" s="22">
        <f t="array" ref="K811">IF($D811="","",IFERROR(INDEX(MASTER_SOURCE!$C$2:$C$495,MATCH($I811,MASTER_SOURCE!$A$2:$A$495,0)),""))</f>
        <v/>
      </c>
      <c r="L811" s="22">
        <f t="array" ref="L811">IF($D811="","",IFERROR(INDEX(MASTER_SOURCE!$D$2:$D$495,MATCH($I811,MASTER_SOURCE!$A$2:$A$495,0)),""))</f>
        <v/>
      </c>
      <c r="M811" s="24" t="n"/>
      <c r="N811" s="24" t="n"/>
      <c r="O811" s="24" t="n"/>
      <c r="P811" s="24" t="n"/>
      <c r="Q811" s="22">
        <f>IF($D811="","",IF(AND(OR(DANH_MUC!$L$5&lt;&gt;"Có",M811="Có"),OR(DANH_MUC!$L$6&lt;&gt;"Có",N811="Có"),OR(DANH_MUC!$L$7&lt;&gt;"Có",O811="Có"),OR(DANH_MUC!$L$8&lt;&gt;"Có",P811="Có")),"Có","Không"))</f>
        <v/>
      </c>
      <c r="R811" s="22">
        <f>IF($D811="","",IF(COUNTIF($D$2:$D811,$D811)&gt;1,"Trùng",""))</f>
        <v/>
      </c>
      <c r="S811" s="22">
        <f>IF($D811="","",IF(AND(LEN($D811)=10,LEFT($D811,1)="0",ISNUMBER(--$D811)),"Có","Không"))</f>
        <v/>
      </c>
      <c r="T811" s="22">
        <f>IF($D811="","",IF(AND($C811&lt;&gt;"",$Q811="Có",$R811="",$S811="Có",AND($L811&lt;&gt;"",OR($L811&lt;&gt;"Chưa xác định",DANH_MUC!$L$9="Có"))),"Có","Không"))</f>
        <v/>
      </c>
      <c r="U811" s="22">
        <f>IF(OR($D811="",$T811="Có"),"",IF($C811="","Thiếu họ tên; ","")&amp;IF($S811&lt;&gt;"Có","SĐT sai định dạng; ","")&amp;IF($R811="Trùng","Trùng SĐT; ","")&amp;IF($Q811&lt;&gt;"Có","Thiếu đồng ý bắt buộc; ","")&amp;IF($L811="","Thiếu/sai Mã REF; ",IF(AND($L811="Chưa xác định",DANH_MUC!$L$9&lt;&gt;"Có"),"Nguồn chưa xác định; ","")))</f>
        <v/>
      </c>
      <c r="V811" s="22">
        <f>IF(OR($D811="",$R811="Trùng"),"",IF(COUNTIF(ORDERS!$C$2:$C$4995,$D811)&gt;0,"Có","Không"))</f>
        <v/>
      </c>
      <c r="W811" s="22">
        <f>IF(OR($D811="",$R811="Trùng"),"",COUNTIFS(ORDERS!$C$2:$C$4995,$D811,ORDERS!$L$2:$L$4995,"Đã chuyển khoản"))</f>
        <v/>
      </c>
      <c r="X811" s="23">
        <f>IF(OR($D811="",$R811="Trùng"),"",SUMIFS(ORDERS!$J$2:$J$4995,ORDERS!$C$2:$C$4995,$D811,ORDERS!$L$2:$L$4995,"Đã chuyển khoản"))</f>
        <v/>
      </c>
      <c r="Y811" s="24" t="n"/>
    </row>
    <row r="812" ht="14.25" customHeight="1" s="40">
      <c r="A812" s="24" t="n"/>
      <c r="B812" s="27" t="n"/>
      <c r="C812" s="24" t="n"/>
      <c r="D812" s="28" t="n"/>
      <c r="E812" s="29" t="n"/>
      <c r="F812" s="24" t="n"/>
      <c r="G812" s="24" t="n"/>
      <c r="H812" s="21">
        <f>IF(ISNUMBER($B812),INT($B812)-WEEKDAY($B812,2)+1,"")</f>
        <v/>
      </c>
      <c r="I812" s="24" t="n"/>
      <c r="J812" s="22">
        <f t="array" ref="J812">IF($D812="","",IF($I812="","(trống REF)",IFERROR(INDEX(MASTER_SOURCE!$B$2:$B$495,MATCH($I812,MASTER_SOURCE!$A$2:$A$495,0)),"(REF không có trong MASTER_SOURCE)")))</f>
        <v/>
      </c>
      <c r="K812" s="22">
        <f t="array" ref="K812">IF($D812="","",IFERROR(INDEX(MASTER_SOURCE!$C$2:$C$495,MATCH($I812,MASTER_SOURCE!$A$2:$A$495,0)),""))</f>
        <v/>
      </c>
      <c r="L812" s="22">
        <f t="array" ref="L812">IF($D812="","",IFERROR(INDEX(MASTER_SOURCE!$D$2:$D$495,MATCH($I812,MASTER_SOURCE!$A$2:$A$495,0)),""))</f>
        <v/>
      </c>
      <c r="M812" s="24" t="n"/>
      <c r="N812" s="24" t="n"/>
      <c r="O812" s="24" t="n"/>
      <c r="P812" s="24" t="n"/>
      <c r="Q812" s="22">
        <f>IF($D812="","",IF(AND(OR(DANH_MUC!$L$5&lt;&gt;"Có",M812="Có"),OR(DANH_MUC!$L$6&lt;&gt;"Có",N812="Có"),OR(DANH_MUC!$L$7&lt;&gt;"Có",O812="Có"),OR(DANH_MUC!$L$8&lt;&gt;"Có",P812="Có")),"Có","Không"))</f>
        <v/>
      </c>
      <c r="R812" s="22">
        <f>IF($D812="","",IF(COUNTIF($D$2:$D812,$D812)&gt;1,"Trùng",""))</f>
        <v/>
      </c>
      <c r="S812" s="22">
        <f>IF($D812="","",IF(AND(LEN($D812)=10,LEFT($D812,1)="0",ISNUMBER(--$D812)),"Có","Không"))</f>
        <v/>
      </c>
      <c r="T812" s="22">
        <f>IF($D812="","",IF(AND($C812&lt;&gt;"",$Q812="Có",$R812="",$S812="Có",AND($L812&lt;&gt;"",OR($L812&lt;&gt;"Chưa xác định",DANH_MUC!$L$9="Có"))),"Có","Không"))</f>
        <v/>
      </c>
      <c r="U812" s="22">
        <f>IF(OR($D812="",$T812="Có"),"",IF($C812="","Thiếu họ tên; ","")&amp;IF($S812&lt;&gt;"Có","SĐT sai định dạng; ","")&amp;IF($R812="Trùng","Trùng SĐT; ","")&amp;IF($Q812&lt;&gt;"Có","Thiếu đồng ý bắt buộc; ","")&amp;IF($L812="","Thiếu/sai Mã REF; ",IF(AND($L812="Chưa xác định",DANH_MUC!$L$9&lt;&gt;"Có"),"Nguồn chưa xác định; ","")))</f>
        <v/>
      </c>
      <c r="V812" s="22">
        <f>IF(OR($D812="",$R812="Trùng"),"",IF(COUNTIF(ORDERS!$C$2:$C$4995,$D812)&gt;0,"Có","Không"))</f>
        <v/>
      </c>
      <c r="W812" s="22">
        <f>IF(OR($D812="",$R812="Trùng"),"",COUNTIFS(ORDERS!$C$2:$C$4995,$D812,ORDERS!$L$2:$L$4995,"Đã chuyển khoản"))</f>
        <v/>
      </c>
      <c r="X812" s="23">
        <f>IF(OR($D812="",$R812="Trùng"),"",SUMIFS(ORDERS!$J$2:$J$4995,ORDERS!$C$2:$C$4995,$D812,ORDERS!$L$2:$L$4995,"Đã chuyển khoản"))</f>
        <v/>
      </c>
      <c r="Y812" s="24" t="n"/>
    </row>
    <row r="813" ht="14.25" customHeight="1" s="40">
      <c r="A813" s="24" t="n"/>
      <c r="B813" s="27" t="n"/>
      <c r="C813" s="24" t="n"/>
      <c r="D813" s="28" t="n"/>
      <c r="E813" s="29" t="n"/>
      <c r="F813" s="24" t="n"/>
      <c r="G813" s="24" t="n"/>
      <c r="H813" s="21">
        <f>IF(ISNUMBER($B813),INT($B813)-WEEKDAY($B813,2)+1,"")</f>
        <v/>
      </c>
      <c r="I813" s="24" t="n"/>
      <c r="J813" s="22">
        <f t="array" ref="J813">IF($D813="","",IF($I813="","(trống REF)",IFERROR(INDEX(MASTER_SOURCE!$B$2:$B$495,MATCH($I813,MASTER_SOURCE!$A$2:$A$495,0)),"(REF không có trong MASTER_SOURCE)")))</f>
        <v/>
      </c>
      <c r="K813" s="22">
        <f t="array" ref="K813">IF($D813="","",IFERROR(INDEX(MASTER_SOURCE!$C$2:$C$495,MATCH($I813,MASTER_SOURCE!$A$2:$A$495,0)),""))</f>
        <v/>
      </c>
      <c r="L813" s="22">
        <f t="array" ref="L813">IF($D813="","",IFERROR(INDEX(MASTER_SOURCE!$D$2:$D$495,MATCH($I813,MASTER_SOURCE!$A$2:$A$495,0)),""))</f>
        <v/>
      </c>
      <c r="M813" s="24" t="n"/>
      <c r="N813" s="24" t="n"/>
      <c r="O813" s="24" t="n"/>
      <c r="P813" s="24" t="n"/>
      <c r="Q813" s="22">
        <f>IF($D813="","",IF(AND(OR(DANH_MUC!$L$5&lt;&gt;"Có",M813="Có"),OR(DANH_MUC!$L$6&lt;&gt;"Có",N813="Có"),OR(DANH_MUC!$L$7&lt;&gt;"Có",O813="Có"),OR(DANH_MUC!$L$8&lt;&gt;"Có",P813="Có")),"Có","Không"))</f>
        <v/>
      </c>
      <c r="R813" s="22">
        <f>IF($D813="","",IF(COUNTIF($D$2:$D813,$D813)&gt;1,"Trùng",""))</f>
        <v/>
      </c>
      <c r="S813" s="22">
        <f>IF($D813="","",IF(AND(LEN($D813)=10,LEFT($D813,1)="0",ISNUMBER(--$D813)),"Có","Không"))</f>
        <v/>
      </c>
      <c r="T813" s="22">
        <f>IF($D813="","",IF(AND($C813&lt;&gt;"",$Q813="Có",$R813="",$S813="Có",AND($L813&lt;&gt;"",OR($L813&lt;&gt;"Chưa xác định",DANH_MUC!$L$9="Có"))),"Có","Không"))</f>
        <v/>
      </c>
      <c r="U813" s="22">
        <f>IF(OR($D813="",$T813="Có"),"",IF($C813="","Thiếu họ tên; ","")&amp;IF($S813&lt;&gt;"Có","SĐT sai định dạng; ","")&amp;IF($R813="Trùng","Trùng SĐT; ","")&amp;IF($Q813&lt;&gt;"Có","Thiếu đồng ý bắt buộc; ","")&amp;IF($L813="","Thiếu/sai Mã REF; ",IF(AND($L813="Chưa xác định",DANH_MUC!$L$9&lt;&gt;"Có"),"Nguồn chưa xác định; ","")))</f>
        <v/>
      </c>
      <c r="V813" s="22">
        <f>IF(OR($D813="",$R813="Trùng"),"",IF(COUNTIF(ORDERS!$C$2:$C$4995,$D813)&gt;0,"Có","Không"))</f>
        <v/>
      </c>
      <c r="W813" s="22">
        <f>IF(OR($D813="",$R813="Trùng"),"",COUNTIFS(ORDERS!$C$2:$C$4995,$D813,ORDERS!$L$2:$L$4995,"Đã chuyển khoản"))</f>
        <v/>
      </c>
      <c r="X813" s="23">
        <f>IF(OR($D813="",$R813="Trùng"),"",SUMIFS(ORDERS!$J$2:$J$4995,ORDERS!$C$2:$C$4995,$D813,ORDERS!$L$2:$L$4995,"Đã chuyển khoản"))</f>
        <v/>
      </c>
      <c r="Y813" s="24" t="n"/>
    </row>
    <row r="814" ht="14.25" customHeight="1" s="40">
      <c r="A814" s="24" t="n"/>
      <c r="B814" s="27" t="n"/>
      <c r="C814" s="24" t="n"/>
      <c r="D814" s="28" t="n"/>
      <c r="E814" s="29" t="n"/>
      <c r="F814" s="24" t="n"/>
      <c r="G814" s="24" t="n"/>
      <c r="H814" s="21">
        <f>IF(ISNUMBER($B814),INT($B814)-WEEKDAY($B814,2)+1,"")</f>
        <v/>
      </c>
      <c r="I814" s="24" t="n"/>
      <c r="J814" s="22">
        <f t="array" ref="J814">IF($D814="","",IF($I814="","(trống REF)",IFERROR(INDEX(MASTER_SOURCE!$B$2:$B$495,MATCH($I814,MASTER_SOURCE!$A$2:$A$495,0)),"(REF không có trong MASTER_SOURCE)")))</f>
        <v/>
      </c>
      <c r="K814" s="22">
        <f t="array" ref="K814">IF($D814="","",IFERROR(INDEX(MASTER_SOURCE!$C$2:$C$495,MATCH($I814,MASTER_SOURCE!$A$2:$A$495,0)),""))</f>
        <v/>
      </c>
      <c r="L814" s="22">
        <f t="array" ref="L814">IF($D814="","",IFERROR(INDEX(MASTER_SOURCE!$D$2:$D$495,MATCH($I814,MASTER_SOURCE!$A$2:$A$495,0)),""))</f>
        <v/>
      </c>
      <c r="M814" s="24" t="n"/>
      <c r="N814" s="24" t="n"/>
      <c r="O814" s="24" t="n"/>
      <c r="P814" s="24" t="n"/>
      <c r="Q814" s="22">
        <f>IF($D814="","",IF(AND(OR(DANH_MUC!$L$5&lt;&gt;"Có",M814="Có"),OR(DANH_MUC!$L$6&lt;&gt;"Có",N814="Có"),OR(DANH_MUC!$L$7&lt;&gt;"Có",O814="Có"),OR(DANH_MUC!$L$8&lt;&gt;"Có",P814="Có")),"Có","Không"))</f>
        <v/>
      </c>
      <c r="R814" s="22">
        <f>IF($D814="","",IF(COUNTIF($D$2:$D814,$D814)&gt;1,"Trùng",""))</f>
        <v/>
      </c>
      <c r="S814" s="22">
        <f>IF($D814="","",IF(AND(LEN($D814)=10,LEFT($D814,1)="0",ISNUMBER(--$D814)),"Có","Không"))</f>
        <v/>
      </c>
      <c r="T814" s="22">
        <f>IF($D814="","",IF(AND($C814&lt;&gt;"",$Q814="Có",$R814="",$S814="Có",AND($L814&lt;&gt;"",OR($L814&lt;&gt;"Chưa xác định",DANH_MUC!$L$9="Có"))),"Có","Không"))</f>
        <v/>
      </c>
      <c r="U814" s="22">
        <f>IF(OR($D814="",$T814="Có"),"",IF($C814="","Thiếu họ tên; ","")&amp;IF($S814&lt;&gt;"Có","SĐT sai định dạng; ","")&amp;IF($R814="Trùng","Trùng SĐT; ","")&amp;IF($Q814&lt;&gt;"Có","Thiếu đồng ý bắt buộc; ","")&amp;IF($L814="","Thiếu/sai Mã REF; ",IF(AND($L814="Chưa xác định",DANH_MUC!$L$9&lt;&gt;"Có"),"Nguồn chưa xác định; ","")))</f>
        <v/>
      </c>
      <c r="V814" s="22">
        <f>IF(OR($D814="",$R814="Trùng"),"",IF(COUNTIF(ORDERS!$C$2:$C$4995,$D814)&gt;0,"Có","Không"))</f>
        <v/>
      </c>
      <c r="W814" s="22">
        <f>IF(OR($D814="",$R814="Trùng"),"",COUNTIFS(ORDERS!$C$2:$C$4995,$D814,ORDERS!$L$2:$L$4995,"Đã chuyển khoản"))</f>
        <v/>
      </c>
      <c r="X814" s="23">
        <f>IF(OR($D814="",$R814="Trùng"),"",SUMIFS(ORDERS!$J$2:$J$4995,ORDERS!$C$2:$C$4995,$D814,ORDERS!$L$2:$L$4995,"Đã chuyển khoản"))</f>
        <v/>
      </c>
      <c r="Y814" s="24" t="n"/>
    </row>
    <row r="815" ht="14.25" customHeight="1" s="40">
      <c r="A815" s="24" t="n"/>
      <c r="B815" s="27" t="n"/>
      <c r="C815" s="24" t="n"/>
      <c r="D815" s="28" t="n"/>
      <c r="E815" s="29" t="n"/>
      <c r="F815" s="24" t="n"/>
      <c r="G815" s="24" t="n"/>
      <c r="H815" s="21">
        <f>IF(ISNUMBER($B815),INT($B815)-WEEKDAY($B815,2)+1,"")</f>
        <v/>
      </c>
      <c r="I815" s="24" t="n"/>
      <c r="J815" s="22">
        <f t="array" ref="J815">IF($D815="","",IF($I815="","(trống REF)",IFERROR(INDEX(MASTER_SOURCE!$B$2:$B$495,MATCH($I815,MASTER_SOURCE!$A$2:$A$495,0)),"(REF không có trong MASTER_SOURCE)")))</f>
        <v/>
      </c>
      <c r="K815" s="22">
        <f t="array" ref="K815">IF($D815="","",IFERROR(INDEX(MASTER_SOURCE!$C$2:$C$495,MATCH($I815,MASTER_SOURCE!$A$2:$A$495,0)),""))</f>
        <v/>
      </c>
      <c r="L815" s="22">
        <f t="array" ref="L815">IF($D815="","",IFERROR(INDEX(MASTER_SOURCE!$D$2:$D$495,MATCH($I815,MASTER_SOURCE!$A$2:$A$495,0)),""))</f>
        <v/>
      </c>
      <c r="M815" s="24" t="n"/>
      <c r="N815" s="24" t="n"/>
      <c r="O815" s="24" t="n"/>
      <c r="P815" s="24" t="n"/>
      <c r="Q815" s="22">
        <f>IF($D815="","",IF(AND(OR(DANH_MUC!$L$5&lt;&gt;"Có",M815="Có"),OR(DANH_MUC!$L$6&lt;&gt;"Có",N815="Có"),OR(DANH_MUC!$L$7&lt;&gt;"Có",O815="Có"),OR(DANH_MUC!$L$8&lt;&gt;"Có",P815="Có")),"Có","Không"))</f>
        <v/>
      </c>
      <c r="R815" s="22">
        <f>IF($D815="","",IF(COUNTIF($D$2:$D815,$D815)&gt;1,"Trùng",""))</f>
        <v/>
      </c>
      <c r="S815" s="22">
        <f>IF($D815="","",IF(AND(LEN($D815)=10,LEFT($D815,1)="0",ISNUMBER(--$D815)),"Có","Không"))</f>
        <v/>
      </c>
      <c r="T815" s="22">
        <f>IF($D815="","",IF(AND($C815&lt;&gt;"",$Q815="Có",$R815="",$S815="Có",AND($L815&lt;&gt;"",OR($L815&lt;&gt;"Chưa xác định",DANH_MUC!$L$9="Có"))),"Có","Không"))</f>
        <v/>
      </c>
      <c r="U815" s="22">
        <f>IF(OR($D815="",$T815="Có"),"",IF($C815="","Thiếu họ tên; ","")&amp;IF($S815&lt;&gt;"Có","SĐT sai định dạng; ","")&amp;IF($R815="Trùng","Trùng SĐT; ","")&amp;IF($Q815&lt;&gt;"Có","Thiếu đồng ý bắt buộc; ","")&amp;IF($L815="","Thiếu/sai Mã REF; ",IF(AND($L815="Chưa xác định",DANH_MUC!$L$9&lt;&gt;"Có"),"Nguồn chưa xác định; ","")))</f>
        <v/>
      </c>
      <c r="V815" s="22">
        <f>IF(OR($D815="",$R815="Trùng"),"",IF(COUNTIF(ORDERS!$C$2:$C$4995,$D815)&gt;0,"Có","Không"))</f>
        <v/>
      </c>
      <c r="W815" s="22">
        <f>IF(OR($D815="",$R815="Trùng"),"",COUNTIFS(ORDERS!$C$2:$C$4995,$D815,ORDERS!$L$2:$L$4995,"Đã chuyển khoản"))</f>
        <v/>
      </c>
      <c r="X815" s="23">
        <f>IF(OR($D815="",$R815="Trùng"),"",SUMIFS(ORDERS!$J$2:$J$4995,ORDERS!$C$2:$C$4995,$D815,ORDERS!$L$2:$L$4995,"Đã chuyển khoản"))</f>
        <v/>
      </c>
      <c r="Y815" s="24" t="n"/>
    </row>
    <row r="816" ht="14.25" customHeight="1" s="40">
      <c r="A816" s="24" t="n"/>
      <c r="B816" s="27" t="n"/>
      <c r="C816" s="24" t="n"/>
      <c r="D816" s="28" t="n"/>
      <c r="E816" s="29" t="n"/>
      <c r="F816" s="24" t="n"/>
      <c r="G816" s="24" t="n"/>
      <c r="H816" s="21">
        <f>IF(ISNUMBER($B816),INT($B816)-WEEKDAY($B816,2)+1,"")</f>
        <v/>
      </c>
      <c r="I816" s="24" t="n"/>
      <c r="J816" s="22">
        <f t="array" ref="J816">IF($D816="","",IF($I816="","(trống REF)",IFERROR(INDEX(MASTER_SOURCE!$B$2:$B$495,MATCH($I816,MASTER_SOURCE!$A$2:$A$495,0)),"(REF không có trong MASTER_SOURCE)")))</f>
        <v/>
      </c>
      <c r="K816" s="22">
        <f t="array" ref="K816">IF($D816="","",IFERROR(INDEX(MASTER_SOURCE!$C$2:$C$495,MATCH($I816,MASTER_SOURCE!$A$2:$A$495,0)),""))</f>
        <v/>
      </c>
      <c r="L816" s="22">
        <f t="array" ref="L816">IF($D816="","",IFERROR(INDEX(MASTER_SOURCE!$D$2:$D$495,MATCH($I816,MASTER_SOURCE!$A$2:$A$495,0)),""))</f>
        <v/>
      </c>
      <c r="M816" s="24" t="n"/>
      <c r="N816" s="24" t="n"/>
      <c r="O816" s="24" t="n"/>
      <c r="P816" s="24" t="n"/>
      <c r="Q816" s="22">
        <f>IF($D816="","",IF(AND(OR(DANH_MUC!$L$5&lt;&gt;"Có",M816="Có"),OR(DANH_MUC!$L$6&lt;&gt;"Có",N816="Có"),OR(DANH_MUC!$L$7&lt;&gt;"Có",O816="Có"),OR(DANH_MUC!$L$8&lt;&gt;"Có",P816="Có")),"Có","Không"))</f>
        <v/>
      </c>
      <c r="R816" s="22">
        <f>IF($D816="","",IF(COUNTIF($D$2:$D816,$D816)&gt;1,"Trùng",""))</f>
        <v/>
      </c>
      <c r="S816" s="22">
        <f>IF($D816="","",IF(AND(LEN($D816)=10,LEFT($D816,1)="0",ISNUMBER(--$D816)),"Có","Không"))</f>
        <v/>
      </c>
      <c r="T816" s="22">
        <f>IF($D816="","",IF(AND($C816&lt;&gt;"",$Q816="Có",$R816="",$S816="Có",AND($L816&lt;&gt;"",OR($L816&lt;&gt;"Chưa xác định",DANH_MUC!$L$9="Có"))),"Có","Không"))</f>
        <v/>
      </c>
      <c r="U816" s="22">
        <f>IF(OR($D816="",$T816="Có"),"",IF($C816="","Thiếu họ tên; ","")&amp;IF($S816&lt;&gt;"Có","SĐT sai định dạng; ","")&amp;IF($R816="Trùng","Trùng SĐT; ","")&amp;IF($Q816&lt;&gt;"Có","Thiếu đồng ý bắt buộc; ","")&amp;IF($L816="","Thiếu/sai Mã REF; ",IF(AND($L816="Chưa xác định",DANH_MUC!$L$9&lt;&gt;"Có"),"Nguồn chưa xác định; ","")))</f>
        <v/>
      </c>
      <c r="V816" s="22">
        <f>IF(OR($D816="",$R816="Trùng"),"",IF(COUNTIF(ORDERS!$C$2:$C$4995,$D816)&gt;0,"Có","Không"))</f>
        <v/>
      </c>
      <c r="W816" s="22">
        <f>IF(OR($D816="",$R816="Trùng"),"",COUNTIFS(ORDERS!$C$2:$C$4995,$D816,ORDERS!$L$2:$L$4995,"Đã chuyển khoản"))</f>
        <v/>
      </c>
      <c r="X816" s="23">
        <f>IF(OR($D816="",$R816="Trùng"),"",SUMIFS(ORDERS!$J$2:$J$4995,ORDERS!$C$2:$C$4995,$D816,ORDERS!$L$2:$L$4995,"Đã chuyển khoản"))</f>
        <v/>
      </c>
      <c r="Y816" s="24" t="n"/>
    </row>
    <row r="817" ht="14.25" customHeight="1" s="40">
      <c r="A817" s="24" t="n"/>
      <c r="B817" s="27" t="n"/>
      <c r="C817" s="24" t="n"/>
      <c r="D817" s="28" t="n"/>
      <c r="E817" s="29" t="n"/>
      <c r="F817" s="24" t="n"/>
      <c r="G817" s="24" t="n"/>
      <c r="H817" s="21">
        <f>IF(ISNUMBER($B817),INT($B817)-WEEKDAY($B817,2)+1,"")</f>
        <v/>
      </c>
      <c r="I817" s="24" t="n"/>
      <c r="J817" s="22">
        <f t="array" ref="J817">IF($D817="","",IF($I817="","(trống REF)",IFERROR(INDEX(MASTER_SOURCE!$B$2:$B$495,MATCH($I817,MASTER_SOURCE!$A$2:$A$495,0)),"(REF không có trong MASTER_SOURCE)")))</f>
        <v/>
      </c>
      <c r="K817" s="22">
        <f t="array" ref="K817">IF($D817="","",IFERROR(INDEX(MASTER_SOURCE!$C$2:$C$495,MATCH($I817,MASTER_SOURCE!$A$2:$A$495,0)),""))</f>
        <v/>
      </c>
      <c r="L817" s="22">
        <f t="array" ref="L817">IF($D817="","",IFERROR(INDEX(MASTER_SOURCE!$D$2:$D$495,MATCH($I817,MASTER_SOURCE!$A$2:$A$495,0)),""))</f>
        <v/>
      </c>
      <c r="M817" s="24" t="n"/>
      <c r="N817" s="24" t="n"/>
      <c r="O817" s="24" t="n"/>
      <c r="P817" s="24" t="n"/>
      <c r="Q817" s="22">
        <f>IF($D817="","",IF(AND(OR(DANH_MUC!$L$5&lt;&gt;"Có",M817="Có"),OR(DANH_MUC!$L$6&lt;&gt;"Có",N817="Có"),OR(DANH_MUC!$L$7&lt;&gt;"Có",O817="Có"),OR(DANH_MUC!$L$8&lt;&gt;"Có",P817="Có")),"Có","Không"))</f>
        <v/>
      </c>
      <c r="R817" s="22">
        <f>IF($D817="","",IF(COUNTIF($D$2:$D817,$D817)&gt;1,"Trùng",""))</f>
        <v/>
      </c>
      <c r="S817" s="22">
        <f>IF($D817="","",IF(AND(LEN($D817)=10,LEFT($D817,1)="0",ISNUMBER(--$D817)),"Có","Không"))</f>
        <v/>
      </c>
      <c r="T817" s="22">
        <f>IF($D817="","",IF(AND($C817&lt;&gt;"",$Q817="Có",$R817="",$S817="Có",AND($L817&lt;&gt;"",OR($L817&lt;&gt;"Chưa xác định",DANH_MUC!$L$9="Có"))),"Có","Không"))</f>
        <v/>
      </c>
      <c r="U817" s="22">
        <f>IF(OR($D817="",$T817="Có"),"",IF($C817="","Thiếu họ tên; ","")&amp;IF($S817&lt;&gt;"Có","SĐT sai định dạng; ","")&amp;IF($R817="Trùng","Trùng SĐT; ","")&amp;IF($Q817&lt;&gt;"Có","Thiếu đồng ý bắt buộc; ","")&amp;IF($L817="","Thiếu/sai Mã REF; ",IF(AND($L817="Chưa xác định",DANH_MUC!$L$9&lt;&gt;"Có"),"Nguồn chưa xác định; ","")))</f>
        <v/>
      </c>
      <c r="V817" s="22">
        <f>IF(OR($D817="",$R817="Trùng"),"",IF(COUNTIF(ORDERS!$C$2:$C$4995,$D817)&gt;0,"Có","Không"))</f>
        <v/>
      </c>
      <c r="W817" s="22">
        <f>IF(OR($D817="",$R817="Trùng"),"",COUNTIFS(ORDERS!$C$2:$C$4995,$D817,ORDERS!$L$2:$L$4995,"Đã chuyển khoản"))</f>
        <v/>
      </c>
      <c r="X817" s="23">
        <f>IF(OR($D817="",$R817="Trùng"),"",SUMIFS(ORDERS!$J$2:$J$4995,ORDERS!$C$2:$C$4995,$D817,ORDERS!$L$2:$L$4995,"Đã chuyển khoản"))</f>
        <v/>
      </c>
      <c r="Y817" s="24" t="n"/>
    </row>
    <row r="818" ht="14.25" customHeight="1" s="40">
      <c r="A818" s="24" t="n"/>
      <c r="B818" s="27" t="n"/>
      <c r="C818" s="24" t="n"/>
      <c r="D818" s="28" t="n"/>
      <c r="E818" s="29" t="n"/>
      <c r="F818" s="24" t="n"/>
      <c r="G818" s="24" t="n"/>
      <c r="H818" s="21">
        <f>IF(ISNUMBER($B818),INT($B818)-WEEKDAY($B818,2)+1,"")</f>
        <v/>
      </c>
      <c r="I818" s="24" t="n"/>
      <c r="J818" s="22">
        <f t="array" ref="J818">IF($D818="","",IF($I818="","(trống REF)",IFERROR(INDEX(MASTER_SOURCE!$B$2:$B$495,MATCH($I818,MASTER_SOURCE!$A$2:$A$495,0)),"(REF không có trong MASTER_SOURCE)")))</f>
        <v/>
      </c>
      <c r="K818" s="22">
        <f t="array" ref="K818">IF($D818="","",IFERROR(INDEX(MASTER_SOURCE!$C$2:$C$495,MATCH($I818,MASTER_SOURCE!$A$2:$A$495,0)),""))</f>
        <v/>
      </c>
      <c r="L818" s="22">
        <f t="array" ref="L818">IF($D818="","",IFERROR(INDEX(MASTER_SOURCE!$D$2:$D$495,MATCH($I818,MASTER_SOURCE!$A$2:$A$495,0)),""))</f>
        <v/>
      </c>
      <c r="M818" s="24" t="n"/>
      <c r="N818" s="24" t="n"/>
      <c r="O818" s="24" t="n"/>
      <c r="P818" s="24" t="n"/>
      <c r="Q818" s="22">
        <f>IF($D818="","",IF(AND(OR(DANH_MUC!$L$5&lt;&gt;"Có",M818="Có"),OR(DANH_MUC!$L$6&lt;&gt;"Có",N818="Có"),OR(DANH_MUC!$L$7&lt;&gt;"Có",O818="Có"),OR(DANH_MUC!$L$8&lt;&gt;"Có",P818="Có")),"Có","Không"))</f>
        <v/>
      </c>
      <c r="R818" s="22">
        <f>IF($D818="","",IF(COUNTIF($D$2:$D818,$D818)&gt;1,"Trùng",""))</f>
        <v/>
      </c>
      <c r="S818" s="22">
        <f>IF($D818="","",IF(AND(LEN($D818)=10,LEFT($D818,1)="0",ISNUMBER(--$D818)),"Có","Không"))</f>
        <v/>
      </c>
      <c r="T818" s="22">
        <f>IF($D818="","",IF(AND($C818&lt;&gt;"",$Q818="Có",$R818="",$S818="Có",AND($L818&lt;&gt;"",OR($L818&lt;&gt;"Chưa xác định",DANH_MUC!$L$9="Có"))),"Có","Không"))</f>
        <v/>
      </c>
      <c r="U818" s="22">
        <f>IF(OR($D818="",$T818="Có"),"",IF($C818="","Thiếu họ tên; ","")&amp;IF($S818&lt;&gt;"Có","SĐT sai định dạng; ","")&amp;IF($R818="Trùng","Trùng SĐT; ","")&amp;IF($Q818&lt;&gt;"Có","Thiếu đồng ý bắt buộc; ","")&amp;IF($L818="","Thiếu/sai Mã REF; ",IF(AND($L818="Chưa xác định",DANH_MUC!$L$9&lt;&gt;"Có"),"Nguồn chưa xác định; ","")))</f>
        <v/>
      </c>
      <c r="V818" s="22">
        <f>IF(OR($D818="",$R818="Trùng"),"",IF(COUNTIF(ORDERS!$C$2:$C$4995,$D818)&gt;0,"Có","Không"))</f>
        <v/>
      </c>
      <c r="W818" s="22">
        <f>IF(OR($D818="",$R818="Trùng"),"",COUNTIFS(ORDERS!$C$2:$C$4995,$D818,ORDERS!$L$2:$L$4995,"Đã chuyển khoản"))</f>
        <v/>
      </c>
      <c r="X818" s="23">
        <f>IF(OR($D818="",$R818="Trùng"),"",SUMIFS(ORDERS!$J$2:$J$4995,ORDERS!$C$2:$C$4995,$D818,ORDERS!$L$2:$L$4995,"Đã chuyển khoản"))</f>
        <v/>
      </c>
      <c r="Y818" s="24" t="n"/>
    </row>
    <row r="819" ht="14.25" customHeight="1" s="40">
      <c r="A819" s="24" t="n"/>
      <c r="B819" s="27" t="n"/>
      <c r="C819" s="24" t="n"/>
      <c r="D819" s="28" t="n"/>
      <c r="E819" s="29" t="n"/>
      <c r="F819" s="24" t="n"/>
      <c r="G819" s="24" t="n"/>
      <c r="H819" s="21">
        <f>IF(ISNUMBER($B819),INT($B819)-WEEKDAY($B819,2)+1,"")</f>
        <v/>
      </c>
      <c r="I819" s="24" t="n"/>
      <c r="J819" s="22">
        <f t="array" ref="J819">IF($D819="","",IF($I819="","(trống REF)",IFERROR(INDEX(MASTER_SOURCE!$B$2:$B$495,MATCH($I819,MASTER_SOURCE!$A$2:$A$495,0)),"(REF không có trong MASTER_SOURCE)")))</f>
        <v/>
      </c>
      <c r="K819" s="22">
        <f t="array" ref="K819">IF($D819="","",IFERROR(INDEX(MASTER_SOURCE!$C$2:$C$495,MATCH($I819,MASTER_SOURCE!$A$2:$A$495,0)),""))</f>
        <v/>
      </c>
      <c r="L819" s="22">
        <f t="array" ref="L819">IF($D819="","",IFERROR(INDEX(MASTER_SOURCE!$D$2:$D$495,MATCH($I819,MASTER_SOURCE!$A$2:$A$495,0)),""))</f>
        <v/>
      </c>
      <c r="M819" s="24" t="n"/>
      <c r="N819" s="24" t="n"/>
      <c r="O819" s="24" t="n"/>
      <c r="P819" s="24" t="n"/>
      <c r="Q819" s="22">
        <f>IF($D819="","",IF(AND(OR(DANH_MUC!$L$5&lt;&gt;"Có",M819="Có"),OR(DANH_MUC!$L$6&lt;&gt;"Có",N819="Có"),OR(DANH_MUC!$L$7&lt;&gt;"Có",O819="Có"),OR(DANH_MUC!$L$8&lt;&gt;"Có",P819="Có")),"Có","Không"))</f>
        <v/>
      </c>
      <c r="R819" s="22">
        <f>IF($D819="","",IF(COUNTIF($D$2:$D819,$D819)&gt;1,"Trùng",""))</f>
        <v/>
      </c>
      <c r="S819" s="22">
        <f>IF($D819="","",IF(AND(LEN($D819)=10,LEFT($D819,1)="0",ISNUMBER(--$D819)),"Có","Không"))</f>
        <v/>
      </c>
      <c r="T819" s="22">
        <f>IF($D819="","",IF(AND($C819&lt;&gt;"",$Q819="Có",$R819="",$S819="Có",AND($L819&lt;&gt;"",OR($L819&lt;&gt;"Chưa xác định",DANH_MUC!$L$9="Có"))),"Có","Không"))</f>
        <v/>
      </c>
      <c r="U819" s="22">
        <f>IF(OR($D819="",$T819="Có"),"",IF($C819="","Thiếu họ tên; ","")&amp;IF($S819&lt;&gt;"Có","SĐT sai định dạng; ","")&amp;IF($R819="Trùng","Trùng SĐT; ","")&amp;IF($Q819&lt;&gt;"Có","Thiếu đồng ý bắt buộc; ","")&amp;IF($L819="","Thiếu/sai Mã REF; ",IF(AND($L819="Chưa xác định",DANH_MUC!$L$9&lt;&gt;"Có"),"Nguồn chưa xác định; ","")))</f>
        <v/>
      </c>
      <c r="V819" s="22">
        <f>IF(OR($D819="",$R819="Trùng"),"",IF(COUNTIF(ORDERS!$C$2:$C$4995,$D819)&gt;0,"Có","Không"))</f>
        <v/>
      </c>
      <c r="W819" s="22">
        <f>IF(OR($D819="",$R819="Trùng"),"",COUNTIFS(ORDERS!$C$2:$C$4995,$D819,ORDERS!$L$2:$L$4995,"Đã chuyển khoản"))</f>
        <v/>
      </c>
      <c r="X819" s="23">
        <f>IF(OR($D819="",$R819="Trùng"),"",SUMIFS(ORDERS!$J$2:$J$4995,ORDERS!$C$2:$C$4995,$D819,ORDERS!$L$2:$L$4995,"Đã chuyển khoản"))</f>
        <v/>
      </c>
      <c r="Y819" s="24" t="n"/>
    </row>
    <row r="820" ht="14.25" customHeight="1" s="40">
      <c r="A820" s="24" t="n"/>
      <c r="B820" s="27" t="n"/>
      <c r="C820" s="24" t="n"/>
      <c r="D820" s="28" t="n"/>
      <c r="E820" s="29" t="n"/>
      <c r="F820" s="24" t="n"/>
      <c r="G820" s="24" t="n"/>
      <c r="H820" s="21">
        <f>IF(ISNUMBER($B820),INT($B820)-WEEKDAY($B820,2)+1,"")</f>
        <v/>
      </c>
      <c r="I820" s="24" t="n"/>
      <c r="J820" s="22">
        <f t="array" ref="J820">IF($D820="","",IF($I820="","(trống REF)",IFERROR(INDEX(MASTER_SOURCE!$B$2:$B$495,MATCH($I820,MASTER_SOURCE!$A$2:$A$495,0)),"(REF không có trong MASTER_SOURCE)")))</f>
        <v/>
      </c>
      <c r="K820" s="22">
        <f t="array" ref="K820">IF($D820="","",IFERROR(INDEX(MASTER_SOURCE!$C$2:$C$495,MATCH($I820,MASTER_SOURCE!$A$2:$A$495,0)),""))</f>
        <v/>
      </c>
      <c r="L820" s="22">
        <f t="array" ref="L820">IF($D820="","",IFERROR(INDEX(MASTER_SOURCE!$D$2:$D$495,MATCH($I820,MASTER_SOURCE!$A$2:$A$495,0)),""))</f>
        <v/>
      </c>
      <c r="M820" s="24" t="n"/>
      <c r="N820" s="24" t="n"/>
      <c r="O820" s="24" t="n"/>
      <c r="P820" s="24" t="n"/>
      <c r="Q820" s="22">
        <f>IF($D820="","",IF(AND(OR(DANH_MUC!$L$5&lt;&gt;"Có",M820="Có"),OR(DANH_MUC!$L$6&lt;&gt;"Có",N820="Có"),OR(DANH_MUC!$L$7&lt;&gt;"Có",O820="Có"),OR(DANH_MUC!$L$8&lt;&gt;"Có",P820="Có")),"Có","Không"))</f>
        <v/>
      </c>
      <c r="R820" s="22">
        <f>IF($D820="","",IF(COUNTIF($D$2:$D820,$D820)&gt;1,"Trùng",""))</f>
        <v/>
      </c>
      <c r="S820" s="22">
        <f>IF($D820="","",IF(AND(LEN($D820)=10,LEFT($D820,1)="0",ISNUMBER(--$D820)),"Có","Không"))</f>
        <v/>
      </c>
      <c r="T820" s="22">
        <f>IF($D820="","",IF(AND($C820&lt;&gt;"",$Q820="Có",$R820="",$S820="Có",AND($L820&lt;&gt;"",OR($L820&lt;&gt;"Chưa xác định",DANH_MUC!$L$9="Có"))),"Có","Không"))</f>
        <v/>
      </c>
      <c r="U820" s="22">
        <f>IF(OR($D820="",$T820="Có"),"",IF($C820="","Thiếu họ tên; ","")&amp;IF($S820&lt;&gt;"Có","SĐT sai định dạng; ","")&amp;IF($R820="Trùng","Trùng SĐT; ","")&amp;IF($Q820&lt;&gt;"Có","Thiếu đồng ý bắt buộc; ","")&amp;IF($L820="","Thiếu/sai Mã REF; ",IF(AND($L820="Chưa xác định",DANH_MUC!$L$9&lt;&gt;"Có"),"Nguồn chưa xác định; ","")))</f>
        <v/>
      </c>
      <c r="V820" s="22">
        <f>IF(OR($D820="",$R820="Trùng"),"",IF(COUNTIF(ORDERS!$C$2:$C$4995,$D820)&gt;0,"Có","Không"))</f>
        <v/>
      </c>
      <c r="W820" s="22">
        <f>IF(OR($D820="",$R820="Trùng"),"",COUNTIFS(ORDERS!$C$2:$C$4995,$D820,ORDERS!$L$2:$L$4995,"Đã chuyển khoản"))</f>
        <v/>
      </c>
      <c r="X820" s="23">
        <f>IF(OR($D820="",$R820="Trùng"),"",SUMIFS(ORDERS!$J$2:$J$4995,ORDERS!$C$2:$C$4995,$D820,ORDERS!$L$2:$L$4995,"Đã chuyển khoản"))</f>
        <v/>
      </c>
      <c r="Y820" s="24" t="n"/>
    </row>
    <row r="821" ht="14.25" customHeight="1" s="40">
      <c r="A821" s="24" t="n"/>
      <c r="B821" s="27" t="n"/>
      <c r="C821" s="24" t="n"/>
      <c r="D821" s="28" t="n"/>
      <c r="E821" s="29" t="n"/>
      <c r="F821" s="24" t="n"/>
      <c r="G821" s="24" t="n"/>
      <c r="H821" s="21">
        <f>IF(ISNUMBER($B821),INT($B821)-WEEKDAY($B821,2)+1,"")</f>
        <v/>
      </c>
      <c r="I821" s="24" t="n"/>
      <c r="J821" s="22">
        <f t="array" ref="J821">IF($D821="","",IF($I821="","(trống REF)",IFERROR(INDEX(MASTER_SOURCE!$B$2:$B$495,MATCH($I821,MASTER_SOURCE!$A$2:$A$495,0)),"(REF không có trong MASTER_SOURCE)")))</f>
        <v/>
      </c>
      <c r="K821" s="22">
        <f t="array" ref="K821">IF($D821="","",IFERROR(INDEX(MASTER_SOURCE!$C$2:$C$495,MATCH($I821,MASTER_SOURCE!$A$2:$A$495,0)),""))</f>
        <v/>
      </c>
      <c r="L821" s="22">
        <f t="array" ref="L821">IF($D821="","",IFERROR(INDEX(MASTER_SOURCE!$D$2:$D$495,MATCH($I821,MASTER_SOURCE!$A$2:$A$495,0)),""))</f>
        <v/>
      </c>
      <c r="M821" s="24" t="n"/>
      <c r="N821" s="24" t="n"/>
      <c r="O821" s="24" t="n"/>
      <c r="P821" s="24" t="n"/>
      <c r="Q821" s="22">
        <f>IF($D821="","",IF(AND(OR(DANH_MUC!$L$5&lt;&gt;"Có",M821="Có"),OR(DANH_MUC!$L$6&lt;&gt;"Có",N821="Có"),OR(DANH_MUC!$L$7&lt;&gt;"Có",O821="Có"),OR(DANH_MUC!$L$8&lt;&gt;"Có",P821="Có")),"Có","Không"))</f>
        <v/>
      </c>
      <c r="R821" s="22">
        <f>IF($D821="","",IF(COUNTIF($D$2:$D821,$D821)&gt;1,"Trùng",""))</f>
        <v/>
      </c>
      <c r="S821" s="22">
        <f>IF($D821="","",IF(AND(LEN($D821)=10,LEFT($D821,1)="0",ISNUMBER(--$D821)),"Có","Không"))</f>
        <v/>
      </c>
      <c r="T821" s="22">
        <f>IF($D821="","",IF(AND($C821&lt;&gt;"",$Q821="Có",$R821="",$S821="Có",AND($L821&lt;&gt;"",OR($L821&lt;&gt;"Chưa xác định",DANH_MUC!$L$9="Có"))),"Có","Không"))</f>
        <v/>
      </c>
      <c r="U821" s="22">
        <f>IF(OR($D821="",$T821="Có"),"",IF($C821="","Thiếu họ tên; ","")&amp;IF($S821&lt;&gt;"Có","SĐT sai định dạng; ","")&amp;IF($R821="Trùng","Trùng SĐT; ","")&amp;IF($Q821&lt;&gt;"Có","Thiếu đồng ý bắt buộc; ","")&amp;IF($L821="","Thiếu/sai Mã REF; ",IF(AND($L821="Chưa xác định",DANH_MUC!$L$9&lt;&gt;"Có"),"Nguồn chưa xác định; ","")))</f>
        <v/>
      </c>
      <c r="V821" s="22">
        <f>IF(OR($D821="",$R821="Trùng"),"",IF(COUNTIF(ORDERS!$C$2:$C$4995,$D821)&gt;0,"Có","Không"))</f>
        <v/>
      </c>
      <c r="W821" s="22">
        <f>IF(OR($D821="",$R821="Trùng"),"",COUNTIFS(ORDERS!$C$2:$C$4995,$D821,ORDERS!$L$2:$L$4995,"Đã chuyển khoản"))</f>
        <v/>
      </c>
      <c r="X821" s="23">
        <f>IF(OR($D821="",$R821="Trùng"),"",SUMIFS(ORDERS!$J$2:$J$4995,ORDERS!$C$2:$C$4995,$D821,ORDERS!$L$2:$L$4995,"Đã chuyển khoản"))</f>
        <v/>
      </c>
      <c r="Y821" s="24" t="n"/>
    </row>
    <row r="822" ht="14.25" customHeight="1" s="40">
      <c r="A822" s="24" t="n"/>
      <c r="B822" s="27" t="n"/>
      <c r="C822" s="24" t="n"/>
      <c r="D822" s="28" t="n"/>
      <c r="E822" s="29" t="n"/>
      <c r="F822" s="24" t="n"/>
      <c r="G822" s="24" t="n"/>
      <c r="H822" s="21">
        <f>IF(ISNUMBER($B822),INT($B822)-WEEKDAY($B822,2)+1,"")</f>
        <v/>
      </c>
      <c r="I822" s="24" t="n"/>
      <c r="J822" s="22">
        <f t="array" ref="J822">IF($D822="","",IF($I822="","(trống REF)",IFERROR(INDEX(MASTER_SOURCE!$B$2:$B$495,MATCH($I822,MASTER_SOURCE!$A$2:$A$495,0)),"(REF không có trong MASTER_SOURCE)")))</f>
        <v/>
      </c>
      <c r="K822" s="22">
        <f t="array" ref="K822">IF($D822="","",IFERROR(INDEX(MASTER_SOURCE!$C$2:$C$495,MATCH($I822,MASTER_SOURCE!$A$2:$A$495,0)),""))</f>
        <v/>
      </c>
      <c r="L822" s="22">
        <f t="array" ref="L822">IF($D822="","",IFERROR(INDEX(MASTER_SOURCE!$D$2:$D$495,MATCH($I822,MASTER_SOURCE!$A$2:$A$495,0)),""))</f>
        <v/>
      </c>
      <c r="M822" s="24" t="n"/>
      <c r="N822" s="24" t="n"/>
      <c r="O822" s="24" t="n"/>
      <c r="P822" s="24" t="n"/>
      <c r="Q822" s="22">
        <f>IF($D822="","",IF(AND(OR(DANH_MUC!$L$5&lt;&gt;"Có",M822="Có"),OR(DANH_MUC!$L$6&lt;&gt;"Có",N822="Có"),OR(DANH_MUC!$L$7&lt;&gt;"Có",O822="Có"),OR(DANH_MUC!$L$8&lt;&gt;"Có",P822="Có")),"Có","Không"))</f>
        <v/>
      </c>
      <c r="R822" s="22">
        <f>IF($D822="","",IF(COUNTIF($D$2:$D822,$D822)&gt;1,"Trùng",""))</f>
        <v/>
      </c>
      <c r="S822" s="22">
        <f>IF($D822="","",IF(AND(LEN($D822)=10,LEFT($D822,1)="0",ISNUMBER(--$D822)),"Có","Không"))</f>
        <v/>
      </c>
      <c r="T822" s="22">
        <f>IF($D822="","",IF(AND($C822&lt;&gt;"",$Q822="Có",$R822="",$S822="Có",AND($L822&lt;&gt;"",OR($L822&lt;&gt;"Chưa xác định",DANH_MUC!$L$9="Có"))),"Có","Không"))</f>
        <v/>
      </c>
      <c r="U822" s="22">
        <f>IF(OR($D822="",$T822="Có"),"",IF($C822="","Thiếu họ tên; ","")&amp;IF($S822&lt;&gt;"Có","SĐT sai định dạng; ","")&amp;IF($R822="Trùng","Trùng SĐT; ","")&amp;IF($Q822&lt;&gt;"Có","Thiếu đồng ý bắt buộc; ","")&amp;IF($L822="","Thiếu/sai Mã REF; ",IF(AND($L822="Chưa xác định",DANH_MUC!$L$9&lt;&gt;"Có"),"Nguồn chưa xác định; ","")))</f>
        <v/>
      </c>
      <c r="V822" s="22">
        <f>IF(OR($D822="",$R822="Trùng"),"",IF(COUNTIF(ORDERS!$C$2:$C$4995,$D822)&gt;0,"Có","Không"))</f>
        <v/>
      </c>
      <c r="W822" s="22">
        <f>IF(OR($D822="",$R822="Trùng"),"",COUNTIFS(ORDERS!$C$2:$C$4995,$D822,ORDERS!$L$2:$L$4995,"Đã chuyển khoản"))</f>
        <v/>
      </c>
      <c r="X822" s="23">
        <f>IF(OR($D822="",$R822="Trùng"),"",SUMIFS(ORDERS!$J$2:$J$4995,ORDERS!$C$2:$C$4995,$D822,ORDERS!$L$2:$L$4995,"Đã chuyển khoản"))</f>
        <v/>
      </c>
      <c r="Y822" s="24" t="n"/>
    </row>
    <row r="823" ht="14.25" customHeight="1" s="40">
      <c r="A823" s="24" t="n"/>
      <c r="B823" s="27" t="n"/>
      <c r="C823" s="24" t="n"/>
      <c r="D823" s="28" t="n"/>
      <c r="E823" s="29" t="n"/>
      <c r="F823" s="24" t="n"/>
      <c r="G823" s="24" t="n"/>
      <c r="H823" s="21">
        <f>IF(ISNUMBER($B823),INT($B823)-WEEKDAY($B823,2)+1,"")</f>
        <v/>
      </c>
      <c r="I823" s="24" t="n"/>
      <c r="J823" s="22">
        <f t="array" ref="J823">IF($D823="","",IF($I823="","(trống REF)",IFERROR(INDEX(MASTER_SOURCE!$B$2:$B$495,MATCH($I823,MASTER_SOURCE!$A$2:$A$495,0)),"(REF không có trong MASTER_SOURCE)")))</f>
        <v/>
      </c>
      <c r="K823" s="22">
        <f t="array" ref="K823">IF($D823="","",IFERROR(INDEX(MASTER_SOURCE!$C$2:$C$495,MATCH($I823,MASTER_SOURCE!$A$2:$A$495,0)),""))</f>
        <v/>
      </c>
      <c r="L823" s="22">
        <f t="array" ref="L823">IF($D823="","",IFERROR(INDEX(MASTER_SOURCE!$D$2:$D$495,MATCH($I823,MASTER_SOURCE!$A$2:$A$495,0)),""))</f>
        <v/>
      </c>
      <c r="M823" s="24" t="n"/>
      <c r="N823" s="24" t="n"/>
      <c r="O823" s="24" t="n"/>
      <c r="P823" s="24" t="n"/>
      <c r="Q823" s="22">
        <f>IF($D823="","",IF(AND(OR(DANH_MUC!$L$5&lt;&gt;"Có",M823="Có"),OR(DANH_MUC!$L$6&lt;&gt;"Có",N823="Có"),OR(DANH_MUC!$L$7&lt;&gt;"Có",O823="Có"),OR(DANH_MUC!$L$8&lt;&gt;"Có",P823="Có")),"Có","Không"))</f>
        <v/>
      </c>
      <c r="R823" s="22">
        <f>IF($D823="","",IF(COUNTIF($D$2:$D823,$D823)&gt;1,"Trùng",""))</f>
        <v/>
      </c>
      <c r="S823" s="22">
        <f>IF($D823="","",IF(AND(LEN($D823)=10,LEFT($D823,1)="0",ISNUMBER(--$D823)),"Có","Không"))</f>
        <v/>
      </c>
      <c r="T823" s="22">
        <f>IF($D823="","",IF(AND($C823&lt;&gt;"",$Q823="Có",$R823="",$S823="Có",AND($L823&lt;&gt;"",OR($L823&lt;&gt;"Chưa xác định",DANH_MUC!$L$9="Có"))),"Có","Không"))</f>
        <v/>
      </c>
      <c r="U823" s="22">
        <f>IF(OR($D823="",$T823="Có"),"",IF($C823="","Thiếu họ tên; ","")&amp;IF($S823&lt;&gt;"Có","SĐT sai định dạng; ","")&amp;IF($R823="Trùng","Trùng SĐT; ","")&amp;IF($Q823&lt;&gt;"Có","Thiếu đồng ý bắt buộc; ","")&amp;IF($L823="","Thiếu/sai Mã REF; ",IF(AND($L823="Chưa xác định",DANH_MUC!$L$9&lt;&gt;"Có"),"Nguồn chưa xác định; ","")))</f>
        <v/>
      </c>
      <c r="V823" s="22">
        <f>IF(OR($D823="",$R823="Trùng"),"",IF(COUNTIF(ORDERS!$C$2:$C$4995,$D823)&gt;0,"Có","Không"))</f>
        <v/>
      </c>
      <c r="W823" s="22">
        <f>IF(OR($D823="",$R823="Trùng"),"",COUNTIFS(ORDERS!$C$2:$C$4995,$D823,ORDERS!$L$2:$L$4995,"Đã chuyển khoản"))</f>
        <v/>
      </c>
      <c r="X823" s="23">
        <f>IF(OR($D823="",$R823="Trùng"),"",SUMIFS(ORDERS!$J$2:$J$4995,ORDERS!$C$2:$C$4995,$D823,ORDERS!$L$2:$L$4995,"Đã chuyển khoản"))</f>
        <v/>
      </c>
      <c r="Y823" s="24" t="n"/>
    </row>
    <row r="824" ht="14.25" customHeight="1" s="40">
      <c r="A824" s="24" t="n"/>
      <c r="B824" s="27" t="n"/>
      <c r="C824" s="24" t="n"/>
      <c r="D824" s="28" t="n"/>
      <c r="E824" s="29" t="n"/>
      <c r="F824" s="24" t="n"/>
      <c r="G824" s="24" t="n"/>
      <c r="H824" s="21">
        <f>IF(ISNUMBER($B824),INT($B824)-WEEKDAY($B824,2)+1,"")</f>
        <v/>
      </c>
      <c r="I824" s="24" t="n"/>
      <c r="J824" s="22">
        <f t="array" ref="J824">IF($D824="","",IF($I824="","(trống REF)",IFERROR(INDEX(MASTER_SOURCE!$B$2:$B$495,MATCH($I824,MASTER_SOURCE!$A$2:$A$495,0)),"(REF không có trong MASTER_SOURCE)")))</f>
        <v/>
      </c>
      <c r="K824" s="22">
        <f t="array" ref="K824">IF($D824="","",IFERROR(INDEX(MASTER_SOURCE!$C$2:$C$495,MATCH($I824,MASTER_SOURCE!$A$2:$A$495,0)),""))</f>
        <v/>
      </c>
      <c r="L824" s="22">
        <f t="array" ref="L824">IF($D824="","",IFERROR(INDEX(MASTER_SOURCE!$D$2:$D$495,MATCH($I824,MASTER_SOURCE!$A$2:$A$495,0)),""))</f>
        <v/>
      </c>
      <c r="M824" s="24" t="n"/>
      <c r="N824" s="24" t="n"/>
      <c r="O824" s="24" t="n"/>
      <c r="P824" s="24" t="n"/>
      <c r="Q824" s="22">
        <f>IF($D824="","",IF(AND(OR(DANH_MUC!$L$5&lt;&gt;"Có",M824="Có"),OR(DANH_MUC!$L$6&lt;&gt;"Có",N824="Có"),OR(DANH_MUC!$L$7&lt;&gt;"Có",O824="Có"),OR(DANH_MUC!$L$8&lt;&gt;"Có",P824="Có")),"Có","Không"))</f>
        <v/>
      </c>
      <c r="R824" s="22">
        <f>IF($D824="","",IF(COUNTIF($D$2:$D824,$D824)&gt;1,"Trùng",""))</f>
        <v/>
      </c>
      <c r="S824" s="22">
        <f>IF($D824="","",IF(AND(LEN($D824)=10,LEFT($D824,1)="0",ISNUMBER(--$D824)),"Có","Không"))</f>
        <v/>
      </c>
      <c r="T824" s="22">
        <f>IF($D824="","",IF(AND($C824&lt;&gt;"",$Q824="Có",$R824="",$S824="Có",AND($L824&lt;&gt;"",OR($L824&lt;&gt;"Chưa xác định",DANH_MUC!$L$9="Có"))),"Có","Không"))</f>
        <v/>
      </c>
      <c r="U824" s="22">
        <f>IF(OR($D824="",$T824="Có"),"",IF($C824="","Thiếu họ tên; ","")&amp;IF($S824&lt;&gt;"Có","SĐT sai định dạng; ","")&amp;IF($R824="Trùng","Trùng SĐT; ","")&amp;IF($Q824&lt;&gt;"Có","Thiếu đồng ý bắt buộc; ","")&amp;IF($L824="","Thiếu/sai Mã REF; ",IF(AND($L824="Chưa xác định",DANH_MUC!$L$9&lt;&gt;"Có"),"Nguồn chưa xác định; ","")))</f>
        <v/>
      </c>
      <c r="V824" s="22">
        <f>IF(OR($D824="",$R824="Trùng"),"",IF(COUNTIF(ORDERS!$C$2:$C$4995,$D824)&gt;0,"Có","Không"))</f>
        <v/>
      </c>
      <c r="W824" s="22">
        <f>IF(OR($D824="",$R824="Trùng"),"",COUNTIFS(ORDERS!$C$2:$C$4995,$D824,ORDERS!$L$2:$L$4995,"Đã chuyển khoản"))</f>
        <v/>
      </c>
      <c r="X824" s="23">
        <f>IF(OR($D824="",$R824="Trùng"),"",SUMIFS(ORDERS!$J$2:$J$4995,ORDERS!$C$2:$C$4995,$D824,ORDERS!$L$2:$L$4995,"Đã chuyển khoản"))</f>
        <v/>
      </c>
      <c r="Y824" s="24" t="n"/>
    </row>
    <row r="825" ht="14.25" customHeight="1" s="40">
      <c r="A825" s="24" t="n"/>
      <c r="B825" s="27" t="n"/>
      <c r="C825" s="24" t="n"/>
      <c r="D825" s="28" t="n"/>
      <c r="E825" s="29" t="n"/>
      <c r="F825" s="24" t="n"/>
      <c r="G825" s="24" t="n"/>
      <c r="H825" s="21">
        <f>IF(ISNUMBER($B825),INT($B825)-WEEKDAY($B825,2)+1,"")</f>
        <v/>
      </c>
      <c r="I825" s="24" t="n"/>
      <c r="J825" s="22">
        <f t="array" ref="J825">IF($D825="","",IF($I825="","(trống REF)",IFERROR(INDEX(MASTER_SOURCE!$B$2:$B$495,MATCH($I825,MASTER_SOURCE!$A$2:$A$495,0)),"(REF không có trong MASTER_SOURCE)")))</f>
        <v/>
      </c>
      <c r="K825" s="22">
        <f t="array" ref="K825">IF($D825="","",IFERROR(INDEX(MASTER_SOURCE!$C$2:$C$495,MATCH($I825,MASTER_SOURCE!$A$2:$A$495,0)),""))</f>
        <v/>
      </c>
      <c r="L825" s="22">
        <f t="array" ref="L825">IF($D825="","",IFERROR(INDEX(MASTER_SOURCE!$D$2:$D$495,MATCH($I825,MASTER_SOURCE!$A$2:$A$495,0)),""))</f>
        <v/>
      </c>
      <c r="M825" s="24" t="n"/>
      <c r="N825" s="24" t="n"/>
      <c r="O825" s="24" t="n"/>
      <c r="P825" s="24" t="n"/>
      <c r="Q825" s="22">
        <f>IF($D825="","",IF(AND(OR(DANH_MUC!$L$5&lt;&gt;"Có",M825="Có"),OR(DANH_MUC!$L$6&lt;&gt;"Có",N825="Có"),OR(DANH_MUC!$L$7&lt;&gt;"Có",O825="Có"),OR(DANH_MUC!$L$8&lt;&gt;"Có",P825="Có")),"Có","Không"))</f>
        <v/>
      </c>
      <c r="R825" s="22">
        <f>IF($D825="","",IF(COUNTIF($D$2:$D825,$D825)&gt;1,"Trùng",""))</f>
        <v/>
      </c>
      <c r="S825" s="22">
        <f>IF($D825="","",IF(AND(LEN($D825)=10,LEFT($D825,1)="0",ISNUMBER(--$D825)),"Có","Không"))</f>
        <v/>
      </c>
      <c r="T825" s="22">
        <f>IF($D825="","",IF(AND($C825&lt;&gt;"",$Q825="Có",$R825="",$S825="Có",AND($L825&lt;&gt;"",OR($L825&lt;&gt;"Chưa xác định",DANH_MUC!$L$9="Có"))),"Có","Không"))</f>
        <v/>
      </c>
      <c r="U825" s="22">
        <f>IF(OR($D825="",$T825="Có"),"",IF($C825="","Thiếu họ tên; ","")&amp;IF($S825&lt;&gt;"Có","SĐT sai định dạng; ","")&amp;IF($R825="Trùng","Trùng SĐT; ","")&amp;IF($Q825&lt;&gt;"Có","Thiếu đồng ý bắt buộc; ","")&amp;IF($L825="","Thiếu/sai Mã REF; ",IF(AND($L825="Chưa xác định",DANH_MUC!$L$9&lt;&gt;"Có"),"Nguồn chưa xác định; ","")))</f>
        <v/>
      </c>
      <c r="V825" s="22">
        <f>IF(OR($D825="",$R825="Trùng"),"",IF(COUNTIF(ORDERS!$C$2:$C$4995,$D825)&gt;0,"Có","Không"))</f>
        <v/>
      </c>
      <c r="W825" s="22">
        <f>IF(OR($D825="",$R825="Trùng"),"",COUNTIFS(ORDERS!$C$2:$C$4995,$D825,ORDERS!$L$2:$L$4995,"Đã chuyển khoản"))</f>
        <v/>
      </c>
      <c r="X825" s="23">
        <f>IF(OR($D825="",$R825="Trùng"),"",SUMIFS(ORDERS!$J$2:$J$4995,ORDERS!$C$2:$C$4995,$D825,ORDERS!$L$2:$L$4995,"Đã chuyển khoản"))</f>
        <v/>
      </c>
      <c r="Y825" s="24" t="n"/>
    </row>
    <row r="826" ht="14.25" customHeight="1" s="40">
      <c r="A826" s="24" t="n"/>
      <c r="B826" s="27" t="n"/>
      <c r="C826" s="24" t="n"/>
      <c r="D826" s="28" t="n"/>
      <c r="E826" s="29" t="n"/>
      <c r="F826" s="24" t="n"/>
      <c r="G826" s="24" t="n"/>
      <c r="H826" s="21">
        <f>IF(ISNUMBER($B826),INT($B826)-WEEKDAY($B826,2)+1,"")</f>
        <v/>
      </c>
      <c r="I826" s="24" t="n"/>
      <c r="J826" s="22">
        <f t="array" ref="J826">IF($D826="","",IF($I826="","(trống REF)",IFERROR(INDEX(MASTER_SOURCE!$B$2:$B$495,MATCH($I826,MASTER_SOURCE!$A$2:$A$495,0)),"(REF không có trong MASTER_SOURCE)")))</f>
        <v/>
      </c>
      <c r="K826" s="22">
        <f t="array" ref="K826">IF($D826="","",IFERROR(INDEX(MASTER_SOURCE!$C$2:$C$495,MATCH($I826,MASTER_SOURCE!$A$2:$A$495,0)),""))</f>
        <v/>
      </c>
      <c r="L826" s="22">
        <f t="array" ref="L826">IF($D826="","",IFERROR(INDEX(MASTER_SOURCE!$D$2:$D$495,MATCH($I826,MASTER_SOURCE!$A$2:$A$495,0)),""))</f>
        <v/>
      </c>
      <c r="M826" s="24" t="n"/>
      <c r="N826" s="24" t="n"/>
      <c r="O826" s="24" t="n"/>
      <c r="P826" s="24" t="n"/>
      <c r="Q826" s="22">
        <f>IF($D826="","",IF(AND(OR(DANH_MUC!$L$5&lt;&gt;"Có",M826="Có"),OR(DANH_MUC!$L$6&lt;&gt;"Có",N826="Có"),OR(DANH_MUC!$L$7&lt;&gt;"Có",O826="Có"),OR(DANH_MUC!$L$8&lt;&gt;"Có",P826="Có")),"Có","Không"))</f>
        <v/>
      </c>
      <c r="R826" s="22">
        <f>IF($D826="","",IF(COUNTIF($D$2:$D826,$D826)&gt;1,"Trùng",""))</f>
        <v/>
      </c>
      <c r="S826" s="22">
        <f>IF($D826="","",IF(AND(LEN($D826)=10,LEFT($D826,1)="0",ISNUMBER(--$D826)),"Có","Không"))</f>
        <v/>
      </c>
      <c r="T826" s="22">
        <f>IF($D826="","",IF(AND($C826&lt;&gt;"",$Q826="Có",$R826="",$S826="Có",AND($L826&lt;&gt;"",OR($L826&lt;&gt;"Chưa xác định",DANH_MUC!$L$9="Có"))),"Có","Không"))</f>
        <v/>
      </c>
      <c r="U826" s="22">
        <f>IF(OR($D826="",$T826="Có"),"",IF($C826="","Thiếu họ tên; ","")&amp;IF($S826&lt;&gt;"Có","SĐT sai định dạng; ","")&amp;IF($R826="Trùng","Trùng SĐT; ","")&amp;IF($Q826&lt;&gt;"Có","Thiếu đồng ý bắt buộc; ","")&amp;IF($L826="","Thiếu/sai Mã REF; ",IF(AND($L826="Chưa xác định",DANH_MUC!$L$9&lt;&gt;"Có"),"Nguồn chưa xác định; ","")))</f>
        <v/>
      </c>
      <c r="V826" s="22">
        <f>IF(OR($D826="",$R826="Trùng"),"",IF(COUNTIF(ORDERS!$C$2:$C$4995,$D826)&gt;0,"Có","Không"))</f>
        <v/>
      </c>
      <c r="W826" s="22">
        <f>IF(OR($D826="",$R826="Trùng"),"",COUNTIFS(ORDERS!$C$2:$C$4995,$D826,ORDERS!$L$2:$L$4995,"Đã chuyển khoản"))</f>
        <v/>
      </c>
      <c r="X826" s="23">
        <f>IF(OR($D826="",$R826="Trùng"),"",SUMIFS(ORDERS!$J$2:$J$4995,ORDERS!$C$2:$C$4995,$D826,ORDERS!$L$2:$L$4995,"Đã chuyển khoản"))</f>
        <v/>
      </c>
      <c r="Y826" s="24" t="n"/>
    </row>
    <row r="827" ht="14.25" customHeight="1" s="40">
      <c r="A827" s="24" t="n"/>
      <c r="B827" s="27" t="n"/>
      <c r="C827" s="24" t="n"/>
      <c r="D827" s="28" t="n"/>
      <c r="E827" s="29" t="n"/>
      <c r="F827" s="24" t="n"/>
      <c r="G827" s="24" t="n"/>
      <c r="H827" s="21">
        <f>IF(ISNUMBER($B827),INT($B827)-WEEKDAY($B827,2)+1,"")</f>
        <v/>
      </c>
      <c r="I827" s="24" t="n"/>
      <c r="J827" s="22">
        <f t="array" ref="J827">IF($D827="","",IF($I827="","(trống REF)",IFERROR(INDEX(MASTER_SOURCE!$B$2:$B$495,MATCH($I827,MASTER_SOURCE!$A$2:$A$495,0)),"(REF không có trong MASTER_SOURCE)")))</f>
        <v/>
      </c>
      <c r="K827" s="22">
        <f t="array" ref="K827">IF($D827="","",IFERROR(INDEX(MASTER_SOURCE!$C$2:$C$495,MATCH($I827,MASTER_SOURCE!$A$2:$A$495,0)),""))</f>
        <v/>
      </c>
      <c r="L827" s="22">
        <f t="array" ref="L827">IF($D827="","",IFERROR(INDEX(MASTER_SOURCE!$D$2:$D$495,MATCH($I827,MASTER_SOURCE!$A$2:$A$495,0)),""))</f>
        <v/>
      </c>
      <c r="M827" s="24" t="n"/>
      <c r="N827" s="24" t="n"/>
      <c r="O827" s="24" t="n"/>
      <c r="P827" s="24" t="n"/>
      <c r="Q827" s="22">
        <f>IF($D827="","",IF(AND(OR(DANH_MUC!$L$5&lt;&gt;"Có",M827="Có"),OR(DANH_MUC!$L$6&lt;&gt;"Có",N827="Có"),OR(DANH_MUC!$L$7&lt;&gt;"Có",O827="Có"),OR(DANH_MUC!$L$8&lt;&gt;"Có",P827="Có")),"Có","Không"))</f>
        <v/>
      </c>
      <c r="R827" s="22">
        <f>IF($D827="","",IF(COUNTIF($D$2:$D827,$D827)&gt;1,"Trùng",""))</f>
        <v/>
      </c>
      <c r="S827" s="22">
        <f>IF($D827="","",IF(AND(LEN($D827)=10,LEFT($D827,1)="0",ISNUMBER(--$D827)),"Có","Không"))</f>
        <v/>
      </c>
      <c r="T827" s="22">
        <f>IF($D827="","",IF(AND($C827&lt;&gt;"",$Q827="Có",$R827="",$S827="Có",AND($L827&lt;&gt;"",OR($L827&lt;&gt;"Chưa xác định",DANH_MUC!$L$9="Có"))),"Có","Không"))</f>
        <v/>
      </c>
      <c r="U827" s="22">
        <f>IF(OR($D827="",$T827="Có"),"",IF($C827="","Thiếu họ tên; ","")&amp;IF($S827&lt;&gt;"Có","SĐT sai định dạng; ","")&amp;IF($R827="Trùng","Trùng SĐT; ","")&amp;IF($Q827&lt;&gt;"Có","Thiếu đồng ý bắt buộc; ","")&amp;IF($L827="","Thiếu/sai Mã REF; ",IF(AND($L827="Chưa xác định",DANH_MUC!$L$9&lt;&gt;"Có"),"Nguồn chưa xác định; ","")))</f>
        <v/>
      </c>
      <c r="V827" s="22">
        <f>IF(OR($D827="",$R827="Trùng"),"",IF(COUNTIF(ORDERS!$C$2:$C$4995,$D827)&gt;0,"Có","Không"))</f>
        <v/>
      </c>
      <c r="W827" s="22">
        <f>IF(OR($D827="",$R827="Trùng"),"",COUNTIFS(ORDERS!$C$2:$C$4995,$D827,ORDERS!$L$2:$L$4995,"Đã chuyển khoản"))</f>
        <v/>
      </c>
      <c r="X827" s="23">
        <f>IF(OR($D827="",$R827="Trùng"),"",SUMIFS(ORDERS!$J$2:$J$4995,ORDERS!$C$2:$C$4995,$D827,ORDERS!$L$2:$L$4995,"Đã chuyển khoản"))</f>
        <v/>
      </c>
      <c r="Y827" s="24" t="n"/>
    </row>
    <row r="828" ht="14.25" customHeight="1" s="40">
      <c r="A828" s="24" t="n"/>
      <c r="B828" s="27" t="n"/>
      <c r="C828" s="24" t="n"/>
      <c r="D828" s="28" t="n"/>
      <c r="E828" s="29" t="n"/>
      <c r="F828" s="24" t="n"/>
      <c r="G828" s="24" t="n"/>
      <c r="H828" s="21">
        <f>IF(ISNUMBER($B828),INT($B828)-WEEKDAY($B828,2)+1,"")</f>
        <v/>
      </c>
      <c r="I828" s="24" t="n"/>
      <c r="J828" s="22">
        <f t="array" ref="J828">IF($D828="","",IF($I828="","(trống REF)",IFERROR(INDEX(MASTER_SOURCE!$B$2:$B$495,MATCH($I828,MASTER_SOURCE!$A$2:$A$495,0)),"(REF không có trong MASTER_SOURCE)")))</f>
        <v/>
      </c>
      <c r="K828" s="22">
        <f t="array" ref="K828">IF($D828="","",IFERROR(INDEX(MASTER_SOURCE!$C$2:$C$495,MATCH($I828,MASTER_SOURCE!$A$2:$A$495,0)),""))</f>
        <v/>
      </c>
      <c r="L828" s="22">
        <f t="array" ref="L828">IF($D828="","",IFERROR(INDEX(MASTER_SOURCE!$D$2:$D$495,MATCH($I828,MASTER_SOURCE!$A$2:$A$495,0)),""))</f>
        <v/>
      </c>
      <c r="M828" s="24" t="n"/>
      <c r="N828" s="24" t="n"/>
      <c r="O828" s="24" t="n"/>
      <c r="P828" s="24" t="n"/>
      <c r="Q828" s="22">
        <f>IF($D828="","",IF(AND(OR(DANH_MUC!$L$5&lt;&gt;"Có",M828="Có"),OR(DANH_MUC!$L$6&lt;&gt;"Có",N828="Có"),OR(DANH_MUC!$L$7&lt;&gt;"Có",O828="Có"),OR(DANH_MUC!$L$8&lt;&gt;"Có",P828="Có")),"Có","Không"))</f>
        <v/>
      </c>
      <c r="R828" s="22">
        <f>IF($D828="","",IF(COUNTIF($D$2:$D828,$D828)&gt;1,"Trùng",""))</f>
        <v/>
      </c>
      <c r="S828" s="22">
        <f>IF($D828="","",IF(AND(LEN($D828)=10,LEFT($D828,1)="0",ISNUMBER(--$D828)),"Có","Không"))</f>
        <v/>
      </c>
      <c r="T828" s="22">
        <f>IF($D828="","",IF(AND($C828&lt;&gt;"",$Q828="Có",$R828="",$S828="Có",AND($L828&lt;&gt;"",OR($L828&lt;&gt;"Chưa xác định",DANH_MUC!$L$9="Có"))),"Có","Không"))</f>
        <v/>
      </c>
      <c r="U828" s="22">
        <f>IF(OR($D828="",$T828="Có"),"",IF($C828="","Thiếu họ tên; ","")&amp;IF($S828&lt;&gt;"Có","SĐT sai định dạng; ","")&amp;IF($R828="Trùng","Trùng SĐT; ","")&amp;IF($Q828&lt;&gt;"Có","Thiếu đồng ý bắt buộc; ","")&amp;IF($L828="","Thiếu/sai Mã REF; ",IF(AND($L828="Chưa xác định",DANH_MUC!$L$9&lt;&gt;"Có"),"Nguồn chưa xác định; ","")))</f>
        <v/>
      </c>
      <c r="V828" s="22">
        <f>IF(OR($D828="",$R828="Trùng"),"",IF(COUNTIF(ORDERS!$C$2:$C$4995,$D828)&gt;0,"Có","Không"))</f>
        <v/>
      </c>
      <c r="W828" s="22">
        <f>IF(OR($D828="",$R828="Trùng"),"",COUNTIFS(ORDERS!$C$2:$C$4995,$D828,ORDERS!$L$2:$L$4995,"Đã chuyển khoản"))</f>
        <v/>
      </c>
      <c r="X828" s="23">
        <f>IF(OR($D828="",$R828="Trùng"),"",SUMIFS(ORDERS!$J$2:$J$4995,ORDERS!$C$2:$C$4995,$D828,ORDERS!$L$2:$L$4995,"Đã chuyển khoản"))</f>
        <v/>
      </c>
      <c r="Y828" s="24" t="n"/>
    </row>
    <row r="829" ht="14.25" customHeight="1" s="40">
      <c r="A829" s="24" t="n"/>
      <c r="B829" s="27" t="n"/>
      <c r="C829" s="24" t="n"/>
      <c r="D829" s="28" t="n"/>
      <c r="E829" s="29" t="n"/>
      <c r="F829" s="24" t="n"/>
      <c r="G829" s="24" t="n"/>
      <c r="H829" s="21">
        <f>IF(ISNUMBER($B829),INT($B829)-WEEKDAY($B829,2)+1,"")</f>
        <v/>
      </c>
      <c r="I829" s="24" t="n"/>
      <c r="J829" s="22">
        <f t="array" ref="J829">IF($D829="","",IF($I829="","(trống REF)",IFERROR(INDEX(MASTER_SOURCE!$B$2:$B$495,MATCH($I829,MASTER_SOURCE!$A$2:$A$495,0)),"(REF không có trong MASTER_SOURCE)")))</f>
        <v/>
      </c>
      <c r="K829" s="22">
        <f t="array" ref="K829">IF($D829="","",IFERROR(INDEX(MASTER_SOURCE!$C$2:$C$495,MATCH($I829,MASTER_SOURCE!$A$2:$A$495,0)),""))</f>
        <v/>
      </c>
      <c r="L829" s="22">
        <f t="array" ref="L829">IF($D829="","",IFERROR(INDEX(MASTER_SOURCE!$D$2:$D$495,MATCH($I829,MASTER_SOURCE!$A$2:$A$495,0)),""))</f>
        <v/>
      </c>
      <c r="M829" s="24" t="n"/>
      <c r="N829" s="24" t="n"/>
      <c r="O829" s="24" t="n"/>
      <c r="P829" s="24" t="n"/>
      <c r="Q829" s="22">
        <f>IF($D829="","",IF(AND(OR(DANH_MUC!$L$5&lt;&gt;"Có",M829="Có"),OR(DANH_MUC!$L$6&lt;&gt;"Có",N829="Có"),OR(DANH_MUC!$L$7&lt;&gt;"Có",O829="Có"),OR(DANH_MUC!$L$8&lt;&gt;"Có",P829="Có")),"Có","Không"))</f>
        <v/>
      </c>
      <c r="R829" s="22">
        <f>IF($D829="","",IF(COUNTIF($D$2:$D829,$D829)&gt;1,"Trùng",""))</f>
        <v/>
      </c>
      <c r="S829" s="22">
        <f>IF($D829="","",IF(AND(LEN($D829)=10,LEFT($D829,1)="0",ISNUMBER(--$D829)),"Có","Không"))</f>
        <v/>
      </c>
      <c r="T829" s="22">
        <f>IF($D829="","",IF(AND($C829&lt;&gt;"",$Q829="Có",$R829="",$S829="Có",AND($L829&lt;&gt;"",OR($L829&lt;&gt;"Chưa xác định",DANH_MUC!$L$9="Có"))),"Có","Không"))</f>
        <v/>
      </c>
      <c r="U829" s="22">
        <f>IF(OR($D829="",$T829="Có"),"",IF($C829="","Thiếu họ tên; ","")&amp;IF($S829&lt;&gt;"Có","SĐT sai định dạng; ","")&amp;IF($R829="Trùng","Trùng SĐT; ","")&amp;IF($Q829&lt;&gt;"Có","Thiếu đồng ý bắt buộc; ","")&amp;IF($L829="","Thiếu/sai Mã REF; ",IF(AND($L829="Chưa xác định",DANH_MUC!$L$9&lt;&gt;"Có"),"Nguồn chưa xác định; ","")))</f>
        <v/>
      </c>
      <c r="V829" s="22">
        <f>IF(OR($D829="",$R829="Trùng"),"",IF(COUNTIF(ORDERS!$C$2:$C$4995,$D829)&gt;0,"Có","Không"))</f>
        <v/>
      </c>
      <c r="W829" s="22">
        <f>IF(OR($D829="",$R829="Trùng"),"",COUNTIFS(ORDERS!$C$2:$C$4995,$D829,ORDERS!$L$2:$L$4995,"Đã chuyển khoản"))</f>
        <v/>
      </c>
      <c r="X829" s="23">
        <f>IF(OR($D829="",$R829="Trùng"),"",SUMIFS(ORDERS!$J$2:$J$4995,ORDERS!$C$2:$C$4995,$D829,ORDERS!$L$2:$L$4995,"Đã chuyển khoản"))</f>
        <v/>
      </c>
      <c r="Y829" s="24" t="n"/>
    </row>
    <row r="830" ht="14.25" customHeight="1" s="40">
      <c r="A830" s="24" t="n"/>
      <c r="B830" s="27" t="n"/>
      <c r="C830" s="24" t="n"/>
      <c r="D830" s="28" t="n"/>
      <c r="E830" s="29" t="n"/>
      <c r="F830" s="24" t="n"/>
      <c r="G830" s="24" t="n"/>
      <c r="H830" s="21">
        <f>IF(ISNUMBER($B830),INT($B830)-WEEKDAY($B830,2)+1,"")</f>
        <v/>
      </c>
      <c r="I830" s="24" t="n"/>
      <c r="J830" s="22">
        <f t="array" ref="J830">IF($D830="","",IF($I830="","(trống REF)",IFERROR(INDEX(MASTER_SOURCE!$B$2:$B$495,MATCH($I830,MASTER_SOURCE!$A$2:$A$495,0)),"(REF không có trong MASTER_SOURCE)")))</f>
        <v/>
      </c>
      <c r="K830" s="22">
        <f t="array" ref="K830">IF($D830="","",IFERROR(INDEX(MASTER_SOURCE!$C$2:$C$495,MATCH($I830,MASTER_SOURCE!$A$2:$A$495,0)),""))</f>
        <v/>
      </c>
      <c r="L830" s="22">
        <f t="array" ref="L830">IF($D830="","",IFERROR(INDEX(MASTER_SOURCE!$D$2:$D$495,MATCH($I830,MASTER_SOURCE!$A$2:$A$495,0)),""))</f>
        <v/>
      </c>
      <c r="M830" s="24" t="n"/>
      <c r="N830" s="24" t="n"/>
      <c r="O830" s="24" t="n"/>
      <c r="P830" s="24" t="n"/>
      <c r="Q830" s="22">
        <f>IF($D830="","",IF(AND(OR(DANH_MUC!$L$5&lt;&gt;"Có",M830="Có"),OR(DANH_MUC!$L$6&lt;&gt;"Có",N830="Có"),OR(DANH_MUC!$L$7&lt;&gt;"Có",O830="Có"),OR(DANH_MUC!$L$8&lt;&gt;"Có",P830="Có")),"Có","Không"))</f>
        <v/>
      </c>
      <c r="R830" s="22">
        <f>IF($D830="","",IF(COUNTIF($D$2:$D830,$D830)&gt;1,"Trùng",""))</f>
        <v/>
      </c>
      <c r="S830" s="22">
        <f>IF($D830="","",IF(AND(LEN($D830)=10,LEFT($D830,1)="0",ISNUMBER(--$D830)),"Có","Không"))</f>
        <v/>
      </c>
      <c r="T830" s="22">
        <f>IF($D830="","",IF(AND($C830&lt;&gt;"",$Q830="Có",$R830="",$S830="Có",AND($L830&lt;&gt;"",OR($L830&lt;&gt;"Chưa xác định",DANH_MUC!$L$9="Có"))),"Có","Không"))</f>
        <v/>
      </c>
      <c r="U830" s="22">
        <f>IF(OR($D830="",$T830="Có"),"",IF($C830="","Thiếu họ tên; ","")&amp;IF($S830&lt;&gt;"Có","SĐT sai định dạng; ","")&amp;IF($R830="Trùng","Trùng SĐT; ","")&amp;IF($Q830&lt;&gt;"Có","Thiếu đồng ý bắt buộc; ","")&amp;IF($L830="","Thiếu/sai Mã REF; ",IF(AND($L830="Chưa xác định",DANH_MUC!$L$9&lt;&gt;"Có"),"Nguồn chưa xác định; ","")))</f>
        <v/>
      </c>
      <c r="V830" s="22">
        <f>IF(OR($D830="",$R830="Trùng"),"",IF(COUNTIF(ORDERS!$C$2:$C$4995,$D830)&gt;0,"Có","Không"))</f>
        <v/>
      </c>
      <c r="W830" s="22">
        <f>IF(OR($D830="",$R830="Trùng"),"",COUNTIFS(ORDERS!$C$2:$C$4995,$D830,ORDERS!$L$2:$L$4995,"Đã chuyển khoản"))</f>
        <v/>
      </c>
      <c r="X830" s="23">
        <f>IF(OR($D830="",$R830="Trùng"),"",SUMIFS(ORDERS!$J$2:$J$4995,ORDERS!$C$2:$C$4995,$D830,ORDERS!$L$2:$L$4995,"Đã chuyển khoản"))</f>
        <v/>
      </c>
      <c r="Y830" s="24" t="n"/>
    </row>
    <row r="831" ht="14.25" customHeight="1" s="40">
      <c r="A831" s="24" t="n"/>
      <c r="B831" s="27" t="n"/>
      <c r="C831" s="24" t="n"/>
      <c r="D831" s="28" t="n"/>
      <c r="E831" s="29" t="n"/>
      <c r="F831" s="24" t="n"/>
      <c r="G831" s="24" t="n"/>
      <c r="H831" s="21">
        <f>IF(ISNUMBER($B831),INT($B831)-WEEKDAY($B831,2)+1,"")</f>
        <v/>
      </c>
      <c r="I831" s="24" t="n"/>
      <c r="J831" s="22">
        <f t="array" ref="J831">IF($D831="","",IF($I831="","(trống REF)",IFERROR(INDEX(MASTER_SOURCE!$B$2:$B$495,MATCH($I831,MASTER_SOURCE!$A$2:$A$495,0)),"(REF không có trong MASTER_SOURCE)")))</f>
        <v/>
      </c>
      <c r="K831" s="22">
        <f t="array" ref="K831">IF($D831="","",IFERROR(INDEX(MASTER_SOURCE!$C$2:$C$495,MATCH($I831,MASTER_SOURCE!$A$2:$A$495,0)),""))</f>
        <v/>
      </c>
      <c r="L831" s="22">
        <f t="array" ref="L831">IF($D831="","",IFERROR(INDEX(MASTER_SOURCE!$D$2:$D$495,MATCH($I831,MASTER_SOURCE!$A$2:$A$495,0)),""))</f>
        <v/>
      </c>
      <c r="M831" s="24" t="n"/>
      <c r="N831" s="24" t="n"/>
      <c r="O831" s="24" t="n"/>
      <c r="P831" s="24" t="n"/>
      <c r="Q831" s="22">
        <f>IF($D831="","",IF(AND(OR(DANH_MUC!$L$5&lt;&gt;"Có",M831="Có"),OR(DANH_MUC!$L$6&lt;&gt;"Có",N831="Có"),OR(DANH_MUC!$L$7&lt;&gt;"Có",O831="Có"),OR(DANH_MUC!$L$8&lt;&gt;"Có",P831="Có")),"Có","Không"))</f>
        <v/>
      </c>
      <c r="R831" s="22">
        <f>IF($D831="","",IF(COUNTIF($D$2:$D831,$D831)&gt;1,"Trùng",""))</f>
        <v/>
      </c>
      <c r="S831" s="22">
        <f>IF($D831="","",IF(AND(LEN($D831)=10,LEFT($D831,1)="0",ISNUMBER(--$D831)),"Có","Không"))</f>
        <v/>
      </c>
      <c r="T831" s="22">
        <f>IF($D831="","",IF(AND($C831&lt;&gt;"",$Q831="Có",$R831="",$S831="Có",AND($L831&lt;&gt;"",OR($L831&lt;&gt;"Chưa xác định",DANH_MUC!$L$9="Có"))),"Có","Không"))</f>
        <v/>
      </c>
      <c r="U831" s="22">
        <f>IF(OR($D831="",$T831="Có"),"",IF($C831="","Thiếu họ tên; ","")&amp;IF($S831&lt;&gt;"Có","SĐT sai định dạng; ","")&amp;IF($R831="Trùng","Trùng SĐT; ","")&amp;IF($Q831&lt;&gt;"Có","Thiếu đồng ý bắt buộc; ","")&amp;IF($L831="","Thiếu/sai Mã REF; ",IF(AND($L831="Chưa xác định",DANH_MUC!$L$9&lt;&gt;"Có"),"Nguồn chưa xác định; ","")))</f>
        <v/>
      </c>
      <c r="V831" s="22">
        <f>IF(OR($D831="",$R831="Trùng"),"",IF(COUNTIF(ORDERS!$C$2:$C$4995,$D831)&gt;0,"Có","Không"))</f>
        <v/>
      </c>
      <c r="W831" s="22">
        <f>IF(OR($D831="",$R831="Trùng"),"",COUNTIFS(ORDERS!$C$2:$C$4995,$D831,ORDERS!$L$2:$L$4995,"Đã chuyển khoản"))</f>
        <v/>
      </c>
      <c r="X831" s="23">
        <f>IF(OR($D831="",$R831="Trùng"),"",SUMIFS(ORDERS!$J$2:$J$4995,ORDERS!$C$2:$C$4995,$D831,ORDERS!$L$2:$L$4995,"Đã chuyển khoản"))</f>
        <v/>
      </c>
      <c r="Y831" s="24" t="n"/>
    </row>
    <row r="832" ht="14.25" customHeight="1" s="40">
      <c r="A832" s="24" t="n"/>
      <c r="B832" s="27" t="n"/>
      <c r="C832" s="24" t="n"/>
      <c r="D832" s="28" t="n"/>
      <c r="E832" s="29" t="n"/>
      <c r="F832" s="24" t="n"/>
      <c r="G832" s="24" t="n"/>
      <c r="H832" s="21">
        <f>IF(ISNUMBER($B832),INT($B832)-WEEKDAY($B832,2)+1,"")</f>
        <v/>
      </c>
      <c r="I832" s="24" t="n"/>
      <c r="J832" s="22">
        <f t="array" ref="J832">IF($D832="","",IF($I832="","(trống REF)",IFERROR(INDEX(MASTER_SOURCE!$B$2:$B$495,MATCH($I832,MASTER_SOURCE!$A$2:$A$495,0)),"(REF không có trong MASTER_SOURCE)")))</f>
        <v/>
      </c>
      <c r="K832" s="22">
        <f t="array" ref="K832">IF($D832="","",IFERROR(INDEX(MASTER_SOURCE!$C$2:$C$495,MATCH($I832,MASTER_SOURCE!$A$2:$A$495,0)),""))</f>
        <v/>
      </c>
      <c r="L832" s="22">
        <f t="array" ref="L832">IF($D832="","",IFERROR(INDEX(MASTER_SOURCE!$D$2:$D$495,MATCH($I832,MASTER_SOURCE!$A$2:$A$495,0)),""))</f>
        <v/>
      </c>
      <c r="M832" s="24" t="n"/>
      <c r="N832" s="24" t="n"/>
      <c r="O832" s="24" t="n"/>
      <c r="P832" s="24" t="n"/>
      <c r="Q832" s="22">
        <f>IF($D832="","",IF(AND(OR(DANH_MUC!$L$5&lt;&gt;"Có",M832="Có"),OR(DANH_MUC!$L$6&lt;&gt;"Có",N832="Có"),OR(DANH_MUC!$L$7&lt;&gt;"Có",O832="Có"),OR(DANH_MUC!$L$8&lt;&gt;"Có",P832="Có")),"Có","Không"))</f>
        <v/>
      </c>
      <c r="R832" s="22">
        <f>IF($D832="","",IF(COUNTIF($D$2:$D832,$D832)&gt;1,"Trùng",""))</f>
        <v/>
      </c>
      <c r="S832" s="22">
        <f>IF($D832="","",IF(AND(LEN($D832)=10,LEFT($D832,1)="0",ISNUMBER(--$D832)),"Có","Không"))</f>
        <v/>
      </c>
      <c r="T832" s="22">
        <f>IF($D832="","",IF(AND($C832&lt;&gt;"",$Q832="Có",$R832="",$S832="Có",AND($L832&lt;&gt;"",OR($L832&lt;&gt;"Chưa xác định",DANH_MUC!$L$9="Có"))),"Có","Không"))</f>
        <v/>
      </c>
      <c r="U832" s="22">
        <f>IF(OR($D832="",$T832="Có"),"",IF($C832="","Thiếu họ tên; ","")&amp;IF($S832&lt;&gt;"Có","SĐT sai định dạng; ","")&amp;IF($R832="Trùng","Trùng SĐT; ","")&amp;IF($Q832&lt;&gt;"Có","Thiếu đồng ý bắt buộc; ","")&amp;IF($L832="","Thiếu/sai Mã REF; ",IF(AND($L832="Chưa xác định",DANH_MUC!$L$9&lt;&gt;"Có"),"Nguồn chưa xác định; ","")))</f>
        <v/>
      </c>
      <c r="V832" s="22">
        <f>IF(OR($D832="",$R832="Trùng"),"",IF(COUNTIF(ORDERS!$C$2:$C$4995,$D832)&gt;0,"Có","Không"))</f>
        <v/>
      </c>
      <c r="W832" s="22">
        <f>IF(OR($D832="",$R832="Trùng"),"",COUNTIFS(ORDERS!$C$2:$C$4995,$D832,ORDERS!$L$2:$L$4995,"Đã chuyển khoản"))</f>
        <v/>
      </c>
      <c r="X832" s="23">
        <f>IF(OR($D832="",$R832="Trùng"),"",SUMIFS(ORDERS!$J$2:$J$4995,ORDERS!$C$2:$C$4995,$D832,ORDERS!$L$2:$L$4995,"Đã chuyển khoản"))</f>
        <v/>
      </c>
      <c r="Y832" s="24" t="n"/>
    </row>
    <row r="833" ht="14.25" customHeight="1" s="40">
      <c r="A833" s="24" t="n"/>
      <c r="B833" s="27" t="n"/>
      <c r="C833" s="24" t="n"/>
      <c r="D833" s="28" t="n"/>
      <c r="E833" s="29" t="n"/>
      <c r="F833" s="24" t="n"/>
      <c r="G833" s="24" t="n"/>
      <c r="H833" s="21">
        <f>IF(ISNUMBER($B833),INT($B833)-WEEKDAY($B833,2)+1,"")</f>
        <v/>
      </c>
      <c r="I833" s="24" t="n"/>
      <c r="J833" s="22">
        <f t="array" ref="J833">IF($D833="","",IF($I833="","(trống REF)",IFERROR(INDEX(MASTER_SOURCE!$B$2:$B$495,MATCH($I833,MASTER_SOURCE!$A$2:$A$495,0)),"(REF không có trong MASTER_SOURCE)")))</f>
        <v/>
      </c>
      <c r="K833" s="22">
        <f t="array" ref="K833">IF($D833="","",IFERROR(INDEX(MASTER_SOURCE!$C$2:$C$495,MATCH($I833,MASTER_SOURCE!$A$2:$A$495,0)),""))</f>
        <v/>
      </c>
      <c r="L833" s="22">
        <f t="array" ref="L833">IF($D833="","",IFERROR(INDEX(MASTER_SOURCE!$D$2:$D$495,MATCH($I833,MASTER_SOURCE!$A$2:$A$495,0)),""))</f>
        <v/>
      </c>
      <c r="M833" s="24" t="n"/>
      <c r="N833" s="24" t="n"/>
      <c r="O833" s="24" t="n"/>
      <c r="P833" s="24" t="n"/>
      <c r="Q833" s="22">
        <f>IF($D833="","",IF(AND(OR(DANH_MUC!$L$5&lt;&gt;"Có",M833="Có"),OR(DANH_MUC!$L$6&lt;&gt;"Có",N833="Có"),OR(DANH_MUC!$L$7&lt;&gt;"Có",O833="Có"),OR(DANH_MUC!$L$8&lt;&gt;"Có",P833="Có")),"Có","Không"))</f>
        <v/>
      </c>
      <c r="R833" s="22">
        <f>IF($D833="","",IF(COUNTIF($D$2:$D833,$D833)&gt;1,"Trùng",""))</f>
        <v/>
      </c>
      <c r="S833" s="22">
        <f>IF($D833="","",IF(AND(LEN($D833)=10,LEFT($D833,1)="0",ISNUMBER(--$D833)),"Có","Không"))</f>
        <v/>
      </c>
      <c r="T833" s="22">
        <f>IF($D833="","",IF(AND($C833&lt;&gt;"",$Q833="Có",$R833="",$S833="Có",AND($L833&lt;&gt;"",OR($L833&lt;&gt;"Chưa xác định",DANH_MUC!$L$9="Có"))),"Có","Không"))</f>
        <v/>
      </c>
      <c r="U833" s="22">
        <f>IF(OR($D833="",$T833="Có"),"",IF($C833="","Thiếu họ tên; ","")&amp;IF($S833&lt;&gt;"Có","SĐT sai định dạng; ","")&amp;IF($R833="Trùng","Trùng SĐT; ","")&amp;IF($Q833&lt;&gt;"Có","Thiếu đồng ý bắt buộc; ","")&amp;IF($L833="","Thiếu/sai Mã REF; ",IF(AND($L833="Chưa xác định",DANH_MUC!$L$9&lt;&gt;"Có"),"Nguồn chưa xác định; ","")))</f>
        <v/>
      </c>
      <c r="V833" s="22">
        <f>IF(OR($D833="",$R833="Trùng"),"",IF(COUNTIF(ORDERS!$C$2:$C$4995,$D833)&gt;0,"Có","Không"))</f>
        <v/>
      </c>
      <c r="W833" s="22">
        <f>IF(OR($D833="",$R833="Trùng"),"",COUNTIFS(ORDERS!$C$2:$C$4995,$D833,ORDERS!$L$2:$L$4995,"Đã chuyển khoản"))</f>
        <v/>
      </c>
      <c r="X833" s="23">
        <f>IF(OR($D833="",$R833="Trùng"),"",SUMIFS(ORDERS!$J$2:$J$4995,ORDERS!$C$2:$C$4995,$D833,ORDERS!$L$2:$L$4995,"Đã chuyển khoản"))</f>
        <v/>
      </c>
      <c r="Y833" s="24" t="n"/>
    </row>
    <row r="834" ht="14.25" customHeight="1" s="40">
      <c r="A834" s="24" t="n"/>
      <c r="B834" s="27" t="n"/>
      <c r="C834" s="24" t="n"/>
      <c r="D834" s="28" t="n"/>
      <c r="E834" s="29" t="n"/>
      <c r="F834" s="24" t="n"/>
      <c r="G834" s="24" t="n"/>
      <c r="H834" s="21">
        <f>IF(ISNUMBER($B834),INT($B834)-WEEKDAY($B834,2)+1,"")</f>
        <v/>
      </c>
      <c r="I834" s="24" t="n"/>
      <c r="J834" s="22">
        <f t="array" ref="J834">IF($D834="","",IF($I834="","(trống REF)",IFERROR(INDEX(MASTER_SOURCE!$B$2:$B$495,MATCH($I834,MASTER_SOURCE!$A$2:$A$495,0)),"(REF không có trong MASTER_SOURCE)")))</f>
        <v/>
      </c>
      <c r="K834" s="22">
        <f t="array" ref="K834">IF($D834="","",IFERROR(INDEX(MASTER_SOURCE!$C$2:$C$495,MATCH($I834,MASTER_SOURCE!$A$2:$A$495,0)),""))</f>
        <v/>
      </c>
      <c r="L834" s="22">
        <f t="array" ref="L834">IF($D834="","",IFERROR(INDEX(MASTER_SOURCE!$D$2:$D$495,MATCH($I834,MASTER_SOURCE!$A$2:$A$495,0)),""))</f>
        <v/>
      </c>
      <c r="M834" s="24" t="n"/>
      <c r="N834" s="24" t="n"/>
      <c r="O834" s="24" t="n"/>
      <c r="P834" s="24" t="n"/>
      <c r="Q834" s="22">
        <f>IF($D834="","",IF(AND(OR(DANH_MUC!$L$5&lt;&gt;"Có",M834="Có"),OR(DANH_MUC!$L$6&lt;&gt;"Có",N834="Có"),OR(DANH_MUC!$L$7&lt;&gt;"Có",O834="Có"),OR(DANH_MUC!$L$8&lt;&gt;"Có",P834="Có")),"Có","Không"))</f>
        <v/>
      </c>
      <c r="R834" s="22">
        <f>IF($D834="","",IF(COUNTIF($D$2:$D834,$D834)&gt;1,"Trùng",""))</f>
        <v/>
      </c>
      <c r="S834" s="22">
        <f>IF($D834="","",IF(AND(LEN($D834)=10,LEFT($D834,1)="0",ISNUMBER(--$D834)),"Có","Không"))</f>
        <v/>
      </c>
      <c r="T834" s="22">
        <f>IF($D834="","",IF(AND($C834&lt;&gt;"",$Q834="Có",$R834="",$S834="Có",AND($L834&lt;&gt;"",OR($L834&lt;&gt;"Chưa xác định",DANH_MUC!$L$9="Có"))),"Có","Không"))</f>
        <v/>
      </c>
      <c r="U834" s="22">
        <f>IF(OR($D834="",$T834="Có"),"",IF($C834="","Thiếu họ tên; ","")&amp;IF($S834&lt;&gt;"Có","SĐT sai định dạng; ","")&amp;IF($R834="Trùng","Trùng SĐT; ","")&amp;IF($Q834&lt;&gt;"Có","Thiếu đồng ý bắt buộc; ","")&amp;IF($L834="","Thiếu/sai Mã REF; ",IF(AND($L834="Chưa xác định",DANH_MUC!$L$9&lt;&gt;"Có"),"Nguồn chưa xác định; ","")))</f>
        <v/>
      </c>
      <c r="V834" s="22">
        <f>IF(OR($D834="",$R834="Trùng"),"",IF(COUNTIF(ORDERS!$C$2:$C$4995,$D834)&gt;0,"Có","Không"))</f>
        <v/>
      </c>
      <c r="W834" s="22">
        <f>IF(OR($D834="",$R834="Trùng"),"",COUNTIFS(ORDERS!$C$2:$C$4995,$D834,ORDERS!$L$2:$L$4995,"Đã chuyển khoản"))</f>
        <v/>
      </c>
      <c r="X834" s="23">
        <f>IF(OR($D834="",$R834="Trùng"),"",SUMIFS(ORDERS!$J$2:$J$4995,ORDERS!$C$2:$C$4995,$D834,ORDERS!$L$2:$L$4995,"Đã chuyển khoản"))</f>
        <v/>
      </c>
      <c r="Y834" s="24" t="n"/>
    </row>
    <row r="835" ht="14.25" customHeight="1" s="40">
      <c r="A835" s="24" t="n"/>
      <c r="B835" s="27" t="n"/>
      <c r="C835" s="24" t="n"/>
      <c r="D835" s="28" t="n"/>
      <c r="E835" s="29" t="n"/>
      <c r="F835" s="24" t="n"/>
      <c r="G835" s="24" t="n"/>
      <c r="H835" s="21">
        <f>IF(ISNUMBER($B835),INT($B835)-WEEKDAY($B835,2)+1,"")</f>
        <v/>
      </c>
      <c r="I835" s="24" t="n"/>
      <c r="J835" s="22">
        <f t="array" ref="J835">IF($D835="","",IF($I835="","(trống REF)",IFERROR(INDEX(MASTER_SOURCE!$B$2:$B$495,MATCH($I835,MASTER_SOURCE!$A$2:$A$495,0)),"(REF không có trong MASTER_SOURCE)")))</f>
        <v/>
      </c>
      <c r="K835" s="22">
        <f t="array" ref="K835">IF($D835="","",IFERROR(INDEX(MASTER_SOURCE!$C$2:$C$495,MATCH($I835,MASTER_SOURCE!$A$2:$A$495,0)),""))</f>
        <v/>
      </c>
      <c r="L835" s="22">
        <f t="array" ref="L835">IF($D835="","",IFERROR(INDEX(MASTER_SOURCE!$D$2:$D$495,MATCH($I835,MASTER_SOURCE!$A$2:$A$495,0)),""))</f>
        <v/>
      </c>
      <c r="M835" s="24" t="n"/>
      <c r="N835" s="24" t="n"/>
      <c r="O835" s="24" t="n"/>
      <c r="P835" s="24" t="n"/>
      <c r="Q835" s="22">
        <f>IF($D835="","",IF(AND(OR(DANH_MUC!$L$5&lt;&gt;"Có",M835="Có"),OR(DANH_MUC!$L$6&lt;&gt;"Có",N835="Có"),OR(DANH_MUC!$L$7&lt;&gt;"Có",O835="Có"),OR(DANH_MUC!$L$8&lt;&gt;"Có",P835="Có")),"Có","Không"))</f>
        <v/>
      </c>
      <c r="R835" s="22">
        <f>IF($D835="","",IF(COUNTIF($D$2:$D835,$D835)&gt;1,"Trùng",""))</f>
        <v/>
      </c>
      <c r="S835" s="22">
        <f>IF($D835="","",IF(AND(LEN($D835)=10,LEFT($D835,1)="0",ISNUMBER(--$D835)),"Có","Không"))</f>
        <v/>
      </c>
      <c r="T835" s="22">
        <f>IF($D835="","",IF(AND($C835&lt;&gt;"",$Q835="Có",$R835="",$S835="Có",AND($L835&lt;&gt;"",OR($L835&lt;&gt;"Chưa xác định",DANH_MUC!$L$9="Có"))),"Có","Không"))</f>
        <v/>
      </c>
      <c r="U835" s="22">
        <f>IF(OR($D835="",$T835="Có"),"",IF($C835="","Thiếu họ tên; ","")&amp;IF($S835&lt;&gt;"Có","SĐT sai định dạng; ","")&amp;IF($R835="Trùng","Trùng SĐT; ","")&amp;IF($Q835&lt;&gt;"Có","Thiếu đồng ý bắt buộc; ","")&amp;IF($L835="","Thiếu/sai Mã REF; ",IF(AND($L835="Chưa xác định",DANH_MUC!$L$9&lt;&gt;"Có"),"Nguồn chưa xác định; ","")))</f>
        <v/>
      </c>
      <c r="V835" s="22">
        <f>IF(OR($D835="",$R835="Trùng"),"",IF(COUNTIF(ORDERS!$C$2:$C$4995,$D835)&gt;0,"Có","Không"))</f>
        <v/>
      </c>
      <c r="W835" s="22">
        <f>IF(OR($D835="",$R835="Trùng"),"",COUNTIFS(ORDERS!$C$2:$C$4995,$D835,ORDERS!$L$2:$L$4995,"Đã chuyển khoản"))</f>
        <v/>
      </c>
      <c r="X835" s="23">
        <f>IF(OR($D835="",$R835="Trùng"),"",SUMIFS(ORDERS!$J$2:$J$4995,ORDERS!$C$2:$C$4995,$D835,ORDERS!$L$2:$L$4995,"Đã chuyển khoản"))</f>
        <v/>
      </c>
      <c r="Y835" s="24" t="n"/>
    </row>
    <row r="836" ht="14.25" customHeight="1" s="40">
      <c r="A836" s="24" t="n"/>
      <c r="B836" s="27" t="n"/>
      <c r="C836" s="24" t="n"/>
      <c r="D836" s="28" t="n"/>
      <c r="E836" s="29" t="n"/>
      <c r="F836" s="24" t="n"/>
      <c r="G836" s="24" t="n"/>
      <c r="H836" s="21">
        <f>IF(ISNUMBER($B836),INT($B836)-WEEKDAY($B836,2)+1,"")</f>
        <v/>
      </c>
      <c r="I836" s="24" t="n"/>
      <c r="J836" s="22">
        <f t="array" ref="J836">IF($D836="","",IF($I836="","(trống REF)",IFERROR(INDEX(MASTER_SOURCE!$B$2:$B$495,MATCH($I836,MASTER_SOURCE!$A$2:$A$495,0)),"(REF không có trong MASTER_SOURCE)")))</f>
        <v/>
      </c>
      <c r="K836" s="22">
        <f t="array" ref="K836">IF($D836="","",IFERROR(INDEX(MASTER_SOURCE!$C$2:$C$495,MATCH($I836,MASTER_SOURCE!$A$2:$A$495,0)),""))</f>
        <v/>
      </c>
      <c r="L836" s="22">
        <f t="array" ref="L836">IF($D836="","",IFERROR(INDEX(MASTER_SOURCE!$D$2:$D$495,MATCH($I836,MASTER_SOURCE!$A$2:$A$495,0)),""))</f>
        <v/>
      </c>
      <c r="M836" s="24" t="n"/>
      <c r="N836" s="24" t="n"/>
      <c r="O836" s="24" t="n"/>
      <c r="P836" s="24" t="n"/>
      <c r="Q836" s="22">
        <f>IF($D836="","",IF(AND(OR(DANH_MUC!$L$5&lt;&gt;"Có",M836="Có"),OR(DANH_MUC!$L$6&lt;&gt;"Có",N836="Có"),OR(DANH_MUC!$L$7&lt;&gt;"Có",O836="Có"),OR(DANH_MUC!$L$8&lt;&gt;"Có",P836="Có")),"Có","Không"))</f>
        <v/>
      </c>
      <c r="R836" s="22">
        <f>IF($D836="","",IF(COUNTIF($D$2:$D836,$D836)&gt;1,"Trùng",""))</f>
        <v/>
      </c>
      <c r="S836" s="22">
        <f>IF($D836="","",IF(AND(LEN($D836)=10,LEFT($D836,1)="0",ISNUMBER(--$D836)),"Có","Không"))</f>
        <v/>
      </c>
      <c r="T836" s="22">
        <f>IF($D836="","",IF(AND($C836&lt;&gt;"",$Q836="Có",$R836="",$S836="Có",AND($L836&lt;&gt;"",OR($L836&lt;&gt;"Chưa xác định",DANH_MUC!$L$9="Có"))),"Có","Không"))</f>
        <v/>
      </c>
      <c r="U836" s="22">
        <f>IF(OR($D836="",$T836="Có"),"",IF($C836="","Thiếu họ tên; ","")&amp;IF($S836&lt;&gt;"Có","SĐT sai định dạng; ","")&amp;IF($R836="Trùng","Trùng SĐT; ","")&amp;IF($Q836&lt;&gt;"Có","Thiếu đồng ý bắt buộc; ","")&amp;IF($L836="","Thiếu/sai Mã REF; ",IF(AND($L836="Chưa xác định",DANH_MUC!$L$9&lt;&gt;"Có"),"Nguồn chưa xác định; ","")))</f>
        <v/>
      </c>
      <c r="V836" s="22">
        <f>IF(OR($D836="",$R836="Trùng"),"",IF(COUNTIF(ORDERS!$C$2:$C$4995,$D836)&gt;0,"Có","Không"))</f>
        <v/>
      </c>
      <c r="W836" s="22">
        <f>IF(OR($D836="",$R836="Trùng"),"",COUNTIFS(ORDERS!$C$2:$C$4995,$D836,ORDERS!$L$2:$L$4995,"Đã chuyển khoản"))</f>
        <v/>
      </c>
      <c r="X836" s="23">
        <f>IF(OR($D836="",$R836="Trùng"),"",SUMIFS(ORDERS!$J$2:$J$4995,ORDERS!$C$2:$C$4995,$D836,ORDERS!$L$2:$L$4995,"Đã chuyển khoản"))</f>
        <v/>
      </c>
      <c r="Y836" s="24" t="n"/>
    </row>
    <row r="837" ht="14.25" customHeight="1" s="40">
      <c r="A837" s="24" t="n"/>
      <c r="B837" s="27" t="n"/>
      <c r="C837" s="24" t="n"/>
      <c r="D837" s="28" t="n"/>
      <c r="E837" s="29" t="n"/>
      <c r="F837" s="24" t="n"/>
      <c r="G837" s="24" t="n"/>
      <c r="H837" s="21">
        <f>IF(ISNUMBER($B837),INT($B837)-WEEKDAY($B837,2)+1,"")</f>
        <v/>
      </c>
      <c r="I837" s="24" t="n"/>
      <c r="J837" s="22">
        <f t="array" ref="J837">IF($D837="","",IF($I837="","(trống REF)",IFERROR(INDEX(MASTER_SOURCE!$B$2:$B$495,MATCH($I837,MASTER_SOURCE!$A$2:$A$495,0)),"(REF không có trong MASTER_SOURCE)")))</f>
        <v/>
      </c>
      <c r="K837" s="22">
        <f t="array" ref="K837">IF($D837="","",IFERROR(INDEX(MASTER_SOURCE!$C$2:$C$495,MATCH($I837,MASTER_SOURCE!$A$2:$A$495,0)),""))</f>
        <v/>
      </c>
      <c r="L837" s="22">
        <f t="array" ref="L837">IF($D837="","",IFERROR(INDEX(MASTER_SOURCE!$D$2:$D$495,MATCH($I837,MASTER_SOURCE!$A$2:$A$495,0)),""))</f>
        <v/>
      </c>
      <c r="M837" s="24" t="n"/>
      <c r="N837" s="24" t="n"/>
      <c r="O837" s="24" t="n"/>
      <c r="P837" s="24" t="n"/>
      <c r="Q837" s="22">
        <f>IF($D837="","",IF(AND(OR(DANH_MUC!$L$5&lt;&gt;"Có",M837="Có"),OR(DANH_MUC!$L$6&lt;&gt;"Có",N837="Có"),OR(DANH_MUC!$L$7&lt;&gt;"Có",O837="Có"),OR(DANH_MUC!$L$8&lt;&gt;"Có",P837="Có")),"Có","Không"))</f>
        <v/>
      </c>
      <c r="R837" s="22">
        <f>IF($D837="","",IF(COUNTIF($D$2:$D837,$D837)&gt;1,"Trùng",""))</f>
        <v/>
      </c>
      <c r="S837" s="22">
        <f>IF($D837="","",IF(AND(LEN($D837)=10,LEFT($D837,1)="0",ISNUMBER(--$D837)),"Có","Không"))</f>
        <v/>
      </c>
      <c r="T837" s="22">
        <f>IF($D837="","",IF(AND($C837&lt;&gt;"",$Q837="Có",$R837="",$S837="Có",AND($L837&lt;&gt;"",OR($L837&lt;&gt;"Chưa xác định",DANH_MUC!$L$9="Có"))),"Có","Không"))</f>
        <v/>
      </c>
      <c r="U837" s="22">
        <f>IF(OR($D837="",$T837="Có"),"",IF($C837="","Thiếu họ tên; ","")&amp;IF($S837&lt;&gt;"Có","SĐT sai định dạng; ","")&amp;IF($R837="Trùng","Trùng SĐT; ","")&amp;IF($Q837&lt;&gt;"Có","Thiếu đồng ý bắt buộc; ","")&amp;IF($L837="","Thiếu/sai Mã REF; ",IF(AND($L837="Chưa xác định",DANH_MUC!$L$9&lt;&gt;"Có"),"Nguồn chưa xác định; ","")))</f>
        <v/>
      </c>
      <c r="V837" s="22">
        <f>IF(OR($D837="",$R837="Trùng"),"",IF(COUNTIF(ORDERS!$C$2:$C$4995,$D837)&gt;0,"Có","Không"))</f>
        <v/>
      </c>
      <c r="W837" s="22">
        <f>IF(OR($D837="",$R837="Trùng"),"",COUNTIFS(ORDERS!$C$2:$C$4995,$D837,ORDERS!$L$2:$L$4995,"Đã chuyển khoản"))</f>
        <v/>
      </c>
      <c r="X837" s="23">
        <f>IF(OR($D837="",$R837="Trùng"),"",SUMIFS(ORDERS!$J$2:$J$4995,ORDERS!$C$2:$C$4995,$D837,ORDERS!$L$2:$L$4995,"Đã chuyển khoản"))</f>
        <v/>
      </c>
      <c r="Y837" s="24" t="n"/>
    </row>
    <row r="838" ht="14.25" customHeight="1" s="40">
      <c r="A838" s="24" t="n"/>
      <c r="B838" s="27" t="n"/>
      <c r="C838" s="24" t="n"/>
      <c r="D838" s="28" t="n"/>
      <c r="E838" s="29" t="n"/>
      <c r="F838" s="24" t="n"/>
      <c r="G838" s="24" t="n"/>
      <c r="H838" s="21">
        <f>IF(ISNUMBER($B838),INT($B838)-WEEKDAY($B838,2)+1,"")</f>
        <v/>
      </c>
      <c r="I838" s="24" t="n"/>
      <c r="J838" s="22">
        <f t="array" ref="J838">IF($D838="","",IF($I838="","(trống REF)",IFERROR(INDEX(MASTER_SOURCE!$B$2:$B$495,MATCH($I838,MASTER_SOURCE!$A$2:$A$495,0)),"(REF không có trong MASTER_SOURCE)")))</f>
        <v/>
      </c>
      <c r="K838" s="22">
        <f t="array" ref="K838">IF($D838="","",IFERROR(INDEX(MASTER_SOURCE!$C$2:$C$495,MATCH($I838,MASTER_SOURCE!$A$2:$A$495,0)),""))</f>
        <v/>
      </c>
      <c r="L838" s="22">
        <f t="array" ref="L838">IF($D838="","",IFERROR(INDEX(MASTER_SOURCE!$D$2:$D$495,MATCH($I838,MASTER_SOURCE!$A$2:$A$495,0)),""))</f>
        <v/>
      </c>
      <c r="M838" s="24" t="n"/>
      <c r="N838" s="24" t="n"/>
      <c r="O838" s="24" t="n"/>
      <c r="P838" s="24" t="n"/>
      <c r="Q838" s="22">
        <f>IF($D838="","",IF(AND(OR(DANH_MUC!$L$5&lt;&gt;"Có",M838="Có"),OR(DANH_MUC!$L$6&lt;&gt;"Có",N838="Có"),OR(DANH_MUC!$L$7&lt;&gt;"Có",O838="Có"),OR(DANH_MUC!$L$8&lt;&gt;"Có",P838="Có")),"Có","Không"))</f>
        <v/>
      </c>
      <c r="R838" s="22">
        <f>IF($D838="","",IF(COUNTIF($D$2:$D838,$D838)&gt;1,"Trùng",""))</f>
        <v/>
      </c>
      <c r="S838" s="22">
        <f>IF($D838="","",IF(AND(LEN($D838)=10,LEFT($D838,1)="0",ISNUMBER(--$D838)),"Có","Không"))</f>
        <v/>
      </c>
      <c r="T838" s="22">
        <f>IF($D838="","",IF(AND($C838&lt;&gt;"",$Q838="Có",$R838="",$S838="Có",AND($L838&lt;&gt;"",OR($L838&lt;&gt;"Chưa xác định",DANH_MUC!$L$9="Có"))),"Có","Không"))</f>
        <v/>
      </c>
      <c r="U838" s="22">
        <f>IF(OR($D838="",$T838="Có"),"",IF($C838="","Thiếu họ tên; ","")&amp;IF($S838&lt;&gt;"Có","SĐT sai định dạng; ","")&amp;IF($R838="Trùng","Trùng SĐT; ","")&amp;IF($Q838&lt;&gt;"Có","Thiếu đồng ý bắt buộc; ","")&amp;IF($L838="","Thiếu/sai Mã REF; ",IF(AND($L838="Chưa xác định",DANH_MUC!$L$9&lt;&gt;"Có"),"Nguồn chưa xác định; ","")))</f>
        <v/>
      </c>
      <c r="V838" s="22">
        <f>IF(OR($D838="",$R838="Trùng"),"",IF(COUNTIF(ORDERS!$C$2:$C$4995,$D838)&gt;0,"Có","Không"))</f>
        <v/>
      </c>
      <c r="W838" s="22">
        <f>IF(OR($D838="",$R838="Trùng"),"",COUNTIFS(ORDERS!$C$2:$C$4995,$D838,ORDERS!$L$2:$L$4995,"Đã chuyển khoản"))</f>
        <v/>
      </c>
      <c r="X838" s="23">
        <f>IF(OR($D838="",$R838="Trùng"),"",SUMIFS(ORDERS!$J$2:$J$4995,ORDERS!$C$2:$C$4995,$D838,ORDERS!$L$2:$L$4995,"Đã chuyển khoản"))</f>
        <v/>
      </c>
      <c r="Y838" s="24" t="n"/>
    </row>
    <row r="839" ht="14.25" customHeight="1" s="40">
      <c r="A839" s="24" t="n"/>
      <c r="B839" s="27" t="n"/>
      <c r="C839" s="24" t="n"/>
      <c r="D839" s="28" t="n"/>
      <c r="E839" s="29" t="n"/>
      <c r="F839" s="24" t="n"/>
      <c r="G839" s="24" t="n"/>
      <c r="H839" s="21">
        <f>IF(ISNUMBER($B839),INT($B839)-WEEKDAY($B839,2)+1,"")</f>
        <v/>
      </c>
      <c r="I839" s="24" t="n"/>
      <c r="J839" s="22">
        <f t="array" ref="J839">IF($D839="","",IF($I839="","(trống REF)",IFERROR(INDEX(MASTER_SOURCE!$B$2:$B$495,MATCH($I839,MASTER_SOURCE!$A$2:$A$495,0)),"(REF không có trong MASTER_SOURCE)")))</f>
        <v/>
      </c>
      <c r="K839" s="22">
        <f t="array" ref="K839">IF($D839="","",IFERROR(INDEX(MASTER_SOURCE!$C$2:$C$495,MATCH($I839,MASTER_SOURCE!$A$2:$A$495,0)),""))</f>
        <v/>
      </c>
      <c r="L839" s="22">
        <f t="array" ref="L839">IF($D839="","",IFERROR(INDEX(MASTER_SOURCE!$D$2:$D$495,MATCH($I839,MASTER_SOURCE!$A$2:$A$495,0)),""))</f>
        <v/>
      </c>
      <c r="M839" s="24" t="n"/>
      <c r="N839" s="24" t="n"/>
      <c r="O839" s="24" t="n"/>
      <c r="P839" s="24" t="n"/>
      <c r="Q839" s="22">
        <f>IF($D839="","",IF(AND(OR(DANH_MUC!$L$5&lt;&gt;"Có",M839="Có"),OR(DANH_MUC!$L$6&lt;&gt;"Có",N839="Có"),OR(DANH_MUC!$L$7&lt;&gt;"Có",O839="Có"),OR(DANH_MUC!$L$8&lt;&gt;"Có",P839="Có")),"Có","Không"))</f>
        <v/>
      </c>
      <c r="R839" s="22">
        <f>IF($D839="","",IF(COUNTIF($D$2:$D839,$D839)&gt;1,"Trùng",""))</f>
        <v/>
      </c>
      <c r="S839" s="22">
        <f>IF($D839="","",IF(AND(LEN($D839)=10,LEFT($D839,1)="0",ISNUMBER(--$D839)),"Có","Không"))</f>
        <v/>
      </c>
      <c r="T839" s="22">
        <f>IF($D839="","",IF(AND($C839&lt;&gt;"",$Q839="Có",$R839="",$S839="Có",AND($L839&lt;&gt;"",OR($L839&lt;&gt;"Chưa xác định",DANH_MUC!$L$9="Có"))),"Có","Không"))</f>
        <v/>
      </c>
      <c r="U839" s="22">
        <f>IF(OR($D839="",$T839="Có"),"",IF($C839="","Thiếu họ tên; ","")&amp;IF($S839&lt;&gt;"Có","SĐT sai định dạng; ","")&amp;IF($R839="Trùng","Trùng SĐT; ","")&amp;IF($Q839&lt;&gt;"Có","Thiếu đồng ý bắt buộc; ","")&amp;IF($L839="","Thiếu/sai Mã REF; ",IF(AND($L839="Chưa xác định",DANH_MUC!$L$9&lt;&gt;"Có"),"Nguồn chưa xác định; ","")))</f>
        <v/>
      </c>
      <c r="V839" s="22">
        <f>IF(OR($D839="",$R839="Trùng"),"",IF(COUNTIF(ORDERS!$C$2:$C$4995,$D839)&gt;0,"Có","Không"))</f>
        <v/>
      </c>
      <c r="W839" s="22">
        <f>IF(OR($D839="",$R839="Trùng"),"",COUNTIFS(ORDERS!$C$2:$C$4995,$D839,ORDERS!$L$2:$L$4995,"Đã chuyển khoản"))</f>
        <v/>
      </c>
      <c r="X839" s="23">
        <f>IF(OR($D839="",$R839="Trùng"),"",SUMIFS(ORDERS!$J$2:$J$4995,ORDERS!$C$2:$C$4995,$D839,ORDERS!$L$2:$L$4995,"Đã chuyển khoản"))</f>
        <v/>
      </c>
      <c r="Y839" s="24" t="n"/>
    </row>
    <row r="840" ht="14.25" customHeight="1" s="40">
      <c r="A840" s="24" t="n"/>
      <c r="B840" s="27" t="n"/>
      <c r="C840" s="24" t="n"/>
      <c r="D840" s="28" t="n"/>
      <c r="E840" s="29" t="n"/>
      <c r="F840" s="24" t="n"/>
      <c r="G840" s="24" t="n"/>
      <c r="H840" s="21">
        <f>IF(ISNUMBER($B840),INT($B840)-WEEKDAY($B840,2)+1,"")</f>
        <v/>
      </c>
      <c r="I840" s="24" t="n"/>
      <c r="J840" s="22">
        <f t="array" ref="J840">IF($D840="","",IF($I840="","(trống REF)",IFERROR(INDEX(MASTER_SOURCE!$B$2:$B$495,MATCH($I840,MASTER_SOURCE!$A$2:$A$495,0)),"(REF không có trong MASTER_SOURCE)")))</f>
        <v/>
      </c>
      <c r="K840" s="22">
        <f t="array" ref="K840">IF($D840="","",IFERROR(INDEX(MASTER_SOURCE!$C$2:$C$495,MATCH($I840,MASTER_SOURCE!$A$2:$A$495,0)),""))</f>
        <v/>
      </c>
      <c r="L840" s="22">
        <f t="array" ref="L840">IF($D840="","",IFERROR(INDEX(MASTER_SOURCE!$D$2:$D$495,MATCH($I840,MASTER_SOURCE!$A$2:$A$495,0)),""))</f>
        <v/>
      </c>
      <c r="M840" s="24" t="n"/>
      <c r="N840" s="24" t="n"/>
      <c r="O840" s="24" t="n"/>
      <c r="P840" s="24" t="n"/>
      <c r="Q840" s="22">
        <f>IF($D840="","",IF(AND(OR(DANH_MUC!$L$5&lt;&gt;"Có",M840="Có"),OR(DANH_MUC!$L$6&lt;&gt;"Có",N840="Có"),OR(DANH_MUC!$L$7&lt;&gt;"Có",O840="Có"),OR(DANH_MUC!$L$8&lt;&gt;"Có",P840="Có")),"Có","Không"))</f>
        <v/>
      </c>
      <c r="R840" s="22">
        <f>IF($D840="","",IF(COUNTIF($D$2:$D840,$D840)&gt;1,"Trùng",""))</f>
        <v/>
      </c>
      <c r="S840" s="22">
        <f>IF($D840="","",IF(AND(LEN($D840)=10,LEFT($D840,1)="0",ISNUMBER(--$D840)),"Có","Không"))</f>
        <v/>
      </c>
      <c r="T840" s="22">
        <f>IF($D840="","",IF(AND($C840&lt;&gt;"",$Q840="Có",$R840="",$S840="Có",AND($L840&lt;&gt;"",OR($L840&lt;&gt;"Chưa xác định",DANH_MUC!$L$9="Có"))),"Có","Không"))</f>
        <v/>
      </c>
      <c r="U840" s="22">
        <f>IF(OR($D840="",$T840="Có"),"",IF($C840="","Thiếu họ tên; ","")&amp;IF($S840&lt;&gt;"Có","SĐT sai định dạng; ","")&amp;IF($R840="Trùng","Trùng SĐT; ","")&amp;IF($Q840&lt;&gt;"Có","Thiếu đồng ý bắt buộc; ","")&amp;IF($L840="","Thiếu/sai Mã REF; ",IF(AND($L840="Chưa xác định",DANH_MUC!$L$9&lt;&gt;"Có"),"Nguồn chưa xác định; ","")))</f>
        <v/>
      </c>
      <c r="V840" s="22">
        <f>IF(OR($D840="",$R840="Trùng"),"",IF(COUNTIF(ORDERS!$C$2:$C$4995,$D840)&gt;0,"Có","Không"))</f>
        <v/>
      </c>
      <c r="W840" s="22">
        <f>IF(OR($D840="",$R840="Trùng"),"",COUNTIFS(ORDERS!$C$2:$C$4995,$D840,ORDERS!$L$2:$L$4995,"Đã chuyển khoản"))</f>
        <v/>
      </c>
      <c r="X840" s="23">
        <f>IF(OR($D840="",$R840="Trùng"),"",SUMIFS(ORDERS!$J$2:$J$4995,ORDERS!$C$2:$C$4995,$D840,ORDERS!$L$2:$L$4995,"Đã chuyển khoản"))</f>
        <v/>
      </c>
      <c r="Y840" s="24" t="n"/>
    </row>
    <row r="841" ht="14.25" customHeight="1" s="40">
      <c r="A841" s="24" t="n"/>
      <c r="B841" s="27" t="n"/>
      <c r="C841" s="24" t="n"/>
      <c r="D841" s="28" t="n"/>
      <c r="E841" s="29" t="n"/>
      <c r="F841" s="24" t="n"/>
      <c r="G841" s="24" t="n"/>
      <c r="H841" s="21">
        <f>IF(ISNUMBER($B841),INT($B841)-WEEKDAY($B841,2)+1,"")</f>
        <v/>
      </c>
      <c r="I841" s="24" t="n"/>
      <c r="J841" s="22">
        <f t="array" ref="J841">IF($D841="","",IF($I841="","(trống REF)",IFERROR(INDEX(MASTER_SOURCE!$B$2:$B$495,MATCH($I841,MASTER_SOURCE!$A$2:$A$495,0)),"(REF không có trong MASTER_SOURCE)")))</f>
        <v/>
      </c>
      <c r="K841" s="22">
        <f t="array" ref="K841">IF($D841="","",IFERROR(INDEX(MASTER_SOURCE!$C$2:$C$495,MATCH($I841,MASTER_SOURCE!$A$2:$A$495,0)),""))</f>
        <v/>
      </c>
      <c r="L841" s="22">
        <f t="array" ref="L841">IF($D841="","",IFERROR(INDEX(MASTER_SOURCE!$D$2:$D$495,MATCH($I841,MASTER_SOURCE!$A$2:$A$495,0)),""))</f>
        <v/>
      </c>
      <c r="M841" s="24" t="n"/>
      <c r="N841" s="24" t="n"/>
      <c r="O841" s="24" t="n"/>
      <c r="P841" s="24" t="n"/>
      <c r="Q841" s="22">
        <f>IF($D841="","",IF(AND(OR(DANH_MUC!$L$5&lt;&gt;"Có",M841="Có"),OR(DANH_MUC!$L$6&lt;&gt;"Có",N841="Có"),OR(DANH_MUC!$L$7&lt;&gt;"Có",O841="Có"),OR(DANH_MUC!$L$8&lt;&gt;"Có",P841="Có")),"Có","Không"))</f>
        <v/>
      </c>
      <c r="R841" s="22">
        <f>IF($D841="","",IF(COUNTIF($D$2:$D841,$D841)&gt;1,"Trùng",""))</f>
        <v/>
      </c>
      <c r="S841" s="22">
        <f>IF($D841="","",IF(AND(LEN($D841)=10,LEFT($D841,1)="0",ISNUMBER(--$D841)),"Có","Không"))</f>
        <v/>
      </c>
      <c r="T841" s="22">
        <f>IF($D841="","",IF(AND($C841&lt;&gt;"",$Q841="Có",$R841="",$S841="Có",AND($L841&lt;&gt;"",OR($L841&lt;&gt;"Chưa xác định",DANH_MUC!$L$9="Có"))),"Có","Không"))</f>
        <v/>
      </c>
      <c r="U841" s="22">
        <f>IF(OR($D841="",$T841="Có"),"",IF($C841="","Thiếu họ tên; ","")&amp;IF($S841&lt;&gt;"Có","SĐT sai định dạng; ","")&amp;IF($R841="Trùng","Trùng SĐT; ","")&amp;IF($Q841&lt;&gt;"Có","Thiếu đồng ý bắt buộc; ","")&amp;IF($L841="","Thiếu/sai Mã REF; ",IF(AND($L841="Chưa xác định",DANH_MUC!$L$9&lt;&gt;"Có"),"Nguồn chưa xác định; ","")))</f>
        <v/>
      </c>
      <c r="V841" s="22">
        <f>IF(OR($D841="",$R841="Trùng"),"",IF(COUNTIF(ORDERS!$C$2:$C$4995,$D841)&gt;0,"Có","Không"))</f>
        <v/>
      </c>
      <c r="W841" s="22">
        <f>IF(OR($D841="",$R841="Trùng"),"",COUNTIFS(ORDERS!$C$2:$C$4995,$D841,ORDERS!$L$2:$L$4995,"Đã chuyển khoản"))</f>
        <v/>
      </c>
      <c r="X841" s="23">
        <f>IF(OR($D841="",$R841="Trùng"),"",SUMIFS(ORDERS!$J$2:$J$4995,ORDERS!$C$2:$C$4995,$D841,ORDERS!$L$2:$L$4995,"Đã chuyển khoản"))</f>
        <v/>
      </c>
      <c r="Y841" s="24" t="n"/>
    </row>
    <row r="842" ht="14.25" customHeight="1" s="40">
      <c r="A842" s="24" t="n"/>
      <c r="B842" s="27" t="n"/>
      <c r="C842" s="24" t="n"/>
      <c r="D842" s="28" t="n"/>
      <c r="E842" s="29" t="n"/>
      <c r="F842" s="24" t="n"/>
      <c r="G842" s="24" t="n"/>
      <c r="H842" s="21">
        <f>IF(ISNUMBER($B842),INT($B842)-WEEKDAY($B842,2)+1,"")</f>
        <v/>
      </c>
      <c r="I842" s="24" t="n"/>
      <c r="J842" s="22">
        <f t="array" ref="J842">IF($D842="","",IF($I842="","(trống REF)",IFERROR(INDEX(MASTER_SOURCE!$B$2:$B$495,MATCH($I842,MASTER_SOURCE!$A$2:$A$495,0)),"(REF không có trong MASTER_SOURCE)")))</f>
        <v/>
      </c>
      <c r="K842" s="22">
        <f t="array" ref="K842">IF($D842="","",IFERROR(INDEX(MASTER_SOURCE!$C$2:$C$495,MATCH($I842,MASTER_SOURCE!$A$2:$A$495,0)),""))</f>
        <v/>
      </c>
      <c r="L842" s="22">
        <f t="array" ref="L842">IF($D842="","",IFERROR(INDEX(MASTER_SOURCE!$D$2:$D$495,MATCH($I842,MASTER_SOURCE!$A$2:$A$495,0)),""))</f>
        <v/>
      </c>
      <c r="M842" s="24" t="n"/>
      <c r="N842" s="24" t="n"/>
      <c r="O842" s="24" t="n"/>
      <c r="P842" s="24" t="n"/>
      <c r="Q842" s="22">
        <f>IF($D842="","",IF(AND(OR(DANH_MUC!$L$5&lt;&gt;"Có",M842="Có"),OR(DANH_MUC!$L$6&lt;&gt;"Có",N842="Có"),OR(DANH_MUC!$L$7&lt;&gt;"Có",O842="Có"),OR(DANH_MUC!$L$8&lt;&gt;"Có",P842="Có")),"Có","Không"))</f>
        <v/>
      </c>
      <c r="R842" s="22">
        <f>IF($D842="","",IF(COUNTIF($D$2:$D842,$D842)&gt;1,"Trùng",""))</f>
        <v/>
      </c>
      <c r="S842" s="22">
        <f>IF($D842="","",IF(AND(LEN($D842)=10,LEFT($D842,1)="0",ISNUMBER(--$D842)),"Có","Không"))</f>
        <v/>
      </c>
      <c r="T842" s="22">
        <f>IF($D842="","",IF(AND($C842&lt;&gt;"",$Q842="Có",$R842="",$S842="Có",AND($L842&lt;&gt;"",OR($L842&lt;&gt;"Chưa xác định",DANH_MUC!$L$9="Có"))),"Có","Không"))</f>
        <v/>
      </c>
      <c r="U842" s="22">
        <f>IF(OR($D842="",$T842="Có"),"",IF($C842="","Thiếu họ tên; ","")&amp;IF($S842&lt;&gt;"Có","SĐT sai định dạng; ","")&amp;IF($R842="Trùng","Trùng SĐT; ","")&amp;IF($Q842&lt;&gt;"Có","Thiếu đồng ý bắt buộc; ","")&amp;IF($L842="","Thiếu/sai Mã REF; ",IF(AND($L842="Chưa xác định",DANH_MUC!$L$9&lt;&gt;"Có"),"Nguồn chưa xác định; ","")))</f>
        <v/>
      </c>
      <c r="V842" s="22">
        <f>IF(OR($D842="",$R842="Trùng"),"",IF(COUNTIF(ORDERS!$C$2:$C$4995,$D842)&gt;0,"Có","Không"))</f>
        <v/>
      </c>
      <c r="W842" s="22">
        <f>IF(OR($D842="",$R842="Trùng"),"",COUNTIFS(ORDERS!$C$2:$C$4995,$D842,ORDERS!$L$2:$L$4995,"Đã chuyển khoản"))</f>
        <v/>
      </c>
      <c r="X842" s="23">
        <f>IF(OR($D842="",$R842="Trùng"),"",SUMIFS(ORDERS!$J$2:$J$4995,ORDERS!$C$2:$C$4995,$D842,ORDERS!$L$2:$L$4995,"Đã chuyển khoản"))</f>
        <v/>
      </c>
      <c r="Y842" s="24" t="n"/>
    </row>
    <row r="843" ht="14.25" customHeight="1" s="40">
      <c r="A843" s="24" t="n"/>
      <c r="B843" s="27" t="n"/>
      <c r="C843" s="24" t="n"/>
      <c r="D843" s="28" t="n"/>
      <c r="E843" s="29" t="n"/>
      <c r="F843" s="24" t="n"/>
      <c r="G843" s="24" t="n"/>
      <c r="H843" s="21">
        <f>IF(ISNUMBER($B843),INT($B843)-WEEKDAY($B843,2)+1,"")</f>
        <v/>
      </c>
      <c r="I843" s="24" t="n"/>
      <c r="J843" s="22">
        <f t="array" ref="J843">IF($D843="","",IF($I843="","(trống REF)",IFERROR(INDEX(MASTER_SOURCE!$B$2:$B$495,MATCH($I843,MASTER_SOURCE!$A$2:$A$495,0)),"(REF không có trong MASTER_SOURCE)")))</f>
        <v/>
      </c>
      <c r="K843" s="22">
        <f t="array" ref="K843">IF($D843="","",IFERROR(INDEX(MASTER_SOURCE!$C$2:$C$495,MATCH($I843,MASTER_SOURCE!$A$2:$A$495,0)),""))</f>
        <v/>
      </c>
      <c r="L843" s="22">
        <f t="array" ref="L843">IF($D843="","",IFERROR(INDEX(MASTER_SOURCE!$D$2:$D$495,MATCH($I843,MASTER_SOURCE!$A$2:$A$495,0)),""))</f>
        <v/>
      </c>
      <c r="M843" s="24" t="n"/>
      <c r="N843" s="24" t="n"/>
      <c r="O843" s="24" t="n"/>
      <c r="P843" s="24" t="n"/>
      <c r="Q843" s="22">
        <f>IF($D843="","",IF(AND(OR(DANH_MUC!$L$5&lt;&gt;"Có",M843="Có"),OR(DANH_MUC!$L$6&lt;&gt;"Có",N843="Có"),OR(DANH_MUC!$L$7&lt;&gt;"Có",O843="Có"),OR(DANH_MUC!$L$8&lt;&gt;"Có",P843="Có")),"Có","Không"))</f>
        <v/>
      </c>
      <c r="R843" s="22">
        <f>IF($D843="","",IF(COUNTIF($D$2:$D843,$D843)&gt;1,"Trùng",""))</f>
        <v/>
      </c>
      <c r="S843" s="22">
        <f>IF($D843="","",IF(AND(LEN($D843)=10,LEFT($D843,1)="0",ISNUMBER(--$D843)),"Có","Không"))</f>
        <v/>
      </c>
      <c r="T843" s="22">
        <f>IF($D843="","",IF(AND($C843&lt;&gt;"",$Q843="Có",$R843="",$S843="Có",AND($L843&lt;&gt;"",OR($L843&lt;&gt;"Chưa xác định",DANH_MUC!$L$9="Có"))),"Có","Không"))</f>
        <v/>
      </c>
      <c r="U843" s="22">
        <f>IF(OR($D843="",$T843="Có"),"",IF($C843="","Thiếu họ tên; ","")&amp;IF($S843&lt;&gt;"Có","SĐT sai định dạng; ","")&amp;IF($R843="Trùng","Trùng SĐT; ","")&amp;IF($Q843&lt;&gt;"Có","Thiếu đồng ý bắt buộc; ","")&amp;IF($L843="","Thiếu/sai Mã REF; ",IF(AND($L843="Chưa xác định",DANH_MUC!$L$9&lt;&gt;"Có"),"Nguồn chưa xác định; ","")))</f>
        <v/>
      </c>
      <c r="V843" s="22">
        <f>IF(OR($D843="",$R843="Trùng"),"",IF(COUNTIF(ORDERS!$C$2:$C$4995,$D843)&gt;0,"Có","Không"))</f>
        <v/>
      </c>
      <c r="W843" s="22">
        <f>IF(OR($D843="",$R843="Trùng"),"",COUNTIFS(ORDERS!$C$2:$C$4995,$D843,ORDERS!$L$2:$L$4995,"Đã chuyển khoản"))</f>
        <v/>
      </c>
      <c r="X843" s="23">
        <f>IF(OR($D843="",$R843="Trùng"),"",SUMIFS(ORDERS!$J$2:$J$4995,ORDERS!$C$2:$C$4995,$D843,ORDERS!$L$2:$L$4995,"Đã chuyển khoản"))</f>
        <v/>
      </c>
      <c r="Y843" s="24" t="n"/>
    </row>
    <row r="844" ht="14.25" customHeight="1" s="40">
      <c r="A844" s="24" t="n"/>
      <c r="B844" s="27" t="n"/>
      <c r="C844" s="24" t="n"/>
      <c r="D844" s="28" t="n"/>
      <c r="E844" s="29" t="n"/>
      <c r="F844" s="24" t="n"/>
      <c r="G844" s="24" t="n"/>
      <c r="H844" s="21">
        <f>IF(ISNUMBER($B844),INT($B844)-WEEKDAY($B844,2)+1,"")</f>
        <v/>
      </c>
      <c r="I844" s="24" t="n"/>
      <c r="J844" s="22">
        <f t="array" ref="J844">IF($D844="","",IF($I844="","(trống REF)",IFERROR(INDEX(MASTER_SOURCE!$B$2:$B$495,MATCH($I844,MASTER_SOURCE!$A$2:$A$495,0)),"(REF không có trong MASTER_SOURCE)")))</f>
        <v/>
      </c>
      <c r="K844" s="22">
        <f t="array" ref="K844">IF($D844="","",IFERROR(INDEX(MASTER_SOURCE!$C$2:$C$495,MATCH($I844,MASTER_SOURCE!$A$2:$A$495,0)),""))</f>
        <v/>
      </c>
      <c r="L844" s="22">
        <f t="array" ref="L844">IF($D844="","",IFERROR(INDEX(MASTER_SOURCE!$D$2:$D$495,MATCH($I844,MASTER_SOURCE!$A$2:$A$495,0)),""))</f>
        <v/>
      </c>
      <c r="M844" s="24" t="n"/>
      <c r="N844" s="24" t="n"/>
      <c r="O844" s="24" t="n"/>
      <c r="P844" s="24" t="n"/>
      <c r="Q844" s="22">
        <f>IF($D844="","",IF(AND(OR(DANH_MUC!$L$5&lt;&gt;"Có",M844="Có"),OR(DANH_MUC!$L$6&lt;&gt;"Có",N844="Có"),OR(DANH_MUC!$L$7&lt;&gt;"Có",O844="Có"),OR(DANH_MUC!$L$8&lt;&gt;"Có",P844="Có")),"Có","Không"))</f>
        <v/>
      </c>
      <c r="R844" s="22">
        <f>IF($D844="","",IF(COUNTIF($D$2:$D844,$D844)&gt;1,"Trùng",""))</f>
        <v/>
      </c>
      <c r="S844" s="22">
        <f>IF($D844="","",IF(AND(LEN($D844)=10,LEFT($D844,1)="0",ISNUMBER(--$D844)),"Có","Không"))</f>
        <v/>
      </c>
      <c r="T844" s="22">
        <f>IF($D844="","",IF(AND($C844&lt;&gt;"",$Q844="Có",$R844="",$S844="Có",AND($L844&lt;&gt;"",OR($L844&lt;&gt;"Chưa xác định",DANH_MUC!$L$9="Có"))),"Có","Không"))</f>
        <v/>
      </c>
      <c r="U844" s="22">
        <f>IF(OR($D844="",$T844="Có"),"",IF($C844="","Thiếu họ tên; ","")&amp;IF($S844&lt;&gt;"Có","SĐT sai định dạng; ","")&amp;IF($R844="Trùng","Trùng SĐT; ","")&amp;IF($Q844&lt;&gt;"Có","Thiếu đồng ý bắt buộc; ","")&amp;IF($L844="","Thiếu/sai Mã REF; ",IF(AND($L844="Chưa xác định",DANH_MUC!$L$9&lt;&gt;"Có"),"Nguồn chưa xác định; ","")))</f>
        <v/>
      </c>
      <c r="V844" s="22">
        <f>IF(OR($D844="",$R844="Trùng"),"",IF(COUNTIF(ORDERS!$C$2:$C$4995,$D844)&gt;0,"Có","Không"))</f>
        <v/>
      </c>
      <c r="W844" s="22">
        <f>IF(OR($D844="",$R844="Trùng"),"",COUNTIFS(ORDERS!$C$2:$C$4995,$D844,ORDERS!$L$2:$L$4995,"Đã chuyển khoản"))</f>
        <v/>
      </c>
      <c r="X844" s="23">
        <f>IF(OR($D844="",$R844="Trùng"),"",SUMIFS(ORDERS!$J$2:$J$4995,ORDERS!$C$2:$C$4995,$D844,ORDERS!$L$2:$L$4995,"Đã chuyển khoản"))</f>
        <v/>
      </c>
      <c r="Y844" s="24" t="n"/>
    </row>
    <row r="845" ht="14.25" customHeight="1" s="40">
      <c r="A845" s="24" t="n"/>
      <c r="B845" s="27" t="n"/>
      <c r="C845" s="24" t="n"/>
      <c r="D845" s="28" t="n"/>
      <c r="E845" s="29" t="n"/>
      <c r="F845" s="24" t="n"/>
      <c r="G845" s="24" t="n"/>
      <c r="H845" s="21">
        <f>IF(ISNUMBER($B845),INT($B845)-WEEKDAY($B845,2)+1,"")</f>
        <v/>
      </c>
      <c r="I845" s="24" t="n"/>
      <c r="J845" s="22">
        <f t="array" ref="J845">IF($D845="","",IF($I845="","(trống REF)",IFERROR(INDEX(MASTER_SOURCE!$B$2:$B$495,MATCH($I845,MASTER_SOURCE!$A$2:$A$495,0)),"(REF không có trong MASTER_SOURCE)")))</f>
        <v/>
      </c>
      <c r="K845" s="22">
        <f t="array" ref="K845">IF($D845="","",IFERROR(INDEX(MASTER_SOURCE!$C$2:$C$495,MATCH($I845,MASTER_SOURCE!$A$2:$A$495,0)),""))</f>
        <v/>
      </c>
      <c r="L845" s="22">
        <f t="array" ref="L845">IF($D845="","",IFERROR(INDEX(MASTER_SOURCE!$D$2:$D$495,MATCH($I845,MASTER_SOURCE!$A$2:$A$495,0)),""))</f>
        <v/>
      </c>
      <c r="M845" s="24" t="n"/>
      <c r="N845" s="24" t="n"/>
      <c r="O845" s="24" t="n"/>
      <c r="P845" s="24" t="n"/>
      <c r="Q845" s="22">
        <f>IF($D845="","",IF(AND(OR(DANH_MUC!$L$5&lt;&gt;"Có",M845="Có"),OR(DANH_MUC!$L$6&lt;&gt;"Có",N845="Có"),OR(DANH_MUC!$L$7&lt;&gt;"Có",O845="Có"),OR(DANH_MUC!$L$8&lt;&gt;"Có",P845="Có")),"Có","Không"))</f>
        <v/>
      </c>
      <c r="R845" s="22">
        <f>IF($D845="","",IF(COUNTIF($D$2:$D845,$D845)&gt;1,"Trùng",""))</f>
        <v/>
      </c>
      <c r="S845" s="22">
        <f>IF($D845="","",IF(AND(LEN($D845)=10,LEFT($D845,1)="0",ISNUMBER(--$D845)),"Có","Không"))</f>
        <v/>
      </c>
      <c r="T845" s="22">
        <f>IF($D845="","",IF(AND($C845&lt;&gt;"",$Q845="Có",$R845="",$S845="Có",AND($L845&lt;&gt;"",OR($L845&lt;&gt;"Chưa xác định",DANH_MUC!$L$9="Có"))),"Có","Không"))</f>
        <v/>
      </c>
      <c r="U845" s="22">
        <f>IF(OR($D845="",$T845="Có"),"",IF($C845="","Thiếu họ tên; ","")&amp;IF($S845&lt;&gt;"Có","SĐT sai định dạng; ","")&amp;IF($R845="Trùng","Trùng SĐT; ","")&amp;IF($Q845&lt;&gt;"Có","Thiếu đồng ý bắt buộc; ","")&amp;IF($L845="","Thiếu/sai Mã REF; ",IF(AND($L845="Chưa xác định",DANH_MUC!$L$9&lt;&gt;"Có"),"Nguồn chưa xác định; ","")))</f>
        <v/>
      </c>
      <c r="V845" s="22">
        <f>IF(OR($D845="",$R845="Trùng"),"",IF(COUNTIF(ORDERS!$C$2:$C$4995,$D845)&gt;0,"Có","Không"))</f>
        <v/>
      </c>
      <c r="W845" s="22">
        <f>IF(OR($D845="",$R845="Trùng"),"",COUNTIFS(ORDERS!$C$2:$C$4995,$D845,ORDERS!$L$2:$L$4995,"Đã chuyển khoản"))</f>
        <v/>
      </c>
      <c r="X845" s="23">
        <f>IF(OR($D845="",$R845="Trùng"),"",SUMIFS(ORDERS!$J$2:$J$4995,ORDERS!$C$2:$C$4995,$D845,ORDERS!$L$2:$L$4995,"Đã chuyển khoản"))</f>
        <v/>
      </c>
      <c r="Y845" s="24" t="n"/>
    </row>
    <row r="846" ht="14.25" customHeight="1" s="40">
      <c r="A846" s="24" t="n"/>
      <c r="B846" s="27" t="n"/>
      <c r="C846" s="24" t="n"/>
      <c r="D846" s="28" t="n"/>
      <c r="E846" s="29" t="n"/>
      <c r="F846" s="24" t="n"/>
      <c r="G846" s="24" t="n"/>
      <c r="H846" s="21">
        <f>IF(ISNUMBER($B846),INT($B846)-WEEKDAY($B846,2)+1,"")</f>
        <v/>
      </c>
      <c r="I846" s="24" t="n"/>
      <c r="J846" s="22">
        <f t="array" ref="J846">IF($D846="","",IF($I846="","(trống REF)",IFERROR(INDEX(MASTER_SOURCE!$B$2:$B$495,MATCH($I846,MASTER_SOURCE!$A$2:$A$495,0)),"(REF không có trong MASTER_SOURCE)")))</f>
        <v/>
      </c>
      <c r="K846" s="22">
        <f t="array" ref="K846">IF($D846="","",IFERROR(INDEX(MASTER_SOURCE!$C$2:$C$495,MATCH($I846,MASTER_SOURCE!$A$2:$A$495,0)),""))</f>
        <v/>
      </c>
      <c r="L846" s="22">
        <f t="array" ref="L846">IF($D846="","",IFERROR(INDEX(MASTER_SOURCE!$D$2:$D$495,MATCH($I846,MASTER_SOURCE!$A$2:$A$495,0)),""))</f>
        <v/>
      </c>
      <c r="M846" s="24" t="n"/>
      <c r="N846" s="24" t="n"/>
      <c r="O846" s="24" t="n"/>
      <c r="P846" s="24" t="n"/>
      <c r="Q846" s="22">
        <f>IF($D846="","",IF(AND(OR(DANH_MUC!$L$5&lt;&gt;"Có",M846="Có"),OR(DANH_MUC!$L$6&lt;&gt;"Có",N846="Có"),OR(DANH_MUC!$L$7&lt;&gt;"Có",O846="Có"),OR(DANH_MUC!$L$8&lt;&gt;"Có",P846="Có")),"Có","Không"))</f>
        <v/>
      </c>
      <c r="R846" s="22">
        <f>IF($D846="","",IF(COUNTIF($D$2:$D846,$D846)&gt;1,"Trùng",""))</f>
        <v/>
      </c>
      <c r="S846" s="22">
        <f>IF($D846="","",IF(AND(LEN($D846)=10,LEFT($D846,1)="0",ISNUMBER(--$D846)),"Có","Không"))</f>
        <v/>
      </c>
      <c r="T846" s="22">
        <f>IF($D846="","",IF(AND($C846&lt;&gt;"",$Q846="Có",$R846="",$S846="Có",AND($L846&lt;&gt;"",OR($L846&lt;&gt;"Chưa xác định",DANH_MUC!$L$9="Có"))),"Có","Không"))</f>
        <v/>
      </c>
      <c r="U846" s="22">
        <f>IF(OR($D846="",$T846="Có"),"",IF($C846="","Thiếu họ tên; ","")&amp;IF($S846&lt;&gt;"Có","SĐT sai định dạng; ","")&amp;IF($R846="Trùng","Trùng SĐT; ","")&amp;IF($Q846&lt;&gt;"Có","Thiếu đồng ý bắt buộc; ","")&amp;IF($L846="","Thiếu/sai Mã REF; ",IF(AND($L846="Chưa xác định",DANH_MUC!$L$9&lt;&gt;"Có"),"Nguồn chưa xác định; ","")))</f>
        <v/>
      </c>
      <c r="V846" s="22">
        <f>IF(OR($D846="",$R846="Trùng"),"",IF(COUNTIF(ORDERS!$C$2:$C$4995,$D846)&gt;0,"Có","Không"))</f>
        <v/>
      </c>
      <c r="W846" s="22">
        <f>IF(OR($D846="",$R846="Trùng"),"",COUNTIFS(ORDERS!$C$2:$C$4995,$D846,ORDERS!$L$2:$L$4995,"Đã chuyển khoản"))</f>
        <v/>
      </c>
      <c r="X846" s="23">
        <f>IF(OR($D846="",$R846="Trùng"),"",SUMIFS(ORDERS!$J$2:$J$4995,ORDERS!$C$2:$C$4995,$D846,ORDERS!$L$2:$L$4995,"Đã chuyển khoản"))</f>
        <v/>
      </c>
      <c r="Y846" s="24" t="n"/>
    </row>
    <row r="847" ht="14.25" customHeight="1" s="40">
      <c r="A847" s="24" t="n"/>
      <c r="B847" s="27" t="n"/>
      <c r="C847" s="24" t="n"/>
      <c r="D847" s="28" t="n"/>
      <c r="E847" s="29" t="n"/>
      <c r="F847" s="24" t="n"/>
      <c r="G847" s="24" t="n"/>
      <c r="H847" s="21">
        <f>IF(ISNUMBER($B847),INT($B847)-WEEKDAY($B847,2)+1,"")</f>
        <v/>
      </c>
      <c r="I847" s="24" t="n"/>
      <c r="J847" s="22">
        <f t="array" ref="J847">IF($D847="","",IF($I847="","(trống REF)",IFERROR(INDEX(MASTER_SOURCE!$B$2:$B$495,MATCH($I847,MASTER_SOURCE!$A$2:$A$495,0)),"(REF không có trong MASTER_SOURCE)")))</f>
        <v/>
      </c>
      <c r="K847" s="22">
        <f t="array" ref="K847">IF($D847="","",IFERROR(INDEX(MASTER_SOURCE!$C$2:$C$495,MATCH($I847,MASTER_SOURCE!$A$2:$A$495,0)),""))</f>
        <v/>
      </c>
      <c r="L847" s="22">
        <f t="array" ref="L847">IF($D847="","",IFERROR(INDEX(MASTER_SOURCE!$D$2:$D$495,MATCH($I847,MASTER_SOURCE!$A$2:$A$495,0)),""))</f>
        <v/>
      </c>
      <c r="M847" s="24" t="n"/>
      <c r="N847" s="24" t="n"/>
      <c r="O847" s="24" t="n"/>
      <c r="P847" s="24" t="n"/>
      <c r="Q847" s="22">
        <f>IF($D847="","",IF(AND(OR(DANH_MUC!$L$5&lt;&gt;"Có",M847="Có"),OR(DANH_MUC!$L$6&lt;&gt;"Có",N847="Có"),OR(DANH_MUC!$L$7&lt;&gt;"Có",O847="Có"),OR(DANH_MUC!$L$8&lt;&gt;"Có",P847="Có")),"Có","Không"))</f>
        <v/>
      </c>
      <c r="R847" s="22">
        <f>IF($D847="","",IF(COUNTIF($D$2:$D847,$D847)&gt;1,"Trùng",""))</f>
        <v/>
      </c>
      <c r="S847" s="22">
        <f>IF($D847="","",IF(AND(LEN($D847)=10,LEFT($D847,1)="0",ISNUMBER(--$D847)),"Có","Không"))</f>
        <v/>
      </c>
      <c r="T847" s="22">
        <f>IF($D847="","",IF(AND($C847&lt;&gt;"",$Q847="Có",$R847="",$S847="Có",AND($L847&lt;&gt;"",OR($L847&lt;&gt;"Chưa xác định",DANH_MUC!$L$9="Có"))),"Có","Không"))</f>
        <v/>
      </c>
      <c r="U847" s="22">
        <f>IF(OR($D847="",$T847="Có"),"",IF($C847="","Thiếu họ tên; ","")&amp;IF($S847&lt;&gt;"Có","SĐT sai định dạng; ","")&amp;IF($R847="Trùng","Trùng SĐT; ","")&amp;IF($Q847&lt;&gt;"Có","Thiếu đồng ý bắt buộc; ","")&amp;IF($L847="","Thiếu/sai Mã REF; ",IF(AND($L847="Chưa xác định",DANH_MUC!$L$9&lt;&gt;"Có"),"Nguồn chưa xác định; ","")))</f>
        <v/>
      </c>
      <c r="V847" s="22">
        <f>IF(OR($D847="",$R847="Trùng"),"",IF(COUNTIF(ORDERS!$C$2:$C$4995,$D847)&gt;0,"Có","Không"))</f>
        <v/>
      </c>
      <c r="W847" s="22">
        <f>IF(OR($D847="",$R847="Trùng"),"",COUNTIFS(ORDERS!$C$2:$C$4995,$D847,ORDERS!$L$2:$L$4995,"Đã chuyển khoản"))</f>
        <v/>
      </c>
      <c r="X847" s="23">
        <f>IF(OR($D847="",$R847="Trùng"),"",SUMIFS(ORDERS!$J$2:$J$4995,ORDERS!$C$2:$C$4995,$D847,ORDERS!$L$2:$L$4995,"Đã chuyển khoản"))</f>
        <v/>
      </c>
      <c r="Y847" s="24" t="n"/>
    </row>
    <row r="848" ht="14.25" customHeight="1" s="40">
      <c r="A848" s="24" t="n"/>
      <c r="B848" s="27" t="n"/>
      <c r="C848" s="24" t="n"/>
      <c r="D848" s="28" t="n"/>
      <c r="E848" s="29" t="n"/>
      <c r="F848" s="24" t="n"/>
      <c r="G848" s="24" t="n"/>
      <c r="H848" s="21">
        <f>IF(ISNUMBER($B848),INT($B848)-WEEKDAY($B848,2)+1,"")</f>
        <v/>
      </c>
      <c r="I848" s="24" t="n"/>
      <c r="J848" s="22">
        <f t="array" ref="J848">IF($D848="","",IF($I848="","(trống REF)",IFERROR(INDEX(MASTER_SOURCE!$B$2:$B$495,MATCH($I848,MASTER_SOURCE!$A$2:$A$495,0)),"(REF không có trong MASTER_SOURCE)")))</f>
        <v/>
      </c>
      <c r="K848" s="22">
        <f t="array" ref="K848">IF($D848="","",IFERROR(INDEX(MASTER_SOURCE!$C$2:$C$495,MATCH($I848,MASTER_SOURCE!$A$2:$A$495,0)),""))</f>
        <v/>
      </c>
      <c r="L848" s="22">
        <f t="array" ref="L848">IF($D848="","",IFERROR(INDEX(MASTER_SOURCE!$D$2:$D$495,MATCH($I848,MASTER_SOURCE!$A$2:$A$495,0)),""))</f>
        <v/>
      </c>
      <c r="M848" s="24" t="n"/>
      <c r="N848" s="24" t="n"/>
      <c r="O848" s="24" t="n"/>
      <c r="P848" s="24" t="n"/>
      <c r="Q848" s="22">
        <f>IF($D848="","",IF(AND(OR(DANH_MUC!$L$5&lt;&gt;"Có",M848="Có"),OR(DANH_MUC!$L$6&lt;&gt;"Có",N848="Có"),OR(DANH_MUC!$L$7&lt;&gt;"Có",O848="Có"),OR(DANH_MUC!$L$8&lt;&gt;"Có",P848="Có")),"Có","Không"))</f>
        <v/>
      </c>
      <c r="R848" s="22">
        <f>IF($D848="","",IF(COUNTIF($D$2:$D848,$D848)&gt;1,"Trùng",""))</f>
        <v/>
      </c>
      <c r="S848" s="22">
        <f>IF($D848="","",IF(AND(LEN($D848)=10,LEFT($D848,1)="0",ISNUMBER(--$D848)),"Có","Không"))</f>
        <v/>
      </c>
      <c r="T848" s="22">
        <f>IF($D848="","",IF(AND($C848&lt;&gt;"",$Q848="Có",$R848="",$S848="Có",AND($L848&lt;&gt;"",OR($L848&lt;&gt;"Chưa xác định",DANH_MUC!$L$9="Có"))),"Có","Không"))</f>
        <v/>
      </c>
      <c r="U848" s="22">
        <f>IF(OR($D848="",$T848="Có"),"",IF($C848="","Thiếu họ tên; ","")&amp;IF($S848&lt;&gt;"Có","SĐT sai định dạng; ","")&amp;IF($R848="Trùng","Trùng SĐT; ","")&amp;IF($Q848&lt;&gt;"Có","Thiếu đồng ý bắt buộc; ","")&amp;IF($L848="","Thiếu/sai Mã REF; ",IF(AND($L848="Chưa xác định",DANH_MUC!$L$9&lt;&gt;"Có"),"Nguồn chưa xác định; ","")))</f>
        <v/>
      </c>
      <c r="V848" s="22">
        <f>IF(OR($D848="",$R848="Trùng"),"",IF(COUNTIF(ORDERS!$C$2:$C$4995,$D848)&gt;0,"Có","Không"))</f>
        <v/>
      </c>
      <c r="W848" s="22">
        <f>IF(OR($D848="",$R848="Trùng"),"",COUNTIFS(ORDERS!$C$2:$C$4995,$D848,ORDERS!$L$2:$L$4995,"Đã chuyển khoản"))</f>
        <v/>
      </c>
      <c r="X848" s="23">
        <f>IF(OR($D848="",$R848="Trùng"),"",SUMIFS(ORDERS!$J$2:$J$4995,ORDERS!$C$2:$C$4995,$D848,ORDERS!$L$2:$L$4995,"Đã chuyển khoản"))</f>
        <v/>
      </c>
      <c r="Y848" s="24" t="n"/>
    </row>
    <row r="849" ht="14.25" customHeight="1" s="40">
      <c r="A849" s="24" t="n"/>
      <c r="B849" s="27" t="n"/>
      <c r="C849" s="24" t="n"/>
      <c r="D849" s="28" t="n"/>
      <c r="E849" s="29" t="n"/>
      <c r="F849" s="24" t="n"/>
      <c r="G849" s="24" t="n"/>
      <c r="H849" s="21">
        <f>IF(ISNUMBER($B849),INT($B849)-WEEKDAY($B849,2)+1,"")</f>
        <v/>
      </c>
      <c r="I849" s="24" t="n"/>
      <c r="J849" s="22">
        <f t="array" ref="J849">IF($D849="","",IF($I849="","(trống REF)",IFERROR(INDEX(MASTER_SOURCE!$B$2:$B$495,MATCH($I849,MASTER_SOURCE!$A$2:$A$495,0)),"(REF không có trong MASTER_SOURCE)")))</f>
        <v/>
      </c>
      <c r="K849" s="22">
        <f t="array" ref="K849">IF($D849="","",IFERROR(INDEX(MASTER_SOURCE!$C$2:$C$495,MATCH($I849,MASTER_SOURCE!$A$2:$A$495,0)),""))</f>
        <v/>
      </c>
      <c r="L849" s="22">
        <f t="array" ref="L849">IF($D849="","",IFERROR(INDEX(MASTER_SOURCE!$D$2:$D$495,MATCH($I849,MASTER_SOURCE!$A$2:$A$495,0)),""))</f>
        <v/>
      </c>
      <c r="M849" s="24" t="n"/>
      <c r="N849" s="24" t="n"/>
      <c r="O849" s="24" t="n"/>
      <c r="P849" s="24" t="n"/>
      <c r="Q849" s="22">
        <f>IF($D849="","",IF(AND(OR(DANH_MUC!$L$5&lt;&gt;"Có",M849="Có"),OR(DANH_MUC!$L$6&lt;&gt;"Có",N849="Có"),OR(DANH_MUC!$L$7&lt;&gt;"Có",O849="Có"),OR(DANH_MUC!$L$8&lt;&gt;"Có",P849="Có")),"Có","Không"))</f>
        <v/>
      </c>
      <c r="R849" s="22">
        <f>IF($D849="","",IF(COUNTIF($D$2:$D849,$D849)&gt;1,"Trùng",""))</f>
        <v/>
      </c>
      <c r="S849" s="22">
        <f>IF($D849="","",IF(AND(LEN($D849)=10,LEFT($D849,1)="0",ISNUMBER(--$D849)),"Có","Không"))</f>
        <v/>
      </c>
      <c r="T849" s="22">
        <f>IF($D849="","",IF(AND($C849&lt;&gt;"",$Q849="Có",$R849="",$S849="Có",AND($L849&lt;&gt;"",OR($L849&lt;&gt;"Chưa xác định",DANH_MUC!$L$9="Có"))),"Có","Không"))</f>
        <v/>
      </c>
      <c r="U849" s="22">
        <f>IF(OR($D849="",$T849="Có"),"",IF($C849="","Thiếu họ tên; ","")&amp;IF($S849&lt;&gt;"Có","SĐT sai định dạng; ","")&amp;IF($R849="Trùng","Trùng SĐT; ","")&amp;IF($Q849&lt;&gt;"Có","Thiếu đồng ý bắt buộc; ","")&amp;IF($L849="","Thiếu/sai Mã REF; ",IF(AND($L849="Chưa xác định",DANH_MUC!$L$9&lt;&gt;"Có"),"Nguồn chưa xác định; ","")))</f>
        <v/>
      </c>
      <c r="V849" s="22">
        <f>IF(OR($D849="",$R849="Trùng"),"",IF(COUNTIF(ORDERS!$C$2:$C$4995,$D849)&gt;0,"Có","Không"))</f>
        <v/>
      </c>
      <c r="W849" s="22">
        <f>IF(OR($D849="",$R849="Trùng"),"",COUNTIFS(ORDERS!$C$2:$C$4995,$D849,ORDERS!$L$2:$L$4995,"Đã chuyển khoản"))</f>
        <v/>
      </c>
      <c r="X849" s="23">
        <f>IF(OR($D849="",$R849="Trùng"),"",SUMIFS(ORDERS!$J$2:$J$4995,ORDERS!$C$2:$C$4995,$D849,ORDERS!$L$2:$L$4995,"Đã chuyển khoản"))</f>
        <v/>
      </c>
      <c r="Y849" s="24" t="n"/>
    </row>
    <row r="850" ht="14.25" customHeight="1" s="40">
      <c r="A850" s="24" t="n"/>
      <c r="B850" s="27" t="n"/>
      <c r="C850" s="24" t="n"/>
      <c r="D850" s="28" t="n"/>
      <c r="E850" s="29" t="n"/>
      <c r="F850" s="24" t="n"/>
      <c r="G850" s="24" t="n"/>
      <c r="H850" s="21">
        <f>IF(ISNUMBER($B850),INT($B850)-WEEKDAY($B850,2)+1,"")</f>
        <v/>
      </c>
      <c r="I850" s="24" t="n"/>
      <c r="J850" s="22">
        <f t="array" ref="J850">IF($D850="","",IF($I850="","(trống REF)",IFERROR(INDEX(MASTER_SOURCE!$B$2:$B$495,MATCH($I850,MASTER_SOURCE!$A$2:$A$495,0)),"(REF không có trong MASTER_SOURCE)")))</f>
        <v/>
      </c>
      <c r="K850" s="22">
        <f t="array" ref="K850">IF($D850="","",IFERROR(INDEX(MASTER_SOURCE!$C$2:$C$495,MATCH($I850,MASTER_SOURCE!$A$2:$A$495,0)),""))</f>
        <v/>
      </c>
      <c r="L850" s="22">
        <f t="array" ref="L850">IF($D850="","",IFERROR(INDEX(MASTER_SOURCE!$D$2:$D$495,MATCH($I850,MASTER_SOURCE!$A$2:$A$495,0)),""))</f>
        <v/>
      </c>
      <c r="M850" s="24" t="n"/>
      <c r="N850" s="24" t="n"/>
      <c r="O850" s="24" t="n"/>
      <c r="P850" s="24" t="n"/>
      <c r="Q850" s="22">
        <f>IF($D850="","",IF(AND(OR(DANH_MUC!$L$5&lt;&gt;"Có",M850="Có"),OR(DANH_MUC!$L$6&lt;&gt;"Có",N850="Có"),OR(DANH_MUC!$L$7&lt;&gt;"Có",O850="Có"),OR(DANH_MUC!$L$8&lt;&gt;"Có",P850="Có")),"Có","Không"))</f>
        <v/>
      </c>
      <c r="R850" s="22">
        <f>IF($D850="","",IF(COUNTIF($D$2:$D850,$D850)&gt;1,"Trùng",""))</f>
        <v/>
      </c>
      <c r="S850" s="22">
        <f>IF($D850="","",IF(AND(LEN($D850)=10,LEFT($D850,1)="0",ISNUMBER(--$D850)),"Có","Không"))</f>
        <v/>
      </c>
      <c r="T850" s="22">
        <f>IF($D850="","",IF(AND($C850&lt;&gt;"",$Q850="Có",$R850="",$S850="Có",AND($L850&lt;&gt;"",OR($L850&lt;&gt;"Chưa xác định",DANH_MUC!$L$9="Có"))),"Có","Không"))</f>
        <v/>
      </c>
      <c r="U850" s="22">
        <f>IF(OR($D850="",$T850="Có"),"",IF($C850="","Thiếu họ tên; ","")&amp;IF($S850&lt;&gt;"Có","SĐT sai định dạng; ","")&amp;IF($R850="Trùng","Trùng SĐT; ","")&amp;IF($Q850&lt;&gt;"Có","Thiếu đồng ý bắt buộc; ","")&amp;IF($L850="","Thiếu/sai Mã REF; ",IF(AND($L850="Chưa xác định",DANH_MUC!$L$9&lt;&gt;"Có"),"Nguồn chưa xác định; ","")))</f>
        <v/>
      </c>
      <c r="V850" s="22">
        <f>IF(OR($D850="",$R850="Trùng"),"",IF(COUNTIF(ORDERS!$C$2:$C$4995,$D850)&gt;0,"Có","Không"))</f>
        <v/>
      </c>
      <c r="W850" s="22">
        <f>IF(OR($D850="",$R850="Trùng"),"",COUNTIFS(ORDERS!$C$2:$C$4995,$D850,ORDERS!$L$2:$L$4995,"Đã chuyển khoản"))</f>
        <v/>
      </c>
      <c r="X850" s="23">
        <f>IF(OR($D850="",$R850="Trùng"),"",SUMIFS(ORDERS!$J$2:$J$4995,ORDERS!$C$2:$C$4995,$D850,ORDERS!$L$2:$L$4995,"Đã chuyển khoản"))</f>
        <v/>
      </c>
      <c r="Y850" s="24" t="n"/>
    </row>
    <row r="851" ht="14.25" customHeight="1" s="40">
      <c r="A851" s="24" t="n"/>
      <c r="B851" s="27" t="n"/>
      <c r="C851" s="24" t="n"/>
      <c r="D851" s="28" t="n"/>
      <c r="E851" s="29" t="n"/>
      <c r="F851" s="24" t="n"/>
      <c r="G851" s="24" t="n"/>
      <c r="H851" s="21">
        <f>IF(ISNUMBER($B851),INT($B851)-WEEKDAY($B851,2)+1,"")</f>
        <v/>
      </c>
      <c r="I851" s="24" t="n"/>
      <c r="J851" s="22">
        <f t="array" ref="J851">IF($D851="","",IF($I851="","(trống REF)",IFERROR(INDEX(MASTER_SOURCE!$B$2:$B$495,MATCH($I851,MASTER_SOURCE!$A$2:$A$495,0)),"(REF không có trong MASTER_SOURCE)")))</f>
        <v/>
      </c>
      <c r="K851" s="22">
        <f t="array" ref="K851">IF($D851="","",IFERROR(INDEX(MASTER_SOURCE!$C$2:$C$495,MATCH($I851,MASTER_SOURCE!$A$2:$A$495,0)),""))</f>
        <v/>
      </c>
      <c r="L851" s="22">
        <f t="array" ref="L851">IF($D851="","",IFERROR(INDEX(MASTER_SOURCE!$D$2:$D$495,MATCH($I851,MASTER_SOURCE!$A$2:$A$495,0)),""))</f>
        <v/>
      </c>
      <c r="M851" s="24" t="n"/>
      <c r="N851" s="24" t="n"/>
      <c r="O851" s="24" t="n"/>
      <c r="P851" s="24" t="n"/>
      <c r="Q851" s="22">
        <f>IF($D851="","",IF(AND(OR(DANH_MUC!$L$5&lt;&gt;"Có",M851="Có"),OR(DANH_MUC!$L$6&lt;&gt;"Có",N851="Có"),OR(DANH_MUC!$L$7&lt;&gt;"Có",O851="Có"),OR(DANH_MUC!$L$8&lt;&gt;"Có",P851="Có")),"Có","Không"))</f>
        <v/>
      </c>
      <c r="R851" s="22">
        <f>IF($D851="","",IF(COUNTIF($D$2:$D851,$D851)&gt;1,"Trùng",""))</f>
        <v/>
      </c>
      <c r="S851" s="22">
        <f>IF($D851="","",IF(AND(LEN($D851)=10,LEFT($D851,1)="0",ISNUMBER(--$D851)),"Có","Không"))</f>
        <v/>
      </c>
      <c r="T851" s="22">
        <f>IF($D851="","",IF(AND($C851&lt;&gt;"",$Q851="Có",$R851="",$S851="Có",AND($L851&lt;&gt;"",OR($L851&lt;&gt;"Chưa xác định",DANH_MUC!$L$9="Có"))),"Có","Không"))</f>
        <v/>
      </c>
      <c r="U851" s="22">
        <f>IF(OR($D851="",$T851="Có"),"",IF($C851="","Thiếu họ tên; ","")&amp;IF($S851&lt;&gt;"Có","SĐT sai định dạng; ","")&amp;IF($R851="Trùng","Trùng SĐT; ","")&amp;IF($Q851&lt;&gt;"Có","Thiếu đồng ý bắt buộc; ","")&amp;IF($L851="","Thiếu/sai Mã REF; ",IF(AND($L851="Chưa xác định",DANH_MUC!$L$9&lt;&gt;"Có"),"Nguồn chưa xác định; ","")))</f>
        <v/>
      </c>
      <c r="V851" s="22">
        <f>IF(OR($D851="",$R851="Trùng"),"",IF(COUNTIF(ORDERS!$C$2:$C$4995,$D851)&gt;0,"Có","Không"))</f>
        <v/>
      </c>
      <c r="W851" s="22">
        <f>IF(OR($D851="",$R851="Trùng"),"",COUNTIFS(ORDERS!$C$2:$C$4995,$D851,ORDERS!$L$2:$L$4995,"Đã chuyển khoản"))</f>
        <v/>
      </c>
      <c r="X851" s="23">
        <f>IF(OR($D851="",$R851="Trùng"),"",SUMIFS(ORDERS!$J$2:$J$4995,ORDERS!$C$2:$C$4995,$D851,ORDERS!$L$2:$L$4995,"Đã chuyển khoản"))</f>
        <v/>
      </c>
      <c r="Y851" s="24" t="n"/>
    </row>
    <row r="852" ht="14.25" customHeight="1" s="40">
      <c r="A852" s="24" t="n"/>
      <c r="B852" s="27" t="n"/>
      <c r="C852" s="24" t="n"/>
      <c r="D852" s="28" t="n"/>
      <c r="E852" s="29" t="n"/>
      <c r="F852" s="24" t="n"/>
      <c r="G852" s="24" t="n"/>
      <c r="H852" s="21">
        <f>IF(ISNUMBER($B852),INT($B852)-WEEKDAY($B852,2)+1,"")</f>
        <v/>
      </c>
      <c r="I852" s="24" t="n"/>
      <c r="J852" s="22">
        <f t="array" ref="J852">IF($D852="","",IF($I852="","(trống REF)",IFERROR(INDEX(MASTER_SOURCE!$B$2:$B$495,MATCH($I852,MASTER_SOURCE!$A$2:$A$495,0)),"(REF không có trong MASTER_SOURCE)")))</f>
        <v/>
      </c>
      <c r="K852" s="22">
        <f t="array" ref="K852">IF($D852="","",IFERROR(INDEX(MASTER_SOURCE!$C$2:$C$495,MATCH($I852,MASTER_SOURCE!$A$2:$A$495,0)),""))</f>
        <v/>
      </c>
      <c r="L852" s="22">
        <f t="array" ref="L852">IF($D852="","",IFERROR(INDEX(MASTER_SOURCE!$D$2:$D$495,MATCH($I852,MASTER_SOURCE!$A$2:$A$495,0)),""))</f>
        <v/>
      </c>
      <c r="M852" s="24" t="n"/>
      <c r="N852" s="24" t="n"/>
      <c r="O852" s="24" t="n"/>
      <c r="P852" s="24" t="n"/>
      <c r="Q852" s="22">
        <f>IF($D852="","",IF(AND(OR(DANH_MUC!$L$5&lt;&gt;"Có",M852="Có"),OR(DANH_MUC!$L$6&lt;&gt;"Có",N852="Có"),OR(DANH_MUC!$L$7&lt;&gt;"Có",O852="Có"),OR(DANH_MUC!$L$8&lt;&gt;"Có",P852="Có")),"Có","Không"))</f>
        <v/>
      </c>
      <c r="R852" s="22">
        <f>IF($D852="","",IF(COUNTIF($D$2:$D852,$D852)&gt;1,"Trùng",""))</f>
        <v/>
      </c>
      <c r="S852" s="22">
        <f>IF($D852="","",IF(AND(LEN($D852)=10,LEFT($D852,1)="0",ISNUMBER(--$D852)),"Có","Không"))</f>
        <v/>
      </c>
      <c r="T852" s="22">
        <f>IF($D852="","",IF(AND($C852&lt;&gt;"",$Q852="Có",$R852="",$S852="Có",AND($L852&lt;&gt;"",OR($L852&lt;&gt;"Chưa xác định",DANH_MUC!$L$9="Có"))),"Có","Không"))</f>
        <v/>
      </c>
      <c r="U852" s="22">
        <f>IF(OR($D852="",$T852="Có"),"",IF($C852="","Thiếu họ tên; ","")&amp;IF($S852&lt;&gt;"Có","SĐT sai định dạng; ","")&amp;IF($R852="Trùng","Trùng SĐT; ","")&amp;IF($Q852&lt;&gt;"Có","Thiếu đồng ý bắt buộc; ","")&amp;IF($L852="","Thiếu/sai Mã REF; ",IF(AND($L852="Chưa xác định",DANH_MUC!$L$9&lt;&gt;"Có"),"Nguồn chưa xác định; ","")))</f>
        <v/>
      </c>
      <c r="V852" s="22">
        <f>IF(OR($D852="",$R852="Trùng"),"",IF(COUNTIF(ORDERS!$C$2:$C$4995,$D852)&gt;0,"Có","Không"))</f>
        <v/>
      </c>
      <c r="W852" s="22">
        <f>IF(OR($D852="",$R852="Trùng"),"",COUNTIFS(ORDERS!$C$2:$C$4995,$D852,ORDERS!$L$2:$L$4995,"Đã chuyển khoản"))</f>
        <v/>
      </c>
      <c r="X852" s="23">
        <f>IF(OR($D852="",$R852="Trùng"),"",SUMIFS(ORDERS!$J$2:$J$4995,ORDERS!$C$2:$C$4995,$D852,ORDERS!$L$2:$L$4995,"Đã chuyển khoản"))</f>
        <v/>
      </c>
      <c r="Y852" s="24" t="n"/>
    </row>
    <row r="853" ht="14.25" customHeight="1" s="40">
      <c r="A853" s="24" t="n"/>
      <c r="B853" s="27" t="n"/>
      <c r="C853" s="24" t="n"/>
      <c r="D853" s="28" t="n"/>
      <c r="E853" s="29" t="n"/>
      <c r="F853" s="24" t="n"/>
      <c r="G853" s="24" t="n"/>
      <c r="H853" s="21">
        <f>IF(ISNUMBER($B853),INT($B853)-WEEKDAY($B853,2)+1,"")</f>
        <v/>
      </c>
      <c r="I853" s="24" t="n"/>
      <c r="J853" s="22">
        <f t="array" ref="J853">IF($D853="","",IF($I853="","(trống REF)",IFERROR(INDEX(MASTER_SOURCE!$B$2:$B$495,MATCH($I853,MASTER_SOURCE!$A$2:$A$495,0)),"(REF không có trong MASTER_SOURCE)")))</f>
        <v/>
      </c>
      <c r="K853" s="22">
        <f t="array" ref="K853">IF($D853="","",IFERROR(INDEX(MASTER_SOURCE!$C$2:$C$495,MATCH($I853,MASTER_SOURCE!$A$2:$A$495,0)),""))</f>
        <v/>
      </c>
      <c r="L853" s="22">
        <f t="array" ref="L853">IF($D853="","",IFERROR(INDEX(MASTER_SOURCE!$D$2:$D$495,MATCH($I853,MASTER_SOURCE!$A$2:$A$495,0)),""))</f>
        <v/>
      </c>
      <c r="M853" s="24" t="n"/>
      <c r="N853" s="24" t="n"/>
      <c r="O853" s="24" t="n"/>
      <c r="P853" s="24" t="n"/>
      <c r="Q853" s="22">
        <f>IF($D853="","",IF(AND(OR(DANH_MUC!$L$5&lt;&gt;"Có",M853="Có"),OR(DANH_MUC!$L$6&lt;&gt;"Có",N853="Có"),OR(DANH_MUC!$L$7&lt;&gt;"Có",O853="Có"),OR(DANH_MUC!$L$8&lt;&gt;"Có",P853="Có")),"Có","Không"))</f>
        <v/>
      </c>
      <c r="R853" s="22">
        <f>IF($D853="","",IF(COUNTIF($D$2:$D853,$D853)&gt;1,"Trùng",""))</f>
        <v/>
      </c>
      <c r="S853" s="22">
        <f>IF($D853="","",IF(AND(LEN($D853)=10,LEFT($D853,1)="0",ISNUMBER(--$D853)),"Có","Không"))</f>
        <v/>
      </c>
      <c r="T853" s="22">
        <f>IF($D853="","",IF(AND($C853&lt;&gt;"",$Q853="Có",$R853="",$S853="Có",AND($L853&lt;&gt;"",OR($L853&lt;&gt;"Chưa xác định",DANH_MUC!$L$9="Có"))),"Có","Không"))</f>
        <v/>
      </c>
      <c r="U853" s="22">
        <f>IF(OR($D853="",$T853="Có"),"",IF($C853="","Thiếu họ tên; ","")&amp;IF($S853&lt;&gt;"Có","SĐT sai định dạng; ","")&amp;IF($R853="Trùng","Trùng SĐT; ","")&amp;IF($Q853&lt;&gt;"Có","Thiếu đồng ý bắt buộc; ","")&amp;IF($L853="","Thiếu/sai Mã REF; ",IF(AND($L853="Chưa xác định",DANH_MUC!$L$9&lt;&gt;"Có"),"Nguồn chưa xác định; ","")))</f>
        <v/>
      </c>
      <c r="V853" s="22">
        <f>IF(OR($D853="",$R853="Trùng"),"",IF(COUNTIF(ORDERS!$C$2:$C$4995,$D853)&gt;0,"Có","Không"))</f>
        <v/>
      </c>
      <c r="W853" s="22">
        <f>IF(OR($D853="",$R853="Trùng"),"",COUNTIFS(ORDERS!$C$2:$C$4995,$D853,ORDERS!$L$2:$L$4995,"Đã chuyển khoản"))</f>
        <v/>
      </c>
      <c r="X853" s="23">
        <f>IF(OR($D853="",$R853="Trùng"),"",SUMIFS(ORDERS!$J$2:$J$4995,ORDERS!$C$2:$C$4995,$D853,ORDERS!$L$2:$L$4995,"Đã chuyển khoản"))</f>
        <v/>
      </c>
      <c r="Y853" s="24" t="n"/>
    </row>
    <row r="854" ht="14.25" customHeight="1" s="40">
      <c r="A854" s="24" t="n"/>
      <c r="B854" s="27" t="n"/>
      <c r="C854" s="24" t="n"/>
      <c r="D854" s="28" t="n"/>
      <c r="E854" s="29" t="n"/>
      <c r="F854" s="24" t="n"/>
      <c r="G854" s="24" t="n"/>
      <c r="H854" s="21">
        <f>IF(ISNUMBER($B854),INT($B854)-WEEKDAY($B854,2)+1,"")</f>
        <v/>
      </c>
      <c r="I854" s="24" t="n"/>
      <c r="J854" s="22">
        <f t="array" ref="J854">IF($D854="","",IF($I854="","(trống REF)",IFERROR(INDEX(MASTER_SOURCE!$B$2:$B$495,MATCH($I854,MASTER_SOURCE!$A$2:$A$495,0)),"(REF không có trong MASTER_SOURCE)")))</f>
        <v/>
      </c>
      <c r="K854" s="22">
        <f t="array" ref="K854">IF($D854="","",IFERROR(INDEX(MASTER_SOURCE!$C$2:$C$495,MATCH($I854,MASTER_SOURCE!$A$2:$A$495,0)),""))</f>
        <v/>
      </c>
      <c r="L854" s="22">
        <f t="array" ref="L854">IF($D854="","",IFERROR(INDEX(MASTER_SOURCE!$D$2:$D$495,MATCH($I854,MASTER_SOURCE!$A$2:$A$495,0)),""))</f>
        <v/>
      </c>
      <c r="M854" s="24" t="n"/>
      <c r="N854" s="24" t="n"/>
      <c r="O854" s="24" t="n"/>
      <c r="P854" s="24" t="n"/>
      <c r="Q854" s="22">
        <f>IF($D854="","",IF(AND(OR(DANH_MUC!$L$5&lt;&gt;"Có",M854="Có"),OR(DANH_MUC!$L$6&lt;&gt;"Có",N854="Có"),OR(DANH_MUC!$L$7&lt;&gt;"Có",O854="Có"),OR(DANH_MUC!$L$8&lt;&gt;"Có",P854="Có")),"Có","Không"))</f>
        <v/>
      </c>
      <c r="R854" s="22">
        <f>IF($D854="","",IF(COUNTIF($D$2:$D854,$D854)&gt;1,"Trùng",""))</f>
        <v/>
      </c>
      <c r="S854" s="22">
        <f>IF($D854="","",IF(AND(LEN($D854)=10,LEFT($D854,1)="0",ISNUMBER(--$D854)),"Có","Không"))</f>
        <v/>
      </c>
      <c r="T854" s="22">
        <f>IF($D854="","",IF(AND($C854&lt;&gt;"",$Q854="Có",$R854="",$S854="Có",AND($L854&lt;&gt;"",OR($L854&lt;&gt;"Chưa xác định",DANH_MUC!$L$9="Có"))),"Có","Không"))</f>
        <v/>
      </c>
      <c r="U854" s="22">
        <f>IF(OR($D854="",$T854="Có"),"",IF($C854="","Thiếu họ tên; ","")&amp;IF($S854&lt;&gt;"Có","SĐT sai định dạng; ","")&amp;IF($R854="Trùng","Trùng SĐT; ","")&amp;IF($Q854&lt;&gt;"Có","Thiếu đồng ý bắt buộc; ","")&amp;IF($L854="","Thiếu/sai Mã REF; ",IF(AND($L854="Chưa xác định",DANH_MUC!$L$9&lt;&gt;"Có"),"Nguồn chưa xác định; ","")))</f>
        <v/>
      </c>
      <c r="V854" s="22">
        <f>IF(OR($D854="",$R854="Trùng"),"",IF(COUNTIF(ORDERS!$C$2:$C$4995,$D854)&gt;0,"Có","Không"))</f>
        <v/>
      </c>
      <c r="W854" s="22">
        <f>IF(OR($D854="",$R854="Trùng"),"",COUNTIFS(ORDERS!$C$2:$C$4995,$D854,ORDERS!$L$2:$L$4995,"Đã chuyển khoản"))</f>
        <v/>
      </c>
      <c r="X854" s="23">
        <f>IF(OR($D854="",$R854="Trùng"),"",SUMIFS(ORDERS!$J$2:$J$4995,ORDERS!$C$2:$C$4995,$D854,ORDERS!$L$2:$L$4995,"Đã chuyển khoản"))</f>
        <v/>
      </c>
      <c r="Y854" s="24" t="n"/>
    </row>
    <row r="855" ht="14.25" customHeight="1" s="40">
      <c r="A855" s="24" t="n"/>
      <c r="B855" s="27" t="n"/>
      <c r="C855" s="24" t="n"/>
      <c r="D855" s="28" t="n"/>
      <c r="E855" s="29" t="n"/>
      <c r="F855" s="24" t="n"/>
      <c r="G855" s="24" t="n"/>
      <c r="H855" s="21">
        <f>IF(ISNUMBER($B855),INT($B855)-WEEKDAY($B855,2)+1,"")</f>
        <v/>
      </c>
      <c r="I855" s="24" t="n"/>
      <c r="J855" s="22">
        <f t="array" ref="J855">IF($D855="","",IF($I855="","(trống REF)",IFERROR(INDEX(MASTER_SOURCE!$B$2:$B$495,MATCH($I855,MASTER_SOURCE!$A$2:$A$495,0)),"(REF không có trong MASTER_SOURCE)")))</f>
        <v/>
      </c>
      <c r="K855" s="22">
        <f t="array" ref="K855">IF($D855="","",IFERROR(INDEX(MASTER_SOURCE!$C$2:$C$495,MATCH($I855,MASTER_SOURCE!$A$2:$A$495,0)),""))</f>
        <v/>
      </c>
      <c r="L855" s="22">
        <f t="array" ref="L855">IF($D855="","",IFERROR(INDEX(MASTER_SOURCE!$D$2:$D$495,MATCH($I855,MASTER_SOURCE!$A$2:$A$495,0)),""))</f>
        <v/>
      </c>
      <c r="M855" s="24" t="n"/>
      <c r="N855" s="24" t="n"/>
      <c r="O855" s="24" t="n"/>
      <c r="P855" s="24" t="n"/>
      <c r="Q855" s="22">
        <f>IF($D855="","",IF(AND(OR(DANH_MUC!$L$5&lt;&gt;"Có",M855="Có"),OR(DANH_MUC!$L$6&lt;&gt;"Có",N855="Có"),OR(DANH_MUC!$L$7&lt;&gt;"Có",O855="Có"),OR(DANH_MUC!$L$8&lt;&gt;"Có",P855="Có")),"Có","Không"))</f>
        <v/>
      </c>
      <c r="R855" s="22">
        <f>IF($D855="","",IF(COUNTIF($D$2:$D855,$D855)&gt;1,"Trùng",""))</f>
        <v/>
      </c>
      <c r="S855" s="22">
        <f>IF($D855="","",IF(AND(LEN($D855)=10,LEFT($D855,1)="0",ISNUMBER(--$D855)),"Có","Không"))</f>
        <v/>
      </c>
      <c r="T855" s="22">
        <f>IF($D855="","",IF(AND($C855&lt;&gt;"",$Q855="Có",$R855="",$S855="Có",AND($L855&lt;&gt;"",OR($L855&lt;&gt;"Chưa xác định",DANH_MUC!$L$9="Có"))),"Có","Không"))</f>
        <v/>
      </c>
      <c r="U855" s="22">
        <f>IF(OR($D855="",$T855="Có"),"",IF($C855="","Thiếu họ tên; ","")&amp;IF($S855&lt;&gt;"Có","SĐT sai định dạng; ","")&amp;IF($R855="Trùng","Trùng SĐT; ","")&amp;IF($Q855&lt;&gt;"Có","Thiếu đồng ý bắt buộc; ","")&amp;IF($L855="","Thiếu/sai Mã REF; ",IF(AND($L855="Chưa xác định",DANH_MUC!$L$9&lt;&gt;"Có"),"Nguồn chưa xác định; ","")))</f>
        <v/>
      </c>
      <c r="V855" s="22">
        <f>IF(OR($D855="",$R855="Trùng"),"",IF(COUNTIF(ORDERS!$C$2:$C$4995,$D855)&gt;0,"Có","Không"))</f>
        <v/>
      </c>
      <c r="W855" s="22">
        <f>IF(OR($D855="",$R855="Trùng"),"",COUNTIFS(ORDERS!$C$2:$C$4995,$D855,ORDERS!$L$2:$L$4995,"Đã chuyển khoản"))</f>
        <v/>
      </c>
      <c r="X855" s="23">
        <f>IF(OR($D855="",$R855="Trùng"),"",SUMIFS(ORDERS!$J$2:$J$4995,ORDERS!$C$2:$C$4995,$D855,ORDERS!$L$2:$L$4995,"Đã chuyển khoản"))</f>
        <v/>
      </c>
      <c r="Y855" s="24" t="n"/>
    </row>
    <row r="856" ht="14.25" customHeight="1" s="40">
      <c r="A856" s="24" t="n"/>
      <c r="B856" s="27" t="n"/>
      <c r="C856" s="24" t="n"/>
      <c r="D856" s="28" t="n"/>
      <c r="E856" s="29" t="n"/>
      <c r="F856" s="24" t="n"/>
      <c r="G856" s="24" t="n"/>
      <c r="H856" s="21">
        <f>IF(ISNUMBER($B856),INT($B856)-WEEKDAY($B856,2)+1,"")</f>
        <v/>
      </c>
      <c r="I856" s="24" t="n"/>
      <c r="J856" s="22">
        <f t="array" ref="J856">IF($D856="","",IF($I856="","(trống REF)",IFERROR(INDEX(MASTER_SOURCE!$B$2:$B$495,MATCH($I856,MASTER_SOURCE!$A$2:$A$495,0)),"(REF không có trong MASTER_SOURCE)")))</f>
        <v/>
      </c>
      <c r="K856" s="22">
        <f t="array" ref="K856">IF($D856="","",IFERROR(INDEX(MASTER_SOURCE!$C$2:$C$495,MATCH($I856,MASTER_SOURCE!$A$2:$A$495,0)),""))</f>
        <v/>
      </c>
      <c r="L856" s="22">
        <f t="array" ref="L856">IF($D856="","",IFERROR(INDEX(MASTER_SOURCE!$D$2:$D$495,MATCH($I856,MASTER_SOURCE!$A$2:$A$495,0)),""))</f>
        <v/>
      </c>
      <c r="M856" s="24" t="n"/>
      <c r="N856" s="24" t="n"/>
      <c r="O856" s="24" t="n"/>
      <c r="P856" s="24" t="n"/>
      <c r="Q856" s="22">
        <f>IF($D856="","",IF(AND(OR(DANH_MUC!$L$5&lt;&gt;"Có",M856="Có"),OR(DANH_MUC!$L$6&lt;&gt;"Có",N856="Có"),OR(DANH_MUC!$L$7&lt;&gt;"Có",O856="Có"),OR(DANH_MUC!$L$8&lt;&gt;"Có",P856="Có")),"Có","Không"))</f>
        <v/>
      </c>
      <c r="R856" s="22">
        <f>IF($D856="","",IF(COUNTIF($D$2:$D856,$D856)&gt;1,"Trùng",""))</f>
        <v/>
      </c>
      <c r="S856" s="22">
        <f>IF($D856="","",IF(AND(LEN($D856)=10,LEFT($D856,1)="0",ISNUMBER(--$D856)),"Có","Không"))</f>
        <v/>
      </c>
      <c r="T856" s="22">
        <f>IF($D856="","",IF(AND($C856&lt;&gt;"",$Q856="Có",$R856="",$S856="Có",AND($L856&lt;&gt;"",OR($L856&lt;&gt;"Chưa xác định",DANH_MUC!$L$9="Có"))),"Có","Không"))</f>
        <v/>
      </c>
      <c r="U856" s="22">
        <f>IF(OR($D856="",$T856="Có"),"",IF($C856="","Thiếu họ tên; ","")&amp;IF($S856&lt;&gt;"Có","SĐT sai định dạng; ","")&amp;IF($R856="Trùng","Trùng SĐT; ","")&amp;IF($Q856&lt;&gt;"Có","Thiếu đồng ý bắt buộc; ","")&amp;IF($L856="","Thiếu/sai Mã REF; ",IF(AND($L856="Chưa xác định",DANH_MUC!$L$9&lt;&gt;"Có"),"Nguồn chưa xác định; ","")))</f>
        <v/>
      </c>
      <c r="V856" s="22">
        <f>IF(OR($D856="",$R856="Trùng"),"",IF(COUNTIF(ORDERS!$C$2:$C$4995,$D856)&gt;0,"Có","Không"))</f>
        <v/>
      </c>
      <c r="W856" s="22">
        <f>IF(OR($D856="",$R856="Trùng"),"",COUNTIFS(ORDERS!$C$2:$C$4995,$D856,ORDERS!$L$2:$L$4995,"Đã chuyển khoản"))</f>
        <v/>
      </c>
      <c r="X856" s="23">
        <f>IF(OR($D856="",$R856="Trùng"),"",SUMIFS(ORDERS!$J$2:$J$4995,ORDERS!$C$2:$C$4995,$D856,ORDERS!$L$2:$L$4995,"Đã chuyển khoản"))</f>
        <v/>
      </c>
      <c r="Y856" s="24" t="n"/>
    </row>
    <row r="857" ht="14.25" customHeight="1" s="40">
      <c r="A857" s="24" t="n"/>
      <c r="B857" s="27" t="n"/>
      <c r="C857" s="24" t="n"/>
      <c r="D857" s="28" t="n"/>
      <c r="E857" s="29" t="n"/>
      <c r="F857" s="24" t="n"/>
      <c r="G857" s="24" t="n"/>
      <c r="H857" s="21">
        <f>IF(ISNUMBER($B857),INT($B857)-WEEKDAY($B857,2)+1,"")</f>
        <v/>
      </c>
      <c r="I857" s="24" t="n"/>
      <c r="J857" s="22">
        <f t="array" ref="J857">IF($D857="","",IF($I857="","(trống REF)",IFERROR(INDEX(MASTER_SOURCE!$B$2:$B$495,MATCH($I857,MASTER_SOURCE!$A$2:$A$495,0)),"(REF không có trong MASTER_SOURCE)")))</f>
        <v/>
      </c>
      <c r="K857" s="22">
        <f t="array" ref="K857">IF($D857="","",IFERROR(INDEX(MASTER_SOURCE!$C$2:$C$495,MATCH($I857,MASTER_SOURCE!$A$2:$A$495,0)),""))</f>
        <v/>
      </c>
      <c r="L857" s="22">
        <f t="array" ref="L857">IF($D857="","",IFERROR(INDEX(MASTER_SOURCE!$D$2:$D$495,MATCH($I857,MASTER_SOURCE!$A$2:$A$495,0)),""))</f>
        <v/>
      </c>
      <c r="M857" s="24" t="n"/>
      <c r="N857" s="24" t="n"/>
      <c r="O857" s="24" t="n"/>
      <c r="P857" s="24" t="n"/>
      <c r="Q857" s="22">
        <f>IF($D857="","",IF(AND(OR(DANH_MUC!$L$5&lt;&gt;"Có",M857="Có"),OR(DANH_MUC!$L$6&lt;&gt;"Có",N857="Có"),OR(DANH_MUC!$L$7&lt;&gt;"Có",O857="Có"),OR(DANH_MUC!$L$8&lt;&gt;"Có",P857="Có")),"Có","Không"))</f>
        <v/>
      </c>
      <c r="R857" s="22">
        <f>IF($D857="","",IF(COUNTIF($D$2:$D857,$D857)&gt;1,"Trùng",""))</f>
        <v/>
      </c>
      <c r="S857" s="22">
        <f>IF($D857="","",IF(AND(LEN($D857)=10,LEFT($D857,1)="0",ISNUMBER(--$D857)),"Có","Không"))</f>
        <v/>
      </c>
      <c r="T857" s="22">
        <f>IF($D857="","",IF(AND($C857&lt;&gt;"",$Q857="Có",$R857="",$S857="Có",AND($L857&lt;&gt;"",OR($L857&lt;&gt;"Chưa xác định",DANH_MUC!$L$9="Có"))),"Có","Không"))</f>
        <v/>
      </c>
      <c r="U857" s="22">
        <f>IF(OR($D857="",$T857="Có"),"",IF($C857="","Thiếu họ tên; ","")&amp;IF($S857&lt;&gt;"Có","SĐT sai định dạng; ","")&amp;IF($R857="Trùng","Trùng SĐT; ","")&amp;IF($Q857&lt;&gt;"Có","Thiếu đồng ý bắt buộc; ","")&amp;IF($L857="","Thiếu/sai Mã REF; ",IF(AND($L857="Chưa xác định",DANH_MUC!$L$9&lt;&gt;"Có"),"Nguồn chưa xác định; ","")))</f>
        <v/>
      </c>
      <c r="V857" s="22">
        <f>IF(OR($D857="",$R857="Trùng"),"",IF(COUNTIF(ORDERS!$C$2:$C$4995,$D857)&gt;0,"Có","Không"))</f>
        <v/>
      </c>
      <c r="W857" s="22">
        <f>IF(OR($D857="",$R857="Trùng"),"",COUNTIFS(ORDERS!$C$2:$C$4995,$D857,ORDERS!$L$2:$L$4995,"Đã chuyển khoản"))</f>
        <v/>
      </c>
      <c r="X857" s="23">
        <f>IF(OR($D857="",$R857="Trùng"),"",SUMIFS(ORDERS!$J$2:$J$4995,ORDERS!$C$2:$C$4995,$D857,ORDERS!$L$2:$L$4995,"Đã chuyển khoản"))</f>
        <v/>
      </c>
      <c r="Y857" s="24" t="n"/>
    </row>
    <row r="858" ht="14.25" customHeight="1" s="40">
      <c r="A858" s="24" t="n"/>
      <c r="B858" s="27" t="n"/>
      <c r="C858" s="24" t="n"/>
      <c r="D858" s="28" t="n"/>
      <c r="E858" s="29" t="n"/>
      <c r="F858" s="24" t="n"/>
      <c r="G858" s="24" t="n"/>
      <c r="H858" s="21">
        <f>IF(ISNUMBER($B858),INT($B858)-WEEKDAY($B858,2)+1,"")</f>
        <v/>
      </c>
      <c r="I858" s="24" t="n"/>
      <c r="J858" s="22">
        <f t="array" ref="J858">IF($D858="","",IF($I858="","(trống REF)",IFERROR(INDEX(MASTER_SOURCE!$B$2:$B$495,MATCH($I858,MASTER_SOURCE!$A$2:$A$495,0)),"(REF không có trong MASTER_SOURCE)")))</f>
        <v/>
      </c>
      <c r="K858" s="22">
        <f t="array" ref="K858">IF($D858="","",IFERROR(INDEX(MASTER_SOURCE!$C$2:$C$495,MATCH($I858,MASTER_SOURCE!$A$2:$A$495,0)),""))</f>
        <v/>
      </c>
      <c r="L858" s="22">
        <f t="array" ref="L858">IF($D858="","",IFERROR(INDEX(MASTER_SOURCE!$D$2:$D$495,MATCH($I858,MASTER_SOURCE!$A$2:$A$495,0)),""))</f>
        <v/>
      </c>
      <c r="M858" s="24" t="n"/>
      <c r="N858" s="24" t="n"/>
      <c r="O858" s="24" t="n"/>
      <c r="P858" s="24" t="n"/>
      <c r="Q858" s="22">
        <f>IF($D858="","",IF(AND(OR(DANH_MUC!$L$5&lt;&gt;"Có",M858="Có"),OR(DANH_MUC!$L$6&lt;&gt;"Có",N858="Có"),OR(DANH_MUC!$L$7&lt;&gt;"Có",O858="Có"),OR(DANH_MUC!$L$8&lt;&gt;"Có",P858="Có")),"Có","Không"))</f>
        <v/>
      </c>
      <c r="R858" s="22">
        <f>IF($D858="","",IF(COUNTIF($D$2:$D858,$D858)&gt;1,"Trùng",""))</f>
        <v/>
      </c>
      <c r="S858" s="22">
        <f>IF($D858="","",IF(AND(LEN($D858)=10,LEFT($D858,1)="0",ISNUMBER(--$D858)),"Có","Không"))</f>
        <v/>
      </c>
      <c r="T858" s="22">
        <f>IF($D858="","",IF(AND($C858&lt;&gt;"",$Q858="Có",$R858="",$S858="Có",AND($L858&lt;&gt;"",OR($L858&lt;&gt;"Chưa xác định",DANH_MUC!$L$9="Có"))),"Có","Không"))</f>
        <v/>
      </c>
      <c r="U858" s="22">
        <f>IF(OR($D858="",$T858="Có"),"",IF($C858="","Thiếu họ tên; ","")&amp;IF($S858&lt;&gt;"Có","SĐT sai định dạng; ","")&amp;IF($R858="Trùng","Trùng SĐT; ","")&amp;IF($Q858&lt;&gt;"Có","Thiếu đồng ý bắt buộc; ","")&amp;IF($L858="","Thiếu/sai Mã REF; ",IF(AND($L858="Chưa xác định",DANH_MUC!$L$9&lt;&gt;"Có"),"Nguồn chưa xác định; ","")))</f>
        <v/>
      </c>
      <c r="V858" s="22">
        <f>IF(OR($D858="",$R858="Trùng"),"",IF(COUNTIF(ORDERS!$C$2:$C$4995,$D858)&gt;0,"Có","Không"))</f>
        <v/>
      </c>
      <c r="W858" s="22">
        <f>IF(OR($D858="",$R858="Trùng"),"",COUNTIFS(ORDERS!$C$2:$C$4995,$D858,ORDERS!$L$2:$L$4995,"Đã chuyển khoản"))</f>
        <v/>
      </c>
      <c r="X858" s="23">
        <f>IF(OR($D858="",$R858="Trùng"),"",SUMIFS(ORDERS!$J$2:$J$4995,ORDERS!$C$2:$C$4995,$D858,ORDERS!$L$2:$L$4995,"Đã chuyển khoản"))</f>
        <v/>
      </c>
      <c r="Y858" s="24" t="n"/>
    </row>
    <row r="859" ht="14.25" customHeight="1" s="40">
      <c r="A859" s="24" t="n"/>
      <c r="B859" s="27" t="n"/>
      <c r="C859" s="24" t="n"/>
      <c r="D859" s="28" t="n"/>
      <c r="E859" s="29" t="n"/>
      <c r="F859" s="24" t="n"/>
      <c r="G859" s="24" t="n"/>
      <c r="H859" s="21">
        <f>IF(ISNUMBER($B859),INT($B859)-WEEKDAY($B859,2)+1,"")</f>
        <v/>
      </c>
      <c r="I859" s="24" t="n"/>
      <c r="J859" s="22">
        <f t="array" ref="J859">IF($D859="","",IF($I859="","(trống REF)",IFERROR(INDEX(MASTER_SOURCE!$B$2:$B$495,MATCH($I859,MASTER_SOURCE!$A$2:$A$495,0)),"(REF không có trong MASTER_SOURCE)")))</f>
        <v/>
      </c>
      <c r="K859" s="22">
        <f t="array" ref="K859">IF($D859="","",IFERROR(INDEX(MASTER_SOURCE!$C$2:$C$495,MATCH($I859,MASTER_SOURCE!$A$2:$A$495,0)),""))</f>
        <v/>
      </c>
      <c r="L859" s="22">
        <f t="array" ref="L859">IF($D859="","",IFERROR(INDEX(MASTER_SOURCE!$D$2:$D$495,MATCH($I859,MASTER_SOURCE!$A$2:$A$495,0)),""))</f>
        <v/>
      </c>
      <c r="M859" s="24" t="n"/>
      <c r="N859" s="24" t="n"/>
      <c r="O859" s="24" t="n"/>
      <c r="P859" s="24" t="n"/>
      <c r="Q859" s="22">
        <f>IF($D859="","",IF(AND(OR(DANH_MUC!$L$5&lt;&gt;"Có",M859="Có"),OR(DANH_MUC!$L$6&lt;&gt;"Có",N859="Có"),OR(DANH_MUC!$L$7&lt;&gt;"Có",O859="Có"),OR(DANH_MUC!$L$8&lt;&gt;"Có",P859="Có")),"Có","Không"))</f>
        <v/>
      </c>
      <c r="R859" s="22">
        <f>IF($D859="","",IF(COUNTIF($D$2:$D859,$D859)&gt;1,"Trùng",""))</f>
        <v/>
      </c>
      <c r="S859" s="22">
        <f>IF($D859="","",IF(AND(LEN($D859)=10,LEFT($D859,1)="0",ISNUMBER(--$D859)),"Có","Không"))</f>
        <v/>
      </c>
      <c r="T859" s="22">
        <f>IF($D859="","",IF(AND($C859&lt;&gt;"",$Q859="Có",$R859="",$S859="Có",AND($L859&lt;&gt;"",OR($L859&lt;&gt;"Chưa xác định",DANH_MUC!$L$9="Có"))),"Có","Không"))</f>
        <v/>
      </c>
      <c r="U859" s="22">
        <f>IF(OR($D859="",$T859="Có"),"",IF($C859="","Thiếu họ tên; ","")&amp;IF($S859&lt;&gt;"Có","SĐT sai định dạng; ","")&amp;IF($R859="Trùng","Trùng SĐT; ","")&amp;IF($Q859&lt;&gt;"Có","Thiếu đồng ý bắt buộc; ","")&amp;IF($L859="","Thiếu/sai Mã REF; ",IF(AND($L859="Chưa xác định",DANH_MUC!$L$9&lt;&gt;"Có"),"Nguồn chưa xác định; ","")))</f>
        <v/>
      </c>
      <c r="V859" s="22">
        <f>IF(OR($D859="",$R859="Trùng"),"",IF(COUNTIF(ORDERS!$C$2:$C$4995,$D859)&gt;0,"Có","Không"))</f>
        <v/>
      </c>
      <c r="W859" s="22">
        <f>IF(OR($D859="",$R859="Trùng"),"",COUNTIFS(ORDERS!$C$2:$C$4995,$D859,ORDERS!$L$2:$L$4995,"Đã chuyển khoản"))</f>
        <v/>
      </c>
      <c r="X859" s="23">
        <f>IF(OR($D859="",$R859="Trùng"),"",SUMIFS(ORDERS!$J$2:$J$4995,ORDERS!$C$2:$C$4995,$D859,ORDERS!$L$2:$L$4995,"Đã chuyển khoản"))</f>
        <v/>
      </c>
      <c r="Y859" s="24" t="n"/>
    </row>
    <row r="860" ht="14.25" customHeight="1" s="40">
      <c r="A860" s="24" t="n"/>
      <c r="B860" s="27" t="n"/>
      <c r="C860" s="24" t="n"/>
      <c r="D860" s="28" t="n"/>
      <c r="E860" s="29" t="n"/>
      <c r="F860" s="24" t="n"/>
      <c r="G860" s="24" t="n"/>
      <c r="H860" s="21">
        <f>IF(ISNUMBER($B860),INT($B860)-WEEKDAY($B860,2)+1,"")</f>
        <v/>
      </c>
      <c r="I860" s="24" t="n"/>
      <c r="J860" s="22">
        <f t="array" ref="J860">IF($D860="","",IF($I860="","(trống REF)",IFERROR(INDEX(MASTER_SOURCE!$B$2:$B$495,MATCH($I860,MASTER_SOURCE!$A$2:$A$495,0)),"(REF không có trong MASTER_SOURCE)")))</f>
        <v/>
      </c>
      <c r="K860" s="22">
        <f t="array" ref="K860">IF($D860="","",IFERROR(INDEX(MASTER_SOURCE!$C$2:$C$495,MATCH($I860,MASTER_SOURCE!$A$2:$A$495,0)),""))</f>
        <v/>
      </c>
      <c r="L860" s="22">
        <f t="array" ref="L860">IF($D860="","",IFERROR(INDEX(MASTER_SOURCE!$D$2:$D$495,MATCH($I860,MASTER_SOURCE!$A$2:$A$495,0)),""))</f>
        <v/>
      </c>
      <c r="M860" s="24" t="n"/>
      <c r="N860" s="24" t="n"/>
      <c r="O860" s="24" t="n"/>
      <c r="P860" s="24" t="n"/>
      <c r="Q860" s="22">
        <f>IF($D860="","",IF(AND(OR(DANH_MUC!$L$5&lt;&gt;"Có",M860="Có"),OR(DANH_MUC!$L$6&lt;&gt;"Có",N860="Có"),OR(DANH_MUC!$L$7&lt;&gt;"Có",O860="Có"),OR(DANH_MUC!$L$8&lt;&gt;"Có",P860="Có")),"Có","Không"))</f>
        <v/>
      </c>
      <c r="R860" s="22">
        <f>IF($D860="","",IF(COUNTIF($D$2:$D860,$D860)&gt;1,"Trùng",""))</f>
        <v/>
      </c>
      <c r="S860" s="22">
        <f>IF($D860="","",IF(AND(LEN($D860)=10,LEFT($D860,1)="0",ISNUMBER(--$D860)),"Có","Không"))</f>
        <v/>
      </c>
      <c r="T860" s="22">
        <f>IF($D860="","",IF(AND($C860&lt;&gt;"",$Q860="Có",$R860="",$S860="Có",AND($L860&lt;&gt;"",OR($L860&lt;&gt;"Chưa xác định",DANH_MUC!$L$9="Có"))),"Có","Không"))</f>
        <v/>
      </c>
      <c r="U860" s="22">
        <f>IF(OR($D860="",$T860="Có"),"",IF($C860="","Thiếu họ tên; ","")&amp;IF($S860&lt;&gt;"Có","SĐT sai định dạng; ","")&amp;IF($R860="Trùng","Trùng SĐT; ","")&amp;IF($Q860&lt;&gt;"Có","Thiếu đồng ý bắt buộc; ","")&amp;IF($L860="","Thiếu/sai Mã REF; ",IF(AND($L860="Chưa xác định",DANH_MUC!$L$9&lt;&gt;"Có"),"Nguồn chưa xác định; ","")))</f>
        <v/>
      </c>
      <c r="V860" s="22">
        <f>IF(OR($D860="",$R860="Trùng"),"",IF(COUNTIF(ORDERS!$C$2:$C$4995,$D860)&gt;0,"Có","Không"))</f>
        <v/>
      </c>
      <c r="W860" s="22">
        <f>IF(OR($D860="",$R860="Trùng"),"",COUNTIFS(ORDERS!$C$2:$C$4995,$D860,ORDERS!$L$2:$L$4995,"Đã chuyển khoản"))</f>
        <v/>
      </c>
      <c r="X860" s="23">
        <f>IF(OR($D860="",$R860="Trùng"),"",SUMIFS(ORDERS!$J$2:$J$4995,ORDERS!$C$2:$C$4995,$D860,ORDERS!$L$2:$L$4995,"Đã chuyển khoản"))</f>
        <v/>
      </c>
      <c r="Y860" s="24" t="n"/>
    </row>
    <row r="861" ht="14.25" customHeight="1" s="40">
      <c r="A861" s="24" t="n"/>
      <c r="B861" s="27" t="n"/>
      <c r="C861" s="24" t="n"/>
      <c r="D861" s="28" t="n"/>
      <c r="E861" s="29" t="n"/>
      <c r="F861" s="24" t="n"/>
      <c r="G861" s="24" t="n"/>
      <c r="H861" s="21">
        <f>IF(ISNUMBER($B861),INT($B861)-WEEKDAY($B861,2)+1,"")</f>
        <v/>
      </c>
      <c r="I861" s="24" t="n"/>
      <c r="J861" s="22">
        <f t="array" ref="J861">IF($D861="","",IF($I861="","(trống REF)",IFERROR(INDEX(MASTER_SOURCE!$B$2:$B$495,MATCH($I861,MASTER_SOURCE!$A$2:$A$495,0)),"(REF không có trong MASTER_SOURCE)")))</f>
        <v/>
      </c>
      <c r="K861" s="22">
        <f t="array" ref="K861">IF($D861="","",IFERROR(INDEX(MASTER_SOURCE!$C$2:$C$495,MATCH($I861,MASTER_SOURCE!$A$2:$A$495,0)),""))</f>
        <v/>
      </c>
      <c r="L861" s="22">
        <f t="array" ref="L861">IF($D861="","",IFERROR(INDEX(MASTER_SOURCE!$D$2:$D$495,MATCH($I861,MASTER_SOURCE!$A$2:$A$495,0)),""))</f>
        <v/>
      </c>
      <c r="M861" s="24" t="n"/>
      <c r="N861" s="24" t="n"/>
      <c r="O861" s="24" t="n"/>
      <c r="P861" s="24" t="n"/>
      <c r="Q861" s="22">
        <f>IF($D861="","",IF(AND(OR(DANH_MUC!$L$5&lt;&gt;"Có",M861="Có"),OR(DANH_MUC!$L$6&lt;&gt;"Có",N861="Có"),OR(DANH_MUC!$L$7&lt;&gt;"Có",O861="Có"),OR(DANH_MUC!$L$8&lt;&gt;"Có",P861="Có")),"Có","Không"))</f>
        <v/>
      </c>
      <c r="R861" s="22">
        <f>IF($D861="","",IF(COUNTIF($D$2:$D861,$D861)&gt;1,"Trùng",""))</f>
        <v/>
      </c>
      <c r="S861" s="22">
        <f>IF($D861="","",IF(AND(LEN($D861)=10,LEFT($D861,1)="0",ISNUMBER(--$D861)),"Có","Không"))</f>
        <v/>
      </c>
      <c r="T861" s="22">
        <f>IF($D861="","",IF(AND($C861&lt;&gt;"",$Q861="Có",$R861="",$S861="Có",AND($L861&lt;&gt;"",OR($L861&lt;&gt;"Chưa xác định",DANH_MUC!$L$9="Có"))),"Có","Không"))</f>
        <v/>
      </c>
      <c r="U861" s="22">
        <f>IF(OR($D861="",$T861="Có"),"",IF($C861="","Thiếu họ tên; ","")&amp;IF($S861&lt;&gt;"Có","SĐT sai định dạng; ","")&amp;IF($R861="Trùng","Trùng SĐT; ","")&amp;IF($Q861&lt;&gt;"Có","Thiếu đồng ý bắt buộc; ","")&amp;IF($L861="","Thiếu/sai Mã REF; ",IF(AND($L861="Chưa xác định",DANH_MUC!$L$9&lt;&gt;"Có"),"Nguồn chưa xác định; ","")))</f>
        <v/>
      </c>
      <c r="V861" s="22">
        <f>IF(OR($D861="",$R861="Trùng"),"",IF(COUNTIF(ORDERS!$C$2:$C$4995,$D861)&gt;0,"Có","Không"))</f>
        <v/>
      </c>
      <c r="W861" s="22">
        <f>IF(OR($D861="",$R861="Trùng"),"",COUNTIFS(ORDERS!$C$2:$C$4995,$D861,ORDERS!$L$2:$L$4995,"Đã chuyển khoản"))</f>
        <v/>
      </c>
      <c r="X861" s="23">
        <f>IF(OR($D861="",$R861="Trùng"),"",SUMIFS(ORDERS!$J$2:$J$4995,ORDERS!$C$2:$C$4995,$D861,ORDERS!$L$2:$L$4995,"Đã chuyển khoản"))</f>
        <v/>
      </c>
      <c r="Y861" s="24" t="n"/>
    </row>
    <row r="862" ht="14.25" customHeight="1" s="40">
      <c r="A862" s="24" t="n"/>
      <c r="B862" s="27" t="n"/>
      <c r="C862" s="24" t="n"/>
      <c r="D862" s="28" t="n"/>
      <c r="E862" s="29" t="n"/>
      <c r="F862" s="24" t="n"/>
      <c r="G862" s="24" t="n"/>
      <c r="H862" s="21">
        <f>IF(ISNUMBER($B862),INT($B862)-WEEKDAY($B862,2)+1,"")</f>
        <v/>
      </c>
      <c r="I862" s="24" t="n"/>
      <c r="J862" s="22">
        <f t="array" ref="J862">IF($D862="","",IF($I862="","(trống REF)",IFERROR(INDEX(MASTER_SOURCE!$B$2:$B$495,MATCH($I862,MASTER_SOURCE!$A$2:$A$495,0)),"(REF không có trong MASTER_SOURCE)")))</f>
        <v/>
      </c>
      <c r="K862" s="22">
        <f t="array" ref="K862">IF($D862="","",IFERROR(INDEX(MASTER_SOURCE!$C$2:$C$495,MATCH($I862,MASTER_SOURCE!$A$2:$A$495,0)),""))</f>
        <v/>
      </c>
      <c r="L862" s="22">
        <f t="array" ref="L862">IF($D862="","",IFERROR(INDEX(MASTER_SOURCE!$D$2:$D$495,MATCH($I862,MASTER_SOURCE!$A$2:$A$495,0)),""))</f>
        <v/>
      </c>
      <c r="M862" s="24" t="n"/>
      <c r="N862" s="24" t="n"/>
      <c r="O862" s="24" t="n"/>
      <c r="P862" s="24" t="n"/>
      <c r="Q862" s="22">
        <f>IF($D862="","",IF(AND(OR(DANH_MUC!$L$5&lt;&gt;"Có",M862="Có"),OR(DANH_MUC!$L$6&lt;&gt;"Có",N862="Có"),OR(DANH_MUC!$L$7&lt;&gt;"Có",O862="Có"),OR(DANH_MUC!$L$8&lt;&gt;"Có",P862="Có")),"Có","Không"))</f>
        <v/>
      </c>
      <c r="R862" s="22">
        <f>IF($D862="","",IF(COUNTIF($D$2:$D862,$D862)&gt;1,"Trùng",""))</f>
        <v/>
      </c>
      <c r="S862" s="22">
        <f>IF($D862="","",IF(AND(LEN($D862)=10,LEFT($D862,1)="0",ISNUMBER(--$D862)),"Có","Không"))</f>
        <v/>
      </c>
      <c r="T862" s="22">
        <f>IF($D862="","",IF(AND($C862&lt;&gt;"",$Q862="Có",$R862="",$S862="Có",AND($L862&lt;&gt;"",OR($L862&lt;&gt;"Chưa xác định",DANH_MUC!$L$9="Có"))),"Có","Không"))</f>
        <v/>
      </c>
      <c r="U862" s="22">
        <f>IF(OR($D862="",$T862="Có"),"",IF($C862="","Thiếu họ tên; ","")&amp;IF($S862&lt;&gt;"Có","SĐT sai định dạng; ","")&amp;IF($R862="Trùng","Trùng SĐT; ","")&amp;IF($Q862&lt;&gt;"Có","Thiếu đồng ý bắt buộc; ","")&amp;IF($L862="","Thiếu/sai Mã REF; ",IF(AND($L862="Chưa xác định",DANH_MUC!$L$9&lt;&gt;"Có"),"Nguồn chưa xác định; ","")))</f>
        <v/>
      </c>
      <c r="V862" s="22">
        <f>IF(OR($D862="",$R862="Trùng"),"",IF(COUNTIF(ORDERS!$C$2:$C$4995,$D862)&gt;0,"Có","Không"))</f>
        <v/>
      </c>
      <c r="W862" s="22">
        <f>IF(OR($D862="",$R862="Trùng"),"",COUNTIFS(ORDERS!$C$2:$C$4995,$D862,ORDERS!$L$2:$L$4995,"Đã chuyển khoản"))</f>
        <v/>
      </c>
      <c r="X862" s="23">
        <f>IF(OR($D862="",$R862="Trùng"),"",SUMIFS(ORDERS!$J$2:$J$4995,ORDERS!$C$2:$C$4995,$D862,ORDERS!$L$2:$L$4995,"Đã chuyển khoản"))</f>
        <v/>
      </c>
      <c r="Y862" s="24" t="n"/>
    </row>
    <row r="863" ht="14.25" customHeight="1" s="40">
      <c r="A863" s="24" t="n"/>
      <c r="B863" s="27" t="n"/>
      <c r="C863" s="24" t="n"/>
      <c r="D863" s="28" t="n"/>
      <c r="E863" s="29" t="n"/>
      <c r="F863" s="24" t="n"/>
      <c r="G863" s="24" t="n"/>
      <c r="H863" s="21">
        <f>IF(ISNUMBER($B863),INT($B863)-WEEKDAY($B863,2)+1,"")</f>
        <v/>
      </c>
      <c r="I863" s="24" t="n"/>
      <c r="J863" s="22">
        <f t="array" ref="J863">IF($D863="","",IF($I863="","(trống REF)",IFERROR(INDEX(MASTER_SOURCE!$B$2:$B$495,MATCH($I863,MASTER_SOURCE!$A$2:$A$495,0)),"(REF không có trong MASTER_SOURCE)")))</f>
        <v/>
      </c>
      <c r="K863" s="22">
        <f t="array" ref="K863">IF($D863="","",IFERROR(INDEX(MASTER_SOURCE!$C$2:$C$495,MATCH($I863,MASTER_SOURCE!$A$2:$A$495,0)),""))</f>
        <v/>
      </c>
      <c r="L863" s="22">
        <f t="array" ref="L863">IF($D863="","",IFERROR(INDEX(MASTER_SOURCE!$D$2:$D$495,MATCH($I863,MASTER_SOURCE!$A$2:$A$495,0)),""))</f>
        <v/>
      </c>
      <c r="M863" s="24" t="n"/>
      <c r="N863" s="24" t="n"/>
      <c r="O863" s="24" t="n"/>
      <c r="P863" s="24" t="n"/>
      <c r="Q863" s="22">
        <f>IF($D863="","",IF(AND(OR(DANH_MUC!$L$5&lt;&gt;"Có",M863="Có"),OR(DANH_MUC!$L$6&lt;&gt;"Có",N863="Có"),OR(DANH_MUC!$L$7&lt;&gt;"Có",O863="Có"),OR(DANH_MUC!$L$8&lt;&gt;"Có",P863="Có")),"Có","Không"))</f>
        <v/>
      </c>
      <c r="R863" s="22">
        <f>IF($D863="","",IF(COUNTIF($D$2:$D863,$D863)&gt;1,"Trùng",""))</f>
        <v/>
      </c>
      <c r="S863" s="22">
        <f>IF($D863="","",IF(AND(LEN($D863)=10,LEFT($D863,1)="0",ISNUMBER(--$D863)),"Có","Không"))</f>
        <v/>
      </c>
      <c r="T863" s="22">
        <f>IF($D863="","",IF(AND($C863&lt;&gt;"",$Q863="Có",$R863="",$S863="Có",AND($L863&lt;&gt;"",OR($L863&lt;&gt;"Chưa xác định",DANH_MUC!$L$9="Có"))),"Có","Không"))</f>
        <v/>
      </c>
      <c r="U863" s="22">
        <f>IF(OR($D863="",$T863="Có"),"",IF($C863="","Thiếu họ tên; ","")&amp;IF($S863&lt;&gt;"Có","SĐT sai định dạng; ","")&amp;IF($R863="Trùng","Trùng SĐT; ","")&amp;IF($Q863&lt;&gt;"Có","Thiếu đồng ý bắt buộc; ","")&amp;IF($L863="","Thiếu/sai Mã REF; ",IF(AND($L863="Chưa xác định",DANH_MUC!$L$9&lt;&gt;"Có"),"Nguồn chưa xác định; ","")))</f>
        <v/>
      </c>
      <c r="V863" s="22">
        <f>IF(OR($D863="",$R863="Trùng"),"",IF(COUNTIF(ORDERS!$C$2:$C$4995,$D863)&gt;0,"Có","Không"))</f>
        <v/>
      </c>
      <c r="W863" s="22">
        <f>IF(OR($D863="",$R863="Trùng"),"",COUNTIFS(ORDERS!$C$2:$C$4995,$D863,ORDERS!$L$2:$L$4995,"Đã chuyển khoản"))</f>
        <v/>
      </c>
      <c r="X863" s="23">
        <f>IF(OR($D863="",$R863="Trùng"),"",SUMIFS(ORDERS!$J$2:$J$4995,ORDERS!$C$2:$C$4995,$D863,ORDERS!$L$2:$L$4995,"Đã chuyển khoản"))</f>
        <v/>
      </c>
      <c r="Y863" s="24" t="n"/>
    </row>
    <row r="864" ht="14.25" customHeight="1" s="40">
      <c r="A864" s="24" t="n"/>
      <c r="B864" s="27" t="n"/>
      <c r="C864" s="24" t="n"/>
      <c r="D864" s="28" t="n"/>
      <c r="E864" s="29" t="n"/>
      <c r="F864" s="24" t="n"/>
      <c r="G864" s="24" t="n"/>
      <c r="H864" s="21">
        <f>IF(ISNUMBER($B864),INT($B864)-WEEKDAY($B864,2)+1,"")</f>
        <v/>
      </c>
      <c r="I864" s="24" t="n"/>
      <c r="J864" s="22">
        <f t="array" ref="J864">IF($D864="","",IF($I864="","(trống REF)",IFERROR(INDEX(MASTER_SOURCE!$B$2:$B$495,MATCH($I864,MASTER_SOURCE!$A$2:$A$495,0)),"(REF không có trong MASTER_SOURCE)")))</f>
        <v/>
      </c>
      <c r="K864" s="22">
        <f t="array" ref="K864">IF($D864="","",IFERROR(INDEX(MASTER_SOURCE!$C$2:$C$495,MATCH($I864,MASTER_SOURCE!$A$2:$A$495,0)),""))</f>
        <v/>
      </c>
      <c r="L864" s="22">
        <f t="array" ref="L864">IF($D864="","",IFERROR(INDEX(MASTER_SOURCE!$D$2:$D$495,MATCH($I864,MASTER_SOURCE!$A$2:$A$495,0)),""))</f>
        <v/>
      </c>
      <c r="M864" s="24" t="n"/>
      <c r="N864" s="24" t="n"/>
      <c r="O864" s="24" t="n"/>
      <c r="P864" s="24" t="n"/>
      <c r="Q864" s="22">
        <f>IF($D864="","",IF(AND(OR(DANH_MUC!$L$5&lt;&gt;"Có",M864="Có"),OR(DANH_MUC!$L$6&lt;&gt;"Có",N864="Có"),OR(DANH_MUC!$L$7&lt;&gt;"Có",O864="Có"),OR(DANH_MUC!$L$8&lt;&gt;"Có",P864="Có")),"Có","Không"))</f>
        <v/>
      </c>
      <c r="R864" s="22">
        <f>IF($D864="","",IF(COUNTIF($D$2:$D864,$D864)&gt;1,"Trùng",""))</f>
        <v/>
      </c>
      <c r="S864" s="22">
        <f>IF($D864="","",IF(AND(LEN($D864)=10,LEFT($D864,1)="0",ISNUMBER(--$D864)),"Có","Không"))</f>
        <v/>
      </c>
      <c r="T864" s="22">
        <f>IF($D864="","",IF(AND($C864&lt;&gt;"",$Q864="Có",$R864="",$S864="Có",AND($L864&lt;&gt;"",OR($L864&lt;&gt;"Chưa xác định",DANH_MUC!$L$9="Có"))),"Có","Không"))</f>
        <v/>
      </c>
      <c r="U864" s="22">
        <f>IF(OR($D864="",$T864="Có"),"",IF($C864="","Thiếu họ tên; ","")&amp;IF($S864&lt;&gt;"Có","SĐT sai định dạng; ","")&amp;IF($R864="Trùng","Trùng SĐT; ","")&amp;IF($Q864&lt;&gt;"Có","Thiếu đồng ý bắt buộc; ","")&amp;IF($L864="","Thiếu/sai Mã REF; ",IF(AND($L864="Chưa xác định",DANH_MUC!$L$9&lt;&gt;"Có"),"Nguồn chưa xác định; ","")))</f>
        <v/>
      </c>
      <c r="V864" s="22">
        <f>IF(OR($D864="",$R864="Trùng"),"",IF(COUNTIF(ORDERS!$C$2:$C$4995,$D864)&gt;0,"Có","Không"))</f>
        <v/>
      </c>
      <c r="W864" s="22">
        <f>IF(OR($D864="",$R864="Trùng"),"",COUNTIFS(ORDERS!$C$2:$C$4995,$D864,ORDERS!$L$2:$L$4995,"Đã chuyển khoản"))</f>
        <v/>
      </c>
      <c r="X864" s="23">
        <f>IF(OR($D864="",$R864="Trùng"),"",SUMIFS(ORDERS!$J$2:$J$4995,ORDERS!$C$2:$C$4995,$D864,ORDERS!$L$2:$L$4995,"Đã chuyển khoản"))</f>
        <v/>
      </c>
      <c r="Y864" s="24" t="n"/>
    </row>
    <row r="865" ht="14.25" customHeight="1" s="40">
      <c r="A865" s="24" t="n"/>
      <c r="B865" s="27" t="n"/>
      <c r="C865" s="24" t="n"/>
      <c r="D865" s="28" t="n"/>
      <c r="E865" s="29" t="n"/>
      <c r="F865" s="24" t="n"/>
      <c r="G865" s="24" t="n"/>
      <c r="H865" s="21">
        <f>IF(ISNUMBER($B865),INT($B865)-WEEKDAY($B865,2)+1,"")</f>
        <v/>
      </c>
      <c r="I865" s="24" t="n"/>
      <c r="J865" s="22">
        <f t="array" ref="J865">IF($D865="","",IF($I865="","(trống REF)",IFERROR(INDEX(MASTER_SOURCE!$B$2:$B$495,MATCH($I865,MASTER_SOURCE!$A$2:$A$495,0)),"(REF không có trong MASTER_SOURCE)")))</f>
        <v/>
      </c>
      <c r="K865" s="22">
        <f t="array" ref="K865">IF($D865="","",IFERROR(INDEX(MASTER_SOURCE!$C$2:$C$495,MATCH($I865,MASTER_SOURCE!$A$2:$A$495,0)),""))</f>
        <v/>
      </c>
      <c r="L865" s="22">
        <f t="array" ref="L865">IF($D865="","",IFERROR(INDEX(MASTER_SOURCE!$D$2:$D$495,MATCH($I865,MASTER_SOURCE!$A$2:$A$495,0)),""))</f>
        <v/>
      </c>
      <c r="M865" s="24" t="n"/>
      <c r="N865" s="24" t="n"/>
      <c r="O865" s="24" t="n"/>
      <c r="P865" s="24" t="n"/>
      <c r="Q865" s="22">
        <f>IF($D865="","",IF(AND(OR(DANH_MUC!$L$5&lt;&gt;"Có",M865="Có"),OR(DANH_MUC!$L$6&lt;&gt;"Có",N865="Có"),OR(DANH_MUC!$L$7&lt;&gt;"Có",O865="Có"),OR(DANH_MUC!$L$8&lt;&gt;"Có",P865="Có")),"Có","Không"))</f>
        <v/>
      </c>
      <c r="R865" s="22">
        <f>IF($D865="","",IF(COUNTIF($D$2:$D865,$D865)&gt;1,"Trùng",""))</f>
        <v/>
      </c>
      <c r="S865" s="22">
        <f>IF($D865="","",IF(AND(LEN($D865)=10,LEFT($D865,1)="0",ISNUMBER(--$D865)),"Có","Không"))</f>
        <v/>
      </c>
      <c r="T865" s="22">
        <f>IF($D865="","",IF(AND($C865&lt;&gt;"",$Q865="Có",$R865="",$S865="Có",AND($L865&lt;&gt;"",OR($L865&lt;&gt;"Chưa xác định",DANH_MUC!$L$9="Có"))),"Có","Không"))</f>
        <v/>
      </c>
      <c r="U865" s="22">
        <f>IF(OR($D865="",$T865="Có"),"",IF($C865="","Thiếu họ tên; ","")&amp;IF($S865&lt;&gt;"Có","SĐT sai định dạng; ","")&amp;IF($R865="Trùng","Trùng SĐT; ","")&amp;IF($Q865&lt;&gt;"Có","Thiếu đồng ý bắt buộc; ","")&amp;IF($L865="","Thiếu/sai Mã REF; ",IF(AND($L865="Chưa xác định",DANH_MUC!$L$9&lt;&gt;"Có"),"Nguồn chưa xác định; ","")))</f>
        <v/>
      </c>
      <c r="V865" s="22">
        <f>IF(OR($D865="",$R865="Trùng"),"",IF(COUNTIF(ORDERS!$C$2:$C$4995,$D865)&gt;0,"Có","Không"))</f>
        <v/>
      </c>
      <c r="W865" s="22">
        <f>IF(OR($D865="",$R865="Trùng"),"",COUNTIFS(ORDERS!$C$2:$C$4995,$D865,ORDERS!$L$2:$L$4995,"Đã chuyển khoản"))</f>
        <v/>
      </c>
      <c r="X865" s="23">
        <f>IF(OR($D865="",$R865="Trùng"),"",SUMIFS(ORDERS!$J$2:$J$4995,ORDERS!$C$2:$C$4995,$D865,ORDERS!$L$2:$L$4995,"Đã chuyển khoản"))</f>
        <v/>
      </c>
      <c r="Y865" s="24" t="n"/>
    </row>
    <row r="866" ht="14.25" customHeight="1" s="40">
      <c r="A866" s="24" t="n"/>
      <c r="B866" s="27" t="n"/>
      <c r="C866" s="24" t="n"/>
      <c r="D866" s="28" t="n"/>
      <c r="E866" s="29" t="n"/>
      <c r="F866" s="24" t="n"/>
      <c r="G866" s="24" t="n"/>
      <c r="H866" s="21">
        <f>IF(ISNUMBER($B866),INT($B866)-WEEKDAY($B866,2)+1,"")</f>
        <v/>
      </c>
      <c r="I866" s="24" t="n"/>
      <c r="J866" s="22">
        <f t="array" ref="J866">IF($D866="","",IF($I866="","(trống REF)",IFERROR(INDEX(MASTER_SOURCE!$B$2:$B$495,MATCH($I866,MASTER_SOURCE!$A$2:$A$495,0)),"(REF không có trong MASTER_SOURCE)")))</f>
        <v/>
      </c>
      <c r="K866" s="22">
        <f t="array" ref="K866">IF($D866="","",IFERROR(INDEX(MASTER_SOURCE!$C$2:$C$495,MATCH($I866,MASTER_SOURCE!$A$2:$A$495,0)),""))</f>
        <v/>
      </c>
      <c r="L866" s="22">
        <f t="array" ref="L866">IF($D866="","",IFERROR(INDEX(MASTER_SOURCE!$D$2:$D$495,MATCH($I866,MASTER_SOURCE!$A$2:$A$495,0)),""))</f>
        <v/>
      </c>
      <c r="M866" s="24" t="n"/>
      <c r="N866" s="24" t="n"/>
      <c r="O866" s="24" t="n"/>
      <c r="P866" s="24" t="n"/>
      <c r="Q866" s="22">
        <f>IF($D866="","",IF(AND(OR(DANH_MUC!$L$5&lt;&gt;"Có",M866="Có"),OR(DANH_MUC!$L$6&lt;&gt;"Có",N866="Có"),OR(DANH_MUC!$L$7&lt;&gt;"Có",O866="Có"),OR(DANH_MUC!$L$8&lt;&gt;"Có",P866="Có")),"Có","Không"))</f>
        <v/>
      </c>
      <c r="R866" s="22">
        <f>IF($D866="","",IF(COUNTIF($D$2:$D866,$D866)&gt;1,"Trùng",""))</f>
        <v/>
      </c>
      <c r="S866" s="22">
        <f>IF($D866="","",IF(AND(LEN($D866)=10,LEFT($D866,1)="0",ISNUMBER(--$D866)),"Có","Không"))</f>
        <v/>
      </c>
      <c r="T866" s="22">
        <f>IF($D866="","",IF(AND($C866&lt;&gt;"",$Q866="Có",$R866="",$S866="Có",AND($L866&lt;&gt;"",OR($L866&lt;&gt;"Chưa xác định",DANH_MUC!$L$9="Có"))),"Có","Không"))</f>
        <v/>
      </c>
      <c r="U866" s="22">
        <f>IF(OR($D866="",$T866="Có"),"",IF($C866="","Thiếu họ tên; ","")&amp;IF($S866&lt;&gt;"Có","SĐT sai định dạng; ","")&amp;IF($R866="Trùng","Trùng SĐT; ","")&amp;IF($Q866&lt;&gt;"Có","Thiếu đồng ý bắt buộc; ","")&amp;IF($L866="","Thiếu/sai Mã REF; ",IF(AND($L866="Chưa xác định",DANH_MUC!$L$9&lt;&gt;"Có"),"Nguồn chưa xác định; ","")))</f>
        <v/>
      </c>
      <c r="V866" s="22">
        <f>IF(OR($D866="",$R866="Trùng"),"",IF(COUNTIF(ORDERS!$C$2:$C$4995,$D866)&gt;0,"Có","Không"))</f>
        <v/>
      </c>
      <c r="W866" s="22">
        <f>IF(OR($D866="",$R866="Trùng"),"",COUNTIFS(ORDERS!$C$2:$C$4995,$D866,ORDERS!$L$2:$L$4995,"Đã chuyển khoản"))</f>
        <v/>
      </c>
      <c r="X866" s="23">
        <f>IF(OR($D866="",$R866="Trùng"),"",SUMIFS(ORDERS!$J$2:$J$4995,ORDERS!$C$2:$C$4995,$D866,ORDERS!$L$2:$L$4995,"Đã chuyển khoản"))</f>
        <v/>
      </c>
      <c r="Y866" s="24" t="n"/>
    </row>
    <row r="867" ht="14.25" customHeight="1" s="40">
      <c r="A867" s="24" t="n"/>
      <c r="B867" s="27" t="n"/>
      <c r="C867" s="24" t="n"/>
      <c r="D867" s="28" t="n"/>
      <c r="E867" s="29" t="n"/>
      <c r="F867" s="24" t="n"/>
      <c r="G867" s="24" t="n"/>
      <c r="H867" s="21">
        <f>IF(ISNUMBER($B867),INT($B867)-WEEKDAY($B867,2)+1,"")</f>
        <v/>
      </c>
      <c r="I867" s="24" t="n"/>
      <c r="J867" s="22">
        <f t="array" ref="J867">IF($D867="","",IF($I867="","(trống REF)",IFERROR(INDEX(MASTER_SOURCE!$B$2:$B$495,MATCH($I867,MASTER_SOURCE!$A$2:$A$495,0)),"(REF không có trong MASTER_SOURCE)")))</f>
        <v/>
      </c>
      <c r="K867" s="22">
        <f t="array" ref="K867">IF($D867="","",IFERROR(INDEX(MASTER_SOURCE!$C$2:$C$495,MATCH($I867,MASTER_SOURCE!$A$2:$A$495,0)),""))</f>
        <v/>
      </c>
      <c r="L867" s="22">
        <f t="array" ref="L867">IF($D867="","",IFERROR(INDEX(MASTER_SOURCE!$D$2:$D$495,MATCH($I867,MASTER_SOURCE!$A$2:$A$495,0)),""))</f>
        <v/>
      </c>
      <c r="M867" s="24" t="n"/>
      <c r="N867" s="24" t="n"/>
      <c r="O867" s="24" t="n"/>
      <c r="P867" s="24" t="n"/>
      <c r="Q867" s="22">
        <f>IF($D867="","",IF(AND(OR(DANH_MUC!$L$5&lt;&gt;"Có",M867="Có"),OR(DANH_MUC!$L$6&lt;&gt;"Có",N867="Có"),OR(DANH_MUC!$L$7&lt;&gt;"Có",O867="Có"),OR(DANH_MUC!$L$8&lt;&gt;"Có",P867="Có")),"Có","Không"))</f>
        <v/>
      </c>
      <c r="R867" s="22">
        <f>IF($D867="","",IF(COUNTIF($D$2:$D867,$D867)&gt;1,"Trùng",""))</f>
        <v/>
      </c>
      <c r="S867" s="22">
        <f>IF($D867="","",IF(AND(LEN($D867)=10,LEFT($D867,1)="0",ISNUMBER(--$D867)),"Có","Không"))</f>
        <v/>
      </c>
      <c r="T867" s="22">
        <f>IF($D867="","",IF(AND($C867&lt;&gt;"",$Q867="Có",$R867="",$S867="Có",AND($L867&lt;&gt;"",OR($L867&lt;&gt;"Chưa xác định",DANH_MUC!$L$9="Có"))),"Có","Không"))</f>
        <v/>
      </c>
      <c r="U867" s="22">
        <f>IF(OR($D867="",$T867="Có"),"",IF($C867="","Thiếu họ tên; ","")&amp;IF($S867&lt;&gt;"Có","SĐT sai định dạng; ","")&amp;IF($R867="Trùng","Trùng SĐT; ","")&amp;IF($Q867&lt;&gt;"Có","Thiếu đồng ý bắt buộc; ","")&amp;IF($L867="","Thiếu/sai Mã REF; ",IF(AND($L867="Chưa xác định",DANH_MUC!$L$9&lt;&gt;"Có"),"Nguồn chưa xác định; ","")))</f>
        <v/>
      </c>
      <c r="V867" s="22">
        <f>IF(OR($D867="",$R867="Trùng"),"",IF(COUNTIF(ORDERS!$C$2:$C$4995,$D867)&gt;0,"Có","Không"))</f>
        <v/>
      </c>
      <c r="W867" s="22">
        <f>IF(OR($D867="",$R867="Trùng"),"",COUNTIFS(ORDERS!$C$2:$C$4995,$D867,ORDERS!$L$2:$L$4995,"Đã chuyển khoản"))</f>
        <v/>
      </c>
      <c r="X867" s="23">
        <f>IF(OR($D867="",$R867="Trùng"),"",SUMIFS(ORDERS!$J$2:$J$4995,ORDERS!$C$2:$C$4995,$D867,ORDERS!$L$2:$L$4995,"Đã chuyển khoản"))</f>
        <v/>
      </c>
      <c r="Y867" s="24" t="n"/>
    </row>
    <row r="868" ht="14.25" customHeight="1" s="40">
      <c r="A868" s="24" t="n"/>
      <c r="B868" s="27" t="n"/>
      <c r="C868" s="24" t="n"/>
      <c r="D868" s="28" t="n"/>
      <c r="E868" s="29" t="n"/>
      <c r="F868" s="24" t="n"/>
      <c r="G868" s="24" t="n"/>
      <c r="H868" s="21">
        <f>IF(ISNUMBER($B868),INT($B868)-WEEKDAY($B868,2)+1,"")</f>
        <v/>
      </c>
      <c r="I868" s="24" t="n"/>
      <c r="J868" s="22">
        <f t="array" ref="J868">IF($D868="","",IF($I868="","(trống REF)",IFERROR(INDEX(MASTER_SOURCE!$B$2:$B$495,MATCH($I868,MASTER_SOURCE!$A$2:$A$495,0)),"(REF không có trong MASTER_SOURCE)")))</f>
        <v/>
      </c>
      <c r="K868" s="22">
        <f t="array" ref="K868">IF($D868="","",IFERROR(INDEX(MASTER_SOURCE!$C$2:$C$495,MATCH($I868,MASTER_SOURCE!$A$2:$A$495,0)),""))</f>
        <v/>
      </c>
      <c r="L868" s="22">
        <f t="array" ref="L868">IF($D868="","",IFERROR(INDEX(MASTER_SOURCE!$D$2:$D$495,MATCH($I868,MASTER_SOURCE!$A$2:$A$495,0)),""))</f>
        <v/>
      </c>
      <c r="M868" s="24" t="n"/>
      <c r="N868" s="24" t="n"/>
      <c r="O868" s="24" t="n"/>
      <c r="P868" s="24" t="n"/>
      <c r="Q868" s="22">
        <f>IF($D868="","",IF(AND(OR(DANH_MUC!$L$5&lt;&gt;"Có",M868="Có"),OR(DANH_MUC!$L$6&lt;&gt;"Có",N868="Có"),OR(DANH_MUC!$L$7&lt;&gt;"Có",O868="Có"),OR(DANH_MUC!$L$8&lt;&gt;"Có",P868="Có")),"Có","Không"))</f>
        <v/>
      </c>
      <c r="R868" s="22">
        <f>IF($D868="","",IF(COUNTIF($D$2:$D868,$D868)&gt;1,"Trùng",""))</f>
        <v/>
      </c>
      <c r="S868" s="22">
        <f>IF($D868="","",IF(AND(LEN($D868)=10,LEFT($D868,1)="0",ISNUMBER(--$D868)),"Có","Không"))</f>
        <v/>
      </c>
      <c r="T868" s="22">
        <f>IF($D868="","",IF(AND($C868&lt;&gt;"",$Q868="Có",$R868="",$S868="Có",AND($L868&lt;&gt;"",OR($L868&lt;&gt;"Chưa xác định",DANH_MUC!$L$9="Có"))),"Có","Không"))</f>
        <v/>
      </c>
      <c r="U868" s="22">
        <f>IF(OR($D868="",$T868="Có"),"",IF($C868="","Thiếu họ tên; ","")&amp;IF($S868&lt;&gt;"Có","SĐT sai định dạng; ","")&amp;IF($R868="Trùng","Trùng SĐT; ","")&amp;IF($Q868&lt;&gt;"Có","Thiếu đồng ý bắt buộc; ","")&amp;IF($L868="","Thiếu/sai Mã REF; ",IF(AND($L868="Chưa xác định",DANH_MUC!$L$9&lt;&gt;"Có"),"Nguồn chưa xác định; ","")))</f>
        <v/>
      </c>
      <c r="V868" s="22">
        <f>IF(OR($D868="",$R868="Trùng"),"",IF(COUNTIF(ORDERS!$C$2:$C$4995,$D868)&gt;0,"Có","Không"))</f>
        <v/>
      </c>
      <c r="W868" s="22">
        <f>IF(OR($D868="",$R868="Trùng"),"",COUNTIFS(ORDERS!$C$2:$C$4995,$D868,ORDERS!$L$2:$L$4995,"Đã chuyển khoản"))</f>
        <v/>
      </c>
      <c r="X868" s="23">
        <f>IF(OR($D868="",$R868="Trùng"),"",SUMIFS(ORDERS!$J$2:$J$4995,ORDERS!$C$2:$C$4995,$D868,ORDERS!$L$2:$L$4995,"Đã chuyển khoản"))</f>
        <v/>
      </c>
      <c r="Y868" s="24" t="n"/>
    </row>
    <row r="869" ht="14.25" customHeight="1" s="40">
      <c r="A869" s="24" t="n"/>
      <c r="B869" s="27" t="n"/>
      <c r="C869" s="24" t="n"/>
      <c r="D869" s="28" t="n"/>
      <c r="E869" s="29" t="n"/>
      <c r="F869" s="24" t="n"/>
      <c r="G869" s="24" t="n"/>
      <c r="H869" s="21">
        <f>IF(ISNUMBER($B869),INT($B869)-WEEKDAY($B869,2)+1,"")</f>
        <v/>
      </c>
      <c r="I869" s="24" t="n"/>
      <c r="J869" s="22">
        <f t="array" ref="J869">IF($D869="","",IF($I869="","(trống REF)",IFERROR(INDEX(MASTER_SOURCE!$B$2:$B$495,MATCH($I869,MASTER_SOURCE!$A$2:$A$495,0)),"(REF không có trong MASTER_SOURCE)")))</f>
        <v/>
      </c>
      <c r="K869" s="22">
        <f t="array" ref="K869">IF($D869="","",IFERROR(INDEX(MASTER_SOURCE!$C$2:$C$495,MATCH($I869,MASTER_SOURCE!$A$2:$A$495,0)),""))</f>
        <v/>
      </c>
      <c r="L869" s="22">
        <f t="array" ref="L869">IF($D869="","",IFERROR(INDEX(MASTER_SOURCE!$D$2:$D$495,MATCH($I869,MASTER_SOURCE!$A$2:$A$495,0)),""))</f>
        <v/>
      </c>
      <c r="M869" s="24" t="n"/>
      <c r="N869" s="24" t="n"/>
      <c r="O869" s="24" t="n"/>
      <c r="P869" s="24" t="n"/>
      <c r="Q869" s="22">
        <f>IF($D869="","",IF(AND(OR(DANH_MUC!$L$5&lt;&gt;"Có",M869="Có"),OR(DANH_MUC!$L$6&lt;&gt;"Có",N869="Có"),OR(DANH_MUC!$L$7&lt;&gt;"Có",O869="Có"),OR(DANH_MUC!$L$8&lt;&gt;"Có",P869="Có")),"Có","Không"))</f>
        <v/>
      </c>
      <c r="R869" s="22">
        <f>IF($D869="","",IF(COUNTIF($D$2:$D869,$D869)&gt;1,"Trùng",""))</f>
        <v/>
      </c>
      <c r="S869" s="22">
        <f>IF($D869="","",IF(AND(LEN($D869)=10,LEFT($D869,1)="0",ISNUMBER(--$D869)),"Có","Không"))</f>
        <v/>
      </c>
      <c r="T869" s="22">
        <f>IF($D869="","",IF(AND($C869&lt;&gt;"",$Q869="Có",$R869="",$S869="Có",AND($L869&lt;&gt;"",OR($L869&lt;&gt;"Chưa xác định",DANH_MUC!$L$9="Có"))),"Có","Không"))</f>
        <v/>
      </c>
      <c r="U869" s="22">
        <f>IF(OR($D869="",$T869="Có"),"",IF($C869="","Thiếu họ tên; ","")&amp;IF($S869&lt;&gt;"Có","SĐT sai định dạng; ","")&amp;IF($R869="Trùng","Trùng SĐT; ","")&amp;IF($Q869&lt;&gt;"Có","Thiếu đồng ý bắt buộc; ","")&amp;IF($L869="","Thiếu/sai Mã REF; ",IF(AND($L869="Chưa xác định",DANH_MUC!$L$9&lt;&gt;"Có"),"Nguồn chưa xác định; ","")))</f>
        <v/>
      </c>
      <c r="V869" s="22">
        <f>IF(OR($D869="",$R869="Trùng"),"",IF(COUNTIF(ORDERS!$C$2:$C$4995,$D869)&gt;0,"Có","Không"))</f>
        <v/>
      </c>
      <c r="W869" s="22">
        <f>IF(OR($D869="",$R869="Trùng"),"",COUNTIFS(ORDERS!$C$2:$C$4995,$D869,ORDERS!$L$2:$L$4995,"Đã chuyển khoản"))</f>
        <v/>
      </c>
      <c r="X869" s="23">
        <f>IF(OR($D869="",$R869="Trùng"),"",SUMIFS(ORDERS!$J$2:$J$4995,ORDERS!$C$2:$C$4995,$D869,ORDERS!$L$2:$L$4995,"Đã chuyển khoản"))</f>
        <v/>
      </c>
      <c r="Y869" s="24" t="n"/>
    </row>
    <row r="870" ht="14.25" customHeight="1" s="40">
      <c r="A870" s="24" t="n"/>
      <c r="B870" s="27" t="n"/>
      <c r="C870" s="24" t="n"/>
      <c r="D870" s="28" t="n"/>
      <c r="E870" s="29" t="n"/>
      <c r="F870" s="24" t="n"/>
      <c r="G870" s="24" t="n"/>
      <c r="H870" s="21">
        <f>IF(ISNUMBER($B870),INT($B870)-WEEKDAY($B870,2)+1,"")</f>
        <v/>
      </c>
      <c r="I870" s="24" t="n"/>
      <c r="J870" s="22">
        <f t="array" ref="J870">IF($D870="","",IF($I870="","(trống REF)",IFERROR(INDEX(MASTER_SOURCE!$B$2:$B$495,MATCH($I870,MASTER_SOURCE!$A$2:$A$495,0)),"(REF không có trong MASTER_SOURCE)")))</f>
        <v/>
      </c>
      <c r="K870" s="22">
        <f t="array" ref="K870">IF($D870="","",IFERROR(INDEX(MASTER_SOURCE!$C$2:$C$495,MATCH($I870,MASTER_SOURCE!$A$2:$A$495,0)),""))</f>
        <v/>
      </c>
      <c r="L870" s="22">
        <f t="array" ref="L870">IF($D870="","",IFERROR(INDEX(MASTER_SOURCE!$D$2:$D$495,MATCH($I870,MASTER_SOURCE!$A$2:$A$495,0)),""))</f>
        <v/>
      </c>
      <c r="M870" s="24" t="n"/>
      <c r="N870" s="24" t="n"/>
      <c r="O870" s="24" t="n"/>
      <c r="P870" s="24" t="n"/>
      <c r="Q870" s="22">
        <f>IF($D870="","",IF(AND(OR(DANH_MUC!$L$5&lt;&gt;"Có",M870="Có"),OR(DANH_MUC!$L$6&lt;&gt;"Có",N870="Có"),OR(DANH_MUC!$L$7&lt;&gt;"Có",O870="Có"),OR(DANH_MUC!$L$8&lt;&gt;"Có",P870="Có")),"Có","Không"))</f>
        <v/>
      </c>
      <c r="R870" s="22">
        <f>IF($D870="","",IF(COUNTIF($D$2:$D870,$D870)&gt;1,"Trùng",""))</f>
        <v/>
      </c>
      <c r="S870" s="22">
        <f>IF($D870="","",IF(AND(LEN($D870)=10,LEFT($D870,1)="0",ISNUMBER(--$D870)),"Có","Không"))</f>
        <v/>
      </c>
      <c r="T870" s="22">
        <f>IF($D870="","",IF(AND($C870&lt;&gt;"",$Q870="Có",$R870="",$S870="Có",AND($L870&lt;&gt;"",OR($L870&lt;&gt;"Chưa xác định",DANH_MUC!$L$9="Có"))),"Có","Không"))</f>
        <v/>
      </c>
      <c r="U870" s="22">
        <f>IF(OR($D870="",$T870="Có"),"",IF($C870="","Thiếu họ tên; ","")&amp;IF($S870&lt;&gt;"Có","SĐT sai định dạng; ","")&amp;IF($R870="Trùng","Trùng SĐT; ","")&amp;IF($Q870&lt;&gt;"Có","Thiếu đồng ý bắt buộc; ","")&amp;IF($L870="","Thiếu/sai Mã REF; ",IF(AND($L870="Chưa xác định",DANH_MUC!$L$9&lt;&gt;"Có"),"Nguồn chưa xác định; ","")))</f>
        <v/>
      </c>
      <c r="V870" s="22">
        <f>IF(OR($D870="",$R870="Trùng"),"",IF(COUNTIF(ORDERS!$C$2:$C$4995,$D870)&gt;0,"Có","Không"))</f>
        <v/>
      </c>
      <c r="W870" s="22">
        <f>IF(OR($D870="",$R870="Trùng"),"",COUNTIFS(ORDERS!$C$2:$C$4995,$D870,ORDERS!$L$2:$L$4995,"Đã chuyển khoản"))</f>
        <v/>
      </c>
      <c r="X870" s="23">
        <f>IF(OR($D870="",$R870="Trùng"),"",SUMIFS(ORDERS!$J$2:$J$4995,ORDERS!$C$2:$C$4995,$D870,ORDERS!$L$2:$L$4995,"Đã chuyển khoản"))</f>
        <v/>
      </c>
      <c r="Y870" s="24" t="n"/>
    </row>
    <row r="871" ht="14.25" customHeight="1" s="40">
      <c r="A871" s="24" t="n"/>
      <c r="B871" s="27" t="n"/>
      <c r="C871" s="24" t="n"/>
      <c r="D871" s="28" t="n"/>
      <c r="E871" s="29" t="n"/>
      <c r="F871" s="24" t="n"/>
      <c r="G871" s="24" t="n"/>
      <c r="H871" s="21">
        <f>IF(ISNUMBER($B871),INT($B871)-WEEKDAY($B871,2)+1,"")</f>
        <v/>
      </c>
      <c r="I871" s="24" t="n"/>
      <c r="J871" s="22">
        <f t="array" ref="J871">IF($D871="","",IF($I871="","(trống REF)",IFERROR(INDEX(MASTER_SOURCE!$B$2:$B$495,MATCH($I871,MASTER_SOURCE!$A$2:$A$495,0)),"(REF không có trong MASTER_SOURCE)")))</f>
        <v/>
      </c>
      <c r="K871" s="22">
        <f t="array" ref="K871">IF($D871="","",IFERROR(INDEX(MASTER_SOURCE!$C$2:$C$495,MATCH($I871,MASTER_SOURCE!$A$2:$A$495,0)),""))</f>
        <v/>
      </c>
      <c r="L871" s="22">
        <f t="array" ref="L871">IF($D871="","",IFERROR(INDEX(MASTER_SOURCE!$D$2:$D$495,MATCH($I871,MASTER_SOURCE!$A$2:$A$495,0)),""))</f>
        <v/>
      </c>
      <c r="M871" s="24" t="n"/>
      <c r="N871" s="24" t="n"/>
      <c r="O871" s="24" t="n"/>
      <c r="P871" s="24" t="n"/>
      <c r="Q871" s="22">
        <f>IF($D871="","",IF(AND(OR(DANH_MUC!$L$5&lt;&gt;"Có",M871="Có"),OR(DANH_MUC!$L$6&lt;&gt;"Có",N871="Có"),OR(DANH_MUC!$L$7&lt;&gt;"Có",O871="Có"),OR(DANH_MUC!$L$8&lt;&gt;"Có",P871="Có")),"Có","Không"))</f>
        <v/>
      </c>
      <c r="R871" s="22">
        <f>IF($D871="","",IF(COUNTIF($D$2:$D871,$D871)&gt;1,"Trùng",""))</f>
        <v/>
      </c>
      <c r="S871" s="22">
        <f>IF($D871="","",IF(AND(LEN($D871)=10,LEFT($D871,1)="0",ISNUMBER(--$D871)),"Có","Không"))</f>
        <v/>
      </c>
      <c r="T871" s="22">
        <f>IF($D871="","",IF(AND($C871&lt;&gt;"",$Q871="Có",$R871="",$S871="Có",AND($L871&lt;&gt;"",OR($L871&lt;&gt;"Chưa xác định",DANH_MUC!$L$9="Có"))),"Có","Không"))</f>
        <v/>
      </c>
      <c r="U871" s="22">
        <f>IF(OR($D871="",$T871="Có"),"",IF($C871="","Thiếu họ tên; ","")&amp;IF($S871&lt;&gt;"Có","SĐT sai định dạng; ","")&amp;IF($R871="Trùng","Trùng SĐT; ","")&amp;IF($Q871&lt;&gt;"Có","Thiếu đồng ý bắt buộc; ","")&amp;IF($L871="","Thiếu/sai Mã REF; ",IF(AND($L871="Chưa xác định",DANH_MUC!$L$9&lt;&gt;"Có"),"Nguồn chưa xác định; ","")))</f>
        <v/>
      </c>
      <c r="V871" s="22">
        <f>IF(OR($D871="",$R871="Trùng"),"",IF(COUNTIF(ORDERS!$C$2:$C$4995,$D871)&gt;0,"Có","Không"))</f>
        <v/>
      </c>
      <c r="W871" s="22">
        <f>IF(OR($D871="",$R871="Trùng"),"",COUNTIFS(ORDERS!$C$2:$C$4995,$D871,ORDERS!$L$2:$L$4995,"Đã chuyển khoản"))</f>
        <v/>
      </c>
      <c r="X871" s="23">
        <f>IF(OR($D871="",$R871="Trùng"),"",SUMIFS(ORDERS!$J$2:$J$4995,ORDERS!$C$2:$C$4995,$D871,ORDERS!$L$2:$L$4995,"Đã chuyển khoản"))</f>
        <v/>
      </c>
      <c r="Y871" s="24" t="n"/>
    </row>
    <row r="872" ht="14.25" customHeight="1" s="40">
      <c r="A872" s="24" t="n"/>
      <c r="B872" s="27" t="n"/>
      <c r="C872" s="24" t="n"/>
      <c r="D872" s="28" t="n"/>
      <c r="E872" s="29" t="n"/>
      <c r="F872" s="24" t="n"/>
      <c r="G872" s="24" t="n"/>
      <c r="H872" s="21">
        <f>IF(ISNUMBER($B872),INT($B872)-WEEKDAY($B872,2)+1,"")</f>
        <v/>
      </c>
      <c r="I872" s="24" t="n"/>
      <c r="J872" s="22">
        <f t="array" ref="J872">IF($D872="","",IF($I872="","(trống REF)",IFERROR(INDEX(MASTER_SOURCE!$B$2:$B$495,MATCH($I872,MASTER_SOURCE!$A$2:$A$495,0)),"(REF không có trong MASTER_SOURCE)")))</f>
        <v/>
      </c>
      <c r="K872" s="22">
        <f t="array" ref="K872">IF($D872="","",IFERROR(INDEX(MASTER_SOURCE!$C$2:$C$495,MATCH($I872,MASTER_SOURCE!$A$2:$A$495,0)),""))</f>
        <v/>
      </c>
      <c r="L872" s="22">
        <f t="array" ref="L872">IF($D872="","",IFERROR(INDEX(MASTER_SOURCE!$D$2:$D$495,MATCH($I872,MASTER_SOURCE!$A$2:$A$495,0)),""))</f>
        <v/>
      </c>
      <c r="M872" s="24" t="n"/>
      <c r="N872" s="24" t="n"/>
      <c r="O872" s="24" t="n"/>
      <c r="P872" s="24" t="n"/>
      <c r="Q872" s="22">
        <f>IF($D872="","",IF(AND(OR(DANH_MUC!$L$5&lt;&gt;"Có",M872="Có"),OR(DANH_MUC!$L$6&lt;&gt;"Có",N872="Có"),OR(DANH_MUC!$L$7&lt;&gt;"Có",O872="Có"),OR(DANH_MUC!$L$8&lt;&gt;"Có",P872="Có")),"Có","Không"))</f>
        <v/>
      </c>
      <c r="R872" s="22">
        <f>IF($D872="","",IF(COUNTIF($D$2:$D872,$D872)&gt;1,"Trùng",""))</f>
        <v/>
      </c>
      <c r="S872" s="22">
        <f>IF($D872="","",IF(AND(LEN($D872)=10,LEFT($D872,1)="0",ISNUMBER(--$D872)),"Có","Không"))</f>
        <v/>
      </c>
      <c r="T872" s="22">
        <f>IF($D872="","",IF(AND($C872&lt;&gt;"",$Q872="Có",$R872="",$S872="Có",AND($L872&lt;&gt;"",OR($L872&lt;&gt;"Chưa xác định",DANH_MUC!$L$9="Có"))),"Có","Không"))</f>
        <v/>
      </c>
      <c r="U872" s="22">
        <f>IF(OR($D872="",$T872="Có"),"",IF($C872="","Thiếu họ tên; ","")&amp;IF($S872&lt;&gt;"Có","SĐT sai định dạng; ","")&amp;IF($R872="Trùng","Trùng SĐT; ","")&amp;IF($Q872&lt;&gt;"Có","Thiếu đồng ý bắt buộc; ","")&amp;IF($L872="","Thiếu/sai Mã REF; ",IF(AND($L872="Chưa xác định",DANH_MUC!$L$9&lt;&gt;"Có"),"Nguồn chưa xác định; ","")))</f>
        <v/>
      </c>
      <c r="V872" s="22">
        <f>IF(OR($D872="",$R872="Trùng"),"",IF(COUNTIF(ORDERS!$C$2:$C$4995,$D872)&gt;0,"Có","Không"))</f>
        <v/>
      </c>
      <c r="W872" s="22">
        <f>IF(OR($D872="",$R872="Trùng"),"",COUNTIFS(ORDERS!$C$2:$C$4995,$D872,ORDERS!$L$2:$L$4995,"Đã chuyển khoản"))</f>
        <v/>
      </c>
      <c r="X872" s="23">
        <f>IF(OR($D872="",$R872="Trùng"),"",SUMIFS(ORDERS!$J$2:$J$4995,ORDERS!$C$2:$C$4995,$D872,ORDERS!$L$2:$L$4995,"Đã chuyển khoản"))</f>
        <v/>
      </c>
      <c r="Y872" s="24" t="n"/>
    </row>
    <row r="873" ht="14.25" customHeight="1" s="40">
      <c r="A873" s="24" t="n"/>
      <c r="B873" s="27" t="n"/>
      <c r="C873" s="24" t="n"/>
      <c r="D873" s="28" t="n"/>
      <c r="E873" s="29" t="n"/>
      <c r="F873" s="24" t="n"/>
      <c r="G873" s="24" t="n"/>
      <c r="H873" s="21">
        <f>IF(ISNUMBER($B873),INT($B873)-WEEKDAY($B873,2)+1,"")</f>
        <v/>
      </c>
      <c r="I873" s="24" t="n"/>
      <c r="J873" s="22">
        <f t="array" ref="J873">IF($D873="","",IF($I873="","(trống REF)",IFERROR(INDEX(MASTER_SOURCE!$B$2:$B$495,MATCH($I873,MASTER_SOURCE!$A$2:$A$495,0)),"(REF không có trong MASTER_SOURCE)")))</f>
        <v/>
      </c>
      <c r="K873" s="22">
        <f t="array" ref="K873">IF($D873="","",IFERROR(INDEX(MASTER_SOURCE!$C$2:$C$495,MATCH($I873,MASTER_SOURCE!$A$2:$A$495,0)),""))</f>
        <v/>
      </c>
      <c r="L873" s="22">
        <f t="array" ref="L873">IF($D873="","",IFERROR(INDEX(MASTER_SOURCE!$D$2:$D$495,MATCH($I873,MASTER_SOURCE!$A$2:$A$495,0)),""))</f>
        <v/>
      </c>
      <c r="M873" s="24" t="n"/>
      <c r="N873" s="24" t="n"/>
      <c r="O873" s="24" t="n"/>
      <c r="P873" s="24" t="n"/>
      <c r="Q873" s="22">
        <f>IF($D873="","",IF(AND(OR(DANH_MUC!$L$5&lt;&gt;"Có",M873="Có"),OR(DANH_MUC!$L$6&lt;&gt;"Có",N873="Có"),OR(DANH_MUC!$L$7&lt;&gt;"Có",O873="Có"),OR(DANH_MUC!$L$8&lt;&gt;"Có",P873="Có")),"Có","Không"))</f>
        <v/>
      </c>
      <c r="R873" s="22">
        <f>IF($D873="","",IF(COUNTIF($D$2:$D873,$D873)&gt;1,"Trùng",""))</f>
        <v/>
      </c>
      <c r="S873" s="22">
        <f>IF($D873="","",IF(AND(LEN($D873)=10,LEFT($D873,1)="0",ISNUMBER(--$D873)),"Có","Không"))</f>
        <v/>
      </c>
      <c r="T873" s="22">
        <f>IF($D873="","",IF(AND($C873&lt;&gt;"",$Q873="Có",$R873="",$S873="Có",AND($L873&lt;&gt;"",OR($L873&lt;&gt;"Chưa xác định",DANH_MUC!$L$9="Có"))),"Có","Không"))</f>
        <v/>
      </c>
      <c r="U873" s="22">
        <f>IF(OR($D873="",$T873="Có"),"",IF($C873="","Thiếu họ tên; ","")&amp;IF($S873&lt;&gt;"Có","SĐT sai định dạng; ","")&amp;IF($R873="Trùng","Trùng SĐT; ","")&amp;IF($Q873&lt;&gt;"Có","Thiếu đồng ý bắt buộc; ","")&amp;IF($L873="","Thiếu/sai Mã REF; ",IF(AND($L873="Chưa xác định",DANH_MUC!$L$9&lt;&gt;"Có"),"Nguồn chưa xác định; ","")))</f>
        <v/>
      </c>
      <c r="V873" s="22">
        <f>IF(OR($D873="",$R873="Trùng"),"",IF(COUNTIF(ORDERS!$C$2:$C$4995,$D873)&gt;0,"Có","Không"))</f>
        <v/>
      </c>
      <c r="W873" s="22">
        <f>IF(OR($D873="",$R873="Trùng"),"",COUNTIFS(ORDERS!$C$2:$C$4995,$D873,ORDERS!$L$2:$L$4995,"Đã chuyển khoản"))</f>
        <v/>
      </c>
      <c r="X873" s="23">
        <f>IF(OR($D873="",$R873="Trùng"),"",SUMIFS(ORDERS!$J$2:$J$4995,ORDERS!$C$2:$C$4995,$D873,ORDERS!$L$2:$L$4995,"Đã chuyển khoản"))</f>
        <v/>
      </c>
      <c r="Y873" s="24" t="n"/>
    </row>
    <row r="874" ht="14.25" customHeight="1" s="40">
      <c r="A874" s="24" t="n"/>
      <c r="B874" s="27" t="n"/>
      <c r="C874" s="24" t="n"/>
      <c r="D874" s="28" t="n"/>
      <c r="E874" s="29" t="n"/>
      <c r="F874" s="24" t="n"/>
      <c r="G874" s="24" t="n"/>
      <c r="H874" s="21">
        <f>IF(ISNUMBER($B874),INT($B874)-WEEKDAY($B874,2)+1,"")</f>
        <v/>
      </c>
      <c r="I874" s="24" t="n"/>
      <c r="J874" s="22">
        <f t="array" ref="J874">IF($D874="","",IF($I874="","(trống REF)",IFERROR(INDEX(MASTER_SOURCE!$B$2:$B$495,MATCH($I874,MASTER_SOURCE!$A$2:$A$495,0)),"(REF không có trong MASTER_SOURCE)")))</f>
        <v/>
      </c>
      <c r="K874" s="22">
        <f t="array" ref="K874">IF($D874="","",IFERROR(INDEX(MASTER_SOURCE!$C$2:$C$495,MATCH($I874,MASTER_SOURCE!$A$2:$A$495,0)),""))</f>
        <v/>
      </c>
      <c r="L874" s="22">
        <f t="array" ref="L874">IF($D874="","",IFERROR(INDEX(MASTER_SOURCE!$D$2:$D$495,MATCH($I874,MASTER_SOURCE!$A$2:$A$495,0)),""))</f>
        <v/>
      </c>
      <c r="M874" s="24" t="n"/>
      <c r="N874" s="24" t="n"/>
      <c r="O874" s="24" t="n"/>
      <c r="P874" s="24" t="n"/>
      <c r="Q874" s="22">
        <f>IF($D874="","",IF(AND(OR(DANH_MUC!$L$5&lt;&gt;"Có",M874="Có"),OR(DANH_MUC!$L$6&lt;&gt;"Có",N874="Có"),OR(DANH_MUC!$L$7&lt;&gt;"Có",O874="Có"),OR(DANH_MUC!$L$8&lt;&gt;"Có",P874="Có")),"Có","Không"))</f>
        <v/>
      </c>
      <c r="R874" s="22">
        <f>IF($D874="","",IF(COUNTIF($D$2:$D874,$D874)&gt;1,"Trùng",""))</f>
        <v/>
      </c>
      <c r="S874" s="22">
        <f>IF($D874="","",IF(AND(LEN($D874)=10,LEFT($D874,1)="0",ISNUMBER(--$D874)),"Có","Không"))</f>
        <v/>
      </c>
      <c r="T874" s="22">
        <f>IF($D874="","",IF(AND($C874&lt;&gt;"",$Q874="Có",$R874="",$S874="Có",AND($L874&lt;&gt;"",OR($L874&lt;&gt;"Chưa xác định",DANH_MUC!$L$9="Có"))),"Có","Không"))</f>
        <v/>
      </c>
      <c r="U874" s="22">
        <f>IF(OR($D874="",$T874="Có"),"",IF($C874="","Thiếu họ tên; ","")&amp;IF($S874&lt;&gt;"Có","SĐT sai định dạng; ","")&amp;IF($R874="Trùng","Trùng SĐT; ","")&amp;IF($Q874&lt;&gt;"Có","Thiếu đồng ý bắt buộc; ","")&amp;IF($L874="","Thiếu/sai Mã REF; ",IF(AND($L874="Chưa xác định",DANH_MUC!$L$9&lt;&gt;"Có"),"Nguồn chưa xác định; ","")))</f>
        <v/>
      </c>
      <c r="V874" s="22">
        <f>IF(OR($D874="",$R874="Trùng"),"",IF(COUNTIF(ORDERS!$C$2:$C$4995,$D874)&gt;0,"Có","Không"))</f>
        <v/>
      </c>
      <c r="W874" s="22">
        <f>IF(OR($D874="",$R874="Trùng"),"",COUNTIFS(ORDERS!$C$2:$C$4995,$D874,ORDERS!$L$2:$L$4995,"Đã chuyển khoản"))</f>
        <v/>
      </c>
      <c r="X874" s="23">
        <f>IF(OR($D874="",$R874="Trùng"),"",SUMIFS(ORDERS!$J$2:$J$4995,ORDERS!$C$2:$C$4995,$D874,ORDERS!$L$2:$L$4995,"Đã chuyển khoản"))</f>
        <v/>
      </c>
      <c r="Y874" s="24" t="n"/>
    </row>
    <row r="875" ht="14.25" customHeight="1" s="40">
      <c r="A875" s="24" t="n"/>
      <c r="B875" s="27" t="n"/>
      <c r="C875" s="24" t="n"/>
      <c r="D875" s="28" t="n"/>
      <c r="E875" s="29" t="n"/>
      <c r="F875" s="24" t="n"/>
      <c r="G875" s="24" t="n"/>
      <c r="H875" s="21">
        <f>IF(ISNUMBER($B875),INT($B875)-WEEKDAY($B875,2)+1,"")</f>
        <v/>
      </c>
      <c r="I875" s="24" t="n"/>
      <c r="J875" s="22">
        <f t="array" ref="J875">IF($D875="","",IF($I875="","(trống REF)",IFERROR(INDEX(MASTER_SOURCE!$B$2:$B$495,MATCH($I875,MASTER_SOURCE!$A$2:$A$495,0)),"(REF không có trong MASTER_SOURCE)")))</f>
        <v/>
      </c>
      <c r="K875" s="22">
        <f t="array" ref="K875">IF($D875="","",IFERROR(INDEX(MASTER_SOURCE!$C$2:$C$495,MATCH($I875,MASTER_SOURCE!$A$2:$A$495,0)),""))</f>
        <v/>
      </c>
      <c r="L875" s="22">
        <f t="array" ref="L875">IF($D875="","",IFERROR(INDEX(MASTER_SOURCE!$D$2:$D$495,MATCH($I875,MASTER_SOURCE!$A$2:$A$495,0)),""))</f>
        <v/>
      </c>
      <c r="M875" s="24" t="n"/>
      <c r="N875" s="24" t="n"/>
      <c r="O875" s="24" t="n"/>
      <c r="P875" s="24" t="n"/>
      <c r="Q875" s="22">
        <f>IF($D875="","",IF(AND(OR(DANH_MUC!$L$5&lt;&gt;"Có",M875="Có"),OR(DANH_MUC!$L$6&lt;&gt;"Có",N875="Có"),OR(DANH_MUC!$L$7&lt;&gt;"Có",O875="Có"),OR(DANH_MUC!$L$8&lt;&gt;"Có",P875="Có")),"Có","Không"))</f>
        <v/>
      </c>
      <c r="R875" s="22">
        <f>IF($D875="","",IF(COUNTIF($D$2:$D875,$D875)&gt;1,"Trùng",""))</f>
        <v/>
      </c>
      <c r="S875" s="22">
        <f>IF($D875="","",IF(AND(LEN($D875)=10,LEFT($D875,1)="0",ISNUMBER(--$D875)),"Có","Không"))</f>
        <v/>
      </c>
      <c r="T875" s="22">
        <f>IF($D875="","",IF(AND($C875&lt;&gt;"",$Q875="Có",$R875="",$S875="Có",AND($L875&lt;&gt;"",OR($L875&lt;&gt;"Chưa xác định",DANH_MUC!$L$9="Có"))),"Có","Không"))</f>
        <v/>
      </c>
      <c r="U875" s="22">
        <f>IF(OR($D875="",$T875="Có"),"",IF($C875="","Thiếu họ tên; ","")&amp;IF($S875&lt;&gt;"Có","SĐT sai định dạng; ","")&amp;IF($R875="Trùng","Trùng SĐT; ","")&amp;IF($Q875&lt;&gt;"Có","Thiếu đồng ý bắt buộc; ","")&amp;IF($L875="","Thiếu/sai Mã REF; ",IF(AND($L875="Chưa xác định",DANH_MUC!$L$9&lt;&gt;"Có"),"Nguồn chưa xác định; ","")))</f>
        <v/>
      </c>
      <c r="V875" s="22">
        <f>IF(OR($D875="",$R875="Trùng"),"",IF(COUNTIF(ORDERS!$C$2:$C$4995,$D875)&gt;0,"Có","Không"))</f>
        <v/>
      </c>
      <c r="W875" s="22">
        <f>IF(OR($D875="",$R875="Trùng"),"",COUNTIFS(ORDERS!$C$2:$C$4995,$D875,ORDERS!$L$2:$L$4995,"Đã chuyển khoản"))</f>
        <v/>
      </c>
      <c r="X875" s="23">
        <f>IF(OR($D875="",$R875="Trùng"),"",SUMIFS(ORDERS!$J$2:$J$4995,ORDERS!$C$2:$C$4995,$D875,ORDERS!$L$2:$L$4995,"Đã chuyển khoản"))</f>
        <v/>
      </c>
      <c r="Y875" s="24" t="n"/>
    </row>
    <row r="876" ht="14.25" customHeight="1" s="40">
      <c r="A876" s="24" t="n"/>
      <c r="B876" s="27" t="n"/>
      <c r="C876" s="24" t="n"/>
      <c r="D876" s="28" t="n"/>
      <c r="E876" s="29" t="n"/>
      <c r="F876" s="24" t="n"/>
      <c r="G876" s="24" t="n"/>
      <c r="H876" s="21">
        <f>IF(ISNUMBER($B876),INT($B876)-WEEKDAY($B876,2)+1,"")</f>
        <v/>
      </c>
      <c r="I876" s="24" t="n"/>
      <c r="J876" s="22">
        <f t="array" ref="J876">IF($D876="","",IF($I876="","(trống REF)",IFERROR(INDEX(MASTER_SOURCE!$B$2:$B$495,MATCH($I876,MASTER_SOURCE!$A$2:$A$495,0)),"(REF không có trong MASTER_SOURCE)")))</f>
        <v/>
      </c>
      <c r="K876" s="22">
        <f t="array" ref="K876">IF($D876="","",IFERROR(INDEX(MASTER_SOURCE!$C$2:$C$495,MATCH($I876,MASTER_SOURCE!$A$2:$A$495,0)),""))</f>
        <v/>
      </c>
      <c r="L876" s="22">
        <f t="array" ref="L876">IF($D876="","",IFERROR(INDEX(MASTER_SOURCE!$D$2:$D$495,MATCH($I876,MASTER_SOURCE!$A$2:$A$495,0)),""))</f>
        <v/>
      </c>
      <c r="M876" s="24" t="n"/>
      <c r="N876" s="24" t="n"/>
      <c r="O876" s="24" t="n"/>
      <c r="P876" s="24" t="n"/>
      <c r="Q876" s="22">
        <f>IF($D876="","",IF(AND(OR(DANH_MUC!$L$5&lt;&gt;"Có",M876="Có"),OR(DANH_MUC!$L$6&lt;&gt;"Có",N876="Có"),OR(DANH_MUC!$L$7&lt;&gt;"Có",O876="Có"),OR(DANH_MUC!$L$8&lt;&gt;"Có",P876="Có")),"Có","Không"))</f>
        <v/>
      </c>
      <c r="R876" s="22">
        <f>IF($D876="","",IF(COUNTIF($D$2:$D876,$D876)&gt;1,"Trùng",""))</f>
        <v/>
      </c>
      <c r="S876" s="22">
        <f>IF($D876="","",IF(AND(LEN($D876)=10,LEFT($D876,1)="0",ISNUMBER(--$D876)),"Có","Không"))</f>
        <v/>
      </c>
      <c r="T876" s="22">
        <f>IF($D876="","",IF(AND($C876&lt;&gt;"",$Q876="Có",$R876="",$S876="Có",AND($L876&lt;&gt;"",OR($L876&lt;&gt;"Chưa xác định",DANH_MUC!$L$9="Có"))),"Có","Không"))</f>
        <v/>
      </c>
      <c r="U876" s="22">
        <f>IF(OR($D876="",$T876="Có"),"",IF($C876="","Thiếu họ tên; ","")&amp;IF($S876&lt;&gt;"Có","SĐT sai định dạng; ","")&amp;IF($R876="Trùng","Trùng SĐT; ","")&amp;IF($Q876&lt;&gt;"Có","Thiếu đồng ý bắt buộc; ","")&amp;IF($L876="","Thiếu/sai Mã REF; ",IF(AND($L876="Chưa xác định",DANH_MUC!$L$9&lt;&gt;"Có"),"Nguồn chưa xác định; ","")))</f>
        <v/>
      </c>
      <c r="V876" s="22">
        <f>IF(OR($D876="",$R876="Trùng"),"",IF(COUNTIF(ORDERS!$C$2:$C$4995,$D876)&gt;0,"Có","Không"))</f>
        <v/>
      </c>
      <c r="W876" s="22">
        <f>IF(OR($D876="",$R876="Trùng"),"",COUNTIFS(ORDERS!$C$2:$C$4995,$D876,ORDERS!$L$2:$L$4995,"Đã chuyển khoản"))</f>
        <v/>
      </c>
      <c r="X876" s="23">
        <f>IF(OR($D876="",$R876="Trùng"),"",SUMIFS(ORDERS!$J$2:$J$4995,ORDERS!$C$2:$C$4995,$D876,ORDERS!$L$2:$L$4995,"Đã chuyển khoản"))</f>
        <v/>
      </c>
      <c r="Y876" s="24" t="n"/>
    </row>
    <row r="877" ht="14.25" customHeight="1" s="40">
      <c r="A877" s="24" t="n"/>
      <c r="B877" s="27" t="n"/>
      <c r="C877" s="24" t="n"/>
      <c r="D877" s="28" t="n"/>
      <c r="E877" s="29" t="n"/>
      <c r="F877" s="24" t="n"/>
      <c r="G877" s="24" t="n"/>
      <c r="H877" s="21">
        <f>IF(ISNUMBER($B877),INT($B877)-WEEKDAY($B877,2)+1,"")</f>
        <v/>
      </c>
      <c r="I877" s="24" t="n"/>
      <c r="J877" s="22">
        <f t="array" ref="J877">IF($D877="","",IF($I877="","(trống REF)",IFERROR(INDEX(MASTER_SOURCE!$B$2:$B$495,MATCH($I877,MASTER_SOURCE!$A$2:$A$495,0)),"(REF không có trong MASTER_SOURCE)")))</f>
        <v/>
      </c>
      <c r="K877" s="22">
        <f t="array" ref="K877">IF($D877="","",IFERROR(INDEX(MASTER_SOURCE!$C$2:$C$495,MATCH($I877,MASTER_SOURCE!$A$2:$A$495,0)),""))</f>
        <v/>
      </c>
      <c r="L877" s="22">
        <f t="array" ref="L877">IF($D877="","",IFERROR(INDEX(MASTER_SOURCE!$D$2:$D$495,MATCH($I877,MASTER_SOURCE!$A$2:$A$495,0)),""))</f>
        <v/>
      </c>
      <c r="M877" s="24" t="n"/>
      <c r="N877" s="24" t="n"/>
      <c r="O877" s="24" t="n"/>
      <c r="P877" s="24" t="n"/>
      <c r="Q877" s="22">
        <f>IF($D877="","",IF(AND(OR(DANH_MUC!$L$5&lt;&gt;"Có",M877="Có"),OR(DANH_MUC!$L$6&lt;&gt;"Có",N877="Có"),OR(DANH_MUC!$L$7&lt;&gt;"Có",O877="Có"),OR(DANH_MUC!$L$8&lt;&gt;"Có",P877="Có")),"Có","Không"))</f>
        <v/>
      </c>
      <c r="R877" s="22">
        <f>IF($D877="","",IF(COUNTIF($D$2:$D877,$D877)&gt;1,"Trùng",""))</f>
        <v/>
      </c>
      <c r="S877" s="22">
        <f>IF($D877="","",IF(AND(LEN($D877)=10,LEFT($D877,1)="0",ISNUMBER(--$D877)),"Có","Không"))</f>
        <v/>
      </c>
      <c r="T877" s="22">
        <f>IF($D877="","",IF(AND($C877&lt;&gt;"",$Q877="Có",$R877="",$S877="Có",AND($L877&lt;&gt;"",OR($L877&lt;&gt;"Chưa xác định",DANH_MUC!$L$9="Có"))),"Có","Không"))</f>
        <v/>
      </c>
      <c r="U877" s="22">
        <f>IF(OR($D877="",$T877="Có"),"",IF($C877="","Thiếu họ tên; ","")&amp;IF($S877&lt;&gt;"Có","SĐT sai định dạng; ","")&amp;IF($R877="Trùng","Trùng SĐT; ","")&amp;IF($Q877&lt;&gt;"Có","Thiếu đồng ý bắt buộc; ","")&amp;IF($L877="","Thiếu/sai Mã REF; ",IF(AND($L877="Chưa xác định",DANH_MUC!$L$9&lt;&gt;"Có"),"Nguồn chưa xác định; ","")))</f>
        <v/>
      </c>
      <c r="V877" s="22">
        <f>IF(OR($D877="",$R877="Trùng"),"",IF(COUNTIF(ORDERS!$C$2:$C$4995,$D877)&gt;0,"Có","Không"))</f>
        <v/>
      </c>
      <c r="W877" s="22">
        <f>IF(OR($D877="",$R877="Trùng"),"",COUNTIFS(ORDERS!$C$2:$C$4995,$D877,ORDERS!$L$2:$L$4995,"Đã chuyển khoản"))</f>
        <v/>
      </c>
      <c r="X877" s="23">
        <f>IF(OR($D877="",$R877="Trùng"),"",SUMIFS(ORDERS!$J$2:$J$4995,ORDERS!$C$2:$C$4995,$D877,ORDERS!$L$2:$L$4995,"Đã chuyển khoản"))</f>
        <v/>
      </c>
      <c r="Y877" s="24" t="n"/>
    </row>
    <row r="878" ht="14.25" customHeight="1" s="40">
      <c r="A878" s="24" t="n"/>
      <c r="B878" s="27" t="n"/>
      <c r="C878" s="24" t="n"/>
      <c r="D878" s="28" t="n"/>
      <c r="E878" s="29" t="n"/>
      <c r="F878" s="24" t="n"/>
      <c r="G878" s="24" t="n"/>
      <c r="H878" s="21">
        <f>IF(ISNUMBER($B878),INT($B878)-WEEKDAY($B878,2)+1,"")</f>
        <v/>
      </c>
      <c r="I878" s="24" t="n"/>
      <c r="J878" s="22">
        <f t="array" ref="J878">IF($D878="","",IF($I878="","(trống REF)",IFERROR(INDEX(MASTER_SOURCE!$B$2:$B$495,MATCH($I878,MASTER_SOURCE!$A$2:$A$495,0)),"(REF không có trong MASTER_SOURCE)")))</f>
        <v/>
      </c>
      <c r="K878" s="22">
        <f t="array" ref="K878">IF($D878="","",IFERROR(INDEX(MASTER_SOURCE!$C$2:$C$495,MATCH($I878,MASTER_SOURCE!$A$2:$A$495,0)),""))</f>
        <v/>
      </c>
      <c r="L878" s="22">
        <f t="array" ref="L878">IF($D878="","",IFERROR(INDEX(MASTER_SOURCE!$D$2:$D$495,MATCH($I878,MASTER_SOURCE!$A$2:$A$495,0)),""))</f>
        <v/>
      </c>
      <c r="M878" s="24" t="n"/>
      <c r="N878" s="24" t="n"/>
      <c r="O878" s="24" t="n"/>
      <c r="P878" s="24" t="n"/>
      <c r="Q878" s="22">
        <f>IF($D878="","",IF(AND(OR(DANH_MUC!$L$5&lt;&gt;"Có",M878="Có"),OR(DANH_MUC!$L$6&lt;&gt;"Có",N878="Có"),OR(DANH_MUC!$L$7&lt;&gt;"Có",O878="Có"),OR(DANH_MUC!$L$8&lt;&gt;"Có",P878="Có")),"Có","Không"))</f>
        <v/>
      </c>
      <c r="R878" s="22">
        <f>IF($D878="","",IF(COUNTIF($D$2:$D878,$D878)&gt;1,"Trùng",""))</f>
        <v/>
      </c>
      <c r="S878" s="22">
        <f>IF($D878="","",IF(AND(LEN($D878)=10,LEFT($D878,1)="0",ISNUMBER(--$D878)),"Có","Không"))</f>
        <v/>
      </c>
      <c r="T878" s="22">
        <f>IF($D878="","",IF(AND($C878&lt;&gt;"",$Q878="Có",$R878="",$S878="Có",AND($L878&lt;&gt;"",OR($L878&lt;&gt;"Chưa xác định",DANH_MUC!$L$9="Có"))),"Có","Không"))</f>
        <v/>
      </c>
      <c r="U878" s="22">
        <f>IF(OR($D878="",$T878="Có"),"",IF($C878="","Thiếu họ tên; ","")&amp;IF($S878&lt;&gt;"Có","SĐT sai định dạng; ","")&amp;IF($R878="Trùng","Trùng SĐT; ","")&amp;IF($Q878&lt;&gt;"Có","Thiếu đồng ý bắt buộc; ","")&amp;IF($L878="","Thiếu/sai Mã REF; ",IF(AND($L878="Chưa xác định",DANH_MUC!$L$9&lt;&gt;"Có"),"Nguồn chưa xác định; ","")))</f>
        <v/>
      </c>
      <c r="V878" s="22">
        <f>IF(OR($D878="",$R878="Trùng"),"",IF(COUNTIF(ORDERS!$C$2:$C$4995,$D878)&gt;0,"Có","Không"))</f>
        <v/>
      </c>
      <c r="W878" s="22">
        <f>IF(OR($D878="",$R878="Trùng"),"",COUNTIFS(ORDERS!$C$2:$C$4995,$D878,ORDERS!$L$2:$L$4995,"Đã chuyển khoản"))</f>
        <v/>
      </c>
      <c r="X878" s="23">
        <f>IF(OR($D878="",$R878="Trùng"),"",SUMIFS(ORDERS!$J$2:$J$4995,ORDERS!$C$2:$C$4995,$D878,ORDERS!$L$2:$L$4995,"Đã chuyển khoản"))</f>
        <v/>
      </c>
      <c r="Y878" s="24" t="n"/>
    </row>
    <row r="879" ht="14.25" customHeight="1" s="40">
      <c r="A879" s="24" t="n"/>
      <c r="B879" s="27" t="n"/>
      <c r="C879" s="24" t="n"/>
      <c r="D879" s="28" t="n"/>
      <c r="E879" s="29" t="n"/>
      <c r="F879" s="24" t="n"/>
      <c r="G879" s="24" t="n"/>
      <c r="H879" s="21">
        <f>IF(ISNUMBER($B879),INT($B879)-WEEKDAY($B879,2)+1,"")</f>
        <v/>
      </c>
      <c r="I879" s="24" t="n"/>
      <c r="J879" s="22">
        <f t="array" ref="J879">IF($D879="","",IF($I879="","(trống REF)",IFERROR(INDEX(MASTER_SOURCE!$B$2:$B$495,MATCH($I879,MASTER_SOURCE!$A$2:$A$495,0)),"(REF không có trong MASTER_SOURCE)")))</f>
        <v/>
      </c>
      <c r="K879" s="22">
        <f t="array" ref="K879">IF($D879="","",IFERROR(INDEX(MASTER_SOURCE!$C$2:$C$495,MATCH($I879,MASTER_SOURCE!$A$2:$A$495,0)),""))</f>
        <v/>
      </c>
      <c r="L879" s="22">
        <f t="array" ref="L879">IF($D879="","",IFERROR(INDEX(MASTER_SOURCE!$D$2:$D$495,MATCH($I879,MASTER_SOURCE!$A$2:$A$495,0)),""))</f>
        <v/>
      </c>
      <c r="M879" s="24" t="n"/>
      <c r="N879" s="24" t="n"/>
      <c r="O879" s="24" t="n"/>
      <c r="P879" s="24" t="n"/>
      <c r="Q879" s="22">
        <f>IF($D879="","",IF(AND(OR(DANH_MUC!$L$5&lt;&gt;"Có",M879="Có"),OR(DANH_MUC!$L$6&lt;&gt;"Có",N879="Có"),OR(DANH_MUC!$L$7&lt;&gt;"Có",O879="Có"),OR(DANH_MUC!$L$8&lt;&gt;"Có",P879="Có")),"Có","Không"))</f>
        <v/>
      </c>
      <c r="R879" s="22">
        <f>IF($D879="","",IF(COUNTIF($D$2:$D879,$D879)&gt;1,"Trùng",""))</f>
        <v/>
      </c>
      <c r="S879" s="22">
        <f>IF($D879="","",IF(AND(LEN($D879)=10,LEFT($D879,1)="0",ISNUMBER(--$D879)),"Có","Không"))</f>
        <v/>
      </c>
      <c r="T879" s="22">
        <f>IF($D879="","",IF(AND($C879&lt;&gt;"",$Q879="Có",$R879="",$S879="Có",AND($L879&lt;&gt;"",OR($L879&lt;&gt;"Chưa xác định",DANH_MUC!$L$9="Có"))),"Có","Không"))</f>
        <v/>
      </c>
      <c r="U879" s="22">
        <f>IF(OR($D879="",$T879="Có"),"",IF($C879="","Thiếu họ tên; ","")&amp;IF($S879&lt;&gt;"Có","SĐT sai định dạng; ","")&amp;IF($R879="Trùng","Trùng SĐT; ","")&amp;IF($Q879&lt;&gt;"Có","Thiếu đồng ý bắt buộc; ","")&amp;IF($L879="","Thiếu/sai Mã REF; ",IF(AND($L879="Chưa xác định",DANH_MUC!$L$9&lt;&gt;"Có"),"Nguồn chưa xác định; ","")))</f>
        <v/>
      </c>
      <c r="V879" s="22">
        <f>IF(OR($D879="",$R879="Trùng"),"",IF(COUNTIF(ORDERS!$C$2:$C$4995,$D879)&gt;0,"Có","Không"))</f>
        <v/>
      </c>
      <c r="W879" s="22">
        <f>IF(OR($D879="",$R879="Trùng"),"",COUNTIFS(ORDERS!$C$2:$C$4995,$D879,ORDERS!$L$2:$L$4995,"Đã chuyển khoản"))</f>
        <v/>
      </c>
      <c r="X879" s="23">
        <f>IF(OR($D879="",$R879="Trùng"),"",SUMIFS(ORDERS!$J$2:$J$4995,ORDERS!$C$2:$C$4995,$D879,ORDERS!$L$2:$L$4995,"Đã chuyển khoản"))</f>
        <v/>
      </c>
      <c r="Y879" s="24" t="n"/>
    </row>
    <row r="880" ht="14.25" customHeight="1" s="40">
      <c r="A880" s="24" t="n"/>
      <c r="B880" s="27" t="n"/>
      <c r="C880" s="24" t="n"/>
      <c r="D880" s="28" t="n"/>
      <c r="E880" s="29" t="n"/>
      <c r="F880" s="24" t="n"/>
      <c r="G880" s="24" t="n"/>
      <c r="H880" s="21">
        <f>IF(ISNUMBER($B880),INT($B880)-WEEKDAY($B880,2)+1,"")</f>
        <v/>
      </c>
      <c r="I880" s="24" t="n"/>
      <c r="J880" s="22">
        <f t="array" ref="J880">IF($D880="","",IF($I880="","(trống REF)",IFERROR(INDEX(MASTER_SOURCE!$B$2:$B$495,MATCH($I880,MASTER_SOURCE!$A$2:$A$495,0)),"(REF không có trong MASTER_SOURCE)")))</f>
        <v/>
      </c>
      <c r="K880" s="22">
        <f t="array" ref="K880">IF($D880="","",IFERROR(INDEX(MASTER_SOURCE!$C$2:$C$495,MATCH($I880,MASTER_SOURCE!$A$2:$A$495,0)),""))</f>
        <v/>
      </c>
      <c r="L880" s="22">
        <f t="array" ref="L880">IF($D880="","",IFERROR(INDEX(MASTER_SOURCE!$D$2:$D$495,MATCH($I880,MASTER_SOURCE!$A$2:$A$495,0)),""))</f>
        <v/>
      </c>
      <c r="M880" s="24" t="n"/>
      <c r="N880" s="24" t="n"/>
      <c r="O880" s="24" t="n"/>
      <c r="P880" s="24" t="n"/>
      <c r="Q880" s="22">
        <f>IF($D880="","",IF(AND(OR(DANH_MUC!$L$5&lt;&gt;"Có",M880="Có"),OR(DANH_MUC!$L$6&lt;&gt;"Có",N880="Có"),OR(DANH_MUC!$L$7&lt;&gt;"Có",O880="Có"),OR(DANH_MUC!$L$8&lt;&gt;"Có",P880="Có")),"Có","Không"))</f>
        <v/>
      </c>
      <c r="R880" s="22">
        <f>IF($D880="","",IF(COUNTIF($D$2:$D880,$D880)&gt;1,"Trùng",""))</f>
        <v/>
      </c>
      <c r="S880" s="22">
        <f>IF($D880="","",IF(AND(LEN($D880)=10,LEFT($D880,1)="0",ISNUMBER(--$D880)),"Có","Không"))</f>
        <v/>
      </c>
      <c r="T880" s="22">
        <f>IF($D880="","",IF(AND($C880&lt;&gt;"",$Q880="Có",$R880="",$S880="Có",AND($L880&lt;&gt;"",OR($L880&lt;&gt;"Chưa xác định",DANH_MUC!$L$9="Có"))),"Có","Không"))</f>
        <v/>
      </c>
      <c r="U880" s="22">
        <f>IF(OR($D880="",$T880="Có"),"",IF($C880="","Thiếu họ tên; ","")&amp;IF($S880&lt;&gt;"Có","SĐT sai định dạng; ","")&amp;IF($R880="Trùng","Trùng SĐT; ","")&amp;IF($Q880&lt;&gt;"Có","Thiếu đồng ý bắt buộc; ","")&amp;IF($L880="","Thiếu/sai Mã REF; ",IF(AND($L880="Chưa xác định",DANH_MUC!$L$9&lt;&gt;"Có"),"Nguồn chưa xác định; ","")))</f>
        <v/>
      </c>
      <c r="V880" s="22">
        <f>IF(OR($D880="",$R880="Trùng"),"",IF(COUNTIF(ORDERS!$C$2:$C$4995,$D880)&gt;0,"Có","Không"))</f>
        <v/>
      </c>
      <c r="W880" s="22">
        <f>IF(OR($D880="",$R880="Trùng"),"",COUNTIFS(ORDERS!$C$2:$C$4995,$D880,ORDERS!$L$2:$L$4995,"Đã chuyển khoản"))</f>
        <v/>
      </c>
      <c r="X880" s="23">
        <f>IF(OR($D880="",$R880="Trùng"),"",SUMIFS(ORDERS!$J$2:$J$4995,ORDERS!$C$2:$C$4995,$D880,ORDERS!$L$2:$L$4995,"Đã chuyển khoản"))</f>
        <v/>
      </c>
      <c r="Y880" s="24" t="n"/>
    </row>
    <row r="881" ht="14.25" customHeight="1" s="40">
      <c r="A881" s="24" t="n"/>
      <c r="B881" s="27" t="n"/>
      <c r="C881" s="24" t="n"/>
      <c r="D881" s="28" t="n"/>
      <c r="E881" s="29" t="n"/>
      <c r="F881" s="24" t="n"/>
      <c r="G881" s="24" t="n"/>
      <c r="H881" s="21">
        <f>IF(ISNUMBER($B881),INT($B881)-WEEKDAY($B881,2)+1,"")</f>
        <v/>
      </c>
      <c r="I881" s="24" t="n"/>
      <c r="J881" s="22">
        <f t="array" ref="J881">IF($D881="","",IF($I881="","(trống REF)",IFERROR(INDEX(MASTER_SOURCE!$B$2:$B$495,MATCH($I881,MASTER_SOURCE!$A$2:$A$495,0)),"(REF không có trong MASTER_SOURCE)")))</f>
        <v/>
      </c>
      <c r="K881" s="22">
        <f t="array" ref="K881">IF($D881="","",IFERROR(INDEX(MASTER_SOURCE!$C$2:$C$495,MATCH($I881,MASTER_SOURCE!$A$2:$A$495,0)),""))</f>
        <v/>
      </c>
      <c r="L881" s="22">
        <f t="array" ref="L881">IF($D881="","",IFERROR(INDEX(MASTER_SOURCE!$D$2:$D$495,MATCH($I881,MASTER_SOURCE!$A$2:$A$495,0)),""))</f>
        <v/>
      </c>
      <c r="M881" s="24" t="n"/>
      <c r="N881" s="24" t="n"/>
      <c r="O881" s="24" t="n"/>
      <c r="P881" s="24" t="n"/>
      <c r="Q881" s="22">
        <f>IF($D881="","",IF(AND(OR(DANH_MUC!$L$5&lt;&gt;"Có",M881="Có"),OR(DANH_MUC!$L$6&lt;&gt;"Có",N881="Có"),OR(DANH_MUC!$L$7&lt;&gt;"Có",O881="Có"),OR(DANH_MUC!$L$8&lt;&gt;"Có",P881="Có")),"Có","Không"))</f>
        <v/>
      </c>
      <c r="R881" s="22">
        <f>IF($D881="","",IF(COUNTIF($D$2:$D881,$D881)&gt;1,"Trùng",""))</f>
        <v/>
      </c>
      <c r="S881" s="22">
        <f>IF($D881="","",IF(AND(LEN($D881)=10,LEFT($D881,1)="0",ISNUMBER(--$D881)),"Có","Không"))</f>
        <v/>
      </c>
      <c r="T881" s="22">
        <f>IF($D881="","",IF(AND($C881&lt;&gt;"",$Q881="Có",$R881="",$S881="Có",AND($L881&lt;&gt;"",OR($L881&lt;&gt;"Chưa xác định",DANH_MUC!$L$9="Có"))),"Có","Không"))</f>
        <v/>
      </c>
      <c r="U881" s="22">
        <f>IF(OR($D881="",$T881="Có"),"",IF($C881="","Thiếu họ tên; ","")&amp;IF($S881&lt;&gt;"Có","SĐT sai định dạng; ","")&amp;IF($R881="Trùng","Trùng SĐT; ","")&amp;IF($Q881&lt;&gt;"Có","Thiếu đồng ý bắt buộc; ","")&amp;IF($L881="","Thiếu/sai Mã REF; ",IF(AND($L881="Chưa xác định",DANH_MUC!$L$9&lt;&gt;"Có"),"Nguồn chưa xác định; ","")))</f>
        <v/>
      </c>
      <c r="V881" s="22">
        <f>IF(OR($D881="",$R881="Trùng"),"",IF(COUNTIF(ORDERS!$C$2:$C$4995,$D881)&gt;0,"Có","Không"))</f>
        <v/>
      </c>
      <c r="W881" s="22">
        <f>IF(OR($D881="",$R881="Trùng"),"",COUNTIFS(ORDERS!$C$2:$C$4995,$D881,ORDERS!$L$2:$L$4995,"Đã chuyển khoản"))</f>
        <v/>
      </c>
      <c r="X881" s="23">
        <f>IF(OR($D881="",$R881="Trùng"),"",SUMIFS(ORDERS!$J$2:$J$4995,ORDERS!$C$2:$C$4995,$D881,ORDERS!$L$2:$L$4995,"Đã chuyển khoản"))</f>
        <v/>
      </c>
      <c r="Y881" s="24" t="n"/>
    </row>
    <row r="882" ht="14.25" customHeight="1" s="40">
      <c r="A882" s="24" t="n"/>
      <c r="B882" s="27" t="n"/>
      <c r="C882" s="24" t="n"/>
      <c r="D882" s="28" t="n"/>
      <c r="E882" s="29" t="n"/>
      <c r="F882" s="24" t="n"/>
      <c r="G882" s="24" t="n"/>
      <c r="H882" s="21">
        <f>IF(ISNUMBER($B882),INT($B882)-WEEKDAY($B882,2)+1,"")</f>
        <v/>
      </c>
      <c r="I882" s="24" t="n"/>
      <c r="J882" s="22">
        <f t="array" ref="J882">IF($D882="","",IF($I882="","(trống REF)",IFERROR(INDEX(MASTER_SOURCE!$B$2:$B$495,MATCH($I882,MASTER_SOURCE!$A$2:$A$495,0)),"(REF không có trong MASTER_SOURCE)")))</f>
        <v/>
      </c>
      <c r="K882" s="22">
        <f t="array" ref="K882">IF($D882="","",IFERROR(INDEX(MASTER_SOURCE!$C$2:$C$495,MATCH($I882,MASTER_SOURCE!$A$2:$A$495,0)),""))</f>
        <v/>
      </c>
      <c r="L882" s="22">
        <f t="array" ref="L882">IF($D882="","",IFERROR(INDEX(MASTER_SOURCE!$D$2:$D$495,MATCH($I882,MASTER_SOURCE!$A$2:$A$495,0)),""))</f>
        <v/>
      </c>
      <c r="M882" s="24" t="n"/>
      <c r="N882" s="24" t="n"/>
      <c r="O882" s="24" t="n"/>
      <c r="P882" s="24" t="n"/>
      <c r="Q882" s="22">
        <f>IF($D882="","",IF(AND(OR(DANH_MUC!$L$5&lt;&gt;"Có",M882="Có"),OR(DANH_MUC!$L$6&lt;&gt;"Có",N882="Có"),OR(DANH_MUC!$L$7&lt;&gt;"Có",O882="Có"),OR(DANH_MUC!$L$8&lt;&gt;"Có",P882="Có")),"Có","Không"))</f>
        <v/>
      </c>
      <c r="R882" s="22">
        <f>IF($D882="","",IF(COUNTIF($D$2:$D882,$D882)&gt;1,"Trùng",""))</f>
        <v/>
      </c>
      <c r="S882" s="22">
        <f>IF($D882="","",IF(AND(LEN($D882)=10,LEFT($D882,1)="0",ISNUMBER(--$D882)),"Có","Không"))</f>
        <v/>
      </c>
      <c r="T882" s="22">
        <f>IF($D882="","",IF(AND($C882&lt;&gt;"",$Q882="Có",$R882="",$S882="Có",AND($L882&lt;&gt;"",OR($L882&lt;&gt;"Chưa xác định",DANH_MUC!$L$9="Có"))),"Có","Không"))</f>
        <v/>
      </c>
      <c r="U882" s="22">
        <f>IF(OR($D882="",$T882="Có"),"",IF($C882="","Thiếu họ tên; ","")&amp;IF($S882&lt;&gt;"Có","SĐT sai định dạng; ","")&amp;IF($R882="Trùng","Trùng SĐT; ","")&amp;IF($Q882&lt;&gt;"Có","Thiếu đồng ý bắt buộc; ","")&amp;IF($L882="","Thiếu/sai Mã REF; ",IF(AND($L882="Chưa xác định",DANH_MUC!$L$9&lt;&gt;"Có"),"Nguồn chưa xác định; ","")))</f>
        <v/>
      </c>
      <c r="V882" s="22">
        <f>IF(OR($D882="",$R882="Trùng"),"",IF(COUNTIF(ORDERS!$C$2:$C$4995,$D882)&gt;0,"Có","Không"))</f>
        <v/>
      </c>
      <c r="W882" s="22">
        <f>IF(OR($D882="",$R882="Trùng"),"",COUNTIFS(ORDERS!$C$2:$C$4995,$D882,ORDERS!$L$2:$L$4995,"Đã chuyển khoản"))</f>
        <v/>
      </c>
      <c r="X882" s="23">
        <f>IF(OR($D882="",$R882="Trùng"),"",SUMIFS(ORDERS!$J$2:$J$4995,ORDERS!$C$2:$C$4995,$D882,ORDERS!$L$2:$L$4995,"Đã chuyển khoản"))</f>
        <v/>
      </c>
      <c r="Y882" s="24" t="n"/>
    </row>
    <row r="883" ht="14.25" customHeight="1" s="40">
      <c r="A883" s="24" t="n"/>
      <c r="B883" s="27" t="n"/>
      <c r="C883" s="24" t="n"/>
      <c r="D883" s="28" t="n"/>
      <c r="E883" s="29" t="n"/>
      <c r="F883" s="24" t="n"/>
      <c r="G883" s="24" t="n"/>
      <c r="H883" s="21">
        <f>IF(ISNUMBER($B883),INT($B883)-WEEKDAY($B883,2)+1,"")</f>
        <v/>
      </c>
      <c r="I883" s="24" t="n"/>
      <c r="J883" s="22">
        <f t="array" ref="J883">IF($D883="","",IF($I883="","(trống REF)",IFERROR(INDEX(MASTER_SOURCE!$B$2:$B$495,MATCH($I883,MASTER_SOURCE!$A$2:$A$495,0)),"(REF không có trong MASTER_SOURCE)")))</f>
        <v/>
      </c>
      <c r="K883" s="22">
        <f t="array" ref="K883">IF($D883="","",IFERROR(INDEX(MASTER_SOURCE!$C$2:$C$495,MATCH($I883,MASTER_SOURCE!$A$2:$A$495,0)),""))</f>
        <v/>
      </c>
      <c r="L883" s="22">
        <f t="array" ref="L883">IF($D883="","",IFERROR(INDEX(MASTER_SOURCE!$D$2:$D$495,MATCH($I883,MASTER_SOURCE!$A$2:$A$495,0)),""))</f>
        <v/>
      </c>
      <c r="M883" s="24" t="n"/>
      <c r="N883" s="24" t="n"/>
      <c r="O883" s="24" t="n"/>
      <c r="P883" s="24" t="n"/>
      <c r="Q883" s="22">
        <f>IF($D883="","",IF(AND(OR(DANH_MUC!$L$5&lt;&gt;"Có",M883="Có"),OR(DANH_MUC!$L$6&lt;&gt;"Có",N883="Có"),OR(DANH_MUC!$L$7&lt;&gt;"Có",O883="Có"),OR(DANH_MUC!$L$8&lt;&gt;"Có",P883="Có")),"Có","Không"))</f>
        <v/>
      </c>
      <c r="R883" s="22">
        <f>IF($D883="","",IF(COUNTIF($D$2:$D883,$D883)&gt;1,"Trùng",""))</f>
        <v/>
      </c>
      <c r="S883" s="22">
        <f>IF($D883="","",IF(AND(LEN($D883)=10,LEFT($D883,1)="0",ISNUMBER(--$D883)),"Có","Không"))</f>
        <v/>
      </c>
      <c r="T883" s="22">
        <f>IF($D883="","",IF(AND($C883&lt;&gt;"",$Q883="Có",$R883="",$S883="Có",AND($L883&lt;&gt;"",OR($L883&lt;&gt;"Chưa xác định",DANH_MUC!$L$9="Có"))),"Có","Không"))</f>
        <v/>
      </c>
      <c r="U883" s="22">
        <f>IF(OR($D883="",$T883="Có"),"",IF($C883="","Thiếu họ tên; ","")&amp;IF($S883&lt;&gt;"Có","SĐT sai định dạng; ","")&amp;IF($R883="Trùng","Trùng SĐT; ","")&amp;IF($Q883&lt;&gt;"Có","Thiếu đồng ý bắt buộc; ","")&amp;IF($L883="","Thiếu/sai Mã REF; ",IF(AND($L883="Chưa xác định",DANH_MUC!$L$9&lt;&gt;"Có"),"Nguồn chưa xác định; ","")))</f>
        <v/>
      </c>
      <c r="V883" s="22">
        <f>IF(OR($D883="",$R883="Trùng"),"",IF(COUNTIF(ORDERS!$C$2:$C$4995,$D883)&gt;0,"Có","Không"))</f>
        <v/>
      </c>
      <c r="W883" s="22">
        <f>IF(OR($D883="",$R883="Trùng"),"",COUNTIFS(ORDERS!$C$2:$C$4995,$D883,ORDERS!$L$2:$L$4995,"Đã chuyển khoản"))</f>
        <v/>
      </c>
      <c r="X883" s="23">
        <f>IF(OR($D883="",$R883="Trùng"),"",SUMIFS(ORDERS!$J$2:$J$4995,ORDERS!$C$2:$C$4995,$D883,ORDERS!$L$2:$L$4995,"Đã chuyển khoản"))</f>
        <v/>
      </c>
      <c r="Y883" s="24" t="n"/>
    </row>
    <row r="884" ht="14.25" customHeight="1" s="40">
      <c r="A884" s="24" t="n"/>
      <c r="B884" s="27" t="n"/>
      <c r="C884" s="24" t="n"/>
      <c r="D884" s="28" t="n"/>
      <c r="E884" s="29" t="n"/>
      <c r="F884" s="24" t="n"/>
      <c r="G884" s="24" t="n"/>
      <c r="H884" s="21">
        <f>IF(ISNUMBER($B884),INT($B884)-WEEKDAY($B884,2)+1,"")</f>
        <v/>
      </c>
      <c r="I884" s="24" t="n"/>
      <c r="J884" s="22">
        <f t="array" ref="J884">IF($D884="","",IF($I884="","(trống REF)",IFERROR(INDEX(MASTER_SOURCE!$B$2:$B$495,MATCH($I884,MASTER_SOURCE!$A$2:$A$495,0)),"(REF không có trong MASTER_SOURCE)")))</f>
        <v/>
      </c>
      <c r="K884" s="22">
        <f t="array" ref="K884">IF($D884="","",IFERROR(INDEX(MASTER_SOURCE!$C$2:$C$495,MATCH($I884,MASTER_SOURCE!$A$2:$A$495,0)),""))</f>
        <v/>
      </c>
      <c r="L884" s="22">
        <f t="array" ref="L884">IF($D884="","",IFERROR(INDEX(MASTER_SOURCE!$D$2:$D$495,MATCH($I884,MASTER_SOURCE!$A$2:$A$495,0)),""))</f>
        <v/>
      </c>
      <c r="M884" s="24" t="n"/>
      <c r="N884" s="24" t="n"/>
      <c r="O884" s="24" t="n"/>
      <c r="P884" s="24" t="n"/>
      <c r="Q884" s="22">
        <f>IF($D884="","",IF(AND(OR(DANH_MUC!$L$5&lt;&gt;"Có",M884="Có"),OR(DANH_MUC!$L$6&lt;&gt;"Có",N884="Có"),OR(DANH_MUC!$L$7&lt;&gt;"Có",O884="Có"),OR(DANH_MUC!$L$8&lt;&gt;"Có",P884="Có")),"Có","Không"))</f>
        <v/>
      </c>
      <c r="R884" s="22">
        <f>IF($D884="","",IF(COUNTIF($D$2:$D884,$D884)&gt;1,"Trùng",""))</f>
        <v/>
      </c>
      <c r="S884" s="22">
        <f>IF($D884="","",IF(AND(LEN($D884)=10,LEFT($D884,1)="0",ISNUMBER(--$D884)),"Có","Không"))</f>
        <v/>
      </c>
      <c r="T884" s="22">
        <f>IF($D884="","",IF(AND($C884&lt;&gt;"",$Q884="Có",$R884="",$S884="Có",AND($L884&lt;&gt;"",OR($L884&lt;&gt;"Chưa xác định",DANH_MUC!$L$9="Có"))),"Có","Không"))</f>
        <v/>
      </c>
      <c r="U884" s="22">
        <f>IF(OR($D884="",$T884="Có"),"",IF($C884="","Thiếu họ tên; ","")&amp;IF($S884&lt;&gt;"Có","SĐT sai định dạng; ","")&amp;IF($R884="Trùng","Trùng SĐT; ","")&amp;IF($Q884&lt;&gt;"Có","Thiếu đồng ý bắt buộc; ","")&amp;IF($L884="","Thiếu/sai Mã REF; ",IF(AND($L884="Chưa xác định",DANH_MUC!$L$9&lt;&gt;"Có"),"Nguồn chưa xác định; ","")))</f>
        <v/>
      </c>
      <c r="V884" s="22">
        <f>IF(OR($D884="",$R884="Trùng"),"",IF(COUNTIF(ORDERS!$C$2:$C$4995,$D884)&gt;0,"Có","Không"))</f>
        <v/>
      </c>
      <c r="W884" s="22">
        <f>IF(OR($D884="",$R884="Trùng"),"",COUNTIFS(ORDERS!$C$2:$C$4995,$D884,ORDERS!$L$2:$L$4995,"Đã chuyển khoản"))</f>
        <v/>
      </c>
      <c r="X884" s="23">
        <f>IF(OR($D884="",$R884="Trùng"),"",SUMIFS(ORDERS!$J$2:$J$4995,ORDERS!$C$2:$C$4995,$D884,ORDERS!$L$2:$L$4995,"Đã chuyển khoản"))</f>
        <v/>
      </c>
      <c r="Y884" s="24" t="n"/>
    </row>
    <row r="885" ht="14.25" customHeight="1" s="40">
      <c r="A885" s="24" t="n"/>
      <c r="B885" s="27" t="n"/>
      <c r="C885" s="24" t="n"/>
      <c r="D885" s="28" t="n"/>
      <c r="E885" s="29" t="n"/>
      <c r="F885" s="24" t="n"/>
      <c r="G885" s="24" t="n"/>
      <c r="H885" s="21">
        <f>IF(ISNUMBER($B885),INT($B885)-WEEKDAY($B885,2)+1,"")</f>
        <v/>
      </c>
      <c r="I885" s="24" t="n"/>
      <c r="J885" s="22">
        <f t="array" ref="J885">IF($D885="","",IF($I885="","(trống REF)",IFERROR(INDEX(MASTER_SOURCE!$B$2:$B$495,MATCH($I885,MASTER_SOURCE!$A$2:$A$495,0)),"(REF không có trong MASTER_SOURCE)")))</f>
        <v/>
      </c>
      <c r="K885" s="22">
        <f t="array" ref="K885">IF($D885="","",IFERROR(INDEX(MASTER_SOURCE!$C$2:$C$495,MATCH($I885,MASTER_SOURCE!$A$2:$A$495,0)),""))</f>
        <v/>
      </c>
      <c r="L885" s="22">
        <f t="array" ref="L885">IF($D885="","",IFERROR(INDEX(MASTER_SOURCE!$D$2:$D$495,MATCH($I885,MASTER_SOURCE!$A$2:$A$495,0)),""))</f>
        <v/>
      </c>
      <c r="M885" s="24" t="n"/>
      <c r="N885" s="24" t="n"/>
      <c r="O885" s="24" t="n"/>
      <c r="P885" s="24" t="n"/>
      <c r="Q885" s="22">
        <f>IF($D885="","",IF(AND(OR(DANH_MUC!$L$5&lt;&gt;"Có",M885="Có"),OR(DANH_MUC!$L$6&lt;&gt;"Có",N885="Có"),OR(DANH_MUC!$L$7&lt;&gt;"Có",O885="Có"),OR(DANH_MUC!$L$8&lt;&gt;"Có",P885="Có")),"Có","Không"))</f>
        <v/>
      </c>
      <c r="R885" s="22">
        <f>IF($D885="","",IF(COUNTIF($D$2:$D885,$D885)&gt;1,"Trùng",""))</f>
        <v/>
      </c>
      <c r="S885" s="22">
        <f>IF($D885="","",IF(AND(LEN($D885)=10,LEFT($D885,1)="0",ISNUMBER(--$D885)),"Có","Không"))</f>
        <v/>
      </c>
      <c r="T885" s="22">
        <f>IF($D885="","",IF(AND($C885&lt;&gt;"",$Q885="Có",$R885="",$S885="Có",AND($L885&lt;&gt;"",OR($L885&lt;&gt;"Chưa xác định",DANH_MUC!$L$9="Có"))),"Có","Không"))</f>
        <v/>
      </c>
      <c r="U885" s="22">
        <f>IF(OR($D885="",$T885="Có"),"",IF($C885="","Thiếu họ tên; ","")&amp;IF($S885&lt;&gt;"Có","SĐT sai định dạng; ","")&amp;IF($R885="Trùng","Trùng SĐT; ","")&amp;IF($Q885&lt;&gt;"Có","Thiếu đồng ý bắt buộc; ","")&amp;IF($L885="","Thiếu/sai Mã REF; ",IF(AND($L885="Chưa xác định",DANH_MUC!$L$9&lt;&gt;"Có"),"Nguồn chưa xác định; ","")))</f>
        <v/>
      </c>
      <c r="V885" s="22">
        <f>IF(OR($D885="",$R885="Trùng"),"",IF(COUNTIF(ORDERS!$C$2:$C$4995,$D885)&gt;0,"Có","Không"))</f>
        <v/>
      </c>
      <c r="W885" s="22">
        <f>IF(OR($D885="",$R885="Trùng"),"",COUNTIFS(ORDERS!$C$2:$C$4995,$D885,ORDERS!$L$2:$L$4995,"Đã chuyển khoản"))</f>
        <v/>
      </c>
      <c r="X885" s="23">
        <f>IF(OR($D885="",$R885="Trùng"),"",SUMIFS(ORDERS!$J$2:$J$4995,ORDERS!$C$2:$C$4995,$D885,ORDERS!$L$2:$L$4995,"Đã chuyển khoản"))</f>
        <v/>
      </c>
      <c r="Y885" s="24" t="n"/>
    </row>
    <row r="886" ht="14.25" customHeight="1" s="40">
      <c r="A886" s="24" t="n"/>
      <c r="B886" s="27" t="n"/>
      <c r="C886" s="24" t="n"/>
      <c r="D886" s="28" t="n"/>
      <c r="E886" s="29" t="n"/>
      <c r="F886" s="24" t="n"/>
      <c r="G886" s="24" t="n"/>
      <c r="H886" s="21">
        <f>IF(ISNUMBER($B886),INT($B886)-WEEKDAY($B886,2)+1,"")</f>
        <v/>
      </c>
      <c r="I886" s="24" t="n"/>
      <c r="J886" s="22">
        <f t="array" ref="J886">IF($D886="","",IF($I886="","(trống REF)",IFERROR(INDEX(MASTER_SOURCE!$B$2:$B$495,MATCH($I886,MASTER_SOURCE!$A$2:$A$495,0)),"(REF không có trong MASTER_SOURCE)")))</f>
        <v/>
      </c>
      <c r="K886" s="22">
        <f t="array" ref="K886">IF($D886="","",IFERROR(INDEX(MASTER_SOURCE!$C$2:$C$495,MATCH($I886,MASTER_SOURCE!$A$2:$A$495,0)),""))</f>
        <v/>
      </c>
      <c r="L886" s="22">
        <f t="array" ref="L886">IF($D886="","",IFERROR(INDEX(MASTER_SOURCE!$D$2:$D$495,MATCH($I886,MASTER_SOURCE!$A$2:$A$495,0)),""))</f>
        <v/>
      </c>
      <c r="M886" s="24" t="n"/>
      <c r="N886" s="24" t="n"/>
      <c r="O886" s="24" t="n"/>
      <c r="P886" s="24" t="n"/>
      <c r="Q886" s="22">
        <f>IF($D886="","",IF(AND(OR(DANH_MUC!$L$5&lt;&gt;"Có",M886="Có"),OR(DANH_MUC!$L$6&lt;&gt;"Có",N886="Có"),OR(DANH_MUC!$L$7&lt;&gt;"Có",O886="Có"),OR(DANH_MUC!$L$8&lt;&gt;"Có",P886="Có")),"Có","Không"))</f>
        <v/>
      </c>
      <c r="R886" s="22">
        <f>IF($D886="","",IF(COUNTIF($D$2:$D886,$D886)&gt;1,"Trùng",""))</f>
        <v/>
      </c>
      <c r="S886" s="22">
        <f>IF($D886="","",IF(AND(LEN($D886)=10,LEFT($D886,1)="0",ISNUMBER(--$D886)),"Có","Không"))</f>
        <v/>
      </c>
      <c r="T886" s="22">
        <f>IF($D886="","",IF(AND($C886&lt;&gt;"",$Q886="Có",$R886="",$S886="Có",AND($L886&lt;&gt;"",OR($L886&lt;&gt;"Chưa xác định",DANH_MUC!$L$9="Có"))),"Có","Không"))</f>
        <v/>
      </c>
      <c r="U886" s="22">
        <f>IF(OR($D886="",$T886="Có"),"",IF($C886="","Thiếu họ tên; ","")&amp;IF($S886&lt;&gt;"Có","SĐT sai định dạng; ","")&amp;IF($R886="Trùng","Trùng SĐT; ","")&amp;IF($Q886&lt;&gt;"Có","Thiếu đồng ý bắt buộc; ","")&amp;IF($L886="","Thiếu/sai Mã REF; ",IF(AND($L886="Chưa xác định",DANH_MUC!$L$9&lt;&gt;"Có"),"Nguồn chưa xác định; ","")))</f>
        <v/>
      </c>
      <c r="V886" s="22">
        <f>IF(OR($D886="",$R886="Trùng"),"",IF(COUNTIF(ORDERS!$C$2:$C$4995,$D886)&gt;0,"Có","Không"))</f>
        <v/>
      </c>
      <c r="W886" s="22">
        <f>IF(OR($D886="",$R886="Trùng"),"",COUNTIFS(ORDERS!$C$2:$C$4995,$D886,ORDERS!$L$2:$L$4995,"Đã chuyển khoản"))</f>
        <v/>
      </c>
      <c r="X886" s="23">
        <f>IF(OR($D886="",$R886="Trùng"),"",SUMIFS(ORDERS!$J$2:$J$4995,ORDERS!$C$2:$C$4995,$D886,ORDERS!$L$2:$L$4995,"Đã chuyển khoản"))</f>
        <v/>
      </c>
      <c r="Y886" s="24" t="n"/>
    </row>
    <row r="887" ht="14.25" customHeight="1" s="40">
      <c r="A887" s="24" t="n"/>
      <c r="B887" s="27" t="n"/>
      <c r="C887" s="24" t="n"/>
      <c r="D887" s="28" t="n"/>
      <c r="E887" s="29" t="n"/>
      <c r="F887" s="24" t="n"/>
      <c r="G887" s="24" t="n"/>
      <c r="H887" s="21">
        <f>IF(ISNUMBER($B887),INT($B887)-WEEKDAY($B887,2)+1,"")</f>
        <v/>
      </c>
      <c r="I887" s="24" t="n"/>
      <c r="J887" s="22">
        <f t="array" ref="J887">IF($D887="","",IF($I887="","(trống REF)",IFERROR(INDEX(MASTER_SOURCE!$B$2:$B$495,MATCH($I887,MASTER_SOURCE!$A$2:$A$495,0)),"(REF không có trong MASTER_SOURCE)")))</f>
        <v/>
      </c>
      <c r="K887" s="22">
        <f t="array" ref="K887">IF($D887="","",IFERROR(INDEX(MASTER_SOURCE!$C$2:$C$495,MATCH($I887,MASTER_SOURCE!$A$2:$A$495,0)),""))</f>
        <v/>
      </c>
      <c r="L887" s="22">
        <f t="array" ref="L887">IF($D887="","",IFERROR(INDEX(MASTER_SOURCE!$D$2:$D$495,MATCH($I887,MASTER_SOURCE!$A$2:$A$495,0)),""))</f>
        <v/>
      </c>
      <c r="M887" s="24" t="n"/>
      <c r="N887" s="24" t="n"/>
      <c r="O887" s="24" t="n"/>
      <c r="P887" s="24" t="n"/>
      <c r="Q887" s="22">
        <f>IF($D887="","",IF(AND(OR(DANH_MUC!$L$5&lt;&gt;"Có",M887="Có"),OR(DANH_MUC!$L$6&lt;&gt;"Có",N887="Có"),OR(DANH_MUC!$L$7&lt;&gt;"Có",O887="Có"),OR(DANH_MUC!$L$8&lt;&gt;"Có",P887="Có")),"Có","Không"))</f>
        <v/>
      </c>
      <c r="R887" s="22">
        <f>IF($D887="","",IF(COUNTIF($D$2:$D887,$D887)&gt;1,"Trùng",""))</f>
        <v/>
      </c>
      <c r="S887" s="22">
        <f>IF($D887="","",IF(AND(LEN($D887)=10,LEFT($D887,1)="0",ISNUMBER(--$D887)),"Có","Không"))</f>
        <v/>
      </c>
      <c r="T887" s="22">
        <f>IF($D887="","",IF(AND($C887&lt;&gt;"",$Q887="Có",$R887="",$S887="Có",AND($L887&lt;&gt;"",OR($L887&lt;&gt;"Chưa xác định",DANH_MUC!$L$9="Có"))),"Có","Không"))</f>
        <v/>
      </c>
      <c r="U887" s="22">
        <f>IF(OR($D887="",$T887="Có"),"",IF($C887="","Thiếu họ tên; ","")&amp;IF($S887&lt;&gt;"Có","SĐT sai định dạng; ","")&amp;IF($R887="Trùng","Trùng SĐT; ","")&amp;IF($Q887&lt;&gt;"Có","Thiếu đồng ý bắt buộc; ","")&amp;IF($L887="","Thiếu/sai Mã REF; ",IF(AND($L887="Chưa xác định",DANH_MUC!$L$9&lt;&gt;"Có"),"Nguồn chưa xác định; ","")))</f>
        <v/>
      </c>
      <c r="V887" s="22">
        <f>IF(OR($D887="",$R887="Trùng"),"",IF(COUNTIF(ORDERS!$C$2:$C$4995,$D887)&gt;0,"Có","Không"))</f>
        <v/>
      </c>
      <c r="W887" s="22">
        <f>IF(OR($D887="",$R887="Trùng"),"",COUNTIFS(ORDERS!$C$2:$C$4995,$D887,ORDERS!$L$2:$L$4995,"Đã chuyển khoản"))</f>
        <v/>
      </c>
      <c r="X887" s="23">
        <f>IF(OR($D887="",$R887="Trùng"),"",SUMIFS(ORDERS!$J$2:$J$4995,ORDERS!$C$2:$C$4995,$D887,ORDERS!$L$2:$L$4995,"Đã chuyển khoản"))</f>
        <v/>
      </c>
      <c r="Y887" s="24" t="n"/>
    </row>
    <row r="888" ht="14.25" customHeight="1" s="40">
      <c r="A888" s="24" t="n"/>
      <c r="B888" s="27" t="n"/>
      <c r="C888" s="24" t="n"/>
      <c r="D888" s="28" t="n"/>
      <c r="E888" s="29" t="n"/>
      <c r="F888" s="24" t="n"/>
      <c r="G888" s="24" t="n"/>
      <c r="H888" s="21">
        <f>IF(ISNUMBER($B888),INT($B888)-WEEKDAY($B888,2)+1,"")</f>
        <v/>
      </c>
      <c r="I888" s="24" t="n"/>
      <c r="J888" s="22">
        <f t="array" ref="J888">IF($D888="","",IF($I888="","(trống REF)",IFERROR(INDEX(MASTER_SOURCE!$B$2:$B$495,MATCH($I888,MASTER_SOURCE!$A$2:$A$495,0)),"(REF không có trong MASTER_SOURCE)")))</f>
        <v/>
      </c>
      <c r="K888" s="22">
        <f t="array" ref="K888">IF($D888="","",IFERROR(INDEX(MASTER_SOURCE!$C$2:$C$495,MATCH($I888,MASTER_SOURCE!$A$2:$A$495,0)),""))</f>
        <v/>
      </c>
      <c r="L888" s="22">
        <f t="array" ref="L888">IF($D888="","",IFERROR(INDEX(MASTER_SOURCE!$D$2:$D$495,MATCH($I888,MASTER_SOURCE!$A$2:$A$495,0)),""))</f>
        <v/>
      </c>
      <c r="M888" s="24" t="n"/>
      <c r="N888" s="24" t="n"/>
      <c r="O888" s="24" t="n"/>
      <c r="P888" s="24" t="n"/>
      <c r="Q888" s="22">
        <f>IF($D888="","",IF(AND(OR(DANH_MUC!$L$5&lt;&gt;"Có",M888="Có"),OR(DANH_MUC!$L$6&lt;&gt;"Có",N888="Có"),OR(DANH_MUC!$L$7&lt;&gt;"Có",O888="Có"),OR(DANH_MUC!$L$8&lt;&gt;"Có",P888="Có")),"Có","Không"))</f>
        <v/>
      </c>
      <c r="R888" s="22">
        <f>IF($D888="","",IF(COUNTIF($D$2:$D888,$D888)&gt;1,"Trùng",""))</f>
        <v/>
      </c>
      <c r="S888" s="22">
        <f>IF($D888="","",IF(AND(LEN($D888)=10,LEFT($D888,1)="0",ISNUMBER(--$D888)),"Có","Không"))</f>
        <v/>
      </c>
      <c r="T888" s="22">
        <f>IF($D888="","",IF(AND($C888&lt;&gt;"",$Q888="Có",$R888="",$S888="Có",AND($L888&lt;&gt;"",OR($L888&lt;&gt;"Chưa xác định",DANH_MUC!$L$9="Có"))),"Có","Không"))</f>
        <v/>
      </c>
      <c r="U888" s="22">
        <f>IF(OR($D888="",$T888="Có"),"",IF($C888="","Thiếu họ tên; ","")&amp;IF($S888&lt;&gt;"Có","SĐT sai định dạng; ","")&amp;IF($R888="Trùng","Trùng SĐT; ","")&amp;IF($Q888&lt;&gt;"Có","Thiếu đồng ý bắt buộc; ","")&amp;IF($L888="","Thiếu/sai Mã REF; ",IF(AND($L888="Chưa xác định",DANH_MUC!$L$9&lt;&gt;"Có"),"Nguồn chưa xác định; ","")))</f>
        <v/>
      </c>
      <c r="V888" s="22">
        <f>IF(OR($D888="",$R888="Trùng"),"",IF(COUNTIF(ORDERS!$C$2:$C$4995,$D888)&gt;0,"Có","Không"))</f>
        <v/>
      </c>
      <c r="W888" s="22">
        <f>IF(OR($D888="",$R888="Trùng"),"",COUNTIFS(ORDERS!$C$2:$C$4995,$D888,ORDERS!$L$2:$L$4995,"Đã chuyển khoản"))</f>
        <v/>
      </c>
      <c r="X888" s="23">
        <f>IF(OR($D888="",$R888="Trùng"),"",SUMIFS(ORDERS!$J$2:$J$4995,ORDERS!$C$2:$C$4995,$D888,ORDERS!$L$2:$L$4995,"Đã chuyển khoản"))</f>
        <v/>
      </c>
      <c r="Y888" s="24" t="n"/>
    </row>
    <row r="889" ht="14.25" customHeight="1" s="40">
      <c r="A889" s="24" t="n"/>
      <c r="B889" s="27" t="n"/>
      <c r="C889" s="24" t="n"/>
      <c r="D889" s="28" t="n"/>
      <c r="E889" s="29" t="n"/>
      <c r="F889" s="24" t="n"/>
      <c r="G889" s="24" t="n"/>
      <c r="H889" s="21">
        <f>IF(ISNUMBER($B889),INT($B889)-WEEKDAY($B889,2)+1,"")</f>
        <v/>
      </c>
      <c r="I889" s="24" t="n"/>
      <c r="J889" s="22">
        <f t="array" ref="J889">IF($D889="","",IF($I889="","(trống REF)",IFERROR(INDEX(MASTER_SOURCE!$B$2:$B$495,MATCH($I889,MASTER_SOURCE!$A$2:$A$495,0)),"(REF không có trong MASTER_SOURCE)")))</f>
        <v/>
      </c>
      <c r="K889" s="22">
        <f t="array" ref="K889">IF($D889="","",IFERROR(INDEX(MASTER_SOURCE!$C$2:$C$495,MATCH($I889,MASTER_SOURCE!$A$2:$A$495,0)),""))</f>
        <v/>
      </c>
      <c r="L889" s="22">
        <f t="array" ref="L889">IF($D889="","",IFERROR(INDEX(MASTER_SOURCE!$D$2:$D$495,MATCH($I889,MASTER_SOURCE!$A$2:$A$495,0)),""))</f>
        <v/>
      </c>
      <c r="M889" s="24" t="n"/>
      <c r="N889" s="24" t="n"/>
      <c r="O889" s="24" t="n"/>
      <c r="P889" s="24" t="n"/>
      <c r="Q889" s="22">
        <f>IF($D889="","",IF(AND(OR(DANH_MUC!$L$5&lt;&gt;"Có",M889="Có"),OR(DANH_MUC!$L$6&lt;&gt;"Có",N889="Có"),OR(DANH_MUC!$L$7&lt;&gt;"Có",O889="Có"),OR(DANH_MUC!$L$8&lt;&gt;"Có",P889="Có")),"Có","Không"))</f>
        <v/>
      </c>
      <c r="R889" s="22">
        <f>IF($D889="","",IF(COUNTIF($D$2:$D889,$D889)&gt;1,"Trùng",""))</f>
        <v/>
      </c>
      <c r="S889" s="22">
        <f>IF($D889="","",IF(AND(LEN($D889)=10,LEFT($D889,1)="0",ISNUMBER(--$D889)),"Có","Không"))</f>
        <v/>
      </c>
      <c r="T889" s="22">
        <f>IF($D889="","",IF(AND($C889&lt;&gt;"",$Q889="Có",$R889="",$S889="Có",AND($L889&lt;&gt;"",OR($L889&lt;&gt;"Chưa xác định",DANH_MUC!$L$9="Có"))),"Có","Không"))</f>
        <v/>
      </c>
      <c r="U889" s="22">
        <f>IF(OR($D889="",$T889="Có"),"",IF($C889="","Thiếu họ tên; ","")&amp;IF($S889&lt;&gt;"Có","SĐT sai định dạng; ","")&amp;IF($R889="Trùng","Trùng SĐT; ","")&amp;IF($Q889&lt;&gt;"Có","Thiếu đồng ý bắt buộc; ","")&amp;IF($L889="","Thiếu/sai Mã REF; ",IF(AND($L889="Chưa xác định",DANH_MUC!$L$9&lt;&gt;"Có"),"Nguồn chưa xác định; ","")))</f>
        <v/>
      </c>
      <c r="V889" s="22">
        <f>IF(OR($D889="",$R889="Trùng"),"",IF(COUNTIF(ORDERS!$C$2:$C$4995,$D889)&gt;0,"Có","Không"))</f>
        <v/>
      </c>
      <c r="W889" s="22">
        <f>IF(OR($D889="",$R889="Trùng"),"",COUNTIFS(ORDERS!$C$2:$C$4995,$D889,ORDERS!$L$2:$L$4995,"Đã chuyển khoản"))</f>
        <v/>
      </c>
      <c r="X889" s="23">
        <f>IF(OR($D889="",$R889="Trùng"),"",SUMIFS(ORDERS!$J$2:$J$4995,ORDERS!$C$2:$C$4995,$D889,ORDERS!$L$2:$L$4995,"Đã chuyển khoản"))</f>
        <v/>
      </c>
      <c r="Y889" s="24" t="n"/>
    </row>
    <row r="890" ht="14.25" customHeight="1" s="40">
      <c r="A890" s="24" t="n"/>
      <c r="B890" s="27" t="n"/>
      <c r="C890" s="24" t="n"/>
      <c r="D890" s="28" t="n"/>
      <c r="E890" s="29" t="n"/>
      <c r="F890" s="24" t="n"/>
      <c r="G890" s="24" t="n"/>
      <c r="H890" s="21">
        <f>IF(ISNUMBER($B890),INT($B890)-WEEKDAY($B890,2)+1,"")</f>
        <v/>
      </c>
      <c r="I890" s="24" t="n"/>
      <c r="J890" s="22">
        <f t="array" ref="J890">IF($D890="","",IF($I890="","(trống REF)",IFERROR(INDEX(MASTER_SOURCE!$B$2:$B$495,MATCH($I890,MASTER_SOURCE!$A$2:$A$495,0)),"(REF không có trong MASTER_SOURCE)")))</f>
        <v/>
      </c>
      <c r="K890" s="22">
        <f t="array" ref="K890">IF($D890="","",IFERROR(INDEX(MASTER_SOURCE!$C$2:$C$495,MATCH($I890,MASTER_SOURCE!$A$2:$A$495,0)),""))</f>
        <v/>
      </c>
      <c r="L890" s="22">
        <f t="array" ref="L890">IF($D890="","",IFERROR(INDEX(MASTER_SOURCE!$D$2:$D$495,MATCH($I890,MASTER_SOURCE!$A$2:$A$495,0)),""))</f>
        <v/>
      </c>
      <c r="M890" s="24" t="n"/>
      <c r="N890" s="24" t="n"/>
      <c r="O890" s="24" t="n"/>
      <c r="P890" s="24" t="n"/>
      <c r="Q890" s="22">
        <f>IF($D890="","",IF(AND(OR(DANH_MUC!$L$5&lt;&gt;"Có",M890="Có"),OR(DANH_MUC!$L$6&lt;&gt;"Có",N890="Có"),OR(DANH_MUC!$L$7&lt;&gt;"Có",O890="Có"),OR(DANH_MUC!$L$8&lt;&gt;"Có",P890="Có")),"Có","Không"))</f>
        <v/>
      </c>
      <c r="R890" s="22">
        <f>IF($D890="","",IF(COUNTIF($D$2:$D890,$D890)&gt;1,"Trùng",""))</f>
        <v/>
      </c>
      <c r="S890" s="22">
        <f>IF($D890="","",IF(AND(LEN($D890)=10,LEFT($D890,1)="0",ISNUMBER(--$D890)),"Có","Không"))</f>
        <v/>
      </c>
      <c r="T890" s="22">
        <f>IF($D890="","",IF(AND($C890&lt;&gt;"",$Q890="Có",$R890="",$S890="Có",AND($L890&lt;&gt;"",OR($L890&lt;&gt;"Chưa xác định",DANH_MUC!$L$9="Có"))),"Có","Không"))</f>
        <v/>
      </c>
      <c r="U890" s="22">
        <f>IF(OR($D890="",$T890="Có"),"",IF($C890="","Thiếu họ tên; ","")&amp;IF($S890&lt;&gt;"Có","SĐT sai định dạng; ","")&amp;IF($R890="Trùng","Trùng SĐT; ","")&amp;IF($Q890&lt;&gt;"Có","Thiếu đồng ý bắt buộc; ","")&amp;IF($L890="","Thiếu/sai Mã REF; ",IF(AND($L890="Chưa xác định",DANH_MUC!$L$9&lt;&gt;"Có"),"Nguồn chưa xác định; ","")))</f>
        <v/>
      </c>
      <c r="V890" s="22">
        <f>IF(OR($D890="",$R890="Trùng"),"",IF(COUNTIF(ORDERS!$C$2:$C$4995,$D890)&gt;0,"Có","Không"))</f>
        <v/>
      </c>
      <c r="W890" s="22">
        <f>IF(OR($D890="",$R890="Trùng"),"",COUNTIFS(ORDERS!$C$2:$C$4995,$D890,ORDERS!$L$2:$L$4995,"Đã chuyển khoản"))</f>
        <v/>
      </c>
      <c r="X890" s="23">
        <f>IF(OR($D890="",$R890="Trùng"),"",SUMIFS(ORDERS!$J$2:$J$4995,ORDERS!$C$2:$C$4995,$D890,ORDERS!$L$2:$L$4995,"Đã chuyển khoản"))</f>
        <v/>
      </c>
      <c r="Y890" s="24" t="n"/>
    </row>
    <row r="891" ht="14.25" customHeight="1" s="40">
      <c r="A891" s="24" t="n"/>
      <c r="B891" s="27" t="n"/>
      <c r="C891" s="24" t="n"/>
      <c r="D891" s="28" t="n"/>
      <c r="E891" s="29" t="n"/>
      <c r="F891" s="24" t="n"/>
      <c r="G891" s="24" t="n"/>
      <c r="H891" s="21">
        <f>IF(ISNUMBER($B891),INT($B891)-WEEKDAY($B891,2)+1,"")</f>
        <v/>
      </c>
      <c r="I891" s="24" t="n"/>
      <c r="J891" s="22">
        <f t="array" ref="J891">IF($D891="","",IF($I891="","(trống REF)",IFERROR(INDEX(MASTER_SOURCE!$B$2:$B$495,MATCH($I891,MASTER_SOURCE!$A$2:$A$495,0)),"(REF không có trong MASTER_SOURCE)")))</f>
        <v/>
      </c>
      <c r="K891" s="22">
        <f t="array" ref="K891">IF($D891="","",IFERROR(INDEX(MASTER_SOURCE!$C$2:$C$495,MATCH($I891,MASTER_SOURCE!$A$2:$A$495,0)),""))</f>
        <v/>
      </c>
      <c r="L891" s="22">
        <f t="array" ref="L891">IF($D891="","",IFERROR(INDEX(MASTER_SOURCE!$D$2:$D$495,MATCH($I891,MASTER_SOURCE!$A$2:$A$495,0)),""))</f>
        <v/>
      </c>
      <c r="M891" s="24" t="n"/>
      <c r="N891" s="24" t="n"/>
      <c r="O891" s="24" t="n"/>
      <c r="P891" s="24" t="n"/>
      <c r="Q891" s="22">
        <f>IF($D891="","",IF(AND(OR(DANH_MUC!$L$5&lt;&gt;"Có",M891="Có"),OR(DANH_MUC!$L$6&lt;&gt;"Có",N891="Có"),OR(DANH_MUC!$L$7&lt;&gt;"Có",O891="Có"),OR(DANH_MUC!$L$8&lt;&gt;"Có",P891="Có")),"Có","Không"))</f>
        <v/>
      </c>
      <c r="R891" s="22">
        <f>IF($D891="","",IF(COUNTIF($D$2:$D891,$D891)&gt;1,"Trùng",""))</f>
        <v/>
      </c>
      <c r="S891" s="22">
        <f>IF($D891="","",IF(AND(LEN($D891)=10,LEFT($D891,1)="0",ISNUMBER(--$D891)),"Có","Không"))</f>
        <v/>
      </c>
      <c r="T891" s="22">
        <f>IF($D891="","",IF(AND($C891&lt;&gt;"",$Q891="Có",$R891="",$S891="Có",AND($L891&lt;&gt;"",OR($L891&lt;&gt;"Chưa xác định",DANH_MUC!$L$9="Có"))),"Có","Không"))</f>
        <v/>
      </c>
      <c r="U891" s="22">
        <f>IF(OR($D891="",$T891="Có"),"",IF($C891="","Thiếu họ tên; ","")&amp;IF($S891&lt;&gt;"Có","SĐT sai định dạng; ","")&amp;IF($R891="Trùng","Trùng SĐT; ","")&amp;IF($Q891&lt;&gt;"Có","Thiếu đồng ý bắt buộc; ","")&amp;IF($L891="","Thiếu/sai Mã REF; ",IF(AND($L891="Chưa xác định",DANH_MUC!$L$9&lt;&gt;"Có"),"Nguồn chưa xác định; ","")))</f>
        <v/>
      </c>
      <c r="V891" s="22">
        <f>IF(OR($D891="",$R891="Trùng"),"",IF(COUNTIF(ORDERS!$C$2:$C$4995,$D891)&gt;0,"Có","Không"))</f>
        <v/>
      </c>
      <c r="W891" s="22">
        <f>IF(OR($D891="",$R891="Trùng"),"",COUNTIFS(ORDERS!$C$2:$C$4995,$D891,ORDERS!$L$2:$L$4995,"Đã chuyển khoản"))</f>
        <v/>
      </c>
      <c r="X891" s="23">
        <f>IF(OR($D891="",$R891="Trùng"),"",SUMIFS(ORDERS!$J$2:$J$4995,ORDERS!$C$2:$C$4995,$D891,ORDERS!$L$2:$L$4995,"Đã chuyển khoản"))</f>
        <v/>
      </c>
      <c r="Y891" s="24" t="n"/>
    </row>
    <row r="892" ht="14.25" customHeight="1" s="40">
      <c r="A892" s="24" t="n"/>
      <c r="B892" s="27" t="n"/>
      <c r="C892" s="24" t="n"/>
      <c r="D892" s="28" t="n"/>
      <c r="E892" s="29" t="n"/>
      <c r="F892" s="24" t="n"/>
      <c r="G892" s="24" t="n"/>
      <c r="H892" s="21">
        <f>IF(ISNUMBER($B892),INT($B892)-WEEKDAY($B892,2)+1,"")</f>
        <v/>
      </c>
      <c r="I892" s="24" t="n"/>
      <c r="J892" s="22">
        <f t="array" ref="J892">IF($D892="","",IF($I892="","(trống REF)",IFERROR(INDEX(MASTER_SOURCE!$B$2:$B$495,MATCH($I892,MASTER_SOURCE!$A$2:$A$495,0)),"(REF không có trong MASTER_SOURCE)")))</f>
        <v/>
      </c>
      <c r="K892" s="22">
        <f t="array" ref="K892">IF($D892="","",IFERROR(INDEX(MASTER_SOURCE!$C$2:$C$495,MATCH($I892,MASTER_SOURCE!$A$2:$A$495,0)),""))</f>
        <v/>
      </c>
      <c r="L892" s="22">
        <f t="array" ref="L892">IF($D892="","",IFERROR(INDEX(MASTER_SOURCE!$D$2:$D$495,MATCH($I892,MASTER_SOURCE!$A$2:$A$495,0)),""))</f>
        <v/>
      </c>
      <c r="M892" s="24" t="n"/>
      <c r="N892" s="24" t="n"/>
      <c r="O892" s="24" t="n"/>
      <c r="P892" s="24" t="n"/>
      <c r="Q892" s="22">
        <f>IF($D892="","",IF(AND(OR(DANH_MUC!$L$5&lt;&gt;"Có",M892="Có"),OR(DANH_MUC!$L$6&lt;&gt;"Có",N892="Có"),OR(DANH_MUC!$L$7&lt;&gt;"Có",O892="Có"),OR(DANH_MUC!$L$8&lt;&gt;"Có",P892="Có")),"Có","Không"))</f>
        <v/>
      </c>
      <c r="R892" s="22">
        <f>IF($D892="","",IF(COUNTIF($D$2:$D892,$D892)&gt;1,"Trùng",""))</f>
        <v/>
      </c>
      <c r="S892" s="22">
        <f>IF($D892="","",IF(AND(LEN($D892)=10,LEFT($D892,1)="0",ISNUMBER(--$D892)),"Có","Không"))</f>
        <v/>
      </c>
      <c r="T892" s="22">
        <f>IF($D892="","",IF(AND($C892&lt;&gt;"",$Q892="Có",$R892="",$S892="Có",AND($L892&lt;&gt;"",OR($L892&lt;&gt;"Chưa xác định",DANH_MUC!$L$9="Có"))),"Có","Không"))</f>
        <v/>
      </c>
      <c r="U892" s="22">
        <f>IF(OR($D892="",$T892="Có"),"",IF($C892="","Thiếu họ tên; ","")&amp;IF($S892&lt;&gt;"Có","SĐT sai định dạng; ","")&amp;IF($R892="Trùng","Trùng SĐT; ","")&amp;IF($Q892&lt;&gt;"Có","Thiếu đồng ý bắt buộc; ","")&amp;IF($L892="","Thiếu/sai Mã REF; ",IF(AND($L892="Chưa xác định",DANH_MUC!$L$9&lt;&gt;"Có"),"Nguồn chưa xác định; ","")))</f>
        <v/>
      </c>
      <c r="V892" s="22">
        <f>IF(OR($D892="",$R892="Trùng"),"",IF(COUNTIF(ORDERS!$C$2:$C$4995,$D892)&gt;0,"Có","Không"))</f>
        <v/>
      </c>
      <c r="W892" s="22">
        <f>IF(OR($D892="",$R892="Trùng"),"",COUNTIFS(ORDERS!$C$2:$C$4995,$D892,ORDERS!$L$2:$L$4995,"Đã chuyển khoản"))</f>
        <v/>
      </c>
      <c r="X892" s="23">
        <f>IF(OR($D892="",$R892="Trùng"),"",SUMIFS(ORDERS!$J$2:$J$4995,ORDERS!$C$2:$C$4995,$D892,ORDERS!$L$2:$L$4995,"Đã chuyển khoản"))</f>
        <v/>
      </c>
      <c r="Y892" s="24" t="n"/>
    </row>
    <row r="893" ht="14.25" customHeight="1" s="40">
      <c r="A893" s="24" t="n"/>
      <c r="B893" s="27" t="n"/>
      <c r="C893" s="24" t="n"/>
      <c r="D893" s="28" t="n"/>
      <c r="E893" s="29" t="n"/>
      <c r="F893" s="24" t="n"/>
      <c r="G893" s="24" t="n"/>
      <c r="H893" s="21">
        <f>IF(ISNUMBER($B893),INT($B893)-WEEKDAY($B893,2)+1,"")</f>
        <v/>
      </c>
      <c r="I893" s="24" t="n"/>
      <c r="J893" s="22">
        <f t="array" ref="J893">IF($D893="","",IF($I893="","(trống REF)",IFERROR(INDEX(MASTER_SOURCE!$B$2:$B$495,MATCH($I893,MASTER_SOURCE!$A$2:$A$495,0)),"(REF không có trong MASTER_SOURCE)")))</f>
        <v/>
      </c>
      <c r="K893" s="22">
        <f t="array" ref="K893">IF($D893="","",IFERROR(INDEX(MASTER_SOURCE!$C$2:$C$495,MATCH($I893,MASTER_SOURCE!$A$2:$A$495,0)),""))</f>
        <v/>
      </c>
      <c r="L893" s="22">
        <f t="array" ref="L893">IF($D893="","",IFERROR(INDEX(MASTER_SOURCE!$D$2:$D$495,MATCH($I893,MASTER_SOURCE!$A$2:$A$495,0)),""))</f>
        <v/>
      </c>
      <c r="M893" s="24" t="n"/>
      <c r="N893" s="24" t="n"/>
      <c r="O893" s="24" t="n"/>
      <c r="P893" s="24" t="n"/>
      <c r="Q893" s="22">
        <f>IF($D893="","",IF(AND(OR(DANH_MUC!$L$5&lt;&gt;"Có",M893="Có"),OR(DANH_MUC!$L$6&lt;&gt;"Có",N893="Có"),OR(DANH_MUC!$L$7&lt;&gt;"Có",O893="Có"),OR(DANH_MUC!$L$8&lt;&gt;"Có",P893="Có")),"Có","Không"))</f>
        <v/>
      </c>
      <c r="R893" s="22">
        <f>IF($D893="","",IF(COUNTIF($D$2:$D893,$D893)&gt;1,"Trùng",""))</f>
        <v/>
      </c>
      <c r="S893" s="22">
        <f>IF($D893="","",IF(AND(LEN($D893)=10,LEFT($D893,1)="0",ISNUMBER(--$D893)),"Có","Không"))</f>
        <v/>
      </c>
      <c r="T893" s="22">
        <f>IF($D893="","",IF(AND($C893&lt;&gt;"",$Q893="Có",$R893="",$S893="Có",AND($L893&lt;&gt;"",OR($L893&lt;&gt;"Chưa xác định",DANH_MUC!$L$9="Có"))),"Có","Không"))</f>
        <v/>
      </c>
      <c r="U893" s="22">
        <f>IF(OR($D893="",$T893="Có"),"",IF($C893="","Thiếu họ tên; ","")&amp;IF($S893&lt;&gt;"Có","SĐT sai định dạng; ","")&amp;IF($R893="Trùng","Trùng SĐT; ","")&amp;IF($Q893&lt;&gt;"Có","Thiếu đồng ý bắt buộc; ","")&amp;IF($L893="","Thiếu/sai Mã REF; ",IF(AND($L893="Chưa xác định",DANH_MUC!$L$9&lt;&gt;"Có"),"Nguồn chưa xác định; ","")))</f>
        <v/>
      </c>
      <c r="V893" s="22">
        <f>IF(OR($D893="",$R893="Trùng"),"",IF(COUNTIF(ORDERS!$C$2:$C$4995,$D893)&gt;0,"Có","Không"))</f>
        <v/>
      </c>
      <c r="W893" s="22">
        <f>IF(OR($D893="",$R893="Trùng"),"",COUNTIFS(ORDERS!$C$2:$C$4995,$D893,ORDERS!$L$2:$L$4995,"Đã chuyển khoản"))</f>
        <v/>
      </c>
      <c r="X893" s="23">
        <f>IF(OR($D893="",$R893="Trùng"),"",SUMIFS(ORDERS!$J$2:$J$4995,ORDERS!$C$2:$C$4995,$D893,ORDERS!$L$2:$L$4995,"Đã chuyển khoản"))</f>
        <v/>
      </c>
      <c r="Y893" s="24" t="n"/>
    </row>
    <row r="894" ht="14.25" customHeight="1" s="40">
      <c r="A894" s="24" t="n"/>
      <c r="B894" s="27" t="n"/>
      <c r="C894" s="24" t="n"/>
      <c r="D894" s="28" t="n"/>
      <c r="E894" s="29" t="n"/>
      <c r="F894" s="24" t="n"/>
      <c r="G894" s="24" t="n"/>
      <c r="H894" s="21">
        <f>IF(ISNUMBER($B894),INT($B894)-WEEKDAY($B894,2)+1,"")</f>
        <v/>
      </c>
      <c r="I894" s="24" t="n"/>
      <c r="J894" s="22">
        <f t="array" ref="J894">IF($D894="","",IF($I894="","(trống REF)",IFERROR(INDEX(MASTER_SOURCE!$B$2:$B$495,MATCH($I894,MASTER_SOURCE!$A$2:$A$495,0)),"(REF không có trong MASTER_SOURCE)")))</f>
        <v/>
      </c>
      <c r="K894" s="22">
        <f t="array" ref="K894">IF($D894="","",IFERROR(INDEX(MASTER_SOURCE!$C$2:$C$495,MATCH($I894,MASTER_SOURCE!$A$2:$A$495,0)),""))</f>
        <v/>
      </c>
      <c r="L894" s="22">
        <f t="array" ref="L894">IF($D894="","",IFERROR(INDEX(MASTER_SOURCE!$D$2:$D$495,MATCH($I894,MASTER_SOURCE!$A$2:$A$495,0)),""))</f>
        <v/>
      </c>
      <c r="M894" s="24" t="n"/>
      <c r="N894" s="24" t="n"/>
      <c r="O894" s="24" t="n"/>
      <c r="P894" s="24" t="n"/>
      <c r="Q894" s="22">
        <f>IF($D894="","",IF(AND(OR(DANH_MUC!$L$5&lt;&gt;"Có",M894="Có"),OR(DANH_MUC!$L$6&lt;&gt;"Có",N894="Có"),OR(DANH_MUC!$L$7&lt;&gt;"Có",O894="Có"),OR(DANH_MUC!$L$8&lt;&gt;"Có",P894="Có")),"Có","Không"))</f>
        <v/>
      </c>
      <c r="R894" s="22">
        <f>IF($D894="","",IF(COUNTIF($D$2:$D894,$D894)&gt;1,"Trùng",""))</f>
        <v/>
      </c>
      <c r="S894" s="22">
        <f>IF($D894="","",IF(AND(LEN($D894)=10,LEFT($D894,1)="0",ISNUMBER(--$D894)),"Có","Không"))</f>
        <v/>
      </c>
      <c r="T894" s="22">
        <f>IF($D894="","",IF(AND($C894&lt;&gt;"",$Q894="Có",$R894="",$S894="Có",AND($L894&lt;&gt;"",OR($L894&lt;&gt;"Chưa xác định",DANH_MUC!$L$9="Có"))),"Có","Không"))</f>
        <v/>
      </c>
      <c r="U894" s="22">
        <f>IF(OR($D894="",$T894="Có"),"",IF($C894="","Thiếu họ tên; ","")&amp;IF($S894&lt;&gt;"Có","SĐT sai định dạng; ","")&amp;IF($R894="Trùng","Trùng SĐT; ","")&amp;IF($Q894&lt;&gt;"Có","Thiếu đồng ý bắt buộc; ","")&amp;IF($L894="","Thiếu/sai Mã REF; ",IF(AND($L894="Chưa xác định",DANH_MUC!$L$9&lt;&gt;"Có"),"Nguồn chưa xác định; ","")))</f>
        <v/>
      </c>
      <c r="V894" s="22">
        <f>IF(OR($D894="",$R894="Trùng"),"",IF(COUNTIF(ORDERS!$C$2:$C$4995,$D894)&gt;0,"Có","Không"))</f>
        <v/>
      </c>
      <c r="W894" s="22">
        <f>IF(OR($D894="",$R894="Trùng"),"",COUNTIFS(ORDERS!$C$2:$C$4995,$D894,ORDERS!$L$2:$L$4995,"Đã chuyển khoản"))</f>
        <v/>
      </c>
      <c r="X894" s="23">
        <f>IF(OR($D894="",$R894="Trùng"),"",SUMIFS(ORDERS!$J$2:$J$4995,ORDERS!$C$2:$C$4995,$D894,ORDERS!$L$2:$L$4995,"Đã chuyển khoản"))</f>
        <v/>
      </c>
      <c r="Y894" s="24" t="n"/>
    </row>
    <row r="895" ht="14.25" customHeight="1" s="40">
      <c r="A895" s="24" t="n"/>
      <c r="B895" s="27" t="n"/>
      <c r="C895" s="24" t="n"/>
      <c r="D895" s="28" t="n"/>
      <c r="E895" s="29" t="n"/>
      <c r="F895" s="24" t="n"/>
      <c r="G895" s="24" t="n"/>
      <c r="H895" s="21">
        <f>IF(ISNUMBER($B895),INT($B895)-WEEKDAY($B895,2)+1,"")</f>
        <v/>
      </c>
      <c r="I895" s="24" t="n"/>
      <c r="J895" s="22">
        <f t="array" ref="J895">IF($D895="","",IF($I895="","(trống REF)",IFERROR(INDEX(MASTER_SOURCE!$B$2:$B$495,MATCH($I895,MASTER_SOURCE!$A$2:$A$495,0)),"(REF không có trong MASTER_SOURCE)")))</f>
        <v/>
      </c>
      <c r="K895" s="22">
        <f t="array" ref="K895">IF($D895="","",IFERROR(INDEX(MASTER_SOURCE!$C$2:$C$495,MATCH($I895,MASTER_SOURCE!$A$2:$A$495,0)),""))</f>
        <v/>
      </c>
      <c r="L895" s="22">
        <f t="array" ref="L895">IF($D895="","",IFERROR(INDEX(MASTER_SOURCE!$D$2:$D$495,MATCH($I895,MASTER_SOURCE!$A$2:$A$495,0)),""))</f>
        <v/>
      </c>
      <c r="M895" s="24" t="n"/>
      <c r="N895" s="24" t="n"/>
      <c r="O895" s="24" t="n"/>
      <c r="P895" s="24" t="n"/>
      <c r="Q895" s="22">
        <f>IF($D895="","",IF(AND(OR(DANH_MUC!$L$5&lt;&gt;"Có",M895="Có"),OR(DANH_MUC!$L$6&lt;&gt;"Có",N895="Có"),OR(DANH_MUC!$L$7&lt;&gt;"Có",O895="Có"),OR(DANH_MUC!$L$8&lt;&gt;"Có",P895="Có")),"Có","Không"))</f>
        <v/>
      </c>
      <c r="R895" s="22">
        <f>IF($D895="","",IF(COUNTIF($D$2:$D895,$D895)&gt;1,"Trùng",""))</f>
        <v/>
      </c>
      <c r="S895" s="22">
        <f>IF($D895="","",IF(AND(LEN($D895)=10,LEFT($D895,1)="0",ISNUMBER(--$D895)),"Có","Không"))</f>
        <v/>
      </c>
      <c r="T895" s="22">
        <f>IF($D895="","",IF(AND($C895&lt;&gt;"",$Q895="Có",$R895="",$S895="Có",AND($L895&lt;&gt;"",OR($L895&lt;&gt;"Chưa xác định",DANH_MUC!$L$9="Có"))),"Có","Không"))</f>
        <v/>
      </c>
      <c r="U895" s="22">
        <f>IF(OR($D895="",$T895="Có"),"",IF($C895="","Thiếu họ tên; ","")&amp;IF($S895&lt;&gt;"Có","SĐT sai định dạng; ","")&amp;IF($R895="Trùng","Trùng SĐT; ","")&amp;IF($Q895&lt;&gt;"Có","Thiếu đồng ý bắt buộc; ","")&amp;IF($L895="","Thiếu/sai Mã REF; ",IF(AND($L895="Chưa xác định",DANH_MUC!$L$9&lt;&gt;"Có"),"Nguồn chưa xác định; ","")))</f>
        <v/>
      </c>
      <c r="V895" s="22">
        <f>IF(OR($D895="",$R895="Trùng"),"",IF(COUNTIF(ORDERS!$C$2:$C$4995,$D895)&gt;0,"Có","Không"))</f>
        <v/>
      </c>
      <c r="W895" s="22">
        <f>IF(OR($D895="",$R895="Trùng"),"",COUNTIFS(ORDERS!$C$2:$C$4995,$D895,ORDERS!$L$2:$L$4995,"Đã chuyển khoản"))</f>
        <v/>
      </c>
      <c r="X895" s="23">
        <f>IF(OR($D895="",$R895="Trùng"),"",SUMIFS(ORDERS!$J$2:$J$4995,ORDERS!$C$2:$C$4995,$D895,ORDERS!$L$2:$L$4995,"Đã chuyển khoản"))</f>
        <v/>
      </c>
      <c r="Y895" s="24" t="n"/>
    </row>
    <row r="896" ht="14.25" customHeight="1" s="40">
      <c r="A896" s="24" t="n"/>
      <c r="B896" s="27" t="n"/>
      <c r="C896" s="24" t="n"/>
      <c r="D896" s="28" t="n"/>
      <c r="E896" s="29" t="n"/>
      <c r="F896" s="24" t="n"/>
      <c r="G896" s="24" t="n"/>
      <c r="H896" s="21">
        <f>IF(ISNUMBER($B896),INT($B896)-WEEKDAY($B896,2)+1,"")</f>
        <v/>
      </c>
      <c r="I896" s="24" t="n"/>
      <c r="J896" s="22">
        <f t="array" ref="J896">IF($D896="","",IF($I896="","(trống REF)",IFERROR(INDEX(MASTER_SOURCE!$B$2:$B$495,MATCH($I896,MASTER_SOURCE!$A$2:$A$495,0)),"(REF không có trong MASTER_SOURCE)")))</f>
        <v/>
      </c>
      <c r="K896" s="22">
        <f t="array" ref="K896">IF($D896="","",IFERROR(INDEX(MASTER_SOURCE!$C$2:$C$495,MATCH($I896,MASTER_SOURCE!$A$2:$A$495,0)),""))</f>
        <v/>
      </c>
      <c r="L896" s="22">
        <f t="array" ref="L896">IF($D896="","",IFERROR(INDEX(MASTER_SOURCE!$D$2:$D$495,MATCH($I896,MASTER_SOURCE!$A$2:$A$495,0)),""))</f>
        <v/>
      </c>
      <c r="M896" s="24" t="n"/>
      <c r="N896" s="24" t="n"/>
      <c r="O896" s="24" t="n"/>
      <c r="P896" s="24" t="n"/>
      <c r="Q896" s="22">
        <f>IF($D896="","",IF(AND(OR(DANH_MUC!$L$5&lt;&gt;"Có",M896="Có"),OR(DANH_MUC!$L$6&lt;&gt;"Có",N896="Có"),OR(DANH_MUC!$L$7&lt;&gt;"Có",O896="Có"),OR(DANH_MUC!$L$8&lt;&gt;"Có",P896="Có")),"Có","Không"))</f>
        <v/>
      </c>
      <c r="R896" s="22">
        <f>IF($D896="","",IF(COUNTIF($D$2:$D896,$D896)&gt;1,"Trùng",""))</f>
        <v/>
      </c>
      <c r="S896" s="22">
        <f>IF($D896="","",IF(AND(LEN($D896)=10,LEFT($D896,1)="0",ISNUMBER(--$D896)),"Có","Không"))</f>
        <v/>
      </c>
      <c r="T896" s="22">
        <f>IF($D896="","",IF(AND($C896&lt;&gt;"",$Q896="Có",$R896="",$S896="Có",AND($L896&lt;&gt;"",OR($L896&lt;&gt;"Chưa xác định",DANH_MUC!$L$9="Có"))),"Có","Không"))</f>
        <v/>
      </c>
      <c r="U896" s="22">
        <f>IF(OR($D896="",$T896="Có"),"",IF($C896="","Thiếu họ tên; ","")&amp;IF($S896&lt;&gt;"Có","SĐT sai định dạng; ","")&amp;IF($R896="Trùng","Trùng SĐT; ","")&amp;IF($Q896&lt;&gt;"Có","Thiếu đồng ý bắt buộc; ","")&amp;IF($L896="","Thiếu/sai Mã REF; ",IF(AND($L896="Chưa xác định",DANH_MUC!$L$9&lt;&gt;"Có"),"Nguồn chưa xác định; ","")))</f>
        <v/>
      </c>
      <c r="V896" s="22">
        <f>IF(OR($D896="",$R896="Trùng"),"",IF(COUNTIF(ORDERS!$C$2:$C$4995,$D896)&gt;0,"Có","Không"))</f>
        <v/>
      </c>
      <c r="W896" s="22">
        <f>IF(OR($D896="",$R896="Trùng"),"",COUNTIFS(ORDERS!$C$2:$C$4995,$D896,ORDERS!$L$2:$L$4995,"Đã chuyển khoản"))</f>
        <v/>
      </c>
      <c r="X896" s="23">
        <f>IF(OR($D896="",$R896="Trùng"),"",SUMIFS(ORDERS!$J$2:$J$4995,ORDERS!$C$2:$C$4995,$D896,ORDERS!$L$2:$L$4995,"Đã chuyển khoản"))</f>
        <v/>
      </c>
      <c r="Y896" s="24" t="n"/>
    </row>
    <row r="897" ht="14.25" customHeight="1" s="40">
      <c r="A897" s="24" t="n"/>
      <c r="B897" s="27" t="n"/>
      <c r="C897" s="24" t="n"/>
      <c r="D897" s="28" t="n"/>
      <c r="E897" s="29" t="n"/>
      <c r="F897" s="24" t="n"/>
      <c r="G897" s="24" t="n"/>
      <c r="H897" s="21">
        <f>IF(ISNUMBER($B897),INT($B897)-WEEKDAY($B897,2)+1,"")</f>
        <v/>
      </c>
      <c r="I897" s="24" t="n"/>
      <c r="J897" s="22">
        <f t="array" ref="J897">IF($D897="","",IF($I897="","(trống REF)",IFERROR(INDEX(MASTER_SOURCE!$B$2:$B$495,MATCH($I897,MASTER_SOURCE!$A$2:$A$495,0)),"(REF không có trong MASTER_SOURCE)")))</f>
        <v/>
      </c>
      <c r="K897" s="22">
        <f t="array" ref="K897">IF($D897="","",IFERROR(INDEX(MASTER_SOURCE!$C$2:$C$495,MATCH($I897,MASTER_SOURCE!$A$2:$A$495,0)),""))</f>
        <v/>
      </c>
      <c r="L897" s="22">
        <f t="array" ref="L897">IF($D897="","",IFERROR(INDEX(MASTER_SOURCE!$D$2:$D$495,MATCH($I897,MASTER_SOURCE!$A$2:$A$495,0)),""))</f>
        <v/>
      </c>
      <c r="M897" s="24" t="n"/>
      <c r="N897" s="24" t="n"/>
      <c r="O897" s="24" t="n"/>
      <c r="P897" s="24" t="n"/>
      <c r="Q897" s="22">
        <f>IF($D897="","",IF(AND(OR(DANH_MUC!$L$5&lt;&gt;"Có",M897="Có"),OR(DANH_MUC!$L$6&lt;&gt;"Có",N897="Có"),OR(DANH_MUC!$L$7&lt;&gt;"Có",O897="Có"),OR(DANH_MUC!$L$8&lt;&gt;"Có",P897="Có")),"Có","Không"))</f>
        <v/>
      </c>
      <c r="R897" s="22">
        <f>IF($D897="","",IF(COUNTIF($D$2:$D897,$D897)&gt;1,"Trùng",""))</f>
        <v/>
      </c>
      <c r="S897" s="22">
        <f>IF($D897="","",IF(AND(LEN($D897)=10,LEFT($D897,1)="0",ISNUMBER(--$D897)),"Có","Không"))</f>
        <v/>
      </c>
      <c r="T897" s="22">
        <f>IF($D897="","",IF(AND($C897&lt;&gt;"",$Q897="Có",$R897="",$S897="Có",AND($L897&lt;&gt;"",OR($L897&lt;&gt;"Chưa xác định",DANH_MUC!$L$9="Có"))),"Có","Không"))</f>
        <v/>
      </c>
      <c r="U897" s="22">
        <f>IF(OR($D897="",$T897="Có"),"",IF($C897="","Thiếu họ tên; ","")&amp;IF($S897&lt;&gt;"Có","SĐT sai định dạng; ","")&amp;IF($R897="Trùng","Trùng SĐT; ","")&amp;IF($Q897&lt;&gt;"Có","Thiếu đồng ý bắt buộc; ","")&amp;IF($L897="","Thiếu/sai Mã REF; ",IF(AND($L897="Chưa xác định",DANH_MUC!$L$9&lt;&gt;"Có"),"Nguồn chưa xác định; ","")))</f>
        <v/>
      </c>
      <c r="V897" s="22">
        <f>IF(OR($D897="",$R897="Trùng"),"",IF(COUNTIF(ORDERS!$C$2:$C$4995,$D897)&gt;0,"Có","Không"))</f>
        <v/>
      </c>
      <c r="W897" s="22">
        <f>IF(OR($D897="",$R897="Trùng"),"",COUNTIFS(ORDERS!$C$2:$C$4995,$D897,ORDERS!$L$2:$L$4995,"Đã chuyển khoản"))</f>
        <v/>
      </c>
      <c r="X897" s="23">
        <f>IF(OR($D897="",$R897="Trùng"),"",SUMIFS(ORDERS!$J$2:$J$4995,ORDERS!$C$2:$C$4995,$D897,ORDERS!$L$2:$L$4995,"Đã chuyển khoản"))</f>
        <v/>
      </c>
      <c r="Y897" s="24" t="n"/>
    </row>
    <row r="898" ht="14.25" customHeight="1" s="40">
      <c r="A898" s="24" t="n"/>
      <c r="B898" s="27" t="n"/>
      <c r="C898" s="24" t="n"/>
      <c r="D898" s="28" t="n"/>
      <c r="E898" s="29" t="n"/>
      <c r="F898" s="24" t="n"/>
      <c r="G898" s="24" t="n"/>
      <c r="H898" s="21">
        <f>IF(ISNUMBER($B898),INT($B898)-WEEKDAY($B898,2)+1,"")</f>
        <v/>
      </c>
      <c r="I898" s="24" t="n"/>
      <c r="J898" s="22">
        <f t="array" ref="J898">IF($D898="","",IF($I898="","(trống REF)",IFERROR(INDEX(MASTER_SOURCE!$B$2:$B$495,MATCH($I898,MASTER_SOURCE!$A$2:$A$495,0)),"(REF không có trong MASTER_SOURCE)")))</f>
        <v/>
      </c>
      <c r="K898" s="22">
        <f t="array" ref="K898">IF($D898="","",IFERROR(INDEX(MASTER_SOURCE!$C$2:$C$495,MATCH($I898,MASTER_SOURCE!$A$2:$A$495,0)),""))</f>
        <v/>
      </c>
      <c r="L898" s="22">
        <f t="array" ref="L898">IF($D898="","",IFERROR(INDEX(MASTER_SOURCE!$D$2:$D$495,MATCH($I898,MASTER_SOURCE!$A$2:$A$495,0)),""))</f>
        <v/>
      </c>
      <c r="M898" s="24" t="n"/>
      <c r="N898" s="24" t="n"/>
      <c r="O898" s="24" t="n"/>
      <c r="P898" s="24" t="n"/>
      <c r="Q898" s="22">
        <f>IF($D898="","",IF(AND(OR(DANH_MUC!$L$5&lt;&gt;"Có",M898="Có"),OR(DANH_MUC!$L$6&lt;&gt;"Có",N898="Có"),OR(DANH_MUC!$L$7&lt;&gt;"Có",O898="Có"),OR(DANH_MUC!$L$8&lt;&gt;"Có",P898="Có")),"Có","Không"))</f>
        <v/>
      </c>
      <c r="R898" s="22">
        <f>IF($D898="","",IF(COUNTIF($D$2:$D898,$D898)&gt;1,"Trùng",""))</f>
        <v/>
      </c>
      <c r="S898" s="22">
        <f>IF($D898="","",IF(AND(LEN($D898)=10,LEFT($D898,1)="0",ISNUMBER(--$D898)),"Có","Không"))</f>
        <v/>
      </c>
      <c r="T898" s="22">
        <f>IF($D898="","",IF(AND($C898&lt;&gt;"",$Q898="Có",$R898="",$S898="Có",AND($L898&lt;&gt;"",OR($L898&lt;&gt;"Chưa xác định",DANH_MUC!$L$9="Có"))),"Có","Không"))</f>
        <v/>
      </c>
      <c r="U898" s="22">
        <f>IF(OR($D898="",$T898="Có"),"",IF($C898="","Thiếu họ tên; ","")&amp;IF($S898&lt;&gt;"Có","SĐT sai định dạng; ","")&amp;IF($R898="Trùng","Trùng SĐT; ","")&amp;IF($Q898&lt;&gt;"Có","Thiếu đồng ý bắt buộc; ","")&amp;IF($L898="","Thiếu/sai Mã REF; ",IF(AND($L898="Chưa xác định",DANH_MUC!$L$9&lt;&gt;"Có"),"Nguồn chưa xác định; ","")))</f>
        <v/>
      </c>
      <c r="V898" s="22">
        <f>IF(OR($D898="",$R898="Trùng"),"",IF(COUNTIF(ORDERS!$C$2:$C$4995,$D898)&gt;0,"Có","Không"))</f>
        <v/>
      </c>
      <c r="W898" s="22">
        <f>IF(OR($D898="",$R898="Trùng"),"",COUNTIFS(ORDERS!$C$2:$C$4995,$D898,ORDERS!$L$2:$L$4995,"Đã chuyển khoản"))</f>
        <v/>
      </c>
      <c r="X898" s="23">
        <f>IF(OR($D898="",$R898="Trùng"),"",SUMIFS(ORDERS!$J$2:$J$4995,ORDERS!$C$2:$C$4995,$D898,ORDERS!$L$2:$L$4995,"Đã chuyển khoản"))</f>
        <v/>
      </c>
      <c r="Y898" s="24" t="n"/>
    </row>
    <row r="899" ht="14.25" customHeight="1" s="40">
      <c r="A899" s="24" t="n"/>
      <c r="B899" s="27" t="n"/>
      <c r="C899" s="24" t="n"/>
      <c r="D899" s="28" t="n"/>
      <c r="E899" s="29" t="n"/>
      <c r="F899" s="24" t="n"/>
      <c r="G899" s="24" t="n"/>
      <c r="H899" s="21">
        <f>IF(ISNUMBER($B899),INT($B899)-WEEKDAY($B899,2)+1,"")</f>
        <v/>
      </c>
      <c r="I899" s="24" t="n"/>
      <c r="J899" s="22">
        <f t="array" ref="J899">IF($D899="","",IF($I899="","(trống REF)",IFERROR(INDEX(MASTER_SOURCE!$B$2:$B$495,MATCH($I899,MASTER_SOURCE!$A$2:$A$495,0)),"(REF không có trong MASTER_SOURCE)")))</f>
        <v/>
      </c>
      <c r="K899" s="22">
        <f t="array" ref="K899">IF($D899="","",IFERROR(INDEX(MASTER_SOURCE!$C$2:$C$495,MATCH($I899,MASTER_SOURCE!$A$2:$A$495,0)),""))</f>
        <v/>
      </c>
      <c r="L899" s="22">
        <f t="array" ref="L899">IF($D899="","",IFERROR(INDEX(MASTER_SOURCE!$D$2:$D$495,MATCH($I899,MASTER_SOURCE!$A$2:$A$495,0)),""))</f>
        <v/>
      </c>
      <c r="M899" s="24" t="n"/>
      <c r="N899" s="24" t="n"/>
      <c r="O899" s="24" t="n"/>
      <c r="P899" s="24" t="n"/>
      <c r="Q899" s="22">
        <f>IF($D899="","",IF(AND(OR(DANH_MUC!$L$5&lt;&gt;"Có",M899="Có"),OR(DANH_MUC!$L$6&lt;&gt;"Có",N899="Có"),OR(DANH_MUC!$L$7&lt;&gt;"Có",O899="Có"),OR(DANH_MUC!$L$8&lt;&gt;"Có",P899="Có")),"Có","Không"))</f>
        <v/>
      </c>
      <c r="R899" s="22">
        <f>IF($D899="","",IF(COUNTIF($D$2:$D899,$D899)&gt;1,"Trùng",""))</f>
        <v/>
      </c>
      <c r="S899" s="22">
        <f>IF($D899="","",IF(AND(LEN($D899)=10,LEFT($D899,1)="0",ISNUMBER(--$D899)),"Có","Không"))</f>
        <v/>
      </c>
      <c r="T899" s="22">
        <f>IF($D899="","",IF(AND($C899&lt;&gt;"",$Q899="Có",$R899="",$S899="Có",AND($L899&lt;&gt;"",OR($L899&lt;&gt;"Chưa xác định",DANH_MUC!$L$9="Có"))),"Có","Không"))</f>
        <v/>
      </c>
      <c r="U899" s="22">
        <f>IF(OR($D899="",$T899="Có"),"",IF($C899="","Thiếu họ tên; ","")&amp;IF($S899&lt;&gt;"Có","SĐT sai định dạng; ","")&amp;IF($R899="Trùng","Trùng SĐT; ","")&amp;IF($Q899&lt;&gt;"Có","Thiếu đồng ý bắt buộc; ","")&amp;IF($L899="","Thiếu/sai Mã REF; ",IF(AND($L899="Chưa xác định",DANH_MUC!$L$9&lt;&gt;"Có"),"Nguồn chưa xác định; ","")))</f>
        <v/>
      </c>
      <c r="V899" s="22">
        <f>IF(OR($D899="",$R899="Trùng"),"",IF(COUNTIF(ORDERS!$C$2:$C$4995,$D899)&gt;0,"Có","Không"))</f>
        <v/>
      </c>
      <c r="W899" s="22">
        <f>IF(OR($D899="",$R899="Trùng"),"",COUNTIFS(ORDERS!$C$2:$C$4995,$D899,ORDERS!$L$2:$L$4995,"Đã chuyển khoản"))</f>
        <v/>
      </c>
      <c r="X899" s="23">
        <f>IF(OR($D899="",$R899="Trùng"),"",SUMIFS(ORDERS!$J$2:$J$4995,ORDERS!$C$2:$C$4995,$D899,ORDERS!$L$2:$L$4995,"Đã chuyển khoản"))</f>
        <v/>
      </c>
      <c r="Y899" s="24" t="n"/>
    </row>
    <row r="900" ht="14.25" customHeight="1" s="40">
      <c r="A900" s="24" t="n"/>
      <c r="B900" s="27" t="n"/>
      <c r="C900" s="24" t="n"/>
      <c r="D900" s="28" t="n"/>
      <c r="E900" s="29" t="n"/>
      <c r="F900" s="24" t="n"/>
      <c r="G900" s="24" t="n"/>
      <c r="H900" s="21">
        <f>IF(ISNUMBER($B900),INT($B900)-WEEKDAY($B900,2)+1,"")</f>
        <v/>
      </c>
      <c r="I900" s="24" t="n"/>
      <c r="J900" s="22">
        <f t="array" ref="J900">IF($D900="","",IF($I900="","(trống REF)",IFERROR(INDEX(MASTER_SOURCE!$B$2:$B$495,MATCH($I900,MASTER_SOURCE!$A$2:$A$495,0)),"(REF không có trong MASTER_SOURCE)")))</f>
        <v/>
      </c>
      <c r="K900" s="22">
        <f t="array" ref="K900">IF($D900="","",IFERROR(INDEX(MASTER_SOURCE!$C$2:$C$495,MATCH($I900,MASTER_SOURCE!$A$2:$A$495,0)),""))</f>
        <v/>
      </c>
      <c r="L900" s="22">
        <f t="array" ref="L900">IF($D900="","",IFERROR(INDEX(MASTER_SOURCE!$D$2:$D$495,MATCH($I900,MASTER_SOURCE!$A$2:$A$495,0)),""))</f>
        <v/>
      </c>
      <c r="M900" s="24" t="n"/>
      <c r="N900" s="24" t="n"/>
      <c r="O900" s="24" t="n"/>
      <c r="P900" s="24" t="n"/>
      <c r="Q900" s="22">
        <f>IF($D900="","",IF(AND(OR(DANH_MUC!$L$5&lt;&gt;"Có",M900="Có"),OR(DANH_MUC!$L$6&lt;&gt;"Có",N900="Có"),OR(DANH_MUC!$L$7&lt;&gt;"Có",O900="Có"),OR(DANH_MUC!$L$8&lt;&gt;"Có",P900="Có")),"Có","Không"))</f>
        <v/>
      </c>
      <c r="R900" s="22">
        <f>IF($D900="","",IF(COUNTIF($D$2:$D900,$D900)&gt;1,"Trùng",""))</f>
        <v/>
      </c>
      <c r="S900" s="22">
        <f>IF($D900="","",IF(AND(LEN($D900)=10,LEFT($D900,1)="0",ISNUMBER(--$D900)),"Có","Không"))</f>
        <v/>
      </c>
      <c r="T900" s="22">
        <f>IF($D900="","",IF(AND($C900&lt;&gt;"",$Q900="Có",$R900="",$S900="Có",AND($L900&lt;&gt;"",OR($L900&lt;&gt;"Chưa xác định",DANH_MUC!$L$9="Có"))),"Có","Không"))</f>
        <v/>
      </c>
      <c r="U900" s="22">
        <f>IF(OR($D900="",$T900="Có"),"",IF($C900="","Thiếu họ tên; ","")&amp;IF($S900&lt;&gt;"Có","SĐT sai định dạng; ","")&amp;IF($R900="Trùng","Trùng SĐT; ","")&amp;IF($Q900&lt;&gt;"Có","Thiếu đồng ý bắt buộc; ","")&amp;IF($L900="","Thiếu/sai Mã REF; ",IF(AND($L900="Chưa xác định",DANH_MUC!$L$9&lt;&gt;"Có"),"Nguồn chưa xác định; ","")))</f>
        <v/>
      </c>
      <c r="V900" s="22">
        <f>IF(OR($D900="",$R900="Trùng"),"",IF(COUNTIF(ORDERS!$C$2:$C$4995,$D900)&gt;0,"Có","Không"))</f>
        <v/>
      </c>
      <c r="W900" s="22">
        <f>IF(OR($D900="",$R900="Trùng"),"",COUNTIFS(ORDERS!$C$2:$C$4995,$D900,ORDERS!$L$2:$L$4995,"Đã chuyển khoản"))</f>
        <v/>
      </c>
      <c r="X900" s="23">
        <f>IF(OR($D900="",$R900="Trùng"),"",SUMIFS(ORDERS!$J$2:$J$4995,ORDERS!$C$2:$C$4995,$D900,ORDERS!$L$2:$L$4995,"Đã chuyển khoản"))</f>
        <v/>
      </c>
      <c r="Y900" s="24" t="n"/>
    </row>
    <row r="901" ht="14.25" customHeight="1" s="40">
      <c r="A901" s="24" t="n"/>
      <c r="B901" s="27" t="n"/>
      <c r="C901" s="24" t="n"/>
      <c r="D901" s="28" t="n"/>
      <c r="E901" s="29" t="n"/>
      <c r="F901" s="24" t="n"/>
      <c r="G901" s="24" t="n"/>
      <c r="H901" s="21">
        <f>IF(ISNUMBER($B901),INT($B901)-WEEKDAY($B901,2)+1,"")</f>
        <v/>
      </c>
      <c r="I901" s="24" t="n"/>
      <c r="J901" s="22">
        <f t="array" ref="J901">IF($D901="","",IF($I901="","(trống REF)",IFERROR(INDEX(MASTER_SOURCE!$B$2:$B$495,MATCH($I901,MASTER_SOURCE!$A$2:$A$495,0)),"(REF không có trong MASTER_SOURCE)")))</f>
        <v/>
      </c>
      <c r="K901" s="22">
        <f t="array" ref="K901">IF($D901="","",IFERROR(INDEX(MASTER_SOURCE!$C$2:$C$495,MATCH($I901,MASTER_SOURCE!$A$2:$A$495,0)),""))</f>
        <v/>
      </c>
      <c r="L901" s="22">
        <f t="array" ref="L901">IF($D901="","",IFERROR(INDEX(MASTER_SOURCE!$D$2:$D$495,MATCH($I901,MASTER_SOURCE!$A$2:$A$495,0)),""))</f>
        <v/>
      </c>
      <c r="M901" s="24" t="n"/>
      <c r="N901" s="24" t="n"/>
      <c r="O901" s="24" t="n"/>
      <c r="P901" s="24" t="n"/>
      <c r="Q901" s="22">
        <f>IF($D901="","",IF(AND(OR(DANH_MUC!$L$5&lt;&gt;"Có",M901="Có"),OR(DANH_MUC!$L$6&lt;&gt;"Có",N901="Có"),OR(DANH_MUC!$L$7&lt;&gt;"Có",O901="Có"),OR(DANH_MUC!$L$8&lt;&gt;"Có",P901="Có")),"Có","Không"))</f>
        <v/>
      </c>
      <c r="R901" s="22">
        <f>IF($D901="","",IF(COUNTIF($D$2:$D901,$D901)&gt;1,"Trùng",""))</f>
        <v/>
      </c>
      <c r="S901" s="22">
        <f>IF($D901="","",IF(AND(LEN($D901)=10,LEFT($D901,1)="0",ISNUMBER(--$D901)),"Có","Không"))</f>
        <v/>
      </c>
      <c r="T901" s="22">
        <f>IF($D901="","",IF(AND($C901&lt;&gt;"",$Q901="Có",$R901="",$S901="Có",AND($L901&lt;&gt;"",OR($L901&lt;&gt;"Chưa xác định",DANH_MUC!$L$9="Có"))),"Có","Không"))</f>
        <v/>
      </c>
      <c r="U901" s="22">
        <f>IF(OR($D901="",$T901="Có"),"",IF($C901="","Thiếu họ tên; ","")&amp;IF($S901&lt;&gt;"Có","SĐT sai định dạng; ","")&amp;IF($R901="Trùng","Trùng SĐT; ","")&amp;IF($Q901&lt;&gt;"Có","Thiếu đồng ý bắt buộc; ","")&amp;IF($L901="","Thiếu/sai Mã REF; ",IF(AND($L901="Chưa xác định",DANH_MUC!$L$9&lt;&gt;"Có"),"Nguồn chưa xác định; ","")))</f>
        <v/>
      </c>
      <c r="V901" s="22">
        <f>IF(OR($D901="",$R901="Trùng"),"",IF(COUNTIF(ORDERS!$C$2:$C$4995,$D901)&gt;0,"Có","Không"))</f>
        <v/>
      </c>
      <c r="W901" s="22">
        <f>IF(OR($D901="",$R901="Trùng"),"",COUNTIFS(ORDERS!$C$2:$C$4995,$D901,ORDERS!$L$2:$L$4995,"Đã chuyển khoản"))</f>
        <v/>
      </c>
      <c r="X901" s="23">
        <f>IF(OR($D901="",$R901="Trùng"),"",SUMIFS(ORDERS!$J$2:$J$4995,ORDERS!$C$2:$C$4995,$D901,ORDERS!$L$2:$L$4995,"Đã chuyển khoản"))</f>
        <v/>
      </c>
      <c r="Y901" s="24" t="n"/>
    </row>
    <row r="902" ht="14.25" customHeight="1" s="40">
      <c r="A902" s="24" t="n"/>
      <c r="B902" s="27" t="n"/>
      <c r="C902" s="24" t="n"/>
      <c r="D902" s="28" t="n"/>
      <c r="E902" s="29" t="n"/>
      <c r="F902" s="24" t="n"/>
      <c r="G902" s="24" t="n"/>
      <c r="H902" s="21">
        <f>IF(ISNUMBER($B902),INT($B902)-WEEKDAY($B902,2)+1,"")</f>
        <v/>
      </c>
      <c r="I902" s="24" t="n"/>
      <c r="J902" s="22">
        <f t="array" ref="J902">IF($D902="","",IF($I902="","(trống REF)",IFERROR(INDEX(MASTER_SOURCE!$B$2:$B$495,MATCH($I902,MASTER_SOURCE!$A$2:$A$495,0)),"(REF không có trong MASTER_SOURCE)")))</f>
        <v/>
      </c>
      <c r="K902" s="22">
        <f t="array" ref="K902">IF($D902="","",IFERROR(INDEX(MASTER_SOURCE!$C$2:$C$495,MATCH($I902,MASTER_SOURCE!$A$2:$A$495,0)),""))</f>
        <v/>
      </c>
      <c r="L902" s="22">
        <f t="array" ref="L902">IF($D902="","",IFERROR(INDEX(MASTER_SOURCE!$D$2:$D$495,MATCH($I902,MASTER_SOURCE!$A$2:$A$495,0)),""))</f>
        <v/>
      </c>
      <c r="M902" s="24" t="n"/>
      <c r="N902" s="24" t="n"/>
      <c r="O902" s="24" t="n"/>
      <c r="P902" s="24" t="n"/>
      <c r="Q902" s="22">
        <f>IF($D902="","",IF(AND(OR(DANH_MUC!$L$5&lt;&gt;"Có",M902="Có"),OR(DANH_MUC!$L$6&lt;&gt;"Có",N902="Có"),OR(DANH_MUC!$L$7&lt;&gt;"Có",O902="Có"),OR(DANH_MUC!$L$8&lt;&gt;"Có",P902="Có")),"Có","Không"))</f>
        <v/>
      </c>
      <c r="R902" s="22">
        <f>IF($D902="","",IF(COUNTIF($D$2:$D902,$D902)&gt;1,"Trùng",""))</f>
        <v/>
      </c>
      <c r="S902" s="22">
        <f>IF($D902="","",IF(AND(LEN($D902)=10,LEFT($D902,1)="0",ISNUMBER(--$D902)),"Có","Không"))</f>
        <v/>
      </c>
      <c r="T902" s="22">
        <f>IF($D902="","",IF(AND($C902&lt;&gt;"",$Q902="Có",$R902="",$S902="Có",AND($L902&lt;&gt;"",OR($L902&lt;&gt;"Chưa xác định",DANH_MUC!$L$9="Có"))),"Có","Không"))</f>
        <v/>
      </c>
      <c r="U902" s="22">
        <f>IF(OR($D902="",$T902="Có"),"",IF($C902="","Thiếu họ tên; ","")&amp;IF($S902&lt;&gt;"Có","SĐT sai định dạng; ","")&amp;IF($R902="Trùng","Trùng SĐT; ","")&amp;IF($Q902&lt;&gt;"Có","Thiếu đồng ý bắt buộc; ","")&amp;IF($L902="","Thiếu/sai Mã REF; ",IF(AND($L902="Chưa xác định",DANH_MUC!$L$9&lt;&gt;"Có"),"Nguồn chưa xác định; ","")))</f>
        <v/>
      </c>
      <c r="V902" s="22">
        <f>IF(OR($D902="",$R902="Trùng"),"",IF(COUNTIF(ORDERS!$C$2:$C$4995,$D902)&gt;0,"Có","Không"))</f>
        <v/>
      </c>
      <c r="W902" s="22">
        <f>IF(OR($D902="",$R902="Trùng"),"",COUNTIFS(ORDERS!$C$2:$C$4995,$D902,ORDERS!$L$2:$L$4995,"Đã chuyển khoản"))</f>
        <v/>
      </c>
      <c r="X902" s="23">
        <f>IF(OR($D902="",$R902="Trùng"),"",SUMIFS(ORDERS!$J$2:$J$4995,ORDERS!$C$2:$C$4995,$D902,ORDERS!$L$2:$L$4995,"Đã chuyển khoản"))</f>
        <v/>
      </c>
      <c r="Y902" s="24" t="n"/>
    </row>
    <row r="903" ht="14.25" customHeight="1" s="40">
      <c r="A903" s="24" t="n"/>
      <c r="B903" s="27" t="n"/>
      <c r="C903" s="24" t="n"/>
      <c r="D903" s="28" t="n"/>
      <c r="E903" s="29" t="n"/>
      <c r="F903" s="24" t="n"/>
      <c r="G903" s="24" t="n"/>
      <c r="H903" s="21">
        <f>IF(ISNUMBER($B903),INT($B903)-WEEKDAY($B903,2)+1,"")</f>
        <v/>
      </c>
      <c r="I903" s="24" t="n"/>
      <c r="J903" s="22">
        <f t="array" ref="J903">IF($D903="","",IF($I903="","(trống REF)",IFERROR(INDEX(MASTER_SOURCE!$B$2:$B$495,MATCH($I903,MASTER_SOURCE!$A$2:$A$495,0)),"(REF không có trong MASTER_SOURCE)")))</f>
        <v/>
      </c>
      <c r="K903" s="22">
        <f t="array" ref="K903">IF($D903="","",IFERROR(INDEX(MASTER_SOURCE!$C$2:$C$495,MATCH($I903,MASTER_SOURCE!$A$2:$A$495,0)),""))</f>
        <v/>
      </c>
      <c r="L903" s="22">
        <f t="array" ref="L903">IF($D903="","",IFERROR(INDEX(MASTER_SOURCE!$D$2:$D$495,MATCH($I903,MASTER_SOURCE!$A$2:$A$495,0)),""))</f>
        <v/>
      </c>
      <c r="M903" s="24" t="n"/>
      <c r="N903" s="24" t="n"/>
      <c r="O903" s="24" t="n"/>
      <c r="P903" s="24" t="n"/>
      <c r="Q903" s="22">
        <f>IF($D903="","",IF(AND(OR(DANH_MUC!$L$5&lt;&gt;"Có",M903="Có"),OR(DANH_MUC!$L$6&lt;&gt;"Có",N903="Có"),OR(DANH_MUC!$L$7&lt;&gt;"Có",O903="Có"),OR(DANH_MUC!$L$8&lt;&gt;"Có",P903="Có")),"Có","Không"))</f>
        <v/>
      </c>
      <c r="R903" s="22">
        <f>IF($D903="","",IF(COUNTIF($D$2:$D903,$D903)&gt;1,"Trùng",""))</f>
        <v/>
      </c>
      <c r="S903" s="22">
        <f>IF($D903="","",IF(AND(LEN($D903)=10,LEFT($D903,1)="0",ISNUMBER(--$D903)),"Có","Không"))</f>
        <v/>
      </c>
      <c r="T903" s="22">
        <f>IF($D903="","",IF(AND($C903&lt;&gt;"",$Q903="Có",$R903="",$S903="Có",AND($L903&lt;&gt;"",OR($L903&lt;&gt;"Chưa xác định",DANH_MUC!$L$9="Có"))),"Có","Không"))</f>
        <v/>
      </c>
      <c r="U903" s="22">
        <f>IF(OR($D903="",$T903="Có"),"",IF($C903="","Thiếu họ tên; ","")&amp;IF($S903&lt;&gt;"Có","SĐT sai định dạng; ","")&amp;IF($R903="Trùng","Trùng SĐT; ","")&amp;IF($Q903&lt;&gt;"Có","Thiếu đồng ý bắt buộc; ","")&amp;IF($L903="","Thiếu/sai Mã REF; ",IF(AND($L903="Chưa xác định",DANH_MUC!$L$9&lt;&gt;"Có"),"Nguồn chưa xác định; ","")))</f>
        <v/>
      </c>
      <c r="V903" s="22">
        <f>IF(OR($D903="",$R903="Trùng"),"",IF(COUNTIF(ORDERS!$C$2:$C$4995,$D903)&gt;0,"Có","Không"))</f>
        <v/>
      </c>
      <c r="W903" s="22">
        <f>IF(OR($D903="",$R903="Trùng"),"",COUNTIFS(ORDERS!$C$2:$C$4995,$D903,ORDERS!$L$2:$L$4995,"Đã chuyển khoản"))</f>
        <v/>
      </c>
      <c r="X903" s="23">
        <f>IF(OR($D903="",$R903="Trùng"),"",SUMIFS(ORDERS!$J$2:$J$4995,ORDERS!$C$2:$C$4995,$D903,ORDERS!$L$2:$L$4995,"Đã chuyển khoản"))</f>
        <v/>
      </c>
      <c r="Y903" s="24" t="n"/>
    </row>
    <row r="904" ht="14.25" customHeight="1" s="40">
      <c r="A904" s="24" t="n"/>
      <c r="B904" s="27" t="n"/>
      <c r="C904" s="24" t="n"/>
      <c r="D904" s="28" t="n"/>
      <c r="E904" s="29" t="n"/>
      <c r="F904" s="24" t="n"/>
      <c r="G904" s="24" t="n"/>
      <c r="H904" s="21">
        <f>IF(ISNUMBER($B904),INT($B904)-WEEKDAY($B904,2)+1,"")</f>
        <v/>
      </c>
      <c r="I904" s="24" t="n"/>
      <c r="J904" s="22">
        <f t="array" ref="J904">IF($D904="","",IF($I904="","(trống REF)",IFERROR(INDEX(MASTER_SOURCE!$B$2:$B$495,MATCH($I904,MASTER_SOURCE!$A$2:$A$495,0)),"(REF không có trong MASTER_SOURCE)")))</f>
        <v/>
      </c>
      <c r="K904" s="22">
        <f t="array" ref="K904">IF($D904="","",IFERROR(INDEX(MASTER_SOURCE!$C$2:$C$495,MATCH($I904,MASTER_SOURCE!$A$2:$A$495,0)),""))</f>
        <v/>
      </c>
      <c r="L904" s="22">
        <f t="array" ref="L904">IF($D904="","",IFERROR(INDEX(MASTER_SOURCE!$D$2:$D$495,MATCH($I904,MASTER_SOURCE!$A$2:$A$495,0)),""))</f>
        <v/>
      </c>
      <c r="M904" s="24" t="n"/>
      <c r="N904" s="24" t="n"/>
      <c r="O904" s="24" t="n"/>
      <c r="P904" s="24" t="n"/>
      <c r="Q904" s="22">
        <f>IF($D904="","",IF(AND(OR(DANH_MUC!$L$5&lt;&gt;"Có",M904="Có"),OR(DANH_MUC!$L$6&lt;&gt;"Có",N904="Có"),OR(DANH_MUC!$L$7&lt;&gt;"Có",O904="Có"),OR(DANH_MUC!$L$8&lt;&gt;"Có",P904="Có")),"Có","Không"))</f>
        <v/>
      </c>
      <c r="R904" s="22">
        <f>IF($D904="","",IF(COUNTIF($D$2:$D904,$D904)&gt;1,"Trùng",""))</f>
        <v/>
      </c>
      <c r="S904" s="22">
        <f>IF($D904="","",IF(AND(LEN($D904)=10,LEFT($D904,1)="0",ISNUMBER(--$D904)),"Có","Không"))</f>
        <v/>
      </c>
      <c r="T904" s="22">
        <f>IF($D904="","",IF(AND($C904&lt;&gt;"",$Q904="Có",$R904="",$S904="Có",AND($L904&lt;&gt;"",OR($L904&lt;&gt;"Chưa xác định",DANH_MUC!$L$9="Có"))),"Có","Không"))</f>
        <v/>
      </c>
      <c r="U904" s="22">
        <f>IF(OR($D904="",$T904="Có"),"",IF($C904="","Thiếu họ tên; ","")&amp;IF($S904&lt;&gt;"Có","SĐT sai định dạng; ","")&amp;IF($R904="Trùng","Trùng SĐT; ","")&amp;IF($Q904&lt;&gt;"Có","Thiếu đồng ý bắt buộc; ","")&amp;IF($L904="","Thiếu/sai Mã REF; ",IF(AND($L904="Chưa xác định",DANH_MUC!$L$9&lt;&gt;"Có"),"Nguồn chưa xác định; ","")))</f>
        <v/>
      </c>
      <c r="V904" s="22">
        <f>IF(OR($D904="",$R904="Trùng"),"",IF(COUNTIF(ORDERS!$C$2:$C$4995,$D904)&gt;0,"Có","Không"))</f>
        <v/>
      </c>
      <c r="W904" s="22">
        <f>IF(OR($D904="",$R904="Trùng"),"",COUNTIFS(ORDERS!$C$2:$C$4995,$D904,ORDERS!$L$2:$L$4995,"Đã chuyển khoản"))</f>
        <v/>
      </c>
      <c r="X904" s="23">
        <f>IF(OR($D904="",$R904="Trùng"),"",SUMIFS(ORDERS!$J$2:$J$4995,ORDERS!$C$2:$C$4995,$D904,ORDERS!$L$2:$L$4995,"Đã chuyển khoản"))</f>
        <v/>
      </c>
      <c r="Y904" s="24" t="n"/>
    </row>
    <row r="905" ht="14.25" customHeight="1" s="40">
      <c r="A905" s="24" t="n"/>
      <c r="B905" s="27" t="n"/>
      <c r="C905" s="24" t="n"/>
      <c r="D905" s="28" t="n"/>
      <c r="E905" s="29" t="n"/>
      <c r="F905" s="24" t="n"/>
      <c r="G905" s="24" t="n"/>
      <c r="H905" s="21">
        <f>IF(ISNUMBER($B905),INT($B905)-WEEKDAY($B905,2)+1,"")</f>
        <v/>
      </c>
      <c r="I905" s="24" t="n"/>
      <c r="J905" s="22">
        <f t="array" ref="J905">IF($D905="","",IF($I905="","(trống REF)",IFERROR(INDEX(MASTER_SOURCE!$B$2:$B$495,MATCH($I905,MASTER_SOURCE!$A$2:$A$495,0)),"(REF không có trong MASTER_SOURCE)")))</f>
        <v/>
      </c>
      <c r="K905" s="22">
        <f t="array" ref="K905">IF($D905="","",IFERROR(INDEX(MASTER_SOURCE!$C$2:$C$495,MATCH($I905,MASTER_SOURCE!$A$2:$A$495,0)),""))</f>
        <v/>
      </c>
      <c r="L905" s="22">
        <f t="array" ref="L905">IF($D905="","",IFERROR(INDEX(MASTER_SOURCE!$D$2:$D$495,MATCH($I905,MASTER_SOURCE!$A$2:$A$495,0)),""))</f>
        <v/>
      </c>
      <c r="M905" s="24" t="n"/>
      <c r="N905" s="24" t="n"/>
      <c r="O905" s="24" t="n"/>
      <c r="P905" s="24" t="n"/>
      <c r="Q905" s="22">
        <f>IF($D905="","",IF(AND(OR(DANH_MUC!$L$5&lt;&gt;"Có",M905="Có"),OR(DANH_MUC!$L$6&lt;&gt;"Có",N905="Có"),OR(DANH_MUC!$L$7&lt;&gt;"Có",O905="Có"),OR(DANH_MUC!$L$8&lt;&gt;"Có",P905="Có")),"Có","Không"))</f>
        <v/>
      </c>
      <c r="R905" s="22">
        <f>IF($D905="","",IF(COUNTIF($D$2:$D905,$D905)&gt;1,"Trùng",""))</f>
        <v/>
      </c>
      <c r="S905" s="22">
        <f>IF($D905="","",IF(AND(LEN($D905)=10,LEFT($D905,1)="0",ISNUMBER(--$D905)),"Có","Không"))</f>
        <v/>
      </c>
      <c r="T905" s="22">
        <f>IF($D905="","",IF(AND($C905&lt;&gt;"",$Q905="Có",$R905="",$S905="Có",AND($L905&lt;&gt;"",OR($L905&lt;&gt;"Chưa xác định",DANH_MUC!$L$9="Có"))),"Có","Không"))</f>
        <v/>
      </c>
      <c r="U905" s="22">
        <f>IF(OR($D905="",$T905="Có"),"",IF($C905="","Thiếu họ tên; ","")&amp;IF($S905&lt;&gt;"Có","SĐT sai định dạng; ","")&amp;IF($R905="Trùng","Trùng SĐT; ","")&amp;IF($Q905&lt;&gt;"Có","Thiếu đồng ý bắt buộc; ","")&amp;IF($L905="","Thiếu/sai Mã REF; ",IF(AND($L905="Chưa xác định",DANH_MUC!$L$9&lt;&gt;"Có"),"Nguồn chưa xác định; ","")))</f>
        <v/>
      </c>
      <c r="V905" s="22">
        <f>IF(OR($D905="",$R905="Trùng"),"",IF(COUNTIF(ORDERS!$C$2:$C$4995,$D905)&gt;0,"Có","Không"))</f>
        <v/>
      </c>
      <c r="W905" s="22">
        <f>IF(OR($D905="",$R905="Trùng"),"",COUNTIFS(ORDERS!$C$2:$C$4995,$D905,ORDERS!$L$2:$L$4995,"Đã chuyển khoản"))</f>
        <v/>
      </c>
      <c r="X905" s="23">
        <f>IF(OR($D905="",$R905="Trùng"),"",SUMIFS(ORDERS!$J$2:$J$4995,ORDERS!$C$2:$C$4995,$D905,ORDERS!$L$2:$L$4995,"Đã chuyển khoản"))</f>
        <v/>
      </c>
      <c r="Y905" s="24" t="n"/>
    </row>
    <row r="906" ht="14.25" customHeight="1" s="40">
      <c r="A906" s="24" t="n"/>
      <c r="B906" s="27" t="n"/>
      <c r="C906" s="24" t="n"/>
      <c r="D906" s="28" t="n"/>
      <c r="E906" s="29" t="n"/>
      <c r="F906" s="24" t="n"/>
      <c r="G906" s="24" t="n"/>
      <c r="H906" s="21">
        <f>IF(ISNUMBER($B906),INT($B906)-WEEKDAY($B906,2)+1,"")</f>
        <v/>
      </c>
      <c r="I906" s="24" t="n"/>
      <c r="J906" s="22">
        <f t="array" ref="J906">IF($D906="","",IF($I906="","(trống REF)",IFERROR(INDEX(MASTER_SOURCE!$B$2:$B$495,MATCH($I906,MASTER_SOURCE!$A$2:$A$495,0)),"(REF không có trong MASTER_SOURCE)")))</f>
        <v/>
      </c>
      <c r="K906" s="22">
        <f t="array" ref="K906">IF($D906="","",IFERROR(INDEX(MASTER_SOURCE!$C$2:$C$495,MATCH($I906,MASTER_SOURCE!$A$2:$A$495,0)),""))</f>
        <v/>
      </c>
      <c r="L906" s="22">
        <f t="array" ref="L906">IF($D906="","",IFERROR(INDEX(MASTER_SOURCE!$D$2:$D$495,MATCH($I906,MASTER_SOURCE!$A$2:$A$495,0)),""))</f>
        <v/>
      </c>
      <c r="M906" s="24" t="n"/>
      <c r="N906" s="24" t="n"/>
      <c r="O906" s="24" t="n"/>
      <c r="P906" s="24" t="n"/>
      <c r="Q906" s="22">
        <f>IF($D906="","",IF(AND(OR(DANH_MUC!$L$5&lt;&gt;"Có",M906="Có"),OR(DANH_MUC!$L$6&lt;&gt;"Có",N906="Có"),OR(DANH_MUC!$L$7&lt;&gt;"Có",O906="Có"),OR(DANH_MUC!$L$8&lt;&gt;"Có",P906="Có")),"Có","Không"))</f>
        <v/>
      </c>
      <c r="R906" s="22">
        <f>IF($D906="","",IF(COUNTIF($D$2:$D906,$D906)&gt;1,"Trùng",""))</f>
        <v/>
      </c>
      <c r="S906" s="22">
        <f>IF($D906="","",IF(AND(LEN($D906)=10,LEFT($D906,1)="0",ISNUMBER(--$D906)),"Có","Không"))</f>
        <v/>
      </c>
      <c r="T906" s="22">
        <f>IF($D906="","",IF(AND($C906&lt;&gt;"",$Q906="Có",$R906="",$S906="Có",AND($L906&lt;&gt;"",OR($L906&lt;&gt;"Chưa xác định",DANH_MUC!$L$9="Có"))),"Có","Không"))</f>
        <v/>
      </c>
      <c r="U906" s="22">
        <f>IF(OR($D906="",$T906="Có"),"",IF($C906="","Thiếu họ tên; ","")&amp;IF($S906&lt;&gt;"Có","SĐT sai định dạng; ","")&amp;IF($R906="Trùng","Trùng SĐT; ","")&amp;IF($Q906&lt;&gt;"Có","Thiếu đồng ý bắt buộc; ","")&amp;IF($L906="","Thiếu/sai Mã REF; ",IF(AND($L906="Chưa xác định",DANH_MUC!$L$9&lt;&gt;"Có"),"Nguồn chưa xác định; ","")))</f>
        <v/>
      </c>
      <c r="V906" s="22">
        <f>IF(OR($D906="",$R906="Trùng"),"",IF(COUNTIF(ORDERS!$C$2:$C$4995,$D906)&gt;0,"Có","Không"))</f>
        <v/>
      </c>
      <c r="W906" s="22">
        <f>IF(OR($D906="",$R906="Trùng"),"",COUNTIFS(ORDERS!$C$2:$C$4995,$D906,ORDERS!$L$2:$L$4995,"Đã chuyển khoản"))</f>
        <v/>
      </c>
      <c r="X906" s="23">
        <f>IF(OR($D906="",$R906="Trùng"),"",SUMIFS(ORDERS!$J$2:$J$4995,ORDERS!$C$2:$C$4995,$D906,ORDERS!$L$2:$L$4995,"Đã chuyển khoản"))</f>
        <v/>
      </c>
      <c r="Y906" s="24" t="n"/>
    </row>
    <row r="907" ht="14.25" customHeight="1" s="40">
      <c r="A907" s="24" t="n"/>
      <c r="B907" s="27" t="n"/>
      <c r="C907" s="24" t="n"/>
      <c r="D907" s="28" t="n"/>
      <c r="E907" s="29" t="n"/>
      <c r="F907" s="24" t="n"/>
      <c r="G907" s="24" t="n"/>
      <c r="H907" s="21">
        <f>IF(ISNUMBER($B907),INT($B907)-WEEKDAY($B907,2)+1,"")</f>
        <v/>
      </c>
      <c r="I907" s="24" t="n"/>
      <c r="J907" s="22">
        <f t="array" ref="J907">IF($D907="","",IF($I907="","(trống REF)",IFERROR(INDEX(MASTER_SOURCE!$B$2:$B$495,MATCH($I907,MASTER_SOURCE!$A$2:$A$495,0)),"(REF không có trong MASTER_SOURCE)")))</f>
        <v/>
      </c>
      <c r="K907" s="22">
        <f t="array" ref="K907">IF($D907="","",IFERROR(INDEX(MASTER_SOURCE!$C$2:$C$495,MATCH($I907,MASTER_SOURCE!$A$2:$A$495,0)),""))</f>
        <v/>
      </c>
      <c r="L907" s="22">
        <f t="array" ref="L907">IF($D907="","",IFERROR(INDEX(MASTER_SOURCE!$D$2:$D$495,MATCH($I907,MASTER_SOURCE!$A$2:$A$495,0)),""))</f>
        <v/>
      </c>
      <c r="M907" s="24" t="n"/>
      <c r="N907" s="24" t="n"/>
      <c r="O907" s="24" t="n"/>
      <c r="P907" s="24" t="n"/>
      <c r="Q907" s="22">
        <f>IF($D907="","",IF(AND(OR(DANH_MUC!$L$5&lt;&gt;"Có",M907="Có"),OR(DANH_MUC!$L$6&lt;&gt;"Có",N907="Có"),OR(DANH_MUC!$L$7&lt;&gt;"Có",O907="Có"),OR(DANH_MUC!$L$8&lt;&gt;"Có",P907="Có")),"Có","Không"))</f>
        <v/>
      </c>
      <c r="R907" s="22">
        <f>IF($D907="","",IF(COUNTIF($D$2:$D907,$D907)&gt;1,"Trùng",""))</f>
        <v/>
      </c>
      <c r="S907" s="22">
        <f>IF($D907="","",IF(AND(LEN($D907)=10,LEFT($D907,1)="0",ISNUMBER(--$D907)),"Có","Không"))</f>
        <v/>
      </c>
      <c r="T907" s="22">
        <f>IF($D907="","",IF(AND($C907&lt;&gt;"",$Q907="Có",$R907="",$S907="Có",AND($L907&lt;&gt;"",OR($L907&lt;&gt;"Chưa xác định",DANH_MUC!$L$9="Có"))),"Có","Không"))</f>
        <v/>
      </c>
      <c r="U907" s="22">
        <f>IF(OR($D907="",$T907="Có"),"",IF($C907="","Thiếu họ tên; ","")&amp;IF($S907&lt;&gt;"Có","SĐT sai định dạng; ","")&amp;IF($R907="Trùng","Trùng SĐT; ","")&amp;IF($Q907&lt;&gt;"Có","Thiếu đồng ý bắt buộc; ","")&amp;IF($L907="","Thiếu/sai Mã REF; ",IF(AND($L907="Chưa xác định",DANH_MUC!$L$9&lt;&gt;"Có"),"Nguồn chưa xác định; ","")))</f>
        <v/>
      </c>
      <c r="V907" s="22">
        <f>IF(OR($D907="",$R907="Trùng"),"",IF(COUNTIF(ORDERS!$C$2:$C$4995,$D907)&gt;0,"Có","Không"))</f>
        <v/>
      </c>
      <c r="W907" s="22">
        <f>IF(OR($D907="",$R907="Trùng"),"",COUNTIFS(ORDERS!$C$2:$C$4995,$D907,ORDERS!$L$2:$L$4995,"Đã chuyển khoản"))</f>
        <v/>
      </c>
      <c r="X907" s="23">
        <f>IF(OR($D907="",$R907="Trùng"),"",SUMIFS(ORDERS!$J$2:$J$4995,ORDERS!$C$2:$C$4995,$D907,ORDERS!$L$2:$L$4995,"Đã chuyển khoản"))</f>
        <v/>
      </c>
      <c r="Y907" s="24" t="n"/>
    </row>
    <row r="908" ht="14.25" customHeight="1" s="40">
      <c r="A908" s="24" t="n"/>
      <c r="B908" s="27" t="n"/>
      <c r="C908" s="24" t="n"/>
      <c r="D908" s="28" t="n"/>
      <c r="E908" s="29" t="n"/>
      <c r="F908" s="24" t="n"/>
      <c r="G908" s="24" t="n"/>
      <c r="H908" s="21">
        <f>IF(ISNUMBER($B908),INT($B908)-WEEKDAY($B908,2)+1,"")</f>
        <v/>
      </c>
      <c r="I908" s="24" t="n"/>
      <c r="J908" s="22">
        <f t="array" ref="J908">IF($D908="","",IF($I908="","(trống REF)",IFERROR(INDEX(MASTER_SOURCE!$B$2:$B$495,MATCH($I908,MASTER_SOURCE!$A$2:$A$495,0)),"(REF không có trong MASTER_SOURCE)")))</f>
        <v/>
      </c>
      <c r="K908" s="22">
        <f t="array" ref="K908">IF($D908="","",IFERROR(INDEX(MASTER_SOURCE!$C$2:$C$495,MATCH($I908,MASTER_SOURCE!$A$2:$A$495,0)),""))</f>
        <v/>
      </c>
      <c r="L908" s="22">
        <f t="array" ref="L908">IF($D908="","",IFERROR(INDEX(MASTER_SOURCE!$D$2:$D$495,MATCH($I908,MASTER_SOURCE!$A$2:$A$495,0)),""))</f>
        <v/>
      </c>
      <c r="M908" s="24" t="n"/>
      <c r="N908" s="24" t="n"/>
      <c r="O908" s="24" t="n"/>
      <c r="P908" s="24" t="n"/>
      <c r="Q908" s="22">
        <f>IF($D908="","",IF(AND(OR(DANH_MUC!$L$5&lt;&gt;"Có",M908="Có"),OR(DANH_MUC!$L$6&lt;&gt;"Có",N908="Có"),OR(DANH_MUC!$L$7&lt;&gt;"Có",O908="Có"),OR(DANH_MUC!$L$8&lt;&gt;"Có",P908="Có")),"Có","Không"))</f>
        <v/>
      </c>
      <c r="R908" s="22">
        <f>IF($D908="","",IF(COUNTIF($D$2:$D908,$D908)&gt;1,"Trùng",""))</f>
        <v/>
      </c>
      <c r="S908" s="22">
        <f>IF($D908="","",IF(AND(LEN($D908)=10,LEFT($D908,1)="0",ISNUMBER(--$D908)),"Có","Không"))</f>
        <v/>
      </c>
      <c r="T908" s="22">
        <f>IF($D908="","",IF(AND($C908&lt;&gt;"",$Q908="Có",$R908="",$S908="Có",AND($L908&lt;&gt;"",OR($L908&lt;&gt;"Chưa xác định",DANH_MUC!$L$9="Có"))),"Có","Không"))</f>
        <v/>
      </c>
      <c r="U908" s="22">
        <f>IF(OR($D908="",$T908="Có"),"",IF($C908="","Thiếu họ tên; ","")&amp;IF($S908&lt;&gt;"Có","SĐT sai định dạng; ","")&amp;IF($R908="Trùng","Trùng SĐT; ","")&amp;IF($Q908&lt;&gt;"Có","Thiếu đồng ý bắt buộc; ","")&amp;IF($L908="","Thiếu/sai Mã REF; ",IF(AND($L908="Chưa xác định",DANH_MUC!$L$9&lt;&gt;"Có"),"Nguồn chưa xác định; ","")))</f>
        <v/>
      </c>
      <c r="V908" s="22">
        <f>IF(OR($D908="",$R908="Trùng"),"",IF(COUNTIF(ORDERS!$C$2:$C$4995,$D908)&gt;0,"Có","Không"))</f>
        <v/>
      </c>
      <c r="W908" s="22">
        <f>IF(OR($D908="",$R908="Trùng"),"",COUNTIFS(ORDERS!$C$2:$C$4995,$D908,ORDERS!$L$2:$L$4995,"Đã chuyển khoản"))</f>
        <v/>
      </c>
      <c r="X908" s="23">
        <f>IF(OR($D908="",$R908="Trùng"),"",SUMIFS(ORDERS!$J$2:$J$4995,ORDERS!$C$2:$C$4995,$D908,ORDERS!$L$2:$L$4995,"Đã chuyển khoản"))</f>
        <v/>
      </c>
      <c r="Y908" s="24" t="n"/>
    </row>
    <row r="909" ht="14.25" customHeight="1" s="40">
      <c r="A909" s="24" t="n"/>
      <c r="B909" s="27" t="n"/>
      <c r="C909" s="24" t="n"/>
      <c r="D909" s="28" t="n"/>
      <c r="E909" s="29" t="n"/>
      <c r="F909" s="24" t="n"/>
      <c r="G909" s="24" t="n"/>
      <c r="H909" s="21">
        <f>IF(ISNUMBER($B909),INT($B909)-WEEKDAY($B909,2)+1,"")</f>
        <v/>
      </c>
      <c r="I909" s="24" t="n"/>
      <c r="J909" s="22">
        <f t="array" ref="J909">IF($D909="","",IF($I909="","(trống REF)",IFERROR(INDEX(MASTER_SOURCE!$B$2:$B$495,MATCH($I909,MASTER_SOURCE!$A$2:$A$495,0)),"(REF không có trong MASTER_SOURCE)")))</f>
        <v/>
      </c>
      <c r="K909" s="22">
        <f t="array" ref="K909">IF($D909="","",IFERROR(INDEX(MASTER_SOURCE!$C$2:$C$495,MATCH($I909,MASTER_SOURCE!$A$2:$A$495,0)),""))</f>
        <v/>
      </c>
      <c r="L909" s="22">
        <f t="array" ref="L909">IF($D909="","",IFERROR(INDEX(MASTER_SOURCE!$D$2:$D$495,MATCH($I909,MASTER_SOURCE!$A$2:$A$495,0)),""))</f>
        <v/>
      </c>
      <c r="M909" s="24" t="n"/>
      <c r="N909" s="24" t="n"/>
      <c r="O909" s="24" t="n"/>
      <c r="P909" s="24" t="n"/>
      <c r="Q909" s="22">
        <f>IF($D909="","",IF(AND(OR(DANH_MUC!$L$5&lt;&gt;"Có",M909="Có"),OR(DANH_MUC!$L$6&lt;&gt;"Có",N909="Có"),OR(DANH_MUC!$L$7&lt;&gt;"Có",O909="Có"),OR(DANH_MUC!$L$8&lt;&gt;"Có",P909="Có")),"Có","Không"))</f>
        <v/>
      </c>
      <c r="R909" s="22">
        <f>IF($D909="","",IF(COUNTIF($D$2:$D909,$D909)&gt;1,"Trùng",""))</f>
        <v/>
      </c>
      <c r="S909" s="22">
        <f>IF($D909="","",IF(AND(LEN($D909)=10,LEFT($D909,1)="0",ISNUMBER(--$D909)),"Có","Không"))</f>
        <v/>
      </c>
      <c r="T909" s="22">
        <f>IF($D909="","",IF(AND($C909&lt;&gt;"",$Q909="Có",$R909="",$S909="Có",AND($L909&lt;&gt;"",OR($L909&lt;&gt;"Chưa xác định",DANH_MUC!$L$9="Có"))),"Có","Không"))</f>
        <v/>
      </c>
      <c r="U909" s="22">
        <f>IF(OR($D909="",$T909="Có"),"",IF($C909="","Thiếu họ tên; ","")&amp;IF($S909&lt;&gt;"Có","SĐT sai định dạng; ","")&amp;IF($R909="Trùng","Trùng SĐT; ","")&amp;IF($Q909&lt;&gt;"Có","Thiếu đồng ý bắt buộc; ","")&amp;IF($L909="","Thiếu/sai Mã REF; ",IF(AND($L909="Chưa xác định",DANH_MUC!$L$9&lt;&gt;"Có"),"Nguồn chưa xác định; ","")))</f>
        <v/>
      </c>
      <c r="V909" s="22">
        <f>IF(OR($D909="",$R909="Trùng"),"",IF(COUNTIF(ORDERS!$C$2:$C$4995,$D909)&gt;0,"Có","Không"))</f>
        <v/>
      </c>
      <c r="W909" s="22">
        <f>IF(OR($D909="",$R909="Trùng"),"",COUNTIFS(ORDERS!$C$2:$C$4995,$D909,ORDERS!$L$2:$L$4995,"Đã chuyển khoản"))</f>
        <v/>
      </c>
      <c r="X909" s="23">
        <f>IF(OR($D909="",$R909="Trùng"),"",SUMIFS(ORDERS!$J$2:$J$4995,ORDERS!$C$2:$C$4995,$D909,ORDERS!$L$2:$L$4995,"Đã chuyển khoản"))</f>
        <v/>
      </c>
      <c r="Y909" s="24" t="n"/>
    </row>
    <row r="910" ht="14.25" customHeight="1" s="40">
      <c r="A910" s="24" t="n"/>
      <c r="B910" s="27" t="n"/>
      <c r="C910" s="24" t="n"/>
      <c r="D910" s="28" t="n"/>
      <c r="E910" s="29" t="n"/>
      <c r="F910" s="24" t="n"/>
      <c r="G910" s="24" t="n"/>
      <c r="H910" s="21">
        <f>IF(ISNUMBER($B910),INT($B910)-WEEKDAY($B910,2)+1,"")</f>
        <v/>
      </c>
      <c r="I910" s="24" t="n"/>
      <c r="J910" s="22">
        <f t="array" ref="J910">IF($D910="","",IF($I910="","(trống REF)",IFERROR(INDEX(MASTER_SOURCE!$B$2:$B$495,MATCH($I910,MASTER_SOURCE!$A$2:$A$495,0)),"(REF không có trong MASTER_SOURCE)")))</f>
        <v/>
      </c>
      <c r="K910" s="22">
        <f t="array" ref="K910">IF($D910="","",IFERROR(INDEX(MASTER_SOURCE!$C$2:$C$495,MATCH($I910,MASTER_SOURCE!$A$2:$A$495,0)),""))</f>
        <v/>
      </c>
      <c r="L910" s="22">
        <f t="array" ref="L910">IF($D910="","",IFERROR(INDEX(MASTER_SOURCE!$D$2:$D$495,MATCH($I910,MASTER_SOURCE!$A$2:$A$495,0)),""))</f>
        <v/>
      </c>
      <c r="M910" s="24" t="n"/>
      <c r="N910" s="24" t="n"/>
      <c r="O910" s="24" t="n"/>
      <c r="P910" s="24" t="n"/>
      <c r="Q910" s="22">
        <f>IF($D910="","",IF(AND(OR(DANH_MUC!$L$5&lt;&gt;"Có",M910="Có"),OR(DANH_MUC!$L$6&lt;&gt;"Có",N910="Có"),OR(DANH_MUC!$L$7&lt;&gt;"Có",O910="Có"),OR(DANH_MUC!$L$8&lt;&gt;"Có",P910="Có")),"Có","Không"))</f>
        <v/>
      </c>
      <c r="R910" s="22">
        <f>IF($D910="","",IF(COUNTIF($D$2:$D910,$D910)&gt;1,"Trùng",""))</f>
        <v/>
      </c>
      <c r="S910" s="22">
        <f>IF($D910="","",IF(AND(LEN($D910)=10,LEFT($D910,1)="0",ISNUMBER(--$D910)),"Có","Không"))</f>
        <v/>
      </c>
      <c r="T910" s="22">
        <f>IF($D910="","",IF(AND($C910&lt;&gt;"",$Q910="Có",$R910="",$S910="Có",AND($L910&lt;&gt;"",OR($L910&lt;&gt;"Chưa xác định",DANH_MUC!$L$9="Có"))),"Có","Không"))</f>
        <v/>
      </c>
      <c r="U910" s="22">
        <f>IF(OR($D910="",$T910="Có"),"",IF($C910="","Thiếu họ tên; ","")&amp;IF($S910&lt;&gt;"Có","SĐT sai định dạng; ","")&amp;IF($R910="Trùng","Trùng SĐT; ","")&amp;IF($Q910&lt;&gt;"Có","Thiếu đồng ý bắt buộc; ","")&amp;IF($L910="","Thiếu/sai Mã REF; ",IF(AND($L910="Chưa xác định",DANH_MUC!$L$9&lt;&gt;"Có"),"Nguồn chưa xác định; ","")))</f>
        <v/>
      </c>
      <c r="V910" s="22">
        <f>IF(OR($D910="",$R910="Trùng"),"",IF(COUNTIF(ORDERS!$C$2:$C$4995,$D910)&gt;0,"Có","Không"))</f>
        <v/>
      </c>
      <c r="W910" s="22">
        <f>IF(OR($D910="",$R910="Trùng"),"",COUNTIFS(ORDERS!$C$2:$C$4995,$D910,ORDERS!$L$2:$L$4995,"Đã chuyển khoản"))</f>
        <v/>
      </c>
      <c r="X910" s="23">
        <f>IF(OR($D910="",$R910="Trùng"),"",SUMIFS(ORDERS!$J$2:$J$4995,ORDERS!$C$2:$C$4995,$D910,ORDERS!$L$2:$L$4995,"Đã chuyển khoản"))</f>
        <v/>
      </c>
      <c r="Y910" s="24" t="n"/>
    </row>
    <row r="911" ht="14.25" customHeight="1" s="40">
      <c r="A911" s="24" t="n"/>
      <c r="B911" s="27" t="n"/>
      <c r="C911" s="24" t="n"/>
      <c r="D911" s="28" t="n"/>
      <c r="E911" s="29" t="n"/>
      <c r="F911" s="24" t="n"/>
      <c r="G911" s="24" t="n"/>
      <c r="H911" s="21">
        <f>IF(ISNUMBER($B911),INT($B911)-WEEKDAY($B911,2)+1,"")</f>
        <v/>
      </c>
      <c r="I911" s="24" t="n"/>
      <c r="J911" s="22">
        <f t="array" ref="J911">IF($D911="","",IF($I911="","(trống REF)",IFERROR(INDEX(MASTER_SOURCE!$B$2:$B$495,MATCH($I911,MASTER_SOURCE!$A$2:$A$495,0)),"(REF không có trong MASTER_SOURCE)")))</f>
        <v/>
      </c>
      <c r="K911" s="22">
        <f t="array" ref="K911">IF($D911="","",IFERROR(INDEX(MASTER_SOURCE!$C$2:$C$495,MATCH($I911,MASTER_SOURCE!$A$2:$A$495,0)),""))</f>
        <v/>
      </c>
      <c r="L911" s="22">
        <f t="array" ref="L911">IF($D911="","",IFERROR(INDEX(MASTER_SOURCE!$D$2:$D$495,MATCH($I911,MASTER_SOURCE!$A$2:$A$495,0)),""))</f>
        <v/>
      </c>
      <c r="M911" s="24" t="n"/>
      <c r="N911" s="24" t="n"/>
      <c r="O911" s="24" t="n"/>
      <c r="P911" s="24" t="n"/>
      <c r="Q911" s="22">
        <f>IF($D911="","",IF(AND(OR(DANH_MUC!$L$5&lt;&gt;"Có",M911="Có"),OR(DANH_MUC!$L$6&lt;&gt;"Có",N911="Có"),OR(DANH_MUC!$L$7&lt;&gt;"Có",O911="Có"),OR(DANH_MUC!$L$8&lt;&gt;"Có",P911="Có")),"Có","Không"))</f>
        <v/>
      </c>
      <c r="R911" s="22">
        <f>IF($D911="","",IF(COUNTIF($D$2:$D911,$D911)&gt;1,"Trùng",""))</f>
        <v/>
      </c>
      <c r="S911" s="22">
        <f>IF($D911="","",IF(AND(LEN($D911)=10,LEFT($D911,1)="0",ISNUMBER(--$D911)),"Có","Không"))</f>
        <v/>
      </c>
      <c r="T911" s="22">
        <f>IF($D911="","",IF(AND($C911&lt;&gt;"",$Q911="Có",$R911="",$S911="Có",AND($L911&lt;&gt;"",OR($L911&lt;&gt;"Chưa xác định",DANH_MUC!$L$9="Có"))),"Có","Không"))</f>
        <v/>
      </c>
      <c r="U911" s="22">
        <f>IF(OR($D911="",$T911="Có"),"",IF($C911="","Thiếu họ tên; ","")&amp;IF($S911&lt;&gt;"Có","SĐT sai định dạng; ","")&amp;IF($R911="Trùng","Trùng SĐT; ","")&amp;IF($Q911&lt;&gt;"Có","Thiếu đồng ý bắt buộc; ","")&amp;IF($L911="","Thiếu/sai Mã REF; ",IF(AND($L911="Chưa xác định",DANH_MUC!$L$9&lt;&gt;"Có"),"Nguồn chưa xác định; ","")))</f>
        <v/>
      </c>
      <c r="V911" s="22">
        <f>IF(OR($D911="",$R911="Trùng"),"",IF(COUNTIF(ORDERS!$C$2:$C$4995,$D911)&gt;0,"Có","Không"))</f>
        <v/>
      </c>
      <c r="W911" s="22">
        <f>IF(OR($D911="",$R911="Trùng"),"",COUNTIFS(ORDERS!$C$2:$C$4995,$D911,ORDERS!$L$2:$L$4995,"Đã chuyển khoản"))</f>
        <v/>
      </c>
      <c r="X911" s="23">
        <f>IF(OR($D911="",$R911="Trùng"),"",SUMIFS(ORDERS!$J$2:$J$4995,ORDERS!$C$2:$C$4995,$D911,ORDERS!$L$2:$L$4995,"Đã chuyển khoản"))</f>
        <v/>
      </c>
      <c r="Y911" s="24" t="n"/>
    </row>
    <row r="912" ht="14.25" customHeight="1" s="40">
      <c r="A912" s="24" t="n"/>
      <c r="B912" s="27" t="n"/>
      <c r="C912" s="24" t="n"/>
      <c r="D912" s="28" t="n"/>
      <c r="E912" s="29" t="n"/>
      <c r="F912" s="24" t="n"/>
      <c r="G912" s="24" t="n"/>
      <c r="H912" s="21">
        <f>IF(ISNUMBER($B912),INT($B912)-WEEKDAY($B912,2)+1,"")</f>
        <v/>
      </c>
      <c r="I912" s="24" t="n"/>
      <c r="J912" s="22">
        <f t="array" ref="J912">IF($D912="","",IF($I912="","(trống REF)",IFERROR(INDEX(MASTER_SOURCE!$B$2:$B$495,MATCH($I912,MASTER_SOURCE!$A$2:$A$495,0)),"(REF không có trong MASTER_SOURCE)")))</f>
        <v/>
      </c>
      <c r="K912" s="22">
        <f t="array" ref="K912">IF($D912="","",IFERROR(INDEX(MASTER_SOURCE!$C$2:$C$495,MATCH($I912,MASTER_SOURCE!$A$2:$A$495,0)),""))</f>
        <v/>
      </c>
      <c r="L912" s="22">
        <f t="array" ref="L912">IF($D912="","",IFERROR(INDEX(MASTER_SOURCE!$D$2:$D$495,MATCH($I912,MASTER_SOURCE!$A$2:$A$495,0)),""))</f>
        <v/>
      </c>
      <c r="M912" s="24" t="n"/>
      <c r="N912" s="24" t="n"/>
      <c r="O912" s="24" t="n"/>
      <c r="P912" s="24" t="n"/>
      <c r="Q912" s="22">
        <f>IF($D912="","",IF(AND(OR(DANH_MUC!$L$5&lt;&gt;"Có",M912="Có"),OR(DANH_MUC!$L$6&lt;&gt;"Có",N912="Có"),OR(DANH_MUC!$L$7&lt;&gt;"Có",O912="Có"),OR(DANH_MUC!$L$8&lt;&gt;"Có",P912="Có")),"Có","Không"))</f>
        <v/>
      </c>
      <c r="R912" s="22">
        <f>IF($D912="","",IF(COUNTIF($D$2:$D912,$D912)&gt;1,"Trùng",""))</f>
        <v/>
      </c>
      <c r="S912" s="22">
        <f>IF($D912="","",IF(AND(LEN($D912)=10,LEFT($D912,1)="0",ISNUMBER(--$D912)),"Có","Không"))</f>
        <v/>
      </c>
      <c r="T912" s="22">
        <f>IF($D912="","",IF(AND($C912&lt;&gt;"",$Q912="Có",$R912="",$S912="Có",AND($L912&lt;&gt;"",OR($L912&lt;&gt;"Chưa xác định",DANH_MUC!$L$9="Có"))),"Có","Không"))</f>
        <v/>
      </c>
      <c r="U912" s="22">
        <f>IF(OR($D912="",$T912="Có"),"",IF($C912="","Thiếu họ tên; ","")&amp;IF($S912&lt;&gt;"Có","SĐT sai định dạng; ","")&amp;IF($R912="Trùng","Trùng SĐT; ","")&amp;IF($Q912&lt;&gt;"Có","Thiếu đồng ý bắt buộc; ","")&amp;IF($L912="","Thiếu/sai Mã REF; ",IF(AND($L912="Chưa xác định",DANH_MUC!$L$9&lt;&gt;"Có"),"Nguồn chưa xác định; ","")))</f>
        <v/>
      </c>
      <c r="V912" s="22">
        <f>IF(OR($D912="",$R912="Trùng"),"",IF(COUNTIF(ORDERS!$C$2:$C$4995,$D912)&gt;0,"Có","Không"))</f>
        <v/>
      </c>
      <c r="W912" s="22">
        <f>IF(OR($D912="",$R912="Trùng"),"",COUNTIFS(ORDERS!$C$2:$C$4995,$D912,ORDERS!$L$2:$L$4995,"Đã chuyển khoản"))</f>
        <v/>
      </c>
      <c r="X912" s="23">
        <f>IF(OR($D912="",$R912="Trùng"),"",SUMIFS(ORDERS!$J$2:$J$4995,ORDERS!$C$2:$C$4995,$D912,ORDERS!$L$2:$L$4995,"Đã chuyển khoản"))</f>
        <v/>
      </c>
      <c r="Y912" s="24" t="n"/>
    </row>
    <row r="913" ht="14.25" customHeight="1" s="40">
      <c r="A913" s="24" t="n"/>
      <c r="B913" s="27" t="n"/>
      <c r="C913" s="24" t="n"/>
      <c r="D913" s="28" t="n"/>
      <c r="E913" s="29" t="n"/>
      <c r="F913" s="24" t="n"/>
      <c r="G913" s="24" t="n"/>
      <c r="H913" s="21">
        <f>IF(ISNUMBER($B913),INT($B913)-WEEKDAY($B913,2)+1,"")</f>
        <v/>
      </c>
      <c r="I913" s="24" t="n"/>
      <c r="J913" s="22">
        <f t="array" ref="J913">IF($D913="","",IF($I913="","(trống REF)",IFERROR(INDEX(MASTER_SOURCE!$B$2:$B$495,MATCH($I913,MASTER_SOURCE!$A$2:$A$495,0)),"(REF không có trong MASTER_SOURCE)")))</f>
        <v/>
      </c>
      <c r="K913" s="22">
        <f t="array" ref="K913">IF($D913="","",IFERROR(INDEX(MASTER_SOURCE!$C$2:$C$495,MATCH($I913,MASTER_SOURCE!$A$2:$A$495,0)),""))</f>
        <v/>
      </c>
      <c r="L913" s="22">
        <f t="array" ref="L913">IF($D913="","",IFERROR(INDEX(MASTER_SOURCE!$D$2:$D$495,MATCH($I913,MASTER_SOURCE!$A$2:$A$495,0)),""))</f>
        <v/>
      </c>
      <c r="M913" s="24" t="n"/>
      <c r="N913" s="24" t="n"/>
      <c r="O913" s="24" t="n"/>
      <c r="P913" s="24" t="n"/>
      <c r="Q913" s="22">
        <f>IF($D913="","",IF(AND(OR(DANH_MUC!$L$5&lt;&gt;"Có",M913="Có"),OR(DANH_MUC!$L$6&lt;&gt;"Có",N913="Có"),OR(DANH_MUC!$L$7&lt;&gt;"Có",O913="Có"),OR(DANH_MUC!$L$8&lt;&gt;"Có",P913="Có")),"Có","Không"))</f>
        <v/>
      </c>
      <c r="R913" s="22">
        <f>IF($D913="","",IF(COUNTIF($D$2:$D913,$D913)&gt;1,"Trùng",""))</f>
        <v/>
      </c>
      <c r="S913" s="22">
        <f>IF($D913="","",IF(AND(LEN($D913)=10,LEFT($D913,1)="0",ISNUMBER(--$D913)),"Có","Không"))</f>
        <v/>
      </c>
      <c r="T913" s="22">
        <f>IF($D913="","",IF(AND($C913&lt;&gt;"",$Q913="Có",$R913="",$S913="Có",AND($L913&lt;&gt;"",OR($L913&lt;&gt;"Chưa xác định",DANH_MUC!$L$9="Có"))),"Có","Không"))</f>
        <v/>
      </c>
      <c r="U913" s="22">
        <f>IF(OR($D913="",$T913="Có"),"",IF($C913="","Thiếu họ tên; ","")&amp;IF($S913&lt;&gt;"Có","SĐT sai định dạng; ","")&amp;IF($R913="Trùng","Trùng SĐT; ","")&amp;IF($Q913&lt;&gt;"Có","Thiếu đồng ý bắt buộc; ","")&amp;IF($L913="","Thiếu/sai Mã REF; ",IF(AND($L913="Chưa xác định",DANH_MUC!$L$9&lt;&gt;"Có"),"Nguồn chưa xác định; ","")))</f>
        <v/>
      </c>
      <c r="V913" s="22">
        <f>IF(OR($D913="",$R913="Trùng"),"",IF(COUNTIF(ORDERS!$C$2:$C$4995,$D913)&gt;0,"Có","Không"))</f>
        <v/>
      </c>
      <c r="W913" s="22">
        <f>IF(OR($D913="",$R913="Trùng"),"",COUNTIFS(ORDERS!$C$2:$C$4995,$D913,ORDERS!$L$2:$L$4995,"Đã chuyển khoản"))</f>
        <v/>
      </c>
      <c r="X913" s="23">
        <f>IF(OR($D913="",$R913="Trùng"),"",SUMIFS(ORDERS!$J$2:$J$4995,ORDERS!$C$2:$C$4995,$D913,ORDERS!$L$2:$L$4995,"Đã chuyển khoản"))</f>
        <v/>
      </c>
      <c r="Y913" s="24" t="n"/>
    </row>
    <row r="914" ht="14.25" customHeight="1" s="40">
      <c r="A914" s="24" t="n"/>
      <c r="B914" s="27" t="n"/>
      <c r="C914" s="24" t="n"/>
      <c r="D914" s="28" t="n"/>
      <c r="E914" s="29" t="n"/>
      <c r="F914" s="24" t="n"/>
      <c r="G914" s="24" t="n"/>
      <c r="H914" s="21">
        <f>IF(ISNUMBER($B914),INT($B914)-WEEKDAY($B914,2)+1,"")</f>
        <v/>
      </c>
      <c r="I914" s="24" t="n"/>
      <c r="J914" s="22">
        <f t="array" ref="J914">IF($D914="","",IF($I914="","(trống REF)",IFERROR(INDEX(MASTER_SOURCE!$B$2:$B$495,MATCH($I914,MASTER_SOURCE!$A$2:$A$495,0)),"(REF không có trong MASTER_SOURCE)")))</f>
        <v/>
      </c>
      <c r="K914" s="22">
        <f t="array" ref="K914">IF($D914="","",IFERROR(INDEX(MASTER_SOURCE!$C$2:$C$495,MATCH($I914,MASTER_SOURCE!$A$2:$A$495,0)),""))</f>
        <v/>
      </c>
      <c r="L914" s="22">
        <f t="array" ref="L914">IF($D914="","",IFERROR(INDEX(MASTER_SOURCE!$D$2:$D$495,MATCH($I914,MASTER_SOURCE!$A$2:$A$495,0)),""))</f>
        <v/>
      </c>
      <c r="M914" s="24" t="n"/>
      <c r="N914" s="24" t="n"/>
      <c r="O914" s="24" t="n"/>
      <c r="P914" s="24" t="n"/>
      <c r="Q914" s="22">
        <f>IF($D914="","",IF(AND(OR(DANH_MUC!$L$5&lt;&gt;"Có",M914="Có"),OR(DANH_MUC!$L$6&lt;&gt;"Có",N914="Có"),OR(DANH_MUC!$L$7&lt;&gt;"Có",O914="Có"),OR(DANH_MUC!$L$8&lt;&gt;"Có",P914="Có")),"Có","Không"))</f>
        <v/>
      </c>
      <c r="R914" s="22">
        <f>IF($D914="","",IF(COUNTIF($D$2:$D914,$D914)&gt;1,"Trùng",""))</f>
        <v/>
      </c>
      <c r="S914" s="22">
        <f>IF($D914="","",IF(AND(LEN($D914)=10,LEFT($D914,1)="0",ISNUMBER(--$D914)),"Có","Không"))</f>
        <v/>
      </c>
      <c r="T914" s="22">
        <f>IF($D914="","",IF(AND($C914&lt;&gt;"",$Q914="Có",$R914="",$S914="Có",AND($L914&lt;&gt;"",OR($L914&lt;&gt;"Chưa xác định",DANH_MUC!$L$9="Có"))),"Có","Không"))</f>
        <v/>
      </c>
      <c r="U914" s="22">
        <f>IF(OR($D914="",$T914="Có"),"",IF($C914="","Thiếu họ tên; ","")&amp;IF($S914&lt;&gt;"Có","SĐT sai định dạng; ","")&amp;IF($R914="Trùng","Trùng SĐT; ","")&amp;IF($Q914&lt;&gt;"Có","Thiếu đồng ý bắt buộc; ","")&amp;IF($L914="","Thiếu/sai Mã REF; ",IF(AND($L914="Chưa xác định",DANH_MUC!$L$9&lt;&gt;"Có"),"Nguồn chưa xác định; ","")))</f>
        <v/>
      </c>
      <c r="V914" s="22">
        <f>IF(OR($D914="",$R914="Trùng"),"",IF(COUNTIF(ORDERS!$C$2:$C$4995,$D914)&gt;0,"Có","Không"))</f>
        <v/>
      </c>
      <c r="W914" s="22">
        <f>IF(OR($D914="",$R914="Trùng"),"",COUNTIFS(ORDERS!$C$2:$C$4995,$D914,ORDERS!$L$2:$L$4995,"Đã chuyển khoản"))</f>
        <v/>
      </c>
      <c r="X914" s="23">
        <f>IF(OR($D914="",$R914="Trùng"),"",SUMIFS(ORDERS!$J$2:$J$4995,ORDERS!$C$2:$C$4995,$D914,ORDERS!$L$2:$L$4995,"Đã chuyển khoản"))</f>
        <v/>
      </c>
      <c r="Y914" s="24" t="n"/>
    </row>
    <row r="915" ht="14.25" customHeight="1" s="40">
      <c r="A915" s="24" t="n"/>
      <c r="B915" s="27" t="n"/>
      <c r="C915" s="24" t="n"/>
      <c r="D915" s="28" t="n"/>
      <c r="E915" s="29" t="n"/>
      <c r="F915" s="24" t="n"/>
      <c r="G915" s="24" t="n"/>
      <c r="H915" s="21">
        <f>IF(ISNUMBER($B915),INT($B915)-WEEKDAY($B915,2)+1,"")</f>
        <v/>
      </c>
      <c r="I915" s="24" t="n"/>
      <c r="J915" s="22">
        <f t="array" ref="J915">IF($D915="","",IF($I915="","(trống REF)",IFERROR(INDEX(MASTER_SOURCE!$B$2:$B$495,MATCH($I915,MASTER_SOURCE!$A$2:$A$495,0)),"(REF không có trong MASTER_SOURCE)")))</f>
        <v/>
      </c>
      <c r="K915" s="22">
        <f t="array" ref="K915">IF($D915="","",IFERROR(INDEX(MASTER_SOURCE!$C$2:$C$495,MATCH($I915,MASTER_SOURCE!$A$2:$A$495,0)),""))</f>
        <v/>
      </c>
      <c r="L915" s="22">
        <f t="array" ref="L915">IF($D915="","",IFERROR(INDEX(MASTER_SOURCE!$D$2:$D$495,MATCH($I915,MASTER_SOURCE!$A$2:$A$495,0)),""))</f>
        <v/>
      </c>
      <c r="M915" s="24" t="n"/>
      <c r="N915" s="24" t="n"/>
      <c r="O915" s="24" t="n"/>
      <c r="P915" s="24" t="n"/>
      <c r="Q915" s="22">
        <f>IF($D915="","",IF(AND(OR(DANH_MUC!$L$5&lt;&gt;"Có",M915="Có"),OR(DANH_MUC!$L$6&lt;&gt;"Có",N915="Có"),OR(DANH_MUC!$L$7&lt;&gt;"Có",O915="Có"),OR(DANH_MUC!$L$8&lt;&gt;"Có",P915="Có")),"Có","Không"))</f>
        <v/>
      </c>
      <c r="R915" s="22">
        <f>IF($D915="","",IF(COUNTIF($D$2:$D915,$D915)&gt;1,"Trùng",""))</f>
        <v/>
      </c>
      <c r="S915" s="22">
        <f>IF($D915="","",IF(AND(LEN($D915)=10,LEFT($D915,1)="0",ISNUMBER(--$D915)),"Có","Không"))</f>
        <v/>
      </c>
      <c r="T915" s="22">
        <f>IF($D915="","",IF(AND($C915&lt;&gt;"",$Q915="Có",$R915="",$S915="Có",AND($L915&lt;&gt;"",OR($L915&lt;&gt;"Chưa xác định",DANH_MUC!$L$9="Có"))),"Có","Không"))</f>
        <v/>
      </c>
      <c r="U915" s="22">
        <f>IF(OR($D915="",$T915="Có"),"",IF($C915="","Thiếu họ tên; ","")&amp;IF($S915&lt;&gt;"Có","SĐT sai định dạng; ","")&amp;IF($R915="Trùng","Trùng SĐT; ","")&amp;IF($Q915&lt;&gt;"Có","Thiếu đồng ý bắt buộc; ","")&amp;IF($L915="","Thiếu/sai Mã REF; ",IF(AND($L915="Chưa xác định",DANH_MUC!$L$9&lt;&gt;"Có"),"Nguồn chưa xác định; ","")))</f>
        <v/>
      </c>
      <c r="V915" s="22">
        <f>IF(OR($D915="",$R915="Trùng"),"",IF(COUNTIF(ORDERS!$C$2:$C$4995,$D915)&gt;0,"Có","Không"))</f>
        <v/>
      </c>
      <c r="W915" s="22">
        <f>IF(OR($D915="",$R915="Trùng"),"",COUNTIFS(ORDERS!$C$2:$C$4995,$D915,ORDERS!$L$2:$L$4995,"Đã chuyển khoản"))</f>
        <v/>
      </c>
      <c r="X915" s="23">
        <f>IF(OR($D915="",$R915="Trùng"),"",SUMIFS(ORDERS!$J$2:$J$4995,ORDERS!$C$2:$C$4995,$D915,ORDERS!$L$2:$L$4995,"Đã chuyển khoản"))</f>
        <v/>
      </c>
      <c r="Y915" s="24" t="n"/>
    </row>
    <row r="916" ht="14.25" customHeight="1" s="40">
      <c r="A916" s="24" t="n"/>
      <c r="B916" s="27" t="n"/>
      <c r="C916" s="24" t="n"/>
      <c r="D916" s="28" t="n"/>
      <c r="E916" s="29" t="n"/>
      <c r="F916" s="24" t="n"/>
      <c r="G916" s="24" t="n"/>
      <c r="H916" s="21">
        <f>IF(ISNUMBER($B916),INT($B916)-WEEKDAY($B916,2)+1,"")</f>
        <v/>
      </c>
      <c r="I916" s="24" t="n"/>
      <c r="J916" s="22">
        <f t="array" ref="J916">IF($D916="","",IF($I916="","(trống REF)",IFERROR(INDEX(MASTER_SOURCE!$B$2:$B$495,MATCH($I916,MASTER_SOURCE!$A$2:$A$495,0)),"(REF không có trong MASTER_SOURCE)")))</f>
        <v/>
      </c>
      <c r="K916" s="22">
        <f t="array" ref="K916">IF($D916="","",IFERROR(INDEX(MASTER_SOURCE!$C$2:$C$495,MATCH($I916,MASTER_SOURCE!$A$2:$A$495,0)),""))</f>
        <v/>
      </c>
      <c r="L916" s="22">
        <f t="array" ref="L916">IF($D916="","",IFERROR(INDEX(MASTER_SOURCE!$D$2:$D$495,MATCH($I916,MASTER_SOURCE!$A$2:$A$495,0)),""))</f>
        <v/>
      </c>
      <c r="M916" s="24" t="n"/>
      <c r="N916" s="24" t="n"/>
      <c r="O916" s="24" t="n"/>
      <c r="P916" s="24" t="n"/>
      <c r="Q916" s="22">
        <f>IF($D916="","",IF(AND(OR(DANH_MUC!$L$5&lt;&gt;"Có",M916="Có"),OR(DANH_MUC!$L$6&lt;&gt;"Có",N916="Có"),OR(DANH_MUC!$L$7&lt;&gt;"Có",O916="Có"),OR(DANH_MUC!$L$8&lt;&gt;"Có",P916="Có")),"Có","Không"))</f>
        <v/>
      </c>
      <c r="R916" s="22">
        <f>IF($D916="","",IF(COUNTIF($D$2:$D916,$D916)&gt;1,"Trùng",""))</f>
        <v/>
      </c>
      <c r="S916" s="22">
        <f>IF($D916="","",IF(AND(LEN($D916)=10,LEFT($D916,1)="0",ISNUMBER(--$D916)),"Có","Không"))</f>
        <v/>
      </c>
      <c r="T916" s="22">
        <f>IF($D916="","",IF(AND($C916&lt;&gt;"",$Q916="Có",$R916="",$S916="Có",AND($L916&lt;&gt;"",OR($L916&lt;&gt;"Chưa xác định",DANH_MUC!$L$9="Có"))),"Có","Không"))</f>
        <v/>
      </c>
      <c r="U916" s="22">
        <f>IF(OR($D916="",$T916="Có"),"",IF($C916="","Thiếu họ tên; ","")&amp;IF($S916&lt;&gt;"Có","SĐT sai định dạng; ","")&amp;IF($R916="Trùng","Trùng SĐT; ","")&amp;IF($Q916&lt;&gt;"Có","Thiếu đồng ý bắt buộc; ","")&amp;IF($L916="","Thiếu/sai Mã REF; ",IF(AND($L916="Chưa xác định",DANH_MUC!$L$9&lt;&gt;"Có"),"Nguồn chưa xác định; ","")))</f>
        <v/>
      </c>
      <c r="V916" s="22">
        <f>IF(OR($D916="",$R916="Trùng"),"",IF(COUNTIF(ORDERS!$C$2:$C$4995,$D916)&gt;0,"Có","Không"))</f>
        <v/>
      </c>
      <c r="W916" s="22">
        <f>IF(OR($D916="",$R916="Trùng"),"",COUNTIFS(ORDERS!$C$2:$C$4995,$D916,ORDERS!$L$2:$L$4995,"Đã chuyển khoản"))</f>
        <v/>
      </c>
      <c r="X916" s="23">
        <f>IF(OR($D916="",$R916="Trùng"),"",SUMIFS(ORDERS!$J$2:$J$4995,ORDERS!$C$2:$C$4995,$D916,ORDERS!$L$2:$L$4995,"Đã chuyển khoản"))</f>
        <v/>
      </c>
      <c r="Y916" s="24" t="n"/>
    </row>
    <row r="917" ht="14.25" customHeight="1" s="40">
      <c r="A917" s="24" t="n"/>
      <c r="B917" s="27" t="n"/>
      <c r="C917" s="24" t="n"/>
      <c r="D917" s="28" t="n"/>
      <c r="E917" s="29" t="n"/>
      <c r="F917" s="24" t="n"/>
      <c r="G917" s="24" t="n"/>
      <c r="H917" s="21">
        <f>IF(ISNUMBER($B917),INT($B917)-WEEKDAY($B917,2)+1,"")</f>
        <v/>
      </c>
      <c r="I917" s="24" t="n"/>
      <c r="J917" s="22">
        <f t="array" ref="J917">IF($D917="","",IF($I917="","(trống REF)",IFERROR(INDEX(MASTER_SOURCE!$B$2:$B$495,MATCH($I917,MASTER_SOURCE!$A$2:$A$495,0)),"(REF không có trong MASTER_SOURCE)")))</f>
        <v/>
      </c>
      <c r="K917" s="22">
        <f t="array" ref="K917">IF($D917="","",IFERROR(INDEX(MASTER_SOURCE!$C$2:$C$495,MATCH($I917,MASTER_SOURCE!$A$2:$A$495,0)),""))</f>
        <v/>
      </c>
      <c r="L917" s="22">
        <f t="array" ref="L917">IF($D917="","",IFERROR(INDEX(MASTER_SOURCE!$D$2:$D$495,MATCH($I917,MASTER_SOURCE!$A$2:$A$495,0)),""))</f>
        <v/>
      </c>
      <c r="M917" s="24" t="n"/>
      <c r="N917" s="24" t="n"/>
      <c r="O917" s="24" t="n"/>
      <c r="P917" s="24" t="n"/>
      <c r="Q917" s="22">
        <f>IF($D917="","",IF(AND(OR(DANH_MUC!$L$5&lt;&gt;"Có",M917="Có"),OR(DANH_MUC!$L$6&lt;&gt;"Có",N917="Có"),OR(DANH_MUC!$L$7&lt;&gt;"Có",O917="Có"),OR(DANH_MUC!$L$8&lt;&gt;"Có",P917="Có")),"Có","Không"))</f>
        <v/>
      </c>
      <c r="R917" s="22">
        <f>IF($D917="","",IF(COUNTIF($D$2:$D917,$D917)&gt;1,"Trùng",""))</f>
        <v/>
      </c>
      <c r="S917" s="22">
        <f>IF($D917="","",IF(AND(LEN($D917)=10,LEFT($D917,1)="0",ISNUMBER(--$D917)),"Có","Không"))</f>
        <v/>
      </c>
      <c r="T917" s="22">
        <f>IF($D917="","",IF(AND($C917&lt;&gt;"",$Q917="Có",$R917="",$S917="Có",AND($L917&lt;&gt;"",OR($L917&lt;&gt;"Chưa xác định",DANH_MUC!$L$9="Có"))),"Có","Không"))</f>
        <v/>
      </c>
      <c r="U917" s="22">
        <f>IF(OR($D917="",$T917="Có"),"",IF($C917="","Thiếu họ tên; ","")&amp;IF($S917&lt;&gt;"Có","SĐT sai định dạng; ","")&amp;IF($R917="Trùng","Trùng SĐT; ","")&amp;IF($Q917&lt;&gt;"Có","Thiếu đồng ý bắt buộc; ","")&amp;IF($L917="","Thiếu/sai Mã REF; ",IF(AND($L917="Chưa xác định",DANH_MUC!$L$9&lt;&gt;"Có"),"Nguồn chưa xác định; ","")))</f>
        <v/>
      </c>
      <c r="V917" s="22">
        <f>IF(OR($D917="",$R917="Trùng"),"",IF(COUNTIF(ORDERS!$C$2:$C$4995,$D917)&gt;0,"Có","Không"))</f>
        <v/>
      </c>
      <c r="W917" s="22">
        <f>IF(OR($D917="",$R917="Trùng"),"",COUNTIFS(ORDERS!$C$2:$C$4995,$D917,ORDERS!$L$2:$L$4995,"Đã chuyển khoản"))</f>
        <v/>
      </c>
      <c r="X917" s="23">
        <f>IF(OR($D917="",$R917="Trùng"),"",SUMIFS(ORDERS!$J$2:$J$4995,ORDERS!$C$2:$C$4995,$D917,ORDERS!$L$2:$L$4995,"Đã chuyển khoản"))</f>
        <v/>
      </c>
      <c r="Y917" s="24" t="n"/>
    </row>
    <row r="918" ht="14.25" customHeight="1" s="40">
      <c r="A918" s="24" t="n"/>
      <c r="B918" s="27" t="n"/>
      <c r="C918" s="24" t="n"/>
      <c r="D918" s="28" t="n"/>
      <c r="E918" s="29" t="n"/>
      <c r="F918" s="24" t="n"/>
      <c r="G918" s="24" t="n"/>
      <c r="H918" s="21">
        <f>IF(ISNUMBER($B918),INT($B918)-WEEKDAY($B918,2)+1,"")</f>
        <v/>
      </c>
      <c r="I918" s="24" t="n"/>
      <c r="J918" s="22">
        <f t="array" ref="J918">IF($D918="","",IF($I918="","(trống REF)",IFERROR(INDEX(MASTER_SOURCE!$B$2:$B$495,MATCH($I918,MASTER_SOURCE!$A$2:$A$495,0)),"(REF không có trong MASTER_SOURCE)")))</f>
        <v/>
      </c>
      <c r="K918" s="22">
        <f t="array" ref="K918">IF($D918="","",IFERROR(INDEX(MASTER_SOURCE!$C$2:$C$495,MATCH($I918,MASTER_SOURCE!$A$2:$A$495,0)),""))</f>
        <v/>
      </c>
      <c r="L918" s="22">
        <f t="array" ref="L918">IF($D918="","",IFERROR(INDEX(MASTER_SOURCE!$D$2:$D$495,MATCH($I918,MASTER_SOURCE!$A$2:$A$495,0)),""))</f>
        <v/>
      </c>
      <c r="M918" s="24" t="n"/>
      <c r="N918" s="24" t="n"/>
      <c r="O918" s="24" t="n"/>
      <c r="P918" s="24" t="n"/>
      <c r="Q918" s="22">
        <f>IF($D918="","",IF(AND(OR(DANH_MUC!$L$5&lt;&gt;"Có",M918="Có"),OR(DANH_MUC!$L$6&lt;&gt;"Có",N918="Có"),OR(DANH_MUC!$L$7&lt;&gt;"Có",O918="Có"),OR(DANH_MUC!$L$8&lt;&gt;"Có",P918="Có")),"Có","Không"))</f>
        <v/>
      </c>
      <c r="R918" s="22">
        <f>IF($D918="","",IF(COUNTIF($D$2:$D918,$D918)&gt;1,"Trùng",""))</f>
        <v/>
      </c>
      <c r="S918" s="22">
        <f>IF($D918="","",IF(AND(LEN($D918)=10,LEFT($D918,1)="0",ISNUMBER(--$D918)),"Có","Không"))</f>
        <v/>
      </c>
      <c r="T918" s="22">
        <f>IF($D918="","",IF(AND($C918&lt;&gt;"",$Q918="Có",$R918="",$S918="Có",AND($L918&lt;&gt;"",OR($L918&lt;&gt;"Chưa xác định",DANH_MUC!$L$9="Có"))),"Có","Không"))</f>
        <v/>
      </c>
      <c r="U918" s="22">
        <f>IF(OR($D918="",$T918="Có"),"",IF($C918="","Thiếu họ tên; ","")&amp;IF($S918&lt;&gt;"Có","SĐT sai định dạng; ","")&amp;IF($R918="Trùng","Trùng SĐT; ","")&amp;IF($Q918&lt;&gt;"Có","Thiếu đồng ý bắt buộc; ","")&amp;IF($L918="","Thiếu/sai Mã REF; ",IF(AND($L918="Chưa xác định",DANH_MUC!$L$9&lt;&gt;"Có"),"Nguồn chưa xác định; ","")))</f>
        <v/>
      </c>
      <c r="V918" s="22">
        <f>IF(OR($D918="",$R918="Trùng"),"",IF(COUNTIF(ORDERS!$C$2:$C$4995,$D918)&gt;0,"Có","Không"))</f>
        <v/>
      </c>
      <c r="W918" s="22">
        <f>IF(OR($D918="",$R918="Trùng"),"",COUNTIFS(ORDERS!$C$2:$C$4995,$D918,ORDERS!$L$2:$L$4995,"Đã chuyển khoản"))</f>
        <v/>
      </c>
      <c r="X918" s="23">
        <f>IF(OR($D918="",$R918="Trùng"),"",SUMIFS(ORDERS!$J$2:$J$4995,ORDERS!$C$2:$C$4995,$D918,ORDERS!$L$2:$L$4995,"Đã chuyển khoản"))</f>
        <v/>
      </c>
      <c r="Y918" s="24" t="n"/>
    </row>
    <row r="919" ht="14.25" customHeight="1" s="40">
      <c r="A919" s="24" t="n"/>
      <c r="B919" s="27" t="n"/>
      <c r="C919" s="24" t="n"/>
      <c r="D919" s="28" t="n"/>
      <c r="E919" s="29" t="n"/>
      <c r="F919" s="24" t="n"/>
      <c r="G919" s="24" t="n"/>
      <c r="H919" s="21">
        <f>IF(ISNUMBER($B919),INT($B919)-WEEKDAY($B919,2)+1,"")</f>
        <v/>
      </c>
      <c r="I919" s="24" t="n"/>
      <c r="J919" s="22">
        <f t="array" ref="J919">IF($D919="","",IF($I919="","(trống REF)",IFERROR(INDEX(MASTER_SOURCE!$B$2:$B$495,MATCH($I919,MASTER_SOURCE!$A$2:$A$495,0)),"(REF không có trong MASTER_SOURCE)")))</f>
        <v/>
      </c>
      <c r="K919" s="22">
        <f t="array" ref="K919">IF($D919="","",IFERROR(INDEX(MASTER_SOURCE!$C$2:$C$495,MATCH($I919,MASTER_SOURCE!$A$2:$A$495,0)),""))</f>
        <v/>
      </c>
      <c r="L919" s="22">
        <f t="array" ref="L919">IF($D919="","",IFERROR(INDEX(MASTER_SOURCE!$D$2:$D$495,MATCH($I919,MASTER_SOURCE!$A$2:$A$495,0)),""))</f>
        <v/>
      </c>
      <c r="M919" s="24" t="n"/>
      <c r="N919" s="24" t="n"/>
      <c r="O919" s="24" t="n"/>
      <c r="P919" s="24" t="n"/>
      <c r="Q919" s="22">
        <f>IF($D919="","",IF(AND(OR(DANH_MUC!$L$5&lt;&gt;"Có",M919="Có"),OR(DANH_MUC!$L$6&lt;&gt;"Có",N919="Có"),OR(DANH_MUC!$L$7&lt;&gt;"Có",O919="Có"),OR(DANH_MUC!$L$8&lt;&gt;"Có",P919="Có")),"Có","Không"))</f>
        <v/>
      </c>
      <c r="R919" s="22">
        <f>IF($D919="","",IF(COUNTIF($D$2:$D919,$D919)&gt;1,"Trùng",""))</f>
        <v/>
      </c>
      <c r="S919" s="22">
        <f>IF($D919="","",IF(AND(LEN($D919)=10,LEFT($D919,1)="0",ISNUMBER(--$D919)),"Có","Không"))</f>
        <v/>
      </c>
      <c r="T919" s="22">
        <f>IF($D919="","",IF(AND($C919&lt;&gt;"",$Q919="Có",$R919="",$S919="Có",AND($L919&lt;&gt;"",OR($L919&lt;&gt;"Chưa xác định",DANH_MUC!$L$9="Có"))),"Có","Không"))</f>
        <v/>
      </c>
      <c r="U919" s="22">
        <f>IF(OR($D919="",$T919="Có"),"",IF($C919="","Thiếu họ tên; ","")&amp;IF($S919&lt;&gt;"Có","SĐT sai định dạng; ","")&amp;IF($R919="Trùng","Trùng SĐT; ","")&amp;IF($Q919&lt;&gt;"Có","Thiếu đồng ý bắt buộc; ","")&amp;IF($L919="","Thiếu/sai Mã REF; ",IF(AND($L919="Chưa xác định",DANH_MUC!$L$9&lt;&gt;"Có"),"Nguồn chưa xác định; ","")))</f>
        <v/>
      </c>
      <c r="V919" s="22">
        <f>IF(OR($D919="",$R919="Trùng"),"",IF(COUNTIF(ORDERS!$C$2:$C$4995,$D919)&gt;0,"Có","Không"))</f>
        <v/>
      </c>
      <c r="W919" s="22">
        <f>IF(OR($D919="",$R919="Trùng"),"",COUNTIFS(ORDERS!$C$2:$C$4995,$D919,ORDERS!$L$2:$L$4995,"Đã chuyển khoản"))</f>
        <v/>
      </c>
      <c r="X919" s="23">
        <f>IF(OR($D919="",$R919="Trùng"),"",SUMIFS(ORDERS!$J$2:$J$4995,ORDERS!$C$2:$C$4995,$D919,ORDERS!$L$2:$L$4995,"Đã chuyển khoản"))</f>
        <v/>
      </c>
      <c r="Y919" s="24" t="n"/>
    </row>
    <row r="920" ht="14.25" customHeight="1" s="40">
      <c r="A920" s="24" t="n"/>
      <c r="B920" s="27" t="n"/>
      <c r="C920" s="24" t="n"/>
      <c r="D920" s="28" t="n"/>
      <c r="E920" s="29" t="n"/>
      <c r="F920" s="24" t="n"/>
      <c r="G920" s="24" t="n"/>
      <c r="H920" s="21">
        <f>IF(ISNUMBER($B920),INT($B920)-WEEKDAY($B920,2)+1,"")</f>
        <v/>
      </c>
      <c r="I920" s="24" t="n"/>
      <c r="J920" s="22">
        <f t="array" ref="J920">IF($D920="","",IF($I920="","(trống REF)",IFERROR(INDEX(MASTER_SOURCE!$B$2:$B$495,MATCH($I920,MASTER_SOURCE!$A$2:$A$495,0)),"(REF không có trong MASTER_SOURCE)")))</f>
        <v/>
      </c>
      <c r="K920" s="22">
        <f t="array" ref="K920">IF($D920="","",IFERROR(INDEX(MASTER_SOURCE!$C$2:$C$495,MATCH($I920,MASTER_SOURCE!$A$2:$A$495,0)),""))</f>
        <v/>
      </c>
      <c r="L920" s="22">
        <f t="array" ref="L920">IF($D920="","",IFERROR(INDEX(MASTER_SOURCE!$D$2:$D$495,MATCH($I920,MASTER_SOURCE!$A$2:$A$495,0)),""))</f>
        <v/>
      </c>
      <c r="M920" s="24" t="n"/>
      <c r="N920" s="24" t="n"/>
      <c r="O920" s="24" t="n"/>
      <c r="P920" s="24" t="n"/>
      <c r="Q920" s="22">
        <f>IF($D920="","",IF(AND(OR(DANH_MUC!$L$5&lt;&gt;"Có",M920="Có"),OR(DANH_MUC!$L$6&lt;&gt;"Có",N920="Có"),OR(DANH_MUC!$L$7&lt;&gt;"Có",O920="Có"),OR(DANH_MUC!$L$8&lt;&gt;"Có",P920="Có")),"Có","Không"))</f>
        <v/>
      </c>
      <c r="R920" s="22">
        <f>IF($D920="","",IF(COUNTIF($D$2:$D920,$D920)&gt;1,"Trùng",""))</f>
        <v/>
      </c>
      <c r="S920" s="22">
        <f>IF($D920="","",IF(AND(LEN($D920)=10,LEFT($D920,1)="0",ISNUMBER(--$D920)),"Có","Không"))</f>
        <v/>
      </c>
      <c r="T920" s="22">
        <f>IF($D920="","",IF(AND($C920&lt;&gt;"",$Q920="Có",$R920="",$S920="Có",AND($L920&lt;&gt;"",OR($L920&lt;&gt;"Chưa xác định",DANH_MUC!$L$9="Có"))),"Có","Không"))</f>
        <v/>
      </c>
      <c r="U920" s="22">
        <f>IF(OR($D920="",$T920="Có"),"",IF($C920="","Thiếu họ tên; ","")&amp;IF($S920&lt;&gt;"Có","SĐT sai định dạng; ","")&amp;IF($R920="Trùng","Trùng SĐT; ","")&amp;IF($Q920&lt;&gt;"Có","Thiếu đồng ý bắt buộc; ","")&amp;IF($L920="","Thiếu/sai Mã REF; ",IF(AND($L920="Chưa xác định",DANH_MUC!$L$9&lt;&gt;"Có"),"Nguồn chưa xác định; ","")))</f>
        <v/>
      </c>
      <c r="V920" s="22">
        <f>IF(OR($D920="",$R920="Trùng"),"",IF(COUNTIF(ORDERS!$C$2:$C$4995,$D920)&gt;0,"Có","Không"))</f>
        <v/>
      </c>
      <c r="W920" s="22">
        <f>IF(OR($D920="",$R920="Trùng"),"",COUNTIFS(ORDERS!$C$2:$C$4995,$D920,ORDERS!$L$2:$L$4995,"Đã chuyển khoản"))</f>
        <v/>
      </c>
      <c r="X920" s="23">
        <f>IF(OR($D920="",$R920="Trùng"),"",SUMIFS(ORDERS!$J$2:$J$4995,ORDERS!$C$2:$C$4995,$D920,ORDERS!$L$2:$L$4995,"Đã chuyển khoản"))</f>
        <v/>
      </c>
      <c r="Y920" s="24" t="n"/>
    </row>
    <row r="921" ht="14.25" customHeight="1" s="40">
      <c r="A921" s="24" t="n"/>
      <c r="B921" s="27" t="n"/>
      <c r="C921" s="24" t="n"/>
      <c r="D921" s="28" t="n"/>
      <c r="E921" s="29" t="n"/>
      <c r="F921" s="24" t="n"/>
      <c r="G921" s="24" t="n"/>
      <c r="H921" s="21">
        <f>IF(ISNUMBER($B921),INT($B921)-WEEKDAY($B921,2)+1,"")</f>
        <v/>
      </c>
      <c r="I921" s="24" t="n"/>
      <c r="J921" s="22">
        <f t="array" ref="J921">IF($D921="","",IF($I921="","(trống REF)",IFERROR(INDEX(MASTER_SOURCE!$B$2:$B$495,MATCH($I921,MASTER_SOURCE!$A$2:$A$495,0)),"(REF không có trong MASTER_SOURCE)")))</f>
        <v/>
      </c>
      <c r="K921" s="22">
        <f t="array" ref="K921">IF($D921="","",IFERROR(INDEX(MASTER_SOURCE!$C$2:$C$495,MATCH($I921,MASTER_SOURCE!$A$2:$A$495,0)),""))</f>
        <v/>
      </c>
      <c r="L921" s="22">
        <f t="array" ref="L921">IF($D921="","",IFERROR(INDEX(MASTER_SOURCE!$D$2:$D$495,MATCH($I921,MASTER_SOURCE!$A$2:$A$495,0)),""))</f>
        <v/>
      </c>
      <c r="M921" s="24" t="n"/>
      <c r="N921" s="24" t="n"/>
      <c r="O921" s="24" t="n"/>
      <c r="P921" s="24" t="n"/>
      <c r="Q921" s="22">
        <f>IF($D921="","",IF(AND(OR(DANH_MUC!$L$5&lt;&gt;"Có",M921="Có"),OR(DANH_MUC!$L$6&lt;&gt;"Có",N921="Có"),OR(DANH_MUC!$L$7&lt;&gt;"Có",O921="Có"),OR(DANH_MUC!$L$8&lt;&gt;"Có",P921="Có")),"Có","Không"))</f>
        <v/>
      </c>
      <c r="R921" s="22">
        <f>IF($D921="","",IF(COUNTIF($D$2:$D921,$D921)&gt;1,"Trùng",""))</f>
        <v/>
      </c>
      <c r="S921" s="22">
        <f>IF($D921="","",IF(AND(LEN($D921)=10,LEFT($D921,1)="0",ISNUMBER(--$D921)),"Có","Không"))</f>
        <v/>
      </c>
      <c r="T921" s="22">
        <f>IF($D921="","",IF(AND($C921&lt;&gt;"",$Q921="Có",$R921="",$S921="Có",AND($L921&lt;&gt;"",OR($L921&lt;&gt;"Chưa xác định",DANH_MUC!$L$9="Có"))),"Có","Không"))</f>
        <v/>
      </c>
      <c r="U921" s="22">
        <f>IF(OR($D921="",$T921="Có"),"",IF($C921="","Thiếu họ tên; ","")&amp;IF($S921&lt;&gt;"Có","SĐT sai định dạng; ","")&amp;IF($R921="Trùng","Trùng SĐT; ","")&amp;IF($Q921&lt;&gt;"Có","Thiếu đồng ý bắt buộc; ","")&amp;IF($L921="","Thiếu/sai Mã REF; ",IF(AND($L921="Chưa xác định",DANH_MUC!$L$9&lt;&gt;"Có"),"Nguồn chưa xác định; ","")))</f>
        <v/>
      </c>
      <c r="V921" s="22">
        <f>IF(OR($D921="",$R921="Trùng"),"",IF(COUNTIF(ORDERS!$C$2:$C$4995,$D921)&gt;0,"Có","Không"))</f>
        <v/>
      </c>
      <c r="W921" s="22">
        <f>IF(OR($D921="",$R921="Trùng"),"",COUNTIFS(ORDERS!$C$2:$C$4995,$D921,ORDERS!$L$2:$L$4995,"Đã chuyển khoản"))</f>
        <v/>
      </c>
      <c r="X921" s="23">
        <f>IF(OR($D921="",$R921="Trùng"),"",SUMIFS(ORDERS!$J$2:$J$4995,ORDERS!$C$2:$C$4995,$D921,ORDERS!$L$2:$L$4995,"Đã chuyển khoản"))</f>
        <v/>
      </c>
      <c r="Y921" s="24" t="n"/>
    </row>
    <row r="922" ht="14.25" customHeight="1" s="40">
      <c r="A922" s="24" t="n"/>
      <c r="B922" s="27" t="n"/>
      <c r="C922" s="24" t="n"/>
      <c r="D922" s="28" t="n"/>
      <c r="E922" s="29" t="n"/>
      <c r="F922" s="24" t="n"/>
      <c r="G922" s="24" t="n"/>
      <c r="H922" s="21">
        <f>IF(ISNUMBER($B922),INT($B922)-WEEKDAY($B922,2)+1,"")</f>
        <v/>
      </c>
      <c r="I922" s="24" t="n"/>
      <c r="J922" s="22">
        <f t="array" ref="J922">IF($D922="","",IF($I922="","(trống REF)",IFERROR(INDEX(MASTER_SOURCE!$B$2:$B$495,MATCH($I922,MASTER_SOURCE!$A$2:$A$495,0)),"(REF không có trong MASTER_SOURCE)")))</f>
        <v/>
      </c>
      <c r="K922" s="22">
        <f t="array" ref="K922">IF($D922="","",IFERROR(INDEX(MASTER_SOURCE!$C$2:$C$495,MATCH($I922,MASTER_SOURCE!$A$2:$A$495,0)),""))</f>
        <v/>
      </c>
      <c r="L922" s="22">
        <f t="array" ref="L922">IF($D922="","",IFERROR(INDEX(MASTER_SOURCE!$D$2:$D$495,MATCH($I922,MASTER_SOURCE!$A$2:$A$495,0)),""))</f>
        <v/>
      </c>
      <c r="M922" s="24" t="n"/>
      <c r="N922" s="24" t="n"/>
      <c r="O922" s="24" t="n"/>
      <c r="P922" s="24" t="n"/>
      <c r="Q922" s="22">
        <f>IF($D922="","",IF(AND(OR(DANH_MUC!$L$5&lt;&gt;"Có",M922="Có"),OR(DANH_MUC!$L$6&lt;&gt;"Có",N922="Có"),OR(DANH_MUC!$L$7&lt;&gt;"Có",O922="Có"),OR(DANH_MUC!$L$8&lt;&gt;"Có",P922="Có")),"Có","Không"))</f>
        <v/>
      </c>
      <c r="R922" s="22">
        <f>IF($D922="","",IF(COUNTIF($D$2:$D922,$D922)&gt;1,"Trùng",""))</f>
        <v/>
      </c>
      <c r="S922" s="22">
        <f>IF($D922="","",IF(AND(LEN($D922)=10,LEFT($D922,1)="0",ISNUMBER(--$D922)),"Có","Không"))</f>
        <v/>
      </c>
      <c r="T922" s="22">
        <f>IF($D922="","",IF(AND($C922&lt;&gt;"",$Q922="Có",$R922="",$S922="Có",AND($L922&lt;&gt;"",OR($L922&lt;&gt;"Chưa xác định",DANH_MUC!$L$9="Có"))),"Có","Không"))</f>
        <v/>
      </c>
      <c r="U922" s="22">
        <f>IF(OR($D922="",$T922="Có"),"",IF($C922="","Thiếu họ tên; ","")&amp;IF($S922&lt;&gt;"Có","SĐT sai định dạng; ","")&amp;IF($R922="Trùng","Trùng SĐT; ","")&amp;IF($Q922&lt;&gt;"Có","Thiếu đồng ý bắt buộc; ","")&amp;IF($L922="","Thiếu/sai Mã REF; ",IF(AND($L922="Chưa xác định",DANH_MUC!$L$9&lt;&gt;"Có"),"Nguồn chưa xác định; ","")))</f>
        <v/>
      </c>
      <c r="V922" s="22">
        <f>IF(OR($D922="",$R922="Trùng"),"",IF(COUNTIF(ORDERS!$C$2:$C$4995,$D922)&gt;0,"Có","Không"))</f>
        <v/>
      </c>
      <c r="W922" s="22">
        <f>IF(OR($D922="",$R922="Trùng"),"",COUNTIFS(ORDERS!$C$2:$C$4995,$D922,ORDERS!$L$2:$L$4995,"Đã chuyển khoản"))</f>
        <v/>
      </c>
      <c r="X922" s="23">
        <f>IF(OR($D922="",$R922="Trùng"),"",SUMIFS(ORDERS!$J$2:$J$4995,ORDERS!$C$2:$C$4995,$D922,ORDERS!$L$2:$L$4995,"Đã chuyển khoản"))</f>
        <v/>
      </c>
      <c r="Y922" s="24" t="n"/>
    </row>
    <row r="923" ht="14.25" customHeight="1" s="40">
      <c r="A923" s="24" t="n"/>
      <c r="B923" s="27" t="n"/>
      <c r="C923" s="24" t="n"/>
      <c r="D923" s="28" t="n"/>
      <c r="E923" s="29" t="n"/>
      <c r="F923" s="24" t="n"/>
      <c r="G923" s="24" t="n"/>
      <c r="H923" s="21">
        <f>IF(ISNUMBER($B923),INT($B923)-WEEKDAY($B923,2)+1,"")</f>
        <v/>
      </c>
      <c r="I923" s="24" t="n"/>
      <c r="J923" s="22">
        <f t="array" ref="J923">IF($D923="","",IF($I923="","(trống REF)",IFERROR(INDEX(MASTER_SOURCE!$B$2:$B$495,MATCH($I923,MASTER_SOURCE!$A$2:$A$495,0)),"(REF không có trong MASTER_SOURCE)")))</f>
        <v/>
      </c>
      <c r="K923" s="22">
        <f t="array" ref="K923">IF($D923="","",IFERROR(INDEX(MASTER_SOURCE!$C$2:$C$495,MATCH($I923,MASTER_SOURCE!$A$2:$A$495,0)),""))</f>
        <v/>
      </c>
      <c r="L923" s="22">
        <f t="array" ref="L923">IF($D923="","",IFERROR(INDEX(MASTER_SOURCE!$D$2:$D$495,MATCH($I923,MASTER_SOURCE!$A$2:$A$495,0)),""))</f>
        <v/>
      </c>
      <c r="M923" s="24" t="n"/>
      <c r="N923" s="24" t="n"/>
      <c r="O923" s="24" t="n"/>
      <c r="P923" s="24" t="n"/>
      <c r="Q923" s="22">
        <f>IF($D923="","",IF(AND(OR(DANH_MUC!$L$5&lt;&gt;"Có",M923="Có"),OR(DANH_MUC!$L$6&lt;&gt;"Có",N923="Có"),OR(DANH_MUC!$L$7&lt;&gt;"Có",O923="Có"),OR(DANH_MUC!$L$8&lt;&gt;"Có",P923="Có")),"Có","Không"))</f>
        <v/>
      </c>
      <c r="R923" s="22">
        <f>IF($D923="","",IF(COUNTIF($D$2:$D923,$D923)&gt;1,"Trùng",""))</f>
        <v/>
      </c>
      <c r="S923" s="22">
        <f>IF($D923="","",IF(AND(LEN($D923)=10,LEFT($D923,1)="0",ISNUMBER(--$D923)),"Có","Không"))</f>
        <v/>
      </c>
      <c r="T923" s="22">
        <f>IF($D923="","",IF(AND($C923&lt;&gt;"",$Q923="Có",$R923="",$S923="Có",AND($L923&lt;&gt;"",OR($L923&lt;&gt;"Chưa xác định",DANH_MUC!$L$9="Có"))),"Có","Không"))</f>
        <v/>
      </c>
      <c r="U923" s="22">
        <f>IF(OR($D923="",$T923="Có"),"",IF($C923="","Thiếu họ tên; ","")&amp;IF($S923&lt;&gt;"Có","SĐT sai định dạng; ","")&amp;IF($R923="Trùng","Trùng SĐT; ","")&amp;IF($Q923&lt;&gt;"Có","Thiếu đồng ý bắt buộc; ","")&amp;IF($L923="","Thiếu/sai Mã REF; ",IF(AND($L923="Chưa xác định",DANH_MUC!$L$9&lt;&gt;"Có"),"Nguồn chưa xác định; ","")))</f>
        <v/>
      </c>
      <c r="V923" s="22">
        <f>IF(OR($D923="",$R923="Trùng"),"",IF(COUNTIF(ORDERS!$C$2:$C$4995,$D923)&gt;0,"Có","Không"))</f>
        <v/>
      </c>
      <c r="W923" s="22">
        <f>IF(OR($D923="",$R923="Trùng"),"",COUNTIFS(ORDERS!$C$2:$C$4995,$D923,ORDERS!$L$2:$L$4995,"Đã chuyển khoản"))</f>
        <v/>
      </c>
      <c r="X923" s="23">
        <f>IF(OR($D923="",$R923="Trùng"),"",SUMIFS(ORDERS!$J$2:$J$4995,ORDERS!$C$2:$C$4995,$D923,ORDERS!$L$2:$L$4995,"Đã chuyển khoản"))</f>
        <v/>
      </c>
      <c r="Y923" s="24" t="n"/>
    </row>
    <row r="924" ht="14.25" customHeight="1" s="40">
      <c r="A924" s="24" t="n"/>
      <c r="B924" s="27" t="n"/>
      <c r="C924" s="24" t="n"/>
      <c r="D924" s="28" t="n"/>
      <c r="E924" s="29" t="n"/>
      <c r="F924" s="24" t="n"/>
      <c r="G924" s="24" t="n"/>
      <c r="H924" s="21">
        <f>IF(ISNUMBER($B924),INT($B924)-WEEKDAY($B924,2)+1,"")</f>
        <v/>
      </c>
      <c r="I924" s="24" t="n"/>
      <c r="J924" s="22">
        <f t="array" ref="J924">IF($D924="","",IF($I924="","(trống REF)",IFERROR(INDEX(MASTER_SOURCE!$B$2:$B$495,MATCH($I924,MASTER_SOURCE!$A$2:$A$495,0)),"(REF không có trong MASTER_SOURCE)")))</f>
        <v/>
      </c>
      <c r="K924" s="22">
        <f t="array" ref="K924">IF($D924="","",IFERROR(INDEX(MASTER_SOURCE!$C$2:$C$495,MATCH($I924,MASTER_SOURCE!$A$2:$A$495,0)),""))</f>
        <v/>
      </c>
      <c r="L924" s="22">
        <f t="array" ref="L924">IF($D924="","",IFERROR(INDEX(MASTER_SOURCE!$D$2:$D$495,MATCH($I924,MASTER_SOURCE!$A$2:$A$495,0)),""))</f>
        <v/>
      </c>
      <c r="M924" s="24" t="n"/>
      <c r="N924" s="24" t="n"/>
      <c r="O924" s="24" t="n"/>
      <c r="P924" s="24" t="n"/>
      <c r="Q924" s="22">
        <f>IF($D924="","",IF(AND(OR(DANH_MUC!$L$5&lt;&gt;"Có",M924="Có"),OR(DANH_MUC!$L$6&lt;&gt;"Có",N924="Có"),OR(DANH_MUC!$L$7&lt;&gt;"Có",O924="Có"),OR(DANH_MUC!$L$8&lt;&gt;"Có",P924="Có")),"Có","Không"))</f>
        <v/>
      </c>
      <c r="R924" s="22">
        <f>IF($D924="","",IF(COUNTIF($D$2:$D924,$D924)&gt;1,"Trùng",""))</f>
        <v/>
      </c>
      <c r="S924" s="22">
        <f>IF($D924="","",IF(AND(LEN($D924)=10,LEFT($D924,1)="0",ISNUMBER(--$D924)),"Có","Không"))</f>
        <v/>
      </c>
      <c r="T924" s="22">
        <f>IF($D924="","",IF(AND($C924&lt;&gt;"",$Q924="Có",$R924="",$S924="Có",AND($L924&lt;&gt;"",OR($L924&lt;&gt;"Chưa xác định",DANH_MUC!$L$9="Có"))),"Có","Không"))</f>
        <v/>
      </c>
      <c r="U924" s="22">
        <f>IF(OR($D924="",$T924="Có"),"",IF($C924="","Thiếu họ tên; ","")&amp;IF($S924&lt;&gt;"Có","SĐT sai định dạng; ","")&amp;IF($R924="Trùng","Trùng SĐT; ","")&amp;IF($Q924&lt;&gt;"Có","Thiếu đồng ý bắt buộc; ","")&amp;IF($L924="","Thiếu/sai Mã REF; ",IF(AND($L924="Chưa xác định",DANH_MUC!$L$9&lt;&gt;"Có"),"Nguồn chưa xác định; ","")))</f>
        <v/>
      </c>
      <c r="V924" s="22">
        <f>IF(OR($D924="",$R924="Trùng"),"",IF(COUNTIF(ORDERS!$C$2:$C$4995,$D924)&gt;0,"Có","Không"))</f>
        <v/>
      </c>
      <c r="W924" s="22">
        <f>IF(OR($D924="",$R924="Trùng"),"",COUNTIFS(ORDERS!$C$2:$C$4995,$D924,ORDERS!$L$2:$L$4995,"Đã chuyển khoản"))</f>
        <v/>
      </c>
      <c r="X924" s="23">
        <f>IF(OR($D924="",$R924="Trùng"),"",SUMIFS(ORDERS!$J$2:$J$4995,ORDERS!$C$2:$C$4995,$D924,ORDERS!$L$2:$L$4995,"Đã chuyển khoản"))</f>
        <v/>
      </c>
      <c r="Y924" s="24" t="n"/>
    </row>
    <row r="925" ht="14.25" customHeight="1" s="40">
      <c r="A925" s="24" t="n"/>
      <c r="B925" s="27" t="n"/>
      <c r="C925" s="24" t="n"/>
      <c r="D925" s="28" t="n"/>
      <c r="E925" s="29" t="n"/>
      <c r="F925" s="24" t="n"/>
      <c r="G925" s="24" t="n"/>
      <c r="H925" s="21">
        <f>IF(ISNUMBER($B925),INT($B925)-WEEKDAY($B925,2)+1,"")</f>
        <v/>
      </c>
      <c r="I925" s="24" t="n"/>
      <c r="J925" s="22">
        <f t="array" ref="J925">IF($D925="","",IF($I925="","(trống REF)",IFERROR(INDEX(MASTER_SOURCE!$B$2:$B$495,MATCH($I925,MASTER_SOURCE!$A$2:$A$495,0)),"(REF không có trong MASTER_SOURCE)")))</f>
        <v/>
      </c>
      <c r="K925" s="22">
        <f t="array" ref="K925">IF($D925="","",IFERROR(INDEX(MASTER_SOURCE!$C$2:$C$495,MATCH($I925,MASTER_SOURCE!$A$2:$A$495,0)),""))</f>
        <v/>
      </c>
      <c r="L925" s="22">
        <f t="array" ref="L925">IF($D925="","",IFERROR(INDEX(MASTER_SOURCE!$D$2:$D$495,MATCH($I925,MASTER_SOURCE!$A$2:$A$495,0)),""))</f>
        <v/>
      </c>
      <c r="M925" s="24" t="n"/>
      <c r="N925" s="24" t="n"/>
      <c r="O925" s="24" t="n"/>
      <c r="P925" s="24" t="n"/>
      <c r="Q925" s="22">
        <f>IF($D925="","",IF(AND(OR(DANH_MUC!$L$5&lt;&gt;"Có",M925="Có"),OR(DANH_MUC!$L$6&lt;&gt;"Có",N925="Có"),OR(DANH_MUC!$L$7&lt;&gt;"Có",O925="Có"),OR(DANH_MUC!$L$8&lt;&gt;"Có",P925="Có")),"Có","Không"))</f>
        <v/>
      </c>
      <c r="R925" s="22">
        <f>IF($D925="","",IF(COUNTIF($D$2:$D925,$D925)&gt;1,"Trùng",""))</f>
        <v/>
      </c>
      <c r="S925" s="22">
        <f>IF($D925="","",IF(AND(LEN($D925)=10,LEFT($D925,1)="0",ISNUMBER(--$D925)),"Có","Không"))</f>
        <v/>
      </c>
      <c r="T925" s="22">
        <f>IF($D925="","",IF(AND($C925&lt;&gt;"",$Q925="Có",$R925="",$S925="Có",AND($L925&lt;&gt;"",OR($L925&lt;&gt;"Chưa xác định",DANH_MUC!$L$9="Có"))),"Có","Không"))</f>
        <v/>
      </c>
      <c r="U925" s="22">
        <f>IF(OR($D925="",$T925="Có"),"",IF($C925="","Thiếu họ tên; ","")&amp;IF($S925&lt;&gt;"Có","SĐT sai định dạng; ","")&amp;IF($R925="Trùng","Trùng SĐT; ","")&amp;IF($Q925&lt;&gt;"Có","Thiếu đồng ý bắt buộc; ","")&amp;IF($L925="","Thiếu/sai Mã REF; ",IF(AND($L925="Chưa xác định",DANH_MUC!$L$9&lt;&gt;"Có"),"Nguồn chưa xác định; ","")))</f>
        <v/>
      </c>
      <c r="V925" s="22">
        <f>IF(OR($D925="",$R925="Trùng"),"",IF(COUNTIF(ORDERS!$C$2:$C$4995,$D925)&gt;0,"Có","Không"))</f>
        <v/>
      </c>
      <c r="W925" s="22">
        <f>IF(OR($D925="",$R925="Trùng"),"",COUNTIFS(ORDERS!$C$2:$C$4995,$D925,ORDERS!$L$2:$L$4995,"Đã chuyển khoản"))</f>
        <v/>
      </c>
      <c r="X925" s="23">
        <f>IF(OR($D925="",$R925="Trùng"),"",SUMIFS(ORDERS!$J$2:$J$4995,ORDERS!$C$2:$C$4995,$D925,ORDERS!$L$2:$L$4995,"Đã chuyển khoản"))</f>
        <v/>
      </c>
      <c r="Y925" s="24" t="n"/>
    </row>
    <row r="926" ht="14.25" customHeight="1" s="40">
      <c r="A926" s="24" t="n"/>
      <c r="B926" s="27" t="n"/>
      <c r="C926" s="24" t="n"/>
      <c r="D926" s="28" t="n"/>
      <c r="E926" s="29" t="n"/>
      <c r="F926" s="24" t="n"/>
      <c r="G926" s="24" t="n"/>
      <c r="H926" s="21">
        <f>IF(ISNUMBER($B926),INT($B926)-WEEKDAY($B926,2)+1,"")</f>
        <v/>
      </c>
      <c r="I926" s="24" t="n"/>
      <c r="J926" s="22">
        <f t="array" ref="J926">IF($D926="","",IF($I926="","(trống REF)",IFERROR(INDEX(MASTER_SOURCE!$B$2:$B$495,MATCH($I926,MASTER_SOURCE!$A$2:$A$495,0)),"(REF không có trong MASTER_SOURCE)")))</f>
        <v/>
      </c>
      <c r="K926" s="22">
        <f t="array" ref="K926">IF($D926="","",IFERROR(INDEX(MASTER_SOURCE!$C$2:$C$495,MATCH($I926,MASTER_SOURCE!$A$2:$A$495,0)),""))</f>
        <v/>
      </c>
      <c r="L926" s="22">
        <f t="array" ref="L926">IF($D926="","",IFERROR(INDEX(MASTER_SOURCE!$D$2:$D$495,MATCH($I926,MASTER_SOURCE!$A$2:$A$495,0)),""))</f>
        <v/>
      </c>
      <c r="M926" s="24" t="n"/>
      <c r="N926" s="24" t="n"/>
      <c r="O926" s="24" t="n"/>
      <c r="P926" s="24" t="n"/>
      <c r="Q926" s="22">
        <f>IF($D926="","",IF(AND(OR(DANH_MUC!$L$5&lt;&gt;"Có",M926="Có"),OR(DANH_MUC!$L$6&lt;&gt;"Có",N926="Có"),OR(DANH_MUC!$L$7&lt;&gt;"Có",O926="Có"),OR(DANH_MUC!$L$8&lt;&gt;"Có",P926="Có")),"Có","Không"))</f>
        <v/>
      </c>
      <c r="R926" s="22">
        <f>IF($D926="","",IF(COUNTIF($D$2:$D926,$D926)&gt;1,"Trùng",""))</f>
        <v/>
      </c>
      <c r="S926" s="22">
        <f>IF($D926="","",IF(AND(LEN($D926)=10,LEFT($D926,1)="0",ISNUMBER(--$D926)),"Có","Không"))</f>
        <v/>
      </c>
      <c r="T926" s="22">
        <f>IF($D926="","",IF(AND($C926&lt;&gt;"",$Q926="Có",$R926="",$S926="Có",AND($L926&lt;&gt;"",OR($L926&lt;&gt;"Chưa xác định",DANH_MUC!$L$9="Có"))),"Có","Không"))</f>
        <v/>
      </c>
      <c r="U926" s="22">
        <f>IF(OR($D926="",$T926="Có"),"",IF($C926="","Thiếu họ tên; ","")&amp;IF($S926&lt;&gt;"Có","SĐT sai định dạng; ","")&amp;IF($R926="Trùng","Trùng SĐT; ","")&amp;IF($Q926&lt;&gt;"Có","Thiếu đồng ý bắt buộc; ","")&amp;IF($L926="","Thiếu/sai Mã REF; ",IF(AND($L926="Chưa xác định",DANH_MUC!$L$9&lt;&gt;"Có"),"Nguồn chưa xác định; ","")))</f>
        <v/>
      </c>
      <c r="V926" s="22">
        <f>IF(OR($D926="",$R926="Trùng"),"",IF(COUNTIF(ORDERS!$C$2:$C$4995,$D926)&gt;0,"Có","Không"))</f>
        <v/>
      </c>
      <c r="W926" s="22">
        <f>IF(OR($D926="",$R926="Trùng"),"",COUNTIFS(ORDERS!$C$2:$C$4995,$D926,ORDERS!$L$2:$L$4995,"Đã chuyển khoản"))</f>
        <v/>
      </c>
      <c r="X926" s="23">
        <f>IF(OR($D926="",$R926="Trùng"),"",SUMIFS(ORDERS!$J$2:$J$4995,ORDERS!$C$2:$C$4995,$D926,ORDERS!$L$2:$L$4995,"Đã chuyển khoản"))</f>
        <v/>
      </c>
      <c r="Y926" s="24" t="n"/>
    </row>
    <row r="927" ht="14.25" customHeight="1" s="40">
      <c r="A927" s="24" t="n"/>
      <c r="B927" s="27" t="n"/>
      <c r="C927" s="24" t="n"/>
      <c r="D927" s="28" t="n"/>
      <c r="E927" s="29" t="n"/>
      <c r="F927" s="24" t="n"/>
      <c r="G927" s="24" t="n"/>
      <c r="H927" s="21">
        <f>IF(ISNUMBER($B927),INT($B927)-WEEKDAY($B927,2)+1,"")</f>
        <v/>
      </c>
      <c r="I927" s="24" t="n"/>
      <c r="J927" s="22">
        <f t="array" ref="J927">IF($D927="","",IF($I927="","(trống REF)",IFERROR(INDEX(MASTER_SOURCE!$B$2:$B$495,MATCH($I927,MASTER_SOURCE!$A$2:$A$495,0)),"(REF không có trong MASTER_SOURCE)")))</f>
        <v/>
      </c>
      <c r="K927" s="22">
        <f t="array" ref="K927">IF($D927="","",IFERROR(INDEX(MASTER_SOURCE!$C$2:$C$495,MATCH($I927,MASTER_SOURCE!$A$2:$A$495,0)),""))</f>
        <v/>
      </c>
      <c r="L927" s="22">
        <f t="array" ref="L927">IF($D927="","",IFERROR(INDEX(MASTER_SOURCE!$D$2:$D$495,MATCH($I927,MASTER_SOURCE!$A$2:$A$495,0)),""))</f>
        <v/>
      </c>
      <c r="M927" s="24" t="n"/>
      <c r="N927" s="24" t="n"/>
      <c r="O927" s="24" t="n"/>
      <c r="P927" s="24" t="n"/>
      <c r="Q927" s="22">
        <f>IF($D927="","",IF(AND(OR(DANH_MUC!$L$5&lt;&gt;"Có",M927="Có"),OR(DANH_MUC!$L$6&lt;&gt;"Có",N927="Có"),OR(DANH_MUC!$L$7&lt;&gt;"Có",O927="Có"),OR(DANH_MUC!$L$8&lt;&gt;"Có",P927="Có")),"Có","Không"))</f>
        <v/>
      </c>
      <c r="R927" s="22">
        <f>IF($D927="","",IF(COUNTIF($D$2:$D927,$D927)&gt;1,"Trùng",""))</f>
        <v/>
      </c>
      <c r="S927" s="22">
        <f>IF($D927="","",IF(AND(LEN($D927)=10,LEFT($D927,1)="0",ISNUMBER(--$D927)),"Có","Không"))</f>
        <v/>
      </c>
      <c r="T927" s="22">
        <f>IF($D927="","",IF(AND($C927&lt;&gt;"",$Q927="Có",$R927="",$S927="Có",AND($L927&lt;&gt;"",OR($L927&lt;&gt;"Chưa xác định",DANH_MUC!$L$9="Có"))),"Có","Không"))</f>
        <v/>
      </c>
      <c r="U927" s="22">
        <f>IF(OR($D927="",$T927="Có"),"",IF($C927="","Thiếu họ tên; ","")&amp;IF($S927&lt;&gt;"Có","SĐT sai định dạng; ","")&amp;IF($R927="Trùng","Trùng SĐT; ","")&amp;IF($Q927&lt;&gt;"Có","Thiếu đồng ý bắt buộc; ","")&amp;IF($L927="","Thiếu/sai Mã REF; ",IF(AND($L927="Chưa xác định",DANH_MUC!$L$9&lt;&gt;"Có"),"Nguồn chưa xác định; ","")))</f>
        <v/>
      </c>
      <c r="V927" s="22">
        <f>IF(OR($D927="",$R927="Trùng"),"",IF(COUNTIF(ORDERS!$C$2:$C$4995,$D927)&gt;0,"Có","Không"))</f>
        <v/>
      </c>
      <c r="W927" s="22">
        <f>IF(OR($D927="",$R927="Trùng"),"",COUNTIFS(ORDERS!$C$2:$C$4995,$D927,ORDERS!$L$2:$L$4995,"Đã chuyển khoản"))</f>
        <v/>
      </c>
      <c r="X927" s="23">
        <f>IF(OR($D927="",$R927="Trùng"),"",SUMIFS(ORDERS!$J$2:$J$4995,ORDERS!$C$2:$C$4995,$D927,ORDERS!$L$2:$L$4995,"Đã chuyển khoản"))</f>
        <v/>
      </c>
      <c r="Y927" s="24" t="n"/>
    </row>
    <row r="928" ht="14.25" customHeight="1" s="40">
      <c r="A928" s="24" t="n"/>
      <c r="B928" s="27" t="n"/>
      <c r="C928" s="24" t="n"/>
      <c r="D928" s="28" t="n"/>
      <c r="E928" s="29" t="n"/>
      <c r="F928" s="24" t="n"/>
      <c r="G928" s="24" t="n"/>
      <c r="H928" s="21">
        <f>IF(ISNUMBER($B928),INT($B928)-WEEKDAY($B928,2)+1,"")</f>
        <v/>
      </c>
      <c r="I928" s="24" t="n"/>
      <c r="J928" s="22">
        <f t="array" ref="J928">IF($D928="","",IF($I928="","(trống REF)",IFERROR(INDEX(MASTER_SOURCE!$B$2:$B$495,MATCH($I928,MASTER_SOURCE!$A$2:$A$495,0)),"(REF không có trong MASTER_SOURCE)")))</f>
        <v/>
      </c>
      <c r="K928" s="22">
        <f t="array" ref="K928">IF($D928="","",IFERROR(INDEX(MASTER_SOURCE!$C$2:$C$495,MATCH($I928,MASTER_SOURCE!$A$2:$A$495,0)),""))</f>
        <v/>
      </c>
      <c r="L928" s="22">
        <f t="array" ref="L928">IF($D928="","",IFERROR(INDEX(MASTER_SOURCE!$D$2:$D$495,MATCH($I928,MASTER_SOURCE!$A$2:$A$495,0)),""))</f>
        <v/>
      </c>
      <c r="M928" s="24" t="n"/>
      <c r="N928" s="24" t="n"/>
      <c r="O928" s="24" t="n"/>
      <c r="P928" s="24" t="n"/>
      <c r="Q928" s="22">
        <f>IF($D928="","",IF(AND(OR(DANH_MUC!$L$5&lt;&gt;"Có",M928="Có"),OR(DANH_MUC!$L$6&lt;&gt;"Có",N928="Có"),OR(DANH_MUC!$L$7&lt;&gt;"Có",O928="Có"),OR(DANH_MUC!$L$8&lt;&gt;"Có",P928="Có")),"Có","Không"))</f>
        <v/>
      </c>
      <c r="R928" s="22">
        <f>IF($D928="","",IF(COUNTIF($D$2:$D928,$D928)&gt;1,"Trùng",""))</f>
        <v/>
      </c>
      <c r="S928" s="22">
        <f>IF($D928="","",IF(AND(LEN($D928)=10,LEFT($D928,1)="0",ISNUMBER(--$D928)),"Có","Không"))</f>
        <v/>
      </c>
      <c r="T928" s="22">
        <f>IF($D928="","",IF(AND($C928&lt;&gt;"",$Q928="Có",$R928="",$S928="Có",AND($L928&lt;&gt;"",OR($L928&lt;&gt;"Chưa xác định",DANH_MUC!$L$9="Có"))),"Có","Không"))</f>
        <v/>
      </c>
      <c r="U928" s="22">
        <f>IF(OR($D928="",$T928="Có"),"",IF($C928="","Thiếu họ tên; ","")&amp;IF($S928&lt;&gt;"Có","SĐT sai định dạng; ","")&amp;IF($R928="Trùng","Trùng SĐT; ","")&amp;IF($Q928&lt;&gt;"Có","Thiếu đồng ý bắt buộc; ","")&amp;IF($L928="","Thiếu/sai Mã REF; ",IF(AND($L928="Chưa xác định",DANH_MUC!$L$9&lt;&gt;"Có"),"Nguồn chưa xác định; ","")))</f>
        <v/>
      </c>
      <c r="V928" s="22">
        <f>IF(OR($D928="",$R928="Trùng"),"",IF(COUNTIF(ORDERS!$C$2:$C$4995,$D928)&gt;0,"Có","Không"))</f>
        <v/>
      </c>
      <c r="W928" s="22">
        <f>IF(OR($D928="",$R928="Trùng"),"",COUNTIFS(ORDERS!$C$2:$C$4995,$D928,ORDERS!$L$2:$L$4995,"Đã chuyển khoản"))</f>
        <v/>
      </c>
      <c r="X928" s="23">
        <f>IF(OR($D928="",$R928="Trùng"),"",SUMIFS(ORDERS!$J$2:$J$4995,ORDERS!$C$2:$C$4995,$D928,ORDERS!$L$2:$L$4995,"Đã chuyển khoản"))</f>
        <v/>
      </c>
      <c r="Y928" s="24" t="n"/>
    </row>
    <row r="929" ht="14.25" customHeight="1" s="40">
      <c r="A929" s="24" t="n"/>
      <c r="B929" s="27" t="n"/>
      <c r="C929" s="24" t="n"/>
      <c r="D929" s="28" t="n"/>
      <c r="E929" s="29" t="n"/>
      <c r="F929" s="24" t="n"/>
      <c r="G929" s="24" t="n"/>
      <c r="H929" s="21">
        <f>IF(ISNUMBER($B929),INT($B929)-WEEKDAY($B929,2)+1,"")</f>
        <v/>
      </c>
      <c r="I929" s="24" t="n"/>
      <c r="J929" s="22">
        <f t="array" ref="J929">IF($D929="","",IF($I929="","(trống REF)",IFERROR(INDEX(MASTER_SOURCE!$B$2:$B$495,MATCH($I929,MASTER_SOURCE!$A$2:$A$495,0)),"(REF không có trong MASTER_SOURCE)")))</f>
        <v/>
      </c>
      <c r="K929" s="22">
        <f t="array" ref="K929">IF($D929="","",IFERROR(INDEX(MASTER_SOURCE!$C$2:$C$495,MATCH($I929,MASTER_SOURCE!$A$2:$A$495,0)),""))</f>
        <v/>
      </c>
      <c r="L929" s="22">
        <f t="array" ref="L929">IF($D929="","",IFERROR(INDEX(MASTER_SOURCE!$D$2:$D$495,MATCH($I929,MASTER_SOURCE!$A$2:$A$495,0)),""))</f>
        <v/>
      </c>
      <c r="M929" s="24" t="n"/>
      <c r="N929" s="24" t="n"/>
      <c r="O929" s="24" t="n"/>
      <c r="P929" s="24" t="n"/>
      <c r="Q929" s="22">
        <f>IF($D929="","",IF(AND(OR(DANH_MUC!$L$5&lt;&gt;"Có",M929="Có"),OR(DANH_MUC!$L$6&lt;&gt;"Có",N929="Có"),OR(DANH_MUC!$L$7&lt;&gt;"Có",O929="Có"),OR(DANH_MUC!$L$8&lt;&gt;"Có",P929="Có")),"Có","Không"))</f>
        <v/>
      </c>
      <c r="R929" s="22">
        <f>IF($D929="","",IF(COUNTIF($D$2:$D929,$D929)&gt;1,"Trùng",""))</f>
        <v/>
      </c>
      <c r="S929" s="22">
        <f>IF($D929="","",IF(AND(LEN($D929)=10,LEFT($D929,1)="0",ISNUMBER(--$D929)),"Có","Không"))</f>
        <v/>
      </c>
      <c r="T929" s="22">
        <f>IF($D929="","",IF(AND($C929&lt;&gt;"",$Q929="Có",$R929="",$S929="Có",AND($L929&lt;&gt;"",OR($L929&lt;&gt;"Chưa xác định",DANH_MUC!$L$9="Có"))),"Có","Không"))</f>
        <v/>
      </c>
      <c r="U929" s="22">
        <f>IF(OR($D929="",$T929="Có"),"",IF($C929="","Thiếu họ tên; ","")&amp;IF($S929&lt;&gt;"Có","SĐT sai định dạng; ","")&amp;IF($R929="Trùng","Trùng SĐT; ","")&amp;IF($Q929&lt;&gt;"Có","Thiếu đồng ý bắt buộc; ","")&amp;IF($L929="","Thiếu/sai Mã REF; ",IF(AND($L929="Chưa xác định",DANH_MUC!$L$9&lt;&gt;"Có"),"Nguồn chưa xác định; ","")))</f>
        <v/>
      </c>
      <c r="V929" s="22">
        <f>IF(OR($D929="",$R929="Trùng"),"",IF(COUNTIF(ORDERS!$C$2:$C$4995,$D929)&gt;0,"Có","Không"))</f>
        <v/>
      </c>
      <c r="W929" s="22">
        <f>IF(OR($D929="",$R929="Trùng"),"",COUNTIFS(ORDERS!$C$2:$C$4995,$D929,ORDERS!$L$2:$L$4995,"Đã chuyển khoản"))</f>
        <v/>
      </c>
      <c r="X929" s="23">
        <f>IF(OR($D929="",$R929="Trùng"),"",SUMIFS(ORDERS!$J$2:$J$4995,ORDERS!$C$2:$C$4995,$D929,ORDERS!$L$2:$L$4995,"Đã chuyển khoản"))</f>
        <v/>
      </c>
      <c r="Y929" s="24" t="n"/>
    </row>
    <row r="930" ht="14.25" customHeight="1" s="40">
      <c r="A930" s="24" t="n"/>
      <c r="B930" s="27" t="n"/>
      <c r="C930" s="24" t="n"/>
      <c r="D930" s="28" t="n"/>
      <c r="E930" s="29" t="n"/>
      <c r="F930" s="24" t="n"/>
      <c r="G930" s="24" t="n"/>
      <c r="H930" s="21">
        <f>IF(ISNUMBER($B930),INT($B930)-WEEKDAY($B930,2)+1,"")</f>
        <v/>
      </c>
      <c r="I930" s="24" t="n"/>
      <c r="J930" s="22">
        <f t="array" ref="J930">IF($D930="","",IF($I930="","(trống REF)",IFERROR(INDEX(MASTER_SOURCE!$B$2:$B$495,MATCH($I930,MASTER_SOURCE!$A$2:$A$495,0)),"(REF không có trong MASTER_SOURCE)")))</f>
        <v/>
      </c>
      <c r="K930" s="22">
        <f t="array" ref="K930">IF($D930="","",IFERROR(INDEX(MASTER_SOURCE!$C$2:$C$495,MATCH($I930,MASTER_SOURCE!$A$2:$A$495,0)),""))</f>
        <v/>
      </c>
      <c r="L930" s="22">
        <f t="array" ref="L930">IF($D930="","",IFERROR(INDEX(MASTER_SOURCE!$D$2:$D$495,MATCH($I930,MASTER_SOURCE!$A$2:$A$495,0)),""))</f>
        <v/>
      </c>
      <c r="M930" s="24" t="n"/>
      <c r="N930" s="24" t="n"/>
      <c r="O930" s="24" t="n"/>
      <c r="P930" s="24" t="n"/>
      <c r="Q930" s="22">
        <f>IF($D930="","",IF(AND(OR(DANH_MUC!$L$5&lt;&gt;"Có",M930="Có"),OR(DANH_MUC!$L$6&lt;&gt;"Có",N930="Có"),OR(DANH_MUC!$L$7&lt;&gt;"Có",O930="Có"),OR(DANH_MUC!$L$8&lt;&gt;"Có",P930="Có")),"Có","Không"))</f>
        <v/>
      </c>
      <c r="R930" s="22">
        <f>IF($D930="","",IF(COUNTIF($D$2:$D930,$D930)&gt;1,"Trùng",""))</f>
        <v/>
      </c>
      <c r="S930" s="22">
        <f>IF($D930="","",IF(AND(LEN($D930)=10,LEFT($D930,1)="0",ISNUMBER(--$D930)),"Có","Không"))</f>
        <v/>
      </c>
      <c r="T930" s="22">
        <f>IF($D930="","",IF(AND($C930&lt;&gt;"",$Q930="Có",$R930="",$S930="Có",AND($L930&lt;&gt;"",OR($L930&lt;&gt;"Chưa xác định",DANH_MUC!$L$9="Có"))),"Có","Không"))</f>
        <v/>
      </c>
      <c r="U930" s="22">
        <f>IF(OR($D930="",$T930="Có"),"",IF($C930="","Thiếu họ tên; ","")&amp;IF($S930&lt;&gt;"Có","SĐT sai định dạng; ","")&amp;IF($R930="Trùng","Trùng SĐT; ","")&amp;IF($Q930&lt;&gt;"Có","Thiếu đồng ý bắt buộc; ","")&amp;IF($L930="","Thiếu/sai Mã REF; ",IF(AND($L930="Chưa xác định",DANH_MUC!$L$9&lt;&gt;"Có"),"Nguồn chưa xác định; ","")))</f>
        <v/>
      </c>
      <c r="V930" s="22">
        <f>IF(OR($D930="",$R930="Trùng"),"",IF(COUNTIF(ORDERS!$C$2:$C$4995,$D930)&gt;0,"Có","Không"))</f>
        <v/>
      </c>
      <c r="W930" s="22">
        <f>IF(OR($D930="",$R930="Trùng"),"",COUNTIFS(ORDERS!$C$2:$C$4995,$D930,ORDERS!$L$2:$L$4995,"Đã chuyển khoản"))</f>
        <v/>
      </c>
      <c r="X930" s="23">
        <f>IF(OR($D930="",$R930="Trùng"),"",SUMIFS(ORDERS!$J$2:$J$4995,ORDERS!$C$2:$C$4995,$D930,ORDERS!$L$2:$L$4995,"Đã chuyển khoản"))</f>
        <v/>
      </c>
      <c r="Y930" s="24" t="n"/>
    </row>
    <row r="931" ht="14.25" customHeight="1" s="40">
      <c r="A931" s="24" t="n"/>
      <c r="B931" s="27" t="n"/>
      <c r="C931" s="24" t="n"/>
      <c r="D931" s="28" t="n"/>
      <c r="E931" s="29" t="n"/>
      <c r="F931" s="24" t="n"/>
      <c r="G931" s="24" t="n"/>
      <c r="H931" s="21">
        <f>IF(ISNUMBER($B931),INT($B931)-WEEKDAY($B931,2)+1,"")</f>
        <v/>
      </c>
      <c r="I931" s="24" t="n"/>
      <c r="J931" s="22">
        <f t="array" ref="J931">IF($D931="","",IF($I931="","(trống REF)",IFERROR(INDEX(MASTER_SOURCE!$B$2:$B$495,MATCH($I931,MASTER_SOURCE!$A$2:$A$495,0)),"(REF không có trong MASTER_SOURCE)")))</f>
        <v/>
      </c>
      <c r="K931" s="22">
        <f t="array" ref="K931">IF($D931="","",IFERROR(INDEX(MASTER_SOURCE!$C$2:$C$495,MATCH($I931,MASTER_SOURCE!$A$2:$A$495,0)),""))</f>
        <v/>
      </c>
      <c r="L931" s="22">
        <f t="array" ref="L931">IF($D931="","",IFERROR(INDEX(MASTER_SOURCE!$D$2:$D$495,MATCH($I931,MASTER_SOURCE!$A$2:$A$495,0)),""))</f>
        <v/>
      </c>
      <c r="M931" s="24" t="n"/>
      <c r="N931" s="24" t="n"/>
      <c r="O931" s="24" t="n"/>
      <c r="P931" s="24" t="n"/>
      <c r="Q931" s="22">
        <f>IF($D931="","",IF(AND(OR(DANH_MUC!$L$5&lt;&gt;"Có",M931="Có"),OR(DANH_MUC!$L$6&lt;&gt;"Có",N931="Có"),OR(DANH_MUC!$L$7&lt;&gt;"Có",O931="Có"),OR(DANH_MUC!$L$8&lt;&gt;"Có",P931="Có")),"Có","Không"))</f>
        <v/>
      </c>
      <c r="R931" s="22">
        <f>IF($D931="","",IF(COUNTIF($D$2:$D931,$D931)&gt;1,"Trùng",""))</f>
        <v/>
      </c>
      <c r="S931" s="22">
        <f>IF($D931="","",IF(AND(LEN($D931)=10,LEFT($D931,1)="0",ISNUMBER(--$D931)),"Có","Không"))</f>
        <v/>
      </c>
      <c r="T931" s="22">
        <f>IF($D931="","",IF(AND($C931&lt;&gt;"",$Q931="Có",$R931="",$S931="Có",AND($L931&lt;&gt;"",OR($L931&lt;&gt;"Chưa xác định",DANH_MUC!$L$9="Có"))),"Có","Không"))</f>
        <v/>
      </c>
      <c r="U931" s="22">
        <f>IF(OR($D931="",$T931="Có"),"",IF($C931="","Thiếu họ tên; ","")&amp;IF($S931&lt;&gt;"Có","SĐT sai định dạng; ","")&amp;IF($R931="Trùng","Trùng SĐT; ","")&amp;IF($Q931&lt;&gt;"Có","Thiếu đồng ý bắt buộc; ","")&amp;IF($L931="","Thiếu/sai Mã REF; ",IF(AND($L931="Chưa xác định",DANH_MUC!$L$9&lt;&gt;"Có"),"Nguồn chưa xác định; ","")))</f>
        <v/>
      </c>
      <c r="V931" s="22">
        <f>IF(OR($D931="",$R931="Trùng"),"",IF(COUNTIF(ORDERS!$C$2:$C$4995,$D931)&gt;0,"Có","Không"))</f>
        <v/>
      </c>
      <c r="W931" s="22">
        <f>IF(OR($D931="",$R931="Trùng"),"",COUNTIFS(ORDERS!$C$2:$C$4995,$D931,ORDERS!$L$2:$L$4995,"Đã chuyển khoản"))</f>
        <v/>
      </c>
      <c r="X931" s="23">
        <f>IF(OR($D931="",$R931="Trùng"),"",SUMIFS(ORDERS!$J$2:$J$4995,ORDERS!$C$2:$C$4995,$D931,ORDERS!$L$2:$L$4995,"Đã chuyển khoản"))</f>
        <v/>
      </c>
      <c r="Y931" s="24" t="n"/>
    </row>
    <row r="932" ht="14.25" customHeight="1" s="40">
      <c r="A932" s="24" t="n"/>
      <c r="B932" s="27" t="n"/>
      <c r="C932" s="24" t="n"/>
      <c r="D932" s="28" t="n"/>
      <c r="E932" s="29" t="n"/>
      <c r="F932" s="24" t="n"/>
      <c r="G932" s="24" t="n"/>
      <c r="H932" s="21">
        <f>IF(ISNUMBER($B932),INT($B932)-WEEKDAY($B932,2)+1,"")</f>
        <v/>
      </c>
      <c r="I932" s="24" t="n"/>
      <c r="J932" s="22">
        <f t="array" ref="J932">IF($D932="","",IF($I932="","(trống REF)",IFERROR(INDEX(MASTER_SOURCE!$B$2:$B$495,MATCH($I932,MASTER_SOURCE!$A$2:$A$495,0)),"(REF không có trong MASTER_SOURCE)")))</f>
        <v/>
      </c>
      <c r="K932" s="22">
        <f t="array" ref="K932">IF($D932="","",IFERROR(INDEX(MASTER_SOURCE!$C$2:$C$495,MATCH($I932,MASTER_SOURCE!$A$2:$A$495,0)),""))</f>
        <v/>
      </c>
      <c r="L932" s="22">
        <f t="array" ref="L932">IF($D932="","",IFERROR(INDEX(MASTER_SOURCE!$D$2:$D$495,MATCH($I932,MASTER_SOURCE!$A$2:$A$495,0)),""))</f>
        <v/>
      </c>
      <c r="M932" s="24" t="n"/>
      <c r="N932" s="24" t="n"/>
      <c r="O932" s="24" t="n"/>
      <c r="P932" s="24" t="n"/>
      <c r="Q932" s="22">
        <f>IF($D932="","",IF(AND(OR(DANH_MUC!$L$5&lt;&gt;"Có",M932="Có"),OR(DANH_MUC!$L$6&lt;&gt;"Có",N932="Có"),OR(DANH_MUC!$L$7&lt;&gt;"Có",O932="Có"),OR(DANH_MUC!$L$8&lt;&gt;"Có",P932="Có")),"Có","Không"))</f>
        <v/>
      </c>
      <c r="R932" s="22">
        <f>IF($D932="","",IF(COUNTIF($D$2:$D932,$D932)&gt;1,"Trùng",""))</f>
        <v/>
      </c>
      <c r="S932" s="22">
        <f>IF($D932="","",IF(AND(LEN($D932)=10,LEFT($D932,1)="0",ISNUMBER(--$D932)),"Có","Không"))</f>
        <v/>
      </c>
      <c r="T932" s="22">
        <f>IF($D932="","",IF(AND($C932&lt;&gt;"",$Q932="Có",$R932="",$S932="Có",AND($L932&lt;&gt;"",OR($L932&lt;&gt;"Chưa xác định",DANH_MUC!$L$9="Có"))),"Có","Không"))</f>
        <v/>
      </c>
      <c r="U932" s="22">
        <f>IF(OR($D932="",$T932="Có"),"",IF($C932="","Thiếu họ tên; ","")&amp;IF($S932&lt;&gt;"Có","SĐT sai định dạng; ","")&amp;IF($R932="Trùng","Trùng SĐT; ","")&amp;IF($Q932&lt;&gt;"Có","Thiếu đồng ý bắt buộc; ","")&amp;IF($L932="","Thiếu/sai Mã REF; ",IF(AND($L932="Chưa xác định",DANH_MUC!$L$9&lt;&gt;"Có"),"Nguồn chưa xác định; ","")))</f>
        <v/>
      </c>
      <c r="V932" s="22">
        <f>IF(OR($D932="",$R932="Trùng"),"",IF(COUNTIF(ORDERS!$C$2:$C$4995,$D932)&gt;0,"Có","Không"))</f>
        <v/>
      </c>
      <c r="W932" s="22">
        <f>IF(OR($D932="",$R932="Trùng"),"",COUNTIFS(ORDERS!$C$2:$C$4995,$D932,ORDERS!$L$2:$L$4995,"Đã chuyển khoản"))</f>
        <v/>
      </c>
      <c r="X932" s="23">
        <f>IF(OR($D932="",$R932="Trùng"),"",SUMIFS(ORDERS!$J$2:$J$4995,ORDERS!$C$2:$C$4995,$D932,ORDERS!$L$2:$L$4995,"Đã chuyển khoản"))</f>
        <v/>
      </c>
      <c r="Y932" s="24" t="n"/>
    </row>
    <row r="933" ht="14.25" customHeight="1" s="40">
      <c r="A933" s="24" t="n"/>
      <c r="B933" s="27" t="n"/>
      <c r="C933" s="24" t="n"/>
      <c r="D933" s="28" t="n"/>
      <c r="E933" s="29" t="n"/>
      <c r="F933" s="24" t="n"/>
      <c r="G933" s="24" t="n"/>
      <c r="H933" s="21">
        <f>IF(ISNUMBER($B933),INT($B933)-WEEKDAY($B933,2)+1,"")</f>
        <v/>
      </c>
      <c r="I933" s="24" t="n"/>
      <c r="J933" s="22">
        <f t="array" ref="J933">IF($D933="","",IF($I933="","(trống REF)",IFERROR(INDEX(MASTER_SOURCE!$B$2:$B$495,MATCH($I933,MASTER_SOURCE!$A$2:$A$495,0)),"(REF không có trong MASTER_SOURCE)")))</f>
        <v/>
      </c>
      <c r="K933" s="22">
        <f t="array" ref="K933">IF($D933="","",IFERROR(INDEX(MASTER_SOURCE!$C$2:$C$495,MATCH($I933,MASTER_SOURCE!$A$2:$A$495,0)),""))</f>
        <v/>
      </c>
      <c r="L933" s="22">
        <f t="array" ref="L933">IF($D933="","",IFERROR(INDEX(MASTER_SOURCE!$D$2:$D$495,MATCH($I933,MASTER_SOURCE!$A$2:$A$495,0)),""))</f>
        <v/>
      </c>
      <c r="M933" s="24" t="n"/>
      <c r="N933" s="24" t="n"/>
      <c r="O933" s="24" t="n"/>
      <c r="P933" s="24" t="n"/>
      <c r="Q933" s="22">
        <f>IF($D933="","",IF(AND(OR(DANH_MUC!$L$5&lt;&gt;"Có",M933="Có"),OR(DANH_MUC!$L$6&lt;&gt;"Có",N933="Có"),OR(DANH_MUC!$L$7&lt;&gt;"Có",O933="Có"),OR(DANH_MUC!$L$8&lt;&gt;"Có",P933="Có")),"Có","Không"))</f>
        <v/>
      </c>
      <c r="R933" s="22">
        <f>IF($D933="","",IF(COUNTIF($D$2:$D933,$D933)&gt;1,"Trùng",""))</f>
        <v/>
      </c>
      <c r="S933" s="22">
        <f>IF($D933="","",IF(AND(LEN($D933)=10,LEFT($D933,1)="0",ISNUMBER(--$D933)),"Có","Không"))</f>
        <v/>
      </c>
      <c r="T933" s="22">
        <f>IF($D933="","",IF(AND($C933&lt;&gt;"",$Q933="Có",$R933="",$S933="Có",AND($L933&lt;&gt;"",OR($L933&lt;&gt;"Chưa xác định",DANH_MUC!$L$9="Có"))),"Có","Không"))</f>
        <v/>
      </c>
      <c r="U933" s="22">
        <f>IF(OR($D933="",$T933="Có"),"",IF($C933="","Thiếu họ tên; ","")&amp;IF($S933&lt;&gt;"Có","SĐT sai định dạng; ","")&amp;IF($R933="Trùng","Trùng SĐT; ","")&amp;IF($Q933&lt;&gt;"Có","Thiếu đồng ý bắt buộc; ","")&amp;IF($L933="","Thiếu/sai Mã REF; ",IF(AND($L933="Chưa xác định",DANH_MUC!$L$9&lt;&gt;"Có"),"Nguồn chưa xác định; ","")))</f>
        <v/>
      </c>
      <c r="V933" s="22">
        <f>IF(OR($D933="",$R933="Trùng"),"",IF(COUNTIF(ORDERS!$C$2:$C$4995,$D933)&gt;0,"Có","Không"))</f>
        <v/>
      </c>
      <c r="W933" s="22">
        <f>IF(OR($D933="",$R933="Trùng"),"",COUNTIFS(ORDERS!$C$2:$C$4995,$D933,ORDERS!$L$2:$L$4995,"Đã chuyển khoản"))</f>
        <v/>
      </c>
      <c r="X933" s="23">
        <f>IF(OR($D933="",$R933="Trùng"),"",SUMIFS(ORDERS!$J$2:$J$4995,ORDERS!$C$2:$C$4995,$D933,ORDERS!$L$2:$L$4995,"Đã chuyển khoản"))</f>
        <v/>
      </c>
      <c r="Y933" s="24" t="n"/>
    </row>
    <row r="934" ht="14.25" customHeight="1" s="40">
      <c r="A934" s="24" t="n"/>
      <c r="B934" s="27" t="n"/>
      <c r="C934" s="24" t="n"/>
      <c r="D934" s="28" t="n"/>
      <c r="E934" s="29" t="n"/>
      <c r="F934" s="24" t="n"/>
      <c r="G934" s="24" t="n"/>
      <c r="H934" s="21">
        <f>IF(ISNUMBER($B934),INT($B934)-WEEKDAY($B934,2)+1,"")</f>
        <v/>
      </c>
      <c r="I934" s="24" t="n"/>
      <c r="J934" s="22">
        <f t="array" ref="J934">IF($D934="","",IF($I934="","(trống REF)",IFERROR(INDEX(MASTER_SOURCE!$B$2:$B$495,MATCH($I934,MASTER_SOURCE!$A$2:$A$495,0)),"(REF không có trong MASTER_SOURCE)")))</f>
        <v/>
      </c>
      <c r="K934" s="22">
        <f t="array" ref="K934">IF($D934="","",IFERROR(INDEX(MASTER_SOURCE!$C$2:$C$495,MATCH($I934,MASTER_SOURCE!$A$2:$A$495,0)),""))</f>
        <v/>
      </c>
      <c r="L934" s="22">
        <f t="array" ref="L934">IF($D934="","",IFERROR(INDEX(MASTER_SOURCE!$D$2:$D$495,MATCH($I934,MASTER_SOURCE!$A$2:$A$495,0)),""))</f>
        <v/>
      </c>
      <c r="M934" s="24" t="n"/>
      <c r="N934" s="24" t="n"/>
      <c r="O934" s="24" t="n"/>
      <c r="P934" s="24" t="n"/>
      <c r="Q934" s="22">
        <f>IF($D934="","",IF(AND(OR(DANH_MUC!$L$5&lt;&gt;"Có",M934="Có"),OR(DANH_MUC!$L$6&lt;&gt;"Có",N934="Có"),OR(DANH_MUC!$L$7&lt;&gt;"Có",O934="Có"),OR(DANH_MUC!$L$8&lt;&gt;"Có",P934="Có")),"Có","Không"))</f>
        <v/>
      </c>
      <c r="R934" s="22">
        <f>IF($D934="","",IF(COUNTIF($D$2:$D934,$D934)&gt;1,"Trùng",""))</f>
        <v/>
      </c>
      <c r="S934" s="22">
        <f>IF($D934="","",IF(AND(LEN($D934)=10,LEFT($D934,1)="0",ISNUMBER(--$D934)),"Có","Không"))</f>
        <v/>
      </c>
      <c r="T934" s="22">
        <f>IF($D934="","",IF(AND($C934&lt;&gt;"",$Q934="Có",$R934="",$S934="Có",AND($L934&lt;&gt;"",OR($L934&lt;&gt;"Chưa xác định",DANH_MUC!$L$9="Có"))),"Có","Không"))</f>
        <v/>
      </c>
      <c r="U934" s="22">
        <f>IF(OR($D934="",$T934="Có"),"",IF($C934="","Thiếu họ tên; ","")&amp;IF($S934&lt;&gt;"Có","SĐT sai định dạng; ","")&amp;IF($R934="Trùng","Trùng SĐT; ","")&amp;IF($Q934&lt;&gt;"Có","Thiếu đồng ý bắt buộc; ","")&amp;IF($L934="","Thiếu/sai Mã REF; ",IF(AND($L934="Chưa xác định",DANH_MUC!$L$9&lt;&gt;"Có"),"Nguồn chưa xác định; ","")))</f>
        <v/>
      </c>
      <c r="V934" s="22">
        <f>IF(OR($D934="",$R934="Trùng"),"",IF(COUNTIF(ORDERS!$C$2:$C$4995,$D934)&gt;0,"Có","Không"))</f>
        <v/>
      </c>
      <c r="W934" s="22">
        <f>IF(OR($D934="",$R934="Trùng"),"",COUNTIFS(ORDERS!$C$2:$C$4995,$D934,ORDERS!$L$2:$L$4995,"Đã chuyển khoản"))</f>
        <v/>
      </c>
      <c r="X934" s="23">
        <f>IF(OR($D934="",$R934="Trùng"),"",SUMIFS(ORDERS!$J$2:$J$4995,ORDERS!$C$2:$C$4995,$D934,ORDERS!$L$2:$L$4995,"Đã chuyển khoản"))</f>
        <v/>
      </c>
      <c r="Y934" s="24" t="n"/>
    </row>
    <row r="935" ht="14.25" customHeight="1" s="40">
      <c r="A935" s="24" t="n"/>
      <c r="B935" s="27" t="n"/>
      <c r="C935" s="24" t="n"/>
      <c r="D935" s="28" t="n"/>
      <c r="E935" s="29" t="n"/>
      <c r="F935" s="24" t="n"/>
      <c r="G935" s="24" t="n"/>
      <c r="H935" s="21">
        <f>IF(ISNUMBER($B935),INT($B935)-WEEKDAY($B935,2)+1,"")</f>
        <v/>
      </c>
      <c r="I935" s="24" t="n"/>
      <c r="J935" s="22">
        <f t="array" ref="J935">IF($D935="","",IF($I935="","(trống REF)",IFERROR(INDEX(MASTER_SOURCE!$B$2:$B$495,MATCH($I935,MASTER_SOURCE!$A$2:$A$495,0)),"(REF không có trong MASTER_SOURCE)")))</f>
        <v/>
      </c>
      <c r="K935" s="22">
        <f t="array" ref="K935">IF($D935="","",IFERROR(INDEX(MASTER_SOURCE!$C$2:$C$495,MATCH($I935,MASTER_SOURCE!$A$2:$A$495,0)),""))</f>
        <v/>
      </c>
      <c r="L935" s="22">
        <f t="array" ref="L935">IF($D935="","",IFERROR(INDEX(MASTER_SOURCE!$D$2:$D$495,MATCH($I935,MASTER_SOURCE!$A$2:$A$495,0)),""))</f>
        <v/>
      </c>
      <c r="M935" s="24" t="n"/>
      <c r="N935" s="24" t="n"/>
      <c r="O935" s="24" t="n"/>
      <c r="P935" s="24" t="n"/>
      <c r="Q935" s="22">
        <f>IF($D935="","",IF(AND(OR(DANH_MUC!$L$5&lt;&gt;"Có",M935="Có"),OR(DANH_MUC!$L$6&lt;&gt;"Có",N935="Có"),OR(DANH_MUC!$L$7&lt;&gt;"Có",O935="Có"),OR(DANH_MUC!$L$8&lt;&gt;"Có",P935="Có")),"Có","Không"))</f>
        <v/>
      </c>
      <c r="R935" s="22">
        <f>IF($D935="","",IF(COUNTIF($D$2:$D935,$D935)&gt;1,"Trùng",""))</f>
        <v/>
      </c>
      <c r="S935" s="22">
        <f>IF($D935="","",IF(AND(LEN($D935)=10,LEFT($D935,1)="0",ISNUMBER(--$D935)),"Có","Không"))</f>
        <v/>
      </c>
      <c r="T935" s="22">
        <f>IF($D935="","",IF(AND($C935&lt;&gt;"",$Q935="Có",$R935="",$S935="Có",AND($L935&lt;&gt;"",OR($L935&lt;&gt;"Chưa xác định",DANH_MUC!$L$9="Có"))),"Có","Không"))</f>
        <v/>
      </c>
      <c r="U935" s="22">
        <f>IF(OR($D935="",$T935="Có"),"",IF($C935="","Thiếu họ tên; ","")&amp;IF($S935&lt;&gt;"Có","SĐT sai định dạng; ","")&amp;IF($R935="Trùng","Trùng SĐT; ","")&amp;IF($Q935&lt;&gt;"Có","Thiếu đồng ý bắt buộc; ","")&amp;IF($L935="","Thiếu/sai Mã REF; ",IF(AND($L935="Chưa xác định",DANH_MUC!$L$9&lt;&gt;"Có"),"Nguồn chưa xác định; ","")))</f>
        <v/>
      </c>
      <c r="V935" s="22">
        <f>IF(OR($D935="",$R935="Trùng"),"",IF(COUNTIF(ORDERS!$C$2:$C$4995,$D935)&gt;0,"Có","Không"))</f>
        <v/>
      </c>
      <c r="W935" s="22">
        <f>IF(OR($D935="",$R935="Trùng"),"",COUNTIFS(ORDERS!$C$2:$C$4995,$D935,ORDERS!$L$2:$L$4995,"Đã chuyển khoản"))</f>
        <v/>
      </c>
      <c r="X935" s="23">
        <f>IF(OR($D935="",$R935="Trùng"),"",SUMIFS(ORDERS!$J$2:$J$4995,ORDERS!$C$2:$C$4995,$D935,ORDERS!$L$2:$L$4995,"Đã chuyển khoản"))</f>
        <v/>
      </c>
      <c r="Y935" s="24" t="n"/>
    </row>
    <row r="936" ht="14.25" customHeight="1" s="40">
      <c r="A936" s="24" t="n"/>
      <c r="B936" s="27" t="n"/>
      <c r="C936" s="24" t="n"/>
      <c r="D936" s="28" t="n"/>
      <c r="E936" s="29" t="n"/>
      <c r="F936" s="24" t="n"/>
      <c r="G936" s="24" t="n"/>
      <c r="H936" s="21">
        <f>IF(ISNUMBER($B936),INT($B936)-WEEKDAY($B936,2)+1,"")</f>
        <v/>
      </c>
      <c r="I936" s="24" t="n"/>
      <c r="J936" s="22">
        <f t="array" ref="J936">IF($D936="","",IF($I936="","(trống REF)",IFERROR(INDEX(MASTER_SOURCE!$B$2:$B$495,MATCH($I936,MASTER_SOURCE!$A$2:$A$495,0)),"(REF không có trong MASTER_SOURCE)")))</f>
        <v/>
      </c>
      <c r="K936" s="22">
        <f t="array" ref="K936">IF($D936="","",IFERROR(INDEX(MASTER_SOURCE!$C$2:$C$495,MATCH($I936,MASTER_SOURCE!$A$2:$A$495,0)),""))</f>
        <v/>
      </c>
      <c r="L936" s="22">
        <f t="array" ref="L936">IF($D936="","",IFERROR(INDEX(MASTER_SOURCE!$D$2:$D$495,MATCH($I936,MASTER_SOURCE!$A$2:$A$495,0)),""))</f>
        <v/>
      </c>
      <c r="M936" s="24" t="n"/>
      <c r="N936" s="24" t="n"/>
      <c r="O936" s="24" t="n"/>
      <c r="P936" s="24" t="n"/>
      <c r="Q936" s="22">
        <f>IF($D936="","",IF(AND(OR(DANH_MUC!$L$5&lt;&gt;"Có",M936="Có"),OR(DANH_MUC!$L$6&lt;&gt;"Có",N936="Có"),OR(DANH_MUC!$L$7&lt;&gt;"Có",O936="Có"),OR(DANH_MUC!$L$8&lt;&gt;"Có",P936="Có")),"Có","Không"))</f>
        <v/>
      </c>
      <c r="R936" s="22">
        <f>IF($D936="","",IF(COUNTIF($D$2:$D936,$D936)&gt;1,"Trùng",""))</f>
        <v/>
      </c>
      <c r="S936" s="22">
        <f>IF($D936="","",IF(AND(LEN($D936)=10,LEFT($D936,1)="0",ISNUMBER(--$D936)),"Có","Không"))</f>
        <v/>
      </c>
      <c r="T936" s="22">
        <f>IF($D936="","",IF(AND($C936&lt;&gt;"",$Q936="Có",$R936="",$S936="Có",AND($L936&lt;&gt;"",OR($L936&lt;&gt;"Chưa xác định",DANH_MUC!$L$9="Có"))),"Có","Không"))</f>
        <v/>
      </c>
      <c r="U936" s="22">
        <f>IF(OR($D936="",$T936="Có"),"",IF($C936="","Thiếu họ tên; ","")&amp;IF($S936&lt;&gt;"Có","SĐT sai định dạng; ","")&amp;IF($R936="Trùng","Trùng SĐT; ","")&amp;IF($Q936&lt;&gt;"Có","Thiếu đồng ý bắt buộc; ","")&amp;IF($L936="","Thiếu/sai Mã REF; ",IF(AND($L936="Chưa xác định",DANH_MUC!$L$9&lt;&gt;"Có"),"Nguồn chưa xác định; ","")))</f>
        <v/>
      </c>
      <c r="V936" s="22">
        <f>IF(OR($D936="",$R936="Trùng"),"",IF(COUNTIF(ORDERS!$C$2:$C$4995,$D936)&gt;0,"Có","Không"))</f>
        <v/>
      </c>
      <c r="W936" s="22">
        <f>IF(OR($D936="",$R936="Trùng"),"",COUNTIFS(ORDERS!$C$2:$C$4995,$D936,ORDERS!$L$2:$L$4995,"Đã chuyển khoản"))</f>
        <v/>
      </c>
      <c r="X936" s="23">
        <f>IF(OR($D936="",$R936="Trùng"),"",SUMIFS(ORDERS!$J$2:$J$4995,ORDERS!$C$2:$C$4995,$D936,ORDERS!$L$2:$L$4995,"Đã chuyển khoản"))</f>
        <v/>
      </c>
      <c r="Y936" s="24" t="n"/>
    </row>
    <row r="937" ht="14.25" customHeight="1" s="40">
      <c r="A937" s="24" t="n"/>
      <c r="B937" s="27" t="n"/>
      <c r="C937" s="24" t="n"/>
      <c r="D937" s="28" t="n"/>
      <c r="E937" s="29" t="n"/>
      <c r="F937" s="24" t="n"/>
      <c r="G937" s="24" t="n"/>
      <c r="H937" s="21">
        <f>IF(ISNUMBER($B937),INT($B937)-WEEKDAY($B937,2)+1,"")</f>
        <v/>
      </c>
      <c r="I937" s="24" t="n"/>
      <c r="J937" s="22">
        <f t="array" ref="J937">IF($D937="","",IF($I937="","(trống REF)",IFERROR(INDEX(MASTER_SOURCE!$B$2:$B$495,MATCH($I937,MASTER_SOURCE!$A$2:$A$495,0)),"(REF không có trong MASTER_SOURCE)")))</f>
        <v/>
      </c>
      <c r="K937" s="22">
        <f t="array" ref="K937">IF($D937="","",IFERROR(INDEX(MASTER_SOURCE!$C$2:$C$495,MATCH($I937,MASTER_SOURCE!$A$2:$A$495,0)),""))</f>
        <v/>
      </c>
      <c r="L937" s="22">
        <f t="array" ref="L937">IF($D937="","",IFERROR(INDEX(MASTER_SOURCE!$D$2:$D$495,MATCH($I937,MASTER_SOURCE!$A$2:$A$495,0)),""))</f>
        <v/>
      </c>
      <c r="M937" s="24" t="n"/>
      <c r="N937" s="24" t="n"/>
      <c r="O937" s="24" t="n"/>
      <c r="P937" s="24" t="n"/>
      <c r="Q937" s="22">
        <f>IF($D937="","",IF(AND(OR(DANH_MUC!$L$5&lt;&gt;"Có",M937="Có"),OR(DANH_MUC!$L$6&lt;&gt;"Có",N937="Có"),OR(DANH_MUC!$L$7&lt;&gt;"Có",O937="Có"),OR(DANH_MUC!$L$8&lt;&gt;"Có",P937="Có")),"Có","Không"))</f>
        <v/>
      </c>
      <c r="R937" s="22">
        <f>IF($D937="","",IF(COUNTIF($D$2:$D937,$D937)&gt;1,"Trùng",""))</f>
        <v/>
      </c>
      <c r="S937" s="22">
        <f>IF($D937="","",IF(AND(LEN($D937)=10,LEFT($D937,1)="0",ISNUMBER(--$D937)),"Có","Không"))</f>
        <v/>
      </c>
      <c r="T937" s="22">
        <f>IF($D937="","",IF(AND($C937&lt;&gt;"",$Q937="Có",$R937="",$S937="Có",AND($L937&lt;&gt;"",OR($L937&lt;&gt;"Chưa xác định",DANH_MUC!$L$9="Có"))),"Có","Không"))</f>
        <v/>
      </c>
      <c r="U937" s="22">
        <f>IF(OR($D937="",$T937="Có"),"",IF($C937="","Thiếu họ tên; ","")&amp;IF($S937&lt;&gt;"Có","SĐT sai định dạng; ","")&amp;IF($R937="Trùng","Trùng SĐT; ","")&amp;IF($Q937&lt;&gt;"Có","Thiếu đồng ý bắt buộc; ","")&amp;IF($L937="","Thiếu/sai Mã REF; ",IF(AND($L937="Chưa xác định",DANH_MUC!$L$9&lt;&gt;"Có"),"Nguồn chưa xác định; ","")))</f>
        <v/>
      </c>
      <c r="V937" s="22">
        <f>IF(OR($D937="",$R937="Trùng"),"",IF(COUNTIF(ORDERS!$C$2:$C$4995,$D937)&gt;0,"Có","Không"))</f>
        <v/>
      </c>
      <c r="W937" s="22">
        <f>IF(OR($D937="",$R937="Trùng"),"",COUNTIFS(ORDERS!$C$2:$C$4995,$D937,ORDERS!$L$2:$L$4995,"Đã chuyển khoản"))</f>
        <v/>
      </c>
      <c r="X937" s="23">
        <f>IF(OR($D937="",$R937="Trùng"),"",SUMIFS(ORDERS!$J$2:$J$4995,ORDERS!$C$2:$C$4995,$D937,ORDERS!$L$2:$L$4995,"Đã chuyển khoản"))</f>
        <v/>
      </c>
      <c r="Y937" s="24" t="n"/>
    </row>
    <row r="938" ht="14.25" customHeight="1" s="40">
      <c r="A938" s="24" t="n"/>
      <c r="B938" s="27" t="n"/>
      <c r="C938" s="24" t="n"/>
      <c r="D938" s="28" t="n"/>
      <c r="E938" s="29" t="n"/>
      <c r="F938" s="24" t="n"/>
      <c r="G938" s="24" t="n"/>
      <c r="H938" s="21">
        <f>IF(ISNUMBER($B938),INT($B938)-WEEKDAY($B938,2)+1,"")</f>
        <v/>
      </c>
      <c r="I938" s="24" t="n"/>
      <c r="J938" s="22">
        <f t="array" ref="J938">IF($D938="","",IF($I938="","(trống REF)",IFERROR(INDEX(MASTER_SOURCE!$B$2:$B$495,MATCH($I938,MASTER_SOURCE!$A$2:$A$495,0)),"(REF không có trong MASTER_SOURCE)")))</f>
        <v/>
      </c>
      <c r="K938" s="22">
        <f t="array" ref="K938">IF($D938="","",IFERROR(INDEX(MASTER_SOURCE!$C$2:$C$495,MATCH($I938,MASTER_SOURCE!$A$2:$A$495,0)),""))</f>
        <v/>
      </c>
      <c r="L938" s="22">
        <f t="array" ref="L938">IF($D938="","",IFERROR(INDEX(MASTER_SOURCE!$D$2:$D$495,MATCH($I938,MASTER_SOURCE!$A$2:$A$495,0)),""))</f>
        <v/>
      </c>
      <c r="M938" s="24" t="n"/>
      <c r="N938" s="24" t="n"/>
      <c r="O938" s="24" t="n"/>
      <c r="P938" s="24" t="n"/>
      <c r="Q938" s="22">
        <f>IF($D938="","",IF(AND(OR(DANH_MUC!$L$5&lt;&gt;"Có",M938="Có"),OR(DANH_MUC!$L$6&lt;&gt;"Có",N938="Có"),OR(DANH_MUC!$L$7&lt;&gt;"Có",O938="Có"),OR(DANH_MUC!$L$8&lt;&gt;"Có",P938="Có")),"Có","Không"))</f>
        <v/>
      </c>
      <c r="R938" s="22">
        <f>IF($D938="","",IF(COUNTIF($D$2:$D938,$D938)&gt;1,"Trùng",""))</f>
        <v/>
      </c>
      <c r="S938" s="22">
        <f>IF($D938="","",IF(AND(LEN($D938)=10,LEFT($D938,1)="0",ISNUMBER(--$D938)),"Có","Không"))</f>
        <v/>
      </c>
      <c r="T938" s="22">
        <f>IF($D938="","",IF(AND($C938&lt;&gt;"",$Q938="Có",$R938="",$S938="Có",AND($L938&lt;&gt;"",OR($L938&lt;&gt;"Chưa xác định",DANH_MUC!$L$9="Có"))),"Có","Không"))</f>
        <v/>
      </c>
      <c r="U938" s="22">
        <f>IF(OR($D938="",$T938="Có"),"",IF($C938="","Thiếu họ tên; ","")&amp;IF($S938&lt;&gt;"Có","SĐT sai định dạng; ","")&amp;IF($R938="Trùng","Trùng SĐT; ","")&amp;IF($Q938&lt;&gt;"Có","Thiếu đồng ý bắt buộc; ","")&amp;IF($L938="","Thiếu/sai Mã REF; ",IF(AND($L938="Chưa xác định",DANH_MUC!$L$9&lt;&gt;"Có"),"Nguồn chưa xác định; ","")))</f>
        <v/>
      </c>
      <c r="V938" s="22">
        <f>IF(OR($D938="",$R938="Trùng"),"",IF(COUNTIF(ORDERS!$C$2:$C$4995,$D938)&gt;0,"Có","Không"))</f>
        <v/>
      </c>
      <c r="W938" s="22">
        <f>IF(OR($D938="",$R938="Trùng"),"",COUNTIFS(ORDERS!$C$2:$C$4995,$D938,ORDERS!$L$2:$L$4995,"Đã chuyển khoản"))</f>
        <v/>
      </c>
      <c r="X938" s="23">
        <f>IF(OR($D938="",$R938="Trùng"),"",SUMIFS(ORDERS!$J$2:$J$4995,ORDERS!$C$2:$C$4995,$D938,ORDERS!$L$2:$L$4995,"Đã chuyển khoản"))</f>
        <v/>
      </c>
      <c r="Y938" s="24" t="n"/>
    </row>
    <row r="939" ht="14.25" customHeight="1" s="40">
      <c r="A939" s="24" t="n"/>
      <c r="B939" s="27" t="n"/>
      <c r="C939" s="24" t="n"/>
      <c r="D939" s="28" t="n"/>
      <c r="E939" s="29" t="n"/>
      <c r="F939" s="24" t="n"/>
      <c r="G939" s="24" t="n"/>
      <c r="H939" s="21">
        <f>IF(ISNUMBER($B939),INT($B939)-WEEKDAY($B939,2)+1,"")</f>
        <v/>
      </c>
      <c r="I939" s="24" t="n"/>
      <c r="J939" s="22">
        <f t="array" ref="J939">IF($D939="","",IF($I939="","(trống REF)",IFERROR(INDEX(MASTER_SOURCE!$B$2:$B$495,MATCH($I939,MASTER_SOURCE!$A$2:$A$495,0)),"(REF không có trong MASTER_SOURCE)")))</f>
        <v/>
      </c>
      <c r="K939" s="22">
        <f t="array" ref="K939">IF($D939="","",IFERROR(INDEX(MASTER_SOURCE!$C$2:$C$495,MATCH($I939,MASTER_SOURCE!$A$2:$A$495,0)),""))</f>
        <v/>
      </c>
      <c r="L939" s="22">
        <f t="array" ref="L939">IF($D939="","",IFERROR(INDEX(MASTER_SOURCE!$D$2:$D$495,MATCH($I939,MASTER_SOURCE!$A$2:$A$495,0)),""))</f>
        <v/>
      </c>
      <c r="M939" s="24" t="n"/>
      <c r="N939" s="24" t="n"/>
      <c r="O939" s="24" t="n"/>
      <c r="P939" s="24" t="n"/>
      <c r="Q939" s="22">
        <f>IF($D939="","",IF(AND(OR(DANH_MUC!$L$5&lt;&gt;"Có",M939="Có"),OR(DANH_MUC!$L$6&lt;&gt;"Có",N939="Có"),OR(DANH_MUC!$L$7&lt;&gt;"Có",O939="Có"),OR(DANH_MUC!$L$8&lt;&gt;"Có",P939="Có")),"Có","Không"))</f>
        <v/>
      </c>
      <c r="R939" s="22">
        <f>IF($D939="","",IF(COUNTIF($D$2:$D939,$D939)&gt;1,"Trùng",""))</f>
        <v/>
      </c>
      <c r="S939" s="22">
        <f>IF($D939="","",IF(AND(LEN($D939)=10,LEFT($D939,1)="0",ISNUMBER(--$D939)),"Có","Không"))</f>
        <v/>
      </c>
      <c r="T939" s="22">
        <f>IF($D939="","",IF(AND($C939&lt;&gt;"",$Q939="Có",$R939="",$S939="Có",AND($L939&lt;&gt;"",OR($L939&lt;&gt;"Chưa xác định",DANH_MUC!$L$9="Có"))),"Có","Không"))</f>
        <v/>
      </c>
      <c r="U939" s="22">
        <f>IF(OR($D939="",$T939="Có"),"",IF($C939="","Thiếu họ tên; ","")&amp;IF($S939&lt;&gt;"Có","SĐT sai định dạng; ","")&amp;IF($R939="Trùng","Trùng SĐT; ","")&amp;IF($Q939&lt;&gt;"Có","Thiếu đồng ý bắt buộc; ","")&amp;IF($L939="","Thiếu/sai Mã REF; ",IF(AND($L939="Chưa xác định",DANH_MUC!$L$9&lt;&gt;"Có"),"Nguồn chưa xác định; ","")))</f>
        <v/>
      </c>
      <c r="V939" s="22">
        <f>IF(OR($D939="",$R939="Trùng"),"",IF(COUNTIF(ORDERS!$C$2:$C$4995,$D939)&gt;0,"Có","Không"))</f>
        <v/>
      </c>
      <c r="W939" s="22">
        <f>IF(OR($D939="",$R939="Trùng"),"",COUNTIFS(ORDERS!$C$2:$C$4995,$D939,ORDERS!$L$2:$L$4995,"Đã chuyển khoản"))</f>
        <v/>
      </c>
      <c r="X939" s="23">
        <f>IF(OR($D939="",$R939="Trùng"),"",SUMIFS(ORDERS!$J$2:$J$4995,ORDERS!$C$2:$C$4995,$D939,ORDERS!$L$2:$L$4995,"Đã chuyển khoản"))</f>
        <v/>
      </c>
      <c r="Y939" s="24" t="n"/>
    </row>
    <row r="940" ht="14.25" customHeight="1" s="40">
      <c r="A940" s="24" t="n"/>
      <c r="B940" s="27" t="n"/>
      <c r="C940" s="24" t="n"/>
      <c r="D940" s="28" t="n"/>
      <c r="E940" s="29" t="n"/>
      <c r="F940" s="24" t="n"/>
      <c r="G940" s="24" t="n"/>
      <c r="H940" s="21">
        <f>IF(ISNUMBER($B940),INT($B940)-WEEKDAY($B940,2)+1,"")</f>
        <v/>
      </c>
      <c r="I940" s="24" t="n"/>
      <c r="J940" s="22">
        <f t="array" ref="J940">IF($D940="","",IF($I940="","(trống REF)",IFERROR(INDEX(MASTER_SOURCE!$B$2:$B$495,MATCH($I940,MASTER_SOURCE!$A$2:$A$495,0)),"(REF không có trong MASTER_SOURCE)")))</f>
        <v/>
      </c>
      <c r="K940" s="22">
        <f t="array" ref="K940">IF($D940="","",IFERROR(INDEX(MASTER_SOURCE!$C$2:$C$495,MATCH($I940,MASTER_SOURCE!$A$2:$A$495,0)),""))</f>
        <v/>
      </c>
      <c r="L940" s="22">
        <f t="array" ref="L940">IF($D940="","",IFERROR(INDEX(MASTER_SOURCE!$D$2:$D$495,MATCH($I940,MASTER_SOURCE!$A$2:$A$495,0)),""))</f>
        <v/>
      </c>
      <c r="M940" s="24" t="n"/>
      <c r="N940" s="24" t="n"/>
      <c r="O940" s="24" t="n"/>
      <c r="P940" s="24" t="n"/>
      <c r="Q940" s="22">
        <f>IF($D940="","",IF(AND(OR(DANH_MUC!$L$5&lt;&gt;"Có",M940="Có"),OR(DANH_MUC!$L$6&lt;&gt;"Có",N940="Có"),OR(DANH_MUC!$L$7&lt;&gt;"Có",O940="Có"),OR(DANH_MUC!$L$8&lt;&gt;"Có",P940="Có")),"Có","Không"))</f>
        <v/>
      </c>
      <c r="R940" s="22">
        <f>IF($D940="","",IF(COUNTIF($D$2:$D940,$D940)&gt;1,"Trùng",""))</f>
        <v/>
      </c>
      <c r="S940" s="22">
        <f>IF($D940="","",IF(AND(LEN($D940)=10,LEFT($D940,1)="0",ISNUMBER(--$D940)),"Có","Không"))</f>
        <v/>
      </c>
      <c r="T940" s="22">
        <f>IF($D940="","",IF(AND($C940&lt;&gt;"",$Q940="Có",$R940="",$S940="Có",AND($L940&lt;&gt;"",OR($L940&lt;&gt;"Chưa xác định",DANH_MUC!$L$9="Có"))),"Có","Không"))</f>
        <v/>
      </c>
      <c r="U940" s="22">
        <f>IF(OR($D940="",$T940="Có"),"",IF($C940="","Thiếu họ tên; ","")&amp;IF($S940&lt;&gt;"Có","SĐT sai định dạng; ","")&amp;IF($R940="Trùng","Trùng SĐT; ","")&amp;IF($Q940&lt;&gt;"Có","Thiếu đồng ý bắt buộc; ","")&amp;IF($L940="","Thiếu/sai Mã REF; ",IF(AND($L940="Chưa xác định",DANH_MUC!$L$9&lt;&gt;"Có"),"Nguồn chưa xác định; ","")))</f>
        <v/>
      </c>
      <c r="V940" s="22">
        <f>IF(OR($D940="",$R940="Trùng"),"",IF(COUNTIF(ORDERS!$C$2:$C$4995,$D940)&gt;0,"Có","Không"))</f>
        <v/>
      </c>
      <c r="W940" s="22">
        <f>IF(OR($D940="",$R940="Trùng"),"",COUNTIFS(ORDERS!$C$2:$C$4995,$D940,ORDERS!$L$2:$L$4995,"Đã chuyển khoản"))</f>
        <v/>
      </c>
      <c r="X940" s="23">
        <f>IF(OR($D940="",$R940="Trùng"),"",SUMIFS(ORDERS!$J$2:$J$4995,ORDERS!$C$2:$C$4995,$D940,ORDERS!$L$2:$L$4995,"Đã chuyển khoản"))</f>
        <v/>
      </c>
      <c r="Y940" s="24" t="n"/>
    </row>
    <row r="941" ht="14.25" customHeight="1" s="40">
      <c r="A941" s="24" t="n"/>
      <c r="B941" s="27" t="n"/>
      <c r="C941" s="24" t="n"/>
      <c r="D941" s="28" t="n"/>
      <c r="E941" s="29" t="n"/>
      <c r="F941" s="24" t="n"/>
      <c r="G941" s="24" t="n"/>
      <c r="H941" s="21">
        <f>IF(ISNUMBER($B941),INT($B941)-WEEKDAY($B941,2)+1,"")</f>
        <v/>
      </c>
      <c r="I941" s="24" t="n"/>
      <c r="J941" s="22">
        <f t="array" ref="J941">IF($D941="","",IF($I941="","(trống REF)",IFERROR(INDEX(MASTER_SOURCE!$B$2:$B$495,MATCH($I941,MASTER_SOURCE!$A$2:$A$495,0)),"(REF không có trong MASTER_SOURCE)")))</f>
        <v/>
      </c>
      <c r="K941" s="22">
        <f t="array" ref="K941">IF($D941="","",IFERROR(INDEX(MASTER_SOURCE!$C$2:$C$495,MATCH($I941,MASTER_SOURCE!$A$2:$A$495,0)),""))</f>
        <v/>
      </c>
      <c r="L941" s="22">
        <f t="array" ref="L941">IF($D941="","",IFERROR(INDEX(MASTER_SOURCE!$D$2:$D$495,MATCH($I941,MASTER_SOURCE!$A$2:$A$495,0)),""))</f>
        <v/>
      </c>
      <c r="M941" s="24" t="n"/>
      <c r="N941" s="24" t="n"/>
      <c r="O941" s="24" t="n"/>
      <c r="P941" s="24" t="n"/>
      <c r="Q941" s="22">
        <f>IF($D941="","",IF(AND(OR(DANH_MUC!$L$5&lt;&gt;"Có",M941="Có"),OR(DANH_MUC!$L$6&lt;&gt;"Có",N941="Có"),OR(DANH_MUC!$L$7&lt;&gt;"Có",O941="Có"),OR(DANH_MUC!$L$8&lt;&gt;"Có",P941="Có")),"Có","Không"))</f>
        <v/>
      </c>
      <c r="R941" s="22">
        <f>IF($D941="","",IF(COUNTIF($D$2:$D941,$D941)&gt;1,"Trùng",""))</f>
        <v/>
      </c>
      <c r="S941" s="22">
        <f>IF($D941="","",IF(AND(LEN($D941)=10,LEFT($D941,1)="0",ISNUMBER(--$D941)),"Có","Không"))</f>
        <v/>
      </c>
      <c r="T941" s="22">
        <f>IF($D941="","",IF(AND($C941&lt;&gt;"",$Q941="Có",$R941="",$S941="Có",AND($L941&lt;&gt;"",OR($L941&lt;&gt;"Chưa xác định",DANH_MUC!$L$9="Có"))),"Có","Không"))</f>
        <v/>
      </c>
      <c r="U941" s="22">
        <f>IF(OR($D941="",$T941="Có"),"",IF($C941="","Thiếu họ tên; ","")&amp;IF($S941&lt;&gt;"Có","SĐT sai định dạng; ","")&amp;IF($R941="Trùng","Trùng SĐT; ","")&amp;IF($Q941&lt;&gt;"Có","Thiếu đồng ý bắt buộc; ","")&amp;IF($L941="","Thiếu/sai Mã REF; ",IF(AND($L941="Chưa xác định",DANH_MUC!$L$9&lt;&gt;"Có"),"Nguồn chưa xác định; ","")))</f>
        <v/>
      </c>
      <c r="V941" s="22">
        <f>IF(OR($D941="",$R941="Trùng"),"",IF(COUNTIF(ORDERS!$C$2:$C$4995,$D941)&gt;0,"Có","Không"))</f>
        <v/>
      </c>
      <c r="W941" s="22">
        <f>IF(OR($D941="",$R941="Trùng"),"",COUNTIFS(ORDERS!$C$2:$C$4995,$D941,ORDERS!$L$2:$L$4995,"Đã chuyển khoản"))</f>
        <v/>
      </c>
      <c r="X941" s="23">
        <f>IF(OR($D941="",$R941="Trùng"),"",SUMIFS(ORDERS!$J$2:$J$4995,ORDERS!$C$2:$C$4995,$D941,ORDERS!$L$2:$L$4995,"Đã chuyển khoản"))</f>
        <v/>
      </c>
      <c r="Y941" s="24" t="n"/>
    </row>
    <row r="942" ht="14.25" customHeight="1" s="40">
      <c r="A942" s="24" t="n"/>
      <c r="B942" s="27" t="n"/>
      <c r="C942" s="24" t="n"/>
      <c r="D942" s="28" t="n"/>
      <c r="E942" s="29" t="n"/>
      <c r="F942" s="24" t="n"/>
      <c r="G942" s="24" t="n"/>
      <c r="H942" s="21">
        <f>IF(ISNUMBER($B942),INT($B942)-WEEKDAY($B942,2)+1,"")</f>
        <v/>
      </c>
      <c r="I942" s="24" t="n"/>
      <c r="J942" s="22">
        <f t="array" ref="J942">IF($D942="","",IF($I942="","(trống REF)",IFERROR(INDEX(MASTER_SOURCE!$B$2:$B$495,MATCH($I942,MASTER_SOURCE!$A$2:$A$495,0)),"(REF không có trong MASTER_SOURCE)")))</f>
        <v/>
      </c>
      <c r="K942" s="22">
        <f t="array" ref="K942">IF($D942="","",IFERROR(INDEX(MASTER_SOURCE!$C$2:$C$495,MATCH($I942,MASTER_SOURCE!$A$2:$A$495,0)),""))</f>
        <v/>
      </c>
      <c r="L942" s="22">
        <f t="array" ref="L942">IF($D942="","",IFERROR(INDEX(MASTER_SOURCE!$D$2:$D$495,MATCH($I942,MASTER_SOURCE!$A$2:$A$495,0)),""))</f>
        <v/>
      </c>
      <c r="M942" s="24" t="n"/>
      <c r="N942" s="24" t="n"/>
      <c r="O942" s="24" t="n"/>
      <c r="P942" s="24" t="n"/>
      <c r="Q942" s="22">
        <f>IF($D942="","",IF(AND(OR(DANH_MUC!$L$5&lt;&gt;"Có",M942="Có"),OR(DANH_MUC!$L$6&lt;&gt;"Có",N942="Có"),OR(DANH_MUC!$L$7&lt;&gt;"Có",O942="Có"),OR(DANH_MUC!$L$8&lt;&gt;"Có",P942="Có")),"Có","Không"))</f>
        <v/>
      </c>
      <c r="R942" s="22">
        <f>IF($D942="","",IF(COUNTIF($D$2:$D942,$D942)&gt;1,"Trùng",""))</f>
        <v/>
      </c>
      <c r="S942" s="22">
        <f>IF($D942="","",IF(AND(LEN($D942)=10,LEFT($D942,1)="0",ISNUMBER(--$D942)),"Có","Không"))</f>
        <v/>
      </c>
      <c r="T942" s="22">
        <f>IF($D942="","",IF(AND($C942&lt;&gt;"",$Q942="Có",$R942="",$S942="Có",AND($L942&lt;&gt;"",OR($L942&lt;&gt;"Chưa xác định",DANH_MUC!$L$9="Có"))),"Có","Không"))</f>
        <v/>
      </c>
      <c r="U942" s="22">
        <f>IF(OR($D942="",$T942="Có"),"",IF($C942="","Thiếu họ tên; ","")&amp;IF($S942&lt;&gt;"Có","SĐT sai định dạng; ","")&amp;IF($R942="Trùng","Trùng SĐT; ","")&amp;IF($Q942&lt;&gt;"Có","Thiếu đồng ý bắt buộc; ","")&amp;IF($L942="","Thiếu/sai Mã REF; ",IF(AND($L942="Chưa xác định",DANH_MUC!$L$9&lt;&gt;"Có"),"Nguồn chưa xác định; ","")))</f>
        <v/>
      </c>
      <c r="V942" s="22">
        <f>IF(OR($D942="",$R942="Trùng"),"",IF(COUNTIF(ORDERS!$C$2:$C$4995,$D942)&gt;0,"Có","Không"))</f>
        <v/>
      </c>
      <c r="W942" s="22">
        <f>IF(OR($D942="",$R942="Trùng"),"",COUNTIFS(ORDERS!$C$2:$C$4995,$D942,ORDERS!$L$2:$L$4995,"Đã chuyển khoản"))</f>
        <v/>
      </c>
      <c r="X942" s="23">
        <f>IF(OR($D942="",$R942="Trùng"),"",SUMIFS(ORDERS!$J$2:$J$4995,ORDERS!$C$2:$C$4995,$D942,ORDERS!$L$2:$L$4995,"Đã chuyển khoản"))</f>
        <v/>
      </c>
      <c r="Y942" s="24" t="n"/>
    </row>
    <row r="943" ht="14.25" customHeight="1" s="40">
      <c r="A943" s="24" t="n"/>
      <c r="B943" s="27" t="n"/>
      <c r="C943" s="24" t="n"/>
      <c r="D943" s="28" t="n"/>
      <c r="E943" s="29" t="n"/>
      <c r="F943" s="24" t="n"/>
      <c r="G943" s="24" t="n"/>
      <c r="H943" s="21">
        <f>IF(ISNUMBER($B943),INT($B943)-WEEKDAY($B943,2)+1,"")</f>
        <v/>
      </c>
      <c r="I943" s="24" t="n"/>
      <c r="J943" s="22">
        <f t="array" ref="J943">IF($D943="","",IF($I943="","(trống REF)",IFERROR(INDEX(MASTER_SOURCE!$B$2:$B$495,MATCH($I943,MASTER_SOURCE!$A$2:$A$495,0)),"(REF không có trong MASTER_SOURCE)")))</f>
        <v/>
      </c>
      <c r="K943" s="22">
        <f t="array" ref="K943">IF($D943="","",IFERROR(INDEX(MASTER_SOURCE!$C$2:$C$495,MATCH($I943,MASTER_SOURCE!$A$2:$A$495,0)),""))</f>
        <v/>
      </c>
      <c r="L943" s="22">
        <f t="array" ref="L943">IF($D943="","",IFERROR(INDEX(MASTER_SOURCE!$D$2:$D$495,MATCH($I943,MASTER_SOURCE!$A$2:$A$495,0)),""))</f>
        <v/>
      </c>
      <c r="M943" s="24" t="n"/>
      <c r="N943" s="24" t="n"/>
      <c r="O943" s="24" t="n"/>
      <c r="P943" s="24" t="n"/>
      <c r="Q943" s="22">
        <f>IF($D943="","",IF(AND(OR(DANH_MUC!$L$5&lt;&gt;"Có",M943="Có"),OR(DANH_MUC!$L$6&lt;&gt;"Có",N943="Có"),OR(DANH_MUC!$L$7&lt;&gt;"Có",O943="Có"),OR(DANH_MUC!$L$8&lt;&gt;"Có",P943="Có")),"Có","Không"))</f>
        <v/>
      </c>
      <c r="R943" s="22">
        <f>IF($D943="","",IF(COUNTIF($D$2:$D943,$D943)&gt;1,"Trùng",""))</f>
        <v/>
      </c>
      <c r="S943" s="22">
        <f>IF($D943="","",IF(AND(LEN($D943)=10,LEFT($D943,1)="0",ISNUMBER(--$D943)),"Có","Không"))</f>
        <v/>
      </c>
      <c r="T943" s="22">
        <f>IF($D943="","",IF(AND($C943&lt;&gt;"",$Q943="Có",$R943="",$S943="Có",AND($L943&lt;&gt;"",OR($L943&lt;&gt;"Chưa xác định",DANH_MUC!$L$9="Có"))),"Có","Không"))</f>
        <v/>
      </c>
      <c r="U943" s="22">
        <f>IF(OR($D943="",$T943="Có"),"",IF($C943="","Thiếu họ tên; ","")&amp;IF($S943&lt;&gt;"Có","SĐT sai định dạng; ","")&amp;IF($R943="Trùng","Trùng SĐT; ","")&amp;IF($Q943&lt;&gt;"Có","Thiếu đồng ý bắt buộc; ","")&amp;IF($L943="","Thiếu/sai Mã REF; ",IF(AND($L943="Chưa xác định",DANH_MUC!$L$9&lt;&gt;"Có"),"Nguồn chưa xác định; ","")))</f>
        <v/>
      </c>
      <c r="V943" s="22">
        <f>IF(OR($D943="",$R943="Trùng"),"",IF(COUNTIF(ORDERS!$C$2:$C$4995,$D943)&gt;0,"Có","Không"))</f>
        <v/>
      </c>
      <c r="W943" s="22">
        <f>IF(OR($D943="",$R943="Trùng"),"",COUNTIFS(ORDERS!$C$2:$C$4995,$D943,ORDERS!$L$2:$L$4995,"Đã chuyển khoản"))</f>
        <v/>
      </c>
      <c r="X943" s="23">
        <f>IF(OR($D943="",$R943="Trùng"),"",SUMIFS(ORDERS!$J$2:$J$4995,ORDERS!$C$2:$C$4995,$D943,ORDERS!$L$2:$L$4995,"Đã chuyển khoản"))</f>
        <v/>
      </c>
      <c r="Y943" s="24" t="n"/>
    </row>
    <row r="944" ht="14.25" customHeight="1" s="40">
      <c r="A944" s="24" t="n"/>
      <c r="B944" s="27" t="n"/>
      <c r="C944" s="24" t="n"/>
      <c r="D944" s="28" t="n"/>
      <c r="E944" s="29" t="n"/>
      <c r="F944" s="24" t="n"/>
      <c r="G944" s="24" t="n"/>
      <c r="H944" s="21">
        <f>IF(ISNUMBER($B944),INT($B944)-WEEKDAY($B944,2)+1,"")</f>
        <v/>
      </c>
      <c r="I944" s="24" t="n"/>
      <c r="J944" s="22">
        <f t="array" ref="J944">IF($D944="","",IF($I944="","(trống REF)",IFERROR(INDEX(MASTER_SOURCE!$B$2:$B$495,MATCH($I944,MASTER_SOURCE!$A$2:$A$495,0)),"(REF không có trong MASTER_SOURCE)")))</f>
        <v/>
      </c>
      <c r="K944" s="22">
        <f t="array" ref="K944">IF($D944="","",IFERROR(INDEX(MASTER_SOURCE!$C$2:$C$495,MATCH($I944,MASTER_SOURCE!$A$2:$A$495,0)),""))</f>
        <v/>
      </c>
      <c r="L944" s="22">
        <f t="array" ref="L944">IF($D944="","",IFERROR(INDEX(MASTER_SOURCE!$D$2:$D$495,MATCH($I944,MASTER_SOURCE!$A$2:$A$495,0)),""))</f>
        <v/>
      </c>
      <c r="M944" s="24" t="n"/>
      <c r="N944" s="24" t="n"/>
      <c r="O944" s="24" t="n"/>
      <c r="P944" s="24" t="n"/>
      <c r="Q944" s="22">
        <f>IF($D944="","",IF(AND(OR(DANH_MUC!$L$5&lt;&gt;"Có",M944="Có"),OR(DANH_MUC!$L$6&lt;&gt;"Có",N944="Có"),OR(DANH_MUC!$L$7&lt;&gt;"Có",O944="Có"),OR(DANH_MUC!$L$8&lt;&gt;"Có",P944="Có")),"Có","Không"))</f>
        <v/>
      </c>
      <c r="R944" s="22">
        <f>IF($D944="","",IF(COUNTIF($D$2:$D944,$D944)&gt;1,"Trùng",""))</f>
        <v/>
      </c>
      <c r="S944" s="22">
        <f>IF($D944="","",IF(AND(LEN($D944)=10,LEFT($D944,1)="0",ISNUMBER(--$D944)),"Có","Không"))</f>
        <v/>
      </c>
      <c r="T944" s="22">
        <f>IF($D944="","",IF(AND($C944&lt;&gt;"",$Q944="Có",$R944="",$S944="Có",AND($L944&lt;&gt;"",OR($L944&lt;&gt;"Chưa xác định",DANH_MUC!$L$9="Có"))),"Có","Không"))</f>
        <v/>
      </c>
      <c r="U944" s="22">
        <f>IF(OR($D944="",$T944="Có"),"",IF($C944="","Thiếu họ tên; ","")&amp;IF($S944&lt;&gt;"Có","SĐT sai định dạng; ","")&amp;IF($R944="Trùng","Trùng SĐT; ","")&amp;IF($Q944&lt;&gt;"Có","Thiếu đồng ý bắt buộc; ","")&amp;IF($L944="","Thiếu/sai Mã REF; ",IF(AND($L944="Chưa xác định",DANH_MUC!$L$9&lt;&gt;"Có"),"Nguồn chưa xác định; ","")))</f>
        <v/>
      </c>
      <c r="V944" s="22">
        <f>IF(OR($D944="",$R944="Trùng"),"",IF(COUNTIF(ORDERS!$C$2:$C$4995,$D944)&gt;0,"Có","Không"))</f>
        <v/>
      </c>
      <c r="W944" s="22">
        <f>IF(OR($D944="",$R944="Trùng"),"",COUNTIFS(ORDERS!$C$2:$C$4995,$D944,ORDERS!$L$2:$L$4995,"Đã chuyển khoản"))</f>
        <v/>
      </c>
      <c r="X944" s="23">
        <f>IF(OR($D944="",$R944="Trùng"),"",SUMIFS(ORDERS!$J$2:$J$4995,ORDERS!$C$2:$C$4995,$D944,ORDERS!$L$2:$L$4995,"Đã chuyển khoản"))</f>
        <v/>
      </c>
      <c r="Y944" s="24" t="n"/>
    </row>
    <row r="945" ht="14.25" customHeight="1" s="40">
      <c r="A945" s="24" t="n"/>
      <c r="B945" s="27" t="n"/>
      <c r="C945" s="24" t="n"/>
      <c r="D945" s="28" t="n"/>
      <c r="E945" s="29" t="n"/>
      <c r="F945" s="24" t="n"/>
      <c r="G945" s="24" t="n"/>
      <c r="H945" s="21">
        <f>IF(ISNUMBER($B945),INT($B945)-WEEKDAY($B945,2)+1,"")</f>
        <v/>
      </c>
      <c r="I945" s="24" t="n"/>
      <c r="J945" s="22">
        <f t="array" ref="J945">IF($D945="","",IF($I945="","(trống REF)",IFERROR(INDEX(MASTER_SOURCE!$B$2:$B$495,MATCH($I945,MASTER_SOURCE!$A$2:$A$495,0)),"(REF không có trong MASTER_SOURCE)")))</f>
        <v/>
      </c>
      <c r="K945" s="22">
        <f t="array" ref="K945">IF($D945="","",IFERROR(INDEX(MASTER_SOURCE!$C$2:$C$495,MATCH($I945,MASTER_SOURCE!$A$2:$A$495,0)),""))</f>
        <v/>
      </c>
      <c r="L945" s="22">
        <f t="array" ref="L945">IF($D945="","",IFERROR(INDEX(MASTER_SOURCE!$D$2:$D$495,MATCH($I945,MASTER_SOURCE!$A$2:$A$495,0)),""))</f>
        <v/>
      </c>
      <c r="M945" s="24" t="n"/>
      <c r="N945" s="24" t="n"/>
      <c r="O945" s="24" t="n"/>
      <c r="P945" s="24" t="n"/>
      <c r="Q945" s="22">
        <f>IF($D945="","",IF(AND(OR(DANH_MUC!$L$5&lt;&gt;"Có",M945="Có"),OR(DANH_MUC!$L$6&lt;&gt;"Có",N945="Có"),OR(DANH_MUC!$L$7&lt;&gt;"Có",O945="Có"),OR(DANH_MUC!$L$8&lt;&gt;"Có",P945="Có")),"Có","Không"))</f>
        <v/>
      </c>
      <c r="R945" s="22">
        <f>IF($D945="","",IF(COUNTIF($D$2:$D945,$D945)&gt;1,"Trùng",""))</f>
        <v/>
      </c>
      <c r="S945" s="22">
        <f>IF($D945="","",IF(AND(LEN($D945)=10,LEFT($D945,1)="0",ISNUMBER(--$D945)),"Có","Không"))</f>
        <v/>
      </c>
      <c r="T945" s="22">
        <f>IF($D945="","",IF(AND($C945&lt;&gt;"",$Q945="Có",$R945="",$S945="Có",AND($L945&lt;&gt;"",OR($L945&lt;&gt;"Chưa xác định",DANH_MUC!$L$9="Có"))),"Có","Không"))</f>
        <v/>
      </c>
      <c r="U945" s="22">
        <f>IF(OR($D945="",$T945="Có"),"",IF($C945="","Thiếu họ tên; ","")&amp;IF($S945&lt;&gt;"Có","SĐT sai định dạng; ","")&amp;IF($R945="Trùng","Trùng SĐT; ","")&amp;IF($Q945&lt;&gt;"Có","Thiếu đồng ý bắt buộc; ","")&amp;IF($L945="","Thiếu/sai Mã REF; ",IF(AND($L945="Chưa xác định",DANH_MUC!$L$9&lt;&gt;"Có"),"Nguồn chưa xác định; ","")))</f>
        <v/>
      </c>
      <c r="V945" s="22">
        <f>IF(OR($D945="",$R945="Trùng"),"",IF(COUNTIF(ORDERS!$C$2:$C$4995,$D945)&gt;0,"Có","Không"))</f>
        <v/>
      </c>
      <c r="W945" s="22">
        <f>IF(OR($D945="",$R945="Trùng"),"",COUNTIFS(ORDERS!$C$2:$C$4995,$D945,ORDERS!$L$2:$L$4995,"Đã chuyển khoản"))</f>
        <v/>
      </c>
      <c r="X945" s="23">
        <f>IF(OR($D945="",$R945="Trùng"),"",SUMIFS(ORDERS!$J$2:$J$4995,ORDERS!$C$2:$C$4995,$D945,ORDERS!$L$2:$L$4995,"Đã chuyển khoản"))</f>
        <v/>
      </c>
      <c r="Y945" s="24" t="n"/>
    </row>
    <row r="946" ht="14.25" customHeight="1" s="40">
      <c r="A946" s="24" t="n"/>
      <c r="B946" s="27" t="n"/>
      <c r="C946" s="24" t="n"/>
      <c r="D946" s="28" t="n"/>
      <c r="E946" s="29" t="n"/>
      <c r="F946" s="24" t="n"/>
      <c r="G946" s="24" t="n"/>
      <c r="H946" s="21">
        <f>IF(ISNUMBER($B946),INT($B946)-WEEKDAY($B946,2)+1,"")</f>
        <v/>
      </c>
      <c r="I946" s="24" t="n"/>
      <c r="J946" s="22">
        <f t="array" ref="J946">IF($D946="","",IF($I946="","(trống REF)",IFERROR(INDEX(MASTER_SOURCE!$B$2:$B$495,MATCH($I946,MASTER_SOURCE!$A$2:$A$495,0)),"(REF không có trong MASTER_SOURCE)")))</f>
        <v/>
      </c>
      <c r="K946" s="22">
        <f t="array" ref="K946">IF($D946="","",IFERROR(INDEX(MASTER_SOURCE!$C$2:$C$495,MATCH($I946,MASTER_SOURCE!$A$2:$A$495,0)),""))</f>
        <v/>
      </c>
      <c r="L946" s="22">
        <f t="array" ref="L946">IF($D946="","",IFERROR(INDEX(MASTER_SOURCE!$D$2:$D$495,MATCH($I946,MASTER_SOURCE!$A$2:$A$495,0)),""))</f>
        <v/>
      </c>
      <c r="M946" s="24" t="n"/>
      <c r="N946" s="24" t="n"/>
      <c r="O946" s="24" t="n"/>
      <c r="P946" s="24" t="n"/>
      <c r="Q946" s="22">
        <f>IF($D946="","",IF(AND(OR(DANH_MUC!$L$5&lt;&gt;"Có",M946="Có"),OR(DANH_MUC!$L$6&lt;&gt;"Có",N946="Có"),OR(DANH_MUC!$L$7&lt;&gt;"Có",O946="Có"),OR(DANH_MUC!$L$8&lt;&gt;"Có",P946="Có")),"Có","Không"))</f>
        <v/>
      </c>
      <c r="R946" s="22">
        <f>IF($D946="","",IF(COUNTIF($D$2:$D946,$D946)&gt;1,"Trùng",""))</f>
        <v/>
      </c>
      <c r="S946" s="22">
        <f>IF($D946="","",IF(AND(LEN($D946)=10,LEFT($D946,1)="0",ISNUMBER(--$D946)),"Có","Không"))</f>
        <v/>
      </c>
      <c r="T946" s="22">
        <f>IF($D946="","",IF(AND($C946&lt;&gt;"",$Q946="Có",$R946="",$S946="Có",AND($L946&lt;&gt;"",OR($L946&lt;&gt;"Chưa xác định",DANH_MUC!$L$9="Có"))),"Có","Không"))</f>
        <v/>
      </c>
      <c r="U946" s="22">
        <f>IF(OR($D946="",$T946="Có"),"",IF($C946="","Thiếu họ tên; ","")&amp;IF($S946&lt;&gt;"Có","SĐT sai định dạng; ","")&amp;IF($R946="Trùng","Trùng SĐT; ","")&amp;IF($Q946&lt;&gt;"Có","Thiếu đồng ý bắt buộc; ","")&amp;IF($L946="","Thiếu/sai Mã REF; ",IF(AND($L946="Chưa xác định",DANH_MUC!$L$9&lt;&gt;"Có"),"Nguồn chưa xác định; ","")))</f>
        <v/>
      </c>
      <c r="V946" s="22">
        <f>IF(OR($D946="",$R946="Trùng"),"",IF(COUNTIF(ORDERS!$C$2:$C$4995,$D946)&gt;0,"Có","Không"))</f>
        <v/>
      </c>
      <c r="W946" s="22">
        <f>IF(OR($D946="",$R946="Trùng"),"",COUNTIFS(ORDERS!$C$2:$C$4995,$D946,ORDERS!$L$2:$L$4995,"Đã chuyển khoản"))</f>
        <v/>
      </c>
      <c r="X946" s="23">
        <f>IF(OR($D946="",$R946="Trùng"),"",SUMIFS(ORDERS!$J$2:$J$4995,ORDERS!$C$2:$C$4995,$D946,ORDERS!$L$2:$L$4995,"Đã chuyển khoản"))</f>
        <v/>
      </c>
      <c r="Y946" s="24" t="n"/>
    </row>
    <row r="947" ht="14.25" customHeight="1" s="40">
      <c r="A947" s="24" t="n"/>
      <c r="B947" s="27" t="n"/>
      <c r="C947" s="24" t="n"/>
      <c r="D947" s="28" t="n"/>
      <c r="E947" s="29" t="n"/>
      <c r="F947" s="24" t="n"/>
      <c r="G947" s="24" t="n"/>
      <c r="H947" s="21">
        <f>IF(ISNUMBER($B947),INT($B947)-WEEKDAY($B947,2)+1,"")</f>
        <v/>
      </c>
      <c r="I947" s="24" t="n"/>
      <c r="J947" s="22">
        <f t="array" ref="J947">IF($D947="","",IF($I947="","(trống REF)",IFERROR(INDEX(MASTER_SOURCE!$B$2:$B$495,MATCH($I947,MASTER_SOURCE!$A$2:$A$495,0)),"(REF không có trong MASTER_SOURCE)")))</f>
        <v/>
      </c>
      <c r="K947" s="22">
        <f t="array" ref="K947">IF($D947="","",IFERROR(INDEX(MASTER_SOURCE!$C$2:$C$495,MATCH($I947,MASTER_SOURCE!$A$2:$A$495,0)),""))</f>
        <v/>
      </c>
      <c r="L947" s="22">
        <f t="array" ref="L947">IF($D947="","",IFERROR(INDEX(MASTER_SOURCE!$D$2:$D$495,MATCH($I947,MASTER_SOURCE!$A$2:$A$495,0)),""))</f>
        <v/>
      </c>
      <c r="M947" s="24" t="n"/>
      <c r="N947" s="24" t="n"/>
      <c r="O947" s="24" t="n"/>
      <c r="P947" s="24" t="n"/>
      <c r="Q947" s="22">
        <f>IF($D947="","",IF(AND(OR(DANH_MUC!$L$5&lt;&gt;"Có",M947="Có"),OR(DANH_MUC!$L$6&lt;&gt;"Có",N947="Có"),OR(DANH_MUC!$L$7&lt;&gt;"Có",O947="Có"),OR(DANH_MUC!$L$8&lt;&gt;"Có",P947="Có")),"Có","Không"))</f>
        <v/>
      </c>
      <c r="R947" s="22">
        <f>IF($D947="","",IF(COUNTIF($D$2:$D947,$D947)&gt;1,"Trùng",""))</f>
        <v/>
      </c>
      <c r="S947" s="22">
        <f>IF($D947="","",IF(AND(LEN($D947)=10,LEFT($D947,1)="0",ISNUMBER(--$D947)),"Có","Không"))</f>
        <v/>
      </c>
      <c r="T947" s="22">
        <f>IF($D947="","",IF(AND($C947&lt;&gt;"",$Q947="Có",$R947="",$S947="Có",AND($L947&lt;&gt;"",OR($L947&lt;&gt;"Chưa xác định",DANH_MUC!$L$9="Có"))),"Có","Không"))</f>
        <v/>
      </c>
      <c r="U947" s="22">
        <f>IF(OR($D947="",$T947="Có"),"",IF($C947="","Thiếu họ tên; ","")&amp;IF($S947&lt;&gt;"Có","SĐT sai định dạng; ","")&amp;IF($R947="Trùng","Trùng SĐT; ","")&amp;IF($Q947&lt;&gt;"Có","Thiếu đồng ý bắt buộc; ","")&amp;IF($L947="","Thiếu/sai Mã REF; ",IF(AND($L947="Chưa xác định",DANH_MUC!$L$9&lt;&gt;"Có"),"Nguồn chưa xác định; ","")))</f>
        <v/>
      </c>
      <c r="V947" s="22">
        <f>IF(OR($D947="",$R947="Trùng"),"",IF(COUNTIF(ORDERS!$C$2:$C$4995,$D947)&gt;0,"Có","Không"))</f>
        <v/>
      </c>
      <c r="W947" s="22">
        <f>IF(OR($D947="",$R947="Trùng"),"",COUNTIFS(ORDERS!$C$2:$C$4995,$D947,ORDERS!$L$2:$L$4995,"Đã chuyển khoản"))</f>
        <v/>
      </c>
      <c r="X947" s="23">
        <f>IF(OR($D947="",$R947="Trùng"),"",SUMIFS(ORDERS!$J$2:$J$4995,ORDERS!$C$2:$C$4995,$D947,ORDERS!$L$2:$L$4995,"Đã chuyển khoản"))</f>
        <v/>
      </c>
      <c r="Y947" s="24" t="n"/>
    </row>
    <row r="948" ht="14.25" customHeight="1" s="40">
      <c r="A948" s="24" t="n"/>
      <c r="B948" s="27" t="n"/>
      <c r="C948" s="24" t="n"/>
      <c r="D948" s="28" t="n"/>
      <c r="E948" s="29" t="n"/>
      <c r="F948" s="24" t="n"/>
      <c r="G948" s="24" t="n"/>
      <c r="H948" s="21">
        <f>IF(ISNUMBER($B948),INT($B948)-WEEKDAY($B948,2)+1,"")</f>
        <v/>
      </c>
      <c r="I948" s="24" t="n"/>
      <c r="J948" s="22">
        <f t="array" ref="J948">IF($D948="","",IF($I948="","(trống REF)",IFERROR(INDEX(MASTER_SOURCE!$B$2:$B$495,MATCH($I948,MASTER_SOURCE!$A$2:$A$495,0)),"(REF không có trong MASTER_SOURCE)")))</f>
        <v/>
      </c>
      <c r="K948" s="22">
        <f t="array" ref="K948">IF($D948="","",IFERROR(INDEX(MASTER_SOURCE!$C$2:$C$495,MATCH($I948,MASTER_SOURCE!$A$2:$A$495,0)),""))</f>
        <v/>
      </c>
      <c r="L948" s="22">
        <f t="array" ref="L948">IF($D948="","",IFERROR(INDEX(MASTER_SOURCE!$D$2:$D$495,MATCH($I948,MASTER_SOURCE!$A$2:$A$495,0)),""))</f>
        <v/>
      </c>
      <c r="M948" s="24" t="n"/>
      <c r="N948" s="24" t="n"/>
      <c r="O948" s="24" t="n"/>
      <c r="P948" s="24" t="n"/>
      <c r="Q948" s="22">
        <f>IF($D948="","",IF(AND(OR(DANH_MUC!$L$5&lt;&gt;"Có",M948="Có"),OR(DANH_MUC!$L$6&lt;&gt;"Có",N948="Có"),OR(DANH_MUC!$L$7&lt;&gt;"Có",O948="Có"),OR(DANH_MUC!$L$8&lt;&gt;"Có",P948="Có")),"Có","Không"))</f>
        <v/>
      </c>
      <c r="R948" s="22">
        <f>IF($D948="","",IF(COUNTIF($D$2:$D948,$D948)&gt;1,"Trùng",""))</f>
        <v/>
      </c>
      <c r="S948" s="22">
        <f>IF($D948="","",IF(AND(LEN($D948)=10,LEFT($D948,1)="0",ISNUMBER(--$D948)),"Có","Không"))</f>
        <v/>
      </c>
      <c r="T948" s="22">
        <f>IF($D948="","",IF(AND($C948&lt;&gt;"",$Q948="Có",$R948="",$S948="Có",AND($L948&lt;&gt;"",OR($L948&lt;&gt;"Chưa xác định",DANH_MUC!$L$9="Có"))),"Có","Không"))</f>
        <v/>
      </c>
      <c r="U948" s="22">
        <f>IF(OR($D948="",$T948="Có"),"",IF($C948="","Thiếu họ tên; ","")&amp;IF($S948&lt;&gt;"Có","SĐT sai định dạng; ","")&amp;IF($R948="Trùng","Trùng SĐT; ","")&amp;IF($Q948&lt;&gt;"Có","Thiếu đồng ý bắt buộc; ","")&amp;IF($L948="","Thiếu/sai Mã REF; ",IF(AND($L948="Chưa xác định",DANH_MUC!$L$9&lt;&gt;"Có"),"Nguồn chưa xác định; ","")))</f>
        <v/>
      </c>
      <c r="V948" s="22">
        <f>IF(OR($D948="",$R948="Trùng"),"",IF(COUNTIF(ORDERS!$C$2:$C$4995,$D948)&gt;0,"Có","Không"))</f>
        <v/>
      </c>
      <c r="W948" s="22">
        <f>IF(OR($D948="",$R948="Trùng"),"",COUNTIFS(ORDERS!$C$2:$C$4995,$D948,ORDERS!$L$2:$L$4995,"Đã chuyển khoản"))</f>
        <v/>
      </c>
      <c r="X948" s="23">
        <f>IF(OR($D948="",$R948="Trùng"),"",SUMIFS(ORDERS!$J$2:$J$4995,ORDERS!$C$2:$C$4995,$D948,ORDERS!$L$2:$L$4995,"Đã chuyển khoản"))</f>
        <v/>
      </c>
      <c r="Y948" s="24" t="n"/>
    </row>
    <row r="949" ht="14.25" customHeight="1" s="40">
      <c r="A949" s="24" t="n"/>
      <c r="B949" s="27" t="n"/>
      <c r="C949" s="24" t="n"/>
      <c r="D949" s="28" t="n"/>
      <c r="E949" s="29" t="n"/>
      <c r="F949" s="24" t="n"/>
      <c r="G949" s="24" t="n"/>
      <c r="H949" s="21">
        <f>IF(ISNUMBER($B949),INT($B949)-WEEKDAY($B949,2)+1,"")</f>
        <v/>
      </c>
      <c r="I949" s="24" t="n"/>
      <c r="J949" s="22">
        <f t="array" ref="J949">IF($D949="","",IF($I949="","(trống REF)",IFERROR(INDEX(MASTER_SOURCE!$B$2:$B$495,MATCH($I949,MASTER_SOURCE!$A$2:$A$495,0)),"(REF không có trong MASTER_SOURCE)")))</f>
        <v/>
      </c>
      <c r="K949" s="22">
        <f t="array" ref="K949">IF($D949="","",IFERROR(INDEX(MASTER_SOURCE!$C$2:$C$495,MATCH($I949,MASTER_SOURCE!$A$2:$A$495,0)),""))</f>
        <v/>
      </c>
      <c r="L949" s="22">
        <f t="array" ref="L949">IF($D949="","",IFERROR(INDEX(MASTER_SOURCE!$D$2:$D$495,MATCH($I949,MASTER_SOURCE!$A$2:$A$495,0)),""))</f>
        <v/>
      </c>
      <c r="M949" s="24" t="n"/>
      <c r="N949" s="24" t="n"/>
      <c r="O949" s="24" t="n"/>
      <c r="P949" s="24" t="n"/>
      <c r="Q949" s="22">
        <f>IF($D949="","",IF(AND(OR(DANH_MUC!$L$5&lt;&gt;"Có",M949="Có"),OR(DANH_MUC!$L$6&lt;&gt;"Có",N949="Có"),OR(DANH_MUC!$L$7&lt;&gt;"Có",O949="Có"),OR(DANH_MUC!$L$8&lt;&gt;"Có",P949="Có")),"Có","Không"))</f>
        <v/>
      </c>
      <c r="R949" s="22">
        <f>IF($D949="","",IF(COUNTIF($D$2:$D949,$D949)&gt;1,"Trùng",""))</f>
        <v/>
      </c>
      <c r="S949" s="22">
        <f>IF($D949="","",IF(AND(LEN($D949)=10,LEFT($D949,1)="0",ISNUMBER(--$D949)),"Có","Không"))</f>
        <v/>
      </c>
      <c r="T949" s="22">
        <f>IF($D949="","",IF(AND($C949&lt;&gt;"",$Q949="Có",$R949="",$S949="Có",AND($L949&lt;&gt;"",OR($L949&lt;&gt;"Chưa xác định",DANH_MUC!$L$9="Có"))),"Có","Không"))</f>
        <v/>
      </c>
      <c r="U949" s="22">
        <f>IF(OR($D949="",$T949="Có"),"",IF($C949="","Thiếu họ tên; ","")&amp;IF($S949&lt;&gt;"Có","SĐT sai định dạng; ","")&amp;IF($R949="Trùng","Trùng SĐT; ","")&amp;IF($Q949&lt;&gt;"Có","Thiếu đồng ý bắt buộc; ","")&amp;IF($L949="","Thiếu/sai Mã REF; ",IF(AND($L949="Chưa xác định",DANH_MUC!$L$9&lt;&gt;"Có"),"Nguồn chưa xác định; ","")))</f>
        <v/>
      </c>
      <c r="V949" s="22">
        <f>IF(OR($D949="",$R949="Trùng"),"",IF(COUNTIF(ORDERS!$C$2:$C$4995,$D949)&gt;0,"Có","Không"))</f>
        <v/>
      </c>
      <c r="W949" s="22">
        <f>IF(OR($D949="",$R949="Trùng"),"",COUNTIFS(ORDERS!$C$2:$C$4995,$D949,ORDERS!$L$2:$L$4995,"Đã chuyển khoản"))</f>
        <v/>
      </c>
      <c r="X949" s="23">
        <f>IF(OR($D949="",$R949="Trùng"),"",SUMIFS(ORDERS!$J$2:$J$4995,ORDERS!$C$2:$C$4995,$D949,ORDERS!$L$2:$L$4995,"Đã chuyển khoản"))</f>
        <v/>
      </c>
      <c r="Y949" s="24" t="n"/>
    </row>
    <row r="950" ht="14.25" customHeight="1" s="40">
      <c r="A950" s="24" t="n"/>
      <c r="B950" s="27" t="n"/>
      <c r="C950" s="24" t="n"/>
      <c r="D950" s="28" t="n"/>
      <c r="E950" s="29" t="n"/>
      <c r="F950" s="24" t="n"/>
      <c r="G950" s="24" t="n"/>
      <c r="H950" s="21">
        <f>IF(ISNUMBER($B950),INT($B950)-WEEKDAY($B950,2)+1,"")</f>
        <v/>
      </c>
      <c r="I950" s="24" t="n"/>
      <c r="J950" s="22">
        <f t="array" ref="J950">IF($D950="","",IF($I950="","(trống REF)",IFERROR(INDEX(MASTER_SOURCE!$B$2:$B$495,MATCH($I950,MASTER_SOURCE!$A$2:$A$495,0)),"(REF không có trong MASTER_SOURCE)")))</f>
        <v/>
      </c>
      <c r="K950" s="22">
        <f t="array" ref="K950">IF($D950="","",IFERROR(INDEX(MASTER_SOURCE!$C$2:$C$495,MATCH($I950,MASTER_SOURCE!$A$2:$A$495,0)),""))</f>
        <v/>
      </c>
      <c r="L950" s="22">
        <f t="array" ref="L950">IF($D950="","",IFERROR(INDEX(MASTER_SOURCE!$D$2:$D$495,MATCH($I950,MASTER_SOURCE!$A$2:$A$495,0)),""))</f>
        <v/>
      </c>
      <c r="M950" s="24" t="n"/>
      <c r="N950" s="24" t="n"/>
      <c r="O950" s="24" t="n"/>
      <c r="P950" s="24" t="n"/>
      <c r="Q950" s="22">
        <f>IF($D950="","",IF(AND(OR(DANH_MUC!$L$5&lt;&gt;"Có",M950="Có"),OR(DANH_MUC!$L$6&lt;&gt;"Có",N950="Có"),OR(DANH_MUC!$L$7&lt;&gt;"Có",O950="Có"),OR(DANH_MUC!$L$8&lt;&gt;"Có",P950="Có")),"Có","Không"))</f>
        <v/>
      </c>
      <c r="R950" s="22">
        <f>IF($D950="","",IF(COUNTIF($D$2:$D950,$D950)&gt;1,"Trùng",""))</f>
        <v/>
      </c>
      <c r="S950" s="22">
        <f>IF($D950="","",IF(AND(LEN($D950)=10,LEFT($D950,1)="0",ISNUMBER(--$D950)),"Có","Không"))</f>
        <v/>
      </c>
      <c r="T950" s="22">
        <f>IF($D950="","",IF(AND($C950&lt;&gt;"",$Q950="Có",$R950="",$S950="Có",AND($L950&lt;&gt;"",OR($L950&lt;&gt;"Chưa xác định",DANH_MUC!$L$9="Có"))),"Có","Không"))</f>
        <v/>
      </c>
      <c r="U950" s="22">
        <f>IF(OR($D950="",$T950="Có"),"",IF($C950="","Thiếu họ tên; ","")&amp;IF($S950&lt;&gt;"Có","SĐT sai định dạng; ","")&amp;IF($R950="Trùng","Trùng SĐT; ","")&amp;IF($Q950&lt;&gt;"Có","Thiếu đồng ý bắt buộc; ","")&amp;IF($L950="","Thiếu/sai Mã REF; ",IF(AND($L950="Chưa xác định",DANH_MUC!$L$9&lt;&gt;"Có"),"Nguồn chưa xác định; ","")))</f>
        <v/>
      </c>
      <c r="V950" s="22">
        <f>IF(OR($D950="",$R950="Trùng"),"",IF(COUNTIF(ORDERS!$C$2:$C$4995,$D950)&gt;0,"Có","Không"))</f>
        <v/>
      </c>
      <c r="W950" s="22">
        <f>IF(OR($D950="",$R950="Trùng"),"",COUNTIFS(ORDERS!$C$2:$C$4995,$D950,ORDERS!$L$2:$L$4995,"Đã chuyển khoản"))</f>
        <v/>
      </c>
      <c r="X950" s="23">
        <f>IF(OR($D950="",$R950="Trùng"),"",SUMIFS(ORDERS!$J$2:$J$4995,ORDERS!$C$2:$C$4995,$D950,ORDERS!$L$2:$L$4995,"Đã chuyển khoản"))</f>
        <v/>
      </c>
      <c r="Y950" s="24" t="n"/>
    </row>
    <row r="951" ht="14.25" customHeight="1" s="40">
      <c r="A951" s="24" t="n"/>
      <c r="B951" s="27" t="n"/>
      <c r="C951" s="24" t="n"/>
      <c r="D951" s="28" t="n"/>
      <c r="E951" s="29" t="n"/>
      <c r="F951" s="24" t="n"/>
      <c r="G951" s="24" t="n"/>
      <c r="H951" s="21">
        <f>IF(ISNUMBER($B951),INT($B951)-WEEKDAY($B951,2)+1,"")</f>
        <v/>
      </c>
      <c r="I951" s="24" t="n"/>
      <c r="J951" s="22">
        <f t="array" ref="J951">IF($D951="","",IF($I951="","(trống REF)",IFERROR(INDEX(MASTER_SOURCE!$B$2:$B$495,MATCH($I951,MASTER_SOURCE!$A$2:$A$495,0)),"(REF không có trong MASTER_SOURCE)")))</f>
        <v/>
      </c>
      <c r="K951" s="22">
        <f t="array" ref="K951">IF($D951="","",IFERROR(INDEX(MASTER_SOURCE!$C$2:$C$495,MATCH($I951,MASTER_SOURCE!$A$2:$A$495,0)),""))</f>
        <v/>
      </c>
      <c r="L951" s="22">
        <f t="array" ref="L951">IF($D951="","",IFERROR(INDEX(MASTER_SOURCE!$D$2:$D$495,MATCH($I951,MASTER_SOURCE!$A$2:$A$495,0)),""))</f>
        <v/>
      </c>
      <c r="M951" s="24" t="n"/>
      <c r="N951" s="24" t="n"/>
      <c r="O951" s="24" t="n"/>
      <c r="P951" s="24" t="n"/>
      <c r="Q951" s="22">
        <f>IF($D951="","",IF(AND(OR(DANH_MUC!$L$5&lt;&gt;"Có",M951="Có"),OR(DANH_MUC!$L$6&lt;&gt;"Có",N951="Có"),OR(DANH_MUC!$L$7&lt;&gt;"Có",O951="Có"),OR(DANH_MUC!$L$8&lt;&gt;"Có",P951="Có")),"Có","Không"))</f>
        <v/>
      </c>
      <c r="R951" s="22">
        <f>IF($D951="","",IF(COUNTIF($D$2:$D951,$D951)&gt;1,"Trùng",""))</f>
        <v/>
      </c>
      <c r="S951" s="22">
        <f>IF($D951="","",IF(AND(LEN($D951)=10,LEFT($D951,1)="0",ISNUMBER(--$D951)),"Có","Không"))</f>
        <v/>
      </c>
      <c r="T951" s="22">
        <f>IF($D951="","",IF(AND($C951&lt;&gt;"",$Q951="Có",$R951="",$S951="Có",AND($L951&lt;&gt;"",OR($L951&lt;&gt;"Chưa xác định",DANH_MUC!$L$9="Có"))),"Có","Không"))</f>
        <v/>
      </c>
      <c r="U951" s="22">
        <f>IF(OR($D951="",$T951="Có"),"",IF($C951="","Thiếu họ tên; ","")&amp;IF($S951&lt;&gt;"Có","SĐT sai định dạng; ","")&amp;IF($R951="Trùng","Trùng SĐT; ","")&amp;IF($Q951&lt;&gt;"Có","Thiếu đồng ý bắt buộc; ","")&amp;IF($L951="","Thiếu/sai Mã REF; ",IF(AND($L951="Chưa xác định",DANH_MUC!$L$9&lt;&gt;"Có"),"Nguồn chưa xác định; ","")))</f>
        <v/>
      </c>
      <c r="V951" s="22">
        <f>IF(OR($D951="",$R951="Trùng"),"",IF(COUNTIF(ORDERS!$C$2:$C$4995,$D951)&gt;0,"Có","Không"))</f>
        <v/>
      </c>
      <c r="W951" s="22">
        <f>IF(OR($D951="",$R951="Trùng"),"",COUNTIFS(ORDERS!$C$2:$C$4995,$D951,ORDERS!$L$2:$L$4995,"Đã chuyển khoản"))</f>
        <v/>
      </c>
      <c r="X951" s="23">
        <f>IF(OR($D951="",$R951="Trùng"),"",SUMIFS(ORDERS!$J$2:$J$4995,ORDERS!$C$2:$C$4995,$D951,ORDERS!$L$2:$L$4995,"Đã chuyển khoản"))</f>
        <v/>
      </c>
      <c r="Y951" s="24" t="n"/>
    </row>
    <row r="952" ht="14.25" customHeight="1" s="40">
      <c r="A952" s="24" t="n"/>
      <c r="B952" s="27" t="n"/>
      <c r="C952" s="24" t="n"/>
      <c r="D952" s="28" t="n"/>
      <c r="E952" s="29" t="n"/>
      <c r="F952" s="24" t="n"/>
      <c r="G952" s="24" t="n"/>
      <c r="H952" s="21">
        <f>IF(ISNUMBER($B952),INT($B952)-WEEKDAY($B952,2)+1,"")</f>
        <v/>
      </c>
      <c r="I952" s="24" t="n"/>
      <c r="J952" s="22">
        <f t="array" ref="J952">IF($D952="","",IF($I952="","(trống REF)",IFERROR(INDEX(MASTER_SOURCE!$B$2:$B$495,MATCH($I952,MASTER_SOURCE!$A$2:$A$495,0)),"(REF không có trong MASTER_SOURCE)")))</f>
        <v/>
      </c>
      <c r="K952" s="22">
        <f t="array" ref="K952">IF($D952="","",IFERROR(INDEX(MASTER_SOURCE!$C$2:$C$495,MATCH($I952,MASTER_SOURCE!$A$2:$A$495,0)),""))</f>
        <v/>
      </c>
      <c r="L952" s="22">
        <f t="array" ref="L952">IF($D952="","",IFERROR(INDEX(MASTER_SOURCE!$D$2:$D$495,MATCH($I952,MASTER_SOURCE!$A$2:$A$495,0)),""))</f>
        <v/>
      </c>
      <c r="M952" s="24" t="n"/>
      <c r="N952" s="24" t="n"/>
      <c r="O952" s="24" t="n"/>
      <c r="P952" s="24" t="n"/>
      <c r="Q952" s="22">
        <f>IF($D952="","",IF(AND(OR(DANH_MUC!$L$5&lt;&gt;"Có",M952="Có"),OR(DANH_MUC!$L$6&lt;&gt;"Có",N952="Có"),OR(DANH_MUC!$L$7&lt;&gt;"Có",O952="Có"),OR(DANH_MUC!$L$8&lt;&gt;"Có",P952="Có")),"Có","Không"))</f>
        <v/>
      </c>
      <c r="R952" s="22">
        <f>IF($D952="","",IF(COUNTIF($D$2:$D952,$D952)&gt;1,"Trùng",""))</f>
        <v/>
      </c>
      <c r="S952" s="22">
        <f>IF($D952="","",IF(AND(LEN($D952)=10,LEFT($D952,1)="0",ISNUMBER(--$D952)),"Có","Không"))</f>
        <v/>
      </c>
      <c r="T952" s="22">
        <f>IF($D952="","",IF(AND($C952&lt;&gt;"",$Q952="Có",$R952="",$S952="Có",AND($L952&lt;&gt;"",OR($L952&lt;&gt;"Chưa xác định",DANH_MUC!$L$9="Có"))),"Có","Không"))</f>
        <v/>
      </c>
      <c r="U952" s="22">
        <f>IF(OR($D952="",$T952="Có"),"",IF($C952="","Thiếu họ tên; ","")&amp;IF($S952&lt;&gt;"Có","SĐT sai định dạng; ","")&amp;IF($R952="Trùng","Trùng SĐT; ","")&amp;IF($Q952&lt;&gt;"Có","Thiếu đồng ý bắt buộc; ","")&amp;IF($L952="","Thiếu/sai Mã REF; ",IF(AND($L952="Chưa xác định",DANH_MUC!$L$9&lt;&gt;"Có"),"Nguồn chưa xác định; ","")))</f>
        <v/>
      </c>
      <c r="V952" s="22">
        <f>IF(OR($D952="",$R952="Trùng"),"",IF(COUNTIF(ORDERS!$C$2:$C$4995,$D952)&gt;0,"Có","Không"))</f>
        <v/>
      </c>
      <c r="W952" s="22">
        <f>IF(OR($D952="",$R952="Trùng"),"",COUNTIFS(ORDERS!$C$2:$C$4995,$D952,ORDERS!$L$2:$L$4995,"Đã chuyển khoản"))</f>
        <v/>
      </c>
      <c r="X952" s="23">
        <f>IF(OR($D952="",$R952="Trùng"),"",SUMIFS(ORDERS!$J$2:$J$4995,ORDERS!$C$2:$C$4995,$D952,ORDERS!$L$2:$L$4995,"Đã chuyển khoản"))</f>
        <v/>
      </c>
      <c r="Y952" s="24" t="n"/>
    </row>
    <row r="953" ht="14.25" customHeight="1" s="40">
      <c r="A953" s="24" t="n"/>
      <c r="B953" s="27" t="n"/>
      <c r="C953" s="24" t="n"/>
      <c r="D953" s="28" t="n"/>
      <c r="E953" s="29" t="n"/>
      <c r="F953" s="24" t="n"/>
      <c r="G953" s="24" t="n"/>
      <c r="H953" s="21">
        <f>IF(ISNUMBER($B953),INT($B953)-WEEKDAY($B953,2)+1,"")</f>
        <v/>
      </c>
      <c r="I953" s="24" t="n"/>
      <c r="J953" s="22">
        <f t="array" ref="J953">IF($D953="","",IF($I953="","(trống REF)",IFERROR(INDEX(MASTER_SOURCE!$B$2:$B$495,MATCH($I953,MASTER_SOURCE!$A$2:$A$495,0)),"(REF không có trong MASTER_SOURCE)")))</f>
        <v/>
      </c>
      <c r="K953" s="22">
        <f t="array" ref="K953">IF($D953="","",IFERROR(INDEX(MASTER_SOURCE!$C$2:$C$495,MATCH($I953,MASTER_SOURCE!$A$2:$A$495,0)),""))</f>
        <v/>
      </c>
      <c r="L953" s="22">
        <f t="array" ref="L953">IF($D953="","",IFERROR(INDEX(MASTER_SOURCE!$D$2:$D$495,MATCH($I953,MASTER_SOURCE!$A$2:$A$495,0)),""))</f>
        <v/>
      </c>
      <c r="M953" s="24" t="n"/>
      <c r="N953" s="24" t="n"/>
      <c r="O953" s="24" t="n"/>
      <c r="P953" s="24" t="n"/>
      <c r="Q953" s="22">
        <f>IF($D953="","",IF(AND(OR(DANH_MUC!$L$5&lt;&gt;"Có",M953="Có"),OR(DANH_MUC!$L$6&lt;&gt;"Có",N953="Có"),OR(DANH_MUC!$L$7&lt;&gt;"Có",O953="Có"),OR(DANH_MUC!$L$8&lt;&gt;"Có",P953="Có")),"Có","Không"))</f>
        <v/>
      </c>
      <c r="R953" s="22">
        <f>IF($D953="","",IF(COUNTIF($D$2:$D953,$D953)&gt;1,"Trùng",""))</f>
        <v/>
      </c>
      <c r="S953" s="22">
        <f>IF($D953="","",IF(AND(LEN($D953)=10,LEFT($D953,1)="0",ISNUMBER(--$D953)),"Có","Không"))</f>
        <v/>
      </c>
      <c r="T953" s="22">
        <f>IF($D953="","",IF(AND($C953&lt;&gt;"",$Q953="Có",$R953="",$S953="Có",AND($L953&lt;&gt;"",OR($L953&lt;&gt;"Chưa xác định",DANH_MUC!$L$9="Có"))),"Có","Không"))</f>
        <v/>
      </c>
      <c r="U953" s="22">
        <f>IF(OR($D953="",$T953="Có"),"",IF($C953="","Thiếu họ tên; ","")&amp;IF($S953&lt;&gt;"Có","SĐT sai định dạng; ","")&amp;IF($R953="Trùng","Trùng SĐT; ","")&amp;IF($Q953&lt;&gt;"Có","Thiếu đồng ý bắt buộc; ","")&amp;IF($L953="","Thiếu/sai Mã REF; ",IF(AND($L953="Chưa xác định",DANH_MUC!$L$9&lt;&gt;"Có"),"Nguồn chưa xác định; ","")))</f>
        <v/>
      </c>
      <c r="V953" s="22">
        <f>IF(OR($D953="",$R953="Trùng"),"",IF(COUNTIF(ORDERS!$C$2:$C$4995,$D953)&gt;0,"Có","Không"))</f>
        <v/>
      </c>
      <c r="W953" s="22">
        <f>IF(OR($D953="",$R953="Trùng"),"",COUNTIFS(ORDERS!$C$2:$C$4995,$D953,ORDERS!$L$2:$L$4995,"Đã chuyển khoản"))</f>
        <v/>
      </c>
      <c r="X953" s="23">
        <f>IF(OR($D953="",$R953="Trùng"),"",SUMIFS(ORDERS!$J$2:$J$4995,ORDERS!$C$2:$C$4995,$D953,ORDERS!$L$2:$L$4995,"Đã chuyển khoản"))</f>
        <v/>
      </c>
      <c r="Y953" s="24" t="n"/>
    </row>
    <row r="954" ht="14.25" customHeight="1" s="40">
      <c r="A954" s="24" t="n"/>
      <c r="B954" s="27" t="n"/>
      <c r="C954" s="24" t="n"/>
      <c r="D954" s="28" t="n"/>
      <c r="E954" s="29" t="n"/>
      <c r="F954" s="24" t="n"/>
      <c r="G954" s="24" t="n"/>
      <c r="H954" s="21">
        <f>IF(ISNUMBER($B954),INT($B954)-WEEKDAY($B954,2)+1,"")</f>
        <v/>
      </c>
      <c r="I954" s="24" t="n"/>
      <c r="J954" s="22">
        <f t="array" ref="J954">IF($D954="","",IF($I954="","(trống REF)",IFERROR(INDEX(MASTER_SOURCE!$B$2:$B$495,MATCH($I954,MASTER_SOURCE!$A$2:$A$495,0)),"(REF không có trong MASTER_SOURCE)")))</f>
        <v/>
      </c>
      <c r="K954" s="22">
        <f t="array" ref="K954">IF($D954="","",IFERROR(INDEX(MASTER_SOURCE!$C$2:$C$495,MATCH($I954,MASTER_SOURCE!$A$2:$A$495,0)),""))</f>
        <v/>
      </c>
      <c r="L954" s="22">
        <f t="array" ref="L954">IF($D954="","",IFERROR(INDEX(MASTER_SOURCE!$D$2:$D$495,MATCH($I954,MASTER_SOURCE!$A$2:$A$495,0)),""))</f>
        <v/>
      </c>
      <c r="M954" s="24" t="n"/>
      <c r="N954" s="24" t="n"/>
      <c r="O954" s="24" t="n"/>
      <c r="P954" s="24" t="n"/>
      <c r="Q954" s="22">
        <f>IF($D954="","",IF(AND(OR(DANH_MUC!$L$5&lt;&gt;"Có",M954="Có"),OR(DANH_MUC!$L$6&lt;&gt;"Có",N954="Có"),OR(DANH_MUC!$L$7&lt;&gt;"Có",O954="Có"),OR(DANH_MUC!$L$8&lt;&gt;"Có",P954="Có")),"Có","Không"))</f>
        <v/>
      </c>
      <c r="R954" s="22">
        <f>IF($D954="","",IF(COUNTIF($D$2:$D954,$D954)&gt;1,"Trùng",""))</f>
        <v/>
      </c>
      <c r="S954" s="22">
        <f>IF($D954="","",IF(AND(LEN($D954)=10,LEFT($D954,1)="0",ISNUMBER(--$D954)),"Có","Không"))</f>
        <v/>
      </c>
      <c r="T954" s="22">
        <f>IF($D954="","",IF(AND($C954&lt;&gt;"",$Q954="Có",$R954="",$S954="Có",AND($L954&lt;&gt;"",OR($L954&lt;&gt;"Chưa xác định",DANH_MUC!$L$9="Có"))),"Có","Không"))</f>
        <v/>
      </c>
      <c r="U954" s="22">
        <f>IF(OR($D954="",$T954="Có"),"",IF($C954="","Thiếu họ tên; ","")&amp;IF($S954&lt;&gt;"Có","SĐT sai định dạng; ","")&amp;IF($R954="Trùng","Trùng SĐT; ","")&amp;IF($Q954&lt;&gt;"Có","Thiếu đồng ý bắt buộc; ","")&amp;IF($L954="","Thiếu/sai Mã REF; ",IF(AND($L954="Chưa xác định",DANH_MUC!$L$9&lt;&gt;"Có"),"Nguồn chưa xác định; ","")))</f>
        <v/>
      </c>
      <c r="V954" s="22">
        <f>IF(OR($D954="",$R954="Trùng"),"",IF(COUNTIF(ORDERS!$C$2:$C$4995,$D954)&gt;0,"Có","Không"))</f>
        <v/>
      </c>
      <c r="W954" s="22">
        <f>IF(OR($D954="",$R954="Trùng"),"",COUNTIFS(ORDERS!$C$2:$C$4995,$D954,ORDERS!$L$2:$L$4995,"Đã chuyển khoản"))</f>
        <v/>
      </c>
      <c r="X954" s="23">
        <f>IF(OR($D954="",$R954="Trùng"),"",SUMIFS(ORDERS!$J$2:$J$4995,ORDERS!$C$2:$C$4995,$D954,ORDERS!$L$2:$L$4995,"Đã chuyển khoản"))</f>
        <v/>
      </c>
      <c r="Y954" s="24" t="n"/>
    </row>
    <row r="955" ht="14.25" customHeight="1" s="40">
      <c r="A955" s="24" t="n"/>
      <c r="B955" s="27" t="n"/>
      <c r="C955" s="24" t="n"/>
      <c r="D955" s="28" t="n"/>
      <c r="E955" s="29" t="n"/>
      <c r="F955" s="24" t="n"/>
      <c r="G955" s="24" t="n"/>
      <c r="H955" s="21">
        <f>IF(ISNUMBER($B955),INT($B955)-WEEKDAY($B955,2)+1,"")</f>
        <v/>
      </c>
      <c r="I955" s="24" t="n"/>
      <c r="J955" s="22">
        <f t="array" ref="J955">IF($D955="","",IF($I955="","(trống REF)",IFERROR(INDEX(MASTER_SOURCE!$B$2:$B$495,MATCH($I955,MASTER_SOURCE!$A$2:$A$495,0)),"(REF không có trong MASTER_SOURCE)")))</f>
        <v/>
      </c>
      <c r="K955" s="22">
        <f t="array" ref="K955">IF($D955="","",IFERROR(INDEX(MASTER_SOURCE!$C$2:$C$495,MATCH($I955,MASTER_SOURCE!$A$2:$A$495,0)),""))</f>
        <v/>
      </c>
      <c r="L955" s="22">
        <f t="array" ref="L955">IF($D955="","",IFERROR(INDEX(MASTER_SOURCE!$D$2:$D$495,MATCH($I955,MASTER_SOURCE!$A$2:$A$495,0)),""))</f>
        <v/>
      </c>
      <c r="M955" s="24" t="n"/>
      <c r="N955" s="24" t="n"/>
      <c r="O955" s="24" t="n"/>
      <c r="P955" s="24" t="n"/>
      <c r="Q955" s="22">
        <f>IF($D955="","",IF(AND(OR(DANH_MUC!$L$5&lt;&gt;"Có",M955="Có"),OR(DANH_MUC!$L$6&lt;&gt;"Có",N955="Có"),OR(DANH_MUC!$L$7&lt;&gt;"Có",O955="Có"),OR(DANH_MUC!$L$8&lt;&gt;"Có",P955="Có")),"Có","Không"))</f>
        <v/>
      </c>
      <c r="R955" s="22">
        <f>IF($D955="","",IF(COUNTIF($D$2:$D955,$D955)&gt;1,"Trùng",""))</f>
        <v/>
      </c>
      <c r="S955" s="22">
        <f>IF($D955="","",IF(AND(LEN($D955)=10,LEFT($D955,1)="0",ISNUMBER(--$D955)),"Có","Không"))</f>
        <v/>
      </c>
      <c r="T955" s="22">
        <f>IF($D955="","",IF(AND($C955&lt;&gt;"",$Q955="Có",$R955="",$S955="Có",AND($L955&lt;&gt;"",OR($L955&lt;&gt;"Chưa xác định",DANH_MUC!$L$9="Có"))),"Có","Không"))</f>
        <v/>
      </c>
      <c r="U955" s="22">
        <f>IF(OR($D955="",$T955="Có"),"",IF($C955="","Thiếu họ tên; ","")&amp;IF($S955&lt;&gt;"Có","SĐT sai định dạng; ","")&amp;IF($R955="Trùng","Trùng SĐT; ","")&amp;IF($Q955&lt;&gt;"Có","Thiếu đồng ý bắt buộc; ","")&amp;IF($L955="","Thiếu/sai Mã REF; ",IF(AND($L955="Chưa xác định",DANH_MUC!$L$9&lt;&gt;"Có"),"Nguồn chưa xác định; ","")))</f>
        <v/>
      </c>
      <c r="V955" s="22">
        <f>IF(OR($D955="",$R955="Trùng"),"",IF(COUNTIF(ORDERS!$C$2:$C$4995,$D955)&gt;0,"Có","Không"))</f>
        <v/>
      </c>
      <c r="W955" s="22">
        <f>IF(OR($D955="",$R955="Trùng"),"",COUNTIFS(ORDERS!$C$2:$C$4995,$D955,ORDERS!$L$2:$L$4995,"Đã chuyển khoản"))</f>
        <v/>
      </c>
      <c r="X955" s="23">
        <f>IF(OR($D955="",$R955="Trùng"),"",SUMIFS(ORDERS!$J$2:$J$4995,ORDERS!$C$2:$C$4995,$D955,ORDERS!$L$2:$L$4995,"Đã chuyển khoản"))</f>
        <v/>
      </c>
      <c r="Y955" s="24" t="n"/>
    </row>
    <row r="956" ht="14.25" customHeight="1" s="40">
      <c r="A956" s="24" t="n"/>
      <c r="B956" s="27" t="n"/>
      <c r="C956" s="24" t="n"/>
      <c r="D956" s="28" t="n"/>
      <c r="E956" s="29" t="n"/>
      <c r="F956" s="24" t="n"/>
      <c r="G956" s="24" t="n"/>
      <c r="H956" s="21">
        <f>IF(ISNUMBER($B956),INT($B956)-WEEKDAY($B956,2)+1,"")</f>
        <v/>
      </c>
      <c r="I956" s="24" t="n"/>
      <c r="J956" s="22">
        <f t="array" ref="J956">IF($D956="","",IF($I956="","(trống REF)",IFERROR(INDEX(MASTER_SOURCE!$B$2:$B$495,MATCH($I956,MASTER_SOURCE!$A$2:$A$495,0)),"(REF không có trong MASTER_SOURCE)")))</f>
        <v/>
      </c>
      <c r="K956" s="22">
        <f t="array" ref="K956">IF($D956="","",IFERROR(INDEX(MASTER_SOURCE!$C$2:$C$495,MATCH($I956,MASTER_SOURCE!$A$2:$A$495,0)),""))</f>
        <v/>
      </c>
      <c r="L956" s="22">
        <f t="array" ref="L956">IF($D956="","",IFERROR(INDEX(MASTER_SOURCE!$D$2:$D$495,MATCH($I956,MASTER_SOURCE!$A$2:$A$495,0)),""))</f>
        <v/>
      </c>
      <c r="M956" s="24" t="n"/>
      <c r="N956" s="24" t="n"/>
      <c r="O956" s="24" t="n"/>
      <c r="P956" s="24" t="n"/>
      <c r="Q956" s="22">
        <f>IF($D956="","",IF(AND(OR(DANH_MUC!$L$5&lt;&gt;"Có",M956="Có"),OR(DANH_MUC!$L$6&lt;&gt;"Có",N956="Có"),OR(DANH_MUC!$L$7&lt;&gt;"Có",O956="Có"),OR(DANH_MUC!$L$8&lt;&gt;"Có",P956="Có")),"Có","Không"))</f>
        <v/>
      </c>
      <c r="R956" s="22">
        <f>IF($D956="","",IF(COUNTIF($D$2:$D956,$D956)&gt;1,"Trùng",""))</f>
        <v/>
      </c>
      <c r="S956" s="22">
        <f>IF($D956="","",IF(AND(LEN($D956)=10,LEFT($D956,1)="0",ISNUMBER(--$D956)),"Có","Không"))</f>
        <v/>
      </c>
      <c r="T956" s="22">
        <f>IF($D956="","",IF(AND($C956&lt;&gt;"",$Q956="Có",$R956="",$S956="Có",AND($L956&lt;&gt;"",OR($L956&lt;&gt;"Chưa xác định",DANH_MUC!$L$9="Có"))),"Có","Không"))</f>
        <v/>
      </c>
      <c r="U956" s="22">
        <f>IF(OR($D956="",$T956="Có"),"",IF($C956="","Thiếu họ tên; ","")&amp;IF($S956&lt;&gt;"Có","SĐT sai định dạng; ","")&amp;IF($R956="Trùng","Trùng SĐT; ","")&amp;IF($Q956&lt;&gt;"Có","Thiếu đồng ý bắt buộc; ","")&amp;IF($L956="","Thiếu/sai Mã REF; ",IF(AND($L956="Chưa xác định",DANH_MUC!$L$9&lt;&gt;"Có"),"Nguồn chưa xác định; ","")))</f>
        <v/>
      </c>
      <c r="V956" s="22">
        <f>IF(OR($D956="",$R956="Trùng"),"",IF(COUNTIF(ORDERS!$C$2:$C$4995,$D956)&gt;0,"Có","Không"))</f>
        <v/>
      </c>
      <c r="W956" s="22">
        <f>IF(OR($D956="",$R956="Trùng"),"",COUNTIFS(ORDERS!$C$2:$C$4995,$D956,ORDERS!$L$2:$L$4995,"Đã chuyển khoản"))</f>
        <v/>
      </c>
      <c r="X956" s="23">
        <f>IF(OR($D956="",$R956="Trùng"),"",SUMIFS(ORDERS!$J$2:$J$4995,ORDERS!$C$2:$C$4995,$D956,ORDERS!$L$2:$L$4995,"Đã chuyển khoản"))</f>
        <v/>
      </c>
      <c r="Y956" s="24" t="n"/>
    </row>
    <row r="957" ht="14.25" customHeight="1" s="40">
      <c r="A957" s="24" t="n"/>
      <c r="B957" s="27" t="n"/>
      <c r="C957" s="24" t="n"/>
      <c r="D957" s="28" t="n"/>
      <c r="E957" s="29" t="n"/>
      <c r="F957" s="24" t="n"/>
      <c r="G957" s="24" t="n"/>
      <c r="H957" s="21">
        <f>IF(ISNUMBER($B957),INT($B957)-WEEKDAY($B957,2)+1,"")</f>
        <v/>
      </c>
      <c r="I957" s="24" t="n"/>
      <c r="J957" s="22">
        <f t="array" ref="J957">IF($D957="","",IF($I957="","(trống REF)",IFERROR(INDEX(MASTER_SOURCE!$B$2:$B$495,MATCH($I957,MASTER_SOURCE!$A$2:$A$495,0)),"(REF không có trong MASTER_SOURCE)")))</f>
        <v/>
      </c>
      <c r="K957" s="22">
        <f t="array" ref="K957">IF($D957="","",IFERROR(INDEX(MASTER_SOURCE!$C$2:$C$495,MATCH($I957,MASTER_SOURCE!$A$2:$A$495,0)),""))</f>
        <v/>
      </c>
      <c r="L957" s="22">
        <f t="array" ref="L957">IF($D957="","",IFERROR(INDEX(MASTER_SOURCE!$D$2:$D$495,MATCH($I957,MASTER_SOURCE!$A$2:$A$495,0)),""))</f>
        <v/>
      </c>
      <c r="M957" s="24" t="n"/>
      <c r="N957" s="24" t="n"/>
      <c r="O957" s="24" t="n"/>
      <c r="P957" s="24" t="n"/>
      <c r="Q957" s="22">
        <f>IF($D957="","",IF(AND(OR(DANH_MUC!$L$5&lt;&gt;"Có",M957="Có"),OR(DANH_MUC!$L$6&lt;&gt;"Có",N957="Có"),OR(DANH_MUC!$L$7&lt;&gt;"Có",O957="Có"),OR(DANH_MUC!$L$8&lt;&gt;"Có",P957="Có")),"Có","Không"))</f>
        <v/>
      </c>
      <c r="R957" s="22">
        <f>IF($D957="","",IF(COUNTIF($D$2:$D957,$D957)&gt;1,"Trùng",""))</f>
        <v/>
      </c>
      <c r="S957" s="22">
        <f>IF($D957="","",IF(AND(LEN($D957)=10,LEFT($D957,1)="0",ISNUMBER(--$D957)),"Có","Không"))</f>
        <v/>
      </c>
      <c r="T957" s="22">
        <f>IF($D957="","",IF(AND($C957&lt;&gt;"",$Q957="Có",$R957="",$S957="Có",AND($L957&lt;&gt;"",OR($L957&lt;&gt;"Chưa xác định",DANH_MUC!$L$9="Có"))),"Có","Không"))</f>
        <v/>
      </c>
      <c r="U957" s="22">
        <f>IF(OR($D957="",$T957="Có"),"",IF($C957="","Thiếu họ tên; ","")&amp;IF($S957&lt;&gt;"Có","SĐT sai định dạng; ","")&amp;IF($R957="Trùng","Trùng SĐT; ","")&amp;IF($Q957&lt;&gt;"Có","Thiếu đồng ý bắt buộc; ","")&amp;IF($L957="","Thiếu/sai Mã REF; ",IF(AND($L957="Chưa xác định",DANH_MUC!$L$9&lt;&gt;"Có"),"Nguồn chưa xác định; ","")))</f>
        <v/>
      </c>
      <c r="V957" s="22">
        <f>IF(OR($D957="",$R957="Trùng"),"",IF(COUNTIF(ORDERS!$C$2:$C$4995,$D957)&gt;0,"Có","Không"))</f>
        <v/>
      </c>
      <c r="W957" s="22">
        <f>IF(OR($D957="",$R957="Trùng"),"",COUNTIFS(ORDERS!$C$2:$C$4995,$D957,ORDERS!$L$2:$L$4995,"Đã chuyển khoản"))</f>
        <v/>
      </c>
      <c r="X957" s="23">
        <f>IF(OR($D957="",$R957="Trùng"),"",SUMIFS(ORDERS!$J$2:$J$4995,ORDERS!$C$2:$C$4995,$D957,ORDERS!$L$2:$L$4995,"Đã chuyển khoản"))</f>
        <v/>
      </c>
      <c r="Y957" s="24" t="n"/>
    </row>
    <row r="958" ht="14.25" customHeight="1" s="40">
      <c r="A958" s="24" t="n"/>
      <c r="B958" s="27" t="n"/>
      <c r="C958" s="24" t="n"/>
      <c r="D958" s="28" t="n"/>
      <c r="E958" s="29" t="n"/>
      <c r="F958" s="24" t="n"/>
      <c r="G958" s="24" t="n"/>
      <c r="H958" s="21">
        <f>IF(ISNUMBER($B958),INT($B958)-WEEKDAY($B958,2)+1,"")</f>
        <v/>
      </c>
      <c r="I958" s="24" t="n"/>
      <c r="J958" s="22">
        <f t="array" ref="J958">IF($D958="","",IF($I958="","(trống REF)",IFERROR(INDEX(MASTER_SOURCE!$B$2:$B$495,MATCH($I958,MASTER_SOURCE!$A$2:$A$495,0)),"(REF không có trong MASTER_SOURCE)")))</f>
        <v/>
      </c>
      <c r="K958" s="22">
        <f t="array" ref="K958">IF($D958="","",IFERROR(INDEX(MASTER_SOURCE!$C$2:$C$495,MATCH($I958,MASTER_SOURCE!$A$2:$A$495,0)),""))</f>
        <v/>
      </c>
      <c r="L958" s="22">
        <f t="array" ref="L958">IF($D958="","",IFERROR(INDEX(MASTER_SOURCE!$D$2:$D$495,MATCH($I958,MASTER_SOURCE!$A$2:$A$495,0)),""))</f>
        <v/>
      </c>
      <c r="M958" s="24" t="n"/>
      <c r="N958" s="24" t="n"/>
      <c r="O958" s="24" t="n"/>
      <c r="P958" s="24" t="n"/>
      <c r="Q958" s="22">
        <f>IF($D958="","",IF(AND(OR(DANH_MUC!$L$5&lt;&gt;"Có",M958="Có"),OR(DANH_MUC!$L$6&lt;&gt;"Có",N958="Có"),OR(DANH_MUC!$L$7&lt;&gt;"Có",O958="Có"),OR(DANH_MUC!$L$8&lt;&gt;"Có",P958="Có")),"Có","Không"))</f>
        <v/>
      </c>
      <c r="R958" s="22">
        <f>IF($D958="","",IF(COUNTIF($D$2:$D958,$D958)&gt;1,"Trùng",""))</f>
        <v/>
      </c>
      <c r="S958" s="22">
        <f>IF($D958="","",IF(AND(LEN($D958)=10,LEFT($D958,1)="0",ISNUMBER(--$D958)),"Có","Không"))</f>
        <v/>
      </c>
      <c r="T958" s="22">
        <f>IF($D958="","",IF(AND($C958&lt;&gt;"",$Q958="Có",$R958="",$S958="Có",AND($L958&lt;&gt;"",OR($L958&lt;&gt;"Chưa xác định",DANH_MUC!$L$9="Có"))),"Có","Không"))</f>
        <v/>
      </c>
      <c r="U958" s="22">
        <f>IF(OR($D958="",$T958="Có"),"",IF($C958="","Thiếu họ tên; ","")&amp;IF($S958&lt;&gt;"Có","SĐT sai định dạng; ","")&amp;IF($R958="Trùng","Trùng SĐT; ","")&amp;IF($Q958&lt;&gt;"Có","Thiếu đồng ý bắt buộc; ","")&amp;IF($L958="","Thiếu/sai Mã REF; ",IF(AND($L958="Chưa xác định",DANH_MUC!$L$9&lt;&gt;"Có"),"Nguồn chưa xác định; ","")))</f>
        <v/>
      </c>
      <c r="V958" s="22">
        <f>IF(OR($D958="",$R958="Trùng"),"",IF(COUNTIF(ORDERS!$C$2:$C$4995,$D958)&gt;0,"Có","Không"))</f>
        <v/>
      </c>
      <c r="W958" s="22">
        <f>IF(OR($D958="",$R958="Trùng"),"",COUNTIFS(ORDERS!$C$2:$C$4995,$D958,ORDERS!$L$2:$L$4995,"Đã chuyển khoản"))</f>
        <v/>
      </c>
      <c r="X958" s="23">
        <f>IF(OR($D958="",$R958="Trùng"),"",SUMIFS(ORDERS!$J$2:$J$4995,ORDERS!$C$2:$C$4995,$D958,ORDERS!$L$2:$L$4995,"Đã chuyển khoản"))</f>
        <v/>
      </c>
      <c r="Y958" s="24" t="n"/>
    </row>
    <row r="959" ht="14.25" customHeight="1" s="40">
      <c r="A959" s="24" t="n"/>
      <c r="B959" s="27" t="n"/>
      <c r="C959" s="24" t="n"/>
      <c r="D959" s="28" t="n"/>
      <c r="E959" s="29" t="n"/>
      <c r="F959" s="24" t="n"/>
      <c r="G959" s="24" t="n"/>
      <c r="H959" s="21">
        <f>IF(ISNUMBER($B959),INT($B959)-WEEKDAY($B959,2)+1,"")</f>
        <v/>
      </c>
      <c r="I959" s="24" t="n"/>
      <c r="J959" s="22">
        <f t="array" ref="J959">IF($D959="","",IF($I959="","(trống REF)",IFERROR(INDEX(MASTER_SOURCE!$B$2:$B$495,MATCH($I959,MASTER_SOURCE!$A$2:$A$495,0)),"(REF không có trong MASTER_SOURCE)")))</f>
        <v/>
      </c>
      <c r="K959" s="22">
        <f t="array" ref="K959">IF($D959="","",IFERROR(INDEX(MASTER_SOURCE!$C$2:$C$495,MATCH($I959,MASTER_SOURCE!$A$2:$A$495,0)),""))</f>
        <v/>
      </c>
      <c r="L959" s="22">
        <f t="array" ref="L959">IF($D959="","",IFERROR(INDEX(MASTER_SOURCE!$D$2:$D$495,MATCH($I959,MASTER_SOURCE!$A$2:$A$495,0)),""))</f>
        <v/>
      </c>
      <c r="M959" s="24" t="n"/>
      <c r="N959" s="24" t="n"/>
      <c r="O959" s="24" t="n"/>
      <c r="P959" s="24" t="n"/>
      <c r="Q959" s="22">
        <f>IF($D959="","",IF(AND(OR(DANH_MUC!$L$5&lt;&gt;"Có",M959="Có"),OR(DANH_MUC!$L$6&lt;&gt;"Có",N959="Có"),OR(DANH_MUC!$L$7&lt;&gt;"Có",O959="Có"),OR(DANH_MUC!$L$8&lt;&gt;"Có",P959="Có")),"Có","Không"))</f>
        <v/>
      </c>
      <c r="R959" s="22">
        <f>IF($D959="","",IF(COUNTIF($D$2:$D959,$D959)&gt;1,"Trùng",""))</f>
        <v/>
      </c>
      <c r="S959" s="22">
        <f>IF($D959="","",IF(AND(LEN($D959)=10,LEFT($D959,1)="0",ISNUMBER(--$D959)),"Có","Không"))</f>
        <v/>
      </c>
      <c r="T959" s="22">
        <f>IF($D959="","",IF(AND($C959&lt;&gt;"",$Q959="Có",$R959="",$S959="Có",AND($L959&lt;&gt;"",OR($L959&lt;&gt;"Chưa xác định",DANH_MUC!$L$9="Có"))),"Có","Không"))</f>
        <v/>
      </c>
      <c r="U959" s="22">
        <f>IF(OR($D959="",$T959="Có"),"",IF($C959="","Thiếu họ tên; ","")&amp;IF($S959&lt;&gt;"Có","SĐT sai định dạng; ","")&amp;IF($R959="Trùng","Trùng SĐT; ","")&amp;IF($Q959&lt;&gt;"Có","Thiếu đồng ý bắt buộc; ","")&amp;IF($L959="","Thiếu/sai Mã REF; ",IF(AND($L959="Chưa xác định",DANH_MUC!$L$9&lt;&gt;"Có"),"Nguồn chưa xác định; ","")))</f>
        <v/>
      </c>
      <c r="V959" s="22">
        <f>IF(OR($D959="",$R959="Trùng"),"",IF(COUNTIF(ORDERS!$C$2:$C$4995,$D959)&gt;0,"Có","Không"))</f>
        <v/>
      </c>
      <c r="W959" s="22">
        <f>IF(OR($D959="",$R959="Trùng"),"",COUNTIFS(ORDERS!$C$2:$C$4995,$D959,ORDERS!$L$2:$L$4995,"Đã chuyển khoản"))</f>
        <v/>
      </c>
      <c r="X959" s="23">
        <f>IF(OR($D959="",$R959="Trùng"),"",SUMIFS(ORDERS!$J$2:$J$4995,ORDERS!$C$2:$C$4995,$D959,ORDERS!$L$2:$L$4995,"Đã chuyển khoản"))</f>
        <v/>
      </c>
      <c r="Y959" s="24" t="n"/>
    </row>
    <row r="960" ht="14.25" customHeight="1" s="40">
      <c r="A960" s="24" t="n"/>
      <c r="B960" s="27" t="n"/>
      <c r="C960" s="24" t="n"/>
      <c r="D960" s="28" t="n"/>
      <c r="E960" s="29" t="n"/>
      <c r="F960" s="24" t="n"/>
      <c r="G960" s="24" t="n"/>
      <c r="H960" s="21">
        <f>IF(ISNUMBER($B960),INT($B960)-WEEKDAY($B960,2)+1,"")</f>
        <v/>
      </c>
      <c r="I960" s="24" t="n"/>
      <c r="J960" s="22">
        <f t="array" ref="J960">IF($D960="","",IF($I960="","(trống REF)",IFERROR(INDEX(MASTER_SOURCE!$B$2:$B$495,MATCH($I960,MASTER_SOURCE!$A$2:$A$495,0)),"(REF không có trong MASTER_SOURCE)")))</f>
        <v/>
      </c>
      <c r="K960" s="22">
        <f t="array" ref="K960">IF($D960="","",IFERROR(INDEX(MASTER_SOURCE!$C$2:$C$495,MATCH($I960,MASTER_SOURCE!$A$2:$A$495,0)),""))</f>
        <v/>
      </c>
      <c r="L960" s="22">
        <f t="array" ref="L960">IF($D960="","",IFERROR(INDEX(MASTER_SOURCE!$D$2:$D$495,MATCH($I960,MASTER_SOURCE!$A$2:$A$495,0)),""))</f>
        <v/>
      </c>
      <c r="M960" s="24" t="n"/>
      <c r="N960" s="24" t="n"/>
      <c r="O960" s="24" t="n"/>
      <c r="P960" s="24" t="n"/>
      <c r="Q960" s="22">
        <f>IF($D960="","",IF(AND(OR(DANH_MUC!$L$5&lt;&gt;"Có",M960="Có"),OR(DANH_MUC!$L$6&lt;&gt;"Có",N960="Có"),OR(DANH_MUC!$L$7&lt;&gt;"Có",O960="Có"),OR(DANH_MUC!$L$8&lt;&gt;"Có",P960="Có")),"Có","Không"))</f>
        <v/>
      </c>
      <c r="R960" s="22">
        <f>IF($D960="","",IF(COUNTIF($D$2:$D960,$D960)&gt;1,"Trùng",""))</f>
        <v/>
      </c>
      <c r="S960" s="22">
        <f>IF($D960="","",IF(AND(LEN($D960)=10,LEFT($D960,1)="0",ISNUMBER(--$D960)),"Có","Không"))</f>
        <v/>
      </c>
      <c r="T960" s="22">
        <f>IF($D960="","",IF(AND($C960&lt;&gt;"",$Q960="Có",$R960="",$S960="Có",AND($L960&lt;&gt;"",OR($L960&lt;&gt;"Chưa xác định",DANH_MUC!$L$9="Có"))),"Có","Không"))</f>
        <v/>
      </c>
      <c r="U960" s="22">
        <f>IF(OR($D960="",$T960="Có"),"",IF($C960="","Thiếu họ tên; ","")&amp;IF($S960&lt;&gt;"Có","SĐT sai định dạng; ","")&amp;IF($R960="Trùng","Trùng SĐT; ","")&amp;IF($Q960&lt;&gt;"Có","Thiếu đồng ý bắt buộc; ","")&amp;IF($L960="","Thiếu/sai Mã REF; ",IF(AND($L960="Chưa xác định",DANH_MUC!$L$9&lt;&gt;"Có"),"Nguồn chưa xác định; ","")))</f>
        <v/>
      </c>
      <c r="V960" s="22">
        <f>IF(OR($D960="",$R960="Trùng"),"",IF(COUNTIF(ORDERS!$C$2:$C$4995,$D960)&gt;0,"Có","Không"))</f>
        <v/>
      </c>
      <c r="W960" s="22">
        <f>IF(OR($D960="",$R960="Trùng"),"",COUNTIFS(ORDERS!$C$2:$C$4995,$D960,ORDERS!$L$2:$L$4995,"Đã chuyển khoản"))</f>
        <v/>
      </c>
      <c r="X960" s="23">
        <f>IF(OR($D960="",$R960="Trùng"),"",SUMIFS(ORDERS!$J$2:$J$4995,ORDERS!$C$2:$C$4995,$D960,ORDERS!$L$2:$L$4995,"Đã chuyển khoản"))</f>
        <v/>
      </c>
      <c r="Y960" s="24" t="n"/>
    </row>
    <row r="961" ht="14.25" customHeight="1" s="40">
      <c r="A961" s="24" t="n"/>
      <c r="B961" s="27" t="n"/>
      <c r="C961" s="24" t="n"/>
      <c r="D961" s="28" t="n"/>
      <c r="E961" s="29" t="n"/>
      <c r="F961" s="24" t="n"/>
      <c r="G961" s="24" t="n"/>
      <c r="H961" s="21">
        <f>IF(ISNUMBER($B961),INT($B961)-WEEKDAY($B961,2)+1,"")</f>
        <v/>
      </c>
      <c r="I961" s="24" t="n"/>
      <c r="J961" s="22">
        <f t="array" ref="J961">IF($D961="","",IF($I961="","(trống REF)",IFERROR(INDEX(MASTER_SOURCE!$B$2:$B$495,MATCH($I961,MASTER_SOURCE!$A$2:$A$495,0)),"(REF không có trong MASTER_SOURCE)")))</f>
        <v/>
      </c>
      <c r="K961" s="22">
        <f t="array" ref="K961">IF($D961="","",IFERROR(INDEX(MASTER_SOURCE!$C$2:$C$495,MATCH($I961,MASTER_SOURCE!$A$2:$A$495,0)),""))</f>
        <v/>
      </c>
      <c r="L961" s="22">
        <f t="array" ref="L961">IF($D961="","",IFERROR(INDEX(MASTER_SOURCE!$D$2:$D$495,MATCH($I961,MASTER_SOURCE!$A$2:$A$495,0)),""))</f>
        <v/>
      </c>
      <c r="M961" s="24" t="n"/>
      <c r="N961" s="24" t="n"/>
      <c r="O961" s="24" t="n"/>
      <c r="P961" s="24" t="n"/>
      <c r="Q961" s="22">
        <f>IF($D961="","",IF(AND(OR(DANH_MUC!$L$5&lt;&gt;"Có",M961="Có"),OR(DANH_MUC!$L$6&lt;&gt;"Có",N961="Có"),OR(DANH_MUC!$L$7&lt;&gt;"Có",O961="Có"),OR(DANH_MUC!$L$8&lt;&gt;"Có",P961="Có")),"Có","Không"))</f>
        <v/>
      </c>
      <c r="R961" s="22">
        <f>IF($D961="","",IF(COUNTIF($D$2:$D961,$D961)&gt;1,"Trùng",""))</f>
        <v/>
      </c>
      <c r="S961" s="22">
        <f>IF($D961="","",IF(AND(LEN($D961)=10,LEFT($D961,1)="0",ISNUMBER(--$D961)),"Có","Không"))</f>
        <v/>
      </c>
      <c r="T961" s="22">
        <f>IF($D961="","",IF(AND($C961&lt;&gt;"",$Q961="Có",$R961="",$S961="Có",AND($L961&lt;&gt;"",OR($L961&lt;&gt;"Chưa xác định",DANH_MUC!$L$9="Có"))),"Có","Không"))</f>
        <v/>
      </c>
      <c r="U961" s="22">
        <f>IF(OR($D961="",$T961="Có"),"",IF($C961="","Thiếu họ tên; ","")&amp;IF($S961&lt;&gt;"Có","SĐT sai định dạng; ","")&amp;IF($R961="Trùng","Trùng SĐT; ","")&amp;IF($Q961&lt;&gt;"Có","Thiếu đồng ý bắt buộc; ","")&amp;IF($L961="","Thiếu/sai Mã REF; ",IF(AND($L961="Chưa xác định",DANH_MUC!$L$9&lt;&gt;"Có"),"Nguồn chưa xác định; ","")))</f>
        <v/>
      </c>
      <c r="V961" s="22">
        <f>IF(OR($D961="",$R961="Trùng"),"",IF(COUNTIF(ORDERS!$C$2:$C$4995,$D961)&gt;0,"Có","Không"))</f>
        <v/>
      </c>
      <c r="W961" s="22">
        <f>IF(OR($D961="",$R961="Trùng"),"",COUNTIFS(ORDERS!$C$2:$C$4995,$D961,ORDERS!$L$2:$L$4995,"Đã chuyển khoản"))</f>
        <v/>
      </c>
      <c r="X961" s="23">
        <f>IF(OR($D961="",$R961="Trùng"),"",SUMIFS(ORDERS!$J$2:$J$4995,ORDERS!$C$2:$C$4995,$D961,ORDERS!$L$2:$L$4995,"Đã chuyển khoản"))</f>
        <v/>
      </c>
      <c r="Y961" s="24" t="n"/>
    </row>
    <row r="962" ht="14.25" customHeight="1" s="40">
      <c r="A962" s="24" t="n"/>
      <c r="B962" s="27" t="n"/>
      <c r="C962" s="24" t="n"/>
      <c r="D962" s="28" t="n"/>
      <c r="E962" s="29" t="n"/>
      <c r="F962" s="24" t="n"/>
      <c r="G962" s="24" t="n"/>
      <c r="H962" s="21">
        <f>IF(ISNUMBER($B962),INT($B962)-WEEKDAY($B962,2)+1,"")</f>
        <v/>
      </c>
      <c r="I962" s="24" t="n"/>
      <c r="J962" s="22">
        <f t="array" ref="J962">IF($D962="","",IF($I962="","(trống REF)",IFERROR(INDEX(MASTER_SOURCE!$B$2:$B$495,MATCH($I962,MASTER_SOURCE!$A$2:$A$495,0)),"(REF không có trong MASTER_SOURCE)")))</f>
        <v/>
      </c>
      <c r="K962" s="22">
        <f t="array" ref="K962">IF($D962="","",IFERROR(INDEX(MASTER_SOURCE!$C$2:$C$495,MATCH($I962,MASTER_SOURCE!$A$2:$A$495,0)),""))</f>
        <v/>
      </c>
      <c r="L962" s="22">
        <f t="array" ref="L962">IF($D962="","",IFERROR(INDEX(MASTER_SOURCE!$D$2:$D$495,MATCH($I962,MASTER_SOURCE!$A$2:$A$495,0)),""))</f>
        <v/>
      </c>
      <c r="M962" s="24" t="n"/>
      <c r="N962" s="24" t="n"/>
      <c r="O962" s="24" t="n"/>
      <c r="P962" s="24" t="n"/>
      <c r="Q962" s="22">
        <f>IF($D962="","",IF(AND(OR(DANH_MUC!$L$5&lt;&gt;"Có",M962="Có"),OR(DANH_MUC!$L$6&lt;&gt;"Có",N962="Có"),OR(DANH_MUC!$L$7&lt;&gt;"Có",O962="Có"),OR(DANH_MUC!$L$8&lt;&gt;"Có",P962="Có")),"Có","Không"))</f>
        <v/>
      </c>
      <c r="R962" s="22">
        <f>IF($D962="","",IF(COUNTIF($D$2:$D962,$D962)&gt;1,"Trùng",""))</f>
        <v/>
      </c>
      <c r="S962" s="22">
        <f>IF($D962="","",IF(AND(LEN($D962)=10,LEFT($D962,1)="0",ISNUMBER(--$D962)),"Có","Không"))</f>
        <v/>
      </c>
      <c r="T962" s="22">
        <f>IF($D962="","",IF(AND($C962&lt;&gt;"",$Q962="Có",$R962="",$S962="Có",AND($L962&lt;&gt;"",OR($L962&lt;&gt;"Chưa xác định",DANH_MUC!$L$9="Có"))),"Có","Không"))</f>
        <v/>
      </c>
      <c r="U962" s="22">
        <f>IF(OR($D962="",$T962="Có"),"",IF($C962="","Thiếu họ tên; ","")&amp;IF($S962&lt;&gt;"Có","SĐT sai định dạng; ","")&amp;IF($R962="Trùng","Trùng SĐT; ","")&amp;IF($Q962&lt;&gt;"Có","Thiếu đồng ý bắt buộc; ","")&amp;IF($L962="","Thiếu/sai Mã REF; ",IF(AND($L962="Chưa xác định",DANH_MUC!$L$9&lt;&gt;"Có"),"Nguồn chưa xác định; ","")))</f>
        <v/>
      </c>
      <c r="V962" s="22">
        <f>IF(OR($D962="",$R962="Trùng"),"",IF(COUNTIF(ORDERS!$C$2:$C$4995,$D962)&gt;0,"Có","Không"))</f>
        <v/>
      </c>
      <c r="W962" s="22">
        <f>IF(OR($D962="",$R962="Trùng"),"",COUNTIFS(ORDERS!$C$2:$C$4995,$D962,ORDERS!$L$2:$L$4995,"Đã chuyển khoản"))</f>
        <v/>
      </c>
      <c r="X962" s="23">
        <f>IF(OR($D962="",$R962="Trùng"),"",SUMIFS(ORDERS!$J$2:$J$4995,ORDERS!$C$2:$C$4995,$D962,ORDERS!$L$2:$L$4995,"Đã chuyển khoản"))</f>
        <v/>
      </c>
      <c r="Y962" s="24" t="n"/>
    </row>
    <row r="963" ht="14.25" customHeight="1" s="40">
      <c r="A963" s="24" t="n"/>
      <c r="B963" s="27" t="n"/>
      <c r="C963" s="24" t="n"/>
      <c r="D963" s="28" t="n"/>
      <c r="E963" s="29" t="n"/>
      <c r="F963" s="24" t="n"/>
      <c r="G963" s="24" t="n"/>
      <c r="H963" s="21">
        <f>IF(ISNUMBER($B963),INT($B963)-WEEKDAY($B963,2)+1,"")</f>
        <v/>
      </c>
      <c r="I963" s="24" t="n"/>
      <c r="J963" s="22">
        <f t="array" ref="J963">IF($D963="","",IF($I963="","(trống REF)",IFERROR(INDEX(MASTER_SOURCE!$B$2:$B$495,MATCH($I963,MASTER_SOURCE!$A$2:$A$495,0)),"(REF không có trong MASTER_SOURCE)")))</f>
        <v/>
      </c>
      <c r="K963" s="22">
        <f t="array" ref="K963">IF($D963="","",IFERROR(INDEX(MASTER_SOURCE!$C$2:$C$495,MATCH($I963,MASTER_SOURCE!$A$2:$A$495,0)),""))</f>
        <v/>
      </c>
      <c r="L963" s="22">
        <f t="array" ref="L963">IF($D963="","",IFERROR(INDEX(MASTER_SOURCE!$D$2:$D$495,MATCH($I963,MASTER_SOURCE!$A$2:$A$495,0)),""))</f>
        <v/>
      </c>
      <c r="M963" s="24" t="n"/>
      <c r="N963" s="24" t="n"/>
      <c r="O963" s="24" t="n"/>
      <c r="P963" s="24" t="n"/>
      <c r="Q963" s="22">
        <f>IF($D963="","",IF(AND(OR(DANH_MUC!$L$5&lt;&gt;"Có",M963="Có"),OR(DANH_MUC!$L$6&lt;&gt;"Có",N963="Có"),OR(DANH_MUC!$L$7&lt;&gt;"Có",O963="Có"),OR(DANH_MUC!$L$8&lt;&gt;"Có",P963="Có")),"Có","Không"))</f>
        <v/>
      </c>
      <c r="R963" s="22">
        <f>IF($D963="","",IF(COUNTIF($D$2:$D963,$D963)&gt;1,"Trùng",""))</f>
        <v/>
      </c>
      <c r="S963" s="22">
        <f>IF($D963="","",IF(AND(LEN($D963)=10,LEFT($D963,1)="0",ISNUMBER(--$D963)),"Có","Không"))</f>
        <v/>
      </c>
      <c r="T963" s="22">
        <f>IF($D963="","",IF(AND($C963&lt;&gt;"",$Q963="Có",$R963="",$S963="Có",AND($L963&lt;&gt;"",OR($L963&lt;&gt;"Chưa xác định",DANH_MUC!$L$9="Có"))),"Có","Không"))</f>
        <v/>
      </c>
      <c r="U963" s="22">
        <f>IF(OR($D963="",$T963="Có"),"",IF($C963="","Thiếu họ tên; ","")&amp;IF($S963&lt;&gt;"Có","SĐT sai định dạng; ","")&amp;IF($R963="Trùng","Trùng SĐT; ","")&amp;IF($Q963&lt;&gt;"Có","Thiếu đồng ý bắt buộc; ","")&amp;IF($L963="","Thiếu/sai Mã REF; ",IF(AND($L963="Chưa xác định",DANH_MUC!$L$9&lt;&gt;"Có"),"Nguồn chưa xác định; ","")))</f>
        <v/>
      </c>
      <c r="V963" s="22">
        <f>IF(OR($D963="",$R963="Trùng"),"",IF(COUNTIF(ORDERS!$C$2:$C$4995,$D963)&gt;0,"Có","Không"))</f>
        <v/>
      </c>
      <c r="W963" s="22">
        <f>IF(OR($D963="",$R963="Trùng"),"",COUNTIFS(ORDERS!$C$2:$C$4995,$D963,ORDERS!$L$2:$L$4995,"Đã chuyển khoản"))</f>
        <v/>
      </c>
      <c r="X963" s="23">
        <f>IF(OR($D963="",$R963="Trùng"),"",SUMIFS(ORDERS!$J$2:$J$4995,ORDERS!$C$2:$C$4995,$D963,ORDERS!$L$2:$L$4995,"Đã chuyển khoản"))</f>
        <v/>
      </c>
      <c r="Y963" s="24" t="n"/>
    </row>
    <row r="964" ht="14.25" customHeight="1" s="40">
      <c r="A964" s="24" t="n"/>
      <c r="B964" s="27" t="n"/>
      <c r="C964" s="24" t="n"/>
      <c r="D964" s="28" t="n"/>
      <c r="E964" s="29" t="n"/>
      <c r="F964" s="24" t="n"/>
      <c r="G964" s="24" t="n"/>
      <c r="H964" s="21">
        <f>IF(ISNUMBER($B964),INT($B964)-WEEKDAY($B964,2)+1,"")</f>
        <v/>
      </c>
      <c r="I964" s="24" t="n"/>
      <c r="J964" s="22">
        <f t="array" ref="J964">IF($D964="","",IF($I964="","(trống REF)",IFERROR(INDEX(MASTER_SOURCE!$B$2:$B$495,MATCH($I964,MASTER_SOURCE!$A$2:$A$495,0)),"(REF không có trong MASTER_SOURCE)")))</f>
        <v/>
      </c>
      <c r="K964" s="22">
        <f t="array" ref="K964">IF($D964="","",IFERROR(INDEX(MASTER_SOURCE!$C$2:$C$495,MATCH($I964,MASTER_SOURCE!$A$2:$A$495,0)),""))</f>
        <v/>
      </c>
      <c r="L964" s="22">
        <f t="array" ref="L964">IF($D964="","",IFERROR(INDEX(MASTER_SOURCE!$D$2:$D$495,MATCH($I964,MASTER_SOURCE!$A$2:$A$495,0)),""))</f>
        <v/>
      </c>
      <c r="M964" s="24" t="n"/>
      <c r="N964" s="24" t="n"/>
      <c r="O964" s="24" t="n"/>
      <c r="P964" s="24" t="n"/>
      <c r="Q964" s="22">
        <f>IF($D964="","",IF(AND(OR(DANH_MUC!$L$5&lt;&gt;"Có",M964="Có"),OR(DANH_MUC!$L$6&lt;&gt;"Có",N964="Có"),OR(DANH_MUC!$L$7&lt;&gt;"Có",O964="Có"),OR(DANH_MUC!$L$8&lt;&gt;"Có",P964="Có")),"Có","Không"))</f>
        <v/>
      </c>
      <c r="R964" s="22">
        <f>IF($D964="","",IF(COUNTIF($D$2:$D964,$D964)&gt;1,"Trùng",""))</f>
        <v/>
      </c>
      <c r="S964" s="22">
        <f>IF($D964="","",IF(AND(LEN($D964)=10,LEFT($D964,1)="0",ISNUMBER(--$D964)),"Có","Không"))</f>
        <v/>
      </c>
      <c r="T964" s="22">
        <f>IF($D964="","",IF(AND($C964&lt;&gt;"",$Q964="Có",$R964="",$S964="Có",AND($L964&lt;&gt;"",OR($L964&lt;&gt;"Chưa xác định",DANH_MUC!$L$9="Có"))),"Có","Không"))</f>
        <v/>
      </c>
      <c r="U964" s="22">
        <f>IF(OR($D964="",$T964="Có"),"",IF($C964="","Thiếu họ tên; ","")&amp;IF($S964&lt;&gt;"Có","SĐT sai định dạng; ","")&amp;IF($R964="Trùng","Trùng SĐT; ","")&amp;IF($Q964&lt;&gt;"Có","Thiếu đồng ý bắt buộc; ","")&amp;IF($L964="","Thiếu/sai Mã REF; ",IF(AND($L964="Chưa xác định",DANH_MUC!$L$9&lt;&gt;"Có"),"Nguồn chưa xác định; ","")))</f>
        <v/>
      </c>
      <c r="V964" s="22">
        <f>IF(OR($D964="",$R964="Trùng"),"",IF(COUNTIF(ORDERS!$C$2:$C$4995,$D964)&gt;0,"Có","Không"))</f>
        <v/>
      </c>
      <c r="W964" s="22">
        <f>IF(OR($D964="",$R964="Trùng"),"",COUNTIFS(ORDERS!$C$2:$C$4995,$D964,ORDERS!$L$2:$L$4995,"Đã chuyển khoản"))</f>
        <v/>
      </c>
      <c r="X964" s="23">
        <f>IF(OR($D964="",$R964="Trùng"),"",SUMIFS(ORDERS!$J$2:$J$4995,ORDERS!$C$2:$C$4995,$D964,ORDERS!$L$2:$L$4995,"Đã chuyển khoản"))</f>
        <v/>
      </c>
      <c r="Y964" s="24" t="n"/>
    </row>
    <row r="965" ht="14.25" customHeight="1" s="40">
      <c r="A965" s="24" t="n"/>
      <c r="B965" s="27" t="n"/>
      <c r="C965" s="24" t="n"/>
      <c r="D965" s="28" t="n"/>
      <c r="E965" s="29" t="n"/>
      <c r="F965" s="24" t="n"/>
      <c r="G965" s="24" t="n"/>
      <c r="H965" s="21">
        <f>IF(ISNUMBER($B965),INT($B965)-WEEKDAY($B965,2)+1,"")</f>
        <v/>
      </c>
      <c r="I965" s="24" t="n"/>
      <c r="J965" s="22">
        <f t="array" ref="J965">IF($D965="","",IF($I965="","(trống REF)",IFERROR(INDEX(MASTER_SOURCE!$B$2:$B$495,MATCH($I965,MASTER_SOURCE!$A$2:$A$495,0)),"(REF không có trong MASTER_SOURCE)")))</f>
        <v/>
      </c>
      <c r="K965" s="22">
        <f t="array" ref="K965">IF($D965="","",IFERROR(INDEX(MASTER_SOURCE!$C$2:$C$495,MATCH($I965,MASTER_SOURCE!$A$2:$A$495,0)),""))</f>
        <v/>
      </c>
      <c r="L965" s="22">
        <f t="array" ref="L965">IF($D965="","",IFERROR(INDEX(MASTER_SOURCE!$D$2:$D$495,MATCH($I965,MASTER_SOURCE!$A$2:$A$495,0)),""))</f>
        <v/>
      </c>
      <c r="M965" s="24" t="n"/>
      <c r="N965" s="24" t="n"/>
      <c r="O965" s="24" t="n"/>
      <c r="P965" s="24" t="n"/>
      <c r="Q965" s="22">
        <f>IF($D965="","",IF(AND(OR(DANH_MUC!$L$5&lt;&gt;"Có",M965="Có"),OR(DANH_MUC!$L$6&lt;&gt;"Có",N965="Có"),OR(DANH_MUC!$L$7&lt;&gt;"Có",O965="Có"),OR(DANH_MUC!$L$8&lt;&gt;"Có",P965="Có")),"Có","Không"))</f>
        <v/>
      </c>
      <c r="R965" s="22">
        <f>IF($D965="","",IF(COUNTIF($D$2:$D965,$D965)&gt;1,"Trùng",""))</f>
        <v/>
      </c>
      <c r="S965" s="22">
        <f>IF($D965="","",IF(AND(LEN($D965)=10,LEFT($D965,1)="0",ISNUMBER(--$D965)),"Có","Không"))</f>
        <v/>
      </c>
      <c r="T965" s="22">
        <f>IF($D965="","",IF(AND($C965&lt;&gt;"",$Q965="Có",$R965="",$S965="Có",AND($L965&lt;&gt;"",OR($L965&lt;&gt;"Chưa xác định",DANH_MUC!$L$9="Có"))),"Có","Không"))</f>
        <v/>
      </c>
      <c r="U965" s="22">
        <f>IF(OR($D965="",$T965="Có"),"",IF($C965="","Thiếu họ tên; ","")&amp;IF($S965&lt;&gt;"Có","SĐT sai định dạng; ","")&amp;IF($R965="Trùng","Trùng SĐT; ","")&amp;IF($Q965&lt;&gt;"Có","Thiếu đồng ý bắt buộc; ","")&amp;IF($L965="","Thiếu/sai Mã REF; ",IF(AND($L965="Chưa xác định",DANH_MUC!$L$9&lt;&gt;"Có"),"Nguồn chưa xác định; ","")))</f>
        <v/>
      </c>
      <c r="V965" s="22">
        <f>IF(OR($D965="",$R965="Trùng"),"",IF(COUNTIF(ORDERS!$C$2:$C$4995,$D965)&gt;0,"Có","Không"))</f>
        <v/>
      </c>
      <c r="W965" s="22">
        <f>IF(OR($D965="",$R965="Trùng"),"",COUNTIFS(ORDERS!$C$2:$C$4995,$D965,ORDERS!$L$2:$L$4995,"Đã chuyển khoản"))</f>
        <v/>
      </c>
      <c r="X965" s="23">
        <f>IF(OR($D965="",$R965="Trùng"),"",SUMIFS(ORDERS!$J$2:$J$4995,ORDERS!$C$2:$C$4995,$D965,ORDERS!$L$2:$L$4995,"Đã chuyển khoản"))</f>
        <v/>
      </c>
      <c r="Y965" s="24" t="n"/>
    </row>
    <row r="966" ht="14.25" customHeight="1" s="40">
      <c r="A966" s="24" t="n"/>
      <c r="B966" s="27" t="n"/>
      <c r="C966" s="24" t="n"/>
      <c r="D966" s="28" t="n"/>
      <c r="E966" s="29" t="n"/>
      <c r="F966" s="24" t="n"/>
      <c r="G966" s="24" t="n"/>
      <c r="H966" s="21">
        <f>IF(ISNUMBER($B966),INT($B966)-WEEKDAY($B966,2)+1,"")</f>
        <v/>
      </c>
      <c r="I966" s="24" t="n"/>
      <c r="J966" s="22">
        <f t="array" ref="J966">IF($D966="","",IF($I966="","(trống REF)",IFERROR(INDEX(MASTER_SOURCE!$B$2:$B$495,MATCH($I966,MASTER_SOURCE!$A$2:$A$495,0)),"(REF không có trong MASTER_SOURCE)")))</f>
        <v/>
      </c>
      <c r="K966" s="22">
        <f t="array" ref="K966">IF($D966="","",IFERROR(INDEX(MASTER_SOURCE!$C$2:$C$495,MATCH($I966,MASTER_SOURCE!$A$2:$A$495,0)),""))</f>
        <v/>
      </c>
      <c r="L966" s="22">
        <f t="array" ref="L966">IF($D966="","",IFERROR(INDEX(MASTER_SOURCE!$D$2:$D$495,MATCH($I966,MASTER_SOURCE!$A$2:$A$495,0)),""))</f>
        <v/>
      </c>
      <c r="M966" s="24" t="n"/>
      <c r="N966" s="24" t="n"/>
      <c r="O966" s="24" t="n"/>
      <c r="P966" s="24" t="n"/>
      <c r="Q966" s="22">
        <f>IF($D966="","",IF(AND(OR(DANH_MUC!$L$5&lt;&gt;"Có",M966="Có"),OR(DANH_MUC!$L$6&lt;&gt;"Có",N966="Có"),OR(DANH_MUC!$L$7&lt;&gt;"Có",O966="Có"),OR(DANH_MUC!$L$8&lt;&gt;"Có",P966="Có")),"Có","Không"))</f>
        <v/>
      </c>
      <c r="R966" s="22">
        <f>IF($D966="","",IF(COUNTIF($D$2:$D966,$D966)&gt;1,"Trùng",""))</f>
        <v/>
      </c>
      <c r="S966" s="22">
        <f>IF($D966="","",IF(AND(LEN($D966)=10,LEFT($D966,1)="0",ISNUMBER(--$D966)),"Có","Không"))</f>
        <v/>
      </c>
      <c r="T966" s="22">
        <f>IF($D966="","",IF(AND($C966&lt;&gt;"",$Q966="Có",$R966="",$S966="Có",AND($L966&lt;&gt;"",OR($L966&lt;&gt;"Chưa xác định",DANH_MUC!$L$9="Có"))),"Có","Không"))</f>
        <v/>
      </c>
      <c r="U966" s="22">
        <f>IF(OR($D966="",$T966="Có"),"",IF($C966="","Thiếu họ tên; ","")&amp;IF($S966&lt;&gt;"Có","SĐT sai định dạng; ","")&amp;IF($R966="Trùng","Trùng SĐT; ","")&amp;IF($Q966&lt;&gt;"Có","Thiếu đồng ý bắt buộc; ","")&amp;IF($L966="","Thiếu/sai Mã REF; ",IF(AND($L966="Chưa xác định",DANH_MUC!$L$9&lt;&gt;"Có"),"Nguồn chưa xác định; ","")))</f>
        <v/>
      </c>
      <c r="V966" s="22">
        <f>IF(OR($D966="",$R966="Trùng"),"",IF(COUNTIF(ORDERS!$C$2:$C$4995,$D966)&gt;0,"Có","Không"))</f>
        <v/>
      </c>
      <c r="W966" s="22">
        <f>IF(OR($D966="",$R966="Trùng"),"",COUNTIFS(ORDERS!$C$2:$C$4995,$D966,ORDERS!$L$2:$L$4995,"Đã chuyển khoản"))</f>
        <v/>
      </c>
      <c r="X966" s="23">
        <f>IF(OR($D966="",$R966="Trùng"),"",SUMIFS(ORDERS!$J$2:$J$4995,ORDERS!$C$2:$C$4995,$D966,ORDERS!$L$2:$L$4995,"Đã chuyển khoản"))</f>
        <v/>
      </c>
      <c r="Y966" s="24" t="n"/>
    </row>
    <row r="967" ht="14.25" customHeight="1" s="40">
      <c r="A967" s="24" t="n"/>
      <c r="B967" s="27" t="n"/>
      <c r="C967" s="24" t="n"/>
      <c r="D967" s="28" t="n"/>
      <c r="E967" s="29" t="n"/>
      <c r="F967" s="24" t="n"/>
      <c r="G967" s="24" t="n"/>
      <c r="H967" s="21">
        <f>IF(ISNUMBER($B967),INT($B967)-WEEKDAY($B967,2)+1,"")</f>
        <v/>
      </c>
      <c r="I967" s="24" t="n"/>
      <c r="J967" s="22">
        <f t="array" ref="J967">IF($D967="","",IF($I967="","(trống REF)",IFERROR(INDEX(MASTER_SOURCE!$B$2:$B$495,MATCH($I967,MASTER_SOURCE!$A$2:$A$495,0)),"(REF không có trong MASTER_SOURCE)")))</f>
        <v/>
      </c>
      <c r="K967" s="22">
        <f t="array" ref="K967">IF($D967="","",IFERROR(INDEX(MASTER_SOURCE!$C$2:$C$495,MATCH($I967,MASTER_SOURCE!$A$2:$A$495,0)),""))</f>
        <v/>
      </c>
      <c r="L967" s="22">
        <f t="array" ref="L967">IF($D967="","",IFERROR(INDEX(MASTER_SOURCE!$D$2:$D$495,MATCH($I967,MASTER_SOURCE!$A$2:$A$495,0)),""))</f>
        <v/>
      </c>
      <c r="M967" s="24" t="n"/>
      <c r="N967" s="24" t="n"/>
      <c r="O967" s="24" t="n"/>
      <c r="P967" s="24" t="n"/>
      <c r="Q967" s="22">
        <f>IF($D967="","",IF(AND(OR(DANH_MUC!$L$5&lt;&gt;"Có",M967="Có"),OR(DANH_MUC!$L$6&lt;&gt;"Có",N967="Có"),OR(DANH_MUC!$L$7&lt;&gt;"Có",O967="Có"),OR(DANH_MUC!$L$8&lt;&gt;"Có",P967="Có")),"Có","Không"))</f>
        <v/>
      </c>
      <c r="R967" s="22">
        <f>IF($D967="","",IF(COUNTIF($D$2:$D967,$D967)&gt;1,"Trùng",""))</f>
        <v/>
      </c>
      <c r="S967" s="22">
        <f>IF($D967="","",IF(AND(LEN($D967)=10,LEFT($D967,1)="0",ISNUMBER(--$D967)),"Có","Không"))</f>
        <v/>
      </c>
      <c r="T967" s="22">
        <f>IF($D967="","",IF(AND($C967&lt;&gt;"",$Q967="Có",$R967="",$S967="Có",AND($L967&lt;&gt;"",OR($L967&lt;&gt;"Chưa xác định",DANH_MUC!$L$9="Có"))),"Có","Không"))</f>
        <v/>
      </c>
      <c r="U967" s="22">
        <f>IF(OR($D967="",$T967="Có"),"",IF($C967="","Thiếu họ tên; ","")&amp;IF($S967&lt;&gt;"Có","SĐT sai định dạng; ","")&amp;IF($R967="Trùng","Trùng SĐT; ","")&amp;IF($Q967&lt;&gt;"Có","Thiếu đồng ý bắt buộc; ","")&amp;IF($L967="","Thiếu/sai Mã REF; ",IF(AND($L967="Chưa xác định",DANH_MUC!$L$9&lt;&gt;"Có"),"Nguồn chưa xác định; ","")))</f>
        <v/>
      </c>
      <c r="V967" s="22">
        <f>IF(OR($D967="",$R967="Trùng"),"",IF(COUNTIF(ORDERS!$C$2:$C$4995,$D967)&gt;0,"Có","Không"))</f>
        <v/>
      </c>
      <c r="W967" s="22">
        <f>IF(OR($D967="",$R967="Trùng"),"",COUNTIFS(ORDERS!$C$2:$C$4995,$D967,ORDERS!$L$2:$L$4995,"Đã chuyển khoản"))</f>
        <v/>
      </c>
      <c r="X967" s="23">
        <f>IF(OR($D967="",$R967="Trùng"),"",SUMIFS(ORDERS!$J$2:$J$4995,ORDERS!$C$2:$C$4995,$D967,ORDERS!$L$2:$L$4995,"Đã chuyển khoản"))</f>
        <v/>
      </c>
      <c r="Y967" s="24" t="n"/>
    </row>
    <row r="968" ht="14.25" customHeight="1" s="40">
      <c r="A968" s="24" t="n"/>
      <c r="B968" s="27" t="n"/>
      <c r="C968" s="24" t="n"/>
      <c r="D968" s="28" t="n"/>
      <c r="E968" s="29" t="n"/>
      <c r="F968" s="24" t="n"/>
      <c r="G968" s="24" t="n"/>
      <c r="H968" s="21">
        <f>IF(ISNUMBER($B968),INT($B968)-WEEKDAY($B968,2)+1,"")</f>
        <v/>
      </c>
      <c r="I968" s="24" t="n"/>
      <c r="J968" s="22">
        <f t="array" ref="J968">IF($D968="","",IF($I968="","(trống REF)",IFERROR(INDEX(MASTER_SOURCE!$B$2:$B$495,MATCH($I968,MASTER_SOURCE!$A$2:$A$495,0)),"(REF không có trong MASTER_SOURCE)")))</f>
        <v/>
      </c>
      <c r="K968" s="22">
        <f t="array" ref="K968">IF($D968="","",IFERROR(INDEX(MASTER_SOURCE!$C$2:$C$495,MATCH($I968,MASTER_SOURCE!$A$2:$A$495,0)),""))</f>
        <v/>
      </c>
      <c r="L968" s="22">
        <f t="array" ref="L968">IF($D968="","",IFERROR(INDEX(MASTER_SOURCE!$D$2:$D$495,MATCH($I968,MASTER_SOURCE!$A$2:$A$495,0)),""))</f>
        <v/>
      </c>
      <c r="M968" s="24" t="n"/>
      <c r="N968" s="24" t="n"/>
      <c r="O968" s="24" t="n"/>
      <c r="P968" s="24" t="n"/>
      <c r="Q968" s="22">
        <f>IF($D968="","",IF(AND(OR(DANH_MUC!$L$5&lt;&gt;"Có",M968="Có"),OR(DANH_MUC!$L$6&lt;&gt;"Có",N968="Có"),OR(DANH_MUC!$L$7&lt;&gt;"Có",O968="Có"),OR(DANH_MUC!$L$8&lt;&gt;"Có",P968="Có")),"Có","Không"))</f>
        <v/>
      </c>
      <c r="R968" s="22">
        <f>IF($D968="","",IF(COUNTIF($D$2:$D968,$D968)&gt;1,"Trùng",""))</f>
        <v/>
      </c>
      <c r="S968" s="22">
        <f>IF($D968="","",IF(AND(LEN($D968)=10,LEFT($D968,1)="0",ISNUMBER(--$D968)),"Có","Không"))</f>
        <v/>
      </c>
      <c r="T968" s="22">
        <f>IF($D968="","",IF(AND($C968&lt;&gt;"",$Q968="Có",$R968="",$S968="Có",AND($L968&lt;&gt;"",OR($L968&lt;&gt;"Chưa xác định",DANH_MUC!$L$9="Có"))),"Có","Không"))</f>
        <v/>
      </c>
      <c r="U968" s="22">
        <f>IF(OR($D968="",$T968="Có"),"",IF($C968="","Thiếu họ tên; ","")&amp;IF($S968&lt;&gt;"Có","SĐT sai định dạng; ","")&amp;IF($R968="Trùng","Trùng SĐT; ","")&amp;IF($Q968&lt;&gt;"Có","Thiếu đồng ý bắt buộc; ","")&amp;IF($L968="","Thiếu/sai Mã REF; ",IF(AND($L968="Chưa xác định",DANH_MUC!$L$9&lt;&gt;"Có"),"Nguồn chưa xác định; ","")))</f>
        <v/>
      </c>
      <c r="V968" s="22">
        <f>IF(OR($D968="",$R968="Trùng"),"",IF(COUNTIF(ORDERS!$C$2:$C$4995,$D968)&gt;0,"Có","Không"))</f>
        <v/>
      </c>
      <c r="W968" s="22">
        <f>IF(OR($D968="",$R968="Trùng"),"",COUNTIFS(ORDERS!$C$2:$C$4995,$D968,ORDERS!$L$2:$L$4995,"Đã chuyển khoản"))</f>
        <v/>
      </c>
      <c r="X968" s="23">
        <f>IF(OR($D968="",$R968="Trùng"),"",SUMIFS(ORDERS!$J$2:$J$4995,ORDERS!$C$2:$C$4995,$D968,ORDERS!$L$2:$L$4995,"Đã chuyển khoản"))</f>
        <v/>
      </c>
      <c r="Y968" s="24" t="n"/>
    </row>
    <row r="969" ht="14.25" customHeight="1" s="40">
      <c r="A969" s="24" t="n"/>
      <c r="B969" s="27" t="n"/>
      <c r="C969" s="24" t="n"/>
      <c r="D969" s="28" t="n"/>
      <c r="E969" s="29" t="n"/>
      <c r="F969" s="24" t="n"/>
      <c r="G969" s="24" t="n"/>
      <c r="H969" s="21">
        <f>IF(ISNUMBER($B969),INT($B969)-WEEKDAY($B969,2)+1,"")</f>
        <v/>
      </c>
      <c r="I969" s="24" t="n"/>
      <c r="J969" s="22">
        <f t="array" ref="J969">IF($D969="","",IF($I969="","(trống REF)",IFERROR(INDEX(MASTER_SOURCE!$B$2:$B$495,MATCH($I969,MASTER_SOURCE!$A$2:$A$495,0)),"(REF không có trong MASTER_SOURCE)")))</f>
        <v/>
      </c>
      <c r="K969" s="22">
        <f t="array" ref="K969">IF($D969="","",IFERROR(INDEX(MASTER_SOURCE!$C$2:$C$495,MATCH($I969,MASTER_SOURCE!$A$2:$A$495,0)),""))</f>
        <v/>
      </c>
      <c r="L969" s="22">
        <f t="array" ref="L969">IF($D969="","",IFERROR(INDEX(MASTER_SOURCE!$D$2:$D$495,MATCH($I969,MASTER_SOURCE!$A$2:$A$495,0)),""))</f>
        <v/>
      </c>
      <c r="M969" s="24" t="n"/>
      <c r="N969" s="24" t="n"/>
      <c r="O969" s="24" t="n"/>
      <c r="P969" s="24" t="n"/>
      <c r="Q969" s="22">
        <f>IF($D969="","",IF(AND(OR(DANH_MUC!$L$5&lt;&gt;"Có",M969="Có"),OR(DANH_MUC!$L$6&lt;&gt;"Có",N969="Có"),OR(DANH_MUC!$L$7&lt;&gt;"Có",O969="Có"),OR(DANH_MUC!$L$8&lt;&gt;"Có",P969="Có")),"Có","Không"))</f>
        <v/>
      </c>
      <c r="R969" s="22">
        <f>IF($D969="","",IF(COUNTIF($D$2:$D969,$D969)&gt;1,"Trùng",""))</f>
        <v/>
      </c>
      <c r="S969" s="22">
        <f>IF($D969="","",IF(AND(LEN($D969)=10,LEFT($D969,1)="0",ISNUMBER(--$D969)),"Có","Không"))</f>
        <v/>
      </c>
      <c r="T969" s="22">
        <f>IF($D969="","",IF(AND($C969&lt;&gt;"",$Q969="Có",$R969="",$S969="Có",AND($L969&lt;&gt;"",OR($L969&lt;&gt;"Chưa xác định",DANH_MUC!$L$9="Có"))),"Có","Không"))</f>
        <v/>
      </c>
      <c r="U969" s="22">
        <f>IF(OR($D969="",$T969="Có"),"",IF($C969="","Thiếu họ tên; ","")&amp;IF($S969&lt;&gt;"Có","SĐT sai định dạng; ","")&amp;IF($R969="Trùng","Trùng SĐT; ","")&amp;IF($Q969&lt;&gt;"Có","Thiếu đồng ý bắt buộc; ","")&amp;IF($L969="","Thiếu/sai Mã REF; ",IF(AND($L969="Chưa xác định",DANH_MUC!$L$9&lt;&gt;"Có"),"Nguồn chưa xác định; ","")))</f>
        <v/>
      </c>
      <c r="V969" s="22">
        <f>IF(OR($D969="",$R969="Trùng"),"",IF(COUNTIF(ORDERS!$C$2:$C$4995,$D969)&gt;0,"Có","Không"))</f>
        <v/>
      </c>
      <c r="W969" s="22">
        <f>IF(OR($D969="",$R969="Trùng"),"",COUNTIFS(ORDERS!$C$2:$C$4995,$D969,ORDERS!$L$2:$L$4995,"Đã chuyển khoản"))</f>
        <v/>
      </c>
      <c r="X969" s="23">
        <f>IF(OR($D969="",$R969="Trùng"),"",SUMIFS(ORDERS!$J$2:$J$4995,ORDERS!$C$2:$C$4995,$D969,ORDERS!$L$2:$L$4995,"Đã chuyển khoản"))</f>
        <v/>
      </c>
      <c r="Y969" s="24" t="n"/>
    </row>
    <row r="970" ht="14.25" customHeight="1" s="40">
      <c r="A970" s="24" t="n"/>
      <c r="B970" s="27" t="n"/>
      <c r="C970" s="24" t="n"/>
      <c r="D970" s="28" t="n"/>
      <c r="E970" s="29" t="n"/>
      <c r="F970" s="24" t="n"/>
      <c r="G970" s="24" t="n"/>
      <c r="H970" s="21">
        <f>IF(ISNUMBER($B970),INT($B970)-WEEKDAY($B970,2)+1,"")</f>
        <v/>
      </c>
      <c r="I970" s="24" t="n"/>
      <c r="J970" s="22">
        <f t="array" ref="J970">IF($D970="","",IF($I970="","(trống REF)",IFERROR(INDEX(MASTER_SOURCE!$B$2:$B$495,MATCH($I970,MASTER_SOURCE!$A$2:$A$495,0)),"(REF không có trong MASTER_SOURCE)")))</f>
        <v/>
      </c>
      <c r="K970" s="22">
        <f t="array" ref="K970">IF($D970="","",IFERROR(INDEX(MASTER_SOURCE!$C$2:$C$495,MATCH($I970,MASTER_SOURCE!$A$2:$A$495,0)),""))</f>
        <v/>
      </c>
      <c r="L970" s="22">
        <f t="array" ref="L970">IF($D970="","",IFERROR(INDEX(MASTER_SOURCE!$D$2:$D$495,MATCH($I970,MASTER_SOURCE!$A$2:$A$495,0)),""))</f>
        <v/>
      </c>
      <c r="M970" s="24" t="n"/>
      <c r="N970" s="24" t="n"/>
      <c r="O970" s="24" t="n"/>
      <c r="P970" s="24" t="n"/>
      <c r="Q970" s="22">
        <f>IF($D970="","",IF(AND(OR(DANH_MUC!$L$5&lt;&gt;"Có",M970="Có"),OR(DANH_MUC!$L$6&lt;&gt;"Có",N970="Có"),OR(DANH_MUC!$L$7&lt;&gt;"Có",O970="Có"),OR(DANH_MUC!$L$8&lt;&gt;"Có",P970="Có")),"Có","Không"))</f>
        <v/>
      </c>
      <c r="R970" s="22">
        <f>IF($D970="","",IF(COUNTIF($D$2:$D970,$D970)&gt;1,"Trùng",""))</f>
        <v/>
      </c>
      <c r="S970" s="22">
        <f>IF($D970="","",IF(AND(LEN($D970)=10,LEFT($D970,1)="0",ISNUMBER(--$D970)),"Có","Không"))</f>
        <v/>
      </c>
      <c r="T970" s="22">
        <f>IF($D970="","",IF(AND($C970&lt;&gt;"",$Q970="Có",$R970="",$S970="Có",AND($L970&lt;&gt;"",OR($L970&lt;&gt;"Chưa xác định",DANH_MUC!$L$9="Có"))),"Có","Không"))</f>
        <v/>
      </c>
      <c r="U970" s="22">
        <f>IF(OR($D970="",$T970="Có"),"",IF($C970="","Thiếu họ tên; ","")&amp;IF($S970&lt;&gt;"Có","SĐT sai định dạng; ","")&amp;IF($R970="Trùng","Trùng SĐT; ","")&amp;IF($Q970&lt;&gt;"Có","Thiếu đồng ý bắt buộc; ","")&amp;IF($L970="","Thiếu/sai Mã REF; ",IF(AND($L970="Chưa xác định",DANH_MUC!$L$9&lt;&gt;"Có"),"Nguồn chưa xác định; ","")))</f>
        <v/>
      </c>
      <c r="V970" s="22">
        <f>IF(OR($D970="",$R970="Trùng"),"",IF(COUNTIF(ORDERS!$C$2:$C$4995,$D970)&gt;0,"Có","Không"))</f>
        <v/>
      </c>
      <c r="W970" s="22">
        <f>IF(OR($D970="",$R970="Trùng"),"",COUNTIFS(ORDERS!$C$2:$C$4995,$D970,ORDERS!$L$2:$L$4995,"Đã chuyển khoản"))</f>
        <v/>
      </c>
      <c r="X970" s="23">
        <f>IF(OR($D970="",$R970="Trùng"),"",SUMIFS(ORDERS!$J$2:$J$4995,ORDERS!$C$2:$C$4995,$D970,ORDERS!$L$2:$L$4995,"Đã chuyển khoản"))</f>
        <v/>
      </c>
      <c r="Y970" s="24" t="n"/>
    </row>
    <row r="971" ht="14.25" customHeight="1" s="40">
      <c r="A971" s="24" t="n"/>
      <c r="B971" s="27" t="n"/>
      <c r="C971" s="24" t="n"/>
      <c r="D971" s="28" t="n"/>
      <c r="E971" s="29" t="n"/>
      <c r="F971" s="24" t="n"/>
      <c r="G971" s="24" t="n"/>
      <c r="H971" s="21">
        <f>IF(ISNUMBER($B971),INT($B971)-WEEKDAY($B971,2)+1,"")</f>
        <v/>
      </c>
      <c r="I971" s="24" t="n"/>
      <c r="J971" s="22">
        <f t="array" ref="J971">IF($D971="","",IF($I971="","(trống REF)",IFERROR(INDEX(MASTER_SOURCE!$B$2:$B$495,MATCH($I971,MASTER_SOURCE!$A$2:$A$495,0)),"(REF không có trong MASTER_SOURCE)")))</f>
        <v/>
      </c>
      <c r="K971" s="22">
        <f t="array" ref="K971">IF($D971="","",IFERROR(INDEX(MASTER_SOURCE!$C$2:$C$495,MATCH($I971,MASTER_SOURCE!$A$2:$A$495,0)),""))</f>
        <v/>
      </c>
      <c r="L971" s="22">
        <f t="array" ref="L971">IF($D971="","",IFERROR(INDEX(MASTER_SOURCE!$D$2:$D$495,MATCH($I971,MASTER_SOURCE!$A$2:$A$495,0)),""))</f>
        <v/>
      </c>
      <c r="M971" s="24" t="n"/>
      <c r="N971" s="24" t="n"/>
      <c r="O971" s="24" t="n"/>
      <c r="P971" s="24" t="n"/>
      <c r="Q971" s="22">
        <f>IF($D971="","",IF(AND(OR(DANH_MUC!$L$5&lt;&gt;"Có",M971="Có"),OR(DANH_MUC!$L$6&lt;&gt;"Có",N971="Có"),OR(DANH_MUC!$L$7&lt;&gt;"Có",O971="Có"),OR(DANH_MUC!$L$8&lt;&gt;"Có",P971="Có")),"Có","Không"))</f>
        <v/>
      </c>
      <c r="R971" s="22">
        <f>IF($D971="","",IF(COUNTIF($D$2:$D971,$D971)&gt;1,"Trùng",""))</f>
        <v/>
      </c>
      <c r="S971" s="22">
        <f>IF($D971="","",IF(AND(LEN($D971)=10,LEFT($D971,1)="0",ISNUMBER(--$D971)),"Có","Không"))</f>
        <v/>
      </c>
      <c r="T971" s="22">
        <f>IF($D971="","",IF(AND($C971&lt;&gt;"",$Q971="Có",$R971="",$S971="Có",AND($L971&lt;&gt;"",OR($L971&lt;&gt;"Chưa xác định",DANH_MUC!$L$9="Có"))),"Có","Không"))</f>
        <v/>
      </c>
      <c r="U971" s="22">
        <f>IF(OR($D971="",$T971="Có"),"",IF($C971="","Thiếu họ tên; ","")&amp;IF($S971&lt;&gt;"Có","SĐT sai định dạng; ","")&amp;IF($R971="Trùng","Trùng SĐT; ","")&amp;IF($Q971&lt;&gt;"Có","Thiếu đồng ý bắt buộc; ","")&amp;IF($L971="","Thiếu/sai Mã REF; ",IF(AND($L971="Chưa xác định",DANH_MUC!$L$9&lt;&gt;"Có"),"Nguồn chưa xác định; ","")))</f>
        <v/>
      </c>
      <c r="V971" s="22">
        <f>IF(OR($D971="",$R971="Trùng"),"",IF(COUNTIF(ORDERS!$C$2:$C$4995,$D971)&gt;0,"Có","Không"))</f>
        <v/>
      </c>
      <c r="W971" s="22">
        <f>IF(OR($D971="",$R971="Trùng"),"",COUNTIFS(ORDERS!$C$2:$C$4995,$D971,ORDERS!$L$2:$L$4995,"Đã chuyển khoản"))</f>
        <v/>
      </c>
      <c r="X971" s="23">
        <f>IF(OR($D971="",$R971="Trùng"),"",SUMIFS(ORDERS!$J$2:$J$4995,ORDERS!$C$2:$C$4995,$D971,ORDERS!$L$2:$L$4995,"Đã chuyển khoản"))</f>
        <v/>
      </c>
      <c r="Y971" s="24" t="n"/>
    </row>
    <row r="972" ht="14.25" customHeight="1" s="40">
      <c r="A972" s="24" t="n"/>
      <c r="B972" s="27" t="n"/>
      <c r="C972" s="24" t="n"/>
      <c r="D972" s="28" t="n"/>
      <c r="E972" s="29" t="n"/>
      <c r="F972" s="24" t="n"/>
      <c r="G972" s="24" t="n"/>
      <c r="H972" s="21">
        <f>IF(ISNUMBER($B972),INT($B972)-WEEKDAY($B972,2)+1,"")</f>
        <v/>
      </c>
      <c r="I972" s="24" t="n"/>
      <c r="J972" s="22">
        <f t="array" ref="J972">IF($D972="","",IF($I972="","(trống REF)",IFERROR(INDEX(MASTER_SOURCE!$B$2:$B$495,MATCH($I972,MASTER_SOURCE!$A$2:$A$495,0)),"(REF không có trong MASTER_SOURCE)")))</f>
        <v/>
      </c>
      <c r="K972" s="22">
        <f t="array" ref="K972">IF($D972="","",IFERROR(INDEX(MASTER_SOURCE!$C$2:$C$495,MATCH($I972,MASTER_SOURCE!$A$2:$A$495,0)),""))</f>
        <v/>
      </c>
      <c r="L972" s="22">
        <f t="array" ref="L972">IF($D972="","",IFERROR(INDEX(MASTER_SOURCE!$D$2:$D$495,MATCH($I972,MASTER_SOURCE!$A$2:$A$495,0)),""))</f>
        <v/>
      </c>
      <c r="M972" s="24" t="n"/>
      <c r="N972" s="24" t="n"/>
      <c r="O972" s="24" t="n"/>
      <c r="P972" s="24" t="n"/>
      <c r="Q972" s="22">
        <f>IF($D972="","",IF(AND(OR(DANH_MUC!$L$5&lt;&gt;"Có",M972="Có"),OR(DANH_MUC!$L$6&lt;&gt;"Có",N972="Có"),OR(DANH_MUC!$L$7&lt;&gt;"Có",O972="Có"),OR(DANH_MUC!$L$8&lt;&gt;"Có",P972="Có")),"Có","Không"))</f>
        <v/>
      </c>
      <c r="R972" s="22">
        <f>IF($D972="","",IF(COUNTIF($D$2:$D972,$D972)&gt;1,"Trùng",""))</f>
        <v/>
      </c>
      <c r="S972" s="22">
        <f>IF($D972="","",IF(AND(LEN($D972)=10,LEFT($D972,1)="0",ISNUMBER(--$D972)),"Có","Không"))</f>
        <v/>
      </c>
      <c r="T972" s="22">
        <f>IF($D972="","",IF(AND($C972&lt;&gt;"",$Q972="Có",$R972="",$S972="Có",AND($L972&lt;&gt;"",OR($L972&lt;&gt;"Chưa xác định",DANH_MUC!$L$9="Có"))),"Có","Không"))</f>
        <v/>
      </c>
      <c r="U972" s="22">
        <f>IF(OR($D972="",$T972="Có"),"",IF($C972="","Thiếu họ tên; ","")&amp;IF($S972&lt;&gt;"Có","SĐT sai định dạng; ","")&amp;IF($R972="Trùng","Trùng SĐT; ","")&amp;IF($Q972&lt;&gt;"Có","Thiếu đồng ý bắt buộc; ","")&amp;IF($L972="","Thiếu/sai Mã REF; ",IF(AND($L972="Chưa xác định",DANH_MUC!$L$9&lt;&gt;"Có"),"Nguồn chưa xác định; ","")))</f>
        <v/>
      </c>
      <c r="V972" s="22">
        <f>IF(OR($D972="",$R972="Trùng"),"",IF(COUNTIF(ORDERS!$C$2:$C$4995,$D972)&gt;0,"Có","Không"))</f>
        <v/>
      </c>
      <c r="W972" s="22">
        <f>IF(OR($D972="",$R972="Trùng"),"",COUNTIFS(ORDERS!$C$2:$C$4995,$D972,ORDERS!$L$2:$L$4995,"Đã chuyển khoản"))</f>
        <v/>
      </c>
      <c r="X972" s="23">
        <f>IF(OR($D972="",$R972="Trùng"),"",SUMIFS(ORDERS!$J$2:$J$4995,ORDERS!$C$2:$C$4995,$D972,ORDERS!$L$2:$L$4995,"Đã chuyển khoản"))</f>
        <v/>
      </c>
      <c r="Y972" s="24" t="n"/>
    </row>
    <row r="973" ht="14.25" customHeight="1" s="40">
      <c r="A973" s="24" t="n"/>
      <c r="B973" s="27" t="n"/>
      <c r="C973" s="24" t="n"/>
      <c r="D973" s="28" t="n"/>
      <c r="E973" s="29" t="n"/>
      <c r="F973" s="24" t="n"/>
      <c r="G973" s="24" t="n"/>
      <c r="H973" s="21">
        <f>IF(ISNUMBER($B973),INT($B973)-WEEKDAY($B973,2)+1,"")</f>
        <v/>
      </c>
      <c r="I973" s="24" t="n"/>
      <c r="J973" s="22">
        <f t="array" ref="J973">IF($D973="","",IF($I973="","(trống REF)",IFERROR(INDEX(MASTER_SOURCE!$B$2:$B$495,MATCH($I973,MASTER_SOURCE!$A$2:$A$495,0)),"(REF không có trong MASTER_SOURCE)")))</f>
        <v/>
      </c>
      <c r="K973" s="22">
        <f t="array" ref="K973">IF($D973="","",IFERROR(INDEX(MASTER_SOURCE!$C$2:$C$495,MATCH($I973,MASTER_SOURCE!$A$2:$A$495,0)),""))</f>
        <v/>
      </c>
      <c r="L973" s="22">
        <f t="array" ref="L973">IF($D973="","",IFERROR(INDEX(MASTER_SOURCE!$D$2:$D$495,MATCH($I973,MASTER_SOURCE!$A$2:$A$495,0)),""))</f>
        <v/>
      </c>
      <c r="M973" s="24" t="n"/>
      <c r="N973" s="24" t="n"/>
      <c r="O973" s="24" t="n"/>
      <c r="P973" s="24" t="n"/>
      <c r="Q973" s="22">
        <f>IF($D973="","",IF(AND(OR(DANH_MUC!$L$5&lt;&gt;"Có",M973="Có"),OR(DANH_MUC!$L$6&lt;&gt;"Có",N973="Có"),OR(DANH_MUC!$L$7&lt;&gt;"Có",O973="Có"),OR(DANH_MUC!$L$8&lt;&gt;"Có",P973="Có")),"Có","Không"))</f>
        <v/>
      </c>
      <c r="R973" s="22">
        <f>IF($D973="","",IF(COUNTIF($D$2:$D973,$D973)&gt;1,"Trùng",""))</f>
        <v/>
      </c>
      <c r="S973" s="22">
        <f>IF($D973="","",IF(AND(LEN($D973)=10,LEFT($D973,1)="0",ISNUMBER(--$D973)),"Có","Không"))</f>
        <v/>
      </c>
      <c r="T973" s="22">
        <f>IF($D973="","",IF(AND($C973&lt;&gt;"",$Q973="Có",$R973="",$S973="Có",AND($L973&lt;&gt;"",OR($L973&lt;&gt;"Chưa xác định",DANH_MUC!$L$9="Có"))),"Có","Không"))</f>
        <v/>
      </c>
      <c r="U973" s="22">
        <f>IF(OR($D973="",$T973="Có"),"",IF($C973="","Thiếu họ tên; ","")&amp;IF($S973&lt;&gt;"Có","SĐT sai định dạng; ","")&amp;IF($R973="Trùng","Trùng SĐT; ","")&amp;IF($Q973&lt;&gt;"Có","Thiếu đồng ý bắt buộc; ","")&amp;IF($L973="","Thiếu/sai Mã REF; ",IF(AND($L973="Chưa xác định",DANH_MUC!$L$9&lt;&gt;"Có"),"Nguồn chưa xác định; ","")))</f>
        <v/>
      </c>
      <c r="V973" s="22">
        <f>IF(OR($D973="",$R973="Trùng"),"",IF(COUNTIF(ORDERS!$C$2:$C$4995,$D973)&gt;0,"Có","Không"))</f>
        <v/>
      </c>
      <c r="W973" s="22">
        <f>IF(OR($D973="",$R973="Trùng"),"",COUNTIFS(ORDERS!$C$2:$C$4995,$D973,ORDERS!$L$2:$L$4995,"Đã chuyển khoản"))</f>
        <v/>
      </c>
      <c r="X973" s="23">
        <f>IF(OR($D973="",$R973="Trùng"),"",SUMIFS(ORDERS!$J$2:$J$4995,ORDERS!$C$2:$C$4995,$D973,ORDERS!$L$2:$L$4995,"Đã chuyển khoản"))</f>
        <v/>
      </c>
      <c r="Y973" s="24" t="n"/>
    </row>
    <row r="974" ht="14.25" customHeight="1" s="40">
      <c r="A974" s="24" t="n"/>
      <c r="B974" s="27" t="n"/>
      <c r="C974" s="24" t="n"/>
      <c r="D974" s="28" t="n"/>
      <c r="E974" s="29" t="n"/>
      <c r="F974" s="24" t="n"/>
      <c r="G974" s="24" t="n"/>
      <c r="H974" s="21">
        <f>IF(ISNUMBER($B974),INT($B974)-WEEKDAY($B974,2)+1,"")</f>
        <v/>
      </c>
      <c r="I974" s="24" t="n"/>
      <c r="J974" s="22">
        <f t="array" ref="J974">IF($D974="","",IF($I974="","(trống REF)",IFERROR(INDEX(MASTER_SOURCE!$B$2:$B$495,MATCH($I974,MASTER_SOURCE!$A$2:$A$495,0)),"(REF không có trong MASTER_SOURCE)")))</f>
        <v/>
      </c>
      <c r="K974" s="22">
        <f t="array" ref="K974">IF($D974="","",IFERROR(INDEX(MASTER_SOURCE!$C$2:$C$495,MATCH($I974,MASTER_SOURCE!$A$2:$A$495,0)),""))</f>
        <v/>
      </c>
      <c r="L974" s="22">
        <f t="array" ref="L974">IF($D974="","",IFERROR(INDEX(MASTER_SOURCE!$D$2:$D$495,MATCH($I974,MASTER_SOURCE!$A$2:$A$495,0)),""))</f>
        <v/>
      </c>
      <c r="M974" s="24" t="n"/>
      <c r="N974" s="24" t="n"/>
      <c r="O974" s="24" t="n"/>
      <c r="P974" s="24" t="n"/>
      <c r="Q974" s="22">
        <f>IF($D974="","",IF(AND(OR(DANH_MUC!$L$5&lt;&gt;"Có",M974="Có"),OR(DANH_MUC!$L$6&lt;&gt;"Có",N974="Có"),OR(DANH_MUC!$L$7&lt;&gt;"Có",O974="Có"),OR(DANH_MUC!$L$8&lt;&gt;"Có",P974="Có")),"Có","Không"))</f>
        <v/>
      </c>
      <c r="R974" s="22">
        <f>IF($D974="","",IF(COUNTIF($D$2:$D974,$D974)&gt;1,"Trùng",""))</f>
        <v/>
      </c>
      <c r="S974" s="22">
        <f>IF($D974="","",IF(AND(LEN($D974)=10,LEFT($D974,1)="0",ISNUMBER(--$D974)),"Có","Không"))</f>
        <v/>
      </c>
      <c r="T974" s="22">
        <f>IF($D974="","",IF(AND($C974&lt;&gt;"",$Q974="Có",$R974="",$S974="Có",AND($L974&lt;&gt;"",OR($L974&lt;&gt;"Chưa xác định",DANH_MUC!$L$9="Có"))),"Có","Không"))</f>
        <v/>
      </c>
      <c r="U974" s="22">
        <f>IF(OR($D974="",$T974="Có"),"",IF($C974="","Thiếu họ tên; ","")&amp;IF($S974&lt;&gt;"Có","SĐT sai định dạng; ","")&amp;IF($R974="Trùng","Trùng SĐT; ","")&amp;IF($Q974&lt;&gt;"Có","Thiếu đồng ý bắt buộc; ","")&amp;IF($L974="","Thiếu/sai Mã REF; ",IF(AND($L974="Chưa xác định",DANH_MUC!$L$9&lt;&gt;"Có"),"Nguồn chưa xác định; ","")))</f>
        <v/>
      </c>
      <c r="V974" s="22">
        <f>IF(OR($D974="",$R974="Trùng"),"",IF(COUNTIF(ORDERS!$C$2:$C$4995,$D974)&gt;0,"Có","Không"))</f>
        <v/>
      </c>
      <c r="W974" s="22">
        <f>IF(OR($D974="",$R974="Trùng"),"",COUNTIFS(ORDERS!$C$2:$C$4995,$D974,ORDERS!$L$2:$L$4995,"Đã chuyển khoản"))</f>
        <v/>
      </c>
      <c r="X974" s="23">
        <f>IF(OR($D974="",$R974="Trùng"),"",SUMIFS(ORDERS!$J$2:$J$4995,ORDERS!$C$2:$C$4995,$D974,ORDERS!$L$2:$L$4995,"Đã chuyển khoản"))</f>
        <v/>
      </c>
      <c r="Y974" s="24" t="n"/>
    </row>
    <row r="975" ht="14.25" customHeight="1" s="40">
      <c r="A975" s="24" t="n"/>
      <c r="B975" s="27" t="n"/>
      <c r="C975" s="24" t="n"/>
      <c r="D975" s="28" t="n"/>
      <c r="E975" s="29" t="n"/>
      <c r="F975" s="24" t="n"/>
      <c r="G975" s="24" t="n"/>
      <c r="H975" s="21">
        <f>IF(ISNUMBER($B975),INT($B975)-WEEKDAY($B975,2)+1,"")</f>
        <v/>
      </c>
      <c r="I975" s="24" t="n"/>
      <c r="J975" s="22">
        <f t="array" ref="J975">IF($D975="","",IF($I975="","(trống REF)",IFERROR(INDEX(MASTER_SOURCE!$B$2:$B$495,MATCH($I975,MASTER_SOURCE!$A$2:$A$495,0)),"(REF không có trong MASTER_SOURCE)")))</f>
        <v/>
      </c>
      <c r="K975" s="22">
        <f t="array" ref="K975">IF($D975="","",IFERROR(INDEX(MASTER_SOURCE!$C$2:$C$495,MATCH($I975,MASTER_SOURCE!$A$2:$A$495,0)),""))</f>
        <v/>
      </c>
      <c r="L975" s="22">
        <f t="array" ref="L975">IF($D975="","",IFERROR(INDEX(MASTER_SOURCE!$D$2:$D$495,MATCH($I975,MASTER_SOURCE!$A$2:$A$495,0)),""))</f>
        <v/>
      </c>
      <c r="M975" s="24" t="n"/>
      <c r="N975" s="24" t="n"/>
      <c r="O975" s="24" t="n"/>
      <c r="P975" s="24" t="n"/>
      <c r="Q975" s="22">
        <f>IF($D975="","",IF(AND(OR(DANH_MUC!$L$5&lt;&gt;"Có",M975="Có"),OR(DANH_MUC!$L$6&lt;&gt;"Có",N975="Có"),OR(DANH_MUC!$L$7&lt;&gt;"Có",O975="Có"),OR(DANH_MUC!$L$8&lt;&gt;"Có",P975="Có")),"Có","Không"))</f>
        <v/>
      </c>
      <c r="R975" s="22">
        <f>IF($D975="","",IF(COUNTIF($D$2:$D975,$D975)&gt;1,"Trùng",""))</f>
        <v/>
      </c>
      <c r="S975" s="22">
        <f>IF($D975="","",IF(AND(LEN($D975)=10,LEFT($D975,1)="0",ISNUMBER(--$D975)),"Có","Không"))</f>
        <v/>
      </c>
      <c r="T975" s="22">
        <f>IF($D975="","",IF(AND($C975&lt;&gt;"",$Q975="Có",$R975="",$S975="Có",AND($L975&lt;&gt;"",OR($L975&lt;&gt;"Chưa xác định",DANH_MUC!$L$9="Có"))),"Có","Không"))</f>
        <v/>
      </c>
      <c r="U975" s="22">
        <f>IF(OR($D975="",$T975="Có"),"",IF($C975="","Thiếu họ tên; ","")&amp;IF($S975&lt;&gt;"Có","SĐT sai định dạng; ","")&amp;IF($R975="Trùng","Trùng SĐT; ","")&amp;IF($Q975&lt;&gt;"Có","Thiếu đồng ý bắt buộc; ","")&amp;IF($L975="","Thiếu/sai Mã REF; ",IF(AND($L975="Chưa xác định",DANH_MUC!$L$9&lt;&gt;"Có"),"Nguồn chưa xác định; ","")))</f>
        <v/>
      </c>
      <c r="V975" s="22">
        <f>IF(OR($D975="",$R975="Trùng"),"",IF(COUNTIF(ORDERS!$C$2:$C$4995,$D975)&gt;0,"Có","Không"))</f>
        <v/>
      </c>
      <c r="W975" s="22">
        <f>IF(OR($D975="",$R975="Trùng"),"",COUNTIFS(ORDERS!$C$2:$C$4995,$D975,ORDERS!$L$2:$L$4995,"Đã chuyển khoản"))</f>
        <v/>
      </c>
      <c r="X975" s="23">
        <f>IF(OR($D975="",$R975="Trùng"),"",SUMIFS(ORDERS!$J$2:$J$4995,ORDERS!$C$2:$C$4995,$D975,ORDERS!$L$2:$L$4995,"Đã chuyển khoản"))</f>
        <v/>
      </c>
      <c r="Y975" s="24" t="n"/>
    </row>
    <row r="976" ht="14.25" customHeight="1" s="40">
      <c r="A976" s="24" t="n"/>
      <c r="B976" s="27" t="n"/>
      <c r="C976" s="24" t="n"/>
      <c r="D976" s="28" t="n"/>
      <c r="E976" s="29" t="n"/>
      <c r="F976" s="24" t="n"/>
      <c r="G976" s="24" t="n"/>
      <c r="H976" s="21">
        <f>IF(ISNUMBER($B976),INT($B976)-WEEKDAY($B976,2)+1,"")</f>
        <v/>
      </c>
      <c r="I976" s="24" t="n"/>
      <c r="J976" s="22">
        <f t="array" ref="J976">IF($D976="","",IF($I976="","(trống REF)",IFERROR(INDEX(MASTER_SOURCE!$B$2:$B$495,MATCH($I976,MASTER_SOURCE!$A$2:$A$495,0)),"(REF không có trong MASTER_SOURCE)")))</f>
        <v/>
      </c>
      <c r="K976" s="22">
        <f t="array" ref="K976">IF($D976="","",IFERROR(INDEX(MASTER_SOURCE!$C$2:$C$495,MATCH($I976,MASTER_SOURCE!$A$2:$A$495,0)),""))</f>
        <v/>
      </c>
      <c r="L976" s="22">
        <f t="array" ref="L976">IF($D976="","",IFERROR(INDEX(MASTER_SOURCE!$D$2:$D$495,MATCH($I976,MASTER_SOURCE!$A$2:$A$495,0)),""))</f>
        <v/>
      </c>
      <c r="M976" s="24" t="n"/>
      <c r="N976" s="24" t="n"/>
      <c r="O976" s="24" t="n"/>
      <c r="P976" s="24" t="n"/>
      <c r="Q976" s="22">
        <f>IF($D976="","",IF(AND(OR(DANH_MUC!$L$5&lt;&gt;"Có",M976="Có"),OR(DANH_MUC!$L$6&lt;&gt;"Có",N976="Có"),OR(DANH_MUC!$L$7&lt;&gt;"Có",O976="Có"),OR(DANH_MUC!$L$8&lt;&gt;"Có",P976="Có")),"Có","Không"))</f>
        <v/>
      </c>
      <c r="R976" s="22">
        <f>IF($D976="","",IF(COUNTIF($D$2:$D976,$D976)&gt;1,"Trùng",""))</f>
        <v/>
      </c>
      <c r="S976" s="22">
        <f>IF($D976="","",IF(AND(LEN($D976)=10,LEFT($D976,1)="0",ISNUMBER(--$D976)),"Có","Không"))</f>
        <v/>
      </c>
      <c r="T976" s="22">
        <f>IF($D976="","",IF(AND($C976&lt;&gt;"",$Q976="Có",$R976="",$S976="Có",AND($L976&lt;&gt;"",OR($L976&lt;&gt;"Chưa xác định",DANH_MUC!$L$9="Có"))),"Có","Không"))</f>
        <v/>
      </c>
      <c r="U976" s="22">
        <f>IF(OR($D976="",$T976="Có"),"",IF($C976="","Thiếu họ tên; ","")&amp;IF($S976&lt;&gt;"Có","SĐT sai định dạng; ","")&amp;IF($R976="Trùng","Trùng SĐT; ","")&amp;IF($Q976&lt;&gt;"Có","Thiếu đồng ý bắt buộc; ","")&amp;IF($L976="","Thiếu/sai Mã REF; ",IF(AND($L976="Chưa xác định",DANH_MUC!$L$9&lt;&gt;"Có"),"Nguồn chưa xác định; ","")))</f>
        <v/>
      </c>
      <c r="V976" s="22">
        <f>IF(OR($D976="",$R976="Trùng"),"",IF(COUNTIF(ORDERS!$C$2:$C$4995,$D976)&gt;0,"Có","Không"))</f>
        <v/>
      </c>
      <c r="W976" s="22">
        <f>IF(OR($D976="",$R976="Trùng"),"",COUNTIFS(ORDERS!$C$2:$C$4995,$D976,ORDERS!$L$2:$L$4995,"Đã chuyển khoản"))</f>
        <v/>
      </c>
      <c r="X976" s="23">
        <f>IF(OR($D976="",$R976="Trùng"),"",SUMIFS(ORDERS!$J$2:$J$4995,ORDERS!$C$2:$C$4995,$D976,ORDERS!$L$2:$L$4995,"Đã chuyển khoản"))</f>
        <v/>
      </c>
      <c r="Y976" s="24" t="n"/>
    </row>
    <row r="977" ht="14.25" customHeight="1" s="40">
      <c r="A977" s="24" t="n"/>
      <c r="B977" s="27" t="n"/>
      <c r="C977" s="24" t="n"/>
      <c r="D977" s="28" t="n"/>
      <c r="E977" s="29" t="n"/>
      <c r="F977" s="24" t="n"/>
      <c r="G977" s="24" t="n"/>
      <c r="H977" s="21">
        <f>IF(ISNUMBER($B977),INT($B977)-WEEKDAY($B977,2)+1,"")</f>
        <v/>
      </c>
      <c r="I977" s="24" t="n"/>
      <c r="J977" s="22">
        <f t="array" ref="J977">IF($D977="","",IF($I977="","(trống REF)",IFERROR(INDEX(MASTER_SOURCE!$B$2:$B$495,MATCH($I977,MASTER_SOURCE!$A$2:$A$495,0)),"(REF không có trong MASTER_SOURCE)")))</f>
        <v/>
      </c>
      <c r="K977" s="22">
        <f t="array" ref="K977">IF($D977="","",IFERROR(INDEX(MASTER_SOURCE!$C$2:$C$495,MATCH($I977,MASTER_SOURCE!$A$2:$A$495,0)),""))</f>
        <v/>
      </c>
      <c r="L977" s="22">
        <f t="array" ref="L977">IF($D977="","",IFERROR(INDEX(MASTER_SOURCE!$D$2:$D$495,MATCH($I977,MASTER_SOURCE!$A$2:$A$495,0)),""))</f>
        <v/>
      </c>
      <c r="M977" s="24" t="n"/>
      <c r="N977" s="24" t="n"/>
      <c r="O977" s="24" t="n"/>
      <c r="P977" s="24" t="n"/>
      <c r="Q977" s="22">
        <f>IF($D977="","",IF(AND(OR(DANH_MUC!$L$5&lt;&gt;"Có",M977="Có"),OR(DANH_MUC!$L$6&lt;&gt;"Có",N977="Có"),OR(DANH_MUC!$L$7&lt;&gt;"Có",O977="Có"),OR(DANH_MUC!$L$8&lt;&gt;"Có",P977="Có")),"Có","Không"))</f>
        <v/>
      </c>
      <c r="R977" s="22">
        <f>IF($D977="","",IF(COUNTIF($D$2:$D977,$D977)&gt;1,"Trùng",""))</f>
        <v/>
      </c>
      <c r="S977" s="22">
        <f>IF($D977="","",IF(AND(LEN($D977)=10,LEFT($D977,1)="0",ISNUMBER(--$D977)),"Có","Không"))</f>
        <v/>
      </c>
      <c r="T977" s="22">
        <f>IF($D977="","",IF(AND($C977&lt;&gt;"",$Q977="Có",$R977="",$S977="Có",AND($L977&lt;&gt;"",OR($L977&lt;&gt;"Chưa xác định",DANH_MUC!$L$9="Có"))),"Có","Không"))</f>
        <v/>
      </c>
      <c r="U977" s="22">
        <f>IF(OR($D977="",$T977="Có"),"",IF($C977="","Thiếu họ tên; ","")&amp;IF($S977&lt;&gt;"Có","SĐT sai định dạng; ","")&amp;IF($R977="Trùng","Trùng SĐT; ","")&amp;IF($Q977&lt;&gt;"Có","Thiếu đồng ý bắt buộc; ","")&amp;IF($L977="","Thiếu/sai Mã REF; ",IF(AND($L977="Chưa xác định",DANH_MUC!$L$9&lt;&gt;"Có"),"Nguồn chưa xác định; ","")))</f>
        <v/>
      </c>
      <c r="V977" s="22">
        <f>IF(OR($D977="",$R977="Trùng"),"",IF(COUNTIF(ORDERS!$C$2:$C$4995,$D977)&gt;0,"Có","Không"))</f>
        <v/>
      </c>
      <c r="W977" s="22">
        <f>IF(OR($D977="",$R977="Trùng"),"",COUNTIFS(ORDERS!$C$2:$C$4995,$D977,ORDERS!$L$2:$L$4995,"Đã chuyển khoản"))</f>
        <v/>
      </c>
      <c r="X977" s="23">
        <f>IF(OR($D977="",$R977="Trùng"),"",SUMIFS(ORDERS!$J$2:$J$4995,ORDERS!$C$2:$C$4995,$D977,ORDERS!$L$2:$L$4995,"Đã chuyển khoản"))</f>
        <v/>
      </c>
      <c r="Y977" s="24" t="n"/>
    </row>
    <row r="978" ht="14.25" customHeight="1" s="40">
      <c r="A978" s="24" t="n"/>
      <c r="B978" s="27" t="n"/>
      <c r="C978" s="24" t="n"/>
      <c r="D978" s="28" t="n"/>
      <c r="E978" s="29" t="n"/>
      <c r="F978" s="24" t="n"/>
      <c r="G978" s="24" t="n"/>
      <c r="H978" s="21">
        <f>IF(ISNUMBER($B978),INT($B978)-WEEKDAY($B978,2)+1,"")</f>
        <v/>
      </c>
      <c r="I978" s="24" t="n"/>
      <c r="J978" s="22">
        <f t="array" ref="J978">IF($D978="","",IF($I978="","(trống REF)",IFERROR(INDEX(MASTER_SOURCE!$B$2:$B$495,MATCH($I978,MASTER_SOURCE!$A$2:$A$495,0)),"(REF không có trong MASTER_SOURCE)")))</f>
        <v/>
      </c>
      <c r="K978" s="22">
        <f t="array" ref="K978">IF($D978="","",IFERROR(INDEX(MASTER_SOURCE!$C$2:$C$495,MATCH($I978,MASTER_SOURCE!$A$2:$A$495,0)),""))</f>
        <v/>
      </c>
      <c r="L978" s="22">
        <f t="array" ref="L978">IF($D978="","",IFERROR(INDEX(MASTER_SOURCE!$D$2:$D$495,MATCH($I978,MASTER_SOURCE!$A$2:$A$495,0)),""))</f>
        <v/>
      </c>
      <c r="M978" s="24" t="n"/>
      <c r="N978" s="24" t="n"/>
      <c r="O978" s="24" t="n"/>
      <c r="P978" s="24" t="n"/>
      <c r="Q978" s="22">
        <f>IF($D978="","",IF(AND(OR(DANH_MUC!$L$5&lt;&gt;"Có",M978="Có"),OR(DANH_MUC!$L$6&lt;&gt;"Có",N978="Có"),OR(DANH_MUC!$L$7&lt;&gt;"Có",O978="Có"),OR(DANH_MUC!$L$8&lt;&gt;"Có",P978="Có")),"Có","Không"))</f>
        <v/>
      </c>
      <c r="R978" s="22">
        <f>IF($D978="","",IF(COUNTIF($D$2:$D978,$D978)&gt;1,"Trùng",""))</f>
        <v/>
      </c>
      <c r="S978" s="22">
        <f>IF($D978="","",IF(AND(LEN($D978)=10,LEFT($D978,1)="0",ISNUMBER(--$D978)),"Có","Không"))</f>
        <v/>
      </c>
      <c r="T978" s="22">
        <f>IF($D978="","",IF(AND($C978&lt;&gt;"",$Q978="Có",$R978="",$S978="Có",AND($L978&lt;&gt;"",OR($L978&lt;&gt;"Chưa xác định",DANH_MUC!$L$9="Có"))),"Có","Không"))</f>
        <v/>
      </c>
      <c r="U978" s="22">
        <f>IF(OR($D978="",$T978="Có"),"",IF($C978="","Thiếu họ tên; ","")&amp;IF($S978&lt;&gt;"Có","SĐT sai định dạng; ","")&amp;IF($R978="Trùng","Trùng SĐT; ","")&amp;IF($Q978&lt;&gt;"Có","Thiếu đồng ý bắt buộc; ","")&amp;IF($L978="","Thiếu/sai Mã REF; ",IF(AND($L978="Chưa xác định",DANH_MUC!$L$9&lt;&gt;"Có"),"Nguồn chưa xác định; ","")))</f>
        <v/>
      </c>
      <c r="V978" s="22">
        <f>IF(OR($D978="",$R978="Trùng"),"",IF(COUNTIF(ORDERS!$C$2:$C$4995,$D978)&gt;0,"Có","Không"))</f>
        <v/>
      </c>
      <c r="W978" s="22">
        <f>IF(OR($D978="",$R978="Trùng"),"",COUNTIFS(ORDERS!$C$2:$C$4995,$D978,ORDERS!$L$2:$L$4995,"Đã chuyển khoản"))</f>
        <v/>
      </c>
      <c r="X978" s="23">
        <f>IF(OR($D978="",$R978="Trùng"),"",SUMIFS(ORDERS!$J$2:$J$4995,ORDERS!$C$2:$C$4995,$D978,ORDERS!$L$2:$L$4995,"Đã chuyển khoản"))</f>
        <v/>
      </c>
      <c r="Y978" s="24" t="n"/>
    </row>
    <row r="979" ht="14.25" customHeight="1" s="40">
      <c r="A979" s="24" t="n"/>
      <c r="B979" s="27" t="n"/>
      <c r="C979" s="24" t="n"/>
      <c r="D979" s="28" t="n"/>
      <c r="E979" s="29" t="n"/>
      <c r="F979" s="24" t="n"/>
      <c r="G979" s="24" t="n"/>
      <c r="H979" s="21">
        <f>IF(ISNUMBER($B979),INT($B979)-WEEKDAY($B979,2)+1,"")</f>
        <v/>
      </c>
      <c r="I979" s="24" t="n"/>
      <c r="J979" s="22">
        <f t="array" ref="J979">IF($D979="","",IF($I979="","(trống REF)",IFERROR(INDEX(MASTER_SOURCE!$B$2:$B$495,MATCH($I979,MASTER_SOURCE!$A$2:$A$495,0)),"(REF không có trong MASTER_SOURCE)")))</f>
        <v/>
      </c>
      <c r="K979" s="22">
        <f t="array" ref="K979">IF($D979="","",IFERROR(INDEX(MASTER_SOURCE!$C$2:$C$495,MATCH($I979,MASTER_SOURCE!$A$2:$A$495,0)),""))</f>
        <v/>
      </c>
      <c r="L979" s="22">
        <f t="array" ref="L979">IF($D979="","",IFERROR(INDEX(MASTER_SOURCE!$D$2:$D$495,MATCH($I979,MASTER_SOURCE!$A$2:$A$495,0)),""))</f>
        <v/>
      </c>
      <c r="M979" s="24" t="n"/>
      <c r="N979" s="24" t="n"/>
      <c r="O979" s="24" t="n"/>
      <c r="P979" s="24" t="n"/>
      <c r="Q979" s="22">
        <f>IF($D979="","",IF(AND(OR(DANH_MUC!$L$5&lt;&gt;"Có",M979="Có"),OR(DANH_MUC!$L$6&lt;&gt;"Có",N979="Có"),OR(DANH_MUC!$L$7&lt;&gt;"Có",O979="Có"),OR(DANH_MUC!$L$8&lt;&gt;"Có",P979="Có")),"Có","Không"))</f>
        <v/>
      </c>
      <c r="R979" s="22">
        <f>IF($D979="","",IF(COUNTIF($D$2:$D979,$D979)&gt;1,"Trùng",""))</f>
        <v/>
      </c>
      <c r="S979" s="22">
        <f>IF($D979="","",IF(AND(LEN($D979)=10,LEFT($D979,1)="0",ISNUMBER(--$D979)),"Có","Không"))</f>
        <v/>
      </c>
      <c r="T979" s="22">
        <f>IF($D979="","",IF(AND($C979&lt;&gt;"",$Q979="Có",$R979="",$S979="Có",AND($L979&lt;&gt;"",OR($L979&lt;&gt;"Chưa xác định",DANH_MUC!$L$9="Có"))),"Có","Không"))</f>
        <v/>
      </c>
      <c r="U979" s="22">
        <f>IF(OR($D979="",$T979="Có"),"",IF($C979="","Thiếu họ tên; ","")&amp;IF($S979&lt;&gt;"Có","SĐT sai định dạng; ","")&amp;IF($R979="Trùng","Trùng SĐT; ","")&amp;IF($Q979&lt;&gt;"Có","Thiếu đồng ý bắt buộc; ","")&amp;IF($L979="","Thiếu/sai Mã REF; ",IF(AND($L979="Chưa xác định",DANH_MUC!$L$9&lt;&gt;"Có"),"Nguồn chưa xác định; ","")))</f>
        <v/>
      </c>
      <c r="V979" s="22">
        <f>IF(OR($D979="",$R979="Trùng"),"",IF(COUNTIF(ORDERS!$C$2:$C$4995,$D979)&gt;0,"Có","Không"))</f>
        <v/>
      </c>
      <c r="W979" s="22">
        <f>IF(OR($D979="",$R979="Trùng"),"",COUNTIFS(ORDERS!$C$2:$C$4995,$D979,ORDERS!$L$2:$L$4995,"Đã chuyển khoản"))</f>
        <v/>
      </c>
      <c r="X979" s="23">
        <f>IF(OR($D979="",$R979="Trùng"),"",SUMIFS(ORDERS!$J$2:$J$4995,ORDERS!$C$2:$C$4995,$D979,ORDERS!$L$2:$L$4995,"Đã chuyển khoản"))</f>
        <v/>
      </c>
      <c r="Y979" s="24" t="n"/>
    </row>
    <row r="980" ht="14.25" customHeight="1" s="40">
      <c r="A980" s="24" t="n"/>
      <c r="B980" s="27" t="n"/>
      <c r="C980" s="24" t="n"/>
      <c r="D980" s="28" t="n"/>
      <c r="E980" s="29" t="n"/>
      <c r="F980" s="24" t="n"/>
      <c r="G980" s="24" t="n"/>
      <c r="H980" s="21">
        <f>IF(ISNUMBER($B980),INT($B980)-WEEKDAY($B980,2)+1,"")</f>
        <v/>
      </c>
      <c r="I980" s="24" t="n"/>
      <c r="J980" s="22">
        <f t="array" ref="J980">IF($D980="","",IF($I980="","(trống REF)",IFERROR(INDEX(MASTER_SOURCE!$B$2:$B$495,MATCH($I980,MASTER_SOURCE!$A$2:$A$495,0)),"(REF không có trong MASTER_SOURCE)")))</f>
        <v/>
      </c>
      <c r="K980" s="22">
        <f t="array" ref="K980">IF($D980="","",IFERROR(INDEX(MASTER_SOURCE!$C$2:$C$495,MATCH($I980,MASTER_SOURCE!$A$2:$A$495,0)),""))</f>
        <v/>
      </c>
      <c r="L980" s="22">
        <f t="array" ref="L980">IF($D980="","",IFERROR(INDEX(MASTER_SOURCE!$D$2:$D$495,MATCH($I980,MASTER_SOURCE!$A$2:$A$495,0)),""))</f>
        <v/>
      </c>
      <c r="M980" s="24" t="n"/>
      <c r="N980" s="24" t="n"/>
      <c r="O980" s="24" t="n"/>
      <c r="P980" s="24" t="n"/>
      <c r="Q980" s="22">
        <f>IF($D980="","",IF(AND(OR(DANH_MUC!$L$5&lt;&gt;"Có",M980="Có"),OR(DANH_MUC!$L$6&lt;&gt;"Có",N980="Có"),OR(DANH_MUC!$L$7&lt;&gt;"Có",O980="Có"),OR(DANH_MUC!$L$8&lt;&gt;"Có",P980="Có")),"Có","Không"))</f>
        <v/>
      </c>
      <c r="R980" s="22">
        <f>IF($D980="","",IF(COUNTIF($D$2:$D980,$D980)&gt;1,"Trùng",""))</f>
        <v/>
      </c>
      <c r="S980" s="22">
        <f>IF($D980="","",IF(AND(LEN($D980)=10,LEFT($D980,1)="0",ISNUMBER(--$D980)),"Có","Không"))</f>
        <v/>
      </c>
      <c r="T980" s="22">
        <f>IF($D980="","",IF(AND($C980&lt;&gt;"",$Q980="Có",$R980="",$S980="Có",AND($L980&lt;&gt;"",OR($L980&lt;&gt;"Chưa xác định",DANH_MUC!$L$9="Có"))),"Có","Không"))</f>
        <v/>
      </c>
      <c r="U980" s="22">
        <f>IF(OR($D980="",$T980="Có"),"",IF($C980="","Thiếu họ tên; ","")&amp;IF($S980&lt;&gt;"Có","SĐT sai định dạng; ","")&amp;IF($R980="Trùng","Trùng SĐT; ","")&amp;IF($Q980&lt;&gt;"Có","Thiếu đồng ý bắt buộc; ","")&amp;IF($L980="","Thiếu/sai Mã REF; ",IF(AND($L980="Chưa xác định",DANH_MUC!$L$9&lt;&gt;"Có"),"Nguồn chưa xác định; ","")))</f>
        <v/>
      </c>
      <c r="V980" s="22">
        <f>IF(OR($D980="",$R980="Trùng"),"",IF(COUNTIF(ORDERS!$C$2:$C$4995,$D980)&gt;0,"Có","Không"))</f>
        <v/>
      </c>
      <c r="W980" s="22">
        <f>IF(OR($D980="",$R980="Trùng"),"",COUNTIFS(ORDERS!$C$2:$C$4995,$D980,ORDERS!$L$2:$L$4995,"Đã chuyển khoản"))</f>
        <v/>
      </c>
      <c r="X980" s="23">
        <f>IF(OR($D980="",$R980="Trùng"),"",SUMIFS(ORDERS!$J$2:$J$4995,ORDERS!$C$2:$C$4995,$D980,ORDERS!$L$2:$L$4995,"Đã chuyển khoản"))</f>
        <v/>
      </c>
      <c r="Y980" s="24" t="n"/>
    </row>
    <row r="981" ht="14.25" customHeight="1" s="40">
      <c r="A981" s="24" t="n"/>
      <c r="B981" s="27" t="n"/>
      <c r="C981" s="24" t="n"/>
      <c r="D981" s="28" t="n"/>
      <c r="E981" s="29" t="n"/>
      <c r="F981" s="24" t="n"/>
      <c r="G981" s="24" t="n"/>
      <c r="H981" s="21">
        <f>IF(ISNUMBER($B981),INT($B981)-WEEKDAY($B981,2)+1,"")</f>
        <v/>
      </c>
      <c r="I981" s="24" t="n"/>
      <c r="J981" s="22">
        <f t="array" ref="J981">IF($D981="","",IF($I981="","(trống REF)",IFERROR(INDEX(MASTER_SOURCE!$B$2:$B$495,MATCH($I981,MASTER_SOURCE!$A$2:$A$495,0)),"(REF không có trong MASTER_SOURCE)")))</f>
        <v/>
      </c>
      <c r="K981" s="22">
        <f t="array" ref="K981">IF($D981="","",IFERROR(INDEX(MASTER_SOURCE!$C$2:$C$495,MATCH($I981,MASTER_SOURCE!$A$2:$A$495,0)),""))</f>
        <v/>
      </c>
      <c r="L981" s="22">
        <f t="array" ref="L981">IF($D981="","",IFERROR(INDEX(MASTER_SOURCE!$D$2:$D$495,MATCH($I981,MASTER_SOURCE!$A$2:$A$495,0)),""))</f>
        <v/>
      </c>
      <c r="M981" s="24" t="n"/>
      <c r="N981" s="24" t="n"/>
      <c r="O981" s="24" t="n"/>
      <c r="P981" s="24" t="n"/>
      <c r="Q981" s="22">
        <f>IF($D981="","",IF(AND(OR(DANH_MUC!$L$5&lt;&gt;"Có",M981="Có"),OR(DANH_MUC!$L$6&lt;&gt;"Có",N981="Có"),OR(DANH_MUC!$L$7&lt;&gt;"Có",O981="Có"),OR(DANH_MUC!$L$8&lt;&gt;"Có",P981="Có")),"Có","Không"))</f>
        <v/>
      </c>
      <c r="R981" s="22">
        <f>IF($D981="","",IF(COUNTIF($D$2:$D981,$D981)&gt;1,"Trùng",""))</f>
        <v/>
      </c>
      <c r="S981" s="22">
        <f>IF($D981="","",IF(AND(LEN($D981)=10,LEFT($D981,1)="0",ISNUMBER(--$D981)),"Có","Không"))</f>
        <v/>
      </c>
      <c r="T981" s="22">
        <f>IF($D981="","",IF(AND($C981&lt;&gt;"",$Q981="Có",$R981="",$S981="Có",AND($L981&lt;&gt;"",OR($L981&lt;&gt;"Chưa xác định",DANH_MUC!$L$9="Có"))),"Có","Không"))</f>
        <v/>
      </c>
      <c r="U981" s="22">
        <f>IF(OR($D981="",$T981="Có"),"",IF($C981="","Thiếu họ tên; ","")&amp;IF($S981&lt;&gt;"Có","SĐT sai định dạng; ","")&amp;IF($R981="Trùng","Trùng SĐT; ","")&amp;IF($Q981&lt;&gt;"Có","Thiếu đồng ý bắt buộc; ","")&amp;IF($L981="","Thiếu/sai Mã REF; ",IF(AND($L981="Chưa xác định",DANH_MUC!$L$9&lt;&gt;"Có"),"Nguồn chưa xác định; ","")))</f>
        <v/>
      </c>
      <c r="V981" s="22">
        <f>IF(OR($D981="",$R981="Trùng"),"",IF(COUNTIF(ORDERS!$C$2:$C$4995,$D981)&gt;0,"Có","Không"))</f>
        <v/>
      </c>
      <c r="W981" s="22">
        <f>IF(OR($D981="",$R981="Trùng"),"",COUNTIFS(ORDERS!$C$2:$C$4995,$D981,ORDERS!$L$2:$L$4995,"Đã chuyển khoản"))</f>
        <v/>
      </c>
      <c r="X981" s="23">
        <f>IF(OR($D981="",$R981="Trùng"),"",SUMIFS(ORDERS!$J$2:$J$4995,ORDERS!$C$2:$C$4995,$D981,ORDERS!$L$2:$L$4995,"Đã chuyển khoản"))</f>
        <v/>
      </c>
      <c r="Y981" s="24" t="n"/>
    </row>
    <row r="982" ht="14.25" customHeight="1" s="40">
      <c r="A982" s="24" t="n"/>
      <c r="B982" s="27" t="n"/>
      <c r="C982" s="24" t="n"/>
      <c r="D982" s="28" t="n"/>
      <c r="E982" s="29" t="n"/>
      <c r="F982" s="24" t="n"/>
      <c r="G982" s="24" t="n"/>
      <c r="H982" s="21">
        <f>IF(ISNUMBER($B982),INT($B982)-WEEKDAY($B982,2)+1,"")</f>
        <v/>
      </c>
      <c r="I982" s="24" t="n"/>
      <c r="J982" s="22">
        <f t="array" ref="J982">IF($D982="","",IF($I982="","(trống REF)",IFERROR(INDEX(MASTER_SOURCE!$B$2:$B$495,MATCH($I982,MASTER_SOURCE!$A$2:$A$495,0)),"(REF không có trong MASTER_SOURCE)")))</f>
        <v/>
      </c>
      <c r="K982" s="22">
        <f t="array" ref="K982">IF($D982="","",IFERROR(INDEX(MASTER_SOURCE!$C$2:$C$495,MATCH($I982,MASTER_SOURCE!$A$2:$A$495,0)),""))</f>
        <v/>
      </c>
      <c r="L982" s="22">
        <f t="array" ref="L982">IF($D982="","",IFERROR(INDEX(MASTER_SOURCE!$D$2:$D$495,MATCH($I982,MASTER_SOURCE!$A$2:$A$495,0)),""))</f>
        <v/>
      </c>
      <c r="M982" s="24" t="n"/>
      <c r="N982" s="24" t="n"/>
      <c r="O982" s="24" t="n"/>
      <c r="P982" s="24" t="n"/>
      <c r="Q982" s="22">
        <f>IF($D982="","",IF(AND(OR(DANH_MUC!$L$5&lt;&gt;"Có",M982="Có"),OR(DANH_MUC!$L$6&lt;&gt;"Có",N982="Có"),OR(DANH_MUC!$L$7&lt;&gt;"Có",O982="Có"),OR(DANH_MUC!$L$8&lt;&gt;"Có",P982="Có")),"Có","Không"))</f>
        <v/>
      </c>
      <c r="R982" s="22">
        <f>IF($D982="","",IF(COUNTIF($D$2:$D982,$D982)&gt;1,"Trùng",""))</f>
        <v/>
      </c>
      <c r="S982" s="22">
        <f>IF($D982="","",IF(AND(LEN($D982)=10,LEFT($D982,1)="0",ISNUMBER(--$D982)),"Có","Không"))</f>
        <v/>
      </c>
      <c r="T982" s="22">
        <f>IF($D982="","",IF(AND($C982&lt;&gt;"",$Q982="Có",$R982="",$S982="Có",AND($L982&lt;&gt;"",OR($L982&lt;&gt;"Chưa xác định",DANH_MUC!$L$9="Có"))),"Có","Không"))</f>
        <v/>
      </c>
      <c r="U982" s="22">
        <f>IF(OR($D982="",$T982="Có"),"",IF($C982="","Thiếu họ tên; ","")&amp;IF($S982&lt;&gt;"Có","SĐT sai định dạng; ","")&amp;IF($R982="Trùng","Trùng SĐT; ","")&amp;IF($Q982&lt;&gt;"Có","Thiếu đồng ý bắt buộc; ","")&amp;IF($L982="","Thiếu/sai Mã REF; ",IF(AND($L982="Chưa xác định",DANH_MUC!$L$9&lt;&gt;"Có"),"Nguồn chưa xác định; ","")))</f>
        <v/>
      </c>
      <c r="V982" s="22">
        <f>IF(OR($D982="",$R982="Trùng"),"",IF(COUNTIF(ORDERS!$C$2:$C$4995,$D982)&gt;0,"Có","Không"))</f>
        <v/>
      </c>
      <c r="W982" s="22">
        <f>IF(OR($D982="",$R982="Trùng"),"",COUNTIFS(ORDERS!$C$2:$C$4995,$D982,ORDERS!$L$2:$L$4995,"Đã chuyển khoản"))</f>
        <v/>
      </c>
      <c r="X982" s="23">
        <f>IF(OR($D982="",$R982="Trùng"),"",SUMIFS(ORDERS!$J$2:$J$4995,ORDERS!$C$2:$C$4995,$D982,ORDERS!$L$2:$L$4995,"Đã chuyển khoản"))</f>
        <v/>
      </c>
      <c r="Y982" s="24" t="n"/>
    </row>
    <row r="983" ht="14.25" customHeight="1" s="40">
      <c r="A983" s="24" t="n"/>
      <c r="B983" s="27" t="n"/>
      <c r="C983" s="24" t="n"/>
      <c r="D983" s="28" t="n"/>
      <c r="E983" s="29" t="n"/>
      <c r="F983" s="24" t="n"/>
      <c r="G983" s="24" t="n"/>
      <c r="H983" s="21">
        <f>IF(ISNUMBER($B983),INT($B983)-WEEKDAY($B983,2)+1,"")</f>
        <v/>
      </c>
      <c r="I983" s="24" t="n"/>
      <c r="J983" s="22">
        <f t="array" ref="J983">IF($D983="","",IF($I983="","(trống REF)",IFERROR(INDEX(MASTER_SOURCE!$B$2:$B$495,MATCH($I983,MASTER_SOURCE!$A$2:$A$495,0)),"(REF không có trong MASTER_SOURCE)")))</f>
        <v/>
      </c>
      <c r="K983" s="22">
        <f t="array" ref="K983">IF($D983="","",IFERROR(INDEX(MASTER_SOURCE!$C$2:$C$495,MATCH($I983,MASTER_SOURCE!$A$2:$A$495,0)),""))</f>
        <v/>
      </c>
      <c r="L983" s="22">
        <f t="array" ref="L983">IF($D983="","",IFERROR(INDEX(MASTER_SOURCE!$D$2:$D$495,MATCH($I983,MASTER_SOURCE!$A$2:$A$495,0)),""))</f>
        <v/>
      </c>
      <c r="M983" s="24" t="n"/>
      <c r="N983" s="24" t="n"/>
      <c r="O983" s="24" t="n"/>
      <c r="P983" s="24" t="n"/>
      <c r="Q983" s="22">
        <f>IF($D983="","",IF(AND(OR(DANH_MUC!$L$5&lt;&gt;"Có",M983="Có"),OR(DANH_MUC!$L$6&lt;&gt;"Có",N983="Có"),OR(DANH_MUC!$L$7&lt;&gt;"Có",O983="Có"),OR(DANH_MUC!$L$8&lt;&gt;"Có",P983="Có")),"Có","Không"))</f>
        <v/>
      </c>
      <c r="R983" s="22">
        <f>IF($D983="","",IF(COUNTIF($D$2:$D983,$D983)&gt;1,"Trùng",""))</f>
        <v/>
      </c>
      <c r="S983" s="22">
        <f>IF($D983="","",IF(AND(LEN($D983)=10,LEFT($D983,1)="0",ISNUMBER(--$D983)),"Có","Không"))</f>
        <v/>
      </c>
      <c r="T983" s="22">
        <f>IF($D983="","",IF(AND($C983&lt;&gt;"",$Q983="Có",$R983="",$S983="Có",AND($L983&lt;&gt;"",OR($L983&lt;&gt;"Chưa xác định",DANH_MUC!$L$9="Có"))),"Có","Không"))</f>
        <v/>
      </c>
      <c r="U983" s="22">
        <f>IF(OR($D983="",$T983="Có"),"",IF($C983="","Thiếu họ tên; ","")&amp;IF($S983&lt;&gt;"Có","SĐT sai định dạng; ","")&amp;IF($R983="Trùng","Trùng SĐT; ","")&amp;IF($Q983&lt;&gt;"Có","Thiếu đồng ý bắt buộc; ","")&amp;IF($L983="","Thiếu/sai Mã REF; ",IF(AND($L983="Chưa xác định",DANH_MUC!$L$9&lt;&gt;"Có"),"Nguồn chưa xác định; ","")))</f>
        <v/>
      </c>
      <c r="V983" s="22">
        <f>IF(OR($D983="",$R983="Trùng"),"",IF(COUNTIF(ORDERS!$C$2:$C$4995,$D983)&gt;0,"Có","Không"))</f>
        <v/>
      </c>
      <c r="W983" s="22">
        <f>IF(OR($D983="",$R983="Trùng"),"",COUNTIFS(ORDERS!$C$2:$C$4995,$D983,ORDERS!$L$2:$L$4995,"Đã chuyển khoản"))</f>
        <v/>
      </c>
      <c r="X983" s="23">
        <f>IF(OR($D983="",$R983="Trùng"),"",SUMIFS(ORDERS!$J$2:$J$4995,ORDERS!$C$2:$C$4995,$D983,ORDERS!$L$2:$L$4995,"Đã chuyển khoản"))</f>
        <v/>
      </c>
      <c r="Y983" s="24" t="n"/>
    </row>
    <row r="984" ht="14.25" customHeight="1" s="40">
      <c r="A984" s="24" t="n"/>
      <c r="B984" s="27" t="n"/>
      <c r="C984" s="24" t="n"/>
      <c r="D984" s="28" t="n"/>
      <c r="E984" s="29" t="n"/>
      <c r="F984" s="24" t="n"/>
      <c r="G984" s="24" t="n"/>
      <c r="H984" s="21">
        <f>IF(ISNUMBER($B984),INT($B984)-WEEKDAY($B984,2)+1,"")</f>
        <v/>
      </c>
      <c r="I984" s="24" t="n"/>
      <c r="J984" s="22">
        <f t="array" ref="J984">IF($D984="","",IF($I984="","(trống REF)",IFERROR(INDEX(MASTER_SOURCE!$B$2:$B$495,MATCH($I984,MASTER_SOURCE!$A$2:$A$495,0)),"(REF không có trong MASTER_SOURCE)")))</f>
        <v/>
      </c>
      <c r="K984" s="22">
        <f t="array" ref="K984">IF($D984="","",IFERROR(INDEX(MASTER_SOURCE!$C$2:$C$495,MATCH($I984,MASTER_SOURCE!$A$2:$A$495,0)),""))</f>
        <v/>
      </c>
      <c r="L984" s="22">
        <f t="array" ref="L984">IF($D984="","",IFERROR(INDEX(MASTER_SOURCE!$D$2:$D$495,MATCH($I984,MASTER_SOURCE!$A$2:$A$495,0)),""))</f>
        <v/>
      </c>
      <c r="M984" s="24" t="n"/>
      <c r="N984" s="24" t="n"/>
      <c r="O984" s="24" t="n"/>
      <c r="P984" s="24" t="n"/>
      <c r="Q984" s="22">
        <f>IF($D984="","",IF(AND(OR(DANH_MUC!$L$5&lt;&gt;"Có",M984="Có"),OR(DANH_MUC!$L$6&lt;&gt;"Có",N984="Có"),OR(DANH_MUC!$L$7&lt;&gt;"Có",O984="Có"),OR(DANH_MUC!$L$8&lt;&gt;"Có",P984="Có")),"Có","Không"))</f>
        <v/>
      </c>
      <c r="R984" s="22">
        <f>IF($D984="","",IF(COUNTIF($D$2:$D984,$D984)&gt;1,"Trùng",""))</f>
        <v/>
      </c>
      <c r="S984" s="22">
        <f>IF($D984="","",IF(AND(LEN($D984)=10,LEFT($D984,1)="0",ISNUMBER(--$D984)),"Có","Không"))</f>
        <v/>
      </c>
      <c r="T984" s="22">
        <f>IF($D984="","",IF(AND($C984&lt;&gt;"",$Q984="Có",$R984="",$S984="Có",AND($L984&lt;&gt;"",OR($L984&lt;&gt;"Chưa xác định",DANH_MUC!$L$9="Có"))),"Có","Không"))</f>
        <v/>
      </c>
      <c r="U984" s="22">
        <f>IF(OR($D984="",$T984="Có"),"",IF($C984="","Thiếu họ tên; ","")&amp;IF($S984&lt;&gt;"Có","SĐT sai định dạng; ","")&amp;IF($R984="Trùng","Trùng SĐT; ","")&amp;IF($Q984&lt;&gt;"Có","Thiếu đồng ý bắt buộc; ","")&amp;IF($L984="","Thiếu/sai Mã REF; ",IF(AND($L984="Chưa xác định",DANH_MUC!$L$9&lt;&gt;"Có"),"Nguồn chưa xác định; ","")))</f>
        <v/>
      </c>
      <c r="V984" s="22">
        <f>IF(OR($D984="",$R984="Trùng"),"",IF(COUNTIF(ORDERS!$C$2:$C$4995,$D984)&gt;0,"Có","Không"))</f>
        <v/>
      </c>
      <c r="W984" s="22">
        <f>IF(OR($D984="",$R984="Trùng"),"",COUNTIFS(ORDERS!$C$2:$C$4995,$D984,ORDERS!$L$2:$L$4995,"Đã chuyển khoản"))</f>
        <v/>
      </c>
      <c r="X984" s="23">
        <f>IF(OR($D984="",$R984="Trùng"),"",SUMIFS(ORDERS!$J$2:$J$4995,ORDERS!$C$2:$C$4995,$D984,ORDERS!$L$2:$L$4995,"Đã chuyển khoản"))</f>
        <v/>
      </c>
      <c r="Y984" s="24" t="n"/>
    </row>
    <row r="985" ht="14.25" customHeight="1" s="40">
      <c r="A985" s="24" t="n"/>
      <c r="B985" s="27" t="n"/>
      <c r="C985" s="24" t="n"/>
      <c r="D985" s="28" t="n"/>
      <c r="E985" s="29" t="n"/>
      <c r="F985" s="24" t="n"/>
      <c r="G985" s="24" t="n"/>
      <c r="H985" s="21">
        <f>IF(ISNUMBER($B985),INT($B985)-WEEKDAY($B985,2)+1,"")</f>
        <v/>
      </c>
      <c r="I985" s="24" t="n"/>
      <c r="J985" s="22">
        <f t="array" ref="J985">IF($D985="","",IF($I985="","(trống REF)",IFERROR(INDEX(MASTER_SOURCE!$B$2:$B$495,MATCH($I985,MASTER_SOURCE!$A$2:$A$495,0)),"(REF không có trong MASTER_SOURCE)")))</f>
        <v/>
      </c>
      <c r="K985" s="22">
        <f t="array" ref="K985">IF($D985="","",IFERROR(INDEX(MASTER_SOURCE!$C$2:$C$495,MATCH($I985,MASTER_SOURCE!$A$2:$A$495,0)),""))</f>
        <v/>
      </c>
      <c r="L985" s="22">
        <f t="array" ref="L985">IF($D985="","",IFERROR(INDEX(MASTER_SOURCE!$D$2:$D$495,MATCH($I985,MASTER_SOURCE!$A$2:$A$495,0)),""))</f>
        <v/>
      </c>
      <c r="M985" s="24" t="n"/>
      <c r="N985" s="24" t="n"/>
      <c r="O985" s="24" t="n"/>
      <c r="P985" s="24" t="n"/>
      <c r="Q985" s="22">
        <f>IF($D985="","",IF(AND(OR(DANH_MUC!$L$5&lt;&gt;"Có",M985="Có"),OR(DANH_MUC!$L$6&lt;&gt;"Có",N985="Có"),OR(DANH_MUC!$L$7&lt;&gt;"Có",O985="Có"),OR(DANH_MUC!$L$8&lt;&gt;"Có",P985="Có")),"Có","Không"))</f>
        <v/>
      </c>
      <c r="R985" s="22">
        <f>IF($D985="","",IF(COUNTIF($D$2:$D985,$D985)&gt;1,"Trùng",""))</f>
        <v/>
      </c>
      <c r="S985" s="22">
        <f>IF($D985="","",IF(AND(LEN($D985)=10,LEFT($D985,1)="0",ISNUMBER(--$D985)),"Có","Không"))</f>
        <v/>
      </c>
      <c r="T985" s="22">
        <f>IF($D985="","",IF(AND($C985&lt;&gt;"",$Q985="Có",$R985="",$S985="Có",AND($L985&lt;&gt;"",OR($L985&lt;&gt;"Chưa xác định",DANH_MUC!$L$9="Có"))),"Có","Không"))</f>
        <v/>
      </c>
      <c r="U985" s="22">
        <f>IF(OR($D985="",$T985="Có"),"",IF($C985="","Thiếu họ tên; ","")&amp;IF($S985&lt;&gt;"Có","SĐT sai định dạng; ","")&amp;IF($R985="Trùng","Trùng SĐT; ","")&amp;IF($Q985&lt;&gt;"Có","Thiếu đồng ý bắt buộc; ","")&amp;IF($L985="","Thiếu/sai Mã REF; ",IF(AND($L985="Chưa xác định",DANH_MUC!$L$9&lt;&gt;"Có"),"Nguồn chưa xác định; ","")))</f>
        <v/>
      </c>
      <c r="V985" s="22">
        <f>IF(OR($D985="",$R985="Trùng"),"",IF(COUNTIF(ORDERS!$C$2:$C$4995,$D985)&gt;0,"Có","Không"))</f>
        <v/>
      </c>
      <c r="W985" s="22">
        <f>IF(OR($D985="",$R985="Trùng"),"",COUNTIFS(ORDERS!$C$2:$C$4995,$D985,ORDERS!$L$2:$L$4995,"Đã chuyển khoản"))</f>
        <v/>
      </c>
      <c r="X985" s="23">
        <f>IF(OR($D985="",$R985="Trùng"),"",SUMIFS(ORDERS!$J$2:$J$4995,ORDERS!$C$2:$C$4995,$D985,ORDERS!$L$2:$L$4995,"Đã chuyển khoản"))</f>
        <v/>
      </c>
      <c r="Y985" s="24" t="n"/>
    </row>
    <row r="986" ht="14.25" customHeight="1" s="40">
      <c r="A986" s="24" t="n"/>
      <c r="B986" s="27" t="n"/>
      <c r="C986" s="24" t="n"/>
      <c r="D986" s="28" t="n"/>
      <c r="E986" s="29" t="n"/>
      <c r="F986" s="24" t="n"/>
      <c r="G986" s="24" t="n"/>
      <c r="H986" s="21">
        <f>IF(ISNUMBER($B986),INT($B986)-WEEKDAY($B986,2)+1,"")</f>
        <v/>
      </c>
      <c r="I986" s="24" t="n"/>
      <c r="J986" s="22">
        <f t="array" ref="J986">IF($D986="","",IF($I986="","(trống REF)",IFERROR(INDEX(MASTER_SOURCE!$B$2:$B$495,MATCH($I986,MASTER_SOURCE!$A$2:$A$495,0)),"(REF không có trong MASTER_SOURCE)")))</f>
        <v/>
      </c>
      <c r="K986" s="22">
        <f t="array" ref="K986">IF($D986="","",IFERROR(INDEX(MASTER_SOURCE!$C$2:$C$495,MATCH($I986,MASTER_SOURCE!$A$2:$A$495,0)),""))</f>
        <v/>
      </c>
      <c r="L986" s="22">
        <f t="array" ref="L986">IF($D986="","",IFERROR(INDEX(MASTER_SOURCE!$D$2:$D$495,MATCH($I986,MASTER_SOURCE!$A$2:$A$495,0)),""))</f>
        <v/>
      </c>
      <c r="M986" s="24" t="n"/>
      <c r="N986" s="24" t="n"/>
      <c r="O986" s="24" t="n"/>
      <c r="P986" s="24" t="n"/>
      <c r="Q986" s="22">
        <f>IF($D986="","",IF(AND(OR(DANH_MUC!$L$5&lt;&gt;"Có",M986="Có"),OR(DANH_MUC!$L$6&lt;&gt;"Có",N986="Có"),OR(DANH_MUC!$L$7&lt;&gt;"Có",O986="Có"),OR(DANH_MUC!$L$8&lt;&gt;"Có",P986="Có")),"Có","Không"))</f>
        <v/>
      </c>
      <c r="R986" s="22">
        <f>IF($D986="","",IF(COUNTIF($D$2:$D986,$D986)&gt;1,"Trùng",""))</f>
        <v/>
      </c>
      <c r="S986" s="22">
        <f>IF($D986="","",IF(AND(LEN($D986)=10,LEFT($D986,1)="0",ISNUMBER(--$D986)),"Có","Không"))</f>
        <v/>
      </c>
      <c r="T986" s="22">
        <f>IF($D986="","",IF(AND($C986&lt;&gt;"",$Q986="Có",$R986="",$S986="Có",AND($L986&lt;&gt;"",OR($L986&lt;&gt;"Chưa xác định",DANH_MUC!$L$9="Có"))),"Có","Không"))</f>
        <v/>
      </c>
      <c r="U986" s="22">
        <f>IF(OR($D986="",$T986="Có"),"",IF($C986="","Thiếu họ tên; ","")&amp;IF($S986&lt;&gt;"Có","SĐT sai định dạng; ","")&amp;IF($R986="Trùng","Trùng SĐT; ","")&amp;IF($Q986&lt;&gt;"Có","Thiếu đồng ý bắt buộc; ","")&amp;IF($L986="","Thiếu/sai Mã REF; ",IF(AND($L986="Chưa xác định",DANH_MUC!$L$9&lt;&gt;"Có"),"Nguồn chưa xác định; ","")))</f>
        <v/>
      </c>
      <c r="V986" s="22">
        <f>IF(OR($D986="",$R986="Trùng"),"",IF(COUNTIF(ORDERS!$C$2:$C$4995,$D986)&gt;0,"Có","Không"))</f>
        <v/>
      </c>
      <c r="W986" s="22">
        <f>IF(OR($D986="",$R986="Trùng"),"",COUNTIFS(ORDERS!$C$2:$C$4995,$D986,ORDERS!$L$2:$L$4995,"Đã chuyển khoản"))</f>
        <v/>
      </c>
      <c r="X986" s="23">
        <f>IF(OR($D986="",$R986="Trùng"),"",SUMIFS(ORDERS!$J$2:$J$4995,ORDERS!$C$2:$C$4995,$D986,ORDERS!$L$2:$L$4995,"Đã chuyển khoản"))</f>
        <v/>
      </c>
      <c r="Y986" s="24" t="n"/>
    </row>
    <row r="987" ht="14.25" customHeight="1" s="40">
      <c r="A987" s="24" t="n"/>
      <c r="B987" s="27" t="n"/>
      <c r="C987" s="24" t="n"/>
      <c r="D987" s="28" t="n"/>
      <c r="E987" s="29" t="n"/>
      <c r="F987" s="24" t="n"/>
      <c r="G987" s="24" t="n"/>
      <c r="H987" s="21">
        <f>IF(ISNUMBER($B987),INT($B987)-WEEKDAY($B987,2)+1,"")</f>
        <v/>
      </c>
      <c r="I987" s="24" t="n"/>
      <c r="J987" s="22">
        <f t="array" ref="J987">IF($D987="","",IF($I987="","(trống REF)",IFERROR(INDEX(MASTER_SOURCE!$B$2:$B$495,MATCH($I987,MASTER_SOURCE!$A$2:$A$495,0)),"(REF không có trong MASTER_SOURCE)")))</f>
        <v/>
      </c>
      <c r="K987" s="22">
        <f t="array" ref="K987">IF($D987="","",IFERROR(INDEX(MASTER_SOURCE!$C$2:$C$495,MATCH($I987,MASTER_SOURCE!$A$2:$A$495,0)),""))</f>
        <v/>
      </c>
      <c r="L987" s="22">
        <f t="array" ref="L987">IF($D987="","",IFERROR(INDEX(MASTER_SOURCE!$D$2:$D$495,MATCH($I987,MASTER_SOURCE!$A$2:$A$495,0)),""))</f>
        <v/>
      </c>
      <c r="M987" s="24" t="n"/>
      <c r="N987" s="24" t="n"/>
      <c r="O987" s="24" t="n"/>
      <c r="P987" s="24" t="n"/>
      <c r="Q987" s="22">
        <f>IF($D987="","",IF(AND(OR(DANH_MUC!$L$5&lt;&gt;"Có",M987="Có"),OR(DANH_MUC!$L$6&lt;&gt;"Có",N987="Có"),OR(DANH_MUC!$L$7&lt;&gt;"Có",O987="Có"),OR(DANH_MUC!$L$8&lt;&gt;"Có",P987="Có")),"Có","Không"))</f>
        <v/>
      </c>
      <c r="R987" s="22">
        <f>IF($D987="","",IF(COUNTIF($D$2:$D987,$D987)&gt;1,"Trùng",""))</f>
        <v/>
      </c>
      <c r="S987" s="22">
        <f>IF($D987="","",IF(AND(LEN($D987)=10,LEFT($D987,1)="0",ISNUMBER(--$D987)),"Có","Không"))</f>
        <v/>
      </c>
      <c r="T987" s="22">
        <f>IF($D987="","",IF(AND($C987&lt;&gt;"",$Q987="Có",$R987="",$S987="Có",AND($L987&lt;&gt;"",OR($L987&lt;&gt;"Chưa xác định",DANH_MUC!$L$9="Có"))),"Có","Không"))</f>
        <v/>
      </c>
      <c r="U987" s="22">
        <f>IF(OR($D987="",$T987="Có"),"",IF($C987="","Thiếu họ tên; ","")&amp;IF($S987&lt;&gt;"Có","SĐT sai định dạng; ","")&amp;IF($R987="Trùng","Trùng SĐT; ","")&amp;IF($Q987&lt;&gt;"Có","Thiếu đồng ý bắt buộc; ","")&amp;IF($L987="","Thiếu/sai Mã REF; ",IF(AND($L987="Chưa xác định",DANH_MUC!$L$9&lt;&gt;"Có"),"Nguồn chưa xác định; ","")))</f>
        <v/>
      </c>
      <c r="V987" s="22">
        <f>IF(OR($D987="",$R987="Trùng"),"",IF(COUNTIF(ORDERS!$C$2:$C$4995,$D987)&gt;0,"Có","Không"))</f>
        <v/>
      </c>
      <c r="W987" s="22">
        <f>IF(OR($D987="",$R987="Trùng"),"",COUNTIFS(ORDERS!$C$2:$C$4995,$D987,ORDERS!$L$2:$L$4995,"Đã chuyển khoản"))</f>
        <v/>
      </c>
      <c r="X987" s="23">
        <f>IF(OR($D987="",$R987="Trùng"),"",SUMIFS(ORDERS!$J$2:$J$4995,ORDERS!$C$2:$C$4995,$D987,ORDERS!$L$2:$L$4995,"Đã chuyển khoản"))</f>
        <v/>
      </c>
      <c r="Y987" s="24" t="n"/>
    </row>
    <row r="988" ht="14.25" customHeight="1" s="40">
      <c r="A988" s="24" t="n"/>
      <c r="B988" s="27" t="n"/>
      <c r="C988" s="24" t="n"/>
      <c r="D988" s="28" t="n"/>
      <c r="E988" s="29" t="n"/>
      <c r="F988" s="24" t="n"/>
      <c r="G988" s="24" t="n"/>
      <c r="H988" s="21">
        <f>IF(ISNUMBER($B988),INT($B988)-WEEKDAY($B988,2)+1,"")</f>
        <v/>
      </c>
      <c r="I988" s="24" t="n"/>
      <c r="J988" s="22">
        <f t="array" ref="J988">IF($D988="","",IF($I988="","(trống REF)",IFERROR(INDEX(MASTER_SOURCE!$B$2:$B$495,MATCH($I988,MASTER_SOURCE!$A$2:$A$495,0)),"(REF không có trong MASTER_SOURCE)")))</f>
        <v/>
      </c>
      <c r="K988" s="22">
        <f t="array" ref="K988">IF($D988="","",IFERROR(INDEX(MASTER_SOURCE!$C$2:$C$495,MATCH($I988,MASTER_SOURCE!$A$2:$A$495,0)),""))</f>
        <v/>
      </c>
      <c r="L988" s="22">
        <f t="array" ref="L988">IF($D988="","",IFERROR(INDEX(MASTER_SOURCE!$D$2:$D$495,MATCH($I988,MASTER_SOURCE!$A$2:$A$495,0)),""))</f>
        <v/>
      </c>
      <c r="M988" s="24" t="n"/>
      <c r="N988" s="24" t="n"/>
      <c r="O988" s="24" t="n"/>
      <c r="P988" s="24" t="n"/>
      <c r="Q988" s="22">
        <f>IF($D988="","",IF(AND(OR(DANH_MUC!$L$5&lt;&gt;"Có",M988="Có"),OR(DANH_MUC!$L$6&lt;&gt;"Có",N988="Có"),OR(DANH_MUC!$L$7&lt;&gt;"Có",O988="Có"),OR(DANH_MUC!$L$8&lt;&gt;"Có",P988="Có")),"Có","Không"))</f>
        <v/>
      </c>
      <c r="R988" s="22">
        <f>IF($D988="","",IF(COUNTIF($D$2:$D988,$D988)&gt;1,"Trùng",""))</f>
        <v/>
      </c>
      <c r="S988" s="22">
        <f>IF($D988="","",IF(AND(LEN($D988)=10,LEFT($D988,1)="0",ISNUMBER(--$D988)),"Có","Không"))</f>
        <v/>
      </c>
      <c r="T988" s="22">
        <f>IF($D988="","",IF(AND($C988&lt;&gt;"",$Q988="Có",$R988="",$S988="Có",AND($L988&lt;&gt;"",OR($L988&lt;&gt;"Chưa xác định",DANH_MUC!$L$9="Có"))),"Có","Không"))</f>
        <v/>
      </c>
      <c r="U988" s="22">
        <f>IF(OR($D988="",$T988="Có"),"",IF($C988="","Thiếu họ tên; ","")&amp;IF($S988&lt;&gt;"Có","SĐT sai định dạng; ","")&amp;IF($R988="Trùng","Trùng SĐT; ","")&amp;IF($Q988&lt;&gt;"Có","Thiếu đồng ý bắt buộc; ","")&amp;IF($L988="","Thiếu/sai Mã REF; ",IF(AND($L988="Chưa xác định",DANH_MUC!$L$9&lt;&gt;"Có"),"Nguồn chưa xác định; ","")))</f>
        <v/>
      </c>
      <c r="V988" s="22">
        <f>IF(OR($D988="",$R988="Trùng"),"",IF(COUNTIF(ORDERS!$C$2:$C$4995,$D988)&gt;0,"Có","Không"))</f>
        <v/>
      </c>
      <c r="W988" s="22">
        <f>IF(OR($D988="",$R988="Trùng"),"",COUNTIFS(ORDERS!$C$2:$C$4995,$D988,ORDERS!$L$2:$L$4995,"Đã chuyển khoản"))</f>
        <v/>
      </c>
      <c r="X988" s="23">
        <f>IF(OR($D988="",$R988="Trùng"),"",SUMIFS(ORDERS!$J$2:$J$4995,ORDERS!$C$2:$C$4995,$D988,ORDERS!$L$2:$L$4995,"Đã chuyển khoản"))</f>
        <v/>
      </c>
      <c r="Y988" s="24" t="n"/>
    </row>
    <row r="989" ht="14.25" customHeight="1" s="40">
      <c r="A989" s="24" t="n"/>
      <c r="B989" s="27" t="n"/>
      <c r="C989" s="24" t="n"/>
      <c r="D989" s="28" t="n"/>
      <c r="E989" s="29" t="n"/>
      <c r="F989" s="24" t="n"/>
      <c r="G989" s="24" t="n"/>
      <c r="H989" s="21">
        <f>IF(ISNUMBER($B989),INT($B989)-WEEKDAY($B989,2)+1,"")</f>
        <v/>
      </c>
      <c r="I989" s="24" t="n"/>
      <c r="J989" s="22">
        <f t="array" ref="J989">IF($D989="","",IF($I989="","(trống REF)",IFERROR(INDEX(MASTER_SOURCE!$B$2:$B$495,MATCH($I989,MASTER_SOURCE!$A$2:$A$495,0)),"(REF không có trong MASTER_SOURCE)")))</f>
        <v/>
      </c>
      <c r="K989" s="22">
        <f t="array" ref="K989">IF($D989="","",IFERROR(INDEX(MASTER_SOURCE!$C$2:$C$495,MATCH($I989,MASTER_SOURCE!$A$2:$A$495,0)),""))</f>
        <v/>
      </c>
      <c r="L989" s="22">
        <f t="array" ref="L989">IF($D989="","",IFERROR(INDEX(MASTER_SOURCE!$D$2:$D$495,MATCH($I989,MASTER_SOURCE!$A$2:$A$495,0)),""))</f>
        <v/>
      </c>
      <c r="M989" s="24" t="n"/>
      <c r="N989" s="24" t="n"/>
      <c r="O989" s="24" t="n"/>
      <c r="P989" s="24" t="n"/>
      <c r="Q989" s="22">
        <f>IF($D989="","",IF(AND(OR(DANH_MUC!$L$5&lt;&gt;"Có",M989="Có"),OR(DANH_MUC!$L$6&lt;&gt;"Có",N989="Có"),OR(DANH_MUC!$L$7&lt;&gt;"Có",O989="Có"),OR(DANH_MUC!$L$8&lt;&gt;"Có",P989="Có")),"Có","Không"))</f>
        <v/>
      </c>
      <c r="R989" s="22">
        <f>IF($D989="","",IF(COUNTIF($D$2:$D989,$D989)&gt;1,"Trùng",""))</f>
        <v/>
      </c>
      <c r="S989" s="22">
        <f>IF($D989="","",IF(AND(LEN($D989)=10,LEFT($D989,1)="0",ISNUMBER(--$D989)),"Có","Không"))</f>
        <v/>
      </c>
      <c r="T989" s="22">
        <f>IF($D989="","",IF(AND($C989&lt;&gt;"",$Q989="Có",$R989="",$S989="Có",AND($L989&lt;&gt;"",OR($L989&lt;&gt;"Chưa xác định",DANH_MUC!$L$9="Có"))),"Có","Không"))</f>
        <v/>
      </c>
      <c r="U989" s="22">
        <f>IF(OR($D989="",$T989="Có"),"",IF($C989="","Thiếu họ tên; ","")&amp;IF($S989&lt;&gt;"Có","SĐT sai định dạng; ","")&amp;IF($R989="Trùng","Trùng SĐT; ","")&amp;IF($Q989&lt;&gt;"Có","Thiếu đồng ý bắt buộc; ","")&amp;IF($L989="","Thiếu/sai Mã REF; ",IF(AND($L989="Chưa xác định",DANH_MUC!$L$9&lt;&gt;"Có"),"Nguồn chưa xác định; ","")))</f>
        <v/>
      </c>
      <c r="V989" s="22">
        <f>IF(OR($D989="",$R989="Trùng"),"",IF(COUNTIF(ORDERS!$C$2:$C$4995,$D989)&gt;0,"Có","Không"))</f>
        <v/>
      </c>
      <c r="W989" s="22">
        <f>IF(OR($D989="",$R989="Trùng"),"",COUNTIFS(ORDERS!$C$2:$C$4995,$D989,ORDERS!$L$2:$L$4995,"Đã chuyển khoản"))</f>
        <v/>
      </c>
      <c r="X989" s="23">
        <f>IF(OR($D989="",$R989="Trùng"),"",SUMIFS(ORDERS!$J$2:$J$4995,ORDERS!$C$2:$C$4995,$D989,ORDERS!$L$2:$L$4995,"Đã chuyển khoản"))</f>
        <v/>
      </c>
      <c r="Y989" s="24" t="n"/>
    </row>
    <row r="990" ht="14.25" customHeight="1" s="40">
      <c r="A990" s="24" t="n"/>
      <c r="B990" s="27" t="n"/>
      <c r="C990" s="24" t="n"/>
      <c r="D990" s="28" t="n"/>
      <c r="E990" s="29" t="n"/>
      <c r="F990" s="24" t="n"/>
      <c r="G990" s="24" t="n"/>
      <c r="H990" s="21">
        <f>IF(ISNUMBER($B990),INT($B990)-WEEKDAY($B990,2)+1,"")</f>
        <v/>
      </c>
      <c r="I990" s="24" t="n"/>
      <c r="J990" s="22">
        <f t="array" ref="J990">IF($D990="","",IF($I990="","(trống REF)",IFERROR(INDEX(MASTER_SOURCE!$B$2:$B$495,MATCH($I990,MASTER_SOURCE!$A$2:$A$495,0)),"(REF không có trong MASTER_SOURCE)")))</f>
        <v/>
      </c>
      <c r="K990" s="22">
        <f t="array" ref="K990">IF($D990="","",IFERROR(INDEX(MASTER_SOURCE!$C$2:$C$495,MATCH($I990,MASTER_SOURCE!$A$2:$A$495,0)),""))</f>
        <v/>
      </c>
      <c r="L990" s="22">
        <f t="array" ref="L990">IF($D990="","",IFERROR(INDEX(MASTER_SOURCE!$D$2:$D$495,MATCH($I990,MASTER_SOURCE!$A$2:$A$495,0)),""))</f>
        <v/>
      </c>
      <c r="M990" s="24" t="n"/>
      <c r="N990" s="24" t="n"/>
      <c r="O990" s="24" t="n"/>
      <c r="P990" s="24" t="n"/>
      <c r="Q990" s="22">
        <f>IF($D990="","",IF(AND(OR(DANH_MUC!$L$5&lt;&gt;"Có",M990="Có"),OR(DANH_MUC!$L$6&lt;&gt;"Có",N990="Có"),OR(DANH_MUC!$L$7&lt;&gt;"Có",O990="Có"),OR(DANH_MUC!$L$8&lt;&gt;"Có",P990="Có")),"Có","Không"))</f>
        <v/>
      </c>
      <c r="R990" s="22">
        <f>IF($D990="","",IF(COUNTIF($D$2:$D990,$D990)&gt;1,"Trùng",""))</f>
        <v/>
      </c>
      <c r="S990" s="22">
        <f>IF($D990="","",IF(AND(LEN($D990)=10,LEFT($D990,1)="0",ISNUMBER(--$D990)),"Có","Không"))</f>
        <v/>
      </c>
      <c r="T990" s="22">
        <f>IF($D990="","",IF(AND($C990&lt;&gt;"",$Q990="Có",$R990="",$S990="Có",AND($L990&lt;&gt;"",OR($L990&lt;&gt;"Chưa xác định",DANH_MUC!$L$9="Có"))),"Có","Không"))</f>
        <v/>
      </c>
      <c r="U990" s="22">
        <f>IF(OR($D990="",$T990="Có"),"",IF($C990="","Thiếu họ tên; ","")&amp;IF($S990&lt;&gt;"Có","SĐT sai định dạng; ","")&amp;IF($R990="Trùng","Trùng SĐT; ","")&amp;IF($Q990&lt;&gt;"Có","Thiếu đồng ý bắt buộc; ","")&amp;IF($L990="","Thiếu/sai Mã REF; ",IF(AND($L990="Chưa xác định",DANH_MUC!$L$9&lt;&gt;"Có"),"Nguồn chưa xác định; ","")))</f>
        <v/>
      </c>
      <c r="V990" s="22">
        <f>IF(OR($D990="",$R990="Trùng"),"",IF(COUNTIF(ORDERS!$C$2:$C$4995,$D990)&gt;0,"Có","Không"))</f>
        <v/>
      </c>
      <c r="W990" s="22">
        <f>IF(OR($D990="",$R990="Trùng"),"",COUNTIFS(ORDERS!$C$2:$C$4995,$D990,ORDERS!$L$2:$L$4995,"Đã chuyển khoản"))</f>
        <v/>
      </c>
      <c r="X990" s="23">
        <f>IF(OR($D990="",$R990="Trùng"),"",SUMIFS(ORDERS!$J$2:$J$4995,ORDERS!$C$2:$C$4995,$D990,ORDERS!$L$2:$L$4995,"Đã chuyển khoản"))</f>
        <v/>
      </c>
      <c r="Y990" s="24" t="n"/>
    </row>
    <row r="991" ht="14.25" customHeight="1" s="40">
      <c r="A991" s="24" t="n"/>
      <c r="B991" s="27" t="n"/>
      <c r="C991" s="24" t="n"/>
      <c r="D991" s="28" t="n"/>
      <c r="E991" s="29" t="n"/>
      <c r="F991" s="24" t="n"/>
      <c r="G991" s="24" t="n"/>
      <c r="H991" s="21">
        <f>IF(ISNUMBER($B991),INT($B991)-WEEKDAY($B991,2)+1,"")</f>
        <v/>
      </c>
      <c r="I991" s="24" t="n"/>
      <c r="J991" s="22">
        <f t="array" ref="J991">IF($D991="","",IF($I991="","(trống REF)",IFERROR(INDEX(MASTER_SOURCE!$B$2:$B$495,MATCH($I991,MASTER_SOURCE!$A$2:$A$495,0)),"(REF không có trong MASTER_SOURCE)")))</f>
        <v/>
      </c>
      <c r="K991" s="22">
        <f t="array" ref="K991">IF($D991="","",IFERROR(INDEX(MASTER_SOURCE!$C$2:$C$495,MATCH($I991,MASTER_SOURCE!$A$2:$A$495,0)),""))</f>
        <v/>
      </c>
      <c r="L991" s="22">
        <f t="array" ref="L991">IF($D991="","",IFERROR(INDEX(MASTER_SOURCE!$D$2:$D$495,MATCH($I991,MASTER_SOURCE!$A$2:$A$495,0)),""))</f>
        <v/>
      </c>
      <c r="M991" s="24" t="n"/>
      <c r="N991" s="24" t="n"/>
      <c r="O991" s="24" t="n"/>
      <c r="P991" s="24" t="n"/>
      <c r="Q991" s="22">
        <f>IF($D991="","",IF(AND(OR(DANH_MUC!$L$5&lt;&gt;"Có",M991="Có"),OR(DANH_MUC!$L$6&lt;&gt;"Có",N991="Có"),OR(DANH_MUC!$L$7&lt;&gt;"Có",O991="Có"),OR(DANH_MUC!$L$8&lt;&gt;"Có",P991="Có")),"Có","Không"))</f>
        <v/>
      </c>
      <c r="R991" s="22">
        <f>IF($D991="","",IF(COUNTIF($D$2:$D991,$D991)&gt;1,"Trùng",""))</f>
        <v/>
      </c>
      <c r="S991" s="22">
        <f>IF($D991="","",IF(AND(LEN($D991)=10,LEFT($D991,1)="0",ISNUMBER(--$D991)),"Có","Không"))</f>
        <v/>
      </c>
      <c r="T991" s="22">
        <f>IF($D991="","",IF(AND($C991&lt;&gt;"",$Q991="Có",$R991="",$S991="Có",AND($L991&lt;&gt;"",OR($L991&lt;&gt;"Chưa xác định",DANH_MUC!$L$9="Có"))),"Có","Không"))</f>
        <v/>
      </c>
      <c r="U991" s="22">
        <f>IF(OR($D991="",$T991="Có"),"",IF($C991="","Thiếu họ tên; ","")&amp;IF($S991&lt;&gt;"Có","SĐT sai định dạng; ","")&amp;IF($R991="Trùng","Trùng SĐT; ","")&amp;IF($Q991&lt;&gt;"Có","Thiếu đồng ý bắt buộc; ","")&amp;IF($L991="","Thiếu/sai Mã REF; ",IF(AND($L991="Chưa xác định",DANH_MUC!$L$9&lt;&gt;"Có"),"Nguồn chưa xác định; ","")))</f>
        <v/>
      </c>
      <c r="V991" s="22">
        <f>IF(OR($D991="",$R991="Trùng"),"",IF(COUNTIF(ORDERS!$C$2:$C$4995,$D991)&gt;0,"Có","Không"))</f>
        <v/>
      </c>
      <c r="W991" s="22">
        <f>IF(OR($D991="",$R991="Trùng"),"",COUNTIFS(ORDERS!$C$2:$C$4995,$D991,ORDERS!$L$2:$L$4995,"Đã chuyển khoản"))</f>
        <v/>
      </c>
      <c r="X991" s="23">
        <f>IF(OR($D991="",$R991="Trùng"),"",SUMIFS(ORDERS!$J$2:$J$4995,ORDERS!$C$2:$C$4995,$D991,ORDERS!$L$2:$L$4995,"Đã chuyển khoản"))</f>
        <v/>
      </c>
      <c r="Y991" s="24" t="n"/>
    </row>
    <row r="992" ht="14.25" customHeight="1" s="40">
      <c r="A992" s="24" t="n"/>
      <c r="B992" s="27" t="n"/>
      <c r="C992" s="24" t="n"/>
      <c r="D992" s="28" t="n"/>
      <c r="E992" s="29" t="n"/>
      <c r="F992" s="24" t="n"/>
      <c r="G992" s="24" t="n"/>
      <c r="H992" s="21">
        <f>IF(ISNUMBER($B992),INT($B992)-WEEKDAY($B992,2)+1,"")</f>
        <v/>
      </c>
      <c r="I992" s="24" t="n"/>
      <c r="J992" s="22">
        <f t="array" ref="J992">IF($D992="","",IF($I992="","(trống REF)",IFERROR(INDEX(MASTER_SOURCE!$B$2:$B$495,MATCH($I992,MASTER_SOURCE!$A$2:$A$495,0)),"(REF không có trong MASTER_SOURCE)")))</f>
        <v/>
      </c>
      <c r="K992" s="22">
        <f t="array" ref="K992">IF($D992="","",IFERROR(INDEX(MASTER_SOURCE!$C$2:$C$495,MATCH($I992,MASTER_SOURCE!$A$2:$A$495,0)),""))</f>
        <v/>
      </c>
      <c r="L992" s="22">
        <f t="array" ref="L992">IF($D992="","",IFERROR(INDEX(MASTER_SOURCE!$D$2:$D$495,MATCH($I992,MASTER_SOURCE!$A$2:$A$495,0)),""))</f>
        <v/>
      </c>
      <c r="M992" s="24" t="n"/>
      <c r="N992" s="24" t="n"/>
      <c r="O992" s="24" t="n"/>
      <c r="P992" s="24" t="n"/>
      <c r="Q992" s="22">
        <f>IF($D992="","",IF(AND(OR(DANH_MUC!$L$5&lt;&gt;"Có",M992="Có"),OR(DANH_MUC!$L$6&lt;&gt;"Có",N992="Có"),OR(DANH_MUC!$L$7&lt;&gt;"Có",O992="Có"),OR(DANH_MUC!$L$8&lt;&gt;"Có",P992="Có")),"Có","Không"))</f>
        <v/>
      </c>
      <c r="R992" s="22">
        <f>IF($D992="","",IF(COUNTIF($D$2:$D992,$D992)&gt;1,"Trùng",""))</f>
        <v/>
      </c>
      <c r="S992" s="22">
        <f>IF($D992="","",IF(AND(LEN($D992)=10,LEFT($D992,1)="0",ISNUMBER(--$D992)),"Có","Không"))</f>
        <v/>
      </c>
      <c r="T992" s="22">
        <f>IF($D992="","",IF(AND($C992&lt;&gt;"",$Q992="Có",$R992="",$S992="Có",AND($L992&lt;&gt;"",OR($L992&lt;&gt;"Chưa xác định",DANH_MUC!$L$9="Có"))),"Có","Không"))</f>
        <v/>
      </c>
      <c r="U992" s="22">
        <f>IF(OR($D992="",$T992="Có"),"",IF($C992="","Thiếu họ tên; ","")&amp;IF($S992&lt;&gt;"Có","SĐT sai định dạng; ","")&amp;IF($R992="Trùng","Trùng SĐT; ","")&amp;IF($Q992&lt;&gt;"Có","Thiếu đồng ý bắt buộc; ","")&amp;IF($L992="","Thiếu/sai Mã REF; ",IF(AND($L992="Chưa xác định",DANH_MUC!$L$9&lt;&gt;"Có"),"Nguồn chưa xác định; ","")))</f>
        <v/>
      </c>
      <c r="V992" s="22">
        <f>IF(OR($D992="",$R992="Trùng"),"",IF(COUNTIF(ORDERS!$C$2:$C$4995,$D992)&gt;0,"Có","Không"))</f>
        <v/>
      </c>
      <c r="W992" s="22">
        <f>IF(OR($D992="",$R992="Trùng"),"",COUNTIFS(ORDERS!$C$2:$C$4995,$D992,ORDERS!$L$2:$L$4995,"Đã chuyển khoản"))</f>
        <v/>
      </c>
      <c r="X992" s="23">
        <f>IF(OR($D992="",$R992="Trùng"),"",SUMIFS(ORDERS!$J$2:$J$4995,ORDERS!$C$2:$C$4995,$D992,ORDERS!$L$2:$L$4995,"Đã chuyển khoản"))</f>
        <v/>
      </c>
      <c r="Y992" s="24" t="n"/>
    </row>
    <row r="993" ht="14.25" customHeight="1" s="40">
      <c r="A993" s="24" t="n"/>
      <c r="B993" s="27" t="n"/>
      <c r="C993" s="24" t="n"/>
      <c r="D993" s="28" t="n"/>
      <c r="E993" s="29" t="n"/>
      <c r="F993" s="24" t="n"/>
      <c r="G993" s="24" t="n"/>
      <c r="H993" s="21">
        <f>IF(ISNUMBER($B993),INT($B993)-WEEKDAY($B993,2)+1,"")</f>
        <v/>
      </c>
      <c r="I993" s="24" t="n"/>
      <c r="J993" s="22">
        <f t="array" ref="J993">IF($D993="","",IF($I993="","(trống REF)",IFERROR(INDEX(MASTER_SOURCE!$B$2:$B$495,MATCH($I993,MASTER_SOURCE!$A$2:$A$495,0)),"(REF không có trong MASTER_SOURCE)")))</f>
        <v/>
      </c>
      <c r="K993" s="22">
        <f t="array" ref="K993">IF($D993="","",IFERROR(INDEX(MASTER_SOURCE!$C$2:$C$495,MATCH($I993,MASTER_SOURCE!$A$2:$A$495,0)),""))</f>
        <v/>
      </c>
      <c r="L993" s="22">
        <f t="array" ref="L993">IF($D993="","",IFERROR(INDEX(MASTER_SOURCE!$D$2:$D$495,MATCH($I993,MASTER_SOURCE!$A$2:$A$495,0)),""))</f>
        <v/>
      </c>
      <c r="M993" s="24" t="n"/>
      <c r="N993" s="24" t="n"/>
      <c r="O993" s="24" t="n"/>
      <c r="P993" s="24" t="n"/>
      <c r="Q993" s="22">
        <f>IF($D993="","",IF(AND(OR(DANH_MUC!$L$5&lt;&gt;"Có",M993="Có"),OR(DANH_MUC!$L$6&lt;&gt;"Có",N993="Có"),OR(DANH_MUC!$L$7&lt;&gt;"Có",O993="Có"),OR(DANH_MUC!$L$8&lt;&gt;"Có",P993="Có")),"Có","Không"))</f>
        <v/>
      </c>
      <c r="R993" s="22">
        <f>IF($D993="","",IF(COUNTIF($D$2:$D993,$D993)&gt;1,"Trùng",""))</f>
        <v/>
      </c>
      <c r="S993" s="22">
        <f>IF($D993="","",IF(AND(LEN($D993)=10,LEFT($D993,1)="0",ISNUMBER(--$D993)),"Có","Không"))</f>
        <v/>
      </c>
      <c r="T993" s="22">
        <f>IF($D993="","",IF(AND($C993&lt;&gt;"",$Q993="Có",$R993="",$S993="Có",AND($L993&lt;&gt;"",OR($L993&lt;&gt;"Chưa xác định",DANH_MUC!$L$9="Có"))),"Có","Không"))</f>
        <v/>
      </c>
      <c r="U993" s="22">
        <f>IF(OR($D993="",$T993="Có"),"",IF($C993="","Thiếu họ tên; ","")&amp;IF($S993&lt;&gt;"Có","SĐT sai định dạng; ","")&amp;IF($R993="Trùng","Trùng SĐT; ","")&amp;IF($Q993&lt;&gt;"Có","Thiếu đồng ý bắt buộc; ","")&amp;IF($L993="","Thiếu/sai Mã REF; ",IF(AND($L993="Chưa xác định",DANH_MUC!$L$9&lt;&gt;"Có"),"Nguồn chưa xác định; ","")))</f>
        <v/>
      </c>
      <c r="V993" s="22">
        <f>IF(OR($D993="",$R993="Trùng"),"",IF(COUNTIF(ORDERS!$C$2:$C$4995,$D993)&gt;0,"Có","Không"))</f>
        <v/>
      </c>
      <c r="W993" s="22">
        <f>IF(OR($D993="",$R993="Trùng"),"",COUNTIFS(ORDERS!$C$2:$C$4995,$D993,ORDERS!$L$2:$L$4995,"Đã chuyển khoản"))</f>
        <v/>
      </c>
      <c r="X993" s="23">
        <f>IF(OR($D993="",$R993="Trùng"),"",SUMIFS(ORDERS!$J$2:$J$4995,ORDERS!$C$2:$C$4995,$D993,ORDERS!$L$2:$L$4995,"Đã chuyển khoản"))</f>
        <v/>
      </c>
      <c r="Y993" s="24" t="n"/>
    </row>
    <row r="994" ht="14.25" customHeight="1" s="40">
      <c r="A994" s="24" t="n"/>
      <c r="B994" s="27" t="n"/>
      <c r="C994" s="24" t="n"/>
      <c r="D994" s="28" t="n"/>
      <c r="E994" s="29" t="n"/>
      <c r="F994" s="24" t="n"/>
      <c r="G994" s="24" t="n"/>
      <c r="H994" s="21">
        <f>IF(ISNUMBER($B994),INT($B994)-WEEKDAY($B994,2)+1,"")</f>
        <v/>
      </c>
      <c r="I994" s="24" t="n"/>
      <c r="J994" s="22">
        <f t="array" ref="J994">IF($D994="","",IF($I994="","(trống REF)",IFERROR(INDEX(MASTER_SOURCE!$B$2:$B$495,MATCH($I994,MASTER_SOURCE!$A$2:$A$495,0)),"(REF không có trong MASTER_SOURCE)")))</f>
        <v/>
      </c>
      <c r="K994" s="22">
        <f t="array" ref="K994">IF($D994="","",IFERROR(INDEX(MASTER_SOURCE!$C$2:$C$495,MATCH($I994,MASTER_SOURCE!$A$2:$A$495,0)),""))</f>
        <v/>
      </c>
      <c r="L994" s="22">
        <f t="array" ref="L994">IF($D994="","",IFERROR(INDEX(MASTER_SOURCE!$D$2:$D$495,MATCH($I994,MASTER_SOURCE!$A$2:$A$495,0)),""))</f>
        <v/>
      </c>
      <c r="M994" s="24" t="n"/>
      <c r="N994" s="24" t="n"/>
      <c r="O994" s="24" t="n"/>
      <c r="P994" s="24" t="n"/>
      <c r="Q994" s="22">
        <f>IF($D994="","",IF(AND(OR(DANH_MUC!$L$5&lt;&gt;"Có",M994="Có"),OR(DANH_MUC!$L$6&lt;&gt;"Có",N994="Có"),OR(DANH_MUC!$L$7&lt;&gt;"Có",O994="Có"),OR(DANH_MUC!$L$8&lt;&gt;"Có",P994="Có")),"Có","Không"))</f>
        <v/>
      </c>
      <c r="R994" s="22">
        <f>IF($D994="","",IF(COUNTIF($D$2:$D994,$D994)&gt;1,"Trùng",""))</f>
        <v/>
      </c>
      <c r="S994" s="22">
        <f>IF($D994="","",IF(AND(LEN($D994)=10,LEFT($D994,1)="0",ISNUMBER(--$D994)),"Có","Không"))</f>
        <v/>
      </c>
      <c r="T994" s="22">
        <f>IF($D994="","",IF(AND($C994&lt;&gt;"",$Q994="Có",$R994="",$S994="Có",AND($L994&lt;&gt;"",OR($L994&lt;&gt;"Chưa xác định",DANH_MUC!$L$9="Có"))),"Có","Không"))</f>
        <v/>
      </c>
      <c r="U994" s="22">
        <f>IF(OR($D994="",$T994="Có"),"",IF($C994="","Thiếu họ tên; ","")&amp;IF($S994&lt;&gt;"Có","SĐT sai định dạng; ","")&amp;IF($R994="Trùng","Trùng SĐT; ","")&amp;IF($Q994&lt;&gt;"Có","Thiếu đồng ý bắt buộc; ","")&amp;IF($L994="","Thiếu/sai Mã REF; ",IF(AND($L994="Chưa xác định",DANH_MUC!$L$9&lt;&gt;"Có"),"Nguồn chưa xác định; ","")))</f>
        <v/>
      </c>
      <c r="V994" s="22">
        <f>IF(OR($D994="",$R994="Trùng"),"",IF(COUNTIF(ORDERS!$C$2:$C$4995,$D994)&gt;0,"Có","Không"))</f>
        <v/>
      </c>
      <c r="W994" s="22">
        <f>IF(OR($D994="",$R994="Trùng"),"",COUNTIFS(ORDERS!$C$2:$C$4995,$D994,ORDERS!$L$2:$L$4995,"Đã chuyển khoản"))</f>
        <v/>
      </c>
      <c r="X994" s="23">
        <f>IF(OR($D994="",$R994="Trùng"),"",SUMIFS(ORDERS!$J$2:$J$4995,ORDERS!$C$2:$C$4995,$D994,ORDERS!$L$2:$L$4995,"Đã chuyển khoản"))</f>
        <v/>
      </c>
      <c r="Y994" s="24" t="n"/>
    </row>
    <row r="995" ht="14.25" customHeight="1" s="40">
      <c r="A995" s="24" t="n"/>
      <c r="B995" s="27" t="n"/>
      <c r="C995" s="24" t="n"/>
      <c r="D995" s="28" t="n"/>
      <c r="E995" s="29" t="n"/>
      <c r="F995" s="24" t="n"/>
      <c r="G995" s="24" t="n"/>
      <c r="H995" s="21">
        <f>IF(ISNUMBER($B995),INT($B995)-WEEKDAY($B995,2)+1,"")</f>
        <v/>
      </c>
      <c r="I995" s="24" t="n"/>
      <c r="J995" s="22">
        <f t="array" ref="J995">IF($D995="","",IF($I995="","(trống REF)",IFERROR(INDEX(MASTER_SOURCE!$B$2:$B$495,MATCH($I995,MASTER_SOURCE!$A$2:$A$495,0)),"(REF không có trong MASTER_SOURCE)")))</f>
        <v/>
      </c>
      <c r="K995" s="22">
        <f t="array" ref="K995">IF($D995="","",IFERROR(INDEX(MASTER_SOURCE!$C$2:$C$495,MATCH($I995,MASTER_SOURCE!$A$2:$A$495,0)),""))</f>
        <v/>
      </c>
      <c r="L995" s="22">
        <f t="array" ref="L995">IF($D995="","",IFERROR(INDEX(MASTER_SOURCE!$D$2:$D$495,MATCH($I995,MASTER_SOURCE!$A$2:$A$495,0)),""))</f>
        <v/>
      </c>
      <c r="M995" s="24" t="n"/>
      <c r="N995" s="24" t="n"/>
      <c r="O995" s="24" t="n"/>
      <c r="P995" s="24" t="n"/>
      <c r="Q995" s="22">
        <f>IF($D995="","",IF(AND(OR(DANH_MUC!$L$5&lt;&gt;"Có",M995="Có"),OR(DANH_MUC!$L$6&lt;&gt;"Có",N995="Có"),OR(DANH_MUC!$L$7&lt;&gt;"Có",O995="Có"),OR(DANH_MUC!$L$8&lt;&gt;"Có",P995="Có")),"Có","Không"))</f>
        <v/>
      </c>
      <c r="R995" s="22">
        <f>IF($D995="","",IF(COUNTIF($D$2:$D995,$D995)&gt;1,"Trùng",""))</f>
        <v/>
      </c>
      <c r="S995" s="22">
        <f>IF($D995="","",IF(AND(LEN($D995)=10,LEFT($D995,1)="0",ISNUMBER(--$D995)),"Có","Không"))</f>
        <v/>
      </c>
      <c r="T995" s="22">
        <f>IF($D995="","",IF(AND($C995&lt;&gt;"",$Q995="Có",$R995="",$S995="Có",AND($L995&lt;&gt;"",OR($L995&lt;&gt;"Chưa xác định",DANH_MUC!$L$9="Có"))),"Có","Không"))</f>
        <v/>
      </c>
      <c r="U995" s="22">
        <f>IF(OR($D995="",$T995="Có"),"",IF($C995="","Thiếu họ tên; ","")&amp;IF($S995&lt;&gt;"Có","SĐT sai định dạng; ","")&amp;IF($R995="Trùng","Trùng SĐT; ","")&amp;IF($Q995&lt;&gt;"Có","Thiếu đồng ý bắt buộc; ","")&amp;IF($L995="","Thiếu/sai Mã REF; ",IF(AND($L995="Chưa xác định",DANH_MUC!$L$9&lt;&gt;"Có"),"Nguồn chưa xác định; ","")))</f>
        <v/>
      </c>
      <c r="V995" s="22">
        <f>IF(OR($D995="",$R995="Trùng"),"",IF(COUNTIF(ORDERS!$C$2:$C$4995,$D995)&gt;0,"Có","Không"))</f>
        <v/>
      </c>
      <c r="W995" s="22">
        <f>IF(OR($D995="",$R995="Trùng"),"",COUNTIFS(ORDERS!$C$2:$C$4995,$D995,ORDERS!$L$2:$L$4995,"Đã chuyển khoản"))</f>
        <v/>
      </c>
      <c r="X995" s="23">
        <f>IF(OR($D995="",$R995="Trùng"),"",SUMIFS(ORDERS!$J$2:$J$4995,ORDERS!$C$2:$C$4995,$D995,ORDERS!$L$2:$L$4995,"Đã chuyển khoản"))</f>
        <v/>
      </c>
      <c r="Y995" s="24" t="n"/>
    </row>
    <row r="996" ht="14.25" customHeight="1" s="40">
      <c r="A996" s="24" t="n"/>
      <c r="B996" s="27" t="n"/>
      <c r="C996" s="24" t="n"/>
      <c r="D996" s="28" t="n"/>
      <c r="E996" s="29" t="n"/>
      <c r="F996" s="24" t="n"/>
      <c r="G996" s="24" t="n"/>
      <c r="H996" s="21">
        <f>IF(ISNUMBER($B996),INT($B996)-WEEKDAY($B996,2)+1,"")</f>
        <v/>
      </c>
      <c r="I996" s="24" t="n"/>
      <c r="J996" s="22">
        <f t="array" ref="J996">IF($D996="","",IF($I996="","(trống REF)",IFERROR(INDEX(MASTER_SOURCE!$B$2:$B$495,MATCH($I996,MASTER_SOURCE!$A$2:$A$495,0)),"(REF không có trong MASTER_SOURCE)")))</f>
        <v/>
      </c>
      <c r="K996" s="22">
        <f t="array" ref="K996">IF($D996="","",IFERROR(INDEX(MASTER_SOURCE!$C$2:$C$495,MATCH($I996,MASTER_SOURCE!$A$2:$A$495,0)),""))</f>
        <v/>
      </c>
      <c r="L996" s="22">
        <f t="array" ref="L996">IF($D996="","",IFERROR(INDEX(MASTER_SOURCE!$D$2:$D$495,MATCH($I996,MASTER_SOURCE!$A$2:$A$495,0)),""))</f>
        <v/>
      </c>
      <c r="M996" s="24" t="n"/>
      <c r="N996" s="24" t="n"/>
      <c r="O996" s="24" t="n"/>
      <c r="P996" s="24" t="n"/>
      <c r="Q996" s="22">
        <f>IF($D996="","",IF(AND(OR(DANH_MUC!$L$5&lt;&gt;"Có",M996="Có"),OR(DANH_MUC!$L$6&lt;&gt;"Có",N996="Có"),OR(DANH_MUC!$L$7&lt;&gt;"Có",O996="Có"),OR(DANH_MUC!$L$8&lt;&gt;"Có",P996="Có")),"Có","Không"))</f>
        <v/>
      </c>
      <c r="R996" s="22">
        <f>IF($D996="","",IF(COUNTIF($D$2:$D996,$D996)&gt;1,"Trùng",""))</f>
        <v/>
      </c>
      <c r="S996" s="22">
        <f>IF($D996="","",IF(AND(LEN($D996)=10,LEFT($D996,1)="0",ISNUMBER(--$D996)),"Có","Không"))</f>
        <v/>
      </c>
      <c r="T996" s="22">
        <f>IF($D996="","",IF(AND($C996&lt;&gt;"",$Q996="Có",$R996="",$S996="Có",AND($L996&lt;&gt;"",OR($L996&lt;&gt;"Chưa xác định",DANH_MUC!$L$9="Có"))),"Có","Không"))</f>
        <v/>
      </c>
      <c r="U996" s="22">
        <f>IF(OR($D996="",$T996="Có"),"",IF($C996="","Thiếu họ tên; ","")&amp;IF($S996&lt;&gt;"Có","SĐT sai định dạng; ","")&amp;IF($R996="Trùng","Trùng SĐT; ","")&amp;IF($Q996&lt;&gt;"Có","Thiếu đồng ý bắt buộc; ","")&amp;IF($L996="","Thiếu/sai Mã REF; ",IF(AND($L996="Chưa xác định",DANH_MUC!$L$9&lt;&gt;"Có"),"Nguồn chưa xác định; ","")))</f>
        <v/>
      </c>
      <c r="V996" s="22">
        <f>IF(OR($D996="",$R996="Trùng"),"",IF(COUNTIF(ORDERS!$C$2:$C$4995,$D996)&gt;0,"Có","Không"))</f>
        <v/>
      </c>
      <c r="W996" s="22">
        <f>IF(OR($D996="",$R996="Trùng"),"",COUNTIFS(ORDERS!$C$2:$C$4995,$D996,ORDERS!$L$2:$L$4995,"Đã chuyển khoản"))</f>
        <v/>
      </c>
      <c r="X996" s="23">
        <f>IF(OR($D996="",$R996="Trùng"),"",SUMIFS(ORDERS!$J$2:$J$4995,ORDERS!$C$2:$C$4995,$D996,ORDERS!$L$2:$L$4995,"Đã chuyển khoản"))</f>
        <v/>
      </c>
      <c r="Y996" s="24" t="n"/>
    </row>
    <row r="997" ht="14.25" customHeight="1" s="40">
      <c r="A997" s="24" t="n"/>
      <c r="B997" s="27" t="n"/>
      <c r="C997" s="24" t="n"/>
      <c r="D997" s="28" t="n"/>
      <c r="E997" s="29" t="n"/>
      <c r="F997" s="24" t="n"/>
      <c r="G997" s="24" t="n"/>
      <c r="H997" s="21">
        <f>IF(ISNUMBER($B997),INT($B997)-WEEKDAY($B997,2)+1,"")</f>
        <v/>
      </c>
      <c r="I997" s="24" t="n"/>
      <c r="J997" s="22">
        <f t="array" ref="J997">IF($D997="","",IF($I997="","(trống REF)",IFERROR(INDEX(MASTER_SOURCE!$B$2:$B$495,MATCH($I997,MASTER_SOURCE!$A$2:$A$495,0)),"(REF không có trong MASTER_SOURCE)")))</f>
        <v/>
      </c>
      <c r="K997" s="22">
        <f t="array" ref="K997">IF($D997="","",IFERROR(INDEX(MASTER_SOURCE!$C$2:$C$495,MATCH($I997,MASTER_SOURCE!$A$2:$A$495,0)),""))</f>
        <v/>
      </c>
      <c r="L997" s="22">
        <f t="array" ref="L997">IF($D997="","",IFERROR(INDEX(MASTER_SOURCE!$D$2:$D$495,MATCH($I997,MASTER_SOURCE!$A$2:$A$495,0)),""))</f>
        <v/>
      </c>
      <c r="M997" s="24" t="n"/>
      <c r="N997" s="24" t="n"/>
      <c r="O997" s="24" t="n"/>
      <c r="P997" s="24" t="n"/>
      <c r="Q997" s="22">
        <f>IF($D997="","",IF(AND(OR(DANH_MUC!$L$5&lt;&gt;"Có",M997="Có"),OR(DANH_MUC!$L$6&lt;&gt;"Có",N997="Có"),OR(DANH_MUC!$L$7&lt;&gt;"Có",O997="Có"),OR(DANH_MUC!$L$8&lt;&gt;"Có",P997="Có")),"Có","Không"))</f>
        <v/>
      </c>
      <c r="R997" s="22">
        <f>IF($D997="","",IF(COUNTIF($D$2:$D997,$D997)&gt;1,"Trùng",""))</f>
        <v/>
      </c>
      <c r="S997" s="22">
        <f>IF($D997="","",IF(AND(LEN($D997)=10,LEFT($D997,1)="0",ISNUMBER(--$D997)),"Có","Không"))</f>
        <v/>
      </c>
      <c r="T997" s="22">
        <f>IF($D997="","",IF(AND($C997&lt;&gt;"",$Q997="Có",$R997="",$S997="Có",AND($L997&lt;&gt;"",OR($L997&lt;&gt;"Chưa xác định",DANH_MUC!$L$9="Có"))),"Có","Không"))</f>
        <v/>
      </c>
      <c r="U997" s="22">
        <f>IF(OR($D997="",$T997="Có"),"",IF($C997="","Thiếu họ tên; ","")&amp;IF($S997&lt;&gt;"Có","SĐT sai định dạng; ","")&amp;IF($R997="Trùng","Trùng SĐT; ","")&amp;IF($Q997&lt;&gt;"Có","Thiếu đồng ý bắt buộc; ","")&amp;IF($L997="","Thiếu/sai Mã REF; ",IF(AND($L997="Chưa xác định",DANH_MUC!$L$9&lt;&gt;"Có"),"Nguồn chưa xác định; ","")))</f>
        <v/>
      </c>
      <c r="V997" s="22">
        <f>IF(OR($D997="",$R997="Trùng"),"",IF(COUNTIF(ORDERS!$C$2:$C$4995,$D997)&gt;0,"Có","Không"))</f>
        <v/>
      </c>
      <c r="W997" s="22">
        <f>IF(OR($D997="",$R997="Trùng"),"",COUNTIFS(ORDERS!$C$2:$C$4995,$D997,ORDERS!$L$2:$L$4995,"Đã chuyển khoản"))</f>
        <v/>
      </c>
      <c r="X997" s="23">
        <f>IF(OR($D997="",$R997="Trùng"),"",SUMIFS(ORDERS!$J$2:$J$4995,ORDERS!$C$2:$C$4995,$D997,ORDERS!$L$2:$L$4995,"Đã chuyển khoản"))</f>
        <v/>
      </c>
      <c r="Y997" s="24" t="n"/>
    </row>
    <row r="998" ht="14.25" customHeight="1" s="40">
      <c r="A998" s="24" t="n"/>
      <c r="B998" s="27" t="n"/>
      <c r="C998" s="24" t="n"/>
      <c r="D998" s="28" t="n"/>
      <c r="E998" s="29" t="n"/>
      <c r="F998" s="24" t="n"/>
      <c r="G998" s="24" t="n"/>
      <c r="H998" s="21">
        <f>IF(ISNUMBER($B998),INT($B998)-WEEKDAY($B998,2)+1,"")</f>
        <v/>
      </c>
      <c r="I998" s="24" t="n"/>
      <c r="J998" s="22">
        <f t="array" ref="J998">IF($D998="","",IF($I998="","(trống REF)",IFERROR(INDEX(MASTER_SOURCE!$B$2:$B$495,MATCH($I998,MASTER_SOURCE!$A$2:$A$495,0)),"(REF không có trong MASTER_SOURCE)")))</f>
        <v/>
      </c>
      <c r="K998" s="22">
        <f t="array" ref="K998">IF($D998="","",IFERROR(INDEX(MASTER_SOURCE!$C$2:$C$495,MATCH($I998,MASTER_SOURCE!$A$2:$A$495,0)),""))</f>
        <v/>
      </c>
      <c r="L998" s="22">
        <f t="array" ref="L998">IF($D998="","",IFERROR(INDEX(MASTER_SOURCE!$D$2:$D$495,MATCH($I998,MASTER_SOURCE!$A$2:$A$495,0)),""))</f>
        <v/>
      </c>
      <c r="M998" s="24" t="n"/>
      <c r="N998" s="24" t="n"/>
      <c r="O998" s="24" t="n"/>
      <c r="P998" s="24" t="n"/>
      <c r="Q998" s="22">
        <f>IF($D998="","",IF(AND(OR(DANH_MUC!$L$5&lt;&gt;"Có",M998="Có"),OR(DANH_MUC!$L$6&lt;&gt;"Có",N998="Có"),OR(DANH_MUC!$L$7&lt;&gt;"Có",O998="Có"),OR(DANH_MUC!$L$8&lt;&gt;"Có",P998="Có")),"Có","Không"))</f>
        <v/>
      </c>
      <c r="R998" s="22">
        <f>IF($D998="","",IF(COUNTIF($D$2:$D998,$D998)&gt;1,"Trùng",""))</f>
        <v/>
      </c>
      <c r="S998" s="22">
        <f>IF($D998="","",IF(AND(LEN($D998)=10,LEFT($D998,1)="0",ISNUMBER(--$D998)),"Có","Không"))</f>
        <v/>
      </c>
      <c r="T998" s="22">
        <f>IF($D998="","",IF(AND($C998&lt;&gt;"",$Q998="Có",$R998="",$S998="Có",AND($L998&lt;&gt;"",OR($L998&lt;&gt;"Chưa xác định",DANH_MUC!$L$9="Có"))),"Có","Không"))</f>
        <v/>
      </c>
      <c r="U998" s="22">
        <f>IF(OR($D998="",$T998="Có"),"",IF($C998="","Thiếu họ tên; ","")&amp;IF($S998&lt;&gt;"Có","SĐT sai định dạng; ","")&amp;IF($R998="Trùng","Trùng SĐT; ","")&amp;IF($Q998&lt;&gt;"Có","Thiếu đồng ý bắt buộc; ","")&amp;IF($L998="","Thiếu/sai Mã REF; ",IF(AND($L998="Chưa xác định",DANH_MUC!$L$9&lt;&gt;"Có"),"Nguồn chưa xác định; ","")))</f>
        <v/>
      </c>
      <c r="V998" s="22">
        <f>IF(OR($D998="",$R998="Trùng"),"",IF(COUNTIF(ORDERS!$C$2:$C$4995,$D998)&gt;0,"Có","Không"))</f>
        <v/>
      </c>
      <c r="W998" s="22">
        <f>IF(OR($D998="",$R998="Trùng"),"",COUNTIFS(ORDERS!$C$2:$C$4995,$D998,ORDERS!$L$2:$L$4995,"Đã chuyển khoản"))</f>
        <v/>
      </c>
      <c r="X998" s="23">
        <f>IF(OR($D998="",$R998="Trùng"),"",SUMIFS(ORDERS!$J$2:$J$4995,ORDERS!$C$2:$C$4995,$D998,ORDERS!$L$2:$L$4995,"Đã chuyển khoản"))</f>
        <v/>
      </c>
      <c r="Y998" s="24" t="n"/>
    </row>
    <row r="999" ht="14.25" customHeight="1" s="40">
      <c r="A999" s="24" t="n"/>
      <c r="B999" s="27" t="n"/>
      <c r="C999" s="24" t="n"/>
      <c r="D999" s="28" t="n"/>
      <c r="E999" s="29" t="n"/>
      <c r="F999" s="24" t="n"/>
      <c r="G999" s="24" t="n"/>
      <c r="H999" s="21">
        <f>IF(ISNUMBER($B999),INT($B999)-WEEKDAY($B999,2)+1,"")</f>
        <v/>
      </c>
      <c r="I999" s="24" t="n"/>
      <c r="J999" s="22">
        <f t="array" ref="J999">IF($D999="","",IF($I999="","(trống REF)",IFERROR(INDEX(MASTER_SOURCE!$B$2:$B$495,MATCH($I999,MASTER_SOURCE!$A$2:$A$495,0)),"(REF không có trong MASTER_SOURCE)")))</f>
        <v/>
      </c>
      <c r="K999" s="22">
        <f t="array" ref="K999">IF($D999="","",IFERROR(INDEX(MASTER_SOURCE!$C$2:$C$495,MATCH($I999,MASTER_SOURCE!$A$2:$A$495,0)),""))</f>
        <v/>
      </c>
      <c r="L999" s="22">
        <f t="array" ref="L999">IF($D999="","",IFERROR(INDEX(MASTER_SOURCE!$D$2:$D$495,MATCH($I999,MASTER_SOURCE!$A$2:$A$495,0)),""))</f>
        <v/>
      </c>
      <c r="M999" s="24" t="n"/>
      <c r="N999" s="24" t="n"/>
      <c r="O999" s="24" t="n"/>
      <c r="P999" s="24" t="n"/>
      <c r="Q999" s="22">
        <f>IF($D999="","",IF(AND(OR(DANH_MUC!$L$5&lt;&gt;"Có",M999="Có"),OR(DANH_MUC!$L$6&lt;&gt;"Có",N999="Có"),OR(DANH_MUC!$L$7&lt;&gt;"Có",O999="Có"),OR(DANH_MUC!$L$8&lt;&gt;"Có",P999="Có")),"Có","Không"))</f>
        <v/>
      </c>
      <c r="R999" s="22">
        <f>IF($D999="","",IF(COUNTIF($D$2:$D999,$D999)&gt;1,"Trùng",""))</f>
        <v/>
      </c>
      <c r="S999" s="22">
        <f>IF($D999="","",IF(AND(LEN($D999)=10,LEFT($D999,1)="0",ISNUMBER(--$D999)),"Có","Không"))</f>
        <v/>
      </c>
      <c r="T999" s="22">
        <f>IF($D999="","",IF(AND($C999&lt;&gt;"",$Q999="Có",$R999="",$S999="Có",AND($L999&lt;&gt;"",OR($L999&lt;&gt;"Chưa xác định",DANH_MUC!$L$9="Có"))),"Có","Không"))</f>
        <v/>
      </c>
      <c r="U999" s="22">
        <f>IF(OR($D999="",$T999="Có"),"",IF($C999="","Thiếu họ tên; ","")&amp;IF($S999&lt;&gt;"Có","SĐT sai định dạng; ","")&amp;IF($R999="Trùng","Trùng SĐT; ","")&amp;IF($Q999&lt;&gt;"Có","Thiếu đồng ý bắt buộc; ","")&amp;IF($L999="","Thiếu/sai Mã REF; ",IF(AND($L999="Chưa xác định",DANH_MUC!$L$9&lt;&gt;"Có"),"Nguồn chưa xác định; ","")))</f>
        <v/>
      </c>
      <c r="V999" s="22">
        <f>IF(OR($D999="",$R999="Trùng"),"",IF(COUNTIF(ORDERS!$C$2:$C$4995,$D999)&gt;0,"Có","Không"))</f>
        <v/>
      </c>
      <c r="W999" s="22">
        <f>IF(OR($D999="",$R999="Trùng"),"",COUNTIFS(ORDERS!$C$2:$C$4995,$D999,ORDERS!$L$2:$L$4995,"Đã chuyển khoản"))</f>
        <v/>
      </c>
      <c r="X999" s="23">
        <f>IF(OR($D999="",$R999="Trùng"),"",SUMIFS(ORDERS!$J$2:$J$4995,ORDERS!$C$2:$C$4995,$D999,ORDERS!$L$2:$L$4995,"Đã chuyển khoản"))</f>
        <v/>
      </c>
      <c r="Y999" s="24" t="n"/>
    </row>
    <row r="1000" ht="14.25" customHeight="1" s="40">
      <c r="A1000" s="24" t="n"/>
      <c r="B1000" s="27" t="n"/>
      <c r="C1000" s="24" t="n"/>
      <c r="D1000" s="28" t="n"/>
      <c r="E1000" s="29" t="n"/>
      <c r="F1000" s="24" t="n"/>
      <c r="G1000" s="24" t="n"/>
      <c r="H1000" s="21">
        <f>IF(ISNUMBER($B1000),INT($B1000)-WEEKDAY($B1000,2)+1,"")</f>
        <v/>
      </c>
      <c r="I1000" s="24" t="n"/>
      <c r="J1000" s="22">
        <f t="array" ref="J1000">IF($D1000="","",IF($I1000="","(trống REF)",IFERROR(INDEX(MASTER_SOURCE!$B$2:$B$495,MATCH($I1000,MASTER_SOURCE!$A$2:$A$495,0)),"(REF không có trong MASTER_SOURCE)")))</f>
        <v/>
      </c>
      <c r="K1000" s="22">
        <f t="array" ref="K1000">IF($D1000="","",IFERROR(INDEX(MASTER_SOURCE!$C$2:$C$495,MATCH($I1000,MASTER_SOURCE!$A$2:$A$495,0)),""))</f>
        <v/>
      </c>
      <c r="L1000" s="22">
        <f t="array" ref="L1000">IF($D1000="","",IFERROR(INDEX(MASTER_SOURCE!$D$2:$D$495,MATCH($I1000,MASTER_SOURCE!$A$2:$A$495,0)),""))</f>
        <v/>
      </c>
      <c r="M1000" s="24" t="n"/>
      <c r="N1000" s="24" t="n"/>
      <c r="O1000" s="24" t="n"/>
      <c r="P1000" s="24" t="n"/>
      <c r="Q1000" s="22">
        <f>IF($D1000="","",IF(AND(OR(DANH_MUC!$L$5&lt;&gt;"Có",M1000="Có"),OR(DANH_MUC!$L$6&lt;&gt;"Có",N1000="Có"),OR(DANH_MUC!$L$7&lt;&gt;"Có",O1000="Có"),OR(DANH_MUC!$L$8&lt;&gt;"Có",P1000="Có")),"Có","Không"))</f>
        <v/>
      </c>
      <c r="R1000" s="22">
        <f>IF($D1000="","",IF(COUNTIF($D$2:$D1000,$D1000)&gt;1,"Trùng",""))</f>
        <v/>
      </c>
      <c r="S1000" s="22">
        <f>IF($D1000="","",IF(AND(LEN($D1000)=10,LEFT($D1000,1)="0",ISNUMBER(--$D1000)),"Có","Không"))</f>
        <v/>
      </c>
      <c r="T1000" s="22">
        <f>IF($D1000="","",IF(AND($C1000&lt;&gt;"",$Q1000="Có",$R1000="",$S1000="Có",AND($L1000&lt;&gt;"",OR($L1000&lt;&gt;"Chưa xác định",DANH_MUC!$L$9="Có"))),"Có","Không"))</f>
        <v/>
      </c>
      <c r="U1000" s="22">
        <f>IF(OR($D1000="",$T1000="Có"),"",IF($C1000="","Thiếu họ tên; ","")&amp;IF($S1000&lt;&gt;"Có","SĐT sai định dạng; ","")&amp;IF($R1000="Trùng","Trùng SĐT; ","")&amp;IF($Q1000&lt;&gt;"Có","Thiếu đồng ý bắt buộc; ","")&amp;IF($L1000="","Thiếu/sai Mã REF; ",IF(AND($L1000="Chưa xác định",DANH_MUC!$L$9&lt;&gt;"Có"),"Nguồn chưa xác định; ","")))</f>
        <v/>
      </c>
      <c r="V1000" s="22">
        <f>IF(OR($D1000="",$R1000="Trùng"),"",IF(COUNTIF(ORDERS!$C$2:$C$4995,$D1000)&gt;0,"Có","Không"))</f>
        <v/>
      </c>
      <c r="W1000" s="22">
        <f>IF(OR($D1000="",$R1000="Trùng"),"",COUNTIFS(ORDERS!$C$2:$C$4995,$D1000,ORDERS!$L$2:$L$4995,"Đã chuyển khoản"))</f>
        <v/>
      </c>
      <c r="X1000" s="23">
        <f>IF(OR($D1000="",$R1000="Trùng"),"",SUMIFS(ORDERS!$J$2:$J$4995,ORDERS!$C$2:$C$4995,$D1000,ORDERS!$L$2:$L$4995,"Đã chuyển khoản"))</f>
        <v/>
      </c>
      <c r="Y1000" s="24" t="n"/>
    </row>
    <row r="1001" ht="14.25" customHeight="1" s="40">
      <c r="A1001" s="24" t="n"/>
      <c r="B1001" s="27" t="n"/>
      <c r="C1001" s="24" t="n"/>
      <c r="D1001" s="28" t="n"/>
      <c r="E1001" s="29" t="n"/>
      <c r="F1001" s="24" t="n"/>
      <c r="G1001" s="24" t="n"/>
      <c r="H1001" s="21">
        <f>IF(ISNUMBER($B1001),INT($B1001)-WEEKDAY($B1001,2)+1,"")</f>
        <v/>
      </c>
      <c r="I1001" s="24" t="n"/>
      <c r="J1001" s="22">
        <f t="array" ref="J1001">IF($D1001="","",IF($I1001="","(trống REF)",IFERROR(INDEX(MASTER_SOURCE!$B$2:$B$495,MATCH($I1001,MASTER_SOURCE!$A$2:$A$495,0)),"(REF không có trong MASTER_SOURCE)")))</f>
        <v/>
      </c>
      <c r="K1001" s="22">
        <f t="array" ref="K1001">IF($D1001="","",IFERROR(INDEX(MASTER_SOURCE!$C$2:$C$495,MATCH($I1001,MASTER_SOURCE!$A$2:$A$495,0)),""))</f>
        <v/>
      </c>
      <c r="L1001" s="22">
        <f t="array" ref="L1001">IF($D1001="","",IFERROR(INDEX(MASTER_SOURCE!$D$2:$D$495,MATCH($I1001,MASTER_SOURCE!$A$2:$A$495,0)),""))</f>
        <v/>
      </c>
      <c r="M1001" s="24" t="n"/>
      <c r="N1001" s="24" t="n"/>
      <c r="O1001" s="24" t="n"/>
      <c r="P1001" s="24" t="n"/>
      <c r="Q1001" s="22">
        <f>IF($D1001="","",IF(AND(OR(DANH_MUC!$L$5&lt;&gt;"Có",M1001="Có"),OR(DANH_MUC!$L$6&lt;&gt;"Có",N1001="Có"),OR(DANH_MUC!$L$7&lt;&gt;"Có",O1001="Có"),OR(DANH_MUC!$L$8&lt;&gt;"Có",P1001="Có")),"Có","Không"))</f>
        <v/>
      </c>
      <c r="R1001" s="22">
        <f>IF($D1001="","",IF(COUNTIF($D$2:$D1001,$D1001)&gt;1,"Trùng",""))</f>
        <v/>
      </c>
      <c r="S1001" s="22">
        <f>IF($D1001="","",IF(AND(LEN($D1001)=10,LEFT($D1001,1)="0",ISNUMBER(--$D1001)),"Có","Không"))</f>
        <v/>
      </c>
      <c r="T1001" s="22">
        <f>IF($D1001="","",IF(AND($C1001&lt;&gt;"",$Q1001="Có",$R1001="",$S1001="Có",AND($L1001&lt;&gt;"",OR($L1001&lt;&gt;"Chưa xác định",DANH_MUC!$L$9="Có"))),"Có","Không"))</f>
        <v/>
      </c>
      <c r="U1001" s="22">
        <f>IF(OR($D1001="",$T1001="Có"),"",IF($C1001="","Thiếu họ tên; ","")&amp;IF($S1001&lt;&gt;"Có","SĐT sai định dạng; ","")&amp;IF($R1001="Trùng","Trùng SĐT; ","")&amp;IF($Q1001&lt;&gt;"Có","Thiếu đồng ý bắt buộc; ","")&amp;IF($L1001="","Thiếu/sai Mã REF; ",IF(AND($L1001="Chưa xác định",DANH_MUC!$L$9&lt;&gt;"Có"),"Nguồn chưa xác định; ","")))</f>
        <v/>
      </c>
      <c r="V1001" s="22">
        <f>IF(OR($D1001="",$R1001="Trùng"),"",IF(COUNTIF(ORDERS!$C$2:$C$4995,$D1001)&gt;0,"Có","Không"))</f>
        <v/>
      </c>
      <c r="W1001" s="22">
        <f>IF(OR($D1001="",$R1001="Trùng"),"",COUNTIFS(ORDERS!$C$2:$C$4995,$D1001,ORDERS!$L$2:$L$4995,"Đã chuyển khoản"))</f>
        <v/>
      </c>
      <c r="X1001" s="23">
        <f>IF(OR($D1001="",$R1001="Trùng"),"",SUMIFS(ORDERS!$J$2:$J$4995,ORDERS!$C$2:$C$4995,$D1001,ORDERS!$L$2:$L$4995,"Đã chuyển khoản"))</f>
        <v/>
      </c>
      <c r="Y1001" s="24" t="n"/>
    </row>
    <row r="1002" ht="14.25" customHeight="1" s="40">
      <c r="A1002" s="24" t="n"/>
      <c r="B1002" s="27" t="n"/>
      <c r="C1002" s="24" t="n"/>
      <c r="D1002" s="28" t="n"/>
      <c r="E1002" s="29" t="n"/>
      <c r="F1002" s="24" t="n"/>
      <c r="G1002" s="24" t="n"/>
      <c r="H1002" s="21">
        <f>IF(ISNUMBER($B1002),INT($B1002)-WEEKDAY($B1002,2)+1,"")</f>
        <v/>
      </c>
      <c r="I1002" s="24" t="n"/>
      <c r="J1002" s="22">
        <f t="array" ref="J1002">IF($D1002="","",IF($I1002="","(trống REF)",IFERROR(INDEX(MASTER_SOURCE!$B$2:$B$495,MATCH($I1002,MASTER_SOURCE!$A$2:$A$495,0)),"(REF không có trong MASTER_SOURCE)")))</f>
        <v/>
      </c>
      <c r="K1002" s="22">
        <f t="array" ref="K1002">IF($D1002="","",IFERROR(INDEX(MASTER_SOURCE!$C$2:$C$495,MATCH($I1002,MASTER_SOURCE!$A$2:$A$495,0)),""))</f>
        <v/>
      </c>
      <c r="L1002" s="22">
        <f t="array" ref="L1002">IF($D1002="","",IFERROR(INDEX(MASTER_SOURCE!$D$2:$D$495,MATCH($I1002,MASTER_SOURCE!$A$2:$A$495,0)),""))</f>
        <v/>
      </c>
      <c r="M1002" s="24" t="n"/>
      <c r="N1002" s="24" t="n"/>
      <c r="O1002" s="24" t="n"/>
      <c r="P1002" s="24" t="n"/>
      <c r="Q1002" s="22">
        <f>IF($D1002="","",IF(AND(OR(DANH_MUC!$L$5&lt;&gt;"Có",M1002="Có"),OR(DANH_MUC!$L$6&lt;&gt;"Có",N1002="Có"),OR(DANH_MUC!$L$7&lt;&gt;"Có",O1002="Có"),OR(DANH_MUC!$L$8&lt;&gt;"Có",P1002="Có")),"Có","Không"))</f>
        <v/>
      </c>
      <c r="R1002" s="22">
        <f>IF($D1002="","",IF(COUNTIF($D$2:$D1002,$D1002)&gt;1,"Trùng",""))</f>
        <v/>
      </c>
      <c r="S1002" s="22">
        <f>IF($D1002="","",IF(AND(LEN($D1002)=10,LEFT($D1002,1)="0",ISNUMBER(--$D1002)),"Có","Không"))</f>
        <v/>
      </c>
      <c r="T1002" s="22">
        <f>IF($D1002="","",IF(AND($C1002&lt;&gt;"",$Q1002="Có",$R1002="",$S1002="Có",AND($L1002&lt;&gt;"",OR($L1002&lt;&gt;"Chưa xác định",DANH_MUC!$L$9="Có"))),"Có","Không"))</f>
        <v/>
      </c>
      <c r="U1002" s="22">
        <f>IF(OR($D1002="",$T1002="Có"),"",IF($C1002="","Thiếu họ tên; ","")&amp;IF($S1002&lt;&gt;"Có","SĐT sai định dạng; ","")&amp;IF($R1002="Trùng","Trùng SĐT; ","")&amp;IF($Q1002&lt;&gt;"Có","Thiếu đồng ý bắt buộc; ","")&amp;IF($L1002="","Thiếu/sai Mã REF; ",IF(AND($L1002="Chưa xác định",DANH_MUC!$L$9&lt;&gt;"Có"),"Nguồn chưa xác định; ","")))</f>
        <v/>
      </c>
      <c r="V1002" s="22">
        <f>IF(OR($D1002="",$R1002="Trùng"),"",IF(COUNTIF(ORDERS!$C$2:$C$4995,$D1002)&gt;0,"Có","Không"))</f>
        <v/>
      </c>
      <c r="W1002" s="22">
        <f>IF(OR($D1002="",$R1002="Trùng"),"",COUNTIFS(ORDERS!$C$2:$C$4995,$D1002,ORDERS!$L$2:$L$4995,"Đã chuyển khoản"))</f>
        <v/>
      </c>
      <c r="X1002" s="23">
        <f>IF(OR($D1002="",$R1002="Trùng"),"",SUMIFS(ORDERS!$J$2:$J$4995,ORDERS!$C$2:$C$4995,$D1002,ORDERS!$L$2:$L$4995,"Đã chuyển khoản"))</f>
        <v/>
      </c>
      <c r="Y1002" s="24" t="n"/>
    </row>
    <row r="1003" ht="14.25" customHeight="1" s="40">
      <c r="A1003" s="24" t="n"/>
      <c r="B1003" s="27" t="n"/>
      <c r="C1003" s="24" t="n"/>
      <c r="D1003" s="28" t="n"/>
      <c r="E1003" s="29" t="n"/>
      <c r="F1003" s="24" t="n"/>
      <c r="G1003" s="24" t="n"/>
      <c r="H1003" s="21">
        <f>IF(ISNUMBER($B1003),INT($B1003)-WEEKDAY($B1003,2)+1,"")</f>
        <v/>
      </c>
      <c r="I1003" s="24" t="n"/>
      <c r="J1003" s="22">
        <f t="array" ref="J1003">IF($D1003="","",IF($I1003="","(trống REF)",IFERROR(INDEX(MASTER_SOURCE!$B$2:$B$495,MATCH($I1003,MASTER_SOURCE!$A$2:$A$495,0)),"(REF không có trong MASTER_SOURCE)")))</f>
        <v/>
      </c>
      <c r="K1003" s="22">
        <f t="array" ref="K1003">IF($D1003="","",IFERROR(INDEX(MASTER_SOURCE!$C$2:$C$495,MATCH($I1003,MASTER_SOURCE!$A$2:$A$495,0)),""))</f>
        <v/>
      </c>
      <c r="L1003" s="22">
        <f t="array" ref="L1003">IF($D1003="","",IFERROR(INDEX(MASTER_SOURCE!$D$2:$D$495,MATCH($I1003,MASTER_SOURCE!$A$2:$A$495,0)),""))</f>
        <v/>
      </c>
      <c r="M1003" s="24" t="n"/>
      <c r="N1003" s="24" t="n"/>
      <c r="O1003" s="24" t="n"/>
      <c r="P1003" s="24" t="n"/>
      <c r="Q1003" s="22">
        <f>IF($D1003="","",IF(AND(OR(DANH_MUC!$L$5&lt;&gt;"Có",M1003="Có"),OR(DANH_MUC!$L$6&lt;&gt;"Có",N1003="Có"),OR(DANH_MUC!$L$7&lt;&gt;"Có",O1003="Có"),OR(DANH_MUC!$L$8&lt;&gt;"Có",P1003="Có")),"Có","Không"))</f>
        <v/>
      </c>
      <c r="R1003" s="22">
        <f>IF($D1003="","",IF(COUNTIF($D$2:$D1003,$D1003)&gt;1,"Trùng",""))</f>
        <v/>
      </c>
      <c r="S1003" s="22">
        <f>IF($D1003="","",IF(AND(LEN($D1003)=10,LEFT($D1003,1)="0",ISNUMBER(--$D1003)),"Có","Không"))</f>
        <v/>
      </c>
      <c r="T1003" s="22">
        <f>IF($D1003="","",IF(AND($C1003&lt;&gt;"",$Q1003="Có",$R1003="",$S1003="Có",AND($L1003&lt;&gt;"",OR($L1003&lt;&gt;"Chưa xác định",DANH_MUC!$L$9="Có"))),"Có","Không"))</f>
        <v/>
      </c>
      <c r="U1003" s="22">
        <f>IF(OR($D1003="",$T1003="Có"),"",IF($C1003="","Thiếu họ tên; ","")&amp;IF($S1003&lt;&gt;"Có","SĐT sai định dạng; ","")&amp;IF($R1003="Trùng","Trùng SĐT; ","")&amp;IF($Q1003&lt;&gt;"Có","Thiếu đồng ý bắt buộc; ","")&amp;IF($L1003="","Thiếu/sai Mã REF; ",IF(AND($L1003="Chưa xác định",DANH_MUC!$L$9&lt;&gt;"Có"),"Nguồn chưa xác định; ","")))</f>
        <v/>
      </c>
      <c r="V1003" s="22">
        <f>IF(OR($D1003="",$R1003="Trùng"),"",IF(COUNTIF(ORDERS!$C$2:$C$4995,$D1003)&gt;0,"Có","Không"))</f>
        <v/>
      </c>
      <c r="W1003" s="22">
        <f>IF(OR($D1003="",$R1003="Trùng"),"",COUNTIFS(ORDERS!$C$2:$C$4995,$D1003,ORDERS!$L$2:$L$4995,"Đã chuyển khoản"))</f>
        <v/>
      </c>
      <c r="X1003" s="23">
        <f>IF(OR($D1003="",$R1003="Trùng"),"",SUMIFS(ORDERS!$J$2:$J$4995,ORDERS!$C$2:$C$4995,$D1003,ORDERS!$L$2:$L$4995,"Đã chuyển khoản"))</f>
        <v/>
      </c>
      <c r="Y1003" s="24" t="n"/>
    </row>
    <row r="1004" ht="14.25" customHeight="1" s="40">
      <c r="A1004" s="24" t="n"/>
      <c r="B1004" s="27" t="n"/>
      <c r="C1004" s="24" t="n"/>
      <c r="D1004" s="28" t="n"/>
      <c r="E1004" s="29" t="n"/>
      <c r="F1004" s="24" t="n"/>
      <c r="G1004" s="24" t="n"/>
      <c r="H1004" s="21">
        <f>IF(ISNUMBER($B1004),INT($B1004)-WEEKDAY($B1004,2)+1,"")</f>
        <v/>
      </c>
      <c r="I1004" s="24" t="n"/>
      <c r="J1004" s="22">
        <f t="array" ref="J1004">IF($D1004="","",IF($I1004="","(trống REF)",IFERROR(INDEX(MASTER_SOURCE!$B$2:$B$495,MATCH($I1004,MASTER_SOURCE!$A$2:$A$495,0)),"(REF không có trong MASTER_SOURCE)")))</f>
        <v/>
      </c>
      <c r="K1004" s="22">
        <f t="array" ref="K1004">IF($D1004="","",IFERROR(INDEX(MASTER_SOURCE!$C$2:$C$495,MATCH($I1004,MASTER_SOURCE!$A$2:$A$495,0)),""))</f>
        <v/>
      </c>
      <c r="L1004" s="22">
        <f t="array" ref="L1004">IF($D1004="","",IFERROR(INDEX(MASTER_SOURCE!$D$2:$D$495,MATCH($I1004,MASTER_SOURCE!$A$2:$A$495,0)),""))</f>
        <v/>
      </c>
      <c r="M1004" s="24" t="n"/>
      <c r="N1004" s="24" t="n"/>
      <c r="O1004" s="24" t="n"/>
      <c r="P1004" s="24" t="n"/>
      <c r="Q1004" s="22">
        <f>IF($D1004="","",IF(AND(OR(DANH_MUC!$L$5&lt;&gt;"Có",M1004="Có"),OR(DANH_MUC!$L$6&lt;&gt;"Có",N1004="Có"),OR(DANH_MUC!$L$7&lt;&gt;"Có",O1004="Có"),OR(DANH_MUC!$L$8&lt;&gt;"Có",P1004="Có")),"Có","Không"))</f>
        <v/>
      </c>
      <c r="R1004" s="22">
        <f>IF($D1004="","",IF(COUNTIF($D$2:$D1004,$D1004)&gt;1,"Trùng",""))</f>
        <v/>
      </c>
      <c r="S1004" s="22">
        <f>IF($D1004="","",IF(AND(LEN($D1004)=10,LEFT($D1004,1)="0",ISNUMBER(--$D1004)),"Có","Không"))</f>
        <v/>
      </c>
      <c r="T1004" s="22">
        <f>IF($D1004="","",IF(AND($C1004&lt;&gt;"",$Q1004="Có",$R1004="",$S1004="Có",AND($L1004&lt;&gt;"",OR($L1004&lt;&gt;"Chưa xác định",DANH_MUC!$L$9="Có"))),"Có","Không"))</f>
        <v/>
      </c>
      <c r="U1004" s="22">
        <f>IF(OR($D1004="",$T1004="Có"),"",IF($C1004="","Thiếu họ tên; ","")&amp;IF($S1004&lt;&gt;"Có","SĐT sai định dạng; ","")&amp;IF($R1004="Trùng","Trùng SĐT; ","")&amp;IF($Q1004&lt;&gt;"Có","Thiếu đồng ý bắt buộc; ","")&amp;IF($L1004="","Thiếu/sai Mã REF; ",IF(AND($L1004="Chưa xác định",DANH_MUC!$L$9&lt;&gt;"Có"),"Nguồn chưa xác định; ","")))</f>
        <v/>
      </c>
      <c r="V1004" s="22">
        <f>IF(OR($D1004="",$R1004="Trùng"),"",IF(COUNTIF(ORDERS!$C$2:$C$4995,$D1004)&gt;0,"Có","Không"))</f>
        <v/>
      </c>
      <c r="W1004" s="22">
        <f>IF(OR($D1004="",$R1004="Trùng"),"",COUNTIFS(ORDERS!$C$2:$C$4995,$D1004,ORDERS!$L$2:$L$4995,"Đã chuyển khoản"))</f>
        <v/>
      </c>
      <c r="X1004" s="23">
        <f>IF(OR($D1004="",$R1004="Trùng"),"",SUMIFS(ORDERS!$J$2:$J$4995,ORDERS!$C$2:$C$4995,$D1004,ORDERS!$L$2:$L$4995,"Đã chuyển khoản"))</f>
        <v/>
      </c>
      <c r="Y1004" s="24" t="n"/>
    </row>
    <row r="1005" ht="14.25" customHeight="1" s="40">
      <c r="A1005" s="24" t="n"/>
      <c r="B1005" s="27" t="n"/>
      <c r="C1005" s="24" t="n"/>
      <c r="D1005" s="28" t="n"/>
      <c r="E1005" s="29" t="n"/>
      <c r="F1005" s="24" t="n"/>
      <c r="G1005" s="24" t="n"/>
      <c r="H1005" s="21">
        <f>IF(ISNUMBER($B1005),INT($B1005)-WEEKDAY($B1005,2)+1,"")</f>
        <v/>
      </c>
      <c r="I1005" s="24" t="n"/>
      <c r="J1005" s="22">
        <f t="array" ref="J1005">IF($D1005="","",IF($I1005="","(trống REF)",IFERROR(INDEX(MASTER_SOURCE!$B$2:$B$495,MATCH($I1005,MASTER_SOURCE!$A$2:$A$495,0)),"(REF không có trong MASTER_SOURCE)")))</f>
        <v/>
      </c>
      <c r="K1005" s="22">
        <f t="array" ref="K1005">IF($D1005="","",IFERROR(INDEX(MASTER_SOURCE!$C$2:$C$495,MATCH($I1005,MASTER_SOURCE!$A$2:$A$495,0)),""))</f>
        <v/>
      </c>
      <c r="L1005" s="22">
        <f t="array" ref="L1005">IF($D1005="","",IFERROR(INDEX(MASTER_SOURCE!$D$2:$D$495,MATCH($I1005,MASTER_SOURCE!$A$2:$A$495,0)),""))</f>
        <v/>
      </c>
      <c r="M1005" s="24" t="n"/>
      <c r="N1005" s="24" t="n"/>
      <c r="O1005" s="24" t="n"/>
      <c r="P1005" s="24" t="n"/>
      <c r="Q1005" s="22">
        <f>IF($D1005="","",IF(AND(OR(DANH_MUC!$L$5&lt;&gt;"Có",M1005="Có"),OR(DANH_MUC!$L$6&lt;&gt;"Có",N1005="Có"),OR(DANH_MUC!$L$7&lt;&gt;"Có",O1005="Có"),OR(DANH_MUC!$L$8&lt;&gt;"Có",P1005="Có")),"Có","Không"))</f>
        <v/>
      </c>
      <c r="R1005" s="22">
        <f>IF($D1005="","",IF(COUNTIF($D$2:$D1005,$D1005)&gt;1,"Trùng",""))</f>
        <v/>
      </c>
      <c r="S1005" s="22">
        <f>IF($D1005="","",IF(AND(LEN($D1005)=10,LEFT($D1005,1)="0",ISNUMBER(--$D1005)),"Có","Không"))</f>
        <v/>
      </c>
      <c r="T1005" s="22">
        <f>IF($D1005="","",IF(AND($C1005&lt;&gt;"",$Q1005="Có",$R1005="",$S1005="Có",AND($L1005&lt;&gt;"",OR($L1005&lt;&gt;"Chưa xác định",DANH_MUC!$L$9="Có"))),"Có","Không"))</f>
        <v/>
      </c>
      <c r="U1005" s="22">
        <f>IF(OR($D1005="",$T1005="Có"),"",IF($C1005="","Thiếu họ tên; ","")&amp;IF($S1005&lt;&gt;"Có","SĐT sai định dạng; ","")&amp;IF($R1005="Trùng","Trùng SĐT; ","")&amp;IF($Q1005&lt;&gt;"Có","Thiếu đồng ý bắt buộc; ","")&amp;IF($L1005="","Thiếu/sai Mã REF; ",IF(AND($L1005="Chưa xác định",DANH_MUC!$L$9&lt;&gt;"Có"),"Nguồn chưa xác định; ","")))</f>
        <v/>
      </c>
      <c r="V1005" s="22">
        <f>IF(OR($D1005="",$R1005="Trùng"),"",IF(COUNTIF(ORDERS!$C$2:$C$4995,$D1005)&gt;0,"Có","Không"))</f>
        <v/>
      </c>
      <c r="W1005" s="22">
        <f>IF(OR($D1005="",$R1005="Trùng"),"",COUNTIFS(ORDERS!$C$2:$C$4995,$D1005,ORDERS!$L$2:$L$4995,"Đã chuyển khoản"))</f>
        <v/>
      </c>
      <c r="X1005" s="23">
        <f>IF(OR($D1005="",$R1005="Trùng"),"",SUMIFS(ORDERS!$J$2:$J$4995,ORDERS!$C$2:$C$4995,$D1005,ORDERS!$L$2:$L$4995,"Đã chuyển khoản"))</f>
        <v/>
      </c>
      <c r="Y1005" s="24" t="n"/>
    </row>
    <row r="1006" ht="14.25" customHeight="1" s="40">
      <c r="A1006" s="24" t="n"/>
      <c r="B1006" s="27" t="n"/>
      <c r="C1006" s="24" t="n"/>
      <c r="D1006" s="28" t="n"/>
      <c r="E1006" s="29" t="n"/>
      <c r="F1006" s="24" t="n"/>
      <c r="G1006" s="24" t="n"/>
      <c r="H1006" s="21">
        <f>IF(ISNUMBER($B1006),INT($B1006)-WEEKDAY($B1006,2)+1,"")</f>
        <v/>
      </c>
      <c r="I1006" s="24" t="n"/>
      <c r="J1006" s="22">
        <f t="array" ref="J1006">IF($D1006="","",IF($I1006="","(trống REF)",IFERROR(INDEX(MASTER_SOURCE!$B$2:$B$495,MATCH($I1006,MASTER_SOURCE!$A$2:$A$495,0)),"(REF không có trong MASTER_SOURCE)")))</f>
        <v/>
      </c>
      <c r="K1006" s="22">
        <f t="array" ref="K1006">IF($D1006="","",IFERROR(INDEX(MASTER_SOURCE!$C$2:$C$495,MATCH($I1006,MASTER_SOURCE!$A$2:$A$495,0)),""))</f>
        <v/>
      </c>
      <c r="L1006" s="22">
        <f t="array" ref="L1006">IF($D1006="","",IFERROR(INDEX(MASTER_SOURCE!$D$2:$D$495,MATCH($I1006,MASTER_SOURCE!$A$2:$A$495,0)),""))</f>
        <v/>
      </c>
      <c r="M1006" s="24" t="n"/>
      <c r="N1006" s="24" t="n"/>
      <c r="O1006" s="24" t="n"/>
      <c r="P1006" s="24" t="n"/>
      <c r="Q1006" s="22">
        <f>IF($D1006="","",IF(AND(OR(DANH_MUC!$L$5&lt;&gt;"Có",M1006="Có"),OR(DANH_MUC!$L$6&lt;&gt;"Có",N1006="Có"),OR(DANH_MUC!$L$7&lt;&gt;"Có",O1006="Có"),OR(DANH_MUC!$L$8&lt;&gt;"Có",P1006="Có")),"Có","Không"))</f>
        <v/>
      </c>
      <c r="R1006" s="22">
        <f>IF($D1006="","",IF(COUNTIF($D$2:$D1006,$D1006)&gt;1,"Trùng",""))</f>
        <v/>
      </c>
      <c r="S1006" s="22">
        <f>IF($D1006="","",IF(AND(LEN($D1006)=10,LEFT($D1006,1)="0",ISNUMBER(--$D1006)),"Có","Không"))</f>
        <v/>
      </c>
      <c r="T1006" s="22">
        <f>IF($D1006="","",IF(AND($C1006&lt;&gt;"",$Q1006="Có",$R1006="",$S1006="Có",AND($L1006&lt;&gt;"",OR($L1006&lt;&gt;"Chưa xác định",DANH_MUC!$L$9="Có"))),"Có","Không"))</f>
        <v/>
      </c>
      <c r="U1006" s="22">
        <f>IF(OR($D1006="",$T1006="Có"),"",IF($C1006="","Thiếu họ tên; ","")&amp;IF($S1006&lt;&gt;"Có","SĐT sai định dạng; ","")&amp;IF($R1006="Trùng","Trùng SĐT; ","")&amp;IF($Q1006&lt;&gt;"Có","Thiếu đồng ý bắt buộc; ","")&amp;IF($L1006="","Thiếu/sai Mã REF; ",IF(AND($L1006="Chưa xác định",DANH_MUC!$L$9&lt;&gt;"Có"),"Nguồn chưa xác định; ","")))</f>
        <v/>
      </c>
      <c r="V1006" s="22">
        <f>IF(OR($D1006="",$R1006="Trùng"),"",IF(COUNTIF(ORDERS!$C$2:$C$4995,$D1006)&gt;0,"Có","Không"))</f>
        <v/>
      </c>
      <c r="W1006" s="22">
        <f>IF(OR($D1006="",$R1006="Trùng"),"",COUNTIFS(ORDERS!$C$2:$C$4995,$D1006,ORDERS!$L$2:$L$4995,"Đã chuyển khoản"))</f>
        <v/>
      </c>
      <c r="X1006" s="23">
        <f>IF(OR($D1006="",$R1006="Trùng"),"",SUMIFS(ORDERS!$J$2:$J$4995,ORDERS!$C$2:$C$4995,$D1006,ORDERS!$L$2:$L$4995,"Đã chuyển khoản"))</f>
        <v/>
      </c>
      <c r="Y1006" s="24" t="n"/>
    </row>
    <row r="1007" ht="14.25" customHeight="1" s="40">
      <c r="A1007" s="24" t="n"/>
      <c r="B1007" s="27" t="n"/>
      <c r="C1007" s="24" t="n"/>
      <c r="D1007" s="28" t="n"/>
      <c r="E1007" s="29" t="n"/>
      <c r="F1007" s="24" t="n"/>
      <c r="G1007" s="24" t="n"/>
      <c r="H1007" s="21">
        <f>IF(ISNUMBER($B1007),INT($B1007)-WEEKDAY($B1007,2)+1,"")</f>
        <v/>
      </c>
      <c r="I1007" s="24" t="n"/>
      <c r="J1007" s="22">
        <f t="array" ref="J1007">IF($D1007="","",IF($I1007="","(trống REF)",IFERROR(INDEX(MASTER_SOURCE!$B$2:$B$495,MATCH($I1007,MASTER_SOURCE!$A$2:$A$495,0)),"(REF không có trong MASTER_SOURCE)")))</f>
        <v/>
      </c>
      <c r="K1007" s="22">
        <f t="array" ref="K1007">IF($D1007="","",IFERROR(INDEX(MASTER_SOURCE!$C$2:$C$495,MATCH($I1007,MASTER_SOURCE!$A$2:$A$495,0)),""))</f>
        <v/>
      </c>
      <c r="L1007" s="22">
        <f t="array" ref="L1007">IF($D1007="","",IFERROR(INDEX(MASTER_SOURCE!$D$2:$D$495,MATCH($I1007,MASTER_SOURCE!$A$2:$A$495,0)),""))</f>
        <v/>
      </c>
      <c r="M1007" s="24" t="n"/>
      <c r="N1007" s="24" t="n"/>
      <c r="O1007" s="24" t="n"/>
      <c r="P1007" s="24" t="n"/>
      <c r="Q1007" s="22">
        <f>IF($D1007="","",IF(AND(OR(DANH_MUC!$L$5&lt;&gt;"Có",M1007="Có"),OR(DANH_MUC!$L$6&lt;&gt;"Có",N1007="Có"),OR(DANH_MUC!$L$7&lt;&gt;"Có",O1007="Có"),OR(DANH_MUC!$L$8&lt;&gt;"Có",P1007="Có")),"Có","Không"))</f>
        <v/>
      </c>
      <c r="R1007" s="22">
        <f>IF($D1007="","",IF(COUNTIF($D$2:$D1007,$D1007)&gt;1,"Trùng",""))</f>
        <v/>
      </c>
      <c r="S1007" s="22">
        <f>IF($D1007="","",IF(AND(LEN($D1007)=10,LEFT($D1007,1)="0",ISNUMBER(--$D1007)),"Có","Không"))</f>
        <v/>
      </c>
      <c r="T1007" s="22">
        <f>IF($D1007="","",IF(AND($C1007&lt;&gt;"",$Q1007="Có",$R1007="",$S1007="Có",AND($L1007&lt;&gt;"",OR($L1007&lt;&gt;"Chưa xác định",DANH_MUC!$L$9="Có"))),"Có","Không"))</f>
        <v/>
      </c>
      <c r="U1007" s="22">
        <f>IF(OR($D1007="",$T1007="Có"),"",IF($C1007="","Thiếu họ tên; ","")&amp;IF($S1007&lt;&gt;"Có","SĐT sai định dạng; ","")&amp;IF($R1007="Trùng","Trùng SĐT; ","")&amp;IF($Q1007&lt;&gt;"Có","Thiếu đồng ý bắt buộc; ","")&amp;IF($L1007="","Thiếu/sai Mã REF; ",IF(AND($L1007="Chưa xác định",DANH_MUC!$L$9&lt;&gt;"Có"),"Nguồn chưa xác định; ","")))</f>
        <v/>
      </c>
      <c r="V1007" s="22">
        <f>IF(OR($D1007="",$R1007="Trùng"),"",IF(COUNTIF(ORDERS!$C$2:$C$4995,$D1007)&gt;0,"Có","Không"))</f>
        <v/>
      </c>
      <c r="W1007" s="22">
        <f>IF(OR($D1007="",$R1007="Trùng"),"",COUNTIFS(ORDERS!$C$2:$C$4995,$D1007,ORDERS!$L$2:$L$4995,"Đã chuyển khoản"))</f>
        <v/>
      </c>
      <c r="X1007" s="23">
        <f>IF(OR($D1007="",$R1007="Trùng"),"",SUMIFS(ORDERS!$J$2:$J$4995,ORDERS!$C$2:$C$4995,$D1007,ORDERS!$L$2:$L$4995,"Đã chuyển khoản"))</f>
        <v/>
      </c>
      <c r="Y1007" s="24" t="n"/>
    </row>
    <row r="1008" ht="14.25" customHeight="1" s="40">
      <c r="A1008" s="24" t="n"/>
      <c r="B1008" s="27" t="n"/>
      <c r="C1008" s="24" t="n"/>
      <c r="D1008" s="28" t="n"/>
      <c r="E1008" s="29" t="n"/>
      <c r="F1008" s="24" t="n"/>
      <c r="G1008" s="24" t="n"/>
      <c r="H1008" s="21">
        <f>IF(ISNUMBER($B1008),INT($B1008)-WEEKDAY($B1008,2)+1,"")</f>
        <v/>
      </c>
      <c r="I1008" s="24" t="n"/>
      <c r="J1008" s="22">
        <f t="array" ref="J1008">IF($D1008="","",IF($I1008="","(trống REF)",IFERROR(INDEX(MASTER_SOURCE!$B$2:$B$495,MATCH($I1008,MASTER_SOURCE!$A$2:$A$495,0)),"(REF không có trong MASTER_SOURCE)")))</f>
        <v/>
      </c>
      <c r="K1008" s="22">
        <f t="array" ref="K1008">IF($D1008="","",IFERROR(INDEX(MASTER_SOURCE!$C$2:$C$495,MATCH($I1008,MASTER_SOURCE!$A$2:$A$495,0)),""))</f>
        <v/>
      </c>
      <c r="L1008" s="22">
        <f t="array" ref="L1008">IF($D1008="","",IFERROR(INDEX(MASTER_SOURCE!$D$2:$D$495,MATCH($I1008,MASTER_SOURCE!$A$2:$A$495,0)),""))</f>
        <v/>
      </c>
      <c r="M1008" s="24" t="n"/>
      <c r="N1008" s="24" t="n"/>
      <c r="O1008" s="24" t="n"/>
      <c r="P1008" s="24" t="n"/>
      <c r="Q1008" s="22">
        <f>IF($D1008="","",IF(AND(OR(DANH_MUC!$L$5&lt;&gt;"Có",M1008="Có"),OR(DANH_MUC!$L$6&lt;&gt;"Có",N1008="Có"),OR(DANH_MUC!$L$7&lt;&gt;"Có",O1008="Có"),OR(DANH_MUC!$L$8&lt;&gt;"Có",P1008="Có")),"Có","Không"))</f>
        <v/>
      </c>
      <c r="R1008" s="22">
        <f>IF($D1008="","",IF(COUNTIF($D$2:$D1008,$D1008)&gt;1,"Trùng",""))</f>
        <v/>
      </c>
      <c r="S1008" s="22">
        <f>IF($D1008="","",IF(AND(LEN($D1008)=10,LEFT($D1008,1)="0",ISNUMBER(--$D1008)),"Có","Không"))</f>
        <v/>
      </c>
      <c r="T1008" s="22">
        <f>IF($D1008="","",IF(AND($C1008&lt;&gt;"",$Q1008="Có",$R1008="",$S1008="Có",AND($L1008&lt;&gt;"",OR($L1008&lt;&gt;"Chưa xác định",DANH_MUC!$L$9="Có"))),"Có","Không"))</f>
        <v/>
      </c>
      <c r="U1008" s="22">
        <f>IF(OR($D1008="",$T1008="Có"),"",IF($C1008="","Thiếu họ tên; ","")&amp;IF($S1008&lt;&gt;"Có","SĐT sai định dạng; ","")&amp;IF($R1008="Trùng","Trùng SĐT; ","")&amp;IF($Q1008&lt;&gt;"Có","Thiếu đồng ý bắt buộc; ","")&amp;IF($L1008="","Thiếu/sai Mã REF; ",IF(AND($L1008="Chưa xác định",DANH_MUC!$L$9&lt;&gt;"Có"),"Nguồn chưa xác định; ","")))</f>
        <v/>
      </c>
      <c r="V1008" s="22">
        <f>IF(OR($D1008="",$R1008="Trùng"),"",IF(COUNTIF(ORDERS!$C$2:$C$4995,$D1008)&gt;0,"Có","Không"))</f>
        <v/>
      </c>
      <c r="W1008" s="22">
        <f>IF(OR($D1008="",$R1008="Trùng"),"",COUNTIFS(ORDERS!$C$2:$C$4995,$D1008,ORDERS!$L$2:$L$4995,"Đã chuyển khoản"))</f>
        <v/>
      </c>
      <c r="X1008" s="23">
        <f>IF(OR($D1008="",$R1008="Trùng"),"",SUMIFS(ORDERS!$J$2:$J$4995,ORDERS!$C$2:$C$4995,$D1008,ORDERS!$L$2:$L$4995,"Đã chuyển khoản"))</f>
        <v/>
      </c>
      <c r="Y1008" s="24" t="n"/>
    </row>
    <row r="1009" ht="14.25" customHeight="1" s="40">
      <c r="A1009" s="24" t="n"/>
      <c r="B1009" s="27" t="n"/>
      <c r="C1009" s="24" t="n"/>
      <c r="D1009" s="28" t="n"/>
      <c r="E1009" s="29" t="n"/>
      <c r="F1009" s="24" t="n"/>
      <c r="G1009" s="24" t="n"/>
      <c r="H1009" s="21">
        <f>IF(ISNUMBER($B1009),INT($B1009)-WEEKDAY($B1009,2)+1,"")</f>
        <v/>
      </c>
      <c r="I1009" s="24" t="n"/>
      <c r="J1009" s="22">
        <f t="array" ref="J1009">IF($D1009="","",IF($I1009="","(trống REF)",IFERROR(INDEX(MASTER_SOURCE!$B$2:$B$495,MATCH($I1009,MASTER_SOURCE!$A$2:$A$495,0)),"(REF không có trong MASTER_SOURCE)")))</f>
        <v/>
      </c>
      <c r="K1009" s="22">
        <f t="array" ref="K1009">IF($D1009="","",IFERROR(INDEX(MASTER_SOURCE!$C$2:$C$495,MATCH($I1009,MASTER_SOURCE!$A$2:$A$495,0)),""))</f>
        <v/>
      </c>
      <c r="L1009" s="22">
        <f t="array" ref="L1009">IF($D1009="","",IFERROR(INDEX(MASTER_SOURCE!$D$2:$D$495,MATCH($I1009,MASTER_SOURCE!$A$2:$A$495,0)),""))</f>
        <v/>
      </c>
      <c r="M1009" s="24" t="n"/>
      <c r="N1009" s="24" t="n"/>
      <c r="O1009" s="24" t="n"/>
      <c r="P1009" s="24" t="n"/>
      <c r="Q1009" s="22">
        <f>IF($D1009="","",IF(AND(OR(DANH_MUC!$L$5&lt;&gt;"Có",M1009="Có"),OR(DANH_MUC!$L$6&lt;&gt;"Có",N1009="Có"),OR(DANH_MUC!$L$7&lt;&gt;"Có",O1009="Có"),OR(DANH_MUC!$L$8&lt;&gt;"Có",P1009="Có")),"Có","Không"))</f>
        <v/>
      </c>
      <c r="R1009" s="22">
        <f>IF($D1009="","",IF(COUNTIF($D$2:$D1009,$D1009)&gt;1,"Trùng",""))</f>
        <v/>
      </c>
      <c r="S1009" s="22">
        <f>IF($D1009="","",IF(AND(LEN($D1009)=10,LEFT($D1009,1)="0",ISNUMBER(--$D1009)),"Có","Không"))</f>
        <v/>
      </c>
      <c r="T1009" s="22">
        <f>IF($D1009="","",IF(AND($C1009&lt;&gt;"",$Q1009="Có",$R1009="",$S1009="Có",AND($L1009&lt;&gt;"",OR($L1009&lt;&gt;"Chưa xác định",DANH_MUC!$L$9="Có"))),"Có","Không"))</f>
        <v/>
      </c>
      <c r="U1009" s="22">
        <f>IF(OR($D1009="",$T1009="Có"),"",IF($C1009="","Thiếu họ tên; ","")&amp;IF($S1009&lt;&gt;"Có","SĐT sai định dạng; ","")&amp;IF($R1009="Trùng","Trùng SĐT; ","")&amp;IF($Q1009&lt;&gt;"Có","Thiếu đồng ý bắt buộc; ","")&amp;IF($L1009="","Thiếu/sai Mã REF; ",IF(AND($L1009="Chưa xác định",DANH_MUC!$L$9&lt;&gt;"Có"),"Nguồn chưa xác định; ","")))</f>
        <v/>
      </c>
      <c r="V1009" s="22">
        <f>IF(OR($D1009="",$R1009="Trùng"),"",IF(COUNTIF(ORDERS!$C$2:$C$4995,$D1009)&gt;0,"Có","Không"))</f>
        <v/>
      </c>
      <c r="W1009" s="22">
        <f>IF(OR($D1009="",$R1009="Trùng"),"",COUNTIFS(ORDERS!$C$2:$C$4995,$D1009,ORDERS!$L$2:$L$4995,"Đã chuyển khoản"))</f>
        <v/>
      </c>
      <c r="X1009" s="23">
        <f>IF(OR($D1009="",$R1009="Trùng"),"",SUMIFS(ORDERS!$J$2:$J$4995,ORDERS!$C$2:$C$4995,$D1009,ORDERS!$L$2:$L$4995,"Đã chuyển khoản"))</f>
        <v/>
      </c>
      <c r="Y1009" s="24" t="n"/>
    </row>
    <row r="1010" ht="14.25" customHeight="1" s="40">
      <c r="A1010" s="24" t="n"/>
      <c r="B1010" s="27" t="n"/>
      <c r="C1010" s="24" t="n"/>
      <c r="D1010" s="28" t="n"/>
      <c r="E1010" s="29" t="n"/>
      <c r="F1010" s="24" t="n"/>
      <c r="G1010" s="24" t="n"/>
      <c r="H1010" s="21">
        <f>IF(ISNUMBER($B1010),INT($B1010)-WEEKDAY($B1010,2)+1,"")</f>
        <v/>
      </c>
      <c r="I1010" s="24" t="n"/>
      <c r="J1010" s="22">
        <f t="array" ref="J1010">IF($D1010="","",IF($I1010="","(trống REF)",IFERROR(INDEX(MASTER_SOURCE!$B$2:$B$495,MATCH($I1010,MASTER_SOURCE!$A$2:$A$495,0)),"(REF không có trong MASTER_SOURCE)")))</f>
        <v/>
      </c>
      <c r="K1010" s="22">
        <f t="array" ref="K1010">IF($D1010="","",IFERROR(INDEX(MASTER_SOURCE!$C$2:$C$495,MATCH($I1010,MASTER_SOURCE!$A$2:$A$495,0)),""))</f>
        <v/>
      </c>
      <c r="L1010" s="22">
        <f t="array" ref="L1010">IF($D1010="","",IFERROR(INDEX(MASTER_SOURCE!$D$2:$D$495,MATCH($I1010,MASTER_SOURCE!$A$2:$A$495,0)),""))</f>
        <v/>
      </c>
      <c r="M1010" s="24" t="n"/>
      <c r="N1010" s="24" t="n"/>
      <c r="O1010" s="24" t="n"/>
      <c r="P1010" s="24" t="n"/>
      <c r="Q1010" s="22">
        <f>IF($D1010="","",IF(AND(OR(DANH_MUC!$L$5&lt;&gt;"Có",M1010="Có"),OR(DANH_MUC!$L$6&lt;&gt;"Có",N1010="Có"),OR(DANH_MUC!$L$7&lt;&gt;"Có",O1010="Có"),OR(DANH_MUC!$L$8&lt;&gt;"Có",P1010="Có")),"Có","Không"))</f>
        <v/>
      </c>
      <c r="R1010" s="22">
        <f>IF($D1010="","",IF(COUNTIF($D$2:$D1010,$D1010)&gt;1,"Trùng",""))</f>
        <v/>
      </c>
      <c r="S1010" s="22">
        <f>IF($D1010="","",IF(AND(LEN($D1010)=10,LEFT($D1010,1)="0",ISNUMBER(--$D1010)),"Có","Không"))</f>
        <v/>
      </c>
      <c r="T1010" s="22">
        <f>IF($D1010="","",IF(AND($C1010&lt;&gt;"",$Q1010="Có",$R1010="",$S1010="Có",AND($L1010&lt;&gt;"",OR($L1010&lt;&gt;"Chưa xác định",DANH_MUC!$L$9="Có"))),"Có","Không"))</f>
        <v/>
      </c>
      <c r="U1010" s="22">
        <f>IF(OR($D1010="",$T1010="Có"),"",IF($C1010="","Thiếu họ tên; ","")&amp;IF($S1010&lt;&gt;"Có","SĐT sai định dạng; ","")&amp;IF($R1010="Trùng","Trùng SĐT; ","")&amp;IF($Q1010&lt;&gt;"Có","Thiếu đồng ý bắt buộc; ","")&amp;IF($L1010="","Thiếu/sai Mã REF; ",IF(AND($L1010="Chưa xác định",DANH_MUC!$L$9&lt;&gt;"Có"),"Nguồn chưa xác định; ","")))</f>
        <v/>
      </c>
      <c r="V1010" s="22">
        <f>IF(OR($D1010="",$R1010="Trùng"),"",IF(COUNTIF(ORDERS!$C$2:$C$4995,$D1010)&gt;0,"Có","Không"))</f>
        <v/>
      </c>
      <c r="W1010" s="22">
        <f>IF(OR($D1010="",$R1010="Trùng"),"",COUNTIFS(ORDERS!$C$2:$C$4995,$D1010,ORDERS!$L$2:$L$4995,"Đã chuyển khoản"))</f>
        <v/>
      </c>
      <c r="X1010" s="23">
        <f>IF(OR($D1010="",$R1010="Trùng"),"",SUMIFS(ORDERS!$J$2:$J$4995,ORDERS!$C$2:$C$4995,$D1010,ORDERS!$L$2:$L$4995,"Đã chuyển khoản"))</f>
        <v/>
      </c>
      <c r="Y1010" s="24" t="n"/>
    </row>
    <row r="1011" ht="14.25" customHeight="1" s="40">
      <c r="A1011" s="24" t="n"/>
      <c r="B1011" s="27" t="n"/>
      <c r="C1011" s="24" t="n"/>
      <c r="D1011" s="28" t="n"/>
      <c r="E1011" s="29" t="n"/>
      <c r="F1011" s="24" t="n"/>
      <c r="G1011" s="24" t="n"/>
      <c r="H1011" s="21">
        <f>IF(ISNUMBER($B1011),INT($B1011)-WEEKDAY($B1011,2)+1,"")</f>
        <v/>
      </c>
      <c r="I1011" s="24" t="n"/>
      <c r="J1011" s="22">
        <f t="array" ref="J1011">IF($D1011="","",IF($I1011="","(trống REF)",IFERROR(INDEX(MASTER_SOURCE!$B$2:$B$495,MATCH($I1011,MASTER_SOURCE!$A$2:$A$495,0)),"(REF không có trong MASTER_SOURCE)")))</f>
        <v/>
      </c>
      <c r="K1011" s="22">
        <f t="array" ref="K1011">IF($D1011="","",IFERROR(INDEX(MASTER_SOURCE!$C$2:$C$495,MATCH($I1011,MASTER_SOURCE!$A$2:$A$495,0)),""))</f>
        <v/>
      </c>
      <c r="L1011" s="22">
        <f t="array" ref="L1011">IF($D1011="","",IFERROR(INDEX(MASTER_SOURCE!$D$2:$D$495,MATCH($I1011,MASTER_SOURCE!$A$2:$A$495,0)),""))</f>
        <v/>
      </c>
      <c r="M1011" s="24" t="n"/>
      <c r="N1011" s="24" t="n"/>
      <c r="O1011" s="24" t="n"/>
      <c r="P1011" s="24" t="n"/>
      <c r="Q1011" s="22">
        <f>IF($D1011="","",IF(AND(OR(DANH_MUC!$L$5&lt;&gt;"Có",M1011="Có"),OR(DANH_MUC!$L$6&lt;&gt;"Có",N1011="Có"),OR(DANH_MUC!$L$7&lt;&gt;"Có",O1011="Có"),OR(DANH_MUC!$L$8&lt;&gt;"Có",P1011="Có")),"Có","Không"))</f>
        <v/>
      </c>
      <c r="R1011" s="22">
        <f>IF($D1011="","",IF(COUNTIF($D$2:$D1011,$D1011)&gt;1,"Trùng",""))</f>
        <v/>
      </c>
      <c r="S1011" s="22">
        <f>IF($D1011="","",IF(AND(LEN($D1011)=10,LEFT($D1011,1)="0",ISNUMBER(--$D1011)),"Có","Không"))</f>
        <v/>
      </c>
      <c r="T1011" s="22">
        <f>IF($D1011="","",IF(AND($C1011&lt;&gt;"",$Q1011="Có",$R1011="",$S1011="Có",AND($L1011&lt;&gt;"",OR($L1011&lt;&gt;"Chưa xác định",DANH_MUC!$L$9="Có"))),"Có","Không"))</f>
        <v/>
      </c>
      <c r="U1011" s="22">
        <f>IF(OR($D1011="",$T1011="Có"),"",IF($C1011="","Thiếu họ tên; ","")&amp;IF($S1011&lt;&gt;"Có","SĐT sai định dạng; ","")&amp;IF($R1011="Trùng","Trùng SĐT; ","")&amp;IF($Q1011&lt;&gt;"Có","Thiếu đồng ý bắt buộc; ","")&amp;IF($L1011="","Thiếu/sai Mã REF; ",IF(AND($L1011="Chưa xác định",DANH_MUC!$L$9&lt;&gt;"Có"),"Nguồn chưa xác định; ","")))</f>
        <v/>
      </c>
      <c r="V1011" s="22">
        <f>IF(OR($D1011="",$R1011="Trùng"),"",IF(COUNTIF(ORDERS!$C$2:$C$4995,$D1011)&gt;0,"Có","Không"))</f>
        <v/>
      </c>
      <c r="W1011" s="22">
        <f>IF(OR($D1011="",$R1011="Trùng"),"",COUNTIFS(ORDERS!$C$2:$C$4995,$D1011,ORDERS!$L$2:$L$4995,"Đã chuyển khoản"))</f>
        <v/>
      </c>
      <c r="X1011" s="23">
        <f>IF(OR($D1011="",$R1011="Trùng"),"",SUMIFS(ORDERS!$J$2:$J$4995,ORDERS!$C$2:$C$4995,$D1011,ORDERS!$L$2:$L$4995,"Đã chuyển khoản"))</f>
        <v/>
      </c>
      <c r="Y1011" s="24" t="n"/>
    </row>
    <row r="1012" ht="14.25" customHeight="1" s="40">
      <c r="A1012" s="24" t="n"/>
      <c r="B1012" s="27" t="n"/>
      <c r="C1012" s="24" t="n"/>
      <c r="D1012" s="28" t="n"/>
      <c r="E1012" s="29" t="n"/>
      <c r="F1012" s="24" t="n"/>
      <c r="G1012" s="24" t="n"/>
      <c r="H1012" s="21">
        <f>IF(ISNUMBER($B1012),INT($B1012)-WEEKDAY($B1012,2)+1,"")</f>
        <v/>
      </c>
      <c r="I1012" s="24" t="n"/>
      <c r="J1012" s="22">
        <f t="array" ref="J1012">IF($D1012="","",IF($I1012="","(trống REF)",IFERROR(INDEX(MASTER_SOURCE!$B$2:$B$495,MATCH($I1012,MASTER_SOURCE!$A$2:$A$495,0)),"(REF không có trong MASTER_SOURCE)")))</f>
        <v/>
      </c>
      <c r="K1012" s="22">
        <f t="array" ref="K1012">IF($D1012="","",IFERROR(INDEX(MASTER_SOURCE!$C$2:$C$495,MATCH($I1012,MASTER_SOURCE!$A$2:$A$495,0)),""))</f>
        <v/>
      </c>
      <c r="L1012" s="22">
        <f t="array" ref="L1012">IF($D1012="","",IFERROR(INDEX(MASTER_SOURCE!$D$2:$D$495,MATCH($I1012,MASTER_SOURCE!$A$2:$A$495,0)),""))</f>
        <v/>
      </c>
      <c r="M1012" s="24" t="n"/>
      <c r="N1012" s="24" t="n"/>
      <c r="O1012" s="24" t="n"/>
      <c r="P1012" s="24" t="n"/>
      <c r="Q1012" s="22">
        <f>IF($D1012="","",IF(AND(OR(DANH_MUC!$L$5&lt;&gt;"Có",M1012="Có"),OR(DANH_MUC!$L$6&lt;&gt;"Có",N1012="Có"),OR(DANH_MUC!$L$7&lt;&gt;"Có",O1012="Có"),OR(DANH_MUC!$L$8&lt;&gt;"Có",P1012="Có")),"Có","Không"))</f>
        <v/>
      </c>
      <c r="R1012" s="22">
        <f>IF($D1012="","",IF(COUNTIF($D$2:$D1012,$D1012)&gt;1,"Trùng",""))</f>
        <v/>
      </c>
      <c r="S1012" s="22">
        <f>IF($D1012="","",IF(AND(LEN($D1012)=10,LEFT($D1012,1)="0",ISNUMBER(--$D1012)),"Có","Không"))</f>
        <v/>
      </c>
      <c r="T1012" s="22">
        <f>IF($D1012="","",IF(AND($C1012&lt;&gt;"",$Q1012="Có",$R1012="",$S1012="Có",AND($L1012&lt;&gt;"",OR($L1012&lt;&gt;"Chưa xác định",DANH_MUC!$L$9="Có"))),"Có","Không"))</f>
        <v/>
      </c>
      <c r="U1012" s="22">
        <f>IF(OR($D1012="",$T1012="Có"),"",IF($C1012="","Thiếu họ tên; ","")&amp;IF($S1012&lt;&gt;"Có","SĐT sai định dạng; ","")&amp;IF($R1012="Trùng","Trùng SĐT; ","")&amp;IF($Q1012&lt;&gt;"Có","Thiếu đồng ý bắt buộc; ","")&amp;IF($L1012="","Thiếu/sai Mã REF; ",IF(AND($L1012="Chưa xác định",DANH_MUC!$L$9&lt;&gt;"Có"),"Nguồn chưa xác định; ","")))</f>
        <v/>
      </c>
      <c r="V1012" s="22">
        <f>IF(OR($D1012="",$R1012="Trùng"),"",IF(COUNTIF(ORDERS!$C$2:$C$4995,$D1012)&gt;0,"Có","Không"))</f>
        <v/>
      </c>
      <c r="W1012" s="22">
        <f>IF(OR($D1012="",$R1012="Trùng"),"",COUNTIFS(ORDERS!$C$2:$C$4995,$D1012,ORDERS!$L$2:$L$4995,"Đã chuyển khoản"))</f>
        <v/>
      </c>
      <c r="X1012" s="23">
        <f>IF(OR($D1012="",$R1012="Trùng"),"",SUMIFS(ORDERS!$J$2:$J$4995,ORDERS!$C$2:$C$4995,$D1012,ORDERS!$L$2:$L$4995,"Đã chuyển khoản"))</f>
        <v/>
      </c>
      <c r="Y1012" s="24" t="n"/>
    </row>
    <row r="1013" ht="14.25" customHeight="1" s="40">
      <c r="A1013" s="24" t="n"/>
      <c r="B1013" s="27" t="n"/>
      <c r="C1013" s="24" t="n"/>
      <c r="D1013" s="28" t="n"/>
      <c r="E1013" s="29" t="n"/>
      <c r="F1013" s="24" t="n"/>
      <c r="G1013" s="24" t="n"/>
      <c r="H1013" s="21">
        <f>IF(ISNUMBER($B1013),INT($B1013)-WEEKDAY($B1013,2)+1,"")</f>
        <v/>
      </c>
      <c r="I1013" s="24" t="n"/>
      <c r="J1013" s="22">
        <f t="array" ref="J1013">IF($D1013="","",IF($I1013="","(trống REF)",IFERROR(INDEX(MASTER_SOURCE!$B$2:$B$495,MATCH($I1013,MASTER_SOURCE!$A$2:$A$495,0)),"(REF không có trong MASTER_SOURCE)")))</f>
        <v/>
      </c>
      <c r="K1013" s="22">
        <f t="array" ref="K1013">IF($D1013="","",IFERROR(INDEX(MASTER_SOURCE!$C$2:$C$495,MATCH($I1013,MASTER_SOURCE!$A$2:$A$495,0)),""))</f>
        <v/>
      </c>
      <c r="L1013" s="22">
        <f t="array" ref="L1013">IF($D1013="","",IFERROR(INDEX(MASTER_SOURCE!$D$2:$D$495,MATCH($I1013,MASTER_SOURCE!$A$2:$A$495,0)),""))</f>
        <v/>
      </c>
      <c r="M1013" s="24" t="n"/>
      <c r="N1013" s="24" t="n"/>
      <c r="O1013" s="24" t="n"/>
      <c r="P1013" s="24" t="n"/>
      <c r="Q1013" s="22">
        <f>IF($D1013="","",IF(AND(OR(DANH_MUC!$L$5&lt;&gt;"Có",M1013="Có"),OR(DANH_MUC!$L$6&lt;&gt;"Có",N1013="Có"),OR(DANH_MUC!$L$7&lt;&gt;"Có",O1013="Có"),OR(DANH_MUC!$L$8&lt;&gt;"Có",P1013="Có")),"Có","Không"))</f>
        <v/>
      </c>
      <c r="R1013" s="22">
        <f>IF($D1013="","",IF(COUNTIF($D$2:$D1013,$D1013)&gt;1,"Trùng",""))</f>
        <v/>
      </c>
      <c r="S1013" s="22">
        <f>IF($D1013="","",IF(AND(LEN($D1013)=10,LEFT($D1013,1)="0",ISNUMBER(--$D1013)),"Có","Không"))</f>
        <v/>
      </c>
      <c r="T1013" s="22">
        <f>IF($D1013="","",IF(AND($C1013&lt;&gt;"",$Q1013="Có",$R1013="",$S1013="Có",AND($L1013&lt;&gt;"",OR($L1013&lt;&gt;"Chưa xác định",DANH_MUC!$L$9="Có"))),"Có","Không"))</f>
        <v/>
      </c>
      <c r="U1013" s="22">
        <f>IF(OR($D1013="",$T1013="Có"),"",IF($C1013="","Thiếu họ tên; ","")&amp;IF($S1013&lt;&gt;"Có","SĐT sai định dạng; ","")&amp;IF($R1013="Trùng","Trùng SĐT; ","")&amp;IF($Q1013&lt;&gt;"Có","Thiếu đồng ý bắt buộc; ","")&amp;IF($L1013="","Thiếu/sai Mã REF; ",IF(AND($L1013="Chưa xác định",DANH_MUC!$L$9&lt;&gt;"Có"),"Nguồn chưa xác định; ","")))</f>
        <v/>
      </c>
      <c r="V1013" s="22">
        <f>IF(OR($D1013="",$R1013="Trùng"),"",IF(COUNTIF(ORDERS!$C$2:$C$4995,$D1013)&gt;0,"Có","Không"))</f>
        <v/>
      </c>
      <c r="W1013" s="22">
        <f>IF(OR($D1013="",$R1013="Trùng"),"",COUNTIFS(ORDERS!$C$2:$C$4995,$D1013,ORDERS!$L$2:$L$4995,"Đã chuyển khoản"))</f>
        <v/>
      </c>
      <c r="X1013" s="23">
        <f>IF(OR($D1013="",$R1013="Trùng"),"",SUMIFS(ORDERS!$J$2:$J$4995,ORDERS!$C$2:$C$4995,$D1013,ORDERS!$L$2:$L$4995,"Đã chuyển khoản"))</f>
        <v/>
      </c>
      <c r="Y1013" s="24" t="n"/>
    </row>
    <row r="1014" ht="14.25" customHeight="1" s="40">
      <c r="A1014" s="24" t="n"/>
      <c r="B1014" s="27" t="n"/>
      <c r="C1014" s="24" t="n"/>
      <c r="D1014" s="28" t="n"/>
      <c r="E1014" s="29" t="n"/>
      <c r="F1014" s="24" t="n"/>
      <c r="G1014" s="24" t="n"/>
      <c r="H1014" s="21">
        <f>IF(ISNUMBER($B1014),INT($B1014)-WEEKDAY($B1014,2)+1,"")</f>
        <v/>
      </c>
      <c r="I1014" s="24" t="n"/>
      <c r="J1014" s="22">
        <f t="array" ref="J1014">IF($D1014="","",IF($I1014="","(trống REF)",IFERROR(INDEX(MASTER_SOURCE!$B$2:$B$495,MATCH($I1014,MASTER_SOURCE!$A$2:$A$495,0)),"(REF không có trong MASTER_SOURCE)")))</f>
        <v/>
      </c>
      <c r="K1014" s="22">
        <f t="array" ref="K1014">IF($D1014="","",IFERROR(INDEX(MASTER_SOURCE!$C$2:$C$495,MATCH($I1014,MASTER_SOURCE!$A$2:$A$495,0)),""))</f>
        <v/>
      </c>
      <c r="L1014" s="22">
        <f t="array" ref="L1014">IF($D1014="","",IFERROR(INDEX(MASTER_SOURCE!$D$2:$D$495,MATCH($I1014,MASTER_SOURCE!$A$2:$A$495,0)),""))</f>
        <v/>
      </c>
      <c r="M1014" s="24" t="n"/>
      <c r="N1014" s="24" t="n"/>
      <c r="O1014" s="24" t="n"/>
      <c r="P1014" s="24" t="n"/>
      <c r="Q1014" s="22">
        <f>IF($D1014="","",IF(AND(OR(DANH_MUC!$L$5&lt;&gt;"Có",M1014="Có"),OR(DANH_MUC!$L$6&lt;&gt;"Có",N1014="Có"),OR(DANH_MUC!$L$7&lt;&gt;"Có",O1014="Có"),OR(DANH_MUC!$L$8&lt;&gt;"Có",P1014="Có")),"Có","Không"))</f>
        <v/>
      </c>
      <c r="R1014" s="22">
        <f>IF($D1014="","",IF(COUNTIF($D$2:$D1014,$D1014)&gt;1,"Trùng",""))</f>
        <v/>
      </c>
      <c r="S1014" s="22">
        <f>IF($D1014="","",IF(AND(LEN($D1014)=10,LEFT($D1014,1)="0",ISNUMBER(--$D1014)),"Có","Không"))</f>
        <v/>
      </c>
      <c r="T1014" s="22">
        <f>IF($D1014="","",IF(AND($C1014&lt;&gt;"",$Q1014="Có",$R1014="",$S1014="Có",AND($L1014&lt;&gt;"",OR($L1014&lt;&gt;"Chưa xác định",DANH_MUC!$L$9="Có"))),"Có","Không"))</f>
        <v/>
      </c>
      <c r="U1014" s="22">
        <f>IF(OR($D1014="",$T1014="Có"),"",IF($C1014="","Thiếu họ tên; ","")&amp;IF($S1014&lt;&gt;"Có","SĐT sai định dạng; ","")&amp;IF($R1014="Trùng","Trùng SĐT; ","")&amp;IF($Q1014&lt;&gt;"Có","Thiếu đồng ý bắt buộc; ","")&amp;IF($L1014="","Thiếu/sai Mã REF; ",IF(AND($L1014="Chưa xác định",DANH_MUC!$L$9&lt;&gt;"Có"),"Nguồn chưa xác định; ","")))</f>
        <v/>
      </c>
      <c r="V1014" s="22">
        <f>IF(OR($D1014="",$R1014="Trùng"),"",IF(COUNTIF(ORDERS!$C$2:$C$4995,$D1014)&gt;0,"Có","Không"))</f>
        <v/>
      </c>
      <c r="W1014" s="22">
        <f>IF(OR($D1014="",$R1014="Trùng"),"",COUNTIFS(ORDERS!$C$2:$C$4995,$D1014,ORDERS!$L$2:$L$4995,"Đã chuyển khoản"))</f>
        <v/>
      </c>
      <c r="X1014" s="23">
        <f>IF(OR($D1014="",$R1014="Trùng"),"",SUMIFS(ORDERS!$J$2:$J$4995,ORDERS!$C$2:$C$4995,$D1014,ORDERS!$L$2:$L$4995,"Đã chuyển khoản"))</f>
        <v/>
      </c>
      <c r="Y1014" s="24" t="n"/>
    </row>
    <row r="1015" ht="14.25" customHeight="1" s="40">
      <c r="A1015" s="24" t="n"/>
      <c r="B1015" s="27" t="n"/>
      <c r="C1015" s="24" t="n"/>
      <c r="D1015" s="28" t="n"/>
      <c r="E1015" s="29" t="n"/>
      <c r="F1015" s="24" t="n"/>
      <c r="G1015" s="24" t="n"/>
      <c r="H1015" s="21">
        <f>IF(ISNUMBER($B1015),INT($B1015)-WEEKDAY($B1015,2)+1,"")</f>
        <v/>
      </c>
      <c r="I1015" s="24" t="n"/>
      <c r="J1015" s="22">
        <f t="array" ref="J1015">IF($D1015="","",IF($I1015="","(trống REF)",IFERROR(INDEX(MASTER_SOURCE!$B$2:$B$495,MATCH($I1015,MASTER_SOURCE!$A$2:$A$495,0)),"(REF không có trong MASTER_SOURCE)")))</f>
        <v/>
      </c>
      <c r="K1015" s="22">
        <f t="array" ref="K1015">IF($D1015="","",IFERROR(INDEX(MASTER_SOURCE!$C$2:$C$495,MATCH($I1015,MASTER_SOURCE!$A$2:$A$495,0)),""))</f>
        <v/>
      </c>
      <c r="L1015" s="22">
        <f t="array" ref="L1015">IF($D1015="","",IFERROR(INDEX(MASTER_SOURCE!$D$2:$D$495,MATCH($I1015,MASTER_SOURCE!$A$2:$A$495,0)),""))</f>
        <v/>
      </c>
      <c r="M1015" s="24" t="n"/>
      <c r="N1015" s="24" t="n"/>
      <c r="O1015" s="24" t="n"/>
      <c r="P1015" s="24" t="n"/>
      <c r="Q1015" s="22">
        <f>IF($D1015="","",IF(AND(OR(DANH_MUC!$L$5&lt;&gt;"Có",M1015="Có"),OR(DANH_MUC!$L$6&lt;&gt;"Có",N1015="Có"),OR(DANH_MUC!$L$7&lt;&gt;"Có",O1015="Có"),OR(DANH_MUC!$L$8&lt;&gt;"Có",P1015="Có")),"Có","Không"))</f>
        <v/>
      </c>
      <c r="R1015" s="22">
        <f>IF($D1015="","",IF(COUNTIF($D$2:$D1015,$D1015)&gt;1,"Trùng",""))</f>
        <v/>
      </c>
      <c r="S1015" s="22">
        <f>IF($D1015="","",IF(AND(LEN($D1015)=10,LEFT($D1015,1)="0",ISNUMBER(--$D1015)),"Có","Không"))</f>
        <v/>
      </c>
      <c r="T1015" s="22">
        <f>IF($D1015="","",IF(AND($C1015&lt;&gt;"",$Q1015="Có",$R1015="",$S1015="Có",AND($L1015&lt;&gt;"",OR($L1015&lt;&gt;"Chưa xác định",DANH_MUC!$L$9="Có"))),"Có","Không"))</f>
        <v/>
      </c>
      <c r="U1015" s="22">
        <f>IF(OR($D1015="",$T1015="Có"),"",IF($C1015="","Thiếu họ tên; ","")&amp;IF($S1015&lt;&gt;"Có","SĐT sai định dạng; ","")&amp;IF($R1015="Trùng","Trùng SĐT; ","")&amp;IF($Q1015&lt;&gt;"Có","Thiếu đồng ý bắt buộc; ","")&amp;IF($L1015="","Thiếu/sai Mã REF; ",IF(AND($L1015="Chưa xác định",DANH_MUC!$L$9&lt;&gt;"Có"),"Nguồn chưa xác định; ","")))</f>
        <v/>
      </c>
      <c r="V1015" s="22">
        <f>IF(OR($D1015="",$R1015="Trùng"),"",IF(COUNTIF(ORDERS!$C$2:$C$4995,$D1015)&gt;0,"Có","Không"))</f>
        <v/>
      </c>
      <c r="W1015" s="22">
        <f>IF(OR($D1015="",$R1015="Trùng"),"",COUNTIFS(ORDERS!$C$2:$C$4995,$D1015,ORDERS!$L$2:$L$4995,"Đã chuyển khoản"))</f>
        <v/>
      </c>
      <c r="X1015" s="23">
        <f>IF(OR($D1015="",$R1015="Trùng"),"",SUMIFS(ORDERS!$J$2:$J$4995,ORDERS!$C$2:$C$4995,$D1015,ORDERS!$L$2:$L$4995,"Đã chuyển khoản"))</f>
        <v/>
      </c>
      <c r="Y1015" s="24" t="n"/>
    </row>
    <row r="1016" ht="14.25" customHeight="1" s="40">
      <c r="A1016" s="24" t="n"/>
      <c r="B1016" s="27" t="n"/>
      <c r="C1016" s="24" t="n"/>
      <c r="D1016" s="28" t="n"/>
      <c r="E1016" s="29" t="n"/>
      <c r="F1016" s="24" t="n"/>
      <c r="G1016" s="24" t="n"/>
      <c r="H1016" s="21">
        <f>IF(ISNUMBER($B1016),INT($B1016)-WEEKDAY($B1016,2)+1,"")</f>
        <v/>
      </c>
      <c r="I1016" s="24" t="n"/>
      <c r="J1016" s="22">
        <f t="array" ref="J1016">IF($D1016="","",IF($I1016="","(trống REF)",IFERROR(INDEX(MASTER_SOURCE!$B$2:$B$495,MATCH($I1016,MASTER_SOURCE!$A$2:$A$495,0)),"(REF không có trong MASTER_SOURCE)")))</f>
        <v/>
      </c>
      <c r="K1016" s="22">
        <f t="array" ref="K1016">IF($D1016="","",IFERROR(INDEX(MASTER_SOURCE!$C$2:$C$495,MATCH($I1016,MASTER_SOURCE!$A$2:$A$495,0)),""))</f>
        <v/>
      </c>
      <c r="L1016" s="22">
        <f t="array" ref="L1016">IF($D1016="","",IFERROR(INDEX(MASTER_SOURCE!$D$2:$D$495,MATCH($I1016,MASTER_SOURCE!$A$2:$A$495,0)),""))</f>
        <v/>
      </c>
      <c r="M1016" s="24" t="n"/>
      <c r="N1016" s="24" t="n"/>
      <c r="O1016" s="24" t="n"/>
      <c r="P1016" s="24" t="n"/>
      <c r="Q1016" s="22">
        <f>IF($D1016="","",IF(AND(OR(DANH_MUC!$L$5&lt;&gt;"Có",M1016="Có"),OR(DANH_MUC!$L$6&lt;&gt;"Có",N1016="Có"),OR(DANH_MUC!$L$7&lt;&gt;"Có",O1016="Có"),OR(DANH_MUC!$L$8&lt;&gt;"Có",P1016="Có")),"Có","Không"))</f>
        <v/>
      </c>
      <c r="R1016" s="22">
        <f>IF($D1016="","",IF(COUNTIF($D$2:$D1016,$D1016)&gt;1,"Trùng",""))</f>
        <v/>
      </c>
      <c r="S1016" s="22">
        <f>IF($D1016="","",IF(AND(LEN($D1016)=10,LEFT($D1016,1)="0",ISNUMBER(--$D1016)),"Có","Không"))</f>
        <v/>
      </c>
      <c r="T1016" s="22">
        <f>IF($D1016="","",IF(AND($C1016&lt;&gt;"",$Q1016="Có",$R1016="",$S1016="Có",AND($L1016&lt;&gt;"",OR($L1016&lt;&gt;"Chưa xác định",DANH_MUC!$L$9="Có"))),"Có","Không"))</f>
        <v/>
      </c>
      <c r="U1016" s="22">
        <f>IF(OR($D1016="",$T1016="Có"),"",IF($C1016="","Thiếu họ tên; ","")&amp;IF($S1016&lt;&gt;"Có","SĐT sai định dạng; ","")&amp;IF($R1016="Trùng","Trùng SĐT; ","")&amp;IF($Q1016&lt;&gt;"Có","Thiếu đồng ý bắt buộc; ","")&amp;IF($L1016="","Thiếu/sai Mã REF; ",IF(AND($L1016="Chưa xác định",DANH_MUC!$L$9&lt;&gt;"Có"),"Nguồn chưa xác định; ","")))</f>
        <v/>
      </c>
      <c r="V1016" s="22">
        <f>IF(OR($D1016="",$R1016="Trùng"),"",IF(COUNTIF(ORDERS!$C$2:$C$4995,$D1016)&gt;0,"Có","Không"))</f>
        <v/>
      </c>
      <c r="W1016" s="22">
        <f>IF(OR($D1016="",$R1016="Trùng"),"",COUNTIFS(ORDERS!$C$2:$C$4995,$D1016,ORDERS!$L$2:$L$4995,"Đã chuyển khoản"))</f>
        <v/>
      </c>
      <c r="X1016" s="23">
        <f>IF(OR($D1016="",$R1016="Trùng"),"",SUMIFS(ORDERS!$J$2:$J$4995,ORDERS!$C$2:$C$4995,$D1016,ORDERS!$L$2:$L$4995,"Đã chuyển khoản"))</f>
        <v/>
      </c>
      <c r="Y1016" s="24" t="n"/>
    </row>
    <row r="1017" ht="14.25" customHeight="1" s="40">
      <c r="A1017" s="24" t="n"/>
      <c r="B1017" s="27" t="n"/>
      <c r="C1017" s="24" t="n"/>
      <c r="D1017" s="28" t="n"/>
      <c r="E1017" s="29" t="n"/>
      <c r="F1017" s="24" t="n"/>
      <c r="G1017" s="24" t="n"/>
      <c r="H1017" s="21">
        <f>IF(ISNUMBER($B1017),INT($B1017)-WEEKDAY($B1017,2)+1,"")</f>
        <v/>
      </c>
      <c r="I1017" s="24" t="n"/>
      <c r="J1017" s="22">
        <f t="array" ref="J1017">IF($D1017="","",IF($I1017="","(trống REF)",IFERROR(INDEX(MASTER_SOURCE!$B$2:$B$495,MATCH($I1017,MASTER_SOURCE!$A$2:$A$495,0)),"(REF không có trong MASTER_SOURCE)")))</f>
        <v/>
      </c>
      <c r="K1017" s="22">
        <f t="array" ref="K1017">IF($D1017="","",IFERROR(INDEX(MASTER_SOURCE!$C$2:$C$495,MATCH($I1017,MASTER_SOURCE!$A$2:$A$495,0)),""))</f>
        <v/>
      </c>
      <c r="L1017" s="22">
        <f t="array" ref="L1017">IF($D1017="","",IFERROR(INDEX(MASTER_SOURCE!$D$2:$D$495,MATCH($I1017,MASTER_SOURCE!$A$2:$A$495,0)),""))</f>
        <v/>
      </c>
      <c r="M1017" s="24" t="n"/>
      <c r="N1017" s="24" t="n"/>
      <c r="O1017" s="24" t="n"/>
      <c r="P1017" s="24" t="n"/>
      <c r="Q1017" s="22">
        <f>IF($D1017="","",IF(AND(OR(DANH_MUC!$L$5&lt;&gt;"Có",M1017="Có"),OR(DANH_MUC!$L$6&lt;&gt;"Có",N1017="Có"),OR(DANH_MUC!$L$7&lt;&gt;"Có",O1017="Có"),OR(DANH_MUC!$L$8&lt;&gt;"Có",P1017="Có")),"Có","Không"))</f>
        <v/>
      </c>
      <c r="R1017" s="22">
        <f>IF($D1017="","",IF(COUNTIF($D$2:$D1017,$D1017)&gt;1,"Trùng",""))</f>
        <v/>
      </c>
      <c r="S1017" s="22">
        <f>IF($D1017="","",IF(AND(LEN($D1017)=10,LEFT($D1017,1)="0",ISNUMBER(--$D1017)),"Có","Không"))</f>
        <v/>
      </c>
      <c r="T1017" s="22">
        <f>IF($D1017="","",IF(AND($C1017&lt;&gt;"",$Q1017="Có",$R1017="",$S1017="Có",AND($L1017&lt;&gt;"",OR($L1017&lt;&gt;"Chưa xác định",DANH_MUC!$L$9="Có"))),"Có","Không"))</f>
        <v/>
      </c>
      <c r="U1017" s="22">
        <f>IF(OR($D1017="",$T1017="Có"),"",IF($C1017="","Thiếu họ tên; ","")&amp;IF($S1017&lt;&gt;"Có","SĐT sai định dạng; ","")&amp;IF($R1017="Trùng","Trùng SĐT; ","")&amp;IF($Q1017&lt;&gt;"Có","Thiếu đồng ý bắt buộc; ","")&amp;IF($L1017="","Thiếu/sai Mã REF; ",IF(AND($L1017="Chưa xác định",DANH_MUC!$L$9&lt;&gt;"Có"),"Nguồn chưa xác định; ","")))</f>
        <v/>
      </c>
      <c r="V1017" s="22">
        <f>IF(OR($D1017="",$R1017="Trùng"),"",IF(COUNTIF(ORDERS!$C$2:$C$4995,$D1017)&gt;0,"Có","Không"))</f>
        <v/>
      </c>
      <c r="W1017" s="22">
        <f>IF(OR($D1017="",$R1017="Trùng"),"",COUNTIFS(ORDERS!$C$2:$C$4995,$D1017,ORDERS!$L$2:$L$4995,"Đã chuyển khoản"))</f>
        <v/>
      </c>
      <c r="X1017" s="23">
        <f>IF(OR($D1017="",$R1017="Trùng"),"",SUMIFS(ORDERS!$J$2:$J$4995,ORDERS!$C$2:$C$4995,$D1017,ORDERS!$L$2:$L$4995,"Đã chuyển khoản"))</f>
        <v/>
      </c>
      <c r="Y1017" s="24" t="n"/>
    </row>
    <row r="1018" ht="14.25" customHeight="1" s="40">
      <c r="A1018" s="24" t="n"/>
      <c r="B1018" s="27" t="n"/>
      <c r="C1018" s="24" t="n"/>
      <c r="D1018" s="28" t="n"/>
      <c r="E1018" s="29" t="n"/>
      <c r="F1018" s="24" t="n"/>
      <c r="G1018" s="24" t="n"/>
      <c r="H1018" s="21">
        <f>IF(ISNUMBER($B1018),INT($B1018)-WEEKDAY($B1018,2)+1,"")</f>
        <v/>
      </c>
      <c r="I1018" s="24" t="n"/>
      <c r="J1018" s="22">
        <f t="array" ref="J1018">IF($D1018="","",IF($I1018="","(trống REF)",IFERROR(INDEX(MASTER_SOURCE!$B$2:$B$495,MATCH($I1018,MASTER_SOURCE!$A$2:$A$495,0)),"(REF không có trong MASTER_SOURCE)")))</f>
        <v/>
      </c>
      <c r="K1018" s="22">
        <f t="array" ref="K1018">IF($D1018="","",IFERROR(INDEX(MASTER_SOURCE!$C$2:$C$495,MATCH($I1018,MASTER_SOURCE!$A$2:$A$495,0)),""))</f>
        <v/>
      </c>
      <c r="L1018" s="22">
        <f t="array" ref="L1018">IF($D1018="","",IFERROR(INDEX(MASTER_SOURCE!$D$2:$D$495,MATCH($I1018,MASTER_SOURCE!$A$2:$A$495,0)),""))</f>
        <v/>
      </c>
      <c r="M1018" s="24" t="n"/>
      <c r="N1018" s="24" t="n"/>
      <c r="O1018" s="24" t="n"/>
      <c r="P1018" s="24" t="n"/>
      <c r="Q1018" s="22">
        <f>IF($D1018="","",IF(AND(OR(DANH_MUC!$L$5&lt;&gt;"Có",M1018="Có"),OR(DANH_MUC!$L$6&lt;&gt;"Có",N1018="Có"),OR(DANH_MUC!$L$7&lt;&gt;"Có",O1018="Có"),OR(DANH_MUC!$L$8&lt;&gt;"Có",P1018="Có")),"Có","Không"))</f>
        <v/>
      </c>
      <c r="R1018" s="22">
        <f>IF($D1018="","",IF(COUNTIF($D$2:$D1018,$D1018)&gt;1,"Trùng",""))</f>
        <v/>
      </c>
      <c r="S1018" s="22">
        <f>IF($D1018="","",IF(AND(LEN($D1018)=10,LEFT($D1018,1)="0",ISNUMBER(--$D1018)),"Có","Không"))</f>
        <v/>
      </c>
      <c r="T1018" s="22">
        <f>IF($D1018="","",IF(AND($C1018&lt;&gt;"",$Q1018="Có",$R1018="",$S1018="Có",AND($L1018&lt;&gt;"",OR($L1018&lt;&gt;"Chưa xác định",DANH_MUC!$L$9="Có"))),"Có","Không"))</f>
        <v/>
      </c>
      <c r="U1018" s="22">
        <f>IF(OR($D1018="",$T1018="Có"),"",IF($C1018="","Thiếu họ tên; ","")&amp;IF($S1018&lt;&gt;"Có","SĐT sai định dạng; ","")&amp;IF($R1018="Trùng","Trùng SĐT; ","")&amp;IF($Q1018&lt;&gt;"Có","Thiếu đồng ý bắt buộc; ","")&amp;IF($L1018="","Thiếu/sai Mã REF; ",IF(AND($L1018="Chưa xác định",DANH_MUC!$L$9&lt;&gt;"Có"),"Nguồn chưa xác định; ","")))</f>
        <v/>
      </c>
      <c r="V1018" s="22">
        <f>IF(OR($D1018="",$R1018="Trùng"),"",IF(COUNTIF(ORDERS!$C$2:$C$4995,$D1018)&gt;0,"Có","Không"))</f>
        <v/>
      </c>
      <c r="W1018" s="22">
        <f>IF(OR($D1018="",$R1018="Trùng"),"",COUNTIFS(ORDERS!$C$2:$C$4995,$D1018,ORDERS!$L$2:$L$4995,"Đã chuyển khoản"))</f>
        <v/>
      </c>
      <c r="X1018" s="23">
        <f>IF(OR($D1018="",$R1018="Trùng"),"",SUMIFS(ORDERS!$J$2:$J$4995,ORDERS!$C$2:$C$4995,$D1018,ORDERS!$L$2:$L$4995,"Đã chuyển khoản"))</f>
        <v/>
      </c>
      <c r="Y1018" s="24" t="n"/>
    </row>
    <row r="1019" ht="14.25" customHeight="1" s="40">
      <c r="A1019" s="24" t="n"/>
      <c r="B1019" s="27" t="n"/>
      <c r="C1019" s="24" t="n"/>
      <c r="D1019" s="28" t="n"/>
      <c r="E1019" s="29" t="n"/>
      <c r="F1019" s="24" t="n"/>
      <c r="G1019" s="24" t="n"/>
      <c r="H1019" s="21">
        <f>IF(ISNUMBER($B1019),INT($B1019)-WEEKDAY($B1019,2)+1,"")</f>
        <v/>
      </c>
      <c r="I1019" s="24" t="n"/>
      <c r="J1019" s="22">
        <f t="array" ref="J1019">IF($D1019="","",IF($I1019="","(trống REF)",IFERROR(INDEX(MASTER_SOURCE!$B$2:$B$495,MATCH($I1019,MASTER_SOURCE!$A$2:$A$495,0)),"(REF không có trong MASTER_SOURCE)")))</f>
        <v/>
      </c>
      <c r="K1019" s="22">
        <f t="array" ref="K1019">IF($D1019="","",IFERROR(INDEX(MASTER_SOURCE!$C$2:$C$495,MATCH($I1019,MASTER_SOURCE!$A$2:$A$495,0)),""))</f>
        <v/>
      </c>
      <c r="L1019" s="22">
        <f t="array" ref="L1019">IF($D1019="","",IFERROR(INDEX(MASTER_SOURCE!$D$2:$D$495,MATCH($I1019,MASTER_SOURCE!$A$2:$A$495,0)),""))</f>
        <v/>
      </c>
      <c r="M1019" s="24" t="n"/>
      <c r="N1019" s="24" t="n"/>
      <c r="O1019" s="24" t="n"/>
      <c r="P1019" s="24" t="n"/>
      <c r="Q1019" s="22">
        <f>IF($D1019="","",IF(AND(OR(DANH_MUC!$L$5&lt;&gt;"Có",M1019="Có"),OR(DANH_MUC!$L$6&lt;&gt;"Có",N1019="Có"),OR(DANH_MUC!$L$7&lt;&gt;"Có",O1019="Có"),OR(DANH_MUC!$L$8&lt;&gt;"Có",P1019="Có")),"Có","Không"))</f>
        <v/>
      </c>
      <c r="R1019" s="22">
        <f>IF($D1019="","",IF(COUNTIF($D$2:$D1019,$D1019)&gt;1,"Trùng",""))</f>
        <v/>
      </c>
      <c r="S1019" s="22">
        <f>IF($D1019="","",IF(AND(LEN($D1019)=10,LEFT($D1019,1)="0",ISNUMBER(--$D1019)),"Có","Không"))</f>
        <v/>
      </c>
      <c r="T1019" s="22">
        <f>IF($D1019="","",IF(AND($C1019&lt;&gt;"",$Q1019="Có",$R1019="",$S1019="Có",AND($L1019&lt;&gt;"",OR($L1019&lt;&gt;"Chưa xác định",DANH_MUC!$L$9="Có"))),"Có","Không"))</f>
        <v/>
      </c>
      <c r="U1019" s="22">
        <f>IF(OR($D1019="",$T1019="Có"),"",IF($C1019="","Thiếu họ tên; ","")&amp;IF($S1019&lt;&gt;"Có","SĐT sai định dạng; ","")&amp;IF($R1019="Trùng","Trùng SĐT; ","")&amp;IF($Q1019&lt;&gt;"Có","Thiếu đồng ý bắt buộc; ","")&amp;IF($L1019="","Thiếu/sai Mã REF; ",IF(AND($L1019="Chưa xác định",DANH_MUC!$L$9&lt;&gt;"Có"),"Nguồn chưa xác định; ","")))</f>
        <v/>
      </c>
      <c r="V1019" s="22">
        <f>IF(OR($D1019="",$R1019="Trùng"),"",IF(COUNTIF(ORDERS!$C$2:$C$4995,$D1019)&gt;0,"Có","Không"))</f>
        <v/>
      </c>
      <c r="W1019" s="22">
        <f>IF(OR($D1019="",$R1019="Trùng"),"",COUNTIFS(ORDERS!$C$2:$C$4995,$D1019,ORDERS!$L$2:$L$4995,"Đã chuyển khoản"))</f>
        <v/>
      </c>
      <c r="X1019" s="23">
        <f>IF(OR($D1019="",$R1019="Trùng"),"",SUMIFS(ORDERS!$J$2:$J$4995,ORDERS!$C$2:$C$4995,$D1019,ORDERS!$L$2:$L$4995,"Đã chuyển khoản"))</f>
        <v/>
      </c>
      <c r="Y1019" s="24" t="n"/>
    </row>
    <row r="1020" ht="14.25" customHeight="1" s="40">
      <c r="A1020" s="24" t="n"/>
      <c r="B1020" s="27" t="n"/>
      <c r="C1020" s="24" t="n"/>
      <c r="D1020" s="28" t="n"/>
      <c r="E1020" s="29" t="n"/>
      <c r="F1020" s="24" t="n"/>
      <c r="G1020" s="24" t="n"/>
      <c r="H1020" s="21">
        <f>IF(ISNUMBER($B1020),INT($B1020)-WEEKDAY($B1020,2)+1,"")</f>
        <v/>
      </c>
      <c r="I1020" s="24" t="n"/>
      <c r="J1020" s="22">
        <f t="array" ref="J1020">IF($D1020="","",IF($I1020="","(trống REF)",IFERROR(INDEX(MASTER_SOURCE!$B$2:$B$495,MATCH($I1020,MASTER_SOURCE!$A$2:$A$495,0)),"(REF không có trong MASTER_SOURCE)")))</f>
        <v/>
      </c>
      <c r="K1020" s="22">
        <f t="array" ref="K1020">IF($D1020="","",IFERROR(INDEX(MASTER_SOURCE!$C$2:$C$495,MATCH($I1020,MASTER_SOURCE!$A$2:$A$495,0)),""))</f>
        <v/>
      </c>
      <c r="L1020" s="22">
        <f t="array" ref="L1020">IF($D1020="","",IFERROR(INDEX(MASTER_SOURCE!$D$2:$D$495,MATCH($I1020,MASTER_SOURCE!$A$2:$A$495,0)),""))</f>
        <v/>
      </c>
      <c r="M1020" s="24" t="n"/>
      <c r="N1020" s="24" t="n"/>
      <c r="O1020" s="24" t="n"/>
      <c r="P1020" s="24" t="n"/>
      <c r="Q1020" s="22">
        <f>IF($D1020="","",IF(AND(OR(DANH_MUC!$L$5&lt;&gt;"Có",M1020="Có"),OR(DANH_MUC!$L$6&lt;&gt;"Có",N1020="Có"),OR(DANH_MUC!$L$7&lt;&gt;"Có",O1020="Có"),OR(DANH_MUC!$L$8&lt;&gt;"Có",P1020="Có")),"Có","Không"))</f>
        <v/>
      </c>
      <c r="R1020" s="22">
        <f>IF($D1020="","",IF(COUNTIF($D$2:$D1020,$D1020)&gt;1,"Trùng",""))</f>
        <v/>
      </c>
      <c r="S1020" s="22">
        <f>IF($D1020="","",IF(AND(LEN($D1020)=10,LEFT($D1020,1)="0",ISNUMBER(--$D1020)),"Có","Không"))</f>
        <v/>
      </c>
      <c r="T1020" s="22">
        <f>IF($D1020="","",IF(AND($C1020&lt;&gt;"",$Q1020="Có",$R1020="",$S1020="Có",AND($L1020&lt;&gt;"",OR($L1020&lt;&gt;"Chưa xác định",DANH_MUC!$L$9="Có"))),"Có","Không"))</f>
        <v/>
      </c>
      <c r="U1020" s="22">
        <f>IF(OR($D1020="",$T1020="Có"),"",IF($C1020="","Thiếu họ tên; ","")&amp;IF($S1020&lt;&gt;"Có","SĐT sai định dạng; ","")&amp;IF($R1020="Trùng","Trùng SĐT; ","")&amp;IF($Q1020&lt;&gt;"Có","Thiếu đồng ý bắt buộc; ","")&amp;IF($L1020="","Thiếu/sai Mã REF; ",IF(AND($L1020="Chưa xác định",DANH_MUC!$L$9&lt;&gt;"Có"),"Nguồn chưa xác định; ","")))</f>
        <v/>
      </c>
      <c r="V1020" s="22">
        <f>IF(OR($D1020="",$R1020="Trùng"),"",IF(COUNTIF(ORDERS!$C$2:$C$4995,$D1020)&gt;0,"Có","Không"))</f>
        <v/>
      </c>
      <c r="W1020" s="22">
        <f>IF(OR($D1020="",$R1020="Trùng"),"",COUNTIFS(ORDERS!$C$2:$C$4995,$D1020,ORDERS!$L$2:$L$4995,"Đã chuyển khoản"))</f>
        <v/>
      </c>
      <c r="X1020" s="23">
        <f>IF(OR($D1020="",$R1020="Trùng"),"",SUMIFS(ORDERS!$J$2:$J$4995,ORDERS!$C$2:$C$4995,$D1020,ORDERS!$L$2:$L$4995,"Đã chuyển khoản"))</f>
        <v/>
      </c>
      <c r="Y1020" s="24" t="n"/>
    </row>
    <row r="1021" ht="14.25" customHeight="1" s="40">
      <c r="A1021" s="24" t="n"/>
      <c r="B1021" s="27" t="n"/>
      <c r="C1021" s="24" t="n"/>
      <c r="D1021" s="28" t="n"/>
      <c r="E1021" s="29" t="n"/>
      <c r="F1021" s="24" t="n"/>
      <c r="G1021" s="24" t="n"/>
      <c r="H1021" s="21">
        <f>IF(ISNUMBER($B1021),INT($B1021)-WEEKDAY($B1021,2)+1,"")</f>
        <v/>
      </c>
      <c r="I1021" s="24" t="n"/>
      <c r="J1021" s="22">
        <f t="array" ref="J1021">IF($D1021="","",IF($I1021="","(trống REF)",IFERROR(INDEX(MASTER_SOURCE!$B$2:$B$495,MATCH($I1021,MASTER_SOURCE!$A$2:$A$495,0)),"(REF không có trong MASTER_SOURCE)")))</f>
        <v/>
      </c>
      <c r="K1021" s="22">
        <f t="array" ref="K1021">IF($D1021="","",IFERROR(INDEX(MASTER_SOURCE!$C$2:$C$495,MATCH($I1021,MASTER_SOURCE!$A$2:$A$495,0)),""))</f>
        <v/>
      </c>
      <c r="L1021" s="22">
        <f t="array" ref="L1021">IF($D1021="","",IFERROR(INDEX(MASTER_SOURCE!$D$2:$D$495,MATCH($I1021,MASTER_SOURCE!$A$2:$A$495,0)),""))</f>
        <v/>
      </c>
      <c r="M1021" s="24" t="n"/>
      <c r="N1021" s="24" t="n"/>
      <c r="O1021" s="24" t="n"/>
      <c r="P1021" s="24" t="n"/>
      <c r="Q1021" s="22">
        <f>IF($D1021="","",IF(AND(OR(DANH_MUC!$L$5&lt;&gt;"Có",M1021="Có"),OR(DANH_MUC!$L$6&lt;&gt;"Có",N1021="Có"),OR(DANH_MUC!$L$7&lt;&gt;"Có",O1021="Có"),OR(DANH_MUC!$L$8&lt;&gt;"Có",P1021="Có")),"Có","Không"))</f>
        <v/>
      </c>
      <c r="R1021" s="22">
        <f>IF($D1021="","",IF(COUNTIF($D$2:$D1021,$D1021)&gt;1,"Trùng",""))</f>
        <v/>
      </c>
      <c r="S1021" s="22">
        <f>IF($D1021="","",IF(AND(LEN($D1021)=10,LEFT($D1021,1)="0",ISNUMBER(--$D1021)),"Có","Không"))</f>
        <v/>
      </c>
      <c r="T1021" s="22">
        <f>IF($D1021="","",IF(AND($C1021&lt;&gt;"",$Q1021="Có",$R1021="",$S1021="Có",AND($L1021&lt;&gt;"",OR($L1021&lt;&gt;"Chưa xác định",DANH_MUC!$L$9="Có"))),"Có","Không"))</f>
        <v/>
      </c>
      <c r="U1021" s="22">
        <f>IF(OR($D1021="",$T1021="Có"),"",IF($C1021="","Thiếu họ tên; ","")&amp;IF($S1021&lt;&gt;"Có","SĐT sai định dạng; ","")&amp;IF($R1021="Trùng","Trùng SĐT; ","")&amp;IF($Q1021&lt;&gt;"Có","Thiếu đồng ý bắt buộc; ","")&amp;IF($L1021="","Thiếu/sai Mã REF; ",IF(AND($L1021="Chưa xác định",DANH_MUC!$L$9&lt;&gt;"Có"),"Nguồn chưa xác định; ","")))</f>
        <v/>
      </c>
      <c r="V1021" s="22">
        <f>IF(OR($D1021="",$R1021="Trùng"),"",IF(COUNTIF(ORDERS!$C$2:$C$4995,$D1021)&gt;0,"Có","Không"))</f>
        <v/>
      </c>
      <c r="W1021" s="22">
        <f>IF(OR($D1021="",$R1021="Trùng"),"",COUNTIFS(ORDERS!$C$2:$C$4995,$D1021,ORDERS!$L$2:$L$4995,"Đã chuyển khoản"))</f>
        <v/>
      </c>
      <c r="X1021" s="23">
        <f>IF(OR($D1021="",$R1021="Trùng"),"",SUMIFS(ORDERS!$J$2:$J$4995,ORDERS!$C$2:$C$4995,$D1021,ORDERS!$L$2:$L$4995,"Đã chuyển khoản"))</f>
        <v/>
      </c>
      <c r="Y1021" s="24" t="n"/>
    </row>
    <row r="1022" ht="14.25" customHeight="1" s="40">
      <c r="A1022" s="24" t="n"/>
      <c r="B1022" s="27" t="n"/>
      <c r="C1022" s="24" t="n"/>
      <c r="D1022" s="28" t="n"/>
      <c r="E1022" s="29" t="n"/>
      <c r="F1022" s="24" t="n"/>
      <c r="G1022" s="24" t="n"/>
      <c r="H1022" s="21">
        <f>IF(ISNUMBER($B1022),INT($B1022)-WEEKDAY($B1022,2)+1,"")</f>
        <v/>
      </c>
      <c r="I1022" s="24" t="n"/>
      <c r="J1022" s="22">
        <f t="array" ref="J1022">IF($D1022="","",IF($I1022="","(trống REF)",IFERROR(INDEX(MASTER_SOURCE!$B$2:$B$495,MATCH($I1022,MASTER_SOURCE!$A$2:$A$495,0)),"(REF không có trong MASTER_SOURCE)")))</f>
        <v/>
      </c>
      <c r="K1022" s="22">
        <f t="array" ref="K1022">IF($D1022="","",IFERROR(INDEX(MASTER_SOURCE!$C$2:$C$495,MATCH($I1022,MASTER_SOURCE!$A$2:$A$495,0)),""))</f>
        <v/>
      </c>
      <c r="L1022" s="22">
        <f t="array" ref="L1022">IF($D1022="","",IFERROR(INDEX(MASTER_SOURCE!$D$2:$D$495,MATCH($I1022,MASTER_SOURCE!$A$2:$A$495,0)),""))</f>
        <v/>
      </c>
      <c r="M1022" s="24" t="n"/>
      <c r="N1022" s="24" t="n"/>
      <c r="O1022" s="24" t="n"/>
      <c r="P1022" s="24" t="n"/>
      <c r="Q1022" s="22">
        <f>IF($D1022="","",IF(AND(OR(DANH_MUC!$L$5&lt;&gt;"Có",M1022="Có"),OR(DANH_MUC!$L$6&lt;&gt;"Có",N1022="Có"),OR(DANH_MUC!$L$7&lt;&gt;"Có",O1022="Có"),OR(DANH_MUC!$L$8&lt;&gt;"Có",P1022="Có")),"Có","Không"))</f>
        <v/>
      </c>
      <c r="R1022" s="22">
        <f>IF($D1022="","",IF(COUNTIF($D$2:$D1022,$D1022)&gt;1,"Trùng",""))</f>
        <v/>
      </c>
      <c r="S1022" s="22">
        <f>IF($D1022="","",IF(AND(LEN($D1022)=10,LEFT($D1022,1)="0",ISNUMBER(--$D1022)),"Có","Không"))</f>
        <v/>
      </c>
      <c r="T1022" s="22">
        <f>IF($D1022="","",IF(AND($C1022&lt;&gt;"",$Q1022="Có",$R1022="",$S1022="Có",AND($L1022&lt;&gt;"",OR($L1022&lt;&gt;"Chưa xác định",DANH_MUC!$L$9="Có"))),"Có","Không"))</f>
        <v/>
      </c>
      <c r="U1022" s="22">
        <f>IF(OR($D1022="",$T1022="Có"),"",IF($C1022="","Thiếu họ tên; ","")&amp;IF($S1022&lt;&gt;"Có","SĐT sai định dạng; ","")&amp;IF($R1022="Trùng","Trùng SĐT; ","")&amp;IF($Q1022&lt;&gt;"Có","Thiếu đồng ý bắt buộc; ","")&amp;IF($L1022="","Thiếu/sai Mã REF; ",IF(AND($L1022="Chưa xác định",DANH_MUC!$L$9&lt;&gt;"Có"),"Nguồn chưa xác định; ","")))</f>
        <v/>
      </c>
      <c r="V1022" s="22">
        <f>IF(OR($D1022="",$R1022="Trùng"),"",IF(COUNTIF(ORDERS!$C$2:$C$4995,$D1022)&gt;0,"Có","Không"))</f>
        <v/>
      </c>
      <c r="W1022" s="22">
        <f>IF(OR($D1022="",$R1022="Trùng"),"",COUNTIFS(ORDERS!$C$2:$C$4995,$D1022,ORDERS!$L$2:$L$4995,"Đã chuyển khoản"))</f>
        <v/>
      </c>
      <c r="X1022" s="23">
        <f>IF(OR($D1022="",$R1022="Trùng"),"",SUMIFS(ORDERS!$J$2:$J$4995,ORDERS!$C$2:$C$4995,$D1022,ORDERS!$L$2:$L$4995,"Đã chuyển khoản"))</f>
        <v/>
      </c>
      <c r="Y1022" s="24" t="n"/>
    </row>
    <row r="1023" ht="14.25" customHeight="1" s="40">
      <c r="A1023" s="24" t="n"/>
      <c r="B1023" s="27" t="n"/>
      <c r="C1023" s="24" t="n"/>
      <c r="D1023" s="28" t="n"/>
      <c r="E1023" s="29" t="n"/>
      <c r="F1023" s="24" t="n"/>
      <c r="G1023" s="24" t="n"/>
      <c r="H1023" s="21">
        <f>IF(ISNUMBER($B1023),INT($B1023)-WEEKDAY($B1023,2)+1,"")</f>
        <v/>
      </c>
      <c r="I1023" s="24" t="n"/>
      <c r="J1023" s="22">
        <f t="array" ref="J1023">IF($D1023="","",IF($I1023="","(trống REF)",IFERROR(INDEX(MASTER_SOURCE!$B$2:$B$495,MATCH($I1023,MASTER_SOURCE!$A$2:$A$495,0)),"(REF không có trong MASTER_SOURCE)")))</f>
        <v/>
      </c>
      <c r="K1023" s="22">
        <f t="array" ref="K1023">IF($D1023="","",IFERROR(INDEX(MASTER_SOURCE!$C$2:$C$495,MATCH($I1023,MASTER_SOURCE!$A$2:$A$495,0)),""))</f>
        <v/>
      </c>
      <c r="L1023" s="22">
        <f t="array" ref="L1023">IF($D1023="","",IFERROR(INDEX(MASTER_SOURCE!$D$2:$D$495,MATCH($I1023,MASTER_SOURCE!$A$2:$A$495,0)),""))</f>
        <v/>
      </c>
      <c r="M1023" s="24" t="n"/>
      <c r="N1023" s="24" t="n"/>
      <c r="O1023" s="24" t="n"/>
      <c r="P1023" s="24" t="n"/>
      <c r="Q1023" s="22">
        <f>IF($D1023="","",IF(AND(OR(DANH_MUC!$L$5&lt;&gt;"Có",M1023="Có"),OR(DANH_MUC!$L$6&lt;&gt;"Có",N1023="Có"),OR(DANH_MUC!$L$7&lt;&gt;"Có",O1023="Có"),OR(DANH_MUC!$L$8&lt;&gt;"Có",P1023="Có")),"Có","Không"))</f>
        <v/>
      </c>
      <c r="R1023" s="22">
        <f>IF($D1023="","",IF(COUNTIF($D$2:$D1023,$D1023)&gt;1,"Trùng",""))</f>
        <v/>
      </c>
      <c r="S1023" s="22">
        <f>IF($D1023="","",IF(AND(LEN($D1023)=10,LEFT($D1023,1)="0",ISNUMBER(--$D1023)),"Có","Không"))</f>
        <v/>
      </c>
      <c r="T1023" s="22">
        <f>IF($D1023="","",IF(AND($C1023&lt;&gt;"",$Q1023="Có",$R1023="",$S1023="Có",AND($L1023&lt;&gt;"",OR($L1023&lt;&gt;"Chưa xác định",DANH_MUC!$L$9="Có"))),"Có","Không"))</f>
        <v/>
      </c>
      <c r="U1023" s="22">
        <f>IF(OR($D1023="",$T1023="Có"),"",IF($C1023="","Thiếu họ tên; ","")&amp;IF($S1023&lt;&gt;"Có","SĐT sai định dạng; ","")&amp;IF($R1023="Trùng","Trùng SĐT; ","")&amp;IF($Q1023&lt;&gt;"Có","Thiếu đồng ý bắt buộc; ","")&amp;IF($L1023="","Thiếu/sai Mã REF; ",IF(AND($L1023="Chưa xác định",DANH_MUC!$L$9&lt;&gt;"Có"),"Nguồn chưa xác định; ","")))</f>
        <v/>
      </c>
      <c r="V1023" s="22">
        <f>IF(OR($D1023="",$R1023="Trùng"),"",IF(COUNTIF(ORDERS!$C$2:$C$4995,$D1023)&gt;0,"Có","Không"))</f>
        <v/>
      </c>
      <c r="W1023" s="22">
        <f>IF(OR($D1023="",$R1023="Trùng"),"",COUNTIFS(ORDERS!$C$2:$C$4995,$D1023,ORDERS!$L$2:$L$4995,"Đã chuyển khoản"))</f>
        <v/>
      </c>
      <c r="X1023" s="23">
        <f>IF(OR($D1023="",$R1023="Trùng"),"",SUMIFS(ORDERS!$J$2:$J$4995,ORDERS!$C$2:$C$4995,$D1023,ORDERS!$L$2:$L$4995,"Đã chuyển khoản"))</f>
        <v/>
      </c>
      <c r="Y1023" s="24" t="n"/>
    </row>
    <row r="1024" ht="14.25" customHeight="1" s="40">
      <c r="A1024" s="24" t="n"/>
      <c r="B1024" s="27" t="n"/>
      <c r="C1024" s="24" t="n"/>
      <c r="D1024" s="28" t="n"/>
      <c r="E1024" s="29" t="n"/>
      <c r="F1024" s="24" t="n"/>
      <c r="G1024" s="24" t="n"/>
      <c r="H1024" s="21">
        <f>IF(ISNUMBER($B1024),INT($B1024)-WEEKDAY($B1024,2)+1,"")</f>
        <v/>
      </c>
      <c r="I1024" s="24" t="n"/>
      <c r="J1024" s="22">
        <f t="array" ref="J1024">IF($D1024="","",IF($I1024="","(trống REF)",IFERROR(INDEX(MASTER_SOURCE!$B$2:$B$495,MATCH($I1024,MASTER_SOURCE!$A$2:$A$495,0)),"(REF không có trong MASTER_SOURCE)")))</f>
        <v/>
      </c>
      <c r="K1024" s="22">
        <f t="array" ref="K1024">IF($D1024="","",IFERROR(INDEX(MASTER_SOURCE!$C$2:$C$495,MATCH($I1024,MASTER_SOURCE!$A$2:$A$495,0)),""))</f>
        <v/>
      </c>
      <c r="L1024" s="22">
        <f t="array" ref="L1024">IF($D1024="","",IFERROR(INDEX(MASTER_SOURCE!$D$2:$D$495,MATCH($I1024,MASTER_SOURCE!$A$2:$A$495,0)),""))</f>
        <v/>
      </c>
      <c r="M1024" s="24" t="n"/>
      <c r="N1024" s="24" t="n"/>
      <c r="O1024" s="24" t="n"/>
      <c r="P1024" s="24" t="n"/>
      <c r="Q1024" s="22">
        <f>IF($D1024="","",IF(AND(OR(DANH_MUC!$L$5&lt;&gt;"Có",M1024="Có"),OR(DANH_MUC!$L$6&lt;&gt;"Có",N1024="Có"),OR(DANH_MUC!$L$7&lt;&gt;"Có",O1024="Có"),OR(DANH_MUC!$L$8&lt;&gt;"Có",P1024="Có")),"Có","Không"))</f>
        <v/>
      </c>
      <c r="R1024" s="22">
        <f>IF($D1024="","",IF(COUNTIF($D$2:$D1024,$D1024)&gt;1,"Trùng",""))</f>
        <v/>
      </c>
      <c r="S1024" s="22">
        <f>IF($D1024="","",IF(AND(LEN($D1024)=10,LEFT($D1024,1)="0",ISNUMBER(--$D1024)),"Có","Không"))</f>
        <v/>
      </c>
      <c r="T1024" s="22">
        <f>IF($D1024="","",IF(AND($C1024&lt;&gt;"",$Q1024="Có",$R1024="",$S1024="Có",AND($L1024&lt;&gt;"",OR($L1024&lt;&gt;"Chưa xác định",DANH_MUC!$L$9="Có"))),"Có","Không"))</f>
        <v/>
      </c>
      <c r="U1024" s="22">
        <f>IF(OR($D1024="",$T1024="Có"),"",IF($C1024="","Thiếu họ tên; ","")&amp;IF($S1024&lt;&gt;"Có","SĐT sai định dạng; ","")&amp;IF($R1024="Trùng","Trùng SĐT; ","")&amp;IF($Q1024&lt;&gt;"Có","Thiếu đồng ý bắt buộc; ","")&amp;IF($L1024="","Thiếu/sai Mã REF; ",IF(AND($L1024="Chưa xác định",DANH_MUC!$L$9&lt;&gt;"Có"),"Nguồn chưa xác định; ","")))</f>
        <v/>
      </c>
      <c r="V1024" s="22">
        <f>IF(OR($D1024="",$R1024="Trùng"),"",IF(COUNTIF(ORDERS!$C$2:$C$4995,$D1024)&gt;0,"Có","Không"))</f>
        <v/>
      </c>
      <c r="W1024" s="22">
        <f>IF(OR($D1024="",$R1024="Trùng"),"",COUNTIFS(ORDERS!$C$2:$C$4995,$D1024,ORDERS!$L$2:$L$4995,"Đã chuyển khoản"))</f>
        <v/>
      </c>
      <c r="X1024" s="23">
        <f>IF(OR($D1024="",$R1024="Trùng"),"",SUMIFS(ORDERS!$J$2:$J$4995,ORDERS!$C$2:$C$4995,$D1024,ORDERS!$L$2:$L$4995,"Đã chuyển khoản"))</f>
        <v/>
      </c>
      <c r="Y1024" s="24" t="n"/>
    </row>
    <row r="1025" ht="14.25" customHeight="1" s="40">
      <c r="A1025" s="24" t="n"/>
      <c r="B1025" s="27" t="n"/>
      <c r="C1025" s="24" t="n"/>
      <c r="D1025" s="28" t="n"/>
      <c r="E1025" s="29" t="n"/>
      <c r="F1025" s="24" t="n"/>
      <c r="G1025" s="24" t="n"/>
      <c r="H1025" s="21">
        <f>IF(ISNUMBER($B1025),INT($B1025)-WEEKDAY($B1025,2)+1,"")</f>
        <v/>
      </c>
      <c r="I1025" s="24" t="n"/>
      <c r="J1025" s="22">
        <f t="array" ref="J1025">IF($D1025="","",IF($I1025="","(trống REF)",IFERROR(INDEX(MASTER_SOURCE!$B$2:$B$495,MATCH($I1025,MASTER_SOURCE!$A$2:$A$495,0)),"(REF không có trong MASTER_SOURCE)")))</f>
        <v/>
      </c>
      <c r="K1025" s="22">
        <f t="array" ref="K1025">IF($D1025="","",IFERROR(INDEX(MASTER_SOURCE!$C$2:$C$495,MATCH($I1025,MASTER_SOURCE!$A$2:$A$495,0)),""))</f>
        <v/>
      </c>
      <c r="L1025" s="22">
        <f t="array" ref="L1025">IF($D1025="","",IFERROR(INDEX(MASTER_SOURCE!$D$2:$D$495,MATCH($I1025,MASTER_SOURCE!$A$2:$A$495,0)),""))</f>
        <v/>
      </c>
      <c r="M1025" s="24" t="n"/>
      <c r="N1025" s="24" t="n"/>
      <c r="O1025" s="24" t="n"/>
      <c r="P1025" s="24" t="n"/>
      <c r="Q1025" s="22">
        <f>IF($D1025="","",IF(AND(OR(DANH_MUC!$L$5&lt;&gt;"Có",M1025="Có"),OR(DANH_MUC!$L$6&lt;&gt;"Có",N1025="Có"),OR(DANH_MUC!$L$7&lt;&gt;"Có",O1025="Có"),OR(DANH_MUC!$L$8&lt;&gt;"Có",P1025="Có")),"Có","Không"))</f>
        <v/>
      </c>
      <c r="R1025" s="22">
        <f>IF($D1025="","",IF(COUNTIF($D$2:$D1025,$D1025)&gt;1,"Trùng",""))</f>
        <v/>
      </c>
      <c r="S1025" s="22">
        <f>IF($D1025="","",IF(AND(LEN($D1025)=10,LEFT($D1025,1)="0",ISNUMBER(--$D1025)),"Có","Không"))</f>
        <v/>
      </c>
      <c r="T1025" s="22">
        <f>IF($D1025="","",IF(AND($C1025&lt;&gt;"",$Q1025="Có",$R1025="",$S1025="Có",AND($L1025&lt;&gt;"",OR($L1025&lt;&gt;"Chưa xác định",DANH_MUC!$L$9="Có"))),"Có","Không"))</f>
        <v/>
      </c>
      <c r="U1025" s="22">
        <f>IF(OR($D1025="",$T1025="Có"),"",IF($C1025="","Thiếu họ tên; ","")&amp;IF($S1025&lt;&gt;"Có","SĐT sai định dạng; ","")&amp;IF($R1025="Trùng","Trùng SĐT; ","")&amp;IF($Q1025&lt;&gt;"Có","Thiếu đồng ý bắt buộc; ","")&amp;IF($L1025="","Thiếu/sai Mã REF; ",IF(AND($L1025="Chưa xác định",DANH_MUC!$L$9&lt;&gt;"Có"),"Nguồn chưa xác định; ","")))</f>
        <v/>
      </c>
      <c r="V1025" s="22">
        <f>IF(OR($D1025="",$R1025="Trùng"),"",IF(COUNTIF(ORDERS!$C$2:$C$4995,$D1025)&gt;0,"Có","Không"))</f>
        <v/>
      </c>
      <c r="W1025" s="22">
        <f>IF(OR($D1025="",$R1025="Trùng"),"",COUNTIFS(ORDERS!$C$2:$C$4995,$D1025,ORDERS!$L$2:$L$4995,"Đã chuyển khoản"))</f>
        <v/>
      </c>
      <c r="X1025" s="23">
        <f>IF(OR($D1025="",$R1025="Trùng"),"",SUMIFS(ORDERS!$J$2:$J$4995,ORDERS!$C$2:$C$4995,$D1025,ORDERS!$L$2:$L$4995,"Đã chuyển khoản"))</f>
        <v/>
      </c>
      <c r="Y1025" s="24" t="n"/>
    </row>
    <row r="1026" ht="14.25" customHeight="1" s="40">
      <c r="A1026" s="24" t="n"/>
      <c r="B1026" s="27" t="n"/>
      <c r="C1026" s="24" t="n"/>
      <c r="D1026" s="28" t="n"/>
      <c r="E1026" s="29" t="n"/>
      <c r="F1026" s="24" t="n"/>
      <c r="G1026" s="24" t="n"/>
      <c r="H1026" s="21">
        <f>IF(ISNUMBER($B1026),INT($B1026)-WEEKDAY($B1026,2)+1,"")</f>
        <v/>
      </c>
      <c r="I1026" s="24" t="n"/>
      <c r="J1026" s="22">
        <f t="array" ref="J1026">IF($D1026="","",IF($I1026="","(trống REF)",IFERROR(INDEX(MASTER_SOURCE!$B$2:$B$495,MATCH($I1026,MASTER_SOURCE!$A$2:$A$495,0)),"(REF không có trong MASTER_SOURCE)")))</f>
        <v/>
      </c>
      <c r="K1026" s="22">
        <f t="array" ref="K1026">IF($D1026="","",IFERROR(INDEX(MASTER_SOURCE!$C$2:$C$495,MATCH($I1026,MASTER_SOURCE!$A$2:$A$495,0)),""))</f>
        <v/>
      </c>
      <c r="L1026" s="22">
        <f t="array" ref="L1026">IF($D1026="","",IFERROR(INDEX(MASTER_SOURCE!$D$2:$D$495,MATCH($I1026,MASTER_SOURCE!$A$2:$A$495,0)),""))</f>
        <v/>
      </c>
      <c r="M1026" s="24" t="n"/>
      <c r="N1026" s="24" t="n"/>
      <c r="O1026" s="24" t="n"/>
      <c r="P1026" s="24" t="n"/>
      <c r="Q1026" s="22">
        <f>IF($D1026="","",IF(AND(OR(DANH_MUC!$L$5&lt;&gt;"Có",M1026="Có"),OR(DANH_MUC!$L$6&lt;&gt;"Có",N1026="Có"),OR(DANH_MUC!$L$7&lt;&gt;"Có",O1026="Có"),OR(DANH_MUC!$L$8&lt;&gt;"Có",P1026="Có")),"Có","Không"))</f>
        <v/>
      </c>
      <c r="R1026" s="22">
        <f>IF($D1026="","",IF(COUNTIF($D$2:$D1026,$D1026)&gt;1,"Trùng",""))</f>
        <v/>
      </c>
      <c r="S1026" s="22">
        <f>IF($D1026="","",IF(AND(LEN($D1026)=10,LEFT($D1026,1)="0",ISNUMBER(--$D1026)),"Có","Không"))</f>
        <v/>
      </c>
      <c r="T1026" s="22">
        <f>IF($D1026="","",IF(AND($C1026&lt;&gt;"",$Q1026="Có",$R1026="",$S1026="Có",AND($L1026&lt;&gt;"",OR($L1026&lt;&gt;"Chưa xác định",DANH_MUC!$L$9="Có"))),"Có","Không"))</f>
        <v/>
      </c>
      <c r="U1026" s="22">
        <f>IF(OR($D1026="",$T1026="Có"),"",IF($C1026="","Thiếu họ tên; ","")&amp;IF($S1026&lt;&gt;"Có","SĐT sai định dạng; ","")&amp;IF($R1026="Trùng","Trùng SĐT; ","")&amp;IF($Q1026&lt;&gt;"Có","Thiếu đồng ý bắt buộc; ","")&amp;IF($L1026="","Thiếu/sai Mã REF; ",IF(AND($L1026="Chưa xác định",DANH_MUC!$L$9&lt;&gt;"Có"),"Nguồn chưa xác định; ","")))</f>
        <v/>
      </c>
      <c r="V1026" s="22">
        <f>IF(OR($D1026="",$R1026="Trùng"),"",IF(COUNTIF(ORDERS!$C$2:$C$4995,$D1026)&gt;0,"Có","Không"))</f>
        <v/>
      </c>
      <c r="W1026" s="22">
        <f>IF(OR($D1026="",$R1026="Trùng"),"",COUNTIFS(ORDERS!$C$2:$C$4995,$D1026,ORDERS!$L$2:$L$4995,"Đã chuyển khoản"))</f>
        <v/>
      </c>
      <c r="X1026" s="23">
        <f>IF(OR($D1026="",$R1026="Trùng"),"",SUMIFS(ORDERS!$J$2:$J$4995,ORDERS!$C$2:$C$4995,$D1026,ORDERS!$L$2:$L$4995,"Đã chuyển khoản"))</f>
        <v/>
      </c>
      <c r="Y1026" s="24" t="n"/>
    </row>
    <row r="1027" ht="14.25" customHeight="1" s="40">
      <c r="A1027" s="24" t="n"/>
      <c r="B1027" s="27" t="n"/>
      <c r="C1027" s="24" t="n"/>
      <c r="D1027" s="28" t="n"/>
      <c r="E1027" s="29" t="n"/>
      <c r="F1027" s="24" t="n"/>
      <c r="G1027" s="24" t="n"/>
      <c r="H1027" s="21">
        <f>IF(ISNUMBER($B1027),INT($B1027)-WEEKDAY($B1027,2)+1,"")</f>
        <v/>
      </c>
      <c r="I1027" s="24" t="n"/>
      <c r="J1027" s="22">
        <f t="array" ref="J1027">IF($D1027="","",IF($I1027="","(trống REF)",IFERROR(INDEX(MASTER_SOURCE!$B$2:$B$495,MATCH($I1027,MASTER_SOURCE!$A$2:$A$495,0)),"(REF không có trong MASTER_SOURCE)")))</f>
        <v/>
      </c>
      <c r="K1027" s="22">
        <f t="array" ref="K1027">IF($D1027="","",IFERROR(INDEX(MASTER_SOURCE!$C$2:$C$495,MATCH($I1027,MASTER_SOURCE!$A$2:$A$495,0)),""))</f>
        <v/>
      </c>
      <c r="L1027" s="22">
        <f t="array" ref="L1027">IF($D1027="","",IFERROR(INDEX(MASTER_SOURCE!$D$2:$D$495,MATCH($I1027,MASTER_SOURCE!$A$2:$A$495,0)),""))</f>
        <v/>
      </c>
      <c r="M1027" s="24" t="n"/>
      <c r="N1027" s="24" t="n"/>
      <c r="O1027" s="24" t="n"/>
      <c r="P1027" s="24" t="n"/>
      <c r="Q1027" s="22">
        <f>IF($D1027="","",IF(AND(OR(DANH_MUC!$L$5&lt;&gt;"Có",M1027="Có"),OR(DANH_MUC!$L$6&lt;&gt;"Có",N1027="Có"),OR(DANH_MUC!$L$7&lt;&gt;"Có",O1027="Có"),OR(DANH_MUC!$L$8&lt;&gt;"Có",P1027="Có")),"Có","Không"))</f>
        <v/>
      </c>
      <c r="R1027" s="22">
        <f>IF($D1027="","",IF(COUNTIF($D$2:$D1027,$D1027)&gt;1,"Trùng",""))</f>
        <v/>
      </c>
      <c r="S1027" s="22">
        <f>IF($D1027="","",IF(AND(LEN($D1027)=10,LEFT($D1027,1)="0",ISNUMBER(--$D1027)),"Có","Không"))</f>
        <v/>
      </c>
      <c r="T1027" s="22">
        <f>IF($D1027="","",IF(AND($C1027&lt;&gt;"",$Q1027="Có",$R1027="",$S1027="Có",AND($L1027&lt;&gt;"",OR($L1027&lt;&gt;"Chưa xác định",DANH_MUC!$L$9="Có"))),"Có","Không"))</f>
        <v/>
      </c>
      <c r="U1027" s="22">
        <f>IF(OR($D1027="",$T1027="Có"),"",IF($C1027="","Thiếu họ tên; ","")&amp;IF($S1027&lt;&gt;"Có","SĐT sai định dạng; ","")&amp;IF($R1027="Trùng","Trùng SĐT; ","")&amp;IF($Q1027&lt;&gt;"Có","Thiếu đồng ý bắt buộc; ","")&amp;IF($L1027="","Thiếu/sai Mã REF; ",IF(AND($L1027="Chưa xác định",DANH_MUC!$L$9&lt;&gt;"Có"),"Nguồn chưa xác định; ","")))</f>
        <v/>
      </c>
      <c r="V1027" s="22">
        <f>IF(OR($D1027="",$R1027="Trùng"),"",IF(COUNTIF(ORDERS!$C$2:$C$4995,$D1027)&gt;0,"Có","Không"))</f>
        <v/>
      </c>
      <c r="W1027" s="22">
        <f>IF(OR($D1027="",$R1027="Trùng"),"",COUNTIFS(ORDERS!$C$2:$C$4995,$D1027,ORDERS!$L$2:$L$4995,"Đã chuyển khoản"))</f>
        <v/>
      </c>
      <c r="X1027" s="23">
        <f>IF(OR($D1027="",$R1027="Trùng"),"",SUMIFS(ORDERS!$J$2:$J$4995,ORDERS!$C$2:$C$4995,$D1027,ORDERS!$L$2:$L$4995,"Đã chuyển khoản"))</f>
        <v/>
      </c>
      <c r="Y1027" s="24" t="n"/>
    </row>
    <row r="1028" ht="14.25" customHeight="1" s="40">
      <c r="A1028" s="24" t="n"/>
      <c r="B1028" s="27" t="n"/>
      <c r="C1028" s="24" t="n"/>
      <c r="D1028" s="28" t="n"/>
      <c r="E1028" s="29" t="n"/>
      <c r="F1028" s="24" t="n"/>
      <c r="G1028" s="24" t="n"/>
      <c r="H1028" s="21">
        <f>IF(ISNUMBER($B1028),INT($B1028)-WEEKDAY($B1028,2)+1,"")</f>
        <v/>
      </c>
      <c r="I1028" s="24" t="n"/>
      <c r="J1028" s="22">
        <f t="array" ref="J1028">IF($D1028="","",IF($I1028="","(trống REF)",IFERROR(INDEX(MASTER_SOURCE!$B$2:$B$495,MATCH($I1028,MASTER_SOURCE!$A$2:$A$495,0)),"(REF không có trong MASTER_SOURCE)")))</f>
        <v/>
      </c>
      <c r="K1028" s="22">
        <f t="array" ref="K1028">IF($D1028="","",IFERROR(INDEX(MASTER_SOURCE!$C$2:$C$495,MATCH($I1028,MASTER_SOURCE!$A$2:$A$495,0)),""))</f>
        <v/>
      </c>
      <c r="L1028" s="22">
        <f t="array" ref="L1028">IF($D1028="","",IFERROR(INDEX(MASTER_SOURCE!$D$2:$D$495,MATCH($I1028,MASTER_SOURCE!$A$2:$A$495,0)),""))</f>
        <v/>
      </c>
      <c r="M1028" s="24" t="n"/>
      <c r="N1028" s="24" t="n"/>
      <c r="O1028" s="24" t="n"/>
      <c r="P1028" s="24" t="n"/>
      <c r="Q1028" s="22">
        <f>IF($D1028="","",IF(AND(OR(DANH_MUC!$L$5&lt;&gt;"Có",M1028="Có"),OR(DANH_MUC!$L$6&lt;&gt;"Có",N1028="Có"),OR(DANH_MUC!$L$7&lt;&gt;"Có",O1028="Có"),OR(DANH_MUC!$L$8&lt;&gt;"Có",P1028="Có")),"Có","Không"))</f>
        <v/>
      </c>
      <c r="R1028" s="22">
        <f>IF($D1028="","",IF(COUNTIF($D$2:$D1028,$D1028)&gt;1,"Trùng",""))</f>
        <v/>
      </c>
      <c r="S1028" s="22">
        <f>IF($D1028="","",IF(AND(LEN($D1028)=10,LEFT($D1028,1)="0",ISNUMBER(--$D1028)),"Có","Không"))</f>
        <v/>
      </c>
      <c r="T1028" s="22">
        <f>IF($D1028="","",IF(AND($C1028&lt;&gt;"",$Q1028="Có",$R1028="",$S1028="Có",AND($L1028&lt;&gt;"",OR($L1028&lt;&gt;"Chưa xác định",DANH_MUC!$L$9="Có"))),"Có","Không"))</f>
        <v/>
      </c>
      <c r="U1028" s="22">
        <f>IF(OR($D1028="",$T1028="Có"),"",IF($C1028="","Thiếu họ tên; ","")&amp;IF($S1028&lt;&gt;"Có","SĐT sai định dạng; ","")&amp;IF($R1028="Trùng","Trùng SĐT; ","")&amp;IF($Q1028&lt;&gt;"Có","Thiếu đồng ý bắt buộc; ","")&amp;IF($L1028="","Thiếu/sai Mã REF; ",IF(AND($L1028="Chưa xác định",DANH_MUC!$L$9&lt;&gt;"Có"),"Nguồn chưa xác định; ","")))</f>
        <v/>
      </c>
      <c r="V1028" s="22">
        <f>IF(OR($D1028="",$R1028="Trùng"),"",IF(COUNTIF(ORDERS!$C$2:$C$4995,$D1028)&gt;0,"Có","Không"))</f>
        <v/>
      </c>
      <c r="W1028" s="22">
        <f>IF(OR($D1028="",$R1028="Trùng"),"",COUNTIFS(ORDERS!$C$2:$C$4995,$D1028,ORDERS!$L$2:$L$4995,"Đã chuyển khoản"))</f>
        <v/>
      </c>
      <c r="X1028" s="23">
        <f>IF(OR($D1028="",$R1028="Trùng"),"",SUMIFS(ORDERS!$J$2:$J$4995,ORDERS!$C$2:$C$4995,$D1028,ORDERS!$L$2:$L$4995,"Đã chuyển khoản"))</f>
        <v/>
      </c>
      <c r="Y1028" s="24" t="n"/>
    </row>
    <row r="1029" ht="14.25" customHeight="1" s="40">
      <c r="A1029" s="24" t="n"/>
      <c r="B1029" s="27" t="n"/>
      <c r="C1029" s="24" t="n"/>
      <c r="D1029" s="28" t="n"/>
      <c r="E1029" s="29" t="n"/>
      <c r="F1029" s="24" t="n"/>
      <c r="G1029" s="24" t="n"/>
      <c r="H1029" s="21">
        <f>IF(ISNUMBER($B1029),INT($B1029)-WEEKDAY($B1029,2)+1,"")</f>
        <v/>
      </c>
      <c r="I1029" s="24" t="n"/>
      <c r="J1029" s="22">
        <f t="array" ref="J1029">IF($D1029="","",IF($I1029="","(trống REF)",IFERROR(INDEX(MASTER_SOURCE!$B$2:$B$495,MATCH($I1029,MASTER_SOURCE!$A$2:$A$495,0)),"(REF không có trong MASTER_SOURCE)")))</f>
        <v/>
      </c>
      <c r="K1029" s="22">
        <f t="array" ref="K1029">IF($D1029="","",IFERROR(INDEX(MASTER_SOURCE!$C$2:$C$495,MATCH($I1029,MASTER_SOURCE!$A$2:$A$495,0)),""))</f>
        <v/>
      </c>
      <c r="L1029" s="22">
        <f t="array" ref="L1029">IF($D1029="","",IFERROR(INDEX(MASTER_SOURCE!$D$2:$D$495,MATCH($I1029,MASTER_SOURCE!$A$2:$A$495,0)),""))</f>
        <v/>
      </c>
      <c r="M1029" s="24" t="n"/>
      <c r="N1029" s="24" t="n"/>
      <c r="O1029" s="24" t="n"/>
      <c r="P1029" s="24" t="n"/>
      <c r="Q1029" s="22">
        <f>IF($D1029="","",IF(AND(OR(DANH_MUC!$L$5&lt;&gt;"Có",M1029="Có"),OR(DANH_MUC!$L$6&lt;&gt;"Có",N1029="Có"),OR(DANH_MUC!$L$7&lt;&gt;"Có",O1029="Có"),OR(DANH_MUC!$L$8&lt;&gt;"Có",P1029="Có")),"Có","Không"))</f>
        <v/>
      </c>
      <c r="R1029" s="22">
        <f>IF($D1029="","",IF(COUNTIF($D$2:$D1029,$D1029)&gt;1,"Trùng",""))</f>
        <v/>
      </c>
      <c r="S1029" s="22">
        <f>IF($D1029="","",IF(AND(LEN($D1029)=10,LEFT($D1029,1)="0",ISNUMBER(--$D1029)),"Có","Không"))</f>
        <v/>
      </c>
      <c r="T1029" s="22">
        <f>IF($D1029="","",IF(AND($C1029&lt;&gt;"",$Q1029="Có",$R1029="",$S1029="Có",AND($L1029&lt;&gt;"",OR($L1029&lt;&gt;"Chưa xác định",DANH_MUC!$L$9="Có"))),"Có","Không"))</f>
        <v/>
      </c>
      <c r="U1029" s="22">
        <f>IF(OR($D1029="",$T1029="Có"),"",IF($C1029="","Thiếu họ tên; ","")&amp;IF($S1029&lt;&gt;"Có","SĐT sai định dạng; ","")&amp;IF($R1029="Trùng","Trùng SĐT; ","")&amp;IF($Q1029&lt;&gt;"Có","Thiếu đồng ý bắt buộc; ","")&amp;IF($L1029="","Thiếu/sai Mã REF; ",IF(AND($L1029="Chưa xác định",DANH_MUC!$L$9&lt;&gt;"Có"),"Nguồn chưa xác định; ","")))</f>
        <v/>
      </c>
      <c r="V1029" s="22">
        <f>IF(OR($D1029="",$R1029="Trùng"),"",IF(COUNTIF(ORDERS!$C$2:$C$4995,$D1029)&gt;0,"Có","Không"))</f>
        <v/>
      </c>
      <c r="W1029" s="22">
        <f>IF(OR($D1029="",$R1029="Trùng"),"",COUNTIFS(ORDERS!$C$2:$C$4995,$D1029,ORDERS!$L$2:$L$4995,"Đã chuyển khoản"))</f>
        <v/>
      </c>
      <c r="X1029" s="23">
        <f>IF(OR($D1029="",$R1029="Trùng"),"",SUMIFS(ORDERS!$J$2:$J$4995,ORDERS!$C$2:$C$4995,$D1029,ORDERS!$L$2:$L$4995,"Đã chuyển khoản"))</f>
        <v/>
      </c>
      <c r="Y1029" s="24" t="n"/>
    </row>
    <row r="1030" ht="14.25" customHeight="1" s="40">
      <c r="A1030" s="24" t="n"/>
      <c r="B1030" s="27" t="n"/>
      <c r="C1030" s="24" t="n"/>
      <c r="D1030" s="28" t="n"/>
      <c r="E1030" s="29" t="n"/>
      <c r="F1030" s="24" t="n"/>
      <c r="G1030" s="24" t="n"/>
      <c r="H1030" s="21">
        <f>IF(ISNUMBER($B1030),INT($B1030)-WEEKDAY($B1030,2)+1,"")</f>
        <v/>
      </c>
      <c r="I1030" s="24" t="n"/>
      <c r="J1030" s="22">
        <f t="array" ref="J1030">IF($D1030="","",IF($I1030="","(trống REF)",IFERROR(INDEX(MASTER_SOURCE!$B$2:$B$495,MATCH($I1030,MASTER_SOURCE!$A$2:$A$495,0)),"(REF không có trong MASTER_SOURCE)")))</f>
        <v/>
      </c>
      <c r="K1030" s="22">
        <f t="array" ref="K1030">IF($D1030="","",IFERROR(INDEX(MASTER_SOURCE!$C$2:$C$495,MATCH($I1030,MASTER_SOURCE!$A$2:$A$495,0)),""))</f>
        <v/>
      </c>
      <c r="L1030" s="22">
        <f t="array" ref="L1030">IF($D1030="","",IFERROR(INDEX(MASTER_SOURCE!$D$2:$D$495,MATCH($I1030,MASTER_SOURCE!$A$2:$A$495,0)),""))</f>
        <v/>
      </c>
      <c r="M1030" s="24" t="n"/>
      <c r="N1030" s="24" t="n"/>
      <c r="O1030" s="24" t="n"/>
      <c r="P1030" s="24" t="n"/>
      <c r="Q1030" s="22">
        <f>IF($D1030="","",IF(AND(OR(DANH_MUC!$L$5&lt;&gt;"Có",M1030="Có"),OR(DANH_MUC!$L$6&lt;&gt;"Có",N1030="Có"),OR(DANH_MUC!$L$7&lt;&gt;"Có",O1030="Có"),OR(DANH_MUC!$L$8&lt;&gt;"Có",P1030="Có")),"Có","Không"))</f>
        <v/>
      </c>
      <c r="R1030" s="22">
        <f>IF($D1030="","",IF(COUNTIF($D$2:$D1030,$D1030)&gt;1,"Trùng",""))</f>
        <v/>
      </c>
      <c r="S1030" s="22">
        <f>IF($D1030="","",IF(AND(LEN($D1030)=10,LEFT($D1030,1)="0",ISNUMBER(--$D1030)),"Có","Không"))</f>
        <v/>
      </c>
      <c r="T1030" s="22">
        <f>IF($D1030="","",IF(AND($C1030&lt;&gt;"",$Q1030="Có",$R1030="",$S1030="Có",AND($L1030&lt;&gt;"",OR($L1030&lt;&gt;"Chưa xác định",DANH_MUC!$L$9="Có"))),"Có","Không"))</f>
        <v/>
      </c>
      <c r="U1030" s="22">
        <f>IF(OR($D1030="",$T1030="Có"),"",IF($C1030="","Thiếu họ tên; ","")&amp;IF($S1030&lt;&gt;"Có","SĐT sai định dạng; ","")&amp;IF($R1030="Trùng","Trùng SĐT; ","")&amp;IF($Q1030&lt;&gt;"Có","Thiếu đồng ý bắt buộc; ","")&amp;IF($L1030="","Thiếu/sai Mã REF; ",IF(AND($L1030="Chưa xác định",DANH_MUC!$L$9&lt;&gt;"Có"),"Nguồn chưa xác định; ","")))</f>
        <v/>
      </c>
      <c r="V1030" s="22">
        <f>IF(OR($D1030="",$R1030="Trùng"),"",IF(COUNTIF(ORDERS!$C$2:$C$4995,$D1030)&gt;0,"Có","Không"))</f>
        <v/>
      </c>
      <c r="W1030" s="22">
        <f>IF(OR($D1030="",$R1030="Trùng"),"",COUNTIFS(ORDERS!$C$2:$C$4995,$D1030,ORDERS!$L$2:$L$4995,"Đã chuyển khoản"))</f>
        <v/>
      </c>
      <c r="X1030" s="23">
        <f>IF(OR($D1030="",$R1030="Trùng"),"",SUMIFS(ORDERS!$J$2:$J$4995,ORDERS!$C$2:$C$4995,$D1030,ORDERS!$L$2:$L$4995,"Đã chuyển khoản"))</f>
        <v/>
      </c>
      <c r="Y1030" s="24" t="n"/>
    </row>
    <row r="1031" ht="14.25" customHeight="1" s="40">
      <c r="A1031" s="24" t="n"/>
      <c r="B1031" s="27" t="n"/>
      <c r="C1031" s="24" t="n"/>
      <c r="D1031" s="28" t="n"/>
      <c r="E1031" s="29" t="n"/>
      <c r="F1031" s="24" t="n"/>
      <c r="G1031" s="24" t="n"/>
      <c r="H1031" s="21">
        <f>IF(ISNUMBER($B1031),INT($B1031)-WEEKDAY($B1031,2)+1,"")</f>
        <v/>
      </c>
      <c r="I1031" s="24" t="n"/>
      <c r="J1031" s="22">
        <f t="array" ref="J1031">IF($D1031="","",IF($I1031="","(trống REF)",IFERROR(INDEX(MASTER_SOURCE!$B$2:$B$495,MATCH($I1031,MASTER_SOURCE!$A$2:$A$495,0)),"(REF không có trong MASTER_SOURCE)")))</f>
        <v/>
      </c>
      <c r="K1031" s="22">
        <f t="array" ref="K1031">IF($D1031="","",IFERROR(INDEX(MASTER_SOURCE!$C$2:$C$495,MATCH($I1031,MASTER_SOURCE!$A$2:$A$495,0)),""))</f>
        <v/>
      </c>
      <c r="L1031" s="22">
        <f t="array" ref="L1031">IF($D1031="","",IFERROR(INDEX(MASTER_SOURCE!$D$2:$D$495,MATCH($I1031,MASTER_SOURCE!$A$2:$A$495,0)),""))</f>
        <v/>
      </c>
      <c r="M1031" s="24" t="n"/>
      <c r="N1031" s="24" t="n"/>
      <c r="O1031" s="24" t="n"/>
      <c r="P1031" s="24" t="n"/>
      <c r="Q1031" s="22">
        <f>IF($D1031="","",IF(AND(OR(DANH_MUC!$L$5&lt;&gt;"Có",M1031="Có"),OR(DANH_MUC!$L$6&lt;&gt;"Có",N1031="Có"),OR(DANH_MUC!$L$7&lt;&gt;"Có",O1031="Có"),OR(DANH_MUC!$L$8&lt;&gt;"Có",P1031="Có")),"Có","Không"))</f>
        <v/>
      </c>
      <c r="R1031" s="22">
        <f>IF($D1031="","",IF(COUNTIF($D$2:$D1031,$D1031)&gt;1,"Trùng",""))</f>
        <v/>
      </c>
      <c r="S1031" s="22">
        <f>IF($D1031="","",IF(AND(LEN($D1031)=10,LEFT($D1031,1)="0",ISNUMBER(--$D1031)),"Có","Không"))</f>
        <v/>
      </c>
      <c r="T1031" s="22">
        <f>IF($D1031="","",IF(AND($C1031&lt;&gt;"",$Q1031="Có",$R1031="",$S1031="Có",AND($L1031&lt;&gt;"",OR($L1031&lt;&gt;"Chưa xác định",DANH_MUC!$L$9="Có"))),"Có","Không"))</f>
        <v/>
      </c>
      <c r="U1031" s="22">
        <f>IF(OR($D1031="",$T1031="Có"),"",IF($C1031="","Thiếu họ tên; ","")&amp;IF($S1031&lt;&gt;"Có","SĐT sai định dạng; ","")&amp;IF($R1031="Trùng","Trùng SĐT; ","")&amp;IF($Q1031&lt;&gt;"Có","Thiếu đồng ý bắt buộc; ","")&amp;IF($L1031="","Thiếu/sai Mã REF; ",IF(AND($L1031="Chưa xác định",DANH_MUC!$L$9&lt;&gt;"Có"),"Nguồn chưa xác định; ","")))</f>
        <v/>
      </c>
      <c r="V1031" s="22">
        <f>IF(OR($D1031="",$R1031="Trùng"),"",IF(COUNTIF(ORDERS!$C$2:$C$4995,$D1031)&gt;0,"Có","Không"))</f>
        <v/>
      </c>
      <c r="W1031" s="22">
        <f>IF(OR($D1031="",$R1031="Trùng"),"",COUNTIFS(ORDERS!$C$2:$C$4995,$D1031,ORDERS!$L$2:$L$4995,"Đã chuyển khoản"))</f>
        <v/>
      </c>
      <c r="X1031" s="23">
        <f>IF(OR($D1031="",$R1031="Trùng"),"",SUMIFS(ORDERS!$J$2:$J$4995,ORDERS!$C$2:$C$4995,$D1031,ORDERS!$L$2:$L$4995,"Đã chuyển khoản"))</f>
        <v/>
      </c>
      <c r="Y1031" s="24" t="n"/>
    </row>
    <row r="1032" ht="14.25" customHeight="1" s="40">
      <c r="A1032" s="24" t="n"/>
      <c r="B1032" s="27" t="n"/>
      <c r="C1032" s="24" t="n"/>
      <c r="D1032" s="28" t="n"/>
      <c r="E1032" s="29" t="n"/>
      <c r="F1032" s="24" t="n"/>
      <c r="G1032" s="24" t="n"/>
      <c r="H1032" s="21">
        <f>IF(ISNUMBER($B1032),INT($B1032)-WEEKDAY($B1032,2)+1,"")</f>
        <v/>
      </c>
      <c r="I1032" s="24" t="n"/>
      <c r="J1032" s="22">
        <f t="array" ref="J1032">IF($D1032="","",IF($I1032="","(trống REF)",IFERROR(INDEX(MASTER_SOURCE!$B$2:$B$495,MATCH($I1032,MASTER_SOURCE!$A$2:$A$495,0)),"(REF không có trong MASTER_SOURCE)")))</f>
        <v/>
      </c>
      <c r="K1032" s="22">
        <f t="array" ref="K1032">IF($D1032="","",IFERROR(INDEX(MASTER_SOURCE!$C$2:$C$495,MATCH($I1032,MASTER_SOURCE!$A$2:$A$495,0)),""))</f>
        <v/>
      </c>
      <c r="L1032" s="22">
        <f t="array" ref="L1032">IF($D1032="","",IFERROR(INDEX(MASTER_SOURCE!$D$2:$D$495,MATCH($I1032,MASTER_SOURCE!$A$2:$A$495,0)),""))</f>
        <v/>
      </c>
      <c r="M1032" s="24" t="n"/>
      <c r="N1032" s="24" t="n"/>
      <c r="O1032" s="24" t="n"/>
      <c r="P1032" s="24" t="n"/>
      <c r="Q1032" s="22">
        <f>IF($D1032="","",IF(AND(OR(DANH_MUC!$L$5&lt;&gt;"Có",M1032="Có"),OR(DANH_MUC!$L$6&lt;&gt;"Có",N1032="Có"),OR(DANH_MUC!$L$7&lt;&gt;"Có",O1032="Có"),OR(DANH_MUC!$L$8&lt;&gt;"Có",P1032="Có")),"Có","Không"))</f>
        <v/>
      </c>
      <c r="R1032" s="22">
        <f>IF($D1032="","",IF(COUNTIF($D$2:$D1032,$D1032)&gt;1,"Trùng",""))</f>
        <v/>
      </c>
      <c r="S1032" s="22">
        <f>IF($D1032="","",IF(AND(LEN($D1032)=10,LEFT($D1032,1)="0",ISNUMBER(--$D1032)),"Có","Không"))</f>
        <v/>
      </c>
      <c r="T1032" s="22">
        <f>IF($D1032="","",IF(AND($C1032&lt;&gt;"",$Q1032="Có",$R1032="",$S1032="Có",AND($L1032&lt;&gt;"",OR($L1032&lt;&gt;"Chưa xác định",DANH_MUC!$L$9="Có"))),"Có","Không"))</f>
        <v/>
      </c>
      <c r="U1032" s="22">
        <f>IF(OR($D1032="",$T1032="Có"),"",IF($C1032="","Thiếu họ tên; ","")&amp;IF($S1032&lt;&gt;"Có","SĐT sai định dạng; ","")&amp;IF($R1032="Trùng","Trùng SĐT; ","")&amp;IF($Q1032&lt;&gt;"Có","Thiếu đồng ý bắt buộc; ","")&amp;IF($L1032="","Thiếu/sai Mã REF; ",IF(AND($L1032="Chưa xác định",DANH_MUC!$L$9&lt;&gt;"Có"),"Nguồn chưa xác định; ","")))</f>
        <v/>
      </c>
      <c r="V1032" s="22">
        <f>IF(OR($D1032="",$R1032="Trùng"),"",IF(COUNTIF(ORDERS!$C$2:$C$4995,$D1032)&gt;0,"Có","Không"))</f>
        <v/>
      </c>
      <c r="W1032" s="22">
        <f>IF(OR($D1032="",$R1032="Trùng"),"",COUNTIFS(ORDERS!$C$2:$C$4995,$D1032,ORDERS!$L$2:$L$4995,"Đã chuyển khoản"))</f>
        <v/>
      </c>
      <c r="X1032" s="23">
        <f>IF(OR($D1032="",$R1032="Trùng"),"",SUMIFS(ORDERS!$J$2:$J$4995,ORDERS!$C$2:$C$4995,$D1032,ORDERS!$L$2:$L$4995,"Đã chuyển khoản"))</f>
        <v/>
      </c>
      <c r="Y1032" s="24" t="n"/>
    </row>
    <row r="1033" ht="14.25" customHeight="1" s="40">
      <c r="A1033" s="24" t="n"/>
      <c r="B1033" s="27" t="n"/>
      <c r="C1033" s="24" t="n"/>
      <c r="D1033" s="28" t="n"/>
      <c r="E1033" s="29" t="n"/>
      <c r="F1033" s="24" t="n"/>
      <c r="G1033" s="24" t="n"/>
      <c r="H1033" s="21">
        <f>IF(ISNUMBER($B1033),INT($B1033)-WEEKDAY($B1033,2)+1,"")</f>
        <v/>
      </c>
      <c r="I1033" s="24" t="n"/>
      <c r="J1033" s="22">
        <f t="array" ref="J1033">IF($D1033="","",IF($I1033="","(trống REF)",IFERROR(INDEX(MASTER_SOURCE!$B$2:$B$495,MATCH($I1033,MASTER_SOURCE!$A$2:$A$495,0)),"(REF không có trong MASTER_SOURCE)")))</f>
        <v/>
      </c>
      <c r="K1033" s="22">
        <f t="array" ref="K1033">IF($D1033="","",IFERROR(INDEX(MASTER_SOURCE!$C$2:$C$495,MATCH($I1033,MASTER_SOURCE!$A$2:$A$495,0)),""))</f>
        <v/>
      </c>
      <c r="L1033" s="22">
        <f t="array" ref="L1033">IF($D1033="","",IFERROR(INDEX(MASTER_SOURCE!$D$2:$D$495,MATCH($I1033,MASTER_SOURCE!$A$2:$A$495,0)),""))</f>
        <v/>
      </c>
      <c r="M1033" s="24" t="n"/>
      <c r="N1033" s="24" t="n"/>
      <c r="O1033" s="24" t="n"/>
      <c r="P1033" s="24" t="n"/>
      <c r="Q1033" s="22">
        <f>IF($D1033="","",IF(AND(OR(DANH_MUC!$L$5&lt;&gt;"Có",M1033="Có"),OR(DANH_MUC!$L$6&lt;&gt;"Có",N1033="Có"),OR(DANH_MUC!$L$7&lt;&gt;"Có",O1033="Có"),OR(DANH_MUC!$L$8&lt;&gt;"Có",P1033="Có")),"Có","Không"))</f>
        <v/>
      </c>
      <c r="R1033" s="22">
        <f>IF($D1033="","",IF(COUNTIF($D$2:$D1033,$D1033)&gt;1,"Trùng",""))</f>
        <v/>
      </c>
      <c r="S1033" s="22">
        <f>IF($D1033="","",IF(AND(LEN($D1033)=10,LEFT($D1033,1)="0",ISNUMBER(--$D1033)),"Có","Không"))</f>
        <v/>
      </c>
      <c r="T1033" s="22">
        <f>IF($D1033="","",IF(AND($C1033&lt;&gt;"",$Q1033="Có",$R1033="",$S1033="Có",AND($L1033&lt;&gt;"",OR($L1033&lt;&gt;"Chưa xác định",DANH_MUC!$L$9="Có"))),"Có","Không"))</f>
        <v/>
      </c>
      <c r="U1033" s="22">
        <f>IF(OR($D1033="",$T1033="Có"),"",IF($C1033="","Thiếu họ tên; ","")&amp;IF($S1033&lt;&gt;"Có","SĐT sai định dạng; ","")&amp;IF($R1033="Trùng","Trùng SĐT; ","")&amp;IF($Q1033&lt;&gt;"Có","Thiếu đồng ý bắt buộc; ","")&amp;IF($L1033="","Thiếu/sai Mã REF; ",IF(AND($L1033="Chưa xác định",DANH_MUC!$L$9&lt;&gt;"Có"),"Nguồn chưa xác định; ","")))</f>
        <v/>
      </c>
      <c r="V1033" s="22">
        <f>IF(OR($D1033="",$R1033="Trùng"),"",IF(COUNTIF(ORDERS!$C$2:$C$4995,$D1033)&gt;0,"Có","Không"))</f>
        <v/>
      </c>
      <c r="W1033" s="22">
        <f>IF(OR($D1033="",$R1033="Trùng"),"",COUNTIFS(ORDERS!$C$2:$C$4995,$D1033,ORDERS!$L$2:$L$4995,"Đã chuyển khoản"))</f>
        <v/>
      </c>
      <c r="X1033" s="23">
        <f>IF(OR($D1033="",$R1033="Trùng"),"",SUMIFS(ORDERS!$J$2:$J$4995,ORDERS!$C$2:$C$4995,$D1033,ORDERS!$L$2:$L$4995,"Đã chuyển khoản"))</f>
        <v/>
      </c>
      <c r="Y1033" s="24" t="n"/>
    </row>
    <row r="1034" ht="14.25" customHeight="1" s="40">
      <c r="A1034" s="24" t="n"/>
      <c r="B1034" s="27" t="n"/>
      <c r="C1034" s="24" t="n"/>
      <c r="D1034" s="28" t="n"/>
      <c r="E1034" s="29" t="n"/>
      <c r="F1034" s="24" t="n"/>
      <c r="G1034" s="24" t="n"/>
      <c r="H1034" s="21">
        <f>IF(ISNUMBER($B1034),INT($B1034)-WEEKDAY($B1034,2)+1,"")</f>
        <v/>
      </c>
      <c r="I1034" s="24" t="n"/>
      <c r="J1034" s="22">
        <f t="array" ref="J1034">IF($D1034="","",IF($I1034="","(trống REF)",IFERROR(INDEX(MASTER_SOURCE!$B$2:$B$495,MATCH($I1034,MASTER_SOURCE!$A$2:$A$495,0)),"(REF không có trong MASTER_SOURCE)")))</f>
        <v/>
      </c>
      <c r="K1034" s="22">
        <f t="array" ref="K1034">IF($D1034="","",IFERROR(INDEX(MASTER_SOURCE!$C$2:$C$495,MATCH($I1034,MASTER_SOURCE!$A$2:$A$495,0)),""))</f>
        <v/>
      </c>
      <c r="L1034" s="22">
        <f t="array" ref="L1034">IF($D1034="","",IFERROR(INDEX(MASTER_SOURCE!$D$2:$D$495,MATCH($I1034,MASTER_SOURCE!$A$2:$A$495,0)),""))</f>
        <v/>
      </c>
      <c r="M1034" s="24" t="n"/>
      <c r="N1034" s="24" t="n"/>
      <c r="O1034" s="24" t="n"/>
      <c r="P1034" s="24" t="n"/>
      <c r="Q1034" s="22">
        <f>IF($D1034="","",IF(AND(OR(DANH_MUC!$L$5&lt;&gt;"Có",M1034="Có"),OR(DANH_MUC!$L$6&lt;&gt;"Có",N1034="Có"),OR(DANH_MUC!$L$7&lt;&gt;"Có",O1034="Có"),OR(DANH_MUC!$L$8&lt;&gt;"Có",P1034="Có")),"Có","Không"))</f>
        <v/>
      </c>
      <c r="R1034" s="22">
        <f>IF($D1034="","",IF(COUNTIF($D$2:$D1034,$D1034)&gt;1,"Trùng",""))</f>
        <v/>
      </c>
      <c r="S1034" s="22">
        <f>IF($D1034="","",IF(AND(LEN($D1034)=10,LEFT($D1034,1)="0",ISNUMBER(--$D1034)),"Có","Không"))</f>
        <v/>
      </c>
      <c r="T1034" s="22">
        <f>IF($D1034="","",IF(AND($C1034&lt;&gt;"",$Q1034="Có",$R1034="",$S1034="Có",AND($L1034&lt;&gt;"",OR($L1034&lt;&gt;"Chưa xác định",DANH_MUC!$L$9="Có"))),"Có","Không"))</f>
        <v/>
      </c>
      <c r="U1034" s="22">
        <f>IF(OR($D1034="",$T1034="Có"),"",IF($C1034="","Thiếu họ tên; ","")&amp;IF($S1034&lt;&gt;"Có","SĐT sai định dạng; ","")&amp;IF($R1034="Trùng","Trùng SĐT; ","")&amp;IF($Q1034&lt;&gt;"Có","Thiếu đồng ý bắt buộc; ","")&amp;IF($L1034="","Thiếu/sai Mã REF; ",IF(AND($L1034="Chưa xác định",DANH_MUC!$L$9&lt;&gt;"Có"),"Nguồn chưa xác định; ","")))</f>
        <v/>
      </c>
      <c r="V1034" s="22">
        <f>IF(OR($D1034="",$R1034="Trùng"),"",IF(COUNTIF(ORDERS!$C$2:$C$4995,$D1034)&gt;0,"Có","Không"))</f>
        <v/>
      </c>
      <c r="W1034" s="22">
        <f>IF(OR($D1034="",$R1034="Trùng"),"",COUNTIFS(ORDERS!$C$2:$C$4995,$D1034,ORDERS!$L$2:$L$4995,"Đã chuyển khoản"))</f>
        <v/>
      </c>
      <c r="X1034" s="23">
        <f>IF(OR($D1034="",$R1034="Trùng"),"",SUMIFS(ORDERS!$J$2:$J$4995,ORDERS!$C$2:$C$4995,$D1034,ORDERS!$L$2:$L$4995,"Đã chuyển khoản"))</f>
        <v/>
      </c>
      <c r="Y1034" s="24" t="n"/>
    </row>
    <row r="1035" ht="14.25" customHeight="1" s="40">
      <c r="A1035" s="24" t="n"/>
      <c r="B1035" s="27" t="n"/>
      <c r="C1035" s="24" t="n"/>
      <c r="D1035" s="28" t="n"/>
      <c r="E1035" s="29" t="n"/>
      <c r="F1035" s="24" t="n"/>
      <c r="G1035" s="24" t="n"/>
      <c r="H1035" s="21">
        <f>IF(ISNUMBER($B1035),INT($B1035)-WEEKDAY($B1035,2)+1,"")</f>
        <v/>
      </c>
      <c r="I1035" s="24" t="n"/>
      <c r="J1035" s="22">
        <f t="array" ref="J1035">IF($D1035="","",IF($I1035="","(trống REF)",IFERROR(INDEX(MASTER_SOURCE!$B$2:$B$495,MATCH($I1035,MASTER_SOURCE!$A$2:$A$495,0)),"(REF không có trong MASTER_SOURCE)")))</f>
        <v/>
      </c>
      <c r="K1035" s="22">
        <f t="array" ref="K1035">IF($D1035="","",IFERROR(INDEX(MASTER_SOURCE!$C$2:$C$495,MATCH($I1035,MASTER_SOURCE!$A$2:$A$495,0)),""))</f>
        <v/>
      </c>
      <c r="L1035" s="22">
        <f t="array" ref="L1035">IF($D1035="","",IFERROR(INDEX(MASTER_SOURCE!$D$2:$D$495,MATCH($I1035,MASTER_SOURCE!$A$2:$A$495,0)),""))</f>
        <v/>
      </c>
      <c r="M1035" s="24" t="n"/>
      <c r="N1035" s="24" t="n"/>
      <c r="O1035" s="24" t="n"/>
      <c r="P1035" s="24" t="n"/>
      <c r="Q1035" s="22">
        <f>IF($D1035="","",IF(AND(OR(DANH_MUC!$L$5&lt;&gt;"Có",M1035="Có"),OR(DANH_MUC!$L$6&lt;&gt;"Có",N1035="Có"),OR(DANH_MUC!$L$7&lt;&gt;"Có",O1035="Có"),OR(DANH_MUC!$L$8&lt;&gt;"Có",P1035="Có")),"Có","Không"))</f>
        <v/>
      </c>
      <c r="R1035" s="22">
        <f>IF($D1035="","",IF(COUNTIF($D$2:$D1035,$D1035)&gt;1,"Trùng",""))</f>
        <v/>
      </c>
      <c r="S1035" s="22">
        <f>IF($D1035="","",IF(AND(LEN($D1035)=10,LEFT($D1035,1)="0",ISNUMBER(--$D1035)),"Có","Không"))</f>
        <v/>
      </c>
      <c r="T1035" s="22">
        <f>IF($D1035="","",IF(AND($C1035&lt;&gt;"",$Q1035="Có",$R1035="",$S1035="Có",AND($L1035&lt;&gt;"",OR($L1035&lt;&gt;"Chưa xác định",DANH_MUC!$L$9="Có"))),"Có","Không"))</f>
        <v/>
      </c>
      <c r="U1035" s="22">
        <f>IF(OR($D1035="",$T1035="Có"),"",IF($C1035="","Thiếu họ tên; ","")&amp;IF($S1035&lt;&gt;"Có","SĐT sai định dạng; ","")&amp;IF($R1035="Trùng","Trùng SĐT; ","")&amp;IF($Q1035&lt;&gt;"Có","Thiếu đồng ý bắt buộc; ","")&amp;IF($L1035="","Thiếu/sai Mã REF; ",IF(AND($L1035="Chưa xác định",DANH_MUC!$L$9&lt;&gt;"Có"),"Nguồn chưa xác định; ","")))</f>
        <v/>
      </c>
      <c r="V1035" s="22">
        <f>IF(OR($D1035="",$R1035="Trùng"),"",IF(COUNTIF(ORDERS!$C$2:$C$4995,$D1035)&gt;0,"Có","Không"))</f>
        <v/>
      </c>
      <c r="W1035" s="22">
        <f>IF(OR($D1035="",$R1035="Trùng"),"",COUNTIFS(ORDERS!$C$2:$C$4995,$D1035,ORDERS!$L$2:$L$4995,"Đã chuyển khoản"))</f>
        <v/>
      </c>
      <c r="X1035" s="23">
        <f>IF(OR($D1035="",$R1035="Trùng"),"",SUMIFS(ORDERS!$J$2:$J$4995,ORDERS!$C$2:$C$4995,$D1035,ORDERS!$L$2:$L$4995,"Đã chuyển khoản"))</f>
        <v/>
      </c>
      <c r="Y1035" s="24" t="n"/>
    </row>
    <row r="1036" ht="14.25" customHeight="1" s="40">
      <c r="A1036" s="24" t="n"/>
      <c r="B1036" s="27" t="n"/>
      <c r="C1036" s="24" t="n"/>
      <c r="D1036" s="28" t="n"/>
      <c r="E1036" s="29" t="n"/>
      <c r="F1036" s="24" t="n"/>
      <c r="G1036" s="24" t="n"/>
      <c r="H1036" s="21">
        <f>IF(ISNUMBER($B1036),INT($B1036)-WEEKDAY($B1036,2)+1,"")</f>
        <v/>
      </c>
      <c r="I1036" s="24" t="n"/>
      <c r="J1036" s="22">
        <f t="array" ref="J1036">IF($D1036="","",IF($I1036="","(trống REF)",IFERROR(INDEX(MASTER_SOURCE!$B$2:$B$495,MATCH($I1036,MASTER_SOURCE!$A$2:$A$495,0)),"(REF không có trong MASTER_SOURCE)")))</f>
        <v/>
      </c>
      <c r="K1036" s="22">
        <f t="array" ref="K1036">IF($D1036="","",IFERROR(INDEX(MASTER_SOURCE!$C$2:$C$495,MATCH($I1036,MASTER_SOURCE!$A$2:$A$495,0)),""))</f>
        <v/>
      </c>
      <c r="L1036" s="22">
        <f t="array" ref="L1036">IF($D1036="","",IFERROR(INDEX(MASTER_SOURCE!$D$2:$D$495,MATCH($I1036,MASTER_SOURCE!$A$2:$A$495,0)),""))</f>
        <v/>
      </c>
      <c r="M1036" s="24" t="n"/>
      <c r="N1036" s="24" t="n"/>
      <c r="O1036" s="24" t="n"/>
      <c r="P1036" s="24" t="n"/>
      <c r="Q1036" s="22">
        <f>IF($D1036="","",IF(AND(OR(DANH_MUC!$L$5&lt;&gt;"Có",M1036="Có"),OR(DANH_MUC!$L$6&lt;&gt;"Có",N1036="Có"),OR(DANH_MUC!$L$7&lt;&gt;"Có",O1036="Có"),OR(DANH_MUC!$L$8&lt;&gt;"Có",P1036="Có")),"Có","Không"))</f>
        <v/>
      </c>
      <c r="R1036" s="22">
        <f>IF($D1036="","",IF(COUNTIF($D$2:$D1036,$D1036)&gt;1,"Trùng",""))</f>
        <v/>
      </c>
      <c r="S1036" s="22">
        <f>IF($D1036="","",IF(AND(LEN($D1036)=10,LEFT($D1036,1)="0",ISNUMBER(--$D1036)),"Có","Không"))</f>
        <v/>
      </c>
      <c r="T1036" s="22">
        <f>IF($D1036="","",IF(AND($C1036&lt;&gt;"",$Q1036="Có",$R1036="",$S1036="Có",AND($L1036&lt;&gt;"",OR($L1036&lt;&gt;"Chưa xác định",DANH_MUC!$L$9="Có"))),"Có","Không"))</f>
        <v/>
      </c>
      <c r="U1036" s="22">
        <f>IF(OR($D1036="",$T1036="Có"),"",IF($C1036="","Thiếu họ tên; ","")&amp;IF($S1036&lt;&gt;"Có","SĐT sai định dạng; ","")&amp;IF($R1036="Trùng","Trùng SĐT; ","")&amp;IF($Q1036&lt;&gt;"Có","Thiếu đồng ý bắt buộc; ","")&amp;IF($L1036="","Thiếu/sai Mã REF; ",IF(AND($L1036="Chưa xác định",DANH_MUC!$L$9&lt;&gt;"Có"),"Nguồn chưa xác định; ","")))</f>
        <v/>
      </c>
      <c r="V1036" s="22">
        <f>IF(OR($D1036="",$R1036="Trùng"),"",IF(COUNTIF(ORDERS!$C$2:$C$4995,$D1036)&gt;0,"Có","Không"))</f>
        <v/>
      </c>
      <c r="W1036" s="22">
        <f>IF(OR($D1036="",$R1036="Trùng"),"",COUNTIFS(ORDERS!$C$2:$C$4995,$D1036,ORDERS!$L$2:$L$4995,"Đã chuyển khoản"))</f>
        <v/>
      </c>
      <c r="X1036" s="23">
        <f>IF(OR($D1036="",$R1036="Trùng"),"",SUMIFS(ORDERS!$J$2:$J$4995,ORDERS!$C$2:$C$4995,$D1036,ORDERS!$L$2:$L$4995,"Đã chuyển khoản"))</f>
        <v/>
      </c>
      <c r="Y1036" s="24" t="n"/>
    </row>
    <row r="1037" ht="14.25" customHeight="1" s="40">
      <c r="A1037" s="24" t="n"/>
      <c r="B1037" s="27" t="n"/>
      <c r="C1037" s="24" t="n"/>
      <c r="D1037" s="28" t="n"/>
      <c r="E1037" s="29" t="n"/>
      <c r="F1037" s="24" t="n"/>
      <c r="G1037" s="24" t="n"/>
      <c r="H1037" s="21">
        <f>IF(ISNUMBER($B1037),INT($B1037)-WEEKDAY($B1037,2)+1,"")</f>
        <v/>
      </c>
      <c r="I1037" s="24" t="n"/>
      <c r="J1037" s="22">
        <f t="array" ref="J1037">IF($D1037="","",IF($I1037="","(trống REF)",IFERROR(INDEX(MASTER_SOURCE!$B$2:$B$495,MATCH($I1037,MASTER_SOURCE!$A$2:$A$495,0)),"(REF không có trong MASTER_SOURCE)")))</f>
        <v/>
      </c>
      <c r="K1037" s="22">
        <f t="array" ref="K1037">IF($D1037="","",IFERROR(INDEX(MASTER_SOURCE!$C$2:$C$495,MATCH($I1037,MASTER_SOURCE!$A$2:$A$495,0)),""))</f>
        <v/>
      </c>
      <c r="L1037" s="22">
        <f t="array" ref="L1037">IF($D1037="","",IFERROR(INDEX(MASTER_SOURCE!$D$2:$D$495,MATCH($I1037,MASTER_SOURCE!$A$2:$A$495,0)),""))</f>
        <v/>
      </c>
      <c r="M1037" s="24" t="n"/>
      <c r="N1037" s="24" t="n"/>
      <c r="O1037" s="24" t="n"/>
      <c r="P1037" s="24" t="n"/>
      <c r="Q1037" s="22">
        <f>IF($D1037="","",IF(AND(OR(DANH_MUC!$L$5&lt;&gt;"Có",M1037="Có"),OR(DANH_MUC!$L$6&lt;&gt;"Có",N1037="Có"),OR(DANH_MUC!$L$7&lt;&gt;"Có",O1037="Có"),OR(DANH_MUC!$L$8&lt;&gt;"Có",P1037="Có")),"Có","Không"))</f>
        <v/>
      </c>
      <c r="R1037" s="22">
        <f>IF($D1037="","",IF(COUNTIF($D$2:$D1037,$D1037)&gt;1,"Trùng",""))</f>
        <v/>
      </c>
      <c r="S1037" s="22">
        <f>IF($D1037="","",IF(AND(LEN($D1037)=10,LEFT($D1037,1)="0",ISNUMBER(--$D1037)),"Có","Không"))</f>
        <v/>
      </c>
      <c r="T1037" s="22">
        <f>IF($D1037="","",IF(AND($C1037&lt;&gt;"",$Q1037="Có",$R1037="",$S1037="Có",AND($L1037&lt;&gt;"",OR($L1037&lt;&gt;"Chưa xác định",DANH_MUC!$L$9="Có"))),"Có","Không"))</f>
        <v/>
      </c>
      <c r="U1037" s="22">
        <f>IF(OR($D1037="",$T1037="Có"),"",IF($C1037="","Thiếu họ tên; ","")&amp;IF($S1037&lt;&gt;"Có","SĐT sai định dạng; ","")&amp;IF($R1037="Trùng","Trùng SĐT; ","")&amp;IF($Q1037&lt;&gt;"Có","Thiếu đồng ý bắt buộc; ","")&amp;IF($L1037="","Thiếu/sai Mã REF; ",IF(AND($L1037="Chưa xác định",DANH_MUC!$L$9&lt;&gt;"Có"),"Nguồn chưa xác định; ","")))</f>
        <v/>
      </c>
      <c r="V1037" s="22">
        <f>IF(OR($D1037="",$R1037="Trùng"),"",IF(COUNTIF(ORDERS!$C$2:$C$4995,$D1037)&gt;0,"Có","Không"))</f>
        <v/>
      </c>
      <c r="W1037" s="22">
        <f>IF(OR($D1037="",$R1037="Trùng"),"",COUNTIFS(ORDERS!$C$2:$C$4995,$D1037,ORDERS!$L$2:$L$4995,"Đã chuyển khoản"))</f>
        <v/>
      </c>
      <c r="X1037" s="23">
        <f>IF(OR($D1037="",$R1037="Trùng"),"",SUMIFS(ORDERS!$J$2:$J$4995,ORDERS!$C$2:$C$4995,$D1037,ORDERS!$L$2:$L$4995,"Đã chuyển khoản"))</f>
        <v/>
      </c>
      <c r="Y1037" s="24" t="n"/>
    </row>
    <row r="1038" ht="14.25" customHeight="1" s="40">
      <c r="A1038" s="24" t="n"/>
      <c r="B1038" s="27" t="n"/>
      <c r="C1038" s="24" t="n"/>
      <c r="D1038" s="28" t="n"/>
      <c r="E1038" s="29" t="n"/>
      <c r="F1038" s="24" t="n"/>
      <c r="G1038" s="24" t="n"/>
      <c r="H1038" s="21">
        <f>IF(ISNUMBER($B1038),INT($B1038)-WEEKDAY($B1038,2)+1,"")</f>
        <v/>
      </c>
      <c r="I1038" s="24" t="n"/>
      <c r="J1038" s="22">
        <f t="array" ref="J1038">IF($D1038="","",IF($I1038="","(trống REF)",IFERROR(INDEX(MASTER_SOURCE!$B$2:$B$495,MATCH($I1038,MASTER_SOURCE!$A$2:$A$495,0)),"(REF không có trong MASTER_SOURCE)")))</f>
        <v/>
      </c>
      <c r="K1038" s="22">
        <f t="array" ref="K1038">IF($D1038="","",IFERROR(INDEX(MASTER_SOURCE!$C$2:$C$495,MATCH($I1038,MASTER_SOURCE!$A$2:$A$495,0)),""))</f>
        <v/>
      </c>
      <c r="L1038" s="22">
        <f t="array" ref="L1038">IF($D1038="","",IFERROR(INDEX(MASTER_SOURCE!$D$2:$D$495,MATCH($I1038,MASTER_SOURCE!$A$2:$A$495,0)),""))</f>
        <v/>
      </c>
      <c r="M1038" s="24" t="n"/>
      <c r="N1038" s="24" t="n"/>
      <c r="O1038" s="24" t="n"/>
      <c r="P1038" s="24" t="n"/>
      <c r="Q1038" s="22">
        <f>IF($D1038="","",IF(AND(OR(DANH_MUC!$L$5&lt;&gt;"Có",M1038="Có"),OR(DANH_MUC!$L$6&lt;&gt;"Có",N1038="Có"),OR(DANH_MUC!$L$7&lt;&gt;"Có",O1038="Có"),OR(DANH_MUC!$L$8&lt;&gt;"Có",P1038="Có")),"Có","Không"))</f>
        <v/>
      </c>
      <c r="R1038" s="22">
        <f>IF($D1038="","",IF(COUNTIF($D$2:$D1038,$D1038)&gt;1,"Trùng",""))</f>
        <v/>
      </c>
      <c r="S1038" s="22">
        <f>IF($D1038="","",IF(AND(LEN($D1038)=10,LEFT($D1038,1)="0",ISNUMBER(--$D1038)),"Có","Không"))</f>
        <v/>
      </c>
      <c r="T1038" s="22">
        <f>IF($D1038="","",IF(AND($C1038&lt;&gt;"",$Q1038="Có",$R1038="",$S1038="Có",AND($L1038&lt;&gt;"",OR($L1038&lt;&gt;"Chưa xác định",DANH_MUC!$L$9="Có"))),"Có","Không"))</f>
        <v/>
      </c>
      <c r="U1038" s="22">
        <f>IF(OR($D1038="",$T1038="Có"),"",IF($C1038="","Thiếu họ tên; ","")&amp;IF($S1038&lt;&gt;"Có","SĐT sai định dạng; ","")&amp;IF($R1038="Trùng","Trùng SĐT; ","")&amp;IF($Q1038&lt;&gt;"Có","Thiếu đồng ý bắt buộc; ","")&amp;IF($L1038="","Thiếu/sai Mã REF; ",IF(AND($L1038="Chưa xác định",DANH_MUC!$L$9&lt;&gt;"Có"),"Nguồn chưa xác định; ","")))</f>
        <v/>
      </c>
      <c r="V1038" s="22">
        <f>IF(OR($D1038="",$R1038="Trùng"),"",IF(COUNTIF(ORDERS!$C$2:$C$4995,$D1038)&gt;0,"Có","Không"))</f>
        <v/>
      </c>
      <c r="W1038" s="22">
        <f>IF(OR($D1038="",$R1038="Trùng"),"",COUNTIFS(ORDERS!$C$2:$C$4995,$D1038,ORDERS!$L$2:$L$4995,"Đã chuyển khoản"))</f>
        <v/>
      </c>
      <c r="X1038" s="23">
        <f>IF(OR($D1038="",$R1038="Trùng"),"",SUMIFS(ORDERS!$J$2:$J$4995,ORDERS!$C$2:$C$4995,$D1038,ORDERS!$L$2:$L$4995,"Đã chuyển khoản"))</f>
        <v/>
      </c>
      <c r="Y1038" s="24" t="n"/>
    </row>
    <row r="1039" ht="14.25" customHeight="1" s="40">
      <c r="A1039" s="24" t="n"/>
      <c r="B1039" s="27" t="n"/>
      <c r="C1039" s="24" t="n"/>
      <c r="D1039" s="28" t="n"/>
      <c r="E1039" s="29" t="n"/>
      <c r="F1039" s="24" t="n"/>
      <c r="G1039" s="24" t="n"/>
      <c r="H1039" s="21">
        <f>IF(ISNUMBER($B1039),INT($B1039)-WEEKDAY($B1039,2)+1,"")</f>
        <v/>
      </c>
      <c r="I1039" s="24" t="n"/>
      <c r="J1039" s="22">
        <f t="array" ref="J1039">IF($D1039="","",IF($I1039="","(trống REF)",IFERROR(INDEX(MASTER_SOURCE!$B$2:$B$495,MATCH($I1039,MASTER_SOURCE!$A$2:$A$495,0)),"(REF không có trong MASTER_SOURCE)")))</f>
        <v/>
      </c>
      <c r="K1039" s="22">
        <f t="array" ref="K1039">IF($D1039="","",IFERROR(INDEX(MASTER_SOURCE!$C$2:$C$495,MATCH($I1039,MASTER_SOURCE!$A$2:$A$495,0)),""))</f>
        <v/>
      </c>
      <c r="L1039" s="22">
        <f t="array" ref="L1039">IF($D1039="","",IFERROR(INDEX(MASTER_SOURCE!$D$2:$D$495,MATCH($I1039,MASTER_SOURCE!$A$2:$A$495,0)),""))</f>
        <v/>
      </c>
      <c r="M1039" s="24" t="n"/>
      <c r="N1039" s="24" t="n"/>
      <c r="O1039" s="24" t="n"/>
      <c r="P1039" s="24" t="n"/>
      <c r="Q1039" s="22">
        <f>IF($D1039="","",IF(AND(OR(DANH_MUC!$L$5&lt;&gt;"Có",M1039="Có"),OR(DANH_MUC!$L$6&lt;&gt;"Có",N1039="Có"),OR(DANH_MUC!$L$7&lt;&gt;"Có",O1039="Có"),OR(DANH_MUC!$L$8&lt;&gt;"Có",P1039="Có")),"Có","Không"))</f>
        <v/>
      </c>
      <c r="R1039" s="22">
        <f>IF($D1039="","",IF(COUNTIF($D$2:$D1039,$D1039)&gt;1,"Trùng",""))</f>
        <v/>
      </c>
      <c r="S1039" s="22">
        <f>IF($D1039="","",IF(AND(LEN($D1039)=10,LEFT($D1039,1)="0",ISNUMBER(--$D1039)),"Có","Không"))</f>
        <v/>
      </c>
      <c r="T1039" s="22">
        <f>IF($D1039="","",IF(AND($C1039&lt;&gt;"",$Q1039="Có",$R1039="",$S1039="Có",AND($L1039&lt;&gt;"",OR($L1039&lt;&gt;"Chưa xác định",DANH_MUC!$L$9="Có"))),"Có","Không"))</f>
        <v/>
      </c>
      <c r="U1039" s="22">
        <f>IF(OR($D1039="",$T1039="Có"),"",IF($C1039="","Thiếu họ tên; ","")&amp;IF($S1039&lt;&gt;"Có","SĐT sai định dạng; ","")&amp;IF($R1039="Trùng","Trùng SĐT; ","")&amp;IF($Q1039&lt;&gt;"Có","Thiếu đồng ý bắt buộc; ","")&amp;IF($L1039="","Thiếu/sai Mã REF; ",IF(AND($L1039="Chưa xác định",DANH_MUC!$L$9&lt;&gt;"Có"),"Nguồn chưa xác định; ","")))</f>
        <v/>
      </c>
      <c r="V1039" s="22">
        <f>IF(OR($D1039="",$R1039="Trùng"),"",IF(COUNTIF(ORDERS!$C$2:$C$4995,$D1039)&gt;0,"Có","Không"))</f>
        <v/>
      </c>
      <c r="W1039" s="22">
        <f>IF(OR($D1039="",$R1039="Trùng"),"",COUNTIFS(ORDERS!$C$2:$C$4995,$D1039,ORDERS!$L$2:$L$4995,"Đã chuyển khoản"))</f>
        <v/>
      </c>
      <c r="X1039" s="23">
        <f>IF(OR($D1039="",$R1039="Trùng"),"",SUMIFS(ORDERS!$J$2:$J$4995,ORDERS!$C$2:$C$4995,$D1039,ORDERS!$L$2:$L$4995,"Đã chuyển khoản"))</f>
        <v/>
      </c>
      <c r="Y1039" s="24" t="n"/>
    </row>
    <row r="1040" ht="14.25" customHeight="1" s="40">
      <c r="A1040" s="24" t="n"/>
      <c r="B1040" s="27" t="n"/>
      <c r="C1040" s="24" t="n"/>
      <c r="D1040" s="28" t="n"/>
      <c r="E1040" s="29" t="n"/>
      <c r="F1040" s="24" t="n"/>
      <c r="G1040" s="24" t="n"/>
      <c r="H1040" s="21">
        <f>IF(ISNUMBER($B1040),INT($B1040)-WEEKDAY($B1040,2)+1,"")</f>
        <v/>
      </c>
      <c r="I1040" s="24" t="n"/>
      <c r="J1040" s="22">
        <f t="array" ref="J1040">IF($D1040="","",IF($I1040="","(trống REF)",IFERROR(INDEX(MASTER_SOURCE!$B$2:$B$495,MATCH($I1040,MASTER_SOURCE!$A$2:$A$495,0)),"(REF không có trong MASTER_SOURCE)")))</f>
        <v/>
      </c>
      <c r="K1040" s="22">
        <f t="array" ref="K1040">IF($D1040="","",IFERROR(INDEX(MASTER_SOURCE!$C$2:$C$495,MATCH($I1040,MASTER_SOURCE!$A$2:$A$495,0)),""))</f>
        <v/>
      </c>
      <c r="L1040" s="22">
        <f t="array" ref="L1040">IF($D1040="","",IFERROR(INDEX(MASTER_SOURCE!$D$2:$D$495,MATCH($I1040,MASTER_SOURCE!$A$2:$A$495,0)),""))</f>
        <v/>
      </c>
      <c r="M1040" s="24" t="n"/>
      <c r="N1040" s="24" t="n"/>
      <c r="O1040" s="24" t="n"/>
      <c r="P1040" s="24" t="n"/>
      <c r="Q1040" s="22">
        <f>IF($D1040="","",IF(AND(OR(DANH_MUC!$L$5&lt;&gt;"Có",M1040="Có"),OR(DANH_MUC!$L$6&lt;&gt;"Có",N1040="Có"),OR(DANH_MUC!$L$7&lt;&gt;"Có",O1040="Có"),OR(DANH_MUC!$L$8&lt;&gt;"Có",P1040="Có")),"Có","Không"))</f>
        <v/>
      </c>
      <c r="R1040" s="22">
        <f>IF($D1040="","",IF(COUNTIF($D$2:$D1040,$D1040)&gt;1,"Trùng",""))</f>
        <v/>
      </c>
      <c r="S1040" s="22">
        <f>IF($D1040="","",IF(AND(LEN($D1040)=10,LEFT($D1040,1)="0",ISNUMBER(--$D1040)),"Có","Không"))</f>
        <v/>
      </c>
      <c r="T1040" s="22">
        <f>IF($D1040="","",IF(AND($C1040&lt;&gt;"",$Q1040="Có",$R1040="",$S1040="Có",AND($L1040&lt;&gt;"",OR($L1040&lt;&gt;"Chưa xác định",DANH_MUC!$L$9="Có"))),"Có","Không"))</f>
        <v/>
      </c>
      <c r="U1040" s="22">
        <f>IF(OR($D1040="",$T1040="Có"),"",IF($C1040="","Thiếu họ tên; ","")&amp;IF($S1040&lt;&gt;"Có","SĐT sai định dạng; ","")&amp;IF($R1040="Trùng","Trùng SĐT; ","")&amp;IF($Q1040&lt;&gt;"Có","Thiếu đồng ý bắt buộc; ","")&amp;IF($L1040="","Thiếu/sai Mã REF; ",IF(AND($L1040="Chưa xác định",DANH_MUC!$L$9&lt;&gt;"Có"),"Nguồn chưa xác định; ","")))</f>
        <v/>
      </c>
      <c r="V1040" s="22">
        <f>IF(OR($D1040="",$R1040="Trùng"),"",IF(COUNTIF(ORDERS!$C$2:$C$4995,$D1040)&gt;0,"Có","Không"))</f>
        <v/>
      </c>
      <c r="W1040" s="22">
        <f>IF(OR($D1040="",$R1040="Trùng"),"",COUNTIFS(ORDERS!$C$2:$C$4995,$D1040,ORDERS!$L$2:$L$4995,"Đã chuyển khoản"))</f>
        <v/>
      </c>
      <c r="X1040" s="23">
        <f>IF(OR($D1040="",$R1040="Trùng"),"",SUMIFS(ORDERS!$J$2:$J$4995,ORDERS!$C$2:$C$4995,$D1040,ORDERS!$L$2:$L$4995,"Đã chuyển khoản"))</f>
        <v/>
      </c>
      <c r="Y1040" s="24" t="n"/>
    </row>
    <row r="1041" ht="14.25" customHeight="1" s="40">
      <c r="A1041" s="24" t="n"/>
      <c r="B1041" s="27" t="n"/>
      <c r="C1041" s="24" t="n"/>
      <c r="D1041" s="28" t="n"/>
      <c r="E1041" s="29" t="n"/>
      <c r="F1041" s="24" t="n"/>
      <c r="G1041" s="24" t="n"/>
      <c r="H1041" s="21">
        <f>IF(ISNUMBER($B1041),INT($B1041)-WEEKDAY($B1041,2)+1,"")</f>
        <v/>
      </c>
      <c r="I1041" s="24" t="n"/>
      <c r="J1041" s="22">
        <f t="array" ref="J1041">IF($D1041="","",IF($I1041="","(trống REF)",IFERROR(INDEX(MASTER_SOURCE!$B$2:$B$495,MATCH($I1041,MASTER_SOURCE!$A$2:$A$495,0)),"(REF không có trong MASTER_SOURCE)")))</f>
        <v/>
      </c>
      <c r="K1041" s="22">
        <f t="array" ref="K1041">IF($D1041="","",IFERROR(INDEX(MASTER_SOURCE!$C$2:$C$495,MATCH($I1041,MASTER_SOURCE!$A$2:$A$495,0)),""))</f>
        <v/>
      </c>
      <c r="L1041" s="22">
        <f t="array" ref="L1041">IF($D1041="","",IFERROR(INDEX(MASTER_SOURCE!$D$2:$D$495,MATCH($I1041,MASTER_SOURCE!$A$2:$A$495,0)),""))</f>
        <v/>
      </c>
      <c r="M1041" s="24" t="n"/>
      <c r="N1041" s="24" t="n"/>
      <c r="O1041" s="24" t="n"/>
      <c r="P1041" s="24" t="n"/>
      <c r="Q1041" s="22">
        <f>IF($D1041="","",IF(AND(OR(DANH_MUC!$L$5&lt;&gt;"Có",M1041="Có"),OR(DANH_MUC!$L$6&lt;&gt;"Có",N1041="Có"),OR(DANH_MUC!$L$7&lt;&gt;"Có",O1041="Có"),OR(DANH_MUC!$L$8&lt;&gt;"Có",P1041="Có")),"Có","Không"))</f>
        <v/>
      </c>
      <c r="R1041" s="22">
        <f>IF($D1041="","",IF(COUNTIF($D$2:$D1041,$D1041)&gt;1,"Trùng",""))</f>
        <v/>
      </c>
      <c r="S1041" s="22">
        <f>IF($D1041="","",IF(AND(LEN($D1041)=10,LEFT($D1041,1)="0",ISNUMBER(--$D1041)),"Có","Không"))</f>
        <v/>
      </c>
      <c r="T1041" s="22">
        <f>IF($D1041="","",IF(AND($C1041&lt;&gt;"",$Q1041="Có",$R1041="",$S1041="Có",AND($L1041&lt;&gt;"",OR($L1041&lt;&gt;"Chưa xác định",DANH_MUC!$L$9="Có"))),"Có","Không"))</f>
        <v/>
      </c>
      <c r="U1041" s="22">
        <f>IF(OR($D1041="",$T1041="Có"),"",IF($C1041="","Thiếu họ tên; ","")&amp;IF($S1041&lt;&gt;"Có","SĐT sai định dạng; ","")&amp;IF($R1041="Trùng","Trùng SĐT; ","")&amp;IF($Q1041&lt;&gt;"Có","Thiếu đồng ý bắt buộc; ","")&amp;IF($L1041="","Thiếu/sai Mã REF; ",IF(AND($L1041="Chưa xác định",DANH_MUC!$L$9&lt;&gt;"Có"),"Nguồn chưa xác định; ","")))</f>
        <v/>
      </c>
      <c r="V1041" s="22">
        <f>IF(OR($D1041="",$R1041="Trùng"),"",IF(COUNTIF(ORDERS!$C$2:$C$4995,$D1041)&gt;0,"Có","Không"))</f>
        <v/>
      </c>
      <c r="W1041" s="22">
        <f>IF(OR($D1041="",$R1041="Trùng"),"",COUNTIFS(ORDERS!$C$2:$C$4995,$D1041,ORDERS!$L$2:$L$4995,"Đã chuyển khoản"))</f>
        <v/>
      </c>
      <c r="X1041" s="23">
        <f>IF(OR($D1041="",$R1041="Trùng"),"",SUMIFS(ORDERS!$J$2:$J$4995,ORDERS!$C$2:$C$4995,$D1041,ORDERS!$L$2:$L$4995,"Đã chuyển khoản"))</f>
        <v/>
      </c>
      <c r="Y1041" s="24" t="n"/>
    </row>
    <row r="1042" ht="14.25" customHeight="1" s="40">
      <c r="A1042" s="24" t="n"/>
      <c r="B1042" s="27" t="n"/>
      <c r="C1042" s="24" t="n"/>
      <c r="D1042" s="28" t="n"/>
      <c r="E1042" s="29" t="n"/>
      <c r="F1042" s="24" t="n"/>
      <c r="G1042" s="24" t="n"/>
      <c r="H1042" s="21">
        <f>IF(ISNUMBER($B1042),INT($B1042)-WEEKDAY($B1042,2)+1,"")</f>
        <v/>
      </c>
      <c r="I1042" s="24" t="n"/>
      <c r="J1042" s="22">
        <f t="array" ref="J1042">IF($D1042="","",IF($I1042="","(trống REF)",IFERROR(INDEX(MASTER_SOURCE!$B$2:$B$495,MATCH($I1042,MASTER_SOURCE!$A$2:$A$495,0)),"(REF không có trong MASTER_SOURCE)")))</f>
        <v/>
      </c>
      <c r="K1042" s="22">
        <f t="array" ref="K1042">IF($D1042="","",IFERROR(INDEX(MASTER_SOURCE!$C$2:$C$495,MATCH($I1042,MASTER_SOURCE!$A$2:$A$495,0)),""))</f>
        <v/>
      </c>
      <c r="L1042" s="22">
        <f t="array" ref="L1042">IF($D1042="","",IFERROR(INDEX(MASTER_SOURCE!$D$2:$D$495,MATCH($I1042,MASTER_SOURCE!$A$2:$A$495,0)),""))</f>
        <v/>
      </c>
      <c r="M1042" s="24" t="n"/>
      <c r="N1042" s="24" t="n"/>
      <c r="O1042" s="24" t="n"/>
      <c r="P1042" s="24" t="n"/>
      <c r="Q1042" s="22">
        <f>IF($D1042="","",IF(AND(OR(DANH_MUC!$L$5&lt;&gt;"Có",M1042="Có"),OR(DANH_MUC!$L$6&lt;&gt;"Có",N1042="Có"),OR(DANH_MUC!$L$7&lt;&gt;"Có",O1042="Có"),OR(DANH_MUC!$L$8&lt;&gt;"Có",P1042="Có")),"Có","Không"))</f>
        <v/>
      </c>
      <c r="R1042" s="22">
        <f>IF($D1042="","",IF(COUNTIF($D$2:$D1042,$D1042)&gt;1,"Trùng",""))</f>
        <v/>
      </c>
      <c r="S1042" s="22">
        <f>IF($D1042="","",IF(AND(LEN($D1042)=10,LEFT($D1042,1)="0",ISNUMBER(--$D1042)),"Có","Không"))</f>
        <v/>
      </c>
      <c r="T1042" s="22">
        <f>IF($D1042="","",IF(AND($C1042&lt;&gt;"",$Q1042="Có",$R1042="",$S1042="Có",AND($L1042&lt;&gt;"",OR($L1042&lt;&gt;"Chưa xác định",DANH_MUC!$L$9="Có"))),"Có","Không"))</f>
        <v/>
      </c>
      <c r="U1042" s="22">
        <f>IF(OR($D1042="",$T1042="Có"),"",IF($C1042="","Thiếu họ tên; ","")&amp;IF($S1042&lt;&gt;"Có","SĐT sai định dạng; ","")&amp;IF($R1042="Trùng","Trùng SĐT; ","")&amp;IF($Q1042&lt;&gt;"Có","Thiếu đồng ý bắt buộc; ","")&amp;IF($L1042="","Thiếu/sai Mã REF; ",IF(AND($L1042="Chưa xác định",DANH_MUC!$L$9&lt;&gt;"Có"),"Nguồn chưa xác định; ","")))</f>
        <v/>
      </c>
      <c r="V1042" s="22">
        <f>IF(OR($D1042="",$R1042="Trùng"),"",IF(COUNTIF(ORDERS!$C$2:$C$4995,$D1042)&gt;0,"Có","Không"))</f>
        <v/>
      </c>
      <c r="W1042" s="22">
        <f>IF(OR($D1042="",$R1042="Trùng"),"",COUNTIFS(ORDERS!$C$2:$C$4995,$D1042,ORDERS!$L$2:$L$4995,"Đã chuyển khoản"))</f>
        <v/>
      </c>
      <c r="X1042" s="23">
        <f>IF(OR($D1042="",$R1042="Trùng"),"",SUMIFS(ORDERS!$J$2:$J$4995,ORDERS!$C$2:$C$4995,$D1042,ORDERS!$L$2:$L$4995,"Đã chuyển khoản"))</f>
        <v/>
      </c>
      <c r="Y1042" s="24" t="n"/>
    </row>
    <row r="1043" ht="14.25" customHeight="1" s="40">
      <c r="A1043" s="24" t="n"/>
      <c r="B1043" s="27" t="n"/>
      <c r="C1043" s="24" t="n"/>
      <c r="D1043" s="28" t="n"/>
      <c r="E1043" s="29" t="n"/>
      <c r="F1043" s="24" t="n"/>
      <c r="G1043" s="24" t="n"/>
      <c r="H1043" s="21">
        <f>IF(ISNUMBER($B1043),INT($B1043)-WEEKDAY($B1043,2)+1,"")</f>
        <v/>
      </c>
      <c r="I1043" s="24" t="n"/>
      <c r="J1043" s="22">
        <f t="array" ref="J1043">IF($D1043="","",IF($I1043="","(trống REF)",IFERROR(INDEX(MASTER_SOURCE!$B$2:$B$495,MATCH($I1043,MASTER_SOURCE!$A$2:$A$495,0)),"(REF không có trong MASTER_SOURCE)")))</f>
        <v/>
      </c>
      <c r="K1043" s="22">
        <f t="array" ref="K1043">IF($D1043="","",IFERROR(INDEX(MASTER_SOURCE!$C$2:$C$495,MATCH($I1043,MASTER_SOURCE!$A$2:$A$495,0)),""))</f>
        <v/>
      </c>
      <c r="L1043" s="22">
        <f t="array" ref="L1043">IF($D1043="","",IFERROR(INDEX(MASTER_SOURCE!$D$2:$D$495,MATCH($I1043,MASTER_SOURCE!$A$2:$A$495,0)),""))</f>
        <v/>
      </c>
      <c r="M1043" s="24" t="n"/>
      <c r="N1043" s="24" t="n"/>
      <c r="O1043" s="24" t="n"/>
      <c r="P1043" s="24" t="n"/>
      <c r="Q1043" s="22">
        <f>IF($D1043="","",IF(AND(OR(DANH_MUC!$L$5&lt;&gt;"Có",M1043="Có"),OR(DANH_MUC!$L$6&lt;&gt;"Có",N1043="Có"),OR(DANH_MUC!$L$7&lt;&gt;"Có",O1043="Có"),OR(DANH_MUC!$L$8&lt;&gt;"Có",P1043="Có")),"Có","Không"))</f>
        <v/>
      </c>
      <c r="R1043" s="22">
        <f>IF($D1043="","",IF(COUNTIF($D$2:$D1043,$D1043)&gt;1,"Trùng",""))</f>
        <v/>
      </c>
      <c r="S1043" s="22">
        <f>IF($D1043="","",IF(AND(LEN($D1043)=10,LEFT($D1043,1)="0",ISNUMBER(--$D1043)),"Có","Không"))</f>
        <v/>
      </c>
      <c r="T1043" s="22">
        <f>IF($D1043="","",IF(AND($C1043&lt;&gt;"",$Q1043="Có",$R1043="",$S1043="Có",AND($L1043&lt;&gt;"",OR($L1043&lt;&gt;"Chưa xác định",DANH_MUC!$L$9="Có"))),"Có","Không"))</f>
        <v/>
      </c>
      <c r="U1043" s="22">
        <f>IF(OR($D1043="",$T1043="Có"),"",IF($C1043="","Thiếu họ tên; ","")&amp;IF($S1043&lt;&gt;"Có","SĐT sai định dạng; ","")&amp;IF($R1043="Trùng","Trùng SĐT; ","")&amp;IF($Q1043&lt;&gt;"Có","Thiếu đồng ý bắt buộc; ","")&amp;IF($L1043="","Thiếu/sai Mã REF; ",IF(AND($L1043="Chưa xác định",DANH_MUC!$L$9&lt;&gt;"Có"),"Nguồn chưa xác định; ","")))</f>
        <v/>
      </c>
      <c r="V1043" s="22">
        <f>IF(OR($D1043="",$R1043="Trùng"),"",IF(COUNTIF(ORDERS!$C$2:$C$4995,$D1043)&gt;0,"Có","Không"))</f>
        <v/>
      </c>
      <c r="W1043" s="22">
        <f>IF(OR($D1043="",$R1043="Trùng"),"",COUNTIFS(ORDERS!$C$2:$C$4995,$D1043,ORDERS!$L$2:$L$4995,"Đã chuyển khoản"))</f>
        <v/>
      </c>
      <c r="X1043" s="23">
        <f>IF(OR($D1043="",$R1043="Trùng"),"",SUMIFS(ORDERS!$J$2:$J$4995,ORDERS!$C$2:$C$4995,$D1043,ORDERS!$L$2:$L$4995,"Đã chuyển khoản"))</f>
        <v/>
      </c>
      <c r="Y1043" s="24" t="n"/>
    </row>
    <row r="1044" ht="14.25" customHeight="1" s="40">
      <c r="A1044" s="24" t="n"/>
      <c r="B1044" s="27" t="n"/>
      <c r="C1044" s="24" t="n"/>
      <c r="D1044" s="28" t="n"/>
      <c r="E1044" s="29" t="n"/>
      <c r="F1044" s="24" t="n"/>
      <c r="G1044" s="24" t="n"/>
      <c r="H1044" s="21">
        <f>IF(ISNUMBER($B1044),INT($B1044)-WEEKDAY($B1044,2)+1,"")</f>
        <v/>
      </c>
      <c r="I1044" s="24" t="n"/>
      <c r="J1044" s="22">
        <f t="array" ref="J1044">IF($D1044="","",IF($I1044="","(trống REF)",IFERROR(INDEX(MASTER_SOURCE!$B$2:$B$495,MATCH($I1044,MASTER_SOURCE!$A$2:$A$495,0)),"(REF không có trong MASTER_SOURCE)")))</f>
        <v/>
      </c>
      <c r="K1044" s="22">
        <f t="array" ref="K1044">IF($D1044="","",IFERROR(INDEX(MASTER_SOURCE!$C$2:$C$495,MATCH($I1044,MASTER_SOURCE!$A$2:$A$495,0)),""))</f>
        <v/>
      </c>
      <c r="L1044" s="22">
        <f t="array" ref="L1044">IF($D1044="","",IFERROR(INDEX(MASTER_SOURCE!$D$2:$D$495,MATCH($I1044,MASTER_SOURCE!$A$2:$A$495,0)),""))</f>
        <v/>
      </c>
      <c r="M1044" s="24" t="n"/>
      <c r="N1044" s="24" t="n"/>
      <c r="O1044" s="24" t="n"/>
      <c r="P1044" s="24" t="n"/>
      <c r="Q1044" s="22">
        <f>IF($D1044="","",IF(AND(OR(DANH_MUC!$L$5&lt;&gt;"Có",M1044="Có"),OR(DANH_MUC!$L$6&lt;&gt;"Có",N1044="Có"),OR(DANH_MUC!$L$7&lt;&gt;"Có",O1044="Có"),OR(DANH_MUC!$L$8&lt;&gt;"Có",P1044="Có")),"Có","Không"))</f>
        <v/>
      </c>
      <c r="R1044" s="22">
        <f>IF($D1044="","",IF(COUNTIF($D$2:$D1044,$D1044)&gt;1,"Trùng",""))</f>
        <v/>
      </c>
      <c r="S1044" s="22">
        <f>IF($D1044="","",IF(AND(LEN($D1044)=10,LEFT($D1044,1)="0",ISNUMBER(--$D1044)),"Có","Không"))</f>
        <v/>
      </c>
      <c r="T1044" s="22">
        <f>IF($D1044="","",IF(AND($C1044&lt;&gt;"",$Q1044="Có",$R1044="",$S1044="Có",AND($L1044&lt;&gt;"",OR($L1044&lt;&gt;"Chưa xác định",DANH_MUC!$L$9="Có"))),"Có","Không"))</f>
        <v/>
      </c>
      <c r="U1044" s="22">
        <f>IF(OR($D1044="",$T1044="Có"),"",IF($C1044="","Thiếu họ tên; ","")&amp;IF($S1044&lt;&gt;"Có","SĐT sai định dạng; ","")&amp;IF($R1044="Trùng","Trùng SĐT; ","")&amp;IF($Q1044&lt;&gt;"Có","Thiếu đồng ý bắt buộc; ","")&amp;IF($L1044="","Thiếu/sai Mã REF; ",IF(AND($L1044="Chưa xác định",DANH_MUC!$L$9&lt;&gt;"Có"),"Nguồn chưa xác định; ","")))</f>
        <v/>
      </c>
      <c r="V1044" s="22">
        <f>IF(OR($D1044="",$R1044="Trùng"),"",IF(COUNTIF(ORDERS!$C$2:$C$4995,$D1044)&gt;0,"Có","Không"))</f>
        <v/>
      </c>
      <c r="W1044" s="22">
        <f>IF(OR($D1044="",$R1044="Trùng"),"",COUNTIFS(ORDERS!$C$2:$C$4995,$D1044,ORDERS!$L$2:$L$4995,"Đã chuyển khoản"))</f>
        <v/>
      </c>
      <c r="X1044" s="23">
        <f>IF(OR($D1044="",$R1044="Trùng"),"",SUMIFS(ORDERS!$J$2:$J$4995,ORDERS!$C$2:$C$4995,$D1044,ORDERS!$L$2:$L$4995,"Đã chuyển khoản"))</f>
        <v/>
      </c>
      <c r="Y1044" s="24" t="n"/>
    </row>
    <row r="1045" ht="14.25" customHeight="1" s="40">
      <c r="A1045" s="24" t="n"/>
      <c r="B1045" s="27" t="n"/>
      <c r="C1045" s="24" t="n"/>
      <c r="D1045" s="28" t="n"/>
      <c r="E1045" s="29" t="n"/>
      <c r="F1045" s="24" t="n"/>
      <c r="G1045" s="24" t="n"/>
      <c r="H1045" s="21">
        <f>IF(ISNUMBER($B1045),INT($B1045)-WEEKDAY($B1045,2)+1,"")</f>
        <v/>
      </c>
      <c r="I1045" s="24" t="n"/>
      <c r="J1045" s="22">
        <f t="array" ref="J1045">IF($D1045="","",IF($I1045="","(trống REF)",IFERROR(INDEX(MASTER_SOURCE!$B$2:$B$495,MATCH($I1045,MASTER_SOURCE!$A$2:$A$495,0)),"(REF không có trong MASTER_SOURCE)")))</f>
        <v/>
      </c>
      <c r="K1045" s="22">
        <f t="array" ref="K1045">IF($D1045="","",IFERROR(INDEX(MASTER_SOURCE!$C$2:$C$495,MATCH($I1045,MASTER_SOURCE!$A$2:$A$495,0)),""))</f>
        <v/>
      </c>
      <c r="L1045" s="22">
        <f t="array" ref="L1045">IF($D1045="","",IFERROR(INDEX(MASTER_SOURCE!$D$2:$D$495,MATCH($I1045,MASTER_SOURCE!$A$2:$A$495,0)),""))</f>
        <v/>
      </c>
      <c r="M1045" s="24" t="n"/>
      <c r="N1045" s="24" t="n"/>
      <c r="O1045" s="24" t="n"/>
      <c r="P1045" s="24" t="n"/>
      <c r="Q1045" s="22">
        <f>IF($D1045="","",IF(AND(OR(DANH_MUC!$L$5&lt;&gt;"Có",M1045="Có"),OR(DANH_MUC!$L$6&lt;&gt;"Có",N1045="Có"),OR(DANH_MUC!$L$7&lt;&gt;"Có",O1045="Có"),OR(DANH_MUC!$L$8&lt;&gt;"Có",P1045="Có")),"Có","Không"))</f>
        <v/>
      </c>
      <c r="R1045" s="22">
        <f>IF($D1045="","",IF(COUNTIF($D$2:$D1045,$D1045)&gt;1,"Trùng",""))</f>
        <v/>
      </c>
      <c r="S1045" s="22">
        <f>IF($D1045="","",IF(AND(LEN($D1045)=10,LEFT($D1045,1)="0",ISNUMBER(--$D1045)),"Có","Không"))</f>
        <v/>
      </c>
      <c r="T1045" s="22">
        <f>IF($D1045="","",IF(AND($C1045&lt;&gt;"",$Q1045="Có",$R1045="",$S1045="Có",AND($L1045&lt;&gt;"",OR($L1045&lt;&gt;"Chưa xác định",DANH_MUC!$L$9="Có"))),"Có","Không"))</f>
        <v/>
      </c>
      <c r="U1045" s="22">
        <f>IF(OR($D1045="",$T1045="Có"),"",IF($C1045="","Thiếu họ tên; ","")&amp;IF($S1045&lt;&gt;"Có","SĐT sai định dạng; ","")&amp;IF($R1045="Trùng","Trùng SĐT; ","")&amp;IF($Q1045&lt;&gt;"Có","Thiếu đồng ý bắt buộc; ","")&amp;IF($L1045="","Thiếu/sai Mã REF; ",IF(AND($L1045="Chưa xác định",DANH_MUC!$L$9&lt;&gt;"Có"),"Nguồn chưa xác định; ","")))</f>
        <v/>
      </c>
      <c r="V1045" s="22">
        <f>IF(OR($D1045="",$R1045="Trùng"),"",IF(COUNTIF(ORDERS!$C$2:$C$4995,$D1045)&gt;0,"Có","Không"))</f>
        <v/>
      </c>
      <c r="W1045" s="22">
        <f>IF(OR($D1045="",$R1045="Trùng"),"",COUNTIFS(ORDERS!$C$2:$C$4995,$D1045,ORDERS!$L$2:$L$4995,"Đã chuyển khoản"))</f>
        <v/>
      </c>
      <c r="X1045" s="23">
        <f>IF(OR($D1045="",$R1045="Trùng"),"",SUMIFS(ORDERS!$J$2:$J$4995,ORDERS!$C$2:$C$4995,$D1045,ORDERS!$L$2:$L$4995,"Đã chuyển khoản"))</f>
        <v/>
      </c>
      <c r="Y1045" s="24" t="n"/>
    </row>
    <row r="1046" ht="14.25" customHeight="1" s="40">
      <c r="A1046" s="24" t="n"/>
      <c r="B1046" s="27" t="n"/>
      <c r="C1046" s="24" t="n"/>
      <c r="D1046" s="28" t="n"/>
      <c r="E1046" s="29" t="n"/>
      <c r="F1046" s="24" t="n"/>
      <c r="G1046" s="24" t="n"/>
      <c r="H1046" s="21">
        <f>IF(ISNUMBER($B1046),INT($B1046)-WEEKDAY($B1046,2)+1,"")</f>
        <v/>
      </c>
      <c r="I1046" s="24" t="n"/>
      <c r="J1046" s="22">
        <f t="array" ref="J1046">IF($D1046="","",IF($I1046="","(trống REF)",IFERROR(INDEX(MASTER_SOURCE!$B$2:$B$495,MATCH($I1046,MASTER_SOURCE!$A$2:$A$495,0)),"(REF không có trong MASTER_SOURCE)")))</f>
        <v/>
      </c>
      <c r="K1046" s="22">
        <f t="array" ref="K1046">IF($D1046="","",IFERROR(INDEX(MASTER_SOURCE!$C$2:$C$495,MATCH($I1046,MASTER_SOURCE!$A$2:$A$495,0)),""))</f>
        <v/>
      </c>
      <c r="L1046" s="22">
        <f t="array" ref="L1046">IF($D1046="","",IFERROR(INDEX(MASTER_SOURCE!$D$2:$D$495,MATCH($I1046,MASTER_SOURCE!$A$2:$A$495,0)),""))</f>
        <v/>
      </c>
      <c r="M1046" s="24" t="n"/>
      <c r="N1046" s="24" t="n"/>
      <c r="O1046" s="24" t="n"/>
      <c r="P1046" s="24" t="n"/>
      <c r="Q1046" s="22">
        <f>IF($D1046="","",IF(AND(OR(DANH_MUC!$L$5&lt;&gt;"Có",M1046="Có"),OR(DANH_MUC!$L$6&lt;&gt;"Có",N1046="Có"),OR(DANH_MUC!$L$7&lt;&gt;"Có",O1046="Có"),OR(DANH_MUC!$L$8&lt;&gt;"Có",P1046="Có")),"Có","Không"))</f>
        <v/>
      </c>
      <c r="R1046" s="22">
        <f>IF($D1046="","",IF(COUNTIF($D$2:$D1046,$D1046)&gt;1,"Trùng",""))</f>
        <v/>
      </c>
      <c r="S1046" s="22">
        <f>IF($D1046="","",IF(AND(LEN($D1046)=10,LEFT($D1046,1)="0",ISNUMBER(--$D1046)),"Có","Không"))</f>
        <v/>
      </c>
      <c r="T1046" s="22">
        <f>IF($D1046="","",IF(AND($C1046&lt;&gt;"",$Q1046="Có",$R1046="",$S1046="Có",AND($L1046&lt;&gt;"",OR($L1046&lt;&gt;"Chưa xác định",DANH_MUC!$L$9="Có"))),"Có","Không"))</f>
        <v/>
      </c>
      <c r="U1046" s="22">
        <f>IF(OR($D1046="",$T1046="Có"),"",IF($C1046="","Thiếu họ tên; ","")&amp;IF($S1046&lt;&gt;"Có","SĐT sai định dạng; ","")&amp;IF($R1046="Trùng","Trùng SĐT; ","")&amp;IF($Q1046&lt;&gt;"Có","Thiếu đồng ý bắt buộc; ","")&amp;IF($L1046="","Thiếu/sai Mã REF; ",IF(AND($L1046="Chưa xác định",DANH_MUC!$L$9&lt;&gt;"Có"),"Nguồn chưa xác định; ","")))</f>
        <v/>
      </c>
      <c r="V1046" s="22">
        <f>IF(OR($D1046="",$R1046="Trùng"),"",IF(COUNTIF(ORDERS!$C$2:$C$4995,$D1046)&gt;0,"Có","Không"))</f>
        <v/>
      </c>
      <c r="W1046" s="22">
        <f>IF(OR($D1046="",$R1046="Trùng"),"",COUNTIFS(ORDERS!$C$2:$C$4995,$D1046,ORDERS!$L$2:$L$4995,"Đã chuyển khoản"))</f>
        <v/>
      </c>
      <c r="X1046" s="23">
        <f>IF(OR($D1046="",$R1046="Trùng"),"",SUMIFS(ORDERS!$J$2:$J$4995,ORDERS!$C$2:$C$4995,$D1046,ORDERS!$L$2:$L$4995,"Đã chuyển khoản"))</f>
        <v/>
      </c>
      <c r="Y1046" s="24" t="n"/>
    </row>
    <row r="1047" ht="14.25" customHeight="1" s="40">
      <c r="A1047" s="24" t="n"/>
      <c r="B1047" s="27" t="n"/>
      <c r="C1047" s="24" t="n"/>
      <c r="D1047" s="28" t="n"/>
      <c r="E1047" s="29" t="n"/>
      <c r="F1047" s="24" t="n"/>
      <c r="G1047" s="24" t="n"/>
      <c r="H1047" s="21">
        <f>IF(ISNUMBER($B1047),INT($B1047)-WEEKDAY($B1047,2)+1,"")</f>
        <v/>
      </c>
      <c r="I1047" s="24" t="n"/>
      <c r="J1047" s="22">
        <f t="array" ref="J1047">IF($D1047="","",IF($I1047="","(trống REF)",IFERROR(INDEX(MASTER_SOURCE!$B$2:$B$495,MATCH($I1047,MASTER_SOURCE!$A$2:$A$495,0)),"(REF không có trong MASTER_SOURCE)")))</f>
        <v/>
      </c>
      <c r="K1047" s="22">
        <f t="array" ref="K1047">IF($D1047="","",IFERROR(INDEX(MASTER_SOURCE!$C$2:$C$495,MATCH($I1047,MASTER_SOURCE!$A$2:$A$495,0)),""))</f>
        <v/>
      </c>
      <c r="L1047" s="22">
        <f t="array" ref="L1047">IF($D1047="","",IFERROR(INDEX(MASTER_SOURCE!$D$2:$D$495,MATCH($I1047,MASTER_SOURCE!$A$2:$A$495,0)),""))</f>
        <v/>
      </c>
      <c r="M1047" s="24" t="n"/>
      <c r="N1047" s="24" t="n"/>
      <c r="O1047" s="24" t="n"/>
      <c r="P1047" s="24" t="n"/>
      <c r="Q1047" s="22">
        <f>IF($D1047="","",IF(AND(OR(DANH_MUC!$L$5&lt;&gt;"Có",M1047="Có"),OR(DANH_MUC!$L$6&lt;&gt;"Có",N1047="Có"),OR(DANH_MUC!$L$7&lt;&gt;"Có",O1047="Có"),OR(DANH_MUC!$L$8&lt;&gt;"Có",P1047="Có")),"Có","Không"))</f>
        <v/>
      </c>
      <c r="R1047" s="22">
        <f>IF($D1047="","",IF(COUNTIF($D$2:$D1047,$D1047)&gt;1,"Trùng",""))</f>
        <v/>
      </c>
      <c r="S1047" s="22">
        <f>IF($D1047="","",IF(AND(LEN($D1047)=10,LEFT($D1047,1)="0",ISNUMBER(--$D1047)),"Có","Không"))</f>
        <v/>
      </c>
      <c r="T1047" s="22">
        <f>IF($D1047="","",IF(AND($C1047&lt;&gt;"",$Q1047="Có",$R1047="",$S1047="Có",AND($L1047&lt;&gt;"",OR($L1047&lt;&gt;"Chưa xác định",DANH_MUC!$L$9="Có"))),"Có","Không"))</f>
        <v/>
      </c>
      <c r="U1047" s="22">
        <f>IF(OR($D1047="",$T1047="Có"),"",IF($C1047="","Thiếu họ tên; ","")&amp;IF($S1047&lt;&gt;"Có","SĐT sai định dạng; ","")&amp;IF($R1047="Trùng","Trùng SĐT; ","")&amp;IF($Q1047&lt;&gt;"Có","Thiếu đồng ý bắt buộc; ","")&amp;IF($L1047="","Thiếu/sai Mã REF; ",IF(AND($L1047="Chưa xác định",DANH_MUC!$L$9&lt;&gt;"Có"),"Nguồn chưa xác định; ","")))</f>
        <v/>
      </c>
      <c r="V1047" s="22">
        <f>IF(OR($D1047="",$R1047="Trùng"),"",IF(COUNTIF(ORDERS!$C$2:$C$4995,$D1047)&gt;0,"Có","Không"))</f>
        <v/>
      </c>
      <c r="W1047" s="22">
        <f>IF(OR($D1047="",$R1047="Trùng"),"",COUNTIFS(ORDERS!$C$2:$C$4995,$D1047,ORDERS!$L$2:$L$4995,"Đã chuyển khoản"))</f>
        <v/>
      </c>
      <c r="X1047" s="23">
        <f>IF(OR($D1047="",$R1047="Trùng"),"",SUMIFS(ORDERS!$J$2:$J$4995,ORDERS!$C$2:$C$4995,$D1047,ORDERS!$L$2:$L$4995,"Đã chuyển khoản"))</f>
        <v/>
      </c>
      <c r="Y1047" s="24" t="n"/>
    </row>
    <row r="1048" ht="14.25" customHeight="1" s="40">
      <c r="A1048" s="24" t="n"/>
      <c r="B1048" s="27" t="n"/>
      <c r="C1048" s="24" t="n"/>
      <c r="D1048" s="28" t="n"/>
      <c r="E1048" s="29" t="n"/>
      <c r="F1048" s="24" t="n"/>
      <c r="G1048" s="24" t="n"/>
      <c r="H1048" s="21">
        <f>IF(ISNUMBER($B1048),INT($B1048)-WEEKDAY($B1048,2)+1,"")</f>
        <v/>
      </c>
      <c r="I1048" s="24" t="n"/>
      <c r="J1048" s="22">
        <f t="array" ref="J1048">IF($D1048="","",IF($I1048="","(trống REF)",IFERROR(INDEX(MASTER_SOURCE!$B$2:$B$495,MATCH($I1048,MASTER_SOURCE!$A$2:$A$495,0)),"(REF không có trong MASTER_SOURCE)")))</f>
        <v/>
      </c>
      <c r="K1048" s="22">
        <f t="array" ref="K1048">IF($D1048="","",IFERROR(INDEX(MASTER_SOURCE!$C$2:$C$495,MATCH($I1048,MASTER_SOURCE!$A$2:$A$495,0)),""))</f>
        <v/>
      </c>
      <c r="L1048" s="22">
        <f t="array" ref="L1048">IF($D1048="","",IFERROR(INDEX(MASTER_SOURCE!$D$2:$D$495,MATCH($I1048,MASTER_SOURCE!$A$2:$A$495,0)),""))</f>
        <v/>
      </c>
      <c r="M1048" s="24" t="n"/>
      <c r="N1048" s="24" t="n"/>
      <c r="O1048" s="24" t="n"/>
      <c r="P1048" s="24" t="n"/>
      <c r="Q1048" s="22">
        <f>IF($D1048="","",IF(AND(OR(DANH_MUC!$L$5&lt;&gt;"Có",M1048="Có"),OR(DANH_MUC!$L$6&lt;&gt;"Có",N1048="Có"),OR(DANH_MUC!$L$7&lt;&gt;"Có",O1048="Có"),OR(DANH_MUC!$L$8&lt;&gt;"Có",P1048="Có")),"Có","Không"))</f>
        <v/>
      </c>
      <c r="R1048" s="22">
        <f>IF($D1048="","",IF(COUNTIF($D$2:$D1048,$D1048)&gt;1,"Trùng",""))</f>
        <v/>
      </c>
      <c r="S1048" s="22">
        <f>IF($D1048="","",IF(AND(LEN($D1048)=10,LEFT($D1048,1)="0",ISNUMBER(--$D1048)),"Có","Không"))</f>
        <v/>
      </c>
      <c r="T1048" s="22">
        <f>IF($D1048="","",IF(AND($C1048&lt;&gt;"",$Q1048="Có",$R1048="",$S1048="Có",AND($L1048&lt;&gt;"",OR($L1048&lt;&gt;"Chưa xác định",DANH_MUC!$L$9="Có"))),"Có","Không"))</f>
        <v/>
      </c>
      <c r="U1048" s="22">
        <f>IF(OR($D1048="",$T1048="Có"),"",IF($C1048="","Thiếu họ tên; ","")&amp;IF($S1048&lt;&gt;"Có","SĐT sai định dạng; ","")&amp;IF($R1048="Trùng","Trùng SĐT; ","")&amp;IF($Q1048&lt;&gt;"Có","Thiếu đồng ý bắt buộc; ","")&amp;IF($L1048="","Thiếu/sai Mã REF; ",IF(AND($L1048="Chưa xác định",DANH_MUC!$L$9&lt;&gt;"Có"),"Nguồn chưa xác định; ","")))</f>
        <v/>
      </c>
      <c r="V1048" s="22">
        <f>IF(OR($D1048="",$R1048="Trùng"),"",IF(COUNTIF(ORDERS!$C$2:$C$4995,$D1048)&gt;0,"Có","Không"))</f>
        <v/>
      </c>
      <c r="W1048" s="22">
        <f>IF(OR($D1048="",$R1048="Trùng"),"",COUNTIFS(ORDERS!$C$2:$C$4995,$D1048,ORDERS!$L$2:$L$4995,"Đã chuyển khoản"))</f>
        <v/>
      </c>
      <c r="X1048" s="23">
        <f>IF(OR($D1048="",$R1048="Trùng"),"",SUMIFS(ORDERS!$J$2:$J$4995,ORDERS!$C$2:$C$4995,$D1048,ORDERS!$L$2:$L$4995,"Đã chuyển khoản"))</f>
        <v/>
      </c>
      <c r="Y1048" s="24" t="n"/>
    </row>
    <row r="1049" ht="14.25" customHeight="1" s="40">
      <c r="A1049" s="24" t="n"/>
      <c r="B1049" s="27" t="n"/>
      <c r="C1049" s="24" t="n"/>
      <c r="D1049" s="28" t="n"/>
      <c r="E1049" s="29" t="n"/>
      <c r="F1049" s="24" t="n"/>
      <c r="G1049" s="24" t="n"/>
      <c r="H1049" s="21">
        <f>IF(ISNUMBER($B1049),INT($B1049)-WEEKDAY($B1049,2)+1,"")</f>
        <v/>
      </c>
      <c r="I1049" s="24" t="n"/>
      <c r="J1049" s="22">
        <f t="array" ref="J1049">IF($D1049="","",IF($I1049="","(trống REF)",IFERROR(INDEX(MASTER_SOURCE!$B$2:$B$495,MATCH($I1049,MASTER_SOURCE!$A$2:$A$495,0)),"(REF không có trong MASTER_SOURCE)")))</f>
        <v/>
      </c>
      <c r="K1049" s="22">
        <f t="array" ref="K1049">IF($D1049="","",IFERROR(INDEX(MASTER_SOURCE!$C$2:$C$495,MATCH($I1049,MASTER_SOURCE!$A$2:$A$495,0)),""))</f>
        <v/>
      </c>
      <c r="L1049" s="22">
        <f t="array" ref="L1049">IF($D1049="","",IFERROR(INDEX(MASTER_SOURCE!$D$2:$D$495,MATCH($I1049,MASTER_SOURCE!$A$2:$A$495,0)),""))</f>
        <v/>
      </c>
      <c r="M1049" s="24" t="n"/>
      <c r="N1049" s="24" t="n"/>
      <c r="O1049" s="24" t="n"/>
      <c r="P1049" s="24" t="n"/>
      <c r="Q1049" s="22">
        <f>IF($D1049="","",IF(AND(OR(DANH_MUC!$L$5&lt;&gt;"Có",M1049="Có"),OR(DANH_MUC!$L$6&lt;&gt;"Có",N1049="Có"),OR(DANH_MUC!$L$7&lt;&gt;"Có",O1049="Có"),OR(DANH_MUC!$L$8&lt;&gt;"Có",P1049="Có")),"Có","Không"))</f>
        <v/>
      </c>
      <c r="R1049" s="22">
        <f>IF($D1049="","",IF(COUNTIF($D$2:$D1049,$D1049)&gt;1,"Trùng",""))</f>
        <v/>
      </c>
      <c r="S1049" s="22">
        <f>IF($D1049="","",IF(AND(LEN($D1049)=10,LEFT($D1049,1)="0",ISNUMBER(--$D1049)),"Có","Không"))</f>
        <v/>
      </c>
      <c r="T1049" s="22">
        <f>IF($D1049="","",IF(AND($C1049&lt;&gt;"",$Q1049="Có",$R1049="",$S1049="Có",AND($L1049&lt;&gt;"",OR($L1049&lt;&gt;"Chưa xác định",DANH_MUC!$L$9="Có"))),"Có","Không"))</f>
        <v/>
      </c>
      <c r="U1049" s="22">
        <f>IF(OR($D1049="",$T1049="Có"),"",IF($C1049="","Thiếu họ tên; ","")&amp;IF($S1049&lt;&gt;"Có","SĐT sai định dạng; ","")&amp;IF($R1049="Trùng","Trùng SĐT; ","")&amp;IF($Q1049&lt;&gt;"Có","Thiếu đồng ý bắt buộc; ","")&amp;IF($L1049="","Thiếu/sai Mã REF; ",IF(AND($L1049="Chưa xác định",DANH_MUC!$L$9&lt;&gt;"Có"),"Nguồn chưa xác định; ","")))</f>
        <v/>
      </c>
      <c r="V1049" s="22">
        <f>IF(OR($D1049="",$R1049="Trùng"),"",IF(COUNTIF(ORDERS!$C$2:$C$4995,$D1049)&gt;0,"Có","Không"))</f>
        <v/>
      </c>
      <c r="W1049" s="22">
        <f>IF(OR($D1049="",$R1049="Trùng"),"",COUNTIFS(ORDERS!$C$2:$C$4995,$D1049,ORDERS!$L$2:$L$4995,"Đã chuyển khoản"))</f>
        <v/>
      </c>
      <c r="X1049" s="23">
        <f>IF(OR($D1049="",$R1049="Trùng"),"",SUMIFS(ORDERS!$J$2:$J$4995,ORDERS!$C$2:$C$4995,$D1049,ORDERS!$L$2:$L$4995,"Đã chuyển khoản"))</f>
        <v/>
      </c>
      <c r="Y1049" s="24" t="n"/>
    </row>
    <row r="1050" ht="14.25" customHeight="1" s="40">
      <c r="A1050" s="24" t="n"/>
      <c r="B1050" s="27" t="n"/>
      <c r="C1050" s="24" t="n"/>
      <c r="D1050" s="28" t="n"/>
      <c r="E1050" s="29" t="n"/>
      <c r="F1050" s="24" t="n"/>
      <c r="G1050" s="24" t="n"/>
      <c r="H1050" s="21">
        <f>IF(ISNUMBER($B1050),INT($B1050)-WEEKDAY($B1050,2)+1,"")</f>
        <v/>
      </c>
      <c r="I1050" s="24" t="n"/>
      <c r="J1050" s="22">
        <f t="array" ref="J1050">IF($D1050="","",IF($I1050="","(trống REF)",IFERROR(INDEX(MASTER_SOURCE!$B$2:$B$495,MATCH($I1050,MASTER_SOURCE!$A$2:$A$495,0)),"(REF không có trong MASTER_SOURCE)")))</f>
        <v/>
      </c>
      <c r="K1050" s="22">
        <f t="array" ref="K1050">IF($D1050="","",IFERROR(INDEX(MASTER_SOURCE!$C$2:$C$495,MATCH($I1050,MASTER_SOURCE!$A$2:$A$495,0)),""))</f>
        <v/>
      </c>
      <c r="L1050" s="22">
        <f t="array" ref="L1050">IF($D1050="","",IFERROR(INDEX(MASTER_SOURCE!$D$2:$D$495,MATCH($I1050,MASTER_SOURCE!$A$2:$A$495,0)),""))</f>
        <v/>
      </c>
      <c r="M1050" s="24" t="n"/>
      <c r="N1050" s="24" t="n"/>
      <c r="O1050" s="24" t="n"/>
      <c r="P1050" s="24" t="n"/>
      <c r="Q1050" s="22">
        <f>IF($D1050="","",IF(AND(OR(DANH_MUC!$L$5&lt;&gt;"Có",M1050="Có"),OR(DANH_MUC!$L$6&lt;&gt;"Có",N1050="Có"),OR(DANH_MUC!$L$7&lt;&gt;"Có",O1050="Có"),OR(DANH_MUC!$L$8&lt;&gt;"Có",P1050="Có")),"Có","Không"))</f>
        <v/>
      </c>
      <c r="R1050" s="22">
        <f>IF($D1050="","",IF(COUNTIF($D$2:$D1050,$D1050)&gt;1,"Trùng",""))</f>
        <v/>
      </c>
      <c r="S1050" s="22">
        <f>IF($D1050="","",IF(AND(LEN($D1050)=10,LEFT($D1050,1)="0",ISNUMBER(--$D1050)),"Có","Không"))</f>
        <v/>
      </c>
      <c r="T1050" s="22">
        <f>IF($D1050="","",IF(AND($C1050&lt;&gt;"",$Q1050="Có",$R1050="",$S1050="Có",AND($L1050&lt;&gt;"",OR($L1050&lt;&gt;"Chưa xác định",DANH_MUC!$L$9="Có"))),"Có","Không"))</f>
        <v/>
      </c>
      <c r="U1050" s="22">
        <f>IF(OR($D1050="",$T1050="Có"),"",IF($C1050="","Thiếu họ tên; ","")&amp;IF($S1050&lt;&gt;"Có","SĐT sai định dạng; ","")&amp;IF($R1050="Trùng","Trùng SĐT; ","")&amp;IF($Q1050&lt;&gt;"Có","Thiếu đồng ý bắt buộc; ","")&amp;IF($L1050="","Thiếu/sai Mã REF; ",IF(AND($L1050="Chưa xác định",DANH_MUC!$L$9&lt;&gt;"Có"),"Nguồn chưa xác định; ","")))</f>
        <v/>
      </c>
      <c r="V1050" s="22">
        <f>IF(OR($D1050="",$R1050="Trùng"),"",IF(COUNTIF(ORDERS!$C$2:$C$4995,$D1050)&gt;0,"Có","Không"))</f>
        <v/>
      </c>
      <c r="W1050" s="22">
        <f>IF(OR($D1050="",$R1050="Trùng"),"",COUNTIFS(ORDERS!$C$2:$C$4995,$D1050,ORDERS!$L$2:$L$4995,"Đã chuyển khoản"))</f>
        <v/>
      </c>
      <c r="X1050" s="23">
        <f>IF(OR($D1050="",$R1050="Trùng"),"",SUMIFS(ORDERS!$J$2:$J$4995,ORDERS!$C$2:$C$4995,$D1050,ORDERS!$L$2:$L$4995,"Đã chuyển khoản"))</f>
        <v/>
      </c>
      <c r="Y1050" s="24" t="n"/>
    </row>
    <row r="1051" ht="14.25" customHeight="1" s="40">
      <c r="A1051" s="24" t="n"/>
      <c r="B1051" s="27" t="n"/>
      <c r="C1051" s="24" t="n"/>
      <c r="D1051" s="28" t="n"/>
      <c r="E1051" s="29" t="n"/>
      <c r="F1051" s="24" t="n"/>
      <c r="G1051" s="24" t="n"/>
      <c r="H1051" s="21">
        <f>IF(ISNUMBER($B1051),INT($B1051)-WEEKDAY($B1051,2)+1,"")</f>
        <v/>
      </c>
      <c r="I1051" s="24" t="n"/>
      <c r="J1051" s="22">
        <f t="array" ref="J1051">IF($D1051="","",IF($I1051="","(trống REF)",IFERROR(INDEX(MASTER_SOURCE!$B$2:$B$495,MATCH($I1051,MASTER_SOURCE!$A$2:$A$495,0)),"(REF không có trong MASTER_SOURCE)")))</f>
        <v/>
      </c>
      <c r="K1051" s="22">
        <f t="array" ref="K1051">IF($D1051="","",IFERROR(INDEX(MASTER_SOURCE!$C$2:$C$495,MATCH($I1051,MASTER_SOURCE!$A$2:$A$495,0)),""))</f>
        <v/>
      </c>
      <c r="L1051" s="22">
        <f t="array" ref="L1051">IF($D1051="","",IFERROR(INDEX(MASTER_SOURCE!$D$2:$D$495,MATCH($I1051,MASTER_SOURCE!$A$2:$A$495,0)),""))</f>
        <v/>
      </c>
      <c r="M1051" s="24" t="n"/>
      <c r="N1051" s="24" t="n"/>
      <c r="O1051" s="24" t="n"/>
      <c r="P1051" s="24" t="n"/>
      <c r="Q1051" s="22">
        <f>IF($D1051="","",IF(AND(OR(DANH_MUC!$L$5&lt;&gt;"Có",M1051="Có"),OR(DANH_MUC!$L$6&lt;&gt;"Có",N1051="Có"),OR(DANH_MUC!$L$7&lt;&gt;"Có",O1051="Có"),OR(DANH_MUC!$L$8&lt;&gt;"Có",P1051="Có")),"Có","Không"))</f>
        <v/>
      </c>
      <c r="R1051" s="22">
        <f>IF($D1051="","",IF(COUNTIF($D$2:$D1051,$D1051)&gt;1,"Trùng",""))</f>
        <v/>
      </c>
      <c r="S1051" s="22">
        <f>IF($D1051="","",IF(AND(LEN($D1051)=10,LEFT($D1051,1)="0",ISNUMBER(--$D1051)),"Có","Không"))</f>
        <v/>
      </c>
      <c r="T1051" s="22">
        <f>IF($D1051="","",IF(AND($C1051&lt;&gt;"",$Q1051="Có",$R1051="",$S1051="Có",AND($L1051&lt;&gt;"",OR($L1051&lt;&gt;"Chưa xác định",DANH_MUC!$L$9="Có"))),"Có","Không"))</f>
        <v/>
      </c>
      <c r="U1051" s="22">
        <f>IF(OR($D1051="",$T1051="Có"),"",IF($C1051="","Thiếu họ tên; ","")&amp;IF($S1051&lt;&gt;"Có","SĐT sai định dạng; ","")&amp;IF($R1051="Trùng","Trùng SĐT; ","")&amp;IF($Q1051&lt;&gt;"Có","Thiếu đồng ý bắt buộc; ","")&amp;IF($L1051="","Thiếu/sai Mã REF; ",IF(AND($L1051="Chưa xác định",DANH_MUC!$L$9&lt;&gt;"Có"),"Nguồn chưa xác định; ","")))</f>
        <v/>
      </c>
      <c r="V1051" s="22">
        <f>IF(OR($D1051="",$R1051="Trùng"),"",IF(COUNTIF(ORDERS!$C$2:$C$4995,$D1051)&gt;0,"Có","Không"))</f>
        <v/>
      </c>
      <c r="W1051" s="22">
        <f>IF(OR($D1051="",$R1051="Trùng"),"",COUNTIFS(ORDERS!$C$2:$C$4995,$D1051,ORDERS!$L$2:$L$4995,"Đã chuyển khoản"))</f>
        <v/>
      </c>
      <c r="X1051" s="23">
        <f>IF(OR($D1051="",$R1051="Trùng"),"",SUMIFS(ORDERS!$J$2:$J$4995,ORDERS!$C$2:$C$4995,$D1051,ORDERS!$L$2:$L$4995,"Đã chuyển khoản"))</f>
        <v/>
      </c>
      <c r="Y1051" s="24" t="n"/>
    </row>
    <row r="1052" ht="14.25" customHeight="1" s="40">
      <c r="A1052" s="24" t="n"/>
      <c r="B1052" s="27" t="n"/>
      <c r="C1052" s="24" t="n"/>
      <c r="D1052" s="28" t="n"/>
      <c r="E1052" s="29" t="n"/>
      <c r="F1052" s="24" t="n"/>
      <c r="G1052" s="24" t="n"/>
      <c r="H1052" s="21">
        <f>IF(ISNUMBER($B1052),INT($B1052)-WEEKDAY($B1052,2)+1,"")</f>
        <v/>
      </c>
      <c r="I1052" s="24" t="n"/>
      <c r="J1052" s="22">
        <f t="array" ref="J1052">IF($D1052="","",IF($I1052="","(trống REF)",IFERROR(INDEX(MASTER_SOURCE!$B$2:$B$495,MATCH($I1052,MASTER_SOURCE!$A$2:$A$495,0)),"(REF không có trong MASTER_SOURCE)")))</f>
        <v/>
      </c>
      <c r="K1052" s="22">
        <f t="array" ref="K1052">IF($D1052="","",IFERROR(INDEX(MASTER_SOURCE!$C$2:$C$495,MATCH($I1052,MASTER_SOURCE!$A$2:$A$495,0)),""))</f>
        <v/>
      </c>
      <c r="L1052" s="22">
        <f t="array" ref="L1052">IF($D1052="","",IFERROR(INDEX(MASTER_SOURCE!$D$2:$D$495,MATCH($I1052,MASTER_SOURCE!$A$2:$A$495,0)),""))</f>
        <v/>
      </c>
      <c r="M1052" s="24" t="n"/>
      <c r="N1052" s="24" t="n"/>
      <c r="O1052" s="24" t="n"/>
      <c r="P1052" s="24" t="n"/>
      <c r="Q1052" s="22">
        <f>IF($D1052="","",IF(AND(OR(DANH_MUC!$L$5&lt;&gt;"Có",M1052="Có"),OR(DANH_MUC!$L$6&lt;&gt;"Có",N1052="Có"),OR(DANH_MUC!$L$7&lt;&gt;"Có",O1052="Có"),OR(DANH_MUC!$L$8&lt;&gt;"Có",P1052="Có")),"Có","Không"))</f>
        <v/>
      </c>
      <c r="R1052" s="22">
        <f>IF($D1052="","",IF(COUNTIF($D$2:$D1052,$D1052)&gt;1,"Trùng",""))</f>
        <v/>
      </c>
      <c r="S1052" s="22">
        <f>IF($D1052="","",IF(AND(LEN($D1052)=10,LEFT($D1052,1)="0",ISNUMBER(--$D1052)),"Có","Không"))</f>
        <v/>
      </c>
      <c r="T1052" s="22">
        <f>IF($D1052="","",IF(AND($C1052&lt;&gt;"",$Q1052="Có",$R1052="",$S1052="Có",AND($L1052&lt;&gt;"",OR($L1052&lt;&gt;"Chưa xác định",DANH_MUC!$L$9="Có"))),"Có","Không"))</f>
        <v/>
      </c>
      <c r="U1052" s="22">
        <f>IF(OR($D1052="",$T1052="Có"),"",IF($C1052="","Thiếu họ tên; ","")&amp;IF($S1052&lt;&gt;"Có","SĐT sai định dạng; ","")&amp;IF($R1052="Trùng","Trùng SĐT; ","")&amp;IF($Q1052&lt;&gt;"Có","Thiếu đồng ý bắt buộc; ","")&amp;IF($L1052="","Thiếu/sai Mã REF; ",IF(AND($L1052="Chưa xác định",DANH_MUC!$L$9&lt;&gt;"Có"),"Nguồn chưa xác định; ","")))</f>
        <v/>
      </c>
      <c r="V1052" s="22">
        <f>IF(OR($D1052="",$R1052="Trùng"),"",IF(COUNTIF(ORDERS!$C$2:$C$4995,$D1052)&gt;0,"Có","Không"))</f>
        <v/>
      </c>
      <c r="W1052" s="22">
        <f>IF(OR($D1052="",$R1052="Trùng"),"",COUNTIFS(ORDERS!$C$2:$C$4995,$D1052,ORDERS!$L$2:$L$4995,"Đã chuyển khoản"))</f>
        <v/>
      </c>
      <c r="X1052" s="23">
        <f>IF(OR($D1052="",$R1052="Trùng"),"",SUMIFS(ORDERS!$J$2:$J$4995,ORDERS!$C$2:$C$4995,$D1052,ORDERS!$L$2:$L$4995,"Đã chuyển khoản"))</f>
        <v/>
      </c>
      <c r="Y1052" s="24" t="n"/>
    </row>
    <row r="1053" ht="14.25" customHeight="1" s="40">
      <c r="A1053" s="24" t="n"/>
      <c r="B1053" s="27" t="n"/>
      <c r="C1053" s="24" t="n"/>
      <c r="D1053" s="28" t="n"/>
      <c r="E1053" s="29" t="n"/>
      <c r="F1053" s="24" t="n"/>
      <c r="G1053" s="24" t="n"/>
      <c r="H1053" s="21">
        <f>IF(ISNUMBER($B1053),INT($B1053)-WEEKDAY($B1053,2)+1,"")</f>
        <v/>
      </c>
      <c r="I1053" s="24" t="n"/>
      <c r="J1053" s="22">
        <f t="array" ref="J1053">IF($D1053="","",IF($I1053="","(trống REF)",IFERROR(INDEX(MASTER_SOURCE!$B$2:$B$495,MATCH($I1053,MASTER_SOURCE!$A$2:$A$495,0)),"(REF không có trong MASTER_SOURCE)")))</f>
        <v/>
      </c>
      <c r="K1053" s="22">
        <f t="array" ref="K1053">IF($D1053="","",IFERROR(INDEX(MASTER_SOURCE!$C$2:$C$495,MATCH($I1053,MASTER_SOURCE!$A$2:$A$495,0)),""))</f>
        <v/>
      </c>
      <c r="L1053" s="22">
        <f t="array" ref="L1053">IF($D1053="","",IFERROR(INDEX(MASTER_SOURCE!$D$2:$D$495,MATCH($I1053,MASTER_SOURCE!$A$2:$A$495,0)),""))</f>
        <v/>
      </c>
      <c r="M1053" s="24" t="n"/>
      <c r="N1053" s="24" t="n"/>
      <c r="O1053" s="24" t="n"/>
      <c r="P1053" s="24" t="n"/>
      <c r="Q1053" s="22">
        <f>IF($D1053="","",IF(AND(OR(DANH_MUC!$L$5&lt;&gt;"Có",M1053="Có"),OR(DANH_MUC!$L$6&lt;&gt;"Có",N1053="Có"),OR(DANH_MUC!$L$7&lt;&gt;"Có",O1053="Có"),OR(DANH_MUC!$L$8&lt;&gt;"Có",P1053="Có")),"Có","Không"))</f>
        <v/>
      </c>
      <c r="R1053" s="22">
        <f>IF($D1053="","",IF(COUNTIF($D$2:$D1053,$D1053)&gt;1,"Trùng",""))</f>
        <v/>
      </c>
      <c r="S1053" s="22">
        <f>IF($D1053="","",IF(AND(LEN($D1053)=10,LEFT($D1053,1)="0",ISNUMBER(--$D1053)),"Có","Không"))</f>
        <v/>
      </c>
      <c r="T1053" s="22">
        <f>IF($D1053="","",IF(AND($C1053&lt;&gt;"",$Q1053="Có",$R1053="",$S1053="Có",AND($L1053&lt;&gt;"",OR($L1053&lt;&gt;"Chưa xác định",DANH_MUC!$L$9="Có"))),"Có","Không"))</f>
        <v/>
      </c>
      <c r="U1053" s="22">
        <f>IF(OR($D1053="",$T1053="Có"),"",IF($C1053="","Thiếu họ tên; ","")&amp;IF($S1053&lt;&gt;"Có","SĐT sai định dạng; ","")&amp;IF($R1053="Trùng","Trùng SĐT; ","")&amp;IF($Q1053&lt;&gt;"Có","Thiếu đồng ý bắt buộc; ","")&amp;IF($L1053="","Thiếu/sai Mã REF; ",IF(AND($L1053="Chưa xác định",DANH_MUC!$L$9&lt;&gt;"Có"),"Nguồn chưa xác định; ","")))</f>
        <v/>
      </c>
      <c r="V1053" s="22">
        <f>IF(OR($D1053="",$R1053="Trùng"),"",IF(COUNTIF(ORDERS!$C$2:$C$4995,$D1053)&gt;0,"Có","Không"))</f>
        <v/>
      </c>
      <c r="W1053" s="22">
        <f>IF(OR($D1053="",$R1053="Trùng"),"",COUNTIFS(ORDERS!$C$2:$C$4995,$D1053,ORDERS!$L$2:$L$4995,"Đã chuyển khoản"))</f>
        <v/>
      </c>
      <c r="X1053" s="23">
        <f>IF(OR($D1053="",$R1053="Trùng"),"",SUMIFS(ORDERS!$J$2:$J$4995,ORDERS!$C$2:$C$4995,$D1053,ORDERS!$L$2:$L$4995,"Đã chuyển khoản"))</f>
        <v/>
      </c>
      <c r="Y1053" s="24" t="n"/>
    </row>
    <row r="1054" ht="14.25" customHeight="1" s="40">
      <c r="A1054" s="24" t="n"/>
      <c r="B1054" s="27" t="n"/>
      <c r="C1054" s="24" t="n"/>
      <c r="D1054" s="28" t="n"/>
      <c r="E1054" s="29" t="n"/>
      <c r="F1054" s="24" t="n"/>
      <c r="G1054" s="24" t="n"/>
      <c r="H1054" s="21">
        <f>IF(ISNUMBER($B1054),INT($B1054)-WEEKDAY($B1054,2)+1,"")</f>
        <v/>
      </c>
      <c r="I1054" s="24" t="n"/>
      <c r="J1054" s="22">
        <f t="array" ref="J1054">IF($D1054="","",IF($I1054="","(trống REF)",IFERROR(INDEX(MASTER_SOURCE!$B$2:$B$495,MATCH($I1054,MASTER_SOURCE!$A$2:$A$495,0)),"(REF không có trong MASTER_SOURCE)")))</f>
        <v/>
      </c>
      <c r="K1054" s="22">
        <f t="array" ref="K1054">IF($D1054="","",IFERROR(INDEX(MASTER_SOURCE!$C$2:$C$495,MATCH($I1054,MASTER_SOURCE!$A$2:$A$495,0)),""))</f>
        <v/>
      </c>
      <c r="L1054" s="22">
        <f t="array" ref="L1054">IF($D1054="","",IFERROR(INDEX(MASTER_SOURCE!$D$2:$D$495,MATCH($I1054,MASTER_SOURCE!$A$2:$A$495,0)),""))</f>
        <v/>
      </c>
      <c r="M1054" s="24" t="n"/>
      <c r="N1054" s="24" t="n"/>
      <c r="O1054" s="24" t="n"/>
      <c r="P1054" s="24" t="n"/>
      <c r="Q1054" s="22">
        <f>IF($D1054="","",IF(AND(OR(DANH_MUC!$L$5&lt;&gt;"Có",M1054="Có"),OR(DANH_MUC!$L$6&lt;&gt;"Có",N1054="Có"),OR(DANH_MUC!$L$7&lt;&gt;"Có",O1054="Có"),OR(DANH_MUC!$L$8&lt;&gt;"Có",P1054="Có")),"Có","Không"))</f>
        <v/>
      </c>
      <c r="R1054" s="22">
        <f>IF($D1054="","",IF(COUNTIF($D$2:$D1054,$D1054)&gt;1,"Trùng",""))</f>
        <v/>
      </c>
      <c r="S1054" s="22">
        <f>IF($D1054="","",IF(AND(LEN($D1054)=10,LEFT($D1054,1)="0",ISNUMBER(--$D1054)),"Có","Không"))</f>
        <v/>
      </c>
      <c r="T1054" s="22">
        <f>IF($D1054="","",IF(AND($C1054&lt;&gt;"",$Q1054="Có",$R1054="",$S1054="Có",AND($L1054&lt;&gt;"",OR($L1054&lt;&gt;"Chưa xác định",DANH_MUC!$L$9="Có"))),"Có","Không"))</f>
        <v/>
      </c>
      <c r="U1054" s="22">
        <f>IF(OR($D1054="",$T1054="Có"),"",IF($C1054="","Thiếu họ tên; ","")&amp;IF($S1054&lt;&gt;"Có","SĐT sai định dạng; ","")&amp;IF($R1054="Trùng","Trùng SĐT; ","")&amp;IF($Q1054&lt;&gt;"Có","Thiếu đồng ý bắt buộc; ","")&amp;IF($L1054="","Thiếu/sai Mã REF; ",IF(AND($L1054="Chưa xác định",DANH_MUC!$L$9&lt;&gt;"Có"),"Nguồn chưa xác định; ","")))</f>
        <v/>
      </c>
      <c r="V1054" s="22">
        <f>IF(OR($D1054="",$R1054="Trùng"),"",IF(COUNTIF(ORDERS!$C$2:$C$4995,$D1054)&gt;0,"Có","Không"))</f>
        <v/>
      </c>
      <c r="W1054" s="22">
        <f>IF(OR($D1054="",$R1054="Trùng"),"",COUNTIFS(ORDERS!$C$2:$C$4995,$D1054,ORDERS!$L$2:$L$4995,"Đã chuyển khoản"))</f>
        <v/>
      </c>
      <c r="X1054" s="23">
        <f>IF(OR($D1054="",$R1054="Trùng"),"",SUMIFS(ORDERS!$J$2:$J$4995,ORDERS!$C$2:$C$4995,$D1054,ORDERS!$L$2:$L$4995,"Đã chuyển khoản"))</f>
        <v/>
      </c>
      <c r="Y1054" s="24" t="n"/>
    </row>
    <row r="1055" ht="14.25" customHeight="1" s="40">
      <c r="A1055" s="24" t="n"/>
      <c r="B1055" s="27" t="n"/>
      <c r="C1055" s="24" t="n"/>
      <c r="D1055" s="28" t="n"/>
      <c r="E1055" s="29" t="n"/>
      <c r="F1055" s="24" t="n"/>
      <c r="G1055" s="24" t="n"/>
      <c r="H1055" s="21">
        <f>IF(ISNUMBER($B1055),INT($B1055)-WEEKDAY($B1055,2)+1,"")</f>
        <v/>
      </c>
      <c r="I1055" s="24" t="n"/>
      <c r="J1055" s="22">
        <f t="array" ref="J1055">IF($D1055="","",IF($I1055="","(trống REF)",IFERROR(INDEX(MASTER_SOURCE!$B$2:$B$495,MATCH($I1055,MASTER_SOURCE!$A$2:$A$495,0)),"(REF không có trong MASTER_SOURCE)")))</f>
        <v/>
      </c>
      <c r="K1055" s="22">
        <f t="array" ref="K1055">IF($D1055="","",IFERROR(INDEX(MASTER_SOURCE!$C$2:$C$495,MATCH($I1055,MASTER_SOURCE!$A$2:$A$495,0)),""))</f>
        <v/>
      </c>
      <c r="L1055" s="22">
        <f t="array" ref="L1055">IF($D1055="","",IFERROR(INDEX(MASTER_SOURCE!$D$2:$D$495,MATCH($I1055,MASTER_SOURCE!$A$2:$A$495,0)),""))</f>
        <v/>
      </c>
      <c r="M1055" s="24" t="n"/>
      <c r="N1055" s="24" t="n"/>
      <c r="O1055" s="24" t="n"/>
      <c r="P1055" s="24" t="n"/>
      <c r="Q1055" s="22">
        <f>IF($D1055="","",IF(AND(OR(DANH_MUC!$L$5&lt;&gt;"Có",M1055="Có"),OR(DANH_MUC!$L$6&lt;&gt;"Có",N1055="Có"),OR(DANH_MUC!$L$7&lt;&gt;"Có",O1055="Có"),OR(DANH_MUC!$L$8&lt;&gt;"Có",P1055="Có")),"Có","Không"))</f>
        <v/>
      </c>
      <c r="R1055" s="22">
        <f>IF($D1055="","",IF(COUNTIF($D$2:$D1055,$D1055)&gt;1,"Trùng",""))</f>
        <v/>
      </c>
      <c r="S1055" s="22">
        <f>IF($D1055="","",IF(AND(LEN($D1055)=10,LEFT($D1055,1)="0",ISNUMBER(--$D1055)),"Có","Không"))</f>
        <v/>
      </c>
      <c r="T1055" s="22">
        <f>IF($D1055="","",IF(AND($C1055&lt;&gt;"",$Q1055="Có",$R1055="",$S1055="Có",AND($L1055&lt;&gt;"",OR($L1055&lt;&gt;"Chưa xác định",DANH_MUC!$L$9="Có"))),"Có","Không"))</f>
        <v/>
      </c>
      <c r="U1055" s="22">
        <f>IF(OR($D1055="",$T1055="Có"),"",IF($C1055="","Thiếu họ tên; ","")&amp;IF($S1055&lt;&gt;"Có","SĐT sai định dạng; ","")&amp;IF($R1055="Trùng","Trùng SĐT; ","")&amp;IF($Q1055&lt;&gt;"Có","Thiếu đồng ý bắt buộc; ","")&amp;IF($L1055="","Thiếu/sai Mã REF; ",IF(AND($L1055="Chưa xác định",DANH_MUC!$L$9&lt;&gt;"Có"),"Nguồn chưa xác định; ","")))</f>
        <v/>
      </c>
      <c r="V1055" s="22">
        <f>IF(OR($D1055="",$R1055="Trùng"),"",IF(COUNTIF(ORDERS!$C$2:$C$4995,$D1055)&gt;0,"Có","Không"))</f>
        <v/>
      </c>
      <c r="W1055" s="22">
        <f>IF(OR($D1055="",$R1055="Trùng"),"",COUNTIFS(ORDERS!$C$2:$C$4995,$D1055,ORDERS!$L$2:$L$4995,"Đã chuyển khoản"))</f>
        <v/>
      </c>
      <c r="X1055" s="23">
        <f>IF(OR($D1055="",$R1055="Trùng"),"",SUMIFS(ORDERS!$J$2:$J$4995,ORDERS!$C$2:$C$4995,$D1055,ORDERS!$L$2:$L$4995,"Đã chuyển khoản"))</f>
        <v/>
      </c>
      <c r="Y1055" s="24" t="n"/>
    </row>
    <row r="1056" ht="14.25" customHeight="1" s="40">
      <c r="A1056" s="24" t="n"/>
      <c r="B1056" s="27" t="n"/>
      <c r="C1056" s="24" t="n"/>
      <c r="D1056" s="28" t="n"/>
      <c r="E1056" s="29" t="n"/>
      <c r="F1056" s="24" t="n"/>
      <c r="G1056" s="24" t="n"/>
      <c r="H1056" s="21">
        <f>IF(ISNUMBER($B1056),INT($B1056)-WEEKDAY($B1056,2)+1,"")</f>
        <v/>
      </c>
      <c r="I1056" s="24" t="n"/>
      <c r="J1056" s="22">
        <f t="array" ref="J1056">IF($D1056="","",IF($I1056="","(trống REF)",IFERROR(INDEX(MASTER_SOURCE!$B$2:$B$495,MATCH($I1056,MASTER_SOURCE!$A$2:$A$495,0)),"(REF không có trong MASTER_SOURCE)")))</f>
        <v/>
      </c>
      <c r="K1056" s="22">
        <f t="array" ref="K1056">IF($D1056="","",IFERROR(INDEX(MASTER_SOURCE!$C$2:$C$495,MATCH($I1056,MASTER_SOURCE!$A$2:$A$495,0)),""))</f>
        <v/>
      </c>
      <c r="L1056" s="22">
        <f t="array" ref="L1056">IF($D1056="","",IFERROR(INDEX(MASTER_SOURCE!$D$2:$D$495,MATCH($I1056,MASTER_SOURCE!$A$2:$A$495,0)),""))</f>
        <v/>
      </c>
      <c r="M1056" s="24" t="n"/>
      <c r="N1056" s="24" t="n"/>
      <c r="O1056" s="24" t="n"/>
      <c r="P1056" s="24" t="n"/>
      <c r="Q1056" s="22">
        <f>IF($D1056="","",IF(AND(OR(DANH_MUC!$L$5&lt;&gt;"Có",M1056="Có"),OR(DANH_MUC!$L$6&lt;&gt;"Có",N1056="Có"),OR(DANH_MUC!$L$7&lt;&gt;"Có",O1056="Có"),OR(DANH_MUC!$L$8&lt;&gt;"Có",P1056="Có")),"Có","Không"))</f>
        <v/>
      </c>
      <c r="R1056" s="22">
        <f>IF($D1056="","",IF(COUNTIF($D$2:$D1056,$D1056)&gt;1,"Trùng",""))</f>
        <v/>
      </c>
      <c r="S1056" s="22">
        <f>IF($D1056="","",IF(AND(LEN($D1056)=10,LEFT($D1056,1)="0",ISNUMBER(--$D1056)),"Có","Không"))</f>
        <v/>
      </c>
      <c r="T1056" s="22">
        <f>IF($D1056="","",IF(AND($C1056&lt;&gt;"",$Q1056="Có",$R1056="",$S1056="Có",AND($L1056&lt;&gt;"",OR($L1056&lt;&gt;"Chưa xác định",DANH_MUC!$L$9="Có"))),"Có","Không"))</f>
        <v/>
      </c>
      <c r="U1056" s="22">
        <f>IF(OR($D1056="",$T1056="Có"),"",IF($C1056="","Thiếu họ tên; ","")&amp;IF($S1056&lt;&gt;"Có","SĐT sai định dạng; ","")&amp;IF($R1056="Trùng","Trùng SĐT; ","")&amp;IF($Q1056&lt;&gt;"Có","Thiếu đồng ý bắt buộc; ","")&amp;IF($L1056="","Thiếu/sai Mã REF; ",IF(AND($L1056="Chưa xác định",DANH_MUC!$L$9&lt;&gt;"Có"),"Nguồn chưa xác định; ","")))</f>
        <v/>
      </c>
      <c r="V1056" s="22">
        <f>IF(OR($D1056="",$R1056="Trùng"),"",IF(COUNTIF(ORDERS!$C$2:$C$4995,$D1056)&gt;0,"Có","Không"))</f>
        <v/>
      </c>
      <c r="W1056" s="22">
        <f>IF(OR($D1056="",$R1056="Trùng"),"",COUNTIFS(ORDERS!$C$2:$C$4995,$D1056,ORDERS!$L$2:$L$4995,"Đã chuyển khoản"))</f>
        <v/>
      </c>
      <c r="X1056" s="23">
        <f>IF(OR($D1056="",$R1056="Trùng"),"",SUMIFS(ORDERS!$J$2:$J$4995,ORDERS!$C$2:$C$4995,$D1056,ORDERS!$L$2:$L$4995,"Đã chuyển khoản"))</f>
        <v/>
      </c>
      <c r="Y1056" s="24" t="n"/>
    </row>
    <row r="1057" ht="14.25" customHeight="1" s="40">
      <c r="A1057" s="24" t="n"/>
      <c r="B1057" s="27" t="n"/>
      <c r="C1057" s="24" t="n"/>
      <c r="D1057" s="28" t="n"/>
      <c r="E1057" s="29" t="n"/>
      <c r="F1057" s="24" t="n"/>
      <c r="G1057" s="24" t="n"/>
      <c r="H1057" s="21">
        <f>IF(ISNUMBER($B1057),INT($B1057)-WEEKDAY($B1057,2)+1,"")</f>
        <v/>
      </c>
      <c r="I1057" s="24" t="n"/>
      <c r="J1057" s="22">
        <f t="array" ref="J1057">IF($D1057="","",IF($I1057="","(trống REF)",IFERROR(INDEX(MASTER_SOURCE!$B$2:$B$495,MATCH($I1057,MASTER_SOURCE!$A$2:$A$495,0)),"(REF không có trong MASTER_SOURCE)")))</f>
        <v/>
      </c>
      <c r="K1057" s="22">
        <f t="array" ref="K1057">IF($D1057="","",IFERROR(INDEX(MASTER_SOURCE!$C$2:$C$495,MATCH($I1057,MASTER_SOURCE!$A$2:$A$495,0)),""))</f>
        <v/>
      </c>
      <c r="L1057" s="22">
        <f t="array" ref="L1057">IF($D1057="","",IFERROR(INDEX(MASTER_SOURCE!$D$2:$D$495,MATCH($I1057,MASTER_SOURCE!$A$2:$A$495,0)),""))</f>
        <v/>
      </c>
      <c r="M1057" s="24" t="n"/>
      <c r="N1057" s="24" t="n"/>
      <c r="O1057" s="24" t="n"/>
      <c r="P1057" s="24" t="n"/>
      <c r="Q1057" s="22">
        <f>IF($D1057="","",IF(AND(OR(DANH_MUC!$L$5&lt;&gt;"Có",M1057="Có"),OR(DANH_MUC!$L$6&lt;&gt;"Có",N1057="Có"),OR(DANH_MUC!$L$7&lt;&gt;"Có",O1057="Có"),OR(DANH_MUC!$L$8&lt;&gt;"Có",P1057="Có")),"Có","Không"))</f>
        <v/>
      </c>
      <c r="R1057" s="22">
        <f>IF($D1057="","",IF(COUNTIF($D$2:$D1057,$D1057)&gt;1,"Trùng",""))</f>
        <v/>
      </c>
      <c r="S1057" s="22">
        <f>IF($D1057="","",IF(AND(LEN($D1057)=10,LEFT($D1057,1)="0",ISNUMBER(--$D1057)),"Có","Không"))</f>
        <v/>
      </c>
      <c r="T1057" s="22">
        <f>IF($D1057="","",IF(AND($C1057&lt;&gt;"",$Q1057="Có",$R1057="",$S1057="Có",AND($L1057&lt;&gt;"",OR($L1057&lt;&gt;"Chưa xác định",DANH_MUC!$L$9="Có"))),"Có","Không"))</f>
        <v/>
      </c>
      <c r="U1057" s="22">
        <f>IF(OR($D1057="",$T1057="Có"),"",IF($C1057="","Thiếu họ tên; ","")&amp;IF($S1057&lt;&gt;"Có","SĐT sai định dạng; ","")&amp;IF($R1057="Trùng","Trùng SĐT; ","")&amp;IF($Q1057&lt;&gt;"Có","Thiếu đồng ý bắt buộc; ","")&amp;IF($L1057="","Thiếu/sai Mã REF; ",IF(AND($L1057="Chưa xác định",DANH_MUC!$L$9&lt;&gt;"Có"),"Nguồn chưa xác định; ","")))</f>
        <v/>
      </c>
      <c r="V1057" s="22">
        <f>IF(OR($D1057="",$R1057="Trùng"),"",IF(COUNTIF(ORDERS!$C$2:$C$4995,$D1057)&gt;0,"Có","Không"))</f>
        <v/>
      </c>
      <c r="W1057" s="22">
        <f>IF(OR($D1057="",$R1057="Trùng"),"",COUNTIFS(ORDERS!$C$2:$C$4995,$D1057,ORDERS!$L$2:$L$4995,"Đã chuyển khoản"))</f>
        <v/>
      </c>
      <c r="X1057" s="23">
        <f>IF(OR($D1057="",$R1057="Trùng"),"",SUMIFS(ORDERS!$J$2:$J$4995,ORDERS!$C$2:$C$4995,$D1057,ORDERS!$L$2:$L$4995,"Đã chuyển khoản"))</f>
        <v/>
      </c>
      <c r="Y1057" s="24" t="n"/>
    </row>
    <row r="1058" ht="14.25" customHeight="1" s="40">
      <c r="A1058" s="24" t="n"/>
      <c r="B1058" s="27" t="n"/>
      <c r="C1058" s="24" t="n"/>
      <c r="D1058" s="28" t="n"/>
      <c r="E1058" s="29" t="n"/>
      <c r="F1058" s="24" t="n"/>
      <c r="G1058" s="24" t="n"/>
      <c r="H1058" s="21">
        <f>IF(ISNUMBER($B1058),INT($B1058)-WEEKDAY($B1058,2)+1,"")</f>
        <v/>
      </c>
      <c r="I1058" s="24" t="n"/>
      <c r="J1058" s="22">
        <f t="array" ref="J1058">IF($D1058="","",IF($I1058="","(trống REF)",IFERROR(INDEX(MASTER_SOURCE!$B$2:$B$495,MATCH($I1058,MASTER_SOURCE!$A$2:$A$495,0)),"(REF không có trong MASTER_SOURCE)")))</f>
        <v/>
      </c>
      <c r="K1058" s="22">
        <f t="array" ref="K1058">IF($D1058="","",IFERROR(INDEX(MASTER_SOURCE!$C$2:$C$495,MATCH($I1058,MASTER_SOURCE!$A$2:$A$495,0)),""))</f>
        <v/>
      </c>
      <c r="L1058" s="22">
        <f t="array" ref="L1058">IF($D1058="","",IFERROR(INDEX(MASTER_SOURCE!$D$2:$D$495,MATCH($I1058,MASTER_SOURCE!$A$2:$A$495,0)),""))</f>
        <v/>
      </c>
      <c r="M1058" s="24" t="n"/>
      <c r="N1058" s="24" t="n"/>
      <c r="O1058" s="24" t="n"/>
      <c r="P1058" s="24" t="n"/>
      <c r="Q1058" s="22">
        <f>IF($D1058="","",IF(AND(OR(DANH_MUC!$L$5&lt;&gt;"Có",M1058="Có"),OR(DANH_MUC!$L$6&lt;&gt;"Có",N1058="Có"),OR(DANH_MUC!$L$7&lt;&gt;"Có",O1058="Có"),OR(DANH_MUC!$L$8&lt;&gt;"Có",P1058="Có")),"Có","Không"))</f>
        <v/>
      </c>
      <c r="R1058" s="22">
        <f>IF($D1058="","",IF(COUNTIF($D$2:$D1058,$D1058)&gt;1,"Trùng",""))</f>
        <v/>
      </c>
      <c r="S1058" s="22">
        <f>IF($D1058="","",IF(AND(LEN($D1058)=10,LEFT($D1058,1)="0",ISNUMBER(--$D1058)),"Có","Không"))</f>
        <v/>
      </c>
      <c r="T1058" s="22">
        <f>IF($D1058="","",IF(AND($C1058&lt;&gt;"",$Q1058="Có",$R1058="",$S1058="Có",AND($L1058&lt;&gt;"",OR($L1058&lt;&gt;"Chưa xác định",DANH_MUC!$L$9="Có"))),"Có","Không"))</f>
        <v/>
      </c>
      <c r="U1058" s="22">
        <f>IF(OR($D1058="",$T1058="Có"),"",IF($C1058="","Thiếu họ tên; ","")&amp;IF($S1058&lt;&gt;"Có","SĐT sai định dạng; ","")&amp;IF($R1058="Trùng","Trùng SĐT; ","")&amp;IF($Q1058&lt;&gt;"Có","Thiếu đồng ý bắt buộc; ","")&amp;IF($L1058="","Thiếu/sai Mã REF; ",IF(AND($L1058="Chưa xác định",DANH_MUC!$L$9&lt;&gt;"Có"),"Nguồn chưa xác định; ","")))</f>
        <v/>
      </c>
      <c r="V1058" s="22">
        <f>IF(OR($D1058="",$R1058="Trùng"),"",IF(COUNTIF(ORDERS!$C$2:$C$4995,$D1058)&gt;0,"Có","Không"))</f>
        <v/>
      </c>
      <c r="W1058" s="22">
        <f>IF(OR($D1058="",$R1058="Trùng"),"",COUNTIFS(ORDERS!$C$2:$C$4995,$D1058,ORDERS!$L$2:$L$4995,"Đã chuyển khoản"))</f>
        <v/>
      </c>
      <c r="X1058" s="23">
        <f>IF(OR($D1058="",$R1058="Trùng"),"",SUMIFS(ORDERS!$J$2:$J$4995,ORDERS!$C$2:$C$4995,$D1058,ORDERS!$L$2:$L$4995,"Đã chuyển khoản"))</f>
        <v/>
      </c>
      <c r="Y1058" s="24" t="n"/>
    </row>
    <row r="1059" ht="14.25" customHeight="1" s="40">
      <c r="A1059" s="24" t="n"/>
      <c r="B1059" s="27" t="n"/>
      <c r="C1059" s="24" t="n"/>
      <c r="D1059" s="28" t="n"/>
      <c r="E1059" s="29" t="n"/>
      <c r="F1059" s="24" t="n"/>
      <c r="G1059" s="24" t="n"/>
      <c r="H1059" s="21">
        <f>IF(ISNUMBER($B1059),INT($B1059)-WEEKDAY($B1059,2)+1,"")</f>
        <v/>
      </c>
      <c r="I1059" s="24" t="n"/>
      <c r="J1059" s="22">
        <f t="array" ref="J1059">IF($D1059="","",IF($I1059="","(trống REF)",IFERROR(INDEX(MASTER_SOURCE!$B$2:$B$495,MATCH($I1059,MASTER_SOURCE!$A$2:$A$495,0)),"(REF không có trong MASTER_SOURCE)")))</f>
        <v/>
      </c>
      <c r="K1059" s="22">
        <f t="array" ref="K1059">IF($D1059="","",IFERROR(INDEX(MASTER_SOURCE!$C$2:$C$495,MATCH($I1059,MASTER_SOURCE!$A$2:$A$495,0)),""))</f>
        <v/>
      </c>
      <c r="L1059" s="22">
        <f t="array" ref="L1059">IF($D1059="","",IFERROR(INDEX(MASTER_SOURCE!$D$2:$D$495,MATCH($I1059,MASTER_SOURCE!$A$2:$A$495,0)),""))</f>
        <v/>
      </c>
      <c r="M1059" s="24" t="n"/>
      <c r="N1059" s="24" t="n"/>
      <c r="O1059" s="24" t="n"/>
      <c r="P1059" s="24" t="n"/>
      <c r="Q1059" s="22">
        <f>IF($D1059="","",IF(AND(OR(DANH_MUC!$L$5&lt;&gt;"Có",M1059="Có"),OR(DANH_MUC!$L$6&lt;&gt;"Có",N1059="Có"),OR(DANH_MUC!$L$7&lt;&gt;"Có",O1059="Có"),OR(DANH_MUC!$L$8&lt;&gt;"Có",P1059="Có")),"Có","Không"))</f>
        <v/>
      </c>
      <c r="R1059" s="22">
        <f>IF($D1059="","",IF(COUNTIF($D$2:$D1059,$D1059)&gt;1,"Trùng",""))</f>
        <v/>
      </c>
      <c r="S1059" s="22">
        <f>IF($D1059="","",IF(AND(LEN($D1059)=10,LEFT($D1059,1)="0",ISNUMBER(--$D1059)),"Có","Không"))</f>
        <v/>
      </c>
      <c r="T1059" s="22">
        <f>IF($D1059="","",IF(AND($C1059&lt;&gt;"",$Q1059="Có",$R1059="",$S1059="Có",AND($L1059&lt;&gt;"",OR($L1059&lt;&gt;"Chưa xác định",DANH_MUC!$L$9="Có"))),"Có","Không"))</f>
        <v/>
      </c>
      <c r="U1059" s="22">
        <f>IF(OR($D1059="",$T1059="Có"),"",IF($C1059="","Thiếu họ tên; ","")&amp;IF($S1059&lt;&gt;"Có","SĐT sai định dạng; ","")&amp;IF($R1059="Trùng","Trùng SĐT; ","")&amp;IF($Q1059&lt;&gt;"Có","Thiếu đồng ý bắt buộc; ","")&amp;IF($L1059="","Thiếu/sai Mã REF; ",IF(AND($L1059="Chưa xác định",DANH_MUC!$L$9&lt;&gt;"Có"),"Nguồn chưa xác định; ","")))</f>
        <v/>
      </c>
      <c r="V1059" s="22">
        <f>IF(OR($D1059="",$R1059="Trùng"),"",IF(COUNTIF(ORDERS!$C$2:$C$4995,$D1059)&gt;0,"Có","Không"))</f>
        <v/>
      </c>
      <c r="W1059" s="22">
        <f>IF(OR($D1059="",$R1059="Trùng"),"",COUNTIFS(ORDERS!$C$2:$C$4995,$D1059,ORDERS!$L$2:$L$4995,"Đã chuyển khoản"))</f>
        <v/>
      </c>
      <c r="X1059" s="23">
        <f>IF(OR($D1059="",$R1059="Trùng"),"",SUMIFS(ORDERS!$J$2:$J$4995,ORDERS!$C$2:$C$4995,$D1059,ORDERS!$L$2:$L$4995,"Đã chuyển khoản"))</f>
        <v/>
      </c>
      <c r="Y1059" s="24" t="n"/>
    </row>
    <row r="1060" ht="14.25" customHeight="1" s="40">
      <c r="A1060" s="24" t="n"/>
      <c r="B1060" s="27" t="n"/>
      <c r="C1060" s="24" t="n"/>
      <c r="D1060" s="28" t="n"/>
      <c r="E1060" s="29" t="n"/>
      <c r="F1060" s="24" t="n"/>
      <c r="G1060" s="24" t="n"/>
      <c r="H1060" s="21">
        <f>IF(ISNUMBER($B1060),INT($B1060)-WEEKDAY($B1060,2)+1,"")</f>
        <v/>
      </c>
      <c r="I1060" s="24" t="n"/>
      <c r="J1060" s="22">
        <f t="array" ref="J1060">IF($D1060="","",IF($I1060="","(trống REF)",IFERROR(INDEX(MASTER_SOURCE!$B$2:$B$495,MATCH($I1060,MASTER_SOURCE!$A$2:$A$495,0)),"(REF không có trong MASTER_SOURCE)")))</f>
        <v/>
      </c>
      <c r="K1060" s="22">
        <f t="array" ref="K1060">IF($D1060="","",IFERROR(INDEX(MASTER_SOURCE!$C$2:$C$495,MATCH($I1060,MASTER_SOURCE!$A$2:$A$495,0)),""))</f>
        <v/>
      </c>
      <c r="L1060" s="22">
        <f t="array" ref="L1060">IF($D1060="","",IFERROR(INDEX(MASTER_SOURCE!$D$2:$D$495,MATCH($I1060,MASTER_SOURCE!$A$2:$A$495,0)),""))</f>
        <v/>
      </c>
      <c r="M1060" s="24" t="n"/>
      <c r="N1060" s="24" t="n"/>
      <c r="O1060" s="24" t="n"/>
      <c r="P1060" s="24" t="n"/>
      <c r="Q1060" s="22">
        <f>IF($D1060="","",IF(AND(OR(DANH_MUC!$L$5&lt;&gt;"Có",M1060="Có"),OR(DANH_MUC!$L$6&lt;&gt;"Có",N1060="Có"),OR(DANH_MUC!$L$7&lt;&gt;"Có",O1060="Có"),OR(DANH_MUC!$L$8&lt;&gt;"Có",P1060="Có")),"Có","Không"))</f>
        <v/>
      </c>
      <c r="R1060" s="22">
        <f>IF($D1060="","",IF(COUNTIF($D$2:$D1060,$D1060)&gt;1,"Trùng",""))</f>
        <v/>
      </c>
      <c r="S1060" s="22">
        <f>IF($D1060="","",IF(AND(LEN($D1060)=10,LEFT($D1060,1)="0",ISNUMBER(--$D1060)),"Có","Không"))</f>
        <v/>
      </c>
      <c r="T1060" s="22">
        <f>IF($D1060="","",IF(AND($C1060&lt;&gt;"",$Q1060="Có",$R1060="",$S1060="Có",AND($L1060&lt;&gt;"",OR($L1060&lt;&gt;"Chưa xác định",DANH_MUC!$L$9="Có"))),"Có","Không"))</f>
        <v/>
      </c>
      <c r="U1060" s="22">
        <f>IF(OR($D1060="",$T1060="Có"),"",IF($C1060="","Thiếu họ tên; ","")&amp;IF($S1060&lt;&gt;"Có","SĐT sai định dạng; ","")&amp;IF($R1060="Trùng","Trùng SĐT; ","")&amp;IF($Q1060&lt;&gt;"Có","Thiếu đồng ý bắt buộc; ","")&amp;IF($L1060="","Thiếu/sai Mã REF; ",IF(AND($L1060="Chưa xác định",DANH_MUC!$L$9&lt;&gt;"Có"),"Nguồn chưa xác định; ","")))</f>
        <v/>
      </c>
      <c r="V1060" s="22">
        <f>IF(OR($D1060="",$R1060="Trùng"),"",IF(COUNTIF(ORDERS!$C$2:$C$4995,$D1060)&gt;0,"Có","Không"))</f>
        <v/>
      </c>
      <c r="W1060" s="22">
        <f>IF(OR($D1060="",$R1060="Trùng"),"",COUNTIFS(ORDERS!$C$2:$C$4995,$D1060,ORDERS!$L$2:$L$4995,"Đã chuyển khoản"))</f>
        <v/>
      </c>
      <c r="X1060" s="23">
        <f>IF(OR($D1060="",$R1060="Trùng"),"",SUMIFS(ORDERS!$J$2:$J$4995,ORDERS!$C$2:$C$4995,$D1060,ORDERS!$L$2:$L$4995,"Đã chuyển khoản"))</f>
        <v/>
      </c>
      <c r="Y1060" s="24" t="n"/>
    </row>
    <row r="1061" ht="14.25" customHeight="1" s="40">
      <c r="A1061" s="24" t="n"/>
      <c r="B1061" s="27" t="n"/>
      <c r="C1061" s="24" t="n"/>
      <c r="D1061" s="28" t="n"/>
      <c r="E1061" s="29" t="n"/>
      <c r="F1061" s="24" t="n"/>
      <c r="G1061" s="24" t="n"/>
      <c r="H1061" s="21">
        <f>IF(ISNUMBER($B1061),INT($B1061)-WEEKDAY($B1061,2)+1,"")</f>
        <v/>
      </c>
      <c r="I1061" s="24" t="n"/>
      <c r="J1061" s="22">
        <f t="array" ref="J1061">IF($D1061="","",IF($I1061="","(trống REF)",IFERROR(INDEX(MASTER_SOURCE!$B$2:$B$495,MATCH($I1061,MASTER_SOURCE!$A$2:$A$495,0)),"(REF không có trong MASTER_SOURCE)")))</f>
        <v/>
      </c>
      <c r="K1061" s="22">
        <f t="array" ref="K1061">IF($D1061="","",IFERROR(INDEX(MASTER_SOURCE!$C$2:$C$495,MATCH($I1061,MASTER_SOURCE!$A$2:$A$495,0)),""))</f>
        <v/>
      </c>
      <c r="L1061" s="22">
        <f t="array" ref="L1061">IF($D1061="","",IFERROR(INDEX(MASTER_SOURCE!$D$2:$D$495,MATCH($I1061,MASTER_SOURCE!$A$2:$A$495,0)),""))</f>
        <v/>
      </c>
      <c r="M1061" s="24" t="n"/>
      <c r="N1061" s="24" t="n"/>
      <c r="O1061" s="24" t="n"/>
      <c r="P1061" s="24" t="n"/>
      <c r="Q1061" s="22">
        <f>IF($D1061="","",IF(AND(OR(DANH_MUC!$L$5&lt;&gt;"Có",M1061="Có"),OR(DANH_MUC!$L$6&lt;&gt;"Có",N1061="Có"),OR(DANH_MUC!$L$7&lt;&gt;"Có",O1061="Có"),OR(DANH_MUC!$L$8&lt;&gt;"Có",P1061="Có")),"Có","Không"))</f>
        <v/>
      </c>
      <c r="R1061" s="22">
        <f>IF($D1061="","",IF(COUNTIF($D$2:$D1061,$D1061)&gt;1,"Trùng",""))</f>
        <v/>
      </c>
      <c r="S1061" s="22">
        <f>IF($D1061="","",IF(AND(LEN($D1061)=10,LEFT($D1061,1)="0",ISNUMBER(--$D1061)),"Có","Không"))</f>
        <v/>
      </c>
      <c r="T1061" s="22">
        <f>IF($D1061="","",IF(AND($C1061&lt;&gt;"",$Q1061="Có",$R1061="",$S1061="Có",AND($L1061&lt;&gt;"",OR($L1061&lt;&gt;"Chưa xác định",DANH_MUC!$L$9="Có"))),"Có","Không"))</f>
        <v/>
      </c>
      <c r="U1061" s="22">
        <f>IF(OR($D1061="",$T1061="Có"),"",IF($C1061="","Thiếu họ tên; ","")&amp;IF($S1061&lt;&gt;"Có","SĐT sai định dạng; ","")&amp;IF($R1061="Trùng","Trùng SĐT; ","")&amp;IF($Q1061&lt;&gt;"Có","Thiếu đồng ý bắt buộc; ","")&amp;IF($L1061="","Thiếu/sai Mã REF; ",IF(AND($L1061="Chưa xác định",DANH_MUC!$L$9&lt;&gt;"Có"),"Nguồn chưa xác định; ","")))</f>
        <v/>
      </c>
      <c r="V1061" s="22">
        <f>IF(OR($D1061="",$R1061="Trùng"),"",IF(COUNTIF(ORDERS!$C$2:$C$4995,$D1061)&gt;0,"Có","Không"))</f>
        <v/>
      </c>
      <c r="W1061" s="22">
        <f>IF(OR($D1061="",$R1061="Trùng"),"",COUNTIFS(ORDERS!$C$2:$C$4995,$D1061,ORDERS!$L$2:$L$4995,"Đã chuyển khoản"))</f>
        <v/>
      </c>
      <c r="X1061" s="23">
        <f>IF(OR($D1061="",$R1061="Trùng"),"",SUMIFS(ORDERS!$J$2:$J$4995,ORDERS!$C$2:$C$4995,$D1061,ORDERS!$L$2:$L$4995,"Đã chuyển khoản"))</f>
        <v/>
      </c>
      <c r="Y1061" s="24" t="n"/>
    </row>
    <row r="1062" ht="14.25" customHeight="1" s="40">
      <c r="A1062" s="24" t="n"/>
      <c r="B1062" s="27" t="n"/>
      <c r="C1062" s="24" t="n"/>
      <c r="D1062" s="28" t="n"/>
      <c r="E1062" s="29" t="n"/>
      <c r="F1062" s="24" t="n"/>
      <c r="G1062" s="24" t="n"/>
      <c r="H1062" s="21">
        <f>IF(ISNUMBER($B1062),INT($B1062)-WEEKDAY($B1062,2)+1,"")</f>
        <v/>
      </c>
      <c r="I1062" s="24" t="n"/>
      <c r="J1062" s="22">
        <f t="array" ref="J1062">IF($D1062="","",IF($I1062="","(trống REF)",IFERROR(INDEX(MASTER_SOURCE!$B$2:$B$495,MATCH($I1062,MASTER_SOURCE!$A$2:$A$495,0)),"(REF không có trong MASTER_SOURCE)")))</f>
        <v/>
      </c>
      <c r="K1062" s="22">
        <f t="array" ref="K1062">IF($D1062="","",IFERROR(INDEX(MASTER_SOURCE!$C$2:$C$495,MATCH($I1062,MASTER_SOURCE!$A$2:$A$495,0)),""))</f>
        <v/>
      </c>
      <c r="L1062" s="22">
        <f t="array" ref="L1062">IF($D1062="","",IFERROR(INDEX(MASTER_SOURCE!$D$2:$D$495,MATCH($I1062,MASTER_SOURCE!$A$2:$A$495,0)),""))</f>
        <v/>
      </c>
      <c r="M1062" s="24" t="n"/>
      <c r="N1062" s="24" t="n"/>
      <c r="O1062" s="24" t="n"/>
      <c r="P1062" s="24" t="n"/>
      <c r="Q1062" s="22">
        <f>IF($D1062="","",IF(AND(OR(DANH_MUC!$L$5&lt;&gt;"Có",M1062="Có"),OR(DANH_MUC!$L$6&lt;&gt;"Có",N1062="Có"),OR(DANH_MUC!$L$7&lt;&gt;"Có",O1062="Có"),OR(DANH_MUC!$L$8&lt;&gt;"Có",P1062="Có")),"Có","Không"))</f>
        <v/>
      </c>
      <c r="R1062" s="22">
        <f>IF($D1062="","",IF(COUNTIF($D$2:$D1062,$D1062)&gt;1,"Trùng",""))</f>
        <v/>
      </c>
      <c r="S1062" s="22">
        <f>IF($D1062="","",IF(AND(LEN($D1062)=10,LEFT($D1062,1)="0",ISNUMBER(--$D1062)),"Có","Không"))</f>
        <v/>
      </c>
      <c r="T1062" s="22">
        <f>IF($D1062="","",IF(AND($C1062&lt;&gt;"",$Q1062="Có",$R1062="",$S1062="Có",AND($L1062&lt;&gt;"",OR($L1062&lt;&gt;"Chưa xác định",DANH_MUC!$L$9="Có"))),"Có","Không"))</f>
        <v/>
      </c>
      <c r="U1062" s="22">
        <f>IF(OR($D1062="",$T1062="Có"),"",IF($C1062="","Thiếu họ tên; ","")&amp;IF($S1062&lt;&gt;"Có","SĐT sai định dạng; ","")&amp;IF($R1062="Trùng","Trùng SĐT; ","")&amp;IF($Q1062&lt;&gt;"Có","Thiếu đồng ý bắt buộc; ","")&amp;IF($L1062="","Thiếu/sai Mã REF; ",IF(AND($L1062="Chưa xác định",DANH_MUC!$L$9&lt;&gt;"Có"),"Nguồn chưa xác định; ","")))</f>
        <v/>
      </c>
      <c r="V1062" s="22">
        <f>IF(OR($D1062="",$R1062="Trùng"),"",IF(COUNTIF(ORDERS!$C$2:$C$4995,$D1062)&gt;0,"Có","Không"))</f>
        <v/>
      </c>
      <c r="W1062" s="22">
        <f>IF(OR($D1062="",$R1062="Trùng"),"",COUNTIFS(ORDERS!$C$2:$C$4995,$D1062,ORDERS!$L$2:$L$4995,"Đã chuyển khoản"))</f>
        <v/>
      </c>
      <c r="X1062" s="23">
        <f>IF(OR($D1062="",$R1062="Trùng"),"",SUMIFS(ORDERS!$J$2:$J$4995,ORDERS!$C$2:$C$4995,$D1062,ORDERS!$L$2:$L$4995,"Đã chuyển khoản"))</f>
        <v/>
      </c>
      <c r="Y1062" s="24" t="n"/>
    </row>
    <row r="1063" ht="14.25" customHeight="1" s="40">
      <c r="A1063" s="24" t="n"/>
      <c r="B1063" s="27" t="n"/>
      <c r="C1063" s="24" t="n"/>
      <c r="D1063" s="28" t="n"/>
      <c r="E1063" s="29" t="n"/>
      <c r="F1063" s="24" t="n"/>
      <c r="G1063" s="24" t="n"/>
      <c r="H1063" s="21">
        <f>IF(ISNUMBER($B1063),INT($B1063)-WEEKDAY($B1063,2)+1,"")</f>
        <v/>
      </c>
      <c r="I1063" s="24" t="n"/>
      <c r="J1063" s="22">
        <f t="array" ref="J1063">IF($D1063="","",IF($I1063="","(trống REF)",IFERROR(INDEX(MASTER_SOURCE!$B$2:$B$495,MATCH($I1063,MASTER_SOURCE!$A$2:$A$495,0)),"(REF không có trong MASTER_SOURCE)")))</f>
        <v/>
      </c>
      <c r="K1063" s="22">
        <f t="array" ref="K1063">IF($D1063="","",IFERROR(INDEX(MASTER_SOURCE!$C$2:$C$495,MATCH($I1063,MASTER_SOURCE!$A$2:$A$495,0)),""))</f>
        <v/>
      </c>
      <c r="L1063" s="22">
        <f t="array" ref="L1063">IF($D1063="","",IFERROR(INDEX(MASTER_SOURCE!$D$2:$D$495,MATCH($I1063,MASTER_SOURCE!$A$2:$A$495,0)),""))</f>
        <v/>
      </c>
      <c r="M1063" s="24" t="n"/>
      <c r="N1063" s="24" t="n"/>
      <c r="O1063" s="24" t="n"/>
      <c r="P1063" s="24" t="n"/>
      <c r="Q1063" s="22">
        <f>IF($D1063="","",IF(AND(OR(DANH_MUC!$L$5&lt;&gt;"Có",M1063="Có"),OR(DANH_MUC!$L$6&lt;&gt;"Có",N1063="Có"),OR(DANH_MUC!$L$7&lt;&gt;"Có",O1063="Có"),OR(DANH_MUC!$L$8&lt;&gt;"Có",P1063="Có")),"Có","Không"))</f>
        <v/>
      </c>
      <c r="R1063" s="22">
        <f>IF($D1063="","",IF(COUNTIF($D$2:$D1063,$D1063)&gt;1,"Trùng",""))</f>
        <v/>
      </c>
      <c r="S1063" s="22">
        <f>IF($D1063="","",IF(AND(LEN($D1063)=10,LEFT($D1063,1)="0",ISNUMBER(--$D1063)),"Có","Không"))</f>
        <v/>
      </c>
      <c r="T1063" s="22">
        <f>IF($D1063="","",IF(AND($C1063&lt;&gt;"",$Q1063="Có",$R1063="",$S1063="Có",AND($L1063&lt;&gt;"",OR($L1063&lt;&gt;"Chưa xác định",DANH_MUC!$L$9="Có"))),"Có","Không"))</f>
        <v/>
      </c>
      <c r="U1063" s="22">
        <f>IF(OR($D1063="",$T1063="Có"),"",IF($C1063="","Thiếu họ tên; ","")&amp;IF($S1063&lt;&gt;"Có","SĐT sai định dạng; ","")&amp;IF($R1063="Trùng","Trùng SĐT; ","")&amp;IF($Q1063&lt;&gt;"Có","Thiếu đồng ý bắt buộc; ","")&amp;IF($L1063="","Thiếu/sai Mã REF; ",IF(AND($L1063="Chưa xác định",DANH_MUC!$L$9&lt;&gt;"Có"),"Nguồn chưa xác định; ","")))</f>
        <v/>
      </c>
      <c r="V1063" s="22">
        <f>IF(OR($D1063="",$R1063="Trùng"),"",IF(COUNTIF(ORDERS!$C$2:$C$4995,$D1063)&gt;0,"Có","Không"))</f>
        <v/>
      </c>
      <c r="W1063" s="22">
        <f>IF(OR($D1063="",$R1063="Trùng"),"",COUNTIFS(ORDERS!$C$2:$C$4995,$D1063,ORDERS!$L$2:$L$4995,"Đã chuyển khoản"))</f>
        <v/>
      </c>
      <c r="X1063" s="23">
        <f>IF(OR($D1063="",$R1063="Trùng"),"",SUMIFS(ORDERS!$J$2:$J$4995,ORDERS!$C$2:$C$4995,$D1063,ORDERS!$L$2:$L$4995,"Đã chuyển khoản"))</f>
        <v/>
      </c>
      <c r="Y1063" s="24" t="n"/>
    </row>
    <row r="1064" ht="14.25" customHeight="1" s="40">
      <c r="A1064" s="24" t="n"/>
      <c r="B1064" s="27" t="n"/>
      <c r="C1064" s="24" t="n"/>
      <c r="D1064" s="28" t="n"/>
      <c r="E1064" s="29" t="n"/>
      <c r="F1064" s="24" t="n"/>
      <c r="G1064" s="24" t="n"/>
      <c r="H1064" s="21">
        <f>IF(ISNUMBER($B1064),INT($B1064)-WEEKDAY($B1064,2)+1,"")</f>
        <v/>
      </c>
      <c r="I1064" s="24" t="n"/>
      <c r="J1064" s="22">
        <f t="array" ref="J1064">IF($D1064="","",IF($I1064="","(trống REF)",IFERROR(INDEX(MASTER_SOURCE!$B$2:$B$495,MATCH($I1064,MASTER_SOURCE!$A$2:$A$495,0)),"(REF không có trong MASTER_SOURCE)")))</f>
        <v/>
      </c>
      <c r="K1064" s="22">
        <f t="array" ref="K1064">IF($D1064="","",IFERROR(INDEX(MASTER_SOURCE!$C$2:$C$495,MATCH($I1064,MASTER_SOURCE!$A$2:$A$495,0)),""))</f>
        <v/>
      </c>
      <c r="L1064" s="22">
        <f t="array" ref="L1064">IF($D1064="","",IFERROR(INDEX(MASTER_SOURCE!$D$2:$D$495,MATCH($I1064,MASTER_SOURCE!$A$2:$A$495,0)),""))</f>
        <v/>
      </c>
      <c r="M1064" s="24" t="n"/>
      <c r="N1064" s="24" t="n"/>
      <c r="O1064" s="24" t="n"/>
      <c r="P1064" s="24" t="n"/>
      <c r="Q1064" s="22">
        <f>IF($D1064="","",IF(AND(OR(DANH_MUC!$L$5&lt;&gt;"Có",M1064="Có"),OR(DANH_MUC!$L$6&lt;&gt;"Có",N1064="Có"),OR(DANH_MUC!$L$7&lt;&gt;"Có",O1064="Có"),OR(DANH_MUC!$L$8&lt;&gt;"Có",P1064="Có")),"Có","Không"))</f>
        <v/>
      </c>
      <c r="R1064" s="22">
        <f>IF($D1064="","",IF(COUNTIF($D$2:$D1064,$D1064)&gt;1,"Trùng",""))</f>
        <v/>
      </c>
      <c r="S1064" s="22">
        <f>IF($D1064="","",IF(AND(LEN($D1064)=10,LEFT($D1064,1)="0",ISNUMBER(--$D1064)),"Có","Không"))</f>
        <v/>
      </c>
      <c r="T1064" s="22">
        <f>IF($D1064="","",IF(AND($C1064&lt;&gt;"",$Q1064="Có",$R1064="",$S1064="Có",AND($L1064&lt;&gt;"",OR($L1064&lt;&gt;"Chưa xác định",DANH_MUC!$L$9="Có"))),"Có","Không"))</f>
        <v/>
      </c>
      <c r="U1064" s="22">
        <f>IF(OR($D1064="",$T1064="Có"),"",IF($C1064="","Thiếu họ tên; ","")&amp;IF($S1064&lt;&gt;"Có","SĐT sai định dạng; ","")&amp;IF($R1064="Trùng","Trùng SĐT; ","")&amp;IF($Q1064&lt;&gt;"Có","Thiếu đồng ý bắt buộc; ","")&amp;IF($L1064="","Thiếu/sai Mã REF; ",IF(AND($L1064="Chưa xác định",DANH_MUC!$L$9&lt;&gt;"Có"),"Nguồn chưa xác định; ","")))</f>
        <v/>
      </c>
      <c r="V1064" s="22">
        <f>IF(OR($D1064="",$R1064="Trùng"),"",IF(COUNTIF(ORDERS!$C$2:$C$4995,$D1064)&gt;0,"Có","Không"))</f>
        <v/>
      </c>
      <c r="W1064" s="22">
        <f>IF(OR($D1064="",$R1064="Trùng"),"",COUNTIFS(ORDERS!$C$2:$C$4995,$D1064,ORDERS!$L$2:$L$4995,"Đã chuyển khoản"))</f>
        <v/>
      </c>
      <c r="X1064" s="23">
        <f>IF(OR($D1064="",$R1064="Trùng"),"",SUMIFS(ORDERS!$J$2:$J$4995,ORDERS!$C$2:$C$4995,$D1064,ORDERS!$L$2:$L$4995,"Đã chuyển khoản"))</f>
        <v/>
      </c>
      <c r="Y1064" s="24" t="n"/>
    </row>
    <row r="1065" ht="14.25" customHeight="1" s="40">
      <c r="A1065" s="24" t="n"/>
      <c r="B1065" s="27" t="n"/>
      <c r="C1065" s="24" t="n"/>
      <c r="D1065" s="28" t="n"/>
      <c r="E1065" s="29" t="n"/>
      <c r="F1065" s="24" t="n"/>
      <c r="G1065" s="24" t="n"/>
      <c r="H1065" s="21">
        <f>IF(ISNUMBER($B1065),INT($B1065)-WEEKDAY($B1065,2)+1,"")</f>
        <v/>
      </c>
      <c r="I1065" s="24" t="n"/>
      <c r="J1065" s="22">
        <f t="array" ref="J1065">IF($D1065="","",IF($I1065="","(trống REF)",IFERROR(INDEX(MASTER_SOURCE!$B$2:$B$495,MATCH($I1065,MASTER_SOURCE!$A$2:$A$495,0)),"(REF không có trong MASTER_SOURCE)")))</f>
        <v/>
      </c>
      <c r="K1065" s="22">
        <f t="array" ref="K1065">IF($D1065="","",IFERROR(INDEX(MASTER_SOURCE!$C$2:$C$495,MATCH($I1065,MASTER_SOURCE!$A$2:$A$495,0)),""))</f>
        <v/>
      </c>
      <c r="L1065" s="22">
        <f t="array" ref="L1065">IF($D1065="","",IFERROR(INDEX(MASTER_SOURCE!$D$2:$D$495,MATCH($I1065,MASTER_SOURCE!$A$2:$A$495,0)),""))</f>
        <v/>
      </c>
      <c r="M1065" s="24" t="n"/>
      <c r="N1065" s="24" t="n"/>
      <c r="O1065" s="24" t="n"/>
      <c r="P1065" s="24" t="n"/>
      <c r="Q1065" s="22">
        <f>IF($D1065="","",IF(AND(OR(DANH_MUC!$L$5&lt;&gt;"Có",M1065="Có"),OR(DANH_MUC!$L$6&lt;&gt;"Có",N1065="Có"),OR(DANH_MUC!$L$7&lt;&gt;"Có",O1065="Có"),OR(DANH_MUC!$L$8&lt;&gt;"Có",P1065="Có")),"Có","Không"))</f>
        <v/>
      </c>
      <c r="R1065" s="22">
        <f>IF($D1065="","",IF(COUNTIF($D$2:$D1065,$D1065)&gt;1,"Trùng",""))</f>
        <v/>
      </c>
      <c r="S1065" s="22">
        <f>IF($D1065="","",IF(AND(LEN($D1065)=10,LEFT($D1065,1)="0",ISNUMBER(--$D1065)),"Có","Không"))</f>
        <v/>
      </c>
      <c r="T1065" s="22">
        <f>IF($D1065="","",IF(AND($C1065&lt;&gt;"",$Q1065="Có",$R1065="",$S1065="Có",AND($L1065&lt;&gt;"",OR($L1065&lt;&gt;"Chưa xác định",DANH_MUC!$L$9="Có"))),"Có","Không"))</f>
        <v/>
      </c>
      <c r="U1065" s="22">
        <f>IF(OR($D1065="",$T1065="Có"),"",IF($C1065="","Thiếu họ tên; ","")&amp;IF($S1065&lt;&gt;"Có","SĐT sai định dạng; ","")&amp;IF($R1065="Trùng","Trùng SĐT; ","")&amp;IF($Q1065&lt;&gt;"Có","Thiếu đồng ý bắt buộc; ","")&amp;IF($L1065="","Thiếu/sai Mã REF; ",IF(AND($L1065="Chưa xác định",DANH_MUC!$L$9&lt;&gt;"Có"),"Nguồn chưa xác định; ","")))</f>
        <v/>
      </c>
      <c r="V1065" s="22">
        <f>IF(OR($D1065="",$R1065="Trùng"),"",IF(COUNTIF(ORDERS!$C$2:$C$4995,$D1065)&gt;0,"Có","Không"))</f>
        <v/>
      </c>
      <c r="W1065" s="22">
        <f>IF(OR($D1065="",$R1065="Trùng"),"",COUNTIFS(ORDERS!$C$2:$C$4995,$D1065,ORDERS!$L$2:$L$4995,"Đã chuyển khoản"))</f>
        <v/>
      </c>
      <c r="X1065" s="23">
        <f>IF(OR($D1065="",$R1065="Trùng"),"",SUMIFS(ORDERS!$J$2:$J$4995,ORDERS!$C$2:$C$4995,$D1065,ORDERS!$L$2:$L$4995,"Đã chuyển khoản"))</f>
        <v/>
      </c>
      <c r="Y1065" s="24" t="n"/>
    </row>
    <row r="1066" ht="14.25" customHeight="1" s="40">
      <c r="A1066" s="24" t="n"/>
      <c r="B1066" s="27" t="n"/>
      <c r="C1066" s="24" t="n"/>
      <c r="D1066" s="28" t="n"/>
      <c r="E1066" s="29" t="n"/>
      <c r="F1066" s="24" t="n"/>
      <c r="G1066" s="24" t="n"/>
      <c r="H1066" s="21">
        <f>IF(ISNUMBER($B1066),INT($B1066)-WEEKDAY($B1066,2)+1,"")</f>
        <v/>
      </c>
      <c r="I1066" s="24" t="n"/>
      <c r="J1066" s="22">
        <f t="array" ref="J1066">IF($D1066="","",IF($I1066="","(trống REF)",IFERROR(INDEX(MASTER_SOURCE!$B$2:$B$495,MATCH($I1066,MASTER_SOURCE!$A$2:$A$495,0)),"(REF không có trong MASTER_SOURCE)")))</f>
        <v/>
      </c>
      <c r="K1066" s="22">
        <f t="array" ref="K1066">IF($D1066="","",IFERROR(INDEX(MASTER_SOURCE!$C$2:$C$495,MATCH($I1066,MASTER_SOURCE!$A$2:$A$495,0)),""))</f>
        <v/>
      </c>
      <c r="L1066" s="22">
        <f t="array" ref="L1066">IF($D1066="","",IFERROR(INDEX(MASTER_SOURCE!$D$2:$D$495,MATCH($I1066,MASTER_SOURCE!$A$2:$A$495,0)),""))</f>
        <v/>
      </c>
      <c r="M1066" s="24" t="n"/>
      <c r="N1066" s="24" t="n"/>
      <c r="O1066" s="24" t="n"/>
      <c r="P1066" s="24" t="n"/>
      <c r="Q1066" s="22">
        <f>IF($D1066="","",IF(AND(OR(DANH_MUC!$L$5&lt;&gt;"Có",M1066="Có"),OR(DANH_MUC!$L$6&lt;&gt;"Có",N1066="Có"),OR(DANH_MUC!$L$7&lt;&gt;"Có",O1066="Có"),OR(DANH_MUC!$L$8&lt;&gt;"Có",P1066="Có")),"Có","Không"))</f>
        <v/>
      </c>
      <c r="R1066" s="22">
        <f>IF($D1066="","",IF(COUNTIF($D$2:$D1066,$D1066)&gt;1,"Trùng",""))</f>
        <v/>
      </c>
      <c r="S1066" s="22">
        <f>IF($D1066="","",IF(AND(LEN($D1066)=10,LEFT($D1066,1)="0",ISNUMBER(--$D1066)),"Có","Không"))</f>
        <v/>
      </c>
      <c r="T1066" s="22">
        <f>IF($D1066="","",IF(AND($C1066&lt;&gt;"",$Q1066="Có",$R1066="",$S1066="Có",AND($L1066&lt;&gt;"",OR($L1066&lt;&gt;"Chưa xác định",DANH_MUC!$L$9="Có"))),"Có","Không"))</f>
        <v/>
      </c>
      <c r="U1066" s="22">
        <f>IF(OR($D1066="",$T1066="Có"),"",IF($C1066="","Thiếu họ tên; ","")&amp;IF($S1066&lt;&gt;"Có","SĐT sai định dạng; ","")&amp;IF($R1066="Trùng","Trùng SĐT; ","")&amp;IF($Q1066&lt;&gt;"Có","Thiếu đồng ý bắt buộc; ","")&amp;IF($L1066="","Thiếu/sai Mã REF; ",IF(AND($L1066="Chưa xác định",DANH_MUC!$L$9&lt;&gt;"Có"),"Nguồn chưa xác định; ","")))</f>
        <v/>
      </c>
      <c r="V1066" s="22">
        <f>IF(OR($D1066="",$R1066="Trùng"),"",IF(COUNTIF(ORDERS!$C$2:$C$4995,$D1066)&gt;0,"Có","Không"))</f>
        <v/>
      </c>
      <c r="W1066" s="22">
        <f>IF(OR($D1066="",$R1066="Trùng"),"",COUNTIFS(ORDERS!$C$2:$C$4995,$D1066,ORDERS!$L$2:$L$4995,"Đã chuyển khoản"))</f>
        <v/>
      </c>
      <c r="X1066" s="23">
        <f>IF(OR($D1066="",$R1066="Trùng"),"",SUMIFS(ORDERS!$J$2:$J$4995,ORDERS!$C$2:$C$4995,$D1066,ORDERS!$L$2:$L$4995,"Đã chuyển khoản"))</f>
        <v/>
      </c>
      <c r="Y1066" s="24" t="n"/>
    </row>
    <row r="1067" ht="14.25" customHeight="1" s="40">
      <c r="A1067" s="24" t="n"/>
      <c r="B1067" s="27" t="n"/>
      <c r="C1067" s="24" t="n"/>
      <c r="D1067" s="28" t="n"/>
      <c r="E1067" s="29" t="n"/>
      <c r="F1067" s="24" t="n"/>
      <c r="G1067" s="24" t="n"/>
      <c r="H1067" s="21">
        <f>IF(ISNUMBER($B1067),INT($B1067)-WEEKDAY($B1067,2)+1,"")</f>
        <v/>
      </c>
      <c r="I1067" s="24" t="n"/>
      <c r="J1067" s="22">
        <f t="array" ref="J1067">IF($D1067="","",IF($I1067="","(trống REF)",IFERROR(INDEX(MASTER_SOURCE!$B$2:$B$495,MATCH($I1067,MASTER_SOURCE!$A$2:$A$495,0)),"(REF không có trong MASTER_SOURCE)")))</f>
        <v/>
      </c>
      <c r="K1067" s="22">
        <f t="array" ref="K1067">IF($D1067="","",IFERROR(INDEX(MASTER_SOURCE!$C$2:$C$495,MATCH($I1067,MASTER_SOURCE!$A$2:$A$495,0)),""))</f>
        <v/>
      </c>
      <c r="L1067" s="22">
        <f t="array" ref="L1067">IF($D1067="","",IFERROR(INDEX(MASTER_SOURCE!$D$2:$D$495,MATCH($I1067,MASTER_SOURCE!$A$2:$A$495,0)),""))</f>
        <v/>
      </c>
      <c r="M1067" s="24" t="n"/>
      <c r="N1067" s="24" t="n"/>
      <c r="O1067" s="24" t="n"/>
      <c r="P1067" s="24" t="n"/>
      <c r="Q1067" s="22">
        <f>IF($D1067="","",IF(AND(OR(DANH_MUC!$L$5&lt;&gt;"Có",M1067="Có"),OR(DANH_MUC!$L$6&lt;&gt;"Có",N1067="Có"),OR(DANH_MUC!$L$7&lt;&gt;"Có",O1067="Có"),OR(DANH_MUC!$L$8&lt;&gt;"Có",P1067="Có")),"Có","Không"))</f>
        <v/>
      </c>
      <c r="R1067" s="22">
        <f>IF($D1067="","",IF(COUNTIF($D$2:$D1067,$D1067)&gt;1,"Trùng",""))</f>
        <v/>
      </c>
      <c r="S1067" s="22">
        <f>IF($D1067="","",IF(AND(LEN($D1067)=10,LEFT($D1067,1)="0",ISNUMBER(--$D1067)),"Có","Không"))</f>
        <v/>
      </c>
      <c r="T1067" s="22">
        <f>IF($D1067="","",IF(AND($C1067&lt;&gt;"",$Q1067="Có",$R1067="",$S1067="Có",AND($L1067&lt;&gt;"",OR($L1067&lt;&gt;"Chưa xác định",DANH_MUC!$L$9="Có"))),"Có","Không"))</f>
        <v/>
      </c>
      <c r="U1067" s="22">
        <f>IF(OR($D1067="",$T1067="Có"),"",IF($C1067="","Thiếu họ tên; ","")&amp;IF($S1067&lt;&gt;"Có","SĐT sai định dạng; ","")&amp;IF($R1067="Trùng","Trùng SĐT; ","")&amp;IF($Q1067&lt;&gt;"Có","Thiếu đồng ý bắt buộc; ","")&amp;IF($L1067="","Thiếu/sai Mã REF; ",IF(AND($L1067="Chưa xác định",DANH_MUC!$L$9&lt;&gt;"Có"),"Nguồn chưa xác định; ","")))</f>
        <v/>
      </c>
      <c r="V1067" s="22">
        <f>IF(OR($D1067="",$R1067="Trùng"),"",IF(COUNTIF(ORDERS!$C$2:$C$4995,$D1067)&gt;0,"Có","Không"))</f>
        <v/>
      </c>
      <c r="W1067" s="22">
        <f>IF(OR($D1067="",$R1067="Trùng"),"",COUNTIFS(ORDERS!$C$2:$C$4995,$D1067,ORDERS!$L$2:$L$4995,"Đã chuyển khoản"))</f>
        <v/>
      </c>
      <c r="X1067" s="23">
        <f>IF(OR($D1067="",$R1067="Trùng"),"",SUMIFS(ORDERS!$J$2:$J$4995,ORDERS!$C$2:$C$4995,$D1067,ORDERS!$L$2:$L$4995,"Đã chuyển khoản"))</f>
        <v/>
      </c>
      <c r="Y1067" s="24" t="n"/>
    </row>
    <row r="1068" ht="14.25" customHeight="1" s="40">
      <c r="A1068" s="24" t="n"/>
      <c r="B1068" s="27" t="n"/>
      <c r="C1068" s="24" t="n"/>
      <c r="D1068" s="28" t="n"/>
      <c r="E1068" s="29" t="n"/>
      <c r="F1068" s="24" t="n"/>
      <c r="G1068" s="24" t="n"/>
      <c r="H1068" s="21">
        <f>IF(ISNUMBER($B1068),INT($B1068)-WEEKDAY($B1068,2)+1,"")</f>
        <v/>
      </c>
      <c r="I1068" s="24" t="n"/>
      <c r="J1068" s="22">
        <f t="array" ref="J1068">IF($D1068="","",IF($I1068="","(trống REF)",IFERROR(INDEX(MASTER_SOURCE!$B$2:$B$495,MATCH($I1068,MASTER_SOURCE!$A$2:$A$495,0)),"(REF không có trong MASTER_SOURCE)")))</f>
        <v/>
      </c>
      <c r="K1068" s="22">
        <f t="array" ref="K1068">IF($D1068="","",IFERROR(INDEX(MASTER_SOURCE!$C$2:$C$495,MATCH($I1068,MASTER_SOURCE!$A$2:$A$495,0)),""))</f>
        <v/>
      </c>
      <c r="L1068" s="22">
        <f t="array" ref="L1068">IF($D1068="","",IFERROR(INDEX(MASTER_SOURCE!$D$2:$D$495,MATCH($I1068,MASTER_SOURCE!$A$2:$A$495,0)),""))</f>
        <v/>
      </c>
      <c r="M1068" s="24" t="n"/>
      <c r="N1068" s="24" t="n"/>
      <c r="O1068" s="24" t="n"/>
      <c r="P1068" s="24" t="n"/>
      <c r="Q1068" s="22">
        <f>IF($D1068="","",IF(AND(OR(DANH_MUC!$L$5&lt;&gt;"Có",M1068="Có"),OR(DANH_MUC!$L$6&lt;&gt;"Có",N1068="Có"),OR(DANH_MUC!$L$7&lt;&gt;"Có",O1068="Có"),OR(DANH_MUC!$L$8&lt;&gt;"Có",P1068="Có")),"Có","Không"))</f>
        <v/>
      </c>
      <c r="R1068" s="22">
        <f>IF($D1068="","",IF(COUNTIF($D$2:$D1068,$D1068)&gt;1,"Trùng",""))</f>
        <v/>
      </c>
      <c r="S1068" s="22">
        <f>IF($D1068="","",IF(AND(LEN($D1068)=10,LEFT($D1068,1)="0",ISNUMBER(--$D1068)),"Có","Không"))</f>
        <v/>
      </c>
      <c r="T1068" s="22">
        <f>IF($D1068="","",IF(AND($C1068&lt;&gt;"",$Q1068="Có",$R1068="",$S1068="Có",AND($L1068&lt;&gt;"",OR($L1068&lt;&gt;"Chưa xác định",DANH_MUC!$L$9="Có"))),"Có","Không"))</f>
        <v/>
      </c>
      <c r="U1068" s="22">
        <f>IF(OR($D1068="",$T1068="Có"),"",IF($C1068="","Thiếu họ tên; ","")&amp;IF($S1068&lt;&gt;"Có","SĐT sai định dạng; ","")&amp;IF($R1068="Trùng","Trùng SĐT; ","")&amp;IF($Q1068&lt;&gt;"Có","Thiếu đồng ý bắt buộc; ","")&amp;IF($L1068="","Thiếu/sai Mã REF; ",IF(AND($L1068="Chưa xác định",DANH_MUC!$L$9&lt;&gt;"Có"),"Nguồn chưa xác định; ","")))</f>
        <v/>
      </c>
      <c r="V1068" s="22">
        <f>IF(OR($D1068="",$R1068="Trùng"),"",IF(COUNTIF(ORDERS!$C$2:$C$4995,$D1068)&gt;0,"Có","Không"))</f>
        <v/>
      </c>
      <c r="W1068" s="22">
        <f>IF(OR($D1068="",$R1068="Trùng"),"",COUNTIFS(ORDERS!$C$2:$C$4995,$D1068,ORDERS!$L$2:$L$4995,"Đã chuyển khoản"))</f>
        <v/>
      </c>
      <c r="X1068" s="23">
        <f>IF(OR($D1068="",$R1068="Trùng"),"",SUMIFS(ORDERS!$J$2:$J$4995,ORDERS!$C$2:$C$4995,$D1068,ORDERS!$L$2:$L$4995,"Đã chuyển khoản"))</f>
        <v/>
      </c>
      <c r="Y1068" s="24" t="n"/>
    </row>
    <row r="1069" ht="14.25" customHeight="1" s="40">
      <c r="A1069" s="24" t="n"/>
      <c r="B1069" s="27" t="n"/>
      <c r="C1069" s="24" t="n"/>
      <c r="D1069" s="28" t="n"/>
      <c r="E1069" s="29" t="n"/>
      <c r="F1069" s="24" t="n"/>
      <c r="G1069" s="24" t="n"/>
      <c r="H1069" s="21">
        <f>IF(ISNUMBER($B1069),INT($B1069)-WEEKDAY($B1069,2)+1,"")</f>
        <v/>
      </c>
      <c r="I1069" s="24" t="n"/>
      <c r="J1069" s="22">
        <f t="array" ref="J1069">IF($D1069="","",IF($I1069="","(trống REF)",IFERROR(INDEX(MASTER_SOURCE!$B$2:$B$495,MATCH($I1069,MASTER_SOURCE!$A$2:$A$495,0)),"(REF không có trong MASTER_SOURCE)")))</f>
        <v/>
      </c>
      <c r="K1069" s="22">
        <f t="array" ref="K1069">IF($D1069="","",IFERROR(INDEX(MASTER_SOURCE!$C$2:$C$495,MATCH($I1069,MASTER_SOURCE!$A$2:$A$495,0)),""))</f>
        <v/>
      </c>
      <c r="L1069" s="22">
        <f t="array" ref="L1069">IF($D1069="","",IFERROR(INDEX(MASTER_SOURCE!$D$2:$D$495,MATCH($I1069,MASTER_SOURCE!$A$2:$A$495,0)),""))</f>
        <v/>
      </c>
      <c r="M1069" s="24" t="n"/>
      <c r="N1069" s="24" t="n"/>
      <c r="O1069" s="24" t="n"/>
      <c r="P1069" s="24" t="n"/>
      <c r="Q1069" s="22">
        <f>IF($D1069="","",IF(AND(OR(DANH_MUC!$L$5&lt;&gt;"Có",M1069="Có"),OR(DANH_MUC!$L$6&lt;&gt;"Có",N1069="Có"),OR(DANH_MUC!$L$7&lt;&gt;"Có",O1069="Có"),OR(DANH_MUC!$L$8&lt;&gt;"Có",P1069="Có")),"Có","Không"))</f>
        <v/>
      </c>
      <c r="R1069" s="22">
        <f>IF($D1069="","",IF(COUNTIF($D$2:$D1069,$D1069)&gt;1,"Trùng",""))</f>
        <v/>
      </c>
      <c r="S1069" s="22">
        <f>IF($D1069="","",IF(AND(LEN($D1069)=10,LEFT($D1069,1)="0",ISNUMBER(--$D1069)),"Có","Không"))</f>
        <v/>
      </c>
      <c r="T1069" s="22">
        <f>IF($D1069="","",IF(AND($C1069&lt;&gt;"",$Q1069="Có",$R1069="",$S1069="Có",AND($L1069&lt;&gt;"",OR($L1069&lt;&gt;"Chưa xác định",DANH_MUC!$L$9="Có"))),"Có","Không"))</f>
        <v/>
      </c>
      <c r="U1069" s="22">
        <f>IF(OR($D1069="",$T1069="Có"),"",IF($C1069="","Thiếu họ tên; ","")&amp;IF($S1069&lt;&gt;"Có","SĐT sai định dạng; ","")&amp;IF($R1069="Trùng","Trùng SĐT; ","")&amp;IF($Q1069&lt;&gt;"Có","Thiếu đồng ý bắt buộc; ","")&amp;IF($L1069="","Thiếu/sai Mã REF; ",IF(AND($L1069="Chưa xác định",DANH_MUC!$L$9&lt;&gt;"Có"),"Nguồn chưa xác định; ","")))</f>
        <v/>
      </c>
      <c r="V1069" s="22">
        <f>IF(OR($D1069="",$R1069="Trùng"),"",IF(COUNTIF(ORDERS!$C$2:$C$4995,$D1069)&gt;0,"Có","Không"))</f>
        <v/>
      </c>
      <c r="W1069" s="22">
        <f>IF(OR($D1069="",$R1069="Trùng"),"",COUNTIFS(ORDERS!$C$2:$C$4995,$D1069,ORDERS!$L$2:$L$4995,"Đã chuyển khoản"))</f>
        <v/>
      </c>
      <c r="X1069" s="23">
        <f>IF(OR($D1069="",$R1069="Trùng"),"",SUMIFS(ORDERS!$J$2:$J$4995,ORDERS!$C$2:$C$4995,$D1069,ORDERS!$L$2:$L$4995,"Đã chuyển khoản"))</f>
        <v/>
      </c>
      <c r="Y1069" s="24" t="n"/>
    </row>
    <row r="1070" ht="14.25" customHeight="1" s="40">
      <c r="A1070" s="24" t="n"/>
      <c r="B1070" s="27" t="n"/>
      <c r="C1070" s="24" t="n"/>
      <c r="D1070" s="28" t="n"/>
      <c r="E1070" s="29" t="n"/>
      <c r="F1070" s="24" t="n"/>
      <c r="G1070" s="24" t="n"/>
      <c r="H1070" s="21">
        <f>IF(ISNUMBER($B1070),INT($B1070)-WEEKDAY($B1070,2)+1,"")</f>
        <v/>
      </c>
      <c r="I1070" s="24" t="n"/>
      <c r="J1070" s="22">
        <f t="array" ref="J1070">IF($D1070="","",IF($I1070="","(trống REF)",IFERROR(INDEX(MASTER_SOURCE!$B$2:$B$495,MATCH($I1070,MASTER_SOURCE!$A$2:$A$495,0)),"(REF không có trong MASTER_SOURCE)")))</f>
        <v/>
      </c>
      <c r="K1070" s="22">
        <f t="array" ref="K1070">IF($D1070="","",IFERROR(INDEX(MASTER_SOURCE!$C$2:$C$495,MATCH($I1070,MASTER_SOURCE!$A$2:$A$495,0)),""))</f>
        <v/>
      </c>
      <c r="L1070" s="22">
        <f t="array" ref="L1070">IF($D1070="","",IFERROR(INDEX(MASTER_SOURCE!$D$2:$D$495,MATCH($I1070,MASTER_SOURCE!$A$2:$A$495,0)),""))</f>
        <v/>
      </c>
      <c r="M1070" s="24" t="n"/>
      <c r="N1070" s="24" t="n"/>
      <c r="O1070" s="24" t="n"/>
      <c r="P1070" s="24" t="n"/>
      <c r="Q1070" s="22">
        <f>IF($D1070="","",IF(AND(OR(DANH_MUC!$L$5&lt;&gt;"Có",M1070="Có"),OR(DANH_MUC!$L$6&lt;&gt;"Có",N1070="Có"),OR(DANH_MUC!$L$7&lt;&gt;"Có",O1070="Có"),OR(DANH_MUC!$L$8&lt;&gt;"Có",P1070="Có")),"Có","Không"))</f>
        <v/>
      </c>
      <c r="R1070" s="22">
        <f>IF($D1070="","",IF(COUNTIF($D$2:$D1070,$D1070)&gt;1,"Trùng",""))</f>
        <v/>
      </c>
      <c r="S1070" s="22">
        <f>IF($D1070="","",IF(AND(LEN($D1070)=10,LEFT($D1070,1)="0",ISNUMBER(--$D1070)),"Có","Không"))</f>
        <v/>
      </c>
      <c r="T1070" s="22">
        <f>IF($D1070="","",IF(AND($C1070&lt;&gt;"",$Q1070="Có",$R1070="",$S1070="Có",AND($L1070&lt;&gt;"",OR($L1070&lt;&gt;"Chưa xác định",DANH_MUC!$L$9="Có"))),"Có","Không"))</f>
        <v/>
      </c>
      <c r="U1070" s="22">
        <f>IF(OR($D1070="",$T1070="Có"),"",IF($C1070="","Thiếu họ tên; ","")&amp;IF($S1070&lt;&gt;"Có","SĐT sai định dạng; ","")&amp;IF($R1070="Trùng","Trùng SĐT; ","")&amp;IF($Q1070&lt;&gt;"Có","Thiếu đồng ý bắt buộc; ","")&amp;IF($L1070="","Thiếu/sai Mã REF; ",IF(AND($L1070="Chưa xác định",DANH_MUC!$L$9&lt;&gt;"Có"),"Nguồn chưa xác định; ","")))</f>
        <v/>
      </c>
      <c r="V1070" s="22">
        <f>IF(OR($D1070="",$R1070="Trùng"),"",IF(COUNTIF(ORDERS!$C$2:$C$4995,$D1070)&gt;0,"Có","Không"))</f>
        <v/>
      </c>
      <c r="W1070" s="22">
        <f>IF(OR($D1070="",$R1070="Trùng"),"",COUNTIFS(ORDERS!$C$2:$C$4995,$D1070,ORDERS!$L$2:$L$4995,"Đã chuyển khoản"))</f>
        <v/>
      </c>
      <c r="X1070" s="23">
        <f>IF(OR($D1070="",$R1070="Trùng"),"",SUMIFS(ORDERS!$J$2:$J$4995,ORDERS!$C$2:$C$4995,$D1070,ORDERS!$L$2:$L$4995,"Đã chuyển khoản"))</f>
        <v/>
      </c>
      <c r="Y1070" s="24" t="n"/>
    </row>
    <row r="1071" ht="14.25" customHeight="1" s="40">
      <c r="A1071" s="24" t="n"/>
      <c r="B1071" s="27" t="n"/>
      <c r="C1071" s="24" t="n"/>
      <c r="D1071" s="28" t="n"/>
      <c r="E1071" s="29" t="n"/>
      <c r="F1071" s="24" t="n"/>
      <c r="G1071" s="24" t="n"/>
      <c r="H1071" s="21">
        <f>IF(ISNUMBER($B1071),INT($B1071)-WEEKDAY($B1071,2)+1,"")</f>
        <v/>
      </c>
      <c r="I1071" s="24" t="n"/>
      <c r="J1071" s="22">
        <f t="array" ref="J1071">IF($D1071="","",IF($I1071="","(trống REF)",IFERROR(INDEX(MASTER_SOURCE!$B$2:$B$495,MATCH($I1071,MASTER_SOURCE!$A$2:$A$495,0)),"(REF không có trong MASTER_SOURCE)")))</f>
        <v/>
      </c>
      <c r="K1071" s="22">
        <f t="array" ref="K1071">IF($D1071="","",IFERROR(INDEX(MASTER_SOURCE!$C$2:$C$495,MATCH($I1071,MASTER_SOURCE!$A$2:$A$495,0)),""))</f>
        <v/>
      </c>
      <c r="L1071" s="22">
        <f t="array" ref="L1071">IF($D1071="","",IFERROR(INDEX(MASTER_SOURCE!$D$2:$D$495,MATCH($I1071,MASTER_SOURCE!$A$2:$A$495,0)),""))</f>
        <v/>
      </c>
      <c r="M1071" s="24" t="n"/>
      <c r="N1071" s="24" t="n"/>
      <c r="O1071" s="24" t="n"/>
      <c r="P1071" s="24" t="n"/>
      <c r="Q1071" s="22">
        <f>IF($D1071="","",IF(AND(OR(DANH_MUC!$L$5&lt;&gt;"Có",M1071="Có"),OR(DANH_MUC!$L$6&lt;&gt;"Có",N1071="Có"),OR(DANH_MUC!$L$7&lt;&gt;"Có",O1071="Có"),OR(DANH_MUC!$L$8&lt;&gt;"Có",P1071="Có")),"Có","Không"))</f>
        <v/>
      </c>
      <c r="R1071" s="22">
        <f>IF($D1071="","",IF(COUNTIF($D$2:$D1071,$D1071)&gt;1,"Trùng",""))</f>
        <v/>
      </c>
      <c r="S1071" s="22">
        <f>IF($D1071="","",IF(AND(LEN($D1071)=10,LEFT($D1071,1)="0",ISNUMBER(--$D1071)),"Có","Không"))</f>
        <v/>
      </c>
      <c r="T1071" s="22">
        <f>IF($D1071="","",IF(AND($C1071&lt;&gt;"",$Q1071="Có",$R1071="",$S1071="Có",AND($L1071&lt;&gt;"",OR($L1071&lt;&gt;"Chưa xác định",DANH_MUC!$L$9="Có"))),"Có","Không"))</f>
        <v/>
      </c>
      <c r="U1071" s="22">
        <f>IF(OR($D1071="",$T1071="Có"),"",IF($C1071="","Thiếu họ tên; ","")&amp;IF($S1071&lt;&gt;"Có","SĐT sai định dạng; ","")&amp;IF($R1071="Trùng","Trùng SĐT; ","")&amp;IF($Q1071&lt;&gt;"Có","Thiếu đồng ý bắt buộc; ","")&amp;IF($L1071="","Thiếu/sai Mã REF; ",IF(AND($L1071="Chưa xác định",DANH_MUC!$L$9&lt;&gt;"Có"),"Nguồn chưa xác định; ","")))</f>
        <v/>
      </c>
      <c r="V1071" s="22">
        <f>IF(OR($D1071="",$R1071="Trùng"),"",IF(COUNTIF(ORDERS!$C$2:$C$4995,$D1071)&gt;0,"Có","Không"))</f>
        <v/>
      </c>
      <c r="W1071" s="22">
        <f>IF(OR($D1071="",$R1071="Trùng"),"",COUNTIFS(ORDERS!$C$2:$C$4995,$D1071,ORDERS!$L$2:$L$4995,"Đã chuyển khoản"))</f>
        <v/>
      </c>
      <c r="X1071" s="23">
        <f>IF(OR($D1071="",$R1071="Trùng"),"",SUMIFS(ORDERS!$J$2:$J$4995,ORDERS!$C$2:$C$4995,$D1071,ORDERS!$L$2:$L$4995,"Đã chuyển khoản"))</f>
        <v/>
      </c>
      <c r="Y1071" s="24" t="n"/>
    </row>
    <row r="1072" ht="14.25" customHeight="1" s="40">
      <c r="A1072" s="24" t="n"/>
      <c r="B1072" s="27" t="n"/>
      <c r="C1072" s="24" t="n"/>
      <c r="D1072" s="28" t="n"/>
      <c r="E1072" s="29" t="n"/>
      <c r="F1072" s="24" t="n"/>
      <c r="G1072" s="24" t="n"/>
      <c r="H1072" s="21">
        <f>IF(ISNUMBER($B1072),INT($B1072)-WEEKDAY($B1072,2)+1,"")</f>
        <v/>
      </c>
      <c r="I1072" s="24" t="n"/>
      <c r="J1072" s="22">
        <f t="array" ref="J1072">IF($D1072="","",IF($I1072="","(trống REF)",IFERROR(INDEX(MASTER_SOURCE!$B$2:$B$495,MATCH($I1072,MASTER_SOURCE!$A$2:$A$495,0)),"(REF không có trong MASTER_SOURCE)")))</f>
        <v/>
      </c>
      <c r="K1072" s="22">
        <f t="array" ref="K1072">IF($D1072="","",IFERROR(INDEX(MASTER_SOURCE!$C$2:$C$495,MATCH($I1072,MASTER_SOURCE!$A$2:$A$495,0)),""))</f>
        <v/>
      </c>
      <c r="L1072" s="22">
        <f t="array" ref="L1072">IF($D1072="","",IFERROR(INDEX(MASTER_SOURCE!$D$2:$D$495,MATCH($I1072,MASTER_SOURCE!$A$2:$A$495,0)),""))</f>
        <v/>
      </c>
      <c r="M1072" s="24" t="n"/>
      <c r="N1072" s="24" t="n"/>
      <c r="O1072" s="24" t="n"/>
      <c r="P1072" s="24" t="n"/>
      <c r="Q1072" s="22">
        <f>IF($D1072="","",IF(AND(OR(DANH_MUC!$L$5&lt;&gt;"Có",M1072="Có"),OR(DANH_MUC!$L$6&lt;&gt;"Có",N1072="Có"),OR(DANH_MUC!$L$7&lt;&gt;"Có",O1072="Có"),OR(DANH_MUC!$L$8&lt;&gt;"Có",P1072="Có")),"Có","Không"))</f>
        <v/>
      </c>
      <c r="R1072" s="22">
        <f>IF($D1072="","",IF(COUNTIF($D$2:$D1072,$D1072)&gt;1,"Trùng",""))</f>
        <v/>
      </c>
      <c r="S1072" s="22">
        <f>IF($D1072="","",IF(AND(LEN($D1072)=10,LEFT($D1072,1)="0",ISNUMBER(--$D1072)),"Có","Không"))</f>
        <v/>
      </c>
      <c r="T1072" s="22">
        <f>IF($D1072="","",IF(AND($C1072&lt;&gt;"",$Q1072="Có",$R1072="",$S1072="Có",AND($L1072&lt;&gt;"",OR($L1072&lt;&gt;"Chưa xác định",DANH_MUC!$L$9="Có"))),"Có","Không"))</f>
        <v/>
      </c>
      <c r="U1072" s="22">
        <f>IF(OR($D1072="",$T1072="Có"),"",IF($C1072="","Thiếu họ tên; ","")&amp;IF($S1072&lt;&gt;"Có","SĐT sai định dạng; ","")&amp;IF($R1072="Trùng","Trùng SĐT; ","")&amp;IF($Q1072&lt;&gt;"Có","Thiếu đồng ý bắt buộc; ","")&amp;IF($L1072="","Thiếu/sai Mã REF; ",IF(AND($L1072="Chưa xác định",DANH_MUC!$L$9&lt;&gt;"Có"),"Nguồn chưa xác định; ","")))</f>
        <v/>
      </c>
      <c r="V1072" s="22">
        <f>IF(OR($D1072="",$R1072="Trùng"),"",IF(COUNTIF(ORDERS!$C$2:$C$4995,$D1072)&gt;0,"Có","Không"))</f>
        <v/>
      </c>
      <c r="W1072" s="22">
        <f>IF(OR($D1072="",$R1072="Trùng"),"",COUNTIFS(ORDERS!$C$2:$C$4995,$D1072,ORDERS!$L$2:$L$4995,"Đã chuyển khoản"))</f>
        <v/>
      </c>
      <c r="X1072" s="23">
        <f>IF(OR($D1072="",$R1072="Trùng"),"",SUMIFS(ORDERS!$J$2:$J$4995,ORDERS!$C$2:$C$4995,$D1072,ORDERS!$L$2:$L$4995,"Đã chuyển khoản"))</f>
        <v/>
      </c>
      <c r="Y1072" s="24" t="n"/>
    </row>
    <row r="1073" ht="14.25" customHeight="1" s="40">
      <c r="A1073" s="24" t="n"/>
      <c r="B1073" s="27" t="n"/>
      <c r="C1073" s="24" t="n"/>
      <c r="D1073" s="28" t="n"/>
      <c r="E1073" s="29" t="n"/>
      <c r="F1073" s="24" t="n"/>
      <c r="G1073" s="24" t="n"/>
      <c r="H1073" s="21">
        <f>IF(ISNUMBER($B1073),INT($B1073)-WEEKDAY($B1073,2)+1,"")</f>
        <v/>
      </c>
      <c r="I1073" s="24" t="n"/>
      <c r="J1073" s="22">
        <f t="array" ref="J1073">IF($D1073="","",IF($I1073="","(trống REF)",IFERROR(INDEX(MASTER_SOURCE!$B$2:$B$495,MATCH($I1073,MASTER_SOURCE!$A$2:$A$495,0)),"(REF không có trong MASTER_SOURCE)")))</f>
        <v/>
      </c>
      <c r="K1073" s="22">
        <f t="array" ref="K1073">IF($D1073="","",IFERROR(INDEX(MASTER_SOURCE!$C$2:$C$495,MATCH($I1073,MASTER_SOURCE!$A$2:$A$495,0)),""))</f>
        <v/>
      </c>
      <c r="L1073" s="22">
        <f t="array" ref="L1073">IF($D1073="","",IFERROR(INDEX(MASTER_SOURCE!$D$2:$D$495,MATCH($I1073,MASTER_SOURCE!$A$2:$A$495,0)),""))</f>
        <v/>
      </c>
      <c r="M1073" s="24" t="n"/>
      <c r="N1073" s="24" t="n"/>
      <c r="O1073" s="24" t="n"/>
      <c r="P1073" s="24" t="n"/>
      <c r="Q1073" s="22">
        <f>IF($D1073="","",IF(AND(OR(DANH_MUC!$L$5&lt;&gt;"Có",M1073="Có"),OR(DANH_MUC!$L$6&lt;&gt;"Có",N1073="Có"),OR(DANH_MUC!$L$7&lt;&gt;"Có",O1073="Có"),OR(DANH_MUC!$L$8&lt;&gt;"Có",P1073="Có")),"Có","Không"))</f>
        <v/>
      </c>
      <c r="R1073" s="22">
        <f>IF($D1073="","",IF(COUNTIF($D$2:$D1073,$D1073)&gt;1,"Trùng",""))</f>
        <v/>
      </c>
      <c r="S1073" s="22">
        <f>IF($D1073="","",IF(AND(LEN($D1073)=10,LEFT($D1073,1)="0",ISNUMBER(--$D1073)),"Có","Không"))</f>
        <v/>
      </c>
      <c r="T1073" s="22">
        <f>IF($D1073="","",IF(AND($C1073&lt;&gt;"",$Q1073="Có",$R1073="",$S1073="Có",AND($L1073&lt;&gt;"",OR($L1073&lt;&gt;"Chưa xác định",DANH_MUC!$L$9="Có"))),"Có","Không"))</f>
        <v/>
      </c>
      <c r="U1073" s="22">
        <f>IF(OR($D1073="",$T1073="Có"),"",IF($C1073="","Thiếu họ tên; ","")&amp;IF($S1073&lt;&gt;"Có","SĐT sai định dạng; ","")&amp;IF($R1073="Trùng","Trùng SĐT; ","")&amp;IF($Q1073&lt;&gt;"Có","Thiếu đồng ý bắt buộc; ","")&amp;IF($L1073="","Thiếu/sai Mã REF; ",IF(AND($L1073="Chưa xác định",DANH_MUC!$L$9&lt;&gt;"Có"),"Nguồn chưa xác định; ","")))</f>
        <v/>
      </c>
      <c r="V1073" s="22">
        <f>IF(OR($D1073="",$R1073="Trùng"),"",IF(COUNTIF(ORDERS!$C$2:$C$4995,$D1073)&gt;0,"Có","Không"))</f>
        <v/>
      </c>
      <c r="W1073" s="22">
        <f>IF(OR($D1073="",$R1073="Trùng"),"",COUNTIFS(ORDERS!$C$2:$C$4995,$D1073,ORDERS!$L$2:$L$4995,"Đã chuyển khoản"))</f>
        <v/>
      </c>
      <c r="X1073" s="23">
        <f>IF(OR($D1073="",$R1073="Trùng"),"",SUMIFS(ORDERS!$J$2:$J$4995,ORDERS!$C$2:$C$4995,$D1073,ORDERS!$L$2:$L$4995,"Đã chuyển khoản"))</f>
        <v/>
      </c>
      <c r="Y1073" s="24" t="n"/>
    </row>
    <row r="1074" ht="14.25" customHeight="1" s="40">
      <c r="A1074" s="24" t="n"/>
      <c r="B1074" s="27" t="n"/>
      <c r="C1074" s="24" t="n"/>
      <c r="D1074" s="28" t="n"/>
      <c r="E1074" s="29" t="n"/>
      <c r="F1074" s="24" t="n"/>
      <c r="G1074" s="24" t="n"/>
      <c r="H1074" s="21">
        <f>IF(ISNUMBER($B1074),INT($B1074)-WEEKDAY($B1074,2)+1,"")</f>
        <v/>
      </c>
      <c r="I1074" s="24" t="n"/>
      <c r="J1074" s="22">
        <f t="array" ref="J1074">IF($D1074="","",IF($I1074="","(trống REF)",IFERROR(INDEX(MASTER_SOURCE!$B$2:$B$495,MATCH($I1074,MASTER_SOURCE!$A$2:$A$495,0)),"(REF không có trong MASTER_SOURCE)")))</f>
        <v/>
      </c>
      <c r="K1074" s="22">
        <f t="array" ref="K1074">IF($D1074="","",IFERROR(INDEX(MASTER_SOURCE!$C$2:$C$495,MATCH($I1074,MASTER_SOURCE!$A$2:$A$495,0)),""))</f>
        <v/>
      </c>
      <c r="L1074" s="22">
        <f t="array" ref="L1074">IF($D1074="","",IFERROR(INDEX(MASTER_SOURCE!$D$2:$D$495,MATCH($I1074,MASTER_SOURCE!$A$2:$A$495,0)),""))</f>
        <v/>
      </c>
      <c r="M1074" s="24" t="n"/>
      <c r="N1074" s="24" t="n"/>
      <c r="O1074" s="24" t="n"/>
      <c r="P1074" s="24" t="n"/>
      <c r="Q1074" s="22">
        <f>IF($D1074="","",IF(AND(OR(DANH_MUC!$L$5&lt;&gt;"Có",M1074="Có"),OR(DANH_MUC!$L$6&lt;&gt;"Có",N1074="Có"),OR(DANH_MUC!$L$7&lt;&gt;"Có",O1074="Có"),OR(DANH_MUC!$L$8&lt;&gt;"Có",P1074="Có")),"Có","Không"))</f>
        <v/>
      </c>
      <c r="R1074" s="22">
        <f>IF($D1074="","",IF(COUNTIF($D$2:$D1074,$D1074)&gt;1,"Trùng",""))</f>
        <v/>
      </c>
      <c r="S1074" s="22">
        <f>IF($D1074="","",IF(AND(LEN($D1074)=10,LEFT($D1074,1)="0",ISNUMBER(--$D1074)),"Có","Không"))</f>
        <v/>
      </c>
      <c r="T1074" s="22">
        <f>IF($D1074="","",IF(AND($C1074&lt;&gt;"",$Q1074="Có",$R1074="",$S1074="Có",AND($L1074&lt;&gt;"",OR($L1074&lt;&gt;"Chưa xác định",DANH_MUC!$L$9="Có"))),"Có","Không"))</f>
        <v/>
      </c>
      <c r="U1074" s="22">
        <f>IF(OR($D1074="",$T1074="Có"),"",IF($C1074="","Thiếu họ tên; ","")&amp;IF($S1074&lt;&gt;"Có","SĐT sai định dạng; ","")&amp;IF($R1074="Trùng","Trùng SĐT; ","")&amp;IF($Q1074&lt;&gt;"Có","Thiếu đồng ý bắt buộc; ","")&amp;IF($L1074="","Thiếu/sai Mã REF; ",IF(AND($L1074="Chưa xác định",DANH_MUC!$L$9&lt;&gt;"Có"),"Nguồn chưa xác định; ","")))</f>
        <v/>
      </c>
      <c r="V1074" s="22">
        <f>IF(OR($D1074="",$R1074="Trùng"),"",IF(COUNTIF(ORDERS!$C$2:$C$4995,$D1074)&gt;0,"Có","Không"))</f>
        <v/>
      </c>
      <c r="W1074" s="22">
        <f>IF(OR($D1074="",$R1074="Trùng"),"",COUNTIFS(ORDERS!$C$2:$C$4995,$D1074,ORDERS!$L$2:$L$4995,"Đã chuyển khoản"))</f>
        <v/>
      </c>
      <c r="X1074" s="23">
        <f>IF(OR($D1074="",$R1074="Trùng"),"",SUMIFS(ORDERS!$J$2:$J$4995,ORDERS!$C$2:$C$4995,$D1074,ORDERS!$L$2:$L$4995,"Đã chuyển khoản"))</f>
        <v/>
      </c>
      <c r="Y1074" s="24" t="n"/>
    </row>
    <row r="1075" ht="14.25" customHeight="1" s="40">
      <c r="A1075" s="24" t="n"/>
      <c r="B1075" s="27" t="n"/>
      <c r="C1075" s="24" t="n"/>
      <c r="D1075" s="28" t="n"/>
      <c r="E1075" s="29" t="n"/>
      <c r="F1075" s="24" t="n"/>
      <c r="G1075" s="24" t="n"/>
      <c r="H1075" s="21">
        <f>IF(ISNUMBER($B1075),INT($B1075)-WEEKDAY($B1075,2)+1,"")</f>
        <v/>
      </c>
      <c r="I1075" s="24" t="n"/>
      <c r="J1075" s="22">
        <f t="array" ref="J1075">IF($D1075="","",IF($I1075="","(trống REF)",IFERROR(INDEX(MASTER_SOURCE!$B$2:$B$495,MATCH($I1075,MASTER_SOURCE!$A$2:$A$495,0)),"(REF không có trong MASTER_SOURCE)")))</f>
        <v/>
      </c>
      <c r="K1075" s="22">
        <f t="array" ref="K1075">IF($D1075="","",IFERROR(INDEX(MASTER_SOURCE!$C$2:$C$495,MATCH($I1075,MASTER_SOURCE!$A$2:$A$495,0)),""))</f>
        <v/>
      </c>
      <c r="L1075" s="22">
        <f t="array" ref="L1075">IF($D1075="","",IFERROR(INDEX(MASTER_SOURCE!$D$2:$D$495,MATCH($I1075,MASTER_SOURCE!$A$2:$A$495,0)),""))</f>
        <v/>
      </c>
      <c r="M1075" s="24" t="n"/>
      <c r="N1075" s="24" t="n"/>
      <c r="O1075" s="24" t="n"/>
      <c r="P1075" s="24" t="n"/>
      <c r="Q1075" s="22">
        <f>IF($D1075="","",IF(AND(OR(DANH_MUC!$L$5&lt;&gt;"Có",M1075="Có"),OR(DANH_MUC!$L$6&lt;&gt;"Có",N1075="Có"),OR(DANH_MUC!$L$7&lt;&gt;"Có",O1075="Có"),OR(DANH_MUC!$L$8&lt;&gt;"Có",P1075="Có")),"Có","Không"))</f>
        <v/>
      </c>
      <c r="R1075" s="22">
        <f>IF($D1075="","",IF(COUNTIF($D$2:$D1075,$D1075)&gt;1,"Trùng",""))</f>
        <v/>
      </c>
      <c r="S1075" s="22">
        <f>IF($D1075="","",IF(AND(LEN($D1075)=10,LEFT($D1075,1)="0",ISNUMBER(--$D1075)),"Có","Không"))</f>
        <v/>
      </c>
      <c r="T1075" s="22">
        <f>IF($D1075="","",IF(AND($C1075&lt;&gt;"",$Q1075="Có",$R1075="",$S1075="Có",AND($L1075&lt;&gt;"",OR($L1075&lt;&gt;"Chưa xác định",DANH_MUC!$L$9="Có"))),"Có","Không"))</f>
        <v/>
      </c>
      <c r="U1075" s="22">
        <f>IF(OR($D1075="",$T1075="Có"),"",IF($C1075="","Thiếu họ tên; ","")&amp;IF($S1075&lt;&gt;"Có","SĐT sai định dạng; ","")&amp;IF($R1075="Trùng","Trùng SĐT; ","")&amp;IF($Q1075&lt;&gt;"Có","Thiếu đồng ý bắt buộc; ","")&amp;IF($L1075="","Thiếu/sai Mã REF; ",IF(AND($L1075="Chưa xác định",DANH_MUC!$L$9&lt;&gt;"Có"),"Nguồn chưa xác định; ","")))</f>
        <v/>
      </c>
      <c r="V1075" s="22">
        <f>IF(OR($D1075="",$R1075="Trùng"),"",IF(COUNTIF(ORDERS!$C$2:$C$4995,$D1075)&gt;0,"Có","Không"))</f>
        <v/>
      </c>
      <c r="W1075" s="22">
        <f>IF(OR($D1075="",$R1075="Trùng"),"",COUNTIFS(ORDERS!$C$2:$C$4995,$D1075,ORDERS!$L$2:$L$4995,"Đã chuyển khoản"))</f>
        <v/>
      </c>
      <c r="X1075" s="23">
        <f>IF(OR($D1075="",$R1075="Trùng"),"",SUMIFS(ORDERS!$J$2:$J$4995,ORDERS!$C$2:$C$4995,$D1075,ORDERS!$L$2:$L$4995,"Đã chuyển khoản"))</f>
        <v/>
      </c>
      <c r="Y1075" s="24" t="n"/>
    </row>
    <row r="1076" ht="14.25" customHeight="1" s="40">
      <c r="A1076" s="24" t="n"/>
      <c r="B1076" s="27" t="n"/>
      <c r="C1076" s="24" t="n"/>
      <c r="D1076" s="28" t="n"/>
      <c r="E1076" s="29" t="n"/>
      <c r="F1076" s="24" t="n"/>
      <c r="G1076" s="24" t="n"/>
      <c r="H1076" s="21">
        <f>IF(ISNUMBER($B1076),INT($B1076)-WEEKDAY($B1076,2)+1,"")</f>
        <v/>
      </c>
      <c r="I1076" s="24" t="n"/>
      <c r="J1076" s="22">
        <f t="array" ref="J1076">IF($D1076="","",IF($I1076="","(trống REF)",IFERROR(INDEX(MASTER_SOURCE!$B$2:$B$495,MATCH($I1076,MASTER_SOURCE!$A$2:$A$495,0)),"(REF không có trong MASTER_SOURCE)")))</f>
        <v/>
      </c>
      <c r="K1076" s="22">
        <f t="array" ref="K1076">IF($D1076="","",IFERROR(INDEX(MASTER_SOURCE!$C$2:$C$495,MATCH($I1076,MASTER_SOURCE!$A$2:$A$495,0)),""))</f>
        <v/>
      </c>
      <c r="L1076" s="22">
        <f t="array" ref="L1076">IF($D1076="","",IFERROR(INDEX(MASTER_SOURCE!$D$2:$D$495,MATCH($I1076,MASTER_SOURCE!$A$2:$A$495,0)),""))</f>
        <v/>
      </c>
      <c r="M1076" s="24" t="n"/>
      <c r="N1076" s="24" t="n"/>
      <c r="O1076" s="24" t="n"/>
      <c r="P1076" s="24" t="n"/>
      <c r="Q1076" s="22">
        <f>IF($D1076="","",IF(AND(OR(DANH_MUC!$L$5&lt;&gt;"Có",M1076="Có"),OR(DANH_MUC!$L$6&lt;&gt;"Có",N1076="Có"),OR(DANH_MUC!$L$7&lt;&gt;"Có",O1076="Có"),OR(DANH_MUC!$L$8&lt;&gt;"Có",P1076="Có")),"Có","Không"))</f>
        <v/>
      </c>
      <c r="R1076" s="22">
        <f>IF($D1076="","",IF(COUNTIF($D$2:$D1076,$D1076)&gt;1,"Trùng",""))</f>
        <v/>
      </c>
      <c r="S1076" s="22">
        <f>IF($D1076="","",IF(AND(LEN($D1076)=10,LEFT($D1076,1)="0",ISNUMBER(--$D1076)),"Có","Không"))</f>
        <v/>
      </c>
      <c r="T1076" s="22">
        <f>IF($D1076="","",IF(AND($C1076&lt;&gt;"",$Q1076="Có",$R1076="",$S1076="Có",AND($L1076&lt;&gt;"",OR($L1076&lt;&gt;"Chưa xác định",DANH_MUC!$L$9="Có"))),"Có","Không"))</f>
        <v/>
      </c>
      <c r="U1076" s="22">
        <f>IF(OR($D1076="",$T1076="Có"),"",IF($C1076="","Thiếu họ tên; ","")&amp;IF($S1076&lt;&gt;"Có","SĐT sai định dạng; ","")&amp;IF($R1076="Trùng","Trùng SĐT; ","")&amp;IF($Q1076&lt;&gt;"Có","Thiếu đồng ý bắt buộc; ","")&amp;IF($L1076="","Thiếu/sai Mã REF; ",IF(AND($L1076="Chưa xác định",DANH_MUC!$L$9&lt;&gt;"Có"),"Nguồn chưa xác định; ","")))</f>
        <v/>
      </c>
      <c r="V1076" s="22">
        <f>IF(OR($D1076="",$R1076="Trùng"),"",IF(COUNTIF(ORDERS!$C$2:$C$4995,$D1076)&gt;0,"Có","Không"))</f>
        <v/>
      </c>
      <c r="W1076" s="22">
        <f>IF(OR($D1076="",$R1076="Trùng"),"",COUNTIFS(ORDERS!$C$2:$C$4995,$D1076,ORDERS!$L$2:$L$4995,"Đã chuyển khoản"))</f>
        <v/>
      </c>
      <c r="X1076" s="23">
        <f>IF(OR($D1076="",$R1076="Trùng"),"",SUMIFS(ORDERS!$J$2:$J$4995,ORDERS!$C$2:$C$4995,$D1076,ORDERS!$L$2:$L$4995,"Đã chuyển khoản"))</f>
        <v/>
      </c>
      <c r="Y1076" s="24" t="n"/>
    </row>
    <row r="1077" ht="14.25" customHeight="1" s="40">
      <c r="A1077" s="24" t="n"/>
      <c r="B1077" s="27" t="n"/>
      <c r="C1077" s="24" t="n"/>
      <c r="D1077" s="28" t="n"/>
      <c r="E1077" s="29" t="n"/>
      <c r="F1077" s="24" t="n"/>
      <c r="G1077" s="24" t="n"/>
      <c r="H1077" s="21">
        <f>IF(ISNUMBER($B1077),INT($B1077)-WEEKDAY($B1077,2)+1,"")</f>
        <v/>
      </c>
      <c r="I1077" s="24" t="n"/>
      <c r="J1077" s="22">
        <f t="array" ref="J1077">IF($D1077="","",IF($I1077="","(trống REF)",IFERROR(INDEX(MASTER_SOURCE!$B$2:$B$495,MATCH($I1077,MASTER_SOURCE!$A$2:$A$495,0)),"(REF không có trong MASTER_SOURCE)")))</f>
        <v/>
      </c>
      <c r="K1077" s="22">
        <f t="array" ref="K1077">IF($D1077="","",IFERROR(INDEX(MASTER_SOURCE!$C$2:$C$495,MATCH($I1077,MASTER_SOURCE!$A$2:$A$495,0)),""))</f>
        <v/>
      </c>
      <c r="L1077" s="22">
        <f t="array" ref="L1077">IF($D1077="","",IFERROR(INDEX(MASTER_SOURCE!$D$2:$D$495,MATCH($I1077,MASTER_SOURCE!$A$2:$A$495,0)),""))</f>
        <v/>
      </c>
      <c r="M1077" s="24" t="n"/>
      <c r="N1077" s="24" t="n"/>
      <c r="O1077" s="24" t="n"/>
      <c r="P1077" s="24" t="n"/>
      <c r="Q1077" s="22">
        <f>IF($D1077="","",IF(AND(OR(DANH_MUC!$L$5&lt;&gt;"Có",M1077="Có"),OR(DANH_MUC!$L$6&lt;&gt;"Có",N1077="Có"),OR(DANH_MUC!$L$7&lt;&gt;"Có",O1077="Có"),OR(DANH_MUC!$L$8&lt;&gt;"Có",P1077="Có")),"Có","Không"))</f>
        <v/>
      </c>
      <c r="R1077" s="22">
        <f>IF($D1077="","",IF(COUNTIF($D$2:$D1077,$D1077)&gt;1,"Trùng",""))</f>
        <v/>
      </c>
      <c r="S1077" s="22">
        <f>IF($D1077="","",IF(AND(LEN($D1077)=10,LEFT($D1077,1)="0",ISNUMBER(--$D1077)),"Có","Không"))</f>
        <v/>
      </c>
      <c r="T1077" s="22">
        <f>IF($D1077="","",IF(AND($C1077&lt;&gt;"",$Q1077="Có",$R1077="",$S1077="Có",AND($L1077&lt;&gt;"",OR($L1077&lt;&gt;"Chưa xác định",DANH_MUC!$L$9="Có"))),"Có","Không"))</f>
        <v/>
      </c>
      <c r="U1077" s="22">
        <f>IF(OR($D1077="",$T1077="Có"),"",IF($C1077="","Thiếu họ tên; ","")&amp;IF($S1077&lt;&gt;"Có","SĐT sai định dạng; ","")&amp;IF($R1077="Trùng","Trùng SĐT; ","")&amp;IF($Q1077&lt;&gt;"Có","Thiếu đồng ý bắt buộc; ","")&amp;IF($L1077="","Thiếu/sai Mã REF; ",IF(AND($L1077="Chưa xác định",DANH_MUC!$L$9&lt;&gt;"Có"),"Nguồn chưa xác định; ","")))</f>
        <v/>
      </c>
      <c r="V1077" s="22">
        <f>IF(OR($D1077="",$R1077="Trùng"),"",IF(COUNTIF(ORDERS!$C$2:$C$4995,$D1077)&gt;0,"Có","Không"))</f>
        <v/>
      </c>
      <c r="W1077" s="22">
        <f>IF(OR($D1077="",$R1077="Trùng"),"",COUNTIFS(ORDERS!$C$2:$C$4995,$D1077,ORDERS!$L$2:$L$4995,"Đã chuyển khoản"))</f>
        <v/>
      </c>
      <c r="X1077" s="23">
        <f>IF(OR($D1077="",$R1077="Trùng"),"",SUMIFS(ORDERS!$J$2:$J$4995,ORDERS!$C$2:$C$4995,$D1077,ORDERS!$L$2:$L$4995,"Đã chuyển khoản"))</f>
        <v/>
      </c>
      <c r="Y1077" s="24" t="n"/>
    </row>
    <row r="1078" ht="14.25" customHeight="1" s="40">
      <c r="A1078" s="24" t="n"/>
      <c r="B1078" s="27" t="n"/>
      <c r="C1078" s="24" t="n"/>
      <c r="D1078" s="28" t="n"/>
      <c r="E1078" s="29" t="n"/>
      <c r="F1078" s="24" t="n"/>
      <c r="G1078" s="24" t="n"/>
      <c r="H1078" s="21">
        <f>IF(ISNUMBER($B1078),INT($B1078)-WEEKDAY($B1078,2)+1,"")</f>
        <v/>
      </c>
      <c r="I1078" s="24" t="n"/>
      <c r="J1078" s="22">
        <f t="array" ref="J1078">IF($D1078="","",IF($I1078="","(trống REF)",IFERROR(INDEX(MASTER_SOURCE!$B$2:$B$495,MATCH($I1078,MASTER_SOURCE!$A$2:$A$495,0)),"(REF không có trong MASTER_SOURCE)")))</f>
        <v/>
      </c>
      <c r="K1078" s="22">
        <f t="array" ref="K1078">IF($D1078="","",IFERROR(INDEX(MASTER_SOURCE!$C$2:$C$495,MATCH($I1078,MASTER_SOURCE!$A$2:$A$495,0)),""))</f>
        <v/>
      </c>
      <c r="L1078" s="22">
        <f t="array" ref="L1078">IF($D1078="","",IFERROR(INDEX(MASTER_SOURCE!$D$2:$D$495,MATCH($I1078,MASTER_SOURCE!$A$2:$A$495,0)),""))</f>
        <v/>
      </c>
      <c r="M1078" s="24" t="n"/>
      <c r="N1078" s="24" t="n"/>
      <c r="O1078" s="24" t="n"/>
      <c r="P1078" s="24" t="n"/>
      <c r="Q1078" s="22">
        <f>IF($D1078="","",IF(AND(OR(DANH_MUC!$L$5&lt;&gt;"Có",M1078="Có"),OR(DANH_MUC!$L$6&lt;&gt;"Có",N1078="Có"),OR(DANH_MUC!$L$7&lt;&gt;"Có",O1078="Có"),OR(DANH_MUC!$L$8&lt;&gt;"Có",P1078="Có")),"Có","Không"))</f>
        <v/>
      </c>
      <c r="R1078" s="22">
        <f>IF($D1078="","",IF(COUNTIF($D$2:$D1078,$D1078)&gt;1,"Trùng",""))</f>
        <v/>
      </c>
      <c r="S1078" s="22">
        <f>IF($D1078="","",IF(AND(LEN($D1078)=10,LEFT($D1078,1)="0",ISNUMBER(--$D1078)),"Có","Không"))</f>
        <v/>
      </c>
      <c r="T1078" s="22">
        <f>IF($D1078="","",IF(AND($C1078&lt;&gt;"",$Q1078="Có",$R1078="",$S1078="Có",AND($L1078&lt;&gt;"",OR($L1078&lt;&gt;"Chưa xác định",DANH_MUC!$L$9="Có"))),"Có","Không"))</f>
        <v/>
      </c>
      <c r="U1078" s="22">
        <f>IF(OR($D1078="",$T1078="Có"),"",IF($C1078="","Thiếu họ tên; ","")&amp;IF($S1078&lt;&gt;"Có","SĐT sai định dạng; ","")&amp;IF($R1078="Trùng","Trùng SĐT; ","")&amp;IF($Q1078&lt;&gt;"Có","Thiếu đồng ý bắt buộc; ","")&amp;IF($L1078="","Thiếu/sai Mã REF; ",IF(AND($L1078="Chưa xác định",DANH_MUC!$L$9&lt;&gt;"Có"),"Nguồn chưa xác định; ","")))</f>
        <v/>
      </c>
      <c r="V1078" s="22">
        <f>IF(OR($D1078="",$R1078="Trùng"),"",IF(COUNTIF(ORDERS!$C$2:$C$4995,$D1078)&gt;0,"Có","Không"))</f>
        <v/>
      </c>
      <c r="W1078" s="22">
        <f>IF(OR($D1078="",$R1078="Trùng"),"",COUNTIFS(ORDERS!$C$2:$C$4995,$D1078,ORDERS!$L$2:$L$4995,"Đã chuyển khoản"))</f>
        <v/>
      </c>
      <c r="X1078" s="23">
        <f>IF(OR($D1078="",$R1078="Trùng"),"",SUMIFS(ORDERS!$J$2:$J$4995,ORDERS!$C$2:$C$4995,$D1078,ORDERS!$L$2:$L$4995,"Đã chuyển khoản"))</f>
        <v/>
      </c>
      <c r="Y1078" s="24" t="n"/>
    </row>
    <row r="1079" ht="14.25" customHeight="1" s="40">
      <c r="A1079" s="24" t="n"/>
      <c r="B1079" s="27" t="n"/>
      <c r="C1079" s="24" t="n"/>
      <c r="D1079" s="28" t="n"/>
      <c r="E1079" s="29" t="n"/>
      <c r="F1079" s="24" t="n"/>
      <c r="G1079" s="24" t="n"/>
      <c r="H1079" s="21">
        <f>IF(ISNUMBER($B1079),INT($B1079)-WEEKDAY($B1079,2)+1,"")</f>
        <v/>
      </c>
      <c r="I1079" s="24" t="n"/>
      <c r="J1079" s="22">
        <f t="array" ref="J1079">IF($D1079="","",IF($I1079="","(trống REF)",IFERROR(INDEX(MASTER_SOURCE!$B$2:$B$495,MATCH($I1079,MASTER_SOURCE!$A$2:$A$495,0)),"(REF không có trong MASTER_SOURCE)")))</f>
        <v/>
      </c>
      <c r="K1079" s="22">
        <f t="array" ref="K1079">IF($D1079="","",IFERROR(INDEX(MASTER_SOURCE!$C$2:$C$495,MATCH($I1079,MASTER_SOURCE!$A$2:$A$495,0)),""))</f>
        <v/>
      </c>
      <c r="L1079" s="22">
        <f t="array" ref="L1079">IF($D1079="","",IFERROR(INDEX(MASTER_SOURCE!$D$2:$D$495,MATCH($I1079,MASTER_SOURCE!$A$2:$A$495,0)),""))</f>
        <v/>
      </c>
      <c r="M1079" s="24" t="n"/>
      <c r="N1079" s="24" t="n"/>
      <c r="O1079" s="24" t="n"/>
      <c r="P1079" s="24" t="n"/>
      <c r="Q1079" s="22">
        <f>IF($D1079="","",IF(AND(OR(DANH_MUC!$L$5&lt;&gt;"Có",M1079="Có"),OR(DANH_MUC!$L$6&lt;&gt;"Có",N1079="Có"),OR(DANH_MUC!$L$7&lt;&gt;"Có",O1079="Có"),OR(DANH_MUC!$L$8&lt;&gt;"Có",P1079="Có")),"Có","Không"))</f>
        <v/>
      </c>
      <c r="R1079" s="22">
        <f>IF($D1079="","",IF(COUNTIF($D$2:$D1079,$D1079)&gt;1,"Trùng",""))</f>
        <v/>
      </c>
      <c r="S1079" s="22">
        <f>IF($D1079="","",IF(AND(LEN($D1079)=10,LEFT($D1079,1)="0",ISNUMBER(--$D1079)),"Có","Không"))</f>
        <v/>
      </c>
      <c r="T1079" s="22">
        <f>IF($D1079="","",IF(AND($C1079&lt;&gt;"",$Q1079="Có",$R1079="",$S1079="Có",AND($L1079&lt;&gt;"",OR($L1079&lt;&gt;"Chưa xác định",DANH_MUC!$L$9="Có"))),"Có","Không"))</f>
        <v/>
      </c>
      <c r="U1079" s="22">
        <f>IF(OR($D1079="",$T1079="Có"),"",IF($C1079="","Thiếu họ tên; ","")&amp;IF($S1079&lt;&gt;"Có","SĐT sai định dạng; ","")&amp;IF($R1079="Trùng","Trùng SĐT; ","")&amp;IF($Q1079&lt;&gt;"Có","Thiếu đồng ý bắt buộc; ","")&amp;IF($L1079="","Thiếu/sai Mã REF; ",IF(AND($L1079="Chưa xác định",DANH_MUC!$L$9&lt;&gt;"Có"),"Nguồn chưa xác định; ","")))</f>
        <v/>
      </c>
      <c r="V1079" s="22">
        <f>IF(OR($D1079="",$R1079="Trùng"),"",IF(COUNTIF(ORDERS!$C$2:$C$4995,$D1079)&gt;0,"Có","Không"))</f>
        <v/>
      </c>
      <c r="W1079" s="22">
        <f>IF(OR($D1079="",$R1079="Trùng"),"",COUNTIFS(ORDERS!$C$2:$C$4995,$D1079,ORDERS!$L$2:$L$4995,"Đã chuyển khoản"))</f>
        <v/>
      </c>
      <c r="X1079" s="23">
        <f>IF(OR($D1079="",$R1079="Trùng"),"",SUMIFS(ORDERS!$J$2:$J$4995,ORDERS!$C$2:$C$4995,$D1079,ORDERS!$L$2:$L$4995,"Đã chuyển khoản"))</f>
        <v/>
      </c>
      <c r="Y1079" s="24" t="n"/>
    </row>
    <row r="1080" ht="14.25" customHeight="1" s="40">
      <c r="A1080" s="24" t="n"/>
      <c r="B1080" s="27" t="n"/>
      <c r="C1080" s="24" t="n"/>
      <c r="D1080" s="28" t="n"/>
      <c r="E1080" s="29" t="n"/>
      <c r="F1080" s="24" t="n"/>
      <c r="G1080" s="24" t="n"/>
      <c r="H1080" s="21">
        <f>IF(ISNUMBER($B1080),INT($B1080)-WEEKDAY($B1080,2)+1,"")</f>
        <v/>
      </c>
      <c r="I1080" s="24" t="n"/>
      <c r="J1080" s="22">
        <f t="array" ref="J1080">IF($D1080="","",IF($I1080="","(trống REF)",IFERROR(INDEX(MASTER_SOURCE!$B$2:$B$495,MATCH($I1080,MASTER_SOURCE!$A$2:$A$495,0)),"(REF không có trong MASTER_SOURCE)")))</f>
        <v/>
      </c>
      <c r="K1080" s="22">
        <f t="array" ref="K1080">IF($D1080="","",IFERROR(INDEX(MASTER_SOURCE!$C$2:$C$495,MATCH($I1080,MASTER_SOURCE!$A$2:$A$495,0)),""))</f>
        <v/>
      </c>
      <c r="L1080" s="22">
        <f t="array" ref="L1080">IF($D1080="","",IFERROR(INDEX(MASTER_SOURCE!$D$2:$D$495,MATCH($I1080,MASTER_SOURCE!$A$2:$A$495,0)),""))</f>
        <v/>
      </c>
      <c r="M1080" s="24" t="n"/>
      <c r="N1080" s="24" t="n"/>
      <c r="O1080" s="24" t="n"/>
      <c r="P1080" s="24" t="n"/>
      <c r="Q1080" s="22">
        <f>IF($D1080="","",IF(AND(OR(DANH_MUC!$L$5&lt;&gt;"Có",M1080="Có"),OR(DANH_MUC!$L$6&lt;&gt;"Có",N1080="Có"),OR(DANH_MUC!$L$7&lt;&gt;"Có",O1080="Có"),OR(DANH_MUC!$L$8&lt;&gt;"Có",P1080="Có")),"Có","Không"))</f>
        <v/>
      </c>
      <c r="R1080" s="22">
        <f>IF($D1080="","",IF(COUNTIF($D$2:$D1080,$D1080)&gt;1,"Trùng",""))</f>
        <v/>
      </c>
      <c r="S1080" s="22">
        <f>IF($D1080="","",IF(AND(LEN($D1080)=10,LEFT($D1080,1)="0",ISNUMBER(--$D1080)),"Có","Không"))</f>
        <v/>
      </c>
      <c r="T1080" s="22">
        <f>IF($D1080="","",IF(AND($C1080&lt;&gt;"",$Q1080="Có",$R1080="",$S1080="Có",AND($L1080&lt;&gt;"",OR($L1080&lt;&gt;"Chưa xác định",DANH_MUC!$L$9="Có"))),"Có","Không"))</f>
        <v/>
      </c>
      <c r="U1080" s="22">
        <f>IF(OR($D1080="",$T1080="Có"),"",IF($C1080="","Thiếu họ tên; ","")&amp;IF($S1080&lt;&gt;"Có","SĐT sai định dạng; ","")&amp;IF($R1080="Trùng","Trùng SĐT; ","")&amp;IF($Q1080&lt;&gt;"Có","Thiếu đồng ý bắt buộc; ","")&amp;IF($L1080="","Thiếu/sai Mã REF; ",IF(AND($L1080="Chưa xác định",DANH_MUC!$L$9&lt;&gt;"Có"),"Nguồn chưa xác định; ","")))</f>
        <v/>
      </c>
      <c r="V1080" s="22">
        <f>IF(OR($D1080="",$R1080="Trùng"),"",IF(COUNTIF(ORDERS!$C$2:$C$4995,$D1080)&gt;0,"Có","Không"))</f>
        <v/>
      </c>
      <c r="W1080" s="22">
        <f>IF(OR($D1080="",$R1080="Trùng"),"",COUNTIFS(ORDERS!$C$2:$C$4995,$D1080,ORDERS!$L$2:$L$4995,"Đã chuyển khoản"))</f>
        <v/>
      </c>
      <c r="X1080" s="23">
        <f>IF(OR($D1080="",$R1080="Trùng"),"",SUMIFS(ORDERS!$J$2:$J$4995,ORDERS!$C$2:$C$4995,$D1080,ORDERS!$L$2:$L$4995,"Đã chuyển khoản"))</f>
        <v/>
      </c>
      <c r="Y1080" s="24" t="n"/>
    </row>
    <row r="1081" ht="14.25" customHeight="1" s="40">
      <c r="A1081" s="24" t="n"/>
      <c r="B1081" s="27" t="n"/>
      <c r="C1081" s="24" t="n"/>
      <c r="D1081" s="28" t="n"/>
      <c r="E1081" s="29" t="n"/>
      <c r="F1081" s="24" t="n"/>
      <c r="G1081" s="24" t="n"/>
      <c r="H1081" s="21">
        <f>IF(ISNUMBER($B1081),INT($B1081)-WEEKDAY($B1081,2)+1,"")</f>
        <v/>
      </c>
      <c r="I1081" s="24" t="n"/>
      <c r="J1081" s="22">
        <f t="array" ref="J1081">IF($D1081="","",IF($I1081="","(trống REF)",IFERROR(INDEX(MASTER_SOURCE!$B$2:$B$495,MATCH($I1081,MASTER_SOURCE!$A$2:$A$495,0)),"(REF không có trong MASTER_SOURCE)")))</f>
        <v/>
      </c>
      <c r="K1081" s="22">
        <f t="array" ref="K1081">IF($D1081="","",IFERROR(INDEX(MASTER_SOURCE!$C$2:$C$495,MATCH($I1081,MASTER_SOURCE!$A$2:$A$495,0)),""))</f>
        <v/>
      </c>
      <c r="L1081" s="22">
        <f t="array" ref="L1081">IF($D1081="","",IFERROR(INDEX(MASTER_SOURCE!$D$2:$D$495,MATCH($I1081,MASTER_SOURCE!$A$2:$A$495,0)),""))</f>
        <v/>
      </c>
      <c r="M1081" s="24" t="n"/>
      <c r="N1081" s="24" t="n"/>
      <c r="O1081" s="24" t="n"/>
      <c r="P1081" s="24" t="n"/>
      <c r="Q1081" s="22">
        <f>IF($D1081="","",IF(AND(OR(DANH_MUC!$L$5&lt;&gt;"Có",M1081="Có"),OR(DANH_MUC!$L$6&lt;&gt;"Có",N1081="Có"),OR(DANH_MUC!$L$7&lt;&gt;"Có",O1081="Có"),OR(DANH_MUC!$L$8&lt;&gt;"Có",P1081="Có")),"Có","Không"))</f>
        <v/>
      </c>
      <c r="R1081" s="22">
        <f>IF($D1081="","",IF(COUNTIF($D$2:$D1081,$D1081)&gt;1,"Trùng",""))</f>
        <v/>
      </c>
      <c r="S1081" s="22">
        <f>IF($D1081="","",IF(AND(LEN($D1081)=10,LEFT($D1081,1)="0",ISNUMBER(--$D1081)),"Có","Không"))</f>
        <v/>
      </c>
      <c r="T1081" s="22">
        <f>IF($D1081="","",IF(AND($C1081&lt;&gt;"",$Q1081="Có",$R1081="",$S1081="Có",AND($L1081&lt;&gt;"",OR($L1081&lt;&gt;"Chưa xác định",DANH_MUC!$L$9="Có"))),"Có","Không"))</f>
        <v/>
      </c>
      <c r="U1081" s="22">
        <f>IF(OR($D1081="",$T1081="Có"),"",IF($C1081="","Thiếu họ tên; ","")&amp;IF($S1081&lt;&gt;"Có","SĐT sai định dạng; ","")&amp;IF($R1081="Trùng","Trùng SĐT; ","")&amp;IF($Q1081&lt;&gt;"Có","Thiếu đồng ý bắt buộc; ","")&amp;IF($L1081="","Thiếu/sai Mã REF; ",IF(AND($L1081="Chưa xác định",DANH_MUC!$L$9&lt;&gt;"Có"),"Nguồn chưa xác định; ","")))</f>
        <v/>
      </c>
      <c r="V1081" s="22">
        <f>IF(OR($D1081="",$R1081="Trùng"),"",IF(COUNTIF(ORDERS!$C$2:$C$4995,$D1081)&gt;0,"Có","Không"))</f>
        <v/>
      </c>
      <c r="W1081" s="22">
        <f>IF(OR($D1081="",$R1081="Trùng"),"",COUNTIFS(ORDERS!$C$2:$C$4995,$D1081,ORDERS!$L$2:$L$4995,"Đã chuyển khoản"))</f>
        <v/>
      </c>
      <c r="X1081" s="23">
        <f>IF(OR($D1081="",$R1081="Trùng"),"",SUMIFS(ORDERS!$J$2:$J$4995,ORDERS!$C$2:$C$4995,$D1081,ORDERS!$L$2:$L$4995,"Đã chuyển khoản"))</f>
        <v/>
      </c>
      <c r="Y1081" s="24" t="n"/>
    </row>
    <row r="1082" ht="14.25" customHeight="1" s="40">
      <c r="A1082" s="24" t="n"/>
      <c r="B1082" s="27" t="n"/>
      <c r="C1082" s="24" t="n"/>
      <c r="D1082" s="28" t="n"/>
      <c r="E1082" s="29" t="n"/>
      <c r="F1082" s="24" t="n"/>
      <c r="G1082" s="24" t="n"/>
      <c r="H1082" s="21">
        <f>IF(ISNUMBER($B1082),INT($B1082)-WEEKDAY($B1082,2)+1,"")</f>
        <v/>
      </c>
      <c r="I1082" s="24" t="n"/>
      <c r="J1082" s="22">
        <f t="array" ref="J1082">IF($D1082="","",IF($I1082="","(trống REF)",IFERROR(INDEX(MASTER_SOURCE!$B$2:$B$495,MATCH($I1082,MASTER_SOURCE!$A$2:$A$495,0)),"(REF không có trong MASTER_SOURCE)")))</f>
        <v/>
      </c>
      <c r="K1082" s="22">
        <f t="array" ref="K1082">IF($D1082="","",IFERROR(INDEX(MASTER_SOURCE!$C$2:$C$495,MATCH($I1082,MASTER_SOURCE!$A$2:$A$495,0)),""))</f>
        <v/>
      </c>
      <c r="L1082" s="22">
        <f t="array" ref="L1082">IF($D1082="","",IFERROR(INDEX(MASTER_SOURCE!$D$2:$D$495,MATCH($I1082,MASTER_SOURCE!$A$2:$A$495,0)),""))</f>
        <v/>
      </c>
      <c r="M1082" s="24" t="n"/>
      <c r="N1082" s="24" t="n"/>
      <c r="O1082" s="24" t="n"/>
      <c r="P1082" s="24" t="n"/>
      <c r="Q1082" s="22">
        <f>IF($D1082="","",IF(AND(OR(DANH_MUC!$L$5&lt;&gt;"Có",M1082="Có"),OR(DANH_MUC!$L$6&lt;&gt;"Có",N1082="Có"),OR(DANH_MUC!$L$7&lt;&gt;"Có",O1082="Có"),OR(DANH_MUC!$L$8&lt;&gt;"Có",P1082="Có")),"Có","Không"))</f>
        <v/>
      </c>
      <c r="R1082" s="22">
        <f>IF($D1082="","",IF(COUNTIF($D$2:$D1082,$D1082)&gt;1,"Trùng",""))</f>
        <v/>
      </c>
      <c r="S1082" s="22">
        <f>IF($D1082="","",IF(AND(LEN($D1082)=10,LEFT($D1082,1)="0",ISNUMBER(--$D1082)),"Có","Không"))</f>
        <v/>
      </c>
      <c r="T1082" s="22">
        <f>IF($D1082="","",IF(AND($C1082&lt;&gt;"",$Q1082="Có",$R1082="",$S1082="Có",AND($L1082&lt;&gt;"",OR($L1082&lt;&gt;"Chưa xác định",DANH_MUC!$L$9="Có"))),"Có","Không"))</f>
        <v/>
      </c>
      <c r="U1082" s="22">
        <f>IF(OR($D1082="",$T1082="Có"),"",IF($C1082="","Thiếu họ tên; ","")&amp;IF($S1082&lt;&gt;"Có","SĐT sai định dạng; ","")&amp;IF($R1082="Trùng","Trùng SĐT; ","")&amp;IF($Q1082&lt;&gt;"Có","Thiếu đồng ý bắt buộc; ","")&amp;IF($L1082="","Thiếu/sai Mã REF; ",IF(AND($L1082="Chưa xác định",DANH_MUC!$L$9&lt;&gt;"Có"),"Nguồn chưa xác định; ","")))</f>
        <v/>
      </c>
      <c r="V1082" s="22">
        <f>IF(OR($D1082="",$R1082="Trùng"),"",IF(COUNTIF(ORDERS!$C$2:$C$4995,$D1082)&gt;0,"Có","Không"))</f>
        <v/>
      </c>
      <c r="W1082" s="22">
        <f>IF(OR($D1082="",$R1082="Trùng"),"",COUNTIFS(ORDERS!$C$2:$C$4995,$D1082,ORDERS!$L$2:$L$4995,"Đã chuyển khoản"))</f>
        <v/>
      </c>
      <c r="X1082" s="23">
        <f>IF(OR($D1082="",$R1082="Trùng"),"",SUMIFS(ORDERS!$J$2:$J$4995,ORDERS!$C$2:$C$4995,$D1082,ORDERS!$L$2:$L$4995,"Đã chuyển khoản"))</f>
        <v/>
      </c>
      <c r="Y1082" s="24" t="n"/>
    </row>
    <row r="1083" ht="14.25" customHeight="1" s="40">
      <c r="A1083" s="24" t="n"/>
      <c r="B1083" s="27" t="n"/>
      <c r="C1083" s="24" t="n"/>
      <c r="D1083" s="28" t="n"/>
      <c r="E1083" s="29" t="n"/>
      <c r="F1083" s="24" t="n"/>
      <c r="G1083" s="24" t="n"/>
      <c r="H1083" s="21">
        <f>IF(ISNUMBER($B1083),INT($B1083)-WEEKDAY($B1083,2)+1,"")</f>
        <v/>
      </c>
      <c r="I1083" s="24" t="n"/>
      <c r="J1083" s="22">
        <f t="array" ref="J1083">IF($D1083="","",IF($I1083="","(trống REF)",IFERROR(INDEX(MASTER_SOURCE!$B$2:$B$495,MATCH($I1083,MASTER_SOURCE!$A$2:$A$495,0)),"(REF không có trong MASTER_SOURCE)")))</f>
        <v/>
      </c>
      <c r="K1083" s="22">
        <f t="array" ref="K1083">IF($D1083="","",IFERROR(INDEX(MASTER_SOURCE!$C$2:$C$495,MATCH($I1083,MASTER_SOURCE!$A$2:$A$495,0)),""))</f>
        <v/>
      </c>
      <c r="L1083" s="22">
        <f t="array" ref="L1083">IF($D1083="","",IFERROR(INDEX(MASTER_SOURCE!$D$2:$D$495,MATCH($I1083,MASTER_SOURCE!$A$2:$A$495,0)),""))</f>
        <v/>
      </c>
      <c r="M1083" s="24" t="n"/>
      <c r="N1083" s="24" t="n"/>
      <c r="O1083" s="24" t="n"/>
      <c r="P1083" s="24" t="n"/>
      <c r="Q1083" s="22">
        <f>IF($D1083="","",IF(AND(OR(DANH_MUC!$L$5&lt;&gt;"Có",M1083="Có"),OR(DANH_MUC!$L$6&lt;&gt;"Có",N1083="Có"),OR(DANH_MUC!$L$7&lt;&gt;"Có",O1083="Có"),OR(DANH_MUC!$L$8&lt;&gt;"Có",P1083="Có")),"Có","Không"))</f>
        <v/>
      </c>
      <c r="R1083" s="22">
        <f>IF($D1083="","",IF(COUNTIF($D$2:$D1083,$D1083)&gt;1,"Trùng",""))</f>
        <v/>
      </c>
      <c r="S1083" s="22">
        <f>IF($D1083="","",IF(AND(LEN($D1083)=10,LEFT($D1083,1)="0",ISNUMBER(--$D1083)),"Có","Không"))</f>
        <v/>
      </c>
      <c r="T1083" s="22">
        <f>IF($D1083="","",IF(AND($C1083&lt;&gt;"",$Q1083="Có",$R1083="",$S1083="Có",AND($L1083&lt;&gt;"",OR($L1083&lt;&gt;"Chưa xác định",DANH_MUC!$L$9="Có"))),"Có","Không"))</f>
        <v/>
      </c>
      <c r="U1083" s="22">
        <f>IF(OR($D1083="",$T1083="Có"),"",IF($C1083="","Thiếu họ tên; ","")&amp;IF($S1083&lt;&gt;"Có","SĐT sai định dạng; ","")&amp;IF($R1083="Trùng","Trùng SĐT; ","")&amp;IF($Q1083&lt;&gt;"Có","Thiếu đồng ý bắt buộc; ","")&amp;IF($L1083="","Thiếu/sai Mã REF; ",IF(AND($L1083="Chưa xác định",DANH_MUC!$L$9&lt;&gt;"Có"),"Nguồn chưa xác định; ","")))</f>
        <v/>
      </c>
      <c r="V1083" s="22">
        <f>IF(OR($D1083="",$R1083="Trùng"),"",IF(COUNTIF(ORDERS!$C$2:$C$4995,$D1083)&gt;0,"Có","Không"))</f>
        <v/>
      </c>
      <c r="W1083" s="22">
        <f>IF(OR($D1083="",$R1083="Trùng"),"",COUNTIFS(ORDERS!$C$2:$C$4995,$D1083,ORDERS!$L$2:$L$4995,"Đã chuyển khoản"))</f>
        <v/>
      </c>
      <c r="X1083" s="23">
        <f>IF(OR($D1083="",$R1083="Trùng"),"",SUMIFS(ORDERS!$J$2:$J$4995,ORDERS!$C$2:$C$4995,$D1083,ORDERS!$L$2:$L$4995,"Đã chuyển khoản"))</f>
        <v/>
      </c>
      <c r="Y1083" s="24" t="n"/>
    </row>
    <row r="1084" ht="14.25" customHeight="1" s="40">
      <c r="A1084" s="24" t="n"/>
      <c r="B1084" s="27" t="n"/>
      <c r="C1084" s="24" t="n"/>
      <c r="D1084" s="28" t="n"/>
      <c r="E1084" s="29" t="n"/>
      <c r="F1084" s="24" t="n"/>
      <c r="G1084" s="24" t="n"/>
      <c r="H1084" s="21">
        <f>IF(ISNUMBER($B1084),INT($B1084)-WEEKDAY($B1084,2)+1,"")</f>
        <v/>
      </c>
      <c r="I1084" s="24" t="n"/>
      <c r="J1084" s="22">
        <f t="array" ref="J1084">IF($D1084="","",IF($I1084="","(trống REF)",IFERROR(INDEX(MASTER_SOURCE!$B$2:$B$495,MATCH($I1084,MASTER_SOURCE!$A$2:$A$495,0)),"(REF không có trong MASTER_SOURCE)")))</f>
        <v/>
      </c>
      <c r="K1084" s="22">
        <f t="array" ref="K1084">IF($D1084="","",IFERROR(INDEX(MASTER_SOURCE!$C$2:$C$495,MATCH($I1084,MASTER_SOURCE!$A$2:$A$495,0)),""))</f>
        <v/>
      </c>
      <c r="L1084" s="22">
        <f t="array" ref="L1084">IF($D1084="","",IFERROR(INDEX(MASTER_SOURCE!$D$2:$D$495,MATCH($I1084,MASTER_SOURCE!$A$2:$A$495,0)),""))</f>
        <v/>
      </c>
      <c r="M1084" s="24" t="n"/>
      <c r="N1084" s="24" t="n"/>
      <c r="O1084" s="24" t="n"/>
      <c r="P1084" s="24" t="n"/>
      <c r="Q1084" s="22">
        <f>IF($D1084="","",IF(AND(OR(DANH_MUC!$L$5&lt;&gt;"Có",M1084="Có"),OR(DANH_MUC!$L$6&lt;&gt;"Có",N1084="Có"),OR(DANH_MUC!$L$7&lt;&gt;"Có",O1084="Có"),OR(DANH_MUC!$L$8&lt;&gt;"Có",P1084="Có")),"Có","Không"))</f>
        <v/>
      </c>
      <c r="R1084" s="22">
        <f>IF($D1084="","",IF(COUNTIF($D$2:$D1084,$D1084)&gt;1,"Trùng",""))</f>
        <v/>
      </c>
      <c r="S1084" s="22">
        <f>IF($D1084="","",IF(AND(LEN($D1084)=10,LEFT($D1084,1)="0",ISNUMBER(--$D1084)),"Có","Không"))</f>
        <v/>
      </c>
      <c r="T1084" s="22">
        <f>IF($D1084="","",IF(AND($C1084&lt;&gt;"",$Q1084="Có",$R1084="",$S1084="Có",AND($L1084&lt;&gt;"",OR($L1084&lt;&gt;"Chưa xác định",DANH_MUC!$L$9="Có"))),"Có","Không"))</f>
        <v/>
      </c>
      <c r="U1084" s="22">
        <f>IF(OR($D1084="",$T1084="Có"),"",IF($C1084="","Thiếu họ tên; ","")&amp;IF($S1084&lt;&gt;"Có","SĐT sai định dạng; ","")&amp;IF($R1084="Trùng","Trùng SĐT; ","")&amp;IF($Q1084&lt;&gt;"Có","Thiếu đồng ý bắt buộc; ","")&amp;IF($L1084="","Thiếu/sai Mã REF; ",IF(AND($L1084="Chưa xác định",DANH_MUC!$L$9&lt;&gt;"Có"),"Nguồn chưa xác định; ","")))</f>
        <v/>
      </c>
      <c r="V1084" s="22">
        <f>IF(OR($D1084="",$R1084="Trùng"),"",IF(COUNTIF(ORDERS!$C$2:$C$4995,$D1084)&gt;0,"Có","Không"))</f>
        <v/>
      </c>
      <c r="W1084" s="22">
        <f>IF(OR($D1084="",$R1084="Trùng"),"",COUNTIFS(ORDERS!$C$2:$C$4995,$D1084,ORDERS!$L$2:$L$4995,"Đã chuyển khoản"))</f>
        <v/>
      </c>
      <c r="X1084" s="23">
        <f>IF(OR($D1084="",$R1084="Trùng"),"",SUMIFS(ORDERS!$J$2:$J$4995,ORDERS!$C$2:$C$4995,$D1084,ORDERS!$L$2:$L$4995,"Đã chuyển khoản"))</f>
        <v/>
      </c>
      <c r="Y1084" s="24" t="n"/>
    </row>
    <row r="1085" ht="14.25" customHeight="1" s="40">
      <c r="A1085" s="24" t="n"/>
      <c r="B1085" s="27" t="n"/>
      <c r="C1085" s="24" t="n"/>
      <c r="D1085" s="28" t="n"/>
      <c r="E1085" s="29" t="n"/>
      <c r="F1085" s="24" t="n"/>
      <c r="G1085" s="24" t="n"/>
      <c r="H1085" s="21">
        <f>IF(ISNUMBER($B1085),INT($B1085)-WEEKDAY($B1085,2)+1,"")</f>
        <v/>
      </c>
      <c r="I1085" s="24" t="n"/>
      <c r="J1085" s="22">
        <f t="array" ref="J1085">IF($D1085="","",IF($I1085="","(trống REF)",IFERROR(INDEX(MASTER_SOURCE!$B$2:$B$495,MATCH($I1085,MASTER_SOURCE!$A$2:$A$495,0)),"(REF không có trong MASTER_SOURCE)")))</f>
        <v/>
      </c>
      <c r="K1085" s="22">
        <f t="array" ref="K1085">IF($D1085="","",IFERROR(INDEX(MASTER_SOURCE!$C$2:$C$495,MATCH($I1085,MASTER_SOURCE!$A$2:$A$495,0)),""))</f>
        <v/>
      </c>
      <c r="L1085" s="22">
        <f t="array" ref="L1085">IF($D1085="","",IFERROR(INDEX(MASTER_SOURCE!$D$2:$D$495,MATCH($I1085,MASTER_SOURCE!$A$2:$A$495,0)),""))</f>
        <v/>
      </c>
      <c r="M1085" s="24" t="n"/>
      <c r="N1085" s="24" t="n"/>
      <c r="O1085" s="24" t="n"/>
      <c r="P1085" s="24" t="n"/>
      <c r="Q1085" s="22">
        <f>IF($D1085="","",IF(AND(OR(DANH_MUC!$L$5&lt;&gt;"Có",M1085="Có"),OR(DANH_MUC!$L$6&lt;&gt;"Có",N1085="Có"),OR(DANH_MUC!$L$7&lt;&gt;"Có",O1085="Có"),OR(DANH_MUC!$L$8&lt;&gt;"Có",P1085="Có")),"Có","Không"))</f>
        <v/>
      </c>
      <c r="R1085" s="22">
        <f>IF($D1085="","",IF(COUNTIF($D$2:$D1085,$D1085)&gt;1,"Trùng",""))</f>
        <v/>
      </c>
      <c r="S1085" s="22">
        <f>IF($D1085="","",IF(AND(LEN($D1085)=10,LEFT($D1085,1)="0",ISNUMBER(--$D1085)),"Có","Không"))</f>
        <v/>
      </c>
      <c r="T1085" s="22">
        <f>IF($D1085="","",IF(AND($C1085&lt;&gt;"",$Q1085="Có",$R1085="",$S1085="Có",AND($L1085&lt;&gt;"",OR($L1085&lt;&gt;"Chưa xác định",DANH_MUC!$L$9="Có"))),"Có","Không"))</f>
        <v/>
      </c>
      <c r="U1085" s="22">
        <f>IF(OR($D1085="",$T1085="Có"),"",IF($C1085="","Thiếu họ tên; ","")&amp;IF($S1085&lt;&gt;"Có","SĐT sai định dạng; ","")&amp;IF($R1085="Trùng","Trùng SĐT; ","")&amp;IF($Q1085&lt;&gt;"Có","Thiếu đồng ý bắt buộc; ","")&amp;IF($L1085="","Thiếu/sai Mã REF; ",IF(AND($L1085="Chưa xác định",DANH_MUC!$L$9&lt;&gt;"Có"),"Nguồn chưa xác định; ","")))</f>
        <v/>
      </c>
      <c r="V1085" s="22">
        <f>IF(OR($D1085="",$R1085="Trùng"),"",IF(COUNTIF(ORDERS!$C$2:$C$4995,$D1085)&gt;0,"Có","Không"))</f>
        <v/>
      </c>
      <c r="W1085" s="22">
        <f>IF(OR($D1085="",$R1085="Trùng"),"",COUNTIFS(ORDERS!$C$2:$C$4995,$D1085,ORDERS!$L$2:$L$4995,"Đã chuyển khoản"))</f>
        <v/>
      </c>
      <c r="X1085" s="23">
        <f>IF(OR($D1085="",$R1085="Trùng"),"",SUMIFS(ORDERS!$J$2:$J$4995,ORDERS!$C$2:$C$4995,$D1085,ORDERS!$L$2:$L$4995,"Đã chuyển khoản"))</f>
        <v/>
      </c>
      <c r="Y1085" s="24" t="n"/>
    </row>
    <row r="1086" ht="14.25" customHeight="1" s="40">
      <c r="A1086" s="24" t="n"/>
      <c r="B1086" s="27" t="n"/>
      <c r="C1086" s="24" t="n"/>
      <c r="D1086" s="28" t="n"/>
      <c r="E1086" s="29" t="n"/>
      <c r="F1086" s="24" t="n"/>
      <c r="G1086" s="24" t="n"/>
      <c r="H1086" s="21">
        <f>IF(ISNUMBER($B1086),INT($B1086)-WEEKDAY($B1086,2)+1,"")</f>
        <v/>
      </c>
      <c r="I1086" s="24" t="n"/>
      <c r="J1086" s="22">
        <f t="array" ref="J1086">IF($D1086="","",IF($I1086="","(trống REF)",IFERROR(INDEX(MASTER_SOURCE!$B$2:$B$495,MATCH($I1086,MASTER_SOURCE!$A$2:$A$495,0)),"(REF không có trong MASTER_SOURCE)")))</f>
        <v/>
      </c>
      <c r="K1086" s="22">
        <f t="array" ref="K1086">IF($D1086="","",IFERROR(INDEX(MASTER_SOURCE!$C$2:$C$495,MATCH($I1086,MASTER_SOURCE!$A$2:$A$495,0)),""))</f>
        <v/>
      </c>
      <c r="L1086" s="22">
        <f t="array" ref="L1086">IF($D1086="","",IFERROR(INDEX(MASTER_SOURCE!$D$2:$D$495,MATCH($I1086,MASTER_SOURCE!$A$2:$A$495,0)),""))</f>
        <v/>
      </c>
      <c r="M1086" s="24" t="n"/>
      <c r="N1086" s="24" t="n"/>
      <c r="O1086" s="24" t="n"/>
      <c r="P1086" s="24" t="n"/>
      <c r="Q1086" s="22">
        <f>IF($D1086="","",IF(AND(OR(DANH_MUC!$L$5&lt;&gt;"Có",M1086="Có"),OR(DANH_MUC!$L$6&lt;&gt;"Có",N1086="Có"),OR(DANH_MUC!$L$7&lt;&gt;"Có",O1086="Có"),OR(DANH_MUC!$L$8&lt;&gt;"Có",P1086="Có")),"Có","Không"))</f>
        <v/>
      </c>
      <c r="R1086" s="22">
        <f>IF($D1086="","",IF(COUNTIF($D$2:$D1086,$D1086)&gt;1,"Trùng",""))</f>
        <v/>
      </c>
      <c r="S1086" s="22">
        <f>IF($D1086="","",IF(AND(LEN($D1086)=10,LEFT($D1086,1)="0",ISNUMBER(--$D1086)),"Có","Không"))</f>
        <v/>
      </c>
      <c r="T1086" s="22">
        <f>IF($D1086="","",IF(AND($C1086&lt;&gt;"",$Q1086="Có",$R1086="",$S1086="Có",AND($L1086&lt;&gt;"",OR($L1086&lt;&gt;"Chưa xác định",DANH_MUC!$L$9="Có"))),"Có","Không"))</f>
        <v/>
      </c>
      <c r="U1086" s="22">
        <f>IF(OR($D1086="",$T1086="Có"),"",IF($C1086="","Thiếu họ tên; ","")&amp;IF($S1086&lt;&gt;"Có","SĐT sai định dạng; ","")&amp;IF($R1086="Trùng","Trùng SĐT; ","")&amp;IF($Q1086&lt;&gt;"Có","Thiếu đồng ý bắt buộc; ","")&amp;IF($L1086="","Thiếu/sai Mã REF; ",IF(AND($L1086="Chưa xác định",DANH_MUC!$L$9&lt;&gt;"Có"),"Nguồn chưa xác định; ","")))</f>
        <v/>
      </c>
      <c r="V1086" s="22">
        <f>IF(OR($D1086="",$R1086="Trùng"),"",IF(COUNTIF(ORDERS!$C$2:$C$4995,$D1086)&gt;0,"Có","Không"))</f>
        <v/>
      </c>
      <c r="W1086" s="22">
        <f>IF(OR($D1086="",$R1086="Trùng"),"",COUNTIFS(ORDERS!$C$2:$C$4995,$D1086,ORDERS!$L$2:$L$4995,"Đã chuyển khoản"))</f>
        <v/>
      </c>
      <c r="X1086" s="23">
        <f>IF(OR($D1086="",$R1086="Trùng"),"",SUMIFS(ORDERS!$J$2:$J$4995,ORDERS!$C$2:$C$4995,$D1086,ORDERS!$L$2:$L$4995,"Đã chuyển khoản"))</f>
        <v/>
      </c>
      <c r="Y1086" s="24" t="n"/>
    </row>
    <row r="1087" ht="14.25" customHeight="1" s="40">
      <c r="A1087" s="24" t="n"/>
      <c r="B1087" s="27" t="n"/>
      <c r="C1087" s="24" t="n"/>
      <c r="D1087" s="28" t="n"/>
      <c r="E1087" s="29" t="n"/>
      <c r="F1087" s="24" t="n"/>
      <c r="G1087" s="24" t="n"/>
      <c r="H1087" s="21">
        <f>IF(ISNUMBER($B1087),INT($B1087)-WEEKDAY($B1087,2)+1,"")</f>
        <v/>
      </c>
      <c r="I1087" s="24" t="n"/>
      <c r="J1087" s="22">
        <f t="array" ref="J1087">IF($D1087="","",IF($I1087="","(trống REF)",IFERROR(INDEX(MASTER_SOURCE!$B$2:$B$495,MATCH($I1087,MASTER_SOURCE!$A$2:$A$495,0)),"(REF không có trong MASTER_SOURCE)")))</f>
        <v/>
      </c>
      <c r="K1087" s="22">
        <f t="array" ref="K1087">IF($D1087="","",IFERROR(INDEX(MASTER_SOURCE!$C$2:$C$495,MATCH($I1087,MASTER_SOURCE!$A$2:$A$495,0)),""))</f>
        <v/>
      </c>
      <c r="L1087" s="22">
        <f t="array" ref="L1087">IF($D1087="","",IFERROR(INDEX(MASTER_SOURCE!$D$2:$D$495,MATCH($I1087,MASTER_SOURCE!$A$2:$A$495,0)),""))</f>
        <v/>
      </c>
      <c r="M1087" s="24" t="n"/>
      <c r="N1087" s="24" t="n"/>
      <c r="O1087" s="24" t="n"/>
      <c r="P1087" s="24" t="n"/>
      <c r="Q1087" s="22">
        <f>IF($D1087="","",IF(AND(OR(DANH_MUC!$L$5&lt;&gt;"Có",M1087="Có"),OR(DANH_MUC!$L$6&lt;&gt;"Có",N1087="Có"),OR(DANH_MUC!$L$7&lt;&gt;"Có",O1087="Có"),OR(DANH_MUC!$L$8&lt;&gt;"Có",P1087="Có")),"Có","Không"))</f>
        <v/>
      </c>
      <c r="R1087" s="22">
        <f>IF($D1087="","",IF(COUNTIF($D$2:$D1087,$D1087)&gt;1,"Trùng",""))</f>
        <v/>
      </c>
      <c r="S1087" s="22">
        <f>IF($D1087="","",IF(AND(LEN($D1087)=10,LEFT($D1087,1)="0",ISNUMBER(--$D1087)),"Có","Không"))</f>
        <v/>
      </c>
      <c r="T1087" s="22">
        <f>IF($D1087="","",IF(AND($C1087&lt;&gt;"",$Q1087="Có",$R1087="",$S1087="Có",AND($L1087&lt;&gt;"",OR($L1087&lt;&gt;"Chưa xác định",DANH_MUC!$L$9="Có"))),"Có","Không"))</f>
        <v/>
      </c>
      <c r="U1087" s="22">
        <f>IF(OR($D1087="",$T1087="Có"),"",IF($C1087="","Thiếu họ tên; ","")&amp;IF($S1087&lt;&gt;"Có","SĐT sai định dạng; ","")&amp;IF($R1087="Trùng","Trùng SĐT; ","")&amp;IF($Q1087&lt;&gt;"Có","Thiếu đồng ý bắt buộc; ","")&amp;IF($L1087="","Thiếu/sai Mã REF; ",IF(AND($L1087="Chưa xác định",DANH_MUC!$L$9&lt;&gt;"Có"),"Nguồn chưa xác định; ","")))</f>
        <v/>
      </c>
      <c r="V1087" s="22">
        <f>IF(OR($D1087="",$R1087="Trùng"),"",IF(COUNTIF(ORDERS!$C$2:$C$4995,$D1087)&gt;0,"Có","Không"))</f>
        <v/>
      </c>
      <c r="W1087" s="22">
        <f>IF(OR($D1087="",$R1087="Trùng"),"",COUNTIFS(ORDERS!$C$2:$C$4995,$D1087,ORDERS!$L$2:$L$4995,"Đã chuyển khoản"))</f>
        <v/>
      </c>
      <c r="X1087" s="23">
        <f>IF(OR($D1087="",$R1087="Trùng"),"",SUMIFS(ORDERS!$J$2:$J$4995,ORDERS!$C$2:$C$4995,$D1087,ORDERS!$L$2:$L$4995,"Đã chuyển khoản"))</f>
        <v/>
      </c>
      <c r="Y1087" s="24" t="n"/>
    </row>
    <row r="1088" ht="14.25" customHeight="1" s="40">
      <c r="A1088" s="24" t="n"/>
      <c r="B1088" s="27" t="n"/>
      <c r="C1088" s="24" t="n"/>
      <c r="D1088" s="28" t="n"/>
      <c r="E1088" s="29" t="n"/>
      <c r="F1088" s="24" t="n"/>
      <c r="G1088" s="24" t="n"/>
      <c r="H1088" s="21">
        <f>IF(ISNUMBER($B1088),INT($B1088)-WEEKDAY($B1088,2)+1,"")</f>
        <v/>
      </c>
      <c r="I1088" s="24" t="n"/>
      <c r="J1088" s="22">
        <f t="array" ref="J1088">IF($D1088="","",IF($I1088="","(trống REF)",IFERROR(INDEX(MASTER_SOURCE!$B$2:$B$495,MATCH($I1088,MASTER_SOURCE!$A$2:$A$495,0)),"(REF không có trong MASTER_SOURCE)")))</f>
        <v/>
      </c>
      <c r="K1088" s="22">
        <f t="array" ref="K1088">IF($D1088="","",IFERROR(INDEX(MASTER_SOURCE!$C$2:$C$495,MATCH($I1088,MASTER_SOURCE!$A$2:$A$495,0)),""))</f>
        <v/>
      </c>
      <c r="L1088" s="22">
        <f t="array" ref="L1088">IF($D1088="","",IFERROR(INDEX(MASTER_SOURCE!$D$2:$D$495,MATCH($I1088,MASTER_SOURCE!$A$2:$A$495,0)),""))</f>
        <v/>
      </c>
      <c r="M1088" s="24" t="n"/>
      <c r="N1088" s="24" t="n"/>
      <c r="O1088" s="24" t="n"/>
      <c r="P1088" s="24" t="n"/>
      <c r="Q1088" s="22">
        <f>IF($D1088="","",IF(AND(OR(DANH_MUC!$L$5&lt;&gt;"Có",M1088="Có"),OR(DANH_MUC!$L$6&lt;&gt;"Có",N1088="Có"),OR(DANH_MUC!$L$7&lt;&gt;"Có",O1088="Có"),OR(DANH_MUC!$L$8&lt;&gt;"Có",P1088="Có")),"Có","Không"))</f>
        <v/>
      </c>
      <c r="R1088" s="22">
        <f>IF($D1088="","",IF(COUNTIF($D$2:$D1088,$D1088)&gt;1,"Trùng",""))</f>
        <v/>
      </c>
      <c r="S1088" s="22">
        <f>IF($D1088="","",IF(AND(LEN($D1088)=10,LEFT($D1088,1)="0",ISNUMBER(--$D1088)),"Có","Không"))</f>
        <v/>
      </c>
      <c r="T1088" s="22">
        <f>IF($D1088="","",IF(AND($C1088&lt;&gt;"",$Q1088="Có",$R1088="",$S1088="Có",AND($L1088&lt;&gt;"",OR($L1088&lt;&gt;"Chưa xác định",DANH_MUC!$L$9="Có"))),"Có","Không"))</f>
        <v/>
      </c>
      <c r="U1088" s="22">
        <f>IF(OR($D1088="",$T1088="Có"),"",IF($C1088="","Thiếu họ tên; ","")&amp;IF($S1088&lt;&gt;"Có","SĐT sai định dạng; ","")&amp;IF($R1088="Trùng","Trùng SĐT; ","")&amp;IF($Q1088&lt;&gt;"Có","Thiếu đồng ý bắt buộc; ","")&amp;IF($L1088="","Thiếu/sai Mã REF; ",IF(AND($L1088="Chưa xác định",DANH_MUC!$L$9&lt;&gt;"Có"),"Nguồn chưa xác định; ","")))</f>
        <v/>
      </c>
      <c r="V1088" s="22">
        <f>IF(OR($D1088="",$R1088="Trùng"),"",IF(COUNTIF(ORDERS!$C$2:$C$4995,$D1088)&gt;0,"Có","Không"))</f>
        <v/>
      </c>
      <c r="W1088" s="22">
        <f>IF(OR($D1088="",$R1088="Trùng"),"",COUNTIFS(ORDERS!$C$2:$C$4995,$D1088,ORDERS!$L$2:$L$4995,"Đã chuyển khoản"))</f>
        <v/>
      </c>
      <c r="X1088" s="23">
        <f>IF(OR($D1088="",$R1088="Trùng"),"",SUMIFS(ORDERS!$J$2:$J$4995,ORDERS!$C$2:$C$4995,$D1088,ORDERS!$L$2:$L$4995,"Đã chuyển khoản"))</f>
        <v/>
      </c>
      <c r="Y1088" s="24" t="n"/>
    </row>
    <row r="1089" ht="14.25" customHeight="1" s="40">
      <c r="A1089" s="24" t="n"/>
      <c r="B1089" s="27" t="n"/>
      <c r="C1089" s="24" t="n"/>
      <c r="D1089" s="28" t="n"/>
      <c r="E1089" s="29" t="n"/>
      <c r="F1089" s="24" t="n"/>
      <c r="G1089" s="24" t="n"/>
      <c r="H1089" s="21">
        <f>IF(ISNUMBER($B1089),INT($B1089)-WEEKDAY($B1089,2)+1,"")</f>
        <v/>
      </c>
      <c r="I1089" s="24" t="n"/>
      <c r="J1089" s="22">
        <f t="array" ref="J1089">IF($D1089="","",IF($I1089="","(trống REF)",IFERROR(INDEX(MASTER_SOURCE!$B$2:$B$495,MATCH($I1089,MASTER_SOURCE!$A$2:$A$495,0)),"(REF không có trong MASTER_SOURCE)")))</f>
        <v/>
      </c>
      <c r="K1089" s="22">
        <f t="array" ref="K1089">IF($D1089="","",IFERROR(INDEX(MASTER_SOURCE!$C$2:$C$495,MATCH($I1089,MASTER_SOURCE!$A$2:$A$495,0)),""))</f>
        <v/>
      </c>
      <c r="L1089" s="22">
        <f t="array" ref="L1089">IF($D1089="","",IFERROR(INDEX(MASTER_SOURCE!$D$2:$D$495,MATCH($I1089,MASTER_SOURCE!$A$2:$A$495,0)),""))</f>
        <v/>
      </c>
      <c r="M1089" s="24" t="n"/>
      <c r="N1089" s="24" t="n"/>
      <c r="O1089" s="24" t="n"/>
      <c r="P1089" s="24" t="n"/>
      <c r="Q1089" s="22">
        <f>IF($D1089="","",IF(AND(OR(DANH_MUC!$L$5&lt;&gt;"Có",M1089="Có"),OR(DANH_MUC!$L$6&lt;&gt;"Có",N1089="Có"),OR(DANH_MUC!$L$7&lt;&gt;"Có",O1089="Có"),OR(DANH_MUC!$L$8&lt;&gt;"Có",P1089="Có")),"Có","Không"))</f>
        <v/>
      </c>
      <c r="R1089" s="22">
        <f>IF($D1089="","",IF(COUNTIF($D$2:$D1089,$D1089)&gt;1,"Trùng",""))</f>
        <v/>
      </c>
      <c r="S1089" s="22">
        <f>IF($D1089="","",IF(AND(LEN($D1089)=10,LEFT($D1089,1)="0",ISNUMBER(--$D1089)),"Có","Không"))</f>
        <v/>
      </c>
      <c r="T1089" s="22">
        <f>IF($D1089="","",IF(AND($C1089&lt;&gt;"",$Q1089="Có",$R1089="",$S1089="Có",AND($L1089&lt;&gt;"",OR($L1089&lt;&gt;"Chưa xác định",DANH_MUC!$L$9="Có"))),"Có","Không"))</f>
        <v/>
      </c>
      <c r="U1089" s="22">
        <f>IF(OR($D1089="",$T1089="Có"),"",IF($C1089="","Thiếu họ tên; ","")&amp;IF($S1089&lt;&gt;"Có","SĐT sai định dạng; ","")&amp;IF($R1089="Trùng","Trùng SĐT; ","")&amp;IF($Q1089&lt;&gt;"Có","Thiếu đồng ý bắt buộc; ","")&amp;IF($L1089="","Thiếu/sai Mã REF; ",IF(AND($L1089="Chưa xác định",DANH_MUC!$L$9&lt;&gt;"Có"),"Nguồn chưa xác định; ","")))</f>
        <v/>
      </c>
      <c r="V1089" s="22">
        <f>IF(OR($D1089="",$R1089="Trùng"),"",IF(COUNTIF(ORDERS!$C$2:$C$4995,$D1089)&gt;0,"Có","Không"))</f>
        <v/>
      </c>
      <c r="W1089" s="22">
        <f>IF(OR($D1089="",$R1089="Trùng"),"",COUNTIFS(ORDERS!$C$2:$C$4995,$D1089,ORDERS!$L$2:$L$4995,"Đã chuyển khoản"))</f>
        <v/>
      </c>
      <c r="X1089" s="23">
        <f>IF(OR($D1089="",$R1089="Trùng"),"",SUMIFS(ORDERS!$J$2:$J$4995,ORDERS!$C$2:$C$4995,$D1089,ORDERS!$L$2:$L$4995,"Đã chuyển khoản"))</f>
        <v/>
      </c>
      <c r="Y1089" s="24" t="n"/>
    </row>
    <row r="1090" ht="14.25" customHeight="1" s="40">
      <c r="A1090" s="24" t="n"/>
      <c r="B1090" s="27" t="n"/>
      <c r="C1090" s="24" t="n"/>
      <c r="D1090" s="28" t="n"/>
      <c r="E1090" s="29" t="n"/>
      <c r="F1090" s="24" t="n"/>
      <c r="G1090" s="24" t="n"/>
      <c r="H1090" s="21">
        <f>IF(ISNUMBER($B1090),INT($B1090)-WEEKDAY($B1090,2)+1,"")</f>
        <v/>
      </c>
      <c r="I1090" s="24" t="n"/>
      <c r="J1090" s="22">
        <f t="array" ref="J1090">IF($D1090="","",IF($I1090="","(trống REF)",IFERROR(INDEX(MASTER_SOURCE!$B$2:$B$495,MATCH($I1090,MASTER_SOURCE!$A$2:$A$495,0)),"(REF không có trong MASTER_SOURCE)")))</f>
        <v/>
      </c>
      <c r="K1090" s="22">
        <f t="array" ref="K1090">IF($D1090="","",IFERROR(INDEX(MASTER_SOURCE!$C$2:$C$495,MATCH($I1090,MASTER_SOURCE!$A$2:$A$495,0)),""))</f>
        <v/>
      </c>
      <c r="L1090" s="22">
        <f t="array" ref="L1090">IF($D1090="","",IFERROR(INDEX(MASTER_SOURCE!$D$2:$D$495,MATCH($I1090,MASTER_SOURCE!$A$2:$A$495,0)),""))</f>
        <v/>
      </c>
      <c r="M1090" s="24" t="n"/>
      <c r="N1090" s="24" t="n"/>
      <c r="O1090" s="24" t="n"/>
      <c r="P1090" s="24" t="n"/>
      <c r="Q1090" s="22">
        <f>IF($D1090="","",IF(AND(OR(DANH_MUC!$L$5&lt;&gt;"Có",M1090="Có"),OR(DANH_MUC!$L$6&lt;&gt;"Có",N1090="Có"),OR(DANH_MUC!$L$7&lt;&gt;"Có",O1090="Có"),OR(DANH_MUC!$L$8&lt;&gt;"Có",P1090="Có")),"Có","Không"))</f>
        <v/>
      </c>
      <c r="R1090" s="22">
        <f>IF($D1090="","",IF(COUNTIF($D$2:$D1090,$D1090)&gt;1,"Trùng",""))</f>
        <v/>
      </c>
      <c r="S1090" s="22">
        <f>IF($D1090="","",IF(AND(LEN($D1090)=10,LEFT($D1090,1)="0",ISNUMBER(--$D1090)),"Có","Không"))</f>
        <v/>
      </c>
      <c r="T1090" s="22">
        <f>IF($D1090="","",IF(AND($C1090&lt;&gt;"",$Q1090="Có",$R1090="",$S1090="Có",AND($L1090&lt;&gt;"",OR($L1090&lt;&gt;"Chưa xác định",DANH_MUC!$L$9="Có"))),"Có","Không"))</f>
        <v/>
      </c>
      <c r="U1090" s="22">
        <f>IF(OR($D1090="",$T1090="Có"),"",IF($C1090="","Thiếu họ tên; ","")&amp;IF($S1090&lt;&gt;"Có","SĐT sai định dạng; ","")&amp;IF($R1090="Trùng","Trùng SĐT; ","")&amp;IF($Q1090&lt;&gt;"Có","Thiếu đồng ý bắt buộc; ","")&amp;IF($L1090="","Thiếu/sai Mã REF; ",IF(AND($L1090="Chưa xác định",DANH_MUC!$L$9&lt;&gt;"Có"),"Nguồn chưa xác định; ","")))</f>
        <v/>
      </c>
      <c r="V1090" s="22">
        <f>IF(OR($D1090="",$R1090="Trùng"),"",IF(COUNTIF(ORDERS!$C$2:$C$4995,$D1090)&gt;0,"Có","Không"))</f>
        <v/>
      </c>
      <c r="W1090" s="22">
        <f>IF(OR($D1090="",$R1090="Trùng"),"",COUNTIFS(ORDERS!$C$2:$C$4995,$D1090,ORDERS!$L$2:$L$4995,"Đã chuyển khoản"))</f>
        <v/>
      </c>
      <c r="X1090" s="23">
        <f>IF(OR($D1090="",$R1090="Trùng"),"",SUMIFS(ORDERS!$J$2:$J$4995,ORDERS!$C$2:$C$4995,$D1090,ORDERS!$L$2:$L$4995,"Đã chuyển khoản"))</f>
        <v/>
      </c>
      <c r="Y1090" s="24" t="n"/>
    </row>
    <row r="1091" ht="14.25" customHeight="1" s="40">
      <c r="A1091" s="24" t="n"/>
      <c r="B1091" s="27" t="n"/>
      <c r="C1091" s="24" t="n"/>
      <c r="D1091" s="28" t="n"/>
      <c r="E1091" s="29" t="n"/>
      <c r="F1091" s="24" t="n"/>
      <c r="G1091" s="24" t="n"/>
      <c r="H1091" s="21">
        <f>IF(ISNUMBER($B1091),INT($B1091)-WEEKDAY($B1091,2)+1,"")</f>
        <v/>
      </c>
      <c r="I1091" s="24" t="n"/>
      <c r="J1091" s="22">
        <f t="array" ref="J1091">IF($D1091="","",IF($I1091="","(trống REF)",IFERROR(INDEX(MASTER_SOURCE!$B$2:$B$495,MATCH($I1091,MASTER_SOURCE!$A$2:$A$495,0)),"(REF không có trong MASTER_SOURCE)")))</f>
        <v/>
      </c>
      <c r="K1091" s="22">
        <f t="array" ref="K1091">IF($D1091="","",IFERROR(INDEX(MASTER_SOURCE!$C$2:$C$495,MATCH($I1091,MASTER_SOURCE!$A$2:$A$495,0)),""))</f>
        <v/>
      </c>
      <c r="L1091" s="22">
        <f t="array" ref="L1091">IF($D1091="","",IFERROR(INDEX(MASTER_SOURCE!$D$2:$D$495,MATCH($I1091,MASTER_SOURCE!$A$2:$A$495,0)),""))</f>
        <v/>
      </c>
      <c r="M1091" s="24" t="n"/>
      <c r="N1091" s="24" t="n"/>
      <c r="O1091" s="24" t="n"/>
      <c r="P1091" s="24" t="n"/>
      <c r="Q1091" s="22">
        <f>IF($D1091="","",IF(AND(OR(DANH_MUC!$L$5&lt;&gt;"Có",M1091="Có"),OR(DANH_MUC!$L$6&lt;&gt;"Có",N1091="Có"),OR(DANH_MUC!$L$7&lt;&gt;"Có",O1091="Có"),OR(DANH_MUC!$L$8&lt;&gt;"Có",P1091="Có")),"Có","Không"))</f>
        <v/>
      </c>
      <c r="R1091" s="22">
        <f>IF($D1091="","",IF(COUNTIF($D$2:$D1091,$D1091)&gt;1,"Trùng",""))</f>
        <v/>
      </c>
      <c r="S1091" s="22">
        <f>IF($D1091="","",IF(AND(LEN($D1091)=10,LEFT($D1091,1)="0",ISNUMBER(--$D1091)),"Có","Không"))</f>
        <v/>
      </c>
      <c r="T1091" s="22">
        <f>IF($D1091="","",IF(AND($C1091&lt;&gt;"",$Q1091="Có",$R1091="",$S1091="Có",AND($L1091&lt;&gt;"",OR($L1091&lt;&gt;"Chưa xác định",DANH_MUC!$L$9="Có"))),"Có","Không"))</f>
        <v/>
      </c>
      <c r="U1091" s="22">
        <f>IF(OR($D1091="",$T1091="Có"),"",IF($C1091="","Thiếu họ tên; ","")&amp;IF($S1091&lt;&gt;"Có","SĐT sai định dạng; ","")&amp;IF($R1091="Trùng","Trùng SĐT; ","")&amp;IF($Q1091&lt;&gt;"Có","Thiếu đồng ý bắt buộc; ","")&amp;IF($L1091="","Thiếu/sai Mã REF; ",IF(AND($L1091="Chưa xác định",DANH_MUC!$L$9&lt;&gt;"Có"),"Nguồn chưa xác định; ","")))</f>
        <v/>
      </c>
      <c r="V1091" s="22">
        <f>IF(OR($D1091="",$R1091="Trùng"),"",IF(COUNTIF(ORDERS!$C$2:$C$4995,$D1091)&gt;0,"Có","Không"))</f>
        <v/>
      </c>
      <c r="W1091" s="22">
        <f>IF(OR($D1091="",$R1091="Trùng"),"",COUNTIFS(ORDERS!$C$2:$C$4995,$D1091,ORDERS!$L$2:$L$4995,"Đã chuyển khoản"))</f>
        <v/>
      </c>
      <c r="X1091" s="23">
        <f>IF(OR($D1091="",$R1091="Trùng"),"",SUMIFS(ORDERS!$J$2:$J$4995,ORDERS!$C$2:$C$4995,$D1091,ORDERS!$L$2:$L$4995,"Đã chuyển khoản"))</f>
        <v/>
      </c>
      <c r="Y1091" s="24" t="n"/>
    </row>
    <row r="1092" ht="14.25" customHeight="1" s="40">
      <c r="A1092" s="24" t="n"/>
      <c r="B1092" s="27" t="n"/>
      <c r="C1092" s="24" t="n"/>
      <c r="D1092" s="28" t="n"/>
      <c r="E1092" s="29" t="n"/>
      <c r="F1092" s="24" t="n"/>
      <c r="G1092" s="24" t="n"/>
      <c r="H1092" s="21">
        <f>IF(ISNUMBER($B1092),INT($B1092)-WEEKDAY($B1092,2)+1,"")</f>
        <v/>
      </c>
      <c r="I1092" s="24" t="n"/>
      <c r="J1092" s="22">
        <f t="array" ref="J1092">IF($D1092="","",IF($I1092="","(trống REF)",IFERROR(INDEX(MASTER_SOURCE!$B$2:$B$495,MATCH($I1092,MASTER_SOURCE!$A$2:$A$495,0)),"(REF không có trong MASTER_SOURCE)")))</f>
        <v/>
      </c>
      <c r="K1092" s="22">
        <f t="array" ref="K1092">IF($D1092="","",IFERROR(INDEX(MASTER_SOURCE!$C$2:$C$495,MATCH($I1092,MASTER_SOURCE!$A$2:$A$495,0)),""))</f>
        <v/>
      </c>
      <c r="L1092" s="22">
        <f t="array" ref="L1092">IF($D1092="","",IFERROR(INDEX(MASTER_SOURCE!$D$2:$D$495,MATCH($I1092,MASTER_SOURCE!$A$2:$A$495,0)),""))</f>
        <v/>
      </c>
      <c r="M1092" s="24" t="n"/>
      <c r="N1092" s="24" t="n"/>
      <c r="O1092" s="24" t="n"/>
      <c r="P1092" s="24" t="n"/>
      <c r="Q1092" s="22">
        <f>IF($D1092="","",IF(AND(OR(DANH_MUC!$L$5&lt;&gt;"Có",M1092="Có"),OR(DANH_MUC!$L$6&lt;&gt;"Có",N1092="Có"),OR(DANH_MUC!$L$7&lt;&gt;"Có",O1092="Có"),OR(DANH_MUC!$L$8&lt;&gt;"Có",P1092="Có")),"Có","Không"))</f>
        <v/>
      </c>
      <c r="R1092" s="22">
        <f>IF($D1092="","",IF(COUNTIF($D$2:$D1092,$D1092)&gt;1,"Trùng",""))</f>
        <v/>
      </c>
      <c r="S1092" s="22">
        <f>IF($D1092="","",IF(AND(LEN($D1092)=10,LEFT($D1092,1)="0",ISNUMBER(--$D1092)),"Có","Không"))</f>
        <v/>
      </c>
      <c r="T1092" s="22">
        <f>IF($D1092="","",IF(AND($C1092&lt;&gt;"",$Q1092="Có",$R1092="",$S1092="Có",AND($L1092&lt;&gt;"",OR($L1092&lt;&gt;"Chưa xác định",DANH_MUC!$L$9="Có"))),"Có","Không"))</f>
        <v/>
      </c>
      <c r="U1092" s="22">
        <f>IF(OR($D1092="",$T1092="Có"),"",IF($C1092="","Thiếu họ tên; ","")&amp;IF($S1092&lt;&gt;"Có","SĐT sai định dạng; ","")&amp;IF($R1092="Trùng","Trùng SĐT; ","")&amp;IF($Q1092&lt;&gt;"Có","Thiếu đồng ý bắt buộc; ","")&amp;IF($L1092="","Thiếu/sai Mã REF; ",IF(AND($L1092="Chưa xác định",DANH_MUC!$L$9&lt;&gt;"Có"),"Nguồn chưa xác định; ","")))</f>
        <v/>
      </c>
      <c r="V1092" s="22">
        <f>IF(OR($D1092="",$R1092="Trùng"),"",IF(COUNTIF(ORDERS!$C$2:$C$4995,$D1092)&gt;0,"Có","Không"))</f>
        <v/>
      </c>
      <c r="W1092" s="22">
        <f>IF(OR($D1092="",$R1092="Trùng"),"",COUNTIFS(ORDERS!$C$2:$C$4995,$D1092,ORDERS!$L$2:$L$4995,"Đã chuyển khoản"))</f>
        <v/>
      </c>
      <c r="X1092" s="23">
        <f>IF(OR($D1092="",$R1092="Trùng"),"",SUMIFS(ORDERS!$J$2:$J$4995,ORDERS!$C$2:$C$4995,$D1092,ORDERS!$L$2:$L$4995,"Đã chuyển khoản"))</f>
        <v/>
      </c>
      <c r="Y1092" s="24" t="n"/>
    </row>
    <row r="1093" ht="14.25" customHeight="1" s="40">
      <c r="A1093" s="24" t="n"/>
      <c r="B1093" s="27" t="n"/>
      <c r="C1093" s="24" t="n"/>
      <c r="D1093" s="28" t="n"/>
      <c r="E1093" s="29" t="n"/>
      <c r="F1093" s="24" t="n"/>
      <c r="G1093" s="24" t="n"/>
      <c r="H1093" s="21">
        <f>IF(ISNUMBER($B1093),INT($B1093)-WEEKDAY($B1093,2)+1,"")</f>
        <v/>
      </c>
      <c r="I1093" s="24" t="n"/>
      <c r="J1093" s="22">
        <f t="array" ref="J1093">IF($D1093="","",IF($I1093="","(trống REF)",IFERROR(INDEX(MASTER_SOURCE!$B$2:$B$495,MATCH($I1093,MASTER_SOURCE!$A$2:$A$495,0)),"(REF không có trong MASTER_SOURCE)")))</f>
        <v/>
      </c>
      <c r="K1093" s="22">
        <f t="array" ref="K1093">IF($D1093="","",IFERROR(INDEX(MASTER_SOURCE!$C$2:$C$495,MATCH($I1093,MASTER_SOURCE!$A$2:$A$495,0)),""))</f>
        <v/>
      </c>
      <c r="L1093" s="22">
        <f t="array" ref="L1093">IF($D1093="","",IFERROR(INDEX(MASTER_SOURCE!$D$2:$D$495,MATCH($I1093,MASTER_SOURCE!$A$2:$A$495,0)),""))</f>
        <v/>
      </c>
      <c r="M1093" s="24" t="n"/>
      <c r="N1093" s="24" t="n"/>
      <c r="O1093" s="24" t="n"/>
      <c r="P1093" s="24" t="n"/>
      <c r="Q1093" s="22">
        <f>IF($D1093="","",IF(AND(OR(DANH_MUC!$L$5&lt;&gt;"Có",M1093="Có"),OR(DANH_MUC!$L$6&lt;&gt;"Có",N1093="Có"),OR(DANH_MUC!$L$7&lt;&gt;"Có",O1093="Có"),OR(DANH_MUC!$L$8&lt;&gt;"Có",P1093="Có")),"Có","Không"))</f>
        <v/>
      </c>
      <c r="R1093" s="22">
        <f>IF($D1093="","",IF(COUNTIF($D$2:$D1093,$D1093)&gt;1,"Trùng",""))</f>
        <v/>
      </c>
      <c r="S1093" s="22">
        <f>IF($D1093="","",IF(AND(LEN($D1093)=10,LEFT($D1093,1)="0",ISNUMBER(--$D1093)),"Có","Không"))</f>
        <v/>
      </c>
      <c r="T1093" s="22">
        <f>IF($D1093="","",IF(AND($C1093&lt;&gt;"",$Q1093="Có",$R1093="",$S1093="Có",AND($L1093&lt;&gt;"",OR($L1093&lt;&gt;"Chưa xác định",DANH_MUC!$L$9="Có"))),"Có","Không"))</f>
        <v/>
      </c>
      <c r="U1093" s="22">
        <f>IF(OR($D1093="",$T1093="Có"),"",IF($C1093="","Thiếu họ tên; ","")&amp;IF($S1093&lt;&gt;"Có","SĐT sai định dạng; ","")&amp;IF($R1093="Trùng","Trùng SĐT; ","")&amp;IF($Q1093&lt;&gt;"Có","Thiếu đồng ý bắt buộc; ","")&amp;IF($L1093="","Thiếu/sai Mã REF; ",IF(AND($L1093="Chưa xác định",DANH_MUC!$L$9&lt;&gt;"Có"),"Nguồn chưa xác định; ","")))</f>
        <v/>
      </c>
      <c r="V1093" s="22">
        <f>IF(OR($D1093="",$R1093="Trùng"),"",IF(COUNTIF(ORDERS!$C$2:$C$4995,$D1093)&gt;0,"Có","Không"))</f>
        <v/>
      </c>
      <c r="W1093" s="22">
        <f>IF(OR($D1093="",$R1093="Trùng"),"",COUNTIFS(ORDERS!$C$2:$C$4995,$D1093,ORDERS!$L$2:$L$4995,"Đã chuyển khoản"))</f>
        <v/>
      </c>
      <c r="X1093" s="23">
        <f>IF(OR($D1093="",$R1093="Trùng"),"",SUMIFS(ORDERS!$J$2:$J$4995,ORDERS!$C$2:$C$4995,$D1093,ORDERS!$L$2:$L$4995,"Đã chuyển khoản"))</f>
        <v/>
      </c>
      <c r="Y1093" s="24" t="n"/>
    </row>
    <row r="1094" ht="14.25" customHeight="1" s="40">
      <c r="A1094" s="24" t="n"/>
      <c r="B1094" s="27" t="n"/>
      <c r="C1094" s="24" t="n"/>
      <c r="D1094" s="28" t="n"/>
      <c r="E1094" s="29" t="n"/>
      <c r="F1094" s="24" t="n"/>
      <c r="G1094" s="24" t="n"/>
      <c r="H1094" s="21">
        <f>IF(ISNUMBER($B1094),INT($B1094)-WEEKDAY($B1094,2)+1,"")</f>
        <v/>
      </c>
      <c r="I1094" s="24" t="n"/>
      <c r="J1094" s="22">
        <f t="array" ref="J1094">IF($D1094="","",IF($I1094="","(trống REF)",IFERROR(INDEX(MASTER_SOURCE!$B$2:$B$495,MATCH($I1094,MASTER_SOURCE!$A$2:$A$495,0)),"(REF không có trong MASTER_SOURCE)")))</f>
        <v/>
      </c>
      <c r="K1094" s="22">
        <f t="array" ref="K1094">IF($D1094="","",IFERROR(INDEX(MASTER_SOURCE!$C$2:$C$495,MATCH($I1094,MASTER_SOURCE!$A$2:$A$495,0)),""))</f>
        <v/>
      </c>
      <c r="L1094" s="22">
        <f t="array" ref="L1094">IF($D1094="","",IFERROR(INDEX(MASTER_SOURCE!$D$2:$D$495,MATCH($I1094,MASTER_SOURCE!$A$2:$A$495,0)),""))</f>
        <v/>
      </c>
      <c r="M1094" s="24" t="n"/>
      <c r="N1094" s="24" t="n"/>
      <c r="O1094" s="24" t="n"/>
      <c r="P1094" s="24" t="n"/>
      <c r="Q1094" s="22">
        <f>IF($D1094="","",IF(AND(OR(DANH_MUC!$L$5&lt;&gt;"Có",M1094="Có"),OR(DANH_MUC!$L$6&lt;&gt;"Có",N1094="Có"),OR(DANH_MUC!$L$7&lt;&gt;"Có",O1094="Có"),OR(DANH_MUC!$L$8&lt;&gt;"Có",P1094="Có")),"Có","Không"))</f>
        <v/>
      </c>
      <c r="R1094" s="22">
        <f>IF($D1094="","",IF(COUNTIF($D$2:$D1094,$D1094)&gt;1,"Trùng",""))</f>
        <v/>
      </c>
      <c r="S1094" s="22">
        <f>IF($D1094="","",IF(AND(LEN($D1094)=10,LEFT($D1094,1)="0",ISNUMBER(--$D1094)),"Có","Không"))</f>
        <v/>
      </c>
      <c r="T1094" s="22">
        <f>IF($D1094="","",IF(AND($C1094&lt;&gt;"",$Q1094="Có",$R1094="",$S1094="Có",AND($L1094&lt;&gt;"",OR($L1094&lt;&gt;"Chưa xác định",DANH_MUC!$L$9="Có"))),"Có","Không"))</f>
        <v/>
      </c>
      <c r="U1094" s="22">
        <f>IF(OR($D1094="",$T1094="Có"),"",IF($C1094="","Thiếu họ tên; ","")&amp;IF($S1094&lt;&gt;"Có","SĐT sai định dạng; ","")&amp;IF($R1094="Trùng","Trùng SĐT; ","")&amp;IF($Q1094&lt;&gt;"Có","Thiếu đồng ý bắt buộc; ","")&amp;IF($L1094="","Thiếu/sai Mã REF; ",IF(AND($L1094="Chưa xác định",DANH_MUC!$L$9&lt;&gt;"Có"),"Nguồn chưa xác định; ","")))</f>
        <v/>
      </c>
      <c r="V1094" s="22">
        <f>IF(OR($D1094="",$R1094="Trùng"),"",IF(COUNTIF(ORDERS!$C$2:$C$4995,$D1094)&gt;0,"Có","Không"))</f>
        <v/>
      </c>
      <c r="W1094" s="22">
        <f>IF(OR($D1094="",$R1094="Trùng"),"",COUNTIFS(ORDERS!$C$2:$C$4995,$D1094,ORDERS!$L$2:$L$4995,"Đã chuyển khoản"))</f>
        <v/>
      </c>
      <c r="X1094" s="23">
        <f>IF(OR($D1094="",$R1094="Trùng"),"",SUMIFS(ORDERS!$J$2:$J$4995,ORDERS!$C$2:$C$4995,$D1094,ORDERS!$L$2:$L$4995,"Đã chuyển khoản"))</f>
        <v/>
      </c>
      <c r="Y1094" s="24" t="n"/>
    </row>
    <row r="1095" ht="14.25" customHeight="1" s="40">
      <c r="A1095" s="24" t="n"/>
      <c r="B1095" s="27" t="n"/>
      <c r="C1095" s="24" t="n"/>
      <c r="D1095" s="28" t="n"/>
      <c r="E1095" s="29" t="n"/>
      <c r="F1095" s="24" t="n"/>
      <c r="G1095" s="24" t="n"/>
      <c r="H1095" s="21">
        <f>IF(ISNUMBER($B1095),INT($B1095)-WEEKDAY($B1095,2)+1,"")</f>
        <v/>
      </c>
      <c r="I1095" s="24" t="n"/>
      <c r="J1095" s="22">
        <f t="array" ref="J1095">IF($D1095="","",IF($I1095="","(trống REF)",IFERROR(INDEX(MASTER_SOURCE!$B$2:$B$495,MATCH($I1095,MASTER_SOURCE!$A$2:$A$495,0)),"(REF không có trong MASTER_SOURCE)")))</f>
        <v/>
      </c>
      <c r="K1095" s="22">
        <f t="array" ref="K1095">IF($D1095="","",IFERROR(INDEX(MASTER_SOURCE!$C$2:$C$495,MATCH($I1095,MASTER_SOURCE!$A$2:$A$495,0)),""))</f>
        <v/>
      </c>
      <c r="L1095" s="22">
        <f t="array" ref="L1095">IF($D1095="","",IFERROR(INDEX(MASTER_SOURCE!$D$2:$D$495,MATCH($I1095,MASTER_SOURCE!$A$2:$A$495,0)),""))</f>
        <v/>
      </c>
      <c r="M1095" s="24" t="n"/>
      <c r="N1095" s="24" t="n"/>
      <c r="O1095" s="24" t="n"/>
      <c r="P1095" s="24" t="n"/>
      <c r="Q1095" s="22">
        <f>IF($D1095="","",IF(AND(OR(DANH_MUC!$L$5&lt;&gt;"Có",M1095="Có"),OR(DANH_MUC!$L$6&lt;&gt;"Có",N1095="Có"),OR(DANH_MUC!$L$7&lt;&gt;"Có",O1095="Có"),OR(DANH_MUC!$L$8&lt;&gt;"Có",P1095="Có")),"Có","Không"))</f>
        <v/>
      </c>
      <c r="R1095" s="22">
        <f>IF($D1095="","",IF(COUNTIF($D$2:$D1095,$D1095)&gt;1,"Trùng",""))</f>
        <v/>
      </c>
      <c r="S1095" s="22">
        <f>IF($D1095="","",IF(AND(LEN($D1095)=10,LEFT($D1095,1)="0",ISNUMBER(--$D1095)),"Có","Không"))</f>
        <v/>
      </c>
      <c r="T1095" s="22">
        <f>IF($D1095="","",IF(AND($C1095&lt;&gt;"",$Q1095="Có",$R1095="",$S1095="Có",AND($L1095&lt;&gt;"",OR($L1095&lt;&gt;"Chưa xác định",DANH_MUC!$L$9="Có"))),"Có","Không"))</f>
        <v/>
      </c>
      <c r="U1095" s="22">
        <f>IF(OR($D1095="",$T1095="Có"),"",IF($C1095="","Thiếu họ tên; ","")&amp;IF($S1095&lt;&gt;"Có","SĐT sai định dạng; ","")&amp;IF($R1095="Trùng","Trùng SĐT; ","")&amp;IF($Q1095&lt;&gt;"Có","Thiếu đồng ý bắt buộc; ","")&amp;IF($L1095="","Thiếu/sai Mã REF; ",IF(AND($L1095="Chưa xác định",DANH_MUC!$L$9&lt;&gt;"Có"),"Nguồn chưa xác định; ","")))</f>
        <v/>
      </c>
      <c r="V1095" s="22">
        <f>IF(OR($D1095="",$R1095="Trùng"),"",IF(COUNTIF(ORDERS!$C$2:$C$4995,$D1095)&gt;0,"Có","Không"))</f>
        <v/>
      </c>
      <c r="W1095" s="22">
        <f>IF(OR($D1095="",$R1095="Trùng"),"",COUNTIFS(ORDERS!$C$2:$C$4995,$D1095,ORDERS!$L$2:$L$4995,"Đã chuyển khoản"))</f>
        <v/>
      </c>
      <c r="X1095" s="23">
        <f>IF(OR($D1095="",$R1095="Trùng"),"",SUMIFS(ORDERS!$J$2:$J$4995,ORDERS!$C$2:$C$4995,$D1095,ORDERS!$L$2:$L$4995,"Đã chuyển khoản"))</f>
        <v/>
      </c>
      <c r="Y1095" s="24" t="n"/>
    </row>
    <row r="1096" ht="14.25" customHeight="1" s="40">
      <c r="A1096" s="24" t="n"/>
      <c r="B1096" s="27" t="n"/>
      <c r="C1096" s="24" t="n"/>
      <c r="D1096" s="28" t="n"/>
      <c r="E1096" s="29" t="n"/>
      <c r="F1096" s="24" t="n"/>
      <c r="G1096" s="24" t="n"/>
      <c r="H1096" s="21">
        <f>IF(ISNUMBER($B1096),INT($B1096)-WEEKDAY($B1096,2)+1,"")</f>
        <v/>
      </c>
      <c r="I1096" s="24" t="n"/>
      <c r="J1096" s="22">
        <f t="array" ref="J1096">IF($D1096="","",IF($I1096="","(trống REF)",IFERROR(INDEX(MASTER_SOURCE!$B$2:$B$495,MATCH($I1096,MASTER_SOURCE!$A$2:$A$495,0)),"(REF không có trong MASTER_SOURCE)")))</f>
        <v/>
      </c>
      <c r="K1096" s="22">
        <f t="array" ref="K1096">IF($D1096="","",IFERROR(INDEX(MASTER_SOURCE!$C$2:$C$495,MATCH($I1096,MASTER_SOURCE!$A$2:$A$495,0)),""))</f>
        <v/>
      </c>
      <c r="L1096" s="22">
        <f t="array" ref="L1096">IF($D1096="","",IFERROR(INDEX(MASTER_SOURCE!$D$2:$D$495,MATCH($I1096,MASTER_SOURCE!$A$2:$A$495,0)),""))</f>
        <v/>
      </c>
      <c r="M1096" s="24" t="n"/>
      <c r="N1096" s="24" t="n"/>
      <c r="O1096" s="24" t="n"/>
      <c r="P1096" s="24" t="n"/>
      <c r="Q1096" s="22">
        <f>IF($D1096="","",IF(AND(OR(DANH_MUC!$L$5&lt;&gt;"Có",M1096="Có"),OR(DANH_MUC!$L$6&lt;&gt;"Có",N1096="Có"),OR(DANH_MUC!$L$7&lt;&gt;"Có",O1096="Có"),OR(DANH_MUC!$L$8&lt;&gt;"Có",P1096="Có")),"Có","Không"))</f>
        <v/>
      </c>
      <c r="R1096" s="22">
        <f>IF($D1096="","",IF(COUNTIF($D$2:$D1096,$D1096)&gt;1,"Trùng",""))</f>
        <v/>
      </c>
      <c r="S1096" s="22">
        <f>IF($D1096="","",IF(AND(LEN($D1096)=10,LEFT($D1096,1)="0",ISNUMBER(--$D1096)),"Có","Không"))</f>
        <v/>
      </c>
      <c r="T1096" s="22">
        <f>IF($D1096="","",IF(AND($C1096&lt;&gt;"",$Q1096="Có",$R1096="",$S1096="Có",AND($L1096&lt;&gt;"",OR($L1096&lt;&gt;"Chưa xác định",DANH_MUC!$L$9="Có"))),"Có","Không"))</f>
        <v/>
      </c>
      <c r="U1096" s="22">
        <f>IF(OR($D1096="",$T1096="Có"),"",IF($C1096="","Thiếu họ tên; ","")&amp;IF($S1096&lt;&gt;"Có","SĐT sai định dạng; ","")&amp;IF($R1096="Trùng","Trùng SĐT; ","")&amp;IF($Q1096&lt;&gt;"Có","Thiếu đồng ý bắt buộc; ","")&amp;IF($L1096="","Thiếu/sai Mã REF; ",IF(AND($L1096="Chưa xác định",DANH_MUC!$L$9&lt;&gt;"Có"),"Nguồn chưa xác định; ","")))</f>
        <v/>
      </c>
      <c r="V1096" s="22">
        <f>IF(OR($D1096="",$R1096="Trùng"),"",IF(COUNTIF(ORDERS!$C$2:$C$4995,$D1096)&gt;0,"Có","Không"))</f>
        <v/>
      </c>
      <c r="W1096" s="22">
        <f>IF(OR($D1096="",$R1096="Trùng"),"",COUNTIFS(ORDERS!$C$2:$C$4995,$D1096,ORDERS!$L$2:$L$4995,"Đã chuyển khoản"))</f>
        <v/>
      </c>
      <c r="X1096" s="23">
        <f>IF(OR($D1096="",$R1096="Trùng"),"",SUMIFS(ORDERS!$J$2:$J$4995,ORDERS!$C$2:$C$4995,$D1096,ORDERS!$L$2:$L$4995,"Đã chuyển khoản"))</f>
        <v/>
      </c>
      <c r="Y1096" s="24" t="n"/>
    </row>
    <row r="1097" ht="14.25" customHeight="1" s="40">
      <c r="A1097" s="24" t="n"/>
      <c r="B1097" s="27" t="n"/>
      <c r="C1097" s="24" t="n"/>
      <c r="D1097" s="28" t="n"/>
      <c r="E1097" s="29" t="n"/>
      <c r="F1097" s="24" t="n"/>
      <c r="G1097" s="24" t="n"/>
      <c r="H1097" s="21">
        <f>IF(ISNUMBER($B1097),INT($B1097)-WEEKDAY($B1097,2)+1,"")</f>
        <v/>
      </c>
      <c r="I1097" s="24" t="n"/>
      <c r="J1097" s="22">
        <f t="array" ref="J1097">IF($D1097="","",IF($I1097="","(trống REF)",IFERROR(INDEX(MASTER_SOURCE!$B$2:$B$495,MATCH($I1097,MASTER_SOURCE!$A$2:$A$495,0)),"(REF không có trong MASTER_SOURCE)")))</f>
        <v/>
      </c>
      <c r="K1097" s="22">
        <f t="array" ref="K1097">IF($D1097="","",IFERROR(INDEX(MASTER_SOURCE!$C$2:$C$495,MATCH($I1097,MASTER_SOURCE!$A$2:$A$495,0)),""))</f>
        <v/>
      </c>
      <c r="L1097" s="22">
        <f t="array" ref="L1097">IF($D1097="","",IFERROR(INDEX(MASTER_SOURCE!$D$2:$D$495,MATCH($I1097,MASTER_SOURCE!$A$2:$A$495,0)),""))</f>
        <v/>
      </c>
      <c r="M1097" s="24" t="n"/>
      <c r="N1097" s="24" t="n"/>
      <c r="O1097" s="24" t="n"/>
      <c r="P1097" s="24" t="n"/>
      <c r="Q1097" s="22">
        <f>IF($D1097="","",IF(AND(OR(DANH_MUC!$L$5&lt;&gt;"Có",M1097="Có"),OR(DANH_MUC!$L$6&lt;&gt;"Có",N1097="Có"),OR(DANH_MUC!$L$7&lt;&gt;"Có",O1097="Có"),OR(DANH_MUC!$L$8&lt;&gt;"Có",P1097="Có")),"Có","Không"))</f>
        <v/>
      </c>
      <c r="R1097" s="22">
        <f>IF($D1097="","",IF(COUNTIF($D$2:$D1097,$D1097)&gt;1,"Trùng",""))</f>
        <v/>
      </c>
      <c r="S1097" s="22">
        <f>IF($D1097="","",IF(AND(LEN($D1097)=10,LEFT($D1097,1)="0",ISNUMBER(--$D1097)),"Có","Không"))</f>
        <v/>
      </c>
      <c r="T1097" s="22">
        <f>IF($D1097="","",IF(AND($C1097&lt;&gt;"",$Q1097="Có",$R1097="",$S1097="Có",AND($L1097&lt;&gt;"",OR($L1097&lt;&gt;"Chưa xác định",DANH_MUC!$L$9="Có"))),"Có","Không"))</f>
        <v/>
      </c>
      <c r="U1097" s="22">
        <f>IF(OR($D1097="",$T1097="Có"),"",IF($C1097="","Thiếu họ tên; ","")&amp;IF($S1097&lt;&gt;"Có","SĐT sai định dạng; ","")&amp;IF($R1097="Trùng","Trùng SĐT; ","")&amp;IF($Q1097&lt;&gt;"Có","Thiếu đồng ý bắt buộc; ","")&amp;IF($L1097="","Thiếu/sai Mã REF; ",IF(AND($L1097="Chưa xác định",DANH_MUC!$L$9&lt;&gt;"Có"),"Nguồn chưa xác định; ","")))</f>
        <v/>
      </c>
      <c r="V1097" s="22">
        <f>IF(OR($D1097="",$R1097="Trùng"),"",IF(COUNTIF(ORDERS!$C$2:$C$4995,$D1097)&gt;0,"Có","Không"))</f>
        <v/>
      </c>
      <c r="W1097" s="22">
        <f>IF(OR($D1097="",$R1097="Trùng"),"",COUNTIFS(ORDERS!$C$2:$C$4995,$D1097,ORDERS!$L$2:$L$4995,"Đã chuyển khoản"))</f>
        <v/>
      </c>
      <c r="X1097" s="23">
        <f>IF(OR($D1097="",$R1097="Trùng"),"",SUMIFS(ORDERS!$J$2:$J$4995,ORDERS!$C$2:$C$4995,$D1097,ORDERS!$L$2:$L$4995,"Đã chuyển khoản"))</f>
        <v/>
      </c>
      <c r="Y1097" s="24" t="n"/>
    </row>
    <row r="1098" ht="14.25" customHeight="1" s="40">
      <c r="A1098" s="24" t="n"/>
      <c r="B1098" s="27" t="n"/>
      <c r="C1098" s="24" t="n"/>
      <c r="D1098" s="28" t="n"/>
      <c r="E1098" s="29" t="n"/>
      <c r="F1098" s="24" t="n"/>
      <c r="G1098" s="24" t="n"/>
      <c r="H1098" s="21">
        <f>IF(ISNUMBER($B1098),INT($B1098)-WEEKDAY($B1098,2)+1,"")</f>
        <v/>
      </c>
      <c r="I1098" s="24" t="n"/>
      <c r="J1098" s="22">
        <f t="array" ref="J1098">IF($D1098="","",IF($I1098="","(trống REF)",IFERROR(INDEX(MASTER_SOURCE!$B$2:$B$495,MATCH($I1098,MASTER_SOURCE!$A$2:$A$495,0)),"(REF không có trong MASTER_SOURCE)")))</f>
        <v/>
      </c>
      <c r="K1098" s="22">
        <f t="array" ref="K1098">IF($D1098="","",IFERROR(INDEX(MASTER_SOURCE!$C$2:$C$495,MATCH($I1098,MASTER_SOURCE!$A$2:$A$495,0)),""))</f>
        <v/>
      </c>
      <c r="L1098" s="22">
        <f t="array" ref="L1098">IF($D1098="","",IFERROR(INDEX(MASTER_SOURCE!$D$2:$D$495,MATCH($I1098,MASTER_SOURCE!$A$2:$A$495,0)),""))</f>
        <v/>
      </c>
      <c r="M1098" s="24" t="n"/>
      <c r="N1098" s="24" t="n"/>
      <c r="O1098" s="24" t="n"/>
      <c r="P1098" s="24" t="n"/>
      <c r="Q1098" s="22">
        <f>IF($D1098="","",IF(AND(OR(DANH_MUC!$L$5&lt;&gt;"Có",M1098="Có"),OR(DANH_MUC!$L$6&lt;&gt;"Có",N1098="Có"),OR(DANH_MUC!$L$7&lt;&gt;"Có",O1098="Có"),OR(DANH_MUC!$L$8&lt;&gt;"Có",P1098="Có")),"Có","Không"))</f>
        <v/>
      </c>
      <c r="R1098" s="22">
        <f>IF($D1098="","",IF(COUNTIF($D$2:$D1098,$D1098)&gt;1,"Trùng",""))</f>
        <v/>
      </c>
      <c r="S1098" s="22">
        <f>IF($D1098="","",IF(AND(LEN($D1098)=10,LEFT($D1098,1)="0",ISNUMBER(--$D1098)),"Có","Không"))</f>
        <v/>
      </c>
      <c r="T1098" s="22">
        <f>IF($D1098="","",IF(AND($C1098&lt;&gt;"",$Q1098="Có",$R1098="",$S1098="Có",AND($L1098&lt;&gt;"",OR($L1098&lt;&gt;"Chưa xác định",DANH_MUC!$L$9="Có"))),"Có","Không"))</f>
        <v/>
      </c>
      <c r="U1098" s="22">
        <f>IF(OR($D1098="",$T1098="Có"),"",IF($C1098="","Thiếu họ tên; ","")&amp;IF($S1098&lt;&gt;"Có","SĐT sai định dạng; ","")&amp;IF($R1098="Trùng","Trùng SĐT; ","")&amp;IF($Q1098&lt;&gt;"Có","Thiếu đồng ý bắt buộc; ","")&amp;IF($L1098="","Thiếu/sai Mã REF; ",IF(AND($L1098="Chưa xác định",DANH_MUC!$L$9&lt;&gt;"Có"),"Nguồn chưa xác định; ","")))</f>
        <v/>
      </c>
      <c r="V1098" s="22">
        <f>IF(OR($D1098="",$R1098="Trùng"),"",IF(COUNTIF(ORDERS!$C$2:$C$4995,$D1098)&gt;0,"Có","Không"))</f>
        <v/>
      </c>
      <c r="W1098" s="22">
        <f>IF(OR($D1098="",$R1098="Trùng"),"",COUNTIFS(ORDERS!$C$2:$C$4995,$D1098,ORDERS!$L$2:$L$4995,"Đã chuyển khoản"))</f>
        <v/>
      </c>
      <c r="X1098" s="23">
        <f>IF(OR($D1098="",$R1098="Trùng"),"",SUMIFS(ORDERS!$J$2:$J$4995,ORDERS!$C$2:$C$4995,$D1098,ORDERS!$L$2:$L$4995,"Đã chuyển khoản"))</f>
        <v/>
      </c>
      <c r="Y1098" s="24" t="n"/>
    </row>
    <row r="1099" ht="14.25" customHeight="1" s="40">
      <c r="A1099" s="24" t="n"/>
      <c r="B1099" s="27" t="n"/>
      <c r="C1099" s="24" t="n"/>
      <c r="D1099" s="28" t="n"/>
      <c r="E1099" s="29" t="n"/>
      <c r="F1099" s="24" t="n"/>
      <c r="G1099" s="24" t="n"/>
      <c r="H1099" s="21">
        <f>IF(ISNUMBER($B1099),INT($B1099)-WEEKDAY($B1099,2)+1,"")</f>
        <v/>
      </c>
      <c r="I1099" s="24" t="n"/>
      <c r="J1099" s="22">
        <f t="array" ref="J1099">IF($D1099="","",IF($I1099="","(trống REF)",IFERROR(INDEX(MASTER_SOURCE!$B$2:$B$495,MATCH($I1099,MASTER_SOURCE!$A$2:$A$495,0)),"(REF không có trong MASTER_SOURCE)")))</f>
        <v/>
      </c>
      <c r="K1099" s="22">
        <f t="array" ref="K1099">IF($D1099="","",IFERROR(INDEX(MASTER_SOURCE!$C$2:$C$495,MATCH($I1099,MASTER_SOURCE!$A$2:$A$495,0)),""))</f>
        <v/>
      </c>
      <c r="L1099" s="22">
        <f t="array" ref="L1099">IF($D1099="","",IFERROR(INDEX(MASTER_SOURCE!$D$2:$D$495,MATCH($I1099,MASTER_SOURCE!$A$2:$A$495,0)),""))</f>
        <v/>
      </c>
      <c r="M1099" s="24" t="n"/>
      <c r="N1099" s="24" t="n"/>
      <c r="O1099" s="24" t="n"/>
      <c r="P1099" s="24" t="n"/>
      <c r="Q1099" s="22">
        <f>IF($D1099="","",IF(AND(OR(DANH_MUC!$L$5&lt;&gt;"Có",M1099="Có"),OR(DANH_MUC!$L$6&lt;&gt;"Có",N1099="Có"),OR(DANH_MUC!$L$7&lt;&gt;"Có",O1099="Có"),OR(DANH_MUC!$L$8&lt;&gt;"Có",P1099="Có")),"Có","Không"))</f>
        <v/>
      </c>
      <c r="R1099" s="22">
        <f>IF($D1099="","",IF(COUNTIF($D$2:$D1099,$D1099)&gt;1,"Trùng",""))</f>
        <v/>
      </c>
      <c r="S1099" s="22">
        <f>IF($D1099="","",IF(AND(LEN($D1099)=10,LEFT($D1099,1)="0",ISNUMBER(--$D1099)),"Có","Không"))</f>
        <v/>
      </c>
      <c r="T1099" s="22">
        <f>IF($D1099="","",IF(AND($C1099&lt;&gt;"",$Q1099="Có",$R1099="",$S1099="Có",AND($L1099&lt;&gt;"",OR($L1099&lt;&gt;"Chưa xác định",DANH_MUC!$L$9="Có"))),"Có","Không"))</f>
        <v/>
      </c>
      <c r="U1099" s="22">
        <f>IF(OR($D1099="",$T1099="Có"),"",IF($C1099="","Thiếu họ tên; ","")&amp;IF($S1099&lt;&gt;"Có","SĐT sai định dạng; ","")&amp;IF($R1099="Trùng","Trùng SĐT; ","")&amp;IF($Q1099&lt;&gt;"Có","Thiếu đồng ý bắt buộc; ","")&amp;IF($L1099="","Thiếu/sai Mã REF; ",IF(AND($L1099="Chưa xác định",DANH_MUC!$L$9&lt;&gt;"Có"),"Nguồn chưa xác định; ","")))</f>
        <v/>
      </c>
      <c r="V1099" s="22">
        <f>IF(OR($D1099="",$R1099="Trùng"),"",IF(COUNTIF(ORDERS!$C$2:$C$4995,$D1099)&gt;0,"Có","Không"))</f>
        <v/>
      </c>
      <c r="W1099" s="22">
        <f>IF(OR($D1099="",$R1099="Trùng"),"",COUNTIFS(ORDERS!$C$2:$C$4995,$D1099,ORDERS!$L$2:$L$4995,"Đã chuyển khoản"))</f>
        <v/>
      </c>
      <c r="X1099" s="23">
        <f>IF(OR($D1099="",$R1099="Trùng"),"",SUMIFS(ORDERS!$J$2:$J$4995,ORDERS!$C$2:$C$4995,$D1099,ORDERS!$L$2:$L$4995,"Đã chuyển khoản"))</f>
        <v/>
      </c>
      <c r="Y1099" s="24" t="n"/>
    </row>
    <row r="1100" ht="14.25" customHeight="1" s="40">
      <c r="A1100" s="24" t="n"/>
      <c r="B1100" s="27" t="n"/>
      <c r="C1100" s="24" t="n"/>
      <c r="D1100" s="28" t="n"/>
      <c r="E1100" s="29" t="n"/>
      <c r="F1100" s="24" t="n"/>
      <c r="G1100" s="24" t="n"/>
      <c r="H1100" s="21">
        <f>IF(ISNUMBER($B1100),INT($B1100)-WEEKDAY($B1100,2)+1,"")</f>
        <v/>
      </c>
      <c r="I1100" s="24" t="n"/>
      <c r="J1100" s="22">
        <f t="array" ref="J1100">IF($D1100="","",IF($I1100="","(trống REF)",IFERROR(INDEX(MASTER_SOURCE!$B$2:$B$495,MATCH($I1100,MASTER_SOURCE!$A$2:$A$495,0)),"(REF không có trong MASTER_SOURCE)")))</f>
        <v/>
      </c>
      <c r="K1100" s="22">
        <f t="array" ref="K1100">IF($D1100="","",IFERROR(INDEX(MASTER_SOURCE!$C$2:$C$495,MATCH($I1100,MASTER_SOURCE!$A$2:$A$495,0)),""))</f>
        <v/>
      </c>
      <c r="L1100" s="22">
        <f t="array" ref="L1100">IF($D1100="","",IFERROR(INDEX(MASTER_SOURCE!$D$2:$D$495,MATCH($I1100,MASTER_SOURCE!$A$2:$A$495,0)),""))</f>
        <v/>
      </c>
      <c r="M1100" s="24" t="n"/>
      <c r="N1100" s="24" t="n"/>
      <c r="O1100" s="24" t="n"/>
      <c r="P1100" s="24" t="n"/>
      <c r="Q1100" s="22">
        <f>IF($D1100="","",IF(AND(OR(DANH_MUC!$L$5&lt;&gt;"Có",M1100="Có"),OR(DANH_MUC!$L$6&lt;&gt;"Có",N1100="Có"),OR(DANH_MUC!$L$7&lt;&gt;"Có",O1100="Có"),OR(DANH_MUC!$L$8&lt;&gt;"Có",P1100="Có")),"Có","Không"))</f>
        <v/>
      </c>
      <c r="R1100" s="22">
        <f>IF($D1100="","",IF(COUNTIF($D$2:$D1100,$D1100)&gt;1,"Trùng",""))</f>
        <v/>
      </c>
      <c r="S1100" s="22">
        <f>IF($D1100="","",IF(AND(LEN($D1100)=10,LEFT($D1100,1)="0",ISNUMBER(--$D1100)),"Có","Không"))</f>
        <v/>
      </c>
      <c r="T1100" s="22">
        <f>IF($D1100="","",IF(AND($C1100&lt;&gt;"",$Q1100="Có",$R1100="",$S1100="Có",AND($L1100&lt;&gt;"",OR($L1100&lt;&gt;"Chưa xác định",DANH_MUC!$L$9="Có"))),"Có","Không"))</f>
        <v/>
      </c>
      <c r="U1100" s="22">
        <f>IF(OR($D1100="",$T1100="Có"),"",IF($C1100="","Thiếu họ tên; ","")&amp;IF($S1100&lt;&gt;"Có","SĐT sai định dạng; ","")&amp;IF($R1100="Trùng","Trùng SĐT; ","")&amp;IF($Q1100&lt;&gt;"Có","Thiếu đồng ý bắt buộc; ","")&amp;IF($L1100="","Thiếu/sai Mã REF; ",IF(AND($L1100="Chưa xác định",DANH_MUC!$L$9&lt;&gt;"Có"),"Nguồn chưa xác định; ","")))</f>
        <v/>
      </c>
      <c r="V1100" s="22">
        <f>IF(OR($D1100="",$R1100="Trùng"),"",IF(COUNTIF(ORDERS!$C$2:$C$4995,$D1100)&gt;0,"Có","Không"))</f>
        <v/>
      </c>
      <c r="W1100" s="22">
        <f>IF(OR($D1100="",$R1100="Trùng"),"",COUNTIFS(ORDERS!$C$2:$C$4995,$D1100,ORDERS!$L$2:$L$4995,"Đã chuyển khoản"))</f>
        <v/>
      </c>
      <c r="X1100" s="23">
        <f>IF(OR($D1100="",$R1100="Trùng"),"",SUMIFS(ORDERS!$J$2:$J$4995,ORDERS!$C$2:$C$4995,$D1100,ORDERS!$L$2:$L$4995,"Đã chuyển khoản"))</f>
        <v/>
      </c>
      <c r="Y1100" s="24" t="n"/>
    </row>
    <row r="1101" ht="14.25" customHeight="1" s="40">
      <c r="A1101" s="24" t="n"/>
      <c r="B1101" s="27" t="n"/>
      <c r="C1101" s="24" t="n"/>
      <c r="D1101" s="28" t="n"/>
      <c r="E1101" s="29" t="n"/>
      <c r="F1101" s="24" t="n"/>
      <c r="G1101" s="24" t="n"/>
      <c r="H1101" s="21">
        <f>IF(ISNUMBER($B1101),INT($B1101)-WEEKDAY($B1101,2)+1,"")</f>
        <v/>
      </c>
      <c r="I1101" s="24" t="n"/>
      <c r="J1101" s="22">
        <f t="array" ref="J1101">IF($D1101="","",IF($I1101="","(trống REF)",IFERROR(INDEX(MASTER_SOURCE!$B$2:$B$495,MATCH($I1101,MASTER_SOURCE!$A$2:$A$495,0)),"(REF không có trong MASTER_SOURCE)")))</f>
        <v/>
      </c>
      <c r="K1101" s="22">
        <f t="array" ref="K1101">IF($D1101="","",IFERROR(INDEX(MASTER_SOURCE!$C$2:$C$495,MATCH($I1101,MASTER_SOURCE!$A$2:$A$495,0)),""))</f>
        <v/>
      </c>
      <c r="L1101" s="22">
        <f t="array" ref="L1101">IF($D1101="","",IFERROR(INDEX(MASTER_SOURCE!$D$2:$D$495,MATCH($I1101,MASTER_SOURCE!$A$2:$A$495,0)),""))</f>
        <v/>
      </c>
      <c r="M1101" s="24" t="n"/>
      <c r="N1101" s="24" t="n"/>
      <c r="O1101" s="24" t="n"/>
      <c r="P1101" s="24" t="n"/>
      <c r="Q1101" s="22">
        <f>IF($D1101="","",IF(AND(OR(DANH_MUC!$L$5&lt;&gt;"Có",M1101="Có"),OR(DANH_MUC!$L$6&lt;&gt;"Có",N1101="Có"),OR(DANH_MUC!$L$7&lt;&gt;"Có",O1101="Có"),OR(DANH_MUC!$L$8&lt;&gt;"Có",P1101="Có")),"Có","Không"))</f>
        <v/>
      </c>
      <c r="R1101" s="22">
        <f>IF($D1101="","",IF(COUNTIF($D$2:$D1101,$D1101)&gt;1,"Trùng",""))</f>
        <v/>
      </c>
      <c r="S1101" s="22">
        <f>IF($D1101="","",IF(AND(LEN($D1101)=10,LEFT($D1101,1)="0",ISNUMBER(--$D1101)),"Có","Không"))</f>
        <v/>
      </c>
      <c r="T1101" s="22">
        <f>IF($D1101="","",IF(AND($C1101&lt;&gt;"",$Q1101="Có",$R1101="",$S1101="Có",AND($L1101&lt;&gt;"",OR($L1101&lt;&gt;"Chưa xác định",DANH_MUC!$L$9="Có"))),"Có","Không"))</f>
        <v/>
      </c>
      <c r="U1101" s="22">
        <f>IF(OR($D1101="",$T1101="Có"),"",IF($C1101="","Thiếu họ tên; ","")&amp;IF($S1101&lt;&gt;"Có","SĐT sai định dạng; ","")&amp;IF($R1101="Trùng","Trùng SĐT; ","")&amp;IF($Q1101&lt;&gt;"Có","Thiếu đồng ý bắt buộc; ","")&amp;IF($L1101="","Thiếu/sai Mã REF; ",IF(AND($L1101="Chưa xác định",DANH_MUC!$L$9&lt;&gt;"Có"),"Nguồn chưa xác định; ","")))</f>
        <v/>
      </c>
      <c r="V1101" s="22">
        <f>IF(OR($D1101="",$R1101="Trùng"),"",IF(COUNTIF(ORDERS!$C$2:$C$4995,$D1101)&gt;0,"Có","Không"))</f>
        <v/>
      </c>
      <c r="W1101" s="22">
        <f>IF(OR($D1101="",$R1101="Trùng"),"",COUNTIFS(ORDERS!$C$2:$C$4995,$D1101,ORDERS!$L$2:$L$4995,"Đã chuyển khoản"))</f>
        <v/>
      </c>
      <c r="X1101" s="23">
        <f>IF(OR($D1101="",$R1101="Trùng"),"",SUMIFS(ORDERS!$J$2:$J$4995,ORDERS!$C$2:$C$4995,$D1101,ORDERS!$L$2:$L$4995,"Đã chuyển khoản"))</f>
        <v/>
      </c>
      <c r="Y1101" s="24" t="n"/>
    </row>
    <row r="1102" ht="14.25" customHeight="1" s="40">
      <c r="A1102" s="24" t="n"/>
      <c r="B1102" s="27" t="n"/>
      <c r="C1102" s="24" t="n"/>
      <c r="D1102" s="28" t="n"/>
      <c r="E1102" s="29" t="n"/>
      <c r="F1102" s="24" t="n"/>
      <c r="G1102" s="24" t="n"/>
      <c r="H1102" s="21">
        <f>IF(ISNUMBER($B1102),INT($B1102)-WEEKDAY($B1102,2)+1,"")</f>
        <v/>
      </c>
      <c r="I1102" s="24" t="n"/>
      <c r="J1102" s="22">
        <f t="array" ref="J1102">IF($D1102="","",IF($I1102="","(trống REF)",IFERROR(INDEX(MASTER_SOURCE!$B$2:$B$495,MATCH($I1102,MASTER_SOURCE!$A$2:$A$495,0)),"(REF không có trong MASTER_SOURCE)")))</f>
        <v/>
      </c>
      <c r="K1102" s="22">
        <f t="array" ref="K1102">IF($D1102="","",IFERROR(INDEX(MASTER_SOURCE!$C$2:$C$495,MATCH($I1102,MASTER_SOURCE!$A$2:$A$495,0)),""))</f>
        <v/>
      </c>
      <c r="L1102" s="22">
        <f t="array" ref="L1102">IF($D1102="","",IFERROR(INDEX(MASTER_SOURCE!$D$2:$D$495,MATCH($I1102,MASTER_SOURCE!$A$2:$A$495,0)),""))</f>
        <v/>
      </c>
      <c r="M1102" s="24" t="n"/>
      <c r="N1102" s="24" t="n"/>
      <c r="O1102" s="24" t="n"/>
      <c r="P1102" s="24" t="n"/>
      <c r="Q1102" s="22">
        <f>IF($D1102="","",IF(AND(OR(DANH_MUC!$L$5&lt;&gt;"Có",M1102="Có"),OR(DANH_MUC!$L$6&lt;&gt;"Có",N1102="Có"),OR(DANH_MUC!$L$7&lt;&gt;"Có",O1102="Có"),OR(DANH_MUC!$L$8&lt;&gt;"Có",P1102="Có")),"Có","Không"))</f>
        <v/>
      </c>
      <c r="R1102" s="22">
        <f>IF($D1102="","",IF(COUNTIF($D$2:$D1102,$D1102)&gt;1,"Trùng",""))</f>
        <v/>
      </c>
      <c r="S1102" s="22">
        <f>IF($D1102="","",IF(AND(LEN($D1102)=10,LEFT($D1102,1)="0",ISNUMBER(--$D1102)),"Có","Không"))</f>
        <v/>
      </c>
      <c r="T1102" s="22">
        <f>IF($D1102="","",IF(AND($C1102&lt;&gt;"",$Q1102="Có",$R1102="",$S1102="Có",AND($L1102&lt;&gt;"",OR($L1102&lt;&gt;"Chưa xác định",DANH_MUC!$L$9="Có"))),"Có","Không"))</f>
        <v/>
      </c>
      <c r="U1102" s="22">
        <f>IF(OR($D1102="",$T1102="Có"),"",IF($C1102="","Thiếu họ tên; ","")&amp;IF($S1102&lt;&gt;"Có","SĐT sai định dạng; ","")&amp;IF($R1102="Trùng","Trùng SĐT; ","")&amp;IF($Q1102&lt;&gt;"Có","Thiếu đồng ý bắt buộc; ","")&amp;IF($L1102="","Thiếu/sai Mã REF; ",IF(AND($L1102="Chưa xác định",DANH_MUC!$L$9&lt;&gt;"Có"),"Nguồn chưa xác định; ","")))</f>
        <v/>
      </c>
      <c r="V1102" s="22">
        <f>IF(OR($D1102="",$R1102="Trùng"),"",IF(COUNTIF(ORDERS!$C$2:$C$4995,$D1102)&gt;0,"Có","Không"))</f>
        <v/>
      </c>
      <c r="W1102" s="22">
        <f>IF(OR($D1102="",$R1102="Trùng"),"",COUNTIFS(ORDERS!$C$2:$C$4995,$D1102,ORDERS!$L$2:$L$4995,"Đã chuyển khoản"))</f>
        <v/>
      </c>
      <c r="X1102" s="23">
        <f>IF(OR($D1102="",$R1102="Trùng"),"",SUMIFS(ORDERS!$J$2:$J$4995,ORDERS!$C$2:$C$4995,$D1102,ORDERS!$L$2:$L$4995,"Đã chuyển khoản"))</f>
        <v/>
      </c>
      <c r="Y1102" s="24" t="n"/>
    </row>
    <row r="1103" ht="14.25" customHeight="1" s="40">
      <c r="A1103" s="24" t="n"/>
      <c r="B1103" s="27" t="n"/>
      <c r="C1103" s="24" t="n"/>
      <c r="D1103" s="28" t="n"/>
      <c r="E1103" s="29" t="n"/>
      <c r="F1103" s="24" t="n"/>
      <c r="G1103" s="24" t="n"/>
      <c r="H1103" s="21">
        <f>IF(ISNUMBER($B1103),INT($B1103)-WEEKDAY($B1103,2)+1,"")</f>
        <v/>
      </c>
      <c r="I1103" s="24" t="n"/>
      <c r="J1103" s="22">
        <f t="array" ref="J1103">IF($D1103="","",IF($I1103="","(trống REF)",IFERROR(INDEX(MASTER_SOURCE!$B$2:$B$495,MATCH($I1103,MASTER_SOURCE!$A$2:$A$495,0)),"(REF không có trong MASTER_SOURCE)")))</f>
        <v/>
      </c>
      <c r="K1103" s="22">
        <f t="array" ref="K1103">IF($D1103="","",IFERROR(INDEX(MASTER_SOURCE!$C$2:$C$495,MATCH($I1103,MASTER_SOURCE!$A$2:$A$495,0)),""))</f>
        <v/>
      </c>
      <c r="L1103" s="22">
        <f t="array" ref="L1103">IF($D1103="","",IFERROR(INDEX(MASTER_SOURCE!$D$2:$D$495,MATCH($I1103,MASTER_SOURCE!$A$2:$A$495,0)),""))</f>
        <v/>
      </c>
      <c r="M1103" s="24" t="n"/>
      <c r="N1103" s="24" t="n"/>
      <c r="O1103" s="24" t="n"/>
      <c r="P1103" s="24" t="n"/>
      <c r="Q1103" s="22">
        <f>IF($D1103="","",IF(AND(OR(DANH_MUC!$L$5&lt;&gt;"Có",M1103="Có"),OR(DANH_MUC!$L$6&lt;&gt;"Có",N1103="Có"),OR(DANH_MUC!$L$7&lt;&gt;"Có",O1103="Có"),OR(DANH_MUC!$L$8&lt;&gt;"Có",P1103="Có")),"Có","Không"))</f>
        <v/>
      </c>
      <c r="R1103" s="22">
        <f>IF($D1103="","",IF(COUNTIF($D$2:$D1103,$D1103)&gt;1,"Trùng",""))</f>
        <v/>
      </c>
      <c r="S1103" s="22">
        <f>IF($D1103="","",IF(AND(LEN($D1103)=10,LEFT($D1103,1)="0",ISNUMBER(--$D1103)),"Có","Không"))</f>
        <v/>
      </c>
      <c r="T1103" s="22">
        <f>IF($D1103="","",IF(AND($C1103&lt;&gt;"",$Q1103="Có",$R1103="",$S1103="Có",AND($L1103&lt;&gt;"",OR($L1103&lt;&gt;"Chưa xác định",DANH_MUC!$L$9="Có"))),"Có","Không"))</f>
        <v/>
      </c>
      <c r="U1103" s="22">
        <f>IF(OR($D1103="",$T1103="Có"),"",IF($C1103="","Thiếu họ tên; ","")&amp;IF($S1103&lt;&gt;"Có","SĐT sai định dạng; ","")&amp;IF($R1103="Trùng","Trùng SĐT; ","")&amp;IF($Q1103&lt;&gt;"Có","Thiếu đồng ý bắt buộc; ","")&amp;IF($L1103="","Thiếu/sai Mã REF; ",IF(AND($L1103="Chưa xác định",DANH_MUC!$L$9&lt;&gt;"Có"),"Nguồn chưa xác định; ","")))</f>
        <v/>
      </c>
      <c r="V1103" s="22">
        <f>IF(OR($D1103="",$R1103="Trùng"),"",IF(COUNTIF(ORDERS!$C$2:$C$4995,$D1103)&gt;0,"Có","Không"))</f>
        <v/>
      </c>
      <c r="W1103" s="22">
        <f>IF(OR($D1103="",$R1103="Trùng"),"",COUNTIFS(ORDERS!$C$2:$C$4995,$D1103,ORDERS!$L$2:$L$4995,"Đã chuyển khoản"))</f>
        <v/>
      </c>
      <c r="X1103" s="23">
        <f>IF(OR($D1103="",$R1103="Trùng"),"",SUMIFS(ORDERS!$J$2:$J$4995,ORDERS!$C$2:$C$4995,$D1103,ORDERS!$L$2:$L$4995,"Đã chuyển khoản"))</f>
        <v/>
      </c>
      <c r="Y1103" s="24" t="n"/>
    </row>
    <row r="1104" ht="14.25" customHeight="1" s="40">
      <c r="A1104" s="24" t="n"/>
      <c r="B1104" s="27" t="n"/>
      <c r="C1104" s="24" t="n"/>
      <c r="D1104" s="28" t="n"/>
      <c r="E1104" s="29" t="n"/>
      <c r="F1104" s="24" t="n"/>
      <c r="G1104" s="24" t="n"/>
      <c r="H1104" s="21">
        <f>IF(ISNUMBER($B1104),INT($B1104)-WEEKDAY($B1104,2)+1,"")</f>
        <v/>
      </c>
      <c r="I1104" s="24" t="n"/>
      <c r="J1104" s="22">
        <f t="array" ref="J1104">IF($D1104="","",IF($I1104="","(trống REF)",IFERROR(INDEX(MASTER_SOURCE!$B$2:$B$495,MATCH($I1104,MASTER_SOURCE!$A$2:$A$495,0)),"(REF không có trong MASTER_SOURCE)")))</f>
        <v/>
      </c>
      <c r="K1104" s="22">
        <f t="array" ref="K1104">IF($D1104="","",IFERROR(INDEX(MASTER_SOURCE!$C$2:$C$495,MATCH($I1104,MASTER_SOURCE!$A$2:$A$495,0)),""))</f>
        <v/>
      </c>
      <c r="L1104" s="22">
        <f t="array" ref="L1104">IF($D1104="","",IFERROR(INDEX(MASTER_SOURCE!$D$2:$D$495,MATCH($I1104,MASTER_SOURCE!$A$2:$A$495,0)),""))</f>
        <v/>
      </c>
      <c r="M1104" s="24" t="n"/>
      <c r="N1104" s="24" t="n"/>
      <c r="O1104" s="24" t="n"/>
      <c r="P1104" s="24" t="n"/>
      <c r="Q1104" s="22">
        <f>IF($D1104="","",IF(AND(OR(DANH_MUC!$L$5&lt;&gt;"Có",M1104="Có"),OR(DANH_MUC!$L$6&lt;&gt;"Có",N1104="Có"),OR(DANH_MUC!$L$7&lt;&gt;"Có",O1104="Có"),OR(DANH_MUC!$L$8&lt;&gt;"Có",P1104="Có")),"Có","Không"))</f>
        <v/>
      </c>
      <c r="R1104" s="22">
        <f>IF($D1104="","",IF(COUNTIF($D$2:$D1104,$D1104)&gt;1,"Trùng",""))</f>
        <v/>
      </c>
      <c r="S1104" s="22">
        <f>IF($D1104="","",IF(AND(LEN($D1104)=10,LEFT($D1104,1)="0",ISNUMBER(--$D1104)),"Có","Không"))</f>
        <v/>
      </c>
      <c r="T1104" s="22">
        <f>IF($D1104="","",IF(AND($C1104&lt;&gt;"",$Q1104="Có",$R1104="",$S1104="Có",AND($L1104&lt;&gt;"",OR($L1104&lt;&gt;"Chưa xác định",DANH_MUC!$L$9="Có"))),"Có","Không"))</f>
        <v/>
      </c>
      <c r="U1104" s="22">
        <f>IF(OR($D1104="",$T1104="Có"),"",IF($C1104="","Thiếu họ tên; ","")&amp;IF($S1104&lt;&gt;"Có","SĐT sai định dạng; ","")&amp;IF($R1104="Trùng","Trùng SĐT; ","")&amp;IF($Q1104&lt;&gt;"Có","Thiếu đồng ý bắt buộc; ","")&amp;IF($L1104="","Thiếu/sai Mã REF; ",IF(AND($L1104="Chưa xác định",DANH_MUC!$L$9&lt;&gt;"Có"),"Nguồn chưa xác định; ","")))</f>
        <v/>
      </c>
      <c r="V1104" s="22">
        <f>IF(OR($D1104="",$R1104="Trùng"),"",IF(COUNTIF(ORDERS!$C$2:$C$4995,$D1104)&gt;0,"Có","Không"))</f>
        <v/>
      </c>
      <c r="W1104" s="22">
        <f>IF(OR($D1104="",$R1104="Trùng"),"",COUNTIFS(ORDERS!$C$2:$C$4995,$D1104,ORDERS!$L$2:$L$4995,"Đã chuyển khoản"))</f>
        <v/>
      </c>
      <c r="X1104" s="23">
        <f>IF(OR($D1104="",$R1104="Trùng"),"",SUMIFS(ORDERS!$J$2:$J$4995,ORDERS!$C$2:$C$4995,$D1104,ORDERS!$L$2:$L$4995,"Đã chuyển khoản"))</f>
        <v/>
      </c>
      <c r="Y1104" s="24" t="n"/>
    </row>
    <row r="1105" ht="14.25" customHeight="1" s="40">
      <c r="A1105" s="24" t="n"/>
      <c r="B1105" s="27" t="n"/>
      <c r="C1105" s="24" t="n"/>
      <c r="D1105" s="28" t="n"/>
      <c r="E1105" s="29" t="n"/>
      <c r="F1105" s="24" t="n"/>
      <c r="G1105" s="24" t="n"/>
      <c r="H1105" s="21">
        <f>IF(ISNUMBER($B1105),INT($B1105)-WEEKDAY($B1105,2)+1,"")</f>
        <v/>
      </c>
      <c r="I1105" s="24" t="n"/>
      <c r="J1105" s="22">
        <f t="array" ref="J1105">IF($D1105="","",IF($I1105="","(trống REF)",IFERROR(INDEX(MASTER_SOURCE!$B$2:$B$495,MATCH($I1105,MASTER_SOURCE!$A$2:$A$495,0)),"(REF không có trong MASTER_SOURCE)")))</f>
        <v/>
      </c>
      <c r="K1105" s="22">
        <f t="array" ref="K1105">IF($D1105="","",IFERROR(INDEX(MASTER_SOURCE!$C$2:$C$495,MATCH($I1105,MASTER_SOURCE!$A$2:$A$495,0)),""))</f>
        <v/>
      </c>
      <c r="L1105" s="22">
        <f t="array" ref="L1105">IF($D1105="","",IFERROR(INDEX(MASTER_SOURCE!$D$2:$D$495,MATCH($I1105,MASTER_SOURCE!$A$2:$A$495,0)),""))</f>
        <v/>
      </c>
      <c r="M1105" s="24" t="n"/>
      <c r="N1105" s="24" t="n"/>
      <c r="O1105" s="24" t="n"/>
      <c r="P1105" s="24" t="n"/>
      <c r="Q1105" s="22">
        <f>IF($D1105="","",IF(AND(OR(DANH_MUC!$L$5&lt;&gt;"Có",M1105="Có"),OR(DANH_MUC!$L$6&lt;&gt;"Có",N1105="Có"),OR(DANH_MUC!$L$7&lt;&gt;"Có",O1105="Có"),OR(DANH_MUC!$L$8&lt;&gt;"Có",P1105="Có")),"Có","Không"))</f>
        <v/>
      </c>
      <c r="R1105" s="22">
        <f>IF($D1105="","",IF(COUNTIF($D$2:$D1105,$D1105)&gt;1,"Trùng",""))</f>
        <v/>
      </c>
      <c r="S1105" s="22">
        <f>IF($D1105="","",IF(AND(LEN($D1105)=10,LEFT($D1105,1)="0",ISNUMBER(--$D1105)),"Có","Không"))</f>
        <v/>
      </c>
      <c r="T1105" s="22">
        <f>IF($D1105="","",IF(AND($C1105&lt;&gt;"",$Q1105="Có",$R1105="",$S1105="Có",AND($L1105&lt;&gt;"",OR($L1105&lt;&gt;"Chưa xác định",DANH_MUC!$L$9="Có"))),"Có","Không"))</f>
        <v/>
      </c>
      <c r="U1105" s="22">
        <f>IF(OR($D1105="",$T1105="Có"),"",IF($C1105="","Thiếu họ tên; ","")&amp;IF($S1105&lt;&gt;"Có","SĐT sai định dạng; ","")&amp;IF($R1105="Trùng","Trùng SĐT; ","")&amp;IF($Q1105&lt;&gt;"Có","Thiếu đồng ý bắt buộc; ","")&amp;IF($L1105="","Thiếu/sai Mã REF; ",IF(AND($L1105="Chưa xác định",DANH_MUC!$L$9&lt;&gt;"Có"),"Nguồn chưa xác định; ","")))</f>
        <v/>
      </c>
      <c r="V1105" s="22">
        <f>IF(OR($D1105="",$R1105="Trùng"),"",IF(COUNTIF(ORDERS!$C$2:$C$4995,$D1105)&gt;0,"Có","Không"))</f>
        <v/>
      </c>
      <c r="W1105" s="22">
        <f>IF(OR($D1105="",$R1105="Trùng"),"",COUNTIFS(ORDERS!$C$2:$C$4995,$D1105,ORDERS!$L$2:$L$4995,"Đã chuyển khoản"))</f>
        <v/>
      </c>
      <c r="X1105" s="23">
        <f>IF(OR($D1105="",$R1105="Trùng"),"",SUMIFS(ORDERS!$J$2:$J$4995,ORDERS!$C$2:$C$4995,$D1105,ORDERS!$L$2:$L$4995,"Đã chuyển khoản"))</f>
        <v/>
      </c>
      <c r="Y1105" s="24" t="n"/>
    </row>
    <row r="1106" ht="14.25" customHeight="1" s="40">
      <c r="A1106" s="24" t="n"/>
      <c r="B1106" s="27" t="n"/>
      <c r="C1106" s="24" t="n"/>
      <c r="D1106" s="28" t="n"/>
      <c r="E1106" s="29" t="n"/>
      <c r="F1106" s="24" t="n"/>
      <c r="G1106" s="24" t="n"/>
      <c r="H1106" s="21">
        <f>IF(ISNUMBER($B1106),INT($B1106)-WEEKDAY($B1106,2)+1,"")</f>
        <v/>
      </c>
      <c r="I1106" s="24" t="n"/>
      <c r="J1106" s="22">
        <f t="array" ref="J1106">IF($D1106="","",IF($I1106="","(trống REF)",IFERROR(INDEX(MASTER_SOURCE!$B$2:$B$495,MATCH($I1106,MASTER_SOURCE!$A$2:$A$495,0)),"(REF không có trong MASTER_SOURCE)")))</f>
        <v/>
      </c>
      <c r="K1106" s="22">
        <f t="array" ref="K1106">IF($D1106="","",IFERROR(INDEX(MASTER_SOURCE!$C$2:$C$495,MATCH($I1106,MASTER_SOURCE!$A$2:$A$495,0)),""))</f>
        <v/>
      </c>
      <c r="L1106" s="22">
        <f t="array" ref="L1106">IF($D1106="","",IFERROR(INDEX(MASTER_SOURCE!$D$2:$D$495,MATCH($I1106,MASTER_SOURCE!$A$2:$A$495,0)),""))</f>
        <v/>
      </c>
      <c r="M1106" s="24" t="n"/>
      <c r="N1106" s="24" t="n"/>
      <c r="O1106" s="24" t="n"/>
      <c r="P1106" s="24" t="n"/>
      <c r="Q1106" s="22">
        <f>IF($D1106="","",IF(AND(OR(DANH_MUC!$L$5&lt;&gt;"Có",M1106="Có"),OR(DANH_MUC!$L$6&lt;&gt;"Có",N1106="Có"),OR(DANH_MUC!$L$7&lt;&gt;"Có",O1106="Có"),OR(DANH_MUC!$L$8&lt;&gt;"Có",P1106="Có")),"Có","Không"))</f>
        <v/>
      </c>
      <c r="R1106" s="22">
        <f>IF($D1106="","",IF(COUNTIF($D$2:$D1106,$D1106)&gt;1,"Trùng",""))</f>
        <v/>
      </c>
      <c r="S1106" s="22">
        <f>IF($D1106="","",IF(AND(LEN($D1106)=10,LEFT($D1106,1)="0",ISNUMBER(--$D1106)),"Có","Không"))</f>
        <v/>
      </c>
      <c r="T1106" s="22">
        <f>IF($D1106="","",IF(AND($C1106&lt;&gt;"",$Q1106="Có",$R1106="",$S1106="Có",AND($L1106&lt;&gt;"",OR($L1106&lt;&gt;"Chưa xác định",DANH_MUC!$L$9="Có"))),"Có","Không"))</f>
        <v/>
      </c>
      <c r="U1106" s="22">
        <f>IF(OR($D1106="",$T1106="Có"),"",IF($C1106="","Thiếu họ tên; ","")&amp;IF($S1106&lt;&gt;"Có","SĐT sai định dạng; ","")&amp;IF($R1106="Trùng","Trùng SĐT; ","")&amp;IF($Q1106&lt;&gt;"Có","Thiếu đồng ý bắt buộc; ","")&amp;IF($L1106="","Thiếu/sai Mã REF; ",IF(AND($L1106="Chưa xác định",DANH_MUC!$L$9&lt;&gt;"Có"),"Nguồn chưa xác định; ","")))</f>
        <v/>
      </c>
      <c r="V1106" s="22">
        <f>IF(OR($D1106="",$R1106="Trùng"),"",IF(COUNTIF(ORDERS!$C$2:$C$4995,$D1106)&gt;0,"Có","Không"))</f>
        <v/>
      </c>
      <c r="W1106" s="22">
        <f>IF(OR($D1106="",$R1106="Trùng"),"",COUNTIFS(ORDERS!$C$2:$C$4995,$D1106,ORDERS!$L$2:$L$4995,"Đã chuyển khoản"))</f>
        <v/>
      </c>
      <c r="X1106" s="23">
        <f>IF(OR($D1106="",$R1106="Trùng"),"",SUMIFS(ORDERS!$J$2:$J$4995,ORDERS!$C$2:$C$4995,$D1106,ORDERS!$L$2:$L$4995,"Đã chuyển khoản"))</f>
        <v/>
      </c>
      <c r="Y1106" s="24" t="n"/>
    </row>
    <row r="1107" ht="14.25" customHeight="1" s="40">
      <c r="A1107" s="24" t="n"/>
      <c r="B1107" s="27" t="n"/>
      <c r="C1107" s="24" t="n"/>
      <c r="D1107" s="28" t="n"/>
      <c r="E1107" s="29" t="n"/>
      <c r="F1107" s="24" t="n"/>
      <c r="G1107" s="24" t="n"/>
      <c r="H1107" s="21">
        <f>IF(ISNUMBER($B1107),INT($B1107)-WEEKDAY($B1107,2)+1,"")</f>
        <v/>
      </c>
      <c r="I1107" s="24" t="n"/>
      <c r="J1107" s="22">
        <f t="array" ref="J1107">IF($D1107="","",IF($I1107="","(trống REF)",IFERROR(INDEX(MASTER_SOURCE!$B$2:$B$495,MATCH($I1107,MASTER_SOURCE!$A$2:$A$495,0)),"(REF không có trong MASTER_SOURCE)")))</f>
        <v/>
      </c>
      <c r="K1107" s="22">
        <f t="array" ref="K1107">IF($D1107="","",IFERROR(INDEX(MASTER_SOURCE!$C$2:$C$495,MATCH($I1107,MASTER_SOURCE!$A$2:$A$495,0)),""))</f>
        <v/>
      </c>
      <c r="L1107" s="22">
        <f t="array" ref="L1107">IF($D1107="","",IFERROR(INDEX(MASTER_SOURCE!$D$2:$D$495,MATCH($I1107,MASTER_SOURCE!$A$2:$A$495,0)),""))</f>
        <v/>
      </c>
      <c r="M1107" s="24" t="n"/>
      <c r="N1107" s="24" t="n"/>
      <c r="O1107" s="24" t="n"/>
      <c r="P1107" s="24" t="n"/>
      <c r="Q1107" s="22">
        <f>IF($D1107="","",IF(AND(OR(DANH_MUC!$L$5&lt;&gt;"Có",M1107="Có"),OR(DANH_MUC!$L$6&lt;&gt;"Có",N1107="Có"),OR(DANH_MUC!$L$7&lt;&gt;"Có",O1107="Có"),OR(DANH_MUC!$L$8&lt;&gt;"Có",P1107="Có")),"Có","Không"))</f>
        <v/>
      </c>
      <c r="R1107" s="22">
        <f>IF($D1107="","",IF(COUNTIF($D$2:$D1107,$D1107)&gt;1,"Trùng",""))</f>
        <v/>
      </c>
      <c r="S1107" s="22">
        <f>IF($D1107="","",IF(AND(LEN($D1107)=10,LEFT($D1107,1)="0",ISNUMBER(--$D1107)),"Có","Không"))</f>
        <v/>
      </c>
      <c r="T1107" s="22">
        <f>IF($D1107="","",IF(AND($C1107&lt;&gt;"",$Q1107="Có",$R1107="",$S1107="Có",AND($L1107&lt;&gt;"",OR($L1107&lt;&gt;"Chưa xác định",DANH_MUC!$L$9="Có"))),"Có","Không"))</f>
        <v/>
      </c>
      <c r="U1107" s="22">
        <f>IF(OR($D1107="",$T1107="Có"),"",IF($C1107="","Thiếu họ tên; ","")&amp;IF($S1107&lt;&gt;"Có","SĐT sai định dạng; ","")&amp;IF($R1107="Trùng","Trùng SĐT; ","")&amp;IF($Q1107&lt;&gt;"Có","Thiếu đồng ý bắt buộc; ","")&amp;IF($L1107="","Thiếu/sai Mã REF; ",IF(AND($L1107="Chưa xác định",DANH_MUC!$L$9&lt;&gt;"Có"),"Nguồn chưa xác định; ","")))</f>
        <v/>
      </c>
      <c r="V1107" s="22">
        <f>IF(OR($D1107="",$R1107="Trùng"),"",IF(COUNTIF(ORDERS!$C$2:$C$4995,$D1107)&gt;0,"Có","Không"))</f>
        <v/>
      </c>
      <c r="W1107" s="22">
        <f>IF(OR($D1107="",$R1107="Trùng"),"",COUNTIFS(ORDERS!$C$2:$C$4995,$D1107,ORDERS!$L$2:$L$4995,"Đã chuyển khoản"))</f>
        <v/>
      </c>
      <c r="X1107" s="23">
        <f>IF(OR($D1107="",$R1107="Trùng"),"",SUMIFS(ORDERS!$J$2:$J$4995,ORDERS!$C$2:$C$4995,$D1107,ORDERS!$L$2:$L$4995,"Đã chuyển khoản"))</f>
        <v/>
      </c>
      <c r="Y1107" s="24" t="n"/>
    </row>
    <row r="1108" ht="14.25" customHeight="1" s="40">
      <c r="A1108" s="24" t="n"/>
      <c r="B1108" s="27" t="n"/>
      <c r="C1108" s="24" t="n"/>
      <c r="D1108" s="28" t="n"/>
      <c r="E1108" s="29" t="n"/>
      <c r="F1108" s="24" t="n"/>
      <c r="G1108" s="24" t="n"/>
      <c r="H1108" s="21">
        <f>IF(ISNUMBER($B1108),INT($B1108)-WEEKDAY($B1108,2)+1,"")</f>
        <v/>
      </c>
      <c r="I1108" s="24" t="n"/>
      <c r="J1108" s="22">
        <f t="array" ref="J1108">IF($D1108="","",IF($I1108="","(trống REF)",IFERROR(INDEX(MASTER_SOURCE!$B$2:$B$495,MATCH($I1108,MASTER_SOURCE!$A$2:$A$495,0)),"(REF không có trong MASTER_SOURCE)")))</f>
        <v/>
      </c>
      <c r="K1108" s="22">
        <f t="array" ref="K1108">IF($D1108="","",IFERROR(INDEX(MASTER_SOURCE!$C$2:$C$495,MATCH($I1108,MASTER_SOURCE!$A$2:$A$495,0)),""))</f>
        <v/>
      </c>
      <c r="L1108" s="22">
        <f t="array" ref="L1108">IF($D1108="","",IFERROR(INDEX(MASTER_SOURCE!$D$2:$D$495,MATCH($I1108,MASTER_SOURCE!$A$2:$A$495,0)),""))</f>
        <v/>
      </c>
      <c r="M1108" s="24" t="n"/>
      <c r="N1108" s="24" t="n"/>
      <c r="O1108" s="24" t="n"/>
      <c r="P1108" s="24" t="n"/>
      <c r="Q1108" s="22">
        <f>IF($D1108="","",IF(AND(OR(DANH_MUC!$L$5&lt;&gt;"Có",M1108="Có"),OR(DANH_MUC!$L$6&lt;&gt;"Có",N1108="Có"),OR(DANH_MUC!$L$7&lt;&gt;"Có",O1108="Có"),OR(DANH_MUC!$L$8&lt;&gt;"Có",P1108="Có")),"Có","Không"))</f>
        <v/>
      </c>
      <c r="R1108" s="22">
        <f>IF($D1108="","",IF(COUNTIF($D$2:$D1108,$D1108)&gt;1,"Trùng",""))</f>
        <v/>
      </c>
      <c r="S1108" s="22">
        <f>IF($D1108="","",IF(AND(LEN($D1108)=10,LEFT($D1108,1)="0",ISNUMBER(--$D1108)),"Có","Không"))</f>
        <v/>
      </c>
      <c r="T1108" s="22">
        <f>IF($D1108="","",IF(AND($C1108&lt;&gt;"",$Q1108="Có",$R1108="",$S1108="Có",AND($L1108&lt;&gt;"",OR($L1108&lt;&gt;"Chưa xác định",DANH_MUC!$L$9="Có"))),"Có","Không"))</f>
        <v/>
      </c>
      <c r="U1108" s="22">
        <f>IF(OR($D1108="",$T1108="Có"),"",IF($C1108="","Thiếu họ tên; ","")&amp;IF($S1108&lt;&gt;"Có","SĐT sai định dạng; ","")&amp;IF($R1108="Trùng","Trùng SĐT; ","")&amp;IF($Q1108&lt;&gt;"Có","Thiếu đồng ý bắt buộc; ","")&amp;IF($L1108="","Thiếu/sai Mã REF; ",IF(AND($L1108="Chưa xác định",DANH_MUC!$L$9&lt;&gt;"Có"),"Nguồn chưa xác định; ","")))</f>
        <v/>
      </c>
      <c r="V1108" s="22">
        <f>IF(OR($D1108="",$R1108="Trùng"),"",IF(COUNTIF(ORDERS!$C$2:$C$4995,$D1108)&gt;0,"Có","Không"))</f>
        <v/>
      </c>
      <c r="W1108" s="22">
        <f>IF(OR($D1108="",$R1108="Trùng"),"",COUNTIFS(ORDERS!$C$2:$C$4995,$D1108,ORDERS!$L$2:$L$4995,"Đã chuyển khoản"))</f>
        <v/>
      </c>
      <c r="X1108" s="23">
        <f>IF(OR($D1108="",$R1108="Trùng"),"",SUMIFS(ORDERS!$J$2:$J$4995,ORDERS!$C$2:$C$4995,$D1108,ORDERS!$L$2:$L$4995,"Đã chuyển khoản"))</f>
        <v/>
      </c>
      <c r="Y1108" s="24" t="n"/>
    </row>
    <row r="1109" ht="14.25" customHeight="1" s="40">
      <c r="A1109" s="24" t="n"/>
      <c r="B1109" s="27" t="n"/>
      <c r="C1109" s="24" t="n"/>
      <c r="D1109" s="28" t="n"/>
      <c r="E1109" s="29" t="n"/>
      <c r="F1109" s="24" t="n"/>
      <c r="G1109" s="24" t="n"/>
      <c r="H1109" s="21">
        <f>IF(ISNUMBER($B1109),INT($B1109)-WEEKDAY($B1109,2)+1,"")</f>
        <v/>
      </c>
      <c r="I1109" s="24" t="n"/>
      <c r="J1109" s="22">
        <f t="array" ref="J1109">IF($D1109="","",IF($I1109="","(trống REF)",IFERROR(INDEX(MASTER_SOURCE!$B$2:$B$495,MATCH($I1109,MASTER_SOURCE!$A$2:$A$495,0)),"(REF không có trong MASTER_SOURCE)")))</f>
        <v/>
      </c>
      <c r="K1109" s="22">
        <f t="array" ref="K1109">IF($D1109="","",IFERROR(INDEX(MASTER_SOURCE!$C$2:$C$495,MATCH($I1109,MASTER_SOURCE!$A$2:$A$495,0)),""))</f>
        <v/>
      </c>
      <c r="L1109" s="22">
        <f t="array" ref="L1109">IF($D1109="","",IFERROR(INDEX(MASTER_SOURCE!$D$2:$D$495,MATCH($I1109,MASTER_SOURCE!$A$2:$A$495,0)),""))</f>
        <v/>
      </c>
      <c r="M1109" s="24" t="n"/>
      <c r="N1109" s="24" t="n"/>
      <c r="O1109" s="24" t="n"/>
      <c r="P1109" s="24" t="n"/>
      <c r="Q1109" s="22">
        <f>IF($D1109="","",IF(AND(OR(DANH_MUC!$L$5&lt;&gt;"Có",M1109="Có"),OR(DANH_MUC!$L$6&lt;&gt;"Có",N1109="Có"),OR(DANH_MUC!$L$7&lt;&gt;"Có",O1109="Có"),OR(DANH_MUC!$L$8&lt;&gt;"Có",P1109="Có")),"Có","Không"))</f>
        <v/>
      </c>
      <c r="R1109" s="22">
        <f>IF($D1109="","",IF(COUNTIF($D$2:$D1109,$D1109)&gt;1,"Trùng",""))</f>
        <v/>
      </c>
      <c r="S1109" s="22">
        <f>IF($D1109="","",IF(AND(LEN($D1109)=10,LEFT($D1109,1)="0",ISNUMBER(--$D1109)),"Có","Không"))</f>
        <v/>
      </c>
      <c r="T1109" s="22">
        <f>IF($D1109="","",IF(AND($C1109&lt;&gt;"",$Q1109="Có",$R1109="",$S1109="Có",AND($L1109&lt;&gt;"",OR($L1109&lt;&gt;"Chưa xác định",DANH_MUC!$L$9="Có"))),"Có","Không"))</f>
        <v/>
      </c>
      <c r="U1109" s="22">
        <f>IF(OR($D1109="",$T1109="Có"),"",IF($C1109="","Thiếu họ tên; ","")&amp;IF($S1109&lt;&gt;"Có","SĐT sai định dạng; ","")&amp;IF($R1109="Trùng","Trùng SĐT; ","")&amp;IF($Q1109&lt;&gt;"Có","Thiếu đồng ý bắt buộc; ","")&amp;IF($L1109="","Thiếu/sai Mã REF; ",IF(AND($L1109="Chưa xác định",DANH_MUC!$L$9&lt;&gt;"Có"),"Nguồn chưa xác định; ","")))</f>
        <v/>
      </c>
      <c r="V1109" s="22">
        <f>IF(OR($D1109="",$R1109="Trùng"),"",IF(COUNTIF(ORDERS!$C$2:$C$4995,$D1109)&gt;0,"Có","Không"))</f>
        <v/>
      </c>
      <c r="W1109" s="22">
        <f>IF(OR($D1109="",$R1109="Trùng"),"",COUNTIFS(ORDERS!$C$2:$C$4995,$D1109,ORDERS!$L$2:$L$4995,"Đã chuyển khoản"))</f>
        <v/>
      </c>
      <c r="X1109" s="23">
        <f>IF(OR($D1109="",$R1109="Trùng"),"",SUMIFS(ORDERS!$J$2:$J$4995,ORDERS!$C$2:$C$4995,$D1109,ORDERS!$L$2:$L$4995,"Đã chuyển khoản"))</f>
        <v/>
      </c>
      <c r="Y1109" s="24" t="n"/>
    </row>
    <row r="1110" ht="14.25" customHeight="1" s="40">
      <c r="A1110" s="24" t="n"/>
      <c r="B1110" s="27" t="n"/>
      <c r="C1110" s="24" t="n"/>
      <c r="D1110" s="28" t="n"/>
      <c r="E1110" s="29" t="n"/>
      <c r="F1110" s="24" t="n"/>
      <c r="G1110" s="24" t="n"/>
      <c r="H1110" s="21">
        <f>IF(ISNUMBER($B1110),INT($B1110)-WEEKDAY($B1110,2)+1,"")</f>
        <v/>
      </c>
      <c r="I1110" s="24" t="n"/>
      <c r="J1110" s="22">
        <f t="array" ref="J1110">IF($D1110="","",IF($I1110="","(trống REF)",IFERROR(INDEX(MASTER_SOURCE!$B$2:$B$495,MATCH($I1110,MASTER_SOURCE!$A$2:$A$495,0)),"(REF không có trong MASTER_SOURCE)")))</f>
        <v/>
      </c>
      <c r="K1110" s="22">
        <f t="array" ref="K1110">IF($D1110="","",IFERROR(INDEX(MASTER_SOURCE!$C$2:$C$495,MATCH($I1110,MASTER_SOURCE!$A$2:$A$495,0)),""))</f>
        <v/>
      </c>
      <c r="L1110" s="22">
        <f t="array" ref="L1110">IF($D1110="","",IFERROR(INDEX(MASTER_SOURCE!$D$2:$D$495,MATCH($I1110,MASTER_SOURCE!$A$2:$A$495,0)),""))</f>
        <v/>
      </c>
      <c r="M1110" s="24" t="n"/>
      <c r="N1110" s="24" t="n"/>
      <c r="O1110" s="24" t="n"/>
      <c r="P1110" s="24" t="n"/>
      <c r="Q1110" s="22">
        <f>IF($D1110="","",IF(AND(OR(DANH_MUC!$L$5&lt;&gt;"Có",M1110="Có"),OR(DANH_MUC!$L$6&lt;&gt;"Có",N1110="Có"),OR(DANH_MUC!$L$7&lt;&gt;"Có",O1110="Có"),OR(DANH_MUC!$L$8&lt;&gt;"Có",P1110="Có")),"Có","Không"))</f>
        <v/>
      </c>
      <c r="R1110" s="22">
        <f>IF($D1110="","",IF(COUNTIF($D$2:$D1110,$D1110)&gt;1,"Trùng",""))</f>
        <v/>
      </c>
      <c r="S1110" s="22">
        <f>IF($D1110="","",IF(AND(LEN($D1110)=10,LEFT($D1110,1)="0",ISNUMBER(--$D1110)),"Có","Không"))</f>
        <v/>
      </c>
      <c r="T1110" s="22">
        <f>IF($D1110="","",IF(AND($C1110&lt;&gt;"",$Q1110="Có",$R1110="",$S1110="Có",AND($L1110&lt;&gt;"",OR($L1110&lt;&gt;"Chưa xác định",DANH_MUC!$L$9="Có"))),"Có","Không"))</f>
        <v/>
      </c>
      <c r="U1110" s="22">
        <f>IF(OR($D1110="",$T1110="Có"),"",IF($C1110="","Thiếu họ tên; ","")&amp;IF($S1110&lt;&gt;"Có","SĐT sai định dạng; ","")&amp;IF($R1110="Trùng","Trùng SĐT; ","")&amp;IF($Q1110&lt;&gt;"Có","Thiếu đồng ý bắt buộc; ","")&amp;IF($L1110="","Thiếu/sai Mã REF; ",IF(AND($L1110="Chưa xác định",DANH_MUC!$L$9&lt;&gt;"Có"),"Nguồn chưa xác định; ","")))</f>
        <v/>
      </c>
      <c r="V1110" s="22">
        <f>IF(OR($D1110="",$R1110="Trùng"),"",IF(COUNTIF(ORDERS!$C$2:$C$4995,$D1110)&gt;0,"Có","Không"))</f>
        <v/>
      </c>
      <c r="W1110" s="22">
        <f>IF(OR($D1110="",$R1110="Trùng"),"",COUNTIFS(ORDERS!$C$2:$C$4995,$D1110,ORDERS!$L$2:$L$4995,"Đã chuyển khoản"))</f>
        <v/>
      </c>
      <c r="X1110" s="23">
        <f>IF(OR($D1110="",$R1110="Trùng"),"",SUMIFS(ORDERS!$J$2:$J$4995,ORDERS!$C$2:$C$4995,$D1110,ORDERS!$L$2:$L$4995,"Đã chuyển khoản"))</f>
        <v/>
      </c>
      <c r="Y1110" s="24" t="n"/>
    </row>
    <row r="1111" ht="14.25" customHeight="1" s="40">
      <c r="A1111" s="24" t="n"/>
      <c r="B1111" s="27" t="n"/>
      <c r="C1111" s="24" t="n"/>
      <c r="D1111" s="28" t="n"/>
      <c r="E1111" s="29" t="n"/>
      <c r="F1111" s="24" t="n"/>
      <c r="G1111" s="24" t="n"/>
      <c r="H1111" s="21">
        <f>IF(ISNUMBER($B1111),INT($B1111)-WEEKDAY($B1111,2)+1,"")</f>
        <v/>
      </c>
      <c r="I1111" s="24" t="n"/>
      <c r="J1111" s="22">
        <f t="array" ref="J1111">IF($D1111="","",IF($I1111="","(trống REF)",IFERROR(INDEX(MASTER_SOURCE!$B$2:$B$495,MATCH($I1111,MASTER_SOURCE!$A$2:$A$495,0)),"(REF không có trong MASTER_SOURCE)")))</f>
        <v/>
      </c>
      <c r="K1111" s="22">
        <f t="array" ref="K1111">IF($D1111="","",IFERROR(INDEX(MASTER_SOURCE!$C$2:$C$495,MATCH($I1111,MASTER_SOURCE!$A$2:$A$495,0)),""))</f>
        <v/>
      </c>
      <c r="L1111" s="22">
        <f t="array" ref="L1111">IF($D1111="","",IFERROR(INDEX(MASTER_SOURCE!$D$2:$D$495,MATCH($I1111,MASTER_SOURCE!$A$2:$A$495,0)),""))</f>
        <v/>
      </c>
      <c r="M1111" s="24" t="n"/>
      <c r="N1111" s="24" t="n"/>
      <c r="O1111" s="24" t="n"/>
      <c r="P1111" s="24" t="n"/>
      <c r="Q1111" s="22">
        <f>IF($D1111="","",IF(AND(OR(DANH_MUC!$L$5&lt;&gt;"Có",M1111="Có"),OR(DANH_MUC!$L$6&lt;&gt;"Có",N1111="Có"),OR(DANH_MUC!$L$7&lt;&gt;"Có",O1111="Có"),OR(DANH_MUC!$L$8&lt;&gt;"Có",P1111="Có")),"Có","Không"))</f>
        <v/>
      </c>
      <c r="R1111" s="22">
        <f>IF($D1111="","",IF(COUNTIF($D$2:$D1111,$D1111)&gt;1,"Trùng",""))</f>
        <v/>
      </c>
      <c r="S1111" s="22">
        <f>IF($D1111="","",IF(AND(LEN($D1111)=10,LEFT($D1111,1)="0",ISNUMBER(--$D1111)),"Có","Không"))</f>
        <v/>
      </c>
      <c r="T1111" s="22">
        <f>IF($D1111="","",IF(AND($C1111&lt;&gt;"",$Q1111="Có",$R1111="",$S1111="Có",AND($L1111&lt;&gt;"",OR($L1111&lt;&gt;"Chưa xác định",DANH_MUC!$L$9="Có"))),"Có","Không"))</f>
        <v/>
      </c>
      <c r="U1111" s="22">
        <f>IF(OR($D1111="",$T1111="Có"),"",IF($C1111="","Thiếu họ tên; ","")&amp;IF($S1111&lt;&gt;"Có","SĐT sai định dạng; ","")&amp;IF($R1111="Trùng","Trùng SĐT; ","")&amp;IF($Q1111&lt;&gt;"Có","Thiếu đồng ý bắt buộc; ","")&amp;IF($L1111="","Thiếu/sai Mã REF; ",IF(AND($L1111="Chưa xác định",DANH_MUC!$L$9&lt;&gt;"Có"),"Nguồn chưa xác định; ","")))</f>
        <v/>
      </c>
      <c r="V1111" s="22">
        <f>IF(OR($D1111="",$R1111="Trùng"),"",IF(COUNTIF(ORDERS!$C$2:$C$4995,$D1111)&gt;0,"Có","Không"))</f>
        <v/>
      </c>
      <c r="W1111" s="22">
        <f>IF(OR($D1111="",$R1111="Trùng"),"",COUNTIFS(ORDERS!$C$2:$C$4995,$D1111,ORDERS!$L$2:$L$4995,"Đã chuyển khoản"))</f>
        <v/>
      </c>
      <c r="X1111" s="23">
        <f>IF(OR($D1111="",$R1111="Trùng"),"",SUMIFS(ORDERS!$J$2:$J$4995,ORDERS!$C$2:$C$4995,$D1111,ORDERS!$L$2:$L$4995,"Đã chuyển khoản"))</f>
        <v/>
      </c>
      <c r="Y1111" s="24" t="n"/>
    </row>
    <row r="1112" ht="14.25" customHeight="1" s="40">
      <c r="A1112" s="24" t="n"/>
      <c r="B1112" s="27" t="n"/>
      <c r="C1112" s="24" t="n"/>
      <c r="D1112" s="28" t="n"/>
      <c r="E1112" s="29" t="n"/>
      <c r="F1112" s="24" t="n"/>
      <c r="G1112" s="24" t="n"/>
      <c r="H1112" s="21">
        <f>IF(ISNUMBER($B1112),INT($B1112)-WEEKDAY($B1112,2)+1,"")</f>
        <v/>
      </c>
      <c r="I1112" s="24" t="n"/>
      <c r="J1112" s="22">
        <f t="array" ref="J1112">IF($D1112="","",IF($I1112="","(trống REF)",IFERROR(INDEX(MASTER_SOURCE!$B$2:$B$495,MATCH($I1112,MASTER_SOURCE!$A$2:$A$495,0)),"(REF không có trong MASTER_SOURCE)")))</f>
        <v/>
      </c>
      <c r="K1112" s="22">
        <f t="array" ref="K1112">IF($D1112="","",IFERROR(INDEX(MASTER_SOURCE!$C$2:$C$495,MATCH($I1112,MASTER_SOURCE!$A$2:$A$495,0)),""))</f>
        <v/>
      </c>
      <c r="L1112" s="22">
        <f t="array" ref="L1112">IF($D1112="","",IFERROR(INDEX(MASTER_SOURCE!$D$2:$D$495,MATCH($I1112,MASTER_SOURCE!$A$2:$A$495,0)),""))</f>
        <v/>
      </c>
      <c r="M1112" s="24" t="n"/>
      <c r="N1112" s="24" t="n"/>
      <c r="O1112" s="24" t="n"/>
      <c r="P1112" s="24" t="n"/>
      <c r="Q1112" s="22">
        <f>IF($D1112="","",IF(AND(OR(DANH_MUC!$L$5&lt;&gt;"Có",M1112="Có"),OR(DANH_MUC!$L$6&lt;&gt;"Có",N1112="Có"),OR(DANH_MUC!$L$7&lt;&gt;"Có",O1112="Có"),OR(DANH_MUC!$L$8&lt;&gt;"Có",P1112="Có")),"Có","Không"))</f>
        <v/>
      </c>
      <c r="R1112" s="22">
        <f>IF($D1112="","",IF(COUNTIF($D$2:$D1112,$D1112)&gt;1,"Trùng",""))</f>
        <v/>
      </c>
      <c r="S1112" s="22">
        <f>IF($D1112="","",IF(AND(LEN($D1112)=10,LEFT($D1112,1)="0",ISNUMBER(--$D1112)),"Có","Không"))</f>
        <v/>
      </c>
      <c r="T1112" s="22">
        <f>IF($D1112="","",IF(AND($C1112&lt;&gt;"",$Q1112="Có",$R1112="",$S1112="Có",AND($L1112&lt;&gt;"",OR($L1112&lt;&gt;"Chưa xác định",DANH_MUC!$L$9="Có"))),"Có","Không"))</f>
        <v/>
      </c>
      <c r="U1112" s="22">
        <f>IF(OR($D1112="",$T1112="Có"),"",IF($C1112="","Thiếu họ tên; ","")&amp;IF($S1112&lt;&gt;"Có","SĐT sai định dạng; ","")&amp;IF($R1112="Trùng","Trùng SĐT; ","")&amp;IF($Q1112&lt;&gt;"Có","Thiếu đồng ý bắt buộc; ","")&amp;IF($L1112="","Thiếu/sai Mã REF; ",IF(AND($L1112="Chưa xác định",DANH_MUC!$L$9&lt;&gt;"Có"),"Nguồn chưa xác định; ","")))</f>
        <v/>
      </c>
      <c r="V1112" s="22">
        <f>IF(OR($D1112="",$R1112="Trùng"),"",IF(COUNTIF(ORDERS!$C$2:$C$4995,$D1112)&gt;0,"Có","Không"))</f>
        <v/>
      </c>
      <c r="W1112" s="22">
        <f>IF(OR($D1112="",$R1112="Trùng"),"",COUNTIFS(ORDERS!$C$2:$C$4995,$D1112,ORDERS!$L$2:$L$4995,"Đã chuyển khoản"))</f>
        <v/>
      </c>
      <c r="X1112" s="23">
        <f>IF(OR($D1112="",$R1112="Trùng"),"",SUMIFS(ORDERS!$J$2:$J$4995,ORDERS!$C$2:$C$4995,$D1112,ORDERS!$L$2:$L$4995,"Đã chuyển khoản"))</f>
        <v/>
      </c>
      <c r="Y1112" s="24" t="n"/>
    </row>
    <row r="1113" ht="14.25" customHeight="1" s="40">
      <c r="A1113" s="24" t="n"/>
      <c r="B1113" s="27" t="n"/>
      <c r="C1113" s="24" t="n"/>
      <c r="D1113" s="28" t="n"/>
      <c r="E1113" s="29" t="n"/>
      <c r="F1113" s="24" t="n"/>
      <c r="G1113" s="24" t="n"/>
      <c r="H1113" s="21">
        <f>IF(ISNUMBER($B1113),INT($B1113)-WEEKDAY($B1113,2)+1,"")</f>
        <v/>
      </c>
      <c r="I1113" s="24" t="n"/>
      <c r="J1113" s="22">
        <f t="array" ref="J1113">IF($D1113="","",IF($I1113="","(trống REF)",IFERROR(INDEX(MASTER_SOURCE!$B$2:$B$495,MATCH($I1113,MASTER_SOURCE!$A$2:$A$495,0)),"(REF không có trong MASTER_SOURCE)")))</f>
        <v/>
      </c>
      <c r="K1113" s="22">
        <f t="array" ref="K1113">IF($D1113="","",IFERROR(INDEX(MASTER_SOURCE!$C$2:$C$495,MATCH($I1113,MASTER_SOURCE!$A$2:$A$495,0)),""))</f>
        <v/>
      </c>
      <c r="L1113" s="22">
        <f t="array" ref="L1113">IF($D1113="","",IFERROR(INDEX(MASTER_SOURCE!$D$2:$D$495,MATCH($I1113,MASTER_SOURCE!$A$2:$A$495,0)),""))</f>
        <v/>
      </c>
      <c r="M1113" s="24" t="n"/>
      <c r="N1113" s="24" t="n"/>
      <c r="O1113" s="24" t="n"/>
      <c r="P1113" s="24" t="n"/>
      <c r="Q1113" s="22">
        <f>IF($D1113="","",IF(AND(OR(DANH_MUC!$L$5&lt;&gt;"Có",M1113="Có"),OR(DANH_MUC!$L$6&lt;&gt;"Có",N1113="Có"),OR(DANH_MUC!$L$7&lt;&gt;"Có",O1113="Có"),OR(DANH_MUC!$L$8&lt;&gt;"Có",P1113="Có")),"Có","Không"))</f>
        <v/>
      </c>
      <c r="R1113" s="22">
        <f>IF($D1113="","",IF(COUNTIF($D$2:$D1113,$D1113)&gt;1,"Trùng",""))</f>
        <v/>
      </c>
      <c r="S1113" s="22">
        <f>IF($D1113="","",IF(AND(LEN($D1113)=10,LEFT($D1113,1)="0",ISNUMBER(--$D1113)),"Có","Không"))</f>
        <v/>
      </c>
      <c r="T1113" s="22">
        <f>IF($D1113="","",IF(AND($C1113&lt;&gt;"",$Q1113="Có",$R1113="",$S1113="Có",AND($L1113&lt;&gt;"",OR($L1113&lt;&gt;"Chưa xác định",DANH_MUC!$L$9="Có"))),"Có","Không"))</f>
        <v/>
      </c>
      <c r="U1113" s="22">
        <f>IF(OR($D1113="",$T1113="Có"),"",IF($C1113="","Thiếu họ tên; ","")&amp;IF($S1113&lt;&gt;"Có","SĐT sai định dạng; ","")&amp;IF($R1113="Trùng","Trùng SĐT; ","")&amp;IF($Q1113&lt;&gt;"Có","Thiếu đồng ý bắt buộc; ","")&amp;IF($L1113="","Thiếu/sai Mã REF; ",IF(AND($L1113="Chưa xác định",DANH_MUC!$L$9&lt;&gt;"Có"),"Nguồn chưa xác định; ","")))</f>
        <v/>
      </c>
      <c r="V1113" s="22">
        <f>IF(OR($D1113="",$R1113="Trùng"),"",IF(COUNTIF(ORDERS!$C$2:$C$4995,$D1113)&gt;0,"Có","Không"))</f>
        <v/>
      </c>
      <c r="W1113" s="22">
        <f>IF(OR($D1113="",$R1113="Trùng"),"",COUNTIFS(ORDERS!$C$2:$C$4995,$D1113,ORDERS!$L$2:$L$4995,"Đã chuyển khoản"))</f>
        <v/>
      </c>
      <c r="X1113" s="23">
        <f>IF(OR($D1113="",$R1113="Trùng"),"",SUMIFS(ORDERS!$J$2:$J$4995,ORDERS!$C$2:$C$4995,$D1113,ORDERS!$L$2:$L$4995,"Đã chuyển khoản"))</f>
        <v/>
      </c>
      <c r="Y1113" s="24" t="n"/>
    </row>
    <row r="1114" ht="14.25" customHeight="1" s="40">
      <c r="A1114" s="24" t="n"/>
      <c r="B1114" s="27" t="n"/>
      <c r="C1114" s="24" t="n"/>
      <c r="D1114" s="28" t="n"/>
      <c r="E1114" s="29" t="n"/>
      <c r="F1114" s="24" t="n"/>
      <c r="G1114" s="24" t="n"/>
      <c r="H1114" s="21">
        <f>IF(ISNUMBER($B1114),INT($B1114)-WEEKDAY($B1114,2)+1,"")</f>
        <v/>
      </c>
      <c r="I1114" s="24" t="n"/>
      <c r="J1114" s="22">
        <f t="array" ref="J1114">IF($D1114="","",IF($I1114="","(trống REF)",IFERROR(INDEX(MASTER_SOURCE!$B$2:$B$495,MATCH($I1114,MASTER_SOURCE!$A$2:$A$495,0)),"(REF không có trong MASTER_SOURCE)")))</f>
        <v/>
      </c>
      <c r="K1114" s="22">
        <f t="array" ref="K1114">IF($D1114="","",IFERROR(INDEX(MASTER_SOURCE!$C$2:$C$495,MATCH($I1114,MASTER_SOURCE!$A$2:$A$495,0)),""))</f>
        <v/>
      </c>
      <c r="L1114" s="22">
        <f t="array" ref="L1114">IF($D1114="","",IFERROR(INDEX(MASTER_SOURCE!$D$2:$D$495,MATCH($I1114,MASTER_SOURCE!$A$2:$A$495,0)),""))</f>
        <v/>
      </c>
      <c r="M1114" s="24" t="n"/>
      <c r="N1114" s="24" t="n"/>
      <c r="O1114" s="24" t="n"/>
      <c r="P1114" s="24" t="n"/>
      <c r="Q1114" s="22">
        <f>IF($D1114="","",IF(AND(OR(DANH_MUC!$L$5&lt;&gt;"Có",M1114="Có"),OR(DANH_MUC!$L$6&lt;&gt;"Có",N1114="Có"),OR(DANH_MUC!$L$7&lt;&gt;"Có",O1114="Có"),OR(DANH_MUC!$L$8&lt;&gt;"Có",P1114="Có")),"Có","Không"))</f>
        <v/>
      </c>
      <c r="R1114" s="22">
        <f>IF($D1114="","",IF(COUNTIF($D$2:$D1114,$D1114)&gt;1,"Trùng",""))</f>
        <v/>
      </c>
      <c r="S1114" s="22">
        <f>IF($D1114="","",IF(AND(LEN($D1114)=10,LEFT($D1114,1)="0",ISNUMBER(--$D1114)),"Có","Không"))</f>
        <v/>
      </c>
      <c r="T1114" s="22">
        <f>IF($D1114="","",IF(AND($C1114&lt;&gt;"",$Q1114="Có",$R1114="",$S1114="Có",AND($L1114&lt;&gt;"",OR($L1114&lt;&gt;"Chưa xác định",DANH_MUC!$L$9="Có"))),"Có","Không"))</f>
        <v/>
      </c>
      <c r="U1114" s="22">
        <f>IF(OR($D1114="",$T1114="Có"),"",IF($C1114="","Thiếu họ tên; ","")&amp;IF($S1114&lt;&gt;"Có","SĐT sai định dạng; ","")&amp;IF($R1114="Trùng","Trùng SĐT; ","")&amp;IF($Q1114&lt;&gt;"Có","Thiếu đồng ý bắt buộc; ","")&amp;IF($L1114="","Thiếu/sai Mã REF; ",IF(AND($L1114="Chưa xác định",DANH_MUC!$L$9&lt;&gt;"Có"),"Nguồn chưa xác định; ","")))</f>
        <v/>
      </c>
      <c r="V1114" s="22">
        <f>IF(OR($D1114="",$R1114="Trùng"),"",IF(COUNTIF(ORDERS!$C$2:$C$4995,$D1114)&gt;0,"Có","Không"))</f>
        <v/>
      </c>
      <c r="W1114" s="22">
        <f>IF(OR($D1114="",$R1114="Trùng"),"",COUNTIFS(ORDERS!$C$2:$C$4995,$D1114,ORDERS!$L$2:$L$4995,"Đã chuyển khoản"))</f>
        <v/>
      </c>
      <c r="X1114" s="23">
        <f>IF(OR($D1114="",$R1114="Trùng"),"",SUMIFS(ORDERS!$J$2:$J$4995,ORDERS!$C$2:$C$4995,$D1114,ORDERS!$L$2:$L$4995,"Đã chuyển khoản"))</f>
        <v/>
      </c>
      <c r="Y1114" s="24" t="n"/>
    </row>
    <row r="1115" ht="14.25" customHeight="1" s="40">
      <c r="A1115" s="24" t="n"/>
      <c r="B1115" s="27" t="n"/>
      <c r="C1115" s="24" t="n"/>
      <c r="D1115" s="28" t="n"/>
      <c r="E1115" s="29" t="n"/>
      <c r="F1115" s="24" t="n"/>
      <c r="G1115" s="24" t="n"/>
      <c r="H1115" s="21">
        <f>IF(ISNUMBER($B1115),INT($B1115)-WEEKDAY($B1115,2)+1,"")</f>
        <v/>
      </c>
      <c r="I1115" s="24" t="n"/>
      <c r="J1115" s="22">
        <f t="array" ref="J1115">IF($D1115="","",IF($I1115="","(trống REF)",IFERROR(INDEX(MASTER_SOURCE!$B$2:$B$495,MATCH($I1115,MASTER_SOURCE!$A$2:$A$495,0)),"(REF không có trong MASTER_SOURCE)")))</f>
        <v/>
      </c>
      <c r="K1115" s="22">
        <f t="array" ref="K1115">IF($D1115="","",IFERROR(INDEX(MASTER_SOURCE!$C$2:$C$495,MATCH($I1115,MASTER_SOURCE!$A$2:$A$495,0)),""))</f>
        <v/>
      </c>
      <c r="L1115" s="22">
        <f t="array" ref="L1115">IF($D1115="","",IFERROR(INDEX(MASTER_SOURCE!$D$2:$D$495,MATCH($I1115,MASTER_SOURCE!$A$2:$A$495,0)),""))</f>
        <v/>
      </c>
      <c r="M1115" s="24" t="n"/>
      <c r="N1115" s="24" t="n"/>
      <c r="O1115" s="24" t="n"/>
      <c r="P1115" s="24" t="n"/>
      <c r="Q1115" s="22">
        <f>IF($D1115="","",IF(AND(OR(DANH_MUC!$L$5&lt;&gt;"Có",M1115="Có"),OR(DANH_MUC!$L$6&lt;&gt;"Có",N1115="Có"),OR(DANH_MUC!$L$7&lt;&gt;"Có",O1115="Có"),OR(DANH_MUC!$L$8&lt;&gt;"Có",P1115="Có")),"Có","Không"))</f>
        <v/>
      </c>
      <c r="R1115" s="22">
        <f>IF($D1115="","",IF(COUNTIF($D$2:$D1115,$D1115)&gt;1,"Trùng",""))</f>
        <v/>
      </c>
      <c r="S1115" s="22">
        <f>IF($D1115="","",IF(AND(LEN($D1115)=10,LEFT($D1115,1)="0",ISNUMBER(--$D1115)),"Có","Không"))</f>
        <v/>
      </c>
      <c r="T1115" s="22">
        <f>IF($D1115="","",IF(AND($C1115&lt;&gt;"",$Q1115="Có",$R1115="",$S1115="Có",AND($L1115&lt;&gt;"",OR($L1115&lt;&gt;"Chưa xác định",DANH_MUC!$L$9="Có"))),"Có","Không"))</f>
        <v/>
      </c>
      <c r="U1115" s="22">
        <f>IF(OR($D1115="",$T1115="Có"),"",IF($C1115="","Thiếu họ tên; ","")&amp;IF($S1115&lt;&gt;"Có","SĐT sai định dạng; ","")&amp;IF($R1115="Trùng","Trùng SĐT; ","")&amp;IF($Q1115&lt;&gt;"Có","Thiếu đồng ý bắt buộc; ","")&amp;IF($L1115="","Thiếu/sai Mã REF; ",IF(AND($L1115="Chưa xác định",DANH_MUC!$L$9&lt;&gt;"Có"),"Nguồn chưa xác định; ","")))</f>
        <v/>
      </c>
      <c r="V1115" s="22">
        <f>IF(OR($D1115="",$R1115="Trùng"),"",IF(COUNTIF(ORDERS!$C$2:$C$4995,$D1115)&gt;0,"Có","Không"))</f>
        <v/>
      </c>
      <c r="W1115" s="22">
        <f>IF(OR($D1115="",$R1115="Trùng"),"",COUNTIFS(ORDERS!$C$2:$C$4995,$D1115,ORDERS!$L$2:$L$4995,"Đã chuyển khoản"))</f>
        <v/>
      </c>
      <c r="X1115" s="23">
        <f>IF(OR($D1115="",$R1115="Trùng"),"",SUMIFS(ORDERS!$J$2:$J$4995,ORDERS!$C$2:$C$4995,$D1115,ORDERS!$L$2:$L$4995,"Đã chuyển khoản"))</f>
        <v/>
      </c>
      <c r="Y1115" s="24" t="n"/>
    </row>
    <row r="1116" ht="14.25" customHeight="1" s="40">
      <c r="A1116" s="24" t="n"/>
      <c r="B1116" s="27" t="n"/>
      <c r="C1116" s="24" t="n"/>
      <c r="D1116" s="28" t="n"/>
      <c r="E1116" s="29" t="n"/>
      <c r="F1116" s="24" t="n"/>
      <c r="G1116" s="24" t="n"/>
      <c r="H1116" s="21">
        <f>IF(ISNUMBER($B1116),INT($B1116)-WEEKDAY($B1116,2)+1,"")</f>
        <v/>
      </c>
      <c r="I1116" s="24" t="n"/>
      <c r="J1116" s="22">
        <f t="array" ref="J1116">IF($D1116="","",IF($I1116="","(trống REF)",IFERROR(INDEX(MASTER_SOURCE!$B$2:$B$495,MATCH($I1116,MASTER_SOURCE!$A$2:$A$495,0)),"(REF không có trong MASTER_SOURCE)")))</f>
        <v/>
      </c>
      <c r="K1116" s="22">
        <f t="array" ref="K1116">IF($D1116="","",IFERROR(INDEX(MASTER_SOURCE!$C$2:$C$495,MATCH($I1116,MASTER_SOURCE!$A$2:$A$495,0)),""))</f>
        <v/>
      </c>
      <c r="L1116" s="22">
        <f t="array" ref="L1116">IF($D1116="","",IFERROR(INDEX(MASTER_SOURCE!$D$2:$D$495,MATCH($I1116,MASTER_SOURCE!$A$2:$A$495,0)),""))</f>
        <v/>
      </c>
      <c r="M1116" s="24" t="n"/>
      <c r="N1116" s="24" t="n"/>
      <c r="O1116" s="24" t="n"/>
      <c r="P1116" s="24" t="n"/>
      <c r="Q1116" s="22">
        <f>IF($D1116="","",IF(AND(OR(DANH_MUC!$L$5&lt;&gt;"Có",M1116="Có"),OR(DANH_MUC!$L$6&lt;&gt;"Có",N1116="Có"),OR(DANH_MUC!$L$7&lt;&gt;"Có",O1116="Có"),OR(DANH_MUC!$L$8&lt;&gt;"Có",P1116="Có")),"Có","Không"))</f>
        <v/>
      </c>
      <c r="R1116" s="22">
        <f>IF($D1116="","",IF(COUNTIF($D$2:$D1116,$D1116)&gt;1,"Trùng",""))</f>
        <v/>
      </c>
      <c r="S1116" s="22">
        <f>IF($D1116="","",IF(AND(LEN($D1116)=10,LEFT($D1116,1)="0",ISNUMBER(--$D1116)),"Có","Không"))</f>
        <v/>
      </c>
      <c r="T1116" s="22">
        <f>IF($D1116="","",IF(AND($C1116&lt;&gt;"",$Q1116="Có",$R1116="",$S1116="Có",AND($L1116&lt;&gt;"",OR($L1116&lt;&gt;"Chưa xác định",DANH_MUC!$L$9="Có"))),"Có","Không"))</f>
        <v/>
      </c>
      <c r="U1116" s="22">
        <f>IF(OR($D1116="",$T1116="Có"),"",IF($C1116="","Thiếu họ tên; ","")&amp;IF($S1116&lt;&gt;"Có","SĐT sai định dạng; ","")&amp;IF($R1116="Trùng","Trùng SĐT; ","")&amp;IF($Q1116&lt;&gt;"Có","Thiếu đồng ý bắt buộc; ","")&amp;IF($L1116="","Thiếu/sai Mã REF; ",IF(AND($L1116="Chưa xác định",DANH_MUC!$L$9&lt;&gt;"Có"),"Nguồn chưa xác định; ","")))</f>
        <v/>
      </c>
      <c r="V1116" s="22">
        <f>IF(OR($D1116="",$R1116="Trùng"),"",IF(COUNTIF(ORDERS!$C$2:$C$4995,$D1116)&gt;0,"Có","Không"))</f>
        <v/>
      </c>
      <c r="W1116" s="22">
        <f>IF(OR($D1116="",$R1116="Trùng"),"",COUNTIFS(ORDERS!$C$2:$C$4995,$D1116,ORDERS!$L$2:$L$4995,"Đã chuyển khoản"))</f>
        <v/>
      </c>
      <c r="X1116" s="23">
        <f>IF(OR($D1116="",$R1116="Trùng"),"",SUMIFS(ORDERS!$J$2:$J$4995,ORDERS!$C$2:$C$4995,$D1116,ORDERS!$L$2:$L$4995,"Đã chuyển khoản"))</f>
        <v/>
      </c>
      <c r="Y1116" s="24" t="n"/>
    </row>
    <row r="1117" ht="14.25" customHeight="1" s="40">
      <c r="A1117" s="24" t="n"/>
      <c r="B1117" s="27" t="n"/>
      <c r="C1117" s="24" t="n"/>
      <c r="D1117" s="28" t="n"/>
      <c r="E1117" s="29" t="n"/>
      <c r="F1117" s="24" t="n"/>
      <c r="G1117" s="24" t="n"/>
      <c r="H1117" s="21">
        <f>IF(ISNUMBER($B1117),INT($B1117)-WEEKDAY($B1117,2)+1,"")</f>
        <v/>
      </c>
      <c r="I1117" s="24" t="n"/>
      <c r="J1117" s="22">
        <f t="array" ref="J1117">IF($D1117="","",IF($I1117="","(trống REF)",IFERROR(INDEX(MASTER_SOURCE!$B$2:$B$495,MATCH($I1117,MASTER_SOURCE!$A$2:$A$495,0)),"(REF không có trong MASTER_SOURCE)")))</f>
        <v/>
      </c>
      <c r="K1117" s="22">
        <f t="array" ref="K1117">IF($D1117="","",IFERROR(INDEX(MASTER_SOURCE!$C$2:$C$495,MATCH($I1117,MASTER_SOURCE!$A$2:$A$495,0)),""))</f>
        <v/>
      </c>
      <c r="L1117" s="22">
        <f t="array" ref="L1117">IF($D1117="","",IFERROR(INDEX(MASTER_SOURCE!$D$2:$D$495,MATCH($I1117,MASTER_SOURCE!$A$2:$A$495,0)),""))</f>
        <v/>
      </c>
      <c r="M1117" s="24" t="n"/>
      <c r="N1117" s="24" t="n"/>
      <c r="O1117" s="24" t="n"/>
      <c r="P1117" s="24" t="n"/>
      <c r="Q1117" s="22">
        <f>IF($D1117="","",IF(AND(OR(DANH_MUC!$L$5&lt;&gt;"Có",M1117="Có"),OR(DANH_MUC!$L$6&lt;&gt;"Có",N1117="Có"),OR(DANH_MUC!$L$7&lt;&gt;"Có",O1117="Có"),OR(DANH_MUC!$L$8&lt;&gt;"Có",P1117="Có")),"Có","Không"))</f>
        <v/>
      </c>
      <c r="R1117" s="22">
        <f>IF($D1117="","",IF(COUNTIF($D$2:$D1117,$D1117)&gt;1,"Trùng",""))</f>
        <v/>
      </c>
      <c r="S1117" s="22">
        <f>IF($D1117="","",IF(AND(LEN($D1117)=10,LEFT($D1117,1)="0",ISNUMBER(--$D1117)),"Có","Không"))</f>
        <v/>
      </c>
      <c r="T1117" s="22">
        <f>IF($D1117="","",IF(AND($C1117&lt;&gt;"",$Q1117="Có",$R1117="",$S1117="Có",AND($L1117&lt;&gt;"",OR($L1117&lt;&gt;"Chưa xác định",DANH_MUC!$L$9="Có"))),"Có","Không"))</f>
        <v/>
      </c>
      <c r="U1117" s="22">
        <f>IF(OR($D1117="",$T1117="Có"),"",IF($C1117="","Thiếu họ tên; ","")&amp;IF($S1117&lt;&gt;"Có","SĐT sai định dạng; ","")&amp;IF($R1117="Trùng","Trùng SĐT; ","")&amp;IF($Q1117&lt;&gt;"Có","Thiếu đồng ý bắt buộc; ","")&amp;IF($L1117="","Thiếu/sai Mã REF; ",IF(AND($L1117="Chưa xác định",DANH_MUC!$L$9&lt;&gt;"Có"),"Nguồn chưa xác định; ","")))</f>
        <v/>
      </c>
      <c r="V1117" s="22">
        <f>IF(OR($D1117="",$R1117="Trùng"),"",IF(COUNTIF(ORDERS!$C$2:$C$4995,$D1117)&gt;0,"Có","Không"))</f>
        <v/>
      </c>
      <c r="W1117" s="22">
        <f>IF(OR($D1117="",$R1117="Trùng"),"",COUNTIFS(ORDERS!$C$2:$C$4995,$D1117,ORDERS!$L$2:$L$4995,"Đã chuyển khoản"))</f>
        <v/>
      </c>
      <c r="X1117" s="23">
        <f>IF(OR($D1117="",$R1117="Trùng"),"",SUMIFS(ORDERS!$J$2:$J$4995,ORDERS!$C$2:$C$4995,$D1117,ORDERS!$L$2:$L$4995,"Đã chuyển khoản"))</f>
        <v/>
      </c>
      <c r="Y1117" s="24" t="n"/>
    </row>
    <row r="1118" ht="14.25" customHeight="1" s="40">
      <c r="A1118" s="24" t="n"/>
      <c r="B1118" s="27" t="n"/>
      <c r="C1118" s="24" t="n"/>
      <c r="D1118" s="28" t="n"/>
      <c r="E1118" s="29" t="n"/>
      <c r="F1118" s="24" t="n"/>
      <c r="G1118" s="24" t="n"/>
      <c r="H1118" s="21">
        <f>IF(ISNUMBER($B1118),INT($B1118)-WEEKDAY($B1118,2)+1,"")</f>
        <v/>
      </c>
      <c r="I1118" s="24" t="n"/>
      <c r="J1118" s="22">
        <f t="array" ref="J1118">IF($D1118="","",IF($I1118="","(trống REF)",IFERROR(INDEX(MASTER_SOURCE!$B$2:$B$495,MATCH($I1118,MASTER_SOURCE!$A$2:$A$495,0)),"(REF không có trong MASTER_SOURCE)")))</f>
        <v/>
      </c>
      <c r="K1118" s="22">
        <f t="array" ref="K1118">IF($D1118="","",IFERROR(INDEX(MASTER_SOURCE!$C$2:$C$495,MATCH($I1118,MASTER_SOURCE!$A$2:$A$495,0)),""))</f>
        <v/>
      </c>
      <c r="L1118" s="22">
        <f t="array" ref="L1118">IF($D1118="","",IFERROR(INDEX(MASTER_SOURCE!$D$2:$D$495,MATCH($I1118,MASTER_SOURCE!$A$2:$A$495,0)),""))</f>
        <v/>
      </c>
      <c r="M1118" s="24" t="n"/>
      <c r="N1118" s="24" t="n"/>
      <c r="O1118" s="24" t="n"/>
      <c r="P1118" s="24" t="n"/>
      <c r="Q1118" s="22">
        <f>IF($D1118="","",IF(AND(OR(DANH_MUC!$L$5&lt;&gt;"Có",M1118="Có"),OR(DANH_MUC!$L$6&lt;&gt;"Có",N1118="Có"),OR(DANH_MUC!$L$7&lt;&gt;"Có",O1118="Có"),OR(DANH_MUC!$L$8&lt;&gt;"Có",P1118="Có")),"Có","Không"))</f>
        <v/>
      </c>
      <c r="R1118" s="22">
        <f>IF($D1118="","",IF(COUNTIF($D$2:$D1118,$D1118)&gt;1,"Trùng",""))</f>
        <v/>
      </c>
      <c r="S1118" s="22">
        <f>IF($D1118="","",IF(AND(LEN($D1118)=10,LEFT($D1118,1)="0",ISNUMBER(--$D1118)),"Có","Không"))</f>
        <v/>
      </c>
      <c r="T1118" s="22">
        <f>IF($D1118="","",IF(AND($C1118&lt;&gt;"",$Q1118="Có",$R1118="",$S1118="Có",AND($L1118&lt;&gt;"",OR($L1118&lt;&gt;"Chưa xác định",DANH_MUC!$L$9="Có"))),"Có","Không"))</f>
        <v/>
      </c>
      <c r="U1118" s="22">
        <f>IF(OR($D1118="",$T1118="Có"),"",IF($C1118="","Thiếu họ tên; ","")&amp;IF($S1118&lt;&gt;"Có","SĐT sai định dạng; ","")&amp;IF($R1118="Trùng","Trùng SĐT; ","")&amp;IF($Q1118&lt;&gt;"Có","Thiếu đồng ý bắt buộc; ","")&amp;IF($L1118="","Thiếu/sai Mã REF; ",IF(AND($L1118="Chưa xác định",DANH_MUC!$L$9&lt;&gt;"Có"),"Nguồn chưa xác định; ","")))</f>
        <v/>
      </c>
      <c r="V1118" s="22">
        <f>IF(OR($D1118="",$R1118="Trùng"),"",IF(COUNTIF(ORDERS!$C$2:$C$4995,$D1118)&gt;0,"Có","Không"))</f>
        <v/>
      </c>
      <c r="W1118" s="22">
        <f>IF(OR($D1118="",$R1118="Trùng"),"",COUNTIFS(ORDERS!$C$2:$C$4995,$D1118,ORDERS!$L$2:$L$4995,"Đã chuyển khoản"))</f>
        <v/>
      </c>
      <c r="X1118" s="23">
        <f>IF(OR($D1118="",$R1118="Trùng"),"",SUMIFS(ORDERS!$J$2:$J$4995,ORDERS!$C$2:$C$4995,$D1118,ORDERS!$L$2:$L$4995,"Đã chuyển khoản"))</f>
        <v/>
      </c>
      <c r="Y1118" s="24" t="n"/>
    </row>
    <row r="1119" ht="14.25" customHeight="1" s="40">
      <c r="A1119" s="24" t="n"/>
      <c r="B1119" s="27" t="n"/>
      <c r="C1119" s="24" t="n"/>
      <c r="D1119" s="28" t="n"/>
      <c r="E1119" s="29" t="n"/>
      <c r="F1119" s="24" t="n"/>
      <c r="G1119" s="24" t="n"/>
      <c r="H1119" s="21">
        <f>IF(ISNUMBER($B1119),INT($B1119)-WEEKDAY($B1119,2)+1,"")</f>
        <v/>
      </c>
      <c r="I1119" s="24" t="n"/>
      <c r="J1119" s="22">
        <f t="array" ref="J1119">IF($D1119="","",IF($I1119="","(trống REF)",IFERROR(INDEX(MASTER_SOURCE!$B$2:$B$495,MATCH($I1119,MASTER_SOURCE!$A$2:$A$495,0)),"(REF không có trong MASTER_SOURCE)")))</f>
        <v/>
      </c>
      <c r="K1119" s="22">
        <f t="array" ref="K1119">IF($D1119="","",IFERROR(INDEX(MASTER_SOURCE!$C$2:$C$495,MATCH($I1119,MASTER_SOURCE!$A$2:$A$495,0)),""))</f>
        <v/>
      </c>
      <c r="L1119" s="22">
        <f t="array" ref="L1119">IF($D1119="","",IFERROR(INDEX(MASTER_SOURCE!$D$2:$D$495,MATCH($I1119,MASTER_SOURCE!$A$2:$A$495,0)),""))</f>
        <v/>
      </c>
      <c r="M1119" s="24" t="n"/>
      <c r="N1119" s="24" t="n"/>
      <c r="O1119" s="24" t="n"/>
      <c r="P1119" s="24" t="n"/>
      <c r="Q1119" s="22">
        <f>IF($D1119="","",IF(AND(OR(DANH_MUC!$L$5&lt;&gt;"Có",M1119="Có"),OR(DANH_MUC!$L$6&lt;&gt;"Có",N1119="Có"),OR(DANH_MUC!$L$7&lt;&gt;"Có",O1119="Có"),OR(DANH_MUC!$L$8&lt;&gt;"Có",P1119="Có")),"Có","Không"))</f>
        <v/>
      </c>
      <c r="R1119" s="22">
        <f>IF($D1119="","",IF(COUNTIF($D$2:$D1119,$D1119)&gt;1,"Trùng",""))</f>
        <v/>
      </c>
      <c r="S1119" s="22">
        <f>IF($D1119="","",IF(AND(LEN($D1119)=10,LEFT($D1119,1)="0",ISNUMBER(--$D1119)),"Có","Không"))</f>
        <v/>
      </c>
      <c r="T1119" s="22">
        <f>IF($D1119="","",IF(AND($C1119&lt;&gt;"",$Q1119="Có",$R1119="",$S1119="Có",AND($L1119&lt;&gt;"",OR($L1119&lt;&gt;"Chưa xác định",DANH_MUC!$L$9="Có"))),"Có","Không"))</f>
        <v/>
      </c>
      <c r="U1119" s="22">
        <f>IF(OR($D1119="",$T1119="Có"),"",IF($C1119="","Thiếu họ tên; ","")&amp;IF($S1119&lt;&gt;"Có","SĐT sai định dạng; ","")&amp;IF($R1119="Trùng","Trùng SĐT; ","")&amp;IF($Q1119&lt;&gt;"Có","Thiếu đồng ý bắt buộc; ","")&amp;IF($L1119="","Thiếu/sai Mã REF; ",IF(AND($L1119="Chưa xác định",DANH_MUC!$L$9&lt;&gt;"Có"),"Nguồn chưa xác định; ","")))</f>
        <v/>
      </c>
      <c r="V1119" s="22">
        <f>IF(OR($D1119="",$R1119="Trùng"),"",IF(COUNTIF(ORDERS!$C$2:$C$4995,$D1119)&gt;0,"Có","Không"))</f>
        <v/>
      </c>
      <c r="W1119" s="22">
        <f>IF(OR($D1119="",$R1119="Trùng"),"",COUNTIFS(ORDERS!$C$2:$C$4995,$D1119,ORDERS!$L$2:$L$4995,"Đã chuyển khoản"))</f>
        <v/>
      </c>
      <c r="X1119" s="23">
        <f>IF(OR($D1119="",$R1119="Trùng"),"",SUMIFS(ORDERS!$J$2:$J$4995,ORDERS!$C$2:$C$4995,$D1119,ORDERS!$L$2:$L$4995,"Đã chuyển khoản"))</f>
        <v/>
      </c>
      <c r="Y1119" s="24" t="n"/>
    </row>
    <row r="1120" ht="14.25" customHeight="1" s="40">
      <c r="A1120" s="24" t="n"/>
      <c r="B1120" s="27" t="n"/>
      <c r="C1120" s="24" t="n"/>
      <c r="D1120" s="28" t="n"/>
      <c r="E1120" s="29" t="n"/>
      <c r="F1120" s="24" t="n"/>
      <c r="G1120" s="24" t="n"/>
      <c r="H1120" s="21">
        <f>IF(ISNUMBER($B1120),INT($B1120)-WEEKDAY($B1120,2)+1,"")</f>
        <v/>
      </c>
      <c r="I1120" s="24" t="n"/>
      <c r="J1120" s="22">
        <f t="array" ref="J1120">IF($D1120="","",IF($I1120="","(trống REF)",IFERROR(INDEX(MASTER_SOURCE!$B$2:$B$495,MATCH($I1120,MASTER_SOURCE!$A$2:$A$495,0)),"(REF không có trong MASTER_SOURCE)")))</f>
        <v/>
      </c>
      <c r="K1120" s="22">
        <f t="array" ref="K1120">IF($D1120="","",IFERROR(INDEX(MASTER_SOURCE!$C$2:$C$495,MATCH($I1120,MASTER_SOURCE!$A$2:$A$495,0)),""))</f>
        <v/>
      </c>
      <c r="L1120" s="22">
        <f t="array" ref="L1120">IF($D1120="","",IFERROR(INDEX(MASTER_SOURCE!$D$2:$D$495,MATCH($I1120,MASTER_SOURCE!$A$2:$A$495,0)),""))</f>
        <v/>
      </c>
      <c r="M1120" s="24" t="n"/>
      <c r="N1120" s="24" t="n"/>
      <c r="O1120" s="24" t="n"/>
      <c r="P1120" s="24" t="n"/>
      <c r="Q1120" s="22">
        <f>IF($D1120="","",IF(AND(OR(DANH_MUC!$L$5&lt;&gt;"Có",M1120="Có"),OR(DANH_MUC!$L$6&lt;&gt;"Có",N1120="Có"),OR(DANH_MUC!$L$7&lt;&gt;"Có",O1120="Có"),OR(DANH_MUC!$L$8&lt;&gt;"Có",P1120="Có")),"Có","Không"))</f>
        <v/>
      </c>
      <c r="R1120" s="22">
        <f>IF($D1120="","",IF(COUNTIF($D$2:$D1120,$D1120)&gt;1,"Trùng",""))</f>
        <v/>
      </c>
      <c r="S1120" s="22">
        <f>IF($D1120="","",IF(AND(LEN($D1120)=10,LEFT($D1120,1)="0",ISNUMBER(--$D1120)),"Có","Không"))</f>
        <v/>
      </c>
      <c r="T1120" s="22">
        <f>IF($D1120="","",IF(AND($C1120&lt;&gt;"",$Q1120="Có",$R1120="",$S1120="Có",AND($L1120&lt;&gt;"",OR($L1120&lt;&gt;"Chưa xác định",DANH_MUC!$L$9="Có"))),"Có","Không"))</f>
        <v/>
      </c>
      <c r="U1120" s="22">
        <f>IF(OR($D1120="",$T1120="Có"),"",IF($C1120="","Thiếu họ tên; ","")&amp;IF($S1120&lt;&gt;"Có","SĐT sai định dạng; ","")&amp;IF($R1120="Trùng","Trùng SĐT; ","")&amp;IF($Q1120&lt;&gt;"Có","Thiếu đồng ý bắt buộc; ","")&amp;IF($L1120="","Thiếu/sai Mã REF; ",IF(AND($L1120="Chưa xác định",DANH_MUC!$L$9&lt;&gt;"Có"),"Nguồn chưa xác định; ","")))</f>
        <v/>
      </c>
      <c r="V1120" s="22">
        <f>IF(OR($D1120="",$R1120="Trùng"),"",IF(COUNTIF(ORDERS!$C$2:$C$4995,$D1120)&gt;0,"Có","Không"))</f>
        <v/>
      </c>
      <c r="W1120" s="22">
        <f>IF(OR($D1120="",$R1120="Trùng"),"",COUNTIFS(ORDERS!$C$2:$C$4995,$D1120,ORDERS!$L$2:$L$4995,"Đã chuyển khoản"))</f>
        <v/>
      </c>
      <c r="X1120" s="23">
        <f>IF(OR($D1120="",$R1120="Trùng"),"",SUMIFS(ORDERS!$J$2:$J$4995,ORDERS!$C$2:$C$4995,$D1120,ORDERS!$L$2:$L$4995,"Đã chuyển khoản"))</f>
        <v/>
      </c>
      <c r="Y1120" s="24" t="n"/>
    </row>
    <row r="1121" ht="14.25" customHeight="1" s="40">
      <c r="A1121" s="24" t="n"/>
      <c r="B1121" s="27" t="n"/>
      <c r="C1121" s="24" t="n"/>
      <c r="D1121" s="28" t="n"/>
      <c r="E1121" s="29" t="n"/>
      <c r="F1121" s="24" t="n"/>
      <c r="G1121" s="24" t="n"/>
      <c r="H1121" s="21">
        <f>IF(ISNUMBER($B1121),INT($B1121)-WEEKDAY($B1121,2)+1,"")</f>
        <v/>
      </c>
      <c r="I1121" s="24" t="n"/>
      <c r="J1121" s="22">
        <f t="array" ref="J1121">IF($D1121="","",IF($I1121="","(trống REF)",IFERROR(INDEX(MASTER_SOURCE!$B$2:$B$495,MATCH($I1121,MASTER_SOURCE!$A$2:$A$495,0)),"(REF không có trong MASTER_SOURCE)")))</f>
        <v/>
      </c>
      <c r="K1121" s="22">
        <f t="array" ref="K1121">IF($D1121="","",IFERROR(INDEX(MASTER_SOURCE!$C$2:$C$495,MATCH($I1121,MASTER_SOURCE!$A$2:$A$495,0)),""))</f>
        <v/>
      </c>
      <c r="L1121" s="22">
        <f t="array" ref="L1121">IF($D1121="","",IFERROR(INDEX(MASTER_SOURCE!$D$2:$D$495,MATCH($I1121,MASTER_SOURCE!$A$2:$A$495,0)),""))</f>
        <v/>
      </c>
      <c r="M1121" s="24" t="n"/>
      <c r="N1121" s="24" t="n"/>
      <c r="O1121" s="24" t="n"/>
      <c r="P1121" s="24" t="n"/>
      <c r="Q1121" s="22">
        <f>IF($D1121="","",IF(AND(OR(DANH_MUC!$L$5&lt;&gt;"Có",M1121="Có"),OR(DANH_MUC!$L$6&lt;&gt;"Có",N1121="Có"),OR(DANH_MUC!$L$7&lt;&gt;"Có",O1121="Có"),OR(DANH_MUC!$L$8&lt;&gt;"Có",P1121="Có")),"Có","Không"))</f>
        <v/>
      </c>
      <c r="R1121" s="22">
        <f>IF($D1121="","",IF(COUNTIF($D$2:$D1121,$D1121)&gt;1,"Trùng",""))</f>
        <v/>
      </c>
      <c r="S1121" s="22">
        <f>IF($D1121="","",IF(AND(LEN($D1121)=10,LEFT($D1121,1)="0",ISNUMBER(--$D1121)),"Có","Không"))</f>
        <v/>
      </c>
      <c r="T1121" s="22">
        <f>IF($D1121="","",IF(AND($C1121&lt;&gt;"",$Q1121="Có",$R1121="",$S1121="Có",AND($L1121&lt;&gt;"",OR($L1121&lt;&gt;"Chưa xác định",DANH_MUC!$L$9="Có"))),"Có","Không"))</f>
        <v/>
      </c>
      <c r="U1121" s="22">
        <f>IF(OR($D1121="",$T1121="Có"),"",IF($C1121="","Thiếu họ tên; ","")&amp;IF($S1121&lt;&gt;"Có","SĐT sai định dạng; ","")&amp;IF($R1121="Trùng","Trùng SĐT; ","")&amp;IF($Q1121&lt;&gt;"Có","Thiếu đồng ý bắt buộc; ","")&amp;IF($L1121="","Thiếu/sai Mã REF; ",IF(AND($L1121="Chưa xác định",DANH_MUC!$L$9&lt;&gt;"Có"),"Nguồn chưa xác định; ","")))</f>
        <v/>
      </c>
      <c r="V1121" s="22">
        <f>IF(OR($D1121="",$R1121="Trùng"),"",IF(COUNTIF(ORDERS!$C$2:$C$4995,$D1121)&gt;0,"Có","Không"))</f>
        <v/>
      </c>
      <c r="W1121" s="22">
        <f>IF(OR($D1121="",$R1121="Trùng"),"",COUNTIFS(ORDERS!$C$2:$C$4995,$D1121,ORDERS!$L$2:$L$4995,"Đã chuyển khoản"))</f>
        <v/>
      </c>
      <c r="X1121" s="23">
        <f>IF(OR($D1121="",$R1121="Trùng"),"",SUMIFS(ORDERS!$J$2:$J$4995,ORDERS!$C$2:$C$4995,$D1121,ORDERS!$L$2:$L$4995,"Đã chuyển khoản"))</f>
        <v/>
      </c>
      <c r="Y1121" s="24" t="n"/>
    </row>
    <row r="1122" ht="14.25" customHeight="1" s="40">
      <c r="A1122" s="24" t="n"/>
      <c r="B1122" s="27" t="n"/>
      <c r="C1122" s="24" t="n"/>
      <c r="D1122" s="28" t="n"/>
      <c r="E1122" s="29" t="n"/>
      <c r="F1122" s="24" t="n"/>
      <c r="G1122" s="24" t="n"/>
      <c r="H1122" s="21">
        <f>IF(ISNUMBER($B1122),INT($B1122)-WEEKDAY($B1122,2)+1,"")</f>
        <v/>
      </c>
      <c r="I1122" s="24" t="n"/>
      <c r="J1122" s="22">
        <f t="array" ref="J1122">IF($D1122="","",IF($I1122="","(trống REF)",IFERROR(INDEX(MASTER_SOURCE!$B$2:$B$495,MATCH($I1122,MASTER_SOURCE!$A$2:$A$495,0)),"(REF không có trong MASTER_SOURCE)")))</f>
        <v/>
      </c>
      <c r="K1122" s="22">
        <f t="array" ref="K1122">IF($D1122="","",IFERROR(INDEX(MASTER_SOURCE!$C$2:$C$495,MATCH($I1122,MASTER_SOURCE!$A$2:$A$495,0)),""))</f>
        <v/>
      </c>
      <c r="L1122" s="22">
        <f t="array" ref="L1122">IF($D1122="","",IFERROR(INDEX(MASTER_SOURCE!$D$2:$D$495,MATCH($I1122,MASTER_SOURCE!$A$2:$A$495,0)),""))</f>
        <v/>
      </c>
      <c r="M1122" s="24" t="n"/>
      <c r="N1122" s="24" t="n"/>
      <c r="O1122" s="24" t="n"/>
      <c r="P1122" s="24" t="n"/>
      <c r="Q1122" s="22">
        <f>IF($D1122="","",IF(AND(OR(DANH_MUC!$L$5&lt;&gt;"Có",M1122="Có"),OR(DANH_MUC!$L$6&lt;&gt;"Có",N1122="Có"),OR(DANH_MUC!$L$7&lt;&gt;"Có",O1122="Có"),OR(DANH_MUC!$L$8&lt;&gt;"Có",P1122="Có")),"Có","Không"))</f>
        <v/>
      </c>
      <c r="R1122" s="22">
        <f>IF($D1122="","",IF(COUNTIF($D$2:$D1122,$D1122)&gt;1,"Trùng",""))</f>
        <v/>
      </c>
      <c r="S1122" s="22">
        <f>IF($D1122="","",IF(AND(LEN($D1122)=10,LEFT($D1122,1)="0",ISNUMBER(--$D1122)),"Có","Không"))</f>
        <v/>
      </c>
      <c r="T1122" s="22">
        <f>IF($D1122="","",IF(AND($C1122&lt;&gt;"",$Q1122="Có",$R1122="",$S1122="Có",AND($L1122&lt;&gt;"",OR($L1122&lt;&gt;"Chưa xác định",DANH_MUC!$L$9="Có"))),"Có","Không"))</f>
        <v/>
      </c>
      <c r="U1122" s="22">
        <f>IF(OR($D1122="",$T1122="Có"),"",IF($C1122="","Thiếu họ tên; ","")&amp;IF($S1122&lt;&gt;"Có","SĐT sai định dạng; ","")&amp;IF($R1122="Trùng","Trùng SĐT; ","")&amp;IF($Q1122&lt;&gt;"Có","Thiếu đồng ý bắt buộc; ","")&amp;IF($L1122="","Thiếu/sai Mã REF; ",IF(AND($L1122="Chưa xác định",DANH_MUC!$L$9&lt;&gt;"Có"),"Nguồn chưa xác định; ","")))</f>
        <v/>
      </c>
      <c r="V1122" s="22">
        <f>IF(OR($D1122="",$R1122="Trùng"),"",IF(COUNTIF(ORDERS!$C$2:$C$4995,$D1122)&gt;0,"Có","Không"))</f>
        <v/>
      </c>
      <c r="W1122" s="22">
        <f>IF(OR($D1122="",$R1122="Trùng"),"",COUNTIFS(ORDERS!$C$2:$C$4995,$D1122,ORDERS!$L$2:$L$4995,"Đã chuyển khoản"))</f>
        <v/>
      </c>
      <c r="X1122" s="23">
        <f>IF(OR($D1122="",$R1122="Trùng"),"",SUMIFS(ORDERS!$J$2:$J$4995,ORDERS!$C$2:$C$4995,$D1122,ORDERS!$L$2:$L$4995,"Đã chuyển khoản"))</f>
        <v/>
      </c>
      <c r="Y1122" s="24" t="n"/>
    </row>
    <row r="1123" ht="14.25" customHeight="1" s="40">
      <c r="A1123" s="24" t="n"/>
      <c r="B1123" s="27" t="n"/>
      <c r="C1123" s="24" t="n"/>
      <c r="D1123" s="28" t="n"/>
      <c r="E1123" s="29" t="n"/>
      <c r="F1123" s="24" t="n"/>
      <c r="G1123" s="24" t="n"/>
      <c r="H1123" s="21">
        <f>IF(ISNUMBER($B1123),INT($B1123)-WEEKDAY($B1123,2)+1,"")</f>
        <v/>
      </c>
      <c r="I1123" s="24" t="n"/>
      <c r="J1123" s="22">
        <f t="array" ref="J1123">IF($D1123="","",IF($I1123="","(trống REF)",IFERROR(INDEX(MASTER_SOURCE!$B$2:$B$495,MATCH($I1123,MASTER_SOURCE!$A$2:$A$495,0)),"(REF không có trong MASTER_SOURCE)")))</f>
        <v/>
      </c>
      <c r="K1123" s="22">
        <f t="array" ref="K1123">IF($D1123="","",IFERROR(INDEX(MASTER_SOURCE!$C$2:$C$495,MATCH($I1123,MASTER_SOURCE!$A$2:$A$495,0)),""))</f>
        <v/>
      </c>
      <c r="L1123" s="22">
        <f t="array" ref="L1123">IF($D1123="","",IFERROR(INDEX(MASTER_SOURCE!$D$2:$D$495,MATCH($I1123,MASTER_SOURCE!$A$2:$A$495,0)),""))</f>
        <v/>
      </c>
      <c r="M1123" s="24" t="n"/>
      <c r="N1123" s="24" t="n"/>
      <c r="O1123" s="24" t="n"/>
      <c r="P1123" s="24" t="n"/>
      <c r="Q1123" s="22">
        <f>IF($D1123="","",IF(AND(OR(DANH_MUC!$L$5&lt;&gt;"Có",M1123="Có"),OR(DANH_MUC!$L$6&lt;&gt;"Có",N1123="Có"),OR(DANH_MUC!$L$7&lt;&gt;"Có",O1123="Có"),OR(DANH_MUC!$L$8&lt;&gt;"Có",P1123="Có")),"Có","Không"))</f>
        <v/>
      </c>
      <c r="R1123" s="22">
        <f>IF($D1123="","",IF(COUNTIF($D$2:$D1123,$D1123)&gt;1,"Trùng",""))</f>
        <v/>
      </c>
      <c r="S1123" s="22">
        <f>IF($D1123="","",IF(AND(LEN($D1123)=10,LEFT($D1123,1)="0",ISNUMBER(--$D1123)),"Có","Không"))</f>
        <v/>
      </c>
      <c r="T1123" s="22">
        <f>IF($D1123="","",IF(AND($C1123&lt;&gt;"",$Q1123="Có",$R1123="",$S1123="Có",AND($L1123&lt;&gt;"",OR($L1123&lt;&gt;"Chưa xác định",DANH_MUC!$L$9="Có"))),"Có","Không"))</f>
        <v/>
      </c>
      <c r="U1123" s="22">
        <f>IF(OR($D1123="",$T1123="Có"),"",IF($C1123="","Thiếu họ tên; ","")&amp;IF($S1123&lt;&gt;"Có","SĐT sai định dạng; ","")&amp;IF($R1123="Trùng","Trùng SĐT; ","")&amp;IF($Q1123&lt;&gt;"Có","Thiếu đồng ý bắt buộc; ","")&amp;IF($L1123="","Thiếu/sai Mã REF; ",IF(AND($L1123="Chưa xác định",DANH_MUC!$L$9&lt;&gt;"Có"),"Nguồn chưa xác định; ","")))</f>
        <v/>
      </c>
      <c r="V1123" s="22">
        <f>IF(OR($D1123="",$R1123="Trùng"),"",IF(COUNTIF(ORDERS!$C$2:$C$4995,$D1123)&gt;0,"Có","Không"))</f>
        <v/>
      </c>
      <c r="W1123" s="22">
        <f>IF(OR($D1123="",$R1123="Trùng"),"",COUNTIFS(ORDERS!$C$2:$C$4995,$D1123,ORDERS!$L$2:$L$4995,"Đã chuyển khoản"))</f>
        <v/>
      </c>
      <c r="X1123" s="23">
        <f>IF(OR($D1123="",$R1123="Trùng"),"",SUMIFS(ORDERS!$J$2:$J$4995,ORDERS!$C$2:$C$4995,$D1123,ORDERS!$L$2:$L$4995,"Đã chuyển khoản"))</f>
        <v/>
      </c>
      <c r="Y1123" s="24" t="n"/>
    </row>
    <row r="1124" ht="14.25" customHeight="1" s="40">
      <c r="A1124" s="24" t="n"/>
      <c r="B1124" s="27" t="n"/>
      <c r="C1124" s="24" t="n"/>
      <c r="D1124" s="28" t="n"/>
      <c r="E1124" s="29" t="n"/>
      <c r="F1124" s="24" t="n"/>
      <c r="G1124" s="24" t="n"/>
      <c r="H1124" s="21">
        <f>IF(ISNUMBER($B1124),INT($B1124)-WEEKDAY($B1124,2)+1,"")</f>
        <v/>
      </c>
      <c r="I1124" s="24" t="n"/>
      <c r="J1124" s="22">
        <f t="array" ref="J1124">IF($D1124="","",IF($I1124="","(trống REF)",IFERROR(INDEX(MASTER_SOURCE!$B$2:$B$495,MATCH($I1124,MASTER_SOURCE!$A$2:$A$495,0)),"(REF không có trong MASTER_SOURCE)")))</f>
        <v/>
      </c>
      <c r="K1124" s="22">
        <f t="array" ref="K1124">IF($D1124="","",IFERROR(INDEX(MASTER_SOURCE!$C$2:$C$495,MATCH($I1124,MASTER_SOURCE!$A$2:$A$495,0)),""))</f>
        <v/>
      </c>
      <c r="L1124" s="22">
        <f t="array" ref="L1124">IF($D1124="","",IFERROR(INDEX(MASTER_SOURCE!$D$2:$D$495,MATCH($I1124,MASTER_SOURCE!$A$2:$A$495,0)),""))</f>
        <v/>
      </c>
      <c r="M1124" s="24" t="n"/>
      <c r="N1124" s="24" t="n"/>
      <c r="O1124" s="24" t="n"/>
      <c r="P1124" s="24" t="n"/>
      <c r="Q1124" s="22">
        <f>IF($D1124="","",IF(AND(OR(DANH_MUC!$L$5&lt;&gt;"Có",M1124="Có"),OR(DANH_MUC!$L$6&lt;&gt;"Có",N1124="Có"),OR(DANH_MUC!$L$7&lt;&gt;"Có",O1124="Có"),OR(DANH_MUC!$L$8&lt;&gt;"Có",P1124="Có")),"Có","Không"))</f>
        <v/>
      </c>
      <c r="R1124" s="22">
        <f>IF($D1124="","",IF(COUNTIF($D$2:$D1124,$D1124)&gt;1,"Trùng",""))</f>
        <v/>
      </c>
      <c r="S1124" s="22">
        <f>IF($D1124="","",IF(AND(LEN($D1124)=10,LEFT($D1124,1)="0",ISNUMBER(--$D1124)),"Có","Không"))</f>
        <v/>
      </c>
      <c r="T1124" s="22">
        <f>IF($D1124="","",IF(AND($C1124&lt;&gt;"",$Q1124="Có",$R1124="",$S1124="Có",AND($L1124&lt;&gt;"",OR($L1124&lt;&gt;"Chưa xác định",DANH_MUC!$L$9="Có"))),"Có","Không"))</f>
        <v/>
      </c>
      <c r="U1124" s="22">
        <f>IF(OR($D1124="",$T1124="Có"),"",IF($C1124="","Thiếu họ tên; ","")&amp;IF($S1124&lt;&gt;"Có","SĐT sai định dạng; ","")&amp;IF($R1124="Trùng","Trùng SĐT; ","")&amp;IF($Q1124&lt;&gt;"Có","Thiếu đồng ý bắt buộc; ","")&amp;IF($L1124="","Thiếu/sai Mã REF; ",IF(AND($L1124="Chưa xác định",DANH_MUC!$L$9&lt;&gt;"Có"),"Nguồn chưa xác định; ","")))</f>
        <v/>
      </c>
      <c r="V1124" s="22">
        <f>IF(OR($D1124="",$R1124="Trùng"),"",IF(COUNTIF(ORDERS!$C$2:$C$4995,$D1124)&gt;0,"Có","Không"))</f>
        <v/>
      </c>
      <c r="W1124" s="22">
        <f>IF(OR($D1124="",$R1124="Trùng"),"",COUNTIFS(ORDERS!$C$2:$C$4995,$D1124,ORDERS!$L$2:$L$4995,"Đã chuyển khoản"))</f>
        <v/>
      </c>
      <c r="X1124" s="23">
        <f>IF(OR($D1124="",$R1124="Trùng"),"",SUMIFS(ORDERS!$J$2:$J$4995,ORDERS!$C$2:$C$4995,$D1124,ORDERS!$L$2:$L$4995,"Đã chuyển khoản"))</f>
        <v/>
      </c>
      <c r="Y1124" s="24" t="n"/>
    </row>
    <row r="1125" ht="14.25" customHeight="1" s="40">
      <c r="A1125" s="24" t="n"/>
      <c r="B1125" s="27" t="n"/>
      <c r="C1125" s="24" t="n"/>
      <c r="D1125" s="28" t="n"/>
      <c r="E1125" s="29" t="n"/>
      <c r="F1125" s="24" t="n"/>
      <c r="G1125" s="24" t="n"/>
      <c r="H1125" s="21">
        <f>IF(ISNUMBER($B1125),INT($B1125)-WEEKDAY($B1125,2)+1,"")</f>
        <v/>
      </c>
      <c r="I1125" s="24" t="n"/>
      <c r="J1125" s="22">
        <f t="array" ref="J1125">IF($D1125="","",IF($I1125="","(trống REF)",IFERROR(INDEX(MASTER_SOURCE!$B$2:$B$495,MATCH($I1125,MASTER_SOURCE!$A$2:$A$495,0)),"(REF không có trong MASTER_SOURCE)")))</f>
        <v/>
      </c>
      <c r="K1125" s="22">
        <f t="array" ref="K1125">IF($D1125="","",IFERROR(INDEX(MASTER_SOURCE!$C$2:$C$495,MATCH($I1125,MASTER_SOURCE!$A$2:$A$495,0)),""))</f>
        <v/>
      </c>
      <c r="L1125" s="22">
        <f t="array" ref="L1125">IF($D1125="","",IFERROR(INDEX(MASTER_SOURCE!$D$2:$D$495,MATCH($I1125,MASTER_SOURCE!$A$2:$A$495,0)),""))</f>
        <v/>
      </c>
      <c r="M1125" s="24" t="n"/>
      <c r="N1125" s="24" t="n"/>
      <c r="O1125" s="24" t="n"/>
      <c r="P1125" s="24" t="n"/>
      <c r="Q1125" s="22">
        <f>IF($D1125="","",IF(AND(OR(DANH_MUC!$L$5&lt;&gt;"Có",M1125="Có"),OR(DANH_MUC!$L$6&lt;&gt;"Có",N1125="Có"),OR(DANH_MUC!$L$7&lt;&gt;"Có",O1125="Có"),OR(DANH_MUC!$L$8&lt;&gt;"Có",P1125="Có")),"Có","Không"))</f>
        <v/>
      </c>
      <c r="R1125" s="22">
        <f>IF($D1125="","",IF(COUNTIF($D$2:$D1125,$D1125)&gt;1,"Trùng",""))</f>
        <v/>
      </c>
      <c r="S1125" s="22">
        <f>IF($D1125="","",IF(AND(LEN($D1125)=10,LEFT($D1125,1)="0",ISNUMBER(--$D1125)),"Có","Không"))</f>
        <v/>
      </c>
      <c r="T1125" s="22">
        <f>IF($D1125="","",IF(AND($C1125&lt;&gt;"",$Q1125="Có",$R1125="",$S1125="Có",AND($L1125&lt;&gt;"",OR($L1125&lt;&gt;"Chưa xác định",DANH_MUC!$L$9="Có"))),"Có","Không"))</f>
        <v/>
      </c>
      <c r="U1125" s="22">
        <f>IF(OR($D1125="",$T1125="Có"),"",IF($C1125="","Thiếu họ tên; ","")&amp;IF($S1125&lt;&gt;"Có","SĐT sai định dạng; ","")&amp;IF($R1125="Trùng","Trùng SĐT; ","")&amp;IF($Q1125&lt;&gt;"Có","Thiếu đồng ý bắt buộc; ","")&amp;IF($L1125="","Thiếu/sai Mã REF; ",IF(AND($L1125="Chưa xác định",DANH_MUC!$L$9&lt;&gt;"Có"),"Nguồn chưa xác định; ","")))</f>
        <v/>
      </c>
      <c r="V1125" s="22">
        <f>IF(OR($D1125="",$R1125="Trùng"),"",IF(COUNTIF(ORDERS!$C$2:$C$4995,$D1125)&gt;0,"Có","Không"))</f>
        <v/>
      </c>
      <c r="W1125" s="22">
        <f>IF(OR($D1125="",$R1125="Trùng"),"",COUNTIFS(ORDERS!$C$2:$C$4995,$D1125,ORDERS!$L$2:$L$4995,"Đã chuyển khoản"))</f>
        <v/>
      </c>
      <c r="X1125" s="23">
        <f>IF(OR($D1125="",$R1125="Trùng"),"",SUMIFS(ORDERS!$J$2:$J$4995,ORDERS!$C$2:$C$4995,$D1125,ORDERS!$L$2:$L$4995,"Đã chuyển khoản"))</f>
        <v/>
      </c>
      <c r="Y1125" s="24" t="n"/>
    </row>
    <row r="1126" ht="14.25" customHeight="1" s="40">
      <c r="A1126" s="24" t="n"/>
      <c r="B1126" s="27" t="n"/>
      <c r="C1126" s="24" t="n"/>
      <c r="D1126" s="28" t="n"/>
      <c r="E1126" s="29" t="n"/>
      <c r="F1126" s="24" t="n"/>
      <c r="G1126" s="24" t="n"/>
      <c r="H1126" s="21">
        <f>IF(ISNUMBER($B1126),INT($B1126)-WEEKDAY($B1126,2)+1,"")</f>
        <v/>
      </c>
      <c r="I1126" s="24" t="n"/>
      <c r="J1126" s="22">
        <f t="array" ref="J1126">IF($D1126="","",IF($I1126="","(trống REF)",IFERROR(INDEX(MASTER_SOURCE!$B$2:$B$495,MATCH($I1126,MASTER_SOURCE!$A$2:$A$495,0)),"(REF không có trong MASTER_SOURCE)")))</f>
        <v/>
      </c>
      <c r="K1126" s="22">
        <f t="array" ref="K1126">IF($D1126="","",IFERROR(INDEX(MASTER_SOURCE!$C$2:$C$495,MATCH($I1126,MASTER_SOURCE!$A$2:$A$495,0)),""))</f>
        <v/>
      </c>
      <c r="L1126" s="22">
        <f t="array" ref="L1126">IF($D1126="","",IFERROR(INDEX(MASTER_SOURCE!$D$2:$D$495,MATCH($I1126,MASTER_SOURCE!$A$2:$A$495,0)),""))</f>
        <v/>
      </c>
      <c r="M1126" s="24" t="n"/>
      <c r="N1126" s="24" t="n"/>
      <c r="O1126" s="24" t="n"/>
      <c r="P1126" s="24" t="n"/>
      <c r="Q1126" s="22">
        <f>IF($D1126="","",IF(AND(OR(DANH_MUC!$L$5&lt;&gt;"Có",M1126="Có"),OR(DANH_MUC!$L$6&lt;&gt;"Có",N1126="Có"),OR(DANH_MUC!$L$7&lt;&gt;"Có",O1126="Có"),OR(DANH_MUC!$L$8&lt;&gt;"Có",P1126="Có")),"Có","Không"))</f>
        <v/>
      </c>
      <c r="R1126" s="22">
        <f>IF($D1126="","",IF(COUNTIF($D$2:$D1126,$D1126)&gt;1,"Trùng",""))</f>
        <v/>
      </c>
      <c r="S1126" s="22">
        <f>IF($D1126="","",IF(AND(LEN($D1126)=10,LEFT($D1126,1)="0",ISNUMBER(--$D1126)),"Có","Không"))</f>
        <v/>
      </c>
      <c r="T1126" s="22">
        <f>IF($D1126="","",IF(AND($C1126&lt;&gt;"",$Q1126="Có",$R1126="",$S1126="Có",AND($L1126&lt;&gt;"",OR($L1126&lt;&gt;"Chưa xác định",DANH_MUC!$L$9="Có"))),"Có","Không"))</f>
        <v/>
      </c>
      <c r="U1126" s="22">
        <f>IF(OR($D1126="",$T1126="Có"),"",IF($C1126="","Thiếu họ tên; ","")&amp;IF($S1126&lt;&gt;"Có","SĐT sai định dạng; ","")&amp;IF($R1126="Trùng","Trùng SĐT; ","")&amp;IF($Q1126&lt;&gt;"Có","Thiếu đồng ý bắt buộc; ","")&amp;IF($L1126="","Thiếu/sai Mã REF; ",IF(AND($L1126="Chưa xác định",DANH_MUC!$L$9&lt;&gt;"Có"),"Nguồn chưa xác định; ","")))</f>
        <v/>
      </c>
      <c r="V1126" s="22">
        <f>IF(OR($D1126="",$R1126="Trùng"),"",IF(COUNTIF(ORDERS!$C$2:$C$4995,$D1126)&gt;0,"Có","Không"))</f>
        <v/>
      </c>
      <c r="W1126" s="22">
        <f>IF(OR($D1126="",$R1126="Trùng"),"",COUNTIFS(ORDERS!$C$2:$C$4995,$D1126,ORDERS!$L$2:$L$4995,"Đã chuyển khoản"))</f>
        <v/>
      </c>
      <c r="X1126" s="23">
        <f>IF(OR($D1126="",$R1126="Trùng"),"",SUMIFS(ORDERS!$J$2:$J$4995,ORDERS!$C$2:$C$4995,$D1126,ORDERS!$L$2:$L$4995,"Đã chuyển khoản"))</f>
        <v/>
      </c>
      <c r="Y1126" s="24" t="n"/>
    </row>
    <row r="1127" ht="14.25" customHeight="1" s="40">
      <c r="A1127" s="24" t="n"/>
      <c r="B1127" s="27" t="n"/>
      <c r="C1127" s="24" t="n"/>
      <c r="D1127" s="28" t="n"/>
      <c r="E1127" s="29" t="n"/>
      <c r="F1127" s="24" t="n"/>
      <c r="G1127" s="24" t="n"/>
      <c r="H1127" s="21">
        <f>IF(ISNUMBER($B1127),INT($B1127)-WEEKDAY($B1127,2)+1,"")</f>
        <v/>
      </c>
      <c r="I1127" s="24" t="n"/>
      <c r="J1127" s="22">
        <f t="array" ref="J1127">IF($D1127="","",IF($I1127="","(trống REF)",IFERROR(INDEX(MASTER_SOURCE!$B$2:$B$495,MATCH($I1127,MASTER_SOURCE!$A$2:$A$495,0)),"(REF không có trong MASTER_SOURCE)")))</f>
        <v/>
      </c>
      <c r="K1127" s="22">
        <f t="array" ref="K1127">IF($D1127="","",IFERROR(INDEX(MASTER_SOURCE!$C$2:$C$495,MATCH($I1127,MASTER_SOURCE!$A$2:$A$495,0)),""))</f>
        <v/>
      </c>
      <c r="L1127" s="22">
        <f t="array" ref="L1127">IF($D1127="","",IFERROR(INDEX(MASTER_SOURCE!$D$2:$D$495,MATCH($I1127,MASTER_SOURCE!$A$2:$A$495,0)),""))</f>
        <v/>
      </c>
      <c r="M1127" s="24" t="n"/>
      <c r="N1127" s="24" t="n"/>
      <c r="O1127" s="24" t="n"/>
      <c r="P1127" s="24" t="n"/>
      <c r="Q1127" s="22">
        <f>IF($D1127="","",IF(AND(OR(DANH_MUC!$L$5&lt;&gt;"Có",M1127="Có"),OR(DANH_MUC!$L$6&lt;&gt;"Có",N1127="Có"),OR(DANH_MUC!$L$7&lt;&gt;"Có",O1127="Có"),OR(DANH_MUC!$L$8&lt;&gt;"Có",P1127="Có")),"Có","Không"))</f>
        <v/>
      </c>
      <c r="R1127" s="22">
        <f>IF($D1127="","",IF(COUNTIF($D$2:$D1127,$D1127)&gt;1,"Trùng",""))</f>
        <v/>
      </c>
      <c r="S1127" s="22">
        <f>IF($D1127="","",IF(AND(LEN($D1127)=10,LEFT($D1127,1)="0",ISNUMBER(--$D1127)),"Có","Không"))</f>
        <v/>
      </c>
      <c r="T1127" s="22">
        <f>IF($D1127="","",IF(AND($C1127&lt;&gt;"",$Q1127="Có",$R1127="",$S1127="Có",AND($L1127&lt;&gt;"",OR($L1127&lt;&gt;"Chưa xác định",DANH_MUC!$L$9="Có"))),"Có","Không"))</f>
        <v/>
      </c>
      <c r="U1127" s="22">
        <f>IF(OR($D1127="",$T1127="Có"),"",IF($C1127="","Thiếu họ tên; ","")&amp;IF($S1127&lt;&gt;"Có","SĐT sai định dạng; ","")&amp;IF($R1127="Trùng","Trùng SĐT; ","")&amp;IF($Q1127&lt;&gt;"Có","Thiếu đồng ý bắt buộc; ","")&amp;IF($L1127="","Thiếu/sai Mã REF; ",IF(AND($L1127="Chưa xác định",DANH_MUC!$L$9&lt;&gt;"Có"),"Nguồn chưa xác định; ","")))</f>
        <v/>
      </c>
      <c r="V1127" s="22">
        <f>IF(OR($D1127="",$R1127="Trùng"),"",IF(COUNTIF(ORDERS!$C$2:$C$4995,$D1127)&gt;0,"Có","Không"))</f>
        <v/>
      </c>
      <c r="W1127" s="22">
        <f>IF(OR($D1127="",$R1127="Trùng"),"",COUNTIFS(ORDERS!$C$2:$C$4995,$D1127,ORDERS!$L$2:$L$4995,"Đã chuyển khoản"))</f>
        <v/>
      </c>
      <c r="X1127" s="23">
        <f>IF(OR($D1127="",$R1127="Trùng"),"",SUMIFS(ORDERS!$J$2:$J$4995,ORDERS!$C$2:$C$4995,$D1127,ORDERS!$L$2:$L$4995,"Đã chuyển khoản"))</f>
        <v/>
      </c>
      <c r="Y1127" s="24" t="n"/>
    </row>
    <row r="1128" ht="14.25" customHeight="1" s="40">
      <c r="A1128" s="24" t="n"/>
      <c r="B1128" s="27" t="n"/>
      <c r="C1128" s="24" t="n"/>
      <c r="D1128" s="28" t="n"/>
      <c r="E1128" s="29" t="n"/>
      <c r="F1128" s="24" t="n"/>
      <c r="G1128" s="24" t="n"/>
      <c r="H1128" s="21">
        <f>IF(ISNUMBER($B1128),INT($B1128)-WEEKDAY($B1128,2)+1,"")</f>
        <v/>
      </c>
      <c r="I1128" s="24" t="n"/>
      <c r="J1128" s="22">
        <f t="array" ref="J1128">IF($D1128="","",IF($I1128="","(trống REF)",IFERROR(INDEX(MASTER_SOURCE!$B$2:$B$495,MATCH($I1128,MASTER_SOURCE!$A$2:$A$495,0)),"(REF không có trong MASTER_SOURCE)")))</f>
        <v/>
      </c>
      <c r="K1128" s="22">
        <f t="array" ref="K1128">IF($D1128="","",IFERROR(INDEX(MASTER_SOURCE!$C$2:$C$495,MATCH($I1128,MASTER_SOURCE!$A$2:$A$495,0)),""))</f>
        <v/>
      </c>
      <c r="L1128" s="22">
        <f t="array" ref="L1128">IF($D1128="","",IFERROR(INDEX(MASTER_SOURCE!$D$2:$D$495,MATCH($I1128,MASTER_SOURCE!$A$2:$A$495,0)),""))</f>
        <v/>
      </c>
      <c r="M1128" s="24" t="n"/>
      <c r="N1128" s="24" t="n"/>
      <c r="O1128" s="24" t="n"/>
      <c r="P1128" s="24" t="n"/>
      <c r="Q1128" s="22">
        <f>IF($D1128="","",IF(AND(OR(DANH_MUC!$L$5&lt;&gt;"Có",M1128="Có"),OR(DANH_MUC!$L$6&lt;&gt;"Có",N1128="Có"),OR(DANH_MUC!$L$7&lt;&gt;"Có",O1128="Có"),OR(DANH_MUC!$L$8&lt;&gt;"Có",P1128="Có")),"Có","Không"))</f>
        <v/>
      </c>
      <c r="R1128" s="22">
        <f>IF($D1128="","",IF(COUNTIF($D$2:$D1128,$D1128)&gt;1,"Trùng",""))</f>
        <v/>
      </c>
      <c r="S1128" s="22">
        <f>IF($D1128="","",IF(AND(LEN($D1128)=10,LEFT($D1128,1)="0",ISNUMBER(--$D1128)),"Có","Không"))</f>
        <v/>
      </c>
      <c r="T1128" s="22">
        <f>IF($D1128="","",IF(AND($C1128&lt;&gt;"",$Q1128="Có",$R1128="",$S1128="Có",AND($L1128&lt;&gt;"",OR($L1128&lt;&gt;"Chưa xác định",DANH_MUC!$L$9="Có"))),"Có","Không"))</f>
        <v/>
      </c>
      <c r="U1128" s="22">
        <f>IF(OR($D1128="",$T1128="Có"),"",IF($C1128="","Thiếu họ tên; ","")&amp;IF($S1128&lt;&gt;"Có","SĐT sai định dạng; ","")&amp;IF($R1128="Trùng","Trùng SĐT; ","")&amp;IF($Q1128&lt;&gt;"Có","Thiếu đồng ý bắt buộc; ","")&amp;IF($L1128="","Thiếu/sai Mã REF; ",IF(AND($L1128="Chưa xác định",DANH_MUC!$L$9&lt;&gt;"Có"),"Nguồn chưa xác định; ","")))</f>
        <v/>
      </c>
      <c r="V1128" s="22">
        <f>IF(OR($D1128="",$R1128="Trùng"),"",IF(COUNTIF(ORDERS!$C$2:$C$4995,$D1128)&gt;0,"Có","Không"))</f>
        <v/>
      </c>
      <c r="W1128" s="22">
        <f>IF(OR($D1128="",$R1128="Trùng"),"",COUNTIFS(ORDERS!$C$2:$C$4995,$D1128,ORDERS!$L$2:$L$4995,"Đã chuyển khoản"))</f>
        <v/>
      </c>
      <c r="X1128" s="23">
        <f>IF(OR($D1128="",$R1128="Trùng"),"",SUMIFS(ORDERS!$J$2:$J$4995,ORDERS!$C$2:$C$4995,$D1128,ORDERS!$L$2:$L$4995,"Đã chuyển khoản"))</f>
        <v/>
      </c>
      <c r="Y1128" s="24" t="n"/>
    </row>
    <row r="1129" ht="14.25" customHeight="1" s="40">
      <c r="A1129" s="24" t="n"/>
      <c r="B1129" s="27" t="n"/>
      <c r="C1129" s="24" t="n"/>
      <c r="D1129" s="28" t="n"/>
      <c r="E1129" s="29" t="n"/>
      <c r="F1129" s="24" t="n"/>
      <c r="G1129" s="24" t="n"/>
      <c r="H1129" s="21">
        <f>IF(ISNUMBER($B1129),INT($B1129)-WEEKDAY($B1129,2)+1,"")</f>
        <v/>
      </c>
      <c r="I1129" s="24" t="n"/>
      <c r="J1129" s="22">
        <f t="array" ref="J1129">IF($D1129="","",IF($I1129="","(trống REF)",IFERROR(INDEX(MASTER_SOURCE!$B$2:$B$495,MATCH($I1129,MASTER_SOURCE!$A$2:$A$495,0)),"(REF không có trong MASTER_SOURCE)")))</f>
        <v/>
      </c>
      <c r="K1129" s="22">
        <f t="array" ref="K1129">IF($D1129="","",IFERROR(INDEX(MASTER_SOURCE!$C$2:$C$495,MATCH($I1129,MASTER_SOURCE!$A$2:$A$495,0)),""))</f>
        <v/>
      </c>
      <c r="L1129" s="22">
        <f t="array" ref="L1129">IF($D1129="","",IFERROR(INDEX(MASTER_SOURCE!$D$2:$D$495,MATCH($I1129,MASTER_SOURCE!$A$2:$A$495,0)),""))</f>
        <v/>
      </c>
      <c r="M1129" s="24" t="n"/>
      <c r="N1129" s="24" t="n"/>
      <c r="O1129" s="24" t="n"/>
      <c r="P1129" s="24" t="n"/>
      <c r="Q1129" s="22">
        <f>IF($D1129="","",IF(AND(OR(DANH_MUC!$L$5&lt;&gt;"Có",M1129="Có"),OR(DANH_MUC!$L$6&lt;&gt;"Có",N1129="Có"),OR(DANH_MUC!$L$7&lt;&gt;"Có",O1129="Có"),OR(DANH_MUC!$L$8&lt;&gt;"Có",P1129="Có")),"Có","Không"))</f>
        <v/>
      </c>
      <c r="R1129" s="22">
        <f>IF($D1129="","",IF(COUNTIF($D$2:$D1129,$D1129)&gt;1,"Trùng",""))</f>
        <v/>
      </c>
      <c r="S1129" s="22">
        <f>IF($D1129="","",IF(AND(LEN($D1129)=10,LEFT($D1129,1)="0",ISNUMBER(--$D1129)),"Có","Không"))</f>
        <v/>
      </c>
      <c r="T1129" s="22">
        <f>IF($D1129="","",IF(AND($C1129&lt;&gt;"",$Q1129="Có",$R1129="",$S1129="Có",AND($L1129&lt;&gt;"",OR($L1129&lt;&gt;"Chưa xác định",DANH_MUC!$L$9="Có"))),"Có","Không"))</f>
        <v/>
      </c>
      <c r="U1129" s="22">
        <f>IF(OR($D1129="",$T1129="Có"),"",IF($C1129="","Thiếu họ tên; ","")&amp;IF($S1129&lt;&gt;"Có","SĐT sai định dạng; ","")&amp;IF($R1129="Trùng","Trùng SĐT; ","")&amp;IF($Q1129&lt;&gt;"Có","Thiếu đồng ý bắt buộc; ","")&amp;IF($L1129="","Thiếu/sai Mã REF; ",IF(AND($L1129="Chưa xác định",DANH_MUC!$L$9&lt;&gt;"Có"),"Nguồn chưa xác định; ","")))</f>
        <v/>
      </c>
      <c r="V1129" s="22">
        <f>IF(OR($D1129="",$R1129="Trùng"),"",IF(COUNTIF(ORDERS!$C$2:$C$4995,$D1129)&gt;0,"Có","Không"))</f>
        <v/>
      </c>
      <c r="W1129" s="22">
        <f>IF(OR($D1129="",$R1129="Trùng"),"",COUNTIFS(ORDERS!$C$2:$C$4995,$D1129,ORDERS!$L$2:$L$4995,"Đã chuyển khoản"))</f>
        <v/>
      </c>
      <c r="X1129" s="23">
        <f>IF(OR($D1129="",$R1129="Trùng"),"",SUMIFS(ORDERS!$J$2:$J$4995,ORDERS!$C$2:$C$4995,$D1129,ORDERS!$L$2:$L$4995,"Đã chuyển khoản"))</f>
        <v/>
      </c>
      <c r="Y1129" s="24" t="n"/>
    </row>
    <row r="1130" ht="14.25" customHeight="1" s="40">
      <c r="A1130" s="24" t="n"/>
      <c r="B1130" s="27" t="n"/>
      <c r="C1130" s="24" t="n"/>
      <c r="D1130" s="28" t="n"/>
      <c r="E1130" s="29" t="n"/>
      <c r="F1130" s="24" t="n"/>
      <c r="G1130" s="24" t="n"/>
      <c r="H1130" s="21">
        <f>IF(ISNUMBER($B1130),INT($B1130)-WEEKDAY($B1130,2)+1,"")</f>
        <v/>
      </c>
      <c r="I1130" s="24" t="n"/>
      <c r="J1130" s="22">
        <f t="array" ref="J1130">IF($D1130="","",IF($I1130="","(trống REF)",IFERROR(INDEX(MASTER_SOURCE!$B$2:$B$495,MATCH($I1130,MASTER_SOURCE!$A$2:$A$495,0)),"(REF không có trong MASTER_SOURCE)")))</f>
        <v/>
      </c>
      <c r="K1130" s="22">
        <f t="array" ref="K1130">IF($D1130="","",IFERROR(INDEX(MASTER_SOURCE!$C$2:$C$495,MATCH($I1130,MASTER_SOURCE!$A$2:$A$495,0)),""))</f>
        <v/>
      </c>
      <c r="L1130" s="22">
        <f t="array" ref="L1130">IF($D1130="","",IFERROR(INDEX(MASTER_SOURCE!$D$2:$D$495,MATCH($I1130,MASTER_SOURCE!$A$2:$A$495,0)),""))</f>
        <v/>
      </c>
      <c r="M1130" s="24" t="n"/>
      <c r="N1130" s="24" t="n"/>
      <c r="O1130" s="24" t="n"/>
      <c r="P1130" s="24" t="n"/>
      <c r="Q1130" s="22">
        <f>IF($D1130="","",IF(AND(OR(DANH_MUC!$L$5&lt;&gt;"Có",M1130="Có"),OR(DANH_MUC!$L$6&lt;&gt;"Có",N1130="Có"),OR(DANH_MUC!$L$7&lt;&gt;"Có",O1130="Có"),OR(DANH_MUC!$L$8&lt;&gt;"Có",P1130="Có")),"Có","Không"))</f>
        <v/>
      </c>
      <c r="R1130" s="22">
        <f>IF($D1130="","",IF(COUNTIF($D$2:$D1130,$D1130)&gt;1,"Trùng",""))</f>
        <v/>
      </c>
      <c r="S1130" s="22">
        <f>IF($D1130="","",IF(AND(LEN($D1130)=10,LEFT($D1130,1)="0",ISNUMBER(--$D1130)),"Có","Không"))</f>
        <v/>
      </c>
      <c r="T1130" s="22">
        <f>IF($D1130="","",IF(AND($C1130&lt;&gt;"",$Q1130="Có",$R1130="",$S1130="Có",AND($L1130&lt;&gt;"",OR($L1130&lt;&gt;"Chưa xác định",DANH_MUC!$L$9="Có"))),"Có","Không"))</f>
        <v/>
      </c>
      <c r="U1130" s="22">
        <f>IF(OR($D1130="",$T1130="Có"),"",IF($C1130="","Thiếu họ tên; ","")&amp;IF($S1130&lt;&gt;"Có","SĐT sai định dạng; ","")&amp;IF($R1130="Trùng","Trùng SĐT; ","")&amp;IF($Q1130&lt;&gt;"Có","Thiếu đồng ý bắt buộc; ","")&amp;IF($L1130="","Thiếu/sai Mã REF; ",IF(AND($L1130="Chưa xác định",DANH_MUC!$L$9&lt;&gt;"Có"),"Nguồn chưa xác định; ","")))</f>
        <v/>
      </c>
      <c r="V1130" s="22">
        <f>IF(OR($D1130="",$R1130="Trùng"),"",IF(COUNTIF(ORDERS!$C$2:$C$4995,$D1130)&gt;0,"Có","Không"))</f>
        <v/>
      </c>
      <c r="W1130" s="22">
        <f>IF(OR($D1130="",$R1130="Trùng"),"",COUNTIFS(ORDERS!$C$2:$C$4995,$D1130,ORDERS!$L$2:$L$4995,"Đã chuyển khoản"))</f>
        <v/>
      </c>
      <c r="X1130" s="23">
        <f>IF(OR($D1130="",$R1130="Trùng"),"",SUMIFS(ORDERS!$J$2:$J$4995,ORDERS!$C$2:$C$4995,$D1130,ORDERS!$L$2:$L$4995,"Đã chuyển khoản"))</f>
        <v/>
      </c>
      <c r="Y1130" s="24" t="n"/>
    </row>
    <row r="1131" ht="14.25" customHeight="1" s="40">
      <c r="A1131" s="24" t="n"/>
      <c r="B1131" s="27" t="n"/>
      <c r="C1131" s="24" t="n"/>
      <c r="D1131" s="28" t="n"/>
      <c r="E1131" s="29" t="n"/>
      <c r="F1131" s="24" t="n"/>
      <c r="G1131" s="24" t="n"/>
      <c r="H1131" s="21">
        <f>IF(ISNUMBER($B1131),INT($B1131)-WEEKDAY($B1131,2)+1,"")</f>
        <v/>
      </c>
      <c r="I1131" s="24" t="n"/>
      <c r="J1131" s="22">
        <f t="array" ref="J1131">IF($D1131="","",IF($I1131="","(trống REF)",IFERROR(INDEX(MASTER_SOURCE!$B$2:$B$495,MATCH($I1131,MASTER_SOURCE!$A$2:$A$495,0)),"(REF không có trong MASTER_SOURCE)")))</f>
        <v/>
      </c>
      <c r="K1131" s="22">
        <f t="array" ref="K1131">IF($D1131="","",IFERROR(INDEX(MASTER_SOURCE!$C$2:$C$495,MATCH($I1131,MASTER_SOURCE!$A$2:$A$495,0)),""))</f>
        <v/>
      </c>
      <c r="L1131" s="22">
        <f t="array" ref="L1131">IF($D1131="","",IFERROR(INDEX(MASTER_SOURCE!$D$2:$D$495,MATCH($I1131,MASTER_SOURCE!$A$2:$A$495,0)),""))</f>
        <v/>
      </c>
      <c r="M1131" s="24" t="n"/>
      <c r="N1131" s="24" t="n"/>
      <c r="O1131" s="24" t="n"/>
      <c r="P1131" s="24" t="n"/>
      <c r="Q1131" s="22">
        <f>IF($D1131="","",IF(AND(OR(DANH_MUC!$L$5&lt;&gt;"Có",M1131="Có"),OR(DANH_MUC!$L$6&lt;&gt;"Có",N1131="Có"),OR(DANH_MUC!$L$7&lt;&gt;"Có",O1131="Có"),OR(DANH_MUC!$L$8&lt;&gt;"Có",P1131="Có")),"Có","Không"))</f>
        <v/>
      </c>
      <c r="R1131" s="22">
        <f>IF($D1131="","",IF(COUNTIF($D$2:$D1131,$D1131)&gt;1,"Trùng",""))</f>
        <v/>
      </c>
      <c r="S1131" s="22">
        <f>IF($D1131="","",IF(AND(LEN($D1131)=10,LEFT($D1131,1)="0",ISNUMBER(--$D1131)),"Có","Không"))</f>
        <v/>
      </c>
      <c r="T1131" s="22">
        <f>IF($D1131="","",IF(AND($C1131&lt;&gt;"",$Q1131="Có",$R1131="",$S1131="Có",AND($L1131&lt;&gt;"",OR($L1131&lt;&gt;"Chưa xác định",DANH_MUC!$L$9="Có"))),"Có","Không"))</f>
        <v/>
      </c>
      <c r="U1131" s="22">
        <f>IF(OR($D1131="",$T1131="Có"),"",IF($C1131="","Thiếu họ tên; ","")&amp;IF($S1131&lt;&gt;"Có","SĐT sai định dạng; ","")&amp;IF($R1131="Trùng","Trùng SĐT; ","")&amp;IF($Q1131&lt;&gt;"Có","Thiếu đồng ý bắt buộc; ","")&amp;IF($L1131="","Thiếu/sai Mã REF; ",IF(AND($L1131="Chưa xác định",DANH_MUC!$L$9&lt;&gt;"Có"),"Nguồn chưa xác định; ","")))</f>
        <v/>
      </c>
      <c r="V1131" s="22">
        <f>IF(OR($D1131="",$R1131="Trùng"),"",IF(COUNTIF(ORDERS!$C$2:$C$4995,$D1131)&gt;0,"Có","Không"))</f>
        <v/>
      </c>
      <c r="W1131" s="22">
        <f>IF(OR($D1131="",$R1131="Trùng"),"",COUNTIFS(ORDERS!$C$2:$C$4995,$D1131,ORDERS!$L$2:$L$4995,"Đã chuyển khoản"))</f>
        <v/>
      </c>
      <c r="X1131" s="23">
        <f>IF(OR($D1131="",$R1131="Trùng"),"",SUMIFS(ORDERS!$J$2:$J$4995,ORDERS!$C$2:$C$4995,$D1131,ORDERS!$L$2:$L$4995,"Đã chuyển khoản"))</f>
        <v/>
      </c>
      <c r="Y1131" s="24" t="n"/>
    </row>
    <row r="1132" ht="14.25" customHeight="1" s="40">
      <c r="A1132" s="24" t="n"/>
      <c r="B1132" s="27" t="n"/>
      <c r="C1132" s="24" t="n"/>
      <c r="D1132" s="28" t="n"/>
      <c r="E1132" s="29" t="n"/>
      <c r="F1132" s="24" t="n"/>
      <c r="G1132" s="24" t="n"/>
      <c r="H1132" s="21">
        <f>IF(ISNUMBER($B1132),INT($B1132)-WEEKDAY($B1132,2)+1,"")</f>
        <v/>
      </c>
      <c r="I1132" s="24" t="n"/>
      <c r="J1132" s="22">
        <f t="array" ref="J1132">IF($D1132="","",IF($I1132="","(trống REF)",IFERROR(INDEX(MASTER_SOURCE!$B$2:$B$495,MATCH($I1132,MASTER_SOURCE!$A$2:$A$495,0)),"(REF không có trong MASTER_SOURCE)")))</f>
        <v/>
      </c>
      <c r="K1132" s="22">
        <f t="array" ref="K1132">IF($D1132="","",IFERROR(INDEX(MASTER_SOURCE!$C$2:$C$495,MATCH($I1132,MASTER_SOURCE!$A$2:$A$495,0)),""))</f>
        <v/>
      </c>
      <c r="L1132" s="22">
        <f t="array" ref="L1132">IF($D1132="","",IFERROR(INDEX(MASTER_SOURCE!$D$2:$D$495,MATCH($I1132,MASTER_SOURCE!$A$2:$A$495,0)),""))</f>
        <v/>
      </c>
      <c r="M1132" s="24" t="n"/>
      <c r="N1132" s="24" t="n"/>
      <c r="O1132" s="24" t="n"/>
      <c r="P1132" s="24" t="n"/>
      <c r="Q1132" s="22">
        <f>IF($D1132="","",IF(AND(OR(DANH_MUC!$L$5&lt;&gt;"Có",M1132="Có"),OR(DANH_MUC!$L$6&lt;&gt;"Có",N1132="Có"),OR(DANH_MUC!$L$7&lt;&gt;"Có",O1132="Có"),OR(DANH_MUC!$L$8&lt;&gt;"Có",P1132="Có")),"Có","Không"))</f>
        <v/>
      </c>
      <c r="R1132" s="22">
        <f>IF($D1132="","",IF(COUNTIF($D$2:$D1132,$D1132)&gt;1,"Trùng",""))</f>
        <v/>
      </c>
      <c r="S1132" s="22">
        <f>IF($D1132="","",IF(AND(LEN($D1132)=10,LEFT($D1132,1)="0",ISNUMBER(--$D1132)),"Có","Không"))</f>
        <v/>
      </c>
      <c r="T1132" s="22">
        <f>IF($D1132="","",IF(AND($C1132&lt;&gt;"",$Q1132="Có",$R1132="",$S1132="Có",AND($L1132&lt;&gt;"",OR($L1132&lt;&gt;"Chưa xác định",DANH_MUC!$L$9="Có"))),"Có","Không"))</f>
        <v/>
      </c>
      <c r="U1132" s="22">
        <f>IF(OR($D1132="",$T1132="Có"),"",IF($C1132="","Thiếu họ tên; ","")&amp;IF($S1132&lt;&gt;"Có","SĐT sai định dạng; ","")&amp;IF($R1132="Trùng","Trùng SĐT; ","")&amp;IF($Q1132&lt;&gt;"Có","Thiếu đồng ý bắt buộc; ","")&amp;IF($L1132="","Thiếu/sai Mã REF; ",IF(AND($L1132="Chưa xác định",DANH_MUC!$L$9&lt;&gt;"Có"),"Nguồn chưa xác định; ","")))</f>
        <v/>
      </c>
      <c r="V1132" s="22">
        <f>IF(OR($D1132="",$R1132="Trùng"),"",IF(COUNTIF(ORDERS!$C$2:$C$4995,$D1132)&gt;0,"Có","Không"))</f>
        <v/>
      </c>
      <c r="W1132" s="22">
        <f>IF(OR($D1132="",$R1132="Trùng"),"",COUNTIFS(ORDERS!$C$2:$C$4995,$D1132,ORDERS!$L$2:$L$4995,"Đã chuyển khoản"))</f>
        <v/>
      </c>
      <c r="X1132" s="23">
        <f>IF(OR($D1132="",$R1132="Trùng"),"",SUMIFS(ORDERS!$J$2:$J$4995,ORDERS!$C$2:$C$4995,$D1132,ORDERS!$L$2:$L$4995,"Đã chuyển khoản"))</f>
        <v/>
      </c>
      <c r="Y1132" s="24" t="n"/>
    </row>
    <row r="1133" ht="14.25" customHeight="1" s="40">
      <c r="A1133" s="24" t="n"/>
      <c r="B1133" s="27" t="n"/>
      <c r="C1133" s="24" t="n"/>
      <c r="D1133" s="28" t="n"/>
      <c r="E1133" s="29" t="n"/>
      <c r="F1133" s="24" t="n"/>
      <c r="G1133" s="24" t="n"/>
      <c r="H1133" s="21">
        <f>IF(ISNUMBER($B1133),INT($B1133)-WEEKDAY($B1133,2)+1,"")</f>
        <v/>
      </c>
      <c r="I1133" s="24" t="n"/>
      <c r="J1133" s="22">
        <f t="array" ref="J1133">IF($D1133="","",IF($I1133="","(trống REF)",IFERROR(INDEX(MASTER_SOURCE!$B$2:$B$495,MATCH($I1133,MASTER_SOURCE!$A$2:$A$495,0)),"(REF không có trong MASTER_SOURCE)")))</f>
        <v/>
      </c>
      <c r="K1133" s="22">
        <f t="array" ref="K1133">IF($D1133="","",IFERROR(INDEX(MASTER_SOURCE!$C$2:$C$495,MATCH($I1133,MASTER_SOURCE!$A$2:$A$495,0)),""))</f>
        <v/>
      </c>
      <c r="L1133" s="22">
        <f t="array" ref="L1133">IF($D1133="","",IFERROR(INDEX(MASTER_SOURCE!$D$2:$D$495,MATCH($I1133,MASTER_SOURCE!$A$2:$A$495,0)),""))</f>
        <v/>
      </c>
      <c r="M1133" s="24" t="n"/>
      <c r="N1133" s="24" t="n"/>
      <c r="O1133" s="24" t="n"/>
      <c r="P1133" s="24" t="n"/>
      <c r="Q1133" s="22">
        <f>IF($D1133="","",IF(AND(OR(DANH_MUC!$L$5&lt;&gt;"Có",M1133="Có"),OR(DANH_MUC!$L$6&lt;&gt;"Có",N1133="Có"),OR(DANH_MUC!$L$7&lt;&gt;"Có",O1133="Có"),OR(DANH_MUC!$L$8&lt;&gt;"Có",P1133="Có")),"Có","Không"))</f>
        <v/>
      </c>
      <c r="R1133" s="22">
        <f>IF($D1133="","",IF(COUNTIF($D$2:$D1133,$D1133)&gt;1,"Trùng",""))</f>
        <v/>
      </c>
      <c r="S1133" s="22">
        <f>IF($D1133="","",IF(AND(LEN($D1133)=10,LEFT($D1133,1)="0",ISNUMBER(--$D1133)),"Có","Không"))</f>
        <v/>
      </c>
      <c r="T1133" s="22">
        <f>IF($D1133="","",IF(AND($C1133&lt;&gt;"",$Q1133="Có",$R1133="",$S1133="Có",AND($L1133&lt;&gt;"",OR($L1133&lt;&gt;"Chưa xác định",DANH_MUC!$L$9="Có"))),"Có","Không"))</f>
        <v/>
      </c>
      <c r="U1133" s="22">
        <f>IF(OR($D1133="",$T1133="Có"),"",IF($C1133="","Thiếu họ tên; ","")&amp;IF($S1133&lt;&gt;"Có","SĐT sai định dạng; ","")&amp;IF($R1133="Trùng","Trùng SĐT; ","")&amp;IF($Q1133&lt;&gt;"Có","Thiếu đồng ý bắt buộc; ","")&amp;IF($L1133="","Thiếu/sai Mã REF; ",IF(AND($L1133="Chưa xác định",DANH_MUC!$L$9&lt;&gt;"Có"),"Nguồn chưa xác định; ","")))</f>
        <v/>
      </c>
      <c r="V1133" s="22">
        <f>IF(OR($D1133="",$R1133="Trùng"),"",IF(COUNTIF(ORDERS!$C$2:$C$4995,$D1133)&gt;0,"Có","Không"))</f>
        <v/>
      </c>
      <c r="W1133" s="22">
        <f>IF(OR($D1133="",$R1133="Trùng"),"",COUNTIFS(ORDERS!$C$2:$C$4995,$D1133,ORDERS!$L$2:$L$4995,"Đã chuyển khoản"))</f>
        <v/>
      </c>
      <c r="X1133" s="23">
        <f>IF(OR($D1133="",$R1133="Trùng"),"",SUMIFS(ORDERS!$J$2:$J$4995,ORDERS!$C$2:$C$4995,$D1133,ORDERS!$L$2:$L$4995,"Đã chuyển khoản"))</f>
        <v/>
      </c>
      <c r="Y1133" s="24" t="n"/>
    </row>
    <row r="1134" ht="14.25" customHeight="1" s="40">
      <c r="A1134" s="24" t="n"/>
      <c r="B1134" s="27" t="n"/>
      <c r="C1134" s="24" t="n"/>
      <c r="D1134" s="28" t="n"/>
      <c r="E1134" s="29" t="n"/>
      <c r="F1134" s="24" t="n"/>
      <c r="G1134" s="24" t="n"/>
      <c r="H1134" s="21">
        <f>IF(ISNUMBER($B1134),INT($B1134)-WEEKDAY($B1134,2)+1,"")</f>
        <v/>
      </c>
      <c r="I1134" s="24" t="n"/>
      <c r="J1134" s="22">
        <f t="array" ref="J1134">IF($D1134="","",IF($I1134="","(trống REF)",IFERROR(INDEX(MASTER_SOURCE!$B$2:$B$495,MATCH($I1134,MASTER_SOURCE!$A$2:$A$495,0)),"(REF không có trong MASTER_SOURCE)")))</f>
        <v/>
      </c>
      <c r="K1134" s="22">
        <f t="array" ref="K1134">IF($D1134="","",IFERROR(INDEX(MASTER_SOURCE!$C$2:$C$495,MATCH($I1134,MASTER_SOURCE!$A$2:$A$495,0)),""))</f>
        <v/>
      </c>
      <c r="L1134" s="22">
        <f t="array" ref="L1134">IF($D1134="","",IFERROR(INDEX(MASTER_SOURCE!$D$2:$D$495,MATCH($I1134,MASTER_SOURCE!$A$2:$A$495,0)),""))</f>
        <v/>
      </c>
      <c r="M1134" s="24" t="n"/>
      <c r="N1134" s="24" t="n"/>
      <c r="O1134" s="24" t="n"/>
      <c r="P1134" s="24" t="n"/>
      <c r="Q1134" s="22">
        <f>IF($D1134="","",IF(AND(OR(DANH_MUC!$L$5&lt;&gt;"Có",M1134="Có"),OR(DANH_MUC!$L$6&lt;&gt;"Có",N1134="Có"),OR(DANH_MUC!$L$7&lt;&gt;"Có",O1134="Có"),OR(DANH_MUC!$L$8&lt;&gt;"Có",P1134="Có")),"Có","Không"))</f>
        <v/>
      </c>
      <c r="R1134" s="22">
        <f>IF($D1134="","",IF(COUNTIF($D$2:$D1134,$D1134)&gt;1,"Trùng",""))</f>
        <v/>
      </c>
      <c r="S1134" s="22">
        <f>IF($D1134="","",IF(AND(LEN($D1134)=10,LEFT($D1134,1)="0",ISNUMBER(--$D1134)),"Có","Không"))</f>
        <v/>
      </c>
      <c r="T1134" s="22">
        <f>IF($D1134="","",IF(AND($C1134&lt;&gt;"",$Q1134="Có",$R1134="",$S1134="Có",AND($L1134&lt;&gt;"",OR($L1134&lt;&gt;"Chưa xác định",DANH_MUC!$L$9="Có"))),"Có","Không"))</f>
        <v/>
      </c>
      <c r="U1134" s="22">
        <f>IF(OR($D1134="",$T1134="Có"),"",IF($C1134="","Thiếu họ tên; ","")&amp;IF($S1134&lt;&gt;"Có","SĐT sai định dạng; ","")&amp;IF($R1134="Trùng","Trùng SĐT; ","")&amp;IF($Q1134&lt;&gt;"Có","Thiếu đồng ý bắt buộc; ","")&amp;IF($L1134="","Thiếu/sai Mã REF; ",IF(AND($L1134="Chưa xác định",DANH_MUC!$L$9&lt;&gt;"Có"),"Nguồn chưa xác định; ","")))</f>
        <v/>
      </c>
      <c r="V1134" s="22">
        <f>IF(OR($D1134="",$R1134="Trùng"),"",IF(COUNTIF(ORDERS!$C$2:$C$4995,$D1134)&gt;0,"Có","Không"))</f>
        <v/>
      </c>
      <c r="W1134" s="22">
        <f>IF(OR($D1134="",$R1134="Trùng"),"",COUNTIFS(ORDERS!$C$2:$C$4995,$D1134,ORDERS!$L$2:$L$4995,"Đã chuyển khoản"))</f>
        <v/>
      </c>
      <c r="X1134" s="23">
        <f>IF(OR($D1134="",$R1134="Trùng"),"",SUMIFS(ORDERS!$J$2:$J$4995,ORDERS!$C$2:$C$4995,$D1134,ORDERS!$L$2:$L$4995,"Đã chuyển khoản"))</f>
        <v/>
      </c>
      <c r="Y1134" s="24" t="n"/>
    </row>
    <row r="1135" ht="14.25" customHeight="1" s="40">
      <c r="A1135" s="24" t="n"/>
      <c r="B1135" s="27" t="n"/>
      <c r="C1135" s="24" t="n"/>
      <c r="D1135" s="28" t="n"/>
      <c r="E1135" s="29" t="n"/>
      <c r="F1135" s="24" t="n"/>
      <c r="G1135" s="24" t="n"/>
      <c r="H1135" s="21">
        <f>IF(ISNUMBER($B1135),INT($B1135)-WEEKDAY($B1135,2)+1,"")</f>
        <v/>
      </c>
      <c r="I1135" s="24" t="n"/>
      <c r="J1135" s="22">
        <f t="array" ref="J1135">IF($D1135="","",IF($I1135="","(trống REF)",IFERROR(INDEX(MASTER_SOURCE!$B$2:$B$495,MATCH($I1135,MASTER_SOURCE!$A$2:$A$495,0)),"(REF không có trong MASTER_SOURCE)")))</f>
        <v/>
      </c>
      <c r="K1135" s="22">
        <f t="array" ref="K1135">IF($D1135="","",IFERROR(INDEX(MASTER_SOURCE!$C$2:$C$495,MATCH($I1135,MASTER_SOURCE!$A$2:$A$495,0)),""))</f>
        <v/>
      </c>
      <c r="L1135" s="22">
        <f t="array" ref="L1135">IF($D1135="","",IFERROR(INDEX(MASTER_SOURCE!$D$2:$D$495,MATCH($I1135,MASTER_SOURCE!$A$2:$A$495,0)),""))</f>
        <v/>
      </c>
      <c r="M1135" s="24" t="n"/>
      <c r="N1135" s="24" t="n"/>
      <c r="O1135" s="24" t="n"/>
      <c r="P1135" s="24" t="n"/>
      <c r="Q1135" s="22">
        <f>IF($D1135="","",IF(AND(OR(DANH_MUC!$L$5&lt;&gt;"Có",M1135="Có"),OR(DANH_MUC!$L$6&lt;&gt;"Có",N1135="Có"),OR(DANH_MUC!$L$7&lt;&gt;"Có",O1135="Có"),OR(DANH_MUC!$L$8&lt;&gt;"Có",P1135="Có")),"Có","Không"))</f>
        <v/>
      </c>
      <c r="R1135" s="22">
        <f>IF($D1135="","",IF(COUNTIF($D$2:$D1135,$D1135)&gt;1,"Trùng",""))</f>
        <v/>
      </c>
      <c r="S1135" s="22">
        <f>IF($D1135="","",IF(AND(LEN($D1135)=10,LEFT($D1135,1)="0",ISNUMBER(--$D1135)),"Có","Không"))</f>
        <v/>
      </c>
      <c r="T1135" s="22">
        <f>IF($D1135="","",IF(AND($C1135&lt;&gt;"",$Q1135="Có",$R1135="",$S1135="Có",AND($L1135&lt;&gt;"",OR($L1135&lt;&gt;"Chưa xác định",DANH_MUC!$L$9="Có"))),"Có","Không"))</f>
        <v/>
      </c>
      <c r="U1135" s="22">
        <f>IF(OR($D1135="",$T1135="Có"),"",IF($C1135="","Thiếu họ tên; ","")&amp;IF($S1135&lt;&gt;"Có","SĐT sai định dạng; ","")&amp;IF($R1135="Trùng","Trùng SĐT; ","")&amp;IF($Q1135&lt;&gt;"Có","Thiếu đồng ý bắt buộc; ","")&amp;IF($L1135="","Thiếu/sai Mã REF; ",IF(AND($L1135="Chưa xác định",DANH_MUC!$L$9&lt;&gt;"Có"),"Nguồn chưa xác định; ","")))</f>
        <v/>
      </c>
      <c r="V1135" s="22">
        <f>IF(OR($D1135="",$R1135="Trùng"),"",IF(COUNTIF(ORDERS!$C$2:$C$4995,$D1135)&gt;0,"Có","Không"))</f>
        <v/>
      </c>
      <c r="W1135" s="22">
        <f>IF(OR($D1135="",$R1135="Trùng"),"",COUNTIFS(ORDERS!$C$2:$C$4995,$D1135,ORDERS!$L$2:$L$4995,"Đã chuyển khoản"))</f>
        <v/>
      </c>
      <c r="X1135" s="23">
        <f>IF(OR($D1135="",$R1135="Trùng"),"",SUMIFS(ORDERS!$J$2:$J$4995,ORDERS!$C$2:$C$4995,$D1135,ORDERS!$L$2:$L$4995,"Đã chuyển khoản"))</f>
        <v/>
      </c>
      <c r="Y1135" s="24" t="n"/>
    </row>
    <row r="1136" ht="14.25" customHeight="1" s="40">
      <c r="A1136" s="24" t="n"/>
      <c r="B1136" s="27" t="n"/>
      <c r="C1136" s="24" t="n"/>
      <c r="D1136" s="28" t="n"/>
      <c r="E1136" s="29" t="n"/>
      <c r="F1136" s="24" t="n"/>
      <c r="G1136" s="24" t="n"/>
      <c r="H1136" s="21">
        <f>IF(ISNUMBER($B1136),INT($B1136)-WEEKDAY($B1136,2)+1,"")</f>
        <v/>
      </c>
      <c r="I1136" s="24" t="n"/>
      <c r="J1136" s="22">
        <f t="array" ref="J1136">IF($D1136="","",IF($I1136="","(trống REF)",IFERROR(INDEX(MASTER_SOURCE!$B$2:$B$495,MATCH($I1136,MASTER_SOURCE!$A$2:$A$495,0)),"(REF không có trong MASTER_SOURCE)")))</f>
        <v/>
      </c>
      <c r="K1136" s="22">
        <f t="array" ref="K1136">IF($D1136="","",IFERROR(INDEX(MASTER_SOURCE!$C$2:$C$495,MATCH($I1136,MASTER_SOURCE!$A$2:$A$495,0)),""))</f>
        <v/>
      </c>
      <c r="L1136" s="22">
        <f t="array" ref="L1136">IF($D1136="","",IFERROR(INDEX(MASTER_SOURCE!$D$2:$D$495,MATCH($I1136,MASTER_SOURCE!$A$2:$A$495,0)),""))</f>
        <v/>
      </c>
      <c r="M1136" s="24" t="n"/>
      <c r="N1136" s="24" t="n"/>
      <c r="O1136" s="24" t="n"/>
      <c r="P1136" s="24" t="n"/>
      <c r="Q1136" s="22">
        <f>IF($D1136="","",IF(AND(OR(DANH_MUC!$L$5&lt;&gt;"Có",M1136="Có"),OR(DANH_MUC!$L$6&lt;&gt;"Có",N1136="Có"),OR(DANH_MUC!$L$7&lt;&gt;"Có",O1136="Có"),OR(DANH_MUC!$L$8&lt;&gt;"Có",P1136="Có")),"Có","Không"))</f>
        <v/>
      </c>
      <c r="R1136" s="22">
        <f>IF($D1136="","",IF(COUNTIF($D$2:$D1136,$D1136)&gt;1,"Trùng",""))</f>
        <v/>
      </c>
      <c r="S1136" s="22">
        <f>IF($D1136="","",IF(AND(LEN($D1136)=10,LEFT($D1136,1)="0",ISNUMBER(--$D1136)),"Có","Không"))</f>
        <v/>
      </c>
      <c r="T1136" s="22">
        <f>IF($D1136="","",IF(AND($C1136&lt;&gt;"",$Q1136="Có",$R1136="",$S1136="Có",AND($L1136&lt;&gt;"",OR($L1136&lt;&gt;"Chưa xác định",DANH_MUC!$L$9="Có"))),"Có","Không"))</f>
        <v/>
      </c>
      <c r="U1136" s="22">
        <f>IF(OR($D1136="",$T1136="Có"),"",IF($C1136="","Thiếu họ tên; ","")&amp;IF($S1136&lt;&gt;"Có","SĐT sai định dạng; ","")&amp;IF($R1136="Trùng","Trùng SĐT; ","")&amp;IF($Q1136&lt;&gt;"Có","Thiếu đồng ý bắt buộc; ","")&amp;IF($L1136="","Thiếu/sai Mã REF; ",IF(AND($L1136="Chưa xác định",DANH_MUC!$L$9&lt;&gt;"Có"),"Nguồn chưa xác định; ","")))</f>
        <v/>
      </c>
      <c r="V1136" s="22">
        <f>IF(OR($D1136="",$R1136="Trùng"),"",IF(COUNTIF(ORDERS!$C$2:$C$4995,$D1136)&gt;0,"Có","Không"))</f>
        <v/>
      </c>
      <c r="W1136" s="22">
        <f>IF(OR($D1136="",$R1136="Trùng"),"",COUNTIFS(ORDERS!$C$2:$C$4995,$D1136,ORDERS!$L$2:$L$4995,"Đã chuyển khoản"))</f>
        <v/>
      </c>
      <c r="X1136" s="23">
        <f>IF(OR($D1136="",$R1136="Trùng"),"",SUMIFS(ORDERS!$J$2:$J$4995,ORDERS!$C$2:$C$4995,$D1136,ORDERS!$L$2:$L$4995,"Đã chuyển khoản"))</f>
        <v/>
      </c>
      <c r="Y1136" s="24" t="n"/>
    </row>
    <row r="1137" ht="14.25" customHeight="1" s="40">
      <c r="A1137" s="24" t="n"/>
      <c r="B1137" s="27" t="n"/>
      <c r="C1137" s="24" t="n"/>
      <c r="D1137" s="28" t="n"/>
      <c r="E1137" s="29" t="n"/>
      <c r="F1137" s="24" t="n"/>
      <c r="G1137" s="24" t="n"/>
      <c r="H1137" s="21">
        <f>IF(ISNUMBER($B1137),INT($B1137)-WEEKDAY($B1137,2)+1,"")</f>
        <v/>
      </c>
      <c r="I1137" s="24" t="n"/>
      <c r="J1137" s="22">
        <f t="array" ref="J1137">IF($D1137="","",IF($I1137="","(trống REF)",IFERROR(INDEX(MASTER_SOURCE!$B$2:$B$495,MATCH($I1137,MASTER_SOURCE!$A$2:$A$495,0)),"(REF không có trong MASTER_SOURCE)")))</f>
        <v/>
      </c>
      <c r="K1137" s="22">
        <f t="array" ref="K1137">IF($D1137="","",IFERROR(INDEX(MASTER_SOURCE!$C$2:$C$495,MATCH($I1137,MASTER_SOURCE!$A$2:$A$495,0)),""))</f>
        <v/>
      </c>
      <c r="L1137" s="22">
        <f t="array" ref="L1137">IF($D1137="","",IFERROR(INDEX(MASTER_SOURCE!$D$2:$D$495,MATCH($I1137,MASTER_SOURCE!$A$2:$A$495,0)),""))</f>
        <v/>
      </c>
      <c r="M1137" s="24" t="n"/>
      <c r="N1137" s="24" t="n"/>
      <c r="O1137" s="24" t="n"/>
      <c r="P1137" s="24" t="n"/>
      <c r="Q1137" s="22">
        <f>IF($D1137="","",IF(AND(OR(DANH_MUC!$L$5&lt;&gt;"Có",M1137="Có"),OR(DANH_MUC!$L$6&lt;&gt;"Có",N1137="Có"),OR(DANH_MUC!$L$7&lt;&gt;"Có",O1137="Có"),OR(DANH_MUC!$L$8&lt;&gt;"Có",P1137="Có")),"Có","Không"))</f>
        <v/>
      </c>
      <c r="R1137" s="22">
        <f>IF($D1137="","",IF(COUNTIF($D$2:$D1137,$D1137)&gt;1,"Trùng",""))</f>
        <v/>
      </c>
      <c r="S1137" s="22">
        <f>IF($D1137="","",IF(AND(LEN($D1137)=10,LEFT($D1137,1)="0",ISNUMBER(--$D1137)),"Có","Không"))</f>
        <v/>
      </c>
      <c r="T1137" s="22">
        <f>IF($D1137="","",IF(AND($C1137&lt;&gt;"",$Q1137="Có",$R1137="",$S1137="Có",AND($L1137&lt;&gt;"",OR($L1137&lt;&gt;"Chưa xác định",DANH_MUC!$L$9="Có"))),"Có","Không"))</f>
        <v/>
      </c>
      <c r="U1137" s="22">
        <f>IF(OR($D1137="",$T1137="Có"),"",IF($C1137="","Thiếu họ tên; ","")&amp;IF($S1137&lt;&gt;"Có","SĐT sai định dạng; ","")&amp;IF($R1137="Trùng","Trùng SĐT; ","")&amp;IF($Q1137&lt;&gt;"Có","Thiếu đồng ý bắt buộc; ","")&amp;IF($L1137="","Thiếu/sai Mã REF; ",IF(AND($L1137="Chưa xác định",DANH_MUC!$L$9&lt;&gt;"Có"),"Nguồn chưa xác định; ","")))</f>
        <v/>
      </c>
      <c r="V1137" s="22">
        <f>IF(OR($D1137="",$R1137="Trùng"),"",IF(COUNTIF(ORDERS!$C$2:$C$4995,$D1137)&gt;0,"Có","Không"))</f>
        <v/>
      </c>
      <c r="W1137" s="22">
        <f>IF(OR($D1137="",$R1137="Trùng"),"",COUNTIFS(ORDERS!$C$2:$C$4995,$D1137,ORDERS!$L$2:$L$4995,"Đã chuyển khoản"))</f>
        <v/>
      </c>
      <c r="X1137" s="23">
        <f>IF(OR($D1137="",$R1137="Trùng"),"",SUMIFS(ORDERS!$J$2:$J$4995,ORDERS!$C$2:$C$4995,$D1137,ORDERS!$L$2:$L$4995,"Đã chuyển khoản"))</f>
        <v/>
      </c>
      <c r="Y1137" s="24" t="n"/>
    </row>
    <row r="1138" ht="14.25" customHeight="1" s="40">
      <c r="A1138" s="24" t="n"/>
      <c r="B1138" s="27" t="n"/>
      <c r="C1138" s="24" t="n"/>
      <c r="D1138" s="28" t="n"/>
      <c r="E1138" s="29" t="n"/>
      <c r="F1138" s="24" t="n"/>
      <c r="G1138" s="24" t="n"/>
      <c r="H1138" s="21">
        <f>IF(ISNUMBER($B1138),INT($B1138)-WEEKDAY($B1138,2)+1,"")</f>
        <v/>
      </c>
      <c r="I1138" s="24" t="n"/>
      <c r="J1138" s="22">
        <f t="array" ref="J1138">IF($D1138="","",IF($I1138="","(trống REF)",IFERROR(INDEX(MASTER_SOURCE!$B$2:$B$495,MATCH($I1138,MASTER_SOURCE!$A$2:$A$495,0)),"(REF không có trong MASTER_SOURCE)")))</f>
        <v/>
      </c>
      <c r="K1138" s="22">
        <f t="array" ref="K1138">IF($D1138="","",IFERROR(INDEX(MASTER_SOURCE!$C$2:$C$495,MATCH($I1138,MASTER_SOURCE!$A$2:$A$495,0)),""))</f>
        <v/>
      </c>
      <c r="L1138" s="22">
        <f t="array" ref="L1138">IF($D1138="","",IFERROR(INDEX(MASTER_SOURCE!$D$2:$D$495,MATCH($I1138,MASTER_SOURCE!$A$2:$A$495,0)),""))</f>
        <v/>
      </c>
      <c r="M1138" s="24" t="n"/>
      <c r="N1138" s="24" t="n"/>
      <c r="O1138" s="24" t="n"/>
      <c r="P1138" s="24" t="n"/>
      <c r="Q1138" s="22">
        <f>IF($D1138="","",IF(AND(OR(DANH_MUC!$L$5&lt;&gt;"Có",M1138="Có"),OR(DANH_MUC!$L$6&lt;&gt;"Có",N1138="Có"),OR(DANH_MUC!$L$7&lt;&gt;"Có",O1138="Có"),OR(DANH_MUC!$L$8&lt;&gt;"Có",P1138="Có")),"Có","Không"))</f>
        <v/>
      </c>
      <c r="R1138" s="22">
        <f>IF($D1138="","",IF(COUNTIF($D$2:$D1138,$D1138)&gt;1,"Trùng",""))</f>
        <v/>
      </c>
      <c r="S1138" s="22">
        <f>IF($D1138="","",IF(AND(LEN($D1138)=10,LEFT($D1138,1)="0",ISNUMBER(--$D1138)),"Có","Không"))</f>
        <v/>
      </c>
      <c r="T1138" s="22">
        <f>IF($D1138="","",IF(AND($C1138&lt;&gt;"",$Q1138="Có",$R1138="",$S1138="Có",AND($L1138&lt;&gt;"",OR($L1138&lt;&gt;"Chưa xác định",DANH_MUC!$L$9="Có"))),"Có","Không"))</f>
        <v/>
      </c>
      <c r="U1138" s="22">
        <f>IF(OR($D1138="",$T1138="Có"),"",IF($C1138="","Thiếu họ tên; ","")&amp;IF($S1138&lt;&gt;"Có","SĐT sai định dạng; ","")&amp;IF($R1138="Trùng","Trùng SĐT; ","")&amp;IF($Q1138&lt;&gt;"Có","Thiếu đồng ý bắt buộc; ","")&amp;IF($L1138="","Thiếu/sai Mã REF; ",IF(AND($L1138="Chưa xác định",DANH_MUC!$L$9&lt;&gt;"Có"),"Nguồn chưa xác định; ","")))</f>
        <v/>
      </c>
      <c r="V1138" s="22">
        <f>IF(OR($D1138="",$R1138="Trùng"),"",IF(COUNTIF(ORDERS!$C$2:$C$4995,$D1138)&gt;0,"Có","Không"))</f>
        <v/>
      </c>
      <c r="W1138" s="22">
        <f>IF(OR($D1138="",$R1138="Trùng"),"",COUNTIFS(ORDERS!$C$2:$C$4995,$D1138,ORDERS!$L$2:$L$4995,"Đã chuyển khoản"))</f>
        <v/>
      </c>
      <c r="X1138" s="23">
        <f>IF(OR($D1138="",$R1138="Trùng"),"",SUMIFS(ORDERS!$J$2:$J$4995,ORDERS!$C$2:$C$4995,$D1138,ORDERS!$L$2:$L$4995,"Đã chuyển khoản"))</f>
        <v/>
      </c>
      <c r="Y1138" s="24" t="n"/>
    </row>
    <row r="1139" ht="14.25" customHeight="1" s="40">
      <c r="A1139" s="24" t="n"/>
      <c r="B1139" s="27" t="n"/>
      <c r="C1139" s="24" t="n"/>
      <c r="D1139" s="28" t="n"/>
      <c r="E1139" s="29" t="n"/>
      <c r="F1139" s="24" t="n"/>
      <c r="G1139" s="24" t="n"/>
      <c r="H1139" s="21">
        <f>IF(ISNUMBER($B1139),INT($B1139)-WEEKDAY($B1139,2)+1,"")</f>
        <v/>
      </c>
      <c r="I1139" s="24" t="n"/>
      <c r="J1139" s="22">
        <f t="array" ref="J1139">IF($D1139="","",IF($I1139="","(trống REF)",IFERROR(INDEX(MASTER_SOURCE!$B$2:$B$495,MATCH($I1139,MASTER_SOURCE!$A$2:$A$495,0)),"(REF không có trong MASTER_SOURCE)")))</f>
        <v/>
      </c>
      <c r="K1139" s="22">
        <f t="array" ref="K1139">IF($D1139="","",IFERROR(INDEX(MASTER_SOURCE!$C$2:$C$495,MATCH($I1139,MASTER_SOURCE!$A$2:$A$495,0)),""))</f>
        <v/>
      </c>
      <c r="L1139" s="22">
        <f t="array" ref="L1139">IF($D1139="","",IFERROR(INDEX(MASTER_SOURCE!$D$2:$D$495,MATCH($I1139,MASTER_SOURCE!$A$2:$A$495,0)),""))</f>
        <v/>
      </c>
      <c r="M1139" s="24" t="n"/>
      <c r="N1139" s="24" t="n"/>
      <c r="O1139" s="24" t="n"/>
      <c r="P1139" s="24" t="n"/>
      <c r="Q1139" s="22">
        <f>IF($D1139="","",IF(AND(OR(DANH_MUC!$L$5&lt;&gt;"Có",M1139="Có"),OR(DANH_MUC!$L$6&lt;&gt;"Có",N1139="Có"),OR(DANH_MUC!$L$7&lt;&gt;"Có",O1139="Có"),OR(DANH_MUC!$L$8&lt;&gt;"Có",P1139="Có")),"Có","Không"))</f>
        <v/>
      </c>
      <c r="R1139" s="22">
        <f>IF($D1139="","",IF(COUNTIF($D$2:$D1139,$D1139)&gt;1,"Trùng",""))</f>
        <v/>
      </c>
      <c r="S1139" s="22">
        <f>IF($D1139="","",IF(AND(LEN($D1139)=10,LEFT($D1139,1)="0",ISNUMBER(--$D1139)),"Có","Không"))</f>
        <v/>
      </c>
      <c r="T1139" s="22">
        <f>IF($D1139="","",IF(AND($C1139&lt;&gt;"",$Q1139="Có",$R1139="",$S1139="Có",AND($L1139&lt;&gt;"",OR($L1139&lt;&gt;"Chưa xác định",DANH_MUC!$L$9="Có"))),"Có","Không"))</f>
        <v/>
      </c>
      <c r="U1139" s="22">
        <f>IF(OR($D1139="",$T1139="Có"),"",IF($C1139="","Thiếu họ tên; ","")&amp;IF($S1139&lt;&gt;"Có","SĐT sai định dạng; ","")&amp;IF($R1139="Trùng","Trùng SĐT; ","")&amp;IF($Q1139&lt;&gt;"Có","Thiếu đồng ý bắt buộc; ","")&amp;IF($L1139="","Thiếu/sai Mã REF; ",IF(AND($L1139="Chưa xác định",DANH_MUC!$L$9&lt;&gt;"Có"),"Nguồn chưa xác định; ","")))</f>
        <v/>
      </c>
      <c r="V1139" s="22">
        <f>IF(OR($D1139="",$R1139="Trùng"),"",IF(COUNTIF(ORDERS!$C$2:$C$4995,$D1139)&gt;0,"Có","Không"))</f>
        <v/>
      </c>
      <c r="W1139" s="22">
        <f>IF(OR($D1139="",$R1139="Trùng"),"",COUNTIFS(ORDERS!$C$2:$C$4995,$D1139,ORDERS!$L$2:$L$4995,"Đã chuyển khoản"))</f>
        <v/>
      </c>
      <c r="X1139" s="23">
        <f>IF(OR($D1139="",$R1139="Trùng"),"",SUMIFS(ORDERS!$J$2:$J$4995,ORDERS!$C$2:$C$4995,$D1139,ORDERS!$L$2:$L$4995,"Đã chuyển khoản"))</f>
        <v/>
      </c>
      <c r="Y1139" s="24" t="n"/>
    </row>
    <row r="1140" ht="14.25" customHeight="1" s="40">
      <c r="A1140" s="24" t="n"/>
      <c r="B1140" s="27" t="n"/>
      <c r="C1140" s="24" t="n"/>
      <c r="D1140" s="28" t="n"/>
      <c r="E1140" s="29" t="n"/>
      <c r="F1140" s="24" t="n"/>
      <c r="G1140" s="24" t="n"/>
      <c r="H1140" s="21">
        <f>IF(ISNUMBER($B1140),INT($B1140)-WEEKDAY($B1140,2)+1,"")</f>
        <v/>
      </c>
      <c r="I1140" s="24" t="n"/>
      <c r="J1140" s="22">
        <f t="array" ref="J1140">IF($D1140="","",IF($I1140="","(trống REF)",IFERROR(INDEX(MASTER_SOURCE!$B$2:$B$495,MATCH($I1140,MASTER_SOURCE!$A$2:$A$495,0)),"(REF không có trong MASTER_SOURCE)")))</f>
        <v/>
      </c>
      <c r="K1140" s="22">
        <f t="array" ref="K1140">IF($D1140="","",IFERROR(INDEX(MASTER_SOURCE!$C$2:$C$495,MATCH($I1140,MASTER_SOURCE!$A$2:$A$495,0)),""))</f>
        <v/>
      </c>
      <c r="L1140" s="22">
        <f t="array" ref="L1140">IF($D1140="","",IFERROR(INDEX(MASTER_SOURCE!$D$2:$D$495,MATCH($I1140,MASTER_SOURCE!$A$2:$A$495,0)),""))</f>
        <v/>
      </c>
      <c r="M1140" s="24" t="n"/>
      <c r="N1140" s="24" t="n"/>
      <c r="O1140" s="24" t="n"/>
      <c r="P1140" s="24" t="n"/>
      <c r="Q1140" s="22">
        <f>IF($D1140="","",IF(AND(OR(DANH_MUC!$L$5&lt;&gt;"Có",M1140="Có"),OR(DANH_MUC!$L$6&lt;&gt;"Có",N1140="Có"),OR(DANH_MUC!$L$7&lt;&gt;"Có",O1140="Có"),OR(DANH_MUC!$L$8&lt;&gt;"Có",P1140="Có")),"Có","Không"))</f>
        <v/>
      </c>
      <c r="R1140" s="22">
        <f>IF($D1140="","",IF(COUNTIF($D$2:$D1140,$D1140)&gt;1,"Trùng",""))</f>
        <v/>
      </c>
      <c r="S1140" s="22">
        <f>IF($D1140="","",IF(AND(LEN($D1140)=10,LEFT($D1140,1)="0",ISNUMBER(--$D1140)),"Có","Không"))</f>
        <v/>
      </c>
      <c r="T1140" s="22">
        <f>IF($D1140="","",IF(AND($C1140&lt;&gt;"",$Q1140="Có",$R1140="",$S1140="Có",AND($L1140&lt;&gt;"",OR($L1140&lt;&gt;"Chưa xác định",DANH_MUC!$L$9="Có"))),"Có","Không"))</f>
        <v/>
      </c>
      <c r="U1140" s="22">
        <f>IF(OR($D1140="",$T1140="Có"),"",IF($C1140="","Thiếu họ tên; ","")&amp;IF($S1140&lt;&gt;"Có","SĐT sai định dạng; ","")&amp;IF($R1140="Trùng","Trùng SĐT; ","")&amp;IF($Q1140&lt;&gt;"Có","Thiếu đồng ý bắt buộc; ","")&amp;IF($L1140="","Thiếu/sai Mã REF; ",IF(AND($L1140="Chưa xác định",DANH_MUC!$L$9&lt;&gt;"Có"),"Nguồn chưa xác định; ","")))</f>
        <v/>
      </c>
      <c r="V1140" s="22">
        <f>IF(OR($D1140="",$R1140="Trùng"),"",IF(COUNTIF(ORDERS!$C$2:$C$4995,$D1140)&gt;0,"Có","Không"))</f>
        <v/>
      </c>
      <c r="W1140" s="22">
        <f>IF(OR($D1140="",$R1140="Trùng"),"",COUNTIFS(ORDERS!$C$2:$C$4995,$D1140,ORDERS!$L$2:$L$4995,"Đã chuyển khoản"))</f>
        <v/>
      </c>
      <c r="X1140" s="23">
        <f>IF(OR($D1140="",$R1140="Trùng"),"",SUMIFS(ORDERS!$J$2:$J$4995,ORDERS!$C$2:$C$4995,$D1140,ORDERS!$L$2:$L$4995,"Đã chuyển khoản"))</f>
        <v/>
      </c>
      <c r="Y1140" s="24" t="n"/>
    </row>
    <row r="1141" ht="14.25" customHeight="1" s="40">
      <c r="A1141" s="24" t="n"/>
      <c r="B1141" s="27" t="n"/>
      <c r="C1141" s="24" t="n"/>
      <c r="D1141" s="28" t="n"/>
      <c r="E1141" s="29" t="n"/>
      <c r="F1141" s="24" t="n"/>
      <c r="G1141" s="24" t="n"/>
      <c r="H1141" s="21">
        <f>IF(ISNUMBER($B1141),INT($B1141)-WEEKDAY($B1141,2)+1,"")</f>
        <v/>
      </c>
      <c r="I1141" s="24" t="n"/>
      <c r="J1141" s="22">
        <f t="array" ref="J1141">IF($D1141="","",IF($I1141="","(trống REF)",IFERROR(INDEX(MASTER_SOURCE!$B$2:$B$495,MATCH($I1141,MASTER_SOURCE!$A$2:$A$495,0)),"(REF không có trong MASTER_SOURCE)")))</f>
        <v/>
      </c>
      <c r="K1141" s="22">
        <f t="array" ref="K1141">IF($D1141="","",IFERROR(INDEX(MASTER_SOURCE!$C$2:$C$495,MATCH($I1141,MASTER_SOURCE!$A$2:$A$495,0)),""))</f>
        <v/>
      </c>
      <c r="L1141" s="22">
        <f t="array" ref="L1141">IF($D1141="","",IFERROR(INDEX(MASTER_SOURCE!$D$2:$D$495,MATCH($I1141,MASTER_SOURCE!$A$2:$A$495,0)),""))</f>
        <v/>
      </c>
      <c r="M1141" s="24" t="n"/>
      <c r="N1141" s="24" t="n"/>
      <c r="O1141" s="24" t="n"/>
      <c r="P1141" s="24" t="n"/>
      <c r="Q1141" s="22">
        <f>IF($D1141="","",IF(AND(OR(DANH_MUC!$L$5&lt;&gt;"Có",M1141="Có"),OR(DANH_MUC!$L$6&lt;&gt;"Có",N1141="Có"),OR(DANH_MUC!$L$7&lt;&gt;"Có",O1141="Có"),OR(DANH_MUC!$L$8&lt;&gt;"Có",P1141="Có")),"Có","Không"))</f>
        <v/>
      </c>
      <c r="R1141" s="22">
        <f>IF($D1141="","",IF(COUNTIF($D$2:$D1141,$D1141)&gt;1,"Trùng",""))</f>
        <v/>
      </c>
      <c r="S1141" s="22">
        <f>IF($D1141="","",IF(AND(LEN($D1141)=10,LEFT($D1141,1)="0",ISNUMBER(--$D1141)),"Có","Không"))</f>
        <v/>
      </c>
      <c r="T1141" s="22">
        <f>IF($D1141="","",IF(AND($C1141&lt;&gt;"",$Q1141="Có",$R1141="",$S1141="Có",AND($L1141&lt;&gt;"",OR($L1141&lt;&gt;"Chưa xác định",DANH_MUC!$L$9="Có"))),"Có","Không"))</f>
        <v/>
      </c>
      <c r="U1141" s="22">
        <f>IF(OR($D1141="",$T1141="Có"),"",IF($C1141="","Thiếu họ tên; ","")&amp;IF($S1141&lt;&gt;"Có","SĐT sai định dạng; ","")&amp;IF($R1141="Trùng","Trùng SĐT; ","")&amp;IF($Q1141&lt;&gt;"Có","Thiếu đồng ý bắt buộc; ","")&amp;IF($L1141="","Thiếu/sai Mã REF; ",IF(AND($L1141="Chưa xác định",DANH_MUC!$L$9&lt;&gt;"Có"),"Nguồn chưa xác định; ","")))</f>
        <v/>
      </c>
      <c r="V1141" s="22">
        <f>IF(OR($D1141="",$R1141="Trùng"),"",IF(COUNTIF(ORDERS!$C$2:$C$4995,$D1141)&gt;0,"Có","Không"))</f>
        <v/>
      </c>
      <c r="W1141" s="22">
        <f>IF(OR($D1141="",$R1141="Trùng"),"",COUNTIFS(ORDERS!$C$2:$C$4995,$D1141,ORDERS!$L$2:$L$4995,"Đã chuyển khoản"))</f>
        <v/>
      </c>
      <c r="X1141" s="23">
        <f>IF(OR($D1141="",$R1141="Trùng"),"",SUMIFS(ORDERS!$J$2:$J$4995,ORDERS!$C$2:$C$4995,$D1141,ORDERS!$L$2:$L$4995,"Đã chuyển khoản"))</f>
        <v/>
      </c>
      <c r="Y1141" s="24" t="n"/>
    </row>
    <row r="1142" ht="14.25" customHeight="1" s="40">
      <c r="A1142" s="24" t="n"/>
      <c r="B1142" s="27" t="n"/>
      <c r="C1142" s="24" t="n"/>
      <c r="D1142" s="28" t="n"/>
      <c r="E1142" s="29" t="n"/>
      <c r="F1142" s="24" t="n"/>
      <c r="G1142" s="24" t="n"/>
      <c r="H1142" s="21">
        <f>IF(ISNUMBER($B1142),INT($B1142)-WEEKDAY($B1142,2)+1,"")</f>
        <v/>
      </c>
      <c r="I1142" s="24" t="n"/>
      <c r="J1142" s="22">
        <f t="array" ref="J1142">IF($D1142="","",IF($I1142="","(trống REF)",IFERROR(INDEX(MASTER_SOURCE!$B$2:$B$495,MATCH($I1142,MASTER_SOURCE!$A$2:$A$495,0)),"(REF không có trong MASTER_SOURCE)")))</f>
        <v/>
      </c>
      <c r="K1142" s="22">
        <f t="array" ref="K1142">IF($D1142="","",IFERROR(INDEX(MASTER_SOURCE!$C$2:$C$495,MATCH($I1142,MASTER_SOURCE!$A$2:$A$495,0)),""))</f>
        <v/>
      </c>
      <c r="L1142" s="22">
        <f t="array" ref="L1142">IF($D1142="","",IFERROR(INDEX(MASTER_SOURCE!$D$2:$D$495,MATCH($I1142,MASTER_SOURCE!$A$2:$A$495,0)),""))</f>
        <v/>
      </c>
      <c r="M1142" s="24" t="n"/>
      <c r="N1142" s="24" t="n"/>
      <c r="O1142" s="24" t="n"/>
      <c r="P1142" s="24" t="n"/>
      <c r="Q1142" s="22">
        <f>IF($D1142="","",IF(AND(OR(DANH_MUC!$L$5&lt;&gt;"Có",M1142="Có"),OR(DANH_MUC!$L$6&lt;&gt;"Có",N1142="Có"),OR(DANH_MUC!$L$7&lt;&gt;"Có",O1142="Có"),OR(DANH_MUC!$L$8&lt;&gt;"Có",P1142="Có")),"Có","Không"))</f>
        <v/>
      </c>
      <c r="R1142" s="22">
        <f>IF($D1142="","",IF(COUNTIF($D$2:$D1142,$D1142)&gt;1,"Trùng",""))</f>
        <v/>
      </c>
      <c r="S1142" s="22">
        <f>IF($D1142="","",IF(AND(LEN($D1142)=10,LEFT($D1142,1)="0",ISNUMBER(--$D1142)),"Có","Không"))</f>
        <v/>
      </c>
      <c r="T1142" s="22">
        <f>IF($D1142="","",IF(AND($C1142&lt;&gt;"",$Q1142="Có",$R1142="",$S1142="Có",AND($L1142&lt;&gt;"",OR($L1142&lt;&gt;"Chưa xác định",DANH_MUC!$L$9="Có"))),"Có","Không"))</f>
        <v/>
      </c>
      <c r="U1142" s="22">
        <f>IF(OR($D1142="",$T1142="Có"),"",IF($C1142="","Thiếu họ tên; ","")&amp;IF($S1142&lt;&gt;"Có","SĐT sai định dạng; ","")&amp;IF($R1142="Trùng","Trùng SĐT; ","")&amp;IF($Q1142&lt;&gt;"Có","Thiếu đồng ý bắt buộc; ","")&amp;IF($L1142="","Thiếu/sai Mã REF; ",IF(AND($L1142="Chưa xác định",DANH_MUC!$L$9&lt;&gt;"Có"),"Nguồn chưa xác định; ","")))</f>
        <v/>
      </c>
      <c r="V1142" s="22">
        <f>IF(OR($D1142="",$R1142="Trùng"),"",IF(COUNTIF(ORDERS!$C$2:$C$4995,$D1142)&gt;0,"Có","Không"))</f>
        <v/>
      </c>
      <c r="W1142" s="22">
        <f>IF(OR($D1142="",$R1142="Trùng"),"",COUNTIFS(ORDERS!$C$2:$C$4995,$D1142,ORDERS!$L$2:$L$4995,"Đã chuyển khoản"))</f>
        <v/>
      </c>
      <c r="X1142" s="23">
        <f>IF(OR($D1142="",$R1142="Trùng"),"",SUMIFS(ORDERS!$J$2:$J$4995,ORDERS!$C$2:$C$4995,$D1142,ORDERS!$L$2:$L$4995,"Đã chuyển khoản"))</f>
        <v/>
      </c>
      <c r="Y1142" s="24" t="n"/>
    </row>
    <row r="1143" ht="14.25" customHeight="1" s="40">
      <c r="A1143" s="24" t="n"/>
      <c r="B1143" s="27" t="n"/>
      <c r="C1143" s="24" t="n"/>
      <c r="D1143" s="28" t="n"/>
      <c r="E1143" s="29" t="n"/>
      <c r="F1143" s="24" t="n"/>
      <c r="G1143" s="24" t="n"/>
      <c r="H1143" s="21">
        <f>IF(ISNUMBER($B1143),INT($B1143)-WEEKDAY($B1143,2)+1,"")</f>
        <v/>
      </c>
      <c r="I1143" s="24" t="n"/>
      <c r="J1143" s="22">
        <f t="array" ref="J1143">IF($D1143="","",IF($I1143="","(trống REF)",IFERROR(INDEX(MASTER_SOURCE!$B$2:$B$495,MATCH($I1143,MASTER_SOURCE!$A$2:$A$495,0)),"(REF không có trong MASTER_SOURCE)")))</f>
        <v/>
      </c>
      <c r="K1143" s="22">
        <f t="array" ref="K1143">IF($D1143="","",IFERROR(INDEX(MASTER_SOURCE!$C$2:$C$495,MATCH($I1143,MASTER_SOURCE!$A$2:$A$495,0)),""))</f>
        <v/>
      </c>
      <c r="L1143" s="22">
        <f t="array" ref="L1143">IF($D1143="","",IFERROR(INDEX(MASTER_SOURCE!$D$2:$D$495,MATCH($I1143,MASTER_SOURCE!$A$2:$A$495,0)),""))</f>
        <v/>
      </c>
      <c r="M1143" s="24" t="n"/>
      <c r="N1143" s="24" t="n"/>
      <c r="O1143" s="24" t="n"/>
      <c r="P1143" s="24" t="n"/>
      <c r="Q1143" s="22">
        <f>IF($D1143="","",IF(AND(OR(DANH_MUC!$L$5&lt;&gt;"Có",M1143="Có"),OR(DANH_MUC!$L$6&lt;&gt;"Có",N1143="Có"),OR(DANH_MUC!$L$7&lt;&gt;"Có",O1143="Có"),OR(DANH_MUC!$L$8&lt;&gt;"Có",P1143="Có")),"Có","Không"))</f>
        <v/>
      </c>
      <c r="R1143" s="22">
        <f>IF($D1143="","",IF(COUNTIF($D$2:$D1143,$D1143)&gt;1,"Trùng",""))</f>
        <v/>
      </c>
      <c r="S1143" s="22">
        <f>IF($D1143="","",IF(AND(LEN($D1143)=10,LEFT($D1143,1)="0",ISNUMBER(--$D1143)),"Có","Không"))</f>
        <v/>
      </c>
      <c r="T1143" s="22">
        <f>IF($D1143="","",IF(AND($C1143&lt;&gt;"",$Q1143="Có",$R1143="",$S1143="Có",AND($L1143&lt;&gt;"",OR($L1143&lt;&gt;"Chưa xác định",DANH_MUC!$L$9="Có"))),"Có","Không"))</f>
        <v/>
      </c>
      <c r="U1143" s="22">
        <f>IF(OR($D1143="",$T1143="Có"),"",IF($C1143="","Thiếu họ tên; ","")&amp;IF($S1143&lt;&gt;"Có","SĐT sai định dạng; ","")&amp;IF($R1143="Trùng","Trùng SĐT; ","")&amp;IF($Q1143&lt;&gt;"Có","Thiếu đồng ý bắt buộc; ","")&amp;IF($L1143="","Thiếu/sai Mã REF; ",IF(AND($L1143="Chưa xác định",DANH_MUC!$L$9&lt;&gt;"Có"),"Nguồn chưa xác định; ","")))</f>
        <v/>
      </c>
      <c r="V1143" s="22">
        <f>IF(OR($D1143="",$R1143="Trùng"),"",IF(COUNTIF(ORDERS!$C$2:$C$4995,$D1143)&gt;0,"Có","Không"))</f>
        <v/>
      </c>
      <c r="W1143" s="22">
        <f>IF(OR($D1143="",$R1143="Trùng"),"",COUNTIFS(ORDERS!$C$2:$C$4995,$D1143,ORDERS!$L$2:$L$4995,"Đã chuyển khoản"))</f>
        <v/>
      </c>
      <c r="X1143" s="23">
        <f>IF(OR($D1143="",$R1143="Trùng"),"",SUMIFS(ORDERS!$J$2:$J$4995,ORDERS!$C$2:$C$4995,$D1143,ORDERS!$L$2:$L$4995,"Đã chuyển khoản"))</f>
        <v/>
      </c>
      <c r="Y1143" s="24" t="n"/>
    </row>
    <row r="1144" ht="14.25" customHeight="1" s="40">
      <c r="A1144" s="24" t="n"/>
      <c r="B1144" s="27" t="n"/>
      <c r="C1144" s="24" t="n"/>
      <c r="D1144" s="28" t="n"/>
      <c r="E1144" s="29" t="n"/>
      <c r="F1144" s="24" t="n"/>
      <c r="G1144" s="24" t="n"/>
      <c r="H1144" s="21">
        <f>IF(ISNUMBER($B1144),INT($B1144)-WEEKDAY($B1144,2)+1,"")</f>
        <v/>
      </c>
      <c r="I1144" s="24" t="n"/>
      <c r="J1144" s="22">
        <f t="array" ref="J1144">IF($D1144="","",IF($I1144="","(trống REF)",IFERROR(INDEX(MASTER_SOURCE!$B$2:$B$495,MATCH($I1144,MASTER_SOURCE!$A$2:$A$495,0)),"(REF không có trong MASTER_SOURCE)")))</f>
        <v/>
      </c>
      <c r="K1144" s="22">
        <f t="array" ref="K1144">IF($D1144="","",IFERROR(INDEX(MASTER_SOURCE!$C$2:$C$495,MATCH($I1144,MASTER_SOURCE!$A$2:$A$495,0)),""))</f>
        <v/>
      </c>
      <c r="L1144" s="22">
        <f t="array" ref="L1144">IF($D1144="","",IFERROR(INDEX(MASTER_SOURCE!$D$2:$D$495,MATCH($I1144,MASTER_SOURCE!$A$2:$A$495,0)),""))</f>
        <v/>
      </c>
      <c r="M1144" s="24" t="n"/>
      <c r="N1144" s="24" t="n"/>
      <c r="O1144" s="24" t="n"/>
      <c r="P1144" s="24" t="n"/>
      <c r="Q1144" s="22">
        <f>IF($D1144="","",IF(AND(OR(DANH_MUC!$L$5&lt;&gt;"Có",M1144="Có"),OR(DANH_MUC!$L$6&lt;&gt;"Có",N1144="Có"),OR(DANH_MUC!$L$7&lt;&gt;"Có",O1144="Có"),OR(DANH_MUC!$L$8&lt;&gt;"Có",P1144="Có")),"Có","Không"))</f>
        <v/>
      </c>
      <c r="R1144" s="22">
        <f>IF($D1144="","",IF(COUNTIF($D$2:$D1144,$D1144)&gt;1,"Trùng",""))</f>
        <v/>
      </c>
      <c r="S1144" s="22">
        <f>IF($D1144="","",IF(AND(LEN($D1144)=10,LEFT($D1144,1)="0",ISNUMBER(--$D1144)),"Có","Không"))</f>
        <v/>
      </c>
      <c r="T1144" s="22">
        <f>IF($D1144="","",IF(AND($C1144&lt;&gt;"",$Q1144="Có",$R1144="",$S1144="Có",AND($L1144&lt;&gt;"",OR($L1144&lt;&gt;"Chưa xác định",DANH_MUC!$L$9="Có"))),"Có","Không"))</f>
        <v/>
      </c>
      <c r="U1144" s="22">
        <f>IF(OR($D1144="",$T1144="Có"),"",IF($C1144="","Thiếu họ tên; ","")&amp;IF($S1144&lt;&gt;"Có","SĐT sai định dạng; ","")&amp;IF($R1144="Trùng","Trùng SĐT; ","")&amp;IF($Q1144&lt;&gt;"Có","Thiếu đồng ý bắt buộc; ","")&amp;IF($L1144="","Thiếu/sai Mã REF; ",IF(AND($L1144="Chưa xác định",DANH_MUC!$L$9&lt;&gt;"Có"),"Nguồn chưa xác định; ","")))</f>
        <v/>
      </c>
      <c r="V1144" s="22">
        <f>IF(OR($D1144="",$R1144="Trùng"),"",IF(COUNTIF(ORDERS!$C$2:$C$4995,$D1144)&gt;0,"Có","Không"))</f>
        <v/>
      </c>
      <c r="W1144" s="22">
        <f>IF(OR($D1144="",$R1144="Trùng"),"",COUNTIFS(ORDERS!$C$2:$C$4995,$D1144,ORDERS!$L$2:$L$4995,"Đã chuyển khoản"))</f>
        <v/>
      </c>
      <c r="X1144" s="23">
        <f>IF(OR($D1144="",$R1144="Trùng"),"",SUMIFS(ORDERS!$J$2:$J$4995,ORDERS!$C$2:$C$4995,$D1144,ORDERS!$L$2:$L$4995,"Đã chuyển khoản"))</f>
        <v/>
      </c>
      <c r="Y1144" s="24" t="n"/>
    </row>
    <row r="1145" ht="14.25" customHeight="1" s="40">
      <c r="A1145" s="24" t="n"/>
      <c r="B1145" s="27" t="n"/>
      <c r="C1145" s="24" t="n"/>
      <c r="D1145" s="28" t="n"/>
      <c r="E1145" s="29" t="n"/>
      <c r="F1145" s="24" t="n"/>
      <c r="G1145" s="24" t="n"/>
      <c r="H1145" s="21">
        <f>IF(ISNUMBER($B1145),INT($B1145)-WEEKDAY($B1145,2)+1,"")</f>
        <v/>
      </c>
      <c r="I1145" s="24" t="n"/>
      <c r="J1145" s="22">
        <f t="array" ref="J1145">IF($D1145="","",IF($I1145="","(trống REF)",IFERROR(INDEX(MASTER_SOURCE!$B$2:$B$495,MATCH($I1145,MASTER_SOURCE!$A$2:$A$495,0)),"(REF không có trong MASTER_SOURCE)")))</f>
        <v/>
      </c>
      <c r="K1145" s="22">
        <f t="array" ref="K1145">IF($D1145="","",IFERROR(INDEX(MASTER_SOURCE!$C$2:$C$495,MATCH($I1145,MASTER_SOURCE!$A$2:$A$495,0)),""))</f>
        <v/>
      </c>
      <c r="L1145" s="22">
        <f t="array" ref="L1145">IF($D1145="","",IFERROR(INDEX(MASTER_SOURCE!$D$2:$D$495,MATCH($I1145,MASTER_SOURCE!$A$2:$A$495,0)),""))</f>
        <v/>
      </c>
      <c r="M1145" s="24" t="n"/>
      <c r="N1145" s="24" t="n"/>
      <c r="O1145" s="24" t="n"/>
      <c r="P1145" s="24" t="n"/>
      <c r="Q1145" s="22">
        <f>IF($D1145="","",IF(AND(OR(DANH_MUC!$L$5&lt;&gt;"Có",M1145="Có"),OR(DANH_MUC!$L$6&lt;&gt;"Có",N1145="Có"),OR(DANH_MUC!$L$7&lt;&gt;"Có",O1145="Có"),OR(DANH_MUC!$L$8&lt;&gt;"Có",P1145="Có")),"Có","Không"))</f>
        <v/>
      </c>
      <c r="R1145" s="22">
        <f>IF($D1145="","",IF(COUNTIF($D$2:$D1145,$D1145)&gt;1,"Trùng",""))</f>
        <v/>
      </c>
      <c r="S1145" s="22">
        <f>IF($D1145="","",IF(AND(LEN($D1145)=10,LEFT($D1145,1)="0",ISNUMBER(--$D1145)),"Có","Không"))</f>
        <v/>
      </c>
      <c r="T1145" s="22">
        <f>IF($D1145="","",IF(AND($C1145&lt;&gt;"",$Q1145="Có",$R1145="",$S1145="Có",AND($L1145&lt;&gt;"",OR($L1145&lt;&gt;"Chưa xác định",DANH_MUC!$L$9="Có"))),"Có","Không"))</f>
        <v/>
      </c>
      <c r="U1145" s="22">
        <f>IF(OR($D1145="",$T1145="Có"),"",IF($C1145="","Thiếu họ tên; ","")&amp;IF($S1145&lt;&gt;"Có","SĐT sai định dạng; ","")&amp;IF($R1145="Trùng","Trùng SĐT; ","")&amp;IF($Q1145&lt;&gt;"Có","Thiếu đồng ý bắt buộc; ","")&amp;IF($L1145="","Thiếu/sai Mã REF; ",IF(AND($L1145="Chưa xác định",DANH_MUC!$L$9&lt;&gt;"Có"),"Nguồn chưa xác định; ","")))</f>
        <v/>
      </c>
      <c r="V1145" s="22">
        <f>IF(OR($D1145="",$R1145="Trùng"),"",IF(COUNTIF(ORDERS!$C$2:$C$4995,$D1145)&gt;0,"Có","Không"))</f>
        <v/>
      </c>
      <c r="W1145" s="22">
        <f>IF(OR($D1145="",$R1145="Trùng"),"",COUNTIFS(ORDERS!$C$2:$C$4995,$D1145,ORDERS!$L$2:$L$4995,"Đã chuyển khoản"))</f>
        <v/>
      </c>
      <c r="X1145" s="23">
        <f>IF(OR($D1145="",$R1145="Trùng"),"",SUMIFS(ORDERS!$J$2:$J$4995,ORDERS!$C$2:$C$4995,$D1145,ORDERS!$L$2:$L$4995,"Đã chuyển khoản"))</f>
        <v/>
      </c>
      <c r="Y1145" s="24" t="n"/>
    </row>
    <row r="1146" ht="14.25" customHeight="1" s="40">
      <c r="A1146" s="24" t="n"/>
      <c r="B1146" s="27" t="n"/>
      <c r="C1146" s="24" t="n"/>
      <c r="D1146" s="28" t="n"/>
      <c r="E1146" s="29" t="n"/>
      <c r="F1146" s="24" t="n"/>
      <c r="G1146" s="24" t="n"/>
      <c r="H1146" s="21">
        <f>IF(ISNUMBER($B1146),INT($B1146)-WEEKDAY($B1146,2)+1,"")</f>
        <v/>
      </c>
      <c r="I1146" s="24" t="n"/>
      <c r="J1146" s="22">
        <f t="array" ref="J1146">IF($D1146="","",IF($I1146="","(trống REF)",IFERROR(INDEX(MASTER_SOURCE!$B$2:$B$495,MATCH($I1146,MASTER_SOURCE!$A$2:$A$495,0)),"(REF không có trong MASTER_SOURCE)")))</f>
        <v/>
      </c>
      <c r="K1146" s="22">
        <f t="array" ref="K1146">IF($D1146="","",IFERROR(INDEX(MASTER_SOURCE!$C$2:$C$495,MATCH($I1146,MASTER_SOURCE!$A$2:$A$495,0)),""))</f>
        <v/>
      </c>
      <c r="L1146" s="22">
        <f t="array" ref="L1146">IF($D1146="","",IFERROR(INDEX(MASTER_SOURCE!$D$2:$D$495,MATCH($I1146,MASTER_SOURCE!$A$2:$A$495,0)),""))</f>
        <v/>
      </c>
      <c r="M1146" s="24" t="n"/>
      <c r="N1146" s="24" t="n"/>
      <c r="O1146" s="24" t="n"/>
      <c r="P1146" s="24" t="n"/>
      <c r="Q1146" s="22">
        <f>IF($D1146="","",IF(AND(OR(DANH_MUC!$L$5&lt;&gt;"Có",M1146="Có"),OR(DANH_MUC!$L$6&lt;&gt;"Có",N1146="Có"),OR(DANH_MUC!$L$7&lt;&gt;"Có",O1146="Có"),OR(DANH_MUC!$L$8&lt;&gt;"Có",P1146="Có")),"Có","Không"))</f>
        <v/>
      </c>
      <c r="R1146" s="22">
        <f>IF($D1146="","",IF(COUNTIF($D$2:$D1146,$D1146)&gt;1,"Trùng",""))</f>
        <v/>
      </c>
      <c r="S1146" s="22">
        <f>IF($D1146="","",IF(AND(LEN($D1146)=10,LEFT($D1146,1)="0",ISNUMBER(--$D1146)),"Có","Không"))</f>
        <v/>
      </c>
      <c r="T1146" s="22">
        <f>IF($D1146="","",IF(AND($C1146&lt;&gt;"",$Q1146="Có",$R1146="",$S1146="Có",AND($L1146&lt;&gt;"",OR($L1146&lt;&gt;"Chưa xác định",DANH_MUC!$L$9="Có"))),"Có","Không"))</f>
        <v/>
      </c>
      <c r="U1146" s="22">
        <f>IF(OR($D1146="",$T1146="Có"),"",IF($C1146="","Thiếu họ tên; ","")&amp;IF($S1146&lt;&gt;"Có","SĐT sai định dạng; ","")&amp;IF($R1146="Trùng","Trùng SĐT; ","")&amp;IF($Q1146&lt;&gt;"Có","Thiếu đồng ý bắt buộc; ","")&amp;IF($L1146="","Thiếu/sai Mã REF; ",IF(AND($L1146="Chưa xác định",DANH_MUC!$L$9&lt;&gt;"Có"),"Nguồn chưa xác định; ","")))</f>
        <v/>
      </c>
      <c r="V1146" s="22">
        <f>IF(OR($D1146="",$R1146="Trùng"),"",IF(COUNTIF(ORDERS!$C$2:$C$4995,$D1146)&gt;0,"Có","Không"))</f>
        <v/>
      </c>
      <c r="W1146" s="22">
        <f>IF(OR($D1146="",$R1146="Trùng"),"",COUNTIFS(ORDERS!$C$2:$C$4995,$D1146,ORDERS!$L$2:$L$4995,"Đã chuyển khoản"))</f>
        <v/>
      </c>
      <c r="X1146" s="23">
        <f>IF(OR($D1146="",$R1146="Trùng"),"",SUMIFS(ORDERS!$J$2:$J$4995,ORDERS!$C$2:$C$4995,$D1146,ORDERS!$L$2:$L$4995,"Đã chuyển khoản"))</f>
        <v/>
      </c>
      <c r="Y1146" s="24" t="n"/>
    </row>
    <row r="1147" ht="14.25" customHeight="1" s="40">
      <c r="A1147" s="24" t="n"/>
      <c r="B1147" s="27" t="n"/>
      <c r="C1147" s="24" t="n"/>
      <c r="D1147" s="28" t="n"/>
      <c r="E1147" s="29" t="n"/>
      <c r="F1147" s="24" t="n"/>
      <c r="G1147" s="24" t="n"/>
      <c r="H1147" s="21">
        <f>IF(ISNUMBER($B1147),INT($B1147)-WEEKDAY($B1147,2)+1,"")</f>
        <v/>
      </c>
      <c r="I1147" s="24" t="n"/>
      <c r="J1147" s="22">
        <f t="array" ref="J1147">IF($D1147="","",IF($I1147="","(trống REF)",IFERROR(INDEX(MASTER_SOURCE!$B$2:$B$495,MATCH($I1147,MASTER_SOURCE!$A$2:$A$495,0)),"(REF không có trong MASTER_SOURCE)")))</f>
        <v/>
      </c>
      <c r="K1147" s="22">
        <f t="array" ref="K1147">IF($D1147="","",IFERROR(INDEX(MASTER_SOURCE!$C$2:$C$495,MATCH($I1147,MASTER_SOURCE!$A$2:$A$495,0)),""))</f>
        <v/>
      </c>
      <c r="L1147" s="22">
        <f t="array" ref="L1147">IF($D1147="","",IFERROR(INDEX(MASTER_SOURCE!$D$2:$D$495,MATCH($I1147,MASTER_SOURCE!$A$2:$A$495,0)),""))</f>
        <v/>
      </c>
      <c r="M1147" s="24" t="n"/>
      <c r="N1147" s="24" t="n"/>
      <c r="O1147" s="24" t="n"/>
      <c r="P1147" s="24" t="n"/>
      <c r="Q1147" s="22">
        <f>IF($D1147="","",IF(AND(OR(DANH_MUC!$L$5&lt;&gt;"Có",M1147="Có"),OR(DANH_MUC!$L$6&lt;&gt;"Có",N1147="Có"),OR(DANH_MUC!$L$7&lt;&gt;"Có",O1147="Có"),OR(DANH_MUC!$L$8&lt;&gt;"Có",P1147="Có")),"Có","Không"))</f>
        <v/>
      </c>
      <c r="R1147" s="22">
        <f>IF($D1147="","",IF(COUNTIF($D$2:$D1147,$D1147)&gt;1,"Trùng",""))</f>
        <v/>
      </c>
      <c r="S1147" s="22">
        <f>IF($D1147="","",IF(AND(LEN($D1147)=10,LEFT($D1147,1)="0",ISNUMBER(--$D1147)),"Có","Không"))</f>
        <v/>
      </c>
      <c r="T1147" s="22">
        <f>IF($D1147="","",IF(AND($C1147&lt;&gt;"",$Q1147="Có",$R1147="",$S1147="Có",AND($L1147&lt;&gt;"",OR($L1147&lt;&gt;"Chưa xác định",DANH_MUC!$L$9="Có"))),"Có","Không"))</f>
        <v/>
      </c>
      <c r="U1147" s="22">
        <f>IF(OR($D1147="",$T1147="Có"),"",IF($C1147="","Thiếu họ tên; ","")&amp;IF($S1147&lt;&gt;"Có","SĐT sai định dạng; ","")&amp;IF($R1147="Trùng","Trùng SĐT; ","")&amp;IF($Q1147&lt;&gt;"Có","Thiếu đồng ý bắt buộc; ","")&amp;IF($L1147="","Thiếu/sai Mã REF; ",IF(AND($L1147="Chưa xác định",DANH_MUC!$L$9&lt;&gt;"Có"),"Nguồn chưa xác định; ","")))</f>
        <v/>
      </c>
      <c r="V1147" s="22">
        <f>IF(OR($D1147="",$R1147="Trùng"),"",IF(COUNTIF(ORDERS!$C$2:$C$4995,$D1147)&gt;0,"Có","Không"))</f>
        <v/>
      </c>
      <c r="W1147" s="22">
        <f>IF(OR($D1147="",$R1147="Trùng"),"",COUNTIFS(ORDERS!$C$2:$C$4995,$D1147,ORDERS!$L$2:$L$4995,"Đã chuyển khoản"))</f>
        <v/>
      </c>
      <c r="X1147" s="23">
        <f>IF(OR($D1147="",$R1147="Trùng"),"",SUMIFS(ORDERS!$J$2:$J$4995,ORDERS!$C$2:$C$4995,$D1147,ORDERS!$L$2:$L$4995,"Đã chuyển khoản"))</f>
        <v/>
      </c>
      <c r="Y1147" s="24" t="n"/>
    </row>
    <row r="1148" ht="14.25" customHeight="1" s="40">
      <c r="A1148" s="24" t="n"/>
      <c r="B1148" s="27" t="n"/>
      <c r="C1148" s="24" t="n"/>
      <c r="D1148" s="28" t="n"/>
      <c r="E1148" s="29" t="n"/>
      <c r="F1148" s="24" t="n"/>
      <c r="G1148" s="24" t="n"/>
      <c r="H1148" s="21">
        <f>IF(ISNUMBER($B1148),INT($B1148)-WEEKDAY($B1148,2)+1,"")</f>
        <v/>
      </c>
      <c r="I1148" s="24" t="n"/>
      <c r="J1148" s="22">
        <f t="array" ref="J1148">IF($D1148="","",IF($I1148="","(trống REF)",IFERROR(INDEX(MASTER_SOURCE!$B$2:$B$495,MATCH($I1148,MASTER_SOURCE!$A$2:$A$495,0)),"(REF không có trong MASTER_SOURCE)")))</f>
        <v/>
      </c>
      <c r="K1148" s="22">
        <f t="array" ref="K1148">IF($D1148="","",IFERROR(INDEX(MASTER_SOURCE!$C$2:$C$495,MATCH($I1148,MASTER_SOURCE!$A$2:$A$495,0)),""))</f>
        <v/>
      </c>
      <c r="L1148" s="22">
        <f t="array" ref="L1148">IF($D1148="","",IFERROR(INDEX(MASTER_SOURCE!$D$2:$D$495,MATCH($I1148,MASTER_SOURCE!$A$2:$A$495,0)),""))</f>
        <v/>
      </c>
      <c r="M1148" s="24" t="n"/>
      <c r="N1148" s="24" t="n"/>
      <c r="O1148" s="24" t="n"/>
      <c r="P1148" s="24" t="n"/>
      <c r="Q1148" s="22">
        <f>IF($D1148="","",IF(AND(OR(DANH_MUC!$L$5&lt;&gt;"Có",M1148="Có"),OR(DANH_MUC!$L$6&lt;&gt;"Có",N1148="Có"),OR(DANH_MUC!$L$7&lt;&gt;"Có",O1148="Có"),OR(DANH_MUC!$L$8&lt;&gt;"Có",P1148="Có")),"Có","Không"))</f>
        <v/>
      </c>
      <c r="R1148" s="22">
        <f>IF($D1148="","",IF(COUNTIF($D$2:$D1148,$D1148)&gt;1,"Trùng",""))</f>
        <v/>
      </c>
      <c r="S1148" s="22">
        <f>IF($D1148="","",IF(AND(LEN($D1148)=10,LEFT($D1148,1)="0",ISNUMBER(--$D1148)),"Có","Không"))</f>
        <v/>
      </c>
      <c r="T1148" s="22">
        <f>IF($D1148="","",IF(AND($C1148&lt;&gt;"",$Q1148="Có",$R1148="",$S1148="Có",AND($L1148&lt;&gt;"",OR($L1148&lt;&gt;"Chưa xác định",DANH_MUC!$L$9="Có"))),"Có","Không"))</f>
        <v/>
      </c>
      <c r="U1148" s="22">
        <f>IF(OR($D1148="",$T1148="Có"),"",IF($C1148="","Thiếu họ tên; ","")&amp;IF($S1148&lt;&gt;"Có","SĐT sai định dạng; ","")&amp;IF($R1148="Trùng","Trùng SĐT; ","")&amp;IF($Q1148&lt;&gt;"Có","Thiếu đồng ý bắt buộc; ","")&amp;IF($L1148="","Thiếu/sai Mã REF; ",IF(AND($L1148="Chưa xác định",DANH_MUC!$L$9&lt;&gt;"Có"),"Nguồn chưa xác định; ","")))</f>
        <v/>
      </c>
      <c r="V1148" s="22">
        <f>IF(OR($D1148="",$R1148="Trùng"),"",IF(COUNTIF(ORDERS!$C$2:$C$4995,$D1148)&gt;0,"Có","Không"))</f>
        <v/>
      </c>
      <c r="W1148" s="22">
        <f>IF(OR($D1148="",$R1148="Trùng"),"",COUNTIFS(ORDERS!$C$2:$C$4995,$D1148,ORDERS!$L$2:$L$4995,"Đã chuyển khoản"))</f>
        <v/>
      </c>
      <c r="X1148" s="23">
        <f>IF(OR($D1148="",$R1148="Trùng"),"",SUMIFS(ORDERS!$J$2:$J$4995,ORDERS!$C$2:$C$4995,$D1148,ORDERS!$L$2:$L$4995,"Đã chuyển khoản"))</f>
        <v/>
      </c>
      <c r="Y1148" s="24" t="n"/>
    </row>
    <row r="1149" ht="14.25" customHeight="1" s="40">
      <c r="A1149" s="24" t="n"/>
      <c r="B1149" s="27" t="n"/>
      <c r="C1149" s="24" t="n"/>
      <c r="D1149" s="28" t="n"/>
      <c r="E1149" s="29" t="n"/>
      <c r="F1149" s="24" t="n"/>
      <c r="G1149" s="24" t="n"/>
      <c r="H1149" s="21">
        <f>IF(ISNUMBER($B1149),INT($B1149)-WEEKDAY($B1149,2)+1,"")</f>
        <v/>
      </c>
      <c r="I1149" s="24" t="n"/>
      <c r="J1149" s="22">
        <f t="array" ref="J1149">IF($D1149="","",IF($I1149="","(trống REF)",IFERROR(INDEX(MASTER_SOURCE!$B$2:$B$495,MATCH($I1149,MASTER_SOURCE!$A$2:$A$495,0)),"(REF không có trong MASTER_SOURCE)")))</f>
        <v/>
      </c>
      <c r="K1149" s="22">
        <f t="array" ref="K1149">IF($D1149="","",IFERROR(INDEX(MASTER_SOURCE!$C$2:$C$495,MATCH($I1149,MASTER_SOURCE!$A$2:$A$495,0)),""))</f>
        <v/>
      </c>
      <c r="L1149" s="22">
        <f t="array" ref="L1149">IF($D1149="","",IFERROR(INDEX(MASTER_SOURCE!$D$2:$D$495,MATCH($I1149,MASTER_SOURCE!$A$2:$A$495,0)),""))</f>
        <v/>
      </c>
      <c r="M1149" s="24" t="n"/>
      <c r="N1149" s="24" t="n"/>
      <c r="O1149" s="24" t="n"/>
      <c r="P1149" s="24" t="n"/>
      <c r="Q1149" s="22">
        <f>IF($D1149="","",IF(AND(OR(DANH_MUC!$L$5&lt;&gt;"Có",M1149="Có"),OR(DANH_MUC!$L$6&lt;&gt;"Có",N1149="Có"),OR(DANH_MUC!$L$7&lt;&gt;"Có",O1149="Có"),OR(DANH_MUC!$L$8&lt;&gt;"Có",P1149="Có")),"Có","Không"))</f>
        <v/>
      </c>
      <c r="R1149" s="22">
        <f>IF($D1149="","",IF(COUNTIF($D$2:$D1149,$D1149)&gt;1,"Trùng",""))</f>
        <v/>
      </c>
      <c r="S1149" s="22">
        <f>IF($D1149="","",IF(AND(LEN($D1149)=10,LEFT($D1149,1)="0",ISNUMBER(--$D1149)),"Có","Không"))</f>
        <v/>
      </c>
      <c r="T1149" s="22">
        <f>IF($D1149="","",IF(AND($C1149&lt;&gt;"",$Q1149="Có",$R1149="",$S1149="Có",AND($L1149&lt;&gt;"",OR($L1149&lt;&gt;"Chưa xác định",DANH_MUC!$L$9="Có"))),"Có","Không"))</f>
        <v/>
      </c>
      <c r="U1149" s="22">
        <f>IF(OR($D1149="",$T1149="Có"),"",IF($C1149="","Thiếu họ tên; ","")&amp;IF($S1149&lt;&gt;"Có","SĐT sai định dạng; ","")&amp;IF($R1149="Trùng","Trùng SĐT; ","")&amp;IF($Q1149&lt;&gt;"Có","Thiếu đồng ý bắt buộc; ","")&amp;IF($L1149="","Thiếu/sai Mã REF; ",IF(AND($L1149="Chưa xác định",DANH_MUC!$L$9&lt;&gt;"Có"),"Nguồn chưa xác định; ","")))</f>
        <v/>
      </c>
      <c r="V1149" s="22">
        <f>IF(OR($D1149="",$R1149="Trùng"),"",IF(COUNTIF(ORDERS!$C$2:$C$4995,$D1149)&gt;0,"Có","Không"))</f>
        <v/>
      </c>
      <c r="W1149" s="22">
        <f>IF(OR($D1149="",$R1149="Trùng"),"",COUNTIFS(ORDERS!$C$2:$C$4995,$D1149,ORDERS!$L$2:$L$4995,"Đã chuyển khoản"))</f>
        <v/>
      </c>
      <c r="X1149" s="23">
        <f>IF(OR($D1149="",$R1149="Trùng"),"",SUMIFS(ORDERS!$J$2:$J$4995,ORDERS!$C$2:$C$4995,$D1149,ORDERS!$L$2:$L$4995,"Đã chuyển khoản"))</f>
        <v/>
      </c>
      <c r="Y1149" s="24" t="n"/>
    </row>
    <row r="1150" ht="14.25" customHeight="1" s="40">
      <c r="A1150" s="24" t="n"/>
      <c r="B1150" s="27" t="n"/>
      <c r="C1150" s="24" t="n"/>
      <c r="D1150" s="28" t="n"/>
      <c r="E1150" s="29" t="n"/>
      <c r="F1150" s="24" t="n"/>
      <c r="G1150" s="24" t="n"/>
      <c r="H1150" s="21">
        <f>IF(ISNUMBER($B1150),INT($B1150)-WEEKDAY($B1150,2)+1,"")</f>
        <v/>
      </c>
      <c r="I1150" s="24" t="n"/>
      <c r="J1150" s="22">
        <f t="array" ref="J1150">IF($D1150="","",IF($I1150="","(trống REF)",IFERROR(INDEX(MASTER_SOURCE!$B$2:$B$495,MATCH($I1150,MASTER_SOURCE!$A$2:$A$495,0)),"(REF không có trong MASTER_SOURCE)")))</f>
        <v/>
      </c>
      <c r="K1150" s="22">
        <f t="array" ref="K1150">IF($D1150="","",IFERROR(INDEX(MASTER_SOURCE!$C$2:$C$495,MATCH($I1150,MASTER_SOURCE!$A$2:$A$495,0)),""))</f>
        <v/>
      </c>
      <c r="L1150" s="22">
        <f t="array" ref="L1150">IF($D1150="","",IFERROR(INDEX(MASTER_SOURCE!$D$2:$D$495,MATCH($I1150,MASTER_SOURCE!$A$2:$A$495,0)),""))</f>
        <v/>
      </c>
      <c r="M1150" s="24" t="n"/>
      <c r="N1150" s="24" t="n"/>
      <c r="O1150" s="24" t="n"/>
      <c r="P1150" s="24" t="n"/>
      <c r="Q1150" s="22">
        <f>IF($D1150="","",IF(AND(OR(DANH_MUC!$L$5&lt;&gt;"Có",M1150="Có"),OR(DANH_MUC!$L$6&lt;&gt;"Có",N1150="Có"),OR(DANH_MUC!$L$7&lt;&gt;"Có",O1150="Có"),OR(DANH_MUC!$L$8&lt;&gt;"Có",P1150="Có")),"Có","Không"))</f>
        <v/>
      </c>
      <c r="R1150" s="22">
        <f>IF($D1150="","",IF(COUNTIF($D$2:$D1150,$D1150)&gt;1,"Trùng",""))</f>
        <v/>
      </c>
      <c r="S1150" s="22">
        <f>IF($D1150="","",IF(AND(LEN($D1150)=10,LEFT($D1150,1)="0",ISNUMBER(--$D1150)),"Có","Không"))</f>
        <v/>
      </c>
      <c r="T1150" s="22">
        <f>IF($D1150="","",IF(AND($C1150&lt;&gt;"",$Q1150="Có",$R1150="",$S1150="Có",AND($L1150&lt;&gt;"",OR($L1150&lt;&gt;"Chưa xác định",DANH_MUC!$L$9="Có"))),"Có","Không"))</f>
        <v/>
      </c>
      <c r="U1150" s="22">
        <f>IF(OR($D1150="",$T1150="Có"),"",IF($C1150="","Thiếu họ tên; ","")&amp;IF($S1150&lt;&gt;"Có","SĐT sai định dạng; ","")&amp;IF($R1150="Trùng","Trùng SĐT; ","")&amp;IF($Q1150&lt;&gt;"Có","Thiếu đồng ý bắt buộc; ","")&amp;IF($L1150="","Thiếu/sai Mã REF; ",IF(AND($L1150="Chưa xác định",DANH_MUC!$L$9&lt;&gt;"Có"),"Nguồn chưa xác định; ","")))</f>
        <v/>
      </c>
      <c r="V1150" s="22">
        <f>IF(OR($D1150="",$R1150="Trùng"),"",IF(COUNTIF(ORDERS!$C$2:$C$4995,$D1150)&gt;0,"Có","Không"))</f>
        <v/>
      </c>
      <c r="W1150" s="22">
        <f>IF(OR($D1150="",$R1150="Trùng"),"",COUNTIFS(ORDERS!$C$2:$C$4995,$D1150,ORDERS!$L$2:$L$4995,"Đã chuyển khoản"))</f>
        <v/>
      </c>
      <c r="X1150" s="23">
        <f>IF(OR($D1150="",$R1150="Trùng"),"",SUMIFS(ORDERS!$J$2:$J$4995,ORDERS!$C$2:$C$4995,$D1150,ORDERS!$L$2:$L$4995,"Đã chuyển khoản"))</f>
        <v/>
      </c>
      <c r="Y1150" s="24" t="n"/>
    </row>
    <row r="1151" ht="14.25" customHeight="1" s="40">
      <c r="A1151" s="24" t="n"/>
      <c r="B1151" s="27" t="n"/>
      <c r="C1151" s="24" t="n"/>
      <c r="D1151" s="28" t="n"/>
      <c r="E1151" s="29" t="n"/>
      <c r="F1151" s="24" t="n"/>
      <c r="G1151" s="24" t="n"/>
      <c r="H1151" s="21">
        <f>IF(ISNUMBER($B1151),INT($B1151)-WEEKDAY($B1151,2)+1,"")</f>
        <v/>
      </c>
      <c r="I1151" s="24" t="n"/>
      <c r="J1151" s="22">
        <f t="array" ref="J1151">IF($D1151="","",IF($I1151="","(trống REF)",IFERROR(INDEX(MASTER_SOURCE!$B$2:$B$495,MATCH($I1151,MASTER_SOURCE!$A$2:$A$495,0)),"(REF không có trong MASTER_SOURCE)")))</f>
        <v/>
      </c>
      <c r="K1151" s="22">
        <f t="array" ref="K1151">IF($D1151="","",IFERROR(INDEX(MASTER_SOURCE!$C$2:$C$495,MATCH($I1151,MASTER_SOURCE!$A$2:$A$495,0)),""))</f>
        <v/>
      </c>
      <c r="L1151" s="22">
        <f t="array" ref="L1151">IF($D1151="","",IFERROR(INDEX(MASTER_SOURCE!$D$2:$D$495,MATCH($I1151,MASTER_SOURCE!$A$2:$A$495,0)),""))</f>
        <v/>
      </c>
      <c r="M1151" s="24" t="n"/>
      <c r="N1151" s="24" t="n"/>
      <c r="O1151" s="24" t="n"/>
      <c r="P1151" s="24" t="n"/>
      <c r="Q1151" s="22">
        <f>IF($D1151="","",IF(AND(OR(DANH_MUC!$L$5&lt;&gt;"Có",M1151="Có"),OR(DANH_MUC!$L$6&lt;&gt;"Có",N1151="Có"),OR(DANH_MUC!$L$7&lt;&gt;"Có",O1151="Có"),OR(DANH_MUC!$L$8&lt;&gt;"Có",P1151="Có")),"Có","Không"))</f>
        <v/>
      </c>
      <c r="R1151" s="22">
        <f>IF($D1151="","",IF(COUNTIF($D$2:$D1151,$D1151)&gt;1,"Trùng",""))</f>
        <v/>
      </c>
      <c r="S1151" s="22">
        <f>IF($D1151="","",IF(AND(LEN($D1151)=10,LEFT($D1151,1)="0",ISNUMBER(--$D1151)),"Có","Không"))</f>
        <v/>
      </c>
      <c r="T1151" s="22">
        <f>IF($D1151="","",IF(AND($C1151&lt;&gt;"",$Q1151="Có",$R1151="",$S1151="Có",AND($L1151&lt;&gt;"",OR($L1151&lt;&gt;"Chưa xác định",DANH_MUC!$L$9="Có"))),"Có","Không"))</f>
        <v/>
      </c>
      <c r="U1151" s="22">
        <f>IF(OR($D1151="",$T1151="Có"),"",IF($C1151="","Thiếu họ tên; ","")&amp;IF($S1151&lt;&gt;"Có","SĐT sai định dạng; ","")&amp;IF($R1151="Trùng","Trùng SĐT; ","")&amp;IF($Q1151&lt;&gt;"Có","Thiếu đồng ý bắt buộc; ","")&amp;IF($L1151="","Thiếu/sai Mã REF; ",IF(AND($L1151="Chưa xác định",DANH_MUC!$L$9&lt;&gt;"Có"),"Nguồn chưa xác định; ","")))</f>
        <v/>
      </c>
      <c r="V1151" s="22">
        <f>IF(OR($D1151="",$R1151="Trùng"),"",IF(COUNTIF(ORDERS!$C$2:$C$4995,$D1151)&gt;0,"Có","Không"))</f>
        <v/>
      </c>
      <c r="W1151" s="22">
        <f>IF(OR($D1151="",$R1151="Trùng"),"",COUNTIFS(ORDERS!$C$2:$C$4995,$D1151,ORDERS!$L$2:$L$4995,"Đã chuyển khoản"))</f>
        <v/>
      </c>
      <c r="X1151" s="23">
        <f>IF(OR($D1151="",$R1151="Trùng"),"",SUMIFS(ORDERS!$J$2:$J$4995,ORDERS!$C$2:$C$4995,$D1151,ORDERS!$L$2:$L$4995,"Đã chuyển khoản"))</f>
        <v/>
      </c>
      <c r="Y1151" s="24" t="n"/>
    </row>
    <row r="1152" ht="14.25" customHeight="1" s="40">
      <c r="A1152" s="24" t="n"/>
      <c r="B1152" s="27" t="n"/>
      <c r="C1152" s="24" t="n"/>
      <c r="D1152" s="28" t="n"/>
      <c r="E1152" s="29" t="n"/>
      <c r="F1152" s="24" t="n"/>
      <c r="G1152" s="24" t="n"/>
      <c r="H1152" s="21">
        <f>IF(ISNUMBER($B1152),INT($B1152)-WEEKDAY($B1152,2)+1,"")</f>
        <v/>
      </c>
      <c r="I1152" s="24" t="n"/>
      <c r="J1152" s="22">
        <f t="array" ref="J1152">IF($D1152="","",IF($I1152="","(trống REF)",IFERROR(INDEX(MASTER_SOURCE!$B$2:$B$495,MATCH($I1152,MASTER_SOURCE!$A$2:$A$495,0)),"(REF không có trong MASTER_SOURCE)")))</f>
        <v/>
      </c>
      <c r="K1152" s="22">
        <f t="array" ref="K1152">IF($D1152="","",IFERROR(INDEX(MASTER_SOURCE!$C$2:$C$495,MATCH($I1152,MASTER_SOURCE!$A$2:$A$495,0)),""))</f>
        <v/>
      </c>
      <c r="L1152" s="22">
        <f t="array" ref="L1152">IF($D1152="","",IFERROR(INDEX(MASTER_SOURCE!$D$2:$D$495,MATCH($I1152,MASTER_SOURCE!$A$2:$A$495,0)),""))</f>
        <v/>
      </c>
      <c r="M1152" s="24" t="n"/>
      <c r="N1152" s="24" t="n"/>
      <c r="O1152" s="24" t="n"/>
      <c r="P1152" s="24" t="n"/>
      <c r="Q1152" s="22">
        <f>IF($D1152="","",IF(AND(OR(DANH_MUC!$L$5&lt;&gt;"Có",M1152="Có"),OR(DANH_MUC!$L$6&lt;&gt;"Có",N1152="Có"),OR(DANH_MUC!$L$7&lt;&gt;"Có",O1152="Có"),OR(DANH_MUC!$L$8&lt;&gt;"Có",P1152="Có")),"Có","Không"))</f>
        <v/>
      </c>
      <c r="R1152" s="22">
        <f>IF($D1152="","",IF(COUNTIF($D$2:$D1152,$D1152)&gt;1,"Trùng",""))</f>
        <v/>
      </c>
      <c r="S1152" s="22">
        <f>IF($D1152="","",IF(AND(LEN($D1152)=10,LEFT($D1152,1)="0",ISNUMBER(--$D1152)),"Có","Không"))</f>
        <v/>
      </c>
      <c r="T1152" s="22">
        <f>IF($D1152="","",IF(AND($C1152&lt;&gt;"",$Q1152="Có",$R1152="",$S1152="Có",AND($L1152&lt;&gt;"",OR($L1152&lt;&gt;"Chưa xác định",DANH_MUC!$L$9="Có"))),"Có","Không"))</f>
        <v/>
      </c>
      <c r="U1152" s="22">
        <f>IF(OR($D1152="",$T1152="Có"),"",IF($C1152="","Thiếu họ tên; ","")&amp;IF($S1152&lt;&gt;"Có","SĐT sai định dạng; ","")&amp;IF($R1152="Trùng","Trùng SĐT; ","")&amp;IF($Q1152&lt;&gt;"Có","Thiếu đồng ý bắt buộc; ","")&amp;IF($L1152="","Thiếu/sai Mã REF; ",IF(AND($L1152="Chưa xác định",DANH_MUC!$L$9&lt;&gt;"Có"),"Nguồn chưa xác định; ","")))</f>
        <v/>
      </c>
      <c r="V1152" s="22">
        <f>IF(OR($D1152="",$R1152="Trùng"),"",IF(COUNTIF(ORDERS!$C$2:$C$4995,$D1152)&gt;0,"Có","Không"))</f>
        <v/>
      </c>
      <c r="W1152" s="22">
        <f>IF(OR($D1152="",$R1152="Trùng"),"",COUNTIFS(ORDERS!$C$2:$C$4995,$D1152,ORDERS!$L$2:$L$4995,"Đã chuyển khoản"))</f>
        <v/>
      </c>
      <c r="X1152" s="23">
        <f>IF(OR($D1152="",$R1152="Trùng"),"",SUMIFS(ORDERS!$J$2:$J$4995,ORDERS!$C$2:$C$4995,$D1152,ORDERS!$L$2:$L$4995,"Đã chuyển khoản"))</f>
        <v/>
      </c>
      <c r="Y1152" s="24" t="n"/>
    </row>
    <row r="1153" ht="14.25" customHeight="1" s="40">
      <c r="A1153" s="24" t="n"/>
      <c r="B1153" s="27" t="n"/>
      <c r="C1153" s="24" t="n"/>
      <c r="D1153" s="28" t="n"/>
      <c r="E1153" s="29" t="n"/>
      <c r="F1153" s="24" t="n"/>
      <c r="G1153" s="24" t="n"/>
      <c r="H1153" s="21">
        <f>IF(ISNUMBER($B1153),INT($B1153)-WEEKDAY($B1153,2)+1,"")</f>
        <v/>
      </c>
      <c r="I1153" s="24" t="n"/>
      <c r="J1153" s="22">
        <f t="array" ref="J1153">IF($D1153="","",IF($I1153="","(trống REF)",IFERROR(INDEX(MASTER_SOURCE!$B$2:$B$495,MATCH($I1153,MASTER_SOURCE!$A$2:$A$495,0)),"(REF không có trong MASTER_SOURCE)")))</f>
        <v/>
      </c>
      <c r="K1153" s="22">
        <f t="array" ref="K1153">IF($D1153="","",IFERROR(INDEX(MASTER_SOURCE!$C$2:$C$495,MATCH($I1153,MASTER_SOURCE!$A$2:$A$495,0)),""))</f>
        <v/>
      </c>
      <c r="L1153" s="22">
        <f t="array" ref="L1153">IF($D1153="","",IFERROR(INDEX(MASTER_SOURCE!$D$2:$D$495,MATCH($I1153,MASTER_SOURCE!$A$2:$A$495,0)),""))</f>
        <v/>
      </c>
      <c r="M1153" s="24" t="n"/>
      <c r="N1153" s="24" t="n"/>
      <c r="O1153" s="24" t="n"/>
      <c r="P1153" s="24" t="n"/>
      <c r="Q1153" s="22">
        <f>IF($D1153="","",IF(AND(OR(DANH_MUC!$L$5&lt;&gt;"Có",M1153="Có"),OR(DANH_MUC!$L$6&lt;&gt;"Có",N1153="Có"),OR(DANH_MUC!$L$7&lt;&gt;"Có",O1153="Có"),OR(DANH_MUC!$L$8&lt;&gt;"Có",P1153="Có")),"Có","Không"))</f>
        <v/>
      </c>
      <c r="R1153" s="22">
        <f>IF($D1153="","",IF(COUNTIF($D$2:$D1153,$D1153)&gt;1,"Trùng",""))</f>
        <v/>
      </c>
      <c r="S1153" s="22">
        <f>IF($D1153="","",IF(AND(LEN($D1153)=10,LEFT($D1153,1)="0",ISNUMBER(--$D1153)),"Có","Không"))</f>
        <v/>
      </c>
      <c r="T1153" s="22">
        <f>IF($D1153="","",IF(AND($C1153&lt;&gt;"",$Q1153="Có",$R1153="",$S1153="Có",AND($L1153&lt;&gt;"",OR($L1153&lt;&gt;"Chưa xác định",DANH_MUC!$L$9="Có"))),"Có","Không"))</f>
        <v/>
      </c>
      <c r="U1153" s="22">
        <f>IF(OR($D1153="",$T1153="Có"),"",IF($C1153="","Thiếu họ tên; ","")&amp;IF($S1153&lt;&gt;"Có","SĐT sai định dạng; ","")&amp;IF($R1153="Trùng","Trùng SĐT; ","")&amp;IF($Q1153&lt;&gt;"Có","Thiếu đồng ý bắt buộc; ","")&amp;IF($L1153="","Thiếu/sai Mã REF; ",IF(AND($L1153="Chưa xác định",DANH_MUC!$L$9&lt;&gt;"Có"),"Nguồn chưa xác định; ","")))</f>
        <v/>
      </c>
      <c r="V1153" s="22">
        <f>IF(OR($D1153="",$R1153="Trùng"),"",IF(COUNTIF(ORDERS!$C$2:$C$4995,$D1153)&gt;0,"Có","Không"))</f>
        <v/>
      </c>
      <c r="W1153" s="22">
        <f>IF(OR($D1153="",$R1153="Trùng"),"",COUNTIFS(ORDERS!$C$2:$C$4995,$D1153,ORDERS!$L$2:$L$4995,"Đã chuyển khoản"))</f>
        <v/>
      </c>
      <c r="X1153" s="23">
        <f>IF(OR($D1153="",$R1153="Trùng"),"",SUMIFS(ORDERS!$J$2:$J$4995,ORDERS!$C$2:$C$4995,$D1153,ORDERS!$L$2:$L$4995,"Đã chuyển khoản"))</f>
        <v/>
      </c>
      <c r="Y1153" s="24" t="n"/>
    </row>
    <row r="1154" ht="14.25" customHeight="1" s="40">
      <c r="A1154" s="24" t="n"/>
      <c r="B1154" s="27" t="n"/>
      <c r="C1154" s="24" t="n"/>
      <c r="D1154" s="28" t="n"/>
      <c r="E1154" s="29" t="n"/>
      <c r="F1154" s="24" t="n"/>
      <c r="G1154" s="24" t="n"/>
      <c r="H1154" s="21">
        <f>IF(ISNUMBER($B1154),INT($B1154)-WEEKDAY($B1154,2)+1,"")</f>
        <v/>
      </c>
      <c r="I1154" s="24" t="n"/>
      <c r="J1154" s="22">
        <f t="array" ref="J1154">IF($D1154="","",IF($I1154="","(trống REF)",IFERROR(INDEX(MASTER_SOURCE!$B$2:$B$495,MATCH($I1154,MASTER_SOURCE!$A$2:$A$495,0)),"(REF không có trong MASTER_SOURCE)")))</f>
        <v/>
      </c>
      <c r="K1154" s="22">
        <f t="array" ref="K1154">IF($D1154="","",IFERROR(INDEX(MASTER_SOURCE!$C$2:$C$495,MATCH($I1154,MASTER_SOURCE!$A$2:$A$495,0)),""))</f>
        <v/>
      </c>
      <c r="L1154" s="22">
        <f t="array" ref="L1154">IF($D1154="","",IFERROR(INDEX(MASTER_SOURCE!$D$2:$D$495,MATCH($I1154,MASTER_SOURCE!$A$2:$A$495,0)),""))</f>
        <v/>
      </c>
      <c r="M1154" s="24" t="n"/>
      <c r="N1154" s="24" t="n"/>
      <c r="O1154" s="24" t="n"/>
      <c r="P1154" s="24" t="n"/>
      <c r="Q1154" s="22">
        <f>IF($D1154="","",IF(AND(OR(DANH_MUC!$L$5&lt;&gt;"Có",M1154="Có"),OR(DANH_MUC!$L$6&lt;&gt;"Có",N1154="Có"),OR(DANH_MUC!$L$7&lt;&gt;"Có",O1154="Có"),OR(DANH_MUC!$L$8&lt;&gt;"Có",P1154="Có")),"Có","Không"))</f>
        <v/>
      </c>
      <c r="R1154" s="22">
        <f>IF($D1154="","",IF(COUNTIF($D$2:$D1154,$D1154)&gt;1,"Trùng",""))</f>
        <v/>
      </c>
      <c r="S1154" s="22">
        <f>IF($D1154="","",IF(AND(LEN($D1154)=10,LEFT($D1154,1)="0",ISNUMBER(--$D1154)),"Có","Không"))</f>
        <v/>
      </c>
      <c r="T1154" s="22">
        <f>IF($D1154="","",IF(AND($C1154&lt;&gt;"",$Q1154="Có",$R1154="",$S1154="Có",AND($L1154&lt;&gt;"",OR($L1154&lt;&gt;"Chưa xác định",DANH_MUC!$L$9="Có"))),"Có","Không"))</f>
        <v/>
      </c>
      <c r="U1154" s="22">
        <f>IF(OR($D1154="",$T1154="Có"),"",IF($C1154="","Thiếu họ tên; ","")&amp;IF($S1154&lt;&gt;"Có","SĐT sai định dạng; ","")&amp;IF($R1154="Trùng","Trùng SĐT; ","")&amp;IF($Q1154&lt;&gt;"Có","Thiếu đồng ý bắt buộc; ","")&amp;IF($L1154="","Thiếu/sai Mã REF; ",IF(AND($L1154="Chưa xác định",DANH_MUC!$L$9&lt;&gt;"Có"),"Nguồn chưa xác định; ","")))</f>
        <v/>
      </c>
      <c r="V1154" s="22">
        <f>IF(OR($D1154="",$R1154="Trùng"),"",IF(COUNTIF(ORDERS!$C$2:$C$4995,$D1154)&gt;0,"Có","Không"))</f>
        <v/>
      </c>
      <c r="W1154" s="22">
        <f>IF(OR($D1154="",$R1154="Trùng"),"",COUNTIFS(ORDERS!$C$2:$C$4995,$D1154,ORDERS!$L$2:$L$4995,"Đã chuyển khoản"))</f>
        <v/>
      </c>
      <c r="X1154" s="23">
        <f>IF(OR($D1154="",$R1154="Trùng"),"",SUMIFS(ORDERS!$J$2:$J$4995,ORDERS!$C$2:$C$4995,$D1154,ORDERS!$L$2:$L$4995,"Đã chuyển khoản"))</f>
        <v/>
      </c>
      <c r="Y1154" s="24" t="n"/>
    </row>
    <row r="1155" ht="14.25" customHeight="1" s="40">
      <c r="A1155" s="24" t="n"/>
      <c r="B1155" s="27" t="n"/>
      <c r="C1155" s="24" t="n"/>
      <c r="D1155" s="28" t="n"/>
      <c r="E1155" s="29" t="n"/>
      <c r="F1155" s="24" t="n"/>
      <c r="G1155" s="24" t="n"/>
      <c r="H1155" s="21">
        <f>IF(ISNUMBER($B1155),INT($B1155)-WEEKDAY($B1155,2)+1,"")</f>
        <v/>
      </c>
      <c r="I1155" s="24" t="n"/>
      <c r="J1155" s="22">
        <f t="array" ref="J1155">IF($D1155="","",IF($I1155="","(trống REF)",IFERROR(INDEX(MASTER_SOURCE!$B$2:$B$495,MATCH($I1155,MASTER_SOURCE!$A$2:$A$495,0)),"(REF không có trong MASTER_SOURCE)")))</f>
        <v/>
      </c>
      <c r="K1155" s="22">
        <f t="array" ref="K1155">IF($D1155="","",IFERROR(INDEX(MASTER_SOURCE!$C$2:$C$495,MATCH($I1155,MASTER_SOURCE!$A$2:$A$495,0)),""))</f>
        <v/>
      </c>
      <c r="L1155" s="22">
        <f t="array" ref="L1155">IF($D1155="","",IFERROR(INDEX(MASTER_SOURCE!$D$2:$D$495,MATCH($I1155,MASTER_SOURCE!$A$2:$A$495,0)),""))</f>
        <v/>
      </c>
      <c r="M1155" s="24" t="n"/>
      <c r="N1155" s="24" t="n"/>
      <c r="O1155" s="24" t="n"/>
      <c r="P1155" s="24" t="n"/>
      <c r="Q1155" s="22">
        <f>IF($D1155="","",IF(AND(OR(DANH_MUC!$L$5&lt;&gt;"Có",M1155="Có"),OR(DANH_MUC!$L$6&lt;&gt;"Có",N1155="Có"),OR(DANH_MUC!$L$7&lt;&gt;"Có",O1155="Có"),OR(DANH_MUC!$L$8&lt;&gt;"Có",P1155="Có")),"Có","Không"))</f>
        <v/>
      </c>
      <c r="R1155" s="22">
        <f>IF($D1155="","",IF(COUNTIF($D$2:$D1155,$D1155)&gt;1,"Trùng",""))</f>
        <v/>
      </c>
      <c r="S1155" s="22">
        <f>IF($D1155="","",IF(AND(LEN($D1155)=10,LEFT($D1155,1)="0",ISNUMBER(--$D1155)),"Có","Không"))</f>
        <v/>
      </c>
      <c r="T1155" s="22">
        <f>IF($D1155="","",IF(AND($C1155&lt;&gt;"",$Q1155="Có",$R1155="",$S1155="Có",AND($L1155&lt;&gt;"",OR($L1155&lt;&gt;"Chưa xác định",DANH_MUC!$L$9="Có"))),"Có","Không"))</f>
        <v/>
      </c>
      <c r="U1155" s="22">
        <f>IF(OR($D1155="",$T1155="Có"),"",IF($C1155="","Thiếu họ tên; ","")&amp;IF($S1155&lt;&gt;"Có","SĐT sai định dạng; ","")&amp;IF($R1155="Trùng","Trùng SĐT; ","")&amp;IF($Q1155&lt;&gt;"Có","Thiếu đồng ý bắt buộc; ","")&amp;IF($L1155="","Thiếu/sai Mã REF; ",IF(AND($L1155="Chưa xác định",DANH_MUC!$L$9&lt;&gt;"Có"),"Nguồn chưa xác định; ","")))</f>
        <v/>
      </c>
      <c r="V1155" s="22">
        <f>IF(OR($D1155="",$R1155="Trùng"),"",IF(COUNTIF(ORDERS!$C$2:$C$4995,$D1155)&gt;0,"Có","Không"))</f>
        <v/>
      </c>
      <c r="W1155" s="22">
        <f>IF(OR($D1155="",$R1155="Trùng"),"",COUNTIFS(ORDERS!$C$2:$C$4995,$D1155,ORDERS!$L$2:$L$4995,"Đã chuyển khoản"))</f>
        <v/>
      </c>
      <c r="X1155" s="23">
        <f>IF(OR($D1155="",$R1155="Trùng"),"",SUMIFS(ORDERS!$J$2:$J$4995,ORDERS!$C$2:$C$4995,$D1155,ORDERS!$L$2:$L$4995,"Đã chuyển khoản"))</f>
        <v/>
      </c>
      <c r="Y1155" s="24" t="n"/>
    </row>
    <row r="1156" ht="14.25" customHeight="1" s="40">
      <c r="A1156" s="24" t="n"/>
      <c r="B1156" s="27" t="n"/>
      <c r="C1156" s="24" t="n"/>
      <c r="D1156" s="28" t="n"/>
      <c r="E1156" s="29" t="n"/>
      <c r="F1156" s="24" t="n"/>
      <c r="G1156" s="24" t="n"/>
      <c r="H1156" s="21">
        <f>IF(ISNUMBER($B1156),INT($B1156)-WEEKDAY($B1156,2)+1,"")</f>
        <v/>
      </c>
      <c r="I1156" s="24" t="n"/>
      <c r="J1156" s="22">
        <f t="array" ref="J1156">IF($D1156="","",IF($I1156="","(trống REF)",IFERROR(INDEX(MASTER_SOURCE!$B$2:$B$495,MATCH($I1156,MASTER_SOURCE!$A$2:$A$495,0)),"(REF không có trong MASTER_SOURCE)")))</f>
        <v/>
      </c>
      <c r="K1156" s="22">
        <f t="array" ref="K1156">IF($D1156="","",IFERROR(INDEX(MASTER_SOURCE!$C$2:$C$495,MATCH($I1156,MASTER_SOURCE!$A$2:$A$495,0)),""))</f>
        <v/>
      </c>
      <c r="L1156" s="22">
        <f t="array" ref="L1156">IF($D1156="","",IFERROR(INDEX(MASTER_SOURCE!$D$2:$D$495,MATCH($I1156,MASTER_SOURCE!$A$2:$A$495,0)),""))</f>
        <v/>
      </c>
      <c r="M1156" s="24" t="n"/>
      <c r="N1156" s="24" t="n"/>
      <c r="O1156" s="24" t="n"/>
      <c r="P1156" s="24" t="n"/>
      <c r="Q1156" s="22">
        <f>IF($D1156="","",IF(AND(OR(DANH_MUC!$L$5&lt;&gt;"Có",M1156="Có"),OR(DANH_MUC!$L$6&lt;&gt;"Có",N1156="Có"),OR(DANH_MUC!$L$7&lt;&gt;"Có",O1156="Có"),OR(DANH_MUC!$L$8&lt;&gt;"Có",P1156="Có")),"Có","Không"))</f>
        <v/>
      </c>
      <c r="R1156" s="22">
        <f>IF($D1156="","",IF(COUNTIF($D$2:$D1156,$D1156)&gt;1,"Trùng",""))</f>
        <v/>
      </c>
      <c r="S1156" s="22">
        <f>IF($D1156="","",IF(AND(LEN($D1156)=10,LEFT($D1156,1)="0",ISNUMBER(--$D1156)),"Có","Không"))</f>
        <v/>
      </c>
      <c r="T1156" s="22">
        <f>IF($D1156="","",IF(AND($C1156&lt;&gt;"",$Q1156="Có",$R1156="",$S1156="Có",AND($L1156&lt;&gt;"",OR($L1156&lt;&gt;"Chưa xác định",DANH_MUC!$L$9="Có"))),"Có","Không"))</f>
        <v/>
      </c>
      <c r="U1156" s="22">
        <f>IF(OR($D1156="",$T1156="Có"),"",IF($C1156="","Thiếu họ tên; ","")&amp;IF($S1156&lt;&gt;"Có","SĐT sai định dạng; ","")&amp;IF($R1156="Trùng","Trùng SĐT; ","")&amp;IF($Q1156&lt;&gt;"Có","Thiếu đồng ý bắt buộc; ","")&amp;IF($L1156="","Thiếu/sai Mã REF; ",IF(AND($L1156="Chưa xác định",DANH_MUC!$L$9&lt;&gt;"Có"),"Nguồn chưa xác định; ","")))</f>
        <v/>
      </c>
      <c r="V1156" s="22">
        <f>IF(OR($D1156="",$R1156="Trùng"),"",IF(COUNTIF(ORDERS!$C$2:$C$4995,$D1156)&gt;0,"Có","Không"))</f>
        <v/>
      </c>
      <c r="W1156" s="22">
        <f>IF(OR($D1156="",$R1156="Trùng"),"",COUNTIFS(ORDERS!$C$2:$C$4995,$D1156,ORDERS!$L$2:$L$4995,"Đã chuyển khoản"))</f>
        <v/>
      </c>
      <c r="X1156" s="23">
        <f>IF(OR($D1156="",$R1156="Trùng"),"",SUMIFS(ORDERS!$J$2:$J$4995,ORDERS!$C$2:$C$4995,$D1156,ORDERS!$L$2:$L$4995,"Đã chuyển khoản"))</f>
        <v/>
      </c>
      <c r="Y1156" s="24" t="n"/>
    </row>
    <row r="1157" ht="14.25" customHeight="1" s="40">
      <c r="A1157" s="24" t="n"/>
      <c r="B1157" s="27" t="n"/>
      <c r="C1157" s="24" t="n"/>
      <c r="D1157" s="28" t="n"/>
      <c r="E1157" s="29" t="n"/>
      <c r="F1157" s="24" t="n"/>
      <c r="G1157" s="24" t="n"/>
      <c r="H1157" s="21">
        <f>IF(ISNUMBER($B1157),INT($B1157)-WEEKDAY($B1157,2)+1,"")</f>
        <v/>
      </c>
      <c r="I1157" s="24" t="n"/>
      <c r="J1157" s="22">
        <f t="array" ref="J1157">IF($D1157="","",IF($I1157="","(trống REF)",IFERROR(INDEX(MASTER_SOURCE!$B$2:$B$495,MATCH($I1157,MASTER_SOURCE!$A$2:$A$495,0)),"(REF không có trong MASTER_SOURCE)")))</f>
        <v/>
      </c>
      <c r="K1157" s="22">
        <f t="array" ref="K1157">IF($D1157="","",IFERROR(INDEX(MASTER_SOURCE!$C$2:$C$495,MATCH($I1157,MASTER_SOURCE!$A$2:$A$495,0)),""))</f>
        <v/>
      </c>
      <c r="L1157" s="22">
        <f t="array" ref="L1157">IF($D1157="","",IFERROR(INDEX(MASTER_SOURCE!$D$2:$D$495,MATCH($I1157,MASTER_SOURCE!$A$2:$A$495,0)),""))</f>
        <v/>
      </c>
      <c r="M1157" s="24" t="n"/>
      <c r="N1157" s="24" t="n"/>
      <c r="O1157" s="24" t="n"/>
      <c r="P1157" s="24" t="n"/>
      <c r="Q1157" s="22">
        <f>IF($D1157="","",IF(AND(OR(DANH_MUC!$L$5&lt;&gt;"Có",M1157="Có"),OR(DANH_MUC!$L$6&lt;&gt;"Có",N1157="Có"),OR(DANH_MUC!$L$7&lt;&gt;"Có",O1157="Có"),OR(DANH_MUC!$L$8&lt;&gt;"Có",P1157="Có")),"Có","Không"))</f>
        <v/>
      </c>
      <c r="R1157" s="22">
        <f>IF($D1157="","",IF(COUNTIF($D$2:$D1157,$D1157)&gt;1,"Trùng",""))</f>
        <v/>
      </c>
      <c r="S1157" s="22">
        <f>IF($D1157="","",IF(AND(LEN($D1157)=10,LEFT($D1157,1)="0",ISNUMBER(--$D1157)),"Có","Không"))</f>
        <v/>
      </c>
      <c r="T1157" s="22">
        <f>IF($D1157="","",IF(AND($C1157&lt;&gt;"",$Q1157="Có",$R1157="",$S1157="Có",AND($L1157&lt;&gt;"",OR($L1157&lt;&gt;"Chưa xác định",DANH_MUC!$L$9="Có"))),"Có","Không"))</f>
        <v/>
      </c>
      <c r="U1157" s="22">
        <f>IF(OR($D1157="",$T1157="Có"),"",IF($C1157="","Thiếu họ tên; ","")&amp;IF($S1157&lt;&gt;"Có","SĐT sai định dạng; ","")&amp;IF($R1157="Trùng","Trùng SĐT; ","")&amp;IF($Q1157&lt;&gt;"Có","Thiếu đồng ý bắt buộc; ","")&amp;IF($L1157="","Thiếu/sai Mã REF; ",IF(AND($L1157="Chưa xác định",DANH_MUC!$L$9&lt;&gt;"Có"),"Nguồn chưa xác định; ","")))</f>
        <v/>
      </c>
      <c r="V1157" s="22">
        <f>IF(OR($D1157="",$R1157="Trùng"),"",IF(COUNTIF(ORDERS!$C$2:$C$4995,$D1157)&gt;0,"Có","Không"))</f>
        <v/>
      </c>
      <c r="W1157" s="22">
        <f>IF(OR($D1157="",$R1157="Trùng"),"",COUNTIFS(ORDERS!$C$2:$C$4995,$D1157,ORDERS!$L$2:$L$4995,"Đã chuyển khoản"))</f>
        <v/>
      </c>
      <c r="X1157" s="23">
        <f>IF(OR($D1157="",$R1157="Trùng"),"",SUMIFS(ORDERS!$J$2:$J$4995,ORDERS!$C$2:$C$4995,$D1157,ORDERS!$L$2:$L$4995,"Đã chuyển khoản"))</f>
        <v/>
      </c>
      <c r="Y1157" s="24" t="n"/>
    </row>
    <row r="1158" ht="14.25" customHeight="1" s="40">
      <c r="A1158" s="24" t="n"/>
      <c r="B1158" s="27" t="n"/>
      <c r="C1158" s="24" t="n"/>
      <c r="D1158" s="28" t="n"/>
      <c r="E1158" s="29" t="n"/>
      <c r="F1158" s="24" t="n"/>
      <c r="G1158" s="24" t="n"/>
      <c r="H1158" s="21">
        <f>IF(ISNUMBER($B1158),INT($B1158)-WEEKDAY($B1158,2)+1,"")</f>
        <v/>
      </c>
      <c r="I1158" s="24" t="n"/>
      <c r="J1158" s="22">
        <f t="array" ref="J1158">IF($D1158="","",IF($I1158="","(trống REF)",IFERROR(INDEX(MASTER_SOURCE!$B$2:$B$495,MATCH($I1158,MASTER_SOURCE!$A$2:$A$495,0)),"(REF không có trong MASTER_SOURCE)")))</f>
        <v/>
      </c>
      <c r="K1158" s="22">
        <f t="array" ref="K1158">IF($D1158="","",IFERROR(INDEX(MASTER_SOURCE!$C$2:$C$495,MATCH($I1158,MASTER_SOURCE!$A$2:$A$495,0)),""))</f>
        <v/>
      </c>
      <c r="L1158" s="22">
        <f t="array" ref="L1158">IF($D1158="","",IFERROR(INDEX(MASTER_SOURCE!$D$2:$D$495,MATCH($I1158,MASTER_SOURCE!$A$2:$A$495,0)),""))</f>
        <v/>
      </c>
      <c r="M1158" s="24" t="n"/>
      <c r="N1158" s="24" t="n"/>
      <c r="O1158" s="24" t="n"/>
      <c r="P1158" s="24" t="n"/>
      <c r="Q1158" s="22">
        <f>IF($D1158="","",IF(AND(OR(DANH_MUC!$L$5&lt;&gt;"Có",M1158="Có"),OR(DANH_MUC!$L$6&lt;&gt;"Có",N1158="Có"),OR(DANH_MUC!$L$7&lt;&gt;"Có",O1158="Có"),OR(DANH_MUC!$L$8&lt;&gt;"Có",P1158="Có")),"Có","Không"))</f>
        <v/>
      </c>
      <c r="R1158" s="22">
        <f>IF($D1158="","",IF(COUNTIF($D$2:$D1158,$D1158)&gt;1,"Trùng",""))</f>
        <v/>
      </c>
      <c r="S1158" s="22">
        <f>IF($D1158="","",IF(AND(LEN($D1158)=10,LEFT($D1158,1)="0",ISNUMBER(--$D1158)),"Có","Không"))</f>
        <v/>
      </c>
      <c r="T1158" s="22">
        <f>IF($D1158="","",IF(AND($C1158&lt;&gt;"",$Q1158="Có",$R1158="",$S1158="Có",AND($L1158&lt;&gt;"",OR($L1158&lt;&gt;"Chưa xác định",DANH_MUC!$L$9="Có"))),"Có","Không"))</f>
        <v/>
      </c>
      <c r="U1158" s="22">
        <f>IF(OR($D1158="",$T1158="Có"),"",IF($C1158="","Thiếu họ tên; ","")&amp;IF($S1158&lt;&gt;"Có","SĐT sai định dạng; ","")&amp;IF($R1158="Trùng","Trùng SĐT; ","")&amp;IF($Q1158&lt;&gt;"Có","Thiếu đồng ý bắt buộc; ","")&amp;IF($L1158="","Thiếu/sai Mã REF; ",IF(AND($L1158="Chưa xác định",DANH_MUC!$L$9&lt;&gt;"Có"),"Nguồn chưa xác định; ","")))</f>
        <v/>
      </c>
      <c r="V1158" s="22">
        <f>IF(OR($D1158="",$R1158="Trùng"),"",IF(COUNTIF(ORDERS!$C$2:$C$4995,$D1158)&gt;0,"Có","Không"))</f>
        <v/>
      </c>
      <c r="W1158" s="22">
        <f>IF(OR($D1158="",$R1158="Trùng"),"",COUNTIFS(ORDERS!$C$2:$C$4995,$D1158,ORDERS!$L$2:$L$4995,"Đã chuyển khoản"))</f>
        <v/>
      </c>
      <c r="X1158" s="23">
        <f>IF(OR($D1158="",$R1158="Trùng"),"",SUMIFS(ORDERS!$J$2:$J$4995,ORDERS!$C$2:$C$4995,$D1158,ORDERS!$L$2:$L$4995,"Đã chuyển khoản"))</f>
        <v/>
      </c>
      <c r="Y1158" s="24" t="n"/>
    </row>
    <row r="1159" ht="14.25" customHeight="1" s="40">
      <c r="A1159" s="24" t="n"/>
      <c r="B1159" s="27" t="n"/>
      <c r="C1159" s="24" t="n"/>
      <c r="D1159" s="28" t="n"/>
      <c r="E1159" s="29" t="n"/>
      <c r="F1159" s="24" t="n"/>
      <c r="G1159" s="24" t="n"/>
      <c r="H1159" s="21">
        <f>IF(ISNUMBER($B1159),INT($B1159)-WEEKDAY($B1159,2)+1,"")</f>
        <v/>
      </c>
      <c r="I1159" s="24" t="n"/>
      <c r="J1159" s="22">
        <f t="array" ref="J1159">IF($D1159="","",IF($I1159="","(trống REF)",IFERROR(INDEX(MASTER_SOURCE!$B$2:$B$495,MATCH($I1159,MASTER_SOURCE!$A$2:$A$495,0)),"(REF không có trong MASTER_SOURCE)")))</f>
        <v/>
      </c>
      <c r="K1159" s="22">
        <f t="array" ref="K1159">IF($D1159="","",IFERROR(INDEX(MASTER_SOURCE!$C$2:$C$495,MATCH($I1159,MASTER_SOURCE!$A$2:$A$495,0)),""))</f>
        <v/>
      </c>
      <c r="L1159" s="22">
        <f t="array" ref="L1159">IF($D1159="","",IFERROR(INDEX(MASTER_SOURCE!$D$2:$D$495,MATCH($I1159,MASTER_SOURCE!$A$2:$A$495,0)),""))</f>
        <v/>
      </c>
      <c r="M1159" s="24" t="n"/>
      <c r="N1159" s="24" t="n"/>
      <c r="O1159" s="24" t="n"/>
      <c r="P1159" s="24" t="n"/>
      <c r="Q1159" s="22">
        <f>IF($D1159="","",IF(AND(OR(DANH_MUC!$L$5&lt;&gt;"Có",M1159="Có"),OR(DANH_MUC!$L$6&lt;&gt;"Có",N1159="Có"),OR(DANH_MUC!$L$7&lt;&gt;"Có",O1159="Có"),OR(DANH_MUC!$L$8&lt;&gt;"Có",P1159="Có")),"Có","Không"))</f>
        <v/>
      </c>
      <c r="R1159" s="22">
        <f>IF($D1159="","",IF(COUNTIF($D$2:$D1159,$D1159)&gt;1,"Trùng",""))</f>
        <v/>
      </c>
      <c r="S1159" s="22">
        <f>IF($D1159="","",IF(AND(LEN($D1159)=10,LEFT($D1159,1)="0",ISNUMBER(--$D1159)),"Có","Không"))</f>
        <v/>
      </c>
      <c r="T1159" s="22">
        <f>IF($D1159="","",IF(AND($C1159&lt;&gt;"",$Q1159="Có",$R1159="",$S1159="Có",AND($L1159&lt;&gt;"",OR($L1159&lt;&gt;"Chưa xác định",DANH_MUC!$L$9="Có"))),"Có","Không"))</f>
        <v/>
      </c>
      <c r="U1159" s="22">
        <f>IF(OR($D1159="",$T1159="Có"),"",IF($C1159="","Thiếu họ tên; ","")&amp;IF($S1159&lt;&gt;"Có","SĐT sai định dạng; ","")&amp;IF($R1159="Trùng","Trùng SĐT; ","")&amp;IF($Q1159&lt;&gt;"Có","Thiếu đồng ý bắt buộc; ","")&amp;IF($L1159="","Thiếu/sai Mã REF; ",IF(AND($L1159="Chưa xác định",DANH_MUC!$L$9&lt;&gt;"Có"),"Nguồn chưa xác định; ","")))</f>
        <v/>
      </c>
      <c r="V1159" s="22">
        <f>IF(OR($D1159="",$R1159="Trùng"),"",IF(COUNTIF(ORDERS!$C$2:$C$4995,$D1159)&gt;0,"Có","Không"))</f>
        <v/>
      </c>
      <c r="W1159" s="22">
        <f>IF(OR($D1159="",$R1159="Trùng"),"",COUNTIFS(ORDERS!$C$2:$C$4995,$D1159,ORDERS!$L$2:$L$4995,"Đã chuyển khoản"))</f>
        <v/>
      </c>
      <c r="X1159" s="23">
        <f>IF(OR($D1159="",$R1159="Trùng"),"",SUMIFS(ORDERS!$J$2:$J$4995,ORDERS!$C$2:$C$4995,$D1159,ORDERS!$L$2:$L$4995,"Đã chuyển khoản"))</f>
        <v/>
      </c>
      <c r="Y1159" s="24" t="n"/>
    </row>
    <row r="1160" ht="14.25" customHeight="1" s="40">
      <c r="A1160" s="24" t="n"/>
      <c r="B1160" s="27" t="n"/>
      <c r="C1160" s="24" t="n"/>
      <c r="D1160" s="28" t="n"/>
      <c r="E1160" s="29" t="n"/>
      <c r="F1160" s="24" t="n"/>
      <c r="G1160" s="24" t="n"/>
      <c r="H1160" s="21">
        <f>IF(ISNUMBER($B1160),INT($B1160)-WEEKDAY($B1160,2)+1,"")</f>
        <v/>
      </c>
      <c r="I1160" s="24" t="n"/>
      <c r="J1160" s="22">
        <f t="array" ref="J1160">IF($D1160="","",IF($I1160="","(trống REF)",IFERROR(INDEX(MASTER_SOURCE!$B$2:$B$495,MATCH($I1160,MASTER_SOURCE!$A$2:$A$495,0)),"(REF không có trong MASTER_SOURCE)")))</f>
        <v/>
      </c>
      <c r="K1160" s="22">
        <f t="array" ref="K1160">IF($D1160="","",IFERROR(INDEX(MASTER_SOURCE!$C$2:$C$495,MATCH($I1160,MASTER_SOURCE!$A$2:$A$495,0)),""))</f>
        <v/>
      </c>
      <c r="L1160" s="22">
        <f t="array" ref="L1160">IF($D1160="","",IFERROR(INDEX(MASTER_SOURCE!$D$2:$D$495,MATCH($I1160,MASTER_SOURCE!$A$2:$A$495,0)),""))</f>
        <v/>
      </c>
      <c r="M1160" s="24" t="n"/>
      <c r="N1160" s="24" t="n"/>
      <c r="O1160" s="24" t="n"/>
      <c r="P1160" s="24" t="n"/>
      <c r="Q1160" s="22">
        <f>IF($D1160="","",IF(AND(OR(DANH_MUC!$L$5&lt;&gt;"Có",M1160="Có"),OR(DANH_MUC!$L$6&lt;&gt;"Có",N1160="Có"),OR(DANH_MUC!$L$7&lt;&gt;"Có",O1160="Có"),OR(DANH_MUC!$L$8&lt;&gt;"Có",P1160="Có")),"Có","Không"))</f>
        <v/>
      </c>
      <c r="R1160" s="22">
        <f>IF($D1160="","",IF(COUNTIF($D$2:$D1160,$D1160)&gt;1,"Trùng",""))</f>
        <v/>
      </c>
      <c r="S1160" s="22">
        <f>IF($D1160="","",IF(AND(LEN($D1160)=10,LEFT($D1160,1)="0",ISNUMBER(--$D1160)),"Có","Không"))</f>
        <v/>
      </c>
      <c r="T1160" s="22">
        <f>IF($D1160="","",IF(AND($C1160&lt;&gt;"",$Q1160="Có",$R1160="",$S1160="Có",AND($L1160&lt;&gt;"",OR($L1160&lt;&gt;"Chưa xác định",DANH_MUC!$L$9="Có"))),"Có","Không"))</f>
        <v/>
      </c>
      <c r="U1160" s="22">
        <f>IF(OR($D1160="",$T1160="Có"),"",IF($C1160="","Thiếu họ tên; ","")&amp;IF($S1160&lt;&gt;"Có","SĐT sai định dạng; ","")&amp;IF($R1160="Trùng","Trùng SĐT; ","")&amp;IF($Q1160&lt;&gt;"Có","Thiếu đồng ý bắt buộc; ","")&amp;IF($L1160="","Thiếu/sai Mã REF; ",IF(AND($L1160="Chưa xác định",DANH_MUC!$L$9&lt;&gt;"Có"),"Nguồn chưa xác định; ","")))</f>
        <v/>
      </c>
      <c r="V1160" s="22">
        <f>IF(OR($D1160="",$R1160="Trùng"),"",IF(COUNTIF(ORDERS!$C$2:$C$4995,$D1160)&gt;0,"Có","Không"))</f>
        <v/>
      </c>
      <c r="W1160" s="22">
        <f>IF(OR($D1160="",$R1160="Trùng"),"",COUNTIFS(ORDERS!$C$2:$C$4995,$D1160,ORDERS!$L$2:$L$4995,"Đã chuyển khoản"))</f>
        <v/>
      </c>
      <c r="X1160" s="23">
        <f>IF(OR($D1160="",$R1160="Trùng"),"",SUMIFS(ORDERS!$J$2:$J$4995,ORDERS!$C$2:$C$4995,$D1160,ORDERS!$L$2:$L$4995,"Đã chuyển khoản"))</f>
        <v/>
      </c>
      <c r="Y1160" s="24" t="n"/>
    </row>
    <row r="1161" ht="14.25" customHeight="1" s="40">
      <c r="A1161" s="24" t="n"/>
      <c r="B1161" s="27" t="n"/>
      <c r="C1161" s="24" t="n"/>
      <c r="D1161" s="28" t="n"/>
      <c r="E1161" s="29" t="n"/>
      <c r="F1161" s="24" t="n"/>
      <c r="G1161" s="24" t="n"/>
      <c r="H1161" s="21">
        <f>IF(ISNUMBER($B1161),INT($B1161)-WEEKDAY($B1161,2)+1,"")</f>
        <v/>
      </c>
      <c r="I1161" s="24" t="n"/>
      <c r="J1161" s="22">
        <f t="array" ref="J1161">IF($D1161="","",IF($I1161="","(trống REF)",IFERROR(INDEX(MASTER_SOURCE!$B$2:$B$495,MATCH($I1161,MASTER_SOURCE!$A$2:$A$495,0)),"(REF không có trong MASTER_SOURCE)")))</f>
        <v/>
      </c>
      <c r="K1161" s="22">
        <f t="array" ref="K1161">IF($D1161="","",IFERROR(INDEX(MASTER_SOURCE!$C$2:$C$495,MATCH($I1161,MASTER_SOURCE!$A$2:$A$495,0)),""))</f>
        <v/>
      </c>
      <c r="L1161" s="22">
        <f t="array" ref="L1161">IF($D1161="","",IFERROR(INDEX(MASTER_SOURCE!$D$2:$D$495,MATCH($I1161,MASTER_SOURCE!$A$2:$A$495,0)),""))</f>
        <v/>
      </c>
      <c r="M1161" s="24" t="n"/>
      <c r="N1161" s="24" t="n"/>
      <c r="O1161" s="24" t="n"/>
      <c r="P1161" s="24" t="n"/>
      <c r="Q1161" s="22">
        <f>IF($D1161="","",IF(AND(OR(DANH_MUC!$L$5&lt;&gt;"Có",M1161="Có"),OR(DANH_MUC!$L$6&lt;&gt;"Có",N1161="Có"),OR(DANH_MUC!$L$7&lt;&gt;"Có",O1161="Có"),OR(DANH_MUC!$L$8&lt;&gt;"Có",P1161="Có")),"Có","Không"))</f>
        <v/>
      </c>
      <c r="R1161" s="22">
        <f>IF($D1161="","",IF(COUNTIF($D$2:$D1161,$D1161)&gt;1,"Trùng",""))</f>
        <v/>
      </c>
      <c r="S1161" s="22">
        <f>IF($D1161="","",IF(AND(LEN($D1161)=10,LEFT($D1161,1)="0",ISNUMBER(--$D1161)),"Có","Không"))</f>
        <v/>
      </c>
      <c r="T1161" s="22">
        <f>IF($D1161="","",IF(AND($C1161&lt;&gt;"",$Q1161="Có",$R1161="",$S1161="Có",AND($L1161&lt;&gt;"",OR($L1161&lt;&gt;"Chưa xác định",DANH_MUC!$L$9="Có"))),"Có","Không"))</f>
        <v/>
      </c>
      <c r="U1161" s="22">
        <f>IF(OR($D1161="",$T1161="Có"),"",IF($C1161="","Thiếu họ tên; ","")&amp;IF($S1161&lt;&gt;"Có","SĐT sai định dạng; ","")&amp;IF($R1161="Trùng","Trùng SĐT; ","")&amp;IF($Q1161&lt;&gt;"Có","Thiếu đồng ý bắt buộc; ","")&amp;IF($L1161="","Thiếu/sai Mã REF; ",IF(AND($L1161="Chưa xác định",DANH_MUC!$L$9&lt;&gt;"Có"),"Nguồn chưa xác định; ","")))</f>
        <v/>
      </c>
      <c r="V1161" s="22">
        <f>IF(OR($D1161="",$R1161="Trùng"),"",IF(COUNTIF(ORDERS!$C$2:$C$4995,$D1161)&gt;0,"Có","Không"))</f>
        <v/>
      </c>
      <c r="W1161" s="22">
        <f>IF(OR($D1161="",$R1161="Trùng"),"",COUNTIFS(ORDERS!$C$2:$C$4995,$D1161,ORDERS!$L$2:$L$4995,"Đã chuyển khoản"))</f>
        <v/>
      </c>
      <c r="X1161" s="23">
        <f>IF(OR($D1161="",$R1161="Trùng"),"",SUMIFS(ORDERS!$J$2:$J$4995,ORDERS!$C$2:$C$4995,$D1161,ORDERS!$L$2:$L$4995,"Đã chuyển khoản"))</f>
        <v/>
      </c>
      <c r="Y1161" s="24" t="n"/>
    </row>
    <row r="1162" ht="14.25" customHeight="1" s="40">
      <c r="A1162" s="24" t="n"/>
      <c r="B1162" s="27" t="n"/>
      <c r="C1162" s="24" t="n"/>
      <c r="D1162" s="28" t="n"/>
      <c r="E1162" s="29" t="n"/>
      <c r="F1162" s="24" t="n"/>
      <c r="G1162" s="24" t="n"/>
      <c r="H1162" s="21">
        <f>IF(ISNUMBER($B1162),INT($B1162)-WEEKDAY($B1162,2)+1,"")</f>
        <v/>
      </c>
      <c r="I1162" s="24" t="n"/>
      <c r="J1162" s="22">
        <f t="array" ref="J1162">IF($D1162="","",IF($I1162="","(trống REF)",IFERROR(INDEX(MASTER_SOURCE!$B$2:$B$495,MATCH($I1162,MASTER_SOURCE!$A$2:$A$495,0)),"(REF không có trong MASTER_SOURCE)")))</f>
        <v/>
      </c>
      <c r="K1162" s="22">
        <f t="array" ref="K1162">IF($D1162="","",IFERROR(INDEX(MASTER_SOURCE!$C$2:$C$495,MATCH($I1162,MASTER_SOURCE!$A$2:$A$495,0)),""))</f>
        <v/>
      </c>
      <c r="L1162" s="22">
        <f t="array" ref="L1162">IF($D1162="","",IFERROR(INDEX(MASTER_SOURCE!$D$2:$D$495,MATCH($I1162,MASTER_SOURCE!$A$2:$A$495,0)),""))</f>
        <v/>
      </c>
      <c r="M1162" s="24" t="n"/>
      <c r="N1162" s="24" t="n"/>
      <c r="O1162" s="24" t="n"/>
      <c r="P1162" s="24" t="n"/>
      <c r="Q1162" s="22">
        <f>IF($D1162="","",IF(AND(OR(DANH_MUC!$L$5&lt;&gt;"Có",M1162="Có"),OR(DANH_MUC!$L$6&lt;&gt;"Có",N1162="Có"),OR(DANH_MUC!$L$7&lt;&gt;"Có",O1162="Có"),OR(DANH_MUC!$L$8&lt;&gt;"Có",P1162="Có")),"Có","Không"))</f>
        <v/>
      </c>
      <c r="R1162" s="22">
        <f>IF($D1162="","",IF(COUNTIF($D$2:$D1162,$D1162)&gt;1,"Trùng",""))</f>
        <v/>
      </c>
      <c r="S1162" s="22">
        <f>IF($D1162="","",IF(AND(LEN($D1162)=10,LEFT($D1162,1)="0",ISNUMBER(--$D1162)),"Có","Không"))</f>
        <v/>
      </c>
      <c r="T1162" s="22">
        <f>IF($D1162="","",IF(AND($C1162&lt;&gt;"",$Q1162="Có",$R1162="",$S1162="Có",AND($L1162&lt;&gt;"",OR($L1162&lt;&gt;"Chưa xác định",DANH_MUC!$L$9="Có"))),"Có","Không"))</f>
        <v/>
      </c>
      <c r="U1162" s="22">
        <f>IF(OR($D1162="",$T1162="Có"),"",IF($C1162="","Thiếu họ tên; ","")&amp;IF($S1162&lt;&gt;"Có","SĐT sai định dạng; ","")&amp;IF($R1162="Trùng","Trùng SĐT; ","")&amp;IF($Q1162&lt;&gt;"Có","Thiếu đồng ý bắt buộc; ","")&amp;IF($L1162="","Thiếu/sai Mã REF; ",IF(AND($L1162="Chưa xác định",DANH_MUC!$L$9&lt;&gt;"Có"),"Nguồn chưa xác định; ","")))</f>
        <v/>
      </c>
      <c r="V1162" s="22">
        <f>IF(OR($D1162="",$R1162="Trùng"),"",IF(COUNTIF(ORDERS!$C$2:$C$4995,$D1162)&gt;0,"Có","Không"))</f>
        <v/>
      </c>
      <c r="W1162" s="22">
        <f>IF(OR($D1162="",$R1162="Trùng"),"",COUNTIFS(ORDERS!$C$2:$C$4995,$D1162,ORDERS!$L$2:$L$4995,"Đã chuyển khoản"))</f>
        <v/>
      </c>
      <c r="X1162" s="23">
        <f>IF(OR($D1162="",$R1162="Trùng"),"",SUMIFS(ORDERS!$J$2:$J$4995,ORDERS!$C$2:$C$4995,$D1162,ORDERS!$L$2:$L$4995,"Đã chuyển khoản"))</f>
        <v/>
      </c>
      <c r="Y1162" s="24" t="n"/>
    </row>
    <row r="1163" ht="14.25" customHeight="1" s="40">
      <c r="A1163" s="24" t="n"/>
      <c r="B1163" s="27" t="n"/>
      <c r="C1163" s="24" t="n"/>
      <c r="D1163" s="28" t="n"/>
      <c r="E1163" s="29" t="n"/>
      <c r="F1163" s="24" t="n"/>
      <c r="G1163" s="24" t="n"/>
      <c r="H1163" s="21">
        <f>IF(ISNUMBER($B1163),INT($B1163)-WEEKDAY($B1163,2)+1,"")</f>
        <v/>
      </c>
      <c r="I1163" s="24" t="n"/>
      <c r="J1163" s="22">
        <f t="array" ref="J1163">IF($D1163="","",IF($I1163="","(trống REF)",IFERROR(INDEX(MASTER_SOURCE!$B$2:$B$495,MATCH($I1163,MASTER_SOURCE!$A$2:$A$495,0)),"(REF không có trong MASTER_SOURCE)")))</f>
        <v/>
      </c>
      <c r="K1163" s="22">
        <f t="array" ref="K1163">IF($D1163="","",IFERROR(INDEX(MASTER_SOURCE!$C$2:$C$495,MATCH($I1163,MASTER_SOURCE!$A$2:$A$495,0)),""))</f>
        <v/>
      </c>
      <c r="L1163" s="22">
        <f t="array" ref="L1163">IF($D1163="","",IFERROR(INDEX(MASTER_SOURCE!$D$2:$D$495,MATCH($I1163,MASTER_SOURCE!$A$2:$A$495,0)),""))</f>
        <v/>
      </c>
      <c r="M1163" s="24" t="n"/>
      <c r="N1163" s="24" t="n"/>
      <c r="O1163" s="24" t="n"/>
      <c r="P1163" s="24" t="n"/>
      <c r="Q1163" s="22">
        <f>IF($D1163="","",IF(AND(OR(DANH_MUC!$L$5&lt;&gt;"Có",M1163="Có"),OR(DANH_MUC!$L$6&lt;&gt;"Có",N1163="Có"),OR(DANH_MUC!$L$7&lt;&gt;"Có",O1163="Có"),OR(DANH_MUC!$L$8&lt;&gt;"Có",P1163="Có")),"Có","Không"))</f>
        <v/>
      </c>
      <c r="R1163" s="22">
        <f>IF($D1163="","",IF(COUNTIF($D$2:$D1163,$D1163)&gt;1,"Trùng",""))</f>
        <v/>
      </c>
      <c r="S1163" s="22">
        <f>IF($D1163="","",IF(AND(LEN($D1163)=10,LEFT($D1163,1)="0",ISNUMBER(--$D1163)),"Có","Không"))</f>
        <v/>
      </c>
      <c r="T1163" s="22">
        <f>IF($D1163="","",IF(AND($C1163&lt;&gt;"",$Q1163="Có",$R1163="",$S1163="Có",AND($L1163&lt;&gt;"",OR($L1163&lt;&gt;"Chưa xác định",DANH_MUC!$L$9="Có"))),"Có","Không"))</f>
        <v/>
      </c>
      <c r="U1163" s="22">
        <f>IF(OR($D1163="",$T1163="Có"),"",IF($C1163="","Thiếu họ tên; ","")&amp;IF($S1163&lt;&gt;"Có","SĐT sai định dạng; ","")&amp;IF($R1163="Trùng","Trùng SĐT; ","")&amp;IF($Q1163&lt;&gt;"Có","Thiếu đồng ý bắt buộc; ","")&amp;IF($L1163="","Thiếu/sai Mã REF; ",IF(AND($L1163="Chưa xác định",DANH_MUC!$L$9&lt;&gt;"Có"),"Nguồn chưa xác định; ","")))</f>
        <v/>
      </c>
      <c r="V1163" s="22">
        <f>IF(OR($D1163="",$R1163="Trùng"),"",IF(COUNTIF(ORDERS!$C$2:$C$4995,$D1163)&gt;0,"Có","Không"))</f>
        <v/>
      </c>
      <c r="W1163" s="22">
        <f>IF(OR($D1163="",$R1163="Trùng"),"",COUNTIFS(ORDERS!$C$2:$C$4995,$D1163,ORDERS!$L$2:$L$4995,"Đã chuyển khoản"))</f>
        <v/>
      </c>
      <c r="X1163" s="23">
        <f>IF(OR($D1163="",$R1163="Trùng"),"",SUMIFS(ORDERS!$J$2:$J$4995,ORDERS!$C$2:$C$4995,$D1163,ORDERS!$L$2:$L$4995,"Đã chuyển khoản"))</f>
        <v/>
      </c>
      <c r="Y1163" s="24" t="n"/>
    </row>
    <row r="1164" ht="14.25" customHeight="1" s="40">
      <c r="A1164" s="24" t="n"/>
      <c r="B1164" s="27" t="n"/>
      <c r="C1164" s="24" t="n"/>
      <c r="D1164" s="28" t="n"/>
      <c r="E1164" s="29" t="n"/>
      <c r="F1164" s="24" t="n"/>
      <c r="G1164" s="24" t="n"/>
      <c r="H1164" s="21">
        <f>IF(ISNUMBER($B1164),INT($B1164)-WEEKDAY($B1164,2)+1,"")</f>
        <v/>
      </c>
      <c r="I1164" s="24" t="n"/>
      <c r="J1164" s="22">
        <f t="array" ref="J1164">IF($D1164="","",IF($I1164="","(trống REF)",IFERROR(INDEX(MASTER_SOURCE!$B$2:$B$495,MATCH($I1164,MASTER_SOURCE!$A$2:$A$495,0)),"(REF không có trong MASTER_SOURCE)")))</f>
        <v/>
      </c>
      <c r="K1164" s="22">
        <f t="array" ref="K1164">IF($D1164="","",IFERROR(INDEX(MASTER_SOURCE!$C$2:$C$495,MATCH($I1164,MASTER_SOURCE!$A$2:$A$495,0)),""))</f>
        <v/>
      </c>
      <c r="L1164" s="22">
        <f t="array" ref="L1164">IF($D1164="","",IFERROR(INDEX(MASTER_SOURCE!$D$2:$D$495,MATCH($I1164,MASTER_SOURCE!$A$2:$A$495,0)),""))</f>
        <v/>
      </c>
      <c r="M1164" s="24" t="n"/>
      <c r="N1164" s="24" t="n"/>
      <c r="O1164" s="24" t="n"/>
      <c r="P1164" s="24" t="n"/>
      <c r="Q1164" s="22">
        <f>IF($D1164="","",IF(AND(OR(DANH_MUC!$L$5&lt;&gt;"Có",M1164="Có"),OR(DANH_MUC!$L$6&lt;&gt;"Có",N1164="Có"),OR(DANH_MUC!$L$7&lt;&gt;"Có",O1164="Có"),OR(DANH_MUC!$L$8&lt;&gt;"Có",P1164="Có")),"Có","Không"))</f>
        <v/>
      </c>
      <c r="R1164" s="22">
        <f>IF($D1164="","",IF(COUNTIF($D$2:$D1164,$D1164)&gt;1,"Trùng",""))</f>
        <v/>
      </c>
      <c r="S1164" s="22">
        <f>IF($D1164="","",IF(AND(LEN($D1164)=10,LEFT($D1164,1)="0",ISNUMBER(--$D1164)),"Có","Không"))</f>
        <v/>
      </c>
      <c r="T1164" s="22">
        <f>IF($D1164="","",IF(AND($C1164&lt;&gt;"",$Q1164="Có",$R1164="",$S1164="Có",AND($L1164&lt;&gt;"",OR($L1164&lt;&gt;"Chưa xác định",DANH_MUC!$L$9="Có"))),"Có","Không"))</f>
        <v/>
      </c>
      <c r="U1164" s="22">
        <f>IF(OR($D1164="",$T1164="Có"),"",IF($C1164="","Thiếu họ tên; ","")&amp;IF($S1164&lt;&gt;"Có","SĐT sai định dạng; ","")&amp;IF($R1164="Trùng","Trùng SĐT; ","")&amp;IF($Q1164&lt;&gt;"Có","Thiếu đồng ý bắt buộc; ","")&amp;IF($L1164="","Thiếu/sai Mã REF; ",IF(AND($L1164="Chưa xác định",DANH_MUC!$L$9&lt;&gt;"Có"),"Nguồn chưa xác định; ","")))</f>
        <v/>
      </c>
      <c r="V1164" s="22">
        <f>IF(OR($D1164="",$R1164="Trùng"),"",IF(COUNTIF(ORDERS!$C$2:$C$4995,$D1164)&gt;0,"Có","Không"))</f>
        <v/>
      </c>
      <c r="W1164" s="22">
        <f>IF(OR($D1164="",$R1164="Trùng"),"",COUNTIFS(ORDERS!$C$2:$C$4995,$D1164,ORDERS!$L$2:$L$4995,"Đã chuyển khoản"))</f>
        <v/>
      </c>
      <c r="X1164" s="23">
        <f>IF(OR($D1164="",$R1164="Trùng"),"",SUMIFS(ORDERS!$J$2:$J$4995,ORDERS!$C$2:$C$4995,$D1164,ORDERS!$L$2:$L$4995,"Đã chuyển khoản"))</f>
        <v/>
      </c>
      <c r="Y1164" s="24" t="n"/>
    </row>
    <row r="1165" ht="14.25" customHeight="1" s="40">
      <c r="A1165" s="24" t="n"/>
      <c r="B1165" s="27" t="n"/>
      <c r="C1165" s="24" t="n"/>
      <c r="D1165" s="28" t="n"/>
      <c r="E1165" s="29" t="n"/>
      <c r="F1165" s="24" t="n"/>
      <c r="G1165" s="24" t="n"/>
      <c r="H1165" s="21">
        <f>IF(ISNUMBER($B1165),INT($B1165)-WEEKDAY($B1165,2)+1,"")</f>
        <v/>
      </c>
      <c r="I1165" s="24" t="n"/>
      <c r="J1165" s="22">
        <f t="array" ref="J1165">IF($D1165="","",IF($I1165="","(trống REF)",IFERROR(INDEX(MASTER_SOURCE!$B$2:$B$495,MATCH($I1165,MASTER_SOURCE!$A$2:$A$495,0)),"(REF không có trong MASTER_SOURCE)")))</f>
        <v/>
      </c>
      <c r="K1165" s="22">
        <f t="array" ref="K1165">IF($D1165="","",IFERROR(INDEX(MASTER_SOURCE!$C$2:$C$495,MATCH($I1165,MASTER_SOURCE!$A$2:$A$495,0)),""))</f>
        <v/>
      </c>
      <c r="L1165" s="22">
        <f t="array" ref="L1165">IF($D1165="","",IFERROR(INDEX(MASTER_SOURCE!$D$2:$D$495,MATCH($I1165,MASTER_SOURCE!$A$2:$A$495,0)),""))</f>
        <v/>
      </c>
      <c r="M1165" s="24" t="n"/>
      <c r="N1165" s="24" t="n"/>
      <c r="O1165" s="24" t="n"/>
      <c r="P1165" s="24" t="n"/>
      <c r="Q1165" s="22">
        <f>IF($D1165="","",IF(AND(OR(DANH_MUC!$L$5&lt;&gt;"Có",M1165="Có"),OR(DANH_MUC!$L$6&lt;&gt;"Có",N1165="Có"),OR(DANH_MUC!$L$7&lt;&gt;"Có",O1165="Có"),OR(DANH_MUC!$L$8&lt;&gt;"Có",P1165="Có")),"Có","Không"))</f>
        <v/>
      </c>
      <c r="R1165" s="22">
        <f>IF($D1165="","",IF(COUNTIF($D$2:$D1165,$D1165)&gt;1,"Trùng",""))</f>
        <v/>
      </c>
      <c r="S1165" s="22">
        <f>IF($D1165="","",IF(AND(LEN($D1165)=10,LEFT($D1165,1)="0",ISNUMBER(--$D1165)),"Có","Không"))</f>
        <v/>
      </c>
      <c r="T1165" s="22">
        <f>IF($D1165="","",IF(AND($C1165&lt;&gt;"",$Q1165="Có",$R1165="",$S1165="Có",AND($L1165&lt;&gt;"",OR($L1165&lt;&gt;"Chưa xác định",DANH_MUC!$L$9="Có"))),"Có","Không"))</f>
        <v/>
      </c>
      <c r="U1165" s="22">
        <f>IF(OR($D1165="",$T1165="Có"),"",IF($C1165="","Thiếu họ tên; ","")&amp;IF($S1165&lt;&gt;"Có","SĐT sai định dạng; ","")&amp;IF($R1165="Trùng","Trùng SĐT; ","")&amp;IF($Q1165&lt;&gt;"Có","Thiếu đồng ý bắt buộc; ","")&amp;IF($L1165="","Thiếu/sai Mã REF; ",IF(AND($L1165="Chưa xác định",DANH_MUC!$L$9&lt;&gt;"Có"),"Nguồn chưa xác định; ","")))</f>
        <v/>
      </c>
      <c r="V1165" s="22">
        <f>IF(OR($D1165="",$R1165="Trùng"),"",IF(COUNTIF(ORDERS!$C$2:$C$4995,$D1165)&gt;0,"Có","Không"))</f>
        <v/>
      </c>
      <c r="W1165" s="22">
        <f>IF(OR($D1165="",$R1165="Trùng"),"",COUNTIFS(ORDERS!$C$2:$C$4995,$D1165,ORDERS!$L$2:$L$4995,"Đã chuyển khoản"))</f>
        <v/>
      </c>
      <c r="X1165" s="23">
        <f>IF(OR($D1165="",$R1165="Trùng"),"",SUMIFS(ORDERS!$J$2:$J$4995,ORDERS!$C$2:$C$4995,$D1165,ORDERS!$L$2:$L$4995,"Đã chuyển khoản"))</f>
        <v/>
      </c>
      <c r="Y1165" s="24" t="n"/>
    </row>
    <row r="1166" ht="14.25" customHeight="1" s="40">
      <c r="A1166" s="24" t="n"/>
      <c r="B1166" s="27" t="n"/>
      <c r="C1166" s="24" t="n"/>
      <c r="D1166" s="28" t="n"/>
      <c r="E1166" s="29" t="n"/>
      <c r="F1166" s="24" t="n"/>
      <c r="G1166" s="24" t="n"/>
      <c r="H1166" s="21">
        <f>IF(ISNUMBER($B1166),INT($B1166)-WEEKDAY($B1166,2)+1,"")</f>
        <v/>
      </c>
      <c r="I1166" s="24" t="n"/>
      <c r="J1166" s="22">
        <f t="array" ref="J1166">IF($D1166="","",IF($I1166="","(trống REF)",IFERROR(INDEX(MASTER_SOURCE!$B$2:$B$495,MATCH($I1166,MASTER_SOURCE!$A$2:$A$495,0)),"(REF không có trong MASTER_SOURCE)")))</f>
        <v/>
      </c>
      <c r="K1166" s="22">
        <f t="array" ref="K1166">IF($D1166="","",IFERROR(INDEX(MASTER_SOURCE!$C$2:$C$495,MATCH($I1166,MASTER_SOURCE!$A$2:$A$495,0)),""))</f>
        <v/>
      </c>
      <c r="L1166" s="22">
        <f t="array" ref="L1166">IF($D1166="","",IFERROR(INDEX(MASTER_SOURCE!$D$2:$D$495,MATCH($I1166,MASTER_SOURCE!$A$2:$A$495,0)),""))</f>
        <v/>
      </c>
      <c r="M1166" s="24" t="n"/>
      <c r="N1166" s="24" t="n"/>
      <c r="O1166" s="24" t="n"/>
      <c r="P1166" s="24" t="n"/>
      <c r="Q1166" s="22">
        <f>IF($D1166="","",IF(AND(OR(DANH_MUC!$L$5&lt;&gt;"Có",M1166="Có"),OR(DANH_MUC!$L$6&lt;&gt;"Có",N1166="Có"),OR(DANH_MUC!$L$7&lt;&gt;"Có",O1166="Có"),OR(DANH_MUC!$L$8&lt;&gt;"Có",P1166="Có")),"Có","Không"))</f>
        <v/>
      </c>
      <c r="R1166" s="22">
        <f>IF($D1166="","",IF(COUNTIF($D$2:$D1166,$D1166)&gt;1,"Trùng",""))</f>
        <v/>
      </c>
      <c r="S1166" s="22">
        <f>IF($D1166="","",IF(AND(LEN($D1166)=10,LEFT($D1166,1)="0",ISNUMBER(--$D1166)),"Có","Không"))</f>
        <v/>
      </c>
      <c r="T1166" s="22">
        <f>IF($D1166="","",IF(AND($C1166&lt;&gt;"",$Q1166="Có",$R1166="",$S1166="Có",AND($L1166&lt;&gt;"",OR($L1166&lt;&gt;"Chưa xác định",DANH_MUC!$L$9="Có"))),"Có","Không"))</f>
        <v/>
      </c>
      <c r="U1166" s="22">
        <f>IF(OR($D1166="",$T1166="Có"),"",IF($C1166="","Thiếu họ tên; ","")&amp;IF($S1166&lt;&gt;"Có","SĐT sai định dạng; ","")&amp;IF($R1166="Trùng","Trùng SĐT; ","")&amp;IF($Q1166&lt;&gt;"Có","Thiếu đồng ý bắt buộc; ","")&amp;IF($L1166="","Thiếu/sai Mã REF; ",IF(AND($L1166="Chưa xác định",DANH_MUC!$L$9&lt;&gt;"Có"),"Nguồn chưa xác định; ","")))</f>
        <v/>
      </c>
      <c r="V1166" s="22">
        <f>IF(OR($D1166="",$R1166="Trùng"),"",IF(COUNTIF(ORDERS!$C$2:$C$4995,$D1166)&gt;0,"Có","Không"))</f>
        <v/>
      </c>
      <c r="W1166" s="22">
        <f>IF(OR($D1166="",$R1166="Trùng"),"",COUNTIFS(ORDERS!$C$2:$C$4995,$D1166,ORDERS!$L$2:$L$4995,"Đã chuyển khoản"))</f>
        <v/>
      </c>
      <c r="X1166" s="23">
        <f>IF(OR($D1166="",$R1166="Trùng"),"",SUMIFS(ORDERS!$J$2:$J$4995,ORDERS!$C$2:$C$4995,$D1166,ORDERS!$L$2:$L$4995,"Đã chuyển khoản"))</f>
        <v/>
      </c>
      <c r="Y1166" s="24" t="n"/>
    </row>
    <row r="1167" ht="14.25" customHeight="1" s="40">
      <c r="A1167" s="24" t="n"/>
      <c r="B1167" s="27" t="n"/>
      <c r="C1167" s="24" t="n"/>
      <c r="D1167" s="28" t="n"/>
      <c r="E1167" s="29" t="n"/>
      <c r="F1167" s="24" t="n"/>
      <c r="G1167" s="24" t="n"/>
      <c r="H1167" s="21">
        <f>IF(ISNUMBER($B1167),INT($B1167)-WEEKDAY($B1167,2)+1,"")</f>
        <v/>
      </c>
      <c r="I1167" s="24" t="n"/>
      <c r="J1167" s="22">
        <f t="array" ref="J1167">IF($D1167="","",IF($I1167="","(trống REF)",IFERROR(INDEX(MASTER_SOURCE!$B$2:$B$495,MATCH($I1167,MASTER_SOURCE!$A$2:$A$495,0)),"(REF không có trong MASTER_SOURCE)")))</f>
        <v/>
      </c>
      <c r="K1167" s="22">
        <f t="array" ref="K1167">IF($D1167="","",IFERROR(INDEX(MASTER_SOURCE!$C$2:$C$495,MATCH($I1167,MASTER_SOURCE!$A$2:$A$495,0)),""))</f>
        <v/>
      </c>
      <c r="L1167" s="22">
        <f t="array" ref="L1167">IF($D1167="","",IFERROR(INDEX(MASTER_SOURCE!$D$2:$D$495,MATCH($I1167,MASTER_SOURCE!$A$2:$A$495,0)),""))</f>
        <v/>
      </c>
      <c r="M1167" s="24" t="n"/>
      <c r="N1167" s="24" t="n"/>
      <c r="O1167" s="24" t="n"/>
      <c r="P1167" s="24" t="n"/>
      <c r="Q1167" s="22">
        <f>IF($D1167="","",IF(AND(OR(DANH_MUC!$L$5&lt;&gt;"Có",M1167="Có"),OR(DANH_MUC!$L$6&lt;&gt;"Có",N1167="Có"),OR(DANH_MUC!$L$7&lt;&gt;"Có",O1167="Có"),OR(DANH_MUC!$L$8&lt;&gt;"Có",P1167="Có")),"Có","Không"))</f>
        <v/>
      </c>
      <c r="R1167" s="22">
        <f>IF($D1167="","",IF(COUNTIF($D$2:$D1167,$D1167)&gt;1,"Trùng",""))</f>
        <v/>
      </c>
      <c r="S1167" s="22">
        <f>IF($D1167="","",IF(AND(LEN($D1167)=10,LEFT($D1167,1)="0",ISNUMBER(--$D1167)),"Có","Không"))</f>
        <v/>
      </c>
      <c r="T1167" s="22">
        <f>IF($D1167="","",IF(AND($C1167&lt;&gt;"",$Q1167="Có",$R1167="",$S1167="Có",AND($L1167&lt;&gt;"",OR($L1167&lt;&gt;"Chưa xác định",DANH_MUC!$L$9="Có"))),"Có","Không"))</f>
        <v/>
      </c>
      <c r="U1167" s="22">
        <f>IF(OR($D1167="",$T1167="Có"),"",IF($C1167="","Thiếu họ tên; ","")&amp;IF($S1167&lt;&gt;"Có","SĐT sai định dạng; ","")&amp;IF($R1167="Trùng","Trùng SĐT; ","")&amp;IF($Q1167&lt;&gt;"Có","Thiếu đồng ý bắt buộc; ","")&amp;IF($L1167="","Thiếu/sai Mã REF; ",IF(AND($L1167="Chưa xác định",DANH_MUC!$L$9&lt;&gt;"Có"),"Nguồn chưa xác định; ","")))</f>
        <v/>
      </c>
      <c r="V1167" s="22">
        <f>IF(OR($D1167="",$R1167="Trùng"),"",IF(COUNTIF(ORDERS!$C$2:$C$4995,$D1167)&gt;0,"Có","Không"))</f>
        <v/>
      </c>
      <c r="W1167" s="22">
        <f>IF(OR($D1167="",$R1167="Trùng"),"",COUNTIFS(ORDERS!$C$2:$C$4995,$D1167,ORDERS!$L$2:$L$4995,"Đã chuyển khoản"))</f>
        <v/>
      </c>
      <c r="X1167" s="23">
        <f>IF(OR($D1167="",$R1167="Trùng"),"",SUMIFS(ORDERS!$J$2:$J$4995,ORDERS!$C$2:$C$4995,$D1167,ORDERS!$L$2:$L$4995,"Đã chuyển khoản"))</f>
        <v/>
      </c>
      <c r="Y1167" s="24" t="n"/>
    </row>
    <row r="1168" ht="14.25" customHeight="1" s="40">
      <c r="A1168" s="24" t="n"/>
      <c r="B1168" s="27" t="n"/>
      <c r="C1168" s="24" t="n"/>
      <c r="D1168" s="28" t="n"/>
      <c r="E1168" s="29" t="n"/>
      <c r="F1168" s="24" t="n"/>
      <c r="G1168" s="24" t="n"/>
      <c r="H1168" s="21">
        <f>IF(ISNUMBER($B1168),INT($B1168)-WEEKDAY($B1168,2)+1,"")</f>
        <v/>
      </c>
      <c r="I1168" s="24" t="n"/>
      <c r="J1168" s="22">
        <f t="array" ref="J1168">IF($D1168="","",IF($I1168="","(trống REF)",IFERROR(INDEX(MASTER_SOURCE!$B$2:$B$495,MATCH($I1168,MASTER_SOURCE!$A$2:$A$495,0)),"(REF không có trong MASTER_SOURCE)")))</f>
        <v/>
      </c>
      <c r="K1168" s="22">
        <f t="array" ref="K1168">IF($D1168="","",IFERROR(INDEX(MASTER_SOURCE!$C$2:$C$495,MATCH($I1168,MASTER_SOURCE!$A$2:$A$495,0)),""))</f>
        <v/>
      </c>
      <c r="L1168" s="22">
        <f t="array" ref="L1168">IF($D1168="","",IFERROR(INDEX(MASTER_SOURCE!$D$2:$D$495,MATCH($I1168,MASTER_SOURCE!$A$2:$A$495,0)),""))</f>
        <v/>
      </c>
      <c r="M1168" s="24" t="n"/>
      <c r="N1168" s="24" t="n"/>
      <c r="O1168" s="24" t="n"/>
      <c r="P1168" s="24" t="n"/>
      <c r="Q1168" s="22">
        <f>IF($D1168="","",IF(AND(OR(DANH_MUC!$L$5&lt;&gt;"Có",M1168="Có"),OR(DANH_MUC!$L$6&lt;&gt;"Có",N1168="Có"),OR(DANH_MUC!$L$7&lt;&gt;"Có",O1168="Có"),OR(DANH_MUC!$L$8&lt;&gt;"Có",P1168="Có")),"Có","Không"))</f>
        <v/>
      </c>
      <c r="R1168" s="22">
        <f>IF($D1168="","",IF(COUNTIF($D$2:$D1168,$D1168)&gt;1,"Trùng",""))</f>
        <v/>
      </c>
      <c r="S1168" s="22">
        <f>IF($D1168="","",IF(AND(LEN($D1168)=10,LEFT($D1168,1)="0",ISNUMBER(--$D1168)),"Có","Không"))</f>
        <v/>
      </c>
      <c r="T1168" s="22">
        <f>IF($D1168="","",IF(AND($C1168&lt;&gt;"",$Q1168="Có",$R1168="",$S1168="Có",AND($L1168&lt;&gt;"",OR($L1168&lt;&gt;"Chưa xác định",DANH_MUC!$L$9="Có"))),"Có","Không"))</f>
        <v/>
      </c>
      <c r="U1168" s="22">
        <f>IF(OR($D1168="",$T1168="Có"),"",IF($C1168="","Thiếu họ tên; ","")&amp;IF($S1168&lt;&gt;"Có","SĐT sai định dạng; ","")&amp;IF($R1168="Trùng","Trùng SĐT; ","")&amp;IF($Q1168&lt;&gt;"Có","Thiếu đồng ý bắt buộc; ","")&amp;IF($L1168="","Thiếu/sai Mã REF; ",IF(AND($L1168="Chưa xác định",DANH_MUC!$L$9&lt;&gt;"Có"),"Nguồn chưa xác định; ","")))</f>
        <v/>
      </c>
      <c r="V1168" s="22">
        <f>IF(OR($D1168="",$R1168="Trùng"),"",IF(COUNTIF(ORDERS!$C$2:$C$4995,$D1168)&gt;0,"Có","Không"))</f>
        <v/>
      </c>
      <c r="W1168" s="22">
        <f>IF(OR($D1168="",$R1168="Trùng"),"",COUNTIFS(ORDERS!$C$2:$C$4995,$D1168,ORDERS!$L$2:$L$4995,"Đã chuyển khoản"))</f>
        <v/>
      </c>
      <c r="X1168" s="23">
        <f>IF(OR($D1168="",$R1168="Trùng"),"",SUMIFS(ORDERS!$J$2:$J$4995,ORDERS!$C$2:$C$4995,$D1168,ORDERS!$L$2:$L$4995,"Đã chuyển khoản"))</f>
        <v/>
      </c>
      <c r="Y1168" s="24" t="n"/>
    </row>
    <row r="1169" ht="14.25" customHeight="1" s="40">
      <c r="A1169" s="24" t="n"/>
      <c r="B1169" s="27" t="n"/>
      <c r="C1169" s="24" t="n"/>
      <c r="D1169" s="28" t="n"/>
      <c r="E1169" s="29" t="n"/>
      <c r="F1169" s="24" t="n"/>
      <c r="G1169" s="24" t="n"/>
      <c r="H1169" s="21">
        <f>IF(ISNUMBER($B1169),INT($B1169)-WEEKDAY($B1169,2)+1,"")</f>
        <v/>
      </c>
      <c r="I1169" s="24" t="n"/>
      <c r="J1169" s="22">
        <f t="array" ref="J1169">IF($D1169="","",IF($I1169="","(trống REF)",IFERROR(INDEX(MASTER_SOURCE!$B$2:$B$495,MATCH($I1169,MASTER_SOURCE!$A$2:$A$495,0)),"(REF không có trong MASTER_SOURCE)")))</f>
        <v/>
      </c>
      <c r="K1169" s="22">
        <f t="array" ref="K1169">IF($D1169="","",IFERROR(INDEX(MASTER_SOURCE!$C$2:$C$495,MATCH($I1169,MASTER_SOURCE!$A$2:$A$495,0)),""))</f>
        <v/>
      </c>
      <c r="L1169" s="22">
        <f t="array" ref="L1169">IF($D1169="","",IFERROR(INDEX(MASTER_SOURCE!$D$2:$D$495,MATCH($I1169,MASTER_SOURCE!$A$2:$A$495,0)),""))</f>
        <v/>
      </c>
      <c r="M1169" s="24" t="n"/>
      <c r="N1169" s="24" t="n"/>
      <c r="O1169" s="24" t="n"/>
      <c r="P1169" s="24" t="n"/>
      <c r="Q1169" s="22">
        <f>IF($D1169="","",IF(AND(OR(DANH_MUC!$L$5&lt;&gt;"Có",M1169="Có"),OR(DANH_MUC!$L$6&lt;&gt;"Có",N1169="Có"),OR(DANH_MUC!$L$7&lt;&gt;"Có",O1169="Có"),OR(DANH_MUC!$L$8&lt;&gt;"Có",P1169="Có")),"Có","Không"))</f>
        <v/>
      </c>
      <c r="R1169" s="22">
        <f>IF($D1169="","",IF(COUNTIF($D$2:$D1169,$D1169)&gt;1,"Trùng",""))</f>
        <v/>
      </c>
      <c r="S1169" s="22">
        <f>IF($D1169="","",IF(AND(LEN($D1169)=10,LEFT($D1169,1)="0",ISNUMBER(--$D1169)),"Có","Không"))</f>
        <v/>
      </c>
      <c r="T1169" s="22">
        <f>IF($D1169="","",IF(AND($C1169&lt;&gt;"",$Q1169="Có",$R1169="",$S1169="Có",AND($L1169&lt;&gt;"",OR($L1169&lt;&gt;"Chưa xác định",DANH_MUC!$L$9="Có"))),"Có","Không"))</f>
        <v/>
      </c>
      <c r="U1169" s="22">
        <f>IF(OR($D1169="",$T1169="Có"),"",IF($C1169="","Thiếu họ tên; ","")&amp;IF($S1169&lt;&gt;"Có","SĐT sai định dạng; ","")&amp;IF($R1169="Trùng","Trùng SĐT; ","")&amp;IF($Q1169&lt;&gt;"Có","Thiếu đồng ý bắt buộc; ","")&amp;IF($L1169="","Thiếu/sai Mã REF; ",IF(AND($L1169="Chưa xác định",DANH_MUC!$L$9&lt;&gt;"Có"),"Nguồn chưa xác định; ","")))</f>
        <v/>
      </c>
      <c r="V1169" s="22">
        <f>IF(OR($D1169="",$R1169="Trùng"),"",IF(COUNTIF(ORDERS!$C$2:$C$4995,$D1169)&gt;0,"Có","Không"))</f>
        <v/>
      </c>
      <c r="W1169" s="22">
        <f>IF(OR($D1169="",$R1169="Trùng"),"",COUNTIFS(ORDERS!$C$2:$C$4995,$D1169,ORDERS!$L$2:$L$4995,"Đã chuyển khoản"))</f>
        <v/>
      </c>
      <c r="X1169" s="23">
        <f>IF(OR($D1169="",$R1169="Trùng"),"",SUMIFS(ORDERS!$J$2:$J$4995,ORDERS!$C$2:$C$4995,$D1169,ORDERS!$L$2:$L$4995,"Đã chuyển khoản"))</f>
        <v/>
      </c>
      <c r="Y1169" s="24" t="n"/>
    </row>
    <row r="1170" ht="14.25" customHeight="1" s="40">
      <c r="A1170" s="24" t="n"/>
      <c r="B1170" s="27" t="n"/>
      <c r="C1170" s="24" t="n"/>
      <c r="D1170" s="28" t="n"/>
      <c r="E1170" s="29" t="n"/>
      <c r="F1170" s="24" t="n"/>
      <c r="G1170" s="24" t="n"/>
      <c r="H1170" s="21">
        <f>IF(ISNUMBER($B1170),INT($B1170)-WEEKDAY($B1170,2)+1,"")</f>
        <v/>
      </c>
      <c r="I1170" s="24" t="n"/>
      <c r="J1170" s="22">
        <f t="array" ref="J1170">IF($D1170="","",IF($I1170="","(trống REF)",IFERROR(INDEX(MASTER_SOURCE!$B$2:$B$495,MATCH($I1170,MASTER_SOURCE!$A$2:$A$495,0)),"(REF không có trong MASTER_SOURCE)")))</f>
        <v/>
      </c>
      <c r="K1170" s="22">
        <f t="array" ref="K1170">IF($D1170="","",IFERROR(INDEX(MASTER_SOURCE!$C$2:$C$495,MATCH($I1170,MASTER_SOURCE!$A$2:$A$495,0)),""))</f>
        <v/>
      </c>
      <c r="L1170" s="22">
        <f t="array" ref="L1170">IF($D1170="","",IFERROR(INDEX(MASTER_SOURCE!$D$2:$D$495,MATCH($I1170,MASTER_SOURCE!$A$2:$A$495,0)),""))</f>
        <v/>
      </c>
      <c r="M1170" s="24" t="n"/>
      <c r="N1170" s="24" t="n"/>
      <c r="O1170" s="24" t="n"/>
      <c r="P1170" s="24" t="n"/>
      <c r="Q1170" s="22">
        <f>IF($D1170="","",IF(AND(OR(DANH_MUC!$L$5&lt;&gt;"Có",M1170="Có"),OR(DANH_MUC!$L$6&lt;&gt;"Có",N1170="Có"),OR(DANH_MUC!$L$7&lt;&gt;"Có",O1170="Có"),OR(DANH_MUC!$L$8&lt;&gt;"Có",P1170="Có")),"Có","Không"))</f>
        <v/>
      </c>
      <c r="R1170" s="22">
        <f>IF($D1170="","",IF(COUNTIF($D$2:$D1170,$D1170)&gt;1,"Trùng",""))</f>
        <v/>
      </c>
      <c r="S1170" s="22">
        <f>IF($D1170="","",IF(AND(LEN($D1170)=10,LEFT($D1170,1)="0",ISNUMBER(--$D1170)),"Có","Không"))</f>
        <v/>
      </c>
      <c r="T1170" s="22">
        <f>IF($D1170="","",IF(AND($C1170&lt;&gt;"",$Q1170="Có",$R1170="",$S1170="Có",AND($L1170&lt;&gt;"",OR($L1170&lt;&gt;"Chưa xác định",DANH_MUC!$L$9="Có"))),"Có","Không"))</f>
        <v/>
      </c>
      <c r="U1170" s="22">
        <f>IF(OR($D1170="",$T1170="Có"),"",IF($C1170="","Thiếu họ tên; ","")&amp;IF($S1170&lt;&gt;"Có","SĐT sai định dạng; ","")&amp;IF($R1170="Trùng","Trùng SĐT; ","")&amp;IF($Q1170&lt;&gt;"Có","Thiếu đồng ý bắt buộc; ","")&amp;IF($L1170="","Thiếu/sai Mã REF; ",IF(AND($L1170="Chưa xác định",DANH_MUC!$L$9&lt;&gt;"Có"),"Nguồn chưa xác định; ","")))</f>
        <v/>
      </c>
      <c r="V1170" s="22">
        <f>IF(OR($D1170="",$R1170="Trùng"),"",IF(COUNTIF(ORDERS!$C$2:$C$4995,$D1170)&gt;0,"Có","Không"))</f>
        <v/>
      </c>
      <c r="W1170" s="22">
        <f>IF(OR($D1170="",$R1170="Trùng"),"",COUNTIFS(ORDERS!$C$2:$C$4995,$D1170,ORDERS!$L$2:$L$4995,"Đã chuyển khoản"))</f>
        <v/>
      </c>
      <c r="X1170" s="23">
        <f>IF(OR($D1170="",$R1170="Trùng"),"",SUMIFS(ORDERS!$J$2:$J$4995,ORDERS!$C$2:$C$4995,$D1170,ORDERS!$L$2:$L$4995,"Đã chuyển khoản"))</f>
        <v/>
      </c>
      <c r="Y1170" s="24" t="n"/>
    </row>
    <row r="1171" ht="14.25" customHeight="1" s="40">
      <c r="A1171" s="24" t="n"/>
      <c r="B1171" s="27" t="n"/>
      <c r="C1171" s="24" t="n"/>
      <c r="D1171" s="28" t="n"/>
      <c r="E1171" s="29" t="n"/>
      <c r="F1171" s="24" t="n"/>
      <c r="G1171" s="24" t="n"/>
      <c r="H1171" s="21">
        <f>IF(ISNUMBER($B1171),INT($B1171)-WEEKDAY($B1171,2)+1,"")</f>
        <v/>
      </c>
      <c r="I1171" s="24" t="n"/>
      <c r="J1171" s="22">
        <f t="array" ref="J1171">IF($D1171="","",IF($I1171="","(trống REF)",IFERROR(INDEX(MASTER_SOURCE!$B$2:$B$495,MATCH($I1171,MASTER_SOURCE!$A$2:$A$495,0)),"(REF không có trong MASTER_SOURCE)")))</f>
        <v/>
      </c>
      <c r="K1171" s="22">
        <f t="array" ref="K1171">IF($D1171="","",IFERROR(INDEX(MASTER_SOURCE!$C$2:$C$495,MATCH($I1171,MASTER_SOURCE!$A$2:$A$495,0)),""))</f>
        <v/>
      </c>
      <c r="L1171" s="22">
        <f t="array" ref="L1171">IF($D1171="","",IFERROR(INDEX(MASTER_SOURCE!$D$2:$D$495,MATCH($I1171,MASTER_SOURCE!$A$2:$A$495,0)),""))</f>
        <v/>
      </c>
      <c r="M1171" s="24" t="n"/>
      <c r="N1171" s="24" t="n"/>
      <c r="O1171" s="24" t="n"/>
      <c r="P1171" s="24" t="n"/>
      <c r="Q1171" s="22">
        <f>IF($D1171="","",IF(AND(OR(DANH_MUC!$L$5&lt;&gt;"Có",M1171="Có"),OR(DANH_MUC!$L$6&lt;&gt;"Có",N1171="Có"),OR(DANH_MUC!$L$7&lt;&gt;"Có",O1171="Có"),OR(DANH_MUC!$L$8&lt;&gt;"Có",P1171="Có")),"Có","Không"))</f>
        <v/>
      </c>
      <c r="R1171" s="22">
        <f>IF($D1171="","",IF(COUNTIF($D$2:$D1171,$D1171)&gt;1,"Trùng",""))</f>
        <v/>
      </c>
      <c r="S1171" s="22">
        <f>IF($D1171="","",IF(AND(LEN($D1171)=10,LEFT($D1171,1)="0",ISNUMBER(--$D1171)),"Có","Không"))</f>
        <v/>
      </c>
      <c r="T1171" s="22">
        <f>IF($D1171="","",IF(AND($C1171&lt;&gt;"",$Q1171="Có",$R1171="",$S1171="Có",AND($L1171&lt;&gt;"",OR($L1171&lt;&gt;"Chưa xác định",DANH_MUC!$L$9="Có"))),"Có","Không"))</f>
        <v/>
      </c>
      <c r="U1171" s="22">
        <f>IF(OR($D1171="",$T1171="Có"),"",IF($C1171="","Thiếu họ tên; ","")&amp;IF($S1171&lt;&gt;"Có","SĐT sai định dạng; ","")&amp;IF($R1171="Trùng","Trùng SĐT; ","")&amp;IF($Q1171&lt;&gt;"Có","Thiếu đồng ý bắt buộc; ","")&amp;IF($L1171="","Thiếu/sai Mã REF; ",IF(AND($L1171="Chưa xác định",DANH_MUC!$L$9&lt;&gt;"Có"),"Nguồn chưa xác định; ","")))</f>
        <v/>
      </c>
      <c r="V1171" s="22">
        <f>IF(OR($D1171="",$R1171="Trùng"),"",IF(COUNTIF(ORDERS!$C$2:$C$4995,$D1171)&gt;0,"Có","Không"))</f>
        <v/>
      </c>
      <c r="W1171" s="22">
        <f>IF(OR($D1171="",$R1171="Trùng"),"",COUNTIFS(ORDERS!$C$2:$C$4995,$D1171,ORDERS!$L$2:$L$4995,"Đã chuyển khoản"))</f>
        <v/>
      </c>
      <c r="X1171" s="23">
        <f>IF(OR($D1171="",$R1171="Trùng"),"",SUMIFS(ORDERS!$J$2:$J$4995,ORDERS!$C$2:$C$4995,$D1171,ORDERS!$L$2:$L$4995,"Đã chuyển khoản"))</f>
        <v/>
      </c>
      <c r="Y1171" s="24" t="n"/>
    </row>
    <row r="1172" ht="14.25" customHeight="1" s="40">
      <c r="A1172" s="24" t="n"/>
      <c r="B1172" s="27" t="n"/>
      <c r="C1172" s="24" t="n"/>
      <c r="D1172" s="28" t="n"/>
      <c r="E1172" s="29" t="n"/>
      <c r="F1172" s="24" t="n"/>
      <c r="G1172" s="24" t="n"/>
      <c r="H1172" s="21">
        <f>IF(ISNUMBER($B1172),INT($B1172)-WEEKDAY($B1172,2)+1,"")</f>
        <v/>
      </c>
      <c r="I1172" s="24" t="n"/>
      <c r="J1172" s="22">
        <f t="array" ref="J1172">IF($D1172="","",IF($I1172="","(trống REF)",IFERROR(INDEX(MASTER_SOURCE!$B$2:$B$495,MATCH($I1172,MASTER_SOURCE!$A$2:$A$495,0)),"(REF không có trong MASTER_SOURCE)")))</f>
        <v/>
      </c>
      <c r="K1172" s="22">
        <f t="array" ref="K1172">IF($D1172="","",IFERROR(INDEX(MASTER_SOURCE!$C$2:$C$495,MATCH($I1172,MASTER_SOURCE!$A$2:$A$495,0)),""))</f>
        <v/>
      </c>
      <c r="L1172" s="22">
        <f t="array" ref="L1172">IF($D1172="","",IFERROR(INDEX(MASTER_SOURCE!$D$2:$D$495,MATCH($I1172,MASTER_SOURCE!$A$2:$A$495,0)),""))</f>
        <v/>
      </c>
      <c r="M1172" s="24" t="n"/>
      <c r="N1172" s="24" t="n"/>
      <c r="O1172" s="24" t="n"/>
      <c r="P1172" s="24" t="n"/>
      <c r="Q1172" s="22">
        <f>IF($D1172="","",IF(AND(OR(DANH_MUC!$L$5&lt;&gt;"Có",M1172="Có"),OR(DANH_MUC!$L$6&lt;&gt;"Có",N1172="Có"),OR(DANH_MUC!$L$7&lt;&gt;"Có",O1172="Có"),OR(DANH_MUC!$L$8&lt;&gt;"Có",P1172="Có")),"Có","Không"))</f>
        <v/>
      </c>
      <c r="R1172" s="22">
        <f>IF($D1172="","",IF(COUNTIF($D$2:$D1172,$D1172)&gt;1,"Trùng",""))</f>
        <v/>
      </c>
      <c r="S1172" s="22">
        <f>IF($D1172="","",IF(AND(LEN($D1172)=10,LEFT($D1172,1)="0",ISNUMBER(--$D1172)),"Có","Không"))</f>
        <v/>
      </c>
      <c r="T1172" s="22">
        <f>IF($D1172="","",IF(AND($C1172&lt;&gt;"",$Q1172="Có",$R1172="",$S1172="Có",AND($L1172&lt;&gt;"",OR($L1172&lt;&gt;"Chưa xác định",DANH_MUC!$L$9="Có"))),"Có","Không"))</f>
        <v/>
      </c>
      <c r="U1172" s="22">
        <f>IF(OR($D1172="",$T1172="Có"),"",IF($C1172="","Thiếu họ tên; ","")&amp;IF($S1172&lt;&gt;"Có","SĐT sai định dạng; ","")&amp;IF($R1172="Trùng","Trùng SĐT; ","")&amp;IF($Q1172&lt;&gt;"Có","Thiếu đồng ý bắt buộc; ","")&amp;IF($L1172="","Thiếu/sai Mã REF; ",IF(AND($L1172="Chưa xác định",DANH_MUC!$L$9&lt;&gt;"Có"),"Nguồn chưa xác định; ","")))</f>
        <v/>
      </c>
      <c r="V1172" s="22">
        <f>IF(OR($D1172="",$R1172="Trùng"),"",IF(COUNTIF(ORDERS!$C$2:$C$4995,$D1172)&gt;0,"Có","Không"))</f>
        <v/>
      </c>
      <c r="W1172" s="22">
        <f>IF(OR($D1172="",$R1172="Trùng"),"",COUNTIFS(ORDERS!$C$2:$C$4995,$D1172,ORDERS!$L$2:$L$4995,"Đã chuyển khoản"))</f>
        <v/>
      </c>
      <c r="X1172" s="23">
        <f>IF(OR($D1172="",$R1172="Trùng"),"",SUMIFS(ORDERS!$J$2:$J$4995,ORDERS!$C$2:$C$4995,$D1172,ORDERS!$L$2:$L$4995,"Đã chuyển khoản"))</f>
        <v/>
      </c>
      <c r="Y1172" s="24" t="n"/>
    </row>
    <row r="1173" ht="14.25" customHeight="1" s="40">
      <c r="A1173" s="24" t="n"/>
      <c r="B1173" s="27" t="n"/>
      <c r="C1173" s="24" t="n"/>
      <c r="D1173" s="28" t="n"/>
      <c r="E1173" s="29" t="n"/>
      <c r="F1173" s="24" t="n"/>
      <c r="G1173" s="24" t="n"/>
      <c r="H1173" s="21">
        <f>IF(ISNUMBER($B1173),INT($B1173)-WEEKDAY($B1173,2)+1,"")</f>
        <v/>
      </c>
      <c r="I1173" s="24" t="n"/>
      <c r="J1173" s="22">
        <f t="array" ref="J1173">IF($D1173="","",IF($I1173="","(trống REF)",IFERROR(INDEX(MASTER_SOURCE!$B$2:$B$495,MATCH($I1173,MASTER_SOURCE!$A$2:$A$495,0)),"(REF không có trong MASTER_SOURCE)")))</f>
        <v/>
      </c>
      <c r="K1173" s="22">
        <f t="array" ref="K1173">IF($D1173="","",IFERROR(INDEX(MASTER_SOURCE!$C$2:$C$495,MATCH($I1173,MASTER_SOURCE!$A$2:$A$495,0)),""))</f>
        <v/>
      </c>
      <c r="L1173" s="22">
        <f t="array" ref="L1173">IF($D1173="","",IFERROR(INDEX(MASTER_SOURCE!$D$2:$D$495,MATCH($I1173,MASTER_SOURCE!$A$2:$A$495,0)),""))</f>
        <v/>
      </c>
      <c r="M1173" s="24" t="n"/>
      <c r="N1173" s="24" t="n"/>
      <c r="O1173" s="24" t="n"/>
      <c r="P1173" s="24" t="n"/>
      <c r="Q1173" s="22">
        <f>IF($D1173="","",IF(AND(OR(DANH_MUC!$L$5&lt;&gt;"Có",M1173="Có"),OR(DANH_MUC!$L$6&lt;&gt;"Có",N1173="Có"),OR(DANH_MUC!$L$7&lt;&gt;"Có",O1173="Có"),OR(DANH_MUC!$L$8&lt;&gt;"Có",P1173="Có")),"Có","Không"))</f>
        <v/>
      </c>
      <c r="R1173" s="22">
        <f>IF($D1173="","",IF(COUNTIF($D$2:$D1173,$D1173)&gt;1,"Trùng",""))</f>
        <v/>
      </c>
      <c r="S1173" s="22">
        <f>IF($D1173="","",IF(AND(LEN($D1173)=10,LEFT($D1173,1)="0",ISNUMBER(--$D1173)),"Có","Không"))</f>
        <v/>
      </c>
      <c r="T1173" s="22">
        <f>IF($D1173="","",IF(AND($C1173&lt;&gt;"",$Q1173="Có",$R1173="",$S1173="Có",AND($L1173&lt;&gt;"",OR($L1173&lt;&gt;"Chưa xác định",DANH_MUC!$L$9="Có"))),"Có","Không"))</f>
        <v/>
      </c>
      <c r="U1173" s="22">
        <f>IF(OR($D1173="",$T1173="Có"),"",IF($C1173="","Thiếu họ tên; ","")&amp;IF($S1173&lt;&gt;"Có","SĐT sai định dạng; ","")&amp;IF($R1173="Trùng","Trùng SĐT; ","")&amp;IF($Q1173&lt;&gt;"Có","Thiếu đồng ý bắt buộc; ","")&amp;IF($L1173="","Thiếu/sai Mã REF; ",IF(AND($L1173="Chưa xác định",DANH_MUC!$L$9&lt;&gt;"Có"),"Nguồn chưa xác định; ","")))</f>
        <v/>
      </c>
      <c r="V1173" s="22">
        <f>IF(OR($D1173="",$R1173="Trùng"),"",IF(COUNTIF(ORDERS!$C$2:$C$4995,$D1173)&gt;0,"Có","Không"))</f>
        <v/>
      </c>
      <c r="W1173" s="22">
        <f>IF(OR($D1173="",$R1173="Trùng"),"",COUNTIFS(ORDERS!$C$2:$C$4995,$D1173,ORDERS!$L$2:$L$4995,"Đã chuyển khoản"))</f>
        <v/>
      </c>
      <c r="X1173" s="23">
        <f>IF(OR($D1173="",$R1173="Trùng"),"",SUMIFS(ORDERS!$J$2:$J$4995,ORDERS!$C$2:$C$4995,$D1173,ORDERS!$L$2:$L$4995,"Đã chuyển khoản"))</f>
        <v/>
      </c>
      <c r="Y1173" s="24" t="n"/>
    </row>
    <row r="1174" ht="14.25" customHeight="1" s="40">
      <c r="A1174" s="24" t="n"/>
      <c r="B1174" s="27" t="n"/>
      <c r="C1174" s="24" t="n"/>
      <c r="D1174" s="28" t="n"/>
      <c r="E1174" s="29" t="n"/>
      <c r="F1174" s="24" t="n"/>
      <c r="G1174" s="24" t="n"/>
      <c r="H1174" s="21">
        <f>IF(ISNUMBER($B1174),INT($B1174)-WEEKDAY($B1174,2)+1,"")</f>
        <v/>
      </c>
      <c r="I1174" s="24" t="n"/>
      <c r="J1174" s="22">
        <f t="array" ref="J1174">IF($D1174="","",IF($I1174="","(trống REF)",IFERROR(INDEX(MASTER_SOURCE!$B$2:$B$495,MATCH($I1174,MASTER_SOURCE!$A$2:$A$495,0)),"(REF không có trong MASTER_SOURCE)")))</f>
        <v/>
      </c>
      <c r="K1174" s="22">
        <f t="array" ref="K1174">IF($D1174="","",IFERROR(INDEX(MASTER_SOURCE!$C$2:$C$495,MATCH($I1174,MASTER_SOURCE!$A$2:$A$495,0)),""))</f>
        <v/>
      </c>
      <c r="L1174" s="22">
        <f t="array" ref="L1174">IF($D1174="","",IFERROR(INDEX(MASTER_SOURCE!$D$2:$D$495,MATCH($I1174,MASTER_SOURCE!$A$2:$A$495,0)),""))</f>
        <v/>
      </c>
      <c r="M1174" s="24" t="n"/>
      <c r="N1174" s="24" t="n"/>
      <c r="O1174" s="24" t="n"/>
      <c r="P1174" s="24" t="n"/>
      <c r="Q1174" s="22">
        <f>IF($D1174="","",IF(AND(OR(DANH_MUC!$L$5&lt;&gt;"Có",M1174="Có"),OR(DANH_MUC!$L$6&lt;&gt;"Có",N1174="Có"),OR(DANH_MUC!$L$7&lt;&gt;"Có",O1174="Có"),OR(DANH_MUC!$L$8&lt;&gt;"Có",P1174="Có")),"Có","Không"))</f>
        <v/>
      </c>
      <c r="R1174" s="22">
        <f>IF($D1174="","",IF(COUNTIF($D$2:$D1174,$D1174)&gt;1,"Trùng",""))</f>
        <v/>
      </c>
      <c r="S1174" s="22">
        <f>IF($D1174="","",IF(AND(LEN($D1174)=10,LEFT($D1174,1)="0",ISNUMBER(--$D1174)),"Có","Không"))</f>
        <v/>
      </c>
      <c r="T1174" s="22">
        <f>IF($D1174="","",IF(AND($C1174&lt;&gt;"",$Q1174="Có",$R1174="",$S1174="Có",AND($L1174&lt;&gt;"",OR($L1174&lt;&gt;"Chưa xác định",DANH_MUC!$L$9="Có"))),"Có","Không"))</f>
        <v/>
      </c>
      <c r="U1174" s="22">
        <f>IF(OR($D1174="",$T1174="Có"),"",IF($C1174="","Thiếu họ tên; ","")&amp;IF($S1174&lt;&gt;"Có","SĐT sai định dạng; ","")&amp;IF($R1174="Trùng","Trùng SĐT; ","")&amp;IF($Q1174&lt;&gt;"Có","Thiếu đồng ý bắt buộc; ","")&amp;IF($L1174="","Thiếu/sai Mã REF; ",IF(AND($L1174="Chưa xác định",DANH_MUC!$L$9&lt;&gt;"Có"),"Nguồn chưa xác định; ","")))</f>
        <v/>
      </c>
      <c r="V1174" s="22">
        <f>IF(OR($D1174="",$R1174="Trùng"),"",IF(COUNTIF(ORDERS!$C$2:$C$4995,$D1174)&gt;0,"Có","Không"))</f>
        <v/>
      </c>
      <c r="W1174" s="22">
        <f>IF(OR($D1174="",$R1174="Trùng"),"",COUNTIFS(ORDERS!$C$2:$C$4995,$D1174,ORDERS!$L$2:$L$4995,"Đã chuyển khoản"))</f>
        <v/>
      </c>
      <c r="X1174" s="23">
        <f>IF(OR($D1174="",$R1174="Trùng"),"",SUMIFS(ORDERS!$J$2:$J$4995,ORDERS!$C$2:$C$4995,$D1174,ORDERS!$L$2:$L$4995,"Đã chuyển khoản"))</f>
        <v/>
      </c>
      <c r="Y1174" s="24" t="n"/>
    </row>
    <row r="1175" ht="14.25" customHeight="1" s="40">
      <c r="A1175" s="24" t="n"/>
      <c r="B1175" s="27" t="n"/>
      <c r="C1175" s="24" t="n"/>
      <c r="D1175" s="28" t="n"/>
      <c r="E1175" s="29" t="n"/>
      <c r="F1175" s="24" t="n"/>
      <c r="G1175" s="24" t="n"/>
      <c r="H1175" s="21">
        <f>IF(ISNUMBER($B1175),INT($B1175)-WEEKDAY($B1175,2)+1,"")</f>
        <v/>
      </c>
      <c r="I1175" s="24" t="n"/>
      <c r="J1175" s="22">
        <f t="array" ref="J1175">IF($D1175="","",IF($I1175="","(trống REF)",IFERROR(INDEX(MASTER_SOURCE!$B$2:$B$495,MATCH($I1175,MASTER_SOURCE!$A$2:$A$495,0)),"(REF không có trong MASTER_SOURCE)")))</f>
        <v/>
      </c>
      <c r="K1175" s="22">
        <f t="array" ref="K1175">IF($D1175="","",IFERROR(INDEX(MASTER_SOURCE!$C$2:$C$495,MATCH($I1175,MASTER_SOURCE!$A$2:$A$495,0)),""))</f>
        <v/>
      </c>
      <c r="L1175" s="22">
        <f t="array" ref="L1175">IF($D1175="","",IFERROR(INDEX(MASTER_SOURCE!$D$2:$D$495,MATCH($I1175,MASTER_SOURCE!$A$2:$A$495,0)),""))</f>
        <v/>
      </c>
      <c r="M1175" s="24" t="n"/>
      <c r="N1175" s="24" t="n"/>
      <c r="O1175" s="24" t="n"/>
      <c r="P1175" s="24" t="n"/>
      <c r="Q1175" s="22">
        <f>IF($D1175="","",IF(AND(OR(DANH_MUC!$L$5&lt;&gt;"Có",M1175="Có"),OR(DANH_MUC!$L$6&lt;&gt;"Có",N1175="Có"),OR(DANH_MUC!$L$7&lt;&gt;"Có",O1175="Có"),OR(DANH_MUC!$L$8&lt;&gt;"Có",P1175="Có")),"Có","Không"))</f>
        <v/>
      </c>
      <c r="R1175" s="22">
        <f>IF($D1175="","",IF(COUNTIF($D$2:$D1175,$D1175)&gt;1,"Trùng",""))</f>
        <v/>
      </c>
      <c r="S1175" s="22">
        <f>IF($D1175="","",IF(AND(LEN($D1175)=10,LEFT($D1175,1)="0",ISNUMBER(--$D1175)),"Có","Không"))</f>
        <v/>
      </c>
      <c r="T1175" s="22">
        <f>IF($D1175="","",IF(AND($C1175&lt;&gt;"",$Q1175="Có",$R1175="",$S1175="Có",AND($L1175&lt;&gt;"",OR($L1175&lt;&gt;"Chưa xác định",DANH_MUC!$L$9="Có"))),"Có","Không"))</f>
        <v/>
      </c>
      <c r="U1175" s="22">
        <f>IF(OR($D1175="",$T1175="Có"),"",IF($C1175="","Thiếu họ tên; ","")&amp;IF($S1175&lt;&gt;"Có","SĐT sai định dạng; ","")&amp;IF($R1175="Trùng","Trùng SĐT; ","")&amp;IF($Q1175&lt;&gt;"Có","Thiếu đồng ý bắt buộc; ","")&amp;IF($L1175="","Thiếu/sai Mã REF; ",IF(AND($L1175="Chưa xác định",DANH_MUC!$L$9&lt;&gt;"Có"),"Nguồn chưa xác định; ","")))</f>
        <v/>
      </c>
      <c r="V1175" s="22">
        <f>IF(OR($D1175="",$R1175="Trùng"),"",IF(COUNTIF(ORDERS!$C$2:$C$4995,$D1175)&gt;0,"Có","Không"))</f>
        <v/>
      </c>
      <c r="W1175" s="22">
        <f>IF(OR($D1175="",$R1175="Trùng"),"",COUNTIFS(ORDERS!$C$2:$C$4995,$D1175,ORDERS!$L$2:$L$4995,"Đã chuyển khoản"))</f>
        <v/>
      </c>
      <c r="X1175" s="23">
        <f>IF(OR($D1175="",$R1175="Trùng"),"",SUMIFS(ORDERS!$J$2:$J$4995,ORDERS!$C$2:$C$4995,$D1175,ORDERS!$L$2:$L$4995,"Đã chuyển khoản"))</f>
        <v/>
      </c>
      <c r="Y1175" s="24" t="n"/>
    </row>
    <row r="1176" ht="14.25" customHeight="1" s="40">
      <c r="A1176" s="24" t="n"/>
      <c r="B1176" s="27" t="n"/>
      <c r="C1176" s="24" t="n"/>
      <c r="D1176" s="28" t="n"/>
      <c r="E1176" s="29" t="n"/>
      <c r="F1176" s="24" t="n"/>
      <c r="G1176" s="24" t="n"/>
      <c r="H1176" s="21">
        <f>IF(ISNUMBER($B1176),INT($B1176)-WEEKDAY($B1176,2)+1,"")</f>
        <v/>
      </c>
      <c r="I1176" s="24" t="n"/>
      <c r="J1176" s="22">
        <f t="array" ref="J1176">IF($D1176="","",IF($I1176="","(trống REF)",IFERROR(INDEX(MASTER_SOURCE!$B$2:$B$495,MATCH($I1176,MASTER_SOURCE!$A$2:$A$495,0)),"(REF không có trong MASTER_SOURCE)")))</f>
        <v/>
      </c>
      <c r="K1176" s="22">
        <f t="array" ref="K1176">IF($D1176="","",IFERROR(INDEX(MASTER_SOURCE!$C$2:$C$495,MATCH($I1176,MASTER_SOURCE!$A$2:$A$495,0)),""))</f>
        <v/>
      </c>
      <c r="L1176" s="22">
        <f t="array" ref="L1176">IF($D1176="","",IFERROR(INDEX(MASTER_SOURCE!$D$2:$D$495,MATCH($I1176,MASTER_SOURCE!$A$2:$A$495,0)),""))</f>
        <v/>
      </c>
      <c r="M1176" s="24" t="n"/>
      <c r="N1176" s="24" t="n"/>
      <c r="O1176" s="24" t="n"/>
      <c r="P1176" s="24" t="n"/>
      <c r="Q1176" s="22">
        <f>IF($D1176="","",IF(AND(OR(DANH_MUC!$L$5&lt;&gt;"Có",M1176="Có"),OR(DANH_MUC!$L$6&lt;&gt;"Có",N1176="Có"),OR(DANH_MUC!$L$7&lt;&gt;"Có",O1176="Có"),OR(DANH_MUC!$L$8&lt;&gt;"Có",P1176="Có")),"Có","Không"))</f>
        <v/>
      </c>
      <c r="R1176" s="22">
        <f>IF($D1176="","",IF(COUNTIF($D$2:$D1176,$D1176)&gt;1,"Trùng",""))</f>
        <v/>
      </c>
      <c r="S1176" s="22">
        <f>IF($D1176="","",IF(AND(LEN($D1176)=10,LEFT($D1176,1)="0",ISNUMBER(--$D1176)),"Có","Không"))</f>
        <v/>
      </c>
      <c r="T1176" s="22">
        <f>IF($D1176="","",IF(AND($C1176&lt;&gt;"",$Q1176="Có",$R1176="",$S1176="Có",AND($L1176&lt;&gt;"",OR($L1176&lt;&gt;"Chưa xác định",DANH_MUC!$L$9="Có"))),"Có","Không"))</f>
        <v/>
      </c>
      <c r="U1176" s="22">
        <f>IF(OR($D1176="",$T1176="Có"),"",IF($C1176="","Thiếu họ tên; ","")&amp;IF($S1176&lt;&gt;"Có","SĐT sai định dạng; ","")&amp;IF($R1176="Trùng","Trùng SĐT; ","")&amp;IF($Q1176&lt;&gt;"Có","Thiếu đồng ý bắt buộc; ","")&amp;IF($L1176="","Thiếu/sai Mã REF; ",IF(AND($L1176="Chưa xác định",DANH_MUC!$L$9&lt;&gt;"Có"),"Nguồn chưa xác định; ","")))</f>
        <v/>
      </c>
      <c r="V1176" s="22">
        <f>IF(OR($D1176="",$R1176="Trùng"),"",IF(COUNTIF(ORDERS!$C$2:$C$4995,$D1176)&gt;0,"Có","Không"))</f>
        <v/>
      </c>
      <c r="W1176" s="22">
        <f>IF(OR($D1176="",$R1176="Trùng"),"",COUNTIFS(ORDERS!$C$2:$C$4995,$D1176,ORDERS!$L$2:$L$4995,"Đã chuyển khoản"))</f>
        <v/>
      </c>
      <c r="X1176" s="23">
        <f>IF(OR($D1176="",$R1176="Trùng"),"",SUMIFS(ORDERS!$J$2:$J$4995,ORDERS!$C$2:$C$4995,$D1176,ORDERS!$L$2:$L$4995,"Đã chuyển khoản"))</f>
        <v/>
      </c>
      <c r="Y1176" s="24" t="n"/>
    </row>
    <row r="1177" ht="14.25" customHeight="1" s="40">
      <c r="A1177" s="24" t="n"/>
      <c r="B1177" s="27" t="n"/>
      <c r="C1177" s="24" t="n"/>
      <c r="D1177" s="28" t="n"/>
      <c r="E1177" s="29" t="n"/>
      <c r="F1177" s="24" t="n"/>
      <c r="G1177" s="24" t="n"/>
      <c r="H1177" s="21">
        <f>IF(ISNUMBER($B1177),INT($B1177)-WEEKDAY($B1177,2)+1,"")</f>
        <v/>
      </c>
      <c r="I1177" s="24" t="n"/>
      <c r="J1177" s="22">
        <f t="array" ref="J1177">IF($D1177="","",IF($I1177="","(trống REF)",IFERROR(INDEX(MASTER_SOURCE!$B$2:$B$495,MATCH($I1177,MASTER_SOURCE!$A$2:$A$495,0)),"(REF không có trong MASTER_SOURCE)")))</f>
        <v/>
      </c>
      <c r="K1177" s="22">
        <f t="array" ref="K1177">IF($D1177="","",IFERROR(INDEX(MASTER_SOURCE!$C$2:$C$495,MATCH($I1177,MASTER_SOURCE!$A$2:$A$495,0)),""))</f>
        <v/>
      </c>
      <c r="L1177" s="22">
        <f t="array" ref="L1177">IF($D1177="","",IFERROR(INDEX(MASTER_SOURCE!$D$2:$D$495,MATCH($I1177,MASTER_SOURCE!$A$2:$A$495,0)),""))</f>
        <v/>
      </c>
      <c r="M1177" s="24" t="n"/>
      <c r="N1177" s="24" t="n"/>
      <c r="O1177" s="24" t="n"/>
      <c r="P1177" s="24" t="n"/>
      <c r="Q1177" s="22">
        <f>IF($D1177="","",IF(AND(OR(DANH_MUC!$L$5&lt;&gt;"Có",M1177="Có"),OR(DANH_MUC!$L$6&lt;&gt;"Có",N1177="Có"),OR(DANH_MUC!$L$7&lt;&gt;"Có",O1177="Có"),OR(DANH_MUC!$L$8&lt;&gt;"Có",P1177="Có")),"Có","Không"))</f>
        <v/>
      </c>
      <c r="R1177" s="22">
        <f>IF($D1177="","",IF(COUNTIF($D$2:$D1177,$D1177)&gt;1,"Trùng",""))</f>
        <v/>
      </c>
      <c r="S1177" s="22">
        <f>IF($D1177="","",IF(AND(LEN($D1177)=10,LEFT($D1177,1)="0",ISNUMBER(--$D1177)),"Có","Không"))</f>
        <v/>
      </c>
      <c r="T1177" s="22">
        <f>IF($D1177="","",IF(AND($C1177&lt;&gt;"",$Q1177="Có",$R1177="",$S1177="Có",AND($L1177&lt;&gt;"",OR($L1177&lt;&gt;"Chưa xác định",DANH_MUC!$L$9="Có"))),"Có","Không"))</f>
        <v/>
      </c>
      <c r="U1177" s="22">
        <f>IF(OR($D1177="",$T1177="Có"),"",IF($C1177="","Thiếu họ tên; ","")&amp;IF($S1177&lt;&gt;"Có","SĐT sai định dạng; ","")&amp;IF($R1177="Trùng","Trùng SĐT; ","")&amp;IF($Q1177&lt;&gt;"Có","Thiếu đồng ý bắt buộc; ","")&amp;IF($L1177="","Thiếu/sai Mã REF; ",IF(AND($L1177="Chưa xác định",DANH_MUC!$L$9&lt;&gt;"Có"),"Nguồn chưa xác định; ","")))</f>
        <v/>
      </c>
      <c r="V1177" s="22">
        <f>IF(OR($D1177="",$R1177="Trùng"),"",IF(COUNTIF(ORDERS!$C$2:$C$4995,$D1177)&gt;0,"Có","Không"))</f>
        <v/>
      </c>
      <c r="W1177" s="22">
        <f>IF(OR($D1177="",$R1177="Trùng"),"",COUNTIFS(ORDERS!$C$2:$C$4995,$D1177,ORDERS!$L$2:$L$4995,"Đã chuyển khoản"))</f>
        <v/>
      </c>
      <c r="X1177" s="23">
        <f>IF(OR($D1177="",$R1177="Trùng"),"",SUMIFS(ORDERS!$J$2:$J$4995,ORDERS!$C$2:$C$4995,$D1177,ORDERS!$L$2:$L$4995,"Đã chuyển khoản"))</f>
        <v/>
      </c>
      <c r="Y1177" s="24" t="n"/>
    </row>
    <row r="1178" ht="14.25" customHeight="1" s="40">
      <c r="A1178" s="24" t="n"/>
      <c r="B1178" s="27" t="n"/>
      <c r="C1178" s="24" t="n"/>
      <c r="D1178" s="28" t="n"/>
      <c r="E1178" s="29" t="n"/>
      <c r="F1178" s="24" t="n"/>
      <c r="G1178" s="24" t="n"/>
      <c r="H1178" s="21">
        <f>IF(ISNUMBER($B1178),INT($B1178)-WEEKDAY($B1178,2)+1,"")</f>
        <v/>
      </c>
      <c r="I1178" s="24" t="n"/>
      <c r="J1178" s="22">
        <f t="array" ref="J1178">IF($D1178="","",IF($I1178="","(trống REF)",IFERROR(INDEX(MASTER_SOURCE!$B$2:$B$495,MATCH($I1178,MASTER_SOURCE!$A$2:$A$495,0)),"(REF không có trong MASTER_SOURCE)")))</f>
        <v/>
      </c>
      <c r="K1178" s="22">
        <f t="array" ref="K1178">IF($D1178="","",IFERROR(INDEX(MASTER_SOURCE!$C$2:$C$495,MATCH($I1178,MASTER_SOURCE!$A$2:$A$495,0)),""))</f>
        <v/>
      </c>
      <c r="L1178" s="22">
        <f t="array" ref="L1178">IF($D1178="","",IFERROR(INDEX(MASTER_SOURCE!$D$2:$D$495,MATCH($I1178,MASTER_SOURCE!$A$2:$A$495,0)),""))</f>
        <v/>
      </c>
      <c r="M1178" s="24" t="n"/>
      <c r="N1178" s="24" t="n"/>
      <c r="O1178" s="24" t="n"/>
      <c r="P1178" s="24" t="n"/>
      <c r="Q1178" s="22">
        <f>IF($D1178="","",IF(AND(OR(DANH_MUC!$L$5&lt;&gt;"Có",M1178="Có"),OR(DANH_MUC!$L$6&lt;&gt;"Có",N1178="Có"),OR(DANH_MUC!$L$7&lt;&gt;"Có",O1178="Có"),OR(DANH_MUC!$L$8&lt;&gt;"Có",P1178="Có")),"Có","Không"))</f>
        <v/>
      </c>
      <c r="R1178" s="22">
        <f>IF($D1178="","",IF(COUNTIF($D$2:$D1178,$D1178)&gt;1,"Trùng",""))</f>
        <v/>
      </c>
      <c r="S1178" s="22">
        <f>IF($D1178="","",IF(AND(LEN($D1178)=10,LEFT($D1178,1)="0",ISNUMBER(--$D1178)),"Có","Không"))</f>
        <v/>
      </c>
      <c r="T1178" s="22">
        <f>IF($D1178="","",IF(AND($C1178&lt;&gt;"",$Q1178="Có",$R1178="",$S1178="Có",AND($L1178&lt;&gt;"",OR($L1178&lt;&gt;"Chưa xác định",DANH_MUC!$L$9="Có"))),"Có","Không"))</f>
        <v/>
      </c>
      <c r="U1178" s="22">
        <f>IF(OR($D1178="",$T1178="Có"),"",IF($C1178="","Thiếu họ tên; ","")&amp;IF($S1178&lt;&gt;"Có","SĐT sai định dạng; ","")&amp;IF($R1178="Trùng","Trùng SĐT; ","")&amp;IF($Q1178&lt;&gt;"Có","Thiếu đồng ý bắt buộc; ","")&amp;IF($L1178="","Thiếu/sai Mã REF; ",IF(AND($L1178="Chưa xác định",DANH_MUC!$L$9&lt;&gt;"Có"),"Nguồn chưa xác định; ","")))</f>
        <v/>
      </c>
      <c r="V1178" s="22">
        <f>IF(OR($D1178="",$R1178="Trùng"),"",IF(COUNTIF(ORDERS!$C$2:$C$4995,$D1178)&gt;0,"Có","Không"))</f>
        <v/>
      </c>
      <c r="W1178" s="22">
        <f>IF(OR($D1178="",$R1178="Trùng"),"",COUNTIFS(ORDERS!$C$2:$C$4995,$D1178,ORDERS!$L$2:$L$4995,"Đã chuyển khoản"))</f>
        <v/>
      </c>
      <c r="X1178" s="23">
        <f>IF(OR($D1178="",$R1178="Trùng"),"",SUMIFS(ORDERS!$J$2:$J$4995,ORDERS!$C$2:$C$4995,$D1178,ORDERS!$L$2:$L$4995,"Đã chuyển khoản"))</f>
        <v/>
      </c>
      <c r="Y1178" s="24" t="n"/>
    </row>
    <row r="1179" ht="14.25" customHeight="1" s="40">
      <c r="A1179" s="24" t="n"/>
      <c r="B1179" s="27" t="n"/>
      <c r="C1179" s="24" t="n"/>
      <c r="D1179" s="28" t="n"/>
      <c r="E1179" s="29" t="n"/>
      <c r="F1179" s="24" t="n"/>
      <c r="G1179" s="24" t="n"/>
      <c r="H1179" s="21">
        <f>IF(ISNUMBER($B1179),INT($B1179)-WEEKDAY($B1179,2)+1,"")</f>
        <v/>
      </c>
      <c r="I1179" s="24" t="n"/>
      <c r="J1179" s="22">
        <f t="array" ref="J1179">IF($D1179="","",IF($I1179="","(trống REF)",IFERROR(INDEX(MASTER_SOURCE!$B$2:$B$495,MATCH($I1179,MASTER_SOURCE!$A$2:$A$495,0)),"(REF không có trong MASTER_SOURCE)")))</f>
        <v/>
      </c>
      <c r="K1179" s="22">
        <f t="array" ref="K1179">IF($D1179="","",IFERROR(INDEX(MASTER_SOURCE!$C$2:$C$495,MATCH($I1179,MASTER_SOURCE!$A$2:$A$495,0)),""))</f>
        <v/>
      </c>
      <c r="L1179" s="22">
        <f t="array" ref="L1179">IF($D1179="","",IFERROR(INDEX(MASTER_SOURCE!$D$2:$D$495,MATCH($I1179,MASTER_SOURCE!$A$2:$A$495,0)),""))</f>
        <v/>
      </c>
      <c r="M1179" s="24" t="n"/>
      <c r="N1179" s="24" t="n"/>
      <c r="O1179" s="24" t="n"/>
      <c r="P1179" s="24" t="n"/>
      <c r="Q1179" s="22">
        <f>IF($D1179="","",IF(AND(OR(DANH_MUC!$L$5&lt;&gt;"Có",M1179="Có"),OR(DANH_MUC!$L$6&lt;&gt;"Có",N1179="Có"),OR(DANH_MUC!$L$7&lt;&gt;"Có",O1179="Có"),OR(DANH_MUC!$L$8&lt;&gt;"Có",P1179="Có")),"Có","Không"))</f>
        <v/>
      </c>
      <c r="R1179" s="22">
        <f>IF($D1179="","",IF(COUNTIF($D$2:$D1179,$D1179)&gt;1,"Trùng",""))</f>
        <v/>
      </c>
      <c r="S1179" s="22">
        <f>IF($D1179="","",IF(AND(LEN($D1179)=10,LEFT($D1179,1)="0",ISNUMBER(--$D1179)),"Có","Không"))</f>
        <v/>
      </c>
      <c r="T1179" s="22">
        <f>IF($D1179="","",IF(AND($C1179&lt;&gt;"",$Q1179="Có",$R1179="",$S1179="Có",AND($L1179&lt;&gt;"",OR($L1179&lt;&gt;"Chưa xác định",DANH_MUC!$L$9="Có"))),"Có","Không"))</f>
        <v/>
      </c>
      <c r="U1179" s="22">
        <f>IF(OR($D1179="",$T1179="Có"),"",IF($C1179="","Thiếu họ tên; ","")&amp;IF($S1179&lt;&gt;"Có","SĐT sai định dạng; ","")&amp;IF($R1179="Trùng","Trùng SĐT; ","")&amp;IF($Q1179&lt;&gt;"Có","Thiếu đồng ý bắt buộc; ","")&amp;IF($L1179="","Thiếu/sai Mã REF; ",IF(AND($L1179="Chưa xác định",DANH_MUC!$L$9&lt;&gt;"Có"),"Nguồn chưa xác định; ","")))</f>
        <v/>
      </c>
      <c r="V1179" s="22">
        <f>IF(OR($D1179="",$R1179="Trùng"),"",IF(COUNTIF(ORDERS!$C$2:$C$4995,$D1179)&gt;0,"Có","Không"))</f>
        <v/>
      </c>
      <c r="W1179" s="22">
        <f>IF(OR($D1179="",$R1179="Trùng"),"",COUNTIFS(ORDERS!$C$2:$C$4995,$D1179,ORDERS!$L$2:$L$4995,"Đã chuyển khoản"))</f>
        <v/>
      </c>
      <c r="X1179" s="23">
        <f>IF(OR($D1179="",$R1179="Trùng"),"",SUMIFS(ORDERS!$J$2:$J$4995,ORDERS!$C$2:$C$4995,$D1179,ORDERS!$L$2:$L$4995,"Đã chuyển khoản"))</f>
        <v/>
      </c>
      <c r="Y1179" s="24" t="n"/>
    </row>
    <row r="1180" ht="14.25" customHeight="1" s="40">
      <c r="A1180" s="24" t="n"/>
      <c r="B1180" s="27" t="n"/>
      <c r="C1180" s="24" t="n"/>
      <c r="D1180" s="28" t="n"/>
      <c r="E1180" s="29" t="n"/>
      <c r="F1180" s="24" t="n"/>
      <c r="G1180" s="24" t="n"/>
      <c r="H1180" s="21">
        <f>IF(ISNUMBER($B1180),INT($B1180)-WEEKDAY($B1180,2)+1,"")</f>
        <v/>
      </c>
      <c r="I1180" s="24" t="n"/>
      <c r="J1180" s="22">
        <f t="array" ref="J1180">IF($D1180="","",IF($I1180="","(trống REF)",IFERROR(INDEX(MASTER_SOURCE!$B$2:$B$495,MATCH($I1180,MASTER_SOURCE!$A$2:$A$495,0)),"(REF không có trong MASTER_SOURCE)")))</f>
        <v/>
      </c>
      <c r="K1180" s="22">
        <f t="array" ref="K1180">IF($D1180="","",IFERROR(INDEX(MASTER_SOURCE!$C$2:$C$495,MATCH($I1180,MASTER_SOURCE!$A$2:$A$495,0)),""))</f>
        <v/>
      </c>
      <c r="L1180" s="22">
        <f t="array" ref="L1180">IF($D1180="","",IFERROR(INDEX(MASTER_SOURCE!$D$2:$D$495,MATCH($I1180,MASTER_SOURCE!$A$2:$A$495,0)),""))</f>
        <v/>
      </c>
      <c r="M1180" s="24" t="n"/>
      <c r="N1180" s="24" t="n"/>
      <c r="O1180" s="24" t="n"/>
      <c r="P1180" s="24" t="n"/>
      <c r="Q1180" s="22">
        <f>IF($D1180="","",IF(AND(OR(DANH_MUC!$L$5&lt;&gt;"Có",M1180="Có"),OR(DANH_MUC!$L$6&lt;&gt;"Có",N1180="Có"),OR(DANH_MUC!$L$7&lt;&gt;"Có",O1180="Có"),OR(DANH_MUC!$L$8&lt;&gt;"Có",P1180="Có")),"Có","Không"))</f>
        <v/>
      </c>
      <c r="R1180" s="22">
        <f>IF($D1180="","",IF(COUNTIF($D$2:$D1180,$D1180)&gt;1,"Trùng",""))</f>
        <v/>
      </c>
      <c r="S1180" s="22">
        <f>IF($D1180="","",IF(AND(LEN($D1180)=10,LEFT($D1180,1)="0",ISNUMBER(--$D1180)),"Có","Không"))</f>
        <v/>
      </c>
      <c r="T1180" s="22">
        <f>IF($D1180="","",IF(AND($C1180&lt;&gt;"",$Q1180="Có",$R1180="",$S1180="Có",AND($L1180&lt;&gt;"",OR($L1180&lt;&gt;"Chưa xác định",DANH_MUC!$L$9="Có"))),"Có","Không"))</f>
        <v/>
      </c>
      <c r="U1180" s="22">
        <f>IF(OR($D1180="",$T1180="Có"),"",IF($C1180="","Thiếu họ tên; ","")&amp;IF($S1180&lt;&gt;"Có","SĐT sai định dạng; ","")&amp;IF($R1180="Trùng","Trùng SĐT; ","")&amp;IF($Q1180&lt;&gt;"Có","Thiếu đồng ý bắt buộc; ","")&amp;IF($L1180="","Thiếu/sai Mã REF; ",IF(AND($L1180="Chưa xác định",DANH_MUC!$L$9&lt;&gt;"Có"),"Nguồn chưa xác định; ","")))</f>
        <v/>
      </c>
      <c r="V1180" s="22">
        <f>IF(OR($D1180="",$R1180="Trùng"),"",IF(COUNTIF(ORDERS!$C$2:$C$4995,$D1180)&gt;0,"Có","Không"))</f>
        <v/>
      </c>
      <c r="W1180" s="22">
        <f>IF(OR($D1180="",$R1180="Trùng"),"",COUNTIFS(ORDERS!$C$2:$C$4995,$D1180,ORDERS!$L$2:$L$4995,"Đã chuyển khoản"))</f>
        <v/>
      </c>
      <c r="X1180" s="23">
        <f>IF(OR($D1180="",$R1180="Trùng"),"",SUMIFS(ORDERS!$J$2:$J$4995,ORDERS!$C$2:$C$4995,$D1180,ORDERS!$L$2:$L$4995,"Đã chuyển khoản"))</f>
        <v/>
      </c>
      <c r="Y1180" s="24" t="n"/>
    </row>
    <row r="1181" ht="14.25" customHeight="1" s="40">
      <c r="A1181" s="24" t="n"/>
      <c r="B1181" s="27" t="n"/>
      <c r="C1181" s="24" t="n"/>
      <c r="D1181" s="28" t="n"/>
      <c r="E1181" s="29" t="n"/>
      <c r="F1181" s="24" t="n"/>
      <c r="G1181" s="24" t="n"/>
      <c r="H1181" s="21">
        <f>IF(ISNUMBER($B1181),INT($B1181)-WEEKDAY($B1181,2)+1,"")</f>
        <v/>
      </c>
      <c r="I1181" s="24" t="n"/>
      <c r="J1181" s="22">
        <f t="array" ref="J1181">IF($D1181="","",IF($I1181="","(trống REF)",IFERROR(INDEX(MASTER_SOURCE!$B$2:$B$495,MATCH($I1181,MASTER_SOURCE!$A$2:$A$495,0)),"(REF không có trong MASTER_SOURCE)")))</f>
        <v/>
      </c>
      <c r="K1181" s="22">
        <f t="array" ref="K1181">IF($D1181="","",IFERROR(INDEX(MASTER_SOURCE!$C$2:$C$495,MATCH($I1181,MASTER_SOURCE!$A$2:$A$495,0)),""))</f>
        <v/>
      </c>
      <c r="L1181" s="22">
        <f t="array" ref="L1181">IF($D1181="","",IFERROR(INDEX(MASTER_SOURCE!$D$2:$D$495,MATCH($I1181,MASTER_SOURCE!$A$2:$A$495,0)),""))</f>
        <v/>
      </c>
      <c r="M1181" s="24" t="n"/>
      <c r="N1181" s="24" t="n"/>
      <c r="O1181" s="24" t="n"/>
      <c r="P1181" s="24" t="n"/>
      <c r="Q1181" s="22">
        <f>IF($D1181="","",IF(AND(OR(DANH_MUC!$L$5&lt;&gt;"Có",M1181="Có"),OR(DANH_MUC!$L$6&lt;&gt;"Có",N1181="Có"),OR(DANH_MUC!$L$7&lt;&gt;"Có",O1181="Có"),OR(DANH_MUC!$L$8&lt;&gt;"Có",P1181="Có")),"Có","Không"))</f>
        <v/>
      </c>
      <c r="R1181" s="22">
        <f>IF($D1181="","",IF(COUNTIF($D$2:$D1181,$D1181)&gt;1,"Trùng",""))</f>
        <v/>
      </c>
      <c r="S1181" s="22">
        <f>IF($D1181="","",IF(AND(LEN($D1181)=10,LEFT($D1181,1)="0",ISNUMBER(--$D1181)),"Có","Không"))</f>
        <v/>
      </c>
      <c r="T1181" s="22">
        <f>IF($D1181="","",IF(AND($C1181&lt;&gt;"",$Q1181="Có",$R1181="",$S1181="Có",AND($L1181&lt;&gt;"",OR($L1181&lt;&gt;"Chưa xác định",DANH_MUC!$L$9="Có"))),"Có","Không"))</f>
        <v/>
      </c>
      <c r="U1181" s="22">
        <f>IF(OR($D1181="",$T1181="Có"),"",IF($C1181="","Thiếu họ tên; ","")&amp;IF($S1181&lt;&gt;"Có","SĐT sai định dạng; ","")&amp;IF($R1181="Trùng","Trùng SĐT; ","")&amp;IF($Q1181&lt;&gt;"Có","Thiếu đồng ý bắt buộc; ","")&amp;IF($L1181="","Thiếu/sai Mã REF; ",IF(AND($L1181="Chưa xác định",DANH_MUC!$L$9&lt;&gt;"Có"),"Nguồn chưa xác định; ","")))</f>
        <v/>
      </c>
      <c r="V1181" s="22">
        <f>IF(OR($D1181="",$R1181="Trùng"),"",IF(COUNTIF(ORDERS!$C$2:$C$4995,$D1181)&gt;0,"Có","Không"))</f>
        <v/>
      </c>
      <c r="W1181" s="22">
        <f>IF(OR($D1181="",$R1181="Trùng"),"",COUNTIFS(ORDERS!$C$2:$C$4995,$D1181,ORDERS!$L$2:$L$4995,"Đã chuyển khoản"))</f>
        <v/>
      </c>
      <c r="X1181" s="23">
        <f>IF(OR($D1181="",$R1181="Trùng"),"",SUMIFS(ORDERS!$J$2:$J$4995,ORDERS!$C$2:$C$4995,$D1181,ORDERS!$L$2:$L$4995,"Đã chuyển khoản"))</f>
        <v/>
      </c>
      <c r="Y1181" s="24" t="n"/>
    </row>
    <row r="1182" ht="14.25" customHeight="1" s="40">
      <c r="A1182" s="24" t="n"/>
      <c r="B1182" s="27" t="n"/>
      <c r="C1182" s="24" t="n"/>
      <c r="D1182" s="28" t="n"/>
      <c r="E1182" s="29" t="n"/>
      <c r="F1182" s="24" t="n"/>
      <c r="G1182" s="24" t="n"/>
      <c r="H1182" s="21">
        <f>IF(ISNUMBER($B1182),INT($B1182)-WEEKDAY($B1182,2)+1,"")</f>
        <v/>
      </c>
      <c r="I1182" s="24" t="n"/>
      <c r="J1182" s="22">
        <f t="array" ref="J1182">IF($D1182="","",IF($I1182="","(trống REF)",IFERROR(INDEX(MASTER_SOURCE!$B$2:$B$495,MATCH($I1182,MASTER_SOURCE!$A$2:$A$495,0)),"(REF không có trong MASTER_SOURCE)")))</f>
        <v/>
      </c>
      <c r="K1182" s="22">
        <f t="array" ref="K1182">IF($D1182="","",IFERROR(INDEX(MASTER_SOURCE!$C$2:$C$495,MATCH($I1182,MASTER_SOURCE!$A$2:$A$495,0)),""))</f>
        <v/>
      </c>
      <c r="L1182" s="22">
        <f t="array" ref="L1182">IF($D1182="","",IFERROR(INDEX(MASTER_SOURCE!$D$2:$D$495,MATCH($I1182,MASTER_SOURCE!$A$2:$A$495,0)),""))</f>
        <v/>
      </c>
      <c r="M1182" s="24" t="n"/>
      <c r="N1182" s="24" t="n"/>
      <c r="O1182" s="24" t="n"/>
      <c r="P1182" s="24" t="n"/>
      <c r="Q1182" s="22">
        <f>IF($D1182="","",IF(AND(OR(DANH_MUC!$L$5&lt;&gt;"Có",M1182="Có"),OR(DANH_MUC!$L$6&lt;&gt;"Có",N1182="Có"),OR(DANH_MUC!$L$7&lt;&gt;"Có",O1182="Có"),OR(DANH_MUC!$L$8&lt;&gt;"Có",P1182="Có")),"Có","Không"))</f>
        <v/>
      </c>
      <c r="R1182" s="22">
        <f>IF($D1182="","",IF(COUNTIF($D$2:$D1182,$D1182)&gt;1,"Trùng",""))</f>
        <v/>
      </c>
      <c r="S1182" s="22">
        <f>IF($D1182="","",IF(AND(LEN($D1182)=10,LEFT($D1182,1)="0",ISNUMBER(--$D1182)),"Có","Không"))</f>
        <v/>
      </c>
      <c r="T1182" s="22">
        <f>IF($D1182="","",IF(AND($C1182&lt;&gt;"",$Q1182="Có",$R1182="",$S1182="Có",AND($L1182&lt;&gt;"",OR($L1182&lt;&gt;"Chưa xác định",DANH_MUC!$L$9="Có"))),"Có","Không"))</f>
        <v/>
      </c>
      <c r="U1182" s="22">
        <f>IF(OR($D1182="",$T1182="Có"),"",IF($C1182="","Thiếu họ tên; ","")&amp;IF($S1182&lt;&gt;"Có","SĐT sai định dạng; ","")&amp;IF($R1182="Trùng","Trùng SĐT; ","")&amp;IF($Q1182&lt;&gt;"Có","Thiếu đồng ý bắt buộc; ","")&amp;IF($L1182="","Thiếu/sai Mã REF; ",IF(AND($L1182="Chưa xác định",DANH_MUC!$L$9&lt;&gt;"Có"),"Nguồn chưa xác định; ","")))</f>
        <v/>
      </c>
      <c r="V1182" s="22">
        <f>IF(OR($D1182="",$R1182="Trùng"),"",IF(COUNTIF(ORDERS!$C$2:$C$4995,$D1182)&gt;0,"Có","Không"))</f>
        <v/>
      </c>
      <c r="W1182" s="22">
        <f>IF(OR($D1182="",$R1182="Trùng"),"",COUNTIFS(ORDERS!$C$2:$C$4995,$D1182,ORDERS!$L$2:$L$4995,"Đã chuyển khoản"))</f>
        <v/>
      </c>
      <c r="X1182" s="23">
        <f>IF(OR($D1182="",$R1182="Trùng"),"",SUMIFS(ORDERS!$J$2:$J$4995,ORDERS!$C$2:$C$4995,$D1182,ORDERS!$L$2:$L$4995,"Đã chuyển khoản"))</f>
        <v/>
      </c>
      <c r="Y1182" s="24" t="n"/>
    </row>
    <row r="1183" ht="14.25" customHeight="1" s="40">
      <c r="A1183" s="24" t="n"/>
      <c r="B1183" s="27" t="n"/>
      <c r="C1183" s="24" t="n"/>
      <c r="D1183" s="28" t="n"/>
      <c r="E1183" s="29" t="n"/>
      <c r="F1183" s="24" t="n"/>
      <c r="G1183" s="24" t="n"/>
      <c r="H1183" s="21">
        <f>IF(ISNUMBER($B1183),INT($B1183)-WEEKDAY($B1183,2)+1,"")</f>
        <v/>
      </c>
      <c r="I1183" s="24" t="n"/>
      <c r="J1183" s="22">
        <f t="array" ref="J1183">IF($D1183="","",IF($I1183="","(trống REF)",IFERROR(INDEX(MASTER_SOURCE!$B$2:$B$495,MATCH($I1183,MASTER_SOURCE!$A$2:$A$495,0)),"(REF không có trong MASTER_SOURCE)")))</f>
        <v/>
      </c>
      <c r="K1183" s="22">
        <f t="array" ref="K1183">IF($D1183="","",IFERROR(INDEX(MASTER_SOURCE!$C$2:$C$495,MATCH($I1183,MASTER_SOURCE!$A$2:$A$495,0)),""))</f>
        <v/>
      </c>
      <c r="L1183" s="22">
        <f t="array" ref="L1183">IF($D1183="","",IFERROR(INDEX(MASTER_SOURCE!$D$2:$D$495,MATCH($I1183,MASTER_SOURCE!$A$2:$A$495,0)),""))</f>
        <v/>
      </c>
      <c r="M1183" s="24" t="n"/>
      <c r="N1183" s="24" t="n"/>
      <c r="O1183" s="24" t="n"/>
      <c r="P1183" s="24" t="n"/>
      <c r="Q1183" s="22">
        <f>IF($D1183="","",IF(AND(OR(DANH_MUC!$L$5&lt;&gt;"Có",M1183="Có"),OR(DANH_MUC!$L$6&lt;&gt;"Có",N1183="Có"),OR(DANH_MUC!$L$7&lt;&gt;"Có",O1183="Có"),OR(DANH_MUC!$L$8&lt;&gt;"Có",P1183="Có")),"Có","Không"))</f>
        <v/>
      </c>
      <c r="R1183" s="22">
        <f>IF($D1183="","",IF(COUNTIF($D$2:$D1183,$D1183)&gt;1,"Trùng",""))</f>
        <v/>
      </c>
      <c r="S1183" s="22">
        <f>IF($D1183="","",IF(AND(LEN($D1183)=10,LEFT($D1183,1)="0",ISNUMBER(--$D1183)),"Có","Không"))</f>
        <v/>
      </c>
      <c r="T1183" s="22">
        <f>IF($D1183="","",IF(AND($C1183&lt;&gt;"",$Q1183="Có",$R1183="",$S1183="Có",AND($L1183&lt;&gt;"",OR($L1183&lt;&gt;"Chưa xác định",DANH_MUC!$L$9="Có"))),"Có","Không"))</f>
        <v/>
      </c>
      <c r="U1183" s="22">
        <f>IF(OR($D1183="",$T1183="Có"),"",IF($C1183="","Thiếu họ tên; ","")&amp;IF($S1183&lt;&gt;"Có","SĐT sai định dạng; ","")&amp;IF($R1183="Trùng","Trùng SĐT; ","")&amp;IF($Q1183&lt;&gt;"Có","Thiếu đồng ý bắt buộc; ","")&amp;IF($L1183="","Thiếu/sai Mã REF; ",IF(AND($L1183="Chưa xác định",DANH_MUC!$L$9&lt;&gt;"Có"),"Nguồn chưa xác định; ","")))</f>
        <v/>
      </c>
      <c r="V1183" s="22">
        <f>IF(OR($D1183="",$R1183="Trùng"),"",IF(COUNTIF(ORDERS!$C$2:$C$4995,$D1183)&gt;0,"Có","Không"))</f>
        <v/>
      </c>
      <c r="W1183" s="22">
        <f>IF(OR($D1183="",$R1183="Trùng"),"",COUNTIFS(ORDERS!$C$2:$C$4995,$D1183,ORDERS!$L$2:$L$4995,"Đã chuyển khoản"))</f>
        <v/>
      </c>
      <c r="X1183" s="23">
        <f>IF(OR($D1183="",$R1183="Trùng"),"",SUMIFS(ORDERS!$J$2:$J$4995,ORDERS!$C$2:$C$4995,$D1183,ORDERS!$L$2:$L$4995,"Đã chuyển khoản"))</f>
        <v/>
      </c>
      <c r="Y1183" s="24" t="n"/>
    </row>
    <row r="1184" ht="14.25" customHeight="1" s="40">
      <c r="A1184" s="24" t="n"/>
      <c r="B1184" s="27" t="n"/>
      <c r="C1184" s="24" t="n"/>
      <c r="D1184" s="28" t="n"/>
      <c r="E1184" s="29" t="n"/>
      <c r="F1184" s="24" t="n"/>
      <c r="G1184" s="24" t="n"/>
      <c r="H1184" s="21">
        <f>IF(ISNUMBER($B1184),INT($B1184)-WEEKDAY($B1184,2)+1,"")</f>
        <v/>
      </c>
      <c r="I1184" s="24" t="n"/>
      <c r="J1184" s="22">
        <f t="array" ref="J1184">IF($D1184="","",IF($I1184="","(trống REF)",IFERROR(INDEX(MASTER_SOURCE!$B$2:$B$495,MATCH($I1184,MASTER_SOURCE!$A$2:$A$495,0)),"(REF không có trong MASTER_SOURCE)")))</f>
        <v/>
      </c>
      <c r="K1184" s="22">
        <f t="array" ref="K1184">IF($D1184="","",IFERROR(INDEX(MASTER_SOURCE!$C$2:$C$495,MATCH($I1184,MASTER_SOURCE!$A$2:$A$495,0)),""))</f>
        <v/>
      </c>
      <c r="L1184" s="22">
        <f t="array" ref="L1184">IF($D1184="","",IFERROR(INDEX(MASTER_SOURCE!$D$2:$D$495,MATCH($I1184,MASTER_SOURCE!$A$2:$A$495,0)),""))</f>
        <v/>
      </c>
      <c r="M1184" s="24" t="n"/>
      <c r="N1184" s="24" t="n"/>
      <c r="O1184" s="24" t="n"/>
      <c r="P1184" s="24" t="n"/>
      <c r="Q1184" s="22">
        <f>IF($D1184="","",IF(AND(OR(DANH_MUC!$L$5&lt;&gt;"Có",M1184="Có"),OR(DANH_MUC!$L$6&lt;&gt;"Có",N1184="Có"),OR(DANH_MUC!$L$7&lt;&gt;"Có",O1184="Có"),OR(DANH_MUC!$L$8&lt;&gt;"Có",P1184="Có")),"Có","Không"))</f>
        <v/>
      </c>
      <c r="R1184" s="22">
        <f>IF($D1184="","",IF(COUNTIF($D$2:$D1184,$D1184)&gt;1,"Trùng",""))</f>
        <v/>
      </c>
      <c r="S1184" s="22">
        <f>IF($D1184="","",IF(AND(LEN($D1184)=10,LEFT($D1184,1)="0",ISNUMBER(--$D1184)),"Có","Không"))</f>
        <v/>
      </c>
      <c r="T1184" s="22">
        <f>IF($D1184="","",IF(AND($C1184&lt;&gt;"",$Q1184="Có",$R1184="",$S1184="Có",AND($L1184&lt;&gt;"",OR($L1184&lt;&gt;"Chưa xác định",DANH_MUC!$L$9="Có"))),"Có","Không"))</f>
        <v/>
      </c>
      <c r="U1184" s="22">
        <f>IF(OR($D1184="",$T1184="Có"),"",IF($C1184="","Thiếu họ tên; ","")&amp;IF($S1184&lt;&gt;"Có","SĐT sai định dạng; ","")&amp;IF($R1184="Trùng","Trùng SĐT; ","")&amp;IF($Q1184&lt;&gt;"Có","Thiếu đồng ý bắt buộc; ","")&amp;IF($L1184="","Thiếu/sai Mã REF; ",IF(AND($L1184="Chưa xác định",DANH_MUC!$L$9&lt;&gt;"Có"),"Nguồn chưa xác định; ","")))</f>
        <v/>
      </c>
      <c r="V1184" s="22">
        <f>IF(OR($D1184="",$R1184="Trùng"),"",IF(COUNTIF(ORDERS!$C$2:$C$4995,$D1184)&gt;0,"Có","Không"))</f>
        <v/>
      </c>
      <c r="W1184" s="22">
        <f>IF(OR($D1184="",$R1184="Trùng"),"",COUNTIFS(ORDERS!$C$2:$C$4995,$D1184,ORDERS!$L$2:$L$4995,"Đã chuyển khoản"))</f>
        <v/>
      </c>
      <c r="X1184" s="23">
        <f>IF(OR($D1184="",$R1184="Trùng"),"",SUMIFS(ORDERS!$J$2:$J$4995,ORDERS!$C$2:$C$4995,$D1184,ORDERS!$L$2:$L$4995,"Đã chuyển khoản"))</f>
        <v/>
      </c>
      <c r="Y1184" s="24" t="n"/>
    </row>
    <row r="1185" ht="14.25" customHeight="1" s="40">
      <c r="A1185" s="24" t="n"/>
      <c r="B1185" s="27" t="n"/>
      <c r="C1185" s="24" t="n"/>
      <c r="D1185" s="28" t="n"/>
      <c r="E1185" s="29" t="n"/>
      <c r="F1185" s="24" t="n"/>
      <c r="G1185" s="24" t="n"/>
      <c r="H1185" s="21">
        <f>IF(ISNUMBER($B1185),INT($B1185)-WEEKDAY($B1185,2)+1,"")</f>
        <v/>
      </c>
      <c r="I1185" s="24" t="n"/>
      <c r="J1185" s="22">
        <f t="array" ref="J1185">IF($D1185="","",IF($I1185="","(trống REF)",IFERROR(INDEX(MASTER_SOURCE!$B$2:$B$495,MATCH($I1185,MASTER_SOURCE!$A$2:$A$495,0)),"(REF không có trong MASTER_SOURCE)")))</f>
        <v/>
      </c>
      <c r="K1185" s="22">
        <f t="array" ref="K1185">IF($D1185="","",IFERROR(INDEX(MASTER_SOURCE!$C$2:$C$495,MATCH($I1185,MASTER_SOURCE!$A$2:$A$495,0)),""))</f>
        <v/>
      </c>
      <c r="L1185" s="22">
        <f t="array" ref="L1185">IF($D1185="","",IFERROR(INDEX(MASTER_SOURCE!$D$2:$D$495,MATCH($I1185,MASTER_SOURCE!$A$2:$A$495,0)),""))</f>
        <v/>
      </c>
      <c r="M1185" s="24" t="n"/>
      <c r="N1185" s="24" t="n"/>
      <c r="O1185" s="24" t="n"/>
      <c r="P1185" s="24" t="n"/>
      <c r="Q1185" s="22">
        <f>IF($D1185="","",IF(AND(OR(DANH_MUC!$L$5&lt;&gt;"Có",M1185="Có"),OR(DANH_MUC!$L$6&lt;&gt;"Có",N1185="Có"),OR(DANH_MUC!$L$7&lt;&gt;"Có",O1185="Có"),OR(DANH_MUC!$L$8&lt;&gt;"Có",P1185="Có")),"Có","Không"))</f>
        <v/>
      </c>
      <c r="R1185" s="22">
        <f>IF($D1185="","",IF(COUNTIF($D$2:$D1185,$D1185)&gt;1,"Trùng",""))</f>
        <v/>
      </c>
      <c r="S1185" s="22">
        <f>IF($D1185="","",IF(AND(LEN($D1185)=10,LEFT($D1185,1)="0",ISNUMBER(--$D1185)),"Có","Không"))</f>
        <v/>
      </c>
      <c r="T1185" s="22">
        <f>IF($D1185="","",IF(AND($C1185&lt;&gt;"",$Q1185="Có",$R1185="",$S1185="Có",AND($L1185&lt;&gt;"",OR($L1185&lt;&gt;"Chưa xác định",DANH_MUC!$L$9="Có"))),"Có","Không"))</f>
        <v/>
      </c>
      <c r="U1185" s="22">
        <f>IF(OR($D1185="",$T1185="Có"),"",IF($C1185="","Thiếu họ tên; ","")&amp;IF($S1185&lt;&gt;"Có","SĐT sai định dạng; ","")&amp;IF($R1185="Trùng","Trùng SĐT; ","")&amp;IF($Q1185&lt;&gt;"Có","Thiếu đồng ý bắt buộc; ","")&amp;IF($L1185="","Thiếu/sai Mã REF; ",IF(AND($L1185="Chưa xác định",DANH_MUC!$L$9&lt;&gt;"Có"),"Nguồn chưa xác định; ","")))</f>
        <v/>
      </c>
      <c r="V1185" s="22">
        <f>IF(OR($D1185="",$R1185="Trùng"),"",IF(COUNTIF(ORDERS!$C$2:$C$4995,$D1185)&gt;0,"Có","Không"))</f>
        <v/>
      </c>
      <c r="W1185" s="22">
        <f>IF(OR($D1185="",$R1185="Trùng"),"",COUNTIFS(ORDERS!$C$2:$C$4995,$D1185,ORDERS!$L$2:$L$4995,"Đã chuyển khoản"))</f>
        <v/>
      </c>
      <c r="X1185" s="23">
        <f>IF(OR($D1185="",$R1185="Trùng"),"",SUMIFS(ORDERS!$J$2:$J$4995,ORDERS!$C$2:$C$4995,$D1185,ORDERS!$L$2:$L$4995,"Đã chuyển khoản"))</f>
        <v/>
      </c>
      <c r="Y1185" s="24" t="n"/>
    </row>
    <row r="1186" ht="14.25" customHeight="1" s="40">
      <c r="A1186" s="24" t="n"/>
      <c r="B1186" s="27" t="n"/>
      <c r="C1186" s="24" t="n"/>
      <c r="D1186" s="28" t="n"/>
      <c r="E1186" s="29" t="n"/>
      <c r="F1186" s="24" t="n"/>
      <c r="G1186" s="24" t="n"/>
      <c r="H1186" s="21">
        <f>IF(ISNUMBER($B1186),INT($B1186)-WEEKDAY($B1186,2)+1,"")</f>
        <v/>
      </c>
      <c r="I1186" s="24" t="n"/>
      <c r="J1186" s="22">
        <f t="array" ref="J1186">IF($D1186="","",IF($I1186="","(trống REF)",IFERROR(INDEX(MASTER_SOURCE!$B$2:$B$495,MATCH($I1186,MASTER_SOURCE!$A$2:$A$495,0)),"(REF không có trong MASTER_SOURCE)")))</f>
        <v/>
      </c>
      <c r="K1186" s="22">
        <f t="array" ref="K1186">IF($D1186="","",IFERROR(INDEX(MASTER_SOURCE!$C$2:$C$495,MATCH($I1186,MASTER_SOURCE!$A$2:$A$495,0)),""))</f>
        <v/>
      </c>
      <c r="L1186" s="22">
        <f t="array" ref="L1186">IF($D1186="","",IFERROR(INDEX(MASTER_SOURCE!$D$2:$D$495,MATCH($I1186,MASTER_SOURCE!$A$2:$A$495,0)),""))</f>
        <v/>
      </c>
      <c r="M1186" s="24" t="n"/>
      <c r="N1186" s="24" t="n"/>
      <c r="O1186" s="24" t="n"/>
      <c r="P1186" s="24" t="n"/>
      <c r="Q1186" s="22">
        <f>IF($D1186="","",IF(AND(OR(DANH_MUC!$L$5&lt;&gt;"Có",M1186="Có"),OR(DANH_MUC!$L$6&lt;&gt;"Có",N1186="Có"),OR(DANH_MUC!$L$7&lt;&gt;"Có",O1186="Có"),OR(DANH_MUC!$L$8&lt;&gt;"Có",P1186="Có")),"Có","Không"))</f>
        <v/>
      </c>
      <c r="R1186" s="22">
        <f>IF($D1186="","",IF(COUNTIF($D$2:$D1186,$D1186)&gt;1,"Trùng",""))</f>
        <v/>
      </c>
      <c r="S1186" s="22">
        <f>IF($D1186="","",IF(AND(LEN($D1186)=10,LEFT($D1186,1)="0",ISNUMBER(--$D1186)),"Có","Không"))</f>
        <v/>
      </c>
      <c r="T1186" s="22">
        <f>IF($D1186="","",IF(AND($C1186&lt;&gt;"",$Q1186="Có",$R1186="",$S1186="Có",AND($L1186&lt;&gt;"",OR($L1186&lt;&gt;"Chưa xác định",DANH_MUC!$L$9="Có"))),"Có","Không"))</f>
        <v/>
      </c>
      <c r="U1186" s="22">
        <f>IF(OR($D1186="",$T1186="Có"),"",IF($C1186="","Thiếu họ tên; ","")&amp;IF($S1186&lt;&gt;"Có","SĐT sai định dạng; ","")&amp;IF($R1186="Trùng","Trùng SĐT; ","")&amp;IF($Q1186&lt;&gt;"Có","Thiếu đồng ý bắt buộc; ","")&amp;IF($L1186="","Thiếu/sai Mã REF; ",IF(AND($L1186="Chưa xác định",DANH_MUC!$L$9&lt;&gt;"Có"),"Nguồn chưa xác định; ","")))</f>
        <v/>
      </c>
      <c r="V1186" s="22">
        <f>IF(OR($D1186="",$R1186="Trùng"),"",IF(COUNTIF(ORDERS!$C$2:$C$4995,$D1186)&gt;0,"Có","Không"))</f>
        <v/>
      </c>
      <c r="W1186" s="22">
        <f>IF(OR($D1186="",$R1186="Trùng"),"",COUNTIFS(ORDERS!$C$2:$C$4995,$D1186,ORDERS!$L$2:$L$4995,"Đã chuyển khoản"))</f>
        <v/>
      </c>
      <c r="X1186" s="23">
        <f>IF(OR($D1186="",$R1186="Trùng"),"",SUMIFS(ORDERS!$J$2:$J$4995,ORDERS!$C$2:$C$4995,$D1186,ORDERS!$L$2:$L$4995,"Đã chuyển khoản"))</f>
        <v/>
      </c>
      <c r="Y1186" s="24" t="n"/>
    </row>
    <row r="1187" ht="14.25" customHeight="1" s="40">
      <c r="A1187" s="24" t="n"/>
      <c r="B1187" s="27" t="n"/>
      <c r="C1187" s="24" t="n"/>
      <c r="D1187" s="28" t="n"/>
      <c r="E1187" s="29" t="n"/>
      <c r="F1187" s="24" t="n"/>
      <c r="G1187" s="24" t="n"/>
      <c r="H1187" s="21">
        <f>IF(ISNUMBER($B1187),INT($B1187)-WEEKDAY($B1187,2)+1,"")</f>
        <v/>
      </c>
      <c r="I1187" s="24" t="n"/>
      <c r="J1187" s="22">
        <f t="array" ref="J1187">IF($D1187="","",IF($I1187="","(trống REF)",IFERROR(INDEX(MASTER_SOURCE!$B$2:$B$495,MATCH($I1187,MASTER_SOURCE!$A$2:$A$495,0)),"(REF không có trong MASTER_SOURCE)")))</f>
        <v/>
      </c>
      <c r="K1187" s="22">
        <f t="array" ref="K1187">IF($D1187="","",IFERROR(INDEX(MASTER_SOURCE!$C$2:$C$495,MATCH($I1187,MASTER_SOURCE!$A$2:$A$495,0)),""))</f>
        <v/>
      </c>
      <c r="L1187" s="22">
        <f t="array" ref="L1187">IF($D1187="","",IFERROR(INDEX(MASTER_SOURCE!$D$2:$D$495,MATCH($I1187,MASTER_SOURCE!$A$2:$A$495,0)),""))</f>
        <v/>
      </c>
      <c r="M1187" s="24" t="n"/>
      <c r="N1187" s="24" t="n"/>
      <c r="O1187" s="24" t="n"/>
      <c r="P1187" s="24" t="n"/>
      <c r="Q1187" s="22">
        <f>IF($D1187="","",IF(AND(OR(DANH_MUC!$L$5&lt;&gt;"Có",M1187="Có"),OR(DANH_MUC!$L$6&lt;&gt;"Có",N1187="Có"),OR(DANH_MUC!$L$7&lt;&gt;"Có",O1187="Có"),OR(DANH_MUC!$L$8&lt;&gt;"Có",P1187="Có")),"Có","Không"))</f>
        <v/>
      </c>
      <c r="R1187" s="22">
        <f>IF($D1187="","",IF(COUNTIF($D$2:$D1187,$D1187)&gt;1,"Trùng",""))</f>
        <v/>
      </c>
      <c r="S1187" s="22">
        <f>IF($D1187="","",IF(AND(LEN($D1187)=10,LEFT($D1187,1)="0",ISNUMBER(--$D1187)),"Có","Không"))</f>
        <v/>
      </c>
      <c r="T1187" s="22">
        <f>IF($D1187="","",IF(AND($C1187&lt;&gt;"",$Q1187="Có",$R1187="",$S1187="Có",AND($L1187&lt;&gt;"",OR($L1187&lt;&gt;"Chưa xác định",DANH_MUC!$L$9="Có"))),"Có","Không"))</f>
        <v/>
      </c>
      <c r="U1187" s="22">
        <f>IF(OR($D1187="",$T1187="Có"),"",IF($C1187="","Thiếu họ tên; ","")&amp;IF($S1187&lt;&gt;"Có","SĐT sai định dạng; ","")&amp;IF($R1187="Trùng","Trùng SĐT; ","")&amp;IF($Q1187&lt;&gt;"Có","Thiếu đồng ý bắt buộc; ","")&amp;IF($L1187="","Thiếu/sai Mã REF; ",IF(AND($L1187="Chưa xác định",DANH_MUC!$L$9&lt;&gt;"Có"),"Nguồn chưa xác định; ","")))</f>
        <v/>
      </c>
      <c r="V1187" s="22">
        <f>IF(OR($D1187="",$R1187="Trùng"),"",IF(COUNTIF(ORDERS!$C$2:$C$4995,$D1187)&gt;0,"Có","Không"))</f>
        <v/>
      </c>
      <c r="W1187" s="22">
        <f>IF(OR($D1187="",$R1187="Trùng"),"",COUNTIFS(ORDERS!$C$2:$C$4995,$D1187,ORDERS!$L$2:$L$4995,"Đã chuyển khoản"))</f>
        <v/>
      </c>
      <c r="X1187" s="23">
        <f>IF(OR($D1187="",$R1187="Trùng"),"",SUMIFS(ORDERS!$J$2:$J$4995,ORDERS!$C$2:$C$4995,$D1187,ORDERS!$L$2:$L$4995,"Đã chuyển khoản"))</f>
        <v/>
      </c>
      <c r="Y1187" s="24" t="n"/>
    </row>
    <row r="1188" ht="14.25" customHeight="1" s="40">
      <c r="A1188" s="24" t="n"/>
      <c r="B1188" s="27" t="n"/>
      <c r="C1188" s="24" t="n"/>
      <c r="D1188" s="28" t="n"/>
      <c r="E1188" s="29" t="n"/>
      <c r="F1188" s="24" t="n"/>
      <c r="G1188" s="24" t="n"/>
      <c r="H1188" s="21">
        <f>IF(ISNUMBER($B1188),INT($B1188)-WEEKDAY($B1188,2)+1,"")</f>
        <v/>
      </c>
      <c r="I1188" s="24" t="n"/>
      <c r="J1188" s="22">
        <f t="array" ref="J1188">IF($D1188="","",IF($I1188="","(trống REF)",IFERROR(INDEX(MASTER_SOURCE!$B$2:$B$495,MATCH($I1188,MASTER_SOURCE!$A$2:$A$495,0)),"(REF không có trong MASTER_SOURCE)")))</f>
        <v/>
      </c>
      <c r="K1188" s="22">
        <f t="array" ref="K1188">IF($D1188="","",IFERROR(INDEX(MASTER_SOURCE!$C$2:$C$495,MATCH($I1188,MASTER_SOURCE!$A$2:$A$495,0)),""))</f>
        <v/>
      </c>
      <c r="L1188" s="22">
        <f t="array" ref="L1188">IF($D1188="","",IFERROR(INDEX(MASTER_SOURCE!$D$2:$D$495,MATCH($I1188,MASTER_SOURCE!$A$2:$A$495,0)),""))</f>
        <v/>
      </c>
      <c r="M1188" s="24" t="n"/>
      <c r="N1188" s="24" t="n"/>
      <c r="O1188" s="24" t="n"/>
      <c r="P1188" s="24" t="n"/>
      <c r="Q1188" s="22">
        <f>IF($D1188="","",IF(AND(OR(DANH_MUC!$L$5&lt;&gt;"Có",M1188="Có"),OR(DANH_MUC!$L$6&lt;&gt;"Có",N1188="Có"),OR(DANH_MUC!$L$7&lt;&gt;"Có",O1188="Có"),OR(DANH_MUC!$L$8&lt;&gt;"Có",P1188="Có")),"Có","Không"))</f>
        <v/>
      </c>
      <c r="R1188" s="22">
        <f>IF($D1188="","",IF(COUNTIF($D$2:$D1188,$D1188)&gt;1,"Trùng",""))</f>
        <v/>
      </c>
      <c r="S1188" s="22">
        <f>IF($D1188="","",IF(AND(LEN($D1188)=10,LEFT($D1188,1)="0",ISNUMBER(--$D1188)),"Có","Không"))</f>
        <v/>
      </c>
      <c r="T1188" s="22">
        <f>IF($D1188="","",IF(AND($C1188&lt;&gt;"",$Q1188="Có",$R1188="",$S1188="Có",AND($L1188&lt;&gt;"",OR($L1188&lt;&gt;"Chưa xác định",DANH_MUC!$L$9="Có"))),"Có","Không"))</f>
        <v/>
      </c>
      <c r="U1188" s="22">
        <f>IF(OR($D1188="",$T1188="Có"),"",IF($C1188="","Thiếu họ tên; ","")&amp;IF($S1188&lt;&gt;"Có","SĐT sai định dạng; ","")&amp;IF($R1188="Trùng","Trùng SĐT; ","")&amp;IF($Q1188&lt;&gt;"Có","Thiếu đồng ý bắt buộc; ","")&amp;IF($L1188="","Thiếu/sai Mã REF; ",IF(AND($L1188="Chưa xác định",DANH_MUC!$L$9&lt;&gt;"Có"),"Nguồn chưa xác định; ","")))</f>
        <v/>
      </c>
      <c r="V1188" s="22">
        <f>IF(OR($D1188="",$R1188="Trùng"),"",IF(COUNTIF(ORDERS!$C$2:$C$4995,$D1188)&gt;0,"Có","Không"))</f>
        <v/>
      </c>
      <c r="W1188" s="22">
        <f>IF(OR($D1188="",$R1188="Trùng"),"",COUNTIFS(ORDERS!$C$2:$C$4995,$D1188,ORDERS!$L$2:$L$4995,"Đã chuyển khoản"))</f>
        <v/>
      </c>
      <c r="X1188" s="23">
        <f>IF(OR($D1188="",$R1188="Trùng"),"",SUMIFS(ORDERS!$J$2:$J$4995,ORDERS!$C$2:$C$4995,$D1188,ORDERS!$L$2:$L$4995,"Đã chuyển khoản"))</f>
        <v/>
      </c>
      <c r="Y1188" s="24" t="n"/>
    </row>
    <row r="1189" ht="14.25" customHeight="1" s="40">
      <c r="A1189" s="24" t="n"/>
      <c r="B1189" s="27" t="n"/>
      <c r="C1189" s="24" t="n"/>
      <c r="D1189" s="28" t="n"/>
      <c r="E1189" s="29" t="n"/>
      <c r="F1189" s="24" t="n"/>
      <c r="G1189" s="24" t="n"/>
      <c r="H1189" s="21">
        <f>IF(ISNUMBER($B1189),INT($B1189)-WEEKDAY($B1189,2)+1,"")</f>
        <v/>
      </c>
      <c r="I1189" s="24" t="n"/>
      <c r="J1189" s="22">
        <f t="array" ref="J1189">IF($D1189="","",IF($I1189="","(trống REF)",IFERROR(INDEX(MASTER_SOURCE!$B$2:$B$495,MATCH($I1189,MASTER_SOURCE!$A$2:$A$495,0)),"(REF không có trong MASTER_SOURCE)")))</f>
        <v/>
      </c>
      <c r="K1189" s="22">
        <f t="array" ref="K1189">IF($D1189="","",IFERROR(INDEX(MASTER_SOURCE!$C$2:$C$495,MATCH($I1189,MASTER_SOURCE!$A$2:$A$495,0)),""))</f>
        <v/>
      </c>
      <c r="L1189" s="22">
        <f t="array" ref="L1189">IF($D1189="","",IFERROR(INDEX(MASTER_SOURCE!$D$2:$D$495,MATCH($I1189,MASTER_SOURCE!$A$2:$A$495,0)),""))</f>
        <v/>
      </c>
      <c r="M1189" s="24" t="n"/>
      <c r="N1189" s="24" t="n"/>
      <c r="O1189" s="24" t="n"/>
      <c r="P1189" s="24" t="n"/>
      <c r="Q1189" s="22">
        <f>IF($D1189="","",IF(AND(OR(DANH_MUC!$L$5&lt;&gt;"Có",M1189="Có"),OR(DANH_MUC!$L$6&lt;&gt;"Có",N1189="Có"),OR(DANH_MUC!$L$7&lt;&gt;"Có",O1189="Có"),OR(DANH_MUC!$L$8&lt;&gt;"Có",P1189="Có")),"Có","Không"))</f>
        <v/>
      </c>
      <c r="R1189" s="22">
        <f>IF($D1189="","",IF(COUNTIF($D$2:$D1189,$D1189)&gt;1,"Trùng",""))</f>
        <v/>
      </c>
      <c r="S1189" s="22">
        <f>IF($D1189="","",IF(AND(LEN($D1189)=10,LEFT($D1189,1)="0",ISNUMBER(--$D1189)),"Có","Không"))</f>
        <v/>
      </c>
      <c r="T1189" s="22">
        <f>IF($D1189="","",IF(AND($C1189&lt;&gt;"",$Q1189="Có",$R1189="",$S1189="Có",AND($L1189&lt;&gt;"",OR($L1189&lt;&gt;"Chưa xác định",DANH_MUC!$L$9="Có"))),"Có","Không"))</f>
        <v/>
      </c>
      <c r="U1189" s="22">
        <f>IF(OR($D1189="",$T1189="Có"),"",IF($C1189="","Thiếu họ tên; ","")&amp;IF($S1189&lt;&gt;"Có","SĐT sai định dạng; ","")&amp;IF($R1189="Trùng","Trùng SĐT; ","")&amp;IF($Q1189&lt;&gt;"Có","Thiếu đồng ý bắt buộc; ","")&amp;IF($L1189="","Thiếu/sai Mã REF; ",IF(AND($L1189="Chưa xác định",DANH_MUC!$L$9&lt;&gt;"Có"),"Nguồn chưa xác định; ","")))</f>
        <v/>
      </c>
      <c r="V1189" s="22">
        <f>IF(OR($D1189="",$R1189="Trùng"),"",IF(COUNTIF(ORDERS!$C$2:$C$4995,$D1189)&gt;0,"Có","Không"))</f>
        <v/>
      </c>
      <c r="W1189" s="22">
        <f>IF(OR($D1189="",$R1189="Trùng"),"",COUNTIFS(ORDERS!$C$2:$C$4995,$D1189,ORDERS!$L$2:$L$4995,"Đã chuyển khoản"))</f>
        <v/>
      </c>
      <c r="X1189" s="23">
        <f>IF(OR($D1189="",$R1189="Trùng"),"",SUMIFS(ORDERS!$J$2:$J$4995,ORDERS!$C$2:$C$4995,$D1189,ORDERS!$L$2:$L$4995,"Đã chuyển khoản"))</f>
        <v/>
      </c>
      <c r="Y1189" s="24" t="n"/>
    </row>
    <row r="1190" ht="14.25" customHeight="1" s="40">
      <c r="A1190" s="24" t="n"/>
      <c r="B1190" s="27" t="n"/>
      <c r="C1190" s="24" t="n"/>
      <c r="D1190" s="28" t="n"/>
      <c r="E1190" s="29" t="n"/>
      <c r="F1190" s="24" t="n"/>
      <c r="G1190" s="24" t="n"/>
      <c r="H1190" s="21">
        <f>IF(ISNUMBER($B1190),INT($B1190)-WEEKDAY($B1190,2)+1,"")</f>
        <v/>
      </c>
      <c r="I1190" s="24" t="n"/>
      <c r="J1190" s="22">
        <f t="array" ref="J1190">IF($D1190="","",IF($I1190="","(trống REF)",IFERROR(INDEX(MASTER_SOURCE!$B$2:$B$495,MATCH($I1190,MASTER_SOURCE!$A$2:$A$495,0)),"(REF không có trong MASTER_SOURCE)")))</f>
        <v/>
      </c>
      <c r="K1190" s="22">
        <f t="array" ref="K1190">IF($D1190="","",IFERROR(INDEX(MASTER_SOURCE!$C$2:$C$495,MATCH($I1190,MASTER_SOURCE!$A$2:$A$495,0)),""))</f>
        <v/>
      </c>
      <c r="L1190" s="22">
        <f t="array" ref="L1190">IF($D1190="","",IFERROR(INDEX(MASTER_SOURCE!$D$2:$D$495,MATCH($I1190,MASTER_SOURCE!$A$2:$A$495,0)),""))</f>
        <v/>
      </c>
      <c r="M1190" s="24" t="n"/>
      <c r="N1190" s="24" t="n"/>
      <c r="O1190" s="24" t="n"/>
      <c r="P1190" s="24" t="n"/>
      <c r="Q1190" s="22">
        <f>IF($D1190="","",IF(AND(OR(DANH_MUC!$L$5&lt;&gt;"Có",M1190="Có"),OR(DANH_MUC!$L$6&lt;&gt;"Có",N1190="Có"),OR(DANH_MUC!$L$7&lt;&gt;"Có",O1190="Có"),OR(DANH_MUC!$L$8&lt;&gt;"Có",P1190="Có")),"Có","Không"))</f>
        <v/>
      </c>
      <c r="R1190" s="22">
        <f>IF($D1190="","",IF(COUNTIF($D$2:$D1190,$D1190)&gt;1,"Trùng",""))</f>
        <v/>
      </c>
      <c r="S1190" s="22">
        <f>IF($D1190="","",IF(AND(LEN($D1190)=10,LEFT($D1190,1)="0",ISNUMBER(--$D1190)),"Có","Không"))</f>
        <v/>
      </c>
      <c r="T1190" s="22">
        <f>IF($D1190="","",IF(AND($C1190&lt;&gt;"",$Q1190="Có",$R1190="",$S1190="Có",AND($L1190&lt;&gt;"",OR($L1190&lt;&gt;"Chưa xác định",DANH_MUC!$L$9="Có"))),"Có","Không"))</f>
        <v/>
      </c>
      <c r="U1190" s="22">
        <f>IF(OR($D1190="",$T1190="Có"),"",IF($C1190="","Thiếu họ tên; ","")&amp;IF($S1190&lt;&gt;"Có","SĐT sai định dạng; ","")&amp;IF($R1190="Trùng","Trùng SĐT; ","")&amp;IF($Q1190&lt;&gt;"Có","Thiếu đồng ý bắt buộc; ","")&amp;IF($L1190="","Thiếu/sai Mã REF; ",IF(AND($L1190="Chưa xác định",DANH_MUC!$L$9&lt;&gt;"Có"),"Nguồn chưa xác định; ","")))</f>
        <v/>
      </c>
      <c r="V1190" s="22">
        <f>IF(OR($D1190="",$R1190="Trùng"),"",IF(COUNTIF(ORDERS!$C$2:$C$4995,$D1190)&gt;0,"Có","Không"))</f>
        <v/>
      </c>
      <c r="W1190" s="22">
        <f>IF(OR($D1190="",$R1190="Trùng"),"",COUNTIFS(ORDERS!$C$2:$C$4995,$D1190,ORDERS!$L$2:$L$4995,"Đã chuyển khoản"))</f>
        <v/>
      </c>
      <c r="X1190" s="23">
        <f>IF(OR($D1190="",$R1190="Trùng"),"",SUMIFS(ORDERS!$J$2:$J$4995,ORDERS!$C$2:$C$4995,$D1190,ORDERS!$L$2:$L$4995,"Đã chuyển khoản"))</f>
        <v/>
      </c>
      <c r="Y1190" s="24" t="n"/>
    </row>
    <row r="1191" ht="14.25" customHeight="1" s="40">
      <c r="A1191" s="24" t="n"/>
      <c r="B1191" s="27" t="n"/>
      <c r="C1191" s="24" t="n"/>
      <c r="D1191" s="28" t="n"/>
      <c r="E1191" s="29" t="n"/>
      <c r="F1191" s="24" t="n"/>
      <c r="G1191" s="24" t="n"/>
      <c r="H1191" s="21">
        <f>IF(ISNUMBER($B1191),INT($B1191)-WEEKDAY($B1191,2)+1,"")</f>
        <v/>
      </c>
      <c r="I1191" s="24" t="n"/>
      <c r="J1191" s="22">
        <f t="array" ref="J1191">IF($D1191="","",IF($I1191="","(trống REF)",IFERROR(INDEX(MASTER_SOURCE!$B$2:$B$495,MATCH($I1191,MASTER_SOURCE!$A$2:$A$495,0)),"(REF không có trong MASTER_SOURCE)")))</f>
        <v/>
      </c>
      <c r="K1191" s="22">
        <f t="array" ref="K1191">IF($D1191="","",IFERROR(INDEX(MASTER_SOURCE!$C$2:$C$495,MATCH($I1191,MASTER_SOURCE!$A$2:$A$495,0)),""))</f>
        <v/>
      </c>
      <c r="L1191" s="22">
        <f t="array" ref="L1191">IF($D1191="","",IFERROR(INDEX(MASTER_SOURCE!$D$2:$D$495,MATCH($I1191,MASTER_SOURCE!$A$2:$A$495,0)),""))</f>
        <v/>
      </c>
      <c r="M1191" s="24" t="n"/>
      <c r="N1191" s="24" t="n"/>
      <c r="O1191" s="24" t="n"/>
      <c r="P1191" s="24" t="n"/>
      <c r="Q1191" s="22">
        <f>IF($D1191="","",IF(AND(OR(DANH_MUC!$L$5&lt;&gt;"Có",M1191="Có"),OR(DANH_MUC!$L$6&lt;&gt;"Có",N1191="Có"),OR(DANH_MUC!$L$7&lt;&gt;"Có",O1191="Có"),OR(DANH_MUC!$L$8&lt;&gt;"Có",P1191="Có")),"Có","Không"))</f>
        <v/>
      </c>
      <c r="R1191" s="22">
        <f>IF($D1191="","",IF(COUNTIF($D$2:$D1191,$D1191)&gt;1,"Trùng",""))</f>
        <v/>
      </c>
      <c r="S1191" s="22">
        <f>IF($D1191="","",IF(AND(LEN($D1191)=10,LEFT($D1191,1)="0",ISNUMBER(--$D1191)),"Có","Không"))</f>
        <v/>
      </c>
      <c r="T1191" s="22">
        <f>IF($D1191="","",IF(AND($C1191&lt;&gt;"",$Q1191="Có",$R1191="",$S1191="Có",AND($L1191&lt;&gt;"",OR($L1191&lt;&gt;"Chưa xác định",DANH_MUC!$L$9="Có"))),"Có","Không"))</f>
        <v/>
      </c>
      <c r="U1191" s="22">
        <f>IF(OR($D1191="",$T1191="Có"),"",IF($C1191="","Thiếu họ tên; ","")&amp;IF($S1191&lt;&gt;"Có","SĐT sai định dạng; ","")&amp;IF($R1191="Trùng","Trùng SĐT; ","")&amp;IF($Q1191&lt;&gt;"Có","Thiếu đồng ý bắt buộc; ","")&amp;IF($L1191="","Thiếu/sai Mã REF; ",IF(AND($L1191="Chưa xác định",DANH_MUC!$L$9&lt;&gt;"Có"),"Nguồn chưa xác định; ","")))</f>
        <v/>
      </c>
      <c r="V1191" s="22">
        <f>IF(OR($D1191="",$R1191="Trùng"),"",IF(COUNTIF(ORDERS!$C$2:$C$4995,$D1191)&gt;0,"Có","Không"))</f>
        <v/>
      </c>
      <c r="W1191" s="22">
        <f>IF(OR($D1191="",$R1191="Trùng"),"",COUNTIFS(ORDERS!$C$2:$C$4995,$D1191,ORDERS!$L$2:$L$4995,"Đã chuyển khoản"))</f>
        <v/>
      </c>
      <c r="X1191" s="23">
        <f>IF(OR($D1191="",$R1191="Trùng"),"",SUMIFS(ORDERS!$J$2:$J$4995,ORDERS!$C$2:$C$4995,$D1191,ORDERS!$L$2:$L$4995,"Đã chuyển khoản"))</f>
        <v/>
      </c>
      <c r="Y1191" s="24" t="n"/>
    </row>
    <row r="1192" ht="14.25" customHeight="1" s="40">
      <c r="A1192" s="24" t="n"/>
      <c r="B1192" s="27" t="n"/>
      <c r="C1192" s="24" t="n"/>
      <c r="D1192" s="28" t="n"/>
      <c r="E1192" s="29" t="n"/>
      <c r="F1192" s="24" t="n"/>
      <c r="G1192" s="24" t="n"/>
      <c r="H1192" s="21">
        <f>IF(ISNUMBER($B1192),INT($B1192)-WEEKDAY($B1192,2)+1,"")</f>
        <v/>
      </c>
      <c r="I1192" s="24" t="n"/>
      <c r="J1192" s="22">
        <f t="array" ref="J1192">IF($D1192="","",IF($I1192="","(trống REF)",IFERROR(INDEX(MASTER_SOURCE!$B$2:$B$495,MATCH($I1192,MASTER_SOURCE!$A$2:$A$495,0)),"(REF không có trong MASTER_SOURCE)")))</f>
        <v/>
      </c>
      <c r="K1192" s="22">
        <f t="array" ref="K1192">IF($D1192="","",IFERROR(INDEX(MASTER_SOURCE!$C$2:$C$495,MATCH($I1192,MASTER_SOURCE!$A$2:$A$495,0)),""))</f>
        <v/>
      </c>
      <c r="L1192" s="22">
        <f t="array" ref="L1192">IF($D1192="","",IFERROR(INDEX(MASTER_SOURCE!$D$2:$D$495,MATCH($I1192,MASTER_SOURCE!$A$2:$A$495,0)),""))</f>
        <v/>
      </c>
      <c r="M1192" s="24" t="n"/>
      <c r="N1192" s="24" t="n"/>
      <c r="O1192" s="24" t="n"/>
      <c r="P1192" s="24" t="n"/>
      <c r="Q1192" s="22">
        <f>IF($D1192="","",IF(AND(OR(DANH_MUC!$L$5&lt;&gt;"Có",M1192="Có"),OR(DANH_MUC!$L$6&lt;&gt;"Có",N1192="Có"),OR(DANH_MUC!$L$7&lt;&gt;"Có",O1192="Có"),OR(DANH_MUC!$L$8&lt;&gt;"Có",P1192="Có")),"Có","Không"))</f>
        <v/>
      </c>
      <c r="R1192" s="22">
        <f>IF($D1192="","",IF(COUNTIF($D$2:$D1192,$D1192)&gt;1,"Trùng",""))</f>
        <v/>
      </c>
      <c r="S1192" s="22">
        <f>IF($D1192="","",IF(AND(LEN($D1192)=10,LEFT($D1192,1)="0",ISNUMBER(--$D1192)),"Có","Không"))</f>
        <v/>
      </c>
      <c r="T1192" s="22">
        <f>IF($D1192="","",IF(AND($C1192&lt;&gt;"",$Q1192="Có",$R1192="",$S1192="Có",AND($L1192&lt;&gt;"",OR($L1192&lt;&gt;"Chưa xác định",DANH_MUC!$L$9="Có"))),"Có","Không"))</f>
        <v/>
      </c>
      <c r="U1192" s="22">
        <f>IF(OR($D1192="",$T1192="Có"),"",IF($C1192="","Thiếu họ tên; ","")&amp;IF($S1192&lt;&gt;"Có","SĐT sai định dạng; ","")&amp;IF($R1192="Trùng","Trùng SĐT; ","")&amp;IF($Q1192&lt;&gt;"Có","Thiếu đồng ý bắt buộc; ","")&amp;IF($L1192="","Thiếu/sai Mã REF; ",IF(AND($L1192="Chưa xác định",DANH_MUC!$L$9&lt;&gt;"Có"),"Nguồn chưa xác định; ","")))</f>
        <v/>
      </c>
      <c r="V1192" s="22">
        <f>IF(OR($D1192="",$R1192="Trùng"),"",IF(COUNTIF(ORDERS!$C$2:$C$4995,$D1192)&gt;0,"Có","Không"))</f>
        <v/>
      </c>
      <c r="W1192" s="22">
        <f>IF(OR($D1192="",$R1192="Trùng"),"",COUNTIFS(ORDERS!$C$2:$C$4995,$D1192,ORDERS!$L$2:$L$4995,"Đã chuyển khoản"))</f>
        <v/>
      </c>
      <c r="X1192" s="23">
        <f>IF(OR($D1192="",$R1192="Trùng"),"",SUMIFS(ORDERS!$J$2:$J$4995,ORDERS!$C$2:$C$4995,$D1192,ORDERS!$L$2:$L$4995,"Đã chuyển khoản"))</f>
        <v/>
      </c>
      <c r="Y1192" s="24" t="n"/>
    </row>
    <row r="1193" ht="14.25" customHeight="1" s="40">
      <c r="A1193" s="24" t="n"/>
      <c r="B1193" s="27" t="n"/>
      <c r="C1193" s="24" t="n"/>
      <c r="D1193" s="28" t="n"/>
      <c r="E1193" s="29" t="n"/>
      <c r="F1193" s="24" t="n"/>
      <c r="G1193" s="24" t="n"/>
      <c r="H1193" s="21">
        <f>IF(ISNUMBER($B1193),INT($B1193)-WEEKDAY($B1193,2)+1,"")</f>
        <v/>
      </c>
      <c r="I1193" s="24" t="n"/>
      <c r="J1193" s="22">
        <f t="array" ref="J1193">IF($D1193="","",IF($I1193="","(trống REF)",IFERROR(INDEX(MASTER_SOURCE!$B$2:$B$495,MATCH($I1193,MASTER_SOURCE!$A$2:$A$495,0)),"(REF không có trong MASTER_SOURCE)")))</f>
        <v/>
      </c>
      <c r="K1193" s="22">
        <f t="array" ref="K1193">IF($D1193="","",IFERROR(INDEX(MASTER_SOURCE!$C$2:$C$495,MATCH($I1193,MASTER_SOURCE!$A$2:$A$495,0)),""))</f>
        <v/>
      </c>
      <c r="L1193" s="22">
        <f t="array" ref="L1193">IF($D1193="","",IFERROR(INDEX(MASTER_SOURCE!$D$2:$D$495,MATCH($I1193,MASTER_SOURCE!$A$2:$A$495,0)),""))</f>
        <v/>
      </c>
      <c r="M1193" s="24" t="n"/>
      <c r="N1193" s="24" t="n"/>
      <c r="O1193" s="24" t="n"/>
      <c r="P1193" s="24" t="n"/>
      <c r="Q1193" s="22">
        <f>IF($D1193="","",IF(AND(OR(DANH_MUC!$L$5&lt;&gt;"Có",M1193="Có"),OR(DANH_MUC!$L$6&lt;&gt;"Có",N1193="Có"),OR(DANH_MUC!$L$7&lt;&gt;"Có",O1193="Có"),OR(DANH_MUC!$L$8&lt;&gt;"Có",P1193="Có")),"Có","Không"))</f>
        <v/>
      </c>
      <c r="R1193" s="22">
        <f>IF($D1193="","",IF(COUNTIF($D$2:$D1193,$D1193)&gt;1,"Trùng",""))</f>
        <v/>
      </c>
      <c r="S1193" s="22">
        <f>IF($D1193="","",IF(AND(LEN($D1193)=10,LEFT($D1193,1)="0",ISNUMBER(--$D1193)),"Có","Không"))</f>
        <v/>
      </c>
      <c r="T1193" s="22">
        <f>IF($D1193="","",IF(AND($C1193&lt;&gt;"",$Q1193="Có",$R1193="",$S1193="Có",AND($L1193&lt;&gt;"",OR($L1193&lt;&gt;"Chưa xác định",DANH_MUC!$L$9="Có"))),"Có","Không"))</f>
        <v/>
      </c>
      <c r="U1193" s="22">
        <f>IF(OR($D1193="",$T1193="Có"),"",IF($C1193="","Thiếu họ tên; ","")&amp;IF($S1193&lt;&gt;"Có","SĐT sai định dạng; ","")&amp;IF($R1193="Trùng","Trùng SĐT; ","")&amp;IF($Q1193&lt;&gt;"Có","Thiếu đồng ý bắt buộc; ","")&amp;IF($L1193="","Thiếu/sai Mã REF; ",IF(AND($L1193="Chưa xác định",DANH_MUC!$L$9&lt;&gt;"Có"),"Nguồn chưa xác định; ","")))</f>
        <v/>
      </c>
      <c r="V1193" s="22">
        <f>IF(OR($D1193="",$R1193="Trùng"),"",IF(COUNTIF(ORDERS!$C$2:$C$4995,$D1193)&gt;0,"Có","Không"))</f>
        <v/>
      </c>
      <c r="W1193" s="22">
        <f>IF(OR($D1193="",$R1193="Trùng"),"",COUNTIFS(ORDERS!$C$2:$C$4995,$D1193,ORDERS!$L$2:$L$4995,"Đã chuyển khoản"))</f>
        <v/>
      </c>
      <c r="X1193" s="23">
        <f>IF(OR($D1193="",$R1193="Trùng"),"",SUMIFS(ORDERS!$J$2:$J$4995,ORDERS!$C$2:$C$4995,$D1193,ORDERS!$L$2:$L$4995,"Đã chuyển khoản"))</f>
        <v/>
      </c>
      <c r="Y1193" s="24" t="n"/>
    </row>
    <row r="1194" ht="14.25" customHeight="1" s="40">
      <c r="A1194" s="24" t="n"/>
      <c r="B1194" s="27" t="n"/>
      <c r="C1194" s="24" t="n"/>
      <c r="D1194" s="28" t="n"/>
      <c r="E1194" s="29" t="n"/>
      <c r="F1194" s="24" t="n"/>
      <c r="G1194" s="24" t="n"/>
      <c r="H1194" s="21">
        <f>IF(ISNUMBER($B1194),INT($B1194)-WEEKDAY($B1194,2)+1,"")</f>
        <v/>
      </c>
      <c r="I1194" s="24" t="n"/>
      <c r="J1194" s="22">
        <f t="array" ref="J1194">IF($D1194="","",IF($I1194="","(trống REF)",IFERROR(INDEX(MASTER_SOURCE!$B$2:$B$495,MATCH($I1194,MASTER_SOURCE!$A$2:$A$495,0)),"(REF không có trong MASTER_SOURCE)")))</f>
        <v/>
      </c>
      <c r="K1194" s="22">
        <f t="array" ref="K1194">IF($D1194="","",IFERROR(INDEX(MASTER_SOURCE!$C$2:$C$495,MATCH($I1194,MASTER_SOURCE!$A$2:$A$495,0)),""))</f>
        <v/>
      </c>
      <c r="L1194" s="22">
        <f t="array" ref="L1194">IF($D1194="","",IFERROR(INDEX(MASTER_SOURCE!$D$2:$D$495,MATCH($I1194,MASTER_SOURCE!$A$2:$A$495,0)),""))</f>
        <v/>
      </c>
      <c r="M1194" s="24" t="n"/>
      <c r="N1194" s="24" t="n"/>
      <c r="O1194" s="24" t="n"/>
      <c r="P1194" s="24" t="n"/>
      <c r="Q1194" s="22">
        <f>IF($D1194="","",IF(AND(OR(DANH_MUC!$L$5&lt;&gt;"Có",M1194="Có"),OR(DANH_MUC!$L$6&lt;&gt;"Có",N1194="Có"),OR(DANH_MUC!$L$7&lt;&gt;"Có",O1194="Có"),OR(DANH_MUC!$L$8&lt;&gt;"Có",P1194="Có")),"Có","Không"))</f>
        <v/>
      </c>
      <c r="R1194" s="22">
        <f>IF($D1194="","",IF(COUNTIF($D$2:$D1194,$D1194)&gt;1,"Trùng",""))</f>
        <v/>
      </c>
      <c r="S1194" s="22">
        <f>IF($D1194="","",IF(AND(LEN($D1194)=10,LEFT($D1194,1)="0",ISNUMBER(--$D1194)),"Có","Không"))</f>
        <v/>
      </c>
      <c r="T1194" s="22">
        <f>IF($D1194="","",IF(AND($C1194&lt;&gt;"",$Q1194="Có",$R1194="",$S1194="Có",AND($L1194&lt;&gt;"",OR($L1194&lt;&gt;"Chưa xác định",DANH_MUC!$L$9="Có"))),"Có","Không"))</f>
        <v/>
      </c>
      <c r="U1194" s="22">
        <f>IF(OR($D1194="",$T1194="Có"),"",IF($C1194="","Thiếu họ tên; ","")&amp;IF($S1194&lt;&gt;"Có","SĐT sai định dạng; ","")&amp;IF($R1194="Trùng","Trùng SĐT; ","")&amp;IF($Q1194&lt;&gt;"Có","Thiếu đồng ý bắt buộc; ","")&amp;IF($L1194="","Thiếu/sai Mã REF; ",IF(AND($L1194="Chưa xác định",DANH_MUC!$L$9&lt;&gt;"Có"),"Nguồn chưa xác định; ","")))</f>
        <v/>
      </c>
      <c r="V1194" s="22">
        <f>IF(OR($D1194="",$R1194="Trùng"),"",IF(COUNTIF(ORDERS!$C$2:$C$4995,$D1194)&gt;0,"Có","Không"))</f>
        <v/>
      </c>
      <c r="W1194" s="22">
        <f>IF(OR($D1194="",$R1194="Trùng"),"",COUNTIFS(ORDERS!$C$2:$C$4995,$D1194,ORDERS!$L$2:$L$4995,"Đã chuyển khoản"))</f>
        <v/>
      </c>
      <c r="X1194" s="23">
        <f>IF(OR($D1194="",$R1194="Trùng"),"",SUMIFS(ORDERS!$J$2:$J$4995,ORDERS!$C$2:$C$4995,$D1194,ORDERS!$L$2:$L$4995,"Đã chuyển khoản"))</f>
        <v/>
      </c>
      <c r="Y1194" s="24" t="n"/>
    </row>
    <row r="1195" ht="14.25" customHeight="1" s="40">
      <c r="A1195" s="24" t="n"/>
      <c r="B1195" s="27" t="n"/>
      <c r="C1195" s="24" t="n"/>
      <c r="D1195" s="28" t="n"/>
      <c r="E1195" s="29" t="n"/>
      <c r="F1195" s="24" t="n"/>
      <c r="G1195" s="24" t="n"/>
      <c r="H1195" s="21">
        <f>IF(ISNUMBER($B1195),INT($B1195)-WEEKDAY($B1195,2)+1,"")</f>
        <v/>
      </c>
      <c r="I1195" s="24" t="n"/>
      <c r="J1195" s="22">
        <f t="array" ref="J1195">IF($D1195="","",IF($I1195="","(trống REF)",IFERROR(INDEX(MASTER_SOURCE!$B$2:$B$495,MATCH($I1195,MASTER_SOURCE!$A$2:$A$495,0)),"(REF không có trong MASTER_SOURCE)")))</f>
        <v/>
      </c>
      <c r="K1195" s="22">
        <f t="array" ref="K1195">IF($D1195="","",IFERROR(INDEX(MASTER_SOURCE!$C$2:$C$495,MATCH($I1195,MASTER_SOURCE!$A$2:$A$495,0)),""))</f>
        <v/>
      </c>
      <c r="L1195" s="22">
        <f t="array" ref="L1195">IF($D1195="","",IFERROR(INDEX(MASTER_SOURCE!$D$2:$D$495,MATCH($I1195,MASTER_SOURCE!$A$2:$A$495,0)),""))</f>
        <v/>
      </c>
      <c r="M1195" s="24" t="n"/>
      <c r="N1195" s="24" t="n"/>
      <c r="O1195" s="24" t="n"/>
      <c r="P1195" s="24" t="n"/>
      <c r="Q1195" s="22">
        <f>IF($D1195="","",IF(AND(OR(DANH_MUC!$L$5&lt;&gt;"Có",M1195="Có"),OR(DANH_MUC!$L$6&lt;&gt;"Có",N1195="Có"),OR(DANH_MUC!$L$7&lt;&gt;"Có",O1195="Có"),OR(DANH_MUC!$L$8&lt;&gt;"Có",P1195="Có")),"Có","Không"))</f>
        <v/>
      </c>
      <c r="R1195" s="22">
        <f>IF($D1195="","",IF(COUNTIF($D$2:$D1195,$D1195)&gt;1,"Trùng",""))</f>
        <v/>
      </c>
      <c r="S1195" s="22">
        <f>IF($D1195="","",IF(AND(LEN($D1195)=10,LEFT($D1195,1)="0",ISNUMBER(--$D1195)),"Có","Không"))</f>
        <v/>
      </c>
      <c r="T1195" s="22">
        <f>IF($D1195="","",IF(AND($C1195&lt;&gt;"",$Q1195="Có",$R1195="",$S1195="Có",AND($L1195&lt;&gt;"",OR($L1195&lt;&gt;"Chưa xác định",DANH_MUC!$L$9="Có"))),"Có","Không"))</f>
        <v/>
      </c>
      <c r="U1195" s="22">
        <f>IF(OR($D1195="",$T1195="Có"),"",IF($C1195="","Thiếu họ tên; ","")&amp;IF($S1195&lt;&gt;"Có","SĐT sai định dạng; ","")&amp;IF($R1195="Trùng","Trùng SĐT; ","")&amp;IF($Q1195&lt;&gt;"Có","Thiếu đồng ý bắt buộc; ","")&amp;IF($L1195="","Thiếu/sai Mã REF; ",IF(AND($L1195="Chưa xác định",DANH_MUC!$L$9&lt;&gt;"Có"),"Nguồn chưa xác định; ","")))</f>
        <v/>
      </c>
      <c r="V1195" s="22">
        <f>IF(OR($D1195="",$R1195="Trùng"),"",IF(COUNTIF(ORDERS!$C$2:$C$4995,$D1195)&gt;0,"Có","Không"))</f>
        <v/>
      </c>
      <c r="W1195" s="22">
        <f>IF(OR($D1195="",$R1195="Trùng"),"",COUNTIFS(ORDERS!$C$2:$C$4995,$D1195,ORDERS!$L$2:$L$4995,"Đã chuyển khoản"))</f>
        <v/>
      </c>
      <c r="X1195" s="23">
        <f>IF(OR($D1195="",$R1195="Trùng"),"",SUMIFS(ORDERS!$J$2:$J$4995,ORDERS!$C$2:$C$4995,$D1195,ORDERS!$L$2:$L$4995,"Đã chuyển khoản"))</f>
        <v/>
      </c>
      <c r="Y1195" s="24" t="n"/>
    </row>
    <row r="1196" ht="14.25" customHeight="1" s="40">
      <c r="A1196" s="24" t="n"/>
      <c r="B1196" s="27" t="n"/>
      <c r="C1196" s="24" t="n"/>
      <c r="D1196" s="28" t="n"/>
      <c r="E1196" s="29" t="n"/>
      <c r="F1196" s="24" t="n"/>
      <c r="G1196" s="24" t="n"/>
      <c r="H1196" s="21">
        <f>IF(ISNUMBER($B1196),INT($B1196)-WEEKDAY($B1196,2)+1,"")</f>
        <v/>
      </c>
      <c r="I1196" s="24" t="n"/>
      <c r="J1196" s="22">
        <f t="array" ref="J1196">IF($D1196="","",IF($I1196="","(trống REF)",IFERROR(INDEX(MASTER_SOURCE!$B$2:$B$495,MATCH($I1196,MASTER_SOURCE!$A$2:$A$495,0)),"(REF không có trong MASTER_SOURCE)")))</f>
        <v/>
      </c>
      <c r="K1196" s="22">
        <f t="array" ref="K1196">IF($D1196="","",IFERROR(INDEX(MASTER_SOURCE!$C$2:$C$495,MATCH($I1196,MASTER_SOURCE!$A$2:$A$495,0)),""))</f>
        <v/>
      </c>
      <c r="L1196" s="22">
        <f t="array" ref="L1196">IF($D1196="","",IFERROR(INDEX(MASTER_SOURCE!$D$2:$D$495,MATCH($I1196,MASTER_SOURCE!$A$2:$A$495,0)),""))</f>
        <v/>
      </c>
      <c r="M1196" s="24" t="n"/>
      <c r="N1196" s="24" t="n"/>
      <c r="O1196" s="24" t="n"/>
      <c r="P1196" s="24" t="n"/>
      <c r="Q1196" s="22">
        <f>IF($D1196="","",IF(AND(OR(DANH_MUC!$L$5&lt;&gt;"Có",M1196="Có"),OR(DANH_MUC!$L$6&lt;&gt;"Có",N1196="Có"),OR(DANH_MUC!$L$7&lt;&gt;"Có",O1196="Có"),OR(DANH_MUC!$L$8&lt;&gt;"Có",P1196="Có")),"Có","Không"))</f>
        <v/>
      </c>
      <c r="R1196" s="22">
        <f>IF($D1196="","",IF(COUNTIF($D$2:$D1196,$D1196)&gt;1,"Trùng",""))</f>
        <v/>
      </c>
      <c r="S1196" s="22">
        <f>IF($D1196="","",IF(AND(LEN($D1196)=10,LEFT($D1196,1)="0",ISNUMBER(--$D1196)),"Có","Không"))</f>
        <v/>
      </c>
      <c r="T1196" s="22">
        <f>IF($D1196="","",IF(AND($C1196&lt;&gt;"",$Q1196="Có",$R1196="",$S1196="Có",AND($L1196&lt;&gt;"",OR($L1196&lt;&gt;"Chưa xác định",DANH_MUC!$L$9="Có"))),"Có","Không"))</f>
        <v/>
      </c>
      <c r="U1196" s="22">
        <f>IF(OR($D1196="",$T1196="Có"),"",IF($C1196="","Thiếu họ tên; ","")&amp;IF($S1196&lt;&gt;"Có","SĐT sai định dạng; ","")&amp;IF($R1196="Trùng","Trùng SĐT; ","")&amp;IF($Q1196&lt;&gt;"Có","Thiếu đồng ý bắt buộc; ","")&amp;IF($L1196="","Thiếu/sai Mã REF; ",IF(AND($L1196="Chưa xác định",DANH_MUC!$L$9&lt;&gt;"Có"),"Nguồn chưa xác định; ","")))</f>
        <v/>
      </c>
      <c r="V1196" s="22">
        <f>IF(OR($D1196="",$R1196="Trùng"),"",IF(COUNTIF(ORDERS!$C$2:$C$4995,$D1196)&gt;0,"Có","Không"))</f>
        <v/>
      </c>
      <c r="W1196" s="22">
        <f>IF(OR($D1196="",$R1196="Trùng"),"",COUNTIFS(ORDERS!$C$2:$C$4995,$D1196,ORDERS!$L$2:$L$4995,"Đã chuyển khoản"))</f>
        <v/>
      </c>
      <c r="X1196" s="23">
        <f>IF(OR($D1196="",$R1196="Trùng"),"",SUMIFS(ORDERS!$J$2:$J$4995,ORDERS!$C$2:$C$4995,$D1196,ORDERS!$L$2:$L$4995,"Đã chuyển khoản"))</f>
        <v/>
      </c>
      <c r="Y1196" s="24" t="n"/>
    </row>
    <row r="1197" ht="14.25" customHeight="1" s="40">
      <c r="A1197" s="24" t="n"/>
      <c r="B1197" s="27" t="n"/>
      <c r="C1197" s="24" t="n"/>
      <c r="D1197" s="28" t="n"/>
      <c r="E1197" s="29" t="n"/>
      <c r="F1197" s="24" t="n"/>
      <c r="G1197" s="24" t="n"/>
      <c r="H1197" s="21">
        <f>IF(ISNUMBER($B1197),INT($B1197)-WEEKDAY($B1197,2)+1,"")</f>
        <v/>
      </c>
      <c r="I1197" s="24" t="n"/>
      <c r="J1197" s="22">
        <f t="array" ref="J1197">IF($D1197="","",IF($I1197="","(trống REF)",IFERROR(INDEX(MASTER_SOURCE!$B$2:$B$495,MATCH($I1197,MASTER_SOURCE!$A$2:$A$495,0)),"(REF không có trong MASTER_SOURCE)")))</f>
        <v/>
      </c>
      <c r="K1197" s="22">
        <f t="array" ref="K1197">IF($D1197="","",IFERROR(INDEX(MASTER_SOURCE!$C$2:$C$495,MATCH($I1197,MASTER_SOURCE!$A$2:$A$495,0)),""))</f>
        <v/>
      </c>
      <c r="L1197" s="22">
        <f t="array" ref="L1197">IF($D1197="","",IFERROR(INDEX(MASTER_SOURCE!$D$2:$D$495,MATCH($I1197,MASTER_SOURCE!$A$2:$A$495,0)),""))</f>
        <v/>
      </c>
      <c r="M1197" s="24" t="n"/>
      <c r="N1197" s="24" t="n"/>
      <c r="O1197" s="24" t="n"/>
      <c r="P1197" s="24" t="n"/>
      <c r="Q1197" s="22">
        <f>IF($D1197="","",IF(AND(OR(DANH_MUC!$L$5&lt;&gt;"Có",M1197="Có"),OR(DANH_MUC!$L$6&lt;&gt;"Có",N1197="Có"),OR(DANH_MUC!$L$7&lt;&gt;"Có",O1197="Có"),OR(DANH_MUC!$L$8&lt;&gt;"Có",P1197="Có")),"Có","Không"))</f>
        <v/>
      </c>
      <c r="R1197" s="22">
        <f>IF($D1197="","",IF(COUNTIF($D$2:$D1197,$D1197)&gt;1,"Trùng",""))</f>
        <v/>
      </c>
      <c r="S1197" s="22">
        <f>IF($D1197="","",IF(AND(LEN($D1197)=10,LEFT($D1197,1)="0",ISNUMBER(--$D1197)),"Có","Không"))</f>
        <v/>
      </c>
      <c r="T1197" s="22">
        <f>IF($D1197="","",IF(AND($C1197&lt;&gt;"",$Q1197="Có",$R1197="",$S1197="Có",AND($L1197&lt;&gt;"",OR($L1197&lt;&gt;"Chưa xác định",DANH_MUC!$L$9="Có"))),"Có","Không"))</f>
        <v/>
      </c>
      <c r="U1197" s="22">
        <f>IF(OR($D1197="",$T1197="Có"),"",IF($C1197="","Thiếu họ tên; ","")&amp;IF($S1197&lt;&gt;"Có","SĐT sai định dạng; ","")&amp;IF($R1197="Trùng","Trùng SĐT; ","")&amp;IF($Q1197&lt;&gt;"Có","Thiếu đồng ý bắt buộc; ","")&amp;IF($L1197="","Thiếu/sai Mã REF; ",IF(AND($L1197="Chưa xác định",DANH_MUC!$L$9&lt;&gt;"Có"),"Nguồn chưa xác định; ","")))</f>
        <v/>
      </c>
      <c r="V1197" s="22">
        <f>IF(OR($D1197="",$R1197="Trùng"),"",IF(COUNTIF(ORDERS!$C$2:$C$4995,$D1197)&gt;0,"Có","Không"))</f>
        <v/>
      </c>
      <c r="W1197" s="22">
        <f>IF(OR($D1197="",$R1197="Trùng"),"",COUNTIFS(ORDERS!$C$2:$C$4995,$D1197,ORDERS!$L$2:$L$4995,"Đã chuyển khoản"))</f>
        <v/>
      </c>
      <c r="X1197" s="23">
        <f>IF(OR($D1197="",$R1197="Trùng"),"",SUMIFS(ORDERS!$J$2:$J$4995,ORDERS!$C$2:$C$4995,$D1197,ORDERS!$L$2:$L$4995,"Đã chuyển khoản"))</f>
        <v/>
      </c>
      <c r="Y1197" s="24" t="n"/>
    </row>
    <row r="1198" ht="14.25" customHeight="1" s="40">
      <c r="A1198" s="24" t="n"/>
      <c r="B1198" s="27" t="n"/>
      <c r="C1198" s="24" t="n"/>
      <c r="D1198" s="28" t="n"/>
      <c r="E1198" s="29" t="n"/>
      <c r="F1198" s="24" t="n"/>
      <c r="G1198" s="24" t="n"/>
      <c r="H1198" s="21">
        <f>IF(ISNUMBER($B1198),INT($B1198)-WEEKDAY($B1198,2)+1,"")</f>
        <v/>
      </c>
      <c r="I1198" s="24" t="n"/>
      <c r="J1198" s="22">
        <f t="array" ref="J1198">IF($D1198="","",IF($I1198="","(trống REF)",IFERROR(INDEX(MASTER_SOURCE!$B$2:$B$495,MATCH($I1198,MASTER_SOURCE!$A$2:$A$495,0)),"(REF không có trong MASTER_SOURCE)")))</f>
        <v/>
      </c>
      <c r="K1198" s="22">
        <f t="array" ref="K1198">IF($D1198="","",IFERROR(INDEX(MASTER_SOURCE!$C$2:$C$495,MATCH($I1198,MASTER_SOURCE!$A$2:$A$495,0)),""))</f>
        <v/>
      </c>
      <c r="L1198" s="22">
        <f t="array" ref="L1198">IF($D1198="","",IFERROR(INDEX(MASTER_SOURCE!$D$2:$D$495,MATCH($I1198,MASTER_SOURCE!$A$2:$A$495,0)),""))</f>
        <v/>
      </c>
      <c r="M1198" s="24" t="n"/>
      <c r="N1198" s="24" t="n"/>
      <c r="O1198" s="24" t="n"/>
      <c r="P1198" s="24" t="n"/>
      <c r="Q1198" s="22">
        <f>IF($D1198="","",IF(AND(OR(DANH_MUC!$L$5&lt;&gt;"Có",M1198="Có"),OR(DANH_MUC!$L$6&lt;&gt;"Có",N1198="Có"),OR(DANH_MUC!$L$7&lt;&gt;"Có",O1198="Có"),OR(DANH_MUC!$L$8&lt;&gt;"Có",P1198="Có")),"Có","Không"))</f>
        <v/>
      </c>
      <c r="R1198" s="22">
        <f>IF($D1198="","",IF(COUNTIF($D$2:$D1198,$D1198)&gt;1,"Trùng",""))</f>
        <v/>
      </c>
      <c r="S1198" s="22">
        <f>IF($D1198="","",IF(AND(LEN($D1198)=10,LEFT($D1198,1)="0",ISNUMBER(--$D1198)),"Có","Không"))</f>
        <v/>
      </c>
      <c r="T1198" s="22">
        <f>IF($D1198="","",IF(AND($C1198&lt;&gt;"",$Q1198="Có",$R1198="",$S1198="Có",AND($L1198&lt;&gt;"",OR($L1198&lt;&gt;"Chưa xác định",DANH_MUC!$L$9="Có"))),"Có","Không"))</f>
        <v/>
      </c>
      <c r="U1198" s="22">
        <f>IF(OR($D1198="",$T1198="Có"),"",IF($C1198="","Thiếu họ tên; ","")&amp;IF($S1198&lt;&gt;"Có","SĐT sai định dạng; ","")&amp;IF($R1198="Trùng","Trùng SĐT; ","")&amp;IF($Q1198&lt;&gt;"Có","Thiếu đồng ý bắt buộc; ","")&amp;IF($L1198="","Thiếu/sai Mã REF; ",IF(AND($L1198="Chưa xác định",DANH_MUC!$L$9&lt;&gt;"Có"),"Nguồn chưa xác định; ","")))</f>
        <v/>
      </c>
      <c r="V1198" s="22">
        <f>IF(OR($D1198="",$R1198="Trùng"),"",IF(COUNTIF(ORDERS!$C$2:$C$4995,$D1198)&gt;0,"Có","Không"))</f>
        <v/>
      </c>
      <c r="W1198" s="22">
        <f>IF(OR($D1198="",$R1198="Trùng"),"",COUNTIFS(ORDERS!$C$2:$C$4995,$D1198,ORDERS!$L$2:$L$4995,"Đã chuyển khoản"))</f>
        <v/>
      </c>
      <c r="X1198" s="23">
        <f>IF(OR($D1198="",$R1198="Trùng"),"",SUMIFS(ORDERS!$J$2:$J$4995,ORDERS!$C$2:$C$4995,$D1198,ORDERS!$L$2:$L$4995,"Đã chuyển khoản"))</f>
        <v/>
      </c>
      <c r="Y1198" s="24" t="n"/>
    </row>
    <row r="1199" ht="14.25" customHeight="1" s="40">
      <c r="A1199" s="24" t="n"/>
      <c r="B1199" s="27" t="n"/>
      <c r="C1199" s="24" t="n"/>
      <c r="D1199" s="28" t="n"/>
      <c r="E1199" s="29" t="n"/>
      <c r="F1199" s="24" t="n"/>
      <c r="G1199" s="24" t="n"/>
      <c r="H1199" s="21">
        <f>IF(ISNUMBER($B1199),INT($B1199)-WEEKDAY($B1199,2)+1,"")</f>
        <v/>
      </c>
      <c r="I1199" s="24" t="n"/>
      <c r="J1199" s="22">
        <f t="array" ref="J1199">IF($D1199="","",IF($I1199="","(trống REF)",IFERROR(INDEX(MASTER_SOURCE!$B$2:$B$495,MATCH($I1199,MASTER_SOURCE!$A$2:$A$495,0)),"(REF không có trong MASTER_SOURCE)")))</f>
        <v/>
      </c>
      <c r="K1199" s="22">
        <f t="array" ref="K1199">IF($D1199="","",IFERROR(INDEX(MASTER_SOURCE!$C$2:$C$495,MATCH($I1199,MASTER_SOURCE!$A$2:$A$495,0)),""))</f>
        <v/>
      </c>
      <c r="L1199" s="22">
        <f t="array" ref="L1199">IF($D1199="","",IFERROR(INDEX(MASTER_SOURCE!$D$2:$D$495,MATCH($I1199,MASTER_SOURCE!$A$2:$A$495,0)),""))</f>
        <v/>
      </c>
      <c r="M1199" s="24" t="n"/>
      <c r="N1199" s="24" t="n"/>
      <c r="O1199" s="24" t="n"/>
      <c r="P1199" s="24" t="n"/>
      <c r="Q1199" s="22">
        <f>IF($D1199="","",IF(AND(OR(DANH_MUC!$L$5&lt;&gt;"Có",M1199="Có"),OR(DANH_MUC!$L$6&lt;&gt;"Có",N1199="Có"),OR(DANH_MUC!$L$7&lt;&gt;"Có",O1199="Có"),OR(DANH_MUC!$L$8&lt;&gt;"Có",P1199="Có")),"Có","Không"))</f>
        <v/>
      </c>
      <c r="R1199" s="22">
        <f>IF($D1199="","",IF(COUNTIF($D$2:$D1199,$D1199)&gt;1,"Trùng",""))</f>
        <v/>
      </c>
      <c r="S1199" s="22">
        <f>IF($D1199="","",IF(AND(LEN($D1199)=10,LEFT($D1199,1)="0",ISNUMBER(--$D1199)),"Có","Không"))</f>
        <v/>
      </c>
      <c r="T1199" s="22">
        <f>IF($D1199="","",IF(AND($C1199&lt;&gt;"",$Q1199="Có",$R1199="",$S1199="Có",AND($L1199&lt;&gt;"",OR($L1199&lt;&gt;"Chưa xác định",DANH_MUC!$L$9="Có"))),"Có","Không"))</f>
        <v/>
      </c>
      <c r="U1199" s="22">
        <f>IF(OR($D1199="",$T1199="Có"),"",IF($C1199="","Thiếu họ tên; ","")&amp;IF($S1199&lt;&gt;"Có","SĐT sai định dạng; ","")&amp;IF($R1199="Trùng","Trùng SĐT; ","")&amp;IF($Q1199&lt;&gt;"Có","Thiếu đồng ý bắt buộc; ","")&amp;IF($L1199="","Thiếu/sai Mã REF; ",IF(AND($L1199="Chưa xác định",DANH_MUC!$L$9&lt;&gt;"Có"),"Nguồn chưa xác định; ","")))</f>
        <v/>
      </c>
      <c r="V1199" s="22">
        <f>IF(OR($D1199="",$R1199="Trùng"),"",IF(COUNTIF(ORDERS!$C$2:$C$4995,$D1199)&gt;0,"Có","Không"))</f>
        <v/>
      </c>
      <c r="W1199" s="22">
        <f>IF(OR($D1199="",$R1199="Trùng"),"",COUNTIFS(ORDERS!$C$2:$C$4995,$D1199,ORDERS!$L$2:$L$4995,"Đã chuyển khoản"))</f>
        <v/>
      </c>
      <c r="X1199" s="23">
        <f>IF(OR($D1199="",$R1199="Trùng"),"",SUMIFS(ORDERS!$J$2:$J$4995,ORDERS!$C$2:$C$4995,$D1199,ORDERS!$L$2:$L$4995,"Đã chuyển khoản"))</f>
        <v/>
      </c>
      <c r="Y1199" s="24" t="n"/>
    </row>
    <row r="1200" ht="14.25" customHeight="1" s="40">
      <c r="A1200" s="24" t="n"/>
      <c r="B1200" s="27" t="n"/>
      <c r="C1200" s="24" t="n"/>
      <c r="D1200" s="28" t="n"/>
      <c r="E1200" s="29" t="n"/>
      <c r="F1200" s="24" t="n"/>
      <c r="G1200" s="24" t="n"/>
      <c r="H1200" s="21">
        <f>IF(ISNUMBER($B1200),INT($B1200)-WEEKDAY($B1200,2)+1,"")</f>
        <v/>
      </c>
      <c r="I1200" s="24" t="n"/>
      <c r="J1200" s="22">
        <f t="array" ref="J1200">IF($D1200="","",IF($I1200="","(trống REF)",IFERROR(INDEX(MASTER_SOURCE!$B$2:$B$495,MATCH($I1200,MASTER_SOURCE!$A$2:$A$495,0)),"(REF không có trong MASTER_SOURCE)")))</f>
        <v/>
      </c>
      <c r="K1200" s="22">
        <f t="array" ref="K1200">IF($D1200="","",IFERROR(INDEX(MASTER_SOURCE!$C$2:$C$495,MATCH($I1200,MASTER_SOURCE!$A$2:$A$495,0)),""))</f>
        <v/>
      </c>
      <c r="L1200" s="22">
        <f t="array" ref="L1200">IF($D1200="","",IFERROR(INDEX(MASTER_SOURCE!$D$2:$D$495,MATCH($I1200,MASTER_SOURCE!$A$2:$A$495,0)),""))</f>
        <v/>
      </c>
      <c r="M1200" s="24" t="n"/>
      <c r="N1200" s="24" t="n"/>
      <c r="O1200" s="24" t="n"/>
      <c r="P1200" s="24" t="n"/>
      <c r="Q1200" s="22">
        <f>IF($D1200="","",IF(AND(OR(DANH_MUC!$L$5&lt;&gt;"Có",M1200="Có"),OR(DANH_MUC!$L$6&lt;&gt;"Có",N1200="Có"),OR(DANH_MUC!$L$7&lt;&gt;"Có",O1200="Có"),OR(DANH_MUC!$L$8&lt;&gt;"Có",P1200="Có")),"Có","Không"))</f>
        <v/>
      </c>
      <c r="R1200" s="22">
        <f>IF($D1200="","",IF(COUNTIF($D$2:$D1200,$D1200)&gt;1,"Trùng",""))</f>
        <v/>
      </c>
      <c r="S1200" s="22">
        <f>IF($D1200="","",IF(AND(LEN($D1200)=10,LEFT($D1200,1)="0",ISNUMBER(--$D1200)),"Có","Không"))</f>
        <v/>
      </c>
      <c r="T1200" s="22">
        <f>IF($D1200="","",IF(AND($C1200&lt;&gt;"",$Q1200="Có",$R1200="",$S1200="Có",AND($L1200&lt;&gt;"",OR($L1200&lt;&gt;"Chưa xác định",DANH_MUC!$L$9="Có"))),"Có","Không"))</f>
        <v/>
      </c>
      <c r="U1200" s="22">
        <f>IF(OR($D1200="",$T1200="Có"),"",IF($C1200="","Thiếu họ tên; ","")&amp;IF($S1200&lt;&gt;"Có","SĐT sai định dạng; ","")&amp;IF($R1200="Trùng","Trùng SĐT; ","")&amp;IF($Q1200&lt;&gt;"Có","Thiếu đồng ý bắt buộc; ","")&amp;IF($L1200="","Thiếu/sai Mã REF; ",IF(AND($L1200="Chưa xác định",DANH_MUC!$L$9&lt;&gt;"Có"),"Nguồn chưa xác định; ","")))</f>
        <v/>
      </c>
      <c r="V1200" s="22">
        <f>IF(OR($D1200="",$R1200="Trùng"),"",IF(COUNTIF(ORDERS!$C$2:$C$4995,$D1200)&gt;0,"Có","Không"))</f>
        <v/>
      </c>
      <c r="W1200" s="22">
        <f>IF(OR($D1200="",$R1200="Trùng"),"",COUNTIFS(ORDERS!$C$2:$C$4995,$D1200,ORDERS!$L$2:$L$4995,"Đã chuyển khoản"))</f>
        <v/>
      </c>
      <c r="X1200" s="23">
        <f>IF(OR($D1200="",$R1200="Trùng"),"",SUMIFS(ORDERS!$J$2:$J$4995,ORDERS!$C$2:$C$4995,$D1200,ORDERS!$L$2:$L$4995,"Đã chuyển khoản"))</f>
        <v/>
      </c>
      <c r="Y1200" s="24" t="n"/>
    </row>
    <row r="1201" ht="14.25" customHeight="1" s="40">
      <c r="A1201" s="24" t="n"/>
      <c r="B1201" s="27" t="n"/>
      <c r="C1201" s="24" t="n"/>
      <c r="D1201" s="28" t="n"/>
      <c r="E1201" s="29" t="n"/>
      <c r="F1201" s="24" t="n"/>
      <c r="G1201" s="24" t="n"/>
      <c r="H1201" s="21">
        <f>IF(ISNUMBER($B1201),INT($B1201)-WEEKDAY($B1201,2)+1,"")</f>
        <v/>
      </c>
      <c r="I1201" s="24" t="n"/>
      <c r="J1201" s="22">
        <f t="array" ref="J1201">IF($D1201="","",IF($I1201="","(trống REF)",IFERROR(INDEX(MASTER_SOURCE!$B$2:$B$495,MATCH($I1201,MASTER_SOURCE!$A$2:$A$495,0)),"(REF không có trong MASTER_SOURCE)")))</f>
        <v/>
      </c>
      <c r="K1201" s="22">
        <f t="array" ref="K1201">IF($D1201="","",IFERROR(INDEX(MASTER_SOURCE!$C$2:$C$495,MATCH($I1201,MASTER_SOURCE!$A$2:$A$495,0)),""))</f>
        <v/>
      </c>
      <c r="L1201" s="22">
        <f t="array" ref="L1201">IF($D1201="","",IFERROR(INDEX(MASTER_SOURCE!$D$2:$D$495,MATCH($I1201,MASTER_SOURCE!$A$2:$A$495,0)),""))</f>
        <v/>
      </c>
      <c r="M1201" s="24" t="n"/>
      <c r="N1201" s="24" t="n"/>
      <c r="O1201" s="24" t="n"/>
      <c r="P1201" s="24" t="n"/>
      <c r="Q1201" s="22">
        <f>IF($D1201="","",IF(AND(OR(DANH_MUC!$L$5&lt;&gt;"Có",M1201="Có"),OR(DANH_MUC!$L$6&lt;&gt;"Có",N1201="Có"),OR(DANH_MUC!$L$7&lt;&gt;"Có",O1201="Có"),OR(DANH_MUC!$L$8&lt;&gt;"Có",P1201="Có")),"Có","Không"))</f>
        <v/>
      </c>
      <c r="R1201" s="22">
        <f>IF($D1201="","",IF(COUNTIF($D$2:$D1201,$D1201)&gt;1,"Trùng",""))</f>
        <v/>
      </c>
      <c r="S1201" s="22">
        <f>IF($D1201="","",IF(AND(LEN($D1201)=10,LEFT($D1201,1)="0",ISNUMBER(--$D1201)),"Có","Không"))</f>
        <v/>
      </c>
      <c r="T1201" s="22">
        <f>IF($D1201="","",IF(AND($C1201&lt;&gt;"",$Q1201="Có",$R1201="",$S1201="Có",AND($L1201&lt;&gt;"",OR($L1201&lt;&gt;"Chưa xác định",DANH_MUC!$L$9="Có"))),"Có","Không"))</f>
        <v/>
      </c>
      <c r="U1201" s="22">
        <f>IF(OR($D1201="",$T1201="Có"),"",IF($C1201="","Thiếu họ tên; ","")&amp;IF($S1201&lt;&gt;"Có","SĐT sai định dạng; ","")&amp;IF($R1201="Trùng","Trùng SĐT; ","")&amp;IF($Q1201&lt;&gt;"Có","Thiếu đồng ý bắt buộc; ","")&amp;IF($L1201="","Thiếu/sai Mã REF; ",IF(AND($L1201="Chưa xác định",DANH_MUC!$L$9&lt;&gt;"Có"),"Nguồn chưa xác định; ","")))</f>
        <v/>
      </c>
      <c r="V1201" s="22">
        <f>IF(OR($D1201="",$R1201="Trùng"),"",IF(COUNTIF(ORDERS!$C$2:$C$4995,$D1201)&gt;0,"Có","Không"))</f>
        <v/>
      </c>
      <c r="W1201" s="22">
        <f>IF(OR($D1201="",$R1201="Trùng"),"",COUNTIFS(ORDERS!$C$2:$C$4995,$D1201,ORDERS!$L$2:$L$4995,"Đã chuyển khoản"))</f>
        <v/>
      </c>
      <c r="X1201" s="23">
        <f>IF(OR($D1201="",$R1201="Trùng"),"",SUMIFS(ORDERS!$J$2:$J$4995,ORDERS!$C$2:$C$4995,$D1201,ORDERS!$L$2:$L$4995,"Đã chuyển khoản"))</f>
        <v/>
      </c>
      <c r="Y1201" s="24" t="n"/>
    </row>
    <row r="1202" ht="14.25" customHeight="1" s="40">
      <c r="A1202" s="24" t="n"/>
      <c r="B1202" s="27" t="n"/>
      <c r="C1202" s="24" t="n"/>
      <c r="D1202" s="28" t="n"/>
      <c r="E1202" s="29" t="n"/>
      <c r="F1202" s="24" t="n"/>
      <c r="G1202" s="24" t="n"/>
      <c r="H1202" s="21">
        <f>IF(ISNUMBER($B1202),INT($B1202)-WEEKDAY($B1202,2)+1,"")</f>
        <v/>
      </c>
      <c r="I1202" s="24" t="n"/>
      <c r="J1202" s="22">
        <f t="array" ref="J1202">IF($D1202="","",IF($I1202="","(trống REF)",IFERROR(INDEX(MASTER_SOURCE!$B$2:$B$495,MATCH($I1202,MASTER_SOURCE!$A$2:$A$495,0)),"(REF không có trong MASTER_SOURCE)")))</f>
        <v/>
      </c>
      <c r="K1202" s="22">
        <f t="array" ref="K1202">IF($D1202="","",IFERROR(INDEX(MASTER_SOURCE!$C$2:$C$495,MATCH($I1202,MASTER_SOURCE!$A$2:$A$495,0)),""))</f>
        <v/>
      </c>
      <c r="L1202" s="22">
        <f t="array" ref="L1202">IF($D1202="","",IFERROR(INDEX(MASTER_SOURCE!$D$2:$D$495,MATCH($I1202,MASTER_SOURCE!$A$2:$A$495,0)),""))</f>
        <v/>
      </c>
      <c r="M1202" s="24" t="n"/>
      <c r="N1202" s="24" t="n"/>
      <c r="O1202" s="24" t="n"/>
      <c r="P1202" s="24" t="n"/>
      <c r="Q1202" s="22">
        <f>IF($D1202="","",IF(AND(OR(DANH_MUC!$L$5&lt;&gt;"Có",M1202="Có"),OR(DANH_MUC!$L$6&lt;&gt;"Có",N1202="Có"),OR(DANH_MUC!$L$7&lt;&gt;"Có",O1202="Có"),OR(DANH_MUC!$L$8&lt;&gt;"Có",P1202="Có")),"Có","Không"))</f>
        <v/>
      </c>
      <c r="R1202" s="22">
        <f>IF($D1202="","",IF(COUNTIF($D$2:$D1202,$D1202)&gt;1,"Trùng",""))</f>
        <v/>
      </c>
      <c r="S1202" s="22">
        <f>IF($D1202="","",IF(AND(LEN($D1202)=10,LEFT($D1202,1)="0",ISNUMBER(--$D1202)),"Có","Không"))</f>
        <v/>
      </c>
      <c r="T1202" s="22">
        <f>IF($D1202="","",IF(AND($C1202&lt;&gt;"",$Q1202="Có",$R1202="",$S1202="Có",AND($L1202&lt;&gt;"",OR($L1202&lt;&gt;"Chưa xác định",DANH_MUC!$L$9="Có"))),"Có","Không"))</f>
        <v/>
      </c>
      <c r="U1202" s="22">
        <f>IF(OR($D1202="",$T1202="Có"),"",IF($C1202="","Thiếu họ tên; ","")&amp;IF($S1202&lt;&gt;"Có","SĐT sai định dạng; ","")&amp;IF($R1202="Trùng","Trùng SĐT; ","")&amp;IF($Q1202&lt;&gt;"Có","Thiếu đồng ý bắt buộc; ","")&amp;IF($L1202="","Thiếu/sai Mã REF; ",IF(AND($L1202="Chưa xác định",DANH_MUC!$L$9&lt;&gt;"Có"),"Nguồn chưa xác định; ","")))</f>
        <v/>
      </c>
      <c r="V1202" s="22">
        <f>IF(OR($D1202="",$R1202="Trùng"),"",IF(COUNTIF(ORDERS!$C$2:$C$4995,$D1202)&gt;0,"Có","Không"))</f>
        <v/>
      </c>
      <c r="W1202" s="22">
        <f>IF(OR($D1202="",$R1202="Trùng"),"",COUNTIFS(ORDERS!$C$2:$C$4995,$D1202,ORDERS!$L$2:$L$4995,"Đã chuyển khoản"))</f>
        <v/>
      </c>
      <c r="X1202" s="23">
        <f>IF(OR($D1202="",$R1202="Trùng"),"",SUMIFS(ORDERS!$J$2:$J$4995,ORDERS!$C$2:$C$4995,$D1202,ORDERS!$L$2:$L$4995,"Đã chuyển khoản"))</f>
        <v/>
      </c>
      <c r="Y1202" s="24" t="n"/>
    </row>
    <row r="1203" ht="14.25" customHeight="1" s="40">
      <c r="A1203" s="24" t="n"/>
      <c r="B1203" s="27" t="n"/>
      <c r="C1203" s="24" t="n"/>
      <c r="D1203" s="28" t="n"/>
      <c r="E1203" s="29" t="n"/>
      <c r="F1203" s="24" t="n"/>
      <c r="G1203" s="24" t="n"/>
      <c r="H1203" s="21">
        <f>IF(ISNUMBER($B1203),INT($B1203)-WEEKDAY($B1203,2)+1,"")</f>
        <v/>
      </c>
      <c r="I1203" s="24" t="n"/>
      <c r="J1203" s="22">
        <f t="array" ref="J1203">IF($D1203="","",IF($I1203="","(trống REF)",IFERROR(INDEX(MASTER_SOURCE!$B$2:$B$495,MATCH($I1203,MASTER_SOURCE!$A$2:$A$495,0)),"(REF không có trong MASTER_SOURCE)")))</f>
        <v/>
      </c>
      <c r="K1203" s="22">
        <f t="array" ref="K1203">IF($D1203="","",IFERROR(INDEX(MASTER_SOURCE!$C$2:$C$495,MATCH($I1203,MASTER_SOURCE!$A$2:$A$495,0)),""))</f>
        <v/>
      </c>
      <c r="L1203" s="22">
        <f t="array" ref="L1203">IF($D1203="","",IFERROR(INDEX(MASTER_SOURCE!$D$2:$D$495,MATCH($I1203,MASTER_SOURCE!$A$2:$A$495,0)),""))</f>
        <v/>
      </c>
      <c r="M1203" s="24" t="n"/>
      <c r="N1203" s="24" t="n"/>
      <c r="O1203" s="24" t="n"/>
      <c r="P1203" s="24" t="n"/>
      <c r="Q1203" s="22">
        <f>IF($D1203="","",IF(AND(OR(DANH_MUC!$L$5&lt;&gt;"Có",M1203="Có"),OR(DANH_MUC!$L$6&lt;&gt;"Có",N1203="Có"),OR(DANH_MUC!$L$7&lt;&gt;"Có",O1203="Có"),OR(DANH_MUC!$L$8&lt;&gt;"Có",P1203="Có")),"Có","Không"))</f>
        <v/>
      </c>
      <c r="R1203" s="22">
        <f>IF($D1203="","",IF(COUNTIF($D$2:$D1203,$D1203)&gt;1,"Trùng",""))</f>
        <v/>
      </c>
      <c r="S1203" s="22">
        <f>IF($D1203="","",IF(AND(LEN($D1203)=10,LEFT($D1203,1)="0",ISNUMBER(--$D1203)),"Có","Không"))</f>
        <v/>
      </c>
      <c r="T1203" s="22">
        <f>IF($D1203="","",IF(AND($C1203&lt;&gt;"",$Q1203="Có",$R1203="",$S1203="Có",AND($L1203&lt;&gt;"",OR($L1203&lt;&gt;"Chưa xác định",DANH_MUC!$L$9="Có"))),"Có","Không"))</f>
        <v/>
      </c>
      <c r="U1203" s="22">
        <f>IF(OR($D1203="",$T1203="Có"),"",IF($C1203="","Thiếu họ tên; ","")&amp;IF($S1203&lt;&gt;"Có","SĐT sai định dạng; ","")&amp;IF($R1203="Trùng","Trùng SĐT; ","")&amp;IF($Q1203&lt;&gt;"Có","Thiếu đồng ý bắt buộc; ","")&amp;IF($L1203="","Thiếu/sai Mã REF; ",IF(AND($L1203="Chưa xác định",DANH_MUC!$L$9&lt;&gt;"Có"),"Nguồn chưa xác định; ","")))</f>
        <v/>
      </c>
      <c r="V1203" s="22">
        <f>IF(OR($D1203="",$R1203="Trùng"),"",IF(COUNTIF(ORDERS!$C$2:$C$4995,$D1203)&gt;0,"Có","Không"))</f>
        <v/>
      </c>
      <c r="W1203" s="22">
        <f>IF(OR($D1203="",$R1203="Trùng"),"",COUNTIFS(ORDERS!$C$2:$C$4995,$D1203,ORDERS!$L$2:$L$4995,"Đã chuyển khoản"))</f>
        <v/>
      </c>
      <c r="X1203" s="23">
        <f>IF(OR($D1203="",$R1203="Trùng"),"",SUMIFS(ORDERS!$J$2:$J$4995,ORDERS!$C$2:$C$4995,$D1203,ORDERS!$L$2:$L$4995,"Đã chuyển khoản"))</f>
        <v/>
      </c>
      <c r="Y1203" s="24" t="n"/>
    </row>
    <row r="1204" ht="14.25" customHeight="1" s="40">
      <c r="A1204" s="24" t="n"/>
      <c r="B1204" s="27" t="n"/>
      <c r="C1204" s="24" t="n"/>
      <c r="D1204" s="28" t="n"/>
      <c r="E1204" s="29" t="n"/>
      <c r="F1204" s="24" t="n"/>
      <c r="G1204" s="24" t="n"/>
      <c r="H1204" s="21">
        <f>IF(ISNUMBER($B1204),INT($B1204)-WEEKDAY($B1204,2)+1,"")</f>
        <v/>
      </c>
      <c r="I1204" s="24" t="n"/>
      <c r="J1204" s="22">
        <f t="array" ref="J1204">IF($D1204="","",IF($I1204="","(trống REF)",IFERROR(INDEX(MASTER_SOURCE!$B$2:$B$495,MATCH($I1204,MASTER_SOURCE!$A$2:$A$495,0)),"(REF không có trong MASTER_SOURCE)")))</f>
        <v/>
      </c>
      <c r="K1204" s="22">
        <f t="array" ref="K1204">IF($D1204="","",IFERROR(INDEX(MASTER_SOURCE!$C$2:$C$495,MATCH($I1204,MASTER_SOURCE!$A$2:$A$495,0)),""))</f>
        <v/>
      </c>
      <c r="L1204" s="22">
        <f t="array" ref="L1204">IF($D1204="","",IFERROR(INDEX(MASTER_SOURCE!$D$2:$D$495,MATCH($I1204,MASTER_SOURCE!$A$2:$A$495,0)),""))</f>
        <v/>
      </c>
      <c r="M1204" s="24" t="n"/>
      <c r="N1204" s="24" t="n"/>
      <c r="O1204" s="24" t="n"/>
      <c r="P1204" s="24" t="n"/>
      <c r="Q1204" s="22">
        <f>IF($D1204="","",IF(AND(OR(DANH_MUC!$L$5&lt;&gt;"Có",M1204="Có"),OR(DANH_MUC!$L$6&lt;&gt;"Có",N1204="Có"),OR(DANH_MUC!$L$7&lt;&gt;"Có",O1204="Có"),OR(DANH_MUC!$L$8&lt;&gt;"Có",P1204="Có")),"Có","Không"))</f>
        <v/>
      </c>
      <c r="R1204" s="22">
        <f>IF($D1204="","",IF(COUNTIF($D$2:$D1204,$D1204)&gt;1,"Trùng",""))</f>
        <v/>
      </c>
      <c r="S1204" s="22">
        <f>IF($D1204="","",IF(AND(LEN($D1204)=10,LEFT($D1204,1)="0",ISNUMBER(--$D1204)),"Có","Không"))</f>
        <v/>
      </c>
      <c r="T1204" s="22">
        <f>IF($D1204="","",IF(AND($C1204&lt;&gt;"",$Q1204="Có",$R1204="",$S1204="Có",AND($L1204&lt;&gt;"",OR($L1204&lt;&gt;"Chưa xác định",DANH_MUC!$L$9="Có"))),"Có","Không"))</f>
        <v/>
      </c>
      <c r="U1204" s="22">
        <f>IF(OR($D1204="",$T1204="Có"),"",IF($C1204="","Thiếu họ tên; ","")&amp;IF($S1204&lt;&gt;"Có","SĐT sai định dạng; ","")&amp;IF($R1204="Trùng","Trùng SĐT; ","")&amp;IF($Q1204&lt;&gt;"Có","Thiếu đồng ý bắt buộc; ","")&amp;IF($L1204="","Thiếu/sai Mã REF; ",IF(AND($L1204="Chưa xác định",DANH_MUC!$L$9&lt;&gt;"Có"),"Nguồn chưa xác định; ","")))</f>
        <v/>
      </c>
      <c r="V1204" s="22">
        <f>IF(OR($D1204="",$R1204="Trùng"),"",IF(COUNTIF(ORDERS!$C$2:$C$4995,$D1204)&gt;0,"Có","Không"))</f>
        <v/>
      </c>
      <c r="W1204" s="22">
        <f>IF(OR($D1204="",$R1204="Trùng"),"",COUNTIFS(ORDERS!$C$2:$C$4995,$D1204,ORDERS!$L$2:$L$4995,"Đã chuyển khoản"))</f>
        <v/>
      </c>
      <c r="X1204" s="23">
        <f>IF(OR($D1204="",$R1204="Trùng"),"",SUMIFS(ORDERS!$J$2:$J$4995,ORDERS!$C$2:$C$4995,$D1204,ORDERS!$L$2:$L$4995,"Đã chuyển khoản"))</f>
        <v/>
      </c>
      <c r="Y1204" s="24" t="n"/>
    </row>
    <row r="1205" ht="14.25" customHeight="1" s="40">
      <c r="A1205" s="24" t="n"/>
      <c r="B1205" s="27" t="n"/>
      <c r="C1205" s="24" t="n"/>
      <c r="D1205" s="28" t="n"/>
      <c r="E1205" s="29" t="n"/>
      <c r="F1205" s="24" t="n"/>
      <c r="G1205" s="24" t="n"/>
      <c r="H1205" s="21">
        <f>IF(ISNUMBER($B1205),INT($B1205)-WEEKDAY($B1205,2)+1,"")</f>
        <v/>
      </c>
      <c r="I1205" s="24" t="n"/>
      <c r="J1205" s="22">
        <f t="array" ref="J1205">IF($D1205="","",IF($I1205="","(trống REF)",IFERROR(INDEX(MASTER_SOURCE!$B$2:$B$495,MATCH($I1205,MASTER_SOURCE!$A$2:$A$495,0)),"(REF không có trong MASTER_SOURCE)")))</f>
        <v/>
      </c>
      <c r="K1205" s="22">
        <f t="array" ref="K1205">IF($D1205="","",IFERROR(INDEX(MASTER_SOURCE!$C$2:$C$495,MATCH($I1205,MASTER_SOURCE!$A$2:$A$495,0)),""))</f>
        <v/>
      </c>
      <c r="L1205" s="22">
        <f t="array" ref="L1205">IF($D1205="","",IFERROR(INDEX(MASTER_SOURCE!$D$2:$D$495,MATCH($I1205,MASTER_SOURCE!$A$2:$A$495,0)),""))</f>
        <v/>
      </c>
      <c r="M1205" s="24" t="n"/>
      <c r="N1205" s="24" t="n"/>
      <c r="O1205" s="24" t="n"/>
      <c r="P1205" s="24" t="n"/>
      <c r="Q1205" s="22">
        <f>IF($D1205="","",IF(AND(OR(DANH_MUC!$L$5&lt;&gt;"Có",M1205="Có"),OR(DANH_MUC!$L$6&lt;&gt;"Có",N1205="Có"),OR(DANH_MUC!$L$7&lt;&gt;"Có",O1205="Có"),OR(DANH_MUC!$L$8&lt;&gt;"Có",P1205="Có")),"Có","Không"))</f>
        <v/>
      </c>
      <c r="R1205" s="22">
        <f>IF($D1205="","",IF(COUNTIF($D$2:$D1205,$D1205)&gt;1,"Trùng",""))</f>
        <v/>
      </c>
      <c r="S1205" s="22">
        <f>IF($D1205="","",IF(AND(LEN($D1205)=10,LEFT($D1205,1)="0",ISNUMBER(--$D1205)),"Có","Không"))</f>
        <v/>
      </c>
      <c r="T1205" s="22">
        <f>IF($D1205="","",IF(AND($C1205&lt;&gt;"",$Q1205="Có",$R1205="",$S1205="Có",AND($L1205&lt;&gt;"",OR($L1205&lt;&gt;"Chưa xác định",DANH_MUC!$L$9="Có"))),"Có","Không"))</f>
        <v/>
      </c>
      <c r="U1205" s="22">
        <f>IF(OR($D1205="",$T1205="Có"),"",IF($C1205="","Thiếu họ tên; ","")&amp;IF($S1205&lt;&gt;"Có","SĐT sai định dạng; ","")&amp;IF($R1205="Trùng","Trùng SĐT; ","")&amp;IF($Q1205&lt;&gt;"Có","Thiếu đồng ý bắt buộc; ","")&amp;IF($L1205="","Thiếu/sai Mã REF; ",IF(AND($L1205="Chưa xác định",DANH_MUC!$L$9&lt;&gt;"Có"),"Nguồn chưa xác định; ","")))</f>
        <v/>
      </c>
      <c r="V1205" s="22">
        <f>IF(OR($D1205="",$R1205="Trùng"),"",IF(COUNTIF(ORDERS!$C$2:$C$4995,$D1205)&gt;0,"Có","Không"))</f>
        <v/>
      </c>
      <c r="W1205" s="22">
        <f>IF(OR($D1205="",$R1205="Trùng"),"",COUNTIFS(ORDERS!$C$2:$C$4995,$D1205,ORDERS!$L$2:$L$4995,"Đã chuyển khoản"))</f>
        <v/>
      </c>
      <c r="X1205" s="23">
        <f>IF(OR($D1205="",$R1205="Trùng"),"",SUMIFS(ORDERS!$J$2:$J$4995,ORDERS!$C$2:$C$4995,$D1205,ORDERS!$L$2:$L$4995,"Đã chuyển khoản"))</f>
        <v/>
      </c>
      <c r="Y1205" s="24" t="n"/>
    </row>
    <row r="1206" ht="14.25" customHeight="1" s="40">
      <c r="A1206" s="24" t="n"/>
      <c r="B1206" s="27" t="n"/>
      <c r="C1206" s="24" t="n"/>
      <c r="D1206" s="28" t="n"/>
      <c r="E1206" s="29" t="n"/>
      <c r="F1206" s="24" t="n"/>
      <c r="G1206" s="24" t="n"/>
      <c r="H1206" s="21">
        <f>IF(ISNUMBER($B1206),INT($B1206)-WEEKDAY($B1206,2)+1,"")</f>
        <v/>
      </c>
      <c r="I1206" s="24" t="n"/>
      <c r="J1206" s="22">
        <f t="array" ref="J1206">IF($D1206="","",IF($I1206="","(trống REF)",IFERROR(INDEX(MASTER_SOURCE!$B$2:$B$495,MATCH($I1206,MASTER_SOURCE!$A$2:$A$495,0)),"(REF không có trong MASTER_SOURCE)")))</f>
        <v/>
      </c>
      <c r="K1206" s="22">
        <f t="array" ref="K1206">IF($D1206="","",IFERROR(INDEX(MASTER_SOURCE!$C$2:$C$495,MATCH($I1206,MASTER_SOURCE!$A$2:$A$495,0)),""))</f>
        <v/>
      </c>
      <c r="L1206" s="22">
        <f t="array" ref="L1206">IF($D1206="","",IFERROR(INDEX(MASTER_SOURCE!$D$2:$D$495,MATCH($I1206,MASTER_SOURCE!$A$2:$A$495,0)),""))</f>
        <v/>
      </c>
      <c r="M1206" s="24" t="n"/>
      <c r="N1206" s="24" t="n"/>
      <c r="O1206" s="24" t="n"/>
      <c r="P1206" s="24" t="n"/>
      <c r="Q1206" s="22">
        <f>IF($D1206="","",IF(AND(OR(DANH_MUC!$L$5&lt;&gt;"Có",M1206="Có"),OR(DANH_MUC!$L$6&lt;&gt;"Có",N1206="Có"),OR(DANH_MUC!$L$7&lt;&gt;"Có",O1206="Có"),OR(DANH_MUC!$L$8&lt;&gt;"Có",P1206="Có")),"Có","Không"))</f>
        <v/>
      </c>
      <c r="R1206" s="22">
        <f>IF($D1206="","",IF(COUNTIF($D$2:$D1206,$D1206)&gt;1,"Trùng",""))</f>
        <v/>
      </c>
      <c r="S1206" s="22">
        <f>IF($D1206="","",IF(AND(LEN($D1206)=10,LEFT($D1206,1)="0",ISNUMBER(--$D1206)),"Có","Không"))</f>
        <v/>
      </c>
      <c r="T1206" s="22">
        <f>IF($D1206="","",IF(AND($C1206&lt;&gt;"",$Q1206="Có",$R1206="",$S1206="Có",AND($L1206&lt;&gt;"",OR($L1206&lt;&gt;"Chưa xác định",DANH_MUC!$L$9="Có"))),"Có","Không"))</f>
        <v/>
      </c>
      <c r="U1206" s="22">
        <f>IF(OR($D1206="",$T1206="Có"),"",IF($C1206="","Thiếu họ tên; ","")&amp;IF($S1206&lt;&gt;"Có","SĐT sai định dạng; ","")&amp;IF($R1206="Trùng","Trùng SĐT; ","")&amp;IF($Q1206&lt;&gt;"Có","Thiếu đồng ý bắt buộc; ","")&amp;IF($L1206="","Thiếu/sai Mã REF; ",IF(AND($L1206="Chưa xác định",DANH_MUC!$L$9&lt;&gt;"Có"),"Nguồn chưa xác định; ","")))</f>
        <v/>
      </c>
      <c r="V1206" s="22">
        <f>IF(OR($D1206="",$R1206="Trùng"),"",IF(COUNTIF(ORDERS!$C$2:$C$4995,$D1206)&gt;0,"Có","Không"))</f>
        <v/>
      </c>
      <c r="W1206" s="22">
        <f>IF(OR($D1206="",$R1206="Trùng"),"",COUNTIFS(ORDERS!$C$2:$C$4995,$D1206,ORDERS!$L$2:$L$4995,"Đã chuyển khoản"))</f>
        <v/>
      </c>
      <c r="X1206" s="23">
        <f>IF(OR($D1206="",$R1206="Trùng"),"",SUMIFS(ORDERS!$J$2:$J$4995,ORDERS!$C$2:$C$4995,$D1206,ORDERS!$L$2:$L$4995,"Đã chuyển khoản"))</f>
        <v/>
      </c>
      <c r="Y1206" s="24" t="n"/>
    </row>
    <row r="1207" ht="14.25" customHeight="1" s="40">
      <c r="A1207" s="24" t="n"/>
      <c r="B1207" s="27" t="n"/>
      <c r="C1207" s="24" t="n"/>
      <c r="D1207" s="28" t="n"/>
      <c r="E1207" s="29" t="n"/>
      <c r="F1207" s="24" t="n"/>
      <c r="G1207" s="24" t="n"/>
      <c r="H1207" s="21">
        <f>IF(ISNUMBER($B1207),INT($B1207)-WEEKDAY($B1207,2)+1,"")</f>
        <v/>
      </c>
      <c r="I1207" s="24" t="n"/>
      <c r="J1207" s="22">
        <f t="array" ref="J1207">IF($D1207="","",IF($I1207="","(trống REF)",IFERROR(INDEX(MASTER_SOURCE!$B$2:$B$495,MATCH($I1207,MASTER_SOURCE!$A$2:$A$495,0)),"(REF không có trong MASTER_SOURCE)")))</f>
        <v/>
      </c>
      <c r="K1207" s="22">
        <f t="array" ref="K1207">IF($D1207="","",IFERROR(INDEX(MASTER_SOURCE!$C$2:$C$495,MATCH($I1207,MASTER_SOURCE!$A$2:$A$495,0)),""))</f>
        <v/>
      </c>
      <c r="L1207" s="22">
        <f t="array" ref="L1207">IF($D1207="","",IFERROR(INDEX(MASTER_SOURCE!$D$2:$D$495,MATCH($I1207,MASTER_SOURCE!$A$2:$A$495,0)),""))</f>
        <v/>
      </c>
      <c r="M1207" s="24" t="n"/>
      <c r="N1207" s="24" t="n"/>
      <c r="O1207" s="24" t="n"/>
      <c r="P1207" s="24" t="n"/>
      <c r="Q1207" s="22">
        <f>IF($D1207="","",IF(AND(OR(DANH_MUC!$L$5&lt;&gt;"Có",M1207="Có"),OR(DANH_MUC!$L$6&lt;&gt;"Có",N1207="Có"),OR(DANH_MUC!$L$7&lt;&gt;"Có",O1207="Có"),OR(DANH_MUC!$L$8&lt;&gt;"Có",P1207="Có")),"Có","Không"))</f>
        <v/>
      </c>
      <c r="R1207" s="22">
        <f>IF($D1207="","",IF(COUNTIF($D$2:$D1207,$D1207)&gt;1,"Trùng",""))</f>
        <v/>
      </c>
      <c r="S1207" s="22">
        <f>IF($D1207="","",IF(AND(LEN($D1207)=10,LEFT($D1207,1)="0",ISNUMBER(--$D1207)),"Có","Không"))</f>
        <v/>
      </c>
      <c r="T1207" s="22">
        <f>IF($D1207="","",IF(AND($C1207&lt;&gt;"",$Q1207="Có",$R1207="",$S1207="Có",AND($L1207&lt;&gt;"",OR($L1207&lt;&gt;"Chưa xác định",DANH_MUC!$L$9="Có"))),"Có","Không"))</f>
        <v/>
      </c>
      <c r="U1207" s="22">
        <f>IF(OR($D1207="",$T1207="Có"),"",IF($C1207="","Thiếu họ tên; ","")&amp;IF($S1207&lt;&gt;"Có","SĐT sai định dạng; ","")&amp;IF($R1207="Trùng","Trùng SĐT; ","")&amp;IF($Q1207&lt;&gt;"Có","Thiếu đồng ý bắt buộc; ","")&amp;IF($L1207="","Thiếu/sai Mã REF; ",IF(AND($L1207="Chưa xác định",DANH_MUC!$L$9&lt;&gt;"Có"),"Nguồn chưa xác định; ","")))</f>
        <v/>
      </c>
      <c r="V1207" s="22">
        <f>IF(OR($D1207="",$R1207="Trùng"),"",IF(COUNTIF(ORDERS!$C$2:$C$4995,$D1207)&gt;0,"Có","Không"))</f>
        <v/>
      </c>
      <c r="W1207" s="22">
        <f>IF(OR($D1207="",$R1207="Trùng"),"",COUNTIFS(ORDERS!$C$2:$C$4995,$D1207,ORDERS!$L$2:$L$4995,"Đã chuyển khoản"))</f>
        <v/>
      </c>
      <c r="X1207" s="23">
        <f>IF(OR($D1207="",$R1207="Trùng"),"",SUMIFS(ORDERS!$J$2:$J$4995,ORDERS!$C$2:$C$4995,$D1207,ORDERS!$L$2:$L$4995,"Đã chuyển khoản"))</f>
        <v/>
      </c>
      <c r="Y1207" s="24" t="n"/>
    </row>
    <row r="1208" ht="14.25" customHeight="1" s="40">
      <c r="A1208" s="24" t="n"/>
      <c r="B1208" s="27" t="n"/>
      <c r="C1208" s="24" t="n"/>
      <c r="D1208" s="28" t="n"/>
      <c r="E1208" s="29" t="n"/>
      <c r="F1208" s="24" t="n"/>
      <c r="G1208" s="24" t="n"/>
      <c r="H1208" s="21">
        <f>IF(ISNUMBER($B1208),INT($B1208)-WEEKDAY($B1208,2)+1,"")</f>
        <v/>
      </c>
      <c r="I1208" s="24" t="n"/>
      <c r="J1208" s="22">
        <f t="array" ref="J1208">IF($D1208="","",IF($I1208="","(trống REF)",IFERROR(INDEX(MASTER_SOURCE!$B$2:$B$495,MATCH($I1208,MASTER_SOURCE!$A$2:$A$495,0)),"(REF không có trong MASTER_SOURCE)")))</f>
        <v/>
      </c>
      <c r="K1208" s="22">
        <f t="array" ref="K1208">IF($D1208="","",IFERROR(INDEX(MASTER_SOURCE!$C$2:$C$495,MATCH($I1208,MASTER_SOURCE!$A$2:$A$495,0)),""))</f>
        <v/>
      </c>
      <c r="L1208" s="22">
        <f t="array" ref="L1208">IF($D1208="","",IFERROR(INDEX(MASTER_SOURCE!$D$2:$D$495,MATCH($I1208,MASTER_SOURCE!$A$2:$A$495,0)),""))</f>
        <v/>
      </c>
      <c r="M1208" s="24" t="n"/>
      <c r="N1208" s="24" t="n"/>
      <c r="O1208" s="24" t="n"/>
      <c r="P1208" s="24" t="n"/>
      <c r="Q1208" s="22">
        <f>IF($D1208="","",IF(AND(OR(DANH_MUC!$L$5&lt;&gt;"Có",M1208="Có"),OR(DANH_MUC!$L$6&lt;&gt;"Có",N1208="Có"),OR(DANH_MUC!$L$7&lt;&gt;"Có",O1208="Có"),OR(DANH_MUC!$L$8&lt;&gt;"Có",P1208="Có")),"Có","Không"))</f>
        <v/>
      </c>
      <c r="R1208" s="22">
        <f>IF($D1208="","",IF(COUNTIF($D$2:$D1208,$D1208)&gt;1,"Trùng",""))</f>
        <v/>
      </c>
      <c r="S1208" s="22">
        <f>IF($D1208="","",IF(AND(LEN($D1208)=10,LEFT($D1208,1)="0",ISNUMBER(--$D1208)),"Có","Không"))</f>
        <v/>
      </c>
      <c r="T1208" s="22">
        <f>IF($D1208="","",IF(AND($C1208&lt;&gt;"",$Q1208="Có",$R1208="",$S1208="Có",AND($L1208&lt;&gt;"",OR($L1208&lt;&gt;"Chưa xác định",DANH_MUC!$L$9="Có"))),"Có","Không"))</f>
        <v/>
      </c>
      <c r="U1208" s="22">
        <f>IF(OR($D1208="",$T1208="Có"),"",IF($C1208="","Thiếu họ tên; ","")&amp;IF($S1208&lt;&gt;"Có","SĐT sai định dạng; ","")&amp;IF($R1208="Trùng","Trùng SĐT; ","")&amp;IF($Q1208&lt;&gt;"Có","Thiếu đồng ý bắt buộc; ","")&amp;IF($L1208="","Thiếu/sai Mã REF; ",IF(AND($L1208="Chưa xác định",DANH_MUC!$L$9&lt;&gt;"Có"),"Nguồn chưa xác định; ","")))</f>
        <v/>
      </c>
      <c r="V1208" s="22">
        <f>IF(OR($D1208="",$R1208="Trùng"),"",IF(COUNTIF(ORDERS!$C$2:$C$4995,$D1208)&gt;0,"Có","Không"))</f>
        <v/>
      </c>
      <c r="W1208" s="22">
        <f>IF(OR($D1208="",$R1208="Trùng"),"",COUNTIFS(ORDERS!$C$2:$C$4995,$D1208,ORDERS!$L$2:$L$4995,"Đã chuyển khoản"))</f>
        <v/>
      </c>
      <c r="X1208" s="23">
        <f>IF(OR($D1208="",$R1208="Trùng"),"",SUMIFS(ORDERS!$J$2:$J$4995,ORDERS!$C$2:$C$4995,$D1208,ORDERS!$L$2:$L$4995,"Đã chuyển khoản"))</f>
        <v/>
      </c>
      <c r="Y1208" s="24" t="n"/>
    </row>
    <row r="1209" ht="14.25" customHeight="1" s="40">
      <c r="A1209" s="24" t="n"/>
      <c r="B1209" s="27" t="n"/>
      <c r="C1209" s="24" t="n"/>
      <c r="D1209" s="28" t="n"/>
      <c r="E1209" s="29" t="n"/>
      <c r="F1209" s="24" t="n"/>
      <c r="G1209" s="24" t="n"/>
      <c r="H1209" s="21">
        <f>IF(ISNUMBER($B1209),INT($B1209)-WEEKDAY($B1209,2)+1,"")</f>
        <v/>
      </c>
      <c r="I1209" s="24" t="n"/>
      <c r="J1209" s="22">
        <f t="array" ref="J1209">IF($D1209="","",IF($I1209="","(trống REF)",IFERROR(INDEX(MASTER_SOURCE!$B$2:$B$495,MATCH($I1209,MASTER_SOURCE!$A$2:$A$495,0)),"(REF không có trong MASTER_SOURCE)")))</f>
        <v/>
      </c>
      <c r="K1209" s="22">
        <f t="array" ref="K1209">IF($D1209="","",IFERROR(INDEX(MASTER_SOURCE!$C$2:$C$495,MATCH($I1209,MASTER_SOURCE!$A$2:$A$495,0)),""))</f>
        <v/>
      </c>
      <c r="L1209" s="22">
        <f t="array" ref="L1209">IF($D1209="","",IFERROR(INDEX(MASTER_SOURCE!$D$2:$D$495,MATCH($I1209,MASTER_SOURCE!$A$2:$A$495,0)),""))</f>
        <v/>
      </c>
      <c r="M1209" s="24" t="n"/>
      <c r="N1209" s="24" t="n"/>
      <c r="O1209" s="24" t="n"/>
      <c r="P1209" s="24" t="n"/>
      <c r="Q1209" s="22">
        <f>IF($D1209="","",IF(AND(OR(DANH_MUC!$L$5&lt;&gt;"Có",M1209="Có"),OR(DANH_MUC!$L$6&lt;&gt;"Có",N1209="Có"),OR(DANH_MUC!$L$7&lt;&gt;"Có",O1209="Có"),OR(DANH_MUC!$L$8&lt;&gt;"Có",P1209="Có")),"Có","Không"))</f>
        <v/>
      </c>
      <c r="R1209" s="22">
        <f>IF($D1209="","",IF(COUNTIF($D$2:$D1209,$D1209)&gt;1,"Trùng",""))</f>
        <v/>
      </c>
      <c r="S1209" s="22">
        <f>IF($D1209="","",IF(AND(LEN($D1209)=10,LEFT($D1209,1)="0",ISNUMBER(--$D1209)),"Có","Không"))</f>
        <v/>
      </c>
      <c r="T1209" s="22">
        <f>IF($D1209="","",IF(AND($C1209&lt;&gt;"",$Q1209="Có",$R1209="",$S1209="Có",AND($L1209&lt;&gt;"",OR($L1209&lt;&gt;"Chưa xác định",DANH_MUC!$L$9="Có"))),"Có","Không"))</f>
        <v/>
      </c>
      <c r="U1209" s="22">
        <f>IF(OR($D1209="",$T1209="Có"),"",IF($C1209="","Thiếu họ tên; ","")&amp;IF($S1209&lt;&gt;"Có","SĐT sai định dạng; ","")&amp;IF($R1209="Trùng","Trùng SĐT; ","")&amp;IF($Q1209&lt;&gt;"Có","Thiếu đồng ý bắt buộc; ","")&amp;IF($L1209="","Thiếu/sai Mã REF; ",IF(AND($L1209="Chưa xác định",DANH_MUC!$L$9&lt;&gt;"Có"),"Nguồn chưa xác định; ","")))</f>
        <v/>
      </c>
      <c r="V1209" s="22">
        <f>IF(OR($D1209="",$R1209="Trùng"),"",IF(COUNTIF(ORDERS!$C$2:$C$4995,$D1209)&gt;0,"Có","Không"))</f>
        <v/>
      </c>
      <c r="W1209" s="22">
        <f>IF(OR($D1209="",$R1209="Trùng"),"",COUNTIFS(ORDERS!$C$2:$C$4995,$D1209,ORDERS!$L$2:$L$4995,"Đã chuyển khoản"))</f>
        <v/>
      </c>
      <c r="X1209" s="23">
        <f>IF(OR($D1209="",$R1209="Trùng"),"",SUMIFS(ORDERS!$J$2:$J$4995,ORDERS!$C$2:$C$4995,$D1209,ORDERS!$L$2:$L$4995,"Đã chuyển khoản"))</f>
        <v/>
      </c>
      <c r="Y1209" s="24" t="n"/>
    </row>
    <row r="1210" ht="14.25" customHeight="1" s="40">
      <c r="A1210" s="24" t="n"/>
      <c r="B1210" s="27" t="n"/>
      <c r="C1210" s="24" t="n"/>
      <c r="D1210" s="28" t="n"/>
      <c r="E1210" s="29" t="n"/>
      <c r="F1210" s="24" t="n"/>
      <c r="G1210" s="24" t="n"/>
      <c r="H1210" s="21">
        <f>IF(ISNUMBER($B1210),INT($B1210)-WEEKDAY($B1210,2)+1,"")</f>
        <v/>
      </c>
      <c r="I1210" s="24" t="n"/>
      <c r="J1210" s="22">
        <f t="array" ref="J1210">IF($D1210="","",IF($I1210="","(trống REF)",IFERROR(INDEX(MASTER_SOURCE!$B$2:$B$495,MATCH($I1210,MASTER_SOURCE!$A$2:$A$495,0)),"(REF không có trong MASTER_SOURCE)")))</f>
        <v/>
      </c>
      <c r="K1210" s="22">
        <f t="array" ref="K1210">IF($D1210="","",IFERROR(INDEX(MASTER_SOURCE!$C$2:$C$495,MATCH($I1210,MASTER_SOURCE!$A$2:$A$495,0)),""))</f>
        <v/>
      </c>
      <c r="L1210" s="22">
        <f t="array" ref="L1210">IF($D1210="","",IFERROR(INDEX(MASTER_SOURCE!$D$2:$D$495,MATCH($I1210,MASTER_SOURCE!$A$2:$A$495,0)),""))</f>
        <v/>
      </c>
      <c r="M1210" s="24" t="n"/>
      <c r="N1210" s="24" t="n"/>
      <c r="O1210" s="24" t="n"/>
      <c r="P1210" s="24" t="n"/>
      <c r="Q1210" s="22">
        <f>IF($D1210="","",IF(AND(OR(DANH_MUC!$L$5&lt;&gt;"Có",M1210="Có"),OR(DANH_MUC!$L$6&lt;&gt;"Có",N1210="Có"),OR(DANH_MUC!$L$7&lt;&gt;"Có",O1210="Có"),OR(DANH_MUC!$L$8&lt;&gt;"Có",P1210="Có")),"Có","Không"))</f>
        <v/>
      </c>
      <c r="R1210" s="22">
        <f>IF($D1210="","",IF(COUNTIF($D$2:$D1210,$D1210)&gt;1,"Trùng",""))</f>
        <v/>
      </c>
      <c r="S1210" s="22">
        <f>IF($D1210="","",IF(AND(LEN($D1210)=10,LEFT($D1210,1)="0",ISNUMBER(--$D1210)),"Có","Không"))</f>
        <v/>
      </c>
      <c r="T1210" s="22">
        <f>IF($D1210="","",IF(AND($C1210&lt;&gt;"",$Q1210="Có",$R1210="",$S1210="Có",AND($L1210&lt;&gt;"",OR($L1210&lt;&gt;"Chưa xác định",DANH_MUC!$L$9="Có"))),"Có","Không"))</f>
        <v/>
      </c>
      <c r="U1210" s="22">
        <f>IF(OR($D1210="",$T1210="Có"),"",IF($C1210="","Thiếu họ tên; ","")&amp;IF($S1210&lt;&gt;"Có","SĐT sai định dạng; ","")&amp;IF($R1210="Trùng","Trùng SĐT; ","")&amp;IF($Q1210&lt;&gt;"Có","Thiếu đồng ý bắt buộc; ","")&amp;IF($L1210="","Thiếu/sai Mã REF; ",IF(AND($L1210="Chưa xác định",DANH_MUC!$L$9&lt;&gt;"Có"),"Nguồn chưa xác định; ","")))</f>
        <v/>
      </c>
      <c r="V1210" s="22">
        <f>IF(OR($D1210="",$R1210="Trùng"),"",IF(COUNTIF(ORDERS!$C$2:$C$4995,$D1210)&gt;0,"Có","Không"))</f>
        <v/>
      </c>
      <c r="W1210" s="22">
        <f>IF(OR($D1210="",$R1210="Trùng"),"",COUNTIFS(ORDERS!$C$2:$C$4995,$D1210,ORDERS!$L$2:$L$4995,"Đã chuyển khoản"))</f>
        <v/>
      </c>
      <c r="X1210" s="23">
        <f>IF(OR($D1210="",$R1210="Trùng"),"",SUMIFS(ORDERS!$J$2:$J$4995,ORDERS!$C$2:$C$4995,$D1210,ORDERS!$L$2:$L$4995,"Đã chuyển khoản"))</f>
        <v/>
      </c>
      <c r="Y1210" s="24" t="n"/>
    </row>
    <row r="1211" ht="14.25" customHeight="1" s="40">
      <c r="A1211" s="24" t="n"/>
      <c r="B1211" s="27" t="n"/>
      <c r="C1211" s="24" t="n"/>
      <c r="D1211" s="28" t="n"/>
      <c r="E1211" s="29" t="n"/>
      <c r="F1211" s="24" t="n"/>
      <c r="G1211" s="24" t="n"/>
      <c r="H1211" s="21">
        <f>IF(ISNUMBER($B1211),INT($B1211)-WEEKDAY($B1211,2)+1,"")</f>
        <v/>
      </c>
      <c r="I1211" s="24" t="n"/>
      <c r="J1211" s="22">
        <f t="array" ref="J1211">IF($D1211="","",IF($I1211="","(trống REF)",IFERROR(INDEX(MASTER_SOURCE!$B$2:$B$495,MATCH($I1211,MASTER_SOURCE!$A$2:$A$495,0)),"(REF không có trong MASTER_SOURCE)")))</f>
        <v/>
      </c>
      <c r="K1211" s="22">
        <f t="array" ref="K1211">IF($D1211="","",IFERROR(INDEX(MASTER_SOURCE!$C$2:$C$495,MATCH($I1211,MASTER_SOURCE!$A$2:$A$495,0)),""))</f>
        <v/>
      </c>
      <c r="L1211" s="22">
        <f t="array" ref="L1211">IF($D1211="","",IFERROR(INDEX(MASTER_SOURCE!$D$2:$D$495,MATCH($I1211,MASTER_SOURCE!$A$2:$A$495,0)),""))</f>
        <v/>
      </c>
      <c r="M1211" s="24" t="n"/>
      <c r="N1211" s="24" t="n"/>
      <c r="O1211" s="24" t="n"/>
      <c r="P1211" s="24" t="n"/>
      <c r="Q1211" s="22">
        <f>IF($D1211="","",IF(AND(OR(DANH_MUC!$L$5&lt;&gt;"Có",M1211="Có"),OR(DANH_MUC!$L$6&lt;&gt;"Có",N1211="Có"),OR(DANH_MUC!$L$7&lt;&gt;"Có",O1211="Có"),OR(DANH_MUC!$L$8&lt;&gt;"Có",P1211="Có")),"Có","Không"))</f>
        <v/>
      </c>
      <c r="R1211" s="22">
        <f>IF($D1211="","",IF(COUNTIF($D$2:$D1211,$D1211)&gt;1,"Trùng",""))</f>
        <v/>
      </c>
      <c r="S1211" s="22">
        <f>IF($D1211="","",IF(AND(LEN($D1211)=10,LEFT($D1211,1)="0",ISNUMBER(--$D1211)),"Có","Không"))</f>
        <v/>
      </c>
      <c r="T1211" s="22">
        <f>IF($D1211="","",IF(AND($C1211&lt;&gt;"",$Q1211="Có",$R1211="",$S1211="Có",AND($L1211&lt;&gt;"",OR($L1211&lt;&gt;"Chưa xác định",DANH_MUC!$L$9="Có"))),"Có","Không"))</f>
        <v/>
      </c>
      <c r="U1211" s="22">
        <f>IF(OR($D1211="",$T1211="Có"),"",IF($C1211="","Thiếu họ tên; ","")&amp;IF($S1211&lt;&gt;"Có","SĐT sai định dạng; ","")&amp;IF($R1211="Trùng","Trùng SĐT; ","")&amp;IF($Q1211&lt;&gt;"Có","Thiếu đồng ý bắt buộc; ","")&amp;IF($L1211="","Thiếu/sai Mã REF; ",IF(AND($L1211="Chưa xác định",DANH_MUC!$L$9&lt;&gt;"Có"),"Nguồn chưa xác định; ","")))</f>
        <v/>
      </c>
      <c r="V1211" s="22">
        <f>IF(OR($D1211="",$R1211="Trùng"),"",IF(COUNTIF(ORDERS!$C$2:$C$4995,$D1211)&gt;0,"Có","Không"))</f>
        <v/>
      </c>
      <c r="W1211" s="22">
        <f>IF(OR($D1211="",$R1211="Trùng"),"",COUNTIFS(ORDERS!$C$2:$C$4995,$D1211,ORDERS!$L$2:$L$4995,"Đã chuyển khoản"))</f>
        <v/>
      </c>
      <c r="X1211" s="23">
        <f>IF(OR($D1211="",$R1211="Trùng"),"",SUMIFS(ORDERS!$J$2:$J$4995,ORDERS!$C$2:$C$4995,$D1211,ORDERS!$L$2:$L$4995,"Đã chuyển khoản"))</f>
        <v/>
      </c>
      <c r="Y1211" s="24" t="n"/>
    </row>
    <row r="1212" ht="14.25" customHeight="1" s="40">
      <c r="A1212" s="24" t="n"/>
      <c r="B1212" s="27" t="n"/>
      <c r="C1212" s="24" t="n"/>
      <c r="D1212" s="28" t="n"/>
      <c r="E1212" s="29" t="n"/>
      <c r="F1212" s="24" t="n"/>
      <c r="G1212" s="24" t="n"/>
      <c r="H1212" s="21">
        <f>IF(ISNUMBER($B1212),INT($B1212)-WEEKDAY($B1212,2)+1,"")</f>
        <v/>
      </c>
      <c r="I1212" s="24" t="n"/>
      <c r="J1212" s="22">
        <f t="array" ref="J1212">IF($D1212="","",IF($I1212="","(trống REF)",IFERROR(INDEX(MASTER_SOURCE!$B$2:$B$495,MATCH($I1212,MASTER_SOURCE!$A$2:$A$495,0)),"(REF không có trong MASTER_SOURCE)")))</f>
        <v/>
      </c>
      <c r="K1212" s="22">
        <f t="array" ref="K1212">IF($D1212="","",IFERROR(INDEX(MASTER_SOURCE!$C$2:$C$495,MATCH($I1212,MASTER_SOURCE!$A$2:$A$495,0)),""))</f>
        <v/>
      </c>
      <c r="L1212" s="22">
        <f t="array" ref="L1212">IF($D1212="","",IFERROR(INDEX(MASTER_SOURCE!$D$2:$D$495,MATCH($I1212,MASTER_SOURCE!$A$2:$A$495,0)),""))</f>
        <v/>
      </c>
      <c r="M1212" s="24" t="n"/>
      <c r="N1212" s="24" t="n"/>
      <c r="O1212" s="24" t="n"/>
      <c r="P1212" s="24" t="n"/>
      <c r="Q1212" s="22">
        <f>IF($D1212="","",IF(AND(OR(DANH_MUC!$L$5&lt;&gt;"Có",M1212="Có"),OR(DANH_MUC!$L$6&lt;&gt;"Có",N1212="Có"),OR(DANH_MUC!$L$7&lt;&gt;"Có",O1212="Có"),OR(DANH_MUC!$L$8&lt;&gt;"Có",P1212="Có")),"Có","Không"))</f>
        <v/>
      </c>
      <c r="R1212" s="22">
        <f>IF($D1212="","",IF(COUNTIF($D$2:$D1212,$D1212)&gt;1,"Trùng",""))</f>
        <v/>
      </c>
      <c r="S1212" s="22">
        <f>IF($D1212="","",IF(AND(LEN($D1212)=10,LEFT($D1212,1)="0",ISNUMBER(--$D1212)),"Có","Không"))</f>
        <v/>
      </c>
      <c r="T1212" s="22">
        <f>IF($D1212="","",IF(AND($C1212&lt;&gt;"",$Q1212="Có",$R1212="",$S1212="Có",AND($L1212&lt;&gt;"",OR($L1212&lt;&gt;"Chưa xác định",DANH_MUC!$L$9="Có"))),"Có","Không"))</f>
        <v/>
      </c>
      <c r="U1212" s="22">
        <f>IF(OR($D1212="",$T1212="Có"),"",IF($C1212="","Thiếu họ tên; ","")&amp;IF($S1212&lt;&gt;"Có","SĐT sai định dạng; ","")&amp;IF($R1212="Trùng","Trùng SĐT; ","")&amp;IF($Q1212&lt;&gt;"Có","Thiếu đồng ý bắt buộc; ","")&amp;IF($L1212="","Thiếu/sai Mã REF; ",IF(AND($L1212="Chưa xác định",DANH_MUC!$L$9&lt;&gt;"Có"),"Nguồn chưa xác định; ","")))</f>
        <v/>
      </c>
      <c r="V1212" s="22">
        <f>IF(OR($D1212="",$R1212="Trùng"),"",IF(COUNTIF(ORDERS!$C$2:$C$4995,$D1212)&gt;0,"Có","Không"))</f>
        <v/>
      </c>
      <c r="W1212" s="22">
        <f>IF(OR($D1212="",$R1212="Trùng"),"",COUNTIFS(ORDERS!$C$2:$C$4995,$D1212,ORDERS!$L$2:$L$4995,"Đã chuyển khoản"))</f>
        <v/>
      </c>
      <c r="X1212" s="23">
        <f>IF(OR($D1212="",$R1212="Trùng"),"",SUMIFS(ORDERS!$J$2:$J$4995,ORDERS!$C$2:$C$4995,$D1212,ORDERS!$L$2:$L$4995,"Đã chuyển khoản"))</f>
        <v/>
      </c>
      <c r="Y1212" s="24" t="n"/>
    </row>
    <row r="1213" ht="14.25" customHeight="1" s="40">
      <c r="A1213" s="24" t="n"/>
      <c r="B1213" s="27" t="n"/>
      <c r="C1213" s="24" t="n"/>
      <c r="D1213" s="28" t="n"/>
      <c r="E1213" s="29" t="n"/>
      <c r="F1213" s="24" t="n"/>
      <c r="G1213" s="24" t="n"/>
      <c r="H1213" s="21">
        <f>IF(ISNUMBER($B1213),INT($B1213)-WEEKDAY($B1213,2)+1,"")</f>
        <v/>
      </c>
      <c r="I1213" s="24" t="n"/>
      <c r="J1213" s="22">
        <f t="array" ref="J1213">IF($D1213="","",IF($I1213="","(trống REF)",IFERROR(INDEX(MASTER_SOURCE!$B$2:$B$495,MATCH($I1213,MASTER_SOURCE!$A$2:$A$495,0)),"(REF không có trong MASTER_SOURCE)")))</f>
        <v/>
      </c>
      <c r="K1213" s="22">
        <f t="array" ref="K1213">IF($D1213="","",IFERROR(INDEX(MASTER_SOURCE!$C$2:$C$495,MATCH($I1213,MASTER_SOURCE!$A$2:$A$495,0)),""))</f>
        <v/>
      </c>
      <c r="L1213" s="22">
        <f t="array" ref="L1213">IF($D1213="","",IFERROR(INDEX(MASTER_SOURCE!$D$2:$D$495,MATCH($I1213,MASTER_SOURCE!$A$2:$A$495,0)),""))</f>
        <v/>
      </c>
      <c r="M1213" s="24" t="n"/>
      <c r="N1213" s="24" t="n"/>
      <c r="O1213" s="24" t="n"/>
      <c r="P1213" s="24" t="n"/>
      <c r="Q1213" s="22">
        <f>IF($D1213="","",IF(AND(OR(DANH_MUC!$L$5&lt;&gt;"Có",M1213="Có"),OR(DANH_MUC!$L$6&lt;&gt;"Có",N1213="Có"),OR(DANH_MUC!$L$7&lt;&gt;"Có",O1213="Có"),OR(DANH_MUC!$L$8&lt;&gt;"Có",P1213="Có")),"Có","Không"))</f>
        <v/>
      </c>
      <c r="R1213" s="22">
        <f>IF($D1213="","",IF(COUNTIF($D$2:$D1213,$D1213)&gt;1,"Trùng",""))</f>
        <v/>
      </c>
      <c r="S1213" s="22">
        <f>IF($D1213="","",IF(AND(LEN($D1213)=10,LEFT($D1213,1)="0",ISNUMBER(--$D1213)),"Có","Không"))</f>
        <v/>
      </c>
      <c r="T1213" s="22">
        <f>IF($D1213="","",IF(AND($C1213&lt;&gt;"",$Q1213="Có",$R1213="",$S1213="Có",AND($L1213&lt;&gt;"",OR($L1213&lt;&gt;"Chưa xác định",DANH_MUC!$L$9="Có"))),"Có","Không"))</f>
        <v/>
      </c>
      <c r="U1213" s="22">
        <f>IF(OR($D1213="",$T1213="Có"),"",IF($C1213="","Thiếu họ tên; ","")&amp;IF($S1213&lt;&gt;"Có","SĐT sai định dạng; ","")&amp;IF($R1213="Trùng","Trùng SĐT; ","")&amp;IF($Q1213&lt;&gt;"Có","Thiếu đồng ý bắt buộc; ","")&amp;IF($L1213="","Thiếu/sai Mã REF; ",IF(AND($L1213="Chưa xác định",DANH_MUC!$L$9&lt;&gt;"Có"),"Nguồn chưa xác định; ","")))</f>
        <v/>
      </c>
      <c r="V1213" s="22">
        <f>IF(OR($D1213="",$R1213="Trùng"),"",IF(COUNTIF(ORDERS!$C$2:$C$4995,$D1213)&gt;0,"Có","Không"))</f>
        <v/>
      </c>
      <c r="W1213" s="22">
        <f>IF(OR($D1213="",$R1213="Trùng"),"",COUNTIFS(ORDERS!$C$2:$C$4995,$D1213,ORDERS!$L$2:$L$4995,"Đã chuyển khoản"))</f>
        <v/>
      </c>
      <c r="X1213" s="23">
        <f>IF(OR($D1213="",$R1213="Trùng"),"",SUMIFS(ORDERS!$J$2:$J$4995,ORDERS!$C$2:$C$4995,$D1213,ORDERS!$L$2:$L$4995,"Đã chuyển khoản"))</f>
        <v/>
      </c>
      <c r="Y1213" s="24" t="n"/>
    </row>
    <row r="1214" ht="14.25" customHeight="1" s="40">
      <c r="A1214" s="24" t="n"/>
      <c r="B1214" s="27" t="n"/>
      <c r="C1214" s="24" t="n"/>
      <c r="D1214" s="28" t="n"/>
      <c r="E1214" s="29" t="n"/>
      <c r="F1214" s="24" t="n"/>
      <c r="G1214" s="24" t="n"/>
      <c r="H1214" s="21">
        <f>IF(ISNUMBER($B1214),INT($B1214)-WEEKDAY($B1214,2)+1,"")</f>
        <v/>
      </c>
      <c r="I1214" s="24" t="n"/>
      <c r="J1214" s="22">
        <f t="array" ref="J1214">IF($D1214="","",IF($I1214="","(trống REF)",IFERROR(INDEX(MASTER_SOURCE!$B$2:$B$495,MATCH($I1214,MASTER_SOURCE!$A$2:$A$495,0)),"(REF không có trong MASTER_SOURCE)")))</f>
        <v/>
      </c>
      <c r="K1214" s="22">
        <f t="array" ref="K1214">IF($D1214="","",IFERROR(INDEX(MASTER_SOURCE!$C$2:$C$495,MATCH($I1214,MASTER_SOURCE!$A$2:$A$495,0)),""))</f>
        <v/>
      </c>
      <c r="L1214" s="22">
        <f t="array" ref="L1214">IF($D1214="","",IFERROR(INDEX(MASTER_SOURCE!$D$2:$D$495,MATCH($I1214,MASTER_SOURCE!$A$2:$A$495,0)),""))</f>
        <v/>
      </c>
      <c r="M1214" s="24" t="n"/>
      <c r="N1214" s="24" t="n"/>
      <c r="O1214" s="24" t="n"/>
      <c r="P1214" s="24" t="n"/>
      <c r="Q1214" s="22">
        <f>IF($D1214="","",IF(AND(OR(DANH_MUC!$L$5&lt;&gt;"Có",M1214="Có"),OR(DANH_MUC!$L$6&lt;&gt;"Có",N1214="Có"),OR(DANH_MUC!$L$7&lt;&gt;"Có",O1214="Có"),OR(DANH_MUC!$L$8&lt;&gt;"Có",P1214="Có")),"Có","Không"))</f>
        <v/>
      </c>
      <c r="R1214" s="22">
        <f>IF($D1214="","",IF(COUNTIF($D$2:$D1214,$D1214)&gt;1,"Trùng",""))</f>
        <v/>
      </c>
      <c r="S1214" s="22">
        <f>IF($D1214="","",IF(AND(LEN($D1214)=10,LEFT($D1214,1)="0",ISNUMBER(--$D1214)),"Có","Không"))</f>
        <v/>
      </c>
      <c r="T1214" s="22">
        <f>IF($D1214="","",IF(AND($C1214&lt;&gt;"",$Q1214="Có",$R1214="",$S1214="Có",AND($L1214&lt;&gt;"",OR($L1214&lt;&gt;"Chưa xác định",DANH_MUC!$L$9="Có"))),"Có","Không"))</f>
        <v/>
      </c>
      <c r="U1214" s="22">
        <f>IF(OR($D1214="",$T1214="Có"),"",IF($C1214="","Thiếu họ tên; ","")&amp;IF($S1214&lt;&gt;"Có","SĐT sai định dạng; ","")&amp;IF($R1214="Trùng","Trùng SĐT; ","")&amp;IF($Q1214&lt;&gt;"Có","Thiếu đồng ý bắt buộc; ","")&amp;IF($L1214="","Thiếu/sai Mã REF; ",IF(AND($L1214="Chưa xác định",DANH_MUC!$L$9&lt;&gt;"Có"),"Nguồn chưa xác định; ","")))</f>
        <v/>
      </c>
      <c r="V1214" s="22">
        <f>IF(OR($D1214="",$R1214="Trùng"),"",IF(COUNTIF(ORDERS!$C$2:$C$4995,$D1214)&gt;0,"Có","Không"))</f>
        <v/>
      </c>
      <c r="W1214" s="22">
        <f>IF(OR($D1214="",$R1214="Trùng"),"",COUNTIFS(ORDERS!$C$2:$C$4995,$D1214,ORDERS!$L$2:$L$4995,"Đã chuyển khoản"))</f>
        <v/>
      </c>
      <c r="X1214" s="23">
        <f>IF(OR($D1214="",$R1214="Trùng"),"",SUMIFS(ORDERS!$J$2:$J$4995,ORDERS!$C$2:$C$4995,$D1214,ORDERS!$L$2:$L$4995,"Đã chuyển khoản"))</f>
        <v/>
      </c>
      <c r="Y1214" s="24" t="n"/>
    </row>
    <row r="1215" ht="14.25" customHeight="1" s="40">
      <c r="A1215" s="24" t="n"/>
      <c r="B1215" s="27" t="n"/>
      <c r="C1215" s="24" t="n"/>
      <c r="D1215" s="28" t="n"/>
      <c r="E1215" s="29" t="n"/>
      <c r="F1215" s="24" t="n"/>
      <c r="G1215" s="24" t="n"/>
      <c r="H1215" s="21">
        <f>IF(ISNUMBER($B1215),INT($B1215)-WEEKDAY($B1215,2)+1,"")</f>
        <v/>
      </c>
      <c r="I1215" s="24" t="n"/>
      <c r="J1215" s="22">
        <f t="array" ref="J1215">IF($D1215="","",IF($I1215="","(trống REF)",IFERROR(INDEX(MASTER_SOURCE!$B$2:$B$495,MATCH($I1215,MASTER_SOURCE!$A$2:$A$495,0)),"(REF không có trong MASTER_SOURCE)")))</f>
        <v/>
      </c>
      <c r="K1215" s="22">
        <f t="array" ref="K1215">IF($D1215="","",IFERROR(INDEX(MASTER_SOURCE!$C$2:$C$495,MATCH($I1215,MASTER_SOURCE!$A$2:$A$495,0)),""))</f>
        <v/>
      </c>
      <c r="L1215" s="22">
        <f t="array" ref="L1215">IF($D1215="","",IFERROR(INDEX(MASTER_SOURCE!$D$2:$D$495,MATCH($I1215,MASTER_SOURCE!$A$2:$A$495,0)),""))</f>
        <v/>
      </c>
      <c r="M1215" s="24" t="n"/>
      <c r="N1215" s="24" t="n"/>
      <c r="O1215" s="24" t="n"/>
      <c r="P1215" s="24" t="n"/>
      <c r="Q1215" s="22">
        <f>IF($D1215="","",IF(AND(OR(DANH_MUC!$L$5&lt;&gt;"Có",M1215="Có"),OR(DANH_MUC!$L$6&lt;&gt;"Có",N1215="Có"),OR(DANH_MUC!$L$7&lt;&gt;"Có",O1215="Có"),OR(DANH_MUC!$L$8&lt;&gt;"Có",P1215="Có")),"Có","Không"))</f>
        <v/>
      </c>
      <c r="R1215" s="22">
        <f>IF($D1215="","",IF(COUNTIF($D$2:$D1215,$D1215)&gt;1,"Trùng",""))</f>
        <v/>
      </c>
      <c r="S1215" s="22">
        <f>IF($D1215="","",IF(AND(LEN($D1215)=10,LEFT($D1215,1)="0",ISNUMBER(--$D1215)),"Có","Không"))</f>
        <v/>
      </c>
      <c r="T1215" s="22">
        <f>IF($D1215="","",IF(AND($C1215&lt;&gt;"",$Q1215="Có",$R1215="",$S1215="Có",AND($L1215&lt;&gt;"",OR($L1215&lt;&gt;"Chưa xác định",DANH_MUC!$L$9="Có"))),"Có","Không"))</f>
        <v/>
      </c>
      <c r="U1215" s="22">
        <f>IF(OR($D1215="",$T1215="Có"),"",IF($C1215="","Thiếu họ tên; ","")&amp;IF($S1215&lt;&gt;"Có","SĐT sai định dạng; ","")&amp;IF($R1215="Trùng","Trùng SĐT; ","")&amp;IF($Q1215&lt;&gt;"Có","Thiếu đồng ý bắt buộc; ","")&amp;IF($L1215="","Thiếu/sai Mã REF; ",IF(AND($L1215="Chưa xác định",DANH_MUC!$L$9&lt;&gt;"Có"),"Nguồn chưa xác định; ","")))</f>
        <v/>
      </c>
      <c r="V1215" s="22">
        <f>IF(OR($D1215="",$R1215="Trùng"),"",IF(COUNTIF(ORDERS!$C$2:$C$4995,$D1215)&gt;0,"Có","Không"))</f>
        <v/>
      </c>
      <c r="W1215" s="22">
        <f>IF(OR($D1215="",$R1215="Trùng"),"",COUNTIFS(ORDERS!$C$2:$C$4995,$D1215,ORDERS!$L$2:$L$4995,"Đã chuyển khoản"))</f>
        <v/>
      </c>
      <c r="X1215" s="23">
        <f>IF(OR($D1215="",$R1215="Trùng"),"",SUMIFS(ORDERS!$J$2:$J$4995,ORDERS!$C$2:$C$4995,$D1215,ORDERS!$L$2:$L$4995,"Đã chuyển khoản"))</f>
        <v/>
      </c>
      <c r="Y1215" s="24" t="n"/>
    </row>
    <row r="1216" ht="14.25" customHeight="1" s="40">
      <c r="A1216" s="24" t="n"/>
      <c r="B1216" s="27" t="n"/>
      <c r="C1216" s="24" t="n"/>
      <c r="D1216" s="28" t="n"/>
      <c r="E1216" s="29" t="n"/>
      <c r="F1216" s="24" t="n"/>
      <c r="G1216" s="24" t="n"/>
      <c r="H1216" s="21">
        <f>IF(ISNUMBER($B1216),INT($B1216)-WEEKDAY($B1216,2)+1,"")</f>
        <v/>
      </c>
      <c r="I1216" s="24" t="n"/>
      <c r="J1216" s="22">
        <f t="array" ref="J1216">IF($D1216="","",IF($I1216="","(trống REF)",IFERROR(INDEX(MASTER_SOURCE!$B$2:$B$495,MATCH($I1216,MASTER_SOURCE!$A$2:$A$495,0)),"(REF không có trong MASTER_SOURCE)")))</f>
        <v/>
      </c>
      <c r="K1216" s="22">
        <f t="array" ref="K1216">IF($D1216="","",IFERROR(INDEX(MASTER_SOURCE!$C$2:$C$495,MATCH($I1216,MASTER_SOURCE!$A$2:$A$495,0)),""))</f>
        <v/>
      </c>
      <c r="L1216" s="22">
        <f t="array" ref="L1216">IF($D1216="","",IFERROR(INDEX(MASTER_SOURCE!$D$2:$D$495,MATCH($I1216,MASTER_SOURCE!$A$2:$A$495,0)),""))</f>
        <v/>
      </c>
      <c r="M1216" s="24" t="n"/>
      <c r="N1216" s="24" t="n"/>
      <c r="O1216" s="24" t="n"/>
      <c r="P1216" s="24" t="n"/>
      <c r="Q1216" s="22">
        <f>IF($D1216="","",IF(AND(OR(DANH_MUC!$L$5&lt;&gt;"Có",M1216="Có"),OR(DANH_MUC!$L$6&lt;&gt;"Có",N1216="Có"),OR(DANH_MUC!$L$7&lt;&gt;"Có",O1216="Có"),OR(DANH_MUC!$L$8&lt;&gt;"Có",P1216="Có")),"Có","Không"))</f>
        <v/>
      </c>
      <c r="R1216" s="22">
        <f>IF($D1216="","",IF(COUNTIF($D$2:$D1216,$D1216)&gt;1,"Trùng",""))</f>
        <v/>
      </c>
      <c r="S1216" s="22">
        <f>IF($D1216="","",IF(AND(LEN($D1216)=10,LEFT($D1216,1)="0",ISNUMBER(--$D1216)),"Có","Không"))</f>
        <v/>
      </c>
      <c r="T1216" s="22">
        <f>IF($D1216="","",IF(AND($C1216&lt;&gt;"",$Q1216="Có",$R1216="",$S1216="Có",AND($L1216&lt;&gt;"",OR($L1216&lt;&gt;"Chưa xác định",DANH_MUC!$L$9="Có"))),"Có","Không"))</f>
        <v/>
      </c>
      <c r="U1216" s="22">
        <f>IF(OR($D1216="",$T1216="Có"),"",IF($C1216="","Thiếu họ tên; ","")&amp;IF($S1216&lt;&gt;"Có","SĐT sai định dạng; ","")&amp;IF($R1216="Trùng","Trùng SĐT; ","")&amp;IF($Q1216&lt;&gt;"Có","Thiếu đồng ý bắt buộc; ","")&amp;IF($L1216="","Thiếu/sai Mã REF; ",IF(AND($L1216="Chưa xác định",DANH_MUC!$L$9&lt;&gt;"Có"),"Nguồn chưa xác định; ","")))</f>
        <v/>
      </c>
      <c r="V1216" s="22">
        <f>IF(OR($D1216="",$R1216="Trùng"),"",IF(COUNTIF(ORDERS!$C$2:$C$4995,$D1216)&gt;0,"Có","Không"))</f>
        <v/>
      </c>
      <c r="W1216" s="22">
        <f>IF(OR($D1216="",$R1216="Trùng"),"",COUNTIFS(ORDERS!$C$2:$C$4995,$D1216,ORDERS!$L$2:$L$4995,"Đã chuyển khoản"))</f>
        <v/>
      </c>
      <c r="X1216" s="23">
        <f>IF(OR($D1216="",$R1216="Trùng"),"",SUMIFS(ORDERS!$J$2:$J$4995,ORDERS!$C$2:$C$4995,$D1216,ORDERS!$L$2:$L$4995,"Đã chuyển khoản"))</f>
        <v/>
      </c>
      <c r="Y1216" s="24" t="n"/>
    </row>
    <row r="1217" ht="14.25" customHeight="1" s="40">
      <c r="A1217" s="24" t="n"/>
      <c r="B1217" s="27" t="n"/>
      <c r="C1217" s="24" t="n"/>
      <c r="D1217" s="28" t="n"/>
      <c r="E1217" s="29" t="n"/>
      <c r="F1217" s="24" t="n"/>
      <c r="G1217" s="24" t="n"/>
      <c r="H1217" s="21">
        <f>IF(ISNUMBER($B1217),INT($B1217)-WEEKDAY($B1217,2)+1,"")</f>
        <v/>
      </c>
      <c r="I1217" s="24" t="n"/>
      <c r="J1217" s="22">
        <f t="array" ref="J1217">IF($D1217="","",IF($I1217="","(trống REF)",IFERROR(INDEX(MASTER_SOURCE!$B$2:$B$495,MATCH($I1217,MASTER_SOURCE!$A$2:$A$495,0)),"(REF không có trong MASTER_SOURCE)")))</f>
        <v/>
      </c>
      <c r="K1217" s="22">
        <f t="array" ref="K1217">IF($D1217="","",IFERROR(INDEX(MASTER_SOURCE!$C$2:$C$495,MATCH($I1217,MASTER_SOURCE!$A$2:$A$495,0)),""))</f>
        <v/>
      </c>
      <c r="L1217" s="22">
        <f t="array" ref="L1217">IF($D1217="","",IFERROR(INDEX(MASTER_SOURCE!$D$2:$D$495,MATCH($I1217,MASTER_SOURCE!$A$2:$A$495,0)),""))</f>
        <v/>
      </c>
      <c r="M1217" s="24" t="n"/>
      <c r="N1217" s="24" t="n"/>
      <c r="O1217" s="24" t="n"/>
      <c r="P1217" s="24" t="n"/>
      <c r="Q1217" s="22">
        <f>IF($D1217="","",IF(AND(OR(DANH_MUC!$L$5&lt;&gt;"Có",M1217="Có"),OR(DANH_MUC!$L$6&lt;&gt;"Có",N1217="Có"),OR(DANH_MUC!$L$7&lt;&gt;"Có",O1217="Có"),OR(DANH_MUC!$L$8&lt;&gt;"Có",P1217="Có")),"Có","Không"))</f>
        <v/>
      </c>
      <c r="R1217" s="22">
        <f>IF($D1217="","",IF(COUNTIF($D$2:$D1217,$D1217)&gt;1,"Trùng",""))</f>
        <v/>
      </c>
      <c r="S1217" s="22">
        <f>IF($D1217="","",IF(AND(LEN($D1217)=10,LEFT($D1217,1)="0",ISNUMBER(--$D1217)),"Có","Không"))</f>
        <v/>
      </c>
      <c r="T1217" s="22">
        <f>IF($D1217="","",IF(AND($C1217&lt;&gt;"",$Q1217="Có",$R1217="",$S1217="Có",AND($L1217&lt;&gt;"",OR($L1217&lt;&gt;"Chưa xác định",DANH_MUC!$L$9="Có"))),"Có","Không"))</f>
        <v/>
      </c>
      <c r="U1217" s="22">
        <f>IF(OR($D1217="",$T1217="Có"),"",IF($C1217="","Thiếu họ tên; ","")&amp;IF($S1217&lt;&gt;"Có","SĐT sai định dạng; ","")&amp;IF($R1217="Trùng","Trùng SĐT; ","")&amp;IF($Q1217&lt;&gt;"Có","Thiếu đồng ý bắt buộc; ","")&amp;IF($L1217="","Thiếu/sai Mã REF; ",IF(AND($L1217="Chưa xác định",DANH_MUC!$L$9&lt;&gt;"Có"),"Nguồn chưa xác định; ","")))</f>
        <v/>
      </c>
      <c r="V1217" s="22">
        <f>IF(OR($D1217="",$R1217="Trùng"),"",IF(COUNTIF(ORDERS!$C$2:$C$4995,$D1217)&gt;0,"Có","Không"))</f>
        <v/>
      </c>
      <c r="W1217" s="22">
        <f>IF(OR($D1217="",$R1217="Trùng"),"",COUNTIFS(ORDERS!$C$2:$C$4995,$D1217,ORDERS!$L$2:$L$4995,"Đã chuyển khoản"))</f>
        <v/>
      </c>
      <c r="X1217" s="23">
        <f>IF(OR($D1217="",$R1217="Trùng"),"",SUMIFS(ORDERS!$J$2:$J$4995,ORDERS!$C$2:$C$4995,$D1217,ORDERS!$L$2:$L$4995,"Đã chuyển khoản"))</f>
        <v/>
      </c>
      <c r="Y1217" s="24" t="n"/>
    </row>
    <row r="1218" ht="14.25" customHeight="1" s="40">
      <c r="A1218" s="24" t="n"/>
      <c r="B1218" s="27" t="n"/>
      <c r="C1218" s="24" t="n"/>
      <c r="D1218" s="28" t="n"/>
      <c r="E1218" s="29" t="n"/>
      <c r="F1218" s="24" t="n"/>
      <c r="G1218" s="24" t="n"/>
      <c r="H1218" s="21">
        <f>IF(ISNUMBER($B1218),INT($B1218)-WEEKDAY($B1218,2)+1,"")</f>
        <v/>
      </c>
      <c r="I1218" s="24" t="n"/>
      <c r="J1218" s="22">
        <f t="array" ref="J1218">IF($D1218="","",IF($I1218="","(trống REF)",IFERROR(INDEX(MASTER_SOURCE!$B$2:$B$495,MATCH($I1218,MASTER_SOURCE!$A$2:$A$495,0)),"(REF không có trong MASTER_SOURCE)")))</f>
        <v/>
      </c>
      <c r="K1218" s="22">
        <f t="array" ref="K1218">IF($D1218="","",IFERROR(INDEX(MASTER_SOURCE!$C$2:$C$495,MATCH($I1218,MASTER_SOURCE!$A$2:$A$495,0)),""))</f>
        <v/>
      </c>
      <c r="L1218" s="22">
        <f t="array" ref="L1218">IF($D1218="","",IFERROR(INDEX(MASTER_SOURCE!$D$2:$D$495,MATCH($I1218,MASTER_SOURCE!$A$2:$A$495,0)),""))</f>
        <v/>
      </c>
      <c r="M1218" s="24" t="n"/>
      <c r="N1218" s="24" t="n"/>
      <c r="O1218" s="24" t="n"/>
      <c r="P1218" s="24" t="n"/>
      <c r="Q1218" s="22">
        <f>IF($D1218="","",IF(AND(OR(DANH_MUC!$L$5&lt;&gt;"Có",M1218="Có"),OR(DANH_MUC!$L$6&lt;&gt;"Có",N1218="Có"),OR(DANH_MUC!$L$7&lt;&gt;"Có",O1218="Có"),OR(DANH_MUC!$L$8&lt;&gt;"Có",P1218="Có")),"Có","Không"))</f>
        <v/>
      </c>
      <c r="R1218" s="22">
        <f>IF($D1218="","",IF(COUNTIF($D$2:$D1218,$D1218)&gt;1,"Trùng",""))</f>
        <v/>
      </c>
      <c r="S1218" s="22">
        <f>IF($D1218="","",IF(AND(LEN($D1218)=10,LEFT($D1218,1)="0",ISNUMBER(--$D1218)),"Có","Không"))</f>
        <v/>
      </c>
      <c r="T1218" s="22">
        <f>IF($D1218="","",IF(AND($C1218&lt;&gt;"",$Q1218="Có",$R1218="",$S1218="Có",AND($L1218&lt;&gt;"",OR($L1218&lt;&gt;"Chưa xác định",DANH_MUC!$L$9="Có"))),"Có","Không"))</f>
        <v/>
      </c>
      <c r="U1218" s="22">
        <f>IF(OR($D1218="",$T1218="Có"),"",IF($C1218="","Thiếu họ tên; ","")&amp;IF($S1218&lt;&gt;"Có","SĐT sai định dạng; ","")&amp;IF($R1218="Trùng","Trùng SĐT; ","")&amp;IF($Q1218&lt;&gt;"Có","Thiếu đồng ý bắt buộc; ","")&amp;IF($L1218="","Thiếu/sai Mã REF; ",IF(AND($L1218="Chưa xác định",DANH_MUC!$L$9&lt;&gt;"Có"),"Nguồn chưa xác định; ","")))</f>
        <v/>
      </c>
      <c r="V1218" s="22">
        <f>IF(OR($D1218="",$R1218="Trùng"),"",IF(COUNTIF(ORDERS!$C$2:$C$4995,$D1218)&gt;0,"Có","Không"))</f>
        <v/>
      </c>
      <c r="W1218" s="22">
        <f>IF(OR($D1218="",$R1218="Trùng"),"",COUNTIFS(ORDERS!$C$2:$C$4995,$D1218,ORDERS!$L$2:$L$4995,"Đã chuyển khoản"))</f>
        <v/>
      </c>
      <c r="X1218" s="23">
        <f>IF(OR($D1218="",$R1218="Trùng"),"",SUMIFS(ORDERS!$J$2:$J$4995,ORDERS!$C$2:$C$4995,$D1218,ORDERS!$L$2:$L$4995,"Đã chuyển khoản"))</f>
        <v/>
      </c>
      <c r="Y1218" s="24" t="n"/>
    </row>
    <row r="1219" ht="14.25" customHeight="1" s="40">
      <c r="A1219" s="24" t="n"/>
      <c r="B1219" s="27" t="n"/>
      <c r="C1219" s="24" t="n"/>
      <c r="D1219" s="28" t="n"/>
      <c r="E1219" s="29" t="n"/>
      <c r="F1219" s="24" t="n"/>
      <c r="G1219" s="24" t="n"/>
      <c r="H1219" s="21">
        <f>IF(ISNUMBER($B1219),INT($B1219)-WEEKDAY($B1219,2)+1,"")</f>
        <v/>
      </c>
      <c r="I1219" s="24" t="n"/>
      <c r="J1219" s="22">
        <f t="array" ref="J1219">IF($D1219="","",IF($I1219="","(trống REF)",IFERROR(INDEX(MASTER_SOURCE!$B$2:$B$495,MATCH($I1219,MASTER_SOURCE!$A$2:$A$495,0)),"(REF không có trong MASTER_SOURCE)")))</f>
        <v/>
      </c>
      <c r="K1219" s="22">
        <f t="array" ref="K1219">IF($D1219="","",IFERROR(INDEX(MASTER_SOURCE!$C$2:$C$495,MATCH($I1219,MASTER_SOURCE!$A$2:$A$495,0)),""))</f>
        <v/>
      </c>
      <c r="L1219" s="22">
        <f t="array" ref="L1219">IF($D1219="","",IFERROR(INDEX(MASTER_SOURCE!$D$2:$D$495,MATCH($I1219,MASTER_SOURCE!$A$2:$A$495,0)),""))</f>
        <v/>
      </c>
      <c r="M1219" s="24" t="n"/>
      <c r="N1219" s="24" t="n"/>
      <c r="O1219" s="24" t="n"/>
      <c r="P1219" s="24" t="n"/>
      <c r="Q1219" s="22">
        <f>IF($D1219="","",IF(AND(OR(DANH_MUC!$L$5&lt;&gt;"Có",M1219="Có"),OR(DANH_MUC!$L$6&lt;&gt;"Có",N1219="Có"),OR(DANH_MUC!$L$7&lt;&gt;"Có",O1219="Có"),OR(DANH_MUC!$L$8&lt;&gt;"Có",P1219="Có")),"Có","Không"))</f>
        <v/>
      </c>
      <c r="R1219" s="22">
        <f>IF($D1219="","",IF(COUNTIF($D$2:$D1219,$D1219)&gt;1,"Trùng",""))</f>
        <v/>
      </c>
      <c r="S1219" s="22">
        <f>IF($D1219="","",IF(AND(LEN($D1219)=10,LEFT($D1219,1)="0",ISNUMBER(--$D1219)),"Có","Không"))</f>
        <v/>
      </c>
      <c r="T1219" s="22">
        <f>IF($D1219="","",IF(AND($C1219&lt;&gt;"",$Q1219="Có",$R1219="",$S1219="Có",AND($L1219&lt;&gt;"",OR($L1219&lt;&gt;"Chưa xác định",DANH_MUC!$L$9="Có"))),"Có","Không"))</f>
        <v/>
      </c>
      <c r="U1219" s="22">
        <f>IF(OR($D1219="",$T1219="Có"),"",IF($C1219="","Thiếu họ tên; ","")&amp;IF($S1219&lt;&gt;"Có","SĐT sai định dạng; ","")&amp;IF($R1219="Trùng","Trùng SĐT; ","")&amp;IF($Q1219&lt;&gt;"Có","Thiếu đồng ý bắt buộc; ","")&amp;IF($L1219="","Thiếu/sai Mã REF; ",IF(AND($L1219="Chưa xác định",DANH_MUC!$L$9&lt;&gt;"Có"),"Nguồn chưa xác định; ","")))</f>
        <v/>
      </c>
      <c r="V1219" s="22">
        <f>IF(OR($D1219="",$R1219="Trùng"),"",IF(COUNTIF(ORDERS!$C$2:$C$4995,$D1219)&gt;0,"Có","Không"))</f>
        <v/>
      </c>
      <c r="W1219" s="22">
        <f>IF(OR($D1219="",$R1219="Trùng"),"",COUNTIFS(ORDERS!$C$2:$C$4995,$D1219,ORDERS!$L$2:$L$4995,"Đã chuyển khoản"))</f>
        <v/>
      </c>
      <c r="X1219" s="23">
        <f>IF(OR($D1219="",$R1219="Trùng"),"",SUMIFS(ORDERS!$J$2:$J$4995,ORDERS!$C$2:$C$4995,$D1219,ORDERS!$L$2:$L$4995,"Đã chuyển khoản"))</f>
        <v/>
      </c>
      <c r="Y1219" s="24" t="n"/>
    </row>
    <row r="1220" ht="14.25" customHeight="1" s="40">
      <c r="A1220" s="24" t="n"/>
      <c r="B1220" s="27" t="n"/>
      <c r="C1220" s="24" t="n"/>
      <c r="D1220" s="28" t="n"/>
      <c r="E1220" s="29" t="n"/>
      <c r="F1220" s="24" t="n"/>
      <c r="G1220" s="24" t="n"/>
      <c r="H1220" s="21">
        <f>IF(ISNUMBER($B1220),INT($B1220)-WEEKDAY($B1220,2)+1,"")</f>
        <v/>
      </c>
      <c r="I1220" s="24" t="n"/>
      <c r="J1220" s="22">
        <f t="array" ref="J1220">IF($D1220="","",IF($I1220="","(trống REF)",IFERROR(INDEX(MASTER_SOURCE!$B$2:$B$495,MATCH($I1220,MASTER_SOURCE!$A$2:$A$495,0)),"(REF không có trong MASTER_SOURCE)")))</f>
        <v/>
      </c>
      <c r="K1220" s="22">
        <f t="array" ref="K1220">IF($D1220="","",IFERROR(INDEX(MASTER_SOURCE!$C$2:$C$495,MATCH($I1220,MASTER_SOURCE!$A$2:$A$495,0)),""))</f>
        <v/>
      </c>
      <c r="L1220" s="22">
        <f t="array" ref="L1220">IF($D1220="","",IFERROR(INDEX(MASTER_SOURCE!$D$2:$D$495,MATCH($I1220,MASTER_SOURCE!$A$2:$A$495,0)),""))</f>
        <v/>
      </c>
      <c r="M1220" s="24" t="n"/>
      <c r="N1220" s="24" t="n"/>
      <c r="O1220" s="24" t="n"/>
      <c r="P1220" s="24" t="n"/>
      <c r="Q1220" s="22">
        <f>IF($D1220="","",IF(AND(OR(DANH_MUC!$L$5&lt;&gt;"Có",M1220="Có"),OR(DANH_MUC!$L$6&lt;&gt;"Có",N1220="Có"),OR(DANH_MUC!$L$7&lt;&gt;"Có",O1220="Có"),OR(DANH_MUC!$L$8&lt;&gt;"Có",P1220="Có")),"Có","Không"))</f>
        <v/>
      </c>
      <c r="R1220" s="22">
        <f>IF($D1220="","",IF(COUNTIF($D$2:$D1220,$D1220)&gt;1,"Trùng",""))</f>
        <v/>
      </c>
      <c r="S1220" s="22">
        <f>IF($D1220="","",IF(AND(LEN($D1220)=10,LEFT($D1220,1)="0",ISNUMBER(--$D1220)),"Có","Không"))</f>
        <v/>
      </c>
      <c r="T1220" s="22">
        <f>IF($D1220="","",IF(AND($C1220&lt;&gt;"",$Q1220="Có",$R1220="",$S1220="Có",AND($L1220&lt;&gt;"",OR($L1220&lt;&gt;"Chưa xác định",DANH_MUC!$L$9="Có"))),"Có","Không"))</f>
        <v/>
      </c>
      <c r="U1220" s="22">
        <f>IF(OR($D1220="",$T1220="Có"),"",IF($C1220="","Thiếu họ tên; ","")&amp;IF($S1220&lt;&gt;"Có","SĐT sai định dạng; ","")&amp;IF($R1220="Trùng","Trùng SĐT; ","")&amp;IF($Q1220&lt;&gt;"Có","Thiếu đồng ý bắt buộc; ","")&amp;IF($L1220="","Thiếu/sai Mã REF; ",IF(AND($L1220="Chưa xác định",DANH_MUC!$L$9&lt;&gt;"Có"),"Nguồn chưa xác định; ","")))</f>
        <v/>
      </c>
      <c r="V1220" s="22">
        <f>IF(OR($D1220="",$R1220="Trùng"),"",IF(COUNTIF(ORDERS!$C$2:$C$4995,$D1220)&gt;0,"Có","Không"))</f>
        <v/>
      </c>
      <c r="W1220" s="22">
        <f>IF(OR($D1220="",$R1220="Trùng"),"",COUNTIFS(ORDERS!$C$2:$C$4995,$D1220,ORDERS!$L$2:$L$4995,"Đã chuyển khoản"))</f>
        <v/>
      </c>
      <c r="X1220" s="23">
        <f>IF(OR($D1220="",$R1220="Trùng"),"",SUMIFS(ORDERS!$J$2:$J$4995,ORDERS!$C$2:$C$4995,$D1220,ORDERS!$L$2:$L$4995,"Đã chuyển khoản"))</f>
        <v/>
      </c>
      <c r="Y1220" s="24" t="n"/>
    </row>
    <row r="1221" ht="14.25" customHeight="1" s="40">
      <c r="A1221" s="24" t="n"/>
      <c r="B1221" s="27" t="n"/>
      <c r="C1221" s="24" t="n"/>
      <c r="D1221" s="28" t="n"/>
      <c r="E1221" s="29" t="n"/>
      <c r="F1221" s="24" t="n"/>
      <c r="G1221" s="24" t="n"/>
      <c r="H1221" s="21">
        <f>IF(ISNUMBER($B1221),INT($B1221)-WEEKDAY($B1221,2)+1,"")</f>
        <v/>
      </c>
      <c r="I1221" s="24" t="n"/>
      <c r="J1221" s="22">
        <f t="array" ref="J1221">IF($D1221="","",IF($I1221="","(trống REF)",IFERROR(INDEX(MASTER_SOURCE!$B$2:$B$495,MATCH($I1221,MASTER_SOURCE!$A$2:$A$495,0)),"(REF không có trong MASTER_SOURCE)")))</f>
        <v/>
      </c>
      <c r="K1221" s="22">
        <f t="array" ref="K1221">IF($D1221="","",IFERROR(INDEX(MASTER_SOURCE!$C$2:$C$495,MATCH($I1221,MASTER_SOURCE!$A$2:$A$495,0)),""))</f>
        <v/>
      </c>
      <c r="L1221" s="22">
        <f t="array" ref="L1221">IF($D1221="","",IFERROR(INDEX(MASTER_SOURCE!$D$2:$D$495,MATCH($I1221,MASTER_SOURCE!$A$2:$A$495,0)),""))</f>
        <v/>
      </c>
      <c r="M1221" s="24" t="n"/>
      <c r="N1221" s="24" t="n"/>
      <c r="O1221" s="24" t="n"/>
      <c r="P1221" s="24" t="n"/>
      <c r="Q1221" s="22">
        <f>IF($D1221="","",IF(AND(OR(DANH_MUC!$L$5&lt;&gt;"Có",M1221="Có"),OR(DANH_MUC!$L$6&lt;&gt;"Có",N1221="Có"),OR(DANH_MUC!$L$7&lt;&gt;"Có",O1221="Có"),OR(DANH_MUC!$L$8&lt;&gt;"Có",P1221="Có")),"Có","Không"))</f>
        <v/>
      </c>
      <c r="R1221" s="22">
        <f>IF($D1221="","",IF(COUNTIF($D$2:$D1221,$D1221)&gt;1,"Trùng",""))</f>
        <v/>
      </c>
      <c r="S1221" s="22">
        <f>IF($D1221="","",IF(AND(LEN($D1221)=10,LEFT($D1221,1)="0",ISNUMBER(--$D1221)),"Có","Không"))</f>
        <v/>
      </c>
      <c r="T1221" s="22">
        <f>IF($D1221="","",IF(AND($C1221&lt;&gt;"",$Q1221="Có",$R1221="",$S1221="Có",AND($L1221&lt;&gt;"",OR($L1221&lt;&gt;"Chưa xác định",DANH_MUC!$L$9="Có"))),"Có","Không"))</f>
        <v/>
      </c>
      <c r="U1221" s="22">
        <f>IF(OR($D1221="",$T1221="Có"),"",IF($C1221="","Thiếu họ tên; ","")&amp;IF($S1221&lt;&gt;"Có","SĐT sai định dạng; ","")&amp;IF($R1221="Trùng","Trùng SĐT; ","")&amp;IF($Q1221&lt;&gt;"Có","Thiếu đồng ý bắt buộc; ","")&amp;IF($L1221="","Thiếu/sai Mã REF; ",IF(AND($L1221="Chưa xác định",DANH_MUC!$L$9&lt;&gt;"Có"),"Nguồn chưa xác định; ","")))</f>
        <v/>
      </c>
      <c r="V1221" s="22">
        <f>IF(OR($D1221="",$R1221="Trùng"),"",IF(COUNTIF(ORDERS!$C$2:$C$4995,$D1221)&gt;0,"Có","Không"))</f>
        <v/>
      </c>
      <c r="W1221" s="22">
        <f>IF(OR($D1221="",$R1221="Trùng"),"",COUNTIFS(ORDERS!$C$2:$C$4995,$D1221,ORDERS!$L$2:$L$4995,"Đã chuyển khoản"))</f>
        <v/>
      </c>
      <c r="X1221" s="23">
        <f>IF(OR($D1221="",$R1221="Trùng"),"",SUMIFS(ORDERS!$J$2:$J$4995,ORDERS!$C$2:$C$4995,$D1221,ORDERS!$L$2:$L$4995,"Đã chuyển khoản"))</f>
        <v/>
      </c>
      <c r="Y1221" s="24" t="n"/>
    </row>
    <row r="1222" ht="14.25" customHeight="1" s="40">
      <c r="A1222" s="24" t="n"/>
      <c r="B1222" s="27" t="n"/>
      <c r="C1222" s="24" t="n"/>
      <c r="D1222" s="28" t="n"/>
      <c r="E1222" s="29" t="n"/>
      <c r="F1222" s="24" t="n"/>
      <c r="G1222" s="24" t="n"/>
      <c r="H1222" s="21">
        <f>IF(ISNUMBER($B1222),INT($B1222)-WEEKDAY($B1222,2)+1,"")</f>
        <v/>
      </c>
      <c r="I1222" s="24" t="n"/>
      <c r="J1222" s="22">
        <f t="array" ref="J1222">IF($D1222="","",IF($I1222="","(trống REF)",IFERROR(INDEX(MASTER_SOURCE!$B$2:$B$495,MATCH($I1222,MASTER_SOURCE!$A$2:$A$495,0)),"(REF không có trong MASTER_SOURCE)")))</f>
        <v/>
      </c>
      <c r="K1222" s="22">
        <f t="array" ref="K1222">IF($D1222="","",IFERROR(INDEX(MASTER_SOURCE!$C$2:$C$495,MATCH($I1222,MASTER_SOURCE!$A$2:$A$495,0)),""))</f>
        <v/>
      </c>
      <c r="L1222" s="22">
        <f t="array" ref="L1222">IF($D1222="","",IFERROR(INDEX(MASTER_SOURCE!$D$2:$D$495,MATCH($I1222,MASTER_SOURCE!$A$2:$A$495,0)),""))</f>
        <v/>
      </c>
      <c r="M1222" s="24" t="n"/>
      <c r="N1222" s="24" t="n"/>
      <c r="O1222" s="24" t="n"/>
      <c r="P1222" s="24" t="n"/>
      <c r="Q1222" s="22">
        <f>IF($D1222="","",IF(AND(OR(DANH_MUC!$L$5&lt;&gt;"Có",M1222="Có"),OR(DANH_MUC!$L$6&lt;&gt;"Có",N1222="Có"),OR(DANH_MUC!$L$7&lt;&gt;"Có",O1222="Có"),OR(DANH_MUC!$L$8&lt;&gt;"Có",P1222="Có")),"Có","Không"))</f>
        <v/>
      </c>
      <c r="R1222" s="22">
        <f>IF($D1222="","",IF(COUNTIF($D$2:$D1222,$D1222)&gt;1,"Trùng",""))</f>
        <v/>
      </c>
      <c r="S1222" s="22">
        <f>IF($D1222="","",IF(AND(LEN($D1222)=10,LEFT($D1222,1)="0",ISNUMBER(--$D1222)),"Có","Không"))</f>
        <v/>
      </c>
      <c r="T1222" s="22">
        <f>IF($D1222="","",IF(AND($C1222&lt;&gt;"",$Q1222="Có",$R1222="",$S1222="Có",AND($L1222&lt;&gt;"",OR($L1222&lt;&gt;"Chưa xác định",DANH_MUC!$L$9="Có"))),"Có","Không"))</f>
        <v/>
      </c>
      <c r="U1222" s="22">
        <f>IF(OR($D1222="",$T1222="Có"),"",IF($C1222="","Thiếu họ tên; ","")&amp;IF($S1222&lt;&gt;"Có","SĐT sai định dạng; ","")&amp;IF($R1222="Trùng","Trùng SĐT; ","")&amp;IF($Q1222&lt;&gt;"Có","Thiếu đồng ý bắt buộc; ","")&amp;IF($L1222="","Thiếu/sai Mã REF; ",IF(AND($L1222="Chưa xác định",DANH_MUC!$L$9&lt;&gt;"Có"),"Nguồn chưa xác định; ","")))</f>
        <v/>
      </c>
      <c r="V1222" s="22">
        <f>IF(OR($D1222="",$R1222="Trùng"),"",IF(COUNTIF(ORDERS!$C$2:$C$4995,$D1222)&gt;0,"Có","Không"))</f>
        <v/>
      </c>
      <c r="W1222" s="22">
        <f>IF(OR($D1222="",$R1222="Trùng"),"",COUNTIFS(ORDERS!$C$2:$C$4995,$D1222,ORDERS!$L$2:$L$4995,"Đã chuyển khoản"))</f>
        <v/>
      </c>
      <c r="X1222" s="23">
        <f>IF(OR($D1222="",$R1222="Trùng"),"",SUMIFS(ORDERS!$J$2:$J$4995,ORDERS!$C$2:$C$4995,$D1222,ORDERS!$L$2:$L$4995,"Đã chuyển khoản"))</f>
        <v/>
      </c>
      <c r="Y1222" s="24" t="n"/>
    </row>
    <row r="1223" ht="14.25" customHeight="1" s="40">
      <c r="A1223" s="24" t="n"/>
      <c r="B1223" s="27" t="n"/>
      <c r="C1223" s="24" t="n"/>
      <c r="D1223" s="28" t="n"/>
      <c r="E1223" s="29" t="n"/>
      <c r="F1223" s="24" t="n"/>
      <c r="G1223" s="24" t="n"/>
      <c r="H1223" s="21">
        <f>IF(ISNUMBER($B1223),INT($B1223)-WEEKDAY($B1223,2)+1,"")</f>
        <v/>
      </c>
      <c r="I1223" s="24" t="n"/>
      <c r="J1223" s="22">
        <f t="array" ref="J1223">IF($D1223="","",IF($I1223="","(trống REF)",IFERROR(INDEX(MASTER_SOURCE!$B$2:$B$495,MATCH($I1223,MASTER_SOURCE!$A$2:$A$495,0)),"(REF không có trong MASTER_SOURCE)")))</f>
        <v/>
      </c>
      <c r="K1223" s="22">
        <f t="array" ref="K1223">IF($D1223="","",IFERROR(INDEX(MASTER_SOURCE!$C$2:$C$495,MATCH($I1223,MASTER_SOURCE!$A$2:$A$495,0)),""))</f>
        <v/>
      </c>
      <c r="L1223" s="22">
        <f t="array" ref="L1223">IF($D1223="","",IFERROR(INDEX(MASTER_SOURCE!$D$2:$D$495,MATCH($I1223,MASTER_SOURCE!$A$2:$A$495,0)),""))</f>
        <v/>
      </c>
      <c r="M1223" s="24" t="n"/>
      <c r="N1223" s="24" t="n"/>
      <c r="O1223" s="24" t="n"/>
      <c r="P1223" s="24" t="n"/>
      <c r="Q1223" s="22">
        <f>IF($D1223="","",IF(AND(OR(DANH_MUC!$L$5&lt;&gt;"Có",M1223="Có"),OR(DANH_MUC!$L$6&lt;&gt;"Có",N1223="Có"),OR(DANH_MUC!$L$7&lt;&gt;"Có",O1223="Có"),OR(DANH_MUC!$L$8&lt;&gt;"Có",P1223="Có")),"Có","Không"))</f>
        <v/>
      </c>
      <c r="R1223" s="22">
        <f>IF($D1223="","",IF(COUNTIF($D$2:$D1223,$D1223)&gt;1,"Trùng",""))</f>
        <v/>
      </c>
      <c r="S1223" s="22">
        <f>IF($D1223="","",IF(AND(LEN($D1223)=10,LEFT($D1223,1)="0",ISNUMBER(--$D1223)),"Có","Không"))</f>
        <v/>
      </c>
      <c r="T1223" s="22">
        <f>IF($D1223="","",IF(AND($C1223&lt;&gt;"",$Q1223="Có",$R1223="",$S1223="Có",AND($L1223&lt;&gt;"",OR($L1223&lt;&gt;"Chưa xác định",DANH_MUC!$L$9="Có"))),"Có","Không"))</f>
        <v/>
      </c>
      <c r="U1223" s="22">
        <f>IF(OR($D1223="",$T1223="Có"),"",IF($C1223="","Thiếu họ tên; ","")&amp;IF($S1223&lt;&gt;"Có","SĐT sai định dạng; ","")&amp;IF($R1223="Trùng","Trùng SĐT; ","")&amp;IF($Q1223&lt;&gt;"Có","Thiếu đồng ý bắt buộc; ","")&amp;IF($L1223="","Thiếu/sai Mã REF; ",IF(AND($L1223="Chưa xác định",DANH_MUC!$L$9&lt;&gt;"Có"),"Nguồn chưa xác định; ","")))</f>
        <v/>
      </c>
      <c r="V1223" s="22">
        <f>IF(OR($D1223="",$R1223="Trùng"),"",IF(COUNTIF(ORDERS!$C$2:$C$4995,$D1223)&gt;0,"Có","Không"))</f>
        <v/>
      </c>
      <c r="W1223" s="22">
        <f>IF(OR($D1223="",$R1223="Trùng"),"",COUNTIFS(ORDERS!$C$2:$C$4995,$D1223,ORDERS!$L$2:$L$4995,"Đã chuyển khoản"))</f>
        <v/>
      </c>
      <c r="X1223" s="23">
        <f>IF(OR($D1223="",$R1223="Trùng"),"",SUMIFS(ORDERS!$J$2:$J$4995,ORDERS!$C$2:$C$4995,$D1223,ORDERS!$L$2:$L$4995,"Đã chuyển khoản"))</f>
        <v/>
      </c>
      <c r="Y1223" s="24" t="n"/>
    </row>
    <row r="1224" ht="14.25" customHeight="1" s="40">
      <c r="A1224" s="24" t="n"/>
      <c r="B1224" s="27" t="n"/>
      <c r="C1224" s="24" t="n"/>
      <c r="D1224" s="28" t="n"/>
      <c r="E1224" s="29" t="n"/>
      <c r="F1224" s="24" t="n"/>
      <c r="G1224" s="24" t="n"/>
      <c r="H1224" s="21">
        <f>IF(ISNUMBER($B1224),INT($B1224)-WEEKDAY($B1224,2)+1,"")</f>
        <v/>
      </c>
      <c r="I1224" s="24" t="n"/>
      <c r="J1224" s="22">
        <f t="array" ref="J1224">IF($D1224="","",IF($I1224="","(trống REF)",IFERROR(INDEX(MASTER_SOURCE!$B$2:$B$495,MATCH($I1224,MASTER_SOURCE!$A$2:$A$495,0)),"(REF không có trong MASTER_SOURCE)")))</f>
        <v/>
      </c>
      <c r="K1224" s="22">
        <f t="array" ref="K1224">IF($D1224="","",IFERROR(INDEX(MASTER_SOURCE!$C$2:$C$495,MATCH($I1224,MASTER_SOURCE!$A$2:$A$495,0)),""))</f>
        <v/>
      </c>
      <c r="L1224" s="22">
        <f t="array" ref="L1224">IF($D1224="","",IFERROR(INDEX(MASTER_SOURCE!$D$2:$D$495,MATCH($I1224,MASTER_SOURCE!$A$2:$A$495,0)),""))</f>
        <v/>
      </c>
      <c r="M1224" s="24" t="n"/>
      <c r="N1224" s="24" t="n"/>
      <c r="O1224" s="24" t="n"/>
      <c r="P1224" s="24" t="n"/>
      <c r="Q1224" s="22">
        <f>IF($D1224="","",IF(AND(OR(DANH_MUC!$L$5&lt;&gt;"Có",M1224="Có"),OR(DANH_MUC!$L$6&lt;&gt;"Có",N1224="Có"),OR(DANH_MUC!$L$7&lt;&gt;"Có",O1224="Có"),OR(DANH_MUC!$L$8&lt;&gt;"Có",P1224="Có")),"Có","Không"))</f>
        <v/>
      </c>
      <c r="R1224" s="22">
        <f>IF($D1224="","",IF(COUNTIF($D$2:$D1224,$D1224)&gt;1,"Trùng",""))</f>
        <v/>
      </c>
      <c r="S1224" s="22">
        <f>IF($D1224="","",IF(AND(LEN($D1224)=10,LEFT($D1224,1)="0",ISNUMBER(--$D1224)),"Có","Không"))</f>
        <v/>
      </c>
      <c r="T1224" s="22">
        <f>IF($D1224="","",IF(AND($C1224&lt;&gt;"",$Q1224="Có",$R1224="",$S1224="Có",AND($L1224&lt;&gt;"",OR($L1224&lt;&gt;"Chưa xác định",DANH_MUC!$L$9="Có"))),"Có","Không"))</f>
        <v/>
      </c>
      <c r="U1224" s="22">
        <f>IF(OR($D1224="",$T1224="Có"),"",IF($C1224="","Thiếu họ tên; ","")&amp;IF($S1224&lt;&gt;"Có","SĐT sai định dạng; ","")&amp;IF($R1224="Trùng","Trùng SĐT; ","")&amp;IF($Q1224&lt;&gt;"Có","Thiếu đồng ý bắt buộc; ","")&amp;IF($L1224="","Thiếu/sai Mã REF; ",IF(AND($L1224="Chưa xác định",DANH_MUC!$L$9&lt;&gt;"Có"),"Nguồn chưa xác định; ","")))</f>
        <v/>
      </c>
      <c r="V1224" s="22">
        <f>IF(OR($D1224="",$R1224="Trùng"),"",IF(COUNTIF(ORDERS!$C$2:$C$4995,$D1224)&gt;0,"Có","Không"))</f>
        <v/>
      </c>
      <c r="W1224" s="22">
        <f>IF(OR($D1224="",$R1224="Trùng"),"",COUNTIFS(ORDERS!$C$2:$C$4995,$D1224,ORDERS!$L$2:$L$4995,"Đã chuyển khoản"))</f>
        <v/>
      </c>
      <c r="X1224" s="23">
        <f>IF(OR($D1224="",$R1224="Trùng"),"",SUMIFS(ORDERS!$J$2:$J$4995,ORDERS!$C$2:$C$4995,$D1224,ORDERS!$L$2:$L$4995,"Đã chuyển khoản"))</f>
        <v/>
      </c>
      <c r="Y1224" s="24" t="n"/>
    </row>
    <row r="1225" ht="14.25" customHeight="1" s="40">
      <c r="A1225" s="24" t="n"/>
      <c r="B1225" s="27" t="n"/>
      <c r="C1225" s="24" t="n"/>
      <c r="D1225" s="28" t="n"/>
      <c r="E1225" s="29" t="n"/>
      <c r="F1225" s="24" t="n"/>
      <c r="G1225" s="24" t="n"/>
      <c r="H1225" s="21">
        <f>IF(ISNUMBER($B1225),INT($B1225)-WEEKDAY($B1225,2)+1,"")</f>
        <v/>
      </c>
      <c r="I1225" s="24" t="n"/>
      <c r="J1225" s="22">
        <f t="array" ref="J1225">IF($D1225="","",IF($I1225="","(trống REF)",IFERROR(INDEX(MASTER_SOURCE!$B$2:$B$495,MATCH($I1225,MASTER_SOURCE!$A$2:$A$495,0)),"(REF không có trong MASTER_SOURCE)")))</f>
        <v/>
      </c>
      <c r="K1225" s="22">
        <f t="array" ref="K1225">IF($D1225="","",IFERROR(INDEX(MASTER_SOURCE!$C$2:$C$495,MATCH($I1225,MASTER_SOURCE!$A$2:$A$495,0)),""))</f>
        <v/>
      </c>
      <c r="L1225" s="22">
        <f t="array" ref="L1225">IF($D1225="","",IFERROR(INDEX(MASTER_SOURCE!$D$2:$D$495,MATCH($I1225,MASTER_SOURCE!$A$2:$A$495,0)),""))</f>
        <v/>
      </c>
      <c r="M1225" s="24" t="n"/>
      <c r="N1225" s="24" t="n"/>
      <c r="O1225" s="24" t="n"/>
      <c r="P1225" s="24" t="n"/>
      <c r="Q1225" s="22">
        <f>IF($D1225="","",IF(AND(OR(DANH_MUC!$L$5&lt;&gt;"Có",M1225="Có"),OR(DANH_MUC!$L$6&lt;&gt;"Có",N1225="Có"),OR(DANH_MUC!$L$7&lt;&gt;"Có",O1225="Có"),OR(DANH_MUC!$L$8&lt;&gt;"Có",P1225="Có")),"Có","Không"))</f>
        <v/>
      </c>
      <c r="R1225" s="22">
        <f>IF($D1225="","",IF(COUNTIF($D$2:$D1225,$D1225)&gt;1,"Trùng",""))</f>
        <v/>
      </c>
      <c r="S1225" s="22">
        <f>IF($D1225="","",IF(AND(LEN($D1225)=10,LEFT($D1225,1)="0",ISNUMBER(--$D1225)),"Có","Không"))</f>
        <v/>
      </c>
      <c r="T1225" s="22">
        <f>IF($D1225="","",IF(AND($C1225&lt;&gt;"",$Q1225="Có",$R1225="",$S1225="Có",AND($L1225&lt;&gt;"",OR($L1225&lt;&gt;"Chưa xác định",DANH_MUC!$L$9="Có"))),"Có","Không"))</f>
        <v/>
      </c>
      <c r="U1225" s="22">
        <f>IF(OR($D1225="",$T1225="Có"),"",IF($C1225="","Thiếu họ tên; ","")&amp;IF($S1225&lt;&gt;"Có","SĐT sai định dạng; ","")&amp;IF($R1225="Trùng","Trùng SĐT; ","")&amp;IF($Q1225&lt;&gt;"Có","Thiếu đồng ý bắt buộc; ","")&amp;IF($L1225="","Thiếu/sai Mã REF; ",IF(AND($L1225="Chưa xác định",DANH_MUC!$L$9&lt;&gt;"Có"),"Nguồn chưa xác định; ","")))</f>
        <v/>
      </c>
      <c r="V1225" s="22">
        <f>IF(OR($D1225="",$R1225="Trùng"),"",IF(COUNTIF(ORDERS!$C$2:$C$4995,$D1225)&gt;0,"Có","Không"))</f>
        <v/>
      </c>
      <c r="W1225" s="22">
        <f>IF(OR($D1225="",$R1225="Trùng"),"",COUNTIFS(ORDERS!$C$2:$C$4995,$D1225,ORDERS!$L$2:$L$4995,"Đã chuyển khoản"))</f>
        <v/>
      </c>
      <c r="X1225" s="23">
        <f>IF(OR($D1225="",$R1225="Trùng"),"",SUMIFS(ORDERS!$J$2:$J$4995,ORDERS!$C$2:$C$4995,$D1225,ORDERS!$L$2:$L$4995,"Đã chuyển khoản"))</f>
        <v/>
      </c>
      <c r="Y1225" s="24" t="n"/>
    </row>
    <row r="1226" ht="14.25" customHeight="1" s="40">
      <c r="A1226" s="24" t="n"/>
      <c r="B1226" s="27" t="n"/>
      <c r="C1226" s="24" t="n"/>
      <c r="D1226" s="28" t="n"/>
      <c r="E1226" s="29" t="n"/>
      <c r="F1226" s="24" t="n"/>
      <c r="G1226" s="24" t="n"/>
      <c r="H1226" s="21">
        <f>IF(ISNUMBER($B1226),INT($B1226)-WEEKDAY($B1226,2)+1,"")</f>
        <v/>
      </c>
      <c r="I1226" s="24" t="n"/>
      <c r="J1226" s="22">
        <f t="array" ref="J1226">IF($D1226="","",IF($I1226="","(trống REF)",IFERROR(INDEX(MASTER_SOURCE!$B$2:$B$495,MATCH($I1226,MASTER_SOURCE!$A$2:$A$495,0)),"(REF không có trong MASTER_SOURCE)")))</f>
        <v/>
      </c>
      <c r="K1226" s="22">
        <f t="array" ref="K1226">IF($D1226="","",IFERROR(INDEX(MASTER_SOURCE!$C$2:$C$495,MATCH($I1226,MASTER_SOURCE!$A$2:$A$495,0)),""))</f>
        <v/>
      </c>
      <c r="L1226" s="22">
        <f t="array" ref="L1226">IF($D1226="","",IFERROR(INDEX(MASTER_SOURCE!$D$2:$D$495,MATCH($I1226,MASTER_SOURCE!$A$2:$A$495,0)),""))</f>
        <v/>
      </c>
      <c r="M1226" s="24" t="n"/>
      <c r="N1226" s="24" t="n"/>
      <c r="O1226" s="24" t="n"/>
      <c r="P1226" s="24" t="n"/>
      <c r="Q1226" s="22">
        <f>IF($D1226="","",IF(AND(OR(DANH_MUC!$L$5&lt;&gt;"Có",M1226="Có"),OR(DANH_MUC!$L$6&lt;&gt;"Có",N1226="Có"),OR(DANH_MUC!$L$7&lt;&gt;"Có",O1226="Có"),OR(DANH_MUC!$L$8&lt;&gt;"Có",P1226="Có")),"Có","Không"))</f>
        <v/>
      </c>
      <c r="R1226" s="22">
        <f>IF($D1226="","",IF(COUNTIF($D$2:$D1226,$D1226)&gt;1,"Trùng",""))</f>
        <v/>
      </c>
      <c r="S1226" s="22">
        <f>IF($D1226="","",IF(AND(LEN($D1226)=10,LEFT($D1226,1)="0",ISNUMBER(--$D1226)),"Có","Không"))</f>
        <v/>
      </c>
      <c r="T1226" s="22">
        <f>IF($D1226="","",IF(AND($C1226&lt;&gt;"",$Q1226="Có",$R1226="",$S1226="Có",AND($L1226&lt;&gt;"",OR($L1226&lt;&gt;"Chưa xác định",DANH_MUC!$L$9="Có"))),"Có","Không"))</f>
        <v/>
      </c>
      <c r="U1226" s="22">
        <f>IF(OR($D1226="",$T1226="Có"),"",IF($C1226="","Thiếu họ tên; ","")&amp;IF($S1226&lt;&gt;"Có","SĐT sai định dạng; ","")&amp;IF($R1226="Trùng","Trùng SĐT; ","")&amp;IF($Q1226&lt;&gt;"Có","Thiếu đồng ý bắt buộc; ","")&amp;IF($L1226="","Thiếu/sai Mã REF; ",IF(AND($L1226="Chưa xác định",DANH_MUC!$L$9&lt;&gt;"Có"),"Nguồn chưa xác định; ","")))</f>
        <v/>
      </c>
      <c r="V1226" s="22">
        <f>IF(OR($D1226="",$R1226="Trùng"),"",IF(COUNTIF(ORDERS!$C$2:$C$4995,$D1226)&gt;0,"Có","Không"))</f>
        <v/>
      </c>
      <c r="W1226" s="22">
        <f>IF(OR($D1226="",$R1226="Trùng"),"",COUNTIFS(ORDERS!$C$2:$C$4995,$D1226,ORDERS!$L$2:$L$4995,"Đã chuyển khoản"))</f>
        <v/>
      </c>
      <c r="X1226" s="23">
        <f>IF(OR($D1226="",$R1226="Trùng"),"",SUMIFS(ORDERS!$J$2:$J$4995,ORDERS!$C$2:$C$4995,$D1226,ORDERS!$L$2:$L$4995,"Đã chuyển khoản"))</f>
        <v/>
      </c>
      <c r="Y1226" s="24" t="n"/>
    </row>
    <row r="1227" ht="14.25" customHeight="1" s="40">
      <c r="A1227" s="24" t="n"/>
      <c r="B1227" s="27" t="n"/>
      <c r="C1227" s="24" t="n"/>
      <c r="D1227" s="28" t="n"/>
      <c r="E1227" s="29" t="n"/>
      <c r="F1227" s="24" t="n"/>
      <c r="G1227" s="24" t="n"/>
      <c r="H1227" s="21">
        <f>IF(ISNUMBER($B1227),INT($B1227)-WEEKDAY($B1227,2)+1,"")</f>
        <v/>
      </c>
      <c r="I1227" s="24" t="n"/>
      <c r="J1227" s="22">
        <f t="array" ref="J1227">IF($D1227="","",IF($I1227="","(trống REF)",IFERROR(INDEX(MASTER_SOURCE!$B$2:$B$495,MATCH($I1227,MASTER_SOURCE!$A$2:$A$495,0)),"(REF không có trong MASTER_SOURCE)")))</f>
        <v/>
      </c>
      <c r="K1227" s="22">
        <f t="array" ref="K1227">IF($D1227="","",IFERROR(INDEX(MASTER_SOURCE!$C$2:$C$495,MATCH($I1227,MASTER_SOURCE!$A$2:$A$495,0)),""))</f>
        <v/>
      </c>
      <c r="L1227" s="22">
        <f t="array" ref="L1227">IF($D1227="","",IFERROR(INDEX(MASTER_SOURCE!$D$2:$D$495,MATCH($I1227,MASTER_SOURCE!$A$2:$A$495,0)),""))</f>
        <v/>
      </c>
      <c r="M1227" s="24" t="n"/>
      <c r="N1227" s="24" t="n"/>
      <c r="O1227" s="24" t="n"/>
      <c r="P1227" s="24" t="n"/>
      <c r="Q1227" s="22">
        <f>IF($D1227="","",IF(AND(OR(DANH_MUC!$L$5&lt;&gt;"Có",M1227="Có"),OR(DANH_MUC!$L$6&lt;&gt;"Có",N1227="Có"),OR(DANH_MUC!$L$7&lt;&gt;"Có",O1227="Có"),OR(DANH_MUC!$L$8&lt;&gt;"Có",P1227="Có")),"Có","Không"))</f>
        <v/>
      </c>
      <c r="R1227" s="22">
        <f>IF($D1227="","",IF(COUNTIF($D$2:$D1227,$D1227)&gt;1,"Trùng",""))</f>
        <v/>
      </c>
      <c r="S1227" s="22">
        <f>IF($D1227="","",IF(AND(LEN($D1227)=10,LEFT($D1227,1)="0",ISNUMBER(--$D1227)),"Có","Không"))</f>
        <v/>
      </c>
      <c r="T1227" s="22">
        <f>IF($D1227="","",IF(AND($C1227&lt;&gt;"",$Q1227="Có",$R1227="",$S1227="Có",AND($L1227&lt;&gt;"",OR($L1227&lt;&gt;"Chưa xác định",DANH_MUC!$L$9="Có"))),"Có","Không"))</f>
        <v/>
      </c>
      <c r="U1227" s="22">
        <f>IF(OR($D1227="",$T1227="Có"),"",IF($C1227="","Thiếu họ tên; ","")&amp;IF($S1227&lt;&gt;"Có","SĐT sai định dạng; ","")&amp;IF($R1227="Trùng","Trùng SĐT; ","")&amp;IF($Q1227&lt;&gt;"Có","Thiếu đồng ý bắt buộc; ","")&amp;IF($L1227="","Thiếu/sai Mã REF; ",IF(AND($L1227="Chưa xác định",DANH_MUC!$L$9&lt;&gt;"Có"),"Nguồn chưa xác định; ","")))</f>
        <v/>
      </c>
      <c r="V1227" s="22">
        <f>IF(OR($D1227="",$R1227="Trùng"),"",IF(COUNTIF(ORDERS!$C$2:$C$4995,$D1227)&gt;0,"Có","Không"))</f>
        <v/>
      </c>
      <c r="W1227" s="22">
        <f>IF(OR($D1227="",$R1227="Trùng"),"",COUNTIFS(ORDERS!$C$2:$C$4995,$D1227,ORDERS!$L$2:$L$4995,"Đã chuyển khoản"))</f>
        <v/>
      </c>
      <c r="X1227" s="23">
        <f>IF(OR($D1227="",$R1227="Trùng"),"",SUMIFS(ORDERS!$J$2:$J$4995,ORDERS!$C$2:$C$4995,$D1227,ORDERS!$L$2:$L$4995,"Đã chuyển khoản"))</f>
        <v/>
      </c>
      <c r="Y1227" s="24" t="n"/>
    </row>
    <row r="1228" ht="14.25" customHeight="1" s="40">
      <c r="A1228" s="24" t="n"/>
      <c r="B1228" s="27" t="n"/>
      <c r="C1228" s="24" t="n"/>
      <c r="D1228" s="28" t="n"/>
      <c r="E1228" s="29" t="n"/>
      <c r="F1228" s="24" t="n"/>
      <c r="G1228" s="24" t="n"/>
      <c r="H1228" s="21">
        <f>IF(ISNUMBER($B1228),INT($B1228)-WEEKDAY($B1228,2)+1,"")</f>
        <v/>
      </c>
      <c r="I1228" s="24" t="n"/>
      <c r="J1228" s="22">
        <f t="array" ref="J1228">IF($D1228="","",IF($I1228="","(trống REF)",IFERROR(INDEX(MASTER_SOURCE!$B$2:$B$495,MATCH($I1228,MASTER_SOURCE!$A$2:$A$495,0)),"(REF không có trong MASTER_SOURCE)")))</f>
        <v/>
      </c>
      <c r="K1228" s="22">
        <f t="array" ref="K1228">IF($D1228="","",IFERROR(INDEX(MASTER_SOURCE!$C$2:$C$495,MATCH($I1228,MASTER_SOURCE!$A$2:$A$495,0)),""))</f>
        <v/>
      </c>
      <c r="L1228" s="22">
        <f t="array" ref="L1228">IF($D1228="","",IFERROR(INDEX(MASTER_SOURCE!$D$2:$D$495,MATCH($I1228,MASTER_SOURCE!$A$2:$A$495,0)),""))</f>
        <v/>
      </c>
      <c r="M1228" s="24" t="n"/>
      <c r="N1228" s="24" t="n"/>
      <c r="O1228" s="24" t="n"/>
      <c r="P1228" s="24" t="n"/>
      <c r="Q1228" s="22">
        <f>IF($D1228="","",IF(AND(OR(DANH_MUC!$L$5&lt;&gt;"Có",M1228="Có"),OR(DANH_MUC!$L$6&lt;&gt;"Có",N1228="Có"),OR(DANH_MUC!$L$7&lt;&gt;"Có",O1228="Có"),OR(DANH_MUC!$L$8&lt;&gt;"Có",P1228="Có")),"Có","Không"))</f>
        <v/>
      </c>
      <c r="R1228" s="22">
        <f>IF($D1228="","",IF(COUNTIF($D$2:$D1228,$D1228)&gt;1,"Trùng",""))</f>
        <v/>
      </c>
      <c r="S1228" s="22">
        <f>IF($D1228="","",IF(AND(LEN($D1228)=10,LEFT($D1228,1)="0",ISNUMBER(--$D1228)),"Có","Không"))</f>
        <v/>
      </c>
      <c r="T1228" s="22">
        <f>IF($D1228="","",IF(AND($C1228&lt;&gt;"",$Q1228="Có",$R1228="",$S1228="Có",AND($L1228&lt;&gt;"",OR($L1228&lt;&gt;"Chưa xác định",DANH_MUC!$L$9="Có"))),"Có","Không"))</f>
        <v/>
      </c>
      <c r="U1228" s="22">
        <f>IF(OR($D1228="",$T1228="Có"),"",IF($C1228="","Thiếu họ tên; ","")&amp;IF($S1228&lt;&gt;"Có","SĐT sai định dạng; ","")&amp;IF($R1228="Trùng","Trùng SĐT; ","")&amp;IF($Q1228&lt;&gt;"Có","Thiếu đồng ý bắt buộc; ","")&amp;IF($L1228="","Thiếu/sai Mã REF; ",IF(AND($L1228="Chưa xác định",DANH_MUC!$L$9&lt;&gt;"Có"),"Nguồn chưa xác định; ","")))</f>
        <v/>
      </c>
      <c r="V1228" s="22">
        <f>IF(OR($D1228="",$R1228="Trùng"),"",IF(COUNTIF(ORDERS!$C$2:$C$4995,$D1228)&gt;0,"Có","Không"))</f>
        <v/>
      </c>
      <c r="W1228" s="22">
        <f>IF(OR($D1228="",$R1228="Trùng"),"",COUNTIFS(ORDERS!$C$2:$C$4995,$D1228,ORDERS!$L$2:$L$4995,"Đã chuyển khoản"))</f>
        <v/>
      </c>
      <c r="X1228" s="23">
        <f>IF(OR($D1228="",$R1228="Trùng"),"",SUMIFS(ORDERS!$J$2:$J$4995,ORDERS!$C$2:$C$4995,$D1228,ORDERS!$L$2:$L$4995,"Đã chuyển khoản"))</f>
        <v/>
      </c>
      <c r="Y1228" s="24" t="n"/>
    </row>
    <row r="1229" ht="14.25" customHeight="1" s="40">
      <c r="A1229" s="24" t="n"/>
      <c r="B1229" s="27" t="n"/>
      <c r="C1229" s="24" t="n"/>
      <c r="D1229" s="28" t="n"/>
      <c r="E1229" s="29" t="n"/>
      <c r="F1229" s="24" t="n"/>
      <c r="G1229" s="24" t="n"/>
      <c r="H1229" s="21">
        <f>IF(ISNUMBER($B1229),INT($B1229)-WEEKDAY($B1229,2)+1,"")</f>
        <v/>
      </c>
      <c r="I1229" s="24" t="n"/>
      <c r="J1229" s="22">
        <f t="array" ref="J1229">IF($D1229="","",IF($I1229="","(trống REF)",IFERROR(INDEX(MASTER_SOURCE!$B$2:$B$495,MATCH($I1229,MASTER_SOURCE!$A$2:$A$495,0)),"(REF không có trong MASTER_SOURCE)")))</f>
        <v/>
      </c>
      <c r="K1229" s="22">
        <f t="array" ref="K1229">IF($D1229="","",IFERROR(INDEX(MASTER_SOURCE!$C$2:$C$495,MATCH($I1229,MASTER_SOURCE!$A$2:$A$495,0)),""))</f>
        <v/>
      </c>
      <c r="L1229" s="22">
        <f t="array" ref="L1229">IF($D1229="","",IFERROR(INDEX(MASTER_SOURCE!$D$2:$D$495,MATCH($I1229,MASTER_SOURCE!$A$2:$A$495,0)),""))</f>
        <v/>
      </c>
      <c r="M1229" s="24" t="n"/>
      <c r="N1229" s="24" t="n"/>
      <c r="O1229" s="24" t="n"/>
      <c r="P1229" s="24" t="n"/>
      <c r="Q1229" s="22">
        <f>IF($D1229="","",IF(AND(OR(DANH_MUC!$L$5&lt;&gt;"Có",M1229="Có"),OR(DANH_MUC!$L$6&lt;&gt;"Có",N1229="Có"),OR(DANH_MUC!$L$7&lt;&gt;"Có",O1229="Có"),OR(DANH_MUC!$L$8&lt;&gt;"Có",P1229="Có")),"Có","Không"))</f>
        <v/>
      </c>
      <c r="R1229" s="22">
        <f>IF($D1229="","",IF(COUNTIF($D$2:$D1229,$D1229)&gt;1,"Trùng",""))</f>
        <v/>
      </c>
      <c r="S1229" s="22">
        <f>IF($D1229="","",IF(AND(LEN($D1229)=10,LEFT($D1229,1)="0",ISNUMBER(--$D1229)),"Có","Không"))</f>
        <v/>
      </c>
      <c r="T1229" s="22">
        <f>IF($D1229="","",IF(AND($C1229&lt;&gt;"",$Q1229="Có",$R1229="",$S1229="Có",AND($L1229&lt;&gt;"",OR($L1229&lt;&gt;"Chưa xác định",DANH_MUC!$L$9="Có"))),"Có","Không"))</f>
        <v/>
      </c>
      <c r="U1229" s="22">
        <f>IF(OR($D1229="",$T1229="Có"),"",IF($C1229="","Thiếu họ tên; ","")&amp;IF($S1229&lt;&gt;"Có","SĐT sai định dạng; ","")&amp;IF($R1229="Trùng","Trùng SĐT; ","")&amp;IF($Q1229&lt;&gt;"Có","Thiếu đồng ý bắt buộc; ","")&amp;IF($L1229="","Thiếu/sai Mã REF; ",IF(AND($L1229="Chưa xác định",DANH_MUC!$L$9&lt;&gt;"Có"),"Nguồn chưa xác định; ","")))</f>
        <v/>
      </c>
      <c r="V1229" s="22">
        <f>IF(OR($D1229="",$R1229="Trùng"),"",IF(COUNTIF(ORDERS!$C$2:$C$4995,$D1229)&gt;0,"Có","Không"))</f>
        <v/>
      </c>
      <c r="W1229" s="22">
        <f>IF(OR($D1229="",$R1229="Trùng"),"",COUNTIFS(ORDERS!$C$2:$C$4995,$D1229,ORDERS!$L$2:$L$4995,"Đã chuyển khoản"))</f>
        <v/>
      </c>
      <c r="X1229" s="23">
        <f>IF(OR($D1229="",$R1229="Trùng"),"",SUMIFS(ORDERS!$J$2:$J$4995,ORDERS!$C$2:$C$4995,$D1229,ORDERS!$L$2:$L$4995,"Đã chuyển khoản"))</f>
        <v/>
      </c>
      <c r="Y1229" s="24" t="n"/>
    </row>
    <row r="1230" ht="14.25" customHeight="1" s="40">
      <c r="A1230" s="24" t="n"/>
      <c r="B1230" s="27" t="n"/>
      <c r="C1230" s="24" t="n"/>
      <c r="D1230" s="28" t="n"/>
      <c r="E1230" s="29" t="n"/>
      <c r="F1230" s="24" t="n"/>
      <c r="G1230" s="24" t="n"/>
      <c r="H1230" s="21">
        <f>IF(ISNUMBER($B1230),INT($B1230)-WEEKDAY($B1230,2)+1,"")</f>
        <v/>
      </c>
      <c r="I1230" s="24" t="n"/>
      <c r="J1230" s="22">
        <f t="array" ref="J1230">IF($D1230="","",IF($I1230="","(trống REF)",IFERROR(INDEX(MASTER_SOURCE!$B$2:$B$495,MATCH($I1230,MASTER_SOURCE!$A$2:$A$495,0)),"(REF không có trong MASTER_SOURCE)")))</f>
        <v/>
      </c>
      <c r="K1230" s="22">
        <f t="array" ref="K1230">IF($D1230="","",IFERROR(INDEX(MASTER_SOURCE!$C$2:$C$495,MATCH($I1230,MASTER_SOURCE!$A$2:$A$495,0)),""))</f>
        <v/>
      </c>
      <c r="L1230" s="22">
        <f t="array" ref="L1230">IF($D1230="","",IFERROR(INDEX(MASTER_SOURCE!$D$2:$D$495,MATCH($I1230,MASTER_SOURCE!$A$2:$A$495,0)),""))</f>
        <v/>
      </c>
      <c r="M1230" s="24" t="n"/>
      <c r="N1230" s="24" t="n"/>
      <c r="O1230" s="24" t="n"/>
      <c r="P1230" s="24" t="n"/>
      <c r="Q1230" s="22">
        <f>IF($D1230="","",IF(AND(OR(DANH_MUC!$L$5&lt;&gt;"Có",M1230="Có"),OR(DANH_MUC!$L$6&lt;&gt;"Có",N1230="Có"),OR(DANH_MUC!$L$7&lt;&gt;"Có",O1230="Có"),OR(DANH_MUC!$L$8&lt;&gt;"Có",P1230="Có")),"Có","Không"))</f>
        <v/>
      </c>
      <c r="R1230" s="22">
        <f>IF($D1230="","",IF(COUNTIF($D$2:$D1230,$D1230)&gt;1,"Trùng",""))</f>
        <v/>
      </c>
      <c r="S1230" s="22">
        <f>IF($D1230="","",IF(AND(LEN($D1230)=10,LEFT($D1230,1)="0",ISNUMBER(--$D1230)),"Có","Không"))</f>
        <v/>
      </c>
      <c r="T1230" s="22">
        <f>IF($D1230="","",IF(AND($C1230&lt;&gt;"",$Q1230="Có",$R1230="",$S1230="Có",AND($L1230&lt;&gt;"",OR($L1230&lt;&gt;"Chưa xác định",DANH_MUC!$L$9="Có"))),"Có","Không"))</f>
        <v/>
      </c>
      <c r="U1230" s="22">
        <f>IF(OR($D1230="",$T1230="Có"),"",IF($C1230="","Thiếu họ tên; ","")&amp;IF($S1230&lt;&gt;"Có","SĐT sai định dạng; ","")&amp;IF($R1230="Trùng","Trùng SĐT; ","")&amp;IF($Q1230&lt;&gt;"Có","Thiếu đồng ý bắt buộc; ","")&amp;IF($L1230="","Thiếu/sai Mã REF; ",IF(AND($L1230="Chưa xác định",DANH_MUC!$L$9&lt;&gt;"Có"),"Nguồn chưa xác định; ","")))</f>
        <v/>
      </c>
      <c r="V1230" s="22">
        <f>IF(OR($D1230="",$R1230="Trùng"),"",IF(COUNTIF(ORDERS!$C$2:$C$4995,$D1230)&gt;0,"Có","Không"))</f>
        <v/>
      </c>
      <c r="W1230" s="22">
        <f>IF(OR($D1230="",$R1230="Trùng"),"",COUNTIFS(ORDERS!$C$2:$C$4995,$D1230,ORDERS!$L$2:$L$4995,"Đã chuyển khoản"))</f>
        <v/>
      </c>
      <c r="X1230" s="23">
        <f>IF(OR($D1230="",$R1230="Trùng"),"",SUMIFS(ORDERS!$J$2:$J$4995,ORDERS!$C$2:$C$4995,$D1230,ORDERS!$L$2:$L$4995,"Đã chuyển khoản"))</f>
        <v/>
      </c>
      <c r="Y1230" s="24" t="n"/>
    </row>
    <row r="1231" ht="14.25" customHeight="1" s="40">
      <c r="A1231" s="24" t="n"/>
      <c r="B1231" s="27" t="n"/>
      <c r="C1231" s="24" t="n"/>
      <c r="D1231" s="28" t="n"/>
      <c r="E1231" s="29" t="n"/>
      <c r="F1231" s="24" t="n"/>
      <c r="G1231" s="24" t="n"/>
      <c r="H1231" s="21">
        <f>IF(ISNUMBER($B1231),INT($B1231)-WEEKDAY($B1231,2)+1,"")</f>
        <v/>
      </c>
      <c r="I1231" s="24" t="n"/>
      <c r="J1231" s="22">
        <f t="array" ref="J1231">IF($D1231="","",IF($I1231="","(trống REF)",IFERROR(INDEX(MASTER_SOURCE!$B$2:$B$495,MATCH($I1231,MASTER_SOURCE!$A$2:$A$495,0)),"(REF không có trong MASTER_SOURCE)")))</f>
        <v/>
      </c>
      <c r="K1231" s="22">
        <f t="array" ref="K1231">IF($D1231="","",IFERROR(INDEX(MASTER_SOURCE!$C$2:$C$495,MATCH($I1231,MASTER_SOURCE!$A$2:$A$495,0)),""))</f>
        <v/>
      </c>
      <c r="L1231" s="22">
        <f t="array" ref="L1231">IF($D1231="","",IFERROR(INDEX(MASTER_SOURCE!$D$2:$D$495,MATCH($I1231,MASTER_SOURCE!$A$2:$A$495,0)),""))</f>
        <v/>
      </c>
      <c r="M1231" s="24" t="n"/>
      <c r="N1231" s="24" t="n"/>
      <c r="O1231" s="24" t="n"/>
      <c r="P1231" s="24" t="n"/>
      <c r="Q1231" s="22">
        <f>IF($D1231="","",IF(AND(OR(DANH_MUC!$L$5&lt;&gt;"Có",M1231="Có"),OR(DANH_MUC!$L$6&lt;&gt;"Có",N1231="Có"),OR(DANH_MUC!$L$7&lt;&gt;"Có",O1231="Có"),OR(DANH_MUC!$L$8&lt;&gt;"Có",P1231="Có")),"Có","Không"))</f>
        <v/>
      </c>
      <c r="R1231" s="22">
        <f>IF($D1231="","",IF(COUNTIF($D$2:$D1231,$D1231)&gt;1,"Trùng",""))</f>
        <v/>
      </c>
      <c r="S1231" s="22">
        <f>IF($D1231="","",IF(AND(LEN($D1231)=10,LEFT($D1231,1)="0",ISNUMBER(--$D1231)),"Có","Không"))</f>
        <v/>
      </c>
      <c r="T1231" s="22">
        <f>IF($D1231="","",IF(AND($C1231&lt;&gt;"",$Q1231="Có",$R1231="",$S1231="Có",AND($L1231&lt;&gt;"",OR($L1231&lt;&gt;"Chưa xác định",DANH_MUC!$L$9="Có"))),"Có","Không"))</f>
        <v/>
      </c>
      <c r="U1231" s="22">
        <f>IF(OR($D1231="",$T1231="Có"),"",IF($C1231="","Thiếu họ tên; ","")&amp;IF($S1231&lt;&gt;"Có","SĐT sai định dạng; ","")&amp;IF($R1231="Trùng","Trùng SĐT; ","")&amp;IF($Q1231&lt;&gt;"Có","Thiếu đồng ý bắt buộc; ","")&amp;IF($L1231="","Thiếu/sai Mã REF; ",IF(AND($L1231="Chưa xác định",DANH_MUC!$L$9&lt;&gt;"Có"),"Nguồn chưa xác định; ","")))</f>
        <v/>
      </c>
      <c r="V1231" s="22">
        <f>IF(OR($D1231="",$R1231="Trùng"),"",IF(COUNTIF(ORDERS!$C$2:$C$4995,$D1231)&gt;0,"Có","Không"))</f>
        <v/>
      </c>
      <c r="W1231" s="22">
        <f>IF(OR($D1231="",$R1231="Trùng"),"",COUNTIFS(ORDERS!$C$2:$C$4995,$D1231,ORDERS!$L$2:$L$4995,"Đã chuyển khoản"))</f>
        <v/>
      </c>
      <c r="X1231" s="23">
        <f>IF(OR($D1231="",$R1231="Trùng"),"",SUMIFS(ORDERS!$J$2:$J$4995,ORDERS!$C$2:$C$4995,$D1231,ORDERS!$L$2:$L$4995,"Đã chuyển khoản"))</f>
        <v/>
      </c>
      <c r="Y1231" s="24" t="n"/>
    </row>
    <row r="1232" ht="14.25" customHeight="1" s="40">
      <c r="A1232" s="24" t="n"/>
      <c r="B1232" s="27" t="n"/>
      <c r="C1232" s="24" t="n"/>
      <c r="D1232" s="28" t="n"/>
      <c r="E1232" s="29" t="n"/>
      <c r="F1232" s="24" t="n"/>
      <c r="G1232" s="24" t="n"/>
      <c r="H1232" s="21">
        <f>IF(ISNUMBER($B1232),INT($B1232)-WEEKDAY($B1232,2)+1,"")</f>
        <v/>
      </c>
      <c r="I1232" s="24" t="n"/>
      <c r="J1232" s="22">
        <f t="array" ref="J1232">IF($D1232="","",IF($I1232="","(trống REF)",IFERROR(INDEX(MASTER_SOURCE!$B$2:$B$495,MATCH($I1232,MASTER_SOURCE!$A$2:$A$495,0)),"(REF không có trong MASTER_SOURCE)")))</f>
        <v/>
      </c>
      <c r="K1232" s="22">
        <f t="array" ref="K1232">IF($D1232="","",IFERROR(INDEX(MASTER_SOURCE!$C$2:$C$495,MATCH($I1232,MASTER_SOURCE!$A$2:$A$495,0)),""))</f>
        <v/>
      </c>
      <c r="L1232" s="22">
        <f t="array" ref="L1232">IF($D1232="","",IFERROR(INDEX(MASTER_SOURCE!$D$2:$D$495,MATCH($I1232,MASTER_SOURCE!$A$2:$A$495,0)),""))</f>
        <v/>
      </c>
      <c r="M1232" s="24" t="n"/>
      <c r="N1232" s="24" t="n"/>
      <c r="O1232" s="24" t="n"/>
      <c r="P1232" s="24" t="n"/>
      <c r="Q1232" s="22">
        <f>IF($D1232="","",IF(AND(OR(DANH_MUC!$L$5&lt;&gt;"Có",M1232="Có"),OR(DANH_MUC!$L$6&lt;&gt;"Có",N1232="Có"),OR(DANH_MUC!$L$7&lt;&gt;"Có",O1232="Có"),OR(DANH_MUC!$L$8&lt;&gt;"Có",P1232="Có")),"Có","Không"))</f>
        <v/>
      </c>
      <c r="R1232" s="22">
        <f>IF($D1232="","",IF(COUNTIF($D$2:$D1232,$D1232)&gt;1,"Trùng",""))</f>
        <v/>
      </c>
      <c r="S1232" s="22">
        <f>IF($D1232="","",IF(AND(LEN($D1232)=10,LEFT($D1232,1)="0",ISNUMBER(--$D1232)),"Có","Không"))</f>
        <v/>
      </c>
      <c r="T1232" s="22">
        <f>IF($D1232="","",IF(AND($C1232&lt;&gt;"",$Q1232="Có",$R1232="",$S1232="Có",AND($L1232&lt;&gt;"",OR($L1232&lt;&gt;"Chưa xác định",DANH_MUC!$L$9="Có"))),"Có","Không"))</f>
        <v/>
      </c>
      <c r="U1232" s="22">
        <f>IF(OR($D1232="",$T1232="Có"),"",IF($C1232="","Thiếu họ tên; ","")&amp;IF($S1232&lt;&gt;"Có","SĐT sai định dạng; ","")&amp;IF($R1232="Trùng","Trùng SĐT; ","")&amp;IF($Q1232&lt;&gt;"Có","Thiếu đồng ý bắt buộc; ","")&amp;IF($L1232="","Thiếu/sai Mã REF; ",IF(AND($L1232="Chưa xác định",DANH_MUC!$L$9&lt;&gt;"Có"),"Nguồn chưa xác định; ","")))</f>
        <v/>
      </c>
      <c r="V1232" s="22">
        <f>IF(OR($D1232="",$R1232="Trùng"),"",IF(COUNTIF(ORDERS!$C$2:$C$4995,$D1232)&gt;0,"Có","Không"))</f>
        <v/>
      </c>
      <c r="W1232" s="22">
        <f>IF(OR($D1232="",$R1232="Trùng"),"",COUNTIFS(ORDERS!$C$2:$C$4995,$D1232,ORDERS!$L$2:$L$4995,"Đã chuyển khoản"))</f>
        <v/>
      </c>
      <c r="X1232" s="23">
        <f>IF(OR($D1232="",$R1232="Trùng"),"",SUMIFS(ORDERS!$J$2:$J$4995,ORDERS!$C$2:$C$4995,$D1232,ORDERS!$L$2:$L$4995,"Đã chuyển khoản"))</f>
        <v/>
      </c>
      <c r="Y1232" s="24" t="n"/>
    </row>
    <row r="1233" ht="14.25" customHeight="1" s="40">
      <c r="A1233" s="24" t="n"/>
      <c r="B1233" s="27" t="n"/>
      <c r="C1233" s="24" t="n"/>
      <c r="D1233" s="28" t="n"/>
      <c r="E1233" s="29" t="n"/>
      <c r="F1233" s="24" t="n"/>
      <c r="G1233" s="24" t="n"/>
      <c r="H1233" s="21">
        <f>IF(ISNUMBER($B1233),INT($B1233)-WEEKDAY($B1233,2)+1,"")</f>
        <v/>
      </c>
      <c r="I1233" s="24" t="n"/>
      <c r="J1233" s="22">
        <f t="array" ref="J1233">IF($D1233="","",IF($I1233="","(trống REF)",IFERROR(INDEX(MASTER_SOURCE!$B$2:$B$495,MATCH($I1233,MASTER_SOURCE!$A$2:$A$495,0)),"(REF không có trong MASTER_SOURCE)")))</f>
        <v/>
      </c>
      <c r="K1233" s="22">
        <f t="array" ref="K1233">IF($D1233="","",IFERROR(INDEX(MASTER_SOURCE!$C$2:$C$495,MATCH($I1233,MASTER_SOURCE!$A$2:$A$495,0)),""))</f>
        <v/>
      </c>
      <c r="L1233" s="22">
        <f t="array" ref="L1233">IF($D1233="","",IFERROR(INDEX(MASTER_SOURCE!$D$2:$D$495,MATCH($I1233,MASTER_SOURCE!$A$2:$A$495,0)),""))</f>
        <v/>
      </c>
      <c r="M1233" s="24" t="n"/>
      <c r="N1233" s="24" t="n"/>
      <c r="O1233" s="24" t="n"/>
      <c r="P1233" s="24" t="n"/>
      <c r="Q1233" s="22">
        <f>IF($D1233="","",IF(AND(OR(DANH_MUC!$L$5&lt;&gt;"Có",M1233="Có"),OR(DANH_MUC!$L$6&lt;&gt;"Có",N1233="Có"),OR(DANH_MUC!$L$7&lt;&gt;"Có",O1233="Có"),OR(DANH_MUC!$L$8&lt;&gt;"Có",P1233="Có")),"Có","Không"))</f>
        <v/>
      </c>
      <c r="R1233" s="22">
        <f>IF($D1233="","",IF(COUNTIF($D$2:$D1233,$D1233)&gt;1,"Trùng",""))</f>
        <v/>
      </c>
      <c r="S1233" s="22">
        <f>IF($D1233="","",IF(AND(LEN($D1233)=10,LEFT($D1233,1)="0",ISNUMBER(--$D1233)),"Có","Không"))</f>
        <v/>
      </c>
      <c r="T1233" s="22">
        <f>IF($D1233="","",IF(AND($C1233&lt;&gt;"",$Q1233="Có",$R1233="",$S1233="Có",AND($L1233&lt;&gt;"",OR($L1233&lt;&gt;"Chưa xác định",DANH_MUC!$L$9="Có"))),"Có","Không"))</f>
        <v/>
      </c>
      <c r="U1233" s="22">
        <f>IF(OR($D1233="",$T1233="Có"),"",IF($C1233="","Thiếu họ tên; ","")&amp;IF($S1233&lt;&gt;"Có","SĐT sai định dạng; ","")&amp;IF($R1233="Trùng","Trùng SĐT; ","")&amp;IF($Q1233&lt;&gt;"Có","Thiếu đồng ý bắt buộc; ","")&amp;IF($L1233="","Thiếu/sai Mã REF; ",IF(AND($L1233="Chưa xác định",DANH_MUC!$L$9&lt;&gt;"Có"),"Nguồn chưa xác định; ","")))</f>
        <v/>
      </c>
      <c r="V1233" s="22">
        <f>IF(OR($D1233="",$R1233="Trùng"),"",IF(COUNTIF(ORDERS!$C$2:$C$4995,$D1233)&gt;0,"Có","Không"))</f>
        <v/>
      </c>
      <c r="W1233" s="22">
        <f>IF(OR($D1233="",$R1233="Trùng"),"",COUNTIFS(ORDERS!$C$2:$C$4995,$D1233,ORDERS!$L$2:$L$4995,"Đã chuyển khoản"))</f>
        <v/>
      </c>
      <c r="X1233" s="23">
        <f>IF(OR($D1233="",$R1233="Trùng"),"",SUMIFS(ORDERS!$J$2:$J$4995,ORDERS!$C$2:$C$4995,$D1233,ORDERS!$L$2:$L$4995,"Đã chuyển khoản"))</f>
        <v/>
      </c>
      <c r="Y1233" s="24" t="n"/>
    </row>
    <row r="1234" ht="14.25" customHeight="1" s="40">
      <c r="A1234" s="24" t="n"/>
      <c r="B1234" s="27" t="n"/>
      <c r="C1234" s="24" t="n"/>
      <c r="D1234" s="28" t="n"/>
      <c r="E1234" s="29" t="n"/>
      <c r="F1234" s="24" t="n"/>
      <c r="G1234" s="24" t="n"/>
      <c r="H1234" s="21">
        <f>IF(ISNUMBER($B1234),INT($B1234)-WEEKDAY($B1234,2)+1,"")</f>
        <v/>
      </c>
      <c r="I1234" s="24" t="n"/>
      <c r="J1234" s="22">
        <f t="array" ref="J1234">IF($D1234="","",IF($I1234="","(trống REF)",IFERROR(INDEX(MASTER_SOURCE!$B$2:$B$495,MATCH($I1234,MASTER_SOURCE!$A$2:$A$495,0)),"(REF không có trong MASTER_SOURCE)")))</f>
        <v/>
      </c>
      <c r="K1234" s="22">
        <f t="array" ref="K1234">IF($D1234="","",IFERROR(INDEX(MASTER_SOURCE!$C$2:$C$495,MATCH($I1234,MASTER_SOURCE!$A$2:$A$495,0)),""))</f>
        <v/>
      </c>
      <c r="L1234" s="22">
        <f t="array" ref="L1234">IF($D1234="","",IFERROR(INDEX(MASTER_SOURCE!$D$2:$D$495,MATCH($I1234,MASTER_SOURCE!$A$2:$A$495,0)),""))</f>
        <v/>
      </c>
      <c r="M1234" s="24" t="n"/>
      <c r="N1234" s="24" t="n"/>
      <c r="O1234" s="24" t="n"/>
      <c r="P1234" s="24" t="n"/>
      <c r="Q1234" s="22">
        <f>IF($D1234="","",IF(AND(OR(DANH_MUC!$L$5&lt;&gt;"Có",M1234="Có"),OR(DANH_MUC!$L$6&lt;&gt;"Có",N1234="Có"),OR(DANH_MUC!$L$7&lt;&gt;"Có",O1234="Có"),OR(DANH_MUC!$L$8&lt;&gt;"Có",P1234="Có")),"Có","Không"))</f>
        <v/>
      </c>
      <c r="R1234" s="22">
        <f>IF($D1234="","",IF(COUNTIF($D$2:$D1234,$D1234)&gt;1,"Trùng",""))</f>
        <v/>
      </c>
      <c r="S1234" s="22">
        <f>IF($D1234="","",IF(AND(LEN($D1234)=10,LEFT($D1234,1)="0",ISNUMBER(--$D1234)),"Có","Không"))</f>
        <v/>
      </c>
      <c r="T1234" s="22">
        <f>IF($D1234="","",IF(AND($C1234&lt;&gt;"",$Q1234="Có",$R1234="",$S1234="Có",AND($L1234&lt;&gt;"",OR($L1234&lt;&gt;"Chưa xác định",DANH_MUC!$L$9="Có"))),"Có","Không"))</f>
        <v/>
      </c>
      <c r="U1234" s="22">
        <f>IF(OR($D1234="",$T1234="Có"),"",IF($C1234="","Thiếu họ tên; ","")&amp;IF($S1234&lt;&gt;"Có","SĐT sai định dạng; ","")&amp;IF($R1234="Trùng","Trùng SĐT; ","")&amp;IF($Q1234&lt;&gt;"Có","Thiếu đồng ý bắt buộc; ","")&amp;IF($L1234="","Thiếu/sai Mã REF; ",IF(AND($L1234="Chưa xác định",DANH_MUC!$L$9&lt;&gt;"Có"),"Nguồn chưa xác định; ","")))</f>
        <v/>
      </c>
      <c r="V1234" s="22">
        <f>IF(OR($D1234="",$R1234="Trùng"),"",IF(COUNTIF(ORDERS!$C$2:$C$4995,$D1234)&gt;0,"Có","Không"))</f>
        <v/>
      </c>
      <c r="W1234" s="22">
        <f>IF(OR($D1234="",$R1234="Trùng"),"",COUNTIFS(ORDERS!$C$2:$C$4995,$D1234,ORDERS!$L$2:$L$4995,"Đã chuyển khoản"))</f>
        <v/>
      </c>
      <c r="X1234" s="23">
        <f>IF(OR($D1234="",$R1234="Trùng"),"",SUMIFS(ORDERS!$J$2:$J$4995,ORDERS!$C$2:$C$4995,$D1234,ORDERS!$L$2:$L$4995,"Đã chuyển khoản"))</f>
        <v/>
      </c>
      <c r="Y1234" s="24" t="n"/>
    </row>
    <row r="1235" ht="14.25" customHeight="1" s="40">
      <c r="A1235" s="24" t="n"/>
      <c r="B1235" s="27" t="n"/>
      <c r="C1235" s="24" t="n"/>
      <c r="D1235" s="28" t="n"/>
      <c r="E1235" s="29" t="n"/>
      <c r="F1235" s="24" t="n"/>
      <c r="G1235" s="24" t="n"/>
      <c r="H1235" s="21">
        <f>IF(ISNUMBER($B1235),INT($B1235)-WEEKDAY($B1235,2)+1,"")</f>
        <v/>
      </c>
      <c r="I1235" s="24" t="n"/>
      <c r="J1235" s="22">
        <f t="array" ref="J1235">IF($D1235="","",IF($I1235="","(trống REF)",IFERROR(INDEX(MASTER_SOURCE!$B$2:$B$495,MATCH($I1235,MASTER_SOURCE!$A$2:$A$495,0)),"(REF không có trong MASTER_SOURCE)")))</f>
        <v/>
      </c>
      <c r="K1235" s="22">
        <f t="array" ref="K1235">IF($D1235="","",IFERROR(INDEX(MASTER_SOURCE!$C$2:$C$495,MATCH($I1235,MASTER_SOURCE!$A$2:$A$495,0)),""))</f>
        <v/>
      </c>
      <c r="L1235" s="22">
        <f t="array" ref="L1235">IF($D1235="","",IFERROR(INDEX(MASTER_SOURCE!$D$2:$D$495,MATCH($I1235,MASTER_SOURCE!$A$2:$A$495,0)),""))</f>
        <v/>
      </c>
      <c r="M1235" s="24" t="n"/>
      <c r="N1235" s="24" t="n"/>
      <c r="O1235" s="24" t="n"/>
      <c r="P1235" s="24" t="n"/>
      <c r="Q1235" s="22">
        <f>IF($D1235="","",IF(AND(OR(DANH_MUC!$L$5&lt;&gt;"Có",M1235="Có"),OR(DANH_MUC!$L$6&lt;&gt;"Có",N1235="Có"),OR(DANH_MUC!$L$7&lt;&gt;"Có",O1235="Có"),OR(DANH_MUC!$L$8&lt;&gt;"Có",P1235="Có")),"Có","Không"))</f>
        <v/>
      </c>
      <c r="R1235" s="22">
        <f>IF($D1235="","",IF(COUNTIF($D$2:$D1235,$D1235)&gt;1,"Trùng",""))</f>
        <v/>
      </c>
      <c r="S1235" s="22">
        <f>IF($D1235="","",IF(AND(LEN($D1235)=10,LEFT($D1235,1)="0",ISNUMBER(--$D1235)),"Có","Không"))</f>
        <v/>
      </c>
      <c r="T1235" s="22">
        <f>IF($D1235="","",IF(AND($C1235&lt;&gt;"",$Q1235="Có",$R1235="",$S1235="Có",AND($L1235&lt;&gt;"",OR($L1235&lt;&gt;"Chưa xác định",DANH_MUC!$L$9="Có"))),"Có","Không"))</f>
        <v/>
      </c>
      <c r="U1235" s="22">
        <f>IF(OR($D1235="",$T1235="Có"),"",IF($C1235="","Thiếu họ tên; ","")&amp;IF($S1235&lt;&gt;"Có","SĐT sai định dạng; ","")&amp;IF($R1235="Trùng","Trùng SĐT; ","")&amp;IF($Q1235&lt;&gt;"Có","Thiếu đồng ý bắt buộc; ","")&amp;IF($L1235="","Thiếu/sai Mã REF; ",IF(AND($L1235="Chưa xác định",DANH_MUC!$L$9&lt;&gt;"Có"),"Nguồn chưa xác định; ","")))</f>
        <v/>
      </c>
      <c r="V1235" s="22">
        <f>IF(OR($D1235="",$R1235="Trùng"),"",IF(COUNTIF(ORDERS!$C$2:$C$4995,$D1235)&gt;0,"Có","Không"))</f>
        <v/>
      </c>
      <c r="W1235" s="22">
        <f>IF(OR($D1235="",$R1235="Trùng"),"",COUNTIFS(ORDERS!$C$2:$C$4995,$D1235,ORDERS!$L$2:$L$4995,"Đã chuyển khoản"))</f>
        <v/>
      </c>
      <c r="X1235" s="23">
        <f>IF(OR($D1235="",$R1235="Trùng"),"",SUMIFS(ORDERS!$J$2:$J$4995,ORDERS!$C$2:$C$4995,$D1235,ORDERS!$L$2:$L$4995,"Đã chuyển khoản"))</f>
        <v/>
      </c>
      <c r="Y1235" s="24" t="n"/>
    </row>
    <row r="1236" ht="14.25" customHeight="1" s="40">
      <c r="A1236" s="24" t="n"/>
      <c r="B1236" s="27" t="n"/>
      <c r="C1236" s="24" t="n"/>
      <c r="D1236" s="28" t="n"/>
      <c r="E1236" s="29" t="n"/>
      <c r="F1236" s="24" t="n"/>
      <c r="G1236" s="24" t="n"/>
      <c r="H1236" s="21">
        <f>IF(ISNUMBER($B1236),INT($B1236)-WEEKDAY($B1236,2)+1,"")</f>
        <v/>
      </c>
      <c r="I1236" s="24" t="n"/>
      <c r="J1236" s="22">
        <f t="array" ref="J1236">IF($D1236="","",IF($I1236="","(trống REF)",IFERROR(INDEX(MASTER_SOURCE!$B$2:$B$495,MATCH($I1236,MASTER_SOURCE!$A$2:$A$495,0)),"(REF không có trong MASTER_SOURCE)")))</f>
        <v/>
      </c>
      <c r="K1236" s="22">
        <f t="array" ref="K1236">IF($D1236="","",IFERROR(INDEX(MASTER_SOURCE!$C$2:$C$495,MATCH($I1236,MASTER_SOURCE!$A$2:$A$495,0)),""))</f>
        <v/>
      </c>
      <c r="L1236" s="22">
        <f t="array" ref="L1236">IF($D1236="","",IFERROR(INDEX(MASTER_SOURCE!$D$2:$D$495,MATCH($I1236,MASTER_SOURCE!$A$2:$A$495,0)),""))</f>
        <v/>
      </c>
      <c r="M1236" s="24" t="n"/>
      <c r="N1236" s="24" t="n"/>
      <c r="O1236" s="24" t="n"/>
      <c r="P1236" s="24" t="n"/>
      <c r="Q1236" s="22">
        <f>IF($D1236="","",IF(AND(OR(DANH_MUC!$L$5&lt;&gt;"Có",M1236="Có"),OR(DANH_MUC!$L$6&lt;&gt;"Có",N1236="Có"),OR(DANH_MUC!$L$7&lt;&gt;"Có",O1236="Có"),OR(DANH_MUC!$L$8&lt;&gt;"Có",P1236="Có")),"Có","Không"))</f>
        <v/>
      </c>
      <c r="R1236" s="22">
        <f>IF($D1236="","",IF(COUNTIF($D$2:$D1236,$D1236)&gt;1,"Trùng",""))</f>
        <v/>
      </c>
      <c r="S1236" s="22">
        <f>IF($D1236="","",IF(AND(LEN($D1236)=10,LEFT($D1236,1)="0",ISNUMBER(--$D1236)),"Có","Không"))</f>
        <v/>
      </c>
      <c r="T1236" s="22">
        <f>IF($D1236="","",IF(AND($C1236&lt;&gt;"",$Q1236="Có",$R1236="",$S1236="Có",AND($L1236&lt;&gt;"",OR($L1236&lt;&gt;"Chưa xác định",DANH_MUC!$L$9="Có"))),"Có","Không"))</f>
        <v/>
      </c>
      <c r="U1236" s="22">
        <f>IF(OR($D1236="",$T1236="Có"),"",IF($C1236="","Thiếu họ tên; ","")&amp;IF($S1236&lt;&gt;"Có","SĐT sai định dạng; ","")&amp;IF($R1236="Trùng","Trùng SĐT; ","")&amp;IF($Q1236&lt;&gt;"Có","Thiếu đồng ý bắt buộc; ","")&amp;IF($L1236="","Thiếu/sai Mã REF; ",IF(AND($L1236="Chưa xác định",DANH_MUC!$L$9&lt;&gt;"Có"),"Nguồn chưa xác định; ","")))</f>
        <v/>
      </c>
      <c r="V1236" s="22">
        <f>IF(OR($D1236="",$R1236="Trùng"),"",IF(COUNTIF(ORDERS!$C$2:$C$4995,$D1236)&gt;0,"Có","Không"))</f>
        <v/>
      </c>
      <c r="W1236" s="22">
        <f>IF(OR($D1236="",$R1236="Trùng"),"",COUNTIFS(ORDERS!$C$2:$C$4995,$D1236,ORDERS!$L$2:$L$4995,"Đã chuyển khoản"))</f>
        <v/>
      </c>
      <c r="X1236" s="23">
        <f>IF(OR($D1236="",$R1236="Trùng"),"",SUMIFS(ORDERS!$J$2:$J$4995,ORDERS!$C$2:$C$4995,$D1236,ORDERS!$L$2:$L$4995,"Đã chuyển khoản"))</f>
        <v/>
      </c>
      <c r="Y1236" s="24" t="n"/>
    </row>
    <row r="1237" ht="14.25" customHeight="1" s="40">
      <c r="A1237" s="24" t="n"/>
      <c r="B1237" s="27" t="n"/>
      <c r="C1237" s="24" t="n"/>
      <c r="D1237" s="28" t="n"/>
      <c r="E1237" s="29" t="n"/>
      <c r="F1237" s="24" t="n"/>
      <c r="G1237" s="24" t="n"/>
      <c r="H1237" s="21">
        <f>IF(ISNUMBER($B1237),INT($B1237)-WEEKDAY($B1237,2)+1,"")</f>
        <v/>
      </c>
      <c r="I1237" s="24" t="n"/>
      <c r="J1237" s="22">
        <f t="array" ref="J1237">IF($D1237="","",IF($I1237="","(trống REF)",IFERROR(INDEX(MASTER_SOURCE!$B$2:$B$495,MATCH($I1237,MASTER_SOURCE!$A$2:$A$495,0)),"(REF không có trong MASTER_SOURCE)")))</f>
        <v/>
      </c>
      <c r="K1237" s="22">
        <f t="array" ref="K1237">IF($D1237="","",IFERROR(INDEX(MASTER_SOURCE!$C$2:$C$495,MATCH($I1237,MASTER_SOURCE!$A$2:$A$495,0)),""))</f>
        <v/>
      </c>
      <c r="L1237" s="22">
        <f t="array" ref="L1237">IF($D1237="","",IFERROR(INDEX(MASTER_SOURCE!$D$2:$D$495,MATCH($I1237,MASTER_SOURCE!$A$2:$A$495,0)),""))</f>
        <v/>
      </c>
      <c r="M1237" s="24" t="n"/>
      <c r="N1237" s="24" t="n"/>
      <c r="O1237" s="24" t="n"/>
      <c r="P1237" s="24" t="n"/>
      <c r="Q1237" s="22">
        <f>IF($D1237="","",IF(AND(OR(DANH_MUC!$L$5&lt;&gt;"Có",M1237="Có"),OR(DANH_MUC!$L$6&lt;&gt;"Có",N1237="Có"),OR(DANH_MUC!$L$7&lt;&gt;"Có",O1237="Có"),OR(DANH_MUC!$L$8&lt;&gt;"Có",P1237="Có")),"Có","Không"))</f>
        <v/>
      </c>
      <c r="R1237" s="22">
        <f>IF($D1237="","",IF(COUNTIF($D$2:$D1237,$D1237)&gt;1,"Trùng",""))</f>
        <v/>
      </c>
      <c r="S1237" s="22">
        <f>IF($D1237="","",IF(AND(LEN($D1237)=10,LEFT($D1237,1)="0",ISNUMBER(--$D1237)),"Có","Không"))</f>
        <v/>
      </c>
      <c r="T1237" s="22">
        <f>IF($D1237="","",IF(AND($C1237&lt;&gt;"",$Q1237="Có",$R1237="",$S1237="Có",AND($L1237&lt;&gt;"",OR($L1237&lt;&gt;"Chưa xác định",DANH_MUC!$L$9="Có"))),"Có","Không"))</f>
        <v/>
      </c>
      <c r="U1237" s="22">
        <f>IF(OR($D1237="",$T1237="Có"),"",IF($C1237="","Thiếu họ tên; ","")&amp;IF($S1237&lt;&gt;"Có","SĐT sai định dạng; ","")&amp;IF($R1237="Trùng","Trùng SĐT; ","")&amp;IF($Q1237&lt;&gt;"Có","Thiếu đồng ý bắt buộc; ","")&amp;IF($L1237="","Thiếu/sai Mã REF; ",IF(AND($L1237="Chưa xác định",DANH_MUC!$L$9&lt;&gt;"Có"),"Nguồn chưa xác định; ","")))</f>
        <v/>
      </c>
      <c r="V1237" s="22">
        <f>IF(OR($D1237="",$R1237="Trùng"),"",IF(COUNTIF(ORDERS!$C$2:$C$4995,$D1237)&gt;0,"Có","Không"))</f>
        <v/>
      </c>
      <c r="W1237" s="22">
        <f>IF(OR($D1237="",$R1237="Trùng"),"",COUNTIFS(ORDERS!$C$2:$C$4995,$D1237,ORDERS!$L$2:$L$4995,"Đã chuyển khoản"))</f>
        <v/>
      </c>
      <c r="X1237" s="23">
        <f>IF(OR($D1237="",$R1237="Trùng"),"",SUMIFS(ORDERS!$J$2:$J$4995,ORDERS!$C$2:$C$4995,$D1237,ORDERS!$L$2:$L$4995,"Đã chuyển khoản"))</f>
        <v/>
      </c>
      <c r="Y1237" s="24" t="n"/>
    </row>
    <row r="1238" ht="14.25" customHeight="1" s="40">
      <c r="A1238" s="24" t="n"/>
      <c r="B1238" s="27" t="n"/>
      <c r="C1238" s="24" t="n"/>
      <c r="D1238" s="28" t="n"/>
      <c r="E1238" s="29" t="n"/>
      <c r="F1238" s="24" t="n"/>
      <c r="G1238" s="24" t="n"/>
      <c r="H1238" s="21">
        <f>IF(ISNUMBER($B1238),INT($B1238)-WEEKDAY($B1238,2)+1,"")</f>
        <v/>
      </c>
      <c r="I1238" s="24" t="n"/>
      <c r="J1238" s="22">
        <f t="array" ref="J1238">IF($D1238="","",IF($I1238="","(trống REF)",IFERROR(INDEX(MASTER_SOURCE!$B$2:$B$495,MATCH($I1238,MASTER_SOURCE!$A$2:$A$495,0)),"(REF không có trong MASTER_SOURCE)")))</f>
        <v/>
      </c>
      <c r="K1238" s="22">
        <f t="array" ref="K1238">IF($D1238="","",IFERROR(INDEX(MASTER_SOURCE!$C$2:$C$495,MATCH($I1238,MASTER_SOURCE!$A$2:$A$495,0)),""))</f>
        <v/>
      </c>
      <c r="L1238" s="22">
        <f t="array" ref="L1238">IF($D1238="","",IFERROR(INDEX(MASTER_SOURCE!$D$2:$D$495,MATCH($I1238,MASTER_SOURCE!$A$2:$A$495,0)),""))</f>
        <v/>
      </c>
      <c r="M1238" s="24" t="n"/>
      <c r="N1238" s="24" t="n"/>
      <c r="O1238" s="24" t="n"/>
      <c r="P1238" s="24" t="n"/>
      <c r="Q1238" s="22">
        <f>IF($D1238="","",IF(AND(OR(DANH_MUC!$L$5&lt;&gt;"Có",M1238="Có"),OR(DANH_MUC!$L$6&lt;&gt;"Có",N1238="Có"),OR(DANH_MUC!$L$7&lt;&gt;"Có",O1238="Có"),OR(DANH_MUC!$L$8&lt;&gt;"Có",P1238="Có")),"Có","Không"))</f>
        <v/>
      </c>
      <c r="R1238" s="22">
        <f>IF($D1238="","",IF(COUNTIF($D$2:$D1238,$D1238)&gt;1,"Trùng",""))</f>
        <v/>
      </c>
      <c r="S1238" s="22">
        <f>IF($D1238="","",IF(AND(LEN($D1238)=10,LEFT($D1238,1)="0",ISNUMBER(--$D1238)),"Có","Không"))</f>
        <v/>
      </c>
      <c r="T1238" s="22">
        <f>IF($D1238="","",IF(AND($C1238&lt;&gt;"",$Q1238="Có",$R1238="",$S1238="Có",AND($L1238&lt;&gt;"",OR($L1238&lt;&gt;"Chưa xác định",DANH_MUC!$L$9="Có"))),"Có","Không"))</f>
        <v/>
      </c>
      <c r="U1238" s="22">
        <f>IF(OR($D1238="",$T1238="Có"),"",IF($C1238="","Thiếu họ tên; ","")&amp;IF($S1238&lt;&gt;"Có","SĐT sai định dạng; ","")&amp;IF($R1238="Trùng","Trùng SĐT; ","")&amp;IF($Q1238&lt;&gt;"Có","Thiếu đồng ý bắt buộc; ","")&amp;IF($L1238="","Thiếu/sai Mã REF; ",IF(AND($L1238="Chưa xác định",DANH_MUC!$L$9&lt;&gt;"Có"),"Nguồn chưa xác định; ","")))</f>
        <v/>
      </c>
      <c r="V1238" s="22">
        <f>IF(OR($D1238="",$R1238="Trùng"),"",IF(COUNTIF(ORDERS!$C$2:$C$4995,$D1238)&gt;0,"Có","Không"))</f>
        <v/>
      </c>
      <c r="W1238" s="22">
        <f>IF(OR($D1238="",$R1238="Trùng"),"",COUNTIFS(ORDERS!$C$2:$C$4995,$D1238,ORDERS!$L$2:$L$4995,"Đã chuyển khoản"))</f>
        <v/>
      </c>
      <c r="X1238" s="23">
        <f>IF(OR($D1238="",$R1238="Trùng"),"",SUMIFS(ORDERS!$J$2:$J$4995,ORDERS!$C$2:$C$4995,$D1238,ORDERS!$L$2:$L$4995,"Đã chuyển khoản"))</f>
        <v/>
      </c>
      <c r="Y1238" s="24" t="n"/>
    </row>
    <row r="1239" ht="14.25" customHeight="1" s="40">
      <c r="A1239" s="24" t="n"/>
      <c r="B1239" s="27" t="n"/>
      <c r="C1239" s="24" t="n"/>
      <c r="D1239" s="28" t="n"/>
      <c r="E1239" s="29" t="n"/>
      <c r="F1239" s="24" t="n"/>
      <c r="G1239" s="24" t="n"/>
      <c r="H1239" s="21">
        <f>IF(ISNUMBER($B1239),INT($B1239)-WEEKDAY($B1239,2)+1,"")</f>
        <v/>
      </c>
      <c r="I1239" s="24" t="n"/>
      <c r="J1239" s="22">
        <f t="array" ref="J1239">IF($D1239="","",IF($I1239="","(trống REF)",IFERROR(INDEX(MASTER_SOURCE!$B$2:$B$495,MATCH($I1239,MASTER_SOURCE!$A$2:$A$495,0)),"(REF không có trong MASTER_SOURCE)")))</f>
        <v/>
      </c>
      <c r="K1239" s="22">
        <f t="array" ref="K1239">IF($D1239="","",IFERROR(INDEX(MASTER_SOURCE!$C$2:$C$495,MATCH($I1239,MASTER_SOURCE!$A$2:$A$495,0)),""))</f>
        <v/>
      </c>
      <c r="L1239" s="22">
        <f t="array" ref="L1239">IF($D1239="","",IFERROR(INDEX(MASTER_SOURCE!$D$2:$D$495,MATCH($I1239,MASTER_SOURCE!$A$2:$A$495,0)),""))</f>
        <v/>
      </c>
      <c r="M1239" s="24" t="n"/>
      <c r="N1239" s="24" t="n"/>
      <c r="O1239" s="24" t="n"/>
      <c r="P1239" s="24" t="n"/>
      <c r="Q1239" s="22">
        <f>IF($D1239="","",IF(AND(OR(DANH_MUC!$L$5&lt;&gt;"Có",M1239="Có"),OR(DANH_MUC!$L$6&lt;&gt;"Có",N1239="Có"),OR(DANH_MUC!$L$7&lt;&gt;"Có",O1239="Có"),OR(DANH_MUC!$L$8&lt;&gt;"Có",P1239="Có")),"Có","Không"))</f>
        <v/>
      </c>
      <c r="R1239" s="22">
        <f>IF($D1239="","",IF(COUNTIF($D$2:$D1239,$D1239)&gt;1,"Trùng",""))</f>
        <v/>
      </c>
      <c r="S1239" s="22">
        <f>IF($D1239="","",IF(AND(LEN($D1239)=10,LEFT($D1239,1)="0",ISNUMBER(--$D1239)),"Có","Không"))</f>
        <v/>
      </c>
      <c r="T1239" s="22">
        <f>IF($D1239="","",IF(AND($C1239&lt;&gt;"",$Q1239="Có",$R1239="",$S1239="Có",AND($L1239&lt;&gt;"",OR($L1239&lt;&gt;"Chưa xác định",DANH_MUC!$L$9="Có"))),"Có","Không"))</f>
        <v/>
      </c>
      <c r="U1239" s="22">
        <f>IF(OR($D1239="",$T1239="Có"),"",IF($C1239="","Thiếu họ tên; ","")&amp;IF($S1239&lt;&gt;"Có","SĐT sai định dạng; ","")&amp;IF($R1239="Trùng","Trùng SĐT; ","")&amp;IF($Q1239&lt;&gt;"Có","Thiếu đồng ý bắt buộc; ","")&amp;IF($L1239="","Thiếu/sai Mã REF; ",IF(AND($L1239="Chưa xác định",DANH_MUC!$L$9&lt;&gt;"Có"),"Nguồn chưa xác định; ","")))</f>
        <v/>
      </c>
      <c r="V1239" s="22">
        <f>IF(OR($D1239="",$R1239="Trùng"),"",IF(COUNTIF(ORDERS!$C$2:$C$4995,$D1239)&gt;0,"Có","Không"))</f>
        <v/>
      </c>
      <c r="W1239" s="22">
        <f>IF(OR($D1239="",$R1239="Trùng"),"",COUNTIFS(ORDERS!$C$2:$C$4995,$D1239,ORDERS!$L$2:$L$4995,"Đã chuyển khoản"))</f>
        <v/>
      </c>
      <c r="X1239" s="23">
        <f>IF(OR($D1239="",$R1239="Trùng"),"",SUMIFS(ORDERS!$J$2:$J$4995,ORDERS!$C$2:$C$4995,$D1239,ORDERS!$L$2:$L$4995,"Đã chuyển khoản"))</f>
        <v/>
      </c>
      <c r="Y1239" s="24" t="n"/>
    </row>
    <row r="1240" ht="14.25" customHeight="1" s="40">
      <c r="A1240" s="24" t="n"/>
      <c r="B1240" s="27" t="n"/>
      <c r="C1240" s="24" t="n"/>
      <c r="D1240" s="28" t="n"/>
      <c r="E1240" s="29" t="n"/>
      <c r="F1240" s="24" t="n"/>
      <c r="G1240" s="24" t="n"/>
      <c r="H1240" s="21">
        <f>IF(ISNUMBER($B1240),INT($B1240)-WEEKDAY($B1240,2)+1,"")</f>
        <v/>
      </c>
      <c r="I1240" s="24" t="n"/>
      <c r="J1240" s="22">
        <f t="array" ref="J1240">IF($D1240="","",IF($I1240="","(trống REF)",IFERROR(INDEX(MASTER_SOURCE!$B$2:$B$495,MATCH($I1240,MASTER_SOURCE!$A$2:$A$495,0)),"(REF không có trong MASTER_SOURCE)")))</f>
        <v/>
      </c>
      <c r="K1240" s="22">
        <f t="array" ref="K1240">IF($D1240="","",IFERROR(INDEX(MASTER_SOURCE!$C$2:$C$495,MATCH($I1240,MASTER_SOURCE!$A$2:$A$495,0)),""))</f>
        <v/>
      </c>
      <c r="L1240" s="22">
        <f t="array" ref="L1240">IF($D1240="","",IFERROR(INDEX(MASTER_SOURCE!$D$2:$D$495,MATCH($I1240,MASTER_SOURCE!$A$2:$A$495,0)),""))</f>
        <v/>
      </c>
      <c r="M1240" s="24" t="n"/>
      <c r="N1240" s="24" t="n"/>
      <c r="O1240" s="24" t="n"/>
      <c r="P1240" s="24" t="n"/>
      <c r="Q1240" s="22">
        <f>IF($D1240="","",IF(AND(OR(DANH_MUC!$L$5&lt;&gt;"Có",M1240="Có"),OR(DANH_MUC!$L$6&lt;&gt;"Có",N1240="Có"),OR(DANH_MUC!$L$7&lt;&gt;"Có",O1240="Có"),OR(DANH_MUC!$L$8&lt;&gt;"Có",P1240="Có")),"Có","Không"))</f>
        <v/>
      </c>
      <c r="R1240" s="22">
        <f>IF($D1240="","",IF(COUNTIF($D$2:$D1240,$D1240)&gt;1,"Trùng",""))</f>
        <v/>
      </c>
      <c r="S1240" s="22">
        <f>IF($D1240="","",IF(AND(LEN($D1240)=10,LEFT($D1240,1)="0",ISNUMBER(--$D1240)),"Có","Không"))</f>
        <v/>
      </c>
      <c r="T1240" s="22">
        <f>IF($D1240="","",IF(AND($C1240&lt;&gt;"",$Q1240="Có",$R1240="",$S1240="Có",AND($L1240&lt;&gt;"",OR($L1240&lt;&gt;"Chưa xác định",DANH_MUC!$L$9="Có"))),"Có","Không"))</f>
        <v/>
      </c>
      <c r="U1240" s="22">
        <f>IF(OR($D1240="",$T1240="Có"),"",IF($C1240="","Thiếu họ tên; ","")&amp;IF($S1240&lt;&gt;"Có","SĐT sai định dạng; ","")&amp;IF($R1240="Trùng","Trùng SĐT; ","")&amp;IF($Q1240&lt;&gt;"Có","Thiếu đồng ý bắt buộc; ","")&amp;IF($L1240="","Thiếu/sai Mã REF; ",IF(AND($L1240="Chưa xác định",DANH_MUC!$L$9&lt;&gt;"Có"),"Nguồn chưa xác định; ","")))</f>
        <v/>
      </c>
      <c r="V1240" s="22">
        <f>IF(OR($D1240="",$R1240="Trùng"),"",IF(COUNTIF(ORDERS!$C$2:$C$4995,$D1240)&gt;0,"Có","Không"))</f>
        <v/>
      </c>
      <c r="W1240" s="22">
        <f>IF(OR($D1240="",$R1240="Trùng"),"",COUNTIFS(ORDERS!$C$2:$C$4995,$D1240,ORDERS!$L$2:$L$4995,"Đã chuyển khoản"))</f>
        <v/>
      </c>
      <c r="X1240" s="23">
        <f>IF(OR($D1240="",$R1240="Trùng"),"",SUMIFS(ORDERS!$J$2:$J$4995,ORDERS!$C$2:$C$4995,$D1240,ORDERS!$L$2:$L$4995,"Đã chuyển khoản"))</f>
        <v/>
      </c>
      <c r="Y1240" s="24" t="n"/>
    </row>
    <row r="1241" ht="14.25" customHeight="1" s="40">
      <c r="A1241" s="24" t="n"/>
      <c r="B1241" s="27" t="n"/>
      <c r="C1241" s="24" t="n"/>
      <c r="D1241" s="28" t="n"/>
      <c r="E1241" s="29" t="n"/>
      <c r="F1241" s="24" t="n"/>
      <c r="G1241" s="24" t="n"/>
      <c r="H1241" s="21">
        <f>IF(ISNUMBER($B1241),INT($B1241)-WEEKDAY($B1241,2)+1,"")</f>
        <v/>
      </c>
      <c r="I1241" s="24" t="n"/>
      <c r="J1241" s="22">
        <f t="array" ref="J1241">IF($D1241="","",IF($I1241="","(trống REF)",IFERROR(INDEX(MASTER_SOURCE!$B$2:$B$495,MATCH($I1241,MASTER_SOURCE!$A$2:$A$495,0)),"(REF không có trong MASTER_SOURCE)")))</f>
        <v/>
      </c>
      <c r="K1241" s="22">
        <f t="array" ref="K1241">IF($D1241="","",IFERROR(INDEX(MASTER_SOURCE!$C$2:$C$495,MATCH($I1241,MASTER_SOURCE!$A$2:$A$495,0)),""))</f>
        <v/>
      </c>
      <c r="L1241" s="22">
        <f t="array" ref="L1241">IF($D1241="","",IFERROR(INDEX(MASTER_SOURCE!$D$2:$D$495,MATCH($I1241,MASTER_SOURCE!$A$2:$A$495,0)),""))</f>
        <v/>
      </c>
      <c r="M1241" s="24" t="n"/>
      <c r="N1241" s="24" t="n"/>
      <c r="O1241" s="24" t="n"/>
      <c r="P1241" s="24" t="n"/>
      <c r="Q1241" s="22">
        <f>IF($D1241="","",IF(AND(OR(DANH_MUC!$L$5&lt;&gt;"Có",M1241="Có"),OR(DANH_MUC!$L$6&lt;&gt;"Có",N1241="Có"),OR(DANH_MUC!$L$7&lt;&gt;"Có",O1241="Có"),OR(DANH_MUC!$L$8&lt;&gt;"Có",P1241="Có")),"Có","Không"))</f>
        <v/>
      </c>
      <c r="R1241" s="22">
        <f>IF($D1241="","",IF(COUNTIF($D$2:$D1241,$D1241)&gt;1,"Trùng",""))</f>
        <v/>
      </c>
      <c r="S1241" s="22">
        <f>IF($D1241="","",IF(AND(LEN($D1241)=10,LEFT($D1241,1)="0",ISNUMBER(--$D1241)),"Có","Không"))</f>
        <v/>
      </c>
      <c r="T1241" s="22">
        <f>IF($D1241="","",IF(AND($C1241&lt;&gt;"",$Q1241="Có",$R1241="",$S1241="Có",AND($L1241&lt;&gt;"",OR($L1241&lt;&gt;"Chưa xác định",DANH_MUC!$L$9="Có"))),"Có","Không"))</f>
        <v/>
      </c>
      <c r="U1241" s="22">
        <f>IF(OR($D1241="",$T1241="Có"),"",IF($C1241="","Thiếu họ tên; ","")&amp;IF($S1241&lt;&gt;"Có","SĐT sai định dạng; ","")&amp;IF($R1241="Trùng","Trùng SĐT; ","")&amp;IF($Q1241&lt;&gt;"Có","Thiếu đồng ý bắt buộc; ","")&amp;IF($L1241="","Thiếu/sai Mã REF; ",IF(AND($L1241="Chưa xác định",DANH_MUC!$L$9&lt;&gt;"Có"),"Nguồn chưa xác định; ","")))</f>
        <v/>
      </c>
      <c r="V1241" s="22">
        <f>IF(OR($D1241="",$R1241="Trùng"),"",IF(COUNTIF(ORDERS!$C$2:$C$4995,$D1241)&gt;0,"Có","Không"))</f>
        <v/>
      </c>
      <c r="W1241" s="22">
        <f>IF(OR($D1241="",$R1241="Trùng"),"",COUNTIFS(ORDERS!$C$2:$C$4995,$D1241,ORDERS!$L$2:$L$4995,"Đã chuyển khoản"))</f>
        <v/>
      </c>
      <c r="X1241" s="23">
        <f>IF(OR($D1241="",$R1241="Trùng"),"",SUMIFS(ORDERS!$J$2:$J$4995,ORDERS!$C$2:$C$4995,$D1241,ORDERS!$L$2:$L$4995,"Đã chuyển khoản"))</f>
        <v/>
      </c>
      <c r="Y1241" s="24" t="n"/>
    </row>
    <row r="1242" ht="14.25" customHeight="1" s="40">
      <c r="A1242" s="24" t="n"/>
      <c r="B1242" s="27" t="n"/>
      <c r="C1242" s="24" t="n"/>
      <c r="D1242" s="28" t="n"/>
      <c r="E1242" s="29" t="n"/>
      <c r="F1242" s="24" t="n"/>
      <c r="G1242" s="24" t="n"/>
      <c r="H1242" s="21">
        <f>IF(ISNUMBER($B1242),INT($B1242)-WEEKDAY($B1242,2)+1,"")</f>
        <v/>
      </c>
      <c r="I1242" s="24" t="n"/>
      <c r="J1242" s="22">
        <f t="array" ref="J1242">IF($D1242="","",IF($I1242="","(trống REF)",IFERROR(INDEX(MASTER_SOURCE!$B$2:$B$495,MATCH($I1242,MASTER_SOURCE!$A$2:$A$495,0)),"(REF không có trong MASTER_SOURCE)")))</f>
        <v/>
      </c>
      <c r="K1242" s="22">
        <f t="array" ref="K1242">IF($D1242="","",IFERROR(INDEX(MASTER_SOURCE!$C$2:$C$495,MATCH($I1242,MASTER_SOURCE!$A$2:$A$495,0)),""))</f>
        <v/>
      </c>
      <c r="L1242" s="22">
        <f t="array" ref="L1242">IF($D1242="","",IFERROR(INDEX(MASTER_SOURCE!$D$2:$D$495,MATCH($I1242,MASTER_SOURCE!$A$2:$A$495,0)),""))</f>
        <v/>
      </c>
      <c r="M1242" s="24" t="n"/>
      <c r="N1242" s="24" t="n"/>
      <c r="O1242" s="24" t="n"/>
      <c r="P1242" s="24" t="n"/>
      <c r="Q1242" s="22">
        <f>IF($D1242="","",IF(AND(OR(DANH_MUC!$L$5&lt;&gt;"Có",M1242="Có"),OR(DANH_MUC!$L$6&lt;&gt;"Có",N1242="Có"),OR(DANH_MUC!$L$7&lt;&gt;"Có",O1242="Có"),OR(DANH_MUC!$L$8&lt;&gt;"Có",P1242="Có")),"Có","Không"))</f>
        <v/>
      </c>
      <c r="R1242" s="22">
        <f>IF($D1242="","",IF(COUNTIF($D$2:$D1242,$D1242)&gt;1,"Trùng",""))</f>
        <v/>
      </c>
      <c r="S1242" s="22">
        <f>IF($D1242="","",IF(AND(LEN($D1242)=10,LEFT($D1242,1)="0",ISNUMBER(--$D1242)),"Có","Không"))</f>
        <v/>
      </c>
      <c r="T1242" s="22">
        <f>IF($D1242="","",IF(AND($C1242&lt;&gt;"",$Q1242="Có",$R1242="",$S1242="Có",AND($L1242&lt;&gt;"",OR($L1242&lt;&gt;"Chưa xác định",DANH_MUC!$L$9="Có"))),"Có","Không"))</f>
        <v/>
      </c>
      <c r="U1242" s="22">
        <f>IF(OR($D1242="",$T1242="Có"),"",IF($C1242="","Thiếu họ tên; ","")&amp;IF($S1242&lt;&gt;"Có","SĐT sai định dạng; ","")&amp;IF($R1242="Trùng","Trùng SĐT; ","")&amp;IF($Q1242&lt;&gt;"Có","Thiếu đồng ý bắt buộc; ","")&amp;IF($L1242="","Thiếu/sai Mã REF; ",IF(AND($L1242="Chưa xác định",DANH_MUC!$L$9&lt;&gt;"Có"),"Nguồn chưa xác định; ","")))</f>
        <v/>
      </c>
      <c r="V1242" s="22">
        <f>IF(OR($D1242="",$R1242="Trùng"),"",IF(COUNTIF(ORDERS!$C$2:$C$4995,$D1242)&gt;0,"Có","Không"))</f>
        <v/>
      </c>
      <c r="W1242" s="22">
        <f>IF(OR($D1242="",$R1242="Trùng"),"",COUNTIFS(ORDERS!$C$2:$C$4995,$D1242,ORDERS!$L$2:$L$4995,"Đã chuyển khoản"))</f>
        <v/>
      </c>
      <c r="X1242" s="23">
        <f>IF(OR($D1242="",$R1242="Trùng"),"",SUMIFS(ORDERS!$J$2:$J$4995,ORDERS!$C$2:$C$4995,$D1242,ORDERS!$L$2:$L$4995,"Đã chuyển khoản"))</f>
        <v/>
      </c>
      <c r="Y1242" s="24" t="n"/>
    </row>
    <row r="1243" ht="14.25" customHeight="1" s="40">
      <c r="A1243" s="24" t="n"/>
      <c r="B1243" s="27" t="n"/>
      <c r="C1243" s="24" t="n"/>
      <c r="D1243" s="28" t="n"/>
      <c r="E1243" s="29" t="n"/>
      <c r="F1243" s="24" t="n"/>
      <c r="G1243" s="24" t="n"/>
      <c r="H1243" s="21">
        <f>IF(ISNUMBER($B1243),INT($B1243)-WEEKDAY($B1243,2)+1,"")</f>
        <v/>
      </c>
      <c r="I1243" s="24" t="n"/>
      <c r="J1243" s="22">
        <f t="array" ref="J1243">IF($D1243="","",IF($I1243="","(trống REF)",IFERROR(INDEX(MASTER_SOURCE!$B$2:$B$495,MATCH($I1243,MASTER_SOURCE!$A$2:$A$495,0)),"(REF không có trong MASTER_SOURCE)")))</f>
        <v/>
      </c>
      <c r="K1243" s="22">
        <f t="array" ref="K1243">IF($D1243="","",IFERROR(INDEX(MASTER_SOURCE!$C$2:$C$495,MATCH($I1243,MASTER_SOURCE!$A$2:$A$495,0)),""))</f>
        <v/>
      </c>
      <c r="L1243" s="22">
        <f t="array" ref="L1243">IF($D1243="","",IFERROR(INDEX(MASTER_SOURCE!$D$2:$D$495,MATCH($I1243,MASTER_SOURCE!$A$2:$A$495,0)),""))</f>
        <v/>
      </c>
      <c r="M1243" s="24" t="n"/>
      <c r="N1243" s="24" t="n"/>
      <c r="O1243" s="24" t="n"/>
      <c r="P1243" s="24" t="n"/>
      <c r="Q1243" s="22">
        <f>IF($D1243="","",IF(AND(OR(DANH_MUC!$L$5&lt;&gt;"Có",M1243="Có"),OR(DANH_MUC!$L$6&lt;&gt;"Có",N1243="Có"),OR(DANH_MUC!$L$7&lt;&gt;"Có",O1243="Có"),OR(DANH_MUC!$L$8&lt;&gt;"Có",P1243="Có")),"Có","Không"))</f>
        <v/>
      </c>
      <c r="R1243" s="22">
        <f>IF($D1243="","",IF(COUNTIF($D$2:$D1243,$D1243)&gt;1,"Trùng",""))</f>
        <v/>
      </c>
      <c r="S1243" s="22">
        <f>IF($D1243="","",IF(AND(LEN($D1243)=10,LEFT($D1243,1)="0",ISNUMBER(--$D1243)),"Có","Không"))</f>
        <v/>
      </c>
      <c r="T1243" s="22">
        <f>IF($D1243="","",IF(AND($C1243&lt;&gt;"",$Q1243="Có",$R1243="",$S1243="Có",AND($L1243&lt;&gt;"",OR($L1243&lt;&gt;"Chưa xác định",DANH_MUC!$L$9="Có"))),"Có","Không"))</f>
        <v/>
      </c>
      <c r="U1243" s="22">
        <f>IF(OR($D1243="",$T1243="Có"),"",IF($C1243="","Thiếu họ tên; ","")&amp;IF($S1243&lt;&gt;"Có","SĐT sai định dạng; ","")&amp;IF($R1243="Trùng","Trùng SĐT; ","")&amp;IF($Q1243&lt;&gt;"Có","Thiếu đồng ý bắt buộc; ","")&amp;IF($L1243="","Thiếu/sai Mã REF; ",IF(AND($L1243="Chưa xác định",DANH_MUC!$L$9&lt;&gt;"Có"),"Nguồn chưa xác định; ","")))</f>
        <v/>
      </c>
      <c r="V1243" s="22">
        <f>IF(OR($D1243="",$R1243="Trùng"),"",IF(COUNTIF(ORDERS!$C$2:$C$4995,$D1243)&gt;0,"Có","Không"))</f>
        <v/>
      </c>
      <c r="W1243" s="22">
        <f>IF(OR($D1243="",$R1243="Trùng"),"",COUNTIFS(ORDERS!$C$2:$C$4995,$D1243,ORDERS!$L$2:$L$4995,"Đã chuyển khoản"))</f>
        <v/>
      </c>
      <c r="X1243" s="23">
        <f>IF(OR($D1243="",$R1243="Trùng"),"",SUMIFS(ORDERS!$J$2:$J$4995,ORDERS!$C$2:$C$4995,$D1243,ORDERS!$L$2:$L$4995,"Đã chuyển khoản"))</f>
        <v/>
      </c>
      <c r="Y1243" s="24" t="n"/>
    </row>
    <row r="1244" ht="14.25" customHeight="1" s="40">
      <c r="A1244" s="24" t="n"/>
      <c r="B1244" s="27" t="n"/>
      <c r="C1244" s="24" t="n"/>
      <c r="D1244" s="28" t="n"/>
      <c r="E1244" s="29" t="n"/>
      <c r="F1244" s="24" t="n"/>
      <c r="G1244" s="24" t="n"/>
      <c r="H1244" s="21">
        <f>IF(ISNUMBER($B1244),INT($B1244)-WEEKDAY($B1244,2)+1,"")</f>
        <v/>
      </c>
      <c r="I1244" s="24" t="n"/>
      <c r="J1244" s="22">
        <f t="array" ref="J1244">IF($D1244="","",IF($I1244="","(trống REF)",IFERROR(INDEX(MASTER_SOURCE!$B$2:$B$495,MATCH($I1244,MASTER_SOURCE!$A$2:$A$495,0)),"(REF không có trong MASTER_SOURCE)")))</f>
        <v/>
      </c>
      <c r="K1244" s="22">
        <f t="array" ref="K1244">IF($D1244="","",IFERROR(INDEX(MASTER_SOURCE!$C$2:$C$495,MATCH($I1244,MASTER_SOURCE!$A$2:$A$495,0)),""))</f>
        <v/>
      </c>
      <c r="L1244" s="22">
        <f t="array" ref="L1244">IF($D1244="","",IFERROR(INDEX(MASTER_SOURCE!$D$2:$D$495,MATCH($I1244,MASTER_SOURCE!$A$2:$A$495,0)),""))</f>
        <v/>
      </c>
      <c r="M1244" s="24" t="n"/>
      <c r="N1244" s="24" t="n"/>
      <c r="O1244" s="24" t="n"/>
      <c r="P1244" s="24" t="n"/>
      <c r="Q1244" s="22">
        <f>IF($D1244="","",IF(AND(OR(DANH_MUC!$L$5&lt;&gt;"Có",M1244="Có"),OR(DANH_MUC!$L$6&lt;&gt;"Có",N1244="Có"),OR(DANH_MUC!$L$7&lt;&gt;"Có",O1244="Có"),OR(DANH_MUC!$L$8&lt;&gt;"Có",P1244="Có")),"Có","Không"))</f>
        <v/>
      </c>
      <c r="R1244" s="22">
        <f>IF($D1244="","",IF(COUNTIF($D$2:$D1244,$D1244)&gt;1,"Trùng",""))</f>
        <v/>
      </c>
      <c r="S1244" s="22">
        <f>IF($D1244="","",IF(AND(LEN($D1244)=10,LEFT($D1244,1)="0",ISNUMBER(--$D1244)),"Có","Không"))</f>
        <v/>
      </c>
      <c r="T1244" s="22">
        <f>IF($D1244="","",IF(AND($C1244&lt;&gt;"",$Q1244="Có",$R1244="",$S1244="Có",AND($L1244&lt;&gt;"",OR($L1244&lt;&gt;"Chưa xác định",DANH_MUC!$L$9="Có"))),"Có","Không"))</f>
        <v/>
      </c>
      <c r="U1244" s="22">
        <f>IF(OR($D1244="",$T1244="Có"),"",IF($C1244="","Thiếu họ tên; ","")&amp;IF($S1244&lt;&gt;"Có","SĐT sai định dạng; ","")&amp;IF($R1244="Trùng","Trùng SĐT; ","")&amp;IF($Q1244&lt;&gt;"Có","Thiếu đồng ý bắt buộc; ","")&amp;IF($L1244="","Thiếu/sai Mã REF; ",IF(AND($L1244="Chưa xác định",DANH_MUC!$L$9&lt;&gt;"Có"),"Nguồn chưa xác định; ","")))</f>
        <v/>
      </c>
      <c r="V1244" s="22">
        <f>IF(OR($D1244="",$R1244="Trùng"),"",IF(COUNTIF(ORDERS!$C$2:$C$4995,$D1244)&gt;0,"Có","Không"))</f>
        <v/>
      </c>
      <c r="W1244" s="22">
        <f>IF(OR($D1244="",$R1244="Trùng"),"",COUNTIFS(ORDERS!$C$2:$C$4995,$D1244,ORDERS!$L$2:$L$4995,"Đã chuyển khoản"))</f>
        <v/>
      </c>
      <c r="X1244" s="23">
        <f>IF(OR($D1244="",$R1244="Trùng"),"",SUMIFS(ORDERS!$J$2:$J$4995,ORDERS!$C$2:$C$4995,$D1244,ORDERS!$L$2:$L$4995,"Đã chuyển khoản"))</f>
        <v/>
      </c>
      <c r="Y1244" s="24" t="n"/>
    </row>
    <row r="1245" ht="14.25" customHeight="1" s="40">
      <c r="A1245" s="24" t="n"/>
      <c r="B1245" s="27" t="n"/>
      <c r="C1245" s="24" t="n"/>
      <c r="D1245" s="28" t="n"/>
      <c r="E1245" s="29" t="n"/>
      <c r="F1245" s="24" t="n"/>
      <c r="G1245" s="24" t="n"/>
      <c r="H1245" s="21">
        <f>IF(ISNUMBER($B1245),INT($B1245)-WEEKDAY($B1245,2)+1,"")</f>
        <v/>
      </c>
      <c r="I1245" s="24" t="n"/>
      <c r="J1245" s="22">
        <f t="array" ref="J1245">IF($D1245="","",IF($I1245="","(trống REF)",IFERROR(INDEX(MASTER_SOURCE!$B$2:$B$495,MATCH($I1245,MASTER_SOURCE!$A$2:$A$495,0)),"(REF không có trong MASTER_SOURCE)")))</f>
        <v/>
      </c>
      <c r="K1245" s="22">
        <f t="array" ref="K1245">IF($D1245="","",IFERROR(INDEX(MASTER_SOURCE!$C$2:$C$495,MATCH($I1245,MASTER_SOURCE!$A$2:$A$495,0)),""))</f>
        <v/>
      </c>
      <c r="L1245" s="22">
        <f t="array" ref="L1245">IF($D1245="","",IFERROR(INDEX(MASTER_SOURCE!$D$2:$D$495,MATCH($I1245,MASTER_SOURCE!$A$2:$A$495,0)),""))</f>
        <v/>
      </c>
      <c r="M1245" s="24" t="n"/>
      <c r="N1245" s="24" t="n"/>
      <c r="O1245" s="24" t="n"/>
      <c r="P1245" s="24" t="n"/>
      <c r="Q1245" s="22">
        <f>IF($D1245="","",IF(AND(OR(DANH_MUC!$L$5&lt;&gt;"Có",M1245="Có"),OR(DANH_MUC!$L$6&lt;&gt;"Có",N1245="Có"),OR(DANH_MUC!$L$7&lt;&gt;"Có",O1245="Có"),OR(DANH_MUC!$L$8&lt;&gt;"Có",P1245="Có")),"Có","Không"))</f>
        <v/>
      </c>
      <c r="R1245" s="22">
        <f>IF($D1245="","",IF(COUNTIF($D$2:$D1245,$D1245)&gt;1,"Trùng",""))</f>
        <v/>
      </c>
      <c r="S1245" s="22">
        <f>IF($D1245="","",IF(AND(LEN($D1245)=10,LEFT($D1245,1)="0",ISNUMBER(--$D1245)),"Có","Không"))</f>
        <v/>
      </c>
      <c r="T1245" s="22">
        <f>IF($D1245="","",IF(AND($C1245&lt;&gt;"",$Q1245="Có",$R1245="",$S1245="Có",AND($L1245&lt;&gt;"",OR($L1245&lt;&gt;"Chưa xác định",DANH_MUC!$L$9="Có"))),"Có","Không"))</f>
        <v/>
      </c>
      <c r="U1245" s="22">
        <f>IF(OR($D1245="",$T1245="Có"),"",IF($C1245="","Thiếu họ tên; ","")&amp;IF($S1245&lt;&gt;"Có","SĐT sai định dạng; ","")&amp;IF($R1245="Trùng","Trùng SĐT; ","")&amp;IF($Q1245&lt;&gt;"Có","Thiếu đồng ý bắt buộc; ","")&amp;IF($L1245="","Thiếu/sai Mã REF; ",IF(AND($L1245="Chưa xác định",DANH_MUC!$L$9&lt;&gt;"Có"),"Nguồn chưa xác định; ","")))</f>
        <v/>
      </c>
      <c r="V1245" s="22">
        <f>IF(OR($D1245="",$R1245="Trùng"),"",IF(COUNTIF(ORDERS!$C$2:$C$4995,$D1245)&gt;0,"Có","Không"))</f>
        <v/>
      </c>
      <c r="W1245" s="22">
        <f>IF(OR($D1245="",$R1245="Trùng"),"",COUNTIFS(ORDERS!$C$2:$C$4995,$D1245,ORDERS!$L$2:$L$4995,"Đã chuyển khoản"))</f>
        <v/>
      </c>
      <c r="X1245" s="23">
        <f>IF(OR($D1245="",$R1245="Trùng"),"",SUMIFS(ORDERS!$J$2:$J$4995,ORDERS!$C$2:$C$4995,$D1245,ORDERS!$L$2:$L$4995,"Đã chuyển khoản"))</f>
        <v/>
      </c>
      <c r="Y1245" s="24" t="n"/>
    </row>
    <row r="1246" ht="14.25" customHeight="1" s="40">
      <c r="A1246" s="24" t="n"/>
      <c r="B1246" s="27" t="n"/>
      <c r="C1246" s="24" t="n"/>
      <c r="D1246" s="28" t="n"/>
      <c r="E1246" s="29" t="n"/>
      <c r="F1246" s="24" t="n"/>
      <c r="G1246" s="24" t="n"/>
      <c r="H1246" s="21">
        <f>IF(ISNUMBER($B1246),INT($B1246)-WEEKDAY($B1246,2)+1,"")</f>
        <v/>
      </c>
      <c r="I1246" s="24" t="n"/>
      <c r="J1246" s="22">
        <f t="array" ref="J1246">IF($D1246="","",IF($I1246="","(trống REF)",IFERROR(INDEX(MASTER_SOURCE!$B$2:$B$495,MATCH($I1246,MASTER_SOURCE!$A$2:$A$495,0)),"(REF không có trong MASTER_SOURCE)")))</f>
        <v/>
      </c>
      <c r="K1246" s="22">
        <f t="array" ref="K1246">IF($D1246="","",IFERROR(INDEX(MASTER_SOURCE!$C$2:$C$495,MATCH($I1246,MASTER_SOURCE!$A$2:$A$495,0)),""))</f>
        <v/>
      </c>
      <c r="L1246" s="22">
        <f t="array" ref="L1246">IF($D1246="","",IFERROR(INDEX(MASTER_SOURCE!$D$2:$D$495,MATCH($I1246,MASTER_SOURCE!$A$2:$A$495,0)),""))</f>
        <v/>
      </c>
      <c r="M1246" s="24" t="n"/>
      <c r="N1246" s="24" t="n"/>
      <c r="O1246" s="24" t="n"/>
      <c r="P1246" s="24" t="n"/>
      <c r="Q1246" s="22">
        <f>IF($D1246="","",IF(AND(OR(DANH_MUC!$L$5&lt;&gt;"Có",M1246="Có"),OR(DANH_MUC!$L$6&lt;&gt;"Có",N1246="Có"),OR(DANH_MUC!$L$7&lt;&gt;"Có",O1246="Có"),OR(DANH_MUC!$L$8&lt;&gt;"Có",P1246="Có")),"Có","Không"))</f>
        <v/>
      </c>
      <c r="R1246" s="22">
        <f>IF($D1246="","",IF(COUNTIF($D$2:$D1246,$D1246)&gt;1,"Trùng",""))</f>
        <v/>
      </c>
      <c r="S1246" s="22">
        <f>IF($D1246="","",IF(AND(LEN($D1246)=10,LEFT($D1246,1)="0",ISNUMBER(--$D1246)),"Có","Không"))</f>
        <v/>
      </c>
      <c r="T1246" s="22">
        <f>IF($D1246="","",IF(AND($C1246&lt;&gt;"",$Q1246="Có",$R1246="",$S1246="Có",AND($L1246&lt;&gt;"",OR($L1246&lt;&gt;"Chưa xác định",DANH_MUC!$L$9="Có"))),"Có","Không"))</f>
        <v/>
      </c>
      <c r="U1246" s="22">
        <f>IF(OR($D1246="",$T1246="Có"),"",IF($C1246="","Thiếu họ tên; ","")&amp;IF($S1246&lt;&gt;"Có","SĐT sai định dạng; ","")&amp;IF($R1246="Trùng","Trùng SĐT; ","")&amp;IF($Q1246&lt;&gt;"Có","Thiếu đồng ý bắt buộc; ","")&amp;IF($L1246="","Thiếu/sai Mã REF; ",IF(AND($L1246="Chưa xác định",DANH_MUC!$L$9&lt;&gt;"Có"),"Nguồn chưa xác định; ","")))</f>
        <v/>
      </c>
      <c r="V1246" s="22">
        <f>IF(OR($D1246="",$R1246="Trùng"),"",IF(COUNTIF(ORDERS!$C$2:$C$4995,$D1246)&gt;0,"Có","Không"))</f>
        <v/>
      </c>
      <c r="W1246" s="22">
        <f>IF(OR($D1246="",$R1246="Trùng"),"",COUNTIFS(ORDERS!$C$2:$C$4995,$D1246,ORDERS!$L$2:$L$4995,"Đã chuyển khoản"))</f>
        <v/>
      </c>
      <c r="X1246" s="23">
        <f>IF(OR($D1246="",$R1246="Trùng"),"",SUMIFS(ORDERS!$J$2:$J$4995,ORDERS!$C$2:$C$4995,$D1246,ORDERS!$L$2:$L$4995,"Đã chuyển khoản"))</f>
        <v/>
      </c>
      <c r="Y1246" s="24" t="n"/>
    </row>
    <row r="1247" ht="14.25" customHeight="1" s="40">
      <c r="A1247" s="24" t="n"/>
      <c r="B1247" s="27" t="n"/>
      <c r="C1247" s="24" t="n"/>
      <c r="D1247" s="28" t="n"/>
      <c r="E1247" s="29" t="n"/>
      <c r="F1247" s="24" t="n"/>
      <c r="G1247" s="24" t="n"/>
      <c r="H1247" s="21">
        <f>IF(ISNUMBER($B1247),INT($B1247)-WEEKDAY($B1247,2)+1,"")</f>
        <v/>
      </c>
      <c r="I1247" s="24" t="n"/>
      <c r="J1247" s="22">
        <f t="array" ref="J1247">IF($D1247="","",IF($I1247="","(trống REF)",IFERROR(INDEX(MASTER_SOURCE!$B$2:$B$495,MATCH($I1247,MASTER_SOURCE!$A$2:$A$495,0)),"(REF không có trong MASTER_SOURCE)")))</f>
        <v/>
      </c>
      <c r="K1247" s="22">
        <f t="array" ref="K1247">IF($D1247="","",IFERROR(INDEX(MASTER_SOURCE!$C$2:$C$495,MATCH($I1247,MASTER_SOURCE!$A$2:$A$495,0)),""))</f>
        <v/>
      </c>
      <c r="L1247" s="22">
        <f t="array" ref="L1247">IF($D1247="","",IFERROR(INDEX(MASTER_SOURCE!$D$2:$D$495,MATCH($I1247,MASTER_SOURCE!$A$2:$A$495,0)),""))</f>
        <v/>
      </c>
      <c r="M1247" s="24" t="n"/>
      <c r="N1247" s="24" t="n"/>
      <c r="O1247" s="24" t="n"/>
      <c r="P1247" s="24" t="n"/>
      <c r="Q1247" s="22">
        <f>IF($D1247="","",IF(AND(OR(DANH_MUC!$L$5&lt;&gt;"Có",M1247="Có"),OR(DANH_MUC!$L$6&lt;&gt;"Có",N1247="Có"),OR(DANH_MUC!$L$7&lt;&gt;"Có",O1247="Có"),OR(DANH_MUC!$L$8&lt;&gt;"Có",P1247="Có")),"Có","Không"))</f>
        <v/>
      </c>
      <c r="R1247" s="22">
        <f>IF($D1247="","",IF(COUNTIF($D$2:$D1247,$D1247)&gt;1,"Trùng",""))</f>
        <v/>
      </c>
      <c r="S1247" s="22">
        <f>IF($D1247="","",IF(AND(LEN($D1247)=10,LEFT($D1247,1)="0",ISNUMBER(--$D1247)),"Có","Không"))</f>
        <v/>
      </c>
      <c r="T1247" s="22">
        <f>IF($D1247="","",IF(AND($C1247&lt;&gt;"",$Q1247="Có",$R1247="",$S1247="Có",AND($L1247&lt;&gt;"",OR($L1247&lt;&gt;"Chưa xác định",DANH_MUC!$L$9="Có"))),"Có","Không"))</f>
        <v/>
      </c>
      <c r="U1247" s="22">
        <f>IF(OR($D1247="",$T1247="Có"),"",IF($C1247="","Thiếu họ tên; ","")&amp;IF($S1247&lt;&gt;"Có","SĐT sai định dạng; ","")&amp;IF($R1247="Trùng","Trùng SĐT; ","")&amp;IF($Q1247&lt;&gt;"Có","Thiếu đồng ý bắt buộc; ","")&amp;IF($L1247="","Thiếu/sai Mã REF; ",IF(AND($L1247="Chưa xác định",DANH_MUC!$L$9&lt;&gt;"Có"),"Nguồn chưa xác định; ","")))</f>
        <v/>
      </c>
      <c r="V1247" s="22">
        <f>IF(OR($D1247="",$R1247="Trùng"),"",IF(COUNTIF(ORDERS!$C$2:$C$4995,$D1247)&gt;0,"Có","Không"))</f>
        <v/>
      </c>
      <c r="W1247" s="22">
        <f>IF(OR($D1247="",$R1247="Trùng"),"",COUNTIFS(ORDERS!$C$2:$C$4995,$D1247,ORDERS!$L$2:$L$4995,"Đã chuyển khoản"))</f>
        <v/>
      </c>
      <c r="X1247" s="23">
        <f>IF(OR($D1247="",$R1247="Trùng"),"",SUMIFS(ORDERS!$J$2:$J$4995,ORDERS!$C$2:$C$4995,$D1247,ORDERS!$L$2:$L$4995,"Đã chuyển khoản"))</f>
        <v/>
      </c>
      <c r="Y1247" s="24" t="n"/>
    </row>
    <row r="1248" ht="14.25" customHeight="1" s="40">
      <c r="A1248" s="24" t="n"/>
      <c r="B1248" s="27" t="n"/>
      <c r="C1248" s="24" t="n"/>
      <c r="D1248" s="28" t="n"/>
      <c r="E1248" s="29" t="n"/>
      <c r="F1248" s="24" t="n"/>
      <c r="G1248" s="24" t="n"/>
      <c r="H1248" s="21">
        <f>IF(ISNUMBER($B1248),INT($B1248)-WEEKDAY($B1248,2)+1,"")</f>
        <v/>
      </c>
      <c r="I1248" s="24" t="n"/>
      <c r="J1248" s="22">
        <f t="array" ref="J1248">IF($D1248="","",IF($I1248="","(trống REF)",IFERROR(INDEX(MASTER_SOURCE!$B$2:$B$495,MATCH($I1248,MASTER_SOURCE!$A$2:$A$495,0)),"(REF không có trong MASTER_SOURCE)")))</f>
        <v/>
      </c>
      <c r="K1248" s="22">
        <f t="array" ref="K1248">IF($D1248="","",IFERROR(INDEX(MASTER_SOURCE!$C$2:$C$495,MATCH($I1248,MASTER_SOURCE!$A$2:$A$495,0)),""))</f>
        <v/>
      </c>
      <c r="L1248" s="22">
        <f t="array" ref="L1248">IF($D1248="","",IFERROR(INDEX(MASTER_SOURCE!$D$2:$D$495,MATCH($I1248,MASTER_SOURCE!$A$2:$A$495,0)),""))</f>
        <v/>
      </c>
      <c r="M1248" s="24" t="n"/>
      <c r="N1248" s="24" t="n"/>
      <c r="O1248" s="24" t="n"/>
      <c r="P1248" s="24" t="n"/>
      <c r="Q1248" s="22">
        <f>IF($D1248="","",IF(AND(OR(DANH_MUC!$L$5&lt;&gt;"Có",M1248="Có"),OR(DANH_MUC!$L$6&lt;&gt;"Có",N1248="Có"),OR(DANH_MUC!$L$7&lt;&gt;"Có",O1248="Có"),OR(DANH_MUC!$L$8&lt;&gt;"Có",P1248="Có")),"Có","Không"))</f>
        <v/>
      </c>
      <c r="R1248" s="22">
        <f>IF($D1248="","",IF(COUNTIF($D$2:$D1248,$D1248)&gt;1,"Trùng",""))</f>
        <v/>
      </c>
      <c r="S1248" s="22">
        <f>IF($D1248="","",IF(AND(LEN($D1248)=10,LEFT($D1248,1)="0",ISNUMBER(--$D1248)),"Có","Không"))</f>
        <v/>
      </c>
      <c r="T1248" s="22">
        <f>IF($D1248="","",IF(AND($C1248&lt;&gt;"",$Q1248="Có",$R1248="",$S1248="Có",AND($L1248&lt;&gt;"",OR($L1248&lt;&gt;"Chưa xác định",DANH_MUC!$L$9="Có"))),"Có","Không"))</f>
        <v/>
      </c>
      <c r="U1248" s="22">
        <f>IF(OR($D1248="",$T1248="Có"),"",IF($C1248="","Thiếu họ tên; ","")&amp;IF($S1248&lt;&gt;"Có","SĐT sai định dạng; ","")&amp;IF($R1248="Trùng","Trùng SĐT; ","")&amp;IF($Q1248&lt;&gt;"Có","Thiếu đồng ý bắt buộc; ","")&amp;IF($L1248="","Thiếu/sai Mã REF; ",IF(AND($L1248="Chưa xác định",DANH_MUC!$L$9&lt;&gt;"Có"),"Nguồn chưa xác định; ","")))</f>
        <v/>
      </c>
      <c r="V1248" s="22">
        <f>IF(OR($D1248="",$R1248="Trùng"),"",IF(COUNTIF(ORDERS!$C$2:$C$4995,$D1248)&gt;0,"Có","Không"))</f>
        <v/>
      </c>
      <c r="W1248" s="22">
        <f>IF(OR($D1248="",$R1248="Trùng"),"",COUNTIFS(ORDERS!$C$2:$C$4995,$D1248,ORDERS!$L$2:$L$4995,"Đã chuyển khoản"))</f>
        <v/>
      </c>
      <c r="X1248" s="23">
        <f>IF(OR($D1248="",$R1248="Trùng"),"",SUMIFS(ORDERS!$J$2:$J$4995,ORDERS!$C$2:$C$4995,$D1248,ORDERS!$L$2:$L$4995,"Đã chuyển khoản"))</f>
        <v/>
      </c>
      <c r="Y1248" s="24" t="n"/>
    </row>
    <row r="1249" ht="14.25" customHeight="1" s="40">
      <c r="A1249" s="24" t="n"/>
      <c r="B1249" s="27" t="n"/>
      <c r="C1249" s="24" t="n"/>
      <c r="D1249" s="28" t="n"/>
      <c r="E1249" s="29" t="n"/>
      <c r="F1249" s="24" t="n"/>
      <c r="G1249" s="24" t="n"/>
      <c r="H1249" s="21">
        <f>IF(ISNUMBER($B1249),INT($B1249)-WEEKDAY($B1249,2)+1,"")</f>
        <v/>
      </c>
      <c r="I1249" s="24" t="n"/>
      <c r="J1249" s="22">
        <f t="array" ref="J1249">IF($D1249="","",IF($I1249="","(trống REF)",IFERROR(INDEX(MASTER_SOURCE!$B$2:$B$495,MATCH($I1249,MASTER_SOURCE!$A$2:$A$495,0)),"(REF không có trong MASTER_SOURCE)")))</f>
        <v/>
      </c>
      <c r="K1249" s="22">
        <f t="array" ref="K1249">IF($D1249="","",IFERROR(INDEX(MASTER_SOURCE!$C$2:$C$495,MATCH($I1249,MASTER_SOURCE!$A$2:$A$495,0)),""))</f>
        <v/>
      </c>
      <c r="L1249" s="22">
        <f t="array" ref="L1249">IF($D1249="","",IFERROR(INDEX(MASTER_SOURCE!$D$2:$D$495,MATCH($I1249,MASTER_SOURCE!$A$2:$A$495,0)),""))</f>
        <v/>
      </c>
      <c r="M1249" s="24" t="n"/>
      <c r="N1249" s="24" t="n"/>
      <c r="O1249" s="24" t="n"/>
      <c r="P1249" s="24" t="n"/>
      <c r="Q1249" s="22">
        <f>IF($D1249="","",IF(AND(OR(DANH_MUC!$L$5&lt;&gt;"Có",M1249="Có"),OR(DANH_MUC!$L$6&lt;&gt;"Có",N1249="Có"),OR(DANH_MUC!$L$7&lt;&gt;"Có",O1249="Có"),OR(DANH_MUC!$L$8&lt;&gt;"Có",P1249="Có")),"Có","Không"))</f>
        <v/>
      </c>
      <c r="R1249" s="22">
        <f>IF($D1249="","",IF(COUNTIF($D$2:$D1249,$D1249)&gt;1,"Trùng",""))</f>
        <v/>
      </c>
      <c r="S1249" s="22">
        <f>IF($D1249="","",IF(AND(LEN($D1249)=10,LEFT($D1249,1)="0",ISNUMBER(--$D1249)),"Có","Không"))</f>
        <v/>
      </c>
      <c r="T1249" s="22">
        <f>IF($D1249="","",IF(AND($C1249&lt;&gt;"",$Q1249="Có",$R1249="",$S1249="Có",AND($L1249&lt;&gt;"",OR($L1249&lt;&gt;"Chưa xác định",DANH_MUC!$L$9="Có"))),"Có","Không"))</f>
        <v/>
      </c>
      <c r="U1249" s="22">
        <f>IF(OR($D1249="",$T1249="Có"),"",IF($C1249="","Thiếu họ tên; ","")&amp;IF($S1249&lt;&gt;"Có","SĐT sai định dạng; ","")&amp;IF($R1249="Trùng","Trùng SĐT; ","")&amp;IF($Q1249&lt;&gt;"Có","Thiếu đồng ý bắt buộc; ","")&amp;IF($L1249="","Thiếu/sai Mã REF; ",IF(AND($L1249="Chưa xác định",DANH_MUC!$L$9&lt;&gt;"Có"),"Nguồn chưa xác định; ","")))</f>
        <v/>
      </c>
      <c r="V1249" s="22">
        <f>IF(OR($D1249="",$R1249="Trùng"),"",IF(COUNTIF(ORDERS!$C$2:$C$4995,$D1249)&gt;0,"Có","Không"))</f>
        <v/>
      </c>
      <c r="W1249" s="22">
        <f>IF(OR($D1249="",$R1249="Trùng"),"",COUNTIFS(ORDERS!$C$2:$C$4995,$D1249,ORDERS!$L$2:$L$4995,"Đã chuyển khoản"))</f>
        <v/>
      </c>
      <c r="X1249" s="23">
        <f>IF(OR($D1249="",$R1249="Trùng"),"",SUMIFS(ORDERS!$J$2:$J$4995,ORDERS!$C$2:$C$4995,$D1249,ORDERS!$L$2:$L$4995,"Đã chuyển khoản"))</f>
        <v/>
      </c>
      <c r="Y1249" s="24" t="n"/>
    </row>
    <row r="1250" ht="14.25" customHeight="1" s="40">
      <c r="A1250" s="24" t="n"/>
      <c r="B1250" s="27" t="n"/>
      <c r="C1250" s="24" t="n"/>
      <c r="D1250" s="28" t="n"/>
      <c r="E1250" s="29" t="n"/>
      <c r="F1250" s="24" t="n"/>
      <c r="G1250" s="24" t="n"/>
      <c r="H1250" s="21">
        <f>IF(ISNUMBER($B1250),INT($B1250)-WEEKDAY($B1250,2)+1,"")</f>
        <v/>
      </c>
      <c r="I1250" s="24" t="n"/>
      <c r="J1250" s="22">
        <f t="array" ref="J1250">IF($D1250="","",IF($I1250="","(trống REF)",IFERROR(INDEX(MASTER_SOURCE!$B$2:$B$495,MATCH($I1250,MASTER_SOURCE!$A$2:$A$495,0)),"(REF không có trong MASTER_SOURCE)")))</f>
        <v/>
      </c>
      <c r="K1250" s="22">
        <f t="array" ref="K1250">IF($D1250="","",IFERROR(INDEX(MASTER_SOURCE!$C$2:$C$495,MATCH($I1250,MASTER_SOURCE!$A$2:$A$495,0)),""))</f>
        <v/>
      </c>
      <c r="L1250" s="22">
        <f t="array" ref="L1250">IF($D1250="","",IFERROR(INDEX(MASTER_SOURCE!$D$2:$D$495,MATCH($I1250,MASTER_SOURCE!$A$2:$A$495,0)),""))</f>
        <v/>
      </c>
      <c r="M1250" s="24" t="n"/>
      <c r="N1250" s="24" t="n"/>
      <c r="O1250" s="24" t="n"/>
      <c r="P1250" s="24" t="n"/>
      <c r="Q1250" s="22">
        <f>IF($D1250="","",IF(AND(OR(DANH_MUC!$L$5&lt;&gt;"Có",M1250="Có"),OR(DANH_MUC!$L$6&lt;&gt;"Có",N1250="Có"),OR(DANH_MUC!$L$7&lt;&gt;"Có",O1250="Có"),OR(DANH_MUC!$L$8&lt;&gt;"Có",P1250="Có")),"Có","Không"))</f>
        <v/>
      </c>
      <c r="R1250" s="22">
        <f>IF($D1250="","",IF(COUNTIF($D$2:$D1250,$D1250)&gt;1,"Trùng",""))</f>
        <v/>
      </c>
      <c r="S1250" s="22">
        <f>IF($D1250="","",IF(AND(LEN($D1250)=10,LEFT($D1250,1)="0",ISNUMBER(--$D1250)),"Có","Không"))</f>
        <v/>
      </c>
      <c r="T1250" s="22">
        <f>IF($D1250="","",IF(AND($C1250&lt;&gt;"",$Q1250="Có",$R1250="",$S1250="Có",AND($L1250&lt;&gt;"",OR($L1250&lt;&gt;"Chưa xác định",DANH_MUC!$L$9="Có"))),"Có","Không"))</f>
        <v/>
      </c>
      <c r="U1250" s="22">
        <f>IF(OR($D1250="",$T1250="Có"),"",IF($C1250="","Thiếu họ tên; ","")&amp;IF($S1250&lt;&gt;"Có","SĐT sai định dạng; ","")&amp;IF($R1250="Trùng","Trùng SĐT; ","")&amp;IF($Q1250&lt;&gt;"Có","Thiếu đồng ý bắt buộc; ","")&amp;IF($L1250="","Thiếu/sai Mã REF; ",IF(AND($L1250="Chưa xác định",DANH_MUC!$L$9&lt;&gt;"Có"),"Nguồn chưa xác định; ","")))</f>
        <v/>
      </c>
      <c r="V1250" s="22">
        <f>IF(OR($D1250="",$R1250="Trùng"),"",IF(COUNTIF(ORDERS!$C$2:$C$4995,$D1250)&gt;0,"Có","Không"))</f>
        <v/>
      </c>
      <c r="W1250" s="22">
        <f>IF(OR($D1250="",$R1250="Trùng"),"",COUNTIFS(ORDERS!$C$2:$C$4995,$D1250,ORDERS!$L$2:$L$4995,"Đã chuyển khoản"))</f>
        <v/>
      </c>
      <c r="X1250" s="23">
        <f>IF(OR($D1250="",$R1250="Trùng"),"",SUMIFS(ORDERS!$J$2:$J$4995,ORDERS!$C$2:$C$4995,$D1250,ORDERS!$L$2:$L$4995,"Đã chuyển khoản"))</f>
        <v/>
      </c>
      <c r="Y1250" s="24" t="n"/>
    </row>
    <row r="1251" ht="14.25" customHeight="1" s="40">
      <c r="A1251" s="24" t="n"/>
      <c r="B1251" s="27" t="n"/>
      <c r="C1251" s="24" t="n"/>
      <c r="D1251" s="28" t="n"/>
      <c r="E1251" s="29" t="n"/>
      <c r="F1251" s="24" t="n"/>
      <c r="G1251" s="24" t="n"/>
      <c r="H1251" s="21">
        <f>IF(ISNUMBER($B1251),INT($B1251)-WEEKDAY($B1251,2)+1,"")</f>
        <v/>
      </c>
      <c r="I1251" s="24" t="n"/>
      <c r="J1251" s="22">
        <f t="array" ref="J1251">IF($D1251="","",IF($I1251="","(trống REF)",IFERROR(INDEX(MASTER_SOURCE!$B$2:$B$495,MATCH($I1251,MASTER_SOURCE!$A$2:$A$495,0)),"(REF không có trong MASTER_SOURCE)")))</f>
        <v/>
      </c>
      <c r="K1251" s="22">
        <f t="array" ref="K1251">IF($D1251="","",IFERROR(INDEX(MASTER_SOURCE!$C$2:$C$495,MATCH($I1251,MASTER_SOURCE!$A$2:$A$495,0)),""))</f>
        <v/>
      </c>
      <c r="L1251" s="22">
        <f t="array" ref="L1251">IF($D1251="","",IFERROR(INDEX(MASTER_SOURCE!$D$2:$D$495,MATCH($I1251,MASTER_SOURCE!$A$2:$A$495,0)),""))</f>
        <v/>
      </c>
      <c r="M1251" s="24" t="n"/>
      <c r="N1251" s="24" t="n"/>
      <c r="O1251" s="24" t="n"/>
      <c r="P1251" s="24" t="n"/>
      <c r="Q1251" s="22">
        <f>IF($D1251="","",IF(AND(OR(DANH_MUC!$L$5&lt;&gt;"Có",M1251="Có"),OR(DANH_MUC!$L$6&lt;&gt;"Có",N1251="Có"),OR(DANH_MUC!$L$7&lt;&gt;"Có",O1251="Có"),OR(DANH_MUC!$L$8&lt;&gt;"Có",P1251="Có")),"Có","Không"))</f>
        <v/>
      </c>
      <c r="R1251" s="22">
        <f>IF($D1251="","",IF(COUNTIF($D$2:$D1251,$D1251)&gt;1,"Trùng",""))</f>
        <v/>
      </c>
      <c r="S1251" s="22">
        <f>IF($D1251="","",IF(AND(LEN($D1251)=10,LEFT($D1251,1)="0",ISNUMBER(--$D1251)),"Có","Không"))</f>
        <v/>
      </c>
      <c r="T1251" s="22">
        <f>IF($D1251="","",IF(AND($C1251&lt;&gt;"",$Q1251="Có",$R1251="",$S1251="Có",AND($L1251&lt;&gt;"",OR($L1251&lt;&gt;"Chưa xác định",DANH_MUC!$L$9="Có"))),"Có","Không"))</f>
        <v/>
      </c>
      <c r="U1251" s="22">
        <f>IF(OR($D1251="",$T1251="Có"),"",IF($C1251="","Thiếu họ tên; ","")&amp;IF($S1251&lt;&gt;"Có","SĐT sai định dạng; ","")&amp;IF($R1251="Trùng","Trùng SĐT; ","")&amp;IF($Q1251&lt;&gt;"Có","Thiếu đồng ý bắt buộc; ","")&amp;IF($L1251="","Thiếu/sai Mã REF; ",IF(AND($L1251="Chưa xác định",DANH_MUC!$L$9&lt;&gt;"Có"),"Nguồn chưa xác định; ","")))</f>
        <v/>
      </c>
      <c r="V1251" s="22">
        <f>IF(OR($D1251="",$R1251="Trùng"),"",IF(COUNTIF(ORDERS!$C$2:$C$4995,$D1251)&gt;0,"Có","Không"))</f>
        <v/>
      </c>
      <c r="W1251" s="22">
        <f>IF(OR($D1251="",$R1251="Trùng"),"",COUNTIFS(ORDERS!$C$2:$C$4995,$D1251,ORDERS!$L$2:$L$4995,"Đã chuyển khoản"))</f>
        <v/>
      </c>
      <c r="X1251" s="23">
        <f>IF(OR($D1251="",$R1251="Trùng"),"",SUMIFS(ORDERS!$J$2:$J$4995,ORDERS!$C$2:$C$4995,$D1251,ORDERS!$L$2:$L$4995,"Đã chuyển khoản"))</f>
        <v/>
      </c>
      <c r="Y1251" s="24" t="n"/>
    </row>
    <row r="1252" ht="14.25" customHeight="1" s="40">
      <c r="A1252" s="24" t="n"/>
      <c r="B1252" s="27" t="n"/>
      <c r="C1252" s="24" t="n"/>
      <c r="D1252" s="28" t="n"/>
      <c r="E1252" s="29" t="n"/>
      <c r="F1252" s="24" t="n"/>
      <c r="G1252" s="24" t="n"/>
      <c r="H1252" s="21">
        <f>IF(ISNUMBER($B1252),INT($B1252)-WEEKDAY($B1252,2)+1,"")</f>
        <v/>
      </c>
      <c r="I1252" s="24" t="n"/>
      <c r="J1252" s="22">
        <f t="array" ref="J1252">IF($D1252="","",IF($I1252="","(trống REF)",IFERROR(INDEX(MASTER_SOURCE!$B$2:$B$495,MATCH($I1252,MASTER_SOURCE!$A$2:$A$495,0)),"(REF không có trong MASTER_SOURCE)")))</f>
        <v/>
      </c>
      <c r="K1252" s="22">
        <f t="array" ref="K1252">IF($D1252="","",IFERROR(INDEX(MASTER_SOURCE!$C$2:$C$495,MATCH($I1252,MASTER_SOURCE!$A$2:$A$495,0)),""))</f>
        <v/>
      </c>
      <c r="L1252" s="22">
        <f t="array" ref="L1252">IF($D1252="","",IFERROR(INDEX(MASTER_SOURCE!$D$2:$D$495,MATCH($I1252,MASTER_SOURCE!$A$2:$A$495,0)),""))</f>
        <v/>
      </c>
      <c r="M1252" s="24" t="n"/>
      <c r="N1252" s="24" t="n"/>
      <c r="O1252" s="24" t="n"/>
      <c r="P1252" s="24" t="n"/>
      <c r="Q1252" s="22">
        <f>IF($D1252="","",IF(AND(OR(DANH_MUC!$L$5&lt;&gt;"Có",M1252="Có"),OR(DANH_MUC!$L$6&lt;&gt;"Có",N1252="Có"),OR(DANH_MUC!$L$7&lt;&gt;"Có",O1252="Có"),OR(DANH_MUC!$L$8&lt;&gt;"Có",P1252="Có")),"Có","Không"))</f>
        <v/>
      </c>
      <c r="R1252" s="22">
        <f>IF($D1252="","",IF(COUNTIF($D$2:$D1252,$D1252)&gt;1,"Trùng",""))</f>
        <v/>
      </c>
      <c r="S1252" s="22">
        <f>IF($D1252="","",IF(AND(LEN($D1252)=10,LEFT($D1252,1)="0",ISNUMBER(--$D1252)),"Có","Không"))</f>
        <v/>
      </c>
      <c r="T1252" s="22">
        <f>IF($D1252="","",IF(AND($C1252&lt;&gt;"",$Q1252="Có",$R1252="",$S1252="Có",AND($L1252&lt;&gt;"",OR($L1252&lt;&gt;"Chưa xác định",DANH_MUC!$L$9="Có"))),"Có","Không"))</f>
        <v/>
      </c>
      <c r="U1252" s="22">
        <f>IF(OR($D1252="",$T1252="Có"),"",IF($C1252="","Thiếu họ tên; ","")&amp;IF($S1252&lt;&gt;"Có","SĐT sai định dạng; ","")&amp;IF($R1252="Trùng","Trùng SĐT; ","")&amp;IF($Q1252&lt;&gt;"Có","Thiếu đồng ý bắt buộc; ","")&amp;IF($L1252="","Thiếu/sai Mã REF; ",IF(AND($L1252="Chưa xác định",DANH_MUC!$L$9&lt;&gt;"Có"),"Nguồn chưa xác định; ","")))</f>
        <v/>
      </c>
      <c r="V1252" s="22">
        <f>IF(OR($D1252="",$R1252="Trùng"),"",IF(COUNTIF(ORDERS!$C$2:$C$4995,$D1252)&gt;0,"Có","Không"))</f>
        <v/>
      </c>
      <c r="W1252" s="22">
        <f>IF(OR($D1252="",$R1252="Trùng"),"",COUNTIFS(ORDERS!$C$2:$C$4995,$D1252,ORDERS!$L$2:$L$4995,"Đã chuyển khoản"))</f>
        <v/>
      </c>
      <c r="X1252" s="23">
        <f>IF(OR($D1252="",$R1252="Trùng"),"",SUMIFS(ORDERS!$J$2:$J$4995,ORDERS!$C$2:$C$4995,$D1252,ORDERS!$L$2:$L$4995,"Đã chuyển khoản"))</f>
        <v/>
      </c>
      <c r="Y1252" s="24" t="n"/>
    </row>
    <row r="1253" ht="14.25" customHeight="1" s="40">
      <c r="A1253" s="24" t="n"/>
      <c r="B1253" s="27" t="n"/>
      <c r="C1253" s="24" t="n"/>
      <c r="D1253" s="28" t="n"/>
      <c r="E1253" s="29" t="n"/>
      <c r="F1253" s="24" t="n"/>
      <c r="G1253" s="24" t="n"/>
      <c r="H1253" s="21">
        <f>IF(ISNUMBER($B1253),INT($B1253)-WEEKDAY($B1253,2)+1,"")</f>
        <v/>
      </c>
      <c r="I1253" s="24" t="n"/>
      <c r="J1253" s="22">
        <f t="array" ref="J1253">IF($D1253="","",IF($I1253="","(trống REF)",IFERROR(INDEX(MASTER_SOURCE!$B$2:$B$495,MATCH($I1253,MASTER_SOURCE!$A$2:$A$495,0)),"(REF không có trong MASTER_SOURCE)")))</f>
        <v/>
      </c>
      <c r="K1253" s="22">
        <f t="array" ref="K1253">IF($D1253="","",IFERROR(INDEX(MASTER_SOURCE!$C$2:$C$495,MATCH($I1253,MASTER_SOURCE!$A$2:$A$495,0)),""))</f>
        <v/>
      </c>
      <c r="L1253" s="22">
        <f t="array" ref="L1253">IF($D1253="","",IFERROR(INDEX(MASTER_SOURCE!$D$2:$D$495,MATCH($I1253,MASTER_SOURCE!$A$2:$A$495,0)),""))</f>
        <v/>
      </c>
      <c r="M1253" s="24" t="n"/>
      <c r="N1253" s="24" t="n"/>
      <c r="O1253" s="24" t="n"/>
      <c r="P1253" s="24" t="n"/>
      <c r="Q1253" s="22">
        <f>IF($D1253="","",IF(AND(OR(DANH_MUC!$L$5&lt;&gt;"Có",M1253="Có"),OR(DANH_MUC!$L$6&lt;&gt;"Có",N1253="Có"),OR(DANH_MUC!$L$7&lt;&gt;"Có",O1253="Có"),OR(DANH_MUC!$L$8&lt;&gt;"Có",P1253="Có")),"Có","Không"))</f>
        <v/>
      </c>
      <c r="R1253" s="22">
        <f>IF($D1253="","",IF(COUNTIF($D$2:$D1253,$D1253)&gt;1,"Trùng",""))</f>
        <v/>
      </c>
      <c r="S1253" s="22">
        <f>IF($D1253="","",IF(AND(LEN($D1253)=10,LEFT($D1253,1)="0",ISNUMBER(--$D1253)),"Có","Không"))</f>
        <v/>
      </c>
      <c r="T1253" s="22">
        <f>IF($D1253="","",IF(AND($C1253&lt;&gt;"",$Q1253="Có",$R1253="",$S1253="Có",AND($L1253&lt;&gt;"",OR($L1253&lt;&gt;"Chưa xác định",DANH_MUC!$L$9="Có"))),"Có","Không"))</f>
        <v/>
      </c>
      <c r="U1253" s="22">
        <f>IF(OR($D1253="",$T1253="Có"),"",IF($C1253="","Thiếu họ tên; ","")&amp;IF($S1253&lt;&gt;"Có","SĐT sai định dạng; ","")&amp;IF($R1253="Trùng","Trùng SĐT; ","")&amp;IF($Q1253&lt;&gt;"Có","Thiếu đồng ý bắt buộc; ","")&amp;IF($L1253="","Thiếu/sai Mã REF; ",IF(AND($L1253="Chưa xác định",DANH_MUC!$L$9&lt;&gt;"Có"),"Nguồn chưa xác định; ","")))</f>
        <v/>
      </c>
      <c r="V1253" s="22">
        <f>IF(OR($D1253="",$R1253="Trùng"),"",IF(COUNTIF(ORDERS!$C$2:$C$4995,$D1253)&gt;0,"Có","Không"))</f>
        <v/>
      </c>
      <c r="W1253" s="22">
        <f>IF(OR($D1253="",$R1253="Trùng"),"",COUNTIFS(ORDERS!$C$2:$C$4995,$D1253,ORDERS!$L$2:$L$4995,"Đã chuyển khoản"))</f>
        <v/>
      </c>
      <c r="X1253" s="23">
        <f>IF(OR($D1253="",$R1253="Trùng"),"",SUMIFS(ORDERS!$J$2:$J$4995,ORDERS!$C$2:$C$4995,$D1253,ORDERS!$L$2:$L$4995,"Đã chuyển khoản"))</f>
        <v/>
      </c>
      <c r="Y1253" s="24" t="n"/>
    </row>
    <row r="1254" ht="14.25" customHeight="1" s="40">
      <c r="A1254" s="24" t="n"/>
      <c r="B1254" s="27" t="n"/>
      <c r="C1254" s="24" t="n"/>
      <c r="D1254" s="28" t="n"/>
      <c r="E1254" s="29" t="n"/>
      <c r="F1254" s="24" t="n"/>
      <c r="G1254" s="24" t="n"/>
      <c r="H1254" s="21">
        <f>IF(ISNUMBER($B1254),INT($B1254)-WEEKDAY($B1254,2)+1,"")</f>
        <v/>
      </c>
      <c r="I1254" s="24" t="n"/>
      <c r="J1254" s="22">
        <f t="array" ref="J1254">IF($D1254="","",IF($I1254="","(trống REF)",IFERROR(INDEX(MASTER_SOURCE!$B$2:$B$495,MATCH($I1254,MASTER_SOURCE!$A$2:$A$495,0)),"(REF không có trong MASTER_SOURCE)")))</f>
        <v/>
      </c>
      <c r="K1254" s="22">
        <f t="array" ref="K1254">IF($D1254="","",IFERROR(INDEX(MASTER_SOURCE!$C$2:$C$495,MATCH($I1254,MASTER_SOURCE!$A$2:$A$495,0)),""))</f>
        <v/>
      </c>
      <c r="L1254" s="22">
        <f t="array" ref="L1254">IF($D1254="","",IFERROR(INDEX(MASTER_SOURCE!$D$2:$D$495,MATCH($I1254,MASTER_SOURCE!$A$2:$A$495,0)),""))</f>
        <v/>
      </c>
      <c r="M1254" s="24" t="n"/>
      <c r="N1254" s="24" t="n"/>
      <c r="O1254" s="24" t="n"/>
      <c r="P1254" s="24" t="n"/>
      <c r="Q1254" s="22">
        <f>IF($D1254="","",IF(AND(OR(DANH_MUC!$L$5&lt;&gt;"Có",M1254="Có"),OR(DANH_MUC!$L$6&lt;&gt;"Có",N1254="Có"),OR(DANH_MUC!$L$7&lt;&gt;"Có",O1254="Có"),OR(DANH_MUC!$L$8&lt;&gt;"Có",P1254="Có")),"Có","Không"))</f>
        <v/>
      </c>
      <c r="R1254" s="22">
        <f>IF($D1254="","",IF(COUNTIF($D$2:$D1254,$D1254)&gt;1,"Trùng",""))</f>
        <v/>
      </c>
      <c r="S1254" s="22">
        <f>IF($D1254="","",IF(AND(LEN($D1254)=10,LEFT($D1254,1)="0",ISNUMBER(--$D1254)),"Có","Không"))</f>
        <v/>
      </c>
      <c r="T1254" s="22">
        <f>IF($D1254="","",IF(AND($C1254&lt;&gt;"",$Q1254="Có",$R1254="",$S1254="Có",AND($L1254&lt;&gt;"",OR($L1254&lt;&gt;"Chưa xác định",DANH_MUC!$L$9="Có"))),"Có","Không"))</f>
        <v/>
      </c>
      <c r="U1254" s="22">
        <f>IF(OR($D1254="",$T1254="Có"),"",IF($C1254="","Thiếu họ tên; ","")&amp;IF($S1254&lt;&gt;"Có","SĐT sai định dạng; ","")&amp;IF($R1254="Trùng","Trùng SĐT; ","")&amp;IF($Q1254&lt;&gt;"Có","Thiếu đồng ý bắt buộc; ","")&amp;IF($L1254="","Thiếu/sai Mã REF; ",IF(AND($L1254="Chưa xác định",DANH_MUC!$L$9&lt;&gt;"Có"),"Nguồn chưa xác định; ","")))</f>
        <v/>
      </c>
      <c r="V1254" s="22">
        <f>IF(OR($D1254="",$R1254="Trùng"),"",IF(COUNTIF(ORDERS!$C$2:$C$4995,$D1254)&gt;0,"Có","Không"))</f>
        <v/>
      </c>
      <c r="W1254" s="22">
        <f>IF(OR($D1254="",$R1254="Trùng"),"",COUNTIFS(ORDERS!$C$2:$C$4995,$D1254,ORDERS!$L$2:$L$4995,"Đã chuyển khoản"))</f>
        <v/>
      </c>
      <c r="X1254" s="23">
        <f>IF(OR($D1254="",$R1254="Trùng"),"",SUMIFS(ORDERS!$J$2:$J$4995,ORDERS!$C$2:$C$4995,$D1254,ORDERS!$L$2:$L$4995,"Đã chuyển khoản"))</f>
        <v/>
      </c>
      <c r="Y1254" s="24" t="n"/>
    </row>
    <row r="1255" ht="14.25" customHeight="1" s="40">
      <c r="A1255" s="24" t="n"/>
      <c r="B1255" s="27" t="n"/>
      <c r="C1255" s="24" t="n"/>
      <c r="D1255" s="28" t="n"/>
      <c r="E1255" s="29" t="n"/>
      <c r="F1255" s="24" t="n"/>
      <c r="G1255" s="24" t="n"/>
      <c r="H1255" s="21">
        <f>IF(ISNUMBER($B1255),INT($B1255)-WEEKDAY($B1255,2)+1,"")</f>
        <v/>
      </c>
      <c r="I1255" s="24" t="n"/>
      <c r="J1255" s="22">
        <f t="array" ref="J1255">IF($D1255="","",IF($I1255="","(trống REF)",IFERROR(INDEX(MASTER_SOURCE!$B$2:$B$495,MATCH($I1255,MASTER_SOURCE!$A$2:$A$495,0)),"(REF không có trong MASTER_SOURCE)")))</f>
        <v/>
      </c>
      <c r="K1255" s="22">
        <f t="array" ref="K1255">IF($D1255="","",IFERROR(INDEX(MASTER_SOURCE!$C$2:$C$495,MATCH($I1255,MASTER_SOURCE!$A$2:$A$495,0)),""))</f>
        <v/>
      </c>
      <c r="L1255" s="22">
        <f t="array" ref="L1255">IF($D1255="","",IFERROR(INDEX(MASTER_SOURCE!$D$2:$D$495,MATCH($I1255,MASTER_SOURCE!$A$2:$A$495,0)),""))</f>
        <v/>
      </c>
      <c r="M1255" s="24" t="n"/>
      <c r="N1255" s="24" t="n"/>
      <c r="O1255" s="24" t="n"/>
      <c r="P1255" s="24" t="n"/>
      <c r="Q1255" s="22">
        <f>IF($D1255="","",IF(AND(OR(DANH_MUC!$L$5&lt;&gt;"Có",M1255="Có"),OR(DANH_MUC!$L$6&lt;&gt;"Có",N1255="Có"),OR(DANH_MUC!$L$7&lt;&gt;"Có",O1255="Có"),OR(DANH_MUC!$L$8&lt;&gt;"Có",P1255="Có")),"Có","Không"))</f>
        <v/>
      </c>
      <c r="R1255" s="22">
        <f>IF($D1255="","",IF(COUNTIF($D$2:$D1255,$D1255)&gt;1,"Trùng",""))</f>
        <v/>
      </c>
      <c r="S1255" s="22">
        <f>IF($D1255="","",IF(AND(LEN($D1255)=10,LEFT($D1255,1)="0",ISNUMBER(--$D1255)),"Có","Không"))</f>
        <v/>
      </c>
      <c r="T1255" s="22">
        <f>IF($D1255="","",IF(AND($C1255&lt;&gt;"",$Q1255="Có",$R1255="",$S1255="Có",AND($L1255&lt;&gt;"",OR($L1255&lt;&gt;"Chưa xác định",DANH_MUC!$L$9="Có"))),"Có","Không"))</f>
        <v/>
      </c>
      <c r="U1255" s="22">
        <f>IF(OR($D1255="",$T1255="Có"),"",IF($C1255="","Thiếu họ tên; ","")&amp;IF($S1255&lt;&gt;"Có","SĐT sai định dạng; ","")&amp;IF($R1255="Trùng","Trùng SĐT; ","")&amp;IF($Q1255&lt;&gt;"Có","Thiếu đồng ý bắt buộc; ","")&amp;IF($L1255="","Thiếu/sai Mã REF; ",IF(AND($L1255="Chưa xác định",DANH_MUC!$L$9&lt;&gt;"Có"),"Nguồn chưa xác định; ","")))</f>
        <v/>
      </c>
      <c r="V1255" s="22">
        <f>IF(OR($D1255="",$R1255="Trùng"),"",IF(COUNTIF(ORDERS!$C$2:$C$4995,$D1255)&gt;0,"Có","Không"))</f>
        <v/>
      </c>
      <c r="W1255" s="22">
        <f>IF(OR($D1255="",$R1255="Trùng"),"",COUNTIFS(ORDERS!$C$2:$C$4995,$D1255,ORDERS!$L$2:$L$4995,"Đã chuyển khoản"))</f>
        <v/>
      </c>
      <c r="X1255" s="23">
        <f>IF(OR($D1255="",$R1255="Trùng"),"",SUMIFS(ORDERS!$J$2:$J$4995,ORDERS!$C$2:$C$4995,$D1255,ORDERS!$L$2:$L$4995,"Đã chuyển khoản"))</f>
        <v/>
      </c>
      <c r="Y1255" s="24" t="n"/>
    </row>
    <row r="1256" ht="14.25" customHeight="1" s="40">
      <c r="A1256" s="24" t="n"/>
      <c r="B1256" s="27" t="n"/>
      <c r="C1256" s="24" t="n"/>
      <c r="D1256" s="28" t="n"/>
      <c r="E1256" s="29" t="n"/>
      <c r="F1256" s="24" t="n"/>
      <c r="G1256" s="24" t="n"/>
      <c r="H1256" s="21">
        <f>IF(ISNUMBER($B1256),INT($B1256)-WEEKDAY($B1256,2)+1,"")</f>
        <v/>
      </c>
      <c r="I1256" s="24" t="n"/>
      <c r="J1256" s="22">
        <f t="array" ref="J1256">IF($D1256="","",IF($I1256="","(trống REF)",IFERROR(INDEX(MASTER_SOURCE!$B$2:$B$495,MATCH($I1256,MASTER_SOURCE!$A$2:$A$495,0)),"(REF không có trong MASTER_SOURCE)")))</f>
        <v/>
      </c>
      <c r="K1256" s="22">
        <f t="array" ref="K1256">IF($D1256="","",IFERROR(INDEX(MASTER_SOURCE!$C$2:$C$495,MATCH($I1256,MASTER_SOURCE!$A$2:$A$495,0)),""))</f>
        <v/>
      </c>
      <c r="L1256" s="22">
        <f t="array" ref="L1256">IF($D1256="","",IFERROR(INDEX(MASTER_SOURCE!$D$2:$D$495,MATCH($I1256,MASTER_SOURCE!$A$2:$A$495,0)),""))</f>
        <v/>
      </c>
      <c r="M1256" s="24" t="n"/>
      <c r="N1256" s="24" t="n"/>
      <c r="O1256" s="24" t="n"/>
      <c r="P1256" s="24" t="n"/>
      <c r="Q1256" s="22">
        <f>IF($D1256="","",IF(AND(OR(DANH_MUC!$L$5&lt;&gt;"Có",M1256="Có"),OR(DANH_MUC!$L$6&lt;&gt;"Có",N1256="Có"),OR(DANH_MUC!$L$7&lt;&gt;"Có",O1256="Có"),OR(DANH_MUC!$L$8&lt;&gt;"Có",P1256="Có")),"Có","Không"))</f>
        <v/>
      </c>
      <c r="R1256" s="22">
        <f>IF($D1256="","",IF(COUNTIF($D$2:$D1256,$D1256)&gt;1,"Trùng",""))</f>
        <v/>
      </c>
      <c r="S1256" s="22">
        <f>IF($D1256="","",IF(AND(LEN($D1256)=10,LEFT($D1256,1)="0",ISNUMBER(--$D1256)),"Có","Không"))</f>
        <v/>
      </c>
      <c r="T1256" s="22">
        <f>IF($D1256="","",IF(AND($C1256&lt;&gt;"",$Q1256="Có",$R1256="",$S1256="Có",AND($L1256&lt;&gt;"",OR($L1256&lt;&gt;"Chưa xác định",DANH_MUC!$L$9="Có"))),"Có","Không"))</f>
        <v/>
      </c>
      <c r="U1256" s="22">
        <f>IF(OR($D1256="",$T1256="Có"),"",IF($C1256="","Thiếu họ tên; ","")&amp;IF($S1256&lt;&gt;"Có","SĐT sai định dạng; ","")&amp;IF($R1256="Trùng","Trùng SĐT; ","")&amp;IF($Q1256&lt;&gt;"Có","Thiếu đồng ý bắt buộc; ","")&amp;IF($L1256="","Thiếu/sai Mã REF; ",IF(AND($L1256="Chưa xác định",DANH_MUC!$L$9&lt;&gt;"Có"),"Nguồn chưa xác định; ","")))</f>
        <v/>
      </c>
      <c r="V1256" s="22">
        <f>IF(OR($D1256="",$R1256="Trùng"),"",IF(COUNTIF(ORDERS!$C$2:$C$4995,$D1256)&gt;0,"Có","Không"))</f>
        <v/>
      </c>
      <c r="W1256" s="22">
        <f>IF(OR($D1256="",$R1256="Trùng"),"",COUNTIFS(ORDERS!$C$2:$C$4995,$D1256,ORDERS!$L$2:$L$4995,"Đã chuyển khoản"))</f>
        <v/>
      </c>
      <c r="X1256" s="23">
        <f>IF(OR($D1256="",$R1256="Trùng"),"",SUMIFS(ORDERS!$J$2:$J$4995,ORDERS!$C$2:$C$4995,$D1256,ORDERS!$L$2:$L$4995,"Đã chuyển khoản"))</f>
        <v/>
      </c>
      <c r="Y1256" s="24" t="n"/>
    </row>
    <row r="1257" ht="14.25" customHeight="1" s="40">
      <c r="A1257" s="24" t="n"/>
      <c r="B1257" s="27" t="n"/>
      <c r="C1257" s="24" t="n"/>
      <c r="D1257" s="28" t="n"/>
      <c r="E1257" s="29" t="n"/>
      <c r="F1257" s="24" t="n"/>
      <c r="G1257" s="24" t="n"/>
      <c r="H1257" s="21">
        <f>IF(ISNUMBER($B1257),INT($B1257)-WEEKDAY($B1257,2)+1,"")</f>
        <v/>
      </c>
      <c r="I1257" s="24" t="n"/>
      <c r="J1257" s="22">
        <f t="array" ref="J1257">IF($D1257="","",IF($I1257="","(trống REF)",IFERROR(INDEX(MASTER_SOURCE!$B$2:$B$495,MATCH($I1257,MASTER_SOURCE!$A$2:$A$495,0)),"(REF không có trong MASTER_SOURCE)")))</f>
        <v/>
      </c>
      <c r="K1257" s="22">
        <f t="array" ref="K1257">IF($D1257="","",IFERROR(INDEX(MASTER_SOURCE!$C$2:$C$495,MATCH($I1257,MASTER_SOURCE!$A$2:$A$495,0)),""))</f>
        <v/>
      </c>
      <c r="L1257" s="22">
        <f t="array" ref="L1257">IF($D1257="","",IFERROR(INDEX(MASTER_SOURCE!$D$2:$D$495,MATCH($I1257,MASTER_SOURCE!$A$2:$A$495,0)),""))</f>
        <v/>
      </c>
      <c r="M1257" s="24" t="n"/>
      <c r="N1257" s="24" t="n"/>
      <c r="O1257" s="24" t="n"/>
      <c r="P1257" s="24" t="n"/>
      <c r="Q1257" s="22">
        <f>IF($D1257="","",IF(AND(OR(DANH_MUC!$L$5&lt;&gt;"Có",M1257="Có"),OR(DANH_MUC!$L$6&lt;&gt;"Có",N1257="Có"),OR(DANH_MUC!$L$7&lt;&gt;"Có",O1257="Có"),OR(DANH_MUC!$L$8&lt;&gt;"Có",P1257="Có")),"Có","Không"))</f>
        <v/>
      </c>
      <c r="R1257" s="22">
        <f>IF($D1257="","",IF(COUNTIF($D$2:$D1257,$D1257)&gt;1,"Trùng",""))</f>
        <v/>
      </c>
      <c r="S1257" s="22">
        <f>IF($D1257="","",IF(AND(LEN($D1257)=10,LEFT($D1257,1)="0",ISNUMBER(--$D1257)),"Có","Không"))</f>
        <v/>
      </c>
      <c r="T1257" s="22">
        <f>IF($D1257="","",IF(AND($C1257&lt;&gt;"",$Q1257="Có",$R1257="",$S1257="Có",AND($L1257&lt;&gt;"",OR($L1257&lt;&gt;"Chưa xác định",DANH_MUC!$L$9="Có"))),"Có","Không"))</f>
        <v/>
      </c>
      <c r="U1257" s="22">
        <f>IF(OR($D1257="",$T1257="Có"),"",IF($C1257="","Thiếu họ tên; ","")&amp;IF($S1257&lt;&gt;"Có","SĐT sai định dạng; ","")&amp;IF($R1257="Trùng","Trùng SĐT; ","")&amp;IF($Q1257&lt;&gt;"Có","Thiếu đồng ý bắt buộc; ","")&amp;IF($L1257="","Thiếu/sai Mã REF; ",IF(AND($L1257="Chưa xác định",DANH_MUC!$L$9&lt;&gt;"Có"),"Nguồn chưa xác định; ","")))</f>
        <v/>
      </c>
      <c r="V1257" s="22">
        <f>IF(OR($D1257="",$R1257="Trùng"),"",IF(COUNTIF(ORDERS!$C$2:$C$4995,$D1257)&gt;0,"Có","Không"))</f>
        <v/>
      </c>
      <c r="W1257" s="22">
        <f>IF(OR($D1257="",$R1257="Trùng"),"",COUNTIFS(ORDERS!$C$2:$C$4995,$D1257,ORDERS!$L$2:$L$4995,"Đã chuyển khoản"))</f>
        <v/>
      </c>
      <c r="X1257" s="23">
        <f>IF(OR($D1257="",$R1257="Trùng"),"",SUMIFS(ORDERS!$J$2:$J$4995,ORDERS!$C$2:$C$4995,$D1257,ORDERS!$L$2:$L$4995,"Đã chuyển khoản"))</f>
        <v/>
      </c>
      <c r="Y1257" s="24" t="n"/>
    </row>
    <row r="1258" ht="14.25" customHeight="1" s="40">
      <c r="A1258" s="24" t="n"/>
      <c r="B1258" s="27" t="n"/>
      <c r="C1258" s="24" t="n"/>
      <c r="D1258" s="28" t="n"/>
      <c r="E1258" s="29" t="n"/>
      <c r="F1258" s="24" t="n"/>
      <c r="G1258" s="24" t="n"/>
      <c r="H1258" s="21">
        <f>IF(ISNUMBER($B1258),INT($B1258)-WEEKDAY($B1258,2)+1,"")</f>
        <v/>
      </c>
      <c r="I1258" s="24" t="n"/>
      <c r="J1258" s="22">
        <f t="array" ref="J1258">IF($D1258="","",IF($I1258="","(trống REF)",IFERROR(INDEX(MASTER_SOURCE!$B$2:$B$495,MATCH($I1258,MASTER_SOURCE!$A$2:$A$495,0)),"(REF không có trong MASTER_SOURCE)")))</f>
        <v/>
      </c>
      <c r="K1258" s="22">
        <f t="array" ref="K1258">IF($D1258="","",IFERROR(INDEX(MASTER_SOURCE!$C$2:$C$495,MATCH($I1258,MASTER_SOURCE!$A$2:$A$495,0)),""))</f>
        <v/>
      </c>
      <c r="L1258" s="22">
        <f t="array" ref="L1258">IF($D1258="","",IFERROR(INDEX(MASTER_SOURCE!$D$2:$D$495,MATCH($I1258,MASTER_SOURCE!$A$2:$A$495,0)),""))</f>
        <v/>
      </c>
      <c r="M1258" s="24" t="n"/>
      <c r="N1258" s="24" t="n"/>
      <c r="O1258" s="24" t="n"/>
      <c r="P1258" s="24" t="n"/>
      <c r="Q1258" s="22">
        <f>IF($D1258="","",IF(AND(OR(DANH_MUC!$L$5&lt;&gt;"Có",M1258="Có"),OR(DANH_MUC!$L$6&lt;&gt;"Có",N1258="Có"),OR(DANH_MUC!$L$7&lt;&gt;"Có",O1258="Có"),OR(DANH_MUC!$L$8&lt;&gt;"Có",P1258="Có")),"Có","Không"))</f>
        <v/>
      </c>
      <c r="R1258" s="22">
        <f>IF($D1258="","",IF(COUNTIF($D$2:$D1258,$D1258)&gt;1,"Trùng",""))</f>
        <v/>
      </c>
      <c r="S1258" s="22">
        <f>IF($D1258="","",IF(AND(LEN($D1258)=10,LEFT($D1258,1)="0",ISNUMBER(--$D1258)),"Có","Không"))</f>
        <v/>
      </c>
      <c r="T1258" s="22">
        <f>IF($D1258="","",IF(AND($C1258&lt;&gt;"",$Q1258="Có",$R1258="",$S1258="Có",AND($L1258&lt;&gt;"",OR($L1258&lt;&gt;"Chưa xác định",DANH_MUC!$L$9="Có"))),"Có","Không"))</f>
        <v/>
      </c>
      <c r="U1258" s="22">
        <f>IF(OR($D1258="",$T1258="Có"),"",IF($C1258="","Thiếu họ tên; ","")&amp;IF($S1258&lt;&gt;"Có","SĐT sai định dạng; ","")&amp;IF($R1258="Trùng","Trùng SĐT; ","")&amp;IF($Q1258&lt;&gt;"Có","Thiếu đồng ý bắt buộc; ","")&amp;IF($L1258="","Thiếu/sai Mã REF; ",IF(AND($L1258="Chưa xác định",DANH_MUC!$L$9&lt;&gt;"Có"),"Nguồn chưa xác định; ","")))</f>
        <v/>
      </c>
      <c r="V1258" s="22">
        <f>IF(OR($D1258="",$R1258="Trùng"),"",IF(COUNTIF(ORDERS!$C$2:$C$4995,$D1258)&gt;0,"Có","Không"))</f>
        <v/>
      </c>
      <c r="W1258" s="22">
        <f>IF(OR($D1258="",$R1258="Trùng"),"",COUNTIFS(ORDERS!$C$2:$C$4995,$D1258,ORDERS!$L$2:$L$4995,"Đã chuyển khoản"))</f>
        <v/>
      </c>
      <c r="X1258" s="23">
        <f>IF(OR($D1258="",$R1258="Trùng"),"",SUMIFS(ORDERS!$J$2:$J$4995,ORDERS!$C$2:$C$4995,$D1258,ORDERS!$L$2:$L$4995,"Đã chuyển khoản"))</f>
        <v/>
      </c>
      <c r="Y1258" s="24" t="n"/>
    </row>
    <row r="1259" ht="14.25" customHeight="1" s="40">
      <c r="A1259" s="24" t="n"/>
      <c r="B1259" s="27" t="n"/>
      <c r="C1259" s="24" t="n"/>
      <c r="D1259" s="28" t="n"/>
      <c r="E1259" s="29" t="n"/>
      <c r="F1259" s="24" t="n"/>
      <c r="G1259" s="24" t="n"/>
      <c r="H1259" s="21">
        <f>IF(ISNUMBER($B1259),INT($B1259)-WEEKDAY($B1259,2)+1,"")</f>
        <v/>
      </c>
      <c r="I1259" s="24" t="n"/>
      <c r="J1259" s="22">
        <f t="array" ref="J1259">IF($D1259="","",IF($I1259="","(trống REF)",IFERROR(INDEX(MASTER_SOURCE!$B$2:$B$495,MATCH($I1259,MASTER_SOURCE!$A$2:$A$495,0)),"(REF không có trong MASTER_SOURCE)")))</f>
        <v/>
      </c>
      <c r="K1259" s="22">
        <f t="array" ref="K1259">IF($D1259="","",IFERROR(INDEX(MASTER_SOURCE!$C$2:$C$495,MATCH($I1259,MASTER_SOURCE!$A$2:$A$495,0)),""))</f>
        <v/>
      </c>
      <c r="L1259" s="22">
        <f t="array" ref="L1259">IF($D1259="","",IFERROR(INDEX(MASTER_SOURCE!$D$2:$D$495,MATCH($I1259,MASTER_SOURCE!$A$2:$A$495,0)),""))</f>
        <v/>
      </c>
      <c r="M1259" s="24" t="n"/>
      <c r="N1259" s="24" t="n"/>
      <c r="O1259" s="24" t="n"/>
      <c r="P1259" s="24" t="n"/>
      <c r="Q1259" s="22">
        <f>IF($D1259="","",IF(AND(OR(DANH_MUC!$L$5&lt;&gt;"Có",M1259="Có"),OR(DANH_MUC!$L$6&lt;&gt;"Có",N1259="Có"),OR(DANH_MUC!$L$7&lt;&gt;"Có",O1259="Có"),OR(DANH_MUC!$L$8&lt;&gt;"Có",P1259="Có")),"Có","Không"))</f>
        <v/>
      </c>
      <c r="R1259" s="22">
        <f>IF($D1259="","",IF(COUNTIF($D$2:$D1259,$D1259)&gt;1,"Trùng",""))</f>
        <v/>
      </c>
      <c r="S1259" s="22">
        <f>IF($D1259="","",IF(AND(LEN($D1259)=10,LEFT($D1259,1)="0",ISNUMBER(--$D1259)),"Có","Không"))</f>
        <v/>
      </c>
      <c r="T1259" s="22">
        <f>IF($D1259="","",IF(AND($C1259&lt;&gt;"",$Q1259="Có",$R1259="",$S1259="Có",AND($L1259&lt;&gt;"",OR($L1259&lt;&gt;"Chưa xác định",DANH_MUC!$L$9="Có"))),"Có","Không"))</f>
        <v/>
      </c>
      <c r="U1259" s="22">
        <f>IF(OR($D1259="",$T1259="Có"),"",IF($C1259="","Thiếu họ tên; ","")&amp;IF($S1259&lt;&gt;"Có","SĐT sai định dạng; ","")&amp;IF($R1259="Trùng","Trùng SĐT; ","")&amp;IF($Q1259&lt;&gt;"Có","Thiếu đồng ý bắt buộc; ","")&amp;IF($L1259="","Thiếu/sai Mã REF; ",IF(AND($L1259="Chưa xác định",DANH_MUC!$L$9&lt;&gt;"Có"),"Nguồn chưa xác định; ","")))</f>
        <v/>
      </c>
      <c r="V1259" s="22">
        <f>IF(OR($D1259="",$R1259="Trùng"),"",IF(COUNTIF(ORDERS!$C$2:$C$4995,$D1259)&gt;0,"Có","Không"))</f>
        <v/>
      </c>
      <c r="W1259" s="22">
        <f>IF(OR($D1259="",$R1259="Trùng"),"",COUNTIFS(ORDERS!$C$2:$C$4995,$D1259,ORDERS!$L$2:$L$4995,"Đã chuyển khoản"))</f>
        <v/>
      </c>
      <c r="X1259" s="23">
        <f>IF(OR($D1259="",$R1259="Trùng"),"",SUMIFS(ORDERS!$J$2:$J$4995,ORDERS!$C$2:$C$4995,$D1259,ORDERS!$L$2:$L$4995,"Đã chuyển khoản"))</f>
        <v/>
      </c>
      <c r="Y1259" s="24" t="n"/>
    </row>
    <row r="1260" ht="14.25" customHeight="1" s="40">
      <c r="A1260" s="24" t="n"/>
      <c r="B1260" s="27" t="n"/>
      <c r="C1260" s="24" t="n"/>
      <c r="D1260" s="28" t="n"/>
      <c r="E1260" s="29" t="n"/>
      <c r="F1260" s="24" t="n"/>
      <c r="G1260" s="24" t="n"/>
      <c r="H1260" s="21">
        <f>IF(ISNUMBER($B1260),INT($B1260)-WEEKDAY($B1260,2)+1,"")</f>
        <v/>
      </c>
      <c r="I1260" s="24" t="n"/>
      <c r="J1260" s="22">
        <f t="array" ref="J1260">IF($D1260="","",IF($I1260="","(trống REF)",IFERROR(INDEX(MASTER_SOURCE!$B$2:$B$495,MATCH($I1260,MASTER_SOURCE!$A$2:$A$495,0)),"(REF không có trong MASTER_SOURCE)")))</f>
        <v/>
      </c>
      <c r="K1260" s="22">
        <f t="array" ref="K1260">IF($D1260="","",IFERROR(INDEX(MASTER_SOURCE!$C$2:$C$495,MATCH($I1260,MASTER_SOURCE!$A$2:$A$495,0)),""))</f>
        <v/>
      </c>
      <c r="L1260" s="22">
        <f t="array" ref="L1260">IF($D1260="","",IFERROR(INDEX(MASTER_SOURCE!$D$2:$D$495,MATCH($I1260,MASTER_SOURCE!$A$2:$A$495,0)),""))</f>
        <v/>
      </c>
      <c r="M1260" s="24" t="n"/>
      <c r="N1260" s="24" t="n"/>
      <c r="O1260" s="24" t="n"/>
      <c r="P1260" s="24" t="n"/>
      <c r="Q1260" s="22">
        <f>IF($D1260="","",IF(AND(OR(DANH_MUC!$L$5&lt;&gt;"Có",M1260="Có"),OR(DANH_MUC!$L$6&lt;&gt;"Có",N1260="Có"),OR(DANH_MUC!$L$7&lt;&gt;"Có",O1260="Có"),OR(DANH_MUC!$L$8&lt;&gt;"Có",P1260="Có")),"Có","Không"))</f>
        <v/>
      </c>
      <c r="R1260" s="22">
        <f>IF($D1260="","",IF(COUNTIF($D$2:$D1260,$D1260)&gt;1,"Trùng",""))</f>
        <v/>
      </c>
      <c r="S1260" s="22">
        <f>IF($D1260="","",IF(AND(LEN($D1260)=10,LEFT($D1260,1)="0",ISNUMBER(--$D1260)),"Có","Không"))</f>
        <v/>
      </c>
      <c r="T1260" s="22">
        <f>IF($D1260="","",IF(AND($C1260&lt;&gt;"",$Q1260="Có",$R1260="",$S1260="Có",AND($L1260&lt;&gt;"",OR($L1260&lt;&gt;"Chưa xác định",DANH_MUC!$L$9="Có"))),"Có","Không"))</f>
        <v/>
      </c>
      <c r="U1260" s="22">
        <f>IF(OR($D1260="",$T1260="Có"),"",IF($C1260="","Thiếu họ tên; ","")&amp;IF($S1260&lt;&gt;"Có","SĐT sai định dạng; ","")&amp;IF($R1260="Trùng","Trùng SĐT; ","")&amp;IF($Q1260&lt;&gt;"Có","Thiếu đồng ý bắt buộc; ","")&amp;IF($L1260="","Thiếu/sai Mã REF; ",IF(AND($L1260="Chưa xác định",DANH_MUC!$L$9&lt;&gt;"Có"),"Nguồn chưa xác định; ","")))</f>
        <v/>
      </c>
      <c r="V1260" s="22">
        <f>IF(OR($D1260="",$R1260="Trùng"),"",IF(COUNTIF(ORDERS!$C$2:$C$4995,$D1260)&gt;0,"Có","Không"))</f>
        <v/>
      </c>
      <c r="W1260" s="22">
        <f>IF(OR($D1260="",$R1260="Trùng"),"",COUNTIFS(ORDERS!$C$2:$C$4995,$D1260,ORDERS!$L$2:$L$4995,"Đã chuyển khoản"))</f>
        <v/>
      </c>
      <c r="X1260" s="23">
        <f>IF(OR($D1260="",$R1260="Trùng"),"",SUMIFS(ORDERS!$J$2:$J$4995,ORDERS!$C$2:$C$4995,$D1260,ORDERS!$L$2:$L$4995,"Đã chuyển khoản"))</f>
        <v/>
      </c>
      <c r="Y1260" s="24" t="n"/>
    </row>
    <row r="1261" ht="14.25" customHeight="1" s="40">
      <c r="A1261" s="24" t="n"/>
      <c r="B1261" s="27" t="n"/>
      <c r="C1261" s="24" t="n"/>
      <c r="D1261" s="28" t="n"/>
      <c r="E1261" s="29" t="n"/>
      <c r="F1261" s="24" t="n"/>
      <c r="G1261" s="24" t="n"/>
      <c r="H1261" s="21">
        <f>IF(ISNUMBER($B1261),INT($B1261)-WEEKDAY($B1261,2)+1,"")</f>
        <v/>
      </c>
      <c r="I1261" s="24" t="n"/>
      <c r="J1261" s="22">
        <f t="array" ref="J1261">IF($D1261="","",IF($I1261="","(trống REF)",IFERROR(INDEX(MASTER_SOURCE!$B$2:$B$495,MATCH($I1261,MASTER_SOURCE!$A$2:$A$495,0)),"(REF không có trong MASTER_SOURCE)")))</f>
        <v/>
      </c>
      <c r="K1261" s="22">
        <f t="array" ref="K1261">IF($D1261="","",IFERROR(INDEX(MASTER_SOURCE!$C$2:$C$495,MATCH($I1261,MASTER_SOURCE!$A$2:$A$495,0)),""))</f>
        <v/>
      </c>
      <c r="L1261" s="22">
        <f t="array" ref="L1261">IF($D1261="","",IFERROR(INDEX(MASTER_SOURCE!$D$2:$D$495,MATCH($I1261,MASTER_SOURCE!$A$2:$A$495,0)),""))</f>
        <v/>
      </c>
      <c r="M1261" s="24" t="n"/>
      <c r="N1261" s="24" t="n"/>
      <c r="O1261" s="24" t="n"/>
      <c r="P1261" s="24" t="n"/>
      <c r="Q1261" s="22">
        <f>IF($D1261="","",IF(AND(OR(DANH_MUC!$L$5&lt;&gt;"Có",M1261="Có"),OR(DANH_MUC!$L$6&lt;&gt;"Có",N1261="Có"),OR(DANH_MUC!$L$7&lt;&gt;"Có",O1261="Có"),OR(DANH_MUC!$L$8&lt;&gt;"Có",P1261="Có")),"Có","Không"))</f>
        <v/>
      </c>
      <c r="R1261" s="22">
        <f>IF($D1261="","",IF(COUNTIF($D$2:$D1261,$D1261)&gt;1,"Trùng",""))</f>
        <v/>
      </c>
      <c r="S1261" s="22">
        <f>IF($D1261="","",IF(AND(LEN($D1261)=10,LEFT($D1261,1)="0",ISNUMBER(--$D1261)),"Có","Không"))</f>
        <v/>
      </c>
      <c r="T1261" s="22">
        <f>IF($D1261="","",IF(AND($C1261&lt;&gt;"",$Q1261="Có",$R1261="",$S1261="Có",AND($L1261&lt;&gt;"",OR($L1261&lt;&gt;"Chưa xác định",DANH_MUC!$L$9="Có"))),"Có","Không"))</f>
        <v/>
      </c>
      <c r="U1261" s="22">
        <f>IF(OR($D1261="",$T1261="Có"),"",IF($C1261="","Thiếu họ tên; ","")&amp;IF($S1261&lt;&gt;"Có","SĐT sai định dạng; ","")&amp;IF($R1261="Trùng","Trùng SĐT; ","")&amp;IF($Q1261&lt;&gt;"Có","Thiếu đồng ý bắt buộc; ","")&amp;IF($L1261="","Thiếu/sai Mã REF; ",IF(AND($L1261="Chưa xác định",DANH_MUC!$L$9&lt;&gt;"Có"),"Nguồn chưa xác định; ","")))</f>
        <v/>
      </c>
      <c r="V1261" s="22">
        <f>IF(OR($D1261="",$R1261="Trùng"),"",IF(COUNTIF(ORDERS!$C$2:$C$4995,$D1261)&gt;0,"Có","Không"))</f>
        <v/>
      </c>
      <c r="W1261" s="22">
        <f>IF(OR($D1261="",$R1261="Trùng"),"",COUNTIFS(ORDERS!$C$2:$C$4995,$D1261,ORDERS!$L$2:$L$4995,"Đã chuyển khoản"))</f>
        <v/>
      </c>
      <c r="X1261" s="23">
        <f>IF(OR($D1261="",$R1261="Trùng"),"",SUMIFS(ORDERS!$J$2:$J$4995,ORDERS!$C$2:$C$4995,$D1261,ORDERS!$L$2:$L$4995,"Đã chuyển khoản"))</f>
        <v/>
      </c>
      <c r="Y1261" s="24" t="n"/>
    </row>
    <row r="1262" ht="14.25" customHeight="1" s="40">
      <c r="A1262" s="24" t="n"/>
      <c r="B1262" s="27" t="n"/>
      <c r="C1262" s="24" t="n"/>
      <c r="D1262" s="28" t="n"/>
      <c r="E1262" s="29" t="n"/>
      <c r="F1262" s="24" t="n"/>
      <c r="G1262" s="24" t="n"/>
      <c r="H1262" s="21">
        <f>IF(ISNUMBER($B1262),INT($B1262)-WEEKDAY($B1262,2)+1,"")</f>
        <v/>
      </c>
      <c r="I1262" s="24" t="n"/>
      <c r="J1262" s="22">
        <f t="array" ref="J1262">IF($D1262="","",IF($I1262="","(trống REF)",IFERROR(INDEX(MASTER_SOURCE!$B$2:$B$495,MATCH($I1262,MASTER_SOURCE!$A$2:$A$495,0)),"(REF không có trong MASTER_SOURCE)")))</f>
        <v/>
      </c>
      <c r="K1262" s="22">
        <f t="array" ref="K1262">IF($D1262="","",IFERROR(INDEX(MASTER_SOURCE!$C$2:$C$495,MATCH($I1262,MASTER_SOURCE!$A$2:$A$495,0)),""))</f>
        <v/>
      </c>
      <c r="L1262" s="22">
        <f t="array" ref="L1262">IF($D1262="","",IFERROR(INDEX(MASTER_SOURCE!$D$2:$D$495,MATCH($I1262,MASTER_SOURCE!$A$2:$A$495,0)),""))</f>
        <v/>
      </c>
      <c r="M1262" s="24" t="n"/>
      <c r="N1262" s="24" t="n"/>
      <c r="O1262" s="24" t="n"/>
      <c r="P1262" s="24" t="n"/>
      <c r="Q1262" s="22">
        <f>IF($D1262="","",IF(AND(OR(DANH_MUC!$L$5&lt;&gt;"Có",M1262="Có"),OR(DANH_MUC!$L$6&lt;&gt;"Có",N1262="Có"),OR(DANH_MUC!$L$7&lt;&gt;"Có",O1262="Có"),OR(DANH_MUC!$L$8&lt;&gt;"Có",P1262="Có")),"Có","Không"))</f>
        <v/>
      </c>
      <c r="R1262" s="22">
        <f>IF($D1262="","",IF(COUNTIF($D$2:$D1262,$D1262)&gt;1,"Trùng",""))</f>
        <v/>
      </c>
      <c r="S1262" s="22">
        <f>IF($D1262="","",IF(AND(LEN($D1262)=10,LEFT($D1262,1)="0",ISNUMBER(--$D1262)),"Có","Không"))</f>
        <v/>
      </c>
      <c r="T1262" s="22">
        <f>IF($D1262="","",IF(AND($C1262&lt;&gt;"",$Q1262="Có",$R1262="",$S1262="Có",AND($L1262&lt;&gt;"",OR($L1262&lt;&gt;"Chưa xác định",DANH_MUC!$L$9="Có"))),"Có","Không"))</f>
        <v/>
      </c>
      <c r="U1262" s="22">
        <f>IF(OR($D1262="",$T1262="Có"),"",IF($C1262="","Thiếu họ tên; ","")&amp;IF($S1262&lt;&gt;"Có","SĐT sai định dạng; ","")&amp;IF($R1262="Trùng","Trùng SĐT; ","")&amp;IF($Q1262&lt;&gt;"Có","Thiếu đồng ý bắt buộc; ","")&amp;IF($L1262="","Thiếu/sai Mã REF; ",IF(AND($L1262="Chưa xác định",DANH_MUC!$L$9&lt;&gt;"Có"),"Nguồn chưa xác định; ","")))</f>
        <v/>
      </c>
      <c r="V1262" s="22">
        <f>IF(OR($D1262="",$R1262="Trùng"),"",IF(COUNTIF(ORDERS!$C$2:$C$4995,$D1262)&gt;0,"Có","Không"))</f>
        <v/>
      </c>
      <c r="W1262" s="22">
        <f>IF(OR($D1262="",$R1262="Trùng"),"",COUNTIFS(ORDERS!$C$2:$C$4995,$D1262,ORDERS!$L$2:$L$4995,"Đã chuyển khoản"))</f>
        <v/>
      </c>
      <c r="X1262" s="23">
        <f>IF(OR($D1262="",$R1262="Trùng"),"",SUMIFS(ORDERS!$J$2:$J$4995,ORDERS!$C$2:$C$4995,$D1262,ORDERS!$L$2:$L$4995,"Đã chuyển khoản"))</f>
        <v/>
      </c>
      <c r="Y1262" s="24" t="n"/>
    </row>
    <row r="1263" ht="14.25" customHeight="1" s="40">
      <c r="A1263" s="24" t="n"/>
      <c r="B1263" s="27" t="n"/>
      <c r="C1263" s="24" t="n"/>
      <c r="D1263" s="28" t="n"/>
      <c r="E1263" s="29" t="n"/>
      <c r="F1263" s="24" t="n"/>
      <c r="G1263" s="24" t="n"/>
      <c r="H1263" s="21">
        <f>IF(ISNUMBER($B1263),INT($B1263)-WEEKDAY($B1263,2)+1,"")</f>
        <v/>
      </c>
      <c r="I1263" s="24" t="n"/>
      <c r="J1263" s="22">
        <f t="array" ref="J1263">IF($D1263="","",IF($I1263="","(trống REF)",IFERROR(INDEX(MASTER_SOURCE!$B$2:$B$495,MATCH($I1263,MASTER_SOURCE!$A$2:$A$495,0)),"(REF không có trong MASTER_SOURCE)")))</f>
        <v/>
      </c>
      <c r="K1263" s="22">
        <f t="array" ref="K1263">IF($D1263="","",IFERROR(INDEX(MASTER_SOURCE!$C$2:$C$495,MATCH($I1263,MASTER_SOURCE!$A$2:$A$495,0)),""))</f>
        <v/>
      </c>
      <c r="L1263" s="22">
        <f t="array" ref="L1263">IF($D1263="","",IFERROR(INDEX(MASTER_SOURCE!$D$2:$D$495,MATCH($I1263,MASTER_SOURCE!$A$2:$A$495,0)),""))</f>
        <v/>
      </c>
      <c r="M1263" s="24" t="n"/>
      <c r="N1263" s="24" t="n"/>
      <c r="O1263" s="24" t="n"/>
      <c r="P1263" s="24" t="n"/>
      <c r="Q1263" s="22">
        <f>IF($D1263="","",IF(AND(OR(DANH_MUC!$L$5&lt;&gt;"Có",M1263="Có"),OR(DANH_MUC!$L$6&lt;&gt;"Có",N1263="Có"),OR(DANH_MUC!$L$7&lt;&gt;"Có",O1263="Có"),OR(DANH_MUC!$L$8&lt;&gt;"Có",P1263="Có")),"Có","Không"))</f>
        <v/>
      </c>
      <c r="R1263" s="22">
        <f>IF($D1263="","",IF(COUNTIF($D$2:$D1263,$D1263)&gt;1,"Trùng",""))</f>
        <v/>
      </c>
      <c r="S1263" s="22">
        <f>IF($D1263="","",IF(AND(LEN($D1263)=10,LEFT($D1263,1)="0",ISNUMBER(--$D1263)),"Có","Không"))</f>
        <v/>
      </c>
      <c r="T1263" s="22">
        <f>IF($D1263="","",IF(AND($C1263&lt;&gt;"",$Q1263="Có",$R1263="",$S1263="Có",AND($L1263&lt;&gt;"",OR($L1263&lt;&gt;"Chưa xác định",DANH_MUC!$L$9="Có"))),"Có","Không"))</f>
        <v/>
      </c>
      <c r="U1263" s="22">
        <f>IF(OR($D1263="",$T1263="Có"),"",IF($C1263="","Thiếu họ tên; ","")&amp;IF($S1263&lt;&gt;"Có","SĐT sai định dạng; ","")&amp;IF($R1263="Trùng","Trùng SĐT; ","")&amp;IF($Q1263&lt;&gt;"Có","Thiếu đồng ý bắt buộc; ","")&amp;IF($L1263="","Thiếu/sai Mã REF; ",IF(AND($L1263="Chưa xác định",DANH_MUC!$L$9&lt;&gt;"Có"),"Nguồn chưa xác định; ","")))</f>
        <v/>
      </c>
      <c r="V1263" s="22">
        <f>IF(OR($D1263="",$R1263="Trùng"),"",IF(COUNTIF(ORDERS!$C$2:$C$4995,$D1263)&gt;0,"Có","Không"))</f>
        <v/>
      </c>
      <c r="W1263" s="22">
        <f>IF(OR($D1263="",$R1263="Trùng"),"",COUNTIFS(ORDERS!$C$2:$C$4995,$D1263,ORDERS!$L$2:$L$4995,"Đã chuyển khoản"))</f>
        <v/>
      </c>
      <c r="X1263" s="23">
        <f>IF(OR($D1263="",$R1263="Trùng"),"",SUMIFS(ORDERS!$J$2:$J$4995,ORDERS!$C$2:$C$4995,$D1263,ORDERS!$L$2:$L$4995,"Đã chuyển khoản"))</f>
        <v/>
      </c>
      <c r="Y1263" s="24" t="n"/>
    </row>
    <row r="1264" ht="14.25" customHeight="1" s="40">
      <c r="A1264" s="24" t="n"/>
      <c r="B1264" s="27" t="n"/>
      <c r="C1264" s="24" t="n"/>
      <c r="D1264" s="28" t="n"/>
      <c r="E1264" s="29" t="n"/>
      <c r="F1264" s="24" t="n"/>
      <c r="G1264" s="24" t="n"/>
      <c r="H1264" s="21">
        <f>IF(ISNUMBER($B1264),INT($B1264)-WEEKDAY($B1264,2)+1,"")</f>
        <v/>
      </c>
      <c r="I1264" s="24" t="n"/>
      <c r="J1264" s="22">
        <f t="array" ref="J1264">IF($D1264="","",IF($I1264="","(trống REF)",IFERROR(INDEX(MASTER_SOURCE!$B$2:$B$495,MATCH($I1264,MASTER_SOURCE!$A$2:$A$495,0)),"(REF không có trong MASTER_SOURCE)")))</f>
        <v/>
      </c>
      <c r="K1264" s="22">
        <f t="array" ref="K1264">IF($D1264="","",IFERROR(INDEX(MASTER_SOURCE!$C$2:$C$495,MATCH($I1264,MASTER_SOURCE!$A$2:$A$495,0)),""))</f>
        <v/>
      </c>
      <c r="L1264" s="22">
        <f t="array" ref="L1264">IF($D1264="","",IFERROR(INDEX(MASTER_SOURCE!$D$2:$D$495,MATCH($I1264,MASTER_SOURCE!$A$2:$A$495,0)),""))</f>
        <v/>
      </c>
      <c r="M1264" s="24" t="n"/>
      <c r="N1264" s="24" t="n"/>
      <c r="O1264" s="24" t="n"/>
      <c r="P1264" s="24" t="n"/>
      <c r="Q1264" s="22">
        <f>IF($D1264="","",IF(AND(OR(DANH_MUC!$L$5&lt;&gt;"Có",M1264="Có"),OR(DANH_MUC!$L$6&lt;&gt;"Có",N1264="Có"),OR(DANH_MUC!$L$7&lt;&gt;"Có",O1264="Có"),OR(DANH_MUC!$L$8&lt;&gt;"Có",P1264="Có")),"Có","Không"))</f>
        <v/>
      </c>
      <c r="R1264" s="22">
        <f>IF($D1264="","",IF(COUNTIF($D$2:$D1264,$D1264)&gt;1,"Trùng",""))</f>
        <v/>
      </c>
      <c r="S1264" s="22">
        <f>IF($D1264="","",IF(AND(LEN($D1264)=10,LEFT($D1264,1)="0",ISNUMBER(--$D1264)),"Có","Không"))</f>
        <v/>
      </c>
      <c r="T1264" s="22">
        <f>IF($D1264="","",IF(AND($C1264&lt;&gt;"",$Q1264="Có",$R1264="",$S1264="Có",AND($L1264&lt;&gt;"",OR($L1264&lt;&gt;"Chưa xác định",DANH_MUC!$L$9="Có"))),"Có","Không"))</f>
        <v/>
      </c>
      <c r="U1264" s="22">
        <f>IF(OR($D1264="",$T1264="Có"),"",IF($C1264="","Thiếu họ tên; ","")&amp;IF($S1264&lt;&gt;"Có","SĐT sai định dạng; ","")&amp;IF($R1264="Trùng","Trùng SĐT; ","")&amp;IF($Q1264&lt;&gt;"Có","Thiếu đồng ý bắt buộc; ","")&amp;IF($L1264="","Thiếu/sai Mã REF; ",IF(AND($L1264="Chưa xác định",DANH_MUC!$L$9&lt;&gt;"Có"),"Nguồn chưa xác định; ","")))</f>
        <v/>
      </c>
      <c r="V1264" s="22">
        <f>IF(OR($D1264="",$R1264="Trùng"),"",IF(COUNTIF(ORDERS!$C$2:$C$4995,$D1264)&gt;0,"Có","Không"))</f>
        <v/>
      </c>
      <c r="W1264" s="22">
        <f>IF(OR($D1264="",$R1264="Trùng"),"",COUNTIFS(ORDERS!$C$2:$C$4995,$D1264,ORDERS!$L$2:$L$4995,"Đã chuyển khoản"))</f>
        <v/>
      </c>
      <c r="X1264" s="23">
        <f>IF(OR($D1264="",$R1264="Trùng"),"",SUMIFS(ORDERS!$J$2:$J$4995,ORDERS!$C$2:$C$4995,$D1264,ORDERS!$L$2:$L$4995,"Đã chuyển khoản"))</f>
        <v/>
      </c>
      <c r="Y1264" s="24" t="n"/>
    </row>
    <row r="1265" ht="14.25" customHeight="1" s="40">
      <c r="A1265" s="24" t="n"/>
      <c r="B1265" s="27" t="n"/>
      <c r="C1265" s="24" t="n"/>
      <c r="D1265" s="28" t="n"/>
      <c r="E1265" s="29" t="n"/>
      <c r="F1265" s="24" t="n"/>
      <c r="G1265" s="24" t="n"/>
      <c r="H1265" s="21">
        <f>IF(ISNUMBER($B1265),INT($B1265)-WEEKDAY($B1265,2)+1,"")</f>
        <v/>
      </c>
      <c r="I1265" s="24" t="n"/>
      <c r="J1265" s="22">
        <f t="array" ref="J1265">IF($D1265="","",IF($I1265="","(trống REF)",IFERROR(INDEX(MASTER_SOURCE!$B$2:$B$495,MATCH($I1265,MASTER_SOURCE!$A$2:$A$495,0)),"(REF không có trong MASTER_SOURCE)")))</f>
        <v/>
      </c>
      <c r="K1265" s="22">
        <f t="array" ref="K1265">IF($D1265="","",IFERROR(INDEX(MASTER_SOURCE!$C$2:$C$495,MATCH($I1265,MASTER_SOURCE!$A$2:$A$495,0)),""))</f>
        <v/>
      </c>
      <c r="L1265" s="22">
        <f t="array" ref="L1265">IF($D1265="","",IFERROR(INDEX(MASTER_SOURCE!$D$2:$D$495,MATCH($I1265,MASTER_SOURCE!$A$2:$A$495,0)),""))</f>
        <v/>
      </c>
      <c r="M1265" s="24" t="n"/>
      <c r="N1265" s="24" t="n"/>
      <c r="O1265" s="24" t="n"/>
      <c r="P1265" s="24" t="n"/>
      <c r="Q1265" s="22">
        <f>IF($D1265="","",IF(AND(OR(DANH_MUC!$L$5&lt;&gt;"Có",M1265="Có"),OR(DANH_MUC!$L$6&lt;&gt;"Có",N1265="Có"),OR(DANH_MUC!$L$7&lt;&gt;"Có",O1265="Có"),OR(DANH_MUC!$L$8&lt;&gt;"Có",P1265="Có")),"Có","Không"))</f>
        <v/>
      </c>
      <c r="R1265" s="22">
        <f>IF($D1265="","",IF(COUNTIF($D$2:$D1265,$D1265)&gt;1,"Trùng",""))</f>
        <v/>
      </c>
      <c r="S1265" s="22">
        <f>IF($D1265="","",IF(AND(LEN($D1265)=10,LEFT($D1265,1)="0",ISNUMBER(--$D1265)),"Có","Không"))</f>
        <v/>
      </c>
      <c r="T1265" s="22">
        <f>IF($D1265="","",IF(AND($C1265&lt;&gt;"",$Q1265="Có",$R1265="",$S1265="Có",AND($L1265&lt;&gt;"",OR($L1265&lt;&gt;"Chưa xác định",DANH_MUC!$L$9="Có"))),"Có","Không"))</f>
        <v/>
      </c>
      <c r="U1265" s="22">
        <f>IF(OR($D1265="",$T1265="Có"),"",IF($C1265="","Thiếu họ tên; ","")&amp;IF($S1265&lt;&gt;"Có","SĐT sai định dạng; ","")&amp;IF($R1265="Trùng","Trùng SĐT; ","")&amp;IF($Q1265&lt;&gt;"Có","Thiếu đồng ý bắt buộc; ","")&amp;IF($L1265="","Thiếu/sai Mã REF; ",IF(AND($L1265="Chưa xác định",DANH_MUC!$L$9&lt;&gt;"Có"),"Nguồn chưa xác định; ","")))</f>
        <v/>
      </c>
      <c r="V1265" s="22">
        <f>IF(OR($D1265="",$R1265="Trùng"),"",IF(COUNTIF(ORDERS!$C$2:$C$4995,$D1265)&gt;0,"Có","Không"))</f>
        <v/>
      </c>
      <c r="W1265" s="22">
        <f>IF(OR($D1265="",$R1265="Trùng"),"",COUNTIFS(ORDERS!$C$2:$C$4995,$D1265,ORDERS!$L$2:$L$4995,"Đã chuyển khoản"))</f>
        <v/>
      </c>
      <c r="X1265" s="23">
        <f>IF(OR($D1265="",$R1265="Trùng"),"",SUMIFS(ORDERS!$J$2:$J$4995,ORDERS!$C$2:$C$4995,$D1265,ORDERS!$L$2:$L$4995,"Đã chuyển khoản"))</f>
        <v/>
      </c>
      <c r="Y1265" s="24" t="n"/>
    </row>
    <row r="1266" ht="14.25" customHeight="1" s="40">
      <c r="A1266" s="24" t="n"/>
      <c r="B1266" s="27" t="n"/>
      <c r="C1266" s="24" t="n"/>
      <c r="D1266" s="28" t="n"/>
      <c r="E1266" s="29" t="n"/>
      <c r="F1266" s="24" t="n"/>
      <c r="G1266" s="24" t="n"/>
      <c r="H1266" s="21">
        <f>IF(ISNUMBER($B1266),INT($B1266)-WEEKDAY($B1266,2)+1,"")</f>
        <v/>
      </c>
      <c r="I1266" s="24" t="n"/>
      <c r="J1266" s="22">
        <f t="array" ref="J1266">IF($D1266="","",IF($I1266="","(trống REF)",IFERROR(INDEX(MASTER_SOURCE!$B$2:$B$495,MATCH($I1266,MASTER_SOURCE!$A$2:$A$495,0)),"(REF không có trong MASTER_SOURCE)")))</f>
        <v/>
      </c>
      <c r="K1266" s="22">
        <f t="array" ref="K1266">IF($D1266="","",IFERROR(INDEX(MASTER_SOURCE!$C$2:$C$495,MATCH($I1266,MASTER_SOURCE!$A$2:$A$495,0)),""))</f>
        <v/>
      </c>
      <c r="L1266" s="22">
        <f t="array" ref="L1266">IF($D1266="","",IFERROR(INDEX(MASTER_SOURCE!$D$2:$D$495,MATCH($I1266,MASTER_SOURCE!$A$2:$A$495,0)),""))</f>
        <v/>
      </c>
      <c r="M1266" s="24" t="n"/>
      <c r="N1266" s="24" t="n"/>
      <c r="O1266" s="24" t="n"/>
      <c r="P1266" s="24" t="n"/>
      <c r="Q1266" s="22">
        <f>IF($D1266="","",IF(AND(OR(DANH_MUC!$L$5&lt;&gt;"Có",M1266="Có"),OR(DANH_MUC!$L$6&lt;&gt;"Có",N1266="Có"),OR(DANH_MUC!$L$7&lt;&gt;"Có",O1266="Có"),OR(DANH_MUC!$L$8&lt;&gt;"Có",P1266="Có")),"Có","Không"))</f>
        <v/>
      </c>
      <c r="R1266" s="22">
        <f>IF($D1266="","",IF(COUNTIF($D$2:$D1266,$D1266)&gt;1,"Trùng",""))</f>
        <v/>
      </c>
      <c r="S1266" s="22">
        <f>IF($D1266="","",IF(AND(LEN($D1266)=10,LEFT($D1266,1)="0",ISNUMBER(--$D1266)),"Có","Không"))</f>
        <v/>
      </c>
      <c r="T1266" s="22">
        <f>IF($D1266="","",IF(AND($C1266&lt;&gt;"",$Q1266="Có",$R1266="",$S1266="Có",AND($L1266&lt;&gt;"",OR($L1266&lt;&gt;"Chưa xác định",DANH_MUC!$L$9="Có"))),"Có","Không"))</f>
        <v/>
      </c>
      <c r="U1266" s="22">
        <f>IF(OR($D1266="",$T1266="Có"),"",IF($C1266="","Thiếu họ tên; ","")&amp;IF($S1266&lt;&gt;"Có","SĐT sai định dạng; ","")&amp;IF($R1266="Trùng","Trùng SĐT; ","")&amp;IF($Q1266&lt;&gt;"Có","Thiếu đồng ý bắt buộc; ","")&amp;IF($L1266="","Thiếu/sai Mã REF; ",IF(AND($L1266="Chưa xác định",DANH_MUC!$L$9&lt;&gt;"Có"),"Nguồn chưa xác định; ","")))</f>
        <v/>
      </c>
      <c r="V1266" s="22">
        <f>IF(OR($D1266="",$R1266="Trùng"),"",IF(COUNTIF(ORDERS!$C$2:$C$4995,$D1266)&gt;0,"Có","Không"))</f>
        <v/>
      </c>
      <c r="W1266" s="22">
        <f>IF(OR($D1266="",$R1266="Trùng"),"",COUNTIFS(ORDERS!$C$2:$C$4995,$D1266,ORDERS!$L$2:$L$4995,"Đã chuyển khoản"))</f>
        <v/>
      </c>
      <c r="X1266" s="23">
        <f>IF(OR($D1266="",$R1266="Trùng"),"",SUMIFS(ORDERS!$J$2:$J$4995,ORDERS!$C$2:$C$4995,$D1266,ORDERS!$L$2:$L$4995,"Đã chuyển khoản"))</f>
        <v/>
      </c>
      <c r="Y1266" s="24" t="n"/>
    </row>
    <row r="1267" ht="14.25" customHeight="1" s="40">
      <c r="A1267" s="24" t="n"/>
      <c r="B1267" s="27" t="n"/>
      <c r="C1267" s="24" t="n"/>
      <c r="D1267" s="28" t="n"/>
      <c r="E1267" s="29" t="n"/>
      <c r="F1267" s="24" t="n"/>
      <c r="G1267" s="24" t="n"/>
      <c r="H1267" s="21">
        <f>IF(ISNUMBER($B1267),INT($B1267)-WEEKDAY($B1267,2)+1,"")</f>
        <v/>
      </c>
      <c r="I1267" s="24" t="n"/>
      <c r="J1267" s="22">
        <f t="array" ref="J1267">IF($D1267="","",IF($I1267="","(trống REF)",IFERROR(INDEX(MASTER_SOURCE!$B$2:$B$495,MATCH($I1267,MASTER_SOURCE!$A$2:$A$495,0)),"(REF không có trong MASTER_SOURCE)")))</f>
        <v/>
      </c>
      <c r="K1267" s="22">
        <f t="array" ref="K1267">IF($D1267="","",IFERROR(INDEX(MASTER_SOURCE!$C$2:$C$495,MATCH($I1267,MASTER_SOURCE!$A$2:$A$495,0)),""))</f>
        <v/>
      </c>
      <c r="L1267" s="22">
        <f t="array" ref="L1267">IF($D1267="","",IFERROR(INDEX(MASTER_SOURCE!$D$2:$D$495,MATCH($I1267,MASTER_SOURCE!$A$2:$A$495,0)),""))</f>
        <v/>
      </c>
      <c r="M1267" s="24" t="n"/>
      <c r="N1267" s="24" t="n"/>
      <c r="O1267" s="24" t="n"/>
      <c r="P1267" s="24" t="n"/>
      <c r="Q1267" s="22">
        <f>IF($D1267="","",IF(AND(OR(DANH_MUC!$L$5&lt;&gt;"Có",M1267="Có"),OR(DANH_MUC!$L$6&lt;&gt;"Có",N1267="Có"),OR(DANH_MUC!$L$7&lt;&gt;"Có",O1267="Có"),OR(DANH_MUC!$L$8&lt;&gt;"Có",P1267="Có")),"Có","Không"))</f>
        <v/>
      </c>
      <c r="R1267" s="22">
        <f>IF($D1267="","",IF(COUNTIF($D$2:$D1267,$D1267)&gt;1,"Trùng",""))</f>
        <v/>
      </c>
      <c r="S1267" s="22">
        <f>IF($D1267="","",IF(AND(LEN($D1267)=10,LEFT($D1267,1)="0",ISNUMBER(--$D1267)),"Có","Không"))</f>
        <v/>
      </c>
      <c r="T1267" s="22">
        <f>IF($D1267="","",IF(AND($C1267&lt;&gt;"",$Q1267="Có",$R1267="",$S1267="Có",AND($L1267&lt;&gt;"",OR($L1267&lt;&gt;"Chưa xác định",DANH_MUC!$L$9="Có"))),"Có","Không"))</f>
        <v/>
      </c>
      <c r="U1267" s="22">
        <f>IF(OR($D1267="",$T1267="Có"),"",IF($C1267="","Thiếu họ tên; ","")&amp;IF($S1267&lt;&gt;"Có","SĐT sai định dạng; ","")&amp;IF($R1267="Trùng","Trùng SĐT; ","")&amp;IF($Q1267&lt;&gt;"Có","Thiếu đồng ý bắt buộc; ","")&amp;IF($L1267="","Thiếu/sai Mã REF; ",IF(AND($L1267="Chưa xác định",DANH_MUC!$L$9&lt;&gt;"Có"),"Nguồn chưa xác định; ","")))</f>
        <v/>
      </c>
      <c r="V1267" s="22">
        <f>IF(OR($D1267="",$R1267="Trùng"),"",IF(COUNTIF(ORDERS!$C$2:$C$4995,$D1267)&gt;0,"Có","Không"))</f>
        <v/>
      </c>
      <c r="W1267" s="22">
        <f>IF(OR($D1267="",$R1267="Trùng"),"",COUNTIFS(ORDERS!$C$2:$C$4995,$D1267,ORDERS!$L$2:$L$4995,"Đã chuyển khoản"))</f>
        <v/>
      </c>
      <c r="X1267" s="23">
        <f>IF(OR($D1267="",$R1267="Trùng"),"",SUMIFS(ORDERS!$J$2:$J$4995,ORDERS!$C$2:$C$4995,$D1267,ORDERS!$L$2:$L$4995,"Đã chuyển khoản"))</f>
        <v/>
      </c>
      <c r="Y1267" s="24" t="n"/>
    </row>
    <row r="1268" ht="14.25" customHeight="1" s="40">
      <c r="A1268" s="24" t="n"/>
      <c r="B1268" s="27" t="n"/>
      <c r="C1268" s="24" t="n"/>
      <c r="D1268" s="28" t="n"/>
      <c r="E1268" s="29" t="n"/>
      <c r="F1268" s="24" t="n"/>
      <c r="G1268" s="24" t="n"/>
      <c r="H1268" s="21">
        <f>IF(ISNUMBER($B1268),INT($B1268)-WEEKDAY($B1268,2)+1,"")</f>
        <v/>
      </c>
      <c r="I1268" s="24" t="n"/>
      <c r="J1268" s="22">
        <f t="array" ref="J1268">IF($D1268="","",IF($I1268="","(trống REF)",IFERROR(INDEX(MASTER_SOURCE!$B$2:$B$495,MATCH($I1268,MASTER_SOURCE!$A$2:$A$495,0)),"(REF không có trong MASTER_SOURCE)")))</f>
        <v/>
      </c>
      <c r="K1268" s="22">
        <f t="array" ref="K1268">IF($D1268="","",IFERROR(INDEX(MASTER_SOURCE!$C$2:$C$495,MATCH($I1268,MASTER_SOURCE!$A$2:$A$495,0)),""))</f>
        <v/>
      </c>
      <c r="L1268" s="22">
        <f t="array" ref="L1268">IF($D1268="","",IFERROR(INDEX(MASTER_SOURCE!$D$2:$D$495,MATCH($I1268,MASTER_SOURCE!$A$2:$A$495,0)),""))</f>
        <v/>
      </c>
      <c r="M1268" s="24" t="n"/>
      <c r="N1268" s="24" t="n"/>
      <c r="O1268" s="24" t="n"/>
      <c r="P1268" s="24" t="n"/>
      <c r="Q1268" s="22">
        <f>IF($D1268="","",IF(AND(OR(DANH_MUC!$L$5&lt;&gt;"Có",M1268="Có"),OR(DANH_MUC!$L$6&lt;&gt;"Có",N1268="Có"),OR(DANH_MUC!$L$7&lt;&gt;"Có",O1268="Có"),OR(DANH_MUC!$L$8&lt;&gt;"Có",P1268="Có")),"Có","Không"))</f>
        <v/>
      </c>
      <c r="R1268" s="22">
        <f>IF($D1268="","",IF(COUNTIF($D$2:$D1268,$D1268)&gt;1,"Trùng",""))</f>
        <v/>
      </c>
      <c r="S1268" s="22">
        <f>IF($D1268="","",IF(AND(LEN($D1268)=10,LEFT($D1268,1)="0",ISNUMBER(--$D1268)),"Có","Không"))</f>
        <v/>
      </c>
      <c r="T1268" s="22">
        <f>IF($D1268="","",IF(AND($C1268&lt;&gt;"",$Q1268="Có",$R1268="",$S1268="Có",AND($L1268&lt;&gt;"",OR($L1268&lt;&gt;"Chưa xác định",DANH_MUC!$L$9="Có"))),"Có","Không"))</f>
        <v/>
      </c>
      <c r="U1268" s="22">
        <f>IF(OR($D1268="",$T1268="Có"),"",IF($C1268="","Thiếu họ tên; ","")&amp;IF($S1268&lt;&gt;"Có","SĐT sai định dạng; ","")&amp;IF($R1268="Trùng","Trùng SĐT; ","")&amp;IF($Q1268&lt;&gt;"Có","Thiếu đồng ý bắt buộc; ","")&amp;IF($L1268="","Thiếu/sai Mã REF; ",IF(AND($L1268="Chưa xác định",DANH_MUC!$L$9&lt;&gt;"Có"),"Nguồn chưa xác định; ","")))</f>
        <v/>
      </c>
      <c r="V1268" s="22">
        <f>IF(OR($D1268="",$R1268="Trùng"),"",IF(COUNTIF(ORDERS!$C$2:$C$4995,$D1268)&gt;0,"Có","Không"))</f>
        <v/>
      </c>
      <c r="W1268" s="22">
        <f>IF(OR($D1268="",$R1268="Trùng"),"",COUNTIFS(ORDERS!$C$2:$C$4995,$D1268,ORDERS!$L$2:$L$4995,"Đã chuyển khoản"))</f>
        <v/>
      </c>
      <c r="X1268" s="23">
        <f>IF(OR($D1268="",$R1268="Trùng"),"",SUMIFS(ORDERS!$J$2:$J$4995,ORDERS!$C$2:$C$4995,$D1268,ORDERS!$L$2:$L$4995,"Đã chuyển khoản"))</f>
        <v/>
      </c>
      <c r="Y1268" s="24" t="n"/>
    </row>
    <row r="1269" ht="14.25" customHeight="1" s="40">
      <c r="A1269" s="24" t="n"/>
      <c r="B1269" s="27" t="n"/>
      <c r="C1269" s="24" t="n"/>
      <c r="D1269" s="28" t="n"/>
      <c r="E1269" s="29" t="n"/>
      <c r="F1269" s="24" t="n"/>
      <c r="G1269" s="24" t="n"/>
      <c r="H1269" s="21">
        <f>IF(ISNUMBER($B1269),INT($B1269)-WEEKDAY($B1269,2)+1,"")</f>
        <v/>
      </c>
      <c r="I1269" s="24" t="n"/>
      <c r="J1269" s="22">
        <f t="array" ref="J1269">IF($D1269="","",IF($I1269="","(trống REF)",IFERROR(INDEX(MASTER_SOURCE!$B$2:$B$495,MATCH($I1269,MASTER_SOURCE!$A$2:$A$495,0)),"(REF không có trong MASTER_SOURCE)")))</f>
        <v/>
      </c>
      <c r="K1269" s="22">
        <f t="array" ref="K1269">IF($D1269="","",IFERROR(INDEX(MASTER_SOURCE!$C$2:$C$495,MATCH($I1269,MASTER_SOURCE!$A$2:$A$495,0)),""))</f>
        <v/>
      </c>
      <c r="L1269" s="22">
        <f t="array" ref="L1269">IF($D1269="","",IFERROR(INDEX(MASTER_SOURCE!$D$2:$D$495,MATCH($I1269,MASTER_SOURCE!$A$2:$A$495,0)),""))</f>
        <v/>
      </c>
      <c r="M1269" s="24" t="n"/>
      <c r="N1269" s="24" t="n"/>
      <c r="O1269" s="24" t="n"/>
      <c r="P1269" s="24" t="n"/>
      <c r="Q1269" s="22">
        <f>IF($D1269="","",IF(AND(OR(DANH_MUC!$L$5&lt;&gt;"Có",M1269="Có"),OR(DANH_MUC!$L$6&lt;&gt;"Có",N1269="Có"),OR(DANH_MUC!$L$7&lt;&gt;"Có",O1269="Có"),OR(DANH_MUC!$L$8&lt;&gt;"Có",P1269="Có")),"Có","Không"))</f>
        <v/>
      </c>
      <c r="R1269" s="22">
        <f>IF($D1269="","",IF(COUNTIF($D$2:$D1269,$D1269)&gt;1,"Trùng",""))</f>
        <v/>
      </c>
      <c r="S1269" s="22">
        <f>IF($D1269="","",IF(AND(LEN($D1269)=10,LEFT($D1269,1)="0",ISNUMBER(--$D1269)),"Có","Không"))</f>
        <v/>
      </c>
      <c r="T1269" s="22">
        <f>IF($D1269="","",IF(AND($C1269&lt;&gt;"",$Q1269="Có",$R1269="",$S1269="Có",AND($L1269&lt;&gt;"",OR($L1269&lt;&gt;"Chưa xác định",DANH_MUC!$L$9="Có"))),"Có","Không"))</f>
        <v/>
      </c>
      <c r="U1269" s="22">
        <f>IF(OR($D1269="",$T1269="Có"),"",IF($C1269="","Thiếu họ tên; ","")&amp;IF($S1269&lt;&gt;"Có","SĐT sai định dạng; ","")&amp;IF($R1269="Trùng","Trùng SĐT; ","")&amp;IF($Q1269&lt;&gt;"Có","Thiếu đồng ý bắt buộc; ","")&amp;IF($L1269="","Thiếu/sai Mã REF; ",IF(AND($L1269="Chưa xác định",DANH_MUC!$L$9&lt;&gt;"Có"),"Nguồn chưa xác định; ","")))</f>
        <v/>
      </c>
      <c r="V1269" s="22">
        <f>IF(OR($D1269="",$R1269="Trùng"),"",IF(COUNTIF(ORDERS!$C$2:$C$4995,$D1269)&gt;0,"Có","Không"))</f>
        <v/>
      </c>
      <c r="W1269" s="22">
        <f>IF(OR($D1269="",$R1269="Trùng"),"",COUNTIFS(ORDERS!$C$2:$C$4995,$D1269,ORDERS!$L$2:$L$4995,"Đã chuyển khoản"))</f>
        <v/>
      </c>
      <c r="X1269" s="23">
        <f>IF(OR($D1269="",$R1269="Trùng"),"",SUMIFS(ORDERS!$J$2:$J$4995,ORDERS!$C$2:$C$4995,$D1269,ORDERS!$L$2:$L$4995,"Đã chuyển khoản"))</f>
        <v/>
      </c>
      <c r="Y1269" s="24" t="n"/>
    </row>
    <row r="1270" ht="14.25" customHeight="1" s="40">
      <c r="A1270" s="24" t="n"/>
      <c r="B1270" s="27" t="n"/>
      <c r="C1270" s="24" t="n"/>
      <c r="D1270" s="28" t="n"/>
      <c r="E1270" s="29" t="n"/>
      <c r="F1270" s="24" t="n"/>
      <c r="G1270" s="24" t="n"/>
      <c r="H1270" s="21">
        <f>IF(ISNUMBER($B1270),INT($B1270)-WEEKDAY($B1270,2)+1,"")</f>
        <v/>
      </c>
      <c r="I1270" s="24" t="n"/>
      <c r="J1270" s="22">
        <f t="array" ref="J1270">IF($D1270="","",IF($I1270="","(trống REF)",IFERROR(INDEX(MASTER_SOURCE!$B$2:$B$495,MATCH($I1270,MASTER_SOURCE!$A$2:$A$495,0)),"(REF không có trong MASTER_SOURCE)")))</f>
        <v/>
      </c>
      <c r="K1270" s="22">
        <f t="array" ref="K1270">IF($D1270="","",IFERROR(INDEX(MASTER_SOURCE!$C$2:$C$495,MATCH($I1270,MASTER_SOURCE!$A$2:$A$495,0)),""))</f>
        <v/>
      </c>
      <c r="L1270" s="22">
        <f t="array" ref="L1270">IF($D1270="","",IFERROR(INDEX(MASTER_SOURCE!$D$2:$D$495,MATCH($I1270,MASTER_SOURCE!$A$2:$A$495,0)),""))</f>
        <v/>
      </c>
      <c r="M1270" s="24" t="n"/>
      <c r="N1270" s="24" t="n"/>
      <c r="O1270" s="24" t="n"/>
      <c r="P1270" s="24" t="n"/>
      <c r="Q1270" s="22">
        <f>IF($D1270="","",IF(AND(OR(DANH_MUC!$L$5&lt;&gt;"Có",M1270="Có"),OR(DANH_MUC!$L$6&lt;&gt;"Có",N1270="Có"),OR(DANH_MUC!$L$7&lt;&gt;"Có",O1270="Có"),OR(DANH_MUC!$L$8&lt;&gt;"Có",P1270="Có")),"Có","Không"))</f>
        <v/>
      </c>
      <c r="R1270" s="22">
        <f>IF($D1270="","",IF(COUNTIF($D$2:$D1270,$D1270)&gt;1,"Trùng",""))</f>
        <v/>
      </c>
      <c r="S1270" s="22">
        <f>IF($D1270="","",IF(AND(LEN($D1270)=10,LEFT($D1270,1)="0",ISNUMBER(--$D1270)),"Có","Không"))</f>
        <v/>
      </c>
      <c r="T1270" s="22">
        <f>IF($D1270="","",IF(AND($C1270&lt;&gt;"",$Q1270="Có",$R1270="",$S1270="Có",AND($L1270&lt;&gt;"",OR($L1270&lt;&gt;"Chưa xác định",DANH_MUC!$L$9="Có"))),"Có","Không"))</f>
        <v/>
      </c>
      <c r="U1270" s="22">
        <f>IF(OR($D1270="",$T1270="Có"),"",IF($C1270="","Thiếu họ tên; ","")&amp;IF($S1270&lt;&gt;"Có","SĐT sai định dạng; ","")&amp;IF($R1270="Trùng","Trùng SĐT; ","")&amp;IF($Q1270&lt;&gt;"Có","Thiếu đồng ý bắt buộc; ","")&amp;IF($L1270="","Thiếu/sai Mã REF; ",IF(AND($L1270="Chưa xác định",DANH_MUC!$L$9&lt;&gt;"Có"),"Nguồn chưa xác định; ","")))</f>
        <v/>
      </c>
      <c r="V1270" s="22">
        <f>IF(OR($D1270="",$R1270="Trùng"),"",IF(COUNTIF(ORDERS!$C$2:$C$4995,$D1270)&gt;0,"Có","Không"))</f>
        <v/>
      </c>
      <c r="W1270" s="22">
        <f>IF(OR($D1270="",$R1270="Trùng"),"",COUNTIFS(ORDERS!$C$2:$C$4995,$D1270,ORDERS!$L$2:$L$4995,"Đã chuyển khoản"))</f>
        <v/>
      </c>
      <c r="X1270" s="23">
        <f>IF(OR($D1270="",$R1270="Trùng"),"",SUMIFS(ORDERS!$J$2:$J$4995,ORDERS!$C$2:$C$4995,$D1270,ORDERS!$L$2:$L$4995,"Đã chuyển khoản"))</f>
        <v/>
      </c>
      <c r="Y1270" s="24" t="n"/>
    </row>
    <row r="1271" ht="14.25" customHeight="1" s="40">
      <c r="A1271" s="24" t="n"/>
      <c r="B1271" s="27" t="n"/>
      <c r="C1271" s="24" t="n"/>
      <c r="D1271" s="28" t="n"/>
      <c r="E1271" s="29" t="n"/>
      <c r="F1271" s="24" t="n"/>
      <c r="G1271" s="24" t="n"/>
      <c r="H1271" s="21">
        <f>IF(ISNUMBER($B1271),INT($B1271)-WEEKDAY($B1271,2)+1,"")</f>
        <v/>
      </c>
      <c r="I1271" s="24" t="n"/>
      <c r="J1271" s="22">
        <f t="array" ref="J1271">IF($D1271="","",IF($I1271="","(trống REF)",IFERROR(INDEX(MASTER_SOURCE!$B$2:$B$495,MATCH($I1271,MASTER_SOURCE!$A$2:$A$495,0)),"(REF không có trong MASTER_SOURCE)")))</f>
        <v/>
      </c>
      <c r="K1271" s="22">
        <f t="array" ref="K1271">IF($D1271="","",IFERROR(INDEX(MASTER_SOURCE!$C$2:$C$495,MATCH($I1271,MASTER_SOURCE!$A$2:$A$495,0)),""))</f>
        <v/>
      </c>
      <c r="L1271" s="22">
        <f t="array" ref="L1271">IF($D1271="","",IFERROR(INDEX(MASTER_SOURCE!$D$2:$D$495,MATCH($I1271,MASTER_SOURCE!$A$2:$A$495,0)),""))</f>
        <v/>
      </c>
      <c r="M1271" s="24" t="n"/>
      <c r="N1271" s="24" t="n"/>
      <c r="O1271" s="24" t="n"/>
      <c r="P1271" s="24" t="n"/>
      <c r="Q1271" s="22">
        <f>IF($D1271="","",IF(AND(OR(DANH_MUC!$L$5&lt;&gt;"Có",M1271="Có"),OR(DANH_MUC!$L$6&lt;&gt;"Có",N1271="Có"),OR(DANH_MUC!$L$7&lt;&gt;"Có",O1271="Có"),OR(DANH_MUC!$L$8&lt;&gt;"Có",P1271="Có")),"Có","Không"))</f>
        <v/>
      </c>
      <c r="R1271" s="22">
        <f>IF($D1271="","",IF(COUNTIF($D$2:$D1271,$D1271)&gt;1,"Trùng",""))</f>
        <v/>
      </c>
      <c r="S1271" s="22">
        <f>IF($D1271="","",IF(AND(LEN($D1271)=10,LEFT($D1271,1)="0",ISNUMBER(--$D1271)),"Có","Không"))</f>
        <v/>
      </c>
      <c r="T1271" s="22">
        <f>IF($D1271="","",IF(AND($C1271&lt;&gt;"",$Q1271="Có",$R1271="",$S1271="Có",AND($L1271&lt;&gt;"",OR($L1271&lt;&gt;"Chưa xác định",DANH_MUC!$L$9="Có"))),"Có","Không"))</f>
        <v/>
      </c>
      <c r="U1271" s="22">
        <f>IF(OR($D1271="",$T1271="Có"),"",IF($C1271="","Thiếu họ tên; ","")&amp;IF($S1271&lt;&gt;"Có","SĐT sai định dạng; ","")&amp;IF($R1271="Trùng","Trùng SĐT; ","")&amp;IF($Q1271&lt;&gt;"Có","Thiếu đồng ý bắt buộc; ","")&amp;IF($L1271="","Thiếu/sai Mã REF; ",IF(AND($L1271="Chưa xác định",DANH_MUC!$L$9&lt;&gt;"Có"),"Nguồn chưa xác định; ","")))</f>
        <v/>
      </c>
      <c r="V1271" s="22">
        <f>IF(OR($D1271="",$R1271="Trùng"),"",IF(COUNTIF(ORDERS!$C$2:$C$4995,$D1271)&gt;0,"Có","Không"))</f>
        <v/>
      </c>
      <c r="W1271" s="22">
        <f>IF(OR($D1271="",$R1271="Trùng"),"",COUNTIFS(ORDERS!$C$2:$C$4995,$D1271,ORDERS!$L$2:$L$4995,"Đã chuyển khoản"))</f>
        <v/>
      </c>
      <c r="X1271" s="23">
        <f>IF(OR($D1271="",$R1271="Trùng"),"",SUMIFS(ORDERS!$J$2:$J$4995,ORDERS!$C$2:$C$4995,$D1271,ORDERS!$L$2:$L$4995,"Đã chuyển khoản"))</f>
        <v/>
      </c>
      <c r="Y1271" s="24" t="n"/>
    </row>
    <row r="1272" ht="14.25" customHeight="1" s="40">
      <c r="A1272" s="24" t="n"/>
      <c r="B1272" s="27" t="n"/>
      <c r="C1272" s="24" t="n"/>
      <c r="D1272" s="28" t="n"/>
      <c r="E1272" s="29" t="n"/>
      <c r="F1272" s="24" t="n"/>
      <c r="G1272" s="24" t="n"/>
      <c r="H1272" s="21">
        <f>IF(ISNUMBER($B1272),INT($B1272)-WEEKDAY($B1272,2)+1,"")</f>
        <v/>
      </c>
      <c r="I1272" s="24" t="n"/>
      <c r="J1272" s="22">
        <f t="array" ref="J1272">IF($D1272="","",IF($I1272="","(trống REF)",IFERROR(INDEX(MASTER_SOURCE!$B$2:$B$495,MATCH($I1272,MASTER_SOURCE!$A$2:$A$495,0)),"(REF không có trong MASTER_SOURCE)")))</f>
        <v/>
      </c>
      <c r="K1272" s="22">
        <f t="array" ref="K1272">IF($D1272="","",IFERROR(INDEX(MASTER_SOURCE!$C$2:$C$495,MATCH($I1272,MASTER_SOURCE!$A$2:$A$495,0)),""))</f>
        <v/>
      </c>
      <c r="L1272" s="22">
        <f t="array" ref="L1272">IF($D1272="","",IFERROR(INDEX(MASTER_SOURCE!$D$2:$D$495,MATCH($I1272,MASTER_SOURCE!$A$2:$A$495,0)),""))</f>
        <v/>
      </c>
      <c r="M1272" s="24" t="n"/>
      <c r="N1272" s="24" t="n"/>
      <c r="O1272" s="24" t="n"/>
      <c r="P1272" s="24" t="n"/>
      <c r="Q1272" s="22">
        <f>IF($D1272="","",IF(AND(OR(DANH_MUC!$L$5&lt;&gt;"Có",M1272="Có"),OR(DANH_MUC!$L$6&lt;&gt;"Có",N1272="Có"),OR(DANH_MUC!$L$7&lt;&gt;"Có",O1272="Có"),OR(DANH_MUC!$L$8&lt;&gt;"Có",P1272="Có")),"Có","Không"))</f>
        <v/>
      </c>
      <c r="R1272" s="22">
        <f>IF($D1272="","",IF(COUNTIF($D$2:$D1272,$D1272)&gt;1,"Trùng",""))</f>
        <v/>
      </c>
      <c r="S1272" s="22">
        <f>IF($D1272="","",IF(AND(LEN($D1272)=10,LEFT($D1272,1)="0",ISNUMBER(--$D1272)),"Có","Không"))</f>
        <v/>
      </c>
      <c r="T1272" s="22">
        <f>IF($D1272="","",IF(AND($C1272&lt;&gt;"",$Q1272="Có",$R1272="",$S1272="Có",AND($L1272&lt;&gt;"",OR($L1272&lt;&gt;"Chưa xác định",DANH_MUC!$L$9="Có"))),"Có","Không"))</f>
        <v/>
      </c>
      <c r="U1272" s="22">
        <f>IF(OR($D1272="",$T1272="Có"),"",IF($C1272="","Thiếu họ tên; ","")&amp;IF($S1272&lt;&gt;"Có","SĐT sai định dạng; ","")&amp;IF($R1272="Trùng","Trùng SĐT; ","")&amp;IF($Q1272&lt;&gt;"Có","Thiếu đồng ý bắt buộc; ","")&amp;IF($L1272="","Thiếu/sai Mã REF; ",IF(AND($L1272="Chưa xác định",DANH_MUC!$L$9&lt;&gt;"Có"),"Nguồn chưa xác định; ","")))</f>
        <v/>
      </c>
      <c r="V1272" s="22">
        <f>IF(OR($D1272="",$R1272="Trùng"),"",IF(COUNTIF(ORDERS!$C$2:$C$4995,$D1272)&gt;0,"Có","Không"))</f>
        <v/>
      </c>
      <c r="W1272" s="22">
        <f>IF(OR($D1272="",$R1272="Trùng"),"",COUNTIFS(ORDERS!$C$2:$C$4995,$D1272,ORDERS!$L$2:$L$4995,"Đã chuyển khoản"))</f>
        <v/>
      </c>
      <c r="X1272" s="23">
        <f>IF(OR($D1272="",$R1272="Trùng"),"",SUMIFS(ORDERS!$J$2:$J$4995,ORDERS!$C$2:$C$4995,$D1272,ORDERS!$L$2:$L$4995,"Đã chuyển khoản"))</f>
        <v/>
      </c>
      <c r="Y1272" s="24" t="n"/>
    </row>
    <row r="1273" ht="14.25" customHeight="1" s="40">
      <c r="A1273" s="24" t="n"/>
      <c r="B1273" s="27" t="n"/>
      <c r="C1273" s="24" t="n"/>
      <c r="D1273" s="28" t="n"/>
      <c r="E1273" s="29" t="n"/>
      <c r="F1273" s="24" t="n"/>
      <c r="G1273" s="24" t="n"/>
      <c r="H1273" s="21">
        <f>IF(ISNUMBER($B1273),INT($B1273)-WEEKDAY($B1273,2)+1,"")</f>
        <v/>
      </c>
      <c r="I1273" s="24" t="n"/>
      <c r="J1273" s="22">
        <f t="array" ref="J1273">IF($D1273="","",IF($I1273="","(trống REF)",IFERROR(INDEX(MASTER_SOURCE!$B$2:$B$495,MATCH($I1273,MASTER_SOURCE!$A$2:$A$495,0)),"(REF không có trong MASTER_SOURCE)")))</f>
        <v/>
      </c>
      <c r="K1273" s="22">
        <f t="array" ref="K1273">IF($D1273="","",IFERROR(INDEX(MASTER_SOURCE!$C$2:$C$495,MATCH($I1273,MASTER_SOURCE!$A$2:$A$495,0)),""))</f>
        <v/>
      </c>
      <c r="L1273" s="22">
        <f t="array" ref="L1273">IF($D1273="","",IFERROR(INDEX(MASTER_SOURCE!$D$2:$D$495,MATCH($I1273,MASTER_SOURCE!$A$2:$A$495,0)),""))</f>
        <v/>
      </c>
      <c r="M1273" s="24" t="n"/>
      <c r="N1273" s="24" t="n"/>
      <c r="O1273" s="24" t="n"/>
      <c r="P1273" s="24" t="n"/>
      <c r="Q1273" s="22">
        <f>IF($D1273="","",IF(AND(OR(DANH_MUC!$L$5&lt;&gt;"Có",M1273="Có"),OR(DANH_MUC!$L$6&lt;&gt;"Có",N1273="Có"),OR(DANH_MUC!$L$7&lt;&gt;"Có",O1273="Có"),OR(DANH_MUC!$L$8&lt;&gt;"Có",P1273="Có")),"Có","Không"))</f>
        <v/>
      </c>
      <c r="R1273" s="22">
        <f>IF($D1273="","",IF(COUNTIF($D$2:$D1273,$D1273)&gt;1,"Trùng",""))</f>
        <v/>
      </c>
      <c r="S1273" s="22">
        <f>IF($D1273="","",IF(AND(LEN($D1273)=10,LEFT($D1273,1)="0",ISNUMBER(--$D1273)),"Có","Không"))</f>
        <v/>
      </c>
      <c r="T1273" s="22">
        <f>IF($D1273="","",IF(AND($C1273&lt;&gt;"",$Q1273="Có",$R1273="",$S1273="Có",AND($L1273&lt;&gt;"",OR($L1273&lt;&gt;"Chưa xác định",DANH_MUC!$L$9="Có"))),"Có","Không"))</f>
        <v/>
      </c>
      <c r="U1273" s="22">
        <f>IF(OR($D1273="",$T1273="Có"),"",IF($C1273="","Thiếu họ tên; ","")&amp;IF($S1273&lt;&gt;"Có","SĐT sai định dạng; ","")&amp;IF($R1273="Trùng","Trùng SĐT; ","")&amp;IF($Q1273&lt;&gt;"Có","Thiếu đồng ý bắt buộc; ","")&amp;IF($L1273="","Thiếu/sai Mã REF; ",IF(AND($L1273="Chưa xác định",DANH_MUC!$L$9&lt;&gt;"Có"),"Nguồn chưa xác định; ","")))</f>
        <v/>
      </c>
      <c r="V1273" s="22">
        <f>IF(OR($D1273="",$R1273="Trùng"),"",IF(COUNTIF(ORDERS!$C$2:$C$4995,$D1273)&gt;0,"Có","Không"))</f>
        <v/>
      </c>
      <c r="W1273" s="22">
        <f>IF(OR($D1273="",$R1273="Trùng"),"",COUNTIFS(ORDERS!$C$2:$C$4995,$D1273,ORDERS!$L$2:$L$4995,"Đã chuyển khoản"))</f>
        <v/>
      </c>
      <c r="X1273" s="23">
        <f>IF(OR($D1273="",$R1273="Trùng"),"",SUMIFS(ORDERS!$J$2:$J$4995,ORDERS!$C$2:$C$4995,$D1273,ORDERS!$L$2:$L$4995,"Đã chuyển khoản"))</f>
        <v/>
      </c>
      <c r="Y1273" s="24" t="n"/>
    </row>
    <row r="1274" ht="14.25" customHeight="1" s="40">
      <c r="A1274" s="24" t="n"/>
      <c r="B1274" s="27" t="n"/>
      <c r="C1274" s="24" t="n"/>
      <c r="D1274" s="28" t="n"/>
      <c r="E1274" s="29" t="n"/>
      <c r="F1274" s="24" t="n"/>
      <c r="G1274" s="24" t="n"/>
      <c r="H1274" s="21">
        <f>IF(ISNUMBER($B1274),INT($B1274)-WEEKDAY($B1274,2)+1,"")</f>
        <v/>
      </c>
      <c r="I1274" s="24" t="n"/>
      <c r="J1274" s="22">
        <f t="array" ref="J1274">IF($D1274="","",IF($I1274="","(trống REF)",IFERROR(INDEX(MASTER_SOURCE!$B$2:$B$495,MATCH($I1274,MASTER_SOURCE!$A$2:$A$495,0)),"(REF không có trong MASTER_SOURCE)")))</f>
        <v/>
      </c>
      <c r="K1274" s="22">
        <f t="array" ref="K1274">IF($D1274="","",IFERROR(INDEX(MASTER_SOURCE!$C$2:$C$495,MATCH($I1274,MASTER_SOURCE!$A$2:$A$495,0)),""))</f>
        <v/>
      </c>
      <c r="L1274" s="22">
        <f t="array" ref="L1274">IF($D1274="","",IFERROR(INDEX(MASTER_SOURCE!$D$2:$D$495,MATCH($I1274,MASTER_SOURCE!$A$2:$A$495,0)),""))</f>
        <v/>
      </c>
      <c r="M1274" s="24" t="n"/>
      <c r="N1274" s="24" t="n"/>
      <c r="O1274" s="24" t="n"/>
      <c r="P1274" s="24" t="n"/>
      <c r="Q1274" s="22">
        <f>IF($D1274="","",IF(AND(OR(DANH_MUC!$L$5&lt;&gt;"Có",M1274="Có"),OR(DANH_MUC!$L$6&lt;&gt;"Có",N1274="Có"),OR(DANH_MUC!$L$7&lt;&gt;"Có",O1274="Có"),OR(DANH_MUC!$L$8&lt;&gt;"Có",P1274="Có")),"Có","Không"))</f>
        <v/>
      </c>
      <c r="R1274" s="22">
        <f>IF($D1274="","",IF(COUNTIF($D$2:$D1274,$D1274)&gt;1,"Trùng",""))</f>
        <v/>
      </c>
      <c r="S1274" s="22">
        <f>IF($D1274="","",IF(AND(LEN($D1274)=10,LEFT($D1274,1)="0",ISNUMBER(--$D1274)),"Có","Không"))</f>
        <v/>
      </c>
      <c r="T1274" s="22">
        <f>IF($D1274="","",IF(AND($C1274&lt;&gt;"",$Q1274="Có",$R1274="",$S1274="Có",AND($L1274&lt;&gt;"",OR($L1274&lt;&gt;"Chưa xác định",DANH_MUC!$L$9="Có"))),"Có","Không"))</f>
        <v/>
      </c>
      <c r="U1274" s="22">
        <f>IF(OR($D1274="",$T1274="Có"),"",IF($C1274="","Thiếu họ tên; ","")&amp;IF($S1274&lt;&gt;"Có","SĐT sai định dạng; ","")&amp;IF($R1274="Trùng","Trùng SĐT; ","")&amp;IF($Q1274&lt;&gt;"Có","Thiếu đồng ý bắt buộc; ","")&amp;IF($L1274="","Thiếu/sai Mã REF; ",IF(AND($L1274="Chưa xác định",DANH_MUC!$L$9&lt;&gt;"Có"),"Nguồn chưa xác định; ","")))</f>
        <v/>
      </c>
      <c r="V1274" s="22">
        <f>IF(OR($D1274="",$R1274="Trùng"),"",IF(COUNTIF(ORDERS!$C$2:$C$4995,$D1274)&gt;0,"Có","Không"))</f>
        <v/>
      </c>
      <c r="W1274" s="22">
        <f>IF(OR($D1274="",$R1274="Trùng"),"",COUNTIFS(ORDERS!$C$2:$C$4995,$D1274,ORDERS!$L$2:$L$4995,"Đã chuyển khoản"))</f>
        <v/>
      </c>
      <c r="X1274" s="23">
        <f>IF(OR($D1274="",$R1274="Trùng"),"",SUMIFS(ORDERS!$J$2:$J$4995,ORDERS!$C$2:$C$4995,$D1274,ORDERS!$L$2:$L$4995,"Đã chuyển khoản"))</f>
        <v/>
      </c>
      <c r="Y1274" s="24" t="n"/>
    </row>
    <row r="1275" ht="14.25" customHeight="1" s="40">
      <c r="A1275" s="24" t="n"/>
      <c r="B1275" s="27" t="n"/>
      <c r="C1275" s="24" t="n"/>
      <c r="D1275" s="28" t="n"/>
      <c r="E1275" s="29" t="n"/>
      <c r="F1275" s="24" t="n"/>
      <c r="G1275" s="24" t="n"/>
      <c r="H1275" s="21">
        <f>IF(ISNUMBER($B1275),INT($B1275)-WEEKDAY($B1275,2)+1,"")</f>
        <v/>
      </c>
      <c r="I1275" s="24" t="n"/>
      <c r="J1275" s="22">
        <f t="array" ref="J1275">IF($D1275="","",IF($I1275="","(trống REF)",IFERROR(INDEX(MASTER_SOURCE!$B$2:$B$495,MATCH($I1275,MASTER_SOURCE!$A$2:$A$495,0)),"(REF không có trong MASTER_SOURCE)")))</f>
        <v/>
      </c>
      <c r="K1275" s="22">
        <f t="array" ref="K1275">IF($D1275="","",IFERROR(INDEX(MASTER_SOURCE!$C$2:$C$495,MATCH($I1275,MASTER_SOURCE!$A$2:$A$495,0)),""))</f>
        <v/>
      </c>
      <c r="L1275" s="22">
        <f t="array" ref="L1275">IF($D1275="","",IFERROR(INDEX(MASTER_SOURCE!$D$2:$D$495,MATCH($I1275,MASTER_SOURCE!$A$2:$A$495,0)),""))</f>
        <v/>
      </c>
      <c r="M1275" s="24" t="n"/>
      <c r="N1275" s="24" t="n"/>
      <c r="O1275" s="24" t="n"/>
      <c r="P1275" s="24" t="n"/>
      <c r="Q1275" s="22">
        <f>IF($D1275="","",IF(AND(OR(DANH_MUC!$L$5&lt;&gt;"Có",M1275="Có"),OR(DANH_MUC!$L$6&lt;&gt;"Có",N1275="Có"),OR(DANH_MUC!$L$7&lt;&gt;"Có",O1275="Có"),OR(DANH_MUC!$L$8&lt;&gt;"Có",P1275="Có")),"Có","Không"))</f>
        <v/>
      </c>
      <c r="R1275" s="22">
        <f>IF($D1275="","",IF(COUNTIF($D$2:$D1275,$D1275)&gt;1,"Trùng",""))</f>
        <v/>
      </c>
      <c r="S1275" s="22">
        <f>IF($D1275="","",IF(AND(LEN($D1275)=10,LEFT($D1275,1)="0",ISNUMBER(--$D1275)),"Có","Không"))</f>
        <v/>
      </c>
      <c r="T1275" s="22">
        <f>IF($D1275="","",IF(AND($C1275&lt;&gt;"",$Q1275="Có",$R1275="",$S1275="Có",AND($L1275&lt;&gt;"",OR($L1275&lt;&gt;"Chưa xác định",DANH_MUC!$L$9="Có"))),"Có","Không"))</f>
        <v/>
      </c>
      <c r="U1275" s="22">
        <f>IF(OR($D1275="",$T1275="Có"),"",IF($C1275="","Thiếu họ tên; ","")&amp;IF($S1275&lt;&gt;"Có","SĐT sai định dạng; ","")&amp;IF($R1275="Trùng","Trùng SĐT; ","")&amp;IF($Q1275&lt;&gt;"Có","Thiếu đồng ý bắt buộc; ","")&amp;IF($L1275="","Thiếu/sai Mã REF; ",IF(AND($L1275="Chưa xác định",DANH_MUC!$L$9&lt;&gt;"Có"),"Nguồn chưa xác định; ","")))</f>
        <v/>
      </c>
      <c r="V1275" s="22">
        <f>IF(OR($D1275="",$R1275="Trùng"),"",IF(COUNTIF(ORDERS!$C$2:$C$4995,$D1275)&gt;0,"Có","Không"))</f>
        <v/>
      </c>
      <c r="W1275" s="22">
        <f>IF(OR($D1275="",$R1275="Trùng"),"",COUNTIFS(ORDERS!$C$2:$C$4995,$D1275,ORDERS!$L$2:$L$4995,"Đã chuyển khoản"))</f>
        <v/>
      </c>
      <c r="X1275" s="23">
        <f>IF(OR($D1275="",$R1275="Trùng"),"",SUMIFS(ORDERS!$J$2:$J$4995,ORDERS!$C$2:$C$4995,$D1275,ORDERS!$L$2:$L$4995,"Đã chuyển khoản"))</f>
        <v/>
      </c>
      <c r="Y1275" s="24" t="n"/>
    </row>
    <row r="1276" ht="14.25" customHeight="1" s="40">
      <c r="A1276" s="24" t="n"/>
      <c r="B1276" s="27" t="n"/>
      <c r="C1276" s="24" t="n"/>
      <c r="D1276" s="28" t="n"/>
      <c r="E1276" s="29" t="n"/>
      <c r="F1276" s="24" t="n"/>
      <c r="G1276" s="24" t="n"/>
      <c r="H1276" s="21">
        <f>IF(ISNUMBER($B1276),INT($B1276)-WEEKDAY($B1276,2)+1,"")</f>
        <v/>
      </c>
      <c r="I1276" s="24" t="n"/>
      <c r="J1276" s="22">
        <f t="array" ref="J1276">IF($D1276="","",IF($I1276="","(trống REF)",IFERROR(INDEX(MASTER_SOURCE!$B$2:$B$495,MATCH($I1276,MASTER_SOURCE!$A$2:$A$495,0)),"(REF không có trong MASTER_SOURCE)")))</f>
        <v/>
      </c>
      <c r="K1276" s="22">
        <f t="array" ref="K1276">IF($D1276="","",IFERROR(INDEX(MASTER_SOURCE!$C$2:$C$495,MATCH($I1276,MASTER_SOURCE!$A$2:$A$495,0)),""))</f>
        <v/>
      </c>
      <c r="L1276" s="22">
        <f t="array" ref="L1276">IF($D1276="","",IFERROR(INDEX(MASTER_SOURCE!$D$2:$D$495,MATCH($I1276,MASTER_SOURCE!$A$2:$A$495,0)),""))</f>
        <v/>
      </c>
      <c r="M1276" s="24" t="n"/>
      <c r="N1276" s="24" t="n"/>
      <c r="O1276" s="24" t="n"/>
      <c r="P1276" s="24" t="n"/>
      <c r="Q1276" s="22">
        <f>IF($D1276="","",IF(AND(OR(DANH_MUC!$L$5&lt;&gt;"Có",M1276="Có"),OR(DANH_MUC!$L$6&lt;&gt;"Có",N1276="Có"),OR(DANH_MUC!$L$7&lt;&gt;"Có",O1276="Có"),OR(DANH_MUC!$L$8&lt;&gt;"Có",P1276="Có")),"Có","Không"))</f>
        <v/>
      </c>
      <c r="R1276" s="22">
        <f>IF($D1276="","",IF(COUNTIF($D$2:$D1276,$D1276)&gt;1,"Trùng",""))</f>
        <v/>
      </c>
      <c r="S1276" s="22">
        <f>IF($D1276="","",IF(AND(LEN($D1276)=10,LEFT($D1276,1)="0",ISNUMBER(--$D1276)),"Có","Không"))</f>
        <v/>
      </c>
      <c r="T1276" s="22">
        <f>IF($D1276="","",IF(AND($C1276&lt;&gt;"",$Q1276="Có",$R1276="",$S1276="Có",AND($L1276&lt;&gt;"",OR($L1276&lt;&gt;"Chưa xác định",DANH_MUC!$L$9="Có"))),"Có","Không"))</f>
        <v/>
      </c>
      <c r="U1276" s="22">
        <f>IF(OR($D1276="",$T1276="Có"),"",IF($C1276="","Thiếu họ tên; ","")&amp;IF($S1276&lt;&gt;"Có","SĐT sai định dạng; ","")&amp;IF($R1276="Trùng","Trùng SĐT; ","")&amp;IF($Q1276&lt;&gt;"Có","Thiếu đồng ý bắt buộc; ","")&amp;IF($L1276="","Thiếu/sai Mã REF; ",IF(AND($L1276="Chưa xác định",DANH_MUC!$L$9&lt;&gt;"Có"),"Nguồn chưa xác định; ","")))</f>
        <v/>
      </c>
      <c r="V1276" s="22">
        <f>IF(OR($D1276="",$R1276="Trùng"),"",IF(COUNTIF(ORDERS!$C$2:$C$4995,$D1276)&gt;0,"Có","Không"))</f>
        <v/>
      </c>
      <c r="W1276" s="22">
        <f>IF(OR($D1276="",$R1276="Trùng"),"",COUNTIFS(ORDERS!$C$2:$C$4995,$D1276,ORDERS!$L$2:$L$4995,"Đã chuyển khoản"))</f>
        <v/>
      </c>
      <c r="X1276" s="23">
        <f>IF(OR($D1276="",$R1276="Trùng"),"",SUMIFS(ORDERS!$J$2:$J$4995,ORDERS!$C$2:$C$4995,$D1276,ORDERS!$L$2:$L$4995,"Đã chuyển khoản"))</f>
        <v/>
      </c>
      <c r="Y1276" s="24" t="n"/>
    </row>
    <row r="1277" ht="14.25" customHeight="1" s="40">
      <c r="A1277" s="24" t="n"/>
      <c r="B1277" s="27" t="n"/>
      <c r="C1277" s="24" t="n"/>
      <c r="D1277" s="28" t="n"/>
      <c r="E1277" s="29" t="n"/>
      <c r="F1277" s="24" t="n"/>
      <c r="G1277" s="24" t="n"/>
      <c r="H1277" s="21">
        <f>IF(ISNUMBER($B1277),INT($B1277)-WEEKDAY($B1277,2)+1,"")</f>
        <v/>
      </c>
      <c r="I1277" s="24" t="n"/>
      <c r="J1277" s="22">
        <f t="array" ref="J1277">IF($D1277="","",IF($I1277="","(trống REF)",IFERROR(INDEX(MASTER_SOURCE!$B$2:$B$495,MATCH($I1277,MASTER_SOURCE!$A$2:$A$495,0)),"(REF không có trong MASTER_SOURCE)")))</f>
        <v/>
      </c>
      <c r="K1277" s="22">
        <f t="array" ref="K1277">IF($D1277="","",IFERROR(INDEX(MASTER_SOURCE!$C$2:$C$495,MATCH($I1277,MASTER_SOURCE!$A$2:$A$495,0)),""))</f>
        <v/>
      </c>
      <c r="L1277" s="22">
        <f t="array" ref="L1277">IF($D1277="","",IFERROR(INDEX(MASTER_SOURCE!$D$2:$D$495,MATCH($I1277,MASTER_SOURCE!$A$2:$A$495,0)),""))</f>
        <v/>
      </c>
      <c r="M1277" s="24" t="n"/>
      <c r="N1277" s="24" t="n"/>
      <c r="O1277" s="24" t="n"/>
      <c r="P1277" s="24" t="n"/>
      <c r="Q1277" s="22">
        <f>IF($D1277="","",IF(AND(OR(DANH_MUC!$L$5&lt;&gt;"Có",M1277="Có"),OR(DANH_MUC!$L$6&lt;&gt;"Có",N1277="Có"),OR(DANH_MUC!$L$7&lt;&gt;"Có",O1277="Có"),OR(DANH_MUC!$L$8&lt;&gt;"Có",P1277="Có")),"Có","Không"))</f>
        <v/>
      </c>
      <c r="R1277" s="22">
        <f>IF($D1277="","",IF(COUNTIF($D$2:$D1277,$D1277)&gt;1,"Trùng",""))</f>
        <v/>
      </c>
      <c r="S1277" s="22">
        <f>IF($D1277="","",IF(AND(LEN($D1277)=10,LEFT($D1277,1)="0",ISNUMBER(--$D1277)),"Có","Không"))</f>
        <v/>
      </c>
      <c r="T1277" s="22">
        <f>IF($D1277="","",IF(AND($C1277&lt;&gt;"",$Q1277="Có",$R1277="",$S1277="Có",AND($L1277&lt;&gt;"",OR($L1277&lt;&gt;"Chưa xác định",DANH_MUC!$L$9="Có"))),"Có","Không"))</f>
        <v/>
      </c>
      <c r="U1277" s="22">
        <f>IF(OR($D1277="",$T1277="Có"),"",IF($C1277="","Thiếu họ tên; ","")&amp;IF($S1277&lt;&gt;"Có","SĐT sai định dạng; ","")&amp;IF($R1277="Trùng","Trùng SĐT; ","")&amp;IF($Q1277&lt;&gt;"Có","Thiếu đồng ý bắt buộc; ","")&amp;IF($L1277="","Thiếu/sai Mã REF; ",IF(AND($L1277="Chưa xác định",DANH_MUC!$L$9&lt;&gt;"Có"),"Nguồn chưa xác định; ","")))</f>
        <v/>
      </c>
      <c r="V1277" s="22">
        <f>IF(OR($D1277="",$R1277="Trùng"),"",IF(COUNTIF(ORDERS!$C$2:$C$4995,$D1277)&gt;0,"Có","Không"))</f>
        <v/>
      </c>
      <c r="W1277" s="22">
        <f>IF(OR($D1277="",$R1277="Trùng"),"",COUNTIFS(ORDERS!$C$2:$C$4995,$D1277,ORDERS!$L$2:$L$4995,"Đã chuyển khoản"))</f>
        <v/>
      </c>
      <c r="X1277" s="23">
        <f>IF(OR($D1277="",$R1277="Trùng"),"",SUMIFS(ORDERS!$J$2:$J$4995,ORDERS!$C$2:$C$4995,$D1277,ORDERS!$L$2:$L$4995,"Đã chuyển khoản"))</f>
        <v/>
      </c>
      <c r="Y1277" s="24" t="n"/>
    </row>
    <row r="1278" ht="14.25" customHeight="1" s="40">
      <c r="A1278" s="24" t="n"/>
      <c r="B1278" s="27" t="n"/>
      <c r="C1278" s="24" t="n"/>
      <c r="D1278" s="28" t="n"/>
      <c r="E1278" s="29" t="n"/>
      <c r="F1278" s="24" t="n"/>
      <c r="G1278" s="24" t="n"/>
      <c r="H1278" s="21">
        <f>IF(ISNUMBER($B1278),INT($B1278)-WEEKDAY($B1278,2)+1,"")</f>
        <v/>
      </c>
      <c r="I1278" s="24" t="n"/>
      <c r="J1278" s="22">
        <f t="array" ref="J1278">IF($D1278="","",IF($I1278="","(trống REF)",IFERROR(INDEX(MASTER_SOURCE!$B$2:$B$495,MATCH($I1278,MASTER_SOURCE!$A$2:$A$495,0)),"(REF không có trong MASTER_SOURCE)")))</f>
        <v/>
      </c>
      <c r="K1278" s="22">
        <f t="array" ref="K1278">IF($D1278="","",IFERROR(INDEX(MASTER_SOURCE!$C$2:$C$495,MATCH($I1278,MASTER_SOURCE!$A$2:$A$495,0)),""))</f>
        <v/>
      </c>
      <c r="L1278" s="22">
        <f t="array" ref="L1278">IF($D1278="","",IFERROR(INDEX(MASTER_SOURCE!$D$2:$D$495,MATCH($I1278,MASTER_SOURCE!$A$2:$A$495,0)),""))</f>
        <v/>
      </c>
      <c r="M1278" s="24" t="n"/>
      <c r="N1278" s="24" t="n"/>
      <c r="O1278" s="24" t="n"/>
      <c r="P1278" s="24" t="n"/>
      <c r="Q1278" s="22">
        <f>IF($D1278="","",IF(AND(OR(DANH_MUC!$L$5&lt;&gt;"Có",M1278="Có"),OR(DANH_MUC!$L$6&lt;&gt;"Có",N1278="Có"),OR(DANH_MUC!$L$7&lt;&gt;"Có",O1278="Có"),OR(DANH_MUC!$L$8&lt;&gt;"Có",P1278="Có")),"Có","Không"))</f>
        <v/>
      </c>
      <c r="R1278" s="22">
        <f>IF($D1278="","",IF(COUNTIF($D$2:$D1278,$D1278)&gt;1,"Trùng",""))</f>
        <v/>
      </c>
      <c r="S1278" s="22">
        <f>IF($D1278="","",IF(AND(LEN($D1278)=10,LEFT($D1278,1)="0",ISNUMBER(--$D1278)),"Có","Không"))</f>
        <v/>
      </c>
      <c r="T1278" s="22">
        <f>IF($D1278="","",IF(AND($C1278&lt;&gt;"",$Q1278="Có",$R1278="",$S1278="Có",AND($L1278&lt;&gt;"",OR($L1278&lt;&gt;"Chưa xác định",DANH_MUC!$L$9="Có"))),"Có","Không"))</f>
        <v/>
      </c>
      <c r="U1278" s="22">
        <f>IF(OR($D1278="",$T1278="Có"),"",IF($C1278="","Thiếu họ tên; ","")&amp;IF($S1278&lt;&gt;"Có","SĐT sai định dạng; ","")&amp;IF($R1278="Trùng","Trùng SĐT; ","")&amp;IF($Q1278&lt;&gt;"Có","Thiếu đồng ý bắt buộc; ","")&amp;IF($L1278="","Thiếu/sai Mã REF; ",IF(AND($L1278="Chưa xác định",DANH_MUC!$L$9&lt;&gt;"Có"),"Nguồn chưa xác định; ","")))</f>
        <v/>
      </c>
      <c r="V1278" s="22">
        <f>IF(OR($D1278="",$R1278="Trùng"),"",IF(COUNTIF(ORDERS!$C$2:$C$4995,$D1278)&gt;0,"Có","Không"))</f>
        <v/>
      </c>
      <c r="W1278" s="22">
        <f>IF(OR($D1278="",$R1278="Trùng"),"",COUNTIFS(ORDERS!$C$2:$C$4995,$D1278,ORDERS!$L$2:$L$4995,"Đã chuyển khoản"))</f>
        <v/>
      </c>
      <c r="X1278" s="23">
        <f>IF(OR($D1278="",$R1278="Trùng"),"",SUMIFS(ORDERS!$J$2:$J$4995,ORDERS!$C$2:$C$4995,$D1278,ORDERS!$L$2:$L$4995,"Đã chuyển khoản"))</f>
        <v/>
      </c>
      <c r="Y1278" s="24" t="n"/>
    </row>
    <row r="1279" ht="14.25" customHeight="1" s="40">
      <c r="A1279" s="24" t="n"/>
      <c r="B1279" s="27" t="n"/>
      <c r="C1279" s="24" t="n"/>
      <c r="D1279" s="28" t="n"/>
      <c r="E1279" s="29" t="n"/>
      <c r="F1279" s="24" t="n"/>
      <c r="G1279" s="24" t="n"/>
      <c r="H1279" s="21">
        <f>IF(ISNUMBER($B1279),INT($B1279)-WEEKDAY($B1279,2)+1,"")</f>
        <v/>
      </c>
      <c r="I1279" s="24" t="n"/>
      <c r="J1279" s="22">
        <f t="array" ref="J1279">IF($D1279="","",IF($I1279="","(trống REF)",IFERROR(INDEX(MASTER_SOURCE!$B$2:$B$495,MATCH($I1279,MASTER_SOURCE!$A$2:$A$495,0)),"(REF không có trong MASTER_SOURCE)")))</f>
        <v/>
      </c>
      <c r="K1279" s="22">
        <f t="array" ref="K1279">IF($D1279="","",IFERROR(INDEX(MASTER_SOURCE!$C$2:$C$495,MATCH($I1279,MASTER_SOURCE!$A$2:$A$495,0)),""))</f>
        <v/>
      </c>
      <c r="L1279" s="22">
        <f t="array" ref="L1279">IF($D1279="","",IFERROR(INDEX(MASTER_SOURCE!$D$2:$D$495,MATCH($I1279,MASTER_SOURCE!$A$2:$A$495,0)),""))</f>
        <v/>
      </c>
      <c r="M1279" s="24" t="n"/>
      <c r="N1279" s="24" t="n"/>
      <c r="O1279" s="24" t="n"/>
      <c r="P1279" s="24" t="n"/>
      <c r="Q1279" s="22">
        <f>IF($D1279="","",IF(AND(OR(DANH_MUC!$L$5&lt;&gt;"Có",M1279="Có"),OR(DANH_MUC!$L$6&lt;&gt;"Có",N1279="Có"),OR(DANH_MUC!$L$7&lt;&gt;"Có",O1279="Có"),OR(DANH_MUC!$L$8&lt;&gt;"Có",P1279="Có")),"Có","Không"))</f>
        <v/>
      </c>
      <c r="R1279" s="22">
        <f>IF($D1279="","",IF(COUNTIF($D$2:$D1279,$D1279)&gt;1,"Trùng",""))</f>
        <v/>
      </c>
      <c r="S1279" s="22">
        <f>IF($D1279="","",IF(AND(LEN($D1279)=10,LEFT($D1279,1)="0",ISNUMBER(--$D1279)),"Có","Không"))</f>
        <v/>
      </c>
      <c r="T1279" s="22">
        <f>IF($D1279="","",IF(AND($C1279&lt;&gt;"",$Q1279="Có",$R1279="",$S1279="Có",AND($L1279&lt;&gt;"",OR($L1279&lt;&gt;"Chưa xác định",DANH_MUC!$L$9="Có"))),"Có","Không"))</f>
        <v/>
      </c>
      <c r="U1279" s="22">
        <f>IF(OR($D1279="",$T1279="Có"),"",IF($C1279="","Thiếu họ tên; ","")&amp;IF($S1279&lt;&gt;"Có","SĐT sai định dạng; ","")&amp;IF($R1279="Trùng","Trùng SĐT; ","")&amp;IF($Q1279&lt;&gt;"Có","Thiếu đồng ý bắt buộc; ","")&amp;IF($L1279="","Thiếu/sai Mã REF; ",IF(AND($L1279="Chưa xác định",DANH_MUC!$L$9&lt;&gt;"Có"),"Nguồn chưa xác định; ","")))</f>
        <v/>
      </c>
      <c r="V1279" s="22">
        <f>IF(OR($D1279="",$R1279="Trùng"),"",IF(COUNTIF(ORDERS!$C$2:$C$4995,$D1279)&gt;0,"Có","Không"))</f>
        <v/>
      </c>
      <c r="W1279" s="22">
        <f>IF(OR($D1279="",$R1279="Trùng"),"",COUNTIFS(ORDERS!$C$2:$C$4995,$D1279,ORDERS!$L$2:$L$4995,"Đã chuyển khoản"))</f>
        <v/>
      </c>
      <c r="X1279" s="23">
        <f>IF(OR($D1279="",$R1279="Trùng"),"",SUMIFS(ORDERS!$J$2:$J$4995,ORDERS!$C$2:$C$4995,$D1279,ORDERS!$L$2:$L$4995,"Đã chuyển khoản"))</f>
        <v/>
      </c>
      <c r="Y1279" s="24" t="n"/>
    </row>
    <row r="1280" ht="14.25" customHeight="1" s="40">
      <c r="A1280" s="24" t="n"/>
      <c r="B1280" s="27" t="n"/>
      <c r="C1280" s="24" t="n"/>
      <c r="D1280" s="28" t="n"/>
      <c r="E1280" s="29" t="n"/>
      <c r="F1280" s="24" t="n"/>
      <c r="G1280" s="24" t="n"/>
      <c r="H1280" s="21">
        <f>IF(ISNUMBER($B1280),INT($B1280)-WEEKDAY($B1280,2)+1,"")</f>
        <v/>
      </c>
      <c r="I1280" s="24" t="n"/>
      <c r="J1280" s="22">
        <f t="array" ref="J1280">IF($D1280="","",IF($I1280="","(trống REF)",IFERROR(INDEX(MASTER_SOURCE!$B$2:$B$495,MATCH($I1280,MASTER_SOURCE!$A$2:$A$495,0)),"(REF không có trong MASTER_SOURCE)")))</f>
        <v/>
      </c>
      <c r="K1280" s="22">
        <f t="array" ref="K1280">IF($D1280="","",IFERROR(INDEX(MASTER_SOURCE!$C$2:$C$495,MATCH($I1280,MASTER_SOURCE!$A$2:$A$495,0)),""))</f>
        <v/>
      </c>
      <c r="L1280" s="22">
        <f t="array" ref="L1280">IF($D1280="","",IFERROR(INDEX(MASTER_SOURCE!$D$2:$D$495,MATCH($I1280,MASTER_SOURCE!$A$2:$A$495,0)),""))</f>
        <v/>
      </c>
      <c r="M1280" s="24" t="n"/>
      <c r="N1280" s="24" t="n"/>
      <c r="O1280" s="24" t="n"/>
      <c r="P1280" s="24" t="n"/>
      <c r="Q1280" s="22">
        <f>IF($D1280="","",IF(AND(OR(DANH_MUC!$L$5&lt;&gt;"Có",M1280="Có"),OR(DANH_MUC!$L$6&lt;&gt;"Có",N1280="Có"),OR(DANH_MUC!$L$7&lt;&gt;"Có",O1280="Có"),OR(DANH_MUC!$L$8&lt;&gt;"Có",P1280="Có")),"Có","Không"))</f>
        <v/>
      </c>
      <c r="R1280" s="22">
        <f>IF($D1280="","",IF(COUNTIF($D$2:$D1280,$D1280)&gt;1,"Trùng",""))</f>
        <v/>
      </c>
      <c r="S1280" s="22">
        <f>IF($D1280="","",IF(AND(LEN($D1280)=10,LEFT($D1280,1)="0",ISNUMBER(--$D1280)),"Có","Không"))</f>
        <v/>
      </c>
      <c r="T1280" s="22">
        <f>IF($D1280="","",IF(AND($C1280&lt;&gt;"",$Q1280="Có",$R1280="",$S1280="Có",AND($L1280&lt;&gt;"",OR($L1280&lt;&gt;"Chưa xác định",DANH_MUC!$L$9="Có"))),"Có","Không"))</f>
        <v/>
      </c>
      <c r="U1280" s="22">
        <f>IF(OR($D1280="",$T1280="Có"),"",IF($C1280="","Thiếu họ tên; ","")&amp;IF($S1280&lt;&gt;"Có","SĐT sai định dạng; ","")&amp;IF($R1280="Trùng","Trùng SĐT; ","")&amp;IF($Q1280&lt;&gt;"Có","Thiếu đồng ý bắt buộc; ","")&amp;IF($L1280="","Thiếu/sai Mã REF; ",IF(AND($L1280="Chưa xác định",DANH_MUC!$L$9&lt;&gt;"Có"),"Nguồn chưa xác định; ","")))</f>
        <v/>
      </c>
      <c r="V1280" s="22">
        <f>IF(OR($D1280="",$R1280="Trùng"),"",IF(COUNTIF(ORDERS!$C$2:$C$4995,$D1280)&gt;0,"Có","Không"))</f>
        <v/>
      </c>
      <c r="W1280" s="22">
        <f>IF(OR($D1280="",$R1280="Trùng"),"",COUNTIFS(ORDERS!$C$2:$C$4995,$D1280,ORDERS!$L$2:$L$4995,"Đã chuyển khoản"))</f>
        <v/>
      </c>
      <c r="X1280" s="23">
        <f>IF(OR($D1280="",$R1280="Trùng"),"",SUMIFS(ORDERS!$J$2:$J$4995,ORDERS!$C$2:$C$4995,$D1280,ORDERS!$L$2:$L$4995,"Đã chuyển khoản"))</f>
        <v/>
      </c>
      <c r="Y1280" s="24" t="n"/>
    </row>
    <row r="1281" ht="14.25" customHeight="1" s="40">
      <c r="A1281" s="24" t="n"/>
      <c r="B1281" s="27" t="n"/>
      <c r="C1281" s="24" t="n"/>
      <c r="D1281" s="28" t="n"/>
      <c r="E1281" s="29" t="n"/>
      <c r="F1281" s="24" t="n"/>
      <c r="G1281" s="24" t="n"/>
      <c r="H1281" s="21">
        <f>IF(ISNUMBER($B1281),INT($B1281)-WEEKDAY($B1281,2)+1,"")</f>
        <v/>
      </c>
      <c r="I1281" s="24" t="n"/>
      <c r="J1281" s="22">
        <f t="array" ref="J1281">IF($D1281="","",IF($I1281="","(trống REF)",IFERROR(INDEX(MASTER_SOURCE!$B$2:$B$495,MATCH($I1281,MASTER_SOURCE!$A$2:$A$495,0)),"(REF không có trong MASTER_SOURCE)")))</f>
        <v/>
      </c>
      <c r="K1281" s="22">
        <f t="array" ref="K1281">IF($D1281="","",IFERROR(INDEX(MASTER_SOURCE!$C$2:$C$495,MATCH($I1281,MASTER_SOURCE!$A$2:$A$495,0)),""))</f>
        <v/>
      </c>
      <c r="L1281" s="22">
        <f t="array" ref="L1281">IF($D1281="","",IFERROR(INDEX(MASTER_SOURCE!$D$2:$D$495,MATCH($I1281,MASTER_SOURCE!$A$2:$A$495,0)),""))</f>
        <v/>
      </c>
      <c r="M1281" s="24" t="n"/>
      <c r="N1281" s="24" t="n"/>
      <c r="O1281" s="24" t="n"/>
      <c r="P1281" s="24" t="n"/>
      <c r="Q1281" s="22">
        <f>IF($D1281="","",IF(AND(OR(DANH_MUC!$L$5&lt;&gt;"Có",M1281="Có"),OR(DANH_MUC!$L$6&lt;&gt;"Có",N1281="Có"),OR(DANH_MUC!$L$7&lt;&gt;"Có",O1281="Có"),OR(DANH_MUC!$L$8&lt;&gt;"Có",P1281="Có")),"Có","Không"))</f>
        <v/>
      </c>
      <c r="R1281" s="22">
        <f>IF($D1281="","",IF(COUNTIF($D$2:$D1281,$D1281)&gt;1,"Trùng",""))</f>
        <v/>
      </c>
      <c r="S1281" s="22">
        <f>IF($D1281="","",IF(AND(LEN($D1281)=10,LEFT($D1281,1)="0",ISNUMBER(--$D1281)),"Có","Không"))</f>
        <v/>
      </c>
      <c r="T1281" s="22">
        <f>IF($D1281="","",IF(AND($C1281&lt;&gt;"",$Q1281="Có",$R1281="",$S1281="Có",AND($L1281&lt;&gt;"",OR($L1281&lt;&gt;"Chưa xác định",DANH_MUC!$L$9="Có"))),"Có","Không"))</f>
        <v/>
      </c>
      <c r="U1281" s="22">
        <f>IF(OR($D1281="",$T1281="Có"),"",IF($C1281="","Thiếu họ tên; ","")&amp;IF($S1281&lt;&gt;"Có","SĐT sai định dạng; ","")&amp;IF($R1281="Trùng","Trùng SĐT; ","")&amp;IF($Q1281&lt;&gt;"Có","Thiếu đồng ý bắt buộc; ","")&amp;IF($L1281="","Thiếu/sai Mã REF; ",IF(AND($L1281="Chưa xác định",DANH_MUC!$L$9&lt;&gt;"Có"),"Nguồn chưa xác định; ","")))</f>
        <v/>
      </c>
      <c r="V1281" s="22">
        <f>IF(OR($D1281="",$R1281="Trùng"),"",IF(COUNTIF(ORDERS!$C$2:$C$4995,$D1281)&gt;0,"Có","Không"))</f>
        <v/>
      </c>
      <c r="W1281" s="22">
        <f>IF(OR($D1281="",$R1281="Trùng"),"",COUNTIFS(ORDERS!$C$2:$C$4995,$D1281,ORDERS!$L$2:$L$4995,"Đã chuyển khoản"))</f>
        <v/>
      </c>
      <c r="X1281" s="23">
        <f>IF(OR($D1281="",$R1281="Trùng"),"",SUMIFS(ORDERS!$J$2:$J$4995,ORDERS!$C$2:$C$4995,$D1281,ORDERS!$L$2:$L$4995,"Đã chuyển khoản"))</f>
        <v/>
      </c>
      <c r="Y1281" s="24" t="n"/>
    </row>
    <row r="1282" ht="14.25" customHeight="1" s="40">
      <c r="A1282" s="24" t="n"/>
      <c r="B1282" s="27" t="n"/>
      <c r="C1282" s="24" t="n"/>
      <c r="D1282" s="28" t="n"/>
      <c r="E1282" s="29" t="n"/>
      <c r="F1282" s="24" t="n"/>
      <c r="G1282" s="24" t="n"/>
      <c r="H1282" s="21">
        <f>IF(ISNUMBER($B1282),INT($B1282)-WEEKDAY($B1282,2)+1,"")</f>
        <v/>
      </c>
      <c r="I1282" s="24" t="n"/>
      <c r="J1282" s="22">
        <f t="array" ref="J1282">IF($D1282="","",IF($I1282="","(trống REF)",IFERROR(INDEX(MASTER_SOURCE!$B$2:$B$495,MATCH($I1282,MASTER_SOURCE!$A$2:$A$495,0)),"(REF không có trong MASTER_SOURCE)")))</f>
        <v/>
      </c>
      <c r="K1282" s="22">
        <f t="array" ref="K1282">IF($D1282="","",IFERROR(INDEX(MASTER_SOURCE!$C$2:$C$495,MATCH($I1282,MASTER_SOURCE!$A$2:$A$495,0)),""))</f>
        <v/>
      </c>
      <c r="L1282" s="22">
        <f t="array" ref="L1282">IF($D1282="","",IFERROR(INDEX(MASTER_SOURCE!$D$2:$D$495,MATCH($I1282,MASTER_SOURCE!$A$2:$A$495,0)),""))</f>
        <v/>
      </c>
      <c r="M1282" s="24" t="n"/>
      <c r="N1282" s="24" t="n"/>
      <c r="O1282" s="24" t="n"/>
      <c r="P1282" s="24" t="n"/>
      <c r="Q1282" s="22">
        <f>IF($D1282="","",IF(AND(OR(DANH_MUC!$L$5&lt;&gt;"Có",M1282="Có"),OR(DANH_MUC!$L$6&lt;&gt;"Có",N1282="Có"),OR(DANH_MUC!$L$7&lt;&gt;"Có",O1282="Có"),OR(DANH_MUC!$L$8&lt;&gt;"Có",P1282="Có")),"Có","Không"))</f>
        <v/>
      </c>
      <c r="R1282" s="22">
        <f>IF($D1282="","",IF(COUNTIF($D$2:$D1282,$D1282)&gt;1,"Trùng",""))</f>
        <v/>
      </c>
      <c r="S1282" s="22">
        <f>IF($D1282="","",IF(AND(LEN($D1282)=10,LEFT($D1282,1)="0",ISNUMBER(--$D1282)),"Có","Không"))</f>
        <v/>
      </c>
      <c r="T1282" s="22">
        <f>IF($D1282="","",IF(AND($C1282&lt;&gt;"",$Q1282="Có",$R1282="",$S1282="Có",AND($L1282&lt;&gt;"",OR($L1282&lt;&gt;"Chưa xác định",DANH_MUC!$L$9="Có"))),"Có","Không"))</f>
        <v/>
      </c>
      <c r="U1282" s="22">
        <f>IF(OR($D1282="",$T1282="Có"),"",IF($C1282="","Thiếu họ tên; ","")&amp;IF($S1282&lt;&gt;"Có","SĐT sai định dạng; ","")&amp;IF($R1282="Trùng","Trùng SĐT; ","")&amp;IF($Q1282&lt;&gt;"Có","Thiếu đồng ý bắt buộc; ","")&amp;IF($L1282="","Thiếu/sai Mã REF; ",IF(AND($L1282="Chưa xác định",DANH_MUC!$L$9&lt;&gt;"Có"),"Nguồn chưa xác định; ","")))</f>
        <v/>
      </c>
      <c r="V1282" s="22">
        <f>IF(OR($D1282="",$R1282="Trùng"),"",IF(COUNTIF(ORDERS!$C$2:$C$4995,$D1282)&gt;0,"Có","Không"))</f>
        <v/>
      </c>
      <c r="W1282" s="22">
        <f>IF(OR($D1282="",$R1282="Trùng"),"",COUNTIFS(ORDERS!$C$2:$C$4995,$D1282,ORDERS!$L$2:$L$4995,"Đã chuyển khoản"))</f>
        <v/>
      </c>
      <c r="X1282" s="23">
        <f>IF(OR($D1282="",$R1282="Trùng"),"",SUMIFS(ORDERS!$J$2:$J$4995,ORDERS!$C$2:$C$4995,$D1282,ORDERS!$L$2:$L$4995,"Đã chuyển khoản"))</f>
        <v/>
      </c>
      <c r="Y1282" s="24" t="n"/>
    </row>
    <row r="1283" ht="14.25" customHeight="1" s="40">
      <c r="A1283" s="24" t="n"/>
      <c r="B1283" s="27" t="n"/>
      <c r="C1283" s="24" t="n"/>
      <c r="D1283" s="28" t="n"/>
      <c r="E1283" s="29" t="n"/>
      <c r="F1283" s="24" t="n"/>
      <c r="G1283" s="24" t="n"/>
      <c r="H1283" s="21">
        <f>IF(ISNUMBER($B1283),INT($B1283)-WEEKDAY($B1283,2)+1,"")</f>
        <v/>
      </c>
      <c r="I1283" s="24" t="n"/>
      <c r="J1283" s="22">
        <f t="array" ref="J1283">IF($D1283="","",IF($I1283="","(trống REF)",IFERROR(INDEX(MASTER_SOURCE!$B$2:$B$495,MATCH($I1283,MASTER_SOURCE!$A$2:$A$495,0)),"(REF không có trong MASTER_SOURCE)")))</f>
        <v/>
      </c>
      <c r="K1283" s="22">
        <f t="array" ref="K1283">IF($D1283="","",IFERROR(INDEX(MASTER_SOURCE!$C$2:$C$495,MATCH($I1283,MASTER_SOURCE!$A$2:$A$495,0)),""))</f>
        <v/>
      </c>
      <c r="L1283" s="22">
        <f t="array" ref="L1283">IF($D1283="","",IFERROR(INDEX(MASTER_SOURCE!$D$2:$D$495,MATCH($I1283,MASTER_SOURCE!$A$2:$A$495,0)),""))</f>
        <v/>
      </c>
      <c r="M1283" s="24" t="n"/>
      <c r="N1283" s="24" t="n"/>
      <c r="O1283" s="24" t="n"/>
      <c r="P1283" s="24" t="n"/>
      <c r="Q1283" s="22">
        <f>IF($D1283="","",IF(AND(OR(DANH_MUC!$L$5&lt;&gt;"Có",M1283="Có"),OR(DANH_MUC!$L$6&lt;&gt;"Có",N1283="Có"),OR(DANH_MUC!$L$7&lt;&gt;"Có",O1283="Có"),OR(DANH_MUC!$L$8&lt;&gt;"Có",P1283="Có")),"Có","Không"))</f>
        <v/>
      </c>
      <c r="R1283" s="22">
        <f>IF($D1283="","",IF(COUNTIF($D$2:$D1283,$D1283)&gt;1,"Trùng",""))</f>
        <v/>
      </c>
      <c r="S1283" s="22">
        <f>IF($D1283="","",IF(AND(LEN($D1283)=10,LEFT($D1283,1)="0",ISNUMBER(--$D1283)),"Có","Không"))</f>
        <v/>
      </c>
      <c r="T1283" s="22">
        <f>IF($D1283="","",IF(AND($C1283&lt;&gt;"",$Q1283="Có",$R1283="",$S1283="Có",AND($L1283&lt;&gt;"",OR($L1283&lt;&gt;"Chưa xác định",DANH_MUC!$L$9="Có"))),"Có","Không"))</f>
        <v/>
      </c>
      <c r="U1283" s="22">
        <f>IF(OR($D1283="",$T1283="Có"),"",IF($C1283="","Thiếu họ tên; ","")&amp;IF($S1283&lt;&gt;"Có","SĐT sai định dạng; ","")&amp;IF($R1283="Trùng","Trùng SĐT; ","")&amp;IF($Q1283&lt;&gt;"Có","Thiếu đồng ý bắt buộc; ","")&amp;IF($L1283="","Thiếu/sai Mã REF; ",IF(AND($L1283="Chưa xác định",DANH_MUC!$L$9&lt;&gt;"Có"),"Nguồn chưa xác định; ","")))</f>
        <v/>
      </c>
      <c r="V1283" s="22">
        <f>IF(OR($D1283="",$R1283="Trùng"),"",IF(COUNTIF(ORDERS!$C$2:$C$4995,$D1283)&gt;0,"Có","Không"))</f>
        <v/>
      </c>
      <c r="W1283" s="22">
        <f>IF(OR($D1283="",$R1283="Trùng"),"",COUNTIFS(ORDERS!$C$2:$C$4995,$D1283,ORDERS!$L$2:$L$4995,"Đã chuyển khoản"))</f>
        <v/>
      </c>
      <c r="X1283" s="23">
        <f>IF(OR($D1283="",$R1283="Trùng"),"",SUMIFS(ORDERS!$J$2:$J$4995,ORDERS!$C$2:$C$4995,$D1283,ORDERS!$L$2:$L$4995,"Đã chuyển khoản"))</f>
        <v/>
      </c>
      <c r="Y1283" s="24" t="n"/>
    </row>
    <row r="1284" ht="14.25" customHeight="1" s="40">
      <c r="A1284" s="24" t="n"/>
      <c r="B1284" s="27" t="n"/>
      <c r="C1284" s="24" t="n"/>
      <c r="D1284" s="28" t="n"/>
      <c r="E1284" s="29" t="n"/>
      <c r="F1284" s="24" t="n"/>
      <c r="G1284" s="24" t="n"/>
      <c r="H1284" s="21">
        <f>IF(ISNUMBER($B1284),INT($B1284)-WEEKDAY($B1284,2)+1,"")</f>
        <v/>
      </c>
      <c r="I1284" s="24" t="n"/>
      <c r="J1284" s="22">
        <f t="array" ref="J1284">IF($D1284="","",IF($I1284="","(trống REF)",IFERROR(INDEX(MASTER_SOURCE!$B$2:$B$495,MATCH($I1284,MASTER_SOURCE!$A$2:$A$495,0)),"(REF không có trong MASTER_SOURCE)")))</f>
        <v/>
      </c>
      <c r="K1284" s="22">
        <f t="array" ref="K1284">IF($D1284="","",IFERROR(INDEX(MASTER_SOURCE!$C$2:$C$495,MATCH($I1284,MASTER_SOURCE!$A$2:$A$495,0)),""))</f>
        <v/>
      </c>
      <c r="L1284" s="22">
        <f t="array" ref="L1284">IF($D1284="","",IFERROR(INDEX(MASTER_SOURCE!$D$2:$D$495,MATCH($I1284,MASTER_SOURCE!$A$2:$A$495,0)),""))</f>
        <v/>
      </c>
      <c r="M1284" s="24" t="n"/>
      <c r="N1284" s="24" t="n"/>
      <c r="O1284" s="24" t="n"/>
      <c r="P1284" s="24" t="n"/>
      <c r="Q1284" s="22">
        <f>IF($D1284="","",IF(AND(OR(DANH_MUC!$L$5&lt;&gt;"Có",M1284="Có"),OR(DANH_MUC!$L$6&lt;&gt;"Có",N1284="Có"),OR(DANH_MUC!$L$7&lt;&gt;"Có",O1284="Có"),OR(DANH_MUC!$L$8&lt;&gt;"Có",P1284="Có")),"Có","Không"))</f>
        <v/>
      </c>
      <c r="R1284" s="22">
        <f>IF($D1284="","",IF(COUNTIF($D$2:$D1284,$D1284)&gt;1,"Trùng",""))</f>
        <v/>
      </c>
      <c r="S1284" s="22">
        <f>IF($D1284="","",IF(AND(LEN($D1284)=10,LEFT($D1284,1)="0",ISNUMBER(--$D1284)),"Có","Không"))</f>
        <v/>
      </c>
      <c r="T1284" s="22">
        <f>IF($D1284="","",IF(AND($C1284&lt;&gt;"",$Q1284="Có",$R1284="",$S1284="Có",AND($L1284&lt;&gt;"",OR($L1284&lt;&gt;"Chưa xác định",DANH_MUC!$L$9="Có"))),"Có","Không"))</f>
        <v/>
      </c>
      <c r="U1284" s="22">
        <f>IF(OR($D1284="",$T1284="Có"),"",IF($C1284="","Thiếu họ tên; ","")&amp;IF($S1284&lt;&gt;"Có","SĐT sai định dạng; ","")&amp;IF($R1284="Trùng","Trùng SĐT; ","")&amp;IF($Q1284&lt;&gt;"Có","Thiếu đồng ý bắt buộc; ","")&amp;IF($L1284="","Thiếu/sai Mã REF; ",IF(AND($L1284="Chưa xác định",DANH_MUC!$L$9&lt;&gt;"Có"),"Nguồn chưa xác định; ","")))</f>
        <v/>
      </c>
      <c r="V1284" s="22">
        <f>IF(OR($D1284="",$R1284="Trùng"),"",IF(COUNTIF(ORDERS!$C$2:$C$4995,$D1284)&gt;0,"Có","Không"))</f>
        <v/>
      </c>
      <c r="W1284" s="22">
        <f>IF(OR($D1284="",$R1284="Trùng"),"",COUNTIFS(ORDERS!$C$2:$C$4995,$D1284,ORDERS!$L$2:$L$4995,"Đã chuyển khoản"))</f>
        <v/>
      </c>
      <c r="X1284" s="23">
        <f>IF(OR($D1284="",$R1284="Trùng"),"",SUMIFS(ORDERS!$J$2:$J$4995,ORDERS!$C$2:$C$4995,$D1284,ORDERS!$L$2:$L$4995,"Đã chuyển khoản"))</f>
        <v/>
      </c>
      <c r="Y1284" s="24" t="n"/>
    </row>
    <row r="1285" ht="14.25" customHeight="1" s="40">
      <c r="A1285" s="24" t="n"/>
      <c r="B1285" s="27" t="n"/>
      <c r="C1285" s="24" t="n"/>
      <c r="D1285" s="28" t="n"/>
      <c r="E1285" s="29" t="n"/>
      <c r="F1285" s="24" t="n"/>
      <c r="G1285" s="24" t="n"/>
      <c r="H1285" s="21">
        <f>IF(ISNUMBER($B1285),INT($B1285)-WEEKDAY($B1285,2)+1,"")</f>
        <v/>
      </c>
      <c r="I1285" s="24" t="n"/>
      <c r="J1285" s="22">
        <f t="array" ref="J1285">IF($D1285="","",IF($I1285="","(trống REF)",IFERROR(INDEX(MASTER_SOURCE!$B$2:$B$495,MATCH($I1285,MASTER_SOURCE!$A$2:$A$495,0)),"(REF không có trong MASTER_SOURCE)")))</f>
        <v/>
      </c>
      <c r="K1285" s="22">
        <f t="array" ref="K1285">IF($D1285="","",IFERROR(INDEX(MASTER_SOURCE!$C$2:$C$495,MATCH($I1285,MASTER_SOURCE!$A$2:$A$495,0)),""))</f>
        <v/>
      </c>
      <c r="L1285" s="22">
        <f t="array" ref="L1285">IF($D1285="","",IFERROR(INDEX(MASTER_SOURCE!$D$2:$D$495,MATCH($I1285,MASTER_SOURCE!$A$2:$A$495,0)),""))</f>
        <v/>
      </c>
      <c r="M1285" s="24" t="n"/>
      <c r="N1285" s="24" t="n"/>
      <c r="O1285" s="24" t="n"/>
      <c r="P1285" s="24" t="n"/>
      <c r="Q1285" s="22">
        <f>IF($D1285="","",IF(AND(OR(DANH_MUC!$L$5&lt;&gt;"Có",M1285="Có"),OR(DANH_MUC!$L$6&lt;&gt;"Có",N1285="Có"),OR(DANH_MUC!$L$7&lt;&gt;"Có",O1285="Có"),OR(DANH_MUC!$L$8&lt;&gt;"Có",P1285="Có")),"Có","Không"))</f>
        <v/>
      </c>
      <c r="R1285" s="22">
        <f>IF($D1285="","",IF(COUNTIF($D$2:$D1285,$D1285)&gt;1,"Trùng",""))</f>
        <v/>
      </c>
      <c r="S1285" s="22">
        <f>IF($D1285="","",IF(AND(LEN($D1285)=10,LEFT($D1285,1)="0",ISNUMBER(--$D1285)),"Có","Không"))</f>
        <v/>
      </c>
      <c r="T1285" s="22">
        <f>IF($D1285="","",IF(AND($C1285&lt;&gt;"",$Q1285="Có",$R1285="",$S1285="Có",AND($L1285&lt;&gt;"",OR($L1285&lt;&gt;"Chưa xác định",DANH_MUC!$L$9="Có"))),"Có","Không"))</f>
        <v/>
      </c>
      <c r="U1285" s="22">
        <f>IF(OR($D1285="",$T1285="Có"),"",IF($C1285="","Thiếu họ tên; ","")&amp;IF($S1285&lt;&gt;"Có","SĐT sai định dạng; ","")&amp;IF($R1285="Trùng","Trùng SĐT; ","")&amp;IF($Q1285&lt;&gt;"Có","Thiếu đồng ý bắt buộc; ","")&amp;IF($L1285="","Thiếu/sai Mã REF; ",IF(AND($L1285="Chưa xác định",DANH_MUC!$L$9&lt;&gt;"Có"),"Nguồn chưa xác định; ","")))</f>
        <v/>
      </c>
      <c r="V1285" s="22">
        <f>IF(OR($D1285="",$R1285="Trùng"),"",IF(COUNTIF(ORDERS!$C$2:$C$4995,$D1285)&gt;0,"Có","Không"))</f>
        <v/>
      </c>
      <c r="W1285" s="22">
        <f>IF(OR($D1285="",$R1285="Trùng"),"",COUNTIFS(ORDERS!$C$2:$C$4995,$D1285,ORDERS!$L$2:$L$4995,"Đã chuyển khoản"))</f>
        <v/>
      </c>
      <c r="X1285" s="23">
        <f>IF(OR($D1285="",$R1285="Trùng"),"",SUMIFS(ORDERS!$J$2:$J$4995,ORDERS!$C$2:$C$4995,$D1285,ORDERS!$L$2:$L$4995,"Đã chuyển khoản"))</f>
        <v/>
      </c>
      <c r="Y1285" s="24" t="n"/>
    </row>
    <row r="1286" ht="14.25" customHeight="1" s="40">
      <c r="A1286" s="24" t="n"/>
      <c r="B1286" s="27" t="n"/>
      <c r="C1286" s="24" t="n"/>
      <c r="D1286" s="28" t="n"/>
      <c r="E1286" s="29" t="n"/>
      <c r="F1286" s="24" t="n"/>
      <c r="G1286" s="24" t="n"/>
      <c r="H1286" s="21">
        <f>IF(ISNUMBER($B1286),INT($B1286)-WEEKDAY($B1286,2)+1,"")</f>
        <v/>
      </c>
      <c r="I1286" s="24" t="n"/>
      <c r="J1286" s="22">
        <f t="array" ref="J1286">IF($D1286="","",IF($I1286="","(trống REF)",IFERROR(INDEX(MASTER_SOURCE!$B$2:$B$495,MATCH($I1286,MASTER_SOURCE!$A$2:$A$495,0)),"(REF không có trong MASTER_SOURCE)")))</f>
        <v/>
      </c>
      <c r="K1286" s="22">
        <f t="array" ref="K1286">IF($D1286="","",IFERROR(INDEX(MASTER_SOURCE!$C$2:$C$495,MATCH($I1286,MASTER_SOURCE!$A$2:$A$495,0)),""))</f>
        <v/>
      </c>
      <c r="L1286" s="22">
        <f t="array" ref="L1286">IF($D1286="","",IFERROR(INDEX(MASTER_SOURCE!$D$2:$D$495,MATCH($I1286,MASTER_SOURCE!$A$2:$A$495,0)),""))</f>
        <v/>
      </c>
      <c r="M1286" s="24" t="n"/>
      <c r="N1286" s="24" t="n"/>
      <c r="O1286" s="24" t="n"/>
      <c r="P1286" s="24" t="n"/>
      <c r="Q1286" s="22">
        <f>IF($D1286="","",IF(AND(OR(DANH_MUC!$L$5&lt;&gt;"Có",M1286="Có"),OR(DANH_MUC!$L$6&lt;&gt;"Có",N1286="Có"),OR(DANH_MUC!$L$7&lt;&gt;"Có",O1286="Có"),OR(DANH_MUC!$L$8&lt;&gt;"Có",P1286="Có")),"Có","Không"))</f>
        <v/>
      </c>
      <c r="R1286" s="22">
        <f>IF($D1286="","",IF(COUNTIF($D$2:$D1286,$D1286)&gt;1,"Trùng",""))</f>
        <v/>
      </c>
      <c r="S1286" s="22">
        <f>IF($D1286="","",IF(AND(LEN($D1286)=10,LEFT($D1286,1)="0",ISNUMBER(--$D1286)),"Có","Không"))</f>
        <v/>
      </c>
      <c r="T1286" s="22">
        <f>IF($D1286="","",IF(AND($C1286&lt;&gt;"",$Q1286="Có",$R1286="",$S1286="Có",AND($L1286&lt;&gt;"",OR($L1286&lt;&gt;"Chưa xác định",DANH_MUC!$L$9="Có"))),"Có","Không"))</f>
        <v/>
      </c>
      <c r="U1286" s="22">
        <f>IF(OR($D1286="",$T1286="Có"),"",IF($C1286="","Thiếu họ tên; ","")&amp;IF($S1286&lt;&gt;"Có","SĐT sai định dạng; ","")&amp;IF($R1286="Trùng","Trùng SĐT; ","")&amp;IF($Q1286&lt;&gt;"Có","Thiếu đồng ý bắt buộc; ","")&amp;IF($L1286="","Thiếu/sai Mã REF; ",IF(AND($L1286="Chưa xác định",DANH_MUC!$L$9&lt;&gt;"Có"),"Nguồn chưa xác định; ","")))</f>
        <v/>
      </c>
      <c r="V1286" s="22">
        <f>IF(OR($D1286="",$R1286="Trùng"),"",IF(COUNTIF(ORDERS!$C$2:$C$4995,$D1286)&gt;0,"Có","Không"))</f>
        <v/>
      </c>
      <c r="W1286" s="22">
        <f>IF(OR($D1286="",$R1286="Trùng"),"",COUNTIFS(ORDERS!$C$2:$C$4995,$D1286,ORDERS!$L$2:$L$4995,"Đã chuyển khoản"))</f>
        <v/>
      </c>
      <c r="X1286" s="23">
        <f>IF(OR($D1286="",$R1286="Trùng"),"",SUMIFS(ORDERS!$J$2:$J$4995,ORDERS!$C$2:$C$4995,$D1286,ORDERS!$L$2:$L$4995,"Đã chuyển khoản"))</f>
        <v/>
      </c>
      <c r="Y1286" s="24" t="n"/>
    </row>
    <row r="1287" ht="14.25" customHeight="1" s="40">
      <c r="A1287" s="24" t="n"/>
      <c r="B1287" s="27" t="n"/>
      <c r="C1287" s="24" t="n"/>
      <c r="D1287" s="28" t="n"/>
      <c r="E1287" s="29" t="n"/>
      <c r="F1287" s="24" t="n"/>
      <c r="G1287" s="24" t="n"/>
      <c r="H1287" s="21">
        <f>IF(ISNUMBER($B1287),INT($B1287)-WEEKDAY($B1287,2)+1,"")</f>
        <v/>
      </c>
      <c r="I1287" s="24" t="n"/>
      <c r="J1287" s="22">
        <f t="array" ref="J1287">IF($D1287="","",IF($I1287="","(trống REF)",IFERROR(INDEX(MASTER_SOURCE!$B$2:$B$495,MATCH($I1287,MASTER_SOURCE!$A$2:$A$495,0)),"(REF không có trong MASTER_SOURCE)")))</f>
        <v/>
      </c>
      <c r="K1287" s="22">
        <f t="array" ref="K1287">IF($D1287="","",IFERROR(INDEX(MASTER_SOURCE!$C$2:$C$495,MATCH($I1287,MASTER_SOURCE!$A$2:$A$495,0)),""))</f>
        <v/>
      </c>
      <c r="L1287" s="22">
        <f t="array" ref="L1287">IF($D1287="","",IFERROR(INDEX(MASTER_SOURCE!$D$2:$D$495,MATCH($I1287,MASTER_SOURCE!$A$2:$A$495,0)),""))</f>
        <v/>
      </c>
      <c r="M1287" s="24" t="n"/>
      <c r="N1287" s="24" t="n"/>
      <c r="O1287" s="24" t="n"/>
      <c r="P1287" s="24" t="n"/>
      <c r="Q1287" s="22">
        <f>IF($D1287="","",IF(AND(OR(DANH_MUC!$L$5&lt;&gt;"Có",M1287="Có"),OR(DANH_MUC!$L$6&lt;&gt;"Có",N1287="Có"),OR(DANH_MUC!$L$7&lt;&gt;"Có",O1287="Có"),OR(DANH_MUC!$L$8&lt;&gt;"Có",P1287="Có")),"Có","Không"))</f>
        <v/>
      </c>
      <c r="R1287" s="22">
        <f>IF($D1287="","",IF(COUNTIF($D$2:$D1287,$D1287)&gt;1,"Trùng",""))</f>
        <v/>
      </c>
      <c r="S1287" s="22">
        <f>IF($D1287="","",IF(AND(LEN($D1287)=10,LEFT($D1287,1)="0",ISNUMBER(--$D1287)),"Có","Không"))</f>
        <v/>
      </c>
      <c r="T1287" s="22">
        <f>IF($D1287="","",IF(AND($C1287&lt;&gt;"",$Q1287="Có",$R1287="",$S1287="Có",AND($L1287&lt;&gt;"",OR($L1287&lt;&gt;"Chưa xác định",DANH_MUC!$L$9="Có"))),"Có","Không"))</f>
        <v/>
      </c>
      <c r="U1287" s="22">
        <f>IF(OR($D1287="",$T1287="Có"),"",IF($C1287="","Thiếu họ tên; ","")&amp;IF($S1287&lt;&gt;"Có","SĐT sai định dạng; ","")&amp;IF($R1287="Trùng","Trùng SĐT; ","")&amp;IF($Q1287&lt;&gt;"Có","Thiếu đồng ý bắt buộc; ","")&amp;IF($L1287="","Thiếu/sai Mã REF; ",IF(AND($L1287="Chưa xác định",DANH_MUC!$L$9&lt;&gt;"Có"),"Nguồn chưa xác định; ","")))</f>
        <v/>
      </c>
      <c r="V1287" s="22">
        <f>IF(OR($D1287="",$R1287="Trùng"),"",IF(COUNTIF(ORDERS!$C$2:$C$4995,$D1287)&gt;0,"Có","Không"))</f>
        <v/>
      </c>
      <c r="W1287" s="22">
        <f>IF(OR($D1287="",$R1287="Trùng"),"",COUNTIFS(ORDERS!$C$2:$C$4995,$D1287,ORDERS!$L$2:$L$4995,"Đã chuyển khoản"))</f>
        <v/>
      </c>
      <c r="X1287" s="23">
        <f>IF(OR($D1287="",$R1287="Trùng"),"",SUMIFS(ORDERS!$J$2:$J$4995,ORDERS!$C$2:$C$4995,$D1287,ORDERS!$L$2:$L$4995,"Đã chuyển khoản"))</f>
        <v/>
      </c>
      <c r="Y1287" s="24" t="n"/>
    </row>
    <row r="1288" ht="14.25" customHeight="1" s="40">
      <c r="A1288" s="24" t="n"/>
      <c r="B1288" s="27" t="n"/>
      <c r="C1288" s="24" t="n"/>
      <c r="D1288" s="28" t="n"/>
      <c r="E1288" s="29" t="n"/>
      <c r="F1288" s="24" t="n"/>
      <c r="G1288" s="24" t="n"/>
      <c r="H1288" s="21">
        <f>IF(ISNUMBER($B1288),INT($B1288)-WEEKDAY($B1288,2)+1,"")</f>
        <v/>
      </c>
      <c r="I1288" s="24" t="n"/>
      <c r="J1288" s="22">
        <f t="array" ref="J1288">IF($D1288="","",IF($I1288="","(trống REF)",IFERROR(INDEX(MASTER_SOURCE!$B$2:$B$495,MATCH($I1288,MASTER_SOURCE!$A$2:$A$495,0)),"(REF không có trong MASTER_SOURCE)")))</f>
        <v/>
      </c>
      <c r="K1288" s="22">
        <f t="array" ref="K1288">IF($D1288="","",IFERROR(INDEX(MASTER_SOURCE!$C$2:$C$495,MATCH($I1288,MASTER_SOURCE!$A$2:$A$495,0)),""))</f>
        <v/>
      </c>
      <c r="L1288" s="22">
        <f t="array" ref="L1288">IF($D1288="","",IFERROR(INDEX(MASTER_SOURCE!$D$2:$D$495,MATCH($I1288,MASTER_SOURCE!$A$2:$A$495,0)),""))</f>
        <v/>
      </c>
      <c r="M1288" s="24" t="n"/>
      <c r="N1288" s="24" t="n"/>
      <c r="O1288" s="24" t="n"/>
      <c r="P1288" s="24" t="n"/>
      <c r="Q1288" s="22">
        <f>IF($D1288="","",IF(AND(OR(DANH_MUC!$L$5&lt;&gt;"Có",M1288="Có"),OR(DANH_MUC!$L$6&lt;&gt;"Có",N1288="Có"),OR(DANH_MUC!$L$7&lt;&gt;"Có",O1288="Có"),OR(DANH_MUC!$L$8&lt;&gt;"Có",P1288="Có")),"Có","Không"))</f>
        <v/>
      </c>
      <c r="R1288" s="22">
        <f>IF($D1288="","",IF(COUNTIF($D$2:$D1288,$D1288)&gt;1,"Trùng",""))</f>
        <v/>
      </c>
      <c r="S1288" s="22">
        <f>IF($D1288="","",IF(AND(LEN($D1288)=10,LEFT($D1288,1)="0",ISNUMBER(--$D1288)),"Có","Không"))</f>
        <v/>
      </c>
      <c r="T1288" s="22">
        <f>IF($D1288="","",IF(AND($C1288&lt;&gt;"",$Q1288="Có",$R1288="",$S1288="Có",AND($L1288&lt;&gt;"",OR($L1288&lt;&gt;"Chưa xác định",DANH_MUC!$L$9="Có"))),"Có","Không"))</f>
        <v/>
      </c>
      <c r="U1288" s="22">
        <f>IF(OR($D1288="",$T1288="Có"),"",IF($C1288="","Thiếu họ tên; ","")&amp;IF($S1288&lt;&gt;"Có","SĐT sai định dạng; ","")&amp;IF($R1288="Trùng","Trùng SĐT; ","")&amp;IF($Q1288&lt;&gt;"Có","Thiếu đồng ý bắt buộc; ","")&amp;IF($L1288="","Thiếu/sai Mã REF; ",IF(AND($L1288="Chưa xác định",DANH_MUC!$L$9&lt;&gt;"Có"),"Nguồn chưa xác định; ","")))</f>
        <v/>
      </c>
      <c r="V1288" s="22">
        <f>IF(OR($D1288="",$R1288="Trùng"),"",IF(COUNTIF(ORDERS!$C$2:$C$4995,$D1288)&gt;0,"Có","Không"))</f>
        <v/>
      </c>
      <c r="W1288" s="22">
        <f>IF(OR($D1288="",$R1288="Trùng"),"",COUNTIFS(ORDERS!$C$2:$C$4995,$D1288,ORDERS!$L$2:$L$4995,"Đã chuyển khoản"))</f>
        <v/>
      </c>
      <c r="X1288" s="23">
        <f>IF(OR($D1288="",$R1288="Trùng"),"",SUMIFS(ORDERS!$J$2:$J$4995,ORDERS!$C$2:$C$4995,$D1288,ORDERS!$L$2:$L$4995,"Đã chuyển khoản"))</f>
        <v/>
      </c>
      <c r="Y1288" s="24" t="n"/>
    </row>
    <row r="1289" ht="14.25" customHeight="1" s="40">
      <c r="A1289" s="24" t="n"/>
      <c r="B1289" s="27" t="n"/>
      <c r="C1289" s="24" t="n"/>
      <c r="D1289" s="28" t="n"/>
      <c r="E1289" s="29" t="n"/>
      <c r="F1289" s="24" t="n"/>
      <c r="G1289" s="24" t="n"/>
      <c r="H1289" s="21">
        <f>IF(ISNUMBER($B1289),INT($B1289)-WEEKDAY($B1289,2)+1,"")</f>
        <v/>
      </c>
      <c r="I1289" s="24" t="n"/>
      <c r="J1289" s="22">
        <f t="array" ref="J1289">IF($D1289="","",IF($I1289="","(trống REF)",IFERROR(INDEX(MASTER_SOURCE!$B$2:$B$495,MATCH($I1289,MASTER_SOURCE!$A$2:$A$495,0)),"(REF không có trong MASTER_SOURCE)")))</f>
        <v/>
      </c>
      <c r="K1289" s="22">
        <f t="array" ref="K1289">IF($D1289="","",IFERROR(INDEX(MASTER_SOURCE!$C$2:$C$495,MATCH($I1289,MASTER_SOURCE!$A$2:$A$495,0)),""))</f>
        <v/>
      </c>
      <c r="L1289" s="22">
        <f t="array" ref="L1289">IF($D1289="","",IFERROR(INDEX(MASTER_SOURCE!$D$2:$D$495,MATCH($I1289,MASTER_SOURCE!$A$2:$A$495,0)),""))</f>
        <v/>
      </c>
      <c r="M1289" s="24" t="n"/>
      <c r="N1289" s="24" t="n"/>
      <c r="O1289" s="24" t="n"/>
      <c r="P1289" s="24" t="n"/>
      <c r="Q1289" s="22">
        <f>IF($D1289="","",IF(AND(OR(DANH_MUC!$L$5&lt;&gt;"Có",M1289="Có"),OR(DANH_MUC!$L$6&lt;&gt;"Có",N1289="Có"),OR(DANH_MUC!$L$7&lt;&gt;"Có",O1289="Có"),OR(DANH_MUC!$L$8&lt;&gt;"Có",P1289="Có")),"Có","Không"))</f>
        <v/>
      </c>
      <c r="R1289" s="22">
        <f>IF($D1289="","",IF(COUNTIF($D$2:$D1289,$D1289)&gt;1,"Trùng",""))</f>
        <v/>
      </c>
      <c r="S1289" s="22">
        <f>IF($D1289="","",IF(AND(LEN($D1289)=10,LEFT($D1289,1)="0",ISNUMBER(--$D1289)),"Có","Không"))</f>
        <v/>
      </c>
      <c r="T1289" s="22">
        <f>IF($D1289="","",IF(AND($C1289&lt;&gt;"",$Q1289="Có",$R1289="",$S1289="Có",AND($L1289&lt;&gt;"",OR($L1289&lt;&gt;"Chưa xác định",DANH_MUC!$L$9="Có"))),"Có","Không"))</f>
        <v/>
      </c>
      <c r="U1289" s="22">
        <f>IF(OR($D1289="",$T1289="Có"),"",IF($C1289="","Thiếu họ tên; ","")&amp;IF($S1289&lt;&gt;"Có","SĐT sai định dạng; ","")&amp;IF($R1289="Trùng","Trùng SĐT; ","")&amp;IF($Q1289&lt;&gt;"Có","Thiếu đồng ý bắt buộc; ","")&amp;IF($L1289="","Thiếu/sai Mã REF; ",IF(AND($L1289="Chưa xác định",DANH_MUC!$L$9&lt;&gt;"Có"),"Nguồn chưa xác định; ","")))</f>
        <v/>
      </c>
      <c r="V1289" s="22">
        <f>IF(OR($D1289="",$R1289="Trùng"),"",IF(COUNTIF(ORDERS!$C$2:$C$4995,$D1289)&gt;0,"Có","Không"))</f>
        <v/>
      </c>
      <c r="W1289" s="22">
        <f>IF(OR($D1289="",$R1289="Trùng"),"",COUNTIFS(ORDERS!$C$2:$C$4995,$D1289,ORDERS!$L$2:$L$4995,"Đã chuyển khoản"))</f>
        <v/>
      </c>
      <c r="X1289" s="23">
        <f>IF(OR($D1289="",$R1289="Trùng"),"",SUMIFS(ORDERS!$J$2:$J$4995,ORDERS!$C$2:$C$4995,$D1289,ORDERS!$L$2:$L$4995,"Đã chuyển khoản"))</f>
        <v/>
      </c>
      <c r="Y1289" s="24" t="n"/>
    </row>
    <row r="1290" ht="14.25" customHeight="1" s="40">
      <c r="A1290" s="24" t="n"/>
      <c r="B1290" s="27" t="n"/>
      <c r="C1290" s="24" t="n"/>
      <c r="D1290" s="28" t="n"/>
      <c r="E1290" s="29" t="n"/>
      <c r="F1290" s="24" t="n"/>
      <c r="G1290" s="24" t="n"/>
      <c r="H1290" s="21">
        <f>IF(ISNUMBER($B1290),INT($B1290)-WEEKDAY($B1290,2)+1,"")</f>
        <v/>
      </c>
      <c r="I1290" s="24" t="n"/>
      <c r="J1290" s="22">
        <f t="array" ref="J1290">IF($D1290="","",IF($I1290="","(trống REF)",IFERROR(INDEX(MASTER_SOURCE!$B$2:$B$495,MATCH($I1290,MASTER_SOURCE!$A$2:$A$495,0)),"(REF không có trong MASTER_SOURCE)")))</f>
        <v/>
      </c>
      <c r="K1290" s="22">
        <f t="array" ref="K1290">IF($D1290="","",IFERROR(INDEX(MASTER_SOURCE!$C$2:$C$495,MATCH($I1290,MASTER_SOURCE!$A$2:$A$495,0)),""))</f>
        <v/>
      </c>
      <c r="L1290" s="22">
        <f t="array" ref="L1290">IF($D1290="","",IFERROR(INDEX(MASTER_SOURCE!$D$2:$D$495,MATCH($I1290,MASTER_SOURCE!$A$2:$A$495,0)),""))</f>
        <v/>
      </c>
      <c r="M1290" s="24" t="n"/>
      <c r="N1290" s="24" t="n"/>
      <c r="O1290" s="24" t="n"/>
      <c r="P1290" s="24" t="n"/>
      <c r="Q1290" s="22">
        <f>IF($D1290="","",IF(AND(OR(DANH_MUC!$L$5&lt;&gt;"Có",M1290="Có"),OR(DANH_MUC!$L$6&lt;&gt;"Có",N1290="Có"),OR(DANH_MUC!$L$7&lt;&gt;"Có",O1290="Có"),OR(DANH_MUC!$L$8&lt;&gt;"Có",P1290="Có")),"Có","Không"))</f>
        <v/>
      </c>
      <c r="R1290" s="22">
        <f>IF($D1290="","",IF(COUNTIF($D$2:$D1290,$D1290)&gt;1,"Trùng",""))</f>
        <v/>
      </c>
      <c r="S1290" s="22">
        <f>IF($D1290="","",IF(AND(LEN($D1290)=10,LEFT($D1290,1)="0",ISNUMBER(--$D1290)),"Có","Không"))</f>
        <v/>
      </c>
      <c r="T1290" s="22">
        <f>IF($D1290="","",IF(AND($C1290&lt;&gt;"",$Q1290="Có",$R1290="",$S1290="Có",AND($L1290&lt;&gt;"",OR($L1290&lt;&gt;"Chưa xác định",DANH_MUC!$L$9="Có"))),"Có","Không"))</f>
        <v/>
      </c>
      <c r="U1290" s="22">
        <f>IF(OR($D1290="",$T1290="Có"),"",IF($C1290="","Thiếu họ tên; ","")&amp;IF($S1290&lt;&gt;"Có","SĐT sai định dạng; ","")&amp;IF($R1290="Trùng","Trùng SĐT; ","")&amp;IF($Q1290&lt;&gt;"Có","Thiếu đồng ý bắt buộc; ","")&amp;IF($L1290="","Thiếu/sai Mã REF; ",IF(AND($L1290="Chưa xác định",DANH_MUC!$L$9&lt;&gt;"Có"),"Nguồn chưa xác định; ","")))</f>
        <v/>
      </c>
      <c r="V1290" s="22">
        <f>IF(OR($D1290="",$R1290="Trùng"),"",IF(COUNTIF(ORDERS!$C$2:$C$4995,$D1290)&gt;0,"Có","Không"))</f>
        <v/>
      </c>
      <c r="W1290" s="22">
        <f>IF(OR($D1290="",$R1290="Trùng"),"",COUNTIFS(ORDERS!$C$2:$C$4995,$D1290,ORDERS!$L$2:$L$4995,"Đã chuyển khoản"))</f>
        <v/>
      </c>
      <c r="X1290" s="23">
        <f>IF(OR($D1290="",$R1290="Trùng"),"",SUMIFS(ORDERS!$J$2:$J$4995,ORDERS!$C$2:$C$4995,$D1290,ORDERS!$L$2:$L$4995,"Đã chuyển khoản"))</f>
        <v/>
      </c>
      <c r="Y1290" s="24" t="n"/>
    </row>
    <row r="1291" ht="14.25" customHeight="1" s="40">
      <c r="A1291" s="24" t="n"/>
      <c r="B1291" s="27" t="n"/>
      <c r="C1291" s="24" t="n"/>
      <c r="D1291" s="28" t="n"/>
      <c r="E1291" s="29" t="n"/>
      <c r="F1291" s="24" t="n"/>
      <c r="G1291" s="24" t="n"/>
      <c r="H1291" s="21">
        <f>IF(ISNUMBER($B1291),INT($B1291)-WEEKDAY($B1291,2)+1,"")</f>
        <v/>
      </c>
      <c r="I1291" s="24" t="n"/>
      <c r="J1291" s="22">
        <f t="array" ref="J1291">IF($D1291="","",IF($I1291="","(trống REF)",IFERROR(INDEX(MASTER_SOURCE!$B$2:$B$495,MATCH($I1291,MASTER_SOURCE!$A$2:$A$495,0)),"(REF không có trong MASTER_SOURCE)")))</f>
        <v/>
      </c>
      <c r="K1291" s="22">
        <f t="array" ref="K1291">IF($D1291="","",IFERROR(INDEX(MASTER_SOURCE!$C$2:$C$495,MATCH($I1291,MASTER_SOURCE!$A$2:$A$495,0)),""))</f>
        <v/>
      </c>
      <c r="L1291" s="22">
        <f t="array" ref="L1291">IF($D1291="","",IFERROR(INDEX(MASTER_SOURCE!$D$2:$D$495,MATCH($I1291,MASTER_SOURCE!$A$2:$A$495,0)),""))</f>
        <v/>
      </c>
      <c r="M1291" s="24" t="n"/>
      <c r="N1291" s="24" t="n"/>
      <c r="O1291" s="24" t="n"/>
      <c r="P1291" s="24" t="n"/>
      <c r="Q1291" s="22">
        <f>IF($D1291="","",IF(AND(OR(DANH_MUC!$L$5&lt;&gt;"Có",M1291="Có"),OR(DANH_MUC!$L$6&lt;&gt;"Có",N1291="Có"),OR(DANH_MUC!$L$7&lt;&gt;"Có",O1291="Có"),OR(DANH_MUC!$L$8&lt;&gt;"Có",P1291="Có")),"Có","Không"))</f>
        <v/>
      </c>
      <c r="R1291" s="22">
        <f>IF($D1291="","",IF(COUNTIF($D$2:$D1291,$D1291)&gt;1,"Trùng",""))</f>
        <v/>
      </c>
      <c r="S1291" s="22">
        <f>IF($D1291="","",IF(AND(LEN($D1291)=10,LEFT($D1291,1)="0",ISNUMBER(--$D1291)),"Có","Không"))</f>
        <v/>
      </c>
      <c r="T1291" s="22">
        <f>IF($D1291="","",IF(AND($C1291&lt;&gt;"",$Q1291="Có",$R1291="",$S1291="Có",AND($L1291&lt;&gt;"",OR($L1291&lt;&gt;"Chưa xác định",DANH_MUC!$L$9="Có"))),"Có","Không"))</f>
        <v/>
      </c>
      <c r="U1291" s="22">
        <f>IF(OR($D1291="",$T1291="Có"),"",IF($C1291="","Thiếu họ tên; ","")&amp;IF($S1291&lt;&gt;"Có","SĐT sai định dạng; ","")&amp;IF($R1291="Trùng","Trùng SĐT; ","")&amp;IF($Q1291&lt;&gt;"Có","Thiếu đồng ý bắt buộc; ","")&amp;IF($L1291="","Thiếu/sai Mã REF; ",IF(AND($L1291="Chưa xác định",DANH_MUC!$L$9&lt;&gt;"Có"),"Nguồn chưa xác định; ","")))</f>
        <v/>
      </c>
      <c r="V1291" s="22">
        <f>IF(OR($D1291="",$R1291="Trùng"),"",IF(COUNTIF(ORDERS!$C$2:$C$4995,$D1291)&gt;0,"Có","Không"))</f>
        <v/>
      </c>
      <c r="W1291" s="22">
        <f>IF(OR($D1291="",$R1291="Trùng"),"",COUNTIFS(ORDERS!$C$2:$C$4995,$D1291,ORDERS!$L$2:$L$4995,"Đã chuyển khoản"))</f>
        <v/>
      </c>
      <c r="X1291" s="23">
        <f>IF(OR($D1291="",$R1291="Trùng"),"",SUMIFS(ORDERS!$J$2:$J$4995,ORDERS!$C$2:$C$4995,$D1291,ORDERS!$L$2:$L$4995,"Đã chuyển khoản"))</f>
        <v/>
      </c>
      <c r="Y1291" s="24" t="n"/>
    </row>
    <row r="1292" ht="14.25" customHeight="1" s="40">
      <c r="A1292" s="24" t="n"/>
      <c r="B1292" s="27" t="n"/>
      <c r="C1292" s="24" t="n"/>
      <c r="D1292" s="28" t="n"/>
      <c r="E1292" s="29" t="n"/>
      <c r="F1292" s="24" t="n"/>
      <c r="G1292" s="24" t="n"/>
      <c r="H1292" s="21">
        <f>IF(ISNUMBER($B1292),INT($B1292)-WEEKDAY($B1292,2)+1,"")</f>
        <v/>
      </c>
      <c r="I1292" s="24" t="n"/>
      <c r="J1292" s="22">
        <f t="array" ref="J1292">IF($D1292="","",IF($I1292="","(trống REF)",IFERROR(INDEX(MASTER_SOURCE!$B$2:$B$495,MATCH($I1292,MASTER_SOURCE!$A$2:$A$495,0)),"(REF không có trong MASTER_SOURCE)")))</f>
        <v/>
      </c>
      <c r="K1292" s="22">
        <f t="array" ref="K1292">IF($D1292="","",IFERROR(INDEX(MASTER_SOURCE!$C$2:$C$495,MATCH($I1292,MASTER_SOURCE!$A$2:$A$495,0)),""))</f>
        <v/>
      </c>
      <c r="L1292" s="22">
        <f t="array" ref="L1292">IF($D1292="","",IFERROR(INDEX(MASTER_SOURCE!$D$2:$D$495,MATCH($I1292,MASTER_SOURCE!$A$2:$A$495,0)),""))</f>
        <v/>
      </c>
      <c r="M1292" s="24" t="n"/>
      <c r="N1292" s="24" t="n"/>
      <c r="O1292" s="24" t="n"/>
      <c r="P1292" s="24" t="n"/>
      <c r="Q1292" s="22">
        <f>IF($D1292="","",IF(AND(OR(DANH_MUC!$L$5&lt;&gt;"Có",M1292="Có"),OR(DANH_MUC!$L$6&lt;&gt;"Có",N1292="Có"),OR(DANH_MUC!$L$7&lt;&gt;"Có",O1292="Có"),OR(DANH_MUC!$L$8&lt;&gt;"Có",P1292="Có")),"Có","Không"))</f>
        <v/>
      </c>
      <c r="R1292" s="22">
        <f>IF($D1292="","",IF(COUNTIF($D$2:$D1292,$D1292)&gt;1,"Trùng",""))</f>
        <v/>
      </c>
      <c r="S1292" s="22">
        <f>IF($D1292="","",IF(AND(LEN($D1292)=10,LEFT($D1292,1)="0",ISNUMBER(--$D1292)),"Có","Không"))</f>
        <v/>
      </c>
      <c r="T1292" s="22">
        <f>IF($D1292="","",IF(AND($C1292&lt;&gt;"",$Q1292="Có",$R1292="",$S1292="Có",AND($L1292&lt;&gt;"",OR($L1292&lt;&gt;"Chưa xác định",DANH_MUC!$L$9="Có"))),"Có","Không"))</f>
        <v/>
      </c>
      <c r="U1292" s="22">
        <f>IF(OR($D1292="",$T1292="Có"),"",IF($C1292="","Thiếu họ tên; ","")&amp;IF($S1292&lt;&gt;"Có","SĐT sai định dạng; ","")&amp;IF($R1292="Trùng","Trùng SĐT; ","")&amp;IF($Q1292&lt;&gt;"Có","Thiếu đồng ý bắt buộc; ","")&amp;IF($L1292="","Thiếu/sai Mã REF; ",IF(AND($L1292="Chưa xác định",DANH_MUC!$L$9&lt;&gt;"Có"),"Nguồn chưa xác định; ","")))</f>
        <v/>
      </c>
      <c r="V1292" s="22">
        <f>IF(OR($D1292="",$R1292="Trùng"),"",IF(COUNTIF(ORDERS!$C$2:$C$4995,$D1292)&gt;0,"Có","Không"))</f>
        <v/>
      </c>
      <c r="W1292" s="22">
        <f>IF(OR($D1292="",$R1292="Trùng"),"",COUNTIFS(ORDERS!$C$2:$C$4995,$D1292,ORDERS!$L$2:$L$4995,"Đã chuyển khoản"))</f>
        <v/>
      </c>
      <c r="X1292" s="23">
        <f>IF(OR($D1292="",$R1292="Trùng"),"",SUMIFS(ORDERS!$J$2:$J$4995,ORDERS!$C$2:$C$4995,$D1292,ORDERS!$L$2:$L$4995,"Đã chuyển khoản"))</f>
        <v/>
      </c>
      <c r="Y1292" s="24" t="n"/>
    </row>
    <row r="1293" ht="14.25" customHeight="1" s="40">
      <c r="A1293" s="24" t="n"/>
      <c r="B1293" s="27" t="n"/>
      <c r="C1293" s="24" t="n"/>
      <c r="D1293" s="28" t="n"/>
      <c r="E1293" s="29" t="n"/>
      <c r="F1293" s="24" t="n"/>
      <c r="G1293" s="24" t="n"/>
      <c r="H1293" s="21">
        <f>IF(ISNUMBER($B1293),INT($B1293)-WEEKDAY($B1293,2)+1,"")</f>
        <v/>
      </c>
      <c r="I1293" s="24" t="n"/>
      <c r="J1293" s="22">
        <f t="array" ref="J1293">IF($D1293="","",IF($I1293="","(trống REF)",IFERROR(INDEX(MASTER_SOURCE!$B$2:$B$495,MATCH($I1293,MASTER_SOURCE!$A$2:$A$495,0)),"(REF không có trong MASTER_SOURCE)")))</f>
        <v/>
      </c>
      <c r="K1293" s="22">
        <f t="array" ref="K1293">IF($D1293="","",IFERROR(INDEX(MASTER_SOURCE!$C$2:$C$495,MATCH($I1293,MASTER_SOURCE!$A$2:$A$495,0)),""))</f>
        <v/>
      </c>
      <c r="L1293" s="22">
        <f t="array" ref="L1293">IF($D1293="","",IFERROR(INDEX(MASTER_SOURCE!$D$2:$D$495,MATCH($I1293,MASTER_SOURCE!$A$2:$A$495,0)),""))</f>
        <v/>
      </c>
      <c r="M1293" s="24" t="n"/>
      <c r="N1293" s="24" t="n"/>
      <c r="O1293" s="24" t="n"/>
      <c r="P1293" s="24" t="n"/>
      <c r="Q1293" s="22">
        <f>IF($D1293="","",IF(AND(OR(DANH_MUC!$L$5&lt;&gt;"Có",M1293="Có"),OR(DANH_MUC!$L$6&lt;&gt;"Có",N1293="Có"),OR(DANH_MUC!$L$7&lt;&gt;"Có",O1293="Có"),OR(DANH_MUC!$L$8&lt;&gt;"Có",P1293="Có")),"Có","Không"))</f>
        <v/>
      </c>
      <c r="R1293" s="22">
        <f>IF($D1293="","",IF(COUNTIF($D$2:$D1293,$D1293)&gt;1,"Trùng",""))</f>
        <v/>
      </c>
      <c r="S1293" s="22">
        <f>IF($D1293="","",IF(AND(LEN($D1293)=10,LEFT($D1293,1)="0",ISNUMBER(--$D1293)),"Có","Không"))</f>
        <v/>
      </c>
      <c r="T1293" s="22">
        <f>IF($D1293="","",IF(AND($C1293&lt;&gt;"",$Q1293="Có",$R1293="",$S1293="Có",AND($L1293&lt;&gt;"",OR($L1293&lt;&gt;"Chưa xác định",DANH_MUC!$L$9="Có"))),"Có","Không"))</f>
        <v/>
      </c>
      <c r="U1293" s="22">
        <f>IF(OR($D1293="",$T1293="Có"),"",IF($C1293="","Thiếu họ tên; ","")&amp;IF($S1293&lt;&gt;"Có","SĐT sai định dạng; ","")&amp;IF($R1293="Trùng","Trùng SĐT; ","")&amp;IF($Q1293&lt;&gt;"Có","Thiếu đồng ý bắt buộc; ","")&amp;IF($L1293="","Thiếu/sai Mã REF; ",IF(AND($L1293="Chưa xác định",DANH_MUC!$L$9&lt;&gt;"Có"),"Nguồn chưa xác định; ","")))</f>
        <v/>
      </c>
      <c r="V1293" s="22">
        <f>IF(OR($D1293="",$R1293="Trùng"),"",IF(COUNTIF(ORDERS!$C$2:$C$4995,$D1293)&gt;0,"Có","Không"))</f>
        <v/>
      </c>
      <c r="W1293" s="22">
        <f>IF(OR($D1293="",$R1293="Trùng"),"",COUNTIFS(ORDERS!$C$2:$C$4995,$D1293,ORDERS!$L$2:$L$4995,"Đã chuyển khoản"))</f>
        <v/>
      </c>
      <c r="X1293" s="23">
        <f>IF(OR($D1293="",$R1293="Trùng"),"",SUMIFS(ORDERS!$J$2:$J$4995,ORDERS!$C$2:$C$4995,$D1293,ORDERS!$L$2:$L$4995,"Đã chuyển khoản"))</f>
        <v/>
      </c>
      <c r="Y1293" s="24" t="n"/>
    </row>
    <row r="1294" ht="14.25" customHeight="1" s="40">
      <c r="A1294" s="24" t="n"/>
      <c r="B1294" s="27" t="n"/>
      <c r="C1294" s="24" t="n"/>
      <c r="D1294" s="28" t="n"/>
      <c r="E1294" s="29" t="n"/>
      <c r="F1294" s="24" t="n"/>
      <c r="G1294" s="24" t="n"/>
      <c r="H1294" s="21">
        <f>IF(ISNUMBER($B1294),INT($B1294)-WEEKDAY($B1294,2)+1,"")</f>
        <v/>
      </c>
      <c r="I1294" s="24" t="n"/>
      <c r="J1294" s="22">
        <f t="array" ref="J1294">IF($D1294="","",IF($I1294="","(trống REF)",IFERROR(INDEX(MASTER_SOURCE!$B$2:$B$495,MATCH($I1294,MASTER_SOURCE!$A$2:$A$495,0)),"(REF không có trong MASTER_SOURCE)")))</f>
        <v/>
      </c>
      <c r="K1294" s="22">
        <f t="array" ref="K1294">IF($D1294="","",IFERROR(INDEX(MASTER_SOURCE!$C$2:$C$495,MATCH($I1294,MASTER_SOURCE!$A$2:$A$495,0)),""))</f>
        <v/>
      </c>
      <c r="L1294" s="22">
        <f t="array" ref="L1294">IF($D1294="","",IFERROR(INDEX(MASTER_SOURCE!$D$2:$D$495,MATCH($I1294,MASTER_SOURCE!$A$2:$A$495,0)),""))</f>
        <v/>
      </c>
      <c r="M1294" s="24" t="n"/>
      <c r="N1294" s="24" t="n"/>
      <c r="O1294" s="24" t="n"/>
      <c r="P1294" s="24" t="n"/>
      <c r="Q1294" s="22">
        <f>IF($D1294="","",IF(AND(OR(DANH_MUC!$L$5&lt;&gt;"Có",M1294="Có"),OR(DANH_MUC!$L$6&lt;&gt;"Có",N1294="Có"),OR(DANH_MUC!$L$7&lt;&gt;"Có",O1294="Có"),OR(DANH_MUC!$L$8&lt;&gt;"Có",P1294="Có")),"Có","Không"))</f>
        <v/>
      </c>
      <c r="R1294" s="22">
        <f>IF($D1294="","",IF(COUNTIF($D$2:$D1294,$D1294)&gt;1,"Trùng",""))</f>
        <v/>
      </c>
      <c r="S1294" s="22">
        <f>IF($D1294="","",IF(AND(LEN($D1294)=10,LEFT($D1294,1)="0",ISNUMBER(--$D1294)),"Có","Không"))</f>
        <v/>
      </c>
      <c r="T1294" s="22">
        <f>IF($D1294="","",IF(AND($C1294&lt;&gt;"",$Q1294="Có",$R1294="",$S1294="Có",AND($L1294&lt;&gt;"",OR($L1294&lt;&gt;"Chưa xác định",DANH_MUC!$L$9="Có"))),"Có","Không"))</f>
        <v/>
      </c>
      <c r="U1294" s="22">
        <f>IF(OR($D1294="",$T1294="Có"),"",IF($C1294="","Thiếu họ tên; ","")&amp;IF($S1294&lt;&gt;"Có","SĐT sai định dạng; ","")&amp;IF($R1294="Trùng","Trùng SĐT; ","")&amp;IF($Q1294&lt;&gt;"Có","Thiếu đồng ý bắt buộc; ","")&amp;IF($L1294="","Thiếu/sai Mã REF; ",IF(AND($L1294="Chưa xác định",DANH_MUC!$L$9&lt;&gt;"Có"),"Nguồn chưa xác định; ","")))</f>
        <v/>
      </c>
      <c r="V1294" s="22">
        <f>IF(OR($D1294="",$R1294="Trùng"),"",IF(COUNTIF(ORDERS!$C$2:$C$4995,$D1294)&gt;0,"Có","Không"))</f>
        <v/>
      </c>
      <c r="W1294" s="22">
        <f>IF(OR($D1294="",$R1294="Trùng"),"",COUNTIFS(ORDERS!$C$2:$C$4995,$D1294,ORDERS!$L$2:$L$4995,"Đã chuyển khoản"))</f>
        <v/>
      </c>
      <c r="X1294" s="23">
        <f>IF(OR($D1294="",$R1294="Trùng"),"",SUMIFS(ORDERS!$J$2:$J$4995,ORDERS!$C$2:$C$4995,$D1294,ORDERS!$L$2:$L$4995,"Đã chuyển khoản"))</f>
        <v/>
      </c>
      <c r="Y1294" s="24" t="n"/>
    </row>
    <row r="1295" ht="14.25" customHeight="1" s="40">
      <c r="A1295" s="24" t="n"/>
      <c r="B1295" s="27" t="n"/>
      <c r="C1295" s="24" t="n"/>
      <c r="D1295" s="28" t="n"/>
      <c r="E1295" s="29" t="n"/>
      <c r="F1295" s="24" t="n"/>
      <c r="G1295" s="24" t="n"/>
      <c r="H1295" s="21">
        <f>IF(ISNUMBER($B1295),INT($B1295)-WEEKDAY($B1295,2)+1,"")</f>
        <v/>
      </c>
      <c r="I1295" s="24" t="n"/>
      <c r="J1295" s="22">
        <f t="array" ref="J1295">IF($D1295="","",IF($I1295="","(trống REF)",IFERROR(INDEX(MASTER_SOURCE!$B$2:$B$495,MATCH($I1295,MASTER_SOURCE!$A$2:$A$495,0)),"(REF không có trong MASTER_SOURCE)")))</f>
        <v/>
      </c>
      <c r="K1295" s="22">
        <f t="array" ref="K1295">IF($D1295="","",IFERROR(INDEX(MASTER_SOURCE!$C$2:$C$495,MATCH($I1295,MASTER_SOURCE!$A$2:$A$495,0)),""))</f>
        <v/>
      </c>
      <c r="L1295" s="22">
        <f t="array" ref="L1295">IF($D1295="","",IFERROR(INDEX(MASTER_SOURCE!$D$2:$D$495,MATCH($I1295,MASTER_SOURCE!$A$2:$A$495,0)),""))</f>
        <v/>
      </c>
      <c r="M1295" s="24" t="n"/>
      <c r="N1295" s="24" t="n"/>
      <c r="O1295" s="24" t="n"/>
      <c r="P1295" s="24" t="n"/>
      <c r="Q1295" s="22">
        <f>IF($D1295="","",IF(AND(OR(DANH_MUC!$L$5&lt;&gt;"Có",M1295="Có"),OR(DANH_MUC!$L$6&lt;&gt;"Có",N1295="Có"),OR(DANH_MUC!$L$7&lt;&gt;"Có",O1295="Có"),OR(DANH_MUC!$L$8&lt;&gt;"Có",P1295="Có")),"Có","Không"))</f>
        <v/>
      </c>
      <c r="R1295" s="22">
        <f>IF($D1295="","",IF(COUNTIF($D$2:$D1295,$D1295)&gt;1,"Trùng",""))</f>
        <v/>
      </c>
      <c r="S1295" s="22">
        <f>IF($D1295="","",IF(AND(LEN($D1295)=10,LEFT($D1295,1)="0",ISNUMBER(--$D1295)),"Có","Không"))</f>
        <v/>
      </c>
      <c r="T1295" s="22">
        <f>IF($D1295="","",IF(AND($C1295&lt;&gt;"",$Q1295="Có",$R1295="",$S1295="Có",AND($L1295&lt;&gt;"",OR($L1295&lt;&gt;"Chưa xác định",DANH_MUC!$L$9="Có"))),"Có","Không"))</f>
        <v/>
      </c>
      <c r="U1295" s="22">
        <f>IF(OR($D1295="",$T1295="Có"),"",IF($C1295="","Thiếu họ tên; ","")&amp;IF($S1295&lt;&gt;"Có","SĐT sai định dạng; ","")&amp;IF($R1295="Trùng","Trùng SĐT; ","")&amp;IF($Q1295&lt;&gt;"Có","Thiếu đồng ý bắt buộc; ","")&amp;IF($L1295="","Thiếu/sai Mã REF; ",IF(AND($L1295="Chưa xác định",DANH_MUC!$L$9&lt;&gt;"Có"),"Nguồn chưa xác định; ","")))</f>
        <v/>
      </c>
      <c r="V1295" s="22">
        <f>IF(OR($D1295="",$R1295="Trùng"),"",IF(COUNTIF(ORDERS!$C$2:$C$4995,$D1295)&gt;0,"Có","Không"))</f>
        <v/>
      </c>
      <c r="W1295" s="22">
        <f>IF(OR($D1295="",$R1295="Trùng"),"",COUNTIFS(ORDERS!$C$2:$C$4995,$D1295,ORDERS!$L$2:$L$4995,"Đã chuyển khoản"))</f>
        <v/>
      </c>
      <c r="X1295" s="23">
        <f>IF(OR($D1295="",$R1295="Trùng"),"",SUMIFS(ORDERS!$J$2:$J$4995,ORDERS!$C$2:$C$4995,$D1295,ORDERS!$L$2:$L$4995,"Đã chuyển khoản"))</f>
        <v/>
      </c>
      <c r="Y1295" s="24" t="n"/>
    </row>
    <row r="1296" ht="14.25" customHeight="1" s="40">
      <c r="A1296" s="24" t="n"/>
      <c r="B1296" s="27" t="n"/>
      <c r="C1296" s="24" t="n"/>
      <c r="D1296" s="28" t="n"/>
      <c r="E1296" s="29" t="n"/>
      <c r="F1296" s="24" t="n"/>
      <c r="G1296" s="24" t="n"/>
      <c r="H1296" s="21">
        <f>IF(ISNUMBER($B1296),INT($B1296)-WEEKDAY($B1296,2)+1,"")</f>
        <v/>
      </c>
      <c r="I1296" s="24" t="n"/>
      <c r="J1296" s="22">
        <f t="array" ref="J1296">IF($D1296="","",IF($I1296="","(trống REF)",IFERROR(INDEX(MASTER_SOURCE!$B$2:$B$495,MATCH($I1296,MASTER_SOURCE!$A$2:$A$495,0)),"(REF không có trong MASTER_SOURCE)")))</f>
        <v/>
      </c>
      <c r="K1296" s="22">
        <f t="array" ref="K1296">IF($D1296="","",IFERROR(INDEX(MASTER_SOURCE!$C$2:$C$495,MATCH($I1296,MASTER_SOURCE!$A$2:$A$495,0)),""))</f>
        <v/>
      </c>
      <c r="L1296" s="22">
        <f t="array" ref="L1296">IF($D1296="","",IFERROR(INDEX(MASTER_SOURCE!$D$2:$D$495,MATCH($I1296,MASTER_SOURCE!$A$2:$A$495,0)),""))</f>
        <v/>
      </c>
      <c r="M1296" s="24" t="n"/>
      <c r="N1296" s="24" t="n"/>
      <c r="O1296" s="24" t="n"/>
      <c r="P1296" s="24" t="n"/>
      <c r="Q1296" s="22">
        <f>IF($D1296="","",IF(AND(OR(DANH_MUC!$L$5&lt;&gt;"Có",M1296="Có"),OR(DANH_MUC!$L$6&lt;&gt;"Có",N1296="Có"),OR(DANH_MUC!$L$7&lt;&gt;"Có",O1296="Có"),OR(DANH_MUC!$L$8&lt;&gt;"Có",P1296="Có")),"Có","Không"))</f>
        <v/>
      </c>
      <c r="R1296" s="22">
        <f>IF($D1296="","",IF(COUNTIF($D$2:$D1296,$D1296)&gt;1,"Trùng",""))</f>
        <v/>
      </c>
      <c r="S1296" s="22">
        <f>IF($D1296="","",IF(AND(LEN($D1296)=10,LEFT($D1296,1)="0",ISNUMBER(--$D1296)),"Có","Không"))</f>
        <v/>
      </c>
      <c r="T1296" s="22">
        <f>IF($D1296="","",IF(AND($C1296&lt;&gt;"",$Q1296="Có",$R1296="",$S1296="Có",AND($L1296&lt;&gt;"",OR($L1296&lt;&gt;"Chưa xác định",DANH_MUC!$L$9="Có"))),"Có","Không"))</f>
        <v/>
      </c>
      <c r="U1296" s="22">
        <f>IF(OR($D1296="",$T1296="Có"),"",IF($C1296="","Thiếu họ tên; ","")&amp;IF($S1296&lt;&gt;"Có","SĐT sai định dạng; ","")&amp;IF($R1296="Trùng","Trùng SĐT; ","")&amp;IF($Q1296&lt;&gt;"Có","Thiếu đồng ý bắt buộc; ","")&amp;IF($L1296="","Thiếu/sai Mã REF; ",IF(AND($L1296="Chưa xác định",DANH_MUC!$L$9&lt;&gt;"Có"),"Nguồn chưa xác định; ","")))</f>
        <v/>
      </c>
      <c r="V1296" s="22">
        <f>IF(OR($D1296="",$R1296="Trùng"),"",IF(COUNTIF(ORDERS!$C$2:$C$4995,$D1296)&gt;0,"Có","Không"))</f>
        <v/>
      </c>
      <c r="W1296" s="22">
        <f>IF(OR($D1296="",$R1296="Trùng"),"",COUNTIFS(ORDERS!$C$2:$C$4995,$D1296,ORDERS!$L$2:$L$4995,"Đã chuyển khoản"))</f>
        <v/>
      </c>
      <c r="X1296" s="23">
        <f>IF(OR($D1296="",$R1296="Trùng"),"",SUMIFS(ORDERS!$J$2:$J$4995,ORDERS!$C$2:$C$4995,$D1296,ORDERS!$L$2:$L$4995,"Đã chuyển khoản"))</f>
        <v/>
      </c>
      <c r="Y1296" s="24" t="n"/>
    </row>
    <row r="1297" ht="14.25" customHeight="1" s="40">
      <c r="A1297" s="24" t="n"/>
      <c r="B1297" s="27" t="n"/>
      <c r="C1297" s="24" t="n"/>
      <c r="D1297" s="28" t="n"/>
      <c r="E1297" s="29" t="n"/>
      <c r="F1297" s="24" t="n"/>
      <c r="G1297" s="24" t="n"/>
      <c r="H1297" s="21">
        <f>IF(ISNUMBER($B1297),INT($B1297)-WEEKDAY($B1297,2)+1,"")</f>
        <v/>
      </c>
      <c r="I1297" s="24" t="n"/>
      <c r="J1297" s="22">
        <f t="array" ref="J1297">IF($D1297="","",IF($I1297="","(trống REF)",IFERROR(INDEX(MASTER_SOURCE!$B$2:$B$495,MATCH($I1297,MASTER_SOURCE!$A$2:$A$495,0)),"(REF không có trong MASTER_SOURCE)")))</f>
        <v/>
      </c>
      <c r="K1297" s="22">
        <f t="array" ref="K1297">IF($D1297="","",IFERROR(INDEX(MASTER_SOURCE!$C$2:$C$495,MATCH($I1297,MASTER_SOURCE!$A$2:$A$495,0)),""))</f>
        <v/>
      </c>
      <c r="L1297" s="22">
        <f t="array" ref="L1297">IF($D1297="","",IFERROR(INDEX(MASTER_SOURCE!$D$2:$D$495,MATCH($I1297,MASTER_SOURCE!$A$2:$A$495,0)),""))</f>
        <v/>
      </c>
      <c r="M1297" s="24" t="n"/>
      <c r="N1297" s="24" t="n"/>
      <c r="O1297" s="24" t="n"/>
      <c r="P1297" s="24" t="n"/>
      <c r="Q1297" s="22">
        <f>IF($D1297="","",IF(AND(OR(DANH_MUC!$L$5&lt;&gt;"Có",M1297="Có"),OR(DANH_MUC!$L$6&lt;&gt;"Có",N1297="Có"),OR(DANH_MUC!$L$7&lt;&gt;"Có",O1297="Có"),OR(DANH_MUC!$L$8&lt;&gt;"Có",P1297="Có")),"Có","Không"))</f>
        <v/>
      </c>
      <c r="R1297" s="22">
        <f>IF($D1297="","",IF(COUNTIF($D$2:$D1297,$D1297)&gt;1,"Trùng",""))</f>
        <v/>
      </c>
      <c r="S1297" s="22">
        <f>IF($D1297="","",IF(AND(LEN($D1297)=10,LEFT($D1297,1)="0",ISNUMBER(--$D1297)),"Có","Không"))</f>
        <v/>
      </c>
      <c r="T1297" s="22">
        <f>IF($D1297="","",IF(AND($C1297&lt;&gt;"",$Q1297="Có",$R1297="",$S1297="Có",AND($L1297&lt;&gt;"",OR($L1297&lt;&gt;"Chưa xác định",DANH_MUC!$L$9="Có"))),"Có","Không"))</f>
        <v/>
      </c>
      <c r="U1297" s="22">
        <f>IF(OR($D1297="",$T1297="Có"),"",IF($C1297="","Thiếu họ tên; ","")&amp;IF($S1297&lt;&gt;"Có","SĐT sai định dạng; ","")&amp;IF($R1297="Trùng","Trùng SĐT; ","")&amp;IF($Q1297&lt;&gt;"Có","Thiếu đồng ý bắt buộc; ","")&amp;IF($L1297="","Thiếu/sai Mã REF; ",IF(AND($L1297="Chưa xác định",DANH_MUC!$L$9&lt;&gt;"Có"),"Nguồn chưa xác định; ","")))</f>
        <v/>
      </c>
      <c r="V1297" s="22">
        <f>IF(OR($D1297="",$R1297="Trùng"),"",IF(COUNTIF(ORDERS!$C$2:$C$4995,$D1297)&gt;0,"Có","Không"))</f>
        <v/>
      </c>
      <c r="W1297" s="22">
        <f>IF(OR($D1297="",$R1297="Trùng"),"",COUNTIFS(ORDERS!$C$2:$C$4995,$D1297,ORDERS!$L$2:$L$4995,"Đã chuyển khoản"))</f>
        <v/>
      </c>
      <c r="X1297" s="23">
        <f>IF(OR($D1297="",$R1297="Trùng"),"",SUMIFS(ORDERS!$J$2:$J$4995,ORDERS!$C$2:$C$4995,$D1297,ORDERS!$L$2:$L$4995,"Đã chuyển khoản"))</f>
        <v/>
      </c>
      <c r="Y1297" s="24" t="n"/>
    </row>
    <row r="1298" ht="14.25" customHeight="1" s="40">
      <c r="A1298" s="24" t="n"/>
      <c r="B1298" s="27" t="n"/>
      <c r="C1298" s="24" t="n"/>
      <c r="D1298" s="28" t="n"/>
      <c r="E1298" s="29" t="n"/>
      <c r="F1298" s="24" t="n"/>
      <c r="G1298" s="24" t="n"/>
      <c r="H1298" s="21">
        <f>IF(ISNUMBER($B1298),INT($B1298)-WEEKDAY($B1298,2)+1,"")</f>
        <v/>
      </c>
      <c r="I1298" s="24" t="n"/>
      <c r="J1298" s="22">
        <f t="array" ref="J1298">IF($D1298="","",IF($I1298="","(trống REF)",IFERROR(INDEX(MASTER_SOURCE!$B$2:$B$495,MATCH($I1298,MASTER_SOURCE!$A$2:$A$495,0)),"(REF không có trong MASTER_SOURCE)")))</f>
        <v/>
      </c>
      <c r="K1298" s="22">
        <f t="array" ref="K1298">IF($D1298="","",IFERROR(INDEX(MASTER_SOURCE!$C$2:$C$495,MATCH($I1298,MASTER_SOURCE!$A$2:$A$495,0)),""))</f>
        <v/>
      </c>
      <c r="L1298" s="22">
        <f t="array" ref="L1298">IF($D1298="","",IFERROR(INDEX(MASTER_SOURCE!$D$2:$D$495,MATCH($I1298,MASTER_SOURCE!$A$2:$A$495,0)),""))</f>
        <v/>
      </c>
      <c r="M1298" s="24" t="n"/>
      <c r="N1298" s="24" t="n"/>
      <c r="O1298" s="24" t="n"/>
      <c r="P1298" s="24" t="n"/>
      <c r="Q1298" s="22">
        <f>IF($D1298="","",IF(AND(OR(DANH_MUC!$L$5&lt;&gt;"Có",M1298="Có"),OR(DANH_MUC!$L$6&lt;&gt;"Có",N1298="Có"),OR(DANH_MUC!$L$7&lt;&gt;"Có",O1298="Có"),OR(DANH_MUC!$L$8&lt;&gt;"Có",P1298="Có")),"Có","Không"))</f>
        <v/>
      </c>
      <c r="R1298" s="22">
        <f>IF($D1298="","",IF(COUNTIF($D$2:$D1298,$D1298)&gt;1,"Trùng",""))</f>
        <v/>
      </c>
      <c r="S1298" s="22">
        <f>IF($D1298="","",IF(AND(LEN($D1298)=10,LEFT($D1298,1)="0",ISNUMBER(--$D1298)),"Có","Không"))</f>
        <v/>
      </c>
      <c r="T1298" s="22">
        <f>IF($D1298="","",IF(AND($C1298&lt;&gt;"",$Q1298="Có",$R1298="",$S1298="Có",AND($L1298&lt;&gt;"",OR($L1298&lt;&gt;"Chưa xác định",DANH_MUC!$L$9="Có"))),"Có","Không"))</f>
        <v/>
      </c>
      <c r="U1298" s="22">
        <f>IF(OR($D1298="",$T1298="Có"),"",IF($C1298="","Thiếu họ tên; ","")&amp;IF($S1298&lt;&gt;"Có","SĐT sai định dạng; ","")&amp;IF($R1298="Trùng","Trùng SĐT; ","")&amp;IF($Q1298&lt;&gt;"Có","Thiếu đồng ý bắt buộc; ","")&amp;IF($L1298="","Thiếu/sai Mã REF; ",IF(AND($L1298="Chưa xác định",DANH_MUC!$L$9&lt;&gt;"Có"),"Nguồn chưa xác định; ","")))</f>
        <v/>
      </c>
      <c r="V1298" s="22">
        <f>IF(OR($D1298="",$R1298="Trùng"),"",IF(COUNTIF(ORDERS!$C$2:$C$4995,$D1298)&gt;0,"Có","Không"))</f>
        <v/>
      </c>
      <c r="W1298" s="22">
        <f>IF(OR($D1298="",$R1298="Trùng"),"",COUNTIFS(ORDERS!$C$2:$C$4995,$D1298,ORDERS!$L$2:$L$4995,"Đã chuyển khoản"))</f>
        <v/>
      </c>
      <c r="X1298" s="23">
        <f>IF(OR($D1298="",$R1298="Trùng"),"",SUMIFS(ORDERS!$J$2:$J$4995,ORDERS!$C$2:$C$4995,$D1298,ORDERS!$L$2:$L$4995,"Đã chuyển khoản"))</f>
        <v/>
      </c>
      <c r="Y1298" s="24" t="n"/>
    </row>
    <row r="1299" ht="14.25" customHeight="1" s="40">
      <c r="A1299" s="24" t="n"/>
      <c r="B1299" s="27" t="n"/>
      <c r="C1299" s="24" t="n"/>
      <c r="D1299" s="28" t="n"/>
      <c r="E1299" s="29" t="n"/>
      <c r="F1299" s="24" t="n"/>
      <c r="G1299" s="24" t="n"/>
      <c r="H1299" s="21">
        <f>IF(ISNUMBER($B1299),INT($B1299)-WEEKDAY($B1299,2)+1,"")</f>
        <v/>
      </c>
      <c r="I1299" s="24" t="n"/>
      <c r="J1299" s="22">
        <f t="array" ref="J1299">IF($D1299="","",IF($I1299="","(trống REF)",IFERROR(INDEX(MASTER_SOURCE!$B$2:$B$495,MATCH($I1299,MASTER_SOURCE!$A$2:$A$495,0)),"(REF không có trong MASTER_SOURCE)")))</f>
        <v/>
      </c>
      <c r="K1299" s="22">
        <f t="array" ref="K1299">IF($D1299="","",IFERROR(INDEX(MASTER_SOURCE!$C$2:$C$495,MATCH($I1299,MASTER_SOURCE!$A$2:$A$495,0)),""))</f>
        <v/>
      </c>
      <c r="L1299" s="22">
        <f t="array" ref="L1299">IF($D1299="","",IFERROR(INDEX(MASTER_SOURCE!$D$2:$D$495,MATCH($I1299,MASTER_SOURCE!$A$2:$A$495,0)),""))</f>
        <v/>
      </c>
      <c r="M1299" s="24" t="n"/>
      <c r="N1299" s="24" t="n"/>
      <c r="O1299" s="24" t="n"/>
      <c r="P1299" s="24" t="n"/>
      <c r="Q1299" s="22">
        <f>IF($D1299="","",IF(AND(OR(DANH_MUC!$L$5&lt;&gt;"Có",M1299="Có"),OR(DANH_MUC!$L$6&lt;&gt;"Có",N1299="Có"),OR(DANH_MUC!$L$7&lt;&gt;"Có",O1299="Có"),OR(DANH_MUC!$L$8&lt;&gt;"Có",P1299="Có")),"Có","Không"))</f>
        <v/>
      </c>
      <c r="R1299" s="22">
        <f>IF($D1299="","",IF(COUNTIF($D$2:$D1299,$D1299)&gt;1,"Trùng",""))</f>
        <v/>
      </c>
      <c r="S1299" s="22">
        <f>IF($D1299="","",IF(AND(LEN($D1299)=10,LEFT($D1299,1)="0",ISNUMBER(--$D1299)),"Có","Không"))</f>
        <v/>
      </c>
      <c r="T1299" s="22">
        <f>IF($D1299="","",IF(AND($C1299&lt;&gt;"",$Q1299="Có",$R1299="",$S1299="Có",AND($L1299&lt;&gt;"",OR($L1299&lt;&gt;"Chưa xác định",DANH_MUC!$L$9="Có"))),"Có","Không"))</f>
        <v/>
      </c>
      <c r="U1299" s="22">
        <f>IF(OR($D1299="",$T1299="Có"),"",IF($C1299="","Thiếu họ tên; ","")&amp;IF($S1299&lt;&gt;"Có","SĐT sai định dạng; ","")&amp;IF($R1299="Trùng","Trùng SĐT; ","")&amp;IF($Q1299&lt;&gt;"Có","Thiếu đồng ý bắt buộc; ","")&amp;IF($L1299="","Thiếu/sai Mã REF; ",IF(AND($L1299="Chưa xác định",DANH_MUC!$L$9&lt;&gt;"Có"),"Nguồn chưa xác định; ","")))</f>
        <v/>
      </c>
      <c r="V1299" s="22">
        <f>IF(OR($D1299="",$R1299="Trùng"),"",IF(COUNTIF(ORDERS!$C$2:$C$4995,$D1299)&gt;0,"Có","Không"))</f>
        <v/>
      </c>
      <c r="W1299" s="22">
        <f>IF(OR($D1299="",$R1299="Trùng"),"",COUNTIFS(ORDERS!$C$2:$C$4995,$D1299,ORDERS!$L$2:$L$4995,"Đã chuyển khoản"))</f>
        <v/>
      </c>
      <c r="X1299" s="23">
        <f>IF(OR($D1299="",$R1299="Trùng"),"",SUMIFS(ORDERS!$J$2:$J$4995,ORDERS!$C$2:$C$4995,$D1299,ORDERS!$L$2:$L$4995,"Đã chuyển khoản"))</f>
        <v/>
      </c>
      <c r="Y1299" s="24" t="n"/>
    </row>
    <row r="1300" ht="14.25" customHeight="1" s="40">
      <c r="A1300" s="24" t="n"/>
      <c r="B1300" s="27" t="n"/>
      <c r="C1300" s="24" t="n"/>
      <c r="D1300" s="28" t="n"/>
      <c r="E1300" s="29" t="n"/>
      <c r="F1300" s="24" t="n"/>
      <c r="G1300" s="24" t="n"/>
      <c r="H1300" s="21">
        <f>IF(ISNUMBER($B1300),INT($B1300)-WEEKDAY($B1300,2)+1,"")</f>
        <v/>
      </c>
      <c r="I1300" s="24" t="n"/>
      <c r="J1300" s="22">
        <f t="array" ref="J1300">IF($D1300="","",IF($I1300="","(trống REF)",IFERROR(INDEX(MASTER_SOURCE!$B$2:$B$495,MATCH($I1300,MASTER_SOURCE!$A$2:$A$495,0)),"(REF không có trong MASTER_SOURCE)")))</f>
        <v/>
      </c>
      <c r="K1300" s="22">
        <f t="array" ref="K1300">IF($D1300="","",IFERROR(INDEX(MASTER_SOURCE!$C$2:$C$495,MATCH($I1300,MASTER_SOURCE!$A$2:$A$495,0)),""))</f>
        <v/>
      </c>
      <c r="L1300" s="22">
        <f t="array" ref="L1300">IF($D1300="","",IFERROR(INDEX(MASTER_SOURCE!$D$2:$D$495,MATCH($I1300,MASTER_SOURCE!$A$2:$A$495,0)),""))</f>
        <v/>
      </c>
      <c r="M1300" s="24" t="n"/>
      <c r="N1300" s="24" t="n"/>
      <c r="O1300" s="24" t="n"/>
      <c r="P1300" s="24" t="n"/>
      <c r="Q1300" s="22">
        <f>IF($D1300="","",IF(AND(OR(DANH_MUC!$L$5&lt;&gt;"Có",M1300="Có"),OR(DANH_MUC!$L$6&lt;&gt;"Có",N1300="Có"),OR(DANH_MUC!$L$7&lt;&gt;"Có",O1300="Có"),OR(DANH_MUC!$L$8&lt;&gt;"Có",P1300="Có")),"Có","Không"))</f>
        <v/>
      </c>
      <c r="R1300" s="22">
        <f>IF($D1300="","",IF(COUNTIF($D$2:$D1300,$D1300)&gt;1,"Trùng",""))</f>
        <v/>
      </c>
      <c r="S1300" s="22">
        <f>IF($D1300="","",IF(AND(LEN($D1300)=10,LEFT($D1300,1)="0",ISNUMBER(--$D1300)),"Có","Không"))</f>
        <v/>
      </c>
      <c r="T1300" s="22">
        <f>IF($D1300="","",IF(AND($C1300&lt;&gt;"",$Q1300="Có",$R1300="",$S1300="Có",AND($L1300&lt;&gt;"",OR($L1300&lt;&gt;"Chưa xác định",DANH_MUC!$L$9="Có"))),"Có","Không"))</f>
        <v/>
      </c>
      <c r="U1300" s="22">
        <f>IF(OR($D1300="",$T1300="Có"),"",IF($C1300="","Thiếu họ tên; ","")&amp;IF($S1300&lt;&gt;"Có","SĐT sai định dạng; ","")&amp;IF($R1300="Trùng","Trùng SĐT; ","")&amp;IF($Q1300&lt;&gt;"Có","Thiếu đồng ý bắt buộc; ","")&amp;IF($L1300="","Thiếu/sai Mã REF; ",IF(AND($L1300="Chưa xác định",DANH_MUC!$L$9&lt;&gt;"Có"),"Nguồn chưa xác định; ","")))</f>
        <v/>
      </c>
      <c r="V1300" s="22">
        <f>IF(OR($D1300="",$R1300="Trùng"),"",IF(COUNTIF(ORDERS!$C$2:$C$4995,$D1300)&gt;0,"Có","Không"))</f>
        <v/>
      </c>
      <c r="W1300" s="22">
        <f>IF(OR($D1300="",$R1300="Trùng"),"",COUNTIFS(ORDERS!$C$2:$C$4995,$D1300,ORDERS!$L$2:$L$4995,"Đã chuyển khoản"))</f>
        <v/>
      </c>
      <c r="X1300" s="23">
        <f>IF(OR($D1300="",$R1300="Trùng"),"",SUMIFS(ORDERS!$J$2:$J$4995,ORDERS!$C$2:$C$4995,$D1300,ORDERS!$L$2:$L$4995,"Đã chuyển khoản"))</f>
        <v/>
      </c>
      <c r="Y1300" s="24" t="n"/>
    </row>
    <row r="1301" ht="14.25" customHeight="1" s="40">
      <c r="A1301" s="24" t="n"/>
      <c r="B1301" s="27" t="n"/>
      <c r="C1301" s="24" t="n"/>
      <c r="D1301" s="28" t="n"/>
      <c r="E1301" s="29" t="n"/>
      <c r="F1301" s="24" t="n"/>
      <c r="G1301" s="24" t="n"/>
      <c r="H1301" s="21">
        <f>IF(ISNUMBER($B1301),INT($B1301)-WEEKDAY($B1301,2)+1,"")</f>
        <v/>
      </c>
      <c r="I1301" s="24" t="n"/>
      <c r="J1301" s="22">
        <f t="array" ref="J1301">IF($D1301="","",IF($I1301="","(trống REF)",IFERROR(INDEX(MASTER_SOURCE!$B$2:$B$495,MATCH($I1301,MASTER_SOURCE!$A$2:$A$495,0)),"(REF không có trong MASTER_SOURCE)")))</f>
        <v/>
      </c>
      <c r="K1301" s="22">
        <f t="array" ref="K1301">IF($D1301="","",IFERROR(INDEX(MASTER_SOURCE!$C$2:$C$495,MATCH($I1301,MASTER_SOURCE!$A$2:$A$495,0)),""))</f>
        <v/>
      </c>
      <c r="L1301" s="22">
        <f t="array" ref="L1301">IF($D1301="","",IFERROR(INDEX(MASTER_SOURCE!$D$2:$D$495,MATCH($I1301,MASTER_SOURCE!$A$2:$A$495,0)),""))</f>
        <v/>
      </c>
      <c r="M1301" s="24" t="n"/>
      <c r="N1301" s="24" t="n"/>
      <c r="O1301" s="24" t="n"/>
      <c r="P1301" s="24" t="n"/>
      <c r="Q1301" s="22">
        <f>IF($D1301="","",IF(AND(OR(DANH_MUC!$L$5&lt;&gt;"Có",M1301="Có"),OR(DANH_MUC!$L$6&lt;&gt;"Có",N1301="Có"),OR(DANH_MUC!$L$7&lt;&gt;"Có",O1301="Có"),OR(DANH_MUC!$L$8&lt;&gt;"Có",P1301="Có")),"Có","Không"))</f>
        <v/>
      </c>
      <c r="R1301" s="22">
        <f>IF($D1301="","",IF(COUNTIF($D$2:$D1301,$D1301)&gt;1,"Trùng",""))</f>
        <v/>
      </c>
      <c r="S1301" s="22">
        <f>IF($D1301="","",IF(AND(LEN($D1301)=10,LEFT($D1301,1)="0",ISNUMBER(--$D1301)),"Có","Không"))</f>
        <v/>
      </c>
      <c r="T1301" s="22">
        <f>IF($D1301="","",IF(AND($C1301&lt;&gt;"",$Q1301="Có",$R1301="",$S1301="Có",AND($L1301&lt;&gt;"",OR($L1301&lt;&gt;"Chưa xác định",DANH_MUC!$L$9="Có"))),"Có","Không"))</f>
        <v/>
      </c>
      <c r="U1301" s="22">
        <f>IF(OR($D1301="",$T1301="Có"),"",IF($C1301="","Thiếu họ tên; ","")&amp;IF($S1301&lt;&gt;"Có","SĐT sai định dạng; ","")&amp;IF($R1301="Trùng","Trùng SĐT; ","")&amp;IF($Q1301&lt;&gt;"Có","Thiếu đồng ý bắt buộc; ","")&amp;IF($L1301="","Thiếu/sai Mã REF; ",IF(AND($L1301="Chưa xác định",DANH_MUC!$L$9&lt;&gt;"Có"),"Nguồn chưa xác định; ","")))</f>
        <v/>
      </c>
      <c r="V1301" s="22">
        <f>IF(OR($D1301="",$R1301="Trùng"),"",IF(COUNTIF(ORDERS!$C$2:$C$4995,$D1301)&gt;0,"Có","Không"))</f>
        <v/>
      </c>
      <c r="W1301" s="22">
        <f>IF(OR($D1301="",$R1301="Trùng"),"",COUNTIFS(ORDERS!$C$2:$C$4995,$D1301,ORDERS!$L$2:$L$4995,"Đã chuyển khoản"))</f>
        <v/>
      </c>
      <c r="X1301" s="23">
        <f>IF(OR($D1301="",$R1301="Trùng"),"",SUMIFS(ORDERS!$J$2:$J$4995,ORDERS!$C$2:$C$4995,$D1301,ORDERS!$L$2:$L$4995,"Đã chuyển khoản"))</f>
        <v/>
      </c>
      <c r="Y1301" s="24" t="n"/>
    </row>
    <row r="1302" ht="14.25" customHeight="1" s="40">
      <c r="A1302" s="24" t="n"/>
      <c r="B1302" s="27" t="n"/>
      <c r="C1302" s="24" t="n"/>
      <c r="D1302" s="28" t="n"/>
      <c r="E1302" s="29" t="n"/>
      <c r="F1302" s="24" t="n"/>
      <c r="G1302" s="24" t="n"/>
      <c r="H1302" s="21">
        <f>IF(ISNUMBER($B1302),INT($B1302)-WEEKDAY($B1302,2)+1,"")</f>
        <v/>
      </c>
      <c r="I1302" s="24" t="n"/>
      <c r="J1302" s="22">
        <f t="array" ref="J1302">IF($D1302="","",IF($I1302="","(trống REF)",IFERROR(INDEX(MASTER_SOURCE!$B$2:$B$495,MATCH($I1302,MASTER_SOURCE!$A$2:$A$495,0)),"(REF không có trong MASTER_SOURCE)")))</f>
        <v/>
      </c>
      <c r="K1302" s="22">
        <f t="array" ref="K1302">IF($D1302="","",IFERROR(INDEX(MASTER_SOURCE!$C$2:$C$495,MATCH($I1302,MASTER_SOURCE!$A$2:$A$495,0)),""))</f>
        <v/>
      </c>
      <c r="L1302" s="22">
        <f t="array" ref="L1302">IF($D1302="","",IFERROR(INDEX(MASTER_SOURCE!$D$2:$D$495,MATCH($I1302,MASTER_SOURCE!$A$2:$A$495,0)),""))</f>
        <v/>
      </c>
      <c r="M1302" s="24" t="n"/>
      <c r="N1302" s="24" t="n"/>
      <c r="O1302" s="24" t="n"/>
      <c r="P1302" s="24" t="n"/>
      <c r="Q1302" s="22">
        <f>IF($D1302="","",IF(AND(OR(DANH_MUC!$L$5&lt;&gt;"Có",M1302="Có"),OR(DANH_MUC!$L$6&lt;&gt;"Có",N1302="Có"),OR(DANH_MUC!$L$7&lt;&gt;"Có",O1302="Có"),OR(DANH_MUC!$L$8&lt;&gt;"Có",P1302="Có")),"Có","Không"))</f>
        <v/>
      </c>
      <c r="R1302" s="22">
        <f>IF($D1302="","",IF(COUNTIF($D$2:$D1302,$D1302)&gt;1,"Trùng",""))</f>
        <v/>
      </c>
      <c r="S1302" s="22">
        <f>IF($D1302="","",IF(AND(LEN($D1302)=10,LEFT($D1302,1)="0",ISNUMBER(--$D1302)),"Có","Không"))</f>
        <v/>
      </c>
      <c r="T1302" s="22">
        <f>IF($D1302="","",IF(AND($C1302&lt;&gt;"",$Q1302="Có",$R1302="",$S1302="Có",AND($L1302&lt;&gt;"",OR($L1302&lt;&gt;"Chưa xác định",DANH_MUC!$L$9="Có"))),"Có","Không"))</f>
        <v/>
      </c>
      <c r="U1302" s="22">
        <f>IF(OR($D1302="",$T1302="Có"),"",IF($C1302="","Thiếu họ tên; ","")&amp;IF($S1302&lt;&gt;"Có","SĐT sai định dạng; ","")&amp;IF($R1302="Trùng","Trùng SĐT; ","")&amp;IF($Q1302&lt;&gt;"Có","Thiếu đồng ý bắt buộc; ","")&amp;IF($L1302="","Thiếu/sai Mã REF; ",IF(AND($L1302="Chưa xác định",DANH_MUC!$L$9&lt;&gt;"Có"),"Nguồn chưa xác định; ","")))</f>
        <v/>
      </c>
      <c r="V1302" s="22">
        <f>IF(OR($D1302="",$R1302="Trùng"),"",IF(COUNTIF(ORDERS!$C$2:$C$4995,$D1302)&gt;0,"Có","Không"))</f>
        <v/>
      </c>
      <c r="W1302" s="22">
        <f>IF(OR($D1302="",$R1302="Trùng"),"",COUNTIFS(ORDERS!$C$2:$C$4995,$D1302,ORDERS!$L$2:$L$4995,"Đã chuyển khoản"))</f>
        <v/>
      </c>
      <c r="X1302" s="23">
        <f>IF(OR($D1302="",$R1302="Trùng"),"",SUMIFS(ORDERS!$J$2:$J$4995,ORDERS!$C$2:$C$4995,$D1302,ORDERS!$L$2:$L$4995,"Đã chuyển khoản"))</f>
        <v/>
      </c>
      <c r="Y1302" s="24" t="n"/>
    </row>
    <row r="1303" ht="14.25" customHeight="1" s="40">
      <c r="A1303" s="24" t="n"/>
      <c r="B1303" s="27" t="n"/>
      <c r="C1303" s="24" t="n"/>
      <c r="D1303" s="28" t="n"/>
      <c r="E1303" s="29" t="n"/>
      <c r="F1303" s="24" t="n"/>
      <c r="G1303" s="24" t="n"/>
      <c r="H1303" s="21">
        <f>IF(ISNUMBER($B1303),INT($B1303)-WEEKDAY($B1303,2)+1,"")</f>
        <v/>
      </c>
      <c r="I1303" s="24" t="n"/>
      <c r="J1303" s="22">
        <f t="array" ref="J1303">IF($D1303="","",IF($I1303="","(trống REF)",IFERROR(INDEX(MASTER_SOURCE!$B$2:$B$495,MATCH($I1303,MASTER_SOURCE!$A$2:$A$495,0)),"(REF không có trong MASTER_SOURCE)")))</f>
        <v/>
      </c>
      <c r="K1303" s="22">
        <f t="array" ref="K1303">IF($D1303="","",IFERROR(INDEX(MASTER_SOURCE!$C$2:$C$495,MATCH($I1303,MASTER_SOURCE!$A$2:$A$495,0)),""))</f>
        <v/>
      </c>
      <c r="L1303" s="22">
        <f t="array" ref="L1303">IF($D1303="","",IFERROR(INDEX(MASTER_SOURCE!$D$2:$D$495,MATCH($I1303,MASTER_SOURCE!$A$2:$A$495,0)),""))</f>
        <v/>
      </c>
      <c r="M1303" s="24" t="n"/>
      <c r="N1303" s="24" t="n"/>
      <c r="O1303" s="24" t="n"/>
      <c r="P1303" s="24" t="n"/>
      <c r="Q1303" s="22">
        <f>IF($D1303="","",IF(AND(OR(DANH_MUC!$L$5&lt;&gt;"Có",M1303="Có"),OR(DANH_MUC!$L$6&lt;&gt;"Có",N1303="Có"),OR(DANH_MUC!$L$7&lt;&gt;"Có",O1303="Có"),OR(DANH_MUC!$L$8&lt;&gt;"Có",P1303="Có")),"Có","Không"))</f>
        <v/>
      </c>
      <c r="R1303" s="22">
        <f>IF($D1303="","",IF(COUNTIF($D$2:$D1303,$D1303)&gt;1,"Trùng",""))</f>
        <v/>
      </c>
      <c r="S1303" s="22">
        <f>IF($D1303="","",IF(AND(LEN($D1303)=10,LEFT($D1303,1)="0",ISNUMBER(--$D1303)),"Có","Không"))</f>
        <v/>
      </c>
      <c r="T1303" s="22">
        <f>IF($D1303="","",IF(AND($C1303&lt;&gt;"",$Q1303="Có",$R1303="",$S1303="Có",AND($L1303&lt;&gt;"",OR($L1303&lt;&gt;"Chưa xác định",DANH_MUC!$L$9="Có"))),"Có","Không"))</f>
        <v/>
      </c>
      <c r="U1303" s="22">
        <f>IF(OR($D1303="",$T1303="Có"),"",IF($C1303="","Thiếu họ tên; ","")&amp;IF($S1303&lt;&gt;"Có","SĐT sai định dạng; ","")&amp;IF($R1303="Trùng","Trùng SĐT; ","")&amp;IF($Q1303&lt;&gt;"Có","Thiếu đồng ý bắt buộc; ","")&amp;IF($L1303="","Thiếu/sai Mã REF; ",IF(AND($L1303="Chưa xác định",DANH_MUC!$L$9&lt;&gt;"Có"),"Nguồn chưa xác định; ","")))</f>
        <v/>
      </c>
      <c r="V1303" s="22">
        <f>IF(OR($D1303="",$R1303="Trùng"),"",IF(COUNTIF(ORDERS!$C$2:$C$4995,$D1303)&gt;0,"Có","Không"))</f>
        <v/>
      </c>
      <c r="W1303" s="22">
        <f>IF(OR($D1303="",$R1303="Trùng"),"",COUNTIFS(ORDERS!$C$2:$C$4995,$D1303,ORDERS!$L$2:$L$4995,"Đã chuyển khoản"))</f>
        <v/>
      </c>
      <c r="X1303" s="23">
        <f>IF(OR($D1303="",$R1303="Trùng"),"",SUMIFS(ORDERS!$J$2:$J$4995,ORDERS!$C$2:$C$4995,$D1303,ORDERS!$L$2:$L$4995,"Đã chuyển khoản"))</f>
        <v/>
      </c>
      <c r="Y1303" s="24" t="n"/>
    </row>
    <row r="1304" ht="14.25" customHeight="1" s="40">
      <c r="A1304" s="24" t="n"/>
      <c r="B1304" s="27" t="n"/>
      <c r="C1304" s="24" t="n"/>
      <c r="D1304" s="28" t="n"/>
      <c r="E1304" s="29" t="n"/>
      <c r="F1304" s="24" t="n"/>
      <c r="G1304" s="24" t="n"/>
      <c r="H1304" s="21">
        <f>IF(ISNUMBER($B1304),INT($B1304)-WEEKDAY($B1304,2)+1,"")</f>
        <v/>
      </c>
      <c r="I1304" s="24" t="n"/>
      <c r="J1304" s="22">
        <f t="array" ref="J1304">IF($D1304="","",IF($I1304="","(trống REF)",IFERROR(INDEX(MASTER_SOURCE!$B$2:$B$495,MATCH($I1304,MASTER_SOURCE!$A$2:$A$495,0)),"(REF không có trong MASTER_SOURCE)")))</f>
        <v/>
      </c>
      <c r="K1304" s="22">
        <f t="array" ref="K1304">IF($D1304="","",IFERROR(INDEX(MASTER_SOURCE!$C$2:$C$495,MATCH($I1304,MASTER_SOURCE!$A$2:$A$495,0)),""))</f>
        <v/>
      </c>
      <c r="L1304" s="22">
        <f t="array" ref="L1304">IF($D1304="","",IFERROR(INDEX(MASTER_SOURCE!$D$2:$D$495,MATCH($I1304,MASTER_SOURCE!$A$2:$A$495,0)),""))</f>
        <v/>
      </c>
      <c r="M1304" s="24" t="n"/>
      <c r="N1304" s="24" t="n"/>
      <c r="O1304" s="24" t="n"/>
      <c r="P1304" s="24" t="n"/>
      <c r="Q1304" s="22">
        <f>IF($D1304="","",IF(AND(OR(DANH_MUC!$L$5&lt;&gt;"Có",M1304="Có"),OR(DANH_MUC!$L$6&lt;&gt;"Có",N1304="Có"),OR(DANH_MUC!$L$7&lt;&gt;"Có",O1304="Có"),OR(DANH_MUC!$L$8&lt;&gt;"Có",P1304="Có")),"Có","Không"))</f>
        <v/>
      </c>
      <c r="R1304" s="22">
        <f>IF($D1304="","",IF(COUNTIF($D$2:$D1304,$D1304)&gt;1,"Trùng",""))</f>
        <v/>
      </c>
      <c r="S1304" s="22">
        <f>IF($D1304="","",IF(AND(LEN($D1304)=10,LEFT($D1304,1)="0",ISNUMBER(--$D1304)),"Có","Không"))</f>
        <v/>
      </c>
      <c r="T1304" s="22">
        <f>IF($D1304="","",IF(AND($C1304&lt;&gt;"",$Q1304="Có",$R1304="",$S1304="Có",AND($L1304&lt;&gt;"",OR($L1304&lt;&gt;"Chưa xác định",DANH_MUC!$L$9="Có"))),"Có","Không"))</f>
        <v/>
      </c>
      <c r="U1304" s="22">
        <f>IF(OR($D1304="",$T1304="Có"),"",IF($C1304="","Thiếu họ tên; ","")&amp;IF($S1304&lt;&gt;"Có","SĐT sai định dạng; ","")&amp;IF($R1304="Trùng","Trùng SĐT; ","")&amp;IF($Q1304&lt;&gt;"Có","Thiếu đồng ý bắt buộc; ","")&amp;IF($L1304="","Thiếu/sai Mã REF; ",IF(AND($L1304="Chưa xác định",DANH_MUC!$L$9&lt;&gt;"Có"),"Nguồn chưa xác định; ","")))</f>
        <v/>
      </c>
      <c r="V1304" s="22">
        <f>IF(OR($D1304="",$R1304="Trùng"),"",IF(COUNTIF(ORDERS!$C$2:$C$4995,$D1304)&gt;0,"Có","Không"))</f>
        <v/>
      </c>
      <c r="W1304" s="22">
        <f>IF(OR($D1304="",$R1304="Trùng"),"",COUNTIFS(ORDERS!$C$2:$C$4995,$D1304,ORDERS!$L$2:$L$4995,"Đã chuyển khoản"))</f>
        <v/>
      </c>
      <c r="X1304" s="23">
        <f>IF(OR($D1304="",$R1304="Trùng"),"",SUMIFS(ORDERS!$J$2:$J$4995,ORDERS!$C$2:$C$4995,$D1304,ORDERS!$L$2:$L$4995,"Đã chuyển khoản"))</f>
        <v/>
      </c>
      <c r="Y1304" s="24" t="n"/>
    </row>
    <row r="1305" ht="14.25" customHeight="1" s="40">
      <c r="A1305" s="24" t="n"/>
      <c r="B1305" s="27" t="n"/>
      <c r="C1305" s="24" t="n"/>
      <c r="D1305" s="28" t="n"/>
      <c r="E1305" s="29" t="n"/>
      <c r="F1305" s="24" t="n"/>
      <c r="G1305" s="24" t="n"/>
      <c r="H1305" s="21">
        <f>IF(ISNUMBER($B1305),INT($B1305)-WEEKDAY($B1305,2)+1,"")</f>
        <v/>
      </c>
      <c r="I1305" s="24" t="n"/>
      <c r="J1305" s="22">
        <f t="array" ref="J1305">IF($D1305="","",IF($I1305="","(trống REF)",IFERROR(INDEX(MASTER_SOURCE!$B$2:$B$495,MATCH($I1305,MASTER_SOURCE!$A$2:$A$495,0)),"(REF không có trong MASTER_SOURCE)")))</f>
        <v/>
      </c>
      <c r="K1305" s="22">
        <f t="array" ref="K1305">IF($D1305="","",IFERROR(INDEX(MASTER_SOURCE!$C$2:$C$495,MATCH($I1305,MASTER_SOURCE!$A$2:$A$495,0)),""))</f>
        <v/>
      </c>
      <c r="L1305" s="22">
        <f t="array" ref="L1305">IF($D1305="","",IFERROR(INDEX(MASTER_SOURCE!$D$2:$D$495,MATCH($I1305,MASTER_SOURCE!$A$2:$A$495,0)),""))</f>
        <v/>
      </c>
      <c r="M1305" s="24" t="n"/>
      <c r="N1305" s="24" t="n"/>
      <c r="O1305" s="24" t="n"/>
      <c r="P1305" s="24" t="n"/>
      <c r="Q1305" s="22">
        <f>IF($D1305="","",IF(AND(OR(DANH_MUC!$L$5&lt;&gt;"Có",M1305="Có"),OR(DANH_MUC!$L$6&lt;&gt;"Có",N1305="Có"),OR(DANH_MUC!$L$7&lt;&gt;"Có",O1305="Có"),OR(DANH_MUC!$L$8&lt;&gt;"Có",P1305="Có")),"Có","Không"))</f>
        <v/>
      </c>
      <c r="R1305" s="22">
        <f>IF($D1305="","",IF(COUNTIF($D$2:$D1305,$D1305)&gt;1,"Trùng",""))</f>
        <v/>
      </c>
      <c r="S1305" s="22">
        <f>IF($D1305="","",IF(AND(LEN($D1305)=10,LEFT($D1305,1)="0",ISNUMBER(--$D1305)),"Có","Không"))</f>
        <v/>
      </c>
      <c r="T1305" s="22">
        <f>IF($D1305="","",IF(AND($C1305&lt;&gt;"",$Q1305="Có",$R1305="",$S1305="Có",AND($L1305&lt;&gt;"",OR($L1305&lt;&gt;"Chưa xác định",DANH_MUC!$L$9="Có"))),"Có","Không"))</f>
        <v/>
      </c>
      <c r="U1305" s="22">
        <f>IF(OR($D1305="",$T1305="Có"),"",IF($C1305="","Thiếu họ tên; ","")&amp;IF($S1305&lt;&gt;"Có","SĐT sai định dạng; ","")&amp;IF($R1305="Trùng","Trùng SĐT; ","")&amp;IF($Q1305&lt;&gt;"Có","Thiếu đồng ý bắt buộc; ","")&amp;IF($L1305="","Thiếu/sai Mã REF; ",IF(AND($L1305="Chưa xác định",DANH_MUC!$L$9&lt;&gt;"Có"),"Nguồn chưa xác định; ","")))</f>
        <v/>
      </c>
      <c r="V1305" s="22">
        <f>IF(OR($D1305="",$R1305="Trùng"),"",IF(COUNTIF(ORDERS!$C$2:$C$4995,$D1305)&gt;0,"Có","Không"))</f>
        <v/>
      </c>
      <c r="W1305" s="22">
        <f>IF(OR($D1305="",$R1305="Trùng"),"",COUNTIFS(ORDERS!$C$2:$C$4995,$D1305,ORDERS!$L$2:$L$4995,"Đã chuyển khoản"))</f>
        <v/>
      </c>
      <c r="X1305" s="23">
        <f>IF(OR($D1305="",$R1305="Trùng"),"",SUMIFS(ORDERS!$J$2:$J$4995,ORDERS!$C$2:$C$4995,$D1305,ORDERS!$L$2:$L$4995,"Đã chuyển khoản"))</f>
        <v/>
      </c>
      <c r="Y1305" s="24" t="n"/>
    </row>
    <row r="1306" ht="14.25" customHeight="1" s="40">
      <c r="A1306" s="24" t="n"/>
      <c r="B1306" s="27" t="n"/>
      <c r="C1306" s="24" t="n"/>
      <c r="D1306" s="28" t="n"/>
      <c r="E1306" s="29" t="n"/>
      <c r="F1306" s="24" t="n"/>
      <c r="G1306" s="24" t="n"/>
      <c r="H1306" s="21">
        <f>IF(ISNUMBER($B1306),INT($B1306)-WEEKDAY($B1306,2)+1,"")</f>
        <v/>
      </c>
      <c r="I1306" s="24" t="n"/>
      <c r="J1306" s="22">
        <f t="array" ref="J1306">IF($D1306="","",IF($I1306="","(trống REF)",IFERROR(INDEX(MASTER_SOURCE!$B$2:$B$495,MATCH($I1306,MASTER_SOURCE!$A$2:$A$495,0)),"(REF không có trong MASTER_SOURCE)")))</f>
        <v/>
      </c>
      <c r="K1306" s="22">
        <f t="array" ref="K1306">IF($D1306="","",IFERROR(INDEX(MASTER_SOURCE!$C$2:$C$495,MATCH($I1306,MASTER_SOURCE!$A$2:$A$495,0)),""))</f>
        <v/>
      </c>
      <c r="L1306" s="22">
        <f t="array" ref="L1306">IF($D1306="","",IFERROR(INDEX(MASTER_SOURCE!$D$2:$D$495,MATCH($I1306,MASTER_SOURCE!$A$2:$A$495,0)),""))</f>
        <v/>
      </c>
      <c r="M1306" s="24" t="n"/>
      <c r="N1306" s="24" t="n"/>
      <c r="O1306" s="24" t="n"/>
      <c r="P1306" s="24" t="n"/>
      <c r="Q1306" s="22">
        <f>IF($D1306="","",IF(AND(OR(DANH_MUC!$L$5&lt;&gt;"Có",M1306="Có"),OR(DANH_MUC!$L$6&lt;&gt;"Có",N1306="Có"),OR(DANH_MUC!$L$7&lt;&gt;"Có",O1306="Có"),OR(DANH_MUC!$L$8&lt;&gt;"Có",P1306="Có")),"Có","Không"))</f>
        <v/>
      </c>
      <c r="R1306" s="22">
        <f>IF($D1306="","",IF(COUNTIF($D$2:$D1306,$D1306)&gt;1,"Trùng",""))</f>
        <v/>
      </c>
      <c r="S1306" s="22">
        <f>IF($D1306="","",IF(AND(LEN($D1306)=10,LEFT($D1306,1)="0",ISNUMBER(--$D1306)),"Có","Không"))</f>
        <v/>
      </c>
      <c r="T1306" s="22">
        <f>IF($D1306="","",IF(AND($C1306&lt;&gt;"",$Q1306="Có",$R1306="",$S1306="Có",AND($L1306&lt;&gt;"",OR($L1306&lt;&gt;"Chưa xác định",DANH_MUC!$L$9="Có"))),"Có","Không"))</f>
        <v/>
      </c>
      <c r="U1306" s="22">
        <f>IF(OR($D1306="",$T1306="Có"),"",IF($C1306="","Thiếu họ tên; ","")&amp;IF($S1306&lt;&gt;"Có","SĐT sai định dạng; ","")&amp;IF($R1306="Trùng","Trùng SĐT; ","")&amp;IF($Q1306&lt;&gt;"Có","Thiếu đồng ý bắt buộc; ","")&amp;IF($L1306="","Thiếu/sai Mã REF; ",IF(AND($L1306="Chưa xác định",DANH_MUC!$L$9&lt;&gt;"Có"),"Nguồn chưa xác định; ","")))</f>
        <v/>
      </c>
      <c r="V1306" s="22">
        <f>IF(OR($D1306="",$R1306="Trùng"),"",IF(COUNTIF(ORDERS!$C$2:$C$4995,$D1306)&gt;0,"Có","Không"))</f>
        <v/>
      </c>
      <c r="W1306" s="22">
        <f>IF(OR($D1306="",$R1306="Trùng"),"",COUNTIFS(ORDERS!$C$2:$C$4995,$D1306,ORDERS!$L$2:$L$4995,"Đã chuyển khoản"))</f>
        <v/>
      </c>
      <c r="X1306" s="23">
        <f>IF(OR($D1306="",$R1306="Trùng"),"",SUMIFS(ORDERS!$J$2:$J$4995,ORDERS!$C$2:$C$4995,$D1306,ORDERS!$L$2:$L$4995,"Đã chuyển khoản"))</f>
        <v/>
      </c>
      <c r="Y1306" s="24" t="n"/>
    </row>
    <row r="1307" ht="14.25" customHeight="1" s="40">
      <c r="A1307" s="24" t="n"/>
      <c r="B1307" s="27" t="n"/>
      <c r="C1307" s="24" t="n"/>
      <c r="D1307" s="28" t="n"/>
      <c r="E1307" s="29" t="n"/>
      <c r="F1307" s="24" t="n"/>
      <c r="G1307" s="24" t="n"/>
      <c r="H1307" s="21">
        <f>IF(ISNUMBER($B1307),INT($B1307)-WEEKDAY($B1307,2)+1,"")</f>
        <v/>
      </c>
      <c r="I1307" s="24" t="n"/>
      <c r="J1307" s="22">
        <f t="array" ref="J1307">IF($D1307="","",IF($I1307="","(trống REF)",IFERROR(INDEX(MASTER_SOURCE!$B$2:$B$495,MATCH($I1307,MASTER_SOURCE!$A$2:$A$495,0)),"(REF không có trong MASTER_SOURCE)")))</f>
        <v/>
      </c>
      <c r="K1307" s="22">
        <f t="array" ref="K1307">IF($D1307="","",IFERROR(INDEX(MASTER_SOURCE!$C$2:$C$495,MATCH($I1307,MASTER_SOURCE!$A$2:$A$495,0)),""))</f>
        <v/>
      </c>
      <c r="L1307" s="22">
        <f t="array" ref="L1307">IF($D1307="","",IFERROR(INDEX(MASTER_SOURCE!$D$2:$D$495,MATCH($I1307,MASTER_SOURCE!$A$2:$A$495,0)),""))</f>
        <v/>
      </c>
      <c r="M1307" s="24" t="n"/>
      <c r="N1307" s="24" t="n"/>
      <c r="O1307" s="24" t="n"/>
      <c r="P1307" s="24" t="n"/>
      <c r="Q1307" s="22">
        <f>IF($D1307="","",IF(AND(OR(DANH_MUC!$L$5&lt;&gt;"Có",M1307="Có"),OR(DANH_MUC!$L$6&lt;&gt;"Có",N1307="Có"),OR(DANH_MUC!$L$7&lt;&gt;"Có",O1307="Có"),OR(DANH_MUC!$L$8&lt;&gt;"Có",P1307="Có")),"Có","Không"))</f>
        <v/>
      </c>
      <c r="R1307" s="22">
        <f>IF($D1307="","",IF(COUNTIF($D$2:$D1307,$D1307)&gt;1,"Trùng",""))</f>
        <v/>
      </c>
      <c r="S1307" s="22">
        <f>IF($D1307="","",IF(AND(LEN($D1307)=10,LEFT($D1307,1)="0",ISNUMBER(--$D1307)),"Có","Không"))</f>
        <v/>
      </c>
      <c r="T1307" s="22">
        <f>IF($D1307="","",IF(AND($C1307&lt;&gt;"",$Q1307="Có",$R1307="",$S1307="Có",AND($L1307&lt;&gt;"",OR($L1307&lt;&gt;"Chưa xác định",DANH_MUC!$L$9="Có"))),"Có","Không"))</f>
        <v/>
      </c>
      <c r="U1307" s="22">
        <f>IF(OR($D1307="",$T1307="Có"),"",IF($C1307="","Thiếu họ tên; ","")&amp;IF($S1307&lt;&gt;"Có","SĐT sai định dạng; ","")&amp;IF($R1307="Trùng","Trùng SĐT; ","")&amp;IF($Q1307&lt;&gt;"Có","Thiếu đồng ý bắt buộc; ","")&amp;IF($L1307="","Thiếu/sai Mã REF; ",IF(AND($L1307="Chưa xác định",DANH_MUC!$L$9&lt;&gt;"Có"),"Nguồn chưa xác định; ","")))</f>
        <v/>
      </c>
      <c r="V1307" s="22">
        <f>IF(OR($D1307="",$R1307="Trùng"),"",IF(COUNTIF(ORDERS!$C$2:$C$4995,$D1307)&gt;0,"Có","Không"))</f>
        <v/>
      </c>
      <c r="W1307" s="22">
        <f>IF(OR($D1307="",$R1307="Trùng"),"",COUNTIFS(ORDERS!$C$2:$C$4995,$D1307,ORDERS!$L$2:$L$4995,"Đã chuyển khoản"))</f>
        <v/>
      </c>
      <c r="X1307" s="23">
        <f>IF(OR($D1307="",$R1307="Trùng"),"",SUMIFS(ORDERS!$J$2:$J$4995,ORDERS!$C$2:$C$4995,$D1307,ORDERS!$L$2:$L$4995,"Đã chuyển khoản"))</f>
        <v/>
      </c>
      <c r="Y1307" s="24" t="n"/>
    </row>
    <row r="1308" ht="14.25" customHeight="1" s="40">
      <c r="A1308" s="24" t="n"/>
      <c r="B1308" s="27" t="n"/>
      <c r="C1308" s="24" t="n"/>
      <c r="D1308" s="28" t="n"/>
      <c r="E1308" s="29" t="n"/>
      <c r="F1308" s="24" t="n"/>
      <c r="G1308" s="24" t="n"/>
      <c r="H1308" s="21">
        <f>IF(ISNUMBER($B1308),INT($B1308)-WEEKDAY($B1308,2)+1,"")</f>
        <v/>
      </c>
      <c r="I1308" s="24" t="n"/>
      <c r="J1308" s="22">
        <f t="array" ref="J1308">IF($D1308="","",IF($I1308="","(trống REF)",IFERROR(INDEX(MASTER_SOURCE!$B$2:$B$495,MATCH($I1308,MASTER_SOURCE!$A$2:$A$495,0)),"(REF không có trong MASTER_SOURCE)")))</f>
        <v/>
      </c>
      <c r="K1308" s="22">
        <f t="array" ref="K1308">IF($D1308="","",IFERROR(INDEX(MASTER_SOURCE!$C$2:$C$495,MATCH($I1308,MASTER_SOURCE!$A$2:$A$495,0)),""))</f>
        <v/>
      </c>
      <c r="L1308" s="22">
        <f t="array" ref="L1308">IF($D1308="","",IFERROR(INDEX(MASTER_SOURCE!$D$2:$D$495,MATCH($I1308,MASTER_SOURCE!$A$2:$A$495,0)),""))</f>
        <v/>
      </c>
      <c r="M1308" s="24" t="n"/>
      <c r="N1308" s="24" t="n"/>
      <c r="O1308" s="24" t="n"/>
      <c r="P1308" s="24" t="n"/>
      <c r="Q1308" s="22">
        <f>IF($D1308="","",IF(AND(OR(DANH_MUC!$L$5&lt;&gt;"Có",M1308="Có"),OR(DANH_MUC!$L$6&lt;&gt;"Có",N1308="Có"),OR(DANH_MUC!$L$7&lt;&gt;"Có",O1308="Có"),OR(DANH_MUC!$L$8&lt;&gt;"Có",P1308="Có")),"Có","Không"))</f>
        <v/>
      </c>
      <c r="R1308" s="22">
        <f>IF($D1308="","",IF(COUNTIF($D$2:$D1308,$D1308)&gt;1,"Trùng",""))</f>
        <v/>
      </c>
      <c r="S1308" s="22">
        <f>IF($D1308="","",IF(AND(LEN($D1308)=10,LEFT($D1308,1)="0",ISNUMBER(--$D1308)),"Có","Không"))</f>
        <v/>
      </c>
      <c r="T1308" s="22">
        <f>IF($D1308="","",IF(AND($C1308&lt;&gt;"",$Q1308="Có",$R1308="",$S1308="Có",AND($L1308&lt;&gt;"",OR($L1308&lt;&gt;"Chưa xác định",DANH_MUC!$L$9="Có"))),"Có","Không"))</f>
        <v/>
      </c>
      <c r="U1308" s="22">
        <f>IF(OR($D1308="",$T1308="Có"),"",IF($C1308="","Thiếu họ tên; ","")&amp;IF($S1308&lt;&gt;"Có","SĐT sai định dạng; ","")&amp;IF($R1308="Trùng","Trùng SĐT; ","")&amp;IF($Q1308&lt;&gt;"Có","Thiếu đồng ý bắt buộc; ","")&amp;IF($L1308="","Thiếu/sai Mã REF; ",IF(AND($L1308="Chưa xác định",DANH_MUC!$L$9&lt;&gt;"Có"),"Nguồn chưa xác định; ","")))</f>
        <v/>
      </c>
      <c r="V1308" s="22">
        <f>IF(OR($D1308="",$R1308="Trùng"),"",IF(COUNTIF(ORDERS!$C$2:$C$4995,$D1308)&gt;0,"Có","Không"))</f>
        <v/>
      </c>
      <c r="W1308" s="22">
        <f>IF(OR($D1308="",$R1308="Trùng"),"",COUNTIFS(ORDERS!$C$2:$C$4995,$D1308,ORDERS!$L$2:$L$4995,"Đã chuyển khoản"))</f>
        <v/>
      </c>
      <c r="X1308" s="23">
        <f>IF(OR($D1308="",$R1308="Trùng"),"",SUMIFS(ORDERS!$J$2:$J$4995,ORDERS!$C$2:$C$4995,$D1308,ORDERS!$L$2:$L$4995,"Đã chuyển khoản"))</f>
        <v/>
      </c>
      <c r="Y1308" s="24" t="n"/>
    </row>
    <row r="1309" ht="14.25" customHeight="1" s="40">
      <c r="A1309" s="24" t="n"/>
      <c r="B1309" s="27" t="n"/>
      <c r="C1309" s="24" t="n"/>
      <c r="D1309" s="28" t="n"/>
      <c r="E1309" s="29" t="n"/>
      <c r="F1309" s="24" t="n"/>
      <c r="G1309" s="24" t="n"/>
      <c r="H1309" s="21">
        <f>IF(ISNUMBER($B1309),INT($B1309)-WEEKDAY($B1309,2)+1,"")</f>
        <v/>
      </c>
      <c r="I1309" s="24" t="n"/>
      <c r="J1309" s="22">
        <f t="array" ref="J1309">IF($D1309="","",IF($I1309="","(trống REF)",IFERROR(INDEX(MASTER_SOURCE!$B$2:$B$495,MATCH($I1309,MASTER_SOURCE!$A$2:$A$495,0)),"(REF không có trong MASTER_SOURCE)")))</f>
        <v/>
      </c>
      <c r="K1309" s="22">
        <f t="array" ref="K1309">IF($D1309="","",IFERROR(INDEX(MASTER_SOURCE!$C$2:$C$495,MATCH($I1309,MASTER_SOURCE!$A$2:$A$495,0)),""))</f>
        <v/>
      </c>
      <c r="L1309" s="22">
        <f t="array" ref="L1309">IF($D1309="","",IFERROR(INDEX(MASTER_SOURCE!$D$2:$D$495,MATCH($I1309,MASTER_SOURCE!$A$2:$A$495,0)),""))</f>
        <v/>
      </c>
      <c r="M1309" s="24" t="n"/>
      <c r="N1309" s="24" t="n"/>
      <c r="O1309" s="24" t="n"/>
      <c r="P1309" s="24" t="n"/>
      <c r="Q1309" s="22">
        <f>IF($D1309="","",IF(AND(OR(DANH_MUC!$L$5&lt;&gt;"Có",M1309="Có"),OR(DANH_MUC!$L$6&lt;&gt;"Có",N1309="Có"),OR(DANH_MUC!$L$7&lt;&gt;"Có",O1309="Có"),OR(DANH_MUC!$L$8&lt;&gt;"Có",P1309="Có")),"Có","Không"))</f>
        <v/>
      </c>
      <c r="R1309" s="22">
        <f>IF($D1309="","",IF(COUNTIF($D$2:$D1309,$D1309)&gt;1,"Trùng",""))</f>
        <v/>
      </c>
      <c r="S1309" s="22">
        <f>IF($D1309="","",IF(AND(LEN($D1309)=10,LEFT($D1309,1)="0",ISNUMBER(--$D1309)),"Có","Không"))</f>
        <v/>
      </c>
      <c r="T1309" s="22">
        <f>IF($D1309="","",IF(AND($C1309&lt;&gt;"",$Q1309="Có",$R1309="",$S1309="Có",AND($L1309&lt;&gt;"",OR($L1309&lt;&gt;"Chưa xác định",DANH_MUC!$L$9="Có"))),"Có","Không"))</f>
        <v/>
      </c>
      <c r="U1309" s="22">
        <f>IF(OR($D1309="",$T1309="Có"),"",IF($C1309="","Thiếu họ tên; ","")&amp;IF($S1309&lt;&gt;"Có","SĐT sai định dạng; ","")&amp;IF($R1309="Trùng","Trùng SĐT; ","")&amp;IF($Q1309&lt;&gt;"Có","Thiếu đồng ý bắt buộc; ","")&amp;IF($L1309="","Thiếu/sai Mã REF; ",IF(AND($L1309="Chưa xác định",DANH_MUC!$L$9&lt;&gt;"Có"),"Nguồn chưa xác định; ","")))</f>
        <v/>
      </c>
      <c r="V1309" s="22">
        <f>IF(OR($D1309="",$R1309="Trùng"),"",IF(COUNTIF(ORDERS!$C$2:$C$4995,$D1309)&gt;0,"Có","Không"))</f>
        <v/>
      </c>
      <c r="W1309" s="22">
        <f>IF(OR($D1309="",$R1309="Trùng"),"",COUNTIFS(ORDERS!$C$2:$C$4995,$D1309,ORDERS!$L$2:$L$4995,"Đã chuyển khoản"))</f>
        <v/>
      </c>
      <c r="X1309" s="23">
        <f>IF(OR($D1309="",$R1309="Trùng"),"",SUMIFS(ORDERS!$J$2:$J$4995,ORDERS!$C$2:$C$4995,$D1309,ORDERS!$L$2:$L$4995,"Đã chuyển khoản"))</f>
        <v/>
      </c>
      <c r="Y1309" s="24" t="n"/>
    </row>
    <row r="1310" ht="14.25" customHeight="1" s="40">
      <c r="A1310" s="24" t="n"/>
      <c r="B1310" s="27" t="n"/>
      <c r="C1310" s="24" t="n"/>
      <c r="D1310" s="28" t="n"/>
      <c r="E1310" s="29" t="n"/>
      <c r="F1310" s="24" t="n"/>
      <c r="G1310" s="24" t="n"/>
      <c r="H1310" s="21">
        <f>IF(ISNUMBER($B1310),INT($B1310)-WEEKDAY($B1310,2)+1,"")</f>
        <v/>
      </c>
      <c r="I1310" s="24" t="n"/>
      <c r="J1310" s="22">
        <f t="array" ref="J1310">IF($D1310="","",IF($I1310="","(trống REF)",IFERROR(INDEX(MASTER_SOURCE!$B$2:$B$495,MATCH($I1310,MASTER_SOURCE!$A$2:$A$495,0)),"(REF không có trong MASTER_SOURCE)")))</f>
        <v/>
      </c>
      <c r="K1310" s="22">
        <f t="array" ref="K1310">IF($D1310="","",IFERROR(INDEX(MASTER_SOURCE!$C$2:$C$495,MATCH($I1310,MASTER_SOURCE!$A$2:$A$495,0)),""))</f>
        <v/>
      </c>
      <c r="L1310" s="22">
        <f t="array" ref="L1310">IF($D1310="","",IFERROR(INDEX(MASTER_SOURCE!$D$2:$D$495,MATCH($I1310,MASTER_SOURCE!$A$2:$A$495,0)),""))</f>
        <v/>
      </c>
      <c r="M1310" s="24" t="n"/>
      <c r="N1310" s="24" t="n"/>
      <c r="O1310" s="24" t="n"/>
      <c r="P1310" s="24" t="n"/>
      <c r="Q1310" s="22">
        <f>IF($D1310="","",IF(AND(OR(DANH_MUC!$L$5&lt;&gt;"Có",M1310="Có"),OR(DANH_MUC!$L$6&lt;&gt;"Có",N1310="Có"),OR(DANH_MUC!$L$7&lt;&gt;"Có",O1310="Có"),OR(DANH_MUC!$L$8&lt;&gt;"Có",P1310="Có")),"Có","Không"))</f>
        <v/>
      </c>
      <c r="R1310" s="22">
        <f>IF($D1310="","",IF(COUNTIF($D$2:$D1310,$D1310)&gt;1,"Trùng",""))</f>
        <v/>
      </c>
      <c r="S1310" s="22">
        <f>IF($D1310="","",IF(AND(LEN($D1310)=10,LEFT($D1310,1)="0",ISNUMBER(--$D1310)),"Có","Không"))</f>
        <v/>
      </c>
      <c r="T1310" s="22">
        <f>IF($D1310="","",IF(AND($C1310&lt;&gt;"",$Q1310="Có",$R1310="",$S1310="Có",AND($L1310&lt;&gt;"",OR($L1310&lt;&gt;"Chưa xác định",DANH_MUC!$L$9="Có"))),"Có","Không"))</f>
        <v/>
      </c>
      <c r="U1310" s="22">
        <f>IF(OR($D1310="",$T1310="Có"),"",IF($C1310="","Thiếu họ tên; ","")&amp;IF($S1310&lt;&gt;"Có","SĐT sai định dạng; ","")&amp;IF($R1310="Trùng","Trùng SĐT; ","")&amp;IF($Q1310&lt;&gt;"Có","Thiếu đồng ý bắt buộc; ","")&amp;IF($L1310="","Thiếu/sai Mã REF; ",IF(AND($L1310="Chưa xác định",DANH_MUC!$L$9&lt;&gt;"Có"),"Nguồn chưa xác định; ","")))</f>
        <v/>
      </c>
      <c r="V1310" s="22">
        <f>IF(OR($D1310="",$R1310="Trùng"),"",IF(COUNTIF(ORDERS!$C$2:$C$4995,$D1310)&gt;0,"Có","Không"))</f>
        <v/>
      </c>
      <c r="W1310" s="22">
        <f>IF(OR($D1310="",$R1310="Trùng"),"",COUNTIFS(ORDERS!$C$2:$C$4995,$D1310,ORDERS!$L$2:$L$4995,"Đã chuyển khoản"))</f>
        <v/>
      </c>
      <c r="X1310" s="23">
        <f>IF(OR($D1310="",$R1310="Trùng"),"",SUMIFS(ORDERS!$J$2:$J$4995,ORDERS!$C$2:$C$4995,$D1310,ORDERS!$L$2:$L$4995,"Đã chuyển khoản"))</f>
        <v/>
      </c>
      <c r="Y1310" s="24" t="n"/>
    </row>
    <row r="1311" ht="14.25" customHeight="1" s="40">
      <c r="A1311" s="24" t="n"/>
      <c r="B1311" s="27" t="n"/>
      <c r="C1311" s="24" t="n"/>
      <c r="D1311" s="28" t="n"/>
      <c r="E1311" s="29" t="n"/>
      <c r="F1311" s="24" t="n"/>
      <c r="G1311" s="24" t="n"/>
      <c r="H1311" s="21">
        <f>IF(ISNUMBER($B1311),INT($B1311)-WEEKDAY($B1311,2)+1,"")</f>
        <v/>
      </c>
      <c r="I1311" s="24" t="n"/>
      <c r="J1311" s="22">
        <f t="array" ref="J1311">IF($D1311="","",IF($I1311="","(trống REF)",IFERROR(INDEX(MASTER_SOURCE!$B$2:$B$495,MATCH($I1311,MASTER_SOURCE!$A$2:$A$495,0)),"(REF không có trong MASTER_SOURCE)")))</f>
        <v/>
      </c>
      <c r="K1311" s="22">
        <f t="array" ref="K1311">IF($D1311="","",IFERROR(INDEX(MASTER_SOURCE!$C$2:$C$495,MATCH($I1311,MASTER_SOURCE!$A$2:$A$495,0)),""))</f>
        <v/>
      </c>
      <c r="L1311" s="22">
        <f t="array" ref="L1311">IF($D1311="","",IFERROR(INDEX(MASTER_SOURCE!$D$2:$D$495,MATCH($I1311,MASTER_SOURCE!$A$2:$A$495,0)),""))</f>
        <v/>
      </c>
      <c r="M1311" s="24" t="n"/>
      <c r="N1311" s="24" t="n"/>
      <c r="O1311" s="24" t="n"/>
      <c r="P1311" s="24" t="n"/>
      <c r="Q1311" s="22">
        <f>IF($D1311="","",IF(AND(OR(DANH_MUC!$L$5&lt;&gt;"Có",M1311="Có"),OR(DANH_MUC!$L$6&lt;&gt;"Có",N1311="Có"),OR(DANH_MUC!$L$7&lt;&gt;"Có",O1311="Có"),OR(DANH_MUC!$L$8&lt;&gt;"Có",P1311="Có")),"Có","Không"))</f>
        <v/>
      </c>
      <c r="R1311" s="22">
        <f>IF($D1311="","",IF(COUNTIF($D$2:$D1311,$D1311)&gt;1,"Trùng",""))</f>
        <v/>
      </c>
      <c r="S1311" s="22">
        <f>IF($D1311="","",IF(AND(LEN($D1311)=10,LEFT($D1311,1)="0",ISNUMBER(--$D1311)),"Có","Không"))</f>
        <v/>
      </c>
      <c r="T1311" s="22">
        <f>IF($D1311="","",IF(AND($C1311&lt;&gt;"",$Q1311="Có",$R1311="",$S1311="Có",AND($L1311&lt;&gt;"",OR($L1311&lt;&gt;"Chưa xác định",DANH_MUC!$L$9="Có"))),"Có","Không"))</f>
        <v/>
      </c>
      <c r="U1311" s="22">
        <f>IF(OR($D1311="",$T1311="Có"),"",IF($C1311="","Thiếu họ tên; ","")&amp;IF($S1311&lt;&gt;"Có","SĐT sai định dạng; ","")&amp;IF($R1311="Trùng","Trùng SĐT; ","")&amp;IF($Q1311&lt;&gt;"Có","Thiếu đồng ý bắt buộc; ","")&amp;IF($L1311="","Thiếu/sai Mã REF; ",IF(AND($L1311="Chưa xác định",DANH_MUC!$L$9&lt;&gt;"Có"),"Nguồn chưa xác định; ","")))</f>
        <v/>
      </c>
      <c r="V1311" s="22">
        <f>IF(OR($D1311="",$R1311="Trùng"),"",IF(COUNTIF(ORDERS!$C$2:$C$4995,$D1311)&gt;0,"Có","Không"))</f>
        <v/>
      </c>
      <c r="W1311" s="22">
        <f>IF(OR($D1311="",$R1311="Trùng"),"",COUNTIFS(ORDERS!$C$2:$C$4995,$D1311,ORDERS!$L$2:$L$4995,"Đã chuyển khoản"))</f>
        <v/>
      </c>
      <c r="X1311" s="23">
        <f>IF(OR($D1311="",$R1311="Trùng"),"",SUMIFS(ORDERS!$J$2:$J$4995,ORDERS!$C$2:$C$4995,$D1311,ORDERS!$L$2:$L$4995,"Đã chuyển khoản"))</f>
        <v/>
      </c>
      <c r="Y1311" s="24" t="n"/>
    </row>
    <row r="1312" ht="14.25" customHeight="1" s="40">
      <c r="A1312" s="24" t="n"/>
      <c r="B1312" s="27" t="n"/>
      <c r="C1312" s="24" t="n"/>
      <c r="D1312" s="28" t="n"/>
      <c r="E1312" s="29" t="n"/>
      <c r="F1312" s="24" t="n"/>
      <c r="G1312" s="24" t="n"/>
      <c r="H1312" s="21">
        <f>IF(ISNUMBER($B1312),INT($B1312)-WEEKDAY($B1312,2)+1,"")</f>
        <v/>
      </c>
      <c r="I1312" s="24" t="n"/>
      <c r="J1312" s="22">
        <f t="array" ref="J1312">IF($D1312="","",IF($I1312="","(trống REF)",IFERROR(INDEX(MASTER_SOURCE!$B$2:$B$495,MATCH($I1312,MASTER_SOURCE!$A$2:$A$495,0)),"(REF không có trong MASTER_SOURCE)")))</f>
        <v/>
      </c>
      <c r="K1312" s="22">
        <f t="array" ref="K1312">IF($D1312="","",IFERROR(INDEX(MASTER_SOURCE!$C$2:$C$495,MATCH($I1312,MASTER_SOURCE!$A$2:$A$495,0)),""))</f>
        <v/>
      </c>
      <c r="L1312" s="22">
        <f t="array" ref="L1312">IF($D1312="","",IFERROR(INDEX(MASTER_SOURCE!$D$2:$D$495,MATCH($I1312,MASTER_SOURCE!$A$2:$A$495,0)),""))</f>
        <v/>
      </c>
      <c r="M1312" s="24" t="n"/>
      <c r="N1312" s="24" t="n"/>
      <c r="O1312" s="24" t="n"/>
      <c r="P1312" s="24" t="n"/>
      <c r="Q1312" s="22">
        <f>IF($D1312="","",IF(AND(OR(DANH_MUC!$L$5&lt;&gt;"Có",M1312="Có"),OR(DANH_MUC!$L$6&lt;&gt;"Có",N1312="Có"),OR(DANH_MUC!$L$7&lt;&gt;"Có",O1312="Có"),OR(DANH_MUC!$L$8&lt;&gt;"Có",P1312="Có")),"Có","Không"))</f>
        <v/>
      </c>
      <c r="R1312" s="22">
        <f>IF($D1312="","",IF(COUNTIF($D$2:$D1312,$D1312)&gt;1,"Trùng",""))</f>
        <v/>
      </c>
      <c r="S1312" s="22">
        <f>IF($D1312="","",IF(AND(LEN($D1312)=10,LEFT($D1312,1)="0",ISNUMBER(--$D1312)),"Có","Không"))</f>
        <v/>
      </c>
      <c r="T1312" s="22">
        <f>IF($D1312="","",IF(AND($C1312&lt;&gt;"",$Q1312="Có",$R1312="",$S1312="Có",AND($L1312&lt;&gt;"",OR($L1312&lt;&gt;"Chưa xác định",DANH_MUC!$L$9="Có"))),"Có","Không"))</f>
        <v/>
      </c>
      <c r="U1312" s="22">
        <f>IF(OR($D1312="",$T1312="Có"),"",IF($C1312="","Thiếu họ tên; ","")&amp;IF($S1312&lt;&gt;"Có","SĐT sai định dạng; ","")&amp;IF($R1312="Trùng","Trùng SĐT; ","")&amp;IF($Q1312&lt;&gt;"Có","Thiếu đồng ý bắt buộc; ","")&amp;IF($L1312="","Thiếu/sai Mã REF; ",IF(AND($L1312="Chưa xác định",DANH_MUC!$L$9&lt;&gt;"Có"),"Nguồn chưa xác định; ","")))</f>
        <v/>
      </c>
      <c r="V1312" s="22">
        <f>IF(OR($D1312="",$R1312="Trùng"),"",IF(COUNTIF(ORDERS!$C$2:$C$4995,$D1312)&gt;0,"Có","Không"))</f>
        <v/>
      </c>
      <c r="W1312" s="22">
        <f>IF(OR($D1312="",$R1312="Trùng"),"",COUNTIFS(ORDERS!$C$2:$C$4995,$D1312,ORDERS!$L$2:$L$4995,"Đã chuyển khoản"))</f>
        <v/>
      </c>
      <c r="X1312" s="23">
        <f>IF(OR($D1312="",$R1312="Trùng"),"",SUMIFS(ORDERS!$J$2:$J$4995,ORDERS!$C$2:$C$4995,$D1312,ORDERS!$L$2:$L$4995,"Đã chuyển khoản"))</f>
        <v/>
      </c>
      <c r="Y1312" s="24" t="n"/>
    </row>
    <row r="1313" ht="14.25" customHeight="1" s="40">
      <c r="A1313" s="24" t="n"/>
      <c r="B1313" s="27" t="n"/>
      <c r="C1313" s="24" t="n"/>
      <c r="D1313" s="28" t="n"/>
      <c r="E1313" s="29" t="n"/>
      <c r="F1313" s="24" t="n"/>
      <c r="G1313" s="24" t="n"/>
      <c r="H1313" s="21">
        <f>IF(ISNUMBER($B1313),INT($B1313)-WEEKDAY($B1313,2)+1,"")</f>
        <v/>
      </c>
      <c r="I1313" s="24" t="n"/>
      <c r="J1313" s="22">
        <f t="array" ref="J1313">IF($D1313="","",IF($I1313="","(trống REF)",IFERROR(INDEX(MASTER_SOURCE!$B$2:$B$495,MATCH($I1313,MASTER_SOURCE!$A$2:$A$495,0)),"(REF không có trong MASTER_SOURCE)")))</f>
        <v/>
      </c>
      <c r="K1313" s="22">
        <f t="array" ref="K1313">IF($D1313="","",IFERROR(INDEX(MASTER_SOURCE!$C$2:$C$495,MATCH($I1313,MASTER_SOURCE!$A$2:$A$495,0)),""))</f>
        <v/>
      </c>
      <c r="L1313" s="22">
        <f t="array" ref="L1313">IF($D1313="","",IFERROR(INDEX(MASTER_SOURCE!$D$2:$D$495,MATCH($I1313,MASTER_SOURCE!$A$2:$A$495,0)),""))</f>
        <v/>
      </c>
      <c r="M1313" s="24" t="n"/>
      <c r="N1313" s="24" t="n"/>
      <c r="O1313" s="24" t="n"/>
      <c r="P1313" s="24" t="n"/>
      <c r="Q1313" s="22">
        <f>IF($D1313="","",IF(AND(OR(DANH_MUC!$L$5&lt;&gt;"Có",M1313="Có"),OR(DANH_MUC!$L$6&lt;&gt;"Có",N1313="Có"),OR(DANH_MUC!$L$7&lt;&gt;"Có",O1313="Có"),OR(DANH_MUC!$L$8&lt;&gt;"Có",P1313="Có")),"Có","Không"))</f>
        <v/>
      </c>
      <c r="R1313" s="22">
        <f>IF($D1313="","",IF(COUNTIF($D$2:$D1313,$D1313)&gt;1,"Trùng",""))</f>
        <v/>
      </c>
      <c r="S1313" s="22">
        <f>IF($D1313="","",IF(AND(LEN($D1313)=10,LEFT($D1313,1)="0",ISNUMBER(--$D1313)),"Có","Không"))</f>
        <v/>
      </c>
      <c r="T1313" s="22">
        <f>IF($D1313="","",IF(AND($C1313&lt;&gt;"",$Q1313="Có",$R1313="",$S1313="Có",AND($L1313&lt;&gt;"",OR($L1313&lt;&gt;"Chưa xác định",DANH_MUC!$L$9="Có"))),"Có","Không"))</f>
        <v/>
      </c>
      <c r="U1313" s="22">
        <f>IF(OR($D1313="",$T1313="Có"),"",IF($C1313="","Thiếu họ tên; ","")&amp;IF($S1313&lt;&gt;"Có","SĐT sai định dạng; ","")&amp;IF($R1313="Trùng","Trùng SĐT; ","")&amp;IF($Q1313&lt;&gt;"Có","Thiếu đồng ý bắt buộc; ","")&amp;IF($L1313="","Thiếu/sai Mã REF; ",IF(AND($L1313="Chưa xác định",DANH_MUC!$L$9&lt;&gt;"Có"),"Nguồn chưa xác định; ","")))</f>
        <v/>
      </c>
      <c r="V1313" s="22">
        <f>IF(OR($D1313="",$R1313="Trùng"),"",IF(COUNTIF(ORDERS!$C$2:$C$4995,$D1313)&gt;0,"Có","Không"))</f>
        <v/>
      </c>
      <c r="W1313" s="22">
        <f>IF(OR($D1313="",$R1313="Trùng"),"",COUNTIFS(ORDERS!$C$2:$C$4995,$D1313,ORDERS!$L$2:$L$4995,"Đã chuyển khoản"))</f>
        <v/>
      </c>
      <c r="X1313" s="23">
        <f>IF(OR($D1313="",$R1313="Trùng"),"",SUMIFS(ORDERS!$J$2:$J$4995,ORDERS!$C$2:$C$4995,$D1313,ORDERS!$L$2:$L$4995,"Đã chuyển khoản"))</f>
        <v/>
      </c>
      <c r="Y1313" s="24" t="n"/>
    </row>
    <row r="1314" ht="14.25" customHeight="1" s="40">
      <c r="A1314" s="24" t="n"/>
      <c r="B1314" s="27" t="n"/>
      <c r="C1314" s="24" t="n"/>
      <c r="D1314" s="28" t="n"/>
      <c r="E1314" s="29" t="n"/>
      <c r="F1314" s="24" t="n"/>
      <c r="G1314" s="24" t="n"/>
      <c r="H1314" s="21">
        <f>IF(ISNUMBER($B1314),INT($B1314)-WEEKDAY($B1314,2)+1,"")</f>
        <v/>
      </c>
      <c r="I1314" s="24" t="n"/>
      <c r="J1314" s="22">
        <f t="array" ref="J1314">IF($D1314="","",IF($I1314="","(trống REF)",IFERROR(INDEX(MASTER_SOURCE!$B$2:$B$495,MATCH($I1314,MASTER_SOURCE!$A$2:$A$495,0)),"(REF không có trong MASTER_SOURCE)")))</f>
        <v/>
      </c>
      <c r="K1314" s="22">
        <f t="array" ref="K1314">IF($D1314="","",IFERROR(INDEX(MASTER_SOURCE!$C$2:$C$495,MATCH($I1314,MASTER_SOURCE!$A$2:$A$495,0)),""))</f>
        <v/>
      </c>
      <c r="L1314" s="22">
        <f t="array" ref="L1314">IF($D1314="","",IFERROR(INDEX(MASTER_SOURCE!$D$2:$D$495,MATCH($I1314,MASTER_SOURCE!$A$2:$A$495,0)),""))</f>
        <v/>
      </c>
      <c r="M1314" s="24" t="n"/>
      <c r="N1314" s="24" t="n"/>
      <c r="O1314" s="24" t="n"/>
      <c r="P1314" s="24" t="n"/>
      <c r="Q1314" s="22">
        <f>IF($D1314="","",IF(AND(OR(DANH_MUC!$L$5&lt;&gt;"Có",M1314="Có"),OR(DANH_MUC!$L$6&lt;&gt;"Có",N1314="Có"),OR(DANH_MUC!$L$7&lt;&gt;"Có",O1314="Có"),OR(DANH_MUC!$L$8&lt;&gt;"Có",P1314="Có")),"Có","Không"))</f>
        <v/>
      </c>
      <c r="R1314" s="22">
        <f>IF($D1314="","",IF(COUNTIF($D$2:$D1314,$D1314)&gt;1,"Trùng",""))</f>
        <v/>
      </c>
      <c r="S1314" s="22">
        <f>IF($D1314="","",IF(AND(LEN($D1314)=10,LEFT($D1314,1)="0",ISNUMBER(--$D1314)),"Có","Không"))</f>
        <v/>
      </c>
      <c r="T1314" s="22">
        <f>IF($D1314="","",IF(AND($C1314&lt;&gt;"",$Q1314="Có",$R1314="",$S1314="Có",AND($L1314&lt;&gt;"",OR($L1314&lt;&gt;"Chưa xác định",DANH_MUC!$L$9="Có"))),"Có","Không"))</f>
        <v/>
      </c>
      <c r="U1314" s="22">
        <f>IF(OR($D1314="",$T1314="Có"),"",IF($C1314="","Thiếu họ tên; ","")&amp;IF($S1314&lt;&gt;"Có","SĐT sai định dạng; ","")&amp;IF($R1314="Trùng","Trùng SĐT; ","")&amp;IF($Q1314&lt;&gt;"Có","Thiếu đồng ý bắt buộc; ","")&amp;IF($L1314="","Thiếu/sai Mã REF; ",IF(AND($L1314="Chưa xác định",DANH_MUC!$L$9&lt;&gt;"Có"),"Nguồn chưa xác định; ","")))</f>
        <v/>
      </c>
      <c r="V1314" s="22">
        <f>IF(OR($D1314="",$R1314="Trùng"),"",IF(COUNTIF(ORDERS!$C$2:$C$4995,$D1314)&gt;0,"Có","Không"))</f>
        <v/>
      </c>
      <c r="W1314" s="22">
        <f>IF(OR($D1314="",$R1314="Trùng"),"",COUNTIFS(ORDERS!$C$2:$C$4995,$D1314,ORDERS!$L$2:$L$4995,"Đã chuyển khoản"))</f>
        <v/>
      </c>
      <c r="X1314" s="23">
        <f>IF(OR($D1314="",$R1314="Trùng"),"",SUMIFS(ORDERS!$J$2:$J$4995,ORDERS!$C$2:$C$4995,$D1314,ORDERS!$L$2:$L$4995,"Đã chuyển khoản"))</f>
        <v/>
      </c>
      <c r="Y1314" s="24" t="n"/>
    </row>
    <row r="1315" ht="14.25" customHeight="1" s="40">
      <c r="A1315" s="24" t="n"/>
      <c r="B1315" s="27" t="n"/>
      <c r="C1315" s="24" t="n"/>
      <c r="D1315" s="28" t="n"/>
      <c r="E1315" s="29" t="n"/>
      <c r="F1315" s="24" t="n"/>
      <c r="G1315" s="24" t="n"/>
      <c r="H1315" s="21">
        <f>IF(ISNUMBER($B1315),INT($B1315)-WEEKDAY($B1315,2)+1,"")</f>
        <v/>
      </c>
      <c r="I1315" s="24" t="n"/>
      <c r="J1315" s="22">
        <f t="array" ref="J1315">IF($D1315="","",IF($I1315="","(trống REF)",IFERROR(INDEX(MASTER_SOURCE!$B$2:$B$495,MATCH($I1315,MASTER_SOURCE!$A$2:$A$495,0)),"(REF không có trong MASTER_SOURCE)")))</f>
        <v/>
      </c>
      <c r="K1315" s="22">
        <f t="array" ref="K1315">IF($D1315="","",IFERROR(INDEX(MASTER_SOURCE!$C$2:$C$495,MATCH($I1315,MASTER_SOURCE!$A$2:$A$495,0)),""))</f>
        <v/>
      </c>
      <c r="L1315" s="22">
        <f t="array" ref="L1315">IF($D1315="","",IFERROR(INDEX(MASTER_SOURCE!$D$2:$D$495,MATCH($I1315,MASTER_SOURCE!$A$2:$A$495,0)),""))</f>
        <v/>
      </c>
      <c r="M1315" s="24" t="n"/>
      <c r="N1315" s="24" t="n"/>
      <c r="O1315" s="24" t="n"/>
      <c r="P1315" s="24" t="n"/>
      <c r="Q1315" s="22">
        <f>IF($D1315="","",IF(AND(OR(DANH_MUC!$L$5&lt;&gt;"Có",M1315="Có"),OR(DANH_MUC!$L$6&lt;&gt;"Có",N1315="Có"),OR(DANH_MUC!$L$7&lt;&gt;"Có",O1315="Có"),OR(DANH_MUC!$L$8&lt;&gt;"Có",P1315="Có")),"Có","Không"))</f>
        <v/>
      </c>
      <c r="R1315" s="22">
        <f>IF($D1315="","",IF(COUNTIF($D$2:$D1315,$D1315)&gt;1,"Trùng",""))</f>
        <v/>
      </c>
      <c r="S1315" s="22">
        <f>IF($D1315="","",IF(AND(LEN($D1315)=10,LEFT($D1315,1)="0",ISNUMBER(--$D1315)),"Có","Không"))</f>
        <v/>
      </c>
      <c r="T1315" s="22">
        <f>IF($D1315="","",IF(AND($C1315&lt;&gt;"",$Q1315="Có",$R1315="",$S1315="Có",AND($L1315&lt;&gt;"",OR($L1315&lt;&gt;"Chưa xác định",DANH_MUC!$L$9="Có"))),"Có","Không"))</f>
        <v/>
      </c>
      <c r="U1315" s="22">
        <f>IF(OR($D1315="",$T1315="Có"),"",IF($C1315="","Thiếu họ tên; ","")&amp;IF($S1315&lt;&gt;"Có","SĐT sai định dạng; ","")&amp;IF($R1315="Trùng","Trùng SĐT; ","")&amp;IF($Q1315&lt;&gt;"Có","Thiếu đồng ý bắt buộc; ","")&amp;IF($L1315="","Thiếu/sai Mã REF; ",IF(AND($L1315="Chưa xác định",DANH_MUC!$L$9&lt;&gt;"Có"),"Nguồn chưa xác định; ","")))</f>
        <v/>
      </c>
      <c r="V1315" s="22">
        <f>IF(OR($D1315="",$R1315="Trùng"),"",IF(COUNTIF(ORDERS!$C$2:$C$4995,$D1315)&gt;0,"Có","Không"))</f>
        <v/>
      </c>
      <c r="W1315" s="22">
        <f>IF(OR($D1315="",$R1315="Trùng"),"",COUNTIFS(ORDERS!$C$2:$C$4995,$D1315,ORDERS!$L$2:$L$4995,"Đã chuyển khoản"))</f>
        <v/>
      </c>
      <c r="X1315" s="23">
        <f>IF(OR($D1315="",$R1315="Trùng"),"",SUMIFS(ORDERS!$J$2:$J$4995,ORDERS!$C$2:$C$4995,$D1315,ORDERS!$L$2:$L$4995,"Đã chuyển khoản"))</f>
        <v/>
      </c>
      <c r="Y1315" s="24" t="n"/>
    </row>
    <row r="1316" ht="14.25" customHeight="1" s="40">
      <c r="A1316" s="24" t="n"/>
      <c r="B1316" s="27" t="n"/>
      <c r="C1316" s="24" t="n"/>
      <c r="D1316" s="28" t="n"/>
      <c r="E1316" s="29" t="n"/>
      <c r="F1316" s="24" t="n"/>
      <c r="G1316" s="24" t="n"/>
      <c r="H1316" s="21">
        <f>IF(ISNUMBER($B1316),INT($B1316)-WEEKDAY($B1316,2)+1,"")</f>
        <v/>
      </c>
      <c r="I1316" s="24" t="n"/>
      <c r="J1316" s="22">
        <f t="array" ref="J1316">IF($D1316="","",IF($I1316="","(trống REF)",IFERROR(INDEX(MASTER_SOURCE!$B$2:$B$495,MATCH($I1316,MASTER_SOURCE!$A$2:$A$495,0)),"(REF không có trong MASTER_SOURCE)")))</f>
        <v/>
      </c>
      <c r="K1316" s="22">
        <f t="array" ref="K1316">IF($D1316="","",IFERROR(INDEX(MASTER_SOURCE!$C$2:$C$495,MATCH($I1316,MASTER_SOURCE!$A$2:$A$495,0)),""))</f>
        <v/>
      </c>
      <c r="L1316" s="22">
        <f t="array" ref="L1316">IF($D1316="","",IFERROR(INDEX(MASTER_SOURCE!$D$2:$D$495,MATCH($I1316,MASTER_SOURCE!$A$2:$A$495,0)),""))</f>
        <v/>
      </c>
      <c r="M1316" s="24" t="n"/>
      <c r="N1316" s="24" t="n"/>
      <c r="O1316" s="24" t="n"/>
      <c r="P1316" s="24" t="n"/>
      <c r="Q1316" s="22">
        <f>IF($D1316="","",IF(AND(OR(DANH_MUC!$L$5&lt;&gt;"Có",M1316="Có"),OR(DANH_MUC!$L$6&lt;&gt;"Có",N1316="Có"),OR(DANH_MUC!$L$7&lt;&gt;"Có",O1316="Có"),OR(DANH_MUC!$L$8&lt;&gt;"Có",P1316="Có")),"Có","Không"))</f>
        <v/>
      </c>
      <c r="R1316" s="22">
        <f>IF($D1316="","",IF(COUNTIF($D$2:$D1316,$D1316)&gt;1,"Trùng",""))</f>
        <v/>
      </c>
      <c r="S1316" s="22">
        <f>IF($D1316="","",IF(AND(LEN($D1316)=10,LEFT($D1316,1)="0",ISNUMBER(--$D1316)),"Có","Không"))</f>
        <v/>
      </c>
      <c r="T1316" s="22">
        <f>IF($D1316="","",IF(AND($C1316&lt;&gt;"",$Q1316="Có",$R1316="",$S1316="Có",AND($L1316&lt;&gt;"",OR($L1316&lt;&gt;"Chưa xác định",DANH_MUC!$L$9="Có"))),"Có","Không"))</f>
        <v/>
      </c>
      <c r="U1316" s="22">
        <f>IF(OR($D1316="",$T1316="Có"),"",IF($C1316="","Thiếu họ tên; ","")&amp;IF($S1316&lt;&gt;"Có","SĐT sai định dạng; ","")&amp;IF($R1316="Trùng","Trùng SĐT; ","")&amp;IF($Q1316&lt;&gt;"Có","Thiếu đồng ý bắt buộc; ","")&amp;IF($L1316="","Thiếu/sai Mã REF; ",IF(AND($L1316="Chưa xác định",DANH_MUC!$L$9&lt;&gt;"Có"),"Nguồn chưa xác định; ","")))</f>
        <v/>
      </c>
      <c r="V1316" s="22">
        <f>IF(OR($D1316="",$R1316="Trùng"),"",IF(COUNTIF(ORDERS!$C$2:$C$4995,$D1316)&gt;0,"Có","Không"))</f>
        <v/>
      </c>
      <c r="W1316" s="22">
        <f>IF(OR($D1316="",$R1316="Trùng"),"",COUNTIFS(ORDERS!$C$2:$C$4995,$D1316,ORDERS!$L$2:$L$4995,"Đã chuyển khoản"))</f>
        <v/>
      </c>
      <c r="X1316" s="23">
        <f>IF(OR($D1316="",$R1316="Trùng"),"",SUMIFS(ORDERS!$J$2:$J$4995,ORDERS!$C$2:$C$4995,$D1316,ORDERS!$L$2:$L$4995,"Đã chuyển khoản"))</f>
        <v/>
      </c>
      <c r="Y1316" s="24" t="n"/>
    </row>
    <row r="1317" ht="14.25" customHeight="1" s="40">
      <c r="A1317" s="24" t="n"/>
      <c r="B1317" s="27" t="n"/>
      <c r="C1317" s="24" t="n"/>
      <c r="D1317" s="28" t="n"/>
      <c r="E1317" s="29" t="n"/>
      <c r="F1317" s="24" t="n"/>
      <c r="G1317" s="24" t="n"/>
      <c r="H1317" s="21">
        <f>IF(ISNUMBER($B1317),INT($B1317)-WEEKDAY($B1317,2)+1,"")</f>
        <v/>
      </c>
      <c r="I1317" s="24" t="n"/>
      <c r="J1317" s="22">
        <f t="array" ref="J1317">IF($D1317="","",IF($I1317="","(trống REF)",IFERROR(INDEX(MASTER_SOURCE!$B$2:$B$495,MATCH($I1317,MASTER_SOURCE!$A$2:$A$495,0)),"(REF không có trong MASTER_SOURCE)")))</f>
        <v/>
      </c>
      <c r="K1317" s="22">
        <f t="array" ref="K1317">IF($D1317="","",IFERROR(INDEX(MASTER_SOURCE!$C$2:$C$495,MATCH($I1317,MASTER_SOURCE!$A$2:$A$495,0)),""))</f>
        <v/>
      </c>
      <c r="L1317" s="22">
        <f t="array" ref="L1317">IF($D1317="","",IFERROR(INDEX(MASTER_SOURCE!$D$2:$D$495,MATCH($I1317,MASTER_SOURCE!$A$2:$A$495,0)),""))</f>
        <v/>
      </c>
      <c r="M1317" s="24" t="n"/>
      <c r="N1317" s="24" t="n"/>
      <c r="O1317" s="24" t="n"/>
      <c r="P1317" s="24" t="n"/>
      <c r="Q1317" s="22">
        <f>IF($D1317="","",IF(AND(OR(DANH_MUC!$L$5&lt;&gt;"Có",M1317="Có"),OR(DANH_MUC!$L$6&lt;&gt;"Có",N1317="Có"),OR(DANH_MUC!$L$7&lt;&gt;"Có",O1317="Có"),OR(DANH_MUC!$L$8&lt;&gt;"Có",P1317="Có")),"Có","Không"))</f>
        <v/>
      </c>
      <c r="R1317" s="22">
        <f>IF($D1317="","",IF(COUNTIF($D$2:$D1317,$D1317)&gt;1,"Trùng",""))</f>
        <v/>
      </c>
      <c r="S1317" s="22">
        <f>IF($D1317="","",IF(AND(LEN($D1317)=10,LEFT($D1317,1)="0",ISNUMBER(--$D1317)),"Có","Không"))</f>
        <v/>
      </c>
      <c r="T1317" s="22">
        <f>IF($D1317="","",IF(AND($C1317&lt;&gt;"",$Q1317="Có",$R1317="",$S1317="Có",AND($L1317&lt;&gt;"",OR($L1317&lt;&gt;"Chưa xác định",DANH_MUC!$L$9="Có"))),"Có","Không"))</f>
        <v/>
      </c>
      <c r="U1317" s="22">
        <f>IF(OR($D1317="",$T1317="Có"),"",IF($C1317="","Thiếu họ tên; ","")&amp;IF($S1317&lt;&gt;"Có","SĐT sai định dạng; ","")&amp;IF($R1317="Trùng","Trùng SĐT; ","")&amp;IF($Q1317&lt;&gt;"Có","Thiếu đồng ý bắt buộc; ","")&amp;IF($L1317="","Thiếu/sai Mã REF; ",IF(AND($L1317="Chưa xác định",DANH_MUC!$L$9&lt;&gt;"Có"),"Nguồn chưa xác định; ","")))</f>
        <v/>
      </c>
      <c r="V1317" s="22">
        <f>IF(OR($D1317="",$R1317="Trùng"),"",IF(COUNTIF(ORDERS!$C$2:$C$4995,$D1317)&gt;0,"Có","Không"))</f>
        <v/>
      </c>
      <c r="W1317" s="22">
        <f>IF(OR($D1317="",$R1317="Trùng"),"",COUNTIFS(ORDERS!$C$2:$C$4995,$D1317,ORDERS!$L$2:$L$4995,"Đã chuyển khoản"))</f>
        <v/>
      </c>
      <c r="X1317" s="23">
        <f>IF(OR($D1317="",$R1317="Trùng"),"",SUMIFS(ORDERS!$J$2:$J$4995,ORDERS!$C$2:$C$4995,$D1317,ORDERS!$L$2:$L$4995,"Đã chuyển khoản"))</f>
        <v/>
      </c>
      <c r="Y1317" s="24" t="n"/>
    </row>
    <row r="1318" ht="14.25" customHeight="1" s="40">
      <c r="A1318" s="24" t="n"/>
      <c r="B1318" s="27" t="n"/>
      <c r="C1318" s="24" t="n"/>
      <c r="D1318" s="28" t="n"/>
      <c r="E1318" s="29" t="n"/>
      <c r="F1318" s="24" t="n"/>
      <c r="G1318" s="24" t="n"/>
      <c r="H1318" s="21">
        <f>IF(ISNUMBER($B1318),INT($B1318)-WEEKDAY($B1318,2)+1,"")</f>
        <v/>
      </c>
      <c r="I1318" s="24" t="n"/>
      <c r="J1318" s="22">
        <f t="array" ref="J1318">IF($D1318="","",IF($I1318="","(trống REF)",IFERROR(INDEX(MASTER_SOURCE!$B$2:$B$495,MATCH($I1318,MASTER_SOURCE!$A$2:$A$495,0)),"(REF không có trong MASTER_SOURCE)")))</f>
        <v/>
      </c>
      <c r="K1318" s="22">
        <f t="array" ref="K1318">IF($D1318="","",IFERROR(INDEX(MASTER_SOURCE!$C$2:$C$495,MATCH($I1318,MASTER_SOURCE!$A$2:$A$495,0)),""))</f>
        <v/>
      </c>
      <c r="L1318" s="22">
        <f t="array" ref="L1318">IF($D1318="","",IFERROR(INDEX(MASTER_SOURCE!$D$2:$D$495,MATCH($I1318,MASTER_SOURCE!$A$2:$A$495,0)),""))</f>
        <v/>
      </c>
      <c r="M1318" s="24" t="n"/>
      <c r="N1318" s="24" t="n"/>
      <c r="O1318" s="24" t="n"/>
      <c r="P1318" s="24" t="n"/>
      <c r="Q1318" s="22">
        <f>IF($D1318="","",IF(AND(OR(DANH_MUC!$L$5&lt;&gt;"Có",M1318="Có"),OR(DANH_MUC!$L$6&lt;&gt;"Có",N1318="Có"),OR(DANH_MUC!$L$7&lt;&gt;"Có",O1318="Có"),OR(DANH_MUC!$L$8&lt;&gt;"Có",P1318="Có")),"Có","Không"))</f>
        <v/>
      </c>
      <c r="R1318" s="22">
        <f>IF($D1318="","",IF(COUNTIF($D$2:$D1318,$D1318)&gt;1,"Trùng",""))</f>
        <v/>
      </c>
      <c r="S1318" s="22">
        <f>IF($D1318="","",IF(AND(LEN($D1318)=10,LEFT($D1318,1)="0",ISNUMBER(--$D1318)),"Có","Không"))</f>
        <v/>
      </c>
      <c r="T1318" s="22">
        <f>IF($D1318="","",IF(AND($C1318&lt;&gt;"",$Q1318="Có",$R1318="",$S1318="Có",AND($L1318&lt;&gt;"",OR($L1318&lt;&gt;"Chưa xác định",DANH_MUC!$L$9="Có"))),"Có","Không"))</f>
        <v/>
      </c>
      <c r="U1318" s="22">
        <f>IF(OR($D1318="",$T1318="Có"),"",IF($C1318="","Thiếu họ tên; ","")&amp;IF($S1318&lt;&gt;"Có","SĐT sai định dạng; ","")&amp;IF($R1318="Trùng","Trùng SĐT; ","")&amp;IF($Q1318&lt;&gt;"Có","Thiếu đồng ý bắt buộc; ","")&amp;IF($L1318="","Thiếu/sai Mã REF; ",IF(AND($L1318="Chưa xác định",DANH_MUC!$L$9&lt;&gt;"Có"),"Nguồn chưa xác định; ","")))</f>
        <v/>
      </c>
      <c r="V1318" s="22">
        <f>IF(OR($D1318="",$R1318="Trùng"),"",IF(COUNTIF(ORDERS!$C$2:$C$4995,$D1318)&gt;0,"Có","Không"))</f>
        <v/>
      </c>
      <c r="W1318" s="22">
        <f>IF(OR($D1318="",$R1318="Trùng"),"",COUNTIFS(ORDERS!$C$2:$C$4995,$D1318,ORDERS!$L$2:$L$4995,"Đã chuyển khoản"))</f>
        <v/>
      </c>
      <c r="X1318" s="23">
        <f>IF(OR($D1318="",$R1318="Trùng"),"",SUMIFS(ORDERS!$J$2:$J$4995,ORDERS!$C$2:$C$4995,$D1318,ORDERS!$L$2:$L$4995,"Đã chuyển khoản"))</f>
        <v/>
      </c>
      <c r="Y1318" s="24" t="n"/>
    </row>
    <row r="1319" ht="14.25" customHeight="1" s="40">
      <c r="A1319" s="24" t="n"/>
      <c r="B1319" s="27" t="n"/>
      <c r="C1319" s="24" t="n"/>
      <c r="D1319" s="28" t="n"/>
      <c r="E1319" s="29" t="n"/>
      <c r="F1319" s="24" t="n"/>
      <c r="G1319" s="24" t="n"/>
      <c r="H1319" s="21">
        <f>IF(ISNUMBER($B1319),INT($B1319)-WEEKDAY($B1319,2)+1,"")</f>
        <v/>
      </c>
      <c r="I1319" s="24" t="n"/>
      <c r="J1319" s="22">
        <f t="array" ref="J1319">IF($D1319="","",IF($I1319="","(trống REF)",IFERROR(INDEX(MASTER_SOURCE!$B$2:$B$495,MATCH($I1319,MASTER_SOURCE!$A$2:$A$495,0)),"(REF không có trong MASTER_SOURCE)")))</f>
        <v/>
      </c>
      <c r="K1319" s="22">
        <f t="array" ref="K1319">IF($D1319="","",IFERROR(INDEX(MASTER_SOURCE!$C$2:$C$495,MATCH($I1319,MASTER_SOURCE!$A$2:$A$495,0)),""))</f>
        <v/>
      </c>
      <c r="L1319" s="22">
        <f t="array" ref="L1319">IF($D1319="","",IFERROR(INDEX(MASTER_SOURCE!$D$2:$D$495,MATCH($I1319,MASTER_SOURCE!$A$2:$A$495,0)),""))</f>
        <v/>
      </c>
      <c r="M1319" s="24" t="n"/>
      <c r="N1319" s="24" t="n"/>
      <c r="O1319" s="24" t="n"/>
      <c r="P1319" s="24" t="n"/>
      <c r="Q1319" s="22">
        <f>IF($D1319="","",IF(AND(OR(DANH_MUC!$L$5&lt;&gt;"Có",M1319="Có"),OR(DANH_MUC!$L$6&lt;&gt;"Có",N1319="Có"),OR(DANH_MUC!$L$7&lt;&gt;"Có",O1319="Có"),OR(DANH_MUC!$L$8&lt;&gt;"Có",P1319="Có")),"Có","Không"))</f>
        <v/>
      </c>
      <c r="R1319" s="22">
        <f>IF($D1319="","",IF(COUNTIF($D$2:$D1319,$D1319)&gt;1,"Trùng",""))</f>
        <v/>
      </c>
      <c r="S1319" s="22">
        <f>IF($D1319="","",IF(AND(LEN($D1319)=10,LEFT($D1319,1)="0",ISNUMBER(--$D1319)),"Có","Không"))</f>
        <v/>
      </c>
      <c r="T1319" s="22">
        <f>IF($D1319="","",IF(AND($C1319&lt;&gt;"",$Q1319="Có",$R1319="",$S1319="Có",AND($L1319&lt;&gt;"",OR($L1319&lt;&gt;"Chưa xác định",DANH_MUC!$L$9="Có"))),"Có","Không"))</f>
        <v/>
      </c>
      <c r="U1319" s="22">
        <f>IF(OR($D1319="",$T1319="Có"),"",IF($C1319="","Thiếu họ tên; ","")&amp;IF($S1319&lt;&gt;"Có","SĐT sai định dạng; ","")&amp;IF($R1319="Trùng","Trùng SĐT; ","")&amp;IF($Q1319&lt;&gt;"Có","Thiếu đồng ý bắt buộc; ","")&amp;IF($L1319="","Thiếu/sai Mã REF; ",IF(AND($L1319="Chưa xác định",DANH_MUC!$L$9&lt;&gt;"Có"),"Nguồn chưa xác định; ","")))</f>
        <v/>
      </c>
      <c r="V1319" s="22">
        <f>IF(OR($D1319="",$R1319="Trùng"),"",IF(COUNTIF(ORDERS!$C$2:$C$4995,$D1319)&gt;0,"Có","Không"))</f>
        <v/>
      </c>
      <c r="W1319" s="22">
        <f>IF(OR($D1319="",$R1319="Trùng"),"",COUNTIFS(ORDERS!$C$2:$C$4995,$D1319,ORDERS!$L$2:$L$4995,"Đã chuyển khoản"))</f>
        <v/>
      </c>
      <c r="X1319" s="23">
        <f>IF(OR($D1319="",$R1319="Trùng"),"",SUMIFS(ORDERS!$J$2:$J$4995,ORDERS!$C$2:$C$4995,$D1319,ORDERS!$L$2:$L$4995,"Đã chuyển khoản"))</f>
        <v/>
      </c>
      <c r="Y1319" s="24" t="n"/>
    </row>
    <row r="1320" ht="14.25" customHeight="1" s="40">
      <c r="A1320" s="24" t="n"/>
      <c r="B1320" s="27" t="n"/>
      <c r="C1320" s="24" t="n"/>
      <c r="D1320" s="28" t="n"/>
      <c r="E1320" s="29" t="n"/>
      <c r="F1320" s="24" t="n"/>
      <c r="G1320" s="24" t="n"/>
      <c r="H1320" s="21">
        <f>IF(ISNUMBER($B1320),INT($B1320)-WEEKDAY($B1320,2)+1,"")</f>
        <v/>
      </c>
      <c r="I1320" s="24" t="n"/>
      <c r="J1320" s="22">
        <f t="array" ref="J1320">IF($D1320="","",IF($I1320="","(trống REF)",IFERROR(INDEX(MASTER_SOURCE!$B$2:$B$495,MATCH($I1320,MASTER_SOURCE!$A$2:$A$495,0)),"(REF không có trong MASTER_SOURCE)")))</f>
        <v/>
      </c>
      <c r="K1320" s="22">
        <f t="array" ref="K1320">IF($D1320="","",IFERROR(INDEX(MASTER_SOURCE!$C$2:$C$495,MATCH($I1320,MASTER_SOURCE!$A$2:$A$495,0)),""))</f>
        <v/>
      </c>
      <c r="L1320" s="22">
        <f t="array" ref="L1320">IF($D1320="","",IFERROR(INDEX(MASTER_SOURCE!$D$2:$D$495,MATCH($I1320,MASTER_SOURCE!$A$2:$A$495,0)),""))</f>
        <v/>
      </c>
      <c r="M1320" s="24" t="n"/>
      <c r="N1320" s="24" t="n"/>
      <c r="O1320" s="24" t="n"/>
      <c r="P1320" s="24" t="n"/>
      <c r="Q1320" s="22">
        <f>IF($D1320="","",IF(AND(OR(DANH_MUC!$L$5&lt;&gt;"Có",M1320="Có"),OR(DANH_MUC!$L$6&lt;&gt;"Có",N1320="Có"),OR(DANH_MUC!$L$7&lt;&gt;"Có",O1320="Có"),OR(DANH_MUC!$L$8&lt;&gt;"Có",P1320="Có")),"Có","Không"))</f>
        <v/>
      </c>
      <c r="R1320" s="22">
        <f>IF($D1320="","",IF(COUNTIF($D$2:$D1320,$D1320)&gt;1,"Trùng",""))</f>
        <v/>
      </c>
      <c r="S1320" s="22">
        <f>IF($D1320="","",IF(AND(LEN($D1320)=10,LEFT($D1320,1)="0",ISNUMBER(--$D1320)),"Có","Không"))</f>
        <v/>
      </c>
      <c r="T1320" s="22">
        <f>IF($D1320="","",IF(AND($C1320&lt;&gt;"",$Q1320="Có",$R1320="",$S1320="Có",AND($L1320&lt;&gt;"",OR($L1320&lt;&gt;"Chưa xác định",DANH_MUC!$L$9="Có"))),"Có","Không"))</f>
        <v/>
      </c>
      <c r="U1320" s="22">
        <f>IF(OR($D1320="",$T1320="Có"),"",IF($C1320="","Thiếu họ tên; ","")&amp;IF($S1320&lt;&gt;"Có","SĐT sai định dạng; ","")&amp;IF($R1320="Trùng","Trùng SĐT; ","")&amp;IF($Q1320&lt;&gt;"Có","Thiếu đồng ý bắt buộc; ","")&amp;IF($L1320="","Thiếu/sai Mã REF; ",IF(AND($L1320="Chưa xác định",DANH_MUC!$L$9&lt;&gt;"Có"),"Nguồn chưa xác định; ","")))</f>
        <v/>
      </c>
      <c r="V1320" s="22">
        <f>IF(OR($D1320="",$R1320="Trùng"),"",IF(COUNTIF(ORDERS!$C$2:$C$4995,$D1320)&gt;0,"Có","Không"))</f>
        <v/>
      </c>
      <c r="W1320" s="22">
        <f>IF(OR($D1320="",$R1320="Trùng"),"",COUNTIFS(ORDERS!$C$2:$C$4995,$D1320,ORDERS!$L$2:$L$4995,"Đã chuyển khoản"))</f>
        <v/>
      </c>
      <c r="X1320" s="23">
        <f>IF(OR($D1320="",$R1320="Trùng"),"",SUMIFS(ORDERS!$J$2:$J$4995,ORDERS!$C$2:$C$4995,$D1320,ORDERS!$L$2:$L$4995,"Đã chuyển khoản"))</f>
        <v/>
      </c>
      <c r="Y1320" s="24" t="n"/>
    </row>
    <row r="1321" ht="14.25" customHeight="1" s="40">
      <c r="A1321" s="24" t="n"/>
      <c r="B1321" s="27" t="n"/>
      <c r="C1321" s="24" t="n"/>
      <c r="D1321" s="28" t="n"/>
      <c r="E1321" s="29" t="n"/>
      <c r="F1321" s="24" t="n"/>
      <c r="G1321" s="24" t="n"/>
      <c r="H1321" s="21">
        <f>IF(ISNUMBER($B1321),INT($B1321)-WEEKDAY($B1321,2)+1,"")</f>
        <v/>
      </c>
      <c r="I1321" s="24" t="n"/>
      <c r="J1321" s="22">
        <f t="array" ref="J1321">IF($D1321="","",IF($I1321="","(trống REF)",IFERROR(INDEX(MASTER_SOURCE!$B$2:$B$495,MATCH($I1321,MASTER_SOURCE!$A$2:$A$495,0)),"(REF không có trong MASTER_SOURCE)")))</f>
        <v/>
      </c>
      <c r="K1321" s="22">
        <f t="array" ref="K1321">IF($D1321="","",IFERROR(INDEX(MASTER_SOURCE!$C$2:$C$495,MATCH($I1321,MASTER_SOURCE!$A$2:$A$495,0)),""))</f>
        <v/>
      </c>
      <c r="L1321" s="22">
        <f t="array" ref="L1321">IF($D1321="","",IFERROR(INDEX(MASTER_SOURCE!$D$2:$D$495,MATCH($I1321,MASTER_SOURCE!$A$2:$A$495,0)),""))</f>
        <v/>
      </c>
      <c r="M1321" s="24" t="n"/>
      <c r="N1321" s="24" t="n"/>
      <c r="O1321" s="24" t="n"/>
      <c r="P1321" s="24" t="n"/>
      <c r="Q1321" s="22">
        <f>IF($D1321="","",IF(AND(OR(DANH_MUC!$L$5&lt;&gt;"Có",M1321="Có"),OR(DANH_MUC!$L$6&lt;&gt;"Có",N1321="Có"),OR(DANH_MUC!$L$7&lt;&gt;"Có",O1321="Có"),OR(DANH_MUC!$L$8&lt;&gt;"Có",P1321="Có")),"Có","Không"))</f>
        <v/>
      </c>
      <c r="R1321" s="22">
        <f>IF($D1321="","",IF(COUNTIF($D$2:$D1321,$D1321)&gt;1,"Trùng",""))</f>
        <v/>
      </c>
      <c r="S1321" s="22">
        <f>IF($D1321="","",IF(AND(LEN($D1321)=10,LEFT($D1321,1)="0",ISNUMBER(--$D1321)),"Có","Không"))</f>
        <v/>
      </c>
      <c r="T1321" s="22">
        <f>IF($D1321="","",IF(AND($C1321&lt;&gt;"",$Q1321="Có",$R1321="",$S1321="Có",AND($L1321&lt;&gt;"",OR($L1321&lt;&gt;"Chưa xác định",DANH_MUC!$L$9="Có"))),"Có","Không"))</f>
        <v/>
      </c>
      <c r="U1321" s="22">
        <f>IF(OR($D1321="",$T1321="Có"),"",IF($C1321="","Thiếu họ tên; ","")&amp;IF($S1321&lt;&gt;"Có","SĐT sai định dạng; ","")&amp;IF($R1321="Trùng","Trùng SĐT; ","")&amp;IF($Q1321&lt;&gt;"Có","Thiếu đồng ý bắt buộc; ","")&amp;IF($L1321="","Thiếu/sai Mã REF; ",IF(AND($L1321="Chưa xác định",DANH_MUC!$L$9&lt;&gt;"Có"),"Nguồn chưa xác định; ","")))</f>
        <v/>
      </c>
      <c r="V1321" s="22">
        <f>IF(OR($D1321="",$R1321="Trùng"),"",IF(COUNTIF(ORDERS!$C$2:$C$4995,$D1321)&gt;0,"Có","Không"))</f>
        <v/>
      </c>
      <c r="W1321" s="22">
        <f>IF(OR($D1321="",$R1321="Trùng"),"",COUNTIFS(ORDERS!$C$2:$C$4995,$D1321,ORDERS!$L$2:$L$4995,"Đã chuyển khoản"))</f>
        <v/>
      </c>
      <c r="X1321" s="23">
        <f>IF(OR($D1321="",$R1321="Trùng"),"",SUMIFS(ORDERS!$J$2:$J$4995,ORDERS!$C$2:$C$4995,$D1321,ORDERS!$L$2:$L$4995,"Đã chuyển khoản"))</f>
        <v/>
      </c>
      <c r="Y1321" s="24" t="n"/>
    </row>
    <row r="1322" ht="14.25" customHeight="1" s="40">
      <c r="A1322" s="24" t="n"/>
      <c r="B1322" s="27" t="n"/>
      <c r="C1322" s="24" t="n"/>
      <c r="D1322" s="28" t="n"/>
      <c r="E1322" s="29" t="n"/>
      <c r="F1322" s="24" t="n"/>
      <c r="G1322" s="24" t="n"/>
      <c r="H1322" s="21">
        <f>IF(ISNUMBER($B1322),INT($B1322)-WEEKDAY($B1322,2)+1,"")</f>
        <v/>
      </c>
      <c r="I1322" s="24" t="n"/>
      <c r="J1322" s="22">
        <f t="array" ref="J1322">IF($D1322="","",IF($I1322="","(trống REF)",IFERROR(INDEX(MASTER_SOURCE!$B$2:$B$495,MATCH($I1322,MASTER_SOURCE!$A$2:$A$495,0)),"(REF không có trong MASTER_SOURCE)")))</f>
        <v/>
      </c>
      <c r="K1322" s="22">
        <f t="array" ref="K1322">IF($D1322="","",IFERROR(INDEX(MASTER_SOURCE!$C$2:$C$495,MATCH($I1322,MASTER_SOURCE!$A$2:$A$495,0)),""))</f>
        <v/>
      </c>
      <c r="L1322" s="22">
        <f t="array" ref="L1322">IF($D1322="","",IFERROR(INDEX(MASTER_SOURCE!$D$2:$D$495,MATCH($I1322,MASTER_SOURCE!$A$2:$A$495,0)),""))</f>
        <v/>
      </c>
      <c r="M1322" s="24" t="n"/>
      <c r="N1322" s="24" t="n"/>
      <c r="O1322" s="24" t="n"/>
      <c r="P1322" s="24" t="n"/>
      <c r="Q1322" s="22">
        <f>IF($D1322="","",IF(AND(OR(DANH_MUC!$L$5&lt;&gt;"Có",M1322="Có"),OR(DANH_MUC!$L$6&lt;&gt;"Có",N1322="Có"),OR(DANH_MUC!$L$7&lt;&gt;"Có",O1322="Có"),OR(DANH_MUC!$L$8&lt;&gt;"Có",P1322="Có")),"Có","Không"))</f>
        <v/>
      </c>
      <c r="R1322" s="22">
        <f>IF($D1322="","",IF(COUNTIF($D$2:$D1322,$D1322)&gt;1,"Trùng",""))</f>
        <v/>
      </c>
      <c r="S1322" s="22">
        <f>IF($D1322="","",IF(AND(LEN($D1322)=10,LEFT($D1322,1)="0",ISNUMBER(--$D1322)),"Có","Không"))</f>
        <v/>
      </c>
      <c r="T1322" s="22">
        <f>IF($D1322="","",IF(AND($C1322&lt;&gt;"",$Q1322="Có",$R1322="",$S1322="Có",AND($L1322&lt;&gt;"",OR($L1322&lt;&gt;"Chưa xác định",DANH_MUC!$L$9="Có"))),"Có","Không"))</f>
        <v/>
      </c>
      <c r="U1322" s="22">
        <f>IF(OR($D1322="",$T1322="Có"),"",IF($C1322="","Thiếu họ tên; ","")&amp;IF($S1322&lt;&gt;"Có","SĐT sai định dạng; ","")&amp;IF($R1322="Trùng","Trùng SĐT; ","")&amp;IF($Q1322&lt;&gt;"Có","Thiếu đồng ý bắt buộc; ","")&amp;IF($L1322="","Thiếu/sai Mã REF; ",IF(AND($L1322="Chưa xác định",DANH_MUC!$L$9&lt;&gt;"Có"),"Nguồn chưa xác định; ","")))</f>
        <v/>
      </c>
      <c r="V1322" s="22">
        <f>IF(OR($D1322="",$R1322="Trùng"),"",IF(COUNTIF(ORDERS!$C$2:$C$4995,$D1322)&gt;0,"Có","Không"))</f>
        <v/>
      </c>
      <c r="W1322" s="22">
        <f>IF(OR($D1322="",$R1322="Trùng"),"",COUNTIFS(ORDERS!$C$2:$C$4995,$D1322,ORDERS!$L$2:$L$4995,"Đã chuyển khoản"))</f>
        <v/>
      </c>
      <c r="X1322" s="23">
        <f>IF(OR($D1322="",$R1322="Trùng"),"",SUMIFS(ORDERS!$J$2:$J$4995,ORDERS!$C$2:$C$4995,$D1322,ORDERS!$L$2:$L$4995,"Đã chuyển khoản"))</f>
        <v/>
      </c>
      <c r="Y1322" s="24" t="n"/>
    </row>
    <row r="1323" ht="14.25" customHeight="1" s="40">
      <c r="A1323" s="24" t="n"/>
      <c r="B1323" s="27" t="n"/>
      <c r="C1323" s="24" t="n"/>
      <c r="D1323" s="28" t="n"/>
      <c r="E1323" s="29" t="n"/>
      <c r="F1323" s="24" t="n"/>
      <c r="G1323" s="24" t="n"/>
      <c r="H1323" s="21">
        <f>IF(ISNUMBER($B1323),INT($B1323)-WEEKDAY($B1323,2)+1,"")</f>
        <v/>
      </c>
      <c r="I1323" s="24" t="n"/>
      <c r="J1323" s="22">
        <f t="array" ref="J1323">IF($D1323="","",IF($I1323="","(trống REF)",IFERROR(INDEX(MASTER_SOURCE!$B$2:$B$495,MATCH($I1323,MASTER_SOURCE!$A$2:$A$495,0)),"(REF không có trong MASTER_SOURCE)")))</f>
        <v/>
      </c>
      <c r="K1323" s="22">
        <f t="array" ref="K1323">IF($D1323="","",IFERROR(INDEX(MASTER_SOURCE!$C$2:$C$495,MATCH($I1323,MASTER_SOURCE!$A$2:$A$495,0)),""))</f>
        <v/>
      </c>
      <c r="L1323" s="22">
        <f t="array" ref="L1323">IF($D1323="","",IFERROR(INDEX(MASTER_SOURCE!$D$2:$D$495,MATCH($I1323,MASTER_SOURCE!$A$2:$A$495,0)),""))</f>
        <v/>
      </c>
      <c r="M1323" s="24" t="n"/>
      <c r="N1323" s="24" t="n"/>
      <c r="O1323" s="24" t="n"/>
      <c r="P1323" s="24" t="n"/>
      <c r="Q1323" s="22">
        <f>IF($D1323="","",IF(AND(OR(DANH_MUC!$L$5&lt;&gt;"Có",M1323="Có"),OR(DANH_MUC!$L$6&lt;&gt;"Có",N1323="Có"),OR(DANH_MUC!$L$7&lt;&gt;"Có",O1323="Có"),OR(DANH_MUC!$L$8&lt;&gt;"Có",P1323="Có")),"Có","Không"))</f>
        <v/>
      </c>
      <c r="R1323" s="22">
        <f>IF($D1323="","",IF(COUNTIF($D$2:$D1323,$D1323)&gt;1,"Trùng",""))</f>
        <v/>
      </c>
      <c r="S1323" s="22">
        <f>IF($D1323="","",IF(AND(LEN($D1323)=10,LEFT($D1323,1)="0",ISNUMBER(--$D1323)),"Có","Không"))</f>
        <v/>
      </c>
      <c r="T1323" s="22">
        <f>IF($D1323="","",IF(AND($C1323&lt;&gt;"",$Q1323="Có",$R1323="",$S1323="Có",AND($L1323&lt;&gt;"",OR($L1323&lt;&gt;"Chưa xác định",DANH_MUC!$L$9="Có"))),"Có","Không"))</f>
        <v/>
      </c>
      <c r="U1323" s="22">
        <f>IF(OR($D1323="",$T1323="Có"),"",IF($C1323="","Thiếu họ tên; ","")&amp;IF($S1323&lt;&gt;"Có","SĐT sai định dạng; ","")&amp;IF($R1323="Trùng","Trùng SĐT; ","")&amp;IF($Q1323&lt;&gt;"Có","Thiếu đồng ý bắt buộc; ","")&amp;IF($L1323="","Thiếu/sai Mã REF; ",IF(AND($L1323="Chưa xác định",DANH_MUC!$L$9&lt;&gt;"Có"),"Nguồn chưa xác định; ","")))</f>
        <v/>
      </c>
      <c r="V1323" s="22">
        <f>IF(OR($D1323="",$R1323="Trùng"),"",IF(COUNTIF(ORDERS!$C$2:$C$4995,$D1323)&gt;0,"Có","Không"))</f>
        <v/>
      </c>
      <c r="W1323" s="22">
        <f>IF(OR($D1323="",$R1323="Trùng"),"",COUNTIFS(ORDERS!$C$2:$C$4995,$D1323,ORDERS!$L$2:$L$4995,"Đã chuyển khoản"))</f>
        <v/>
      </c>
      <c r="X1323" s="23">
        <f>IF(OR($D1323="",$R1323="Trùng"),"",SUMIFS(ORDERS!$J$2:$J$4995,ORDERS!$C$2:$C$4995,$D1323,ORDERS!$L$2:$L$4995,"Đã chuyển khoản"))</f>
        <v/>
      </c>
      <c r="Y1323" s="24" t="n"/>
    </row>
    <row r="1324" ht="14.25" customHeight="1" s="40">
      <c r="A1324" s="24" t="n"/>
      <c r="B1324" s="27" t="n"/>
      <c r="C1324" s="24" t="n"/>
      <c r="D1324" s="28" t="n"/>
      <c r="E1324" s="29" t="n"/>
      <c r="F1324" s="24" t="n"/>
      <c r="G1324" s="24" t="n"/>
      <c r="H1324" s="21">
        <f>IF(ISNUMBER($B1324),INT($B1324)-WEEKDAY($B1324,2)+1,"")</f>
        <v/>
      </c>
      <c r="I1324" s="24" t="n"/>
      <c r="J1324" s="22">
        <f t="array" ref="J1324">IF($D1324="","",IF($I1324="","(trống REF)",IFERROR(INDEX(MASTER_SOURCE!$B$2:$B$495,MATCH($I1324,MASTER_SOURCE!$A$2:$A$495,0)),"(REF không có trong MASTER_SOURCE)")))</f>
        <v/>
      </c>
      <c r="K1324" s="22">
        <f t="array" ref="K1324">IF($D1324="","",IFERROR(INDEX(MASTER_SOURCE!$C$2:$C$495,MATCH($I1324,MASTER_SOURCE!$A$2:$A$495,0)),""))</f>
        <v/>
      </c>
      <c r="L1324" s="22">
        <f t="array" ref="L1324">IF($D1324="","",IFERROR(INDEX(MASTER_SOURCE!$D$2:$D$495,MATCH($I1324,MASTER_SOURCE!$A$2:$A$495,0)),""))</f>
        <v/>
      </c>
      <c r="M1324" s="24" t="n"/>
      <c r="N1324" s="24" t="n"/>
      <c r="O1324" s="24" t="n"/>
      <c r="P1324" s="24" t="n"/>
      <c r="Q1324" s="22">
        <f>IF($D1324="","",IF(AND(OR(DANH_MUC!$L$5&lt;&gt;"Có",M1324="Có"),OR(DANH_MUC!$L$6&lt;&gt;"Có",N1324="Có"),OR(DANH_MUC!$L$7&lt;&gt;"Có",O1324="Có"),OR(DANH_MUC!$L$8&lt;&gt;"Có",P1324="Có")),"Có","Không"))</f>
        <v/>
      </c>
      <c r="R1324" s="22">
        <f>IF($D1324="","",IF(COUNTIF($D$2:$D1324,$D1324)&gt;1,"Trùng",""))</f>
        <v/>
      </c>
      <c r="S1324" s="22">
        <f>IF($D1324="","",IF(AND(LEN($D1324)=10,LEFT($D1324,1)="0",ISNUMBER(--$D1324)),"Có","Không"))</f>
        <v/>
      </c>
      <c r="T1324" s="22">
        <f>IF($D1324="","",IF(AND($C1324&lt;&gt;"",$Q1324="Có",$R1324="",$S1324="Có",AND($L1324&lt;&gt;"",OR($L1324&lt;&gt;"Chưa xác định",DANH_MUC!$L$9="Có"))),"Có","Không"))</f>
        <v/>
      </c>
      <c r="U1324" s="22">
        <f>IF(OR($D1324="",$T1324="Có"),"",IF($C1324="","Thiếu họ tên; ","")&amp;IF($S1324&lt;&gt;"Có","SĐT sai định dạng; ","")&amp;IF($R1324="Trùng","Trùng SĐT; ","")&amp;IF($Q1324&lt;&gt;"Có","Thiếu đồng ý bắt buộc; ","")&amp;IF($L1324="","Thiếu/sai Mã REF; ",IF(AND($L1324="Chưa xác định",DANH_MUC!$L$9&lt;&gt;"Có"),"Nguồn chưa xác định; ","")))</f>
        <v/>
      </c>
      <c r="V1324" s="22">
        <f>IF(OR($D1324="",$R1324="Trùng"),"",IF(COUNTIF(ORDERS!$C$2:$C$4995,$D1324)&gt;0,"Có","Không"))</f>
        <v/>
      </c>
      <c r="W1324" s="22">
        <f>IF(OR($D1324="",$R1324="Trùng"),"",COUNTIFS(ORDERS!$C$2:$C$4995,$D1324,ORDERS!$L$2:$L$4995,"Đã chuyển khoản"))</f>
        <v/>
      </c>
      <c r="X1324" s="23">
        <f>IF(OR($D1324="",$R1324="Trùng"),"",SUMIFS(ORDERS!$J$2:$J$4995,ORDERS!$C$2:$C$4995,$D1324,ORDERS!$L$2:$L$4995,"Đã chuyển khoản"))</f>
        <v/>
      </c>
      <c r="Y1324" s="24" t="n"/>
    </row>
    <row r="1325" ht="14.25" customHeight="1" s="40">
      <c r="A1325" s="24" t="n"/>
      <c r="B1325" s="27" t="n"/>
      <c r="C1325" s="24" t="n"/>
      <c r="D1325" s="28" t="n"/>
      <c r="E1325" s="29" t="n"/>
      <c r="F1325" s="24" t="n"/>
      <c r="G1325" s="24" t="n"/>
      <c r="H1325" s="21">
        <f>IF(ISNUMBER($B1325),INT($B1325)-WEEKDAY($B1325,2)+1,"")</f>
        <v/>
      </c>
      <c r="I1325" s="24" t="n"/>
      <c r="J1325" s="22">
        <f t="array" ref="J1325">IF($D1325="","",IF($I1325="","(trống REF)",IFERROR(INDEX(MASTER_SOURCE!$B$2:$B$495,MATCH($I1325,MASTER_SOURCE!$A$2:$A$495,0)),"(REF không có trong MASTER_SOURCE)")))</f>
        <v/>
      </c>
      <c r="K1325" s="22">
        <f t="array" ref="K1325">IF($D1325="","",IFERROR(INDEX(MASTER_SOURCE!$C$2:$C$495,MATCH($I1325,MASTER_SOURCE!$A$2:$A$495,0)),""))</f>
        <v/>
      </c>
      <c r="L1325" s="22">
        <f t="array" ref="L1325">IF($D1325="","",IFERROR(INDEX(MASTER_SOURCE!$D$2:$D$495,MATCH($I1325,MASTER_SOURCE!$A$2:$A$495,0)),""))</f>
        <v/>
      </c>
      <c r="M1325" s="24" t="n"/>
      <c r="N1325" s="24" t="n"/>
      <c r="O1325" s="24" t="n"/>
      <c r="P1325" s="24" t="n"/>
      <c r="Q1325" s="22">
        <f>IF($D1325="","",IF(AND(OR(DANH_MUC!$L$5&lt;&gt;"Có",M1325="Có"),OR(DANH_MUC!$L$6&lt;&gt;"Có",N1325="Có"),OR(DANH_MUC!$L$7&lt;&gt;"Có",O1325="Có"),OR(DANH_MUC!$L$8&lt;&gt;"Có",P1325="Có")),"Có","Không"))</f>
        <v/>
      </c>
      <c r="R1325" s="22">
        <f>IF($D1325="","",IF(COUNTIF($D$2:$D1325,$D1325)&gt;1,"Trùng",""))</f>
        <v/>
      </c>
      <c r="S1325" s="22">
        <f>IF($D1325="","",IF(AND(LEN($D1325)=10,LEFT($D1325,1)="0",ISNUMBER(--$D1325)),"Có","Không"))</f>
        <v/>
      </c>
      <c r="T1325" s="22">
        <f>IF($D1325="","",IF(AND($C1325&lt;&gt;"",$Q1325="Có",$R1325="",$S1325="Có",AND($L1325&lt;&gt;"",OR($L1325&lt;&gt;"Chưa xác định",DANH_MUC!$L$9="Có"))),"Có","Không"))</f>
        <v/>
      </c>
      <c r="U1325" s="22">
        <f>IF(OR($D1325="",$T1325="Có"),"",IF($C1325="","Thiếu họ tên; ","")&amp;IF($S1325&lt;&gt;"Có","SĐT sai định dạng; ","")&amp;IF($R1325="Trùng","Trùng SĐT; ","")&amp;IF($Q1325&lt;&gt;"Có","Thiếu đồng ý bắt buộc; ","")&amp;IF($L1325="","Thiếu/sai Mã REF; ",IF(AND($L1325="Chưa xác định",DANH_MUC!$L$9&lt;&gt;"Có"),"Nguồn chưa xác định; ","")))</f>
        <v/>
      </c>
      <c r="V1325" s="22">
        <f>IF(OR($D1325="",$R1325="Trùng"),"",IF(COUNTIF(ORDERS!$C$2:$C$4995,$D1325)&gt;0,"Có","Không"))</f>
        <v/>
      </c>
      <c r="W1325" s="22">
        <f>IF(OR($D1325="",$R1325="Trùng"),"",COUNTIFS(ORDERS!$C$2:$C$4995,$D1325,ORDERS!$L$2:$L$4995,"Đã chuyển khoản"))</f>
        <v/>
      </c>
      <c r="X1325" s="23">
        <f>IF(OR($D1325="",$R1325="Trùng"),"",SUMIFS(ORDERS!$J$2:$J$4995,ORDERS!$C$2:$C$4995,$D1325,ORDERS!$L$2:$L$4995,"Đã chuyển khoản"))</f>
        <v/>
      </c>
      <c r="Y1325" s="24" t="n"/>
    </row>
    <row r="1326" ht="14.25" customHeight="1" s="40">
      <c r="A1326" s="24" t="n"/>
      <c r="B1326" s="27" t="n"/>
      <c r="C1326" s="24" t="n"/>
      <c r="D1326" s="28" t="n"/>
      <c r="E1326" s="29" t="n"/>
      <c r="F1326" s="24" t="n"/>
      <c r="G1326" s="24" t="n"/>
      <c r="H1326" s="21">
        <f>IF(ISNUMBER($B1326),INT($B1326)-WEEKDAY($B1326,2)+1,"")</f>
        <v/>
      </c>
      <c r="I1326" s="24" t="n"/>
      <c r="J1326" s="22">
        <f t="array" ref="J1326">IF($D1326="","",IF($I1326="","(trống REF)",IFERROR(INDEX(MASTER_SOURCE!$B$2:$B$495,MATCH($I1326,MASTER_SOURCE!$A$2:$A$495,0)),"(REF không có trong MASTER_SOURCE)")))</f>
        <v/>
      </c>
      <c r="K1326" s="22">
        <f t="array" ref="K1326">IF($D1326="","",IFERROR(INDEX(MASTER_SOURCE!$C$2:$C$495,MATCH($I1326,MASTER_SOURCE!$A$2:$A$495,0)),""))</f>
        <v/>
      </c>
      <c r="L1326" s="22">
        <f t="array" ref="L1326">IF($D1326="","",IFERROR(INDEX(MASTER_SOURCE!$D$2:$D$495,MATCH($I1326,MASTER_SOURCE!$A$2:$A$495,0)),""))</f>
        <v/>
      </c>
      <c r="M1326" s="24" t="n"/>
      <c r="N1326" s="24" t="n"/>
      <c r="O1326" s="24" t="n"/>
      <c r="P1326" s="24" t="n"/>
      <c r="Q1326" s="22">
        <f>IF($D1326="","",IF(AND(OR(DANH_MUC!$L$5&lt;&gt;"Có",M1326="Có"),OR(DANH_MUC!$L$6&lt;&gt;"Có",N1326="Có"),OR(DANH_MUC!$L$7&lt;&gt;"Có",O1326="Có"),OR(DANH_MUC!$L$8&lt;&gt;"Có",P1326="Có")),"Có","Không"))</f>
        <v/>
      </c>
      <c r="R1326" s="22">
        <f>IF($D1326="","",IF(COUNTIF($D$2:$D1326,$D1326)&gt;1,"Trùng",""))</f>
        <v/>
      </c>
      <c r="S1326" s="22">
        <f>IF($D1326="","",IF(AND(LEN($D1326)=10,LEFT($D1326,1)="0",ISNUMBER(--$D1326)),"Có","Không"))</f>
        <v/>
      </c>
      <c r="T1326" s="22">
        <f>IF($D1326="","",IF(AND($C1326&lt;&gt;"",$Q1326="Có",$R1326="",$S1326="Có",AND($L1326&lt;&gt;"",OR($L1326&lt;&gt;"Chưa xác định",DANH_MUC!$L$9="Có"))),"Có","Không"))</f>
        <v/>
      </c>
      <c r="U1326" s="22">
        <f>IF(OR($D1326="",$T1326="Có"),"",IF($C1326="","Thiếu họ tên; ","")&amp;IF($S1326&lt;&gt;"Có","SĐT sai định dạng; ","")&amp;IF($R1326="Trùng","Trùng SĐT; ","")&amp;IF($Q1326&lt;&gt;"Có","Thiếu đồng ý bắt buộc; ","")&amp;IF($L1326="","Thiếu/sai Mã REF; ",IF(AND($L1326="Chưa xác định",DANH_MUC!$L$9&lt;&gt;"Có"),"Nguồn chưa xác định; ","")))</f>
        <v/>
      </c>
      <c r="V1326" s="22">
        <f>IF(OR($D1326="",$R1326="Trùng"),"",IF(COUNTIF(ORDERS!$C$2:$C$4995,$D1326)&gt;0,"Có","Không"))</f>
        <v/>
      </c>
      <c r="W1326" s="22">
        <f>IF(OR($D1326="",$R1326="Trùng"),"",COUNTIFS(ORDERS!$C$2:$C$4995,$D1326,ORDERS!$L$2:$L$4995,"Đã chuyển khoản"))</f>
        <v/>
      </c>
      <c r="X1326" s="23">
        <f>IF(OR($D1326="",$R1326="Trùng"),"",SUMIFS(ORDERS!$J$2:$J$4995,ORDERS!$C$2:$C$4995,$D1326,ORDERS!$L$2:$L$4995,"Đã chuyển khoản"))</f>
        <v/>
      </c>
      <c r="Y1326" s="24" t="n"/>
    </row>
    <row r="1327" ht="14.25" customHeight="1" s="40">
      <c r="A1327" s="24" t="n"/>
      <c r="B1327" s="27" t="n"/>
      <c r="C1327" s="24" t="n"/>
      <c r="D1327" s="28" t="n"/>
      <c r="E1327" s="29" t="n"/>
      <c r="F1327" s="24" t="n"/>
      <c r="G1327" s="24" t="n"/>
      <c r="H1327" s="21">
        <f>IF(ISNUMBER($B1327),INT($B1327)-WEEKDAY($B1327,2)+1,"")</f>
        <v/>
      </c>
      <c r="I1327" s="24" t="n"/>
      <c r="J1327" s="22">
        <f t="array" ref="J1327">IF($D1327="","",IF($I1327="","(trống REF)",IFERROR(INDEX(MASTER_SOURCE!$B$2:$B$495,MATCH($I1327,MASTER_SOURCE!$A$2:$A$495,0)),"(REF không có trong MASTER_SOURCE)")))</f>
        <v/>
      </c>
      <c r="K1327" s="22">
        <f t="array" ref="K1327">IF($D1327="","",IFERROR(INDEX(MASTER_SOURCE!$C$2:$C$495,MATCH($I1327,MASTER_SOURCE!$A$2:$A$495,0)),""))</f>
        <v/>
      </c>
      <c r="L1327" s="22">
        <f t="array" ref="L1327">IF($D1327="","",IFERROR(INDEX(MASTER_SOURCE!$D$2:$D$495,MATCH($I1327,MASTER_SOURCE!$A$2:$A$495,0)),""))</f>
        <v/>
      </c>
      <c r="M1327" s="24" t="n"/>
      <c r="N1327" s="24" t="n"/>
      <c r="O1327" s="24" t="n"/>
      <c r="P1327" s="24" t="n"/>
      <c r="Q1327" s="22">
        <f>IF($D1327="","",IF(AND(OR(DANH_MUC!$L$5&lt;&gt;"Có",M1327="Có"),OR(DANH_MUC!$L$6&lt;&gt;"Có",N1327="Có"),OR(DANH_MUC!$L$7&lt;&gt;"Có",O1327="Có"),OR(DANH_MUC!$L$8&lt;&gt;"Có",P1327="Có")),"Có","Không"))</f>
        <v/>
      </c>
      <c r="R1327" s="22">
        <f>IF($D1327="","",IF(COUNTIF($D$2:$D1327,$D1327)&gt;1,"Trùng",""))</f>
        <v/>
      </c>
      <c r="S1327" s="22">
        <f>IF($D1327="","",IF(AND(LEN($D1327)=10,LEFT($D1327,1)="0",ISNUMBER(--$D1327)),"Có","Không"))</f>
        <v/>
      </c>
      <c r="T1327" s="22">
        <f>IF($D1327="","",IF(AND($C1327&lt;&gt;"",$Q1327="Có",$R1327="",$S1327="Có",AND($L1327&lt;&gt;"",OR($L1327&lt;&gt;"Chưa xác định",DANH_MUC!$L$9="Có"))),"Có","Không"))</f>
        <v/>
      </c>
      <c r="U1327" s="22">
        <f>IF(OR($D1327="",$T1327="Có"),"",IF($C1327="","Thiếu họ tên; ","")&amp;IF($S1327&lt;&gt;"Có","SĐT sai định dạng; ","")&amp;IF($R1327="Trùng","Trùng SĐT; ","")&amp;IF($Q1327&lt;&gt;"Có","Thiếu đồng ý bắt buộc; ","")&amp;IF($L1327="","Thiếu/sai Mã REF; ",IF(AND($L1327="Chưa xác định",DANH_MUC!$L$9&lt;&gt;"Có"),"Nguồn chưa xác định; ","")))</f>
        <v/>
      </c>
      <c r="V1327" s="22">
        <f>IF(OR($D1327="",$R1327="Trùng"),"",IF(COUNTIF(ORDERS!$C$2:$C$4995,$D1327)&gt;0,"Có","Không"))</f>
        <v/>
      </c>
      <c r="W1327" s="22">
        <f>IF(OR($D1327="",$R1327="Trùng"),"",COUNTIFS(ORDERS!$C$2:$C$4995,$D1327,ORDERS!$L$2:$L$4995,"Đã chuyển khoản"))</f>
        <v/>
      </c>
      <c r="X1327" s="23">
        <f>IF(OR($D1327="",$R1327="Trùng"),"",SUMIFS(ORDERS!$J$2:$J$4995,ORDERS!$C$2:$C$4995,$D1327,ORDERS!$L$2:$L$4995,"Đã chuyển khoản"))</f>
        <v/>
      </c>
      <c r="Y1327" s="24" t="n"/>
    </row>
    <row r="1328" ht="14.25" customHeight="1" s="40">
      <c r="A1328" s="24" t="n"/>
      <c r="B1328" s="27" t="n"/>
      <c r="C1328" s="24" t="n"/>
      <c r="D1328" s="28" t="n"/>
      <c r="E1328" s="29" t="n"/>
      <c r="F1328" s="24" t="n"/>
      <c r="G1328" s="24" t="n"/>
      <c r="H1328" s="21">
        <f>IF(ISNUMBER($B1328),INT($B1328)-WEEKDAY($B1328,2)+1,"")</f>
        <v/>
      </c>
      <c r="I1328" s="24" t="n"/>
      <c r="J1328" s="22">
        <f t="array" ref="J1328">IF($D1328="","",IF($I1328="","(trống REF)",IFERROR(INDEX(MASTER_SOURCE!$B$2:$B$495,MATCH($I1328,MASTER_SOURCE!$A$2:$A$495,0)),"(REF không có trong MASTER_SOURCE)")))</f>
        <v/>
      </c>
      <c r="K1328" s="22">
        <f t="array" ref="K1328">IF($D1328="","",IFERROR(INDEX(MASTER_SOURCE!$C$2:$C$495,MATCH($I1328,MASTER_SOURCE!$A$2:$A$495,0)),""))</f>
        <v/>
      </c>
      <c r="L1328" s="22">
        <f t="array" ref="L1328">IF($D1328="","",IFERROR(INDEX(MASTER_SOURCE!$D$2:$D$495,MATCH($I1328,MASTER_SOURCE!$A$2:$A$495,0)),""))</f>
        <v/>
      </c>
      <c r="M1328" s="24" t="n"/>
      <c r="N1328" s="24" t="n"/>
      <c r="O1328" s="24" t="n"/>
      <c r="P1328" s="24" t="n"/>
      <c r="Q1328" s="22">
        <f>IF($D1328="","",IF(AND(OR(DANH_MUC!$L$5&lt;&gt;"Có",M1328="Có"),OR(DANH_MUC!$L$6&lt;&gt;"Có",N1328="Có"),OR(DANH_MUC!$L$7&lt;&gt;"Có",O1328="Có"),OR(DANH_MUC!$L$8&lt;&gt;"Có",P1328="Có")),"Có","Không"))</f>
        <v/>
      </c>
      <c r="R1328" s="22">
        <f>IF($D1328="","",IF(COUNTIF($D$2:$D1328,$D1328)&gt;1,"Trùng",""))</f>
        <v/>
      </c>
      <c r="S1328" s="22">
        <f>IF($D1328="","",IF(AND(LEN($D1328)=10,LEFT($D1328,1)="0",ISNUMBER(--$D1328)),"Có","Không"))</f>
        <v/>
      </c>
      <c r="T1328" s="22">
        <f>IF($D1328="","",IF(AND($C1328&lt;&gt;"",$Q1328="Có",$R1328="",$S1328="Có",AND($L1328&lt;&gt;"",OR($L1328&lt;&gt;"Chưa xác định",DANH_MUC!$L$9="Có"))),"Có","Không"))</f>
        <v/>
      </c>
      <c r="U1328" s="22">
        <f>IF(OR($D1328="",$T1328="Có"),"",IF($C1328="","Thiếu họ tên; ","")&amp;IF($S1328&lt;&gt;"Có","SĐT sai định dạng; ","")&amp;IF($R1328="Trùng","Trùng SĐT; ","")&amp;IF($Q1328&lt;&gt;"Có","Thiếu đồng ý bắt buộc; ","")&amp;IF($L1328="","Thiếu/sai Mã REF; ",IF(AND($L1328="Chưa xác định",DANH_MUC!$L$9&lt;&gt;"Có"),"Nguồn chưa xác định; ","")))</f>
        <v/>
      </c>
      <c r="V1328" s="22">
        <f>IF(OR($D1328="",$R1328="Trùng"),"",IF(COUNTIF(ORDERS!$C$2:$C$4995,$D1328)&gt;0,"Có","Không"))</f>
        <v/>
      </c>
      <c r="W1328" s="22">
        <f>IF(OR($D1328="",$R1328="Trùng"),"",COUNTIFS(ORDERS!$C$2:$C$4995,$D1328,ORDERS!$L$2:$L$4995,"Đã chuyển khoản"))</f>
        <v/>
      </c>
      <c r="X1328" s="23">
        <f>IF(OR($D1328="",$R1328="Trùng"),"",SUMIFS(ORDERS!$J$2:$J$4995,ORDERS!$C$2:$C$4995,$D1328,ORDERS!$L$2:$L$4995,"Đã chuyển khoản"))</f>
        <v/>
      </c>
      <c r="Y1328" s="24" t="n"/>
    </row>
    <row r="1329" ht="14.25" customHeight="1" s="40">
      <c r="A1329" s="24" t="n"/>
      <c r="B1329" s="27" t="n"/>
      <c r="C1329" s="24" t="n"/>
      <c r="D1329" s="28" t="n"/>
      <c r="E1329" s="29" t="n"/>
      <c r="F1329" s="24" t="n"/>
      <c r="G1329" s="24" t="n"/>
      <c r="H1329" s="21">
        <f>IF(ISNUMBER($B1329),INT($B1329)-WEEKDAY($B1329,2)+1,"")</f>
        <v/>
      </c>
      <c r="I1329" s="24" t="n"/>
      <c r="J1329" s="22">
        <f t="array" ref="J1329">IF($D1329="","",IF($I1329="","(trống REF)",IFERROR(INDEX(MASTER_SOURCE!$B$2:$B$495,MATCH($I1329,MASTER_SOURCE!$A$2:$A$495,0)),"(REF không có trong MASTER_SOURCE)")))</f>
        <v/>
      </c>
      <c r="K1329" s="22">
        <f t="array" ref="K1329">IF($D1329="","",IFERROR(INDEX(MASTER_SOURCE!$C$2:$C$495,MATCH($I1329,MASTER_SOURCE!$A$2:$A$495,0)),""))</f>
        <v/>
      </c>
      <c r="L1329" s="22">
        <f t="array" ref="L1329">IF($D1329="","",IFERROR(INDEX(MASTER_SOURCE!$D$2:$D$495,MATCH($I1329,MASTER_SOURCE!$A$2:$A$495,0)),""))</f>
        <v/>
      </c>
      <c r="M1329" s="24" t="n"/>
      <c r="N1329" s="24" t="n"/>
      <c r="O1329" s="24" t="n"/>
      <c r="P1329" s="24" t="n"/>
      <c r="Q1329" s="22">
        <f>IF($D1329="","",IF(AND(OR(DANH_MUC!$L$5&lt;&gt;"Có",M1329="Có"),OR(DANH_MUC!$L$6&lt;&gt;"Có",N1329="Có"),OR(DANH_MUC!$L$7&lt;&gt;"Có",O1329="Có"),OR(DANH_MUC!$L$8&lt;&gt;"Có",P1329="Có")),"Có","Không"))</f>
        <v/>
      </c>
      <c r="R1329" s="22">
        <f>IF($D1329="","",IF(COUNTIF($D$2:$D1329,$D1329)&gt;1,"Trùng",""))</f>
        <v/>
      </c>
      <c r="S1329" s="22">
        <f>IF($D1329="","",IF(AND(LEN($D1329)=10,LEFT($D1329,1)="0",ISNUMBER(--$D1329)),"Có","Không"))</f>
        <v/>
      </c>
      <c r="T1329" s="22">
        <f>IF($D1329="","",IF(AND($C1329&lt;&gt;"",$Q1329="Có",$R1329="",$S1329="Có",AND($L1329&lt;&gt;"",OR($L1329&lt;&gt;"Chưa xác định",DANH_MUC!$L$9="Có"))),"Có","Không"))</f>
        <v/>
      </c>
      <c r="U1329" s="22">
        <f>IF(OR($D1329="",$T1329="Có"),"",IF($C1329="","Thiếu họ tên; ","")&amp;IF($S1329&lt;&gt;"Có","SĐT sai định dạng; ","")&amp;IF($R1329="Trùng","Trùng SĐT; ","")&amp;IF($Q1329&lt;&gt;"Có","Thiếu đồng ý bắt buộc; ","")&amp;IF($L1329="","Thiếu/sai Mã REF; ",IF(AND($L1329="Chưa xác định",DANH_MUC!$L$9&lt;&gt;"Có"),"Nguồn chưa xác định; ","")))</f>
        <v/>
      </c>
      <c r="V1329" s="22">
        <f>IF(OR($D1329="",$R1329="Trùng"),"",IF(COUNTIF(ORDERS!$C$2:$C$4995,$D1329)&gt;0,"Có","Không"))</f>
        <v/>
      </c>
      <c r="W1329" s="22">
        <f>IF(OR($D1329="",$R1329="Trùng"),"",COUNTIFS(ORDERS!$C$2:$C$4995,$D1329,ORDERS!$L$2:$L$4995,"Đã chuyển khoản"))</f>
        <v/>
      </c>
      <c r="X1329" s="23">
        <f>IF(OR($D1329="",$R1329="Trùng"),"",SUMIFS(ORDERS!$J$2:$J$4995,ORDERS!$C$2:$C$4995,$D1329,ORDERS!$L$2:$L$4995,"Đã chuyển khoản"))</f>
        <v/>
      </c>
      <c r="Y1329" s="24" t="n"/>
    </row>
    <row r="1330" ht="14.25" customHeight="1" s="40">
      <c r="A1330" s="24" t="n"/>
      <c r="B1330" s="27" t="n"/>
      <c r="C1330" s="24" t="n"/>
      <c r="D1330" s="28" t="n"/>
      <c r="E1330" s="29" t="n"/>
      <c r="F1330" s="24" t="n"/>
      <c r="G1330" s="24" t="n"/>
      <c r="H1330" s="21">
        <f>IF(ISNUMBER($B1330),INT($B1330)-WEEKDAY($B1330,2)+1,"")</f>
        <v/>
      </c>
      <c r="I1330" s="24" t="n"/>
      <c r="J1330" s="22">
        <f t="array" ref="J1330">IF($D1330="","",IF($I1330="","(trống REF)",IFERROR(INDEX(MASTER_SOURCE!$B$2:$B$495,MATCH($I1330,MASTER_SOURCE!$A$2:$A$495,0)),"(REF không có trong MASTER_SOURCE)")))</f>
        <v/>
      </c>
      <c r="K1330" s="22">
        <f t="array" ref="K1330">IF($D1330="","",IFERROR(INDEX(MASTER_SOURCE!$C$2:$C$495,MATCH($I1330,MASTER_SOURCE!$A$2:$A$495,0)),""))</f>
        <v/>
      </c>
      <c r="L1330" s="22">
        <f t="array" ref="L1330">IF($D1330="","",IFERROR(INDEX(MASTER_SOURCE!$D$2:$D$495,MATCH($I1330,MASTER_SOURCE!$A$2:$A$495,0)),""))</f>
        <v/>
      </c>
      <c r="M1330" s="24" t="n"/>
      <c r="N1330" s="24" t="n"/>
      <c r="O1330" s="24" t="n"/>
      <c r="P1330" s="24" t="n"/>
      <c r="Q1330" s="22">
        <f>IF($D1330="","",IF(AND(OR(DANH_MUC!$L$5&lt;&gt;"Có",M1330="Có"),OR(DANH_MUC!$L$6&lt;&gt;"Có",N1330="Có"),OR(DANH_MUC!$L$7&lt;&gt;"Có",O1330="Có"),OR(DANH_MUC!$L$8&lt;&gt;"Có",P1330="Có")),"Có","Không"))</f>
        <v/>
      </c>
      <c r="R1330" s="22">
        <f>IF($D1330="","",IF(COUNTIF($D$2:$D1330,$D1330)&gt;1,"Trùng",""))</f>
        <v/>
      </c>
      <c r="S1330" s="22">
        <f>IF($D1330="","",IF(AND(LEN($D1330)=10,LEFT($D1330,1)="0",ISNUMBER(--$D1330)),"Có","Không"))</f>
        <v/>
      </c>
      <c r="T1330" s="22">
        <f>IF($D1330="","",IF(AND($C1330&lt;&gt;"",$Q1330="Có",$R1330="",$S1330="Có",AND($L1330&lt;&gt;"",OR($L1330&lt;&gt;"Chưa xác định",DANH_MUC!$L$9="Có"))),"Có","Không"))</f>
        <v/>
      </c>
      <c r="U1330" s="22">
        <f>IF(OR($D1330="",$T1330="Có"),"",IF($C1330="","Thiếu họ tên; ","")&amp;IF($S1330&lt;&gt;"Có","SĐT sai định dạng; ","")&amp;IF($R1330="Trùng","Trùng SĐT; ","")&amp;IF($Q1330&lt;&gt;"Có","Thiếu đồng ý bắt buộc; ","")&amp;IF($L1330="","Thiếu/sai Mã REF; ",IF(AND($L1330="Chưa xác định",DANH_MUC!$L$9&lt;&gt;"Có"),"Nguồn chưa xác định; ","")))</f>
        <v/>
      </c>
      <c r="V1330" s="22">
        <f>IF(OR($D1330="",$R1330="Trùng"),"",IF(COUNTIF(ORDERS!$C$2:$C$4995,$D1330)&gt;0,"Có","Không"))</f>
        <v/>
      </c>
      <c r="W1330" s="22">
        <f>IF(OR($D1330="",$R1330="Trùng"),"",COUNTIFS(ORDERS!$C$2:$C$4995,$D1330,ORDERS!$L$2:$L$4995,"Đã chuyển khoản"))</f>
        <v/>
      </c>
      <c r="X1330" s="23">
        <f>IF(OR($D1330="",$R1330="Trùng"),"",SUMIFS(ORDERS!$J$2:$J$4995,ORDERS!$C$2:$C$4995,$D1330,ORDERS!$L$2:$L$4995,"Đã chuyển khoản"))</f>
        <v/>
      </c>
      <c r="Y1330" s="24" t="n"/>
    </row>
    <row r="1331" ht="14.25" customHeight="1" s="40">
      <c r="A1331" s="24" t="n"/>
      <c r="B1331" s="27" t="n"/>
      <c r="C1331" s="24" t="n"/>
      <c r="D1331" s="28" t="n"/>
      <c r="E1331" s="29" t="n"/>
      <c r="F1331" s="24" t="n"/>
      <c r="G1331" s="24" t="n"/>
      <c r="H1331" s="21">
        <f>IF(ISNUMBER($B1331),INT($B1331)-WEEKDAY($B1331,2)+1,"")</f>
        <v/>
      </c>
      <c r="I1331" s="24" t="n"/>
      <c r="J1331" s="22">
        <f t="array" ref="J1331">IF($D1331="","",IF($I1331="","(trống REF)",IFERROR(INDEX(MASTER_SOURCE!$B$2:$B$495,MATCH($I1331,MASTER_SOURCE!$A$2:$A$495,0)),"(REF không có trong MASTER_SOURCE)")))</f>
        <v/>
      </c>
      <c r="K1331" s="22">
        <f t="array" ref="K1331">IF($D1331="","",IFERROR(INDEX(MASTER_SOURCE!$C$2:$C$495,MATCH($I1331,MASTER_SOURCE!$A$2:$A$495,0)),""))</f>
        <v/>
      </c>
      <c r="L1331" s="22">
        <f t="array" ref="L1331">IF($D1331="","",IFERROR(INDEX(MASTER_SOURCE!$D$2:$D$495,MATCH($I1331,MASTER_SOURCE!$A$2:$A$495,0)),""))</f>
        <v/>
      </c>
      <c r="M1331" s="24" t="n"/>
      <c r="N1331" s="24" t="n"/>
      <c r="O1331" s="24" t="n"/>
      <c r="P1331" s="24" t="n"/>
      <c r="Q1331" s="22">
        <f>IF($D1331="","",IF(AND(OR(DANH_MUC!$L$5&lt;&gt;"Có",M1331="Có"),OR(DANH_MUC!$L$6&lt;&gt;"Có",N1331="Có"),OR(DANH_MUC!$L$7&lt;&gt;"Có",O1331="Có"),OR(DANH_MUC!$L$8&lt;&gt;"Có",P1331="Có")),"Có","Không"))</f>
        <v/>
      </c>
      <c r="R1331" s="22">
        <f>IF($D1331="","",IF(COUNTIF($D$2:$D1331,$D1331)&gt;1,"Trùng",""))</f>
        <v/>
      </c>
      <c r="S1331" s="22">
        <f>IF($D1331="","",IF(AND(LEN($D1331)=10,LEFT($D1331,1)="0",ISNUMBER(--$D1331)),"Có","Không"))</f>
        <v/>
      </c>
      <c r="T1331" s="22">
        <f>IF($D1331="","",IF(AND($C1331&lt;&gt;"",$Q1331="Có",$R1331="",$S1331="Có",AND($L1331&lt;&gt;"",OR($L1331&lt;&gt;"Chưa xác định",DANH_MUC!$L$9="Có"))),"Có","Không"))</f>
        <v/>
      </c>
      <c r="U1331" s="22">
        <f>IF(OR($D1331="",$T1331="Có"),"",IF($C1331="","Thiếu họ tên; ","")&amp;IF($S1331&lt;&gt;"Có","SĐT sai định dạng; ","")&amp;IF($R1331="Trùng","Trùng SĐT; ","")&amp;IF($Q1331&lt;&gt;"Có","Thiếu đồng ý bắt buộc; ","")&amp;IF($L1331="","Thiếu/sai Mã REF; ",IF(AND($L1331="Chưa xác định",DANH_MUC!$L$9&lt;&gt;"Có"),"Nguồn chưa xác định; ","")))</f>
        <v/>
      </c>
      <c r="V1331" s="22">
        <f>IF(OR($D1331="",$R1331="Trùng"),"",IF(COUNTIF(ORDERS!$C$2:$C$4995,$D1331)&gt;0,"Có","Không"))</f>
        <v/>
      </c>
      <c r="W1331" s="22">
        <f>IF(OR($D1331="",$R1331="Trùng"),"",COUNTIFS(ORDERS!$C$2:$C$4995,$D1331,ORDERS!$L$2:$L$4995,"Đã chuyển khoản"))</f>
        <v/>
      </c>
      <c r="X1331" s="23">
        <f>IF(OR($D1331="",$R1331="Trùng"),"",SUMIFS(ORDERS!$J$2:$J$4995,ORDERS!$C$2:$C$4995,$D1331,ORDERS!$L$2:$L$4995,"Đã chuyển khoản"))</f>
        <v/>
      </c>
      <c r="Y1331" s="24" t="n"/>
    </row>
    <row r="1332" ht="14.25" customHeight="1" s="40">
      <c r="A1332" s="24" t="n"/>
      <c r="B1332" s="27" t="n"/>
      <c r="C1332" s="24" t="n"/>
      <c r="D1332" s="28" t="n"/>
      <c r="E1332" s="29" t="n"/>
      <c r="F1332" s="24" t="n"/>
      <c r="G1332" s="24" t="n"/>
      <c r="H1332" s="21">
        <f>IF(ISNUMBER($B1332),INT($B1332)-WEEKDAY($B1332,2)+1,"")</f>
        <v/>
      </c>
      <c r="I1332" s="24" t="n"/>
      <c r="J1332" s="22">
        <f t="array" ref="J1332">IF($D1332="","",IF($I1332="","(trống REF)",IFERROR(INDEX(MASTER_SOURCE!$B$2:$B$495,MATCH($I1332,MASTER_SOURCE!$A$2:$A$495,0)),"(REF không có trong MASTER_SOURCE)")))</f>
        <v/>
      </c>
      <c r="K1332" s="22">
        <f t="array" ref="K1332">IF($D1332="","",IFERROR(INDEX(MASTER_SOURCE!$C$2:$C$495,MATCH($I1332,MASTER_SOURCE!$A$2:$A$495,0)),""))</f>
        <v/>
      </c>
      <c r="L1332" s="22">
        <f t="array" ref="L1332">IF($D1332="","",IFERROR(INDEX(MASTER_SOURCE!$D$2:$D$495,MATCH($I1332,MASTER_SOURCE!$A$2:$A$495,0)),""))</f>
        <v/>
      </c>
      <c r="M1332" s="24" t="n"/>
      <c r="N1332" s="24" t="n"/>
      <c r="O1332" s="24" t="n"/>
      <c r="P1332" s="24" t="n"/>
      <c r="Q1332" s="22">
        <f>IF($D1332="","",IF(AND(OR(DANH_MUC!$L$5&lt;&gt;"Có",M1332="Có"),OR(DANH_MUC!$L$6&lt;&gt;"Có",N1332="Có"),OR(DANH_MUC!$L$7&lt;&gt;"Có",O1332="Có"),OR(DANH_MUC!$L$8&lt;&gt;"Có",P1332="Có")),"Có","Không"))</f>
        <v/>
      </c>
      <c r="R1332" s="22">
        <f>IF($D1332="","",IF(COUNTIF($D$2:$D1332,$D1332)&gt;1,"Trùng",""))</f>
        <v/>
      </c>
      <c r="S1332" s="22">
        <f>IF($D1332="","",IF(AND(LEN($D1332)=10,LEFT($D1332,1)="0",ISNUMBER(--$D1332)),"Có","Không"))</f>
        <v/>
      </c>
      <c r="T1332" s="22">
        <f>IF($D1332="","",IF(AND($C1332&lt;&gt;"",$Q1332="Có",$R1332="",$S1332="Có",AND($L1332&lt;&gt;"",OR($L1332&lt;&gt;"Chưa xác định",DANH_MUC!$L$9="Có"))),"Có","Không"))</f>
        <v/>
      </c>
      <c r="U1332" s="22">
        <f>IF(OR($D1332="",$T1332="Có"),"",IF($C1332="","Thiếu họ tên; ","")&amp;IF($S1332&lt;&gt;"Có","SĐT sai định dạng; ","")&amp;IF($R1332="Trùng","Trùng SĐT; ","")&amp;IF($Q1332&lt;&gt;"Có","Thiếu đồng ý bắt buộc; ","")&amp;IF($L1332="","Thiếu/sai Mã REF; ",IF(AND($L1332="Chưa xác định",DANH_MUC!$L$9&lt;&gt;"Có"),"Nguồn chưa xác định; ","")))</f>
        <v/>
      </c>
      <c r="V1332" s="22">
        <f>IF(OR($D1332="",$R1332="Trùng"),"",IF(COUNTIF(ORDERS!$C$2:$C$4995,$D1332)&gt;0,"Có","Không"))</f>
        <v/>
      </c>
      <c r="W1332" s="22">
        <f>IF(OR($D1332="",$R1332="Trùng"),"",COUNTIFS(ORDERS!$C$2:$C$4995,$D1332,ORDERS!$L$2:$L$4995,"Đã chuyển khoản"))</f>
        <v/>
      </c>
      <c r="X1332" s="23">
        <f>IF(OR($D1332="",$R1332="Trùng"),"",SUMIFS(ORDERS!$J$2:$J$4995,ORDERS!$C$2:$C$4995,$D1332,ORDERS!$L$2:$L$4995,"Đã chuyển khoản"))</f>
        <v/>
      </c>
      <c r="Y1332" s="24" t="n"/>
    </row>
    <row r="1333" ht="14.25" customHeight="1" s="40">
      <c r="A1333" s="24" t="n"/>
      <c r="B1333" s="27" t="n"/>
      <c r="C1333" s="24" t="n"/>
      <c r="D1333" s="28" t="n"/>
      <c r="E1333" s="29" t="n"/>
      <c r="F1333" s="24" t="n"/>
      <c r="G1333" s="24" t="n"/>
      <c r="H1333" s="21">
        <f>IF(ISNUMBER($B1333),INT($B1333)-WEEKDAY($B1333,2)+1,"")</f>
        <v/>
      </c>
      <c r="I1333" s="24" t="n"/>
      <c r="J1333" s="22">
        <f t="array" ref="J1333">IF($D1333="","",IF($I1333="","(trống REF)",IFERROR(INDEX(MASTER_SOURCE!$B$2:$B$495,MATCH($I1333,MASTER_SOURCE!$A$2:$A$495,0)),"(REF không có trong MASTER_SOURCE)")))</f>
        <v/>
      </c>
      <c r="K1333" s="22">
        <f t="array" ref="K1333">IF($D1333="","",IFERROR(INDEX(MASTER_SOURCE!$C$2:$C$495,MATCH($I1333,MASTER_SOURCE!$A$2:$A$495,0)),""))</f>
        <v/>
      </c>
      <c r="L1333" s="22">
        <f t="array" ref="L1333">IF($D1333="","",IFERROR(INDEX(MASTER_SOURCE!$D$2:$D$495,MATCH($I1333,MASTER_SOURCE!$A$2:$A$495,0)),""))</f>
        <v/>
      </c>
      <c r="M1333" s="24" t="n"/>
      <c r="N1333" s="24" t="n"/>
      <c r="O1333" s="24" t="n"/>
      <c r="P1333" s="24" t="n"/>
      <c r="Q1333" s="22">
        <f>IF($D1333="","",IF(AND(OR(DANH_MUC!$L$5&lt;&gt;"Có",M1333="Có"),OR(DANH_MUC!$L$6&lt;&gt;"Có",N1333="Có"),OR(DANH_MUC!$L$7&lt;&gt;"Có",O1333="Có"),OR(DANH_MUC!$L$8&lt;&gt;"Có",P1333="Có")),"Có","Không"))</f>
        <v/>
      </c>
      <c r="R1333" s="22">
        <f>IF($D1333="","",IF(COUNTIF($D$2:$D1333,$D1333)&gt;1,"Trùng",""))</f>
        <v/>
      </c>
      <c r="S1333" s="22">
        <f>IF($D1333="","",IF(AND(LEN($D1333)=10,LEFT($D1333,1)="0",ISNUMBER(--$D1333)),"Có","Không"))</f>
        <v/>
      </c>
      <c r="T1333" s="22">
        <f>IF($D1333="","",IF(AND($C1333&lt;&gt;"",$Q1333="Có",$R1333="",$S1333="Có",AND($L1333&lt;&gt;"",OR($L1333&lt;&gt;"Chưa xác định",DANH_MUC!$L$9="Có"))),"Có","Không"))</f>
        <v/>
      </c>
      <c r="U1333" s="22">
        <f>IF(OR($D1333="",$T1333="Có"),"",IF($C1333="","Thiếu họ tên; ","")&amp;IF($S1333&lt;&gt;"Có","SĐT sai định dạng; ","")&amp;IF($R1333="Trùng","Trùng SĐT; ","")&amp;IF($Q1333&lt;&gt;"Có","Thiếu đồng ý bắt buộc; ","")&amp;IF($L1333="","Thiếu/sai Mã REF; ",IF(AND($L1333="Chưa xác định",DANH_MUC!$L$9&lt;&gt;"Có"),"Nguồn chưa xác định; ","")))</f>
        <v/>
      </c>
      <c r="V1333" s="22">
        <f>IF(OR($D1333="",$R1333="Trùng"),"",IF(COUNTIF(ORDERS!$C$2:$C$4995,$D1333)&gt;0,"Có","Không"))</f>
        <v/>
      </c>
      <c r="W1333" s="22">
        <f>IF(OR($D1333="",$R1333="Trùng"),"",COUNTIFS(ORDERS!$C$2:$C$4995,$D1333,ORDERS!$L$2:$L$4995,"Đã chuyển khoản"))</f>
        <v/>
      </c>
      <c r="X1333" s="23">
        <f>IF(OR($D1333="",$R1333="Trùng"),"",SUMIFS(ORDERS!$J$2:$J$4995,ORDERS!$C$2:$C$4995,$D1333,ORDERS!$L$2:$L$4995,"Đã chuyển khoản"))</f>
        <v/>
      </c>
      <c r="Y1333" s="24" t="n"/>
    </row>
    <row r="1334" ht="14.25" customHeight="1" s="40">
      <c r="A1334" s="24" t="n"/>
      <c r="B1334" s="27" t="n"/>
      <c r="C1334" s="24" t="n"/>
      <c r="D1334" s="28" t="n"/>
      <c r="E1334" s="29" t="n"/>
      <c r="F1334" s="24" t="n"/>
      <c r="G1334" s="24" t="n"/>
      <c r="H1334" s="21">
        <f>IF(ISNUMBER($B1334),INT($B1334)-WEEKDAY($B1334,2)+1,"")</f>
        <v/>
      </c>
      <c r="I1334" s="24" t="n"/>
      <c r="J1334" s="22">
        <f t="array" ref="J1334">IF($D1334="","",IF($I1334="","(trống REF)",IFERROR(INDEX(MASTER_SOURCE!$B$2:$B$495,MATCH($I1334,MASTER_SOURCE!$A$2:$A$495,0)),"(REF không có trong MASTER_SOURCE)")))</f>
        <v/>
      </c>
      <c r="K1334" s="22">
        <f t="array" ref="K1334">IF($D1334="","",IFERROR(INDEX(MASTER_SOURCE!$C$2:$C$495,MATCH($I1334,MASTER_SOURCE!$A$2:$A$495,0)),""))</f>
        <v/>
      </c>
      <c r="L1334" s="22">
        <f t="array" ref="L1334">IF($D1334="","",IFERROR(INDEX(MASTER_SOURCE!$D$2:$D$495,MATCH($I1334,MASTER_SOURCE!$A$2:$A$495,0)),""))</f>
        <v/>
      </c>
      <c r="M1334" s="24" t="n"/>
      <c r="N1334" s="24" t="n"/>
      <c r="O1334" s="24" t="n"/>
      <c r="P1334" s="24" t="n"/>
      <c r="Q1334" s="22">
        <f>IF($D1334="","",IF(AND(OR(DANH_MUC!$L$5&lt;&gt;"Có",M1334="Có"),OR(DANH_MUC!$L$6&lt;&gt;"Có",N1334="Có"),OR(DANH_MUC!$L$7&lt;&gt;"Có",O1334="Có"),OR(DANH_MUC!$L$8&lt;&gt;"Có",P1334="Có")),"Có","Không"))</f>
        <v/>
      </c>
      <c r="R1334" s="22">
        <f>IF($D1334="","",IF(COUNTIF($D$2:$D1334,$D1334)&gt;1,"Trùng",""))</f>
        <v/>
      </c>
      <c r="S1334" s="22">
        <f>IF($D1334="","",IF(AND(LEN($D1334)=10,LEFT($D1334,1)="0",ISNUMBER(--$D1334)),"Có","Không"))</f>
        <v/>
      </c>
      <c r="T1334" s="22">
        <f>IF($D1334="","",IF(AND($C1334&lt;&gt;"",$Q1334="Có",$R1334="",$S1334="Có",AND($L1334&lt;&gt;"",OR($L1334&lt;&gt;"Chưa xác định",DANH_MUC!$L$9="Có"))),"Có","Không"))</f>
        <v/>
      </c>
      <c r="U1334" s="22">
        <f>IF(OR($D1334="",$T1334="Có"),"",IF($C1334="","Thiếu họ tên; ","")&amp;IF($S1334&lt;&gt;"Có","SĐT sai định dạng; ","")&amp;IF($R1334="Trùng","Trùng SĐT; ","")&amp;IF($Q1334&lt;&gt;"Có","Thiếu đồng ý bắt buộc; ","")&amp;IF($L1334="","Thiếu/sai Mã REF; ",IF(AND($L1334="Chưa xác định",DANH_MUC!$L$9&lt;&gt;"Có"),"Nguồn chưa xác định; ","")))</f>
        <v/>
      </c>
      <c r="V1334" s="22">
        <f>IF(OR($D1334="",$R1334="Trùng"),"",IF(COUNTIF(ORDERS!$C$2:$C$4995,$D1334)&gt;0,"Có","Không"))</f>
        <v/>
      </c>
      <c r="W1334" s="22">
        <f>IF(OR($D1334="",$R1334="Trùng"),"",COUNTIFS(ORDERS!$C$2:$C$4995,$D1334,ORDERS!$L$2:$L$4995,"Đã chuyển khoản"))</f>
        <v/>
      </c>
      <c r="X1334" s="23">
        <f>IF(OR($D1334="",$R1334="Trùng"),"",SUMIFS(ORDERS!$J$2:$J$4995,ORDERS!$C$2:$C$4995,$D1334,ORDERS!$L$2:$L$4995,"Đã chuyển khoản"))</f>
        <v/>
      </c>
      <c r="Y1334" s="24" t="n"/>
    </row>
    <row r="1335" ht="14.25" customHeight="1" s="40">
      <c r="A1335" s="24" t="n"/>
      <c r="B1335" s="27" t="n"/>
      <c r="C1335" s="24" t="n"/>
      <c r="D1335" s="28" t="n"/>
      <c r="E1335" s="29" t="n"/>
      <c r="F1335" s="24" t="n"/>
      <c r="G1335" s="24" t="n"/>
      <c r="H1335" s="21">
        <f>IF(ISNUMBER($B1335),INT($B1335)-WEEKDAY($B1335,2)+1,"")</f>
        <v/>
      </c>
      <c r="I1335" s="24" t="n"/>
      <c r="J1335" s="22">
        <f t="array" ref="J1335">IF($D1335="","",IF($I1335="","(trống REF)",IFERROR(INDEX(MASTER_SOURCE!$B$2:$B$495,MATCH($I1335,MASTER_SOURCE!$A$2:$A$495,0)),"(REF không có trong MASTER_SOURCE)")))</f>
        <v/>
      </c>
      <c r="K1335" s="22">
        <f t="array" ref="K1335">IF($D1335="","",IFERROR(INDEX(MASTER_SOURCE!$C$2:$C$495,MATCH($I1335,MASTER_SOURCE!$A$2:$A$495,0)),""))</f>
        <v/>
      </c>
      <c r="L1335" s="22">
        <f t="array" ref="L1335">IF($D1335="","",IFERROR(INDEX(MASTER_SOURCE!$D$2:$D$495,MATCH($I1335,MASTER_SOURCE!$A$2:$A$495,0)),""))</f>
        <v/>
      </c>
      <c r="M1335" s="24" t="n"/>
      <c r="N1335" s="24" t="n"/>
      <c r="O1335" s="24" t="n"/>
      <c r="P1335" s="24" t="n"/>
      <c r="Q1335" s="22">
        <f>IF($D1335="","",IF(AND(OR(DANH_MUC!$L$5&lt;&gt;"Có",M1335="Có"),OR(DANH_MUC!$L$6&lt;&gt;"Có",N1335="Có"),OR(DANH_MUC!$L$7&lt;&gt;"Có",O1335="Có"),OR(DANH_MUC!$L$8&lt;&gt;"Có",P1335="Có")),"Có","Không"))</f>
        <v/>
      </c>
      <c r="R1335" s="22">
        <f>IF($D1335="","",IF(COUNTIF($D$2:$D1335,$D1335)&gt;1,"Trùng",""))</f>
        <v/>
      </c>
      <c r="S1335" s="22">
        <f>IF($D1335="","",IF(AND(LEN($D1335)=10,LEFT($D1335,1)="0",ISNUMBER(--$D1335)),"Có","Không"))</f>
        <v/>
      </c>
      <c r="T1335" s="22">
        <f>IF($D1335="","",IF(AND($C1335&lt;&gt;"",$Q1335="Có",$R1335="",$S1335="Có",AND($L1335&lt;&gt;"",OR($L1335&lt;&gt;"Chưa xác định",DANH_MUC!$L$9="Có"))),"Có","Không"))</f>
        <v/>
      </c>
      <c r="U1335" s="22">
        <f>IF(OR($D1335="",$T1335="Có"),"",IF($C1335="","Thiếu họ tên; ","")&amp;IF($S1335&lt;&gt;"Có","SĐT sai định dạng; ","")&amp;IF($R1335="Trùng","Trùng SĐT; ","")&amp;IF($Q1335&lt;&gt;"Có","Thiếu đồng ý bắt buộc; ","")&amp;IF($L1335="","Thiếu/sai Mã REF; ",IF(AND($L1335="Chưa xác định",DANH_MUC!$L$9&lt;&gt;"Có"),"Nguồn chưa xác định; ","")))</f>
        <v/>
      </c>
      <c r="V1335" s="22">
        <f>IF(OR($D1335="",$R1335="Trùng"),"",IF(COUNTIF(ORDERS!$C$2:$C$4995,$D1335)&gt;0,"Có","Không"))</f>
        <v/>
      </c>
      <c r="W1335" s="22">
        <f>IF(OR($D1335="",$R1335="Trùng"),"",COUNTIFS(ORDERS!$C$2:$C$4995,$D1335,ORDERS!$L$2:$L$4995,"Đã chuyển khoản"))</f>
        <v/>
      </c>
      <c r="X1335" s="23">
        <f>IF(OR($D1335="",$R1335="Trùng"),"",SUMIFS(ORDERS!$J$2:$J$4995,ORDERS!$C$2:$C$4995,$D1335,ORDERS!$L$2:$L$4995,"Đã chuyển khoản"))</f>
        <v/>
      </c>
      <c r="Y1335" s="24" t="n"/>
    </row>
    <row r="1336" ht="14.25" customHeight="1" s="40">
      <c r="A1336" s="24" t="n"/>
      <c r="B1336" s="27" t="n"/>
      <c r="C1336" s="24" t="n"/>
      <c r="D1336" s="28" t="n"/>
      <c r="E1336" s="29" t="n"/>
      <c r="F1336" s="24" t="n"/>
      <c r="G1336" s="24" t="n"/>
      <c r="H1336" s="21">
        <f>IF(ISNUMBER($B1336),INT($B1336)-WEEKDAY($B1336,2)+1,"")</f>
        <v/>
      </c>
      <c r="I1336" s="24" t="n"/>
      <c r="J1336" s="22">
        <f t="array" ref="J1336">IF($D1336="","",IF($I1336="","(trống REF)",IFERROR(INDEX(MASTER_SOURCE!$B$2:$B$495,MATCH($I1336,MASTER_SOURCE!$A$2:$A$495,0)),"(REF không có trong MASTER_SOURCE)")))</f>
        <v/>
      </c>
      <c r="K1336" s="22">
        <f t="array" ref="K1336">IF($D1336="","",IFERROR(INDEX(MASTER_SOURCE!$C$2:$C$495,MATCH($I1336,MASTER_SOURCE!$A$2:$A$495,0)),""))</f>
        <v/>
      </c>
      <c r="L1336" s="22">
        <f t="array" ref="L1336">IF($D1336="","",IFERROR(INDEX(MASTER_SOURCE!$D$2:$D$495,MATCH($I1336,MASTER_SOURCE!$A$2:$A$495,0)),""))</f>
        <v/>
      </c>
      <c r="M1336" s="24" t="n"/>
      <c r="N1336" s="24" t="n"/>
      <c r="O1336" s="24" t="n"/>
      <c r="P1336" s="24" t="n"/>
      <c r="Q1336" s="22">
        <f>IF($D1336="","",IF(AND(OR(DANH_MUC!$L$5&lt;&gt;"Có",M1336="Có"),OR(DANH_MUC!$L$6&lt;&gt;"Có",N1336="Có"),OR(DANH_MUC!$L$7&lt;&gt;"Có",O1336="Có"),OR(DANH_MUC!$L$8&lt;&gt;"Có",P1336="Có")),"Có","Không"))</f>
        <v/>
      </c>
      <c r="R1336" s="22">
        <f>IF($D1336="","",IF(COUNTIF($D$2:$D1336,$D1336)&gt;1,"Trùng",""))</f>
        <v/>
      </c>
      <c r="S1336" s="22">
        <f>IF($D1336="","",IF(AND(LEN($D1336)=10,LEFT($D1336,1)="0",ISNUMBER(--$D1336)),"Có","Không"))</f>
        <v/>
      </c>
      <c r="T1336" s="22">
        <f>IF($D1336="","",IF(AND($C1336&lt;&gt;"",$Q1336="Có",$R1336="",$S1336="Có",AND($L1336&lt;&gt;"",OR($L1336&lt;&gt;"Chưa xác định",DANH_MUC!$L$9="Có"))),"Có","Không"))</f>
        <v/>
      </c>
      <c r="U1336" s="22">
        <f>IF(OR($D1336="",$T1336="Có"),"",IF($C1336="","Thiếu họ tên; ","")&amp;IF($S1336&lt;&gt;"Có","SĐT sai định dạng; ","")&amp;IF($R1336="Trùng","Trùng SĐT; ","")&amp;IF($Q1336&lt;&gt;"Có","Thiếu đồng ý bắt buộc; ","")&amp;IF($L1336="","Thiếu/sai Mã REF; ",IF(AND($L1336="Chưa xác định",DANH_MUC!$L$9&lt;&gt;"Có"),"Nguồn chưa xác định; ","")))</f>
        <v/>
      </c>
      <c r="V1336" s="22">
        <f>IF(OR($D1336="",$R1336="Trùng"),"",IF(COUNTIF(ORDERS!$C$2:$C$4995,$D1336)&gt;0,"Có","Không"))</f>
        <v/>
      </c>
      <c r="W1336" s="22">
        <f>IF(OR($D1336="",$R1336="Trùng"),"",COUNTIFS(ORDERS!$C$2:$C$4995,$D1336,ORDERS!$L$2:$L$4995,"Đã chuyển khoản"))</f>
        <v/>
      </c>
      <c r="X1336" s="23">
        <f>IF(OR($D1336="",$R1336="Trùng"),"",SUMIFS(ORDERS!$J$2:$J$4995,ORDERS!$C$2:$C$4995,$D1336,ORDERS!$L$2:$L$4995,"Đã chuyển khoản"))</f>
        <v/>
      </c>
      <c r="Y1336" s="24" t="n"/>
    </row>
    <row r="1337" ht="14.25" customHeight="1" s="40">
      <c r="A1337" s="24" t="n"/>
      <c r="B1337" s="27" t="n"/>
      <c r="C1337" s="24" t="n"/>
      <c r="D1337" s="28" t="n"/>
      <c r="E1337" s="29" t="n"/>
      <c r="F1337" s="24" t="n"/>
      <c r="G1337" s="24" t="n"/>
      <c r="H1337" s="21">
        <f>IF(ISNUMBER($B1337),INT($B1337)-WEEKDAY($B1337,2)+1,"")</f>
        <v/>
      </c>
      <c r="I1337" s="24" t="n"/>
      <c r="J1337" s="22">
        <f t="array" ref="J1337">IF($D1337="","",IF($I1337="","(trống REF)",IFERROR(INDEX(MASTER_SOURCE!$B$2:$B$495,MATCH($I1337,MASTER_SOURCE!$A$2:$A$495,0)),"(REF không có trong MASTER_SOURCE)")))</f>
        <v/>
      </c>
      <c r="K1337" s="22">
        <f t="array" ref="K1337">IF($D1337="","",IFERROR(INDEX(MASTER_SOURCE!$C$2:$C$495,MATCH($I1337,MASTER_SOURCE!$A$2:$A$495,0)),""))</f>
        <v/>
      </c>
      <c r="L1337" s="22">
        <f t="array" ref="L1337">IF($D1337="","",IFERROR(INDEX(MASTER_SOURCE!$D$2:$D$495,MATCH($I1337,MASTER_SOURCE!$A$2:$A$495,0)),""))</f>
        <v/>
      </c>
      <c r="M1337" s="24" t="n"/>
      <c r="N1337" s="24" t="n"/>
      <c r="O1337" s="24" t="n"/>
      <c r="P1337" s="24" t="n"/>
      <c r="Q1337" s="22">
        <f>IF($D1337="","",IF(AND(OR(DANH_MUC!$L$5&lt;&gt;"Có",M1337="Có"),OR(DANH_MUC!$L$6&lt;&gt;"Có",N1337="Có"),OR(DANH_MUC!$L$7&lt;&gt;"Có",O1337="Có"),OR(DANH_MUC!$L$8&lt;&gt;"Có",P1337="Có")),"Có","Không"))</f>
        <v/>
      </c>
      <c r="R1337" s="22">
        <f>IF($D1337="","",IF(COUNTIF($D$2:$D1337,$D1337)&gt;1,"Trùng",""))</f>
        <v/>
      </c>
      <c r="S1337" s="22">
        <f>IF($D1337="","",IF(AND(LEN($D1337)=10,LEFT($D1337,1)="0",ISNUMBER(--$D1337)),"Có","Không"))</f>
        <v/>
      </c>
      <c r="T1337" s="22">
        <f>IF($D1337="","",IF(AND($C1337&lt;&gt;"",$Q1337="Có",$R1337="",$S1337="Có",AND($L1337&lt;&gt;"",OR($L1337&lt;&gt;"Chưa xác định",DANH_MUC!$L$9="Có"))),"Có","Không"))</f>
        <v/>
      </c>
      <c r="U1337" s="22">
        <f>IF(OR($D1337="",$T1337="Có"),"",IF($C1337="","Thiếu họ tên; ","")&amp;IF($S1337&lt;&gt;"Có","SĐT sai định dạng; ","")&amp;IF($R1337="Trùng","Trùng SĐT; ","")&amp;IF($Q1337&lt;&gt;"Có","Thiếu đồng ý bắt buộc; ","")&amp;IF($L1337="","Thiếu/sai Mã REF; ",IF(AND($L1337="Chưa xác định",DANH_MUC!$L$9&lt;&gt;"Có"),"Nguồn chưa xác định; ","")))</f>
        <v/>
      </c>
      <c r="V1337" s="22">
        <f>IF(OR($D1337="",$R1337="Trùng"),"",IF(COUNTIF(ORDERS!$C$2:$C$4995,$D1337)&gt;0,"Có","Không"))</f>
        <v/>
      </c>
      <c r="W1337" s="22">
        <f>IF(OR($D1337="",$R1337="Trùng"),"",COUNTIFS(ORDERS!$C$2:$C$4995,$D1337,ORDERS!$L$2:$L$4995,"Đã chuyển khoản"))</f>
        <v/>
      </c>
      <c r="X1337" s="23">
        <f>IF(OR($D1337="",$R1337="Trùng"),"",SUMIFS(ORDERS!$J$2:$J$4995,ORDERS!$C$2:$C$4995,$D1337,ORDERS!$L$2:$L$4995,"Đã chuyển khoản"))</f>
        <v/>
      </c>
      <c r="Y1337" s="24" t="n"/>
    </row>
    <row r="1338" ht="14.25" customHeight="1" s="40">
      <c r="A1338" s="24" t="n"/>
      <c r="B1338" s="27" t="n"/>
      <c r="C1338" s="24" t="n"/>
      <c r="D1338" s="28" t="n"/>
      <c r="E1338" s="29" t="n"/>
      <c r="F1338" s="24" t="n"/>
      <c r="G1338" s="24" t="n"/>
      <c r="H1338" s="21">
        <f>IF(ISNUMBER($B1338),INT($B1338)-WEEKDAY($B1338,2)+1,"")</f>
        <v/>
      </c>
      <c r="I1338" s="24" t="n"/>
      <c r="J1338" s="22">
        <f t="array" ref="J1338">IF($D1338="","",IF($I1338="","(trống REF)",IFERROR(INDEX(MASTER_SOURCE!$B$2:$B$495,MATCH($I1338,MASTER_SOURCE!$A$2:$A$495,0)),"(REF không có trong MASTER_SOURCE)")))</f>
        <v/>
      </c>
      <c r="K1338" s="22">
        <f t="array" ref="K1338">IF($D1338="","",IFERROR(INDEX(MASTER_SOURCE!$C$2:$C$495,MATCH($I1338,MASTER_SOURCE!$A$2:$A$495,0)),""))</f>
        <v/>
      </c>
      <c r="L1338" s="22">
        <f t="array" ref="L1338">IF($D1338="","",IFERROR(INDEX(MASTER_SOURCE!$D$2:$D$495,MATCH($I1338,MASTER_SOURCE!$A$2:$A$495,0)),""))</f>
        <v/>
      </c>
      <c r="M1338" s="24" t="n"/>
      <c r="N1338" s="24" t="n"/>
      <c r="O1338" s="24" t="n"/>
      <c r="P1338" s="24" t="n"/>
      <c r="Q1338" s="22">
        <f>IF($D1338="","",IF(AND(OR(DANH_MUC!$L$5&lt;&gt;"Có",M1338="Có"),OR(DANH_MUC!$L$6&lt;&gt;"Có",N1338="Có"),OR(DANH_MUC!$L$7&lt;&gt;"Có",O1338="Có"),OR(DANH_MUC!$L$8&lt;&gt;"Có",P1338="Có")),"Có","Không"))</f>
        <v/>
      </c>
      <c r="R1338" s="22">
        <f>IF($D1338="","",IF(COUNTIF($D$2:$D1338,$D1338)&gt;1,"Trùng",""))</f>
        <v/>
      </c>
      <c r="S1338" s="22">
        <f>IF($D1338="","",IF(AND(LEN($D1338)=10,LEFT($D1338,1)="0",ISNUMBER(--$D1338)),"Có","Không"))</f>
        <v/>
      </c>
      <c r="T1338" s="22">
        <f>IF($D1338="","",IF(AND($C1338&lt;&gt;"",$Q1338="Có",$R1338="",$S1338="Có",AND($L1338&lt;&gt;"",OR($L1338&lt;&gt;"Chưa xác định",DANH_MUC!$L$9="Có"))),"Có","Không"))</f>
        <v/>
      </c>
      <c r="U1338" s="22">
        <f>IF(OR($D1338="",$T1338="Có"),"",IF($C1338="","Thiếu họ tên; ","")&amp;IF($S1338&lt;&gt;"Có","SĐT sai định dạng; ","")&amp;IF($R1338="Trùng","Trùng SĐT; ","")&amp;IF($Q1338&lt;&gt;"Có","Thiếu đồng ý bắt buộc; ","")&amp;IF($L1338="","Thiếu/sai Mã REF; ",IF(AND($L1338="Chưa xác định",DANH_MUC!$L$9&lt;&gt;"Có"),"Nguồn chưa xác định; ","")))</f>
        <v/>
      </c>
      <c r="V1338" s="22">
        <f>IF(OR($D1338="",$R1338="Trùng"),"",IF(COUNTIF(ORDERS!$C$2:$C$4995,$D1338)&gt;0,"Có","Không"))</f>
        <v/>
      </c>
      <c r="W1338" s="22">
        <f>IF(OR($D1338="",$R1338="Trùng"),"",COUNTIFS(ORDERS!$C$2:$C$4995,$D1338,ORDERS!$L$2:$L$4995,"Đã chuyển khoản"))</f>
        <v/>
      </c>
      <c r="X1338" s="23">
        <f>IF(OR($D1338="",$R1338="Trùng"),"",SUMIFS(ORDERS!$J$2:$J$4995,ORDERS!$C$2:$C$4995,$D1338,ORDERS!$L$2:$L$4995,"Đã chuyển khoản"))</f>
        <v/>
      </c>
      <c r="Y1338" s="24" t="n"/>
    </row>
    <row r="1339" ht="14.25" customHeight="1" s="40">
      <c r="A1339" s="24" t="n"/>
      <c r="B1339" s="27" t="n"/>
      <c r="C1339" s="24" t="n"/>
      <c r="D1339" s="28" t="n"/>
      <c r="E1339" s="29" t="n"/>
      <c r="F1339" s="24" t="n"/>
      <c r="G1339" s="24" t="n"/>
      <c r="H1339" s="21">
        <f>IF(ISNUMBER($B1339),INT($B1339)-WEEKDAY($B1339,2)+1,"")</f>
        <v/>
      </c>
      <c r="I1339" s="24" t="n"/>
      <c r="J1339" s="22">
        <f t="array" ref="J1339">IF($D1339="","",IF($I1339="","(trống REF)",IFERROR(INDEX(MASTER_SOURCE!$B$2:$B$495,MATCH($I1339,MASTER_SOURCE!$A$2:$A$495,0)),"(REF không có trong MASTER_SOURCE)")))</f>
        <v/>
      </c>
      <c r="K1339" s="22">
        <f t="array" ref="K1339">IF($D1339="","",IFERROR(INDEX(MASTER_SOURCE!$C$2:$C$495,MATCH($I1339,MASTER_SOURCE!$A$2:$A$495,0)),""))</f>
        <v/>
      </c>
      <c r="L1339" s="22">
        <f t="array" ref="L1339">IF($D1339="","",IFERROR(INDEX(MASTER_SOURCE!$D$2:$D$495,MATCH($I1339,MASTER_SOURCE!$A$2:$A$495,0)),""))</f>
        <v/>
      </c>
      <c r="M1339" s="24" t="n"/>
      <c r="N1339" s="24" t="n"/>
      <c r="O1339" s="24" t="n"/>
      <c r="P1339" s="24" t="n"/>
      <c r="Q1339" s="22">
        <f>IF($D1339="","",IF(AND(OR(DANH_MUC!$L$5&lt;&gt;"Có",M1339="Có"),OR(DANH_MUC!$L$6&lt;&gt;"Có",N1339="Có"),OR(DANH_MUC!$L$7&lt;&gt;"Có",O1339="Có"),OR(DANH_MUC!$L$8&lt;&gt;"Có",P1339="Có")),"Có","Không"))</f>
        <v/>
      </c>
      <c r="R1339" s="22">
        <f>IF($D1339="","",IF(COUNTIF($D$2:$D1339,$D1339)&gt;1,"Trùng",""))</f>
        <v/>
      </c>
      <c r="S1339" s="22">
        <f>IF($D1339="","",IF(AND(LEN($D1339)=10,LEFT($D1339,1)="0",ISNUMBER(--$D1339)),"Có","Không"))</f>
        <v/>
      </c>
      <c r="T1339" s="22">
        <f>IF($D1339="","",IF(AND($C1339&lt;&gt;"",$Q1339="Có",$R1339="",$S1339="Có",AND($L1339&lt;&gt;"",OR($L1339&lt;&gt;"Chưa xác định",DANH_MUC!$L$9="Có"))),"Có","Không"))</f>
        <v/>
      </c>
      <c r="U1339" s="22">
        <f>IF(OR($D1339="",$T1339="Có"),"",IF($C1339="","Thiếu họ tên; ","")&amp;IF($S1339&lt;&gt;"Có","SĐT sai định dạng; ","")&amp;IF($R1339="Trùng","Trùng SĐT; ","")&amp;IF($Q1339&lt;&gt;"Có","Thiếu đồng ý bắt buộc; ","")&amp;IF($L1339="","Thiếu/sai Mã REF; ",IF(AND($L1339="Chưa xác định",DANH_MUC!$L$9&lt;&gt;"Có"),"Nguồn chưa xác định; ","")))</f>
        <v/>
      </c>
      <c r="V1339" s="22">
        <f>IF(OR($D1339="",$R1339="Trùng"),"",IF(COUNTIF(ORDERS!$C$2:$C$4995,$D1339)&gt;0,"Có","Không"))</f>
        <v/>
      </c>
      <c r="W1339" s="22">
        <f>IF(OR($D1339="",$R1339="Trùng"),"",COUNTIFS(ORDERS!$C$2:$C$4995,$D1339,ORDERS!$L$2:$L$4995,"Đã chuyển khoản"))</f>
        <v/>
      </c>
      <c r="X1339" s="23">
        <f>IF(OR($D1339="",$R1339="Trùng"),"",SUMIFS(ORDERS!$J$2:$J$4995,ORDERS!$C$2:$C$4995,$D1339,ORDERS!$L$2:$L$4995,"Đã chuyển khoản"))</f>
        <v/>
      </c>
      <c r="Y1339" s="24" t="n"/>
    </row>
    <row r="1340" ht="14.25" customHeight="1" s="40">
      <c r="A1340" s="24" t="n"/>
      <c r="B1340" s="27" t="n"/>
      <c r="C1340" s="24" t="n"/>
      <c r="D1340" s="28" t="n"/>
      <c r="E1340" s="29" t="n"/>
      <c r="F1340" s="24" t="n"/>
      <c r="G1340" s="24" t="n"/>
      <c r="H1340" s="21">
        <f>IF(ISNUMBER($B1340),INT($B1340)-WEEKDAY($B1340,2)+1,"")</f>
        <v/>
      </c>
      <c r="I1340" s="24" t="n"/>
      <c r="J1340" s="22">
        <f t="array" ref="J1340">IF($D1340="","",IF($I1340="","(trống REF)",IFERROR(INDEX(MASTER_SOURCE!$B$2:$B$495,MATCH($I1340,MASTER_SOURCE!$A$2:$A$495,0)),"(REF không có trong MASTER_SOURCE)")))</f>
        <v/>
      </c>
      <c r="K1340" s="22">
        <f t="array" ref="K1340">IF($D1340="","",IFERROR(INDEX(MASTER_SOURCE!$C$2:$C$495,MATCH($I1340,MASTER_SOURCE!$A$2:$A$495,0)),""))</f>
        <v/>
      </c>
      <c r="L1340" s="22">
        <f t="array" ref="L1340">IF($D1340="","",IFERROR(INDEX(MASTER_SOURCE!$D$2:$D$495,MATCH($I1340,MASTER_SOURCE!$A$2:$A$495,0)),""))</f>
        <v/>
      </c>
      <c r="M1340" s="24" t="n"/>
      <c r="N1340" s="24" t="n"/>
      <c r="O1340" s="24" t="n"/>
      <c r="P1340" s="24" t="n"/>
      <c r="Q1340" s="22">
        <f>IF($D1340="","",IF(AND(OR(DANH_MUC!$L$5&lt;&gt;"Có",M1340="Có"),OR(DANH_MUC!$L$6&lt;&gt;"Có",N1340="Có"),OR(DANH_MUC!$L$7&lt;&gt;"Có",O1340="Có"),OR(DANH_MUC!$L$8&lt;&gt;"Có",P1340="Có")),"Có","Không"))</f>
        <v/>
      </c>
      <c r="R1340" s="22">
        <f>IF($D1340="","",IF(COUNTIF($D$2:$D1340,$D1340)&gt;1,"Trùng",""))</f>
        <v/>
      </c>
      <c r="S1340" s="22">
        <f>IF($D1340="","",IF(AND(LEN($D1340)=10,LEFT($D1340,1)="0",ISNUMBER(--$D1340)),"Có","Không"))</f>
        <v/>
      </c>
      <c r="T1340" s="22">
        <f>IF($D1340="","",IF(AND($C1340&lt;&gt;"",$Q1340="Có",$R1340="",$S1340="Có",AND($L1340&lt;&gt;"",OR($L1340&lt;&gt;"Chưa xác định",DANH_MUC!$L$9="Có"))),"Có","Không"))</f>
        <v/>
      </c>
      <c r="U1340" s="22">
        <f>IF(OR($D1340="",$T1340="Có"),"",IF($C1340="","Thiếu họ tên; ","")&amp;IF($S1340&lt;&gt;"Có","SĐT sai định dạng; ","")&amp;IF($R1340="Trùng","Trùng SĐT; ","")&amp;IF($Q1340&lt;&gt;"Có","Thiếu đồng ý bắt buộc; ","")&amp;IF($L1340="","Thiếu/sai Mã REF; ",IF(AND($L1340="Chưa xác định",DANH_MUC!$L$9&lt;&gt;"Có"),"Nguồn chưa xác định; ","")))</f>
        <v/>
      </c>
      <c r="V1340" s="22">
        <f>IF(OR($D1340="",$R1340="Trùng"),"",IF(COUNTIF(ORDERS!$C$2:$C$4995,$D1340)&gt;0,"Có","Không"))</f>
        <v/>
      </c>
      <c r="W1340" s="22">
        <f>IF(OR($D1340="",$R1340="Trùng"),"",COUNTIFS(ORDERS!$C$2:$C$4995,$D1340,ORDERS!$L$2:$L$4995,"Đã chuyển khoản"))</f>
        <v/>
      </c>
      <c r="X1340" s="23">
        <f>IF(OR($D1340="",$R1340="Trùng"),"",SUMIFS(ORDERS!$J$2:$J$4995,ORDERS!$C$2:$C$4995,$D1340,ORDERS!$L$2:$L$4995,"Đã chuyển khoản"))</f>
        <v/>
      </c>
      <c r="Y1340" s="24" t="n"/>
    </row>
    <row r="1341" ht="14.25" customHeight="1" s="40">
      <c r="A1341" s="24" t="n"/>
      <c r="B1341" s="27" t="n"/>
      <c r="C1341" s="24" t="n"/>
      <c r="D1341" s="28" t="n"/>
      <c r="E1341" s="29" t="n"/>
      <c r="F1341" s="24" t="n"/>
      <c r="G1341" s="24" t="n"/>
      <c r="H1341" s="21">
        <f>IF(ISNUMBER($B1341),INT($B1341)-WEEKDAY($B1341,2)+1,"")</f>
        <v/>
      </c>
      <c r="I1341" s="24" t="n"/>
      <c r="J1341" s="22">
        <f t="array" ref="J1341">IF($D1341="","",IF($I1341="","(trống REF)",IFERROR(INDEX(MASTER_SOURCE!$B$2:$B$495,MATCH($I1341,MASTER_SOURCE!$A$2:$A$495,0)),"(REF không có trong MASTER_SOURCE)")))</f>
        <v/>
      </c>
      <c r="K1341" s="22">
        <f t="array" ref="K1341">IF($D1341="","",IFERROR(INDEX(MASTER_SOURCE!$C$2:$C$495,MATCH($I1341,MASTER_SOURCE!$A$2:$A$495,0)),""))</f>
        <v/>
      </c>
      <c r="L1341" s="22">
        <f t="array" ref="L1341">IF($D1341="","",IFERROR(INDEX(MASTER_SOURCE!$D$2:$D$495,MATCH($I1341,MASTER_SOURCE!$A$2:$A$495,0)),""))</f>
        <v/>
      </c>
      <c r="M1341" s="24" t="n"/>
      <c r="N1341" s="24" t="n"/>
      <c r="O1341" s="24" t="n"/>
      <c r="P1341" s="24" t="n"/>
      <c r="Q1341" s="22">
        <f>IF($D1341="","",IF(AND(OR(DANH_MUC!$L$5&lt;&gt;"Có",M1341="Có"),OR(DANH_MUC!$L$6&lt;&gt;"Có",N1341="Có"),OR(DANH_MUC!$L$7&lt;&gt;"Có",O1341="Có"),OR(DANH_MUC!$L$8&lt;&gt;"Có",P1341="Có")),"Có","Không"))</f>
        <v/>
      </c>
      <c r="R1341" s="22">
        <f>IF($D1341="","",IF(COUNTIF($D$2:$D1341,$D1341)&gt;1,"Trùng",""))</f>
        <v/>
      </c>
      <c r="S1341" s="22">
        <f>IF($D1341="","",IF(AND(LEN($D1341)=10,LEFT($D1341,1)="0",ISNUMBER(--$D1341)),"Có","Không"))</f>
        <v/>
      </c>
      <c r="T1341" s="22">
        <f>IF($D1341="","",IF(AND($C1341&lt;&gt;"",$Q1341="Có",$R1341="",$S1341="Có",AND($L1341&lt;&gt;"",OR($L1341&lt;&gt;"Chưa xác định",DANH_MUC!$L$9="Có"))),"Có","Không"))</f>
        <v/>
      </c>
      <c r="U1341" s="22">
        <f>IF(OR($D1341="",$T1341="Có"),"",IF($C1341="","Thiếu họ tên; ","")&amp;IF($S1341&lt;&gt;"Có","SĐT sai định dạng; ","")&amp;IF($R1341="Trùng","Trùng SĐT; ","")&amp;IF($Q1341&lt;&gt;"Có","Thiếu đồng ý bắt buộc; ","")&amp;IF($L1341="","Thiếu/sai Mã REF; ",IF(AND($L1341="Chưa xác định",DANH_MUC!$L$9&lt;&gt;"Có"),"Nguồn chưa xác định; ","")))</f>
        <v/>
      </c>
      <c r="V1341" s="22">
        <f>IF(OR($D1341="",$R1341="Trùng"),"",IF(COUNTIF(ORDERS!$C$2:$C$4995,$D1341)&gt;0,"Có","Không"))</f>
        <v/>
      </c>
      <c r="W1341" s="22">
        <f>IF(OR($D1341="",$R1341="Trùng"),"",COUNTIFS(ORDERS!$C$2:$C$4995,$D1341,ORDERS!$L$2:$L$4995,"Đã chuyển khoản"))</f>
        <v/>
      </c>
      <c r="X1341" s="23">
        <f>IF(OR($D1341="",$R1341="Trùng"),"",SUMIFS(ORDERS!$J$2:$J$4995,ORDERS!$C$2:$C$4995,$D1341,ORDERS!$L$2:$L$4995,"Đã chuyển khoản"))</f>
        <v/>
      </c>
      <c r="Y1341" s="24" t="n"/>
    </row>
    <row r="1342" ht="14.25" customHeight="1" s="40">
      <c r="A1342" s="24" t="n"/>
      <c r="B1342" s="27" t="n"/>
      <c r="C1342" s="24" t="n"/>
      <c r="D1342" s="28" t="n"/>
      <c r="E1342" s="29" t="n"/>
      <c r="F1342" s="24" t="n"/>
      <c r="G1342" s="24" t="n"/>
      <c r="H1342" s="21">
        <f>IF(ISNUMBER($B1342),INT($B1342)-WEEKDAY($B1342,2)+1,"")</f>
        <v/>
      </c>
      <c r="I1342" s="24" t="n"/>
      <c r="J1342" s="22">
        <f t="array" ref="J1342">IF($D1342="","",IF($I1342="","(trống REF)",IFERROR(INDEX(MASTER_SOURCE!$B$2:$B$495,MATCH($I1342,MASTER_SOURCE!$A$2:$A$495,0)),"(REF không có trong MASTER_SOURCE)")))</f>
        <v/>
      </c>
      <c r="K1342" s="22">
        <f t="array" ref="K1342">IF($D1342="","",IFERROR(INDEX(MASTER_SOURCE!$C$2:$C$495,MATCH($I1342,MASTER_SOURCE!$A$2:$A$495,0)),""))</f>
        <v/>
      </c>
      <c r="L1342" s="22">
        <f t="array" ref="L1342">IF($D1342="","",IFERROR(INDEX(MASTER_SOURCE!$D$2:$D$495,MATCH($I1342,MASTER_SOURCE!$A$2:$A$495,0)),""))</f>
        <v/>
      </c>
      <c r="M1342" s="24" t="n"/>
      <c r="N1342" s="24" t="n"/>
      <c r="O1342" s="24" t="n"/>
      <c r="P1342" s="24" t="n"/>
      <c r="Q1342" s="22">
        <f>IF($D1342="","",IF(AND(OR(DANH_MUC!$L$5&lt;&gt;"Có",M1342="Có"),OR(DANH_MUC!$L$6&lt;&gt;"Có",N1342="Có"),OR(DANH_MUC!$L$7&lt;&gt;"Có",O1342="Có"),OR(DANH_MUC!$L$8&lt;&gt;"Có",P1342="Có")),"Có","Không"))</f>
        <v/>
      </c>
      <c r="R1342" s="22">
        <f>IF($D1342="","",IF(COUNTIF($D$2:$D1342,$D1342)&gt;1,"Trùng",""))</f>
        <v/>
      </c>
      <c r="S1342" s="22">
        <f>IF($D1342="","",IF(AND(LEN($D1342)=10,LEFT($D1342,1)="0",ISNUMBER(--$D1342)),"Có","Không"))</f>
        <v/>
      </c>
      <c r="T1342" s="22">
        <f>IF($D1342="","",IF(AND($C1342&lt;&gt;"",$Q1342="Có",$R1342="",$S1342="Có",AND($L1342&lt;&gt;"",OR($L1342&lt;&gt;"Chưa xác định",DANH_MUC!$L$9="Có"))),"Có","Không"))</f>
        <v/>
      </c>
      <c r="U1342" s="22">
        <f>IF(OR($D1342="",$T1342="Có"),"",IF($C1342="","Thiếu họ tên; ","")&amp;IF($S1342&lt;&gt;"Có","SĐT sai định dạng; ","")&amp;IF($R1342="Trùng","Trùng SĐT; ","")&amp;IF($Q1342&lt;&gt;"Có","Thiếu đồng ý bắt buộc; ","")&amp;IF($L1342="","Thiếu/sai Mã REF; ",IF(AND($L1342="Chưa xác định",DANH_MUC!$L$9&lt;&gt;"Có"),"Nguồn chưa xác định; ","")))</f>
        <v/>
      </c>
      <c r="V1342" s="22">
        <f>IF(OR($D1342="",$R1342="Trùng"),"",IF(COUNTIF(ORDERS!$C$2:$C$4995,$D1342)&gt;0,"Có","Không"))</f>
        <v/>
      </c>
      <c r="W1342" s="22">
        <f>IF(OR($D1342="",$R1342="Trùng"),"",COUNTIFS(ORDERS!$C$2:$C$4995,$D1342,ORDERS!$L$2:$L$4995,"Đã chuyển khoản"))</f>
        <v/>
      </c>
      <c r="X1342" s="23">
        <f>IF(OR($D1342="",$R1342="Trùng"),"",SUMIFS(ORDERS!$J$2:$J$4995,ORDERS!$C$2:$C$4995,$D1342,ORDERS!$L$2:$L$4995,"Đã chuyển khoản"))</f>
        <v/>
      </c>
      <c r="Y1342" s="24" t="n"/>
    </row>
    <row r="1343" ht="14.25" customHeight="1" s="40">
      <c r="A1343" s="24" t="n"/>
      <c r="B1343" s="27" t="n"/>
      <c r="C1343" s="24" t="n"/>
      <c r="D1343" s="28" t="n"/>
      <c r="E1343" s="29" t="n"/>
      <c r="F1343" s="24" t="n"/>
      <c r="G1343" s="24" t="n"/>
      <c r="H1343" s="21">
        <f>IF(ISNUMBER($B1343),INT($B1343)-WEEKDAY($B1343,2)+1,"")</f>
        <v/>
      </c>
      <c r="I1343" s="24" t="n"/>
      <c r="J1343" s="22">
        <f t="array" ref="J1343">IF($D1343="","",IF($I1343="","(trống REF)",IFERROR(INDEX(MASTER_SOURCE!$B$2:$B$495,MATCH($I1343,MASTER_SOURCE!$A$2:$A$495,0)),"(REF không có trong MASTER_SOURCE)")))</f>
        <v/>
      </c>
      <c r="K1343" s="22">
        <f t="array" ref="K1343">IF($D1343="","",IFERROR(INDEX(MASTER_SOURCE!$C$2:$C$495,MATCH($I1343,MASTER_SOURCE!$A$2:$A$495,0)),""))</f>
        <v/>
      </c>
      <c r="L1343" s="22">
        <f t="array" ref="L1343">IF($D1343="","",IFERROR(INDEX(MASTER_SOURCE!$D$2:$D$495,MATCH($I1343,MASTER_SOURCE!$A$2:$A$495,0)),""))</f>
        <v/>
      </c>
      <c r="M1343" s="24" t="n"/>
      <c r="N1343" s="24" t="n"/>
      <c r="O1343" s="24" t="n"/>
      <c r="P1343" s="24" t="n"/>
      <c r="Q1343" s="22">
        <f>IF($D1343="","",IF(AND(OR(DANH_MUC!$L$5&lt;&gt;"Có",M1343="Có"),OR(DANH_MUC!$L$6&lt;&gt;"Có",N1343="Có"),OR(DANH_MUC!$L$7&lt;&gt;"Có",O1343="Có"),OR(DANH_MUC!$L$8&lt;&gt;"Có",P1343="Có")),"Có","Không"))</f>
        <v/>
      </c>
      <c r="R1343" s="22">
        <f>IF($D1343="","",IF(COUNTIF($D$2:$D1343,$D1343)&gt;1,"Trùng",""))</f>
        <v/>
      </c>
      <c r="S1343" s="22">
        <f>IF($D1343="","",IF(AND(LEN($D1343)=10,LEFT($D1343,1)="0",ISNUMBER(--$D1343)),"Có","Không"))</f>
        <v/>
      </c>
      <c r="T1343" s="22">
        <f>IF($D1343="","",IF(AND($C1343&lt;&gt;"",$Q1343="Có",$R1343="",$S1343="Có",AND($L1343&lt;&gt;"",OR($L1343&lt;&gt;"Chưa xác định",DANH_MUC!$L$9="Có"))),"Có","Không"))</f>
        <v/>
      </c>
      <c r="U1343" s="22">
        <f>IF(OR($D1343="",$T1343="Có"),"",IF($C1343="","Thiếu họ tên; ","")&amp;IF($S1343&lt;&gt;"Có","SĐT sai định dạng; ","")&amp;IF($R1343="Trùng","Trùng SĐT; ","")&amp;IF($Q1343&lt;&gt;"Có","Thiếu đồng ý bắt buộc; ","")&amp;IF($L1343="","Thiếu/sai Mã REF; ",IF(AND($L1343="Chưa xác định",DANH_MUC!$L$9&lt;&gt;"Có"),"Nguồn chưa xác định; ","")))</f>
        <v/>
      </c>
      <c r="V1343" s="22">
        <f>IF(OR($D1343="",$R1343="Trùng"),"",IF(COUNTIF(ORDERS!$C$2:$C$4995,$D1343)&gt;0,"Có","Không"))</f>
        <v/>
      </c>
      <c r="W1343" s="22">
        <f>IF(OR($D1343="",$R1343="Trùng"),"",COUNTIFS(ORDERS!$C$2:$C$4995,$D1343,ORDERS!$L$2:$L$4995,"Đã chuyển khoản"))</f>
        <v/>
      </c>
      <c r="X1343" s="23">
        <f>IF(OR($D1343="",$R1343="Trùng"),"",SUMIFS(ORDERS!$J$2:$J$4995,ORDERS!$C$2:$C$4995,$D1343,ORDERS!$L$2:$L$4995,"Đã chuyển khoản"))</f>
        <v/>
      </c>
      <c r="Y1343" s="24" t="n"/>
    </row>
    <row r="1344" ht="14.25" customHeight="1" s="40">
      <c r="A1344" s="24" t="n"/>
      <c r="B1344" s="27" t="n"/>
      <c r="C1344" s="24" t="n"/>
      <c r="D1344" s="28" t="n"/>
      <c r="E1344" s="29" t="n"/>
      <c r="F1344" s="24" t="n"/>
      <c r="G1344" s="24" t="n"/>
      <c r="H1344" s="21">
        <f>IF(ISNUMBER($B1344),INT($B1344)-WEEKDAY($B1344,2)+1,"")</f>
        <v/>
      </c>
      <c r="I1344" s="24" t="n"/>
      <c r="J1344" s="22">
        <f t="array" ref="J1344">IF($D1344="","",IF($I1344="","(trống REF)",IFERROR(INDEX(MASTER_SOURCE!$B$2:$B$495,MATCH($I1344,MASTER_SOURCE!$A$2:$A$495,0)),"(REF không có trong MASTER_SOURCE)")))</f>
        <v/>
      </c>
      <c r="K1344" s="22">
        <f t="array" ref="K1344">IF($D1344="","",IFERROR(INDEX(MASTER_SOURCE!$C$2:$C$495,MATCH($I1344,MASTER_SOURCE!$A$2:$A$495,0)),""))</f>
        <v/>
      </c>
      <c r="L1344" s="22">
        <f t="array" ref="L1344">IF($D1344="","",IFERROR(INDEX(MASTER_SOURCE!$D$2:$D$495,MATCH($I1344,MASTER_SOURCE!$A$2:$A$495,0)),""))</f>
        <v/>
      </c>
      <c r="M1344" s="24" t="n"/>
      <c r="N1344" s="24" t="n"/>
      <c r="O1344" s="24" t="n"/>
      <c r="P1344" s="24" t="n"/>
      <c r="Q1344" s="22">
        <f>IF($D1344="","",IF(AND(OR(DANH_MUC!$L$5&lt;&gt;"Có",M1344="Có"),OR(DANH_MUC!$L$6&lt;&gt;"Có",N1344="Có"),OR(DANH_MUC!$L$7&lt;&gt;"Có",O1344="Có"),OR(DANH_MUC!$L$8&lt;&gt;"Có",P1344="Có")),"Có","Không"))</f>
        <v/>
      </c>
      <c r="R1344" s="22">
        <f>IF($D1344="","",IF(COUNTIF($D$2:$D1344,$D1344)&gt;1,"Trùng",""))</f>
        <v/>
      </c>
      <c r="S1344" s="22">
        <f>IF($D1344="","",IF(AND(LEN($D1344)=10,LEFT($D1344,1)="0",ISNUMBER(--$D1344)),"Có","Không"))</f>
        <v/>
      </c>
      <c r="T1344" s="22">
        <f>IF($D1344="","",IF(AND($C1344&lt;&gt;"",$Q1344="Có",$R1344="",$S1344="Có",AND($L1344&lt;&gt;"",OR($L1344&lt;&gt;"Chưa xác định",DANH_MUC!$L$9="Có"))),"Có","Không"))</f>
        <v/>
      </c>
      <c r="U1344" s="22">
        <f>IF(OR($D1344="",$T1344="Có"),"",IF($C1344="","Thiếu họ tên; ","")&amp;IF($S1344&lt;&gt;"Có","SĐT sai định dạng; ","")&amp;IF($R1344="Trùng","Trùng SĐT; ","")&amp;IF($Q1344&lt;&gt;"Có","Thiếu đồng ý bắt buộc; ","")&amp;IF($L1344="","Thiếu/sai Mã REF; ",IF(AND($L1344="Chưa xác định",DANH_MUC!$L$9&lt;&gt;"Có"),"Nguồn chưa xác định; ","")))</f>
        <v/>
      </c>
      <c r="V1344" s="22">
        <f>IF(OR($D1344="",$R1344="Trùng"),"",IF(COUNTIF(ORDERS!$C$2:$C$4995,$D1344)&gt;0,"Có","Không"))</f>
        <v/>
      </c>
      <c r="W1344" s="22">
        <f>IF(OR($D1344="",$R1344="Trùng"),"",COUNTIFS(ORDERS!$C$2:$C$4995,$D1344,ORDERS!$L$2:$L$4995,"Đã chuyển khoản"))</f>
        <v/>
      </c>
      <c r="X1344" s="23">
        <f>IF(OR($D1344="",$R1344="Trùng"),"",SUMIFS(ORDERS!$J$2:$J$4995,ORDERS!$C$2:$C$4995,$D1344,ORDERS!$L$2:$L$4995,"Đã chuyển khoản"))</f>
        <v/>
      </c>
      <c r="Y1344" s="24" t="n"/>
    </row>
    <row r="1345" ht="14.25" customHeight="1" s="40">
      <c r="A1345" s="24" t="n"/>
      <c r="B1345" s="27" t="n"/>
      <c r="C1345" s="24" t="n"/>
      <c r="D1345" s="28" t="n"/>
      <c r="E1345" s="29" t="n"/>
      <c r="F1345" s="24" t="n"/>
      <c r="G1345" s="24" t="n"/>
      <c r="H1345" s="21">
        <f>IF(ISNUMBER($B1345),INT($B1345)-WEEKDAY($B1345,2)+1,"")</f>
        <v/>
      </c>
      <c r="I1345" s="24" t="n"/>
      <c r="J1345" s="22">
        <f t="array" ref="J1345">IF($D1345="","",IF($I1345="","(trống REF)",IFERROR(INDEX(MASTER_SOURCE!$B$2:$B$495,MATCH($I1345,MASTER_SOURCE!$A$2:$A$495,0)),"(REF không có trong MASTER_SOURCE)")))</f>
        <v/>
      </c>
      <c r="K1345" s="22">
        <f t="array" ref="K1345">IF($D1345="","",IFERROR(INDEX(MASTER_SOURCE!$C$2:$C$495,MATCH($I1345,MASTER_SOURCE!$A$2:$A$495,0)),""))</f>
        <v/>
      </c>
      <c r="L1345" s="22">
        <f t="array" ref="L1345">IF($D1345="","",IFERROR(INDEX(MASTER_SOURCE!$D$2:$D$495,MATCH($I1345,MASTER_SOURCE!$A$2:$A$495,0)),""))</f>
        <v/>
      </c>
      <c r="M1345" s="24" t="n"/>
      <c r="N1345" s="24" t="n"/>
      <c r="O1345" s="24" t="n"/>
      <c r="P1345" s="24" t="n"/>
      <c r="Q1345" s="22">
        <f>IF($D1345="","",IF(AND(OR(DANH_MUC!$L$5&lt;&gt;"Có",M1345="Có"),OR(DANH_MUC!$L$6&lt;&gt;"Có",N1345="Có"),OR(DANH_MUC!$L$7&lt;&gt;"Có",O1345="Có"),OR(DANH_MUC!$L$8&lt;&gt;"Có",P1345="Có")),"Có","Không"))</f>
        <v/>
      </c>
      <c r="R1345" s="22">
        <f>IF($D1345="","",IF(COUNTIF($D$2:$D1345,$D1345)&gt;1,"Trùng",""))</f>
        <v/>
      </c>
      <c r="S1345" s="22">
        <f>IF($D1345="","",IF(AND(LEN($D1345)=10,LEFT($D1345,1)="0",ISNUMBER(--$D1345)),"Có","Không"))</f>
        <v/>
      </c>
      <c r="T1345" s="22">
        <f>IF($D1345="","",IF(AND($C1345&lt;&gt;"",$Q1345="Có",$R1345="",$S1345="Có",AND($L1345&lt;&gt;"",OR($L1345&lt;&gt;"Chưa xác định",DANH_MUC!$L$9="Có"))),"Có","Không"))</f>
        <v/>
      </c>
      <c r="U1345" s="22">
        <f>IF(OR($D1345="",$T1345="Có"),"",IF($C1345="","Thiếu họ tên; ","")&amp;IF($S1345&lt;&gt;"Có","SĐT sai định dạng; ","")&amp;IF($R1345="Trùng","Trùng SĐT; ","")&amp;IF($Q1345&lt;&gt;"Có","Thiếu đồng ý bắt buộc; ","")&amp;IF($L1345="","Thiếu/sai Mã REF; ",IF(AND($L1345="Chưa xác định",DANH_MUC!$L$9&lt;&gt;"Có"),"Nguồn chưa xác định; ","")))</f>
        <v/>
      </c>
      <c r="V1345" s="22">
        <f>IF(OR($D1345="",$R1345="Trùng"),"",IF(COUNTIF(ORDERS!$C$2:$C$4995,$D1345)&gt;0,"Có","Không"))</f>
        <v/>
      </c>
      <c r="W1345" s="22">
        <f>IF(OR($D1345="",$R1345="Trùng"),"",COUNTIFS(ORDERS!$C$2:$C$4995,$D1345,ORDERS!$L$2:$L$4995,"Đã chuyển khoản"))</f>
        <v/>
      </c>
      <c r="X1345" s="23">
        <f>IF(OR($D1345="",$R1345="Trùng"),"",SUMIFS(ORDERS!$J$2:$J$4995,ORDERS!$C$2:$C$4995,$D1345,ORDERS!$L$2:$L$4995,"Đã chuyển khoản"))</f>
        <v/>
      </c>
      <c r="Y1345" s="24" t="n"/>
    </row>
    <row r="1346" ht="14.25" customHeight="1" s="40">
      <c r="A1346" s="24" t="n"/>
      <c r="B1346" s="27" t="n"/>
      <c r="C1346" s="24" t="n"/>
      <c r="D1346" s="28" t="n"/>
      <c r="E1346" s="29" t="n"/>
      <c r="F1346" s="24" t="n"/>
      <c r="G1346" s="24" t="n"/>
      <c r="H1346" s="21">
        <f>IF(ISNUMBER($B1346),INT($B1346)-WEEKDAY($B1346,2)+1,"")</f>
        <v/>
      </c>
      <c r="I1346" s="24" t="n"/>
      <c r="J1346" s="22">
        <f t="array" ref="J1346">IF($D1346="","",IF($I1346="","(trống REF)",IFERROR(INDEX(MASTER_SOURCE!$B$2:$B$495,MATCH($I1346,MASTER_SOURCE!$A$2:$A$495,0)),"(REF không có trong MASTER_SOURCE)")))</f>
        <v/>
      </c>
      <c r="K1346" s="22">
        <f t="array" ref="K1346">IF($D1346="","",IFERROR(INDEX(MASTER_SOURCE!$C$2:$C$495,MATCH($I1346,MASTER_SOURCE!$A$2:$A$495,0)),""))</f>
        <v/>
      </c>
      <c r="L1346" s="22">
        <f t="array" ref="L1346">IF($D1346="","",IFERROR(INDEX(MASTER_SOURCE!$D$2:$D$495,MATCH($I1346,MASTER_SOURCE!$A$2:$A$495,0)),""))</f>
        <v/>
      </c>
      <c r="M1346" s="24" t="n"/>
      <c r="N1346" s="24" t="n"/>
      <c r="O1346" s="24" t="n"/>
      <c r="P1346" s="24" t="n"/>
      <c r="Q1346" s="22">
        <f>IF($D1346="","",IF(AND(OR(DANH_MUC!$L$5&lt;&gt;"Có",M1346="Có"),OR(DANH_MUC!$L$6&lt;&gt;"Có",N1346="Có"),OR(DANH_MUC!$L$7&lt;&gt;"Có",O1346="Có"),OR(DANH_MUC!$L$8&lt;&gt;"Có",P1346="Có")),"Có","Không"))</f>
        <v/>
      </c>
      <c r="R1346" s="22">
        <f>IF($D1346="","",IF(COUNTIF($D$2:$D1346,$D1346)&gt;1,"Trùng",""))</f>
        <v/>
      </c>
      <c r="S1346" s="22">
        <f>IF($D1346="","",IF(AND(LEN($D1346)=10,LEFT($D1346,1)="0",ISNUMBER(--$D1346)),"Có","Không"))</f>
        <v/>
      </c>
      <c r="T1346" s="22">
        <f>IF($D1346="","",IF(AND($C1346&lt;&gt;"",$Q1346="Có",$R1346="",$S1346="Có",AND($L1346&lt;&gt;"",OR($L1346&lt;&gt;"Chưa xác định",DANH_MUC!$L$9="Có"))),"Có","Không"))</f>
        <v/>
      </c>
      <c r="U1346" s="22">
        <f>IF(OR($D1346="",$T1346="Có"),"",IF($C1346="","Thiếu họ tên; ","")&amp;IF($S1346&lt;&gt;"Có","SĐT sai định dạng; ","")&amp;IF($R1346="Trùng","Trùng SĐT; ","")&amp;IF($Q1346&lt;&gt;"Có","Thiếu đồng ý bắt buộc; ","")&amp;IF($L1346="","Thiếu/sai Mã REF; ",IF(AND($L1346="Chưa xác định",DANH_MUC!$L$9&lt;&gt;"Có"),"Nguồn chưa xác định; ","")))</f>
        <v/>
      </c>
      <c r="V1346" s="22">
        <f>IF(OR($D1346="",$R1346="Trùng"),"",IF(COUNTIF(ORDERS!$C$2:$C$4995,$D1346)&gt;0,"Có","Không"))</f>
        <v/>
      </c>
      <c r="W1346" s="22">
        <f>IF(OR($D1346="",$R1346="Trùng"),"",COUNTIFS(ORDERS!$C$2:$C$4995,$D1346,ORDERS!$L$2:$L$4995,"Đã chuyển khoản"))</f>
        <v/>
      </c>
      <c r="X1346" s="23">
        <f>IF(OR($D1346="",$R1346="Trùng"),"",SUMIFS(ORDERS!$J$2:$J$4995,ORDERS!$C$2:$C$4995,$D1346,ORDERS!$L$2:$L$4995,"Đã chuyển khoản"))</f>
        <v/>
      </c>
      <c r="Y1346" s="24" t="n"/>
    </row>
    <row r="1347" ht="14.25" customHeight="1" s="40">
      <c r="A1347" s="24" t="n"/>
      <c r="B1347" s="27" t="n"/>
      <c r="C1347" s="24" t="n"/>
      <c r="D1347" s="28" t="n"/>
      <c r="E1347" s="29" t="n"/>
      <c r="F1347" s="24" t="n"/>
      <c r="G1347" s="24" t="n"/>
      <c r="H1347" s="21">
        <f>IF(ISNUMBER($B1347),INT($B1347)-WEEKDAY($B1347,2)+1,"")</f>
        <v/>
      </c>
      <c r="I1347" s="24" t="n"/>
      <c r="J1347" s="22">
        <f t="array" ref="J1347">IF($D1347="","",IF($I1347="","(trống REF)",IFERROR(INDEX(MASTER_SOURCE!$B$2:$B$495,MATCH($I1347,MASTER_SOURCE!$A$2:$A$495,0)),"(REF không có trong MASTER_SOURCE)")))</f>
        <v/>
      </c>
      <c r="K1347" s="22">
        <f t="array" ref="K1347">IF($D1347="","",IFERROR(INDEX(MASTER_SOURCE!$C$2:$C$495,MATCH($I1347,MASTER_SOURCE!$A$2:$A$495,0)),""))</f>
        <v/>
      </c>
      <c r="L1347" s="22">
        <f t="array" ref="L1347">IF($D1347="","",IFERROR(INDEX(MASTER_SOURCE!$D$2:$D$495,MATCH($I1347,MASTER_SOURCE!$A$2:$A$495,0)),""))</f>
        <v/>
      </c>
      <c r="M1347" s="24" t="n"/>
      <c r="N1347" s="24" t="n"/>
      <c r="O1347" s="24" t="n"/>
      <c r="P1347" s="24" t="n"/>
      <c r="Q1347" s="22">
        <f>IF($D1347="","",IF(AND(OR(DANH_MUC!$L$5&lt;&gt;"Có",M1347="Có"),OR(DANH_MUC!$L$6&lt;&gt;"Có",N1347="Có"),OR(DANH_MUC!$L$7&lt;&gt;"Có",O1347="Có"),OR(DANH_MUC!$L$8&lt;&gt;"Có",P1347="Có")),"Có","Không"))</f>
        <v/>
      </c>
      <c r="R1347" s="22">
        <f>IF($D1347="","",IF(COUNTIF($D$2:$D1347,$D1347)&gt;1,"Trùng",""))</f>
        <v/>
      </c>
      <c r="S1347" s="22">
        <f>IF($D1347="","",IF(AND(LEN($D1347)=10,LEFT($D1347,1)="0",ISNUMBER(--$D1347)),"Có","Không"))</f>
        <v/>
      </c>
      <c r="T1347" s="22">
        <f>IF($D1347="","",IF(AND($C1347&lt;&gt;"",$Q1347="Có",$R1347="",$S1347="Có",AND($L1347&lt;&gt;"",OR($L1347&lt;&gt;"Chưa xác định",DANH_MUC!$L$9="Có"))),"Có","Không"))</f>
        <v/>
      </c>
      <c r="U1347" s="22">
        <f>IF(OR($D1347="",$T1347="Có"),"",IF($C1347="","Thiếu họ tên; ","")&amp;IF($S1347&lt;&gt;"Có","SĐT sai định dạng; ","")&amp;IF($R1347="Trùng","Trùng SĐT; ","")&amp;IF($Q1347&lt;&gt;"Có","Thiếu đồng ý bắt buộc; ","")&amp;IF($L1347="","Thiếu/sai Mã REF; ",IF(AND($L1347="Chưa xác định",DANH_MUC!$L$9&lt;&gt;"Có"),"Nguồn chưa xác định; ","")))</f>
        <v/>
      </c>
      <c r="V1347" s="22">
        <f>IF(OR($D1347="",$R1347="Trùng"),"",IF(COUNTIF(ORDERS!$C$2:$C$4995,$D1347)&gt;0,"Có","Không"))</f>
        <v/>
      </c>
      <c r="W1347" s="22">
        <f>IF(OR($D1347="",$R1347="Trùng"),"",COUNTIFS(ORDERS!$C$2:$C$4995,$D1347,ORDERS!$L$2:$L$4995,"Đã chuyển khoản"))</f>
        <v/>
      </c>
      <c r="X1347" s="23">
        <f>IF(OR($D1347="",$R1347="Trùng"),"",SUMIFS(ORDERS!$J$2:$J$4995,ORDERS!$C$2:$C$4995,$D1347,ORDERS!$L$2:$L$4995,"Đã chuyển khoản"))</f>
        <v/>
      </c>
      <c r="Y1347" s="24" t="n"/>
    </row>
    <row r="1348" ht="14.25" customHeight="1" s="40">
      <c r="A1348" s="24" t="n"/>
      <c r="B1348" s="27" t="n"/>
      <c r="C1348" s="24" t="n"/>
      <c r="D1348" s="28" t="n"/>
      <c r="E1348" s="29" t="n"/>
      <c r="F1348" s="24" t="n"/>
      <c r="G1348" s="24" t="n"/>
      <c r="H1348" s="21">
        <f>IF(ISNUMBER($B1348),INT($B1348)-WEEKDAY($B1348,2)+1,"")</f>
        <v/>
      </c>
      <c r="I1348" s="24" t="n"/>
      <c r="J1348" s="22">
        <f t="array" ref="J1348">IF($D1348="","",IF($I1348="","(trống REF)",IFERROR(INDEX(MASTER_SOURCE!$B$2:$B$495,MATCH($I1348,MASTER_SOURCE!$A$2:$A$495,0)),"(REF không có trong MASTER_SOURCE)")))</f>
        <v/>
      </c>
      <c r="K1348" s="22">
        <f t="array" ref="K1348">IF($D1348="","",IFERROR(INDEX(MASTER_SOURCE!$C$2:$C$495,MATCH($I1348,MASTER_SOURCE!$A$2:$A$495,0)),""))</f>
        <v/>
      </c>
      <c r="L1348" s="22">
        <f t="array" ref="L1348">IF($D1348="","",IFERROR(INDEX(MASTER_SOURCE!$D$2:$D$495,MATCH($I1348,MASTER_SOURCE!$A$2:$A$495,0)),""))</f>
        <v/>
      </c>
      <c r="M1348" s="24" t="n"/>
      <c r="N1348" s="24" t="n"/>
      <c r="O1348" s="24" t="n"/>
      <c r="P1348" s="24" t="n"/>
      <c r="Q1348" s="22">
        <f>IF($D1348="","",IF(AND(OR(DANH_MUC!$L$5&lt;&gt;"Có",M1348="Có"),OR(DANH_MUC!$L$6&lt;&gt;"Có",N1348="Có"),OR(DANH_MUC!$L$7&lt;&gt;"Có",O1348="Có"),OR(DANH_MUC!$L$8&lt;&gt;"Có",P1348="Có")),"Có","Không"))</f>
        <v/>
      </c>
      <c r="R1348" s="22">
        <f>IF($D1348="","",IF(COUNTIF($D$2:$D1348,$D1348)&gt;1,"Trùng",""))</f>
        <v/>
      </c>
      <c r="S1348" s="22">
        <f>IF($D1348="","",IF(AND(LEN($D1348)=10,LEFT($D1348,1)="0",ISNUMBER(--$D1348)),"Có","Không"))</f>
        <v/>
      </c>
      <c r="T1348" s="22">
        <f>IF($D1348="","",IF(AND($C1348&lt;&gt;"",$Q1348="Có",$R1348="",$S1348="Có",AND($L1348&lt;&gt;"",OR($L1348&lt;&gt;"Chưa xác định",DANH_MUC!$L$9="Có"))),"Có","Không"))</f>
        <v/>
      </c>
      <c r="U1348" s="22">
        <f>IF(OR($D1348="",$T1348="Có"),"",IF($C1348="","Thiếu họ tên; ","")&amp;IF($S1348&lt;&gt;"Có","SĐT sai định dạng; ","")&amp;IF($R1348="Trùng","Trùng SĐT; ","")&amp;IF($Q1348&lt;&gt;"Có","Thiếu đồng ý bắt buộc; ","")&amp;IF($L1348="","Thiếu/sai Mã REF; ",IF(AND($L1348="Chưa xác định",DANH_MUC!$L$9&lt;&gt;"Có"),"Nguồn chưa xác định; ","")))</f>
        <v/>
      </c>
      <c r="V1348" s="22">
        <f>IF(OR($D1348="",$R1348="Trùng"),"",IF(COUNTIF(ORDERS!$C$2:$C$4995,$D1348)&gt;0,"Có","Không"))</f>
        <v/>
      </c>
      <c r="W1348" s="22">
        <f>IF(OR($D1348="",$R1348="Trùng"),"",COUNTIFS(ORDERS!$C$2:$C$4995,$D1348,ORDERS!$L$2:$L$4995,"Đã chuyển khoản"))</f>
        <v/>
      </c>
      <c r="X1348" s="23">
        <f>IF(OR($D1348="",$R1348="Trùng"),"",SUMIFS(ORDERS!$J$2:$J$4995,ORDERS!$C$2:$C$4995,$D1348,ORDERS!$L$2:$L$4995,"Đã chuyển khoản"))</f>
        <v/>
      </c>
      <c r="Y1348" s="24" t="n"/>
    </row>
    <row r="1349" ht="14.25" customHeight="1" s="40">
      <c r="A1349" s="24" t="n"/>
      <c r="B1349" s="27" t="n"/>
      <c r="C1349" s="24" t="n"/>
      <c r="D1349" s="28" t="n"/>
      <c r="E1349" s="29" t="n"/>
      <c r="F1349" s="24" t="n"/>
      <c r="G1349" s="24" t="n"/>
      <c r="H1349" s="21">
        <f>IF(ISNUMBER($B1349),INT($B1349)-WEEKDAY($B1349,2)+1,"")</f>
        <v/>
      </c>
      <c r="I1349" s="24" t="n"/>
      <c r="J1349" s="22">
        <f t="array" ref="J1349">IF($D1349="","",IF($I1349="","(trống REF)",IFERROR(INDEX(MASTER_SOURCE!$B$2:$B$495,MATCH($I1349,MASTER_SOURCE!$A$2:$A$495,0)),"(REF không có trong MASTER_SOURCE)")))</f>
        <v/>
      </c>
      <c r="K1349" s="22">
        <f t="array" ref="K1349">IF($D1349="","",IFERROR(INDEX(MASTER_SOURCE!$C$2:$C$495,MATCH($I1349,MASTER_SOURCE!$A$2:$A$495,0)),""))</f>
        <v/>
      </c>
      <c r="L1349" s="22">
        <f t="array" ref="L1349">IF($D1349="","",IFERROR(INDEX(MASTER_SOURCE!$D$2:$D$495,MATCH($I1349,MASTER_SOURCE!$A$2:$A$495,0)),""))</f>
        <v/>
      </c>
      <c r="M1349" s="24" t="n"/>
      <c r="N1349" s="24" t="n"/>
      <c r="O1349" s="24" t="n"/>
      <c r="P1349" s="24" t="n"/>
      <c r="Q1349" s="22">
        <f>IF($D1349="","",IF(AND(OR(DANH_MUC!$L$5&lt;&gt;"Có",M1349="Có"),OR(DANH_MUC!$L$6&lt;&gt;"Có",N1349="Có"),OR(DANH_MUC!$L$7&lt;&gt;"Có",O1349="Có"),OR(DANH_MUC!$L$8&lt;&gt;"Có",P1349="Có")),"Có","Không"))</f>
        <v/>
      </c>
      <c r="R1349" s="22">
        <f>IF($D1349="","",IF(COUNTIF($D$2:$D1349,$D1349)&gt;1,"Trùng",""))</f>
        <v/>
      </c>
      <c r="S1349" s="22">
        <f>IF($D1349="","",IF(AND(LEN($D1349)=10,LEFT($D1349,1)="0",ISNUMBER(--$D1349)),"Có","Không"))</f>
        <v/>
      </c>
      <c r="T1349" s="22">
        <f>IF($D1349="","",IF(AND($C1349&lt;&gt;"",$Q1349="Có",$R1349="",$S1349="Có",AND($L1349&lt;&gt;"",OR($L1349&lt;&gt;"Chưa xác định",DANH_MUC!$L$9="Có"))),"Có","Không"))</f>
        <v/>
      </c>
      <c r="U1349" s="22">
        <f>IF(OR($D1349="",$T1349="Có"),"",IF($C1349="","Thiếu họ tên; ","")&amp;IF($S1349&lt;&gt;"Có","SĐT sai định dạng; ","")&amp;IF($R1349="Trùng","Trùng SĐT; ","")&amp;IF($Q1349&lt;&gt;"Có","Thiếu đồng ý bắt buộc; ","")&amp;IF($L1349="","Thiếu/sai Mã REF; ",IF(AND($L1349="Chưa xác định",DANH_MUC!$L$9&lt;&gt;"Có"),"Nguồn chưa xác định; ","")))</f>
        <v/>
      </c>
      <c r="V1349" s="22">
        <f>IF(OR($D1349="",$R1349="Trùng"),"",IF(COUNTIF(ORDERS!$C$2:$C$4995,$D1349)&gt;0,"Có","Không"))</f>
        <v/>
      </c>
      <c r="W1349" s="22">
        <f>IF(OR($D1349="",$R1349="Trùng"),"",COUNTIFS(ORDERS!$C$2:$C$4995,$D1349,ORDERS!$L$2:$L$4995,"Đã chuyển khoản"))</f>
        <v/>
      </c>
      <c r="X1349" s="23">
        <f>IF(OR($D1349="",$R1349="Trùng"),"",SUMIFS(ORDERS!$J$2:$J$4995,ORDERS!$C$2:$C$4995,$D1349,ORDERS!$L$2:$L$4995,"Đã chuyển khoản"))</f>
        <v/>
      </c>
      <c r="Y1349" s="24" t="n"/>
    </row>
    <row r="1350" ht="14.25" customHeight="1" s="40">
      <c r="A1350" s="24" t="n"/>
      <c r="B1350" s="27" t="n"/>
      <c r="C1350" s="24" t="n"/>
      <c r="D1350" s="28" t="n"/>
      <c r="E1350" s="29" t="n"/>
      <c r="F1350" s="24" t="n"/>
      <c r="G1350" s="24" t="n"/>
      <c r="H1350" s="21">
        <f>IF(ISNUMBER($B1350),INT($B1350)-WEEKDAY($B1350,2)+1,"")</f>
        <v/>
      </c>
      <c r="I1350" s="24" t="n"/>
      <c r="J1350" s="22">
        <f t="array" ref="J1350">IF($D1350="","",IF($I1350="","(trống REF)",IFERROR(INDEX(MASTER_SOURCE!$B$2:$B$495,MATCH($I1350,MASTER_SOURCE!$A$2:$A$495,0)),"(REF không có trong MASTER_SOURCE)")))</f>
        <v/>
      </c>
      <c r="K1350" s="22">
        <f t="array" ref="K1350">IF($D1350="","",IFERROR(INDEX(MASTER_SOURCE!$C$2:$C$495,MATCH($I1350,MASTER_SOURCE!$A$2:$A$495,0)),""))</f>
        <v/>
      </c>
      <c r="L1350" s="22">
        <f t="array" ref="L1350">IF($D1350="","",IFERROR(INDEX(MASTER_SOURCE!$D$2:$D$495,MATCH($I1350,MASTER_SOURCE!$A$2:$A$495,0)),""))</f>
        <v/>
      </c>
      <c r="M1350" s="24" t="n"/>
      <c r="N1350" s="24" t="n"/>
      <c r="O1350" s="24" t="n"/>
      <c r="P1350" s="24" t="n"/>
      <c r="Q1350" s="22">
        <f>IF($D1350="","",IF(AND(OR(DANH_MUC!$L$5&lt;&gt;"Có",M1350="Có"),OR(DANH_MUC!$L$6&lt;&gt;"Có",N1350="Có"),OR(DANH_MUC!$L$7&lt;&gt;"Có",O1350="Có"),OR(DANH_MUC!$L$8&lt;&gt;"Có",P1350="Có")),"Có","Không"))</f>
        <v/>
      </c>
      <c r="R1350" s="22">
        <f>IF($D1350="","",IF(COUNTIF($D$2:$D1350,$D1350)&gt;1,"Trùng",""))</f>
        <v/>
      </c>
      <c r="S1350" s="22">
        <f>IF($D1350="","",IF(AND(LEN($D1350)=10,LEFT($D1350,1)="0",ISNUMBER(--$D1350)),"Có","Không"))</f>
        <v/>
      </c>
      <c r="T1350" s="22">
        <f>IF($D1350="","",IF(AND($C1350&lt;&gt;"",$Q1350="Có",$R1350="",$S1350="Có",AND($L1350&lt;&gt;"",OR($L1350&lt;&gt;"Chưa xác định",DANH_MUC!$L$9="Có"))),"Có","Không"))</f>
        <v/>
      </c>
      <c r="U1350" s="22">
        <f>IF(OR($D1350="",$T1350="Có"),"",IF($C1350="","Thiếu họ tên; ","")&amp;IF($S1350&lt;&gt;"Có","SĐT sai định dạng; ","")&amp;IF($R1350="Trùng","Trùng SĐT; ","")&amp;IF($Q1350&lt;&gt;"Có","Thiếu đồng ý bắt buộc; ","")&amp;IF($L1350="","Thiếu/sai Mã REF; ",IF(AND($L1350="Chưa xác định",DANH_MUC!$L$9&lt;&gt;"Có"),"Nguồn chưa xác định; ","")))</f>
        <v/>
      </c>
      <c r="V1350" s="22">
        <f>IF(OR($D1350="",$R1350="Trùng"),"",IF(COUNTIF(ORDERS!$C$2:$C$4995,$D1350)&gt;0,"Có","Không"))</f>
        <v/>
      </c>
      <c r="W1350" s="22">
        <f>IF(OR($D1350="",$R1350="Trùng"),"",COUNTIFS(ORDERS!$C$2:$C$4995,$D1350,ORDERS!$L$2:$L$4995,"Đã chuyển khoản"))</f>
        <v/>
      </c>
      <c r="X1350" s="23">
        <f>IF(OR($D1350="",$R1350="Trùng"),"",SUMIFS(ORDERS!$J$2:$J$4995,ORDERS!$C$2:$C$4995,$D1350,ORDERS!$L$2:$L$4995,"Đã chuyển khoản"))</f>
        <v/>
      </c>
      <c r="Y1350" s="24" t="n"/>
    </row>
    <row r="1351" ht="14.25" customHeight="1" s="40">
      <c r="A1351" s="24" t="n"/>
      <c r="B1351" s="27" t="n"/>
      <c r="C1351" s="24" t="n"/>
      <c r="D1351" s="28" t="n"/>
      <c r="E1351" s="29" t="n"/>
      <c r="F1351" s="24" t="n"/>
      <c r="G1351" s="24" t="n"/>
      <c r="H1351" s="21">
        <f>IF(ISNUMBER($B1351),INT($B1351)-WEEKDAY($B1351,2)+1,"")</f>
        <v/>
      </c>
      <c r="I1351" s="24" t="n"/>
      <c r="J1351" s="22">
        <f t="array" ref="J1351">IF($D1351="","",IF($I1351="","(trống REF)",IFERROR(INDEX(MASTER_SOURCE!$B$2:$B$495,MATCH($I1351,MASTER_SOURCE!$A$2:$A$495,0)),"(REF không có trong MASTER_SOURCE)")))</f>
        <v/>
      </c>
      <c r="K1351" s="22">
        <f t="array" ref="K1351">IF($D1351="","",IFERROR(INDEX(MASTER_SOURCE!$C$2:$C$495,MATCH($I1351,MASTER_SOURCE!$A$2:$A$495,0)),""))</f>
        <v/>
      </c>
      <c r="L1351" s="22">
        <f t="array" ref="L1351">IF($D1351="","",IFERROR(INDEX(MASTER_SOURCE!$D$2:$D$495,MATCH($I1351,MASTER_SOURCE!$A$2:$A$495,0)),""))</f>
        <v/>
      </c>
      <c r="M1351" s="24" t="n"/>
      <c r="N1351" s="24" t="n"/>
      <c r="O1351" s="24" t="n"/>
      <c r="P1351" s="24" t="n"/>
      <c r="Q1351" s="22">
        <f>IF($D1351="","",IF(AND(OR(DANH_MUC!$L$5&lt;&gt;"Có",M1351="Có"),OR(DANH_MUC!$L$6&lt;&gt;"Có",N1351="Có"),OR(DANH_MUC!$L$7&lt;&gt;"Có",O1351="Có"),OR(DANH_MUC!$L$8&lt;&gt;"Có",P1351="Có")),"Có","Không"))</f>
        <v/>
      </c>
      <c r="R1351" s="22">
        <f>IF($D1351="","",IF(COUNTIF($D$2:$D1351,$D1351)&gt;1,"Trùng",""))</f>
        <v/>
      </c>
      <c r="S1351" s="22">
        <f>IF($D1351="","",IF(AND(LEN($D1351)=10,LEFT($D1351,1)="0",ISNUMBER(--$D1351)),"Có","Không"))</f>
        <v/>
      </c>
      <c r="T1351" s="22">
        <f>IF($D1351="","",IF(AND($C1351&lt;&gt;"",$Q1351="Có",$R1351="",$S1351="Có",AND($L1351&lt;&gt;"",OR($L1351&lt;&gt;"Chưa xác định",DANH_MUC!$L$9="Có"))),"Có","Không"))</f>
        <v/>
      </c>
      <c r="U1351" s="22">
        <f>IF(OR($D1351="",$T1351="Có"),"",IF($C1351="","Thiếu họ tên; ","")&amp;IF($S1351&lt;&gt;"Có","SĐT sai định dạng; ","")&amp;IF($R1351="Trùng","Trùng SĐT; ","")&amp;IF($Q1351&lt;&gt;"Có","Thiếu đồng ý bắt buộc; ","")&amp;IF($L1351="","Thiếu/sai Mã REF; ",IF(AND($L1351="Chưa xác định",DANH_MUC!$L$9&lt;&gt;"Có"),"Nguồn chưa xác định; ","")))</f>
        <v/>
      </c>
      <c r="V1351" s="22">
        <f>IF(OR($D1351="",$R1351="Trùng"),"",IF(COUNTIF(ORDERS!$C$2:$C$4995,$D1351)&gt;0,"Có","Không"))</f>
        <v/>
      </c>
      <c r="W1351" s="22">
        <f>IF(OR($D1351="",$R1351="Trùng"),"",COUNTIFS(ORDERS!$C$2:$C$4995,$D1351,ORDERS!$L$2:$L$4995,"Đã chuyển khoản"))</f>
        <v/>
      </c>
      <c r="X1351" s="23">
        <f>IF(OR($D1351="",$R1351="Trùng"),"",SUMIFS(ORDERS!$J$2:$J$4995,ORDERS!$C$2:$C$4995,$D1351,ORDERS!$L$2:$L$4995,"Đã chuyển khoản"))</f>
        <v/>
      </c>
      <c r="Y1351" s="24" t="n"/>
    </row>
    <row r="1352" ht="14.25" customHeight="1" s="40">
      <c r="A1352" s="24" t="n"/>
      <c r="B1352" s="27" t="n"/>
      <c r="C1352" s="24" t="n"/>
      <c r="D1352" s="28" t="n"/>
      <c r="E1352" s="29" t="n"/>
      <c r="F1352" s="24" t="n"/>
      <c r="G1352" s="24" t="n"/>
      <c r="H1352" s="21">
        <f>IF(ISNUMBER($B1352),INT($B1352)-WEEKDAY($B1352,2)+1,"")</f>
        <v/>
      </c>
      <c r="I1352" s="24" t="n"/>
      <c r="J1352" s="22">
        <f t="array" ref="J1352">IF($D1352="","",IF($I1352="","(trống REF)",IFERROR(INDEX(MASTER_SOURCE!$B$2:$B$495,MATCH($I1352,MASTER_SOURCE!$A$2:$A$495,0)),"(REF không có trong MASTER_SOURCE)")))</f>
        <v/>
      </c>
      <c r="K1352" s="22">
        <f t="array" ref="K1352">IF($D1352="","",IFERROR(INDEX(MASTER_SOURCE!$C$2:$C$495,MATCH($I1352,MASTER_SOURCE!$A$2:$A$495,0)),""))</f>
        <v/>
      </c>
      <c r="L1352" s="22">
        <f t="array" ref="L1352">IF($D1352="","",IFERROR(INDEX(MASTER_SOURCE!$D$2:$D$495,MATCH($I1352,MASTER_SOURCE!$A$2:$A$495,0)),""))</f>
        <v/>
      </c>
      <c r="M1352" s="24" t="n"/>
      <c r="N1352" s="24" t="n"/>
      <c r="O1352" s="24" t="n"/>
      <c r="P1352" s="24" t="n"/>
      <c r="Q1352" s="22">
        <f>IF($D1352="","",IF(AND(OR(DANH_MUC!$L$5&lt;&gt;"Có",M1352="Có"),OR(DANH_MUC!$L$6&lt;&gt;"Có",N1352="Có"),OR(DANH_MUC!$L$7&lt;&gt;"Có",O1352="Có"),OR(DANH_MUC!$L$8&lt;&gt;"Có",P1352="Có")),"Có","Không"))</f>
        <v/>
      </c>
      <c r="R1352" s="22">
        <f>IF($D1352="","",IF(COUNTIF($D$2:$D1352,$D1352)&gt;1,"Trùng",""))</f>
        <v/>
      </c>
      <c r="S1352" s="22">
        <f>IF($D1352="","",IF(AND(LEN($D1352)=10,LEFT($D1352,1)="0",ISNUMBER(--$D1352)),"Có","Không"))</f>
        <v/>
      </c>
      <c r="T1352" s="22">
        <f>IF($D1352="","",IF(AND($C1352&lt;&gt;"",$Q1352="Có",$R1352="",$S1352="Có",AND($L1352&lt;&gt;"",OR($L1352&lt;&gt;"Chưa xác định",DANH_MUC!$L$9="Có"))),"Có","Không"))</f>
        <v/>
      </c>
      <c r="U1352" s="22">
        <f>IF(OR($D1352="",$T1352="Có"),"",IF($C1352="","Thiếu họ tên; ","")&amp;IF($S1352&lt;&gt;"Có","SĐT sai định dạng; ","")&amp;IF($R1352="Trùng","Trùng SĐT; ","")&amp;IF($Q1352&lt;&gt;"Có","Thiếu đồng ý bắt buộc; ","")&amp;IF($L1352="","Thiếu/sai Mã REF; ",IF(AND($L1352="Chưa xác định",DANH_MUC!$L$9&lt;&gt;"Có"),"Nguồn chưa xác định; ","")))</f>
        <v/>
      </c>
      <c r="V1352" s="22">
        <f>IF(OR($D1352="",$R1352="Trùng"),"",IF(COUNTIF(ORDERS!$C$2:$C$4995,$D1352)&gt;0,"Có","Không"))</f>
        <v/>
      </c>
      <c r="W1352" s="22">
        <f>IF(OR($D1352="",$R1352="Trùng"),"",COUNTIFS(ORDERS!$C$2:$C$4995,$D1352,ORDERS!$L$2:$L$4995,"Đã chuyển khoản"))</f>
        <v/>
      </c>
      <c r="X1352" s="23">
        <f>IF(OR($D1352="",$R1352="Trùng"),"",SUMIFS(ORDERS!$J$2:$J$4995,ORDERS!$C$2:$C$4995,$D1352,ORDERS!$L$2:$L$4995,"Đã chuyển khoản"))</f>
        <v/>
      </c>
      <c r="Y1352" s="24" t="n"/>
    </row>
    <row r="1353" ht="14.25" customHeight="1" s="40">
      <c r="A1353" s="24" t="n"/>
      <c r="B1353" s="27" t="n"/>
      <c r="C1353" s="24" t="n"/>
      <c r="D1353" s="28" t="n"/>
      <c r="E1353" s="29" t="n"/>
      <c r="F1353" s="24" t="n"/>
      <c r="G1353" s="24" t="n"/>
      <c r="H1353" s="21">
        <f>IF(ISNUMBER($B1353),INT($B1353)-WEEKDAY($B1353,2)+1,"")</f>
        <v/>
      </c>
      <c r="I1353" s="24" t="n"/>
      <c r="J1353" s="22">
        <f t="array" ref="J1353">IF($D1353="","",IF($I1353="","(trống REF)",IFERROR(INDEX(MASTER_SOURCE!$B$2:$B$495,MATCH($I1353,MASTER_SOURCE!$A$2:$A$495,0)),"(REF không có trong MASTER_SOURCE)")))</f>
        <v/>
      </c>
      <c r="K1353" s="22">
        <f t="array" ref="K1353">IF($D1353="","",IFERROR(INDEX(MASTER_SOURCE!$C$2:$C$495,MATCH($I1353,MASTER_SOURCE!$A$2:$A$495,0)),""))</f>
        <v/>
      </c>
      <c r="L1353" s="22">
        <f t="array" ref="L1353">IF($D1353="","",IFERROR(INDEX(MASTER_SOURCE!$D$2:$D$495,MATCH($I1353,MASTER_SOURCE!$A$2:$A$495,0)),""))</f>
        <v/>
      </c>
      <c r="M1353" s="24" t="n"/>
      <c r="N1353" s="24" t="n"/>
      <c r="O1353" s="24" t="n"/>
      <c r="P1353" s="24" t="n"/>
      <c r="Q1353" s="22">
        <f>IF($D1353="","",IF(AND(OR(DANH_MUC!$L$5&lt;&gt;"Có",M1353="Có"),OR(DANH_MUC!$L$6&lt;&gt;"Có",N1353="Có"),OR(DANH_MUC!$L$7&lt;&gt;"Có",O1353="Có"),OR(DANH_MUC!$L$8&lt;&gt;"Có",P1353="Có")),"Có","Không"))</f>
        <v/>
      </c>
      <c r="R1353" s="22">
        <f>IF($D1353="","",IF(COUNTIF($D$2:$D1353,$D1353)&gt;1,"Trùng",""))</f>
        <v/>
      </c>
      <c r="S1353" s="22">
        <f>IF($D1353="","",IF(AND(LEN($D1353)=10,LEFT($D1353,1)="0",ISNUMBER(--$D1353)),"Có","Không"))</f>
        <v/>
      </c>
      <c r="T1353" s="22">
        <f>IF($D1353="","",IF(AND($C1353&lt;&gt;"",$Q1353="Có",$R1353="",$S1353="Có",AND($L1353&lt;&gt;"",OR($L1353&lt;&gt;"Chưa xác định",DANH_MUC!$L$9="Có"))),"Có","Không"))</f>
        <v/>
      </c>
      <c r="U1353" s="22">
        <f>IF(OR($D1353="",$T1353="Có"),"",IF($C1353="","Thiếu họ tên; ","")&amp;IF($S1353&lt;&gt;"Có","SĐT sai định dạng; ","")&amp;IF($R1353="Trùng","Trùng SĐT; ","")&amp;IF($Q1353&lt;&gt;"Có","Thiếu đồng ý bắt buộc; ","")&amp;IF($L1353="","Thiếu/sai Mã REF; ",IF(AND($L1353="Chưa xác định",DANH_MUC!$L$9&lt;&gt;"Có"),"Nguồn chưa xác định; ","")))</f>
        <v/>
      </c>
      <c r="V1353" s="22">
        <f>IF(OR($D1353="",$R1353="Trùng"),"",IF(COUNTIF(ORDERS!$C$2:$C$4995,$D1353)&gt;0,"Có","Không"))</f>
        <v/>
      </c>
      <c r="W1353" s="22">
        <f>IF(OR($D1353="",$R1353="Trùng"),"",COUNTIFS(ORDERS!$C$2:$C$4995,$D1353,ORDERS!$L$2:$L$4995,"Đã chuyển khoản"))</f>
        <v/>
      </c>
      <c r="X1353" s="23">
        <f>IF(OR($D1353="",$R1353="Trùng"),"",SUMIFS(ORDERS!$J$2:$J$4995,ORDERS!$C$2:$C$4995,$D1353,ORDERS!$L$2:$L$4995,"Đã chuyển khoản"))</f>
        <v/>
      </c>
      <c r="Y1353" s="24" t="n"/>
    </row>
    <row r="1354" ht="14.25" customHeight="1" s="40">
      <c r="A1354" s="24" t="n"/>
      <c r="B1354" s="27" t="n"/>
      <c r="C1354" s="24" t="n"/>
      <c r="D1354" s="28" t="n"/>
      <c r="E1354" s="29" t="n"/>
      <c r="F1354" s="24" t="n"/>
      <c r="G1354" s="24" t="n"/>
      <c r="H1354" s="21">
        <f>IF(ISNUMBER($B1354),INT($B1354)-WEEKDAY($B1354,2)+1,"")</f>
        <v/>
      </c>
      <c r="I1354" s="24" t="n"/>
      <c r="J1354" s="22">
        <f t="array" ref="J1354">IF($D1354="","",IF($I1354="","(trống REF)",IFERROR(INDEX(MASTER_SOURCE!$B$2:$B$495,MATCH($I1354,MASTER_SOURCE!$A$2:$A$495,0)),"(REF không có trong MASTER_SOURCE)")))</f>
        <v/>
      </c>
      <c r="K1354" s="22">
        <f t="array" ref="K1354">IF($D1354="","",IFERROR(INDEX(MASTER_SOURCE!$C$2:$C$495,MATCH($I1354,MASTER_SOURCE!$A$2:$A$495,0)),""))</f>
        <v/>
      </c>
      <c r="L1354" s="22">
        <f t="array" ref="L1354">IF($D1354="","",IFERROR(INDEX(MASTER_SOURCE!$D$2:$D$495,MATCH($I1354,MASTER_SOURCE!$A$2:$A$495,0)),""))</f>
        <v/>
      </c>
      <c r="M1354" s="24" t="n"/>
      <c r="N1354" s="24" t="n"/>
      <c r="O1354" s="24" t="n"/>
      <c r="P1354" s="24" t="n"/>
      <c r="Q1354" s="22">
        <f>IF($D1354="","",IF(AND(OR(DANH_MUC!$L$5&lt;&gt;"Có",M1354="Có"),OR(DANH_MUC!$L$6&lt;&gt;"Có",N1354="Có"),OR(DANH_MUC!$L$7&lt;&gt;"Có",O1354="Có"),OR(DANH_MUC!$L$8&lt;&gt;"Có",P1354="Có")),"Có","Không"))</f>
        <v/>
      </c>
      <c r="R1354" s="22">
        <f>IF($D1354="","",IF(COUNTIF($D$2:$D1354,$D1354)&gt;1,"Trùng",""))</f>
        <v/>
      </c>
      <c r="S1354" s="22">
        <f>IF($D1354="","",IF(AND(LEN($D1354)=10,LEFT($D1354,1)="0",ISNUMBER(--$D1354)),"Có","Không"))</f>
        <v/>
      </c>
      <c r="T1354" s="22">
        <f>IF($D1354="","",IF(AND($C1354&lt;&gt;"",$Q1354="Có",$R1354="",$S1354="Có",AND($L1354&lt;&gt;"",OR($L1354&lt;&gt;"Chưa xác định",DANH_MUC!$L$9="Có"))),"Có","Không"))</f>
        <v/>
      </c>
      <c r="U1354" s="22">
        <f>IF(OR($D1354="",$T1354="Có"),"",IF($C1354="","Thiếu họ tên; ","")&amp;IF($S1354&lt;&gt;"Có","SĐT sai định dạng; ","")&amp;IF($R1354="Trùng","Trùng SĐT; ","")&amp;IF($Q1354&lt;&gt;"Có","Thiếu đồng ý bắt buộc; ","")&amp;IF($L1354="","Thiếu/sai Mã REF; ",IF(AND($L1354="Chưa xác định",DANH_MUC!$L$9&lt;&gt;"Có"),"Nguồn chưa xác định; ","")))</f>
        <v/>
      </c>
      <c r="V1354" s="22">
        <f>IF(OR($D1354="",$R1354="Trùng"),"",IF(COUNTIF(ORDERS!$C$2:$C$4995,$D1354)&gt;0,"Có","Không"))</f>
        <v/>
      </c>
      <c r="W1354" s="22">
        <f>IF(OR($D1354="",$R1354="Trùng"),"",COUNTIFS(ORDERS!$C$2:$C$4995,$D1354,ORDERS!$L$2:$L$4995,"Đã chuyển khoản"))</f>
        <v/>
      </c>
      <c r="X1354" s="23">
        <f>IF(OR($D1354="",$R1354="Trùng"),"",SUMIFS(ORDERS!$J$2:$J$4995,ORDERS!$C$2:$C$4995,$D1354,ORDERS!$L$2:$L$4995,"Đã chuyển khoản"))</f>
        <v/>
      </c>
      <c r="Y1354" s="24" t="n"/>
    </row>
    <row r="1355" ht="14.25" customHeight="1" s="40">
      <c r="A1355" s="24" t="n"/>
      <c r="B1355" s="27" t="n"/>
      <c r="C1355" s="24" t="n"/>
      <c r="D1355" s="28" t="n"/>
      <c r="E1355" s="29" t="n"/>
      <c r="F1355" s="24" t="n"/>
      <c r="G1355" s="24" t="n"/>
      <c r="H1355" s="21">
        <f>IF(ISNUMBER($B1355),INT($B1355)-WEEKDAY($B1355,2)+1,"")</f>
        <v/>
      </c>
      <c r="I1355" s="24" t="n"/>
      <c r="J1355" s="22">
        <f t="array" ref="J1355">IF($D1355="","",IF($I1355="","(trống REF)",IFERROR(INDEX(MASTER_SOURCE!$B$2:$B$495,MATCH($I1355,MASTER_SOURCE!$A$2:$A$495,0)),"(REF không có trong MASTER_SOURCE)")))</f>
        <v/>
      </c>
      <c r="K1355" s="22">
        <f t="array" ref="K1355">IF($D1355="","",IFERROR(INDEX(MASTER_SOURCE!$C$2:$C$495,MATCH($I1355,MASTER_SOURCE!$A$2:$A$495,0)),""))</f>
        <v/>
      </c>
      <c r="L1355" s="22">
        <f t="array" ref="L1355">IF($D1355="","",IFERROR(INDEX(MASTER_SOURCE!$D$2:$D$495,MATCH($I1355,MASTER_SOURCE!$A$2:$A$495,0)),""))</f>
        <v/>
      </c>
      <c r="M1355" s="24" t="n"/>
      <c r="N1355" s="24" t="n"/>
      <c r="O1355" s="24" t="n"/>
      <c r="P1355" s="24" t="n"/>
      <c r="Q1355" s="22">
        <f>IF($D1355="","",IF(AND(OR(DANH_MUC!$L$5&lt;&gt;"Có",M1355="Có"),OR(DANH_MUC!$L$6&lt;&gt;"Có",N1355="Có"),OR(DANH_MUC!$L$7&lt;&gt;"Có",O1355="Có"),OR(DANH_MUC!$L$8&lt;&gt;"Có",P1355="Có")),"Có","Không"))</f>
        <v/>
      </c>
      <c r="R1355" s="22">
        <f>IF($D1355="","",IF(COUNTIF($D$2:$D1355,$D1355)&gt;1,"Trùng",""))</f>
        <v/>
      </c>
      <c r="S1355" s="22">
        <f>IF($D1355="","",IF(AND(LEN($D1355)=10,LEFT($D1355,1)="0",ISNUMBER(--$D1355)),"Có","Không"))</f>
        <v/>
      </c>
      <c r="T1355" s="22">
        <f>IF($D1355="","",IF(AND($C1355&lt;&gt;"",$Q1355="Có",$R1355="",$S1355="Có",AND($L1355&lt;&gt;"",OR($L1355&lt;&gt;"Chưa xác định",DANH_MUC!$L$9="Có"))),"Có","Không"))</f>
        <v/>
      </c>
      <c r="U1355" s="22">
        <f>IF(OR($D1355="",$T1355="Có"),"",IF($C1355="","Thiếu họ tên; ","")&amp;IF($S1355&lt;&gt;"Có","SĐT sai định dạng; ","")&amp;IF($R1355="Trùng","Trùng SĐT; ","")&amp;IF($Q1355&lt;&gt;"Có","Thiếu đồng ý bắt buộc; ","")&amp;IF($L1355="","Thiếu/sai Mã REF; ",IF(AND($L1355="Chưa xác định",DANH_MUC!$L$9&lt;&gt;"Có"),"Nguồn chưa xác định; ","")))</f>
        <v/>
      </c>
      <c r="V1355" s="22">
        <f>IF(OR($D1355="",$R1355="Trùng"),"",IF(COUNTIF(ORDERS!$C$2:$C$4995,$D1355)&gt;0,"Có","Không"))</f>
        <v/>
      </c>
      <c r="W1355" s="22">
        <f>IF(OR($D1355="",$R1355="Trùng"),"",COUNTIFS(ORDERS!$C$2:$C$4995,$D1355,ORDERS!$L$2:$L$4995,"Đã chuyển khoản"))</f>
        <v/>
      </c>
      <c r="X1355" s="23">
        <f>IF(OR($D1355="",$R1355="Trùng"),"",SUMIFS(ORDERS!$J$2:$J$4995,ORDERS!$C$2:$C$4995,$D1355,ORDERS!$L$2:$L$4995,"Đã chuyển khoản"))</f>
        <v/>
      </c>
      <c r="Y1355" s="24" t="n"/>
    </row>
    <row r="1356" ht="14.25" customHeight="1" s="40">
      <c r="A1356" s="24" t="n"/>
      <c r="B1356" s="27" t="n"/>
      <c r="C1356" s="24" t="n"/>
      <c r="D1356" s="28" t="n"/>
      <c r="E1356" s="29" t="n"/>
      <c r="F1356" s="24" t="n"/>
      <c r="G1356" s="24" t="n"/>
      <c r="H1356" s="21">
        <f>IF(ISNUMBER($B1356),INT($B1356)-WEEKDAY($B1356,2)+1,"")</f>
        <v/>
      </c>
      <c r="I1356" s="24" t="n"/>
      <c r="J1356" s="22">
        <f t="array" ref="J1356">IF($D1356="","",IF($I1356="","(trống REF)",IFERROR(INDEX(MASTER_SOURCE!$B$2:$B$495,MATCH($I1356,MASTER_SOURCE!$A$2:$A$495,0)),"(REF không có trong MASTER_SOURCE)")))</f>
        <v/>
      </c>
      <c r="K1356" s="22">
        <f t="array" ref="K1356">IF($D1356="","",IFERROR(INDEX(MASTER_SOURCE!$C$2:$C$495,MATCH($I1356,MASTER_SOURCE!$A$2:$A$495,0)),""))</f>
        <v/>
      </c>
      <c r="L1356" s="22">
        <f t="array" ref="L1356">IF($D1356="","",IFERROR(INDEX(MASTER_SOURCE!$D$2:$D$495,MATCH($I1356,MASTER_SOURCE!$A$2:$A$495,0)),""))</f>
        <v/>
      </c>
      <c r="M1356" s="24" t="n"/>
      <c r="N1356" s="24" t="n"/>
      <c r="O1356" s="24" t="n"/>
      <c r="P1356" s="24" t="n"/>
      <c r="Q1356" s="22">
        <f>IF($D1356="","",IF(AND(OR(DANH_MUC!$L$5&lt;&gt;"Có",M1356="Có"),OR(DANH_MUC!$L$6&lt;&gt;"Có",N1356="Có"),OR(DANH_MUC!$L$7&lt;&gt;"Có",O1356="Có"),OR(DANH_MUC!$L$8&lt;&gt;"Có",P1356="Có")),"Có","Không"))</f>
        <v/>
      </c>
      <c r="R1356" s="22">
        <f>IF($D1356="","",IF(COUNTIF($D$2:$D1356,$D1356)&gt;1,"Trùng",""))</f>
        <v/>
      </c>
      <c r="S1356" s="22">
        <f>IF($D1356="","",IF(AND(LEN($D1356)=10,LEFT($D1356,1)="0",ISNUMBER(--$D1356)),"Có","Không"))</f>
        <v/>
      </c>
      <c r="T1356" s="22">
        <f>IF($D1356="","",IF(AND($C1356&lt;&gt;"",$Q1356="Có",$R1356="",$S1356="Có",AND($L1356&lt;&gt;"",OR($L1356&lt;&gt;"Chưa xác định",DANH_MUC!$L$9="Có"))),"Có","Không"))</f>
        <v/>
      </c>
      <c r="U1356" s="22">
        <f>IF(OR($D1356="",$T1356="Có"),"",IF($C1356="","Thiếu họ tên; ","")&amp;IF($S1356&lt;&gt;"Có","SĐT sai định dạng; ","")&amp;IF($R1356="Trùng","Trùng SĐT; ","")&amp;IF($Q1356&lt;&gt;"Có","Thiếu đồng ý bắt buộc; ","")&amp;IF($L1356="","Thiếu/sai Mã REF; ",IF(AND($L1356="Chưa xác định",DANH_MUC!$L$9&lt;&gt;"Có"),"Nguồn chưa xác định; ","")))</f>
        <v/>
      </c>
      <c r="V1356" s="22">
        <f>IF(OR($D1356="",$R1356="Trùng"),"",IF(COUNTIF(ORDERS!$C$2:$C$4995,$D1356)&gt;0,"Có","Không"))</f>
        <v/>
      </c>
      <c r="W1356" s="22">
        <f>IF(OR($D1356="",$R1356="Trùng"),"",COUNTIFS(ORDERS!$C$2:$C$4995,$D1356,ORDERS!$L$2:$L$4995,"Đã chuyển khoản"))</f>
        <v/>
      </c>
      <c r="X1356" s="23">
        <f>IF(OR($D1356="",$R1356="Trùng"),"",SUMIFS(ORDERS!$J$2:$J$4995,ORDERS!$C$2:$C$4995,$D1356,ORDERS!$L$2:$L$4995,"Đã chuyển khoản"))</f>
        <v/>
      </c>
      <c r="Y1356" s="24" t="n"/>
    </row>
    <row r="1357" ht="14.25" customHeight="1" s="40">
      <c r="A1357" s="24" t="n"/>
      <c r="B1357" s="27" t="n"/>
      <c r="C1357" s="24" t="n"/>
      <c r="D1357" s="28" t="n"/>
      <c r="E1357" s="29" t="n"/>
      <c r="F1357" s="24" t="n"/>
      <c r="G1357" s="24" t="n"/>
      <c r="H1357" s="21">
        <f>IF(ISNUMBER($B1357),INT($B1357)-WEEKDAY($B1357,2)+1,"")</f>
        <v/>
      </c>
      <c r="I1357" s="24" t="n"/>
      <c r="J1357" s="22">
        <f t="array" ref="J1357">IF($D1357="","",IF($I1357="","(trống REF)",IFERROR(INDEX(MASTER_SOURCE!$B$2:$B$495,MATCH($I1357,MASTER_SOURCE!$A$2:$A$495,0)),"(REF không có trong MASTER_SOURCE)")))</f>
        <v/>
      </c>
      <c r="K1357" s="22">
        <f t="array" ref="K1357">IF($D1357="","",IFERROR(INDEX(MASTER_SOURCE!$C$2:$C$495,MATCH($I1357,MASTER_SOURCE!$A$2:$A$495,0)),""))</f>
        <v/>
      </c>
      <c r="L1357" s="22">
        <f t="array" ref="L1357">IF($D1357="","",IFERROR(INDEX(MASTER_SOURCE!$D$2:$D$495,MATCH($I1357,MASTER_SOURCE!$A$2:$A$495,0)),""))</f>
        <v/>
      </c>
      <c r="M1357" s="24" t="n"/>
      <c r="N1357" s="24" t="n"/>
      <c r="O1357" s="24" t="n"/>
      <c r="P1357" s="24" t="n"/>
      <c r="Q1357" s="22">
        <f>IF($D1357="","",IF(AND(OR(DANH_MUC!$L$5&lt;&gt;"Có",M1357="Có"),OR(DANH_MUC!$L$6&lt;&gt;"Có",N1357="Có"),OR(DANH_MUC!$L$7&lt;&gt;"Có",O1357="Có"),OR(DANH_MUC!$L$8&lt;&gt;"Có",P1357="Có")),"Có","Không"))</f>
        <v/>
      </c>
      <c r="R1357" s="22">
        <f>IF($D1357="","",IF(COUNTIF($D$2:$D1357,$D1357)&gt;1,"Trùng",""))</f>
        <v/>
      </c>
      <c r="S1357" s="22">
        <f>IF($D1357="","",IF(AND(LEN($D1357)=10,LEFT($D1357,1)="0",ISNUMBER(--$D1357)),"Có","Không"))</f>
        <v/>
      </c>
      <c r="T1357" s="22">
        <f>IF($D1357="","",IF(AND($C1357&lt;&gt;"",$Q1357="Có",$R1357="",$S1357="Có",AND($L1357&lt;&gt;"",OR($L1357&lt;&gt;"Chưa xác định",DANH_MUC!$L$9="Có"))),"Có","Không"))</f>
        <v/>
      </c>
      <c r="U1357" s="22">
        <f>IF(OR($D1357="",$T1357="Có"),"",IF($C1357="","Thiếu họ tên; ","")&amp;IF($S1357&lt;&gt;"Có","SĐT sai định dạng; ","")&amp;IF($R1357="Trùng","Trùng SĐT; ","")&amp;IF($Q1357&lt;&gt;"Có","Thiếu đồng ý bắt buộc; ","")&amp;IF($L1357="","Thiếu/sai Mã REF; ",IF(AND($L1357="Chưa xác định",DANH_MUC!$L$9&lt;&gt;"Có"),"Nguồn chưa xác định; ","")))</f>
        <v/>
      </c>
      <c r="V1357" s="22">
        <f>IF(OR($D1357="",$R1357="Trùng"),"",IF(COUNTIF(ORDERS!$C$2:$C$4995,$D1357)&gt;0,"Có","Không"))</f>
        <v/>
      </c>
      <c r="W1357" s="22">
        <f>IF(OR($D1357="",$R1357="Trùng"),"",COUNTIFS(ORDERS!$C$2:$C$4995,$D1357,ORDERS!$L$2:$L$4995,"Đã chuyển khoản"))</f>
        <v/>
      </c>
      <c r="X1357" s="23">
        <f>IF(OR($D1357="",$R1357="Trùng"),"",SUMIFS(ORDERS!$J$2:$J$4995,ORDERS!$C$2:$C$4995,$D1357,ORDERS!$L$2:$L$4995,"Đã chuyển khoản"))</f>
        <v/>
      </c>
      <c r="Y1357" s="24" t="n"/>
    </row>
    <row r="1358" ht="14.25" customHeight="1" s="40">
      <c r="A1358" s="24" t="n"/>
      <c r="B1358" s="27" t="n"/>
      <c r="C1358" s="24" t="n"/>
      <c r="D1358" s="28" t="n"/>
      <c r="E1358" s="29" t="n"/>
      <c r="F1358" s="24" t="n"/>
      <c r="G1358" s="24" t="n"/>
      <c r="H1358" s="21">
        <f>IF(ISNUMBER($B1358),INT($B1358)-WEEKDAY($B1358,2)+1,"")</f>
        <v/>
      </c>
      <c r="I1358" s="24" t="n"/>
      <c r="J1358" s="22">
        <f t="array" ref="J1358">IF($D1358="","",IF($I1358="","(trống REF)",IFERROR(INDEX(MASTER_SOURCE!$B$2:$B$495,MATCH($I1358,MASTER_SOURCE!$A$2:$A$495,0)),"(REF không có trong MASTER_SOURCE)")))</f>
        <v/>
      </c>
      <c r="K1358" s="22">
        <f t="array" ref="K1358">IF($D1358="","",IFERROR(INDEX(MASTER_SOURCE!$C$2:$C$495,MATCH($I1358,MASTER_SOURCE!$A$2:$A$495,0)),""))</f>
        <v/>
      </c>
      <c r="L1358" s="22">
        <f t="array" ref="L1358">IF($D1358="","",IFERROR(INDEX(MASTER_SOURCE!$D$2:$D$495,MATCH($I1358,MASTER_SOURCE!$A$2:$A$495,0)),""))</f>
        <v/>
      </c>
      <c r="M1358" s="24" t="n"/>
      <c r="N1358" s="24" t="n"/>
      <c r="O1358" s="24" t="n"/>
      <c r="P1358" s="24" t="n"/>
      <c r="Q1358" s="22">
        <f>IF($D1358="","",IF(AND(OR(DANH_MUC!$L$5&lt;&gt;"Có",M1358="Có"),OR(DANH_MUC!$L$6&lt;&gt;"Có",N1358="Có"),OR(DANH_MUC!$L$7&lt;&gt;"Có",O1358="Có"),OR(DANH_MUC!$L$8&lt;&gt;"Có",P1358="Có")),"Có","Không"))</f>
        <v/>
      </c>
      <c r="R1358" s="22">
        <f>IF($D1358="","",IF(COUNTIF($D$2:$D1358,$D1358)&gt;1,"Trùng",""))</f>
        <v/>
      </c>
      <c r="S1358" s="22">
        <f>IF($D1358="","",IF(AND(LEN($D1358)=10,LEFT($D1358,1)="0",ISNUMBER(--$D1358)),"Có","Không"))</f>
        <v/>
      </c>
      <c r="T1358" s="22">
        <f>IF($D1358="","",IF(AND($C1358&lt;&gt;"",$Q1358="Có",$R1358="",$S1358="Có",AND($L1358&lt;&gt;"",OR($L1358&lt;&gt;"Chưa xác định",DANH_MUC!$L$9="Có"))),"Có","Không"))</f>
        <v/>
      </c>
      <c r="U1358" s="22">
        <f>IF(OR($D1358="",$T1358="Có"),"",IF($C1358="","Thiếu họ tên; ","")&amp;IF($S1358&lt;&gt;"Có","SĐT sai định dạng; ","")&amp;IF($R1358="Trùng","Trùng SĐT; ","")&amp;IF($Q1358&lt;&gt;"Có","Thiếu đồng ý bắt buộc; ","")&amp;IF($L1358="","Thiếu/sai Mã REF; ",IF(AND($L1358="Chưa xác định",DANH_MUC!$L$9&lt;&gt;"Có"),"Nguồn chưa xác định; ","")))</f>
        <v/>
      </c>
      <c r="V1358" s="22">
        <f>IF(OR($D1358="",$R1358="Trùng"),"",IF(COUNTIF(ORDERS!$C$2:$C$4995,$D1358)&gt;0,"Có","Không"))</f>
        <v/>
      </c>
      <c r="W1358" s="22">
        <f>IF(OR($D1358="",$R1358="Trùng"),"",COUNTIFS(ORDERS!$C$2:$C$4995,$D1358,ORDERS!$L$2:$L$4995,"Đã chuyển khoản"))</f>
        <v/>
      </c>
      <c r="X1358" s="23">
        <f>IF(OR($D1358="",$R1358="Trùng"),"",SUMIFS(ORDERS!$J$2:$J$4995,ORDERS!$C$2:$C$4995,$D1358,ORDERS!$L$2:$L$4995,"Đã chuyển khoản"))</f>
        <v/>
      </c>
      <c r="Y1358" s="24" t="n"/>
    </row>
    <row r="1359" ht="14.25" customHeight="1" s="40">
      <c r="A1359" s="24" t="n"/>
      <c r="B1359" s="27" t="n"/>
      <c r="C1359" s="24" t="n"/>
      <c r="D1359" s="28" t="n"/>
      <c r="E1359" s="29" t="n"/>
      <c r="F1359" s="24" t="n"/>
      <c r="G1359" s="24" t="n"/>
      <c r="H1359" s="21">
        <f>IF(ISNUMBER($B1359),INT($B1359)-WEEKDAY($B1359,2)+1,"")</f>
        <v/>
      </c>
      <c r="I1359" s="24" t="n"/>
      <c r="J1359" s="22">
        <f t="array" ref="J1359">IF($D1359="","",IF($I1359="","(trống REF)",IFERROR(INDEX(MASTER_SOURCE!$B$2:$B$495,MATCH($I1359,MASTER_SOURCE!$A$2:$A$495,0)),"(REF không có trong MASTER_SOURCE)")))</f>
        <v/>
      </c>
      <c r="K1359" s="22">
        <f t="array" ref="K1359">IF($D1359="","",IFERROR(INDEX(MASTER_SOURCE!$C$2:$C$495,MATCH($I1359,MASTER_SOURCE!$A$2:$A$495,0)),""))</f>
        <v/>
      </c>
      <c r="L1359" s="22">
        <f t="array" ref="L1359">IF($D1359="","",IFERROR(INDEX(MASTER_SOURCE!$D$2:$D$495,MATCH($I1359,MASTER_SOURCE!$A$2:$A$495,0)),""))</f>
        <v/>
      </c>
      <c r="M1359" s="24" t="n"/>
      <c r="N1359" s="24" t="n"/>
      <c r="O1359" s="24" t="n"/>
      <c r="P1359" s="24" t="n"/>
      <c r="Q1359" s="22">
        <f>IF($D1359="","",IF(AND(OR(DANH_MUC!$L$5&lt;&gt;"Có",M1359="Có"),OR(DANH_MUC!$L$6&lt;&gt;"Có",N1359="Có"),OR(DANH_MUC!$L$7&lt;&gt;"Có",O1359="Có"),OR(DANH_MUC!$L$8&lt;&gt;"Có",P1359="Có")),"Có","Không"))</f>
        <v/>
      </c>
      <c r="R1359" s="22">
        <f>IF($D1359="","",IF(COUNTIF($D$2:$D1359,$D1359)&gt;1,"Trùng",""))</f>
        <v/>
      </c>
      <c r="S1359" s="22">
        <f>IF($D1359="","",IF(AND(LEN($D1359)=10,LEFT($D1359,1)="0",ISNUMBER(--$D1359)),"Có","Không"))</f>
        <v/>
      </c>
      <c r="T1359" s="22">
        <f>IF($D1359="","",IF(AND($C1359&lt;&gt;"",$Q1359="Có",$R1359="",$S1359="Có",AND($L1359&lt;&gt;"",OR($L1359&lt;&gt;"Chưa xác định",DANH_MUC!$L$9="Có"))),"Có","Không"))</f>
        <v/>
      </c>
      <c r="U1359" s="22">
        <f>IF(OR($D1359="",$T1359="Có"),"",IF($C1359="","Thiếu họ tên; ","")&amp;IF($S1359&lt;&gt;"Có","SĐT sai định dạng; ","")&amp;IF($R1359="Trùng","Trùng SĐT; ","")&amp;IF($Q1359&lt;&gt;"Có","Thiếu đồng ý bắt buộc; ","")&amp;IF($L1359="","Thiếu/sai Mã REF; ",IF(AND($L1359="Chưa xác định",DANH_MUC!$L$9&lt;&gt;"Có"),"Nguồn chưa xác định; ","")))</f>
        <v/>
      </c>
      <c r="V1359" s="22">
        <f>IF(OR($D1359="",$R1359="Trùng"),"",IF(COUNTIF(ORDERS!$C$2:$C$4995,$D1359)&gt;0,"Có","Không"))</f>
        <v/>
      </c>
      <c r="W1359" s="22">
        <f>IF(OR($D1359="",$R1359="Trùng"),"",COUNTIFS(ORDERS!$C$2:$C$4995,$D1359,ORDERS!$L$2:$L$4995,"Đã chuyển khoản"))</f>
        <v/>
      </c>
      <c r="X1359" s="23">
        <f>IF(OR($D1359="",$R1359="Trùng"),"",SUMIFS(ORDERS!$J$2:$J$4995,ORDERS!$C$2:$C$4995,$D1359,ORDERS!$L$2:$L$4995,"Đã chuyển khoản"))</f>
        <v/>
      </c>
      <c r="Y1359" s="24" t="n"/>
    </row>
    <row r="1360" ht="14.25" customHeight="1" s="40">
      <c r="A1360" s="24" t="n"/>
      <c r="B1360" s="27" t="n"/>
      <c r="C1360" s="24" t="n"/>
      <c r="D1360" s="28" t="n"/>
      <c r="E1360" s="29" t="n"/>
      <c r="F1360" s="24" t="n"/>
      <c r="G1360" s="24" t="n"/>
      <c r="H1360" s="21">
        <f>IF(ISNUMBER($B1360),INT($B1360)-WEEKDAY($B1360,2)+1,"")</f>
        <v/>
      </c>
      <c r="I1360" s="24" t="n"/>
      <c r="J1360" s="22">
        <f t="array" ref="J1360">IF($D1360="","",IF($I1360="","(trống REF)",IFERROR(INDEX(MASTER_SOURCE!$B$2:$B$495,MATCH($I1360,MASTER_SOURCE!$A$2:$A$495,0)),"(REF không có trong MASTER_SOURCE)")))</f>
        <v/>
      </c>
      <c r="K1360" s="22">
        <f t="array" ref="K1360">IF($D1360="","",IFERROR(INDEX(MASTER_SOURCE!$C$2:$C$495,MATCH($I1360,MASTER_SOURCE!$A$2:$A$495,0)),""))</f>
        <v/>
      </c>
      <c r="L1360" s="22">
        <f t="array" ref="L1360">IF($D1360="","",IFERROR(INDEX(MASTER_SOURCE!$D$2:$D$495,MATCH($I1360,MASTER_SOURCE!$A$2:$A$495,0)),""))</f>
        <v/>
      </c>
      <c r="M1360" s="24" t="n"/>
      <c r="N1360" s="24" t="n"/>
      <c r="O1360" s="24" t="n"/>
      <c r="P1360" s="24" t="n"/>
      <c r="Q1360" s="22">
        <f>IF($D1360="","",IF(AND(OR(DANH_MUC!$L$5&lt;&gt;"Có",M1360="Có"),OR(DANH_MUC!$L$6&lt;&gt;"Có",N1360="Có"),OR(DANH_MUC!$L$7&lt;&gt;"Có",O1360="Có"),OR(DANH_MUC!$L$8&lt;&gt;"Có",P1360="Có")),"Có","Không"))</f>
        <v/>
      </c>
      <c r="R1360" s="22">
        <f>IF($D1360="","",IF(COUNTIF($D$2:$D1360,$D1360)&gt;1,"Trùng",""))</f>
        <v/>
      </c>
      <c r="S1360" s="22">
        <f>IF($D1360="","",IF(AND(LEN($D1360)=10,LEFT($D1360,1)="0",ISNUMBER(--$D1360)),"Có","Không"))</f>
        <v/>
      </c>
      <c r="T1360" s="22">
        <f>IF($D1360="","",IF(AND($C1360&lt;&gt;"",$Q1360="Có",$R1360="",$S1360="Có",AND($L1360&lt;&gt;"",OR($L1360&lt;&gt;"Chưa xác định",DANH_MUC!$L$9="Có"))),"Có","Không"))</f>
        <v/>
      </c>
      <c r="U1360" s="22">
        <f>IF(OR($D1360="",$T1360="Có"),"",IF($C1360="","Thiếu họ tên; ","")&amp;IF($S1360&lt;&gt;"Có","SĐT sai định dạng; ","")&amp;IF($R1360="Trùng","Trùng SĐT; ","")&amp;IF($Q1360&lt;&gt;"Có","Thiếu đồng ý bắt buộc; ","")&amp;IF($L1360="","Thiếu/sai Mã REF; ",IF(AND($L1360="Chưa xác định",DANH_MUC!$L$9&lt;&gt;"Có"),"Nguồn chưa xác định; ","")))</f>
        <v/>
      </c>
      <c r="V1360" s="22">
        <f>IF(OR($D1360="",$R1360="Trùng"),"",IF(COUNTIF(ORDERS!$C$2:$C$4995,$D1360)&gt;0,"Có","Không"))</f>
        <v/>
      </c>
      <c r="W1360" s="22">
        <f>IF(OR($D1360="",$R1360="Trùng"),"",COUNTIFS(ORDERS!$C$2:$C$4995,$D1360,ORDERS!$L$2:$L$4995,"Đã chuyển khoản"))</f>
        <v/>
      </c>
      <c r="X1360" s="23">
        <f>IF(OR($D1360="",$R1360="Trùng"),"",SUMIFS(ORDERS!$J$2:$J$4995,ORDERS!$C$2:$C$4995,$D1360,ORDERS!$L$2:$L$4995,"Đã chuyển khoản"))</f>
        <v/>
      </c>
      <c r="Y1360" s="24" t="n"/>
    </row>
    <row r="1361" ht="14.25" customHeight="1" s="40">
      <c r="A1361" s="24" t="n"/>
      <c r="B1361" s="27" t="n"/>
      <c r="C1361" s="24" t="n"/>
      <c r="D1361" s="28" t="n"/>
      <c r="E1361" s="29" t="n"/>
      <c r="F1361" s="24" t="n"/>
      <c r="G1361" s="24" t="n"/>
      <c r="H1361" s="21">
        <f>IF(ISNUMBER($B1361),INT($B1361)-WEEKDAY($B1361,2)+1,"")</f>
        <v/>
      </c>
      <c r="I1361" s="24" t="n"/>
      <c r="J1361" s="22">
        <f t="array" ref="J1361">IF($D1361="","",IF($I1361="","(trống REF)",IFERROR(INDEX(MASTER_SOURCE!$B$2:$B$495,MATCH($I1361,MASTER_SOURCE!$A$2:$A$495,0)),"(REF không có trong MASTER_SOURCE)")))</f>
        <v/>
      </c>
      <c r="K1361" s="22">
        <f t="array" ref="K1361">IF($D1361="","",IFERROR(INDEX(MASTER_SOURCE!$C$2:$C$495,MATCH($I1361,MASTER_SOURCE!$A$2:$A$495,0)),""))</f>
        <v/>
      </c>
      <c r="L1361" s="22">
        <f t="array" ref="L1361">IF($D1361="","",IFERROR(INDEX(MASTER_SOURCE!$D$2:$D$495,MATCH($I1361,MASTER_SOURCE!$A$2:$A$495,0)),""))</f>
        <v/>
      </c>
      <c r="M1361" s="24" t="n"/>
      <c r="N1361" s="24" t="n"/>
      <c r="O1361" s="24" t="n"/>
      <c r="P1361" s="24" t="n"/>
      <c r="Q1361" s="22">
        <f>IF($D1361="","",IF(AND(OR(DANH_MUC!$L$5&lt;&gt;"Có",M1361="Có"),OR(DANH_MUC!$L$6&lt;&gt;"Có",N1361="Có"),OR(DANH_MUC!$L$7&lt;&gt;"Có",O1361="Có"),OR(DANH_MUC!$L$8&lt;&gt;"Có",P1361="Có")),"Có","Không"))</f>
        <v/>
      </c>
      <c r="R1361" s="22">
        <f>IF($D1361="","",IF(COUNTIF($D$2:$D1361,$D1361)&gt;1,"Trùng",""))</f>
        <v/>
      </c>
      <c r="S1361" s="22">
        <f>IF($D1361="","",IF(AND(LEN($D1361)=10,LEFT($D1361,1)="0",ISNUMBER(--$D1361)),"Có","Không"))</f>
        <v/>
      </c>
      <c r="T1361" s="22">
        <f>IF($D1361="","",IF(AND($C1361&lt;&gt;"",$Q1361="Có",$R1361="",$S1361="Có",AND($L1361&lt;&gt;"",OR($L1361&lt;&gt;"Chưa xác định",DANH_MUC!$L$9="Có"))),"Có","Không"))</f>
        <v/>
      </c>
      <c r="U1361" s="22">
        <f>IF(OR($D1361="",$T1361="Có"),"",IF($C1361="","Thiếu họ tên; ","")&amp;IF($S1361&lt;&gt;"Có","SĐT sai định dạng; ","")&amp;IF($R1361="Trùng","Trùng SĐT; ","")&amp;IF($Q1361&lt;&gt;"Có","Thiếu đồng ý bắt buộc; ","")&amp;IF($L1361="","Thiếu/sai Mã REF; ",IF(AND($L1361="Chưa xác định",DANH_MUC!$L$9&lt;&gt;"Có"),"Nguồn chưa xác định; ","")))</f>
        <v/>
      </c>
      <c r="V1361" s="22">
        <f>IF(OR($D1361="",$R1361="Trùng"),"",IF(COUNTIF(ORDERS!$C$2:$C$4995,$D1361)&gt;0,"Có","Không"))</f>
        <v/>
      </c>
      <c r="W1361" s="22">
        <f>IF(OR($D1361="",$R1361="Trùng"),"",COUNTIFS(ORDERS!$C$2:$C$4995,$D1361,ORDERS!$L$2:$L$4995,"Đã chuyển khoản"))</f>
        <v/>
      </c>
      <c r="X1361" s="23">
        <f>IF(OR($D1361="",$R1361="Trùng"),"",SUMIFS(ORDERS!$J$2:$J$4995,ORDERS!$C$2:$C$4995,$D1361,ORDERS!$L$2:$L$4995,"Đã chuyển khoản"))</f>
        <v/>
      </c>
      <c r="Y1361" s="24" t="n"/>
    </row>
    <row r="1362" ht="14.25" customHeight="1" s="40">
      <c r="A1362" s="24" t="n"/>
      <c r="B1362" s="27" t="n"/>
      <c r="C1362" s="24" t="n"/>
      <c r="D1362" s="28" t="n"/>
      <c r="E1362" s="29" t="n"/>
      <c r="F1362" s="24" t="n"/>
      <c r="G1362" s="24" t="n"/>
      <c r="H1362" s="21">
        <f>IF(ISNUMBER($B1362),INT($B1362)-WEEKDAY($B1362,2)+1,"")</f>
        <v/>
      </c>
      <c r="I1362" s="24" t="n"/>
      <c r="J1362" s="22">
        <f t="array" ref="J1362">IF($D1362="","",IF($I1362="","(trống REF)",IFERROR(INDEX(MASTER_SOURCE!$B$2:$B$495,MATCH($I1362,MASTER_SOURCE!$A$2:$A$495,0)),"(REF không có trong MASTER_SOURCE)")))</f>
        <v/>
      </c>
      <c r="K1362" s="22">
        <f t="array" ref="K1362">IF($D1362="","",IFERROR(INDEX(MASTER_SOURCE!$C$2:$C$495,MATCH($I1362,MASTER_SOURCE!$A$2:$A$495,0)),""))</f>
        <v/>
      </c>
      <c r="L1362" s="22">
        <f t="array" ref="L1362">IF($D1362="","",IFERROR(INDEX(MASTER_SOURCE!$D$2:$D$495,MATCH($I1362,MASTER_SOURCE!$A$2:$A$495,0)),""))</f>
        <v/>
      </c>
      <c r="M1362" s="24" t="n"/>
      <c r="N1362" s="24" t="n"/>
      <c r="O1362" s="24" t="n"/>
      <c r="P1362" s="24" t="n"/>
      <c r="Q1362" s="22">
        <f>IF($D1362="","",IF(AND(OR(DANH_MUC!$L$5&lt;&gt;"Có",M1362="Có"),OR(DANH_MUC!$L$6&lt;&gt;"Có",N1362="Có"),OR(DANH_MUC!$L$7&lt;&gt;"Có",O1362="Có"),OR(DANH_MUC!$L$8&lt;&gt;"Có",P1362="Có")),"Có","Không"))</f>
        <v/>
      </c>
      <c r="R1362" s="22">
        <f>IF($D1362="","",IF(COUNTIF($D$2:$D1362,$D1362)&gt;1,"Trùng",""))</f>
        <v/>
      </c>
      <c r="S1362" s="22">
        <f>IF($D1362="","",IF(AND(LEN($D1362)=10,LEFT($D1362,1)="0",ISNUMBER(--$D1362)),"Có","Không"))</f>
        <v/>
      </c>
      <c r="T1362" s="22">
        <f>IF($D1362="","",IF(AND($C1362&lt;&gt;"",$Q1362="Có",$R1362="",$S1362="Có",AND($L1362&lt;&gt;"",OR($L1362&lt;&gt;"Chưa xác định",DANH_MUC!$L$9="Có"))),"Có","Không"))</f>
        <v/>
      </c>
      <c r="U1362" s="22">
        <f>IF(OR($D1362="",$T1362="Có"),"",IF($C1362="","Thiếu họ tên; ","")&amp;IF($S1362&lt;&gt;"Có","SĐT sai định dạng; ","")&amp;IF($R1362="Trùng","Trùng SĐT; ","")&amp;IF($Q1362&lt;&gt;"Có","Thiếu đồng ý bắt buộc; ","")&amp;IF($L1362="","Thiếu/sai Mã REF; ",IF(AND($L1362="Chưa xác định",DANH_MUC!$L$9&lt;&gt;"Có"),"Nguồn chưa xác định; ","")))</f>
        <v/>
      </c>
      <c r="V1362" s="22">
        <f>IF(OR($D1362="",$R1362="Trùng"),"",IF(COUNTIF(ORDERS!$C$2:$C$4995,$D1362)&gt;0,"Có","Không"))</f>
        <v/>
      </c>
      <c r="W1362" s="22">
        <f>IF(OR($D1362="",$R1362="Trùng"),"",COUNTIFS(ORDERS!$C$2:$C$4995,$D1362,ORDERS!$L$2:$L$4995,"Đã chuyển khoản"))</f>
        <v/>
      </c>
      <c r="X1362" s="23">
        <f>IF(OR($D1362="",$R1362="Trùng"),"",SUMIFS(ORDERS!$J$2:$J$4995,ORDERS!$C$2:$C$4995,$D1362,ORDERS!$L$2:$L$4995,"Đã chuyển khoản"))</f>
        <v/>
      </c>
      <c r="Y1362" s="24" t="n"/>
    </row>
    <row r="1363" ht="14.25" customHeight="1" s="40">
      <c r="A1363" s="24" t="n"/>
      <c r="B1363" s="27" t="n"/>
      <c r="C1363" s="24" t="n"/>
      <c r="D1363" s="28" t="n"/>
      <c r="E1363" s="29" t="n"/>
      <c r="F1363" s="24" t="n"/>
      <c r="G1363" s="24" t="n"/>
      <c r="H1363" s="21">
        <f>IF(ISNUMBER($B1363),INT($B1363)-WEEKDAY($B1363,2)+1,"")</f>
        <v/>
      </c>
      <c r="I1363" s="24" t="n"/>
      <c r="J1363" s="22">
        <f t="array" ref="J1363">IF($D1363="","",IF($I1363="","(trống REF)",IFERROR(INDEX(MASTER_SOURCE!$B$2:$B$495,MATCH($I1363,MASTER_SOURCE!$A$2:$A$495,0)),"(REF không có trong MASTER_SOURCE)")))</f>
        <v/>
      </c>
      <c r="K1363" s="22">
        <f t="array" ref="K1363">IF($D1363="","",IFERROR(INDEX(MASTER_SOURCE!$C$2:$C$495,MATCH($I1363,MASTER_SOURCE!$A$2:$A$495,0)),""))</f>
        <v/>
      </c>
      <c r="L1363" s="22">
        <f t="array" ref="L1363">IF($D1363="","",IFERROR(INDEX(MASTER_SOURCE!$D$2:$D$495,MATCH($I1363,MASTER_SOURCE!$A$2:$A$495,0)),""))</f>
        <v/>
      </c>
      <c r="M1363" s="24" t="n"/>
      <c r="N1363" s="24" t="n"/>
      <c r="O1363" s="24" t="n"/>
      <c r="P1363" s="24" t="n"/>
      <c r="Q1363" s="22">
        <f>IF($D1363="","",IF(AND(OR(DANH_MUC!$L$5&lt;&gt;"Có",M1363="Có"),OR(DANH_MUC!$L$6&lt;&gt;"Có",N1363="Có"),OR(DANH_MUC!$L$7&lt;&gt;"Có",O1363="Có"),OR(DANH_MUC!$L$8&lt;&gt;"Có",P1363="Có")),"Có","Không"))</f>
        <v/>
      </c>
      <c r="R1363" s="22">
        <f>IF($D1363="","",IF(COUNTIF($D$2:$D1363,$D1363)&gt;1,"Trùng",""))</f>
        <v/>
      </c>
      <c r="S1363" s="22">
        <f>IF($D1363="","",IF(AND(LEN($D1363)=10,LEFT($D1363,1)="0",ISNUMBER(--$D1363)),"Có","Không"))</f>
        <v/>
      </c>
      <c r="T1363" s="22">
        <f>IF($D1363="","",IF(AND($C1363&lt;&gt;"",$Q1363="Có",$R1363="",$S1363="Có",AND($L1363&lt;&gt;"",OR($L1363&lt;&gt;"Chưa xác định",DANH_MUC!$L$9="Có"))),"Có","Không"))</f>
        <v/>
      </c>
      <c r="U1363" s="22">
        <f>IF(OR($D1363="",$T1363="Có"),"",IF($C1363="","Thiếu họ tên; ","")&amp;IF($S1363&lt;&gt;"Có","SĐT sai định dạng; ","")&amp;IF($R1363="Trùng","Trùng SĐT; ","")&amp;IF($Q1363&lt;&gt;"Có","Thiếu đồng ý bắt buộc; ","")&amp;IF($L1363="","Thiếu/sai Mã REF; ",IF(AND($L1363="Chưa xác định",DANH_MUC!$L$9&lt;&gt;"Có"),"Nguồn chưa xác định; ","")))</f>
        <v/>
      </c>
      <c r="V1363" s="22">
        <f>IF(OR($D1363="",$R1363="Trùng"),"",IF(COUNTIF(ORDERS!$C$2:$C$4995,$D1363)&gt;0,"Có","Không"))</f>
        <v/>
      </c>
      <c r="W1363" s="22">
        <f>IF(OR($D1363="",$R1363="Trùng"),"",COUNTIFS(ORDERS!$C$2:$C$4995,$D1363,ORDERS!$L$2:$L$4995,"Đã chuyển khoản"))</f>
        <v/>
      </c>
      <c r="X1363" s="23">
        <f>IF(OR($D1363="",$R1363="Trùng"),"",SUMIFS(ORDERS!$J$2:$J$4995,ORDERS!$C$2:$C$4995,$D1363,ORDERS!$L$2:$L$4995,"Đã chuyển khoản"))</f>
        <v/>
      </c>
      <c r="Y1363" s="24" t="n"/>
    </row>
    <row r="1364" ht="14.25" customHeight="1" s="40">
      <c r="A1364" s="24" t="n"/>
      <c r="B1364" s="27" t="n"/>
      <c r="C1364" s="24" t="n"/>
      <c r="D1364" s="28" t="n"/>
      <c r="E1364" s="29" t="n"/>
      <c r="F1364" s="24" t="n"/>
      <c r="G1364" s="24" t="n"/>
      <c r="H1364" s="21">
        <f>IF(ISNUMBER($B1364),INT($B1364)-WEEKDAY($B1364,2)+1,"")</f>
        <v/>
      </c>
      <c r="I1364" s="24" t="n"/>
      <c r="J1364" s="22">
        <f t="array" ref="J1364">IF($D1364="","",IF($I1364="","(trống REF)",IFERROR(INDEX(MASTER_SOURCE!$B$2:$B$495,MATCH($I1364,MASTER_SOURCE!$A$2:$A$495,0)),"(REF không có trong MASTER_SOURCE)")))</f>
        <v/>
      </c>
      <c r="K1364" s="22">
        <f t="array" ref="K1364">IF($D1364="","",IFERROR(INDEX(MASTER_SOURCE!$C$2:$C$495,MATCH($I1364,MASTER_SOURCE!$A$2:$A$495,0)),""))</f>
        <v/>
      </c>
      <c r="L1364" s="22">
        <f t="array" ref="L1364">IF($D1364="","",IFERROR(INDEX(MASTER_SOURCE!$D$2:$D$495,MATCH($I1364,MASTER_SOURCE!$A$2:$A$495,0)),""))</f>
        <v/>
      </c>
      <c r="M1364" s="24" t="n"/>
      <c r="N1364" s="24" t="n"/>
      <c r="O1364" s="24" t="n"/>
      <c r="P1364" s="24" t="n"/>
      <c r="Q1364" s="22">
        <f>IF($D1364="","",IF(AND(OR(DANH_MUC!$L$5&lt;&gt;"Có",M1364="Có"),OR(DANH_MUC!$L$6&lt;&gt;"Có",N1364="Có"),OR(DANH_MUC!$L$7&lt;&gt;"Có",O1364="Có"),OR(DANH_MUC!$L$8&lt;&gt;"Có",P1364="Có")),"Có","Không"))</f>
        <v/>
      </c>
      <c r="R1364" s="22">
        <f>IF($D1364="","",IF(COUNTIF($D$2:$D1364,$D1364)&gt;1,"Trùng",""))</f>
        <v/>
      </c>
      <c r="S1364" s="22">
        <f>IF($D1364="","",IF(AND(LEN($D1364)=10,LEFT($D1364,1)="0",ISNUMBER(--$D1364)),"Có","Không"))</f>
        <v/>
      </c>
      <c r="T1364" s="22">
        <f>IF($D1364="","",IF(AND($C1364&lt;&gt;"",$Q1364="Có",$R1364="",$S1364="Có",AND($L1364&lt;&gt;"",OR($L1364&lt;&gt;"Chưa xác định",DANH_MUC!$L$9="Có"))),"Có","Không"))</f>
        <v/>
      </c>
      <c r="U1364" s="22">
        <f>IF(OR($D1364="",$T1364="Có"),"",IF($C1364="","Thiếu họ tên; ","")&amp;IF($S1364&lt;&gt;"Có","SĐT sai định dạng; ","")&amp;IF($R1364="Trùng","Trùng SĐT; ","")&amp;IF($Q1364&lt;&gt;"Có","Thiếu đồng ý bắt buộc; ","")&amp;IF($L1364="","Thiếu/sai Mã REF; ",IF(AND($L1364="Chưa xác định",DANH_MUC!$L$9&lt;&gt;"Có"),"Nguồn chưa xác định; ","")))</f>
        <v/>
      </c>
      <c r="V1364" s="22">
        <f>IF(OR($D1364="",$R1364="Trùng"),"",IF(COUNTIF(ORDERS!$C$2:$C$4995,$D1364)&gt;0,"Có","Không"))</f>
        <v/>
      </c>
      <c r="W1364" s="22">
        <f>IF(OR($D1364="",$R1364="Trùng"),"",COUNTIFS(ORDERS!$C$2:$C$4995,$D1364,ORDERS!$L$2:$L$4995,"Đã chuyển khoản"))</f>
        <v/>
      </c>
      <c r="X1364" s="23">
        <f>IF(OR($D1364="",$R1364="Trùng"),"",SUMIFS(ORDERS!$J$2:$J$4995,ORDERS!$C$2:$C$4995,$D1364,ORDERS!$L$2:$L$4995,"Đã chuyển khoản"))</f>
        <v/>
      </c>
      <c r="Y1364" s="24" t="n"/>
    </row>
    <row r="1365" ht="14.25" customHeight="1" s="40">
      <c r="A1365" s="24" t="n"/>
      <c r="B1365" s="27" t="n"/>
      <c r="C1365" s="24" t="n"/>
      <c r="D1365" s="28" t="n"/>
      <c r="E1365" s="29" t="n"/>
      <c r="F1365" s="24" t="n"/>
      <c r="G1365" s="24" t="n"/>
      <c r="H1365" s="21">
        <f>IF(ISNUMBER($B1365),INT($B1365)-WEEKDAY($B1365,2)+1,"")</f>
        <v/>
      </c>
      <c r="I1365" s="24" t="n"/>
      <c r="J1365" s="22">
        <f t="array" ref="J1365">IF($D1365="","",IF($I1365="","(trống REF)",IFERROR(INDEX(MASTER_SOURCE!$B$2:$B$495,MATCH($I1365,MASTER_SOURCE!$A$2:$A$495,0)),"(REF không có trong MASTER_SOURCE)")))</f>
        <v/>
      </c>
      <c r="K1365" s="22">
        <f t="array" ref="K1365">IF($D1365="","",IFERROR(INDEX(MASTER_SOURCE!$C$2:$C$495,MATCH($I1365,MASTER_SOURCE!$A$2:$A$495,0)),""))</f>
        <v/>
      </c>
      <c r="L1365" s="22">
        <f t="array" ref="L1365">IF($D1365="","",IFERROR(INDEX(MASTER_SOURCE!$D$2:$D$495,MATCH($I1365,MASTER_SOURCE!$A$2:$A$495,0)),""))</f>
        <v/>
      </c>
      <c r="M1365" s="24" t="n"/>
      <c r="N1365" s="24" t="n"/>
      <c r="O1365" s="24" t="n"/>
      <c r="P1365" s="24" t="n"/>
      <c r="Q1365" s="22">
        <f>IF($D1365="","",IF(AND(OR(DANH_MUC!$L$5&lt;&gt;"Có",M1365="Có"),OR(DANH_MUC!$L$6&lt;&gt;"Có",N1365="Có"),OR(DANH_MUC!$L$7&lt;&gt;"Có",O1365="Có"),OR(DANH_MUC!$L$8&lt;&gt;"Có",P1365="Có")),"Có","Không"))</f>
        <v/>
      </c>
      <c r="R1365" s="22">
        <f>IF($D1365="","",IF(COUNTIF($D$2:$D1365,$D1365)&gt;1,"Trùng",""))</f>
        <v/>
      </c>
      <c r="S1365" s="22">
        <f>IF($D1365="","",IF(AND(LEN($D1365)=10,LEFT($D1365,1)="0",ISNUMBER(--$D1365)),"Có","Không"))</f>
        <v/>
      </c>
      <c r="T1365" s="22">
        <f>IF($D1365="","",IF(AND($C1365&lt;&gt;"",$Q1365="Có",$R1365="",$S1365="Có",AND($L1365&lt;&gt;"",OR($L1365&lt;&gt;"Chưa xác định",DANH_MUC!$L$9="Có"))),"Có","Không"))</f>
        <v/>
      </c>
      <c r="U1365" s="22">
        <f>IF(OR($D1365="",$T1365="Có"),"",IF($C1365="","Thiếu họ tên; ","")&amp;IF($S1365&lt;&gt;"Có","SĐT sai định dạng; ","")&amp;IF($R1365="Trùng","Trùng SĐT; ","")&amp;IF($Q1365&lt;&gt;"Có","Thiếu đồng ý bắt buộc; ","")&amp;IF($L1365="","Thiếu/sai Mã REF; ",IF(AND($L1365="Chưa xác định",DANH_MUC!$L$9&lt;&gt;"Có"),"Nguồn chưa xác định; ","")))</f>
        <v/>
      </c>
      <c r="V1365" s="22">
        <f>IF(OR($D1365="",$R1365="Trùng"),"",IF(COUNTIF(ORDERS!$C$2:$C$4995,$D1365)&gt;0,"Có","Không"))</f>
        <v/>
      </c>
      <c r="W1365" s="22">
        <f>IF(OR($D1365="",$R1365="Trùng"),"",COUNTIFS(ORDERS!$C$2:$C$4995,$D1365,ORDERS!$L$2:$L$4995,"Đã chuyển khoản"))</f>
        <v/>
      </c>
      <c r="X1365" s="23">
        <f>IF(OR($D1365="",$R1365="Trùng"),"",SUMIFS(ORDERS!$J$2:$J$4995,ORDERS!$C$2:$C$4995,$D1365,ORDERS!$L$2:$L$4995,"Đã chuyển khoản"))</f>
        <v/>
      </c>
      <c r="Y1365" s="24" t="n"/>
    </row>
    <row r="1366" ht="14.25" customHeight="1" s="40">
      <c r="A1366" s="24" t="n"/>
      <c r="B1366" s="27" t="n"/>
      <c r="C1366" s="24" t="n"/>
      <c r="D1366" s="28" t="n"/>
      <c r="E1366" s="29" t="n"/>
      <c r="F1366" s="24" t="n"/>
      <c r="G1366" s="24" t="n"/>
      <c r="H1366" s="21">
        <f>IF(ISNUMBER($B1366),INT($B1366)-WEEKDAY($B1366,2)+1,"")</f>
        <v/>
      </c>
      <c r="I1366" s="24" t="n"/>
      <c r="J1366" s="22">
        <f t="array" ref="J1366">IF($D1366="","",IF($I1366="","(trống REF)",IFERROR(INDEX(MASTER_SOURCE!$B$2:$B$495,MATCH($I1366,MASTER_SOURCE!$A$2:$A$495,0)),"(REF không có trong MASTER_SOURCE)")))</f>
        <v/>
      </c>
      <c r="K1366" s="22">
        <f t="array" ref="K1366">IF($D1366="","",IFERROR(INDEX(MASTER_SOURCE!$C$2:$C$495,MATCH($I1366,MASTER_SOURCE!$A$2:$A$495,0)),""))</f>
        <v/>
      </c>
      <c r="L1366" s="22">
        <f t="array" ref="L1366">IF($D1366="","",IFERROR(INDEX(MASTER_SOURCE!$D$2:$D$495,MATCH($I1366,MASTER_SOURCE!$A$2:$A$495,0)),""))</f>
        <v/>
      </c>
      <c r="M1366" s="24" t="n"/>
      <c r="N1366" s="24" t="n"/>
      <c r="O1366" s="24" t="n"/>
      <c r="P1366" s="24" t="n"/>
      <c r="Q1366" s="22">
        <f>IF($D1366="","",IF(AND(OR(DANH_MUC!$L$5&lt;&gt;"Có",M1366="Có"),OR(DANH_MUC!$L$6&lt;&gt;"Có",N1366="Có"),OR(DANH_MUC!$L$7&lt;&gt;"Có",O1366="Có"),OR(DANH_MUC!$L$8&lt;&gt;"Có",P1366="Có")),"Có","Không"))</f>
        <v/>
      </c>
      <c r="R1366" s="22">
        <f>IF($D1366="","",IF(COUNTIF($D$2:$D1366,$D1366)&gt;1,"Trùng",""))</f>
        <v/>
      </c>
      <c r="S1366" s="22">
        <f>IF($D1366="","",IF(AND(LEN($D1366)=10,LEFT($D1366,1)="0",ISNUMBER(--$D1366)),"Có","Không"))</f>
        <v/>
      </c>
      <c r="T1366" s="22">
        <f>IF($D1366="","",IF(AND($C1366&lt;&gt;"",$Q1366="Có",$R1366="",$S1366="Có",AND($L1366&lt;&gt;"",OR($L1366&lt;&gt;"Chưa xác định",DANH_MUC!$L$9="Có"))),"Có","Không"))</f>
        <v/>
      </c>
      <c r="U1366" s="22">
        <f>IF(OR($D1366="",$T1366="Có"),"",IF($C1366="","Thiếu họ tên; ","")&amp;IF($S1366&lt;&gt;"Có","SĐT sai định dạng; ","")&amp;IF($R1366="Trùng","Trùng SĐT; ","")&amp;IF($Q1366&lt;&gt;"Có","Thiếu đồng ý bắt buộc; ","")&amp;IF($L1366="","Thiếu/sai Mã REF; ",IF(AND($L1366="Chưa xác định",DANH_MUC!$L$9&lt;&gt;"Có"),"Nguồn chưa xác định; ","")))</f>
        <v/>
      </c>
      <c r="V1366" s="22">
        <f>IF(OR($D1366="",$R1366="Trùng"),"",IF(COUNTIF(ORDERS!$C$2:$C$4995,$D1366)&gt;0,"Có","Không"))</f>
        <v/>
      </c>
      <c r="W1366" s="22">
        <f>IF(OR($D1366="",$R1366="Trùng"),"",COUNTIFS(ORDERS!$C$2:$C$4995,$D1366,ORDERS!$L$2:$L$4995,"Đã chuyển khoản"))</f>
        <v/>
      </c>
      <c r="X1366" s="23">
        <f>IF(OR($D1366="",$R1366="Trùng"),"",SUMIFS(ORDERS!$J$2:$J$4995,ORDERS!$C$2:$C$4995,$D1366,ORDERS!$L$2:$L$4995,"Đã chuyển khoản"))</f>
        <v/>
      </c>
      <c r="Y1366" s="24" t="n"/>
    </row>
    <row r="1367" ht="14.25" customHeight="1" s="40">
      <c r="A1367" s="24" t="n"/>
      <c r="B1367" s="27" t="n"/>
      <c r="C1367" s="24" t="n"/>
      <c r="D1367" s="28" t="n"/>
      <c r="E1367" s="29" t="n"/>
      <c r="F1367" s="24" t="n"/>
      <c r="G1367" s="24" t="n"/>
      <c r="H1367" s="21">
        <f>IF(ISNUMBER($B1367),INT($B1367)-WEEKDAY($B1367,2)+1,"")</f>
        <v/>
      </c>
      <c r="I1367" s="24" t="n"/>
      <c r="J1367" s="22">
        <f t="array" ref="J1367">IF($D1367="","",IF($I1367="","(trống REF)",IFERROR(INDEX(MASTER_SOURCE!$B$2:$B$495,MATCH($I1367,MASTER_SOURCE!$A$2:$A$495,0)),"(REF không có trong MASTER_SOURCE)")))</f>
        <v/>
      </c>
      <c r="K1367" s="22">
        <f t="array" ref="K1367">IF($D1367="","",IFERROR(INDEX(MASTER_SOURCE!$C$2:$C$495,MATCH($I1367,MASTER_SOURCE!$A$2:$A$495,0)),""))</f>
        <v/>
      </c>
      <c r="L1367" s="22">
        <f t="array" ref="L1367">IF($D1367="","",IFERROR(INDEX(MASTER_SOURCE!$D$2:$D$495,MATCH($I1367,MASTER_SOURCE!$A$2:$A$495,0)),""))</f>
        <v/>
      </c>
      <c r="M1367" s="24" t="n"/>
      <c r="N1367" s="24" t="n"/>
      <c r="O1367" s="24" t="n"/>
      <c r="P1367" s="24" t="n"/>
      <c r="Q1367" s="22">
        <f>IF($D1367="","",IF(AND(OR(DANH_MUC!$L$5&lt;&gt;"Có",M1367="Có"),OR(DANH_MUC!$L$6&lt;&gt;"Có",N1367="Có"),OR(DANH_MUC!$L$7&lt;&gt;"Có",O1367="Có"),OR(DANH_MUC!$L$8&lt;&gt;"Có",P1367="Có")),"Có","Không"))</f>
        <v/>
      </c>
      <c r="R1367" s="22">
        <f>IF($D1367="","",IF(COUNTIF($D$2:$D1367,$D1367)&gt;1,"Trùng",""))</f>
        <v/>
      </c>
      <c r="S1367" s="22">
        <f>IF($D1367="","",IF(AND(LEN($D1367)=10,LEFT($D1367,1)="0",ISNUMBER(--$D1367)),"Có","Không"))</f>
        <v/>
      </c>
      <c r="T1367" s="22">
        <f>IF($D1367="","",IF(AND($C1367&lt;&gt;"",$Q1367="Có",$R1367="",$S1367="Có",AND($L1367&lt;&gt;"",OR($L1367&lt;&gt;"Chưa xác định",DANH_MUC!$L$9="Có"))),"Có","Không"))</f>
        <v/>
      </c>
      <c r="U1367" s="22">
        <f>IF(OR($D1367="",$T1367="Có"),"",IF($C1367="","Thiếu họ tên; ","")&amp;IF($S1367&lt;&gt;"Có","SĐT sai định dạng; ","")&amp;IF($R1367="Trùng","Trùng SĐT; ","")&amp;IF($Q1367&lt;&gt;"Có","Thiếu đồng ý bắt buộc; ","")&amp;IF($L1367="","Thiếu/sai Mã REF; ",IF(AND($L1367="Chưa xác định",DANH_MUC!$L$9&lt;&gt;"Có"),"Nguồn chưa xác định; ","")))</f>
        <v/>
      </c>
      <c r="V1367" s="22">
        <f>IF(OR($D1367="",$R1367="Trùng"),"",IF(COUNTIF(ORDERS!$C$2:$C$4995,$D1367)&gt;0,"Có","Không"))</f>
        <v/>
      </c>
      <c r="W1367" s="22">
        <f>IF(OR($D1367="",$R1367="Trùng"),"",COUNTIFS(ORDERS!$C$2:$C$4995,$D1367,ORDERS!$L$2:$L$4995,"Đã chuyển khoản"))</f>
        <v/>
      </c>
      <c r="X1367" s="23">
        <f>IF(OR($D1367="",$R1367="Trùng"),"",SUMIFS(ORDERS!$J$2:$J$4995,ORDERS!$C$2:$C$4995,$D1367,ORDERS!$L$2:$L$4995,"Đã chuyển khoản"))</f>
        <v/>
      </c>
      <c r="Y1367" s="24" t="n"/>
    </row>
    <row r="1368" ht="14.25" customHeight="1" s="40">
      <c r="A1368" s="24" t="n"/>
      <c r="B1368" s="27" t="n"/>
      <c r="C1368" s="24" t="n"/>
      <c r="D1368" s="28" t="n"/>
      <c r="E1368" s="29" t="n"/>
      <c r="F1368" s="24" t="n"/>
      <c r="G1368" s="24" t="n"/>
      <c r="H1368" s="21">
        <f>IF(ISNUMBER($B1368),INT($B1368)-WEEKDAY($B1368,2)+1,"")</f>
        <v/>
      </c>
      <c r="I1368" s="24" t="n"/>
      <c r="J1368" s="22">
        <f t="array" ref="J1368">IF($D1368="","",IF($I1368="","(trống REF)",IFERROR(INDEX(MASTER_SOURCE!$B$2:$B$495,MATCH($I1368,MASTER_SOURCE!$A$2:$A$495,0)),"(REF không có trong MASTER_SOURCE)")))</f>
        <v/>
      </c>
      <c r="K1368" s="22">
        <f t="array" ref="K1368">IF($D1368="","",IFERROR(INDEX(MASTER_SOURCE!$C$2:$C$495,MATCH($I1368,MASTER_SOURCE!$A$2:$A$495,0)),""))</f>
        <v/>
      </c>
      <c r="L1368" s="22">
        <f t="array" ref="L1368">IF($D1368="","",IFERROR(INDEX(MASTER_SOURCE!$D$2:$D$495,MATCH($I1368,MASTER_SOURCE!$A$2:$A$495,0)),""))</f>
        <v/>
      </c>
      <c r="M1368" s="24" t="n"/>
      <c r="N1368" s="24" t="n"/>
      <c r="O1368" s="24" t="n"/>
      <c r="P1368" s="24" t="n"/>
      <c r="Q1368" s="22">
        <f>IF($D1368="","",IF(AND(OR(DANH_MUC!$L$5&lt;&gt;"Có",M1368="Có"),OR(DANH_MUC!$L$6&lt;&gt;"Có",N1368="Có"),OR(DANH_MUC!$L$7&lt;&gt;"Có",O1368="Có"),OR(DANH_MUC!$L$8&lt;&gt;"Có",P1368="Có")),"Có","Không"))</f>
        <v/>
      </c>
      <c r="R1368" s="22">
        <f>IF($D1368="","",IF(COUNTIF($D$2:$D1368,$D1368)&gt;1,"Trùng",""))</f>
        <v/>
      </c>
      <c r="S1368" s="22">
        <f>IF($D1368="","",IF(AND(LEN($D1368)=10,LEFT($D1368,1)="0",ISNUMBER(--$D1368)),"Có","Không"))</f>
        <v/>
      </c>
      <c r="T1368" s="22">
        <f>IF($D1368="","",IF(AND($C1368&lt;&gt;"",$Q1368="Có",$R1368="",$S1368="Có",AND($L1368&lt;&gt;"",OR($L1368&lt;&gt;"Chưa xác định",DANH_MUC!$L$9="Có"))),"Có","Không"))</f>
        <v/>
      </c>
      <c r="U1368" s="22">
        <f>IF(OR($D1368="",$T1368="Có"),"",IF($C1368="","Thiếu họ tên; ","")&amp;IF($S1368&lt;&gt;"Có","SĐT sai định dạng; ","")&amp;IF($R1368="Trùng","Trùng SĐT; ","")&amp;IF($Q1368&lt;&gt;"Có","Thiếu đồng ý bắt buộc; ","")&amp;IF($L1368="","Thiếu/sai Mã REF; ",IF(AND($L1368="Chưa xác định",DANH_MUC!$L$9&lt;&gt;"Có"),"Nguồn chưa xác định; ","")))</f>
        <v/>
      </c>
      <c r="V1368" s="22">
        <f>IF(OR($D1368="",$R1368="Trùng"),"",IF(COUNTIF(ORDERS!$C$2:$C$4995,$D1368)&gt;0,"Có","Không"))</f>
        <v/>
      </c>
      <c r="W1368" s="22">
        <f>IF(OR($D1368="",$R1368="Trùng"),"",COUNTIFS(ORDERS!$C$2:$C$4995,$D1368,ORDERS!$L$2:$L$4995,"Đã chuyển khoản"))</f>
        <v/>
      </c>
      <c r="X1368" s="23">
        <f>IF(OR($D1368="",$R1368="Trùng"),"",SUMIFS(ORDERS!$J$2:$J$4995,ORDERS!$C$2:$C$4995,$D1368,ORDERS!$L$2:$L$4995,"Đã chuyển khoản"))</f>
        <v/>
      </c>
      <c r="Y1368" s="24" t="n"/>
    </row>
    <row r="1369" ht="14.25" customHeight="1" s="40">
      <c r="A1369" s="24" t="n"/>
      <c r="B1369" s="27" t="n"/>
      <c r="C1369" s="24" t="n"/>
      <c r="D1369" s="28" t="n"/>
      <c r="E1369" s="29" t="n"/>
      <c r="F1369" s="24" t="n"/>
      <c r="G1369" s="24" t="n"/>
      <c r="H1369" s="21">
        <f>IF(ISNUMBER($B1369),INT($B1369)-WEEKDAY($B1369,2)+1,"")</f>
        <v/>
      </c>
      <c r="I1369" s="24" t="n"/>
      <c r="J1369" s="22">
        <f t="array" ref="J1369">IF($D1369="","",IF($I1369="","(trống REF)",IFERROR(INDEX(MASTER_SOURCE!$B$2:$B$495,MATCH($I1369,MASTER_SOURCE!$A$2:$A$495,0)),"(REF không có trong MASTER_SOURCE)")))</f>
        <v/>
      </c>
      <c r="K1369" s="22">
        <f t="array" ref="K1369">IF($D1369="","",IFERROR(INDEX(MASTER_SOURCE!$C$2:$C$495,MATCH($I1369,MASTER_SOURCE!$A$2:$A$495,0)),""))</f>
        <v/>
      </c>
      <c r="L1369" s="22">
        <f t="array" ref="L1369">IF($D1369="","",IFERROR(INDEX(MASTER_SOURCE!$D$2:$D$495,MATCH($I1369,MASTER_SOURCE!$A$2:$A$495,0)),""))</f>
        <v/>
      </c>
      <c r="M1369" s="24" t="n"/>
      <c r="N1369" s="24" t="n"/>
      <c r="O1369" s="24" t="n"/>
      <c r="P1369" s="24" t="n"/>
      <c r="Q1369" s="22">
        <f>IF($D1369="","",IF(AND(OR(DANH_MUC!$L$5&lt;&gt;"Có",M1369="Có"),OR(DANH_MUC!$L$6&lt;&gt;"Có",N1369="Có"),OR(DANH_MUC!$L$7&lt;&gt;"Có",O1369="Có"),OR(DANH_MUC!$L$8&lt;&gt;"Có",P1369="Có")),"Có","Không"))</f>
        <v/>
      </c>
      <c r="R1369" s="22">
        <f>IF($D1369="","",IF(COUNTIF($D$2:$D1369,$D1369)&gt;1,"Trùng",""))</f>
        <v/>
      </c>
      <c r="S1369" s="22">
        <f>IF($D1369="","",IF(AND(LEN($D1369)=10,LEFT($D1369,1)="0",ISNUMBER(--$D1369)),"Có","Không"))</f>
        <v/>
      </c>
      <c r="T1369" s="22">
        <f>IF($D1369="","",IF(AND($C1369&lt;&gt;"",$Q1369="Có",$R1369="",$S1369="Có",AND($L1369&lt;&gt;"",OR($L1369&lt;&gt;"Chưa xác định",DANH_MUC!$L$9="Có"))),"Có","Không"))</f>
        <v/>
      </c>
      <c r="U1369" s="22">
        <f>IF(OR($D1369="",$T1369="Có"),"",IF($C1369="","Thiếu họ tên; ","")&amp;IF($S1369&lt;&gt;"Có","SĐT sai định dạng; ","")&amp;IF($R1369="Trùng","Trùng SĐT; ","")&amp;IF($Q1369&lt;&gt;"Có","Thiếu đồng ý bắt buộc; ","")&amp;IF($L1369="","Thiếu/sai Mã REF; ",IF(AND($L1369="Chưa xác định",DANH_MUC!$L$9&lt;&gt;"Có"),"Nguồn chưa xác định; ","")))</f>
        <v/>
      </c>
      <c r="V1369" s="22">
        <f>IF(OR($D1369="",$R1369="Trùng"),"",IF(COUNTIF(ORDERS!$C$2:$C$4995,$D1369)&gt;0,"Có","Không"))</f>
        <v/>
      </c>
      <c r="W1369" s="22">
        <f>IF(OR($D1369="",$R1369="Trùng"),"",COUNTIFS(ORDERS!$C$2:$C$4995,$D1369,ORDERS!$L$2:$L$4995,"Đã chuyển khoản"))</f>
        <v/>
      </c>
      <c r="X1369" s="23">
        <f>IF(OR($D1369="",$R1369="Trùng"),"",SUMIFS(ORDERS!$J$2:$J$4995,ORDERS!$C$2:$C$4995,$D1369,ORDERS!$L$2:$L$4995,"Đã chuyển khoản"))</f>
        <v/>
      </c>
      <c r="Y1369" s="24" t="n"/>
    </row>
    <row r="1370" ht="14.25" customHeight="1" s="40">
      <c r="A1370" s="24" t="n"/>
      <c r="B1370" s="27" t="n"/>
      <c r="C1370" s="24" t="n"/>
      <c r="D1370" s="28" t="n"/>
      <c r="E1370" s="29" t="n"/>
      <c r="F1370" s="24" t="n"/>
      <c r="G1370" s="24" t="n"/>
      <c r="H1370" s="21">
        <f>IF(ISNUMBER($B1370),INT($B1370)-WEEKDAY($B1370,2)+1,"")</f>
        <v/>
      </c>
      <c r="I1370" s="24" t="n"/>
      <c r="J1370" s="22">
        <f t="array" ref="J1370">IF($D1370="","",IF($I1370="","(trống REF)",IFERROR(INDEX(MASTER_SOURCE!$B$2:$B$495,MATCH($I1370,MASTER_SOURCE!$A$2:$A$495,0)),"(REF không có trong MASTER_SOURCE)")))</f>
        <v/>
      </c>
      <c r="K1370" s="22">
        <f t="array" ref="K1370">IF($D1370="","",IFERROR(INDEX(MASTER_SOURCE!$C$2:$C$495,MATCH($I1370,MASTER_SOURCE!$A$2:$A$495,0)),""))</f>
        <v/>
      </c>
      <c r="L1370" s="22">
        <f t="array" ref="L1370">IF($D1370="","",IFERROR(INDEX(MASTER_SOURCE!$D$2:$D$495,MATCH($I1370,MASTER_SOURCE!$A$2:$A$495,0)),""))</f>
        <v/>
      </c>
      <c r="M1370" s="24" t="n"/>
      <c r="N1370" s="24" t="n"/>
      <c r="O1370" s="24" t="n"/>
      <c r="P1370" s="24" t="n"/>
      <c r="Q1370" s="22">
        <f>IF($D1370="","",IF(AND(OR(DANH_MUC!$L$5&lt;&gt;"Có",M1370="Có"),OR(DANH_MUC!$L$6&lt;&gt;"Có",N1370="Có"),OR(DANH_MUC!$L$7&lt;&gt;"Có",O1370="Có"),OR(DANH_MUC!$L$8&lt;&gt;"Có",P1370="Có")),"Có","Không"))</f>
        <v/>
      </c>
      <c r="R1370" s="22">
        <f>IF($D1370="","",IF(COUNTIF($D$2:$D1370,$D1370)&gt;1,"Trùng",""))</f>
        <v/>
      </c>
      <c r="S1370" s="22">
        <f>IF($D1370="","",IF(AND(LEN($D1370)=10,LEFT($D1370,1)="0",ISNUMBER(--$D1370)),"Có","Không"))</f>
        <v/>
      </c>
      <c r="T1370" s="22">
        <f>IF($D1370="","",IF(AND($C1370&lt;&gt;"",$Q1370="Có",$R1370="",$S1370="Có",AND($L1370&lt;&gt;"",OR($L1370&lt;&gt;"Chưa xác định",DANH_MUC!$L$9="Có"))),"Có","Không"))</f>
        <v/>
      </c>
      <c r="U1370" s="22">
        <f>IF(OR($D1370="",$T1370="Có"),"",IF($C1370="","Thiếu họ tên; ","")&amp;IF($S1370&lt;&gt;"Có","SĐT sai định dạng; ","")&amp;IF($R1370="Trùng","Trùng SĐT; ","")&amp;IF($Q1370&lt;&gt;"Có","Thiếu đồng ý bắt buộc; ","")&amp;IF($L1370="","Thiếu/sai Mã REF; ",IF(AND($L1370="Chưa xác định",DANH_MUC!$L$9&lt;&gt;"Có"),"Nguồn chưa xác định; ","")))</f>
        <v/>
      </c>
      <c r="V1370" s="22">
        <f>IF(OR($D1370="",$R1370="Trùng"),"",IF(COUNTIF(ORDERS!$C$2:$C$4995,$D1370)&gt;0,"Có","Không"))</f>
        <v/>
      </c>
      <c r="W1370" s="22">
        <f>IF(OR($D1370="",$R1370="Trùng"),"",COUNTIFS(ORDERS!$C$2:$C$4995,$D1370,ORDERS!$L$2:$L$4995,"Đã chuyển khoản"))</f>
        <v/>
      </c>
      <c r="X1370" s="23">
        <f>IF(OR($D1370="",$R1370="Trùng"),"",SUMIFS(ORDERS!$J$2:$J$4995,ORDERS!$C$2:$C$4995,$D1370,ORDERS!$L$2:$L$4995,"Đã chuyển khoản"))</f>
        <v/>
      </c>
      <c r="Y1370" s="24" t="n"/>
    </row>
    <row r="1371" ht="14.25" customHeight="1" s="40">
      <c r="A1371" s="24" t="n"/>
      <c r="B1371" s="27" t="n"/>
      <c r="C1371" s="24" t="n"/>
      <c r="D1371" s="28" t="n"/>
      <c r="E1371" s="29" t="n"/>
      <c r="F1371" s="24" t="n"/>
      <c r="G1371" s="24" t="n"/>
      <c r="H1371" s="21">
        <f>IF(ISNUMBER($B1371),INT($B1371)-WEEKDAY($B1371,2)+1,"")</f>
        <v/>
      </c>
      <c r="I1371" s="24" t="n"/>
      <c r="J1371" s="22">
        <f t="array" ref="J1371">IF($D1371="","",IF($I1371="","(trống REF)",IFERROR(INDEX(MASTER_SOURCE!$B$2:$B$495,MATCH($I1371,MASTER_SOURCE!$A$2:$A$495,0)),"(REF không có trong MASTER_SOURCE)")))</f>
        <v/>
      </c>
      <c r="K1371" s="22">
        <f t="array" ref="K1371">IF($D1371="","",IFERROR(INDEX(MASTER_SOURCE!$C$2:$C$495,MATCH($I1371,MASTER_SOURCE!$A$2:$A$495,0)),""))</f>
        <v/>
      </c>
      <c r="L1371" s="22">
        <f t="array" ref="L1371">IF($D1371="","",IFERROR(INDEX(MASTER_SOURCE!$D$2:$D$495,MATCH($I1371,MASTER_SOURCE!$A$2:$A$495,0)),""))</f>
        <v/>
      </c>
      <c r="M1371" s="24" t="n"/>
      <c r="N1371" s="24" t="n"/>
      <c r="O1371" s="24" t="n"/>
      <c r="P1371" s="24" t="n"/>
      <c r="Q1371" s="22">
        <f>IF($D1371="","",IF(AND(OR(DANH_MUC!$L$5&lt;&gt;"Có",M1371="Có"),OR(DANH_MUC!$L$6&lt;&gt;"Có",N1371="Có"),OR(DANH_MUC!$L$7&lt;&gt;"Có",O1371="Có"),OR(DANH_MUC!$L$8&lt;&gt;"Có",P1371="Có")),"Có","Không"))</f>
        <v/>
      </c>
      <c r="R1371" s="22">
        <f>IF($D1371="","",IF(COUNTIF($D$2:$D1371,$D1371)&gt;1,"Trùng",""))</f>
        <v/>
      </c>
      <c r="S1371" s="22">
        <f>IF($D1371="","",IF(AND(LEN($D1371)=10,LEFT($D1371,1)="0",ISNUMBER(--$D1371)),"Có","Không"))</f>
        <v/>
      </c>
      <c r="T1371" s="22">
        <f>IF($D1371="","",IF(AND($C1371&lt;&gt;"",$Q1371="Có",$R1371="",$S1371="Có",AND($L1371&lt;&gt;"",OR($L1371&lt;&gt;"Chưa xác định",DANH_MUC!$L$9="Có"))),"Có","Không"))</f>
        <v/>
      </c>
      <c r="U1371" s="22">
        <f>IF(OR($D1371="",$T1371="Có"),"",IF($C1371="","Thiếu họ tên; ","")&amp;IF($S1371&lt;&gt;"Có","SĐT sai định dạng; ","")&amp;IF($R1371="Trùng","Trùng SĐT; ","")&amp;IF($Q1371&lt;&gt;"Có","Thiếu đồng ý bắt buộc; ","")&amp;IF($L1371="","Thiếu/sai Mã REF; ",IF(AND($L1371="Chưa xác định",DANH_MUC!$L$9&lt;&gt;"Có"),"Nguồn chưa xác định; ","")))</f>
        <v/>
      </c>
      <c r="V1371" s="22">
        <f>IF(OR($D1371="",$R1371="Trùng"),"",IF(COUNTIF(ORDERS!$C$2:$C$4995,$D1371)&gt;0,"Có","Không"))</f>
        <v/>
      </c>
      <c r="W1371" s="22">
        <f>IF(OR($D1371="",$R1371="Trùng"),"",COUNTIFS(ORDERS!$C$2:$C$4995,$D1371,ORDERS!$L$2:$L$4995,"Đã chuyển khoản"))</f>
        <v/>
      </c>
      <c r="X1371" s="23">
        <f>IF(OR($D1371="",$R1371="Trùng"),"",SUMIFS(ORDERS!$J$2:$J$4995,ORDERS!$C$2:$C$4995,$D1371,ORDERS!$L$2:$L$4995,"Đã chuyển khoản"))</f>
        <v/>
      </c>
      <c r="Y1371" s="24" t="n"/>
    </row>
    <row r="1372" ht="14.25" customHeight="1" s="40">
      <c r="A1372" s="24" t="n"/>
      <c r="B1372" s="27" t="n"/>
      <c r="C1372" s="24" t="n"/>
      <c r="D1372" s="28" t="n"/>
      <c r="E1372" s="29" t="n"/>
      <c r="F1372" s="24" t="n"/>
      <c r="G1372" s="24" t="n"/>
      <c r="H1372" s="21">
        <f>IF(ISNUMBER($B1372),INT($B1372)-WEEKDAY($B1372,2)+1,"")</f>
        <v/>
      </c>
      <c r="I1372" s="24" t="n"/>
      <c r="J1372" s="22">
        <f t="array" ref="J1372">IF($D1372="","",IF($I1372="","(trống REF)",IFERROR(INDEX(MASTER_SOURCE!$B$2:$B$495,MATCH($I1372,MASTER_SOURCE!$A$2:$A$495,0)),"(REF không có trong MASTER_SOURCE)")))</f>
        <v/>
      </c>
      <c r="K1372" s="22">
        <f t="array" ref="K1372">IF($D1372="","",IFERROR(INDEX(MASTER_SOURCE!$C$2:$C$495,MATCH($I1372,MASTER_SOURCE!$A$2:$A$495,0)),""))</f>
        <v/>
      </c>
      <c r="L1372" s="22">
        <f t="array" ref="L1372">IF($D1372="","",IFERROR(INDEX(MASTER_SOURCE!$D$2:$D$495,MATCH($I1372,MASTER_SOURCE!$A$2:$A$495,0)),""))</f>
        <v/>
      </c>
      <c r="M1372" s="24" t="n"/>
      <c r="N1372" s="24" t="n"/>
      <c r="O1372" s="24" t="n"/>
      <c r="P1372" s="24" t="n"/>
      <c r="Q1372" s="22">
        <f>IF($D1372="","",IF(AND(OR(DANH_MUC!$L$5&lt;&gt;"Có",M1372="Có"),OR(DANH_MUC!$L$6&lt;&gt;"Có",N1372="Có"),OR(DANH_MUC!$L$7&lt;&gt;"Có",O1372="Có"),OR(DANH_MUC!$L$8&lt;&gt;"Có",P1372="Có")),"Có","Không"))</f>
        <v/>
      </c>
      <c r="R1372" s="22">
        <f>IF($D1372="","",IF(COUNTIF($D$2:$D1372,$D1372)&gt;1,"Trùng",""))</f>
        <v/>
      </c>
      <c r="S1372" s="22">
        <f>IF($D1372="","",IF(AND(LEN($D1372)=10,LEFT($D1372,1)="0",ISNUMBER(--$D1372)),"Có","Không"))</f>
        <v/>
      </c>
      <c r="T1372" s="22">
        <f>IF($D1372="","",IF(AND($C1372&lt;&gt;"",$Q1372="Có",$R1372="",$S1372="Có",AND($L1372&lt;&gt;"",OR($L1372&lt;&gt;"Chưa xác định",DANH_MUC!$L$9="Có"))),"Có","Không"))</f>
        <v/>
      </c>
      <c r="U1372" s="22">
        <f>IF(OR($D1372="",$T1372="Có"),"",IF($C1372="","Thiếu họ tên; ","")&amp;IF($S1372&lt;&gt;"Có","SĐT sai định dạng; ","")&amp;IF($R1372="Trùng","Trùng SĐT; ","")&amp;IF($Q1372&lt;&gt;"Có","Thiếu đồng ý bắt buộc; ","")&amp;IF($L1372="","Thiếu/sai Mã REF; ",IF(AND($L1372="Chưa xác định",DANH_MUC!$L$9&lt;&gt;"Có"),"Nguồn chưa xác định; ","")))</f>
        <v/>
      </c>
      <c r="V1372" s="22">
        <f>IF(OR($D1372="",$R1372="Trùng"),"",IF(COUNTIF(ORDERS!$C$2:$C$4995,$D1372)&gt;0,"Có","Không"))</f>
        <v/>
      </c>
      <c r="W1372" s="22">
        <f>IF(OR($D1372="",$R1372="Trùng"),"",COUNTIFS(ORDERS!$C$2:$C$4995,$D1372,ORDERS!$L$2:$L$4995,"Đã chuyển khoản"))</f>
        <v/>
      </c>
      <c r="X1372" s="23">
        <f>IF(OR($D1372="",$R1372="Trùng"),"",SUMIFS(ORDERS!$J$2:$J$4995,ORDERS!$C$2:$C$4995,$D1372,ORDERS!$L$2:$L$4995,"Đã chuyển khoản"))</f>
        <v/>
      </c>
      <c r="Y1372" s="24" t="n"/>
    </row>
    <row r="1373" ht="14.25" customHeight="1" s="40">
      <c r="A1373" s="24" t="n"/>
      <c r="B1373" s="27" t="n"/>
      <c r="C1373" s="24" t="n"/>
      <c r="D1373" s="28" t="n"/>
      <c r="E1373" s="29" t="n"/>
      <c r="F1373" s="24" t="n"/>
      <c r="G1373" s="24" t="n"/>
      <c r="H1373" s="21">
        <f>IF(ISNUMBER($B1373),INT($B1373)-WEEKDAY($B1373,2)+1,"")</f>
        <v/>
      </c>
      <c r="I1373" s="24" t="n"/>
      <c r="J1373" s="22">
        <f t="array" ref="J1373">IF($D1373="","",IF($I1373="","(trống REF)",IFERROR(INDEX(MASTER_SOURCE!$B$2:$B$495,MATCH($I1373,MASTER_SOURCE!$A$2:$A$495,0)),"(REF không có trong MASTER_SOURCE)")))</f>
        <v/>
      </c>
      <c r="K1373" s="22">
        <f t="array" ref="K1373">IF($D1373="","",IFERROR(INDEX(MASTER_SOURCE!$C$2:$C$495,MATCH($I1373,MASTER_SOURCE!$A$2:$A$495,0)),""))</f>
        <v/>
      </c>
      <c r="L1373" s="22">
        <f t="array" ref="L1373">IF($D1373="","",IFERROR(INDEX(MASTER_SOURCE!$D$2:$D$495,MATCH($I1373,MASTER_SOURCE!$A$2:$A$495,0)),""))</f>
        <v/>
      </c>
      <c r="M1373" s="24" t="n"/>
      <c r="N1373" s="24" t="n"/>
      <c r="O1373" s="24" t="n"/>
      <c r="P1373" s="24" t="n"/>
      <c r="Q1373" s="22">
        <f>IF($D1373="","",IF(AND(OR(DANH_MUC!$L$5&lt;&gt;"Có",M1373="Có"),OR(DANH_MUC!$L$6&lt;&gt;"Có",N1373="Có"),OR(DANH_MUC!$L$7&lt;&gt;"Có",O1373="Có"),OR(DANH_MUC!$L$8&lt;&gt;"Có",P1373="Có")),"Có","Không"))</f>
        <v/>
      </c>
      <c r="R1373" s="22">
        <f>IF($D1373="","",IF(COUNTIF($D$2:$D1373,$D1373)&gt;1,"Trùng",""))</f>
        <v/>
      </c>
      <c r="S1373" s="22">
        <f>IF($D1373="","",IF(AND(LEN($D1373)=10,LEFT($D1373,1)="0",ISNUMBER(--$D1373)),"Có","Không"))</f>
        <v/>
      </c>
      <c r="T1373" s="22">
        <f>IF($D1373="","",IF(AND($C1373&lt;&gt;"",$Q1373="Có",$R1373="",$S1373="Có",AND($L1373&lt;&gt;"",OR($L1373&lt;&gt;"Chưa xác định",DANH_MUC!$L$9="Có"))),"Có","Không"))</f>
        <v/>
      </c>
      <c r="U1373" s="22">
        <f>IF(OR($D1373="",$T1373="Có"),"",IF($C1373="","Thiếu họ tên; ","")&amp;IF($S1373&lt;&gt;"Có","SĐT sai định dạng; ","")&amp;IF($R1373="Trùng","Trùng SĐT; ","")&amp;IF($Q1373&lt;&gt;"Có","Thiếu đồng ý bắt buộc; ","")&amp;IF($L1373="","Thiếu/sai Mã REF; ",IF(AND($L1373="Chưa xác định",DANH_MUC!$L$9&lt;&gt;"Có"),"Nguồn chưa xác định; ","")))</f>
        <v/>
      </c>
      <c r="V1373" s="22">
        <f>IF(OR($D1373="",$R1373="Trùng"),"",IF(COUNTIF(ORDERS!$C$2:$C$4995,$D1373)&gt;0,"Có","Không"))</f>
        <v/>
      </c>
      <c r="W1373" s="22">
        <f>IF(OR($D1373="",$R1373="Trùng"),"",COUNTIFS(ORDERS!$C$2:$C$4995,$D1373,ORDERS!$L$2:$L$4995,"Đã chuyển khoản"))</f>
        <v/>
      </c>
      <c r="X1373" s="23">
        <f>IF(OR($D1373="",$R1373="Trùng"),"",SUMIFS(ORDERS!$J$2:$J$4995,ORDERS!$C$2:$C$4995,$D1373,ORDERS!$L$2:$L$4995,"Đã chuyển khoản"))</f>
        <v/>
      </c>
      <c r="Y1373" s="24" t="n"/>
    </row>
    <row r="1374" ht="14.25" customHeight="1" s="40">
      <c r="A1374" s="24" t="n"/>
      <c r="B1374" s="27" t="n"/>
      <c r="C1374" s="24" t="n"/>
      <c r="D1374" s="28" t="n"/>
      <c r="E1374" s="29" t="n"/>
      <c r="F1374" s="24" t="n"/>
      <c r="G1374" s="24" t="n"/>
      <c r="H1374" s="21">
        <f>IF(ISNUMBER($B1374),INT($B1374)-WEEKDAY($B1374,2)+1,"")</f>
        <v/>
      </c>
      <c r="I1374" s="24" t="n"/>
      <c r="J1374" s="22">
        <f t="array" ref="J1374">IF($D1374="","",IF($I1374="","(trống REF)",IFERROR(INDEX(MASTER_SOURCE!$B$2:$B$495,MATCH($I1374,MASTER_SOURCE!$A$2:$A$495,0)),"(REF không có trong MASTER_SOURCE)")))</f>
        <v/>
      </c>
      <c r="K1374" s="22">
        <f t="array" ref="K1374">IF($D1374="","",IFERROR(INDEX(MASTER_SOURCE!$C$2:$C$495,MATCH($I1374,MASTER_SOURCE!$A$2:$A$495,0)),""))</f>
        <v/>
      </c>
      <c r="L1374" s="22">
        <f t="array" ref="L1374">IF($D1374="","",IFERROR(INDEX(MASTER_SOURCE!$D$2:$D$495,MATCH($I1374,MASTER_SOURCE!$A$2:$A$495,0)),""))</f>
        <v/>
      </c>
      <c r="M1374" s="24" t="n"/>
      <c r="N1374" s="24" t="n"/>
      <c r="O1374" s="24" t="n"/>
      <c r="P1374" s="24" t="n"/>
      <c r="Q1374" s="22">
        <f>IF($D1374="","",IF(AND(OR(DANH_MUC!$L$5&lt;&gt;"Có",M1374="Có"),OR(DANH_MUC!$L$6&lt;&gt;"Có",N1374="Có"),OR(DANH_MUC!$L$7&lt;&gt;"Có",O1374="Có"),OR(DANH_MUC!$L$8&lt;&gt;"Có",P1374="Có")),"Có","Không"))</f>
        <v/>
      </c>
      <c r="R1374" s="22">
        <f>IF($D1374="","",IF(COUNTIF($D$2:$D1374,$D1374)&gt;1,"Trùng",""))</f>
        <v/>
      </c>
      <c r="S1374" s="22">
        <f>IF($D1374="","",IF(AND(LEN($D1374)=10,LEFT($D1374,1)="0",ISNUMBER(--$D1374)),"Có","Không"))</f>
        <v/>
      </c>
      <c r="T1374" s="22">
        <f>IF($D1374="","",IF(AND($C1374&lt;&gt;"",$Q1374="Có",$R1374="",$S1374="Có",AND($L1374&lt;&gt;"",OR($L1374&lt;&gt;"Chưa xác định",DANH_MUC!$L$9="Có"))),"Có","Không"))</f>
        <v/>
      </c>
      <c r="U1374" s="22">
        <f>IF(OR($D1374="",$T1374="Có"),"",IF($C1374="","Thiếu họ tên; ","")&amp;IF($S1374&lt;&gt;"Có","SĐT sai định dạng; ","")&amp;IF($R1374="Trùng","Trùng SĐT; ","")&amp;IF($Q1374&lt;&gt;"Có","Thiếu đồng ý bắt buộc; ","")&amp;IF($L1374="","Thiếu/sai Mã REF; ",IF(AND($L1374="Chưa xác định",DANH_MUC!$L$9&lt;&gt;"Có"),"Nguồn chưa xác định; ","")))</f>
        <v/>
      </c>
      <c r="V1374" s="22">
        <f>IF(OR($D1374="",$R1374="Trùng"),"",IF(COUNTIF(ORDERS!$C$2:$C$4995,$D1374)&gt;0,"Có","Không"))</f>
        <v/>
      </c>
      <c r="W1374" s="22">
        <f>IF(OR($D1374="",$R1374="Trùng"),"",COUNTIFS(ORDERS!$C$2:$C$4995,$D1374,ORDERS!$L$2:$L$4995,"Đã chuyển khoản"))</f>
        <v/>
      </c>
      <c r="X1374" s="23">
        <f>IF(OR($D1374="",$R1374="Trùng"),"",SUMIFS(ORDERS!$J$2:$J$4995,ORDERS!$C$2:$C$4995,$D1374,ORDERS!$L$2:$L$4995,"Đã chuyển khoản"))</f>
        <v/>
      </c>
      <c r="Y1374" s="24" t="n"/>
    </row>
    <row r="1375" ht="14.25" customHeight="1" s="40">
      <c r="A1375" s="24" t="n"/>
      <c r="B1375" s="27" t="n"/>
      <c r="C1375" s="24" t="n"/>
      <c r="D1375" s="28" t="n"/>
      <c r="E1375" s="29" t="n"/>
      <c r="F1375" s="24" t="n"/>
      <c r="G1375" s="24" t="n"/>
      <c r="H1375" s="21">
        <f>IF(ISNUMBER($B1375),INT($B1375)-WEEKDAY($B1375,2)+1,"")</f>
        <v/>
      </c>
      <c r="I1375" s="24" t="n"/>
      <c r="J1375" s="22">
        <f t="array" ref="J1375">IF($D1375="","",IF($I1375="","(trống REF)",IFERROR(INDEX(MASTER_SOURCE!$B$2:$B$495,MATCH($I1375,MASTER_SOURCE!$A$2:$A$495,0)),"(REF không có trong MASTER_SOURCE)")))</f>
        <v/>
      </c>
      <c r="K1375" s="22">
        <f t="array" ref="K1375">IF($D1375="","",IFERROR(INDEX(MASTER_SOURCE!$C$2:$C$495,MATCH($I1375,MASTER_SOURCE!$A$2:$A$495,0)),""))</f>
        <v/>
      </c>
      <c r="L1375" s="22">
        <f t="array" ref="L1375">IF($D1375="","",IFERROR(INDEX(MASTER_SOURCE!$D$2:$D$495,MATCH($I1375,MASTER_SOURCE!$A$2:$A$495,0)),""))</f>
        <v/>
      </c>
      <c r="M1375" s="24" t="n"/>
      <c r="N1375" s="24" t="n"/>
      <c r="O1375" s="24" t="n"/>
      <c r="P1375" s="24" t="n"/>
      <c r="Q1375" s="22">
        <f>IF($D1375="","",IF(AND(OR(DANH_MUC!$L$5&lt;&gt;"Có",M1375="Có"),OR(DANH_MUC!$L$6&lt;&gt;"Có",N1375="Có"),OR(DANH_MUC!$L$7&lt;&gt;"Có",O1375="Có"),OR(DANH_MUC!$L$8&lt;&gt;"Có",P1375="Có")),"Có","Không"))</f>
        <v/>
      </c>
      <c r="R1375" s="22">
        <f>IF($D1375="","",IF(COUNTIF($D$2:$D1375,$D1375)&gt;1,"Trùng",""))</f>
        <v/>
      </c>
      <c r="S1375" s="22">
        <f>IF($D1375="","",IF(AND(LEN($D1375)=10,LEFT($D1375,1)="0",ISNUMBER(--$D1375)),"Có","Không"))</f>
        <v/>
      </c>
      <c r="T1375" s="22">
        <f>IF($D1375="","",IF(AND($C1375&lt;&gt;"",$Q1375="Có",$R1375="",$S1375="Có",AND($L1375&lt;&gt;"",OR($L1375&lt;&gt;"Chưa xác định",DANH_MUC!$L$9="Có"))),"Có","Không"))</f>
        <v/>
      </c>
      <c r="U1375" s="22">
        <f>IF(OR($D1375="",$T1375="Có"),"",IF($C1375="","Thiếu họ tên; ","")&amp;IF($S1375&lt;&gt;"Có","SĐT sai định dạng; ","")&amp;IF($R1375="Trùng","Trùng SĐT; ","")&amp;IF($Q1375&lt;&gt;"Có","Thiếu đồng ý bắt buộc; ","")&amp;IF($L1375="","Thiếu/sai Mã REF; ",IF(AND($L1375="Chưa xác định",DANH_MUC!$L$9&lt;&gt;"Có"),"Nguồn chưa xác định; ","")))</f>
        <v/>
      </c>
      <c r="V1375" s="22">
        <f>IF(OR($D1375="",$R1375="Trùng"),"",IF(COUNTIF(ORDERS!$C$2:$C$4995,$D1375)&gt;0,"Có","Không"))</f>
        <v/>
      </c>
      <c r="W1375" s="22">
        <f>IF(OR($D1375="",$R1375="Trùng"),"",COUNTIFS(ORDERS!$C$2:$C$4995,$D1375,ORDERS!$L$2:$L$4995,"Đã chuyển khoản"))</f>
        <v/>
      </c>
      <c r="X1375" s="23">
        <f>IF(OR($D1375="",$R1375="Trùng"),"",SUMIFS(ORDERS!$J$2:$J$4995,ORDERS!$C$2:$C$4995,$D1375,ORDERS!$L$2:$L$4995,"Đã chuyển khoản"))</f>
        <v/>
      </c>
      <c r="Y1375" s="24" t="n"/>
    </row>
    <row r="1376" ht="14.25" customHeight="1" s="40">
      <c r="A1376" s="24" t="n"/>
      <c r="B1376" s="27" t="n"/>
      <c r="C1376" s="24" t="n"/>
      <c r="D1376" s="28" t="n"/>
      <c r="E1376" s="29" t="n"/>
      <c r="F1376" s="24" t="n"/>
      <c r="G1376" s="24" t="n"/>
      <c r="H1376" s="21">
        <f>IF(ISNUMBER($B1376),INT($B1376)-WEEKDAY($B1376,2)+1,"")</f>
        <v/>
      </c>
      <c r="I1376" s="24" t="n"/>
      <c r="J1376" s="22">
        <f t="array" ref="J1376">IF($D1376="","",IF($I1376="","(trống REF)",IFERROR(INDEX(MASTER_SOURCE!$B$2:$B$495,MATCH($I1376,MASTER_SOURCE!$A$2:$A$495,0)),"(REF không có trong MASTER_SOURCE)")))</f>
        <v/>
      </c>
      <c r="K1376" s="22">
        <f t="array" ref="K1376">IF($D1376="","",IFERROR(INDEX(MASTER_SOURCE!$C$2:$C$495,MATCH($I1376,MASTER_SOURCE!$A$2:$A$495,0)),""))</f>
        <v/>
      </c>
      <c r="L1376" s="22">
        <f t="array" ref="L1376">IF($D1376="","",IFERROR(INDEX(MASTER_SOURCE!$D$2:$D$495,MATCH($I1376,MASTER_SOURCE!$A$2:$A$495,0)),""))</f>
        <v/>
      </c>
      <c r="M1376" s="24" t="n"/>
      <c r="N1376" s="24" t="n"/>
      <c r="O1376" s="24" t="n"/>
      <c r="P1376" s="24" t="n"/>
      <c r="Q1376" s="22">
        <f>IF($D1376="","",IF(AND(OR(DANH_MUC!$L$5&lt;&gt;"Có",M1376="Có"),OR(DANH_MUC!$L$6&lt;&gt;"Có",N1376="Có"),OR(DANH_MUC!$L$7&lt;&gt;"Có",O1376="Có"),OR(DANH_MUC!$L$8&lt;&gt;"Có",P1376="Có")),"Có","Không"))</f>
        <v/>
      </c>
      <c r="R1376" s="22">
        <f>IF($D1376="","",IF(COUNTIF($D$2:$D1376,$D1376)&gt;1,"Trùng",""))</f>
        <v/>
      </c>
      <c r="S1376" s="22">
        <f>IF($D1376="","",IF(AND(LEN($D1376)=10,LEFT($D1376,1)="0",ISNUMBER(--$D1376)),"Có","Không"))</f>
        <v/>
      </c>
      <c r="T1376" s="22">
        <f>IF($D1376="","",IF(AND($C1376&lt;&gt;"",$Q1376="Có",$R1376="",$S1376="Có",AND($L1376&lt;&gt;"",OR($L1376&lt;&gt;"Chưa xác định",DANH_MUC!$L$9="Có"))),"Có","Không"))</f>
        <v/>
      </c>
      <c r="U1376" s="22">
        <f>IF(OR($D1376="",$T1376="Có"),"",IF($C1376="","Thiếu họ tên; ","")&amp;IF($S1376&lt;&gt;"Có","SĐT sai định dạng; ","")&amp;IF($R1376="Trùng","Trùng SĐT; ","")&amp;IF($Q1376&lt;&gt;"Có","Thiếu đồng ý bắt buộc; ","")&amp;IF($L1376="","Thiếu/sai Mã REF; ",IF(AND($L1376="Chưa xác định",DANH_MUC!$L$9&lt;&gt;"Có"),"Nguồn chưa xác định; ","")))</f>
        <v/>
      </c>
      <c r="V1376" s="22">
        <f>IF(OR($D1376="",$R1376="Trùng"),"",IF(COUNTIF(ORDERS!$C$2:$C$4995,$D1376)&gt;0,"Có","Không"))</f>
        <v/>
      </c>
      <c r="W1376" s="22">
        <f>IF(OR($D1376="",$R1376="Trùng"),"",COUNTIFS(ORDERS!$C$2:$C$4995,$D1376,ORDERS!$L$2:$L$4995,"Đã chuyển khoản"))</f>
        <v/>
      </c>
      <c r="X1376" s="23">
        <f>IF(OR($D1376="",$R1376="Trùng"),"",SUMIFS(ORDERS!$J$2:$J$4995,ORDERS!$C$2:$C$4995,$D1376,ORDERS!$L$2:$L$4995,"Đã chuyển khoản"))</f>
        <v/>
      </c>
      <c r="Y1376" s="24" t="n"/>
    </row>
    <row r="1377" ht="14.25" customHeight="1" s="40">
      <c r="A1377" s="24" t="n"/>
      <c r="B1377" s="27" t="n"/>
      <c r="C1377" s="24" t="n"/>
      <c r="D1377" s="28" t="n"/>
      <c r="E1377" s="29" t="n"/>
      <c r="F1377" s="24" t="n"/>
      <c r="G1377" s="24" t="n"/>
      <c r="H1377" s="21">
        <f>IF(ISNUMBER($B1377),INT($B1377)-WEEKDAY($B1377,2)+1,"")</f>
        <v/>
      </c>
      <c r="I1377" s="24" t="n"/>
      <c r="J1377" s="22">
        <f t="array" ref="J1377">IF($D1377="","",IF($I1377="","(trống REF)",IFERROR(INDEX(MASTER_SOURCE!$B$2:$B$495,MATCH($I1377,MASTER_SOURCE!$A$2:$A$495,0)),"(REF không có trong MASTER_SOURCE)")))</f>
        <v/>
      </c>
      <c r="K1377" s="22">
        <f t="array" ref="K1377">IF($D1377="","",IFERROR(INDEX(MASTER_SOURCE!$C$2:$C$495,MATCH($I1377,MASTER_SOURCE!$A$2:$A$495,0)),""))</f>
        <v/>
      </c>
      <c r="L1377" s="22">
        <f t="array" ref="L1377">IF($D1377="","",IFERROR(INDEX(MASTER_SOURCE!$D$2:$D$495,MATCH($I1377,MASTER_SOURCE!$A$2:$A$495,0)),""))</f>
        <v/>
      </c>
      <c r="M1377" s="24" t="n"/>
      <c r="N1377" s="24" t="n"/>
      <c r="O1377" s="24" t="n"/>
      <c r="P1377" s="24" t="n"/>
      <c r="Q1377" s="22">
        <f>IF($D1377="","",IF(AND(OR(DANH_MUC!$L$5&lt;&gt;"Có",M1377="Có"),OR(DANH_MUC!$L$6&lt;&gt;"Có",N1377="Có"),OR(DANH_MUC!$L$7&lt;&gt;"Có",O1377="Có"),OR(DANH_MUC!$L$8&lt;&gt;"Có",P1377="Có")),"Có","Không"))</f>
        <v/>
      </c>
      <c r="R1377" s="22">
        <f>IF($D1377="","",IF(COUNTIF($D$2:$D1377,$D1377)&gt;1,"Trùng",""))</f>
        <v/>
      </c>
      <c r="S1377" s="22">
        <f>IF($D1377="","",IF(AND(LEN($D1377)=10,LEFT($D1377,1)="0",ISNUMBER(--$D1377)),"Có","Không"))</f>
        <v/>
      </c>
      <c r="T1377" s="22">
        <f>IF($D1377="","",IF(AND($C1377&lt;&gt;"",$Q1377="Có",$R1377="",$S1377="Có",AND($L1377&lt;&gt;"",OR($L1377&lt;&gt;"Chưa xác định",DANH_MUC!$L$9="Có"))),"Có","Không"))</f>
        <v/>
      </c>
      <c r="U1377" s="22">
        <f>IF(OR($D1377="",$T1377="Có"),"",IF($C1377="","Thiếu họ tên; ","")&amp;IF($S1377&lt;&gt;"Có","SĐT sai định dạng; ","")&amp;IF($R1377="Trùng","Trùng SĐT; ","")&amp;IF($Q1377&lt;&gt;"Có","Thiếu đồng ý bắt buộc; ","")&amp;IF($L1377="","Thiếu/sai Mã REF; ",IF(AND($L1377="Chưa xác định",DANH_MUC!$L$9&lt;&gt;"Có"),"Nguồn chưa xác định; ","")))</f>
        <v/>
      </c>
      <c r="V1377" s="22">
        <f>IF(OR($D1377="",$R1377="Trùng"),"",IF(COUNTIF(ORDERS!$C$2:$C$4995,$D1377)&gt;0,"Có","Không"))</f>
        <v/>
      </c>
      <c r="W1377" s="22">
        <f>IF(OR($D1377="",$R1377="Trùng"),"",COUNTIFS(ORDERS!$C$2:$C$4995,$D1377,ORDERS!$L$2:$L$4995,"Đã chuyển khoản"))</f>
        <v/>
      </c>
      <c r="X1377" s="23">
        <f>IF(OR($D1377="",$R1377="Trùng"),"",SUMIFS(ORDERS!$J$2:$J$4995,ORDERS!$C$2:$C$4995,$D1377,ORDERS!$L$2:$L$4995,"Đã chuyển khoản"))</f>
        <v/>
      </c>
      <c r="Y1377" s="24" t="n"/>
    </row>
    <row r="1378" ht="14.25" customHeight="1" s="40">
      <c r="A1378" s="24" t="n"/>
      <c r="B1378" s="27" t="n"/>
      <c r="C1378" s="24" t="n"/>
      <c r="D1378" s="28" t="n"/>
      <c r="E1378" s="29" t="n"/>
      <c r="F1378" s="24" t="n"/>
      <c r="G1378" s="24" t="n"/>
      <c r="H1378" s="21">
        <f>IF(ISNUMBER($B1378),INT($B1378)-WEEKDAY($B1378,2)+1,"")</f>
        <v/>
      </c>
      <c r="I1378" s="24" t="n"/>
      <c r="J1378" s="22">
        <f t="array" ref="J1378">IF($D1378="","",IF($I1378="","(trống REF)",IFERROR(INDEX(MASTER_SOURCE!$B$2:$B$495,MATCH($I1378,MASTER_SOURCE!$A$2:$A$495,0)),"(REF không có trong MASTER_SOURCE)")))</f>
        <v/>
      </c>
      <c r="K1378" s="22">
        <f t="array" ref="K1378">IF($D1378="","",IFERROR(INDEX(MASTER_SOURCE!$C$2:$C$495,MATCH($I1378,MASTER_SOURCE!$A$2:$A$495,0)),""))</f>
        <v/>
      </c>
      <c r="L1378" s="22">
        <f t="array" ref="L1378">IF($D1378="","",IFERROR(INDEX(MASTER_SOURCE!$D$2:$D$495,MATCH($I1378,MASTER_SOURCE!$A$2:$A$495,0)),""))</f>
        <v/>
      </c>
      <c r="M1378" s="24" t="n"/>
      <c r="N1378" s="24" t="n"/>
      <c r="O1378" s="24" t="n"/>
      <c r="P1378" s="24" t="n"/>
      <c r="Q1378" s="22">
        <f>IF($D1378="","",IF(AND(OR(DANH_MUC!$L$5&lt;&gt;"Có",M1378="Có"),OR(DANH_MUC!$L$6&lt;&gt;"Có",N1378="Có"),OR(DANH_MUC!$L$7&lt;&gt;"Có",O1378="Có"),OR(DANH_MUC!$L$8&lt;&gt;"Có",P1378="Có")),"Có","Không"))</f>
        <v/>
      </c>
      <c r="R1378" s="22">
        <f>IF($D1378="","",IF(COUNTIF($D$2:$D1378,$D1378)&gt;1,"Trùng",""))</f>
        <v/>
      </c>
      <c r="S1378" s="22">
        <f>IF($D1378="","",IF(AND(LEN($D1378)=10,LEFT($D1378,1)="0",ISNUMBER(--$D1378)),"Có","Không"))</f>
        <v/>
      </c>
      <c r="T1378" s="22">
        <f>IF($D1378="","",IF(AND($C1378&lt;&gt;"",$Q1378="Có",$R1378="",$S1378="Có",AND($L1378&lt;&gt;"",OR($L1378&lt;&gt;"Chưa xác định",DANH_MUC!$L$9="Có"))),"Có","Không"))</f>
        <v/>
      </c>
      <c r="U1378" s="22">
        <f>IF(OR($D1378="",$T1378="Có"),"",IF($C1378="","Thiếu họ tên; ","")&amp;IF($S1378&lt;&gt;"Có","SĐT sai định dạng; ","")&amp;IF($R1378="Trùng","Trùng SĐT; ","")&amp;IF($Q1378&lt;&gt;"Có","Thiếu đồng ý bắt buộc; ","")&amp;IF($L1378="","Thiếu/sai Mã REF; ",IF(AND($L1378="Chưa xác định",DANH_MUC!$L$9&lt;&gt;"Có"),"Nguồn chưa xác định; ","")))</f>
        <v/>
      </c>
      <c r="V1378" s="22">
        <f>IF(OR($D1378="",$R1378="Trùng"),"",IF(COUNTIF(ORDERS!$C$2:$C$4995,$D1378)&gt;0,"Có","Không"))</f>
        <v/>
      </c>
      <c r="W1378" s="22">
        <f>IF(OR($D1378="",$R1378="Trùng"),"",COUNTIFS(ORDERS!$C$2:$C$4995,$D1378,ORDERS!$L$2:$L$4995,"Đã chuyển khoản"))</f>
        <v/>
      </c>
      <c r="X1378" s="23">
        <f>IF(OR($D1378="",$R1378="Trùng"),"",SUMIFS(ORDERS!$J$2:$J$4995,ORDERS!$C$2:$C$4995,$D1378,ORDERS!$L$2:$L$4995,"Đã chuyển khoản"))</f>
        <v/>
      </c>
      <c r="Y1378" s="24" t="n"/>
    </row>
    <row r="1379" ht="14.25" customHeight="1" s="40">
      <c r="A1379" s="24" t="n"/>
      <c r="B1379" s="27" t="n"/>
      <c r="C1379" s="24" t="n"/>
      <c r="D1379" s="28" t="n"/>
      <c r="E1379" s="29" t="n"/>
      <c r="F1379" s="24" t="n"/>
      <c r="G1379" s="24" t="n"/>
      <c r="H1379" s="21">
        <f>IF(ISNUMBER($B1379),INT($B1379)-WEEKDAY($B1379,2)+1,"")</f>
        <v/>
      </c>
      <c r="I1379" s="24" t="n"/>
      <c r="J1379" s="22">
        <f t="array" ref="J1379">IF($D1379="","",IF($I1379="","(trống REF)",IFERROR(INDEX(MASTER_SOURCE!$B$2:$B$495,MATCH($I1379,MASTER_SOURCE!$A$2:$A$495,0)),"(REF không có trong MASTER_SOURCE)")))</f>
        <v/>
      </c>
      <c r="K1379" s="22">
        <f t="array" ref="K1379">IF($D1379="","",IFERROR(INDEX(MASTER_SOURCE!$C$2:$C$495,MATCH($I1379,MASTER_SOURCE!$A$2:$A$495,0)),""))</f>
        <v/>
      </c>
      <c r="L1379" s="22">
        <f t="array" ref="L1379">IF($D1379="","",IFERROR(INDEX(MASTER_SOURCE!$D$2:$D$495,MATCH($I1379,MASTER_SOURCE!$A$2:$A$495,0)),""))</f>
        <v/>
      </c>
      <c r="M1379" s="24" t="n"/>
      <c r="N1379" s="24" t="n"/>
      <c r="O1379" s="24" t="n"/>
      <c r="P1379" s="24" t="n"/>
      <c r="Q1379" s="22">
        <f>IF($D1379="","",IF(AND(OR(DANH_MUC!$L$5&lt;&gt;"Có",M1379="Có"),OR(DANH_MUC!$L$6&lt;&gt;"Có",N1379="Có"),OR(DANH_MUC!$L$7&lt;&gt;"Có",O1379="Có"),OR(DANH_MUC!$L$8&lt;&gt;"Có",P1379="Có")),"Có","Không"))</f>
        <v/>
      </c>
      <c r="R1379" s="22">
        <f>IF($D1379="","",IF(COUNTIF($D$2:$D1379,$D1379)&gt;1,"Trùng",""))</f>
        <v/>
      </c>
      <c r="S1379" s="22">
        <f>IF($D1379="","",IF(AND(LEN($D1379)=10,LEFT($D1379,1)="0",ISNUMBER(--$D1379)),"Có","Không"))</f>
        <v/>
      </c>
      <c r="T1379" s="22">
        <f>IF($D1379="","",IF(AND($C1379&lt;&gt;"",$Q1379="Có",$R1379="",$S1379="Có",AND($L1379&lt;&gt;"",OR($L1379&lt;&gt;"Chưa xác định",DANH_MUC!$L$9="Có"))),"Có","Không"))</f>
        <v/>
      </c>
      <c r="U1379" s="22">
        <f>IF(OR($D1379="",$T1379="Có"),"",IF($C1379="","Thiếu họ tên; ","")&amp;IF($S1379&lt;&gt;"Có","SĐT sai định dạng; ","")&amp;IF($R1379="Trùng","Trùng SĐT; ","")&amp;IF($Q1379&lt;&gt;"Có","Thiếu đồng ý bắt buộc; ","")&amp;IF($L1379="","Thiếu/sai Mã REF; ",IF(AND($L1379="Chưa xác định",DANH_MUC!$L$9&lt;&gt;"Có"),"Nguồn chưa xác định; ","")))</f>
        <v/>
      </c>
      <c r="V1379" s="22">
        <f>IF(OR($D1379="",$R1379="Trùng"),"",IF(COUNTIF(ORDERS!$C$2:$C$4995,$D1379)&gt;0,"Có","Không"))</f>
        <v/>
      </c>
      <c r="W1379" s="22">
        <f>IF(OR($D1379="",$R1379="Trùng"),"",COUNTIFS(ORDERS!$C$2:$C$4995,$D1379,ORDERS!$L$2:$L$4995,"Đã chuyển khoản"))</f>
        <v/>
      </c>
      <c r="X1379" s="23">
        <f>IF(OR($D1379="",$R1379="Trùng"),"",SUMIFS(ORDERS!$J$2:$J$4995,ORDERS!$C$2:$C$4995,$D1379,ORDERS!$L$2:$L$4995,"Đã chuyển khoản"))</f>
        <v/>
      </c>
      <c r="Y1379" s="24" t="n"/>
    </row>
    <row r="1380" ht="14.25" customHeight="1" s="40">
      <c r="A1380" s="24" t="n"/>
      <c r="B1380" s="27" t="n"/>
      <c r="C1380" s="24" t="n"/>
      <c r="D1380" s="28" t="n"/>
      <c r="E1380" s="29" t="n"/>
      <c r="F1380" s="24" t="n"/>
      <c r="G1380" s="24" t="n"/>
      <c r="H1380" s="21">
        <f>IF(ISNUMBER($B1380),INT($B1380)-WEEKDAY($B1380,2)+1,"")</f>
        <v/>
      </c>
      <c r="I1380" s="24" t="n"/>
      <c r="J1380" s="22">
        <f t="array" ref="J1380">IF($D1380="","",IF($I1380="","(trống REF)",IFERROR(INDEX(MASTER_SOURCE!$B$2:$B$495,MATCH($I1380,MASTER_SOURCE!$A$2:$A$495,0)),"(REF không có trong MASTER_SOURCE)")))</f>
        <v/>
      </c>
      <c r="K1380" s="22">
        <f t="array" ref="K1380">IF($D1380="","",IFERROR(INDEX(MASTER_SOURCE!$C$2:$C$495,MATCH($I1380,MASTER_SOURCE!$A$2:$A$495,0)),""))</f>
        <v/>
      </c>
      <c r="L1380" s="22">
        <f t="array" ref="L1380">IF($D1380="","",IFERROR(INDEX(MASTER_SOURCE!$D$2:$D$495,MATCH($I1380,MASTER_SOURCE!$A$2:$A$495,0)),""))</f>
        <v/>
      </c>
      <c r="M1380" s="24" t="n"/>
      <c r="N1380" s="24" t="n"/>
      <c r="O1380" s="24" t="n"/>
      <c r="P1380" s="24" t="n"/>
      <c r="Q1380" s="22">
        <f>IF($D1380="","",IF(AND(OR(DANH_MUC!$L$5&lt;&gt;"Có",M1380="Có"),OR(DANH_MUC!$L$6&lt;&gt;"Có",N1380="Có"),OR(DANH_MUC!$L$7&lt;&gt;"Có",O1380="Có"),OR(DANH_MUC!$L$8&lt;&gt;"Có",P1380="Có")),"Có","Không"))</f>
        <v/>
      </c>
      <c r="R1380" s="22">
        <f>IF($D1380="","",IF(COUNTIF($D$2:$D1380,$D1380)&gt;1,"Trùng",""))</f>
        <v/>
      </c>
      <c r="S1380" s="22">
        <f>IF($D1380="","",IF(AND(LEN($D1380)=10,LEFT($D1380,1)="0",ISNUMBER(--$D1380)),"Có","Không"))</f>
        <v/>
      </c>
      <c r="T1380" s="22">
        <f>IF($D1380="","",IF(AND($C1380&lt;&gt;"",$Q1380="Có",$R1380="",$S1380="Có",AND($L1380&lt;&gt;"",OR($L1380&lt;&gt;"Chưa xác định",DANH_MUC!$L$9="Có"))),"Có","Không"))</f>
        <v/>
      </c>
      <c r="U1380" s="22">
        <f>IF(OR($D1380="",$T1380="Có"),"",IF($C1380="","Thiếu họ tên; ","")&amp;IF($S1380&lt;&gt;"Có","SĐT sai định dạng; ","")&amp;IF($R1380="Trùng","Trùng SĐT; ","")&amp;IF($Q1380&lt;&gt;"Có","Thiếu đồng ý bắt buộc; ","")&amp;IF($L1380="","Thiếu/sai Mã REF; ",IF(AND($L1380="Chưa xác định",DANH_MUC!$L$9&lt;&gt;"Có"),"Nguồn chưa xác định; ","")))</f>
        <v/>
      </c>
      <c r="V1380" s="22">
        <f>IF(OR($D1380="",$R1380="Trùng"),"",IF(COUNTIF(ORDERS!$C$2:$C$4995,$D1380)&gt;0,"Có","Không"))</f>
        <v/>
      </c>
      <c r="W1380" s="22">
        <f>IF(OR($D1380="",$R1380="Trùng"),"",COUNTIFS(ORDERS!$C$2:$C$4995,$D1380,ORDERS!$L$2:$L$4995,"Đã chuyển khoản"))</f>
        <v/>
      </c>
      <c r="X1380" s="23">
        <f>IF(OR($D1380="",$R1380="Trùng"),"",SUMIFS(ORDERS!$J$2:$J$4995,ORDERS!$C$2:$C$4995,$D1380,ORDERS!$L$2:$L$4995,"Đã chuyển khoản"))</f>
        <v/>
      </c>
      <c r="Y1380" s="24" t="n"/>
    </row>
    <row r="1381" ht="14.25" customHeight="1" s="40">
      <c r="A1381" s="24" t="n"/>
      <c r="B1381" s="27" t="n"/>
      <c r="C1381" s="24" t="n"/>
      <c r="D1381" s="28" t="n"/>
      <c r="E1381" s="29" t="n"/>
      <c r="F1381" s="24" t="n"/>
      <c r="G1381" s="24" t="n"/>
      <c r="H1381" s="21">
        <f>IF(ISNUMBER($B1381),INT($B1381)-WEEKDAY($B1381,2)+1,"")</f>
        <v/>
      </c>
      <c r="I1381" s="24" t="n"/>
      <c r="J1381" s="22">
        <f t="array" ref="J1381">IF($D1381="","",IF($I1381="","(trống REF)",IFERROR(INDEX(MASTER_SOURCE!$B$2:$B$495,MATCH($I1381,MASTER_SOURCE!$A$2:$A$495,0)),"(REF không có trong MASTER_SOURCE)")))</f>
        <v/>
      </c>
      <c r="K1381" s="22">
        <f t="array" ref="K1381">IF($D1381="","",IFERROR(INDEX(MASTER_SOURCE!$C$2:$C$495,MATCH($I1381,MASTER_SOURCE!$A$2:$A$495,0)),""))</f>
        <v/>
      </c>
      <c r="L1381" s="22">
        <f t="array" ref="L1381">IF($D1381="","",IFERROR(INDEX(MASTER_SOURCE!$D$2:$D$495,MATCH($I1381,MASTER_SOURCE!$A$2:$A$495,0)),""))</f>
        <v/>
      </c>
      <c r="M1381" s="24" t="n"/>
      <c r="N1381" s="24" t="n"/>
      <c r="O1381" s="24" t="n"/>
      <c r="P1381" s="24" t="n"/>
      <c r="Q1381" s="22">
        <f>IF($D1381="","",IF(AND(OR(DANH_MUC!$L$5&lt;&gt;"Có",M1381="Có"),OR(DANH_MUC!$L$6&lt;&gt;"Có",N1381="Có"),OR(DANH_MUC!$L$7&lt;&gt;"Có",O1381="Có"),OR(DANH_MUC!$L$8&lt;&gt;"Có",P1381="Có")),"Có","Không"))</f>
        <v/>
      </c>
      <c r="R1381" s="22">
        <f>IF($D1381="","",IF(COUNTIF($D$2:$D1381,$D1381)&gt;1,"Trùng",""))</f>
        <v/>
      </c>
      <c r="S1381" s="22">
        <f>IF($D1381="","",IF(AND(LEN($D1381)=10,LEFT($D1381,1)="0",ISNUMBER(--$D1381)),"Có","Không"))</f>
        <v/>
      </c>
      <c r="T1381" s="22">
        <f>IF($D1381="","",IF(AND($C1381&lt;&gt;"",$Q1381="Có",$R1381="",$S1381="Có",AND($L1381&lt;&gt;"",OR($L1381&lt;&gt;"Chưa xác định",DANH_MUC!$L$9="Có"))),"Có","Không"))</f>
        <v/>
      </c>
      <c r="U1381" s="22">
        <f>IF(OR($D1381="",$T1381="Có"),"",IF($C1381="","Thiếu họ tên; ","")&amp;IF($S1381&lt;&gt;"Có","SĐT sai định dạng; ","")&amp;IF($R1381="Trùng","Trùng SĐT; ","")&amp;IF($Q1381&lt;&gt;"Có","Thiếu đồng ý bắt buộc; ","")&amp;IF($L1381="","Thiếu/sai Mã REF; ",IF(AND($L1381="Chưa xác định",DANH_MUC!$L$9&lt;&gt;"Có"),"Nguồn chưa xác định; ","")))</f>
        <v/>
      </c>
      <c r="V1381" s="22">
        <f>IF(OR($D1381="",$R1381="Trùng"),"",IF(COUNTIF(ORDERS!$C$2:$C$4995,$D1381)&gt;0,"Có","Không"))</f>
        <v/>
      </c>
      <c r="W1381" s="22">
        <f>IF(OR($D1381="",$R1381="Trùng"),"",COUNTIFS(ORDERS!$C$2:$C$4995,$D1381,ORDERS!$L$2:$L$4995,"Đã chuyển khoản"))</f>
        <v/>
      </c>
      <c r="X1381" s="23">
        <f>IF(OR($D1381="",$R1381="Trùng"),"",SUMIFS(ORDERS!$J$2:$J$4995,ORDERS!$C$2:$C$4995,$D1381,ORDERS!$L$2:$L$4995,"Đã chuyển khoản"))</f>
        <v/>
      </c>
      <c r="Y1381" s="24" t="n"/>
    </row>
    <row r="1382" ht="14.25" customHeight="1" s="40">
      <c r="A1382" s="24" t="n"/>
      <c r="B1382" s="27" t="n"/>
      <c r="C1382" s="24" t="n"/>
      <c r="D1382" s="28" t="n"/>
      <c r="E1382" s="29" t="n"/>
      <c r="F1382" s="24" t="n"/>
      <c r="G1382" s="24" t="n"/>
      <c r="H1382" s="21">
        <f>IF(ISNUMBER($B1382),INT($B1382)-WEEKDAY($B1382,2)+1,"")</f>
        <v/>
      </c>
      <c r="I1382" s="24" t="n"/>
      <c r="J1382" s="22">
        <f t="array" ref="J1382">IF($D1382="","",IF($I1382="","(trống REF)",IFERROR(INDEX(MASTER_SOURCE!$B$2:$B$495,MATCH($I1382,MASTER_SOURCE!$A$2:$A$495,0)),"(REF không có trong MASTER_SOURCE)")))</f>
        <v/>
      </c>
      <c r="K1382" s="22">
        <f t="array" ref="K1382">IF($D1382="","",IFERROR(INDEX(MASTER_SOURCE!$C$2:$C$495,MATCH($I1382,MASTER_SOURCE!$A$2:$A$495,0)),""))</f>
        <v/>
      </c>
      <c r="L1382" s="22">
        <f t="array" ref="L1382">IF($D1382="","",IFERROR(INDEX(MASTER_SOURCE!$D$2:$D$495,MATCH($I1382,MASTER_SOURCE!$A$2:$A$495,0)),""))</f>
        <v/>
      </c>
      <c r="M1382" s="24" t="n"/>
      <c r="N1382" s="24" t="n"/>
      <c r="O1382" s="24" t="n"/>
      <c r="P1382" s="24" t="n"/>
      <c r="Q1382" s="22">
        <f>IF($D1382="","",IF(AND(OR(DANH_MUC!$L$5&lt;&gt;"Có",M1382="Có"),OR(DANH_MUC!$L$6&lt;&gt;"Có",N1382="Có"),OR(DANH_MUC!$L$7&lt;&gt;"Có",O1382="Có"),OR(DANH_MUC!$L$8&lt;&gt;"Có",P1382="Có")),"Có","Không"))</f>
        <v/>
      </c>
      <c r="R1382" s="22">
        <f>IF($D1382="","",IF(COUNTIF($D$2:$D1382,$D1382)&gt;1,"Trùng",""))</f>
        <v/>
      </c>
      <c r="S1382" s="22">
        <f>IF($D1382="","",IF(AND(LEN($D1382)=10,LEFT($D1382,1)="0",ISNUMBER(--$D1382)),"Có","Không"))</f>
        <v/>
      </c>
      <c r="T1382" s="22">
        <f>IF($D1382="","",IF(AND($C1382&lt;&gt;"",$Q1382="Có",$R1382="",$S1382="Có",AND($L1382&lt;&gt;"",OR($L1382&lt;&gt;"Chưa xác định",DANH_MUC!$L$9="Có"))),"Có","Không"))</f>
        <v/>
      </c>
      <c r="U1382" s="22">
        <f>IF(OR($D1382="",$T1382="Có"),"",IF($C1382="","Thiếu họ tên; ","")&amp;IF($S1382&lt;&gt;"Có","SĐT sai định dạng; ","")&amp;IF($R1382="Trùng","Trùng SĐT; ","")&amp;IF($Q1382&lt;&gt;"Có","Thiếu đồng ý bắt buộc; ","")&amp;IF($L1382="","Thiếu/sai Mã REF; ",IF(AND($L1382="Chưa xác định",DANH_MUC!$L$9&lt;&gt;"Có"),"Nguồn chưa xác định; ","")))</f>
        <v/>
      </c>
      <c r="V1382" s="22">
        <f>IF(OR($D1382="",$R1382="Trùng"),"",IF(COUNTIF(ORDERS!$C$2:$C$4995,$D1382)&gt;0,"Có","Không"))</f>
        <v/>
      </c>
      <c r="W1382" s="22">
        <f>IF(OR($D1382="",$R1382="Trùng"),"",COUNTIFS(ORDERS!$C$2:$C$4995,$D1382,ORDERS!$L$2:$L$4995,"Đã chuyển khoản"))</f>
        <v/>
      </c>
      <c r="X1382" s="23">
        <f>IF(OR($D1382="",$R1382="Trùng"),"",SUMIFS(ORDERS!$J$2:$J$4995,ORDERS!$C$2:$C$4995,$D1382,ORDERS!$L$2:$L$4995,"Đã chuyển khoản"))</f>
        <v/>
      </c>
      <c r="Y1382" s="24" t="n"/>
    </row>
    <row r="1383" ht="14.25" customHeight="1" s="40">
      <c r="A1383" s="24" t="n"/>
      <c r="B1383" s="27" t="n"/>
      <c r="C1383" s="24" t="n"/>
      <c r="D1383" s="28" t="n"/>
      <c r="E1383" s="29" t="n"/>
      <c r="F1383" s="24" t="n"/>
      <c r="G1383" s="24" t="n"/>
      <c r="H1383" s="21">
        <f>IF(ISNUMBER($B1383),INT($B1383)-WEEKDAY($B1383,2)+1,"")</f>
        <v/>
      </c>
      <c r="I1383" s="24" t="n"/>
      <c r="J1383" s="22">
        <f t="array" ref="J1383">IF($D1383="","",IF($I1383="","(trống REF)",IFERROR(INDEX(MASTER_SOURCE!$B$2:$B$495,MATCH($I1383,MASTER_SOURCE!$A$2:$A$495,0)),"(REF không có trong MASTER_SOURCE)")))</f>
        <v/>
      </c>
      <c r="K1383" s="22">
        <f t="array" ref="K1383">IF($D1383="","",IFERROR(INDEX(MASTER_SOURCE!$C$2:$C$495,MATCH($I1383,MASTER_SOURCE!$A$2:$A$495,0)),""))</f>
        <v/>
      </c>
      <c r="L1383" s="22">
        <f t="array" ref="L1383">IF($D1383="","",IFERROR(INDEX(MASTER_SOURCE!$D$2:$D$495,MATCH($I1383,MASTER_SOURCE!$A$2:$A$495,0)),""))</f>
        <v/>
      </c>
      <c r="M1383" s="24" t="n"/>
      <c r="N1383" s="24" t="n"/>
      <c r="O1383" s="24" t="n"/>
      <c r="P1383" s="24" t="n"/>
      <c r="Q1383" s="22">
        <f>IF($D1383="","",IF(AND(OR(DANH_MUC!$L$5&lt;&gt;"Có",M1383="Có"),OR(DANH_MUC!$L$6&lt;&gt;"Có",N1383="Có"),OR(DANH_MUC!$L$7&lt;&gt;"Có",O1383="Có"),OR(DANH_MUC!$L$8&lt;&gt;"Có",P1383="Có")),"Có","Không"))</f>
        <v/>
      </c>
      <c r="R1383" s="22">
        <f>IF($D1383="","",IF(COUNTIF($D$2:$D1383,$D1383)&gt;1,"Trùng",""))</f>
        <v/>
      </c>
      <c r="S1383" s="22">
        <f>IF($D1383="","",IF(AND(LEN($D1383)=10,LEFT($D1383,1)="0",ISNUMBER(--$D1383)),"Có","Không"))</f>
        <v/>
      </c>
      <c r="T1383" s="22">
        <f>IF($D1383="","",IF(AND($C1383&lt;&gt;"",$Q1383="Có",$R1383="",$S1383="Có",AND($L1383&lt;&gt;"",OR($L1383&lt;&gt;"Chưa xác định",DANH_MUC!$L$9="Có"))),"Có","Không"))</f>
        <v/>
      </c>
      <c r="U1383" s="22">
        <f>IF(OR($D1383="",$T1383="Có"),"",IF($C1383="","Thiếu họ tên; ","")&amp;IF($S1383&lt;&gt;"Có","SĐT sai định dạng; ","")&amp;IF($R1383="Trùng","Trùng SĐT; ","")&amp;IF($Q1383&lt;&gt;"Có","Thiếu đồng ý bắt buộc; ","")&amp;IF($L1383="","Thiếu/sai Mã REF; ",IF(AND($L1383="Chưa xác định",DANH_MUC!$L$9&lt;&gt;"Có"),"Nguồn chưa xác định; ","")))</f>
        <v/>
      </c>
      <c r="V1383" s="22">
        <f>IF(OR($D1383="",$R1383="Trùng"),"",IF(COUNTIF(ORDERS!$C$2:$C$4995,$D1383)&gt;0,"Có","Không"))</f>
        <v/>
      </c>
      <c r="W1383" s="22">
        <f>IF(OR($D1383="",$R1383="Trùng"),"",COUNTIFS(ORDERS!$C$2:$C$4995,$D1383,ORDERS!$L$2:$L$4995,"Đã chuyển khoản"))</f>
        <v/>
      </c>
      <c r="X1383" s="23">
        <f>IF(OR($D1383="",$R1383="Trùng"),"",SUMIFS(ORDERS!$J$2:$J$4995,ORDERS!$C$2:$C$4995,$D1383,ORDERS!$L$2:$L$4995,"Đã chuyển khoản"))</f>
        <v/>
      </c>
      <c r="Y1383" s="24" t="n"/>
    </row>
    <row r="1384" ht="14.25" customHeight="1" s="40">
      <c r="A1384" s="24" t="n"/>
      <c r="B1384" s="27" t="n"/>
      <c r="C1384" s="24" t="n"/>
      <c r="D1384" s="28" t="n"/>
      <c r="E1384" s="29" t="n"/>
      <c r="F1384" s="24" t="n"/>
      <c r="G1384" s="24" t="n"/>
      <c r="H1384" s="21">
        <f>IF(ISNUMBER($B1384),INT($B1384)-WEEKDAY($B1384,2)+1,"")</f>
        <v/>
      </c>
      <c r="I1384" s="24" t="n"/>
      <c r="J1384" s="22">
        <f t="array" ref="J1384">IF($D1384="","",IF($I1384="","(trống REF)",IFERROR(INDEX(MASTER_SOURCE!$B$2:$B$495,MATCH($I1384,MASTER_SOURCE!$A$2:$A$495,0)),"(REF không có trong MASTER_SOURCE)")))</f>
        <v/>
      </c>
      <c r="K1384" s="22">
        <f t="array" ref="K1384">IF($D1384="","",IFERROR(INDEX(MASTER_SOURCE!$C$2:$C$495,MATCH($I1384,MASTER_SOURCE!$A$2:$A$495,0)),""))</f>
        <v/>
      </c>
      <c r="L1384" s="22">
        <f t="array" ref="L1384">IF($D1384="","",IFERROR(INDEX(MASTER_SOURCE!$D$2:$D$495,MATCH($I1384,MASTER_SOURCE!$A$2:$A$495,0)),""))</f>
        <v/>
      </c>
      <c r="M1384" s="24" t="n"/>
      <c r="N1384" s="24" t="n"/>
      <c r="O1384" s="24" t="n"/>
      <c r="P1384" s="24" t="n"/>
      <c r="Q1384" s="22">
        <f>IF($D1384="","",IF(AND(OR(DANH_MUC!$L$5&lt;&gt;"Có",M1384="Có"),OR(DANH_MUC!$L$6&lt;&gt;"Có",N1384="Có"),OR(DANH_MUC!$L$7&lt;&gt;"Có",O1384="Có"),OR(DANH_MUC!$L$8&lt;&gt;"Có",P1384="Có")),"Có","Không"))</f>
        <v/>
      </c>
      <c r="R1384" s="22">
        <f>IF($D1384="","",IF(COUNTIF($D$2:$D1384,$D1384)&gt;1,"Trùng",""))</f>
        <v/>
      </c>
      <c r="S1384" s="22">
        <f>IF($D1384="","",IF(AND(LEN($D1384)=10,LEFT($D1384,1)="0",ISNUMBER(--$D1384)),"Có","Không"))</f>
        <v/>
      </c>
      <c r="T1384" s="22">
        <f>IF($D1384="","",IF(AND($C1384&lt;&gt;"",$Q1384="Có",$R1384="",$S1384="Có",AND($L1384&lt;&gt;"",OR($L1384&lt;&gt;"Chưa xác định",DANH_MUC!$L$9="Có"))),"Có","Không"))</f>
        <v/>
      </c>
      <c r="U1384" s="22">
        <f>IF(OR($D1384="",$T1384="Có"),"",IF($C1384="","Thiếu họ tên; ","")&amp;IF($S1384&lt;&gt;"Có","SĐT sai định dạng; ","")&amp;IF($R1384="Trùng","Trùng SĐT; ","")&amp;IF($Q1384&lt;&gt;"Có","Thiếu đồng ý bắt buộc; ","")&amp;IF($L1384="","Thiếu/sai Mã REF; ",IF(AND($L1384="Chưa xác định",DANH_MUC!$L$9&lt;&gt;"Có"),"Nguồn chưa xác định; ","")))</f>
        <v/>
      </c>
      <c r="V1384" s="22">
        <f>IF(OR($D1384="",$R1384="Trùng"),"",IF(COUNTIF(ORDERS!$C$2:$C$4995,$D1384)&gt;0,"Có","Không"))</f>
        <v/>
      </c>
      <c r="W1384" s="22">
        <f>IF(OR($D1384="",$R1384="Trùng"),"",COUNTIFS(ORDERS!$C$2:$C$4995,$D1384,ORDERS!$L$2:$L$4995,"Đã chuyển khoản"))</f>
        <v/>
      </c>
      <c r="X1384" s="23">
        <f>IF(OR($D1384="",$R1384="Trùng"),"",SUMIFS(ORDERS!$J$2:$J$4995,ORDERS!$C$2:$C$4995,$D1384,ORDERS!$L$2:$L$4995,"Đã chuyển khoản"))</f>
        <v/>
      </c>
      <c r="Y1384" s="24" t="n"/>
    </row>
    <row r="1385" ht="14.25" customHeight="1" s="40">
      <c r="A1385" s="24" t="n"/>
      <c r="B1385" s="27" t="n"/>
      <c r="C1385" s="24" t="n"/>
      <c r="D1385" s="28" t="n"/>
      <c r="E1385" s="29" t="n"/>
      <c r="F1385" s="24" t="n"/>
      <c r="G1385" s="24" t="n"/>
      <c r="H1385" s="21">
        <f>IF(ISNUMBER($B1385),INT($B1385)-WEEKDAY($B1385,2)+1,"")</f>
        <v/>
      </c>
      <c r="I1385" s="24" t="n"/>
      <c r="J1385" s="22">
        <f t="array" ref="J1385">IF($D1385="","",IF($I1385="","(trống REF)",IFERROR(INDEX(MASTER_SOURCE!$B$2:$B$495,MATCH($I1385,MASTER_SOURCE!$A$2:$A$495,0)),"(REF không có trong MASTER_SOURCE)")))</f>
        <v/>
      </c>
      <c r="K1385" s="22">
        <f t="array" ref="K1385">IF($D1385="","",IFERROR(INDEX(MASTER_SOURCE!$C$2:$C$495,MATCH($I1385,MASTER_SOURCE!$A$2:$A$495,0)),""))</f>
        <v/>
      </c>
      <c r="L1385" s="22">
        <f t="array" ref="L1385">IF($D1385="","",IFERROR(INDEX(MASTER_SOURCE!$D$2:$D$495,MATCH($I1385,MASTER_SOURCE!$A$2:$A$495,0)),""))</f>
        <v/>
      </c>
      <c r="M1385" s="24" t="n"/>
      <c r="N1385" s="24" t="n"/>
      <c r="O1385" s="24" t="n"/>
      <c r="P1385" s="24" t="n"/>
      <c r="Q1385" s="22">
        <f>IF($D1385="","",IF(AND(OR(DANH_MUC!$L$5&lt;&gt;"Có",M1385="Có"),OR(DANH_MUC!$L$6&lt;&gt;"Có",N1385="Có"),OR(DANH_MUC!$L$7&lt;&gt;"Có",O1385="Có"),OR(DANH_MUC!$L$8&lt;&gt;"Có",P1385="Có")),"Có","Không"))</f>
        <v/>
      </c>
      <c r="R1385" s="22">
        <f>IF($D1385="","",IF(COUNTIF($D$2:$D1385,$D1385)&gt;1,"Trùng",""))</f>
        <v/>
      </c>
      <c r="S1385" s="22">
        <f>IF($D1385="","",IF(AND(LEN($D1385)=10,LEFT($D1385,1)="0",ISNUMBER(--$D1385)),"Có","Không"))</f>
        <v/>
      </c>
      <c r="T1385" s="22">
        <f>IF($D1385="","",IF(AND($C1385&lt;&gt;"",$Q1385="Có",$R1385="",$S1385="Có",AND($L1385&lt;&gt;"",OR($L1385&lt;&gt;"Chưa xác định",DANH_MUC!$L$9="Có"))),"Có","Không"))</f>
        <v/>
      </c>
      <c r="U1385" s="22">
        <f>IF(OR($D1385="",$T1385="Có"),"",IF($C1385="","Thiếu họ tên; ","")&amp;IF($S1385&lt;&gt;"Có","SĐT sai định dạng; ","")&amp;IF($R1385="Trùng","Trùng SĐT; ","")&amp;IF($Q1385&lt;&gt;"Có","Thiếu đồng ý bắt buộc; ","")&amp;IF($L1385="","Thiếu/sai Mã REF; ",IF(AND($L1385="Chưa xác định",DANH_MUC!$L$9&lt;&gt;"Có"),"Nguồn chưa xác định; ","")))</f>
        <v/>
      </c>
      <c r="V1385" s="22">
        <f>IF(OR($D1385="",$R1385="Trùng"),"",IF(COUNTIF(ORDERS!$C$2:$C$4995,$D1385)&gt;0,"Có","Không"))</f>
        <v/>
      </c>
      <c r="W1385" s="22">
        <f>IF(OR($D1385="",$R1385="Trùng"),"",COUNTIFS(ORDERS!$C$2:$C$4995,$D1385,ORDERS!$L$2:$L$4995,"Đã chuyển khoản"))</f>
        <v/>
      </c>
      <c r="X1385" s="23">
        <f>IF(OR($D1385="",$R1385="Trùng"),"",SUMIFS(ORDERS!$J$2:$J$4995,ORDERS!$C$2:$C$4995,$D1385,ORDERS!$L$2:$L$4995,"Đã chuyển khoản"))</f>
        <v/>
      </c>
      <c r="Y1385" s="24" t="n"/>
    </row>
    <row r="1386" ht="14.25" customHeight="1" s="40">
      <c r="A1386" s="24" t="n"/>
      <c r="B1386" s="27" t="n"/>
      <c r="C1386" s="24" t="n"/>
      <c r="D1386" s="28" t="n"/>
      <c r="E1386" s="29" t="n"/>
      <c r="F1386" s="24" t="n"/>
      <c r="G1386" s="24" t="n"/>
      <c r="H1386" s="21">
        <f>IF(ISNUMBER($B1386),INT($B1386)-WEEKDAY($B1386,2)+1,"")</f>
        <v/>
      </c>
      <c r="I1386" s="24" t="n"/>
      <c r="J1386" s="22">
        <f t="array" ref="J1386">IF($D1386="","",IF($I1386="","(trống REF)",IFERROR(INDEX(MASTER_SOURCE!$B$2:$B$495,MATCH($I1386,MASTER_SOURCE!$A$2:$A$495,0)),"(REF không có trong MASTER_SOURCE)")))</f>
        <v/>
      </c>
      <c r="K1386" s="22">
        <f t="array" ref="K1386">IF($D1386="","",IFERROR(INDEX(MASTER_SOURCE!$C$2:$C$495,MATCH($I1386,MASTER_SOURCE!$A$2:$A$495,0)),""))</f>
        <v/>
      </c>
      <c r="L1386" s="22">
        <f t="array" ref="L1386">IF($D1386="","",IFERROR(INDEX(MASTER_SOURCE!$D$2:$D$495,MATCH($I1386,MASTER_SOURCE!$A$2:$A$495,0)),""))</f>
        <v/>
      </c>
      <c r="M1386" s="24" t="n"/>
      <c r="N1386" s="24" t="n"/>
      <c r="O1386" s="24" t="n"/>
      <c r="P1386" s="24" t="n"/>
      <c r="Q1386" s="22">
        <f>IF($D1386="","",IF(AND(OR(DANH_MUC!$L$5&lt;&gt;"Có",M1386="Có"),OR(DANH_MUC!$L$6&lt;&gt;"Có",N1386="Có"),OR(DANH_MUC!$L$7&lt;&gt;"Có",O1386="Có"),OR(DANH_MUC!$L$8&lt;&gt;"Có",P1386="Có")),"Có","Không"))</f>
        <v/>
      </c>
      <c r="R1386" s="22">
        <f>IF($D1386="","",IF(COUNTIF($D$2:$D1386,$D1386)&gt;1,"Trùng",""))</f>
        <v/>
      </c>
      <c r="S1386" s="22">
        <f>IF($D1386="","",IF(AND(LEN($D1386)=10,LEFT($D1386,1)="0",ISNUMBER(--$D1386)),"Có","Không"))</f>
        <v/>
      </c>
      <c r="T1386" s="22">
        <f>IF($D1386="","",IF(AND($C1386&lt;&gt;"",$Q1386="Có",$R1386="",$S1386="Có",AND($L1386&lt;&gt;"",OR($L1386&lt;&gt;"Chưa xác định",DANH_MUC!$L$9="Có"))),"Có","Không"))</f>
        <v/>
      </c>
      <c r="U1386" s="22">
        <f>IF(OR($D1386="",$T1386="Có"),"",IF($C1386="","Thiếu họ tên; ","")&amp;IF($S1386&lt;&gt;"Có","SĐT sai định dạng; ","")&amp;IF($R1386="Trùng","Trùng SĐT; ","")&amp;IF($Q1386&lt;&gt;"Có","Thiếu đồng ý bắt buộc; ","")&amp;IF($L1386="","Thiếu/sai Mã REF; ",IF(AND($L1386="Chưa xác định",DANH_MUC!$L$9&lt;&gt;"Có"),"Nguồn chưa xác định; ","")))</f>
        <v/>
      </c>
      <c r="V1386" s="22">
        <f>IF(OR($D1386="",$R1386="Trùng"),"",IF(COUNTIF(ORDERS!$C$2:$C$4995,$D1386)&gt;0,"Có","Không"))</f>
        <v/>
      </c>
      <c r="W1386" s="22">
        <f>IF(OR($D1386="",$R1386="Trùng"),"",COUNTIFS(ORDERS!$C$2:$C$4995,$D1386,ORDERS!$L$2:$L$4995,"Đã chuyển khoản"))</f>
        <v/>
      </c>
      <c r="X1386" s="23">
        <f>IF(OR($D1386="",$R1386="Trùng"),"",SUMIFS(ORDERS!$J$2:$J$4995,ORDERS!$C$2:$C$4995,$D1386,ORDERS!$L$2:$L$4995,"Đã chuyển khoản"))</f>
        <v/>
      </c>
      <c r="Y1386" s="24" t="n"/>
    </row>
    <row r="1387" ht="14.25" customHeight="1" s="40">
      <c r="A1387" s="24" t="n"/>
      <c r="B1387" s="27" t="n"/>
      <c r="C1387" s="24" t="n"/>
      <c r="D1387" s="28" t="n"/>
      <c r="E1387" s="29" t="n"/>
      <c r="F1387" s="24" t="n"/>
      <c r="G1387" s="24" t="n"/>
      <c r="H1387" s="21">
        <f>IF(ISNUMBER($B1387),INT($B1387)-WEEKDAY($B1387,2)+1,"")</f>
        <v/>
      </c>
      <c r="I1387" s="24" t="n"/>
      <c r="J1387" s="22">
        <f t="array" ref="J1387">IF($D1387="","",IF($I1387="","(trống REF)",IFERROR(INDEX(MASTER_SOURCE!$B$2:$B$495,MATCH($I1387,MASTER_SOURCE!$A$2:$A$495,0)),"(REF không có trong MASTER_SOURCE)")))</f>
        <v/>
      </c>
      <c r="K1387" s="22">
        <f t="array" ref="K1387">IF($D1387="","",IFERROR(INDEX(MASTER_SOURCE!$C$2:$C$495,MATCH($I1387,MASTER_SOURCE!$A$2:$A$495,0)),""))</f>
        <v/>
      </c>
      <c r="L1387" s="22">
        <f t="array" ref="L1387">IF($D1387="","",IFERROR(INDEX(MASTER_SOURCE!$D$2:$D$495,MATCH($I1387,MASTER_SOURCE!$A$2:$A$495,0)),""))</f>
        <v/>
      </c>
      <c r="M1387" s="24" t="n"/>
      <c r="N1387" s="24" t="n"/>
      <c r="O1387" s="24" t="n"/>
      <c r="P1387" s="24" t="n"/>
      <c r="Q1387" s="22">
        <f>IF($D1387="","",IF(AND(OR(DANH_MUC!$L$5&lt;&gt;"Có",M1387="Có"),OR(DANH_MUC!$L$6&lt;&gt;"Có",N1387="Có"),OR(DANH_MUC!$L$7&lt;&gt;"Có",O1387="Có"),OR(DANH_MUC!$L$8&lt;&gt;"Có",P1387="Có")),"Có","Không"))</f>
        <v/>
      </c>
      <c r="R1387" s="22">
        <f>IF($D1387="","",IF(COUNTIF($D$2:$D1387,$D1387)&gt;1,"Trùng",""))</f>
        <v/>
      </c>
      <c r="S1387" s="22">
        <f>IF($D1387="","",IF(AND(LEN($D1387)=10,LEFT($D1387,1)="0",ISNUMBER(--$D1387)),"Có","Không"))</f>
        <v/>
      </c>
      <c r="T1387" s="22">
        <f>IF($D1387="","",IF(AND($C1387&lt;&gt;"",$Q1387="Có",$R1387="",$S1387="Có",AND($L1387&lt;&gt;"",OR($L1387&lt;&gt;"Chưa xác định",DANH_MUC!$L$9="Có"))),"Có","Không"))</f>
        <v/>
      </c>
      <c r="U1387" s="22">
        <f>IF(OR($D1387="",$T1387="Có"),"",IF($C1387="","Thiếu họ tên; ","")&amp;IF($S1387&lt;&gt;"Có","SĐT sai định dạng; ","")&amp;IF($R1387="Trùng","Trùng SĐT; ","")&amp;IF($Q1387&lt;&gt;"Có","Thiếu đồng ý bắt buộc; ","")&amp;IF($L1387="","Thiếu/sai Mã REF; ",IF(AND($L1387="Chưa xác định",DANH_MUC!$L$9&lt;&gt;"Có"),"Nguồn chưa xác định; ","")))</f>
        <v/>
      </c>
      <c r="V1387" s="22">
        <f>IF(OR($D1387="",$R1387="Trùng"),"",IF(COUNTIF(ORDERS!$C$2:$C$4995,$D1387)&gt;0,"Có","Không"))</f>
        <v/>
      </c>
      <c r="W1387" s="22">
        <f>IF(OR($D1387="",$R1387="Trùng"),"",COUNTIFS(ORDERS!$C$2:$C$4995,$D1387,ORDERS!$L$2:$L$4995,"Đã chuyển khoản"))</f>
        <v/>
      </c>
      <c r="X1387" s="23">
        <f>IF(OR($D1387="",$R1387="Trùng"),"",SUMIFS(ORDERS!$J$2:$J$4995,ORDERS!$C$2:$C$4995,$D1387,ORDERS!$L$2:$L$4995,"Đã chuyển khoản"))</f>
        <v/>
      </c>
      <c r="Y1387" s="24" t="n"/>
    </row>
    <row r="1388" ht="14.25" customHeight="1" s="40">
      <c r="A1388" s="24" t="n"/>
      <c r="B1388" s="27" t="n"/>
      <c r="C1388" s="24" t="n"/>
      <c r="D1388" s="28" t="n"/>
      <c r="E1388" s="29" t="n"/>
      <c r="F1388" s="24" t="n"/>
      <c r="G1388" s="24" t="n"/>
      <c r="H1388" s="21">
        <f>IF(ISNUMBER($B1388),INT($B1388)-WEEKDAY($B1388,2)+1,"")</f>
        <v/>
      </c>
      <c r="I1388" s="24" t="n"/>
      <c r="J1388" s="22">
        <f t="array" ref="J1388">IF($D1388="","",IF($I1388="","(trống REF)",IFERROR(INDEX(MASTER_SOURCE!$B$2:$B$495,MATCH($I1388,MASTER_SOURCE!$A$2:$A$495,0)),"(REF không có trong MASTER_SOURCE)")))</f>
        <v/>
      </c>
      <c r="K1388" s="22">
        <f t="array" ref="K1388">IF($D1388="","",IFERROR(INDEX(MASTER_SOURCE!$C$2:$C$495,MATCH($I1388,MASTER_SOURCE!$A$2:$A$495,0)),""))</f>
        <v/>
      </c>
      <c r="L1388" s="22">
        <f t="array" ref="L1388">IF($D1388="","",IFERROR(INDEX(MASTER_SOURCE!$D$2:$D$495,MATCH($I1388,MASTER_SOURCE!$A$2:$A$495,0)),""))</f>
        <v/>
      </c>
      <c r="M1388" s="24" t="n"/>
      <c r="N1388" s="24" t="n"/>
      <c r="O1388" s="24" t="n"/>
      <c r="P1388" s="24" t="n"/>
      <c r="Q1388" s="22">
        <f>IF($D1388="","",IF(AND(OR(DANH_MUC!$L$5&lt;&gt;"Có",M1388="Có"),OR(DANH_MUC!$L$6&lt;&gt;"Có",N1388="Có"),OR(DANH_MUC!$L$7&lt;&gt;"Có",O1388="Có"),OR(DANH_MUC!$L$8&lt;&gt;"Có",P1388="Có")),"Có","Không"))</f>
        <v/>
      </c>
      <c r="R1388" s="22">
        <f>IF($D1388="","",IF(COUNTIF($D$2:$D1388,$D1388)&gt;1,"Trùng",""))</f>
        <v/>
      </c>
      <c r="S1388" s="22">
        <f>IF($D1388="","",IF(AND(LEN($D1388)=10,LEFT($D1388,1)="0",ISNUMBER(--$D1388)),"Có","Không"))</f>
        <v/>
      </c>
      <c r="T1388" s="22">
        <f>IF($D1388="","",IF(AND($C1388&lt;&gt;"",$Q1388="Có",$R1388="",$S1388="Có",AND($L1388&lt;&gt;"",OR($L1388&lt;&gt;"Chưa xác định",DANH_MUC!$L$9="Có"))),"Có","Không"))</f>
        <v/>
      </c>
      <c r="U1388" s="22">
        <f>IF(OR($D1388="",$T1388="Có"),"",IF($C1388="","Thiếu họ tên; ","")&amp;IF($S1388&lt;&gt;"Có","SĐT sai định dạng; ","")&amp;IF($R1388="Trùng","Trùng SĐT; ","")&amp;IF($Q1388&lt;&gt;"Có","Thiếu đồng ý bắt buộc; ","")&amp;IF($L1388="","Thiếu/sai Mã REF; ",IF(AND($L1388="Chưa xác định",DANH_MUC!$L$9&lt;&gt;"Có"),"Nguồn chưa xác định; ","")))</f>
        <v/>
      </c>
      <c r="V1388" s="22">
        <f>IF(OR($D1388="",$R1388="Trùng"),"",IF(COUNTIF(ORDERS!$C$2:$C$4995,$D1388)&gt;0,"Có","Không"))</f>
        <v/>
      </c>
      <c r="W1388" s="22">
        <f>IF(OR($D1388="",$R1388="Trùng"),"",COUNTIFS(ORDERS!$C$2:$C$4995,$D1388,ORDERS!$L$2:$L$4995,"Đã chuyển khoản"))</f>
        <v/>
      </c>
      <c r="X1388" s="23">
        <f>IF(OR($D1388="",$R1388="Trùng"),"",SUMIFS(ORDERS!$J$2:$J$4995,ORDERS!$C$2:$C$4995,$D1388,ORDERS!$L$2:$L$4995,"Đã chuyển khoản"))</f>
        <v/>
      </c>
      <c r="Y1388" s="24" t="n"/>
    </row>
    <row r="1389" ht="14.25" customHeight="1" s="40">
      <c r="A1389" s="24" t="n"/>
      <c r="B1389" s="27" t="n"/>
      <c r="C1389" s="24" t="n"/>
      <c r="D1389" s="28" t="n"/>
      <c r="E1389" s="29" t="n"/>
      <c r="F1389" s="24" t="n"/>
      <c r="G1389" s="24" t="n"/>
      <c r="H1389" s="21">
        <f>IF(ISNUMBER($B1389),INT($B1389)-WEEKDAY($B1389,2)+1,"")</f>
        <v/>
      </c>
      <c r="I1389" s="24" t="n"/>
      <c r="J1389" s="22">
        <f t="array" ref="J1389">IF($D1389="","",IF($I1389="","(trống REF)",IFERROR(INDEX(MASTER_SOURCE!$B$2:$B$495,MATCH($I1389,MASTER_SOURCE!$A$2:$A$495,0)),"(REF không có trong MASTER_SOURCE)")))</f>
        <v/>
      </c>
      <c r="K1389" s="22">
        <f t="array" ref="K1389">IF($D1389="","",IFERROR(INDEX(MASTER_SOURCE!$C$2:$C$495,MATCH($I1389,MASTER_SOURCE!$A$2:$A$495,0)),""))</f>
        <v/>
      </c>
      <c r="L1389" s="22">
        <f t="array" ref="L1389">IF($D1389="","",IFERROR(INDEX(MASTER_SOURCE!$D$2:$D$495,MATCH($I1389,MASTER_SOURCE!$A$2:$A$495,0)),""))</f>
        <v/>
      </c>
      <c r="M1389" s="24" t="n"/>
      <c r="N1389" s="24" t="n"/>
      <c r="O1389" s="24" t="n"/>
      <c r="P1389" s="24" t="n"/>
      <c r="Q1389" s="22">
        <f>IF($D1389="","",IF(AND(OR(DANH_MUC!$L$5&lt;&gt;"Có",M1389="Có"),OR(DANH_MUC!$L$6&lt;&gt;"Có",N1389="Có"),OR(DANH_MUC!$L$7&lt;&gt;"Có",O1389="Có"),OR(DANH_MUC!$L$8&lt;&gt;"Có",P1389="Có")),"Có","Không"))</f>
        <v/>
      </c>
      <c r="R1389" s="22">
        <f>IF($D1389="","",IF(COUNTIF($D$2:$D1389,$D1389)&gt;1,"Trùng",""))</f>
        <v/>
      </c>
      <c r="S1389" s="22">
        <f>IF($D1389="","",IF(AND(LEN($D1389)=10,LEFT($D1389,1)="0",ISNUMBER(--$D1389)),"Có","Không"))</f>
        <v/>
      </c>
      <c r="T1389" s="22">
        <f>IF($D1389="","",IF(AND($C1389&lt;&gt;"",$Q1389="Có",$R1389="",$S1389="Có",AND($L1389&lt;&gt;"",OR($L1389&lt;&gt;"Chưa xác định",DANH_MUC!$L$9="Có"))),"Có","Không"))</f>
        <v/>
      </c>
      <c r="U1389" s="22">
        <f>IF(OR($D1389="",$T1389="Có"),"",IF($C1389="","Thiếu họ tên; ","")&amp;IF($S1389&lt;&gt;"Có","SĐT sai định dạng; ","")&amp;IF($R1389="Trùng","Trùng SĐT; ","")&amp;IF($Q1389&lt;&gt;"Có","Thiếu đồng ý bắt buộc; ","")&amp;IF($L1389="","Thiếu/sai Mã REF; ",IF(AND($L1389="Chưa xác định",DANH_MUC!$L$9&lt;&gt;"Có"),"Nguồn chưa xác định; ","")))</f>
        <v/>
      </c>
      <c r="V1389" s="22">
        <f>IF(OR($D1389="",$R1389="Trùng"),"",IF(COUNTIF(ORDERS!$C$2:$C$4995,$D1389)&gt;0,"Có","Không"))</f>
        <v/>
      </c>
      <c r="W1389" s="22">
        <f>IF(OR($D1389="",$R1389="Trùng"),"",COUNTIFS(ORDERS!$C$2:$C$4995,$D1389,ORDERS!$L$2:$L$4995,"Đã chuyển khoản"))</f>
        <v/>
      </c>
      <c r="X1389" s="23">
        <f>IF(OR($D1389="",$R1389="Trùng"),"",SUMIFS(ORDERS!$J$2:$J$4995,ORDERS!$C$2:$C$4995,$D1389,ORDERS!$L$2:$L$4995,"Đã chuyển khoản"))</f>
        <v/>
      </c>
      <c r="Y1389" s="24" t="n"/>
    </row>
    <row r="1390" ht="14.25" customHeight="1" s="40">
      <c r="A1390" s="24" t="n"/>
      <c r="B1390" s="27" t="n"/>
      <c r="C1390" s="24" t="n"/>
      <c r="D1390" s="28" t="n"/>
      <c r="E1390" s="29" t="n"/>
      <c r="F1390" s="24" t="n"/>
      <c r="G1390" s="24" t="n"/>
      <c r="H1390" s="21">
        <f>IF(ISNUMBER($B1390),INT($B1390)-WEEKDAY($B1390,2)+1,"")</f>
        <v/>
      </c>
      <c r="I1390" s="24" t="n"/>
      <c r="J1390" s="22">
        <f t="array" ref="J1390">IF($D1390="","",IF($I1390="","(trống REF)",IFERROR(INDEX(MASTER_SOURCE!$B$2:$B$495,MATCH($I1390,MASTER_SOURCE!$A$2:$A$495,0)),"(REF không có trong MASTER_SOURCE)")))</f>
        <v/>
      </c>
      <c r="K1390" s="22">
        <f t="array" ref="K1390">IF($D1390="","",IFERROR(INDEX(MASTER_SOURCE!$C$2:$C$495,MATCH($I1390,MASTER_SOURCE!$A$2:$A$495,0)),""))</f>
        <v/>
      </c>
      <c r="L1390" s="22">
        <f t="array" ref="L1390">IF($D1390="","",IFERROR(INDEX(MASTER_SOURCE!$D$2:$D$495,MATCH($I1390,MASTER_SOURCE!$A$2:$A$495,0)),""))</f>
        <v/>
      </c>
      <c r="M1390" s="24" t="n"/>
      <c r="N1390" s="24" t="n"/>
      <c r="O1390" s="24" t="n"/>
      <c r="P1390" s="24" t="n"/>
      <c r="Q1390" s="22">
        <f>IF($D1390="","",IF(AND(OR(DANH_MUC!$L$5&lt;&gt;"Có",M1390="Có"),OR(DANH_MUC!$L$6&lt;&gt;"Có",N1390="Có"),OR(DANH_MUC!$L$7&lt;&gt;"Có",O1390="Có"),OR(DANH_MUC!$L$8&lt;&gt;"Có",P1390="Có")),"Có","Không"))</f>
        <v/>
      </c>
      <c r="R1390" s="22">
        <f>IF($D1390="","",IF(COUNTIF($D$2:$D1390,$D1390)&gt;1,"Trùng",""))</f>
        <v/>
      </c>
      <c r="S1390" s="22">
        <f>IF($D1390="","",IF(AND(LEN($D1390)=10,LEFT($D1390,1)="0",ISNUMBER(--$D1390)),"Có","Không"))</f>
        <v/>
      </c>
      <c r="T1390" s="22">
        <f>IF($D1390="","",IF(AND($C1390&lt;&gt;"",$Q1390="Có",$R1390="",$S1390="Có",AND($L1390&lt;&gt;"",OR($L1390&lt;&gt;"Chưa xác định",DANH_MUC!$L$9="Có"))),"Có","Không"))</f>
        <v/>
      </c>
      <c r="U1390" s="22">
        <f>IF(OR($D1390="",$T1390="Có"),"",IF($C1390="","Thiếu họ tên; ","")&amp;IF($S1390&lt;&gt;"Có","SĐT sai định dạng; ","")&amp;IF($R1390="Trùng","Trùng SĐT; ","")&amp;IF($Q1390&lt;&gt;"Có","Thiếu đồng ý bắt buộc; ","")&amp;IF($L1390="","Thiếu/sai Mã REF; ",IF(AND($L1390="Chưa xác định",DANH_MUC!$L$9&lt;&gt;"Có"),"Nguồn chưa xác định; ","")))</f>
        <v/>
      </c>
      <c r="V1390" s="22">
        <f>IF(OR($D1390="",$R1390="Trùng"),"",IF(COUNTIF(ORDERS!$C$2:$C$4995,$D1390)&gt;0,"Có","Không"))</f>
        <v/>
      </c>
      <c r="W1390" s="22">
        <f>IF(OR($D1390="",$R1390="Trùng"),"",COUNTIFS(ORDERS!$C$2:$C$4995,$D1390,ORDERS!$L$2:$L$4995,"Đã chuyển khoản"))</f>
        <v/>
      </c>
      <c r="X1390" s="23">
        <f>IF(OR($D1390="",$R1390="Trùng"),"",SUMIFS(ORDERS!$J$2:$J$4995,ORDERS!$C$2:$C$4995,$D1390,ORDERS!$L$2:$L$4995,"Đã chuyển khoản"))</f>
        <v/>
      </c>
      <c r="Y1390" s="24" t="n"/>
    </row>
    <row r="1391" ht="14.25" customHeight="1" s="40">
      <c r="A1391" s="24" t="n"/>
      <c r="B1391" s="27" t="n"/>
      <c r="C1391" s="24" t="n"/>
      <c r="D1391" s="28" t="n"/>
      <c r="E1391" s="29" t="n"/>
      <c r="F1391" s="24" t="n"/>
      <c r="G1391" s="24" t="n"/>
      <c r="H1391" s="21">
        <f>IF(ISNUMBER($B1391),INT($B1391)-WEEKDAY($B1391,2)+1,"")</f>
        <v/>
      </c>
      <c r="I1391" s="24" t="n"/>
      <c r="J1391" s="22">
        <f t="array" ref="J1391">IF($D1391="","",IF($I1391="","(trống REF)",IFERROR(INDEX(MASTER_SOURCE!$B$2:$B$495,MATCH($I1391,MASTER_SOURCE!$A$2:$A$495,0)),"(REF không có trong MASTER_SOURCE)")))</f>
        <v/>
      </c>
      <c r="K1391" s="22">
        <f t="array" ref="K1391">IF($D1391="","",IFERROR(INDEX(MASTER_SOURCE!$C$2:$C$495,MATCH($I1391,MASTER_SOURCE!$A$2:$A$495,0)),""))</f>
        <v/>
      </c>
      <c r="L1391" s="22">
        <f t="array" ref="L1391">IF($D1391="","",IFERROR(INDEX(MASTER_SOURCE!$D$2:$D$495,MATCH($I1391,MASTER_SOURCE!$A$2:$A$495,0)),""))</f>
        <v/>
      </c>
      <c r="M1391" s="24" t="n"/>
      <c r="N1391" s="24" t="n"/>
      <c r="O1391" s="24" t="n"/>
      <c r="P1391" s="24" t="n"/>
      <c r="Q1391" s="22">
        <f>IF($D1391="","",IF(AND(OR(DANH_MUC!$L$5&lt;&gt;"Có",M1391="Có"),OR(DANH_MUC!$L$6&lt;&gt;"Có",N1391="Có"),OR(DANH_MUC!$L$7&lt;&gt;"Có",O1391="Có"),OR(DANH_MUC!$L$8&lt;&gt;"Có",P1391="Có")),"Có","Không"))</f>
        <v/>
      </c>
      <c r="R1391" s="22">
        <f>IF($D1391="","",IF(COUNTIF($D$2:$D1391,$D1391)&gt;1,"Trùng",""))</f>
        <v/>
      </c>
      <c r="S1391" s="22">
        <f>IF($D1391="","",IF(AND(LEN($D1391)=10,LEFT($D1391,1)="0",ISNUMBER(--$D1391)),"Có","Không"))</f>
        <v/>
      </c>
      <c r="T1391" s="22">
        <f>IF($D1391="","",IF(AND($C1391&lt;&gt;"",$Q1391="Có",$R1391="",$S1391="Có",AND($L1391&lt;&gt;"",OR($L1391&lt;&gt;"Chưa xác định",DANH_MUC!$L$9="Có"))),"Có","Không"))</f>
        <v/>
      </c>
      <c r="U1391" s="22">
        <f>IF(OR($D1391="",$T1391="Có"),"",IF($C1391="","Thiếu họ tên; ","")&amp;IF($S1391&lt;&gt;"Có","SĐT sai định dạng; ","")&amp;IF($R1391="Trùng","Trùng SĐT; ","")&amp;IF($Q1391&lt;&gt;"Có","Thiếu đồng ý bắt buộc; ","")&amp;IF($L1391="","Thiếu/sai Mã REF; ",IF(AND($L1391="Chưa xác định",DANH_MUC!$L$9&lt;&gt;"Có"),"Nguồn chưa xác định; ","")))</f>
        <v/>
      </c>
      <c r="V1391" s="22">
        <f>IF(OR($D1391="",$R1391="Trùng"),"",IF(COUNTIF(ORDERS!$C$2:$C$4995,$D1391)&gt;0,"Có","Không"))</f>
        <v/>
      </c>
      <c r="W1391" s="22">
        <f>IF(OR($D1391="",$R1391="Trùng"),"",COUNTIFS(ORDERS!$C$2:$C$4995,$D1391,ORDERS!$L$2:$L$4995,"Đã chuyển khoản"))</f>
        <v/>
      </c>
      <c r="X1391" s="23">
        <f>IF(OR($D1391="",$R1391="Trùng"),"",SUMIFS(ORDERS!$J$2:$J$4995,ORDERS!$C$2:$C$4995,$D1391,ORDERS!$L$2:$L$4995,"Đã chuyển khoản"))</f>
        <v/>
      </c>
      <c r="Y1391" s="24" t="n"/>
    </row>
    <row r="1392" ht="14.25" customHeight="1" s="40">
      <c r="A1392" s="24" t="n"/>
      <c r="B1392" s="27" t="n"/>
      <c r="C1392" s="24" t="n"/>
      <c r="D1392" s="28" t="n"/>
      <c r="E1392" s="29" t="n"/>
      <c r="F1392" s="24" t="n"/>
      <c r="G1392" s="24" t="n"/>
      <c r="H1392" s="21">
        <f>IF(ISNUMBER($B1392),INT($B1392)-WEEKDAY($B1392,2)+1,"")</f>
        <v/>
      </c>
      <c r="I1392" s="24" t="n"/>
      <c r="J1392" s="22">
        <f t="array" ref="J1392">IF($D1392="","",IF($I1392="","(trống REF)",IFERROR(INDEX(MASTER_SOURCE!$B$2:$B$495,MATCH($I1392,MASTER_SOURCE!$A$2:$A$495,0)),"(REF không có trong MASTER_SOURCE)")))</f>
        <v/>
      </c>
      <c r="K1392" s="22">
        <f t="array" ref="K1392">IF($D1392="","",IFERROR(INDEX(MASTER_SOURCE!$C$2:$C$495,MATCH($I1392,MASTER_SOURCE!$A$2:$A$495,0)),""))</f>
        <v/>
      </c>
      <c r="L1392" s="22">
        <f t="array" ref="L1392">IF($D1392="","",IFERROR(INDEX(MASTER_SOURCE!$D$2:$D$495,MATCH($I1392,MASTER_SOURCE!$A$2:$A$495,0)),""))</f>
        <v/>
      </c>
      <c r="M1392" s="24" t="n"/>
      <c r="N1392" s="24" t="n"/>
      <c r="O1392" s="24" t="n"/>
      <c r="P1392" s="24" t="n"/>
      <c r="Q1392" s="22">
        <f>IF($D1392="","",IF(AND(OR(DANH_MUC!$L$5&lt;&gt;"Có",M1392="Có"),OR(DANH_MUC!$L$6&lt;&gt;"Có",N1392="Có"),OR(DANH_MUC!$L$7&lt;&gt;"Có",O1392="Có"),OR(DANH_MUC!$L$8&lt;&gt;"Có",P1392="Có")),"Có","Không"))</f>
        <v/>
      </c>
      <c r="R1392" s="22">
        <f>IF($D1392="","",IF(COUNTIF($D$2:$D1392,$D1392)&gt;1,"Trùng",""))</f>
        <v/>
      </c>
      <c r="S1392" s="22">
        <f>IF($D1392="","",IF(AND(LEN($D1392)=10,LEFT($D1392,1)="0",ISNUMBER(--$D1392)),"Có","Không"))</f>
        <v/>
      </c>
      <c r="T1392" s="22">
        <f>IF($D1392="","",IF(AND($C1392&lt;&gt;"",$Q1392="Có",$R1392="",$S1392="Có",AND($L1392&lt;&gt;"",OR($L1392&lt;&gt;"Chưa xác định",DANH_MUC!$L$9="Có"))),"Có","Không"))</f>
        <v/>
      </c>
      <c r="U1392" s="22">
        <f>IF(OR($D1392="",$T1392="Có"),"",IF($C1392="","Thiếu họ tên; ","")&amp;IF($S1392&lt;&gt;"Có","SĐT sai định dạng; ","")&amp;IF($R1392="Trùng","Trùng SĐT; ","")&amp;IF($Q1392&lt;&gt;"Có","Thiếu đồng ý bắt buộc; ","")&amp;IF($L1392="","Thiếu/sai Mã REF; ",IF(AND($L1392="Chưa xác định",DANH_MUC!$L$9&lt;&gt;"Có"),"Nguồn chưa xác định; ","")))</f>
        <v/>
      </c>
      <c r="V1392" s="22">
        <f>IF(OR($D1392="",$R1392="Trùng"),"",IF(COUNTIF(ORDERS!$C$2:$C$4995,$D1392)&gt;0,"Có","Không"))</f>
        <v/>
      </c>
      <c r="W1392" s="22">
        <f>IF(OR($D1392="",$R1392="Trùng"),"",COUNTIFS(ORDERS!$C$2:$C$4995,$D1392,ORDERS!$L$2:$L$4995,"Đã chuyển khoản"))</f>
        <v/>
      </c>
      <c r="X1392" s="23">
        <f>IF(OR($D1392="",$R1392="Trùng"),"",SUMIFS(ORDERS!$J$2:$J$4995,ORDERS!$C$2:$C$4995,$D1392,ORDERS!$L$2:$L$4995,"Đã chuyển khoản"))</f>
        <v/>
      </c>
      <c r="Y1392" s="24" t="n"/>
    </row>
    <row r="1393" ht="14.25" customHeight="1" s="40">
      <c r="A1393" s="24" t="n"/>
      <c r="B1393" s="27" t="n"/>
      <c r="C1393" s="24" t="n"/>
      <c r="D1393" s="28" t="n"/>
      <c r="E1393" s="29" t="n"/>
      <c r="F1393" s="24" t="n"/>
      <c r="G1393" s="24" t="n"/>
      <c r="H1393" s="21">
        <f>IF(ISNUMBER($B1393),INT($B1393)-WEEKDAY($B1393,2)+1,"")</f>
        <v/>
      </c>
      <c r="I1393" s="24" t="n"/>
      <c r="J1393" s="22">
        <f t="array" ref="J1393">IF($D1393="","",IF($I1393="","(trống REF)",IFERROR(INDEX(MASTER_SOURCE!$B$2:$B$495,MATCH($I1393,MASTER_SOURCE!$A$2:$A$495,0)),"(REF không có trong MASTER_SOURCE)")))</f>
        <v/>
      </c>
      <c r="K1393" s="22">
        <f t="array" ref="K1393">IF($D1393="","",IFERROR(INDEX(MASTER_SOURCE!$C$2:$C$495,MATCH($I1393,MASTER_SOURCE!$A$2:$A$495,0)),""))</f>
        <v/>
      </c>
      <c r="L1393" s="22">
        <f t="array" ref="L1393">IF($D1393="","",IFERROR(INDEX(MASTER_SOURCE!$D$2:$D$495,MATCH($I1393,MASTER_SOURCE!$A$2:$A$495,0)),""))</f>
        <v/>
      </c>
      <c r="M1393" s="24" t="n"/>
      <c r="N1393" s="24" t="n"/>
      <c r="O1393" s="24" t="n"/>
      <c r="P1393" s="24" t="n"/>
      <c r="Q1393" s="22">
        <f>IF($D1393="","",IF(AND(OR(DANH_MUC!$L$5&lt;&gt;"Có",M1393="Có"),OR(DANH_MUC!$L$6&lt;&gt;"Có",N1393="Có"),OR(DANH_MUC!$L$7&lt;&gt;"Có",O1393="Có"),OR(DANH_MUC!$L$8&lt;&gt;"Có",P1393="Có")),"Có","Không"))</f>
        <v/>
      </c>
      <c r="R1393" s="22">
        <f>IF($D1393="","",IF(COUNTIF($D$2:$D1393,$D1393)&gt;1,"Trùng",""))</f>
        <v/>
      </c>
      <c r="S1393" s="22">
        <f>IF($D1393="","",IF(AND(LEN($D1393)=10,LEFT($D1393,1)="0",ISNUMBER(--$D1393)),"Có","Không"))</f>
        <v/>
      </c>
      <c r="T1393" s="22">
        <f>IF($D1393="","",IF(AND($C1393&lt;&gt;"",$Q1393="Có",$R1393="",$S1393="Có",AND($L1393&lt;&gt;"",OR($L1393&lt;&gt;"Chưa xác định",DANH_MUC!$L$9="Có"))),"Có","Không"))</f>
        <v/>
      </c>
      <c r="U1393" s="22">
        <f>IF(OR($D1393="",$T1393="Có"),"",IF($C1393="","Thiếu họ tên; ","")&amp;IF($S1393&lt;&gt;"Có","SĐT sai định dạng; ","")&amp;IF($R1393="Trùng","Trùng SĐT; ","")&amp;IF($Q1393&lt;&gt;"Có","Thiếu đồng ý bắt buộc; ","")&amp;IF($L1393="","Thiếu/sai Mã REF; ",IF(AND($L1393="Chưa xác định",DANH_MUC!$L$9&lt;&gt;"Có"),"Nguồn chưa xác định; ","")))</f>
        <v/>
      </c>
      <c r="V1393" s="22">
        <f>IF(OR($D1393="",$R1393="Trùng"),"",IF(COUNTIF(ORDERS!$C$2:$C$4995,$D1393)&gt;0,"Có","Không"))</f>
        <v/>
      </c>
      <c r="W1393" s="22">
        <f>IF(OR($D1393="",$R1393="Trùng"),"",COUNTIFS(ORDERS!$C$2:$C$4995,$D1393,ORDERS!$L$2:$L$4995,"Đã chuyển khoản"))</f>
        <v/>
      </c>
      <c r="X1393" s="23">
        <f>IF(OR($D1393="",$R1393="Trùng"),"",SUMIFS(ORDERS!$J$2:$J$4995,ORDERS!$C$2:$C$4995,$D1393,ORDERS!$L$2:$L$4995,"Đã chuyển khoản"))</f>
        <v/>
      </c>
      <c r="Y1393" s="24" t="n"/>
    </row>
    <row r="1394" ht="14.25" customHeight="1" s="40">
      <c r="A1394" s="24" t="n"/>
      <c r="B1394" s="27" t="n"/>
      <c r="C1394" s="24" t="n"/>
      <c r="D1394" s="28" t="n"/>
      <c r="E1394" s="29" t="n"/>
      <c r="F1394" s="24" t="n"/>
      <c r="G1394" s="24" t="n"/>
      <c r="H1394" s="21">
        <f>IF(ISNUMBER($B1394),INT($B1394)-WEEKDAY($B1394,2)+1,"")</f>
        <v/>
      </c>
      <c r="I1394" s="24" t="n"/>
      <c r="J1394" s="22">
        <f t="array" ref="J1394">IF($D1394="","",IF($I1394="","(trống REF)",IFERROR(INDEX(MASTER_SOURCE!$B$2:$B$495,MATCH($I1394,MASTER_SOURCE!$A$2:$A$495,0)),"(REF không có trong MASTER_SOURCE)")))</f>
        <v/>
      </c>
      <c r="K1394" s="22">
        <f t="array" ref="K1394">IF($D1394="","",IFERROR(INDEX(MASTER_SOURCE!$C$2:$C$495,MATCH($I1394,MASTER_SOURCE!$A$2:$A$495,0)),""))</f>
        <v/>
      </c>
      <c r="L1394" s="22">
        <f t="array" ref="L1394">IF($D1394="","",IFERROR(INDEX(MASTER_SOURCE!$D$2:$D$495,MATCH($I1394,MASTER_SOURCE!$A$2:$A$495,0)),""))</f>
        <v/>
      </c>
      <c r="M1394" s="24" t="n"/>
      <c r="N1394" s="24" t="n"/>
      <c r="O1394" s="24" t="n"/>
      <c r="P1394" s="24" t="n"/>
      <c r="Q1394" s="22">
        <f>IF($D1394="","",IF(AND(OR(DANH_MUC!$L$5&lt;&gt;"Có",M1394="Có"),OR(DANH_MUC!$L$6&lt;&gt;"Có",N1394="Có"),OR(DANH_MUC!$L$7&lt;&gt;"Có",O1394="Có"),OR(DANH_MUC!$L$8&lt;&gt;"Có",P1394="Có")),"Có","Không"))</f>
        <v/>
      </c>
      <c r="R1394" s="22">
        <f>IF($D1394="","",IF(COUNTIF($D$2:$D1394,$D1394)&gt;1,"Trùng",""))</f>
        <v/>
      </c>
      <c r="S1394" s="22">
        <f>IF($D1394="","",IF(AND(LEN($D1394)=10,LEFT($D1394,1)="0",ISNUMBER(--$D1394)),"Có","Không"))</f>
        <v/>
      </c>
      <c r="T1394" s="22">
        <f>IF($D1394="","",IF(AND($C1394&lt;&gt;"",$Q1394="Có",$R1394="",$S1394="Có",AND($L1394&lt;&gt;"",OR($L1394&lt;&gt;"Chưa xác định",DANH_MUC!$L$9="Có"))),"Có","Không"))</f>
        <v/>
      </c>
      <c r="U1394" s="22">
        <f>IF(OR($D1394="",$T1394="Có"),"",IF($C1394="","Thiếu họ tên; ","")&amp;IF($S1394&lt;&gt;"Có","SĐT sai định dạng; ","")&amp;IF($R1394="Trùng","Trùng SĐT; ","")&amp;IF($Q1394&lt;&gt;"Có","Thiếu đồng ý bắt buộc; ","")&amp;IF($L1394="","Thiếu/sai Mã REF; ",IF(AND($L1394="Chưa xác định",DANH_MUC!$L$9&lt;&gt;"Có"),"Nguồn chưa xác định; ","")))</f>
        <v/>
      </c>
      <c r="V1394" s="22">
        <f>IF(OR($D1394="",$R1394="Trùng"),"",IF(COUNTIF(ORDERS!$C$2:$C$4995,$D1394)&gt;0,"Có","Không"))</f>
        <v/>
      </c>
      <c r="W1394" s="22">
        <f>IF(OR($D1394="",$R1394="Trùng"),"",COUNTIFS(ORDERS!$C$2:$C$4995,$D1394,ORDERS!$L$2:$L$4995,"Đã chuyển khoản"))</f>
        <v/>
      </c>
      <c r="X1394" s="23">
        <f>IF(OR($D1394="",$R1394="Trùng"),"",SUMIFS(ORDERS!$J$2:$J$4995,ORDERS!$C$2:$C$4995,$D1394,ORDERS!$L$2:$L$4995,"Đã chuyển khoản"))</f>
        <v/>
      </c>
      <c r="Y1394" s="24" t="n"/>
    </row>
    <row r="1395" ht="14.25" customHeight="1" s="40">
      <c r="A1395" s="24" t="n"/>
      <c r="B1395" s="27" t="n"/>
      <c r="C1395" s="24" t="n"/>
      <c r="D1395" s="28" t="n"/>
      <c r="E1395" s="29" t="n"/>
      <c r="F1395" s="24" t="n"/>
      <c r="G1395" s="24" t="n"/>
      <c r="H1395" s="21">
        <f>IF(ISNUMBER($B1395),INT($B1395)-WEEKDAY($B1395,2)+1,"")</f>
        <v/>
      </c>
      <c r="I1395" s="24" t="n"/>
      <c r="J1395" s="22">
        <f t="array" ref="J1395">IF($D1395="","",IF($I1395="","(trống REF)",IFERROR(INDEX(MASTER_SOURCE!$B$2:$B$495,MATCH($I1395,MASTER_SOURCE!$A$2:$A$495,0)),"(REF không có trong MASTER_SOURCE)")))</f>
        <v/>
      </c>
      <c r="K1395" s="22">
        <f t="array" ref="K1395">IF($D1395="","",IFERROR(INDEX(MASTER_SOURCE!$C$2:$C$495,MATCH($I1395,MASTER_SOURCE!$A$2:$A$495,0)),""))</f>
        <v/>
      </c>
      <c r="L1395" s="22">
        <f t="array" ref="L1395">IF($D1395="","",IFERROR(INDEX(MASTER_SOURCE!$D$2:$D$495,MATCH($I1395,MASTER_SOURCE!$A$2:$A$495,0)),""))</f>
        <v/>
      </c>
      <c r="M1395" s="24" t="n"/>
      <c r="N1395" s="24" t="n"/>
      <c r="O1395" s="24" t="n"/>
      <c r="P1395" s="24" t="n"/>
      <c r="Q1395" s="22">
        <f>IF($D1395="","",IF(AND(OR(DANH_MUC!$L$5&lt;&gt;"Có",M1395="Có"),OR(DANH_MUC!$L$6&lt;&gt;"Có",N1395="Có"),OR(DANH_MUC!$L$7&lt;&gt;"Có",O1395="Có"),OR(DANH_MUC!$L$8&lt;&gt;"Có",P1395="Có")),"Có","Không"))</f>
        <v/>
      </c>
      <c r="R1395" s="22">
        <f>IF($D1395="","",IF(COUNTIF($D$2:$D1395,$D1395)&gt;1,"Trùng",""))</f>
        <v/>
      </c>
      <c r="S1395" s="22">
        <f>IF($D1395="","",IF(AND(LEN($D1395)=10,LEFT($D1395,1)="0",ISNUMBER(--$D1395)),"Có","Không"))</f>
        <v/>
      </c>
      <c r="T1395" s="22">
        <f>IF($D1395="","",IF(AND($C1395&lt;&gt;"",$Q1395="Có",$R1395="",$S1395="Có",AND($L1395&lt;&gt;"",OR($L1395&lt;&gt;"Chưa xác định",DANH_MUC!$L$9="Có"))),"Có","Không"))</f>
        <v/>
      </c>
      <c r="U1395" s="22">
        <f>IF(OR($D1395="",$T1395="Có"),"",IF($C1395="","Thiếu họ tên; ","")&amp;IF($S1395&lt;&gt;"Có","SĐT sai định dạng; ","")&amp;IF($R1395="Trùng","Trùng SĐT; ","")&amp;IF($Q1395&lt;&gt;"Có","Thiếu đồng ý bắt buộc; ","")&amp;IF($L1395="","Thiếu/sai Mã REF; ",IF(AND($L1395="Chưa xác định",DANH_MUC!$L$9&lt;&gt;"Có"),"Nguồn chưa xác định; ","")))</f>
        <v/>
      </c>
      <c r="V1395" s="22">
        <f>IF(OR($D1395="",$R1395="Trùng"),"",IF(COUNTIF(ORDERS!$C$2:$C$4995,$D1395)&gt;0,"Có","Không"))</f>
        <v/>
      </c>
      <c r="W1395" s="22">
        <f>IF(OR($D1395="",$R1395="Trùng"),"",COUNTIFS(ORDERS!$C$2:$C$4995,$D1395,ORDERS!$L$2:$L$4995,"Đã chuyển khoản"))</f>
        <v/>
      </c>
      <c r="X1395" s="23">
        <f>IF(OR($D1395="",$R1395="Trùng"),"",SUMIFS(ORDERS!$J$2:$J$4995,ORDERS!$C$2:$C$4995,$D1395,ORDERS!$L$2:$L$4995,"Đã chuyển khoản"))</f>
        <v/>
      </c>
      <c r="Y1395" s="24" t="n"/>
    </row>
    <row r="1396" ht="14.25" customHeight="1" s="40">
      <c r="A1396" s="24" t="n"/>
      <c r="B1396" s="27" t="n"/>
      <c r="C1396" s="24" t="n"/>
      <c r="D1396" s="28" t="n"/>
      <c r="E1396" s="29" t="n"/>
      <c r="F1396" s="24" t="n"/>
      <c r="G1396" s="24" t="n"/>
      <c r="H1396" s="21">
        <f>IF(ISNUMBER($B1396),INT($B1396)-WEEKDAY($B1396,2)+1,"")</f>
        <v/>
      </c>
      <c r="I1396" s="24" t="n"/>
      <c r="J1396" s="22">
        <f t="array" ref="J1396">IF($D1396="","",IF($I1396="","(trống REF)",IFERROR(INDEX(MASTER_SOURCE!$B$2:$B$495,MATCH($I1396,MASTER_SOURCE!$A$2:$A$495,0)),"(REF không có trong MASTER_SOURCE)")))</f>
        <v/>
      </c>
      <c r="K1396" s="22">
        <f t="array" ref="K1396">IF($D1396="","",IFERROR(INDEX(MASTER_SOURCE!$C$2:$C$495,MATCH($I1396,MASTER_SOURCE!$A$2:$A$495,0)),""))</f>
        <v/>
      </c>
      <c r="L1396" s="22">
        <f t="array" ref="L1396">IF($D1396="","",IFERROR(INDEX(MASTER_SOURCE!$D$2:$D$495,MATCH($I1396,MASTER_SOURCE!$A$2:$A$495,0)),""))</f>
        <v/>
      </c>
      <c r="M1396" s="24" t="n"/>
      <c r="N1396" s="24" t="n"/>
      <c r="O1396" s="24" t="n"/>
      <c r="P1396" s="24" t="n"/>
      <c r="Q1396" s="22">
        <f>IF($D1396="","",IF(AND(OR(DANH_MUC!$L$5&lt;&gt;"Có",M1396="Có"),OR(DANH_MUC!$L$6&lt;&gt;"Có",N1396="Có"),OR(DANH_MUC!$L$7&lt;&gt;"Có",O1396="Có"),OR(DANH_MUC!$L$8&lt;&gt;"Có",P1396="Có")),"Có","Không"))</f>
        <v/>
      </c>
      <c r="R1396" s="22">
        <f>IF($D1396="","",IF(COUNTIF($D$2:$D1396,$D1396)&gt;1,"Trùng",""))</f>
        <v/>
      </c>
      <c r="S1396" s="22">
        <f>IF($D1396="","",IF(AND(LEN($D1396)=10,LEFT($D1396,1)="0",ISNUMBER(--$D1396)),"Có","Không"))</f>
        <v/>
      </c>
      <c r="T1396" s="22">
        <f>IF($D1396="","",IF(AND($C1396&lt;&gt;"",$Q1396="Có",$R1396="",$S1396="Có",AND($L1396&lt;&gt;"",OR($L1396&lt;&gt;"Chưa xác định",DANH_MUC!$L$9="Có"))),"Có","Không"))</f>
        <v/>
      </c>
      <c r="U1396" s="22">
        <f>IF(OR($D1396="",$T1396="Có"),"",IF($C1396="","Thiếu họ tên; ","")&amp;IF($S1396&lt;&gt;"Có","SĐT sai định dạng; ","")&amp;IF($R1396="Trùng","Trùng SĐT; ","")&amp;IF($Q1396&lt;&gt;"Có","Thiếu đồng ý bắt buộc; ","")&amp;IF($L1396="","Thiếu/sai Mã REF; ",IF(AND($L1396="Chưa xác định",DANH_MUC!$L$9&lt;&gt;"Có"),"Nguồn chưa xác định; ","")))</f>
        <v/>
      </c>
      <c r="V1396" s="22">
        <f>IF(OR($D1396="",$R1396="Trùng"),"",IF(COUNTIF(ORDERS!$C$2:$C$4995,$D1396)&gt;0,"Có","Không"))</f>
        <v/>
      </c>
      <c r="W1396" s="22">
        <f>IF(OR($D1396="",$R1396="Trùng"),"",COUNTIFS(ORDERS!$C$2:$C$4995,$D1396,ORDERS!$L$2:$L$4995,"Đã chuyển khoản"))</f>
        <v/>
      </c>
      <c r="X1396" s="23">
        <f>IF(OR($D1396="",$R1396="Trùng"),"",SUMIFS(ORDERS!$J$2:$J$4995,ORDERS!$C$2:$C$4995,$D1396,ORDERS!$L$2:$L$4995,"Đã chuyển khoản"))</f>
        <v/>
      </c>
      <c r="Y1396" s="24" t="n"/>
    </row>
    <row r="1397" ht="14.25" customHeight="1" s="40">
      <c r="A1397" s="24" t="n"/>
      <c r="B1397" s="27" t="n"/>
      <c r="C1397" s="24" t="n"/>
      <c r="D1397" s="28" t="n"/>
      <c r="E1397" s="29" t="n"/>
      <c r="F1397" s="24" t="n"/>
      <c r="G1397" s="24" t="n"/>
      <c r="H1397" s="21">
        <f>IF(ISNUMBER($B1397),INT($B1397)-WEEKDAY($B1397,2)+1,"")</f>
        <v/>
      </c>
      <c r="I1397" s="24" t="n"/>
      <c r="J1397" s="22">
        <f t="array" ref="J1397">IF($D1397="","",IF($I1397="","(trống REF)",IFERROR(INDEX(MASTER_SOURCE!$B$2:$B$495,MATCH($I1397,MASTER_SOURCE!$A$2:$A$495,0)),"(REF không có trong MASTER_SOURCE)")))</f>
        <v/>
      </c>
      <c r="K1397" s="22">
        <f t="array" ref="K1397">IF($D1397="","",IFERROR(INDEX(MASTER_SOURCE!$C$2:$C$495,MATCH($I1397,MASTER_SOURCE!$A$2:$A$495,0)),""))</f>
        <v/>
      </c>
      <c r="L1397" s="22">
        <f t="array" ref="L1397">IF($D1397="","",IFERROR(INDEX(MASTER_SOURCE!$D$2:$D$495,MATCH($I1397,MASTER_SOURCE!$A$2:$A$495,0)),""))</f>
        <v/>
      </c>
      <c r="M1397" s="24" t="n"/>
      <c r="N1397" s="24" t="n"/>
      <c r="O1397" s="24" t="n"/>
      <c r="P1397" s="24" t="n"/>
      <c r="Q1397" s="22">
        <f>IF($D1397="","",IF(AND(OR(DANH_MUC!$L$5&lt;&gt;"Có",M1397="Có"),OR(DANH_MUC!$L$6&lt;&gt;"Có",N1397="Có"),OR(DANH_MUC!$L$7&lt;&gt;"Có",O1397="Có"),OR(DANH_MUC!$L$8&lt;&gt;"Có",P1397="Có")),"Có","Không"))</f>
        <v/>
      </c>
      <c r="R1397" s="22">
        <f>IF($D1397="","",IF(COUNTIF($D$2:$D1397,$D1397)&gt;1,"Trùng",""))</f>
        <v/>
      </c>
      <c r="S1397" s="22">
        <f>IF($D1397="","",IF(AND(LEN($D1397)=10,LEFT($D1397,1)="0",ISNUMBER(--$D1397)),"Có","Không"))</f>
        <v/>
      </c>
      <c r="T1397" s="22">
        <f>IF($D1397="","",IF(AND($C1397&lt;&gt;"",$Q1397="Có",$R1397="",$S1397="Có",AND($L1397&lt;&gt;"",OR($L1397&lt;&gt;"Chưa xác định",DANH_MUC!$L$9="Có"))),"Có","Không"))</f>
        <v/>
      </c>
      <c r="U1397" s="22">
        <f>IF(OR($D1397="",$T1397="Có"),"",IF($C1397="","Thiếu họ tên; ","")&amp;IF($S1397&lt;&gt;"Có","SĐT sai định dạng; ","")&amp;IF($R1397="Trùng","Trùng SĐT; ","")&amp;IF($Q1397&lt;&gt;"Có","Thiếu đồng ý bắt buộc; ","")&amp;IF($L1397="","Thiếu/sai Mã REF; ",IF(AND($L1397="Chưa xác định",DANH_MUC!$L$9&lt;&gt;"Có"),"Nguồn chưa xác định; ","")))</f>
        <v/>
      </c>
      <c r="V1397" s="22">
        <f>IF(OR($D1397="",$R1397="Trùng"),"",IF(COUNTIF(ORDERS!$C$2:$C$4995,$D1397)&gt;0,"Có","Không"))</f>
        <v/>
      </c>
      <c r="W1397" s="22">
        <f>IF(OR($D1397="",$R1397="Trùng"),"",COUNTIFS(ORDERS!$C$2:$C$4995,$D1397,ORDERS!$L$2:$L$4995,"Đã chuyển khoản"))</f>
        <v/>
      </c>
      <c r="X1397" s="23">
        <f>IF(OR($D1397="",$R1397="Trùng"),"",SUMIFS(ORDERS!$J$2:$J$4995,ORDERS!$C$2:$C$4995,$D1397,ORDERS!$L$2:$L$4995,"Đã chuyển khoản"))</f>
        <v/>
      </c>
      <c r="Y1397" s="24" t="n"/>
    </row>
    <row r="1398" ht="14.25" customHeight="1" s="40">
      <c r="A1398" s="24" t="n"/>
      <c r="B1398" s="27" t="n"/>
      <c r="C1398" s="24" t="n"/>
      <c r="D1398" s="28" t="n"/>
      <c r="E1398" s="29" t="n"/>
      <c r="F1398" s="24" t="n"/>
      <c r="G1398" s="24" t="n"/>
      <c r="H1398" s="21">
        <f>IF(ISNUMBER($B1398),INT($B1398)-WEEKDAY($B1398,2)+1,"")</f>
        <v/>
      </c>
      <c r="I1398" s="24" t="n"/>
      <c r="J1398" s="22">
        <f t="array" ref="J1398">IF($D1398="","",IF($I1398="","(trống REF)",IFERROR(INDEX(MASTER_SOURCE!$B$2:$B$495,MATCH($I1398,MASTER_SOURCE!$A$2:$A$495,0)),"(REF không có trong MASTER_SOURCE)")))</f>
        <v/>
      </c>
      <c r="K1398" s="22">
        <f t="array" ref="K1398">IF($D1398="","",IFERROR(INDEX(MASTER_SOURCE!$C$2:$C$495,MATCH($I1398,MASTER_SOURCE!$A$2:$A$495,0)),""))</f>
        <v/>
      </c>
      <c r="L1398" s="22">
        <f t="array" ref="L1398">IF($D1398="","",IFERROR(INDEX(MASTER_SOURCE!$D$2:$D$495,MATCH($I1398,MASTER_SOURCE!$A$2:$A$495,0)),""))</f>
        <v/>
      </c>
      <c r="M1398" s="24" t="n"/>
      <c r="N1398" s="24" t="n"/>
      <c r="O1398" s="24" t="n"/>
      <c r="P1398" s="24" t="n"/>
      <c r="Q1398" s="22">
        <f>IF($D1398="","",IF(AND(OR(DANH_MUC!$L$5&lt;&gt;"Có",M1398="Có"),OR(DANH_MUC!$L$6&lt;&gt;"Có",N1398="Có"),OR(DANH_MUC!$L$7&lt;&gt;"Có",O1398="Có"),OR(DANH_MUC!$L$8&lt;&gt;"Có",P1398="Có")),"Có","Không"))</f>
        <v/>
      </c>
      <c r="R1398" s="22">
        <f>IF($D1398="","",IF(COUNTIF($D$2:$D1398,$D1398)&gt;1,"Trùng",""))</f>
        <v/>
      </c>
      <c r="S1398" s="22">
        <f>IF($D1398="","",IF(AND(LEN($D1398)=10,LEFT($D1398,1)="0",ISNUMBER(--$D1398)),"Có","Không"))</f>
        <v/>
      </c>
      <c r="T1398" s="22">
        <f>IF($D1398="","",IF(AND($C1398&lt;&gt;"",$Q1398="Có",$R1398="",$S1398="Có",AND($L1398&lt;&gt;"",OR($L1398&lt;&gt;"Chưa xác định",DANH_MUC!$L$9="Có"))),"Có","Không"))</f>
        <v/>
      </c>
      <c r="U1398" s="22">
        <f>IF(OR($D1398="",$T1398="Có"),"",IF($C1398="","Thiếu họ tên; ","")&amp;IF($S1398&lt;&gt;"Có","SĐT sai định dạng; ","")&amp;IF($R1398="Trùng","Trùng SĐT; ","")&amp;IF($Q1398&lt;&gt;"Có","Thiếu đồng ý bắt buộc; ","")&amp;IF($L1398="","Thiếu/sai Mã REF; ",IF(AND($L1398="Chưa xác định",DANH_MUC!$L$9&lt;&gt;"Có"),"Nguồn chưa xác định; ","")))</f>
        <v/>
      </c>
      <c r="V1398" s="22">
        <f>IF(OR($D1398="",$R1398="Trùng"),"",IF(COUNTIF(ORDERS!$C$2:$C$4995,$D1398)&gt;0,"Có","Không"))</f>
        <v/>
      </c>
      <c r="W1398" s="22">
        <f>IF(OR($D1398="",$R1398="Trùng"),"",COUNTIFS(ORDERS!$C$2:$C$4995,$D1398,ORDERS!$L$2:$L$4995,"Đã chuyển khoản"))</f>
        <v/>
      </c>
      <c r="X1398" s="23">
        <f>IF(OR($D1398="",$R1398="Trùng"),"",SUMIFS(ORDERS!$J$2:$J$4995,ORDERS!$C$2:$C$4995,$D1398,ORDERS!$L$2:$L$4995,"Đã chuyển khoản"))</f>
        <v/>
      </c>
      <c r="Y1398" s="24" t="n"/>
    </row>
    <row r="1399" ht="14.25" customHeight="1" s="40">
      <c r="A1399" s="24" t="n"/>
      <c r="B1399" s="27" t="n"/>
      <c r="C1399" s="24" t="n"/>
      <c r="D1399" s="28" t="n"/>
      <c r="E1399" s="29" t="n"/>
      <c r="F1399" s="24" t="n"/>
      <c r="G1399" s="24" t="n"/>
      <c r="H1399" s="21">
        <f>IF(ISNUMBER($B1399),INT($B1399)-WEEKDAY($B1399,2)+1,"")</f>
        <v/>
      </c>
      <c r="I1399" s="24" t="n"/>
      <c r="J1399" s="22">
        <f t="array" ref="J1399">IF($D1399="","",IF($I1399="","(trống REF)",IFERROR(INDEX(MASTER_SOURCE!$B$2:$B$495,MATCH($I1399,MASTER_SOURCE!$A$2:$A$495,0)),"(REF không có trong MASTER_SOURCE)")))</f>
        <v/>
      </c>
      <c r="K1399" s="22">
        <f t="array" ref="K1399">IF($D1399="","",IFERROR(INDEX(MASTER_SOURCE!$C$2:$C$495,MATCH($I1399,MASTER_SOURCE!$A$2:$A$495,0)),""))</f>
        <v/>
      </c>
      <c r="L1399" s="22">
        <f t="array" ref="L1399">IF($D1399="","",IFERROR(INDEX(MASTER_SOURCE!$D$2:$D$495,MATCH($I1399,MASTER_SOURCE!$A$2:$A$495,0)),""))</f>
        <v/>
      </c>
      <c r="M1399" s="24" t="n"/>
      <c r="N1399" s="24" t="n"/>
      <c r="O1399" s="24" t="n"/>
      <c r="P1399" s="24" t="n"/>
      <c r="Q1399" s="22">
        <f>IF($D1399="","",IF(AND(OR(DANH_MUC!$L$5&lt;&gt;"Có",M1399="Có"),OR(DANH_MUC!$L$6&lt;&gt;"Có",N1399="Có"),OR(DANH_MUC!$L$7&lt;&gt;"Có",O1399="Có"),OR(DANH_MUC!$L$8&lt;&gt;"Có",P1399="Có")),"Có","Không"))</f>
        <v/>
      </c>
      <c r="R1399" s="22">
        <f>IF($D1399="","",IF(COUNTIF($D$2:$D1399,$D1399)&gt;1,"Trùng",""))</f>
        <v/>
      </c>
      <c r="S1399" s="22">
        <f>IF($D1399="","",IF(AND(LEN($D1399)=10,LEFT($D1399,1)="0",ISNUMBER(--$D1399)),"Có","Không"))</f>
        <v/>
      </c>
      <c r="T1399" s="22">
        <f>IF($D1399="","",IF(AND($C1399&lt;&gt;"",$Q1399="Có",$R1399="",$S1399="Có",AND($L1399&lt;&gt;"",OR($L1399&lt;&gt;"Chưa xác định",DANH_MUC!$L$9="Có"))),"Có","Không"))</f>
        <v/>
      </c>
      <c r="U1399" s="22">
        <f>IF(OR($D1399="",$T1399="Có"),"",IF($C1399="","Thiếu họ tên; ","")&amp;IF($S1399&lt;&gt;"Có","SĐT sai định dạng; ","")&amp;IF($R1399="Trùng","Trùng SĐT; ","")&amp;IF($Q1399&lt;&gt;"Có","Thiếu đồng ý bắt buộc; ","")&amp;IF($L1399="","Thiếu/sai Mã REF; ",IF(AND($L1399="Chưa xác định",DANH_MUC!$L$9&lt;&gt;"Có"),"Nguồn chưa xác định; ","")))</f>
        <v/>
      </c>
      <c r="V1399" s="22">
        <f>IF(OR($D1399="",$R1399="Trùng"),"",IF(COUNTIF(ORDERS!$C$2:$C$4995,$D1399)&gt;0,"Có","Không"))</f>
        <v/>
      </c>
      <c r="W1399" s="22">
        <f>IF(OR($D1399="",$R1399="Trùng"),"",COUNTIFS(ORDERS!$C$2:$C$4995,$D1399,ORDERS!$L$2:$L$4995,"Đã chuyển khoản"))</f>
        <v/>
      </c>
      <c r="X1399" s="23">
        <f>IF(OR($D1399="",$R1399="Trùng"),"",SUMIFS(ORDERS!$J$2:$J$4995,ORDERS!$C$2:$C$4995,$D1399,ORDERS!$L$2:$L$4995,"Đã chuyển khoản"))</f>
        <v/>
      </c>
      <c r="Y1399" s="24" t="n"/>
    </row>
    <row r="1400" ht="14.25" customHeight="1" s="40">
      <c r="A1400" s="24" t="n"/>
      <c r="B1400" s="27" t="n"/>
      <c r="C1400" s="24" t="n"/>
      <c r="D1400" s="28" t="n"/>
      <c r="E1400" s="29" t="n"/>
      <c r="F1400" s="24" t="n"/>
      <c r="G1400" s="24" t="n"/>
      <c r="H1400" s="21">
        <f>IF(ISNUMBER($B1400),INT($B1400)-WEEKDAY($B1400,2)+1,"")</f>
        <v/>
      </c>
      <c r="I1400" s="24" t="n"/>
      <c r="J1400" s="22">
        <f t="array" ref="J1400">IF($D1400="","",IF($I1400="","(trống REF)",IFERROR(INDEX(MASTER_SOURCE!$B$2:$B$495,MATCH($I1400,MASTER_SOURCE!$A$2:$A$495,0)),"(REF không có trong MASTER_SOURCE)")))</f>
        <v/>
      </c>
      <c r="K1400" s="22">
        <f t="array" ref="K1400">IF($D1400="","",IFERROR(INDEX(MASTER_SOURCE!$C$2:$C$495,MATCH($I1400,MASTER_SOURCE!$A$2:$A$495,0)),""))</f>
        <v/>
      </c>
      <c r="L1400" s="22">
        <f t="array" ref="L1400">IF($D1400="","",IFERROR(INDEX(MASTER_SOURCE!$D$2:$D$495,MATCH($I1400,MASTER_SOURCE!$A$2:$A$495,0)),""))</f>
        <v/>
      </c>
      <c r="M1400" s="24" t="n"/>
      <c r="N1400" s="24" t="n"/>
      <c r="O1400" s="24" t="n"/>
      <c r="P1400" s="24" t="n"/>
      <c r="Q1400" s="22">
        <f>IF($D1400="","",IF(AND(OR(DANH_MUC!$L$5&lt;&gt;"Có",M1400="Có"),OR(DANH_MUC!$L$6&lt;&gt;"Có",N1400="Có"),OR(DANH_MUC!$L$7&lt;&gt;"Có",O1400="Có"),OR(DANH_MUC!$L$8&lt;&gt;"Có",P1400="Có")),"Có","Không"))</f>
        <v/>
      </c>
      <c r="R1400" s="22">
        <f>IF($D1400="","",IF(COUNTIF($D$2:$D1400,$D1400)&gt;1,"Trùng",""))</f>
        <v/>
      </c>
      <c r="S1400" s="22">
        <f>IF($D1400="","",IF(AND(LEN($D1400)=10,LEFT($D1400,1)="0",ISNUMBER(--$D1400)),"Có","Không"))</f>
        <v/>
      </c>
      <c r="T1400" s="22">
        <f>IF($D1400="","",IF(AND($C1400&lt;&gt;"",$Q1400="Có",$R1400="",$S1400="Có",AND($L1400&lt;&gt;"",OR($L1400&lt;&gt;"Chưa xác định",DANH_MUC!$L$9="Có"))),"Có","Không"))</f>
        <v/>
      </c>
      <c r="U1400" s="22">
        <f>IF(OR($D1400="",$T1400="Có"),"",IF($C1400="","Thiếu họ tên; ","")&amp;IF($S1400&lt;&gt;"Có","SĐT sai định dạng; ","")&amp;IF($R1400="Trùng","Trùng SĐT; ","")&amp;IF($Q1400&lt;&gt;"Có","Thiếu đồng ý bắt buộc; ","")&amp;IF($L1400="","Thiếu/sai Mã REF; ",IF(AND($L1400="Chưa xác định",DANH_MUC!$L$9&lt;&gt;"Có"),"Nguồn chưa xác định; ","")))</f>
        <v/>
      </c>
      <c r="V1400" s="22">
        <f>IF(OR($D1400="",$R1400="Trùng"),"",IF(COUNTIF(ORDERS!$C$2:$C$4995,$D1400)&gt;0,"Có","Không"))</f>
        <v/>
      </c>
      <c r="W1400" s="22">
        <f>IF(OR($D1400="",$R1400="Trùng"),"",COUNTIFS(ORDERS!$C$2:$C$4995,$D1400,ORDERS!$L$2:$L$4995,"Đã chuyển khoản"))</f>
        <v/>
      </c>
      <c r="X1400" s="23">
        <f>IF(OR($D1400="",$R1400="Trùng"),"",SUMIFS(ORDERS!$J$2:$J$4995,ORDERS!$C$2:$C$4995,$D1400,ORDERS!$L$2:$L$4995,"Đã chuyển khoản"))</f>
        <v/>
      </c>
      <c r="Y1400" s="24" t="n"/>
    </row>
    <row r="1401" ht="14.25" customHeight="1" s="40">
      <c r="A1401" s="24" t="n"/>
      <c r="B1401" s="27" t="n"/>
      <c r="C1401" s="24" t="n"/>
      <c r="D1401" s="28" t="n"/>
      <c r="E1401" s="29" t="n"/>
      <c r="F1401" s="24" t="n"/>
      <c r="G1401" s="24" t="n"/>
      <c r="H1401" s="21">
        <f>IF(ISNUMBER($B1401),INT($B1401)-WEEKDAY($B1401,2)+1,"")</f>
        <v/>
      </c>
      <c r="I1401" s="24" t="n"/>
      <c r="J1401" s="22">
        <f t="array" ref="J1401">IF($D1401="","",IF($I1401="","(trống REF)",IFERROR(INDEX(MASTER_SOURCE!$B$2:$B$495,MATCH($I1401,MASTER_SOURCE!$A$2:$A$495,0)),"(REF không có trong MASTER_SOURCE)")))</f>
        <v/>
      </c>
      <c r="K1401" s="22">
        <f t="array" ref="K1401">IF($D1401="","",IFERROR(INDEX(MASTER_SOURCE!$C$2:$C$495,MATCH($I1401,MASTER_SOURCE!$A$2:$A$495,0)),""))</f>
        <v/>
      </c>
      <c r="L1401" s="22">
        <f t="array" ref="L1401">IF($D1401="","",IFERROR(INDEX(MASTER_SOURCE!$D$2:$D$495,MATCH($I1401,MASTER_SOURCE!$A$2:$A$495,0)),""))</f>
        <v/>
      </c>
      <c r="M1401" s="24" t="n"/>
      <c r="N1401" s="24" t="n"/>
      <c r="O1401" s="24" t="n"/>
      <c r="P1401" s="24" t="n"/>
      <c r="Q1401" s="22">
        <f>IF($D1401="","",IF(AND(OR(DANH_MUC!$L$5&lt;&gt;"Có",M1401="Có"),OR(DANH_MUC!$L$6&lt;&gt;"Có",N1401="Có"),OR(DANH_MUC!$L$7&lt;&gt;"Có",O1401="Có"),OR(DANH_MUC!$L$8&lt;&gt;"Có",P1401="Có")),"Có","Không"))</f>
        <v/>
      </c>
      <c r="R1401" s="22">
        <f>IF($D1401="","",IF(COUNTIF($D$2:$D1401,$D1401)&gt;1,"Trùng",""))</f>
        <v/>
      </c>
      <c r="S1401" s="22">
        <f>IF($D1401="","",IF(AND(LEN($D1401)=10,LEFT($D1401,1)="0",ISNUMBER(--$D1401)),"Có","Không"))</f>
        <v/>
      </c>
      <c r="T1401" s="22">
        <f>IF($D1401="","",IF(AND($C1401&lt;&gt;"",$Q1401="Có",$R1401="",$S1401="Có",AND($L1401&lt;&gt;"",OR($L1401&lt;&gt;"Chưa xác định",DANH_MUC!$L$9="Có"))),"Có","Không"))</f>
        <v/>
      </c>
      <c r="U1401" s="22">
        <f>IF(OR($D1401="",$T1401="Có"),"",IF($C1401="","Thiếu họ tên; ","")&amp;IF($S1401&lt;&gt;"Có","SĐT sai định dạng; ","")&amp;IF($R1401="Trùng","Trùng SĐT; ","")&amp;IF($Q1401&lt;&gt;"Có","Thiếu đồng ý bắt buộc; ","")&amp;IF($L1401="","Thiếu/sai Mã REF; ",IF(AND($L1401="Chưa xác định",DANH_MUC!$L$9&lt;&gt;"Có"),"Nguồn chưa xác định; ","")))</f>
        <v/>
      </c>
      <c r="V1401" s="22">
        <f>IF(OR($D1401="",$R1401="Trùng"),"",IF(COUNTIF(ORDERS!$C$2:$C$4995,$D1401)&gt;0,"Có","Không"))</f>
        <v/>
      </c>
      <c r="W1401" s="22">
        <f>IF(OR($D1401="",$R1401="Trùng"),"",COUNTIFS(ORDERS!$C$2:$C$4995,$D1401,ORDERS!$L$2:$L$4995,"Đã chuyển khoản"))</f>
        <v/>
      </c>
      <c r="X1401" s="23">
        <f>IF(OR($D1401="",$R1401="Trùng"),"",SUMIFS(ORDERS!$J$2:$J$4995,ORDERS!$C$2:$C$4995,$D1401,ORDERS!$L$2:$L$4995,"Đã chuyển khoản"))</f>
        <v/>
      </c>
      <c r="Y1401" s="24" t="n"/>
    </row>
    <row r="1402" ht="14.25" customHeight="1" s="40">
      <c r="A1402" s="24" t="n"/>
      <c r="B1402" s="27" t="n"/>
      <c r="C1402" s="24" t="n"/>
      <c r="D1402" s="28" t="n"/>
      <c r="E1402" s="29" t="n"/>
      <c r="F1402" s="24" t="n"/>
      <c r="G1402" s="24" t="n"/>
      <c r="H1402" s="21">
        <f>IF(ISNUMBER($B1402),INT($B1402)-WEEKDAY($B1402,2)+1,"")</f>
        <v/>
      </c>
      <c r="I1402" s="24" t="n"/>
      <c r="J1402" s="22">
        <f t="array" ref="J1402">IF($D1402="","",IF($I1402="","(trống REF)",IFERROR(INDEX(MASTER_SOURCE!$B$2:$B$495,MATCH($I1402,MASTER_SOURCE!$A$2:$A$495,0)),"(REF không có trong MASTER_SOURCE)")))</f>
        <v/>
      </c>
      <c r="K1402" s="22">
        <f t="array" ref="K1402">IF($D1402="","",IFERROR(INDEX(MASTER_SOURCE!$C$2:$C$495,MATCH($I1402,MASTER_SOURCE!$A$2:$A$495,0)),""))</f>
        <v/>
      </c>
      <c r="L1402" s="22">
        <f t="array" ref="L1402">IF($D1402="","",IFERROR(INDEX(MASTER_SOURCE!$D$2:$D$495,MATCH($I1402,MASTER_SOURCE!$A$2:$A$495,0)),""))</f>
        <v/>
      </c>
      <c r="M1402" s="24" t="n"/>
      <c r="N1402" s="24" t="n"/>
      <c r="O1402" s="24" t="n"/>
      <c r="P1402" s="24" t="n"/>
      <c r="Q1402" s="22">
        <f>IF($D1402="","",IF(AND(OR(DANH_MUC!$L$5&lt;&gt;"Có",M1402="Có"),OR(DANH_MUC!$L$6&lt;&gt;"Có",N1402="Có"),OR(DANH_MUC!$L$7&lt;&gt;"Có",O1402="Có"),OR(DANH_MUC!$L$8&lt;&gt;"Có",P1402="Có")),"Có","Không"))</f>
        <v/>
      </c>
      <c r="R1402" s="22">
        <f>IF($D1402="","",IF(COUNTIF($D$2:$D1402,$D1402)&gt;1,"Trùng",""))</f>
        <v/>
      </c>
      <c r="S1402" s="22">
        <f>IF($D1402="","",IF(AND(LEN($D1402)=10,LEFT($D1402,1)="0",ISNUMBER(--$D1402)),"Có","Không"))</f>
        <v/>
      </c>
      <c r="T1402" s="22">
        <f>IF($D1402="","",IF(AND($C1402&lt;&gt;"",$Q1402="Có",$R1402="",$S1402="Có",AND($L1402&lt;&gt;"",OR($L1402&lt;&gt;"Chưa xác định",DANH_MUC!$L$9="Có"))),"Có","Không"))</f>
        <v/>
      </c>
      <c r="U1402" s="22">
        <f>IF(OR($D1402="",$T1402="Có"),"",IF($C1402="","Thiếu họ tên; ","")&amp;IF($S1402&lt;&gt;"Có","SĐT sai định dạng; ","")&amp;IF($R1402="Trùng","Trùng SĐT; ","")&amp;IF($Q1402&lt;&gt;"Có","Thiếu đồng ý bắt buộc; ","")&amp;IF($L1402="","Thiếu/sai Mã REF; ",IF(AND($L1402="Chưa xác định",DANH_MUC!$L$9&lt;&gt;"Có"),"Nguồn chưa xác định; ","")))</f>
        <v/>
      </c>
      <c r="V1402" s="22">
        <f>IF(OR($D1402="",$R1402="Trùng"),"",IF(COUNTIF(ORDERS!$C$2:$C$4995,$D1402)&gt;0,"Có","Không"))</f>
        <v/>
      </c>
      <c r="W1402" s="22">
        <f>IF(OR($D1402="",$R1402="Trùng"),"",COUNTIFS(ORDERS!$C$2:$C$4995,$D1402,ORDERS!$L$2:$L$4995,"Đã chuyển khoản"))</f>
        <v/>
      </c>
      <c r="X1402" s="23">
        <f>IF(OR($D1402="",$R1402="Trùng"),"",SUMIFS(ORDERS!$J$2:$J$4995,ORDERS!$C$2:$C$4995,$D1402,ORDERS!$L$2:$L$4995,"Đã chuyển khoản"))</f>
        <v/>
      </c>
      <c r="Y1402" s="24" t="n"/>
    </row>
    <row r="1403" ht="14.25" customHeight="1" s="40">
      <c r="A1403" s="24" t="n"/>
      <c r="B1403" s="27" t="n"/>
      <c r="C1403" s="24" t="n"/>
      <c r="D1403" s="28" t="n"/>
      <c r="E1403" s="29" t="n"/>
      <c r="F1403" s="24" t="n"/>
      <c r="G1403" s="24" t="n"/>
      <c r="H1403" s="21">
        <f>IF(ISNUMBER($B1403),INT($B1403)-WEEKDAY($B1403,2)+1,"")</f>
        <v/>
      </c>
      <c r="I1403" s="24" t="n"/>
      <c r="J1403" s="22">
        <f t="array" ref="J1403">IF($D1403="","",IF($I1403="","(trống REF)",IFERROR(INDEX(MASTER_SOURCE!$B$2:$B$495,MATCH($I1403,MASTER_SOURCE!$A$2:$A$495,0)),"(REF không có trong MASTER_SOURCE)")))</f>
        <v/>
      </c>
      <c r="K1403" s="22">
        <f t="array" ref="K1403">IF($D1403="","",IFERROR(INDEX(MASTER_SOURCE!$C$2:$C$495,MATCH($I1403,MASTER_SOURCE!$A$2:$A$495,0)),""))</f>
        <v/>
      </c>
      <c r="L1403" s="22">
        <f t="array" ref="L1403">IF($D1403="","",IFERROR(INDEX(MASTER_SOURCE!$D$2:$D$495,MATCH($I1403,MASTER_SOURCE!$A$2:$A$495,0)),""))</f>
        <v/>
      </c>
      <c r="M1403" s="24" t="n"/>
      <c r="N1403" s="24" t="n"/>
      <c r="O1403" s="24" t="n"/>
      <c r="P1403" s="24" t="n"/>
      <c r="Q1403" s="22">
        <f>IF($D1403="","",IF(AND(OR(DANH_MUC!$L$5&lt;&gt;"Có",M1403="Có"),OR(DANH_MUC!$L$6&lt;&gt;"Có",N1403="Có"),OR(DANH_MUC!$L$7&lt;&gt;"Có",O1403="Có"),OR(DANH_MUC!$L$8&lt;&gt;"Có",P1403="Có")),"Có","Không"))</f>
        <v/>
      </c>
      <c r="R1403" s="22">
        <f>IF($D1403="","",IF(COUNTIF($D$2:$D1403,$D1403)&gt;1,"Trùng",""))</f>
        <v/>
      </c>
      <c r="S1403" s="22">
        <f>IF($D1403="","",IF(AND(LEN($D1403)=10,LEFT($D1403,1)="0",ISNUMBER(--$D1403)),"Có","Không"))</f>
        <v/>
      </c>
      <c r="T1403" s="22">
        <f>IF($D1403="","",IF(AND($C1403&lt;&gt;"",$Q1403="Có",$R1403="",$S1403="Có",AND($L1403&lt;&gt;"",OR($L1403&lt;&gt;"Chưa xác định",DANH_MUC!$L$9="Có"))),"Có","Không"))</f>
        <v/>
      </c>
      <c r="U1403" s="22">
        <f>IF(OR($D1403="",$T1403="Có"),"",IF($C1403="","Thiếu họ tên; ","")&amp;IF($S1403&lt;&gt;"Có","SĐT sai định dạng; ","")&amp;IF($R1403="Trùng","Trùng SĐT; ","")&amp;IF($Q1403&lt;&gt;"Có","Thiếu đồng ý bắt buộc; ","")&amp;IF($L1403="","Thiếu/sai Mã REF; ",IF(AND($L1403="Chưa xác định",DANH_MUC!$L$9&lt;&gt;"Có"),"Nguồn chưa xác định; ","")))</f>
        <v/>
      </c>
      <c r="V1403" s="22">
        <f>IF(OR($D1403="",$R1403="Trùng"),"",IF(COUNTIF(ORDERS!$C$2:$C$4995,$D1403)&gt;0,"Có","Không"))</f>
        <v/>
      </c>
      <c r="W1403" s="22">
        <f>IF(OR($D1403="",$R1403="Trùng"),"",COUNTIFS(ORDERS!$C$2:$C$4995,$D1403,ORDERS!$L$2:$L$4995,"Đã chuyển khoản"))</f>
        <v/>
      </c>
      <c r="X1403" s="23">
        <f>IF(OR($D1403="",$R1403="Trùng"),"",SUMIFS(ORDERS!$J$2:$J$4995,ORDERS!$C$2:$C$4995,$D1403,ORDERS!$L$2:$L$4995,"Đã chuyển khoản"))</f>
        <v/>
      </c>
      <c r="Y1403" s="24" t="n"/>
    </row>
    <row r="1404" ht="14.25" customHeight="1" s="40">
      <c r="A1404" s="24" t="n"/>
      <c r="B1404" s="27" t="n"/>
      <c r="C1404" s="24" t="n"/>
      <c r="D1404" s="28" t="n"/>
      <c r="E1404" s="29" t="n"/>
      <c r="F1404" s="24" t="n"/>
      <c r="G1404" s="24" t="n"/>
      <c r="H1404" s="21">
        <f>IF(ISNUMBER($B1404),INT($B1404)-WEEKDAY($B1404,2)+1,"")</f>
        <v/>
      </c>
      <c r="I1404" s="24" t="n"/>
      <c r="J1404" s="22">
        <f t="array" ref="J1404">IF($D1404="","",IF($I1404="","(trống REF)",IFERROR(INDEX(MASTER_SOURCE!$B$2:$B$495,MATCH($I1404,MASTER_SOURCE!$A$2:$A$495,0)),"(REF không có trong MASTER_SOURCE)")))</f>
        <v/>
      </c>
      <c r="K1404" s="22">
        <f t="array" ref="K1404">IF($D1404="","",IFERROR(INDEX(MASTER_SOURCE!$C$2:$C$495,MATCH($I1404,MASTER_SOURCE!$A$2:$A$495,0)),""))</f>
        <v/>
      </c>
      <c r="L1404" s="22">
        <f t="array" ref="L1404">IF($D1404="","",IFERROR(INDEX(MASTER_SOURCE!$D$2:$D$495,MATCH($I1404,MASTER_SOURCE!$A$2:$A$495,0)),""))</f>
        <v/>
      </c>
      <c r="M1404" s="24" t="n"/>
      <c r="N1404" s="24" t="n"/>
      <c r="O1404" s="24" t="n"/>
      <c r="P1404" s="24" t="n"/>
      <c r="Q1404" s="22">
        <f>IF($D1404="","",IF(AND(OR(DANH_MUC!$L$5&lt;&gt;"Có",M1404="Có"),OR(DANH_MUC!$L$6&lt;&gt;"Có",N1404="Có"),OR(DANH_MUC!$L$7&lt;&gt;"Có",O1404="Có"),OR(DANH_MUC!$L$8&lt;&gt;"Có",P1404="Có")),"Có","Không"))</f>
        <v/>
      </c>
      <c r="R1404" s="22">
        <f>IF($D1404="","",IF(COUNTIF($D$2:$D1404,$D1404)&gt;1,"Trùng",""))</f>
        <v/>
      </c>
      <c r="S1404" s="22">
        <f>IF($D1404="","",IF(AND(LEN($D1404)=10,LEFT($D1404,1)="0",ISNUMBER(--$D1404)),"Có","Không"))</f>
        <v/>
      </c>
      <c r="T1404" s="22">
        <f>IF($D1404="","",IF(AND($C1404&lt;&gt;"",$Q1404="Có",$R1404="",$S1404="Có",AND($L1404&lt;&gt;"",OR($L1404&lt;&gt;"Chưa xác định",DANH_MUC!$L$9="Có"))),"Có","Không"))</f>
        <v/>
      </c>
      <c r="U1404" s="22">
        <f>IF(OR($D1404="",$T1404="Có"),"",IF($C1404="","Thiếu họ tên; ","")&amp;IF($S1404&lt;&gt;"Có","SĐT sai định dạng; ","")&amp;IF($R1404="Trùng","Trùng SĐT; ","")&amp;IF($Q1404&lt;&gt;"Có","Thiếu đồng ý bắt buộc; ","")&amp;IF($L1404="","Thiếu/sai Mã REF; ",IF(AND($L1404="Chưa xác định",DANH_MUC!$L$9&lt;&gt;"Có"),"Nguồn chưa xác định; ","")))</f>
        <v/>
      </c>
      <c r="V1404" s="22">
        <f>IF(OR($D1404="",$R1404="Trùng"),"",IF(COUNTIF(ORDERS!$C$2:$C$4995,$D1404)&gt;0,"Có","Không"))</f>
        <v/>
      </c>
      <c r="W1404" s="22">
        <f>IF(OR($D1404="",$R1404="Trùng"),"",COUNTIFS(ORDERS!$C$2:$C$4995,$D1404,ORDERS!$L$2:$L$4995,"Đã chuyển khoản"))</f>
        <v/>
      </c>
      <c r="X1404" s="23">
        <f>IF(OR($D1404="",$R1404="Trùng"),"",SUMIFS(ORDERS!$J$2:$J$4995,ORDERS!$C$2:$C$4995,$D1404,ORDERS!$L$2:$L$4995,"Đã chuyển khoản"))</f>
        <v/>
      </c>
      <c r="Y1404" s="24" t="n"/>
    </row>
    <row r="1405" ht="14.25" customHeight="1" s="40">
      <c r="A1405" s="24" t="n"/>
      <c r="B1405" s="27" t="n"/>
      <c r="C1405" s="24" t="n"/>
      <c r="D1405" s="28" t="n"/>
      <c r="E1405" s="29" t="n"/>
      <c r="F1405" s="24" t="n"/>
      <c r="G1405" s="24" t="n"/>
      <c r="H1405" s="21">
        <f>IF(ISNUMBER($B1405),INT($B1405)-WEEKDAY($B1405,2)+1,"")</f>
        <v/>
      </c>
      <c r="I1405" s="24" t="n"/>
      <c r="J1405" s="22">
        <f t="array" ref="J1405">IF($D1405="","",IF($I1405="","(trống REF)",IFERROR(INDEX(MASTER_SOURCE!$B$2:$B$495,MATCH($I1405,MASTER_SOURCE!$A$2:$A$495,0)),"(REF không có trong MASTER_SOURCE)")))</f>
        <v/>
      </c>
      <c r="K1405" s="22">
        <f t="array" ref="K1405">IF($D1405="","",IFERROR(INDEX(MASTER_SOURCE!$C$2:$C$495,MATCH($I1405,MASTER_SOURCE!$A$2:$A$495,0)),""))</f>
        <v/>
      </c>
      <c r="L1405" s="22">
        <f t="array" ref="L1405">IF($D1405="","",IFERROR(INDEX(MASTER_SOURCE!$D$2:$D$495,MATCH($I1405,MASTER_SOURCE!$A$2:$A$495,0)),""))</f>
        <v/>
      </c>
      <c r="M1405" s="24" t="n"/>
      <c r="N1405" s="24" t="n"/>
      <c r="O1405" s="24" t="n"/>
      <c r="P1405" s="24" t="n"/>
      <c r="Q1405" s="22">
        <f>IF($D1405="","",IF(AND(OR(DANH_MUC!$L$5&lt;&gt;"Có",M1405="Có"),OR(DANH_MUC!$L$6&lt;&gt;"Có",N1405="Có"),OR(DANH_MUC!$L$7&lt;&gt;"Có",O1405="Có"),OR(DANH_MUC!$L$8&lt;&gt;"Có",P1405="Có")),"Có","Không"))</f>
        <v/>
      </c>
      <c r="R1405" s="22">
        <f>IF($D1405="","",IF(COUNTIF($D$2:$D1405,$D1405)&gt;1,"Trùng",""))</f>
        <v/>
      </c>
      <c r="S1405" s="22">
        <f>IF($D1405="","",IF(AND(LEN($D1405)=10,LEFT($D1405,1)="0",ISNUMBER(--$D1405)),"Có","Không"))</f>
        <v/>
      </c>
      <c r="T1405" s="22">
        <f>IF($D1405="","",IF(AND($C1405&lt;&gt;"",$Q1405="Có",$R1405="",$S1405="Có",AND($L1405&lt;&gt;"",OR($L1405&lt;&gt;"Chưa xác định",DANH_MUC!$L$9="Có"))),"Có","Không"))</f>
        <v/>
      </c>
      <c r="U1405" s="22">
        <f>IF(OR($D1405="",$T1405="Có"),"",IF($C1405="","Thiếu họ tên; ","")&amp;IF($S1405&lt;&gt;"Có","SĐT sai định dạng; ","")&amp;IF($R1405="Trùng","Trùng SĐT; ","")&amp;IF($Q1405&lt;&gt;"Có","Thiếu đồng ý bắt buộc; ","")&amp;IF($L1405="","Thiếu/sai Mã REF; ",IF(AND($L1405="Chưa xác định",DANH_MUC!$L$9&lt;&gt;"Có"),"Nguồn chưa xác định; ","")))</f>
        <v/>
      </c>
      <c r="V1405" s="22">
        <f>IF(OR($D1405="",$R1405="Trùng"),"",IF(COUNTIF(ORDERS!$C$2:$C$4995,$D1405)&gt;0,"Có","Không"))</f>
        <v/>
      </c>
      <c r="W1405" s="22">
        <f>IF(OR($D1405="",$R1405="Trùng"),"",COUNTIFS(ORDERS!$C$2:$C$4995,$D1405,ORDERS!$L$2:$L$4995,"Đã chuyển khoản"))</f>
        <v/>
      </c>
      <c r="X1405" s="23">
        <f>IF(OR($D1405="",$R1405="Trùng"),"",SUMIFS(ORDERS!$J$2:$J$4995,ORDERS!$C$2:$C$4995,$D1405,ORDERS!$L$2:$L$4995,"Đã chuyển khoản"))</f>
        <v/>
      </c>
      <c r="Y1405" s="24" t="n"/>
    </row>
    <row r="1406" ht="14.25" customHeight="1" s="40">
      <c r="A1406" s="24" t="n"/>
      <c r="B1406" s="27" t="n"/>
      <c r="C1406" s="24" t="n"/>
      <c r="D1406" s="28" t="n"/>
      <c r="E1406" s="29" t="n"/>
      <c r="F1406" s="24" t="n"/>
      <c r="G1406" s="24" t="n"/>
      <c r="H1406" s="21">
        <f>IF(ISNUMBER($B1406),INT($B1406)-WEEKDAY($B1406,2)+1,"")</f>
        <v/>
      </c>
      <c r="I1406" s="24" t="n"/>
      <c r="J1406" s="22">
        <f t="array" ref="J1406">IF($D1406="","",IF($I1406="","(trống REF)",IFERROR(INDEX(MASTER_SOURCE!$B$2:$B$495,MATCH($I1406,MASTER_SOURCE!$A$2:$A$495,0)),"(REF không có trong MASTER_SOURCE)")))</f>
        <v/>
      </c>
      <c r="K1406" s="22">
        <f t="array" ref="K1406">IF($D1406="","",IFERROR(INDEX(MASTER_SOURCE!$C$2:$C$495,MATCH($I1406,MASTER_SOURCE!$A$2:$A$495,0)),""))</f>
        <v/>
      </c>
      <c r="L1406" s="22">
        <f t="array" ref="L1406">IF($D1406="","",IFERROR(INDEX(MASTER_SOURCE!$D$2:$D$495,MATCH($I1406,MASTER_SOURCE!$A$2:$A$495,0)),""))</f>
        <v/>
      </c>
      <c r="M1406" s="24" t="n"/>
      <c r="N1406" s="24" t="n"/>
      <c r="O1406" s="24" t="n"/>
      <c r="P1406" s="24" t="n"/>
      <c r="Q1406" s="22">
        <f>IF($D1406="","",IF(AND(OR(DANH_MUC!$L$5&lt;&gt;"Có",M1406="Có"),OR(DANH_MUC!$L$6&lt;&gt;"Có",N1406="Có"),OR(DANH_MUC!$L$7&lt;&gt;"Có",O1406="Có"),OR(DANH_MUC!$L$8&lt;&gt;"Có",P1406="Có")),"Có","Không"))</f>
        <v/>
      </c>
      <c r="R1406" s="22">
        <f>IF($D1406="","",IF(COUNTIF($D$2:$D1406,$D1406)&gt;1,"Trùng",""))</f>
        <v/>
      </c>
      <c r="S1406" s="22">
        <f>IF($D1406="","",IF(AND(LEN($D1406)=10,LEFT($D1406,1)="0",ISNUMBER(--$D1406)),"Có","Không"))</f>
        <v/>
      </c>
      <c r="T1406" s="22">
        <f>IF($D1406="","",IF(AND($C1406&lt;&gt;"",$Q1406="Có",$R1406="",$S1406="Có",AND($L1406&lt;&gt;"",OR($L1406&lt;&gt;"Chưa xác định",DANH_MUC!$L$9="Có"))),"Có","Không"))</f>
        <v/>
      </c>
      <c r="U1406" s="22">
        <f>IF(OR($D1406="",$T1406="Có"),"",IF($C1406="","Thiếu họ tên; ","")&amp;IF($S1406&lt;&gt;"Có","SĐT sai định dạng; ","")&amp;IF($R1406="Trùng","Trùng SĐT; ","")&amp;IF($Q1406&lt;&gt;"Có","Thiếu đồng ý bắt buộc; ","")&amp;IF($L1406="","Thiếu/sai Mã REF; ",IF(AND($L1406="Chưa xác định",DANH_MUC!$L$9&lt;&gt;"Có"),"Nguồn chưa xác định; ","")))</f>
        <v/>
      </c>
      <c r="V1406" s="22">
        <f>IF(OR($D1406="",$R1406="Trùng"),"",IF(COUNTIF(ORDERS!$C$2:$C$4995,$D1406)&gt;0,"Có","Không"))</f>
        <v/>
      </c>
      <c r="W1406" s="22">
        <f>IF(OR($D1406="",$R1406="Trùng"),"",COUNTIFS(ORDERS!$C$2:$C$4995,$D1406,ORDERS!$L$2:$L$4995,"Đã chuyển khoản"))</f>
        <v/>
      </c>
      <c r="X1406" s="23">
        <f>IF(OR($D1406="",$R1406="Trùng"),"",SUMIFS(ORDERS!$J$2:$J$4995,ORDERS!$C$2:$C$4995,$D1406,ORDERS!$L$2:$L$4995,"Đã chuyển khoản"))</f>
        <v/>
      </c>
      <c r="Y1406" s="24" t="n"/>
    </row>
    <row r="1407" ht="14.25" customHeight="1" s="40">
      <c r="A1407" s="24" t="n"/>
      <c r="B1407" s="27" t="n"/>
      <c r="C1407" s="24" t="n"/>
      <c r="D1407" s="28" t="n"/>
      <c r="E1407" s="29" t="n"/>
      <c r="F1407" s="24" t="n"/>
      <c r="G1407" s="24" t="n"/>
      <c r="H1407" s="21">
        <f>IF(ISNUMBER($B1407),INT($B1407)-WEEKDAY($B1407,2)+1,"")</f>
        <v/>
      </c>
      <c r="I1407" s="24" t="n"/>
      <c r="J1407" s="22">
        <f t="array" ref="J1407">IF($D1407="","",IF($I1407="","(trống REF)",IFERROR(INDEX(MASTER_SOURCE!$B$2:$B$495,MATCH($I1407,MASTER_SOURCE!$A$2:$A$495,0)),"(REF không có trong MASTER_SOURCE)")))</f>
        <v/>
      </c>
      <c r="K1407" s="22">
        <f t="array" ref="K1407">IF($D1407="","",IFERROR(INDEX(MASTER_SOURCE!$C$2:$C$495,MATCH($I1407,MASTER_SOURCE!$A$2:$A$495,0)),""))</f>
        <v/>
      </c>
      <c r="L1407" s="22">
        <f t="array" ref="L1407">IF($D1407="","",IFERROR(INDEX(MASTER_SOURCE!$D$2:$D$495,MATCH($I1407,MASTER_SOURCE!$A$2:$A$495,0)),""))</f>
        <v/>
      </c>
      <c r="M1407" s="24" t="n"/>
      <c r="N1407" s="24" t="n"/>
      <c r="O1407" s="24" t="n"/>
      <c r="P1407" s="24" t="n"/>
      <c r="Q1407" s="22">
        <f>IF($D1407="","",IF(AND(OR(DANH_MUC!$L$5&lt;&gt;"Có",M1407="Có"),OR(DANH_MUC!$L$6&lt;&gt;"Có",N1407="Có"),OR(DANH_MUC!$L$7&lt;&gt;"Có",O1407="Có"),OR(DANH_MUC!$L$8&lt;&gt;"Có",P1407="Có")),"Có","Không"))</f>
        <v/>
      </c>
      <c r="R1407" s="22">
        <f>IF($D1407="","",IF(COUNTIF($D$2:$D1407,$D1407)&gt;1,"Trùng",""))</f>
        <v/>
      </c>
      <c r="S1407" s="22">
        <f>IF($D1407="","",IF(AND(LEN($D1407)=10,LEFT($D1407,1)="0",ISNUMBER(--$D1407)),"Có","Không"))</f>
        <v/>
      </c>
      <c r="T1407" s="22">
        <f>IF($D1407="","",IF(AND($C1407&lt;&gt;"",$Q1407="Có",$R1407="",$S1407="Có",AND($L1407&lt;&gt;"",OR($L1407&lt;&gt;"Chưa xác định",DANH_MUC!$L$9="Có"))),"Có","Không"))</f>
        <v/>
      </c>
      <c r="U1407" s="22">
        <f>IF(OR($D1407="",$T1407="Có"),"",IF($C1407="","Thiếu họ tên; ","")&amp;IF($S1407&lt;&gt;"Có","SĐT sai định dạng; ","")&amp;IF($R1407="Trùng","Trùng SĐT; ","")&amp;IF($Q1407&lt;&gt;"Có","Thiếu đồng ý bắt buộc; ","")&amp;IF($L1407="","Thiếu/sai Mã REF; ",IF(AND($L1407="Chưa xác định",DANH_MUC!$L$9&lt;&gt;"Có"),"Nguồn chưa xác định; ","")))</f>
        <v/>
      </c>
      <c r="V1407" s="22">
        <f>IF(OR($D1407="",$R1407="Trùng"),"",IF(COUNTIF(ORDERS!$C$2:$C$4995,$D1407)&gt;0,"Có","Không"))</f>
        <v/>
      </c>
      <c r="W1407" s="22">
        <f>IF(OR($D1407="",$R1407="Trùng"),"",COUNTIFS(ORDERS!$C$2:$C$4995,$D1407,ORDERS!$L$2:$L$4995,"Đã chuyển khoản"))</f>
        <v/>
      </c>
      <c r="X1407" s="23">
        <f>IF(OR($D1407="",$R1407="Trùng"),"",SUMIFS(ORDERS!$J$2:$J$4995,ORDERS!$C$2:$C$4995,$D1407,ORDERS!$L$2:$L$4995,"Đã chuyển khoản"))</f>
        <v/>
      </c>
      <c r="Y1407" s="24" t="n"/>
    </row>
    <row r="1408" ht="14.25" customHeight="1" s="40">
      <c r="A1408" s="24" t="n"/>
      <c r="B1408" s="27" t="n"/>
      <c r="C1408" s="24" t="n"/>
      <c r="D1408" s="28" t="n"/>
      <c r="E1408" s="29" t="n"/>
      <c r="F1408" s="24" t="n"/>
      <c r="G1408" s="24" t="n"/>
      <c r="H1408" s="21">
        <f>IF(ISNUMBER($B1408),INT($B1408)-WEEKDAY($B1408,2)+1,"")</f>
        <v/>
      </c>
      <c r="I1408" s="24" t="n"/>
      <c r="J1408" s="22">
        <f t="array" ref="J1408">IF($D1408="","",IF($I1408="","(trống REF)",IFERROR(INDEX(MASTER_SOURCE!$B$2:$B$495,MATCH($I1408,MASTER_SOURCE!$A$2:$A$495,0)),"(REF không có trong MASTER_SOURCE)")))</f>
        <v/>
      </c>
      <c r="K1408" s="22">
        <f t="array" ref="K1408">IF($D1408="","",IFERROR(INDEX(MASTER_SOURCE!$C$2:$C$495,MATCH($I1408,MASTER_SOURCE!$A$2:$A$495,0)),""))</f>
        <v/>
      </c>
      <c r="L1408" s="22">
        <f t="array" ref="L1408">IF($D1408="","",IFERROR(INDEX(MASTER_SOURCE!$D$2:$D$495,MATCH($I1408,MASTER_SOURCE!$A$2:$A$495,0)),""))</f>
        <v/>
      </c>
      <c r="M1408" s="24" t="n"/>
      <c r="N1408" s="24" t="n"/>
      <c r="O1408" s="24" t="n"/>
      <c r="P1408" s="24" t="n"/>
      <c r="Q1408" s="22">
        <f>IF($D1408="","",IF(AND(OR(DANH_MUC!$L$5&lt;&gt;"Có",M1408="Có"),OR(DANH_MUC!$L$6&lt;&gt;"Có",N1408="Có"),OR(DANH_MUC!$L$7&lt;&gt;"Có",O1408="Có"),OR(DANH_MUC!$L$8&lt;&gt;"Có",P1408="Có")),"Có","Không"))</f>
        <v/>
      </c>
      <c r="R1408" s="22">
        <f>IF($D1408="","",IF(COUNTIF($D$2:$D1408,$D1408)&gt;1,"Trùng",""))</f>
        <v/>
      </c>
      <c r="S1408" s="22">
        <f>IF($D1408="","",IF(AND(LEN($D1408)=10,LEFT($D1408,1)="0",ISNUMBER(--$D1408)),"Có","Không"))</f>
        <v/>
      </c>
      <c r="T1408" s="22">
        <f>IF($D1408="","",IF(AND($C1408&lt;&gt;"",$Q1408="Có",$R1408="",$S1408="Có",AND($L1408&lt;&gt;"",OR($L1408&lt;&gt;"Chưa xác định",DANH_MUC!$L$9="Có"))),"Có","Không"))</f>
        <v/>
      </c>
      <c r="U1408" s="22">
        <f>IF(OR($D1408="",$T1408="Có"),"",IF($C1408="","Thiếu họ tên; ","")&amp;IF($S1408&lt;&gt;"Có","SĐT sai định dạng; ","")&amp;IF($R1408="Trùng","Trùng SĐT; ","")&amp;IF($Q1408&lt;&gt;"Có","Thiếu đồng ý bắt buộc; ","")&amp;IF($L1408="","Thiếu/sai Mã REF; ",IF(AND($L1408="Chưa xác định",DANH_MUC!$L$9&lt;&gt;"Có"),"Nguồn chưa xác định; ","")))</f>
        <v/>
      </c>
      <c r="V1408" s="22">
        <f>IF(OR($D1408="",$R1408="Trùng"),"",IF(COUNTIF(ORDERS!$C$2:$C$4995,$D1408)&gt;0,"Có","Không"))</f>
        <v/>
      </c>
      <c r="W1408" s="22">
        <f>IF(OR($D1408="",$R1408="Trùng"),"",COUNTIFS(ORDERS!$C$2:$C$4995,$D1408,ORDERS!$L$2:$L$4995,"Đã chuyển khoản"))</f>
        <v/>
      </c>
      <c r="X1408" s="23">
        <f>IF(OR($D1408="",$R1408="Trùng"),"",SUMIFS(ORDERS!$J$2:$J$4995,ORDERS!$C$2:$C$4995,$D1408,ORDERS!$L$2:$L$4995,"Đã chuyển khoản"))</f>
        <v/>
      </c>
      <c r="Y1408" s="24" t="n"/>
    </row>
    <row r="1409" ht="14.25" customHeight="1" s="40">
      <c r="A1409" s="24" t="n"/>
      <c r="B1409" s="27" t="n"/>
      <c r="C1409" s="24" t="n"/>
      <c r="D1409" s="28" t="n"/>
      <c r="E1409" s="29" t="n"/>
      <c r="F1409" s="24" t="n"/>
      <c r="G1409" s="24" t="n"/>
      <c r="H1409" s="21">
        <f>IF(ISNUMBER($B1409),INT($B1409)-WEEKDAY($B1409,2)+1,"")</f>
        <v/>
      </c>
      <c r="I1409" s="24" t="n"/>
      <c r="J1409" s="22">
        <f t="array" ref="J1409">IF($D1409="","",IF($I1409="","(trống REF)",IFERROR(INDEX(MASTER_SOURCE!$B$2:$B$495,MATCH($I1409,MASTER_SOURCE!$A$2:$A$495,0)),"(REF không có trong MASTER_SOURCE)")))</f>
        <v/>
      </c>
      <c r="K1409" s="22">
        <f t="array" ref="K1409">IF($D1409="","",IFERROR(INDEX(MASTER_SOURCE!$C$2:$C$495,MATCH($I1409,MASTER_SOURCE!$A$2:$A$495,0)),""))</f>
        <v/>
      </c>
      <c r="L1409" s="22">
        <f t="array" ref="L1409">IF($D1409="","",IFERROR(INDEX(MASTER_SOURCE!$D$2:$D$495,MATCH($I1409,MASTER_SOURCE!$A$2:$A$495,0)),""))</f>
        <v/>
      </c>
      <c r="M1409" s="24" t="n"/>
      <c r="N1409" s="24" t="n"/>
      <c r="O1409" s="24" t="n"/>
      <c r="P1409" s="24" t="n"/>
      <c r="Q1409" s="22">
        <f>IF($D1409="","",IF(AND(OR(DANH_MUC!$L$5&lt;&gt;"Có",M1409="Có"),OR(DANH_MUC!$L$6&lt;&gt;"Có",N1409="Có"),OR(DANH_MUC!$L$7&lt;&gt;"Có",O1409="Có"),OR(DANH_MUC!$L$8&lt;&gt;"Có",P1409="Có")),"Có","Không"))</f>
        <v/>
      </c>
      <c r="R1409" s="22">
        <f>IF($D1409="","",IF(COUNTIF($D$2:$D1409,$D1409)&gt;1,"Trùng",""))</f>
        <v/>
      </c>
      <c r="S1409" s="22">
        <f>IF($D1409="","",IF(AND(LEN($D1409)=10,LEFT($D1409,1)="0",ISNUMBER(--$D1409)),"Có","Không"))</f>
        <v/>
      </c>
      <c r="T1409" s="22">
        <f>IF($D1409="","",IF(AND($C1409&lt;&gt;"",$Q1409="Có",$R1409="",$S1409="Có",AND($L1409&lt;&gt;"",OR($L1409&lt;&gt;"Chưa xác định",DANH_MUC!$L$9="Có"))),"Có","Không"))</f>
        <v/>
      </c>
      <c r="U1409" s="22">
        <f>IF(OR($D1409="",$T1409="Có"),"",IF($C1409="","Thiếu họ tên; ","")&amp;IF($S1409&lt;&gt;"Có","SĐT sai định dạng; ","")&amp;IF($R1409="Trùng","Trùng SĐT; ","")&amp;IF($Q1409&lt;&gt;"Có","Thiếu đồng ý bắt buộc; ","")&amp;IF($L1409="","Thiếu/sai Mã REF; ",IF(AND($L1409="Chưa xác định",DANH_MUC!$L$9&lt;&gt;"Có"),"Nguồn chưa xác định; ","")))</f>
        <v/>
      </c>
      <c r="V1409" s="22">
        <f>IF(OR($D1409="",$R1409="Trùng"),"",IF(COUNTIF(ORDERS!$C$2:$C$4995,$D1409)&gt;0,"Có","Không"))</f>
        <v/>
      </c>
      <c r="W1409" s="22">
        <f>IF(OR($D1409="",$R1409="Trùng"),"",COUNTIFS(ORDERS!$C$2:$C$4995,$D1409,ORDERS!$L$2:$L$4995,"Đã chuyển khoản"))</f>
        <v/>
      </c>
      <c r="X1409" s="23">
        <f>IF(OR($D1409="",$R1409="Trùng"),"",SUMIFS(ORDERS!$J$2:$J$4995,ORDERS!$C$2:$C$4995,$D1409,ORDERS!$L$2:$L$4995,"Đã chuyển khoản"))</f>
        <v/>
      </c>
      <c r="Y1409" s="24" t="n"/>
    </row>
    <row r="1410" ht="14.25" customHeight="1" s="40">
      <c r="A1410" s="24" t="n"/>
      <c r="B1410" s="27" t="n"/>
      <c r="C1410" s="24" t="n"/>
      <c r="D1410" s="28" t="n"/>
      <c r="E1410" s="29" t="n"/>
      <c r="F1410" s="24" t="n"/>
      <c r="G1410" s="24" t="n"/>
      <c r="H1410" s="21">
        <f>IF(ISNUMBER($B1410),INT($B1410)-WEEKDAY($B1410,2)+1,"")</f>
        <v/>
      </c>
      <c r="I1410" s="24" t="n"/>
      <c r="J1410" s="22">
        <f t="array" ref="J1410">IF($D1410="","",IF($I1410="","(trống REF)",IFERROR(INDEX(MASTER_SOURCE!$B$2:$B$495,MATCH($I1410,MASTER_SOURCE!$A$2:$A$495,0)),"(REF không có trong MASTER_SOURCE)")))</f>
        <v/>
      </c>
      <c r="K1410" s="22">
        <f t="array" ref="K1410">IF($D1410="","",IFERROR(INDEX(MASTER_SOURCE!$C$2:$C$495,MATCH($I1410,MASTER_SOURCE!$A$2:$A$495,0)),""))</f>
        <v/>
      </c>
      <c r="L1410" s="22">
        <f t="array" ref="L1410">IF($D1410="","",IFERROR(INDEX(MASTER_SOURCE!$D$2:$D$495,MATCH($I1410,MASTER_SOURCE!$A$2:$A$495,0)),""))</f>
        <v/>
      </c>
      <c r="M1410" s="24" t="n"/>
      <c r="N1410" s="24" t="n"/>
      <c r="O1410" s="24" t="n"/>
      <c r="P1410" s="24" t="n"/>
      <c r="Q1410" s="22">
        <f>IF($D1410="","",IF(AND(OR(DANH_MUC!$L$5&lt;&gt;"Có",M1410="Có"),OR(DANH_MUC!$L$6&lt;&gt;"Có",N1410="Có"),OR(DANH_MUC!$L$7&lt;&gt;"Có",O1410="Có"),OR(DANH_MUC!$L$8&lt;&gt;"Có",P1410="Có")),"Có","Không"))</f>
        <v/>
      </c>
      <c r="R1410" s="22">
        <f>IF($D1410="","",IF(COUNTIF($D$2:$D1410,$D1410)&gt;1,"Trùng",""))</f>
        <v/>
      </c>
      <c r="S1410" s="22">
        <f>IF($D1410="","",IF(AND(LEN($D1410)=10,LEFT($D1410,1)="0",ISNUMBER(--$D1410)),"Có","Không"))</f>
        <v/>
      </c>
      <c r="T1410" s="22">
        <f>IF($D1410="","",IF(AND($C1410&lt;&gt;"",$Q1410="Có",$R1410="",$S1410="Có",AND($L1410&lt;&gt;"",OR($L1410&lt;&gt;"Chưa xác định",DANH_MUC!$L$9="Có"))),"Có","Không"))</f>
        <v/>
      </c>
      <c r="U1410" s="22">
        <f>IF(OR($D1410="",$T1410="Có"),"",IF($C1410="","Thiếu họ tên; ","")&amp;IF($S1410&lt;&gt;"Có","SĐT sai định dạng; ","")&amp;IF($R1410="Trùng","Trùng SĐT; ","")&amp;IF($Q1410&lt;&gt;"Có","Thiếu đồng ý bắt buộc; ","")&amp;IF($L1410="","Thiếu/sai Mã REF; ",IF(AND($L1410="Chưa xác định",DANH_MUC!$L$9&lt;&gt;"Có"),"Nguồn chưa xác định; ","")))</f>
        <v/>
      </c>
      <c r="V1410" s="22">
        <f>IF(OR($D1410="",$R1410="Trùng"),"",IF(COUNTIF(ORDERS!$C$2:$C$4995,$D1410)&gt;0,"Có","Không"))</f>
        <v/>
      </c>
      <c r="W1410" s="22">
        <f>IF(OR($D1410="",$R1410="Trùng"),"",COUNTIFS(ORDERS!$C$2:$C$4995,$D1410,ORDERS!$L$2:$L$4995,"Đã chuyển khoản"))</f>
        <v/>
      </c>
      <c r="X1410" s="23">
        <f>IF(OR($D1410="",$R1410="Trùng"),"",SUMIFS(ORDERS!$J$2:$J$4995,ORDERS!$C$2:$C$4995,$D1410,ORDERS!$L$2:$L$4995,"Đã chuyển khoản"))</f>
        <v/>
      </c>
      <c r="Y1410" s="24" t="n"/>
    </row>
    <row r="1411" ht="14.25" customHeight="1" s="40">
      <c r="A1411" s="24" t="n"/>
      <c r="B1411" s="27" t="n"/>
      <c r="C1411" s="24" t="n"/>
      <c r="D1411" s="28" t="n"/>
      <c r="E1411" s="29" t="n"/>
      <c r="F1411" s="24" t="n"/>
      <c r="G1411" s="24" t="n"/>
      <c r="H1411" s="21">
        <f>IF(ISNUMBER($B1411),INT($B1411)-WEEKDAY($B1411,2)+1,"")</f>
        <v/>
      </c>
      <c r="I1411" s="24" t="n"/>
      <c r="J1411" s="22">
        <f t="array" ref="J1411">IF($D1411="","",IF($I1411="","(trống REF)",IFERROR(INDEX(MASTER_SOURCE!$B$2:$B$495,MATCH($I1411,MASTER_SOURCE!$A$2:$A$495,0)),"(REF không có trong MASTER_SOURCE)")))</f>
        <v/>
      </c>
      <c r="K1411" s="22">
        <f t="array" ref="K1411">IF($D1411="","",IFERROR(INDEX(MASTER_SOURCE!$C$2:$C$495,MATCH($I1411,MASTER_SOURCE!$A$2:$A$495,0)),""))</f>
        <v/>
      </c>
      <c r="L1411" s="22">
        <f t="array" ref="L1411">IF($D1411="","",IFERROR(INDEX(MASTER_SOURCE!$D$2:$D$495,MATCH($I1411,MASTER_SOURCE!$A$2:$A$495,0)),""))</f>
        <v/>
      </c>
      <c r="M1411" s="24" t="n"/>
      <c r="N1411" s="24" t="n"/>
      <c r="O1411" s="24" t="n"/>
      <c r="P1411" s="24" t="n"/>
      <c r="Q1411" s="22">
        <f>IF($D1411="","",IF(AND(OR(DANH_MUC!$L$5&lt;&gt;"Có",M1411="Có"),OR(DANH_MUC!$L$6&lt;&gt;"Có",N1411="Có"),OR(DANH_MUC!$L$7&lt;&gt;"Có",O1411="Có"),OR(DANH_MUC!$L$8&lt;&gt;"Có",P1411="Có")),"Có","Không"))</f>
        <v/>
      </c>
      <c r="R1411" s="22">
        <f>IF($D1411="","",IF(COUNTIF($D$2:$D1411,$D1411)&gt;1,"Trùng",""))</f>
        <v/>
      </c>
      <c r="S1411" s="22">
        <f>IF($D1411="","",IF(AND(LEN($D1411)=10,LEFT($D1411,1)="0",ISNUMBER(--$D1411)),"Có","Không"))</f>
        <v/>
      </c>
      <c r="T1411" s="22">
        <f>IF($D1411="","",IF(AND($C1411&lt;&gt;"",$Q1411="Có",$R1411="",$S1411="Có",AND($L1411&lt;&gt;"",OR($L1411&lt;&gt;"Chưa xác định",DANH_MUC!$L$9="Có"))),"Có","Không"))</f>
        <v/>
      </c>
      <c r="U1411" s="22">
        <f>IF(OR($D1411="",$T1411="Có"),"",IF($C1411="","Thiếu họ tên; ","")&amp;IF($S1411&lt;&gt;"Có","SĐT sai định dạng; ","")&amp;IF($R1411="Trùng","Trùng SĐT; ","")&amp;IF($Q1411&lt;&gt;"Có","Thiếu đồng ý bắt buộc; ","")&amp;IF($L1411="","Thiếu/sai Mã REF; ",IF(AND($L1411="Chưa xác định",DANH_MUC!$L$9&lt;&gt;"Có"),"Nguồn chưa xác định; ","")))</f>
        <v/>
      </c>
      <c r="V1411" s="22">
        <f>IF(OR($D1411="",$R1411="Trùng"),"",IF(COUNTIF(ORDERS!$C$2:$C$4995,$D1411)&gt;0,"Có","Không"))</f>
        <v/>
      </c>
      <c r="W1411" s="22">
        <f>IF(OR($D1411="",$R1411="Trùng"),"",COUNTIFS(ORDERS!$C$2:$C$4995,$D1411,ORDERS!$L$2:$L$4995,"Đã chuyển khoản"))</f>
        <v/>
      </c>
      <c r="X1411" s="23">
        <f>IF(OR($D1411="",$R1411="Trùng"),"",SUMIFS(ORDERS!$J$2:$J$4995,ORDERS!$C$2:$C$4995,$D1411,ORDERS!$L$2:$L$4995,"Đã chuyển khoản"))</f>
        <v/>
      </c>
      <c r="Y1411" s="24" t="n"/>
    </row>
    <row r="1412" ht="14.25" customHeight="1" s="40">
      <c r="A1412" s="24" t="n"/>
      <c r="B1412" s="27" t="n"/>
      <c r="C1412" s="24" t="n"/>
      <c r="D1412" s="28" t="n"/>
      <c r="E1412" s="29" t="n"/>
      <c r="F1412" s="24" t="n"/>
      <c r="G1412" s="24" t="n"/>
      <c r="H1412" s="21">
        <f>IF(ISNUMBER($B1412),INT($B1412)-WEEKDAY($B1412,2)+1,"")</f>
        <v/>
      </c>
      <c r="I1412" s="24" t="n"/>
      <c r="J1412" s="22">
        <f t="array" ref="J1412">IF($D1412="","",IF($I1412="","(trống REF)",IFERROR(INDEX(MASTER_SOURCE!$B$2:$B$495,MATCH($I1412,MASTER_SOURCE!$A$2:$A$495,0)),"(REF không có trong MASTER_SOURCE)")))</f>
        <v/>
      </c>
      <c r="K1412" s="22">
        <f t="array" ref="K1412">IF($D1412="","",IFERROR(INDEX(MASTER_SOURCE!$C$2:$C$495,MATCH($I1412,MASTER_SOURCE!$A$2:$A$495,0)),""))</f>
        <v/>
      </c>
      <c r="L1412" s="22">
        <f t="array" ref="L1412">IF($D1412="","",IFERROR(INDEX(MASTER_SOURCE!$D$2:$D$495,MATCH($I1412,MASTER_SOURCE!$A$2:$A$495,0)),""))</f>
        <v/>
      </c>
      <c r="M1412" s="24" t="n"/>
      <c r="N1412" s="24" t="n"/>
      <c r="O1412" s="24" t="n"/>
      <c r="P1412" s="24" t="n"/>
      <c r="Q1412" s="22">
        <f>IF($D1412="","",IF(AND(OR(DANH_MUC!$L$5&lt;&gt;"Có",M1412="Có"),OR(DANH_MUC!$L$6&lt;&gt;"Có",N1412="Có"),OR(DANH_MUC!$L$7&lt;&gt;"Có",O1412="Có"),OR(DANH_MUC!$L$8&lt;&gt;"Có",P1412="Có")),"Có","Không"))</f>
        <v/>
      </c>
      <c r="R1412" s="22">
        <f>IF($D1412="","",IF(COUNTIF($D$2:$D1412,$D1412)&gt;1,"Trùng",""))</f>
        <v/>
      </c>
      <c r="S1412" s="22">
        <f>IF($D1412="","",IF(AND(LEN($D1412)=10,LEFT($D1412,1)="0",ISNUMBER(--$D1412)),"Có","Không"))</f>
        <v/>
      </c>
      <c r="T1412" s="22">
        <f>IF($D1412="","",IF(AND($C1412&lt;&gt;"",$Q1412="Có",$R1412="",$S1412="Có",AND($L1412&lt;&gt;"",OR($L1412&lt;&gt;"Chưa xác định",DANH_MUC!$L$9="Có"))),"Có","Không"))</f>
        <v/>
      </c>
      <c r="U1412" s="22">
        <f>IF(OR($D1412="",$T1412="Có"),"",IF($C1412="","Thiếu họ tên; ","")&amp;IF($S1412&lt;&gt;"Có","SĐT sai định dạng; ","")&amp;IF($R1412="Trùng","Trùng SĐT; ","")&amp;IF($Q1412&lt;&gt;"Có","Thiếu đồng ý bắt buộc; ","")&amp;IF($L1412="","Thiếu/sai Mã REF; ",IF(AND($L1412="Chưa xác định",DANH_MUC!$L$9&lt;&gt;"Có"),"Nguồn chưa xác định; ","")))</f>
        <v/>
      </c>
      <c r="V1412" s="22">
        <f>IF(OR($D1412="",$R1412="Trùng"),"",IF(COUNTIF(ORDERS!$C$2:$C$4995,$D1412)&gt;0,"Có","Không"))</f>
        <v/>
      </c>
      <c r="W1412" s="22">
        <f>IF(OR($D1412="",$R1412="Trùng"),"",COUNTIFS(ORDERS!$C$2:$C$4995,$D1412,ORDERS!$L$2:$L$4995,"Đã chuyển khoản"))</f>
        <v/>
      </c>
      <c r="X1412" s="23">
        <f>IF(OR($D1412="",$R1412="Trùng"),"",SUMIFS(ORDERS!$J$2:$J$4995,ORDERS!$C$2:$C$4995,$D1412,ORDERS!$L$2:$L$4995,"Đã chuyển khoản"))</f>
        <v/>
      </c>
      <c r="Y1412" s="24" t="n"/>
    </row>
    <row r="1413" ht="14.25" customHeight="1" s="40">
      <c r="A1413" s="24" t="n"/>
      <c r="B1413" s="27" t="n"/>
      <c r="C1413" s="24" t="n"/>
      <c r="D1413" s="28" t="n"/>
      <c r="E1413" s="29" t="n"/>
      <c r="F1413" s="24" t="n"/>
      <c r="G1413" s="24" t="n"/>
      <c r="H1413" s="21">
        <f>IF(ISNUMBER($B1413),INT($B1413)-WEEKDAY($B1413,2)+1,"")</f>
        <v/>
      </c>
      <c r="I1413" s="24" t="n"/>
      <c r="J1413" s="22">
        <f t="array" ref="J1413">IF($D1413="","",IF($I1413="","(trống REF)",IFERROR(INDEX(MASTER_SOURCE!$B$2:$B$495,MATCH($I1413,MASTER_SOURCE!$A$2:$A$495,0)),"(REF không có trong MASTER_SOURCE)")))</f>
        <v/>
      </c>
      <c r="K1413" s="22">
        <f t="array" ref="K1413">IF($D1413="","",IFERROR(INDEX(MASTER_SOURCE!$C$2:$C$495,MATCH($I1413,MASTER_SOURCE!$A$2:$A$495,0)),""))</f>
        <v/>
      </c>
      <c r="L1413" s="22">
        <f t="array" ref="L1413">IF($D1413="","",IFERROR(INDEX(MASTER_SOURCE!$D$2:$D$495,MATCH($I1413,MASTER_SOURCE!$A$2:$A$495,0)),""))</f>
        <v/>
      </c>
      <c r="M1413" s="24" t="n"/>
      <c r="N1413" s="24" t="n"/>
      <c r="O1413" s="24" t="n"/>
      <c r="P1413" s="24" t="n"/>
      <c r="Q1413" s="22">
        <f>IF($D1413="","",IF(AND(OR(DANH_MUC!$L$5&lt;&gt;"Có",M1413="Có"),OR(DANH_MUC!$L$6&lt;&gt;"Có",N1413="Có"),OR(DANH_MUC!$L$7&lt;&gt;"Có",O1413="Có"),OR(DANH_MUC!$L$8&lt;&gt;"Có",P1413="Có")),"Có","Không"))</f>
        <v/>
      </c>
      <c r="R1413" s="22">
        <f>IF($D1413="","",IF(COUNTIF($D$2:$D1413,$D1413)&gt;1,"Trùng",""))</f>
        <v/>
      </c>
      <c r="S1413" s="22">
        <f>IF($D1413="","",IF(AND(LEN($D1413)=10,LEFT($D1413,1)="0",ISNUMBER(--$D1413)),"Có","Không"))</f>
        <v/>
      </c>
      <c r="T1413" s="22">
        <f>IF($D1413="","",IF(AND($C1413&lt;&gt;"",$Q1413="Có",$R1413="",$S1413="Có",AND($L1413&lt;&gt;"",OR($L1413&lt;&gt;"Chưa xác định",DANH_MUC!$L$9="Có"))),"Có","Không"))</f>
        <v/>
      </c>
      <c r="U1413" s="22">
        <f>IF(OR($D1413="",$T1413="Có"),"",IF($C1413="","Thiếu họ tên; ","")&amp;IF($S1413&lt;&gt;"Có","SĐT sai định dạng; ","")&amp;IF($R1413="Trùng","Trùng SĐT; ","")&amp;IF($Q1413&lt;&gt;"Có","Thiếu đồng ý bắt buộc; ","")&amp;IF($L1413="","Thiếu/sai Mã REF; ",IF(AND($L1413="Chưa xác định",DANH_MUC!$L$9&lt;&gt;"Có"),"Nguồn chưa xác định; ","")))</f>
        <v/>
      </c>
      <c r="V1413" s="22">
        <f>IF(OR($D1413="",$R1413="Trùng"),"",IF(COUNTIF(ORDERS!$C$2:$C$4995,$D1413)&gt;0,"Có","Không"))</f>
        <v/>
      </c>
      <c r="W1413" s="22">
        <f>IF(OR($D1413="",$R1413="Trùng"),"",COUNTIFS(ORDERS!$C$2:$C$4995,$D1413,ORDERS!$L$2:$L$4995,"Đã chuyển khoản"))</f>
        <v/>
      </c>
      <c r="X1413" s="23">
        <f>IF(OR($D1413="",$R1413="Trùng"),"",SUMIFS(ORDERS!$J$2:$J$4995,ORDERS!$C$2:$C$4995,$D1413,ORDERS!$L$2:$L$4995,"Đã chuyển khoản"))</f>
        <v/>
      </c>
      <c r="Y1413" s="24" t="n"/>
    </row>
    <row r="1414" ht="14.25" customHeight="1" s="40">
      <c r="A1414" s="24" t="n"/>
      <c r="B1414" s="27" t="n"/>
      <c r="C1414" s="24" t="n"/>
      <c r="D1414" s="28" t="n"/>
      <c r="E1414" s="29" t="n"/>
      <c r="F1414" s="24" t="n"/>
      <c r="G1414" s="24" t="n"/>
      <c r="H1414" s="21">
        <f>IF(ISNUMBER($B1414),INT($B1414)-WEEKDAY($B1414,2)+1,"")</f>
        <v/>
      </c>
      <c r="I1414" s="24" t="n"/>
      <c r="J1414" s="22">
        <f t="array" ref="J1414">IF($D1414="","",IF($I1414="","(trống REF)",IFERROR(INDEX(MASTER_SOURCE!$B$2:$B$495,MATCH($I1414,MASTER_SOURCE!$A$2:$A$495,0)),"(REF không có trong MASTER_SOURCE)")))</f>
        <v/>
      </c>
      <c r="K1414" s="22">
        <f t="array" ref="K1414">IF($D1414="","",IFERROR(INDEX(MASTER_SOURCE!$C$2:$C$495,MATCH($I1414,MASTER_SOURCE!$A$2:$A$495,0)),""))</f>
        <v/>
      </c>
      <c r="L1414" s="22">
        <f t="array" ref="L1414">IF($D1414="","",IFERROR(INDEX(MASTER_SOURCE!$D$2:$D$495,MATCH($I1414,MASTER_SOURCE!$A$2:$A$495,0)),""))</f>
        <v/>
      </c>
      <c r="M1414" s="24" t="n"/>
      <c r="N1414" s="24" t="n"/>
      <c r="O1414" s="24" t="n"/>
      <c r="P1414" s="24" t="n"/>
      <c r="Q1414" s="22">
        <f>IF($D1414="","",IF(AND(OR(DANH_MUC!$L$5&lt;&gt;"Có",M1414="Có"),OR(DANH_MUC!$L$6&lt;&gt;"Có",N1414="Có"),OR(DANH_MUC!$L$7&lt;&gt;"Có",O1414="Có"),OR(DANH_MUC!$L$8&lt;&gt;"Có",P1414="Có")),"Có","Không"))</f>
        <v/>
      </c>
      <c r="R1414" s="22">
        <f>IF($D1414="","",IF(COUNTIF($D$2:$D1414,$D1414)&gt;1,"Trùng",""))</f>
        <v/>
      </c>
      <c r="S1414" s="22">
        <f>IF($D1414="","",IF(AND(LEN($D1414)=10,LEFT($D1414,1)="0",ISNUMBER(--$D1414)),"Có","Không"))</f>
        <v/>
      </c>
      <c r="T1414" s="22">
        <f>IF($D1414="","",IF(AND($C1414&lt;&gt;"",$Q1414="Có",$R1414="",$S1414="Có",AND($L1414&lt;&gt;"",OR($L1414&lt;&gt;"Chưa xác định",DANH_MUC!$L$9="Có"))),"Có","Không"))</f>
        <v/>
      </c>
      <c r="U1414" s="22">
        <f>IF(OR($D1414="",$T1414="Có"),"",IF($C1414="","Thiếu họ tên; ","")&amp;IF($S1414&lt;&gt;"Có","SĐT sai định dạng; ","")&amp;IF($R1414="Trùng","Trùng SĐT; ","")&amp;IF($Q1414&lt;&gt;"Có","Thiếu đồng ý bắt buộc; ","")&amp;IF($L1414="","Thiếu/sai Mã REF; ",IF(AND($L1414="Chưa xác định",DANH_MUC!$L$9&lt;&gt;"Có"),"Nguồn chưa xác định; ","")))</f>
        <v/>
      </c>
      <c r="V1414" s="22">
        <f>IF(OR($D1414="",$R1414="Trùng"),"",IF(COUNTIF(ORDERS!$C$2:$C$4995,$D1414)&gt;0,"Có","Không"))</f>
        <v/>
      </c>
      <c r="W1414" s="22">
        <f>IF(OR($D1414="",$R1414="Trùng"),"",COUNTIFS(ORDERS!$C$2:$C$4995,$D1414,ORDERS!$L$2:$L$4995,"Đã chuyển khoản"))</f>
        <v/>
      </c>
      <c r="X1414" s="23">
        <f>IF(OR($D1414="",$R1414="Trùng"),"",SUMIFS(ORDERS!$J$2:$J$4995,ORDERS!$C$2:$C$4995,$D1414,ORDERS!$L$2:$L$4995,"Đã chuyển khoản"))</f>
        <v/>
      </c>
      <c r="Y1414" s="24" t="n"/>
    </row>
    <row r="1415" ht="14.25" customHeight="1" s="40">
      <c r="A1415" s="24" t="n"/>
      <c r="B1415" s="27" t="n"/>
      <c r="C1415" s="24" t="n"/>
      <c r="D1415" s="28" t="n"/>
      <c r="E1415" s="29" t="n"/>
      <c r="F1415" s="24" t="n"/>
      <c r="G1415" s="24" t="n"/>
      <c r="H1415" s="21">
        <f>IF(ISNUMBER($B1415),INT($B1415)-WEEKDAY($B1415,2)+1,"")</f>
        <v/>
      </c>
      <c r="I1415" s="24" t="n"/>
      <c r="J1415" s="22">
        <f t="array" ref="J1415">IF($D1415="","",IF($I1415="","(trống REF)",IFERROR(INDEX(MASTER_SOURCE!$B$2:$B$495,MATCH($I1415,MASTER_SOURCE!$A$2:$A$495,0)),"(REF không có trong MASTER_SOURCE)")))</f>
        <v/>
      </c>
      <c r="K1415" s="22">
        <f t="array" ref="K1415">IF($D1415="","",IFERROR(INDEX(MASTER_SOURCE!$C$2:$C$495,MATCH($I1415,MASTER_SOURCE!$A$2:$A$495,0)),""))</f>
        <v/>
      </c>
      <c r="L1415" s="22">
        <f t="array" ref="L1415">IF($D1415="","",IFERROR(INDEX(MASTER_SOURCE!$D$2:$D$495,MATCH($I1415,MASTER_SOURCE!$A$2:$A$495,0)),""))</f>
        <v/>
      </c>
      <c r="M1415" s="24" t="n"/>
      <c r="N1415" s="24" t="n"/>
      <c r="O1415" s="24" t="n"/>
      <c r="P1415" s="24" t="n"/>
      <c r="Q1415" s="22">
        <f>IF($D1415="","",IF(AND(OR(DANH_MUC!$L$5&lt;&gt;"Có",M1415="Có"),OR(DANH_MUC!$L$6&lt;&gt;"Có",N1415="Có"),OR(DANH_MUC!$L$7&lt;&gt;"Có",O1415="Có"),OR(DANH_MUC!$L$8&lt;&gt;"Có",P1415="Có")),"Có","Không"))</f>
        <v/>
      </c>
      <c r="R1415" s="22">
        <f>IF($D1415="","",IF(COUNTIF($D$2:$D1415,$D1415)&gt;1,"Trùng",""))</f>
        <v/>
      </c>
      <c r="S1415" s="22">
        <f>IF($D1415="","",IF(AND(LEN($D1415)=10,LEFT($D1415,1)="0",ISNUMBER(--$D1415)),"Có","Không"))</f>
        <v/>
      </c>
      <c r="T1415" s="22">
        <f>IF($D1415="","",IF(AND($C1415&lt;&gt;"",$Q1415="Có",$R1415="",$S1415="Có",AND($L1415&lt;&gt;"",OR($L1415&lt;&gt;"Chưa xác định",DANH_MUC!$L$9="Có"))),"Có","Không"))</f>
        <v/>
      </c>
      <c r="U1415" s="22">
        <f>IF(OR($D1415="",$T1415="Có"),"",IF($C1415="","Thiếu họ tên; ","")&amp;IF($S1415&lt;&gt;"Có","SĐT sai định dạng; ","")&amp;IF($R1415="Trùng","Trùng SĐT; ","")&amp;IF($Q1415&lt;&gt;"Có","Thiếu đồng ý bắt buộc; ","")&amp;IF($L1415="","Thiếu/sai Mã REF; ",IF(AND($L1415="Chưa xác định",DANH_MUC!$L$9&lt;&gt;"Có"),"Nguồn chưa xác định; ","")))</f>
        <v/>
      </c>
      <c r="V1415" s="22">
        <f>IF(OR($D1415="",$R1415="Trùng"),"",IF(COUNTIF(ORDERS!$C$2:$C$4995,$D1415)&gt;0,"Có","Không"))</f>
        <v/>
      </c>
      <c r="W1415" s="22">
        <f>IF(OR($D1415="",$R1415="Trùng"),"",COUNTIFS(ORDERS!$C$2:$C$4995,$D1415,ORDERS!$L$2:$L$4995,"Đã chuyển khoản"))</f>
        <v/>
      </c>
      <c r="X1415" s="23">
        <f>IF(OR($D1415="",$R1415="Trùng"),"",SUMIFS(ORDERS!$J$2:$J$4995,ORDERS!$C$2:$C$4995,$D1415,ORDERS!$L$2:$L$4995,"Đã chuyển khoản"))</f>
        <v/>
      </c>
      <c r="Y1415" s="24" t="n"/>
    </row>
    <row r="1416" ht="14.25" customHeight="1" s="40">
      <c r="A1416" s="24" t="n"/>
      <c r="B1416" s="27" t="n"/>
      <c r="C1416" s="24" t="n"/>
      <c r="D1416" s="28" t="n"/>
      <c r="E1416" s="29" t="n"/>
      <c r="F1416" s="24" t="n"/>
      <c r="G1416" s="24" t="n"/>
      <c r="H1416" s="21">
        <f>IF(ISNUMBER($B1416),INT($B1416)-WEEKDAY($B1416,2)+1,"")</f>
        <v/>
      </c>
      <c r="I1416" s="24" t="n"/>
      <c r="J1416" s="22">
        <f t="array" ref="J1416">IF($D1416="","",IF($I1416="","(trống REF)",IFERROR(INDEX(MASTER_SOURCE!$B$2:$B$495,MATCH($I1416,MASTER_SOURCE!$A$2:$A$495,0)),"(REF không có trong MASTER_SOURCE)")))</f>
        <v/>
      </c>
      <c r="K1416" s="22">
        <f t="array" ref="K1416">IF($D1416="","",IFERROR(INDEX(MASTER_SOURCE!$C$2:$C$495,MATCH($I1416,MASTER_SOURCE!$A$2:$A$495,0)),""))</f>
        <v/>
      </c>
      <c r="L1416" s="22">
        <f t="array" ref="L1416">IF($D1416="","",IFERROR(INDEX(MASTER_SOURCE!$D$2:$D$495,MATCH($I1416,MASTER_SOURCE!$A$2:$A$495,0)),""))</f>
        <v/>
      </c>
      <c r="M1416" s="24" t="n"/>
      <c r="N1416" s="24" t="n"/>
      <c r="O1416" s="24" t="n"/>
      <c r="P1416" s="24" t="n"/>
      <c r="Q1416" s="22">
        <f>IF($D1416="","",IF(AND(OR(DANH_MUC!$L$5&lt;&gt;"Có",M1416="Có"),OR(DANH_MUC!$L$6&lt;&gt;"Có",N1416="Có"),OR(DANH_MUC!$L$7&lt;&gt;"Có",O1416="Có"),OR(DANH_MUC!$L$8&lt;&gt;"Có",P1416="Có")),"Có","Không"))</f>
        <v/>
      </c>
      <c r="R1416" s="22">
        <f>IF($D1416="","",IF(COUNTIF($D$2:$D1416,$D1416)&gt;1,"Trùng",""))</f>
        <v/>
      </c>
      <c r="S1416" s="22">
        <f>IF($D1416="","",IF(AND(LEN($D1416)=10,LEFT($D1416,1)="0",ISNUMBER(--$D1416)),"Có","Không"))</f>
        <v/>
      </c>
      <c r="T1416" s="22">
        <f>IF($D1416="","",IF(AND($C1416&lt;&gt;"",$Q1416="Có",$R1416="",$S1416="Có",AND($L1416&lt;&gt;"",OR($L1416&lt;&gt;"Chưa xác định",DANH_MUC!$L$9="Có"))),"Có","Không"))</f>
        <v/>
      </c>
      <c r="U1416" s="22">
        <f>IF(OR($D1416="",$T1416="Có"),"",IF($C1416="","Thiếu họ tên; ","")&amp;IF($S1416&lt;&gt;"Có","SĐT sai định dạng; ","")&amp;IF($R1416="Trùng","Trùng SĐT; ","")&amp;IF($Q1416&lt;&gt;"Có","Thiếu đồng ý bắt buộc; ","")&amp;IF($L1416="","Thiếu/sai Mã REF; ",IF(AND($L1416="Chưa xác định",DANH_MUC!$L$9&lt;&gt;"Có"),"Nguồn chưa xác định; ","")))</f>
        <v/>
      </c>
      <c r="V1416" s="22">
        <f>IF(OR($D1416="",$R1416="Trùng"),"",IF(COUNTIF(ORDERS!$C$2:$C$4995,$D1416)&gt;0,"Có","Không"))</f>
        <v/>
      </c>
      <c r="W1416" s="22">
        <f>IF(OR($D1416="",$R1416="Trùng"),"",COUNTIFS(ORDERS!$C$2:$C$4995,$D1416,ORDERS!$L$2:$L$4995,"Đã chuyển khoản"))</f>
        <v/>
      </c>
      <c r="X1416" s="23">
        <f>IF(OR($D1416="",$R1416="Trùng"),"",SUMIFS(ORDERS!$J$2:$J$4995,ORDERS!$C$2:$C$4995,$D1416,ORDERS!$L$2:$L$4995,"Đã chuyển khoản"))</f>
        <v/>
      </c>
      <c r="Y1416" s="24" t="n"/>
    </row>
    <row r="1417" ht="14.25" customHeight="1" s="40">
      <c r="A1417" s="24" t="n"/>
      <c r="B1417" s="27" t="n"/>
      <c r="C1417" s="24" t="n"/>
      <c r="D1417" s="28" t="n"/>
      <c r="E1417" s="29" t="n"/>
      <c r="F1417" s="24" t="n"/>
      <c r="G1417" s="24" t="n"/>
      <c r="H1417" s="21">
        <f>IF(ISNUMBER($B1417),INT($B1417)-WEEKDAY($B1417,2)+1,"")</f>
        <v/>
      </c>
      <c r="I1417" s="24" t="n"/>
      <c r="J1417" s="22">
        <f t="array" ref="J1417">IF($D1417="","",IF($I1417="","(trống REF)",IFERROR(INDEX(MASTER_SOURCE!$B$2:$B$495,MATCH($I1417,MASTER_SOURCE!$A$2:$A$495,0)),"(REF không có trong MASTER_SOURCE)")))</f>
        <v/>
      </c>
      <c r="K1417" s="22">
        <f t="array" ref="K1417">IF($D1417="","",IFERROR(INDEX(MASTER_SOURCE!$C$2:$C$495,MATCH($I1417,MASTER_SOURCE!$A$2:$A$495,0)),""))</f>
        <v/>
      </c>
      <c r="L1417" s="22">
        <f t="array" ref="L1417">IF($D1417="","",IFERROR(INDEX(MASTER_SOURCE!$D$2:$D$495,MATCH($I1417,MASTER_SOURCE!$A$2:$A$495,0)),""))</f>
        <v/>
      </c>
      <c r="M1417" s="24" t="n"/>
      <c r="N1417" s="24" t="n"/>
      <c r="O1417" s="24" t="n"/>
      <c r="P1417" s="24" t="n"/>
      <c r="Q1417" s="22">
        <f>IF($D1417="","",IF(AND(OR(DANH_MUC!$L$5&lt;&gt;"Có",M1417="Có"),OR(DANH_MUC!$L$6&lt;&gt;"Có",N1417="Có"),OR(DANH_MUC!$L$7&lt;&gt;"Có",O1417="Có"),OR(DANH_MUC!$L$8&lt;&gt;"Có",P1417="Có")),"Có","Không"))</f>
        <v/>
      </c>
      <c r="R1417" s="22">
        <f>IF($D1417="","",IF(COUNTIF($D$2:$D1417,$D1417)&gt;1,"Trùng",""))</f>
        <v/>
      </c>
      <c r="S1417" s="22">
        <f>IF($D1417="","",IF(AND(LEN($D1417)=10,LEFT($D1417,1)="0",ISNUMBER(--$D1417)),"Có","Không"))</f>
        <v/>
      </c>
      <c r="T1417" s="22">
        <f>IF($D1417="","",IF(AND($C1417&lt;&gt;"",$Q1417="Có",$R1417="",$S1417="Có",AND($L1417&lt;&gt;"",OR($L1417&lt;&gt;"Chưa xác định",DANH_MUC!$L$9="Có"))),"Có","Không"))</f>
        <v/>
      </c>
      <c r="U1417" s="22">
        <f>IF(OR($D1417="",$T1417="Có"),"",IF($C1417="","Thiếu họ tên; ","")&amp;IF($S1417&lt;&gt;"Có","SĐT sai định dạng; ","")&amp;IF($R1417="Trùng","Trùng SĐT; ","")&amp;IF($Q1417&lt;&gt;"Có","Thiếu đồng ý bắt buộc; ","")&amp;IF($L1417="","Thiếu/sai Mã REF; ",IF(AND($L1417="Chưa xác định",DANH_MUC!$L$9&lt;&gt;"Có"),"Nguồn chưa xác định; ","")))</f>
        <v/>
      </c>
      <c r="V1417" s="22">
        <f>IF(OR($D1417="",$R1417="Trùng"),"",IF(COUNTIF(ORDERS!$C$2:$C$4995,$D1417)&gt;0,"Có","Không"))</f>
        <v/>
      </c>
      <c r="W1417" s="22">
        <f>IF(OR($D1417="",$R1417="Trùng"),"",COUNTIFS(ORDERS!$C$2:$C$4995,$D1417,ORDERS!$L$2:$L$4995,"Đã chuyển khoản"))</f>
        <v/>
      </c>
      <c r="X1417" s="23">
        <f>IF(OR($D1417="",$R1417="Trùng"),"",SUMIFS(ORDERS!$J$2:$J$4995,ORDERS!$C$2:$C$4995,$D1417,ORDERS!$L$2:$L$4995,"Đã chuyển khoản"))</f>
        <v/>
      </c>
      <c r="Y1417" s="24" t="n"/>
    </row>
    <row r="1418" ht="14.25" customHeight="1" s="40">
      <c r="A1418" s="24" t="n"/>
      <c r="B1418" s="27" t="n"/>
      <c r="C1418" s="24" t="n"/>
      <c r="D1418" s="28" t="n"/>
      <c r="E1418" s="29" t="n"/>
      <c r="F1418" s="24" t="n"/>
      <c r="G1418" s="24" t="n"/>
      <c r="H1418" s="21">
        <f>IF(ISNUMBER($B1418),INT($B1418)-WEEKDAY($B1418,2)+1,"")</f>
        <v/>
      </c>
      <c r="I1418" s="24" t="n"/>
      <c r="J1418" s="22">
        <f t="array" ref="J1418">IF($D1418="","",IF($I1418="","(trống REF)",IFERROR(INDEX(MASTER_SOURCE!$B$2:$B$495,MATCH($I1418,MASTER_SOURCE!$A$2:$A$495,0)),"(REF không có trong MASTER_SOURCE)")))</f>
        <v/>
      </c>
      <c r="K1418" s="22">
        <f t="array" ref="K1418">IF($D1418="","",IFERROR(INDEX(MASTER_SOURCE!$C$2:$C$495,MATCH($I1418,MASTER_SOURCE!$A$2:$A$495,0)),""))</f>
        <v/>
      </c>
      <c r="L1418" s="22">
        <f t="array" ref="L1418">IF($D1418="","",IFERROR(INDEX(MASTER_SOURCE!$D$2:$D$495,MATCH($I1418,MASTER_SOURCE!$A$2:$A$495,0)),""))</f>
        <v/>
      </c>
      <c r="M1418" s="24" t="n"/>
      <c r="N1418" s="24" t="n"/>
      <c r="O1418" s="24" t="n"/>
      <c r="P1418" s="24" t="n"/>
      <c r="Q1418" s="22">
        <f>IF($D1418="","",IF(AND(OR(DANH_MUC!$L$5&lt;&gt;"Có",M1418="Có"),OR(DANH_MUC!$L$6&lt;&gt;"Có",N1418="Có"),OR(DANH_MUC!$L$7&lt;&gt;"Có",O1418="Có"),OR(DANH_MUC!$L$8&lt;&gt;"Có",P1418="Có")),"Có","Không"))</f>
        <v/>
      </c>
      <c r="R1418" s="22">
        <f>IF($D1418="","",IF(COUNTIF($D$2:$D1418,$D1418)&gt;1,"Trùng",""))</f>
        <v/>
      </c>
      <c r="S1418" s="22">
        <f>IF($D1418="","",IF(AND(LEN($D1418)=10,LEFT($D1418,1)="0",ISNUMBER(--$D1418)),"Có","Không"))</f>
        <v/>
      </c>
      <c r="T1418" s="22">
        <f>IF($D1418="","",IF(AND($C1418&lt;&gt;"",$Q1418="Có",$R1418="",$S1418="Có",AND($L1418&lt;&gt;"",OR($L1418&lt;&gt;"Chưa xác định",DANH_MUC!$L$9="Có"))),"Có","Không"))</f>
        <v/>
      </c>
      <c r="U1418" s="22">
        <f>IF(OR($D1418="",$T1418="Có"),"",IF($C1418="","Thiếu họ tên; ","")&amp;IF($S1418&lt;&gt;"Có","SĐT sai định dạng; ","")&amp;IF($R1418="Trùng","Trùng SĐT; ","")&amp;IF($Q1418&lt;&gt;"Có","Thiếu đồng ý bắt buộc; ","")&amp;IF($L1418="","Thiếu/sai Mã REF; ",IF(AND($L1418="Chưa xác định",DANH_MUC!$L$9&lt;&gt;"Có"),"Nguồn chưa xác định; ","")))</f>
        <v/>
      </c>
      <c r="V1418" s="22">
        <f>IF(OR($D1418="",$R1418="Trùng"),"",IF(COUNTIF(ORDERS!$C$2:$C$4995,$D1418)&gt;0,"Có","Không"))</f>
        <v/>
      </c>
      <c r="W1418" s="22">
        <f>IF(OR($D1418="",$R1418="Trùng"),"",COUNTIFS(ORDERS!$C$2:$C$4995,$D1418,ORDERS!$L$2:$L$4995,"Đã chuyển khoản"))</f>
        <v/>
      </c>
      <c r="X1418" s="23">
        <f>IF(OR($D1418="",$R1418="Trùng"),"",SUMIFS(ORDERS!$J$2:$J$4995,ORDERS!$C$2:$C$4995,$D1418,ORDERS!$L$2:$L$4995,"Đã chuyển khoản"))</f>
        <v/>
      </c>
      <c r="Y1418" s="24" t="n"/>
    </row>
    <row r="1419" ht="14.25" customHeight="1" s="40">
      <c r="A1419" s="24" t="n"/>
      <c r="B1419" s="27" t="n"/>
      <c r="C1419" s="24" t="n"/>
      <c r="D1419" s="28" t="n"/>
      <c r="E1419" s="29" t="n"/>
      <c r="F1419" s="24" t="n"/>
      <c r="G1419" s="24" t="n"/>
      <c r="H1419" s="21">
        <f>IF(ISNUMBER($B1419),INT($B1419)-WEEKDAY($B1419,2)+1,"")</f>
        <v/>
      </c>
      <c r="I1419" s="24" t="n"/>
      <c r="J1419" s="22">
        <f t="array" ref="J1419">IF($D1419="","",IF($I1419="","(trống REF)",IFERROR(INDEX(MASTER_SOURCE!$B$2:$B$495,MATCH($I1419,MASTER_SOURCE!$A$2:$A$495,0)),"(REF không có trong MASTER_SOURCE)")))</f>
        <v/>
      </c>
      <c r="K1419" s="22">
        <f t="array" ref="K1419">IF($D1419="","",IFERROR(INDEX(MASTER_SOURCE!$C$2:$C$495,MATCH($I1419,MASTER_SOURCE!$A$2:$A$495,0)),""))</f>
        <v/>
      </c>
      <c r="L1419" s="22">
        <f t="array" ref="L1419">IF($D1419="","",IFERROR(INDEX(MASTER_SOURCE!$D$2:$D$495,MATCH($I1419,MASTER_SOURCE!$A$2:$A$495,0)),""))</f>
        <v/>
      </c>
      <c r="M1419" s="24" t="n"/>
      <c r="N1419" s="24" t="n"/>
      <c r="O1419" s="24" t="n"/>
      <c r="P1419" s="24" t="n"/>
      <c r="Q1419" s="22">
        <f>IF($D1419="","",IF(AND(OR(DANH_MUC!$L$5&lt;&gt;"Có",M1419="Có"),OR(DANH_MUC!$L$6&lt;&gt;"Có",N1419="Có"),OR(DANH_MUC!$L$7&lt;&gt;"Có",O1419="Có"),OR(DANH_MUC!$L$8&lt;&gt;"Có",P1419="Có")),"Có","Không"))</f>
        <v/>
      </c>
      <c r="R1419" s="22">
        <f>IF($D1419="","",IF(COUNTIF($D$2:$D1419,$D1419)&gt;1,"Trùng",""))</f>
        <v/>
      </c>
      <c r="S1419" s="22">
        <f>IF($D1419="","",IF(AND(LEN($D1419)=10,LEFT($D1419,1)="0",ISNUMBER(--$D1419)),"Có","Không"))</f>
        <v/>
      </c>
      <c r="T1419" s="22">
        <f>IF($D1419="","",IF(AND($C1419&lt;&gt;"",$Q1419="Có",$R1419="",$S1419="Có",AND($L1419&lt;&gt;"",OR($L1419&lt;&gt;"Chưa xác định",DANH_MUC!$L$9="Có"))),"Có","Không"))</f>
        <v/>
      </c>
      <c r="U1419" s="22">
        <f>IF(OR($D1419="",$T1419="Có"),"",IF($C1419="","Thiếu họ tên; ","")&amp;IF($S1419&lt;&gt;"Có","SĐT sai định dạng; ","")&amp;IF($R1419="Trùng","Trùng SĐT; ","")&amp;IF($Q1419&lt;&gt;"Có","Thiếu đồng ý bắt buộc; ","")&amp;IF($L1419="","Thiếu/sai Mã REF; ",IF(AND($L1419="Chưa xác định",DANH_MUC!$L$9&lt;&gt;"Có"),"Nguồn chưa xác định; ","")))</f>
        <v/>
      </c>
      <c r="V1419" s="22">
        <f>IF(OR($D1419="",$R1419="Trùng"),"",IF(COUNTIF(ORDERS!$C$2:$C$4995,$D1419)&gt;0,"Có","Không"))</f>
        <v/>
      </c>
      <c r="W1419" s="22">
        <f>IF(OR($D1419="",$R1419="Trùng"),"",COUNTIFS(ORDERS!$C$2:$C$4995,$D1419,ORDERS!$L$2:$L$4995,"Đã chuyển khoản"))</f>
        <v/>
      </c>
      <c r="X1419" s="23">
        <f>IF(OR($D1419="",$R1419="Trùng"),"",SUMIFS(ORDERS!$J$2:$J$4995,ORDERS!$C$2:$C$4995,$D1419,ORDERS!$L$2:$L$4995,"Đã chuyển khoản"))</f>
        <v/>
      </c>
      <c r="Y1419" s="24" t="n"/>
    </row>
    <row r="1420" ht="14.25" customHeight="1" s="40">
      <c r="A1420" s="24" t="n"/>
      <c r="B1420" s="27" t="n"/>
      <c r="C1420" s="24" t="n"/>
      <c r="D1420" s="28" t="n"/>
      <c r="E1420" s="29" t="n"/>
      <c r="F1420" s="24" t="n"/>
      <c r="G1420" s="24" t="n"/>
      <c r="H1420" s="21">
        <f>IF(ISNUMBER($B1420),INT($B1420)-WEEKDAY($B1420,2)+1,"")</f>
        <v/>
      </c>
      <c r="I1420" s="24" t="n"/>
      <c r="J1420" s="22">
        <f t="array" ref="J1420">IF($D1420="","",IF($I1420="","(trống REF)",IFERROR(INDEX(MASTER_SOURCE!$B$2:$B$495,MATCH($I1420,MASTER_SOURCE!$A$2:$A$495,0)),"(REF không có trong MASTER_SOURCE)")))</f>
        <v/>
      </c>
      <c r="K1420" s="22">
        <f t="array" ref="K1420">IF($D1420="","",IFERROR(INDEX(MASTER_SOURCE!$C$2:$C$495,MATCH($I1420,MASTER_SOURCE!$A$2:$A$495,0)),""))</f>
        <v/>
      </c>
      <c r="L1420" s="22">
        <f t="array" ref="L1420">IF($D1420="","",IFERROR(INDEX(MASTER_SOURCE!$D$2:$D$495,MATCH($I1420,MASTER_SOURCE!$A$2:$A$495,0)),""))</f>
        <v/>
      </c>
      <c r="M1420" s="24" t="n"/>
      <c r="N1420" s="24" t="n"/>
      <c r="O1420" s="24" t="n"/>
      <c r="P1420" s="24" t="n"/>
      <c r="Q1420" s="22">
        <f>IF($D1420="","",IF(AND(OR(DANH_MUC!$L$5&lt;&gt;"Có",M1420="Có"),OR(DANH_MUC!$L$6&lt;&gt;"Có",N1420="Có"),OR(DANH_MUC!$L$7&lt;&gt;"Có",O1420="Có"),OR(DANH_MUC!$L$8&lt;&gt;"Có",P1420="Có")),"Có","Không"))</f>
        <v/>
      </c>
      <c r="R1420" s="22">
        <f>IF($D1420="","",IF(COUNTIF($D$2:$D1420,$D1420)&gt;1,"Trùng",""))</f>
        <v/>
      </c>
      <c r="S1420" s="22">
        <f>IF($D1420="","",IF(AND(LEN($D1420)=10,LEFT($D1420,1)="0",ISNUMBER(--$D1420)),"Có","Không"))</f>
        <v/>
      </c>
      <c r="T1420" s="22">
        <f>IF($D1420="","",IF(AND($C1420&lt;&gt;"",$Q1420="Có",$R1420="",$S1420="Có",AND($L1420&lt;&gt;"",OR($L1420&lt;&gt;"Chưa xác định",DANH_MUC!$L$9="Có"))),"Có","Không"))</f>
        <v/>
      </c>
      <c r="U1420" s="22">
        <f>IF(OR($D1420="",$T1420="Có"),"",IF($C1420="","Thiếu họ tên; ","")&amp;IF($S1420&lt;&gt;"Có","SĐT sai định dạng; ","")&amp;IF($R1420="Trùng","Trùng SĐT; ","")&amp;IF($Q1420&lt;&gt;"Có","Thiếu đồng ý bắt buộc; ","")&amp;IF($L1420="","Thiếu/sai Mã REF; ",IF(AND($L1420="Chưa xác định",DANH_MUC!$L$9&lt;&gt;"Có"),"Nguồn chưa xác định; ","")))</f>
        <v/>
      </c>
      <c r="V1420" s="22">
        <f>IF(OR($D1420="",$R1420="Trùng"),"",IF(COUNTIF(ORDERS!$C$2:$C$4995,$D1420)&gt;0,"Có","Không"))</f>
        <v/>
      </c>
      <c r="W1420" s="22">
        <f>IF(OR($D1420="",$R1420="Trùng"),"",COUNTIFS(ORDERS!$C$2:$C$4995,$D1420,ORDERS!$L$2:$L$4995,"Đã chuyển khoản"))</f>
        <v/>
      </c>
      <c r="X1420" s="23">
        <f>IF(OR($D1420="",$R1420="Trùng"),"",SUMIFS(ORDERS!$J$2:$J$4995,ORDERS!$C$2:$C$4995,$D1420,ORDERS!$L$2:$L$4995,"Đã chuyển khoản"))</f>
        <v/>
      </c>
      <c r="Y1420" s="24" t="n"/>
    </row>
    <row r="1421" ht="14.25" customHeight="1" s="40">
      <c r="A1421" s="24" t="n"/>
      <c r="B1421" s="27" t="n"/>
      <c r="C1421" s="24" t="n"/>
      <c r="D1421" s="28" t="n"/>
      <c r="E1421" s="29" t="n"/>
      <c r="F1421" s="24" t="n"/>
      <c r="G1421" s="24" t="n"/>
      <c r="H1421" s="21">
        <f>IF(ISNUMBER($B1421),INT($B1421)-WEEKDAY($B1421,2)+1,"")</f>
        <v/>
      </c>
      <c r="I1421" s="24" t="n"/>
      <c r="J1421" s="22">
        <f t="array" ref="J1421">IF($D1421="","",IF($I1421="","(trống REF)",IFERROR(INDEX(MASTER_SOURCE!$B$2:$B$495,MATCH($I1421,MASTER_SOURCE!$A$2:$A$495,0)),"(REF không có trong MASTER_SOURCE)")))</f>
        <v/>
      </c>
      <c r="K1421" s="22">
        <f t="array" ref="K1421">IF($D1421="","",IFERROR(INDEX(MASTER_SOURCE!$C$2:$C$495,MATCH($I1421,MASTER_SOURCE!$A$2:$A$495,0)),""))</f>
        <v/>
      </c>
      <c r="L1421" s="22">
        <f t="array" ref="L1421">IF($D1421="","",IFERROR(INDEX(MASTER_SOURCE!$D$2:$D$495,MATCH($I1421,MASTER_SOURCE!$A$2:$A$495,0)),""))</f>
        <v/>
      </c>
      <c r="M1421" s="24" t="n"/>
      <c r="N1421" s="24" t="n"/>
      <c r="O1421" s="24" t="n"/>
      <c r="P1421" s="24" t="n"/>
      <c r="Q1421" s="22">
        <f>IF($D1421="","",IF(AND(OR(DANH_MUC!$L$5&lt;&gt;"Có",M1421="Có"),OR(DANH_MUC!$L$6&lt;&gt;"Có",N1421="Có"),OR(DANH_MUC!$L$7&lt;&gt;"Có",O1421="Có"),OR(DANH_MUC!$L$8&lt;&gt;"Có",P1421="Có")),"Có","Không"))</f>
        <v/>
      </c>
      <c r="R1421" s="22">
        <f>IF($D1421="","",IF(COUNTIF($D$2:$D1421,$D1421)&gt;1,"Trùng",""))</f>
        <v/>
      </c>
      <c r="S1421" s="22">
        <f>IF($D1421="","",IF(AND(LEN($D1421)=10,LEFT($D1421,1)="0",ISNUMBER(--$D1421)),"Có","Không"))</f>
        <v/>
      </c>
      <c r="T1421" s="22">
        <f>IF($D1421="","",IF(AND($C1421&lt;&gt;"",$Q1421="Có",$R1421="",$S1421="Có",AND($L1421&lt;&gt;"",OR($L1421&lt;&gt;"Chưa xác định",DANH_MUC!$L$9="Có"))),"Có","Không"))</f>
        <v/>
      </c>
      <c r="U1421" s="22">
        <f>IF(OR($D1421="",$T1421="Có"),"",IF($C1421="","Thiếu họ tên; ","")&amp;IF($S1421&lt;&gt;"Có","SĐT sai định dạng; ","")&amp;IF($R1421="Trùng","Trùng SĐT; ","")&amp;IF($Q1421&lt;&gt;"Có","Thiếu đồng ý bắt buộc; ","")&amp;IF($L1421="","Thiếu/sai Mã REF; ",IF(AND($L1421="Chưa xác định",DANH_MUC!$L$9&lt;&gt;"Có"),"Nguồn chưa xác định; ","")))</f>
        <v/>
      </c>
      <c r="V1421" s="22">
        <f>IF(OR($D1421="",$R1421="Trùng"),"",IF(COUNTIF(ORDERS!$C$2:$C$4995,$D1421)&gt;0,"Có","Không"))</f>
        <v/>
      </c>
      <c r="W1421" s="22">
        <f>IF(OR($D1421="",$R1421="Trùng"),"",COUNTIFS(ORDERS!$C$2:$C$4995,$D1421,ORDERS!$L$2:$L$4995,"Đã chuyển khoản"))</f>
        <v/>
      </c>
      <c r="X1421" s="23">
        <f>IF(OR($D1421="",$R1421="Trùng"),"",SUMIFS(ORDERS!$J$2:$J$4995,ORDERS!$C$2:$C$4995,$D1421,ORDERS!$L$2:$L$4995,"Đã chuyển khoản"))</f>
        <v/>
      </c>
      <c r="Y1421" s="24" t="n"/>
    </row>
    <row r="1422" ht="14.25" customHeight="1" s="40">
      <c r="A1422" s="24" t="n"/>
      <c r="B1422" s="27" t="n"/>
      <c r="C1422" s="24" t="n"/>
      <c r="D1422" s="28" t="n"/>
      <c r="E1422" s="29" t="n"/>
      <c r="F1422" s="24" t="n"/>
      <c r="G1422" s="24" t="n"/>
      <c r="H1422" s="21">
        <f>IF(ISNUMBER($B1422),INT($B1422)-WEEKDAY($B1422,2)+1,"")</f>
        <v/>
      </c>
      <c r="I1422" s="24" t="n"/>
      <c r="J1422" s="22">
        <f t="array" ref="J1422">IF($D1422="","",IF($I1422="","(trống REF)",IFERROR(INDEX(MASTER_SOURCE!$B$2:$B$495,MATCH($I1422,MASTER_SOURCE!$A$2:$A$495,0)),"(REF không có trong MASTER_SOURCE)")))</f>
        <v/>
      </c>
      <c r="K1422" s="22">
        <f t="array" ref="K1422">IF($D1422="","",IFERROR(INDEX(MASTER_SOURCE!$C$2:$C$495,MATCH($I1422,MASTER_SOURCE!$A$2:$A$495,0)),""))</f>
        <v/>
      </c>
      <c r="L1422" s="22">
        <f t="array" ref="L1422">IF($D1422="","",IFERROR(INDEX(MASTER_SOURCE!$D$2:$D$495,MATCH($I1422,MASTER_SOURCE!$A$2:$A$495,0)),""))</f>
        <v/>
      </c>
      <c r="M1422" s="24" t="n"/>
      <c r="N1422" s="24" t="n"/>
      <c r="O1422" s="24" t="n"/>
      <c r="P1422" s="24" t="n"/>
      <c r="Q1422" s="22">
        <f>IF($D1422="","",IF(AND(OR(DANH_MUC!$L$5&lt;&gt;"Có",M1422="Có"),OR(DANH_MUC!$L$6&lt;&gt;"Có",N1422="Có"),OR(DANH_MUC!$L$7&lt;&gt;"Có",O1422="Có"),OR(DANH_MUC!$L$8&lt;&gt;"Có",P1422="Có")),"Có","Không"))</f>
        <v/>
      </c>
      <c r="R1422" s="22">
        <f>IF($D1422="","",IF(COUNTIF($D$2:$D1422,$D1422)&gt;1,"Trùng",""))</f>
        <v/>
      </c>
      <c r="S1422" s="22">
        <f>IF($D1422="","",IF(AND(LEN($D1422)=10,LEFT($D1422,1)="0",ISNUMBER(--$D1422)),"Có","Không"))</f>
        <v/>
      </c>
      <c r="T1422" s="22">
        <f>IF($D1422="","",IF(AND($C1422&lt;&gt;"",$Q1422="Có",$R1422="",$S1422="Có",AND($L1422&lt;&gt;"",OR($L1422&lt;&gt;"Chưa xác định",DANH_MUC!$L$9="Có"))),"Có","Không"))</f>
        <v/>
      </c>
      <c r="U1422" s="22">
        <f>IF(OR($D1422="",$T1422="Có"),"",IF($C1422="","Thiếu họ tên; ","")&amp;IF($S1422&lt;&gt;"Có","SĐT sai định dạng; ","")&amp;IF($R1422="Trùng","Trùng SĐT; ","")&amp;IF($Q1422&lt;&gt;"Có","Thiếu đồng ý bắt buộc; ","")&amp;IF($L1422="","Thiếu/sai Mã REF; ",IF(AND($L1422="Chưa xác định",DANH_MUC!$L$9&lt;&gt;"Có"),"Nguồn chưa xác định; ","")))</f>
        <v/>
      </c>
      <c r="V1422" s="22">
        <f>IF(OR($D1422="",$R1422="Trùng"),"",IF(COUNTIF(ORDERS!$C$2:$C$4995,$D1422)&gt;0,"Có","Không"))</f>
        <v/>
      </c>
      <c r="W1422" s="22">
        <f>IF(OR($D1422="",$R1422="Trùng"),"",COUNTIFS(ORDERS!$C$2:$C$4995,$D1422,ORDERS!$L$2:$L$4995,"Đã chuyển khoản"))</f>
        <v/>
      </c>
      <c r="X1422" s="23">
        <f>IF(OR($D1422="",$R1422="Trùng"),"",SUMIFS(ORDERS!$J$2:$J$4995,ORDERS!$C$2:$C$4995,$D1422,ORDERS!$L$2:$L$4995,"Đã chuyển khoản"))</f>
        <v/>
      </c>
      <c r="Y1422" s="24" t="n"/>
    </row>
    <row r="1423" ht="14.25" customHeight="1" s="40">
      <c r="A1423" s="24" t="n"/>
      <c r="B1423" s="27" t="n"/>
      <c r="C1423" s="24" t="n"/>
      <c r="D1423" s="28" t="n"/>
      <c r="E1423" s="29" t="n"/>
      <c r="F1423" s="24" t="n"/>
      <c r="G1423" s="24" t="n"/>
      <c r="H1423" s="21">
        <f>IF(ISNUMBER($B1423),INT($B1423)-WEEKDAY($B1423,2)+1,"")</f>
        <v/>
      </c>
      <c r="I1423" s="24" t="n"/>
      <c r="J1423" s="22">
        <f t="array" ref="J1423">IF($D1423="","",IF($I1423="","(trống REF)",IFERROR(INDEX(MASTER_SOURCE!$B$2:$B$495,MATCH($I1423,MASTER_SOURCE!$A$2:$A$495,0)),"(REF không có trong MASTER_SOURCE)")))</f>
        <v/>
      </c>
      <c r="K1423" s="22">
        <f t="array" ref="K1423">IF($D1423="","",IFERROR(INDEX(MASTER_SOURCE!$C$2:$C$495,MATCH($I1423,MASTER_SOURCE!$A$2:$A$495,0)),""))</f>
        <v/>
      </c>
      <c r="L1423" s="22">
        <f t="array" ref="L1423">IF($D1423="","",IFERROR(INDEX(MASTER_SOURCE!$D$2:$D$495,MATCH($I1423,MASTER_SOURCE!$A$2:$A$495,0)),""))</f>
        <v/>
      </c>
      <c r="M1423" s="24" t="n"/>
      <c r="N1423" s="24" t="n"/>
      <c r="O1423" s="24" t="n"/>
      <c r="P1423" s="24" t="n"/>
      <c r="Q1423" s="22">
        <f>IF($D1423="","",IF(AND(OR(DANH_MUC!$L$5&lt;&gt;"Có",M1423="Có"),OR(DANH_MUC!$L$6&lt;&gt;"Có",N1423="Có"),OR(DANH_MUC!$L$7&lt;&gt;"Có",O1423="Có"),OR(DANH_MUC!$L$8&lt;&gt;"Có",P1423="Có")),"Có","Không"))</f>
        <v/>
      </c>
      <c r="R1423" s="22">
        <f>IF($D1423="","",IF(COUNTIF($D$2:$D1423,$D1423)&gt;1,"Trùng",""))</f>
        <v/>
      </c>
      <c r="S1423" s="22">
        <f>IF($D1423="","",IF(AND(LEN($D1423)=10,LEFT($D1423,1)="0",ISNUMBER(--$D1423)),"Có","Không"))</f>
        <v/>
      </c>
      <c r="T1423" s="22">
        <f>IF($D1423="","",IF(AND($C1423&lt;&gt;"",$Q1423="Có",$R1423="",$S1423="Có",AND($L1423&lt;&gt;"",OR($L1423&lt;&gt;"Chưa xác định",DANH_MUC!$L$9="Có"))),"Có","Không"))</f>
        <v/>
      </c>
      <c r="U1423" s="22">
        <f>IF(OR($D1423="",$T1423="Có"),"",IF($C1423="","Thiếu họ tên; ","")&amp;IF($S1423&lt;&gt;"Có","SĐT sai định dạng; ","")&amp;IF($R1423="Trùng","Trùng SĐT; ","")&amp;IF($Q1423&lt;&gt;"Có","Thiếu đồng ý bắt buộc; ","")&amp;IF($L1423="","Thiếu/sai Mã REF; ",IF(AND($L1423="Chưa xác định",DANH_MUC!$L$9&lt;&gt;"Có"),"Nguồn chưa xác định; ","")))</f>
        <v/>
      </c>
      <c r="V1423" s="22">
        <f>IF(OR($D1423="",$R1423="Trùng"),"",IF(COUNTIF(ORDERS!$C$2:$C$4995,$D1423)&gt;0,"Có","Không"))</f>
        <v/>
      </c>
      <c r="W1423" s="22">
        <f>IF(OR($D1423="",$R1423="Trùng"),"",COUNTIFS(ORDERS!$C$2:$C$4995,$D1423,ORDERS!$L$2:$L$4995,"Đã chuyển khoản"))</f>
        <v/>
      </c>
      <c r="X1423" s="23">
        <f>IF(OR($D1423="",$R1423="Trùng"),"",SUMIFS(ORDERS!$J$2:$J$4995,ORDERS!$C$2:$C$4995,$D1423,ORDERS!$L$2:$L$4995,"Đã chuyển khoản"))</f>
        <v/>
      </c>
      <c r="Y1423" s="24" t="n"/>
    </row>
    <row r="1424" ht="14.25" customHeight="1" s="40">
      <c r="A1424" s="24" t="n"/>
      <c r="B1424" s="27" t="n"/>
      <c r="C1424" s="24" t="n"/>
      <c r="D1424" s="28" t="n"/>
      <c r="E1424" s="29" t="n"/>
      <c r="F1424" s="24" t="n"/>
      <c r="G1424" s="24" t="n"/>
      <c r="H1424" s="21">
        <f>IF(ISNUMBER($B1424),INT($B1424)-WEEKDAY($B1424,2)+1,"")</f>
        <v/>
      </c>
      <c r="I1424" s="24" t="n"/>
      <c r="J1424" s="22">
        <f t="array" ref="J1424">IF($D1424="","",IF($I1424="","(trống REF)",IFERROR(INDEX(MASTER_SOURCE!$B$2:$B$495,MATCH($I1424,MASTER_SOURCE!$A$2:$A$495,0)),"(REF không có trong MASTER_SOURCE)")))</f>
        <v/>
      </c>
      <c r="K1424" s="22">
        <f t="array" ref="K1424">IF($D1424="","",IFERROR(INDEX(MASTER_SOURCE!$C$2:$C$495,MATCH($I1424,MASTER_SOURCE!$A$2:$A$495,0)),""))</f>
        <v/>
      </c>
      <c r="L1424" s="22">
        <f t="array" ref="L1424">IF($D1424="","",IFERROR(INDEX(MASTER_SOURCE!$D$2:$D$495,MATCH($I1424,MASTER_SOURCE!$A$2:$A$495,0)),""))</f>
        <v/>
      </c>
      <c r="M1424" s="24" t="n"/>
      <c r="N1424" s="24" t="n"/>
      <c r="O1424" s="24" t="n"/>
      <c r="P1424" s="24" t="n"/>
      <c r="Q1424" s="22">
        <f>IF($D1424="","",IF(AND(OR(DANH_MUC!$L$5&lt;&gt;"Có",M1424="Có"),OR(DANH_MUC!$L$6&lt;&gt;"Có",N1424="Có"),OR(DANH_MUC!$L$7&lt;&gt;"Có",O1424="Có"),OR(DANH_MUC!$L$8&lt;&gt;"Có",P1424="Có")),"Có","Không"))</f>
        <v/>
      </c>
      <c r="R1424" s="22">
        <f>IF($D1424="","",IF(COUNTIF($D$2:$D1424,$D1424)&gt;1,"Trùng",""))</f>
        <v/>
      </c>
      <c r="S1424" s="22">
        <f>IF($D1424="","",IF(AND(LEN($D1424)=10,LEFT($D1424,1)="0",ISNUMBER(--$D1424)),"Có","Không"))</f>
        <v/>
      </c>
      <c r="T1424" s="22">
        <f>IF($D1424="","",IF(AND($C1424&lt;&gt;"",$Q1424="Có",$R1424="",$S1424="Có",AND($L1424&lt;&gt;"",OR($L1424&lt;&gt;"Chưa xác định",DANH_MUC!$L$9="Có"))),"Có","Không"))</f>
        <v/>
      </c>
      <c r="U1424" s="22">
        <f>IF(OR($D1424="",$T1424="Có"),"",IF($C1424="","Thiếu họ tên; ","")&amp;IF($S1424&lt;&gt;"Có","SĐT sai định dạng; ","")&amp;IF($R1424="Trùng","Trùng SĐT; ","")&amp;IF($Q1424&lt;&gt;"Có","Thiếu đồng ý bắt buộc; ","")&amp;IF($L1424="","Thiếu/sai Mã REF; ",IF(AND($L1424="Chưa xác định",DANH_MUC!$L$9&lt;&gt;"Có"),"Nguồn chưa xác định; ","")))</f>
        <v/>
      </c>
      <c r="V1424" s="22">
        <f>IF(OR($D1424="",$R1424="Trùng"),"",IF(COUNTIF(ORDERS!$C$2:$C$4995,$D1424)&gt;0,"Có","Không"))</f>
        <v/>
      </c>
      <c r="W1424" s="22">
        <f>IF(OR($D1424="",$R1424="Trùng"),"",COUNTIFS(ORDERS!$C$2:$C$4995,$D1424,ORDERS!$L$2:$L$4995,"Đã chuyển khoản"))</f>
        <v/>
      </c>
      <c r="X1424" s="23">
        <f>IF(OR($D1424="",$R1424="Trùng"),"",SUMIFS(ORDERS!$J$2:$J$4995,ORDERS!$C$2:$C$4995,$D1424,ORDERS!$L$2:$L$4995,"Đã chuyển khoản"))</f>
        <v/>
      </c>
      <c r="Y1424" s="24" t="n"/>
    </row>
    <row r="1425" ht="14.25" customHeight="1" s="40">
      <c r="A1425" s="24" t="n"/>
      <c r="B1425" s="27" t="n"/>
      <c r="C1425" s="24" t="n"/>
      <c r="D1425" s="28" t="n"/>
      <c r="E1425" s="29" t="n"/>
      <c r="F1425" s="24" t="n"/>
      <c r="G1425" s="24" t="n"/>
      <c r="H1425" s="21">
        <f>IF(ISNUMBER($B1425),INT($B1425)-WEEKDAY($B1425,2)+1,"")</f>
        <v/>
      </c>
      <c r="I1425" s="24" t="n"/>
      <c r="J1425" s="22">
        <f t="array" ref="J1425">IF($D1425="","",IF($I1425="","(trống REF)",IFERROR(INDEX(MASTER_SOURCE!$B$2:$B$495,MATCH($I1425,MASTER_SOURCE!$A$2:$A$495,0)),"(REF không có trong MASTER_SOURCE)")))</f>
        <v/>
      </c>
      <c r="K1425" s="22">
        <f t="array" ref="K1425">IF($D1425="","",IFERROR(INDEX(MASTER_SOURCE!$C$2:$C$495,MATCH($I1425,MASTER_SOURCE!$A$2:$A$495,0)),""))</f>
        <v/>
      </c>
      <c r="L1425" s="22">
        <f t="array" ref="L1425">IF($D1425="","",IFERROR(INDEX(MASTER_SOURCE!$D$2:$D$495,MATCH($I1425,MASTER_SOURCE!$A$2:$A$495,0)),""))</f>
        <v/>
      </c>
      <c r="M1425" s="24" t="n"/>
      <c r="N1425" s="24" t="n"/>
      <c r="O1425" s="24" t="n"/>
      <c r="P1425" s="24" t="n"/>
      <c r="Q1425" s="22">
        <f>IF($D1425="","",IF(AND(OR(DANH_MUC!$L$5&lt;&gt;"Có",M1425="Có"),OR(DANH_MUC!$L$6&lt;&gt;"Có",N1425="Có"),OR(DANH_MUC!$L$7&lt;&gt;"Có",O1425="Có"),OR(DANH_MUC!$L$8&lt;&gt;"Có",P1425="Có")),"Có","Không"))</f>
        <v/>
      </c>
      <c r="R1425" s="22">
        <f>IF($D1425="","",IF(COUNTIF($D$2:$D1425,$D1425)&gt;1,"Trùng",""))</f>
        <v/>
      </c>
      <c r="S1425" s="22">
        <f>IF($D1425="","",IF(AND(LEN($D1425)=10,LEFT($D1425,1)="0",ISNUMBER(--$D1425)),"Có","Không"))</f>
        <v/>
      </c>
      <c r="T1425" s="22">
        <f>IF($D1425="","",IF(AND($C1425&lt;&gt;"",$Q1425="Có",$R1425="",$S1425="Có",AND($L1425&lt;&gt;"",OR($L1425&lt;&gt;"Chưa xác định",DANH_MUC!$L$9="Có"))),"Có","Không"))</f>
        <v/>
      </c>
      <c r="U1425" s="22">
        <f>IF(OR($D1425="",$T1425="Có"),"",IF($C1425="","Thiếu họ tên; ","")&amp;IF($S1425&lt;&gt;"Có","SĐT sai định dạng; ","")&amp;IF($R1425="Trùng","Trùng SĐT; ","")&amp;IF($Q1425&lt;&gt;"Có","Thiếu đồng ý bắt buộc; ","")&amp;IF($L1425="","Thiếu/sai Mã REF; ",IF(AND($L1425="Chưa xác định",DANH_MUC!$L$9&lt;&gt;"Có"),"Nguồn chưa xác định; ","")))</f>
        <v/>
      </c>
      <c r="V1425" s="22">
        <f>IF(OR($D1425="",$R1425="Trùng"),"",IF(COUNTIF(ORDERS!$C$2:$C$4995,$D1425)&gt;0,"Có","Không"))</f>
        <v/>
      </c>
      <c r="W1425" s="22">
        <f>IF(OR($D1425="",$R1425="Trùng"),"",COUNTIFS(ORDERS!$C$2:$C$4995,$D1425,ORDERS!$L$2:$L$4995,"Đã chuyển khoản"))</f>
        <v/>
      </c>
      <c r="X1425" s="23">
        <f>IF(OR($D1425="",$R1425="Trùng"),"",SUMIFS(ORDERS!$J$2:$J$4995,ORDERS!$C$2:$C$4995,$D1425,ORDERS!$L$2:$L$4995,"Đã chuyển khoản"))</f>
        <v/>
      </c>
      <c r="Y1425" s="24" t="n"/>
    </row>
    <row r="1426" ht="14.25" customHeight="1" s="40">
      <c r="A1426" s="24" t="n"/>
      <c r="B1426" s="27" t="n"/>
      <c r="C1426" s="24" t="n"/>
      <c r="D1426" s="28" t="n"/>
      <c r="E1426" s="29" t="n"/>
      <c r="F1426" s="24" t="n"/>
      <c r="G1426" s="24" t="n"/>
      <c r="H1426" s="21">
        <f>IF(ISNUMBER($B1426),INT($B1426)-WEEKDAY($B1426,2)+1,"")</f>
        <v/>
      </c>
      <c r="I1426" s="24" t="n"/>
      <c r="J1426" s="22">
        <f t="array" ref="J1426">IF($D1426="","",IF($I1426="","(trống REF)",IFERROR(INDEX(MASTER_SOURCE!$B$2:$B$495,MATCH($I1426,MASTER_SOURCE!$A$2:$A$495,0)),"(REF không có trong MASTER_SOURCE)")))</f>
        <v/>
      </c>
      <c r="K1426" s="22">
        <f t="array" ref="K1426">IF($D1426="","",IFERROR(INDEX(MASTER_SOURCE!$C$2:$C$495,MATCH($I1426,MASTER_SOURCE!$A$2:$A$495,0)),""))</f>
        <v/>
      </c>
      <c r="L1426" s="22">
        <f t="array" ref="L1426">IF($D1426="","",IFERROR(INDEX(MASTER_SOURCE!$D$2:$D$495,MATCH($I1426,MASTER_SOURCE!$A$2:$A$495,0)),""))</f>
        <v/>
      </c>
      <c r="M1426" s="24" t="n"/>
      <c r="N1426" s="24" t="n"/>
      <c r="O1426" s="24" t="n"/>
      <c r="P1426" s="24" t="n"/>
      <c r="Q1426" s="22">
        <f>IF($D1426="","",IF(AND(OR(DANH_MUC!$L$5&lt;&gt;"Có",M1426="Có"),OR(DANH_MUC!$L$6&lt;&gt;"Có",N1426="Có"),OR(DANH_MUC!$L$7&lt;&gt;"Có",O1426="Có"),OR(DANH_MUC!$L$8&lt;&gt;"Có",P1426="Có")),"Có","Không"))</f>
        <v/>
      </c>
      <c r="R1426" s="22">
        <f>IF($D1426="","",IF(COUNTIF($D$2:$D1426,$D1426)&gt;1,"Trùng",""))</f>
        <v/>
      </c>
      <c r="S1426" s="22">
        <f>IF($D1426="","",IF(AND(LEN($D1426)=10,LEFT($D1426,1)="0",ISNUMBER(--$D1426)),"Có","Không"))</f>
        <v/>
      </c>
      <c r="T1426" s="22">
        <f>IF($D1426="","",IF(AND($C1426&lt;&gt;"",$Q1426="Có",$R1426="",$S1426="Có",AND($L1426&lt;&gt;"",OR($L1426&lt;&gt;"Chưa xác định",DANH_MUC!$L$9="Có"))),"Có","Không"))</f>
        <v/>
      </c>
      <c r="U1426" s="22">
        <f>IF(OR($D1426="",$T1426="Có"),"",IF($C1426="","Thiếu họ tên; ","")&amp;IF($S1426&lt;&gt;"Có","SĐT sai định dạng; ","")&amp;IF($R1426="Trùng","Trùng SĐT; ","")&amp;IF($Q1426&lt;&gt;"Có","Thiếu đồng ý bắt buộc; ","")&amp;IF($L1426="","Thiếu/sai Mã REF; ",IF(AND($L1426="Chưa xác định",DANH_MUC!$L$9&lt;&gt;"Có"),"Nguồn chưa xác định; ","")))</f>
        <v/>
      </c>
      <c r="V1426" s="22">
        <f>IF(OR($D1426="",$R1426="Trùng"),"",IF(COUNTIF(ORDERS!$C$2:$C$4995,$D1426)&gt;0,"Có","Không"))</f>
        <v/>
      </c>
      <c r="W1426" s="22">
        <f>IF(OR($D1426="",$R1426="Trùng"),"",COUNTIFS(ORDERS!$C$2:$C$4995,$D1426,ORDERS!$L$2:$L$4995,"Đã chuyển khoản"))</f>
        <v/>
      </c>
      <c r="X1426" s="23">
        <f>IF(OR($D1426="",$R1426="Trùng"),"",SUMIFS(ORDERS!$J$2:$J$4995,ORDERS!$C$2:$C$4995,$D1426,ORDERS!$L$2:$L$4995,"Đã chuyển khoản"))</f>
        <v/>
      </c>
      <c r="Y1426" s="24" t="n"/>
    </row>
    <row r="1427" ht="14.25" customHeight="1" s="40">
      <c r="A1427" s="24" t="n"/>
      <c r="B1427" s="27" t="n"/>
      <c r="C1427" s="24" t="n"/>
      <c r="D1427" s="28" t="n"/>
      <c r="E1427" s="29" t="n"/>
      <c r="F1427" s="24" t="n"/>
      <c r="G1427" s="24" t="n"/>
      <c r="H1427" s="21">
        <f>IF(ISNUMBER($B1427),INT($B1427)-WEEKDAY($B1427,2)+1,"")</f>
        <v/>
      </c>
      <c r="I1427" s="24" t="n"/>
      <c r="J1427" s="22">
        <f t="array" ref="J1427">IF($D1427="","",IF($I1427="","(trống REF)",IFERROR(INDEX(MASTER_SOURCE!$B$2:$B$495,MATCH($I1427,MASTER_SOURCE!$A$2:$A$495,0)),"(REF không có trong MASTER_SOURCE)")))</f>
        <v/>
      </c>
      <c r="K1427" s="22">
        <f t="array" ref="K1427">IF($D1427="","",IFERROR(INDEX(MASTER_SOURCE!$C$2:$C$495,MATCH($I1427,MASTER_SOURCE!$A$2:$A$495,0)),""))</f>
        <v/>
      </c>
      <c r="L1427" s="22">
        <f t="array" ref="L1427">IF($D1427="","",IFERROR(INDEX(MASTER_SOURCE!$D$2:$D$495,MATCH($I1427,MASTER_SOURCE!$A$2:$A$495,0)),""))</f>
        <v/>
      </c>
      <c r="M1427" s="24" t="n"/>
      <c r="N1427" s="24" t="n"/>
      <c r="O1427" s="24" t="n"/>
      <c r="P1427" s="24" t="n"/>
      <c r="Q1427" s="22">
        <f>IF($D1427="","",IF(AND(OR(DANH_MUC!$L$5&lt;&gt;"Có",M1427="Có"),OR(DANH_MUC!$L$6&lt;&gt;"Có",N1427="Có"),OR(DANH_MUC!$L$7&lt;&gt;"Có",O1427="Có"),OR(DANH_MUC!$L$8&lt;&gt;"Có",P1427="Có")),"Có","Không"))</f>
        <v/>
      </c>
      <c r="R1427" s="22">
        <f>IF($D1427="","",IF(COUNTIF($D$2:$D1427,$D1427)&gt;1,"Trùng",""))</f>
        <v/>
      </c>
      <c r="S1427" s="22">
        <f>IF($D1427="","",IF(AND(LEN($D1427)=10,LEFT($D1427,1)="0",ISNUMBER(--$D1427)),"Có","Không"))</f>
        <v/>
      </c>
      <c r="T1427" s="22">
        <f>IF($D1427="","",IF(AND($C1427&lt;&gt;"",$Q1427="Có",$R1427="",$S1427="Có",AND($L1427&lt;&gt;"",OR($L1427&lt;&gt;"Chưa xác định",DANH_MUC!$L$9="Có"))),"Có","Không"))</f>
        <v/>
      </c>
      <c r="U1427" s="22">
        <f>IF(OR($D1427="",$T1427="Có"),"",IF($C1427="","Thiếu họ tên; ","")&amp;IF($S1427&lt;&gt;"Có","SĐT sai định dạng; ","")&amp;IF($R1427="Trùng","Trùng SĐT; ","")&amp;IF($Q1427&lt;&gt;"Có","Thiếu đồng ý bắt buộc; ","")&amp;IF($L1427="","Thiếu/sai Mã REF; ",IF(AND($L1427="Chưa xác định",DANH_MUC!$L$9&lt;&gt;"Có"),"Nguồn chưa xác định; ","")))</f>
        <v/>
      </c>
      <c r="V1427" s="22">
        <f>IF(OR($D1427="",$R1427="Trùng"),"",IF(COUNTIF(ORDERS!$C$2:$C$4995,$D1427)&gt;0,"Có","Không"))</f>
        <v/>
      </c>
      <c r="W1427" s="22">
        <f>IF(OR($D1427="",$R1427="Trùng"),"",COUNTIFS(ORDERS!$C$2:$C$4995,$D1427,ORDERS!$L$2:$L$4995,"Đã chuyển khoản"))</f>
        <v/>
      </c>
      <c r="X1427" s="23">
        <f>IF(OR($D1427="",$R1427="Trùng"),"",SUMIFS(ORDERS!$J$2:$J$4995,ORDERS!$C$2:$C$4995,$D1427,ORDERS!$L$2:$L$4995,"Đã chuyển khoản"))</f>
        <v/>
      </c>
      <c r="Y1427" s="24" t="n"/>
    </row>
    <row r="1428" ht="14.25" customHeight="1" s="40">
      <c r="A1428" s="24" t="n"/>
      <c r="B1428" s="27" t="n"/>
      <c r="C1428" s="24" t="n"/>
      <c r="D1428" s="28" t="n"/>
      <c r="E1428" s="29" t="n"/>
      <c r="F1428" s="24" t="n"/>
      <c r="G1428" s="24" t="n"/>
      <c r="H1428" s="21">
        <f>IF(ISNUMBER($B1428),INT($B1428)-WEEKDAY($B1428,2)+1,"")</f>
        <v/>
      </c>
      <c r="I1428" s="24" t="n"/>
      <c r="J1428" s="22">
        <f t="array" ref="J1428">IF($D1428="","",IF($I1428="","(trống REF)",IFERROR(INDEX(MASTER_SOURCE!$B$2:$B$495,MATCH($I1428,MASTER_SOURCE!$A$2:$A$495,0)),"(REF không có trong MASTER_SOURCE)")))</f>
        <v/>
      </c>
      <c r="K1428" s="22">
        <f t="array" ref="K1428">IF($D1428="","",IFERROR(INDEX(MASTER_SOURCE!$C$2:$C$495,MATCH($I1428,MASTER_SOURCE!$A$2:$A$495,0)),""))</f>
        <v/>
      </c>
      <c r="L1428" s="22">
        <f t="array" ref="L1428">IF($D1428="","",IFERROR(INDEX(MASTER_SOURCE!$D$2:$D$495,MATCH($I1428,MASTER_SOURCE!$A$2:$A$495,0)),""))</f>
        <v/>
      </c>
      <c r="M1428" s="24" t="n"/>
      <c r="N1428" s="24" t="n"/>
      <c r="O1428" s="24" t="n"/>
      <c r="P1428" s="24" t="n"/>
      <c r="Q1428" s="22">
        <f>IF($D1428="","",IF(AND(OR(DANH_MUC!$L$5&lt;&gt;"Có",M1428="Có"),OR(DANH_MUC!$L$6&lt;&gt;"Có",N1428="Có"),OR(DANH_MUC!$L$7&lt;&gt;"Có",O1428="Có"),OR(DANH_MUC!$L$8&lt;&gt;"Có",P1428="Có")),"Có","Không"))</f>
        <v/>
      </c>
      <c r="R1428" s="22">
        <f>IF($D1428="","",IF(COUNTIF($D$2:$D1428,$D1428)&gt;1,"Trùng",""))</f>
        <v/>
      </c>
      <c r="S1428" s="22">
        <f>IF($D1428="","",IF(AND(LEN($D1428)=10,LEFT($D1428,1)="0",ISNUMBER(--$D1428)),"Có","Không"))</f>
        <v/>
      </c>
      <c r="T1428" s="22">
        <f>IF($D1428="","",IF(AND($C1428&lt;&gt;"",$Q1428="Có",$R1428="",$S1428="Có",AND($L1428&lt;&gt;"",OR($L1428&lt;&gt;"Chưa xác định",DANH_MUC!$L$9="Có"))),"Có","Không"))</f>
        <v/>
      </c>
      <c r="U1428" s="22">
        <f>IF(OR($D1428="",$T1428="Có"),"",IF($C1428="","Thiếu họ tên; ","")&amp;IF($S1428&lt;&gt;"Có","SĐT sai định dạng; ","")&amp;IF($R1428="Trùng","Trùng SĐT; ","")&amp;IF($Q1428&lt;&gt;"Có","Thiếu đồng ý bắt buộc; ","")&amp;IF($L1428="","Thiếu/sai Mã REF; ",IF(AND($L1428="Chưa xác định",DANH_MUC!$L$9&lt;&gt;"Có"),"Nguồn chưa xác định; ","")))</f>
        <v/>
      </c>
      <c r="V1428" s="22">
        <f>IF(OR($D1428="",$R1428="Trùng"),"",IF(COUNTIF(ORDERS!$C$2:$C$4995,$D1428)&gt;0,"Có","Không"))</f>
        <v/>
      </c>
      <c r="W1428" s="22">
        <f>IF(OR($D1428="",$R1428="Trùng"),"",COUNTIFS(ORDERS!$C$2:$C$4995,$D1428,ORDERS!$L$2:$L$4995,"Đã chuyển khoản"))</f>
        <v/>
      </c>
      <c r="X1428" s="23">
        <f>IF(OR($D1428="",$R1428="Trùng"),"",SUMIFS(ORDERS!$J$2:$J$4995,ORDERS!$C$2:$C$4995,$D1428,ORDERS!$L$2:$L$4995,"Đã chuyển khoản"))</f>
        <v/>
      </c>
      <c r="Y1428" s="24" t="n"/>
    </row>
    <row r="1429" ht="14.25" customHeight="1" s="40">
      <c r="A1429" s="24" t="n"/>
      <c r="B1429" s="27" t="n"/>
      <c r="C1429" s="24" t="n"/>
      <c r="D1429" s="28" t="n"/>
      <c r="E1429" s="29" t="n"/>
      <c r="F1429" s="24" t="n"/>
      <c r="G1429" s="24" t="n"/>
      <c r="H1429" s="21">
        <f>IF(ISNUMBER($B1429),INT($B1429)-WEEKDAY($B1429,2)+1,"")</f>
        <v/>
      </c>
      <c r="I1429" s="24" t="n"/>
      <c r="J1429" s="22">
        <f t="array" ref="J1429">IF($D1429="","",IF($I1429="","(trống REF)",IFERROR(INDEX(MASTER_SOURCE!$B$2:$B$495,MATCH($I1429,MASTER_SOURCE!$A$2:$A$495,0)),"(REF không có trong MASTER_SOURCE)")))</f>
        <v/>
      </c>
      <c r="K1429" s="22">
        <f t="array" ref="K1429">IF($D1429="","",IFERROR(INDEX(MASTER_SOURCE!$C$2:$C$495,MATCH($I1429,MASTER_SOURCE!$A$2:$A$495,0)),""))</f>
        <v/>
      </c>
      <c r="L1429" s="22">
        <f t="array" ref="L1429">IF($D1429="","",IFERROR(INDEX(MASTER_SOURCE!$D$2:$D$495,MATCH($I1429,MASTER_SOURCE!$A$2:$A$495,0)),""))</f>
        <v/>
      </c>
      <c r="M1429" s="24" t="n"/>
      <c r="N1429" s="24" t="n"/>
      <c r="O1429" s="24" t="n"/>
      <c r="P1429" s="24" t="n"/>
      <c r="Q1429" s="22">
        <f>IF($D1429="","",IF(AND(OR(DANH_MUC!$L$5&lt;&gt;"Có",M1429="Có"),OR(DANH_MUC!$L$6&lt;&gt;"Có",N1429="Có"),OR(DANH_MUC!$L$7&lt;&gt;"Có",O1429="Có"),OR(DANH_MUC!$L$8&lt;&gt;"Có",P1429="Có")),"Có","Không"))</f>
        <v/>
      </c>
      <c r="R1429" s="22">
        <f>IF($D1429="","",IF(COUNTIF($D$2:$D1429,$D1429)&gt;1,"Trùng",""))</f>
        <v/>
      </c>
      <c r="S1429" s="22">
        <f>IF($D1429="","",IF(AND(LEN($D1429)=10,LEFT($D1429,1)="0",ISNUMBER(--$D1429)),"Có","Không"))</f>
        <v/>
      </c>
      <c r="T1429" s="22">
        <f>IF($D1429="","",IF(AND($C1429&lt;&gt;"",$Q1429="Có",$R1429="",$S1429="Có",AND($L1429&lt;&gt;"",OR($L1429&lt;&gt;"Chưa xác định",DANH_MUC!$L$9="Có"))),"Có","Không"))</f>
        <v/>
      </c>
      <c r="U1429" s="22">
        <f>IF(OR($D1429="",$T1429="Có"),"",IF($C1429="","Thiếu họ tên; ","")&amp;IF($S1429&lt;&gt;"Có","SĐT sai định dạng; ","")&amp;IF($R1429="Trùng","Trùng SĐT; ","")&amp;IF($Q1429&lt;&gt;"Có","Thiếu đồng ý bắt buộc; ","")&amp;IF($L1429="","Thiếu/sai Mã REF; ",IF(AND($L1429="Chưa xác định",DANH_MUC!$L$9&lt;&gt;"Có"),"Nguồn chưa xác định; ","")))</f>
        <v/>
      </c>
      <c r="V1429" s="22">
        <f>IF(OR($D1429="",$R1429="Trùng"),"",IF(COUNTIF(ORDERS!$C$2:$C$4995,$D1429)&gt;0,"Có","Không"))</f>
        <v/>
      </c>
      <c r="W1429" s="22">
        <f>IF(OR($D1429="",$R1429="Trùng"),"",COUNTIFS(ORDERS!$C$2:$C$4995,$D1429,ORDERS!$L$2:$L$4995,"Đã chuyển khoản"))</f>
        <v/>
      </c>
      <c r="X1429" s="23">
        <f>IF(OR($D1429="",$R1429="Trùng"),"",SUMIFS(ORDERS!$J$2:$J$4995,ORDERS!$C$2:$C$4995,$D1429,ORDERS!$L$2:$L$4995,"Đã chuyển khoản"))</f>
        <v/>
      </c>
      <c r="Y1429" s="24" t="n"/>
    </row>
    <row r="1430" ht="14.25" customHeight="1" s="40">
      <c r="A1430" s="24" t="n"/>
      <c r="B1430" s="27" t="n"/>
      <c r="C1430" s="24" t="n"/>
      <c r="D1430" s="28" t="n"/>
      <c r="E1430" s="29" t="n"/>
      <c r="F1430" s="24" t="n"/>
      <c r="G1430" s="24" t="n"/>
      <c r="H1430" s="21">
        <f>IF(ISNUMBER($B1430),INT($B1430)-WEEKDAY($B1430,2)+1,"")</f>
        <v/>
      </c>
      <c r="I1430" s="24" t="n"/>
      <c r="J1430" s="22">
        <f t="array" ref="J1430">IF($D1430="","",IF($I1430="","(trống REF)",IFERROR(INDEX(MASTER_SOURCE!$B$2:$B$495,MATCH($I1430,MASTER_SOURCE!$A$2:$A$495,0)),"(REF không có trong MASTER_SOURCE)")))</f>
        <v/>
      </c>
      <c r="K1430" s="22">
        <f t="array" ref="K1430">IF($D1430="","",IFERROR(INDEX(MASTER_SOURCE!$C$2:$C$495,MATCH($I1430,MASTER_SOURCE!$A$2:$A$495,0)),""))</f>
        <v/>
      </c>
      <c r="L1430" s="22">
        <f t="array" ref="L1430">IF($D1430="","",IFERROR(INDEX(MASTER_SOURCE!$D$2:$D$495,MATCH($I1430,MASTER_SOURCE!$A$2:$A$495,0)),""))</f>
        <v/>
      </c>
      <c r="M1430" s="24" t="n"/>
      <c r="N1430" s="24" t="n"/>
      <c r="O1430" s="24" t="n"/>
      <c r="P1430" s="24" t="n"/>
      <c r="Q1430" s="22">
        <f>IF($D1430="","",IF(AND(OR(DANH_MUC!$L$5&lt;&gt;"Có",M1430="Có"),OR(DANH_MUC!$L$6&lt;&gt;"Có",N1430="Có"),OR(DANH_MUC!$L$7&lt;&gt;"Có",O1430="Có"),OR(DANH_MUC!$L$8&lt;&gt;"Có",P1430="Có")),"Có","Không"))</f>
        <v/>
      </c>
      <c r="R1430" s="22">
        <f>IF($D1430="","",IF(COUNTIF($D$2:$D1430,$D1430)&gt;1,"Trùng",""))</f>
        <v/>
      </c>
      <c r="S1430" s="22">
        <f>IF($D1430="","",IF(AND(LEN($D1430)=10,LEFT($D1430,1)="0",ISNUMBER(--$D1430)),"Có","Không"))</f>
        <v/>
      </c>
      <c r="T1430" s="22">
        <f>IF($D1430="","",IF(AND($C1430&lt;&gt;"",$Q1430="Có",$R1430="",$S1430="Có",AND($L1430&lt;&gt;"",OR($L1430&lt;&gt;"Chưa xác định",DANH_MUC!$L$9="Có"))),"Có","Không"))</f>
        <v/>
      </c>
      <c r="U1430" s="22">
        <f>IF(OR($D1430="",$T1430="Có"),"",IF($C1430="","Thiếu họ tên; ","")&amp;IF($S1430&lt;&gt;"Có","SĐT sai định dạng; ","")&amp;IF($R1430="Trùng","Trùng SĐT; ","")&amp;IF($Q1430&lt;&gt;"Có","Thiếu đồng ý bắt buộc; ","")&amp;IF($L1430="","Thiếu/sai Mã REF; ",IF(AND($L1430="Chưa xác định",DANH_MUC!$L$9&lt;&gt;"Có"),"Nguồn chưa xác định; ","")))</f>
        <v/>
      </c>
      <c r="V1430" s="22">
        <f>IF(OR($D1430="",$R1430="Trùng"),"",IF(COUNTIF(ORDERS!$C$2:$C$4995,$D1430)&gt;0,"Có","Không"))</f>
        <v/>
      </c>
      <c r="W1430" s="22">
        <f>IF(OR($D1430="",$R1430="Trùng"),"",COUNTIFS(ORDERS!$C$2:$C$4995,$D1430,ORDERS!$L$2:$L$4995,"Đã chuyển khoản"))</f>
        <v/>
      </c>
      <c r="X1430" s="23">
        <f>IF(OR($D1430="",$R1430="Trùng"),"",SUMIFS(ORDERS!$J$2:$J$4995,ORDERS!$C$2:$C$4995,$D1430,ORDERS!$L$2:$L$4995,"Đã chuyển khoản"))</f>
        <v/>
      </c>
      <c r="Y1430" s="24" t="n"/>
    </row>
    <row r="1431" ht="14.25" customHeight="1" s="40">
      <c r="A1431" s="24" t="n"/>
      <c r="B1431" s="27" t="n"/>
      <c r="C1431" s="24" t="n"/>
      <c r="D1431" s="28" t="n"/>
      <c r="E1431" s="29" t="n"/>
      <c r="F1431" s="24" t="n"/>
      <c r="G1431" s="24" t="n"/>
      <c r="H1431" s="21">
        <f>IF(ISNUMBER($B1431),INT($B1431)-WEEKDAY($B1431,2)+1,"")</f>
        <v/>
      </c>
      <c r="I1431" s="24" t="n"/>
      <c r="J1431" s="22">
        <f t="array" ref="J1431">IF($D1431="","",IF($I1431="","(trống REF)",IFERROR(INDEX(MASTER_SOURCE!$B$2:$B$495,MATCH($I1431,MASTER_SOURCE!$A$2:$A$495,0)),"(REF không có trong MASTER_SOURCE)")))</f>
        <v/>
      </c>
      <c r="K1431" s="22">
        <f t="array" ref="K1431">IF($D1431="","",IFERROR(INDEX(MASTER_SOURCE!$C$2:$C$495,MATCH($I1431,MASTER_SOURCE!$A$2:$A$495,0)),""))</f>
        <v/>
      </c>
      <c r="L1431" s="22">
        <f t="array" ref="L1431">IF($D1431="","",IFERROR(INDEX(MASTER_SOURCE!$D$2:$D$495,MATCH($I1431,MASTER_SOURCE!$A$2:$A$495,0)),""))</f>
        <v/>
      </c>
      <c r="M1431" s="24" t="n"/>
      <c r="N1431" s="24" t="n"/>
      <c r="O1431" s="24" t="n"/>
      <c r="P1431" s="24" t="n"/>
      <c r="Q1431" s="22">
        <f>IF($D1431="","",IF(AND(OR(DANH_MUC!$L$5&lt;&gt;"Có",M1431="Có"),OR(DANH_MUC!$L$6&lt;&gt;"Có",N1431="Có"),OR(DANH_MUC!$L$7&lt;&gt;"Có",O1431="Có"),OR(DANH_MUC!$L$8&lt;&gt;"Có",P1431="Có")),"Có","Không"))</f>
        <v/>
      </c>
      <c r="R1431" s="22">
        <f>IF($D1431="","",IF(COUNTIF($D$2:$D1431,$D1431)&gt;1,"Trùng",""))</f>
        <v/>
      </c>
      <c r="S1431" s="22">
        <f>IF($D1431="","",IF(AND(LEN($D1431)=10,LEFT($D1431,1)="0",ISNUMBER(--$D1431)),"Có","Không"))</f>
        <v/>
      </c>
      <c r="T1431" s="22">
        <f>IF($D1431="","",IF(AND($C1431&lt;&gt;"",$Q1431="Có",$R1431="",$S1431="Có",AND($L1431&lt;&gt;"",OR($L1431&lt;&gt;"Chưa xác định",DANH_MUC!$L$9="Có"))),"Có","Không"))</f>
        <v/>
      </c>
      <c r="U1431" s="22">
        <f>IF(OR($D1431="",$T1431="Có"),"",IF($C1431="","Thiếu họ tên; ","")&amp;IF($S1431&lt;&gt;"Có","SĐT sai định dạng; ","")&amp;IF($R1431="Trùng","Trùng SĐT; ","")&amp;IF($Q1431&lt;&gt;"Có","Thiếu đồng ý bắt buộc; ","")&amp;IF($L1431="","Thiếu/sai Mã REF; ",IF(AND($L1431="Chưa xác định",DANH_MUC!$L$9&lt;&gt;"Có"),"Nguồn chưa xác định; ","")))</f>
        <v/>
      </c>
      <c r="V1431" s="22">
        <f>IF(OR($D1431="",$R1431="Trùng"),"",IF(COUNTIF(ORDERS!$C$2:$C$4995,$D1431)&gt;0,"Có","Không"))</f>
        <v/>
      </c>
      <c r="W1431" s="22">
        <f>IF(OR($D1431="",$R1431="Trùng"),"",COUNTIFS(ORDERS!$C$2:$C$4995,$D1431,ORDERS!$L$2:$L$4995,"Đã chuyển khoản"))</f>
        <v/>
      </c>
      <c r="X1431" s="23">
        <f>IF(OR($D1431="",$R1431="Trùng"),"",SUMIFS(ORDERS!$J$2:$J$4995,ORDERS!$C$2:$C$4995,$D1431,ORDERS!$L$2:$L$4995,"Đã chuyển khoản"))</f>
        <v/>
      </c>
      <c r="Y1431" s="24" t="n"/>
    </row>
    <row r="1432" ht="14.25" customHeight="1" s="40">
      <c r="A1432" s="24" t="n"/>
      <c r="B1432" s="27" t="n"/>
      <c r="C1432" s="24" t="n"/>
      <c r="D1432" s="28" t="n"/>
      <c r="E1432" s="29" t="n"/>
      <c r="F1432" s="24" t="n"/>
      <c r="G1432" s="24" t="n"/>
      <c r="H1432" s="21">
        <f>IF(ISNUMBER($B1432),INT($B1432)-WEEKDAY($B1432,2)+1,"")</f>
        <v/>
      </c>
      <c r="I1432" s="24" t="n"/>
      <c r="J1432" s="22">
        <f t="array" ref="J1432">IF($D1432="","",IF($I1432="","(trống REF)",IFERROR(INDEX(MASTER_SOURCE!$B$2:$B$495,MATCH($I1432,MASTER_SOURCE!$A$2:$A$495,0)),"(REF không có trong MASTER_SOURCE)")))</f>
        <v/>
      </c>
      <c r="K1432" s="22">
        <f t="array" ref="K1432">IF($D1432="","",IFERROR(INDEX(MASTER_SOURCE!$C$2:$C$495,MATCH($I1432,MASTER_SOURCE!$A$2:$A$495,0)),""))</f>
        <v/>
      </c>
      <c r="L1432" s="22">
        <f t="array" ref="L1432">IF($D1432="","",IFERROR(INDEX(MASTER_SOURCE!$D$2:$D$495,MATCH($I1432,MASTER_SOURCE!$A$2:$A$495,0)),""))</f>
        <v/>
      </c>
      <c r="M1432" s="24" t="n"/>
      <c r="N1432" s="24" t="n"/>
      <c r="O1432" s="24" t="n"/>
      <c r="P1432" s="24" t="n"/>
      <c r="Q1432" s="22">
        <f>IF($D1432="","",IF(AND(OR(DANH_MUC!$L$5&lt;&gt;"Có",M1432="Có"),OR(DANH_MUC!$L$6&lt;&gt;"Có",N1432="Có"),OR(DANH_MUC!$L$7&lt;&gt;"Có",O1432="Có"),OR(DANH_MUC!$L$8&lt;&gt;"Có",P1432="Có")),"Có","Không"))</f>
        <v/>
      </c>
      <c r="R1432" s="22">
        <f>IF($D1432="","",IF(COUNTIF($D$2:$D1432,$D1432)&gt;1,"Trùng",""))</f>
        <v/>
      </c>
      <c r="S1432" s="22">
        <f>IF($D1432="","",IF(AND(LEN($D1432)=10,LEFT($D1432,1)="0",ISNUMBER(--$D1432)),"Có","Không"))</f>
        <v/>
      </c>
      <c r="T1432" s="22">
        <f>IF($D1432="","",IF(AND($C1432&lt;&gt;"",$Q1432="Có",$R1432="",$S1432="Có",AND($L1432&lt;&gt;"",OR($L1432&lt;&gt;"Chưa xác định",DANH_MUC!$L$9="Có"))),"Có","Không"))</f>
        <v/>
      </c>
      <c r="U1432" s="22">
        <f>IF(OR($D1432="",$T1432="Có"),"",IF($C1432="","Thiếu họ tên; ","")&amp;IF($S1432&lt;&gt;"Có","SĐT sai định dạng; ","")&amp;IF($R1432="Trùng","Trùng SĐT; ","")&amp;IF($Q1432&lt;&gt;"Có","Thiếu đồng ý bắt buộc; ","")&amp;IF($L1432="","Thiếu/sai Mã REF; ",IF(AND($L1432="Chưa xác định",DANH_MUC!$L$9&lt;&gt;"Có"),"Nguồn chưa xác định; ","")))</f>
        <v/>
      </c>
      <c r="V1432" s="22">
        <f>IF(OR($D1432="",$R1432="Trùng"),"",IF(COUNTIF(ORDERS!$C$2:$C$4995,$D1432)&gt;0,"Có","Không"))</f>
        <v/>
      </c>
      <c r="W1432" s="22">
        <f>IF(OR($D1432="",$R1432="Trùng"),"",COUNTIFS(ORDERS!$C$2:$C$4995,$D1432,ORDERS!$L$2:$L$4995,"Đã chuyển khoản"))</f>
        <v/>
      </c>
      <c r="X1432" s="23">
        <f>IF(OR($D1432="",$R1432="Trùng"),"",SUMIFS(ORDERS!$J$2:$J$4995,ORDERS!$C$2:$C$4995,$D1432,ORDERS!$L$2:$L$4995,"Đã chuyển khoản"))</f>
        <v/>
      </c>
      <c r="Y1432" s="24" t="n"/>
    </row>
    <row r="1433" ht="14.25" customHeight="1" s="40">
      <c r="A1433" s="24" t="n"/>
      <c r="B1433" s="27" t="n"/>
      <c r="C1433" s="24" t="n"/>
      <c r="D1433" s="28" t="n"/>
      <c r="E1433" s="29" t="n"/>
      <c r="F1433" s="24" t="n"/>
      <c r="G1433" s="24" t="n"/>
      <c r="H1433" s="21">
        <f>IF(ISNUMBER($B1433),INT($B1433)-WEEKDAY($B1433,2)+1,"")</f>
        <v/>
      </c>
      <c r="I1433" s="24" t="n"/>
      <c r="J1433" s="22">
        <f t="array" ref="J1433">IF($D1433="","",IF($I1433="","(trống REF)",IFERROR(INDEX(MASTER_SOURCE!$B$2:$B$495,MATCH($I1433,MASTER_SOURCE!$A$2:$A$495,0)),"(REF không có trong MASTER_SOURCE)")))</f>
        <v/>
      </c>
      <c r="K1433" s="22">
        <f t="array" ref="K1433">IF($D1433="","",IFERROR(INDEX(MASTER_SOURCE!$C$2:$C$495,MATCH($I1433,MASTER_SOURCE!$A$2:$A$495,0)),""))</f>
        <v/>
      </c>
      <c r="L1433" s="22">
        <f t="array" ref="L1433">IF($D1433="","",IFERROR(INDEX(MASTER_SOURCE!$D$2:$D$495,MATCH($I1433,MASTER_SOURCE!$A$2:$A$495,0)),""))</f>
        <v/>
      </c>
      <c r="M1433" s="24" t="n"/>
      <c r="N1433" s="24" t="n"/>
      <c r="O1433" s="24" t="n"/>
      <c r="P1433" s="24" t="n"/>
      <c r="Q1433" s="22">
        <f>IF($D1433="","",IF(AND(OR(DANH_MUC!$L$5&lt;&gt;"Có",M1433="Có"),OR(DANH_MUC!$L$6&lt;&gt;"Có",N1433="Có"),OR(DANH_MUC!$L$7&lt;&gt;"Có",O1433="Có"),OR(DANH_MUC!$L$8&lt;&gt;"Có",P1433="Có")),"Có","Không"))</f>
        <v/>
      </c>
      <c r="R1433" s="22">
        <f>IF($D1433="","",IF(COUNTIF($D$2:$D1433,$D1433)&gt;1,"Trùng",""))</f>
        <v/>
      </c>
      <c r="S1433" s="22">
        <f>IF($D1433="","",IF(AND(LEN($D1433)=10,LEFT($D1433,1)="0",ISNUMBER(--$D1433)),"Có","Không"))</f>
        <v/>
      </c>
      <c r="T1433" s="22">
        <f>IF($D1433="","",IF(AND($C1433&lt;&gt;"",$Q1433="Có",$R1433="",$S1433="Có",AND($L1433&lt;&gt;"",OR($L1433&lt;&gt;"Chưa xác định",DANH_MUC!$L$9="Có"))),"Có","Không"))</f>
        <v/>
      </c>
      <c r="U1433" s="22">
        <f>IF(OR($D1433="",$T1433="Có"),"",IF($C1433="","Thiếu họ tên; ","")&amp;IF($S1433&lt;&gt;"Có","SĐT sai định dạng; ","")&amp;IF($R1433="Trùng","Trùng SĐT; ","")&amp;IF($Q1433&lt;&gt;"Có","Thiếu đồng ý bắt buộc; ","")&amp;IF($L1433="","Thiếu/sai Mã REF; ",IF(AND($L1433="Chưa xác định",DANH_MUC!$L$9&lt;&gt;"Có"),"Nguồn chưa xác định; ","")))</f>
        <v/>
      </c>
      <c r="V1433" s="22">
        <f>IF(OR($D1433="",$R1433="Trùng"),"",IF(COUNTIF(ORDERS!$C$2:$C$4995,$D1433)&gt;0,"Có","Không"))</f>
        <v/>
      </c>
      <c r="W1433" s="22">
        <f>IF(OR($D1433="",$R1433="Trùng"),"",COUNTIFS(ORDERS!$C$2:$C$4995,$D1433,ORDERS!$L$2:$L$4995,"Đã chuyển khoản"))</f>
        <v/>
      </c>
      <c r="X1433" s="23">
        <f>IF(OR($D1433="",$R1433="Trùng"),"",SUMIFS(ORDERS!$J$2:$J$4995,ORDERS!$C$2:$C$4995,$D1433,ORDERS!$L$2:$L$4995,"Đã chuyển khoản"))</f>
        <v/>
      </c>
      <c r="Y1433" s="24" t="n"/>
    </row>
    <row r="1434" ht="14.25" customHeight="1" s="40">
      <c r="A1434" s="24" t="n"/>
      <c r="B1434" s="27" t="n"/>
      <c r="C1434" s="24" t="n"/>
      <c r="D1434" s="28" t="n"/>
      <c r="E1434" s="29" t="n"/>
      <c r="F1434" s="24" t="n"/>
      <c r="G1434" s="24" t="n"/>
      <c r="H1434" s="21">
        <f>IF(ISNUMBER($B1434),INT($B1434)-WEEKDAY($B1434,2)+1,"")</f>
        <v/>
      </c>
      <c r="I1434" s="24" t="n"/>
      <c r="J1434" s="22">
        <f t="array" ref="J1434">IF($D1434="","",IF($I1434="","(trống REF)",IFERROR(INDEX(MASTER_SOURCE!$B$2:$B$495,MATCH($I1434,MASTER_SOURCE!$A$2:$A$495,0)),"(REF không có trong MASTER_SOURCE)")))</f>
        <v/>
      </c>
      <c r="K1434" s="22">
        <f t="array" ref="K1434">IF($D1434="","",IFERROR(INDEX(MASTER_SOURCE!$C$2:$C$495,MATCH($I1434,MASTER_SOURCE!$A$2:$A$495,0)),""))</f>
        <v/>
      </c>
      <c r="L1434" s="22">
        <f t="array" ref="L1434">IF($D1434="","",IFERROR(INDEX(MASTER_SOURCE!$D$2:$D$495,MATCH($I1434,MASTER_SOURCE!$A$2:$A$495,0)),""))</f>
        <v/>
      </c>
      <c r="M1434" s="24" t="n"/>
      <c r="N1434" s="24" t="n"/>
      <c r="O1434" s="24" t="n"/>
      <c r="P1434" s="24" t="n"/>
      <c r="Q1434" s="22">
        <f>IF($D1434="","",IF(AND(OR(DANH_MUC!$L$5&lt;&gt;"Có",M1434="Có"),OR(DANH_MUC!$L$6&lt;&gt;"Có",N1434="Có"),OR(DANH_MUC!$L$7&lt;&gt;"Có",O1434="Có"),OR(DANH_MUC!$L$8&lt;&gt;"Có",P1434="Có")),"Có","Không"))</f>
        <v/>
      </c>
      <c r="R1434" s="22">
        <f>IF($D1434="","",IF(COUNTIF($D$2:$D1434,$D1434)&gt;1,"Trùng",""))</f>
        <v/>
      </c>
      <c r="S1434" s="22">
        <f>IF($D1434="","",IF(AND(LEN($D1434)=10,LEFT($D1434,1)="0",ISNUMBER(--$D1434)),"Có","Không"))</f>
        <v/>
      </c>
      <c r="T1434" s="22">
        <f>IF($D1434="","",IF(AND($C1434&lt;&gt;"",$Q1434="Có",$R1434="",$S1434="Có",AND($L1434&lt;&gt;"",OR($L1434&lt;&gt;"Chưa xác định",DANH_MUC!$L$9="Có"))),"Có","Không"))</f>
        <v/>
      </c>
      <c r="U1434" s="22">
        <f>IF(OR($D1434="",$T1434="Có"),"",IF($C1434="","Thiếu họ tên; ","")&amp;IF($S1434&lt;&gt;"Có","SĐT sai định dạng; ","")&amp;IF($R1434="Trùng","Trùng SĐT; ","")&amp;IF($Q1434&lt;&gt;"Có","Thiếu đồng ý bắt buộc; ","")&amp;IF($L1434="","Thiếu/sai Mã REF; ",IF(AND($L1434="Chưa xác định",DANH_MUC!$L$9&lt;&gt;"Có"),"Nguồn chưa xác định; ","")))</f>
        <v/>
      </c>
      <c r="V1434" s="22">
        <f>IF(OR($D1434="",$R1434="Trùng"),"",IF(COUNTIF(ORDERS!$C$2:$C$4995,$D1434)&gt;0,"Có","Không"))</f>
        <v/>
      </c>
      <c r="W1434" s="22">
        <f>IF(OR($D1434="",$R1434="Trùng"),"",COUNTIFS(ORDERS!$C$2:$C$4995,$D1434,ORDERS!$L$2:$L$4995,"Đã chuyển khoản"))</f>
        <v/>
      </c>
      <c r="X1434" s="23">
        <f>IF(OR($D1434="",$R1434="Trùng"),"",SUMIFS(ORDERS!$J$2:$J$4995,ORDERS!$C$2:$C$4995,$D1434,ORDERS!$L$2:$L$4995,"Đã chuyển khoản"))</f>
        <v/>
      </c>
      <c r="Y1434" s="24" t="n"/>
    </row>
    <row r="1435" ht="14.25" customHeight="1" s="40">
      <c r="A1435" s="24" t="n"/>
      <c r="B1435" s="27" t="n"/>
      <c r="C1435" s="24" t="n"/>
      <c r="D1435" s="28" t="n"/>
      <c r="E1435" s="29" t="n"/>
      <c r="F1435" s="24" t="n"/>
      <c r="G1435" s="24" t="n"/>
      <c r="H1435" s="21">
        <f>IF(ISNUMBER($B1435),INT($B1435)-WEEKDAY($B1435,2)+1,"")</f>
        <v/>
      </c>
      <c r="I1435" s="24" t="n"/>
      <c r="J1435" s="22">
        <f t="array" ref="J1435">IF($D1435="","",IF($I1435="","(trống REF)",IFERROR(INDEX(MASTER_SOURCE!$B$2:$B$495,MATCH($I1435,MASTER_SOURCE!$A$2:$A$495,0)),"(REF không có trong MASTER_SOURCE)")))</f>
        <v/>
      </c>
      <c r="K1435" s="22">
        <f t="array" ref="K1435">IF($D1435="","",IFERROR(INDEX(MASTER_SOURCE!$C$2:$C$495,MATCH($I1435,MASTER_SOURCE!$A$2:$A$495,0)),""))</f>
        <v/>
      </c>
      <c r="L1435" s="22">
        <f t="array" ref="L1435">IF($D1435="","",IFERROR(INDEX(MASTER_SOURCE!$D$2:$D$495,MATCH($I1435,MASTER_SOURCE!$A$2:$A$495,0)),""))</f>
        <v/>
      </c>
      <c r="M1435" s="24" t="n"/>
      <c r="N1435" s="24" t="n"/>
      <c r="O1435" s="24" t="n"/>
      <c r="P1435" s="24" t="n"/>
      <c r="Q1435" s="22">
        <f>IF($D1435="","",IF(AND(OR(DANH_MUC!$L$5&lt;&gt;"Có",M1435="Có"),OR(DANH_MUC!$L$6&lt;&gt;"Có",N1435="Có"),OR(DANH_MUC!$L$7&lt;&gt;"Có",O1435="Có"),OR(DANH_MUC!$L$8&lt;&gt;"Có",P1435="Có")),"Có","Không"))</f>
        <v/>
      </c>
      <c r="R1435" s="22">
        <f>IF($D1435="","",IF(COUNTIF($D$2:$D1435,$D1435)&gt;1,"Trùng",""))</f>
        <v/>
      </c>
      <c r="S1435" s="22">
        <f>IF($D1435="","",IF(AND(LEN($D1435)=10,LEFT($D1435,1)="0",ISNUMBER(--$D1435)),"Có","Không"))</f>
        <v/>
      </c>
      <c r="T1435" s="22">
        <f>IF($D1435="","",IF(AND($C1435&lt;&gt;"",$Q1435="Có",$R1435="",$S1435="Có",AND($L1435&lt;&gt;"",OR($L1435&lt;&gt;"Chưa xác định",DANH_MUC!$L$9="Có"))),"Có","Không"))</f>
        <v/>
      </c>
      <c r="U1435" s="22">
        <f>IF(OR($D1435="",$T1435="Có"),"",IF($C1435="","Thiếu họ tên; ","")&amp;IF($S1435&lt;&gt;"Có","SĐT sai định dạng; ","")&amp;IF($R1435="Trùng","Trùng SĐT; ","")&amp;IF($Q1435&lt;&gt;"Có","Thiếu đồng ý bắt buộc; ","")&amp;IF($L1435="","Thiếu/sai Mã REF; ",IF(AND($L1435="Chưa xác định",DANH_MUC!$L$9&lt;&gt;"Có"),"Nguồn chưa xác định; ","")))</f>
        <v/>
      </c>
      <c r="V1435" s="22">
        <f>IF(OR($D1435="",$R1435="Trùng"),"",IF(COUNTIF(ORDERS!$C$2:$C$4995,$D1435)&gt;0,"Có","Không"))</f>
        <v/>
      </c>
      <c r="W1435" s="22">
        <f>IF(OR($D1435="",$R1435="Trùng"),"",COUNTIFS(ORDERS!$C$2:$C$4995,$D1435,ORDERS!$L$2:$L$4995,"Đã chuyển khoản"))</f>
        <v/>
      </c>
      <c r="X1435" s="23">
        <f>IF(OR($D1435="",$R1435="Trùng"),"",SUMIFS(ORDERS!$J$2:$J$4995,ORDERS!$C$2:$C$4995,$D1435,ORDERS!$L$2:$L$4995,"Đã chuyển khoản"))</f>
        <v/>
      </c>
      <c r="Y1435" s="24" t="n"/>
    </row>
    <row r="1436" ht="14.25" customHeight="1" s="40">
      <c r="A1436" s="24" t="n"/>
      <c r="B1436" s="27" t="n"/>
      <c r="C1436" s="24" t="n"/>
      <c r="D1436" s="28" t="n"/>
      <c r="E1436" s="29" t="n"/>
      <c r="F1436" s="24" t="n"/>
      <c r="G1436" s="24" t="n"/>
      <c r="H1436" s="21">
        <f>IF(ISNUMBER($B1436),INT($B1436)-WEEKDAY($B1436,2)+1,"")</f>
        <v/>
      </c>
      <c r="I1436" s="24" t="n"/>
      <c r="J1436" s="22">
        <f t="array" ref="J1436">IF($D1436="","",IF($I1436="","(trống REF)",IFERROR(INDEX(MASTER_SOURCE!$B$2:$B$495,MATCH($I1436,MASTER_SOURCE!$A$2:$A$495,0)),"(REF không có trong MASTER_SOURCE)")))</f>
        <v/>
      </c>
      <c r="K1436" s="22">
        <f t="array" ref="K1436">IF($D1436="","",IFERROR(INDEX(MASTER_SOURCE!$C$2:$C$495,MATCH($I1436,MASTER_SOURCE!$A$2:$A$495,0)),""))</f>
        <v/>
      </c>
      <c r="L1436" s="22">
        <f t="array" ref="L1436">IF($D1436="","",IFERROR(INDEX(MASTER_SOURCE!$D$2:$D$495,MATCH($I1436,MASTER_SOURCE!$A$2:$A$495,0)),""))</f>
        <v/>
      </c>
      <c r="M1436" s="24" t="n"/>
      <c r="N1436" s="24" t="n"/>
      <c r="O1436" s="24" t="n"/>
      <c r="P1436" s="24" t="n"/>
      <c r="Q1436" s="22">
        <f>IF($D1436="","",IF(AND(OR(DANH_MUC!$L$5&lt;&gt;"Có",M1436="Có"),OR(DANH_MUC!$L$6&lt;&gt;"Có",N1436="Có"),OR(DANH_MUC!$L$7&lt;&gt;"Có",O1436="Có"),OR(DANH_MUC!$L$8&lt;&gt;"Có",P1436="Có")),"Có","Không"))</f>
        <v/>
      </c>
      <c r="R1436" s="22">
        <f>IF($D1436="","",IF(COUNTIF($D$2:$D1436,$D1436)&gt;1,"Trùng",""))</f>
        <v/>
      </c>
      <c r="S1436" s="22">
        <f>IF($D1436="","",IF(AND(LEN($D1436)=10,LEFT($D1436,1)="0",ISNUMBER(--$D1436)),"Có","Không"))</f>
        <v/>
      </c>
      <c r="T1436" s="22">
        <f>IF($D1436="","",IF(AND($C1436&lt;&gt;"",$Q1436="Có",$R1436="",$S1436="Có",AND($L1436&lt;&gt;"",OR($L1436&lt;&gt;"Chưa xác định",DANH_MUC!$L$9="Có"))),"Có","Không"))</f>
        <v/>
      </c>
      <c r="U1436" s="22">
        <f>IF(OR($D1436="",$T1436="Có"),"",IF($C1436="","Thiếu họ tên; ","")&amp;IF($S1436&lt;&gt;"Có","SĐT sai định dạng; ","")&amp;IF($R1436="Trùng","Trùng SĐT; ","")&amp;IF($Q1436&lt;&gt;"Có","Thiếu đồng ý bắt buộc; ","")&amp;IF($L1436="","Thiếu/sai Mã REF; ",IF(AND($L1436="Chưa xác định",DANH_MUC!$L$9&lt;&gt;"Có"),"Nguồn chưa xác định; ","")))</f>
        <v/>
      </c>
      <c r="V1436" s="22">
        <f>IF(OR($D1436="",$R1436="Trùng"),"",IF(COUNTIF(ORDERS!$C$2:$C$4995,$D1436)&gt;0,"Có","Không"))</f>
        <v/>
      </c>
      <c r="W1436" s="22">
        <f>IF(OR($D1436="",$R1436="Trùng"),"",COUNTIFS(ORDERS!$C$2:$C$4995,$D1436,ORDERS!$L$2:$L$4995,"Đã chuyển khoản"))</f>
        <v/>
      </c>
      <c r="X1436" s="23">
        <f>IF(OR($D1436="",$R1436="Trùng"),"",SUMIFS(ORDERS!$J$2:$J$4995,ORDERS!$C$2:$C$4995,$D1436,ORDERS!$L$2:$L$4995,"Đã chuyển khoản"))</f>
        <v/>
      </c>
      <c r="Y1436" s="24" t="n"/>
    </row>
    <row r="1437" ht="14.25" customHeight="1" s="40">
      <c r="A1437" s="24" t="n"/>
      <c r="B1437" s="27" t="n"/>
      <c r="C1437" s="24" t="n"/>
      <c r="D1437" s="28" t="n"/>
      <c r="E1437" s="29" t="n"/>
      <c r="F1437" s="24" t="n"/>
      <c r="G1437" s="24" t="n"/>
      <c r="H1437" s="21">
        <f>IF(ISNUMBER($B1437),INT($B1437)-WEEKDAY($B1437,2)+1,"")</f>
        <v/>
      </c>
      <c r="I1437" s="24" t="n"/>
      <c r="J1437" s="22">
        <f t="array" ref="J1437">IF($D1437="","",IF($I1437="","(trống REF)",IFERROR(INDEX(MASTER_SOURCE!$B$2:$B$495,MATCH($I1437,MASTER_SOURCE!$A$2:$A$495,0)),"(REF không có trong MASTER_SOURCE)")))</f>
        <v/>
      </c>
      <c r="K1437" s="22">
        <f t="array" ref="K1437">IF($D1437="","",IFERROR(INDEX(MASTER_SOURCE!$C$2:$C$495,MATCH($I1437,MASTER_SOURCE!$A$2:$A$495,0)),""))</f>
        <v/>
      </c>
      <c r="L1437" s="22">
        <f t="array" ref="L1437">IF($D1437="","",IFERROR(INDEX(MASTER_SOURCE!$D$2:$D$495,MATCH($I1437,MASTER_SOURCE!$A$2:$A$495,0)),""))</f>
        <v/>
      </c>
      <c r="M1437" s="24" t="n"/>
      <c r="N1437" s="24" t="n"/>
      <c r="O1437" s="24" t="n"/>
      <c r="P1437" s="24" t="n"/>
      <c r="Q1437" s="22">
        <f>IF($D1437="","",IF(AND(OR(DANH_MUC!$L$5&lt;&gt;"Có",M1437="Có"),OR(DANH_MUC!$L$6&lt;&gt;"Có",N1437="Có"),OR(DANH_MUC!$L$7&lt;&gt;"Có",O1437="Có"),OR(DANH_MUC!$L$8&lt;&gt;"Có",P1437="Có")),"Có","Không"))</f>
        <v/>
      </c>
      <c r="R1437" s="22">
        <f>IF($D1437="","",IF(COUNTIF($D$2:$D1437,$D1437)&gt;1,"Trùng",""))</f>
        <v/>
      </c>
      <c r="S1437" s="22">
        <f>IF($D1437="","",IF(AND(LEN($D1437)=10,LEFT($D1437,1)="0",ISNUMBER(--$D1437)),"Có","Không"))</f>
        <v/>
      </c>
      <c r="T1437" s="22">
        <f>IF($D1437="","",IF(AND($C1437&lt;&gt;"",$Q1437="Có",$R1437="",$S1437="Có",AND($L1437&lt;&gt;"",OR($L1437&lt;&gt;"Chưa xác định",DANH_MUC!$L$9="Có"))),"Có","Không"))</f>
        <v/>
      </c>
      <c r="U1437" s="22">
        <f>IF(OR($D1437="",$T1437="Có"),"",IF($C1437="","Thiếu họ tên; ","")&amp;IF($S1437&lt;&gt;"Có","SĐT sai định dạng; ","")&amp;IF($R1437="Trùng","Trùng SĐT; ","")&amp;IF($Q1437&lt;&gt;"Có","Thiếu đồng ý bắt buộc; ","")&amp;IF($L1437="","Thiếu/sai Mã REF; ",IF(AND($L1437="Chưa xác định",DANH_MUC!$L$9&lt;&gt;"Có"),"Nguồn chưa xác định; ","")))</f>
        <v/>
      </c>
      <c r="V1437" s="22">
        <f>IF(OR($D1437="",$R1437="Trùng"),"",IF(COUNTIF(ORDERS!$C$2:$C$4995,$D1437)&gt;0,"Có","Không"))</f>
        <v/>
      </c>
      <c r="W1437" s="22">
        <f>IF(OR($D1437="",$R1437="Trùng"),"",COUNTIFS(ORDERS!$C$2:$C$4995,$D1437,ORDERS!$L$2:$L$4995,"Đã chuyển khoản"))</f>
        <v/>
      </c>
      <c r="X1437" s="23">
        <f>IF(OR($D1437="",$R1437="Trùng"),"",SUMIFS(ORDERS!$J$2:$J$4995,ORDERS!$C$2:$C$4995,$D1437,ORDERS!$L$2:$L$4995,"Đã chuyển khoản"))</f>
        <v/>
      </c>
      <c r="Y1437" s="24" t="n"/>
    </row>
    <row r="1438" ht="14.25" customHeight="1" s="40">
      <c r="A1438" s="24" t="n"/>
      <c r="B1438" s="27" t="n"/>
      <c r="C1438" s="24" t="n"/>
      <c r="D1438" s="28" t="n"/>
      <c r="E1438" s="29" t="n"/>
      <c r="F1438" s="24" t="n"/>
      <c r="G1438" s="24" t="n"/>
      <c r="H1438" s="21">
        <f>IF(ISNUMBER($B1438),INT($B1438)-WEEKDAY($B1438,2)+1,"")</f>
        <v/>
      </c>
      <c r="I1438" s="24" t="n"/>
      <c r="J1438" s="22">
        <f t="array" ref="J1438">IF($D1438="","",IF($I1438="","(trống REF)",IFERROR(INDEX(MASTER_SOURCE!$B$2:$B$495,MATCH($I1438,MASTER_SOURCE!$A$2:$A$495,0)),"(REF không có trong MASTER_SOURCE)")))</f>
        <v/>
      </c>
      <c r="K1438" s="22">
        <f t="array" ref="K1438">IF($D1438="","",IFERROR(INDEX(MASTER_SOURCE!$C$2:$C$495,MATCH($I1438,MASTER_SOURCE!$A$2:$A$495,0)),""))</f>
        <v/>
      </c>
      <c r="L1438" s="22">
        <f t="array" ref="L1438">IF($D1438="","",IFERROR(INDEX(MASTER_SOURCE!$D$2:$D$495,MATCH($I1438,MASTER_SOURCE!$A$2:$A$495,0)),""))</f>
        <v/>
      </c>
      <c r="M1438" s="24" t="n"/>
      <c r="N1438" s="24" t="n"/>
      <c r="O1438" s="24" t="n"/>
      <c r="P1438" s="24" t="n"/>
      <c r="Q1438" s="22">
        <f>IF($D1438="","",IF(AND(OR(DANH_MUC!$L$5&lt;&gt;"Có",M1438="Có"),OR(DANH_MUC!$L$6&lt;&gt;"Có",N1438="Có"),OR(DANH_MUC!$L$7&lt;&gt;"Có",O1438="Có"),OR(DANH_MUC!$L$8&lt;&gt;"Có",P1438="Có")),"Có","Không"))</f>
        <v/>
      </c>
      <c r="R1438" s="22">
        <f>IF($D1438="","",IF(COUNTIF($D$2:$D1438,$D1438)&gt;1,"Trùng",""))</f>
        <v/>
      </c>
      <c r="S1438" s="22">
        <f>IF($D1438="","",IF(AND(LEN($D1438)=10,LEFT($D1438,1)="0",ISNUMBER(--$D1438)),"Có","Không"))</f>
        <v/>
      </c>
      <c r="T1438" s="22">
        <f>IF($D1438="","",IF(AND($C1438&lt;&gt;"",$Q1438="Có",$R1438="",$S1438="Có",AND($L1438&lt;&gt;"",OR($L1438&lt;&gt;"Chưa xác định",DANH_MUC!$L$9="Có"))),"Có","Không"))</f>
        <v/>
      </c>
      <c r="U1438" s="22">
        <f>IF(OR($D1438="",$T1438="Có"),"",IF($C1438="","Thiếu họ tên; ","")&amp;IF($S1438&lt;&gt;"Có","SĐT sai định dạng; ","")&amp;IF($R1438="Trùng","Trùng SĐT; ","")&amp;IF($Q1438&lt;&gt;"Có","Thiếu đồng ý bắt buộc; ","")&amp;IF($L1438="","Thiếu/sai Mã REF; ",IF(AND($L1438="Chưa xác định",DANH_MUC!$L$9&lt;&gt;"Có"),"Nguồn chưa xác định; ","")))</f>
        <v/>
      </c>
      <c r="V1438" s="22">
        <f>IF(OR($D1438="",$R1438="Trùng"),"",IF(COUNTIF(ORDERS!$C$2:$C$4995,$D1438)&gt;0,"Có","Không"))</f>
        <v/>
      </c>
      <c r="W1438" s="22">
        <f>IF(OR($D1438="",$R1438="Trùng"),"",COUNTIFS(ORDERS!$C$2:$C$4995,$D1438,ORDERS!$L$2:$L$4995,"Đã chuyển khoản"))</f>
        <v/>
      </c>
      <c r="X1438" s="23">
        <f>IF(OR($D1438="",$R1438="Trùng"),"",SUMIFS(ORDERS!$J$2:$J$4995,ORDERS!$C$2:$C$4995,$D1438,ORDERS!$L$2:$L$4995,"Đã chuyển khoản"))</f>
        <v/>
      </c>
      <c r="Y1438" s="24" t="n"/>
    </row>
    <row r="1439" ht="14.25" customHeight="1" s="40">
      <c r="A1439" s="24" t="n"/>
      <c r="B1439" s="27" t="n"/>
      <c r="C1439" s="24" t="n"/>
      <c r="D1439" s="28" t="n"/>
      <c r="E1439" s="29" t="n"/>
      <c r="F1439" s="24" t="n"/>
      <c r="G1439" s="24" t="n"/>
      <c r="H1439" s="21">
        <f>IF(ISNUMBER($B1439),INT($B1439)-WEEKDAY($B1439,2)+1,"")</f>
        <v/>
      </c>
      <c r="I1439" s="24" t="n"/>
      <c r="J1439" s="22">
        <f t="array" ref="J1439">IF($D1439="","",IF($I1439="","(trống REF)",IFERROR(INDEX(MASTER_SOURCE!$B$2:$B$495,MATCH($I1439,MASTER_SOURCE!$A$2:$A$495,0)),"(REF không có trong MASTER_SOURCE)")))</f>
        <v/>
      </c>
      <c r="K1439" s="22">
        <f t="array" ref="K1439">IF($D1439="","",IFERROR(INDEX(MASTER_SOURCE!$C$2:$C$495,MATCH($I1439,MASTER_SOURCE!$A$2:$A$495,0)),""))</f>
        <v/>
      </c>
      <c r="L1439" s="22">
        <f t="array" ref="L1439">IF($D1439="","",IFERROR(INDEX(MASTER_SOURCE!$D$2:$D$495,MATCH($I1439,MASTER_SOURCE!$A$2:$A$495,0)),""))</f>
        <v/>
      </c>
      <c r="M1439" s="24" t="n"/>
      <c r="N1439" s="24" t="n"/>
      <c r="O1439" s="24" t="n"/>
      <c r="P1439" s="24" t="n"/>
      <c r="Q1439" s="22">
        <f>IF($D1439="","",IF(AND(OR(DANH_MUC!$L$5&lt;&gt;"Có",M1439="Có"),OR(DANH_MUC!$L$6&lt;&gt;"Có",N1439="Có"),OR(DANH_MUC!$L$7&lt;&gt;"Có",O1439="Có"),OR(DANH_MUC!$L$8&lt;&gt;"Có",P1439="Có")),"Có","Không"))</f>
        <v/>
      </c>
      <c r="R1439" s="22">
        <f>IF($D1439="","",IF(COUNTIF($D$2:$D1439,$D1439)&gt;1,"Trùng",""))</f>
        <v/>
      </c>
      <c r="S1439" s="22">
        <f>IF($D1439="","",IF(AND(LEN($D1439)=10,LEFT($D1439,1)="0",ISNUMBER(--$D1439)),"Có","Không"))</f>
        <v/>
      </c>
      <c r="T1439" s="22">
        <f>IF($D1439="","",IF(AND($C1439&lt;&gt;"",$Q1439="Có",$R1439="",$S1439="Có",AND($L1439&lt;&gt;"",OR($L1439&lt;&gt;"Chưa xác định",DANH_MUC!$L$9="Có"))),"Có","Không"))</f>
        <v/>
      </c>
      <c r="U1439" s="22">
        <f>IF(OR($D1439="",$T1439="Có"),"",IF($C1439="","Thiếu họ tên; ","")&amp;IF($S1439&lt;&gt;"Có","SĐT sai định dạng; ","")&amp;IF($R1439="Trùng","Trùng SĐT; ","")&amp;IF($Q1439&lt;&gt;"Có","Thiếu đồng ý bắt buộc; ","")&amp;IF($L1439="","Thiếu/sai Mã REF; ",IF(AND($L1439="Chưa xác định",DANH_MUC!$L$9&lt;&gt;"Có"),"Nguồn chưa xác định; ","")))</f>
        <v/>
      </c>
      <c r="V1439" s="22">
        <f>IF(OR($D1439="",$R1439="Trùng"),"",IF(COUNTIF(ORDERS!$C$2:$C$4995,$D1439)&gt;0,"Có","Không"))</f>
        <v/>
      </c>
      <c r="W1439" s="22">
        <f>IF(OR($D1439="",$R1439="Trùng"),"",COUNTIFS(ORDERS!$C$2:$C$4995,$D1439,ORDERS!$L$2:$L$4995,"Đã chuyển khoản"))</f>
        <v/>
      </c>
      <c r="X1439" s="23">
        <f>IF(OR($D1439="",$R1439="Trùng"),"",SUMIFS(ORDERS!$J$2:$J$4995,ORDERS!$C$2:$C$4995,$D1439,ORDERS!$L$2:$L$4995,"Đã chuyển khoản"))</f>
        <v/>
      </c>
      <c r="Y1439" s="24" t="n"/>
    </row>
    <row r="1440" ht="14.25" customHeight="1" s="40">
      <c r="A1440" s="24" t="n"/>
      <c r="B1440" s="27" t="n"/>
      <c r="C1440" s="24" t="n"/>
      <c r="D1440" s="28" t="n"/>
      <c r="E1440" s="29" t="n"/>
      <c r="F1440" s="24" t="n"/>
      <c r="G1440" s="24" t="n"/>
      <c r="H1440" s="21">
        <f>IF(ISNUMBER($B1440),INT($B1440)-WEEKDAY($B1440,2)+1,"")</f>
        <v/>
      </c>
      <c r="I1440" s="24" t="n"/>
      <c r="J1440" s="22">
        <f t="array" ref="J1440">IF($D1440="","",IF($I1440="","(trống REF)",IFERROR(INDEX(MASTER_SOURCE!$B$2:$B$495,MATCH($I1440,MASTER_SOURCE!$A$2:$A$495,0)),"(REF không có trong MASTER_SOURCE)")))</f>
        <v/>
      </c>
      <c r="K1440" s="22">
        <f t="array" ref="K1440">IF($D1440="","",IFERROR(INDEX(MASTER_SOURCE!$C$2:$C$495,MATCH($I1440,MASTER_SOURCE!$A$2:$A$495,0)),""))</f>
        <v/>
      </c>
      <c r="L1440" s="22">
        <f t="array" ref="L1440">IF($D1440="","",IFERROR(INDEX(MASTER_SOURCE!$D$2:$D$495,MATCH($I1440,MASTER_SOURCE!$A$2:$A$495,0)),""))</f>
        <v/>
      </c>
      <c r="M1440" s="24" t="n"/>
      <c r="N1440" s="24" t="n"/>
      <c r="O1440" s="24" t="n"/>
      <c r="P1440" s="24" t="n"/>
      <c r="Q1440" s="22">
        <f>IF($D1440="","",IF(AND(OR(DANH_MUC!$L$5&lt;&gt;"Có",M1440="Có"),OR(DANH_MUC!$L$6&lt;&gt;"Có",N1440="Có"),OR(DANH_MUC!$L$7&lt;&gt;"Có",O1440="Có"),OR(DANH_MUC!$L$8&lt;&gt;"Có",P1440="Có")),"Có","Không"))</f>
        <v/>
      </c>
      <c r="R1440" s="22">
        <f>IF($D1440="","",IF(COUNTIF($D$2:$D1440,$D1440)&gt;1,"Trùng",""))</f>
        <v/>
      </c>
      <c r="S1440" s="22">
        <f>IF($D1440="","",IF(AND(LEN($D1440)=10,LEFT($D1440,1)="0",ISNUMBER(--$D1440)),"Có","Không"))</f>
        <v/>
      </c>
      <c r="T1440" s="22">
        <f>IF($D1440="","",IF(AND($C1440&lt;&gt;"",$Q1440="Có",$R1440="",$S1440="Có",AND($L1440&lt;&gt;"",OR($L1440&lt;&gt;"Chưa xác định",DANH_MUC!$L$9="Có"))),"Có","Không"))</f>
        <v/>
      </c>
      <c r="U1440" s="22">
        <f>IF(OR($D1440="",$T1440="Có"),"",IF($C1440="","Thiếu họ tên; ","")&amp;IF($S1440&lt;&gt;"Có","SĐT sai định dạng; ","")&amp;IF($R1440="Trùng","Trùng SĐT; ","")&amp;IF($Q1440&lt;&gt;"Có","Thiếu đồng ý bắt buộc; ","")&amp;IF($L1440="","Thiếu/sai Mã REF; ",IF(AND($L1440="Chưa xác định",DANH_MUC!$L$9&lt;&gt;"Có"),"Nguồn chưa xác định; ","")))</f>
        <v/>
      </c>
      <c r="V1440" s="22">
        <f>IF(OR($D1440="",$R1440="Trùng"),"",IF(COUNTIF(ORDERS!$C$2:$C$4995,$D1440)&gt;0,"Có","Không"))</f>
        <v/>
      </c>
      <c r="W1440" s="22">
        <f>IF(OR($D1440="",$R1440="Trùng"),"",COUNTIFS(ORDERS!$C$2:$C$4995,$D1440,ORDERS!$L$2:$L$4995,"Đã chuyển khoản"))</f>
        <v/>
      </c>
      <c r="X1440" s="23">
        <f>IF(OR($D1440="",$R1440="Trùng"),"",SUMIFS(ORDERS!$J$2:$J$4995,ORDERS!$C$2:$C$4995,$D1440,ORDERS!$L$2:$L$4995,"Đã chuyển khoản"))</f>
        <v/>
      </c>
      <c r="Y1440" s="24" t="n"/>
    </row>
    <row r="1441" ht="14.25" customHeight="1" s="40">
      <c r="A1441" s="24" t="n"/>
      <c r="B1441" s="27" t="n"/>
      <c r="C1441" s="24" t="n"/>
      <c r="D1441" s="28" t="n"/>
      <c r="E1441" s="29" t="n"/>
      <c r="F1441" s="24" t="n"/>
      <c r="G1441" s="24" t="n"/>
      <c r="H1441" s="21">
        <f>IF(ISNUMBER($B1441),INT($B1441)-WEEKDAY($B1441,2)+1,"")</f>
        <v/>
      </c>
      <c r="I1441" s="24" t="n"/>
      <c r="J1441" s="22">
        <f t="array" ref="J1441">IF($D1441="","",IF($I1441="","(trống REF)",IFERROR(INDEX(MASTER_SOURCE!$B$2:$B$495,MATCH($I1441,MASTER_SOURCE!$A$2:$A$495,0)),"(REF không có trong MASTER_SOURCE)")))</f>
        <v/>
      </c>
      <c r="K1441" s="22">
        <f t="array" ref="K1441">IF($D1441="","",IFERROR(INDEX(MASTER_SOURCE!$C$2:$C$495,MATCH($I1441,MASTER_SOURCE!$A$2:$A$495,0)),""))</f>
        <v/>
      </c>
      <c r="L1441" s="22">
        <f t="array" ref="L1441">IF($D1441="","",IFERROR(INDEX(MASTER_SOURCE!$D$2:$D$495,MATCH($I1441,MASTER_SOURCE!$A$2:$A$495,0)),""))</f>
        <v/>
      </c>
      <c r="M1441" s="24" t="n"/>
      <c r="N1441" s="24" t="n"/>
      <c r="O1441" s="24" t="n"/>
      <c r="P1441" s="24" t="n"/>
      <c r="Q1441" s="22">
        <f>IF($D1441="","",IF(AND(OR(DANH_MUC!$L$5&lt;&gt;"Có",M1441="Có"),OR(DANH_MUC!$L$6&lt;&gt;"Có",N1441="Có"),OR(DANH_MUC!$L$7&lt;&gt;"Có",O1441="Có"),OR(DANH_MUC!$L$8&lt;&gt;"Có",P1441="Có")),"Có","Không"))</f>
        <v/>
      </c>
      <c r="R1441" s="22">
        <f>IF($D1441="","",IF(COUNTIF($D$2:$D1441,$D1441)&gt;1,"Trùng",""))</f>
        <v/>
      </c>
      <c r="S1441" s="22">
        <f>IF($D1441="","",IF(AND(LEN($D1441)=10,LEFT($D1441,1)="0",ISNUMBER(--$D1441)),"Có","Không"))</f>
        <v/>
      </c>
      <c r="T1441" s="22">
        <f>IF($D1441="","",IF(AND($C1441&lt;&gt;"",$Q1441="Có",$R1441="",$S1441="Có",AND($L1441&lt;&gt;"",OR($L1441&lt;&gt;"Chưa xác định",DANH_MUC!$L$9="Có"))),"Có","Không"))</f>
        <v/>
      </c>
      <c r="U1441" s="22">
        <f>IF(OR($D1441="",$T1441="Có"),"",IF($C1441="","Thiếu họ tên; ","")&amp;IF($S1441&lt;&gt;"Có","SĐT sai định dạng; ","")&amp;IF($R1441="Trùng","Trùng SĐT; ","")&amp;IF($Q1441&lt;&gt;"Có","Thiếu đồng ý bắt buộc; ","")&amp;IF($L1441="","Thiếu/sai Mã REF; ",IF(AND($L1441="Chưa xác định",DANH_MUC!$L$9&lt;&gt;"Có"),"Nguồn chưa xác định; ","")))</f>
        <v/>
      </c>
      <c r="V1441" s="22">
        <f>IF(OR($D1441="",$R1441="Trùng"),"",IF(COUNTIF(ORDERS!$C$2:$C$4995,$D1441)&gt;0,"Có","Không"))</f>
        <v/>
      </c>
      <c r="W1441" s="22">
        <f>IF(OR($D1441="",$R1441="Trùng"),"",COUNTIFS(ORDERS!$C$2:$C$4995,$D1441,ORDERS!$L$2:$L$4995,"Đã chuyển khoản"))</f>
        <v/>
      </c>
      <c r="X1441" s="23">
        <f>IF(OR($D1441="",$R1441="Trùng"),"",SUMIFS(ORDERS!$J$2:$J$4995,ORDERS!$C$2:$C$4995,$D1441,ORDERS!$L$2:$L$4995,"Đã chuyển khoản"))</f>
        <v/>
      </c>
      <c r="Y1441" s="24" t="n"/>
    </row>
    <row r="1442" ht="14.25" customHeight="1" s="40">
      <c r="A1442" s="24" t="n"/>
      <c r="B1442" s="27" t="n"/>
      <c r="C1442" s="24" t="n"/>
      <c r="D1442" s="28" t="n"/>
      <c r="E1442" s="29" t="n"/>
      <c r="F1442" s="24" t="n"/>
      <c r="G1442" s="24" t="n"/>
      <c r="H1442" s="21">
        <f>IF(ISNUMBER($B1442),INT($B1442)-WEEKDAY($B1442,2)+1,"")</f>
        <v/>
      </c>
      <c r="I1442" s="24" t="n"/>
      <c r="J1442" s="22">
        <f t="array" ref="J1442">IF($D1442="","",IF($I1442="","(trống REF)",IFERROR(INDEX(MASTER_SOURCE!$B$2:$B$495,MATCH($I1442,MASTER_SOURCE!$A$2:$A$495,0)),"(REF không có trong MASTER_SOURCE)")))</f>
        <v/>
      </c>
      <c r="K1442" s="22">
        <f t="array" ref="K1442">IF($D1442="","",IFERROR(INDEX(MASTER_SOURCE!$C$2:$C$495,MATCH($I1442,MASTER_SOURCE!$A$2:$A$495,0)),""))</f>
        <v/>
      </c>
      <c r="L1442" s="22">
        <f t="array" ref="L1442">IF($D1442="","",IFERROR(INDEX(MASTER_SOURCE!$D$2:$D$495,MATCH($I1442,MASTER_SOURCE!$A$2:$A$495,0)),""))</f>
        <v/>
      </c>
      <c r="M1442" s="24" t="n"/>
      <c r="N1442" s="24" t="n"/>
      <c r="O1442" s="24" t="n"/>
      <c r="P1442" s="24" t="n"/>
      <c r="Q1442" s="22">
        <f>IF($D1442="","",IF(AND(OR(DANH_MUC!$L$5&lt;&gt;"Có",M1442="Có"),OR(DANH_MUC!$L$6&lt;&gt;"Có",N1442="Có"),OR(DANH_MUC!$L$7&lt;&gt;"Có",O1442="Có"),OR(DANH_MUC!$L$8&lt;&gt;"Có",P1442="Có")),"Có","Không"))</f>
        <v/>
      </c>
      <c r="R1442" s="22">
        <f>IF($D1442="","",IF(COUNTIF($D$2:$D1442,$D1442)&gt;1,"Trùng",""))</f>
        <v/>
      </c>
      <c r="S1442" s="22">
        <f>IF($D1442="","",IF(AND(LEN($D1442)=10,LEFT($D1442,1)="0",ISNUMBER(--$D1442)),"Có","Không"))</f>
        <v/>
      </c>
      <c r="T1442" s="22">
        <f>IF($D1442="","",IF(AND($C1442&lt;&gt;"",$Q1442="Có",$R1442="",$S1442="Có",AND($L1442&lt;&gt;"",OR($L1442&lt;&gt;"Chưa xác định",DANH_MUC!$L$9="Có"))),"Có","Không"))</f>
        <v/>
      </c>
      <c r="U1442" s="22">
        <f>IF(OR($D1442="",$T1442="Có"),"",IF($C1442="","Thiếu họ tên; ","")&amp;IF($S1442&lt;&gt;"Có","SĐT sai định dạng; ","")&amp;IF($R1442="Trùng","Trùng SĐT; ","")&amp;IF($Q1442&lt;&gt;"Có","Thiếu đồng ý bắt buộc; ","")&amp;IF($L1442="","Thiếu/sai Mã REF; ",IF(AND($L1442="Chưa xác định",DANH_MUC!$L$9&lt;&gt;"Có"),"Nguồn chưa xác định; ","")))</f>
        <v/>
      </c>
      <c r="V1442" s="22">
        <f>IF(OR($D1442="",$R1442="Trùng"),"",IF(COUNTIF(ORDERS!$C$2:$C$4995,$D1442)&gt;0,"Có","Không"))</f>
        <v/>
      </c>
      <c r="W1442" s="22">
        <f>IF(OR($D1442="",$R1442="Trùng"),"",COUNTIFS(ORDERS!$C$2:$C$4995,$D1442,ORDERS!$L$2:$L$4995,"Đã chuyển khoản"))</f>
        <v/>
      </c>
      <c r="X1442" s="23">
        <f>IF(OR($D1442="",$R1442="Trùng"),"",SUMIFS(ORDERS!$J$2:$J$4995,ORDERS!$C$2:$C$4995,$D1442,ORDERS!$L$2:$L$4995,"Đã chuyển khoản"))</f>
        <v/>
      </c>
      <c r="Y1442" s="24" t="n"/>
    </row>
    <row r="1443" ht="14.25" customHeight="1" s="40">
      <c r="A1443" s="24" t="n"/>
      <c r="B1443" s="27" t="n"/>
      <c r="C1443" s="24" t="n"/>
      <c r="D1443" s="28" t="n"/>
      <c r="E1443" s="29" t="n"/>
      <c r="F1443" s="24" t="n"/>
      <c r="G1443" s="24" t="n"/>
      <c r="H1443" s="21">
        <f>IF(ISNUMBER($B1443),INT($B1443)-WEEKDAY($B1443,2)+1,"")</f>
        <v/>
      </c>
      <c r="I1443" s="24" t="n"/>
      <c r="J1443" s="22">
        <f t="array" ref="J1443">IF($D1443="","",IF($I1443="","(trống REF)",IFERROR(INDEX(MASTER_SOURCE!$B$2:$B$495,MATCH($I1443,MASTER_SOURCE!$A$2:$A$495,0)),"(REF không có trong MASTER_SOURCE)")))</f>
        <v/>
      </c>
      <c r="K1443" s="22">
        <f t="array" ref="K1443">IF($D1443="","",IFERROR(INDEX(MASTER_SOURCE!$C$2:$C$495,MATCH($I1443,MASTER_SOURCE!$A$2:$A$495,0)),""))</f>
        <v/>
      </c>
      <c r="L1443" s="22">
        <f t="array" ref="L1443">IF($D1443="","",IFERROR(INDEX(MASTER_SOURCE!$D$2:$D$495,MATCH($I1443,MASTER_SOURCE!$A$2:$A$495,0)),""))</f>
        <v/>
      </c>
      <c r="M1443" s="24" t="n"/>
      <c r="N1443" s="24" t="n"/>
      <c r="O1443" s="24" t="n"/>
      <c r="P1443" s="24" t="n"/>
      <c r="Q1443" s="22">
        <f>IF($D1443="","",IF(AND(OR(DANH_MUC!$L$5&lt;&gt;"Có",M1443="Có"),OR(DANH_MUC!$L$6&lt;&gt;"Có",N1443="Có"),OR(DANH_MUC!$L$7&lt;&gt;"Có",O1443="Có"),OR(DANH_MUC!$L$8&lt;&gt;"Có",P1443="Có")),"Có","Không"))</f>
        <v/>
      </c>
      <c r="R1443" s="22">
        <f>IF($D1443="","",IF(COUNTIF($D$2:$D1443,$D1443)&gt;1,"Trùng",""))</f>
        <v/>
      </c>
      <c r="S1443" s="22">
        <f>IF($D1443="","",IF(AND(LEN($D1443)=10,LEFT($D1443,1)="0",ISNUMBER(--$D1443)),"Có","Không"))</f>
        <v/>
      </c>
      <c r="T1443" s="22">
        <f>IF($D1443="","",IF(AND($C1443&lt;&gt;"",$Q1443="Có",$R1443="",$S1443="Có",AND($L1443&lt;&gt;"",OR($L1443&lt;&gt;"Chưa xác định",DANH_MUC!$L$9="Có"))),"Có","Không"))</f>
        <v/>
      </c>
      <c r="U1443" s="22">
        <f>IF(OR($D1443="",$T1443="Có"),"",IF($C1443="","Thiếu họ tên; ","")&amp;IF($S1443&lt;&gt;"Có","SĐT sai định dạng; ","")&amp;IF($R1443="Trùng","Trùng SĐT; ","")&amp;IF($Q1443&lt;&gt;"Có","Thiếu đồng ý bắt buộc; ","")&amp;IF($L1443="","Thiếu/sai Mã REF; ",IF(AND($L1443="Chưa xác định",DANH_MUC!$L$9&lt;&gt;"Có"),"Nguồn chưa xác định; ","")))</f>
        <v/>
      </c>
      <c r="V1443" s="22">
        <f>IF(OR($D1443="",$R1443="Trùng"),"",IF(COUNTIF(ORDERS!$C$2:$C$4995,$D1443)&gt;0,"Có","Không"))</f>
        <v/>
      </c>
      <c r="W1443" s="22">
        <f>IF(OR($D1443="",$R1443="Trùng"),"",COUNTIFS(ORDERS!$C$2:$C$4995,$D1443,ORDERS!$L$2:$L$4995,"Đã chuyển khoản"))</f>
        <v/>
      </c>
      <c r="X1443" s="23">
        <f>IF(OR($D1443="",$R1443="Trùng"),"",SUMIFS(ORDERS!$J$2:$J$4995,ORDERS!$C$2:$C$4995,$D1443,ORDERS!$L$2:$L$4995,"Đã chuyển khoản"))</f>
        <v/>
      </c>
      <c r="Y1443" s="24" t="n"/>
    </row>
    <row r="1444" ht="14.25" customHeight="1" s="40">
      <c r="A1444" s="24" t="n"/>
      <c r="B1444" s="27" t="n"/>
      <c r="C1444" s="24" t="n"/>
      <c r="D1444" s="28" t="n"/>
      <c r="E1444" s="29" t="n"/>
      <c r="F1444" s="24" t="n"/>
      <c r="G1444" s="24" t="n"/>
      <c r="H1444" s="21">
        <f>IF(ISNUMBER($B1444),INT($B1444)-WEEKDAY($B1444,2)+1,"")</f>
        <v/>
      </c>
      <c r="I1444" s="24" t="n"/>
      <c r="J1444" s="22">
        <f t="array" ref="J1444">IF($D1444="","",IF($I1444="","(trống REF)",IFERROR(INDEX(MASTER_SOURCE!$B$2:$B$495,MATCH($I1444,MASTER_SOURCE!$A$2:$A$495,0)),"(REF không có trong MASTER_SOURCE)")))</f>
        <v/>
      </c>
      <c r="K1444" s="22">
        <f t="array" ref="K1444">IF($D1444="","",IFERROR(INDEX(MASTER_SOURCE!$C$2:$C$495,MATCH($I1444,MASTER_SOURCE!$A$2:$A$495,0)),""))</f>
        <v/>
      </c>
      <c r="L1444" s="22">
        <f t="array" ref="L1444">IF($D1444="","",IFERROR(INDEX(MASTER_SOURCE!$D$2:$D$495,MATCH($I1444,MASTER_SOURCE!$A$2:$A$495,0)),""))</f>
        <v/>
      </c>
      <c r="M1444" s="24" t="n"/>
      <c r="N1444" s="24" t="n"/>
      <c r="O1444" s="24" t="n"/>
      <c r="P1444" s="24" t="n"/>
      <c r="Q1444" s="22">
        <f>IF($D1444="","",IF(AND(OR(DANH_MUC!$L$5&lt;&gt;"Có",M1444="Có"),OR(DANH_MUC!$L$6&lt;&gt;"Có",N1444="Có"),OR(DANH_MUC!$L$7&lt;&gt;"Có",O1444="Có"),OR(DANH_MUC!$L$8&lt;&gt;"Có",P1444="Có")),"Có","Không"))</f>
        <v/>
      </c>
      <c r="R1444" s="22">
        <f>IF($D1444="","",IF(COUNTIF($D$2:$D1444,$D1444)&gt;1,"Trùng",""))</f>
        <v/>
      </c>
      <c r="S1444" s="22">
        <f>IF($D1444="","",IF(AND(LEN($D1444)=10,LEFT($D1444,1)="0",ISNUMBER(--$D1444)),"Có","Không"))</f>
        <v/>
      </c>
      <c r="T1444" s="22">
        <f>IF($D1444="","",IF(AND($C1444&lt;&gt;"",$Q1444="Có",$R1444="",$S1444="Có",AND($L1444&lt;&gt;"",OR($L1444&lt;&gt;"Chưa xác định",DANH_MUC!$L$9="Có"))),"Có","Không"))</f>
        <v/>
      </c>
      <c r="U1444" s="22">
        <f>IF(OR($D1444="",$T1444="Có"),"",IF($C1444="","Thiếu họ tên; ","")&amp;IF($S1444&lt;&gt;"Có","SĐT sai định dạng; ","")&amp;IF($R1444="Trùng","Trùng SĐT; ","")&amp;IF($Q1444&lt;&gt;"Có","Thiếu đồng ý bắt buộc; ","")&amp;IF($L1444="","Thiếu/sai Mã REF; ",IF(AND($L1444="Chưa xác định",DANH_MUC!$L$9&lt;&gt;"Có"),"Nguồn chưa xác định; ","")))</f>
        <v/>
      </c>
      <c r="V1444" s="22">
        <f>IF(OR($D1444="",$R1444="Trùng"),"",IF(COUNTIF(ORDERS!$C$2:$C$4995,$D1444)&gt;0,"Có","Không"))</f>
        <v/>
      </c>
      <c r="W1444" s="22">
        <f>IF(OR($D1444="",$R1444="Trùng"),"",COUNTIFS(ORDERS!$C$2:$C$4995,$D1444,ORDERS!$L$2:$L$4995,"Đã chuyển khoản"))</f>
        <v/>
      </c>
      <c r="X1444" s="23">
        <f>IF(OR($D1444="",$R1444="Trùng"),"",SUMIFS(ORDERS!$J$2:$J$4995,ORDERS!$C$2:$C$4995,$D1444,ORDERS!$L$2:$L$4995,"Đã chuyển khoản"))</f>
        <v/>
      </c>
      <c r="Y1444" s="24" t="n"/>
    </row>
    <row r="1445" ht="14.25" customHeight="1" s="40">
      <c r="A1445" s="24" t="n"/>
      <c r="B1445" s="27" t="n"/>
      <c r="C1445" s="24" t="n"/>
      <c r="D1445" s="28" t="n"/>
      <c r="E1445" s="29" t="n"/>
      <c r="F1445" s="24" t="n"/>
      <c r="G1445" s="24" t="n"/>
      <c r="H1445" s="21">
        <f>IF(ISNUMBER($B1445),INT($B1445)-WEEKDAY($B1445,2)+1,"")</f>
        <v/>
      </c>
      <c r="I1445" s="24" t="n"/>
      <c r="J1445" s="22">
        <f t="array" ref="J1445">IF($D1445="","",IF($I1445="","(trống REF)",IFERROR(INDEX(MASTER_SOURCE!$B$2:$B$495,MATCH($I1445,MASTER_SOURCE!$A$2:$A$495,0)),"(REF không có trong MASTER_SOURCE)")))</f>
        <v/>
      </c>
      <c r="K1445" s="22">
        <f t="array" ref="K1445">IF($D1445="","",IFERROR(INDEX(MASTER_SOURCE!$C$2:$C$495,MATCH($I1445,MASTER_SOURCE!$A$2:$A$495,0)),""))</f>
        <v/>
      </c>
      <c r="L1445" s="22">
        <f t="array" ref="L1445">IF($D1445="","",IFERROR(INDEX(MASTER_SOURCE!$D$2:$D$495,MATCH($I1445,MASTER_SOURCE!$A$2:$A$495,0)),""))</f>
        <v/>
      </c>
      <c r="M1445" s="24" t="n"/>
      <c r="N1445" s="24" t="n"/>
      <c r="O1445" s="24" t="n"/>
      <c r="P1445" s="24" t="n"/>
      <c r="Q1445" s="22">
        <f>IF($D1445="","",IF(AND(OR(DANH_MUC!$L$5&lt;&gt;"Có",M1445="Có"),OR(DANH_MUC!$L$6&lt;&gt;"Có",N1445="Có"),OR(DANH_MUC!$L$7&lt;&gt;"Có",O1445="Có"),OR(DANH_MUC!$L$8&lt;&gt;"Có",P1445="Có")),"Có","Không"))</f>
        <v/>
      </c>
      <c r="R1445" s="22">
        <f>IF($D1445="","",IF(COUNTIF($D$2:$D1445,$D1445)&gt;1,"Trùng",""))</f>
        <v/>
      </c>
      <c r="S1445" s="22">
        <f>IF($D1445="","",IF(AND(LEN($D1445)=10,LEFT($D1445,1)="0",ISNUMBER(--$D1445)),"Có","Không"))</f>
        <v/>
      </c>
      <c r="T1445" s="22">
        <f>IF($D1445="","",IF(AND($C1445&lt;&gt;"",$Q1445="Có",$R1445="",$S1445="Có",AND($L1445&lt;&gt;"",OR($L1445&lt;&gt;"Chưa xác định",DANH_MUC!$L$9="Có"))),"Có","Không"))</f>
        <v/>
      </c>
      <c r="U1445" s="22">
        <f>IF(OR($D1445="",$T1445="Có"),"",IF($C1445="","Thiếu họ tên; ","")&amp;IF($S1445&lt;&gt;"Có","SĐT sai định dạng; ","")&amp;IF($R1445="Trùng","Trùng SĐT; ","")&amp;IF($Q1445&lt;&gt;"Có","Thiếu đồng ý bắt buộc; ","")&amp;IF($L1445="","Thiếu/sai Mã REF; ",IF(AND($L1445="Chưa xác định",DANH_MUC!$L$9&lt;&gt;"Có"),"Nguồn chưa xác định; ","")))</f>
        <v/>
      </c>
      <c r="V1445" s="22">
        <f>IF(OR($D1445="",$R1445="Trùng"),"",IF(COUNTIF(ORDERS!$C$2:$C$4995,$D1445)&gt;0,"Có","Không"))</f>
        <v/>
      </c>
      <c r="W1445" s="22">
        <f>IF(OR($D1445="",$R1445="Trùng"),"",COUNTIFS(ORDERS!$C$2:$C$4995,$D1445,ORDERS!$L$2:$L$4995,"Đã chuyển khoản"))</f>
        <v/>
      </c>
      <c r="X1445" s="23">
        <f>IF(OR($D1445="",$R1445="Trùng"),"",SUMIFS(ORDERS!$J$2:$J$4995,ORDERS!$C$2:$C$4995,$D1445,ORDERS!$L$2:$L$4995,"Đã chuyển khoản"))</f>
        <v/>
      </c>
      <c r="Y1445" s="24" t="n"/>
    </row>
    <row r="1446" ht="14.25" customHeight="1" s="40">
      <c r="A1446" s="24" t="n"/>
      <c r="B1446" s="27" t="n"/>
      <c r="C1446" s="24" t="n"/>
      <c r="D1446" s="28" t="n"/>
      <c r="E1446" s="29" t="n"/>
      <c r="F1446" s="24" t="n"/>
      <c r="G1446" s="24" t="n"/>
      <c r="H1446" s="21">
        <f>IF(ISNUMBER($B1446),INT($B1446)-WEEKDAY($B1446,2)+1,"")</f>
        <v/>
      </c>
      <c r="I1446" s="24" t="n"/>
      <c r="J1446" s="22">
        <f t="array" ref="J1446">IF($D1446="","",IF($I1446="","(trống REF)",IFERROR(INDEX(MASTER_SOURCE!$B$2:$B$495,MATCH($I1446,MASTER_SOURCE!$A$2:$A$495,0)),"(REF không có trong MASTER_SOURCE)")))</f>
        <v/>
      </c>
      <c r="K1446" s="22">
        <f t="array" ref="K1446">IF($D1446="","",IFERROR(INDEX(MASTER_SOURCE!$C$2:$C$495,MATCH($I1446,MASTER_SOURCE!$A$2:$A$495,0)),""))</f>
        <v/>
      </c>
      <c r="L1446" s="22">
        <f t="array" ref="L1446">IF($D1446="","",IFERROR(INDEX(MASTER_SOURCE!$D$2:$D$495,MATCH($I1446,MASTER_SOURCE!$A$2:$A$495,0)),""))</f>
        <v/>
      </c>
      <c r="M1446" s="24" t="n"/>
      <c r="N1446" s="24" t="n"/>
      <c r="O1446" s="24" t="n"/>
      <c r="P1446" s="24" t="n"/>
      <c r="Q1446" s="22">
        <f>IF($D1446="","",IF(AND(OR(DANH_MUC!$L$5&lt;&gt;"Có",M1446="Có"),OR(DANH_MUC!$L$6&lt;&gt;"Có",N1446="Có"),OR(DANH_MUC!$L$7&lt;&gt;"Có",O1446="Có"),OR(DANH_MUC!$L$8&lt;&gt;"Có",P1446="Có")),"Có","Không"))</f>
        <v/>
      </c>
      <c r="R1446" s="22">
        <f>IF($D1446="","",IF(COUNTIF($D$2:$D1446,$D1446)&gt;1,"Trùng",""))</f>
        <v/>
      </c>
      <c r="S1446" s="22">
        <f>IF($D1446="","",IF(AND(LEN($D1446)=10,LEFT($D1446,1)="0",ISNUMBER(--$D1446)),"Có","Không"))</f>
        <v/>
      </c>
      <c r="T1446" s="22">
        <f>IF($D1446="","",IF(AND($C1446&lt;&gt;"",$Q1446="Có",$R1446="",$S1446="Có",AND($L1446&lt;&gt;"",OR($L1446&lt;&gt;"Chưa xác định",DANH_MUC!$L$9="Có"))),"Có","Không"))</f>
        <v/>
      </c>
      <c r="U1446" s="22">
        <f>IF(OR($D1446="",$T1446="Có"),"",IF($C1446="","Thiếu họ tên; ","")&amp;IF($S1446&lt;&gt;"Có","SĐT sai định dạng; ","")&amp;IF($R1446="Trùng","Trùng SĐT; ","")&amp;IF($Q1446&lt;&gt;"Có","Thiếu đồng ý bắt buộc; ","")&amp;IF($L1446="","Thiếu/sai Mã REF; ",IF(AND($L1446="Chưa xác định",DANH_MUC!$L$9&lt;&gt;"Có"),"Nguồn chưa xác định; ","")))</f>
        <v/>
      </c>
      <c r="V1446" s="22">
        <f>IF(OR($D1446="",$R1446="Trùng"),"",IF(COUNTIF(ORDERS!$C$2:$C$4995,$D1446)&gt;0,"Có","Không"))</f>
        <v/>
      </c>
      <c r="W1446" s="22">
        <f>IF(OR($D1446="",$R1446="Trùng"),"",COUNTIFS(ORDERS!$C$2:$C$4995,$D1446,ORDERS!$L$2:$L$4995,"Đã chuyển khoản"))</f>
        <v/>
      </c>
      <c r="X1446" s="23">
        <f>IF(OR($D1446="",$R1446="Trùng"),"",SUMIFS(ORDERS!$J$2:$J$4995,ORDERS!$C$2:$C$4995,$D1446,ORDERS!$L$2:$L$4995,"Đã chuyển khoản"))</f>
        <v/>
      </c>
      <c r="Y1446" s="24" t="n"/>
    </row>
    <row r="1447" ht="14.25" customHeight="1" s="40">
      <c r="A1447" s="24" t="n"/>
      <c r="B1447" s="27" t="n"/>
      <c r="C1447" s="24" t="n"/>
      <c r="D1447" s="28" t="n"/>
      <c r="E1447" s="29" t="n"/>
      <c r="F1447" s="24" t="n"/>
      <c r="G1447" s="24" t="n"/>
      <c r="H1447" s="21">
        <f>IF(ISNUMBER($B1447),INT($B1447)-WEEKDAY($B1447,2)+1,"")</f>
        <v/>
      </c>
      <c r="I1447" s="24" t="n"/>
      <c r="J1447" s="22">
        <f t="array" ref="J1447">IF($D1447="","",IF($I1447="","(trống REF)",IFERROR(INDEX(MASTER_SOURCE!$B$2:$B$495,MATCH($I1447,MASTER_SOURCE!$A$2:$A$495,0)),"(REF không có trong MASTER_SOURCE)")))</f>
        <v/>
      </c>
      <c r="K1447" s="22">
        <f t="array" ref="K1447">IF($D1447="","",IFERROR(INDEX(MASTER_SOURCE!$C$2:$C$495,MATCH($I1447,MASTER_SOURCE!$A$2:$A$495,0)),""))</f>
        <v/>
      </c>
      <c r="L1447" s="22">
        <f t="array" ref="L1447">IF($D1447="","",IFERROR(INDEX(MASTER_SOURCE!$D$2:$D$495,MATCH($I1447,MASTER_SOURCE!$A$2:$A$495,0)),""))</f>
        <v/>
      </c>
      <c r="M1447" s="24" t="n"/>
      <c r="N1447" s="24" t="n"/>
      <c r="O1447" s="24" t="n"/>
      <c r="P1447" s="24" t="n"/>
      <c r="Q1447" s="22">
        <f>IF($D1447="","",IF(AND(OR(DANH_MUC!$L$5&lt;&gt;"Có",M1447="Có"),OR(DANH_MUC!$L$6&lt;&gt;"Có",N1447="Có"),OR(DANH_MUC!$L$7&lt;&gt;"Có",O1447="Có"),OR(DANH_MUC!$L$8&lt;&gt;"Có",P1447="Có")),"Có","Không"))</f>
        <v/>
      </c>
      <c r="R1447" s="22">
        <f>IF($D1447="","",IF(COUNTIF($D$2:$D1447,$D1447)&gt;1,"Trùng",""))</f>
        <v/>
      </c>
      <c r="S1447" s="22">
        <f>IF($D1447="","",IF(AND(LEN($D1447)=10,LEFT($D1447,1)="0",ISNUMBER(--$D1447)),"Có","Không"))</f>
        <v/>
      </c>
      <c r="T1447" s="22">
        <f>IF($D1447="","",IF(AND($C1447&lt;&gt;"",$Q1447="Có",$R1447="",$S1447="Có",AND($L1447&lt;&gt;"",OR($L1447&lt;&gt;"Chưa xác định",DANH_MUC!$L$9="Có"))),"Có","Không"))</f>
        <v/>
      </c>
      <c r="U1447" s="22">
        <f>IF(OR($D1447="",$T1447="Có"),"",IF($C1447="","Thiếu họ tên; ","")&amp;IF($S1447&lt;&gt;"Có","SĐT sai định dạng; ","")&amp;IF($R1447="Trùng","Trùng SĐT; ","")&amp;IF($Q1447&lt;&gt;"Có","Thiếu đồng ý bắt buộc; ","")&amp;IF($L1447="","Thiếu/sai Mã REF; ",IF(AND($L1447="Chưa xác định",DANH_MUC!$L$9&lt;&gt;"Có"),"Nguồn chưa xác định; ","")))</f>
        <v/>
      </c>
      <c r="V1447" s="22">
        <f>IF(OR($D1447="",$R1447="Trùng"),"",IF(COUNTIF(ORDERS!$C$2:$C$4995,$D1447)&gt;0,"Có","Không"))</f>
        <v/>
      </c>
      <c r="W1447" s="22">
        <f>IF(OR($D1447="",$R1447="Trùng"),"",COUNTIFS(ORDERS!$C$2:$C$4995,$D1447,ORDERS!$L$2:$L$4995,"Đã chuyển khoản"))</f>
        <v/>
      </c>
      <c r="X1447" s="23">
        <f>IF(OR($D1447="",$R1447="Trùng"),"",SUMIFS(ORDERS!$J$2:$J$4995,ORDERS!$C$2:$C$4995,$D1447,ORDERS!$L$2:$L$4995,"Đã chuyển khoản"))</f>
        <v/>
      </c>
      <c r="Y1447" s="24" t="n"/>
    </row>
    <row r="1448" ht="14.25" customHeight="1" s="40">
      <c r="A1448" s="24" t="n"/>
      <c r="B1448" s="27" t="n"/>
      <c r="C1448" s="24" t="n"/>
      <c r="D1448" s="28" t="n"/>
      <c r="E1448" s="29" t="n"/>
      <c r="F1448" s="24" t="n"/>
      <c r="G1448" s="24" t="n"/>
      <c r="H1448" s="21">
        <f>IF(ISNUMBER($B1448),INT($B1448)-WEEKDAY($B1448,2)+1,"")</f>
        <v/>
      </c>
      <c r="I1448" s="24" t="n"/>
      <c r="J1448" s="22">
        <f t="array" ref="J1448">IF($D1448="","",IF($I1448="","(trống REF)",IFERROR(INDEX(MASTER_SOURCE!$B$2:$B$495,MATCH($I1448,MASTER_SOURCE!$A$2:$A$495,0)),"(REF không có trong MASTER_SOURCE)")))</f>
        <v/>
      </c>
      <c r="K1448" s="22">
        <f t="array" ref="K1448">IF($D1448="","",IFERROR(INDEX(MASTER_SOURCE!$C$2:$C$495,MATCH($I1448,MASTER_SOURCE!$A$2:$A$495,0)),""))</f>
        <v/>
      </c>
      <c r="L1448" s="22">
        <f t="array" ref="L1448">IF($D1448="","",IFERROR(INDEX(MASTER_SOURCE!$D$2:$D$495,MATCH($I1448,MASTER_SOURCE!$A$2:$A$495,0)),""))</f>
        <v/>
      </c>
      <c r="M1448" s="24" t="n"/>
      <c r="N1448" s="24" t="n"/>
      <c r="O1448" s="24" t="n"/>
      <c r="P1448" s="24" t="n"/>
      <c r="Q1448" s="22">
        <f>IF($D1448="","",IF(AND(OR(DANH_MUC!$L$5&lt;&gt;"Có",M1448="Có"),OR(DANH_MUC!$L$6&lt;&gt;"Có",N1448="Có"),OR(DANH_MUC!$L$7&lt;&gt;"Có",O1448="Có"),OR(DANH_MUC!$L$8&lt;&gt;"Có",P1448="Có")),"Có","Không"))</f>
        <v/>
      </c>
      <c r="R1448" s="22">
        <f>IF($D1448="","",IF(COUNTIF($D$2:$D1448,$D1448)&gt;1,"Trùng",""))</f>
        <v/>
      </c>
      <c r="S1448" s="22">
        <f>IF($D1448="","",IF(AND(LEN($D1448)=10,LEFT($D1448,1)="0",ISNUMBER(--$D1448)),"Có","Không"))</f>
        <v/>
      </c>
      <c r="T1448" s="22">
        <f>IF($D1448="","",IF(AND($C1448&lt;&gt;"",$Q1448="Có",$R1448="",$S1448="Có",AND($L1448&lt;&gt;"",OR($L1448&lt;&gt;"Chưa xác định",DANH_MUC!$L$9="Có"))),"Có","Không"))</f>
        <v/>
      </c>
      <c r="U1448" s="22">
        <f>IF(OR($D1448="",$T1448="Có"),"",IF($C1448="","Thiếu họ tên; ","")&amp;IF($S1448&lt;&gt;"Có","SĐT sai định dạng; ","")&amp;IF($R1448="Trùng","Trùng SĐT; ","")&amp;IF($Q1448&lt;&gt;"Có","Thiếu đồng ý bắt buộc; ","")&amp;IF($L1448="","Thiếu/sai Mã REF; ",IF(AND($L1448="Chưa xác định",DANH_MUC!$L$9&lt;&gt;"Có"),"Nguồn chưa xác định; ","")))</f>
        <v/>
      </c>
      <c r="V1448" s="22">
        <f>IF(OR($D1448="",$R1448="Trùng"),"",IF(COUNTIF(ORDERS!$C$2:$C$4995,$D1448)&gt;0,"Có","Không"))</f>
        <v/>
      </c>
      <c r="W1448" s="22">
        <f>IF(OR($D1448="",$R1448="Trùng"),"",COUNTIFS(ORDERS!$C$2:$C$4995,$D1448,ORDERS!$L$2:$L$4995,"Đã chuyển khoản"))</f>
        <v/>
      </c>
      <c r="X1448" s="23">
        <f>IF(OR($D1448="",$R1448="Trùng"),"",SUMIFS(ORDERS!$J$2:$J$4995,ORDERS!$C$2:$C$4995,$D1448,ORDERS!$L$2:$L$4995,"Đã chuyển khoản"))</f>
        <v/>
      </c>
      <c r="Y1448" s="24" t="n"/>
    </row>
    <row r="1449" ht="14.25" customHeight="1" s="40">
      <c r="A1449" s="24" t="n"/>
      <c r="B1449" s="27" t="n"/>
      <c r="C1449" s="24" t="n"/>
      <c r="D1449" s="28" t="n"/>
      <c r="E1449" s="29" t="n"/>
      <c r="F1449" s="24" t="n"/>
      <c r="G1449" s="24" t="n"/>
      <c r="H1449" s="21">
        <f>IF(ISNUMBER($B1449),INT($B1449)-WEEKDAY($B1449,2)+1,"")</f>
        <v/>
      </c>
      <c r="I1449" s="24" t="n"/>
      <c r="J1449" s="22">
        <f t="array" ref="J1449">IF($D1449="","",IF($I1449="","(trống REF)",IFERROR(INDEX(MASTER_SOURCE!$B$2:$B$495,MATCH($I1449,MASTER_SOURCE!$A$2:$A$495,0)),"(REF không có trong MASTER_SOURCE)")))</f>
        <v/>
      </c>
      <c r="K1449" s="22">
        <f t="array" ref="K1449">IF($D1449="","",IFERROR(INDEX(MASTER_SOURCE!$C$2:$C$495,MATCH($I1449,MASTER_SOURCE!$A$2:$A$495,0)),""))</f>
        <v/>
      </c>
      <c r="L1449" s="22">
        <f t="array" ref="L1449">IF($D1449="","",IFERROR(INDEX(MASTER_SOURCE!$D$2:$D$495,MATCH($I1449,MASTER_SOURCE!$A$2:$A$495,0)),""))</f>
        <v/>
      </c>
      <c r="M1449" s="24" t="n"/>
      <c r="N1449" s="24" t="n"/>
      <c r="O1449" s="24" t="n"/>
      <c r="P1449" s="24" t="n"/>
      <c r="Q1449" s="22">
        <f>IF($D1449="","",IF(AND(OR(DANH_MUC!$L$5&lt;&gt;"Có",M1449="Có"),OR(DANH_MUC!$L$6&lt;&gt;"Có",N1449="Có"),OR(DANH_MUC!$L$7&lt;&gt;"Có",O1449="Có"),OR(DANH_MUC!$L$8&lt;&gt;"Có",P1449="Có")),"Có","Không"))</f>
        <v/>
      </c>
      <c r="R1449" s="22">
        <f>IF($D1449="","",IF(COUNTIF($D$2:$D1449,$D1449)&gt;1,"Trùng",""))</f>
        <v/>
      </c>
      <c r="S1449" s="22">
        <f>IF($D1449="","",IF(AND(LEN($D1449)=10,LEFT($D1449,1)="0",ISNUMBER(--$D1449)),"Có","Không"))</f>
        <v/>
      </c>
      <c r="T1449" s="22">
        <f>IF($D1449="","",IF(AND($C1449&lt;&gt;"",$Q1449="Có",$R1449="",$S1449="Có",AND($L1449&lt;&gt;"",OR($L1449&lt;&gt;"Chưa xác định",DANH_MUC!$L$9="Có"))),"Có","Không"))</f>
        <v/>
      </c>
      <c r="U1449" s="22">
        <f>IF(OR($D1449="",$T1449="Có"),"",IF($C1449="","Thiếu họ tên; ","")&amp;IF($S1449&lt;&gt;"Có","SĐT sai định dạng; ","")&amp;IF($R1449="Trùng","Trùng SĐT; ","")&amp;IF($Q1449&lt;&gt;"Có","Thiếu đồng ý bắt buộc; ","")&amp;IF($L1449="","Thiếu/sai Mã REF; ",IF(AND($L1449="Chưa xác định",DANH_MUC!$L$9&lt;&gt;"Có"),"Nguồn chưa xác định; ","")))</f>
        <v/>
      </c>
      <c r="V1449" s="22">
        <f>IF(OR($D1449="",$R1449="Trùng"),"",IF(COUNTIF(ORDERS!$C$2:$C$4995,$D1449)&gt;0,"Có","Không"))</f>
        <v/>
      </c>
      <c r="W1449" s="22">
        <f>IF(OR($D1449="",$R1449="Trùng"),"",COUNTIFS(ORDERS!$C$2:$C$4995,$D1449,ORDERS!$L$2:$L$4995,"Đã chuyển khoản"))</f>
        <v/>
      </c>
      <c r="X1449" s="23">
        <f>IF(OR($D1449="",$R1449="Trùng"),"",SUMIFS(ORDERS!$J$2:$J$4995,ORDERS!$C$2:$C$4995,$D1449,ORDERS!$L$2:$L$4995,"Đã chuyển khoản"))</f>
        <v/>
      </c>
      <c r="Y1449" s="24" t="n"/>
    </row>
    <row r="1450" ht="14.25" customHeight="1" s="40">
      <c r="A1450" s="24" t="n"/>
      <c r="B1450" s="27" t="n"/>
      <c r="C1450" s="24" t="n"/>
      <c r="D1450" s="28" t="n"/>
      <c r="E1450" s="29" t="n"/>
      <c r="F1450" s="24" t="n"/>
      <c r="G1450" s="24" t="n"/>
      <c r="H1450" s="21">
        <f>IF(ISNUMBER($B1450),INT($B1450)-WEEKDAY($B1450,2)+1,"")</f>
        <v/>
      </c>
      <c r="I1450" s="24" t="n"/>
      <c r="J1450" s="22">
        <f t="array" ref="J1450">IF($D1450="","",IF($I1450="","(trống REF)",IFERROR(INDEX(MASTER_SOURCE!$B$2:$B$495,MATCH($I1450,MASTER_SOURCE!$A$2:$A$495,0)),"(REF không có trong MASTER_SOURCE)")))</f>
        <v/>
      </c>
      <c r="K1450" s="22">
        <f t="array" ref="K1450">IF($D1450="","",IFERROR(INDEX(MASTER_SOURCE!$C$2:$C$495,MATCH($I1450,MASTER_SOURCE!$A$2:$A$495,0)),""))</f>
        <v/>
      </c>
      <c r="L1450" s="22">
        <f t="array" ref="L1450">IF($D1450="","",IFERROR(INDEX(MASTER_SOURCE!$D$2:$D$495,MATCH($I1450,MASTER_SOURCE!$A$2:$A$495,0)),""))</f>
        <v/>
      </c>
      <c r="M1450" s="24" t="n"/>
      <c r="N1450" s="24" t="n"/>
      <c r="O1450" s="24" t="n"/>
      <c r="P1450" s="24" t="n"/>
      <c r="Q1450" s="22">
        <f>IF($D1450="","",IF(AND(OR(DANH_MUC!$L$5&lt;&gt;"Có",M1450="Có"),OR(DANH_MUC!$L$6&lt;&gt;"Có",N1450="Có"),OR(DANH_MUC!$L$7&lt;&gt;"Có",O1450="Có"),OR(DANH_MUC!$L$8&lt;&gt;"Có",P1450="Có")),"Có","Không"))</f>
        <v/>
      </c>
      <c r="R1450" s="22">
        <f>IF($D1450="","",IF(COUNTIF($D$2:$D1450,$D1450)&gt;1,"Trùng",""))</f>
        <v/>
      </c>
      <c r="S1450" s="22">
        <f>IF($D1450="","",IF(AND(LEN($D1450)=10,LEFT($D1450,1)="0",ISNUMBER(--$D1450)),"Có","Không"))</f>
        <v/>
      </c>
      <c r="T1450" s="22">
        <f>IF($D1450="","",IF(AND($C1450&lt;&gt;"",$Q1450="Có",$R1450="",$S1450="Có",AND($L1450&lt;&gt;"",OR($L1450&lt;&gt;"Chưa xác định",DANH_MUC!$L$9="Có"))),"Có","Không"))</f>
        <v/>
      </c>
      <c r="U1450" s="22">
        <f>IF(OR($D1450="",$T1450="Có"),"",IF($C1450="","Thiếu họ tên; ","")&amp;IF($S1450&lt;&gt;"Có","SĐT sai định dạng; ","")&amp;IF($R1450="Trùng","Trùng SĐT; ","")&amp;IF($Q1450&lt;&gt;"Có","Thiếu đồng ý bắt buộc; ","")&amp;IF($L1450="","Thiếu/sai Mã REF; ",IF(AND($L1450="Chưa xác định",DANH_MUC!$L$9&lt;&gt;"Có"),"Nguồn chưa xác định; ","")))</f>
        <v/>
      </c>
      <c r="V1450" s="22">
        <f>IF(OR($D1450="",$R1450="Trùng"),"",IF(COUNTIF(ORDERS!$C$2:$C$4995,$D1450)&gt;0,"Có","Không"))</f>
        <v/>
      </c>
      <c r="W1450" s="22">
        <f>IF(OR($D1450="",$R1450="Trùng"),"",COUNTIFS(ORDERS!$C$2:$C$4995,$D1450,ORDERS!$L$2:$L$4995,"Đã chuyển khoản"))</f>
        <v/>
      </c>
      <c r="X1450" s="23">
        <f>IF(OR($D1450="",$R1450="Trùng"),"",SUMIFS(ORDERS!$J$2:$J$4995,ORDERS!$C$2:$C$4995,$D1450,ORDERS!$L$2:$L$4995,"Đã chuyển khoản"))</f>
        <v/>
      </c>
      <c r="Y1450" s="24" t="n"/>
    </row>
    <row r="1451" ht="14.25" customHeight="1" s="40">
      <c r="A1451" s="24" t="n"/>
      <c r="B1451" s="27" t="n"/>
      <c r="C1451" s="24" t="n"/>
      <c r="D1451" s="28" t="n"/>
      <c r="E1451" s="29" t="n"/>
      <c r="F1451" s="24" t="n"/>
      <c r="G1451" s="24" t="n"/>
      <c r="H1451" s="21">
        <f>IF(ISNUMBER($B1451),INT($B1451)-WEEKDAY($B1451,2)+1,"")</f>
        <v/>
      </c>
      <c r="I1451" s="24" t="n"/>
      <c r="J1451" s="22">
        <f t="array" ref="J1451">IF($D1451="","",IF($I1451="","(trống REF)",IFERROR(INDEX(MASTER_SOURCE!$B$2:$B$495,MATCH($I1451,MASTER_SOURCE!$A$2:$A$495,0)),"(REF không có trong MASTER_SOURCE)")))</f>
        <v/>
      </c>
      <c r="K1451" s="22">
        <f t="array" ref="K1451">IF($D1451="","",IFERROR(INDEX(MASTER_SOURCE!$C$2:$C$495,MATCH($I1451,MASTER_SOURCE!$A$2:$A$495,0)),""))</f>
        <v/>
      </c>
      <c r="L1451" s="22">
        <f t="array" ref="L1451">IF($D1451="","",IFERROR(INDEX(MASTER_SOURCE!$D$2:$D$495,MATCH($I1451,MASTER_SOURCE!$A$2:$A$495,0)),""))</f>
        <v/>
      </c>
      <c r="M1451" s="24" t="n"/>
      <c r="N1451" s="24" t="n"/>
      <c r="O1451" s="24" t="n"/>
      <c r="P1451" s="24" t="n"/>
      <c r="Q1451" s="22">
        <f>IF($D1451="","",IF(AND(OR(DANH_MUC!$L$5&lt;&gt;"Có",M1451="Có"),OR(DANH_MUC!$L$6&lt;&gt;"Có",N1451="Có"),OR(DANH_MUC!$L$7&lt;&gt;"Có",O1451="Có"),OR(DANH_MUC!$L$8&lt;&gt;"Có",P1451="Có")),"Có","Không"))</f>
        <v/>
      </c>
      <c r="R1451" s="22">
        <f>IF($D1451="","",IF(COUNTIF($D$2:$D1451,$D1451)&gt;1,"Trùng",""))</f>
        <v/>
      </c>
      <c r="S1451" s="22">
        <f>IF($D1451="","",IF(AND(LEN($D1451)=10,LEFT($D1451,1)="0",ISNUMBER(--$D1451)),"Có","Không"))</f>
        <v/>
      </c>
      <c r="T1451" s="22">
        <f>IF($D1451="","",IF(AND($C1451&lt;&gt;"",$Q1451="Có",$R1451="",$S1451="Có",AND($L1451&lt;&gt;"",OR($L1451&lt;&gt;"Chưa xác định",DANH_MUC!$L$9="Có"))),"Có","Không"))</f>
        <v/>
      </c>
      <c r="U1451" s="22">
        <f>IF(OR($D1451="",$T1451="Có"),"",IF($C1451="","Thiếu họ tên; ","")&amp;IF($S1451&lt;&gt;"Có","SĐT sai định dạng; ","")&amp;IF($R1451="Trùng","Trùng SĐT; ","")&amp;IF($Q1451&lt;&gt;"Có","Thiếu đồng ý bắt buộc; ","")&amp;IF($L1451="","Thiếu/sai Mã REF; ",IF(AND($L1451="Chưa xác định",DANH_MUC!$L$9&lt;&gt;"Có"),"Nguồn chưa xác định; ","")))</f>
        <v/>
      </c>
      <c r="V1451" s="22">
        <f>IF(OR($D1451="",$R1451="Trùng"),"",IF(COUNTIF(ORDERS!$C$2:$C$4995,$D1451)&gt;0,"Có","Không"))</f>
        <v/>
      </c>
      <c r="W1451" s="22">
        <f>IF(OR($D1451="",$R1451="Trùng"),"",COUNTIFS(ORDERS!$C$2:$C$4995,$D1451,ORDERS!$L$2:$L$4995,"Đã chuyển khoản"))</f>
        <v/>
      </c>
      <c r="X1451" s="23">
        <f>IF(OR($D1451="",$R1451="Trùng"),"",SUMIFS(ORDERS!$J$2:$J$4995,ORDERS!$C$2:$C$4995,$D1451,ORDERS!$L$2:$L$4995,"Đã chuyển khoản"))</f>
        <v/>
      </c>
      <c r="Y1451" s="24" t="n"/>
    </row>
    <row r="1452" ht="14.25" customHeight="1" s="40">
      <c r="A1452" s="24" t="n"/>
      <c r="B1452" s="27" t="n"/>
      <c r="C1452" s="24" t="n"/>
      <c r="D1452" s="28" t="n"/>
      <c r="E1452" s="29" t="n"/>
      <c r="F1452" s="24" t="n"/>
      <c r="G1452" s="24" t="n"/>
      <c r="H1452" s="21">
        <f>IF(ISNUMBER($B1452),INT($B1452)-WEEKDAY($B1452,2)+1,"")</f>
        <v/>
      </c>
      <c r="I1452" s="24" t="n"/>
      <c r="J1452" s="22">
        <f t="array" ref="J1452">IF($D1452="","",IF($I1452="","(trống REF)",IFERROR(INDEX(MASTER_SOURCE!$B$2:$B$495,MATCH($I1452,MASTER_SOURCE!$A$2:$A$495,0)),"(REF không có trong MASTER_SOURCE)")))</f>
        <v/>
      </c>
      <c r="K1452" s="22">
        <f t="array" ref="K1452">IF($D1452="","",IFERROR(INDEX(MASTER_SOURCE!$C$2:$C$495,MATCH($I1452,MASTER_SOURCE!$A$2:$A$495,0)),""))</f>
        <v/>
      </c>
      <c r="L1452" s="22">
        <f t="array" ref="L1452">IF($D1452="","",IFERROR(INDEX(MASTER_SOURCE!$D$2:$D$495,MATCH($I1452,MASTER_SOURCE!$A$2:$A$495,0)),""))</f>
        <v/>
      </c>
      <c r="M1452" s="24" t="n"/>
      <c r="N1452" s="24" t="n"/>
      <c r="O1452" s="24" t="n"/>
      <c r="P1452" s="24" t="n"/>
      <c r="Q1452" s="22">
        <f>IF($D1452="","",IF(AND(OR(DANH_MUC!$L$5&lt;&gt;"Có",M1452="Có"),OR(DANH_MUC!$L$6&lt;&gt;"Có",N1452="Có"),OR(DANH_MUC!$L$7&lt;&gt;"Có",O1452="Có"),OR(DANH_MUC!$L$8&lt;&gt;"Có",P1452="Có")),"Có","Không"))</f>
        <v/>
      </c>
      <c r="R1452" s="22">
        <f>IF($D1452="","",IF(COUNTIF($D$2:$D1452,$D1452)&gt;1,"Trùng",""))</f>
        <v/>
      </c>
      <c r="S1452" s="22">
        <f>IF($D1452="","",IF(AND(LEN($D1452)=10,LEFT($D1452,1)="0",ISNUMBER(--$D1452)),"Có","Không"))</f>
        <v/>
      </c>
      <c r="T1452" s="22">
        <f>IF($D1452="","",IF(AND($C1452&lt;&gt;"",$Q1452="Có",$R1452="",$S1452="Có",AND($L1452&lt;&gt;"",OR($L1452&lt;&gt;"Chưa xác định",DANH_MUC!$L$9="Có"))),"Có","Không"))</f>
        <v/>
      </c>
      <c r="U1452" s="22">
        <f>IF(OR($D1452="",$T1452="Có"),"",IF($C1452="","Thiếu họ tên; ","")&amp;IF($S1452&lt;&gt;"Có","SĐT sai định dạng; ","")&amp;IF($R1452="Trùng","Trùng SĐT; ","")&amp;IF($Q1452&lt;&gt;"Có","Thiếu đồng ý bắt buộc; ","")&amp;IF($L1452="","Thiếu/sai Mã REF; ",IF(AND($L1452="Chưa xác định",DANH_MUC!$L$9&lt;&gt;"Có"),"Nguồn chưa xác định; ","")))</f>
        <v/>
      </c>
      <c r="V1452" s="22">
        <f>IF(OR($D1452="",$R1452="Trùng"),"",IF(COUNTIF(ORDERS!$C$2:$C$4995,$D1452)&gt;0,"Có","Không"))</f>
        <v/>
      </c>
      <c r="W1452" s="22">
        <f>IF(OR($D1452="",$R1452="Trùng"),"",COUNTIFS(ORDERS!$C$2:$C$4995,$D1452,ORDERS!$L$2:$L$4995,"Đã chuyển khoản"))</f>
        <v/>
      </c>
      <c r="X1452" s="23">
        <f>IF(OR($D1452="",$R1452="Trùng"),"",SUMIFS(ORDERS!$J$2:$J$4995,ORDERS!$C$2:$C$4995,$D1452,ORDERS!$L$2:$L$4995,"Đã chuyển khoản"))</f>
        <v/>
      </c>
      <c r="Y1452" s="24" t="n"/>
    </row>
    <row r="1453" ht="14.25" customHeight="1" s="40">
      <c r="A1453" s="24" t="n"/>
      <c r="B1453" s="27" t="n"/>
      <c r="C1453" s="24" t="n"/>
      <c r="D1453" s="28" t="n"/>
      <c r="E1453" s="29" t="n"/>
      <c r="F1453" s="24" t="n"/>
      <c r="G1453" s="24" t="n"/>
      <c r="H1453" s="21">
        <f>IF(ISNUMBER($B1453),INT($B1453)-WEEKDAY($B1453,2)+1,"")</f>
        <v/>
      </c>
      <c r="I1453" s="24" t="n"/>
      <c r="J1453" s="22">
        <f t="array" ref="J1453">IF($D1453="","",IF($I1453="","(trống REF)",IFERROR(INDEX(MASTER_SOURCE!$B$2:$B$495,MATCH($I1453,MASTER_SOURCE!$A$2:$A$495,0)),"(REF không có trong MASTER_SOURCE)")))</f>
        <v/>
      </c>
      <c r="K1453" s="22">
        <f t="array" ref="K1453">IF($D1453="","",IFERROR(INDEX(MASTER_SOURCE!$C$2:$C$495,MATCH($I1453,MASTER_SOURCE!$A$2:$A$495,0)),""))</f>
        <v/>
      </c>
      <c r="L1453" s="22">
        <f t="array" ref="L1453">IF($D1453="","",IFERROR(INDEX(MASTER_SOURCE!$D$2:$D$495,MATCH($I1453,MASTER_SOURCE!$A$2:$A$495,0)),""))</f>
        <v/>
      </c>
      <c r="M1453" s="24" t="n"/>
      <c r="N1453" s="24" t="n"/>
      <c r="O1453" s="24" t="n"/>
      <c r="P1453" s="24" t="n"/>
      <c r="Q1453" s="22">
        <f>IF($D1453="","",IF(AND(OR(DANH_MUC!$L$5&lt;&gt;"Có",M1453="Có"),OR(DANH_MUC!$L$6&lt;&gt;"Có",N1453="Có"),OR(DANH_MUC!$L$7&lt;&gt;"Có",O1453="Có"),OR(DANH_MUC!$L$8&lt;&gt;"Có",P1453="Có")),"Có","Không"))</f>
        <v/>
      </c>
      <c r="R1453" s="22">
        <f>IF($D1453="","",IF(COUNTIF($D$2:$D1453,$D1453)&gt;1,"Trùng",""))</f>
        <v/>
      </c>
      <c r="S1453" s="22">
        <f>IF($D1453="","",IF(AND(LEN($D1453)=10,LEFT($D1453,1)="0",ISNUMBER(--$D1453)),"Có","Không"))</f>
        <v/>
      </c>
      <c r="T1453" s="22">
        <f>IF($D1453="","",IF(AND($C1453&lt;&gt;"",$Q1453="Có",$R1453="",$S1453="Có",AND($L1453&lt;&gt;"",OR($L1453&lt;&gt;"Chưa xác định",DANH_MUC!$L$9="Có"))),"Có","Không"))</f>
        <v/>
      </c>
      <c r="U1453" s="22">
        <f>IF(OR($D1453="",$T1453="Có"),"",IF($C1453="","Thiếu họ tên; ","")&amp;IF($S1453&lt;&gt;"Có","SĐT sai định dạng; ","")&amp;IF($R1453="Trùng","Trùng SĐT; ","")&amp;IF($Q1453&lt;&gt;"Có","Thiếu đồng ý bắt buộc; ","")&amp;IF($L1453="","Thiếu/sai Mã REF; ",IF(AND($L1453="Chưa xác định",DANH_MUC!$L$9&lt;&gt;"Có"),"Nguồn chưa xác định; ","")))</f>
        <v/>
      </c>
      <c r="V1453" s="22">
        <f>IF(OR($D1453="",$R1453="Trùng"),"",IF(COUNTIF(ORDERS!$C$2:$C$4995,$D1453)&gt;0,"Có","Không"))</f>
        <v/>
      </c>
      <c r="W1453" s="22">
        <f>IF(OR($D1453="",$R1453="Trùng"),"",COUNTIFS(ORDERS!$C$2:$C$4995,$D1453,ORDERS!$L$2:$L$4995,"Đã chuyển khoản"))</f>
        <v/>
      </c>
      <c r="X1453" s="23">
        <f>IF(OR($D1453="",$R1453="Trùng"),"",SUMIFS(ORDERS!$J$2:$J$4995,ORDERS!$C$2:$C$4995,$D1453,ORDERS!$L$2:$L$4995,"Đã chuyển khoản"))</f>
        <v/>
      </c>
      <c r="Y1453" s="24" t="n"/>
    </row>
    <row r="1454" ht="14.25" customHeight="1" s="40">
      <c r="A1454" s="24" t="n"/>
      <c r="B1454" s="27" t="n"/>
      <c r="C1454" s="24" t="n"/>
      <c r="D1454" s="28" t="n"/>
      <c r="E1454" s="29" t="n"/>
      <c r="F1454" s="24" t="n"/>
      <c r="G1454" s="24" t="n"/>
      <c r="H1454" s="21">
        <f>IF(ISNUMBER($B1454),INT($B1454)-WEEKDAY($B1454,2)+1,"")</f>
        <v/>
      </c>
      <c r="I1454" s="24" t="n"/>
      <c r="J1454" s="22">
        <f t="array" ref="J1454">IF($D1454="","",IF($I1454="","(trống REF)",IFERROR(INDEX(MASTER_SOURCE!$B$2:$B$495,MATCH($I1454,MASTER_SOURCE!$A$2:$A$495,0)),"(REF không có trong MASTER_SOURCE)")))</f>
        <v/>
      </c>
      <c r="K1454" s="22">
        <f t="array" ref="K1454">IF($D1454="","",IFERROR(INDEX(MASTER_SOURCE!$C$2:$C$495,MATCH($I1454,MASTER_SOURCE!$A$2:$A$495,0)),""))</f>
        <v/>
      </c>
      <c r="L1454" s="22">
        <f t="array" ref="L1454">IF($D1454="","",IFERROR(INDEX(MASTER_SOURCE!$D$2:$D$495,MATCH($I1454,MASTER_SOURCE!$A$2:$A$495,0)),""))</f>
        <v/>
      </c>
      <c r="M1454" s="24" t="n"/>
      <c r="N1454" s="24" t="n"/>
      <c r="O1454" s="24" t="n"/>
      <c r="P1454" s="24" t="n"/>
      <c r="Q1454" s="22">
        <f>IF($D1454="","",IF(AND(OR(DANH_MUC!$L$5&lt;&gt;"Có",M1454="Có"),OR(DANH_MUC!$L$6&lt;&gt;"Có",N1454="Có"),OR(DANH_MUC!$L$7&lt;&gt;"Có",O1454="Có"),OR(DANH_MUC!$L$8&lt;&gt;"Có",P1454="Có")),"Có","Không"))</f>
        <v/>
      </c>
      <c r="R1454" s="22">
        <f>IF($D1454="","",IF(COUNTIF($D$2:$D1454,$D1454)&gt;1,"Trùng",""))</f>
        <v/>
      </c>
      <c r="S1454" s="22">
        <f>IF($D1454="","",IF(AND(LEN($D1454)=10,LEFT($D1454,1)="0",ISNUMBER(--$D1454)),"Có","Không"))</f>
        <v/>
      </c>
      <c r="T1454" s="22">
        <f>IF($D1454="","",IF(AND($C1454&lt;&gt;"",$Q1454="Có",$R1454="",$S1454="Có",AND($L1454&lt;&gt;"",OR($L1454&lt;&gt;"Chưa xác định",DANH_MUC!$L$9="Có"))),"Có","Không"))</f>
        <v/>
      </c>
      <c r="U1454" s="22">
        <f>IF(OR($D1454="",$T1454="Có"),"",IF($C1454="","Thiếu họ tên; ","")&amp;IF($S1454&lt;&gt;"Có","SĐT sai định dạng; ","")&amp;IF($R1454="Trùng","Trùng SĐT; ","")&amp;IF($Q1454&lt;&gt;"Có","Thiếu đồng ý bắt buộc; ","")&amp;IF($L1454="","Thiếu/sai Mã REF; ",IF(AND($L1454="Chưa xác định",DANH_MUC!$L$9&lt;&gt;"Có"),"Nguồn chưa xác định; ","")))</f>
        <v/>
      </c>
      <c r="V1454" s="22">
        <f>IF(OR($D1454="",$R1454="Trùng"),"",IF(COUNTIF(ORDERS!$C$2:$C$4995,$D1454)&gt;0,"Có","Không"))</f>
        <v/>
      </c>
      <c r="W1454" s="22">
        <f>IF(OR($D1454="",$R1454="Trùng"),"",COUNTIFS(ORDERS!$C$2:$C$4995,$D1454,ORDERS!$L$2:$L$4995,"Đã chuyển khoản"))</f>
        <v/>
      </c>
      <c r="X1454" s="23">
        <f>IF(OR($D1454="",$R1454="Trùng"),"",SUMIFS(ORDERS!$J$2:$J$4995,ORDERS!$C$2:$C$4995,$D1454,ORDERS!$L$2:$L$4995,"Đã chuyển khoản"))</f>
        <v/>
      </c>
      <c r="Y1454" s="24" t="n"/>
    </row>
    <row r="1455" ht="14.25" customHeight="1" s="40">
      <c r="A1455" s="24" t="n"/>
      <c r="B1455" s="27" t="n"/>
      <c r="C1455" s="24" t="n"/>
      <c r="D1455" s="28" t="n"/>
      <c r="E1455" s="29" t="n"/>
      <c r="F1455" s="24" t="n"/>
      <c r="G1455" s="24" t="n"/>
      <c r="H1455" s="21">
        <f>IF(ISNUMBER($B1455),INT($B1455)-WEEKDAY($B1455,2)+1,"")</f>
        <v/>
      </c>
      <c r="I1455" s="24" t="n"/>
      <c r="J1455" s="22">
        <f t="array" ref="J1455">IF($D1455="","",IF($I1455="","(trống REF)",IFERROR(INDEX(MASTER_SOURCE!$B$2:$B$495,MATCH($I1455,MASTER_SOURCE!$A$2:$A$495,0)),"(REF không có trong MASTER_SOURCE)")))</f>
        <v/>
      </c>
      <c r="K1455" s="22">
        <f t="array" ref="K1455">IF($D1455="","",IFERROR(INDEX(MASTER_SOURCE!$C$2:$C$495,MATCH($I1455,MASTER_SOURCE!$A$2:$A$495,0)),""))</f>
        <v/>
      </c>
      <c r="L1455" s="22">
        <f t="array" ref="L1455">IF($D1455="","",IFERROR(INDEX(MASTER_SOURCE!$D$2:$D$495,MATCH($I1455,MASTER_SOURCE!$A$2:$A$495,0)),""))</f>
        <v/>
      </c>
      <c r="M1455" s="24" t="n"/>
      <c r="N1455" s="24" t="n"/>
      <c r="O1455" s="24" t="n"/>
      <c r="P1455" s="24" t="n"/>
      <c r="Q1455" s="22">
        <f>IF($D1455="","",IF(AND(OR(DANH_MUC!$L$5&lt;&gt;"Có",M1455="Có"),OR(DANH_MUC!$L$6&lt;&gt;"Có",N1455="Có"),OR(DANH_MUC!$L$7&lt;&gt;"Có",O1455="Có"),OR(DANH_MUC!$L$8&lt;&gt;"Có",P1455="Có")),"Có","Không"))</f>
        <v/>
      </c>
      <c r="R1455" s="22">
        <f>IF($D1455="","",IF(COUNTIF($D$2:$D1455,$D1455)&gt;1,"Trùng",""))</f>
        <v/>
      </c>
      <c r="S1455" s="22">
        <f>IF($D1455="","",IF(AND(LEN($D1455)=10,LEFT($D1455,1)="0",ISNUMBER(--$D1455)),"Có","Không"))</f>
        <v/>
      </c>
      <c r="T1455" s="22">
        <f>IF($D1455="","",IF(AND($C1455&lt;&gt;"",$Q1455="Có",$R1455="",$S1455="Có",AND($L1455&lt;&gt;"",OR($L1455&lt;&gt;"Chưa xác định",DANH_MUC!$L$9="Có"))),"Có","Không"))</f>
        <v/>
      </c>
      <c r="U1455" s="22">
        <f>IF(OR($D1455="",$T1455="Có"),"",IF($C1455="","Thiếu họ tên; ","")&amp;IF($S1455&lt;&gt;"Có","SĐT sai định dạng; ","")&amp;IF($R1455="Trùng","Trùng SĐT; ","")&amp;IF($Q1455&lt;&gt;"Có","Thiếu đồng ý bắt buộc; ","")&amp;IF($L1455="","Thiếu/sai Mã REF; ",IF(AND($L1455="Chưa xác định",DANH_MUC!$L$9&lt;&gt;"Có"),"Nguồn chưa xác định; ","")))</f>
        <v/>
      </c>
      <c r="V1455" s="22">
        <f>IF(OR($D1455="",$R1455="Trùng"),"",IF(COUNTIF(ORDERS!$C$2:$C$4995,$D1455)&gt;0,"Có","Không"))</f>
        <v/>
      </c>
      <c r="W1455" s="22">
        <f>IF(OR($D1455="",$R1455="Trùng"),"",COUNTIFS(ORDERS!$C$2:$C$4995,$D1455,ORDERS!$L$2:$L$4995,"Đã chuyển khoản"))</f>
        <v/>
      </c>
      <c r="X1455" s="23">
        <f>IF(OR($D1455="",$R1455="Trùng"),"",SUMIFS(ORDERS!$J$2:$J$4995,ORDERS!$C$2:$C$4995,$D1455,ORDERS!$L$2:$L$4995,"Đã chuyển khoản"))</f>
        <v/>
      </c>
      <c r="Y1455" s="24" t="n"/>
    </row>
    <row r="1456" ht="14.25" customHeight="1" s="40">
      <c r="A1456" s="24" t="n"/>
      <c r="B1456" s="27" t="n"/>
      <c r="C1456" s="24" t="n"/>
      <c r="D1456" s="28" t="n"/>
      <c r="E1456" s="29" t="n"/>
      <c r="F1456" s="24" t="n"/>
      <c r="G1456" s="24" t="n"/>
      <c r="H1456" s="21">
        <f>IF(ISNUMBER($B1456),INT($B1456)-WEEKDAY($B1456,2)+1,"")</f>
        <v/>
      </c>
      <c r="I1456" s="24" t="n"/>
      <c r="J1456" s="22">
        <f t="array" ref="J1456">IF($D1456="","",IF($I1456="","(trống REF)",IFERROR(INDEX(MASTER_SOURCE!$B$2:$B$495,MATCH($I1456,MASTER_SOURCE!$A$2:$A$495,0)),"(REF không có trong MASTER_SOURCE)")))</f>
        <v/>
      </c>
      <c r="K1456" s="22">
        <f t="array" ref="K1456">IF($D1456="","",IFERROR(INDEX(MASTER_SOURCE!$C$2:$C$495,MATCH($I1456,MASTER_SOURCE!$A$2:$A$495,0)),""))</f>
        <v/>
      </c>
      <c r="L1456" s="22">
        <f t="array" ref="L1456">IF($D1456="","",IFERROR(INDEX(MASTER_SOURCE!$D$2:$D$495,MATCH($I1456,MASTER_SOURCE!$A$2:$A$495,0)),""))</f>
        <v/>
      </c>
      <c r="M1456" s="24" t="n"/>
      <c r="N1456" s="24" t="n"/>
      <c r="O1456" s="24" t="n"/>
      <c r="P1456" s="24" t="n"/>
      <c r="Q1456" s="22">
        <f>IF($D1456="","",IF(AND(OR(DANH_MUC!$L$5&lt;&gt;"Có",M1456="Có"),OR(DANH_MUC!$L$6&lt;&gt;"Có",N1456="Có"),OR(DANH_MUC!$L$7&lt;&gt;"Có",O1456="Có"),OR(DANH_MUC!$L$8&lt;&gt;"Có",P1456="Có")),"Có","Không"))</f>
        <v/>
      </c>
      <c r="R1456" s="22">
        <f>IF($D1456="","",IF(COUNTIF($D$2:$D1456,$D1456)&gt;1,"Trùng",""))</f>
        <v/>
      </c>
      <c r="S1456" s="22">
        <f>IF($D1456="","",IF(AND(LEN($D1456)=10,LEFT($D1456,1)="0",ISNUMBER(--$D1456)),"Có","Không"))</f>
        <v/>
      </c>
      <c r="T1456" s="22">
        <f>IF($D1456="","",IF(AND($C1456&lt;&gt;"",$Q1456="Có",$R1456="",$S1456="Có",AND($L1456&lt;&gt;"",OR($L1456&lt;&gt;"Chưa xác định",DANH_MUC!$L$9="Có"))),"Có","Không"))</f>
        <v/>
      </c>
      <c r="U1456" s="22">
        <f>IF(OR($D1456="",$T1456="Có"),"",IF($C1456="","Thiếu họ tên; ","")&amp;IF($S1456&lt;&gt;"Có","SĐT sai định dạng; ","")&amp;IF($R1456="Trùng","Trùng SĐT; ","")&amp;IF($Q1456&lt;&gt;"Có","Thiếu đồng ý bắt buộc; ","")&amp;IF($L1456="","Thiếu/sai Mã REF; ",IF(AND($L1456="Chưa xác định",DANH_MUC!$L$9&lt;&gt;"Có"),"Nguồn chưa xác định; ","")))</f>
        <v/>
      </c>
      <c r="V1456" s="22">
        <f>IF(OR($D1456="",$R1456="Trùng"),"",IF(COUNTIF(ORDERS!$C$2:$C$4995,$D1456)&gt;0,"Có","Không"))</f>
        <v/>
      </c>
      <c r="W1456" s="22">
        <f>IF(OR($D1456="",$R1456="Trùng"),"",COUNTIFS(ORDERS!$C$2:$C$4995,$D1456,ORDERS!$L$2:$L$4995,"Đã chuyển khoản"))</f>
        <v/>
      </c>
      <c r="X1456" s="23">
        <f>IF(OR($D1456="",$R1456="Trùng"),"",SUMIFS(ORDERS!$J$2:$J$4995,ORDERS!$C$2:$C$4995,$D1456,ORDERS!$L$2:$L$4995,"Đã chuyển khoản"))</f>
        <v/>
      </c>
      <c r="Y1456" s="24" t="n"/>
    </row>
    <row r="1457" ht="14.25" customHeight="1" s="40">
      <c r="A1457" s="24" t="n"/>
      <c r="B1457" s="27" t="n"/>
      <c r="C1457" s="24" t="n"/>
      <c r="D1457" s="28" t="n"/>
      <c r="E1457" s="29" t="n"/>
      <c r="F1457" s="24" t="n"/>
      <c r="G1457" s="24" t="n"/>
      <c r="H1457" s="21">
        <f>IF(ISNUMBER($B1457),INT($B1457)-WEEKDAY($B1457,2)+1,"")</f>
        <v/>
      </c>
      <c r="I1457" s="24" t="n"/>
      <c r="J1457" s="22">
        <f t="array" ref="J1457">IF($D1457="","",IF($I1457="","(trống REF)",IFERROR(INDEX(MASTER_SOURCE!$B$2:$B$495,MATCH($I1457,MASTER_SOURCE!$A$2:$A$495,0)),"(REF không có trong MASTER_SOURCE)")))</f>
        <v/>
      </c>
      <c r="K1457" s="22">
        <f t="array" ref="K1457">IF($D1457="","",IFERROR(INDEX(MASTER_SOURCE!$C$2:$C$495,MATCH($I1457,MASTER_SOURCE!$A$2:$A$495,0)),""))</f>
        <v/>
      </c>
      <c r="L1457" s="22">
        <f t="array" ref="L1457">IF($D1457="","",IFERROR(INDEX(MASTER_SOURCE!$D$2:$D$495,MATCH($I1457,MASTER_SOURCE!$A$2:$A$495,0)),""))</f>
        <v/>
      </c>
      <c r="M1457" s="24" t="n"/>
      <c r="N1457" s="24" t="n"/>
      <c r="O1457" s="24" t="n"/>
      <c r="P1457" s="24" t="n"/>
      <c r="Q1457" s="22">
        <f>IF($D1457="","",IF(AND(OR(DANH_MUC!$L$5&lt;&gt;"Có",M1457="Có"),OR(DANH_MUC!$L$6&lt;&gt;"Có",N1457="Có"),OR(DANH_MUC!$L$7&lt;&gt;"Có",O1457="Có"),OR(DANH_MUC!$L$8&lt;&gt;"Có",P1457="Có")),"Có","Không"))</f>
        <v/>
      </c>
      <c r="R1457" s="22">
        <f>IF($D1457="","",IF(COUNTIF($D$2:$D1457,$D1457)&gt;1,"Trùng",""))</f>
        <v/>
      </c>
      <c r="S1457" s="22">
        <f>IF($D1457="","",IF(AND(LEN($D1457)=10,LEFT($D1457,1)="0",ISNUMBER(--$D1457)),"Có","Không"))</f>
        <v/>
      </c>
      <c r="T1457" s="22">
        <f>IF($D1457="","",IF(AND($C1457&lt;&gt;"",$Q1457="Có",$R1457="",$S1457="Có",AND($L1457&lt;&gt;"",OR($L1457&lt;&gt;"Chưa xác định",DANH_MUC!$L$9="Có"))),"Có","Không"))</f>
        <v/>
      </c>
      <c r="U1457" s="22">
        <f>IF(OR($D1457="",$T1457="Có"),"",IF($C1457="","Thiếu họ tên; ","")&amp;IF($S1457&lt;&gt;"Có","SĐT sai định dạng; ","")&amp;IF($R1457="Trùng","Trùng SĐT; ","")&amp;IF($Q1457&lt;&gt;"Có","Thiếu đồng ý bắt buộc; ","")&amp;IF($L1457="","Thiếu/sai Mã REF; ",IF(AND($L1457="Chưa xác định",DANH_MUC!$L$9&lt;&gt;"Có"),"Nguồn chưa xác định; ","")))</f>
        <v/>
      </c>
      <c r="V1457" s="22">
        <f>IF(OR($D1457="",$R1457="Trùng"),"",IF(COUNTIF(ORDERS!$C$2:$C$4995,$D1457)&gt;0,"Có","Không"))</f>
        <v/>
      </c>
      <c r="W1457" s="22">
        <f>IF(OR($D1457="",$R1457="Trùng"),"",COUNTIFS(ORDERS!$C$2:$C$4995,$D1457,ORDERS!$L$2:$L$4995,"Đã chuyển khoản"))</f>
        <v/>
      </c>
      <c r="X1457" s="23">
        <f>IF(OR($D1457="",$R1457="Trùng"),"",SUMIFS(ORDERS!$J$2:$J$4995,ORDERS!$C$2:$C$4995,$D1457,ORDERS!$L$2:$L$4995,"Đã chuyển khoản"))</f>
        <v/>
      </c>
      <c r="Y1457" s="24" t="n"/>
    </row>
    <row r="1458" ht="14.25" customHeight="1" s="40">
      <c r="A1458" s="24" t="n"/>
      <c r="B1458" s="27" t="n"/>
      <c r="C1458" s="24" t="n"/>
      <c r="D1458" s="28" t="n"/>
      <c r="E1458" s="29" t="n"/>
      <c r="F1458" s="24" t="n"/>
      <c r="G1458" s="24" t="n"/>
      <c r="H1458" s="21">
        <f>IF(ISNUMBER($B1458),INT($B1458)-WEEKDAY($B1458,2)+1,"")</f>
        <v/>
      </c>
      <c r="I1458" s="24" t="n"/>
      <c r="J1458" s="22">
        <f t="array" ref="J1458">IF($D1458="","",IF($I1458="","(trống REF)",IFERROR(INDEX(MASTER_SOURCE!$B$2:$B$495,MATCH($I1458,MASTER_SOURCE!$A$2:$A$495,0)),"(REF không có trong MASTER_SOURCE)")))</f>
        <v/>
      </c>
      <c r="K1458" s="22">
        <f t="array" ref="K1458">IF($D1458="","",IFERROR(INDEX(MASTER_SOURCE!$C$2:$C$495,MATCH($I1458,MASTER_SOURCE!$A$2:$A$495,0)),""))</f>
        <v/>
      </c>
      <c r="L1458" s="22">
        <f t="array" ref="L1458">IF($D1458="","",IFERROR(INDEX(MASTER_SOURCE!$D$2:$D$495,MATCH($I1458,MASTER_SOURCE!$A$2:$A$495,0)),""))</f>
        <v/>
      </c>
      <c r="M1458" s="24" t="n"/>
      <c r="N1458" s="24" t="n"/>
      <c r="O1458" s="24" t="n"/>
      <c r="P1458" s="24" t="n"/>
      <c r="Q1458" s="22">
        <f>IF($D1458="","",IF(AND(OR(DANH_MUC!$L$5&lt;&gt;"Có",M1458="Có"),OR(DANH_MUC!$L$6&lt;&gt;"Có",N1458="Có"),OR(DANH_MUC!$L$7&lt;&gt;"Có",O1458="Có"),OR(DANH_MUC!$L$8&lt;&gt;"Có",P1458="Có")),"Có","Không"))</f>
        <v/>
      </c>
      <c r="R1458" s="22">
        <f>IF($D1458="","",IF(COUNTIF($D$2:$D1458,$D1458)&gt;1,"Trùng",""))</f>
        <v/>
      </c>
      <c r="S1458" s="22">
        <f>IF($D1458="","",IF(AND(LEN($D1458)=10,LEFT($D1458,1)="0",ISNUMBER(--$D1458)),"Có","Không"))</f>
        <v/>
      </c>
      <c r="T1458" s="22">
        <f>IF($D1458="","",IF(AND($C1458&lt;&gt;"",$Q1458="Có",$R1458="",$S1458="Có",AND($L1458&lt;&gt;"",OR($L1458&lt;&gt;"Chưa xác định",DANH_MUC!$L$9="Có"))),"Có","Không"))</f>
        <v/>
      </c>
      <c r="U1458" s="22">
        <f>IF(OR($D1458="",$T1458="Có"),"",IF($C1458="","Thiếu họ tên; ","")&amp;IF($S1458&lt;&gt;"Có","SĐT sai định dạng; ","")&amp;IF($R1458="Trùng","Trùng SĐT; ","")&amp;IF($Q1458&lt;&gt;"Có","Thiếu đồng ý bắt buộc; ","")&amp;IF($L1458="","Thiếu/sai Mã REF; ",IF(AND($L1458="Chưa xác định",DANH_MUC!$L$9&lt;&gt;"Có"),"Nguồn chưa xác định; ","")))</f>
        <v/>
      </c>
      <c r="V1458" s="22">
        <f>IF(OR($D1458="",$R1458="Trùng"),"",IF(COUNTIF(ORDERS!$C$2:$C$4995,$D1458)&gt;0,"Có","Không"))</f>
        <v/>
      </c>
      <c r="W1458" s="22">
        <f>IF(OR($D1458="",$R1458="Trùng"),"",COUNTIFS(ORDERS!$C$2:$C$4995,$D1458,ORDERS!$L$2:$L$4995,"Đã chuyển khoản"))</f>
        <v/>
      </c>
      <c r="X1458" s="23">
        <f>IF(OR($D1458="",$R1458="Trùng"),"",SUMIFS(ORDERS!$J$2:$J$4995,ORDERS!$C$2:$C$4995,$D1458,ORDERS!$L$2:$L$4995,"Đã chuyển khoản"))</f>
        <v/>
      </c>
      <c r="Y1458" s="24" t="n"/>
    </row>
    <row r="1459" ht="14.25" customHeight="1" s="40">
      <c r="A1459" s="24" t="n"/>
      <c r="B1459" s="27" t="n"/>
      <c r="C1459" s="24" t="n"/>
      <c r="D1459" s="28" t="n"/>
      <c r="E1459" s="29" t="n"/>
      <c r="F1459" s="24" t="n"/>
      <c r="G1459" s="24" t="n"/>
      <c r="H1459" s="21">
        <f>IF(ISNUMBER($B1459),INT($B1459)-WEEKDAY($B1459,2)+1,"")</f>
        <v/>
      </c>
      <c r="I1459" s="24" t="n"/>
      <c r="J1459" s="22">
        <f t="array" ref="J1459">IF($D1459="","",IF($I1459="","(trống REF)",IFERROR(INDEX(MASTER_SOURCE!$B$2:$B$495,MATCH($I1459,MASTER_SOURCE!$A$2:$A$495,0)),"(REF không có trong MASTER_SOURCE)")))</f>
        <v/>
      </c>
      <c r="K1459" s="22">
        <f t="array" ref="K1459">IF($D1459="","",IFERROR(INDEX(MASTER_SOURCE!$C$2:$C$495,MATCH($I1459,MASTER_SOURCE!$A$2:$A$495,0)),""))</f>
        <v/>
      </c>
      <c r="L1459" s="22">
        <f t="array" ref="L1459">IF($D1459="","",IFERROR(INDEX(MASTER_SOURCE!$D$2:$D$495,MATCH($I1459,MASTER_SOURCE!$A$2:$A$495,0)),""))</f>
        <v/>
      </c>
      <c r="M1459" s="24" t="n"/>
      <c r="N1459" s="24" t="n"/>
      <c r="O1459" s="24" t="n"/>
      <c r="P1459" s="24" t="n"/>
      <c r="Q1459" s="22">
        <f>IF($D1459="","",IF(AND(OR(DANH_MUC!$L$5&lt;&gt;"Có",M1459="Có"),OR(DANH_MUC!$L$6&lt;&gt;"Có",N1459="Có"),OR(DANH_MUC!$L$7&lt;&gt;"Có",O1459="Có"),OR(DANH_MUC!$L$8&lt;&gt;"Có",P1459="Có")),"Có","Không"))</f>
        <v/>
      </c>
      <c r="R1459" s="22">
        <f>IF($D1459="","",IF(COUNTIF($D$2:$D1459,$D1459)&gt;1,"Trùng",""))</f>
        <v/>
      </c>
      <c r="S1459" s="22">
        <f>IF($D1459="","",IF(AND(LEN($D1459)=10,LEFT($D1459,1)="0",ISNUMBER(--$D1459)),"Có","Không"))</f>
        <v/>
      </c>
      <c r="T1459" s="22">
        <f>IF($D1459="","",IF(AND($C1459&lt;&gt;"",$Q1459="Có",$R1459="",$S1459="Có",AND($L1459&lt;&gt;"",OR($L1459&lt;&gt;"Chưa xác định",DANH_MUC!$L$9="Có"))),"Có","Không"))</f>
        <v/>
      </c>
      <c r="U1459" s="22">
        <f>IF(OR($D1459="",$T1459="Có"),"",IF($C1459="","Thiếu họ tên; ","")&amp;IF($S1459&lt;&gt;"Có","SĐT sai định dạng; ","")&amp;IF($R1459="Trùng","Trùng SĐT; ","")&amp;IF($Q1459&lt;&gt;"Có","Thiếu đồng ý bắt buộc; ","")&amp;IF($L1459="","Thiếu/sai Mã REF; ",IF(AND($L1459="Chưa xác định",DANH_MUC!$L$9&lt;&gt;"Có"),"Nguồn chưa xác định; ","")))</f>
        <v/>
      </c>
      <c r="V1459" s="22">
        <f>IF(OR($D1459="",$R1459="Trùng"),"",IF(COUNTIF(ORDERS!$C$2:$C$4995,$D1459)&gt;0,"Có","Không"))</f>
        <v/>
      </c>
      <c r="W1459" s="22">
        <f>IF(OR($D1459="",$R1459="Trùng"),"",COUNTIFS(ORDERS!$C$2:$C$4995,$D1459,ORDERS!$L$2:$L$4995,"Đã chuyển khoản"))</f>
        <v/>
      </c>
      <c r="X1459" s="23">
        <f>IF(OR($D1459="",$R1459="Trùng"),"",SUMIFS(ORDERS!$J$2:$J$4995,ORDERS!$C$2:$C$4995,$D1459,ORDERS!$L$2:$L$4995,"Đã chuyển khoản"))</f>
        <v/>
      </c>
      <c r="Y1459" s="24" t="n"/>
    </row>
    <row r="1460" ht="14.25" customHeight="1" s="40">
      <c r="A1460" s="24" t="n"/>
      <c r="B1460" s="27" t="n"/>
      <c r="C1460" s="24" t="n"/>
      <c r="D1460" s="28" t="n"/>
      <c r="E1460" s="29" t="n"/>
      <c r="F1460" s="24" t="n"/>
      <c r="G1460" s="24" t="n"/>
      <c r="H1460" s="21">
        <f>IF(ISNUMBER($B1460),INT($B1460)-WEEKDAY($B1460,2)+1,"")</f>
        <v/>
      </c>
      <c r="I1460" s="24" t="n"/>
      <c r="J1460" s="22">
        <f t="array" ref="J1460">IF($D1460="","",IF($I1460="","(trống REF)",IFERROR(INDEX(MASTER_SOURCE!$B$2:$B$495,MATCH($I1460,MASTER_SOURCE!$A$2:$A$495,0)),"(REF không có trong MASTER_SOURCE)")))</f>
        <v/>
      </c>
      <c r="K1460" s="22">
        <f t="array" ref="K1460">IF($D1460="","",IFERROR(INDEX(MASTER_SOURCE!$C$2:$C$495,MATCH($I1460,MASTER_SOURCE!$A$2:$A$495,0)),""))</f>
        <v/>
      </c>
      <c r="L1460" s="22">
        <f t="array" ref="L1460">IF($D1460="","",IFERROR(INDEX(MASTER_SOURCE!$D$2:$D$495,MATCH($I1460,MASTER_SOURCE!$A$2:$A$495,0)),""))</f>
        <v/>
      </c>
      <c r="M1460" s="24" t="n"/>
      <c r="N1460" s="24" t="n"/>
      <c r="O1460" s="24" t="n"/>
      <c r="P1460" s="24" t="n"/>
      <c r="Q1460" s="22">
        <f>IF($D1460="","",IF(AND(OR(DANH_MUC!$L$5&lt;&gt;"Có",M1460="Có"),OR(DANH_MUC!$L$6&lt;&gt;"Có",N1460="Có"),OR(DANH_MUC!$L$7&lt;&gt;"Có",O1460="Có"),OR(DANH_MUC!$L$8&lt;&gt;"Có",P1460="Có")),"Có","Không"))</f>
        <v/>
      </c>
      <c r="R1460" s="22">
        <f>IF($D1460="","",IF(COUNTIF($D$2:$D1460,$D1460)&gt;1,"Trùng",""))</f>
        <v/>
      </c>
      <c r="S1460" s="22">
        <f>IF($D1460="","",IF(AND(LEN($D1460)=10,LEFT($D1460,1)="0",ISNUMBER(--$D1460)),"Có","Không"))</f>
        <v/>
      </c>
      <c r="T1460" s="22">
        <f>IF($D1460="","",IF(AND($C1460&lt;&gt;"",$Q1460="Có",$R1460="",$S1460="Có",AND($L1460&lt;&gt;"",OR($L1460&lt;&gt;"Chưa xác định",DANH_MUC!$L$9="Có"))),"Có","Không"))</f>
        <v/>
      </c>
      <c r="U1460" s="22">
        <f>IF(OR($D1460="",$T1460="Có"),"",IF($C1460="","Thiếu họ tên; ","")&amp;IF($S1460&lt;&gt;"Có","SĐT sai định dạng; ","")&amp;IF($R1460="Trùng","Trùng SĐT; ","")&amp;IF($Q1460&lt;&gt;"Có","Thiếu đồng ý bắt buộc; ","")&amp;IF($L1460="","Thiếu/sai Mã REF; ",IF(AND($L1460="Chưa xác định",DANH_MUC!$L$9&lt;&gt;"Có"),"Nguồn chưa xác định; ","")))</f>
        <v/>
      </c>
      <c r="V1460" s="22">
        <f>IF(OR($D1460="",$R1460="Trùng"),"",IF(COUNTIF(ORDERS!$C$2:$C$4995,$D1460)&gt;0,"Có","Không"))</f>
        <v/>
      </c>
      <c r="W1460" s="22">
        <f>IF(OR($D1460="",$R1460="Trùng"),"",COUNTIFS(ORDERS!$C$2:$C$4995,$D1460,ORDERS!$L$2:$L$4995,"Đã chuyển khoản"))</f>
        <v/>
      </c>
      <c r="X1460" s="23">
        <f>IF(OR($D1460="",$R1460="Trùng"),"",SUMIFS(ORDERS!$J$2:$J$4995,ORDERS!$C$2:$C$4995,$D1460,ORDERS!$L$2:$L$4995,"Đã chuyển khoản"))</f>
        <v/>
      </c>
      <c r="Y1460" s="24" t="n"/>
    </row>
    <row r="1461" ht="14.25" customHeight="1" s="40">
      <c r="A1461" s="24" t="n"/>
      <c r="B1461" s="27" t="n"/>
      <c r="C1461" s="24" t="n"/>
      <c r="D1461" s="28" t="n"/>
      <c r="E1461" s="29" t="n"/>
      <c r="F1461" s="24" t="n"/>
      <c r="G1461" s="24" t="n"/>
      <c r="H1461" s="21">
        <f>IF(ISNUMBER($B1461),INT($B1461)-WEEKDAY($B1461,2)+1,"")</f>
        <v/>
      </c>
      <c r="I1461" s="24" t="n"/>
      <c r="J1461" s="22">
        <f t="array" ref="J1461">IF($D1461="","",IF($I1461="","(trống REF)",IFERROR(INDEX(MASTER_SOURCE!$B$2:$B$495,MATCH($I1461,MASTER_SOURCE!$A$2:$A$495,0)),"(REF không có trong MASTER_SOURCE)")))</f>
        <v/>
      </c>
      <c r="K1461" s="22">
        <f t="array" ref="K1461">IF($D1461="","",IFERROR(INDEX(MASTER_SOURCE!$C$2:$C$495,MATCH($I1461,MASTER_SOURCE!$A$2:$A$495,0)),""))</f>
        <v/>
      </c>
      <c r="L1461" s="22">
        <f t="array" ref="L1461">IF($D1461="","",IFERROR(INDEX(MASTER_SOURCE!$D$2:$D$495,MATCH($I1461,MASTER_SOURCE!$A$2:$A$495,0)),""))</f>
        <v/>
      </c>
      <c r="M1461" s="24" t="n"/>
      <c r="N1461" s="24" t="n"/>
      <c r="O1461" s="24" t="n"/>
      <c r="P1461" s="24" t="n"/>
      <c r="Q1461" s="22">
        <f>IF($D1461="","",IF(AND(OR(DANH_MUC!$L$5&lt;&gt;"Có",M1461="Có"),OR(DANH_MUC!$L$6&lt;&gt;"Có",N1461="Có"),OR(DANH_MUC!$L$7&lt;&gt;"Có",O1461="Có"),OR(DANH_MUC!$L$8&lt;&gt;"Có",P1461="Có")),"Có","Không"))</f>
        <v/>
      </c>
      <c r="R1461" s="22">
        <f>IF($D1461="","",IF(COUNTIF($D$2:$D1461,$D1461)&gt;1,"Trùng",""))</f>
        <v/>
      </c>
      <c r="S1461" s="22">
        <f>IF($D1461="","",IF(AND(LEN($D1461)=10,LEFT($D1461,1)="0",ISNUMBER(--$D1461)),"Có","Không"))</f>
        <v/>
      </c>
      <c r="T1461" s="22">
        <f>IF($D1461="","",IF(AND($C1461&lt;&gt;"",$Q1461="Có",$R1461="",$S1461="Có",AND($L1461&lt;&gt;"",OR($L1461&lt;&gt;"Chưa xác định",DANH_MUC!$L$9="Có"))),"Có","Không"))</f>
        <v/>
      </c>
      <c r="U1461" s="22">
        <f>IF(OR($D1461="",$T1461="Có"),"",IF($C1461="","Thiếu họ tên; ","")&amp;IF($S1461&lt;&gt;"Có","SĐT sai định dạng; ","")&amp;IF($R1461="Trùng","Trùng SĐT; ","")&amp;IF($Q1461&lt;&gt;"Có","Thiếu đồng ý bắt buộc; ","")&amp;IF($L1461="","Thiếu/sai Mã REF; ",IF(AND($L1461="Chưa xác định",DANH_MUC!$L$9&lt;&gt;"Có"),"Nguồn chưa xác định; ","")))</f>
        <v/>
      </c>
      <c r="V1461" s="22">
        <f>IF(OR($D1461="",$R1461="Trùng"),"",IF(COUNTIF(ORDERS!$C$2:$C$4995,$D1461)&gt;0,"Có","Không"))</f>
        <v/>
      </c>
      <c r="W1461" s="22">
        <f>IF(OR($D1461="",$R1461="Trùng"),"",COUNTIFS(ORDERS!$C$2:$C$4995,$D1461,ORDERS!$L$2:$L$4995,"Đã chuyển khoản"))</f>
        <v/>
      </c>
      <c r="X1461" s="23">
        <f>IF(OR($D1461="",$R1461="Trùng"),"",SUMIFS(ORDERS!$J$2:$J$4995,ORDERS!$C$2:$C$4995,$D1461,ORDERS!$L$2:$L$4995,"Đã chuyển khoản"))</f>
        <v/>
      </c>
      <c r="Y1461" s="24" t="n"/>
    </row>
    <row r="1462" ht="14.25" customHeight="1" s="40">
      <c r="A1462" s="24" t="n"/>
      <c r="B1462" s="27" t="n"/>
      <c r="C1462" s="24" t="n"/>
      <c r="D1462" s="28" t="n"/>
      <c r="E1462" s="29" t="n"/>
      <c r="F1462" s="24" t="n"/>
      <c r="G1462" s="24" t="n"/>
      <c r="H1462" s="21">
        <f>IF(ISNUMBER($B1462),INT($B1462)-WEEKDAY($B1462,2)+1,"")</f>
        <v/>
      </c>
      <c r="I1462" s="24" t="n"/>
      <c r="J1462" s="22">
        <f t="array" ref="J1462">IF($D1462="","",IF($I1462="","(trống REF)",IFERROR(INDEX(MASTER_SOURCE!$B$2:$B$495,MATCH($I1462,MASTER_SOURCE!$A$2:$A$495,0)),"(REF không có trong MASTER_SOURCE)")))</f>
        <v/>
      </c>
      <c r="K1462" s="22">
        <f t="array" ref="K1462">IF($D1462="","",IFERROR(INDEX(MASTER_SOURCE!$C$2:$C$495,MATCH($I1462,MASTER_SOURCE!$A$2:$A$495,0)),""))</f>
        <v/>
      </c>
      <c r="L1462" s="22">
        <f t="array" ref="L1462">IF($D1462="","",IFERROR(INDEX(MASTER_SOURCE!$D$2:$D$495,MATCH($I1462,MASTER_SOURCE!$A$2:$A$495,0)),""))</f>
        <v/>
      </c>
      <c r="M1462" s="24" t="n"/>
      <c r="N1462" s="24" t="n"/>
      <c r="O1462" s="24" t="n"/>
      <c r="P1462" s="24" t="n"/>
      <c r="Q1462" s="22">
        <f>IF($D1462="","",IF(AND(OR(DANH_MUC!$L$5&lt;&gt;"Có",M1462="Có"),OR(DANH_MUC!$L$6&lt;&gt;"Có",N1462="Có"),OR(DANH_MUC!$L$7&lt;&gt;"Có",O1462="Có"),OR(DANH_MUC!$L$8&lt;&gt;"Có",P1462="Có")),"Có","Không"))</f>
        <v/>
      </c>
      <c r="R1462" s="22">
        <f>IF($D1462="","",IF(COUNTIF($D$2:$D1462,$D1462)&gt;1,"Trùng",""))</f>
        <v/>
      </c>
      <c r="S1462" s="22">
        <f>IF($D1462="","",IF(AND(LEN($D1462)=10,LEFT($D1462,1)="0",ISNUMBER(--$D1462)),"Có","Không"))</f>
        <v/>
      </c>
      <c r="T1462" s="22">
        <f>IF($D1462="","",IF(AND($C1462&lt;&gt;"",$Q1462="Có",$R1462="",$S1462="Có",AND($L1462&lt;&gt;"",OR($L1462&lt;&gt;"Chưa xác định",DANH_MUC!$L$9="Có"))),"Có","Không"))</f>
        <v/>
      </c>
      <c r="U1462" s="22">
        <f>IF(OR($D1462="",$T1462="Có"),"",IF($C1462="","Thiếu họ tên; ","")&amp;IF($S1462&lt;&gt;"Có","SĐT sai định dạng; ","")&amp;IF($R1462="Trùng","Trùng SĐT; ","")&amp;IF($Q1462&lt;&gt;"Có","Thiếu đồng ý bắt buộc; ","")&amp;IF($L1462="","Thiếu/sai Mã REF; ",IF(AND($L1462="Chưa xác định",DANH_MUC!$L$9&lt;&gt;"Có"),"Nguồn chưa xác định; ","")))</f>
        <v/>
      </c>
      <c r="V1462" s="22">
        <f>IF(OR($D1462="",$R1462="Trùng"),"",IF(COUNTIF(ORDERS!$C$2:$C$4995,$D1462)&gt;0,"Có","Không"))</f>
        <v/>
      </c>
      <c r="W1462" s="22">
        <f>IF(OR($D1462="",$R1462="Trùng"),"",COUNTIFS(ORDERS!$C$2:$C$4995,$D1462,ORDERS!$L$2:$L$4995,"Đã chuyển khoản"))</f>
        <v/>
      </c>
      <c r="X1462" s="23">
        <f>IF(OR($D1462="",$R1462="Trùng"),"",SUMIFS(ORDERS!$J$2:$J$4995,ORDERS!$C$2:$C$4995,$D1462,ORDERS!$L$2:$L$4995,"Đã chuyển khoản"))</f>
        <v/>
      </c>
      <c r="Y1462" s="24" t="n"/>
    </row>
    <row r="1463" ht="14.25" customHeight="1" s="40">
      <c r="A1463" s="24" t="n"/>
      <c r="B1463" s="27" t="n"/>
      <c r="C1463" s="24" t="n"/>
      <c r="D1463" s="28" t="n"/>
      <c r="E1463" s="29" t="n"/>
      <c r="F1463" s="24" t="n"/>
      <c r="G1463" s="24" t="n"/>
      <c r="H1463" s="21">
        <f>IF(ISNUMBER($B1463),INT($B1463)-WEEKDAY($B1463,2)+1,"")</f>
        <v/>
      </c>
      <c r="I1463" s="24" t="n"/>
      <c r="J1463" s="22">
        <f t="array" ref="J1463">IF($D1463="","",IF($I1463="","(trống REF)",IFERROR(INDEX(MASTER_SOURCE!$B$2:$B$495,MATCH($I1463,MASTER_SOURCE!$A$2:$A$495,0)),"(REF không có trong MASTER_SOURCE)")))</f>
        <v/>
      </c>
      <c r="K1463" s="22">
        <f t="array" ref="K1463">IF($D1463="","",IFERROR(INDEX(MASTER_SOURCE!$C$2:$C$495,MATCH($I1463,MASTER_SOURCE!$A$2:$A$495,0)),""))</f>
        <v/>
      </c>
      <c r="L1463" s="22">
        <f t="array" ref="L1463">IF($D1463="","",IFERROR(INDEX(MASTER_SOURCE!$D$2:$D$495,MATCH($I1463,MASTER_SOURCE!$A$2:$A$495,0)),""))</f>
        <v/>
      </c>
      <c r="M1463" s="24" t="n"/>
      <c r="N1463" s="24" t="n"/>
      <c r="O1463" s="24" t="n"/>
      <c r="P1463" s="24" t="n"/>
      <c r="Q1463" s="22">
        <f>IF($D1463="","",IF(AND(OR(DANH_MUC!$L$5&lt;&gt;"Có",M1463="Có"),OR(DANH_MUC!$L$6&lt;&gt;"Có",N1463="Có"),OR(DANH_MUC!$L$7&lt;&gt;"Có",O1463="Có"),OR(DANH_MUC!$L$8&lt;&gt;"Có",P1463="Có")),"Có","Không"))</f>
        <v/>
      </c>
      <c r="R1463" s="22">
        <f>IF($D1463="","",IF(COUNTIF($D$2:$D1463,$D1463)&gt;1,"Trùng",""))</f>
        <v/>
      </c>
      <c r="S1463" s="22">
        <f>IF($D1463="","",IF(AND(LEN($D1463)=10,LEFT($D1463,1)="0",ISNUMBER(--$D1463)),"Có","Không"))</f>
        <v/>
      </c>
      <c r="T1463" s="22">
        <f>IF($D1463="","",IF(AND($C1463&lt;&gt;"",$Q1463="Có",$R1463="",$S1463="Có",AND($L1463&lt;&gt;"",OR($L1463&lt;&gt;"Chưa xác định",DANH_MUC!$L$9="Có"))),"Có","Không"))</f>
        <v/>
      </c>
      <c r="U1463" s="22">
        <f>IF(OR($D1463="",$T1463="Có"),"",IF($C1463="","Thiếu họ tên; ","")&amp;IF($S1463&lt;&gt;"Có","SĐT sai định dạng; ","")&amp;IF($R1463="Trùng","Trùng SĐT; ","")&amp;IF($Q1463&lt;&gt;"Có","Thiếu đồng ý bắt buộc; ","")&amp;IF($L1463="","Thiếu/sai Mã REF; ",IF(AND($L1463="Chưa xác định",DANH_MUC!$L$9&lt;&gt;"Có"),"Nguồn chưa xác định; ","")))</f>
        <v/>
      </c>
      <c r="V1463" s="22">
        <f>IF(OR($D1463="",$R1463="Trùng"),"",IF(COUNTIF(ORDERS!$C$2:$C$4995,$D1463)&gt;0,"Có","Không"))</f>
        <v/>
      </c>
      <c r="W1463" s="22">
        <f>IF(OR($D1463="",$R1463="Trùng"),"",COUNTIFS(ORDERS!$C$2:$C$4995,$D1463,ORDERS!$L$2:$L$4995,"Đã chuyển khoản"))</f>
        <v/>
      </c>
      <c r="X1463" s="23">
        <f>IF(OR($D1463="",$R1463="Trùng"),"",SUMIFS(ORDERS!$J$2:$J$4995,ORDERS!$C$2:$C$4995,$D1463,ORDERS!$L$2:$L$4995,"Đã chuyển khoản"))</f>
        <v/>
      </c>
      <c r="Y1463" s="24" t="n"/>
    </row>
    <row r="1464" ht="14.25" customHeight="1" s="40">
      <c r="A1464" s="24" t="n"/>
      <c r="B1464" s="27" t="n"/>
      <c r="C1464" s="24" t="n"/>
      <c r="D1464" s="28" t="n"/>
      <c r="E1464" s="29" t="n"/>
      <c r="F1464" s="24" t="n"/>
      <c r="G1464" s="24" t="n"/>
      <c r="H1464" s="21">
        <f>IF(ISNUMBER($B1464),INT($B1464)-WEEKDAY($B1464,2)+1,"")</f>
        <v/>
      </c>
      <c r="I1464" s="24" t="n"/>
      <c r="J1464" s="22">
        <f t="array" ref="J1464">IF($D1464="","",IF($I1464="","(trống REF)",IFERROR(INDEX(MASTER_SOURCE!$B$2:$B$495,MATCH($I1464,MASTER_SOURCE!$A$2:$A$495,0)),"(REF không có trong MASTER_SOURCE)")))</f>
        <v/>
      </c>
      <c r="K1464" s="22">
        <f t="array" ref="K1464">IF($D1464="","",IFERROR(INDEX(MASTER_SOURCE!$C$2:$C$495,MATCH($I1464,MASTER_SOURCE!$A$2:$A$495,0)),""))</f>
        <v/>
      </c>
      <c r="L1464" s="22">
        <f t="array" ref="L1464">IF($D1464="","",IFERROR(INDEX(MASTER_SOURCE!$D$2:$D$495,MATCH($I1464,MASTER_SOURCE!$A$2:$A$495,0)),""))</f>
        <v/>
      </c>
      <c r="M1464" s="24" t="n"/>
      <c r="N1464" s="24" t="n"/>
      <c r="O1464" s="24" t="n"/>
      <c r="P1464" s="24" t="n"/>
      <c r="Q1464" s="22">
        <f>IF($D1464="","",IF(AND(OR(DANH_MUC!$L$5&lt;&gt;"Có",M1464="Có"),OR(DANH_MUC!$L$6&lt;&gt;"Có",N1464="Có"),OR(DANH_MUC!$L$7&lt;&gt;"Có",O1464="Có"),OR(DANH_MUC!$L$8&lt;&gt;"Có",P1464="Có")),"Có","Không"))</f>
        <v/>
      </c>
      <c r="R1464" s="22">
        <f>IF($D1464="","",IF(COUNTIF($D$2:$D1464,$D1464)&gt;1,"Trùng",""))</f>
        <v/>
      </c>
      <c r="S1464" s="22">
        <f>IF($D1464="","",IF(AND(LEN($D1464)=10,LEFT($D1464,1)="0",ISNUMBER(--$D1464)),"Có","Không"))</f>
        <v/>
      </c>
      <c r="T1464" s="22">
        <f>IF($D1464="","",IF(AND($C1464&lt;&gt;"",$Q1464="Có",$R1464="",$S1464="Có",AND($L1464&lt;&gt;"",OR($L1464&lt;&gt;"Chưa xác định",DANH_MUC!$L$9="Có"))),"Có","Không"))</f>
        <v/>
      </c>
      <c r="U1464" s="22">
        <f>IF(OR($D1464="",$T1464="Có"),"",IF($C1464="","Thiếu họ tên; ","")&amp;IF($S1464&lt;&gt;"Có","SĐT sai định dạng; ","")&amp;IF($R1464="Trùng","Trùng SĐT; ","")&amp;IF($Q1464&lt;&gt;"Có","Thiếu đồng ý bắt buộc; ","")&amp;IF($L1464="","Thiếu/sai Mã REF; ",IF(AND($L1464="Chưa xác định",DANH_MUC!$L$9&lt;&gt;"Có"),"Nguồn chưa xác định; ","")))</f>
        <v/>
      </c>
      <c r="V1464" s="22">
        <f>IF(OR($D1464="",$R1464="Trùng"),"",IF(COUNTIF(ORDERS!$C$2:$C$4995,$D1464)&gt;0,"Có","Không"))</f>
        <v/>
      </c>
      <c r="W1464" s="22">
        <f>IF(OR($D1464="",$R1464="Trùng"),"",COUNTIFS(ORDERS!$C$2:$C$4995,$D1464,ORDERS!$L$2:$L$4995,"Đã chuyển khoản"))</f>
        <v/>
      </c>
      <c r="X1464" s="23">
        <f>IF(OR($D1464="",$R1464="Trùng"),"",SUMIFS(ORDERS!$J$2:$J$4995,ORDERS!$C$2:$C$4995,$D1464,ORDERS!$L$2:$L$4995,"Đã chuyển khoản"))</f>
        <v/>
      </c>
      <c r="Y1464" s="24" t="n"/>
    </row>
    <row r="1465" ht="14.25" customHeight="1" s="40">
      <c r="A1465" s="24" t="n"/>
      <c r="B1465" s="27" t="n"/>
      <c r="C1465" s="24" t="n"/>
      <c r="D1465" s="28" t="n"/>
      <c r="E1465" s="29" t="n"/>
      <c r="F1465" s="24" t="n"/>
      <c r="G1465" s="24" t="n"/>
      <c r="H1465" s="21">
        <f>IF(ISNUMBER($B1465),INT($B1465)-WEEKDAY($B1465,2)+1,"")</f>
        <v/>
      </c>
      <c r="I1465" s="24" t="n"/>
      <c r="J1465" s="22">
        <f t="array" ref="J1465">IF($D1465="","",IF($I1465="","(trống REF)",IFERROR(INDEX(MASTER_SOURCE!$B$2:$B$495,MATCH($I1465,MASTER_SOURCE!$A$2:$A$495,0)),"(REF không có trong MASTER_SOURCE)")))</f>
        <v/>
      </c>
      <c r="K1465" s="22">
        <f t="array" ref="K1465">IF($D1465="","",IFERROR(INDEX(MASTER_SOURCE!$C$2:$C$495,MATCH($I1465,MASTER_SOURCE!$A$2:$A$495,0)),""))</f>
        <v/>
      </c>
      <c r="L1465" s="22">
        <f t="array" ref="L1465">IF($D1465="","",IFERROR(INDEX(MASTER_SOURCE!$D$2:$D$495,MATCH($I1465,MASTER_SOURCE!$A$2:$A$495,0)),""))</f>
        <v/>
      </c>
      <c r="M1465" s="24" t="n"/>
      <c r="N1465" s="24" t="n"/>
      <c r="O1465" s="24" t="n"/>
      <c r="P1465" s="24" t="n"/>
      <c r="Q1465" s="22">
        <f>IF($D1465="","",IF(AND(OR(DANH_MUC!$L$5&lt;&gt;"Có",M1465="Có"),OR(DANH_MUC!$L$6&lt;&gt;"Có",N1465="Có"),OR(DANH_MUC!$L$7&lt;&gt;"Có",O1465="Có"),OR(DANH_MUC!$L$8&lt;&gt;"Có",P1465="Có")),"Có","Không"))</f>
        <v/>
      </c>
      <c r="R1465" s="22">
        <f>IF($D1465="","",IF(COUNTIF($D$2:$D1465,$D1465)&gt;1,"Trùng",""))</f>
        <v/>
      </c>
      <c r="S1465" s="22">
        <f>IF($D1465="","",IF(AND(LEN($D1465)=10,LEFT($D1465,1)="0",ISNUMBER(--$D1465)),"Có","Không"))</f>
        <v/>
      </c>
      <c r="T1465" s="22">
        <f>IF($D1465="","",IF(AND($C1465&lt;&gt;"",$Q1465="Có",$R1465="",$S1465="Có",AND($L1465&lt;&gt;"",OR($L1465&lt;&gt;"Chưa xác định",DANH_MUC!$L$9="Có"))),"Có","Không"))</f>
        <v/>
      </c>
      <c r="U1465" s="22">
        <f>IF(OR($D1465="",$T1465="Có"),"",IF($C1465="","Thiếu họ tên; ","")&amp;IF($S1465&lt;&gt;"Có","SĐT sai định dạng; ","")&amp;IF($R1465="Trùng","Trùng SĐT; ","")&amp;IF($Q1465&lt;&gt;"Có","Thiếu đồng ý bắt buộc; ","")&amp;IF($L1465="","Thiếu/sai Mã REF; ",IF(AND($L1465="Chưa xác định",DANH_MUC!$L$9&lt;&gt;"Có"),"Nguồn chưa xác định; ","")))</f>
        <v/>
      </c>
      <c r="V1465" s="22">
        <f>IF(OR($D1465="",$R1465="Trùng"),"",IF(COUNTIF(ORDERS!$C$2:$C$4995,$D1465)&gt;0,"Có","Không"))</f>
        <v/>
      </c>
      <c r="W1465" s="22">
        <f>IF(OR($D1465="",$R1465="Trùng"),"",COUNTIFS(ORDERS!$C$2:$C$4995,$D1465,ORDERS!$L$2:$L$4995,"Đã chuyển khoản"))</f>
        <v/>
      </c>
      <c r="X1465" s="23">
        <f>IF(OR($D1465="",$R1465="Trùng"),"",SUMIFS(ORDERS!$J$2:$J$4995,ORDERS!$C$2:$C$4995,$D1465,ORDERS!$L$2:$L$4995,"Đã chuyển khoản"))</f>
        <v/>
      </c>
      <c r="Y1465" s="24" t="n"/>
    </row>
    <row r="1466" ht="14.25" customHeight="1" s="40">
      <c r="A1466" s="24" t="n"/>
      <c r="B1466" s="27" t="n"/>
      <c r="C1466" s="24" t="n"/>
      <c r="D1466" s="28" t="n"/>
      <c r="E1466" s="29" t="n"/>
      <c r="F1466" s="24" t="n"/>
      <c r="G1466" s="24" t="n"/>
      <c r="H1466" s="21">
        <f>IF(ISNUMBER($B1466),INT($B1466)-WEEKDAY($B1466,2)+1,"")</f>
        <v/>
      </c>
      <c r="I1466" s="24" t="n"/>
      <c r="J1466" s="22">
        <f t="array" ref="J1466">IF($D1466="","",IF($I1466="","(trống REF)",IFERROR(INDEX(MASTER_SOURCE!$B$2:$B$495,MATCH($I1466,MASTER_SOURCE!$A$2:$A$495,0)),"(REF không có trong MASTER_SOURCE)")))</f>
        <v/>
      </c>
      <c r="K1466" s="22">
        <f t="array" ref="K1466">IF($D1466="","",IFERROR(INDEX(MASTER_SOURCE!$C$2:$C$495,MATCH($I1466,MASTER_SOURCE!$A$2:$A$495,0)),""))</f>
        <v/>
      </c>
      <c r="L1466" s="22">
        <f t="array" ref="L1466">IF($D1466="","",IFERROR(INDEX(MASTER_SOURCE!$D$2:$D$495,MATCH($I1466,MASTER_SOURCE!$A$2:$A$495,0)),""))</f>
        <v/>
      </c>
      <c r="M1466" s="24" t="n"/>
      <c r="N1466" s="24" t="n"/>
      <c r="O1466" s="24" t="n"/>
      <c r="P1466" s="24" t="n"/>
      <c r="Q1466" s="22">
        <f>IF($D1466="","",IF(AND(OR(DANH_MUC!$L$5&lt;&gt;"Có",M1466="Có"),OR(DANH_MUC!$L$6&lt;&gt;"Có",N1466="Có"),OR(DANH_MUC!$L$7&lt;&gt;"Có",O1466="Có"),OR(DANH_MUC!$L$8&lt;&gt;"Có",P1466="Có")),"Có","Không"))</f>
        <v/>
      </c>
      <c r="R1466" s="22">
        <f>IF($D1466="","",IF(COUNTIF($D$2:$D1466,$D1466)&gt;1,"Trùng",""))</f>
        <v/>
      </c>
      <c r="S1466" s="22">
        <f>IF($D1466="","",IF(AND(LEN($D1466)=10,LEFT($D1466,1)="0",ISNUMBER(--$D1466)),"Có","Không"))</f>
        <v/>
      </c>
      <c r="T1466" s="22">
        <f>IF($D1466="","",IF(AND($C1466&lt;&gt;"",$Q1466="Có",$R1466="",$S1466="Có",AND($L1466&lt;&gt;"",OR($L1466&lt;&gt;"Chưa xác định",DANH_MUC!$L$9="Có"))),"Có","Không"))</f>
        <v/>
      </c>
      <c r="U1466" s="22">
        <f>IF(OR($D1466="",$T1466="Có"),"",IF($C1466="","Thiếu họ tên; ","")&amp;IF($S1466&lt;&gt;"Có","SĐT sai định dạng; ","")&amp;IF($R1466="Trùng","Trùng SĐT; ","")&amp;IF($Q1466&lt;&gt;"Có","Thiếu đồng ý bắt buộc; ","")&amp;IF($L1466="","Thiếu/sai Mã REF; ",IF(AND($L1466="Chưa xác định",DANH_MUC!$L$9&lt;&gt;"Có"),"Nguồn chưa xác định; ","")))</f>
        <v/>
      </c>
      <c r="V1466" s="22">
        <f>IF(OR($D1466="",$R1466="Trùng"),"",IF(COUNTIF(ORDERS!$C$2:$C$4995,$D1466)&gt;0,"Có","Không"))</f>
        <v/>
      </c>
      <c r="W1466" s="22">
        <f>IF(OR($D1466="",$R1466="Trùng"),"",COUNTIFS(ORDERS!$C$2:$C$4995,$D1466,ORDERS!$L$2:$L$4995,"Đã chuyển khoản"))</f>
        <v/>
      </c>
      <c r="X1466" s="23">
        <f>IF(OR($D1466="",$R1466="Trùng"),"",SUMIFS(ORDERS!$J$2:$J$4995,ORDERS!$C$2:$C$4995,$D1466,ORDERS!$L$2:$L$4995,"Đã chuyển khoản"))</f>
        <v/>
      </c>
      <c r="Y1466" s="24" t="n"/>
    </row>
    <row r="1467" ht="14.25" customHeight="1" s="40">
      <c r="A1467" s="24" t="n"/>
      <c r="B1467" s="27" t="n"/>
      <c r="C1467" s="24" t="n"/>
      <c r="D1467" s="28" t="n"/>
      <c r="E1467" s="29" t="n"/>
      <c r="F1467" s="24" t="n"/>
      <c r="G1467" s="24" t="n"/>
      <c r="H1467" s="21">
        <f>IF(ISNUMBER($B1467),INT($B1467)-WEEKDAY($B1467,2)+1,"")</f>
        <v/>
      </c>
      <c r="I1467" s="24" t="n"/>
      <c r="J1467" s="22">
        <f t="array" ref="J1467">IF($D1467="","",IF($I1467="","(trống REF)",IFERROR(INDEX(MASTER_SOURCE!$B$2:$B$495,MATCH($I1467,MASTER_SOURCE!$A$2:$A$495,0)),"(REF không có trong MASTER_SOURCE)")))</f>
        <v/>
      </c>
      <c r="K1467" s="22">
        <f t="array" ref="K1467">IF($D1467="","",IFERROR(INDEX(MASTER_SOURCE!$C$2:$C$495,MATCH($I1467,MASTER_SOURCE!$A$2:$A$495,0)),""))</f>
        <v/>
      </c>
      <c r="L1467" s="22">
        <f t="array" ref="L1467">IF($D1467="","",IFERROR(INDEX(MASTER_SOURCE!$D$2:$D$495,MATCH($I1467,MASTER_SOURCE!$A$2:$A$495,0)),""))</f>
        <v/>
      </c>
      <c r="M1467" s="24" t="n"/>
      <c r="N1467" s="24" t="n"/>
      <c r="O1467" s="24" t="n"/>
      <c r="P1467" s="24" t="n"/>
      <c r="Q1467" s="22">
        <f>IF($D1467="","",IF(AND(OR(DANH_MUC!$L$5&lt;&gt;"Có",M1467="Có"),OR(DANH_MUC!$L$6&lt;&gt;"Có",N1467="Có"),OR(DANH_MUC!$L$7&lt;&gt;"Có",O1467="Có"),OR(DANH_MUC!$L$8&lt;&gt;"Có",P1467="Có")),"Có","Không"))</f>
        <v/>
      </c>
      <c r="R1467" s="22">
        <f>IF($D1467="","",IF(COUNTIF($D$2:$D1467,$D1467)&gt;1,"Trùng",""))</f>
        <v/>
      </c>
      <c r="S1467" s="22">
        <f>IF($D1467="","",IF(AND(LEN($D1467)=10,LEFT($D1467,1)="0",ISNUMBER(--$D1467)),"Có","Không"))</f>
        <v/>
      </c>
      <c r="T1467" s="22">
        <f>IF($D1467="","",IF(AND($C1467&lt;&gt;"",$Q1467="Có",$R1467="",$S1467="Có",AND($L1467&lt;&gt;"",OR($L1467&lt;&gt;"Chưa xác định",DANH_MUC!$L$9="Có"))),"Có","Không"))</f>
        <v/>
      </c>
      <c r="U1467" s="22">
        <f>IF(OR($D1467="",$T1467="Có"),"",IF($C1467="","Thiếu họ tên; ","")&amp;IF($S1467&lt;&gt;"Có","SĐT sai định dạng; ","")&amp;IF($R1467="Trùng","Trùng SĐT; ","")&amp;IF($Q1467&lt;&gt;"Có","Thiếu đồng ý bắt buộc; ","")&amp;IF($L1467="","Thiếu/sai Mã REF; ",IF(AND($L1467="Chưa xác định",DANH_MUC!$L$9&lt;&gt;"Có"),"Nguồn chưa xác định; ","")))</f>
        <v/>
      </c>
      <c r="V1467" s="22">
        <f>IF(OR($D1467="",$R1467="Trùng"),"",IF(COUNTIF(ORDERS!$C$2:$C$4995,$D1467)&gt;0,"Có","Không"))</f>
        <v/>
      </c>
      <c r="W1467" s="22">
        <f>IF(OR($D1467="",$R1467="Trùng"),"",COUNTIFS(ORDERS!$C$2:$C$4995,$D1467,ORDERS!$L$2:$L$4995,"Đã chuyển khoản"))</f>
        <v/>
      </c>
      <c r="X1467" s="23">
        <f>IF(OR($D1467="",$R1467="Trùng"),"",SUMIFS(ORDERS!$J$2:$J$4995,ORDERS!$C$2:$C$4995,$D1467,ORDERS!$L$2:$L$4995,"Đã chuyển khoản"))</f>
        <v/>
      </c>
      <c r="Y1467" s="24" t="n"/>
    </row>
    <row r="1468" ht="14.25" customHeight="1" s="40">
      <c r="A1468" s="24" t="n"/>
      <c r="B1468" s="27" t="n"/>
      <c r="C1468" s="24" t="n"/>
      <c r="D1468" s="28" t="n"/>
      <c r="E1468" s="29" t="n"/>
      <c r="F1468" s="24" t="n"/>
      <c r="G1468" s="24" t="n"/>
      <c r="H1468" s="21">
        <f>IF(ISNUMBER($B1468),INT($B1468)-WEEKDAY($B1468,2)+1,"")</f>
        <v/>
      </c>
      <c r="I1468" s="24" t="n"/>
      <c r="J1468" s="22">
        <f t="array" ref="J1468">IF($D1468="","",IF($I1468="","(trống REF)",IFERROR(INDEX(MASTER_SOURCE!$B$2:$B$495,MATCH($I1468,MASTER_SOURCE!$A$2:$A$495,0)),"(REF không có trong MASTER_SOURCE)")))</f>
        <v/>
      </c>
      <c r="K1468" s="22">
        <f t="array" ref="K1468">IF($D1468="","",IFERROR(INDEX(MASTER_SOURCE!$C$2:$C$495,MATCH($I1468,MASTER_SOURCE!$A$2:$A$495,0)),""))</f>
        <v/>
      </c>
      <c r="L1468" s="22">
        <f t="array" ref="L1468">IF($D1468="","",IFERROR(INDEX(MASTER_SOURCE!$D$2:$D$495,MATCH($I1468,MASTER_SOURCE!$A$2:$A$495,0)),""))</f>
        <v/>
      </c>
      <c r="M1468" s="24" t="n"/>
      <c r="N1468" s="24" t="n"/>
      <c r="O1468" s="24" t="n"/>
      <c r="P1468" s="24" t="n"/>
      <c r="Q1468" s="22">
        <f>IF($D1468="","",IF(AND(OR(DANH_MUC!$L$5&lt;&gt;"Có",M1468="Có"),OR(DANH_MUC!$L$6&lt;&gt;"Có",N1468="Có"),OR(DANH_MUC!$L$7&lt;&gt;"Có",O1468="Có"),OR(DANH_MUC!$L$8&lt;&gt;"Có",P1468="Có")),"Có","Không"))</f>
        <v/>
      </c>
      <c r="R1468" s="22">
        <f>IF($D1468="","",IF(COUNTIF($D$2:$D1468,$D1468)&gt;1,"Trùng",""))</f>
        <v/>
      </c>
      <c r="S1468" s="22">
        <f>IF($D1468="","",IF(AND(LEN($D1468)=10,LEFT($D1468,1)="0",ISNUMBER(--$D1468)),"Có","Không"))</f>
        <v/>
      </c>
      <c r="T1468" s="22">
        <f>IF($D1468="","",IF(AND($C1468&lt;&gt;"",$Q1468="Có",$R1468="",$S1468="Có",AND($L1468&lt;&gt;"",OR($L1468&lt;&gt;"Chưa xác định",DANH_MUC!$L$9="Có"))),"Có","Không"))</f>
        <v/>
      </c>
      <c r="U1468" s="22">
        <f>IF(OR($D1468="",$T1468="Có"),"",IF($C1468="","Thiếu họ tên; ","")&amp;IF($S1468&lt;&gt;"Có","SĐT sai định dạng; ","")&amp;IF($R1468="Trùng","Trùng SĐT; ","")&amp;IF($Q1468&lt;&gt;"Có","Thiếu đồng ý bắt buộc; ","")&amp;IF($L1468="","Thiếu/sai Mã REF; ",IF(AND($L1468="Chưa xác định",DANH_MUC!$L$9&lt;&gt;"Có"),"Nguồn chưa xác định; ","")))</f>
        <v/>
      </c>
      <c r="V1468" s="22">
        <f>IF(OR($D1468="",$R1468="Trùng"),"",IF(COUNTIF(ORDERS!$C$2:$C$4995,$D1468)&gt;0,"Có","Không"))</f>
        <v/>
      </c>
      <c r="W1468" s="22">
        <f>IF(OR($D1468="",$R1468="Trùng"),"",COUNTIFS(ORDERS!$C$2:$C$4995,$D1468,ORDERS!$L$2:$L$4995,"Đã chuyển khoản"))</f>
        <v/>
      </c>
      <c r="X1468" s="23">
        <f>IF(OR($D1468="",$R1468="Trùng"),"",SUMIFS(ORDERS!$J$2:$J$4995,ORDERS!$C$2:$C$4995,$D1468,ORDERS!$L$2:$L$4995,"Đã chuyển khoản"))</f>
        <v/>
      </c>
      <c r="Y1468" s="24" t="n"/>
    </row>
    <row r="1469" ht="14.25" customHeight="1" s="40">
      <c r="A1469" s="24" t="n"/>
      <c r="B1469" s="27" t="n"/>
      <c r="C1469" s="24" t="n"/>
      <c r="D1469" s="28" t="n"/>
      <c r="E1469" s="29" t="n"/>
      <c r="F1469" s="24" t="n"/>
      <c r="G1469" s="24" t="n"/>
      <c r="H1469" s="21">
        <f>IF(ISNUMBER($B1469),INT($B1469)-WEEKDAY($B1469,2)+1,"")</f>
        <v/>
      </c>
      <c r="I1469" s="24" t="n"/>
      <c r="J1469" s="22">
        <f t="array" ref="J1469">IF($D1469="","",IF($I1469="","(trống REF)",IFERROR(INDEX(MASTER_SOURCE!$B$2:$B$495,MATCH($I1469,MASTER_SOURCE!$A$2:$A$495,0)),"(REF không có trong MASTER_SOURCE)")))</f>
        <v/>
      </c>
      <c r="K1469" s="22">
        <f t="array" ref="K1469">IF($D1469="","",IFERROR(INDEX(MASTER_SOURCE!$C$2:$C$495,MATCH($I1469,MASTER_SOURCE!$A$2:$A$495,0)),""))</f>
        <v/>
      </c>
      <c r="L1469" s="22">
        <f t="array" ref="L1469">IF($D1469="","",IFERROR(INDEX(MASTER_SOURCE!$D$2:$D$495,MATCH($I1469,MASTER_SOURCE!$A$2:$A$495,0)),""))</f>
        <v/>
      </c>
      <c r="M1469" s="24" t="n"/>
      <c r="N1469" s="24" t="n"/>
      <c r="O1469" s="24" t="n"/>
      <c r="P1469" s="24" t="n"/>
      <c r="Q1469" s="22">
        <f>IF($D1469="","",IF(AND(OR(DANH_MUC!$L$5&lt;&gt;"Có",M1469="Có"),OR(DANH_MUC!$L$6&lt;&gt;"Có",N1469="Có"),OR(DANH_MUC!$L$7&lt;&gt;"Có",O1469="Có"),OR(DANH_MUC!$L$8&lt;&gt;"Có",P1469="Có")),"Có","Không"))</f>
        <v/>
      </c>
      <c r="R1469" s="22">
        <f>IF($D1469="","",IF(COUNTIF($D$2:$D1469,$D1469)&gt;1,"Trùng",""))</f>
        <v/>
      </c>
      <c r="S1469" s="22">
        <f>IF($D1469="","",IF(AND(LEN($D1469)=10,LEFT($D1469,1)="0",ISNUMBER(--$D1469)),"Có","Không"))</f>
        <v/>
      </c>
      <c r="T1469" s="22">
        <f>IF($D1469="","",IF(AND($C1469&lt;&gt;"",$Q1469="Có",$R1469="",$S1469="Có",AND($L1469&lt;&gt;"",OR($L1469&lt;&gt;"Chưa xác định",DANH_MUC!$L$9="Có"))),"Có","Không"))</f>
        <v/>
      </c>
      <c r="U1469" s="22">
        <f>IF(OR($D1469="",$T1469="Có"),"",IF($C1469="","Thiếu họ tên; ","")&amp;IF($S1469&lt;&gt;"Có","SĐT sai định dạng; ","")&amp;IF($R1469="Trùng","Trùng SĐT; ","")&amp;IF($Q1469&lt;&gt;"Có","Thiếu đồng ý bắt buộc; ","")&amp;IF($L1469="","Thiếu/sai Mã REF; ",IF(AND($L1469="Chưa xác định",DANH_MUC!$L$9&lt;&gt;"Có"),"Nguồn chưa xác định; ","")))</f>
        <v/>
      </c>
      <c r="V1469" s="22">
        <f>IF(OR($D1469="",$R1469="Trùng"),"",IF(COUNTIF(ORDERS!$C$2:$C$4995,$D1469)&gt;0,"Có","Không"))</f>
        <v/>
      </c>
      <c r="W1469" s="22">
        <f>IF(OR($D1469="",$R1469="Trùng"),"",COUNTIFS(ORDERS!$C$2:$C$4995,$D1469,ORDERS!$L$2:$L$4995,"Đã chuyển khoản"))</f>
        <v/>
      </c>
      <c r="X1469" s="23">
        <f>IF(OR($D1469="",$R1469="Trùng"),"",SUMIFS(ORDERS!$J$2:$J$4995,ORDERS!$C$2:$C$4995,$D1469,ORDERS!$L$2:$L$4995,"Đã chuyển khoản"))</f>
        <v/>
      </c>
      <c r="Y1469" s="24" t="n"/>
    </row>
    <row r="1470" ht="14.25" customHeight="1" s="40">
      <c r="A1470" s="24" t="n"/>
      <c r="B1470" s="27" t="n"/>
      <c r="C1470" s="24" t="n"/>
      <c r="D1470" s="28" t="n"/>
      <c r="E1470" s="29" t="n"/>
      <c r="F1470" s="24" t="n"/>
      <c r="G1470" s="24" t="n"/>
      <c r="H1470" s="21">
        <f>IF(ISNUMBER($B1470),INT($B1470)-WEEKDAY($B1470,2)+1,"")</f>
        <v/>
      </c>
      <c r="I1470" s="24" t="n"/>
      <c r="J1470" s="22">
        <f t="array" ref="J1470">IF($D1470="","",IF($I1470="","(trống REF)",IFERROR(INDEX(MASTER_SOURCE!$B$2:$B$495,MATCH($I1470,MASTER_SOURCE!$A$2:$A$495,0)),"(REF không có trong MASTER_SOURCE)")))</f>
        <v/>
      </c>
      <c r="K1470" s="22">
        <f t="array" ref="K1470">IF($D1470="","",IFERROR(INDEX(MASTER_SOURCE!$C$2:$C$495,MATCH($I1470,MASTER_SOURCE!$A$2:$A$495,0)),""))</f>
        <v/>
      </c>
      <c r="L1470" s="22">
        <f t="array" ref="L1470">IF($D1470="","",IFERROR(INDEX(MASTER_SOURCE!$D$2:$D$495,MATCH($I1470,MASTER_SOURCE!$A$2:$A$495,0)),""))</f>
        <v/>
      </c>
      <c r="M1470" s="24" t="n"/>
      <c r="N1470" s="24" t="n"/>
      <c r="O1470" s="24" t="n"/>
      <c r="P1470" s="24" t="n"/>
      <c r="Q1470" s="22">
        <f>IF($D1470="","",IF(AND(OR(DANH_MUC!$L$5&lt;&gt;"Có",M1470="Có"),OR(DANH_MUC!$L$6&lt;&gt;"Có",N1470="Có"),OR(DANH_MUC!$L$7&lt;&gt;"Có",O1470="Có"),OR(DANH_MUC!$L$8&lt;&gt;"Có",P1470="Có")),"Có","Không"))</f>
        <v/>
      </c>
      <c r="R1470" s="22">
        <f>IF($D1470="","",IF(COUNTIF($D$2:$D1470,$D1470)&gt;1,"Trùng",""))</f>
        <v/>
      </c>
      <c r="S1470" s="22">
        <f>IF($D1470="","",IF(AND(LEN($D1470)=10,LEFT($D1470,1)="0",ISNUMBER(--$D1470)),"Có","Không"))</f>
        <v/>
      </c>
      <c r="T1470" s="22">
        <f>IF($D1470="","",IF(AND($C1470&lt;&gt;"",$Q1470="Có",$R1470="",$S1470="Có",AND($L1470&lt;&gt;"",OR($L1470&lt;&gt;"Chưa xác định",DANH_MUC!$L$9="Có"))),"Có","Không"))</f>
        <v/>
      </c>
      <c r="U1470" s="22">
        <f>IF(OR($D1470="",$T1470="Có"),"",IF($C1470="","Thiếu họ tên; ","")&amp;IF($S1470&lt;&gt;"Có","SĐT sai định dạng; ","")&amp;IF($R1470="Trùng","Trùng SĐT; ","")&amp;IF($Q1470&lt;&gt;"Có","Thiếu đồng ý bắt buộc; ","")&amp;IF($L1470="","Thiếu/sai Mã REF; ",IF(AND($L1470="Chưa xác định",DANH_MUC!$L$9&lt;&gt;"Có"),"Nguồn chưa xác định; ","")))</f>
        <v/>
      </c>
      <c r="V1470" s="22">
        <f>IF(OR($D1470="",$R1470="Trùng"),"",IF(COUNTIF(ORDERS!$C$2:$C$4995,$D1470)&gt;0,"Có","Không"))</f>
        <v/>
      </c>
      <c r="W1470" s="22">
        <f>IF(OR($D1470="",$R1470="Trùng"),"",COUNTIFS(ORDERS!$C$2:$C$4995,$D1470,ORDERS!$L$2:$L$4995,"Đã chuyển khoản"))</f>
        <v/>
      </c>
      <c r="X1470" s="23">
        <f>IF(OR($D1470="",$R1470="Trùng"),"",SUMIFS(ORDERS!$J$2:$J$4995,ORDERS!$C$2:$C$4995,$D1470,ORDERS!$L$2:$L$4995,"Đã chuyển khoản"))</f>
        <v/>
      </c>
      <c r="Y1470" s="24" t="n"/>
    </row>
    <row r="1471" ht="14.25" customHeight="1" s="40">
      <c r="A1471" s="24" t="n"/>
      <c r="B1471" s="27" t="n"/>
      <c r="C1471" s="24" t="n"/>
      <c r="D1471" s="28" t="n"/>
      <c r="E1471" s="29" t="n"/>
      <c r="F1471" s="24" t="n"/>
      <c r="G1471" s="24" t="n"/>
      <c r="H1471" s="21">
        <f>IF(ISNUMBER($B1471),INT($B1471)-WEEKDAY($B1471,2)+1,"")</f>
        <v/>
      </c>
      <c r="I1471" s="24" t="n"/>
      <c r="J1471" s="22">
        <f t="array" ref="J1471">IF($D1471="","",IF($I1471="","(trống REF)",IFERROR(INDEX(MASTER_SOURCE!$B$2:$B$495,MATCH($I1471,MASTER_SOURCE!$A$2:$A$495,0)),"(REF không có trong MASTER_SOURCE)")))</f>
        <v/>
      </c>
      <c r="K1471" s="22">
        <f t="array" ref="K1471">IF($D1471="","",IFERROR(INDEX(MASTER_SOURCE!$C$2:$C$495,MATCH($I1471,MASTER_SOURCE!$A$2:$A$495,0)),""))</f>
        <v/>
      </c>
      <c r="L1471" s="22">
        <f t="array" ref="L1471">IF($D1471="","",IFERROR(INDEX(MASTER_SOURCE!$D$2:$D$495,MATCH($I1471,MASTER_SOURCE!$A$2:$A$495,0)),""))</f>
        <v/>
      </c>
      <c r="M1471" s="24" t="n"/>
      <c r="N1471" s="24" t="n"/>
      <c r="O1471" s="24" t="n"/>
      <c r="P1471" s="24" t="n"/>
      <c r="Q1471" s="22">
        <f>IF($D1471="","",IF(AND(OR(DANH_MUC!$L$5&lt;&gt;"Có",M1471="Có"),OR(DANH_MUC!$L$6&lt;&gt;"Có",N1471="Có"),OR(DANH_MUC!$L$7&lt;&gt;"Có",O1471="Có"),OR(DANH_MUC!$L$8&lt;&gt;"Có",P1471="Có")),"Có","Không"))</f>
        <v/>
      </c>
      <c r="R1471" s="22">
        <f>IF($D1471="","",IF(COUNTIF($D$2:$D1471,$D1471)&gt;1,"Trùng",""))</f>
        <v/>
      </c>
      <c r="S1471" s="22">
        <f>IF($D1471="","",IF(AND(LEN($D1471)=10,LEFT($D1471,1)="0",ISNUMBER(--$D1471)),"Có","Không"))</f>
        <v/>
      </c>
      <c r="T1471" s="22">
        <f>IF($D1471="","",IF(AND($C1471&lt;&gt;"",$Q1471="Có",$R1471="",$S1471="Có",AND($L1471&lt;&gt;"",OR($L1471&lt;&gt;"Chưa xác định",DANH_MUC!$L$9="Có"))),"Có","Không"))</f>
        <v/>
      </c>
      <c r="U1471" s="22">
        <f>IF(OR($D1471="",$T1471="Có"),"",IF($C1471="","Thiếu họ tên; ","")&amp;IF($S1471&lt;&gt;"Có","SĐT sai định dạng; ","")&amp;IF($R1471="Trùng","Trùng SĐT; ","")&amp;IF($Q1471&lt;&gt;"Có","Thiếu đồng ý bắt buộc; ","")&amp;IF($L1471="","Thiếu/sai Mã REF; ",IF(AND($L1471="Chưa xác định",DANH_MUC!$L$9&lt;&gt;"Có"),"Nguồn chưa xác định; ","")))</f>
        <v/>
      </c>
      <c r="V1471" s="22">
        <f>IF(OR($D1471="",$R1471="Trùng"),"",IF(COUNTIF(ORDERS!$C$2:$C$4995,$D1471)&gt;0,"Có","Không"))</f>
        <v/>
      </c>
      <c r="W1471" s="22">
        <f>IF(OR($D1471="",$R1471="Trùng"),"",COUNTIFS(ORDERS!$C$2:$C$4995,$D1471,ORDERS!$L$2:$L$4995,"Đã chuyển khoản"))</f>
        <v/>
      </c>
      <c r="X1471" s="23">
        <f>IF(OR($D1471="",$R1471="Trùng"),"",SUMIFS(ORDERS!$J$2:$J$4995,ORDERS!$C$2:$C$4995,$D1471,ORDERS!$L$2:$L$4995,"Đã chuyển khoản"))</f>
        <v/>
      </c>
      <c r="Y1471" s="24" t="n"/>
    </row>
    <row r="1472" ht="14.25" customHeight="1" s="40">
      <c r="A1472" s="24" t="n"/>
      <c r="B1472" s="27" t="n"/>
      <c r="C1472" s="24" t="n"/>
      <c r="D1472" s="28" t="n"/>
      <c r="E1472" s="29" t="n"/>
      <c r="F1472" s="24" t="n"/>
      <c r="G1472" s="24" t="n"/>
      <c r="H1472" s="21">
        <f>IF(ISNUMBER($B1472),INT($B1472)-WEEKDAY($B1472,2)+1,"")</f>
        <v/>
      </c>
      <c r="I1472" s="24" t="n"/>
      <c r="J1472" s="22">
        <f t="array" ref="J1472">IF($D1472="","",IF($I1472="","(trống REF)",IFERROR(INDEX(MASTER_SOURCE!$B$2:$B$495,MATCH($I1472,MASTER_SOURCE!$A$2:$A$495,0)),"(REF không có trong MASTER_SOURCE)")))</f>
        <v/>
      </c>
      <c r="K1472" s="22">
        <f t="array" ref="K1472">IF($D1472="","",IFERROR(INDEX(MASTER_SOURCE!$C$2:$C$495,MATCH($I1472,MASTER_SOURCE!$A$2:$A$495,0)),""))</f>
        <v/>
      </c>
      <c r="L1472" s="22">
        <f t="array" ref="L1472">IF($D1472="","",IFERROR(INDEX(MASTER_SOURCE!$D$2:$D$495,MATCH($I1472,MASTER_SOURCE!$A$2:$A$495,0)),""))</f>
        <v/>
      </c>
      <c r="M1472" s="24" t="n"/>
      <c r="N1472" s="24" t="n"/>
      <c r="O1472" s="24" t="n"/>
      <c r="P1472" s="24" t="n"/>
      <c r="Q1472" s="22">
        <f>IF($D1472="","",IF(AND(OR(DANH_MUC!$L$5&lt;&gt;"Có",M1472="Có"),OR(DANH_MUC!$L$6&lt;&gt;"Có",N1472="Có"),OR(DANH_MUC!$L$7&lt;&gt;"Có",O1472="Có"),OR(DANH_MUC!$L$8&lt;&gt;"Có",P1472="Có")),"Có","Không"))</f>
        <v/>
      </c>
      <c r="R1472" s="22">
        <f>IF($D1472="","",IF(COUNTIF($D$2:$D1472,$D1472)&gt;1,"Trùng",""))</f>
        <v/>
      </c>
      <c r="S1472" s="22">
        <f>IF($D1472="","",IF(AND(LEN($D1472)=10,LEFT($D1472,1)="0",ISNUMBER(--$D1472)),"Có","Không"))</f>
        <v/>
      </c>
      <c r="T1472" s="22">
        <f>IF($D1472="","",IF(AND($C1472&lt;&gt;"",$Q1472="Có",$R1472="",$S1472="Có",AND($L1472&lt;&gt;"",OR($L1472&lt;&gt;"Chưa xác định",DANH_MUC!$L$9="Có"))),"Có","Không"))</f>
        <v/>
      </c>
      <c r="U1472" s="22">
        <f>IF(OR($D1472="",$T1472="Có"),"",IF($C1472="","Thiếu họ tên; ","")&amp;IF($S1472&lt;&gt;"Có","SĐT sai định dạng; ","")&amp;IF($R1472="Trùng","Trùng SĐT; ","")&amp;IF($Q1472&lt;&gt;"Có","Thiếu đồng ý bắt buộc; ","")&amp;IF($L1472="","Thiếu/sai Mã REF; ",IF(AND($L1472="Chưa xác định",DANH_MUC!$L$9&lt;&gt;"Có"),"Nguồn chưa xác định; ","")))</f>
        <v/>
      </c>
      <c r="V1472" s="22">
        <f>IF(OR($D1472="",$R1472="Trùng"),"",IF(COUNTIF(ORDERS!$C$2:$C$4995,$D1472)&gt;0,"Có","Không"))</f>
        <v/>
      </c>
      <c r="W1472" s="22">
        <f>IF(OR($D1472="",$R1472="Trùng"),"",COUNTIFS(ORDERS!$C$2:$C$4995,$D1472,ORDERS!$L$2:$L$4995,"Đã chuyển khoản"))</f>
        <v/>
      </c>
      <c r="X1472" s="23">
        <f>IF(OR($D1472="",$R1472="Trùng"),"",SUMIFS(ORDERS!$J$2:$J$4995,ORDERS!$C$2:$C$4995,$D1472,ORDERS!$L$2:$L$4995,"Đã chuyển khoản"))</f>
        <v/>
      </c>
      <c r="Y1472" s="24" t="n"/>
    </row>
    <row r="1473" ht="14.25" customHeight="1" s="40">
      <c r="A1473" s="24" t="n"/>
      <c r="B1473" s="27" t="n"/>
      <c r="C1473" s="24" t="n"/>
      <c r="D1473" s="28" t="n"/>
      <c r="E1473" s="29" t="n"/>
      <c r="F1473" s="24" t="n"/>
      <c r="G1473" s="24" t="n"/>
      <c r="H1473" s="21">
        <f>IF(ISNUMBER($B1473),INT($B1473)-WEEKDAY($B1473,2)+1,"")</f>
        <v/>
      </c>
      <c r="I1473" s="24" t="n"/>
      <c r="J1473" s="22">
        <f t="array" ref="J1473">IF($D1473="","",IF($I1473="","(trống REF)",IFERROR(INDEX(MASTER_SOURCE!$B$2:$B$495,MATCH($I1473,MASTER_SOURCE!$A$2:$A$495,0)),"(REF không có trong MASTER_SOURCE)")))</f>
        <v/>
      </c>
      <c r="K1473" s="22">
        <f t="array" ref="K1473">IF($D1473="","",IFERROR(INDEX(MASTER_SOURCE!$C$2:$C$495,MATCH($I1473,MASTER_SOURCE!$A$2:$A$495,0)),""))</f>
        <v/>
      </c>
      <c r="L1473" s="22">
        <f t="array" ref="L1473">IF($D1473="","",IFERROR(INDEX(MASTER_SOURCE!$D$2:$D$495,MATCH($I1473,MASTER_SOURCE!$A$2:$A$495,0)),""))</f>
        <v/>
      </c>
      <c r="M1473" s="24" t="n"/>
      <c r="N1473" s="24" t="n"/>
      <c r="O1473" s="24" t="n"/>
      <c r="P1473" s="24" t="n"/>
      <c r="Q1473" s="22">
        <f>IF($D1473="","",IF(AND(OR(DANH_MUC!$L$5&lt;&gt;"Có",M1473="Có"),OR(DANH_MUC!$L$6&lt;&gt;"Có",N1473="Có"),OR(DANH_MUC!$L$7&lt;&gt;"Có",O1473="Có"),OR(DANH_MUC!$L$8&lt;&gt;"Có",P1473="Có")),"Có","Không"))</f>
        <v/>
      </c>
      <c r="R1473" s="22">
        <f>IF($D1473="","",IF(COUNTIF($D$2:$D1473,$D1473)&gt;1,"Trùng",""))</f>
        <v/>
      </c>
      <c r="S1473" s="22">
        <f>IF($D1473="","",IF(AND(LEN($D1473)=10,LEFT($D1473,1)="0",ISNUMBER(--$D1473)),"Có","Không"))</f>
        <v/>
      </c>
      <c r="T1473" s="22">
        <f>IF($D1473="","",IF(AND($C1473&lt;&gt;"",$Q1473="Có",$R1473="",$S1473="Có",AND($L1473&lt;&gt;"",OR($L1473&lt;&gt;"Chưa xác định",DANH_MUC!$L$9="Có"))),"Có","Không"))</f>
        <v/>
      </c>
      <c r="U1473" s="22">
        <f>IF(OR($D1473="",$T1473="Có"),"",IF($C1473="","Thiếu họ tên; ","")&amp;IF($S1473&lt;&gt;"Có","SĐT sai định dạng; ","")&amp;IF($R1473="Trùng","Trùng SĐT; ","")&amp;IF($Q1473&lt;&gt;"Có","Thiếu đồng ý bắt buộc; ","")&amp;IF($L1473="","Thiếu/sai Mã REF; ",IF(AND($L1473="Chưa xác định",DANH_MUC!$L$9&lt;&gt;"Có"),"Nguồn chưa xác định; ","")))</f>
        <v/>
      </c>
      <c r="V1473" s="22">
        <f>IF(OR($D1473="",$R1473="Trùng"),"",IF(COUNTIF(ORDERS!$C$2:$C$4995,$D1473)&gt;0,"Có","Không"))</f>
        <v/>
      </c>
      <c r="W1473" s="22">
        <f>IF(OR($D1473="",$R1473="Trùng"),"",COUNTIFS(ORDERS!$C$2:$C$4995,$D1473,ORDERS!$L$2:$L$4995,"Đã chuyển khoản"))</f>
        <v/>
      </c>
      <c r="X1473" s="23">
        <f>IF(OR($D1473="",$R1473="Trùng"),"",SUMIFS(ORDERS!$J$2:$J$4995,ORDERS!$C$2:$C$4995,$D1473,ORDERS!$L$2:$L$4995,"Đã chuyển khoản"))</f>
        <v/>
      </c>
      <c r="Y1473" s="24" t="n"/>
    </row>
    <row r="1474" ht="14.25" customHeight="1" s="40">
      <c r="A1474" s="24" t="n"/>
      <c r="B1474" s="27" t="n"/>
      <c r="C1474" s="24" t="n"/>
      <c r="D1474" s="28" t="n"/>
      <c r="E1474" s="29" t="n"/>
      <c r="F1474" s="24" t="n"/>
      <c r="G1474" s="24" t="n"/>
      <c r="H1474" s="21">
        <f>IF(ISNUMBER($B1474),INT($B1474)-WEEKDAY($B1474,2)+1,"")</f>
        <v/>
      </c>
      <c r="I1474" s="24" t="n"/>
      <c r="J1474" s="22">
        <f t="array" ref="J1474">IF($D1474="","",IF($I1474="","(trống REF)",IFERROR(INDEX(MASTER_SOURCE!$B$2:$B$495,MATCH($I1474,MASTER_SOURCE!$A$2:$A$495,0)),"(REF không có trong MASTER_SOURCE)")))</f>
        <v/>
      </c>
      <c r="K1474" s="22">
        <f t="array" ref="K1474">IF($D1474="","",IFERROR(INDEX(MASTER_SOURCE!$C$2:$C$495,MATCH($I1474,MASTER_SOURCE!$A$2:$A$495,0)),""))</f>
        <v/>
      </c>
      <c r="L1474" s="22">
        <f t="array" ref="L1474">IF($D1474="","",IFERROR(INDEX(MASTER_SOURCE!$D$2:$D$495,MATCH($I1474,MASTER_SOURCE!$A$2:$A$495,0)),""))</f>
        <v/>
      </c>
      <c r="M1474" s="24" t="n"/>
      <c r="N1474" s="24" t="n"/>
      <c r="O1474" s="24" t="n"/>
      <c r="P1474" s="24" t="n"/>
      <c r="Q1474" s="22">
        <f>IF($D1474="","",IF(AND(OR(DANH_MUC!$L$5&lt;&gt;"Có",M1474="Có"),OR(DANH_MUC!$L$6&lt;&gt;"Có",N1474="Có"),OR(DANH_MUC!$L$7&lt;&gt;"Có",O1474="Có"),OR(DANH_MUC!$L$8&lt;&gt;"Có",P1474="Có")),"Có","Không"))</f>
        <v/>
      </c>
      <c r="R1474" s="22">
        <f>IF($D1474="","",IF(COUNTIF($D$2:$D1474,$D1474)&gt;1,"Trùng",""))</f>
        <v/>
      </c>
      <c r="S1474" s="22">
        <f>IF($D1474="","",IF(AND(LEN($D1474)=10,LEFT($D1474,1)="0",ISNUMBER(--$D1474)),"Có","Không"))</f>
        <v/>
      </c>
      <c r="T1474" s="22">
        <f>IF($D1474="","",IF(AND($C1474&lt;&gt;"",$Q1474="Có",$R1474="",$S1474="Có",AND($L1474&lt;&gt;"",OR($L1474&lt;&gt;"Chưa xác định",DANH_MUC!$L$9="Có"))),"Có","Không"))</f>
        <v/>
      </c>
      <c r="U1474" s="22">
        <f>IF(OR($D1474="",$T1474="Có"),"",IF($C1474="","Thiếu họ tên; ","")&amp;IF($S1474&lt;&gt;"Có","SĐT sai định dạng; ","")&amp;IF($R1474="Trùng","Trùng SĐT; ","")&amp;IF($Q1474&lt;&gt;"Có","Thiếu đồng ý bắt buộc; ","")&amp;IF($L1474="","Thiếu/sai Mã REF; ",IF(AND($L1474="Chưa xác định",DANH_MUC!$L$9&lt;&gt;"Có"),"Nguồn chưa xác định; ","")))</f>
        <v/>
      </c>
      <c r="V1474" s="22">
        <f>IF(OR($D1474="",$R1474="Trùng"),"",IF(COUNTIF(ORDERS!$C$2:$C$4995,$D1474)&gt;0,"Có","Không"))</f>
        <v/>
      </c>
      <c r="W1474" s="22">
        <f>IF(OR($D1474="",$R1474="Trùng"),"",COUNTIFS(ORDERS!$C$2:$C$4995,$D1474,ORDERS!$L$2:$L$4995,"Đã chuyển khoản"))</f>
        <v/>
      </c>
      <c r="X1474" s="23">
        <f>IF(OR($D1474="",$R1474="Trùng"),"",SUMIFS(ORDERS!$J$2:$J$4995,ORDERS!$C$2:$C$4995,$D1474,ORDERS!$L$2:$L$4995,"Đã chuyển khoản"))</f>
        <v/>
      </c>
      <c r="Y1474" s="24" t="n"/>
    </row>
    <row r="1475" ht="14.25" customHeight="1" s="40">
      <c r="A1475" s="24" t="n"/>
      <c r="B1475" s="27" t="n"/>
      <c r="C1475" s="24" t="n"/>
      <c r="D1475" s="28" t="n"/>
      <c r="E1475" s="29" t="n"/>
      <c r="F1475" s="24" t="n"/>
      <c r="G1475" s="24" t="n"/>
      <c r="H1475" s="21">
        <f>IF(ISNUMBER($B1475),INT($B1475)-WEEKDAY($B1475,2)+1,"")</f>
        <v/>
      </c>
      <c r="I1475" s="24" t="n"/>
      <c r="J1475" s="22">
        <f t="array" ref="J1475">IF($D1475="","",IF($I1475="","(trống REF)",IFERROR(INDEX(MASTER_SOURCE!$B$2:$B$495,MATCH($I1475,MASTER_SOURCE!$A$2:$A$495,0)),"(REF không có trong MASTER_SOURCE)")))</f>
        <v/>
      </c>
      <c r="K1475" s="22">
        <f t="array" ref="K1475">IF($D1475="","",IFERROR(INDEX(MASTER_SOURCE!$C$2:$C$495,MATCH($I1475,MASTER_SOURCE!$A$2:$A$495,0)),""))</f>
        <v/>
      </c>
      <c r="L1475" s="22">
        <f t="array" ref="L1475">IF($D1475="","",IFERROR(INDEX(MASTER_SOURCE!$D$2:$D$495,MATCH($I1475,MASTER_SOURCE!$A$2:$A$495,0)),""))</f>
        <v/>
      </c>
      <c r="M1475" s="24" t="n"/>
      <c r="N1475" s="24" t="n"/>
      <c r="O1475" s="24" t="n"/>
      <c r="P1475" s="24" t="n"/>
      <c r="Q1475" s="22">
        <f>IF($D1475="","",IF(AND(OR(DANH_MUC!$L$5&lt;&gt;"Có",M1475="Có"),OR(DANH_MUC!$L$6&lt;&gt;"Có",N1475="Có"),OR(DANH_MUC!$L$7&lt;&gt;"Có",O1475="Có"),OR(DANH_MUC!$L$8&lt;&gt;"Có",P1475="Có")),"Có","Không"))</f>
        <v/>
      </c>
      <c r="R1475" s="22">
        <f>IF($D1475="","",IF(COUNTIF($D$2:$D1475,$D1475)&gt;1,"Trùng",""))</f>
        <v/>
      </c>
      <c r="S1475" s="22">
        <f>IF($D1475="","",IF(AND(LEN($D1475)=10,LEFT($D1475,1)="0",ISNUMBER(--$D1475)),"Có","Không"))</f>
        <v/>
      </c>
      <c r="T1475" s="22">
        <f>IF($D1475="","",IF(AND($C1475&lt;&gt;"",$Q1475="Có",$R1475="",$S1475="Có",AND($L1475&lt;&gt;"",OR($L1475&lt;&gt;"Chưa xác định",DANH_MUC!$L$9="Có"))),"Có","Không"))</f>
        <v/>
      </c>
      <c r="U1475" s="22">
        <f>IF(OR($D1475="",$T1475="Có"),"",IF($C1475="","Thiếu họ tên; ","")&amp;IF($S1475&lt;&gt;"Có","SĐT sai định dạng; ","")&amp;IF($R1475="Trùng","Trùng SĐT; ","")&amp;IF($Q1475&lt;&gt;"Có","Thiếu đồng ý bắt buộc; ","")&amp;IF($L1475="","Thiếu/sai Mã REF; ",IF(AND($L1475="Chưa xác định",DANH_MUC!$L$9&lt;&gt;"Có"),"Nguồn chưa xác định; ","")))</f>
        <v/>
      </c>
      <c r="V1475" s="22">
        <f>IF(OR($D1475="",$R1475="Trùng"),"",IF(COUNTIF(ORDERS!$C$2:$C$4995,$D1475)&gt;0,"Có","Không"))</f>
        <v/>
      </c>
      <c r="W1475" s="22">
        <f>IF(OR($D1475="",$R1475="Trùng"),"",COUNTIFS(ORDERS!$C$2:$C$4995,$D1475,ORDERS!$L$2:$L$4995,"Đã chuyển khoản"))</f>
        <v/>
      </c>
      <c r="X1475" s="23">
        <f>IF(OR($D1475="",$R1475="Trùng"),"",SUMIFS(ORDERS!$J$2:$J$4995,ORDERS!$C$2:$C$4995,$D1475,ORDERS!$L$2:$L$4995,"Đã chuyển khoản"))</f>
        <v/>
      </c>
      <c r="Y1475" s="24" t="n"/>
    </row>
    <row r="1476" ht="14.25" customHeight="1" s="40">
      <c r="A1476" s="24" t="n"/>
      <c r="B1476" s="27" t="n"/>
      <c r="C1476" s="24" t="n"/>
      <c r="D1476" s="28" t="n"/>
      <c r="E1476" s="29" t="n"/>
      <c r="F1476" s="24" t="n"/>
      <c r="G1476" s="24" t="n"/>
      <c r="H1476" s="21">
        <f>IF(ISNUMBER($B1476),INT($B1476)-WEEKDAY($B1476,2)+1,"")</f>
        <v/>
      </c>
      <c r="I1476" s="24" t="n"/>
      <c r="J1476" s="22">
        <f t="array" ref="J1476">IF($D1476="","",IF($I1476="","(trống REF)",IFERROR(INDEX(MASTER_SOURCE!$B$2:$B$495,MATCH($I1476,MASTER_SOURCE!$A$2:$A$495,0)),"(REF không có trong MASTER_SOURCE)")))</f>
        <v/>
      </c>
      <c r="K1476" s="22">
        <f t="array" ref="K1476">IF($D1476="","",IFERROR(INDEX(MASTER_SOURCE!$C$2:$C$495,MATCH($I1476,MASTER_SOURCE!$A$2:$A$495,0)),""))</f>
        <v/>
      </c>
      <c r="L1476" s="22">
        <f t="array" ref="L1476">IF($D1476="","",IFERROR(INDEX(MASTER_SOURCE!$D$2:$D$495,MATCH($I1476,MASTER_SOURCE!$A$2:$A$495,0)),""))</f>
        <v/>
      </c>
      <c r="M1476" s="24" t="n"/>
      <c r="N1476" s="24" t="n"/>
      <c r="O1476" s="24" t="n"/>
      <c r="P1476" s="24" t="n"/>
      <c r="Q1476" s="22">
        <f>IF($D1476="","",IF(AND(OR(DANH_MUC!$L$5&lt;&gt;"Có",M1476="Có"),OR(DANH_MUC!$L$6&lt;&gt;"Có",N1476="Có"),OR(DANH_MUC!$L$7&lt;&gt;"Có",O1476="Có"),OR(DANH_MUC!$L$8&lt;&gt;"Có",P1476="Có")),"Có","Không"))</f>
        <v/>
      </c>
      <c r="R1476" s="22">
        <f>IF($D1476="","",IF(COUNTIF($D$2:$D1476,$D1476)&gt;1,"Trùng",""))</f>
        <v/>
      </c>
      <c r="S1476" s="22">
        <f>IF($D1476="","",IF(AND(LEN($D1476)=10,LEFT($D1476,1)="0",ISNUMBER(--$D1476)),"Có","Không"))</f>
        <v/>
      </c>
      <c r="T1476" s="22">
        <f>IF($D1476="","",IF(AND($C1476&lt;&gt;"",$Q1476="Có",$R1476="",$S1476="Có",AND($L1476&lt;&gt;"",OR($L1476&lt;&gt;"Chưa xác định",DANH_MUC!$L$9="Có"))),"Có","Không"))</f>
        <v/>
      </c>
      <c r="U1476" s="22">
        <f>IF(OR($D1476="",$T1476="Có"),"",IF($C1476="","Thiếu họ tên; ","")&amp;IF($S1476&lt;&gt;"Có","SĐT sai định dạng; ","")&amp;IF($R1476="Trùng","Trùng SĐT; ","")&amp;IF($Q1476&lt;&gt;"Có","Thiếu đồng ý bắt buộc; ","")&amp;IF($L1476="","Thiếu/sai Mã REF; ",IF(AND($L1476="Chưa xác định",DANH_MUC!$L$9&lt;&gt;"Có"),"Nguồn chưa xác định; ","")))</f>
        <v/>
      </c>
      <c r="V1476" s="22">
        <f>IF(OR($D1476="",$R1476="Trùng"),"",IF(COUNTIF(ORDERS!$C$2:$C$4995,$D1476)&gt;0,"Có","Không"))</f>
        <v/>
      </c>
      <c r="W1476" s="22">
        <f>IF(OR($D1476="",$R1476="Trùng"),"",COUNTIFS(ORDERS!$C$2:$C$4995,$D1476,ORDERS!$L$2:$L$4995,"Đã chuyển khoản"))</f>
        <v/>
      </c>
      <c r="X1476" s="23">
        <f>IF(OR($D1476="",$R1476="Trùng"),"",SUMIFS(ORDERS!$J$2:$J$4995,ORDERS!$C$2:$C$4995,$D1476,ORDERS!$L$2:$L$4995,"Đã chuyển khoản"))</f>
        <v/>
      </c>
      <c r="Y1476" s="24" t="n"/>
    </row>
    <row r="1477" ht="14.25" customHeight="1" s="40">
      <c r="A1477" s="24" t="n"/>
      <c r="B1477" s="27" t="n"/>
      <c r="C1477" s="24" t="n"/>
      <c r="D1477" s="28" t="n"/>
      <c r="E1477" s="29" t="n"/>
      <c r="F1477" s="24" t="n"/>
      <c r="G1477" s="24" t="n"/>
      <c r="H1477" s="21">
        <f>IF(ISNUMBER($B1477),INT($B1477)-WEEKDAY($B1477,2)+1,"")</f>
        <v/>
      </c>
      <c r="I1477" s="24" t="n"/>
      <c r="J1477" s="22">
        <f t="array" ref="J1477">IF($D1477="","",IF($I1477="","(trống REF)",IFERROR(INDEX(MASTER_SOURCE!$B$2:$B$495,MATCH($I1477,MASTER_SOURCE!$A$2:$A$495,0)),"(REF không có trong MASTER_SOURCE)")))</f>
        <v/>
      </c>
      <c r="K1477" s="22">
        <f t="array" ref="K1477">IF($D1477="","",IFERROR(INDEX(MASTER_SOURCE!$C$2:$C$495,MATCH($I1477,MASTER_SOURCE!$A$2:$A$495,0)),""))</f>
        <v/>
      </c>
      <c r="L1477" s="22">
        <f t="array" ref="L1477">IF($D1477="","",IFERROR(INDEX(MASTER_SOURCE!$D$2:$D$495,MATCH($I1477,MASTER_SOURCE!$A$2:$A$495,0)),""))</f>
        <v/>
      </c>
      <c r="M1477" s="24" t="n"/>
      <c r="N1477" s="24" t="n"/>
      <c r="O1477" s="24" t="n"/>
      <c r="P1477" s="24" t="n"/>
      <c r="Q1477" s="22">
        <f>IF($D1477="","",IF(AND(OR(DANH_MUC!$L$5&lt;&gt;"Có",M1477="Có"),OR(DANH_MUC!$L$6&lt;&gt;"Có",N1477="Có"),OR(DANH_MUC!$L$7&lt;&gt;"Có",O1477="Có"),OR(DANH_MUC!$L$8&lt;&gt;"Có",P1477="Có")),"Có","Không"))</f>
        <v/>
      </c>
      <c r="R1477" s="22">
        <f>IF($D1477="","",IF(COUNTIF($D$2:$D1477,$D1477)&gt;1,"Trùng",""))</f>
        <v/>
      </c>
      <c r="S1477" s="22">
        <f>IF($D1477="","",IF(AND(LEN($D1477)=10,LEFT($D1477,1)="0",ISNUMBER(--$D1477)),"Có","Không"))</f>
        <v/>
      </c>
      <c r="T1477" s="22">
        <f>IF($D1477="","",IF(AND($C1477&lt;&gt;"",$Q1477="Có",$R1477="",$S1477="Có",AND($L1477&lt;&gt;"",OR($L1477&lt;&gt;"Chưa xác định",DANH_MUC!$L$9="Có"))),"Có","Không"))</f>
        <v/>
      </c>
      <c r="U1477" s="22">
        <f>IF(OR($D1477="",$T1477="Có"),"",IF($C1477="","Thiếu họ tên; ","")&amp;IF($S1477&lt;&gt;"Có","SĐT sai định dạng; ","")&amp;IF($R1477="Trùng","Trùng SĐT; ","")&amp;IF($Q1477&lt;&gt;"Có","Thiếu đồng ý bắt buộc; ","")&amp;IF($L1477="","Thiếu/sai Mã REF; ",IF(AND($L1477="Chưa xác định",DANH_MUC!$L$9&lt;&gt;"Có"),"Nguồn chưa xác định; ","")))</f>
        <v/>
      </c>
      <c r="V1477" s="22">
        <f>IF(OR($D1477="",$R1477="Trùng"),"",IF(COUNTIF(ORDERS!$C$2:$C$4995,$D1477)&gt;0,"Có","Không"))</f>
        <v/>
      </c>
      <c r="W1477" s="22">
        <f>IF(OR($D1477="",$R1477="Trùng"),"",COUNTIFS(ORDERS!$C$2:$C$4995,$D1477,ORDERS!$L$2:$L$4995,"Đã chuyển khoản"))</f>
        <v/>
      </c>
      <c r="X1477" s="23">
        <f>IF(OR($D1477="",$R1477="Trùng"),"",SUMIFS(ORDERS!$J$2:$J$4995,ORDERS!$C$2:$C$4995,$D1477,ORDERS!$L$2:$L$4995,"Đã chuyển khoản"))</f>
        <v/>
      </c>
      <c r="Y1477" s="24" t="n"/>
    </row>
    <row r="1478" ht="14.25" customHeight="1" s="40">
      <c r="A1478" s="24" t="n"/>
      <c r="B1478" s="27" t="n"/>
      <c r="C1478" s="24" t="n"/>
      <c r="D1478" s="28" t="n"/>
      <c r="E1478" s="29" t="n"/>
      <c r="F1478" s="24" t="n"/>
      <c r="G1478" s="24" t="n"/>
      <c r="H1478" s="21">
        <f>IF(ISNUMBER($B1478),INT($B1478)-WEEKDAY($B1478,2)+1,"")</f>
        <v/>
      </c>
      <c r="I1478" s="24" t="n"/>
      <c r="J1478" s="22">
        <f t="array" ref="J1478">IF($D1478="","",IF($I1478="","(trống REF)",IFERROR(INDEX(MASTER_SOURCE!$B$2:$B$495,MATCH($I1478,MASTER_SOURCE!$A$2:$A$495,0)),"(REF không có trong MASTER_SOURCE)")))</f>
        <v/>
      </c>
      <c r="K1478" s="22">
        <f t="array" ref="K1478">IF($D1478="","",IFERROR(INDEX(MASTER_SOURCE!$C$2:$C$495,MATCH($I1478,MASTER_SOURCE!$A$2:$A$495,0)),""))</f>
        <v/>
      </c>
      <c r="L1478" s="22">
        <f t="array" ref="L1478">IF($D1478="","",IFERROR(INDEX(MASTER_SOURCE!$D$2:$D$495,MATCH($I1478,MASTER_SOURCE!$A$2:$A$495,0)),""))</f>
        <v/>
      </c>
      <c r="M1478" s="24" t="n"/>
      <c r="N1478" s="24" t="n"/>
      <c r="O1478" s="24" t="n"/>
      <c r="P1478" s="24" t="n"/>
      <c r="Q1478" s="22">
        <f>IF($D1478="","",IF(AND(OR(DANH_MUC!$L$5&lt;&gt;"Có",M1478="Có"),OR(DANH_MUC!$L$6&lt;&gt;"Có",N1478="Có"),OR(DANH_MUC!$L$7&lt;&gt;"Có",O1478="Có"),OR(DANH_MUC!$L$8&lt;&gt;"Có",P1478="Có")),"Có","Không"))</f>
        <v/>
      </c>
      <c r="R1478" s="22">
        <f>IF($D1478="","",IF(COUNTIF($D$2:$D1478,$D1478)&gt;1,"Trùng",""))</f>
        <v/>
      </c>
      <c r="S1478" s="22">
        <f>IF($D1478="","",IF(AND(LEN($D1478)=10,LEFT($D1478,1)="0",ISNUMBER(--$D1478)),"Có","Không"))</f>
        <v/>
      </c>
      <c r="T1478" s="22">
        <f>IF($D1478="","",IF(AND($C1478&lt;&gt;"",$Q1478="Có",$R1478="",$S1478="Có",AND($L1478&lt;&gt;"",OR($L1478&lt;&gt;"Chưa xác định",DANH_MUC!$L$9="Có"))),"Có","Không"))</f>
        <v/>
      </c>
      <c r="U1478" s="22">
        <f>IF(OR($D1478="",$T1478="Có"),"",IF($C1478="","Thiếu họ tên; ","")&amp;IF($S1478&lt;&gt;"Có","SĐT sai định dạng; ","")&amp;IF($R1478="Trùng","Trùng SĐT; ","")&amp;IF($Q1478&lt;&gt;"Có","Thiếu đồng ý bắt buộc; ","")&amp;IF($L1478="","Thiếu/sai Mã REF; ",IF(AND($L1478="Chưa xác định",DANH_MUC!$L$9&lt;&gt;"Có"),"Nguồn chưa xác định; ","")))</f>
        <v/>
      </c>
      <c r="V1478" s="22">
        <f>IF(OR($D1478="",$R1478="Trùng"),"",IF(COUNTIF(ORDERS!$C$2:$C$4995,$D1478)&gt;0,"Có","Không"))</f>
        <v/>
      </c>
      <c r="W1478" s="22">
        <f>IF(OR($D1478="",$R1478="Trùng"),"",COUNTIFS(ORDERS!$C$2:$C$4995,$D1478,ORDERS!$L$2:$L$4995,"Đã chuyển khoản"))</f>
        <v/>
      </c>
      <c r="X1478" s="23">
        <f>IF(OR($D1478="",$R1478="Trùng"),"",SUMIFS(ORDERS!$J$2:$J$4995,ORDERS!$C$2:$C$4995,$D1478,ORDERS!$L$2:$L$4995,"Đã chuyển khoản"))</f>
        <v/>
      </c>
      <c r="Y1478" s="24" t="n"/>
    </row>
    <row r="1479" ht="14.25" customHeight="1" s="40">
      <c r="A1479" s="24" t="n"/>
      <c r="B1479" s="27" t="n"/>
      <c r="C1479" s="24" t="n"/>
      <c r="D1479" s="28" t="n"/>
      <c r="E1479" s="29" t="n"/>
      <c r="F1479" s="24" t="n"/>
      <c r="G1479" s="24" t="n"/>
      <c r="H1479" s="21">
        <f>IF(ISNUMBER($B1479),INT($B1479)-WEEKDAY($B1479,2)+1,"")</f>
        <v/>
      </c>
      <c r="I1479" s="24" t="n"/>
      <c r="J1479" s="22">
        <f t="array" ref="J1479">IF($D1479="","",IF($I1479="","(trống REF)",IFERROR(INDEX(MASTER_SOURCE!$B$2:$B$495,MATCH($I1479,MASTER_SOURCE!$A$2:$A$495,0)),"(REF không có trong MASTER_SOURCE)")))</f>
        <v/>
      </c>
      <c r="K1479" s="22">
        <f t="array" ref="K1479">IF($D1479="","",IFERROR(INDEX(MASTER_SOURCE!$C$2:$C$495,MATCH($I1479,MASTER_SOURCE!$A$2:$A$495,0)),""))</f>
        <v/>
      </c>
      <c r="L1479" s="22">
        <f t="array" ref="L1479">IF($D1479="","",IFERROR(INDEX(MASTER_SOURCE!$D$2:$D$495,MATCH($I1479,MASTER_SOURCE!$A$2:$A$495,0)),""))</f>
        <v/>
      </c>
      <c r="M1479" s="24" t="n"/>
      <c r="N1479" s="24" t="n"/>
      <c r="O1479" s="24" t="n"/>
      <c r="P1479" s="24" t="n"/>
      <c r="Q1479" s="22">
        <f>IF($D1479="","",IF(AND(OR(DANH_MUC!$L$5&lt;&gt;"Có",M1479="Có"),OR(DANH_MUC!$L$6&lt;&gt;"Có",N1479="Có"),OR(DANH_MUC!$L$7&lt;&gt;"Có",O1479="Có"),OR(DANH_MUC!$L$8&lt;&gt;"Có",P1479="Có")),"Có","Không"))</f>
        <v/>
      </c>
      <c r="R1479" s="22">
        <f>IF($D1479="","",IF(COUNTIF($D$2:$D1479,$D1479)&gt;1,"Trùng",""))</f>
        <v/>
      </c>
      <c r="S1479" s="22">
        <f>IF($D1479="","",IF(AND(LEN($D1479)=10,LEFT($D1479,1)="0",ISNUMBER(--$D1479)),"Có","Không"))</f>
        <v/>
      </c>
      <c r="T1479" s="22">
        <f>IF($D1479="","",IF(AND($C1479&lt;&gt;"",$Q1479="Có",$R1479="",$S1479="Có",AND($L1479&lt;&gt;"",OR($L1479&lt;&gt;"Chưa xác định",DANH_MUC!$L$9="Có"))),"Có","Không"))</f>
        <v/>
      </c>
      <c r="U1479" s="22">
        <f>IF(OR($D1479="",$T1479="Có"),"",IF($C1479="","Thiếu họ tên; ","")&amp;IF($S1479&lt;&gt;"Có","SĐT sai định dạng; ","")&amp;IF($R1479="Trùng","Trùng SĐT; ","")&amp;IF($Q1479&lt;&gt;"Có","Thiếu đồng ý bắt buộc; ","")&amp;IF($L1479="","Thiếu/sai Mã REF; ",IF(AND($L1479="Chưa xác định",DANH_MUC!$L$9&lt;&gt;"Có"),"Nguồn chưa xác định; ","")))</f>
        <v/>
      </c>
      <c r="V1479" s="22">
        <f>IF(OR($D1479="",$R1479="Trùng"),"",IF(COUNTIF(ORDERS!$C$2:$C$4995,$D1479)&gt;0,"Có","Không"))</f>
        <v/>
      </c>
      <c r="W1479" s="22">
        <f>IF(OR($D1479="",$R1479="Trùng"),"",COUNTIFS(ORDERS!$C$2:$C$4995,$D1479,ORDERS!$L$2:$L$4995,"Đã chuyển khoản"))</f>
        <v/>
      </c>
      <c r="X1479" s="23">
        <f>IF(OR($D1479="",$R1479="Trùng"),"",SUMIFS(ORDERS!$J$2:$J$4995,ORDERS!$C$2:$C$4995,$D1479,ORDERS!$L$2:$L$4995,"Đã chuyển khoản"))</f>
        <v/>
      </c>
      <c r="Y1479" s="24" t="n"/>
    </row>
    <row r="1480" ht="14.25" customHeight="1" s="40">
      <c r="A1480" s="24" t="n"/>
      <c r="B1480" s="27" t="n"/>
      <c r="C1480" s="24" t="n"/>
      <c r="D1480" s="28" t="n"/>
      <c r="E1480" s="29" t="n"/>
      <c r="F1480" s="24" t="n"/>
      <c r="G1480" s="24" t="n"/>
      <c r="H1480" s="21">
        <f>IF(ISNUMBER($B1480),INT($B1480)-WEEKDAY($B1480,2)+1,"")</f>
        <v/>
      </c>
      <c r="I1480" s="24" t="n"/>
      <c r="J1480" s="22">
        <f t="array" ref="J1480">IF($D1480="","",IF($I1480="","(trống REF)",IFERROR(INDEX(MASTER_SOURCE!$B$2:$B$495,MATCH($I1480,MASTER_SOURCE!$A$2:$A$495,0)),"(REF không có trong MASTER_SOURCE)")))</f>
        <v/>
      </c>
      <c r="K1480" s="22">
        <f t="array" ref="K1480">IF($D1480="","",IFERROR(INDEX(MASTER_SOURCE!$C$2:$C$495,MATCH($I1480,MASTER_SOURCE!$A$2:$A$495,0)),""))</f>
        <v/>
      </c>
      <c r="L1480" s="22">
        <f t="array" ref="L1480">IF($D1480="","",IFERROR(INDEX(MASTER_SOURCE!$D$2:$D$495,MATCH($I1480,MASTER_SOURCE!$A$2:$A$495,0)),""))</f>
        <v/>
      </c>
      <c r="M1480" s="24" t="n"/>
      <c r="N1480" s="24" t="n"/>
      <c r="O1480" s="24" t="n"/>
      <c r="P1480" s="24" t="n"/>
      <c r="Q1480" s="22">
        <f>IF($D1480="","",IF(AND(OR(DANH_MUC!$L$5&lt;&gt;"Có",M1480="Có"),OR(DANH_MUC!$L$6&lt;&gt;"Có",N1480="Có"),OR(DANH_MUC!$L$7&lt;&gt;"Có",O1480="Có"),OR(DANH_MUC!$L$8&lt;&gt;"Có",P1480="Có")),"Có","Không"))</f>
        <v/>
      </c>
      <c r="R1480" s="22">
        <f>IF($D1480="","",IF(COUNTIF($D$2:$D1480,$D1480)&gt;1,"Trùng",""))</f>
        <v/>
      </c>
      <c r="S1480" s="22">
        <f>IF($D1480="","",IF(AND(LEN($D1480)=10,LEFT($D1480,1)="0",ISNUMBER(--$D1480)),"Có","Không"))</f>
        <v/>
      </c>
      <c r="T1480" s="22">
        <f>IF($D1480="","",IF(AND($C1480&lt;&gt;"",$Q1480="Có",$R1480="",$S1480="Có",AND($L1480&lt;&gt;"",OR($L1480&lt;&gt;"Chưa xác định",DANH_MUC!$L$9="Có"))),"Có","Không"))</f>
        <v/>
      </c>
      <c r="U1480" s="22">
        <f>IF(OR($D1480="",$T1480="Có"),"",IF($C1480="","Thiếu họ tên; ","")&amp;IF($S1480&lt;&gt;"Có","SĐT sai định dạng; ","")&amp;IF($R1480="Trùng","Trùng SĐT; ","")&amp;IF($Q1480&lt;&gt;"Có","Thiếu đồng ý bắt buộc; ","")&amp;IF($L1480="","Thiếu/sai Mã REF; ",IF(AND($L1480="Chưa xác định",DANH_MUC!$L$9&lt;&gt;"Có"),"Nguồn chưa xác định; ","")))</f>
        <v/>
      </c>
      <c r="V1480" s="22">
        <f>IF(OR($D1480="",$R1480="Trùng"),"",IF(COUNTIF(ORDERS!$C$2:$C$4995,$D1480)&gt;0,"Có","Không"))</f>
        <v/>
      </c>
      <c r="W1480" s="22">
        <f>IF(OR($D1480="",$R1480="Trùng"),"",COUNTIFS(ORDERS!$C$2:$C$4995,$D1480,ORDERS!$L$2:$L$4995,"Đã chuyển khoản"))</f>
        <v/>
      </c>
      <c r="X1480" s="23">
        <f>IF(OR($D1480="",$R1480="Trùng"),"",SUMIFS(ORDERS!$J$2:$J$4995,ORDERS!$C$2:$C$4995,$D1480,ORDERS!$L$2:$L$4995,"Đã chuyển khoản"))</f>
        <v/>
      </c>
      <c r="Y1480" s="24" t="n"/>
    </row>
    <row r="1481" ht="14.25" customHeight="1" s="40">
      <c r="A1481" s="24" t="n"/>
      <c r="B1481" s="27" t="n"/>
      <c r="C1481" s="24" t="n"/>
      <c r="D1481" s="28" t="n"/>
      <c r="E1481" s="29" t="n"/>
      <c r="F1481" s="24" t="n"/>
      <c r="G1481" s="24" t="n"/>
      <c r="H1481" s="21">
        <f>IF(ISNUMBER($B1481),INT($B1481)-WEEKDAY($B1481,2)+1,"")</f>
        <v/>
      </c>
      <c r="I1481" s="24" t="n"/>
      <c r="J1481" s="22">
        <f t="array" ref="J1481">IF($D1481="","",IF($I1481="","(trống REF)",IFERROR(INDEX(MASTER_SOURCE!$B$2:$B$495,MATCH($I1481,MASTER_SOURCE!$A$2:$A$495,0)),"(REF không có trong MASTER_SOURCE)")))</f>
        <v/>
      </c>
      <c r="K1481" s="22">
        <f t="array" ref="K1481">IF($D1481="","",IFERROR(INDEX(MASTER_SOURCE!$C$2:$C$495,MATCH($I1481,MASTER_SOURCE!$A$2:$A$495,0)),""))</f>
        <v/>
      </c>
      <c r="L1481" s="22">
        <f t="array" ref="L1481">IF($D1481="","",IFERROR(INDEX(MASTER_SOURCE!$D$2:$D$495,MATCH($I1481,MASTER_SOURCE!$A$2:$A$495,0)),""))</f>
        <v/>
      </c>
      <c r="M1481" s="24" t="n"/>
      <c r="N1481" s="24" t="n"/>
      <c r="O1481" s="24" t="n"/>
      <c r="P1481" s="24" t="n"/>
      <c r="Q1481" s="22">
        <f>IF($D1481="","",IF(AND(OR(DANH_MUC!$L$5&lt;&gt;"Có",M1481="Có"),OR(DANH_MUC!$L$6&lt;&gt;"Có",N1481="Có"),OR(DANH_MUC!$L$7&lt;&gt;"Có",O1481="Có"),OR(DANH_MUC!$L$8&lt;&gt;"Có",P1481="Có")),"Có","Không"))</f>
        <v/>
      </c>
      <c r="R1481" s="22">
        <f>IF($D1481="","",IF(COUNTIF($D$2:$D1481,$D1481)&gt;1,"Trùng",""))</f>
        <v/>
      </c>
      <c r="S1481" s="22">
        <f>IF($D1481="","",IF(AND(LEN($D1481)=10,LEFT($D1481,1)="0",ISNUMBER(--$D1481)),"Có","Không"))</f>
        <v/>
      </c>
      <c r="T1481" s="22">
        <f>IF($D1481="","",IF(AND($C1481&lt;&gt;"",$Q1481="Có",$R1481="",$S1481="Có",AND($L1481&lt;&gt;"",OR($L1481&lt;&gt;"Chưa xác định",DANH_MUC!$L$9="Có"))),"Có","Không"))</f>
        <v/>
      </c>
      <c r="U1481" s="22">
        <f>IF(OR($D1481="",$T1481="Có"),"",IF($C1481="","Thiếu họ tên; ","")&amp;IF($S1481&lt;&gt;"Có","SĐT sai định dạng; ","")&amp;IF($R1481="Trùng","Trùng SĐT; ","")&amp;IF($Q1481&lt;&gt;"Có","Thiếu đồng ý bắt buộc; ","")&amp;IF($L1481="","Thiếu/sai Mã REF; ",IF(AND($L1481="Chưa xác định",DANH_MUC!$L$9&lt;&gt;"Có"),"Nguồn chưa xác định; ","")))</f>
        <v/>
      </c>
      <c r="V1481" s="22">
        <f>IF(OR($D1481="",$R1481="Trùng"),"",IF(COUNTIF(ORDERS!$C$2:$C$4995,$D1481)&gt;0,"Có","Không"))</f>
        <v/>
      </c>
      <c r="W1481" s="22">
        <f>IF(OR($D1481="",$R1481="Trùng"),"",COUNTIFS(ORDERS!$C$2:$C$4995,$D1481,ORDERS!$L$2:$L$4995,"Đã chuyển khoản"))</f>
        <v/>
      </c>
      <c r="X1481" s="23">
        <f>IF(OR($D1481="",$R1481="Trùng"),"",SUMIFS(ORDERS!$J$2:$J$4995,ORDERS!$C$2:$C$4995,$D1481,ORDERS!$L$2:$L$4995,"Đã chuyển khoản"))</f>
        <v/>
      </c>
      <c r="Y1481" s="24" t="n"/>
    </row>
    <row r="1482" ht="14.25" customHeight="1" s="40">
      <c r="A1482" s="24" t="n"/>
      <c r="B1482" s="27" t="n"/>
      <c r="C1482" s="24" t="n"/>
      <c r="D1482" s="28" t="n"/>
      <c r="E1482" s="29" t="n"/>
      <c r="F1482" s="24" t="n"/>
      <c r="G1482" s="24" t="n"/>
      <c r="H1482" s="21">
        <f>IF(ISNUMBER($B1482),INT($B1482)-WEEKDAY($B1482,2)+1,"")</f>
        <v/>
      </c>
      <c r="I1482" s="24" t="n"/>
      <c r="J1482" s="22">
        <f t="array" ref="J1482">IF($D1482="","",IF($I1482="","(trống REF)",IFERROR(INDEX(MASTER_SOURCE!$B$2:$B$495,MATCH($I1482,MASTER_SOURCE!$A$2:$A$495,0)),"(REF không có trong MASTER_SOURCE)")))</f>
        <v/>
      </c>
      <c r="K1482" s="22">
        <f t="array" ref="K1482">IF($D1482="","",IFERROR(INDEX(MASTER_SOURCE!$C$2:$C$495,MATCH($I1482,MASTER_SOURCE!$A$2:$A$495,0)),""))</f>
        <v/>
      </c>
      <c r="L1482" s="22">
        <f t="array" ref="L1482">IF($D1482="","",IFERROR(INDEX(MASTER_SOURCE!$D$2:$D$495,MATCH($I1482,MASTER_SOURCE!$A$2:$A$495,0)),""))</f>
        <v/>
      </c>
      <c r="M1482" s="24" t="n"/>
      <c r="N1482" s="24" t="n"/>
      <c r="O1482" s="24" t="n"/>
      <c r="P1482" s="24" t="n"/>
      <c r="Q1482" s="22">
        <f>IF($D1482="","",IF(AND(OR(DANH_MUC!$L$5&lt;&gt;"Có",M1482="Có"),OR(DANH_MUC!$L$6&lt;&gt;"Có",N1482="Có"),OR(DANH_MUC!$L$7&lt;&gt;"Có",O1482="Có"),OR(DANH_MUC!$L$8&lt;&gt;"Có",P1482="Có")),"Có","Không"))</f>
        <v/>
      </c>
      <c r="R1482" s="22">
        <f>IF($D1482="","",IF(COUNTIF($D$2:$D1482,$D1482)&gt;1,"Trùng",""))</f>
        <v/>
      </c>
      <c r="S1482" s="22">
        <f>IF($D1482="","",IF(AND(LEN($D1482)=10,LEFT($D1482,1)="0",ISNUMBER(--$D1482)),"Có","Không"))</f>
        <v/>
      </c>
      <c r="T1482" s="22">
        <f>IF($D1482="","",IF(AND($C1482&lt;&gt;"",$Q1482="Có",$R1482="",$S1482="Có",AND($L1482&lt;&gt;"",OR($L1482&lt;&gt;"Chưa xác định",DANH_MUC!$L$9="Có"))),"Có","Không"))</f>
        <v/>
      </c>
      <c r="U1482" s="22">
        <f>IF(OR($D1482="",$T1482="Có"),"",IF($C1482="","Thiếu họ tên; ","")&amp;IF($S1482&lt;&gt;"Có","SĐT sai định dạng; ","")&amp;IF($R1482="Trùng","Trùng SĐT; ","")&amp;IF($Q1482&lt;&gt;"Có","Thiếu đồng ý bắt buộc; ","")&amp;IF($L1482="","Thiếu/sai Mã REF; ",IF(AND($L1482="Chưa xác định",DANH_MUC!$L$9&lt;&gt;"Có"),"Nguồn chưa xác định; ","")))</f>
        <v/>
      </c>
      <c r="V1482" s="22">
        <f>IF(OR($D1482="",$R1482="Trùng"),"",IF(COUNTIF(ORDERS!$C$2:$C$4995,$D1482)&gt;0,"Có","Không"))</f>
        <v/>
      </c>
      <c r="W1482" s="22">
        <f>IF(OR($D1482="",$R1482="Trùng"),"",COUNTIFS(ORDERS!$C$2:$C$4995,$D1482,ORDERS!$L$2:$L$4995,"Đã chuyển khoản"))</f>
        <v/>
      </c>
      <c r="X1482" s="23">
        <f>IF(OR($D1482="",$R1482="Trùng"),"",SUMIFS(ORDERS!$J$2:$J$4995,ORDERS!$C$2:$C$4995,$D1482,ORDERS!$L$2:$L$4995,"Đã chuyển khoản"))</f>
        <v/>
      </c>
      <c r="Y1482" s="24" t="n"/>
    </row>
    <row r="1483" ht="14.25" customHeight="1" s="40">
      <c r="A1483" s="24" t="n"/>
      <c r="B1483" s="27" t="n"/>
      <c r="C1483" s="24" t="n"/>
      <c r="D1483" s="28" t="n"/>
      <c r="E1483" s="29" t="n"/>
      <c r="F1483" s="24" t="n"/>
      <c r="G1483" s="24" t="n"/>
      <c r="H1483" s="21">
        <f>IF(ISNUMBER($B1483),INT($B1483)-WEEKDAY($B1483,2)+1,"")</f>
        <v/>
      </c>
      <c r="I1483" s="24" t="n"/>
      <c r="J1483" s="22">
        <f t="array" ref="J1483">IF($D1483="","",IF($I1483="","(trống REF)",IFERROR(INDEX(MASTER_SOURCE!$B$2:$B$495,MATCH($I1483,MASTER_SOURCE!$A$2:$A$495,0)),"(REF không có trong MASTER_SOURCE)")))</f>
        <v/>
      </c>
      <c r="K1483" s="22">
        <f t="array" ref="K1483">IF($D1483="","",IFERROR(INDEX(MASTER_SOURCE!$C$2:$C$495,MATCH($I1483,MASTER_SOURCE!$A$2:$A$495,0)),""))</f>
        <v/>
      </c>
      <c r="L1483" s="22">
        <f t="array" ref="L1483">IF($D1483="","",IFERROR(INDEX(MASTER_SOURCE!$D$2:$D$495,MATCH($I1483,MASTER_SOURCE!$A$2:$A$495,0)),""))</f>
        <v/>
      </c>
      <c r="M1483" s="24" t="n"/>
      <c r="N1483" s="24" t="n"/>
      <c r="O1483" s="24" t="n"/>
      <c r="P1483" s="24" t="n"/>
      <c r="Q1483" s="22">
        <f>IF($D1483="","",IF(AND(OR(DANH_MUC!$L$5&lt;&gt;"Có",M1483="Có"),OR(DANH_MUC!$L$6&lt;&gt;"Có",N1483="Có"),OR(DANH_MUC!$L$7&lt;&gt;"Có",O1483="Có"),OR(DANH_MUC!$L$8&lt;&gt;"Có",P1483="Có")),"Có","Không"))</f>
        <v/>
      </c>
      <c r="R1483" s="22">
        <f>IF($D1483="","",IF(COUNTIF($D$2:$D1483,$D1483)&gt;1,"Trùng",""))</f>
        <v/>
      </c>
      <c r="S1483" s="22">
        <f>IF($D1483="","",IF(AND(LEN($D1483)=10,LEFT($D1483,1)="0",ISNUMBER(--$D1483)),"Có","Không"))</f>
        <v/>
      </c>
      <c r="T1483" s="22">
        <f>IF($D1483="","",IF(AND($C1483&lt;&gt;"",$Q1483="Có",$R1483="",$S1483="Có",AND($L1483&lt;&gt;"",OR($L1483&lt;&gt;"Chưa xác định",DANH_MUC!$L$9="Có"))),"Có","Không"))</f>
        <v/>
      </c>
      <c r="U1483" s="22">
        <f>IF(OR($D1483="",$T1483="Có"),"",IF($C1483="","Thiếu họ tên; ","")&amp;IF($S1483&lt;&gt;"Có","SĐT sai định dạng; ","")&amp;IF($R1483="Trùng","Trùng SĐT; ","")&amp;IF($Q1483&lt;&gt;"Có","Thiếu đồng ý bắt buộc; ","")&amp;IF($L1483="","Thiếu/sai Mã REF; ",IF(AND($L1483="Chưa xác định",DANH_MUC!$L$9&lt;&gt;"Có"),"Nguồn chưa xác định; ","")))</f>
        <v/>
      </c>
      <c r="V1483" s="22">
        <f>IF(OR($D1483="",$R1483="Trùng"),"",IF(COUNTIF(ORDERS!$C$2:$C$4995,$D1483)&gt;0,"Có","Không"))</f>
        <v/>
      </c>
      <c r="W1483" s="22">
        <f>IF(OR($D1483="",$R1483="Trùng"),"",COUNTIFS(ORDERS!$C$2:$C$4995,$D1483,ORDERS!$L$2:$L$4995,"Đã chuyển khoản"))</f>
        <v/>
      </c>
      <c r="X1483" s="23">
        <f>IF(OR($D1483="",$R1483="Trùng"),"",SUMIFS(ORDERS!$J$2:$J$4995,ORDERS!$C$2:$C$4995,$D1483,ORDERS!$L$2:$L$4995,"Đã chuyển khoản"))</f>
        <v/>
      </c>
      <c r="Y1483" s="24" t="n"/>
    </row>
    <row r="1484" ht="14.25" customHeight="1" s="40">
      <c r="A1484" s="24" t="n"/>
      <c r="B1484" s="27" t="n"/>
      <c r="C1484" s="24" t="n"/>
      <c r="D1484" s="28" t="n"/>
      <c r="E1484" s="29" t="n"/>
      <c r="F1484" s="24" t="n"/>
      <c r="G1484" s="24" t="n"/>
      <c r="H1484" s="21">
        <f>IF(ISNUMBER($B1484),INT($B1484)-WEEKDAY($B1484,2)+1,"")</f>
        <v/>
      </c>
      <c r="I1484" s="24" t="n"/>
      <c r="J1484" s="22">
        <f t="array" ref="J1484">IF($D1484="","",IF($I1484="","(trống REF)",IFERROR(INDEX(MASTER_SOURCE!$B$2:$B$495,MATCH($I1484,MASTER_SOURCE!$A$2:$A$495,0)),"(REF không có trong MASTER_SOURCE)")))</f>
        <v/>
      </c>
      <c r="K1484" s="22">
        <f t="array" ref="K1484">IF($D1484="","",IFERROR(INDEX(MASTER_SOURCE!$C$2:$C$495,MATCH($I1484,MASTER_SOURCE!$A$2:$A$495,0)),""))</f>
        <v/>
      </c>
      <c r="L1484" s="22">
        <f t="array" ref="L1484">IF($D1484="","",IFERROR(INDEX(MASTER_SOURCE!$D$2:$D$495,MATCH($I1484,MASTER_SOURCE!$A$2:$A$495,0)),""))</f>
        <v/>
      </c>
      <c r="M1484" s="24" t="n"/>
      <c r="N1484" s="24" t="n"/>
      <c r="O1484" s="24" t="n"/>
      <c r="P1484" s="24" t="n"/>
      <c r="Q1484" s="22">
        <f>IF($D1484="","",IF(AND(OR(DANH_MUC!$L$5&lt;&gt;"Có",M1484="Có"),OR(DANH_MUC!$L$6&lt;&gt;"Có",N1484="Có"),OR(DANH_MUC!$L$7&lt;&gt;"Có",O1484="Có"),OR(DANH_MUC!$L$8&lt;&gt;"Có",P1484="Có")),"Có","Không"))</f>
        <v/>
      </c>
      <c r="R1484" s="22">
        <f>IF($D1484="","",IF(COUNTIF($D$2:$D1484,$D1484)&gt;1,"Trùng",""))</f>
        <v/>
      </c>
      <c r="S1484" s="22">
        <f>IF($D1484="","",IF(AND(LEN($D1484)=10,LEFT($D1484,1)="0",ISNUMBER(--$D1484)),"Có","Không"))</f>
        <v/>
      </c>
      <c r="T1484" s="22">
        <f>IF($D1484="","",IF(AND($C1484&lt;&gt;"",$Q1484="Có",$R1484="",$S1484="Có",AND($L1484&lt;&gt;"",OR($L1484&lt;&gt;"Chưa xác định",DANH_MUC!$L$9="Có"))),"Có","Không"))</f>
        <v/>
      </c>
      <c r="U1484" s="22">
        <f>IF(OR($D1484="",$T1484="Có"),"",IF($C1484="","Thiếu họ tên; ","")&amp;IF($S1484&lt;&gt;"Có","SĐT sai định dạng; ","")&amp;IF($R1484="Trùng","Trùng SĐT; ","")&amp;IF($Q1484&lt;&gt;"Có","Thiếu đồng ý bắt buộc; ","")&amp;IF($L1484="","Thiếu/sai Mã REF; ",IF(AND($L1484="Chưa xác định",DANH_MUC!$L$9&lt;&gt;"Có"),"Nguồn chưa xác định; ","")))</f>
        <v/>
      </c>
      <c r="V1484" s="22">
        <f>IF(OR($D1484="",$R1484="Trùng"),"",IF(COUNTIF(ORDERS!$C$2:$C$4995,$D1484)&gt;0,"Có","Không"))</f>
        <v/>
      </c>
      <c r="W1484" s="22">
        <f>IF(OR($D1484="",$R1484="Trùng"),"",COUNTIFS(ORDERS!$C$2:$C$4995,$D1484,ORDERS!$L$2:$L$4995,"Đã chuyển khoản"))</f>
        <v/>
      </c>
      <c r="X1484" s="23">
        <f>IF(OR($D1484="",$R1484="Trùng"),"",SUMIFS(ORDERS!$J$2:$J$4995,ORDERS!$C$2:$C$4995,$D1484,ORDERS!$L$2:$L$4995,"Đã chuyển khoản"))</f>
        <v/>
      </c>
      <c r="Y1484" s="24" t="n"/>
    </row>
    <row r="1485" ht="14.25" customHeight="1" s="40">
      <c r="A1485" s="24" t="n"/>
      <c r="B1485" s="27" t="n"/>
      <c r="C1485" s="24" t="n"/>
      <c r="D1485" s="28" t="n"/>
      <c r="E1485" s="29" t="n"/>
      <c r="F1485" s="24" t="n"/>
      <c r="G1485" s="24" t="n"/>
      <c r="H1485" s="21">
        <f>IF(ISNUMBER($B1485),INT($B1485)-WEEKDAY($B1485,2)+1,"")</f>
        <v/>
      </c>
      <c r="I1485" s="24" t="n"/>
      <c r="J1485" s="22">
        <f t="array" ref="J1485">IF($D1485="","",IF($I1485="","(trống REF)",IFERROR(INDEX(MASTER_SOURCE!$B$2:$B$495,MATCH($I1485,MASTER_SOURCE!$A$2:$A$495,0)),"(REF không có trong MASTER_SOURCE)")))</f>
        <v/>
      </c>
      <c r="K1485" s="22">
        <f t="array" ref="K1485">IF($D1485="","",IFERROR(INDEX(MASTER_SOURCE!$C$2:$C$495,MATCH($I1485,MASTER_SOURCE!$A$2:$A$495,0)),""))</f>
        <v/>
      </c>
      <c r="L1485" s="22">
        <f t="array" ref="L1485">IF($D1485="","",IFERROR(INDEX(MASTER_SOURCE!$D$2:$D$495,MATCH($I1485,MASTER_SOURCE!$A$2:$A$495,0)),""))</f>
        <v/>
      </c>
      <c r="M1485" s="24" t="n"/>
      <c r="N1485" s="24" t="n"/>
      <c r="O1485" s="24" t="n"/>
      <c r="P1485" s="24" t="n"/>
      <c r="Q1485" s="22">
        <f>IF($D1485="","",IF(AND(OR(DANH_MUC!$L$5&lt;&gt;"Có",M1485="Có"),OR(DANH_MUC!$L$6&lt;&gt;"Có",N1485="Có"),OR(DANH_MUC!$L$7&lt;&gt;"Có",O1485="Có"),OR(DANH_MUC!$L$8&lt;&gt;"Có",P1485="Có")),"Có","Không"))</f>
        <v/>
      </c>
      <c r="R1485" s="22">
        <f>IF($D1485="","",IF(COUNTIF($D$2:$D1485,$D1485)&gt;1,"Trùng",""))</f>
        <v/>
      </c>
      <c r="S1485" s="22">
        <f>IF($D1485="","",IF(AND(LEN($D1485)=10,LEFT($D1485,1)="0",ISNUMBER(--$D1485)),"Có","Không"))</f>
        <v/>
      </c>
      <c r="T1485" s="22">
        <f>IF($D1485="","",IF(AND($C1485&lt;&gt;"",$Q1485="Có",$R1485="",$S1485="Có",AND($L1485&lt;&gt;"",OR($L1485&lt;&gt;"Chưa xác định",DANH_MUC!$L$9="Có"))),"Có","Không"))</f>
        <v/>
      </c>
      <c r="U1485" s="22">
        <f>IF(OR($D1485="",$T1485="Có"),"",IF($C1485="","Thiếu họ tên; ","")&amp;IF($S1485&lt;&gt;"Có","SĐT sai định dạng; ","")&amp;IF($R1485="Trùng","Trùng SĐT; ","")&amp;IF($Q1485&lt;&gt;"Có","Thiếu đồng ý bắt buộc; ","")&amp;IF($L1485="","Thiếu/sai Mã REF; ",IF(AND($L1485="Chưa xác định",DANH_MUC!$L$9&lt;&gt;"Có"),"Nguồn chưa xác định; ","")))</f>
        <v/>
      </c>
      <c r="V1485" s="22">
        <f>IF(OR($D1485="",$R1485="Trùng"),"",IF(COUNTIF(ORDERS!$C$2:$C$4995,$D1485)&gt;0,"Có","Không"))</f>
        <v/>
      </c>
      <c r="W1485" s="22">
        <f>IF(OR($D1485="",$R1485="Trùng"),"",COUNTIFS(ORDERS!$C$2:$C$4995,$D1485,ORDERS!$L$2:$L$4995,"Đã chuyển khoản"))</f>
        <v/>
      </c>
      <c r="X1485" s="23">
        <f>IF(OR($D1485="",$R1485="Trùng"),"",SUMIFS(ORDERS!$J$2:$J$4995,ORDERS!$C$2:$C$4995,$D1485,ORDERS!$L$2:$L$4995,"Đã chuyển khoản"))</f>
        <v/>
      </c>
      <c r="Y1485" s="24" t="n"/>
    </row>
    <row r="1486" ht="14.25" customHeight="1" s="40">
      <c r="A1486" s="24" t="n"/>
      <c r="B1486" s="27" t="n"/>
      <c r="C1486" s="24" t="n"/>
      <c r="D1486" s="28" t="n"/>
      <c r="E1486" s="29" t="n"/>
      <c r="F1486" s="24" t="n"/>
      <c r="G1486" s="24" t="n"/>
      <c r="H1486" s="21">
        <f>IF(ISNUMBER($B1486),INT($B1486)-WEEKDAY($B1486,2)+1,"")</f>
        <v/>
      </c>
      <c r="I1486" s="24" t="n"/>
      <c r="J1486" s="22">
        <f t="array" ref="J1486">IF($D1486="","",IF($I1486="","(trống REF)",IFERROR(INDEX(MASTER_SOURCE!$B$2:$B$495,MATCH($I1486,MASTER_SOURCE!$A$2:$A$495,0)),"(REF không có trong MASTER_SOURCE)")))</f>
        <v/>
      </c>
      <c r="K1486" s="22">
        <f t="array" ref="K1486">IF($D1486="","",IFERROR(INDEX(MASTER_SOURCE!$C$2:$C$495,MATCH($I1486,MASTER_SOURCE!$A$2:$A$495,0)),""))</f>
        <v/>
      </c>
      <c r="L1486" s="22">
        <f t="array" ref="L1486">IF($D1486="","",IFERROR(INDEX(MASTER_SOURCE!$D$2:$D$495,MATCH($I1486,MASTER_SOURCE!$A$2:$A$495,0)),""))</f>
        <v/>
      </c>
      <c r="M1486" s="24" t="n"/>
      <c r="N1486" s="24" t="n"/>
      <c r="O1486" s="24" t="n"/>
      <c r="P1486" s="24" t="n"/>
      <c r="Q1486" s="22">
        <f>IF($D1486="","",IF(AND(OR(DANH_MUC!$L$5&lt;&gt;"Có",M1486="Có"),OR(DANH_MUC!$L$6&lt;&gt;"Có",N1486="Có"),OR(DANH_MUC!$L$7&lt;&gt;"Có",O1486="Có"),OR(DANH_MUC!$L$8&lt;&gt;"Có",P1486="Có")),"Có","Không"))</f>
        <v/>
      </c>
      <c r="R1486" s="22">
        <f>IF($D1486="","",IF(COUNTIF($D$2:$D1486,$D1486)&gt;1,"Trùng",""))</f>
        <v/>
      </c>
      <c r="S1486" s="22">
        <f>IF($D1486="","",IF(AND(LEN($D1486)=10,LEFT($D1486,1)="0",ISNUMBER(--$D1486)),"Có","Không"))</f>
        <v/>
      </c>
      <c r="T1486" s="22">
        <f>IF($D1486="","",IF(AND($C1486&lt;&gt;"",$Q1486="Có",$R1486="",$S1486="Có",AND($L1486&lt;&gt;"",OR($L1486&lt;&gt;"Chưa xác định",DANH_MUC!$L$9="Có"))),"Có","Không"))</f>
        <v/>
      </c>
      <c r="U1486" s="22">
        <f>IF(OR($D1486="",$T1486="Có"),"",IF($C1486="","Thiếu họ tên; ","")&amp;IF($S1486&lt;&gt;"Có","SĐT sai định dạng; ","")&amp;IF($R1486="Trùng","Trùng SĐT; ","")&amp;IF($Q1486&lt;&gt;"Có","Thiếu đồng ý bắt buộc; ","")&amp;IF($L1486="","Thiếu/sai Mã REF; ",IF(AND($L1486="Chưa xác định",DANH_MUC!$L$9&lt;&gt;"Có"),"Nguồn chưa xác định; ","")))</f>
        <v/>
      </c>
      <c r="V1486" s="22">
        <f>IF(OR($D1486="",$R1486="Trùng"),"",IF(COUNTIF(ORDERS!$C$2:$C$4995,$D1486)&gt;0,"Có","Không"))</f>
        <v/>
      </c>
      <c r="W1486" s="22">
        <f>IF(OR($D1486="",$R1486="Trùng"),"",COUNTIFS(ORDERS!$C$2:$C$4995,$D1486,ORDERS!$L$2:$L$4995,"Đã chuyển khoản"))</f>
        <v/>
      </c>
      <c r="X1486" s="23">
        <f>IF(OR($D1486="",$R1486="Trùng"),"",SUMIFS(ORDERS!$J$2:$J$4995,ORDERS!$C$2:$C$4995,$D1486,ORDERS!$L$2:$L$4995,"Đã chuyển khoản"))</f>
        <v/>
      </c>
      <c r="Y1486" s="24" t="n"/>
    </row>
    <row r="1487" ht="14.25" customHeight="1" s="40">
      <c r="A1487" s="24" t="n"/>
      <c r="B1487" s="27" t="n"/>
      <c r="C1487" s="24" t="n"/>
      <c r="D1487" s="28" t="n"/>
      <c r="E1487" s="29" t="n"/>
      <c r="F1487" s="24" t="n"/>
      <c r="G1487" s="24" t="n"/>
      <c r="H1487" s="21">
        <f>IF(ISNUMBER($B1487),INT($B1487)-WEEKDAY($B1487,2)+1,"")</f>
        <v/>
      </c>
      <c r="I1487" s="24" t="n"/>
      <c r="J1487" s="22">
        <f t="array" ref="J1487">IF($D1487="","",IF($I1487="","(trống REF)",IFERROR(INDEX(MASTER_SOURCE!$B$2:$B$495,MATCH($I1487,MASTER_SOURCE!$A$2:$A$495,0)),"(REF không có trong MASTER_SOURCE)")))</f>
        <v/>
      </c>
      <c r="K1487" s="22">
        <f t="array" ref="K1487">IF($D1487="","",IFERROR(INDEX(MASTER_SOURCE!$C$2:$C$495,MATCH($I1487,MASTER_SOURCE!$A$2:$A$495,0)),""))</f>
        <v/>
      </c>
      <c r="L1487" s="22">
        <f t="array" ref="L1487">IF($D1487="","",IFERROR(INDEX(MASTER_SOURCE!$D$2:$D$495,MATCH($I1487,MASTER_SOURCE!$A$2:$A$495,0)),""))</f>
        <v/>
      </c>
      <c r="M1487" s="24" t="n"/>
      <c r="N1487" s="24" t="n"/>
      <c r="O1487" s="24" t="n"/>
      <c r="P1487" s="24" t="n"/>
      <c r="Q1487" s="22">
        <f>IF($D1487="","",IF(AND(OR(DANH_MUC!$L$5&lt;&gt;"Có",M1487="Có"),OR(DANH_MUC!$L$6&lt;&gt;"Có",N1487="Có"),OR(DANH_MUC!$L$7&lt;&gt;"Có",O1487="Có"),OR(DANH_MUC!$L$8&lt;&gt;"Có",P1487="Có")),"Có","Không"))</f>
        <v/>
      </c>
      <c r="R1487" s="22">
        <f>IF($D1487="","",IF(COUNTIF($D$2:$D1487,$D1487)&gt;1,"Trùng",""))</f>
        <v/>
      </c>
      <c r="S1487" s="22">
        <f>IF($D1487="","",IF(AND(LEN($D1487)=10,LEFT($D1487,1)="0",ISNUMBER(--$D1487)),"Có","Không"))</f>
        <v/>
      </c>
      <c r="T1487" s="22">
        <f>IF($D1487="","",IF(AND($C1487&lt;&gt;"",$Q1487="Có",$R1487="",$S1487="Có",AND($L1487&lt;&gt;"",OR($L1487&lt;&gt;"Chưa xác định",DANH_MUC!$L$9="Có"))),"Có","Không"))</f>
        <v/>
      </c>
      <c r="U1487" s="22">
        <f>IF(OR($D1487="",$T1487="Có"),"",IF($C1487="","Thiếu họ tên; ","")&amp;IF($S1487&lt;&gt;"Có","SĐT sai định dạng; ","")&amp;IF($R1487="Trùng","Trùng SĐT; ","")&amp;IF($Q1487&lt;&gt;"Có","Thiếu đồng ý bắt buộc; ","")&amp;IF($L1487="","Thiếu/sai Mã REF; ",IF(AND($L1487="Chưa xác định",DANH_MUC!$L$9&lt;&gt;"Có"),"Nguồn chưa xác định; ","")))</f>
        <v/>
      </c>
      <c r="V1487" s="22">
        <f>IF(OR($D1487="",$R1487="Trùng"),"",IF(COUNTIF(ORDERS!$C$2:$C$4995,$D1487)&gt;0,"Có","Không"))</f>
        <v/>
      </c>
      <c r="W1487" s="22">
        <f>IF(OR($D1487="",$R1487="Trùng"),"",COUNTIFS(ORDERS!$C$2:$C$4995,$D1487,ORDERS!$L$2:$L$4995,"Đã chuyển khoản"))</f>
        <v/>
      </c>
      <c r="X1487" s="23">
        <f>IF(OR($D1487="",$R1487="Trùng"),"",SUMIFS(ORDERS!$J$2:$J$4995,ORDERS!$C$2:$C$4995,$D1487,ORDERS!$L$2:$L$4995,"Đã chuyển khoản"))</f>
        <v/>
      </c>
      <c r="Y1487" s="24" t="n"/>
    </row>
    <row r="1488" ht="14.25" customHeight="1" s="40">
      <c r="A1488" s="24" t="n"/>
      <c r="B1488" s="27" t="n"/>
      <c r="C1488" s="24" t="n"/>
      <c r="D1488" s="28" t="n"/>
      <c r="E1488" s="29" t="n"/>
      <c r="F1488" s="24" t="n"/>
      <c r="G1488" s="24" t="n"/>
      <c r="H1488" s="21">
        <f>IF(ISNUMBER($B1488),INT($B1488)-WEEKDAY($B1488,2)+1,"")</f>
        <v/>
      </c>
      <c r="I1488" s="24" t="n"/>
      <c r="J1488" s="22">
        <f t="array" ref="J1488">IF($D1488="","",IF($I1488="","(trống REF)",IFERROR(INDEX(MASTER_SOURCE!$B$2:$B$495,MATCH($I1488,MASTER_SOURCE!$A$2:$A$495,0)),"(REF không có trong MASTER_SOURCE)")))</f>
        <v/>
      </c>
      <c r="K1488" s="22">
        <f t="array" ref="K1488">IF($D1488="","",IFERROR(INDEX(MASTER_SOURCE!$C$2:$C$495,MATCH($I1488,MASTER_SOURCE!$A$2:$A$495,0)),""))</f>
        <v/>
      </c>
      <c r="L1488" s="22">
        <f t="array" ref="L1488">IF($D1488="","",IFERROR(INDEX(MASTER_SOURCE!$D$2:$D$495,MATCH($I1488,MASTER_SOURCE!$A$2:$A$495,0)),""))</f>
        <v/>
      </c>
      <c r="M1488" s="24" t="n"/>
      <c r="N1488" s="24" t="n"/>
      <c r="O1488" s="24" t="n"/>
      <c r="P1488" s="24" t="n"/>
      <c r="Q1488" s="22">
        <f>IF($D1488="","",IF(AND(OR(DANH_MUC!$L$5&lt;&gt;"Có",M1488="Có"),OR(DANH_MUC!$L$6&lt;&gt;"Có",N1488="Có"),OR(DANH_MUC!$L$7&lt;&gt;"Có",O1488="Có"),OR(DANH_MUC!$L$8&lt;&gt;"Có",P1488="Có")),"Có","Không"))</f>
        <v/>
      </c>
      <c r="R1488" s="22">
        <f>IF($D1488="","",IF(COUNTIF($D$2:$D1488,$D1488)&gt;1,"Trùng",""))</f>
        <v/>
      </c>
      <c r="S1488" s="22">
        <f>IF($D1488="","",IF(AND(LEN($D1488)=10,LEFT($D1488,1)="0",ISNUMBER(--$D1488)),"Có","Không"))</f>
        <v/>
      </c>
      <c r="T1488" s="22">
        <f>IF($D1488="","",IF(AND($C1488&lt;&gt;"",$Q1488="Có",$R1488="",$S1488="Có",AND($L1488&lt;&gt;"",OR($L1488&lt;&gt;"Chưa xác định",DANH_MUC!$L$9="Có"))),"Có","Không"))</f>
        <v/>
      </c>
      <c r="U1488" s="22">
        <f>IF(OR($D1488="",$T1488="Có"),"",IF($C1488="","Thiếu họ tên; ","")&amp;IF($S1488&lt;&gt;"Có","SĐT sai định dạng; ","")&amp;IF($R1488="Trùng","Trùng SĐT; ","")&amp;IF($Q1488&lt;&gt;"Có","Thiếu đồng ý bắt buộc; ","")&amp;IF($L1488="","Thiếu/sai Mã REF; ",IF(AND($L1488="Chưa xác định",DANH_MUC!$L$9&lt;&gt;"Có"),"Nguồn chưa xác định; ","")))</f>
        <v/>
      </c>
      <c r="V1488" s="22">
        <f>IF(OR($D1488="",$R1488="Trùng"),"",IF(COUNTIF(ORDERS!$C$2:$C$4995,$D1488)&gt;0,"Có","Không"))</f>
        <v/>
      </c>
      <c r="W1488" s="22">
        <f>IF(OR($D1488="",$R1488="Trùng"),"",COUNTIFS(ORDERS!$C$2:$C$4995,$D1488,ORDERS!$L$2:$L$4995,"Đã chuyển khoản"))</f>
        <v/>
      </c>
      <c r="X1488" s="23">
        <f>IF(OR($D1488="",$R1488="Trùng"),"",SUMIFS(ORDERS!$J$2:$J$4995,ORDERS!$C$2:$C$4995,$D1488,ORDERS!$L$2:$L$4995,"Đã chuyển khoản"))</f>
        <v/>
      </c>
      <c r="Y1488" s="24" t="n"/>
    </row>
    <row r="1489" ht="14.25" customHeight="1" s="40">
      <c r="A1489" s="24" t="n"/>
      <c r="B1489" s="27" t="n"/>
      <c r="C1489" s="24" t="n"/>
      <c r="D1489" s="28" t="n"/>
      <c r="E1489" s="29" t="n"/>
      <c r="F1489" s="24" t="n"/>
      <c r="G1489" s="24" t="n"/>
      <c r="H1489" s="21">
        <f>IF(ISNUMBER($B1489),INT($B1489)-WEEKDAY($B1489,2)+1,"")</f>
        <v/>
      </c>
      <c r="I1489" s="24" t="n"/>
      <c r="J1489" s="22">
        <f t="array" ref="J1489">IF($D1489="","",IF($I1489="","(trống REF)",IFERROR(INDEX(MASTER_SOURCE!$B$2:$B$495,MATCH($I1489,MASTER_SOURCE!$A$2:$A$495,0)),"(REF không có trong MASTER_SOURCE)")))</f>
        <v/>
      </c>
      <c r="K1489" s="22">
        <f t="array" ref="K1489">IF($D1489="","",IFERROR(INDEX(MASTER_SOURCE!$C$2:$C$495,MATCH($I1489,MASTER_SOURCE!$A$2:$A$495,0)),""))</f>
        <v/>
      </c>
      <c r="L1489" s="22">
        <f t="array" ref="L1489">IF($D1489="","",IFERROR(INDEX(MASTER_SOURCE!$D$2:$D$495,MATCH($I1489,MASTER_SOURCE!$A$2:$A$495,0)),""))</f>
        <v/>
      </c>
      <c r="M1489" s="24" t="n"/>
      <c r="N1489" s="24" t="n"/>
      <c r="O1489" s="24" t="n"/>
      <c r="P1489" s="24" t="n"/>
      <c r="Q1489" s="22">
        <f>IF($D1489="","",IF(AND(OR(DANH_MUC!$L$5&lt;&gt;"Có",M1489="Có"),OR(DANH_MUC!$L$6&lt;&gt;"Có",N1489="Có"),OR(DANH_MUC!$L$7&lt;&gt;"Có",O1489="Có"),OR(DANH_MUC!$L$8&lt;&gt;"Có",P1489="Có")),"Có","Không"))</f>
        <v/>
      </c>
      <c r="R1489" s="22">
        <f>IF($D1489="","",IF(COUNTIF($D$2:$D1489,$D1489)&gt;1,"Trùng",""))</f>
        <v/>
      </c>
      <c r="S1489" s="22">
        <f>IF($D1489="","",IF(AND(LEN($D1489)=10,LEFT($D1489,1)="0",ISNUMBER(--$D1489)),"Có","Không"))</f>
        <v/>
      </c>
      <c r="T1489" s="22">
        <f>IF($D1489="","",IF(AND($C1489&lt;&gt;"",$Q1489="Có",$R1489="",$S1489="Có",AND($L1489&lt;&gt;"",OR($L1489&lt;&gt;"Chưa xác định",DANH_MUC!$L$9="Có"))),"Có","Không"))</f>
        <v/>
      </c>
      <c r="U1489" s="22">
        <f>IF(OR($D1489="",$T1489="Có"),"",IF($C1489="","Thiếu họ tên; ","")&amp;IF($S1489&lt;&gt;"Có","SĐT sai định dạng; ","")&amp;IF($R1489="Trùng","Trùng SĐT; ","")&amp;IF($Q1489&lt;&gt;"Có","Thiếu đồng ý bắt buộc; ","")&amp;IF($L1489="","Thiếu/sai Mã REF; ",IF(AND($L1489="Chưa xác định",DANH_MUC!$L$9&lt;&gt;"Có"),"Nguồn chưa xác định; ","")))</f>
        <v/>
      </c>
      <c r="V1489" s="22">
        <f>IF(OR($D1489="",$R1489="Trùng"),"",IF(COUNTIF(ORDERS!$C$2:$C$4995,$D1489)&gt;0,"Có","Không"))</f>
        <v/>
      </c>
      <c r="W1489" s="22">
        <f>IF(OR($D1489="",$R1489="Trùng"),"",COUNTIFS(ORDERS!$C$2:$C$4995,$D1489,ORDERS!$L$2:$L$4995,"Đã chuyển khoản"))</f>
        <v/>
      </c>
      <c r="X1489" s="23">
        <f>IF(OR($D1489="",$R1489="Trùng"),"",SUMIFS(ORDERS!$J$2:$J$4995,ORDERS!$C$2:$C$4995,$D1489,ORDERS!$L$2:$L$4995,"Đã chuyển khoản"))</f>
        <v/>
      </c>
      <c r="Y1489" s="24" t="n"/>
    </row>
    <row r="1490" ht="14.25" customHeight="1" s="40">
      <c r="A1490" s="24" t="n"/>
      <c r="B1490" s="27" t="n"/>
      <c r="C1490" s="24" t="n"/>
      <c r="D1490" s="28" t="n"/>
      <c r="E1490" s="29" t="n"/>
      <c r="F1490" s="24" t="n"/>
      <c r="G1490" s="24" t="n"/>
      <c r="H1490" s="21">
        <f>IF(ISNUMBER($B1490),INT($B1490)-WEEKDAY($B1490,2)+1,"")</f>
        <v/>
      </c>
      <c r="I1490" s="24" t="n"/>
      <c r="J1490" s="22">
        <f t="array" ref="J1490">IF($D1490="","",IF($I1490="","(trống REF)",IFERROR(INDEX(MASTER_SOURCE!$B$2:$B$495,MATCH($I1490,MASTER_SOURCE!$A$2:$A$495,0)),"(REF không có trong MASTER_SOURCE)")))</f>
        <v/>
      </c>
      <c r="K1490" s="22">
        <f t="array" ref="K1490">IF($D1490="","",IFERROR(INDEX(MASTER_SOURCE!$C$2:$C$495,MATCH($I1490,MASTER_SOURCE!$A$2:$A$495,0)),""))</f>
        <v/>
      </c>
      <c r="L1490" s="22">
        <f t="array" ref="L1490">IF($D1490="","",IFERROR(INDEX(MASTER_SOURCE!$D$2:$D$495,MATCH($I1490,MASTER_SOURCE!$A$2:$A$495,0)),""))</f>
        <v/>
      </c>
      <c r="M1490" s="24" t="n"/>
      <c r="N1490" s="24" t="n"/>
      <c r="O1490" s="24" t="n"/>
      <c r="P1490" s="24" t="n"/>
      <c r="Q1490" s="22">
        <f>IF($D1490="","",IF(AND(OR(DANH_MUC!$L$5&lt;&gt;"Có",M1490="Có"),OR(DANH_MUC!$L$6&lt;&gt;"Có",N1490="Có"),OR(DANH_MUC!$L$7&lt;&gt;"Có",O1490="Có"),OR(DANH_MUC!$L$8&lt;&gt;"Có",P1490="Có")),"Có","Không"))</f>
        <v/>
      </c>
      <c r="R1490" s="22">
        <f>IF($D1490="","",IF(COUNTIF($D$2:$D1490,$D1490)&gt;1,"Trùng",""))</f>
        <v/>
      </c>
      <c r="S1490" s="22">
        <f>IF($D1490="","",IF(AND(LEN($D1490)=10,LEFT($D1490,1)="0",ISNUMBER(--$D1490)),"Có","Không"))</f>
        <v/>
      </c>
      <c r="T1490" s="22">
        <f>IF($D1490="","",IF(AND($C1490&lt;&gt;"",$Q1490="Có",$R1490="",$S1490="Có",AND($L1490&lt;&gt;"",OR($L1490&lt;&gt;"Chưa xác định",DANH_MUC!$L$9="Có"))),"Có","Không"))</f>
        <v/>
      </c>
      <c r="U1490" s="22">
        <f>IF(OR($D1490="",$T1490="Có"),"",IF($C1490="","Thiếu họ tên; ","")&amp;IF($S1490&lt;&gt;"Có","SĐT sai định dạng; ","")&amp;IF($R1490="Trùng","Trùng SĐT; ","")&amp;IF($Q1490&lt;&gt;"Có","Thiếu đồng ý bắt buộc; ","")&amp;IF($L1490="","Thiếu/sai Mã REF; ",IF(AND($L1490="Chưa xác định",DANH_MUC!$L$9&lt;&gt;"Có"),"Nguồn chưa xác định; ","")))</f>
        <v/>
      </c>
      <c r="V1490" s="22">
        <f>IF(OR($D1490="",$R1490="Trùng"),"",IF(COUNTIF(ORDERS!$C$2:$C$4995,$D1490)&gt;0,"Có","Không"))</f>
        <v/>
      </c>
      <c r="W1490" s="22">
        <f>IF(OR($D1490="",$R1490="Trùng"),"",COUNTIFS(ORDERS!$C$2:$C$4995,$D1490,ORDERS!$L$2:$L$4995,"Đã chuyển khoản"))</f>
        <v/>
      </c>
      <c r="X1490" s="23">
        <f>IF(OR($D1490="",$R1490="Trùng"),"",SUMIFS(ORDERS!$J$2:$J$4995,ORDERS!$C$2:$C$4995,$D1490,ORDERS!$L$2:$L$4995,"Đã chuyển khoản"))</f>
        <v/>
      </c>
      <c r="Y1490" s="24" t="n"/>
    </row>
    <row r="1491" ht="14.25" customHeight="1" s="40">
      <c r="A1491" s="24" t="n"/>
      <c r="B1491" s="27" t="n"/>
      <c r="C1491" s="24" t="n"/>
      <c r="D1491" s="28" t="n"/>
      <c r="E1491" s="29" t="n"/>
      <c r="F1491" s="24" t="n"/>
      <c r="G1491" s="24" t="n"/>
      <c r="H1491" s="21">
        <f>IF(ISNUMBER($B1491),INT($B1491)-WEEKDAY($B1491,2)+1,"")</f>
        <v/>
      </c>
      <c r="I1491" s="24" t="n"/>
      <c r="J1491" s="22">
        <f t="array" ref="J1491">IF($D1491="","",IF($I1491="","(trống REF)",IFERROR(INDEX(MASTER_SOURCE!$B$2:$B$495,MATCH($I1491,MASTER_SOURCE!$A$2:$A$495,0)),"(REF không có trong MASTER_SOURCE)")))</f>
        <v/>
      </c>
      <c r="K1491" s="22">
        <f t="array" ref="K1491">IF($D1491="","",IFERROR(INDEX(MASTER_SOURCE!$C$2:$C$495,MATCH($I1491,MASTER_SOURCE!$A$2:$A$495,0)),""))</f>
        <v/>
      </c>
      <c r="L1491" s="22">
        <f t="array" ref="L1491">IF($D1491="","",IFERROR(INDEX(MASTER_SOURCE!$D$2:$D$495,MATCH($I1491,MASTER_SOURCE!$A$2:$A$495,0)),""))</f>
        <v/>
      </c>
      <c r="M1491" s="24" t="n"/>
      <c r="N1491" s="24" t="n"/>
      <c r="O1491" s="24" t="n"/>
      <c r="P1491" s="24" t="n"/>
      <c r="Q1491" s="22">
        <f>IF($D1491="","",IF(AND(OR(DANH_MUC!$L$5&lt;&gt;"Có",M1491="Có"),OR(DANH_MUC!$L$6&lt;&gt;"Có",N1491="Có"),OR(DANH_MUC!$L$7&lt;&gt;"Có",O1491="Có"),OR(DANH_MUC!$L$8&lt;&gt;"Có",P1491="Có")),"Có","Không"))</f>
        <v/>
      </c>
      <c r="R1491" s="22">
        <f>IF($D1491="","",IF(COUNTIF($D$2:$D1491,$D1491)&gt;1,"Trùng",""))</f>
        <v/>
      </c>
      <c r="S1491" s="22">
        <f>IF($D1491="","",IF(AND(LEN($D1491)=10,LEFT($D1491,1)="0",ISNUMBER(--$D1491)),"Có","Không"))</f>
        <v/>
      </c>
      <c r="T1491" s="22">
        <f>IF($D1491="","",IF(AND($C1491&lt;&gt;"",$Q1491="Có",$R1491="",$S1491="Có",AND($L1491&lt;&gt;"",OR($L1491&lt;&gt;"Chưa xác định",DANH_MUC!$L$9="Có"))),"Có","Không"))</f>
        <v/>
      </c>
      <c r="U1491" s="22">
        <f>IF(OR($D1491="",$T1491="Có"),"",IF($C1491="","Thiếu họ tên; ","")&amp;IF($S1491&lt;&gt;"Có","SĐT sai định dạng; ","")&amp;IF($R1491="Trùng","Trùng SĐT; ","")&amp;IF($Q1491&lt;&gt;"Có","Thiếu đồng ý bắt buộc; ","")&amp;IF($L1491="","Thiếu/sai Mã REF; ",IF(AND($L1491="Chưa xác định",DANH_MUC!$L$9&lt;&gt;"Có"),"Nguồn chưa xác định; ","")))</f>
        <v/>
      </c>
      <c r="V1491" s="22">
        <f>IF(OR($D1491="",$R1491="Trùng"),"",IF(COUNTIF(ORDERS!$C$2:$C$4995,$D1491)&gt;0,"Có","Không"))</f>
        <v/>
      </c>
      <c r="W1491" s="22">
        <f>IF(OR($D1491="",$R1491="Trùng"),"",COUNTIFS(ORDERS!$C$2:$C$4995,$D1491,ORDERS!$L$2:$L$4995,"Đã chuyển khoản"))</f>
        <v/>
      </c>
      <c r="X1491" s="23">
        <f>IF(OR($D1491="",$R1491="Trùng"),"",SUMIFS(ORDERS!$J$2:$J$4995,ORDERS!$C$2:$C$4995,$D1491,ORDERS!$L$2:$L$4995,"Đã chuyển khoản"))</f>
        <v/>
      </c>
      <c r="Y1491" s="24" t="n"/>
    </row>
    <row r="1492" ht="14.25" customHeight="1" s="40">
      <c r="A1492" s="24" t="n"/>
      <c r="B1492" s="27" t="n"/>
      <c r="C1492" s="24" t="n"/>
      <c r="D1492" s="28" t="n"/>
      <c r="E1492" s="29" t="n"/>
      <c r="F1492" s="24" t="n"/>
      <c r="G1492" s="24" t="n"/>
      <c r="H1492" s="21">
        <f>IF(ISNUMBER($B1492),INT($B1492)-WEEKDAY($B1492,2)+1,"")</f>
        <v/>
      </c>
      <c r="I1492" s="24" t="n"/>
      <c r="J1492" s="22">
        <f t="array" ref="J1492">IF($D1492="","",IF($I1492="","(trống REF)",IFERROR(INDEX(MASTER_SOURCE!$B$2:$B$495,MATCH($I1492,MASTER_SOURCE!$A$2:$A$495,0)),"(REF không có trong MASTER_SOURCE)")))</f>
        <v/>
      </c>
      <c r="K1492" s="22">
        <f t="array" ref="K1492">IF($D1492="","",IFERROR(INDEX(MASTER_SOURCE!$C$2:$C$495,MATCH($I1492,MASTER_SOURCE!$A$2:$A$495,0)),""))</f>
        <v/>
      </c>
      <c r="L1492" s="22">
        <f t="array" ref="L1492">IF($D1492="","",IFERROR(INDEX(MASTER_SOURCE!$D$2:$D$495,MATCH($I1492,MASTER_SOURCE!$A$2:$A$495,0)),""))</f>
        <v/>
      </c>
      <c r="M1492" s="24" t="n"/>
      <c r="N1492" s="24" t="n"/>
      <c r="O1492" s="24" t="n"/>
      <c r="P1492" s="24" t="n"/>
      <c r="Q1492" s="22">
        <f>IF($D1492="","",IF(AND(OR(DANH_MUC!$L$5&lt;&gt;"Có",M1492="Có"),OR(DANH_MUC!$L$6&lt;&gt;"Có",N1492="Có"),OR(DANH_MUC!$L$7&lt;&gt;"Có",O1492="Có"),OR(DANH_MUC!$L$8&lt;&gt;"Có",P1492="Có")),"Có","Không"))</f>
        <v/>
      </c>
      <c r="R1492" s="22">
        <f>IF($D1492="","",IF(COUNTIF($D$2:$D1492,$D1492)&gt;1,"Trùng",""))</f>
        <v/>
      </c>
      <c r="S1492" s="22">
        <f>IF($D1492="","",IF(AND(LEN($D1492)=10,LEFT($D1492,1)="0",ISNUMBER(--$D1492)),"Có","Không"))</f>
        <v/>
      </c>
      <c r="T1492" s="22">
        <f>IF($D1492="","",IF(AND($C1492&lt;&gt;"",$Q1492="Có",$R1492="",$S1492="Có",AND($L1492&lt;&gt;"",OR($L1492&lt;&gt;"Chưa xác định",DANH_MUC!$L$9="Có"))),"Có","Không"))</f>
        <v/>
      </c>
      <c r="U1492" s="22">
        <f>IF(OR($D1492="",$T1492="Có"),"",IF($C1492="","Thiếu họ tên; ","")&amp;IF($S1492&lt;&gt;"Có","SĐT sai định dạng; ","")&amp;IF($R1492="Trùng","Trùng SĐT; ","")&amp;IF($Q1492&lt;&gt;"Có","Thiếu đồng ý bắt buộc; ","")&amp;IF($L1492="","Thiếu/sai Mã REF; ",IF(AND($L1492="Chưa xác định",DANH_MUC!$L$9&lt;&gt;"Có"),"Nguồn chưa xác định; ","")))</f>
        <v/>
      </c>
      <c r="V1492" s="22">
        <f>IF(OR($D1492="",$R1492="Trùng"),"",IF(COUNTIF(ORDERS!$C$2:$C$4995,$D1492)&gt;0,"Có","Không"))</f>
        <v/>
      </c>
      <c r="W1492" s="22">
        <f>IF(OR($D1492="",$R1492="Trùng"),"",COUNTIFS(ORDERS!$C$2:$C$4995,$D1492,ORDERS!$L$2:$L$4995,"Đã chuyển khoản"))</f>
        <v/>
      </c>
      <c r="X1492" s="23">
        <f>IF(OR($D1492="",$R1492="Trùng"),"",SUMIFS(ORDERS!$J$2:$J$4995,ORDERS!$C$2:$C$4995,$D1492,ORDERS!$L$2:$L$4995,"Đã chuyển khoản"))</f>
        <v/>
      </c>
      <c r="Y1492" s="24" t="n"/>
    </row>
    <row r="1493" ht="14.25" customHeight="1" s="40">
      <c r="A1493" s="24" t="n"/>
      <c r="B1493" s="27" t="n"/>
      <c r="C1493" s="24" t="n"/>
      <c r="D1493" s="28" t="n"/>
      <c r="E1493" s="29" t="n"/>
      <c r="F1493" s="24" t="n"/>
      <c r="G1493" s="24" t="n"/>
      <c r="H1493" s="21">
        <f>IF(ISNUMBER($B1493),INT($B1493)-WEEKDAY($B1493,2)+1,"")</f>
        <v/>
      </c>
      <c r="I1493" s="24" t="n"/>
      <c r="J1493" s="22">
        <f t="array" ref="J1493">IF($D1493="","",IF($I1493="","(trống REF)",IFERROR(INDEX(MASTER_SOURCE!$B$2:$B$495,MATCH($I1493,MASTER_SOURCE!$A$2:$A$495,0)),"(REF không có trong MASTER_SOURCE)")))</f>
        <v/>
      </c>
      <c r="K1493" s="22">
        <f t="array" ref="K1493">IF($D1493="","",IFERROR(INDEX(MASTER_SOURCE!$C$2:$C$495,MATCH($I1493,MASTER_SOURCE!$A$2:$A$495,0)),""))</f>
        <v/>
      </c>
      <c r="L1493" s="22">
        <f t="array" ref="L1493">IF($D1493="","",IFERROR(INDEX(MASTER_SOURCE!$D$2:$D$495,MATCH($I1493,MASTER_SOURCE!$A$2:$A$495,0)),""))</f>
        <v/>
      </c>
      <c r="M1493" s="24" t="n"/>
      <c r="N1493" s="24" t="n"/>
      <c r="O1493" s="24" t="n"/>
      <c r="P1493" s="24" t="n"/>
      <c r="Q1493" s="22">
        <f>IF($D1493="","",IF(AND(OR(DANH_MUC!$L$5&lt;&gt;"Có",M1493="Có"),OR(DANH_MUC!$L$6&lt;&gt;"Có",N1493="Có"),OR(DANH_MUC!$L$7&lt;&gt;"Có",O1493="Có"),OR(DANH_MUC!$L$8&lt;&gt;"Có",P1493="Có")),"Có","Không"))</f>
        <v/>
      </c>
      <c r="R1493" s="22">
        <f>IF($D1493="","",IF(COUNTIF($D$2:$D1493,$D1493)&gt;1,"Trùng",""))</f>
        <v/>
      </c>
      <c r="S1493" s="22">
        <f>IF($D1493="","",IF(AND(LEN($D1493)=10,LEFT($D1493,1)="0",ISNUMBER(--$D1493)),"Có","Không"))</f>
        <v/>
      </c>
      <c r="T1493" s="22">
        <f>IF($D1493="","",IF(AND($C1493&lt;&gt;"",$Q1493="Có",$R1493="",$S1493="Có",AND($L1493&lt;&gt;"",OR($L1493&lt;&gt;"Chưa xác định",DANH_MUC!$L$9="Có"))),"Có","Không"))</f>
        <v/>
      </c>
      <c r="U1493" s="22">
        <f>IF(OR($D1493="",$T1493="Có"),"",IF($C1493="","Thiếu họ tên; ","")&amp;IF($S1493&lt;&gt;"Có","SĐT sai định dạng; ","")&amp;IF($R1493="Trùng","Trùng SĐT; ","")&amp;IF($Q1493&lt;&gt;"Có","Thiếu đồng ý bắt buộc; ","")&amp;IF($L1493="","Thiếu/sai Mã REF; ",IF(AND($L1493="Chưa xác định",DANH_MUC!$L$9&lt;&gt;"Có"),"Nguồn chưa xác định; ","")))</f>
        <v/>
      </c>
      <c r="V1493" s="22">
        <f>IF(OR($D1493="",$R1493="Trùng"),"",IF(COUNTIF(ORDERS!$C$2:$C$4995,$D1493)&gt;0,"Có","Không"))</f>
        <v/>
      </c>
      <c r="W1493" s="22">
        <f>IF(OR($D1493="",$R1493="Trùng"),"",COUNTIFS(ORDERS!$C$2:$C$4995,$D1493,ORDERS!$L$2:$L$4995,"Đã chuyển khoản"))</f>
        <v/>
      </c>
      <c r="X1493" s="23">
        <f>IF(OR($D1493="",$R1493="Trùng"),"",SUMIFS(ORDERS!$J$2:$J$4995,ORDERS!$C$2:$C$4995,$D1493,ORDERS!$L$2:$L$4995,"Đã chuyển khoản"))</f>
        <v/>
      </c>
      <c r="Y1493" s="24" t="n"/>
    </row>
    <row r="1494" ht="14.25" customHeight="1" s="40">
      <c r="A1494" s="24" t="n"/>
      <c r="B1494" s="27" t="n"/>
      <c r="C1494" s="24" t="n"/>
      <c r="D1494" s="28" t="n"/>
      <c r="E1494" s="29" t="n"/>
      <c r="F1494" s="24" t="n"/>
      <c r="G1494" s="24" t="n"/>
      <c r="H1494" s="21">
        <f>IF(ISNUMBER($B1494),INT($B1494)-WEEKDAY($B1494,2)+1,"")</f>
        <v/>
      </c>
      <c r="I1494" s="24" t="n"/>
      <c r="J1494" s="22">
        <f t="array" ref="J1494">IF($D1494="","",IF($I1494="","(trống REF)",IFERROR(INDEX(MASTER_SOURCE!$B$2:$B$495,MATCH($I1494,MASTER_SOURCE!$A$2:$A$495,0)),"(REF không có trong MASTER_SOURCE)")))</f>
        <v/>
      </c>
      <c r="K1494" s="22">
        <f t="array" ref="K1494">IF($D1494="","",IFERROR(INDEX(MASTER_SOURCE!$C$2:$C$495,MATCH($I1494,MASTER_SOURCE!$A$2:$A$495,0)),""))</f>
        <v/>
      </c>
      <c r="L1494" s="22">
        <f t="array" ref="L1494">IF($D1494="","",IFERROR(INDEX(MASTER_SOURCE!$D$2:$D$495,MATCH($I1494,MASTER_SOURCE!$A$2:$A$495,0)),""))</f>
        <v/>
      </c>
      <c r="M1494" s="24" t="n"/>
      <c r="N1494" s="24" t="n"/>
      <c r="O1494" s="24" t="n"/>
      <c r="P1494" s="24" t="n"/>
      <c r="Q1494" s="22">
        <f>IF($D1494="","",IF(AND(OR(DANH_MUC!$L$5&lt;&gt;"Có",M1494="Có"),OR(DANH_MUC!$L$6&lt;&gt;"Có",N1494="Có"),OR(DANH_MUC!$L$7&lt;&gt;"Có",O1494="Có"),OR(DANH_MUC!$L$8&lt;&gt;"Có",P1494="Có")),"Có","Không"))</f>
        <v/>
      </c>
      <c r="R1494" s="22">
        <f>IF($D1494="","",IF(COUNTIF($D$2:$D1494,$D1494)&gt;1,"Trùng",""))</f>
        <v/>
      </c>
      <c r="S1494" s="22">
        <f>IF($D1494="","",IF(AND(LEN($D1494)=10,LEFT($D1494,1)="0",ISNUMBER(--$D1494)),"Có","Không"))</f>
        <v/>
      </c>
      <c r="T1494" s="22">
        <f>IF($D1494="","",IF(AND($C1494&lt;&gt;"",$Q1494="Có",$R1494="",$S1494="Có",AND($L1494&lt;&gt;"",OR($L1494&lt;&gt;"Chưa xác định",DANH_MUC!$L$9="Có"))),"Có","Không"))</f>
        <v/>
      </c>
      <c r="U1494" s="22">
        <f>IF(OR($D1494="",$T1494="Có"),"",IF($C1494="","Thiếu họ tên; ","")&amp;IF($S1494&lt;&gt;"Có","SĐT sai định dạng; ","")&amp;IF($R1494="Trùng","Trùng SĐT; ","")&amp;IF($Q1494&lt;&gt;"Có","Thiếu đồng ý bắt buộc; ","")&amp;IF($L1494="","Thiếu/sai Mã REF; ",IF(AND($L1494="Chưa xác định",DANH_MUC!$L$9&lt;&gt;"Có"),"Nguồn chưa xác định; ","")))</f>
        <v/>
      </c>
      <c r="V1494" s="22">
        <f>IF(OR($D1494="",$R1494="Trùng"),"",IF(COUNTIF(ORDERS!$C$2:$C$4995,$D1494)&gt;0,"Có","Không"))</f>
        <v/>
      </c>
      <c r="W1494" s="22">
        <f>IF(OR($D1494="",$R1494="Trùng"),"",COUNTIFS(ORDERS!$C$2:$C$4995,$D1494,ORDERS!$L$2:$L$4995,"Đã chuyển khoản"))</f>
        <v/>
      </c>
      <c r="X1494" s="23">
        <f>IF(OR($D1494="",$R1494="Trùng"),"",SUMIFS(ORDERS!$J$2:$J$4995,ORDERS!$C$2:$C$4995,$D1494,ORDERS!$L$2:$L$4995,"Đã chuyển khoản"))</f>
        <v/>
      </c>
      <c r="Y1494" s="24" t="n"/>
    </row>
    <row r="1495" ht="14.25" customHeight="1" s="40">
      <c r="A1495" s="24" t="n"/>
      <c r="B1495" s="27" t="n"/>
      <c r="C1495" s="24" t="n"/>
      <c r="D1495" s="28" t="n"/>
      <c r="E1495" s="29" t="n"/>
      <c r="F1495" s="24" t="n"/>
      <c r="G1495" s="24" t="n"/>
      <c r="H1495" s="21">
        <f>IF(ISNUMBER($B1495),INT($B1495)-WEEKDAY($B1495,2)+1,"")</f>
        <v/>
      </c>
      <c r="I1495" s="24" t="n"/>
      <c r="J1495" s="22">
        <f t="array" ref="J1495">IF($D1495="","",IF($I1495="","(trống REF)",IFERROR(INDEX(MASTER_SOURCE!$B$2:$B$495,MATCH($I1495,MASTER_SOURCE!$A$2:$A$495,0)),"(REF không có trong MASTER_SOURCE)")))</f>
        <v/>
      </c>
      <c r="K1495" s="22">
        <f t="array" ref="K1495">IF($D1495="","",IFERROR(INDEX(MASTER_SOURCE!$C$2:$C$495,MATCH($I1495,MASTER_SOURCE!$A$2:$A$495,0)),""))</f>
        <v/>
      </c>
      <c r="L1495" s="22">
        <f t="array" ref="L1495">IF($D1495="","",IFERROR(INDEX(MASTER_SOURCE!$D$2:$D$495,MATCH($I1495,MASTER_SOURCE!$A$2:$A$495,0)),""))</f>
        <v/>
      </c>
      <c r="M1495" s="24" t="n"/>
      <c r="N1495" s="24" t="n"/>
      <c r="O1495" s="24" t="n"/>
      <c r="P1495" s="24" t="n"/>
      <c r="Q1495" s="22">
        <f>IF($D1495="","",IF(AND(OR(DANH_MUC!$L$5&lt;&gt;"Có",M1495="Có"),OR(DANH_MUC!$L$6&lt;&gt;"Có",N1495="Có"),OR(DANH_MUC!$L$7&lt;&gt;"Có",O1495="Có"),OR(DANH_MUC!$L$8&lt;&gt;"Có",P1495="Có")),"Có","Không"))</f>
        <v/>
      </c>
      <c r="R1495" s="22">
        <f>IF($D1495="","",IF(COUNTIF($D$2:$D1495,$D1495)&gt;1,"Trùng",""))</f>
        <v/>
      </c>
      <c r="S1495" s="22">
        <f>IF($D1495="","",IF(AND(LEN($D1495)=10,LEFT($D1495,1)="0",ISNUMBER(--$D1495)),"Có","Không"))</f>
        <v/>
      </c>
      <c r="T1495" s="22">
        <f>IF($D1495="","",IF(AND($C1495&lt;&gt;"",$Q1495="Có",$R1495="",$S1495="Có",AND($L1495&lt;&gt;"",OR($L1495&lt;&gt;"Chưa xác định",DANH_MUC!$L$9="Có"))),"Có","Không"))</f>
        <v/>
      </c>
      <c r="U1495" s="22">
        <f>IF(OR($D1495="",$T1495="Có"),"",IF($C1495="","Thiếu họ tên; ","")&amp;IF($S1495&lt;&gt;"Có","SĐT sai định dạng; ","")&amp;IF($R1495="Trùng","Trùng SĐT; ","")&amp;IF($Q1495&lt;&gt;"Có","Thiếu đồng ý bắt buộc; ","")&amp;IF($L1495="","Thiếu/sai Mã REF; ",IF(AND($L1495="Chưa xác định",DANH_MUC!$L$9&lt;&gt;"Có"),"Nguồn chưa xác định; ","")))</f>
        <v/>
      </c>
      <c r="V1495" s="22">
        <f>IF(OR($D1495="",$R1495="Trùng"),"",IF(COUNTIF(ORDERS!$C$2:$C$4995,$D1495)&gt;0,"Có","Không"))</f>
        <v/>
      </c>
      <c r="W1495" s="22">
        <f>IF(OR($D1495="",$R1495="Trùng"),"",COUNTIFS(ORDERS!$C$2:$C$4995,$D1495,ORDERS!$L$2:$L$4995,"Đã chuyển khoản"))</f>
        <v/>
      </c>
      <c r="X1495" s="23">
        <f>IF(OR($D1495="",$R1495="Trùng"),"",SUMIFS(ORDERS!$J$2:$J$4995,ORDERS!$C$2:$C$4995,$D1495,ORDERS!$L$2:$L$4995,"Đã chuyển khoản"))</f>
        <v/>
      </c>
      <c r="Y1495" s="24" t="n"/>
    </row>
    <row r="1496" ht="14.25" customHeight="1" s="40">
      <c r="A1496" s="24" t="n"/>
      <c r="B1496" s="27" t="n"/>
      <c r="C1496" s="24" t="n"/>
      <c r="D1496" s="28" t="n"/>
      <c r="E1496" s="29" t="n"/>
      <c r="F1496" s="24" t="n"/>
      <c r="G1496" s="24" t="n"/>
      <c r="H1496" s="21">
        <f>IF(ISNUMBER($B1496),INT($B1496)-WEEKDAY($B1496,2)+1,"")</f>
        <v/>
      </c>
      <c r="I1496" s="24" t="n"/>
      <c r="J1496" s="22">
        <f t="array" ref="J1496">IF($D1496="","",IF($I1496="","(trống REF)",IFERROR(INDEX(MASTER_SOURCE!$B$2:$B$495,MATCH($I1496,MASTER_SOURCE!$A$2:$A$495,0)),"(REF không có trong MASTER_SOURCE)")))</f>
        <v/>
      </c>
      <c r="K1496" s="22">
        <f t="array" ref="K1496">IF($D1496="","",IFERROR(INDEX(MASTER_SOURCE!$C$2:$C$495,MATCH($I1496,MASTER_SOURCE!$A$2:$A$495,0)),""))</f>
        <v/>
      </c>
      <c r="L1496" s="22">
        <f t="array" ref="L1496">IF($D1496="","",IFERROR(INDEX(MASTER_SOURCE!$D$2:$D$495,MATCH($I1496,MASTER_SOURCE!$A$2:$A$495,0)),""))</f>
        <v/>
      </c>
      <c r="M1496" s="24" t="n"/>
      <c r="N1496" s="24" t="n"/>
      <c r="O1496" s="24" t="n"/>
      <c r="P1496" s="24" t="n"/>
      <c r="Q1496" s="22">
        <f>IF($D1496="","",IF(AND(OR(DANH_MUC!$L$5&lt;&gt;"Có",M1496="Có"),OR(DANH_MUC!$L$6&lt;&gt;"Có",N1496="Có"),OR(DANH_MUC!$L$7&lt;&gt;"Có",O1496="Có"),OR(DANH_MUC!$L$8&lt;&gt;"Có",P1496="Có")),"Có","Không"))</f>
        <v/>
      </c>
      <c r="R1496" s="22">
        <f>IF($D1496="","",IF(COUNTIF($D$2:$D1496,$D1496)&gt;1,"Trùng",""))</f>
        <v/>
      </c>
      <c r="S1496" s="22">
        <f>IF($D1496="","",IF(AND(LEN($D1496)=10,LEFT($D1496,1)="0",ISNUMBER(--$D1496)),"Có","Không"))</f>
        <v/>
      </c>
      <c r="T1496" s="22">
        <f>IF($D1496="","",IF(AND($C1496&lt;&gt;"",$Q1496="Có",$R1496="",$S1496="Có",AND($L1496&lt;&gt;"",OR($L1496&lt;&gt;"Chưa xác định",DANH_MUC!$L$9="Có"))),"Có","Không"))</f>
        <v/>
      </c>
      <c r="U1496" s="22">
        <f>IF(OR($D1496="",$T1496="Có"),"",IF($C1496="","Thiếu họ tên; ","")&amp;IF($S1496&lt;&gt;"Có","SĐT sai định dạng; ","")&amp;IF($R1496="Trùng","Trùng SĐT; ","")&amp;IF($Q1496&lt;&gt;"Có","Thiếu đồng ý bắt buộc; ","")&amp;IF($L1496="","Thiếu/sai Mã REF; ",IF(AND($L1496="Chưa xác định",DANH_MUC!$L$9&lt;&gt;"Có"),"Nguồn chưa xác định; ","")))</f>
        <v/>
      </c>
      <c r="V1496" s="22">
        <f>IF(OR($D1496="",$R1496="Trùng"),"",IF(COUNTIF(ORDERS!$C$2:$C$4995,$D1496)&gt;0,"Có","Không"))</f>
        <v/>
      </c>
      <c r="W1496" s="22">
        <f>IF(OR($D1496="",$R1496="Trùng"),"",COUNTIFS(ORDERS!$C$2:$C$4995,$D1496,ORDERS!$L$2:$L$4995,"Đã chuyển khoản"))</f>
        <v/>
      </c>
      <c r="X1496" s="23">
        <f>IF(OR($D1496="",$R1496="Trùng"),"",SUMIFS(ORDERS!$J$2:$J$4995,ORDERS!$C$2:$C$4995,$D1496,ORDERS!$L$2:$L$4995,"Đã chuyển khoản"))</f>
        <v/>
      </c>
      <c r="Y1496" s="24" t="n"/>
    </row>
    <row r="1497" ht="14.25" customHeight="1" s="40">
      <c r="A1497" s="24" t="n"/>
      <c r="B1497" s="27" t="n"/>
      <c r="C1497" s="24" t="n"/>
      <c r="D1497" s="28" t="n"/>
      <c r="E1497" s="29" t="n"/>
      <c r="F1497" s="24" t="n"/>
      <c r="G1497" s="24" t="n"/>
      <c r="H1497" s="21">
        <f>IF(ISNUMBER($B1497),INT($B1497)-WEEKDAY($B1497,2)+1,"")</f>
        <v/>
      </c>
      <c r="I1497" s="24" t="n"/>
      <c r="J1497" s="22">
        <f t="array" ref="J1497">IF($D1497="","",IF($I1497="","(trống REF)",IFERROR(INDEX(MASTER_SOURCE!$B$2:$B$495,MATCH($I1497,MASTER_SOURCE!$A$2:$A$495,0)),"(REF không có trong MASTER_SOURCE)")))</f>
        <v/>
      </c>
      <c r="K1497" s="22">
        <f t="array" ref="K1497">IF($D1497="","",IFERROR(INDEX(MASTER_SOURCE!$C$2:$C$495,MATCH($I1497,MASTER_SOURCE!$A$2:$A$495,0)),""))</f>
        <v/>
      </c>
      <c r="L1497" s="22">
        <f t="array" ref="L1497">IF($D1497="","",IFERROR(INDEX(MASTER_SOURCE!$D$2:$D$495,MATCH($I1497,MASTER_SOURCE!$A$2:$A$495,0)),""))</f>
        <v/>
      </c>
      <c r="M1497" s="24" t="n"/>
      <c r="N1497" s="24" t="n"/>
      <c r="O1497" s="24" t="n"/>
      <c r="P1497" s="24" t="n"/>
      <c r="Q1497" s="22">
        <f>IF($D1497="","",IF(AND(OR(DANH_MUC!$L$5&lt;&gt;"Có",M1497="Có"),OR(DANH_MUC!$L$6&lt;&gt;"Có",N1497="Có"),OR(DANH_MUC!$L$7&lt;&gt;"Có",O1497="Có"),OR(DANH_MUC!$L$8&lt;&gt;"Có",P1497="Có")),"Có","Không"))</f>
        <v/>
      </c>
      <c r="R1497" s="22">
        <f>IF($D1497="","",IF(COUNTIF($D$2:$D1497,$D1497)&gt;1,"Trùng",""))</f>
        <v/>
      </c>
      <c r="S1497" s="22">
        <f>IF($D1497="","",IF(AND(LEN($D1497)=10,LEFT($D1497,1)="0",ISNUMBER(--$D1497)),"Có","Không"))</f>
        <v/>
      </c>
      <c r="T1497" s="22">
        <f>IF($D1497="","",IF(AND($C1497&lt;&gt;"",$Q1497="Có",$R1497="",$S1497="Có",AND($L1497&lt;&gt;"",OR($L1497&lt;&gt;"Chưa xác định",DANH_MUC!$L$9="Có"))),"Có","Không"))</f>
        <v/>
      </c>
      <c r="U1497" s="22">
        <f>IF(OR($D1497="",$T1497="Có"),"",IF($C1497="","Thiếu họ tên; ","")&amp;IF($S1497&lt;&gt;"Có","SĐT sai định dạng; ","")&amp;IF($R1497="Trùng","Trùng SĐT; ","")&amp;IF($Q1497&lt;&gt;"Có","Thiếu đồng ý bắt buộc; ","")&amp;IF($L1497="","Thiếu/sai Mã REF; ",IF(AND($L1497="Chưa xác định",DANH_MUC!$L$9&lt;&gt;"Có"),"Nguồn chưa xác định; ","")))</f>
        <v/>
      </c>
      <c r="V1497" s="22">
        <f>IF(OR($D1497="",$R1497="Trùng"),"",IF(COUNTIF(ORDERS!$C$2:$C$4995,$D1497)&gt;0,"Có","Không"))</f>
        <v/>
      </c>
      <c r="W1497" s="22">
        <f>IF(OR($D1497="",$R1497="Trùng"),"",COUNTIFS(ORDERS!$C$2:$C$4995,$D1497,ORDERS!$L$2:$L$4995,"Đã chuyển khoản"))</f>
        <v/>
      </c>
      <c r="X1497" s="23">
        <f>IF(OR($D1497="",$R1497="Trùng"),"",SUMIFS(ORDERS!$J$2:$J$4995,ORDERS!$C$2:$C$4995,$D1497,ORDERS!$L$2:$L$4995,"Đã chuyển khoản"))</f>
        <v/>
      </c>
      <c r="Y1497" s="24" t="n"/>
    </row>
    <row r="1498" ht="14.25" customHeight="1" s="40">
      <c r="A1498" s="24" t="n"/>
      <c r="B1498" s="27" t="n"/>
      <c r="C1498" s="24" t="n"/>
      <c r="D1498" s="28" t="n"/>
      <c r="E1498" s="29" t="n"/>
      <c r="F1498" s="24" t="n"/>
      <c r="G1498" s="24" t="n"/>
      <c r="H1498" s="21">
        <f>IF(ISNUMBER($B1498),INT($B1498)-WEEKDAY($B1498,2)+1,"")</f>
        <v/>
      </c>
      <c r="I1498" s="24" t="n"/>
      <c r="J1498" s="22">
        <f t="array" ref="J1498">IF($D1498="","",IF($I1498="","(trống REF)",IFERROR(INDEX(MASTER_SOURCE!$B$2:$B$495,MATCH($I1498,MASTER_SOURCE!$A$2:$A$495,0)),"(REF không có trong MASTER_SOURCE)")))</f>
        <v/>
      </c>
      <c r="K1498" s="22">
        <f t="array" ref="K1498">IF($D1498="","",IFERROR(INDEX(MASTER_SOURCE!$C$2:$C$495,MATCH($I1498,MASTER_SOURCE!$A$2:$A$495,0)),""))</f>
        <v/>
      </c>
      <c r="L1498" s="22">
        <f t="array" ref="L1498">IF($D1498="","",IFERROR(INDEX(MASTER_SOURCE!$D$2:$D$495,MATCH($I1498,MASTER_SOURCE!$A$2:$A$495,0)),""))</f>
        <v/>
      </c>
      <c r="M1498" s="24" t="n"/>
      <c r="N1498" s="24" t="n"/>
      <c r="O1498" s="24" t="n"/>
      <c r="P1498" s="24" t="n"/>
      <c r="Q1498" s="22">
        <f>IF($D1498="","",IF(AND(OR(DANH_MUC!$L$5&lt;&gt;"Có",M1498="Có"),OR(DANH_MUC!$L$6&lt;&gt;"Có",N1498="Có"),OR(DANH_MUC!$L$7&lt;&gt;"Có",O1498="Có"),OR(DANH_MUC!$L$8&lt;&gt;"Có",P1498="Có")),"Có","Không"))</f>
        <v/>
      </c>
      <c r="R1498" s="22">
        <f>IF($D1498="","",IF(COUNTIF($D$2:$D1498,$D1498)&gt;1,"Trùng",""))</f>
        <v/>
      </c>
      <c r="S1498" s="22">
        <f>IF($D1498="","",IF(AND(LEN($D1498)=10,LEFT($D1498,1)="0",ISNUMBER(--$D1498)),"Có","Không"))</f>
        <v/>
      </c>
      <c r="T1498" s="22">
        <f>IF($D1498="","",IF(AND($C1498&lt;&gt;"",$Q1498="Có",$R1498="",$S1498="Có",AND($L1498&lt;&gt;"",OR($L1498&lt;&gt;"Chưa xác định",DANH_MUC!$L$9="Có"))),"Có","Không"))</f>
        <v/>
      </c>
      <c r="U1498" s="22">
        <f>IF(OR($D1498="",$T1498="Có"),"",IF($C1498="","Thiếu họ tên; ","")&amp;IF($S1498&lt;&gt;"Có","SĐT sai định dạng; ","")&amp;IF($R1498="Trùng","Trùng SĐT; ","")&amp;IF($Q1498&lt;&gt;"Có","Thiếu đồng ý bắt buộc; ","")&amp;IF($L1498="","Thiếu/sai Mã REF; ",IF(AND($L1498="Chưa xác định",DANH_MUC!$L$9&lt;&gt;"Có"),"Nguồn chưa xác định; ","")))</f>
        <v/>
      </c>
      <c r="V1498" s="22">
        <f>IF(OR($D1498="",$R1498="Trùng"),"",IF(COUNTIF(ORDERS!$C$2:$C$4995,$D1498)&gt;0,"Có","Không"))</f>
        <v/>
      </c>
      <c r="W1498" s="22">
        <f>IF(OR($D1498="",$R1498="Trùng"),"",COUNTIFS(ORDERS!$C$2:$C$4995,$D1498,ORDERS!$L$2:$L$4995,"Đã chuyển khoản"))</f>
        <v/>
      </c>
      <c r="X1498" s="23">
        <f>IF(OR($D1498="",$R1498="Trùng"),"",SUMIFS(ORDERS!$J$2:$J$4995,ORDERS!$C$2:$C$4995,$D1498,ORDERS!$L$2:$L$4995,"Đã chuyển khoản"))</f>
        <v/>
      </c>
      <c r="Y1498" s="24" t="n"/>
    </row>
    <row r="1499" ht="14.25" customHeight="1" s="40">
      <c r="A1499" s="24" t="n"/>
      <c r="B1499" s="27" t="n"/>
      <c r="C1499" s="24" t="n"/>
      <c r="D1499" s="28" t="n"/>
      <c r="E1499" s="29" t="n"/>
      <c r="F1499" s="24" t="n"/>
      <c r="G1499" s="24" t="n"/>
      <c r="H1499" s="21">
        <f>IF(ISNUMBER($B1499),INT($B1499)-WEEKDAY($B1499,2)+1,"")</f>
        <v/>
      </c>
      <c r="I1499" s="24" t="n"/>
      <c r="J1499" s="22">
        <f t="array" ref="J1499">IF($D1499="","",IF($I1499="","(trống REF)",IFERROR(INDEX(MASTER_SOURCE!$B$2:$B$495,MATCH($I1499,MASTER_SOURCE!$A$2:$A$495,0)),"(REF không có trong MASTER_SOURCE)")))</f>
        <v/>
      </c>
      <c r="K1499" s="22">
        <f t="array" ref="K1499">IF($D1499="","",IFERROR(INDEX(MASTER_SOURCE!$C$2:$C$495,MATCH($I1499,MASTER_SOURCE!$A$2:$A$495,0)),""))</f>
        <v/>
      </c>
      <c r="L1499" s="22">
        <f t="array" ref="L1499">IF($D1499="","",IFERROR(INDEX(MASTER_SOURCE!$D$2:$D$495,MATCH($I1499,MASTER_SOURCE!$A$2:$A$495,0)),""))</f>
        <v/>
      </c>
      <c r="M1499" s="24" t="n"/>
      <c r="N1499" s="24" t="n"/>
      <c r="O1499" s="24" t="n"/>
      <c r="P1499" s="24" t="n"/>
      <c r="Q1499" s="22">
        <f>IF($D1499="","",IF(AND(OR(DANH_MUC!$L$5&lt;&gt;"Có",M1499="Có"),OR(DANH_MUC!$L$6&lt;&gt;"Có",N1499="Có"),OR(DANH_MUC!$L$7&lt;&gt;"Có",O1499="Có"),OR(DANH_MUC!$L$8&lt;&gt;"Có",P1499="Có")),"Có","Không"))</f>
        <v/>
      </c>
      <c r="R1499" s="22">
        <f>IF($D1499="","",IF(COUNTIF($D$2:$D1499,$D1499)&gt;1,"Trùng",""))</f>
        <v/>
      </c>
      <c r="S1499" s="22">
        <f>IF($D1499="","",IF(AND(LEN($D1499)=10,LEFT($D1499,1)="0",ISNUMBER(--$D1499)),"Có","Không"))</f>
        <v/>
      </c>
      <c r="T1499" s="22">
        <f>IF($D1499="","",IF(AND($C1499&lt;&gt;"",$Q1499="Có",$R1499="",$S1499="Có",AND($L1499&lt;&gt;"",OR($L1499&lt;&gt;"Chưa xác định",DANH_MUC!$L$9="Có"))),"Có","Không"))</f>
        <v/>
      </c>
      <c r="U1499" s="22">
        <f>IF(OR($D1499="",$T1499="Có"),"",IF($C1499="","Thiếu họ tên; ","")&amp;IF($S1499&lt;&gt;"Có","SĐT sai định dạng; ","")&amp;IF($R1499="Trùng","Trùng SĐT; ","")&amp;IF($Q1499&lt;&gt;"Có","Thiếu đồng ý bắt buộc; ","")&amp;IF($L1499="","Thiếu/sai Mã REF; ",IF(AND($L1499="Chưa xác định",DANH_MUC!$L$9&lt;&gt;"Có"),"Nguồn chưa xác định; ","")))</f>
        <v/>
      </c>
      <c r="V1499" s="22">
        <f>IF(OR($D1499="",$R1499="Trùng"),"",IF(COUNTIF(ORDERS!$C$2:$C$4995,$D1499)&gt;0,"Có","Không"))</f>
        <v/>
      </c>
      <c r="W1499" s="22">
        <f>IF(OR($D1499="",$R1499="Trùng"),"",COUNTIFS(ORDERS!$C$2:$C$4995,$D1499,ORDERS!$L$2:$L$4995,"Đã chuyển khoản"))</f>
        <v/>
      </c>
      <c r="X1499" s="23">
        <f>IF(OR($D1499="",$R1499="Trùng"),"",SUMIFS(ORDERS!$J$2:$J$4995,ORDERS!$C$2:$C$4995,$D1499,ORDERS!$L$2:$L$4995,"Đã chuyển khoản"))</f>
        <v/>
      </c>
      <c r="Y1499" s="24" t="n"/>
    </row>
    <row r="1500" ht="14.25" customHeight="1" s="40">
      <c r="A1500" s="24" t="n"/>
      <c r="B1500" s="27" t="n"/>
      <c r="C1500" s="24" t="n"/>
      <c r="D1500" s="28" t="n"/>
      <c r="E1500" s="29" t="n"/>
      <c r="F1500" s="24" t="n"/>
      <c r="G1500" s="24" t="n"/>
      <c r="H1500" s="21">
        <f>IF(ISNUMBER($B1500),INT($B1500)-WEEKDAY($B1500,2)+1,"")</f>
        <v/>
      </c>
      <c r="I1500" s="24" t="n"/>
      <c r="J1500" s="22">
        <f t="array" ref="J1500">IF($D1500="","",IF($I1500="","(trống REF)",IFERROR(INDEX(MASTER_SOURCE!$B$2:$B$495,MATCH($I1500,MASTER_SOURCE!$A$2:$A$495,0)),"(REF không có trong MASTER_SOURCE)")))</f>
        <v/>
      </c>
      <c r="K1500" s="22">
        <f t="array" ref="K1500">IF($D1500="","",IFERROR(INDEX(MASTER_SOURCE!$C$2:$C$495,MATCH($I1500,MASTER_SOURCE!$A$2:$A$495,0)),""))</f>
        <v/>
      </c>
      <c r="L1500" s="22">
        <f t="array" ref="L1500">IF($D1500="","",IFERROR(INDEX(MASTER_SOURCE!$D$2:$D$495,MATCH($I1500,MASTER_SOURCE!$A$2:$A$495,0)),""))</f>
        <v/>
      </c>
      <c r="M1500" s="24" t="n"/>
      <c r="N1500" s="24" t="n"/>
      <c r="O1500" s="24" t="n"/>
      <c r="P1500" s="24" t="n"/>
      <c r="Q1500" s="22">
        <f>IF($D1500="","",IF(AND(OR(DANH_MUC!$L$5&lt;&gt;"Có",M1500="Có"),OR(DANH_MUC!$L$6&lt;&gt;"Có",N1500="Có"),OR(DANH_MUC!$L$7&lt;&gt;"Có",O1500="Có"),OR(DANH_MUC!$L$8&lt;&gt;"Có",P1500="Có")),"Có","Không"))</f>
        <v/>
      </c>
      <c r="R1500" s="22">
        <f>IF($D1500="","",IF(COUNTIF($D$2:$D1500,$D1500)&gt;1,"Trùng",""))</f>
        <v/>
      </c>
      <c r="S1500" s="22">
        <f>IF($D1500="","",IF(AND(LEN($D1500)=10,LEFT($D1500,1)="0",ISNUMBER(--$D1500)),"Có","Không"))</f>
        <v/>
      </c>
      <c r="T1500" s="22">
        <f>IF($D1500="","",IF(AND($C1500&lt;&gt;"",$Q1500="Có",$R1500="",$S1500="Có",AND($L1500&lt;&gt;"",OR($L1500&lt;&gt;"Chưa xác định",DANH_MUC!$L$9="Có"))),"Có","Không"))</f>
        <v/>
      </c>
      <c r="U1500" s="22">
        <f>IF(OR($D1500="",$T1500="Có"),"",IF($C1500="","Thiếu họ tên; ","")&amp;IF($S1500&lt;&gt;"Có","SĐT sai định dạng; ","")&amp;IF($R1500="Trùng","Trùng SĐT; ","")&amp;IF($Q1500&lt;&gt;"Có","Thiếu đồng ý bắt buộc; ","")&amp;IF($L1500="","Thiếu/sai Mã REF; ",IF(AND($L1500="Chưa xác định",DANH_MUC!$L$9&lt;&gt;"Có"),"Nguồn chưa xác định; ","")))</f>
        <v/>
      </c>
      <c r="V1500" s="22">
        <f>IF(OR($D1500="",$R1500="Trùng"),"",IF(COUNTIF(ORDERS!$C$2:$C$4995,$D1500)&gt;0,"Có","Không"))</f>
        <v/>
      </c>
      <c r="W1500" s="22">
        <f>IF(OR($D1500="",$R1500="Trùng"),"",COUNTIFS(ORDERS!$C$2:$C$4995,$D1500,ORDERS!$L$2:$L$4995,"Đã chuyển khoản"))</f>
        <v/>
      </c>
      <c r="X1500" s="23">
        <f>IF(OR($D1500="",$R1500="Trùng"),"",SUMIFS(ORDERS!$J$2:$J$4995,ORDERS!$C$2:$C$4995,$D1500,ORDERS!$L$2:$L$4995,"Đã chuyển khoản"))</f>
        <v/>
      </c>
      <c r="Y1500" s="24" t="n"/>
    </row>
    <row r="1501" ht="14.25" customHeight="1" s="40">
      <c r="A1501" s="24" t="n"/>
      <c r="B1501" s="27" t="n"/>
      <c r="C1501" s="24" t="n"/>
      <c r="D1501" s="28" t="n"/>
      <c r="E1501" s="29" t="n"/>
      <c r="F1501" s="24" t="n"/>
      <c r="G1501" s="24" t="n"/>
      <c r="H1501" s="21">
        <f>IF(ISNUMBER($B1501),INT($B1501)-WEEKDAY($B1501,2)+1,"")</f>
        <v/>
      </c>
      <c r="I1501" s="24" t="n"/>
      <c r="J1501" s="22">
        <f t="array" ref="J1501">IF($D1501="","",IF($I1501="","(trống REF)",IFERROR(INDEX(MASTER_SOURCE!$B$2:$B$495,MATCH($I1501,MASTER_SOURCE!$A$2:$A$495,0)),"(REF không có trong MASTER_SOURCE)")))</f>
        <v/>
      </c>
      <c r="K1501" s="22">
        <f t="array" ref="K1501">IF($D1501="","",IFERROR(INDEX(MASTER_SOURCE!$C$2:$C$495,MATCH($I1501,MASTER_SOURCE!$A$2:$A$495,0)),""))</f>
        <v/>
      </c>
      <c r="L1501" s="22">
        <f t="array" ref="L1501">IF($D1501="","",IFERROR(INDEX(MASTER_SOURCE!$D$2:$D$495,MATCH($I1501,MASTER_SOURCE!$A$2:$A$495,0)),""))</f>
        <v/>
      </c>
      <c r="M1501" s="24" t="n"/>
      <c r="N1501" s="24" t="n"/>
      <c r="O1501" s="24" t="n"/>
      <c r="P1501" s="24" t="n"/>
      <c r="Q1501" s="22">
        <f>IF($D1501="","",IF(AND(OR(DANH_MUC!$L$5&lt;&gt;"Có",M1501="Có"),OR(DANH_MUC!$L$6&lt;&gt;"Có",N1501="Có"),OR(DANH_MUC!$L$7&lt;&gt;"Có",O1501="Có"),OR(DANH_MUC!$L$8&lt;&gt;"Có",P1501="Có")),"Có","Không"))</f>
        <v/>
      </c>
      <c r="R1501" s="22">
        <f>IF($D1501="","",IF(COUNTIF($D$2:$D1501,$D1501)&gt;1,"Trùng",""))</f>
        <v/>
      </c>
      <c r="S1501" s="22">
        <f>IF($D1501="","",IF(AND(LEN($D1501)=10,LEFT($D1501,1)="0",ISNUMBER(--$D1501)),"Có","Không"))</f>
        <v/>
      </c>
      <c r="T1501" s="22">
        <f>IF($D1501="","",IF(AND($C1501&lt;&gt;"",$Q1501="Có",$R1501="",$S1501="Có",AND($L1501&lt;&gt;"",OR($L1501&lt;&gt;"Chưa xác định",DANH_MUC!$L$9="Có"))),"Có","Không"))</f>
        <v/>
      </c>
      <c r="U1501" s="22">
        <f>IF(OR($D1501="",$T1501="Có"),"",IF($C1501="","Thiếu họ tên; ","")&amp;IF($S1501&lt;&gt;"Có","SĐT sai định dạng; ","")&amp;IF($R1501="Trùng","Trùng SĐT; ","")&amp;IF($Q1501&lt;&gt;"Có","Thiếu đồng ý bắt buộc; ","")&amp;IF($L1501="","Thiếu/sai Mã REF; ",IF(AND($L1501="Chưa xác định",DANH_MUC!$L$9&lt;&gt;"Có"),"Nguồn chưa xác định; ","")))</f>
        <v/>
      </c>
      <c r="V1501" s="22">
        <f>IF(OR($D1501="",$R1501="Trùng"),"",IF(COUNTIF(ORDERS!$C$2:$C$4995,$D1501)&gt;0,"Có","Không"))</f>
        <v/>
      </c>
      <c r="W1501" s="22">
        <f>IF(OR($D1501="",$R1501="Trùng"),"",COUNTIFS(ORDERS!$C$2:$C$4995,$D1501,ORDERS!$L$2:$L$4995,"Đã chuyển khoản"))</f>
        <v/>
      </c>
      <c r="X1501" s="23">
        <f>IF(OR($D1501="",$R1501="Trùng"),"",SUMIFS(ORDERS!$J$2:$J$4995,ORDERS!$C$2:$C$4995,$D1501,ORDERS!$L$2:$L$4995,"Đã chuyển khoản"))</f>
        <v/>
      </c>
      <c r="Y1501" s="24" t="n"/>
    </row>
    <row r="1502" ht="14.25" customHeight="1" s="40">
      <c r="A1502" s="24" t="n"/>
      <c r="B1502" s="27" t="n"/>
      <c r="C1502" s="24" t="n"/>
      <c r="D1502" s="28" t="n"/>
      <c r="E1502" s="29" t="n"/>
      <c r="F1502" s="24" t="n"/>
      <c r="G1502" s="24" t="n"/>
      <c r="H1502" s="21">
        <f>IF(ISNUMBER($B1502),INT($B1502)-WEEKDAY($B1502,2)+1,"")</f>
        <v/>
      </c>
      <c r="I1502" s="24" t="n"/>
      <c r="J1502" s="22">
        <f t="array" ref="J1502">IF($D1502="","",IF($I1502="","(trống REF)",IFERROR(INDEX(MASTER_SOURCE!$B$2:$B$495,MATCH($I1502,MASTER_SOURCE!$A$2:$A$495,0)),"(REF không có trong MASTER_SOURCE)")))</f>
        <v/>
      </c>
      <c r="K1502" s="22">
        <f t="array" ref="K1502">IF($D1502="","",IFERROR(INDEX(MASTER_SOURCE!$C$2:$C$495,MATCH($I1502,MASTER_SOURCE!$A$2:$A$495,0)),""))</f>
        <v/>
      </c>
      <c r="L1502" s="22">
        <f t="array" ref="L1502">IF($D1502="","",IFERROR(INDEX(MASTER_SOURCE!$D$2:$D$495,MATCH($I1502,MASTER_SOURCE!$A$2:$A$495,0)),""))</f>
        <v/>
      </c>
      <c r="M1502" s="24" t="n"/>
      <c r="N1502" s="24" t="n"/>
      <c r="O1502" s="24" t="n"/>
      <c r="P1502" s="24" t="n"/>
      <c r="Q1502" s="22">
        <f>IF($D1502="","",IF(AND(OR(DANH_MUC!$L$5&lt;&gt;"Có",M1502="Có"),OR(DANH_MUC!$L$6&lt;&gt;"Có",N1502="Có"),OR(DANH_MUC!$L$7&lt;&gt;"Có",O1502="Có"),OR(DANH_MUC!$L$8&lt;&gt;"Có",P1502="Có")),"Có","Không"))</f>
        <v/>
      </c>
      <c r="R1502" s="22">
        <f>IF($D1502="","",IF(COUNTIF($D$2:$D1502,$D1502)&gt;1,"Trùng",""))</f>
        <v/>
      </c>
      <c r="S1502" s="22">
        <f>IF($D1502="","",IF(AND(LEN($D1502)=10,LEFT($D1502,1)="0",ISNUMBER(--$D1502)),"Có","Không"))</f>
        <v/>
      </c>
      <c r="T1502" s="22">
        <f>IF($D1502="","",IF(AND($C1502&lt;&gt;"",$Q1502="Có",$R1502="",$S1502="Có",AND($L1502&lt;&gt;"",OR($L1502&lt;&gt;"Chưa xác định",DANH_MUC!$L$9="Có"))),"Có","Không"))</f>
        <v/>
      </c>
      <c r="U1502" s="22">
        <f>IF(OR($D1502="",$T1502="Có"),"",IF($C1502="","Thiếu họ tên; ","")&amp;IF($S1502&lt;&gt;"Có","SĐT sai định dạng; ","")&amp;IF($R1502="Trùng","Trùng SĐT; ","")&amp;IF($Q1502&lt;&gt;"Có","Thiếu đồng ý bắt buộc; ","")&amp;IF($L1502="","Thiếu/sai Mã REF; ",IF(AND($L1502="Chưa xác định",DANH_MUC!$L$9&lt;&gt;"Có"),"Nguồn chưa xác định; ","")))</f>
        <v/>
      </c>
      <c r="V1502" s="22">
        <f>IF(OR($D1502="",$R1502="Trùng"),"",IF(COUNTIF(ORDERS!$C$2:$C$4995,$D1502)&gt;0,"Có","Không"))</f>
        <v/>
      </c>
      <c r="W1502" s="22">
        <f>IF(OR($D1502="",$R1502="Trùng"),"",COUNTIFS(ORDERS!$C$2:$C$4995,$D1502,ORDERS!$L$2:$L$4995,"Đã chuyển khoản"))</f>
        <v/>
      </c>
      <c r="X1502" s="23">
        <f>IF(OR($D1502="",$R1502="Trùng"),"",SUMIFS(ORDERS!$J$2:$J$4995,ORDERS!$C$2:$C$4995,$D1502,ORDERS!$L$2:$L$4995,"Đã chuyển khoản"))</f>
        <v/>
      </c>
      <c r="Y1502" s="24" t="n"/>
    </row>
    <row r="1503" ht="14.25" customHeight="1" s="40">
      <c r="A1503" s="24" t="n"/>
      <c r="B1503" s="27" t="n"/>
      <c r="C1503" s="24" t="n"/>
      <c r="D1503" s="28" t="n"/>
      <c r="E1503" s="29" t="n"/>
      <c r="F1503" s="24" t="n"/>
      <c r="G1503" s="24" t="n"/>
      <c r="H1503" s="21">
        <f>IF(ISNUMBER($B1503),INT($B1503)-WEEKDAY($B1503,2)+1,"")</f>
        <v/>
      </c>
      <c r="I1503" s="24" t="n"/>
      <c r="J1503" s="22">
        <f t="array" ref="J1503">IF($D1503="","",IF($I1503="","(trống REF)",IFERROR(INDEX(MASTER_SOURCE!$B$2:$B$495,MATCH($I1503,MASTER_SOURCE!$A$2:$A$495,0)),"(REF không có trong MASTER_SOURCE)")))</f>
        <v/>
      </c>
      <c r="K1503" s="22">
        <f t="array" ref="K1503">IF($D1503="","",IFERROR(INDEX(MASTER_SOURCE!$C$2:$C$495,MATCH($I1503,MASTER_SOURCE!$A$2:$A$495,0)),""))</f>
        <v/>
      </c>
      <c r="L1503" s="22">
        <f t="array" ref="L1503">IF($D1503="","",IFERROR(INDEX(MASTER_SOURCE!$D$2:$D$495,MATCH($I1503,MASTER_SOURCE!$A$2:$A$495,0)),""))</f>
        <v/>
      </c>
      <c r="M1503" s="24" t="n"/>
      <c r="N1503" s="24" t="n"/>
      <c r="O1503" s="24" t="n"/>
      <c r="P1503" s="24" t="n"/>
      <c r="Q1503" s="22">
        <f>IF($D1503="","",IF(AND(OR(DANH_MUC!$L$5&lt;&gt;"Có",M1503="Có"),OR(DANH_MUC!$L$6&lt;&gt;"Có",N1503="Có"),OR(DANH_MUC!$L$7&lt;&gt;"Có",O1503="Có"),OR(DANH_MUC!$L$8&lt;&gt;"Có",P1503="Có")),"Có","Không"))</f>
        <v/>
      </c>
      <c r="R1503" s="22">
        <f>IF($D1503="","",IF(COUNTIF($D$2:$D1503,$D1503)&gt;1,"Trùng",""))</f>
        <v/>
      </c>
      <c r="S1503" s="22">
        <f>IF($D1503="","",IF(AND(LEN($D1503)=10,LEFT($D1503,1)="0",ISNUMBER(--$D1503)),"Có","Không"))</f>
        <v/>
      </c>
      <c r="T1503" s="22">
        <f>IF($D1503="","",IF(AND($C1503&lt;&gt;"",$Q1503="Có",$R1503="",$S1503="Có",AND($L1503&lt;&gt;"",OR($L1503&lt;&gt;"Chưa xác định",DANH_MUC!$L$9="Có"))),"Có","Không"))</f>
        <v/>
      </c>
      <c r="U1503" s="22">
        <f>IF(OR($D1503="",$T1503="Có"),"",IF($C1503="","Thiếu họ tên; ","")&amp;IF($S1503&lt;&gt;"Có","SĐT sai định dạng; ","")&amp;IF($R1503="Trùng","Trùng SĐT; ","")&amp;IF($Q1503&lt;&gt;"Có","Thiếu đồng ý bắt buộc; ","")&amp;IF($L1503="","Thiếu/sai Mã REF; ",IF(AND($L1503="Chưa xác định",DANH_MUC!$L$9&lt;&gt;"Có"),"Nguồn chưa xác định; ","")))</f>
        <v/>
      </c>
      <c r="V1503" s="22">
        <f>IF(OR($D1503="",$R1503="Trùng"),"",IF(COUNTIF(ORDERS!$C$2:$C$4995,$D1503)&gt;0,"Có","Không"))</f>
        <v/>
      </c>
      <c r="W1503" s="22">
        <f>IF(OR($D1503="",$R1503="Trùng"),"",COUNTIFS(ORDERS!$C$2:$C$4995,$D1503,ORDERS!$L$2:$L$4995,"Đã chuyển khoản"))</f>
        <v/>
      </c>
      <c r="X1503" s="23">
        <f>IF(OR($D1503="",$R1503="Trùng"),"",SUMIFS(ORDERS!$J$2:$J$4995,ORDERS!$C$2:$C$4995,$D1503,ORDERS!$L$2:$L$4995,"Đã chuyển khoản"))</f>
        <v/>
      </c>
      <c r="Y1503" s="24" t="n"/>
    </row>
    <row r="1504" ht="14.25" customHeight="1" s="40">
      <c r="A1504" s="24" t="n"/>
      <c r="B1504" s="27" t="n"/>
      <c r="C1504" s="24" t="n"/>
      <c r="D1504" s="28" t="n"/>
      <c r="E1504" s="29" t="n"/>
      <c r="F1504" s="24" t="n"/>
      <c r="G1504" s="24" t="n"/>
      <c r="H1504" s="21">
        <f>IF(ISNUMBER($B1504),INT($B1504)-WEEKDAY($B1504,2)+1,"")</f>
        <v/>
      </c>
      <c r="I1504" s="24" t="n"/>
      <c r="J1504" s="22">
        <f t="array" ref="J1504">IF($D1504="","",IF($I1504="","(trống REF)",IFERROR(INDEX(MASTER_SOURCE!$B$2:$B$495,MATCH($I1504,MASTER_SOURCE!$A$2:$A$495,0)),"(REF không có trong MASTER_SOURCE)")))</f>
        <v/>
      </c>
      <c r="K1504" s="22">
        <f t="array" ref="K1504">IF($D1504="","",IFERROR(INDEX(MASTER_SOURCE!$C$2:$C$495,MATCH($I1504,MASTER_SOURCE!$A$2:$A$495,0)),""))</f>
        <v/>
      </c>
      <c r="L1504" s="22">
        <f t="array" ref="L1504">IF($D1504="","",IFERROR(INDEX(MASTER_SOURCE!$D$2:$D$495,MATCH($I1504,MASTER_SOURCE!$A$2:$A$495,0)),""))</f>
        <v/>
      </c>
      <c r="M1504" s="24" t="n"/>
      <c r="N1504" s="24" t="n"/>
      <c r="O1504" s="24" t="n"/>
      <c r="P1504" s="24" t="n"/>
      <c r="Q1504" s="22">
        <f>IF($D1504="","",IF(AND(OR(DANH_MUC!$L$5&lt;&gt;"Có",M1504="Có"),OR(DANH_MUC!$L$6&lt;&gt;"Có",N1504="Có"),OR(DANH_MUC!$L$7&lt;&gt;"Có",O1504="Có"),OR(DANH_MUC!$L$8&lt;&gt;"Có",P1504="Có")),"Có","Không"))</f>
        <v/>
      </c>
      <c r="R1504" s="22">
        <f>IF($D1504="","",IF(COUNTIF($D$2:$D1504,$D1504)&gt;1,"Trùng",""))</f>
        <v/>
      </c>
      <c r="S1504" s="22">
        <f>IF($D1504="","",IF(AND(LEN($D1504)=10,LEFT($D1504,1)="0",ISNUMBER(--$D1504)),"Có","Không"))</f>
        <v/>
      </c>
      <c r="T1504" s="22">
        <f>IF($D1504="","",IF(AND($C1504&lt;&gt;"",$Q1504="Có",$R1504="",$S1504="Có",AND($L1504&lt;&gt;"",OR($L1504&lt;&gt;"Chưa xác định",DANH_MUC!$L$9="Có"))),"Có","Không"))</f>
        <v/>
      </c>
      <c r="U1504" s="22">
        <f>IF(OR($D1504="",$T1504="Có"),"",IF($C1504="","Thiếu họ tên; ","")&amp;IF($S1504&lt;&gt;"Có","SĐT sai định dạng; ","")&amp;IF($R1504="Trùng","Trùng SĐT; ","")&amp;IF($Q1504&lt;&gt;"Có","Thiếu đồng ý bắt buộc; ","")&amp;IF($L1504="","Thiếu/sai Mã REF; ",IF(AND($L1504="Chưa xác định",DANH_MUC!$L$9&lt;&gt;"Có"),"Nguồn chưa xác định; ","")))</f>
        <v/>
      </c>
      <c r="V1504" s="22">
        <f>IF(OR($D1504="",$R1504="Trùng"),"",IF(COUNTIF(ORDERS!$C$2:$C$4995,$D1504)&gt;0,"Có","Không"))</f>
        <v/>
      </c>
      <c r="W1504" s="22">
        <f>IF(OR($D1504="",$R1504="Trùng"),"",COUNTIFS(ORDERS!$C$2:$C$4995,$D1504,ORDERS!$L$2:$L$4995,"Đã chuyển khoản"))</f>
        <v/>
      </c>
      <c r="X1504" s="23">
        <f>IF(OR($D1504="",$R1504="Trùng"),"",SUMIFS(ORDERS!$J$2:$J$4995,ORDERS!$C$2:$C$4995,$D1504,ORDERS!$L$2:$L$4995,"Đã chuyển khoản"))</f>
        <v/>
      </c>
      <c r="Y1504" s="24" t="n"/>
    </row>
    <row r="1505" ht="14.25" customHeight="1" s="40">
      <c r="A1505" s="24" t="n"/>
      <c r="B1505" s="27" t="n"/>
      <c r="C1505" s="24" t="n"/>
      <c r="D1505" s="28" t="n"/>
      <c r="E1505" s="29" t="n"/>
      <c r="F1505" s="24" t="n"/>
      <c r="G1505" s="24" t="n"/>
      <c r="H1505" s="21">
        <f>IF(ISNUMBER($B1505),INT($B1505)-WEEKDAY($B1505,2)+1,"")</f>
        <v/>
      </c>
      <c r="I1505" s="24" t="n"/>
      <c r="J1505" s="22">
        <f t="array" ref="J1505">IF($D1505="","",IF($I1505="","(trống REF)",IFERROR(INDEX(MASTER_SOURCE!$B$2:$B$495,MATCH($I1505,MASTER_SOURCE!$A$2:$A$495,0)),"(REF không có trong MASTER_SOURCE)")))</f>
        <v/>
      </c>
      <c r="K1505" s="22">
        <f t="array" ref="K1505">IF($D1505="","",IFERROR(INDEX(MASTER_SOURCE!$C$2:$C$495,MATCH($I1505,MASTER_SOURCE!$A$2:$A$495,0)),""))</f>
        <v/>
      </c>
      <c r="L1505" s="22">
        <f t="array" ref="L1505">IF($D1505="","",IFERROR(INDEX(MASTER_SOURCE!$D$2:$D$495,MATCH($I1505,MASTER_SOURCE!$A$2:$A$495,0)),""))</f>
        <v/>
      </c>
      <c r="M1505" s="24" t="n"/>
      <c r="N1505" s="24" t="n"/>
      <c r="O1505" s="24" t="n"/>
      <c r="P1505" s="24" t="n"/>
      <c r="Q1505" s="22">
        <f>IF($D1505="","",IF(AND(OR(DANH_MUC!$L$5&lt;&gt;"Có",M1505="Có"),OR(DANH_MUC!$L$6&lt;&gt;"Có",N1505="Có"),OR(DANH_MUC!$L$7&lt;&gt;"Có",O1505="Có"),OR(DANH_MUC!$L$8&lt;&gt;"Có",P1505="Có")),"Có","Không"))</f>
        <v/>
      </c>
      <c r="R1505" s="22">
        <f>IF($D1505="","",IF(COUNTIF($D$2:$D1505,$D1505)&gt;1,"Trùng",""))</f>
        <v/>
      </c>
      <c r="S1505" s="22">
        <f>IF($D1505="","",IF(AND(LEN($D1505)=10,LEFT($D1505,1)="0",ISNUMBER(--$D1505)),"Có","Không"))</f>
        <v/>
      </c>
      <c r="T1505" s="22">
        <f>IF($D1505="","",IF(AND($C1505&lt;&gt;"",$Q1505="Có",$R1505="",$S1505="Có",AND($L1505&lt;&gt;"",OR($L1505&lt;&gt;"Chưa xác định",DANH_MUC!$L$9="Có"))),"Có","Không"))</f>
        <v/>
      </c>
      <c r="U1505" s="22">
        <f>IF(OR($D1505="",$T1505="Có"),"",IF($C1505="","Thiếu họ tên; ","")&amp;IF($S1505&lt;&gt;"Có","SĐT sai định dạng; ","")&amp;IF($R1505="Trùng","Trùng SĐT; ","")&amp;IF($Q1505&lt;&gt;"Có","Thiếu đồng ý bắt buộc; ","")&amp;IF($L1505="","Thiếu/sai Mã REF; ",IF(AND($L1505="Chưa xác định",DANH_MUC!$L$9&lt;&gt;"Có"),"Nguồn chưa xác định; ","")))</f>
        <v/>
      </c>
      <c r="V1505" s="22">
        <f>IF(OR($D1505="",$R1505="Trùng"),"",IF(COUNTIF(ORDERS!$C$2:$C$4995,$D1505)&gt;0,"Có","Không"))</f>
        <v/>
      </c>
      <c r="W1505" s="22">
        <f>IF(OR($D1505="",$R1505="Trùng"),"",COUNTIFS(ORDERS!$C$2:$C$4995,$D1505,ORDERS!$L$2:$L$4995,"Đã chuyển khoản"))</f>
        <v/>
      </c>
      <c r="X1505" s="23">
        <f>IF(OR($D1505="",$R1505="Trùng"),"",SUMIFS(ORDERS!$J$2:$J$4995,ORDERS!$C$2:$C$4995,$D1505,ORDERS!$L$2:$L$4995,"Đã chuyển khoản"))</f>
        <v/>
      </c>
      <c r="Y1505" s="24" t="n"/>
    </row>
    <row r="1506" ht="14.25" customHeight="1" s="40">
      <c r="A1506" s="24" t="n"/>
      <c r="B1506" s="27" t="n"/>
      <c r="C1506" s="24" t="n"/>
      <c r="D1506" s="28" t="n"/>
      <c r="E1506" s="29" t="n"/>
      <c r="F1506" s="24" t="n"/>
      <c r="G1506" s="24" t="n"/>
      <c r="H1506" s="21">
        <f>IF(ISNUMBER($B1506),INT($B1506)-WEEKDAY($B1506,2)+1,"")</f>
        <v/>
      </c>
      <c r="I1506" s="24" t="n"/>
      <c r="J1506" s="22">
        <f t="array" ref="J1506">IF($D1506="","",IF($I1506="","(trống REF)",IFERROR(INDEX(MASTER_SOURCE!$B$2:$B$495,MATCH($I1506,MASTER_SOURCE!$A$2:$A$495,0)),"(REF không có trong MASTER_SOURCE)")))</f>
        <v/>
      </c>
      <c r="K1506" s="22">
        <f t="array" ref="K1506">IF($D1506="","",IFERROR(INDEX(MASTER_SOURCE!$C$2:$C$495,MATCH($I1506,MASTER_SOURCE!$A$2:$A$495,0)),""))</f>
        <v/>
      </c>
      <c r="L1506" s="22">
        <f t="array" ref="L1506">IF($D1506="","",IFERROR(INDEX(MASTER_SOURCE!$D$2:$D$495,MATCH($I1506,MASTER_SOURCE!$A$2:$A$495,0)),""))</f>
        <v/>
      </c>
      <c r="M1506" s="24" t="n"/>
      <c r="N1506" s="24" t="n"/>
      <c r="O1506" s="24" t="n"/>
      <c r="P1506" s="24" t="n"/>
      <c r="Q1506" s="22">
        <f>IF($D1506="","",IF(AND(OR(DANH_MUC!$L$5&lt;&gt;"Có",M1506="Có"),OR(DANH_MUC!$L$6&lt;&gt;"Có",N1506="Có"),OR(DANH_MUC!$L$7&lt;&gt;"Có",O1506="Có"),OR(DANH_MUC!$L$8&lt;&gt;"Có",P1506="Có")),"Có","Không"))</f>
        <v/>
      </c>
      <c r="R1506" s="22">
        <f>IF($D1506="","",IF(COUNTIF($D$2:$D1506,$D1506)&gt;1,"Trùng",""))</f>
        <v/>
      </c>
      <c r="S1506" s="22">
        <f>IF($D1506="","",IF(AND(LEN($D1506)=10,LEFT($D1506,1)="0",ISNUMBER(--$D1506)),"Có","Không"))</f>
        <v/>
      </c>
      <c r="T1506" s="22">
        <f>IF($D1506="","",IF(AND($C1506&lt;&gt;"",$Q1506="Có",$R1506="",$S1506="Có",AND($L1506&lt;&gt;"",OR($L1506&lt;&gt;"Chưa xác định",DANH_MUC!$L$9="Có"))),"Có","Không"))</f>
        <v/>
      </c>
      <c r="U1506" s="22">
        <f>IF(OR($D1506="",$T1506="Có"),"",IF($C1506="","Thiếu họ tên; ","")&amp;IF($S1506&lt;&gt;"Có","SĐT sai định dạng; ","")&amp;IF($R1506="Trùng","Trùng SĐT; ","")&amp;IF($Q1506&lt;&gt;"Có","Thiếu đồng ý bắt buộc; ","")&amp;IF($L1506="","Thiếu/sai Mã REF; ",IF(AND($L1506="Chưa xác định",DANH_MUC!$L$9&lt;&gt;"Có"),"Nguồn chưa xác định; ","")))</f>
        <v/>
      </c>
      <c r="V1506" s="22">
        <f>IF(OR($D1506="",$R1506="Trùng"),"",IF(COUNTIF(ORDERS!$C$2:$C$4995,$D1506)&gt;0,"Có","Không"))</f>
        <v/>
      </c>
      <c r="W1506" s="22">
        <f>IF(OR($D1506="",$R1506="Trùng"),"",COUNTIFS(ORDERS!$C$2:$C$4995,$D1506,ORDERS!$L$2:$L$4995,"Đã chuyển khoản"))</f>
        <v/>
      </c>
      <c r="X1506" s="23">
        <f>IF(OR($D1506="",$R1506="Trùng"),"",SUMIFS(ORDERS!$J$2:$J$4995,ORDERS!$C$2:$C$4995,$D1506,ORDERS!$L$2:$L$4995,"Đã chuyển khoản"))</f>
        <v/>
      </c>
      <c r="Y1506" s="24" t="n"/>
    </row>
    <row r="1507" ht="14.25" customHeight="1" s="40">
      <c r="A1507" s="24" t="n"/>
      <c r="B1507" s="27" t="n"/>
      <c r="C1507" s="24" t="n"/>
      <c r="D1507" s="28" t="n"/>
      <c r="E1507" s="29" t="n"/>
      <c r="F1507" s="24" t="n"/>
      <c r="G1507" s="24" t="n"/>
      <c r="H1507" s="21">
        <f>IF(ISNUMBER($B1507),INT($B1507)-WEEKDAY($B1507,2)+1,"")</f>
        <v/>
      </c>
      <c r="I1507" s="24" t="n"/>
      <c r="J1507" s="22">
        <f t="array" ref="J1507">IF($D1507="","",IF($I1507="","(trống REF)",IFERROR(INDEX(MASTER_SOURCE!$B$2:$B$495,MATCH($I1507,MASTER_SOURCE!$A$2:$A$495,0)),"(REF không có trong MASTER_SOURCE)")))</f>
        <v/>
      </c>
      <c r="K1507" s="22">
        <f t="array" ref="K1507">IF($D1507="","",IFERROR(INDEX(MASTER_SOURCE!$C$2:$C$495,MATCH($I1507,MASTER_SOURCE!$A$2:$A$495,0)),""))</f>
        <v/>
      </c>
      <c r="L1507" s="22">
        <f t="array" ref="L1507">IF($D1507="","",IFERROR(INDEX(MASTER_SOURCE!$D$2:$D$495,MATCH($I1507,MASTER_SOURCE!$A$2:$A$495,0)),""))</f>
        <v/>
      </c>
      <c r="M1507" s="24" t="n"/>
      <c r="N1507" s="24" t="n"/>
      <c r="O1507" s="24" t="n"/>
      <c r="P1507" s="24" t="n"/>
      <c r="Q1507" s="22">
        <f>IF($D1507="","",IF(AND(OR(DANH_MUC!$L$5&lt;&gt;"Có",M1507="Có"),OR(DANH_MUC!$L$6&lt;&gt;"Có",N1507="Có"),OR(DANH_MUC!$L$7&lt;&gt;"Có",O1507="Có"),OR(DANH_MUC!$L$8&lt;&gt;"Có",P1507="Có")),"Có","Không"))</f>
        <v/>
      </c>
      <c r="R1507" s="22">
        <f>IF($D1507="","",IF(COUNTIF($D$2:$D1507,$D1507)&gt;1,"Trùng",""))</f>
        <v/>
      </c>
      <c r="S1507" s="22">
        <f>IF($D1507="","",IF(AND(LEN($D1507)=10,LEFT($D1507,1)="0",ISNUMBER(--$D1507)),"Có","Không"))</f>
        <v/>
      </c>
      <c r="T1507" s="22">
        <f>IF($D1507="","",IF(AND($C1507&lt;&gt;"",$Q1507="Có",$R1507="",$S1507="Có",AND($L1507&lt;&gt;"",OR($L1507&lt;&gt;"Chưa xác định",DANH_MUC!$L$9="Có"))),"Có","Không"))</f>
        <v/>
      </c>
      <c r="U1507" s="22">
        <f>IF(OR($D1507="",$T1507="Có"),"",IF($C1507="","Thiếu họ tên; ","")&amp;IF($S1507&lt;&gt;"Có","SĐT sai định dạng; ","")&amp;IF($R1507="Trùng","Trùng SĐT; ","")&amp;IF($Q1507&lt;&gt;"Có","Thiếu đồng ý bắt buộc; ","")&amp;IF($L1507="","Thiếu/sai Mã REF; ",IF(AND($L1507="Chưa xác định",DANH_MUC!$L$9&lt;&gt;"Có"),"Nguồn chưa xác định; ","")))</f>
        <v/>
      </c>
      <c r="V1507" s="22">
        <f>IF(OR($D1507="",$R1507="Trùng"),"",IF(COUNTIF(ORDERS!$C$2:$C$4995,$D1507)&gt;0,"Có","Không"))</f>
        <v/>
      </c>
      <c r="W1507" s="22">
        <f>IF(OR($D1507="",$R1507="Trùng"),"",COUNTIFS(ORDERS!$C$2:$C$4995,$D1507,ORDERS!$L$2:$L$4995,"Đã chuyển khoản"))</f>
        <v/>
      </c>
      <c r="X1507" s="23">
        <f>IF(OR($D1507="",$R1507="Trùng"),"",SUMIFS(ORDERS!$J$2:$J$4995,ORDERS!$C$2:$C$4995,$D1507,ORDERS!$L$2:$L$4995,"Đã chuyển khoản"))</f>
        <v/>
      </c>
      <c r="Y1507" s="24" t="n"/>
    </row>
    <row r="1508" ht="14.25" customHeight="1" s="40">
      <c r="A1508" s="24" t="n"/>
      <c r="B1508" s="27" t="n"/>
      <c r="C1508" s="24" t="n"/>
      <c r="D1508" s="28" t="n"/>
      <c r="E1508" s="29" t="n"/>
      <c r="F1508" s="24" t="n"/>
      <c r="G1508" s="24" t="n"/>
      <c r="H1508" s="21">
        <f>IF(ISNUMBER($B1508),INT($B1508)-WEEKDAY($B1508,2)+1,"")</f>
        <v/>
      </c>
      <c r="I1508" s="24" t="n"/>
      <c r="J1508" s="22">
        <f t="array" ref="J1508">IF($D1508="","",IF($I1508="","(trống REF)",IFERROR(INDEX(MASTER_SOURCE!$B$2:$B$495,MATCH($I1508,MASTER_SOURCE!$A$2:$A$495,0)),"(REF không có trong MASTER_SOURCE)")))</f>
        <v/>
      </c>
      <c r="K1508" s="22">
        <f t="array" ref="K1508">IF($D1508="","",IFERROR(INDEX(MASTER_SOURCE!$C$2:$C$495,MATCH($I1508,MASTER_SOURCE!$A$2:$A$495,0)),""))</f>
        <v/>
      </c>
      <c r="L1508" s="22">
        <f t="array" ref="L1508">IF($D1508="","",IFERROR(INDEX(MASTER_SOURCE!$D$2:$D$495,MATCH($I1508,MASTER_SOURCE!$A$2:$A$495,0)),""))</f>
        <v/>
      </c>
      <c r="M1508" s="24" t="n"/>
      <c r="N1508" s="24" t="n"/>
      <c r="O1508" s="24" t="n"/>
      <c r="P1508" s="24" t="n"/>
      <c r="Q1508" s="22">
        <f>IF($D1508="","",IF(AND(OR(DANH_MUC!$L$5&lt;&gt;"Có",M1508="Có"),OR(DANH_MUC!$L$6&lt;&gt;"Có",N1508="Có"),OR(DANH_MUC!$L$7&lt;&gt;"Có",O1508="Có"),OR(DANH_MUC!$L$8&lt;&gt;"Có",P1508="Có")),"Có","Không"))</f>
        <v/>
      </c>
      <c r="R1508" s="22">
        <f>IF($D1508="","",IF(COUNTIF($D$2:$D1508,$D1508)&gt;1,"Trùng",""))</f>
        <v/>
      </c>
      <c r="S1508" s="22">
        <f>IF($D1508="","",IF(AND(LEN($D1508)=10,LEFT($D1508,1)="0",ISNUMBER(--$D1508)),"Có","Không"))</f>
        <v/>
      </c>
      <c r="T1508" s="22">
        <f>IF($D1508="","",IF(AND($C1508&lt;&gt;"",$Q1508="Có",$R1508="",$S1508="Có",AND($L1508&lt;&gt;"",OR($L1508&lt;&gt;"Chưa xác định",DANH_MUC!$L$9="Có"))),"Có","Không"))</f>
        <v/>
      </c>
      <c r="U1508" s="22">
        <f>IF(OR($D1508="",$T1508="Có"),"",IF($C1508="","Thiếu họ tên; ","")&amp;IF($S1508&lt;&gt;"Có","SĐT sai định dạng; ","")&amp;IF($R1508="Trùng","Trùng SĐT; ","")&amp;IF($Q1508&lt;&gt;"Có","Thiếu đồng ý bắt buộc; ","")&amp;IF($L1508="","Thiếu/sai Mã REF; ",IF(AND($L1508="Chưa xác định",DANH_MUC!$L$9&lt;&gt;"Có"),"Nguồn chưa xác định; ","")))</f>
        <v/>
      </c>
      <c r="V1508" s="22">
        <f>IF(OR($D1508="",$R1508="Trùng"),"",IF(COUNTIF(ORDERS!$C$2:$C$4995,$D1508)&gt;0,"Có","Không"))</f>
        <v/>
      </c>
      <c r="W1508" s="22">
        <f>IF(OR($D1508="",$R1508="Trùng"),"",COUNTIFS(ORDERS!$C$2:$C$4995,$D1508,ORDERS!$L$2:$L$4995,"Đã chuyển khoản"))</f>
        <v/>
      </c>
      <c r="X1508" s="23">
        <f>IF(OR($D1508="",$R1508="Trùng"),"",SUMIFS(ORDERS!$J$2:$J$4995,ORDERS!$C$2:$C$4995,$D1508,ORDERS!$L$2:$L$4995,"Đã chuyển khoản"))</f>
        <v/>
      </c>
      <c r="Y1508" s="24" t="n"/>
    </row>
    <row r="1509" ht="14.25" customHeight="1" s="40">
      <c r="A1509" s="24" t="n"/>
      <c r="B1509" s="27" t="n"/>
      <c r="C1509" s="24" t="n"/>
      <c r="D1509" s="28" t="n"/>
      <c r="E1509" s="29" t="n"/>
      <c r="F1509" s="24" t="n"/>
      <c r="G1509" s="24" t="n"/>
      <c r="H1509" s="21">
        <f>IF(ISNUMBER($B1509),INT($B1509)-WEEKDAY($B1509,2)+1,"")</f>
        <v/>
      </c>
      <c r="I1509" s="24" t="n"/>
      <c r="J1509" s="22">
        <f t="array" ref="J1509">IF($D1509="","",IF($I1509="","(trống REF)",IFERROR(INDEX(MASTER_SOURCE!$B$2:$B$495,MATCH($I1509,MASTER_SOURCE!$A$2:$A$495,0)),"(REF không có trong MASTER_SOURCE)")))</f>
        <v/>
      </c>
      <c r="K1509" s="22">
        <f t="array" ref="K1509">IF($D1509="","",IFERROR(INDEX(MASTER_SOURCE!$C$2:$C$495,MATCH($I1509,MASTER_SOURCE!$A$2:$A$495,0)),""))</f>
        <v/>
      </c>
      <c r="L1509" s="22">
        <f t="array" ref="L1509">IF($D1509="","",IFERROR(INDEX(MASTER_SOURCE!$D$2:$D$495,MATCH($I1509,MASTER_SOURCE!$A$2:$A$495,0)),""))</f>
        <v/>
      </c>
      <c r="M1509" s="24" t="n"/>
      <c r="N1509" s="24" t="n"/>
      <c r="O1509" s="24" t="n"/>
      <c r="P1509" s="24" t="n"/>
      <c r="Q1509" s="22">
        <f>IF($D1509="","",IF(AND(OR(DANH_MUC!$L$5&lt;&gt;"Có",M1509="Có"),OR(DANH_MUC!$L$6&lt;&gt;"Có",N1509="Có"),OR(DANH_MUC!$L$7&lt;&gt;"Có",O1509="Có"),OR(DANH_MUC!$L$8&lt;&gt;"Có",P1509="Có")),"Có","Không"))</f>
        <v/>
      </c>
      <c r="R1509" s="22">
        <f>IF($D1509="","",IF(COUNTIF($D$2:$D1509,$D1509)&gt;1,"Trùng",""))</f>
        <v/>
      </c>
      <c r="S1509" s="22">
        <f>IF($D1509="","",IF(AND(LEN($D1509)=10,LEFT($D1509,1)="0",ISNUMBER(--$D1509)),"Có","Không"))</f>
        <v/>
      </c>
      <c r="T1509" s="22">
        <f>IF($D1509="","",IF(AND($C1509&lt;&gt;"",$Q1509="Có",$R1509="",$S1509="Có",AND($L1509&lt;&gt;"",OR($L1509&lt;&gt;"Chưa xác định",DANH_MUC!$L$9="Có"))),"Có","Không"))</f>
        <v/>
      </c>
      <c r="U1509" s="22">
        <f>IF(OR($D1509="",$T1509="Có"),"",IF($C1509="","Thiếu họ tên; ","")&amp;IF($S1509&lt;&gt;"Có","SĐT sai định dạng; ","")&amp;IF($R1509="Trùng","Trùng SĐT; ","")&amp;IF($Q1509&lt;&gt;"Có","Thiếu đồng ý bắt buộc; ","")&amp;IF($L1509="","Thiếu/sai Mã REF; ",IF(AND($L1509="Chưa xác định",DANH_MUC!$L$9&lt;&gt;"Có"),"Nguồn chưa xác định; ","")))</f>
        <v/>
      </c>
      <c r="V1509" s="22">
        <f>IF(OR($D1509="",$R1509="Trùng"),"",IF(COUNTIF(ORDERS!$C$2:$C$4995,$D1509)&gt;0,"Có","Không"))</f>
        <v/>
      </c>
      <c r="W1509" s="22">
        <f>IF(OR($D1509="",$R1509="Trùng"),"",COUNTIFS(ORDERS!$C$2:$C$4995,$D1509,ORDERS!$L$2:$L$4995,"Đã chuyển khoản"))</f>
        <v/>
      </c>
      <c r="X1509" s="23">
        <f>IF(OR($D1509="",$R1509="Trùng"),"",SUMIFS(ORDERS!$J$2:$J$4995,ORDERS!$C$2:$C$4995,$D1509,ORDERS!$L$2:$L$4995,"Đã chuyển khoản"))</f>
        <v/>
      </c>
      <c r="Y1509" s="24" t="n"/>
    </row>
    <row r="1510" ht="14.25" customHeight="1" s="40">
      <c r="A1510" s="24" t="n"/>
      <c r="B1510" s="27" t="n"/>
      <c r="C1510" s="24" t="n"/>
      <c r="D1510" s="28" t="n"/>
      <c r="E1510" s="29" t="n"/>
      <c r="F1510" s="24" t="n"/>
      <c r="G1510" s="24" t="n"/>
      <c r="H1510" s="21">
        <f>IF(ISNUMBER($B1510),INT($B1510)-WEEKDAY($B1510,2)+1,"")</f>
        <v/>
      </c>
      <c r="I1510" s="24" t="n"/>
      <c r="J1510" s="22">
        <f t="array" ref="J1510">IF($D1510="","",IF($I1510="","(trống REF)",IFERROR(INDEX(MASTER_SOURCE!$B$2:$B$495,MATCH($I1510,MASTER_SOURCE!$A$2:$A$495,0)),"(REF không có trong MASTER_SOURCE)")))</f>
        <v/>
      </c>
      <c r="K1510" s="22">
        <f t="array" ref="K1510">IF($D1510="","",IFERROR(INDEX(MASTER_SOURCE!$C$2:$C$495,MATCH($I1510,MASTER_SOURCE!$A$2:$A$495,0)),""))</f>
        <v/>
      </c>
      <c r="L1510" s="22">
        <f t="array" ref="L1510">IF($D1510="","",IFERROR(INDEX(MASTER_SOURCE!$D$2:$D$495,MATCH($I1510,MASTER_SOURCE!$A$2:$A$495,0)),""))</f>
        <v/>
      </c>
      <c r="M1510" s="24" t="n"/>
      <c r="N1510" s="24" t="n"/>
      <c r="O1510" s="24" t="n"/>
      <c r="P1510" s="24" t="n"/>
      <c r="Q1510" s="22">
        <f>IF($D1510="","",IF(AND(OR(DANH_MUC!$L$5&lt;&gt;"Có",M1510="Có"),OR(DANH_MUC!$L$6&lt;&gt;"Có",N1510="Có"),OR(DANH_MUC!$L$7&lt;&gt;"Có",O1510="Có"),OR(DANH_MUC!$L$8&lt;&gt;"Có",P1510="Có")),"Có","Không"))</f>
        <v/>
      </c>
      <c r="R1510" s="22">
        <f>IF($D1510="","",IF(COUNTIF($D$2:$D1510,$D1510)&gt;1,"Trùng",""))</f>
        <v/>
      </c>
      <c r="S1510" s="22">
        <f>IF($D1510="","",IF(AND(LEN($D1510)=10,LEFT($D1510,1)="0",ISNUMBER(--$D1510)),"Có","Không"))</f>
        <v/>
      </c>
      <c r="T1510" s="22">
        <f>IF($D1510="","",IF(AND($C1510&lt;&gt;"",$Q1510="Có",$R1510="",$S1510="Có",AND($L1510&lt;&gt;"",OR($L1510&lt;&gt;"Chưa xác định",DANH_MUC!$L$9="Có"))),"Có","Không"))</f>
        <v/>
      </c>
      <c r="U1510" s="22">
        <f>IF(OR($D1510="",$T1510="Có"),"",IF($C1510="","Thiếu họ tên; ","")&amp;IF($S1510&lt;&gt;"Có","SĐT sai định dạng; ","")&amp;IF($R1510="Trùng","Trùng SĐT; ","")&amp;IF($Q1510&lt;&gt;"Có","Thiếu đồng ý bắt buộc; ","")&amp;IF($L1510="","Thiếu/sai Mã REF; ",IF(AND($L1510="Chưa xác định",DANH_MUC!$L$9&lt;&gt;"Có"),"Nguồn chưa xác định; ","")))</f>
        <v/>
      </c>
      <c r="V1510" s="22">
        <f>IF(OR($D1510="",$R1510="Trùng"),"",IF(COUNTIF(ORDERS!$C$2:$C$4995,$D1510)&gt;0,"Có","Không"))</f>
        <v/>
      </c>
      <c r="W1510" s="22">
        <f>IF(OR($D1510="",$R1510="Trùng"),"",COUNTIFS(ORDERS!$C$2:$C$4995,$D1510,ORDERS!$L$2:$L$4995,"Đã chuyển khoản"))</f>
        <v/>
      </c>
      <c r="X1510" s="23">
        <f>IF(OR($D1510="",$R1510="Trùng"),"",SUMIFS(ORDERS!$J$2:$J$4995,ORDERS!$C$2:$C$4995,$D1510,ORDERS!$L$2:$L$4995,"Đã chuyển khoản"))</f>
        <v/>
      </c>
      <c r="Y1510" s="24" t="n"/>
    </row>
    <row r="1511" ht="14.25" customHeight="1" s="40">
      <c r="A1511" s="24" t="n"/>
      <c r="B1511" s="27" t="n"/>
      <c r="C1511" s="24" t="n"/>
      <c r="D1511" s="28" t="n"/>
      <c r="E1511" s="29" t="n"/>
      <c r="F1511" s="24" t="n"/>
      <c r="G1511" s="24" t="n"/>
      <c r="H1511" s="21">
        <f>IF(ISNUMBER($B1511),INT($B1511)-WEEKDAY($B1511,2)+1,"")</f>
        <v/>
      </c>
      <c r="I1511" s="24" t="n"/>
      <c r="J1511" s="22">
        <f t="array" ref="J1511">IF($D1511="","",IF($I1511="","(trống REF)",IFERROR(INDEX(MASTER_SOURCE!$B$2:$B$495,MATCH($I1511,MASTER_SOURCE!$A$2:$A$495,0)),"(REF không có trong MASTER_SOURCE)")))</f>
        <v/>
      </c>
      <c r="K1511" s="22">
        <f t="array" ref="K1511">IF($D1511="","",IFERROR(INDEX(MASTER_SOURCE!$C$2:$C$495,MATCH($I1511,MASTER_SOURCE!$A$2:$A$495,0)),""))</f>
        <v/>
      </c>
      <c r="L1511" s="22">
        <f t="array" ref="L1511">IF($D1511="","",IFERROR(INDEX(MASTER_SOURCE!$D$2:$D$495,MATCH($I1511,MASTER_SOURCE!$A$2:$A$495,0)),""))</f>
        <v/>
      </c>
      <c r="M1511" s="24" t="n"/>
      <c r="N1511" s="24" t="n"/>
      <c r="O1511" s="24" t="n"/>
      <c r="P1511" s="24" t="n"/>
      <c r="Q1511" s="22">
        <f>IF($D1511="","",IF(AND(OR(DANH_MUC!$L$5&lt;&gt;"Có",M1511="Có"),OR(DANH_MUC!$L$6&lt;&gt;"Có",N1511="Có"),OR(DANH_MUC!$L$7&lt;&gt;"Có",O1511="Có"),OR(DANH_MUC!$L$8&lt;&gt;"Có",P1511="Có")),"Có","Không"))</f>
        <v/>
      </c>
      <c r="R1511" s="22">
        <f>IF($D1511="","",IF(COUNTIF($D$2:$D1511,$D1511)&gt;1,"Trùng",""))</f>
        <v/>
      </c>
      <c r="S1511" s="22">
        <f>IF($D1511="","",IF(AND(LEN($D1511)=10,LEFT($D1511,1)="0",ISNUMBER(--$D1511)),"Có","Không"))</f>
        <v/>
      </c>
      <c r="T1511" s="22">
        <f>IF($D1511="","",IF(AND($C1511&lt;&gt;"",$Q1511="Có",$R1511="",$S1511="Có",AND($L1511&lt;&gt;"",OR($L1511&lt;&gt;"Chưa xác định",DANH_MUC!$L$9="Có"))),"Có","Không"))</f>
        <v/>
      </c>
      <c r="U1511" s="22">
        <f>IF(OR($D1511="",$T1511="Có"),"",IF($C1511="","Thiếu họ tên; ","")&amp;IF($S1511&lt;&gt;"Có","SĐT sai định dạng; ","")&amp;IF($R1511="Trùng","Trùng SĐT; ","")&amp;IF($Q1511&lt;&gt;"Có","Thiếu đồng ý bắt buộc; ","")&amp;IF($L1511="","Thiếu/sai Mã REF; ",IF(AND($L1511="Chưa xác định",DANH_MUC!$L$9&lt;&gt;"Có"),"Nguồn chưa xác định; ","")))</f>
        <v/>
      </c>
      <c r="V1511" s="22">
        <f>IF(OR($D1511="",$R1511="Trùng"),"",IF(COUNTIF(ORDERS!$C$2:$C$4995,$D1511)&gt;0,"Có","Không"))</f>
        <v/>
      </c>
      <c r="W1511" s="22">
        <f>IF(OR($D1511="",$R1511="Trùng"),"",COUNTIFS(ORDERS!$C$2:$C$4995,$D1511,ORDERS!$L$2:$L$4995,"Đã chuyển khoản"))</f>
        <v/>
      </c>
      <c r="X1511" s="23">
        <f>IF(OR($D1511="",$R1511="Trùng"),"",SUMIFS(ORDERS!$J$2:$J$4995,ORDERS!$C$2:$C$4995,$D1511,ORDERS!$L$2:$L$4995,"Đã chuyển khoản"))</f>
        <v/>
      </c>
      <c r="Y1511" s="24" t="n"/>
    </row>
    <row r="1512" ht="14.25" customHeight="1" s="40">
      <c r="A1512" s="24" t="n"/>
      <c r="B1512" s="27" t="n"/>
      <c r="C1512" s="24" t="n"/>
      <c r="D1512" s="28" t="n"/>
      <c r="E1512" s="29" t="n"/>
      <c r="F1512" s="24" t="n"/>
      <c r="G1512" s="24" t="n"/>
      <c r="H1512" s="21">
        <f>IF(ISNUMBER($B1512),INT($B1512)-WEEKDAY($B1512,2)+1,"")</f>
        <v/>
      </c>
      <c r="I1512" s="24" t="n"/>
      <c r="J1512" s="22">
        <f t="array" ref="J1512">IF($D1512="","",IF($I1512="","(trống REF)",IFERROR(INDEX(MASTER_SOURCE!$B$2:$B$495,MATCH($I1512,MASTER_SOURCE!$A$2:$A$495,0)),"(REF không có trong MASTER_SOURCE)")))</f>
        <v/>
      </c>
      <c r="K1512" s="22">
        <f t="array" ref="K1512">IF($D1512="","",IFERROR(INDEX(MASTER_SOURCE!$C$2:$C$495,MATCH($I1512,MASTER_SOURCE!$A$2:$A$495,0)),""))</f>
        <v/>
      </c>
      <c r="L1512" s="22">
        <f t="array" ref="L1512">IF($D1512="","",IFERROR(INDEX(MASTER_SOURCE!$D$2:$D$495,MATCH($I1512,MASTER_SOURCE!$A$2:$A$495,0)),""))</f>
        <v/>
      </c>
      <c r="M1512" s="24" t="n"/>
      <c r="N1512" s="24" t="n"/>
      <c r="O1512" s="24" t="n"/>
      <c r="P1512" s="24" t="n"/>
      <c r="Q1512" s="22">
        <f>IF($D1512="","",IF(AND(OR(DANH_MUC!$L$5&lt;&gt;"Có",M1512="Có"),OR(DANH_MUC!$L$6&lt;&gt;"Có",N1512="Có"),OR(DANH_MUC!$L$7&lt;&gt;"Có",O1512="Có"),OR(DANH_MUC!$L$8&lt;&gt;"Có",P1512="Có")),"Có","Không"))</f>
        <v/>
      </c>
      <c r="R1512" s="22">
        <f>IF($D1512="","",IF(COUNTIF($D$2:$D1512,$D1512)&gt;1,"Trùng",""))</f>
        <v/>
      </c>
      <c r="S1512" s="22">
        <f>IF($D1512="","",IF(AND(LEN($D1512)=10,LEFT($D1512,1)="0",ISNUMBER(--$D1512)),"Có","Không"))</f>
        <v/>
      </c>
      <c r="T1512" s="22">
        <f>IF($D1512="","",IF(AND($C1512&lt;&gt;"",$Q1512="Có",$R1512="",$S1512="Có",AND($L1512&lt;&gt;"",OR($L1512&lt;&gt;"Chưa xác định",DANH_MUC!$L$9="Có"))),"Có","Không"))</f>
        <v/>
      </c>
      <c r="U1512" s="22">
        <f>IF(OR($D1512="",$T1512="Có"),"",IF($C1512="","Thiếu họ tên; ","")&amp;IF($S1512&lt;&gt;"Có","SĐT sai định dạng; ","")&amp;IF($R1512="Trùng","Trùng SĐT; ","")&amp;IF($Q1512&lt;&gt;"Có","Thiếu đồng ý bắt buộc; ","")&amp;IF($L1512="","Thiếu/sai Mã REF; ",IF(AND($L1512="Chưa xác định",DANH_MUC!$L$9&lt;&gt;"Có"),"Nguồn chưa xác định; ","")))</f>
        <v/>
      </c>
      <c r="V1512" s="22">
        <f>IF(OR($D1512="",$R1512="Trùng"),"",IF(COUNTIF(ORDERS!$C$2:$C$4995,$D1512)&gt;0,"Có","Không"))</f>
        <v/>
      </c>
      <c r="W1512" s="22">
        <f>IF(OR($D1512="",$R1512="Trùng"),"",COUNTIFS(ORDERS!$C$2:$C$4995,$D1512,ORDERS!$L$2:$L$4995,"Đã chuyển khoản"))</f>
        <v/>
      </c>
      <c r="X1512" s="23">
        <f>IF(OR($D1512="",$R1512="Trùng"),"",SUMIFS(ORDERS!$J$2:$J$4995,ORDERS!$C$2:$C$4995,$D1512,ORDERS!$L$2:$L$4995,"Đã chuyển khoản"))</f>
        <v/>
      </c>
      <c r="Y1512" s="24" t="n"/>
    </row>
    <row r="1513" ht="14.25" customHeight="1" s="40">
      <c r="A1513" s="24" t="n"/>
      <c r="B1513" s="27" t="n"/>
      <c r="C1513" s="24" t="n"/>
      <c r="D1513" s="28" t="n"/>
      <c r="E1513" s="29" t="n"/>
      <c r="F1513" s="24" t="n"/>
      <c r="G1513" s="24" t="n"/>
      <c r="H1513" s="21">
        <f>IF(ISNUMBER($B1513),INT($B1513)-WEEKDAY($B1513,2)+1,"")</f>
        <v/>
      </c>
      <c r="I1513" s="24" t="n"/>
      <c r="J1513" s="22">
        <f t="array" ref="J1513">IF($D1513="","",IF($I1513="","(trống REF)",IFERROR(INDEX(MASTER_SOURCE!$B$2:$B$495,MATCH($I1513,MASTER_SOURCE!$A$2:$A$495,0)),"(REF không có trong MASTER_SOURCE)")))</f>
        <v/>
      </c>
      <c r="K1513" s="22">
        <f t="array" ref="K1513">IF($D1513="","",IFERROR(INDEX(MASTER_SOURCE!$C$2:$C$495,MATCH($I1513,MASTER_SOURCE!$A$2:$A$495,0)),""))</f>
        <v/>
      </c>
      <c r="L1513" s="22">
        <f t="array" ref="L1513">IF($D1513="","",IFERROR(INDEX(MASTER_SOURCE!$D$2:$D$495,MATCH($I1513,MASTER_SOURCE!$A$2:$A$495,0)),""))</f>
        <v/>
      </c>
      <c r="M1513" s="24" t="n"/>
      <c r="N1513" s="24" t="n"/>
      <c r="O1513" s="24" t="n"/>
      <c r="P1513" s="24" t="n"/>
      <c r="Q1513" s="22">
        <f>IF($D1513="","",IF(AND(OR(DANH_MUC!$L$5&lt;&gt;"Có",M1513="Có"),OR(DANH_MUC!$L$6&lt;&gt;"Có",N1513="Có"),OR(DANH_MUC!$L$7&lt;&gt;"Có",O1513="Có"),OR(DANH_MUC!$L$8&lt;&gt;"Có",P1513="Có")),"Có","Không"))</f>
        <v/>
      </c>
      <c r="R1513" s="22">
        <f>IF($D1513="","",IF(COUNTIF($D$2:$D1513,$D1513)&gt;1,"Trùng",""))</f>
        <v/>
      </c>
      <c r="S1513" s="22">
        <f>IF($D1513="","",IF(AND(LEN($D1513)=10,LEFT($D1513,1)="0",ISNUMBER(--$D1513)),"Có","Không"))</f>
        <v/>
      </c>
      <c r="T1513" s="22">
        <f>IF($D1513="","",IF(AND($C1513&lt;&gt;"",$Q1513="Có",$R1513="",$S1513="Có",AND($L1513&lt;&gt;"",OR($L1513&lt;&gt;"Chưa xác định",DANH_MUC!$L$9="Có"))),"Có","Không"))</f>
        <v/>
      </c>
      <c r="U1513" s="22">
        <f>IF(OR($D1513="",$T1513="Có"),"",IF($C1513="","Thiếu họ tên; ","")&amp;IF($S1513&lt;&gt;"Có","SĐT sai định dạng; ","")&amp;IF($R1513="Trùng","Trùng SĐT; ","")&amp;IF($Q1513&lt;&gt;"Có","Thiếu đồng ý bắt buộc; ","")&amp;IF($L1513="","Thiếu/sai Mã REF; ",IF(AND($L1513="Chưa xác định",DANH_MUC!$L$9&lt;&gt;"Có"),"Nguồn chưa xác định; ","")))</f>
        <v/>
      </c>
      <c r="V1513" s="22">
        <f>IF(OR($D1513="",$R1513="Trùng"),"",IF(COUNTIF(ORDERS!$C$2:$C$4995,$D1513)&gt;0,"Có","Không"))</f>
        <v/>
      </c>
      <c r="W1513" s="22">
        <f>IF(OR($D1513="",$R1513="Trùng"),"",COUNTIFS(ORDERS!$C$2:$C$4995,$D1513,ORDERS!$L$2:$L$4995,"Đã chuyển khoản"))</f>
        <v/>
      </c>
      <c r="X1513" s="23">
        <f>IF(OR($D1513="",$R1513="Trùng"),"",SUMIFS(ORDERS!$J$2:$J$4995,ORDERS!$C$2:$C$4995,$D1513,ORDERS!$L$2:$L$4995,"Đã chuyển khoản"))</f>
        <v/>
      </c>
      <c r="Y1513" s="24" t="n"/>
    </row>
    <row r="1514" ht="14.25" customHeight="1" s="40">
      <c r="A1514" s="24" t="n"/>
      <c r="B1514" s="27" t="n"/>
      <c r="C1514" s="24" t="n"/>
      <c r="D1514" s="28" t="n"/>
      <c r="E1514" s="29" t="n"/>
      <c r="F1514" s="24" t="n"/>
      <c r="G1514" s="24" t="n"/>
      <c r="H1514" s="21">
        <f>IF(ISNUMBER($B1514),INT($B1514)-WEEKDAY($B1514,2)+1,"")</f>
        <v/>
      </c>
      <c r="I1514" s="24" t="n"/>
      <c r="J1514" s="22">
        <f t="array" ref="J1514">IF($D1514="","",IF($I1514="","(trống REF)",IFERROR(INDEX(MASTER_SOURCE!$B$2:$B$495,MATCH($I1514,MASTER_SOURCE!$A$2:$A$495,0)),"(REF không có trong MASTER_SOURCE)")))</f>
        <v/>
      </c>
      <c r="K1514" s="22">
        <f t="array" ref="K1514">IF($D1514="","",IFERROR(INDEX(MASTER_SOURCE!$C$2:$C$495,MATCH($I1514,MASTER_SOURCE!$A$2:$A$495,0)),""))</f>
        <v/>
      </c>
      <c r="L1514" s="22">
        <f t="array" ref="L1514">IF($D1514="","",IFERROR(INDEX(MASTER_SOURCE!$D$2:$D$495,MATCH($I1514,MASTER_SOURCE!$A$2:$A$495,0)),""))</f>
        <v/>
      </c>
      <c r="M1514" s="24" t="n"/>
      <c r="N1514" s="24" t="n"/>
      <c r="O1514" s="24" t="n"/>
      <c r="P1514" s="24" t="n"/>
      <c r="Q1514" s="22">
        <f>IF($D1514="","",IF(AND(OR(DANH_MUC!$L$5&lt;&gt;"Có",M1514="Có"),OR(DANH_MUC!$L$6&lt;&gt;"Có",N1514="Có"),OR(DANH_MUC!$L$7&lt;&gt;"Có",O1514="Có"),OR(DANH_MUC!$L$8&lt;&gt;"Có",P1514="Có")),"Có","Không"))</f>
        <v/>
      </c>
      <c r="R1514" s="22">
        <f>IF($D1514="","",IF(COUNTIF($D$2:$D1514,$D1514)&gt;1,"Trùng",""))</f>
        <v/>
      </c>
      <c r="S1514" s="22">
        <f>IF($D1514="","",IF(AND(LEN($D1514)=10,LEFT($D1514,1)="0",ISNUMBER(--$D1514)),"Có","Không"))</f>
        <v/>
      </c>
      <c r="T1514" s="22">
        <f>IF($D1514="","",IF(AND($C1514&lt;&gt;"",$Q1514="Có",$R1514="",$S1514="Có",AND($L1514&lt;&gt;"",OR($L1514&lt;&gt;"Chưa xác định",DANH_MUC!$L$9="Có"))),"Có","Không"))</f>
        <v/>
      </c>
      <c r="U1514" s="22">
        <f>IF(OR($D1514="",$T1514="Có"),"",IF($C1514="","Thiếu họ tên; ","")&amp;IF($S1514&lt;&gt;"Có","SĐT sai định dạng; ","")&amp;IF($R1514="Trùng","Trùng SĐT; ","")&amp;IF($Q1514&lt;&gt;"Có","Thiếu đồng ý bắt buộc; ","")&amp;IF($L1514="","Thiếu/sai Mã REF; ",IF(AND($L1514="Chưa xác định",DANH_MUC!$L$9&lt;&gt;"Có"),"Nguồn chưa xác định; ","")))</f>
        <v/>
      </c>
      <c r="V1514" s="22">
        <f>IF(OR($D1514="",$R1514="Trùng"),"",IF(COUNTIF(ORDERS!$C$2:$C$4995,$D1514)&gt;0,"Có","Không"))</f>
        <v/>
      </c>
      <c r="W1514" s="22">
        <f>IF(OR($D1514="",$R1514="Trùng"),"",COUNTIFS(ORDERS!$C$2:$C$4995,$D1514,ORDERS!$L$2:$L$4995,"Đã chuyển khoản"))</f>
        <v/>
      </c>
      <c r="X1514" s="23">
        <f>IF(OR($D1514="",$R1514="Trùng"),"",SUMIFS(ORDERS!$J$2:$J$4995,ORDERS!$C$2:$C$4995,$D1514,ORDERS!$L$2:$L$4995,"Đã chuyển khoản"))</f>
        <v/>
      </c>
      <c r="Y1514" s="24" t="n"/>
    </row>
    <row r="1515" ht="14.25" customHeight="1" s="40">
      <c r="A1515" s="24" t="n"/>
      <c r="B1515" s="27" t="n"/>
      <c r="C1515" s="24" t="n"/>
      <c r="D1515" s="28" t="n"/>
      <c r="E1515" s="29" t="n"/>
      <c r="F1515" s="24" t="n"/>
      <c r="G1515" s="24" t="n"/>
      <c r="H1515" s="21">
        <f>IF(ISNUMBER($B1515),INT($B1515)-WEEKDAY($B1515,2)+1,"")</f>
        <v/>
      </c>
      <c r="I1515" s="24" t="n"/>
      <c r="J1515" s="22">
        <f t="array" ref="J1515">IF($D1515="","",IF($I1515="","(trống REF)",IFERROR(INDEX(MASTER_SOURCE!$B$2:$B$495,MATCH($I1515,MASTER_SOURCE!$A$2:$A$495,0)),"(REF không có trong MASTER_SOURCE)")))</f>
        <v/>
      </c>
      <c r="K1515" s="22">
        <f t="array" ref="K1515">IF($D1515="","",IFERROR(INDEX(MASTER_SOURCE!$C$2:$C$495,MATCH($I1515,MASTER_SOURCE!$A$2:$A$495,0)),""))</f>
        <v/>
      </c>
      <c r="L1515" s="22">
        <f t="array" ref="L1515">IF($D1515="","",IFERROR(INDEX(MASTER_SOURCE!$D$2:$D$495,MATCH($I1515,MASTER_SOURCE!$A$2:$A$495,0)),""))</f>
        <v/>
      </c>
      <c r="M1515" s="24" t="n"/>
      <c r="N1515" s="24" t="n"/>
      <c r="O1515" s="24" t="n"/>
      <c r="P1515" s="24" t="n"/>
      <c r="Q1515" s="22">
        <f>IF($D1515="","",IF(AND(OR(DANH_MUC!$L$5&lt;&gt;"Có",M1515="Có"),OR(DANH_MUC!$L$6&lt;&gt;"Có",N1515="Có"),OR(DANH_MUC!$L$7&lt;&gt;"Có",O1515="Có"),OR(DANH_MUC!$L$8&lt;&gt;"Có",P1515="Có")),"Có","Không"))</f>
        <v/>
      </c>
      <c r="R1515" s="22">
        <f>IF($D1515="","",IF(COUNTIF($D$2:$D1515,$D1515)&gt;1,"Trùng",""))</f>
        <v/>
      </c>
      <c r="S1515" s="22">
        <f>IF($D1515="","",IF(AND(LEN($D1515)=10,LEFT($D1515,1)="0",ISNUMBER(--$D1515)),"Có","Không"))</f>
        <v/>
      </c>
      <c r="T1515" s="22">
        <f>IF($D1515="","",IF(AND($C1515&lt;&gt;"",$Q1515="Có",$R1515="",$S1515="Có",AND($L1515&lt;&gt;"",OR($L1515&lt;&gt;"Chưa xác định",DANH_MUC!$L$9="Có"))),"Có","Không"))</f>
        <v/>
      </c>
      <c r="U1515" s="22">
        <f>IF(OR($D1515="",$T1515="Có"),"",IF($C1515="","Thiếu họ tên; ","")&amp;IF($S1515&lt;&gt;"Có","SĐT sai định dạng; ","")&amp;IF($R1515="Trùng","Trùng SĐT; ","")&amp;IF($Q1515&lt;&gt;"Có","Thiếu đồng ý bắt buộc; ","")&amp;IF($L1515="","Thiếu/sai Mã REF; ",IF(AND($L1515="Chưa xác định",DANH_MUC!$L$9&lt;&gt;"Có"),"Nguồn chưa xác định; ","")))</f>
        <v/>
      </c>
      <c r="V1515" s="22">
        <f>IF(OR($D1515="",$R1515="Trùng"),"",IF(COUNTIF(ORDERS!$C$2:$C$4995,$D1515)&gt;0,"Có","Không"))</f>
        <v/>
      </c>
      <c r="W1515" s="22">
        <f>IF(OR($D1515="",$R1515="Trùng"),"",COUNTIFS(ORDERS!$C$2:$C$4995,$D1515,ORDERS!$L$2:$L$4995,"Đã chuyển khoản"))</f>
        <v/>
      </c>
      <c r="X1515" s="23">
        <f>IF(OR($D1515="",$R1515="Trùng"),"",SUMIFS(ORDERS!$J$2:$J$4995,ORDERS!$C$2:$C$4995,$D1515,ORDERS!$L$2:$L$4995,"Đã chuyển khoản"))</f>
        <v/>
      </c>
      <c r="Y1515" s="24" t="n"/>
    </row>
    <row r="1516" ht="14.25" customHeight="1" s="40">
      <c r="A1516" s="24" t="n"/>
      <c r="B1516" s="27" t="n"/>
      <c r="C1516" s="24" t="n"/>
      <c r="D1516" s="28" t="n"/>
      <c r="E1516" s="29" t="n"/>
      <c r="F1516" s="24" t="n"/>
      <c r="G1516" s="24" t="n"/>
      <c r="H1516" s="21">
        <f>IF(ISNUMBER($B1516),INT($B1516)-WEEKDAY($B1516,2)+1,"")</f>
        <v/>
      </c>
      <c r="I1516" s="24" t="n"/>
      <c r="J1516" s="22">
        <f t="array" ref="J1516">IF($D1516="","",IF($I1516="","(trống REF)",IFERROR(INDEX(MASTER_SOURCE!$B$2:$B$495,MATCH($I1516,MASTER_SOURCE!$A$2:$A$495,0)),"(REF không có trong MASTER_SOURCE)")))</f>
        <v/>
      </c>
      <c r="K1516" s="22">
        <f t="array" ref="K1516">IF($D1516="","",IFERROR(INDEX(MASTER_SOURCE!$C$2:$C$495,MATCH($I1516,MASTER_SOURCE!$A$2:$A$495,0)),""))</f>
        <v/>
      </c>
      <c r="L1516" s="22">
        <f t="array" ref="L1516">IF($D1516="","",IFERROR(INDEX(MASTER_SOURCE!$D$2:$D$495,MATCH($I1516,MASTER_SOURCE!$A$2:$A$495,0)),""))</f>
        <v/>
      </c>
      <c r="M1516" s="24" t="n"/>
      <c r="N1516" s="24" t="n"/>
      <c r="O1516" s="24" t="n"/>
      <c r="P1516" s="24" t="n"/>
      <c r="Q1516" s="22">
        <f>IF($D1516="","",IF(AND(OR(DANH_MUC!$L$5&lt;&gt;"Có",M1516="Có"),OR(DANH_MUC!$L$6&lt;&gt;"Có",N1516="Có"),OR(DANH_MUC!$L$7&lt;&gt;"Có",O1516="Có"),OR(DANH_MUC!$L$8&lt;&gt;"Có",P1516="Có")),"Có","Không"))</f>
        <v/>
      </c>
      <c r="R1516" s="22">
        <f>IF($D1516="","",IF(COUNTIF($D$2:$D1516,$D1516)&gt;1,"Trùng",""))</f>
        <v/>
      </c>
      <c r="S1516" s="22">
        <f>IF($D1516="","",IF(AND(LEN($D1516)=10,LEFT($D1516,1)="0",ISNUMBER(--$D1516)),"Có","Không"))</f>
        <v/>
      </c>
      <c r="T1516" s="22">
        <f>IF($D1516="","",IF(AND($C1516&lt;&gt;"",$Q1516="Có",$R1516="",$S1516="Có",AND($L1516&lt;&gt;"",OR($L1516&lt;&gt;"Chưa xác định",DANH_MUC!$L$9="Có"))),"Có","Không"))</f>
        <v/>
      </c>
      <c r="U1516" s="22">
        <f>IF(OR($D1516="",$T1516="Có"),"",IF($C1516="","Thiếu họ tên; ","")&amp;IF($S1516&lt;&gt;"Có","SĐT sai định dạng; ","")&amp;IF($R1516="Trùng","Trùng SĐT; ","")&amp;IF($Q1516&lt;&gt;"Có","Thiếu đồng ý bắt buộc; ","")&amp;IF($L1516="","Thiếu/sai Mã REF; ",IF(AND($L1516="Chưa xác định",DANH_MUC!$L$9&lt;&gt;"Có"),"Nguồn chưa xác định; ","")))</f>
        <v/>
      </c>
      <c r="V1516" s="22">
        <f>IF(OR($D1516="",$R1516="Trùng"),"",IF(COUNTIF(ORDERS!$C$2:$C$4995,$D1516)&gt;0,"Có","Không"))</f>
        <v/>
      </c>
      <c r="W1516" s="22">
        <f>IF(OR($D1516="",$R1516="Trùng"),"",COUNTIFS(ORDERS!$C$2:$C$4995,$D1516,ORDERS!$L$2:$L$4995,"Đã chuyển khoản"))</f>
        <v/>
      </c>
      <c r="X1516" s="23">
        <f>IF(OR($D1516="",$R1516="Trùng"),"",SUMIFS(ORDERS!$J$2:$J$4995,ORDERS!$C$2:$C$4995,$D1516,ORDERS!$L$2:$L$4995,"Đã chuyển khoản"))</f>
        <v/>
      </c>
      <c r="Y1516" s="24" t="n"/>
    </row>
    <row r="1517" ht="14.25" customHeight="1" s="40">
      <c r="A1517" s="24" t="n"/>
      <c r="B1517" s="27" t="n"/>
      <c r="C1517" s="24" t="n"/>
      <c r="D1517" s="28" t="n"/>
      <c r="E1517" s="29" t="n"/>
      <c r="F1517" s="24" t="n"/>
      <c r="G1517" s="24" t="n"/>
      <c r="H1517" s="21">
        <f>IF(ISNUMBER($B1517),INT($B1517)-WEEKDAY($B1517,2)+1,"")</f>
        <v/>
      </c>
      <c r="I1517" s="24" t="n"/>
      <c r="J1517" s="22">
        <f t="array" ref="J1517">IF($D1517="","",IF($I1517="","(trống REF)",IFERROR(INDEX(MASTER_SOURCE!$B$2:$B$495,MATCH($I1517,MASTER_SOURCE!$A$2:$A$495,0)),"(REF không có trong MASTER_SOURCE)")))</f>
        <v/>
      </c>
      <c r="K1517" s="22">
        <f t="array" ref="K1517">IF($D1517="","",IFERROR(INDEX(MASTER_SOURCE!$C$2:$C$495,MATCH($I1517,MASTER_SOURCE!$A$2:$A$495,0)),""))</f>
        <v/>
      </c>
      <c r="L1517" s="22">
        <f t="array" ref="L1517">IF($D1517="","",IFERROR(INDEX(MASTER_SOURCE!$D$2:$D$495,MATCH($I1517,MASTER_SOURCE!$A$2:$A$495,0)),""))</f>
        <v/>
      </c>
      <c r="M1517" s="24" t="n"/>
      <c r="N1517" s="24" t="n"/>
      <c r="O1517" s="24" t="n"/>
      <c r="P1517" s="24" t="n"/>
      <c r="Q1517" s="22">
        <f>IF($D1517="","",IF(AND(OR(DANH_MUC!$L$5&lt;&gt;"Có",M1517="Có"),OR(DANH_MUC!$L$6&lt;&gt;"Có",N1517="Có"),OR(DANH_MUC!$L$7&lt;&gt;"Có",O1517="Có"),OR(DANH_MUC!$L$8&lt;&gt;"Có",P1517="Có")),"Có","Không"))</f>
        <v/>
      </c>
      <c r="R1517" s="22">
        <f>IF($D1517="","",IF(COUNTIF($D$2:$D1517,$D1517)&gt;1,"Trùng",""))</f>
        <v/>
      </c>
      <c r="S1517" s="22">
        <f>IF($D1517="","",IF(AND(LEN($D1517)=10,LEFT($D1517,1)="0",ISNUMBER(--$D1517)),"Có","Không"))</f>
        <v/>
      </c>
      <c r="T1517" s="22">
        <f>IF($D1517="","",IF(AND($C1517&lt;&gt;"",$Q1517="Có",$R1517="",$S1517="Có",AND($L1517&lt;&gt;"",OR($L1517&lt;&gt;"Chưa xác định",DANH_MUC!$L$9="Có"))),"Có","Không"))</f>
        <v/>
      </c>
      <c r="U1517" s="22">
        <f>IF(OR($D1517="",$T1517="Có"),"",IF($C1517="","Thiếu họ tên; ","")&amp;IF($S1517&lt;&gt;"Có","SĐT sai định dạng; ","")&amp;IF($R1517="Trùng","Trùng SĐT; ","")&amp;IF($Q1517&lt;&gt;"Có","Thiếu đồng ý bắt buộc; ","")&amp;IF($L1517="","Thiếu/sai Mã REF; ",IF(AND($L1517="Chưa xác định",DANH_MUC!$L$9&lt;&gt;"Có"),"Nguồn chưa xác định; ","")))</f>
        <v/>
      </c>
      <c r="V1517" s="22">
        <f>IF(OR($D1517="",$R1517="Trùng"),"",IF(COUNTIF(ORDERS!$C$2:$C$4995,$D1517)&gt;0,"Có","Không"))</f>
        <v/>
      </c>
      <c r="W1517" s="22">
        <f>IF(OR($D1517="",$R1517="Trùng"),"",COUNTIFS(ORDERS!$C$2:$C$4995,$D1517,ORDERS!$L$2:$L$4995,"Đã chuyển khoản"))</f>
        <v/>
      </c>
      <c r="X1517" s="23">
        <f>IF(OR($D1517="",$R1517="Trùng"),"",SUMIFS(ORDERS!$J$2:$J$4995,ORDERS!$C$2:$C$4995,$D1517,ORDERS!$L$2:$L$4995,"Đã chuyển khoản"))</f>
        <v/>
      </c>
      <c r="Y1517" s="24" t="n"/>
    </row>
    <row r="1518" ht="14.25" customHeight="1" s="40">
      <c r="A1518" s="24" t="n"/>
      <c r="B1518" s="27" t="n"/>
      <c r="C1518" s="24" t="n"/>
      <c r="D1518" s="28" t="n"/>
      <c r="E1518" s="29" t="n"/>
      <c r="F1518" s="24" t="n"/>
      <c r="G1518" s="24" t="n"/>
      <c r="H1518" s="21">
        <f>IF(ISNUMBER($B1518),INT($B1518)-WEEKDAY($B1518,2)+1,"")</f>
        <v/>
      </c>
      <c r="I1518" s="24" t="n"/>
      <c r="J1518" s="22">
        <f t="array" ref="J1518">IF($D1518="","",IF($I1518="","(trống REF)",IFERROR(INDEX(MASTER_SOURCE!$B$2:$B$495,MATCH($I1518,MASTER_SOURCE!$A$2:$A$495,0)),"(REF không có trong MASTER_SOURCE)")))</f>
        <v/>
      </c>
      <c r="K1518" s="22">
        <f t="array" ref="K1518">IF($D1518="","",IFERROR(INDEX(MASTER_SOURCE!$C$2:$C$495,MATCH($I1518,MASTER_SOURCE!$A$2:$A$495,0)),""))</f>
        <v/>
      </c>
      <c r="L1518" s="22">
        <f t="array" ref="L1518">IF($D1518="","",IFERROR(INDEX(MASTER_SOURCE!$D$2:$D$495,MATCH($I1518,MASTER_SOURCE!$A$2:$A$495,0)),""))</f>
        <v/>
      </c>
      <c r="M1518" s="24" t="n"/>
      <c r="N1518" s="24" t="n"/>
      <c r="O1518" s="24" t="n"/>
      <c r="P1518" s="24" t="n"/>
      <c r="Q1518" s="22">
        <f>IF($D1518="","",IF(AND(OR(DANH_MUC!$L$5&lt;&gt;"Có",M1518="Có"),OR(DANH_MUC!$L$6&lt;&gt;"Có",N1518="Có"),OR(DANH_MUC!$L$7&lt;&gt;"Có",O1518="Có"),OR(DANH_MUC!$L$8&lt;&gt;"Có",P1518="Có")),"Có","Không"))</f>
        <v/>
      </c>
      <c r="R1518" s="22">
        <f>IF($D1518="","",IF(COUNTIF($D$2:$D1518,$D1518)&gt;1,"Trùng",""))</f>
        <v/>
      </c>
      <c r="S1518" s="22">
        <f>IF($D1518="","",IF(AND(LEN($D1518)=10,LEFT($D1518,1)="0",ISNUMBER(--$D1518)),"Có","Không"))</f>
        <v/>
      </c>
      <c r="T1518" s="22">
        <f>IF($D1518="","",IF(AND($C1518&lt;&gt;"",$Q1518="Có",$R1518="",$S1518="Có",AND($L1518&lt;&gt;"",OR($L1518&lt;&gt;"Chưa xác định",DANH_MUC!$L$9="Có"))),"Có","Không"))</f>
        <v/>
      </c>
      <c r="U1518" s="22">
        <f>IF(OR($D1518="",$T1518="Có"),"",IF($C1518="","Thiếu họ tên; ","")&amp;IF($S1518&lt;&gt;"Có","SĐT sai định dạng; ","")&amp;IF($R1518="Trùng","Trùng SĐT; ","")&amp;IF($Q1518&lt;&gt;"Có","Thiếu đồng ý bắt buộc; ","")&amp;IF($L1518="","Thiếu/sai Mã REF; ",IF(AND($L1518="Chưa xác định",DANH_MUC!$L$9&lt;&gt;"Có"),"Nguồn chưa xác định; ","")))</f>
        <v/>
      </c>
      <c r="V1518" s="22">
        <f>IF(OR($D1518="",$R1518="Trùng"),"",IF(COUNTIF(ORDERS!$C$2:$C$4995,$D1518)&gt;0,"Có","Không"))</f>
        <v/>
      </c>
      <c r="W1518" s="22">
        <f>IF(OR($D1518="",$R1518="Trùng"),"",COUNTIFS(ORDERS!$C$2:$C$4995,$D1518,ORDERS!$L$2:$L$4995,"Đã chuyển khoản"))</f>
        <v/>
      </c>
      <c r="X1518" s="23">
        <f>IF(OR($D1518="",$R1518="Trùng"),"",SUMIFS(ORDERS!$J$2:$J$4995,ORDERS!$C$2:$C$4995,$D1518,ORDERS!$L$2:$L$4995,"Đã chuyển khoản"))</f>
        <v/>
      </c>
      <c r="Y1518" s="24" t="n"/>
    </row>
    <row r="1519" ht="14.25" customHeight="1" s="40">
      <c r="A1519" s="24" t="n"/>
      <c r="B1519" s="27" t="n"/>
      <c r="C1519" s="24" t="n"/>
      <c r="D1519" s="28" t="n"/>
      <c r="E1519" s="29" t="n"/>
      <c r="F1519" s="24" t="n"/>
      <c r="G1519" s="24" t="n"/>
      <c r="H1519" s="21">
        <f>IF(ISNUMBER($B1519),INT($B1519)-WEEKDAY($B1519,2)+1,"")</f>
        <v/>
      </c>
      <c r="I1519" s="24" t="n"/>
      <c r="J1519" s="22">
        <f t="array" ref="J1519">IF($D1519="","",IF($I1519="","(trống REF)",IFERROR(INDEX(MASTER_SOURCE!$B$2:$B$495,MATCH($I1519,MASTER_SOURCE!$A$2:$A$495,0)),"(REF không có trong MASTER_SOURCE)")))</f>
        <v/>
      </c>
      <c r="K1519" s="22">
        <f t="array" ref="K1519">IF($D1519="","",IFERROR(INDEX(MASTER_SOURCE!$C$2:$C$495,MATCH($I1519,MASTER_SOURCE!$A$2:$A$495,0)),""))</f>
        <v/>
      </c>
      <c r="L1519" s="22">
        <f t="array" ref="L1519">IF($D1519="","",IFERROR(INDEX(MASTER_SOURCE!$D$2:$D$495,MATCH($I1519,MASTER_SOURCE!$A$2:$A$495,0)),""))</f>
        <v/>
      </c>
      <c r="M1519" s="24" t="n"/>
      <c r="N1519" s="24" t="n"/>
      <c r="O1519" s="24" t="n"/>
      <c r="P1519" s="24" t="n"/>
      <c r="Q1519" s="22">
        <f>IF($D1519="","",IF(AND(OR(DANH_MUC!$L$5&lt;&gt;"Có",M1519="Có"),OR(DANH_MUC!$L$6&lt;&gt;"Có",N1519="Có"),OR(DANH_MUC!$L$7&lt;&gt;"Có",O1519="Có"),OR(DANH_MUC!$L$8&lt;&gt;"Có",P1519="Có")),"Có","Không"))</f>
        <v/>
      </c>
      <c r="R1519" s="22">
        <f>IF($D1519="","",IF(COUNTIF($D$2:$D1519,$D1519)&gt;1,"Trùng",""))</f>
        <v/>
      </c>
      <c r="S1519" s="22">
        <f>IF($D1519="","",IF(AND(LEN($D1519)=10,LEFT($D1519,1)="0",ISNUMBER(--$D1519)),"Có","Không"))</f>
        <v/>
      </c>
      <c r="T1519" s="22">
        <f>IF($D1519="","",IF(AND($C1519&lt;&gt;"",$Q1519="Có",$R1519="",$S1519="Có",AND($L1519&lt;&gt;"",OR($L1519&lt;&gt;"Chưa xác định",DANH_MUC!$L$9="Có"))),"Có","Không"))</f>
        <v/>
      </c>
      <c r="U1519" s="22">
        <f>IF(OR($D1519="",$T1519="Có"),"",IF($C1519="","Thiếu họ tên; ","")&amp;IF($S1519&lt;&gt;"Có","SĐT sai định dạng; ","")&amp;IF($R1519="Trùng","Trùng SĐT; ","")&amp;IF($Q1519&lt;&gt;"Có","Thiếu đồng ý bắt buộc; ","")&amp;IF($L1519="","Thiếu/sai Mã REF; ",IF(AND($L1519="Chưa xác định",DANH_MUC!$L$9&lt;&gt;"Có"),"Nguồn chưa xác định; ","")))</f>
        <v/>
      </c>
      <c r="V1519" s="22">
        <f>IF(OR($D1519="",$R1519="Trùng"),"",IF(COUNTIF(ORDERS!$C$2:$C$4995,$D1519)&gt;0,"Có","Không"))</f>
        <v/>
      </c>
      <c r="W1519" s="22">
        <f>IF(OR($D1519="",$R1519="Trùng"),"",COUNTIFS(ORDERS!$C$2:$C$4995,$D1519,ORDERS!$L$2:$L$4995,"Đã chuyển khoản"))</f>
        <v/>
      </c>
      <c r="X1519" s="23">
        <f>IF(OR($D1519="",$R1519="Trùng"),"",SUMIFS(ORDERS!$J$2:$J$4995,ORDERS!$C$2:$C$4995,$D1519,ORDERS!$L$2:$L$4995,"Đã chuyển khoản"))</f>
        <v/>
      </c>
      <c r="Y1519" s="24" t="n"/>
    </row>
    <row r="1520" ht="14.25" customHeight="1" s="40">
      <c r="A1520" s="24" t="n"/>
      <c r="B1520" s="27" t="n"/>
      <c r="C1520" s="24" t="n"/>
      <c r="D1520" s="28" t="n"/>
      <c r="E1520" s="29" t="n"/>
      <c r="F1520" s="24" t="n"/>
      <c r="G1520" s="24" t="n"/>
      <c r="H1520" s="21">
        <f>IF(ISNUMBER($B1520),INT($B1520)-WEEKDAY($B1520,2)+1,"")</f>
        <v/>
      </c>
      <c r="I1520" s="24" t="n"/>
      <c r="J1520" s="22">
        <f t="array" ref="J1520">IF($D1520="","",IF($I1520="","(trống REF)",IFERROR(INDEX(MASTER_SOURCE!$B$2:$B$495,MATCH($I1520,MASTER_SOURCE!$A$2:$A$495,0)),"(REF không có trong MASTER_SOURCE)")))</f>
        <v/>
      </c>
      <c r="K1520" s="22">
        <f t="array" ref="K1520">IF($D1520="","",IFERROR(INDEX(MASTER_SOURCE!$C$2:$C$495,MATCH($I1520,MASTER_SOURCE!$A$2:$A$495,0)),""))</f>
        <v/>
      </c>
      <c r="L1520" s="22">
        <f t="array" ref="L1520">IF($D1520="","",IFERROR(INDEX(MASTER_SOURCE!$D$2:$D$495,MATCH($I1520,MASTER_SOURCE!$A$2:$A$495,0)),""))</f>
        <v/>
      </c>
      <c r="M1520" s="24" t="n"/>
      <c r="N1520" s="24" t="n"/>
      <c r="O1520" s="24" t="n"/>
      <c r="P1520" s="24" t="n"/>
      <c r="Q1520" s="22">
        <f>IF($D1520="","",IF(AND(OR(DANH_MUC!$L$5&lt;&gt;"Có",M1520="Có"),OR(DANH_MUC!$L$6&lt;&gt;"Có",N1520="Có"),OR(DANH_MUC!$L$7&lt;&gt;"Có",O1520="Có"),OR(DANH_MUC!$L$8&lt;&gt;"Có",P1520="Có")),"Có","Không"))</f>
        <v/>
      </c>
      <c r="R1520" s="22">
        <f>IF($D1520="","",IF(COUNTIF($D$2:$D1520,$D1520)&gt;1,"Trùng",""))</f>
        <v/>
      </c>
      <c r="S1520" s="22">
        <f>IF($D1520="","",IF(AND(LEN($D1520)=10,LEFT($D1520,1)="0",ISNUMBER(--$D1520)),"Có","Không"))</f>
        <v/>
      </c>
      <c r="T1520" s="22">
        <f>IF($D1520="","",IF(AND($C1520&lt;&gt;"",$Q1520="Có",$R1520="",$S1520="Có",AND($L1520&lt;&gt;"",OR($L1520&lt;&gt;"Chưa xác định",DANH_MUC!$L$9="Có"))),"Có","Không"))</f>
        <v/>
      </c>
      <c r="U1520" s="22">
        <f>IF(OR($D1520="",$T1520="Có"),"",IF($C1520="","Thiếu họ tên; ","")&amp;IF($S1520&lt;&gt;"Có","SĐT sai định dạng; ","")&amp;IF($R1520="Trùng","Trùng SĐT; ","")&amp;IF($Q1520&lt;&gt;"Có","Thiếu đồng ý bắt buộc; ","")&amp;IF($L1520="","Thiếu/sai Mã REF; ",IF(AND($L1520="Chưa xác định",DANH_MUC!$L$9&lt;&gt;"Có"),"Nguồn chưa xác định; ","")))</f>
        <v/>
      </c>
      <c r="V1520" s="22">
        <f>IF(OR($D1520="",$R1520="Trùng"),"",IF(COUNTIF(ORDERS!$C$2:$C$4995,$D1520)&gt;0,"Có","Không"))</f>
        <v/>
      </c>
      <c r="W1520" s="22">
        <f>IF(OR($D1520="",$R1520="Trùng"),"",COUNTIFS(ORDERS!$C$2:$C$4995,$D1520,ORDERS!$L$2:$L$4995,"Đã chuyển khoản"))</f>
        <v/>
      </c>
      <c r="X1520" s="23">
        <f>IF(OR($D1520="",$R1520="Trùng"),"",SUMIFS(ORDERS!$J$2:$J$4995,ORDERS!$C$2:$C$4995,$D1520,ORDERS!$L$2:$L$4995,"Đã chuyển khoản"))</f>
        <v/>
      </c>
      <c r="Y1520" s="24" t="n"/>
    </row>
    <row r="1521" ht="14.25" customHeight="1" s="40">
      <c r="A1521" s="24" t="n"/>
      <c r="B1521" s="27" t="n"/>
      <c r="C1521" s="24" t="n"/>
      <c r="D1521" s="28" t="n"/>
      <c r="E1521" s="29" t="n"/>
      <c r="F1521" s="24" t="n"/>
      <c r="G1521" s="24" t="n"/>
      <c r="H1521" s="21">
        <f>IF(ISNUMBER($B1521),INT($B1521)-WEEKDAY($B1521,2)+1,"")</f>
        <v/>
      </c>
      <c r="I1521" s="24" t="n"/>
      <c r="J1521" s="22">
        <f t="array" ref="J1521">IF($D1521="","",IF($I1521="","(trống REF)",IFERROR(INDEX(MASTER_SOURCE!$B$2:$B$495,MATCH($I1521,MASTER_SOURCE!$A$2:$A$495,0)),"(REF không có trong MASTER_SOURCE)")))</f>
        <v/>
      </c>
      <c r="K1521" s="22">
        <f t="array" ref="K1521">IF($D1521="","",IFERROR(INDEX(MASTER_SOURCE!$C$2:$C$495,MATCH($I1521,MASTER_SOURCE!$A$2:$A$495,0)),""))</f>
        <v/>
      </c>
      <c r="L1521" s="22">
        <f t="array" ref="L1521">IF($D1521="","",IFERROR(INDEX(MASTER_SOURCE!$D$2:$D$495,MATCH($I1521,MASTER_SOURCE!$A$2:$A$495,0)),""))</f>
        <v/>
      </c>
      <c r="M1521" s="24" t="n"/>
      <c r="N1521" s="24" t="n"/>
      <c r="O1521" s="24" t="n"/>
      <c r="P1521" s="24" t="n"/>
      <c r="Q1521" s="22">
        <f>IF($D1521="","",IF(AND(OR(DANH_MUC!$L$5&lt;&gt;"Có",M1521="Có"),OR(DANH_MUC!$L$6&lt;&gt;"Có",N1521="Có"),OR(DANH_MUC!$L$7&lt;&gt;"Có",O1521="Có"),OR(DANH_MUC!$L$8&lt;&gt;"Có",P1521="Có")),"Có","Không"))</f>
        <v/>
      </c>
      <c r="R1521" s="22">
        <f>IF($D1521="","",IF(COUNTIF($D$2:$D1521,$D1521)&gt;1,"Trùng",""))</f>
        <v/>
      </c>
      <c r="S1521" s="22">
        <f>IF($D1521="","",IF(AND(LEN($D1521)=10,LEFT($D1521,1)="0",ISNUMBER(--$D1521)),"Có","Không"))</f>
        <v/>
      </c>
      <c r="T1521" s="22">
        <f>IF($D1521="","",IF(AND($C1521&lt;&gt;"",$Q1521="Có",$R1521="",$S1521="Có",AND($L1521&lt;&gt;"",OR($L1521&lt;&gt;"Chưa xác định",DANH_MUC!$L$9="Có"))),"Có","Không"))</f>
        <v/>
      </c>
      <c r="U1521" s="22">
        <f>IF(OR($D1521="",$T1521="Có"),"",IF($C1521="","Thiếu họ tên; ","")&amp;IF($S1521&lt;&gt;"Có","SĐT sai định dạng; ","")&amp;IF($R1521="Trùng","Trùng SĐT; ","")&amp;IF($Q1521&lt;&gt;"Có","Thiếu đồng ý bắt buộc; ","")&amp;IF($L1521="","Thiếu/sai Mã REF; ",IF(AND($L1521="Chưa xác định",DANH_MUC!$L$9&lt;&gt;"Có"),"Nguồn chưa xác định; ","")))</f>
        <v/>
      </c>
      <c r="V1521" s="22">
        <f>IF(OR($D1521="",$R1521="Trùng"),"",IF(COUNTIF(ORDERS!$C$2:$C$4995,$D1521)&gt;0,"Có","Không"))</f>
        <v/>
      </c>
      <c r="W1521" s="22">
        <f>IF(OR($D1521="",$R1521="Trùng"),"",COUNTIFS(ORDERS!$C$2:$C$4995,$D1521,ORDERS!$L$2:$L$4995,"Đã chuyển khoản"))</f>
        <v/>
      </c>
      <c r="X1521" s="23">
        <f>IF(OR($D1521="",$R1521="Trùng"),"",SUMIFS(ORDERS!$J$2:$J$4995,ORDERS!$C$2:$C$4995,$D1521,ORDERS!$L$2:$L$4995,"Đã chuyển khoản"))</f>
        <v/>
      </c>
      <c r="Y1521" s="24" t="n"/>
    </row>
    <row r="1522" ht="14.25" customHeight="1" s="40">
      <c r="A1522" s="24" t="n"/>
      <c r="B1522" s="27" t="n"/>
      <c r="C1522" s="24" t="n"/>
      <c r="D1522" s="28" t="n"/>
      <c r="E1522" s="29" t="n"/>
      <c r="F1522" s="24" t="n"/>
      <c r="G1522" s="24" t="n"/>
      <c r="H1522" s="21">
        <f>IF(ISNUMBER($B1522),INT($B1522)-WEEKDAY($B1522,2)+1,"")</f>
        <v/>
      </c>
      <c r="I1522" s="24" t="n"/>
      <c r="J1522" s="22">
        <f t="array" ref="J1522">IF($D1522="","",IF($I1522="","(trống REF)",IFERROR(INDEX(MASTER_SOURCE!$B$2:$B$495,MATCH($I1522,MASTER_SOURCE!$A$2:$A$495,0)),"(REF không có trong MASTER_SOURCE)")))</f>
        <v/>
      </c>
      <c r="K1522" s="22">
        <f t="array" ref="K1522">IF($D1522="","",IFERROR(INDEX(MASTER_SOURCE!$C$2:$C$495,MATCH($I1522,MASTER_SOURCE!$A$2:$A$495,0)),""))</f>
        <v/>
      </c>
      <c r="L1522" s="22">
        <f t="array" ref="L1522">IF($D1522="","",IFERROR(INDEX(MASTER_SOURCE!$D$2:$D$495,MATCH($I1522,MASTER_SOURCE!$A$2:$A$495,0)),""))</f>
        <v/>
      </c>
      <c r="M1522" s="24" t="n"/>
      <c r="N1522" s="24" t="n"/>
      <c r="O1522" s="24" t="n"/>
      <c r="P1522" s="24" t="n"/>
      <c r="Q1522" s="22">
        <f>IF($D1522="","",IF(AND(OR(DANH_MUC!$L$5&lt;&gt;"Có",M1522="Có"),OR(DANH_MUC!$L$6&lt;&gt;"Có",N1522="Có"),OR(DANH_MUC!$L$7&lt;&gt;"Có",O1522="Có"),OR(DANH_MUC!$L$8&lt;&gt;"Có",P1522="Có")),"Có","Không"))</f>
        <v/>
      </c>
      <c r="R1522" s="22">
        <f>IF($D1522="","",IF(COUNTIF($D$2:$D1522,$D1522)&gt;1,"Trùng",""))</f>
        <v/>
      </c>
      <c r="S1522" s="22">
        <f>IF($D1522="","",IF(AND(LEN($D1522)=10,LEFT($D1522,1)="0",ISNUMBER(--$D1522)),"Có","Không"))</f>
        <v/>
      </c>
      <c r="T1522" s="22">
        <f>IF($D1522="","",IF(AND($C1522&lt;&gt;"",$Q1522="Có",$R1522="",$S1522="Có",AND($L1522&lt;&gt;"",OR($L1522&lt;&gt;"Chưa xác định",DANH_MUC!$L$9="Có"))),"Có","Không"))</f>
        <v/>
      </c>
      <c r="U1522" s="22">
        <f>IF(OR($D1522="",$T1522="Có"),"",IF($C1522="","Thiếu họ tên; ","")&amp;IF($S1522&lt;&gt;"Có","SĐT sai định dạng; ","")&amp;IF($R1522="Trùng","Trùng SĐT; ","")&amp;IF($Q1522&lt;&gt;"Có","Thiếu đồng ý bắt buộc; ","")&amp;IF($L1522="","Thiếu/sai Mã REF; ",IF(AND($L1522="Chưa xác định",DANH_MUC!$L$9&lt;&gt;"Có"),"Nguồn chưa xác định; ","")))</f>
        <v/>
      </c>
      <c r="V1522" s="22">
        <f>IF(OR($D1522="",$R1522="Trùng"),"",IF(COUNTIF(ORDERS!$C$2:$C$4995,$D1522)&gt;0,"Có","Không"))</f>
        <v/>
      </c>
      <c r="W1522" s="22">
        <f>IF(OR($D1522="",$R1522="Trùng"),"",COUNTIFS(ORDERS!$C$2:$C$4995,$D1522,ORDERS!$L$2:$L$4995,"Đã chuyển khoản"))</f>
        <v/>
      </c>
      <c r="X1522" s="23">
        <f>IF(OR($D1522="",$R1522="Trùng"),"",SUMIFS(ORDERS!$J$2:$J$4995,ORDERS!$C$2:$C$4995,$D1522,ORDERS!$L$2:$L$4995,"Đã chuyển khoản"))</f>
        <v/>
      </c>
      <c r="Y1522" s="24" t="n"/>
    </row>
    <row r="1523" ht="14.25" customHeight="1" s="40">
      <c r="A1523" s="24" t="n"/>
      <c r="B1523" s="27" t="n"/>
      <c r="C1523" s="24" t="n"/>
      <c r="D1523" s="28" t="n"/>
      <c r="E1523" s="29" t="n"/>
      <c r="F1523" s="24" t="n"/>
      <c r="G1523" s="24" t="n"/>
      <c r="H1523" s="21">
        <f>IF(ISNUMBER($B1523),INT($B1523)-WEEKDAY($B1523,2)+1,"")</f>
        <v/>
      </c>
      <c r="I1523" s="24" t="n"/>
      <c r="J1523" s="22">
        <f t="array" ref="J1523">IF($D1523="","",IF($I1523="","(trống REF)",IFERROR(INDEX(MASTER_SOURCE!$B$2:$B$495,MATCH($I1523,MASTER_SOURCE!$A$2:$A$495,0)),"(REF không có trong MASTER_SOURCE)")))</f>
        <v/>
      </c>
      <c r="K1523" s="22">
        <f t="array" ref="K1523">IF($D1523="","",IFERROR(INDEX(MASTER_SOURCE!$C$2:$C$495,MATCH($I1523,MASTER_SOURCE!$A$2:$A$495,0)),""))</f>
        <v/>
      </c>
      <c r="L1523" s="22">
        <f t="array" ref="L1523">IF($D1523="","",IFERROR(INDEX(MASTER_SOURCE!$D$2:$D$495,MATCH($I1523,MASTER_SOURCE!$A$2:$A$495,0)),""))</f>
        <v/>
      </c>
      <c r="M1523" s="24" t="n"/>
      <c r="N1523" s="24" t="n"/>
      <c r="O1523" s="24" t="n"/>
      <c r="P1523" s="24" t="n"/>
      <c r="Q1523" s="22">
        <f>IF($D1523="","",IF(AND(OR(DANH_MUC!$L$5&lt;&gt;"Có",M1523="Có"),OR(DANH_MUC!$L$6&lt;&gt;"Có",N1523="Có"),OR(DANH_MUC!$L$7&lt;&gt;"Có",O1523="Có"),OR(DANH_MUC!$L$8&lt;&gt;"Có",P1523="Có")),"Có","Không"))</f>
        <v/>
      </c>
      <c r="R1523" s="22">
        <f>IF($D1523="","",IF(COUNTIF($D$2:$D1523,$D1523)&gt;1,"Trùng",""))</f>
        <v/>
      </c>
      <c r="S1523" s="22">
        <f>IF($D1523="","",IF(AND(LEN($D1523)=10,LEFT($D1523,1)="0",ISNUMBER(--$D1523)),"Có","Không"))</f>
        <v/>
      </c>
      <c r="T1523" s="22">
        <f>IF($D1523="","",IF(AND($C1523&lt;&gt;"",$Q1523="Có",$R1523="",$S1523="Có",AND($L1523&lt;&gt;"",OR($L1523&lt;&gt;"Chưa xác định",DANH_MUC!$L$9="Có"))),"Có","Không"))</f>
        <v/>
      </c>
      <c r="U1523" s="22">
        <f>IF(OR($D1523="",$T1523="Có"),"",IF($C1523="","Thiếu họ tên; ","")&amp;IF($S1523&lt;&gt;"Có","SĐT sai định dạng; ","")&amp;IF($R1523="Trùng","Trùng SĐT; ","")&amp;IF($Q1523&lt;&gt;"Có","Thiếu đồng ý bắt buộc; ","")&amp;IF($L1523="","Thiếu/sai Mã REF; ",IF(AND($L1523="Chưa xác định",DANH_MUC!$L$9&lt;&gt;"Có"),"Nguồn chưa xác định; ","")))</f>
        <v/>
      </c>
      <c r="V1523" s="22">
        <f>IF(OR($D1523="",$R1523="Trùng"),"",IF(COUNTIF(ORDERS!$C$2:$C$4995,$D1523)&gt;0,"Có","Không"))</f>
        <v/>
      </c>
      <c r="W1523" s="22">
        <f>IF(OR($D1523="",$R1523="Trùng"),"",COUNTIFS(ORDERS!$C$2:$C$4995,$D1523,ORDERS!$L$2:$L$4995,"Đã chuyển khoản"))</f>
        <v/>
      </c>
      <c r="X1523" s="23">
        <f>IF(OR($D1523="",$R1523="Trùng"),"",SUMIFS(ORDERS!$J$2:$J$4995,ORDERS!$C$2:$C$4995,$D1523,ORDERS!$L$2:$L$4995,"Đã chuyển khoản"))</f>
        <v/>
      </c>
      <c r="Y1523" s="24" t="n"/>
    </row>
    <row r="1524" ht="14.25" customHeight="1" s="40">
      <c r="A1524" s="24" t="n"/>
      <c r="B1524" s="27" t="n"/>
      <c r="C1524" s="24" t="n"/>
      <c r="D1524" s="28" t="n"/>
      <c r="E1524" s="29" t="n"/>
      <c r="F1524" s="24" t="n"/>
      <c r="G1524" s="24" t="n"/>
      <c r="H1524" s="21">
        <f>IF(ISNUMBER($B1524),INT($B1524)-WEEKDAY($B1524,2)+1,"")</f>
        <v/>
      </c>
      <c r="I1524" s="24" t="n"/>
      <c r="J1524" s="22">
        <f t="array" ref="J1524">IF($D1524="","",IF($I1524="","(trống REF)",IFERROR(INDEX(MASTER_SOURCE!$B$2:$B$495,MATCH($I1524,MASTER_SOURCE!$A$2:$A$495,0)),"(REF không có trong MASTER_SOURCE)")))</f>
        <v/>
      </c>
      <c r="K1524" s="22">
        <f t="array" ref="K1524">IF($D1524="","",IFERROR(INDEX(MASTER_SOURCE!$C$2:$C$495,MATCH($I1524,MASTER_SOURCE!$A$2:$A$495,0)),""))</f>
        <v/>
      </c>
      <c r="L1524" s="22">
        <f t="array" ref="L1524">IF($D1524="","",IFERROR(INDEX(MASTER_SOURCE!$D$2:$D$495,MATCH($I1524,MASTER_SOURCE!$A$2:$A$495,0)),""))</f>
        <v/>
      </c>
      <c r="M1524" s="24" t="n"/>
      <c r="N1524" s="24" t="n"/>
      <c r="O1524" s="24" t="n"/>
      <c r="P1524" s="24" t="n"/>
      <c r="Q1524" s="22">
        <f>IF($D1524="","",IF(AND(OR(DANH_MUC!$L$5&lt;&gt;"Có",M1524="Có"),OR(DANH_MUC!$L$6&lt;&gt;"Có",N1524="Có"),OR(DANH_MUC!$L$7&lt;&gt;"Có",O1524="Có"),OR(DANH_MUC!$L$8&lt;&gt;"Có",P1524="Có")),"Có","Không"))</f>
        <v/>
      </c>
      <c r="R1524" s="22">
        <f>IF($D1524="","",IF(COUNTIF($D$2:$D1524,$D1524)&gt;1,"Trùng",""))</f>
        <v/>
      </c>
      <c r="S1524" s="22">
        <f>IF($D1524="","",IF(AND(LEN($D1524)=10,LEFT($D1524,1)="0",ISNUMBER(--$D1524)),"Có","Không"))</f>
        <v/>
      </c>
      <c r="T1524" s="22">
        <f>IF($D1524="","",IF(AND($C1524&lt;&gt;"",$Q1524="Có",$R1524="",$S1524="Có",AND($L1524&lt;&gt;"",OR($L1524&lt;&gt;"Chưa xác định",DANH_MUC!$L$9="Có"))),"Có","Không"))</f>
        <v/>
      </c>
      <c r="U1524" s="22">
        <f>IF(OR($D1524="",$T1524="Có"),"",IF($C1524="","Thiếu họ tên; ","")&amp;IF($S1524&lt;&gt;"Có","SĐT sai định dạng; ","")&amp;IF($R1524="Trùng","Trùng SĐT; ","")&amp;IF($Q1524&lt;&gt;"Có","Thiếu đồng ý bắt buộc; ","")&amp;IF($L1524="","Thiếu/sai Mã REF; ",IF(AND($L1524="Chưa xác định",DANH_MUC!$L$9&lt;&gt;"Có"),"Nguồn chưa xác định; ","")))</f>
        <v/>
      </c>
      <c r="V1524" s="22">
        <f>IF(OR($D1524="",$R1524="Trùng"),"",IF(COUNTIF(ORDERS!$C$2:$C$4995,$D1524)&gt;0,"Có","Không"))</f>
        <v/>
      </c>
      <c r="W1524" s="22">
        <f>IF(OR($D1524="",$R1524="Trùng"),"",COUNTIFS(ORDERS!$C$2:$C$4995,$D1524,ORDERS!$L$2:$L$4995,"Đã chuyển khoản"))</f>
        <v/>
      </c>
      <c r="X1524" s="23">
        <f>IF(OR($D1524="",$R1524="Trùng"),"",SUMIFS(ORDERS!$J$2:$J$4995,ORDERS!$C$2:$C$4995,$D1524,ORDERS!$L$2:$L$4995,"Đã chuyển khoản"))</f>
        <v/>
      </c>
      <c r="Y1524" s="24" t="n"/>
    </row>
    <row r="1525" ht="14.25" customHeight="1" s="40">
      <c r="A1525" s="24" t="n"/>
      <c r="B1525" s="27" t="n"/>
      <c r="C1525" s="24" t="n"/>
      <c r="D1525" s="28" t="n"/>
      <c r="E1525" s="29" t="n"/>
      <c r="F1525" s="24" t="n"/>
      <c r="G1525" s="24" t="n"/>
      <c r="H1525" s="21">
        <f>IF(ISNUMBER($B1525),INT($B1525)-WEEKDAY($B1525,2)+1,"")</f>
        <v/>
      </c>
      <c r="I1525" s="24" t="n"/>
      <c r="J1525" s="22">
        <f t="array" ref="J1525">IF($D1525="","",IF($I1525="","(trống REF)",IFERROR(INDEX(MASTER_SOURCE!$B$2:$B$495,MATCH($I1525,MASTER_SOURCE!$A$2:$A$495,0)),"(REF không có trong MASTER_SOURCE)")))</f>
        <v/>
      </c>
      <c r="K1525" s="22">
        <f t="array" ref="K1525">IF($D1525="","",IFERROR(INDEX(MASTER_SOURCE!$C$2:$C$495,MATCH($I1525,MASTER_SOURCE!$A$2:$A$495,0)),""))</f>
        <v/>
      </c>
      <c r="L1525" s="22">
        <f t="array" ref="L1525">IF($D1525="","",IFERROR(INDEX(MASTER_SOURCE!$D$2:$D$495,MATCH($I1525,MASTER_SOURCE!$A$2:$A$495,0)),""))</f>
        <v/>
      </c>
      <c r="M1525" s="24" t="n"/>
      <c r="N1525" s="24" t="n"/>
      <c r="O1525" s="24" t="n"/>
      <c r="P1525" s="24" t="n"/>
      <c r="Q1525" s="22">
        <f>IF($D1525="","",IF(AND(OR(DANH_MUC!$L$5&lt;&gt;"Có",M1525="Có"),OR(DANH_MUC!$L$6&lt;&gt;"Có",N1525="Có"),OR(DANH_MUC!$L$7&lt;&gt;"Có",O1525="Có"),OR(DANH_MUC!$L$8&lt;&gt;"Có",P1525="Có")),"Có","Không"))</f>
        <v/>
      </c>
      <c r="R1525" s="22">
        <f>IF($D1525="","",IF(COUNTIF($D$2:$D1525,$D1525)&gt;1,"Trùng",""))</f>
        <v/>
      </c>
      <c r="S1525" s="22">
        <f>IF($D1525="","",IF(AND(LEN($D1525)=10,LEFT($D1525,1)="0",ISNUMBER(--$D1525)),"Có","Không"))</f>
        <v/>
      </c>
      <c r="T1525" s="22">
        <f>IF($D1525="","",IF(AND($C1525&lt;&gt;"",$Q1525="Có",$R1525="",$S1525="Có",AND($L1525&lt;&gt;"",OR($L1525&lt;&gt;"Chưa xác định",DANH_MUC!$L$9="Có"))),"Có","Không"))</f>
        <v/>
      </c>
      <c r="U1525" s="22">
        <f>IF(OR($D1525="",$T1525="Có"),"",IF($C1525="","Thiếu họ tên; ","")&amp;IF($S1525&lt;&gt;"Có","SĐT sai định dạng; ","")&amp;IF($R1525="Trùng","Trùng SĐT; ","")&amp;IF($Q1525&lt;&gt;"Có","Thiếu đồng ý bắt buộc; ","")&amp;IF($L1525="","Thiếu/sai Mã REF; ",IF(AND($L1525="Chưa xác định",DANH_MUC!$L$9&lt;&gt;"Có"),"Nguồn chưa xác định; ","")))</f>
        <v/>
      </c>
      <c r="V1525" s="22">
        <f>IF(OR($D1525="",$R1525="Trùng"),"",IF(COUNTIF(ORDERS!$C$2:$C$4995,$D1525)&gt;0,"Có","Không"))</f>
        <v/>
      </c>
      <c r="W1525" s="22">
        <f>IF(OR($D1525="",$R1525="Trùng"),"",COUNTIFS(ORDERS!$C$2:$C$4995,$D1525,ORDERS!$L$2:$L$4995,"Đã chuyển khoản"))</f>
        <v/>
      </c>
      <c r="X1525" s="23">
        <f>IF(OR($D1525="",$R1525="Trùng"),"",SUMIFS(ORDERS!$J$2:$J$4995,ORDERS!$C$2:$C$4995,$D1525,ORDERS!$L$2:$L$4995,"Đã chuyển khoản"))</f>
        <v/>
      </c>
      <c r="Y1525" s="24" t="n"/>
    </row>
    <row r="1526" ht="14.25" customHeight="1" s="40">
      <c r="A1526" s="24" t="n"/>
      <c r="B1526" s="27" t="n"/>
      <c r="C1526" s="24" t="n"/>
      <c r="D1526" s="28" t="n"/>
      <c r="E1526" s="29" t="n"/>
      <c r="F1526" s="24" t="n"/>
      <c r="G1526" s="24" t="n"/>
      <c r="H1526" s="21">
        <f>IF(ISNUMBER($B1526),INT($B1526)-WEEKDAY($B1526,2)+1,"")</f>
        <v/>
      </c>
      <c r="I1526" s="24" t="n"/>
      <c r="J1526" s="22">
        <f t="array" ref="J1526">IF($D1526="","",IF($I1526="","(trống REF)",IFERROR(INDEX(MASTER_SOURCE!$B$2:$B$495,MATCH($I1526,MASTER_SOURCE!$A$2:$A$495,0)),"(REF không có trong MASTER_SOURCE)")))</f>
        <v/>
      </c>
      <c r="K1526" s="22">
        <f t="array" ref="K1526">IF($D1526="","",IFERROR(INDEX(MASTER_SOURCE!$C$2:$C$495,MATCH($I1526,MASTER_SOURCE!$A$2:$A$495,0)),""))</f>
        <v/>
      </c>
      <c r="L1526" s="22">
        <f t="array" ref="L1526">IF($D1526="","",IFERROR(INDEX(MASTER_SOURCE!$D$2:$D$495,MATCH($I1526,MASTER_SOURCE!$A$2:$A$495,0)),""))</f>
        <v/>
      </c>
      <c r="M1526" s="24" t="n"/>
      <c r="N1526" s="24" t="n"/>
      <c r="O1526" s="24" t="n"/>
      <c r="P1526" s="24" t="n"/>
      <c r="Q1526" s="22">
        <f>IF($D1526="","",IF(AND(OR(DANH_MUC!$L$5&lt;&gt;"Có",M1526="Có"),OR(DANH_MUC!$L$6&lt;&gt;"Có",N1526="Có"),OR(DANH_MUC!$L$7&lt;&gt;"Có",O1526="Có"),OR(DANH_MUC!$L$8&lt;&gt;"Có",P1526="Có")),"Có","Không"))</f>
        <v/>
      </c>
      <c r="R1526" s="22">
        <f>IF($D1526="","",IF(COUNTIF($D$2:$D1526,$D1526)&gt;1,"Trùng",""))</f>
        <v/>
      </c>
      <c r="S1526" s="22">
        <f>IF($D1526="","",IF(AND(LEN($D1526)=10,LEFT($D1526,1)="0",ISNUMBER(--$D1526)),"Có","Không"))</f>
        <v/>
      </c>
      <c r="T1526" s="22">
        <f>IF($D1526="","",IF(AND($C1526&lt;&gt;"",$Q1526="Có",$R1526="",$S1526="Có",AND($L1526&lt;&gt;"",OR($L1526&lt;&gt;"Chưa xác định",DANH_MUC!$L$9="Có"))),"Có","Không"))</f>
        <v/>
      </c>
      <c r="U1526" s="22">
        <f>IF(OR($D1526="",$T1526="Có"),"",IF($C1526="","Thiếu họ tên; ","")&amp;IF($S1526&lt;&gt;"Có","SĐT sai định dạng; ","")&amp;IF($R1526="Trùng","Trùng SĐT; ","")&amp;IF($Q1526&lt;&gt;"Có","Thiếu đồng ý bắt buộc; ","")&amp;IF($L1526="","Thiếu/sai Mã REF; ",IF(AND($L1526="Chưa xác định",DANH_MUC!$L$9&lt;&gt;"Có"),"Nguồn chưa xác định; ","")))</f>
        <v/>
      </c>
      <c r="V1526" s="22">
        <f>IF(OR($D1526="",$R1526="Trùng"),"",IF(COUNTIF(ORDERS!$C$2:$C$4995,$D1526)&gt;0,"Có","Không"))</f>
        <v/>
      </c>
      <c r="W1526" s="22">
        <f>IF(OR($D1526="",$R1526="Trùng"),"",COUNTIFS(ORDERS!$C$2:$C$4995,$D1526,ORDERS!$L$2:$L$4995,"Đã chuyển khoản"))</f>
        <v/>
      </c>
      <c r="X1526" s="23">
        <f>IF(OR($D1526="",$R1526="Trùng"),"",SUMIFS(ORDERS!$J$2:$J$4995,ORDERS!$C$2:$C$4995,$D1526,ORDERS!$L$2:$L$4995,"Đã chuyển khoản"))</f>
        <v/>
      </c>
      <c r="Y1526" s="24" t="n"/>
    </row>
    <row r="1527" ht="14.25" customHeight="1" s="40">
      <c r="A1527" s="24" t="n"/>
      <c r="B1527" s="27" t="n"/>
      <c r="C1527" s="24" t="n"/>
      <c r="D1527" s="28" t="n"/>
      <c r="E1527" s="29" t="n"/>
      <c r="F1527" s="24" t="n"/>
      <c r="G1527" s="24" t="n"/>
      <c r="H1527" s="21">
        <f>IF(ISNUMBER($B1527),INT($B1527)-WEEKDAY($B1527,2)+1,"")</f>
        <v/>
      </c>
      <c r="I1527" s="24" t="n"/>
      <c r="J1527" s="22">
        <f t="array" ref="J1527">IF($D1527="","",IF($I1527="","(trống REF)",IFERROR(INDEX(MASTER_SOURCE!$B$2:$B$495,MATCH($I1527,MASTER_SOURCE!$A$2:$A$495,0)),"(REF không có trong MASTER_SOURCE)")))</f>
        <v/>
      </c>
      <c r="K1527" s="22">
        <f t="array" ref="K1527">IF($D1527="","",IFERROR(INDEX(MASTER_SOURCE!$C$2:$C$495,MATCH($I1527,MASTER_SOURCE!$A$2:$A$495,0)),""))</f>
        <v/>
      </c>
      <c r="L1527" s="22">
        <f t="array" ref="L1527">IF($D1527="","",IFERROR(INDEX(MASTER_SOURCE!$D$2:$D$495,MATCH($I1527,MASTER_SOURCE!$A$2:$A$495,0)),""))</f>
        <v/>
      </c>
      <c r="M1527" s="24" t="n"/>
      <c r="N1527" s="24" t="n"/>
      <c r="O1527" s="24" t="n"/>
      <c r="P1527" s="24" t="n"/>
      <c r="Q1527" s="22">
        <f>IF($D1527="","",IF(AND(OR(DANH_MUC!$L$5&lt;&gt;"Có",M1527="Có"),OR(DANH_MUC!$L$6&lt;&gt;"Có",N1527="Có"),OR(DANH_MUC!$L$7&lt;&gt;"Có",O1527="Có"),OR(DANH_MUC!$L$8&lt;&gt;"Có",P1527="Có")),"Có","Không"))</f>
        <v/>
      </c>
      <c r="R1527" s="22">
        <f>IF($D1527="","",IF(COUNTIF($D$2:$D1527,$D1527)&gt;1,"Trùng",""))</f>
        <v/>
      </c>
      <c r="S1527" s="22">
        <f>IF($D1527="","",IF(AND(LEN($D1527)=10,LEFT($D1527,1)="0",ISNUMBER(--$D1527)),"Có","Không"))</f>
        <v/>
      </c>
      <c r="T1527" s="22">
        <f>IF($D1527="","",IF(AND($C1527&lt;&gt;"",$Q1527="Có",$R1527="",$S1527="Có",AND($L1527&lt;&gt;"",OR($L1527&lt;&gt;"Chưa xác định",DANH_MUC!$L$9="Có"))),"Có","Không"))</f>
        <v/>
      </c>
      <c r="U1527" s="22">
        <f>IF(OR($D1527="",$T1527="Có"),"",IF($C1527="","Thiếu họ tên; ","")&amp;IF($S1527&lt;&gt;"Có","SĐT sai định dạng; ","")&amp;IF($R1527="Trùng","Trùng SĐT; ","")&amp;IF($Q1527&lt;&gt;"Có","Thiếu đồng ý bắt buộc; ","")&amp;IF($L1527="","Thiếu/sai Mã REF; ",IF(AND($L1527="Chưa xác định",DANH_MUC!$L$9&lt;&gt;"Có"),"Nguồn chưa xác định; ","")))</f>
        <v/>
      </c>
      <c r="V1527" s="22">
        <f>IF(OR($D1527="",$R1527="Trùng"),"",IF(COUNTIF(ORDERS!$C$2:$C$4995,$D1527)&gt;0,"Có","Không"))</f>
        <v/>
      </c>
      <c r="W1527" s="22">
        <f>IF(OR($D1527="",$R1527="Trùng"),"",COUNTIFS(ORDERS!$C$2:$C$4995,$D1527,ORDERS!$L$2:$L$4995,"Đã chuyển khoản"))</f>
        <v/>
      </c>
      <c r="X1527" s="23">
        <f>IF(OR($D1527="",$R1527="Trùng"),"",SUMIFS(ORDERS!$J$2:$J$4995,ORDERS!$C$2:$C$4995,$D1527,ORDERS!$L$2:$L$4995,"Đã chuyển khoản"))</f>
        <v/>
      </c>
      <c r="Y1527" s="24" t="n"/>
    </row>
    <row r="1528" ht="14.25" customHeight="1" s="40">
      <c r="A1528" s="24" t="n"/>
      <c r="B1528" s="27" t="n"/>
      <c r="C1528" s="24" t="n"/>
      <c r="D1528" s="28" t="n"/>
      <c r="E1528" s="29" t="n"/>
      <c r="F1528" s="24" t="n"/>
      <c r="G1528" s="24" t="n"/>
      <c r="H1528" s="21">
        <f>IF(ISNUMBER($B1528),INT($B1528)-WEEKDAY($B1528,2)+1,"")</f>
        <v/>
      </c>
      <c r="I1528" s="24" t="n"/>
      <c r="J1528" s="22">
        <f t="array" ref="J1528">IF($D1528="","",IF($I1528="","(trống REF)",IFERROR(INDEX(MASTER_SOURCE!$B$2:$B$495,MATCH($I1528,MASTER_SOURCE!$A$2:$A$495,0)),"(REF không có trong MASTER_SOURCE)")))</f>
        <v/>
      </c>
      <c r="K1528" s="22">
        <f t="array" ref="K1528">IF($D1528="","",IFERROR(INDEX(MASTER_SOURCE!$C$2:$C$495,MATCH($I1528,MASTER_SOURCE!$A$2:$A$495,0)),""))</f>
        <v/>
      </c>
      <c r="L1528" s="22">
        <f t="array" ref="L1528">IF($D1528="","",IFERROR(INDEX(MASTER_SOURCE!$D$2:$D$495,MATCH($I1528,MASTER_SOURCE!$A$2:$A$495,0)),""))</f>
        <v/>
      </c>
      <c r="M1528" s="24" t="n"/>
      <c r="N1528" s="24" t="n"/>
      <c r="O1528" s="24" t="n"/>
      <c r="P1528" s="24" t="n"/>
      <c r="Q1528" s="22">
        <f>IF($D1528="","",IF(AND(OR(DANH_MUC!$L$5&lt;&gt;"Có",M1528="Có"),OR(DANH_MUC!$L$6&lt;&gt;"Có",N1528="Có"),OR(DANH_MUC!$L$7&lt;&gt;"Có",O1528="Có"),OR(DANH_MUC!$L$8&lt;&gt;"Có",P1528="Có")),"Có","Không"))</f>
        <v/>
      </c>
      <c r="R1528" s="22">
        <f>IF($D1528="","",IF(COUNTIF($D$2:$D1528,$D1528)&gt;1,"Trùng",""))</f>
        <v/>
      </c>
      <c r="S1528" s="22">
        <f>IF($D1528="","",IF(AND(LEN($D1528)=10,LEFT($D1528,1)="0",ISNUMBER(--$D1528)),"Có","Không"))</f>
        <v/>
      </c>
      <c r="T1528" s="22">
        <f>IF($D1528="","",IF(AND($C1528&lt;&gt;"",$Q1528="Có",$R1528="",$S1528="Có",AND($L1528&lt;&gt;"",OR($L1528&lt;&gt;"Chưa xác định",DANH_MUC!$L$9="Có"))),"Có","Không"))</f>
        <v/>
      </c>
      <c r="U1528" s="22">
        <f>IF(OR($D1528="",$T1528="Có"),"",IF($C1528="","Thiếu họ tên; ","")&amp;IF($S1528&lt;&gt;"Có","SĐT sai định dạng; ","")&amp;IF($R1528="Trùng","Trùng SĐT; ","")&amp;IF($Q1528&lt;&gt;"Có","Thiếu đồng ý bắt buộc; ","")&amp;IF($L1528="","Thiếu/sai Mã REF; ",IF(AND($L1528="Chưa xác định",DANH_MUC!$L$9&lt;&gt;"Có"),"Nguồn chưa xác định; ","")))</f>
        <v/>
      </c>
      <c r="V1528" s="22">
        <f>IF(OR($D1528="",$R1528="Trùng"),"",IF(COUNTIF(ORDERS!$C$2:$C$4995,$D1528)&gt;0,"Có","Không"))</f>
        <v/>
      </c>
      <c r="W1528" s="22">
        <f>IF(OR($D1528="",$R1528="Trùng"),"",COUNTIFS(ORDERS!$C$2:$C$4995,$D1528,ORDERS!$L$2:$L$4995,"Đã chuyển khoản"))</f>
        <v/>
      </c>
      <c r="X1528" s="23">
        <f>IF(OR($D1528="",$R1528="Trùng"),"",SUMIFS(ORDERS!$J$2:$J$4995,ORDERS!$C$2:$C$4995,$D1528,ORDERS!$L$2:$L$4995,"Đã chuyển khoản"))</f>
        <v/>
      </c>
      <c r="Y1528" s="24" t="n"/>
    </row>
    <row r="1529" ht="14.25" customHeight="1" s="40">
      <c r="A1529" s="24" t="n"/>
      <c r="B1529" s="27" t="n"/>
      <c r="C1529" s="24" t="n"/>
      <c r="D1529" s="28" t="n"/>
      <c r="E1529" s="29" t="n"/>
      <c r="F1529" s="24" t="n"/>
      <c r="G1529" s="24" t="n"/>
      <c r="H1529" s="21">
        <f>IF(ISNUMBER($B1529),INT($B1529)-WEEKDAY($B1529,2)+1,"")</f>
        <v/>
      </c>
      <c r="I1529" s="24" t="n"/>
      <c r="J1529" s="22">
        <f t="array" ref="J1529">IF($D1529="","",IF($I1529="","(trống REF)",IFERROR(INDEX(MASTER_SOURCE!$B$2:$B$495,MATCH($I1529,MASTER_SOURCE!$A$2:$A$495,0)),"(REF không có trong MASTER_SOURCE)")))</f>
        <v/>
      </c>
      <c r="K1529" s="22">
        <f t="array" ref="K1529">IF($D1529="","",IFERROR(INDEX(MASTER_SOURCE!$C$2:$C$495,MATCH($I1529,MASTER_SOURCE!$A$2:$A$495,0)),""))</f>
        <v/>
      </c>
      <c r="L1529" s="22">
        <f t="array" ref="L1529">IF($D1529="","",IFERROR(INDEX(MASTER_SOURCE!$D$2:$D$495,MATCH($I1529,MASTER_SOURCE!$A$2:$A$495,0)),""))</f>
        <v/>
      </c>
      <c r="M1529" s="24" t="n"/>
      <c r="N1529" s="24" t="n"/>
      <c r="O1529" s="24" t="n"/>
      <c r="P1529" s="24" t="n"/>
      <c r="Q1529" s="22">
        <f>IF($D1529="","",IF(AND(OR(DANH_MUC!$L$5&lt;&gt;"Có",M1529="Có"),OR(DANH_MUC!$L$6&lt;&gt;"Có",N1529="Có"),OR(DANH_MUC!$L$7&lt;&gt;"Có",O1529="Có"),OR(DANH_MUC!$L$8&lt;&gt;"Có",P1529="Có")),"Có","Không"))</f>
        <v/>
      </c>
      <c r="R1529" s="22">
        <f>IF($D1529="","",IF(COUNTIF($D$2:$D1529,$D1529)&gt;1,"Trùng",""))</f>
        <v/>
      </c>
      <c r="S1529" s="22">
        <f>IF($D1529="","",IF(AND(LEN($D1529)=10,LEFT($D1529,1)="0",ISNUMBER(--$D1529)),"Có","Không"))</f>
        <v/>
      </c>
      <c r="T1529" s="22">
        <f>IF($D1529="","",IF(AND($C1529&lt;&gt;"",$Q1529="Có",$R1529="",$S1529="Có",AND($L1529&lt;&gt;"",OR($L1529&lt;&gt;"Chưa xác định",DANH_MUC!$L$9="Có"))),"Có","Không"))</f>
        <v/>
      </c>
      <c r="U1529" s="22">
        <f>IF(OR($D1529="",$T1529="Có"),"",IF($C1529="","Thiếu họ tên; ","")&amp;IF($S1529&lt;&gt;"Có","SĐT sai định dạng; ","")&amp;IF($R1529="Trùng","Trùng SĐT; ","")&amp;IF($Q1529&lt;&gt;"Có","Thiếu đồng ý bắt buộc; ","")&amp;IF($L1529="","Thiếu/sai Mã REF; ",IF(AND($L1529="Chưa xác định",DANH_MUC!$L$9&lt;&gt;"Có"),"Nguồn chưa xác định; ","")))</f>
        <v/>
      </c>
      <c r="V1529" s="22">
        <f>IF(OR($D1529="",$R1529="Trùng"),"",IF(COUNTIF(ORDERS!$C$2:$C$4995,$D1529)&gt;0,"Có","Không"))</f>
        <v/>
      </c>
      <c r="W1529" s="22">
        <f>IF(OR($D1529="",$R1529="Trùng"),"",COUNTIFS(ORDERS!$C$2:$C$4995,$D1529,ORDERS!$L$2:$L$4995,"Đã chuyển khoản"))</f>
        <v/>
      </c>
      <c r="X1529" s="23">
        <f>IF(OR($D1529="",$R1529="Trùng"),"",SUMIFS(ORDERS!$J$2:$J$4995,ORDERS!$C$2:$C$4995,$D1529,ORDERS!$L$2:$L$4995,"Đã chuyển khoản"))</f>
        <v/>
      </c>
      <c r="Y1529" s="24" t="n"/>
    </row>
    <row r="1530" ht="14.25" customHeight="1" s="40">
      <c r="A1530" s="24" t="n"/>
      <c r="B1530" s="27" t="n"/>
      <c r="C1530" s="24" t="n"/>
      <c r="D1530" s="28" t="n"/>
      <c r="E1530" s="29" t="n"/>
      <c r="F1530" s="24" t="n"/>
      <c r="G1530" s="24" t="n"/>
      <c r="H1530" s="21">
        <f>IF(ISNUMBER($B1530),INT($B1530)-WEEKDAY($B1530,2)+1,"")</f>
        <v/>
      </c>
      <c r="I1530" s="24" t="n"/>
      <c r="J1530" s="22">
        <f t="array" ref="J1530">IF($D1530="","",IF($I1530="","(trống REF)",IFERROR(INDEX(MASTER_SOURCE!$B$2:$B$495,MATCH($I1530,MASTER_SOURCE!$A$2:$A$495,0)),"(REF không có trong MASTER_SOURCE)")))</f>
        <v/>
      </c>
      <c r="K1530" s="22">
        <f t="array" ref="K1530">IF($D1530="","",IFERROR(INDEX(MASTER_SOURCE!$C$2:$C$495,MATCH($I1530,MASTER_SOURCE!$A$2:$A$495,0)),""))</f>
        <v/>
      </c>
      <c r="L1530" s="22">
        <f t="array" ref="L1530">IF($D1530="","",IFERROR(INDEX(MASTER_SOURCE!$D$2:$D$495,MATCH($I1530,MASTER_SOURCE!$A$2:$A$495,0)),""))</f>
        <v/>
      </c>
      <c r="M1530" s="24" t="n"/>
      <c r="N1530" s="24" t="n"/>
      <c r="O1530" s="24" t="n"/>
      <c r="P1530" s="24" t="n"/>
      <c r="Q1530" s="22">
        <f>IF($D1530="","",IF(AND(OR(DANH_MUC!$L$5&lt;&gt;"Có",M1530="Có"),OR(DANH_MUC!$L$6&lt;&gt;"Có",N1530="Có"),OR(DANH_MUC!$L$7&lt;&gt;"Có",O1530="Có"),OR(DANH_MUC!$L$8&lt;&gt;"Có",P1530="Có")),"Có","Không"))</f>
        <v/>
      </c>
      <c r="R1530" s="22">
        <f>IF($D1530="","",IF(COUNTIF($D$2:$D1530,$D1530)&gt;1,"Trùng",""))</f>
        <v/>
      </c>
      <c r="S1530" s="22">
        <f>IF($D1530="","",IF(AND(LEN($D1530)=10,LEFT($D1530,1)="0",ISNUMBER(--$D1530)),"Có","Không"))</f>
        <v/>
      </c>
      <c r="T1530" s="22">
        <f>IF($D1530="","",IF(AND($C1530&lt;&gt;"",$Q1530="Có",$R1530="",$S1530="Có",AND($L1530&lt;&gt;"",OR($L1530&lt;&gt;"Chưa xác định",DANH_MUC!$L$9="Có"))),"Có","Không"))</f>
        <v/>
      </c>
      <c r="U1530" s="22">
        <f>IF(OR($D1530="",$T1530="Có"),"",IF($C1530="","Thiếu họ tên; ","")&amp;IF($S1530&lt;&gt;"Có","SĐT sai định dạng; ","")&amp;IF($R1530="Trùng","Trùng SĐT; ","")&amp;IF($Q1530&lt;&gt;"Có","Thiếu đồng ý bắt buộc; ","")&amp;IF($L1530="","Thiếu/sai Mã REF; ",IF(AND($L1530="Chưa xác định",DANH_MUC!$L$9&lt;&gt;"Có"),"Nguồn chưa xác định; ","")))</f>
        <v/>
      </c>
      <c r="V1530" s="22">
        <f>IF(OR($D1530="",$R1530="Trùng"),"",IF(COUNTIF(ORDERS!$C$2:$C$4995,$D1530)&gt;0,"Có","Không"))</f>
        <v/>
      </c>
      <c r="W1530" s="22">
        <f>IF(OR($D1530="",$R1530="Trùng"),"",COUNTIFS(ORDERS!$C$2:$C$4995,$D1530,ORDERS!$L$2:$L$4995,"Đã chuyển khoản"))</f>
        <v/>
      </c>
      <c r="X1530" s="23">
        <f>IF(OR($D1530="",$R1530="Trùng"),"",SUMIFS(ORDERS!$J$2:$J$4995,ORDERS!$C$2:$C$4995,$D1530,ORDERS!$L$2:$L$4995,"Đã chuyển khoản"))</f>
        <v/>
      </c>
      <c r="Y1530" s="24" t="n"/>
    </row>
    <row r="1531" ht="14.25" customHeight="1" s="40">
      <c r="A1531" s="24" t="n"/>
      <c r="B1531" s="27" t="n"/>
      <c r="C1531" s="24" t="n"/>
      <c r="D1531" s="28" t="n"/>
      <c r="E1531" s="29" t="n"/>
      <c r="F1531" s="24" t="n"/>
      <c r="G1531" s="24" t="n"/>
      <c r="H1531" s="21">
        <f>IF(ISNUMBER($B1531),INT($B1531)-WEEKDAY($B1531,2)+1,"")</f>
        <v/>
      </c>
      <c r="I1531" s="24" t="n"/>
      <c r="J1531" s="22">
        <f t="array" ref="J1531">IF($D1531="","",IF($I1531="","(trống REF)",IFERROR(INDEX(MASTER_SOURCE!$B$2:$B$495,MATCH($I1531,MASTER_SOURCE!$A$2:$A$495,0)),"(REF không có trong MASTER_SOURCE)")))</f>
        <v/>
      </c>
      <c r="K1531" s="22">
        <f t="array" ref="K1531">IF($D1531="","",IFERROR(INDEX(MASTER_SOURCE!$C$2:$C$495,MATCH($I1531,MASTER_SOURCE!$A$2:$A$495,0)),""))</f>
        <v/>
      </c>
      <c r="L1531" s="22">
        <f t="array" ref="L1531">IF($D1531="","",IFERROR(INDEX(MASTER_SOURCE!$D$2:$D$495,MATCH($I1531,MASTER_SOURCE!$A$2:$A$495,0)),""))</f>
        <v/>
      </c>
      <c r="M1531" s="24" t="n"/>
      <c r="N1531" s="24" t="n"/>
      <c r="O1531" s="24" t="n"/>
      <c r="P1531" s="24" t="n"/>
      <c r="Q1531" s="22">
        <f>IF($D1531="","",IF(AND(OR(DANH_MUC!$L$5&lt;&gt;"Có",M1531="Có"),OR(DANH_MUC!$L$6&lt;&gt;"Có",N1531="Có"),OR(DANH_MUC!$L$7&lt;&gt;"Có",O1531="Có"),OR(DANH_MUC!$L$8&lt;&gt;"Có",P1531="Có")),"Có","Không"))</f>
        <v/>
      </c>
      <c r="R1531" s="22">
        <f>IF($D1531="","",IF(COUNTIF($D$2:$D1531,$D1531)&gt;1,"Trùng",""))</f>
        <v/>
      </c>
      <c r="S1531" s="22">
        <f>IF($D1531="","",IF(AND(LEN($D1531)=10,LEFT($D1531,1)="0",ISNUMBER(--$D1531)),"Có","Không"))</f>
        <v/>
      </c>
      <c r="T1531" s="22">
        <f>IF($D1531="","",IF(AND($C1531&lt;&gt;"",$Q1531="Có",$R1531="",$S1531="Có",AND($L1531&lt;&gt;"",OR($L1531&lt;&gt;"Chưa xác định",DANH_MUC!$L$9="Có"))),"Có","Không"))</f>
        <v/>
      </c>
      <c r="U1531" s="22">
        <f>IF(OR($D1531="",$T1531="Có"),"",IF($C1531="","Thiếu họ tên; ","")&amp;IF($S1531&lt;&gt;"Có","SĐT sai định dạng; ","")&amp;IF($R1531="Trùng","Trùng SĐT; ","")&amp;IF($Q1531&lt;&gt;"Có","Thiếu đồng ý bắt buộc; ","")&amp;IF($L1531="","Thiếu/sai Mã REF; ",IF(AND($L1531="Chưa xác định",DANH_MUC!$L$9&lt;&gt;"Có"),"Nguồn chưa xác định; ","")))</f>
        <v/>
      </c>
      <c r="V1531" s="22">
        <f>IF(OR($D1531="",$R1531="Trùng"),"",IF(COUNTIF(ORDERS!$C$2:$C$4995,$D1531)&gt;0,"Có","Không"))</f>
        <v/>
      </c>
      <c r="W1531" s="22">
        <f>IF(OR($D1531="",$R1531="Trùng"),"",COUNTIFS(ORDERS!$C$2:$C$4995,$D1531,ORDERS!$L$2:$L$4995,"Đã chuyển khoản"))</f>
        <v/>
      </c>
      <c r="X1531" s="23">
        <f>IF(OR($D1531="",$R1531="Trùng"),"",SUMIFS(ORDERS!$J$2:$J$4995,ORDERS!$C$2:$C$4995,$D1531,ORDERS!$L$2:$L$4995,"Đã chuyển khoản"))</f>
        <v/>
      </c>
      <c r="Y1531" s="24" t="n"/>
    </row>
    <row r="1532" ht="14.25" customHeight="1" s="40">
      <c r="A1532" s="24" t="n"/>
      <c r="B1532" s="27" t="n"/>
      <c r="C1532" s="24" t="n"/>
      <c r="D1532" s="28" t="n"/>
      <c r="E1532" s="29" t="n"/>
      <c r="F1532" s="24" t="n"/>
      <c r="G1532" s="24" t="n"/>
      <c r="H1532" s="21">
        <f>IF(ISNUMBER($B1532),INT($B1532)-WEEKDAY($B1532,2)+1,"")</f>
        <v/>
      </c>
      <c r="I1532" s="24" t="n"/>
      <c r="J1532" s="22">
        <f t="array" ref="J1532">IF($D1532="","",IF($I1532="","(trống REF)",IFERROR(INDEX(MASTER_SOURCE!$B$2:$B$495,MATCH($I1532,MASTER_SOURCE!$A$2:$A$495,0)),"(REF không có trong MASTER_SOURCE)")))</f>
        <v/>
      </c>
      <c r="K1532" s="22">
        <f t="array" ref="K1532">IF($D1532="","",IFERROR(INDEX(MASTER_SOURCE!$C$2:$C$495,MATCH($I1532,MASTER_SOURCE!$A$2:$A$495,0)),""))</f>
        <v/>
      </c>
      <c r="L1532" s="22">
        <f t="array" ref="L1532">IF($D1532="","",IFERROR(INDEX(MASTER_SOURCE!$D$2:$D$495,MATCH($I1532,MASTER_SOURCE!$A$2:$A$495,0)),""))</f>
        <v/>
      </c>
      <c r="M1532" s="24" t="n"/>
      <c r="N1532" s="24" t="n"/>
      <c r="O1532" s="24" t="n"/>
      <c r="P1532" s="24" t="n"/>
      <c r="Q1532" s="22">
        <f>IF($D1532="","",IF(AND(OR(DANH_MUC!$L$5&lt;&gt;"Có",M1532="Có"),OR(DANH_MUC!$L$6&lt;&gt;"Có",N1532="Có"),OR(DANH_MUC!$L$7&lt;&gt;"Có",O1532="Có"),OR(DANH_MUC!$L$8&lt;&gt;"Có",P1532="Có")),"Có","Không"))</f>
        <v/>
      </c>
      <c r="R1532" s="22">
        <f>IF($D1532="","",IF(COUNTIF($D$2:$D1532,$D1532)&gt;1,"Trùng",""))</f>
        <v/>
      </c>
      <c r="S1532" s="22">
        <f>IF($D1532="","",IF(AND(LEN($D1532)=10,LEFT($D1532,1)="0",ISNUMBER(--$D1532)),"Có","Không"))</f>
        <v/>
      </c>
      <c r="T1532" s="22">
        <f>IF($D1532="","",IF(AND($C1532&lt;&gt;"",$Q1532="Có",$R1532="",$S1532="Có",AND($L1532&lt;&gt;"",OR($L1532&lt;&gt;"Chưa xác định",DANH_MUC!$L$9="Có"))),"Có","Không"))</f>
        <v/>
      </c>
      <c r="U1532" s="22">
        <f>IF(OR($D1532="",$T1532="Có"),"",IF($C1532="","Thiếu họ tên; ","")&amp;IF($S1532&lt;&gt;"Có","SĐT sai định dạng; ","")&amp;IF($R1532="Trùng","Trùng SĐT; ","")&amp;IF($Q1532&lt;&gt;"Có","Thiếu đồng ý bắt buộc; ","")&amp;IF($L1532="","Thiếu/sai Mã REF; ",IF(AND($L1532="Chưa xác định",DANH_MUC!$L$9&lt;&gt;"Có"),"Nguồn chưa xác định; ","")))</f>
        <v/>
      </c>
      <c r="V1532" s="22">
        <f>IF(OR($D1532="",$R1532="Trùng"),"",IF(COUNTIF(ORDERS!$C$2:$C$4995,$D1532)&gt;0,"Có","Không"))</f>
        <v/>
      </c>
      <c r="W1532" s="22">
        <f>IF(OR($D1532="",$R1532="Trùng"),"",COUNTIFS(ORDERS!$C$2:$C$4995,$D1532,ORDERS!$L$2:$L$4995,"Đã chuyển khoản"))</f>
        <v/>
      </c>
      <c r="X1532" s="23">
        <f>IF(OR($D1532="",$R1532="Trùng"),"",SUMIFS(ORDERS!$J$2:$J$4995,ORDERS!$C$2:$C$4995,$D1532,ORDERS!$L$2:$L$4995,"Đã chuyển khoản"))</f>
        <v/>
      </c>
      <c r="Y1532" s="24" t="n"/>
    </row>
    <row r="1533" ht="14.25" customHeight="1" s="40">
      <c r="A1533" s="24" t="n"/>
      <c r="B1533" s="27" t="n"/>
      <c r="C1533" s="24" t="n"/>
      <c r="D1533" s="28" t="n"/>
      <c r="E1533" s="29" t="n"/>
      <c r="F1533" s="24" t="n"/>
      <c r="G1533" s="24" t="n"/>
      <c r="H1533" s="21">
        <f>IF(ISNUMBER($B1533),INT($B1533)-WEEKDAY($B1533,2)+1,"")</f>
        <v/>
      </c>
      <c r="I1533" s="24" t="n"/>
      <c r="J1533" s="22">
        <f t="array" ref="J1533">IF($D1533="","",IF($I1533="","(trống REF)",IFERROR(INDEX(MASTER_SOURCE!$B$2:$B$495,MATCH($I1533,MASTER_SOURCE!$A$2:$A$495,0)),"(REF không có trong MASTER_SOURCE)")))</f>
        <v/>
      </c>
      <c r="K1533" s="22">
        <f t="array" ref="K1533">IF($D1533="","",IFERROR(INDEX(MASTER_SOURCE!$C$2:$C$495,MATCH($I1533,MASTER_SOURCE!$A$2:$A$495,0)),""))</f>
        <v/>
      </c>
      <c r="L1533" s="22">
        <f t="array" ref="L1533">IF($D1533="","",IFERROR(INDEX(MASTER_SOURCE!$D$2:$D$495,MATCH($I1533,MASTER_SOURCE!$A$2:$A$495,0)),""))</f>
        <v/>
      </c>
      <c r="M1533" s="24" t="n"/>
      <c r="N1533" s="24" t="n"/>
      <c r="O1533" s="24" t="n"/>
      <c r="P1533" s="24" t="n"/>
      <c r="Q1533" s="22">
        <f>IF($D1533="","",IF(AND(OR(DANH_MUC!$L$5&lt;&gt;"Có",M1533="Có"),OR(DANH_MUC!$L$6&lt;&gt;"Có",N1533="Có"),OR(DANH_MUC!$L$7&lt;&gt;"Có",O1533="Có"),OR(DANH_MUC!$L$8&lt;&gt;"Có",P1533="Có")),"Có","Không"))</f>
        <v/>
      </c>
      <c r="R1533" s="22">
        <f>IF($D1533="","",IF(COUNTIF($D$2:$D1533,$D1533)&gt;1,"Trùng",""))</f>
        <v/>
      </c>
      <c r="S1533" s="22">
        <f>IF($D1533="","",IF(AND(LEN($D1533)=10,LEFT($D1533,1)="0",ISNUMBER(--$D1533)),"Có","Không"))</f>
        <v/>
      </c>
      <c r="T1533" s="22">
        <f>IF($D1533="","",IF(AND($C1533&lt;&gt;"",$Q1533="Có",$R1533="",$S1533="Có",AND($L1533&lt;&gt;"",OR($L1533&lt;&gt;"Chưa xác định",DANH_MUC!$L$9="Có"))),"Có","Không"))</f>
        <v/>
      </c>
      <c r="U1533" s="22">
        <f>IF(OR($D1533="",$T1533="Có"),"",IF($C1533="","Thiếu họ tên; ","")&amp;IF($S1533&lt;&gt;"Có","SĐT sai định dạng; ","")&amp;IF($R1533="Trùng","Trùng SĐT; ","")&amp;IF($Q1533&lt;&gt;"Có","Thiếu đồng ý bắt buộc; ","")&amp;IF($L1533="","Thiếu/sai Mã REF; ",IF(AND($L1533="Chưa xác định",DANH_MUC!$L$9&lt;&gt;"Có"),"Nguồn chưa xác định; ","")))</f>
        <v/>
      </c>
      <c r="V1533" s="22">
        <f>IF(OR($D1533="",$R1533="Trùng"),"",IF(COUNTIF(ORDERS!$C$2:$C$4995,$D1533)&gt;0,"Có","Không"))</f>
        <v/>
      </c>
      <c r="W1533" s="22">
        <f>IF(OR($D1533="",$R1533="Trùng"),"",COUNTIFS(ORDERS!$C$2:$C$4995,$D1533,ORDERS!$L$2:$L$4995,"Đã chuyển khoản"))</f>
        <v/>
      </c>
      <c r="X1533" s="23">
        <f>IF(OR($D1533="",$R1533="Trùng"),"",SUMIFS(ORDERS!$J$2:$J$4995,ORDERS!$C$2:$C$4995,$D1533,ORDERS!$L$2:$L$4995,"Đã chuyển khoản"))</f>
        <v/>
      </c>
      <c r="Y1533" s="24" t="n"/>
    </row>
    <row r="1534" ht="14.25" customHeight="1" s="40">
      <c r="A1534" s="24" t="n"/>
      <c r="B1534" s="27" t="n"/>
      <c r="C1534" s="24" t="n"/>
      <c r="D1534" s="28" t="n"/>
      <c r="E1534" s="29" t="n"/>
      <c r="F1534" s="24" t="n"/>
      <c r="G1534" s="24" t="n"/>
      <c r="H1534" s="21">
        <f>IF(ISNUMBER($B1534),INT($B1534)-WEEKDAY($B1534,2)+1,"")</f>
        <v/>
      </c>
      <c r="I1534" s="24" t="n"/>
      <c r="J1534" s="22">
        <f t="array" ref="J1534">IF($D1534="","",IF($I1534="","(trống REF)",IFERROR(INDEX(MASTER_SOURCE!$B$2:$B$495,MATCH($I1534,MASTER_SOURCE!$A$2:$A$495,0)),"(REF không có trong MASTER_SOURCE)")))</f>
        <v/>
      </c>
      <c r="K1534" s="22">
        <f t="array" ref="K1534">IF($D1534="","",IFERROR(INDEX(MASTER_SOURCE!$C$2:$C$495,MATCH($I1534,MASTER_SOURCE!$A$2:$A$495,0)),""))</f>
        <v/>
      </c>
      <c r="L1534" s="22">
        <f t="array" ref="L1534">IF($D1534="","",IFERROR(INDEX(MASTER_SOURCE!$D$2:$D$495,MATCH($I1534,MASTER_SOURCE!$A$2:$A$495,0)),""))</f>
        <v/>
      </c>
      <c r="M1534" s="24" t="n"/>
      <c r="N1534" s="24" t="n"/>
      <c r="O1534" s="24" t="n"/>
      <c r="P1534" s="24" t="n"/>
      <c r="Q1534" s="22">
        <f>IF($D1534="","",IF(AND(OR(DANH_MUC!$L$5&lt;&gt;"Có",M1534="Có"),OR(DANH_MUC!$L$6&lt;&gt;"Có",N1534="Có"),OR(DANH_MUC!$L$7&lt;&gt;"Có",O1534="Có"),OR(DANH_MUC!$L$8&lt;&gt;"Có",P1534="Có")),"Có","Không"))</f>
        <v/>
      </c>
      <c r="R1534" s="22">
        <f>IF($D1534="","",IF(COUNTIF($D$2:$D1534,$D1534)&gt;1,"Trùng",""))</f>
        <v/>
      </c>
      <c r="S1534" s="22">
        <f>IF($D1534="","",IF(AND(LEN($D1534)=10,LEFT($D1534,1)="0",ISNUMBER(--$D1534)),"Có","Không"))</f>
        <v/>
      </c>
      <c r="T1534" s="22">
        <f>IF($D1534="","",IF(AND($C1534&lt;&gt;"",$Q1534="Có",$R1534="",$S1534="Có",AND($L1534&lt;&gt;"",OR($L1534&lt;&gt;"Chưa xác định",DANH_MUC!$L$9="Có"))),"Có","Không"))</f>
        <v/>
      </c>
      <c r="U1534" s="22">
        <f>IF(OR($D1534="",$T1534="Có"),"",IF($C1534="","Thiếu họ tên; ","")&amp;IF($S1534&lt;&gt;"Có","SĐT sai định dạng; ","")&amp;IF($R1534="Trùng","Trùng SĐT; ","")&amp;IF($Q1534&lt;&gt;"Có","Thiếu đồng ý bắt buộc; ","")&amp;IF($L1534="","Thiếu/sai Mã REF; ",IF(AND($L1534="Chưa xác định",DANH_MUC!$L$9&lt;&gt;"Có"),"Nguồn chưa xác định; ","")))</f>
        <v/>
      </c>
      <c r="V1534" s="22">
        <f>IF(OR($D1534="",$R1534="Trùng"),"",IF(COUNTIF(ORDERS!$C$2:$C$4995,$D1534)&gt;0,"Có","Không"))</f>
        <v/>
      </c>
      <c r="W1534" s="22">
        <f>IF(OR($D1534="",$R1534="Trùng"),"",COUNTIFS(ORDERS!$C$2:$C$4995,$D1534,ORDERS!$L$2:$L$4995,"Đã chuyển khoản"))</f>
        <v/>
      </c>
      <c r="X1534" s="23">
        <f>IF(OR($D1534="",$R1534="Trùng"),"",SUMIFS(ORDERS!$J$2:$J$4995,ORDERS!$C$2:$C$4995,$D1534,ORDERS!$L$2:$L$4995,"Đã chuyển khoản"))</f>
        <v/>
      </c>
      <c r="Y1534" s="24" t="n"/>
    </row>
    <row r="1535" ht="14.25" customHeight="1" s="40">
      <c r="A1535" s="24" t="n"/>
      <c r="B1535" s="27" t="n"/>
      <c r="C1535" s="24" t="n"/>
      <c r="D1535" s="28" t="n"/>
      <c r="E1535" s="29" t="n"/>
      <c r="F1535" s="24" t="n"/>
      <c r="G1535" s="24" t="n"/>
      <c r="H1535" s="21">
        <f>IF(ISNUMBER($B1535),INT($B1535)-WEEKDAY($B1535,2)+1,"")</f>
        <v/>
      </c>
      <c r="I1535" s="24" t="n"/>
      <c r="J1535" s="22">
        <f t="array" ref="J1535">IF($D1535="","",IF($I1535="","(trống REF)",IFERROR(INDEX(MASTER_SOURCE!$B$2:$B$495,MATCH($I1535,MASTER_SOURCE!$A$2:$A$495,0)),"(REF không có trong MASTER_SOURCE)")))</f>
        <v/>
      </c>
      <c r="K1535" s="22">
        <f t="array" ref="K1535">IF($D1535="","",IFERROR(INDEX(MASTER_SOURCE!$C$2:$C$495,MATCH($I1535,MASTER_SOURCE!$A$2:$A$495,0)),""))</f>
        <v/>
      </c>
      <c r="L1535" s="22">
        <f t="array" ref="L1535">IF($D1535="","",IFERROR(INDEX(MASTER_SOURCE!$D$2:$D$495,MATCH($I1535,MASTER_SOURCE!$A$2:$A$495,0)),""))</f>
        <v/>
      </c>
      <c r="M1535" s="24" t="n"/>
      <c r="N1535" s="24" t="n"/>
      <c r="O1535" s="24" t="n"/>
      <c r="P1535" s="24" t="n"/>
      <c r="Q1535" s="22">
        <f>IF($D1535="","",IF(AND(OR(DANH_MUC!$L$5&lt;&gt;"Có",M1535="Có"),OR(DANH_MUC!$L$6&lt;&gt;"Có",N1535="Có"),OR(DANH_MUC!$L$7&lt;&gt;"Có",O1535="Có"),OR(DANH_MUC!$L$8&lt;&gt;"Có",P1535="Có")),"Có","Không"))</f>
        <v/>
      </c>
      <c r="R1535" s="22">
        <f>IF($D1535="","",IF(COUNTIF($D$2:$D1535,$D1535)&gt;1,"Trùng",""))</f>
        <v/>
      </c>
      <c r="S1535" s="22">
        <f>IF($D1535="","",IF(AND(LEN($D1535)=10,LEFT($D1535,1)="0",ISNUMBER(--$D1535)),"Có","Không"))</f>
        <v/>
      </c>
      <c r="T1535" s="22">
        <f>IF($D1535="","",IF(AND($C1535&lt;&gt;"",$Q1535="Có",$R1535="",$S1535="Có",AND($L1535&lt;&gt;"",OR($L1535&lt;&gt;"Chưa xác định",DANH_MUC!$L$9="Có"))),"Có","Không"))</f>
        <v/>
      </c>
      <c r="U1535" s="22">
        <f>IF(OR($D1535="",$T1535="Có"),"",IF($C1535="","Thiếu họ tên; ","")&amp;IF($S1535&lt;&gt;"Có","SĐT sai định dạng; ","")&amp;IF($R1535="Trùng","Trùng SĐT; ","")&amp;IF($Q1535&lt;&gt;"Có","Thiếu đồng ý bắt buộc; ","")&amp;IF($L1535="","Thiếu/sai Mã REF; ",IF(AND($L1535="Chưa xác định",DANH_MUC!$L$9&lt;&gt;"Có"),"Nguồn chưa xác định; ","")))</f>
        <v/>
      </c>
      <c r="V1535" s="22">
        <f>IF(OR($D1535="",$R1535="Trùng"),"",IF(COUNTIF(ORDERS!$C$2:$C$4995,$D1535)&gt;0,"Có","Không"))</f>
        <v/>
      </c>
      <c r="W1535" s="22">
        <f>IF(OR($D1535="",$R1535="Trùng"),"",COUNTIFS(ORDERS!$C$2:$C$4995,$D1535,ORDERS!$L$2:$L$4995,"Đã chuyển khoản"))</f>
        <v/>
      </c>
      <c r="X1535" s="23">
        <f>IF(OR($D1535="",$R1535="Trùng"),"",SUMIFS(ORDERS!$J$2:$J$4995,ORDERS!$C$2:$C$4995,$D1535,ORDERS!$L$2:$L$4995,"Đã chuyển khoản"))</f>
        <v/>
      </c>
      <c r="Y1535" s="24" t="n"/>
    </row>
    <row r="1536" ht="14.25" customHeight="1" s="40">
      <c r="A1536" s="24" t="n"/>
      <c r="B1536" s="27" t="n"/>
      <c r="C1536" s="24" t="n"/>
      <c r="D1536" s="28" t="n"/>
      <c r="E1536" s="29" t="n"/>
      <c r="F1536" s="24" t="n"/>
      <c r="G1536" s="24" t="n"/>
      <c r="H1536" s="21">
        <f>IF(ISNUMBER($B1536),INT($B1536)-WEEKDAY($B1536,2)+1,"")</f>
        <v/>
      </c>
      <c r="I1536" s="24" t="n"/>
      <c r="J1536" s="22">
        <f t="array" ref="J1536">IF($D1536="","",IF($I1536="","(trống REF)",IFERROR(INDEX(MASTER_SOURCE!$B$2:$B$495,MATCH($I1536,MASTER_SOURCE!$A$2:$A$495,0)),"(REF không có trong MASTER_SOURCE)")))</f>
        <v/>
      </c>
      <c r="K1536" s="22">
        <f t="array" ref="K1536">IF($D1536="","",IFERROR(INDEX(MASTER_SOURCE!$C$2:$C$495,MATCH($I1536,MASTER_SOURCE!$A$2:$A$495,0)),""))</f>
        <v/>
      </c>
      <c r="L1536" s="22">
        <f t="array" ref="L1536">IF($D1536="","",IFERROR(INDEX(MASTER_SOURCE!$D$2:$D$495,MATCH($I1536,MASTER_SOURCE!$A$2:$A$495,0)),""))</f>
        <v/>
      </c>
      <c r="M1536" s="24" t="n"/>
      <c r="N1536" s="24" t="n"/>
      <c r="O1536" s="24" t="n"/>
      <c r="P1536" s="24" t="n"/>
      <c r="Q1536" s="22">
        <f>IF($D1536="","",IF(AND(OR(DANH_MUC!$L$5&lt;&gt;"Có",M1536="Có"),OR(DANH_MUC!$L$6&lt;&gt;"Có",N1536="Có"),OR(DANH_MUC!$L$7&lt;&gt;"Có",O1536="Có"),OR(DANH_MUC!$L$8&lt;&gt;"Có",P1536="Có")),"Có","Không"))</f>
        <v/>
      </c>
      <c r="R1536" s="22">
        <f>IF($D1536="","",IF(COUNTIF($D$2:$D1536,$D1536)&gt;1,"Trùng",""))</f>
        <v/>
      </c>
      <c r="S1536" s="22">
        <f>IF($D1536="","",IF(AND(LEN($D1536)=10,LEFT($D1536,1)="0",ISNUMBER(--$D1536)),"Có","Không"))</f>
        <v/>
      </c>
      <c r="T1536" s="22">
        <f>IF($D1536="","",IF(AND($C1536&lt;&gt;"",$Q1536="Có",$R1536="",$S1536="Có",AND($L1536&lt;&gt;"",OR($L1536&lt;&gt;"Chưa xác định",DANH_MUC!$L$9="Có"))),"Có","Không"))</f>
        <v/>
      </c>
      <c r="U1536" s="22">
        <f>IF(OR($D1536="",$T1536="Có"),"",IF($C1536="","Thiếu họ tên; ","")&amp;IF($S1536&lt;&gt;"Có","SĐT sai định dạng; ","")&amp;IF($R1536="Trùng","Trùng SĐT; ","")&amp;IF($Q1536&lt;&gt;"Có","Thiếu đồng ý bắt buộc; ","")&amp;IF($L1536="","Thiếu/sai Mã REF; ",IF(AND($L1536="Chưa xác định",DANH_MUC!$L$9&lt;&gt;"Có"),"Nguồn chưa xác định; ","")))</f>
        <v/>
      </c>
      <c r="V1536" s="22">
        <f>IF(OR($D1536="",$R1536="Trùng"),"",IF(COUNTIF(ORDERS!$C$2:$C$4995,$D1536)&gt;0,"Có","Không"))</f>
        <v/>
      </c>
      <c r="W1536" s="22">
        <f>IF(OR($D1536="",$R1536="Trùng"),"",COUNTIFS(ORDERS!$C$2:$C$4995,$D1536,ORDERS!$L$2:$L$4995,"Đã chuyển khoản"))</f>
        <v/>
      </c>
      <c r="X1536" s="23">
        <f>IF(OR($D1536="",$R1536="Trùng"),"",SUMIFS(ORDERS!$J$2:$J$4995,ORDERS!$C$2:$C$4995,$D1536,ORDERS!$L$2:$L$4995,"Đã chuyển khoản"))</f>
        <v/>
      </c>
      <c r="Y1536" s="24" t="n"/>
    </row>
    <row r="1537" ht="14.25" customHeight="1" s="40">
      <c r="A1537" s="24" t="n"/>
      <c r="B1537" s="27" t="n"/>
      <c r="C1537" s="24" t="n"/>
      <c r="D1537" s="28" t="n"/>
      <c r="E1537" s="29" t="n"/>
      <c r="F1537" s="24" t="n"/>
      <c r="G1537" s="24" t="n"/>
      <c r="H1537" s="21">
        <f>IF(ISNUMBER($B1537),INT($B1537)-WEEKDAY($B1537,2)+1,"")</f>
        <v/>
      </c>
      <c r="I1537" s="24" t="n"/>
      <c r="J1537" s="22">
        <f t="array" ref="J1537">IF($D1537="","",IF($I1537="","(trống REF)",IFERROR(INDEX(MASTER_SOURCE!$B$2:$B$495,MATCH($I1537,MASTER_SOURCE!$A$2:$A$495,0)),"(REF không có trong MASTER_SOURCE)")))</f>
        <v/>
      </c>
      <c r="K1537" s="22">
        <f t="array" ref="K1537">IF($D1537="","",IFERROR(INDEX(MASTER_SOURCE!$C$2:$C$495,MATCH($I1537,MASTER_SOURCE!$A$2:$A$495,0)),""))</f>
        <v/>
      </c>
      <c r="L1537" s="22">
        <f t="array" ref="L1537">IF($D1537="","",IFERROR(INDEX(MASTER_SOURCE!$D$2:$D$495,MATCH($I1537,MASTER_SOURCE!$A$2:$A$495,0)),""))</f>
        <v/>
      </c>
      <c r="M1537" s="24" t="n"/>
      <c r="N1537" s="24" t="n"/>
      <c r="O1537" s="24" t="n"/>
      <c r="P1537" s="24" t="n"/>
      <c r="Q1537" s="22">
        <f>IF($D1537="","",IF(AND(OR(DANH_MUC!$L$5&lt;&gt;"Có",M1537="Có"),OR(DANH_MUC!$L$6&lt;&gt;"Có",N1537="Có"),OR(DANH_MUC!$L$7&lt;&gt;"Có",O1537="Có"),OR(DANH_MUC!$L$8&lt;&gt;"Có",P1537="Có")),"Có","Không"))</f>
        <v/>
      </c>
      <c r="R1537" s="22">
        <f>IF($D1537="","",IF(COUNTIF($D$2:$D1537,$D1537)&gt;1,"Trùng",""))</f>
        <v/>
      </c>
      <c r="S1537" s="22">
        <f>IF($D1537="","",IF(AND(LEN($D1537)=10,LEFT($D1537,1)="0",ISNUMBER(--$D1537)),"Có","Không"))</f>
        <v/>
      </c>
      <c r="T1537" s="22">
        <f>IF($D1537="","",IF(AND($C1537&lt;&gt;"",$Q1537="Có",$R1537="",$S1537="Có",AND($L1537&lt;&gt;"",OR($L1537&lt;&gt;"Chưa xác định",DANH_MUC!$L$9="Có"))),"Có","Không"))</f>
        <v/>
      </c>
      <c r="U1537" s="22">
        <f>IF(OR($D1537="",$T1537="Có"),"",IF($C1537="","Thiếu họ tên; ","")&amp;IF($S1537&lt;&gt;"Có","SĐT sai định dạng; ","")&amp;IF($R1537="Trùng","Trùng SĐT; ","")&amp;IF($Q1537&lt;&gt;"Có","Thiếu đồng ý bắt buộc; ","")&amp;IF($L1537="","Thiếu/sai Mã REF; ",IF(AND($L1537="Chưa xác định",DANH_MUC!$L$9&lt;&gt;"Có"),"Nguồn chưa xác định; ","")))</f>
        <v/>
      </c>
      <c r="V1537" s="22">
        <f>IF(OR($D1537="",$R1537="Trùng"),"",IF(COUNTIF(ORDERS!$C$2:$C$4995,$D1537)&gt;0,"Có","Không"))</f>
        <v/>
      </c>
      <c r="W1537" s="22">
        <f>IF(OR($D1537="",$R1537="Trùng"),"",COUNTIFS(ORDERS!$C$2:$C$4995,$D1537,ORDERS!$L$2:$L$4995,"Đã chuyển khoản"))</f>
        <v/>
      </c>
      <c r="X1537" s="23">
        <f>IF(OR($D1537="",$R1537="Trùng"),"",SUMIFS(ORDERS!$J$2:$J$4995,ORDERS!$C$2:$C$4995,$D1537,ORDERS!$L$2:$L$4995,"Đã chuyển khoản"))</f>
        <v/>
      </c>
      <c r="Y1537" s="24" t="n"/>
    </row>
    <row r="1538" ht="14.25" customHeight="1" s="40">
      <c r="A1538" s="24" t="n"/>
      <c r="B1538" s="27" t="n"/>
      <c r="C1538" s="24" t="n"/>
      <c r="D1538" s="28" t="n"/>
      <c r="E1538" s="29" t="n"/>
      <c r="F1538" s="24" t="n"/>
      <c r="G1538" s="24" t="n"/>
      <c r="H1538" s="21">
        <f>IF(ISNUMBER($B1538),INT($B1538)-WEEKDAY($B1538,2)+1,"")</f>
        <v/>
      </c>
      <c r="I1538" s="24" t="n"/>
      <c r="J1538" s="22">
        <f t="array" ref="J1538">IF($D1538="","",IF($I1538="","(trống REF)",IFERROR(INDEX(MASTER_SOURCE!$B$2:$B$495,MATCH($I1538,MASTER_SOURCE!$A$2:$A$495,0)),"(REF không có trong MASTER_SOURCE)")))</f>
        <v/>
      </c>
      <c r="K1538" s="22">
        <f t="array" ref="K1538">IF($D1538="","",IFERROR(INDEX(MASTER_SOURCE!$C$2:$C$495,MATCH($I1538,MASTER_SOURCE!$A$2:$A$495,0)),""))</f>
        <v/>
      </c>
      <c r="L1538" s="22">
        <f t="array" ref="L1538">IF($D1538="","",IFERROR(INDEX(MASTER_SOURCE!$D$2:$D$495,MATCH($I1538,MASTER_SOURCE!$A$2:$A$495,0)),""))</f>
        <v/>
      </c>
      <c r="M1538" s="24" t="n"/>
      <c r="N1538" s="24" t="n"/>
      <c r="O1538" s="24" t="n"/>
      <c r="P1538" s="24" t="n"/>
      <c r="Q1538" s="22">
        <f>IF($D1538="","",IF(AND(OR(DANH_MUC!$L$5&lt;&gt;"Có",M1538="Có"),OR(DANH_MUC!$L$6&lt;&gt;"Có",N1538="Có"),OR(DANH_MUC!$L$7&lt;&gt;"Có",O1538="Có"),OR(DANH_MUC!$L$8&lt;&gt;"Có",P1538="Có")),"Có","Không"))</f>
        <v/>
      </c>
      <c r="R1538" s="22">
        <f>IF($D1538="","",IF(COUNTIF($D$2:$D1538,$D1538)&gt;1,"Trùng",""))</f>
        <v/>
      </c>
      <c r="S1538" s="22">
        <f>IF($D1538="","",IF(AND(LEN($D1538)=10,LEFT($D1538,1)="0",ISNUMBER(--$D1538)),"Có","Không"))</f>
        <v/>
      </c>
      <c r="T1538" s="22">
        <f>IF($D1538="","",IF(AND($C1538&lt;&gt;"",$Q1538="Có",$R1538="",$S1538="Có",AND($L1538&lt;&gt;"",OR($L1538&lt;&gt;"Chưa xác định",DANH_MUC!$L$9="Có"))),"Có","Không"))</f>
        <v/>
      </c>
      <c r="U1538" s="22">
        <f>IF(OR($D1538="",$T1538="Có"),"",IF($C1538="","Thiếu họ tên; ","")&amp;IF($S1538&lt;&gt;"Có","SĐT sai định dạng; ","")&amp;IF($R1538="Trùng","Trùng SĐT; ","")&amp;IF($Q1538&lt;&gt;"Có","Thiếu đồng ý bắt buộc; ","")&amp;IF($L1538="","Thiếu/sai Mã REF; ",IF(AND($L1538="Chưa xác định",DANH_MUC!$L$9&lt;&gt;"Có"),"Nguồn chưa xác định; ","")))</f>
        <v/>
      </c>
      <c r="V1538" s="22">
        <f>IF(OR($D1538="",$R1538="Trùng"),"",IF(COUNTIF(ORDERS!$C$2:$C$4995,$D1538)&gt;0,"Có","Không"))</f>
        <v/>
      </c>
      <c r="W1538" s="22">
        <f>IF(OR($D1538="",$R1538="Trùng"),"",COUNTIFS(ORDERS!$C$2:$C$4995,$D1538,ORDERS!$L$2:$L$4995,"Đã chuyển khoản"))</f>
        <v/>
      </c>
      <c r="X1538" s="23">
        <f>IF(OR($D1538="",$R1538="Trùng"),"",SUMIFS(ORDERS!$J$2:$J$4995,ORDERS!$C$2:$C$4995,$D1538,ORDERS!$L$2:$L$4995,"Đã chuyển khoản"))</f>
        <v/>
      </c>
      <c r="Y1538" s="24" t="n"/>
    </row>
    <row r="1539" ht="14.25" customHeight="1" s="40">
      <c r="A1539" s="24" t="n"/>
      <c r="B1539" s="27" t="n"/>
      <c r="C1539" s="24" t="n"/>
      <c r="D1539" s="28" t="n"/>
      <c r="E1539" s="29" t="n"/>
      <c r="F1539" s="24" t="n"/>
      <c r="G1539" s="24" t="n"/>
      <c r="H1539" s="21">
        <f>IF(ISNUMBER($B1539),INT($B1539)-WEEKDAY($B1539,2)+1,"")</f>
        <v/>
      </c>
      <c r="I1539" s="24" t="n"/>
      <c r="J1539" s="22">
        <f t="array" ref="J1539">IF($D1539="","",IF($I1539="","(trống REF)",IFERROR(INDEX(MASTER_SOURCE!$B$2:$B$495,MATCH($I1539,MASTER_SOURCE!$A$2:$A$495,0)),"(REF không có trong MASTER_SOURCE)")))</f>
        <v/>
      </c>
      <c r="K1539" s="22">
        <f t="array" ref="K1539">IF($D1539="","",IFERROR(INDEX(MASTER_SOURCE!$C$2:$C$495,MATCH($I1539,MASTER_SOURCE!$A$2:$A$495,0)),""))</f>
        <v/>
      </c>
      <c r="L1539" s="22">
        <f t="array" ref="L1539">IF($D1539="","",IFERROR(INDEX(MASTER_SOURCE!$D$2:$D$495,MATCH($I1539,MASTER_SOURCE!$A$2:$A$495,0)),""))</f>
        <v/>
      </c>
      <c r="M1539" s="24" t="n"/>
      <c r="N1539" s="24" t="n"/>
      <c r="O1539" s="24" t="n"/>
      <c r="P1539" s="24" t="n"/>
      <c r="Q1539" s="22">
        <f>IF($D1539="","",IF(AND(OR(DANH_MUC!$L$5&lt;&gt;"Có",M1539="Có"),OR(DANH_MUC!$L$6&lt;&gt;"Có",N1539="Có"),OR(DANH_MUC!$L$7&lt;&gt;"Có",O1539="Có"),OR(DANH_MUC!$L$8&lt;&gt;"Có",P1539="Có")),"Có","Không"))</f>
        <v/>
      </c>
      <c r="R1539" s="22">
        <f>IF($D1539="","",IF(COUNTIF($D$2:$D1539,$D1539)&gt;1,"Trùng",""))</f>
        <v/>
      </c>
      <c r="S1539" s="22">
        <f>IF($D1539="","",IF(AND(LEN($D1539)=10,LEFT($D1539,1)="0",ISNUMBER(--$D1539)),"Có","Không"))</f>
        <v/>
      </c>
      <c r="T1539" s="22">
        <f>IF($D1539="","",IF(AND($C1539&lt;&gt;"",$Q1539="Có",$R1539="",$S1539="Có",AND($L1539&lt;&gt;"",OR($L1539&lt;&gt;"Chưa xác định",DANH_MUC!$L$9="Có"))),"Có","Không"))</f>
        <v/>
      </c>
      <c r="U1539" s="22">
        <f>IF(OR($D1539="",$T1539="Có"),"",IF($C1539="","Thiếu họ tên; ","")&amp;IF($S1539&lt;&gt;"Có","SĐT sai định dạng; ","")&amp;IF($R1539="Trùng","Trùng SĐT; ","")&amp;IF($Q1539&lt;&gt;"Có","Thiếu đồng ý bắt buộc; ","")&amp;IF($L1539="","Thiếu/sai Mã REF; ",IF(AND($L1539="Chưa xác định",DANH_MUC!$L$9&lt;&gt;"Có"),"Nguồn chưa xác định; ","")))</f>
        <v/>
      </c>
      <c r="V1539" s="22">
        <f>IF(OR($D1539="",$R1539="Trùng"),"",IF(COUNTIF(ORDERS!$C$2:$C$4995,$D1539)&gt;0,"Có","Không"))</f>
        <v/>
      </c>
      <c r="W1539" s="22">
        <f>IF(OR($D1539="",$R1539="Trùng"),"",COUNTIFS(ORDERS!$C$2:$C$4995,$D1539,ORDERS!$L$2:$L$4995,"Đã chuyển khoản"))</f>
        <v/>
      </c>
      <c r="X1539" s="23">
        <f>IF(OR($D1539="",$R1539="Trùng"),"",SUMIFS(ORDERS!$J$2:$J$4995,ORDERS!$C$2:$C$4995,$D1539,ORDERS!$L$2:$L$4995,"Đã chuyển khoản"))</f>
        <v/>
      </c>
      <c r="Y1539" s="24" t="n"/>
    </row>
    <row r="1540" ht="14.25" customHeight="1" s="40">
      <c r="A1540" s="24" t="n"/>
      <c r="B1540" s="27" t="n"/>
      <c r="C1540" s="24" t="n"/>
      <c r="D1540" s="28" t="n"/>
      <c r="E1540" s="29" t="n"/>
      <c r="F1540" s="24" t="n"/>
      <c r="G1540" s="24" t="n"/>
      <c r="H1540" s="21">
        <f>IF(ISNUMBER($B1540),INT($B1540)-WEEKDAY($B1540,2)+1,"")</f>
        <v/>
      </c>
      <c r="I1540" s="24" t="n"/>
      <c r="J1540" s="22">
        <f t="array" ref="J1540">IF($D1540="","",IF($I1540="","(trống REF)",IFERROR(INDEX(MASTER_SOURCE!$B$2:$B$495,MATCH($I1540,MASTER_SOURCE!$A$2:$A$495,0)),"(REF không có trong MASTER_SOURCE)")))</f>
        <v/>
      </c>
      <c r="K1540" s="22">
        <f t="array" ref="K1540">IF($D1540="","",IFERROR(INDEX(MASTER_SOURCE!$C$2:$C$495,MATCH($I1540,MASTER_SOURCE!$A$2:$A$495,0)),""))</f>
        <v/>
      </c>
      <c r="L1540" s="22">
        <f t="array" ref="L1540">IF($D1540="","",IFERROR(INDEX(MASTER_SOURCE!$D$2:$D$495,MATCH($I1540,MASTER_SOURCE!$A$2:$A$495,0)),""))</f>
        <v/>
      </c>
      <c r="M1540" s="24" t="n"/>
      <c r="N1540" s="24" t="n"/>
      <c r="O1540" s="24" t="n"/>
      <c r="P1540" s="24" t="n"/>
      <c r="Q1540" s="22">
        <f>IF($D1540="","",IF(AND(OR(DANH_MUC!$L$5&lt;&gt;"Có",M1540="Có"),OR(DANH_MUC!$L$6&lt;&gt;"Có",N1540="Có"),OR(DANH_MUC!$L$7&lt;&gt;"Có",O1540="Có"),OR(DANH_MUC!$L$8&lt;&gt;"Có",P1540="Có")),"Có","Không"))</f>
        <v/>
      </c>
      <c r="R1540" s="22">
        <f>IF($D1540="","",IF(COUNTIF($D$2:$D1540,$D1540)&gt;1,"Trùng",""))</f>
        <v/>
      </c>
      <c r="S1540" s="22">
        <f>IF($D1540="","",IF(AND(LEN($D1540)=10,LEFT($D1540,1)="0",ISNUMBER(--$D1540)),"Có","Không"))</f>
        <v/>
      </c>
      <c r="T1540" s="22">
        <f>IF($D1540="","",IF(AND($C1540&lt;&gt;"",$Q1540="Có",$R1540="",$S1540="Có",AND($L1540&lt;&gt;"",OR($L1540&lt;&gt;"Chưa xác định",DANH_MUC!$L$9="Có"))),"Có","Không"))</f>
        <v/>
      </c>
      <c r="U1540" s="22">
        <f>IF(OR($D1540="",$T1540="Có"),"",IF($C1540="","Thiếu họ tên; ","")&amp;IF($S1540&lt;&gt;"Có","SĐT sai định dạng; ","")&amp;IF($R1540="Trùng","Trùng SĐT; ","")&amp;IF($Q1540&lt;&gt;"Có","Thiếu đồng ý bắt buộc; ","")&amp;IF($L1540="","Thiếu/sai Mã REF; ",IF(AND($L1540="Chưa xác định",DANH_MUC!$L$9&lt;&gt;"Có"),"Nguồn chưa xác định; ","")))</f>
        <v/>
      </c>
      <c r="V1540" s="22">
        <f>IF(OR($D1540="",$R1540="Trùng"),"",IF(COUNTIF(ORDERS!$C$2:$C$4995,$D1540)&gt;0,"Có","Không"))</f>
        <v/>
      </c>
      <c r="W1540" s="22">
        <f>IF(OR($D1540="",$R1540="Trùng"),"",COUNTIFS(ORDERS!$C$2:$C$4995,$D1540,ORDERS!$L$2:$L$4995,"Đã chuyển khoản"))</f>
        <v/>
      </c>
      <c r="X1540" s="23">
        <f>IF(OR($D1540="",$R1540="Trùng"),"",SUMIFS(ORDERS!$J$2:$J$4995,ORDERS!$C$2:$C$4995,$D1540,ORDERS!$L$2:$L$4995,"Đã chuyển khoản"))</f>
        <v/>
      </c>
      <c r="Y1540" s="24" t="n"/>
    </row>
    <row r="1541" ht="14.25" customHeight="1" s="40">
      <c r="A1541" s="24" t="n"/>
      <c r="B1541" s="27" t="n"/>
      <c r="C1541" s="24" t="n"/>
      <c r="D1541" s="28" t="n"/>
      <c r="E1541" s="29" t="n"/>
      <c r="F1541" s="24" t="n"/>
      <c r="G1541" s="24" t="n"/>
      <c r="H1541" s="21">
        <f>IF(ISNUMBER($B1541),INT($B1541)-WEEKDAY($B1541,2)+1,"")</f>
        <v/>
      </c>
      <c r="I1541" s="24" t="n"/>
      <c r="J1541" s="22">
        <f t="array" ref="J1541">IF($D1541="","",IF($I1541="","(trống REF)",IFERROR(INDEX(MASTER_SOURCE!$B$2:$B$495,MATCH($I1541,MASTER_SOURCE!$A$2:$A$495,0)),"(REF không có trong MASTER_SOURCE)")))</f>
        <v/>
      </c>
      <c r="K1541" s="22">
        <f t="array" ref="K1541">IF($D1541="","",IFERROR(INDEX(MASTER_SOURCE!$C$2:$C$495,MATCH($I1541,MASTER_SOURCE!$A$2:$A$495,0)),""))</f>
        <v/>
      </c>
      <c r="L1541" s="22">
        <f t="array" ref="L1541">IF($D1541="","",IFERROR(INDEX(MASTER_SOURCE!$D$2:$D$495,MATCH($I1541,MASTER_SOURCE!$A$2:$A$495,0)),""))</f>
        <v/>
      </c>
      <c r="M1541" s="24" t="n"/>
      <c r="N1541" s="24" t="n"/>
      <c r="O1541" s="24" t="n"/>
      <c r="P1541" s="24" t="n"/>
      <c r="Q1541" s="22">
        <f>IF($D1541="","",IF(AND(OR(DANH_MUC!$L$5&lt;&gt;"Có",M1541="Có"),OR(DANH_MUC!$L$6&lt;&gt;"Có",N1541="Có"),OR(DANH_MUC!$L$7&lt;&gt;"Có",O1541="Có"),OR(DANH_MUC!$L$8&lt;&gt;"Có",P1541="Có")),"Có","Không"))</f>
        <v/>
      </c>
      <c r="R1541" s="22">
        <f>IF($D1541="","",IF(COUNTIF($D$2:$D1541,$D1541)&gt;1,"Trùng",""))</f>
        <v/>
      </c>
      <c r="S1541" s="22">
        <f>IF($D1541="","",IF(AND(LEN($D1541)=10,LEFT($D1541,1)="0",ISNUMBER(--$D1541)),"Có","Không"))</f>
        <v/>
      </c>
      <c r="T1541" s="22">
        <f>IF($D1541="","",IF(AND($C1541&lt;&gt;"",$Q1541="Có",$R1541="",$S1541="Có",AND($L1541&lt;&gt;"",OR($L1541&lt;&gt;"Chưa xác định",DANH_MUC!$L$9="Có"))),"Có","Không"))</f>
        <v/>
      </c>
      <c r="U1541" s="22">
        <f>IF(OR($D1541="",$T1541="Có"),"",IF($C1541="","Thiếu họ tên; ","")&amp;IF($S1541&lt;&gt;"Có","SĐT sai định dạng; ","")&amp;IF($R1541="Trùng","Trùng SĐT; ","")&amp;IF($Q1541&lt;&gt;"Có","Thiếu đồng ý bắt buộc; ","")&amp;IF($L1541="","Thiếu/sai Mã REF; ",IF(AND($L1541="Chưa xác định",DANH_MUC!$L$9&lt;&gt;"Có"),"Nguồn chưa xác định; ","")))</f>
        <v/>
      </c>
      <c r="V1541" s="22">
        <f>IF(OR($D1541="",$R1541="Trùng"),"",IF(COUNTIF(ORDERS!$C$2:$C$4995,$D1541)&gt;0,"Có","Không"))</f>
        <v/>
      </c>
      <c r="W1541" s="22">
        <f>IF(OR($D1541="",$R1541="Trùng"),"",COUNTIFS(ORDERS!$C$2:$C$4995,$D1541,ORDERS!$L$2:$L$4995,"Đã chuyển khoản"))</f>
        <v/>
      </c>
      <c r="X1541" s="23">
        <f>IF(OR($D1541="",$R1541="Trùng"),"",SUMIFS(ORDERS!$J$2:$J$4995,ORDERS!$C$2:$C$4995,$D1541,ORDERS!$L$2:$L$4995,"Đã chuyển khoản"))</f>
        <v/>
      </c>
      <c r="Y1541" s="24" t="n"/>
    </row>
    <row r="1542" ht="14.25" customHeight="1" s="40">
      <c r="A1542" s="24" t="n"/>
      <c r="B1542" s="27" t="n"/>
      <c r="C1542" s="24" t="n"/>
      <c r="D1542" s="28" t="n"/>
      <c r="E1542" s="29" t="n"/>
      <c r="F1542" s="24" t="n"/>
      <c r="G1542" s="24" t="n"/>
      <c r="H1542" s="21">
        <f>IF(ISNUMBER($B1542),INT($B1542)-WEEKDAY($B1542,2)+1,"")</f>
        <v/>
      </c>
      <c r="I1542" s="24" t="n"/>
      <c r="J1542" s="22">
        <f t="array" ref="J1542">IF($D1542="","",IF($I1542="","(trống REF)",IFERROR(INDEX(MASTER_SOURCE!$B$2:$B$495,MATCH($I1542,MASTER_SOURCE!$A$2:$A$495,0)),"(REF không có trong MASTER_SOURCE)")))</f>
        <v/>
      </c>
      <c r="K1542" s="22">
        <f t="array" ref="K1542">IF($D1542="","",IFERROR(INDEX(MASTER_SOURCE!$C$2:$C$495,MATCH($I1542,MASTER_SOURCE!$A$2:$A$495,0)),""))</f>
        <v/>
      </c>
      <c r="L1542" s="22">
        <f t="array" ref="L1542">IF($D1542="","",IFERROR(INDEX(MASTER_SOURCE!$D$2:$D$495,MATCH($I1542,MASTER_SOURCE!$A$2:$A$495,0)),""))</f>
        <v/>
      </c>
      <c r="M1542" s="24" t="n"/>
      <c r="N1542" s="24" t="n"/>
      <c r="O1542" s="24" t="n"/>
      <c r="P1542" s="24" t="n"/>
      <c r="Q1542" s="22">
        <f>IF($D1542="","",IF(AND(OR(DANH_MUC!$L$5&lt;&gt;"Có",M1542="Có"),OR(DANH_MUC!$L$6&lt;&gt;"Có",N1542="Có"),OR(DANH_MUC!$L$7&lt;&gt;"Có",O1542="Có"),OR(DANH_MUC!$L$8&lt;&gt;"Có",P1542="Có")),"Có","Không"))</f>
        <v/>
      </c>
      <c r="R1542" s="22">
        <f>IF($D1542="","",IF(COUNTIF($D$2:$D1542,$D1542)&gt;1,"Trùng",""))</f>
        <v/>
      </c>
      <c r="S1542" s="22">
        <f>IF($D1542="","",IF(AND(LEN($D1542)=10,LEFT($D1542,1)="0",ISNUMBER(--$D1542)),"Có","Không"))</f>
        <v/>
      </c>
      <c r="T1542" s="22">
        <f>IF($D1542="","",IF(AND($C1542&lt;&gt;"",$Q1542="Có",$R1542="",$S1542="Có",AND($L1542&lt;&gt;"",OR($L1542&lt;&gt;"Chưa xác định",DANH_MUC!$L$9="Có"))),"Có","Không"))</f>
        <v/>
      </c>
      <c r="U1542" s="22">
        <f>IF(OR($D1542="",$T1542="Có"),"",IF($C1542="","Thiếu họ tên; ","")&amp;IF($S1542&lt;&gt;"Có","SĐT sai định dạng; ","")&amp;IF($R1542="Trùng","Trùng SĐT; ","")&amp;IF($Q1542&lt;&gt;"Có","Thiếu đồng ý bắt buộc; ","")&amp;IF($L1542="","Thiếu/sai Mã REF; ",IF(AND($L1542="Chưa xác định",DANH_MUC!$L$9&lt;&gt;"Có"),"Nguồn chưa xác định; ","")))</f>
        <v/>
      </c>
      <c r="V1542" s="22">
        <f>IF(OR($D1542="",$R1542="Trùng"),"",IF(COUNTIF(ORDERS!$C$2:$C$4995,$D1542)&gt;0,"Có","Không"))</f>
        <v/>
      </c>
      <c r="W1542" s="22">
        <f>IF(OR($D1542="",$R1542="Trùng"),"",COUNTIFS(ORDERS!$C$2:$C$4995,$D1542,ORDERS!$L$2:$L$4995,"Đã chuyển khoản"))</f>
        <v/>
      </c>
      <c r="X1542" s="23">
        <f>IF(OR($D1542="",$R1542="Trùng"),"",SUMIFS(ORDERS!$J$2:$J$4995,ORDERS!$C$2:$C$4995,$D1542,ORDERS!$L$2:$L$4995,"Đã chuyển khoản"))</f>
        <v/>
      </c>
      <c r="Y1542" s="24" t="n"/>
    </row>
    <row r="1543" ht="14.25" customHeight="1" s="40">
      <c r="A1543" s="24" t="n"/>
      <c r="B1543" s="27" t="n"/>
      <c r="C1543" s="24" t="n"/>
      <c r="D1543" s="28" t="n"/>
      <c r="E1543" s="29" t="n"/>
      <c r="F1543" s="24" t="n"/>
      <c r="G1543" s="24" t="n"/>
      <c r="H1543" s="21">
        <f>IF(ISNUMBER($B1543),INT($B1543)-WEEKDAY($B1543,2)+1,"")</f>
        <v/>
      </c>
      <c r="I1543" s="24" t="n"/>
      <c r="J1543" s="22">
        <f t="array" ref="J1543">IF($D1543="","",IF($I1543="","(trống REF)",IFERROR(INDEX(MASTER_SOURCE!$B$2:$B$495,MATCH($I1543,MASTER_SOURCE!$A$2:$A$495,0)),"(REF không có trong MASTER_SOURCE)")))</f>
        <v/>
      </c>
      <c r="K1543" s="22">
        <f t="array" ref="K1543">IF($D1543="","",IFERROR(INDEX(MASTER_SOURCE!$C$2:$C$495,MATCH($I1543,MASTER_SOURCE!$A$2:$A$495,0)),""))</f>
        <v/>
      </c>
      <c r="L1543" s="22">
        <f t="array" ref="L1543">IF($D1543="","",IFERROR(INDEX(MASTER_SOURCE!$D$2:$D$495,MATCH($I1543,MASTER_SOURCE!$A$2:$A$495,0)),""))</f>
        <v/>
      </c>
      <c r="M1543" s="24" t="n"/>
      <c r="N1543" s="24" t="n"/>
      <c r="O1543" s="24" t="n"/>
      <c r="P1543" s="24" t="n"/>
      <c r="Q1543" s="22">
        <f>IF($D1543="","",IF(AND(OR(DANH_MUC!$L$5&lt;&gt;"Có",M1543="Có"),OR(DANH_MUC!$L$6&lt;&gt;"Có",N1543="Có"),OR(DANH_MUC!$L$7&lt;&gt;"Có",O1543="Có"),OR(DANH_MUC!$L$8&lt;&gt;"Có",P1543="Có")),"Có","Không"))</f>
        <v/>
      </c>
      <c r="R1543" s="22">
        <f>IF($D1543="","",IF(COUNTIF($D$2:$D1543,$D1543)&gt;1,"Trùng",""))</f>
        <v/>
      </c>
      <c r="S1543" s="22">
        <f>IF($D1543="","",IF(AND(LEN($D1543)=10,LEFT($D1543,1)="0",ISNUMBER(--$D1543)),"Có","Không"))</f>
        <v/>
      </c>
      <c r="T1543" s="22">
        <f>IF($D1543="","",IF(AND($C1543&lt;&gt;"",$Q1543="Có",$R1543="",$S1543="Có",AND($L1543&lt;&gt;"",OR($L1543&lt;&gt;"Chưa xác định",DANH_MUC!$L$9="Có"))),"Có","Không"))</f>
        <v/>
      </c>
      <c r="U1543" s="22">
        <f>IF(OR($D1543="",$T1543="Có"),"",IF($C1543="","Thiếu họ tên; ","")&amp;IF($S1543&lt;&gt;"Có","SĐT sai định dạng; ","")&amp;IF($R1543="Trùng","Trùng SĐT; ","")&amp;IF($Q1543&lt;&gt;"Có","Thiếu đồng ý bắt buộc; ","")&amp;IF($L1543="","Thiếu/sai Mã REF; ",IF(AND($L1543="Chưa xác định",DANH_MUC!$L$9&lt;&gt;"Có"),"Nguồn chưa xác định; ","")))</f>
        <v/>
      </c>
      <c r="V1543" s="22">
        <f>IF(OR($D1543="",$R1543="Trùng"),"",IF(COUNTIF(ORDERS!$C$2:$C$4995,$D1543)&gt;0,"Có","Không"))</f>
        <v/>
      </c>
      <c r="W1543" s="22">
        <f>IF(OR($D1543="",$R1543="Trùng"),"",COUNTIFS(ORDERS!$C$2:$C$4995,$D1543,ORDERS!$L$2:$L$4995,"Đã chuyển khoản"))</f>
        <v/>
      </c>
      <c r="X1543" s="23">
        <f>IF(OR($D1543="",$R1543="Trùng"),"",SUMIFS(ORDERS!$J$2:$J$4995,ORDERS!$C$2:$C$4995,$D1543,ORDERS!$L$2:$L$4995,"Đã chuyển khoản"))</f>
        <v/>
      </c>
      <c r="Y1543" s="24" t="n"/>
    </row>
    <row r="1544" ht="14.25" customHeight="1" s="40">
      <c r="A1544" s="24" t="n"/>
      <c r="B1544" s="27" t="n"/>
      <c r="C1544" s="24" t="n"/>
      <c r="D1544" s="28" t="n"/>
      <c r="E1544" s="29" t="n"/>
      <c r="F1544" s="24" t="n"/>
      <c r="G1544" s="24" t="n"/>
      <c r="H1544" s="21">
        <f>IF(ISNUMBER($B1544),INT($B1544)-WEEKDAY($B1544,2)+1,"")</f>
        <v/>
      </c>
      <c r="I1544" s="24" t="n"/>
      <c r="J1544" s="22">
        <f t="array" ref="J1544">IF($D1544="","",IF($I1544="","(trống REF)",IFERROR(INDEX(MASTER_SOURCE!$B$2:$B$495,MATCH($I1544,MASTER_SOURCE!$A$2:$A$495,0)),"(REF không có trong MASTER_SOURCE)")))</f>
        <v/>
      </c>
      <c r="K1544" s="22">
        <f t="array" ref="K1544">IF($D1544="","",IFERROR(INDEX(MASTER_SOURCE!$C$2:$C$495,MATCH($I1544,MASTER_SOURCE!$A$2:$A$495,0)),""))</f>
        <v/>
      </c>
      <c r="L1544" s="22">
        <f t="array" ref="L1544">IF($D1544="","",IFERROR(INDEX(MASTER_SOURCE!$D$2:$D$495,MATCH($I1544,MASTER_SOURCE!$A$2:$A$495,0)),""))</f>
        <v/>
      </c>
      <c r="M1544" s="24" t="n"/>
      <c r="N1544" s="24" t="n"/>
      <c r="O1544" s="24" t="n"/>
      <c r="P1544" s="24" t="n"/>
      <c r="Q1544" s="22">
        <f>IF($D1544="","",IF(AND(OR(DANH_MUC!$L$5&lt;&gt;"Có",M1544="Có"),OR(DANH_MUC!$L$6&lt;&gt;"Có",N1544="Có"),OR(DANH_MUC!$L$7&lt;&gt;"Có",O1544="Có"),OR(DANH_MUC!$L$8&lt;&gt;"Có",P1544="Có")),"Có","Không"))</f>
        <v/>
      </c>
      <c r="R1544" s="22">
        <f>IF($D1544="","",IF(COUNTIF($D$2:$D1544,$D1544)&gt;1,"Trùng",""))</f>
        <v/>
      </c>
      <c r="S1544" s="22">
        <f>IF($D1544="","",IF(AND(LEN($D1544)=10,LEFT($D1544,1)="0",ISNUMBER(--$D1544)),"Có","Không"))</f>
        <v/>
      </c>
      <c r="T1544" s="22">
        <f>IF($D1544="","",IF(AND($C1544&lt;&gt;"",$Q1544="Có",$R1544="",$S1544="Có",AND($L1544&lt;&gt;"",OR($L1544&lt;&gt;"Chưa xác định",DANH_MUC!$L$9="Có"))),"Có","Không"))</f>
        <v/>
      </c>
      <c r="U1544" s="22">
        <f>IF(OR($D1544="",$T1544="Có"),"",IF($C1544="","Thiếu họ tên; ","")&amp;IF($S1544&lt;&gt;"Có","SĐT sai định dạng; ","")&amp;IF($R1544="Trùng","Trùng SĐT; ","")&amp;IF($Q1544&lt;&gt;"Có","Thiếu đồng ý bắt buộc; ","")&amp;IF($L1544="","Thiếu/sai Mã REF; ",IF(AND($L1544="Chưa xác định",DANH_MUC!$L$9&lt;&gt;"Có"),"Nguồn chưa xác định; ","")))</f>
        <v/>
      </c>
      <c r="V1544" s="22">
        <f>IF(OR($D1544="",$R1544="Trùng"),"",IF(COUNTIF(ORDERS!$C$2:$C$4995,$D1544)&gt;0,"Có","Không"))</f>
        <v/>
      </c>
      <c r="W1544" s="22">
        <f>IF(OR($D1544="",$R1544="Trùng"),"",COUNTIFS(ORDERS!$C$2:$C$4995,$D1544,ORDERS!$L$2:$L$4995,"Đã chuyển khoản"))</f>
        <v/>
      </c>
      <c r="X1544" s="23">
        <f>IF(OR($D1544="",$R1544="Trùng"),"",SUMIFS(ORDERS!$J$2:$J$4995,ORDERS!$C$2:$C$4995,$D1544,ORDERS!$L$2:$L$4995,"Đã chuyển khoản"))</f>
        <v/>
      </c>
      <c r="Y1544" s="24" t="n"/>
    </row>
    <row r="1545" ht="14.25" customHeight="1" s="40">
      <c r="A1545" s="24" t="n"/>
      <c r="B1545" s="27" t="n"/>
      <c r="C1545" s="24" t="n"/>
      <c r="D1545" s="28" t="n"/>
      <c r="E1545" s="29" t="n"/>
      <c r="F1545" s="24" t="n"/>
      <c r="G1545" s="24" t="n"/>
      <c r="H1545" s="21">
        <f>IF(ISNUMBER($B1545),INT($B1545)-WEEKDAY($B1545,2)+1,"")</f>
        <v/>
      </c>
      <c r="I1545" s="24" t="n"/>
      <c r="J1545" s="22">
        <f t="array" ref="J1545">IF($D1545="","",IF($I1545="","(trống REF)",IFERROR(INDEX(MASTER_SOURCE!$B$2:$B$495,MATCH($I1545,MASTER_SOURCE!$A$2:$A$495,0)),"(REF không có trong MASTER_SOURCE)")))</f>
        <v/>
      </c>
      <c r="K1545" s="22">
        <f t="array" ref="K1545">IF($D1545="","",IFERROR(INDEX(MASTER_SOURCE!$C$2:$C$495,MATCH($I1545,MASTER_SOURCE!$A$2:$A$495,0)),""))</f>
        <v/>
      </c>
      <c r="L1545" s="22">
        <f t="array" ref="L1545">IF($D1545="","",IFERROR(INDEX(MASTER_SOURCE!$D$2:$D$495,MATCH($I1545,MASTER_SOURCE!$A$2:$A$495,0)),""))</f>
        <v/>
      </c>
      <c r="M1545" s="24" t="n"/>
      <c r="N1545" s="24" t="n"/>
      <c r="O1545" s="24" t="n"/>
      <c r="P1545" s="24" t="n"/>
      <c r="Q1545" s="22">
        <f>IF($D1545="","",IF(AND(OR(DANH_MUC!$L$5&lt;&gt;"Có",M1545="Có"),OR(DANH_MUC!$L$6&lt;&gt;"Có",N1545="Có"),OR(DANH_MUC!$L$7&lt;&gt;"Có",O1545="Có"),OR(DANH_MUC!$L$8&lt;&gt;"Có",P1545="Có")),"Có","Không"))</f>
        <v/>
      </c>
      <c r="R1545" s="22">
        <f>IF($D1545="","",IF(COUNTIF($D$2:$D1545,$D1545)&gt;1,"Trùng",""))</f>
        <v/>
      </c>
      <c r="S1545" s="22">
        <f>IF($D1545="","",IF(AND(LEN($D1545)=10,LEFT($D1545,1)="0",ISNUMBER(--$D1545)),"Có","Không"))</f>
        <v/>
      </c>
      <c r="T1545" s="22">
        <f>IF($D1545="","",IF(AND($C1545&lt;&gt;"",$Q1545="Có",$R1545="",$S1545="Có",AND($L1545&lt;&gt;"",OR($L1545&lt;&gt;"Chưa xác định",DANH_MUC!$L$9="Có"))),"Có","Không"))</f>
        <v/>
      </c>
      <c r="U1545" s="22">
        <f>IF(OR($D1545="",$T1545="Có"),"",IF($C1545="","Thiếu họ tên; ","")&amp;IF($S1545&lt;&gt;"Có","SĐT sai định dạng; ","")&amp;IF($R1545="Trùng","Trùng SĐT; ","")&amp;IF($Q1545&lt;&gt;"Có","Thiếu đồng ý bắt buộc; ","")&amp;IF($L1545="","Thiếu/sai Mã REF; ",IF(AND($L1545="Chưa xác định",DANH_MUC!$L$9&lt;&gt;"Có"),"Nguồn chưa xác định; ","")))</f>
        <v/>
      </c>
      <c r="V1545" s="22">
        <f>IF(OR($D1545="",$R1545="Trùng"),"",IF(COUNTIF(ORDERS!$C$2:$C$4995,$D1545)&gt;0,"Có","Không"))</f>
        <v/>
      </c>
      <c r="W1545" s="22">
        <f>IF(OR($D1545="",$R1545="Trùng"),"",COUNTIFS(ORDERS!$C$2:$C$4995,$D1545,ORDERS!$L$2:$L$4995,"Đã chuyển khoản"))</f>
        <v/>
      </c>
      <c r="X1545" s="23">
        <f>IF(OR($D1545="",$R1545="Trùng"),"",SUMIFS(ORDERS!$J$2:$J$4995,ORDERS!$C$2:$C$4995,$D1545,ORDERS!$L$2:$L$4995,"Đã chuyển khoản"))</f>
        <v/>
      </c>
      <c r="Y1545" s="24" t="n"/>
    </row>
    <row r="1546" ht="14.25" customHeight="1" s="40">
      <c r="A1546" s="24" t="n"/>
      <c r="B1546" s="27" t="n"/>
      <c r="C1546" s="24" t="n"/>
      <c r="D1546" s="28" t="n"/>
      <c r="E1546" s="29" t="n"/>
      <c r="F1546" s="24" t="n"/>
      <c r="G1546" s="24" t="n"/>
      <c r="H1546" s="21">
        <f>IF(ISNUMBER($B1546),INT($B1546)-WEEKDAY($B1546,2)+1,"")</f>
        <v/>
      </c>
      <c r="I1546" s="24" t="n"/>
      <c r="J1546" s="22">
        <f t="array" ref="J1546">IF($D1546="","",IF($I1546="","(trống REF)",IFERROR(INDEX(MASTER_SOURCE!$B$2:$B$495,MATCH($I1546,MASTER_SOURCE!$A$2:$A$495,0)),"(REF không có trong MASTER_SOURCE)")))</f>
        <v/>
      </c>
      <c r="K1546" s="22">
        <f t="array" ref="K1546">IF($D1546="","",IFERROR(INDEX(MASTER_SOURCE!$C$2:$C$495,MATCH($I1546,MASTER_SOURCE!$A$2:$A$495,0)),""))</f>
        <v/>
      </c>
      <c r="L1546" s="22">
        <f t="array" ref="L1546">IF($D1546="","",IFERROR(INDEX(MASTER_SOURCE!$D$2:$D$495,MATCH($I1546,MASTER_SOURCE!$A$2:$A$495,0)),""))</f>
        <v/>
      </c>
      <c r="M1546" s="24" t="n"/>
      <c r="N1546" s="24" t="n"/>
      <c r="O1546" s="24" t="n"/>
      <c r="P1546" s="24" t="n"/>
      <c r="Q1546" s="22">
        <f>IF($D1546="","",IF(AND(OR(DANH_MUC!$L$5&lt;&gt;"Có",M1546="Có"),OR(DANH_MUC!$L$6&lt;&gt;"Có",N1546="Có"),OR(DANH_MUC!$L$7&lt;&gt;"Có",O1546="Có"),OR(DANH_MUC!$L$8&lt;&gt;"Có",P1546="Có")),"Có","Không"))</f>
        <v/>
      </c>
      <c r="R1546" s="22">
        <f>IF($D1546="","",IF(COUNTIF($D$2:$D1546,$D1546)&gt;1,"Trùng",""))</f>
        <v/>
      </c>
      <c r="S1546" s="22">
        <f>IF($D1546="","",IF(AND(LEN($D1546)=10,LEFT($D1546,1)="0",ISNUMBER(--$D1546)),"Có","Không"))</f>
        <v/>
      </c>
      <c r="T1546" s="22">
        <f>IF($D1546="","",IF(AND($C1546&lt;&gt;"",$Q1546="Có",$R1546="",$S1546="Có",AND($L1546&lt;&gt;"",OR($L1546&lt;&gt;"Chưa xác định",DANH_MUC!$L$9="Có"))),"Có","Không"))</f>
        <v/>
      </c>
      <c r="U1546" s="22">
        <f>IF(OR($D1546="",$T1546="Có"),"",IF($C1546="","Thiếu họ tên; ","")&amp;IF($S1546&lt;&gt;"Có","SĐT sai định dạng; ","")&amp;IF($R1546="Trùng","Trùng SĐT; ","")&amp;IF($Q1546&lt;&gt;"Có","Thiếu đồng ý bắt buộc; ","")&amp;IF($L1546="","Thiếu/sai Mã REF; ",IF(AND($L1546="Chưa xác định",DANH_MUC!$L$9&lt;&gt;"Có"),"Nguồn chưa xác định; ","")))</f>
        <v/>
      </c>
      <c r="V1546" s="22">
        <f>IF(OR($D1546="",$R1546="Trùng"),"",IF(COUNTIF(ORDERS!$C$2:$C$4995,$D1546)&gt;0,"Có","Không"))</f>
        <v/>
      </c>
      <c r="W1546" s="22">
        <f>IF(OR($D1546="",$R1546="Trùng"),"",COUNTIFS(ORDERS!$C$2:$C$4995,$D1546,ORDERS!$L$2:$L$4995,"Đã chuyển khoản"))</f>
        <v/>
      </c>
      <c r="X1546" s="23">
        <f>IF(OR($D1546="",$R1546="Trùng"),"",SUMIFS(ORDERS!$J$2:$J$4995,ORDERS!$C$2:$C$4995,$D1546,ORDERS!$L$2:$L$4995,"Đã chuyển khoản"))</f>
        <v/>
      </c>
      <c r="Y1546" s="24" t="n"/>
    </row>
    <row r="1547" ht="14.25" customHeight="1" s="40">
      <c r="A1547" s="24" t="n"/>
      <c r="B1547" s="27" t="n"/>
      <c r="C1547" s="24" t="n"/>
      <c r="D1547" s="28" t="n"/>
      <c r="E1547" s="29" t="n"/>
      <c r="F1547" s="24" t="n"/>
      <c r="G1547" s="24" t="n"/>
      <c r="H1547" s="21">
        <f>IF(ISNUMBER($B1547),INT($B1547)-WEEKDAY($B1547,2)+1,"")</f>
        <v/>
      </c>
      <c r="I1547" s="24" t="n"/>
      <c r="J1547" s="22">
        <f t="array" ref="J1547">IF($D1547="","",IF($I1547="","(trống REF)",IFERROR(INDEX(MASTER_SOURCE!$B$2:$B$495,MATCH($I1547,MASTER_SOURCE!$A$2:$A$495,0)),"(REF không có trong MASTER_SOURCE)")))</f>
        <v/>
      </c>
      <c r="K1547" s="22">
        <f t="array" ref="K1547">IF($D1547="","",IFERROR(INDEX(MASTER_SOURCE!$C$2:$C$495,MATCH($I1547,MASTER_SOURCE!$A$2:$A$495,0)),""))</f>
        <v/>
      </c>
      <c r="L1547" s="22">
        <f t="array" ref="L1547">IF($D1547="","",IFERROR(INDEX(MASTER_SOURCE!$D$2:$D$495,MATCH($I1547,MASTER_SOURCE!$A$2:$A$495,0)),""))</f>
        <v/>
      </c>
      <c r="M1547" s="24" t="n"/>
      <c r="N1547" s="24" t="n"/>
      <c r="O1547" s="24" t="n"/>
      <c r="P1547" s="24" t="n"/>
      <c r="Q1547" s="22">
        <f>IF($D1547="","",IF(AND(OR(DANH_MUC!$L$5&lt;&gt;"Có",M1547="Có"),OR(DANH_MUC!$L$6&lt;&gt;"Có",N1547="Có"),OR(DANH_MUC!$L$7&lt;&gt;"Có",O1547="Có"),OR(DANH_MUC!$L$8&lt;&gt;"Có",P1547="Có")),"Có","Không"))</f>
        <v/>
      </c>
      <c r="R1547" s="22">
        <f>IF($D1547="","",IF(COUNTIF($D$2:$D1547,$D1547)&gt;1,"Trùng",""))</f>
        <v/>
      </c>
      <c r="S1547" s="22">
        <f>IF($D1547="","",IF(AND(LEN($D1547)=10,LEFT($D1547,1)="0",ISNUMBER(--$D1547)),"Có","Không"))</f>
        <v/>
      </c>
      <c r="T1547" s="22">
        <f>IF($D1547="","",IF(AND($C1547&lt;&gt;"",$Q1547="Có",$R1547="",$S1547="Có",AND($L1547&lt;&gt;"",OR($L1547&lt;&gt;"Chưa xác định",DANH_MUC!$L$9="Có"))),"Có","Không"))</f>
        <v/>
      </c>
      <c r="U1547" s="22">
        <f>IF(OR($D1547="",$T1547="Có"),"",IF($C1547="","Thiếu họ tên; ","")&amp;IF($S1547&lt;&gt;"Có","SĐT sai định dạng; ","")&amp;IF($R1547="Trùng","Trùng SĐT; ","")&amp;IF($Q1547&lt;&gt;"Có","Thiếu đồng ý bắt buộc; ","")&amp;IF($L1547="","Thiếu/sai Mã REF; ",IF(AND($L1547="Chưa xác định",DANH_MUC!$L$9&lt;&gt;"Có"),"Nguồn chưa xác định; ","")))</f>
        <v/>
      </c>
      <c r="V1547" s="22">
        <f>IF(OR($D1547="",$R1547="Trùng"),"",IF(COUNTIF(ORDERS!$C$2:$C$4995,$D1547)&gt;0,"Có","Không"))</f>
        <v/>
      </c>
      <c r="W1547" s="22">
        <f>IF(OR($D1547="",$R1547="Trùng"),"",COUNTIFS(ORDERS!$C$2:$C$4995,$D1547,ORDERS!$L$2:$L$4995,"Đã chuyển khoản"))</f>
        <v/>
      </c>
      <c r="X1547" s="23">
        <f>IF(OR($D1547="",$R1547="Trùng"),"",SUMIFS(ORDERS!$J$2:$J$4995,ORDERS!$C$2:$C$4995,$D1547,ORDERS!$L$2:$L$4995,"Đã chuyển khoản"))</f>
        <v/>
      </c>
      <c r="Y1547" s="24" t="n"/>
    </row>
    <row r="1548" ht="14.25" customHeight="1" s="40">
      <c r="A1548" s="24" t="n"/>
      <c r="B1548" s="27" t="n"/>
      <c r="C1548" s="24" t="n"/>
      <c r="D1548" s="28" t="n"/>
      <c r="E1548" s="29" t="n"/>
      <c r="F1548" s="24" t="n"/>
      <c r="G1548" s="24" t="n"/>
      <c r="H1548" s="21">
        <f>IF(ISNUMBER($B1548),INT($B1548)-WEEKDAY($B1548,2)+1,"")</f>
        <v/>
      </c>
      <c r="I1548" s="24" t="n"/>
      <c r="J1548" s="22">
        <f t="array" ref="J1548">IF($D1548="","",IF($I1548="","(trống REF)",IFERROR(INDEX(MASTER_SOURCE!$B$2:$B$495,MATCH($I1548,MASTER_SOURCE!$A$2:$A$495,0)),"(REF không có trong MASTER_SOURCE)")))</f>
        <v/>
      </c>
      <c r="K1548" s="22">
        <f t="array" ref="K1548">IF($D1548="","",IFERROR(INDEX(MASTER_SOURCE!$C$2:$C$495,MATCH($I1548,MASTER_SOURCE!$A$2:$A$495,0)),""))</f>
        <v/>
      </c>
      <c r="L1548" s="22">
        <f t="array" ref="L1548">IF($D1548="","",IFERROR(INDEX(MASTER_SOURCE!$D$2:$D$495,MATCH($I1548,MASTER_SOURCE!$A$2:$A$495,0)),""))</f>
        <v/>
      </c>
      <c r="M1548" s="24" t="n"/>
      <c r="N1548" s="24" t="n"/>
      <c r="O1548" s="24" t="n"/>
      <c r="P1548" s="24" t="n"/>
      <c r="Q1548" s="22">
        <f>IF($D1548="","",IF(AND(OR(DANH_MUC!$L$5&lt;&gt;"Có",M1548="Có"),OR(DANH_MUC!$L$6&lt;&gt;"Có",N1548="Có"),OR(DANH_MUC!$L$7&lt;&gt;"Có",O1548="Có"),OR(DANH_MUC!$L$8&lt;&gt;"Có",P1548="Có")),"Có","Không"))</f>
        <v/>
      </c>
      <c r="R1548" s="22">
        <f>IF($D1548="","",IF(COUNTIF($D$2:$D1548,$D1548)&gt;1,"Trùng",""))</f>
        <v/>
      </c>
      <c r="S1548" s="22">
        <f>IF($D1548="","",IF(AND(LEN($D1548)=10,LEFT($D1548,1)="0",ISNUMBER(--$D1548)),"Có","Không"))</f>
        <v/>
      </c>
      <c r="T1548" s="22">
        <f>IF($D1548="","",IF(AND($C1548&lt;&gt;"",$Q1548="Có",$R1548="",$S1548="Có",AND($L1548&lt;&gt;"",OR($L1548&lt;&gt;"Chưa xác định",DANH_MUC!$L$9="Có"))),"Có","Không"))</f>
        <v/>
      </c>
      <c r="U1548" s="22">
        <f>IF(OR($D1548="",$T1548="Có"),"",IF($C1548="","Thiếu họ tên; ","")&amp;IF($S1548&lt;&gt;"Có","SĐT sai định dạng; ","")&amp;IF($R1548="Trùng","Trùng SĐT; ","")&amp;IF($Q1548&lt;&gt;"Có","Thiếu đồng ý bắt buộc; ","")&amp;IF($L1548="","Thiếu/sai Mã REF; ",IF(AND($L1548="Chưa xác định",DANH_MUC!$L$9&lt;&gt;"Có"),"Nguồn chưa xác định; ","")))</f>
        <v/>
      </c>
      <c r="V1548" s="22">
        <f>IF(OR($D1548="",$R1548="Trùng"),"",IF(COUNTIF(ORDERS!$C$2:$C$4995,$D1548)&gt;0,"Có","Không"))</f>
        <v/>
      </c>
      <c r="W1548" s="22">
        <f>IF(OR($D1548="",$R1548="Trùng"),"",COUNTIFS(ORDERS!$C$2:$C$4995,$D1548,ORDERS!$L$2:$L$4995,"Đã chuyển khoản"))</f>
        <v/>
      </c>
      <c r="X1548" s="23">
        <f>IF(OR($D1548="",$R1548="Trùng"),"",SUMIFS(ORDERS!$J$2:$J$4995,ORDERS!$C$2:$C$4995,$D1548,ORDERS!$L$2:$L$4995,"Đã chuyển khoản"))</f>
        <v/>
      </c>
      <c r="Y1548" s="24" t="n"/>
    </row>
    <row r="1549" ht="14.25" customHeight="1" s="40">
      <c r="A1549" s="24" t="n"/>
      <c r="B1549" s="27" t="n"/>
      <c r="C1549" s="24" t="n"/>
      <c r="D1549" s="28" t="n"/>
      <c r="E1549" s="29" t="n"/>
      <c r="F1549" s="24" t="n"/>
      <c r="G1549" s="24" t="n"/>
      <c r="H1549" s="21">
        <f>IF(ISNUMBER($B1549),INT($B1549)-WEEKDAY($B1549,2)+1,"")</f>
        <v/>
      </c>
      <c r="I1549" s="24" t="n"/>
      <c r="J1549" s="22">
        <f t="array" ref="J1549">IF($D1549="","",IF($I1549="","(trống REF)",IFERROR(INDEX(MASTER_SOURCE!$B$2:$B$495,MATCH($I1549,MASTER_SOURCE!$A$2:$A$495,0)),"(REF không có trong MASTER_SOURCE)")))</f>
        <v/>
      </c>
      <c r="K1549" s="22">
        <f t="array" ref="K1549">IF($D1549="","",IFERROR(INDEX(MASTER_SOURCE!$C$2:$C$495,MATCH($I1549,MASTER_SOURCE!$A$2:$A$495,0)),""))</f>
        <v/>
      </c>
      <c r="L1549" s="22">
        <f t="array" ref="L1549">IF($D1549="","",IFERROR(INDEX(MASTER_SOURCE!$D$2:$D$495,MATCH($I1549,MASTER_SOURCE!$A$2:$A$495,0)),""))</f>
        <v/>
      </c>
      <c r="M1549" s="24" t="n"/>
      <c r="N1549" s="24" t="n"/>
      <c r="O1549" s="24" t="n"/>
      <c r="P1549" s="24" t="n"/>
      <c r="Q1549" s="22">
        <f>IF($D1549="","",IF(AND(OR(DANH_MUC!$L$5&lt;&gt;"Có",M1549="Có"),OR(DANH_MUC!$L$6&lt;&gt;"Có",N1549="Có"),OR(DANH_MUC!$L$7&lt;&gt;"Có",O1549="Có"),OR(DANH_MUC!$L$8&lt;&gt;"Có",P1549="Có")),"Có","Không"))</f>
        <v/>
      </c>
      <c r="R1549" s="22">
        <f>IF($D1549="","",IF(COUNTIF($D$2:$D1549,$D1549)&gt;1,"Trùng",""))</f>
        <v/>
      </c>
      <c r="S1549" s="22">
        <f>IF($D1549="","",IF(AND(LEN($D1549)=10,LEFT($D1549,1)="0",ISNUMBER(--$D1549)),"Có","Không"))</f>
        <v/>
      </c>
      <c r="T1549" s="22">
        <f>IF($D1549="","",IF(AND($C1549&lt;&gt;"",$Q1549="Có",$R1549="",$S1549="Có",AND($L1549&lt;&gt;"",OR($L1549&lt;&gt;"Chưa xác định",DANH_MUC!$L$9="Có"))),"Có","Không"))</f>
        <v/>
      </c>
      <c r="U1549" s="22">
        <f>IF(OR($D1549="",$T1549="Có"),"",IF($C1549="","Thiếu họ tên; ","")&amp;IF($S1549&lt;&gt;"Có","SĐT sai định dạng; ","")&amp;IF($R1549="Trùng","Trùng SĐT; ","")&amp;IF($Q1549&lt;&gt;"Có","Thiếu đồng ý bắt buộc; ","")&amp;IF($L1549="","Thiếu/sai Mã REF; ",IF(AND($L1549="Chưa xác định",DANH_MUC!$L$9&lt;&gt;"Có"),"Nguồn chưa xác định; ","")))</f>
        <v/>
      </c>
      <c r="V1549" s="22">
        <f>IF(OR($D1549="",$R1549="Trùng"),"",IF(COUNTIF(ORDERS!$C$2:$C$4995,$D1549)&gt;0,"Có","Không"))</f>
        <v/>
      </c>
      <c r="W1549" s="22">
        <f>IF(OR($D1549="",$R1549="Trùng"),"",COUNTIFS(ORDERS!$C$2:$C$4995,$D1549,ORDERS!$L$2:$L$4995,"Đã chuyển khoản"))</f>
        <v/>
      </c>
      <c r="X1549" s="23">
        <f>IF(OR($D1549="",$R1549="Trùng"),"",SUMIFS(ORDERS!$J$2:$J$4995,ORDERS!$C$2:$C$4995,$D1549,ORDERS!$L$2:$L$4995,"Đã chuyển khoản"))</f>
        <v/>
      </c>
      <c r="Y1549" s="24" t="n"/>
    </row>
    <row r="1550" ht="14.25" customHeight="1" s="40">
      <c r="A1550" s="24" t="n"/>
      <c r="B1550" s="27" t="n"/>
      <c r="C1550" s="24" t="n"/>
      <c r="D1550" s="28" t="n"/>
      <c r="E1550" s="29" t="n"/>
      <c r="F1550" s="24" t="n"/>
      <c r="G1550" s="24" t="n"/>
      <c r="H1550" s="21">
        <f>IF(ISNUMBER($B1550),INT($B1550)-WEEKDAY($B1550,2)+1,"")</f>
        <v/>
      </c>
      <c r="I1550" s="24" t="n"/>
      <c r="J1550" s="22">
        <f t="array" ref="J1550">IF($D1550="","",IF($I1550="","(trống REF)",IFERROR(INDEX(MASTER_SOURCE!$B$2:$B$495,MATCH($I1550,MASTER_SOURCE!$A$2:$A$495,0)),"(REF không có trong MASTER_SOURCE)")))</f>
        <v/>
      </c>
      <c r="K1550" s="22">
        <f t="array" ref="K1550">IF($D1550="","",IFERROR(INDEX(MASTER_SOURCE!$C$2:$C$495,MATCH($I1550,MASTER_SOURCE!$A$2:$A$495,0)),""))</f>
        <v/>
      </c>
      <c r="L1550" s="22">
        <f t="array" ref="L1550">IF($D1550="","",IFERROR(INDEX(MASTER_SOURCE!$D$2:$D$495,MATCH($I1550,MASTER_SOURCE!$A$2:$A$495,0)),""))</f>
        <v/>
      </c>
      <c r="M1550" s="24" t="n"/>
      <c r="N1550" s="24" t="n"/>
      <c r="O1550" s="24" t="n"/>
      <c r="P1550" s="24" t="n"/>
      <c r="Q1550" s="22">
        <f>IF($D1550="","",IF(AND(OR(DANH_MUC!$L$5&lt;&gt;"Có",M1550="Có"),OR(DANH_MUC!$L$6&lt;&gt;"Có",N1550="Có"),OR(DANH_MUC!$L$7&lt;&gt;"Có",O1550="Có"),OR(DANH_MUC!$L$8&lt;&gt;"Có",P1550="Có")),"Có","Không"))</f>
        <v/>
      </c>
      <c r="R1550" s="22">
        <f>IF($D1550="","",IF(COUNTIF($D$2:$D1550,$D1550)&gt;1,"Trùng",""))</f>
        <v/>
      </c>
      <c r="S1550" s="22">
        <f>IF($D1550="","",IF(AND(LEN($D1550)=10,LEFT($D1550,1)="0",ISNUMBER(--$D1550)),"Có","Không"))</f>
        <v/>
      </c>
      <c r="T1550" s="22">
        <f>IF($D1550="","",IF(AND($C1550&lt;&gt;"",$Q1550="Có",$R1550="",$S1550="Có",AND($L1550&lt;&gt;"",OR($L1550&lt;&gt;"Chưa xác định",DANH_MUC!$L$9="Có"))),"Có","Không"))</f>
        <v/>
      </c>
      <c r="U1550" s="22">
        <f>IF(OR($D1550="",$T1550="Có"),"",IF($C1550="","Thiếu họ tên; ","")&amp;IF($S1550&lt;&gt;"Có","SĐT sai định dạng; ","")&amp;IF($R1550="Trùng","Trùng SĐT; ","")&amp;IF($Q1550&lt;&gt;"Có","Thiếu đồng ý bắt buộc; ","")&amp;IF($L1550="","Thiếu/sai Mã REF; ",IF(AND($L1550="Chưa xác định",DANH_MUC!$L$9&lt;&gt;"Có"),"Nguồn chưa xác định; ","")))</f>
        <v/>
      </c>
      <c r="V1550" s="22">
        <f>IF(OR($D1550="",$R1550="Trùng"),"",IF(COUNTIF(ORDERS!$C$2:$C$4995,$D1550)&gt;0,"Có","Không"))</f>
        <v/>
      </c>
      <c r="W1550" s="22">
        <f>IF(OR($D1550="",$R1550="Trùng"),"",COUNTIFS(ORDERS!$C$2:$C$4995,$D1550,ORDERS!$L$2:$L$4995,"Đã chuyển khoản"))</f>
        <v/>
      </c>
      <c r="X1550" s="23">
        <f>IF(OR($D1550="",$R1550="Trùng"),"",SUMIFS(ORDERS!$J$2:$J$4995,ORDERS!$C$2:$C$4995,$D1550,ORDERS!$L$2:$L$4995,"Đã chuyển khoản"))</f>
        <v/>
      </c>
      <c r="Y1550" s="24" t="n"/>
    </row>
    <row r="1551" ht="14.25" customHeight="1" s="40">
      <c r="A1551" s="24" t="n"/>
      <c r="B1551" s="27" t="n"/>
      <c r="C1551" s="24" t="n"/>
      <c r="D1551" s="28" t="n"/>
      <c r="E1551" s="29" t="n"/>
      <c r="F1551" s="24" t="n"/>
      <c r="G1551" s="24" t="n"/>
      <c r="H1551" s="21">
        <f>IF(ISNUMBER($B1551),INT($B1551)-WEEKDAY($B1551,2)+1,"")</f>
        <v/>
      </c>
      <c r="I1551" s="24" t="n"/>
      <c r="J1551" s="22">
        <f t="array" ref="J1551">IF($D1551="","",IF($I1551="","(trống REF)",IFERROR(INDEX(MASTER_SOURCE!$B$2:$B$495,MATCH($I1551,MASTER_SOURCE!$A$2:$A$495,0)),"(REF không có trong MASTER_SOURCE)")))</f>
        <v/>
      </c>
      <c r="K1551" s="22">
        <f t="array" ref="K1551">IF($D1551="","",IFERROR(INDEX(MASTER_SOURCE!$C$2:$C$495,MATCH($I1551,MASTER_SOURCE!$A$2:$A$495,0)),""))</f>
        <v/>
      </c>
      <c r="L1551" s="22">
        <f t="array" ref="L1551">IF($D1551="","",IFERROR(INDEX(MASTER_SOURCE!$D$2:$D$495,MATCH($I1551,MASTER_SOURCE!$A$2:$A$495,0)),""))</f>
        <v/>
      </c>
      <c r="M1551" s="24" t="n"/>
      <c r="N1551" s="24" t="n"/>
      <c r="O1551" s="24" t="n"/>
      <c r="P1551" s="24" t="n"/>
      <c r="Q1551" s="22">
        <f>IF($D1551="","",IF(AND(OR(DANH_MUC!$L$5&lt;&gt;"Có",M1551="Có"),OR(DANH_MUC!$L$6&lt;&gt;"Có",N1551="Có"),OR(DANH_MUC!$L$7&lt;&gt;"Có",O1551="Có"),OR(DANH_MUC!$L$8&lt;&gt;"Có",P1551="Có")),"Có","Không"))</f>
        <v/>
      </c>
      <c r="R1551" s="22">
        <f>IF($D1551="","",IF(COUNTIF($D$2:$D1551,$D1551)&gt;1,"Trùng",""))</f>
        <v/>
      </c>
      <c r="S1551" s="22">
        <f>IF($D1551="","",IF(AND(LEN($D1551)=10,LEFT($D1551,1)="0",ISNUMBER(--$D1551)),"Có","Không"))</f>
        <v/>
      </c>
      <c r="T1551" s="22">
        <f>IF($D1551="","",IF(AND($C1551&lt;&gt;"",$Q1551="Có",$R1551="",$S1551="Có",AND($L1551&lt;&gt;"",OR($L1551&lt;&gt;"Chưa xác định",DANH_MUC!$L$9="Có"))),"Có","Không"))</f>
        <v/>
      </c>
      <c r="U1551" s="22">
        <f>IF(OR($D1551="",$T1551="Có"),"",IF($C1551="","Thiếu họ tên; ","")&amp;IF($S1551&lt;&gt;"Có","SĐT sai định dạng; ","")&amp;IF($R1551="Trùng","Trùng SĐT; ","")&amp;IF($Q1551&lt;&gt;"Có","Thiếu đồng ý bắt buộc; ","")&amp;IF($L1551="","Thiếu/sai Mã REF; ",IF(AND($L1551="Chưa xác định",DANH_MUC!$L$9&lt;&gt;"Có"),"Nguồn chưa xác định; ","")))</f>
        <v/>
      </c>
      <c r="V1551" s="22">
        <f>IF(OR($D1551="",$R1551="Trùng"),"",IF(COUNTIF(ORDERS!$C$2:$C$4995,$D1551)&gt;0,"Có","Không"))</f>
        <v/>
      </c>
      <c r="W1551" s="22">
        <f>IF(OR($D1551="",$R1551="Trùng"),"",COUNTIFS(ORDERS!$C$2:$C$4995,$D1551,ORDERS!$L$2:$L$4995,"Đã chuyển khoản"))</f>
        <v/>
      </c>
      <c r="X1551" s="23">
        <f>IF(OR($D1551="",$R1551="Trùng"),"",SUMIFS(ORDERS!$J$2:$J$4995,ORDERS!$C$2:$C$4995,$D1551,ORDERS!$L$2:$L$4995,"Đã chuyển khoản"))</f>
        <v/>
      </c>
      <c r="Y1551" s="24" t="n"/>
    </row>
    <row r="1552" ht="14.25" customHeight="1" s="40">
      <c r="A1552" s="24" t="n"/>
      <c r="B1552" s="27" t="n"/>
      <c r="C1552" s="24" t="n"/>
      <c r="D1552" s="28" t="n"/>
      <c r="E1552" s="29" t="n"/>
      <c r="F1552" s="24" t="n"/>
      <c r="G1552" s="24" t="n"/>
      <c r="H1552" s="21">
        <f>IF(ISNUMBER($B1552),INT($B1552)-WEEKDAY($B1552,2)+1,"")</f>
        <v/>
      </c>
      <c r="I1552" s="24" t="n"/>
      <c r="J1552" s="22">
        <f t="array" ref="J1552">IF($D1552="","",IF($I1552="","(trống REF)",IFERROR(INDEX(MASTER_SOURCE!$B$2:$B$495,MATCH($I1552,MASTER_SOURCE!$A$2:$A$495,0)),"(REF không có trong MASTER_SOURCE)")))</f>
        <v/>
      </c>
      <c r="K1552" s="22">
        <f t="array" ref="K1552">IF($D1552="","",IFERROR(INDEX(MASTER_SOURCE!$C$2:$C$495,MATCH($I1552,MASTER_SOURCE!$A$2:$A$495,0)),""))</f>
        <v/>
      </c>
      <c r="L1552" s="22">
        <f t="array" ref="L1552">IF($D1552="","",IFERROR(INDEX(MASTER_SOURCE!$D$2:$D$495,MATCH($I1552,MASTER_SOURCE!$A$2:$A$495,0)),""))</f>
        <v/>
      </c>
      <c r="M1552" s="24" t="n"/>
      <c r="N1552" s="24" t="n"/>
      <c r="O1552" s="24" t="n"/>
      <c r="P1552" s="24" t="n"/>
      <c r="Q1552" s="22">
        <f>IF($D1552="","",IF(AND(OR(DANH_MUC!$L$5&lt;&gt;"Có",M1552="Có"),OR(DANH_MUC!$L$6&lt;&gt;"Có",N1552="Có"),OR(DANH_MUC!$L$7&lt;&gt;"Có",O1552="Có"),OR(DANH_MUC!$L$8&lt;&gt;"Có",P1552="Có")),"Có","Không"))</f>
        <v/>
      </c>
      <c r="R1552" s="22">
        <f>IF($D1552="","",IF(COUNTIF($D$2:$D1552,$D1552)&gt;1,"Trùng",""))</f>
        <v/>
      </c>
      <c r="S1552" s="22">
        <f>IF($D1552="","",IF(AND(LEN($D1552)=10,LEFT($D1552,1)="0",ISNUMBER(--$D1552)),"Có","Không"))</f>
        <v/>
      </c>
      <c r="T1552" s="22">
        <f>IF($D1552="","",IF(AND($C1552&lt;&gt;"",$Q1552="Có",$R1552="",$S1552="Có",AND($L1552&lt;&gt;"",OR($L1552&lt;&gt;"Chưa xác định",DANH_MUC!$L$9="Có"))),"Có","Không"))</f>
        <v/>
      </c>
      <c r="U1552" s="22">
        <f>IF(OR($D1552="",$T1552="Có"),"",IF($C1552="","Thiếu họ tên; ","")&amp;IF($S1552&lt;&gt;"Có","SĐT sai định dạng; ","")&amp;IF($R1552="Trùng","Trùng SĐT; ","")&amp;IF($Q1552&lt;&gt;"Có","Thiếu đồng ý bắt buộc; ","")&amp;IF($L1552="","Thiếu/sai Mã REF; ",IF(AND($L1552="Chưa xác định",DANH_MUC!$L$9&lt;&gt;"Có"),"Nguồn chưa xác định; ","")))</f>
        <v/>
      </c>
      <c r="V1552" s="22">
        <f>IF(OR($D1552="",$R1552="Trùng"),"",IF(COUNTIF(ORDERS!$C$2:$C$4995,$D1552)&gt;0,"Có","Không"))</f>
        <v/>
      </c>
      <c r="W1552" s="22">
        <f>IF(OR($D1552="",$R1552="Trùng"),"",COUNTIFS(ORDERS!$C$2:$C$4995,$D1552,ORDERS!$L$2:$L$4995,"Đã chuyển khoản"))</f>
        <v/>
      </c>
      <c r="X1552" s="23">
        <f>IF(OR($D1552="",$R1552="Trùng"),"",SUMIFS(ORDERS!$J$2:$J$4995,ORDERS!$C$2:$C$4995,$D1552,ORDERS!$L$2:$L$4995,"Đã chuyển khoản"))</f>
        <v/>
      </c>
      <c r="Y1552" s="24" t="n"/>
    </row>
    <row r="1553" ht="14.25" customHeight="1" s="40">
      <c r="A1553" s="24" t="n"/>
      <c r="B1553" s="27" t="n"/>
      <c r="C1553" s="24" t="n"/>
      <c r="D1553" s="28" t="n"/>
      <c r="E1553" s="29" t="n"/>
      <c r="F1553" s="24" t="n"/>
      <c r="G1553" s="24" t="n"/>
      <c r="H1553" s="21">
        <f>IF(ISNUMBER($B1553),INT($B1553)-WEEKDAY($B1553,2)+1,"")</f>
        <v/>
      </c>
      <c r="I1553" s="24" t="n"/>
      <c r="J1553" s="22">
        <f t="array" ref="J1553">IF($D1553="","",IF($I1553="","(trống REF)",IFERROR(INDEX(MASTER_SOURCE!$B$2:$B$495,MATCH($I1553,MASTER_SOURCE!$A$2:$A$495,0)),"(REF không có trong MASTER_SOURCE)")))</f>
        <v/>
      </c>
      <c r="K1553" s="22">
        <f t="array" ref="K1553">IF($D1553="","",IFERROR(INDEX(MASTER_SOURCE!$C$2:$C$495,MATCH($I1553,MASTER_SOURCE!$A$2:$A$495,0)),""))</f>
        <v/>
      </c>
      <c r="L1553" s="22">
        <f t="array" ref="L1553">IF($D1553="","",IFERROR(INDEX(MASTER_SOURCE!$D$2:$D$495,MATCH($I1553,MASTER_SOURCE!$A$2:$A$495,0)),""))</f>
        <v/>
      </c>
      <c r="M1553" s="24" t="n"/>
      <c r="N1553" s="24" t="n"/>
      <c r="O1553" s="24" t="n"/>
      <c r="P1553" s="24" t="n"/>
      <c r="Q1553" s="22">
        <f>IF($D1553="","",IF(AND(OR(DANH_MUC!$L$5&lt;&gt;"Có",M1553="Có"),OR(DANH_MUC!$L$6&lt;&gt;"Có",N1553="Có"),OR(DANH_MUC!$L$7&lt;&gt;"Có",O1553="Có"),OR(DANH_MUC!$L$8&lt;&gt;"Có",P1553="Có")),"Có","Không"))</f>
        <v/>
      </c>
      <c r="R1553" s="22">
        <f>IF($D1553="","",IF(COUNTIF($D$2:$D1553,$D1553)&gt;1,"Trùng",""))</f>
        <v/>
      </c>
      <c r="S1553" s="22">
        <f>IF($D1553="","",IF(AND(LEN($D1553)=10,LEFT($D1553,1)="0",ISNUMBER(--$D1553)),"Có","Không"))</f>
        <v/>
      </c>
      <c r="T1553" s="22">
        <f>IF($D1553="","",IF(AND($C1553&lt;&gt;"",$Q1553="Có",$R1553="",$S1553="Có",AND($L1553&lt;&gt;"",OR($L1553&lt;&gt;"Chưa xác định",DANH_MUC!$L$9="Có"))),"Có","Không"))</f>
        <v/>
      </c>
      <c r="U1553" s="22">
        <f>IF(OR($D1553="",$T1553="Có"),"",IF($C1553="","Thiếu họ tên; ","")&amp;IF($S1553&lt;&gt;"Có","SĐT sai định dạng; ","")&amp;IF($R1553="Trùng","Trùng SĐT; ","")&amp;IF($Q1553&lt;&gt;"Có","Thiếu đồng ý bắt buộc; ","")&amp;IF($L1553="","Thiếu/sai Mã REF; ",IF(AND($L1553="Chưa xác định",DANH_MUC!$L$9&lt;&gt;"Có"),"Nguồn chưa xác định; ","")))</f>
        <v/>
      </c>
      <c r="V1553" s="22">
        <f>IF(OR($D1553="",$R1553="Trùng"),"",IF(COUNTIF(ORDERS!$C$2:$C$4995,$D1553)&gt;0,"Có","Không"))</f>
        <v/>
      </c>
      <c r="W1553" s="22">
        <f>IF(OR($D1553="",$R1553="Trùng"),"",COUNTIFS(ORDERS!$C$2:$C$4995,$D1553,ORDERS!$L$2:$L$4995,"Đã chuyển khoản"))</f>
        <v/>
      </c>
      <c r="X1553" s="23">
        <f>IF(OR($D1553="",$R1553="Trùng"),"",SUMIFS(ORDERS!$J$2:$J$4995,ORDERS!$C$2:$C$4995,$D1553,ORDERS!$L$2:$L$4995,"Đã chuyển khoản"))</f>
        <v/>
      </c>
      <c r="Y1553" s="24" t="n"/>
    </row>
    <row r="1554" ht="14.25" customHeight="1" s="40">
      <c r="A1554" s="24" t="n"/>
      <c r="B1554" s="27" t="n"/>
      <c r="C1554" s="24" t="n"/>
      <c r="D1554" s="28" t="n"/>
      <c r="E1554" s="29" t="n"/>
      <c r="F1554" s="24" t="n"/>
      <c r="G1554" s="24" t="n"/>
      <c r="H1554" s="21">
        <f>IF(ISNUMBER($B1554),INT($B1554)-WEEKDAY($B1554,2)+1,"")</f>
        <v/>
      </c>
      <c r="I1554" s="24" t="n"/>
      <c r="J1554" s="22">
        <f t="array" ref="J1554">IF($D1554="","",IF($I1554="","(trống REF)",IFERROR(INDEX(MASTER_SOURCE!$B$2:$B$495,MATCH($I1554,MASTER_SOURCE!$A$2:$A$495,0)),"(REF không có trong MASTER_SOURCE)")))</f>
        <v/>
      </c>
      <c r="K1554" s="22">
        <f t="array" ref="K1554">IF($D1554="","",IFERROR(INDEX(MASTER_SOURCE!$C$2:$C$495,MATCH($I1554,MASTER_SOURCE!$A$2:$A$495,0)),""))</f>
        <v/>
      </c>
      <c r="L1554" s="22">
        <f t="array" ref="L1554">IF($D1554="","",IFERROR(INDEX(MASTER_SOURCE!$D$2:$D$495,MATCH($I1554,MASTER_SOURCE!$A$2:$A$495,0)),""))</f>
        <v/>
      </c>
      <c r="M1554" s="24" t="n"/>
      <c r="N1554" s="24" t="n"/>
      <c r="O1554" s="24" t="n"/>
      <c r="P1554" s="24" t="n"/>
      <c r="Q1554" s="22">
        <f>IF($D1554="","",IF(AND(OR(DANH_MUC!$L$5&lt;&gt;"Có",M1554="Có"),OR(DANH_MUC!$L$6&lt;&gt;"Có",N1554="Có"),OR(DANH_MUC!$L$7&lt;&gt;"Có",O1554="Có"),OR(DANH_MUC!$L$8&lt;&gt;"Có",P1554="Có")),"Có","Không"))</f>
        <v/>
      </c>
      <c r="R1554" s="22">
        <f>IF($D1554="","",IF(COUNTIF($D$2:$D1554,$D1554)&gt;1,"Trùng",""))</f>
        <v/>
      </c>
      <c r="S1554" s="22">
        <f>IF($D1554="","",IF(AND(LEN($D1554)=10,LEFT($D1554,1)="0",ISNUMBER(--$D1554)),"Có","Không"))</f>
        <v/>
      </c>
      <c r="T1554" s="22">
        <f>IF($D1554="","",IF(AND($C1554&lt;&gt;"",$Q1554="Có",$R1554="",$S1554="Có",AND($L1554&lt;&gt;"",OR($L1554&lt;&gt;"Chưa xác định",DANH_MUC!$L$9="Có"))),"Có","Không"))</f>
        <v/>
      </c>
      <c r="U1554" s="22">
        <f>IF(OR($D1554="",$T1554="Có"),"",IF($C1554="","Thiếu họ tên; ","")&amp;IF($S1554&lt;&gt;"Có","SĐT sai định dạng; ","")&amp;IF($R1554="Trùng","Trùng SĐT; ","")&amp;IF($Q1554&lt;&gt;"Có","Thiếu đồng ý bắt buộc; ","")&amp;IF($L1554="","Thiếu/sai Mã REF; ",IF(AND($L1554="Chưa xác định",DANH_MUC!$L$9&lt;&gt;"Có"),"Nguồn chưa xác định; ","")))</f>
        <v/>
      </c>
      <c r="V1554" s="22">
        <f>IF(OR($D1554="",$R1554="Trùng"),"",IF(COUNTIF(ORDERS!$C$2:$C$4995,$D1554)&gt;0,"Có","Không"))</f>
        <v/>
      </c>
      <c r="W1554" s="22">
        <f>IF(OR($D1554="",$R1554="Trùng"),"",COUNTIFS(ORDERS!$C$2:$C$4995,$D1554,ORDERS!$L$2:$L$4995,"Đã chuyển khoản"))</f>
        <v/>
      </c>
      <c r="X1554" s="23">
        <f>IF(OR($D1554="",$R1554="Trùng"),"",SUMIFS(ORDERS!$J$2:$J$4995,ORDERS!$C$2:$C$4995,$D1554,ORDERS!$L$2:$L$4995,"Đã chuyển khoản"))</f>
        <v/>
      </c>
      <c r="Y1554" s="24" t="n"/>
    </row>
    <row r="1555" ht="14.25" customHeight="1" s="40">
      <c r="A1555" s="24" t="n"/>
      <c r="B1555" s="27" t="n"/>
      <c r="C1555" s="24" t="n"/>
      <c r="D1555" s="28" t="n"/>
      <c r="E1555" s="29" t="n"/>
      <c r="F1555" s="24" t="n"/>
      <c r="G1555" s="24" t="n"/>
      <c r="H1555" s="21">
        <f>IF(ISNUMBER($B1555),INT($B1555)-WEEKDAY($B1555,2)+1,"")</f>
        <v/>
      </c>
      <c r="I1555" s="24" t="n"/>
      <c r="J1555" s="22">
        <f t="array" ref="J1555">IF($D1555="","",IF($I1555="","(trống REF)",IFERROR(INDEX(MASTER_SOURCE!$B$2:$B$495,MATCH($I1555,MASTER_SOURCE!$A$2:$A$495,0)),"(REF không có trong MASTER_SOURCE)")))</f>
        <v/>
      </c>
      <c r="K1555" s="22">
        <f t="array" ref="K1555">IF($D1555="","",IFERROR(INDEX(MASTER_SOURCE!$C$2:$C$495,MATCH($I1555,MASTER_SOURCE!$A$2:$A$495,0)),""))</f>
        <v/>
      </c>
      <c r="L1555" s="22">
        <f t="array" ref="L1555">IF($D1555="","",IFERROR(INDEX(MASTER_SOURCE!$D$2:$D$495,MATCH($I1555,MASTER_SOURCE!$A$2:$A$495,0)),""))</f>
        <v/>
      </c>
      <c r="M1555" s="24" t="n"/>
      <c r="N1555" s="24" t="n"/>
      <c r="O1555" s="24" t="n"/>
      <c r="P1555" s="24" t="n"/>
      <c r="Q1555" s="22">
        <f>IF($D1555="","",IF(AND(OR(DANH_MUC!$L$5&lt;&gt;"Có",M1555="Có"),OR(DANH_MUC!$L$6&lt;&gt;"Có",N1555="Có"),OR(DANH_MUC!$L$7&lt;&gt;"Có",O1555="Có"),OR(DANH_MUC!$L$8&lt;&gt;"Có",P1555="Có")),"Có","Không"))</f>
        <v/>
      </c>
      <c r="R1555" s="22">
        <f>IF($D1555="","",IF(COUNTIF($D$2:$D1555,$D1555)&gt;1,"Trùng",""))</f>
        <v/>
      </c>
      <c r="S1555" s="22">
        <f>IF($D1555="","",IF(AND(LEN($D1555)=10,LEFT($D1555,1)="0",ISNUMBER(--$D1555)),"Có","Không"))</f>
        <v/>
      </c>
      <c r="T1555" s="22">
        <f>IF($D1555="","",IF(AND($C1555&lt;&gt;"",$Q1555="Có",$R1555="",$S1555="Có",AND($L1555&lt;&gt;"",OR($L1555&lt;&gt;"Chưa xác định",DANH_MUC!$L$9="Có"))),"Có","Không"))</f>
        <v/>
      </c>
      <c r="U1555" s="22">
        <f>IF(OR($D1555="",$T1555="Có"),"",IF($C1555="","Thiếu họ tên; ","")&amp;IF($S1555&lt;&gt;"Có","SĐT sai định dạng; ","")&amp;IF($R1555="Trùng","Trùng SĐT; ","")&amp;IF($Q1555&lt;&gt;"Có","Thiếu đồng ý bắt buộc; ","")&amp;IF($L1555="","Thiếu/sai Mã REF; ",IF(AND($L1555="Chưa xác định",DANH_MUC!$L$9&lt;&gt;"Có"),"Nguồn chưa xác định; ","")))</f>
        <v/>
      </c>
      <c r="V1555" s="22">
        <f>IF(OR($D1555="",$R1555="Trùng"),"",IF(COUNTIF(ORDERS!$C$2:$C$4995,$D1555)&gt;0,"Có","Không"))</f>
        <v/>
      </c>
      <c r="W1555" s="22">
        <f>IF(OR($D1555="",$R1555="Trùng"),"",COUNTIFS(ORDERS!$C$2:$C$4995,$D1555,ORDERS!$L$2:$L$4995,"Đã chuyển khoản"))</f>
        <v/>
      </c>
      <c r="X1555" s="23">
        <f>IF(OR($D1555="",$R1555="Trùng"),"",SUMIFS(ORDERS!$J$2:$J$4995,ORDERS!$C$2:$C$4995,$D1555,ORDERS!$L$2:$L$4995,"Đã chuyển khoản"))</f>
        <v/>
      </c>
      <c r="Y1555" s="24" t="n"/>
    </row>
    <row r="1556" ht="14.25" customHeight="1" s="40">
      <c r="A1556" s="24" t="n"/>
      <c r="B1556" s="27" t="n"/>
      <c r="C1556" s="24" t="n"/>
      <c r="D1556" s="28" t="n"/>
      <c r="E1556" s="29" t="n"/>
      <c r="F1556" s="24" t="n"/>
      <c r="G1556" s="24" t="n"/>
      <c r="H1556" s="21">
        <f>IF(ISNUMBER($B1556),INT($B1556)-WEEKDAY($B1556,2)+1,"")</f>
        <v/>
      </c>
      <c r="I1556" s="24" t="n"/>
      <c r="J1556" s="22">
        <f t="array" ref="J1556">IF($D1556="","",IF($I1556="","(trống REF)",IFERROR(INDEX(MASTER_SOURCE!$B$2:$B$495,MATCH($I1556,MASTER_SOURCE!$A$2:$A$495,0)),"(REF không có trong MASTER_SOURCE)")))</f>
        <v/>
      </c>
      <c r="K1556" s="22">
        <f t="array" ref="K1556">IF($D1556="","",IFERROR(INDEX(MASTER_SOURCE!$C$2:$C$495,MATCH($I1556,MASTER_SOURCE!$A$2:$A$495,0)),""))</f>
        <v/>
      </c>
      <c r="L1556" s="22">
        <f t="array" ref="L1556">IF($D1556="","",IFERROR(INDEX(MASTER_SOURCE!$D$2:$D$495,MATCH($I1556,MASTER_SOURCE!$A$2:$A$495,0)),""))</f>
        <v/>
      </c>
      <c r="M1556" s="24" t="n"/>
      <c r="N1556" s="24" t="n"/>
      <c r="O1556" s="24" t="n"/>
      <c r="P1556" s="24" t="n"/>
      <c r="Q1556" s="22">
        <f>IF($D1556="","",IF(AND(OR(DANH_MUC!$L$5&lt;&gt;"Có",M1556="Có"),OR(DANH_MUC!$L$6&lt;&gt;"Có",N1556="Có"),OR(DANH_MUC!$L$7&lt;&gt;"Có",O1556="Có"),OR(DANH_MUC!$L$8&lt;&gt;"Có",P1556="Có")),"Có","Không"))</f>
        <v/>
      </c>
      <c r="R1556" s="22">
        <f>IF($D1556="","",IF(COUNTIF($D$2:$D1556,$D1556)&gt;1,"Trùng",""))</f>
        <v/>
      </c>
      <c r="S1556" s="22">
        <f>IF($D1556="","",IF(AND(LEN($D1556)=10,LEFT($D1556,1)="0",ISNUMBER(--$D1556)),"Có","Không"))</f>
        <v/>
      </c>
      <c r="T1556" s="22">
        <f>IF($D1556="","",IF(AND($C1556&lt;&gt;"",$Q1556="Có",$R1556="",$S1556="Có",AND($L1556&lt;&gt;"",OR($L1556&lt;&gt;"Chưa xác định",DANH_MUC!$L$9="Có"))),"Có","Không"))</f>
        <v/>
      </c>
      <c r="U1556" s="22">
        <f>IF(OR($D1556="",$T1556="Có"),"",IF($C1556="","Thiếu họ tên; ","")&amp;IF($S1556&lt;&gt;"Có","SĐT sai định dạng; ","")&amp;IF($R1556="Trùng","Trùng SĐT; ","")&amp;IF($Q1556&lt;&gt;"Có","Thiếu đồng ý bắt buộc; ","")&amp;IF($L1556="","Thiếu/sai Mã REF; ",IF(AND($L1556="Chưa xác định",DANH_MUC!$L$9&lt;&gt;"Có"),"Nguồn chưa xác định; ","")))</f>
        <v/>
      </c>
      <c r="V1556" s="22">
        <f>IF(OR($D1556="",$R1556="Trùng"),"",IF(COUNTIF(ORDERS!$C$2:$C$4995,$D1556)&gt;0,"Có","Không"))</f>
        <v/>
      </c>
      <c r="W1556" s="22">
        <f>IF(OR($D1556="",$R1556="Trùng"),"",COUNTIFS(ORDERS!$C$2:$C$4995,$D1556,ORDERS!$L$2:$L$4995,"Đã chuyển khoản"))</f>
        <v/>
      </c>
      <c r="X1556" s="23">
        <f>IF(OR($D1556="",$R1556="Trùng"),"",SUMIFS(ORDERS!$J$2:$J$4995,ORDERS!$C$2:$C$4995,$D1556,ORDERS!$L$2:$L$4995,"Đã chuyển khoản"))</f>
        <v/>
      </c>
      <c r="Y1556" s="24" t="n"/>
    </row>
    <row r="1557" ht="14.25" customHeight="1" s="40">
      <c r="A1557" s="24" t="n"/>
      <c r="B1557" s="27" t="n"/>
      <c r="C1557" s="24" t="n"/>
      <c r="D1557" s="28" t="n"/>
      <c r="E1557" s="29" t="n"/>
      <c r="F1557" s="24" t="n"/>
      <c r="G1557" s="24" t="n"/>
      <c r="H1557" s="21">
        <f>IF(ISNUMBER($B1557),INT($B1557)-WEEKDAY($B1557,2)+1,"")</f>
        <v/>
      </c>
      <c r="I1557" s="24" t="n"/>
      <c r="J1557" s="22">
        <f t="array" ref="J1557">IF($D1557="","",IF($I1557="","(trống REF)",IFERROR(INDEX(MASTER_SOURCE!$B$2:$B$495,MATCH($I1557,MASTER_SOURCE!$A$2:$A$495,0)),"(REF không có trong MASTER_SOURCE)")))</f>
        <v/>
      </c>
      <c r="K1557" s="22">
        <f t="array" ref="K1557">IF($D1557="","",IFERROR(INDEX(MASTER_SOURCE!$C$2:$C$495,MATCH($I1557,MASTER_SOURCE!$A$2:$A$495,0)),""))</f>
        <v/>
      </c>
      <c r="L1557" s="22">
        <f t="array" ref="L1557">IF($D1557="","",IFERROR(INDEX(MASTER_SOURCE!$D$2:$D$495,MATCH($I1557,MASTER_SOURCE!$A$2:$A$495,0)),""))</f>
        <v/>
      </c>
      <c r="M1557" s="24" t="n"/>
      <c r="N1557" s="24" t="n"/>
      <c r="O1557" s="24" t="n"/>
      <c r="P1557" s="24" t="n"/>
      <c r="Q1557" s="22">
        <f>IF($D1557="","",IF(AND(OR(DANH_MUC!$L$5&lt;&gt;"Có",M1557="Có"),OR(DANH_MUC!$L$6&lt;&gt;"Có",N1557="Có"),OR(DANH_MUC!$L$7&lt;&gt;"Có",O1557="Có"),OR(DANH_MUC!$L$8&lt;&gt;"Có",P1557="Có")),"Có","Không"))</f>
        <v/>
      </c>
      <c r="R1557" s="22">
        <f>IF($D1557="","",IF(COUNTIF($D$2:$D1557,$D1557)&gt;1,"Trùng",""))</f>
        <v/>
      </c>
      <c r="S1557" s="22">
        <f>IF($D1557="","",IF(AND(LEN($D1557)=10,LEFT($D1557,1)="0",ISNUMBER(--$D1557)),"Có","Không"))</f>
        <v/>
      </c>
      <c r="T1557" s="22">
        <f>IF($D1557="","",IF(AND($C1557&lt;&gt;"",$Q1557="Có",$R1557="",$S1557="Có",AND($L1557&lt;&gt;"",OR($L1557&lt;&gt;"Chưa xác định",DANH_MUC!$L$9="Có"))),"Có","Không"))</f>
        <v/>
      </c>
      <c r="U1557" s="22">
        <f>IF(OR($D1557="",$T1557="Có"),"",IF($C1557="","Thiếu họ tên; ","")&amp;IF($S1557&lt;&gt;"Có","SĐT sai định dạng; ","")&amp;IF($R1557="Trùng","Trùng SĐT; ","")&amp;IF($Q1557&lt;&gt;"Có","Thiếu đồng ý bắt buộc; ","")&amp;IF($L1557="","Thiếu/sai Mã REF; ",IF(AND($L1557="Chưa xác định",DANH_MUC!$L$9&lt;&gt;"Có"),"Nguồn chưa xác định; ","")))</f>
        <v/>
      </c>
      <c r="V1557" s="22">
        <f>IF(OR($D1557="",$R1557="Trùng"),"",IF(COUNTIF(ORDERS!$C$2:$C$4995,$D1557)&gt;0,"Có","Không"))</f>
        <v/>
      </c>
      <c r="W1557" s="22">
        <f>IF(OR($D1557="",$R1557="Trùng"),"",COUNTIFS(ORDERS!$C$2:$C$4995,$D1557,ORDERS!$L$2:$L$4995,"Đã chuyển khoản"))</f>
        <v/>
      </c>
      <c r="X1557" s="23">
        <f>IF(OR($D1557="",$R1557="Trùng"),"",SUMIFS(ORDERS!$J$2:$J$4995,ORDERS!$C$2:$C$4995,$D1557,ORDERS!$L$2:$L$4995,"Đã chuyển khoản"))</f>
        <v/>
      </c>
      <c r="Y1557" s="24" t="n"/>
    </row>
    <row r="1558" ht="14.25" customHeight="1" s="40">
      <c r="A1558" s="24" t="n"/>
      <c r="B1558" s="27" t="n"/>
      <c r="C1558" s="24" t="n"/>
      <c r="D1558" s="28" t="n"/>
      <c r="E1558" s="29" t="n"/>
      <c r="F1558" s="24" t="n"/>
      <c r="G1558" s="24" t="n"/>
      <c r="H1558" s="21">
        <f>IF(ISNUMBER($B1558),INT($B1558)-WEEKDAY($B1558,2)+1,"")</f>
        <v/>
      </c>
      <c r="I1558" s="24" t="n"/>
      <c r="J1558" s="22">
        <f t="array" ref="J1558">IF($D1558="","",IF($I1558="","(trống REF)",IFERROR(INDEX(MASTER_SOURCE!$B$2:$B$495,MATCH($I1558,MASTER_SOURCE!$A$2:$A$495,0)),"(REF không có trong MASTER_SOURCE)")))</f>
        <v/>
      </c>
      <c r="K1558" s="22">
        <f t="array" ref="K1558">IF($D1558="","",IFERROR(INDEX(MASTER_SOURCE!$C$2:$C$495,MATCH($I1558,MASTER_SOURCE!$A$2:$A$495,0)),""))</f>
        <v/>
      </c>
      <c r="L1558" s="22">
        <f t="array" ref="L1558">IF($D1558="","",IFERROR(INDEX(MASTER_SOURCE!$D$2:$D$495,MATCH($I1558,MASTER_SOURCE!$A$2:$A$495,0)),""))</f>
        <v/>
      </c>
      <c r="M1558" s="24" t="n"/>
      <c r="N1558" s="24" t="n"/>
      <c r="O1558" s="24" t="n"/>
      <c r="P1558" s="24" t="n"/>
      <c r="Q1558" s="22">
        <f>IF($D1558="","",IF(AND(OR(DANH_MUC!$L$5&lt;&gt;"Có",M1558="Có"),OR(DANH_MUC!$L$6&lt;&gt;"Có",N1558="Có"),OR(DANH_MUC!$L$7&lt;&gt;"Có",O1558="Có"),OR(DANH_MUC!$L$8&lt;&gt;"Có",P1558="Có")),"Có","Không"))</f>
        <v/>
      </c>
      <c r="R1558" s="22">
        <f>IF($D1558="","",IF(COUNTIF($D$2:$D1558,$D1558)&gt;1,"Trùng",""))</f>
        <v/>
      </c>
      <c r="S1558" s="22">
        <f>IF($D1558="","",IF(AND(LEN($D1558)=10,LEFT($D1558,1)="0",ISNUMBER(--$D1558)),"Có","Không"))</f>
        <v/>
      </c>
      <c r="T1558" s="22">
        <f>IF($D1558="","",IF(AND($C1558&lt;&gt;"",$Q1558="Có",$R1558="",$S1558="Có",AND($L1558&lt;&gt;"",OR($L1558&lt;&gt;"Chưa xác định",DANH_MUC!$L$9="Có"))),"Có","Không"))</f>
        <v/>
      </c>
      <c r="U1558" s="22">
        <f>IF(OR($D1558="",$T1558="Có"),"",IF($C1558="","Thiếu họ tên; ","")&amp;IF($S1558&lt;&gt;"Có","SĐT sai định dạng; ","")&amp;IF($R1558="Trùng","Trùng SĐT; ","")&amp;IF($Q1558&lt;&gt;"Có","Thiếu đồng ý bắt buộc; ","")&amp;IF($L1558="","Thiếu/sai Mã REF; ",IF(AND($L1558="Chưa xác định",DANH_MUC!$L$9&lt;&gt;"Có"),"Nguồn chưa xác định; ","")))</f>
        <v/>
      </c>
      <c r="V1558" s="22">
        <f>IF(OR($D1558="",$R1558="Trùng"),"",IF(COUNTIF(ORDERS!$C$2:$C$4995,$D1558)&gt;0,"Có","Không"))</f>
        <v/>
      </c>
      <c r="W1558" s="22">
        <f>IF(OR($D1558="",$R1558="Trùng"),"",COUNTIFS(ORDERS!$C$2:$C$4995,$D1558,ORDERS!$L$2:$L$4995,"Đã chuyển khoản"))</f>
        <v/>
      </c>
      <c r="X1558" s="23">
        <f>IF(OR($D1558="",$R1558="Trùng"),"",SUMIFS(ORDERS!$J$2:$J$4995,ORDERS!$C$2:$C$4995,$D1558,ORDERS!$L$2:$L$4995,"Đã chuyển khoản"))</f>
        <v/>
      </c>
      <c r="Y1558" s="24" t="n"/>
    </row>
    <row r="1559" ht="14.25" customHeight="1" s="40">
      <c r="A1559" s="24" t="n"/>
      <c r="B1559" s="27" t="n"/>
      <c r="C1559" s="24" t="n"/>
      <c r="D1559" s="28" t="n"/>
      <c r="E1559" s="29" t="n"/>
      <c r="F1559" s="24" t="n"/>
      <c r="G1559" s="24" t="n"/>
      <c r="H1559" s="21">
        <f>IF(ISNUMBER($B1559),INT($B1559)-WEEKDAY($B1559,2)+1,"")</f>
        <v/>
      </c>
      <c r="I1559" s="24" t="n"/>
      <c r="J1559" s="22">
        <f t="array" ref="J1559">IF($D1559="","",IF($I1559="","(trống REF)",IFERROR(INDEX(MASTER_SOURCE!$B$2:$B$495,MATCH($I1559,MASTER_SOURCE!$A$2:$A$495,0)),"(REF không có trong MASTER_SOURCE)")))</f>
        <v/>
      </c>
      <c r="K1559" s="22">
        <f t="array" ref="K1559">IF($D1559="","",IFERROR(INDEX(MASTER_SOURCE!$C$2:$C$495,MATCH($I1559,MASTER_SOURCE!$A$2:$A$495,0)),""))</f>
        <v/>
      </c>
      <c r="L1559" s="22">
        <f t="array" ref="L1559">IF($D1559="","",IFERROR(INDEX(MASTER_SOURCE!$D$2:$D$495,MATCH($I1559,MASTER_SOURCE!$A$2:$A$495,0)),""))</f>
        <v/>
      </c>
      <c r="M1559" s="24" t="n"/>
      <c r="N1559" s="24" t="n"/>
      <c r="O1559" s="24" t="n"/>
      <c r="P1559" s="24" t="n"/>
      <c r="Q1559" s="22">
        <f>IF($D1559="","",IF(AND(OR(DANH_MUC!$L$5&lt;&gt;"Có",M1559="Có"),OR(DANH_MUC!$L$6&lt;&gt;"Có",N1559="Có"),OR(DANH_MUC!$L$7&lt;&gt;"Có",O1559="Có"),OR(DANH_MUC!$L$8&lt;&gt;"Có",P1559="Có")),"Có","Không"))</f>
        <v/>
      </c>
      <c r="R1559" s="22">
        <f>IF($D1559="","",IF(COUNTIF($D$2:$D1559,$D1559)&gt;1,"Trùng",""))</f>
        <v/>
      </c>
      <c r="S1559" s="22">
        <f>IF($D1559="","",IF(AND(LEN($D1559)=10,LEFT($D1559,1)="0",ISNUMBER(--$D1559)),"Có","Không"))</f>
        <v/>
      </c>
      <c r="T1559" s="22">
        <f>IF($D1559="","",IF(AND($C1559&lt;&gt;"",$Q1559="Có",$R1559="",$S1559="Có",AND($L1559&lt;&gt;"",OR($L1559&lt;&gt;"Chưa xác định",DANH_MUC!$L$9="Có"))),"Có","Không"))</f>
        <v/>
      </c>
      <c r="U1559" s="22">
        <f>IF(OR($D1559="",$T1559="Có"),"",IF($C1559="","Thiếu họ tên; ","")&amp;IF($S1559&lt;&gt;"Có","SĐT sai định dạng; ","")&amp;IF($R1559="Trùng","Trùng SĐT; ","")&amp;IF($Q1559&lt;&gt;"Có","Thiếu đồng ý bắt buộc; ","")&amp;IF($L1559="","Thiếu/sai Mã REF; ",IF(AND($L1559="Chưa xác định",DANH_MUC!$L$9&lt;&gt;"Có"),"Nguồn chưa xác định; ","")))</f>
        <v/>
      </c>
      <c r="V1559" s="22">
        <f>IF(OR($D1559="",$R1559="Trùng"),"",IF(COUNTIF(ORDERS!$C$2:$C$4995,$D1559)&gt;0,"Có","Không"))</f>
        <v/>
      </c>
      <c r="W1559" s="22">
        <f>IF(OR($D1559="",$R1559="Trùng"),"",COUNTIFS(ORDERS!$C$2:$C$4995,$D1559,ORDERS!$L$2:$L$4995,"Đã chuyển khoản"))</f>
        <v/>
      </c>
      <c r="X1559" s="23">
        <f>IF(OR($D1559="",$R1559="Trùng"),"",SUMIFS(ORDERS!$J$2:$J$4995,ORDERS!$C$2:$C$4995,$D1559,ORDERS!$L$2:$L$4995,"Đã chuyển khoản"))</f>
        <v/>
      </c>
      <c r="Y1559" s="24" t="n"/>
    </row>
    <row r="1560" ht="14.25" customHeight="1" s="40">
      <c r="A1560" s="24" t="n"/>
      <c r="B1560" s="27" t="n"/>
      <c r="C1560" s="24" t="n"/>
      <c r="D1560" s="28" t="n"/>
      <c r="E1560" s="29" t="n"/>
      <c r="F1560" s="24" t="n"/>
      <c r="G1560" s="24" t="n"/>
      <c r="H1560" s="21">
        <f>IF(ISNUMBER($B1560),INT($B1560)-WEEKDAY($B1560,2)+1,"")</f>
        <v/>
      </c>
      <c r="I1560" s="24" t="n"/>
      <c r="J1560" s="22">
        <f t="array" ref="J1560">IF($D1560="","",IF($I1560="","(trống REF)",IFERROR(INDEX(MASTER_SOURCE!$B$2:$B$495,MATCH($I1560,MASTER_SOURCE!$A$2:$A$495,0)),"(REF không có trong MASTER_SOURCE)")))</f>
        <v/>
      </c>
      <c r="K1560" s="22">
        <f t="array" ref="K1560">IF($D1560="","",IFERROR(INDEX(MASTER_SOURCE!$C$2:$C$495,MATCH($I1560,MASTER_SOURCE!$A$2:$A$495,0)),""))</f>
        <v/>
      </c>
      <c r="L1560" s="22">
        <f t="array" ref="L1560">IF($D1560="","",IFERROR(INDEX(MASTER_SOURCE!$D$2:$D$495,MATCH($I1560,MASTER_SOURCE!$A$2:$A$495,0)),""))</f>
        <v/>
      </c>
      <c r="M1560" s="24" t="n"/>
      <c r="N1560" s="24" t="n"/>
      <c r="O1560" s="24" t="n"/>
      <c r="P1560" s="24" t="n"/>
      <c r="Q1560" s="22">
        <f>IF($D1560="","",IF(AND(OR(DANH_MUC!$L$5&lt;&gt;"Có",M1560="Có"),OR(DANH_MUC!$L$6&lt;&gt;"Có",N1560="Có"),OR(DANH_MUC!$L$7&lt;&gt;"Có",O1560="Có"),OR(DANH_MUC!$L$8&lt;&gt;"Có",P1560="Có")),"Có","Không"))</f>
        <v/>
      </c>
      <c r="R1560" s="22">
        <f>IF($D1560="","",IF(COUNTIF($D$2:$D1560,$D1560)&gt;1,"Trùng",""))</f>
        <v/>
      </c>
      <c r="S1560" s="22">
        <f>IF($D1560="","",IF(AND(LEN($D1560)=10,LEFT($D1560,1)="0",ISNUMBER(--$D1560)),"Có","Không"))</f>
        <v/>
      </c>
      <c r="T1560" s="22">
        <f>IF($D1560="","",IF(AND($C1560&lt;&gt;"",$Q1560="Có",$R1560="",$S1560="Có",AND($L1560&lt;&gt;"",OR($L1560&lt;&gt;"Chưa xác định",DANH_MUC!$L$9="Có"))),"Có","Không"))</f>
        <v/>
      </c>
      <c r="U1560" s="22">
        <f>IF(OR($D1560="",$T1560="Có"),"",IF($C1560="","Thiếu họ tên; ","")&amp;IF($S1560&lt;&gt;"Có","SĐT sai định dạng; ","")&amp;IF($R1560="Trùng","Trùng SĐT; ","")&amp;IF($Q1560&lt;&gt;"Có","Thiếu đồng ý bắt buộc; ","")&amp;IF($L1560="","Thiếu/sai Mã REF; ",IF(AND($L1560="Chưa xác định",DANH_MUC!$L$9&lt;&gt;"Có"),"Nguồn chưa xác định; ","")))</f>
        <v/>
      </c>
      <c r="V1560" s="22">
        <f>IF(OR($D1560="",$R1560="Trùng"),"",IF(COUNTIF(ORDERS!$C$2:$C$4995,$D1560)&gt;0,"Có","Không"))</f>
        <v/>
      </c>
      <c r="W1560" s="22">
        <f>IF(OR($D1560="",$R1560="Trùng"),"",COUNTIFS(ORDERS!$C$2:$C$4995,$D1560,ORDERS!$L$2:$L$4995,"Đã chuyển khoản"))</f>
        <v/>
      </c>
      <c r="X1560" s="23">
        <f>IF(OR($D1560="",$R1560="Trùng"),"",SUMIFS(ORDERS!$J$2:$J$4995,ORDERS!$C$2:$C$4995,$D1560,ORDERS!$L$2:$L$4995,"Đã chuyển khoản"))</f>
        <v/>
      </c>
      <c r="Y1560" s="24" t="n"/>
    </row>
    <row r="1561" ht="14.25" customHeight="1" s="40">
      <c r="A1561" s="24" t="n"/>
      <c r="B1561" s="27" t="n"/>
      <c r="C1561" s="24" t="n"/>
      <c r="D1561" s="28" t="n"/>
      <c r="E1561" s="29" t="n"/>
      <c r="F1561" s="24" t="n"/>
      <c r="G1561" s="24" t="n"/>
      <c r="H1561" s="21">
        <f>IF(ISNUMBER($B1561),INT($B1561)-WEEKDAY($B1561,2)+1,"")</f>
        <v/>
      </c>
      <c r="I1561" s="24" t="n"/>
      <c r="J1561" s="22">
        <f t="array" ref="J1561">IF($D1561="","",IF($I1561="","(trống REF)",IFERROR(INDEX(MASTER_SOURCE!$B$2:$B$495,MATCH($I1561,MASTER_SOURCE!$A$2:$A$495,0)),"(REF không có trong MASTER_SOURCE)")))</f>
        <v/>
      </c>
      <c r="K1561" s="22">
        <f t="array" ref="K1561">IF($D1561="","",IFERROR(INDEX(MASTER_SOURCE!$C$2:$C$495,MATCH($I1561,MASTER_SOURCE!$A$2:$A$495,0)),""))</f>
        <v/>
      </c>
      <c r="L1561" s="22">
        <f t="array" ref="L1561">IF($D1561="","",IFERROR(INDEX(MASTER_SOURCE!$D$2:$D$495,MATCH($I1561,MASTER_SOURCE!$A$2:$A$495,0)),""))</f>
        <v/>
      </c>
      <c r="M1561" s="24" t="n"/>
      <c r="N1561" s="24" t="n"/>
      <c r="O1561" s="24" t="n"/>
      <c r="P1561" s="24" t="n"/>
      <c r="Q1561" s="22">
        <f>IF($D1561="","",IF(AND(OR(DANH_MUC!$L$5&lt;&gt;"Có",M1561="Có"),OR(DANH_MUC!$L$6&lt;&gt;"Có",N1561="Có"),OR(DANH_MUC!$L$7&lt;&gt;"Có",O1561="Có"),OR(DANH_MUC!$L$8&lt;&gt;"Có",P1561="Có")),"Có","Không"))</f>
        <v/>
      </c>
      <c r="R1561" s="22">
        <f>IF($D1561="","",IF(COUNTIF($D$2:$D1561,$D1561)&gt;1,"Trùng",""))</f>
        <v/>
      </c>
      <c r="S1561" s="22">
        <f>IF($D1561="","",IF(AND(LEN($D1561)=10,LEFT($D1561,1)="0",ISNUMBER(--$D1561)),"Có","Không"))</f>
        <v/>
      </c>
      <c r="T1561" s="22">
        <f>IF($D1561="","",IF(AND($C1561&lt;&gt;"",$Q1561="Có",$R1561="",$S1561="Có",AND($L1561&lt;&gt;"",OR($L1561&lt;&gt;"Chưa xác định",DANH_MUC!$L$9="Có"))),"Có","Không"))</f>
        <v/>
      </c>
      <c r="U1561" s="22">
        <f>IF(OR($D1561="",$T1561="Có"),"",IF($C1561="","Thiếu họ tên; ","")&amp;IF($S1561&lt;&gt;"Có","SĐT sai định dạng; ","")&amp;IF($R1561="Trùng","Trùng SĐT; ","")&amp;IF($Q1561&lt;&gt;"Có","Thiếu đồng ý bắt buộc; ","")&amp;IF($L1561="","Thiếu/sai Mã REF; ",IF(AND($L1561="Chưa xác định",DANH_MUC!$L$9&lt;&gt;"Có"),"Nguồn chưa xác định; ","")))</f>
        <v/>
      </c>
      <c r="V1561" s="22">
        <f>IF(OR($D1561="",$R1561="Trùng"),"",IF(COUNTIF(ORDERS!$C$2:$C$4995,$D1561)&gt;0,"Có","Không"))</f>
        <v/>
      </c>
      <c r="W1561" s="22">
        <f>IF(OR($D1561="",$R1561="Trùng"),"",COUNTIFS(ORDERS!$C$2:$C$4995,$D1561,ORDERS!$L$2:$L$4995,"Đã chuyển khoản"))</f>
        <v/>
      </c>
      <c r="X1561" s="23">
        <f>IF(OR($D1561="",$R1561="Trùng"),"",SUMIFS(ORDERS!$J$2:$J$4995,ORDERS!$C$2:$C$4995,$D1561,ORDERS!$L$2:$L$4995,"Đã chuyển khoản"))</f>
        <v/>
      </c>
      <c r="Y1561" s="24" t="n"/>
    </row>
    <row r="1562" ht="14.25" customHeight="1" s="40">
      <c r="A1562" s="24" t="n"/>
      <c r="B1562" s="27" t="n"/>
      <c r="C1562" s="24" t="n"/>
      <c r="D1562" s="28" t="n"/>
      <c r="E1562" s="29" t="n"/>
      <c r="F1562" s="24" t="n"/>
      <c r="G1562" s="24" t="n"/>
      <c r="H1562" s="21">
        <f>IF(ISNUMBER($B1562),INT($B1562)-WEEKDAY($B1562,2)+1,"")</f>
        <v/>
      </c>
      <c r="I1562" s="24" t="n"/>
      <c r="J1562" s="22">
        <f t="array" ref="J1562">IF($D1562="","",IF($I1562="","(trống REF)",IFERROR(INDEX(MASTER_SOURCE!$B$2:$B$495,MATCH($I1562,MASTER_SOURCE!$A$2:$A$495,0)),"(REF không có trong MASTER_SOURCE)")))</f>
        <v/>
      </c>
      <c r="K1562" s="22">
        <f t="array" ref="K1562">IF($D1562="","",IFERROR(INDEX(MASTER_SOURCE!$C$2:$C$495,MATCH($I1562,MASTER_SOURCE!$A$2:$A$495,0)),""))</f>
        <v/>
      </c>
      <c r="L1562" s="22">
        <f t="array" ref="L1562">IF($D1562="","",IFERROR(INDEX(MASTER_SOURCE!$D$2:$D$495,MATCH($I1562,MASTER_SOURCE!$A$2:$A$495,0)),""))</f>
        <v/>
      </c>
      <c r="M1562" s="24" t="n"/>
      <c r="N1562" s="24" t="n"/>
      <c r="O1562" s="24" t="n"/>
      <c r="P1562" s="24" t="n"/>
      <c r="Q1562" s="22">
        <f>IF($D1562="","",IF(AND(OR(DANH_MUC!$L$5&lt;&gt;"Có",M1562="Có"),OR(DANH_MUC!$L$6&lt;&gt;"Có",N1562="Có"),OR(DANH_MUC!$L$7&lt;&gt;"Có",O1562="Có"),OR(DANH_MUC!$L$8&lt;&gt;"Có",P1562="Có")),"Có","Không"))</f>
        <v/>
      </c>
      <c r="R1562" s="22">
        <f>IF($D1562="","",IF(COUNTIF($D$2:$D1562,$D1562)&gt;1,"Trùng",""))</f>
        <v/>
      </c>
      <c r="S1562" s="22">
        <f>IF($D1562="","",IF(AND(LEN($D1562)=10,LEFT($D1562,1)="0",ISNUMBER(--$D1562)),"Có","Không"))</f>
        <v/>
      </c>
      <c r="T1562" s="22">
        <f>IF($D1562="","",IF(AND($C1562&lt;&gt;"",$Q1562="Có",$R1562="",$S1562="Có",AND($L1562&lt;&gt;"",OR($L1562&lt;&gt;"Chưa xác định",DANH_MUC!$L$9="Có"))),"Có","Không"))</f>
        <v/>
      </c>
      <c r="U1562" s="22">
        <f>IF(OR($D1562="",$T1562="Có"),"",IF($C1562="","Thiếu họ tên; ","")&amp;IF($S1562&lt;&gt;"Có","SĐT sai định dạng; ","")&amp;IF($R1562="Trùng","Trùng SĐT; ","")&amp;IF($Q1562&lt;&gt;"Có","Thiếu đồng ý bắt buộc; ","")&amp;IF($L1562="","Thiếu/sai Mã REF; ",IF(AND($L1562="Chưa xác định",DANH_MUC!$L$9&lt;&gt;"Có"),"Nguồn chưa xác định; ","")))</f>
        <v/>
      </c>
      <c r="V1562" s="22">
        <f>IF(OR($D1562="",$R1562="Trùng"),"",IF(COUNTIF(ORDERS!$C$2:$C$4995,$D1562)&gt;0,"Có","Không"))</f>
        <v/>
      </c>
      <c r="W1562" s="22">
        <f>IF(OR($D1562="",$R1562="Trùng"),"",COUNTIFS(ORDERS!$C$2:$C$4995,$D1562,ORDERS!$L$2:$L$4995,"Đã chuyển khoản"))</f>
        <v/>
      </c>
      <c r="X1562" s="23">
        <f>IF(OR($D1562="",$R1562="Trùng"),"",SUMIFS(ORDERS!$J$2:$J$4995,ORDERS!$C$2:$C$4995,$D1562,ORDERS!$L$2:$L$4995,"Đã chuyển khoản"))</f>
        <v/>
      </c>
      <c r="Y1562" s="24" t="n"/>
    </row>
    <row r="1563" ht="14.25" customHeight="1" s="40">
      <c r="A1563" s="24" t="n"/>
      <c r="B1563" s="27" t="n"/>
      <c r="C1563" s="24" t="n"/>
      <c r="D1563" s="28" t="n"/>
      <c r="E1563" s="29" t="n"/>
      <c r="F1563" s="24" t="n"/>
      <c r="G1563" s="24" t="n"/>
      <c r="H1563" s="21">
        <f>IF(ISNUMBER($B1563),INT($B1563)-WEEKDAY($B1563,2)+1,"")</f>
        <v/>
      </c>
      <c r="I1563" s="24" t="n"/>
      <c r="J1563" s="22">
        <f t="array" ref="J1563">IF($D1563="","",IF($I1563="","(trống REF)",IFERROR(INDEX(MASTER_SOURCE!$B$2:$B$495,MATCH($I1563,MASTER_SOURCE!$A$2:$A$495,0)),"(REF không có trong MASTER_SOURCE)")))</f>
        <v/>
      </c>
      <c r="K1563" s="22">
        <f t="array" ref="K1563">IF($D1563="","",IFERROR(INDEX(MASTER_SOURCE!$C$2:$C$495,MATCH($I1563,MASTER_SOURCE!$A$2:$A$495,0)),""))</f>
        <v/>
      </c>
      <c r="L1563" s="22">
        <f t="array" ref="L1563">IF($D1563="","",IFERROR(INDEX(MASTER_SOURCE!$D$2:$D$495,MATCH($I1563,MASTER_SOURCE!$A$2:$A$495,0)),""))</f>
        <v/>
      </c>
      <c r="M1563" s="24" t="n"/>
      <c r="N1563" s="24" t="n"/>
      <c r="O1563" s="24" t="n"/>
      <c r="P1563" s="24" t="n"/>
      <c r="Q1563" s="22">
        <f>IF($D1563="","",IF(AND(OR(DANH_MUC!$L$5&lt;&gt;"Có",M1563="Có"),OR(DANH_MUC!$L$6&lt;&gt;"Có",N1563="Có"),OR(DANH_MUC!$L$7&lt;&gt;"Có",O1563="Có"),OR(DANH_MUC!$L$8&lt;&gt;"Có",P1563="Có")),"Có","Không"))</f>
        <v/>
      </c>
      <c r="R1563" s="22">
        <f>IF($D1563="","",IF(COUNTIF($D$2:$D1563,$D1563)&gt;1,"Trùng",""))</f>
        <v/>
      </c>
      <c r="S1563" s="22">
        <f>IF($D1563="","",IF(AND(LEN($D1563)=10,LEFT($D1563,1)="0",ISNUMBER(--$D1563)),"Có","Không"))</f>
        <v/>
      </c>
      <c r="T1563" s="22">
        <f>IF($D1563="","",IF(AND($C1563&lt;&gt;"",$Q1563="Có",$R1563="",$S1563="Có",AND($L1563&lt;&gt;"",OR($L1563&lt;&gt;"Chưa xác định",DANH_MUC!$L$9="Có"))),"Có","Không"))</f>
        <v/>
      </c>
      <c r="U1563" s="22">
        <f>IF(OR($D1563="",$T1563="Có"),"",IF($C1563="","Thiếu họ tên; ","")&amp;IF($S1563&lt;&gt;"Có","SĐT sai định dạng; ","")&amp;IF($R1563="Trùng","Trùng SĐT; ","")&amp;IF($Q1563&lt;&gt;"Có","Thiếu đồng ý bắt buộc; ","")&amp;IF($L1563="","Thiếu/sai Mã REF; ",IF(AND($L1563="Chưa xác định",DANH_MUC!$L$9&lt;&gt;"Có"),"Nguồn chưa xác định; ","")))</f>
        <v/>
      </c>
      <c r="V1563" s="22">
        <f>IF(OR($D1563="",$R1563="Trùng"),"",IF(COUNTIF(ORDERS!$C$2:$C$4995,$D1563)&gt;0,"Có","Không"))</f>
        <v/>
      </c>
      <c r="W1563" s="22">
        <f>IF(OR($D1563="",$R1563="Trùng"),"",COUNTIFS(ORDERS!$C$2:$C$4995,$D1563,ORDERS!$L$2:$L$4995,"Đã chuyển khoản"))</f>
        <v/>
      </c>
      <c r="X1563" s="23">
        <f>IF(OR($D1563="",$R1563="Trùng"),"",SUMIFS(ORDERS!$J$2:$J$4995,ORDERS!$C$2:$C$4995,$D1563,ORDERS!$L$2:$L$4995,"Đã chuyển khoản"))</f>
        <v/>
      </c>
      <c r="Y1563" s="24" t="n"/>
    </row>
    <row r="1564" ht="14.25" customHeight="1" s="40">
      <c r="A1564" s="24" t="n"/>
      <c r="B1564" s="27" t="n"/>
      <c r="C1564" s="24" t="n"/>
      <c r="D1564" s="28" t="n"/>
      <c r="E1564" s="29" t="n"/>
      <c r="F1564" s="24" t="n"/>
      <c r="G1564" s="24" t="n"/>
      <c r="H1564" s="21">
        <f>IF(ISNUMBER($B1564),INT($B1564)-WEEKDAY($B1564,2)+1,"")</f>
        <v/>
      </c>
      <c r="I1564" s="24" t="n"/>
      <c r="J1564" s="22">
        <f t="array" ref="J1564">IF($D1564="","",IF($I1564="","(trống REF)",IFERROR(INDEX(MASTER_SOURCE!$B$2:$B$495,MATCH($I1564,MASTER_SOURCE!$A$2:$A$495,0)),"(REF không có trong MASTER_SOURCE)")))</f>
        <v/>
      </c>
      <c r="K1564" s="22">
        <f t="array" ref="K1564">IF($D1564="","",IFERROR(INDEX(MASTER_SOURCE!$C$2:$C$495,MATCH($I1564,MASTER_SOURCE!$A$2:$A$495,0)),""))</f>
        <v/>
      </c>
      <c r="L1564" s="22">
        <f t="array" ref="L1564">IF($D1564="","",IFERROR(INDEX(MASTER_SOURCE!$D$2:$D$495,MATCH($I1564,MASTER_SOURCE!$A$2:$A$495,0)),""))</f>
        <v/>
      </c>
      <c r="M1564" s="24" t="n"/>
      <c r="N1564" s="24" t="n"/>
      <c r="O1564" s="24" t="n"/>
      <c r="P1564" s="24" t="n"/>
      <c r="Q1564" s="22">
        <f>IF($D1564="","",IF(AND(OR(DANH_MUC!$L$5&lt;&gt;"Có",M1564="Có"),OR(DANH_MUC!$L$6&lt;&gt;"Có",N1564="Có"),OR(DANH_MUC!$L$7&lt;&gt;"Có",O1564="Có"),OR(DANH_MUC!$L$8&lt;&gt;"Có",P1564="Có")),"Có","Không"))</f>
        <v/>
      </c>
      <c r="R1564" s="22">
        <f>IF($D1564="","",IF(COUNTIF($D$2:$D1564,$D1564)&gt;1,"Trùng",""))</f>
        <v/>
      </c>
      <c r="S1564" s="22">
        <f>IF($D1564="","",IF(AND(LEN($D1564)=10,LEFT($D1564,1)="0",ISNUMBER(--$D1564)),"Có","Không"))</f>
        <v/>
      </c>
      <c r="T1564" s="22">
        <f>IF($D1564="","",IF(AND($C1564&lt;&gt;"",$Q1564="Có",$R1564="",$S1564="Có",AND($L1564&lt;&gt;"",OR($L1564&lt;&gt;"Chưa xác định",DANH_MUC!$L$9="Có"))),"Có","Không"))</f>
        <v/>
      </c>
      <c r="U1564" s="22">
        <f>IF(OR($D1564="",$T1564="Có"),"",IF($C1564="","Thiếu họ tên; ","")&amp;IF($S1564&lt;&gt;"Có","SĐT sai định dạng; ","")&amp;IF($R1564="Trùng","Trùng SĐT; ","")&amp;IF($Q1564&lt;&gt;"Có","Thiếu đồng ý bắt buộc; ","")&amp;IF($L1564="","Thiếu/sai Mã REF; ",IF(AND($L1564="Chưa xác định",DANH_MUC!$L$9&lt;&gt;"Có"),"Nguồn chưa xác định; ","")))</f>
        <v/>
      </c>
      <c r="V1564" s="22">
        <f>IF(OR($D1564="",$R1564="Trùng"),"",IF(COUNTIF(ORDERS!$C$2:$C$4995,$D1564)&gt;0,"Có","Không"))</f>
        <v/>
      </c>
      <c r="W1564" s="22">
        <f>IF(OR($D1564="",$R1564="Trùng"),"",COUNTIFS(ORDERS!$C$2:$C$4995,$D1564,ORDERS!$L$2:$L$4995,"Đã chuyển khoản"))</f>
        <v/>
      </c>
      <c r="X1564" s="23">
        <f>IF(OR($D1564="",$R1564="Trùng"),"",SUMIFS(ORDERS!$J$2:$J$4995,ORDERS!$C$2:$C$4995,$D1564,ORDERS!$L$2:$L$4995,"Đã chuyển khoản"))</f>
        <v/>
      </c>
      <c r="Y1564" s="24" t="n"/>
    </row>
    <row r="1565" ht="14.25" customHeight="1" s="40">
      <c r="A1565" s="24" t="n"/>
      <c r="B1565" s="27" t="n"/>
      <c r="C1565" s="24" t="n"/>
      <c r="D1565" s="28" t="n"/>
      <c r="E1565" s="29" t="n"/>
      <c r="F1565" s="24" t="n"/>
      <c r="G1565" s="24" t="n"/>
      <c r="H1565" s="21">
        <f>IF(ISNUMBER($B1565),INT($B1565)-WEEKDAY($B1565,2)+1,"")</f>
        <v/>
      </c>
      <c r="I1565" s="24" t="n"/>
      <c r="J1565" s="22">
        <f t="array" ref="J1565">IF($D1565="","",IF($I1565="","(trống REF)",IFERROR(INDEX(MASTER_SOURCE!$B$2:$B$495,MATCH($I1565,MASTER_SOURCE!$A$2:$A$495,0)),"(REF không có trong MASTER_SOURCE)")))</f>
        <v/>
      </c>
      <c r="K1565" s="22">
        <f t="array" ref="K1565">IF($D1565="","",IFERROR(INDEX(MASTER_SOURCE!$C$2:$C$495,MATCH($I1565,MASTER_SOURCE!$A$2:$A$495,0)),""))</f>
        <v/>
      </c>
      <c r="L1565" s="22">
        <f t="array" ref="L1565">IF($D1565="","",IFERROR(INDEX(MASTER_SOURCE!$D$2:$D$495,MATCH($I1565,MASTER_SOURCE!$A$2:$A$495,0)),""))</f>
        <v/>
      </c>
      <c r="M1565" s="24" t="n"/>
      <c r="N1565" s="24" t="n"/>
      <c r="O1565" s="24" t="n"/>
      <c r="P1565" s="24" t="n"/>
      <c r="Q1565" s="22">
        <f>IF($D1565="","",IF(AND(OR(DANH_MUC!$L$5&lt;&gt;"Có",M1565="Có"),OR(DANH_MUC!$L$6&lt;&gt;"Có",N1565="Có"),OR(DANH_MUC!$L$7&lt;&gt;"Có",O1565="Có"),OR(DANH_MUC!$L$8&lt;&gt;"Có",P1565="Có")),"Có","Không"))</f>
        <v/>
      </c>
      <c r="R1565" s="22">
        <f>IF($D1565="","",IF(COUNTIF($D$2:$D1565,$D1565)&gt;1,"Trùng",""))</f>
        <v/>
      </c>
      <c r="S1565" s="22">
        <f>IF($D1565="","",IF(AND(LEN($D1565)=10,LEFT($D1565,1)="0",ISNUMBER(--$D1565)),"Có","Không"))</f>
        <v/>
      </c>
      <c r="T1565" s="22">
        <f>IF($D1565="","",IF(AND($C1565&lt;&gt;"",$Q1565="Có",$R1565="",$S1565="Có",AND($L1565&lt;&gt;"",OR($L1565&lt;&gt;"Chưa xác định",DANH_MUC!$L$9="Có"))),"Có","Không"))</f>
        <v/>
      </c>
      <c r="U1565" s="22">
        <f>IF(OR($D1565="",$T1565="Có"),"",IF($C1565="","Thiếu họ tên; ","")&amp;IF($S1565&lt;&gt;"Có","SĐT sai định dạng; ","")&amp;IF($R1565="Trùng","Trùng SĐT; ","")&amp;IF($Q1565&lt;&gt;"Có","Thiếu đồng ý bắt buộc; ","")&amp;IF($L1565="","Thiếu/sai Mã REF; ",IF(AND($L1565="Chưa xác định",DANH_MUC!$L$9&lt;&gt;"Có"),"Nguồn chưa xác định; ","")))</f>
        <v/>
      </c>
      <c r="V1565" s="22">
        <f>IF(OR($D1565="",$R1565="Trùng"),"",IF(COUNTIF(ORDERS!$C$2:$C$4995,$D1565)&gt;0,"Có","Không"))</f>
        <v/>
      </c>
      <c r="W1565" s="22">
        <f>IF(OR($D1565="",$R1565="Trùng"),"",COUNTIFS(ORDERS!$C$2:$C$4995,$D1565,ORDERS!$L$2:$L$4995,"Đã chuyển khoản"))</f>
        <v/>
      </c>
      <c r="X1565" s="23">
        <f>IF(OR($D1565="",$R1565="Trùng"),"",SUMIFS(ORDERS!$J$2:$J$4995,ORDERS!$C$2:$C$4995,$D1565,ORDERS!$L$2:$L$4995,"Đã chuyển khoản"))</f>
        <v/>
      </c>
      <c r="Y1565" s="24" t="n"/>
    </row>
    <row r="1566" ht="14.25" customHeight="1" s="40">
      <c r="A1566" s="24" t="n"/>
      <c r="B1566" s="27" t="n"/>
      <c r="C1566" s="24" t="n"/>
      <c r="D1566" s="28" t="n"/>
      <c r="E1566" s="29" t="n"/>
      <c r="F1566" s="24" t="n"/>
      <c r="G1566" s="24" t="n"/>
      <c r="H1566" s="21">
        <f>IF(ISNUMBER($B1566),INT($B1566)-WEEKDAY($B1566,2)+1,"")</f>
        <v/>
      </c>
      <c r="I1566" s="24" t="n"/>
      <c r="J1566" s="22">
        <f t="array" ref="J1566">IF($D1566="","",IF($I1566="","(trống REF)",IFERROR(INDEX(MASTER_SOURCE!$B$2:$B$495,MATCH($I1566,MASTER_SOURCE!$A$2:$A$495,0)),"(REF không có trong MASTER_SOURCE)")))</f>
        <v/>
      </c>
      <c r="K1566" s="22">
        <f t="array" ref="K1566">IF($D1566="","",IFERROR(INDEX(MASTER_SOURCE!$C$2:$C$495,MATCH($I1566,MASTER_SOURCE!$A$2:$A$495,0)),""))</f>
        <v/>
      </c>
      <c r="L1566" s="22">
        <f t="array" ref="L1566">IF($D1566="","",IFERROR(INDEX(MASTER_SOURCE!$D$2:$D$495,MATCH($I1566,MASTER_SOURCE!$A$2:$A$495,0)),""))</f>
        <v/>
      </c>
      <c r="M1566" s="24" t="n"/>
      <c r="N1566" s="24" t="n"/>
      <c r="O1566" s="24" t="n"/>
      <c r="P1566" s="24" t="n"/>
      <c r="Q1566" s="22">
        <f>IF($D1566="","",IF(AND(OR(DANH_MUC!$L$5&lt;&gt;"Có",M1566="Có"),OR(DANH_MUC!$L$6&lt;&gt;"Có",N1566="Có"),OR(DANH_MUC!$L$7&lt;&gt;"Có",O1566="Có"),OR(DANH_MUC!$L$8&lt;&gt;"Có",P1566="Có")),"Có","Không"))</f>
        <v/>
      </c>
      <c r="R1566" s="22">
        <f>IF($D1566="","",IF(COUNTIF($D$2:$D1566,$D1566)&gt;1,"Trùng",""))</f>
        <v/>
      </c>
      <c r="S1566" s="22">
        <f>IF($D1566="","",IF(AND(LEN($D1566)=10,LEFT($D1566,1)="0",ISNUMBER(--$D1566)),"Có","Không"))</f>
        <v/>
      </c>
      <c r="T1566" s="22">
        <f>IF($D1566="","",IF(AND($C1566&lt;&gt;"",$Q1566="Có",$R1566="",$S1566="Có",AND($L1566&lt;&gt;"",OR($L1566&lt;&gt;"Chưa xác định",DANH_MUC!$L$9="Có"))),"Có","Không"))</f>
        <v/>
      </c>
      <c r="U1566" s="22">
        <f>IF(OR($D1566="",$T1566="Có"),"",IF($C1566="","Thiếu họ tên; ","")&amp;IF($S1566&lt;&gt;"Có","SĐT sai định dạng; ","")&amp;IF($R1566="Trùng","Trùng SĐT; ","")&amp;IF($Q1566&lt;&gt;"Có","Thiếu đồng ý bắt buộc; ","")&amp;IF($L1566="","Thiếu/sai Mã REF; ",IF(AND($L1566="Chưa xác định",DANH_MUC!$L$9&lt;&gt;"Có"),"Nguồn chưa xác định; ","")))</f>
        <v/>
      </c>
      <c r="V1566" s="22">
        <f>IF(OR($D1566="",$R1566="Trùng"),"",IF(COUNTIF(ORDERS!$C$2:$C$4995,$D1566)&gt;0,"Có","Không"))</f>
        <v/>
      </c>
      <c r="W1566" s="22">
        <f>IF(OR($D1566="",$R1566="Trùng"),"",COUNTIFS(ORDERS!$C$2:$C$4995,$D1566,ORDERS!$L$2:$L$4995,"Đã chuyển khoản"))</f>
        <v/>
      </c>
      <c r="X1566" s="23">
        <f>IF(OR($D1566="",$R1566="Trùng"),"",SUMIFS(ORDERS!$J$2:$J$4995,ORDERS!$C$2:$C$4995,$D1566,ORDERS!$L$2:$L$4995,"Đã chuyển khoản"))</f>
        <v/>
      </c>
      <c r="Y1566" s="24" t="n"/>
    </row>
    <row r="1567" ht="14.25" customHeight="1" s="40">
      <c r="A1567" s="24" t="n"/>
      <c r="B1567" s="27" t="n"/>
      <c r="C1567" s="24" t="n"/>
      <c r="D1567" s="28" t="n"/>
      <c r="E1567" s="29" t="n"/>
      <c r="F1567" s="24" t="n"/>
      <c r="G1567" s="24" t="n"/>
      <c r="H1567" s="21">
        <f>IF(ISNUMBER($B1567),INT($B1567)-WEEKDAY($B1567,2)+1,"")</f>
        <v/>
      </c>
      <c r="I1567" s="24" t="n"/>
      <c r="J1567" s="22">
        <f t="array" ref="J1567">IF($D1567="","",IF($I1567="","(trống REF)",IFERROR(INDEX(MASTER_SOURCE!$B$2:$B$495,MATCH($I1567,MASTER_SOURCE!$A$2:$A$495,0)),"(REF không có trong MASTER_SOURCE)")))</f>
        <v/>
      </c>
      <c r="K1567" s="22">
        <f t="array" ref="K1567">IF($D1567="","",IFERROR(INDEX(MASTER_SOURCE!$C$2:$C$495,MATCH($I1567,MASTER_SOURCE!$A$2:$A$495,0)),""))</f>
        <v/>
      </c>
      <c r="L1567" s="22">
        <f t="array" ref="L1567">IF($D1567="","",IFERROR(INDEX(MASTER_SOURCE!$D$2:$D$495,MATCH($I1567,MASTER_SOURCE!$A$2:$A$495,0)),""))</f>
        <v/>
      </c>
      <c r="M1567" s="24" t="n"/>
      <c r="N1567" s="24" t="n"/>
      <c r="O1567" s="24" t="n"/>
      <c r="P1567" s="24" t="n"/>
      <c r="Q1567" s="22">
        <f>IF($D1567="","",IF(AND(OR(DANH_MUC!$L$5&lt;&gt;"Có",M1567="Có"),OR(DANH_MUC!$L$6&lt;&gt;"Có",N1567="Có"),OR(DANH_MUC!$L$7&lt;&gt;"Có",O1567="Có"),OR(DANH_MUC!$L$8&lt;&gt;"Có",P1567="Có")),"Có","Không"))</f>
        <v/>
      </c>
      <c r="R1567" s="22">
        <f>IF($D1567="","",IF(COUNTIF($D$2:$D1567,$D1567)&gt;1,"Trùng",""))</f>
        <v/>
      </c>
      <c r="S1567" s="22">
        <f>IF($D1567="","",IF(AND(LEN($D1567)=10,LEFT($D1567,1)="0",ISNUMBER(--$D1567)),"Có","Không"))</f>
        <v/>
      </c>
      <c r="T1567" s="22">
        <f>IF($D1567="","",IF(AND($C1567&lt;&gt;"",$Q1567="Có",$R1567="",$S1567="Có",AND($L1567&lt;&gt;"",OR($L1567&lt;&gt;"Chưa xác định",DANH_MUC!$L$9="Có"))),"Có","Không"))</f>
        <v/>
      </c>
      <c r="U1567" s="22">
        <f>IF(OR($D1567="",$T1567="Có"),"",IF($C1567="","Thiếu họ tên; ","")&amp;IF($S1567&lt;&gt;"Có","SĐT sai định dạng; ","")&amp;IF($R1567="Trùng","Trùng SĐT; ","")&amp;IF($Q1567&lt;&gt;"Có","Thiếu đồng ý bắt buộc; ","")&amp;IF($L1567="","Thiếu/sai Mã REF; ",IF(AND($L1567="Chưa xác định",DANH_MUC!$L$9&lt;&gt;"Có"),"Nguồn chưa xác định; ","")))</f>
        <v/>
      </c>
      <c r="V1567" s="22">
        <f>IF(OR($D1567="",$R1567="Trùng"),"",IF(COUNTIF(ORDERS!$C$2:$C$4995,$D1567)&gt;0,"Có","Không"))</f>
        <v/>
      </c>
      <c r="W1567" s="22">
        <f>IF(OR($D1567="",$R1567="Trùng"),"",COUNTIFS(ORDERS!$C$2:$C$4995,$D1567,ORDERS!$L$2:$L$4995,"Đã chuyển khoản"))</f>
        <v/>
      </c>
      <c r="X1567" s="23">
        <f>IF(OR($D1567="",$R1567="Trùng"),"",SUMIFS(ORDERS!$J$2:$J$4995,ORDERS!$C$2:$C$4995,$D1567,ORDERS!$L$2:$L$4995,"Đã chuyển khoản"))</f>
        <v/>
      </c>
      <c r="Y1567" s="24" t="n"/>
    </row>
    <row r="1568" ht="14.25" customHeight="1" s="40">
      <c r="A1568" s="24" t="n"/>
      <c r="B1568" s="27" t="n"/>
      <c r="C1568" s="24" t="n"/>
      <c r="D1568" s="28" t="n"/>
      <c r="E1568" s="29" t="n"/>
      <c r="F1568" s="24" t="n"/>
      <c r="G1568" s="24" t="n"/>
      <c r="H1568" s="21">
        <f>IF(ISNUMBER($B1568),INT($B1568)-WEEKDAY($B1568,2)+1,"")</f>
        <v/>
      </c>
      <c r="I1568" s="24" t="n"/>
      <c r="J1568" s="22">
        <f t="array" ref="J1568">IF($D1568="","",IF($I1568="","(trống REF)",IFERROR(INDEX(MASTER_SOURCE!$B$2:$B$495,MATCH($I1568,MASTER_SOURCE!$A$2:$A$495,0)),"(REF không có trong MASTER_SOURCE)")))</f>
        <v/>
      </c>
      <c r="K1568" s="22">
        <f t="array" ref="K1568">IF($D1568="","",IFERROR(INDEX(MASTER_SOURCE!$C$2:$C$495,MATCH($I1568,MASTER_SOURCE!$A$2:$A$495,0)),""))</f>
        <v/>
      </c>
      <c r="L1568" s="22">
        <f t="array" ref="L1568">IF($D1568="","",IFERROR(INDEX(MASTER_SOURCE!$D$2:$D$495,MATCH($I1568,MASTER_SOURCE!$A$2:$A$495,0)),""))</f>
        <v/>
      </c>
      <c r="M1568" s="24" t="n"/>
      <c r="N1568" s="24" t="n"/>
      <c r="O1568" s="24" t="n"/>
      <c r="P1568" s="24" t="n"/>
      <c r="Q1568" s="22">
        <f>IF($D1568="","",IF(AND(OR(DANH_MUC!$L$5&lt;&gt;"Có",M1568="Có"),OR(DANH_MUC!$L$6&lt;&gt;"Có",N1568="Có"),OR(DANH_MUC!$L$7&lt;&gt;"Có",O1568="Có"),OR(DANH_MUC!$L$8&lt;&gt;"Có",P1568="Có")),"Có","Không"))</f>
        <v/>
      </c>
      <c r="R1568" s="22">
        <f>IF($D1568="","",IF(COUNTIF($D$2:$D1568,$D1568)&gt;1,"Trùng",""))</f>
        <v/>
      </c>
      <c r="S1568" s="22">
        <f>IF($D1568="","",IF(AND(LEN($D1568)=10,LEFT($D1568,1)="0",ISNUMBER(--$D1568)),"Có","Không"))</f>
        <v/>
      </c>
      <c r="T1568" s="22">
        <f>IF($D1568="","",IF(AND($C1568&lt;&gt;"",$Q1568="Có",$R1568="",$S1568="Có",AND($L1568&lt;&gt;"",OR($L1568&lt;&gt;"Chưa xác định",DANH_MUC!$L$9="Có"))),"Có","Không"))</f>
        <v/>
      </c>
      <c r="U1568" s="22">
        <f>IF(OR($D1568="",$T1568="Có"),"",IF($C1568="","Thiếu họ tên; ","")&amp;IF($S1568&lt;&gt;"Có","SĐT sai định dạng; ","")&amp;IF($R1568="Trùng","Trùng SĐT; ","")&amp;IF($Q1568&lt;&gt;"Có","Thiếu đồng ý bắt buộc; ","")&amp;IF($L1568="","Thiếu/sai Mã REF; ",IF(AND($L1568="Chưa xác định",DANH_MUC!$L$9&lt;&gt;"Có"),"Nguồn chưa xác định; ","")))</f>
        <v/>
      </c>
      <c r="V1568" s="22">
        <f>IF(OR($D1568="",$R1568="Trùng"),"",IF(COUNTIF(ORDERS!$C$2:$C$4995,$D1568)&gt;0,"Có","Không"))</f>
        <v/>
      </c>
      <c r="W1568" s="22">
        <f>IF(OR($D1568="",$R1568="Trùng"),"",COUNTIFS(ORDERS!$C$2:$C$4995,$D1568,ORDERS!$L$2:$L$4995,"Đã chuyển khoản"))</f>
        <v/>
      </c>
      <c r="X1568" s="23">
        <f>IF(OR($D1568="",$R1568="Trùng"),"",SUMIFS(ORDERS!$J$2:$J$4995,ORDERS!$C$2:$C$4995,$D1568,ORDERS!$L$2:$L$4995,"Đã chuyển khoản"))</f>
        <v/>
      </c>
      <c r="Y1568" s="24" t="n"/>
    </row>
    <row r="1569" ht="14.25" customHeight="1" s="40">
      <c r="A1569" s="24" t="n"/>
      <c r="B1569" s="27" t="n"/>
      <c r="C1569" s="24" t="n"/>
      <c r="D1569" s="28" t="n"/>
      <c r="E1569" s="29" t="n"/>
      <c r="F1569" s="24" t="n"/>
      <c r="G1569" s="24" t="n"/>
      <c r="H1569" s="21">
        <f>IF(ISNUMBER($B1569),INT($B1569)-WEEKDAY($B1569,2)+1,"")</f>
        <v/>
      </c>
      <c r="I1569" s="24" t="n"/>
      <c r="J1569" s="22">
        <f t="array" ref="J1569">IF($D1569="","",IF($I1569="","(trống REF)",IFERROR(INDEX(MASTER_SOURCE!$B$2:$B$495,MATCH($I1569,MASTER_SOURCE!$A$2:$A$495,0)),"(REF không có trong MASTER_SOURCE)")))</f>
        <v/>
      </c>
      <c r="K1569" s="22">
        <f t="array" ref="K1569">IF($D1569="","",IFERROR(INDEX(MASTER_SOURCE!$C$2:$C$495,MATCH($I1569,MASTER_SOURCE!$A$2:$A$495,0)),""))</f>
        <v/>
      </c>
      <c r="L1569" s="22">
        <f t="array" ref="L1569">IF($D1569="","",IFERROR(INDEX(MASTER_SOURCE!$D$2:$D$495,MATCH($I1569,MASTER_SOURCE!$A$2:$A$495,0)),""))</f>
        <v/>
      </c>
      <c r="M1569" s="24" t="n"/>
      <c r="N1569" s="24" t="n"/>
      <c r="O1569" s="24" t="n"/>
      <c r="P1569" s="24" t="n"/>
      <c r="Q1569" s="22">
        <f>IF($D1569="","",IF(AND(OR(DANH_MUC!$L$5&lt;&gt;"Có",M1569="Có"),OR(DANH_MUC!$L$6&lt;&gt;"Có",N1569="Có"),OR(DANH_MUC!$L$7&lt;&gt;"Có",O1569="Có"),OR(DANH_MUC!$L$8&lt;&gt;"Có",P1569="Có")),"Có","Không"))</f>
        <v/>
      </c>
      <c r="R1569" s="22">
        <f>IF($D1569="","",IF(COUNTIF($D$2:$D1569,$D1569)&gt;1,"Trùng",""))</f>
        <v/>
      </c>
      <c r="S1569" s="22">
        <f>IF($D1569="","",IF(AND(LEN($D1569)=10,LEFT($D1569,1)="0",ISNUMBER(--$D1569)),"Có","Không"))</f>
        <v/>
      </c>
      <c r="T1569" s="22">
        <f>IF($D1569="","",IF(AND($C1569&lt;&gt;"",$Q1569="Có",$R1569="",$S1569="Có",AND($L1569&lt;&gt;"",OR($L1569&lt;&gt;"Chưa xác định",DANH_MUC!$L$9="Có"))),"Có","Không"))</f>
        <v/>
      </c>
      <c r="U1569" s="22">
        <f>IF(OR($D1569="",$T1569="Có"),"",IF($C1569="","Thiếu họ tên; ","")&amp;IF($S1569&lt;&gt;"Có","SĐT sai định dạng; ","")&amp;IF($R1569="Trùng","Trùng SĐT; ","")&amp;IF($Q1569&lt;&gt;"Có","Thiếu đồng ý bắt buộc; ","")&amp;IF($L1569="","Thiếu/sai Mã REF; ",IF(AND($L1569="Chưa xác định",DANH_MUC!$L$9&lt;&gt;"Có"),"Nguồn chưa xác định; ","")))</f>
        <v/>
      </c>
      <c r="V1569" s="22">
        <f>IF(OR($D1569="",$R1569="Trùng"),"",IF(COUNTIF(ORDERS!$C$2:$C$4995,$D1569)&gt;0,"Có","Không"))</f>
        <v/>
      </c>
      <c r="W1569" s="22">
        <f>IF(OR($D1569="",$R1569="Trùng"),"",COUNTIFS(ORDERS!$C$2:$C$4995,$D1569,ORDERS!$L$2:$L$4995,"Đã chuyển khoản"))</f>
        <v/>
      </c>
      <c r="X1569" s="23">
        <f>IF(OR($D1569="",$R1569="Trùng"),"",SUMIFS(ORDERS!$J$2:$J$4995,ORDERS!$C$2:$C$4995,$D1569,ORDERS!$L$2:$L$4995,"Đã chuyển khoản"))</f>
        <v/>
      </c>
      <c r="Y1569" s="24" t="n"/>
    </row>
    <row r="1570" ht="14.25" customHeight="1" s="40">
      <c r="A1570" s="24" t="n"/>
      <c r="B1570" s="27" t="n"/>
      <c r="C1570" s="24" t="n"/>
      <c r="D1570" s="28" t="n"/>
      <c r="E1570" s="29" t="n"/>
      <c r="F1570" s="24" t="n"/>
      <c r="G1570" s="24" t="n"/>
      <c r="H1570" s="21">
        <f>IF(ISNUMBER($B1570),INT($B1570)-WEEKDAY($B1570,2)+1,"")</f>
        <v/>
      </c>
      <c r="I1570" s="24" t="n"/>
      <c r="J1570" s="22">
        <f t="array" ref="J1570">IF($D1570="","",IF($I1570="","(trống REF)",IFERROR(INDEX(MASTER_SOURCE!$B$2:$B$495,MATCH($I1570,MASTER_SOURCE!$A$2:$A$495,0)),"(REF không có trong MASTER_SOURCE)")))</f>
        <v/>
      </c>
      <c r="K1570" s="22">
        <f t="array" ref="K1570">IF($D1570="","",IFERROR(INDEX(MASTER_SOURCE!$C$2:$C$495,MATCH($I1570,MASTER_SOURCE!$A$2:$A$495,0)),""))</f>
        <v/>
      </c>
      <c r="L1570" s="22">
        <f t="array" ref="L1570">IF($D1570="","",IFERROR(INDEX(MASTER_SOURCE!$D$2:$D$495,MATCH($I1570,MASTER_SOURCE!$A$2:$A$495,0)),""))</f>
        <v/>
      </c>
      <c r="M1570" s="24" t="n"/>
      <c r="N1570" s="24" t="n"/>
      <c r="O1570" s="24" t="n"/>
      <c r="P1570" s="24" t="n"/>
      <c r="Q1570" s="22">
        <f>IF($D1570="","",IF(AND(OR(DANH_MUC!$L$5&lt;&gt;"Có",M1570="Có"),OR(DANH_MUC!$L$6&lt;&gt;"Có",N1570="Có"),OR(DANH_MUC!$L$7&lt;&gt;"Có",O1570="Có"),OR(DANH_MUC!$L$8&lt;&gt;"Có",P1570="Có")),"Có","Không"))</f>
        <v/>
      </c>
      <c r="R1570" s="22">
        <f>IF($D1570="","",IF(COUNTIF($D$2:$D1570,$D1570)&gt;1,"Trùng",""))</f>
        <v/>
      </c>
      <c r="S1570" s="22">
        <f>IF($D1570="","",IF(AND(LEN($D1570)=10,LEFT($D1570,1)="0",ISNUMBER(--$D1570)),"Có","Không"))</f>
        <v/>
      </c>
      <c r="T1570" s="22">
        <f>IF($D1570="","",IF(AND($C1570&lt;&gt;"",$Q1570="Có",$R1570="",$S1570="Có",AND($L1570&lt;&gt;"",OR($L1570&lt;&gt;"Chưa xác định",DANH_MUC!$L$9="Có"))),"Có","Không"))</f>
        <v/>
      </c>
      <c r="U1570" s="22">
        <f>IF(OR($D1570="",$T1570="Có"),"",IF($C1570="","Thiếu họ tên; ","")&amp;IF($S1570&lt;&gt;"Có","SĐT sai định dạng; ","")&amp;IF($R1570="Trùng","Trùng SĐT; ","")&amp;IF($Q1570&lt;&gt;"Có","Thiếu đồng ý bắt buộc; ","")&amp;IF($L1570="","Thiếu/sai Mã REF; ",IF(AND($L1570="Chưa xác định",DANH_MUC!$L$9&lt;&gt;"Có"),"Nguồn chưa xác định; ","")))</f>
        <v/>
      </c>
      <c r="V1570" s="22">
        <f>IF(OR($D1570="",$R1570="Trùng"),"",IF(COUNTIF(ORDERS!$C$2:$C$4995,$D1570)&gt;0,"Có","Không"))</f>
        <v/>
      </c>
      <c r="W1570" s="22">
        <f>IF(OR($D1570="",$R1570="Trùng"),"",COUNTIFS(ORDERS!$C$2:$C$4995,$D1570,ORDERS!$L$2:$L$4995,"Đã chuyển khoản"))</f>
        <v/>
      </c>
      <c r="X1570" s="23">
        <f>IF(OR($D1570="",$R1570="Trùng"),"",SUMIFS(ORDERS!$J$2:$J$4995,ORDERS!$C$2:$C$4995,$D1570,ORDERS!$L$2:$L$4995,"Đã chuyển khoản"))</f>
        <v/>
      </c>
      <c r="Y1570" s="24" t="n"/>
    </row>
    <row r="1571" ht="14.25" customHeight="1" s="40">
      <c r="A1571" s="24" t="n"/>
      <c r="B1571" s="27" t="n"/>
      <c r="C1571" s="24" t="n"/>
      <c r="D1571" s="28" t="n"/>
      <c r="E1571" s="29" t="n"/>
      <c r="F1571" s="24" t="n"/>
      <c r="G1571" s="24" t="n"/>
      <c r="H1571" s="21">
        <f>IF(ISNUMBER($B1571),INT($B1571)-WEEKDAY($B1571,2)+1,"")</f>
        <v/>
      </c>
      <c r="I1571" s="24" t="n"/>
      <c r="J1571" s="22">
        <f t="array" ref="J1571">IF($D1571="","",IF($I1571="","(trống REF)",IFERROR(INDEX(MASTER_SOURCE!$B$2:$B$495,MATCH($I1571,MASTER_SOURCE!$A$2:$A$495,0)),"(REF không có trong MASTER_SOURCE)")))</f>
        <v/>
      </c>
      <c r="K1571" s="22">
        <f t="array" ref="K1571">IF($D1571="","",IFERROR(INDEX(MASTER_SOURCE!$C$2:$C$495,MATCH($I1571,MASTER_SOURCE!$A$2:$A$495,0)),""))</f>
        <v/>
      </c>
      <c r="L1571" s="22">
        <f t="array" ref="L1571">IF($D1571="","",IFERROR(INDEX(MASTER_SOURCE!$D$2:$D$495,MATCH($I1571,MASTER_SOURCE!$A$2:$A$495,0)),""))</f>
        <v/>
      </c>
      <c r="M1571" s="24" t="n"/>
      <c r="N1571" s="24" t="n"/>
      <c r="O1571" s="24" t="n"/>
      <c r="P1571" s="24" t="n"/>
      <c r="Q1571" s="22">
        <f>IF($D1571="","",IF(AND(OR(DANH_MUC!$L$5&lt;&gt;"Có",M1571="Có"),OR(DANH_MUC!$L$6&lt;&gt;"Có",N1571="Có"),OR(DANH_MUC!$L$7&lt;&gt;"Có",O1571="Có"),OR(DANH_MUC!$L$8&lt;&gt;"Có",P1571="Có")),"Có","Không"))</f>
        <v/>
      </c>
      <c r="R1571" s="22">
        <f>IF($D1571="","",IF(COUNTIF($D$2:$D1571,$D1571)&gt;1,"Trùng",""))</f>
        <v/>
      </c>
      <c r="S1571" s="22">
        <f>IF($D1571="","",IF(AND(LEN($D1571)=10,LEFT($D1571,1)="0",ISNUMBER(--$D1571)),"Có","Không"))</f>
        <v/>
      </c>
      <c r="T1571" s="22">
        <f>IF($D1571="","",IF(AND($C1571&lt;&gt;"",$Q1571="Có",$R1571="",$S1571="Có",AND($L1571&lt;&gt;"",OR($L1571&lt;&gt;"Chưa xác định",DANH_MUC!$L$9="Có"))),"Có","Không"))</f>
        <v/>
      </c>
      <c r="U1571" s="22">
        <f>IF(OR($D1571="",$T1571="Có"),"",IF($C1571="","Thiếu họ tên; ","")&amp;IF($S1571&lt;&gt;"Có","SĐT sai định dạng; ","")&amp;IF($R1571="Trùng","Trùng SĐT; ","")&amp;IF($Q1571&lt;&gt;"Có","Thiếu đồng ý bắt buộc; ","")&amp;IF($L1571="","Thiếu/sai Mã REF; ",IF(AND($L1571="Chưa xác định",DANH_MUC!$L$9&lt;&gt;"Có"),"Nguồn chưa xác định; ","")))</f>
        <v/>
      </c>
      <c r="V1571" s="22">
        <f>IF(OR($D1571="",$R1571="Trùng"),"",IF(COUNTIF(ORDERS!$C$2:$C$4995,$D1571)&gt;0,"Có","Không"))</f>
        <v/>
      </c>
      <c r="W1571" s="22">
        <f>IF(OR($D1571="",$R1571="Trùng"),"",COUNTIFS(ORDERS!$C$2:$C$4995,$D1571,ORDERS!$L$2:$L$4995,"Đã chuyển khoản"))</f>
        <v/>
      </c>
      <c r="X1571" s="23">
        <f>IF(OR($D1571="",$R1571="Trùng"),"",SUMIFS(ORDERS!$J$2:$J$4995,ORDERS!$C$2:$C$4995,$D1571,ORDERS!$L$2:$L$4995,"Đã chuyển khoản"))</f>
        <v/>
      </c>
      <c r="Y1571" s="24" t="n"/>
    </row>
    <row r="1572" ht="14.25" customHeight="1" s="40">
      <c r="A1572" s="24" t="n"/>
      <c r="B1572" s="27" t="n"/>
      <c r="C1572" s="24" t="n"/>
      <c r="D1572" s="28" t="n"/>
      <c r="E1572" s="29" t="n"/>
      <c r="F1572" s="24" t="n"/>
      <c r="G1572" s="24" t="n"/>
      <c r="H1572" s="21">
        <f>IF(ISNUMBER($B1572),INT($B1572)-WEEKDAY($B1572,2)+1,"")</f>
        <v/>
      </c>
      <c r="I1572" s="24" t="n"/>
      <c r="J1572" s="22">
        <f t="array" ref="J1572">IF($D1572="","",IF($I1572="","(trống REF)",IFERROR(INDEX(MASTER_SOURCE!$B$2:$B$495,MATCH($I1572,MASTER_SOURCE!$A$2:$A$495,0)),"(REF không có trong MASTER_SOURCE)")))</f>
        <v/>
      </c>
      <c r="K1572" s="22">
        <f t="array" ref="K1572">IF($D1572="","",IFERROR(INDEX(MASTER_SOURCE!$C$2:$C$495,MATCH($I1572,MASTER_SOURCE!$A$2:$A$495,0)),""))</f>
        <v/>
      </c>
      <c r="L1572" s="22">
        <f t="array" ref="L1572">IF($D1572="","",IFERROR(INDEX(MASTER_SOURCE!$D$2:$D$495,MATCH($I1572,MASTER_SOURCE!$A$2:$A$495,0)),""))</f>
        <v/>
      </c>
      <c r="M1572" s="24" t="n"/>
      <c r="N1572" s="24" t="n"/>
      <c r="O1572" s="24" t="n"/>
      <c r="P1572" s="24" t="n"/>
      <c r="Q1572" s="22">
        <f>IF($D1572="","",IF(AND(OR(DANH_MUC!$L$5&lt;&gt;"Có",M1572="Có"),OR(DANH_MUC!$L$6&lt;&gt;"Có",N1572="Có"),OR(DANH_MUC!$L$7&lt;&gt;"Có",O1572="Có"),OR(DANH_MUC!$L$8&lt;&gt;"Có",P1572="Có")),"Có","Không"))</f>
        <v/>
      </c>
      <c r="R1572" s="22">
        <f>IF($D1572="","",IF(COUNTIF($D$2:$D1572,$D1572)&gt;1,"Trùng",""))</f>
        <v/>
      </c>
      <c r="S1572" s="22">
        <f>IF($D1572="","",IF(AND(LEN($D1572)=10,LEFT($D1572,1)="0",ISNUMBER(--$D1572)),"Có","Không"))</f>
        <v/>
      </c>
      <c r="T1572" s="22">
        <f>IF($D1572="","",IF(AND($C1572&lt;&gt;"",$Q1572="Có",$R1572="",$S1572="Có",AND($L1572&lt;&gt;"",OR($L1572&lt;&gt;"Chưa xác định",DANH_MUC!$L$9="Có"))),"Có","Không"))</f>
        <v/>
      </c>
      <c r="U1572" s="22">
        <f>IF(OR($D1572="",$T1572="Có"),"",IF($C1572="","Thiếu họ tên; ","")&amp;IF($S1572&lt;&gt;"Có","SĐT sai định dạng; ","")&amp;IF($R1572="Trùng","Trùng SĐT; ","")&amp;IF($Q1572&lt;&gt;"Có","Thiếu đồng ý bắt buộc; ","")&amp;IF($L1572="","Thiếu/sai Mã REF; ",IF(AND($L1572="Chưa xác định",DANH_MUC!$L$9&lt;&gt;"Có"),"Nguồn chưa xác định; ","")))</f>
        <v/>
      </c>
      <c r="V1572" s="22">
        <f>IF(OR($D1572="",$R1572="Trùng"),"",IF(COUNTIF(ORDERS!$C$2:$C$4995,$D1572)&gt;0,"Có","Không"))</f>
        <v/>
      </c>
      <c r="W1572" s="22">
        <f>IF(OR($D1572="",$R1572="Trùng"),"",COUNTIFS(ORDERS!$C$2:$C$4995,$D1572,ORDERS!$L$2:$L$4995,"Đã chuyển khoản"))</f>
        <v/>
      </c>
      <c r="X1572" s="23">
        <f>IF(OR($D1572="",$R1572="Trùng"),"",SUMIFS(ORDERS!$J$2:$J$4995,ORDERS!$C$2:$C$4995,$D1572,ORDERS!$L$2:$L$4995,"Đã chuyển khoản"))</f>
        <v/>
      </c>
      <c r="Y1572" s="24" t="n"/>
    </row>
    <row r="1573" ht="14.25" customHeight="1" s="40">
      <c r="A1573" s="24" t="n"/>
      <c r="B1573" s="27" t="n"/>
      <c r="C1573" s="24" t="n"/>
      <c r="D1573" s="28" t="n"/>
      <c r="E1573" s="29" t="n"/>
      <c r="F1573" s="24" t="n"/>
      <c r="G1573" s="24" t="n"/>
      <c r="H1573" s="21">
        <f>IF(ISNUMBER($B1573),INT($B1573)-WEEKDAY($B1573,2)+1,"")</f>
        <v/>
      </c>
      <c r="I1573" s="24" t="n"/>
      <c r="J1573" s="22">
        <f t="array" ref="J1573">IF($D1573="","",IF($I1573="","(trống REF)",IFERROR(INDEX(MASTER_SOURCE!$B$2:$B$495,MATCH($I1573,MASTER_SOURCE!$A$2:$A$495,0)),"(REF không có trong MASTER_SOURCE)")))</f>
        <v/>
      </c>
      <c r="K1573" s="22">
        <f t="array" ref="K1573">IF($D1573="","",IFERROR(INDEX(MASTER_SOURCE!$C$2:$C$495,MATCH($I1573,MASTER_SOURCE!$A$2:$A$495,0)),""))</f>
        <v/>
      </c>
      <c r="L1573" s="22">
        <f t="array" ref="L1573">IF($D1573="","",IFERROR(INDEX(MASTER_SOURCE!$D$2:$D$495,MATCH($I1573,MASTER_SOURCE!$A$2:$A$495,0)),""))</f>
        <v/>
      </c>
      <c r="M1573" s="24" t="n"/>
      <c r="N1573" s="24" t="n"/>
      <c r="O1573" s="24" t="n"/>
      <c r="P1573" s="24" t="n"/>
      <c r="Q1573" s="22">
        <f>IF($D1573="","",IF(AND(OR(DANH_MUC!$L$5&lt;&gt;"Có",M1573="Có"),OR(DANH_MUC!$L$6&lt;&gt;"Có",N1573="Có"),OR(DANH_MUC!$L$7&lt;&gt;"Có",O1573="Có"),OR(DANH_MUC!$L$8&lt;&gt;"Có",P1573="Có")),"Có","Không"))</f>
        <v/>
      </c>
      <c r="R1573" s="22">
        <f>IF($D1573="","",IF(COUNTIF($D$2:$D1573,$D1573)&gt;1,"Trùng",""))</f>
        <v/>
      </c>
      <c r="S1573" s="22">
        <f>IF($D1573="","",IF(AND(LEN($D1573)=10,LEFT($D1573,1)="0",ISNUMBER(--$D1573)),"Có","Không"))</f>
        <v/>
      </c>
      <c r="T1573" s="22">
        <f>IF($D1573="","",IF(AND($C1573&lt;&gt;"",$Q1573="Có",$R1573="",$S1573="Có",AND($L1573&lt;&gt;"",OR($L1573&lt;&gt;"Chưa xác định",DANH_MUC!$L$9="Có"))),"Có","Không"))</f>
        <v/>
      </c>
      <c r="U1573" s="22">
        <f>IF(OR($D1573="",$T1573="Có"),"",IF($C1573="","Thiếu họ tên; ","")&amp;IF($S1573&lt;&gt;"Có","SĐT sai định dạng; ","")&amp;IF($R1573="Trùng","Trùng SĐT; ","")&amp;IF($Q1573&lt;&gt;"Có","Thiếu đồng ý bắt buộc; ","")&amp;IF($L1573="","Thiếu/sai Mã REF; ",IF(AND($L1573="Chưa xác định",DANH_MUC!$L$9&lt;&gt;"Có"),"Nguồn chưa xác định; ","")))</f>
        <v/>
      </c>
      <c r="V1573" s="22">
        <f>IF(OR($D1573="",$R1573="Trùng"),"",IF(COUNTIF(ORDERS!$C$2:$C$4995,$D1573)&gt;0,"Có","Không"))</f>
        <v/>
      </c>
      <c r="W1573" s="22">
        <f>IF(OR($D1573="",$R1573="Trùng"),"",COUNTIFS(ORDERS!$C$2:$C$4995,$D1573,ORDERS!$L$2:$L$4995,"Đã chuyển khoản"))</f>
        <v/>
      </c>
      <c r="X1573" s="23">
        <f>IF(OR($D1573="",$R1573="Trùng"),"",SUMIFS(ORDERS!$J$2:$J$4995,ORDERS!$C$2:$C$4995,$D1573,ORDERS!$L$2:$L$4995,"Đã chuyển khoản"))</f>
        <v/>
      </c>
      <c r="Y1573" s="24" t="n"/>
    </row>
    <row r="1574" ht="14.25" customHeight="1" s="40">
      <c r="A1574" s="24" t="n"/>
      <c r="B1574" s="27" t="n"/>
      <c r="C1574" s="24" t="n"/>
      <c r="D1574" s="28" t="n"/>
      <c r="E1574" s="29" t="n"/>
      <c r="F1574" s="24" t="n"/>
      <c r="G1574" s="24" t="n"/>
      <c r="H1574" s="21">
        <f>IF(ISNUMBER($B1574),INT($B1574)-WEEKDAY($B1574,2)+1,"")</f>
        <v/>
      </c>
      <c r="I1574" s="24" t="n"/>
      <c r="J1574" s="22">
        <f t="array" ref="J1574">IF($D1574="","",IF($I1574="","(trống REF)",IFERROR(INDEX(MASTER_SOURCE!$B$2:$B$495,MATCH($I1574,MASTER_SOURCE!$A$2:$A$495,0)),"(REF không có trong MASTER_SOURCE)")))</f>
        <v/>
      </c>
      <c r="K1574" s="22">
        <f t="array" ref="K1574">IF($D1574="","",IFERROR(INDEX(MASTER_SOURCE!$C$2:$C$495,MATCH($I1574,MASTER_SOURCE!$A$2:$A$495,0)),""))</f>
        <v/>
      </c>
      <c r="L1574" s="22">
        <f t="array" ref="L1574">IF($D1574="","",IFERROR(INDEX(MASTER_SOURCE!$D$2:$D$495,MATCH($I1574,MASTER_SOURCE!$A$2:$A$495,0)),""))</f>
        <v/>
      </c>
      <c r="M1574" s="24" t="n"/>
      <c r="N1574" s="24" t="n"/>
      <c r="O1574" s="24" t="n"/>
      <c r="P1574" s="24" t="n"/>
      <c r="Q1574" s="22">
        <f>IF($D1574="","",IF(AND(OR(DANH_MUC!$L$5&lt;&gt;"Có",M1574="Có"),OR(DANH_MUC!$L$6&lt;&gt;"Có",N1574="Có"),OR(DANH_MUC!$L$7&lt;&gt;"Có",O1574="Có"),OR(DANH_MUC!$L$8&lt;&gt;"Có",P1574="Có")),"Có","Không"))</f>
        <v/>
      </c>
      <c r="R1574" s="22">
        <f>IF($D1574="","",IF(COUNTIF($D$2:$D1574,$D1574)&gt;1,"Trùng",""))</f>
        <v/>
      </c>
      <c r="S1574" s="22">
        <f>IF($D1574="","",IF(AND(LEN($D1574)=10,LEFT($D1574,1)="0",ISNUMBER(--$D1574)),"Có","Không"))</f>
        <v/>
      </c>
      <c r="T1574" s="22">
        <f>IF($D1574="","",IF(AND($C1574&lt;&gt;"",$Q1574="Có",$R1574="",$S1574="Có",AND($L1574&lt;&gt;"",OR($L1574&lt;&gt;"Chưa xác định",DANH_MUC!$L$9="Có"))),"Có","Không"))</f>
        <v/>
      </c>
      <c r="U1574" s="22">
        <f>IF(OR($D1574="",$T1574="Có"),"",IF($C1574="","Thiếu họ tên; ","")&amp;IF($S1574&lt;&gt;"Có","SĐT sai định dạng; ","")&amp;IF($R1574="Trùng","Trùng SĐT; ","")&amp;IF($Q1574&lt;&gt;"Có","Thiếu đồng ý bắt buộc; ","")&amp;IF($L1574="","Thiếu/sai Mã REF; ",IF(AND($L1574="Chưa xác định",DANH_MUC!$L$9&lt;&gt;"Có"),"Nguồn chưa xác định; ","")))</f>
        <v/>
      </c>
      <c r="V1574" s="22">
        <f>IF(OR($D1574="",$R1574="Trùng"),"",IF(COUNTIF(ORDERS!$C$2:$C$4995,$D1574)&gt;0,"Có","Không"))</f>
        <v/>
      </c>
      <c r="W1574" s="22">
        <f>IF(OR($D1574="",$R1574="Trùng"),"",COUNTIFS(ORDERS!$C$2:$C$4995,$D1574,ORDERS!$L$2:$L$4995,"Đã chuyển khoản"))</f>
        <v/>
      </c>
      <c r="X1574" s="23">
        <f>IF(OR($D1574="",$R1574="Trùng"),"",SUMIFS(ORDERS!$J$2:$J$4995,ORDERS!$C$2:$C$4995,$D1574,ORDERS!$L$2:$L$4995,"Đã chuyển khoản"))</f>
        <v/>
      </c>
      <c r="Y1574" s="24" t="n"/>
    </row>
    <row r="1575" ht="14.25" customHeight="1" s="40">
      <c r="A1575" s="24" t="n"/>
      <c r="B1575" s="27" t="n"/>
      <c r="C1575" s="24" t="n"/>
      <c r="D1575" s="28" t="n"/>
      <c r="E1575" s="29" t="n"/>
      <c r="F1575" s="24" t="n"/>
      <c r="G1575" s="24" t="n"/>
      <c r="H1575" s="21">
        <f>IF(ISNUMBER($B1575),INT($B1575)-WEEKDAY($B1575,2)+1,"")</f>
        <v/>
      </c>
      <c r="I1575" s="24" t="n"/>
      <c r="J1575" s="22">
        <f t="array" ref="J1575">IF($D1575="","",IF($I1575="","(trống REF)",IFERROR(INDEX(MASTER_SOURCE!$B$2:$B$495,MATCH($I1575,MASTER_SOURCE!$A$2:$A$495,0)),"(REF không có trong MASTER_SOURCE)")))</f>
        <v/>
      </c>
      <c r="K1575" s="22">
        <f t="array" ref="K1575">IF($D1575="","",IFERROR(INDEX(MASTER_SOURCE!$C$2:$C$495,MATCH($I1575,MASTER_SOURCE!$A$2:$A$495,0)),""))</f>
        <v/>
      </c>
      <c r="L1575" s="22">
        <f t="array" ref="L1575">IF($D1575="","",IFERROR(INDEX(MASTER_SOURCE!$D$2:$D$495,MATCH($I1575,MASTER_SOURCE!$A$2:$A$495,0)),""))</f>
        <v/>
      </c>
      <c r="M1575" s="24" t="n"/>
      <c r="N1575" s="24" t="n"/>
      <c r="O1575" s="24" t="n"/>
      <c r="P1575" s="24" t="n"/>
      <c r="Q1575" s="22">
        <f>IF($D1575="","",IF(AND(OR(DANH_MUC!$L$5&lt;&gt;"Có",M1575="Có"),OR(DANH_MUC!$L$6&lt;&gt;"Có",N1575="Có"),OR(DANH_MUC!$L$7&lt;&gt;"Có",O1575="Có"),OR(DANH_MUC!$L$8&lt;&gt;"Có",P1575="Có")),"Có","Không"))</f>
        <v/>
      </c>
      <c r="R1575" s="22">
        <f>IF($D1575="","",IF(COUNTIF($D$2:$D1575,$D1575)&gt;1,"Trùng",""))</f>
        <v/>
      </c>
      <c r="S1575" s="22">
        <f>IF($D1575="","",IF(AND(LEN($D1575)=10,LEFT($D1575,1)="0",ISNUMBER(--$D1575)),"Có","Không"))</f>
        <v/>
      </c>
      <c r="T1575" s="22">
        <f>IF($D1575="","",IF(AND($C1575&lt;&gt;"",$Q1575="Có",$R1575="",$S1575="Có",AND($L1575&lt;&gt;"",OR($L1575&lt;&gt;"Chưa xác định",DANH_MUC!$L$9="Có"))),"Có","Không"))</f>
        <v/>
      </c>
      <c r="U1575" s="22">
        <f>IF(OR($D1575="",$T1575="Có"),"",IF($C1575="","Thiếu họ tên; ","")&amp;IF($S1575&lt;&gt;"Có","SĐT sai định dạng; ","")&amp;IF($R1575="Trùng","Trùng SĐT; ","")&amp;IF($Q1575&lt;&gt;"Có","Thiếu đồng ý bắt buộc; ","")&amp;IF($L1575="","Thiếu/sai Mã REF; ",IF(AND($L1575="Chưa xác định",DANH_MUC!$L$9&lt;&gt;"Có"),"Nguồn chưa xác định; ","")))</f>
        <v/>
      </c>
      <c r="V1575" s="22">
        <f>IF(OR($D1575="",$R1575="Trùng"),"",IF(COUNTIF(ORDERS!$C$2:$C$4995,$D1575)&gt;0,"Có","Không"))</f>
        <v/>
      </c>
      <c r="W1575" s="22">
        <f>IF(OR($D1575="",$R1575="Trùng"),"",COUNTIFS(ORDERS!$C$2:$C$4995,$D1575,ORDERS!$L$2:$L$4995,"Đã chuyển khoản"))</f>
        <v/>
      </c>
      <c r="X1575" s="23">
        <f>IF(OR($D1575="",$R1575="Trùng"),"",SUMIFS(ORDERS!$J$2:$J$4995,ORDERS!$C$2:$C$4995,$D1575,ORDERS!$L$2:$L$4995,"Đã chuyển khoản"))</f>
        <v/>
      </c>
      <c r="Y1575" s="24" t="n"/>
    </row>
    <row r="1576" ht="14.25" customHeight="1" s="40">
      <c r="A1576" s="24" t="n"/>
      <c r="B1576" s="27" t="n"/>
      <c r="C1576" s="24" t="n"/>
      <c r="D1576" s="28" t="n"/>
      <c r="E1576" s="29" t="n"/>
      <c r="F1576" s="24" t="n"/>
      <c r="G1576" s="24" t="n"/>
      <c r="H1576" s="21">
        <f>IF(ISNUMBER($B1576),INT($B1576)-WEEKDAY($B1576,2)+1,"")</f>
        <v/>
      </c>
      <c r="I1576" s="24" t="n"/>
      <c r="J1576" s="22">
        <f t="array" ref="J1576">IF($D1576="","",IF($I1576="","(trống REF)",IFERROR(INDEX(MASTER_SOURCE!$B$2:$B$495,MATCH($I1576,MASTER_SOURCE!$A$2:$A$495,0)),"(REF không có trong MASTER_SOURCE)")))</f>
        <v/>
      </c>
      <c r="K1576" s="22">
        <f t="array" ref="K1576">IF($D1576="","",IFERROR(INDEX(MASTER_SOURCE!$C$2:$C$495,MATCH($I1576,MASTER_SOURCE!$A$2:$A$495,0)),""))</f>
        <v/>
      </c>
      <c r="L1576" s="22">
        <f t="array" ref="L1576">IF($D1576="","",IFERROR(INDEX(MASTER_SOURCE!$D$2:$D$495,MATCH($I1576,MASTER_SOURCE!$A$2:$A$495,0)),""))</f>
        <v/>
      </c>
      <c r="M1576" s="24" t="n"/>
      <c r="N1576" s="24" t="n"/>
      <c r="O1576" s="24" t="n"/>
      <c r="P1576" s="24" t="n"/>
      <c r="Q1576" s="22">
        <f>IF($D1576="","",IF(AND(OR(DANH_MUC!$L$5&lt;&gt;"Có",M1576="Có"),OR(DANH_MUC!$L$6&lt;&gt;"Có",N1576="Có"),OR(DANH_MUC!$L$7&lt;&gt;"Có",O1576="Có"),OR(DANH_MUC!$L$8&lt;&gt;"Có",P1576="Có")),"Có","Không"))</f>
        <v/>
      </c>
      <c r="R1576" s="22">
        <f>IF($D1576="","",IF(COUNTIF($D$2:$D1576,$D1576)&gt;1,"Trùng",""))</f>
        <v/>
      </c>
      <c r="S1576" s="22">
        <f>IF($D1576="","",IF(AND(LEN($D1576)=10,LEFT($D1576,1)="0",ISNUMBER(--$D1576)),"Có","Không"))</f>
        <v/>
      </c>
      <c r="T1576" s="22">
        <f>IF($D1576="","",IF(AND($C1576&lt;&gt;"",$Q1576="Có",$R1576="",$S1576="Có",AND($L1576&lt;&gt;"",OR($L1576&lt;&gt;"Chưa xác định",DANH_MUC!$L$9="Có"))),"Có","Không"))</f>
        <v/>
      </c>
      <c r="U1576" s="22">
        <f>IF(OR($D1576="",$T1576="Có"),"",IF($C1576="","Thiếu họ tên; ","")&amp;IF($S1576&lt;&gt;"Có","SĐT sai định dạng; ","")&amp;IF($R1576="Trùng","Trùng SĐT; ","")&amp;IF($Q1576&lt;&gt;"Có","Thiếu đồng ý bắt buộc; ","")&amp;IF($L1576="","Thiếu/sai Mã REF; ",IF(AND($L1576="Chưa xác định",DANH_MUC!$L$9&lt;&gt;"Có"),"Nguồn chưa xác định; ","")))</f>
        <v/>
      </c>
      <c r="V1576" s="22">
        <f>IF(OR($D1576="",$R1576="Trùng"),"",IF(COUNTIF(ORDERS!$C$2:$C$4995,$D1576)&gt;0,"Có","Không"))</f>
        <v/>
      </c>
      <c r="W1576" s="22">
        <f>IF(OR($D1576="",$R1576="Trùng"),"",COUNTIFS(ORDERS!$C$2:$C$4995,$D1576,ORDERS!$L$2:$L$4995,"Đã chuyển khoản"))</f>
        <v/>
      </c>
      <c r="X1576" s="23">
        <f>IF(OR($D1576="",$R1576="Trùng"),"",SUMIFS(ORDERS!$J$2:$J$4995,ORDERS!$C$2:$C$4995,$D1576,ORDERS!$L$2:$L$4995,"Đã chuyển khoản"))</f>
        <v/>
      </c>
      <c r="Y1576" s="24" t="n"/>
    </row>
    <row r="1577" ht="14.25" customHeight="1" s="40">
      <c r="A1577" s="24" t="n"/>
      <c r="B1577" s="27" t="n"/>
      <c r="C1577" s="24" t="n"/>
      <c r="D1577" s="28" t="n"/>
      <c r="E1577" s="29" t="n"/>
      <c r="F1577" s="24" t="n"/>
      <c r="G1577" s="24" t="n"/>
      <c r="H1577" s="21">
        <f>IF(ISNUMBER($B1577),INT($B1577)-WEEKDAY($B1577,2)+1,"")</f>
        <v/>
      </c>
      <c r="I1577" s="24" t="n"/>
      <c r="J1577" s="22">
        <f t="array" ref="J1577">IF($D1577="","",IF($I1577="","(trống REF)",IFERROR(INDEX(MASTER_SOURCE!$B$2:$B$495,MATCH($I1577,MASTER_SOURCE!$A$2:$A$495,0)),"(REF không có trong MASTER_SOURCE)")))</f>
        <v/>
      </c>
      <c r="K1577" s="22">
        <f t="array" ref="K1577">IF($D1577="","",IFERROR(INDEX(MASTER_SOURCE!$C$2:$C$495,MATCH($I1577,MASTER_SOURCE!$A$2:$A$495,0)),""))</f>
        <v/>
      </c>
      <c r="L1577" s="22">
        <f t="array" ref="L1577">IF($D1577="","",IFERROR(INDEX(MASTER_SOURCE!$D$2:$D$495,MATCH($I1577,MASTER_SOURCE!$A$2:$A$495,0)),""))</f>
        <v/>
      </c>
      <c r="M1577" s="24" t="n"/>
      <c r="N1577" s="24" t="n"/>
      <c r="O1577" s="24" t="n"/>
      <c r="P1577" s="24" t="n"/>
      <c r="Q1577" s="22">
        <f>IF($D1577="","",IF(AND(OR(DANH_MUC!$L$5&lt;&gt;"Có",M1577="Có"),OR(DANH_MUC!$L$6&lt;&gt;"Có",N1577="Có"),OR(DANH_MUC!$L$7&lt;&gt;"Có",O1577="Có"),OR(DANH_MUC!$L$8&lt;&gt;"Có",P1577="Có")),"Có","Không"))</f>
        <v/>
      </c>
      <c r="R1577" s="22">
        <f>IF($D1577="","",IF(COUNTIF($D$2:$D1577,$D1577)&gt;1,"Trùng",""))</f>
        <v/>
      </c>
      <c r="S1577" s="22">
        <f>IF($D1577="","",IF(AND(LEN($D1577)=10,LEFT($D1577,1)="0",ISNUMBER(--$D1577)),"Có","Không"))</f>
        <v/>
      </c>
      <c r="T1577" s="22">
        <f>IF($D1577="","",IF(AND($C1577&lt;&gt;"",$Q1577="Có",$R1577="",$S1577="Có",AND($L1577&lt;&gt;"",OR($L1577&lt;&gt;"Chưa xác định",DANH_MUC!$L$9="Có"))),"Có","Không"))</f>
        <v/>
      </c>
      <c r="U1577" s="22">
        <f>IF(OR($D1577="",$T1577="Có"),"",IF($C1577="","Thiếu họ tên; ","")&amp;IF($S1577&lt;&gt;"Có","SĐT sai định dạng; ","")&amp;IF($R1577="Trùng","Trùng SĐT; ","")&amp;IF($Q1577&lt;&gt;"Có","Thiếu đồng ý bắt buộc; ","")&amp;IF($L1577="","Thiếu/sai Mã REF; ",IF(AND($L1577="Chưa xác định",DANH_MUC!$L$9&lt;&gt;"Có"),"Nguồn chưa xác định; ","")))</f>
        <v/>
      </c>
      <c r="V1577" s="22">
        <f>IF(OR($D1577="",$R1577="Trùng"),"",IF(COUNTIF(ORDERS!$C$2:$C$4995,$D1577)&gt;0,"Có","Không"))</f>
        <v/>
      </c>
      <c r="W1577" s="22">
        <f>IF(OR($D1577="",$R1577="Trùng"),"",COUNTIFS(ORDERS!$C$2:$C$4995,$D1577,ORDERS!$L$2:$L$4995,"Đã chuyển khoản"))</f>
        <v/>
      </c>
      <c r="X1577" s="23">
        <f>IF(OR($D1577="",$R1577="Trùng"),"",SUMIFS(ORDERS!$J$2:$J$4995,ORDERS!$C$2:$C$4995,$D1577,ORDERS!$L$2:$L$4995,"Đã chuyển khoản"))</f>
        <v/>
      </c>
      <c r="Y1577" s="24" t="n"/>
    </row>
    <row r="1578" ht="14.25" customHeight="1" s="40">
      <c r="A1578" s="24" t="n"/>
      <c r="B1578" s="27" t="n"/>
      <c r="C1578" s="24" t="n"/>
      <c r="D1578" s="28" t="n"/>
      <c r="E1578" s="29" t="n"/>
      <c r="F1578" s="24" t="n"/>
      <c r="G1578" s="24" t="n"/>
      <c r="H1578" s="21">
        <f>IF(ISNUMBER($B1578),INT($B1578)-WEEKDAY($B1578,2)+1,"")</f>
        <v/>
      </c>
      <c r="I1578" s="24" t="n"/>
      <c r="J1578" s="22">
        <f t="array" ref="J1578">IF($D1578="","",IF($I1578="","(trống REF)",IFERROR(INDEX(MASTER_SOURCE!$B$2:$B$495,MATCH($I1578,MASTER_SOURCE!$A$2:$A$495,0)),"(REF không có trong MASTER_SOURCE)")))</f>
        <v/>
      </c>
      <c r="K1578" s="22">
        <f t="array" ref="K1578">IF($D1578="","",IFERROR(INDEX(MASTER_SOURCE!$C$2:$C$495,MATCH($I1578,MASTER_SOURCE!$A$2:$A$495,0)),""))</f>
        <v/>
      </c>
      <c r="L1578" s="22">
        <f t="array" ref="L1578">IF($D1578="","",IFERROR(INDEX(MASTER_SOURCE!$D$2:$D$495,MATCH($I1578,MASTER_SOURCE!$A$2:$A$495,0)),""))</f>
        <v/>
      </c>
      <c r="M1578" s="24" t="n"/>
      <c r="N1578" s="24" t="n"/>
      <c r="O1578" s="24" t="n"/>
      <c r="P1578" s="24" t="n"/>
      <c r="Q1578" s="22">
        <f>IF($D1578="","",IF(AND(OR(DANH_MUC!$L$5&lt;&gt;"Có",M1578="Có"),OR(DANH_MUC!$L$6&lt;&gt;"Có",N1578="Có"),OR(DANH_MUC!$L$7&lt;&gt;"Có",O1578="Có"),OR(DANH_MUC!$L$8&lt;&gt;"Có",P1578="Có")),"Có","Không"))</f>
        <v/>
      </c>
      <c r="R1578" s="22">
        <f>IF($D1578="","",IF(COUNTIF($D$2:$D1578,$D1578)&gt;1,"Trùng",""))</f>
        <v/>
      </c>
      <c r="S1578" s="22">
        <f>IF($D1578="","",IF(AND(LEN($D1578)=10,LEFT($D1578,1)="0",ISNUMBER(--$D1578)),"Có","Không"))</f>
        <v/>
      </c>
      <c r="T1578" s="22">
        <f>IF($D1578="","",IF(AND($C1578&lt;&gt;"",$Q1578="Có",$R1578="",$S1578="Có",AND($L1578&lt;&gt;"",OR($L1578&lt;&gt;"Chưa xác định",DANH_MUC!$L$9="Có"))),"Có","Không"))</f>
        <v/>
      </c>
      <c r="U1578" s="22">
        <f>IF(OR($D1578="",$T1578="Có"),"",IF($C1578="","Thiếu họ tên; ","")&amp;IF($S1578&lt;&gt;"Có","SĐT sai định dạng; ","")&amp;IF($R1578="Trùng","Trùng SĐT; ","")&amp;IF($Q1578&lt;&gt;"Có","Thiếu đồng ý bắt buộc; ","")&amp;IF($L1578="","Thiếu/sai Mã REF; ",IF(AND($L1578="Chưa xác định",DANH_MUC!$L$9&lt;&gt;"Có"),"Nguồn chưa xác định; ","")))</f>
        <v/>
      </c>
      <c r="V1578" s="22">
        <f>IF(OR($D1578="",$R1578="Trùng"),"",IF(COUNTIF(ORDERS!$C$2:$C$4995,$D1578)&gt;0,"Có","Không"))</f>
        <v/>
      </c>
      <c r="W1578" s="22">
        <f>IF(OR($D1578="",$R1578="Trùng"),"",COUNTIFS(ORDERS!$C$2:$C$4995,$D1578,ORDERS!$L$2:$L$4995,"Đã chuyển khoản"))</f>
        <v/>
      </c>
      <c r="X1578" s="23">
        <f>IF(OR($D1578="",$R1578="Trùng"),"",SUMIFS(ORDERS!$J$2:$J$4995,ORDERS!$C$2:$C$4995,$D1578,ORDERS!$L$2:$L$4995,"Đã chuyển khoản"))</f>
        <v/>
      </c>
      <c r="Y1578" s="24" t="n"/>
    </row>
    <row r="1579" ht="14.25" customHeight="1" s="40">
      <c r="A1579" s="24" t="n"/>
      <c r="B1579" s="27" t="n"/>
      <c r="C1579" s="24" t="n"/>
      <c r="D1579" s="28" t="n"/>
      <c r="E1579" s="29" t="n"/>
      <c r="F1579" s="24" t="n"/>
      <c r="G1579" s="24" t="n"/>
      <c r="H1579" s="21">
        <f>IF(ISNUMBER($B1579),INT($B1579)-WEEKDAY($B1579,2)+1,"")</f>
        <v/>
      </c>
      <c r="I1579" s="24" t="n"/>
      <c r="J1579" s="22">
        <f t="array" ref="J1579">IF($D1579="","",IF($I1579="","(trống REF)",IFERROR(INDEX(MASTER_SOURCE!$B$2:$B$495,MATCH($I1579,MASTER_SOURCE!$A$2:$A$495,0)),"(REF không có trong MASTER_SOURCE)")))</f>
        <v/>
      </c>
      <c r="K1579" s="22">
        <f t="array" ref="K1579">IF($D1579="","",IFERROR(INDEX(MASTER_SOURCE!$C$2:$C$495,MATCH($I1579,MASTER_SOURCE!$A$2:$A$495,0)),""))</f>
        <v/>
      </c>
      <c r="L1579" s="22">
        <f t="array" ref="L1579">IF($D1579="","",IFERROR(INDEX(MASTER_SOURCE!$D$2:$D$495,MATCH($I1579,MASTER_SOURCE!$A$2:$A$495,0)),""))</f>
        <v/>
      </c>
      <c r="M1579" s="24" t="n"/>
      <c r="N1579" s="24" t="n"/>
      <c r="O1579" s="24" t="n"/>
      <c r="P1579" s="24" t="n"/>
      <c r="Q1579" s="22">
        <f>IF($D1579="","",IF(AND(OR(DANH_MUC!$L$5&lt;&gt;"Có",M1579="Có"),OR(DANH_MUC!$L$6&lt;&gt;"Có",N1579="Có"),OR(DANH_MUC!$L$7&lt;&gt;"Có",O1579="Có"),OR(DANH_MUC!$L$8&lt;&gt;"Có",P1579="Có")),"Có","Không"))</f>
        <v/>
      </c>
      <c r="R1579" s="22">
        <f>IF($D1579="","",IF(COUNTIF($D$2:$D1579,$D1579)&gt;1,"Trùng",""))</f>
        <v/>
      </c>
      <c r="S1579" s="22">
        <f>IF($D1579="","",IF(AND(LEN($D1579)=10,LEFT($D1579,1)="0",ISNUMBER(--$D1579)),"Có","Không"))</f>
        <v/>
      </c>
      <c r="T1579" s="22">
        <f>IF($D1579="","",IF(AND($C1579&lt;&gt;"",$Q1579="Có",$R1579="",$S1579="Có",AND($L1579&lt;&gt;"",OR($L1579&lt;&gt;"Chưa xác định",DANH_MUC!$L$9="Có"))),"Có","Không"))</f>
        <v/>
      </c>
      <c r="U1579" s="22">
        <f>IF(OR($D1579="",$T1579="Có"),"",IF($C1579="","Thiếu họ tên; ","")&amp;IF($S1579&lt;&gt;"Có","SĐT sai định dạng; ","")&amp;IF($R1579="Trùng","Trùng SĐT; ","")&amp;IF($Q1579&lt;&gt;"Có","Thiếu đồng ý bắt buộc; ","")&amp;IF($L1579="","Thiếu/sai Mã REF; ",IF(AND($L1579="Chưa xác định",DANH_MUC!$L$9&lt;&gt;"Có"),"Nguồn chưa xác định; ","")))</f>
        <v/>
      </c>
      <c r="V1579" s="22">
        <f>IF(OR($D1579="",$R1579="Trùng"),"",IF(COUNTIF(ORDERS!$C$2:$C$4995,$D1579)&gt;0,"Có","Không"))</f>
        <v/>
      </c>
      <c r="W1579" s="22">
        <f>IF(OR($D1579="",$R1579="Trùng"),"",COUNTIFS(ORDERS!$C$2:$C$4995,$D1579,ORDERS!$L$2:$L$4995,"Đã chuyển khoản"))</f>
        <v/>
      </c>
      <c r="X1579" s="23">
        <f>IF(OR($D1579="",$R1579="Trùng"),"",SUMIFS(ORDERS!$J$2:$J$4995,ORDERS!$C$2:$C$4995,$D1579,ORDERS!$L$2:$L$4995,"Đã chuyển khoản"))</f>
        <v/>
      </c>
      <c r="Y1579" s="24" t="n"/>
    </row>
    <row r="1580" ht="14.25" customHeight="1" s="40">
      <c r="A1580" s="24" t="n"/>
      <c r="B1580" s="27" t="n"/>
      <c r="C1580" s="24" t="n"/>
      <c r="D1580" s="28" t="n"/>
      <c r="E1580" s="29" t="n"/>
      <c r="F1580" s="24" t="n"/>
      <c r="G1580" s="24" t="n"/>
      <c r="H1580" s="21">
        <f>IF(ISNUMBER($B1580),INT($B1580)-WEEKDAY($B1580,2)+1,"")</f>
        <v/>
      </c>
      <c r="I1580" s="24" t="n"/>
      <c r="J1580" s="22">
        <f t="array" ref="J1580">IF($D1580="","",IF($I1580="","(trống REF)",IFERROR(INDEX(MASTER_SOURCE!$B$2:$B$495,MATCH($I1580,MASTER_SOURCE!$A$2:$A$495,0)),"(REF không có trong MASTER_SOURCE)")))</f>
        <v/>
      </c>
      <c r="K1580" s="22">
        <f t="array" ref="K1580">IF($D1580="","",IFERROR(INDEX(MASTER_SOURCE!$C$2:$C$495,MATCH($I1580,MASTER_SOURCE!$A$2:$A$495,0)),""))</f>
        <v/>
      </c>
      <c r="L1580" s="22">
        <f t="array" ref="L1580">IF($D1580="","",IFERROR(INDEX(MASTER_SOURCE!$D$2:$D$495,MATCH($I1580,MASTER_SOURCE!$A$2:$A$495,0)),""))</f>
        <v/>
      </c>
      <c r="M1580" s="24" t="n"/>
      <c r="N1580" s="24" t="n"/>
      <c r="O1580" s="24" t="n"/>
      <c r="P1580" s="24" t="n"/>
      <c r="Q1580" s="22">
        <f>IF($D1580="","",IF(AND(OR(DANH_MUC!$L$5&lt;&gt;"Có",M1580="Có"),OR(DANH_MUC!$L$6&lt;&gt;"Có",N1580="Có"),OR(DANH_MUC!$L$7&lt;&gt;"Có",O1580="Có"),OR(DANH_MUC!$L$8&lt;&gt;"Có",P1580="Có")),"Có","Không"))</f>
        <v/>
      </c>
      <c r="R1580" s="22">
        <f>IF($D1580="","",IF(COUNTIF($D$2:$D1580,$D1580)&gt;1,"Trùng",""))</f>
        <v/>
      </c>
      <c r="S1580" s="22">
        <f>IF($D1580="","",IF(AND(LEN($D1580)=10,LEFT($D1580,1)="0",ISNUMBER(--$D1580)),"Có","Không"))</f>
        <v/>
      </c>
      <c r="T1580" s="22">
        <f>IF($D1580="","",IF(AND($C1580&lt;&gt;"",$Q1580="Có",$R1580="",$S1580="Có",AND($L1580&lt;&gt;"",OR($L1580&lt;&gt;"Chưa xác định",DANH_MUC!$L$9="Có"))),"Có","Không"))</f>
        <v/>
      </c>
      <c r="U1580" s="22">
        <f>IF(OR($D1580="",$T1580="Có"),"",IF($C1580="","Thiếu họ tên; ","")&amp;IF($S1580&lt;&gt;"Có","SĐT sai định dạng; ","")&amp;IF($R1580="Trùng","Trùng SĐT; ","")&amp;IF($Q1580&lt;&gt;"Có","Thiếu đồng ý bắt buộc; ","")&amp;IF($L1580="","Thiếu/sai Mã REF; ",IF(AND($L1580="Chưa xác định",DANH_MUC!$L$9&lt;&gt;"Có"),"Nguồn chưa xác định; ","")))</f>
        <v/>
      </c>
      <c r="V1580" s="22">
        <f>IF(OR($D1580="",$R1580="Trùng"),"",IF(COUNTIF(ORDERS!$C$2:$C$4995,$D1580)&gt;0,"Có","Không"))</f>
        <v/>
      </c>
      <c r="W1580" s="22">
        <f>IF(OR($D1580="",$R1580="Trùng"),"",COUNTIFS(ORDERS!$C$2:$C$4995,$D1580,ORDERS!$L$2:$L$4995,"Đã chuyển khoản"))</f>
        <v/>
      </c>
      <c r="X1580" s="23">
        <f>IF(OR($D1580="",$R1580="Trùng"),"",SUMIFS(ORDERS!$J$2:$J$4995,ORDERS!$C$2:$C$4995,$D1580,ORDERS!$L$2:$L$4995,"Đã chuyển khoản"))</f>
        <v/>
      </c>
      <c r="Y1580" s="24" t="n"/>
    </row>
    <row r="1581" ht="14.25" customHeight="1" s="40">
      <c r="A1581" s="24" t="n"/>
      <c r="B1581" s="27" t="n"/>
      <c r="C1581" s="24" t="n"/>
      <c r="D1581" s="28" t="n"/>
      <c r="E1581" s="29" t="n"/>
      <c r="F1581" s="24" t="n"/>
      <c r="G1581" s="24" t="n"/>
      <c r="H1581" s="21">
        <f>IF(ISNUMBER($B1581),INT($B1581)-WEEKDAY($B1581,2)+1,"")</f>
        <v/>
      </c>
      <c r="I1581" s="24" t="n"/>
      <c r="J1581" s="22">
        <f t="array" ref="J1581">IF($D1581="","",IF($I1581="","(trống REF)",IFERROR(INDEX(MASTER_SOURCE!$B$2:$B$495,MATCH($I1581,MASTER_SOURCE!$A$2:$A$495,0)),"(REF không có trong MASTER_SOURCE)")))</f>
        <v/>
      </c>
      <c r="K1581" s="22">
        <f t="array" ref="K1581">IF($D1581="","",IFERROR(INDEX(MASTER_SOURCE!$C$2:$C$495,MATCH($I1581,MASTER_SOURCE!$A$2:$A$495,0)),""))</f>
        <v/>
      </c>
      <c r="L1581" s="22">
        <f t="array" ref="L1581">IF($D1581="","",IFERROR(INDEX(MASTER_SOURCE!$D$2:$D$495,MATCH($I1581,MASTER_SOURCE!$A$2:$A$495,0)),""))</f>
        <v/>
      </c>
      <c r="M1581" s="24" t="n"/>
      <c r="N1581" s="24" t="n"/>
      <c r="O1581" s="24" t="n"/>
      <c r="P1581" s="24" t="n"/>
      <c r="Q1581" s="22">
        <f>IF($D1581="","",IF(AND(OR(DANH_MUC!$L$5&lt;&gt;"Có",M1581="Có"),OR(DANH_MUC!$L$6&lt;&gt;"Có",N1581="Có"),OR(DANH_MUC!$L$7&lt;&gt;"Có",O1581="Có"),OR(DANH_MUC!$L$8&lt;&gt;"Có",P1581="Có")),"Có","Không"))</f>
        <v/>
      </c>
      <c r="R1581" s="22">
        <f>IF($D1581="","",IF(COUNTIF($D$2:$D1581,$D1581)&gt;1,"Trùng",""))</f>
        <v/>
      </c>
      <c r="S1581" s="22">
        <f>IF($D1581="","",IF(AND(LEN($D1581)=10,LEFT($D1581,1)="0",ISNUMBER(--$D1581)),"Có","Không"))</f>
        <v/>
      </c>
      <c r="T1581" s="22">
        <f>IF($D1581="","",IF(AND($C1581&lt;&gt;"",$Q1581="Có",$R1581="",$S1581="Có",AND($L1581&lt;&gt;"",OR($L1581&lt;&gt;"Chưa xác định",DANH_MUC!$L$9="Có"))),"Có","Không"))</f>
        <v/>
      </c>
      <c r="U1581" s="22">
        <f>IF(OR($D1581="",$T1581="Có"),"",IF($C1581="","Thiếu họ tên; ","")&amp;IF($S1581&lt;&gt;"Có","SĐT sai định dạng; ","")&amp;IF($R1581="Trùng","Trùng SĐT; ","")&amp;IF($Q1581&lt;&gt;"Có","Thiếu đồng ý bắt buộc; ","")&amp;IF($L1581="","Thiếu/sai Mã REF; ",IF(AND($L1581="Chưa xác định",DANH_MUC!$L$9&lt;&gt;"Có"),"Nguồn chưa xác định; ","")))</f>
        <v/>
      </c>
      <c r="V1581" s="22">
        <f>IF(OR($D1581="",$R1581="Trùng"),"",IF(COUNTIF(ORDERS!$C$2:$C$4995,$D1581)&gt;0,"Có","Không"))</f>
        <v/>
      </c>
      <c r="W1581" s="22">
        <f>IF(OR($D1581="",$R1581="Trùng"),"",COUNTIFS(ORDERS!$C$2:$C$4995,$D1581,ORDERS!$L$2:$L$4995,"Đã chuyển khoản"))</f>
        <v/>
      </c>
      <c r="X1581" s="23">
        <f>IF(OR($D1581="",$R1581="Trùng"),"",SUMIFS(ORDERS!$J$2:$J$4995,ORDERS!$C$2:$C$4995,$D1581,ORDERS!$L$2:$L$4995,"Đã chuyển khoản"))</f>
        <v/>
      </c>
      <c r="Y1581" s="24" t="n"/>
    </row>
    <row r="1582" ht="14.25" customHeight="1" s="40">
      <c r="A1582" s="24" t="n"/>
      <c r="B1582" s="27" t="n"/>
      <c r="C1582" s="24" t="n"/>
      <c r="D1582" s="28" t="n"/>
      <c r="E1582" s="29" t="n"/>
      <c r="F1582" s="24" t="n"/>
      <c r="G1582" s="24" t="n"/>
      <c r="H1582" s="21">
        <f>IF(ISNUMBER($B1582),INT($B1582)-WEEKDAY($B1582,2)+1,"")</f>
        <v/>
      </c>
      <c r="I1582" s="24" t="n"/>
      <c r="J1582" s="22">
        <f t="array" ref="J1582">IF($D1582="","",IF($I1582="","(trống REF)",IFERROR(INDEX(MASTER_SOURCE!$B$2:$B$495,MATCH($I1582,MASTER_SOURCE!$A$2:$A$495,0)),"(REF không có trong MASTER_SOURCE)")))</f>
        <v/>
      </c>
      <c r="K1582" s="22">
        <f t="array" ref="K1582">IF($D1582="","",IFERROR(INDEX(MASTER_SOURCE!$C$2:$C$495,MATCH($I1582,MASTER_SOURCE!$A$2:$A$495,0)),""))</f>
        <v/>
      </c>
      <c r="L1582" s="22">
        <f t="array" ref="L1582">IF($D1582="","",IFERROR(INDEX(MASTER_SOURCE!$D$2:$D$495,MATCH($I1582,MASTER_SOURCE!$A$2:$A$495,0)),""))</f>
        <v/>
      </c>
      <c r="M1582" s="24" t="n"/>
      <c r="N1582" s="24" t="n"/>
      <c r="O1582" s="24" t="n"/>
      <c r="P1582" s="24" t="n"/>
      <c r="Q1582" s="22">
        <f>IF($D1582="","",IF(AND(OR(DANH_MUC!$L$5&lt;&gt;"Có",M1582="Có"),OR(DANH_MUC!$L$6&lt;&gt;"Có",N1582="Có"),OR(DANH_MUC!$L$7&lt;&gt;"Có",O1582="Có"),OR(DANH_MUC!$L$8&lt;&gt;"Có",P1582="Có")),"Có","Không"))</f>
        <v/>
      </c>
      <c r="R1582" s="22">
        <f>IF($D1582="","",IF(COUNTIF($D$2:$D1582,$D1582)&gt;1,"Trùng",""))</f>
        <v/>
      </c>
      <c r="S1582" s="22">
        <f>IF($D1582="","",IF(AND(LEN($D1582)=10,LEFT($D1582,1)="0",ISNUMBER(--$D1582)),"Có","Không"))</f>
        <v/>
      </c>
      <c r="T1582" s="22">
        <f>IF($D1582="","",IF(AND($C1582&lt;&gt;"",$Q1582="Có",$R1582="",$S1582="Có",AND($L1582&lt;&gt;"",OR($L1582&lt;&gt;"Chưa xác định",DANH_MUC!$L$9="Có"))),"Có","Không"))</f>
        <v/>
      </c>
      <c r="U1582" s="22">
        <f>IF(OR($D1582="",$T1582="Có"),"",IF($C1582="","Thiếu họ tên; ","")&amp;IF($S1582&lt;&gt;"Có","SĐT sai định dạng; ","")&amp;IF($R1582="Trùng","Trùng SĐT; ","")&amp;IF($Q1582&lt;&gt;"Có","Thiếu đồng ý bắt buộc; ","")&amp;IF($L1582="","Thiếu/sai Mã REF; ",IF(AND($L1582="Chưa xác định",DANH_MUC!$L$9&lt;&gt;"Có"),"Nguồn chưa xác định; ","")))</f>
        <v/>
      </c>
      <c r="V1582" s="22">
        <f>IF(OR($D1582="",$R1582="Trùng"),"",IF(COUNTIF(ORDERS!$C$2:$C$4995,$D1582)&gt;0,"Có","Không"))</f>
        <v/>
      </c>
      <c r="W1582" s="22">
        <f>IF(OR($D1582="",$R1582="Trùng"),"",COUNTIFS(ORDERS!$C$2:$C$4995,$D1582,ORDERS!$L$2:$L$4995,"Đã chuyển khoản"))</f>
        <v/>
      </c>
      <c r="X1582" s="23">
        <f>IF(OR($D1582="",$R1582="Trùng"),"",SUMIFS(ORDERS!$J$2:$J$4995,ORDERS!$C$2:$C$4995,$D1582,ORDERS!$L$2:$L$4995,"Đã chuyển khoản"))</f>
        <v/>
      </c>
      <c r="Y1582" s="24" t="n"/>
    </row>
    <row r="1583" ht="14.25" customHeight="1" s="40">
      <c r="A1583" s="24" t="n"/>
      <c r="B1583" s="27" t="n"/>
      <c r="C1583" s="24" t="n"/>
      <c r="D1583" s="28" t="n"/>
      <c r="E1583" s="29" t="n"/>
      <c r="F1583" s="24" t="n"/>
      <c r="G1583" s="24" t="n"/>
      <c r="H1583" s="21">
        <f>IF(ISNUMBER($B1583),INT($B1583)-WEEKDAY($B1583,2)+1,"")</f>
        <v/>
      </c>
      <c r="I1583" s="24" t="n"/>
      <c r="J1583" s="22">
        <f t="array" ref="J1583">IF($D1583="","",IF($I1583="","(trống REF)",IFERROR(INDEX(MASTER_SOURCE!$B$2:$B$495,MATCH($I1583,MASTER_SOURCE!$A$2:$A$495,0)),"(REF không có trong MASTER_SOURCE)")))</f>
        <v/>
      </c>
      <c r="K1583" s="22">
        <f t="array" ref="K1583">IF($D1583="","",IFERROR(INDEX(MASTER_SOURCE!$C$2:$C$495,MATCH($I1583,MASTER_SOURCE!$A$2:$A$495,0)),""))</f>
        <v/>
      </c>
      <c r="L1583" s="22">
        <f t="array" ref="L1583">IF($D1583="","",IFERROR(INDEX(MASTER_SOURCE!$D$2:$D$495,MATCH($I1583,MASTER_SOURCE!$A$2:$A$495,0)),""))</f>
        <v/>
      </c>
      <c r="M1583" s="24" t="n"/>
      <c r="N1583" s="24" t="n"/>
      <c r="O1583" s="24" t="n"/>
      <c r="P1583" s="24" t="n"/>
      <c r="Q1583" s="22">
        <f>IF($D1583="","",IF(AND(OR(DANH_MUC!$L$5&lt;&gt;"Có",M1583="Có"),OR(DANH_MUC!$L$6&lt;&gt;"Có",N1583="Có"),OR(DANH_MUC!$L$7&lt;&gt;"Có",O1583="Có"),OR(DANH_MUC!$L$8&lt;&gt;"Có",P1583="Có")),"Có","Không"))</f>
        <v/>
      </c>
      <c r="R1583" s="22">
        <f>IF($D1583="","",IF(COUNTIF($D$2:$D1583,$D1583)&gt;1,"Trùng",""))</f>
        <v/>
      </c>
      <c r="S1583" s="22">
        <f>IF($D1583="","",IF(AND(LEN($D1583)=10,LEFT($D1583,1)="0",ISNUMBER(--$D1583)),"Có","Không"))</f>
        <v/>
      </c>
      <c r="T1583" s="22">
        <f>IF($D1583="","",IF(AND($C1583&lt;&gt;"",$Q1583="Có",$R1583="",$S1583="Có",AND($L1583&lt;&gt;"",OR($L1583&lt;&gt;"Chưa xác định",DANH_MUC!$L$9="Có"))),"Có","Không"))</f>
        <v/>
      </c>
      <c r="U1583" s="22">
        <f>IF(OR($D1583="",$T1583="Có"),"",IF($C1583="","Thiếu họ tên; ","")&amp;IF($S1583&lt;&gt;"Có","SĐT sai định dạng; ","")&amp;IF($R1583="Trùng","Trùng SĐT; ","")&amp;IF($Q1583&lt;&gt;"Có","Thiếu đồng ý bắt buộc; ","")&amp;IF($L1583="","Thiếu/sai Mã REF; ",IF(AND($L1583="Chưa xác định",DANH_MUC!$L$9&lt;&gt;"Có"),"Nguồn chưa xác định; ","")))</f>
        <v/>
      </c>
      <c r="V1583" s="22">
        <f>IF(OR($D1583="",$R1583="Trùng"),"",IF(COUNTIF(ORDERS!$C$2:$C$4995,$D1583)&gt;0,"Có","Không"))</f>
        <v/>
      </c>
      <c r="W1583" s="22">
        <f>IF(OR($D1583="",$R1583="Trùng"),"",COUNTIFS(ORDERS!$C$2:$C$4995,$D1583,ORDERS!$L$2:$L$4995,"Đã chuyển khoản"))</f>
        <v/>
      </c>
      <c r="X1583" s="23">
        <f>IF(OR($D1583="",$R1583="Trùng"),"",SUMIFS(ORDERS!$J$2:$J$4995,ORDERS!$C$2:$C$4995,$D1583,ORDERS!$L$2:$L$4995,"Đã chuyển khoản"))</f>
        <v/>
      </c>
      <c r="Y1583" s="24" t="n"/>
    </row>
    <row r="1584" ht="14.25" customHeight="1" s="40">
      <c r="A1584" s="24" t="n"/>
      <c r="B1584" s="27" t="n"/>
      <c r="C1584" s="24" t="n"/>
      <c r="D1584" s="28" t="n"/>
      <c r="E1584" s="29" t="n"/>
      <c r="F1584" s="24" t="n"/>
      <c r="G1584" s="24" t="n"/>
      <c r="H1584" s="21">
        <f>IF(ISNUMBER($B1584),INT($B1584)-WEEKDAY($B1584,2)+1,"")</f>
        <v/>
      </c>
      <c r="I1584" s="24" t="n"/>
      <c r="J1584" s="22">
        <f t="array" ref="J1584">IF($D1584="","",IF($I1584="","(trống REF)",IFERROR(INDEX(MASTER_SOURCE!$B$2:$B$495,MATCH($I1584,MASTER_SOURCE!$A$2:$A$495,0)),"(REF không có trong MASTER_SOURCE)")))</f>
        <v/>
      </c>
      <c r="K1584" s="22">
        <f t="array" ref="K1584">IF($D1584="","",IFERROR(INDEX(MASTER_SOURCE!$C$2:$C$495,MATCH($I1584,MASTER_SOURCE!$A$2:$A$495,0)),""))</f>
        <v/>
      </c>
      <c r="L1584" s="22">
        <f t="array" ref="L1584">IF($D1584="","",IFERROR(INDEX(MASTER_SOURCE!$D$2:$D$495,MATCH($I1584,MASTER_SOURCE!$A$2:$A$495,0)),""))</f>
        <v/>
      </c>
      <c r="M1584" s="24" t="n"/>
      <c r="N1584" s="24" t="n"/>
      <c r="O1584" s="24" t="n"/>
      <c r="P1584" s="24" t="n"/>
      <c r="Q1584" s="22">
        <f>IF($D1584="","",IF(AND(OR(DANH_MUC!$L$5&lt;&gt;"Có",M1584="Có"),OR(DANH_MUC!$L$6&lt;&gt;"Có",N1584="Có"),OR(DANH_MUC!$L$7&lt;&gt;"Có",O1584="Có"),OR(DANH_MUC!$L$8&lt;&gt;"Có",P1584="Có")),"Có","Không"))</f>
        <v/>
      </c>
      <c r="R1584" s="22">
        <f>IF($D1584="","",IF(COUNTIF($D$2:$D1584,$D1584)&gt;1,"Trùng",""))</f>
        <v/>
      </c>
      <c r="S1584" s="22">
        <f>IF($D1584="","",IF(AND(LEN($D1584)=10,LEFT($D1584,1)="0",ISNUMBER(--$D1584)),"Có","Không"))</f>
        <v/>
      </c>
      <c r="T1584" s="22">
        <f>IF($D1584="","",IF(AND($C1584&lt;&gt;"",$Q1584="Có",$R1584="",$S1584="Có",AND($L1584&lt;&gt;"",OR($L1584&lt;&gt;"Chưa xác định",DANH_MUC!$L$9="Có"))),"Có","Không"))</f>
        <v/>
      </c>
      <c r="U1584" s="22">
        <f>IF(OR($D1584="",$T1584="Có"),"",IF($C1584="","Thiếu họ tên; ","")&amp;IF($S1584&lt;&gt;"Có","SĐT sai định dạng; ","")&amp;IF($R1584="Trùng","Trùng SĐT; ","")&amp;IF($Q1584&lt;&gt;"Có","Thiếu đồng ý bắt buộc; ","")&amp;IF($L1584="","Thiếu/sai Mã REF; ",IF(AND($L1584="Chưa xác định",DANH_MUC!$L$9&lt;&gt;"Có"),"Nguồn chưa xác định; ","")))</f>
        <v/>
      </c>
      <c r="V1584" s="22">
        <f>IF(OR($D1584="",$R1584="Trùng"),"",IF(COUNTIF(ORDERS!$C$2:$C$4995,$D1584)&gt;0,"Có","Không"))</f>
        <v/>
      </c>
      <c r="W1584" s="22">
        <f>IF(OR($D1584="",$R1584="Trùng"),"",COUNTIFS(ORDERS!$C$2:$C$4995,$D1584,ORDERS!$L$2:$L$4995,"Đã chuyển khoản"))</f>
        <v/>
      </c>
      <c r="X1584" s="23">
        <f>IF(OR($D1584="",$R1584="Trùng"),"",SUMIFS(ORDERS!$J$2:$J$4995,ORDERS!$C$2:$C$4995,$D1584,ORDERS!$L$2:$L$4995,"Đã chuyển khoản"))</f>
        <v/>
      </c>
      <c r="Y1584" s="24" t="n"/>
    </row>
    <row r="1585" ht="14.25" customHeight="1" s="40">
      <c r="A1585" s="24" t="n"/>
      <c r="B1585" s="27" t="n"/>
      <c r="C1585" s="24" t="n"/>
      <c r="D1585" s="28" t="n"/>
      <c r="E1585" s="29" t="n"/>
      <c r="F1585" s="24" t="n"/>
      <c r="G1585" s="24" t="n"/>
      <c r="H1585" s="21">
        <f>IF(ISNUMBER($B1585),INT($B1585)-WEEKDAY($B1585,2)+1,"")</f>
        <v/>
      </c>
      <c r="I1585" s="24" t="n"/>
      <c r="J1585" s="22">
        <f t="array" ref="J1585">IF($D1585="","",IF($I1585="","(trống REF)",IFERROR(INDEX(MASTER_SOURCE!$B$2:$B$495,MATCH($I1585,MASTER_SOURCE!$A$2:$A$495,0)),"(REF không có trong MASTER_SOURCE)")))</f>
        <v/>
      </c>
      <c r="K1585" s="22">
        <f t="array" ref="K1585">IF($D1585="","",IFERROR(INDEX(MASTER_SOURCE!$C$2:$C$495,MATCH($I1585,MASTER_SOURCE!$A$2:$A$495,0)),""))</f>
        <v/>
      </c>
      <c r="L1585" s="22">
        <f t="array" ref="L1585">IF($D1585="","",IFERROR(INDEX(MASTER_SOURCE!$D$2:$D$495,MATCH($I1585,MASTER_SOURCE!$A$2:$A$495,0)),""))</f>
        <v/>
      </c>
      <c r="M1585" s="24" t="n"/>
      <c r="N1585" s="24" t="n"/>
      <c r="O1585" s="24" t="n"/>
      <c r="P1585" s="24" t="n"/>
      <c r="Q1585" s="22">
        <f>IF($D1585="","",IF(AND(OR(DANH_MUC!$L$5&lt;&gt;"Có",M1585="Có"),OR(DANH_MUC!$L$6&lt;&gt;"Có",N1585="Có"),OR(DANH_MUC!$L$7&lt;&gt;"Có",O1585="Có"),OR(DANH_MUC!$L$8&lt;&gt;"Có",P1585="Có")),"Có","Không"))</f>
        <v/>
      </c>
      <c r="R1585" s="22">
        <f>IF($D1585="","",IF(COUNTIF($D$2:$D1585,$D1585)&gt;1,"Trùng",""))</f>
        <v/>
      </c>
      <c r="S1585" s="22">
        <f>IF($D1585="","",IF(AND(LEN($D1585)=10,LEFT($D1585,1)="0",ISNUMBER(--$D1585)),"Có","Không"))</f>
        <v/>
      </c>
      <c r="T1585" s="22">
        <f>IF($D1585="","",IF(AND($C1585&lt;&gt;"",$Q1585="Có",$R1585="",$S1585="Có",AND($L1585&lt;&gt;"",OR($L1585&lt;&gt;"Chưa xác định",DANH_MUC!$L$9="Có"))),"Có","Không"))</f>
        <v/>
      </c>
      <c r="U1585" s="22">
        <f>IF(OR($D1585="",$T1585="Có"),"",IF($C1585="","Thiếu họ tên; ","")&amp;IF($S1585&lt;&gt;"Có","SĐT sai định dạng; ","")&amp;IF($R1585="Trùng","Trùng SĐT; ","")&amp;IF($Q1585&lt;&gt;"Có","Thiếu đồng ý bắt buộc; ","")&amp;IF($L1585="","Thiếu/sai Mã REF; ",IF(AND($L1585="Chưa xác định",DANH_MUC!$L$9&lt;&gt;"Có"),"Nguồn chưa xác định; ","")))</f>
        <v/>
      </c>
      <c r="V1585" s="22">
        <f>IF(OR($D1585="",$R1585="Trùng"),"",IF(COUNTIF(ORDERS!$C$2:$C$4995,$D1585)&gt;0,"Có","Không"))</f>
        <v/>
      </c>
      <c r="W1585" s="22">
        <f>IF(OR($D1585="",$R1585="Trùng"),"",COUNTIFS(ORDERS!$C$2:$C$4995,$D1585,ORDERS!$L$2:$L$4995,"Đã chuyển khoản"))</f>
        <v/>
      </c>
      <c r="X1585" s="23">
        <f>IF(OR($D1585="",$R1585="Trùng"),"",SUMIFS(ORDERS!$J$2:$J$4995,ORDERS!$C$2:$C$4995,$D1585,ORDERS!$L$2:$L$4995,"Đã chuyển khoản"))</f>
        <v/>
      </c>
      <c r="Y1585" s="24" t="n"/>
    </row>
    <row r="1586" ht="14.25" customHeight="1" s="40">
      <c r="A1586" s="24" t="n"/>
      <c r="B1586" s="27" t="n"/>
      <c r="C1586" s="24" t="n"/>
      <c r="D1586" s="28" t="n"/>
      <c r="E1586" s="29" t="n"/>
      <c r="F1586" s="24" t="n"/>
      <c r="G1586" s="24" t="n"/>
      <c r="H1586" s="21">
        <f>IF(ISNUMBER($B1586),INT($B1586)-WEEKDAY($B1586,2)+1,"")</f>
        <v/>
      </c>
      <c r="I1586" s="24" t="n"/>
      <c r="J1586" s="22">
        <f t="array" ref="J1586">IF($D1586="","",IF($I1586="","(trống REF)",IFERROR(INDEX(MASTER_SOURCE!$B$2:$B$495,MATCH($I1586,MASTER_SOURCE!$A$2:$A$495,0)),"(REF không có trong MASTER_SOURCE)")))</f>
        <v/>
      </c>
      <c r="K1586" s="22">
        <f t="array" ref="K1586">IF($D1586="","",IFERROR(INDEX(MASTER_SOURCE!$C$2:$C$495,MATCH($I1586,MASTER_SOURCE!$A$2:$A$495,0)),""))</f>
        <v/>
      </c>
      <c r="L1586" s="22">
        <f t="array" ref="L1586">IF($D1586="","",IFERROR(INDEX(MASTER_SOURCE!$D$2:$D$495,MATCH($I1586,MASTER_SOURCE!$A$2:$A$495,0)),""))</f>
        <v/>
      </c>
      <c r="M1586" s="24" t="n"/>
      <c r="N1586" s="24" t="n"/>
      <c r="O1586" s="24" t="n"/>
      <c r="P1586" s="24" t="n"/>
      <c r="Q1586" s="22">
        <f>IF($D1586="","",IF(AND(OR(DANH_MUC!$L$5&lt;&gt;"Có",M1586="Có"),OR(DANH_MUC!$L$6&lt;&gt;"Có",N1586="Có"),OR(DANH_MUC!$L$7&lt;&gt;"Có",O1586="Có"),OR(DANH_MUC!$L$8&lt;&gt;"Có",P1586="Có")),"Có","Không"))</f>
        <v/>
      </c>
      <c r="R1586" s="22">
        <f>IF($D1586="","",IF(COUNTIF($D$2:$D1586,$D1586)&gt;1,"Trùng",""))</f>
        <v/>
      </c>
      <c r="S1586" s="22">
        <f>IF($D1586="","",IF(AND(LEN($D1586)=10,LEFT($D1586,1)="0",ISNUMBER(--$D1586)),"Có","Không"))</f>
        <v/>
      </c>
      <c r="T1586" s="22">
        <f>IF($D1586="","",IF(AND($C1586&lt;&gt;"",$Q1586="Có",$R1586="",$S1586="Có",AND($L1586&lt;&gt;"",OR($L1586&lt;&gt;"Chưa xác định",DANH_MUC!$L$9="Có"))),"Có","Không"))</f>
        <v/>
      </c>
      <c r="U1586" s="22">
        <f>IF(OR($D1586="",$T1586="Có"),"",IF($C1586="","Thiếu họ tên; ","")&amp;IF($S1586&lt;&gt;"Có","SĐT sai định dạng; ","")&amp;IF($R1586="Trùng","Trùng SĐT; ","")&amp;IF($Q1586&lt;&gt;"Có","Thiếu đồng ý bắt buộc; ","")&amp;IF($L1586="","Thiếu/sai Mã REF; ",IF(AND($L1586="Chưa xác định",DANH_MUC!$L$9&lt;&gt;"Có"),"Nguồn chưa xác định; ","")))</f>
        <v/>
      </c>
      <c r="V1586" s="22">
        <f>IF(OR($D1586="",$R1586="Trùng"),"",IF(COUNTIF(ORDERS!$C$2:$C$4995,$D1586)&gt;0,"Có","Không"))</f>
        <v/>
      </c>
      <c r="W1586" s="22">
        <f>IF(OR($D1586="",$R1586="Trùng"),"",COUNTIFS(ORDERS!$C$2:$C$4995,$D1586,ORDERS!$L$2:$L$4995,"Đã chuyển khoản"))</f>
        <v/>
      </c>
      <c r="X1586" s="23">
        <f>IF(OR($D1586="",$R1586="Trùng"),"",SUMIFS(ORDERS!$J$2:$J$4995,ORDERS!$C$2:$C$4995,$D1586,ORDERS!$L$2:$L$4995,"Đã chuyển khoản"))</f>
        <v/>
      </c>
      <c r="Y1586" s="24" t="n"/>
    </row>
    <row r="1587" ht="14.25" customHeight="1" s="40">
      <c r="A1587" s="24" t="n"/>
      <c r="B1587" s="27" t="n"/>
      <c r="C1587" s="24" t="n"/>
      <c r="D1587" s="28" t="n"/>
      <c r="E1587" s="29" t="n"/>
      <c r="F1587" s="24" t="n"/>
      <c r="G1587" s="24" t="n"/>
      <c r="H1587" s="21">
        <f>IF(ISNUMBER($B1587),INT($B1587)-WEEKDAY($B1587,2)+1,"")</f>
        <v/>
      </c>
      <c r="I1587" s="24" t="n"/>
      <c r="J1587" s="22">
        <f t="array" ref="J1587">IF($D1587="","",IF($I1587="","(trống REF)",IFERROR(INDEX(MASTER_SOURCE!$B$2:$B$495,MATCH($I1587,MASTER_SOURCE!$A$2:$A$495,0)),"(REF không có trong MASTER_SOURCE)")))</f>
        <v/>
      </c>
      <c r="K1587" s="22">
        <f t="array" ref="K1587">IF($D1587="","",IFERROR(INDEX(MASTER_SOURCE!$C$2:$C$495,MATCH($I1587,MASTER_SOURCE!$A$2:$A$495,0)),""))</f>
        <v/>
      </c>
      <c r="L1587" s="22">
        <f t="array" ref="L1587">IF($D1587="","",IFERROR(INDEX(MASTER_SOURCE!$D$2:$D$495,MATCH($I1587,MASTER_SOURCE!$A$2:$A$495,0)),""))</f>
        <v/>
      </c>
      <c r="M1587" s="24" t="n"/>
      <c r="N1587" s="24" t="n"/>
      <c r="O1587" s="24" t="n"/>
      <c r="P1587" s="24" t="n"/>
      <c r="Q1587" s="22">
        <f>IF($D1587="","",IF(AND(OR(DANH_MUC!$L$5&lt;&gt;"Có",M1587="Có"),OR(DANH_MUC!$L$6&lt;&gt;"Có",N1587="Có"),OR(DANH_MUC!$L$7&lt;&gt;"Có",O1587="Có"),OR(DANH_MUC!$L$8&lt;&gt;"Có",P1587="Có")),"Có","Không"))</f>
        <v/>
      </c>
      <c r="R1587" s="22">
        <f>IF($D1587="","",IF(COUNTIF($D$2:$D1587,$D1587)&gt;1,"Trùng",""))</f>
        <v/>
      </c>
      <c r="S1587" s="22">
        <f>IF($D1587="","",IF(AND(LEN($D1587)=10,LEFT($D1587,1)="0",ISNUMBER(--$D1587)),"Có","Không"))</f>
        <v/>
      </c>
      <c r="T1587" s="22">
        <f>IF($D1587="","",IF(AND($C1587&lt;&gt;"",$Q1587="Có",$R1587="",$S1587="Có",AND($L1587&lt;&gt;"",OR($L1587&lt;&gt;"Chưa xác định",DANH_MUC!$L$9="Có"))),"Có","Không"))</f>
        <v/>
      </c>
      <c r="U1587" s="22">
        <f>IF(OR($D1587="",$T1587="Có"),"",IF($C1587="","Thiếu họ tên; ","")&amp;IF($S1587&lt;&gt;"Có","SĐT sai định dạng; ","")&amp;IF($R1587="Trùng","Trùng SĐT; ","")&amp;IF($Q1587&lt;&gt;"Có","Thiếu đồng ý bắt buộc; ","")&amp;IF($L1587="","Thiếu/sai Mã REF; ",IF(AND($L1587="Chưa xác định",DANH_MUC!$L$9&lt;&gt;"Có"),"Nguồn chưa xác định; ","")))</f>
        <v/>
      </c>
      <c r="V1587" s="22">
        <f>IF(OR($D1587="",$R1587="Trùng"),"",IF(COUNTIF(ORDERS!$C$2:$C$4995,$D1587)&gt;0,"Có","Không"))</f>
        <v/>
      </c>
      <c r="W1587" s="22">
        <f>IF(OR($D1587="",$R1587="Trùng"),"",COUNTIFS(ORDERS!$C$2:$C$4995,$D1587,ORDERS!$L$2:$L$4995,"Đã chuyển khoản"))</f>
        <v/>
      </c>
      <c r="X1587" s="23">
        <f>IF(OR($D1587="",$R1587="Trùng"),"",SUMIFS(ORDERS!$J$2:$J$4995,ORDERS!$C$2:$C$4995,$D1587,ORDERS!$L$2:$L$4995,"Đã chuyển khoản"))</f>
        <v/>
      </c>
      <c r="Y1587" s="24" t="n"/>
    </row>
    <row r="1588" ht="14.25" customHeight="1" s="40">
      <c r="A1588" s="24" t="n"/>
      <c r="B1588" s="27" t="n"/>
      <c r="C1588" s="24" t="n"/>
      <c r="D1588" s="28" t="n"/>
      <c r="E1588" s="29" t="n"/>
      <c r="F1588" s="24" t="n"/>
      <c r="G1588" s="24" t="n"/>
      <c r="H1588" s="21">
        <f>IF(ISNUMBER($B1588),INT($B1588)-WEEKDAY($B1588,2)+1,"")</f>
        <v/>
      </c>
      <c r="I1588" s="24" t="n"/>
      <c r="J1588" s="22">
        <f t="array" ref="J1588">IF($D1588="","",IF($I1588="","(trống REF)",IFERROR(INDEX(MASTER_SOURCE!$B$2:$B$495,MATCH($I1588,MASTER_SOURCE!$A$2:$A$495,0)),"(REF không có trong MASTER_SOURCE)")))</f>
        <v/>
      </c>
      <c r="K1588" s="22">
        <f t="array" ref="K1588">IF($D1588="","",IFERROR(INDEX(MASTER_SOURCE!$C$2:$C$495,MATCH($I1588,MASTER_SOURCE!$A$2:$A$495,0)),""))</f>
        <v/>
      </c>
      <c r="L1588" s="22">
        <f t="array" ref="L1588">IF($D1588="","",IFERROR(INDEX(MASTER_SOURCE!$D$2:$D$495,MATCH($I1588,MASTER_SOURCE!$A$2:$A$495,0)),""))</f>
        <v/>
      </c>
      <c r="M1588" s="24" t="n"/>
      <c r="N1588" s="24" t="n"/>
      <c r="O1588" s="24" t="n"/>
      <c r="P1588" s="24" t="n"/>
      <c r="Q1588" s="22">
        <f>IF($D1588="","",IF(AND(OR(DANH_MUC!$L$5&lt;&gt;"Có",M1588="Có"),OR(DANH_MUC!$L$6&lt;&gt;"Có",N1588="Có"),OR(DANH_MUC!$L$7&lt;&gt;"Có",O1588="Có"),OR(DANH_MUC!$L$8&lt;&gt;"Có",P1588="Có")),"Có","Không"))</f>
        <v/>
      </c>
      <c r="R1588" s="22">
        <f>IF($D1588="","",IF(COUNTIF($D$2:$D1588,$D1588)&gt;1,"Trùng",""))</f>
        <v/>
      </c>
      <c r="S1588" s="22">
        <f>IF($D1588="","",IF(AND(LEN($D1588)=10,LEFT($D1588,1)="0",ISNUMBER(--$D1588)),"Có","Không"))</f>
        <v/>
      </c>
      <c r="T1588" s="22">
        <f>IF($D1588="","",IF(AND($C1588&lt;&gt;"",$Q1588="Có",$R1588="",$S1588="Có",AND($L1588&lt;&gt;"",OR($L1588&lt;&gt;"Chưa xác định",DANH_MUC!$L$9="Có"))),"Có","Không"))</f>
        <v/>
      </c>
      <c r="U1588" s="22">
        <f>IF(OR($D1588="",$T1588="Có"),"",IF($C1588="","Thiếu họ tên; ","")&amp;IF($S1588&lt;&gt;"Có","SĐT sai định dạng; ","")&amp;IF($R1588="Trùng","Trùng SĐT; ","")&amp;IF($Q1588&lt;&gt;"Có","Thiếu đồng ý bắt buộc; ","")&amp;IF($L1588="","Thiếu/sai Mã REF; ",IF(AND($L1588="Chưa xác định",DANH_MUC!$L$9&lt;&gt;"Có"),"Nguồn chưa xác định; ","")))</f>
        <v/>
      </c>
      <c r="V1588" s="22">
        <f>IF(OR($D1588="",$R1588="Trùng"),"",IF(COUNTIF(ORDERS!$C$2:$C$4995,$D1588)&gt;0,"Có","Không"))</f>
        <v/>
      </c>
      <c r="W1588" s="22">
        <f>IF(OR($D1588="",$R1588="Trùng"),"",COUNTIFS(ORDERS!$C$2:$C$4995,$D1588,ORDERS!$L$2:$L$4995,"Đã chuyển khoản"))</f>
        <v/>
      </c>
      <c r="X1588" s="23">
        <f>IF(OR($D1588="",$R1588="Trùng"),"",SUMIFS(ORDERS!$J$2:$J$4995,ORDERS!$C$2:$C$4995,$D1588,ORDERS!$L$2:$L$4995,"Đã chuyển khoản"))</f>
        <v/>
      </c>
      <c r="Y1588" s="24" t="n"/>
    </row>
    <row r="1589" ht="14.25" customHeight="1" s="40">
      <c r="A1589" s="24" t="n"/>
      <c r="B1589" s="27" t="n"/>
      <c r="C1589" s="24" t="n"/>
      <c r="D1589" s="28" t="n"/>
      <c r="E1589" s="29" t="n"/>
      <c r="F1589" s="24" t="n"/>
      <c r="G1589" s="24" t="n"/>
      <c r="H1589" s="21">
        <f>IF(ISNUMBER($B1589),INT($B1589)-WEEKDAY($B1589,2)+1,"")</f>
        <v/>
      </c>
      <c r="I1589" s="24" t="n"/>
      <c r="J1589" s="22">
        <f t="array" ref="J1589">IF($D1589="","",IF($I1589="","(trống REF)",IFERROR(INDEX(MASTER_SOURCE!$B$2:$B$495,MATCH($I1589,MASTER_SOURCE!$A$2:$A$495,0)),"(REF không có trong MASTER_SOURCE)")))</f>
        <v/>
      </c>
      <c r="K1589" s="22">
        <f t="array" ref="K1589">IF($D1589="","",IFERROR(INDEX(MASTER_SOURCE!$C$2:$C$495,MATCH($I1589,MASTER_SOURCE!$A$2:$A$495,0)),""))</f>
        <v/>
      </c>
      <c r="L1589" s="22">
        <f t="array" ref="L1589">IF($D1589="","",IFERROR(INDEX(MASTER_SOURCE!$D$2:$D$495,MATCH($I1589,MASTER_SOURCE!$A$2:$A$495,0)),""))</f>
        <v/>
      </c>
      <c r="M1589" s="24" t="n"/>
      <c r="N1589" s="24" t="n"/>
      <c r="O1589" s="24" t="n"/>
      <c r="P1589" s="24" t="n"/>
      <c r="Q1589" s="22">
        <f>IF($D1589="","",IF(AND(OR(DANH_MUC!$L$5&lt;&gt;"Có",M1589="Có"),OR(DANH_MUC!$L$6&lt;&gt;"Có",N1589="Có"),OR(DANH_MUC!$L$7&lt;&gt;"Có",O1589="Có"),OR(DANH_MUC!$L$8&lt;&gt;"Có",P1589="Có")),"Có","Không"))</f>
        <v/>
      </c>
      <c r="R1589" s="22">
        <f>IF($D1589="","",IF(COUNTIF($D$2:$D1589,$D1589)&gt;1,"Trùng",""))</f>
        <v/>
      </c>
      <c r="S1589" s="22">
        <f>IF($D1589="","",IF(AND(LEN($D1589)=10,LEFT($D1589,1)="0",ISNUMBER(--$D1589)),"Có","Không"))</f>
        <v/>
      </c>
      <c r="T1589" s="22">
        <f>IF($D1589="","",IF(AND($C1589&lt;&gt;"",$Q1589="Có",$R1589="",$S1589="Có",AND($L1589&lt;&gt;"",OR($L1589&lt;&gt;"Chưa xác định",DANH_MUC!$L$9="Có"))),"Có","Không"))</f>
        <v/>
      </c>
      <c r="U1589" s="22">
        <f>IF(OR($D1589="",$T1589="Có"),"",IF($C1589="","Thiếu họ tên; ","")&amp;IF($S1589&lt;&gt;"Có","SĐT sai định dạng; ","")&amp;IF($R1589="Trùng","Trùng SĐT; ","")&amp;IF($Q1589&lt;&gt;"Có","Thiếu đồng ý bắt buộc; ","")&amp;IF($L1589="","Thiếu/sai Mã REF; ",IF(AND($L1589="Chưa xác định",DANH_MUC!$L$9&lt;&gt;"Có"),"Nguồn chưa xác định; ","")))</f>
        <v/>
      </c>
      <c r="V1589" s="22">
        <f>IF(OR($D1589="",$R1589="Trùng"),"",IF(COUNTIF(ORDERS!$C$2:$C$4995,$D1589)&gt;0,"Có","Không"))</f>
        <v/>
      </c>
      <c r="W1589" s="22">
        <f>IF(OR($D1589="",$R1589="Trùng"),"",COUNTIFS(ORDERS!$C$2:$C$4995,$D1589,ORDERS!$L$2:$L$4995,"Đã chuyển khoản"))</f>
        <v/>
      </c>
      <c r="X1589" s="23">
        <f>IF(OR($D1589="",$R1589="Trùng"),"",SUMIFS(ORDERS!$J$2:$J$4995,ORDERS!$C$2:$C$4995,$D1589,ORDERS!$L$2:$L$4995,"Đã chuyển khoản"))</f>
        <v/>
      </c>
      <c r="Y1589" s="24" t="n"/>
    </row>
    <row r="1590" ht="14.25" customHeight="1" s="40">
      <c r="A1590" s="24" t="n"/>
      <c r="B1590" s="27" t="n"/>
      <c r="C1590" s="24" t="n"/>
      <c r="D1590" s="28" t="n"/>
      <c r="E1590" s="29" t="n"/>
      <c r="F1590" s="24" t="n"/>
      <c r="G1590" s="24" t="n"/>
      <c r="H1590" s="21">
        <f>IF(ISNUMBER($B1590),INT($B1590)-WEEKDAY($B1590,2)+1,"")</f>
        <v/>
      </c>
      <c r="I1590" s="24" t="n"/>
      <c r="J1590" s="22">
        <f t="array" ref="J1590">IF($D1590="","",IF($I1590="","(trống REF)",IFERROR(INDEX(MASTER_SOURCE!$B$2:$B$495,MATCH($I1590,MASTER_SOURCE!$A$2:$A$495,0)),"(REF không có trong MASTER_SOURCE)")))</f>
        <v/>
      </c>
      <c r="K1590" s="22">
        <f t="array" ref="K1590">IF($D1590="","",IFERROR(INDEX(MASTER_SOURCE!$C$2:$C$495,MATCH($I1590,MASTER_SOURCE!$A$2:$A$495,0)),""))</f>
        <v/>
      </c>
      <c r="L1590" s="22">
        <f t="array" ref="L1590">IF($D1590="","",IFERROR(INDEX(MASTER_SOURCE!$D$2:$D$495,MATCH($I1590,MASTER_SOURCE!$A$2:$A$495,0)),""))</f>
        <v/>
      </c>
      <c r="M1590" s="24" t="n"/>
      <c r="N1590" s="24" t="n"/>
      <c r="O1590" s="24" t="n"/>
      <c r="P1590" s="24" t="n"/>
      <c r="Q1590" s="22">
        <f>IF($D1590="","",IF(AND(OR(DANH_MUC!$L$5&lt;&gt;"Có",M1590="Có"),OR(DANH_MUC!$L$6&lt;&gt;"Có",N1590="Có"),OR(DANH_MUC!$L$7&lt;&gt;"Có",O1590="Có"),OR(DANH_MUC!$L$8&lt;&gt;"Có",P1590="Có")),"Có","Không"))</f>
        <v/>
      </c>
      <c r="R1590" s="22">
        <f>IF($D1590="","",IF(COUNTIF($D$2:$D1590,$D1590)&gt;1,"Trùng",""))</f>
        <v/>
      </c>
      <c r="S1590" s="22">
        <f>IF($D1590="","",IF(AND(LEN($D1590)=10,LEFT($D1590,1)="0",ISNUMBER(--$D1590)),"Có","Không"))</f>
        <v/>
      </c>
      <c r="T1590" s="22">
        <f>IF($D1590="","",IF(AND($C1590&lt;&gt;"",$Q1590="Có",$R1590="",$S1590="Có",AND($L1590&lt;&gt;"",OR($L1590&lt;&gt;"Chưa xác định",DANH_MUC!$L$9="Có"))),"Có","Không"))</f>
        <v/>
      </c>
      <c r="U1590" s="22">
        <f>IF(OR($D1590="",$T1590="Có"),"",IF($C1590="","Thiếu họ tên; ","")&amp;IF($S1590&lt;&gt;"Có","SĐT sai định dạng; ","")&amp;IF($R1590="Trùng","Trùng SĐT; ","")&amp;IF($Q1590&lt;&gt;"Có","Thiếu đồng ý bắt buộc; ","")&amp;IF($L1590="","Thiếu/sai Mã REF; ",IF(AND($L1590="Chưa xác định",DANH_MUC!$L$9&lt;&gt;"Có"),"Nguồn chưa xác định; ","")))</f>
        <v/>
      </c>
      <c r="V1590" s="22">
        <f>IF(OR($D1590="",$R1590="Trùng"),"",IF(COUNTIF(ORDERS!$C$2:$C$4995,$D1590)&gt;0,"Có","Không"))</f>
        <v/>
      </c>
      <c r="W1590" s="22">
        <f>IF(OR($D1590="",$R1590="Trùng"),"",COUNTIFS(ORDERS!$C$2:$C$4995,$D1590,ORDERS!$L$2:$L$4995,"Đã chuyển khoản"))</f>
        <v/>
      </c>
      <c r="X1590" s="23">
        <f>IF(OR($D1590="",$R1590="Trùng"),"",SUMIFS(ORDERS!$J$2:$J$4995,ORDERS!$C$2:$C$4995,$D1590,ORDERS!$L$2:$L$4995,"Đã chuyển khoản"))</f>
        <v/>
      </c>
      <c r="Y1590" s="24" t="n"/>
    </row>
    <row r="1591" ht="14.25" customHeight="1" s="40">
      <c r="A1591" s="24" t="n"/>
      <c r="B1591" s="27" t="n"/>
      <c r="C1591" s="24" t="n"/>
      <c r="D1591" s="28" t="n"/>
      <c r="E1591" s="29" t="n"/>
      <c r="F1591" s="24" t="n"/>
      <c r="G1591" s="24" t="n"/>
      <c r="H1591" s="21">
        <f>IF(ISNUMBER($B1591),INT($B1591)-WEEKDAY($B1591,2)+1,"")</f>
        <v/>
      </c>
      <c r="I1591" s="24" t="n"/>
      <c r="J1591" s="22">
        <f t="array" ref="J1591">IF($D1591="","",IF($I1591="","(trống REF)",IFERROR(INDEX(MASTER_SOURCE!$B$2:$B$495,MATCH($I1591,MASTER_SOURCE!$A$2:$A$495,0)),"(REF không có trong MASTER_SOURCE)")))</f>
        <v/>
      </c>
      <c r="K1591" s="22">
        <f t="array" ref="K1591">IF($D1591="","",IFERROR(INDEX(MASTER_SOURCE!$C$2:$C$495,MATCH($I1591,MASTER_SOURCE!$A$2:$A$495,0)),""))</f>
        <v/>
      </c>
      <c r="L1591" s="22">
        <f t="array" ref="L1591">IF($D1591="","",IFERROR(INDEX(MASTER_SOURCE!$D$2:$D$495,MATCH($I1591,MASTER_SOURCE!$A$2:$A$495,0)),""))</f>
        <v/>
      </c>
      <c r="M1591" s="24" t="n"/>
      <c r="N1591" s="24" t="n"/>
      <c r="O1591" s="24" t="n"/>
      <c r="P1591" s="24" t="n"/>
      <c r="Q1591" s="22">
        <f>IF($D1591="","",IF(AND(OR(DANH_MUC!$L$5&lt;&gt;"Có",M1591="Có"),OR(DANH_MUC!$L$6&lt;&gt;"Có",N1591="Có"),OR(DANH_MUC!$L$7&lt;&gt;"Có",O1591="Có"),OR(DANH_MUC!$L$8&lt;&gt;"Có",P1591="Có")),"Có","Không"))</f>
        <v/>
      </c>
      <c r="R1591" s="22">
        <f>IF($D1591="","",IF(COUNTIF($D$2:$D1591,$D1591)&gt;1,"Trùng",""))</f>
        <v/>
      </c>
      <c r="S1591" s="22">
        <f>IF($D1591="","",IF(AND(LEN($D1591)=10,LEFT($D1591,1)="0",ISNUMBER(--$D1591)),"Có","Không"))</f>
        <v/>
      </c>
      <c r="T1591" s="22">
        <f>IF($D1591="","",IF(AND($C1591&lt;&gt;"",$Q1591="Có",$R1591="",$S1591="Có",AND($L1591&lt;&gt;"",OR($L1591&lt;&gt;"Chưa xác định",DANH_MUC!$L$9="Có"))),"Có","Không"))</f>
        <v/>
      </c>
      <c r="U1591" s="22">
        <f>IF(OR($D1591="",$T1591="Có"),"",IF($C1591="","Thiếu họ tên; ","")&amp;IF($S1591&lt;&gt;"Có","SĐT sai định dạng; ","")&amp;IF($R1591="Trùng","Trùng SĐT; ","")&amp;IF($Q1591&lt;&gt;"Có","Thiếu đồng ý bắt buộc; ","")&amp;IF($L1591="","Thiếu/sai Mã REF; ",IF(AND($L1591="Chưa xác định",DANH_MUC!$L$9&lt;&gt;"Có"),"Nguồn chưa xác định; ","")))</f>
        <v/>
      </c>
      <c r="V1591" s="22">
        <f>IF(OR($D1591="",$R1591="Trùng"),"",IF(COUNTIF(ORDERS!$C$2:$C$4995,$D1591)&gt;0,"Có","Không"))</f>
        <v/>
      </c>
      <c r="W1591" s="22">
        <f>IF(OR($D1591="",$R1591="Trùng"),"",COUNTIFS(ORDERS!$C$2:$C$4995,$D1591,ORDERS!$L$2:$L$4995,"Đã chuyển khoản"))</f>
        <v/>
      </c>
      <c r="X1591" s="23">
        <f>IF(OR($D1591="",$R1591="Trùng"),"",SUMIFS(ORDERS!$J$2:$J$4995,ORDERS!$C$2:$C$4995,$D1591,ORDERS!$L$2:$L$4995,"Đã chuyển khoản"))</f>
        <v/>
      </c>
      <c r="Y1591" s="24" t="n"/>
    </row>
    <row r="1592" ht="14.25" customHeight="1" s="40">
      <c r="A1592" s="24" t="n"/>
      <c r="B1592" s="27" t="n"/>
      <c r="C1592" s="24" t="n"/>
      <c r="D1592" s="28" t="n"/>
      <c r="E1592" s="29" t="n"/>
      <c r="F1592" s="24" t="n"/>
      <c r="G1592" s="24" t="n"/>
      <c r="H1592" s="21">
        <f>IF(ISNUMBER($B1592),INT($B1592)-WEEKDAY($B1592,2)+1,"")</f>
        <v/>
      </c>
      <c r="I1592" s="24" t="n"/>
      <c r="J1592" s="22">
        <f t="array" ref="J1592">IF($D1592="","",IF($I1592="","(trống REF)",IFERROR(INDEX(MASTER_SOURCE!$B$2:$B$495,MATCH($I1592,MASTER_SOURCE!$A$2:$A$495,0)),"(REF không có trong MASTER_SOURCE)")))</f>
        <v/>
      </c>
      <c r="K1592" s="22">
        <f t="array" ref="K1592">IF($D1592="","",IFERROR(INDEX(MASTER_SOURCE!$C$2:$C$495,MATCH($I1592,MASTER_SOURCE!$A$2:$A$495,0)),""))</f>
        <v/>
      </c>
      <c r="L1592" s="22">
        <f t="array" ref="L1592">IF($D1592="","",IFERROR(INDEX(MASTER_SOURCE!$D$2:$D$495,MATCH($I1592,MASTER_SOURCE!$A$2:$A$495,0)),""))</f>
        <v/>
      </c>
      <c r="M1592" s="24" t="n"/>
      <c r="N1592" s="24" t="n"/>
      <c r="O1592" s="24" t="n"/>
      <c r="P1592" s="24" t="n"/>
      <c r="Q1592" s="22">
        <f>IF($D1592="","",IF(AND(OR(DANH_MUC!$L$5&lt;&gt;"Có",M1592="Có"),OR(DANH_MUC!$L$6&lt;&gt;"Có",N1592="Có"),OR(DANH_MUC!$L$7&lt;&gt;"Có",O1592="Có"),OR(DANH_MUC!$L$8&lt;&gt;"Có",P1592="Có")),"Có","Không"))</f>
        <v/>
      </c>
      <c r="R1592" s="22">
        <f>IF($D1592="","",IF(COUNTIF($D$2:$D1592,$D1592)&gt;1,"Trùng",""))</f>
        <v/>
      </c>
      <c r="S1592" s="22">
        <f>IF($D1592="","",IF(AND(LEN($D1592)=10,LEFT($D1592,1)="0",ISNUMBER(--$D1592)),"Có","Không"))</f>
        <v/>
      </c>
      <c r="T1592" s="22">
        <f>IF($D1592="","",IF(AND($C1592&lt;&gt;"",$Q1592="Có",$R1592="",$S1592="Có",AND($L1592&lt;&gt;"",OR($L1592&lt;&gt;"Chưa xác định",DANH_MUC!$L$9="Có"))),"Có","Không"))</f>
        <v/>
      </c>
      <c r="U1592" s="22">
        <f>IF(OR($D1592="",$T1592="Có"),"",IF($C1592="","Thiếu họ tên; ","")&amp;IF($S1592&lt;&gt;"Có","SĐT sai định dạng; ","")&amp;IF($R1592="Trùng","Trùng SĐT; ","")&amp;IF($Q1592&lt;&gt;"Có","Thiếu đồng ý bắt buộc; ","")&amp;IF($L1592="","Thiếu/sai Mã REF; ",IF(AND($L1592="Chưa xác định",DANH_MUC!$L$9&lt;&gt;"Có"),"Nguồn chưa xác định; ","")))</f>
        <v/>
      </c>
      <c r="V1592" s="22">
        <f>IF(OR($D1592="",$R1592="Trùng"),"",IF(COUNTIF(ORDERS!$C$2:$C$4995,$D1592)&gt;0,"Có","Không"))</f>
        <v/>
      </c>
      <c r="W1592" s="22">
        <f>IF(OR($D1592="",$R1592="Trùng"),"",COUNTIFS(ORDERS!$C$2:$C$4995,$D1592,ORDERS!$L$2:$L$4995,"Đã chuyển khoản"))</f>
        <v/>
      </c>
      <c r="X1592" s="23">
        <f>IF(OR($D1592="",$R1592="Trùng"),"",SUMIFS(ORDERS!$J$2:$J$4995,ORDERS!$C$2:$C$4995,$D1592,ORDERS!$L$2:$L$4995,"Đã chuyển khoản"))</f>
        <v/>
      </c>
      <c r="Y1592" s="24" t="n"/>
    </row>
    <row r="1593" ht="14.25" customHeight="1" s="40">
      <c r="A1593" s="24" t="n"/>
      <c r="B1593" s="27" t="n"/>
      <c r="C1593" s="24" t="n"/>
      <c r="D1593" s="28" t="n"/>
      <c r="E1593" s="29" t="n"/>
      <c r="F1593" s="24" t="n"/>
      <c r="G1593" s="24" t="n"/>
      <c r="H1593" s="21">
        <f>IF(ISNUMBER($B1593),INT($B1593)-WEEKDAY($B1593,2)+1,"")</f>
        <v/>
      </c>
      <c r="I1593" s="24" t="n"/>
      <c r="J1593" s="22">
        <f t="array" ref="J1593">IF($D1593="","",IF($I1593="","(trống REF)",IFERROR(INDEX(MASTER_SOURCE!$B$2:$B$495,MATCH($I1593,MASTER_SOURCE!$A$2:$A$495,0)),"(REF không có trong MASTER_SOURCE)")))</f>
        <v/>
      </c>
      <c r="K1593" s="22">
        <f t="array" ref="K1593">IF($D1593="","",IFERROR(INDEX(MASTER_SOURCE!$C$2:$C$495,MATCH($I1593,MASTER_SOURCE!$A$2:$A$495,0)),""))</f>
        <v/>
      </c>
      <c r="L1593" s="22">
        <f t="array" ref="L1593">IF($D1593="","",IFERROR(INDEX(MASTER_SOURCE!$D$2:$D$495,MATCH($I1593,MASTER_SOURCE!$A$2:$A$495,0)),""))</f>
        <v/>
      </c>
      <c r="M1593" s="24" t="n"/>
      <c r="N1593" s="24" t="n"/>
      <c r="O1593" s="24" t="n"/>
      <c r="P1593" s="24" t="n"/>
      <c r="Q1593" s="22">
        <f>IF($D1593="","",IF(AND(OR(DANH_MUC!$L$5&lt;&gt;"Có",M1593="Có"),OR(DANH_MUC!$L$6&lt;&gt;"Có",N1593="Có"),OR(DANH_MUC!$L$7&lt;&gt;"Có",O1593="Có"),OR(DANH_MUC!$L$8&lt;&gt;"Có",P1593="Có")),"Có","Không"))</f>
        <v/>
      </c>
      <c r="R1593" s="22">
        <f>IF($D1593="","",IF(COUNTIF($D$2:$D1593,$D1593)&gt;1,"Trùng",""))</f>
        <v/>
      </c>
      <c r="S1593" s="22">
        <f>IF($D1593="","",IF(AND(LEN($D1593)=10,LEFT($D1593,1)="0",ISNUMBER(--$D1593)),"Có","Không"))</f>
        <v/>
      </c>
      <c r="T1593" s="22">
        <f>IF($D1593="","",IF(AND($C1593&lt;&gt;"",$Q1593="Có",$R1593="",$S1593="Có",AND($L1593&lt;&gt;"",OR($L1593&lt;&gt;"Chưa xác định",DANH_MUC!$L$9="Có"))),"Có","Không"))</f>
        <v/>
      </c>
      <c r="U1593" s="22">
        <f>IF(OR($D1593="",$T1593="Có"),"",IF($C1593="","Thiếu họ tên; ","")&amp;IF($S1593&lt;&gt;"Có","SĐT sai định dạng; ","")&amp;IF($R1593="Trùng","Trùng SĐT; ","")&amp;IF($Q1593&lt;&gt;"Có","Thiếu đồng ý bắt buộc; ","")&amp;IF($L1593="","Thiếu/sai Mã REF; ",IF(AND($L1593="Chưa xác định",DANH_MUC!$L$9&lt;&gt;"Có"),"Nguồn chưa xác định; ","")))</f>
        <v/>
      </c>
      <c r="V1593" s="22">
        <f>IF(OR($D1593="",$R1593="Trùng"),"",IF(COUNTIF(ORDERS!$C$2:$C$4995,$D1593)&gt;0,"Có","Không"))</f>
        <v/>
      </c>
      <c r="W1593" s="22">
        <f>IF(OR($D1593="",$R1593="Trùng"),"",COUNTIFS(ORDERS!$C$2:$C$4995,$D1593,ORDERS!$L$2:$L$4995,"Đã chuyển khoản"))</f>
        <v/>
      </c>
      <c r="X1593" s="23">
        <f>IF(OR($D1593="",$R1593="Trùng"),"",SUMIFS(ORDERS!$J$2:$J$4995,ORDERS!$C$2:$C$4995,$D1593,ORDERS!$L$2:$L$4995,"Đã chuyển khoản"))</f>
        <v/>
      </c>
      <c r="Y1593" s="24" t="n"/>
    </row>
    <row r="1594" ht="14.25" customHeight="1" s="40">
      <c r="A1594" s="24" t="n"/>
      <c r="B1594" s="27" t="n"/>
      <c r="C1594" s="24" t="n"/>
      <c r="D1594" s="28" t="n"/>
      <c r="E1594" s="29" t="n"/>
      <c r="F1594" s="24" t="n"/>
      <c r="G1594" s="24" t="n"/>
      <c r="H1594" s="21">
        <f>IF(ISNUMBER($B1594),INT($B1594)-WEEKDAY($B1594,2)+1,"")</f>
        <v/>
      </c>
      <c r="I1594" s="24" t="n"/>
      <c r="J1594" s="22">
        <f t="array" ref="J1594">IF($D1594="","",IF($I1594="","(trống REF)",IFERROR(INDEX(MASTER_SOURCE!$B$2:$B$495,MATCH($I1594,MASTER_SOURCE!$A$2:$A$495,0)),"(REF không có trong MASTER_SOURCE)")))</f>
        <v/>
      </c>
      <c r="K1594" s="22">
        <f t="array" ref="K1594">IF($D1594="","",IFERROR(INDEX(MASTER_SOURCE!$C$2:$C$495,MATCH($I1594,MASTER_SOURCE!$A$2:$A$495,0)),""))</f>
        <v/>
      </c>
      <c r="L1594" s="22">
        <f t="array" ref="L1594">IF($D1594="","",IFERROR(INDEX(MASTER_SOURCE!$D$2:$D$495,MATCH($I1594,MASTER_SOURCE!$A$2:$A$495,0)),""))</f>
        <v/>
      </c>
      <c r="M1594" s="24" t="n"/>
      <c r="N1594" s="24" t="n"/>
      <c r="O1594" s="24" t="n"/>
      <c r="P1594" s="24" t="n"/>
      <c r="Q1594" s="22">
        <f>IF($D1594="","",IF(AND(OR(DANH_MUC!$L$5&lt;&gt;"Có",M1594="Có"),OR(DANH_MUC!$L$6&lt;&gt;"Có",N1594="Có"),OR(DANH_MUC!$L$7&lt;&gt;"Có",O1594="Có"),OR(DANH_MUC!$L$8&lt;&gt;"Có",P1594="Có")),"Có","Không"))</f>
        <v/>
      </c>
      <c r="R1594" s="22">
        <f>IF($D1594="","",IF(COUNTIF($D$2:$D1594,$D1594)&gt;1,"Trùng",""))</f>
        <v/>
      </c>
      <c r="S1594" s="22">
        <f>IF($D1594="","",IF(AND(LEN($D1594)=10,LEFT($D1594,1)="0",ISNUMBER(--$D1594)),"Có","Không"))</f>
        <v/>
      </c>
      <c r="T1594" s="22">
        <f>IF($D1594="","",IF(AND($C1594&lt;&gt;"",$Q1594="Có",$R1594="",$S1594="Có",AND($L1594&lt;&gt;"",OR($L1594&lt;&gt;"Chưa xác định",DANH_MUC!$L$9="Có"))),"Có","Không"))</f>
        <v/>
      </c>
      <c r="U1594" s="22">
        <f>IF(OR($D1594="",$T1594="Có"),"",IF($C1594="","Thiếu họ tên; ","")&amp;IF($S1594&lt;&gt;"Có","SĐT sai định dạng; ","")&amp;IF($R1594="Trùng","Trùng SĐT; ","")&amp;IF($Q1594&lt;&gt;"Có","Thiếu đồng ý bắt buộc; ","")&amp;IF($L1594="","Thiếu/sai Mã REF; ",IF(AND($L1594="Chưa xác định",DANH_MUC!$L$9&lt;&gt;"Có"),"Nguồn chưa xác định; ","")))</f>
        <v/>
      </c>
      <c r="V1594" s="22">
        <f>IF(OR($D1594="",$R1594="Trùng"),"",IF(COUNTIF(ORDERS!$C$2:$C$4995,$D1594)&gt;0,"Có","Không"))</f>
        <v/>
      </c>
      <c r="W1594" s="22">
        <f>IF(OR($D1594="",$R1594="Trùng"),"",COUNTIFS(ORDERS!$C$2:$C$4995,$D1594,ORDERS!$L$2:$L$4995,"Đã chuyển khoản"))</f>
        <v/>
      </c>
      <c r="X1594" s="23">
        <f>IF(OR($D1594="",$R1594="Trùng"),"",SUMIFS(ORDERS!$J$2:$J$4995,ORDERS!$C$2:$C$4995,$D1594,ORDERS!$L$2:$L$4995,"Đã chuyển khoản"))</f>
        <v/>
      </c>
      <c r="Y1594" s="24" t="n"/>
    </row>
    <row r="1595" ht="14.25" customHeight="1" s="40">
      <c r="A1595" s="24" t="n"/>
      <c r="B1595" s="27" t="n"/>
      <c r="C1595" s="24" t="n"/>
      <c r="D1595" s="28" t="n"/>
      <c r="E1595" s="29" t="n"/>
      <c r="F1595" s="24" t="n"/>
      <c r="G1595" s="24" t="n"/>
      <c r="H1595" s="21">
        <f>IF(ISNUMBER($B1595),INT($B1595)-WEEKDAY($B1595,2)+1,"")</f>
        <v/>
      </c>
      <c r="I1595" s="24" t="n"/>
      <c r="J1595" s="22">
        <f t="array" ref="J1595">IF($D1595="","",IF($I1595="","(trống REF)",IFERROR(INDEX(MASTER_SOURCE!$B$2:$B$495,MATCH($I1595,MASTER_SOURCE!$A$2:$A$495,0)),"(REF không có trong MASTER_SOURCE)")))</f>
        <v/>
      </c>
      <c r="K1595" s="22">
        <f t="array" ref="K1595">IF($D1595="","",IFERROR(INDEX(MASTER_SOURCE!$C$2:$C$495,MATCH($I1595,MASTER_SOURCE!$A$2:$A$495,0)),""))</f>
        <v/>
      </c>
      <c r="L1595" s="22">
        <f t="array" ref="L1595">IF($D1595="","",IFERROR(INDEX(MASTER_SOURCE!$D$2:$D$495,MATCH($I1595,MASTER_SOURCE!$A$2:$A$495,0)),""))</f>
        <v/>
      </c>
      <c r="M1595" s="24" t="n"/>
      <c r="N1595" s="24" t="n"/>
      <c r="O1595" s="24" t="n"/>
      <c r="P1595" s="24" t="n"/>
      <c r="Q1595" s="22">
        <f>IF($D1595="","",IF(AND(OR(DANH_MUC!$L$5&lt;&gt;"Có",M1595="Có"),OR(DANH_MUC!$L$6&lt;&gt;"Có",N1595="Có"),OR(DANH_MUC!$L$7&lt;&gt;"Có",O1595="Có"),OR(DANH_MUC!$L$8&lt;&gt;"Có",P1595="Có")),"Có","Không"))</f>
        <v/>
      </c>
      <c r="R1595" s="22">
        <f>IF($D1595="","",IF(COUNTIF($D$2:$D1595,$D1595)&gt;1,"Trùng",""))</f>
        <v/>
      </c>
      <c r="S1595" s="22">
        <f>IF($D1595="","",IF(AND(LEN($D1595)=10,LEFT($D1595,1)="0",ISNUMBER(--$D1595)),"Có","Không"))</f>
        <v/>
      </c>
      <c r="T1595" s="22">
        <f>IF($D1595="","",IF(AND($C1595&lt;&gt;"",$Q1595="Có",$R1595="",$S1595="Có",AND($L1595&lt;&gt;"",OR($L1595&lt;&gt;"Chưa xác định",DANH_MUC!$L$9="Có"))),"Có","Không"))</f>
        <v/>
      </c>
      <c r="U1595" s="22">
        <f>IF(OR($D1595="",$T1595="Có"),"",IF($C1595="","Thiếu họ tên; ","")&amp;IF($S1595&lt;&gt;"Có","SĐT sai định dạng; ","")&amp;IF($R1595="Trùng","Trùng SĐT; ","")&amp;IF($Q1595&lt;&gt;"Có","Thiếu đồng ý bắt buộc; ","")&amp;IF($L1595="","Thiếu/sai Mã REF; ",IF(AND($L1595="Chưa xác định",DANH_MUC!$L$9&lt;&gt;"Có"),"Nguồn chưa xác định; ","")))</f>
        <v/>
      </c>
      <c r="V1595" s="22">
        <f>IF(OR($D1595="",$R1595="Trùng"),"",IF(COUNTIF(ORDERS!$C$2:$C$4995,$D1595)&gt;0,"Có","Không"))</f>
        <v/>
      </c>
      <c r="W1595" s="22">
        <f>IF(OR($D1595="",$R1595="Trùng"),"",COUNTIFS(ORDERS!$C$2:$C$4995,$D1595,ORDERS!$L$2:$L$4995,"Đã chuyển khoản"))</f>
        <v/>
      </c>
      <c r="X1595" s="23">
        <f>IF(OR($D1595="",$R1595="Trùng"),"",SUMIFS(ORDERS!$J$2:$J$4995,ORDERS!$C$2:$C$4995,$D1595,ORDERS!$L$2:$L$4995,"Đã chuyển khoản"))</f>
        <v/>
      </c>
      <c r="Y1595" s="24" t="n"/>
    </row>
    <row r="1596" ht="14.25" customHeight="1" s="40">
      <c r="A1596" s="24" t="n"/>
      <c r="B1596" s="27" t="n"/>
      <c r="C1596" s="24" t="n"/>
      <c r="D1596" s="28" t="n"/>
      <c r="E1596" s="29" t="n"/>
      <c r="F1596" s="24" t="n"/>
      <c r="G1596" s="24" t="n"/>
      <c r="H1596" s="21">
        <f>IF(ISNUMBER($B1596),INT($B1596)-WEEKDAY($B1596,2)+1,"")</f>
        <v/>
      </c>
      <c r="I1596" s="24" t="n"/>
      <c r="J1596" s="22">
        <f t="array" ref="J1596">IF($D1596="","",IF($I1596="","(trống REF)",IFERROR(INDEX(MASTER_SOURCE!$B$2:$B$495,MATCH($I1596,MASTER_SOURCE!$A$2:$A$495,0)),"(REF không có trong MASTER_SOURCE)")))</f>
        <v/>
      </c>
      <c r="K1596" s="22">
        <f t="array" ref="K1596">IF($D1596="","",IFERROR(INDEX(MASTER_SOURCE!$C$2:$C$495,MATCH($I1596,MASTER_SOURCE!$A$2:$A$495,0)),""))</f>
        <v/>
      </c>
      <c r="L1596" s="22">
        <f t="array" ref="L1596">IF($D1596="","",IFERROR(INDEX(MASTER_SOURCE!$D$2:$D$495,MATCH($I1596,MASTER_SOURCE!$A$2:$A$495,0)),""))</f>
        <v/>
      </c>
      <c r="M1596" s="24" t="n"/>
      <c r="N1596" s="24" t="n"/>
      <c r="O1596" s="24" t="n"/>
      <c r="P1596" s="24" t="n"/>
      <c r="Q1596" s="22">
        <f>IF($D1596="","",IF(AND(OR(DANH_MUC!$L$5&lt;&gt;"Có",M1596="Có"),OR(DANH_MUC!$L$6&lt;&gt;"Có",N1596="Có"),OR(DANH_MUC!$L$7&lt;&gt;"Có",O1596="Có"),OR(DANH_MUC!$L$8&lt;&gt;"Có",P1596="Có")),"Có","Không"))</f>
        <v/>
      </c>
      <c r="R1596" s="22">
        <f>IF($D1596="","",IF(COUNTIF($D$2:$D1596,$D1596)&gt;1,"Trùng",""))</f>
        <v/>
      </c>
      <c r="S1596" s="22">
        <f>IF($D1596="","",IF(AND(LEN($D1596)=10,LEFT($D1596,1)="0",ISNUMBER(--$D1596)),"Có","Không"))</f>
        <v/>
      </c>
      <c r="T1596" s="22">
        <f>IF($D1596="","",IF(AND($C1596&lt;&gt;"",$Q1596="Có",$R1596="",$S1596="Có",AND($L1596&lt;&gt;"",OR($L1596&lt;&gt;"Chưa xác định",DANH_MUC!$L$9="Có"))),"Có","Không"))</f>
        <v/>
      </c>
      <c r="U1596" s="22">
        <f>IF(OR($D1596="",$T1596="Có"),"",IF($C1596="","Thiếu họ tên; ","")&amp;IF($S1596&lt;&gt;"Có","SĐT sai định dạng; ","")&amp;IF($R1596="Trùng","Trùng SĐT; ","")&amp;IF($Q1596&lt;&gt;"Có","Thiếu đồng ý bắt buộc; ","")&amp;IF($L1596="","Thiếu/sai Mã REF; ",IF(AND($L1596="Chưa xác định",DANH_MUC!$L$9&lt;&gt;"Có"),"Nguồn chưa xác định; ","")))</f>
        <v/>
      </c>
      <c r="V1596" s="22">
        <f>IF(OR($D1596="",$R1596="Trùng"),"",IF(COUNTIF(ORDERS!$C$2:$C$4995,$D1596)&gt;0,"Có","Không"))</f>
        <v/>
      </c>
      <c r="W1596" s="22">
        <f>IF(OR($D1596="",$R1596="Trùng"),"",COUNTIFS(ORDERS!$C$2:$C$4995,$D1596,ORDERS!$L$2:$L$4995,"Đã chuyển khoản"))</f>
        <v/>
      </c>
      <c r="X1596" s="23">
        <f>IF(OR($D1596="",$R1596="Trùng"),"",SUMIFS(ORDERS!$J$2:$J$4995,ORDERS!$C$2:$C$4995,$D1596,ORDERS!$L$2:$L$4995,"Đã chuyển khoản"))</f>
        <v/>
      </c>
      <c r="Y1596" s="24" t="n"/>
    </row>
    <row r="1597" ht="14.25" customHeight="1" s="40">
      <c r="A1597" s="24" t="n"/>
      <c r="B1597" s="27" t="n"/>
      <c r="C1597" s="24" t="n"/>
      <c r="D1597" s="28" t="n"/>
      <c r="E1597" s="29" t="n"/>
      <c r="F1597" s="24" t="n"/>
      <c r="G1597" s="24" t="n"/>
      <c r="H1597" s="21">
        <f>IF(ISNUMBER($B1597),INT($B1597)-WEEKDAY($B1597,2)+1,"")</f>
        <v/>
      </c>
      <c r="I1597" s="24" t="n"/>
      <c r="J1597" s="22">
        <f t="array" ref="J1597">IF($D1597="","",IF($I1597="","(trống REF)",IFERROR(INDEX(MASTER_SOURCE!$B$2:$B$495,MATCH($I1597,MASTER_SOURCE!$A$2:$A$495,0)),"(REF không có trong MASTER_SOURCE)")))</f>
        <v/>
      </c>
      <c r="K1597" s="22">
        <f t="array" ref="K1597">IF($D1597="","",IFERROR(INDEX(MASTER_SOURCE!$C$2:$C$495,MATCH($I1597,MASTER_SOURCE!$A$2:$A$495,0)),""))</f>
        <v/>
      </c>
      <c r="L1597" s="22">
        <f t="array" ref="L1597">IF($D1597="","",IFERROR(INDEX(MASTER_SOURCE!$D$2:$D$495,MATCH($I1597,MASTER_SOURCE!$A$2:$A$495,0)),""))</f>
        <v/>
      </c>
      <c r="M1597" s="24" t="n"/>
      <c r="N1597" s="24" t="n"/>
      <c r="O1597" s="24" t="n"/>
      <c r="P1597" s="24" t="n"/>
      <c r="Q1597" s="22">
        <f>IF($D1597="","",IF(AND(OR(DANH_MUC!$L$5&lt;&gt;"Có",M1597="Có"),OR(DANH_MUC!$L$6&lt;&gt;"Có",N1597="Có"),OR(DANH_MUC!$L$7&lt;&gt;"Có",O1597="Có"),OR(DANH_MUC!$L$8&lt;&gt;"Có",P1597="Có")),"Có","Không"))</f>
        <v/>
      </c>
      <c r="R1597" s="22">
        <f>IF($D1597="","",IF(COUNTIF($D$2:$D1597,$D1597)&gt;1,"Trùng",""))</f>
        <v/>
      </c>
      <c r="S1597" s="22">
        <f>IF($D1597="","",IF(AND(LEN($D1597)=10,LEFT($D1597,1)="0",ISNUMBER(--$D1597)),"Có","Không"))</f>
        <v/>
      </c>
      <c r="T1597" s="22">
        <f>IF($D1597="","",IF(AND($C1597&lt;&gt;"",$Q1597="Có",$R1597="",$S1597="Có",AND($L1597&lt;&gt;"",OR($L1597&lt;&gt;"Chưa xác định",DANH_MUC!$L$9="Có"))),"Có","Không"))</f>
        <v/>
      </c>
      <c r="U1597" s="22">
        <f>IF(OR($D1597="",$T1597="Có"),"",IF($C1597="","Thiếu họ tên; ","")&amp;IF($S1597&lt;&gt;"Có","SĐT sai định dạng; ","")&amp;IF($R1597="Trùng","Trùng SĐT; ","")&amp;IF($Q1597&lt;&gt;"Có","Thiếu đồng ý bắt buộc; ","")&amp;IF($L1597="","Thiếu/sai Mã REF; ",IF(AND($L1597="Chưa xác định",DANH_MUC!$L$9&lt;&gt;"Có"),"Nguồn chưa xác định; ","")))</f>
        <v/>
      </c>
      <c r="V1597" s="22">
        <f>IF(OR($D1597="",$R1597="Trùng"),"",IF(COUNTIF(ORDERS!$C$2:$C$4995,$D1597)&gt;0,"Có","Không"))</f>
        <v/>
      </c>
      <c r="W1597" s="22">
        <f>IF(OR($D1597="",$R1597="Trùng"),"",COUNTIFS(ORDERS!$C$2:$C$4995,$D1597,ORDERS!$L$2:$L$4995,"Đã chuyển khoản"))</f>
        <v/>
      </c>
      <c r="X1597" s="23">
        <f>IF(OR($D1597="",$R1597="Trùng"),"",SUMIFS(ORDERS!$J$2:$J$4995,ORDERS!$C$2:$C$4995,$D1597,ORDERS!$L$2:$L$4995,"Đã chuyển khoản"))</f>
        <v/>
      </c>
      <c r="Y1597" s="24" t="n"/>
    </row>
    <row r="1598" ht="14.25" customHeight="1" s="40">
      <c r="A1598" s="24" t="n"/>
      <c r="B1598" s="27" t="n"/>
      <c r="C1598" s="24" t="n"/>
      <c r="D1598" s="28" t="n"/>
      <c r="E1598" s="29" t="n"/>
      <c r="F1598" s="24" t="n"/>
      <c r="G1598" s="24" t="n"/>
      <c r="H1598" s="21">
        <f>IF(ISNUMBER($B1598),INT($B1598)-WEEKDAY($B1598,2)+1,"")</f>
        <v/>
      </c>
      <c r="I1598" s="24" t="n"/>
      <c r="J1598" s="22">
        <f t="array" ref="J1598">IF($D1598="","",IF($I1598="","(trống REF)",IFERROR(INDEX(MASTER_SOURCE!$B$2:$B$495,MATCH($I1598,MASTER_SOURCE!$A$2:$A$495,0)),"(REF không có trong MASTER_SOURCE)")))</f>
        <v/>
      </c>
      <c r="K1598" s="22">
        <f t="array" ref="K1598">IF($D1598="","",IFERROR(INDEX(MASTER_SOURCE!$C$2:$C$495,MATCH($I1598,MASTER_SOURCE!$A$2:$A$495,0)),""))</f>
        <v/>
      </c>
      <c r="L1598" s="22">
        <f t="array" ref="L1598">IF($D1598="","",IFERROR(INDEX(MASTER_SOURCE!$D$2:$D$495,MATCH($I1598,MASTER_SOURCE!$A$2:$A$495,0)),""))</f>
        <v/>
      </c>
      <c r="M1598" s="24" t="n"/>
      <c r="N1598" s="24" t="n"/>
      <c r="O1598" s="24" t="n"/>
      <c r="P1598" s="24" t="n"/>
      <c r="Q1598" s="22">
        <f>IF($D1598="","",IF(AND(OR(DANH_MUC!$L$5&lt;&gt;"Có",M1598="Có"),OR(DANH_MUC!$L$6&lt;&gt;"Có",N1598="Có"),OR(DANH_MUC!$L$7&lt;&gt;"Có",O1598="Có"),OR(DANH_MUC!$L$8&lt;&gt;"Có",P1598="Có")),"Có","Không"))</f>
        <v/>
      </c>
      <c r="R1598" s="22">
        <f>IF($D1598="","",IF(COUNTIF($D$2:$D1598,$D1598)&gt;1,"Trùng",""))</f>
        <v/>
      </c>
      <c r="S1598" s="22">
        <f>IF($D1598="","",IF(AND(LEN($D1598)=10,LEFT($D1598,1)="0",ISNUMBER(--$D1598)),"Có","Không"))</f>
        <v/>
      </c>
      <c r="T1598" s="22">
        <f>IF($D1598="","",IF(AND($C1598&lt;&gt;"",$Q1598="Có",$R1598="",$S1598="Có",AND($L1598&lt;&gt;"",OR($L1598&lt;&gt;"Chưa xác định",DANH_MUC!$L$9="Có"))),"Có","Không"))</f>
        <v/>
      </c>
      <c r="U1598" s="22">
        <f>IF(OR($D1598="",$T1598="Có"),"",IF($C1598="","Thiếu họ tên; ","")&amp;IF($S1598&lt;&gt;"Có","SĐT sai định dạng; ","")&amp;IF($R1598="Trùng","Trùng SĐT; ","")&amp;IF($Q1598&lt;&gt;"Có","Thiếu đồng ý bắt buộc; ","")&amp;IF($L1598="","Thiếu/sai Mã REF; ",IF(AND($L1598="Chưa xác định",DANH_MUC!$L$9&lt;&gt;"Có"),"Nguồn chưa xác định; ","")))</f>
        <v/>
      </c>
      <c r="V1598" s="22">
        <f>IF(OR($D1598="",$R1598="Trùng"),"",IF(COUNTIF(ORDERS!$C$2:$C$4995,$D1598)&gt;0,"Có","Không"))</f>
        <v/>
      </c>
      <c r="W1598" s="22">
        <f>IF(OR($D1598="",$R1598="Trùng"),"",COUNTIFS(ORDERS!$C$2:$C$4995,$D1598,ORDERS!$L$2:$L$4995,"Đã chuyển khoản"))</f>
        <v/>
      </c>
      <c r="X1598" s="23">
        <f>IF(OR($D1598="",$R1598="Trùng"),"",SUMIFS(ORDERS!$J$2:$J$4995,ORDERS!$C$2:$C$4995,$D1598,ORDERS!$L$2:$L$4995,"Đã chuyển khoản"))</f>
        <v/>
      </c>
      <c r="Y1598" s="24" t="n"/>
    </row>
    <row r="1599" ht="14.25" customHeight="1" s="40">
      <c r="A1599" s="24" t="n"/>
      <c r="B1599" s="27" t="n"/>
      <c r="C1599" s="24" t="n"/>
      <c r="D1599" s="28" t="n"/>
      <c r="E1599" s="29" t="n"/>
      <c r="F1599" s="24" t="n"/>
      <c r="G1599" s="24" t="n"/>
      <c r="H1599" s="21">
        <f>IF(ISNUMBER($B1599),INT($B1599)-WEEKDAY($B1599,2)+1,"")</f>
        <v/>
      </c>
      <c r="I1599" s="24" t="n"/>
      <c r="J1599" s="22">
        <f t="array" ref="J1599">IF($D1599="","",IF($I1599="","(trống REF)",IFERROR(INDEX(MASTER_SOURCE!$B$2:$B$495,MATCH($I1599,MASTER_SOURCE!$A$2:$A$495,0)),"(REF không có trong MASTER_SOURCE)")))</f>
        <v/>
      </c>
      <c r="K1599" s="22">
        <f t="array" ref="K1599">IF($D1599="","",IFERROR(INDEX(MASTER_SOURCE!$C$2:$C$495,MATCH($I1599,MASTER_SOURCE!$A$2:$A$495,0)),""))</f>
        <v/>
      </c>
      <c r="L1599" s="22">
        <f t="array" ref="L1599">IF($D1599="","",IFERROR(INDEX(MASTER_SOURCE!$D$2:$D$495,MATCH($I1599,MASTER_SOURCE!$A$2:$A$495,0)),""))</f>
        <v/>
      </c>
      <c r="M1599" s="24" t="n"/>
      <c r="N1599" s="24" t="n"/>
      <c r="O1599" s="24" t="n"/>
      <c r="P1599" s="24" t="n"/>
      <c r="Q1599" s="22">
        <f>IF($D1599="","",IF(AND(OR(DANH_MUC!$L$5&lt;&gt;"Có",M1599="Có"),OR(DANH_MUC!$L$6&lt;&gt;"Có",N1599="Có"),OR(DANH_MUC!$L$7&lt;&gt;"Có",O1599="Có"),OR(DANH_MUC!$L$8&lt;&gt;"Có",P1599="Có")),"Có","Không"))</f>
        <v/>
      </c>
      <c r="R1599" s="22">
        <f>IF($D1599="","",IF(COUNTIF($D$2:$D1599,$D1599)&gt;1,"Trùng",""))</f>
        <v/>
      </c>
      <c r="S1599" s="22">
        <f>IF($D1599="","",IF(AND(LEN($D1599)=10,LEFT($D1599,1)="0",ISNUMBER(--$D1599)),"Có","Không"))</f>
        <v/>
      </c>
      <c r="T1599" s="22">
        <f>IF($D1599="","",IF(AND($C1599&lt;&gt;"",$Q1599="Có",$R1599="",$S1599="Có",AND($L1599&lt;&gt;"",OR($L1599&lt;&gt;"Chưa xác định",DANH_MUC!$L$9="Có"))),"Có","Không"))</f>
        <v/>
      </c>
      <c r="U1599" s="22">
        <f>IF(OR($D1599="",$T1599="Có"),"",IF($C1599="","Thiếu họ tên; ","")&amp;IF($S1599&lt;&gt;"Có","SĐT sai định dạng; ","")&amp;IF($R1599="Trùng","Trùng SĐT; ","")&amp;IF($Q1599&lt;&gt;"Có","Thiếu đồng ý bắt buộc; ","")&amp;IF($L1599="","Thiếu/sai Mã REF; ",IF(AND($L1599="Chưa xác định",DANH_MUC!$L$9&lt;&gt;"Có"),"Nguồn chưa xác định; ","")))</f>
        <v/>
      </c>
      <c r="V1599" s="22">
        <f>IF(OR($D1599="",$R1599="Trùng"),"",IF(COUNTIF(ORDERS!$C$2:$C$4995,$D1599)&gt;0,"Có","Không"))</f>
        <v/>
      </c>
      <c r="W1599" s="22">
        <f>IF(OR($D1599="",$R1599="Trùng"),"",COUNTIFS(ORDERS!$C$2:$C$4995,$D1599,ORDERS!$L$2:$L$4995,"Đã chuyển khoản"))</f>
        <v/>
      </c>
      <c r="X1599" s="23">
        <f>IF(OR($D1599="",$R1599="Trùng"),"",SUMIFS(ORDERS!$J$2:$J$4995,ORDERS!$C$2:$C$4995,$D1599,ORDERS!$L$2:$L$4995,"Đã chuyển khoản"))</f>
        <v/>
      </c>
      <c r="Y1599" s="24" t="n"/>
    </row>
    <row r="1600" ht="14.25" customHeight="1" s="40">
      <c r="A1600" s="24" t="n"/>
      <c r="B1600" s="27" t="n"/>
      <c r="C1600" s="24" t="n"/>
      <c r="D1600" s="28" t="n"/>
      <c r="E1600" s="29" t="n"/>
      <c r="F1600" s="24" t="n"/>
      <c r="G1600" s="24" t="n"/>
      <c r="H1600" s="21">
        <f>IF(ISNUMBER($B1600),INT($B1600)-WEEKDAY($B1600,2)+1,"")</f>
        <v/>
      </c>
      <c r="I1600" s="24" t="n"/>
      <c r="J1600" s="22">
        <f t="array" ref="J1600">IF($D1600="","",IF($I1600="","(trống REF)",IFERROR(INDEX(MASTER_SOURCE!$B$2:$B$495,MATCH($I1600,MASTER_SOURCE!$A$2:$A$495,0)),"(REF không có trong MASTER_SOURCE)")))</f>
        <v/>
      </c>
      <c r="K1600" s="22">
        <f t="array" ref="K1600">IF($D1600="","",IFERROR(INDEX(MASTER_SOURCE!$C$2:$C$495,MATCH($I1600,MASTER_SOURCE!$A$2:$A$495,0)),""))</f>
        <v/>
      </c>
      <c r="L1600" s="22">
        <f t="array" ref="L1600">IF($D1600="","",IFERROR(INDEX(MASTER_SOURCE!$D$2:$D$495,MATCH($I1600,MASTER_SOURCE!$A$2:$A$495,0)),""))</f>
        <v/>
      </c>
      <c r="M1600" s="24" t="n"/>
      <c r="N1600" s="24" t="n"/>
      <c r="O1600" s="24" t="n"/>
      <c r="P1600" s="24" t="n"/>
      <c r="Q1600" s="22">
        <f>IF($D1600="","",IF(AND(OR(DANH_MUC!$L$5&lt;&gt;"Có",M1600="Có"),OR(DANH_MUC!$L$6&lt;&gt;"Có",N1600="Có"),OR(DANH_MUC!$L$7&lt;&gt;"Có",O1600="Có"),OR(DANH_MUC!$L$8&lt;&gt;"Có",P1600="Có")),"Có","Không"))</f>
        <v/>
      </c>
      <c r="R1600" s="22">
        <f>IF($D1600="","",IF(COUNTIF($D$2:$D1600,$D1600)&gt;1,"Trùng",""))</f>
        <v/>
      </c>
      <c r="S1600" s="22">
        <f>IF($D1600="","",IF(AND(LEN($D1600)=10,LEFT($D1600,1)="0",ISNUMBER(--$D1600)),"Có","Không"))</f>
        <v/>
      </c>
      <c r="T1600" s="22">
        <f>IF($D1600="","",IF(AND($C1600&lt;&gt;"",$Q1600="Có",$R1600="",$S1600="Có",AND($L1600&lt;&gt;"",OR($L1600&lt;&gt;"Chưa xác định",DANH_MUC!$L$9="Có"))),"Có","Không"))</f>
        <v/>
      </c>
      <c r="U1600" s="22">
        <f>IF(OR($D1600="",$T1600="Có"),"",IF($C1600="","Thiếu họ tên; ","")&amp;IF($S1600&lt;&gt;"Có","SĐT sai định dạng; ","")&amp;IF($R1600="Trùng","Trùng SĐT; ","")&amp;IF($Q1600&lt;&gt;"Có","Thiếu đồng ý bắt buộc; ","")&amp;IF($L1600="","Thiếu/sai Mã REF; ",IF(AND($L1600="Chưa xác định",DANH_MUC!$L$9&lt;&gt;"Có"),"Nguồn chưa xác định; ","")))</f>
        <v/>
      </c>
      <c r="V1600" s="22">
        <f>IF(OR($D1600="",$R1600="Trùng"),"",IF(COUNTIF(ORDERS!$C$2:$C$4995,$D1600)&gt;0,"Có","Không"))</f>
        <v/>
      </c>
      <c r="W1600" s="22">
        <f>IF(OR($D1600="",$R1600="Trùng"),"",COUNTIFS(ORDERS!$C$2:$C$4995,$D1600,ORDERS!$L$2:$L$4995,"Đã chuyển khoản"))</f>
        <v/>
      </c>
      <c r="X1600" s="23">
        <f>IF(OR($D1600="",$R1600="Trùng"),"",SUMIFS(ORDERS!$J$2:$J$4995,ORDERS!$C$2:$C$4995,$D1600,ORDERS!$L$2:$L$4995,"Đã chuyển khoản"))</f>
        <v/>
      </c>
      <c r="Y1600" s="24" t="n"/>
    </row>
    <row r="1601" ht="14.25" customHeight="1" s="40">
      <c r="A1601" s="24" t="n"/>
      <c r="B1601" s="27" t="n"/>
      <c r="C1601" s="24" t="n"/>
      <c r="D1601" s="28" t="n"/>
      <c r="E1601" s="29" t="n"/>
      <c r="F1601" s="24" t="n"/>
      <c r="G1601" s="24" t="n"/>
      <c r="H1601" s="21">
        <f>IF(ISNUMBER($B1601),INT($B1601)-WEEKDAY($B1601,2)+1,"")</f>
        <v/>
      </c>
      <c r="I1601" s="24" t="n"/>
      <c r="J1601" s="22">
        <f t="array" ref="J1601">IF($D1601="","",IF($I1601="","(trống REF)",IFERROR(INDEX(MASTER_SOURCE!$B$2:$B$495,MATCH($I1601,MASTER_SOURCE!$A$2:$A$495,0)),"(REF không có trong MASTER_SOURCE)")))</f>
        <v/>
      </c>
      <c r="K1601" s="22">
        <f t="array" ref="K1601">IF($D1601="","",IFERROR(INDEX(MASTER_SOURCE!$C$2:$C$495,MATCH($I1601,MASTER_SOURCE!$A$2:$A$495,0)),""))</f>
        <v/>
      </c>
      <c r="L1601" s="22">
        <f t="array" ref="L1601">IF($D1601="","",IFERROR(INDEX(MASTER_SOURCE!$D$2:$D$495,MATCH($I1601,MASTER_SOURCE!$A$2:$A$495,0)),""))</f>
        <v/>
      </c>
      <c r="M1601" s="24" t="n"/>
      <c r="N1601" s="24" t="n"/>
      <c r="O1601" s="24" t="n"/>
      <c r="P1601" s="24" t="n"/>
      <c r="Q1601" s="22">
        <f>IF($D1601="","",IF(AND(OR(DANH_MUC!$L$5&lt;&gt;"Có",M1601="Có"),OR(DANH_MUC!$L$6&lt;&gt;"Có",N1601="Có"),OR(DANH_MUC!$L$7&lt;&gt;"Có",O1601="Có"),OR(DANH_MUC!$L$8&lt;&gt;"Có",P1601="Có")),"Có","Không"))</f>
        <v/>
      </c>
      <c r="R1601" s="22">
        <f>IF($D1601="","",IF(COUNTIF($D$2:$D1601,$D1601)&gt;1,"Trùng",""))</f>
        <v/>
      </c>
      <c r="S1601" s="22">
        <f>IF($D1601="","",IF(AND(LEN($D1601)=10,LEFT($D1601,1)="0",ISNUMBER(--$D1601)),"Có","Không"))</f>
        <v/>
      </c>
      <c r="T1601" s="22">
        <f>IF($D1601="","",IF(AND($C1601&lt;&gt;"",$Q1601="Có",$R1601="",$S1601="Có",AND($L1601&lt;&gt;"",OR($L1601&lt;&gt;"Chưa xác định",DANH_MUC!$L$9="Có"))),"Có","Không"))</f>
        <v/>
      </c>
      <c r="U1601" s="22">
        <f>IF(OR($D1601="",$T1601="Có"),"",IF($C1601="","Thiếu họ tên; ","")&amp;IF($S1601&lt;&gt;"Có","SĐT sai định dạng; ","")&amp;IF($R1601="Trùng","Trùng SĐT; ","")&amp;IF($Q1601&lt;&gt;"Có","Thiếu đồng ý bắt buộc; ","")&amp;IF($L1601="","Thiếu/sai Mã REF; ",IF(AND($L1601="Chưa xác định",DANH_MUC!$L$9&lt;&gt;"Có"),"Nguồn chưa xác định; ","")))</f>
        <v/>
      </c>
      <c r="V1601" s="22">
        <f>IF(OR($D1601="",$R1601="Trùng"),"",IF(COUNTIF(ORDERS!$C$2:$C$4995,$D1601)&gt;0,"Có","Không"))</f>
        <v/>
      </c>
      <c r="W1601" s="22">
        <f>IF(OR($D1601="",$R1601="Trùng"),"",COUNTIFS(ORDERS!$C$2:$C$4995,$D1601,ORDERS!$L$2:$L$4995,"Đã chuyển khoản"))</f>
        <v/>
      </c>
      <c r="X1601" s="23">
        <f>IF(OR($D1601="",$R1601="Trùng"),"",SUMIFS(ORDERS!$J$2:$J$4995,ORDERS!$C$2:$C$4995,$D1601,ORDERS!$L$2:$L$4995,"Đã chuyển khoản"))</f>
        <v/>
      </c>
      <c r="Y1601" s="24" t="n"/>
    </row>
    <row r="1602" ht="14.25" customHeight="1" s="40">
      <c r="A1602" s="24" t="n"/>
      <c r="B1602" s="27" t="n"/>
      <c r="C1602" s="24" t="n"/>
      <c r="D1602" s="28" t="n"/>
      <c r="E1602" s="29" t="n"/>
      <c r="F1602" s="24" t="n"/>
      <c r="G1602" s="24" t="n"/>
      <c r="H1602" s="21">
        <f>IF(ISNUMBER($B1602),INT($B1602)-WEEKDAY($B1602,2)+1,"")</f>
        <v/>
      </c>
      <c r="I1602" s="24" t="n"/>
      <c r="J1602" s="22">
        <f t="array" ref="J1602">IF($D1602="","",IF($I1602="","(trống REF)",IFERROR(INDEX(MASTER_SOURCE!$B$2:$B$495,MATCH($I1602,MASTER_SOURCE!$A$2:$A$495,0)),"(REF không có trong MASTER_SOURCE)")))</f>
        <v/>
      </c>
      <c r="K1602" s="22">
        <f t="array" ref="K1602">IF($D1602="","",IFERROR(INDEX(MASTER_SOURCE!$C$2:$C$495,MATCH($I1602,MASTER_SOURCE!$A$2:$A$495,0)),""))</f>
        <v/>
      </c>
      <c r="L1602" s="22">
        <f t="array" ref="L1602">IF($D1602="","",IFERROR(INDEX(MASTER_SOURCE!$D$2:$D$495,MATCH($I1602,MASTER_SOURCE!$A$2:$A$495,0)),""))</f>
        <v/>
      </c>
      <c r="M1602" s="24" t="n"/>
      <c r="N1602" s="24" t="n"/>
      <c r="O1602" s="24" t="n"/>
      <c r="P1602" s="24" t="n"/>
      <c r="Q1602" s="22">
        <f>IF($D1602="","",IF(AND(OR(DANH_MUC!$L$5&lt;&gt;"Có",M1602="Có"),OR(DANH_MUC!$L$6&lt;&gt;"Có",N1602="Có"),OR(DANH_MUC!$L$7&lt;&gt;"Có",O1602="Có"),OR(DANH_MUC!$L$8&lt;&gt;"Có",P1602="Có")),"Có","Không"))</f>
        <v/>
      </c>
      <c r="R1602" s="22">
        <f>IF($D1602="","",IF(COUNTIF($D$2:$D1602,$D1602)&gt;1,"Trùng",""))</f>
        <v/>
      </c>
      <c r="S1602" s="22">
        <f>IF($D1602="","",IF(AND(LEN($D1602)=10,LEFT($D1602,1)="0",ISNUMBER(--$D1602)),"Có","Không"))</f>
        <v/>
      </c>
      <c r="T1602" s="22">
        <f>IF($D1602="","",IF(AND($C1602&lt;&gt;"",$Q1602="Có",$R1602="",$S1602="Có",AND($L1602&lt;&gt;"",OR($L1602&lt;&gt;"Chưa xác định",DANH_MUC!$L$9="Có"))),"Có","Không"))</f>
        <v/>
      </c>
      <c r="U1602" s="22">
        <f>IF(OR($D1602="",$T1602="Có"),"",IF($C1602="","Thiếu họ tên; ","")&amp;IF($S1602&lt;&gt;"Có","SĐT sai định dạng; ","")&amp;IF($R1602="Trùng","Trùng SĐT; ","")&amp;IF($Q1602&lt;&gt;"Có","Thiếu đồng ý bắt buộc; ","")&amp;IF($L1602="","Thiếu/sai Mã REF; ",IF(AND($L1602="Chưa xác định",DANH_MUC!$L$9&lt;&gt;"Có"),"Nguồn chưa xác định; ","")))</f>
        <v/>
      </c>
      <c r="V1602" s="22">
        <f>IF(OR($D1602="",$R1602="Trùng"),"",IF(COUNTIF(ORDERS!$C$2:$C$4995,$D1602)&gt;0,"Có","Không"))</f>
        <v/>
      </c>
      <c r="W1602" s="22">
        <f>IF(OR($D1602="",$R1602="Trùng"),"",COUNTIFS(ORDERS!$C$2:$C$4995,$D1602,ORDERS!$L$2:$L$4995,"Đã chuyển khoản"))</f>
        <v/>
      </c>
      <c r="X1602" s="23">
        <f>IF(OR($D1602="",$R1602="Trùng"),"",SUMIFS(ORDERS!$J$2:$J$4995,ORDERS!$C$2:$C$4995,$D1602,ORDERS!$L$2:$L$4995,"Đã chuyển khoản"))</f>
        <v/>
      </c>
      <c r="Y1602" s="24" t="n"/>
    </row>
    <row r="1603" ht="14.25" customHeight="1" s="40">
      <c r="A1603" s="24" t="n"/>
      <c r="B1603" s="27" t="n"/>
      <c r="C1603" s="24" t="n"/>
      <c r="D1603" s="28" t="n"/>
      <c r="E1603" s="29" t="n"/>
      <c r="F1603" s="24" t="n"/>
      <c r="G1603" s="24" t="n"/>
      <c r="H1603" s="21">
        <f>IF(ISNUMBER($B1603),INT($B1603)-WEEKDAY($B1603,2)+1,"")</f>
        <v/>
      </c>
      <c r="I1603" s="24" t="n"/>
      <c r="J1603" s="22">
        <f t="array" ref="J1603">IF($D1603="","",IF($I1603="","(trống REF)",IFERROR(INDEX(MASTER_SOURCE!$B$2:$B$495,MATCH($I1603,MASTER_SOURCE!$A$2:$A$495,0)),"(REF không có trong MASTER_SOURCE)")))</f>
        <v/>
      </c>
      <c r="K1603" s="22">
        <f t="array" ref="K1603">IF($D1603="","",IFERROR(INDEX(MASTER_SOURCE!$C$2:$C$495,MATCH($I1603,MASTER_SOURCE!$A$2:$A$495,0)),""))</f>
        <v/>
      </c>
      <c r="L1603" s="22">
        <f t="array" ref="L1603">IF($D1603="","",IFERROR(INDEX(MASTER_SOURCE!$D$2:$D$495,MATCH($I1603,MASTER_SOURCE!$A$2:$A$495,0)),""))</f>
        <v/>
      </c>
      <c r="M1603" s="24" t="n"/>
      <c r="N1603" s="24" t="n"/>
      <c r="O1603" s="24" t="n"/>
      <c r="P1603" s="24" t="n"/>
      <c r="Q1603" s="22">
        <f>IF($D1603="","",IF(AND(OR(DANH_MUC!$L$5&lt;&gt;"Có",M1603="Có"),OR(DANH_MUC!$L$6&lt;&gt;"Có",N1603="Có"),OR(DANH_MUC!$L$7&lt;&gt;"Có",O1603="Có"),OR(DANH_MUC!$L$8&lt;&gt;"Có",P1603="Có")),"Có","Không"))</f>
        <v/>
      </c>
      <c r="R1603" s="22">
        <f>IF($D1603="","",IF(COUNTIF($D$2:$D1603,$D1603)&gt;1,"Trùng",""))</f>
        <v/>
      </c>
      <c r="S1603" s="22">
        <f>IF($D1603="","",IF(AND(LEN($D1603)=10,LEFT($D1603,1)="0",ISNUMBER(--$D1603)),"Có","Không"))</f>
        <v/>
      </c>
      <c r="T1603" s="22">
        <f>IF($D1603="","",IF(AND($C1603&lt;&gt;"",$Q1603="Có",$R1603="",$S1603="Có",AND($L1603&lt;&gt;"",OR($L1603&lt;&gt;"Chưa xác định",DANH_MUC!$L$9="Có"))),"Có","Không"))</f>
        <v/>
      </c>
      <c r="U1603" s="22">
        <f>IF(OR($D1603="",$T1603="Có"),"",IF($C1603="","Thiếu họ tên; ","")&amp;IF($S1603&lt;&gt;"Có","SĐT sai định dạng; ","")&amp;IF($R1603="Trùng","Trùng SĐT; ","")&amp;IF($Q1603&lt;&gt;"Có","Thiếu đồng ý bắt buộc; ","")&amp;IF($L1603="","Thiếu/sai Mã REF; ",IF(AND($L1603="Chưa xác định",DANH_MUC!$L$9&lt;&gt;"Có"),"Nguồn chưa xác định; ","")))</f>
        <v/>
      </c>
      <c r="V1603" s="22">
        <f>IF(OR($D1603="",$R1603="Trùng"),"",IF(COUNTIF(ORDERS!$C$2:$C$4995,$D1603)&gt;0,"Có","Không"))</f>
        <v/>
      </c>
      <c r="W1603" s="22">
        <f>IF(OR($D1603="",$R1603="Trùng"),"",COUNTIFS(ORDERS!$C$2:$C$4995,$D1603,ORDERS!$L$2:$L$4995,"Đã chuyển khoản"))</f>
        <v/>
      </c>
      <c r="X1603" s="23">
        <f>IF(OR($D1603="",$R1603="Trùng"),"",SUMIFS(ORDERS!$J$2:$J$4995,ORDERS!$C$2:$C$4995,$D1603,ORDERS!$L$2:$L$4995,"Đã chuyển khoản"))</f>
        <v/>
      </c>
      <c r="Y1603" s="24" t="n"/>
    </row>
    <row r="1604" ht="14.25" customHeight="1" s="40">
      <c r="A1604" s="24" t="n"/>
      <c r="B1604" s="27" t="n"/>
      <c r="C1604" s="24" t="n"/>
      <c r="D1604" s="28" t="n"/>
      <c r="E1604" s="29" t="n"/>
      <c r="F1604" s="24" t="n"/>
      <c r="G1604" s="24" t="n"/>
      <c r="H1604" s="21">
        <f>IF(ISNUMBER($B1604),INT($B1604)-WEEKDAY($B1604,2)+1,"")</f>
        <v/>
      </c>
      <c r="I1604" s="24" t="n"/>
      <c r="J1604" s="22">
        <f t="array" ref="J1604">IF($D1604="","",IF($I1604="","(trống REF)",IFERROR(INDEX(MASTER_SOURCE!$B$2:$B$495,MATCH($I1604,MASTER_SOURCE!$A$2:$A$495,0)),"(REF không có trong MASTER_SOURCE)")))</f>
        <v/>
      </c>
      <c r="K1604" s="22">
        <f t="array" ref="K1604">IF($D1604="","",IFERROR(INDEX(MASTER_SOURCE!$C$2:$C$495,MATCH($I1604,MASTER_SOURCE!$A$2:$A$495,0)),""))</f>
        <v/>
      </c>
      <c r="L1604" s="22">
        <f t="array" ref="L1604">IF($D1604="","",IFERROR(INDEX(MASTER_SOURCE!$D$2:$D$495,MATCH($I1604,MASTER_SOURCE!$A$2:$A$495,0)),""))</f>
        <v/>
      </c>
      <c r="M1604" s="24" t="n"/>
      <c r="N1604" s="24" t="n"/>
      <c r="O1604" s="24" t="n"/>
      <c r="P1604" s="24" t="n"/>
      <c r="Q1604" s="22">
        <f>IF($D1604="","",IF(AND(OR(DANH_MUC!$L$5&lt;&gt;"Có",M1604="Có"),OR(DANH_MUC!$L$6&lt;&gt;"Có",N1604="Có"),OR(DANH_MUC!$L$7&lt;&gt;"Có",O1604="Có"),OR(DANH_MUC!$L$8&lt;&gt;"Có",P1604="Có")),"Có","Không"))</f>
        <v/>
      </c>
      <c r="R1604" s="22">
        <f>IF($D1604="","",IF(COUNTIF($D$2:$D1604,$D1604)&gt;1,"Trùng",""))</f>
        <v/>
      </c>
      <c r="S1604" s="22">
        <f>IF($D1604="","",IF(AND(LEN($D1604)=10,LEFT($D1604,1)="0",ISNUMBER(--$D1604)),"Có","Không"))</f>
        <v/>
      </c>
      <c r="T1604" s="22">
        <f>IF($D1604="","",IF(AND($C1604&lt;&gt;"",$Q1604="Có",$R1604="",$S1604="Có",AND($L1604&lt;&gt;"",OR($L1604&lt;&gt;"Chưa xác định",DANH_MUC!$L$9="Có"))),"Có","Không"))</f>
        <v/>
      </c>
      <c r="U1604" s="22">
        <f>IF(OR($D1604="",$T1604="Có"),"",IF($C1604="","Thiếu họ tên; ","")&amp;IF($S1604&lt;&gt;"Có","SĐT sai định dạng; ","")&amp;IF($R1604="Trùng","Trùng SĐT; ","")&amp;IF($Q1604&lt;&gt;"Có","Thiếu đồng ý bắt buộc; ","")&amp;IF($L1604="","Thiếu/sai Mã REF; ",IF(AND($L1604="Chưa xác định",DANH_MUC!$L$9&lt;&gt;"Có"),"Nguồn chưa xác định; ","")))</f>
        <v/>
      </c>
      <c r="V1604" s="22">
        <f>IF(OR($D1604="",$R1604="Trùng"),"",IF(COUNTIF(ORDERS!$C$2:$C$4995,$D1604)&gt;0,"Có","Không"))</f>
        <v/>
      </c>
      <c r="W1604" s="22">
        <f>IF(OR($D1604="",$R1604="Trùng"),"",COUNTIFS(ORDERS!$C$2:$C$4995,$D1604,ORDERS!$L$2:$L$4995,"Đã chuyển khoản"))</f>
        <v/>
      </c>
      <c r="X1604" s="23">
        <f>IF(OR($D1604="",$R1604="Trùng"),"",SUMIFS(ORDERS!$J$2:$J$4995,ORDERS!$C$2:$C$4995,$D1604,ORDERS!$L$2:$L$4995,"Đã chuyển khoản"))</f>
        <v/>
      </c>
      <c r="Y1604" s="24" t="n"/>
    </row>
    <row r="1605" ht="14.25" customHeight="1" s="40">
      <c r="A1605" s="24" t="n"/>
      <c r="B1605" s="27" t="n"/>
      <c r="C1605" s="24" t="n"/>
      <c r="D1605" s="28" t="n"/>
      <c r="E1605" s="29" t="n"/>
      <c r="F1605" s="24" t="n"/>
      <c r="G1605" s="24" t="n"/>
      <c r="H1605" s="21">
        <f>IF(ISNUMBER($B1605),INT($B1605)-WEEKDAY($B1605,2)+1,"")</f>
        <v/>
      </c>
      <c r="I1605" s="24" t="n"/>
      <c r="J1605" s="22">
        <f t="array" ref="J1605">IF($D1605="","",IF($I1605="","(trống REF)",IFERROR(INDEX(MASTER_SOURCE!$B$2:$B$495,MATCH($I1605,MASTER_SOURCE!$A$2:$A$495,0)),"(REF không có trong MASTER_SOURCE)")))</f>
        <v/>
      </c>
      <c r="K1605" s="22">
        <f t="array" ref="K1605">IF($D1605="","",IFERROR(INDEX(MASTER_SOURCE!$C$2:$C$495,MATCH($I1605,MASTER_SOURCE!$A$2:$A$495,0)),""))</f>
        <v/>
      </c>
      <c r="L1605" s="22">
        <f t="array" ref="L1605">IF($D1605="","",IFERROR(INDEX(MASTER_SOURCE!$D$2:$D$495,MATCH($I1605,MASTER_SOURCE!$A$2:$A$495,0)),""))</f>
        <v/>
      </c>
      <c r="M1605" s="24" t="n"/>
      <c r="N1605" s="24" t="n"/>
      <c r="O1605" s="24" t="n"/>
      <c r="P1605" s="24" t="n"/>
      <c r="Q1605" s="22">
        <f>IF($D1605="","",IF(AND(OR(DANH_MUC!$L$5&lt;&gt;"Có",M1605="Có"),OR(DANH_MUC!$L$6&lt;&gt;"Có",N1605="Có"),OR(DANH_MUC!$L$7&lt;&gt;"Có",O1605="Có"),OR(DANH_MUC!$L$8&lt;&gt;"Có",P1605="Có")),"Có","Không"))</f>
        <v/>
      </c>
      <c r="R1605" s="22">
        <f>IF($D1605="","",IF(COUNTIF($D$2:$D1605,$D1605)&gt;1,"Trùng",""))</f>
        <v/>
      </c>
      <c r="S1605" s="22">
        <f>IF($D1605="","",IF(AND(LEN($D1605)=10,LEFT($D1605,1)="0",ISNUMBER(--$D1605)),"Có","Không"))</f>
        <v/>
      </c>
      <c r="T1605" s="22">
        <f>IF($D1605="","",IF(AND($C1605&lt;&gt;"",$Q1605="Có",$R1605="",$S1605="Có",AND($L1605&lt;&gt;"",OR($L1605&lt;&gt;"Chưa xác định",DANH_MUC!$L$9="Có"))),"Có","Không"))</f>
        <v/>
      </c>
      <c r="U1605" s="22">
        <f>IF(OR($D1605="",$T1605="Có"),"",IF($C1605="","Thiếu họ tên; ","")&amp;IF($S1605&lt;&gt;"Có","SĐT sai định dạng; ","")&amp;IF($R1605="Trùng","Trùng SĐT; ","")&amp;IF($Q1605&lt;&gt;"Có","Thiếu đồng ý bắt buộc; ","")&amp;IF($L1605="","Thiếu/sai Mã REF; ",IF(AND($L1605="Chưa xác định",DANH_MUC!$L$9&lt;&gt;"Có"),"Nguồn chưa xác định; ","")))</f>
        <v/>
      </c>
      <c r="V1605" s="22">
        <f>IF(OR($D1605="",$R1605="Trùng"),"",IF(COUNTIF(ORDERS!$C$2:$C$4995,$D1605)&gt;0,"Có","Không"))</f>
        <v/>
      </c>
      <c r="W1605" s="22">
        <f>IF(OR($D1605="",$R1605="Trùng"),"",COUNTIFS(ORDERS!$C$2:$C$4995,$D1605,ORDERS!$L$2:$L$4995,"Đã chuyển khoản"))</f>
        <v/>
      </c>
      <c r="X1605" s="23">
        <f>IF(OR($D1605="",$R1605="Trùng"),"",SUMIFS(ORDERS!$J$2:$J$4995,ORDERS!$C$2:$C$4995,$D1605,ORDERS!$L$2:$L$4995,"Đã chuyển khoản"))</f>
        <v/>
      </c>
      <c r="Y1605" s="24" t="n"/>
    </row>
    <row r="1606" ht="14.25" customHeight="1" s="40">
      <c r="A1606" s="24" t="n"/>
      <c r="B1606" s="27" t="n"/>
      <c r="C1606" s="24" t="n"/>
      <c r="D1606" s="28" t="n"/>
      <c r="E1606" s="29" t="n"/>
      <c r="F1606" s="24" t="n"/>
      <c r="G1606" s="24" t="n"/>
      <c r="H1606" s="21">
        <f>IF(ISNUMBER($B1606),INT($B1606)-WEEKDAY($B1606,2)+1,"")</f>
        <v/>
      </c>
      <c r="I1606" s="24" t="n"/>
      <c r="J1606" s="22">
        <f t="array" ref="J1606">IF($D1606="","",IF($I1606="","(trống REF)",IFERROR(INDEX(MASTER_SOURCE!$B$2:$B$495,MATCH($I1606,MASTER_SOURCE!$A$2:$A$495,0)),"(REF không có trong MASTER_SOURCE)")))</f>
        <v/>
      </c>
      <c r="K1606" s="22">
        <f t="array" ref="K1606">IF($D1606="","",IFERROR(INDEX(MASTER_SOURCE!$C$2:$C$495,MATCH($I1606,MASTER_SOURCE!$A$2:$A$495,0)),""))</f>
        <v/>
      </c>
      <c r="L1606" s="22">
        <f t="array" ref="L1606">IF($D1606="","",IFERROR(INDEX(MASTER_SOURCE!$D$2:$D$495,MATCH($I1606,MASTER_SOURCE!$A$2:$A$495,0)),""))</f>
        <v/>
      </c>
      <c r="M1606" s="24" t="n"/>
      <c r="N1606" s="24" t="n"/>
      <c r="O1606" s="24" t="n"/>
      <c r="P1606" s="24" t="n"/>
      <c r="Q1606" s="22">
        <f>IF($D1606="","",IF(AND(OR(DANH_MUC!$L$5&lt;&gt;"Có",M1606="Có"),OR(DANH_MUC!$L$6&lt;&gt;"Có",N1606="Có"),OR(DANH_MUC!$L$7&lt;&gt;"Có",O1606="Có"),OR(DANH_MUC!$L$8&lt;&gt;"Có",P1606="Có")),"Có","Không"))</f>
        <v/>
      </c>
      <c r="R1606" s="22">
        <f>IF($D1606="","",IF(COUNTIF($D$2:$D1606,$D1606)&gt;1,"Trùng",""))</f>
        <v/>
      </c>
      <c r="S1606" s="22">
        <f>IF($D1606="","",IF(AND(LEN($D1606)=10,LEFT($D1606,1)="0",ISNUMBER(--$D1606)),"Có","Không"))</f>
        <v/>
      </c>
      <c r="T1606" s="22">
        <f>IF($D1606="","",IF(AND($C1606&lt;&gt;"",$Q1606="Có",$R1606="",$S1606="Có",AND($L1606&lt;&gt;"",OR($L1606&lt;&gt;"Chưa xác định",DANH_MUC!$L$9="Có"))),"Có","Không"))</f>
        <v/>
      </c>
      <c r="U1606" s="22">
        <f>IF(OR($D1606="",$T1606="Có"),"",IF($C1606="","Thiếu họ tên; ","")&amp;IF($S1606&lt;&gt;"Có","SĐT sai định dạng; ","")&amp;IF($R1606="Trùng","Trùng SĐT; ","")&amp;IF($Q1606&lt;&gt;"Có","Thiếu đồng ý bắt buộc; ","")&amp;IF($L1606="","Thiếu/sai Mã REF; ",IF(AND($L1606="Chưa xác định",DANH_MUC!$L$9&lt;&gt;"Có"),"Nguồn chưa xác định; ","")))</f>
        <v/>
      </c>
      <c r="V1606" s="22">
        <f>IF(OR($D1606="",$R1606="Trùng"),"",IF(COUNTIF(ORDERS!$C$2:$C$4995,$D1606)&gt;0,"Có","Không"))</f>
        <v/>
      </c>
      <c r="W1606" s="22">
        <f>IF(OR($D1606="",$R1606="Trùng"),"",COUNTIFS(ORDERS!$C$2:$C$4995,$D1606,ORDERS!$L$2:$L$4995,"Đã chuyển khoản"))</f>
        <v/>
      </c>
      <c r="X1606" s="23">
        <f>IF(OR($D1606="",$R1606="Trùng"),"",SUMIFS(ORDERS!$J$2:$J$4995,ORDERS!$C$2:$C$4995,$D1606,ORDERS!$L$2:$L$4995,"Đã chuyển khoản"))</f>
        <v/>
      </c>
      <c r="Y1606" s="24" t="n"/>
    </row>
    <row r="1607" ht="14.25" customHeight="1" s="40">
      <c r="A1607" s="24" t="n"/>
      <c r="B1607" s="27" t="n"/>
      <c r="C1607" s="24" t="n"/>
      <c r="D1607" s="28" t="n"/>
      <c r="E1607" s="29" t="n"/>
      <c r="F1607" s="24" t="n"/>
      <c r="G1607" s="24" t="n"/>
      <c r="H1607" s="21">
        <f>IF(ISNUMBER($B1607),INT($B1607)-WEEKDAY($B1607,2)+1,"")</f>
        <v/>
      </c>
      <c r="I1607" s="24" t="n"/>
      <c r="J1607" s="22">
        <f t="array" ref="J1607">IF($D1607="","",IF($I1607="","(trống REF)",IFERROR(INDEX(MASTER_SOURCE!$B$2:$B$495,MATCH($I1607,MASTER_SOURCE!$A$2:$A$495,0)),"(REF không có trong MASTER_SOURCE)")))</f>
        <v/>
      </c>
      <c r="K1607" s="22">
        <f t="array" ref="K1607">IF($D1607="","",IFERROR(INDEX(MASTER_SOURCE!$C$2:$C$495,MATCH($I1607,MASTER_SOURCE!$A$2:$A$495,0)),""))</f>
        <v/>
      </c>
      <c r="L1607" s="22">
        <f t="array" ref="L1607">IF($D1607="","",IFERROR(INDEX(MASTER_SOURCE!$D$2:$D$495,MATCH($I1607,MASTER_SOURCE!$A$2:$A$495,0)),""))</f>
        <v/>
      </c>
      <c r="M1607" s="24" t="n"/>
      <c r="N1607" s="24" t="n"/>
      <c r="O1607" s="24" t="n"/>
      <c r="P1607" s="24" t="n"/>
      <c r="Q1607" s="22">
        <f>IF($D1607="","",IF(AND(OR(DANH_MUC!$L$5&lt;&gt;"Có",M1607="Có"),OR(DANH_MUC!$L$6&lt;&gt;"Có",N1607="Có"),OR(DANH_MUC!$L$7&lt;&gt;"Có",O1607="Có"),OR(DANH_MUC!$L$8&lt;&gt;"Có",P1607="Có")),"Có","Không"))</f>
        <v/>
      </c>
      <c r="R1607" s="22">
        <f>IF($D1607="","",IF(COUNTIF($D$2:$D1607,$D1607)&gt;1,"Trùng",""))</f>
        <v/>
      </c>
      <c r="S1607" s="22">
        <f>IF($D1607="","",IF(AND(LEN($D1607)=10,LEFT($D1607,1)="0",ISNUMBER(--$D1607)),"Có","Không"))</f>
        <v/>
      </c>
      <c r="T1607" s="22">
        <f>IF($D1607="","",IF(AND($C1607&lt;&gt;"",$Q1607="Có",$R1607="",$S1607="Có",AND($L1607&lt;&gt;"",OR($L1607&lt;&gt;"Chưa xác định",DANH_MUC!$L$9="Có"))),"Có","Không"))</f>
        <v/>
      </c>
      <c r="U1607" s="22">
        <f>IF(OR($D1607="",$T1607="Có"),"",IF($C1607="","Thiếu họ tên; ","")&amp;IF($S1607&lt;&gt;"Có","SĐT sai định dạng; ","")&amp;IF($R1607="Trùng","Trùng SĐT; ","")&amp;IF($Q1607&lt;&gt;"Có","Thiếu đồng ý bắt buộc; ","")&amp;IF($L1607="","Thiếu/sai Mã REF; ",IF(AND($L1607="Chưa xác định",DANH_MUC!$L$9&lt;&gt;"Có"),"Nguồn chưa xác định; ","")))</f>
        <v/>
      </c>
      <c r="V1607" s="22">
        <f>IF(OR($D1607="",$R1607="Trùng"),"",IF(COUNTIF(ORDERS!$C$2:$C$4995,$D1607)&gt;0,"Có","Không"))</f>
        <v/>
      </c>
      <c r="W1607" s="22">
        <f>IF(OR($D1607="",$R1607="Trùng"),"",COUNTIFS(ORDERS!$C$2:$C$4995,$D1607,ORDERS!$L$2:$L$4995,"Đã chuyển khoản"))</f>
        <v/>
      </c>
      <c r="X1607" s="23">
        <f>IF(OR($D1607="",$R1607="Trùng"),"",SUMIFS(ORDERS!$J$2:$J$4995,ORDERS!$C$2:$C$4995,$D1607,ORDERS!$L$2:$L$4995,"Đã chuyển khoản"))</f>
        <v/>
      </c>
      <c r="Y1607" s="24" t="n"/>
    </row>
    <row r="1608" ht="14.25" customHeight="1" s="40">
      <c r="A1608" s="24" t="n"/>
      <c r="B1608" s="27" t="n"/>
      <c r="C1608" s="24" t="n"/>
      <c r="D1608" s="28" t="n"/>
      <c r="E1608" s="29" t="n"/>
      <c r="F1608" s="24" t="n"/>
      <c r="G1608" s="24" t="n"/>
      <c r="H1608" s="21">
        <f>IF(ISNUMBER($B1608),INT($B1608)-WEEKDAY($B1608,2)+1,"")</f>
        <v/>
      </c>
      <c r="I1608" s="24" t="n"/>
      <c r="J1608" s="22">
        <f t="array" ref="J1608">IF($D1608="","",IF($I1608="","(trống REF)",IFERROR(INDEX(MASTER_SOURCE!$B$2:$B$495,MATCH($I1608,MASTER_SOURCE!$A$2:$A$495,0)),"(REF không có trong MASTER_SOURCE)")))</f>
        <v/>
      </c>
      <c r="K1608" s="22">
        <f t="array" ref="K1608">IF($D1608="","",IFERROR(INDEX(MASTER_SOURCE!$C$2:$C$495,MATCH($I1608,MASTER_SOURCE!$A$2:$A$495,0)),""))</f>
        <v/>
      </c>
      <c r="L1608" s="22">
        <f t="array" ref="L1608">IF($D1608="","",IFERROR(INDEX(MASTER_SOURCE!$D$2:$D$495,MATCH($I1608,MASTER_SOURCE!$A$2:$A$495,0)),""))</f>
        <v/>
      </c>
      <c r="M1608" s="24" t="n"/>
      <c r="N1608" s="24" t="n"/>
      <c r="O1608" s="24" t="n"/>
      <c r="P1608" s="24" t="n"/>
      <c r="Q1608" s="22">
        <f>IF($D1608="","",IF(AND(OR(DANH_MUC!$L$5&lt;&gt;"Có",M1608="Có"),OR(DANH_MUC!$L$6&lt;&gt;"Có",N1608="Có"),OR(DANH_MUC!$L$7&lt;&gt;"Có",O1608="Có"),OR(DANH_MUC!$L$8&lt;&gt;"Có",P1608="Có")),"Có","Không"))</f>
        <v/>
      </c>
      <c r="R1608" s="22">
        <f>IF($D1608="","",IF(COUNTIF($D$2:$D1608,$D1608)&gt;1,"Trùng",""))</f>
        <v/>
      </c>
      <c r="S1608" s="22">
        <f>IF($D1608="","",IF(AND(LEN($D1608)=10,LEFT($D1608,1)="0",ISNUMBER(--$D1608)),"Có","Không"))</f>
        <v/>
      </c>
      <c r="T1608" s="22">
        <f>IF($D1608="","",IF(AND($C1608&lt;&gt;"",$Q1608="Có",$R1608="",$S1608="Có",AND($L1608&lt;&gt;"",OR($L1608&lt;&gt;"Chưa xác định",DANH_MUC!$L$9="Có"))),"Có","Không"))</f>
        <v/>
      </c>
      <c r="U1608" s="22">
        <f>IF(OR($D1608="",$T1608="Có"),"",IF($C1608="","Thiếu họ tên; ","")&amp;IF($S1608&lt;&gt;"Có","SĐT sai định dạng; ","")&amp;IF($R1608="Trùng","Trùng SĐT; ","")&amp;IF($Q1608&lt;&gt;"Có","Thiếu đồng ý bắt buộc; ","")&amp;IF($L1608="","Thiếu/sai Mã REF; ",IF(AND($L1608="Chưa xác định",DANH_MUC!$L$9&lt;&gt;"Có"),"Nguồn chưa xác định; ","")))</f>
        <v/>
      </c>
      <c r="V1608" s="22">
        <f>IF(OR($D1608="",$R1608="Trùng"),"",IF(COUNTIF(ORDERS!$C$2:$C$4995,$D1608)&gt;0,"Có","Không"))</f>
        <v/>
      </c>
      <c r="W1608" s="22">
        <f>IF(OR($D1608="",$R1608="Trùng"),"",COUNTIFS(ORDERS!$C$2:$C$4995,$D1608,ORDERS!$L$2:$L$4995,"Đã chuyển khoản"))</f>
        <v/>
      </c>
      <c r="X1608" s="23">
        <f>IF(OR($D1608="",$R1608="Trùng"),"",SUMIFS(ORDERS!$J$2:$J$4995,ORDERS!$C$2:$C$4995,$D1608,ORDERS!$L$2:$L$4995,"Đã chuyển khoản"))</f>
        <v/>
      </c>
      <c r="Y1608" s="24" t="n"/>
    </row>
    <row r="1609" ht="14.25" customHeight="1" s="40">
      <c r="A1609" s="24" t="n"/>
      <c r="B1609" s="27" t="n"/>
      <c r="C1609" s="24" t="n"/>
      <c r="D1609" s="28" t="n"/>
      <c r="E1609" s="29" t="n"/>
      <c r="F1609" s="24" t="n"/>
      <c r="G1609" s="24" t="n"/>
      <c r="H1609" s="21">
        <f>IF(ISNUMBER($B1609),INT($B1609)-WEEKDAY($B1609,2)+1,"")</f>
        <v/>
      </c>
      <c r="I1609" s="24" t="n"/>
      <c r="J1609" s="22">
        <f t="array" ref="J1609">IF($D1609="","",IF($I1609="","(trống REF)",IFERROR(INDEX(MASTER_SOURCE!$B$2:$B$495,MATCH($I1609,MASTER_SOURCE!$A$2:$A$495,0)),"(REF không có trong MASTER_SOURCE)")))</f>
        <v/>
      </c>
      <c r="K1609" s="22">
        <f t="array" ref="K1609">IF($D1609="","",IFERROR(INDEX(MASTER_SOURCE!$C$2:$C$495,MATCH($I1609,MASTER_SOURCE!$A$2:$A$495,0)),""))</f>
        <v/>
      </c>
      <c r="L1609" s="22">
        <f t="array" ref="L1609">IF($D1609="","",IFERROR(INDEX(MASTER_SOURCE!$D$2:$D$495,MATCH($I1609,MASTER_SOURCE!$A$2:$A$495,0)),""))</f>
        <v/>
      </c>
      <c r="M1609" s="24" t="n"/>
      <c r="N1609" s="24" t="n"/>
      <c r="O1609" s="24" t="n"/>
      <c r="P1609" s="24" t="n"/>
      <c r="Q1609" s="22">
        <f>IF($D1609="","",IF(AND(OR(DANH_MUC!$L$5&lt;&gt;"Có",M1609="Có"),OR(DANH_MUC!$L$6&lt;&gt;"Có",N1609="Có"),OR(DANH_MUC!$L$7&lt;&gt;"Có",O1609="Có"),OR(DANH_MUC!$L$8&lt;&gt;"Có",P1609="Có")),"Có","Không"))</f>
        <v/>
      </c>
      <c r="R1609" s="22">
        <f>IF($D1609="","",IF(COUNTIF($D$2:$D1609,$D1609)&gt;1,"Trùng",""))</f>
        <v/>
      </c>
      <c r="S1609" s="22">
        <f>IF($D1609="","",IF(AND(LEN($D1609)=10,LEFT($D1609,1)="0",ISNUMBER(--$D1609)),"Có","Không"))</f>
        <v/>
      </c>
      <c r="T1609" s="22">
        <f>IF($D1609="","",IF(AND($C1609&lt;&gt;"",$Q1609="Có",$R1609="",$S1609="Có",AND($L1609&lt;&gt;"",OR($L1609&lt;&gt;"Chưa xác định",DANH_MUC!$L$9="Có"))),"Có","Không"))</f>
        <v/>
      </c>
      <c r="U1609" s="22">
        <f>IF(OR($D1609="",$T1609="Có"),"",IF($C1609="","Thiếu họ tên; ","")&amp;IF($S1609&lt;&gt;"Có","SĐT sai định dạng; ","")&amp;IF($R1609="Trùng","Trùng SĐT; ","")&amp;IF($Q1609&lt;&gt;"Có","Thiếu đồng ý bắt buộc; ","")&amp;IF($L1609="","Thiếu/sai Mã REF; ",IF(AND($L1609="Chưa xác định",DANH_MUC!$L$9&lt;&gt;"Có"),"Nguồn chưa xác định; ","")))</f>
        <v/>
      </c>
      <c r="V1609" s="22">
        <f>IF(OR($D1609="",$R1609="Trùng"),"",IF(COUNTIF(ORDERS!$C$2:$C$4995,$D1609)&gt;0,"Có","Không"))</f>
        <v/>
      </c>
      <c r="W1609" s="22">
        <f>IF(OR($D1609="",$R1609="Trùng"),"",COUNTIFS(ORDERS!$C$2:$C$4995,$D1609,ORDERS!$L$2:$L$4995,"Đã chuyển khoản"))</f>
        <v/>
      </c>
      <c r="X1609" s="23">
        <f>IF(OR($D1609="",$R1609="Trùng"),"",SUMIFS(ORDERS!$J$2:$J$4995,ORDERS!$C$2:$C$4995,$D1609,ORDERS!$L$2:$L$4995,"Đã chuyển khoản"))</f>
        <v/>
      </c>
      <c r="Y1609" s="24" t="n"/>
    </row>
    <row r="1610" ht="14.25" customHeight="1" s="40">
      <c r="A1610" s="24" t="n"/>
      <c r="B1610" s="27" t="n"/>
      <c r="C1610" s="24" t="n"/>
      <c r="D1610" s="28" t="n"/>
      <c r="E1610" s="29" t="n"/>
      <c r="F1610" s="24" t="n"/>
      <c r="G1610" s="24" t="n"/>
      <c r="H1610" s="21">
        <f>IF(ISNUMBER($B1610),INT($B1610)-WEEKDAY($B1610,2)+1,"")</f>
        <v/>
      </c>
      <c r="I1610" s="24" t="n"/>
      <c r="J1610" s="22">
        <f t="array" ref="J1610">IF($D1610="","",IF($I1610="","(trống REF)",IFERROR(INDEX(MASTER_SOURCE!$B$2:$B$495,MATCH($I1610,MASTER_SOURCE!$A$2:$A$495,0)),"(REF không có trong MASTER_SOURCE)")))</f>
        <v/>
      </c>
      <c r="K1610" s="22">
        <f t="array" ref="K1610">IF($D1610="","",IFERROR(INDEX(MASTER_SOURCE!$C$2:$C$495,MATCH($I1610,MASTER_SOURCE!$A$2:$A$495,0)),""))</f>
        <v/>
      </c>
      <c r="L1610" s="22">
        <f t="array" ref="L1610">IF($D1610="","",IFERROR(INDEX(MASTER_SOURCE!$D$2:$D$495,MATCH($I1610,MASTER_SOURCE!$A$2:$A$495,0)),""))</f>
        <v/>
      </c>
      <c r="M1610" s="24" t="n"/>
      <c r="N1610" s="24" t="n"/>
      <c r="O1610" s="24" t="n"/>
      <c r="P1610" s="24" t="n"/>
      <c r="Q1610" s="22">
        <f>IF($D1610="","",IF(AND(OR(DANH_MUC!$L$5&lt;&gt;"Có",M1610="Có"),OR(DANH_MUC!$L$6&lt;&gt;"Có",N1610="Có"),OR(DANH_MUC!$L$7&lt;&gt;"Có",O1610="Có"),OR(DANH_MUC!$L$8&lt;&gt;"Có",P1610="Có")),"Có","Không"))</f>
        <v/>
      </c>
      <c r="R1610" s="22">
        <f>IF($D1610="","",IF(COUNTIF($D$2:$D1610,$D1610)&gt;1,"Trùng",""))</f>
        <v/>
      </c>
      <c r="S1610" s="22">
        <f>IF($D1610="","",IF(AND(LEN($D1610)=10,LEFT($D1610,1)="0",ISNUMBER(--$D1610)),"Có","Không"))</f>
        <v/>
      </c>
      <c r="T1610" s="22">
        <f>IF($D1610="","",IF(AND($C1610&lt;&gt;"",$Q1610="Có",$R1610="",$S1610="Có",AND($L1610&lt;&gt;"",OR($L1610&lt;&gt;"Chưa xác định",DANH_MUC!$L$9="Có"))),"Có","Không"))</f>
        <v/>
      </c>
      <c r="U1610" s="22">
        <f>IF(OR($D1610="",$T1610="Có"),"",IF($C1610="","Thiếu họ tên; ","")&amp;IF($S1610&lt;&gt;"Có","SĐT sai định dạng; ","")&amp;IF($R1610="Trùng","Trùng SĐT; ","")&amp;IF($Q1610&lt;&gt;"Có","Thiếu đồng ý bắt buộc; ","")&amp;IF($L1610="","Thiếu/sai Mã REF; ",IF(AND($L1610="Chưa xác định",DANH_MUC!$L$9&lt;&gt;"Có"),"Nguồn chưa xác định; ","")))</f>
        <v/>
      </c>
      <c r="V1610" s="22">
        <f>IF(OR($D1610="",$R1610="Trùng"),"",IF(COUNTIF(ORDERS!$C$2:$C$4995,$D1610)&gt;0,"Có","Không"))</f>
        <v/>
      </c>
      <c r="W1610" s="22">
        <f>IF(OR($D1610="",$R1610="Trùng"),"",COUNTIFS(ORDERS!$C$2:$C$4995,$D1610,ORDERS!$L$2:$L$4995,"Đã chuyển khoản"))</f>
        <v/>
      </c>
      <c r="X1610" s="23">
        <f>IF(OR($D1610="",$R1610="Trùng"),"",SUMIFS(ORDERS!$J$2:$J$4995,ORDERS!$C$2:$C$4995,$D1610,ORDERS!$L$2:$L$4995,"Đã chuyển khoản"))</f>
        <v/>
      </c>
      <c r="Y1610" s="24" t="n"/>
    </row>
    <row r="1611" ht="14.25" customHeight="1" s="40">
      <c r="A1611" s="24" t="n"/>
      <c r="B1611" s="27" t="n"/>
      <c r="C1611" s="24" t="n"/>
      <c r="D1611" s="28" t="n"/>
      <c r="E1611" s="29" t="n"/>
      <c r="F1611" s="24" t="n"/>
      <c r="G1611" s="24" t="n"/>
      <c r="H1611" s="21">
        <f>IF(ISNUMBER($B1611),INT($B1611)-WEEKDAY($B1611,2)+1,"")</f>
        <v/>
      </c>
      <c r="I1611" s="24" t="n"/>
      <c r="J1611" s="22">
        <f t="array" ref="J1611">IF($D1611="","",IF($I1611="","(trống REF)",IFERROR(INDEX(MASTER_SOURCE!$B$2:$B$495,MATCH($I1611,MASTER_SOURCE!$A$2:$A$495,0)),"(REF không có trong MASTER_SOURCE)")))</f>
        <v/>
      </c>
      <c r="K1611" s="22">
        <f t="array" ref="K1611">IF($D1611="","",IFERROR(INDEX(MASTER_SOURCE!$C$2:$C$495,MATCH($I1611,MASTER_SOURCE!$A$2:$A$495,0)),""))</f>
        <v/>
      </c>
      <c r="L1611" s="22">
        <f t="array" ref="L1611">IF($D1611="","",IFERROR(INDEX(MASTER_SOURCE!$D$2:$D$495,MATCH($I1611,MASTER_SOURCE!$A$2:$A$495,0)),""))</f>
        <v/>
      </c>
      <c r="M1611" s="24" t="n"/>
      <c r="N1611" s="24" t="n"/>
      <c r="O1611" s="24" t="n"/>
      <c r="P1611" s="24" t="n"/>
      <c r="Q1611" s="22">
        <f>IF($D1611="","",IF(AND(OR(DANH_MUC!$L$5&lt;&gt;"Có",M1611="Có"),OR(DANH_MUC!$L$6&lt;&gt;"Có",N1611="Có"),OR(DANH_MUC!$L$7&lt;&gt;"Có",O1611="Có"),OR(DANH_MUC!$L$8&lt;&gt;"Có",P1611="Có")),"Có","Không"))</f>
        <v/>
      </c>
      <c r="R1611" s="22">
        <f>IF($D1611="","",IF(COUNTIF($D$2:$D1611,$D1611)&gt;1,"Trùng",""))</f>
        <v/>
      </c>
      <c r="S1611" s="22">
        <f>IF($D1611="","",IF(AND(LEN($D1611)=10,LEFT($D1611,1)="0",ISNUMBER(--$D1611)),"Có","Không"))</f>
        <v/>
      </c>
      <c r="T1611" s="22">
        <f>IF($D1611="","",IF(AND($C1611&lt;&gt;"",$Q1611="Có",$R1611="",$S1611="Có",AND($L1611&lt;&gt;"",OR($L1611&lt;&gt;"Chưa xác định",DANH_MUC!$L$9="Có"))),"Có","Không"))</f>
        <v/>
      </c>
      <c r="U1611" s="22">
        <f>IF(OR($D1611="",$T1611="Có"),"",IF($C1611="","Thiếu họ tên; ","")&amp;IF($S1611&lt;&gt;"Có","SĐT sai định dạng; ","")&amp;IF($R1611="Trùng","Trùng SĐT; ","")&amp;IF($Q1611&lt;&gt;"Có","Thiếu đồng ý bắt buộc; ","")&amp;IF($L1611="","Thiếu/sai Mã REF; ",IF(AND($L1611="Chưa xác định",DANH_MUC!$L$9&lt;&gt;"Có"),"Nguồn chưa xác định; ","")))</f>
        <v/>
      </c>
      <c r="V1611" s="22">
        <f>IF(OR($D1611="",$R1611="Trùng"),"",IF(COUNTIF(ORDERS!$C$2:$C$4995,$D1611)&gt;0,"Có","Không"))</f>
        <v/>
      </c>
      <c r="W1611" s="22">
        <f>IF(OR($D1611="",$R1611="Trùng"),"",COUNTIFS(ORDERS!$C$2:$C$4995,$D1611,ORDERS!$L$2:$L$4995,"Đã chuyển khoản"))</f>
        <v/>
      </c>
      <c r="X1611" s="23">
        <f>IF(OR($D1611="",$R1611="Trùng"),"",SUMIFS(ORDERS!$J$2:$J$4995,ORDERS!$C$2:$C$4995,$D1611,ORDERS!$L$2:$L$4995,"Đã chuyển khoản"))</f>
        <v/>
      </c>
      <c r="Y1611" s="24" t="n"/>
    </row>
    <row r="1612" ht="14.25" customHeight="1" s="40">
      <c r="A1612" s="24" t="n"/>
      <c r="B1612" s="27" t="n"/>
      <c r="C1612" s="24" t="n"/>
      <c r="D1612" s="28" t="n"/>
      <c r="E1612" s="29" t="n"/>
      <c r="F1612" s="24" t="n"/>
      <c r="G1612" s="24" t="n"/>
      <c r="H1612" s="21">
        <f>IF(ISNUMBER($B1612),INT($B1612)-WEEKDAY($B1612,2)+1,"")</f>
        <v/>
      </c>
      <c r="I1612" s="24" t="n"/>
      <c r="J1612" s="22">
        <f t="array" ref="J1612">IF($D1612="","",IF($I1612="","(trống REF)",IFERROR(INDEX(MASTER_SOURCE!$B$2:$B$495,MATCH($I1612,MASTER_SOURCE!$A$2:$A$495,0)),"(REF không có trong MASTER_SOURCE)")))</f>
        <v/>
      </c>
      <c r="K1612" s="22">
        <f t="array" ref="K1612">IF($D1612="","",IFERROR(INDEX(MASTER_SOURCE!$C$2:$C$495,MATCH($I1612,MASTER_SOURCE!$A$2:$A$495,0)),""))</f>
        <v/>
      </c>
      <c r="L1612" s="22">
        <f t="array" ref="L1612">IF($D1612="","",IFERROR(INDEX(MASTER_SOURCE!$D$2:$D$495,MATCH($I1612,MASTER_SOURCE!$A$2:$A$495,0)),""))</f>
        <v/>
      </c>
      <c r="M1612" s="24" t="n"/>
      <c r="N1612" s="24" t="n"/>
      <c r="O1612" s="24" t="n"/>
      <c r="P1612" s="24" t="n"/>
      <c r="Q1612" s="22">
        <f>IF($D1612="","",IF(AND(OR(DANH_MUC!$L$5&lt;&gt;"Có",M1612="Có"),OR(DANH_MUC!$L$6&lt;&gt;"Có",N1612="Có"),OR(DANH_MUC!$L$7&lt;&gt;"Có",O1612="Có"),OR(DANH_MUC!$L$8&lt;&gt;"Có",P1612="Có")),"Có","Không"))</f>
        <v/>
      </c>
      <c r="R1612" s="22">
        <f>IF($D1612="","",IF(COUNTIF($D$2:$D1612,$D1612)&gt;1,"Trùng",""))</f>
        <v/>
      </c>
      <c r="S1612" s="22">
        <f>IF($D1612="","",IF(AND(LEN($D1612)=10,LEFT($D1612,1)="0",ISNUMBER(--$D1612)),"Có","Không"))</f>
        <v/>
      </c>
      <c r="T1612" s="22">
        <f>IF($D1612="","",IF(AND($C1612&lt;&gt;"",$Q1612="Có",$R1612="",$S1612="Có",AND($L1612&lt;&gt;"",OR($L1612&lt;&gt;"Chưa xác định",DANH_MUC!$L$9="Có"))),"Có","Không"))</f>
        <v/>
      </c>
      <c r="U1612" s="22">
        <f>IF(OR($D1612="",$T1612="Có"),"",IF($C1612="","Thiếu họ tên; ","")&amp;IF($S1612&lt;&gt;"Có","SĐT sai định dạng; ","")&amp;IF($R1612="Trùng","Trùng SĐT; ","")&amp;IF($Q1612&lt;&gt;"Có","Thiếu đồng ý bắt buộc; ","")&amp;IF($L1612="","Thiếu/sai Mã REF; ",IF(AND($L1612="Chưa xác định",DANH_MUC!$L$9&lt;&gt;"Có"),"Nguồn chưa xác định; ","")))</f>
        <v/>
      </c>
      <c r="V1612" s="22">
        <f>IF(OR($D1612="",$R1612="Trùng"),"",IF(COUNTIF(ORDERS!$C$2:$C$4995,$D1612)&gt;0,"Có","Không"))</f>
        <v/>
      </c>
      <c r="W1612" s="22">
        <f>IF(OR($D1612="",$R1612="Trùng"),"",COUNTIFS(ORDERS!$C$2:$C$4995,$D1612,ORDERS!$L$2:$L$4995,"Đã chuyển khoản"))</f>
        <v/>
      </c>
      <c r="X1612" s="23">
        <f>IF(OR($D1612="",$R1612="Trùng"),"",SUMIFS(ORDERS!$J$2:$J$4995,ORDERS!$C$2:$C$4995,$D1612,ORDERS!$L$2:$L$4995,"Đã chuyển khoản"))</f>
        <v/>
      </c>
      <c r="Y1612" s="24" t="n"/>
    </row>
    <row r="1613" ht="14.25" customHeight="1" s="40">
      <c r="A1613" s="24" t="n"/>
      <c r="B1613" s="27" t="n"/>
      <c r="C1613" s="24" t="n"/>
      <c r="D1613" s="28" t="n"/>
      <c r="E1613" s="29" t="n"/>
      <c r="F1613" s="24" t="n"/>
      <c r="G1613" s="24" t="n"/>
      <c r="H1613" s="21">
        <f>IF(ISNUMBER($B1613),INT($B1613)-WEEKDAY($B1613,2)+1,"")</f>
        <v/>
      </c>
      <c r="I1613" s="24" t="n"/>
      <c r="J1613" s="22">
        <f t="array" ref="J1613">IF($D1613="","",IF($I1613="","(trống REF)",IFERROR(INDEX(MASTER_SOURCE!$B$2:$B$495,MATCH($I1613,MASTER_SOURCE!$A$2:$A$495,0)),"(REF không có trong MASTER_SOURCE)")))</f>
        <v/>
      </c>
      <c r="K1613" s="22">
        <f t="array" ref="K1613">IF($D1613="","",IFERROR(INDEX(MASTER_SOURCE!$C$2:$C$495,MATCH($I1613,MASTER_SOURCE!$A$2:$A$495,0)),""))</f>
        <v/>
      </c>
      <c r="L1613" s="22">
        <f t="array" ref="L1613">IF($D1613="","",IFERROR(INDEX(MASTER_SOURCE!$D$2:$D$495,MATCH($I1613,MASTER_SOURCE!$A$2:$A$495,0)),""))</f>
        <v/>
      </c>
      <c r="M1613" s="24" t="n"/>
      <c r="N1613" s="24" t="n"/>
      <c r="O1613" s="24" t="n"/>
      <c r="P1613" s="24" t="n"/>
      <c r="Q1613" s="22">
        <f>IF($D1613="","",IF(AND(OR(DANH_MUC!$L$5&lt;&gt;"Có",M1613="Có"),OR(DANH_MUC!$L$6&lt;&gt;"Có",N1613="Có"),OR(DANH_MUC!$L$7&lt;&gt;"Có",O1613="Có"),OR(DANH_MUC!$L$8&lt;&gt;"Có",P1613="Có")),"Có","Không"))</f>
        <v/>
      </c>
      <c r="R1613" s="22">
        <f>IF($D1613="","",IF(COUNTIF($D$2:$D1613,$D1613)&gt;1,"Trùng",""))</f>
        <v/>
      </c>
      <c r="S1613" s="22">
        <f>IF($D1613="","",IF(AND(LEN($D1613)=10,LEFT($D1613,1)="0",ISNUMBER(--$D1613)),"Có","Không"))</f>
        <v/>
      </c>
      <c r="T1613" s="22">
        <f>IF($D1613="","",IF(AND($C1613&lt;&gt;"",$Q1613="Có",$R1613="",$S1613="Có",AND($L1613&lt;&gt;"",OR($L1613&lt;&gt;"Chưa xác định",DANH_MUC!$L$9="Có"))),"Có","Không"))</f>
        <v/>
      </c>
      <c r="U1613" s="22">
        <f>IF(OR($D1613="",$T1613="Có"),"",IF($C1613="","Thiếu họ tên; ","")&amp;IF($S1613&lt;&gt;"Có","SĐT sai định dạng; ","")&amp;IF($R1613="Trùng","Trùng SĐT; ","")&amp;IF($Q1613&lt;&gt;"Có","Thiếu đồng ý bắt buộc; ","")&amp;IF($L1613="","Thiếu/sai Mã REF; ",IF(AND($L1613="Chưa xác định",DANH_MUC!$L$9&lt;&gt;"Có"),"Nguồn chưa xác định; ","")))</f>
        <v/>
      </c>
      <c r="V1613" s="22">
        <f>IF(OR($D1613="",$R1613="Trùng"),"",IF(COUNTIF(ORDERS!$C$2:$C$4995,$D1613)&gt;0,"Có","Không"))</f>
        <v/>
      </c>
      <c r="W1613" s="22">
        <f>IF(OR($D1613="",$R1613="Trùng"),"",COUNTIFS(ORDERS!$C$2:$C$4995,$D1613,ORDERS!$L$2:$L$4995,"Đã chuyển khoản"))</f>
        <v/>
      </c>
      <c r="X1613" s="23">
        <f>IF(OR($D1613="",$R1613="Trùng"),"",SUMIFS(ORDERS!$J$2:$J$4995,ORDERS!$C$2:$C$4995,$D1613,ORDERS!$L$2:$L$4995,"Đã chuyển khoản"))</f>
        <v/>
      </c>
      <c r="Y1613" s="24" t="n"/>
    </row>
    <row r="1614" ht="14.25" customHeight="1" s="40">
      <c r="A1614" s="24" t="n"/>
      <c r="B1614" s="27" t="n"/>
      <c r="C1614" s="24" t="n"/>
      <c r="D1614" s="28" t="n"/>
      <c r="E1614" s="29" t="n"/>
      <c r="F1614" s="24" t="n"/>
      <c r="G1614" s="24" t="n"/>
      <c r="H1614" s="21">
        <f>IF(ISNUMBER($B1614),INT($B1614)-WEEKDAY($B1614,2)+1,"")</f>
        <v/>
      </c>
      <c r="I1614" s="24" t="n"/>
      <c r="J1614" s="22">
        <f t="array" ref="J1614">IF($D1614="","",IF($I1614="","(trống REF)",IFERROR(INDEX(MASTER_SOURCE!$B$2:$B$495,MATCH($I1614,MASTER_SOURCE!$A$2:$A$495,0)),"(REF không có trong MASTER_SOURCE)")))</f>
        <v/>
      </c>
      <c r="K1614" s="22">
        <f t="array" ref="K1614">IF($D1614="","",IFERROR(INDEX(MASTER_SOURCE!$C$2:$C$495,MATCH($I1614,MASTER_SOURCE!$A$2:$A$495,0)),""))</f>
        <v/>
      </c>
      <c r="L1614" s="22">
        <f t="array" ref="L1614">IF($D1614="","",IFERROR(INDEX(MASTER_SOURCE!$D$2:$D$495,MATCH($I1614,MASTER_SOURCE!$A$2:$A$495,0)),""))</f>
        <v/>
      </c>
      <c r="M1614" s="24" t="n"/>
      <c r="N1614" s="24" t="n"/>
      <c r="O1614" s="24" t="n"/>
      <c r="P1614" s="24" t="n"/>
      <c r="Q1614" s="22">
        <f>IF($D1614="","",IF(AND(OR(DANH_MUC!$L$5&lt;&gt;"Có",M1614="Có"),OR(DANH_MUC!$L$6&lt;&gt;"Có",N1614="Có"),OR(DANH_MUC!$L$7&lt;&gt;"Có",O1614="Có"),OR(DANH_MUC!$L$8&lt;&gt;"Có",P1614="Có")),"Có","Không"))</f>
        <v/>
      </c>
      <c r="R1614" s="22">
        <f>IF($D1614="","",IF(COUNTIF($D$2:$D1614,$D1614)&gt;1,"Trùng",""))</f>
        <v/>
      </c>
      <c r="S1614" s="22">
        <f>IF($D1614="","",IF(AND(LEN($D1614)=10,LEFT($D1614,1)="0",ISNUMBER(--$D1614)),"Có","Không"))</f>
        <v/>
      </c>
      <c r="T1614" s="22">
        <f>IF($D1614="","",IF(AND($C1614&lt;&gt;"",$Q1614="Có",$R1614="",$S1614="Có",AND($L1614&lt;&gt;"",OR($L1614&lt;&gt;"Chưa xác định",DANH_MUC!$L$9="Có"))),"Có","Không"))</f>
        <v/>
      </c>
      <c r="U1614" s="22">
        <f>IF(OR($D1614="",$T1614="Có"),"",IF($C1614="","Thiếu họ tên; ","")&amp;IF($S1614&lt;&gt;"Có","SĐT sai định dạng; ","")&amp;IF($R1614="Trùng","Trùng SĐT; ","")&amp;IF($Q1614&lt;&gt;"Có","Thiếu đồng ý bắt buộc; ","")&amp;IF($L1614="","Thiếu/sai Mã REF; ",IF(AND($L1614="Chưa xác định",DANH_MUC!$L$9&lt;&gt;"Có"),"Nguồn chưa xác định; ","")))</f>
        <v/>
      </c>
      <c r="V1614" s="22">
        <f>IF(OR($D1614="",$R1614="Trùng"),"",IF(COUNTIF(ORDERS!$C$2:$C$4995,$D1614)&gt;0,"Có","Không"))</f>
        <v/>
      </c>
      <c r="W1614" s="22">
        <f>IF(OR($D1614="",$R1614="Trùng"),"",COUNTIFS(ORDERS!$C$2:$C$4995,$D1614,ORDERS!$L$2:$L$4995,"Đã chuyển khoản"))</f>
        <v/>
      </c>
      <c r="X1614" s="23">
        <f>IF(OR($D1614="",$R1614="Trùng"),"",SUMIFS(ORDERS!$J$2:$J$4995,ORDERS!$C$2:$C$4995,$D1614,ORDERS!$L$2:$L$4995,"Đã chuyển khoản"))</f>
        <v/>
      </c>
      <c r="Y1614" s="24" t="n"/>
    </row>
    <row r="1615" ht="14.25" customHeight="1" s="40">
      <c r="A1615" s="24" t="n"/>
      <c r="B1615" s="27" t="n"/>
      <c r="C1615" s="24" t="n"/>
      <c r="D1615" s="28" t="n"/>
      <c r="E1615" s="29" t="n"/>
      <c r="F1615" s="24" t="n"/>
      <c r="G1615" s="24" t="n"/>
      <c r="H1615" s="21">
        <f>IF(ISNUMBER($B1615),INT($B1615)-WEEKDAY($B1615,2)+1,"")</f>
        <v/>
      </c>
      <c r="I1615" s="24" t="n"/>
      <c r="J1615" s="22">
        <f t="array" ref="J1615">IF($D1615="","",IF($I1615="","(trống REF)",IFERROR(INDEX(MASTER_SOURCE!$B$2:$B$495,MATCH($I1615,MASTER_SOURCE!$A$2:$A$495,0)),"(REF không có trong MASTER_SOURCE)")))</f>
        <v/>
      </c>
      <c r="K1615" s="22">
        <f t="array" ref="K1615">IF($D1615="","",IFERROR(INDEX(MASTER_SOURCE!$C$2:$C$495,MATCH($I1615,MASTER_SOURCE!$A$2:$A$495,0)),""))</f>
        <v/>
      </c>
      <c r="L1615" s="22">
        <f t="array" ref="L1615">IF($D1615="","",IFERROR(INDEX(MASTER_SOURCE!$D$2:$D$495,MATCH($I1615,MASTER_SOURCE!$A$2:$A$495,0)),""))</f>
        <v/>
      </c>
      <c r="M1615" s="24" t="n"/>
      <c r="N1615" s="24" t="n"/>
      <c r="O1615" s="24" t="n"/>
      <c r="P1615" s="24" t="n"/>
      <c r="Q1615" s="22">
        <f>IF($D1615="","",IF(AND(OR(DANH_MUC!$L$5&lt;&gt;"Có",M1615="Có"),OR(DANH_MUC!$L$6&lt;&gt;"Có",N1615="Có"),OR(DANH_MUC!$L$7&lt;&gt;"Có",O1615="Có"),OR(DANH_MUC!$L$8&lt;&gt;"Có",P1615="Có")),"Có","Không"))</f>
        <v/>
      </c>
      <c r="R1615" s="22">
        <f>IF($D1615="","",IF(COUNTIF($D$2:$D1615,$D1615)&gt;1,"Trùng",""))</f>
        <v/>
      </c>
      <c r="S1615" s="22">
        <f>IF($D1615="","",IF(AND(LEN($D1615)=10,LEFT($D1615,1)="0",ISNUMBER(--$D1615)),"Có","Không"))</f>
        <v/>
      </c>
      <c r="T1615" s="22">
        <f>IF($D1615="","",IF(AND($C1615&lt;&gt;"",$Q1615="Có",$R1615="",$S1615="Có",AND($L1615&lt;&gt;"",OR($L1615&lt;&gt;"Chưa xác định",DANH_MUC!$L$9="Có"))),"Có","Không"))</f>
        <v/>
      </c>
      <c r="U1615" s="22">
        <f>IF(OR($D1615="",$T1615="Có"),"",IF($C1615="","Thiếu họ tên; ","")&amp;IF($S1615&lt;&gt;"Có","SĐT sai định dạng; ","")&amp;IF($R1615="Trùng","Trùng SĐT; ","")&amp;IF($Q1615&lt;&gt;"Có","Thiếu đồng ý bắt buộc; ","")&amp;IF($L1615="","Thiếu/sai Mã REF; ",IF(AND($L1615="Chưa xác định",DANH_MUC!$L$9&lt;&gt;"Có"),"Nguồn chưa xác định; ","")))</f>
        <v/>
      </c>
      <c r="V1615" s="22">
        <f>IF(OR($D1615="",$R1615="Trùng"),"",IF(COUNTIF(ORDERS!$C$2:$C$4995,$D1615)&gt;0,"Có","Không"))</f>
        <v/>
      </c>
      <c r="W1615" s="22">
        <f>IF(OR($D1615="",$R1615="Trùng"),"",COUNTIFS(ORDERS!$C$2:$C$4995,$D1615,ORDERS!$L$2:$L$4995,"Đã chuyển khoản"))</f>
        <v/>
      </c>
      <c r="X1615" s="23">
        <f>IF(OR($D1615="",$R1615="Trùng"),"",SUMIFS(ORDERS!$J$2:$J$4995,ORDERS!$C$2:$C$4995,$D1615,ORDERS!$L$2:$L$4995,"Đã chuyển khoản"))</f>
        <v/>
      </c>
      <c r="Y1615" s="24" t="n"/>
    </row>
    <row r="1616" ht="14.25" customHeight="1" s="40">
      <c r="A1616" s="24" t="n"/>
      <c r="B1616" s="27" t="n"/>
      <c r="C1616" s="24" t="n"/>
      <c r="D1616" s="28" t="n"/>
      <c r="E1616" s="29" t="n"/>
      <c r="F1616" s="24" t="n"/>
      <c r="G1616" s="24" t="n"/>
      <c r="H1616" s="21">
        <f>IF(ISNUMBER($B1616),INT($B1616)-WEEKDAY($B1616,2)+1,"")</f>
        <v/>
      </c>
      <c r="I1616" s="24" t="n"/>
      <c r="J1616" s="22">
        <f t="array" ref="J1616">IF($D1616="","",IF($I1616="","(trống REF)",IFERROR(INDEX(MASTER_SOURCE!$B$2:$B$495,MATCH($I1616,MASTER_SOURCE!$A$2:$A$495,0)),"(REF không có trong MASTER_SOURCE)")))</f>
        <v/>
      </c>
      <c r="K1616" s="22">
        <f t="array" ref="K1616">IF($D1616="","",IFERROR(INDEX(MASTER_SOURCE!$C$2:$C$495,MATCH($I1616,MASTER_SOURCE!$A$2:$A$495,0)),""))</f>
        <v/>
      </c>
      <c r="L1616" s="22">
        <f t="array" ref="L1616">IF($D1616="","",IFERROR(INDEX(MASTER_SOURCE!$D$2:$D$495,MATCH($I1616,MASTER_SOURCE!$A$2:$A$495,0)),""))</f>
        <v/>
      </c>
      <c r="M1616" s="24" t="n"/>
      <c r="N1616" s="24" t="n"/>
      <c r="O1616" s="24" t="n"/>
      <c r="P1616" s="24" t="n"/>
      <c r="Q1616" s="22">
        <f>IF($D1616="","",IF(AND(OR(DANH_MUC!$L$5&lt;&gt;"Có",M1616="Có"),OR(DANH_MUC!$L$6&lt;&gt;"Có",N1616="Có"),OR(DANH_MUC!$L$7&lt;&gt;"Có",O1616="Có"),OR(DANH_MUC!$L$8&lt;&gt;"Có",P1616="Có")),"Có","Không"))</f>
        <v/>
      </c>
      <c r="R1616" s="22">
        <f>IF($D1616="","",IF(COUNTIF($D$2:$D1616,$D1616)&gt;1,"Trùng",""))</f>
        <v/>
      </c>
      <c r="S1616" s="22">
        <f>IF($D1616="","",IF(AND(LEN($D1616)=10,LEFT($D1616,1)="0",ISNUMBER(--$D1616)),"Có","Không"))</f>
        <v/>
      </c>
      <c r="T1616" s="22">
        <f>IF($D1616="","",IF(AND($C1616&lt;&gt;"",$Q1616="Có",$R1616="",$S1616="Có",AND($L1616&lt;&gt;"",OR($L1616&lt;&gt;"Chưa xác định",DANH_MUC!$L$9="Có"))),"Có","Không"))</f>
        <v/>
      </c>
      <c r="U1616" s="22">
        <f>IF(OR($D1616="",$T1616="Có"),"",IF($C1616="","Thiếu họ tên; ","")&amp;IF($S1616&lt;&gt;"Có","SĐT sai định dạng; ","")&amp;IF($R1616="Trùng","Trùng SĐT; ","")&amp;IF($Q1616&lt;&gt;"Có","Thiếu đồng ý bắt buộc; ","")&amp;IF($L1616="","Thiếu/sai Mã REF; ",IF(AND($L1616="Chưa xác định",DANH_MUC!$L$9&lt;&gt;"Có"),"Nguồn chưa xác định; ","")))</f>
        <v/>
      </c>
      <c r="V1616" s="22">
        <f>IF(OR($D1616="",$R1616="Trùng"),"",IF(COUNTIF(ORDERS!$C$2:$C$4995,$D1616)&gt;0,"Có","Không"))</f>
        <v/>
      </c>
      <c r="W1616" s="22">
        <f>IF(OR($D1616="",$R1616="Trùng"),"",COUNTIFS(ORDERS!$C$2:$C$4995,$D1616,ORDERS!$L$2:$L$4995,"Đã chuyển khoản"))</f>
        <v/>
      </c>
      <c r="X1616" s="23">
        <f>IF(OR($D1616="",$R1616="Trùng"),"",SUMIFS(ORDERS!$J$2:$J$4995,ORDERS!$C$2:$C$4995,$D1616,ORDERS!$L$2:$L$4995,"Đã chuyển khoản"))</f>
        <v/>
      </c>
      <c r="Y1616" s="24" t="n"/>
    </row>
    <row r="1617" ht="14.25" customHeight="1" s="40">
      <c r="A1617" s="24" t="n"/>
      <c r="B1617" s="27" t="n"/>
      <c r="C1617" s="24" t="n"/>
      <c r="D1617" s="28" t="n"/>
      <c r="E1617" s="29" t="n"/>
      <c r="F1617" s="24" t="n"/>
      <c r="G1617" s="24" t="n"/>
      <c r="H1617" s="21">
        <f>IF(ISNUMBER($B1617),INT($B1617)-WEEKDAY($B1617,2)+1,"")</f>
        <v/>
      </c>
      <c r="I1617" s="24" t="n"/>
      <c r="J1617" s="22">
        <f t="array" ref="J1617">IF($D1617="","",IF($I1617="","(trống REF)",IFERROR(INDEX(MASTER_SOURCE!$B$2:$B$495,MATCH($I1617,MASTER_SOURCE!$A$2:$A$495,0)),"(REF không có trong MASTER_SOURCE)")))</f>
        <v/>
      </c>
      <c r="K1617" s="22">
        <f t="array" ref="K1617">IF($D1617="","",IFERROR(INDEX(MASTER_SOURCE!$C$2:$C$495,MATCH($I1617,MASTER_SOURCE!$A$2:$A$495,0)),""))</f>
        <v/>
      </c>
      <c r="L1617" s="22">
        <f t="array" ref="L1617">IF($D1617="","",IFERROR(INDEX(MASTER_SOURCE!$D$2:$D$495,MATCH($I1617,MASTER_SOURCE!$A$2:$A$495,0)),""))</f>
        <v/>
      </c>
      <c r="M1617" s="24" t="n"/>
      <c r="N1617" s="24" t="n"/>
      <c r="O1617" s="24" t="n"/>
      <c r="P1617" s="24" t="n"/>
      <c r="Q1617" s="22">
        <f>IF($D1617="","",IF(AND(OR(DANH_MUC!$L$5&lt;&gt;"Có",M1617="Có"),OR(DANH_MUC!$L$6&lt;&gt;"Có",N1617="Có"),OR(DANH_MUC!$L$7&lt;&gt;"Có",O1617="Có"),OR(DANH_MUC!$L$8&lt;&gt;"Có",P1617="Có")),"Có","Không"))</f>
        <v/>
      </c>
      <c r="R1617" s="22">
        <f>IF($D1617="","",IF(COUNTIF($D$2:$D1617,$D1617)&gt;1,"Trùng",""))</f>
        <v/>
      </c>
      <c r="S1617" s="22">
        <f>IF($D1617="","",IF(AND(LEN($D1617)=10,LEFT($D1617,1)="0",ISNUMBER(--$D1617)),"Có","Không"))</f>
        <v/>
      </c>
      <c r="T1617" s="22">
        <f>IF($D1617="","",IF(AND($C1617&lt;&gt;"",$Q1617="Có",$R1617="",$S1617="Có",AND($L1617&lt;&gt;"",OR($L1617&lt;&gt;"Chưa xác định",DANH_MUC!$L$9="Có"))),"Có","Không"))</f>
        <v/>
      </c>
      <c r="U1617" s="22">
        <f>IF(OR($D1617="",$T1617="Có"),"",IF($C1617="","Thiếu họ tên; ","")&amp;IF($S1617&lt;&gt;"Có","SĐT sai định dạng; ","")&amp;IF($R1617="Trùng","Trùng SĐT; ","")&amp;IF($Q1617&lt;&gt;"Có","Thiếu đồng ý bắt buộc; ","")&amp;IF($L1617="","Thiếu/sai Mã REF; ",IF(AND($L1617="Chưa xác định",DANH_MUC!$L$9&lt;&gt;"Có"),"Nguồn chưa xác định; ","")))</f>
        <v/>
      </c>
      <c r="V1617" s="22">
        <f>IF(OR($D1617="",$R1617="Trùng"),"",IF(COUNTIF(ORDERS!$C$2:$C$4995,$D1617)&gt;0,"Có","Không"))</f>
        <v/>
      </c>
      <c r="W1617" s="22">
        <f>IF(OR($D1617="",$R1617="Trùng"),"",COUNTIFS(ORDERS!$C$2:$C$4995,$D1617,ORDERS!$L$2:$L$4995,"Đã chuyển khoản"))</f>
        <v/>
      </c>
      <c r="X1617" s="23">
        <f>IF(OR($D1617="",$R1617="Trùng"),"",SUMIFS(ORDERS!$J$2:$J$4995,ORDERS!$C$2:$C$4995,$D1617,ORDERS!$L$2:$L$4995,"Đã chuyển khoản"))</f>
        <v/>
      </c>
      <c r="Y1617" s="24" t="n"/>
    </row>
    <row r="1618" ht="14.25" customHeight="1" s="40">
      <c r="A1618" s="24" t="n"/>
      <c r="B1618" s="27" t="n"/>
      <c r="C1618" s="24" t="n"/>
      <c r="D1618" s="28" t="n"/>
      <c r="E1618" s="29" t="n"/>
      <c r="F1618" s="24" t="n"/>
      <c r="G1618" s="24" t="n"/>
      <c r="H1618" s="21">
        <f>IF(ISNUMBER($B1618),INT($B1618)-WEEKDAY($B1618,2)+1,"")</f>
        <v/>
      </c>
      <c r="I1618" s="24" t="n"/>
      <c r="J1618" s="22">
        <f t="array" ref="J1618">IF($D1618="","",IF($I1618="","(trống REF)",IFERROR(INDEX(MASTER_SOURCE!$B$2:$B$495,MATCH($I1618,MASTER_SOURCE!$A$2:$A$495,0)),"(REF không có trong MASTER_SOURCE)")))</f>
        <v/>
      </c>
      <c r="K1618" s="22">
        <f t="array" ref="K1618">IF($D1618="","",IFERROR(INDEX(MASTER_SOURCE!$C$2:$C$495,MATCH($I1618,MASTER_SOURCE!$A$2:$A$495,0)),""))</f>
        <v/>
      </c>
      <c r="L1618" s="22">
        <f t="array" ref="L1618">IF($D1618="","",IFERROR(INDEX(MASTER_SOURCE!$D$2:$D$495,MATCH($I1618,MASTER_SOURCE!$A$2:$A$495,0)),""))</f>
        <v/>
      </c>
      <c r="M1618" s="24" t="n"/>
      <c r="N1618" s="24" t="n"/>
      <c r="O1618" s="24" t="n"/>
      <c r="P1618" s="24" t="n"/>
      <c r="Q1618" s="22">
        <f>IF($D1618="","",IF(AND(OR(DANH_MUC!$L$5&lt;&gt;"Có",M1618="Có"),OR(DANH_MUC!$L$6&lt;&gt;"Có",N1618="Có"),OR(DANH_MUC!$L$7&lt;&gt;"Có",O1618="Có"),OR(DANH_MUC!$L$8&lt;&gt;"Có",P1618="Có")),"Có","Không"))</f>
        <v/>
      </c>
      <c r="R1618" s="22">
        <f>IF($D1618="","",IF(COUNTIF($D$2:$D1618,$D1618)&gt;1,"Trùng",""))</f>
        <v/>
      </c>
      <c r="S1618" s="22">
        <f>IF($D1618="","",IF(AND(LEN($D1618)=10,LEFT($D1618,1)="0",ISNUMBER(--$D1618)),"Có","Không"))</f>
        <v/>
      </c>
      <c r="T1618" s="22">
        <f>IF($D1618="","",IF(AND($C1618&lt;&gt;"",$Q1618="Có",$R1618="",$S1618="Có",AND($L1618&lt;&gt;"",OR($L1618&lt;&gt;"Chưa xác định",DANH_MUC!$L$9="Có"))),"Có","Không"))</f>
        <v/>
      </c>
      <c r="U1618" s="22">
        <f>IF(OR($D1618="",$T1618="Có"),"",IF($C1618="","Thiếu họ tên; ","")&amp;IF($S1618&lt;&gt;"Có","SĐT sai định dạng; ","")&amp;IF($R1618="Trùng","Trùng SĐT; ","")&amp;IF($Q1618&lt;&gt;"Có","Thiếu đồng ý bắt buộc; ","")&amp;IF($L1618="","Thiếu/sai Mã REF; ",IF(AND($L1618="Chưa xác định",DANH_MUC!$L$9&lt;&gt;"Có"),"Nguồn chưa xác định; ","")))</f>
        <v/>
      </c>
      <c r="V1618" s="22">
        <f>IF(OR($D1618="",$R1618="Trùng"),"",IF(COUNTIF(ORDERS!$C$2:$C$4995,$D1618)&gt;0,"Có","Không"))</f>
        <v/>
      </c>
      <c r="W1618" s="22">
        <f>IF(OR($D1618="",$R1618="Trùng"),"",COUNTIFS(ORDERS!$C$2:$C$4995,$D1618,ORDERS!$L$2:$L$4995,"Đã chuyển khoản"))</f>
        <v/>
      </c>
      <c r="X1618" s="23">
        <f>IF(OR($D1618="",$R1618="Trùng"),"",SUMIFS(ORDERS!$J$2:$J$4995,ORDERS!$C$2:$C$4995,$D1618,ORDERS!$L$2:$L$4995,"Đã chuyển khoản"))</f>
        <v/>
      </c>
      <c r="Y1618" s="24" t="n"/>
    </row>
    <row r="1619" ht="14.25" customHeight="1" s="40">
      <c r="A1619" s="24" t="n"/>
      <c r="B1619" s="27" t="n"/>
      <c r="C1619" s="24" t="n"/>
      <c r="D1619" s="28" t="n"/>
      <c r="E1619" s="29" t="n"/>
      <c r="F1619" s="24" t="n"/>
      <c r="G1619" s="24" t="n"/>
      <c r="H1619" s="21">
        <f>IF(ISNUMBER($B1619),INT($B1619)-WEEKDAY($B1619,2)+1,"")</f>
        <v/>
      </c>
      <c r="I1619" s="24" t="n"/>
      <c r="J1619" s="22">
        <f t="array" ref="J1619">IF($D1619="","",IF($I1619="","(trống REF)",IFERROR(INDEX(MASTER_SOURCE!$B$2:$B$495,MATCH($I1619,MASTER_SOURCE!$A$2:$A$495,0)),"(REF không có trong MASTER_SOURCE)")))</f>
        <v/>
      </c>
      <c r="K1619" s="22">
        <f t="array" ref="K1619">IF($D1619="","",IFERROR(INDEX(MASTER_SOURCE!$C$2:$C$495,MATCH($I1619,MASTER_SOURCE!$A$2:$A$495,0)),""))</f>
        <v/>
      </c>
      <c r="L1619" s="22">
        <f t="array" ref="L1619">IF($D1619="","",IFERROR(INDEX(MASTER_SOURCE!$D$2:$D$495,MATCH($I1619,MASTER_SOURCE!$A$2:$A$495,0)),""))</f>
        <v/>
      </c>
      <c r="M1619" s="24" t="n"/>
      <c r="N1619" s="24" t="n"/>
      <c r="O1619" s="24" t="n"/>
      <c r="P1619" s="24" t="n"/>
      <c r="Q1619" s="22">
        <f>IF($D1619="","",IF(AND(OR(DANH_MUC!$L$5&lt;&gt;"Có",M1619="Có"),OR(DANH_MUC!$L$6&lt;&gt;"Có",N1619="Có"),OR(DANH_MUC!$L$7&lt;&gt;"Có",O1619="Có"),OR(DANH_MUC!$L$8&lt;&gt;"Có",P1619="Có")),"Có","Không"))</f>
        <v/>
      </c>
      <c r="R1619" s="22">
        <f>IF($D1619="","",IF(COUNTIF($D$2:$D1619,$D1619)&gt;1,"Trùng",""))</f>
        <v/>
      </c>
      <c r="S1619" s="22">
        <f>IF($D1619="","",IF(AND(LEN($D1619)=10,LEFT($D1619,1)="0",ISNUMBER(--$D1619)),"Có","Không"))</f>
        <v/>
      </c>
      <c r="T1619" s="22">
        <f>IF($D1619="","",IF(AND($C1619&lt;&gt;"",$Q1619="Có",$R1619="",$S1619="Có",AND($L1619&lt;&gt;"",OR($L1619&lt;&gt;"Chưa xác định",DANH_MUC!$L$9="Có"))),"Có","Không"))</f>
        <v/>
      </c>
      <c r="U1619" s="22">
        <f>IF(OR($D1619="",$T1619="Có"),"",IF($C1619="","Thiếu họ tên; ","")&amp;IF($S1619&lt;&gt;"Có","SĐT sai định dạng; ","")&amp;IF($R1619="Trùng","Trùng SĐT; ","")&amp;IF($Q1619&lt;&gt;"Có","Thiếu đồng ý bắt buộc; ","")&amp;IF($L1619="","Thiếu/sai Mã REF; ",IF(AND($L1619="Chưa xác định",DANH_MUC!$L$9&lt;&gt;"Có"),"Nguồn chưa xác định; ","")))</f>
        <v/>
      </c>
      <c r="V1619" s="22">
        <f>IF(OR($D1619="",$R1619="Trùng"),"",IF(COUNTIF(ORDERS!$C$2:$C$4995,$D1619)&gt;0,"Có","Không"))</f>
        <v/>
      </c>
      <c r="W1619" s="22">
        <f>IF(OR($D1619="",$R1619="Trùng"),"",COUNTIFS(ORDERS!$C$2:$C$4995,$D1619,ORDERS!$L$2:$L$4995,"Đã chuyển khoản"))</f>
        <v/>
      </c>
      <c r="X1619" s="23">
        <f>IF(OR($D1619="",$R1619="Trùng"),"",SUMIFS(ORDERS!$J$2:$J$4995,ORDERS!$C$2:$C$4995,$D1619,ORDERS!$L$2:$L$4995,"Đã chuyển khoản"))</f>
        <v/>
      </c>
      <c r="Y1619" s="24" t="n"/>
    </row>
    <row r="1620" ht="14.25" customHeight="1" s="40">
      <c r="A1620" s="24" t="n"/>
      <c r="B1620" s="27" t="n"/>
      <c r="C1620" s="24" t="n"/>
      <c r="D1620" s="28" t="n"/>
      <c r="E1620" s="29" t="n"/>
      <c r="F1620" s="24" t="n"/>
      <c r="G1620" s="24" t="n"/>
      <c r="H1620" s="21">
        <f>IF(ISNUMBER($B1620),INT($B1620)-WEEKDAY($B1620,2)+1,"")</f>
        <v/>
      </c>
      <c r="I1620" s="24" t="n"/>
      <c r="J1620" s="22">
        <f t="array" ref="J1620">IF($D1620="","",IF($I1620="","(trống REF)",IFERROR(INDEX(MASTER_SOURCE!$B$2:$B$495,MATCH($I1620,MASTER_SOURCE!$A$2:$A$495,0)),"(REF không có trong MASTER_SOURCE)")))</f>
        <v/>
      </c>
      <c r="K1620" s="22">
        <f t="array" ref="K1620">IF($D1620="","",IFERROR(INDEX(MASTER_SOURCE!$C$2:$C$495,MATCH($I1620,MASTER_SOURCE!$A$2:$A$495,0)),""))</f>
        <v/>
      </c>
      <c r="L1620" s="22">
        <f t="array" ref="L1620">IF($D1620="","",IFERROR(INDEX(MASTER_SOURCE!$D$2:$D$495,MATCH($I1620,MASTER_SOURCE!$A$2:$A$495,0)),""))</f>
        <v/>
      </c>
      <c r="M1620" s="24" t="n"/>
      <c r="N1620" s="24" t="n"/>
      <c r="O1620" s="24" t="n"/>
      <c r="P1620" s="24" t="n"/>
      <c r="Q1620" s="22">
        <f>IF($D1620="","",IF(AND(OR(DANH_MUC!$L$5&lt;&gt;"Có",M1620="Có"),OR(DANH_MUC!$L$6&lt;&gt;"Có",N1620="Có"),OR(DANH_MUC!$L$7&lt;&gt;"Có",O1620="Có"),OR(DANH_MUC!$L$8&lt;&gt;"Có",P1620="Có")),"Có","Không"))</f>
        <v/>
      </c>
      <c r="R1620" s="22">
        <f>IF($D1620="","",IF(COUNTIF($D$2:$D1620,$D1620)&gt;1,"Trùng",""))</f>
        <v/>
      </c>
      <c r="S1620" s="22">
        <f>IF($D1620="","",IF(AND(LEN($D1620)=10,LEFT($D1620,1)="0",ISNUMBER(--$D1620)),"Có","Không"))</f>
        <v/>
      </c>
      <c r="T1620" s="22">
        <f>IF($D1620="","",IF(AND($C1620&lt;&gt;"",$Q1620="Có",$R1620="",$S1620="Có",AND($L1620&lt;&gt;"",OR($L1620&lt;&gt;"Chưa xác định",DANH_MUC!$L$9="Có"))),"Có","Không"))</f>
        <v/>
      </c>
      <c r="U1620" s="22">
        <f>IF(OR($D1620="",$T1620="Có"),"",IF($C1620="","Thiếu họ tên; ","")&amp;IF($S1620&lt;&gt;"Có","SĐT sai định dạng; ","")&amp;IF($R1620="Trùng","Trùng SĐT; ","")&amp;IF($Q1620&lt;&gt;"Có","Thiếu đồng ý bắt buộc; ","")&amp;IF($L1620="","Thiếu/sai Mã REF; ",IF(AND($L1620="Chưa xác định",DANH_MUC!$L$9&lt;&gt;"Có"),"Nguồn chưa xác định; ","")))</f>
        <v/>
      </c>
      <c r="V1620" s="22">
        <f>IF(OR($D1620="",$R1620="Trùng"),"",IF(COUNTIF(ORDERS!$C$2:$C$4995,$D1620)&gt;0,"Có","Không"))</f>
        <v/>
      </c>
      <c r="W1620" s="22">
        <f>IF(OR($D1620="",$R1620="Trùng"),"",COUNTIFS(ORDERS!$C$2:$C$4995,$D1620,ORDERS!$L$2:$L$4995,"Đã chuyển khoản"))</f>
        <v/>
      </c>
      <c r="X1620" s="23">
        <f>IF(OR($D1620="",$R1620="Trùng"),"",SUMIFS(ORDERS!$J$2:$J$4995,ORDERS!$C$2:$C$4995,$D1620,ORDERS!$L$2:$L$4995,"Đã chuyển khoản"))</f>
        <v/>
      </c>
      <c r="Y1620" s="24" t="n"/>
    </row>
    <row r="1621" ht="14.25" customHeight="1" s="40">
      <c r="A1621" s="24" t="n"/>
      <c r="B1621" s="27" t="n"/>
      <c r="C1621" s="24" t="n"/>
      <c r="D1621" s="28" t="n"/>
      <c r="E1621" s="29" t="n"/>
      <c r="F1621" s="24" t="n"/>
      <c r="G1621" s="24" t="n"/>
      <c r="H1621" s="21">
        <f>IF(ISNUMBER($B1621),INT($B1621)-WEEKDAY($B1621,2)+1,"")</f>
        <v/>
      </c>
      <c r="I1621" s="24" t="n"/>
      <c r="J1621" s="22">
        <f t="array" ref="J1621">IF($D1621="","",IF($I1621="","(trống REF)",IFERROR(INDEX(MASTER_SOURCE!$B$2:$B$495,MATCH($I1621,MASTER_SOURCE!$A$2:$A$495,0)),"(REF không có trong MASTER_SOURCE)")))</f>
        <v/>
      </c>
      <c r="K1621" s="22">
        <f t="array" ref="K1621">IF($D1621="","",IFERROR(INDEX(MASTER_SOURCE!$C$2:$C$495,MATCH($I1621,MASTER_SOURCE!$A$2:$A$495,0)),""))</f>
        <v/>
      </c>
      <c r="L1621" s="22">
        <f t="array" ref="L1621">IF($D1621="","",IFERROR(INDEX(MASTER_SOURCE!$D$2:$D$495,MATCH($I1621,MASTER_SOURCE!$A$2:$A$495,0)),""))</f>
        <v/>
      </c>
      <c r="M1621" s="24" t="n"/>
      <c r="N1621" s="24" t="n"/>
      <c r="O1621" s="24" t="n"/>
      <c r="P1621" s="24" t="n"/>
      <c r="Q1621" s="22">
        <f>IF($D1621="","",IF(AND(OR(DANH_MUC!$L$5&lt;&gt;"Có",M1621="Có"),OR(DANH_MUC!$L$6&lt;&gt;"Có",N1621="Có"),OR(DANH_MUC!$L$7&lt;&gt;"Có",O1621="Có"),OR(DANH_MUC!$L$8&lt;&gt;"Có",P1621="Có")),"Có","Không"))</f>
        <v/>
      </c>
      <c r="R1621" s="22">
        <f>IF($D1621="","",IF(COUNTIF($D$2:$D1621,$D1621)&gt;1,"Trùng",""))</f>
        <v/>
      </c>
      <c r="S1621" s="22">
        <f>IF($D1621="","",IF(AND(LEN($D1621)=10,LEFT($D1621,1)="0",ISNUMBER(--$D1621)),"Có","Không"))</f>
        <v/>
      </c>
      <c r="T1621" s="22">
        <f>IF($D1621="","",IF(AND($C1621&lt;&gt;"",$Q1621="Có",$R1621="",$S1621="Có",AND($L1621&lt;&gt;"",OR($L1621&lt;&gt;"Chưa xác định",DANH_MUC!$L$9="Có"))),"Có","Không"))</f>
        <v/>
      </c>
      <c r="U1621" s="22">
        <f>IF(OR($D1621="",$T1621="Có"),"",IF($C1621="","Thiếu họ tên; ","")&amp;IF($S1621&lt;&gt;"Có","SĐT sai định dạng; ","")&amp;IF($R1621="Trùng","Trùng SĐT; ","")&amp;IF($Q1621&lt;&gt;"Có","Thiếu đồng ý bắt buộc; ","")&amp;IF($L1621="","Thiếu/sai Mã REF; ",IF(AND($L1621="Chưa xác định",DANH_MUC!$L$9&lt;&gt;"Có"),"Nguồn chưa xác định; ","")))</f>
        <v/>
      </c>
      <c r="V1621" s="22">
        <f>IF(OR($D1621="",$R1621="Trùng"),"",IF(COUNTIF(ORDERS!$C$2:$C$4995,$D1621)&gt;0,"Có","Không"))</f>
        <v/>
      </c>
      <c r="W1621" s="22">
        <f>IF(OR($D1621="",$R1621="Trùng"),"",COUNTIFS(ORDERS!$C$2:$C$4995,$D1621,ORDERS!$L$2:$L$4995,"Đã chuyển khoản"))</f>
        <v/>
      </c>
      <c r="X1621" s="23">
        <f>IF(OR($D1621="",$R1621="Trùng"),"",SUMIFS(ORDERS!$J$2:$J$4995,ORDERS!$C$2:$C$4995,$D1621,ORDERS!$L$2:$L$4995,"Đã chuyển khoản"))</f>
        <v/>
      </c>
      <c r="Y1621" s="24" t="n"/>
    </row>
    <row r="1622" ht="14.25" customHeight="1" s="40">
      <c r="A1622" s="24" t="n"/>
      <c r="B1622" s="27" t="n"/>
      <c r="C1622" s="24" t="n"/>
      <c r="D1622" s="28" t="n"/>
      <c r="E1622" s="29" t="n"/>
      <c r="F1622" s="24" t="n"/>
      <c r="G1622" s="24" t="n"/>
      <c r="H1622" s="21">
        <f>IF(ISNUMBER($B1622),INT($B1622)-WEEKDAY($B1622,2)+1,"")</f>
        <v/>
      </c>
      <c r="I1622" s="24" t="n"/>
      <c r="J1622" s="22">
        <f t="array" ref="J1622">IF($D1622="","",IF($I1622="","(trống REF)",IFERROR(INDEX(MASTER_SOURCE!$B$2:$B$495,MATCH($I1622,MASTER_SOURCE!$A$2:$A$495,0)),"(REF không có trong MASTER_SOURCE)")))</f>
        <v/>
      </c>
      <c r="K1622" s="22">
        <f t="array" ref="K1622">IF($D1622="","",IFERROR(INDEX(MASTER_SOURCE!$C$2:$C$495,MATCH($I1622,MASTER_SOURCE!$A$2:$A$495,0)),""))</f>
        <v/>
      </c>
      <c r="L1622" s="22">
        <f t="array" ref="L1622">IF($D1622="","",IFERROR(INDEX(MASTER_SOURCE!$D$2:$D$495,MATCH($I1622,MASTER_SOURCE!$A$2:$A$495,0)),""))</f>
        <v/>
      </c>
      <c r="M1622" s="24" t="n"/>
      <c r="N1622" s="24" t="n"/>
      <c r="O1622" s="24" t="n"/>
      <c r="P1622" s="24" t="n"/>
      <c r="Q1622" s="22">
        <f>IF($D1622="","",IF(AND(OR(DANH_MUC!$L$5&lt;&gt;"Có",M1622="Có"),OR(DANH_MUC!$L$6&lt;&gt;"Có",N1622="Có"),OR(DANH_MUC!$L$7&lt;&gt;"Có",O1622="Có"),OR(DANH_MUC!$L$8&lt;&gt;"Có",P1622="Có")),"Có","Không"))</f>
        <v/>
      </c>
      <c r="R1622" s="22">
        <f>IF($D1622="","",IF(COUNTIF($D$2:$D1622,$D1622)&gt;1,"Trùng",""))</f>
        <v/>
      </c>
      <c r="S1622" s="22">
        <f>IF($D1622="","",IF(AND(LEN($D1622)=10,LEFT($D1622,1)="0",ISNUMBER(--$D1622)),"Có","Không"))</f>
        <v/>
      </c>
      <c r="T1622" s="22">
        <f>IF($D1622="","",IF(AND($C1622&lt;&gt;"",$Q1622="Có",$R1622="",$S1622="Có",AND($L1622&lt;&gt;"",OR($L1622&lt;&gt;"Chưa xác định",DANH_MUC!$L$9="Có"))),"Có","Không"))</f>
        <v/>
      </c>
      <c r="U1622" s="22">
        <f>IF(OR($D1622="",$T1622="Có"),"",IF($C1622="","Thiếu họ tên; ","")&amp;IF($S1622&lt;&gt;"Có","SĐT sai định dạng; ","")&amp;IF($R1622="Trùng","Trùng SĐT; ","")&amp;IF($Q1622&lt;&gt;"Có","Thiếu đồng ý bắt buộc; ","")&amp;IF($L1622="","Thiếu/sai Mã REF; ",IF(AND($L1622="Chưa xác định",DANH_MUC!$L$9&lt;&gt;"Có"),"Nguồn chưa xác định; ","")))</f>
        <v/>
      </c>
      <c r="V1622" s="22">
        <f>IF(OR($D1622="",$R1622="Trùng"),"",IF(COUNTIF(ORDERS!$C$2:$C$4995,$D1622)&gt;0,"Có","Không"))</f>
        <v/>
      </c>
      <c r="W1622" s="22">
        <f>IF(OR($D1622="",$R1622="Trùng"),"",COUNTIFS(ORDERS!$C$2:$C$4995,$D1622,ORDERS!$L$2:$L$4995,"Đã chuyển khoản"))</f>
        <v/>
      </c>
      <c r="X1622" s="23">
        <f>IF(OR($D1622="",$R1622="Trùng"),"",SUMIFS(ORDERS!$J$2:$J$4995,ORDERS!$C$2:$C$4995,$D1622,ORDERS!$L$2:$L$4995,"Đã chuyển khoản"))</f>
        <v/>
      </c>
      <c r="Y1622" s="24" t="n"/>
    </row>
    <row r="1623" ht="14.25" customHeight="1" s="40">
      <c r="A1623" s="24" t="n"/>
      <c r="B1623" s="27" t="n"/>
      <c r="C1623" s="24" t="n"/>
      <c r="D1623" s="28" t="n"/>
      <c r="E1623" s="29" t="n"/>
      <c r="F1623" s="24" t="n"/>
      <c r="G1623" s="24" t="n"/>
      <c r="H1623" s="21">
        <f>IF(ISNUMBER($B1623),INT($B1623)-WEEKDAY($B1623,2)+1,"")</f>
        <v/>
      </c>
      <c r="I1623" s="24" t="n"/>
      <c r="J1623" s="22">
        <f t="array" ref="J1623">IF($D1623="","",IF($I1623="","(trống REF)",IFERROR(INDEX(MASTER_SOURCE!$B$2:$B$495,MATCH($I1623,MASTER_SOURCE!$A$2:$A$495,0)),"(REF không có trong MASTER_SOURCE)")))</f>
        <v/>
      </c>
      <c r="K1623" s="22">
        <f t="array" ref="K1623">IF($D1623="","",IFERROR(INDEX(MASTER_SOURCE!$C$2:$C$495,MATCH($I1623,MASTER_SOURCE!$A$2:$A$495,0)),""))</f>
        <v/>
      </c>
      <c r="L1623" s="22">
        <f t="array" ref="L1623">IF($D1623="","",IFERROR(INDEX(MASTER_SOURCE!$D$2:$D$495,MATCH($I1623,MASTER_SOURCE!$A$2:$A$495,0)),""))</f>
        <v/>
      </c>
      <c r="M1623" s="24" t="n"/>
      <c r="N1623" s="24" t="n"/>
      <c r="O1623" s="24" t="n"/>
      <c r="P1623" s="24" t="n"/>
      <c r="Q1623" s="22">
        <f>IF($D1623="","",IF(AND(OR(DANH_MUC!$L$5&lt;&gt;"Có",M1623="Có"),OR(DANH_MUC!$L$6&lt;&gt;"Có",N1623="Có"),OR(DANH_MUC!$L$7&lt;&gt;"Có",O1623="Có"),OR(DANH_MUC!$L$8&lt;&gt;"Có",P1623="Có")),"Có","Không"))</f>
        <v/>
      </c>
      <c r="R1623" s="22">
        <f>IF($D1623="","",IF(COUNTIF($D$2:$D1623,$D1623)&gt;1,"Trùng",""))</f>
        <v/>
      </c>
      <c r="S1623" s="22">
        <f>IF($D1623="","",IF(AND(LEN($D1623)=10,LEFT($D1623,1)="0",ISNUMBER(--$D1623)),"Có","Không"))</f>
        <v/>
      </c>
      <c r="T1623" s="22">
        <f>IF($D1623="","",IF(AND($C1623&lt;&gt;"",$Q1623="Có",$R1623="",$S1623="Có",AND($L1623&lt;&gt;"",OR($L1623&lt;&gt;"Chưa xác định",DANH_MUC!$L$9="Có"))),"Có","Không"))</f>
        <v/>
      </c>
      <c r="U1623" s="22">
        <f>IF(OR($D1623="",$T1623="Có"),"",IF($C1623="","Thiếu họ tên; ","")&amp;IF($S1623&lt;&gt;"Có","SĐT sai định dạng; ","")&amp;IF($R1623="Trùng","Trùng SĐT; ","")&amp;IF($Q1623&lt;&gt;"Có","Thiếu đồng ý bắt buộc; ","")&amp;IF($L1623="","Thiếu/sai Mã REF; ",IF(AND($L1623="Chưa xác định",DANH_MUC!$L$9&lt;&gt;"Có"),"Nguồn chưa xác định; ","")))</f>
        <v/>
      </c>
      <c r="V1623" s="22">
        <f>IF(OR($D1623="",$R1623="Trùng"),"",IF(COUNTIF(ORDERS!$C$2:$C$4995,$D1623)&gt;0,"Có","Không"))</f>
        <v/>
      </c>
      <c r="W1623" s="22">
        <f>IF(OR($D1623="",$R1623="Trùng"),"",COUNTIFS(ORDERS!$C$2:$C$4995,$D1623,ORDERS!$L$2:$L$4995,"Đã chuyển khoản"))</f>
        <v/>
      </c>
      <c r="X1623" s="23">
        <f>IF(OR($D1623="",$R1623="Trùng"),"",SUMIFS(ORDERS!$J$2:$J$4995,ORDERS!$C$2:$C$4995,$D1623,ORDERS!$L$2:$L$4995,"Đã chuyển khoản"))</f>
        <v/>
      </c>
      <c r="Y1623" s="24" t="n"/>
    </row>
    <row r="1624" ht="14.25" customHeight="1" s="40">
      <c r="A1624" s="24" t="n"/>
      <c r="B1624" s="27" t="n"/>
      <c r="C1624" s="24" t="n"/>
      <c r="D1624" s="28" t="n"/>
      <c r="E1624" s="29" t="n"/>
      <c r="F1624" s="24" t="n"/>
      <c r="G1624" s="24" t="n"/>
      <c r="H1624" s="21">
        <f>IF(ISNUMBER($B1624),INT($B1624)-WEEKDAY($B1624,2)+1,"")</f>
        <v/>
      </c>
      <c r="I1624" s="24" t="n"/>
      <c r="J1624" s="22">
        <f t="array" ref="J1624">IF($D1624="","",IF($I1624="","(trống REF)",IFERROR(INDEX(MASTER_SOURCE!$B$2:$B$495,MATCH($I1624,MASTER_SOURCE!$A$2:$A$495,0)),"(REF không có trong MASTER_SOURCE)")))</f>
        <v/>
      </c>
      <c r="K1624" s="22">
        <f t="array" ref="K1624">IF($D1624="","",IFERROR(INDEX(MASTER_SOURCE!$C$2:$C$495,MATCH($I1624,MASTER_SOURCE!$A$2:$A$495,0)),""))</f>
        <v/>
      </c>
      <c r="L1624" s="22">
        <f t="array" ref="L1624">IF($D1624="","",IFERROR(INDEX(MASTER_SOURCE!$D$2:$D$495,MATCH($I1624,MASTER_SOURCE!$A$2:$A$495,0)),""))</f>
        <v/>
      </c>
      <c r="M1624" s="24" t="n"/>
      <c r="N1624" s="24" t="n"/>
      <c r="O1624" s="24" t="n"/>
      <c r="P1624" s="24" t="n"/>
      <c r="Q1624" s="22">
        <f>IF($D1624="","",IF(AND(OR(DANH_MUC!$L$5&lt;&gt;"Có",M1624="Có"),OR(DANH_MUC!$L$6&lt;&gt;"Có",N1624="Có"),OR(DANH_MUC!$L$7&lt;&gt;"Có",O1624="Có"),OR(DANH_MUC!$L$8&lt;&gt;"Có",P1624="Có")),"Có","Không"))</f>
        <v/>
      </c>
      <c r="R1624" s="22">
        <f>IF($D1624="","",IF(COUNTIF($D$2:$D1624,$D1624)&gt;1,"Trùng",""))</f>
        <v/>
      </c>
      <c r="S1624" s="22">
        <f>IF($D1624="","",IF(AND(LEN($D1624)=10,LEFT($D1624,1)="0",ISNUMBER(--$D1624)),"Có","Không"))</f>
        <v/>
      </c>
      <c r="T1624" s="22">
        <f>IF($D1624="","",IF(AND($C1624&lt;&gt;"",$Q1624="Có",$R1624="",$S1624="Có",AND($L1624&lt;&gt;"",OR($L1624&lt;&gt;"Chưa xác định",DANH_MUC!$L$9="Có"))),"Có","Không"))</f>
        <v/>
      </c>
      <c r="U1624" s="22">
        <f>IF(OR($D1624="",$T1624="Có"),"",IF($C1624="","Thiếu họ tên; ","")&amp;IF($S1624&lt;&gt;"Có","SĐT sai định dạng; ","")&amp;IF($R1624="Trùng","Trùng SĐT; ","")&amp;IF($Q1624&lt;&gt;"Có","Thiếu đồng ý bắt buộc; ","")&amp;IF($L1624="","Thiếu/sai Mã REF; ",IF(AND($L1624="Chưa xác định",DANH_MUC!$L$9&lt;&gt;"Có"),"Nguồn chưa xác định; ","")))</f>
        <v/>
      </c>
      <c r="V1624" s="22">
        <f>IF(OR($D1624="",$R1624="Trùng"),"",IF(COUNTIF(ORDERS!$C$2:$C$4995,$D1624)&gt;0,"Có","Không"))</f>
        <v/>
      </c>
      <c r="W1624" s="22">
        <f>IF(OR($D1624="",$R1624="Trùng"),"",COUNTIFS(ORDERS!$C$2:$C$4995,$D1624,ORDERS!$L$2:$L$4995,"Đã chuyển khoản"))</f>
        <v/>
      </c>
      <c r="X1624" s="23">
        <f>IF(OR($D1624="",$R1624="Trùng"),"",SUMIFS(ORDERS!$J$2:$J$4995,ORDERS!$C$2:$C$4995,$D1624,ORDERS!$L$2:$L$4995,"Đã chuyển khoản"))</f>
        <v/>
      </c>
      <c r="Y1624" s="24" t="n"/>
    </row>
    <row r="1625" ht="14.25" customHeight="1" s="40">
      <c r="A1625" s="24" t="n"/>
      <c r="B1625" s="27" t="n"/>
      <c r="C1625" s="24" t="n"/>
      <c r="D1625" s="28" t="n"/>
      <c r="E1625" s="29" t="n"/>
      <c r="F1625" s="24" t="n"/>
      <c r="G1625" s="24" t="n"/>
      <c r="H1625" s="21">
        <f>IF(ISNUMBER($B1625),INT($B1625)-WEEKDAY($B1625,2)+1,"")</f>
        <v/>
      </c>
      <c r="I1625" s="24" t="n"/>
      <c r="J1625" s="22">
        <f t="array" ref="J1625">IF($D1625="","",IF($I1625="","(trống REF)",IFERROR(INDEX(MASTER_SOURCE!$B$2:$B$495,MATCH($I1625,MASTER_SOURCE!$A$2:$A$495,0)),"(REF không có trong MASTER_SOURCE)")))</f>
        <v/>
      </c>
      <c r="K1625" s="22">
        <f t="array" ref="K1625">IF($D1625="","",IFERROR(INDEX(MASTER_SOURCE!$C$2:$C$495,MATCH($I1625,MASTER_SOURCE!$A$2:$A$495,0)),""))</f>
        <v/>
      </c>
      <c r="L1625" s="22">
        <f t="array" ref="L1625">IF($D1625="","",IFERROR(INDEX(MASTER_SOURCE!$D$2:$D$495,MATCH($I1625,MASTER_SOURCE!$A$2:$A$495,0)),""))</f>
        <v/>
      </c>
      <c r="M1625" s="24" t="n"/>
      <c r="N1625" s="24" t="n"/>
      <c r="O1625" s="24" t="n"/>
      <c r="P1625" s="24" t="n"/>
      <c r="Q1625" s="22">
        <f>IF($D1625="","",IF(AND(OR(DANH_MUC!$L$5&lt;&gt;"Có",M1625="Có"),OR(DANH_MUC!$L$6&lt;&gt;"Có",N1625="Có"),OR(DANH_MUC!$L$7&lt;&gt;"Có",O1625="Có"),OR(DANH_MUC!$L$8&lt;&gt;"Có",P1625="Có")),"Có","Không"))</f>
        <v/>
      </c>
      <c r="R1625" s="22">
        <f>IF($D1625="","",IF(COUNTIF($D$2:$D1625,$D1625)&gt;1,"Trùng",""))</f>
        <v/>
      </c>
      <c r="S1625" s="22">
        <f>IF($D1625="","",IF(AND(LEN($D1625)=10,LEFT($D1625,1)="0",ISNUMBER(--$D1625)),"Có","Không"))</f>
        <v/>
      </c>
      <c r="T1625" s="22">
        <f>IF($D1625="","",IF(AND($C1625&lt;&gt;"",$Q1625="Có",$R1625="",$S1625="Có",AND($L1625&lt;&gt;"",OR($L1625&lt;&gt;"Chưa xác định",DANH_MUC!$L$9="Có"))),"Có","Không"))</f>
        <v/>
      </c>
      <c r="U1625" s="22">
        <f>IF(OR($D1625="",$T1625="Có"),"",IF($C1625="","Thiếu họ tên; ","")&amp;IF($S1625&lt;&gt;"Có","SĐT sai định dạng; ","")&amp;IF($R1625="Trùng","Trùng SĐT; ","")&amp;IF($Q1625&lt;&gt;"Có","Thiếu đồng ý bắt buộc; ","")&amp;IF($L1625="","Thiếu/sai Mã REF; ",IF(AND($L1625="Chưa xác định",DANH_MUC!$L$9&lt;&gt;"Có"),"Nguồn chưa xác định; ","")))</f>
        <v/>
      </c>
      <c r="V1625" s="22">
        <f>IF(OR($D1625="",$R1625="Trùng"),"",IF(COUNTIF(ORDERS!$C$2:$C$4995,$D1625)&gt;0,"Có","Không"))</f>
        <v/>
      </c>
      <c r="W1625" s="22">
        <f>IF(OR($D1625="",$R1625="Trùng"),"",COUNTIFS(ORDERS!$C$2:$C$4995,$D1625,ORDERS!$L$2:$L$4995,"Đã chuyển khoản"))</f>
        <v/>
      </c>
      <c r="X1625" s="23">
        <f>IF(OR($D1625="",$R1625="Trùng"),"",SUMIFS(ORDERS!$J$2:$J$4995,ORDERS!$C$2:$C$4995,$D1625,ORDERS!$L$2:$L$4995,"Đã chuyển khoản"))</f>
        <v/>
      </c>
      <c r="Y1625" s="24" t="n"/>
    </row>
    <row r="1626" ht="14.25" customHeight="1" s="40">
      <c r="A1626" s="24" t="n"/>
      <c r="B1626" s="27" t="n"/>
      <c r="C1626" s="24" t="n"/>
      <c r="D1626" s="28" t="n"/>
      <c r="E1626" s="29" t="n"/>
      <c r="F1626" s="24" t="n"/>
      <c r="G1626" s="24" t="n"/>
      <c r="H1626" s="21">
        <f>IF(ISNUMBER($B1626),INT($B1626)-WEEKDAY($B1626,2)+1,"")</f>
        <v/>
      </c>
      <c r="I1626" s="24" t="n"/>
      <c r="J1626" s="22">
        <f t="array" ref="J1626">IF($D1626="","",IF($I1626="","(trống REF)",IFERROR(INDEX(MASTER_SOURCE!$B$2:$B$495,MATCH($I1626,MASTER_SOURCE!$A$2:$A$495,0)),"(REF không có trong MASTER_SOURCE)")))</f>
        <v/>
      </c>
      <c r="K1626" s="22">
        <f t="array" ref="K1626">IF($D1626="","",IFERROR(INDEX(MASTER_SOURCE!$C$2:$C$495,MATCH($I1626,MASTER_SOURCE!$A$2:$A$495,0)),""))</f>
        <v/>
      </c>
      <c r="L1626" s="22">
        <f t="array" ref="L1626">IF($D1626="","",IFERROR(INDEX(MASTER_SOURCE!$D$2:$D$495,MATCH($I1626,MASTER_SOURCE!$A$2:$A$495,0)),""))</f>
        <v/>
      </c>
      <c r="M1626" s="24" t="n"/>
      <c r="N1626" s="24" t="n"/>
      <c r="O1626" s="24" t="n"/>
      <c r="P1626" s="24" t="n"/>
      <c r="Q1626" s="22">
        <f>IF($D1626="","",IF(AND(OR(DANH_MUC!$L$5&lt;&gt;"Có",M1626="Có"),OR(DANH_MUC!$L$6&lt;&gt;"Có",N1626="Có"),OR(DANH_MUC!$L$7&lt;&gt;"Có",O1626="Có"),OR(DANH_MUC!$L$8&lt;&gt;"Có",P1626="Có")),"Có","Không"))</f>
        <v/>
      </c>
      <c r="R1626" s="22">
        <f>IF($D1626="","",IF(COUNTIF($D$2:$D1626,$D1626)&gt;1,"Trùng",""))</f>
        <v/>
      </c>
      <c r="S1626" s="22">
        <f>IF($D1626="","",IF(AND(LEN($D1626)=10,LEFT($D1626,1)="0",ISNUMBER(--$D1626)),"Có","Không"))</f>
        <v/>
      </c>
      <c r="T1626" s="22">
        <f>IF($D1626="","",IF(AND($C1626&lt;&gt;"",$Q1626="Có",$R1626="",$S1626="Có",AND($L1626&lt;&gt;"",OR($L1626&lt;&gt;"Chưa xác định",DANH_MUC!$L$9="Có"))),"Có","Không"))</f>
        <v/>
      </c>
      <c r="U1626" s="22">
        <f>IF(OR($D1626="",$T1626="Có"),"",IF($C1626="","Thiếu họ tên; ","")&amp;IF($S1626&lt;&gt;"Có","SĐT sai định dạng; ","")&amp;IF($R1626="Trùng","Trùng SĐT; ","")&amp;IF($Q1626&lt;&gt;"Có","Thiếu đồng ý bắt buộc; ","")&amp;IF($L1626="","Thiếu/sai Mã REF; ",IF(AND($L1626="Chưa xác định",DANH_MUC!$L$9&lt;&gt;"Có"),"Nguồn chưa xác định; ","")))</f>
        <v/>
      </c>
      <c r="V1626" s="22">
        <f>IF(OR($D1626="",$R1626="Trùng"),"",IF(COUNTIF(ORDERS!$C$2:$C$4995,$D1626)&gt;0,"Có","Không"))</f>
        <v/>
      </c>
      <c r="W1626" s="22">
        <f>IF(OR($D1626="",$R1626="Trùng"),"",COUNTIFS(ORDERS!$C$2:$C$4995,$D1626,ORDERS!$L$2:$L$4995,"Đã chuyển khoản"))</f>
        <v/>
      </c>
      <c r="X1626" s="23">
        <f>IF(OR($D1626="",$R1626="Trùng"),"",SUMIFS(ORDERS!$J$2:$J$4995,ORDERS!$C$2:$C$4995,$D1626,ORDERS!$L$2:$L$4995,"Đã chuyển khoản"))</f>
        <v/>
      </c>
      <c r="Y1626" s="24" t="n"/>
    </row>
    <row r="1627" ht="14.25" customHeight="1" s="40">
      <c r="A1627" s="24" t="n"/>
      <c r="B1627" s="27" t="n"/>
      <c r="C1627" s="24" t="n"/>
      <c r="D1627" s="28" t="n"/>
      <c r="E1627" s="29" t="n"/>
      <c r="F1627" s="24" t="n"/>
      <c r="G1627" s="24" t="n"/>
      <c r="H1627" s="21">
        <f>IF(ISNUMBER($B1627),INT($B1627)-WEEKDAY($B1627,2)+1,"")</f>
        <v/>
      </c>
      <c r="I1627" s="24" t="n"/>
      <c r="J1627" s="22">
        <f t="array" ref="J1627">IF($D1627="","",IF($I1627="","(trống REF)",IFERROR(INDEX(MASTER_SOURCE!$B$2:$B$495,MATCH($I1627,MASTER_SOURCE!$A$2:$A$495,0)),"(REF không có trong MASTER_SOURCE)")))</f>
        <v/>
      </c>
      <c r="K1627" s="22">
        <f t="array" ref="K1627">IF($D1627="","",IFERROR(INDEX(MASTER_SOURCE!$C$2:$C$495,MATCH($I1627,MASTER_SOURCE!$A$2:$A$495,0)),""))</f>
        <v/>
      </c>
      <c r="L1627" s="22">
        <f t="array" ref="L1627">IF($D1627="","",IFERROR(INDEX(MASTER_SOURCE!$D$2:$D$495,MATCH($I1627,MASTER_SOURCE!$A$2:$A$495,0)),""))</f>
        <v/>
      </c>
      <c r="M1627" s="24" t="n"/>
      <c r="N1627" s="24" t="n"/>
      <c r="O1627" s="24" t="n"/>
      <c r="P1627" s="24" t="n"/>
      <c r="Q1627" s="22">
        <f>IF($D1627="","",IF(AND(OR(DANH_MUC!$L$5&lt;&gt;"Có",M1627="Có"),OR(DANH_MUC!$L$6&lt;&gt;"Có",N1627="Có"),OR(DANH_MUC!$L$7&lt;&gt;"Có",O1627="Có"),OR(DANH_MUC!$L$8&lt;&gt;"Có",P1627="Có")),"Có","Không"))</f>
        <v/>
      </c>
      <c r="R1627" s="22">
        <f>IF($D1627="","",IF(COUNTIF($D$2:$D1627,$D1627)&gt;1,"Trùng",""))</f>
        <v/>
      </c>
      <c r="S1627" s="22">
        <f>IF($D1627="","",IF(AND(LEN($D1627)=10,LEFT($D1627,1)="0",ISNUMBER(--$D1627)),"Có","Không"))</f>
        <v/>
      </c>
      <c r="T1627" s="22">
        <f>IF($D1627="","",IF(AND($C1627&lt;&gt;"",$Q1627="Có",$R1627="",$S1627="Có",AND($L1627&lt;&gt;"",OR($L1627&lt;&gt;"Chưa xác định",DANH_MUC!$L$9="Có"))),"Có","Không"))</f>
        <v/>
      </c>
      <c r="U1627" s="22">
        <f>IF(OR($D1627="",$T1627="Có"),"",IF($C1627="","Thiếu họ tên; ","")&amp;IF($S1627&lt;&gt;"Có","SĐT sai định dạng; ","")&amp;IF($R1627="Trùng","Trùng SĐT; ","")&amp;IF($Q1627&lt;&gt;"Có","Thiếu đồng ý bắt buộc; ","")&amp;IF($L1627="","Thiếu/sai Mã REF; ",IF(AND($L1627="Chưa xác định",DANH_MUC!$L$9&lt;&gt;"Có"),"Nguồn chưa xác định; ","")))</f>
        <v/>
      </c>
      <c r="V1627" s="22">
        <f>IF(OR($D1627="",$R1627="Trùng"),"",IF(COUNTIF(ORDERS!$C$2:$C$4995,$D1627)&gt;0,"Có","Không"))</f>
        <v/>
      </c>
      <c r="W1627" s="22">
        <f>IF(OR($D1627="",$R1627="Trùng"),"",COUNTIFS(ORDERS!$C$2:$C$4995,$D1627,ORDERS!$L$2:$L$4995,"Đã chuyển khoản"))</f>
        <v/>
      </c>
      <c r="X1627" s="23">
        <f>IF(OR($D1627="",$R1627="Trùng"),"",SUMIFS(ORDERS!$J$2:$J$4995,ORDERS!$C$2:$C$4995,$D1627,ORDERS!$L$2:$L$4995,"Đã chuyển khoản"))</f>
        <v/>
      </c>
      <c r="Y1627" s="24" t="n"/>
    </row>
    <row r="1628" ht="14.25" customHeight="1" s="40">
      <c r="A1628" s="24" t="n"/>
      <c r="B1628" s="27" t="n"/>
      <c r="C1628" s="24" t="n"/>
      <c r="D1628" s="28" t="n"/>
      <c r="E1628" s="29" t="n"/>
      <c r="F1628" s="24" t="n"/>
      <c r="G1628" s="24" t="n"/>
      <c r="H1628" s="21">
        <f>IF(ISNUMBER($B1628),INT($B1628)-WEEKDAY($B1628,2)+1,"")</f>
        <v/>
      </c>
      <c r="I1628" s="24" t="n"/>
      <c r="J1628" s="22">
        <f t="array" ref="J1628">IF($D1628="","",IF($I1628="","(trống REF)",IFERROR(INDEX(MASTER_SOURCE!$B$2:$B$495,MATCH($I1628,MASTER_SOURCE!$A$2:$A$495,0)),"(REF không có trong MASTER_SOURCE)")))</f>
        <v/>
      </c>
      <c r="K1628" s="22">
        <f t="array" ref="K1628">IF($D1628="","",IFERROR(INDEX(MASTER_SOURCE!$C$2:$C$495,MATCH($I1628,MASTER_SOURCE!$A$2:$A$495,0)),""))</f>
        <v/>
      </c>
      <c r="L1628" s="22">
        <f t="array" ref="L1628">IF($D1628="","",IFERROR(INDEX(MASTER_SOURCE!$D$2:$D$495,MATCH($I1628,MASTER_SOURCE!$A$2:$A$495,0)),""))</f>
        <v/>
      </c>
      <c r="M1628" s="24" t="n"/>
      <c r="N1628" s="24" t="n"/>
      <c r="O1628" s="24" t="n"/>
      <c r="P1628" s="24" t="n"/>
      <c r="Q1628" s="22">
        <f>IF($D1628="","",IF(AND(OR(DANH_MUC!$L$5&lt;&gt;"Có",M1628="Có"),OR(DANH_MUC!$L$6&lt;&gt;"Có",N1628="Có"),OR(DANH_MUC!$L$7&lt;&gt;"Có",O1628="Có"),OR(DANH_MUC!$L$8&lt;&gt;"Có",P1628="Có")),"Có","Không"))</f>
        <v/>
      </c>
      <c r="R1628" s="22">
        <f>IF($D1628="","",IF(COUNTIF($D$2:$D1628,$D1628)&gt;1,"Trùng",""))</f>
        <v/>
      </c>
      <c r="S1628" s="22">
        <f>IF($D1628="","",IF(AND(LEN($D1628)=10,LEFT($D1628,1)="0",ISNUMBER(--$D1628)),"Có","Không"))</f>
        <v/>
      </c>
      <c r="T1628" s="22">
        <f>IF($D1628="","",IF(AND($C1628&lt;&gt;"",$Q1628="Có",$R1628="",$S1628="Có",AND($L1628&lt;&gt;"",OR($L1628&lt;&gt;"Chưa xác định",DANH_MUC!$L$9="Có"))),"Có","Không"))</f>
        <v/>
      </c>
      <c r="U1628" s="22">
        <f>IF(OR($D1628="",$T1628="Có"),"",IF($C1628="","Thiếu họ tên; ","")&amp;IF($S1628&lt;&gt;"Có","SĐT sai định dạng; ","")&amp;IF($R1628="Trùng","Trùng SĐT; ","")&amp;IF($Q1628&lt;&gt;"Có","Thiếu đồng ý bắt buộc; ","")&amp;IF($L1628="","Thiếu/sai Mã REF; ",IF(AND($L1628="Chưa xác định",DANH_MUC!$L$9&lt;&gt;"Có"),"Nguồn chưa xác định; ","")))</f>
        <v/>
      </c>
      <c r="V1628" s="22">
        <f>IF(OR($D1628="",$R1628="Trùng"),"",IF(COUNTIF(ORDERS!$C$2:$C$4995,$D1628)&gt;0,"Có","Không"))</f>
        <v/>
      </c>
      <c r="W1628" s="22">
        <f>IF(OR($D1628="",$R1628="Trùng"),"",COUNTIFS(ORDERS!$C$2:$C$4995,$D1628,ORDERS!$L$2:$L$4995,"Đã chuyển khoản"))</f>
        <v/>
      </c>
      <c r="X1628" s="23">
        <f>IF(OR($D1628="",$R1628="Trùng"),"",SUMIFS(ORDERS!$J$2:$J$4995,ORDERS!$C$2:$C$4995,$D1628,ORDERS!$L$2:$L$4995,"Đã chuyển khoản"))</f>
        <v/>
      </c>
      <c r="Y1628" s="24" t="n"/>
    </row>
    <row r="1629" ht="14.25" customHeight="1" s="40">
      <c r="A1629" s="24" t="n"/>
      <c r="B1629" s="27" t="n"/>
      <c r="C1629" s="24" t="n"/>
      <c r="D1629" s="28" t="n"/>
      <c r="E1629" s="29" t="n"/>
      <c r="F1629" s="24" t="n"/>
      <c r="G1629" s="24" t="n"/>
      <c r="H1629" s="21">
        <f>IF(ISNUMBER($B1629),INT($B1629)-WEEKDAY($B1629,2)+1,"")</f>
        <v/>
      </c>
      <c r="I1629" s="24" t="n"/>
      <c r="J1629" s="22">
        <f t="array" ref="J1629">IF($D1629="","",IF($I1629="","(trống REF)",IFERROR(INDEX(MASTER_SOURCE!$B$2:$B$495,MATCH($I1629,MASTER_SOURCE!$A$2:$A$495,0)),"(REF không có trong MASTER_SOURCE)")))</f>
        <v/>
      </c>
      <c r="K1629" s="22">
        <f t="array" ref="K1629">IF($D1629="","",IFERROR(INDEX(MASTER_SOURCE!$C$2:$C$495,MATCH($I1629,MASTER_SOURCE!$A$2:$A$495,0)),""))</f>
        <v/>
      </c>
      <c r="L1629" s="22">
        <f t="array" ref="L1629">IF($D1629="","",IFERROR(INDEX(MASTER_SOURCE!$D$2:$D$495,MATCH($I1629,MASTER_SOURCE!$A$2:$A$495,0)),""))</f>
        <v/>
      </c>
      <c r="M1629" s="24" t="n"/>
      <c r="N1629" s="24" t="n"/>
      <c r="O1629" s="24" t="n"/>
      <c r="P1629" s="24" t="n"/>
      <c r="Q1629" s="22">
        <f>IF($D1629="","",IF(AND(OR(DANH_MUC!$L$5&lt;&gt;"Có",M1629="Có"),OR(DANH_MUC!$L$6&lt;&gt;"Có",N1629="Có"),OR(DANH_MUC!$L$7&lt;&gt;"Có",O1629="Có"),OR(DANH_MUC!$L$8&lt;&gt;"Có",P1629="Có")),"Có","Không"))</f>
        <v/>
      </c>
      <c r="R1629" s="22">
        <f>IF($D1629="","",IF(COUNTIF($D$2:$D1629,$D1629)&gt;1,"Trùng",""))</f>
        <v/>
      </c>
      <c r="S1629" s="22">
        <f>IF($D1629="","",IF(AND(LEN($D1629)=10,LEFT($D1629,1)="0",ISNUMBER(--$D1629)),"Có","Không"))</f>
        <v/>
      </c>
      <c r="T1629" s="22">
        <f>IF($D1629="","",IF(AND($C1629&lt;&gt;"",$Q1629="Có",$R1629="",$S1629="Có",AND($L1629&lt;&gt;"",OR($L1629&lt;&gt;"Chưa xác định",DANH_MUC!$L$9="Có"))),"Có","Không"))</f>
        <v/>
      </c>
      <c r="U1629" s="22">
        <f>IF(OR($D1629="",$T1629="Có"),"",IF($C1629="","Thiếu họ tên; ","")&amp;IF($S1629&lt;&gt;"Có","SĐT sai định dạng; ","")&amp;IF($R1629="Trùng","Trùng SĐT; ","")&amp;IF($Q1629&lt;&gt;"Có","Thiếu đồng ý bắt buộc; ","")&amp;IF($L1629="","Thiếu/sai Mã REF; ",IF(AND($L1629="Chưa xác định",DANH_MUC!$L$9&lt;&gt;"Có"),"Nguồn chưa xác định; ","")))</f>
        <v/>
      </c>
      <c r="V1629" s="22">
        <f>IF(OR($D1629="",$R1629="Trùng"),"",IF(COUNTIF(ORDERS!$C$2:$C$4995,$D1629)&gt;0,"Có","Không"))</f>
        <v/>
      </c>
      <c r="W1629" s="22">
        <f>IF(OR($D1629="",$R1629="Trùng"),"",COUNTIFS(ORDERS!$C$2:$C$4995,$D1629,ORDERS!$L$2:$L$4995,"Đã chuyển khoản"))</f>
        <v/>
      </c>
      <c r="X1629" s="23">
        <f>IF(OR($D1629="",$R1629="Trùng"),"",SUMIFS(ORDERS!$J$2:$J$4995,ORDERS!$C$2:$C$4995,$D1629,ORDERS!$L$2:$L$4995,"Đã chuyển khoản"))</f>
        <v/>
      </c>
      <c r="Y1629" s="24" t="n"/>
    </row>
    <row r="1630" ht="14.25" customHeight="1" s="40">
      <c r="A1630" s="24" t="n"/>
      <c r="B1630" s="27" t="n"/>
      <c r="C1630" s="24" t="n"/>
      <c r="D1630" s="28" t="n"/>
      <c r="E1630" s="29" t="n"/>
      <c r="F1630" s="24" t="n"/>
      <c r="G1630" s="24" t="n"/>
      <c r="H1630" s="21">
        <f>IF(ISNUMBER($B1630),INT($B1630)-WEEKDAY($B1630,2)+1,"")</f>
        <v/>
      </c>
      <c r="I1630" s="24" t="n"/>
      <c r="J1630" s="22">
        <f t="array" ref="J1630">IF($D1630="","",IF($I1630="","(trống REF)",IFERROR(INDEX(MASTER_SOURCE!$B$2:$B$495,MATCH($I1630,MASTER_SOURCE!$A$2:$A$495,0)),"(REF không có trong MASTER_SOURCE)")))</f>
        <v/>
      </c>
      <c r="K1630" s="22">
        <f t="array" ref="K1630">IF($D1630="","",IFERROR(INDEX(MASTER_SOURCE!$C$2:$C$495,MATCH($I1630,MASTER_SOURCE!$A$2:$A$495,0)),""))</f>
        <v/>
      </c>
      <c r="L1630" s="22">
        <f t="array" ref="L1630">IF($D1630="","",IFERROR(INDEX(MASTER_SOURCE!$D$2:$D$495,MATCH($I1630,MASTER_SOURCE!$A$2:$A$495,0)),""))</f>
        <v/>
      </c>
      <c r="M1630" s="24" t="n"/>
      <c r="N1630" s="24" t="n"/>
      <c r="O1630" s="24" t="n"/>
      <c r="P1630" s="24" t="n"/>
      <c r="Q1630" s="22">
        <f>IF($D1630="","",IF(AND(OR(DANH_MUC!$L$5&lt;&gt;"Có",M1630="Có"),OR(DANH_MUC!$L$6&lt;&gt;"Có",N1630="Có"),OR(DANH_MUC!$L$7&lt;&gt;"Có",O1630="Có"),OR(DANH_MUC!$L$8&lt;&gt;"Có",P1630="Có")),"Có","Không"))</f>
        <v/>
      </c>
      <c r="R1630" s="22">
        <f>IF($D1630="","",IF(COUNTIF($D$2:$D1630,$D1630)&gt;1,"Trùng",""))</f>
        <v/>
      </c>
      <c r="S1630" s="22">
        <f>IF($D1630="","",IF(AND(LEN($D1630)=10,LEFT($D1630,1)="0",ISNUMBER(--$D1630)),"Có","Không"))</f>
        <v/>
      </c>
      <c r="T1630" s="22">
        <f>IF($D1630="","",IF(AND($C1630&lt;&gt;"",$Q1630="Có",$R1630="",$S1630="Có",AND($L1630&lt;&gt;"",OR($L1630&lt;&gt;"Chưa xác định",DANH_MUC!$L$9="Có"))),"Có","Không"))</f>
        <v/>
      </c>
      <c r="U1630" s="22">
        <f>IF(OR($D1630="",$T1630="Có"),"",IF($C1630="","Thiếu họ tên; ","")&amp;IF($S1630&lt;&gt;"Có","SĐT sai định dạng; ","")&amp;IF($R1630="Trùng","Trùng SĐT; ","")&amp;IF($Q1630&lt;&gt;"Có","Thiếu đồng ý bắt buộc; ","")&amp;IF($L1630="","Thiếu/sai Mã REF; ",IF(AND($L1630="Chưa xác định",DANH_MUC!$L$9&lt;&gt;"Có"),"Nguồn chưa xác định; ","")))</f>
        <v/>
      </c>
      <c r="V1630" s="22">
        <f>IF(OR($D1630="",$R1630="Trùng"),"",IF(COUNTIF(ORDERS!$C$2:$C$4995,$D1630)&gt;0,"Có","Không"))</f>
        <v/>
      </c>
      <c r="W1630" s="22">
        <f>IF(OR($D1630="",$R1630="Trùng"),"",COUNTIFS(ORDERS!$C$2:$C$4995,$D1630,ORDERS!$L$2:$L$4995,"Đã chuyển khoản"))</f>
        <v/>
      </c>
      <c r="X1630" s="23">
        <f>IF(OR($D1630="",$R1630="Trùng"),"",SUMIFS(ORDERS!$J$2:$J$4995,ORDERS!$C$2:$C$4995,$D1630,ORDERS!$L$2:$L$4995,"Đã chuyển khoản"))</f>
        <v/>
      </c>
      <c r="Y1630" s="24" t="n"/>
    </row>
    <row r="1631" ht="14.25" customHeight="1" s="40">
      <c r="A1631" s="24" t="n"/>
      <c r="B1631" s="27" t="n"/>
      <c r="C1631" s="24" t="n"/>
      <c r="D1631" s="28" t="n"/>
      <c r="E1631" s="29" t="n"/>
      <c r="F1631" s="24" t="n"/>
      <c r="G1631" s="24" t="n"/>
      <c r="H1631" s="21">
        <f>IF(ISNUMBER($B1631),INT($B1631)-WEEKDAY($B1631,2)+1,"")</f>
        <v/>
      </c>
      <c r="I1631" s="24" t="n"/>
      <c r="J1631" s="22">
        <f t="array" ref="J1631">IF($D1631="","",IF($I1631="","(trống REF)",IFERROR(INDEX(MASTER_SOURCE!$B$2:$B$495,MATCH($I1631,MASTER_SOURCE!$A$2:$A$495,0)),"(REF không có trong MASTER_SOURCE)")))</f>
        <v/>
      </c>
      <c r="K1631" s="22">
        <f t="array" ref="K1631">IF($D1631="","",IFERROR(INDEX(MASTER_SOURCE!$C$2:$C$495,MATCH($I1631,MASTER_SOURCE!$A$2:$A$495,0)),""))</f>
        <v/>
      </c>
      <c r="L1631" s="22">
        <f t="array" ref="L1631">IF($D1631="","",IFERROR(INDEX(MASTER_SOURCE!$D$2:$D$495,MATCH($I1631,MASTER_SOURCE!$A$2:$A$495,0)),""))</f>
        <v/>
      </c>
      <c r="M1631" s="24" t="n"/>
      <c r="N1631" s="24" t="n"/>
      <c r="O1631" s="24" t="n"/>
      <c r="P1631" s="24" t="n"/>
      <c r="Q1631" s="22">
        <f>IF($D1631="","",IF(AND(OR(DANH_MUC!$L$5&lt;&gt;"Có",M1631="Có"),OR(DANH_MUC!$L$6&lt;&gt;"Có",N1631="Có"),OR(DANH_MUC!$L$7&lt;&gt;"Có",O1631="Có"),OR(DANH_MUC!$L$8&lt;&gt;"Có",P1631="Có")),"Có","Không"))</f>
        <v/>
      </c>
      <c r="R1631" s="22">
        <f>IF($D1631="","",IF(COUNTIF($D$2:$D1631,$D1631)&gt;1,"Trùng",""))</f>
        <v/>
      </c>
      <c r="S1631" s="22">
        <f>IF($D1631="","",IF(AND(LEN($D1631)=10,LEFT($D1631,1)="0",ISNUMBER(--$D1631)),"Có","Không"))</f>
        <v/>
      </c>
      <c r="T1631" s="22">
        <f>IF($D1631="","",IF(AND($C1631&lt;&gt;"",$Q1631="Có",$R1631="",$S1631="Có",AND($L1631&lt;&gt;"",OR($L1631&lt;&gt;"Chưa xác định",DANH_MUC!$L$9="Có"))),"Có","Không"))</f>
        <v/>
      </c>
      <c r="U1631" s="22">
        <f>IF(OR($D1631="",$T1631="Có"),"",IF($C1631="","Thiếu họ tên; ","")&amp;IF($S1631&lt;&gt;"Có","SĐT sai định dạng; ","")&amp;IF($R1631="Trùng","Trùng SĐT; ","")&amp;IF($Q1631&lt;&gt;"Có","Thiếu đồng ý bắt buộc; ","")&amp;IF($L1631="","Thiếu/sai Mã REF; ",IF(AND($L1631="Chưa xác định",DANH_MUC!$L$9&lt;&gt;"Có"),"Nguồn chưa xác định; ","")))</f>
        <v/>
      </c>
      <c r="V1631" s="22">
        <f>IF(OR($D1631="",$R1631="Trùng"),"",IF(COUNTIF(ORDERS!$C$2:$C$4995,$D1631)&gt;0,"Có","Không"))</f>
        <v/>
      </c>
      <c r="W1631" s="22">
        <f>IF(OR($D1631="",$R1631="Trùng"),"",COUNTIFS(ORDERS!$C$2:$C$4995,$D1631,ORDERS!$L$2:$L$4995,"Đã chuyển khoản"))</f>
        <v/>
      </c>
      <c r="X1631" s="23">
        <f>IF(OR($D1631="",$R1631="Trùng"),"",SUMIFS(ORDERS!$J$2:$J$4995,ORDERS!$C$2:$C$4995,$D1631,ORDERS!$L$2:$L$4995,"Đã chuyển khoản"))</f>
        <v/>
      </c>
      <c r="Y1631" s="24" t="n"/>
    </row>
    <row r="1632" ht="14.25" customHeight="1" s="40">
      <c r="A1632" s="24" t="n"/>
      <c r="B1632" s="27" t="n"/>
      <c r="C1632" s="24" t="n"/>
      <c r="D1632" s="28" t="n"/>
      <c r="E1632" s="29" t="n"/>
      <c r="F1632" s="24" t="n"/>
      <c r="G1632" s="24" t="n"/>
      <c r="H1632" s="21">
        <f>IF(ISNUMBER($B1632),INT($B1632)-WEEKDAY($B1632,2)+1,"")</f>
        <v/>
      </c>
      <c r="I1632" s="24" t="n"/>
      <c r="J1632" s="22">
        <f t="array" ref="J1632">IF($D1632="","",IF($I1632="","(trống REF)",IFERROR(INDEX(MASTER_SOURCE!$B$2:$B$495,MATCH($I1632,MASTER_SOURCE!$A$2:$A$495,0)),"(REF không có trong MASTER_SOURCE)")))</f>
        <v/>
      </c>
      <c r="K1632" s="22">
        <f t="array" ref="K1632">IF($D1632="","",IFERROR(INDEX(MASTER_SOURCE!$C$2:$C$495,MATCH($I1632,MASTER_SOURCE!$A$2:$A$495,0)),""))</f>
        <v/>
      </c>
      <c r="L1632" s="22">
        <f t="array" ref="L1632">IF($D1632="","",IFERROR(INDEX(MASTER_SOURCE!$D$2:$D$495,MATCH($I1632,MASTER_SOURCE!$A$2:$A$495,0)),""))</f>
        <v/>
      </c>
      <c r="M1632" s="24" t="n"/>
      <c r="N1632" s="24" t="n"/>
      <c r="O1632" s="24" t="n"/>
      <c r="P1632" s="24" t="n"/>
      <c r="Q1632" s="22">
        <f>IF($D1632="","",IF(AND(OR(DANH_MUC!$L$5&lt;&gt;"Có",M1632="Có"),OR(DANH_MUC!$L$6&lt;&gt;"Có",N1632="Có"),OR(DANH_MUC!$L$7&lt;&gt;"Có",O1632="Có"),OR(DANH_MUC!$L$8&lt;&gt;"Có",P1632="Có")),"Có","Không"))</f>
        <v/>
      </c>
      <c r="R1632" s="22">
        <f>IF($D1632="","",IF(COUNTIF($D$2:$D1632,$D1632)&gt;1,"Trùng",""))</f>
        <v/>
      </c>
      <c r="S1632" s="22">
        <f>IF($D1632="","",IF(AND(LEN($D1632)=10,LEFT($D1632,1)="0",ISNUMBER(--$D1632)),"Có","Không"))</f>
        <v/>
      </c>
      <c r="T1632" s="22">
        <f>IF($D1632="","",IF(AND($C1632&lt;&gt;"",$Q1632="Có",$R1632="",$S1632="Có",AND($L1632&lt;&gt;"",OR($L1632&lt;&gt;"Chưa xác định",DANH_MUC!$L$9="Có"))),"Có","Không"))</f>
        <v/>
      </c>
      <c r="U1632" s="22">
        <f>IF(OR($D1632="",$T1632="Có"),"",IF($C1632="","Thiếu họ tên; ","")&amp;IF($S1632&lt;&gt;"Có","SĐT sai định dạng; ","")&amp;IF($R1632="Trùng","Trùng SĐT; ","")&amp;IF($Q1632&lt;&gt;"Có","Thiếu đồng ý bắt buộc; ","")&amp;IF($L1632="","Thiếu/sai Mã REF; ",IF(AND($L1632="Chưa xác định",DANH_MUC!$L$9&lt;&gt;"Có"),"Nguồn chưa xác định; ","")))</f>
        <v/>
      </c>
      <c r="V1632" s="22">
        <f>IF(OR($D1632="",$R1632="Trùng"),"",IF(COUNTIF(ORDERS!$C$2:$C$4995,$D1632)&gt;0,"Có","Không"))</f>
        <v/>
      </c>
      <c r="W1632" s="22">
        <f>IF(OR($D1632="",$R1632="Trùng"),"",COUNTIFS(ORDERS!$C$2:$C$4995,$D1632,ORDERS!$L$2:$L$4995,"Đã chuyển khoản"))</f>
        <v/>
      </c>
      <c r="X1632" s="23">
        <f>IF(OR($D1632="",$R1632="Trùng"),"",SUMIFS(ORDERS!$J$2:$J$4995,ORDERS!$C$2:$C$4995,$D1632,ORDERS!$L$2:$L$4995,"Đã chuyển khoản"))</f>
        <v/>
      </c>
      <c r="Y1632" s="24" t="n"/>
    </row>
    <row r="1633" ht="14.25" customHeight="1" s="40">
      <c r="A1633" s="24" t="n"/>
      <c r="B1633" s="27" t="n"/>
      <c r="C1633" s="24" t="n"/>
      <c r="D1633" s="28" t="n"/>
      <c r="E1633" s="29" t="n"/>
      <c r="F1633" s="24" t="n"/>
      <c r="G1633" s="24" t="n"/>
      <c r="H1633" s="21">
        <f>IF(ISNUMBER($B1633),INT($B1633)-WEEKDAY($B1633,2)+1,"")</f>
        <v/>
      </c>
      <c r="I1633" s="24" t="n"/>
      <c r="J1633" s="22">
        <f t="array" ref="J1633">IF($D1633="","",IF($I1633="","(trống REF)",IFERROR(INDEX(MASTER_SOURCE!$B$2:$B$495,MATCH($I1633,MASTER_SOURCE!$A$2:$A$495,0)),"(REF không có trong MASTER_SOURCE)")))</f>
        <v/>
      </c>
      <c r="K1633" s="22">
        <f t="array" ref="K1633">IF($D1633="","",IFERROR(INDEX(MASTER_SOURCE!$C$2:$C$495,MATCH($I1633,MASTER_SOURCE!$A$2:$A$495,0)),""))</f>
        <v/>
      </c>
      <c r="L1633" s="22">
        <f t="array" ref="L1633">IF($D1633="","",IFERROR(INDEX(MASTER_SOURCE!$D$2:$D$495,MATCH($I1633,MASTER_SOURCE!$A$2:$A$495,0)),""))</f>
        <v/>
      </c>
      <c r="M1633" s="24" t="n"/>
      <c r="N1633" s="24" t="n"/>
      <c r="O1633" s="24" t="n"/>
      <c r="P1633" s="24" t="n"/>
      <c r="Q1633" s="22">
        <f>IF($D1633="","",IF(AND(OR(DANH_MUC!$L$5&lt;&gt;"Có",M1633="Có"),OR(DANH_MUC!$L$6&lt;&gt;"Có",N1633="Có"),OR(DANH_MUC!$L$7&lt;&gt;"Có",O1633="Có"),OR(DANH_MUC!$L$8&lt;&gt;"Có",P1633="Có")),"Có","Không"))</f>
        <v/>
      </c>
      <c r="R1633" s="22">
        <f>IF($D1633="","",IF(COUNTIF($D$2:$D1633,$D1633)&gt;1,"Trùng",""))</f>
        <v/>
      </c>
      <c r="S1633" s="22">
        <f>IF($D1633="","",IF(AND(LEN($D1633)=10,LEFT($D1633,1)="0",ISNUMBER(--$D1633)),"Có","Không"))</f>
        <v/>
      </c>
      <c r="T1633" s="22">
        <f>IF($D1633="","",IF(AND($C1633&lt;&gt;"",$Q1633="Có",$R1633="",$S1633="Có",AND($L1633&lt;&gt;"",OR($L1633&lt;&gt;"Chưa xác định",DANH_MUC!$L$9="Có"))),"Có","Không"))</f>
        <v/>
      </c>
      <c r="U1633" s="22">
        <f>IF(OR($D1633="",$T1633="Có"),"",IF($C1633="","Thiếu họ tên; ","")&amp;IF($S1633&lt;&gt;"Có","SĐT sai định dạng; ","")&amp;IF($R1633="Trùng","Trùng SĐT; ","")&amp;IF($Q1633&lt;&gt;"Có","Thiếu đồng ý bắt buộc; ","")&amp;IF($L1633="","Thiếu/sai Mã REF; ",IF(AND($L1633="Chưa xác định",DANH_MUC!$L$9&lt;&gt;"Có"),"Nguồn chưa xác định; ","")))</f>
        <v/>
      </c>
      <c r="V1633" s="22">
        <f>IF(OR($D1633="",$R1633="Trùng"),"",IF(COUNTIF(ORDERS!$C$2:$C$4995,$D1633)&gt;0,"Có","Không"))</f>
        <v/>
      </c>
      <c r="W1633" s="22">
        <f>IF(OR($D1633="",$R1633="Trùng"),"",COUNTIFS(ORDERS!$C$2:$C$4995,$D1633,ORDERS!$L$2:$L$4995,"Đã chuyển khoản"))</f>
        <v/>
      </c>
      <c r="X1633" s="23">
        <f>IF(OR($D1633="",$R1633="Trùng"),"",SUMIFS(ORDERS!$J$2:$J$4995,ORDERS!$C$2:$C$4995,$D1633,ORDERS!$L$2:$L$4995,"Đã chuyển khoản"))</f>
        <v/>
      </c>
      <c r="Y1633" s="24" t="n"/>
    </row>
    <row r="1634" ht="14.25" customHeight="1" s="40">
      <c r="A1634" s="24" t="n"/>
      <c r="B1634" s="27" t="n"/>
      <c r="C1634" s="24" t="n"/>
      <c r="D1634" s="28" t="n"/>
      <c r="E1634" s="29" t="n"/>
      <c r="F1634" s="24" t="n"/>
      <c r="G1634" s="24" t="n"/>
      <c r="H1634" s="21">
        <f>IF(ISNUMBER($B1634),INT($B1634)-WEEKDAY($B1634,2)+1,"")</f>
        <v/>
      </c>
      <c r="I1634" s="24" t="n"/>
      <c r="J1634" s="22">
        <f t="array" ref="J1634">IF($D1634="","",IF($I1634="","(trống REF)",IFERROR(INDEX(MASTER_SOURCE!$B$2:$B$495,MATCH($I1634,MASTER_SOURCE!$A$2:$A$495,0)),"(REF không có trong MASTER_SOURCE)")))</f>
        <v/>
      </c>
      <c r="K1634" s="22">
        <f t="array" ref="K1634">IF($D1634="","",IFERROR(INDEX(MASTER_SOURCE!$C$2:$C$495,MATCH($I1634,MASTER_SOURCE!$A$2:$A$495,0)),""))</f>
        <v/>
      </c>
      <c r="L1634" s="22">
        <f t="array" ref="L1634">IF($D1634="","",IFERROR(INDEX(MASTER_SOURCE!$D$2:$D$495,MATCH($I1634,MASTER_SOURCE!$A$2:$A$495,0)),""))</f>
        <v/>
      </c>
      <c r="M1634" s="24" t="n"/>
      <c r="N1634" s="24" t="n"/>
      <c r="O1634" s="24" t="n"/>
      <c r="P1634" s="24" t="n"/>
      <c r="Q1634" s="22">
        <f>IF($D1634="","",IF(AND(OR(DANH_MUC!$L$5&lt;&gt;"Có",M1634="Có"),OR(DANH_MUC!$L$6&lt;&gt;"Có",N1634="Có"),OR(DANH_MUC!$L$7&lt;&gt;"Có",O1634="Có"),OR(DANH_MUC!$L$8&lt;&gt;"Có",P1634="Có")),"Có","Không"))</f>
        <v/>
      </c>
      <c r="R1634" s="22">
        <f>IF($D1634="","",IF(COUNTIF($D$2:$D1634,$D1634)&gt;1,"Trùng",""))</f>
        <v/>
      </c>
      <c r="S1634" s="22">
        <f>IF($D1634="","",IF(AND(LEN($D1634)=10,LEFT($D1634,1)="0",ISNUMBER(--$D1634)),"Có","Không"))</f>
        <v/>
      </c>
      <c r="T1634" s="22">
        <f>IF($D1634="","",IF(AND($C1634&lt;&gt;"",$Q1634="Có",$R1634="",$S1634="Có",AND($L1634&lt;&gt;"",OR($L1634&lt;&gt;"Chưa xác định",DANH_MUC!$L$9="Có"))),"Có","Không"))</f>
        <v/>
      </c>
      <c r="U1634" s="22">
        <f>IF(OR($D1634="",$T1634="Có"),"",IF($C1634="","Thiếu họ tên; ","")&amp;IF($S1634&lt;&gt;"Có","SĐT sai định dạng; ","")&amp;IF($R1634="Trùng","Trùng SĐT; ","")&amp;IF($Q1634&lt;&gt;"Có","Thiếu đồng ý bắt buộc; ","")&amp;IF($L1634="","Thiếu/sai Mã REF; ",IF(AND($L1634="Chưa xác định",DANH_MUC!$L$9&lt;&gt;"Có"),"Nguồn chưa xác định; ","")))</f>
        <v/>
      </c>
      <c r="V1634" s="22">
        <f>IF(OR($D1634="",$R1634="Trùng"),"",IF(COUNTIF(ORDERS!$C$2:$C$4995,$D1634)&gt;0,"Có","Không"))</f>
        <v/>
      </c>
      <c r="W1634" s="22">
        <f>IF(OR($D1634="",$R1634="Trùng"),"",COUNTIFS(ORDERS!$C$2:$C$4995,$D1634,ORDERS!$L$2:$L$4995,"Đã chuyển khoản"))</f>
        <v/>
      </c>
      <c r="X1634" s="23">
        <f>IF(OR($D1634="",$R1634="Trùng"),"",SUMIFS(ORDERS!$J$2:$J$4995,ORDERS!$C$2:$C$4995,$D1634,ORDERS!$L$2:$L$4995,"Đã chuyển khoản"))</f>
        <v/>
      </c>
      <c r="Y1634" s="24" t="n"/>
    </row>
    <row r="1635" ht="14.25" customHeight="1" s="40">
      <c r="A1635" s="24" t="n"/>
      <c r="B1635" s="27" t="n"/>
      <c r="C1635" s="24" t="n"/>
      <c r="D1635" s="28" t="n"/>
      <c r="E1635" s="29" t="n"/>
      <c r="F1635" s="24" t="n"/>
      <c r="G1635" s="24" t="n"/>
      <c r="H1635" s="21">
        <f>IF(ISNUMBER($B1635),INT($B1635)-WEEKDAY($B1635,2)+1,"")</f>
        <v/>
      </c>
      <c r="I1635" s="24" t="n"/>
      <c r="J1635" s="22">
        <f t="array" ref="J1635">IF($D1635="","",IF($I1635="","(trống REF)",IFERROR(INDEX(MASTER_SOURCE!$B$2:$B$495,MATCH($I1635,MASTER_SOURCE!$A$2:$A$495,0)),"(REF không có trong MASTER_SOURCE)")))</f>
        <v/>
      </c>
      <c r="K1635" s="22">
        <f t="array" ref="K1635">IF($D1635="","",IFERROR(INDEX(MASTER_SOURCE!$C$2:$C$495,MATCH($I1635,MASTER_SOURCE!$A$2:$A$495,0)),""))</f>
        <v/>
      </c>
      <c r="L1635" s="22">
        <f t="array" ref="L1635">IF($D1635="","",IFERROR(INDEX(MASTER_SOURCE!$D$2:$D$495,MATCH($I1635,MASTER_SOURCE!$A$2:$A$495,0)),""))</f>
        <v/>
      </c>
      <c r="M1635" s="24" t="n"/>
      <c r="N1635" s="24" t="n"/>
      <c r="O1635" s="24" t="n"/>
      <c r="P1635" s="24" t="n"/>
      <c r="Q1635" s="22">
        <f>IF($D1635="","",IF(AND(OR(DANH_MUC!$L$5&lt;&gt;"Có",M1635="Có"),OR(DANH_MUC!$L$6&lt;&gt;"Có",N1635="Có"),OR(DANH_MUC!$L$7&lt;&gt;"Có",O1635="Có"),OR(DANH_MUC!$L$8&lt;&gt;"Có",P1635="Có")),"Có","Không"))</f>
        <v/>
      </c>
      <c r="R1635" s="22">
        <f>IF($D1635="","",IF(COUNTIF($D$2:$D1635,$D1635)&gt;1,"Trùng",""))</f>
        <v/>
      </c>
      <c r="S1635" s="22">
        <f>IF($D1635="","",IF(AND(LEN($D1635)=10,LEFT($D1635,1)="0",ISNUMBER(--$D1635)),"Có","Không"))</f>
        <v/>
      </c>
      <c r="T1635" s="22">
        <f>IF($D1635="","",IF(AND($C1635&lt;&gt;"",$Q1635="Có",$R1635="",$S1635="Có",AND($L1635&lt;&gt;"",OR($L1635&lt;&gt;"Chưa xác định",DANH_MUC!$L$9="Có"))),"Có","Không"))</f>
        <v/>
      </c>
      <c r="U1635" s="22">
        <f>IF(OR($D1635="",$T1635="Có"),"",IF($C1635="","Thiếu họ tên; ","")&amp;IF($S1635&lt;&gt;"Có","SĐT sai định dạng; ","")&amp;IF($R1635="Trùng","Trùng SĐT; ","")&amp;IF($Q1635&lt;&gt;"Có","Thiếu đồng ý bắt buộc; ","")&amp;IF($L1635="","Thiếu/sai Mã REF; ",IF(AND($L1635="Chưa xác định",DANH_MUC!$L$9&lt;&gt;"Có"),"Nguồn chưa xác định; ","")))</f>
        <v/>
      </c>
      <c r="V1635" s="22">
        <f>IF(OR($D1635="",$R1635="Trùng"),"",IF(COUNTIF(ORDERS!$C$2:$C$4995,$D1635)&gt;0,"Có","Không"))</f>
        <v/>
      </c>
      <c r="W1635" s="22">
        <f>IF(OR($D1635="",$R1635="Trùng"),"",COUNTIFS(ORDERS!$C$2:$C$4995,$D1635,ORDERS!$L$2:$L$4995,"Đã chuyển khoản"))</f>
        <v/>
      </c>
      <c r="X1635" s="23">
        <f>IF(OR($D1635="",$R1635="Trùng"),"",SUMIFS(ORDERS!$J$2:$J$4995,ORDERS!$C$2:$C$4995,$D1635,ORDERS!$L$2:$L$4995,"Đã chuyển khoản"))</f>
        <v/>
      </c>
      <c r="Y1635" s="24" t="n"/>
    </row>
    <row r="1636" ht="14.25" customHeight="1" s="40">
      <c r="A1636" s="24" t="n"/>
      <c r="B1636" s="27" t="n"/>
      <c r="C1636" s="24" t="n"/>
      <c r="D1636" s="28" t="n"/>
      <c r="E1636" s="29" t="n"/>
      <c r="F1636" s="24" t="n"/>
      <c r="G1636" s="24" t="n"/>
      <c r="H1636" s="21">
        <f>IF(ISNUMBER($B1636),INT($B1636)-WEEKDAY($B1636,2)+1,"")</f>
        <v/>
      </c>
      <c r="I1636" s="24" t="n"/>
      <c r="J1636" s="22">
        <f t="array" ref="J1636">IF($D1636="","",IF($I1636="","(trống REF)",IFERROR(INDEX(MASTER_SOURCE!$B$2:$B$495,MATCH($I1636,MASTER_SOURCE!$A$2:$A$495,0)),"(REF không có trong MASTER_SOURCE)")))</f>
        <v/>
      </c>
      <c r="K1636" s="22">
        <f t="array" ref="K1636">IF($D1636="","",IFERROR(INDEX(MASTER_SOURCE!$C$2:$C$495,MATCH($I1636,MASTER_SOURCE!$A$2:$A$495,0)),""))</f>
        <v/>
      </c>
      <c r="L1636" s="22">
        <f t="array" ref="L1636">IF($D1636="","",IFERROR(INDEX(MASTER_SOURCE!$D$2:$D$495,MATCH($I1636,MASTER_SOURCE!$A$2:$A$495,0)),""))</f>
        <v/>
      </c>
      <c r="M1636" s="24" t="n"/>
      <c r="N1636" s="24" t="n"/>
      <c r="O1636" s="24" t="n"/>
      <c r="P1636" s="24" t="n"/>
      <c r="Q1636" s="22">
        <f>IF($D1636="","",IF(AND(OR(DANH_MUC!$L$5&lt;&gt;"Có",M1636="Có"),OR(DANH_MUC!$L$6&lt;&gt;"Có",N1636="Có"),OR(DANH_MUC!$L$7&lt;&gt;"Có",O1636="Có"),OR(DANH_MUC!$L$8&lt;&gt;"Có",P1636="Có")),"Có","Không"))</f>
        <v/>
      </c>
      <c r="R1636" s="22">
        <f>IF($D1636="","",IF(COUNTIF($D$2:$D1636,$D1636)&gt;1,"Trùng",""))</f>
        <v/>
      </c>
      <c r="S1636" s="22">
        <f>IF($D1636="","",IF(AND(LEN($D1636)=10,LEFT($D1636,1)="0",ISNUMBER(--$D1636)),"Có","Không"))</f>
        <v/>
      </c>
      <c r="T1636" s="22">
        <f>IF($D1636="","",IF(AND($C1636&lt;&gt;"",$Q1636="Có",$R1636="",$S1636="Có",AND($L1636&lt;&gt;"",OR($L1636&lt;&gt;"Chưa xác định",DANH_MUC!$L$9="Có"))),"Có","Không"))</f>
        <v/>
      </c>
      <c r="U1636" s="22">
        <f>IF(OR($D1636="",$T1636="Có"),"",IF($C1636="","Thiếu họ tên; ","")&amp;IF($S1636&lt;&gt;"Có","SĐT sai định dạng; ","")&amp;IF($R1636="Trùng","Trùng SĐT; ","")&amp;IF($Q1636&lt;&gt;"Có","Thiếu đồng ý bắt buộc; ","")&amp;IF($L1636="","Thiếu/sai Mã REF; ",IF(AND($L1636="Chưa xác định",DANH_MUC!$L$9&lt;&gt;"Có"),"Nguồn chưa xác định; ","")))</f>
        <v/>
      </c>
      <c r="V1636" s="22">
        <f>IF(OR($D1636="",$R1636="Trùng"),"",IF(COUNTIF(ORDERS!$C$2:$C$4995,$D1636)&gt;0,"Có","Không"))</f>
        <v/>
      </c>
      <c r="W1636" s="22">
        <f>IF(OR($D1636="",$R1636="Trùng"),"",COUNTIFS(ORDERS!$C$2:$C$4995,$D1636,ORDERS!$L$2:$L$4995,"Đã chuyển khoản"))</f>
        <v/>
      </c>
      <c r="X1636" s="23">
        <f>IF(OR($D1636="",$R1636="Trùng"),"",SUMIFS(ORDERS!$J$2:$J$4995,ORDERS!$C$2:$C$4995,$D1636,ORDERS!$L$2:$L$4995,"Đã chuyển khoản"))</f>
        <v/>
      </c>
      <c r="Y1636" s="24" t="n"/>
    </row>
    <row r="1637" ht="14.25" customHeight="1" s="40">
      <c r="A1637" s="24" t="n"/>
      <c r="B1637" s="27" t="n"/>
      <c r="C1637" s="24" t="n"/>
      <c r="D1637" s="28" t="n"/>
      <c r="E1637" s="29" t="n"/>
      <c r="F1637" s="24" t="n"/>
      <c r="G1637" s="24" t="n"/>
      <c r="H1637" s="21">
        <f>IF(ISNUMBER($B1637),INT($B1637)-WEEKDAY($B1637,2)+1,"")</f>
        <v/>
      </c>
      <c r="I1637" s="24" t="n"/>
      <c r="J1637" s="22">
        <f t="array" ref="J1637">IF($D1637="","",IF($I1637="","(trống REF)",IFERROR(INDEX(MASTER_SOURCE!$B$2:$B$495,MATCH($I1637,MASTER_SOURCE!$A$2:$A$495,0)),"(REF không có trong MASTER_SOURCE)")))</f>
        <v/>
      </c>
      <c r="K1637" s="22">
        <f t="array" ref="K1637">IF($D1637="","",IFERROR(INDEX(MASTER_SOURCE!$C$2:$C$495,MATCH($I1637,MASTER_SOURCE!$A$2:$A$495,0)),""))</f>
        <v/>
      </c>
      <c r="L1637" s="22">
        <f t="array" ref="L1637">IF($D1637="","",IFERROR(INDEX(MASTER_SOURCE!$D$2:$D$495,MATCH($I1637,MASTER_SOURCE!$A$2:$A$495,0)),""))</f>
        <v/>
      </c>
      <c r="M1637" s="24" t="n"/>
      <c r="N1637" s="24" t="n"/>
      <c r="O1637" s="24" t="n"/>
      <c r="P1637" s="24" t="n"/>
      <c r="Q1637" s="22">
        <f>IF($D1637="","",IF(AND(OR(DANH_MUC!$L$5&lt;&gt;"Có",M1637="Có"),OR(DANH_MUC!$L$6&lt;&gt;"Có",N1637="Có"),OR(DANH_MUC!$L$7&lt;&gt;"Có",O1637="Có"),OR(DANH_MUC!$L$8&lt;&gt;"Có",P1637="Có")),"Có","Không"))</f>
        <v/>
      </c>
      <c r="R1637" s="22">
        <f>IF($D1637="","",IF(COUNTIF($D$2:$D1637,$D1637)&gt;1,"Trùng",""))</f>
        <v/>
      </c>
      <c r="S1637" s="22">
        <f>IF($D1637="","",IF(AND(LEN($D1637)=10,LEFT($D1637,1)="0",ISNUMBER(--$D1637)),"Có","Không"))</f>
        <v/>
      </c>
      <c r="T1637" s="22">
        <f>IF($D1637="","",IF(AND($C1637&lt;&gt;"",$Q1637="Có",$R1637="",$S1637="Có",AND($L1637&lt;&gt;"",OR($L1637&lt;&gt;"Chưa xác định",DANH_MUC!$L$9="Có"))),"Có","Không"))</f>
        <v/>
      </c>
      <c r="U1637" s="22">
        <f>IF(OR($D1637="",$T1637="Có"),"",IF($C1637="","Thiếu họ tên; ","")&amp;IF($S1637&lt;&gt;"Có","SĐT sai định dạng; ","")&amp;IF($R1637="Trùng","Trùng SĐT; ","")&amp;IF($Q1637&lt;&gt;"Có","Thiếu đồng ý bắt buộc; ","")&amp;IF($L1637="","Thiếu/sai Mã REF; ",IF(AND($L1637="Chưa xác định",DANH_MUC!$L$9&lt;&gt;"Có"),"Nguồn chưa xác định; ","")))</f>
        <v/>
      </c>
      <c r="V1637" s="22">
        <f>IF(OR($D1637="",$R1637="Trùng"),"",IF(COUNTIF(ORDERS!$C$2:$C$4995,$D1637)&gt;0,"Có","Không"))</f>
        <v/>
      </c>
      <c r="W1637" s="22">
        <f>IF(OR($D1637="",$R1637="Trùng"),"",COUNTIFS(ORDERS!$C$2:$C$4995,$D1637,ORDERS!$L$2:$L$4995,"Đã chuyển khoản"))</f>
        <v/>
      </c>
      <c r="X1637" s="23">
        <f>IF(OR($D1637="",$R1637="Trùng"),"",SUMIFS(ORDERS!$J$2:$J$4995,ORDERS!$C$2:$C$4995,$D1637,ORDERS!$L$2:$L$4995,"Đã chuyển khoản"))</f>
        <v/>
      </c>
      <c r="Y1637" s="24" t="n"/>
    </row>
    <row r="1638" ht="14.25" customHeight="1" s="40">
      <c r="A1638" s="24" t="n"/>
      <c r="B1638" s="27" t="n"/>
      <c r="C1638" s="24" t="n"/>
      <c r="D1638" s="28" t="n"/>
      <c r="E1638" s="29" t="n"/>
      <c r="F1638" s="24" t="n"/>
      <c r="G1638" s="24" t="n"/>
      <c r="H1638" s="21">
        <f>IF(ISNUMBER($B1638),INT($B1638)-WEEKDAY($B1638,2)+1,"")</f>
        <v/>
      </c>
      <c r="I1638" s="24" t="n"/>
      <c r="J1638" s="22">
        <f t="array" ref="J1638">IF($D1638="","",IF($I1638="","(trống REF)",IFERROR(INDEX(MASTER_SOURCE!$B$2:$B$495,MATCH($I1638,MASTER_SOURCE!$A$2:$A$495,0)),"(REF không có trong MASTER_SOURCE)")))</f>
        <v/>
      </c>
      <c r="K1638" s="22">
        <f t="array" ref="K1638">IF($D1638="","",IFERROR(INDEX(MASTER_SOURCE!$C$2:$C$495,MATCH($I1638,MASTER_SOURCE!$A$2:$A$495,0)),""))</f>
        <v/>
      </c>
      <c r="L1638" s="22">
        <f t="array" ref="L1638">IF($D1638="","",IFERROR(INDEX(MASTER_SOURCE!$D$2:$D$495,MATCH($I1638,MASTER_SOURCE!$A$2:$A$495,0)),""))</f>
        <v/>
      </c>
      <c r="M1638" s="24" t="n"/>
      <c r="N1638" s="24" t="n"/>
      <c r="O1638" s="24" t="n"/>
      <c r="P1638" s="24" t="n"/>
      <c r="Q1638" s="22">
        <f>IF($D1638="","",IF(AND(OR(DANH_MUC!$L$5&lt;&gt;"Có",M1638="Có"),OR(DANH_MUC!$L$6&lt;&gt;"Có",N1638="Có"),OR(DANH_MUC!$L$7&lt;&gt;"Có",O1638="Có"),OR(DANH_MUC!$L$8&lt;&gt;"Có",P1638="Có")),"Có","Không"))</f>
        <v/>
      </c>
      <c r="R1638" s="22">
        <f>IF($D1638="","",IF(COUNTIF($D$2:$D1638,$D1638)&gt;1,"Trùng",""))</f>
        <v/>
      </c>
      <c r="S1638" s="22">
        <f>IF($D1638="","",IF(AND(LEN($D1638)=10,LEFT($D1638,1)="0",ISNUMBER(--$D1638)),"Có","Không"))</f>
        <v/>
      </c>
      <c r="T1638" s="22">
        <f>IF($D1638="","",IF(AND($C1638&lt;&gt;"",$Q1638="Có",$R1638="",$S1638="Có",AND($L1638&lt;&gt;"",OR($L1638&lt;&gt;"Chưa xác định",DANH_MUC!$L$9="Có"))),"Có","Không"))</f>
        <v/>
      </c>
      <c r="U1638" s="22">
        <f>IF(OR($D1638="",$T1638="Có"),"",IF($C1638="","Thiếu họ tên; ","")&amp;IF($S1638&lt;&gt;"Có","SĐT sai định dạng; ","")&amp;IF($R1638="Trùng","Trùng SĐT; ","")&amp;IF($Q1638&lt;&gt;"Có","Thiếu đồng ý bắt buộc; ","")&amp;IF($L1638="","Thiếu/sai Mã REF; ",IF(AND($L1638="Chưa xác định",DANH_MUC!$L$9&lt;&gt;"Có"),"Nguồn chưa xác định; ","")))</f>
        <v/>
      </c>
      <c r="V1638" s="22">
        <f>IF(OR($D1638="",$R1638="Trùng"),"",IF(COUNTIF(ORDERS!$C$2:$C$4995,$D1638)&gt;0,"Có","Không"))</f>
        <v/>
      </c>
      <c r="W1638" s="22">
        <f>IF(OR($D1638="",$R1638="Trùng"),"",COUNTIFS(ORDERS!$C$2:$C$4995,$D1638,ORDERS!$L$2:$L$4995,"Đã chuyển khoản"))</f>
        <v/>
      </c>
      <c r="X1638" s="23">
        <f>IF(OR($D1638="",$R1638="Trùng"),"",SUMIFS(ORDERS!$J$2:$J$4995,ORDERS!$C$2:$C$4995,$D1638,ORDERS!$L$2:$L$4995,"Đã chuyển khoản"))</f>
        <v/>
      </c>
      <c r="Y1638" s="24" t="n"/>
    </row>
    <row r="1639" ht="14.25" customHeight="1" s="40">
      <c r="A1639" s="24" t="n"/>
      <c r="B1639" s="27" t="n"/>
      <c r="C1639" s="24" t="n"/>
      <c r="D1639" s="28" t="n"/>
      <c r="E1639" s="29" t="n"/>
      <c r="F1639" s="24" t="n"/>
      <c r="G1639" s="24" t="n"/>
      <c r="H1639" s="21">
        <f>IF(ISNUMBER($B1639),INT($B1639)-WEEKDAY($B1639,2)+1,"")</f>
        <v/>
      </c>
      <c r="I1639" s="24" t="n"/>
      <c r="J1639" s="22">
        <f t="array" ref="J1639">IF($D1639="","",IF($I1639="","(trống REF)",IFERROR(INDEX(MASTER_SOURCE!$B$2:$B$495,MATCH($I1639,MASTER_SOURCE!$A$2:$A$495,0)),"(REF không có trong MASTER_SOURCE)")))</f>
        <v/>
      </c>
      <c r="K1639" s="22">
        <f t="array" ref="K1639">IF($D1639="","",IFERROR(INDEX(MASTER_SOURCE!$C$2:$C$495,MATCH($I1639,MASTER_SOURCE!$A$2:$A$495,0)),""))</f>
        <v/>
      </c>
      <c r="L1639" s="22">
        <f t="array" ref="L1639">IF($D1639="","",IFERROR(INDEX(MASTER_SOURCE!$D$2:$D$495,MATCH($I1639,MASTER_SOURCE!$A$2:$A$495,0)),""))</f>
        <v/>
      </c>
      <c r="M1639" s="24" t="n"/>
      <c r="N1639" s="24" t="n"/>
      <c r="O1639" s="24" t="n"/>
      <c r="P1639" s="24" t="n"/>
      <c r="Q1639" s="22">
        <f>IF($D1639="","",IF(AND(OR(DANH_MUC!$L$5&lt;&gt;"Có",M1639="Có"),OR(DANH_MUC!$L$6&lt;&gt;"Có",N1639="Có"),OR(DANH_MUC!$L$7&lt;&gt;"Có",O1639="Có"),OR(DANH_MUC!$L$8&lt;&gt;"Có",P1639="Có")),"Có","Không"))</f>
        <v/>
      </c>
      <c r="R1639" s="22">
        <f>IF($D1639="","",IF(COUNTIF($D$2:$D1639,$D1639)&gt;1,"Trùng",""))</f>
        <v/>
      </c>
      <c r="S1639" s="22">
        <f>IF($D1639="","",IF(AND(LEN($D1639)=10,LEFT($D1639,1)="0",ISNUMBER(--$D1639)),"Có","Không"))</f>
        <v/>
      </c>
      <c r="T1639" s="22">
        <f>IF($D1639="","",IF(AND($C1639&lt;&gt;"",$Q1639="Có",$R1639="",$S1639="Có",AND($L1639&lt;&gt;"",OR($L1639&lt;&gt;"Chưa xác định",DANH_MUC!$L$9="Có"))),"Có","Không"))</f>
        <v/>
      </c>
      <c r="U1639" s="22">
        <f>IF(OR($D1639="",$T1639="Có"),"",IF($C1639="","Thiếu họ tên; ","")&amp;IF($S1639&lt;&gt;"Có","SĐT sai định dạng; ","")&amp;IF($R1639="Trùng","Trùng SĐT; ","")&amp;IF($Q1639&lt;&gt;"Có","Thiếu đồng ý bắt buộc; ","")&amp;IF($L1639="","Thiếu/sai Mã REF; ",IF(AND($L1639="Chưa xác định",DANH_MUC!$L$9&lt;&gt;"Có"),"Nguồn chưa xác định; ","")))</f>
        <v/>
      </c>
      <c r="V1639" s="22">
        <f>IF(OR($D1639="",$R1639="Trùng"),"",IF(COUNTIF(ORDERS!$C$2:$C$4995,$D1639)&gt;0,"Có","Không"))</f>
        <v/>
      </c>
      <c r="W1639" s="22">
        <f>IF(OR($D1639="",$R1639="Trùng"),"",COUNTIFS(ORDERS!$C$2:$C$4995,$D1639,ORDERS!$L$2:$L$4995,"Đã chuyển khoản"))</f>
        <v/>
      </c>
      <c r="X1639" s="23">
        <f>IF(OR($D1639="",$R1639="Trùng"),"",SUMIFS(ORDERS!$J$2:$J$4995,ORDERS!$C$2:$C$4995,$D1639,ORDERS!$L$2:$L$4995,"Đã chuyển khoản"))</f>
        <v/>
      </c>
      <c r="Y1639" s="24" t="n"/>
    </row>
    <row r="1640" ht="14.25" customHeight="1" s="40">
      <c r="A1640" s="24" t="n"/>
      <c r="B1640" s="27" t="n"/>
      <c r="C1640" s="24" t="n"/>
      <c r="D1640" s="28" t="n"/>
      <c r="E1640" s="29" t="n"/>
      <c r="F1640" s="24" t="n"/>
      <c r="G1640" s="24" t="n"/>
      <c r="H1640" s="21">
        <f>IF(ISNUMBER($B1640),INT($B1640)-WEEKDAY($B1640,2)+1,"")</f>
        <v/>
      </c>
      <c r="I1640" s="24" t="n"/>
      <c r="J1640" s="22">
        <f t="array" ref="J1640">IF($D1640="","",IF($I1640="","(trống REF)",IFERROR(INDEX(MASTER_SOURCE!$B$2:$B$495,MATCH($I1640,MASTER_SOURCE!$A$2:$A$495,0)),"(REF không có trong MASTER_SOURCE)")))</f>
        <v/>
      </c>
      <c r="K1640" s="22">
        <f t="array" ref="K1640">IF($D1640="","",IFERROR(INDEX(MASTER_SOURCE!$C$2:$C$495,MATCH($I1640,MASTER_SOURCE!$A$2:$A$495,0)),""))</f>
        <v/>
      </c>
      <c r="L1640" s="22">
        <f t="array" ref="L1640">IF($D1640="","",IFERROR(INDEX(MASTER_SOURCE!$D$2:$D$495,MATCH($I1640,MASTER_SOURCE!$A$2:$A$495,0)),""))</f>
        <v/>
      </c>
      <c r="M1640" s="24" t="n"/>
      <c r="N1640" s="24" t="n"/>
      <c r="O1640" s="24" t="n"/>
      <c r="P1640" s="24" t="n"/>
      <c r="Q1640" s="22">
        <f>IF($D1640="","",IF(AND(OR(DANH_MUC!$L$5&lt;&gt;"Có",M1640="Có"),OR(DANH_MUC!$L$6&lt;&gt;"Có",N1640="Có"),OR(DANH_MUC!$L$7&lt;&gt;"Có",O1640="Có"),OR(DANH_MUC!$L$8&lt;&gt;"Có",P1640="Có")),"Có","Không"))</f>
        <v/>
      </c>
      <c r="R1640" s="22">
        <f>IF($D1640="","",IF(COUNTIF($D$2:$D1640,$D1640)&gt;1,"Trùng",""))</f>
        <v/>
      </c>
      <c r="S1640" s="22">
        <f>IF($D1640="","",IF(AND(LEN($D1640)=10,LEFT($D1640,1)="0",ISNUMBER(--$D1640)),"Có","Không"))</f>
        <v/>
      </c>
      <c r="T1640" s="22">
        <f>IF($D1640="","",IF(AND($C1640&lt;&gt;"",$Q1640="Có",$R1640="",$S1640="Có",AND($L1640&lt;&gt;"",OR($L1640&lt;&gt;"Chưa xác định",DANH_MUC!$L$9="Có"))),"Có","Không"))</f>
        <v/>
      </c>
      <c r="U1640" s="22">
        <f>IF(OR($D1640="",$T1640="Có"),"",IF($C1640="","Thiếu họ tên; ","")&amp;IF($S1640&lt;&gt;"Có","SĐT sai định dạng; ","")&amp;IF($R1640="Trùng","Trùng SĐT; ","")&amp;IF($Q1640&lt;&gt;"Có","Thiếu đồng ý bắt buộc; ","")&amp;IF($L1640="","Thiếu/sai Mã REF; ",IF(AND($L1640="Chưa xác định",DANH_MUC!$L$9&lt;&gt;"Có"),"Nguồn chưa xác định; ","")))</f>
        <v/>
      </c>
      <c r="V1640" s="22">
        <f>IF(OR($D1640="",$R1640="Trùng"),"",IF(COUNTIF(ORDERS!$C$2:$C$4995,$D1640)&gt;0,"Có","Không"))</f>
        <v/>
      </c>
      <c r="W1640" s="22">
        <f>IF(OR($D1640="",$R1640="Trùng"),"",COUNTIFS(ORDERS!$C$2:$C$4995,$D1640,ORDERS!$L$2:$L$4995,"Đã chuyển khoản"))</f>
        <v/>
      </c>
      <c r="X1640" s="23">
        <f>IF(OR($D1640="",$R1640="Trùng"),"",SUMIFS(ORDERS!$J$2:$J$4995,ORDERS!$C$2:$C$4995,$D1640,ORDERS!$L$2:$L$4995,"Đã chuyển khoản"))</f>
        <v/>
      </c>
      <c r="Y1640" s="24" t="n"/>
    </row>
    <row r="1641" ht="14.25" customHeight="1" s="40">
      <c r="A1641" s="24" t="n"/>
      <c r="B1641" s="27" t="n"/>
      <c r="C1641" s="24" t="n"/>
      <c r="D1641" s="28" t="n"/>
      <c r="E1641" s="29" t="n"/>
      <c r="F1641" s="24" t="n"/>
      <c r="G1641" s="24" t="n"/>
      <c r="H1641" s="21">
        <f>IF(ISNUMBER($B1641),INT($B1641)-WEEKDAY($B1641,2)+1,"")</f>
        <v/>
      </c>
      <c r="I1641" s="24" t="n"/>
      <c r="J1641" s="22">
        <f t="array" ref="J1641">IF($D1641="","",IF($I1641="","(trống REF)",IFERROR(INDEX(MASTER_SOURCE!$B$2:$B$495,MATCH($I1641,MASTER_SOURCE!$A$2:$A$495,0)),"(REF không có trong MASTER_SOURCE)")))</f>
        <v/>
      </c>
      <c r="K1641" s="22">
        <f t="array" ref="K1641">IF($D1641="","",IFERROR(INDEX(MASTER_SOURCE!$C$2:$C$495,MATCH($I1641,MASTER_SOURCE!$A$2:$A$495,0)),""))</f>
        <v/>
      </c>
      <c r="L1641" s="22">
        <f t="array" ref="L1641">IF($D1641="","",IFERROR(INDEX(MASTER_SOURCE!$D$2:$D$495,MATCH($I1641,MASTER_SOURCE!$A$2:$A$495,0)),""))</f>
        <v/>
      </c>
      <c r="M1641" s="24" t="n"/>
      <c r="N1641" s="24" t="n"/>
      <c r="O1641" s="24" t="n"/>
      <c r="P1641" s="24" t="n"/>
      <c r="Q1641" s="22">
        <f>IF($D1641="","",IF(AND(OR(DANH_MUC!$L$5&lt;&gt;"Có",M1641="Có"),OR(DANH_MUC!$L$6&lt;&gt;"Có",N1641="Có"),OR(DANH_MUC!$L$7&lt;&gt;"Có",O1641="Có"),OR(DANH_MUC!$L$8&lt;&gt;"Có",P1641="Có")),"Có","Không"))</f>
        <v/>
      </c>
      <c r="R1641" s="22">
        <f>IF($D1641="","",IF(COUNTIF($D$2:$D1641,$D1641)&gt;1,"Trùng",""))</f>
        <v/>
      </c>
      <c r="S1641" s="22">
        <f>IF($D1641="","",IF(AND(LEN($D1641)=10,LEFT($D1641,1)="0",ISNUMBER(--$D1641)),"Có","Không"))</f>
        <v/>
      </c>
      <c r="T1641" s="22">
        <f>IF($D1641="","",IF(AND($C1641&lt;&gt;"",$Q1641="Có",$R1641="",$S1641="Có",AND($L1641&lt;&gt;"",OR($L1641&lt;&gt;"Chưa xác định",DANH_MUC!$L$9="Có"))),"Có","Không"))</f>
        <v/>
      </c>
      <c r="U1641" s="22">
        <f>IF(OR($D1641="",$T1641="Có"),"",IF($C1641="","Thiếu họ tên; ","")&amp;IF($S1641&lt;&gt;"Có","SĐT sai định dạng; ","")&amp;IF($R1641="Trùng","Trùng SĐT; ","")&amp;IF($Q1641&lt;&gt;"Có","Thiếu đồng ý bắt buộc; ","")&amp;IF($L1641="","Thiếu/sai Mã REF; ",IF(AND($L1641="Chưa xác định",DANH_MUC!$L$9&lt;&gt;"Có"),"Nguồn chưa xác định; ","")))</f>
        <v/>
      </c>
      <c r="V1641" s="22">
        <f>IF(OR($D1641="",$R1641="Trùng"),"",IF(COUNTIF(ORDERS!$C$2:$C$4995,$D1641)&gt;0,"Có","Không"))</f>
        <v/>
      </c>
      <c r="W1641" s="22">
        <f>IF(OR($D1641="",$R1641="Trùng"),"",COUNTIFS(ORDERS!$C$2:$C$4995,$D1641,ORDERS!$L$2:$L$4995,"Đã chuyển khoản"))</f>
        <v/>
      </c>
      <c r="X1641" s="23">
        <f>IF(OR($D1641="",$R1641="Trùng"),"",SUMIFS(ORDERS!$J$2:$J$4995,ORDERS!$C$2:$C$4995,$D1641,ORDERS!$L$2:$L$4995,"Đã chuyển khoản"))</f>
        <v/>
      </c>
      <c r="Y1641" s="24" t="n"/>
    </row>
    <row r="1642" ht="14.25" customHeight="1" s="40">
      <c r="A1642" s="24" t="n"/>
      <c r="B1642" s="27" t="n"/>
      <c r="C1642" s="24" t="n"/>
      <c r="D1642" s="28" t="n"/>
      <c r="E1642" s="29" t="n"/>
      <c r="F1642" s="24" t="n"/>
      <c r="G1642" s="24" t="n"/>
      <c r="H1642" s="21">
        <f>IF(ISNUMBER($B1642),INT($B1642)-WEEKDAY($B1642,2)+1,"")</f>
        <v/>
      </c>
      <c r="I1642" s="24" t="n"/>
      <c r="J1642" s="22">
        <f t="array" ref="J1642">IF($D1642="","",IF($I1642="","(trống REF)",IFERROR(INDEX(MASTER_SOURCE!$B$2:$B$495,MATCH($I1642,MASTER_SOURCE!$A$2:$A$495,0)),"(REF không có trong MASTER_SOURCE)")))</f>
        <v/>
      </c>
      <c r="K1642" s="22">
        <f t="array" ref="K1642">IF($D1642="","",IFERROR(INDEX(MASTER_SOURCE!$C$2:$C$495,MATCH($I1642,MASTER_SOURCE!$A$2:$A$495,0)),""))</f>
        <v/>
      </c>
      <c r="L1642" s="22">
        <f t="array" ref="L1642">IF($D1642="","",IFERROR(INDEX(MASTER_SOURCE!$D$2:$D$495,MATCH($I1642,MASTER_SOURCE!$A$2:$A$495,0)),""))</f>
        <v/>
      </c>
      <c r="M1642" s="24" t="n"/>
      <c r="N1642" s="24" t="n"/>
      <c r="O1642" s="24" t="n"/>
      <c r="P1642" s="24" t="n"/>
      <c r="Q1642" s="22">
        <f>IF($D1642="","",IF(AND(OR(DANH_MUC!$L$5&lt;&gt;"Có",M1642="Có"),OR(DANH_MUC!$L$6&lt;&gt;"Có",N1642="Có"),OR(DANH_MUC!$L$7&lt;&gt;"Có",O1642="Có"),OR(DANH_MUC!$L$8&lt;&gt;"Có",P1642="Có")),"Có","Không"))</f>
        <v/>
      </c>
      <c r="R1642" s="22">
        <f>IF($D1642="","",IF(COUNTIF($D$2:$D1642,$D1642)&gt;1,"Trùng",""))</f>
        <v/>
      </c>
      <c r="S1642" s="22">
        <f>IF($D1642="","",IF(AND(LEN($D1642)=10,LEFT($D1642,1)="0",ISNUMBER(--$D1642)),"Có","Không"))</f>
        <v/>
      </c>
      <c r="T1642" s="22">
        <f>IF($D1642="","",IF(AND($C1642&lt;&gt;"",$Q1642="Có",$R1642="",$S1642="Có",AND($L1642&lt;&gt;"",OR($L1642&lt;&gt;"Chưa xác định",DANH_MUC!$L$9="Có"))),"Có","Không"))</f>
        <v/>
      </c>
      <c r="U1642" s="22">
        <f>IF(OR($D1642="",$T1642="Có"),"",IF($C1642="","Thiếu họ tên; ","")&amp;IF($S1642&lt;&gt;"Có","SĐT sai định dạng; ","")&amp;IF($R1642="Trùng","Trùng SĐT; ","")&amp;IF($Q1642&lt;&gt;"Có","Thiếu đồng ý bắt buộc; ","")&amp;IF($L1642="","Thiếu/sai Mã REF; ",IF(AND($L1642="Chưa xác định",DANH_MUC!$L$9&lt;&gt;"Có"),"Nguồn chưa xác định; ","")))</f>
        <v/>
      </c>
      <c r="V1642" s="22">
        <f>IF(OR($D1642="",$R1642="Trùng"),"",IF(COUNTIF(ORDERS!$C$2:$C$4995,$D1642)&gt;0,"Có","Không"))</f>
        <v/>
      </c>
      <c r="W1642" s="22">
        <f>IF(OR($D1642="",$R1642="Trùng"),"",COUNTIFS(ORDERS!$C$2:$C$4995,$D1642,ORDERS!$L$2:$L$4995,"Đã chuyển khoản"))</f>
        <v/>
      </c>
      <c r="X1642" s="23">
        <f>IF(OR($D1642="",$R1642="Trùng"),"",SUMIFS(ORDERS!$J$2:$J$4995,ORDERS!$C$2:$C$4995,$D1642,ORDERS!$L$2:$L$4995,"Đã chuyển khoản"))</f>
        <v/>
      </c>
      <c r="Y1642" s="24" t="n"/>
    </row>
    <row r="1643" ht="14.25" customHeight="1" s="40">
      <c r="A1643" s="24" t="n"/>
      <c r="B1643" s="27" t="n"/>
      <c r="C1643" s="24" t="n"/>
      <c r="D1643" s="28" t="n"/>
      <c r="E1643" s="29" t="n"/>
      <c r="F1643" s="24" t="n"/>
      <c r="G1643" s="24" t="n"/>
      <c r="H1643" s="21">
        <f>IF(ISNUMBER($B1643),INT($B1643)-WEEKDAY($B1643,2)+1,"")</f>
        <v/>
      </c>
      <c r="I1643" s="24" t="n"/>
      <c r="J1643" s="22">
        <f t="array" ref="J1643">IF($D1643="","",IF($I1643="","(trống REF)",IFERROR(INDEX(MASTER_SOURCE!$B$2:$B$495,MATCH($I1643,MASTER_SOURCE!$A$2:$A$495,0)),"(REF không có trong MASTER_SOURCE)")))</f>
        <v/>
      </c>
      <c r="K1643" s="22">
        <f t="array" ref="K1643">IF($D1643="","",IFERROR(INDEX(MASTER_SOURCE!$C$2:$C$495,MATCH($I1643,MASTER_SOURCE!$A$2:$A$495,0)),""))</f>
        <v/>
      </c>
      <c r="L1643" s="22">
        <f t="array" ref="L1643">IF($D1643="","",IFERROR(INDEX(MASTER_SOURCE!$D$2:$D$495,MATCH($I1643,MASTER_SOURCE!$A$2:$A$495,0)),""))</f>
        <v/>
      </c>
      <c r="M1643" s="24" t="n"/>
      <c r="N1643" s="24" t="n"/>
      <c r="O1643" s="24" t="n"/>
      <c r="P1643" s="24" t="n"/>
      <c r="Q1643" s="22">
        <f>IF($D1643="","",IF(AND(OR(DANH_MUC!$L$5&lt;&gt;"Có",M1643="Có"),OR(DANH_MUC!$L$6&lt;&gt;"Có",N1643="Có"),OR(DANH_MUC!$L$7&lt;&gt;"Có",O1643="Có"),OR(DANH_MUC!$L$8&lt;&gt;"Có",P1643="Có")),"Có","Không"))</f>
        <v/>
      </c>
      <c r="R1643" s="22">
        <f>IF($D1643="","",IF(COUNTIF($D$2:$D1643,$D1643)&gt;1,"Trùng",""))</f>
        <v/>
      </c>
      <c r="S1643" s="22">
        <f>IF($D1643="","",IF(AND(LEN($D1643)=10,LEFT($D1643,1)="0",ISNUMBER(--$D1643)),"Có","Không"))</f>
        <v/>
      </c>
      <c r="T1643" s="22">
        <f>IF($D1643="","",IF(AND($C1643&lt;&gt;"",$Q1643="Có",$R1643="",$S1643="Có",AND($L1643&lt;&gt;"",OR($L1643&lt;&gt;"Chưa xác định",DANH_MUC!$L$9="Có"))),"Có","Không"))</f>
        <v/>
      </c>
      <c r="U1643" s="22">
        <f>IF(OR($D1643="",$T1643="Có"),"",IF($C1643="","Thiếu họ tên; ","")&amp;IF($S1643&lt;&gt;"Có","SĐT sai định dạng; ","")&amp;IF($R1643="Trùng","Trùng SĐT; ","")&amp;IF($Q1643&lt;&gt;"Có","Thiếu đồng ý bắt buộc; ","")&amp;IF($L1643="","Thiếu/sai Mã REF; ",IF(AND($L1643="Chưa xác định",DANH_MUC!$L$9&lt;&gt;"Có"),"Nguồn chưa xác định; ","")))</f>
        <v/>
      </c>
      <c r="V1643" s="22">
        <f>IF(OR($D1643="",$R1643="Trùng"),"",IF(COUNTIF(ORDERS!$C$2:$C$4995,$D1643)&gt;0,"Có","Không"))</f>
        <v/>
      </c>
      <c r="W1643" s="22">
        <f>IF(OR($D1643="",$R1643="Trùng"),"",COUNTIFS(ORDERS!$C$2:$C$4995,$D1643,ORDERS!$L$2:$L$4995,"Đã chuyển khoản"))</f>
        <v/>
      </c>
      <c r="X1643" s="23">
        <f>IF(OR($D1643="",$R1643="Trùng"),"",SUMIFS(ORDERS!$J$2:$J$4995,ORDERS!$C$2:$C$4995,$D1643,ORDERS!$L$2:$L$4995,"Đã chuyển khoản"))</f>
        <v/>
      </c>
      <c r="Y1643" s="24" t="n"/>
    </row>
    <row r="1644" ht="14.25" customHeight="1" s="40">
      <c r="A1644" s="24" t="n"/>
      <c r="B1644" s="27" t="n"/>
      <c r="C1644" s="24" t="n"/>
      <c r="D1644" s="28" t="n"/>
      <c r="E1644" s="29" t="n"/>
      <c r="F1644" s="24" t="n"/>
      <c r="G1644" s="24" t="n"/>
      <c r="H1644" s="21">
        <f>IF(ISNUMBER($B1644),INT($B1644)-WEEKDAY($B1644,2)+1,"")</f>
        <v/>
      </c>
      <c r="I1644" s="24" t="n"/>
      <c r="J1644" s="22">
        <f t="array" ref="J1644">IF($D1644="","",IF($I1644="","(trống REF)",IFERROR(INDEX(MASTER_SOURCE!$B$2:$B$495,MATCH($I1644,MASTER_SOURCE!$A$2:$A$495,0)),"(REF không có trong MASTER_SOURCE)")))</f>
        <v/>
      </c>
      <c r="K1644" s="22">
        <f t="array" ref="K1644">IF($D1644="","",IFERROR(INDEX(MASTER_SOURCE!$C$2:$C$495,MATCH($I1644,MASTER_SOURCE!$A$2:$A$495,0)),""))</f>
        <v/>
      </c>
      <c r="L1644" s="22">
        <f t="array" ref="L1644">IF($D1644="","",IFERROR(INDEX(MASTER_SOURCE!$D$2:$D$495,MATCH($I1644,MASTER_SOURCE!$A$2:$A$495,0)),""))</f>
        <v/>
      </c>
      <c r="M1644" s="24" t="n"/>
      <c r="N1644" s="24" t="n"/>
      <c r="O1644" s="24" t="n"/>
      <c r="P1644" s="24" t="n"/>
      <c r="Q1644" s="22">
        <f>IF($D1644="","",IF(AND(OR(DANH_MUC!$L$5&lt;&gt;"Có",M1644="Có"),OR(DANH_MUC!$L$6&lt;&gt;"Có",N1644="Có"),OR(DANH_MUC!$L$7&lt;&gt;"Có",O1644="Có"),OR(DANH_MUC!$L$8&lt;&gt;"Có",P1644="Có")),"Có","Không"))</f>
        <v/>
      </c>
      <c r="R1644" s="22">
        <f>IF($D1644="","",IF(COUNTIF($D$2:$D1644,$D1644)&gt;1,"Trùng",""))</f>
        <v/>
      </c>
      <c r="S1644" s="22">
        <f>IF($D1644="","",IF(AND(LEN($D1644)=10,LEFT($D1644,1)="0",ISNUMBER(--$D1644)),"Có","Không"))</f>
        <v/>
      </c>
      <c r="T1644" s="22">
        <f>IF($D1644="","",IF(AND($C1644&lt;&gt;"",$Q1644="Có",$R1644="",$S1644="Có",AND($L1644&lt;&gt;"",OR($L1644&lt;&gt;"Chưa xác định",DANH_MUC!$L$9="Có"))),"Có","Không"))</f>
        <v/>
      </c>
      <c r="U1644" s="22">
        <f>IF(OR($D1644="",$T1644="Có"),"",IF($C1644="","Thiếu họ tên; ","")&amp;IF($S1644&lt;&gt;"Có","SĐT sai định dạng; ","")&amp;IF($R1644="Trùng","Trùng SĐT; ","")&amp;IF($Q1644&lt;&gt;"Có","Thiếu đồng ý bắt buộc; ","")&amp;IF($L1644="","Thiếu/sai Mã REF; ",IF(AND($L1644="Chưa xác định",DANH_MUC!$L$9&lt;&gt;"Có"),"Nguồn chưa xác định; ","")))</f>
        <v/>
      </c>
      <c r="V1644" s="22">
        <f>IF(OR($D1644="",$R1644="Trùng"),"",IF(COUNTIF(ORDERS!$C$2:$C$4995,$D1644)&gt;0,"Có","Không"))</f>
        <v/>
      </c>
      <c r="W1644" s="22">
        <f>IF(OR($D1644="",$R1644="Trùng"),"",COUNTIFS(ORDERS!$C$2:$C$4995,$D1644,ORDERS!$L$2:$L$4995,"Đã chuyển khoản"))</f>
        <v/>
      </c>
      <c r="X1644" s="23">
        <f>IF(OR($D1644="",$R1644="Trùng"),"",SUMIFS(ORDERS!$J$2:$J$4995,ORDERS!$C$2:$C$4995,$D1644,ORDERS!$L$2:$L$4995,"Đã chuyển khoản"))</f>
        <v/>
      </c>
      <c r="Y1644" s="24" t="n"/>
    </row>
    <row r="1645" ht="14.25" customHeight="1" s="40">
      <c r="A1645" s="24" t="n"/>
      <c r="B1645" s="27" t="n"/>
      <c r="C1645" s="24" t="n"/>
      <c r="D1645" s="28" t="n"/>
      <c r="E1645" s="29" t="n"/>
      <c r="F1645" s="24" t="n"/>
      <c r="G1645" s="24" t="n"/>
      <c r="H1645" s="21">
        <f>IF(ISNUMBER($B1645),INT($B1645)-WEEKDAY($B1645,2)+1,"")</f>
        <v/>
      </c>
      <c r="I1645" s="24" t="n"/>
      <c r="J1645" s="22">
        <f t="array" ref="J1645">IF($D1645="","",IF($I1645="","(trống REF)",IFERROR(INDEX(MASTER_SOURCE!$B$2:$B$495,MATCH($I1645,MASTER_SOURCE!$A$2:$A$495,0)),"(REF không có trong MASTER_SOURCE)")))</f>
        <v/>
      </c>
      <c r="K1645" s="22">
        <f t="array" ref="K1645">IF($D1645="","",IFERROR(INDEX(MASTER_SOURCE!$C$2:$C$495,MATCH($I1645,MASTER_SOURCE!$A$2:$A$495,0)),""))</f>
        <v/>
      </c>
      <c r="L1645" s="22">
        <f t="array" ref="L1645">IF($D1645="","",IFERROR(INDEX(MASTER_SOURCE!$D$2:$D$495,MATCH($I1645,MASTER_SOURCE!$A$2:$A$495,0)),""))</f>
        <v/>
      </c>
      <c r="M1645" s="24" t="n"/>
      <c r="N1645" s="24" t="n"/>
      <c r="O1645" s="24" t="n"/>
      <c r="P1645" s="24" t="n"/>
      <c r="Q1645" s="22">
        <f>IF($D1645="","",IF(AND(OR(DANH_MUC!$L$5&lt;&gt;"Có",M1645="Có"),OR(DANH_MUC!$L$6&lt;&gt;"Có",N1645="Có"),OR(DANH_MUC!$L$7&lt;&gt;"Có",O1645="Có"),OR(DANH_MUC!$L$8&lt;&gt;"Có",P1645="Có")),"Có","Không"))</f>
        <v/>
      </c>
      <c r="R1645" s="22">
        <f>IF($D1645="","",IF(COUNTIF($D$2:$D1645,$D1645)&gt;1,"Trùng",""))</f>
        <v/>
      </c>
      <c r="S1645" s="22">
        <f>IF($D1645="","",IF(AND(LEN($D1645)=10,LEFT($D1645,1)="0",ISNUMBER(--$D1645)),"Có","Không"))</f>
        <v/>
      </c>
      <c r="T1645" s="22">
        <f>IF($D1645="","",IF(AND($C1645&lt;&gt;"",$Q1645="Có",$R1645="",$S1645="Có",AND($L1645&lt;&gt;"",OR($L1645&lt;&gt;"Chưa xác định",DANH_MUC!$L$9="Có"))),"Có","Không"))</f>
        <v/>
      </c>
      <c r="U1645" s="22">
        <f>IF(OR($D1645="",$T1645="Có"),"",IF($C1645="","Thiếu họ tên; ","")&amp;IF($S1645&lt;&gt;"Có","SĐT sai định dạng; ","")&amp;IF($R1645="Trùng","Trùng SĐT; ","")&amp;IF($Q1645&lt;&gt;"Có","Thiếu đồng ý bắt buộc; ","")&amp;IF($L1645="","Thiếu/sai Mã REF; ",IF(AND($L1645="Chưa xác định",DANH_MUC!$L$9&lt;&gt;"Có"),"Nguồn chưa xác định; ","")))</f>
        <v/>
      </c>
      <c r="V1645" s="22">
        <f>IF(OR($D1645="",$R1645="Trùng"),"",IF(COUNTIF(ORDERS!$C$2:$C$4995,$D1645)&gt;0,"Có","Không"))</f>
        <v/>
      </c>
      <c r="W1645" s="22">
        <f>IF(OR($D1645="",$R1645="Trùng"),"",COUNTIFS(ORDERS!$C$2:$C$4995,$D1645,ORDERS!$L$2:$L$4995,"Đã chuyển khoản"))</f>
        <v/>
      </c>
      <c r="X1645" s="23">
        <f>IF(OR($D1645="",$R1645="Trùng"),"",SUMIFS(ORDERS!$J$2:$J$4995,ORDERS!$C$2:$C$4995,$D1645,ORDERS!$L$2:$L$4995,"Đã chuyển khoản"))</f>
        <v/>
      </c>
      <c r="Y1645" s="24" t="n"/>
    </row>
    <row r="1646" ht="14.25" customHeight="1" s="40">
      <c r="A1646" s="24" t="n"/>
      <c r="B1646" s="27" t="n"/>
      <c r="C1646" s="24" t="n"/>
      <c r="D1646" s="28" t="n"/>
      <c r="E1646" s="29" t="n"/>
      <c r="F1646" s="24" t="n"/>
      <c r="G1646" s="24" t="n"/>
      <c r="H1646" s="21">
        <f>IF(ISNUMBER($B1646),INT($B1646)-WEEKDAY($B1646,2)+1,"")</f>
        <v/>
      </c>
      <c r="I1646" s="24" t="n"/>
      <c r="J1646" s="22">
        <f t="array" ref="J1646">IF($D1646="","",IF($I1646="","(trống REF)",IFERROR(INDEX(MASTER_SOURCE!$B$2:$B$495,MATCH($I1646,MASTER_SOURCE!$A$2:$A$495,0)),"(REF không có trong MASTER_SOURCE)")))</f>
        <v/>
      </c>
      <c r="K1646" s="22">
        <f t="array" ref="K1646">IF($D1646="","",IFERROR(INDEX(MASTER_SOURCE!$C$2:$C$495,MATCH($I1646,MASTER_SOURCE!$A$2:$A$495,0)),""))</f>
        <v/>
      </c>
      <c r="L1646" s="22">
        <f t="array" ref="L1646">IF($D1646="","",IFERROR(INDEX(MASTER_SOURCE!$D$2:$D$495,MATCH($I1646,MASTER_SOURCE!$A$2:$A$495,0)),""))</f>
        <v/>
      </c>
      <c r="M1646" s="24" t="n"/>
      <c r="N1646" s="24" t="n"/>
      <c r="O1646" s="24" t="n"/>
      <c r="P1646" s="24" t="n"/>
      <c r="Q1646" s="22">
        <f>IF($D1646="","",IF(AND(OR(DANH_MUC!$L$5&lt;&gt;"Có",M1646="Có"),OR(DANH_MUC!$L$6&lt;&gt;"Có",N1646="Có"),OR(DANH_MUC!$L$7&lt;&gt;"Có",O1646="Có"),OR(DANH_MUC!$L$8&lt;&gt;"Có",P1646="Có")),"Có","Không"))</f>
        <v/>
      </c>
      <c r="R1646" s="22">
        <f>IF($D1646="","",IF(COUNTIF($D$2:$D1646,$D1646)&gt;1,"Trùng",""))</f>
        <v/>
      </c>
      <c r="S1646" s="22">
        <f>IF($D1646="","",IF(AND(LEN($D1646)=10,LEFT($D1646,1)="0",ISNUMBER(--$D1646)),"Có","Không"))</f>
        <v/>
      </c>
      <c r="T1646" s="22">
        <f>IF($D1646="","",IF(AND($C1646&lt;&gt;"",$Q1646="Có",$R1646="",$S1646="Có",AND($L1646&lt;&gt;"",OR($L1646&lt;&gt;"Chưa xác định",DANH_MUC!$L$9="Có"))),"Có","Không"))</f>
        <v/>
      </c>
      <c r="U1646" s="22">
        <f>IF(OR($D1646="",$T1646="Có"),"",IF($C1646="","Thiếu họ tên; ","")&amp;IF($S1646&lt;&gt;"Có","SĐT sai định dạng; ","")&amp;IF($R1646="Trùng","Trùng SĐT; ","")&amp;IF($Q1646&lt;&gt;"Có","Thiếu đồng ý bắt buộc; ","")&amp;IF($L1646="","Thiếu/sai Mã REF; ",IF(AND($L1646="Chưa xác định",DANH_MUC!$L$9&lt;&gt;"Có"),"Nguồn chưa xác định; ","")))</f>
        <v/>
      </c>
      <c r="V1646" s="22">
        <f>IF(OR($D1646="",$R1646="Trùng"),"",IF(COUNTIF(ORDERS!$C$2:$C$4995,$D1646)&gt;0,"Có","Không"))</f>
        <v/>
      </c>
      <c r="W1646" s="22">
        <f>IF(OR($D1646="",$R1646="Trùng"),"",COUNTIFS(ORDERS!$C$2:$C$4995,$D1646,ORDERS!$L$2:$L$4995,"Đã chuyển khoản"))</f>
        <v/>
      </c>
      <c r="X1646" s="23">
        <f>IF(OR($D1646="",$R1646="Trùng"),"",SUMIFS(ORDERS!$J$2:$J$4995,ORDERS!$C$2:$C$4995,$D1646,ORDERS!$L$2:$L$4995,"Đã chuyển khoản"))</f>
        <v/>
      </c>
      <c r="Y1646" s="24" t="n"/>
    </row>
    <row r="1647" ht="14.25" customHeight="1" s="40">
      <c r="A1647" s="24" t="n"/>
      <c r="B1647" s="27" t="n"/>
      <c r="C1647" s="24" t="n"/>
      <c r="D1647" s="28" t="n"/>
      <c r="E1647" s="29" t="n"/>
      <c r="F1647" s="24" t="n"/>
      <c r="G1647" s="24" t="n"/>
      <c r="H1647" s="21">
        <f>IF(ISNUMBER($B1647),INT($B1647)-WEEKDAY($B1647,2)+1,"")</f>
        <v/>
      </c>
      <c r="I1647" s="24" t="n"/>
      <c r="J1647" s="22">
        <f t="array" ref="J1647">IF($D1647="","",IF($I1647="","(trống REF)",IFERROR(INDEX(MASTER_SOURCE!$B$2:$B$495,MATCH($I1647,MASTER_SOURCE!$A$2:$A$495,0)),"(REF không có trong MASTER_SOURCE)")))</f>
        <v/>
      </c>
      <c r="K1647" s="22">
        <f t="array" ref="K1647">IF($D1647="","",IFERROR(INDEX(MASTER_SOURCE!$C$2:$C$495,MATCH($I1647,MASTER_SOURCE!$A$2:$A$495,0)),""))</f>
        <v/>
      </c>
      <c r="L1647" s="22">
        <f t="array" ref="L1647">IF($D1647="","",IFERROR(INDEX(MASTER_SOURCE!$D$2:$D$495,MATCH($I1647,MASTER_SOURCE!$A$2:$A$495,0)),""))</f>
        <v/>
      </c>
      <c r="M1647" s="24" t="n"/>
      <c r="N1647" s="24" t="n"/>
      <c r="O1647" s="24" t="n"/>
      <c r="P1647" s="24" t="n"/>
      <c r="Q1647" s="22">
        <f>IF($D1647="","",IF(AND(OR(DANH_MUC!$L$5&lt;&gt;"Có",M1647="Có"),OR(DANH_MUC!$L$6&lt;&gt;"Có",N1647="Có"),OR(DANH_MUC!$L$7&lt;&gt;"Có",O1647="Có"),OR(DANH_MUC!$L$8&lt;&gt;"Có",P1647="Có")),"Có","Không"))</f>
        <v/>
      </c>
      <c r="R1647" s="22">
        <f>IF($D1647="","",IF(COUNTIF($D$2:$D1647,$D1647)&gt;1,"Trùng",""))</f>
        <v/>
      </c>
      <c r="S1647" s="22">
        <f>IF($D1647="","",IF(AND(LEN($D1647)=10,LEFT($D1647,1)="0",ISNUMBER(--$D1647)),"Có","Không"))</f>
        <v/>
      </c>
      <c r="T1647" s="22">
        <f>IF($D1647="","",IF(AND($C1647&lt;&gt;"",$Q1647="Có",$R1647="",$S1647="Có",AND($L1647&lt;&gt;"",OR($L1647&lt;&gt;"Chưa xác định",DANH_MUC!$L$9="Có"))),"Có","Không"))</f>
        <v/>
      </c>
      <c r="U1647" s="22">
        <f>IF(OR($D1647="",$T1647="Có"),"",IF($C1647="","Thiếu họ tên; ","")&amp;IF($S1647&lt;&gt;"Có","SĐT sai định dạng; ","")&amp;IF($R1647="Trùng","Trùng SĐT; ","")&amp;IF($Q1647&lt;&gt;"Có","Thiếu đồng ý bắt buộc; ","")&amp;IF($L1647="","Thiếu/sai Mã REF; ",IF(AND($L1647="Chưa xác định",DANH_MUC!$L$9&lt;&gt;"Có"),"Nguồn chưa xác định; ","")))</f>
        <v/>
      </c>
      <c r="V1647" s="22">
        <f>IF(OR($D1647="",$R1647="Trùng"),"",IF(COUNTIF(ORDERS!$C$2:$C$4995,$D1647)&gt;0,"Có","Không"))</f>
        <v/>
      </c>
      <c r="W1647" s="22">
        <f>IF(OR($D1647="",$R1647="Trùng"),"",COUNTIFS(ORDERS!$C$2:$C$4995,$D1647,ORDERS!$L$2:$L$4995,"Đã chuyển khoản"))</f>
        <v/>
      </c>
      <c r="X1647" s="23">
        <f>IF(OR($D1647="",$R1647="Trùng"),"",SUMIFS(ORDERS!$J$2:$J$4995,ORDERS!$C$2:$C$4995,$D1647,ORDERS!$L$2:$L$4995,"Đã chuyển khoản"))</f>
        <v/>
      </c>
      <c r="Y1647" s="24" t="n"/>
    </row>
    <row r="1648" ht="14.25" customHeight="1" s="40">
      <c r="A1648" s="24" t="n"/>
      <c r="B1648" s="27" t="n"/>
      <c r="C1648" s="24" t="n"/>
      <c r="D1648" s="28" t="n"/>
      <c r="E1648" s="29" t="n"/>
      <c r="F1648" s="24" t="n"/>
      <c r="G1648" s="24" t="n"/>
      <c r="H1648" s="21">
        <f>IF(ISNUMBER($B1648),INT($B1648)-WEEKDAY($B1648,2)+1,"")</f>
        <v/>
      </c>
      <c r="I1648" s="24" t="n"/>
      <c r="J1648" s="22">
        <f t="array" ref="J1648">IF($D1648="","",IF($I1648="","(trống REF)",IFERROR(INDEX(MASTER_SOURCE!$B$2:$B$495,MATCH($I1648,MASTER_SOURCE!$A$2:$A$495,0)),"(REF không có trong MASTER_SOURCE)")))</f>
        <v/>
      </c>
      <c r="K1648" s="22">
        <f t="array" ref="K1648">IF($D1648="","",IFERROR(INDEX(MASTER_SOURCE!$C$2:$C$495,MATCH($I1648,MASTER_SOURCE!$A$2:$A$495,0)),""))</f>
        <v/>
      </c>
      <c r="L1648" s="22">
        <f t="array" ref="L1648">IF($D1648="","",IFERROR(INDEX(MASTER_SOURCE!$D$2:$D$495,MATCH($I1648,MASTER_SOURCE!$A$2:$A$495,0)),""))</f>
        <v/>
      </c>
      <c r="M1648" s="24" t="n"/>
      <c r="N1648" s="24" t="n"/>
      <c r="O1648" s="24" t="n"/>
      <c r="P1648" s="24" t="n"/>
      <c r="Q1648" s="22">
        <f>IF($D1648="","",IF(AND(OR(DANH_MUC!$L$5&lt;&gt;"Có",M1648="Có"),OR(DANH_MUC!$L$6&lt;&gt;"Có",N1648="Có"),OR(DANH_MUC!$L$7&lt;&gt;"Có",O1648="Có"),OR(DANH_MUC!$L$8&lt;&gt;"Có",P1648="Có")),"Có","Không"))</f>
        <v/>
      </c>
      <c r="R1648" s="22">
        <f>IF($D1648="","",IF(COUNTIF($D$2:$D1648,$D1648)&gt;1,"Trùng",""))</f>
        <v/>
      </c>
      <c r="S1648" s="22">
        <f>IF($D1648="","",IF(AND(LEN($D1648)=10,LEFT($D1648,1)="0",ISNUMBER(--$D1648)),"Có","Không"))</f>
        <v/>
      </c>
      <c r="T1648" s="22">
        <f>IF($D1648="","",IF(AND($C1648&lt;&gt;"",$Q1648="Có",$R1648="",$S1648="Có",AND($L1648&lt;&gt;"",OR($L1648&lt;&gt;"Chưa xác định",DANH_MUC!$L$9="Có"))),"Có","Không"))</f>
        <v/>
      </c>
      <c r="U1648" s="22">
        <f>IF(OR($D1648="",$T1648="Có"),"",IF($C1648="","Thiếu họ tên; ","")&amp;IF($S1648&lt;&gt;"Có","SĐT sai định dạng; ","")&amp;IF($R1648="Trùng","Trùng SĐT; ","")&amp;IF($Q1648&lt;&gt;"Có","Thiếu đồng ý bắt buộc; ","")&amp;IF($L1648="","Thiếu/sai Mã REF; ",IF(AND($L1648="Chưa xác định",DANH_MUC!$L$9&lt;&gt;"Có"),"Nguồn chưa xác định; ","")))</f>
        <v/>
      </c>
      <c r="V1648" s="22">
        <f>IF(OR($D1648="",$R1648="Trùng"),"",IF(COUNTIF(ORDERS!$C$2:$C$4995,$D1648)&gt;0,"Có","Không"))</f>
        <v/>
      </c>
      <c r="W1648" s="22">
        <f>IF(OR($D1648="",$R1648="Trùng"),"",COUNTIFS(ORDERS!$C$2:$C$4995,$D1648,ORDERS!$L$2:$L$4995,"Đã chuyển khoản"))</f>
        <v/>
      </c>
      <c r="X1648" s="23">
        <f>IF(OR($D1648="",$R1648="Trùng"),"",SUMIFS(ORDERS!$J$2:$J$4995,ORDERS!$C$2:$C$4995,$D1648,ORDERS!$L$2:$L$4995,"Đã chuyển khoản"))</f>
        <v/>
      </c>
      <c r="Y1648" s="24" t="n"/>
    </row>
    <row r="1649" ht="14.25" customHeight="1" s="40">
      <c r="A1649" s="24" t="n"/>
      <c r="B1649" s="27" t="n"/>
      <c r="C1649" s="24" t="n"/>
      <c r="D1649" s="28" t="n"/>
      <c r="E1649" s="29" t="n"/>
      <c r="F1649" s="24" t="n"/>
      <c r="G1649" s="24" t="n"/>
      <c r="H1649" s="21">
        <f>IF(ISNUMBER($B1649),INT($B1649)-WEEKDAY($B1649,2)+1,"")</f>
        <v/>
      </c>
      <c r="I1649" s="24" t="n"/>
      <c r="J1649" s="22">
        <f t="array" ref="J1649">IF($D1649="","",IF($I1649="","(trống REF)",IFERROR(INDEX(MASTER_SOURCE!$B$2:$B$495,MATCH($I1649,MASTER_SOURCE!$A$2:$A$495,0)),"(REF không có trong MASTER_SOURCE)")))</f>
        <v/>
      </c>
      <c r="K1649" s="22">
        <f t="array" ref="K1649">IF($D1649="","",IFERROR(INDEX(MASTER_SOURCE!$C$2:$C$495,MATCH($I1649,MASTER_SOURCE!$A$2:$A$495,0)),""))</f>
        <v/>
      </c>
      <c r="L1649" s="22">
        <f t="array" ref="L1649">IF($D1649="","",IFERROR(INDEX(MASTER_SOURCE!$D$2:$D$495,MATCH($I1649,MASTER_SOURCE!$A$2:$A$495,0)),""))</f>
        <v/>
      </c>
      <c r="M1649" s="24" t="n"/>
      <c r="N1649" s="24" t="n"/>
      <c r="O1649" s="24" t="n"/>
      <c r="P1649" s="24" t="n"/>
      <c r="Q1649" s="22">
        <f>IF($D1649="","",IF(AND(OR(DANH_MUC!$L$5&lt;&gt;"Có",M1649="Có"),OR(DANH_MUC!$L$6&lt;&gt;"Có",N1649="Có"),OR(DANH_MUC!$L$7&lt;&gt;"Có",O1649="Có"),OR(DANH_MUC!$L$8&lt;&gt;"Có",P1649="Có")),"Có","Không"))</f>
        <v/>
      </c>
      <c r="R1649" s="22">
        <f>IF($D1649="","",IF(COUNTIF($D$2:$D1649,$D1649)&gt;1,"Trùng",""))</f>
        <v/>
      </c>
      <c r="S1649" s="22">
        <f>IF($D1649="","",IF(AND(LEN($D1649)=10,LEFT($D1649,1)="0",ISNUMBER(--$D1649)),"Có","Không"))</f>
        <v/>
      </c>
      <c r="T1649" s="22">
        <f>IF($D1649="","",IF(AND($C1649&lt;&gt;"",$Q1649="Có",$R1649="",$S1649="Có",AND($L1649&lt;&gt;"",OR($L1649&lt;&gt;"Chưa xác định",DANH_MUC!$L$9="Có"))),"Có","Không"))</f>
        <v/>
      </c>
      <c r="U1649" s="22">
        <f>IF(OR($D1649="",$T1649="Có"),"",IF($C1649="","Thiếu họ tên; ","")&amp;IF($S1649&lt;&gt;"Có","SĐT sai định dạng; ","")&amp;IF($R1649="Trùng","Trùng SĐT; ","")&amp;IF($Q1649&lt;&gt;"Có","Thiếu đồng ý bắt buộc; ","")&amp;IF($L1649="","Thiếu/sai Mã REF; ",IF(AND($L1649="Chưa xác định",DANH_MUC!$L$9&lt;&gt;"Có"),"Nguồn chưa xác định; ","")))</f>
        <v/>
      </c>
      <c r="V1649" s="22">
        <f>IF(OR($D1649="",$R1649="Trùng"),"",IF(COUNTIF(ORDERS!$C$2:$C$4995,$D1649)&gt;0,"Có","Không"))</f>
        <v/>
      </c>
      <c r="W1649" s="22">
        <f>IF(OR($D1649="",$R1649="Trùng"),"",COUNTIFS(ORDERS!$C$2:$C$4995,$D1649,ORDERS!$L$2:$L$4995,"Đã chuyển khoản"))</f>
        <v/>
      </c>
      <c r="X1649" s="23">
        <f>IF(OR($D1649="",$R1649="Trùng"),"",SUMIFS(ORDERS!$J$2:$J$4995,ORDERS!$C$2:$C$4995,$D1649,ORDERS!$L$2:$L$4995,"Đã chuyển khoản"))</f>
        <v/>
      </c>
      <c r="Y1649" s="24" t="n"/>
    </row>
    <row r="1650" ht="14.25" customHeight="1" s="40">
      <c r="A1650" s="24" t="n"/>
      <c r="B1650" s="27" t="n"/>
      <c r="C1650" s="24" t="n"/>
      <c r="D1650" s="28" t="n"/>
      <c r="E1650" s="29" t="n"/>
      <c r="F1650" s="24" t="n"/>
      <c r="G1650" s="24" t="n"/>
      <c r="H1650" s="21">
        <f>IF(ISNUMBER($B1650),INT($B1650)-WEEKDAY($B1650,2)+1,"")</f>
        <v/>
      </c>
      <c r="I1650" s="24" t="n"/>
      <c r="J1650" s="22">
        <f t="array" ref="J1650">IF($D1650="","",IF($I1650="","(trống REF)",IFERROR(INDEX(MASTER_SOURCE!$B$2:$B$495,MATCH($I1650,MASTER_SOURCE!$A$2:$A$495,0)),"(REF không có trong MASTER_SOURCE)")))</f>
        <v/>
      </c>
      <c r="K1650" s="22">
        <f t="array" ref="K1650">IF($D1650="","",IFERROR(INDEX(MASTER_SOURCE!$C$2:$C$495,MATCH($I1650,MASTER_SOURCE!$A$2:$A$495,0)),""))</f>
        <v/>
      </c>
      <c r="L1650" s="22">
        <f t="array" ref="L1650">IF($D1650="","",IFERROR(INDEX(MASTER_SOURCE!$D$2:$D$495,MATCH($I1650,MASTER_SOURCE!$A$2:$A$495,0)),""))</f>
        <v/>
      </c>
      <c r="M1650" s="24" t="n"/>
      <c r="N1650" s="24" t="n"/>
      <c r="O1650" s="24" t="n"/>
      <c r="P1650" s="24" t="n"/>
      <c r="Q1650" s="22">
        <f>IF($D1650="","",IF(AND(OR(DANH_MUC!$L$5&lt;&gt;"Có",M1650="Có"),OR(DANH_MUC!$L$6&lt;&gt;"Có",N1650="Có"),OR(DANH_MUC!$L$7&lt;&gt;"Có",O1650="Có"),OR(DANH_MUC!$L$8&lt;&gt;"Có",P1650="Có")),"Có","Không"))</f>
        <v/>
      </c>
      <c r="R1650" s="22">
        <f>IF($D1650="","",IF(COUNTIF($D$2:$D1650,$D1650)&gt;1,"Trùng",""))</f>
        <v/>
      </c>
      <c r="S1650" s="22">
        <f>IF($D1650="","",IF(AND(LEN($D1650)=10,LEFT($D1650,1)="0",ISNUMBER(--$D1650)),"Có","Không"))</f>
        <v/>
      </c>
      <c r="T1650" s="22">
        <f>IF($D1650="","",IF(AND($C1650&lt;&gt;"",$Q1650="Có",$R1650="",$S1650="Có",AND($L1650&lt;&gt;"",OR($L1650&lt;&gt;"Chưa xác định",DANH_MUC!$L$9="Có"))),"Có","Không"))</f>
        <v/>
      </c>
      <c r="U1650" s="22">
        <f>IF(OR($D1650="",$T1650="Có"),"",IF($C1650="","Thiếu họ tên; ","")&amp;IF($S1650&lt;&gt;"Có","SĐT sai định dạng; ","")&amp;IF($R1650="Trùng","Trùng SĐT; ","")&amp;IF($Q1650&lt;&gt;"Có","Thiếu đồng ý bắt buộc; ","")&amp;IF($L1650="","Thiếu/sai Mã REF; ",IF(AND($L1650="Chưa xác định",DANH_MUC!$L$9&lt;&gt;"Có"),"Nguồn chưa xác định; ","")))</f>
        <v/>
      </c>
      <c r="V1650" s="22">
        <f>IF(OR($D1650="",$R1650="Trùng"),"",IF(COUNTIF(ORDERS!$C$2:$C$4995,$D1650)&gt;0,"Có","Không"))</f>
        <v/>
      </c>
      <c r="W1650" s="22">
        <f>IF(OR($D1650="",$R1650="Trùng"),"",COUNTIFS(ORDERS!$C$2:$C$4995,$D1650,ORDERS!$L$2:$L$4995,"Đã chuyển khoản"))</f>
        <v/>
      </c>
      <c r="X1650" s="23">
        <f>IF(OR($D1650="",$R1650="Trùng"),"",SUMIFS(ORDERS!$J$2:$J$4995,ORDERS!$C$2:$C$4995,$D1650,ORDERS!$L$2:$L$4995,"Đã chuyển khoản"))</f>
        <v/>
      </c>
      <c r="Y1650" s="24" t="n"/>
    </row>
    <row r="1651" ht="14.25" customHeight="1" s="40">
      <c r="A1651" s="24" t="n"/>
      <c r="B1651" s="27" t="n"/>
      <c r="C1651" s="24" t="n"/>
      <c r="D1651" s="28" t="n"/>
      <c r="E1651" s="29" t="n"/>
      <c r="F1651" s="24" t="n"/>
      <c r="G1651" s="24" t="n"/>
      <c r="H1651" s="21">
        <f>IF(ISNUMBER($B1651),INT($B1651)-WEEKDAY($B1651,2)+1,"")</f>
        <v/>
      </c>
      <c r="I1651" s="24" t="n"/>
      <c r="J1651" s="22">
        <f t="array" ref="J1651">IF($D1651="","",IF($I1651="","(trống REF)",IFERROR(INDEX(MASTER_SOURCE!$B$2:$B$495,MATCH($I1651,MASTER_SOURCE!$A$2:$A$495,0)),"(REF không có trong MASTER_SOURCE)")))</f>
        <v/>
      </c>
      <c r="K1651" s="22">
        <f t="array" ref="K1651">IF($D1651="","",IFERROR(INDEX(MASTER_SOURCE!$C$2:$C$495,MATCH($I1651,MASTER_SOURCE!$A$2:$A$495,0)),""))</f>
        <v/>
      </c>
      <c r="L1651" s="22">
        <f t="array" ref="L1651">IF($D1651="","",IFERROR(INDEX(MASTER_SOURCE!$D$2:$D$495,MATCH($I1651,MASTER_SOURCE!$A$2:$A$495,0)),""))</f>
        <v/>
      </c>
      <c r="M1651" s="24" t="n"/>
      <c r="N1651" s="24" t="n"/>
      <c r="O1651" s="24" t="n"/>
      <c r="P1651" s="24" t="n"/>
      <c r="Q1651" s="22">
        <f>IF($D1651="","",IF(AND(OR(DANH_MUC!$L$5&lt;&gt;"Có",M1651="Có"),OR(DANH_MUC!$L$6&lt;&gt;"Có",N1651="Có"),OR(DANH_MUC!$L$7&lt;&gt;"Có",O1651="Có"),OR(DANH_MUC!$L$8&lt;&gt;"Có",P1651="Có")),"Có","Không"))</f>
        <v/>
      </c>
      <c r="R1651" s="22">
        <f>IF($D1651="","",IF(COUNTIF($D$2:$D1651,$D1651)&gt;1,"Trùng",""))</f>
        <v/>
      </c>
      <c r="S1651" s="22">
        <f>IF($D1651="","",IF(AND(LEN($D1651)=10,LEFT($D1651,1)="0",ISNUMBER(--$D1651)),"Có","Không"))</f>
        <v/>
      </c>
      <c r="T1651" s="22">
        <f>IF($D1651="","",IF(AND($C1651&lt;&gt;"",$Q1651="Có",$R1651="",$S1651="Có",AND($L1651&lt;&gt;"",OR($L1651&lt;&gt;"Chưa xác định",DANH_MUC!$L$9="Có"))),"Có","Không"))</f>
        <v/>
      </c>
      <c r="U1651" s="22">
        <f>IF(OR($D1651="",$T1651="Có"),"",IF($C1651="","Thiếu họ tên; ","")&amp;IF($S1651&lt;&gt;"Có","SĐT sai định dạng; ","")&amp;IF($R1651="Trùng","Trùng SĐT; ","")&amp;IF($Q1651&lt;&gt;"Có","Thiếu đồng ý bắt buộc; ","")&amp;IF($L1651="","Thiếu/sai Mã REF; ",IF(AND($L1651="Chưa xác định",DANH_MUC!$L$9&lt;&gt;"Có"),"Nguồn chưa xác định; ","")))</f>
        <v/>
      </c>
      <c r="V1651" s="22">
        <f>IF(OR($D1651="",$R1651="Trùng"),"",IF(COUNTIF(ORDERS!$C$2:$C$4995,$D1651)&gt;0,"Có","Không"))</f>
        <v/>
      </c>
      <c r="W1651" s="22">
        <f>IF(OR($D1651="",$R1651="Trùng"),"",COUNTIFS(ORDERS!$C$2:$C$4995,$D1651,ORDERS!$L$2:$L$4995,"Đã chuyển khoản"))</f>
        <v/>
      </c>
      <c r="X1651" s="23">
        <f>IF(OR($D1651="",$R1651="Trùng"),"",SUMIFS(ORDERS!$J$2:$J$4995,ORDERS!$C$2:$C$4995,$D1651,ORDERS!$L$2:$L$4995,"Đã chuyển khoản"))</f>
        <v/>
      </c>
      <c r="Y1651" s="24" t="n"/>
    </row>
    <row r="1652" ht="14.25" customHeight="1" s="40">
      <c r="A1652" s="24" t="n"/>
      <c r="B1652" s="27" t="n"/>
      <c r="C1652" s="24" t="n"/>
      <c r="D1652" s="28" t="n"/>
      <c r="E1652" s="29" t="n"/>
      <c r="F1652" s="24" t="n"/>
      <c r="G1652" s="24" t="n"/>
      <c r="H1652" s="21">
        <f>IF(ISNUMBER($B1652),INT($B1652)-WEEKDAY($B1652,2)+1,"")</f>
        <v/>
      </c>
      <c r="I1652" s="24" t="n"/>
      <c r="J1652" s="22">
        <f t="array" ref="J1652">IF($D1652="","",IF($I1652="","(trống REF)",IFERROR(INDEX(MASTER_SOURCE!$B$2:$B$495,MATCH($I1652,MASTER_SOURCE!$A$2:$A$495,0)),"(REF không có trong MASTER_SOURCE)")))</f>
        <v/>
      </c>
      <c r="K1652" s="22">
        <f t="array" ref="K1652">IF($D1652="","",IFERROR(INDEX(MASTER_SOURCE!$C$2:$C$495,MATCH($I1652,MASTER_SOURCE!$A$2:$A$495,0)),""))</f>
        <v/>
      </c>
      <c r="L1652" s="22">
        <f t="array" ref="L1652">IF($D1652="","",IFERROR(INDEX(MASTER_SOURCE!$D$2:$D$495,MATCH($I1652,MASTER_SOURCE!$A$2:$A$495,0)),""))</f>
        <v/>
      </c>
      <c r="M1652" s="24" t="n"/>
      <c r="N1652" s="24" t="n"/>
      <c r="O1652" s="24" t="n"/>
      <c r="P1652" s="24" t="n"/>
      <c r="Q1652" s="22">
        <f>IF($D1652="","",IF(AND(OR(DANH_MUC!$L$5&lt;&gt;"Có",M1652="Có"),OR(DANH_MUC!$L$6&lt;&gt;"Có",N1652="Có"),OR(DANH_MUC!$L$7&lt;&gt;"Có",O1652="Có"),OR(DANH_MUC!$L$8&lt;&gt;"Có",P1652="Có")),"Có","Không"))</f>
        <v/>
      </c>
      <c r="R1652" s="22">
        <f>IF($D1652="","",IF(COUNTIF($D$2:$D1652,$D1652)&gt;1,"Trùng",""))</f>
        <v/>
      </c>
      <c r="S1652" s="22">
        <f>IF($D1652="","",IF(AND(LEN($D1652)=10,LEFT($D1652,1)="0",ISNUMBER(--$D1652)),"Có","Không"))</f>
        <v/>
      </c>
      <c r="T1652" s="22">
        <f>IF($D1652="","",IF(AND($C1652&lt;&gt;"",$Q1652="Có",$R1652="",$S1652="Có",AND($L1652&lt;&gt;"",OR($L1652&lt;&gt;"Chưa xác định",DANH_MUC!$L$9="Có"))),"Có","Không"))</f>
        <v/>
      </c>
      <c r="U1652" s="22">
        <f>IF(OR($D1652="",$T1652="Có"),"",IF($C1652="","Thiếu họ tên; ","")&amp;IF($S1652&lt;&gt;"Có","SĐT sai định dạng; ","")&amp;IF($R1652="Trùng","Trùng SĐT; ","")&amp;IF($Q1652&lt;&gt;"Có","Thiếu đồng ý bắt buộc; ","")&amp;IF($L1652="","Thiếu/sai Mã REF; ",IF(AND($L1652="Chưa xác định",DANH_MUC!$L$9&lt;&gt;"Có"),"Nguồn chưa xác định; ","")))</f>
        <v/>
      </c>
      <c r="V1652" s="22">
        <f>IF(OR($D1652="",$R1652="Trùng"),"",IF(COUNTIF(ORDERS!$C$2:$C$4995,$D1652)&gt;0,"Có","Không"))</f>
        <v/>
      </c>
      <c r="W1652" s="22">
        <f>IF(OR($D1652="",$R1652="Trùng"),"",COUNTIFS(ORDERS!$C$2:$C$4995,$D1652,ORDERS!$L$2:$L$4995,"Đã chuyển khoản"))</f>
        <v/>
      </c>
      <c r="X1652" s="23">
        <f>IF(OR($D1652="",$R1652="Trùng"),"",SUMIFS(ORDERS!$J$2:$J$4995,ORDERS!$C$2:$C$4995,$D1652,ORDERS!$L$2:$L$4995,"Đã chuyển khoản"))</f>
        <v/>
      </c>
      <c r="Y1652" s="24" t="n"/>
    </row>
    <row r="1653" ht="14.25" customHeight="1" s="40">
      <c r="A1653" s="24" t="n"/>
      <c r="B1653" s="27" t="n"/>
      <c r="C1653" s="24" t="n"/>
      <c r="D1653" s="28" t="n"/>
      <c r="E1653" s="29" t="n"/>
      <c r="F1653" s="24" t="n"/>
      <c r="G1653" s="24" t="n"/>
      <c r="H1653" s="21">
        <f>IF(ISNUMBER($B1653),INT($B1653)-WEEKDAY($B1653,2)+1,"")</f>
        <v/>
      </c>
      <c r="I1653" s="24" t="n"/>
      <c r="J1653" s="22">
        <f t="array" ref="J1653">IF($D1653="","",IF($I1653="","(trống REF)",IFERROR(INDEX(MASTER_SOURCE!$B$2:$B$495,MATCH($I1653,MASTER_SOURCE!$A$2:$A$495,0)),"(REF không có trong MASTER_SOURCE)")))</f>
        <v/>
      </c>
      <c r="K1653" s="22">
        <f t="array" ref="K1653">IF($D1653="","",IFERROR(INDEX(MASTER_SOURCE!$C$2:$C$495,MATCH($I1653,MASTER_SOURCE!$A$2:$A$495,0)),""))</f>
        <v/>
      </c>
      <c r="L1653" s="22">
        <f t="array" ref="L1653">IF($D1653="","",IFERROR(INDEX(MASTER_SOURCE!$D$2:$D$495,MATCH($I1653,MASTER_SOURCE!$A$2:$A$495,0)),""))</f>
        <v/>
      </c>
      <c r="M1653" s="24" t="n"/>
      <c r="N1653" s="24" t="n"/>
      <c r="O1653" s="24" t="n"/>
      <c r="P1653" s="24" t="n"/>
      <c r="Q1653" s="22">
        <f>IF($D1653="","",IF(AND(OR(DANH_MUC!$L$5&lt;&gt;"Có",M1653="Có"),OR(DANH_MUC!$L$6&lt;&gt;"Có",N1653="Có"),OR(DANH_MUC!$L$7&lt;&gt;"Có",O1653="Có"),OR(DANH_MUC!$L$8&lt;&gt;"Có",P1653="Có")),"Có","Không"))</f>
        <v/>
      </c>
      <c r="R1653" s="22">
        <f>IF($D1653="","",IF(COUNTIF($D$2:$D1653,$D1653)&gt;1,"Trùng",""))</f>
        <v/>
      </c>
      <c r="S1653" s="22">
        <f>IF($D1653="","",IF(AND(LEN($D1653)=10,LEFT($D1653,1)="0",ISNUMBER(--$D1653)),"Có","Không"))</f>
        <v/>
      </c>
      <c r="T1653" s="22">
        <f>IF($D1653="","",IF(AND($C1653&lt;&gt;"",$Q1653="Có",$R1653="",$S1653="Có",AND($L1653&lt;&gt;"",OR($L1653&lt;&gt;"Chưa xác định",DANH_MUC!$L$9="Có"))),"Có","Không"))</f>
        <v/>
      </c>
      <c r="U1653" s="22">
        <f>IF(OR($D1653="",$T1653="Có"),"",IF($C1653="","Thiếu họ tên; ","")&amp;IF($S1653&lt;&gt;"Có","SĐT sai định dạng; ","")&amp;IF($R1653="Trùng","Trùng SĐT; ","")&amp;IF($Q1653&lt;&gt;"Có","Thiếu đồng ý bắt buộc; ","")&amp;IF($L1653="","Thiếu/sai Mã REF; ",IF(AND($L1653="Chưa xác định",DANH_MUC!$L$9&lt;&gt;"Có"),"Nguồn chưa xác định; ","")))</f>
        <v/>
      </c>
      <c r="V1653" s="22">
        <f>IF(OR($D1653="",$R1653="Trùng"),"",IF(COUNTIF(ORDERS!$C$2:$C$4995,$D1653)&gt;0,"Có","Không"))</f>
        <v/>
      </c>
      <c r="W1653" s="22">
        <f>IF(OR($D1653="",$R1653="Trùng"),"",COUNTIFS(ORDERS!$C$2:$C$4995,$D1653,ORDERS!$L$2:$L$4995,"Đã chuyển khoản"))</f>
        <v/>
      </c>
      <c r="X1653" s="23">
        <f>IF(OR($D1653="",$R1653="Trùng"),"",SUMIFS(ORDERS!$J$2:$J$4995,ORDERS!$C$2:$C$4995,$D1653,ORDERS!$L$2:$L$4995,"Đã chuyển khoản"))</f>
        <v/>
      </c>
      <c r="Y1653" s="24" t="n"/>
    </row>
    <row r="1654" ht="14.25" customHeight="1" s="40">
      <c r="A1654" s="24" t="n"/>
      <c r="B1654" s="27" t="n"/>
      <c r="C1654" s="24" t="n"/>
      <c r="D1654" s="28" t="n"/>
      <c r="E1654" s="29" t="n"/>
      <c r="F1654" s="24" t="n"/>
      <c r="G1654" s="24" t="n"/>
      <c r="H1654" s="21">
        <f>IF(ISNUMBER($B1654),INT($B1654)-WEEKDAY($B1654,2)+1,"")</f>
        <v/>
      </c>
      <c r="I1654" s="24" t="n"/>
      <c r="J1654" s="22">
        <f t="array" ref="J1654">IF($D1654="","",IF($I1654="","(trống REF)",IFERROR(INDEX(MASTER_SOURCE!$B$2:$B$495,MATCH($I1654,MASTER_SOURCE!$A$2:$A$495,0)),"(REF không có trong MASTER_SOURCE)")))</f>
        <v/>
      </c>
      <c r="K1654" s="22">
        <f t="array" ref="K1654">IF($D1654="","",IFERROR(INDEX(MASTER_SOURCE!$C$2:$C$495,MATCH($I1654,MASTER_SOURCE!$A$2:$A$495,0)),""))</f>
        <v/>
      </c>
      <c r="L1654" s="22">
        <f t="array" ref="L1654">IF($D1654="","",IFERROR(INDEX(MASTER_SOURCE!$D$2:$D$495,MATCH($I1654,MASTER_SOURCE!$A$2:$A$495,0)),""))</f>
        <v/>
      </c>
      <c r="M1654" s="24" t="n"/>
      <c r="N1654" s="24" t="n"/>
      <c r="O1654" s="24" t="n"/>
      <c r="P1654" s="24" t="n"/>
      <c r="Q1654" s="22">
        <f>IF($D1654="","",IF(AND(OR(DANH_MUC!$L$5&lt;&gt;"Có",M1654="Có"),OR(DANH_MUC!$L$6&lt;&gt;"Có",N1654="Có"),OR(DANH_MUC!$L$7&lt;&gt;"Có",O1654="Có"),OR(DANH_MUC!$L$8&lt;&gt;"Có",P1654="Có")),"Có","Không"))</f>
        <v/>
      </c>
      <c r="R1654" s="22">
        <f>IF($D1654="","",IF(COUNTIF($D$2:$D1654,$D1654)&gt;1,"Trùng",""))</f>
        <v/>
      </c>
      <c r="S1654" s="22">
        <f>IF($D1654="","",IF(AND(LEN($D1654)=10,LEFT($D1654,1)="0",ISNUMBER(--$D1654)),"Có","Không"))</f>
        <v/>
      </c>
      <c r="T1654" s="22">
        <f>IF($D1654="","",IF(AND($C1654&lt;&gt;"",$Q1654="Có",$R1654="",$S1654="Có",AND($L1654&lt;&gt;"",OR($L1654&lt;&gt;"Chưa xác định",DANH_MUC!$L$9="Có"))),"Có","Không"))</f>
        <v/>
      </c>
      <c r="U1654" s="22">
        <f>IF(OR($D1654="",$T1654="Có"),"",IF($C1654="","Thiếu họ tên; ","")&amp;IF($S1654&lt;&gt;"Có","SĐT sai định dạng; ","")&amp;IF($R1654="Trùng","Trùng SĐT; ","")&amp;IF($Q1654&lt;&gt;"Có","Thiếu đồng ý bắt buộc; ","")&amp;IF($L1654="","Thiếu/sai Mã REF; ",IF(AND($L1654="Chưa xác định",DANH_MUC!$L$9&lt;&gt;"Có"),"Nguồn chưa xác định; ","")))</f>
        <v/>
      </c>
      <c r="V1654" s="22">
        <f>IF(OR($D1654="",$R1654="Trùng"),"",IF(COUNTIF(ORDERS!$C$2:$C$4995,$D1654)&gt;0,"Có","Không"))</f>
        <v/>
      </c>
      <c r="W1654" s="22">
        <f>IF(OR($D1654="",$R1654="Trùng"),"",COUNTIFS(ORDERS!$C$2:$C$4995,$D1654,ORDERS!$L$2:$L$4995,"Đã chuyển khoản"))</f>
        <v/>
      </c>
      <c r="X1654" s="23">
        <f>IF(OR($D1654="",$R1654="Trùng"),"",SUMIFS(ORDERS!$J$2:$J$4995,ORDERS!$C$2:$C$4995,$D1654,ORDERS!$L$2:$L$4995,"Đã chuyển khoản"))</f>
        <v/>
      </c>
      <c r="Y1654" s="24" t="n"/>
    </row>
    <row r="1655" ht="14.25" customHeight="1" s="40">
      <c r="A1655" s="24" t="n"/>
      <c r="B1655" s="27" t="n"/>
      <c r="C1655" s="24" t="n"/>
      <c r="D1655" s="28" t="n"/>
      <c r="E1655" s="29" t="n"/>
      <c r="F1655" s="24" t="n"/>
      <c r="G1655" s="24" t="n"/>
      <c r="H1655" s="21">
        <f>IF(ISNUMBER($B1655),INT($B1655)-WEEKDAY($B1655,2)+1,"")</f>
        <v/>
      </c>
      <c r="I1655" s="24" t="n"/>
      <c r="J1655" s="22">
        <f t="array" ref="J1655">IF($D1655="","",IF($I1655="","(trống REF)",IFERROR(INDEX(MASTER_SOURCE!$B$2:$B$495,MATCH($I1655,MASTER_SOURCE!$A$2:$A$495,0)),"(REF không có trong MASTER_SOURCE)")))</f>
        <v/>
      </c>
      <c r="K1655" s="22">
        <f t="array" ref="K1655">IF($D1655="","",IFERROR(INDEX(MASTER_SOURCE!$C$2:$C$495,MATCH($I1655,MASTER_SOURCE!$A$2:$A$495,0)),""))</f>
        <v/>
      </c>
      <c r="L1655" s="22">
        <f t="array" ref="L1655">IF($D1655="","",IFERROR(INDEX(MASTER_SOURCE!$D$2:$D$495,MATCH($I1655,MASTER_SOURCE!$A$2:$A$495,0)),""))</f>
        <v/>
      </c>
      <c r="M1655" s="24" t="n"/>
      <c r="N1655" s="24" t="n"/>
      <c r="O1655" s="24" t="n"/>
      <c r="P1655" s="24" t="n"/>
      <c r="Q1655" s="22">
        <f>IF($D1655="","",IF(AND(OR(DANH_MUC!$L$5&lt;&gt;"Có",M1655="Có"),OR(DANH_MUC!$L$6&lt;&gt;"Có",N1655="Có"),OR(DANH_MUC!$L$7&lt;&gt;"Có",O1655="Có"),OR(DANH_MUC!$L$8&lt;&gt;"Có",P1655="Có")),"Có","Không"))</f>
        <v/>
      </c>
      <c r="R1655" s="22">
        <f>IF($D1655="","",IF(COUNTIF($D$2:$D1655,$D1655)&gt;1,"Trùng",""))</f>
        <v/>
      </c>
      <c r="S1655" s="22">
        <f>IF($D1655="","",IF(AND(LEN($D1655)=10,LEFT($D1655,1)="0",ISNUMBER(--$D1655)),"Có","Không"))</f>
        <v/>
      </c>
      <c r="T1655" s="22">
        <f>IF($D1655="","",IF(AND($C1655&lt;&gt;"",$Q1655="Có",$R1655="",$S1655="Có",AND($L1655&lt;&gt;"",OR($L1655&lt;&gt;"Chưa xác định",DANH_MUC!$L$9="Có"))),"Có","Không"))</f>
        <v/>
      </c>
      <c r="U1655" s="22">
        <f>IF(OR($D1655="",$T1655="Có"),"",IF($C1655="","Thiếu họ tên; ","")&amp;IF($S1655&lt;&gt;"Có","SĐT sai định dạng; ","")&amp;IF($R1655="Trùng","Trùng SĐT; ","")&amp;IF($Q1655&lt;&gt;"Có","Thiếu đồng ý bắt buộc; ","")&amp;IF($L1655="","Thiếu/sai Mã REF; ",IF(AND($L1655="Chưa xác định",DANH_MUC!$L$9&lt;&gt;"Có"),"Nguồn chưa xác định; ","")))</f>
        <v/>
      </c>
      <c r="V1655" s="22">
        <f>IF(OR($D1655="",$R1655="Trùng"),"",IF(COUNTIF(ORDERS!$C$2:$C$4995,$D1655)&gt;0,"Có","Không"))</f>
        <v/>
      </c>
      <c r="W1655" s="22">
        <f>IF(OR($D1655="",$R1655="Trùng"),"",COUNTIFS(ORDERS!$C$2:$C$4995,$D1655,ORDERS!$L$2:$L$4995,"Đã chuyển khoản"))</f>
        <v/>
      </c>
      <c r="X1655" s="23">
        <f>IF(OR($D1655="",$R1655="Trùng"),"",SUMIFS(ORDERS!$J$2:$J$4995,ORDERS!$C$2:$C$4995,$D1655,ORDERS!$L$2:$L$4995,"Đã chuyển khoản"))</f>
        <v/>
      </c>
      <c r="Y1655" s="24" t="n"/>
    </row>
    <row r="1656" ht="14.25" customHeight="1" s="40">
      <c r="A1656" s="24" t="n"/>
      <c r="B1656" s="27" t="n"/>
      <c r="C1656" s="24" t="n"/>
      <c r="D1656" s="28" t="n"/>
      <c r="E1656" s="29" t="n"/>
      <c r="F1656" s="24" t="n"/>
      <c r="G1656" s="24" t="n"/>
      <c r="H1656" s="21">
        <f>IF(ISNUMBER($B1656),INT($B1656)-WEEKDAY($B1656,2)+1,"")</f>
        <v/>
      </c>
      <c r="I1656" s="24" t="n"/>
      <c r="J1656" s="22">
        <f t="array" ref="J1656">IF($D1656="","",IF($I1656="","(trống REF)",IFERROR(INDEX(MASTER_SOURCE!$B$2:$B$495,MATCH($I1656,MASTER_SOURCE!$A$2:$A$495,0)),"(REF không có trong MASTER_SOURCE)")))</f>
        <v/>
      </c>
      <c r="K1656" s="22">
        <f t="array" ref="K1656">IF($D1656="","",IFERROR(INDEX(MASTER_SOURCE!$C$2:$C$495,MATCH($I1656,MASTER_SOURCE!$A$2:$A$495,0)),""))</f>
        <v/>
      </c>
      <c r="L1656" s="22">
        <f t="array" ref="L1656">IF($D1656="","",IFERROR(INDEX(MASTER_SOURCE!$D$2:$D$495,MATCH($I1656,MASTER_SOURCE!$A$2:$A$495,0)),""))</f>
        <v/>
      </c>
      <c r="M1656" s="24" t="n"/>
      <c r="N1656" s="24" t="n"/>
      <c r="O1656" s="24" t="n"/>
      <c r="P1656" s="24" t="n"/>
      <c r="Q1656" s="22">
        <f>IF($D1656="","",IF(AND(OR(DANH_MUC!$L$5&lt;&gt;"Có",M1656="Có"),OR(DANH_MUC!$L$6&lt;&gt;"Có",N1656="Có"),OR(DANH_MUC!$L$7&lt;&gt;"Có",O1656="Có"),OR(DANH_MUC!$L$8&lt;&gt;"Có",P1656="Có")),"Có","Không"))</f>
        <v/>
      </c>
      <c r="R1656" s="22">
        <f>IF($D1656="","",IF(COUNTIF($D$2:$D1656,$D1656)&gt;1,"Trùng",""))</f>
        <v/>
      </c>
      <c r="S1656" s="22">
        <f>IF($D1656="","",IF(AND(LEN($D1656)=10,LEFT($D1656,1)="0",ISNUMBER(--$D1656)),"Có","Không"))</f>
        <v/>
      </c>
      <c r="T1656" s="22">
        <f>IF($D1656="","",IF(AND($C1656&lt;&gt;"",$Q1656="Có",$R1656="",$S1656="Có",AND($L1656&lt;&gt;"",OR($L1656&lt;&gt;"Chưa xác định",DANH_MUC!$L$9="Có"))),"Có","Không"))</f>
        <v/>
      </c>
      <c r="U1656" s="22">
        <f>IF(OR($D1656="",$T1656="Có"),"",IF($C1656="","Thiếu họ tên; ","")&amp;IF($S1656&lt;&gt;"Có","SĐT sai định dạng; ","")&amp;IF($R1656="Trùng","Trùng SĐT; ","")&amp;IF($Q1656&lt;&gt;"Có","Thiếu đồng ý bắt buộc; ","")&amp;IF($L1656="","Thiếu/sai Mã REF; ",IF(AND($L1656="Chưa xác định",DANH_MUC!$L$9&lt;&gt;"Có"),"Nguồn chưa xác định; ","")))</f>
        <v/>
      </c>
      <c r="V1656" s="22">
        <f>IF(OR($D1656="",$R1656="Trùng"),"",IF(COUNTIF(ORDERS!$C$2:$C$4995,$D1656)&gt;0,"Có","Không"))</f>
        <v/>
      </c>
      <c r="W1656" s="22">
        <f>IF(OR($D1656="",$R1656="Trùng"),"",COUNTIFS(ORDERS!$C$2:$C$4995,$D1656,ORDERS!$L$2:$L$4995,"Đã chuyển khoản"))</f>
        <v/>
      </c>
      <c r="X1656" s="23">
        <f>IF(OR($D1656="",$R1656="Trùng"),"",SUMIFS(ORDERS!$J$2:$J$4995,ORDERS!$C$2:$C$4995,$D1656,ORDERS!$L$2:$L$4995,"Đã chuyển khoản"))</f>
        <v/>
      </c>
      <c r="Y1656" s="24" t="n"/>
    </row>
    <row r="1657" ht="14.25" customHeight="1" s="40">
      <c r="A1657" s="24" t="n"/>
      <c r="B1657" s="27" t="n"/>
      <c r="C1657" s="24" t="n"/>
      <c r="D1657" s="28" t="n"/>
      <c r="E1657" s="29" t="n"/>
      <c r="F1657" s="24" t="n"/>
      <c r="G1657" s="24" t="n"/>
      <c r="H1657" s="21">
        <f>IF(ISNUMBER($B1657),INT($B1657)-WEEKDAY($B1657,2)+1,"")</f>
        <v/>
      </c>
      <c r="I1657" s="24" t="n"/>
      <c r="J1657" s="22">
        <f t="array" ref="J1657">IF($D1657="","",IF($I1657="","(trống REF)",IFERROR(INDEX(MASTER_SOURCE!$B$2:$B$495,MATCH($I1657,MASTER_SOURCE!$A$2:$A$495,0)),"(REF không có trong MASTER_SOURCE)")))</f>
        <v/>
      </c>
      <c r="K1657" s="22">
        <f t="array" ref="K1657">IF($D1657="","",IFERROR(INDEX(MASTER_SOURCE!$C$2:$C$495,MATCH($I1657,MASTER_SOURCE!$A$2:$A$495,0)),""))</f>
        <v/>
      </c>
      <c r="L1657" s="22">
        <f t="array" ref="L1657">IF($D1657="","",IFERROR(INDEX(MASTER_SOURCE!$D$2:$D$495,MATCH($I1657,MASTER_SOURCE!$A$2:$A$495,0)),""))</f>
        <v/>
      </c>
      <c r="M1657" s="24" t="n"/>
      <c r="N1657" s="24" t="n"/>
      <c r="O1657" s="24" t="n"/>
      <c r="P1657" s="24" t="n"/>
      <c r="Q1657" s="22">
        <f>IF($D1657="","",IF(AND(OR(DANH_MUC!$L$5&lt;&gt;"Có",M1657="Có"),OR(DANH_MUC!$L$6&lt;&gt;"Có",N1657="Có"),OR(DANH_MUC!$L$7&lt;&gt;"Có",O1657="Có"),OR(DANH_MUC!$L$8&lt;&gt;"Có",P1657="Có")),"Có","Không"))</f>
        <v/>
      </c>
      <c r="R1657" s="22">
        <f>IF($D1657="","",IF(COUNTIF($D$2:$D1657,$D1657)&gt;1,"Trùng",""))</f>
        <v/>
      </c>
      <c r="S1657" s="22">
        <f>IF($D1657="","",IF(AND(LEN($D1657)=10,LEFT($D1657,1)="0",ISNUMBER(--$D1657)),"Có","Không"))</f>
        <v/>
      </c>
      <c r="T1657" s="22">
        <f>IF($D1657="","",IF(AND($C1657&lt;&gt;"",$Q1657="Có",$R1657="",$S1657="Có",AND($L1657&lt;&gt;"",OR($L1657&lt;&gt;"Chưa xác định",DANH_MUC!$L$9="Có"))),"Có","Không"))</f>
        <v/>
      </c>
      <c r="U1657" s="22">
        <f>IF(OR($D1657="",$T1657="Có"),"",IF($C1657="","Thiếu họ tên; ","")&amp;IF($S1657&lt;&gt;"Có","SĐT sai định dạng; ","")&amp;IF($R1657="Trùng","Trùng SĐT; ","")&amp;IF($Q1657&lt;&gt;"Có","Thiếu đồng ý bắt buộc; ","")&amp;IF($L1657="","Thiếu/sai Mã REF; ",IF(AND($L1657="Chưa xác định",DANH_MUC!$L$9&lt;&gt;"Có"),"Nguồn chưa xác định; ","")))</f>
        <v/>
      </c>
      <c r="V1657" s="22">
        <f>IF(OR($D1657="",$R1657="Trùng"),"",IF(COUNTIF(ORDERS!$C$2:$C$4995,$D1657)&gt;0,"Có","Không"))</f>
        <v/>
      </c>
      <c r="W1657" s="22">
        <f>IF(OR($D1657="",$R1657="Trùng"),"",COUNTIFS(ORDERS!$C$2:$C$4995,$D1657,ORDERS!$L$2:$L$4995,"Đã chuyển khoản"))</f>
        <v/>
      </c>
      <c r="X1657" s="23">
        <f>IF(OR($D1657="",$R1657="Trùng"),"",SUMIFS(ORDERS!$J$2:$J$4995,ORDERS!$C$2:$C$4995,$D1657,ORDERS!$L$2:$L$4995,"Đã chuyển khoản"))</f>
        <v/>
      </c>
      <c r="Y1657" s="24" t="n"/>
    </row>
    <row r="1658" ht="14.25" customHeight="1" s="40">
      <c r="A1658" s="24" t="n"/>
      <c r="B1658" s="27" t="n"/>
      <c r="C1658" s="24" t="n"/>
      <c r="D1658" s="28" t="n"/>
      <c r="E1658" s="29" t="n"/>
      <c r="F1658" s="24" t="n"/>
      <c r="G1658" s="24" t="n"/>
      <c r="H1658" s="21">
        <f>IF(ISNUMBER($B1658),INT($B1658)-WEEKDAY($B1658,2)+1,"")</f>
        <v/>
      </c>
      <c r="I1658" s="24" t="n"/>
      <c r="J1658" s="22">
        <f t="array" ref="J1658">IF($D1658="","",IF($I1658="","(trống REF)",IFERROR(INDEX(MASTER_SOURCE!$B$2:$B$495,MATCH($I1658,MASTER_SOURCE!$A$2:$A$495,0)),"(REF không có trong MASTER_SOURCE)")))</f>
        <v/>
      </c>
      <c r="K1658" s="22">
        <f t="array" ref="K1658">IF($D1658="","",IFERROR(INDEX(MASTER_SOURCE!$C$2:$C$495,MATCH($I1658,MASTER_SOURCE!$A$2:$A$495,0)),""))</f>
        <v/>
      </c>
      <c r="L1658" s="22">
        <f t="array" ref="L1658">IF($D1658="","",IFERROR(INDEX(MASTER_SOURCE!$D$2:$D$495,MATCH($I1658,MASTER_SOURCE!$A$2:$A$495,0)),""))</f>
        <v/>
      </c>
      <c r="M1658" s="24" t="n"/>
      <c r="N1658" s="24" t="n"/>
      <c r="O1658" s="24" t="n"/>
      <c r="P1658" s="24" t="n"/>
      <c r="Q1658" s="22">
        <f>IF($D1658="","",IF(AND(OR(DANH_MUC!$L$5&lt;&gt;"Có",M1658="Có"),OR(DANH_MUC!$L$6&lt;&gt;"Có",N1658="Có"),OR(DANH_MUC!$L$7&lt;&gt;"Có",O1658="Có"),OR(DANH_MUC!$L$8&lt;&gt;"Có",P1658="Có")),"Có","Không"))</f>
        <v/>
      </c>
      <c r="R1658" s="22">
        <f>IF($D1658="","",IF(COUNTIF($D$2:$D1658,$D1658)&gt;1,"Trùng",""))</f>
        <v/>
      </c>
      <c r="S1658" s="22">
        <f>IF($D1658="","",IF(AND(LEN($D1658)=10,LEFT($D1658,1)="0",ISNUMBER(--$D1658)),"Có","Không"))</f>
        <v/>
      </c>
      <c r="T1658" s="22">
        <f>IF($D1658="","",IF(AND($C1658&lt;&gt;"",$Q1658="Có",$R1658="",$S1658="Có",AND($L1658&lt;&gt;"",OR($L1658&lt;&gt;"Chưa xác định",DANH_MUC!$L$9="Có"))),"Có","Không"))</f>
        <v/>
      </c>
      <c r="U1658" s="22">
        <f>IF(OR($D1658="",$T1658="Có"),"",IF($C1658="","Thiếu họ tên; ","")&amp;IF($S1658&lt;&gt;"Có","SĐT sai định dạng; ","")&amp;IF($R1658="Trùng","Trùng SĐT; ","")&amp;IF($Q1658&lt;&gt;"Có","Thiếu đồng ý bắt buộc; ","")&amp;IF($L1658="","Thiếu/sai Mã REF; ",IF(AND($L1658="Chưa xác định",DANH_MUC!$L$9&lt;&gt;"Có"),"Nguồn chưa xác định; ","")))</f>
        <v/>
      </c>
      <c r="V1658" s="22">
        <f>IF(OR($D1658="",$R1658="Trùng"),"",IF(COUNTIF(ORDERS!$C$2:$C$4995,$D1658)&gt;0,"Có","Không"))</f>
        <v/>
      </c>
      <c r="W1658" s="22">
        <f>IF(OR($D1658="",$R1658="Trùng"),"",COUNTIFS(ORDERS!$C$2:$C$4995,$D1658,ORDERS!$L$2:$L$4995,"Đã chuyển khoản"))</f>
        <v/>
      </c>
      <c r="X1658" s="23">
        <f>IF(OR($D1658="",$R1658="Trùng"),"",SUMIFS(ORDERS!$J$2:$J$4995,ORDERS!$C$2:$C$4995,$D1658,ORDERS!$L$2:$L$4995,"Đã chuyển khoản"))</f>
        <v/>
      </c>
      <c r="Y1658" s="24" t="n"/>
    </row>
    <row r="1659" ht="14.25" customHeight="1" s="40">
      <c r="A1659" s="24" t="n"/>
      <c r="B1659" s="27" t="n"/>
      <c r="C1659" s="24" t="n"/>
      <c r="D1659" s="28" t="n"/>
      <c r="E1659" s="29" t="n"/>
      <c r="F1659" s="24" t="n"/>
      <c r="G1659" s="24" t="n"/>
      <c r="H1659" s="21">
        <f>IF(ISNUMBER($B1659),INT($B1659)-WEEKDAY($B1659,2)+1,"")</f>
        <v/>
      </c>
      <c r="I1659" s="24" t="n"/>
      <c r="J1659" s="22">
        <f t="array" ref="J1659">IF($D1659="","",IF($I1659="","(trống REF)",IFERROR(INDEX(MASTER_SOURCE!$B$2:$B$495,MATCH($I1659,MASTER_SOURCE!$A$2:$A$495,0)),"(REF không có trong MASTER_SOURCE)")))</f>
        <v/>
      </c>
      <c r="K1659" s="22">
        <f t="array" ref="K1659">IF($D1659="","",IFERROR(INDEX(MASTER_SOURCE!$C$2:$C$495,MATCH($I1659,MASTER_SOURCE!$A$2:$A$495,0)),""))</f>
        <v/>
      </c>
      <c r="L1659" s="22">
        <f t="array" ref="L1659">IF($D1659="","",IFERROR(INDEX(MASTER_SOURCE!$D$2:$D$495,MATCH($I1659,MASTER_SOURCE!$A$2:$A$495,0)),""))</f>
        <v/>
      </c>
      <c r="M1659" s="24" t="n"/>
      <c r="N1659" s="24" t="n"/>
      <c r="O1659" s="24" t="n"/>
      <c r="P1659" s="24" t="n"/>
      <c r="Q1659" s="22">
        <f>IF($D1659="","",IF(AND(OR(DANH_MUC!$L$5&lt;&gt;"Có",M1659="Có"),OR(DANH_MUC!$L$6&lt;&gt;"Có",N1659="Có"),OR(DANH_MUC!$L$7&lt;&gt;"Có",O1659="Có"),OR(DANH_MUC!$L$8&lt;&gt;"Có",P1659="Có")),"Có","Không"))</f>
        <v/>
      </c>
      <c r="R1659" s="22">
        <f>IF($D1659="","",IF(COUNTIF($D$2:$D1659,$D1659)&gt;1,"Trùng",""))</f>
        <v/>
      </c>
      <c r="S1659" s="22">
        <f>IF($D1659="","",IF(AND(LEN($D1659)=10,LEFT($D1659,1)="0",ISNUMBER(--$D1659)),"Có","Không"))</f>
        <v/>
      </c>
      <c r="T1659" s="22">
        <f>IF($D1659="","",IF(AND($C1659&lt;&gt;"",$Q1659="Có",$R1659="",$S1659="Có",AND($L1659&lt;&gt;"",OR($L1659&lt;&gt;"Chưa xác định",DANH_MUC!$L$9="Có"))),"Có","Không"))</f>
        <v/>
      </c>
      <c r="U1659" s="22">
        <f>IF(OR($D1659="",$T1659="Có"),"",IF($C1659="","Thiếu họ tên; ","")&amp;IF($S1659&lt;&gt;"Có","SĐT sai định dạng; ","")&amp;IF($R1659="Trùng","Trùng SĐT; ","")&amp;IF($Q1659&lt;&gt;"Có","Thiếu đồng ý bắt buộc; ","")&amp;IF($L1659="","Thiếu/sai Mã REF; ",IF(AND($L1659="Chưa xác định",DANH_MUC!$L$9&lt;&gt;"Có"),"Nguồn chưa xác định; ","")))</f>
        <v/>
      </c>
      <c r="V1659" s="22">
        <f>IF(OR($D1659="",$R1659="Trùng"),"",IF(COUNTIF(ORDERS!$C$2:$C$4995,$D1659)&gt;0,"Có","Không"))</f>
        <v/>
      </c>
      <c r="W1659" s="22">
        <f>IF(OR($D1659="",$R1659="Trùng"),"",COUNTIFS(ORDERS!$C$2:$C$4995,$D1659,ORDERS!$L$2:$L$4995,"Đã chuyển khoản"))</f>
        <v/>
      </c>
      <c r="X1659" s="23">
        <f>IF(OR($D1659="",$R1659="Trùng"),"",SUMIFS(ORDERS!$J$2:$J$4995,ORDERS!$C$2:$C$4995,$D1659,ORDERS!$L$2:$L$4995,"Đã chuyển khoản"))</f>
        <v/>
      </c>
      <c r="Y1659" s="24" t="n"/>
    </row>
    <row r="1660" ht="14.25" customHeight="1" s="40">
      <c r="A1660" s="24" t="n"/>
      <c r="B1660" s="27" t="n"/>
      <c r="C1660" s="24" t="n"/>
      <c r="D1660" s="28" t="n"/>
      <c r="E1660" s="29" t="n"/>
      <c r="F1660" s="24" t="n"/>
      <c r="G1660" s="24" t="n"/>
      <c r="H1660" s="21">
        <f>IF(ISNUMBER($B1660),INT($B1660)-WEEKDAY($B1660,2)+1,"")</f>
        <v/>
      </c>
      <c r="I1660" s="24" t="n"/>
      <c r="J1660" s="22">
        <f t="array" ref="J1660">IF($D1660="","",IF($I1660="","(trống REF)",IFERROR(INDEX(MASTER_SOURCE!$B$2:$B$495,MATCH($I1660,MASTER_SOURCE!$A$2:$A$495,0)),"(REF không có trong MASTER_SOURCE)")))</f>
        <v/>
      </c>
      <c r="K1660" s="22">
        <f t="array" ref="K1660">IF($D1660="","",IFERROR(INDEX(MASTER_SOURCE!$C$2:$C$495,MATCH($I1660,MASTER_SOURCE!$A$2:$A$495,0)),""))</f>
        <v/>
      </c>
      <c r="L1660" s="22">
        <f t="array" ref="L1660">IF($D1660="","",IFERROR(INDEX(MASTER_SOURCE!$D$2:$D$495,MATCH($I1660,MASTER_SOURCE!$A$2:$A$495,0)),""))</f>
        <v/>
      </c>
      <c r="M1660" s="24" t="n"/>
      <c r="N1660" s="24" t="n"/>
      <c r="O1660" s="24" t="n"/>
      <c r="P1660" s="24" t="n"/>
      <c r="Q1660" s="22">
        <f>IF($D1660="","",IF(AND(OR(DANH_MUC!$L$5&lt;&gt;"Có",M1660="Có"),OR(DANH_MUC!$L$6&lt;&gt;"Có",N1660="Có"),OR(DANH_MUC!$L$7&lt;&gt;"Có",O1660="Có"),OR(DANH_MUC!$L$8&lt;&gt;"Có",P1660="Có")),"Có","Không"))</f>
        <v/>
      </c>
      <c r="R1660" s="22">
        <f>IF($D1660="","",IF(COUNTIF($D$2:$D1660,$D1660)&gt;1,"Trùng",""))</f>
        <v/>
      </c>
      <c r="S1660" s="22">
        <f>IF($D1660="","",IF(AND(LEN($D1660)=10,LEFT($D1660,1)="0",ISNUMBER(--$D1660)),"Có","Không"))</f>
        <v/>
      </c>
      <c r="T1660" s="22">
        <f>IF($D1660="","",IF(AND($C1660&lt;&gt;"",$Q1660="Có",$R1660="",$S1660="Có",AND($L1660&lt;&gt;"",OR($L1660&lt;&gt;"Chưa xác định",DANH_MUC!$L$9="Có"))),"Có","Không"))</f>
        <v/>
      </c>
      <c r="U1660" s="22">
        <f>IF(OR($D1660="",$T1660="Có"),"",IF($C1660="","Thiếu họ tên; ","")&amp;IF($S1660&lt;&gt;"Có","SĐT sai định dạng; ","")&amp;IF($R1660="Trùng","Trùng SĐT; ","")&amp;IF($Q1660&lt;&gt;"Có","Thiếu đồng ý bắt buộc; ","")&amp;IF($L1660="","Thiếu/sai Mã REF; ",IF(AND($L1660="Chưa xác định",DANH_MUC!$L$9&lt;&gt;"Có"),"Nguồn chưa xác định; ","")))</f>
        <v/>
      </c>
      <c r="V1660" s="22">
        <f>IF(OR($D1660="",$R1660="Trùng"),"",IF(COUNTIF(ORDERS!$C$2:$C$4995,$D1660)&gt;0,"Có","Không"))</f>
        <v/>
      </c>
      <c r="W1660" s="22">
        <f>IF(OR($D1660="",$R1660="Trùng"),"",COUNTIFS(ORDERS!$C$2:$C$4995,$D1660,ORDERS!$L$2:$L$4995,"Đã chuyển khoản"))</f>
        <v/>
      </c>
      <c r="X1660" s="23">
        <f>IF(OR($D1660="",$R1660="Trùng"),"",SUMIFS(ORDERS!$J$2:$J$4995,ORDERS!$C$2:$C$4995,$D1660,ORDERS!$L$2:$L$4995,"Đã chuyển khoản"))</f>
        <v/>
      </c>
      <c r="Y1660" s="24" t="n"/>
    </row>
    <row r="1661" ht="14.25" customHeight="1" s="40">
      <c r="A1661" s="24" t="n"/>
      <c r="B1661" s="27" t="n"/>
      <c r="C1661" s="24" t="n"/>
      <c r="D1661" s="28" t="n"/>
      <c r="E1661" s="29" t="n"/>
      <c r="F1661" s="24" t="n"/>
      <c r="G1661" s="24" t="n"/>
      <c r="H1661" s="21">
        <f>IF(ISNUMBER($B1661),INT($B1661)-WEEKDAY($B1661,2)+1,"")</f>
        <v/>
      </c>
      <c r="I1661" s="24" t="n"/>
      <c r="J1661" s="22">
        <f t="array" ref="J1661">IF($D1661="","",IF($I1661="","(trống REF)",IFERROR(INDEX(MASTER_SOURCE!$B$2:$B$495,MATCH($I1661,MASTER_SOURCE!$A$2:$A$495,0)),"(REF không có trong MASTER_SOURCE)")))</f>
        <v/>
      </c>
      <c r="K1661" s="22">
        <f t="array" ref="K1661">IF($D1661="","",IFERROR(INDEX(MASTER_SOURCE!$C$2:$C$495,MATCH($I1661,MASTER_SOURCE!$A$2:$A$495,0)),""))</f>
        <v/>
      </c>
      <c r="L1661" s="22">
        <f t="array" ref="L1661">IF($D1661="","",IFERROR(INDEX(MASTER_SOURCE!$D$2:$D$495,MATCH($I1661,MASTER_SOURCE!$A$2:$A$495,0)),""))</f>
        <v/>
      </c>
      <c r="M1661" s="24" t="n"/>
      <c r="N1661" s="24" t="n"/>
      <c r="O1661" s="24" t="n"/>
      <c r="P1661" s="24" t="n"/>
      <c r="Q1661" s="22">
        <f>IF($D1661="","",IF(AND(OR(DANH_MUC!$L$5&lt;&gt;"Có",M1661="Có"),OR(DANH_MUC!$L$6&lt;&gt;"Có",N1661="Có"),OR(DANH_MUC!$L$7&lt;&gt;"Có",O1661="Có"),OR(DANH_MUC!$L$8&lt;&gt;"Có",P1661="Có")),"Có","Không"))</f>
        <v/>
      </c>
      <c r="R1661" s="22">
        <f>IF($D1661="","",IF(COUNTIF($D$2:$D1661,$D1661)&gt;1,"Trùng",""))</f>
        <v/>
      </c>
      <c r="S1661" s="22">
        <f>IF($D1661="","",IF(AND(LEN($D1661)=10,LEFT($D1661,1)="0",ISNUMBER(--$D1661)),"Có","Không"))</f>
        <v/>
      </c>
      <c r="T1661" s="22">
        <f>IF($D1661="","",IF(AND($C1661&lt;&gt;"",$Q1661="Có",$R1661="",$S1661="Có",AND($L1661&lt;&gt;"",OR($L1661&lt;&gt;"Chưa xác định",DANH_MUC!$L$9="Có"))),"Có","Không"))</f>
        <v/>
      </c>
      <c r="U1661" s="22">
        <f>IF(OR($D1661="",$T1661="Có"),"",IF($C1661="","Thiếu họ tên; ","")&amp;IF($S1661&lt;&gt;"Có","SĐT sai định dạng; ","")&amp;IF($R1661="Trùng","Trùng SĐT; ","")&amp;IF($Q1661&lt;&gt;"Có","Thiếu đồng ý bắt buộc; ","")&amp;IF($L1661="","Thiếu/sai Mã REF; ",IF(AND($L1661="Chưa xác định",DANH_MUC!$L$9&lt;&gt;"Có"),"Nguồn chưa xác định; ","")))</f>
        <v/>
      </c>
      <c r="V1661" s="22">
        <f>IF(OR($D1661="",$R1661="Trùng"),"",IF(COUNTIF(ORDERS!$C$2:$C$4995,$D1661)&gt;0,"Có","Không"))</f>
        <v/>
      </c>
      <c r="W1661" s="22">
        <f>IF(OR($D1661="",$R1661="Trùng"),"",COUNTIFS(ORDERS!$C$2:$C$4995,$D1661,ORDERS!$L$2:$L$4995,"Đã chuyển khoản"))</f>
        <v/>
      </c>
      <c r="X1661" s="23">
        <f>IF(OR($D1661="",$R1661="Trùng"),"",SUMIFS(ORDERS!$J$2:$J$4995,ORDERS!$C$2:$C$4995,$D1661,ORDERS!$L$2:$L$4995,"Đã chuyển khoản"))</f>
        <v/>
      </c>
      <c r="Y1661" s="24" t="n"/>
    </row>
    <row r="1662" ht="14.25" customHeight="1" s="40">
      <c r="A1662" s="24" t="n"/>
      <c r="B1662" s="27" t="n"/>
      <c r="C1662" s="24" t="n"/>
      <c r="D1662" s="28" t="n"/>
      <c r="E1662" s="29" t="n"/>
      <c r="F1662" s="24" t="n"/>
      <c r="G1662" s="24" t="n"/>
      <c r="H1662" s="21">
        <f>IF(ISNUMBER($B1662),INT($B1662)-WEEKDAY($B1662,2)+1,"")</f>
        <v/>
      </c>
      <c r="I1662" s="24" t="n"/>
      <c r="J1662" s="22">
        <f t="array" ref="J1662">IF($D1662="","",IF($I1662="","(trống REF)",IFERROR(INDEX(MASTER_SOURCE!$B$2:$B$495,MATCH($I1662,MASTER_SOURCE!$A$2:$A$495,0)),"(REF không có trong MASTER_SOURCE)")))</f>
        <v/>
      </c>
      <c r="K1662" s="22">
        <f t="array" ref="K1662">IF($D1662="","",IFERROR(INDEX(MASTER_SOURCE!$C$2:$C$495,MATCH($I1662,MASTER_SOURCE!$A$2:$A$495,0)),""))</f>
        <v/>
      </c>
      <c r="L1662" s="22">
        <f t="array" ref="L1662">IF($D1662="","",IFERROR(INDEX(MASTER_SOURCE!$D$2:$D$495,MATCH($I1662,MASTER_SOURCE!$A$2:$A$495,0)),""))</f>
        <v/>
      </c>
      <c r="M1662" s="24" t="n"/>
      <c r="N1662" s="24" t="n"/>
      <c r="O1662" s="24" t="n"/>
      <c r="P1662" s="24" t="n"/>
      <c r="Q1662" s="22">
        <f>IF($D1662="","",IF(AND(OR(DANH_MUC!$L$5&lt;&gt;"Có",M1662="Có"),OR(DANH_MUC!$L$6&lt;&gt;"Có",N1662="Có"),OR(DANH_MUC!$L$7&lt;&gt;"Có",O1662="Có"),OR(DANH_MUC!$L$8&lt;&gt;"Có",P1662="Có")),"Có","Không"))</f>
        <v/>
      </c>
      <c r="R1662" s="22">
        <f>IF($D1662="","",IF(COUNTIF($D$2:$D1662,$D1662)&gt;1,"Trùng",""))</f>
        <v/>
      </c>
      <c r="S1662" s="22">
        <f>IF($D1662="","",IF(AND(LEN($D1662)=10,LEFT($D1662,1)="0",ISNUMBER(--$D1662)),"Có","Không"))</f>
        <v/>
      </c>
      <c r="T1662" s="22">
        <f>IF($D1662="","",IF(AND($C1662&lt;&gt;"",$Q1662="Có",$R1662="",$S1662="Có",AND($L1662&lt;&gt;"",OR($L1662&lt;&gt;"Chưa xác định",DANH_MUC!$L$9="Có"))),"Có","Không"))</f>
        <v/>
      </c>
      <c r="U1662" s="22">
        <f>IF(OR($D1662="",$T1662="Có"),"",IF($C1662="","Thiếu họ tên; ","")&amp;IF($S1662&lt;&gt;"Có","SĐT sai định dạng; ","")&amp;IF($R1662="Trùng","Trùng SĐT; ","")&amp;IF($Q1662&lt;&gt;"Có","Thiếu đồng ý bắt buộc; ","")&amp;IF($L1662="","Thiếu/sai Mã REF; ",IF(AND($L1662="Chưa xác định",DANH_MUC!$L$9&lt;&gt;"Có"),"Nguồn chưa xác định; ","")))</f>
        <v/>
      </c>
      <c r="V1662" s="22">
        <f>IF(OR($D1662="",$R1662="Trùng"),"",IF(COUNTIF(ORDERS!$C$2:$C$4995,$D1662)&gt;0,"Có","Không"))</f>
        <v/>
      </c>
      <c r="W1662" s="22">
        <f>IF(OR($D1662="",$R1662="Trùng"),"",COUNTIFS(ORDERS!$C$2:$C$4995,$D1662,ORDERS!$L$2:$L$4995,"Đã chuyển khoản"))</f>
        <v/>
      </c>
      <c r="X1662" s="23">
        <f>IF(OR($D1662="",$R1662="Trùng"),"",SUMIFS(ORDERS!$J$2:$J$4995,ORDERS!$C$2:$C$4995,$D1662,ORDERS!$L$2:$L$4995,"Đã chuyển khoản"))</f>
        <v/>
      </c>
      <c r="Y1662" s="24" t="n"/>
    </row>
    <row r="1663" ht="14.25" customHeight="1" s="40">
      <c r="A1663" s="24" t="n"/>
      <c r="B1663" s="27" t="n"/>
      <c r="C1663" s="24" t="n"/>
      <c r="D1663" s="28" t="n"/>
      <c r="E1663" s="29" t="n"/>
      <c r="F1663" s="24" t="n"/>
      <c r="G1663" s="24" t="n"/>
      <c r="H1663" s="21">
        <f>IF(ISNUMBER($B1663),INT($B1663)-WEEKDAY($B1663,2)+1,"")</f>
        <v/>
      </c>
      <c r="I1663" s="24" t="n"/>
      <c r="J1663" s="22">
        <f t="array" ref="J1663">IF($D1663="","",IF($I1663="","(trống REF)",IFERROR(INDEX(MASTER_SOURCE!$B$2:$B$495,MATCH($I1663,MASTER_SOURCE!$A$2:$A$495,0)),"(REF không có trong MASTER_SOURCE)")))</f>
        <v/>
      </c>
      <c r="K1663" s="22">
        <f t="array" ref="K1663">IF($D1663="","",IFERROR(INDEX(MASTER_SOURCE!$C$2:$C$495,MATCH($I1663,MASTER_SOURCE!$A$2:$A$495,0)),""))</f>
        <v/>
      </c>
      <c r="L1663" s="22">
        <f t="array" ref="L1663">IF($D1663="","",IFERROR(INDEX(MASTER_SOURCE!$D$2:$D$495,MATCH($I1663,MASTER_SOURCE!$A$2:$A$495,0)),""))</f>
        <v/>
      </c>
      <c r="M1663" s="24" t="n"/>
      <c r="N1663" s="24" t="n"/>
      <c r="O1663" s="24" t="n"/>
      <c r="P1663" s="24" t="n"/>
      <c r="Q1663" s="22">
        <f>IF($D1663="","",IF(AND(OR(DANH_MUC!$L$5&lt;&gt;"Có",M1663="Có"),OR(DANH_MUC!$L$6&lt;&gt;"Có",N1663="Có"),OR(DANH_MUC!$L$7&lt;&gt;"Có",O1663="Có"),OR(DANH_MUC!$L$8&lt;&gt;"Có",P1663="Có")),"Có","Không"))</f>
        <v/>
      </c>
      <c r="R1663" s="22">
        <f>IF($D1663="","",IF(COUNTIF($D$2:$D1663,$D1663)&gt;1,"Trùng",""))</f>
        <v/>
      </c>
      <c r="S1663" s="22">
        <f>IF($D1663="","",IF(AND(LEN($D1663)=10,LEFT($D1663,1)="0",ISNUMBER(--$D1663)),"Có","Không"))</f>
        <v/>
      </c>
      <c r="T1663" s="22">
        <f>IF($D1663="","",IF(AND($C1663&lt;&gt;"",$Q1663="Có",$R1663="",$S1663="Có",AND($L1663&lt;&gt;"",OR($L1663&lt;&gt;"Chưa xác định",DANH_MUC!$L$9="Có"))),"Có","Không"))</f>
        <v/>
      </c>
      <c r="U1663" s="22">
        <f>IF(OR($D1663="",$T1663="Có"),"",IF($C1663="","Thiếu họ tên; ","")&amp;IF($S1663&lt;&gt;"Có","SĐT sai định dạng; ","")&amp;IF($R1663="Trùng","Trùng SĐT; ","")&amp;IF($Q1663&lt;&gt;"Có","Thiếu đồng ý bắt buộc; ","")&amp;IF($L1663="","Thiếu/sai Mã REF; ",IF(AND($L1663="Chưa xác định",DANH_MUC!$L$9&lt;&gt;"Có"),"Nguồn chưa xác định; ","")))</f>
        <v/>
      </c>
      <c r="V1663" s="22">
        <f>IF(OR($D1663="",$R1663="Trùng"),"",IF(COUNTIF(ORDERS!$C$2:$C$4995,$D1663)&gt;0,"Có","Không"))</f>
        <v/>
      </c>
      <c r="W1663" s="22">
        <f>IF(OR($D1663="",$R1663="Trùng"),"",COUNTIFS(ORDERS!$C$2:$C$4995,$D1663,ORDERS!$L$2:$L$4995,"Đã chuyển khoản"))</f>
        <v/>
      </c>
      <c r="X1663" s="23">
        <f>IF(OR($D1663="",$R1663="Trùng"),"",SUMIFS(ORDERS!$J$2:$J$4995,ORDERS!$C$2:$C$4995,$D1663,ORDERS!$L$2:$L$4995,"Đã chuyển khoản"))</f>
        <v/>
      </c>
      <c r="Y1663" s="24" t="n"/>
    </row>
    <row r="1664" ht="14.25" customHeight="1" s="40">
      <c r="A1664" s="24" t="n"/>
      <c r="B1664" s="27" t="n"/>
      <c r="C1664" s="24" t="n"/>
      <c r="D1664" s="28" t="n"/>
      <c r="E1664" s="29" t="n"/>
      <c r="F1664" s="24" t="n"/>
      <c r="G1664" s="24" t="n"/>
      <c r="H1664" s="21">
        <f>IF(ISNUMBER($B1664),INT($B1664)-WEEKDAY($B1664,2)+1,"")</f>
        <v/>
      </c>
      <c r="I1664" s="24" t="n"/>
      <c r="J1664" s="22">
        <f t="array" ref="J1664">IF($D1664="","",IF($I1664="","(trống REF)",IFERROR(INDEX(MASTER_SOURCE!$B$2:$B$495,MATCH($I1664,MASTER_SOURCE!$A$2:$A$495,0)),"(REF không có trong MASTER_SOURCE)")))</f>
        <v/>
      </c>
      <c r="K1664" s="22">
        <f t="array" ref="K1664">IF($D1664="","",IFERROR(INDEX(MASTER_SOURCE!$C$2:$C$495,MATCH($I1664,MASTER_SOURCE!$A$2:$A$495,0)),""))</f>
        <v/>
      </c>
      <c r="L1664" s="22">
        <f t="array" ref="L1664">IF($D1664="","",IFERROR(INDEX(MASTER_SOURCE!$D$2:$D$495,MATCH($I1664,MASTER_SOURCE!$A$2:$A$495,0)),""))</f>
        <v/>
      </c>
      <c r="M1664" s="24" t="n"/>
      <c r="N1664" s="24" t="n"/>
      <c r="O1664" s="24" t="n"/>
      <c r="P1664" s="24" t="n"/>
      <c r="Q1664" s="22">
        <f>IF($D1664="","",IF(AND(OR(DANH_MUC!$L$5&lt;&gt;"Có",M1664="Có"),OR(DANH_MUC!$L$6&lt;&gt;"Có",N1664="Có"),OR(DANH_MUC!$L$7&lt;&gt;"Có",O1664="Có"),OR(DANH_MUC!$L$8&lt;&gt;"Có",P1664="Có")),"Có","Không"))</f>
        <v/>
      </c>
      <c r="R1664" s="22">
        <f>IF($D1664="","",IF(COUNTIF($D$2:$D1664,$D1664)&gt;1,"Trùng",""))</f>
        <v/>
      </c>
      <c r="S1664" s="22">
        <f>IF($D1664="","",IF(AND(LEN($D1664)=10,LEFT($D1664,1)="0",ISNUMBER(--$D1664)),"Có","Không"))</f>
        <v/>
      </c>
      <c r="T1664" s="22">
        <f>IF($D1664="","",IF(AND($C1664&lt;&gt;"",$Q1664="Có",$R1664="",$S1664="Có",AND($L1664&lt;&gt;"",OR($L1664&lt;&gt;"Chưa xác định",DANH_MUC!$L$9="Có"))),"Có","Không"))</f>
        <v/>
      </c>
      <c r="U1664" s="22">
        <f>IF(OR($D1664="",$T1664="Có"),"",IF($C1664="","Thiếu họ tên; ","")&amp;IF($S1664&lt;&gt;"Có","SĐT sai định dạng; ","")&amp;IF($R1664="Trùng","Trùng SĐT; ","")&amp;IF($Q1664&lt;&gt;"Có","Thiếu đồng ý bắt buộc; ","")&amp;IF($L1664="","Thiếu/sai Mã REF; ",IF(AND($L1664="Chưa xác định",DANH_MUC!$L$9&lt;&gt;"Có"),"Nguồn chưa xác định; ","")))</f>
        <v/>
      </c>
      <c r="V1664" s="22">
        <f>IF(OR($D1664="",$R1664="Trùng"),"",IF(COUNTIF(ORDERS!$C$2:$C$4995,$D1664)&gt;0,"Có","Không"))</f>
        <v/>
      </c>
      <c r="W1664" s="22">
        <f>IF(OR($D1664="",$R1664="Trùng"),"",COUNTIFS(ORDERS!$C$2:$C$4995,$D1664,ORDERS!$L$2:$L$4995,"Đã chuyển khoản"))</f>
        <v/>
      </c>
      <c r="X1664" s="23">
        <f>IF(OR($D1664="",$R1664="Trùng"),"",SUMIFS(ORDERS!$J$2:$J$4995,ORDERS!$C$2:$C$4995,$D1664,ORDERS!$L$2:$L$4995,"Đã chuyển khoản"))</f>
        <v/>
      </c>
      <c r="Y1664" s="24" t="n"/>
    </row>
    <row r="1665" ht="14.25" customHeight="1" s="40">
      <c r="A1665" s="24" t="n"/>
      <c r="B1665" s="27" t="n"/>
      <c r="C1665" s="24" t="n"/>
      <c r="D1665" s="28" t="n"/>
      <c r="E1665" s="29" t="n"/>
      <c r="F1665" s="24" t="n"/>
      <c r="G1665" s="24" t="n"/>
      <c r="H1665" s="21">
        <f>IF(ISNUMBER($B1665),INT($B1665)-WEEKDAY($B1665,2)+1,"")</f>
        <v/>
      </c>
      <c r="I1665" s="24" t="n"/>
      <c r="J1665" s="22">
        <f t="array" ref="J1665">IF($D1665="","",IF($I1665="","(trống REF)",IFERROR(INDEX(MASTER_SOURCE!$B$2:$B$495,MATCH($I1665,MASTER_SOURCE!$A$2:$A$495,0)),"(REF không có trong MASTER_SOURCE)")))</f>
        <v/>
      </c>
      <c r="K1665" s="22">
        <f t="array" ref="K1665">IF($D1665="","",IFERROR(INDEX(MASTER_SOURCE!$C$2:$C$495,MATCH($I1665,MASTER_SOURCE!$A$2:$A$495,0)),""))</f>
        <v/>
      </c>
      <c r="L1665" s="22">
        <f t="array" ref="L1665">IF($D1665="","",IFERROR(INDEX(MASTER_SOURCE!$D$2:$D$495,MATCH($I1665,MASTER_SOURCE!$A$2:$A$495,0)),""))</f>
        <v/>
      </c>
      <c r="M1665" s="24" t="n"/>
      <c r="N1665" s="24" t="n"/>
      <c r="O1665" s="24" t="n"/>
      <c r="P1665" s="24" t="n"/>
      <c r="Q1665" s="22">
        <f>IF($D1665="","",IF(AND(OR(DANH_MUC!$L$5&lt;&gt;"Có",M1665="Có"),OR(DANH_MUC!$L$6&lt;&gt;"Có",N1665="Có"),OR(DANH_MUC!$L$7&lt;&gt;"Có",O1665="Có"),OR(DANH_MUC!$L$8&lt;&gt;"Có",P1665="Có")),"Có","Không"))</f>
        <v/>
      </c>
      <c r="R1665" s="22">
        <f>IF($D1665="","",IF(COUNTIF($D$2:$D1665,$D1665)&gt;1,"Trùng",""))</f>
        <v/>
      </c>
      <c r="S1665" s="22">
        <f>IF($D1665="","",IF(AND(LEN($D1665)=10,LEFT($D1665,1)="0",ISNUMBER(--$D1665)),"Có","Không"))</f>
        <v/>
      </c>
      <c r="T1665" s="22">
        <f>IF($D1665="","",IF(AND($C1665&lt;&gt;"",$Q1665="Có",$R1665="",$S1665="Có",AND($L1665&lt;&gt;"",OR($L1665&lt;&gt;"Chưa xác định",DANH_MUC!$L$9="Có"))),"Có","Không"))</f>
        <v/>
      </c>
      <c r="U1665" s="22">
        <f>IF(OR($D1665="",$T1665="Có"),"",IF($C1665="","Thiếu họ tên; ","")&amp;IF($S1665&lt;&gt;"Có","SĐT sai định dạng; ","")&amp;IF($R1665="Trùng","Trùng SĐT; ","")&amp;IF($Q1665&lt;&gt;"Có","Thiếu đồng ý bắt buộc; ","")&amp;IF($L1665="","Thiếu/sai Mã REF; ",IF(AND($L1665="Chưa xác định",DANH_MUC!$L$9&lt;&gt;"Có"),"Nguồn chưa xác định; ","")))</f>
        <v/>
      </c>
      <c r="V1665" s="22">
        <f>IF(OR($D1665="",$R1665="Trùng"),"",IF(COUNTIF(ORDERS!$C$2:$C$4995,$D1665)&gt;0,"Có","Không"))</f>
        <v/>
      </c>
      <c r="W1665" s="22">
        <f>IF(OR($D1665="",$R1665="Trùng"),"",COUNTIFS(ORDERS!$C$2:$C$4995,$D1665,ORDERS!$L$2:$L$4995,"Đã chuyển khoản"))</f>
        <v/>
      </c>
      <c r="X1665" s="23">
        <f>IF(OR($D1665="",$R1665="Trùng"),"",SUMIFS(ORDERS!$J$2:$J$4995,ORDERS!$C$2:$C$4995,$D1665,ORDERS!$L$2:$L$4995,"Đã chuyển khoản"))</f>
        <v/>
      </c>
      <c r="Y1665" s="24" t="n"/>
    </row>
    <row r="1666" ht="14.25" customHeight="1" s="40">
      <c r="A1666" s="24" t="n"/>
      <c r="B1666" s="27" t="n"/>
      <c r="C1666" s="24" t="n"/>
      <c r="D1666" s="28" t="n"/>
      <c r="E1666" s="29" t="n"/>
      <c r="F1666" s="24" t="n"/>
      <c r="G1666" s="24" t="n"/>
      <c r="H1666" s="21">
        <f>IF(ISNUMBER($B1666),INT($B1666)-WEEKDAY($B1666,2)+1,"")</f>
        <v/>
      </c>
      <c r="I1666" s="24" t="n"/>
      <c r="J1666" s="22">
        <f t="array" ref="J1666">IF($D1666="","",IF($I1666="","(trống REF)",IFERROR(INDEX(MASTER_SOURCE!$B$2:$B$495,MATCH($I1666,MASTER_SOURCE!$A$2:$A$495,0)),"(REF không có trong MASTER_SOURCE)")))</f>
        <v/>
      </c>
      <c r="K1666" s="22">
        <f t="array" ref="K1666">IF($D1666="","",IFERROR(INDEX(MASTER_SOURCE!$C$2:$C$495,MATCH($I1666,MASTER_SOURCE!$A$2:$A$495,0)),""))</f>
        <v/>
      </c>
      <c r="L1666" s="22">
        <f t="array" ref="L1666">IF($D1666="","",IFERROR(INDEX(MASTER_SOURCE!$D$2:$D$495,MATCH($I1666,MASTER_SOURCE!$A$2:$A$495,0)),""))</f>
        <v/>
      </c>
      <c r="M1666" s="24" t="n"/>
      <c r="N1666" s="24" t="n"/>
      <c r="O1666" s="24" t="n"/>
      <c r="P1666" s="24" t="n"/>
      <c r="Q1666" s="22">
        <f>IF($D1666="","",IF(AND(OR(DANH_MUC!$L$5&lt;&gt;"Có",M1666="Có"),OR(DANH_MUC!$L$6&lt;&gt;"Có",N1666="Có"),OR(DANH_MUC!$L$7&lt;&gt;"Có",O1666="Có"),OR(DANH_MUC!$L$8&lt;&gt;"Có",P1666="Có")),"Có","Không"))</f>
        <v/>
      </c>
      <c r="R1666" s="22">
        <f>IF($D1666="","",IF(COUNTIF($D$2:$D1666,$D1666)&gt;1,"Trùng",""))</f>
        <v/>
      </c>
      <c r="S1666" s="22">
        <f>IF($D1666="","",IF(AND(LEN($D1666)=10,LEFT($D1666,1)="0",ISNUMBER(--$D1666)),"Có","Không"))</f>
        <v/>
      </c>
      <c r="T1666" s="22">
        <f>IF($D1666="","",IF(AND($C1666&lt;&gt;"",$Q1666="Có",$R1666="",$S1666="Có",AND($L1666&lt;&gt;"",OR($L1666&lt;&gt;"Chưa xác định",DANH_MUC!$L$9="Có"))),"Có","Không"))</f>
        <v/>
      </c>
      <c r="U1666" s="22">
        <f>IF(OR($D1666="",$T1666="Có"),"",IF($C1666="","Thiếu họ tên; ","")&amp;IF($S1666&lt;&gt;"Có","SĐT sai định dạng; ","")&amp;IF($R1666="Trùng","Trùng SĐT; ","")&amp;IF($Q1666&lt;&gt;"Có","Thiếu đồng ý bắt buộc; ","")&amp;IF($L1666="","Thiếu/sai Mã REF; ",IF(AND($L1666="Chưa xác định",DANH_MUC!$L$9&lt;&gt;"Có"),"Nguồn chưa xác định; ","")))</f>
        <v/>
      </c>
      <c r="V1666" s="22">
        <f>IF(OR($D1666="",$R1666="Trùng"),"",IF(COUNTIF(ORDERS!$C$2:$C$4995,$D1666)&gt;0,"Có","Không"))</f>
        <v/>
      </c>
      <c r="W1666" s="22">
        <f>IF(OR($D1666="",$R1666="Trùng"),"",COUNTIFS(ORDERS!$C$2:$C$4995,$D1666,ORDERS!$L$2:$L$4995,"Đã chuyển khoản"))</f>
        <v/>
      </c>
      <c r="X1666" s="23">
        <f>IF(OR($D1666="",$R1666="Trùng"),"",SUMIFS(ORDERS!$J$2:$J$4995,ORDERS!$C$2:$C$4995,$D1666,ORDERS!$L$2:$L$4995,"Đã chuyển khoản"))</f>
        <v/>
      </c>
      <c r="Y1666" s="24" t="n"/>
    </row>
    <row r="1667" ht="14.25" customHeight="1" s="40">
      <c r="A1667" s="24" t="n"/>
      <c r="B1667" s="27" t="n"/>
      <c r="C1667" s="24" t="n"/>
      <c r="D1667" s="28" t="n"/>
      <c r="E1667" s="29" t="n"/>
      <c r="F1667" s="24" t="n"/>
      <c r="G1667" s="24" t="n"/>
      <c r="H1667" s="21">
        <f>IF(ISNUMBER($B1667),INT($B1667)-WEEKDAY($B1667,2)+1,"")</f>
        <v/>
      </c>
      <c r="I1667" s="24" t="n"/>
      <c r="J1667" s="22">
        <f t="array" ref="J1667">IF($D1667="","",IF($I1667="","(trống REF)",IFERROR(INDEX(MASTER_SOURCE!$B$2:$B$495,MATCH($I1667,MASTER_SOURCE!$A$2:$A$495,0)),"(REF không có trong MASTER_SOURCE)")))</f>
        <v/>
      </c>
      <c r="K1667" s="22">
        <f t="array" ref="K1667">IF($D1667="","",IFERROR(INDEX(MASTER_SOURCE!$C$2:$C$495,MATCH($I1667,MASTER_SOURCE!$A$2:$A$495,0)),""))</f>
        <v/>
      </c>
      <c r="L1667" s="22">
        <f t="array" ref="L1667">IF($D1667="","",IFERROR(INDEX(MASTER_SOURCE!$D$2:$D$495,MATCH($I1667,MASTER_SOURCE!$A$2:$A$495,0)),""))</f>
        <v/>
      </c>
      <c r="M1667" s="24" t="n"/>
      <c r="N1667" s="24" t="n"/>
      <c r="O1667" s="24" t="n"/>
      <c r="P1667" s="24" t="n"/>
      <c r="Q1667" s="22">
        <f>IF($D1667="","",IF(AND(OR(DANH_MUC!$L$5&lt;&gt;"Có",M1667="Có"),OR(DANH_MUC!$L$6&lt;&gt;"Có",N1667="Có"),OR(DANH_MUC!$L$7&lt;&gt;"Có",O1667="Có"),OR(DANH_MUC!$L$8&lt;&gt;"Có",P1667="Có")),"Có","Không"))</f>
        <v/>
      </c>
      <c r="R1667" s="22">
        <f>IF($D1667="","",IF(COUNTIF($D$2:$D1667,$D1667)&gt;1,"Trùng",""))</f>
        <v/>
      </c>
      <c r="S1667" s="22">
        <f>IF($D1667="","",IF(AND(LEN($D1667)=10,LEFT($D1667,1)="0",ISNUMBER(--$D1667)),"Có","Không"))</f>
        <v/>
      </c>
      <c r="T1667" s="22">
        <f>IF($D1667="","",IF(AND($C1667&lt;&gt;"",$Q1667="Có",$R1667="",$S1667="Có",AND($L1667&lt;&gt;"",OR($L1667&lt;&gt;"Chưa xác định",DANH_MUC!$L$9="Có"))),"Có","Không"))</f>
        <v/>
      </c>
      <c r="U1667" s="22">
        <f>IF(OR($D1667="",$T1667="Có"),"",IF($C1667="","Thiếu họ tên; ","")&amp;IF($S1667&lt;&gt;"Có","SĐT sai định dạng; ","")&amp;IF($R1667="Trùng","Trùng SĐT; ","")&amp;IF($Q1667&lt;&gt;"Có","Thiếu đồng ý bắt buộc; ","")&amp;IF($L1667="","Thiếu/sai Mã REF; ",IF(AND($L1667="Chưa xác định",DANH_MUC!$L$9&lt;&gt;"Có"),"Nguồn chưa xác định; ","")))</f>
        <v/>
      </c>
      <c r="V1667" s="22">
        <f>IF(OR($D1667="",$R1667="Trùng"),"",IF(COUNTIF(ORDERS!$C$2:$C$4995,$D1667)&gt;0,"Có","Không"))</f>
        <v/>
      </c>
      <c r="W1667" s="22">
        <f>IF(OR($D1667="",$R1667="Trùng"),"",COUNTIFS(ORDERS!$C$2:$C$4995,$D1667,ORDERS!$L$2:$L$4995,"Đã chuyển khoản"))</f>
        <v/>
      </c>
      <c r="X1667" s="23">
        <f>IF(OR($D1667="",$R1667="Trùng"),"",SUMIFS(ORDERS!$J$2:$J$4995,ORDERS!$C$2:$C$4995,$D1667,ORDERS!$L$2:$L$4995,"Đã chuyển khoản"))</f>
        <v/>
      </c>
      <c r="Y1667" s="24" t="n"/>
    </row>
    <row r="1668" ht="14.25" customHeight="1" s="40">
      <c r="A1668" s="24" t="n"/>
      <c r="B1668" s="27" t="n"/>
      <c r="C1668" s="24" t="n"/>
      <c r="D1668" s="28" t="n"/>
      <c r="E1668" s="29" t="n"/>
      <c r="F1668" s="24" t="n"/>
      <c r="G1668" s="24" t="n"/>
      <c r="H1668" s="21">
        <f>IF(ISNUMBER($B1668),INT($B1668)-WEEKDAY($B1668,2)+1,"")</f>
        <v/>
      </c>
      <c r="I1668" s="24" t="n"/>
      <c r="J1668" s="22">
        <f t="array" ref="J1668">IF($D1668="","",IF($I1668="","(trống REF)",IFERROR(INDEX(MASTER_SOURCE!$B$2:$B$495,MATCH($I1668,MASTER_SOURCE!$A$2:$A$495,0)),"(REF không có trong MASTER_SOURCE)")))</f>
        <v/>
      </c>
      <c r="K1668" s="22">
        <f t="array" ref="K1668">IF($D1668="","",IFERROR(INDEX(MASTER_SOURCE!$C$2:$C$495,MATCH($I1668,MASTER_SOURCE!$A$2:$A$495,0)),""))</f>
        <v/>
      </c>
      <c r="L1668" s="22">
        <f t="array" ref="L1668">IF($D1668="","",IFERROR(INDEX(MASTER_SOURCE!$D$2:$D$495,MATCH($I1668,MASTER_SOURCE!$A$2:$A$495,0)),""))</f>
        <v/>
      </c>
      <c r="M1668" s="24" t="n"/>
      <c r="N1668" s="24" t="n"/>
      <c r="O1668" s="24" t="n"/>
      <c r="P1668" s="24" t="n"/>
      <c r="Q1668" s="22">
        <f>IF($D1668="","",IF(AND(OR(DANH_MUC!$L$5&lt;&gt;"Có",M1668="Có"),OR(DANH_MUC!$L$6&lt;&gt;"Có",N1668="Có"),OR(DANH_MUC!$L$7&lt;&gt;"Có",O1668="Có"),OR(DANH_MUC!$L$8&lt;&gt;"Có",P1668="Có")),"Có","Không"))</f>
        <v/>
      </c>
      <c r="R1668" s="22">
        <f>IF($D1668="","",IF(COUNTIF($D$2:$D1668,$D1668)&gt;1,"Trùng",""))</f>
        <v/>
      </c>
      <c r="S1668" s="22">
        <f>IF($D1668="","",IF(AND(LEN($D1668)=10,LEFT($D1668,1)="0",ISNUMBER(--$D1668)),"Có","Không"))</f>
        <v/>
      </c>
      <c r="T1668" s="22">
        <f>IF($D1668="","",IF(AND($C1668&lt;&gt;"",$Q1668="Có",$R1668="",$S1668="Có",AND($L1668&lt;&gt;"",OR($L1668&lt;&gt;"Chưa xác định",DANH_MUC!$L$9="Có"))),"Có","Không"))</f>
        <v/>
      </c>
      <c r="U1668" s="22">
        <f>IF(OR($D1668="",$T1668="Có"),"",IF($C1668="","Thiếu họ tên; ","")&amp;IF($S1668&lt;&gt;"Có","SĐT sai định dạng; ","")&amp;IF($R1668="Trùng","Trùng SĐT; ","")&amp;IF($Q1668&lt;&gt;"Có","Thiếu đồng ý bắt buộc; ","")&amp;IF($L1668="","Thiếu/sai Mã REF; ",IF(AND($L1668="Chưa xác định",DANH_MUC!$L$9&lt;&gt;"Có"),"Nguồn chưa xác định; ","")))</f>
        <v/>
      </c>
      <c r="V1668" s="22">
        <f>IF(OR($D1668="",$R1668="Trùng"),"",IF(COUNTIF(ORDERS!$C$2:$C$4995,$D1668)&gt;0,"Có","Không"))</f>
        <v/>
      </c>
      <c r="W1668" s="22">
        <f>IF(OR($D1668="",$R1668="Trùng"),"",COUNTIFS(ORDERS!$C$2:$C$4995,$D1668,ORDERS!$L$2:$L$4995,"Đã chuyển khoản"))</f>
        <v/>
      </c>
      <c r="X1668" s="23">
        <f>IF(OR($D1668="",$R1668="Trùng"),"",SUMIFS(ORDERS!$J$2:$J$4995,ORDERS!$C$2:$C$4995,$D1668,ORDERS!$L$2:$L$4995,"Đã chuyển khoản"))</f>
        <v/>
      </c>
      <c r="Y1668" s="24" t="n"/>
    </row>
    <row r="1669" ht="14.25" customHeight="1" s="40">
      <c r="A1669" s="24" t="n"/>
      <c r="B1669" s="27" t="n"/>
      <c r="C1669" s="24" t="n"/>
      <c r="D1669" s="28" t="n"/>
      <c r="E1669" s="29" t="n"/>
      <c r="F1669" s="24" t="n"/>
      <c r="G1669" s="24" t="n"/>
      <c r="H1669" s="21">
        <f>IF(ISNUMBER($B1669),INT($B1669)-WEEKDAY($B1669,2)+1,"")</f>
        <v/>
      </c>
      <c r="I1669" s="24" t="n"/>
      <c r="J1669" s="22">
        <f t="array" ref="J1669">IF($D1669="","",IF($I1669="","(trống REF)",IFERROR(INDEX(MASTER_SOURCE!$B$2:$B$495,MATCH($I1669,MASTER_SOURCE!$A$2:$A$495,0)),"(REF không có trong MASTER_SOURCE)")))</f>
        <v/>
      </c>
      <c r="K1669" s="22">
        <f t="array" ref="K1669">IF($D1669="","",IFERROR(INDEX(MASTER_SOURCE!$C$2:$C$495,MATCH($I1669,MASTER_SOURCE!$A$2:$A$495,0)),""))</f>
        <v/>
      </c>
      <c r="L1669" s="22">
        <f t="array" ref="L1669">IF($D1669="","",IFERROR(INDEX(MASTER_SOURCE!$D$2:$D$495,MATCH($I1669,MASTER_SOURCE!$A$2:$A$495,0)),""))</f>
        <v/>
      </c>
      <c r="M1669" s="24" t="n"/>
      <c r="N1669" s="24" t="n"/>
      <c r="O1669" s="24" t="n"/>
      <c r="P1669" s="24" t="n"/>
      <c r="Q1669" s="22">
        <f>IF($D1669="","",IF(AND(OR(DANH_MUC!$L$5&lt;&gt;"Có",M1669="Có"),OR(DANH_MUC!$L$6&lt;&gt;"Có",N1669="Có"),OR(DANH_MUC!$L$7&lt;&gt;"Có",O1669="Có"),OR(DANH_MUC!$L$8&lt;&gt;"Có",P1669="Có")),"Có","Không"))</f>
        <v/>
      </c>
      <c r="R1669" s="22">
        <f>IF($D1669="","",IF(COUNTIF($D$2:$D1669,$D1669)&gt;1,"Trùng",""))</f>
        <v/>
      </c>
      <c r="S1669" s="22">
        <f>IF($D1669="","",IF(AND(LEN($D1669)=10,LEFT($D1669,1)="0",ISNUMBER(--$D1669)),"Có","Không"))</f>
        <v/>
      </c>
      <c r="T1669" s="22">
        <f>IF($D1669="","",IF(AND($C1669&lt;&gt;"",$Q1669="Có",$R1669="",$S1669="Có",AND($L1669&lt;&gt;"",OR($L1669&lt;&gt;"Chưa xác định",DANH_MUC!$L$9="Có"))),"Có","Không"))</f>
        <v/>
      </c>
      <c r="U1669" s="22">
        <f>IF(OR($D1669="",$T1669="Có"),"",IF($C1669="","Thiếu họ tên; ","")&amp;IF($S1669&lt;&gt;"Có","SĐT sai định dạng; ","")&amp;IF($R1669="Trùng","Trùng SĐT; ","")&amp;IF($Q1669&lt;&gt;"Có","Thiếu đồng ý bắt buộc; ","")&amp;IF($L1669="","Thiếu/sai Mã REF; ",IF(AND($L1669="Chưa xác định",DANH_MUC!$L$9&lt;&gt;"Có"),"Nguồn chưa xác định; ","")))</f>
        <v/>
      </c>
      <c r="V1669" s="22">
        <f>IF(OR($D1669="",$R1669="Trùng"),"",IF(COUNTIF(ORDERS!$C$2:$C$4995,$D1669)&gt;0,"Có","Không"))</f>
        <v/>
      </c>
      <c r="W1669" s="22">
        <f>IF(OR($D1669="",$R1669="Trùng"),"",COUNTIFS(ORDERS!$C$2:$C$4995,$D1669,ORDERS!$L$2:$L$4995,"Đã chuyển khoản"))</f>
        <v/>
      </c>
      <c r="X1669" s="23">
        <f>IF(OR($D1669="",$R1669="Trùng"),"",SUMIFS(ORDERS!$J$2:$J$4995,ORDERS!$C$2:$C$4995,$D1669,ORDERS!$L$2:$L$4995,"Đã chuyển khoản"))</f>
        <v/>
      </c>
      <c r="Y1669" s="24" t="n"/>
    </row>
    <row r="1670" ht="14.25" customHeight="1" s="40">
      <c r="A1670" s="24" t="n"/>
      <c r="B1670" s="27" t="n"/>
      <c r="C1670" s="24" t="n"/>
      <c r="D1670" s="28" t="n"/>
      <c r="E1670" s="29" t="n"/>
      <c r="F1670" s="24" t="n"/>
      <c r="G1670" s="24" t="n"/>
      <c r="H1670" s="21">
        <f>IF(ISNUMBER($B1670),INT($B1670)-WEEKDAY($B1670,2)+1,"")</f>
        <v/>
      </c>
      <c r="I1670" s="24" t="n"/>
      <c r="J1670" s="22">
        <f t="array" ref="J1670">IF($D1670="","",IF($I1670="","(trống REF)",IFERROR(INDEX(MASTER_SOURCE!$B$2:$B$495,MATCH($I1670,MASTER_SOURCE!$A$2:$A$495,0)),"(REF không có trong MASTER_SOURCE)")))</f>
        <v/>
      </c>
      <c r="K1670" s="22">
        <f t="array" ref="K1670">IF($D1670="","",IFERROR(INDEX(MASTER_SOURCE!$C$2:$C$495,MATCH($I1670,MASTER_SOURCE!$A$2:$A$495,0)),""))</f>
        <v/>
      </c>
      <c r="L1670" s="22">
        <f t="array" ref="L1670">IF($D1670="","",IFERROR(INDEX(MASTER_SOURCE!$D$2:$D$495,MATCH($I1670,MASTER_SOURCE!$A$2:$A$495,0)),""))</f>
        <v/>
      </c>
      <c r="M1670" s="24" t="n"/>
      <c r="N1670" s="24" t="n"/>
      <c r="O1670" s="24" t="n"/>
      <c r="P1670" s="24" t="n"/>
      <c r="Q1670" s="22">
        <f>IF($D1670="","",IF(AND(OR(DANH_MUC!$L$5&lt;&gt;"Có",M1670="Có"),OR(DANH_MUC!$L$6&lt;&gt;"Có",N1670="Có"),OR(DANH_MUC!$L$7&lt;&gt;"Có",O1670="Có"),OR(DANH_MUC!$L$8&lt;&gt;"Có",P1670="Có")),"Có","Không"))</f>
        <v/>
      </c>
      <c r="R1670" s="22">
        <f>IF($D1670="","",IF(COUNTIF($D$2:$D1670,$D1670)&gt;1,"Trùng",""))</f>
        <v/>
      </c>
      <c r="S1670" s="22">
        <f>IF($D1670="","",IF(AND(LEN($D1670)=10,LEFT($D1670,1)="0",ISNUMBER(--$D1670)),"Có","Không"))</f>
        <v/>
      </c>
      <c r="T1670" s="22">
        <f>IF($D1670="","",IF(AND($C1670&lt;&gt;"",$Q1670="Có",$R1670="",$S1670="Có",AND($L1670&lt;&gt;"",OR($L1670&lt;&gt;"Chưa xác định",DANH_MUC!$L$9="Có"))),"Có","Không"))</f>
        <v/>
      </c>
      <c r="U1670" s="22">
        <f>IF(OR($D1670="",$T1670="Có"),"",IF($C1670="","Thiếu họ tên; ","")&amp;IF($S1670&lt;&gt;"Có","SĐT sai định dạng; ","")&amp;IF($R1670="Trùng","Trùng SĐT; ","")&amp;IF($Q1670&lt;&gt;"Có","Thiếu đồng ý bắt buộc; ","")&amp;IF($L1670="","Thiếu/sai Mã REF; ",IF(AND($L1670="Chưa xác định",DANH_MUC!$L$9&lt;&gt;"Có"),"Nguồn chưa xác định; ","")))</f>
        <v/>
      </c>
      <c r="V1670" s="22">
        <f>IF(OR($D1670="",$R1670="Trùng"),"",IF(COUNTIF(ORDERS!$C$2:$C$4995,$D1670)&gt;0,"Có","Không"))</f>
        <v/>
      </c>
      <c r="W1670" s="22">
        <f>IF(OR($D1670="",$R1670="Trùng"),"",COUNTIFS(ORDERS!$C$2:$C$4995,$D1670,ORDERS!$L$2:$L$4995,"Đã chuyển khoản"))</f>
        <v/>
      </c>
      <c r="X1670" s="23">
        <f>IF(OR($D1670="",$R1670="Trùng"),"",SUMIFS(ORDERS!$J$2:$J$4995,ORDERS!$C$2:$C$4995,$D1670,ORDERS!$L$2:$L$4995,"Đã chuyển khoản"))</f>
        <v/>
      </c>
      <c r="Y1670" s="24" t="n"/>
    </row>
    <row r="1671" ht="14.25" customHeight="1" s="40">
      <c r="A1671" s="24" t="n"/>
      <c r="B1671" s="27" t="n"/>
      <c r="C1671" s="24" t="n"/>
      <c r="D1671" s="28" t="n"/>
      <c r="E1671" s="29" t="n"/>
      <c r="F1671" s="24" t="n"/>
      <c r="G1671" s="24" t="n"/>
      <c r="H1671" s="21">
        <f>IF(ISNUMBER($B1671),INT($B1671)-WEEKDAY($B1671,2)+1,"")</f>
        <v/>
      </c>
      <c r="I1671" s="24" t="n"/>
      <c r="J1671" s="22">
        <f t="array" ref="J1671">IF($D1671="","",IF($I1671="","(trống REF)",IFERROR(INDEX(MASTER_SOURCE!$B$2:$B$495,MATCH($I1671,MASTER_SOURCE!$A$2:$A$495,0)),"(REF không có trong MASTER_SOURCE)")))</f>
        <v/>
      </c>
      <c r="K1671" s="22">
        <f t="array" ref="K1671">IF($D1671="","",IFERROR(INDEX(MASTER_SOURCE!$C$2:$C$495,MATCH($I1671,MASTER_SOURCE!$A$2:$A$495,0)),""))</f>
        <v/>
      </c>
      <c r="L1671" s="22">
        <f t="array" ref="L1671">IF($D1671="","",IFERROR(INDEX(MASTER_SOURCE!$D$2:$D$495,MATCH($I1671,MASTER_SOURCE!$A$2:$A$495,0)),""))</f>
        <v/>
      </c>
      <c r="M1671" s="24" t="n"/>
      <c r="N1671" s="24" t="n"/>
      <c r="O1671" s="24" t="n"/>
      <c r="P1671" s="24" t="n"/>
      <c r="Q1671" s="22">
        <f>IF($D1671="","",IF(AND(OR(DANH_MUC!$L$5&lt;&gt;"Có",M1671="Có"),OR(DANH_MUC!$L$6&lt;&gt;"Có",N1671="Có"),OR(DANH_MUC!$L$7&lt;&gt;"Có",O1671="Có"),OR(DANH_MUC!$L$8&lt;&gt;"Có",P1671="Có")),"Có","Không"))</f>
        <v/>
      </c>
      <c r="R1671" s="22">
        <f>IF($D1671="","",IF(COUNTIF($D$2:$D1671,$D1671)&gt;1,"Trùng",""))</f>
        <v/>
      </c>
      <c r="S1671" s="22">
        <f>IF($D1671="","",IF(AND(LEN($D1671)=10,LEFT($D1671,1)="0",ISNUMBER(--$D1671)),"Có","Không"))</f>
        <v/>
      </c>
      <c r="T1671" s="22">
        <f>IF($D1671="","",IF(AND($C1671&lt;&gt;"",$Q1671="Có",$R1671="",$S1671="Có",AND($L1671&lt;&gt;"",OR($L1671&lt;&gt;"Chưa xác định",DANH_MUC!$L$9="Có"))),"Có","Không"))</f>
        <v/>
      </c>
      <c r="U1671" s="22">
        <f>IF(OR($D1671="",$T1671="Có"),"",IF($C1671="","Thiếu họ tên; ","")&amp;IF($S1671&lt;&gt;"Có","SĐT sai định dạng; ","")&amp;IF($R1671="Trùng","Trùng SĐT; ","")&amp;IF($Q1671&lt;&gt;"Có","Thiếu đồng ý bắt buộc; ","")&amp;IF($L1671="","Thiếu/sai Mã REF; ",IF(AND($L1671="Chưa xác định",DANH_MUC!$L$9&lt;&gt;"Có"),"Nguồn chưa xác định; ","")))</f>
        <v/>
      </c>
      <c r="V1671" s="22">
        <f>IF(OR($D1671="",$R1671="Trùng"),"",IF(COUNTIF(ORDERS!$C$2:$C$4995,$D1671)&gt;0,"Có","Không"))</f>
        <v/>
      </c>
      <c r="W1671" s="22">
        <f>IF(OR($D1671="",$R1671="Trùng"),"",COUNTIFS(ORDERS!$C$2:$C$4995,$D1671,ORDERS!$L$2:$L$4995,"Đã chuyển khoản"))</f>
        <v/>
      </c>
      <c r="X1671" s="23">
        <f>IF(OR($D1671="",$R1671="Trùng"),"",SUMIFS(ORDERS!$J$2:$J$4995,ORDERS!$C$2:$C$4995,$D1671,ORDERS!$L$2:$L$4995,"Đã chuyển khoản"))</f>
        <v/>
      </c>
      <c r="Y1671" s="24" t="n"/>
    </row>
    <row r="1672" ht="14.25" customHeight="1" s="40">
      <c r="A1672" s="24" t="n"/>
      <c r="B1672" s="27" t="n"/>
      <c r="C1672" s="24" t="n"/>
      <c r="D1672" s="28" t="n"/>
      <c r="E1672" s="29" t="n"/>
      <c r="F1672" s="24" t="n"/>
      <c r="G1672" s="24" t="n"/>
      <c r="H1672" s="21">
        <f>IF(ISNUMBER($B1672),INT($B1672)-WEEKDAY($B1672,2)+1,"")</f>
        <v/>
      </c>
      <c r="I1672" s="24" t="n"/>
      <c r="J1672" s="22">
        <f t="array" ref="J1672">IF($D1672="","",IF($I1672="","(trống REF)",IFERROR(INDEX(MASTER_SOURCE!$B$2:$B$495,MATCH($I1672,MASTER_SOURCE!$A$2:$A$495,0)),"(REF không có trong MASTER_SOURCE)")))</f>
        <v/>
      </c>
      <c r="K1672" s="22">
        <f t="array" ref="K1672">IF($D1672="","",IFERROR(INDEX(MASTER_SOURCE!$C$2:$C$495,MATCH($I1672,MASTER_SOURCE!$A$2:$A$495,0)),""))</f>
        <v/>
      </c>
      <c r="L1672" s="22">
        <f t="array" ref="L1672">IF($D1672="","",IFERROR(INDEX(MASTER_SOURCE!$D$2:$D$495,MATCH($I1672,MASTER_SOURCE!$A$2:$A$495,0)),""))</f>
        <v/>
      </c>
      <c r="M1672" s="24" t="n"/>
      <c r="N1672" s="24" t="n"/>
      <c r="O1672" s="24" t="n"/>
      <c r="P1672" s="24" t="n"/>
      <c r="Q1672" s="22">
        <f>IF($D1672="","",IF(AND(OR(DANH_MUC!$L$5&lt;&gt;"Có",M1672="Có"),OR(DANH_MUC!$L$6&lt;&gt;"Có",N1672="Có"),OR(DANH_MUC!$L$7&lt;&gt;"Có",O1672="Có"),OR(DANH_MUC!$L$8&lt;&gt;"Có",P1672="Có")),"Có","Không"))</f>
        <v/>
      </c>
      <c r="R1672" s="22">
        <f>IF($D1672="","",IF(COUNTIF($D$2:$D1672,$D1672)&gt;1,"Trùng",""))</f>
        <v/>
      </c>
      <c r="S1672" s="22">
        <f>IF($D1672="","",IF(AND(LEN($D1672)=10,LEFT($D1672,1)="0",ISNUMBER(--$D1672)),"Có","Không"))</f>
        <v/>
      </c>
      <c r="T1672" s="22">
        <f>IF($D1672="","",IF(AND($C1672&lt;&gt;"",$Q1672="Có",$R1672="",$S1672="Có",AND($L1672&lt;&gt;"",OR($L1672&lt;&gt;"Chưa xác định",DANH_MUC!$L$9="Có"))),"Có","Không"))</f>
        <v/>
      </c>
      <c r="U1672" s="22">
        <f>IF(OR($D1672="",$T1672="Có"),"",IF($C1672="","Thiếu họ tên; ","")&amp;IF($S1672&lt;&gt;"Có","SĐT sai định dạng; ","")&amp;IF($R1672="Trùng","Trùng SĐT; ","")&amp;IF($Q1672&lt;&gt;"Có","Thiếu đồng ý bắt buộc; ","")&amp;IF($L1672="","Thiếu/sai Mã REF; ",IF(AND($L1672="Chưa xác định",DANH_MUC!$L$9&lt;&gt;"Có"),"Nguồn chưa xác định; ","")))</f>
        <v/>
      </c>
      <c r="V1672" s="22">
        <f>IF(OR($D1672="",$R1672="Trùng"),"",IF(COUNTIF(ORDERS!$C$2:$C$4995,$D1672)&gt;0,"Có","Không"))</f>
        <v/>
      </c>
      <c r="W1672" s="22">
        <f>IF(OR($D1672="",$R1672="Trùng"),"",COUNTIFS(ORDERS!$C$2:$C$4995,$D1672,ORDERS!$L$2:$L$4995,"Đã chuyển khoản"))</f>
        <v/>
      </c>
      <c r="X1672" s="23">
        <f>IF(OR($D1672="",$R1672="Trùng"),"",SUMIFS(ORDERS!$J$2:$J$4995,ORDERS!$C$2:$C$4995,$D1672,ORDERS!$L$2:$L$4995,"Đã chuyển khoản"))</f>
        <v/>
      </c>
      <c r="Y1672" s="24" t="n"/>
    </row>
    <row r="1673" ht="14.25" customHeight="1" s="40">
      <c r="A1673" s="24" t="n"/>
      <c r="B1673" s="27" t="n"/>
      <c r="C1673" s="24" t="n"/>
      <c r="D1673" s="28" t="n"/>
      <c r="E1673" s="29" t="n"/>
      <c r="F1673" s="24" t="n"/>
      <c r="G1673" s="24" t="n"/>
      <c r="H1673" s="21">
        <f>IF(ISNUMBER($B1673),INT($B1673)-WEEKDAY($B1673,2)+1,"")</f>
        <v/>
      </c>
      <c r="I1673" s="24" t="n"/>
      <c r="J1673" s="22">
        <f t="array" ref="J1673">IF($D1673="","",IF($I1673="","(trống REF)",IFERROR(INDEX(MASTER_SOURCE!$B$2:$B$495,MATCH($I1673,MASTER_SOURCE!$A$2:$A$495,0)),"(REF không có trong MASTER_SOURCE)")))</f>
        <v/>
      </c>
      <c r="K1673" s="22">
        <f t="array" ref="K1673">IF($D1673="","",IFERROR(INDEX(MASTER_SOURCE!$C$2:$C$495,MATCH($I1673,MASTER_SOURCE!$A$2:$A$495,0)),""))</f>
        <v/>
      </c>
      <c r="L1673" s="22">
        <f t="array" ref="L1673">IF($D1673="","",IFERROR(INDEX(MASTER_SOURCE!$D$2:$D$495,MATCH($I1673,MASTER_SOURCE!$A$2:$A$495,0)),""))</f>
        <v/>
      </c>
      <c r="M1673" s="24" t="n"/>
      <c r="N1673" s="24" t="n"/>
      <c r="O1673" s="24" t="n"/>
      <c r="P1673" s="24" t="n"/>
      <c r="Q1673" s="22">
        <f>IF($D1673="","",IF(AND(OR(DANH_MUC!$L$5&lt;&gt;"Có",M1673="Có"),OR(DANH_MUC!$L$6&lt;&gt;"Có",N1673="Có"),OR(DANH_MUC!$L$7&lt;&gt;"Có",O1673="Có"),OR(DANH_MUC!$L$8&lt;&gt;"Có",P1673="Có")),"Có","Không"))</f>
        <v/>
      </c>
      <c r="R1673" s="22">
        <f>IF($D1673="","",IF(COUNTIF($D$2:$D1673,$D1673)&gt;1,"Trùng",""))</f>
        <v/>
      </c>
      <c r="S1673" s="22">
        <f>IF($D1673="","",IF(AND(LEN($D1673)=10,LEFT($D1673,1)="0",ISNUMBER(--$D1673)),"Có","Không"))</f>
        <v/>
      </c>
      <c r="T1673" s="22">
        <f>IF($D1673="","",IF(AND($C1673&lt;&gt;"",$Q1673="Có",$R1673="",$S1673="Có",AND($L1673&lt;&gt;"",OR($L1673&lt;&gt;"Chưa xác định",DANH_MUC!$L$9="Có"))),"Có","Không"))</f>
        <v/>
      </c>
      <c r="U1673" s="22">
        <f>IF(OR($D1673="",$T1673="Có"),"",IF($C1673="","Thiếu họ tên; ","")&amp;IF($S1673&lt;&gt;"Có","SĐT sai định dạng; ","")&amp;IF($R1673="Trùng","Trùng SĐT; ","")&amp;IF($Q1673&lt;&gt;"Có","Thiếu đồng ý bắt buộc; ","")&amp;IF($L1673="","Thiếu/sai Mã REF; ",IF(AND($L1673="Chưa xác định",DANH_MUC!$L$9&lt;&gt;"Có"),"Nguồn chưa xác định; ","")))</f>
        <v/>
      </c>
      <c r="V1673" s="22">
        <f>IF(OR($D1673="",$R1673="Trùng"),"",IF(COUNTIF(ORDERS!$C$2:$C$4995,$D1673)&gt;0,"Có","Không"))</f>
        <v/>
      </c>
      <c r="W1673" s="22">
        <f>IF(OR($D1673="",$R1673="Trùng"),"",COUNTIFS(ORDERS!$C$2:$C$4995,$D1673,ORDERS!$L$2:$L$4995,"Đã chuyển khoản"))</f>
        <v/>
      </c>
      <c r="X1673" s="23">
        <f>IF(OR($D1673="",$R1673="Trùng"),"",SUMIFS(ORDERS!$J$2:$J$4995,ORDERS!$C$2:$C$4995,$D1673,ORDERS!$L$2:$L$4995,"Đã chuyển khoản"))</f>
        <v/>
      </c>
      <c r="Y1673" s="24" t="n"/>
    </row>
    <row r="1674" ht="14.25" customHeight="1" s="40">
      <c r="A1674" s="24" t="n"/>
      <c r="B1674" s="27" t="n"/>
      <c r="C1674" s="24" t="n"/>
      <c r="D1674" s="28" t="n"/>
      <c r="E1674" s="29" t="n"/>
      <c r="F1674" s="24" t="n"/>
      <c r="G1674" s="24" t="n"/>
      <c r="H1674" s="21">
        <f>IF(ISNUMBER($B1674),INT($B1674)-WEEKDAY($B1674,2)+1,"")</f>
        <v/>
      </c>
      <c r="I1674" s="24" t="n"/>
      <c r="J1674" s="22">
        <f t="array" ref="J1674">IF($D1674="","",IF($I1674="","(trống REF)",IFERROR(INDEX(MASTER_SOURCE!$B$2:$B$495,MATCH($I1674,MASTER_SOURCE!$A$2:$A$495,0)),"(REF không có trong MASTER_SOURCE)")))</f>
        <v/>
      </c>
      <c r="K1674" s="22">
        <f t="array" ref="K1674">IF($D1674="","",IFERROR(INDEX(MASTER_SOURCE!$C$2:$C$495,MATCH($I1674,MASTER_SOURCE!$A$2:$A$495,0)),""))</f>
        <v/>
      </c>
      <c r="L1674" s="22">
        <f t="array" ref="L1674">IF($D1674="","",IFERROR(INDEX(MASTER_SOURCE!$D$2:$D$495,MATCH($I1674,MASTER_SOURCE!$A$2:$A$495,0)),""))</f>
        <v/>
      </c>
      <c r="M1674" s="24" t="n"/>
      <c r="N1674" s="24" t="n"/>
      <c r="O1674" s="24" t="n"/>
      <c r="P1674" s="24" t="n"/>
      <c r="Q1674" s="22">
        <f>IF($D1674="","",IF(AND(OR(DANH_MUC!$L$5&lt;&gt;"Có",M1674="Có"),OR(DANH_MUC!$L$6&lt;&gt;"Có",N1674="Có"),OR(DANH_MUC!$L$7&lt;&gt;"Có",O1674="Có"),OR(DANH_MUC!$L$8&lt;&gt;"Có",P1674="Có")),"Có","Không"))</f>
        <v/>
      </c>
      <c r="R1674" s="22">
        <f>IF($D1674="","",IF(COUNTIF($D$2:$D1674,$D1674)&gt;1,"Trùng",""))</f>
        <v/>
      </c>
      <c r="S1674" s="22">
        <f>IF($D1674="","",IF(AND(LEN($D1674)=10,LEFT($D1674,1)="0",ISNUMBER(--$D1674)),"Có","Không"))</f>
        <v/>
      </c>
      <c r="T1674" s="22">
        <f>IF($D1674="","",IF(AND($C1674&lt;&gt;"",$Q1674="Có",$R1674="",$S1674="Có",AND($L1674&lt;&gt;"",OR($L1674&lt;&gt;"Chưa xác định",DANH_MUC!$L$9="Có"))),"Có","Không"))</f>
        <v/>
      </c>
      <c r="U1674" s="22">
        <f>IF(OR($D1674="",$T1674="Có"),"",IF($C1674="","Thiếu họ tên; ","")&amp;IF($S1674&lt;&gt;"Có","SĐT sai định dạng; ","")&amp;IF($R1674="Trùng","Trùng SĐT; ","")&amp;IF($Q1674&lt;&gt;"Có","Thiếu đồng ý bắt buộc; ","")&amp;IF($L1674="","Thiếu/sai Mã REF; ",IF(AND($L1674="Chưa xác định",DANH_MUC!$L$9&lt;&gt;"Có"),"Nguồn chưa xác định; ","")))</f>
        <v/>
      </c>
      <c r="V1674" s="22">
        <f>IF(OR($D1674="",$R1674="Trùng"),"",IF(COUNTIF(ORDERS!$C$2:$C$4995,$D1674)&gt;0,"Có","Không"))</f>
        <v/>
      </c>
      <c r="W1674" s="22">
        <f>IF(OR($D1674="",$R1674="Trùng"),"",COUNTIFS(ORDERS!$C$2:$C$4995,$D1674,ORDERS!$L$2:$L$4995,"Đã chuyển khoản"))</f>
        <v/>
      </c>
      <c r="X1674" s="23">
        <f>IF(OR($D1674="",$R1674="Trùng"),"",SUMIFS(ORDERS!$J$2:$J$4995,ORDERS!$C$2:$C$4995,$D1674,ORDERS!$L$2:$L$4995,"Đã chuyển khoản"))</f>
        <v/>
      </c>
      <c r="Y1674" s="24" t="n"/>
    </row>
    <row r="1675" ht="14.25" customHeight="1" s="40">
      <c r="A1675" s="24" t="n"/>
      <c r="B1675" s="27" t="n"/>
      <c r="C1675" s="24" t="n"/>
      <c r="D1675" s="28" t="n"/>
      <c r="E1675" s="29" t="n"/>
      <c r="F1675" s="24" t="n"/>
      <c r="G1675" s="24" t="n"/>
      <c r="H1675" s="21">
        <f>IF(ISNUMBER($B1675),INT($B1675)-WEEKDAY($B1675,2)+1,"")</f>
        <v/>
      </c>
      <c r="I1675" s="24" t="n"/>
      <c r="J1675" s="22">
        <f t="array" ref="J1675">IF($D1675="","",IF($I1675="","(trống REF)",IFERROR(INDEX(MASTER_SOURCE!$B$2:$B$495,MATCH($I1675,MASTER_SOURCE!$A$2:$A$495,0)),"(REF không có trong MASTER_SOURCE)")))</f>
        <v/>
      </c>
      <c r="K1675" s="22">
        <f t="array" ref="K1675">IF($D1675="","",IFERROR(INDEX(MASTER_SOURCE!$C$2:$C$495,MATCH($I1675,MASTER_SOURCE!$A$2:$A$495,0)),""))</f>
        <v/>
      </c>
      <c r="L1675" s="22">
        <f t="array" ref="L1675">IF($D1675="","",IFERROR(INDEX(MASTER_SOURCE!$D$2:$D$495,MATCH($I1675,MASTER_SOURCE!$A$2:$A$495,0)),""))</f>
        <v/>
      </c>
      <c r="M1675" s="24" t="n"/>
      <c r="N1675" s="24" t="n"/>
      <c r="O1675" s="24" t="n"/>
      <c r="P1675" s="24" t="n"/>
      <c r="Q1675" s="22">
        <f>IF($D1675="","",IF(AND(OR(DANH_MUC!$L$5&lt;&gt;"Có",M1675="Có"),OR(DANH_MUC!$L$6&lt;&gt;"Có",N1675="Có"),OR(DANH_MUC!$L$7&lt;&gt;"Có",O1675="Có"),OR(DANH_MUC!$L$8&lt;&gt;"Có",P1675="Có")),"Có","Không"))</f>
        <v/>
      </c>
      <c r="R1675" s="22">
        <f>IF($D1675="","",IF(COUNTIF($D$2:$D1675,$D1675)&gt;1,"Trùng",""))</f>
        <v/>
      </c>
      <c r="S1675" s="22">
        <f>IF($D1675="","",IF(AND(LEN($D1675)=10,LEFT($D1675,1)="0",ISNUMBER(--$D1675)),"Có","Không"))</f>
        <v/>
      </c>
      <c r="T1675" s="22">
        <f>IF($D1675="","",IF(AND($C1675&lt;&gt;"",$Q1675="Có",$R1675="",$S1675="Có",AND($L1675&lt;&gt;"",OR($L1675&lt;&gt;"Chưa xác định",DANH_MUC!$L$9="Có"))),"Có","Không"))</f>
        <v/>
      </c>
      <c r="U1675" s="22">
        <f>IF(OR($D1675="",$T1675="Có"),"",IF($C1675="","Thiếu họ tên; ","")&amp;IF($S1675&lt;&gt;"Có","SĐT sai định dạng; ","")&amp;IF($R1675="Trùng","Trùng SĐT; ","")&amp;IF($Q1675&lt;&gt;"Có","Thiếu đồng ý bắt buộc; ","")&amp;IF($L1675="","Thiếu/sai Mã REF; ",IF(AND($L1675="Chưa xác định",DANH_MUC!$L$9&lt;&gt;"Có"),"Nguồn chưa xác định; ","")))</f>
        <v/>
      </c>
      <c r="V1675" s="22">
        <f>IF(OR($D1675="",$R1675="Trùng"),"",IF(COUNTIF(ORDERS!$C$2:$C$4995,$D1675)&gt;0,"Có","Không"))</f>
        <v/>
      </c>
      <c r="W1675" s="22">
        <f>IF(OR($D1675="",$R1675="Trùng"),"",COUNTIFS(ORDERS!$C$2:$C$4995,$D1675,ORDERS!$L$2:$L$4995,"Đã chuyển khoản"))</f>
        <v/>
      </c>
      <c r="X1675" s="23">
        <f>IF(OR($D1675="",$R1675="Trùng"),"",SUMIFS(ORDERS!$J$2:$J$4995,ORDERS!$C$2:$C$4995,$D1675,ORDERS!$L$2:$L$4995,"Đã chuyển khoản"))</f>
        <v/>
      </c>
      <c r="Y1675" s="24" t="n"/>
    </row>
    <row r="1676" ht="14.25" customHeight="1" s="40">
      <c r="A1676" s="24" t="n"/>
      <c r="B1676" s="27" t="n"/>
      <c r="C1676" s="24" t="n"/>
      <c r="D1676" s="28" t="n"/>
      <c r="E1676" s="29" t="n"/>
      <c r="F1676" s="24" t="n"/>
      <c r="G1676" s="24" t="n"/>
      <c r="H1676" s="21">
        <f>IF(ISNUMBER($B1676),INT($B1676)-WEEKDAY($B1676,2)+1,"")</f>
        <v/>
      </c>
      <c r="I1676" s="24" t="n"/>
      <c r="J1676" s="22">
        <f t="array" ref="J1676">IF($D1676="","",IF($I1676="","(trống REF)",IFERROR(INDEX(MASTER_SOURCE!$B$2:$B$495,MATCH($I1676,MASTER_SOURCE!$A$2:$A$495,0)),"(REF không có trong MASTER_SOURCE)")))</f>
        <v/>
      </c>
      <c r="K1676" s="22">
        <f t="array" ref="K1676">IF($D1676="","",IFERROR(INDEX(MASTER_SOURCE!$C$2:$C$495,MATCH($I1676,MASTER_SOURCE!$A$2:$A$495,0)),""))</f>
        <v/>
      </c>
      <c r="L1676" s="22">
        <f t="array" ref="L1676">IF($D1676="","",IFERROR(INDEX(MASTER_SOURCE!$D$2:$D$495,MATCH($I1676,MASTER_SOURCE!$A$2:$A$495,0)),""))</f>
        <v/>
      </c>
      <c r="M1676" s="24" t="n"/>
      <c r="N1676" s="24" t="n"/>
      <c r="O1676" s="24" t="n"/>
      <c r="P1676" s="24" t="n"/>
      <c r="Q1676" s="22">
        <f>IF($D1676="","",IF(AND(OR(DANH_MUC!$L$5&lt;&gt;"Có",M1676="Có"),OR(DANH_MUC!$L$6&lt;&gt;"Có",N1676="Có"),OR(DANH_MUC!$L$7&lt;&gt;"Có",O1676="Có"),OR(DANH_MUC!$L$8&lt;&gt;"Có",P1676="Có")),"Có","Không"))</f>
        <v/>
      </c>
      <c r="R1676" s="22">
        <f>IF($D1676="","",IF(COUNTIF($D$2:$D1676,$D1676)&gt;1,"Trùng",""))</f>
        <v/>
      </c>
      <c r="S1676" s="22">
        <f>IF($D1676="","",IF(AND(LEN($D1676)=10,LEFT($D1676,1)="0",ISNUMBER(--$D1676)),"Có","Không"))</f>
        <v/>
      </c>
      <c r="T1676" s="22">
        <f>IF($D1676="","",IF(AND($C1676&lt;&gt;"",$Q1676="Có",$R1676="",$S1676="Có",AND($L1676&lt;&gt;"",OR($L1676&lt;&gt;"Chưa xác định",DANH_MUC!$L$9="Có"))),"Có","Không"))</f>
        <v/>
      </c>
      <c r="U1676" s="22">
        <f>IF(OR($D1676="",$T1676="Có"),"",IF($C1676="","Thiếu họ tên; ","")&amp;IF($S1676&lt;&gt;"Có","SĐT sai định dạng; ","")&amp;IF($R1676="Trùng","Trùng SĐT; ","")&amp;IF($Q1676&lt;&gt;"Có","Thiếu đồng ý bắt buộc; ","")&amp;IF($L1676="","Thiếu/sai Mã REF; ",IF(AND($L1676="Chưa xác định",DANH_MUC!$L$9&lt;&gt;"Có"),"Nguồn chưa xác định; ","")))</f>
        <v/>
      </c>
      <c r="V1676" s="22">
        <f>IF(OR($D1676="",$R1676="Trùng"),"",IF(COUNTIF(ORDERS!$C$2:$C$4995,$D1676)&gt;0,"Có","Không"))</f>
        <v/>
      </c>
      <c r="W1676" s="22">
        <f>IF(OR($D1676="",$R1676="Trùng"),"",COUNTIFS(ORDERS!$C$2:$C$4995,$D1676,ORDERS!$L$2:$L$4995,"Đã chuyển khoản"))</f>
        <v/>
      </c>
      <c r="X1676" s="23">
        <f>IF(OR($D1676="",$R1676="Trùng"),"",SUMIFS(ORDERS!$J$2:$J$4995,ORDERS!$C$2:$C$4995,$D1676,ORDERS!$L$2:$L$4995,"Đã chuyển khoản"))</f>
        <v/>
      </c>
      <c r="Y1676" s="24" t="n"/>
    </row>
    <row r="1677" ht="14.25" customHeight="1" s="40">
      <c r="A1677" s="24" t="n"/>
      <c r="B1677" s="27" t="n"/>
      <c r="C1677" s="24" t="n"/>
      <c r="D1677" s="28" t="n"/>
      <c r="E1677" s="29" t="n"/>
      <c r="F1677" s="24" t="n"/>
      <c r="G1677" s="24" t="n"/>
      <c r="H1677" s="21">
        <f>IF(ISNUMBER($B1677),INT($B1677)-WEEKDAY($B1677,2)+1,"")</f>
        <v/>
      </c>
      <c r="I1677" s="24" t="n"/>
      <c r="J1677" s="22">
        <f t="array" ref="J1677">IF($D1677="","",IF($I1677="","(trống REF)",IFERROR(INDEX(MASTER_SOURCE!$B$2:$B$495,MATCH($I1677,MASTER_SOURCE!$A$2:$A$495,0)),"(REF không có trong MASTER_SOURCE)")))</f>
        <v/>
      </c>
      <c r="K1677" s="22">
        <f t="array" ref="K1677">IF($D1677="","",IFERROR(INDEX(MASTER_SOURCE!$C$2:$C$495,MATCH($I1677,MASTER_SOURCE!$A$2:$A$495,0)),""))</f>
        <v/>
      </c>
      <c r="L1677" s="22">
        <f t="array" ref="L1677">IF($D1677="","",IFERROR(INDEX(MASTER_SOURCE!$D$2:$D$495,MATCH($I1677,MASTER_SOURCE!$A$2:$A$495,0)),""))</f>
        <v/>
      </c>
      <c r="M1677" s="24" t="n"/>
      <c r="N1677" s="24" t="n"/>
      <c r="O1677" s="24" t="n"/>
      <c r="P1677" s="24" t="n"/>
      <c r="Q1677" s="22">
        <f>IF($D1677="","",IF(AND(OR(DANH_MUC!$L$5&lt;&gt;"Có",M1677="Có"),OR(DANH_MUC!$L$6&lt;&gt;"Có",N1677="Có"),OR(DANH_MUC!$L$7&lt;&gt;"Có",O1677="Có"),OR(DANH_MUC!$L$8&lt;&gt;"Có",P1677="Có")),"Có","Không"))</f>
        <v/>
      </c>
      <c r="R1677" s="22">
        <f>IF($D1677="","",IF(COUNTIF($D$2:$D1677,$D1677)&gt;1,"Trùng",""))</f>
        <v/>
      </c>
      <c r="S1677" s="22">
        <f>IF($D1677="","",IF(AND(LEN($D1677)=10,LEFT($D1677,1)="0",ISNUMBER(--$D1677)),"Có","Không"))</f>
        <v/>
      </c>
      <c r="T1677" s="22">
        <f>IF($D1677="","",IF(AND($C1677&lt;&gt;"",$Q1677="Có",$R1677="",$S1677="Có",AND($L1677&lt;&gt;"",OR($L1677&lt;&gt;"Chưa xác định",DANH_MUC!$L$9="Có"))),"Có","Không"))</f>
        <v/>
      </c>
      <c r="U1677" s="22">
        <f>IF(OR($D1677="",$T1677="Có"),"",IF($C1677="","Thiếu họ tên; ","")&amp;IF($S1677&lt;&gt;"Có","SĐT sai định dạng; ","")&amp;IF($R1677="Trùng","Trùng SĐT; ","")&amp;IF($Q1677&lt;&gt;"Có","Thiếu đồng ý bắt buộc; ","")&amp;IF($L1677="","Thiếu/sai Mã REF; ",IF(AND($L1677="Chưa xác định",DANH_MUC!$L$9&lt;&gt;"Có"),"Nguồn chưa xác định; ","")))</f>
        <v/>
      </c>
      <c r="V1677" s="22">
        <f>IF(OR($D1677="",$R1677="Trùng"),"",IF(COUNTIF(ORDERS!$C$2:$C$4995,$D1677)&gt;0,"Có","Không"))</f>
        <v/>
      </c>
      <c r="W1677" s="22">
        <f>IF(OR($D1677="",$R1677="Trùng"),"",COUNTIFS(ORDERS!$C$2:$C$4995,$D1677,ORDERS!$L$2:$L$4995,"Đã chuyển khoản"))</f>
        <v/>
      </c>
      <c r="X1677" s="23">
        <f>IF(OR($D1677="",$R1677="Trùng"),"",SUMIFS(ORDERS!$J$2:$J$4995,ORDERS!$C$2:$C$4995,$D1677,ORDERS!$L$2:$L$4995,"Đã chuyển khoản"))</f>
        <v/>
      </c>
      <c r="Y1677" s="24" t="n"/>
    </row>
    <row r="1678" ht="14.25" customHeight="1" s="40">
      <c r="A1678" s="24" t="n"/>
      <c r="B1678" s="27" t="n"/>
      <c r="C1678" s="24" t="n"/>
      <c r="D1678" s="28" t="n"/>
      <c r="E1678" s="29" t="n"/>
      <c r="F1678" s="24" t="n"/>
      <c r="G1678" s="24" t="n"/>
      <c r="H1678" s="21">
        <f>IF(ISNUMBER($B1678),INT($B1678)-WEEKDAY($B1678,2)+1,"")</f>
        <v/>
      </c>
      <c r="I1678" s="24" t="n"/>
      <c r="J1678" s="22">
        <f t="array" ref="J1678">IF($D1678="","",IF($I1678="","(trống REF)",IFERROR(INDEX(MASTER_SOURCE!$B$2:$B$495,MATCH($I1678,MASTER_SOURCE!$A$2:$A$495,0)),"(REF không có trong MASTER_SOURCE)")))</f>
        <v/>
      </c>
      <c r="K1678" s="22">
        <f t="array" ref="K1678">IF($D1678="","",IFERROR(INDEX(MASTER_SOURCE!$C$2:$C$495,MATCH($I1678,MASTER_SOURCE!$A$2:$A$495,0)),""))</f>
        <v/>
      </c>
      <c r="L1678" s="22">
        <f t="array" ref="L1678">IF($D1678="","",IFERROR(INDEX(MASTER_SOURCE!$D$2:$D$495,MATCH($I1678,MASTER_SOURCE!$A$2:$A$495,0)),""))</f>
        <v/>
      </c>
      <c r="M1678" s="24" t="n"/>
      <c r="N1678" s="24" t="n"/>
      <c r="O1678" s="24" t="n"/>
      <c r="P1678" s="24" t="n"/>
      <c r="Q1678" s="22">
        <f>IF($D1678="","",IF(AND(OR(DANH_MUC!$L$5&lt;&gt;"Có",M1678="Có"),OR(DANH_MUC!$L$6&lt;&gt;"Có",N1678="Có"),OR(DANH_MUC!$L$7&lt;&gt;"Có",O1678="Có"),OR(DANH_MUC!$L$8&lt;&gt;"Có",P1678="Có")),"Có","Không"))</f>
        <v/>
      </c>
      <c r="R1678" s="22">
        <f>IF($D1678="","",IF(COUNTIF($D$2:$D1678,$D1678)&gt;1,"Trùng",""))</f>
        <v/>
      </c>
      <c r="S1678" s="22">
        <f>IF($D1678="","",IF(AND(LEN($D1678)=10,LEFT($D1678,1)="0",ISNUMBER(--$D1678)),"Có","Không"))</f>
        <v/>
      </c>
      <c r="T1678" s="22">
        <f>IF($D1678="","",IF(AND($C1678&lt;&gt;"",$Q1678="Có",$R1678="",$S1678="Có",AND($L1678&lt;&gt;"",OR($L1678&lt;&gt;"Chưa xác định",DANH_MUC!$L$9="Có"))),"Có","Không"))</f>
        <v/>
      </c>
      <c r="U1678" s="22">
        <f>IF(OR($D1678="",$T1678="Có"),"",IF($C1678="","Thiếu họ tên; ","")&amp;IF($S1678&lt;&gt;"Có","SĐT sai định dạng; ","")&amp;IF($R1678="Trùng","Trùng SĐT; ","")&amp;IF($Q1678&lt;&gt;"Có","Thiếu đồng ý bắt buộc; ","")&amp;IF($L1678="","Thiếu/sai Mã REF; ",IF(AND($L1678="Chưa xác định",DANH_MUC!$L$9&lt;&gt;"Có"),"Nguồn chưa xác định; ","")))</f>
        <v/>
      </c>
      <c r="V1678" s="22">
        <f>IF(OR($D1678="",$R1678="Trùng"),"",IF(COUNTIF(ORDERS!$C$2:$C$4995,$D1678)&gt;0,"Có","Không"))</f>
        <v/>
      </c>
      <c r="W1678" s="22">
        <f>IF(OR($D1678="",$R1678="Trùng"),"",COUNTIFS(ORDERS!$C$2:$C$4995,$D1678,ORDERS!$L$2:$L$4995,"Đã chuyển khoản"))</f>
        <v/>
      </c>
      <c r="X1678" s="23">
        <f>IF(OR($D1678="",$R1678="Trùng"),"",SUMIFS(ORDERS!$J$2:$J$4995,ORDERS!$C$2:$C$4995,$D1678,ORDERS!$L$2:$L$4995,"Đã chuyển khoản"))</f>
        <v/>
      </c>
      <c r="Y1678" s="24" t="n"/>
    </row>
    <row r="1679" ht="14.25" customHeight="1" s="40">
      <c r="A1679" s="24" t="n"/>
      <c r="B1679" s="27" t="n"/>
      <c r="C1679" s="24" t="n"/>
      <c r="D1679" s="28" t="n"/>
      <c r="E1679" s="29" t="n"/>
      <c r="F1679" s="24" t="n"/>
      <c r="G1679" s="24" t="n"/>
      <c r="H1679" s="21">
        <f>IF(ISNUMBER($B1679),INT($B1679)-WEEKDAY($B1679,2)+1,"")</f>
        <v/>
      </c>
      <c r="I1679" s="24" t="n"/>
      <c r="J1679" s="22">
        <f t="array" ref="J1679">IF($D1679="","",IF($I1679="","(trống REF)",IFERROR(INDEX(MASTER_SOURCE!$B$2:$B$495,MATCH($I1679,MASTER_SOURCE!$A$2:$A$495,0)),"(REF không có trong MASTER_SOURCE)")))</f>
        <v/>
      </c>
      <c r="K1679" s="22">
        <f t="array" ref="K1679">IF($D1679="","",IFERROR(INDEX(MASTER_SOURCE!$C$2:$C$495,MATCH($I1679,MASTER_SOURCE!$A$2:$A$495,0)),""))</f>
        <v/>
      </c>
      <c r="L1679" s="22">
        <f t="array" ref="L1679">IF($D1679="","",IFERROR(INDEX(MASTER_SOURCE!$D$2:$D$495,MATCH($I1679,MASTER_SOURCE!$A$2:$A$495,0)),""))</f>
        <v/>
      </c>
      <c r="M1679" s="24" t="n"/>
      <c r="N1679" s="24" t="n"/>
      <c r="O1679" s="24" t="n"/>
      <c r="P1679" s="24" t="n"/>
      <c r="Q1679" s="22">
        <f>IF($D1679="","",IF(AND(OR(DANH_MUC!$L$5&lt;&gt;"Có",M1679="Có"),OR(DANH_MUC!$L$6&lt;&gt;"Có",N1679="Có"),OR(DANH_MUC!$L$7&lt;&gt;"Có",O1679="Có"),OR(DANH_MUC!$L$8&lt;&gt;"Có",P1679="Có")),"Có","Không"))</f>
        <v/>
      </c>
      <c r="R1679" s="22">
        <f>IF($D1679="","",IF(COUNTIF($D$2:$D1679,$D1679)&gt;1,"Trùng",""))</f>
        <v/>
      </c>
      <c r="S1679" s="22">
        <f>IF($D1679="","",IF(AND(LEN($D1679)=10,LEFT($D1679,1)="0",ISNUMBER(--$D1679)),"Có","Không"))</f>
        <v/>
      </c>
      <c r="T1679" s="22">
        <f>IF($D1679="","",IF(AND($C1679&lt;&gt;"",$Q1679="Có",$R1679="",$S1679="Có",AND($L1679&lt;&gt;"",OR($L1679&lt;&gt;"Chưa xác định",DANH_MUC!$L$9="Có"))),"Có","Không"))</f>
        <v/>
      </c>
      <c r="U1679" s="22">
        <f>IF(OR($D1679="",$T1679="Có"),"",IF($C1679="","Thiếu họ tên; ","")&amp;IF($S1679&lt;&gt;"Có","SĐT sai định dạng; ","")&amp;IF($R1679="Trùng","Trùng SĐT; ","")&amp;IF($Q1679&lt;&gt;"Có","Thiếu đồng ý bắt buộc; ","")&amp;IF($L1679="","Thiếu/sai Mã REF; ",IF(AND($L1679="Chưa xác định",DANH_MUC!$L$9&lt;&gt;"Có"),"Nguồn chưa xác định; ","")))</f>
        <v/>
      </c>
      <c r="V1679" s="22">
        <f>IF(OR($D1679="",$R1679="Trùng"),"",IF(COUNTIF(ORDERS!$C$2:$C$4995,$D1679)&gt;0,"Có","Không"))</f>
        <v/>
      </c>
      <c r="W1679" s="22">
        <f>IF(OR($D1679="",$R1679="Trùng"),"",COUNTIFS(ORDERS!$C$2:$C$4995,$D1679,ORDERS!$L$2:$L$4995,"Đã chuyển khoản"))</f>
        <v/>
      </c>
      <c r="X1679" s="23">
        <f>IF(OR($D1679="",$R1679="Trùng"),"",SUMIFS(ORDERS!$J$2:$J$4995,ORDERS!$C$2:$C$4995,$D1679,ORDERS!$L$2:$L$4995,"Đã chuyển khoản"))</f>
        <v/>
      </c>
      <c r="Y1679" s="24" t="n"/>
    </row>
    <row r="1680" ht="14.25" customHeight="1" s="40">
      <c r="A1680" s="24" t="n"/>
      <c r="B1680" s="27" t="n"/>
      <c r="C1680" s="24" t="n"/>
      <c r="D1680" s="28" t="n"/>
      <c r="E1680" s="29" t="n"/>
      <c r="F1680" s="24" t="n"/>
      <c r="G1680" s="24" t="n"/>
      <c r="H1680" s="21">
        <f>IF(ISNUMBER($B1680),INT($B1680)-WEEKDAY($B1680,2)+1,"")</f>
        <v/>
      </c>
      <c r="I1680" s="24" t="n"/>
      <c r="J1680" s="22">
        <f t="array" ref="J1680">IF($D1680="","",IF($I1680="","(trống REF)",IFERROR(INDEX(MASTER_SOURCE!$B$2:$B$495,MATCH($I1680,MASTER_SOURCE!$A$2:$A$495,0)),"(REF không có trong MASTER_SOURCE)")))</f>
        <v/>
      </c>
      <c r="K1680" s="22">
        <f t="array" ref="K1680">IF($D1680="","",IFERROR(INDEX(MASTER_SOURCE!$C$2:$C$495,MATCH($I1680,MASTER_SOURCE!$A$2:$A$495,0)),""))</f>
        <v/>
      </c>
      <c r="L1680" s="22">
        <f t="array" ref="L1680">IF($D1680="","",IFERROR(INDEX(MASTER_SOURCE!$D$2:$D$495,MATCH($I1680,MASTER_SOURCE!$A$2:$A$495,0)),""))</f>
        <v/>
      </c>
      <c r="M1680" s="24" t="n"/>
      <c r="N1680" s="24" t="n"/>
      <c r="O1680" s="24" t="n"/>
      <c r="P1680" s="24" t="n"/>
      <c r="Q1680" s="22">
        <f>IF($D1680="","",IF(AND(OR(DANH_MUC!$L$5&lt;&gt;"Có",M1680="Có"),OR(DANH_MUC!$L$6&lt;&gt;"Có",N1680="Có"),OR(DANH_MUC!$L$7&lt;&gt;"Có",O1680="Có"),OR(DANH_MUC!$L$8&lt;&gt;"Có",P1680="Có")),"Có","Không"))</f>
        <v/>
      </c>
      <c r="R1680" s="22">
        <f>IF($D1680="","",IF(COUNTIF($D$2:$D1680,$D1680)&gt;1,"Trùng",""))</f>
        <v/>
      </c>
      <c r="S1680" s="22">
        <f>IF($D1680="","",IF(AND(LEN($D1680)=10,LEFT($D1680,1)="0",ISNUMBER(--$D1680)),"Có","Không"))</f>
        <v/>
      </c>
      <c r="T1680" s="22">
        <f>IF($D1680="","",IF(AND($C1680&lt;&gt;"",$Q1680="Có",$R1680="",$S1680="Có",AND($L1680&lt;&gt;"",OR($L1680&lt;&gt;"Chưa xác định",DANH_MUC!$L$9="Có"))),"Có","Không"))</f>
        <v/>
      </c>
      <c r="U1680" s="22">
        <f>IF(OR($D1680="",$T1680="Có"),"",IF($C1680="","Thiếu họ tên; ","")&amp;IF($S1680&lt;&gt;"Có","SĐT sai định dạng; ","")&amp;IF($R1680="Trùng","Trùng SĐT; ","")&amp;IF($Q1680&lt;&gt;"Có","Thiếu đồng ý bắt buộc; ","")&amp;IF($L1680="","Thiếu/sai Mã REF; ",IF(AND($L1680="Chưa xác định",DANH_MUC!$L$9&lt;&gt;"Có"),"Nguồn chưa xác định; ","")))</f>
        <v/>
      </c>
      <c r="V1680" s="22">
        <f>IF(OR($D1680="",$R1680="Trùng"),"",IF(COUNTIF(ORDERS!$C$2:$C$4995,$D1680)&gt;0,"Có","Không"))</f>
        <v/>
      </c>
      <c r="W1680" s="22">
        <f>IF(OR($D1680="",$R1680="Trùng"),"",COUNTIFS(ORDERS!$C$2:$C$4995,$D1680,ORDERS!$L$2:$L$4995,"Đã chuyển khoản"))</f>
        <v/>
      </c>
      <c r="X1680" s="23">
        <f>IF(OR($D1680="",$R1680="Trùng"),"",SUMIFS(ORDERS!$J$2:$J$4995,ORDERS!$C$2:$C$4995,$D1680,ORDERS!$L$2:$L$4995,"Đã chuyển khoản"))</f>
        <v/>
      </c>
      <c r="Y1680" s="24" t="n"/>
    </row>
    <row r="1681" ht="14.25" customHeight="1" s="40">
      <c r="A1681" s="24" t="n"/>
      <c r="B1681" s="27" t="n"/>
      <c r="C1681" s="24" t="n"/>
      <c r="D1681" s="28" t="n"/>
      <c r="E1681" s="29" t="n"/>
      <c r="F1681" s="24" t="n"/>
      <c r="G1681" s="24" t="n"/>
      <c r="H1681" s="21">
        <f>IF(ISNUMBER($B1681),INT($B1681)-WEEKDAY($B1681,2)+1,"")</f>
        <v/>
      </c>
      <c r="I1681" s="24" t="n"/>
      <c r="J1681" s="22">
        <f t="array" ref="J1681">IF($D1681="","",IF($I1681="","(trống REF)",IFERROR(INDEX(MASTER_SOURCE!$B$2:$B$495,MATCH($I1681,MASTER_SOURCE!$A$2:$A$495,0)),"(REF không có trong MASTER_SOURCE)")))</f>
        <v/>
      </c>
      <c r="K1681" s="22">
        <f t="array" ref="K1681">IF($D1681="","",IFERROR(INDEX(MASTER_SOURCE!$C$2:$C$495,MATCH($I1681,MASTER_SOURCE!$A$2:$A$495,0)),""))</f>
        <v/>
      </c>
      <c r="L1681" s="22">
        <f t="array" ref="L1681">IF($D1681="","",IFERROR(INDEX(MASTER_SOURCE!$D$2:$D$495,MATCH($I1681,MASTER_SOURCE!$A$2:$A$495,0)),""))</f>
        <v/>
      </c>
      <c r="M1681" s="24" t="n"/>
      <c r="N1681" s="24" t="n"/>
      <c r="O1681" s="24" t="n"/>
      <c r="P1681" s="24" t="n"/>
      <c r="Q1681" s="22">
        <f>IF($D1681="","",IF(AND(OR(DANH_MUC!$L$5&lt;&gt;"Có",M1681="Có"),OR(DANH_MUC!$L$6&lt;&gt;"Có",N1681="Có"),OR(DANH_MUC!$L$7&lt;&gt;"Có",O1681="Có"),OR(DANH_MUC!$L$8&lt;&gt;"Có",P1681="Có")),"Có","Không"))</f>
        <v/>
      </c>
      <c r="R1681" s="22">
        <f>IF($D1681="","",IF(COUNTIF($D$2:$D1681,$D1681)&gt;1,"Trùng",""))</f>
        <v/>
      </c>
      <c r="S1681" s="22">
        <f>IF($D1681="","",IF(AND(LEN($D1681)=10,LEFT($D1681,1)="0",ISNUMBER(--$D1681)),"Có","Không"))</f>
        <v/>
      </c>
      <c r="T1681" s="22">
        <f>IF($D1681="","",IF(AND($C1681&lt;&gt;"",$Q1681="Có",$R1681="",$S1681="Có",AND($L1681&lt;&gt;"",OR($L1681&lt;&gt;"Chưa xác định",DANH_MUC!$L$9="Có"))),"Có","Không"))</f>
        <v/>
      </c>
      <c r="U1681" s="22">
        <f>IF(OR($D1681="",$T1681="Có"),"",IF($C1681="","Thiếu họ tên; ","")&amp;IF($S1681&lt;&gt;"Có","SĐT sai định dạng; ","")&amp;IF($R1681="Trùng","Trùng SĐT; ","")&amp;IF($Q1681&lt;&gt;"Có","Thiếu đồng ý bắt buộc; ","")&amp;IF($L1681="","Thiếu/sai Mã REF; ",IF(AND($L1681="Chưa xác định",DANH_MUC!$L$9&lt;&gt;"Có"),"Nguồn chưa xác định; ","")))</f>
        <v/>
      </c>
      <c r="V1681" s="22">
        <f>IF(OR($D1681="",$R1681="Trùng"),"",IF(COUNTIF(ORDERS!$C$2:$C$4995,$D1681)&gt;0,"Có","Không"))</f>
        <v/>
      </c>
      <c r="W1681" s="22">
        <f>IF(OR($D1681="",$R1681="Trùng"),"",COUNTIFS(ORDERS!$C$2:$C$4995,$D1681,ORDERS!$L$2:$L$4995,"Đã chuyển khoản"))</f>
        <v/>
      </c>
      <c r="X1681" s="23">
        <f>IF(OR($D1681="",$R1681="Trùng"),"",SUMIFS(ORDERS!$J$2:$J$4995,ORDERS!$C$2:$C$4995,$D1681,ORDERS!$L$2:$L$4995,"Đã chuyển khoản"))</f>
        <v/>
      </c>
      <c r="Y1681" s="24" t="n"/>
    </row>
    <row r="1682" ht="14.25" customHeight="1" s="40">
      <c r="A1682" s="24" t="n"/>
      <c r="B1682" s="27" t="n"/>
      <c r="C1682" s="24" t="n"/>
      <c r="D1682" s="28" t="n"/>
      <c r="E1682" s="29" t="n"/>
      <c r="F1682" s="24" t="n"/>
      <c r="G1682" s="24" t="n"/>
      <c r="H1682" s="21">
        <f>IF(ISNUMBER($B1682),INT($B1682)-WEEKDAY($B1682,2)+1,"")</f>
        <v/>
      </c>
      <c r="I1682" s="24" t="n"/>
      <c r="J1682" s="22">
        <f t="array" ref="J1682">IF($D1682="","",IF($I1682="","(trống REF)",IFERROR(INDEX(MASTER_SOURCE!$B$2:$B$495,MATCH($I1682,MASTER_SOURCE!$A$2:$A$495,0)),"(REF không có trong MASTER_SOURCE)")))</f>
        <v/>
      </c>
      <c r="K1682" s="22">
        <f t="array" ref="K1682">IF($D1682="","",IFERROR(INDEX(MASTER_SOURCE!$C$2:$C$495,MATCH($I1682,MASTER_SOURCE!$A$2:$A$495,0)),""))</f>
        <v/>
      </c>
      <c r="L1682" s="22">
        <f t="array" ref="L1682">IF($D1682="","",IFERROR(INDEX(MASTER_SOURCE!$D$2:$D$495,MATCH($I1682,MASTER_SOURCE!$A$2:$A$495,0)),""))</f>
        <v/>
      </c>
      <c r="M1682" s="24" t="n"/>
      <c r="N1682" s="24" t="n"/>
      <c r="O1682" s="24" t="n"/>
      <c r="P1682" s="24" t="n"/>
      <c r="Q1682" s="22">
        <f>IF($D1682="","",IF(AND(OR(DANH_MUC!$L$5&lt;&gt;"Có",M1682="Có"),OR(DANH_MUC!$L$6&lt;&gt;"Có",N1682="Có"),OR(DANH_MUC!$L$7&lt;&gt;"Có",O1682="Có"),OR(DANH_MUC!$L$8&lt;&gt;"Có",P1682="Có")),"Có","Không"))</f>
        <v/>
      </c>
      <c r="R1682" s="22">
        <f>IF($D1682="","",IF(COUNTIF($D$2:$D1682,$D1682)&gt;1,"Trùng",""))</f>
        <v/>
      </c>
      <c r="S1682" s="22">
        <f>IF($D1682="","",IF(AND(LEN($D1682)=10,LEFT($D1682,1)="0",ISNUMBER(--$D1682)),"Có","Không"))</f>
        <v/>
      </c>
      <c r="T1682" s="22">
        <f>IF($D1682="","",IF(AND($C1682&lt;&gt;"",$Q1682="Có",$R1682="",$S1682="Có",AND($L1682&lt;&gt;"",OR($L1682&lt;&gt;"Chưa xác định",DANH_MUC!$L$9="Có"))),"Có","Không"))</f>
        <v/>
      </c>
      <c r="U1682" s="22">
        <f>IF(OR($D1682="",$T1682="Có"),"",IF($C1682="","Thiếu họ tên; ","")&amp;IF($S1682&lt;&gt;"Có","SĐT sai định dạng; ","")&amp;IF($R1682="Trùng","Trùng SĐT; ","")&amp;IF($Q1682&lt;&gt;"Có","Thiếu đồng ý bắt buộc; ","")&amp;IF($L1682="","Thiếu/sai Mã REF; ",IF(AND($L1682="Chưa xác định",DANH_MUC!$L$9&lt;&gt;"Có"),"Nguồn chưa xác định; ","")))</f>
        <v/>
      </c>
      <c r="V1682" s="22">
        <f>IF(OR($D1682="",$R1682="Trùng"),"",IF(COUNTIF(ORDERS!$C$2:$C$4995,$D1682)&gt;0,"Có","Không"))</f>
        <v/>
      </c>
      <c r="W1682" s="22">
        <f>IF(OR($D1682="",$R1682="Trùng"),"",COUNTIFS(ORDERS!$C$2:$C$4995,$D1682,ORDERS!$L$2:$L$4995,"Đã chuyển khoản"))</f>
        <v/>
      </c>
      <c r="X1682" s="23">
        <f>IF(OR($D1682="",$R1682="Trùng"),"",SUMIFS(ORDERS!$J$2:$J$4995,ORDERS!$C$2:$C$4995,$D1682,ORDERS!$L$2:$L$4995,"Đã chuyển khoản"))</f>
        <v/>
      </c>
      <c r="Y1682" s="24" t="n"/>
    </row>
    <row r="1683" ht="14.25" customHeight="1" s="40">
      <c r="A1683" s="24" t="n"/>
      <c r="B1683" s="27" t="n"/>
      <c r="C1683" s="24" t="n"/>
      <c r="D1683" s="28" t="n"/>
      <c r="E1683" s="29" t="n"/>
      <c r="F1683" s="24" t="n"/>
      <c r="G1683" s="24" t="n"/>
      <c r="H1683" s="21">
        <f>IF(ISNUMBER($B1683),INT($B1683)-WEEKDAY($B1683,2)+1,"")</f>
        <v/>
      </c>
      <c r="I1683" s="24" t="n"/>
      <c r="J1683" s="22">
        <f t="array" ref="J1683">IF($D1683="","",IF($I1683="","(trống REF)",IFERROR(INDEX(MASTER_SOURCE!$B$2:$B$495,MATCH($I1683,MASTER_SOURCE!$A$2:$A$495,0)),"(REF không có trong MASTER_SOURCE)")))</f>
        <v/>
      </c>
      <c r="K1683" s="22">
        <f t="array" ref="K1683">IF($D1683="","",IFERROR(INDEX(MASTER_SOURCE!$C$2:$C$495,MATCH($I1683,MASTER_SOURCE!$A$2:$A$495,0)),""))</f>
        <v/>
      </c>
      <c r="L1683" s="22">
        <f t="array" ref="L1683">IF($D1683="","",IFERROR(INDEX(MASTER_SOURCE!$D$2:$D$495,MATCH($I1683,MASTER_SOURCE!$A$2:$A$495,0)),""))</f>
        <v/>
      </c>
      <c r="M1683" s="24" t="n"/>
      <c r="N1683" s="24" t="n"/>
      <c r="O1683" s="24" t="n"/>
      <c r="P1683" s="24" t="n"/>
      <c r="Q1683" s="22">
        <f>IF($D1683="","",IF(AND(OR(DANH_MUC!$L$5&lt;&gt;"Có",M1683="Có"),OR(DANH_MUC!$L$6&lt;&gt;"Có",N1683="Có"),OR(DANH_MUC!$L$7&lt;&gt;"Có",O1683="Có"),OR(DANH_MUC!$L$8&lt;&gt;"Có",P1683="Có")),"Có","Không"))</f>
        <v/>
      </c>
      <c r="R1683" s="22">
        <f>IF($D1683="","",IF(COUNTIF($D$2:$D1683,$D1683)&gt;1,"Trùng",""))</f>
        <v/>
      </c>
      <c r="S1683" s="22">
        <f>IF($D1683="","",IF(AND(LEN($D1683)=10,LEFT($D1683,1)="0",ISNUMBER(--$D1683)),"Có","Không"))</f>
        <v/>
      </c>
      <c r="T1683" s="22">
        <f>IF($D1683="","",IF(AND($C1683&lt;&gt;"",$Q1683="Có",$R1683="",$S1683="Có",AND($L1683&lt;&gt;"",OR($L1683&lt;&gt;"Chưa xác định",DANH_MUC!$L$9="Có"))),"Có","Không"))</f>
        <v/>
      </c>
      <c r="U1683" s="22">
        <f>IF(OR($D1683="",$T1683="Có"),"",IF($C1683="","Thiếu họ tên; ","")&amp;IF($S1683&lt;&gt;"Có","SĐT sai định dạng; ","")&amp;IF($R1683="Trùng","Trùng SĐT; ","")&amp;IF($Q1683&lt;&gt;"Có","Thiếu đồng ý bắt buộc; ","")&amp;IF($L1683="","Thiếu/sai Mã REF; ",IF(AND($L1683="Chưa xác định",DANH_MUC!$L$9&lt;&gt;"Có"),"Nguồn chưa xác định; ","")))</f>
        <v/>
      </c>
      <c r="V1683" s="22">
        <f>IF(OR($D1683="",$R1683="Trùng"),"",IF(COUNTIF(ORDERS!$C$2:$C$4995,$D1683)&gt;0,"Có","Không"))</f>
        <v/>
      </c>
      <c r="W1683" s="22">
        <f>IF(OR($D1683="",$R1683="Trùng"),"",COUNTIFS(ORDERS!$C$2:$C$4995,$D1683,ORDERS!$L$2:$L$4995,"Đã chuyển khoản"))</f>
        <v/>
      </c>
      <c r="X1683" s="23">
        <f>IF(OR($D1683="",$R1683="Trùng"),"",SUMIFS(ORDERS!$J$2:$J$4995,ORDERS!$C$2:$C$4995,$D1683,ORDERS!$L$2:$L$4995,"Đã chuyển khoản"))</f>
        <v/>
      </c>
      <c r="Y1683" s="24" t="n"/>
    </row>
    <row r="1684" ht="14.25" customHeight="1" s="40">
      <c r="A1684" s="24" t="n"/>
      <c r="B1684" s="27" t="n"/>
      <c r="C1684" s="24" t="n"/>
      <c r="D1684" s="28" t="n"/>
      <c r="E1684" s="29" t="n"/>
      <c r="F1684" s="24" t="n"/>
      <c r="G1684" s="24" t="n"/>
      <c r="H1684" s="21">
        <f>IF(ISNUMBER($B1684),INT($B1684)-WEEKDAY($B1684,2)+1,"")</f>
        <v/>
      </c>
      <c r="I1684" s="24" t="n"/>
      <c r="J1684" s="22">
        <f t="array" ref="J1684">IF($D1684="","",IF($I1684="","(trống REF)",IFERROR(INDEX(MASTER_SOURCE!$B$2:$B$495,MATCH($I1684,MASTER_SOURCE!$A$2:$A$495,0)),"(REF không có trong MASTER_SOURCE)")))</f>
        <v/>
      </c>
      <c r="K1684" s="22">
        <f t="array" ref="K1684">IF($D1684="","",IFERROR(INDEX(MASTER_SOURCE!$C$2:$C$495,MATCH($I1684,MASTER_SOURCE!$A$2:$A$495,0)),""))</f>
        <v/>
      </c>
      <c r="L1684" s="22">
        <f t="array" ref="L1684">IF($D1684="","",IFERROR(INDEX(MASTER_SOURCE!$D$2:$D$495,MATCH($I1684,MASTER_SOURCE!$A$2:$A$495,0)),""))</f>
        <v/>
      </c>
      <c r="M1684" s="24" t="n"/>
      <c r="N1684" s="24" t="n"/>
      <c r="O1684" s="24" t="n"/>
      <c r="P1684" s="24" t="n"/>
      <c r="Q1684" s="22">
        <f>IF($D1684="","",IF(AND(OR(DANH_MUC!$L$5&lt;&gt;"Có",M1684="Có"),OR(DANH_MUC!$L$6&lt;&gt;"Có",N1684="Có"),OR(DANH_MUC!$L$7&lt;&gt;"Có",O1684="Có"),OR(DANH_MUC!$L$8&lt;&gt;"Có",P1684="Có")),"Có","Không"))</f>
        <v/>
      </c>
      <c r="R1684" s="22">
        <f>IF($D1684="","",IF(COUNTIF($D$2:$D1684,$D1684)&gt;1,"Trùng",""))</f>
        <v/>
      </c>
      <c r="S1684" s="22">
        <f>IF($D1684="","",IF(AND(LEN($D1684)=10,LEFT($D1684,1)="0",ISNUMBER(--$D1684)),"Có","Không"))</f>
        <v/>
      </c>
      <c r="T1684" s="22">
        <f>IF($D1684="","",IF(AND($C1684&lt;&gt;"",$Q1684="Có",$R1684="",$S1684="Có",AND($L1684&lt;&gt;"",OR($L1684&lt;&gt;"Chưa xác định",DANH_MUC!$L$9="Có"))),"Có","Không"))</f>
        <v/>
      </c>
      <c r="U1684" s="22">
        <f>IF(OR($D1684="",$T1684="Có"),"",IF($C1684="","Thiếu họ tên; ","")&amp;IF($S1684&lt;&gt;"Có","SĐT sai định dạng; ","")&amp;IF($R1684="Trùng","Trùng SĐT; ","")&amp;IF($Q1684&lt;&gt;"Có","Thiếu đồng ý bắt buộc; ","")&amp;IF($L1684="","Thiếu/sai Mã REF; ",IF(AND($L1684="Chưa xác định",DANH_MUC!$L$9&lt;&gt;"Có"),"Nguồn chưa xác định; ","")))</f>
        <v/>
      </c>
      <c r="V1684" s="22">
        <f>IF(OR($D1684="",$R1684="Trùng"),"",IF(COUNTIF(ORDERS!$C$2:$C$4995,$D1684)&gt;0,"Có","Không"))</f>
        <v/>
      </c>
      <c r="W1684" s="22">
        <f>IF(OR($D1684="",$R1684="Trùng"),"",COUNTIFS(ORDERS!$C$2:$C$4995,$D1684,ORDERS!$L$2:$L$4995,"Đã chuyển khoản"))</f>
        <v/>
      </c>
      <c r="X1684" s="23">
        <f>IF(OR($D1684="",$R1684="Trùng"),"",SUMIFS(ORDERS!$J$2:$J$4995,ORDERS!$C$2:$C$4995,$D1684,ORDERS!$L$2:$L$4995,"Đã chuyển khoản"))</f>
        <v/>
      </c>
      <c r="Y1684" s="24" t="n"/>
    </row>
    <row r="1685" ht="14.25" customHeight="1" s="40">
      <c r="A1685" s="24" t="n"/>
      <c r="B1685" s="27" t="n"/>
      <c r="C1685" s="24" t="n"/>
      <c r="D1685" s="28" t="n"/>
      <c r="E1685" s="29" t="n"/>
      <c r="F1685" s="24" t="n"/>
      <c r="G1685" s="24" t="n"/>
      <c r="H1685" s="21">
        <f>IF(ISNUMBER($B1685),INT($B1685)-WEEKDAY($B1685,2)+1,"")</f>
        <v/>
      </c>
      <c r="I1685" s="24" t="n"/>
      <c r="J1685" s="22">
        <f t="array" ref="J1685">IF($D1685="","",IF($I1685="","(trống REF)",IFERROR(INDEX(MASTER_SOURCE!$B$2:$B$495,MATCH($I1685,MASTER_SOURCE!$A$2:$A$495,0)),"(REF không có trong MASTER_SOURCE)")))</f>
        <v/>
      </c>
      <c r="K1685" s="22">
        <f t="array" ref="K1685">IF($D1685="","",IFERROR(INDEX(MASTER_SOURCE!$C$2:$C$495,MATCH($I1685,MASTER_SOURCE!$A$2:$A$495,0)),""))</f>
        <v/>
      </c>
      <c r="L1685" s="22">
        <f t="array" ref="L1685">IF($D1685="","",IFERROR(INDEX(MASTER_SOURCE!$D$2:$D$495,MATCH($I1685,MASTER_SOURCE!$A$2:$A$495,0)),""))</f>
        <v/>
      </c>
      <c r="M1685" s="24" t="n"/>
      <c r="N1685" s="24" t="n"/>
      <c r="O1685" s="24" t="n"/>
      <c r="P1685" s="24" t="n"/>
      <c r="Q1685" s="22">
        <f>IF($D1685="","",IF(AND(OR(DANH_MUC!$L$5&lt;&gt;"Có",M1685="Có"),OR(DANH_MUC!$L$6&lt;&gt;"Có",N1685="Có"),OR(DANH_MUC!$L$7&lt;&gt;"Có",O1685="Có"),OR(DANH_MUC!$L$8&lt;&gt;"Có",P1685="Có")),"Có","Không"))</f>
        <v/>
      </c>
      <c r="R1685" s="22">
        <f>IF($D1685="","",IF(COUNTIF($D$2:$D1685,$D1685)&gt;1,"Trùng",""))</f>
        <v/>
      </c>
      <c r="S1685" s="22">
        <f>IF($D1685="","",IF(AND(LEN($D1685)=10,LEFT($D1685,1)="0",ISNUMBER(--$D1685)),"Có","Không"))</f>
        <v/>
      </c>
      <c r="T1685" s="22">
        <f>IF($D1685="","",IF(AND($C1685&lt;&gt;"",$Q1685="Có",$R1685="",$S1685="Có",AND($L1685&lt;&gt;"",OR($L1685&lt;&gt;"Chưa xác định",DANH_MUC!$L$9="Có"))),"Có","Không"))</f>
        <v/>
      </c>
      <c r="U1685" s="22">
        <f>IF(OR($D1685="",$T1685="Có"),"",IF($C1685="","Thiếu họ tên; ","")&amp;IF($S1685&lt;&gt;"Có","SĐT sai định dạng; ","")&amp;IF($R1685="Trùng","Trùng SĐT; ","")&amp;IF($Q1685&lt;&gt;"Có","Thiếu đồng ý bắt buộc; ","")&amp;IF($L1685="","Thiếu/sai Mã REF; ",IF(AND($L1685="Chưa xác định",DANH_MUC!$L$9&lt;&gt;"Có"),"Nguồn chưa xác định; ","")))</f>
        <v/>
      </c>
      <c r="V1685" s="22">
        <f>IF(OR($D1685="",$R1685="Trùng"),"",IF(COUNTIF(ORDERS!$C$2:$C$4995,$D1685)&gt;0,"Có","Không"))</f>
        <v/>
      </c>
      <c r="W1685" s="22">
        <f>IF(OR($D1685="",$R1685="Trùng"),"",COUNTIFS(ORDERS!$C$2:$C$4995,$D1685,ORDERS!$L$2:$L$4995,"Đã chuyển khoản"))</f>
        <v/>
      </c>
      <c r="X1685" s="23">
        <f>IF(OR($D1685="",$R1685="Trùng"),"",SUMIFS(ORDERS!$J$2:$J$4995,ORDERS!$C$2:$C$4995,$D1685,ORDERS!$L$2:$L$4995,"Đã chuyển khoản"))</f>
        <v/>
      </c>
      <c r="Y1685" s="24" t="n"/>
    </row>
    <row r="1686" ht="14.25" customHeight="1" s="40">
      <c r="A1686" s="24" t="n"/>
      <c r="B1686" s="27" t="n"/>
      <c r="C1686" s="24" t="n"/>
      <c r="D1686" s="28" t="n"/>
      <c r="E1686" s="29" t="n"/>
      <c r="F1686" s="24" t="n"/>
      <c r="G1686" s="24" t="n"/>
      <c r="H1686" s="21">
        <f>IF(ISNUMBER($B1686),INT($B1686)-WEEKDAY($B1686,2)+1,"")</f>
        <v/>
      </c>
      <c r="I1686" s="24" t="n"/>
      <c r="J1686" s="22">
        <f t="array" ref="J1686">IF($D1686="","",IF($I1686="","(trống REF)",IFERROR(INDEX(MASTER_SOURCE!$B$2:$B$495,MATCH($I1686,MASTER_SOURCE!$A$2:$A$495,0)),"(REF không có trong MASTER_SOURCE)")))</f>
        <v/>
      </c>
      <c r="K1686" s="22">
        <f t="array" ref="K1686">IF($D1686="","",IFERROR(INDEX(MASTER_SOURCE!$C$2:$C$495,MATCH($I1686,MASTER_SOURCE!$A$2:$A$495,0)),""))</f>
        <v/>
      </c>
      <c r="L1686" s="22">
        <f t="array" ref="L1686">IF($D1686="","",IFERROR(INDEX(MASTER_SOURCE!$D$2:$D$495,MATCH($I1686,MASTER_SOURCE!$A$2:$A$495,0)),""))</f>
        <v/>
      </c>
      <c r="M1686" s="24" t="n"/>
      <c r="N1686" s="24" t="n"/>
      <c r="O1686" s="24" t="n"/>
      <c r="P1686" s="24" t="n"/>
      <c r="Q1686" s="22">
        <f>IF($D1686="","",IF(AND(OR(DANH_MUC!$L$5&lt;&gt;"Có",M1686="Có"),OR(DANH_MUC!$L$6&lt;&gt;"Có",N1686="Có"),OR(DANH_MUC!$L$7&lt;&gt;"Có",O1686="Có"),OR(DANH_MUC!$L$8&lt;&gt;"Có",P1686="Có")),"Có","Không"))</f>
        <v/>
      </c>
      <c r="R1686" s="22">
        <f>IF($D1686="","",IF(COUNTIF($D$2:$D1686,$D1686)&gt;1,"Trùng",""))</f>
        <v/>
      </c>
      <c r="S1686" s="22">
        <f>IF($D1686="","",IF(AND(LEN($D1686)=10,LEFT($D1686,1)="0",ISNUMBER(--$D1686)),"Có","Không"))</f>
        <v/>
      </c>
      <c r="T1686" s="22">
        <f>IF($D1686="","",IF(AND($C1686&lt;&gt;"",$Q1686="Có",$R1686="",$S1686="Có",AND($L1686&lt;&gt;"",OR($L1686&lt;&gt;"Chưa xác định",DANH_MUC!$L$9="Có"))),"Có","Không"))</f>
        <v/>
      </c>
      <c r="U1686" s="22">
        <f>IF(OR($D1686="",$T1686="Có"),"",IF($C1686="","Thiếu họ tên; ","")&amp;IF($S1686&lt;&gt;"Có","SĐT sai định dạng; ","")&amp;IF($R1686="Trùng","Trùng SĐT; ","")&amp;IF($Q1686&lt;&gt;"Có","Thiếu đồng ý bắt buộc; ","")&amp;IF($L1686="","Thiếu/sai Mã REF; ",IF(AND($L1686="Chưa xác định",DANH_MUC!$L$9&lt;&gt;"Có"),"Nguồn chưa xác định; ","")))</f>
        <v/>
      </c>
      <c r="V1686" s="22">
        <f>IF(OR($D1686="",$R1686="Trùng"),"",IF(COUNTIF(ORDERS!$C$2:$C$4995,$D1686)&gt;0,"Có","Không"))</f>
        <v/>
      </c>
      <c r="W1686" s="22">
        <f>IF(OR($D1686="",$R1686="Trùng"),"",COUNTIFS(ORDERS!$C$2:$C$4995,$D1686,ORDERS!$L$2:$L$4995,"Đã chuyển khoản"))</f>
        <v/>
      </c>
      <c r="X1686" s="23">
        <f>IF(OR($D1686="",$R1686="Trùng"),"",SUMIFS(ORDERS!$J$2:$J$4995,ORDERS!$C$2:$C$4995,$D1686,ORDERS!$L$2:$L$4995,"Đã chuyển khoản"))</f>
        <v/>
      </c>
      <c r="Y1686" s="24" t="n"/>
    </row>
    <row r="1687" ht="14.25" customHeight="1" s="40">
      <c r="A1687" s="24" t="n"/>
      <c r="B1687" s="27" t="n"/>
      <c r="C1687" s="24" t="n"/>
      <c r="D1687" s="28" t="n"/>
      <c r="E1687" s="29" t="n"/>
      <c r="F1687" s="24" t="n"/>
      <c r="G1687" s="24" t="n"/>
      <c r="H1687" s="21">
        <f>IF(ISNUMBER($B1687),INT($B1687)-WEEKDAY($B1687,2)+1,"")</f>
        <v/>
      </c>
      <c r="I1687" s="24" t="n"/>
      <c r="J1687" s="22">
        <f t="array" ref="J1687">IF($D1687="","",IF($I1687="","(trống REF)",IFERROR(INDEX(MASTER_SOURCE!$B$2:$B$495,MATCH($I1687,MASTER_SOURCE!$A$2:$A$495,0)),"(REF không có trong MASTER_SOURCE)")))</f>
        <v/>
      </c>
      <c r="K1687" s="22">
        <f t="array" ref="K1687">IF($D1687="","",IFERROR(INDEX(MASTER_SOURCE!$C$2:$C$495,MATCH($I1687,MASTER_SOURCE!$A$2:$A$495,0)),""))</f>
        <v/>
      </c>
      <c r="L1687" s="22">
        <f t="array" ref="L1687">IF($D1687="","",IFERROR(INDEX(MASTER_SOURCE!$D$2:$D$495,MATCH($I1687,MASTER_SOURCE!$A$2:$A$495,0)),""))</f>
        <v/>
      </c>
      <c r="M1687" s="24" t="n"/>
      <c r="N1687" s="24" t="n"/>
      <c r="O1687" s="24" t="n"/>
      <c r="P1687" s="24" t="n"/>
      <c r="Q1687" s="22">
        <f>IF($D1687="","",IF(AND(OR(DANH_MUC!$L$5&lt;&gt;"Có",M1687="Có"),OR(DANH_MUC!$L$6&lt;&gt;"Có",N1687="Có"),OR(DANH_MUC!$L$7&lt;&gt;"Có",O1687="Có"),OR(DANH_MUC!$L$8&lt;&gt;"Có",P1687="Có")),"Có","Không"))</f>
        <v/>
      </c>
      <c r="R1687" s="22">
        <f>IF($D1687="","",IF(COUNTIF($D$2:$D1687,$D1687)&gt;1,"Trùng",""))</f>
        <v/>
      </c>
      <c r="S1687" s="22">
        <f>IF($D1687="","",IF(AND(LEN($D1687)=10,LEFT($D1687,1)="0",ISNUMBER(--$D1687)),"Có","Không"))</f>
        <v/>
      </c>
      <c r="T1687" s="22">
        <f>IF($D1687="","",IF(AND($C1687&lt;&gt;"",$Q1687="Có",$R1687="",$S1687="Có",AND($L1687&lt;&gt;"",OR($L1687&lt;&gt;"Chưa xác định",DANH_MUC!$L$9="Có"))),"Có","Không"))</f>
        <v/>
      </c>
      <c r="U1687" s="22">
        <f>IF(OR($D1687="",$T1687="Có"),"",IF($C1687="","Thiếu họ tên; ","")&amp;IF($S1687&lt;&gt;"Có","SĐT sai định dạng; ","")&amp;IF($R1687="Trùng","Trùng SĐT; ","")&amp;IF($Q1687&lt;&gt;"Có","Thiếu đồng ý bắt buộc; ","")&amp;IF($L1687="","Thiếu/sai Mã REF; ",IF(AND($L1687="Chưa xác định",DANH_MUC!$L$9&lt;&gt;"Có"),"Nguồn chưa xác định; ","")))</f>
        <v/>
      </c>
      <c r="V1687" s="22">
        <f>IF(OR($D1687="",$R1687="Trùng"),"",IF(COUNTIF(ORDERS!$C$2:$C$4995,$D1687)&gt;0,"Có","Không"))</f>
        <v/>
      </c>
      <c r="W1687" s="22">
        <f>IF(OR($D1687="",$R1687="Trùng"),"",COUNTIFS(ORDERS!$C$2:$C$4995,$D1687,ORDERS!$L$2:$L$4995,"Đã chuyển khoản"))</f>
        <v/>
      </c>
      <c r="X1687" s="23">
        <f>IF(OR($D1687="",$R1687="Trùng"),"",SUMIFS(ORDERS!$J$2:$J$4995,ORDERS!$C$2:$C$4995,$D1687,ORDERS!$L$2:$L$4995,"Đã chuyển khoản"))</f>
        <v/>
      </c>
      <c r="Y1687" s="24" t="n"/>
    </row>
    <row r="1688" ht="14.25" customHeight="1" s="40">
      <c r="A1688" s="24" t="n"/>
      <c r="B1688" s="27" t="n"/>
      <c r="C1688" s="24" t="n"/>
      <c r="D1688" s="28" t="n"/>
      <c r="E1688" s="29" t="n"/>
      <c r="F1688" s="24" t="n"/>
      <c r="G1688" s="24" t="n"/>
      <c r="H1688" s="21">
        <f>IF(ISNUMBER($B1688),INT($B1688)-WEEKDAY($B1688,2)+1,"")</f>
        <v/>
      </c>
      <c r="I1688" s="24" t="n"/>
      <c r="J1688" s="22">
        <f t="array" ref="J1688">IF($D1688="","",IF($I1688="","(trống REF)",IFERROR(INDEX(MASTER_SOURCE!$B$2:$B$495,MATCH($I1688,MASTER_SOURCE!$A$2:$A$495,0)),"(REF không có trong MASTER_SOURCE)")))</f>
        <v/>
      </c>
      <c r="K1688" s="22">
        <f t="array" ref="K1688">IF($D1688="","",IFERROR(INDEX(MASTER_SOURCE!$C$2:$C$495,MATCH($I1688,MASTER_SOURCE!$A$2:$A$495,0)),""))</f>
        <v/>
      </c>
      <c r="L1688" s="22">
        <f t="array" ref="L1688">IF($D1688="","",IFERROR(INDEX(MASTER_SOURCE!$D$2:$D$495,MATCH($I1688,MASTER_SOURCE!$A$2:$A$495,0)),""))</f>
        <v/>
      </c>
      <c r="M1688" s="24" t="n"/>
      <c r="N1688" s="24" t="n"/>
      <c r="O1688" s="24" t="n"/>
      <c r="P1688" s="24" t="n"/>
      <c r="Q1688" s="22">
        <f>IF($D1688="","",IF(AND(OR(DANH_MUC!$L$5&lt;&gt;"Có",M1688="Có"),OR(DANH_MUC!$L$6&lt;&gt;"Có",N1688="Có"),OR(DANH_MUC!$L$7&lt;&gt;"Có",O1688="Có"),OR(DANH_MUC!$L$8&lt;&gt;"Có",P1688="Có")),"Có","Không"))</f>
        <v/>
      </c>
      <c r="R1688" s="22">
        <f>IF($D1688="","",IF(COUNTIF($D$2:$D1688,$D1688)&gt;1,"Trùng",""))</f>
        <v/>
      </c>
      <c r="S1688" s="22">
        <f>IF($D1688="","",IF(AND(LEN($D1688)=10,LEFT($D1688,1)="0",ISNUMBER(--$D1688)),"Có","Không"))</f>
        <v/>
      </c>
      <c r="T1688" s="22">
        <f>IF($D1688="","",IF(AND($C1688&lt;&gt;"",$Q1688="Có",$R1688="",$S1688="Có",AND($L1688&lt;&gt;"",OR($L1688&lt;&gt;"Chưa xác định",DANH_MUC!$L$9="Có"))),"Có","Không"))</f>
        <v/>
      </c>
      <c r="U1688" s="22">
        <f>IF(OR($D1688="",$T1688="Có"),"",IF($C1688="","Thiếu họ tên; ","")&amp;IF($S1688&lt;&gt;"Có","SĐT sai định dạng; ","")&amp;IF($R1688="Trùng","Trùng SĐT; ","")&amp;IF($Q1688&lt;&gt;"Có","Thiếu đồng ý bắt buộc; ","")&amp;IF($L1688="","Thiếu/sai Mã REF; ",IF(AND($L1688="Chưa xác định",DANH_MUC!$L$9&lt;&gt;"Có"),"Nguồn chưa xác định; ","")))</f>
        <v/>
      </c>
      <c r="V1688" s="22">
        <f>IF(OR($D1688="",$R1688="Trùng"),"",IF(COUNTIF(ORDERS!$C$2:$C$4995,$D1688)&gt;0,"Có","Không"))</f>
        <v/>
      </c>
      <c r="W1688" s="22">
        <f>IF(OR($D1688="",$R1688="Trùng"),"",COUNTIFS(ORDERS!$C$2:$C$4995,$D1688,ORDERS!$L$2:$L$4995,"Đã chuyển khoản"))</f>
        <v/>
      </c>
      <c r="X1688" s="23">
        <f>IF(OR($D1688="",$R1688="Trùng"),"",SUMIFS(ORDERS!$J$2:$J$4995,ORDERS!$C$2:$C$4995,$D1688,ORDERS!$L$2:$L$4995,"Đã chuyển khoản"))</f>
        <v/>
      </c>
      <c r="Y1688" s="24" t="n"/>
    </row>
    <row r="1689" ht="14.25" customHeight="1" s="40">
      <c r="A1689" s="24" t="n"/>
      <c r="B1689" s="27" t="n"/>
      <c r="C1689" s="24" t="n"/>
      <c r="D1689" s="28" t="n"/>
      <c r="E1689" s="29" t="n"/>
      <c r="F1689" s="24" t="n"/>
      <c r="G1689" s="24" t="n"/>
      <c r="H1689" s="21">
        <f>IF(ISNUMBER($B1689),INT($B1689)-WEEKDAY($B1689,2)+1,"")</f>
        <v/>
      </c>
      <c r="I1689" s="24" t="n"/>
      <c r="J1689" s="22">
        <f t="array" ref="J1689">IF($D1689="","",IF($I1689="","(trống REF)",IFERROR(INDEX(MASTER_SOURCE!$B$2:$B$495,MATCH($I1689,MASTER_SOURCE!$A$2:$A$495,0)),"(REF không có trong MASTER_SOURCE)")))</f>
        <v/>
      </c>
      <c r="K1689" s="22">
        <f t="array" ref="K1689">IF($D1689="","",IFERROR(INDEX(MASTER_SOURCE!$C$2:$C$495,MATCH($I1689,MASTER_SOURCE!$A$2:$A$495,0)),""))</f>
        <v/>
      </c>
      <c r="L1689" s="22">
        <f t="array" ref="L1689">IF($D1689="","",IFERROR(INDEX(MASTER_SOURCE!$D$2:$D$495,MATCH($I1689,MASTER_SOURCE!$A$2:$A$495,0)),""))</f>
        <v/>
      </c>
      <c r="M1689" s="24" t="n"/>
      <c r="N1689" s="24" t="n"/>
      <c r="O1689" s="24" t="n"/>
      <c r="P1689" s="24" t="n"/>
      <c r="Q1689" s="22">
        <f>IF($D1689="","",IF(AND(OR(DANH_MUC!$L$5&lt;&gt;"Có",M1689="Có"),OR(DANH_MUC!$L$6&lt;&gt;"Có",N1689="Có"),OR(DANH_MUC!$L$7&lt;&gt;"Có",O1689="Có"),OR(DANH_MUC!$L$8&lt;&gt;"Có",P1689="Có")),"Có","Không"))</f>
        <v/>
      </c>
      <c r="R1689" s="22">
        <f>IF($D1689="","",IF(COUNTIF($D$2:$D1689,$D1689)&gt;1,"Trùng",""))</f>
        <v/>
      </c>
      <c r="S1689" s="22">
        <f>IF($D1689="","",IF(AND(LEN($D1689)=10,LEFT($D1689,1)="0",ISNUMBER(--$D1689)),"Có","Không"))</f>
        <v/>
      </c>
      <c r="T1689" s="22">
        <f>IF($D1689="","",IF(AND($C1689&lt;&gt;"",$Q1689="Có",$R1689="",$S1689="Có",AND($L1689&lt;&gt;"",OR($L1689&lt;&gt;"Chưa xác định",DANH_MUC!$L$9="Có"))),"Có","Không"))</f>
        <v/>
      </c>
      <c r="U1689" s="22">
        <f>IF(OR($D1689="",$T1689="Có"),"",IF($C1689="","Thiếu họ tên; ","")&amp;IF($S1689&lt;&gt;"Có","SĐT sai định dạng; ","")&amp;IF($R1689="Trùng","Trùng SĐT; ","")&amp;IF($Q1689&lt;&gt;"Có","Thiếu đồng ý bắt buộc; ","")&amp;IF($L1689="","Thiếu/sai Mã REF; ",IF(AND($L1689="Chưa xác định",DANH_MUC!$L$9&lt;&gt;"Có"),"Nguồn chưa xác định; ","")))</f>
        <v/>
      </c>
      <c r="V1689" s="22">
        <f>IF(OR($D1689="",$R1689="Trùng"),"",IF(COUNTIF(ORDERS!$C$2:$C$4995,$D1689)&gt;0,"Có","Không"))</f>
        <v/>
      </c>
      <c r="W1689" s="22">
        <f>IF(OR($D1689="",$R1689="Trùng"),"",COUNTIFS(ORDERS!$C$2:$C$4995,$D1689,ORDERS!$L$2:$L$4995,"Đã chuyển khoản"))</f>
        <v/>
      </c>
      <c r="X1689" s="23">
        <f>IF(OR($D1689="",$R1689="Trùng"),"",SUMIFS(ORDERS!$J$2:$J$4995,ORDERS!$C$2:$C$4995,$D1689,ORDERS!$L$2:$L$4995,"Đã chuyển khoản"))</f>
        <v/>
      </c>
      <c r="Y1689" s="24" t="n"/>
    </row>
    <row r="1690" ht="14.25" customHeight="1" s="40">
      <c r="A1690" s="24" t="n"/>
      <c r="B1690" s="27" t="n"/>
      <c r="C1690" s="24" t="n"/>
      <c r="D1690" s="28" t="n"/>
      <c r="E1690" s="29" t="n"/>
      <c r="F1690" s="24" t="n"/>
      <c r="G1690" s="24" t="n"/>
      <c r="H1690" s="21">
        <f>IF(ISNUMBER($B1690),INT($B1690)-WEEKDAY($B1690,2)+1,"")</f>
        <v/>
      </c>
      <c r="I1690" s="24" t="n"/>
      <c r="J1690" s="22">
        <f t="array" ref="J1690">IF($D1690="","",IF($I1690="","(trống REF)",IFERROR(INDEX(MASTER_SOURCE!$B$2:$B$495,MATCH($I1690,MASTER_SOURCE!$A$2:$A$495,0)),"(REF không có trong MASTER_SOURCE)")))</f>
        <v/>
      </c>
      <c r="K1690" s="22">
        <f t="array" ref="K1690">IF($D1690="","",IFERROR(INDEX(MASTER_SOURCE!$C$2:$C$495,MATCH($I1690,MASTER_SOURCE!$A$2:$A$495,0)),""))</f>
        <v/>
      </c>
      <c r="L1690" s="22">
        <f t="array" ref="L1690">IF($D1690="","",IFERROR(INDEX(MASTER_SOURCE!$D$2:$D$495,MATCH($I1690,MASTER_SOURCE!$A$2:$A$495,0)),""))</f>
        <v/>
      </c>
      <c r="M1690" s="24" t="n"/>
      <c r="N1690" s="24" t="n"/>
      <c r="O1690" s="24" t="n"/>
      <c r="P1690" s="24" t="n"/>
      <c r="Q1690" s="22">
        <f>IF($D1690="","",IF(AND(OR(DANH_MUC!$L$5&lt;&gt;"Có",M1690="Có"),OR(DANH_MUC!$L$6&lt;&gt;"Có",N1690="Có"),OR(DANH_MUC!$L$7&lt;&gt;"Có",O1690="Có"),OR(DANH_MUC!$L$8&lt;&gt;"Có",P1690="Có")),"Có","Không"))</f>
        <v/>
      </c>
      <c r="R1690" s="22">
        <f>IF($D1690="","",IF(COUNTIF($D$2:$D1690,$D1690)&gt;1,"Trùng",""))</f>
        <v/>
      </c>
      <c r="S1690" s="22">
        <f>IF($D1690="","",IF(AND(LEN($D1690)=10,LEFT($D1690,1)="0",ISNUMBER(--$D1690)),"Có","Không"))</f>
        <v/>
      </c>
      <c r="T1690" s="22">
        <f>IF($D1690="","",IF(AND($C1690&lt;&gt;"",$Q1690="Có",$R1690="",$S1690="Có",AND($L1690&lt;&gt;"",OR($L1690&lt;&gt;"Chưa xác định",DANH_MUC!$L$9="Có"))),"Có","Không"))</f>
        <v/>
      </c>
      <c r="U1690" s="22">
        <f>IF(OR($D1690="",$T1690="Có"),"",IF($C1690="","Thiếu họ tên; ","")&amp;IF($S1690&lt;&gt;"Có","SĐT sai định dạng; ","")&amp;IF($R1690="Trùng","Trùng SĐT; ","")&amp;IF($Q1690&lt;&gt;"Có","Thiếu đồng ý bắt buộc; ","")&amp;IF($L1690="","Thiếu/sai Mã REF; ",IF(AND($L1690="Chưa xác định",DANH_MUC!$L$9&lt;&gt;"Có"),"Nguồn chưa xác định; ","")))</f>
        <v/>
      </c>
      <c r="V1690" s="22">
        <f>IF(OR($D1690="",$R1690="Trùng"),"",IF(COUNTIF(ORDERS!$C$2:$C$4995,$D1690)&gt;0,"Có","Không"))</f>
        <v/>
      </c>
      <c r="W1690" s="22">
        <f>IF(OR($D1690="",$R1690="Trùng"),"",COUNTIFS(ORDERS!$C$2:$C$4995,$D1690,ORDERS!$L$2:$L$4995,"Đã chuyển khoản"))</f>
        <v/>
      </c>
      <c r="X1690" s="23">
        <f>IF(OR($D1690="",$R1690="Trùng"),"",SUMIFS(ORDERS!$J$2:$J$4995,ORDERS!$C$2:$C$4995,$D1690,ORDERS!$L$2:$L$4995,"Đã chuyển khoản"))</f>
        <v/>
      </c>
      <c r="Y1690" s="24" t="n"/>
    </row>
    <row r="1691" ht="14.25" customHeight="1" s="40">
      <c r="A1691" s="24" t="n"/>
      <c r="B1691" s="27" t="n"/>
      <c r="C1691" s="24" t="n"/>
      <c r="D1691" s="28" t="n"/>
      <c r="E1691" s="29" t="n"/>
      <c r="F1691" s="24" t="n"/>
      <c r="G1691" s="24" t="n"/>
      <c r="H1691" s="21">
        <f>IF(ISNUMBER($B1691),INT($B1691)-WEEKDAY($B1691,2)+1,"")</f>
        <v/>
      </c>
      <c r="I1691" s="24" t="n"/>
      <c r="J1691" s="22">
        <f t="array" ref="J1691">IF($D1691="","",IF($I1691="","(trống REF)",IFERROR(INDEX(MASTER_SOURCE!$B$2:$B$495,MATCH($I1691,MASTER_SOURCE!$A$2:$A$495,0)),"(REF không có trong MASTER_SOURCE)")))</f>
        <v/>
      </c>
      <c r="K1691" s="22">
        <f t="array" ref="K1691">IF($D1691="","",IFERROR(INDEX(MASTER_SOURCE!$C$2:$C$495,MATCH($I1691,MASTER_SOURCE!$A$2:$A$495,0)),""))</f>
        <v/>
      </c>
      <c r="L1691" s="22">
        <f t="array" ref="L1691">IF($D1691="","",IFERROR(INDEX(MASTER_SOURCE!$D$2:$D$495,MATCH($I1691,MASTER_SOURCE!$A$2:$A$495,0)),""))</f>
        <v/>
      </c>
      <c r="M1691" s="24" t="n"/>
      <c r="N1691" s="24" t="n"/>
      <c r="O1691" s="24" t="n"/>
      <c r="P1691" s="24" t="n"/>
      <c r="Q1691" s="22">
        <f>IF($D1691="","",IF(AND(OR(DANH_MUC!$L$5&lt;&gt;"Có",M1691="Có"),OR(DANH_MUC!$L$6&lt;&gt;"Có",N1691="Có"),OR(DANH_MUC!$L$7&lt;&gt;"Có",O1691="Có"),OR(DANH_MUC!$L$8&lt;&gt;"Có",P1691="Có")),"Có","Không"))</f>
        <v/>
      </c>
      <c r="R1691" s="22">
        <f>IF($D1691="","",IF(COUNTIF($D$2:$D1691,$D1691)&gt;1,"Trùng",""))</f>
        <v/>
      </c>
      <c r="S1691" s="22">
        <f>IF($D1691="","",IF(AND(LEN($D1691)=10,LEFT($D1691,1)="0",ISNUMBER(--$D1691)),"Có","Không"))</f>
        <v/>
      </c>
      <c r="T1691" s="22">
        <f>IF($D1691="","",IF(AND($C1691&lt;&gt;"",$Q1691="Có",$R1691="",$S1691="Có",AND($L1691&lt;&gt;"",OR($L1691&lt;&gt;"Chưa xác định",DANH_MUC!$L$9="Có"))),"Có","Không"))</f>
        <v/>
      </c>
      <c r="U1691" s="22">
        <f>IF(OR($D1691="",$T1691="Có"),"",IF($C1691="","Thiếu họ tên; ","")&amp;IF($S1691&lt;&gt;"Có","SĐT sai định dạng; ","")&amp;IF($R1691="Trùng","Trùng SĐT; ","")&amp;IF($Q1691&lt;&gt;"Có","Thiếu đồng ý bắt buộc; ","")&amp;IF($L1691="","Thiếu/sai Mã REF; ",IF(AND($L1691="Chưa xác định",DANH_MUC!$L$9&lt;&gt;"Có"),"Nguồn chưa xác định; ","")))</f>
        <v/>
      </c>
      <c r="V1691" s="22">
        <f>IF(OR($D1691="",$R1691="Trùng"),"",IF(COUNTIF(ORDERS!$C$2:$C$4995,$D1691)&gt;0,"Có","Không"))</f>
        <v/>
      </c>
      <c r="W1691" s="22">
        <f>IF(OR($D1691="",$R1691="Trùng"),"",COUNTIFS(ORDERS!$C$2:$C$4995,$D1691,ORDERS!$L$2:$L$4995,"Đã chuyển khoản"))</f>
        <v/>
      </c>
      <c r="X1691" s="23">
        <f>IF(OR($D1691="",$R1691="Trùng"),"",SUMIFS(ORDERS!$J$2:$J$4995,ORDERS!$C$2:$C$4995,$D1691,ORDERS!$L$2:$L$4995,"Đã chuyển khoản"))</f>
        <v/>
      </c>
      <c r="Y1691" s="24" t="n"/>
    </row>
    <row r="1692" ht="14.25" customHeight="1" s="40">
      <c r="A1692" s="24" t="n"/>
      <c r="B1692" s="27" t="n"/>
      <c r="C1692" s="24" t="n"/>
      <c r="D1692" s="28" t="n"/>
      <c r="E1692" s="29" t="n"/>
      <c r="F1692" s="24" t="n"/>
      <c r="G1692" s="24" t="n"/>
      <c r="H1692" s="21">
        <f>IF(ISNUMBER($B1692),INT($B1692)-WEEKDAY($B1692,2)+1,"")</f>
        <v/>
      </c>
      <c r="I1692" s="24" t="n"/>
      <c r="J1692" s="22">
        <f t="array" ref="J1692">IF($D1692="","",IF($I1692="","(trống REF)",IFERROR(INDEX(MASTER_SOURCE!$B$2:$B$495,MATCH($I1692,MASTER_SOURCE!$A$2:$A$495,0)),"(REF không có trong MASTER_SOURCE)")))</f>
        <v/>
      </c>
      <c r="K1692" s="22">
        <f t="array" ref="K1692">IF($D1692="","",IFERROR(INDEX(MASTER_SOURCE!$C$2:$C$495,MATCH($I1692,MASTER_SOURCE!$A$2:$A$495,0)),""))</f>
        <v/>
      </c>
      <c r="L1692" s="22">
        <f t="array" ref="L1692">IF($D1692="","",IFERROR(INDEX(MASTER_SOURCE!$D$2:$D$495,MATCH($I1692,MASTER_SOURCE!$A$2:$A$495,0)),""))</f>
        <v/>
      </c>
      <c r="M1692" s="24" t="n"/>
      <c r="N1692" s="24" t="n"/>
      <c r="O1692" s="24" t="n"/>
      <c r="P1692" s="24" t="n"/>
      <c r="Q1692" s="22">
        <f>IF($D1692="","",IF(AND(OR(DANH_MUC!$L$5&lt;&gt;"Có",M1692="Có"),OR(DANH_MUC!$L$6&lt;&gt;"Có",N1692="Có"),OR(DANH_MUC!$L$7&lt;&gt;"Có",O1692="Có"),OR(DANH_MUC!$L$8&lt;&gt;"Có",P1692="Có")),"Có","Không"))</f>
        <v/>
      </c>
      <c r="R1692" s="22">
        <f>IF($D1692="","",IF(COUNTIF($D$2:$D1692,$D1692)&gt;1,"Trùng",""))</f>
        <v/>
      </c>
      <c r="S1692" s="22">
        <f>IF($D1692="","",IF(AND(LEN($D1692)=10,LEFT($D1692,1)="0",ISNUMBER(--$D1692)),"Có","Không"))</f>
        <v/>
      </c>
      <c r="T1692" s="22">
        <f>IF($D1692="","",IF(AND($C1692&lt;&gt;"",$Q1692="Có",$R1692="",$S1692="Có",AND($L1692&lt;&gt;"",OR($L1692&lt;&gt;"Chưa xác định",DANH_MUC!$L$9="Có"))),"Có","Không"))</f>
        <v/>
      </c>
      <c r="U1692" s="22">
        <f>IF(OR($D1692="",$T1692="Có"),"",IF($C1692="","Thiếu họ tên; ","")&amp;IF($S1692&lt;&gt;"Có","SĐT sai định dạng; ","")&amp;IF($R1692="Trùng","Trùng SĐT; ","")&amp;IF($Q1692&lt;&gt;"Có","Thiếu đồng ý bắt buộc; ","")&amp;IF($L1692="","Thiếu/sai Mã REF; ",IF(AND($L1692="Chưa xác định",DANH_MUC!$L$9&lt;&gt;"Có"),"Nguồn chưa xác định; ","")))</f>
        <v/>
      </c>
      <c r="V1692" s="22">
        <f>IF(OR($D1692="",$R1692="Trùng"),"",IF(COUNTIF(ORDERS!$C$2:$C$4995,$D1692)&gt;0,"Có","Không"))</f>
        <v/>
      </c>
      <c r="W1692" s="22">
        <f>IF(OR($D1692="",$R1692="Trùng"),"",COUNTIFS(ORDERS!$C$2:$C$4995,$D1692,ORDERS!$L$2:$L$4995,"Đã chuyển khoản"))</f>
        <v/>
      </c>
      <c r="X1692" s="23">
        <f>IF(OR($D1692="",$R1692="Trùng"),"",SUMIFS(ORDERS!$J$2:$J$4995,ORDERS!$C$2:$C$4995,$D1692,ORDERS!$L$2:$L$4995,"Đã chuyển khoản"))</f>
        <v/>
      </c>
      <c r="Y1692" s="24" t="n"/>
    </row>
    <row r="1693" ht="14.25" customHeight="1" s="40">
      <c r="A1693" s="24" t="n"/>
      <c r="B1693" s="27" t="n"/>
      <c r="C1693" s="24" t="n"/>
      <c r="D1693" s="28" t="n"/>
      <c r="E1693" s="29" t="n"/>
      <c r="F1693" s="24" t="n"/>
      <c r="G1693" s="24" t="n"/>
      <c r="H1693" s="21">
        <f>IF(ISNUMBER($B1693),INT($B1693)-WEEKDAY($B1693,2)+1,"")</f>
        <v/>
      </c>
      <c r="I1693" s="24" t="n"/>
      <c r="J1693" s="22">
        <f t="array" ref="J1693">IF($D1693="","",IF($I1693="","(trống REF)",IFERROR(INDEX(MASTER_SOURCE!$B$2:$B$495,MATCH($I1693,MASTER_SOURCE!$A$2:$A$495,0)),"(REF không có trong MASTER_SOURCE)")))</f>
        <v/>
      </c>
      <c r="K1693" s="22">
        <f t="array" ref="K1693">IF($D1693="","",IFERROR(INDEX(MASTER_SOURCE!$C$2:$C$495,MATCH($I1693,MASTER_SOURCE!$A$2:$A$495,0)),""))</f>
        <v/>
      </c>
      <c r="L1693" s="22">
        <f t="array" ref="L1693">IF($D1693="","",IFERROR(INDEX(MASTER_SOURCE!$D$2:$D$495,MATCH($I1693,MASTER_SOURCE!$A$2:$A$495,0)),""))</f>
        <v/>
      </c>
      <c r="M1693" s="24" t="n"/>
      <c r="N1693" s="24" t="n"/>
      <c r="O1693" s="24" t="n"/>
      <c r="P1693" s="24" t="n"/>
      <c r="Q1693" s="22">
        <f>IF($D1693="","",IF(AND(OR(DANH_MUC!$L$5&lt;&gt;"Có",M1693="Có"),OR(DANH_MUC!$L$6&lt;&gt;"Có",N1693="Có"),OR(DANH_MUC!$L$7&lt;&gt;"Có",O1693="Có"),OR(DANH_MUC!$L$8&lt;&gt;"Có",P1693="Có")),"Có","Không"))</f>
        <v/>
      </c>
      <c r="R1693" s="22">
        <f>IF($D1693="","",IF(COUNTIF($D$2:$D1693,$D1693)&gt;1,"Trùng",""))</f>
        <v/>
      </c>
      <c r="S1693" s="22">
        <f>IF($D1693="","",IF(AND(LEN($D1693)=10,LEFT($D1693,1)="0",ISNUMBER(--$D1693)),"Có","Không"))</f>
        <v/>
      </c>
      <c r="T1693" s="22">
        <f>IF($D1693="","",IF(AND($C1693&lt;&gt;"",$Q1693="Có",$R1693="",$S1693="Có",AND($L1693&lt;&gt;"",OR($L1693&lt;&gt;"Chưa xác định",DANH_MUC!$L$9="Có"))),"Có","Không"))</f>
        <v/>
      </c>
      <c r="U1693" s="22">
        <f>IF(OR($D1693="",$T1693="Có"),"",IF($C1693="","Thiếu họ tên; ","")&amp;IF($S1693&lt;&gt;"Có","SĐT sai định dạng; ","")&amp;IF($R1693="Trùng","Trùng SĐT; ","")&amp;IF($Q1693&lt;&gt;"Có","Thiếu đồng ý bắt buộc; ","")&amp;IF($L1693="","Thiếu/sai Mã REF; ",IF(AND($L1693="Chưa xác định",DANH_MUC!$L$9&lt;&gt;"Có"),"Nguồn chưa xác định; ","")))</f>
        <v/>
      </c>
      <c r="V1693" s="22">
        <f>IF(OR($D1693="",$R1693="Trùng"),"",IF(COUNTIF(ORDERS!$C$2:$C$4995,$D1693)&gt;0,"Có","Không"))</f>
        <v/>
      </c>
      <c r="W1693" s="22">
        <f>IF(OR($D1693="",$R1693="Trùng"),"",COUNTIFS(ORDERS!$C$2:$C$4995,$D1693,ORDERS!$L$2:$L$4995,"Đã chuyển khoản"))</f>
        <v/>
      </c>
      <c r="X1693" s="23">
        <f>IF(OR($D1693="",$R1693="Trùng"),"",SUMIFS(ORDERS!$J$2:$J$4995,ORDERS!$C$2:$C$4995,$D1693,ORDERS!$L$2:$L$4995,"Đã chuyển khoản"))</f>
        <v/>
      </c>
      <c r="Y1693" s="24" t="n"/>
    </row>
    <row r="1694" ht="14.25" customHeight="1" s="40">
      <c r="A1694" s="24" t="n"/>
      <c r="B1694" s="27" t="n"/>
      <c r="C1694" s="24" t="n"/>
      <c r="D1694" s="28" t="n"/>
      <c r="E1694" s="29" t="n"/>
      <c r="F1694" s="24" t="n"/>
      <c r="G1694" s="24" t="n"/>
      <c r="H1694" s="21">
        <f>IF(ISNUMBER($B1694),INT($B1694)-WEEKDAY($B1694,2)+1,"")</f>
        <v/>
      </c>
      <c r="I1694" s="24" t="n"/>
      <c r="J1694" s="22">
        <f t="array" ref="J1694">IF($D1694="","",IF($I1694="","(trống REF)",IFERROR(INDEX(MASTER_SOURCE!$B$2:$B$495,MATCH($I1694,MASTER_SOURCE!$A$2:$A$495,0)),"(REF không có trong MASTER_SOURCE)")))</f>
        <v/>
      </c>
      <c r="K1694" s="22">
        <f t="array" ref="K1694">IF($D1694="","",IFERROR(INDEX(MASTER_SOURCE!$C$2:$C$495,MATCH($I1694,MASTER_SOURCE!$A$2:$A$495,0)),""))</f>
        <v/>
      </c>
      <c r="L1694" s="22">
        <f t="array" ref="L1694">IF($D1694="","",IFERROR(INDEX(MASTER_SOURCE!$D$2:$D$495,MATCH($I1694,MASTER_SOURCE!$A$2:$A$495,0)),""))</f>
        <v/>
      </c>
      <c r="M1694" s="24" t="n"/>
      <c r="N1694" s="24" t="n"/>
      <c r="O1694" s="24" t="n"/>
      <c r="P1694" s="24" t="n"/>
      <c r="Q1694" s="22">
        <f>IF($D1694="","",IF(AND(OR(DANH_MUC!$L$5&lt;&gt;"Có",M1694="Có"),OR(DANH_MUC!$L$6&lt;&gt;"Có",N1694="Có"),OR(DANH_MUC!$L$7&lt;&gt;"Có",O1694="Có"),OR(DANH_MUC!$L$8&lt;&gt;"Có",P1694="Có")),"Có","Không"))</f>
        <v/>
      </c>
      <c r="R1694" s="22">
        <f>IF($D1694="","",IF(COUNTIF($D$2:$D1694,$D1694)&gt;1,"Trùng",""))</f>
        <v/>
      </c>
      <c r="S1694" s="22">
        <f>IF($D1694="","",IF(AND(LEN($D1694)=10,LEFT($D1694,1)="0",ISNUMBER(--$D1694)),"Có","Không"))</f>
        <v/>
      </c>
      <c r="T1694" s="22">
        <f>IF($D1694="","",IF(AND($C1694&lt;&gt;"",$Q1694="Có",$R1694="",$S1694="Có",AND($L1694&lt;&gt;"",OR($L1694&lt;&gt;"Chưa xác định",DANH_MUC!$L$9="Có"))),"Có","Không"))</f>
        <v/>
      </c>
      <c r="U1694" s="22">
        <f>IF(OR($D1694="",$T1694="Có"),"",IF($C1694="","Thiếu họ tên; ","")&amp;IF($S1694&lt;&gt;"Có","SĐT sai định dạng; ","")&amp;IF($R1694="Trùng","Trùng SĐT; ","")&amp;IF($Q1694&lt;&gt;"Có","Thiếu đồng ý bắt buộc; ","")&amp;IF($L1694="","Thiếu/sai Mã REF; ",IF(AND($L1694="Chưa xác định",DANH_MUC!$L$9&lt;&gt;"Có"),"Nguồn chưa xác định; ","")))</f>
        <v/>
      </c>
      <c r="V1694" s="22">
        <f>IF(OR($D1694="",$R1694="Trùng"),"",IF(COUNTIF(ORDERS!$C$2:$C$4995,$D1694)&gt;0,"Có","Không"))</f>
        <v/>
      </c>
      <c r="W1694" s="22">
        <f>IF(OR($D1694="",$R1694="Trùng"),"",COUNTIFS(ORDERS!$C$2:$C$4995,$D1694,ORDERS!$L$2:$L$4995,"Đã chuyển khoản"))</f>
        <v/>
      </c>
      <c r="X1694" s="23">
        <f>IF(OR($D1694="",$R1694="Trùng"),"",SUMIFS(ORDERS!$J$2:$J$4995,ORDERS!$C$2:$C$4995,$D1694,ORDERS!$L$2:$L$4995,"Đã chuyển khoản"))</f>
        <v/>
      </c>
      <c r="Y1694" s="24" t="n"/>
    </row>
    <row r="1695" ht="14.25" customHeight="1" s="40">
      <c r="A1695" s="24" t="n"/>
      <c r="B1695" s="27" t="n"/>
      <c r="C1695" s="24" t="n"/>
      <c r="D1695" s="28" t="n"/>
      <c r="E1695" s="29" t="n"/>
      <c r="F1695" s="24" t="n"/>
      <c r="G1695" s="24" t="n"/>
      <c r="H1695" s="21">
        <f>IF(ISNUMBER($B1695),INT($B1695)-WEEKDAY($B1695,2)+1,"")</f>
        <v/>
      </c>
      <c r="I1695" s="24" t="n"/>
      <c r="J1695" s="22">
        <f t="array" ref="J1695">IF($D1695="","",IF($I1695="","(trống REF)",IFERROR(INDEX(MASTER_SOURCE!$B$2:$B$495,MATCH($I1695,MASTER_SOURCE!$A$2:$A$495,0)),"(REF không có trong MASTER_SOURCE)")))</f>
        <v/>
      </c>
      <c r="K1695" s="22">
        <f t="array" ref="K1695">IF($D1695="","",IFERROR(INDEX(MASTER_SOURCE!$C$2:$C$495,MATCH($I1695,MASTER_SOURCE!$A$2:$A$495,0)),""))</f>
        <v/>
      </c>
      <c r="L1695" s="22">
        <f t="array" ref="L1695">IF($D1695="","",IFERROR(INDEX(MASTER_SOURCE!$D$2:$D$495,MATCH($I1695,MASTER_SOURCE!$A$2:$A$495,0)),""))</f>
        <v/>
      </c>
      <c r="M1695" s="24" t="n"/>
      <c r="N1695" s="24" t="n"/>
      <c r="O1695" s="24" t="n"/>
      <c r="P1695" s="24" t="n"/>
      <c r="Q1695" s="22">
        <f>IF($D1695="","",IF(AND(OR(DANH_MUC!$L$5&lt;&gt;"Có",M1695="Có"),OR(DANH_MUC!$L$6&lt;&gt;"Có",N1695="Có"),OR(DANH_MUC!$L$7&lt;&gt;"Có",O1695="Có"),OR(DANH_MUC!$L$8&lt;&gt;"Có",P1695="Có")),"Có","Không"))</f>
        <v/>
      </c>
      <c r="R1695" s="22">
        <f>IF($D1695="","",IF(COUNTIF($D$2:$D1695,$D1695)&gt;1,"Trùng",""))</f>
        <v/>
      </c>
      <c r="S1695" s="22">
        <f>IF($D1695="","",IF(AND(LEN($D1695)=10,LEFT($D1695,1)="0",ISNUMBER(--$D1695)),"Có","Không"))</f>
        <v/>
      </c>
      <c r="T1695" s="22">
        <f>IF($D1695="","",IF(AND($C1695&lt;&gt;"",$Q1695="Có",$R1695="",$S1695="Có",AND($L1695&lt;&gt;"",OR($L1695&lt;&gt;"Chưa xác định",DANH_MUC!$L$9="Có"))),"Có","Không"))</f>
        <v/>
      </c>
      <c r="U1695" s="22">
        <f>IF(OR($D1695="",$T1695="Có"),"",IF($C1695="","Thiếu họ tên; ","")&amp;IF($S1695&lt;&gt;"Có","SĐT sai định dạng; ","")&amp;IF($R1695="Trùng","Trùng SĐT; ","")&amp;IF($Q1695&lt;&gt;"Có","Thiếu đồng ý bắt buộc; ","")&amp;IF($L1695="","Thiếu/sai Mã REF; ",IF(AND($L1695="Chưa xác định",DANH_MUC!$L$9&lt;&gt;"Có"),"Nguồn chưa xác định; ","")))</f>
        <v/>
      </c>
      <c r="V1695" s="22">
        <f>IF(OR($D1695="",$R1695="Trùng"),"",IF(COUNTIF(ORDERS!$C$2:$C$4995,$D1695)&gt;0,"Có","Không"))</f>
        <v/>
      </c>
      <c r="W1695" s="22">
        <f>IF(OR($D1695="",$R1695="Trùng"),"",COUNTIFS(ORDERS!$C$2:$C$4995,$D1695,ORDERS!$L$2:$L$4995,"Đã chuyển khoản"))</f>
        <v/>
      </c>
      <c r="X1695" s="23">
        <f>IF(OR($D1695="",$R1695="Trùng"),"",SUMIFS(ORDERS!$J$2:$J$4995,ORDERS!$C$2:$C$4995,$D1695,ORDERS!$L$2:$L$4995,"Đã chuyển khoản"))</f>
        <v/>
      </c>
      <c r="Y1695" s="24" t="n"/>
    </row>
    <row r="1696" ht="14.25" customHeight="1" s="40">
      <c r="A1696" s="24" t="n"/>
      <c r="B1696" s="27" t="n"/>
      <c r="C1696" s="24" t="n"/>
      <c r="D1696" s="28" t="n"/>
      <c r="E1696" s="29" t="n"/>
      <c r="F1696" s="24" t="n"/>
      <c r="G1696" s="24" t="n"/>
      <c r="H1696" s="21">
        <f>IF(ISNUMBER($B1696),INT($B1696)-WEEKDAY($B1696,2)+1,"")</f>
        <v/>
      </c>
      <c r="I1696" s="24" t="n"/>
      <c r="J1696" s="22">
        <f t="array" ref="J1696">IF($D1696="","",IF($I1696="","(trống REF)",IFERROR(INDEX(MASTER_SOURCE!$B$2:$B$495,MATCH($I1696,MASTER_SOURCE!$A$2:$A$495,0)),"(REF không có trong MASTER_SOURCE)")))</f>
        <v/>
      </c>
      <c r="K1696" s="22">
        <f t="array" ref="K1696">IF($D1696="","",IFERROR(INDEX(MASTER_SOURCE!$C$2:$C$495,MATCH($I1696,MASTER_SOURCE!$A$2:$A$495,0)),""))</f>
        <v/>
      </c>
      <c r="L1696" s="22">
        <f t="array" ref="L1696">IF($D1696="","",IFERROR(INDEX(MASTER_SOURCE!$D$2:$D$495,MATCH($I1696,MASTER_SOURCE!$A$2:$A$495,0)),""))</f>
        <v/>
      </c>
      <c r="M1696" s="24" t="n"/>
      <c r="N1696" s="24" t="n"/>
      <c r="O1696" s="24" t="n"/>
      <c r="P1696" s="24" t="n"/>
      <c r="Q1696" s="22">
        <f>IF($D1696="","",IF(AND(OR(DANH_MUC!$L$5&lt;&gt;"Có",M1696="Có"),OR(DANH_MUC!$L$6&lt;&gt;"Có",N1696="Có"),OR(DANH_MUC!$L$7&lt;&gt;"Có",O1696="Có"),OR(DANH_MUC!$L$8&lt;&gt;"Có",P1696="Có")),"Có","Không"))</f>
        <v/>
      </c>
      <c r="R1696" s="22">
        <f>IF($D1696="","",IF(COUNTIF($D$2:$D1696,$D1696)&gt;1,"Trùng",""))</f>
        <v/>
      </c>
      <c r="S1696" s="22">
        <f>IF($D1696="","",IF(AND(LEN($D1696)=10,LEFT($D1696,1)="0",ISNUMBER(--$D1696)),"Có","Không"))</f>
        <v/>
      </c>
      <c r="T1696" s="22">
        <f>IF($D1696="","",IF(AND($C1696&lt;&gt;"",$Q1696="Có",$R1696="",$S1696="Có",AND($L1696&lt;&gt;"",OR($L1696&lt;&gt;"Chưa xác định",DANH_MUC!$L$9="Có"))),"Có","Không"))</f>
        <v/>
      </c>
      <c r="U1696" s="22">
        <f>IF(OR($D1696="",$T1696="Có"),"",IF($C1696="","Thiếu họ tên; ","")&amp;IF($S1696&lt;&gt;"Có","SĐT sai định dạng; ","")&amp;IF($R1696="Trùng","Trùng SĐT; ","")&amp;IF($Q1696&lt;&gt;"Có","Thiếu đồng ý bắt buộc; ","")&amp;IF($L1696="","Thiếu/sai Mã REF; ",IF(AND($L1696="Chưa xác định",DANH_MUC!$L$9&lt;&gt;"Có"),"Nguồn chưa xác định; ","")))</f>
        <v/>
      </c>
      <c r="V1696" s="22">
        <f>IF(OR($D1696="",$R1696="Trùng"),"",IF(COUNTIF(ORDERS!$C$2:$C$4995,$D1696)&gt;0,"Có","Không"))</f>
        <v/>
      </c>
      <c r="W1696" s="22">
        <f>IF(OR($D1696="",$R1696="Trùng"),"",COUNTIFS(ORDERS!$C$2:$C$4995,$D1696,ORDERS!$L$2:$L$4995,"Đã chuyển khoản"))</f>
        <v/>
      </c>
      <c r="X1696" s="23">
        <f>IF(OR($D1696="",$R1696="Trùng"),"",SUMIFS(ORDERS!$J$2:$J$4995,ORDERS!$C$2:$C$4995,$D1696,ORDERS!$L$2:$L$4995,"Đã chuyển khoản"))</f>
        <v/>
      </c>
      <c r="Y1696" s="24" t="n"/>
    </row>
    <row r="1697" ht="14.25" customHeight="1" s="40">
      <c r="A1697" s="24" t="n"/>
      <c r="B1697" s="27" t="n"/>
      <c r="C1697" s="24" t="n"/>
      <c r="D1697" s="28" t="n"/>
      <c r="E1697" s="29" t="n"/>
      <c r="F1697" s="24" t="n"/>
      <c r="G1697" s="24" t="n"/>
      <c r="H1697" s="21">
        <f>IF(ISNUMBER($B1697),INT($B1697)-WEEKDAY($B1697,2)+1,"")</f>
        <v/>
      </c>
      <c r="I1697" s="24" t="n"/>
      <c r="J1697" s="22">
        <f t="array" ref="J1697">IF($D1697="","",IF($I1697="","(trống REF)",IFERROR(INDEX(MASTER_SOURCE!$B$2:$B$495,MATCH($I1697,MASTER_SOURCE!$A$2:$A$495,0)),"(REF không có trong MASTER_SOURCE)")))</f>
        <v/>
      </c>
      <c r="K1697" s="22">
        <f t="array" ref="K1697">IF($D1697="","",IFERROR(INDEX(MASTER_SOURCE!$C$2:$C$495,MATCH($I1697,MASTER_SOURCE!$A$2:$A$495,0)),""))</f>
        <v/>
      </c>
      <c r="L1697" s="22">
        <f t="array" ref="L1697">IF($D1697="","",IFERROR(INDEX(MASTER_SOURCE!$D$2:$D$495,MATCH($I1697,MASTER_SOURCE!$A$2:$A$495,0)),""))</f>
        <v/>
      </c>
      <c r="M1697" s="24" t="n"/>
      <c r="N1697" s="24" t="n"/>
      <c r="O1697" s="24" t="n"/>
      <c r="P1697" s="24" t="n"/>
      <c r="Q1697" s="22">
        <f>IF($D1697="","",IF(AND(OR(DANH_MUC!$L$5&lt;&gt;"Có",M1697="Có"),OR(DANH_MUC!$L$6&lt;&gt;"Có",N1697="Có"),OR(DANH_MUC!$L$7&lt;&gt;"Có",O1697="Có"),OR(DANH_MUC!$L$8&lt;&gt;"Có",P1697="Có")),"Có","Không"))</f>
        <v/>
      </c>
      <c r="R1697" s="22">
        <f>IF($D1697="","",IF(COUNTIF($D$2:$D1697,$D1697)&gt;1,"Trùng",""))</f>
        <v/>
      </c>
      <c r="S1697" s="22">
        <f>IF($D1697="","",IF(AND(LEN($D1697)=10,LEFT($D1697,1)="0",ISNUMBER(--$D1697)),"Có","Không"))</f>
        <v/>
      </c>
      <c r="T1697" s="22">
        <f>IF($D1697="","",IF(AND($C1697&lt;&gt;"",$Q1697="Có",$R1697="",$S1697="Có",AND($L1697&lt;&gt;"",OR($L1697&lt;&gt;"Chưa xác định",DANH_MUC!$L$9="Có"))),"Có","Không"))</f>
        <v/>
      </c>
      <c r="U1697" s="22">
        <f>IF(OR($D1697="",$T1697="Có"),"",IF($C1697="","Thiếu họ tên; ","")&amp;IF($S1697&lt;&gt;"Có","SĐT sai định dạng; ","")&amp;IF($R1697="Trùng","Trùng SĐT; ","")&amp;IF($Q1697&lt;&gt;"Có","Thiếu đồng ý bắt buộc; ","")&amp;IF($L1697="","Thiếu/sai Mã REF; ",IF(AND($L1697="Chưa xác định",DANH_MUC!$L$9&lt;&gt;"Có"),"Nguồn chưa xác định; ","")))</f>
        <v/>
      </c>
      <c r="V1697" s="22">
        <f>IF(OR($D1697="",$R1697="Trùng"),"",IF(COUNTIF(ORDERS!$C$2:$C$4995,$D1697)&gt;0,"Có","Không"))</f>
        <v/>
      </c>
      <c r="W1697" s="22">
        <f>IF(OR($D1697="",$R1697="Trùng"),"",COUNTIFS(ORDERS!$C$2:$C$4995,$D1697,ORDERS!$L$2:$L$4995,"Đã chuyển khoản"))</f>
        <v/>
      </c>
      <c r="X1697" s="23">
        <f>IF(OR($D1697="",$R1697="Trùng"),"",SUMIFS(ORDERS!$J$2:$J$4995,ORDERS!$C$2:$C$4995,$D1697,ORDERS!$L$2:$L$4995,"Đã chuyển khoản"))</f>
        <v/>
      </c>
      <c r="Y1697" s="24" t="n"/>
    </row>
    <row r="1698" ht="14.25" customHeight="1" s="40">
      <c r="A1698" s="24" t="n"/>
      <c r="B1698" s="27" t="n"/>
      <c r="C1698" s="24" t="n"/>
      <c r="D1698" s="28" t="n"/>
      <c r="E1698" s="29" t="n"/>
      <c r="F1698" s="24" t="n"/>
      <c r="G1698" s="24" t="n"/>
      <c r="H1698" s="21">
        <f>IF(ISNUMBER($B1698),INT($B1698)-WEEKDAY($B1698,2)+1,"")</f>
        <v/>
      </c>
      <c r="I1698" s="24" t="n"/>
      <c r="J1698" s="22">
        <f t="array" ref="J1698">IF($D1698="","",IF($I1698="","(trống REF)",IFERROR(INDEX(MASTER_SOURCE!$B$2:$B$495,MATCH($I1698,MASTER_SOURCE!$A$2:$A$495,0)),"(REF không có trong MASTER_SOURCE)")))</f>
        <v/>
      </c>
      <c r="K1698" s="22">
        <f t="array" ref="K1698">IF($D1698="","",IFERROR(INDEX(MASTER_SOURCE!$C$2:$C$495,MATCH($I1698,MASTER_SOURCE!$A$2:$A$495,0)),""))</f>
        <v/>
      </c>
      <c r="L1698" s="22">
        <f t="array" ref="L1698">IF($D1698="","",IFERROR(INDEX(MASTER_SOURCE!$D$2:$D$495,MATCH($I1698,MASTER_SOURCE!$A$2:$A$495,0)),""))</f>
        <v/>
      </c>
      <c r="M1698" s="24" t="n"/>
      <c r="N1698" s="24" t="n"/>
      <c r="O1698" s="24" t="n"/>
      <c r="P1698" s="24" t="n"/>
      <c r="Q1698" s="22">
        <f>IF($D1698="","",IF(AND(OR(DANH_MUC!$L$5&lt;&gt;"Có",M1698="Có"),OR(DANH_MUC!$L$6&lt;&gt;"Có",N1698="Có"),OR(DANH_MUC!$L$7&lt;&gt;"Có",O1698="Có"),OR(DANH_MUC!$L$8&lt;&gt;"Có",P1698="Có")),"Có","Không"))</f>
        <v/>
      </c>
      <c r="R1698" s="22">
        <f>IF($D1698="","",IF(COUNTIF($D$2:$D1698,$D1698)&gt;1,"Trùng",""))</f>
        <v/>
      </c>
      <c r="S1698" s="22">
        <f>IF($D1698="","",IF(AND(LEN($D1698)=10,LEFT($D1698,1)="0",ISNUMBER(--$D1698)),"Có","Không"))</f>
        <v/>
      </c>
      <c r="T1698" s="22">
        <f>IF($D1698="","",IF(AND($C1698&lt;&gt;"",$Q1698="Có",$R1698="",$S1698="Có",AND($L1698&lt;&gt;"",OR($L1698&lt;&gt;"Chưa xác định",DANH_MUC!$L$9="Có"))),"Có","Không"))</f>
        <v/>
      </c>
      <c r="U1698" s="22">
        <f>IF(OR($D1698="",$T1698="Có"),"",IF($C1698="","Thiếu họ tên; ","")&amp;IF($S1698&lt;&gt;"Có","SĐT sai định dạng; ","")&amp;IF($R1698="Trùng","Trùng SĐT; ","")&amp;IF($Q1698&lt;&gt;"Có","Thiếu đồng ý bắt buộc; ","")&amp;IF($L1698="","Thiếu/sai Mã REF; ",IF(AND($L1698="Chưa xác định",DANH_MUC!$L$9&lt;&gt;"Có"),"Nguồn chưa xác định; ","")))</f>
        <v/>
      </c>
      <c r="V1698" s="22">
        <f>IF(OR($D1698="",$R1698="Trùng"),"",IF(COUNTIF(ORDERS!$C$2:$C$4995,$D1698)&gt;0,"Có","Không"))</f>
        <v/>
      </c>
      <c r="W1698" s="22">
        <f>IF(OR($D1698="",$R1698="Trùng"),"",COUNTIFS(ORDERS!$C$2:$C$4995,$D1698,ORDERS!$L$2:$L$4995,"Đã chuyển khoản"))</f>
        <v/>
      </c>
      <c r="X1698" s="23">
        <f>IF(OR($D1698="",$R1698="Trùng"),"",SUMIFS(ORDERS!$J$2:$J$4995,ORDERS!$C$2:$C$4995,$D1698,ORDERS!$L$2:$L$4995,"Đã chuyển khoản"))</f>
        <v/>
      </c>
      <c r="Y1698" s="24" t="n"/>
    </row>
    <row r="1699" ht="14.25" customHeight="1" s="40">
      <c r="A1699" s="24" t="n"/>
      <c r="B1699" s="27" t="n"/>
      <c r="C1699" s="24" t="n"/>
      <c r="D1699" s="28" t="n"/>
      <c r="E1699" s="29" t="n"/>
      <c r="F1699" s="24" t="n"/>
      <c r="G1699" s="24" t="n"/>
      <c r="H1699" s="21">
        <f>IF(ISNUMBER($B1699),INT($B1699)-WEEKDAY($B1699,2)+1,"")</f>
        <v/>
      </c>
      <c r="I1699" s="24" t="n"/>
      <c r="J1699" s="22">
        <f t="array" ref="J1699">IF($D1699="","",IF($I1699="","(trống REF)",IFERROR(INDEX(MASTER_SOURCE!$B$2:$B$495,MATCH($I1699,MASTER_SOURCE!$A$2:$A$495,0)),"(REF không có trong MASTER_SOURCE)")))</f>
        <v/>
      </c>
      <c r="K1699" s="22">
        <f t="array" ref="K1699">IF($D1699="","",IFERROR(INDEX(MASTER_SOURCE!$C$2:$C$495,MATCH($I1699,MASTER_SOURCE!$A$2:$A$495,0)),""))</f>
        <v/>
      </c>
      <c r="L1699" s="22">
        <f t="array" ref="L1699">IF($D1699="","",IFERROR(INDEX(MASTER_SOURCE!$D$2:$D$495,MATCH($I1699,MASTER_SOURCE!$A$2:$A$495,0)),""))</f>
        <v/>
      </c>
      <c r="M1699" s="24" t="n"/>
      <c r="N1699" s="24" t="n"/>
      <c r="O1699" s="24" t="n"/>
      <c r="P1699" s="24" t="n"/>
      <c r="Q1699" s="22">
        <f>IF($D1699="","",IF(AND(OR(DANH_MUC!$L$5&lt;&gt;"Có",M1699="Có"),OR(DANH_MUC!$L$6&lt;&gt;"Có",N1699="Có"),OR(DANH_MUC!$L$7&lt;&gt;"Có",O1699="Có"),OR(DANH_MUC!$L$8&lt;&gt;"Có",P1699="Có")),"Có","Không"))</f>
        <v/>
      </c>
      <c r="R1699" s="22">
        <f>IF($D1699="","",IF(COUNTIF($D$2:$D1699,$D1699)&gt;1,"Trùng",""))</f>
        <v/>
      </c>
      <c r="S1699" s="22">
        <f>IF($D1699="","",IF(AND(LEN($D1699)=10,LEFT($D1699,1)="0",ISNUMBER(--$D1699)),"Có","Không"))</f>
        <v/>
      </c>
      <c r="T1699" s="22">
        <f>IF($D1699="","",IF(AND($C1699&lt;&gt;"",$Q1699="Có",$R1699="",$S1699="Có",AND($L1699&lt;&gt;"",OR($L1699&lt;&gt;"Chưa xác định",DANH_MUC!$L$9="Có"))),"Có","Không"))</f>
        <v/>
      </c>
      <c r="U1699" s="22">
        <f>IF(OR($D1699="",$T1699="Có"),"",IF($C1699="","Thiếu họ tên; ","")&amp;IF($S1699&lt;&gt;"Có","SĐT sai định dạng; ","")&amp;IF($R1699="Trùng","Trùng SĐT; ","")&amp;IF($Q1699&lt;&gt;"Có","Thiếu đồng ý bắt buộc; ","")&amp;IF($L1699="","Thiếu/sai Mã REF; ",IF(AND($L1699="Chưa xác định",DANH_MUC!$L$9&lt;&gt;"Có"),"Nguồn chưa xác định; ","")))</f>
        <v/>
      </c>
      <c r="V1699" s="22">
        <f>IF(OR($D1699="",$R1699="Trùng"),"",IF(COUNTIF(ORDERS!$C$2:$C$4995,$D1699)&gt;0,"Có","Không"))</f>
        <v/>
      </c>
      <c r="W1699" s="22">
        <f>IF(OR($D1699="",$R1699="Trùng"),"",COUNTIFS(ORDERS!$C$2:$C$4995,$D1699,ORDERS!$L$2:$L$4995,"Đã chuyển khoản"))</f>
        <v/>
      </c>
      <c r="X1699" s="23">
        <f>IF(OR($D1699="",$R1699="Trùng"),"",SUMIFS(ORDERS!$J$2:$J$4995,ORDERS!$C$2:$C$4995,$D1699,ORDERS!$L$2:$L$4995,"Đã chuyển khoản"))</f>
        <v/>
      </c>
      <c r="Y1699" s="24" t="n"/>
    </row>
    <row r="1700" ht="14.25" customHeight="1" s="40">
      <c r="A1700" s="24" t="n"/>
      <c r="B1700" s="27" t="n"/>
      <c r="C1700" s="24" t="n"/>
      <c r="D1700" s="28" t="n"/>
      <c r="E1700" s="29" t="n"/>
      <c r="F1700" s="24" t="n"/>
      <c r="G1700" s="24" t="n"/>
      <c r="H1700" s="21">
        <f>IF(ISNUMBER($B1700),INT($B1700)-WEEKDAY($B1700,2)+1,"")</f>
        <v/>
      </c>
      <c r="I1700" s="24" t="n"/>
      <c r="J1700" s="22">
        <f t="array" ref="J1700">IF($D1700="","",IF($I1700="","(trống REF)",IFERROR(INDEX(MASTER_SOURCE!$B$2:$B$495,MATCH($I1700,MASTER_SOURCE!$A$2:$A$495,0)),"(REF không có trong MASTER_SOURCE)")))</f>
        <v/>
      </c>
      <c r="K1700" s="22">
        <f t="array" ref="K1700">IF($D1700="","",IFERROR(INDEX(MASTER_SOURCE!$C$2:$C$495,MATCH($I1700,MASTER_SOURCE!$A$2:$A$495,0)),""))</f>
        <v/>
      </c>
      <c r="L1700" s="22">
        <f t="array" ref="L1700">IF($D1700="","",IFERROR(INDEX(MASTER_SOURCE!$D$2:$D$495,MATCH($I1700,MASTER_SOURCE!$A$2:$A$495,0)),""))</f>
        <v/>
      </c>
      <c r="M1700" s="24" t="n"/>
      <c r="N1700" s="24" t="n"/>
      <c r="O1700" s="24" t="n"/>
      <c r="P1700" s="24" t="n"/>
      <c r="Q1700" s="22">
        <f>IF($D1700="","",IF(AND(OR(DANH_MUC!$L$5&lt;&gt;"Có",M1700="Có"),OR(DANH_MUC!$L$6&lt;&gt;"Có",N1700="Có"),OR(DANH_MUC!$L$7&lt;&gt;"Có",O1700="Có"),OR(DANH_MUC!$L$8&lt;&gt;"Có",P1700="Có")),"Có","Không"))</f>
        <v/>
      </c>
      <c r="R1700" s="22">
        <f>IF($D1700="","",IF(COUNTIF($D$2:$D1700,$D1700)&gt;1,"Trùng",""))</f>
        <v/>
      </c>
      <c r="S1700" s="22">
        <f>IF($D1700="","",IF(AND(LEN($D1700)=10,LEFT($D1700,1)="0",ISNUMBER(--$D1700)),"Có","Không"))</f>
        <v/>
      </c>
      <c r="T1700" s="22">
        <f>IF($D1700="","",IF(AND($C1700&lt;&gt;"",$Q1700="Có",$R1700="",$S1700="Có",AND($L1700&lt;&gt;"",OR($L1700&lt;&gt;"Chưa xác định",DANH_MUC!$L$9="Có"))),"Có","Không"))</f>
        <v/>
      </c>
      <c r="U1700" s="22">
        <f>IF(OR($D1700="",$T1700="Có"),"",IF($C1700="","Thiếu họ tên; ","")&amp;IF($S1700&lt;&gt;"Có","SĐT sai định dạng; ","")&amp;IF($R1700="Trùng","Trùng SĐT; ","")&amp;IF($Q1700&lt;&gt;"Có","Thiếu đồng ý bắt buộc; ","")&amp;IF($L1700="","Thiếu/sai Mã REF; ",IF(AND($L1700="Chưa xác định",DANH_MUC!$L$9&lt;&gt;"Có"),"Nguồn chưa xác định; ","")))</f>
        <v/>
      </c>
      <c r="V1700" s="22">
        <f>IF(OR($D1700="",$R1700="Trùng"),"",IF(COUNTIF(ORDERS!$C$2:$C$4995,$D1700)&gt;0,"Có","Không"))</f>
        <v/>
      </c>
      <c r="W1700" s="22">
        <f>IF(OR($D1700="",$R1700="Trùng"),"",COUNTIFS(ORDERS!$C$2:$C$4995,$D1700,ORDERS!$L$2:$L$4995,"Đã chuyển khoản"))</f>
        <v/>
      </c>
      <c r="X1700" s="23">
        <f>IF(OR($D1700="",$R1700="Trùng"),"",SUMIFS(ORDERS!$J$2:$J$4995,ORDERS!$C$2:$C$4995,$D1700,ORDERS!$L$2:$L$4995,"Đã chuyển khoản"))</f>
        <v/>
      </c>
      <c r="Y1700" s="24" t="n"/>
    </row>
    <row r="1701" ht="14.25" customHeight="1" s="40">
      <c r="A1701" s="24" t="n"/>
      <c r="B1701" s="27" t="n"/>
      <c r="C1701" s="24" t="n"/>
      <c r="D1701" s="28" t="n"/>
      <c r="E1701" s="29" t="n"/>
      <c r="F1701" s="24" t="n"/>
      <c r="G1701" s="24" t="n"/>
      <c r="H1701" s="21">
        <f>IF(ISNUMBER($B1701),INT($B1701)-WEEKDAY($B1701,2)+1,"")</f>
        <v/>
      </c>
      <c r="I1701" s="24" t="n"/>
      <c r="J1701" s="22">
        <f t="array" ref="J1701">IF($D1701="","",IF($I1701="","(trống REF)",IFERROR(INDEX(MASTER_SOURCE!$B$2:$B$495,MATCH($I1701,MASTER_SOURCE!$A$2:$A$495,0)),"(REF không có trong MASTER_SOURCE)")))</f>
        <v/>
      </c>
      <c r="K1701" s="22">
        <f t="array" ref="K1701">IF($D1701="","",IFERROR(INDEX(MASTER_SOURCE!$C$2:$C$495,MATCH($I1701,MASTER_SOURCE!$A$2:$A$495,0)),""))</f>
        <v/>
      </c>
      <c r="L1701" s="22">
        <f t="array" ref="L1701">IF($D1701="","",IFERROR(INDEX(MASTER_SOURCE!$D$2:$D$495,MATCH($I1701,MASTER_SOURCE!$A$2:$A$495,0)),""))</f>
        <v/>
      </c>
      <c r="M1701" s="24" t="n"/>
      <c r="N1701" s="24" t="n"/>
      <c r="O1701" s="24" t="n"/>
      <c r="P1701" s="24" t="n"/>
      <c r="Q1701" s="22">
        <f>IF($D1701="","",IF(AND(OR(DANH_MUC!$L$5&lt;&gt;"Có",M1701="Có"),OR(DANH_MUC!$L$6&lt;&gt;"Có",N1701="Có"),OR(DANH_MUC!$L$7&lt;&gt;"Có",O1701="Có"),OR(DANH_MUC!$L$8&lt;&gt;"Có",P1701="Có")),"Có","Không"))</f>
        <v/>
      </c>
      <c r="R1701" s="22">
        <f>IF($D1701="","",IF(COUNTIF($D$2:$D1701,$D1701)&gt;1,"Trùng",""))</f>
        <v/>
      </c>
      <c r="S1701" s="22">
        <f>IF($D1701="","",IF(AND(LEN($D1701)=10,LEFT($D1701,1)="0",ISNUMBER(--$D1701)),"Có","Không"))</f>
        <v/>
      </c>
      <c r="T1701" s="22">
        <f>IF($D1701="","",IF(AND($C1701&lt;&gt;"",$Q1701="Có",$R1701="",$S1701="Có",AND($L1701&lt;&gt;"",OR($L1701&lt;&gt;"Chưa xác định",DANH_MUC!$L$9="Có"))),"Có","Không"))</f>
        <v/>
      </c>
      <c r="U1701" s="22">
        <f>IF(OR($D1701="",$T1701="Có"),"",IF($C1701="","Thiếu họ tên; ","")&amp;IF($S1701&lt;&gt;"Có","SĐT sai định dạng; ","")&amp;IF($R1701="Trùng","Trùng SĐT; ","")&amp;IF($Q1701&lt;&gt;"Có","Thiếu đồng ý bắt buộc; ","")&amp;IF($L1701="","Thiếu/sai Mã REF; ",IF(AND($L1701="Chưa xác định",DANH_MUC!$L$9&lt;&gt;"Có"),"Nguồn chưa xác định; ","")))</f>
        <v/>
      </c>
      <c r="V1701" s="22">
        <f>IF(OR($D1701="",$R1701="Trùng"),"",IF(COUNTIF(ORDERS!$C$2:$C$4995,$D1701)&gt;0,"Có","Không"))</f>
        <v/>
      </c>
      <c r="W1701" s="22">
        <f>IF(OR($D1701="",$R1701="Trùng"),"",COUNTIFS(ORDERS!$C$2:$C$4995,$D1701,ORDERS!$L$2:$L$4995,"Đã chuyển khoản"))</f>
        <v/>
      </c>
      <c r="X1701" s="23">
        <f>IF(OR($D1701="",$R1701="Trùng"),"",SUMIFS(ORDERS!$J$2:$J$4995,ORDERS!$C$2:$C$4995,$D1701,ORDERS!$L$2:$L$4995,"Đã chuyển khoản"))</f>
        <v/>
      </c>
      <c r="Y1701" s="24" t="n"/>
    </row>
    <row r="1702" ht="14.25" customHeight="1" s="40">
      <c r="A1702" s="24" t="n"/>
      <c r="B1702" s="27" t="n"/>
      <c r="C1702" s="24" t="n"/>
      <c r="D1702" s="28" t="n"/>
      <c r="E1702" s="29" t="n"/>
      <c r="F1702" s="24" t="n"/>
      <c r="G1702" s="24" t="n"/>
      <c r="H1702" s="21">
        <f>IF(ISNUMBER($B1702),INT($B1702)-WEEKDAY($B1702,2)+1,"")</f>
        <v/>
      </c>
      <c r="I1702" s="24" t="n"/>
      <c r="J1702" s="22">
        <f t="array" ref="J1702">IF($D1702="","",IF($I1702="","(trống REF)",IFERROR(INDEX(MASTER_SOURCE!$B$2:$B$495,MATCH($I1702,MASTER_SOURCE!$A$2:$A$495,0)),"(REF không có trong MASTER_SOURCE)")))</f>
        <v/>
      </c>
      <c r="K1702" s="22">
        <f t="array" ref="K1702">IF($D1702="","",IFERROR(INDEX(MASTER_SOURCE!$C$2:$C$495,MATCH($I1702,MASTER_SOURCE!$A$2:$A$495,0)),""))</f>
        <v/>
      </c>
      <c r="L1702" s="22">
        <f t="array" ref="L1702">IF($D1702="","",IFERROR(INDEX(MASTER_SOURCE!$D$2:$D$495,MATCH($I1702,MASTER_SOURCE!$A$2:$A$495,0)),""))</f>
        <v/>
      </c>
      <c r="M1702" s="24" t="n"/>
      <c r="N1702" s="24" t="n"/>
      <c r="O1702" s="24" t="n"/>
      <c r="P1702" s="24" t="n"/>
      <c r="Q1702" s="22">
        <f>IF($D1702="","",IF(AND(OR(DANH_MUC!$L$5&lt;&gt;"Có",M1702="Có"),OR(DANH_MUC!$L$6&lt;&gt;"Có",N1702="Có"),OR(DANH_MUC!$L$7&lt;&gt;"Có",O1702="Có"),OR(DANH_MUC!$L$8&lt;&gt;"Có",P1702="Có")),"Có","Không"))</f>
        <v/>
      </c>
      <c r="R1702" s="22">
        <f>IF($D1702="","",IF(COUNTIF($D$2:$D1702,$D1702)&gt;1,"Trùng",""))</f>
        <v/>
      </c>
      <c r="S1702" s="22">
        <f>IF($D1702="","",IF(AND(LEN($D1702)=10,LEFT($D1702,1)="0",ISNUMBER(--$D1702)),"Có","Không"))</f>
        <v/>
      </c>
      <c r="T1702" s="22">
        <f>IF($D1702="","",IF(AND($C1702&lt;&gt;"",$Q1702="Có",$R1702="",$S1702="Có",AND($L1702&lt;&gt;"",OR($L1702&lt;&gt;"Chưa xác định",DANH_MUC!$L$9="Có"))),"Có","Không"))</f>
        <v/>
      </c>
      <c r="U1702" s="22">
        <f>IF(OR($D1702="",$T1702="Có"),"",IF($C1702="","Thiếu họ tên; ","")&amp;IF($S1702&lt;&gt;"Có","SĐT sai định dạng; ","")&amp;IF($R1702="Trùng","Trùng SĐT; ","")&amp;IF($Q1702&lt;&gt;"Có","Thiếu đồng ý bắt buộc; ","")&amp;IF($L1702="","Thiếu/sai Mã REF; ",IF(AND($L1702="Chưa xác định",DANH_MUC!$L$9&lt;&gt;"Có"),"Nguồn chưa xác định; ","")))</f>
        <v/>
      </c>
      <c r="V1702" s="22">
        <f>IF(OR($D1702="",$R1702="Trùng"),"",IF(COUNTIF(ORDERS!$C$2:$C$4995,$D1702)&gt;0,"Có","Không"))</f>
        <v/>
      </c>
      <c r="W1702" s="22">
        <f>IF(OR($D1702="",$R1702="Trùng"),"",COUNTIFS(ORDERS!$C$2:$C$4995,$D1702,ORDERS!$L$2:$L$4995,"Đã chuyển khoản"))</f>
        <v/>
      </c>
      <c r="X1702" s="23">
        <f>IF(OR($D1702="",$R1702="Trùng"),"",SUMIFS(ORDERS!$J$2:$J$4995,ORDERS!$C$2:$C$4995,$D1702,ORDERS!$L$2:$L$4995,"Đã chuyển khoản"))</f>
        <v/>
      </c>
      <c r="Y1702" s="24" t="n"/>
    </row>
    <row r="1703" ht="14.25" customHeight="1" s="40">
      <c r="A1703" s="24" t="n"/>
      <c r="B1703" s="27" t="n"/>
      <c r="C1703" s="24" t="n"/>
      <c r="D1703" s="28" t="n"/>
      <c r="E1703" s="29" t="n"/>
      <c r="F1703" s="24" t="n"/>
      <c r="G1703" s="24" t="n"/>
      <c r="H1703" s="21">
        <f>IF(ISNUMBER($B1703),INT($B1703)-WEEKDAY($B1703,2)+1,"")</f>
        <v/>
      </c>
      <c r="I1703" s="24" t="n"/>
      <c r="J1703" s="22">
        <f t="array" ref="J1703">IF($D1703="","",IF($I1703="","(trống REF)",IFERROR(INDEX(MASTER_SOURCE!$B$2:$B$495,MATCH($I1703,MASTER_SOURCE!$A$2:$A$495,0)),"(REF không có trong MASTER_SOURCE)")))</f>
        <v/>
      </c>
      <c r="K1703" s="22">
        <f t="array" ref="K1703">IF($D1703="","",IFERROR(INDEX(MASTER_SOURCE!$C$2:$C$495,MATCH($I1703,MASTER_SOURCE!$A$2:$A$495,0)),""))</f>
        <v/>
      </c>
      <c r="L1703" s="22">
        <f t="array" ref="L1703">IF($D1703="","",IFERROR(INDEX(MASTER_SOURCE!$D$2:$D$495,MATCH($I1703,MASTER_SOURCE!$A$2:$A$495,0)),""))</f>
        <v/>
      </c>
      <c r="M1703" s="24" t="n"/>
      <c r="N1703" s="24" t="n"/>
      <c r="O1703" s="24" t="n"/>
      <c r="P1703" s="24" t="n"/>
      <c r="Q1703" s="22">
        <f>IF($D1703="","",IF(AND(OR(DANH_MUC!$L$5&lt;&gt;"Có",M1703="Có"),OR(DANH_MUC!$L$6&lt;&gt;"Có",N1703="Có"),OR(DANH_MUC!$L$7&lt;&gt;"Có",O1703="Có"),OR(DANH_MUC!$L$8&lt;&gt;"Có",P1703="Có")),"Có","Không"))</f>
        <v/>
      </c>
      <c r="R1703" s="22">
        <f>IF($D1703="","",IF(COUNTIF($D$2:$D1703,$D1703)&gt;1,"Trùng",""))</f>
        <v/>
      </c>
      <c r="S1703" s="22">
        <f>IF($D1703="","",IF(AND(LEN($D1703)=10,LEFT($D1703,1)="0",ISNUMBER(--$D1703)),"Có","Không"))</f>
        <v/>
      </c>
      <c r="T1703" s="22">
        <f>IF($D1703="","",IF(AND($C1703&lt;&gt;"",$Q1703="Có",$R1703="",$S1703="Có",AND($L1703&lt;&gt;"",OR($L1703&lt;&gt;"Chưa xác định",DANH_MUC!$L$9="Có"))),"Có","Không"))</f>
        <v/>
      </c>
      <c r="U1703" s="22">
        <f>IF(OR($D1703="",$T1703="Có"),"",IF($C1703="","Thiếu họ tên; ","")&amp;IF($S1703&lt;&gt;"Có","SĐT sai định dạng; ","")&amp;IF($R1703="Trùng","Trùng SĐT; ","")&amp;IF($Q1703&lt;&gt;"Có","Thiếu đồng ý bắt buộc; ","")&amp;IF($L1703="","Thiếu/sai Mã REF; ",IF(AND($L1703="Chưa xác định",DANH_MUC!$L$9&lt;&gt;"Có"),"Nguồn chưa xác định; ","")))</f>
        <v/>
      </c>
      <c r="V1703" s="22">
        <f>IF(OR($D1703="",$R1703="Trùng"),"",IF(COUNTIF(ORDERS!$C$2:$C$4995,$D1703)&gt;0,"Có","Không"))</f>
        <v/>
      </c>
      <c r="W1703" s="22">
        <f>IF(OR($D1703="",$R1703="Trùng"),"",COUNTIFS(ORDERS!$C$2:$C$4995,$D1703,ORDERS!$L$2:$L$4995,"Đã chuyển khoản"))</f>
        <v/>
      </c>
      <c r="X1703" s="23">
        <f>IF(OR($D1703="",$R1703="Trùng"),"",SUMIFS(ORDERS!$J$2:$J$4995,ORDERS!$C$2:$C$4995,$D1703,ORDERS!$L$2:$L$4995,"Đã chuyển khoản"))</f>
        <v/>
      </c>
      <c r="Y1703" s="24" t="n"/>
    </row>
    <row r="1704" ht="14.25" customHeight="1" s="40">
      <c r="A1704" s="24" t="n"/>
      <c r="B1704" s="27" t="n"/>
      <c r="C1704" s="24" t="n"/>
      <c r="D1704" s="28" t="n"/>
      <c r="E1704" s="29" t="n"/>
      <c r="F1704" s="24" t="n"/>
      <c r="G1704" s="24" t="n"/>
      <c r="H1704" s="21">
        <f>IF(ISNUMBER($B1704),INT($B1704)-WEEKDAY($B1704,2)+1,"")</f>
        <v/>
      </c>
      <c r="I1704" s="24" t="n"/>
      <c r="J1704" s="22">
        <f t="array" ref="J1704">IF($D1704="","",IF($I1704="","(trống REF)",IFERROR(INDEX(MASTER_SOURCE!$B$2:$B$495,MATCH($I1704,MASTER_SOURCE!$A$2:$A$495,0)),"(REF không có trong MASTER_SOURCE)")))</f>
        <v/>
      </c>
      <c r="K1704" s="22">
        <f t="array" ref="K1704">IF($D1704="","",IFERROR(INDEX(MASTER_SOURCE!$C$2:$C$495,MATCH($I1704,MASTER_SOURCE!$A$2:$A$495,0)),""))</f>
        <v/>
      </c>
      <c r="L1704" s="22">
        <f t="array" ref="L1704">IF($D1704="","",IFERROR(INDEX(MASTER_SOURCE!$D$2:$D$495,MATCH($I1704,MASTER_SOURCE!$A$2:$A$495,0)),""))</f>
        <v/>
      </c>
      <c r="M1704" s="24" t="n"/>
      <c r="N1704" s="24" t="n"/>
      <c r="O1704" s="24" t="n"/>
      <c r="P1704" s="24" t="n"/>
      <c r="Q1704" s="22">
        <f>IF($D1704="","",IF(AND(OR(DANH_MUC!$L$5&lt;&gt;"Có",M1704="Có"),OR(DANH_MUC!$L$6&lt;&gt;"Có",N1704="Có"),OR(DANH_MUC!$L$7&lt;&gt;"Có",O1704="Có"),OR(DANH_MUC!$L$8&lt;&gt;"Có",P1704="Có")),"Có","Không"))</f>
        <v/>
      </c>
      <c r="R1704" s="22">
        <f>IF($D1704="","",IF(COUNTIF($D$2:$D1704,$D1704)&gt;1,"Trùng",""))</f>
        <v/>
      </c>
      <c r="S1704" s="22">
        <f>IF($D1704="","",IF(AND(LEN($D1704)=10,LEFT($D1704,1)="0",ISNUMBER(--$D1704)),"Có","Không"))</f>
        <v/>
      </c>
      <c r="T1704" s="22">
        <f>IF($D1704="","",IF(AND($C1704&lt;&gt;"",$Q1704="Có",$R1704="",$S1704="Có",AND($L1704&lt;&gt;"",OR($L1704&lt;&gt;"Chưa xác định",DANH_MUC!$L$9="Có"))),"Có","Không"))</f>
        <v/>
      </c>
      <c r="U1704" s="22">
        <f>IF(OR($D1704="",$T1704="Có"),"",IF($C1704="","Thiếu họ tên; ","")&amp;IF($S1704&lt;&gt;"Có","SĐT sai định dạng; ","")&amp;IF($R1704="Trùng","Trùng SĐT; ","")&amp;IF($Q1704&lt;&gt;"Có","Thiếu đồng ý bắt buộc; ","")&amp;IF($L1704="","Thiếu/sai Mã REF; ",IF(AND($L1704="Chưa xác định",DANH_MUC!$L$9&lt;&gt;"Có"),"Nguồn chưa xác định; ","")))</f>
        <v/>
      </c>
      <c r="V1704" s="22">
        <f>IF(OR($D1704="",$R1704="Trùng"),"",IF(COUNTIF(ORDERS!$C$2:$C$4995,$D1704)&gt;0,"Có","Không"))</f>
        <v/>
      </c>
      <c r="W1704" s="22">
        <f>IF(OR($D1704="",$R1704="Trùng"),"",COUNTIFS(ORDERS!$C$2:$C$4995,$D1704,ORDERS!$L$2:$L$4995,"Đã chuyển khoản"))</f>
        <v/>
      </c>
      <c r="X1704" s="23">
        <f>IF(OR($D1704="",$R1704="Trùng"),"",SUMIFS(ORDERS!$J$2:$J$4995,ORDERS!$C$2:$C$4995,$D1704,ORDERS!$L$2:$L$4995,"Đã chuyển khoản"))</f>
        <v/>
      </c>
      <c r="Y1704" s="24" t="n"/>
    </row>
    <row r="1705" ht="14.25" customHeight="1" s="40">
      <c r="A1705" s="24" t="n"/>
      <c r="B1705" s="27" t="n"/>
      <c r="C1705" s="24" t="n"/>
      <c r="D1705" s="28" t="n"/>
      <c r="E1705" s="29" t="n"/>
      <c r="F1705" s="24" t="n"/>
      <c r="G1705" s="24" t="n"/>
      <c r="H1705" s="21">
        <f>IF(ISNUMBER($B1705),INT($B1705)-WEEKDAY($B1705,2)+1,"")</f>
        <v/>
      </c>
      <c r="I1705" s="24" t="n"/>
      <c r="J1705" s="22">
        <f t="array" ref="J1705">IF($D1705="","",IF($I1705="","(trống REF)",IFERROR(INDEX(MASTER_SOURCE!$B$2:$B$495,MATCH($I1705,MASTER_SOURCE!$A$2:$A$495,0)),"(REF không có trong MASTER_SOURCE)")))</f>
        <v/>
      </c>
      <c r="K1705" s="22">
        <f t="array" ref="K1705">IF($D1705="","",IFERROR(INDEX(MASTER_SOURCE!$C$2:$C$495,MATCH($I1705,MASTER_SOURCE!$A$2:$A$495,0)),""))</f>
        <v/>
      </c>
      <c r="L1705" s="22">
        <f t="array" ref="L1705">IF($D1705="","",IFERROR(INDEX(MASTER_SOURCE!$D$2:$D$495,MATCH($I1705,MASTER_SOURCE!$A$2:$A$495,0)),""))</f>
        <v/>
      </c>
      <c r="M1705" s="24" t="n"/>
      <c r="N1705" s="24" t="n"/>
      <c r="O1705" s="24" t="n"/>
      <c r="P1705" s="24" t="n"/>
      <c r="Q1705" s="22">
        <f>IF($D1705="","",IF(AND(OR(DANH_MUC!$L$5&lt;&gt;"Có",M1705="Có"),OR(DANH_MUC!$L$6&lt;&gt;"Có",N1705="Có"),OR(DANH_MUC!$L$7&lt;&gt;"Có",O1705="Có"),OR(DANH_MUC!$L$8&lt;&gt;"Có",P1705="Có")),"Có","Không"))</f>
        <v/>
      </c>
      <c r="R1705" s="22">
        <f>IF($D1705="","",IF(COUNTIF($D$2:$D1705,$D1705)&gt;1,"Trùng",""))</f>
        <v/>
      </c>
      <c r="S1705" s="22">
        <f>IF($D1705="","",IF(AND(LEN($D1705)=10,LEFT($D1705,1)="0",ISNUMBER(--$D1705)),"Có","Không"))</f>
        <v/>
      </c>
      <c r="T1705" s="22">
        <f>IF($D1705="","",IF(AND($C1705&lt;&gt;"",$Q1705="Có",$R1705="",$S1705="Có",AND($L1705&lt;&gt;"",OR($L1705&lt;&gt;"Chưa xác định",DANH_MUC!$L$9="Có"))),"Có","Không"))</f>
        <v/>
      </c>
      <c r="U1705" s="22">
        <f>IF(OR($D1705="",$T1705="Có"),"",IF($C1705="","Thiếu họ tên; ","")&amp;IF($S1705&lt;&gt;"Có","SĐT sai định dạng; ","")&amp;IF($R1705="Trùng","Trùng SĐT; ","")&amp;IF($Q1705&lt;&gt;"Có","Thiếu đồng ý bắt buộc; ","")&amp;IF($L1705="","Thiếu/sai Mã REF; ",IF(AND($L1705="Chưa xác định",DANH_MUC!$L$9&lt;&gt;"Có"),"Nguồn chưa xác định; ","")))</f>
        <v/>
      </c>
      <c r="V1705" s="22">
        <f>IF(OR($D1705="",$R1705="Trùng"),"",IF(COUNTIF(ORDERS!$C$2:$C$4995,$D1705)&gt;0,"Có","Không"))</f>
        <v/>
      </c>
      <c r="W1705" s="22">
        <f>IF(OR($D1705="",$R1705="Trùng"),"",COUNTIFS(ORDERS!$C$2:$C$4995,$D1705,ORDERS!$L$2:$L$4995,"Đã chuyển khoản"))</f>
        <v/>
      </c>
      <c r="X1705" s="23">
        <f>IF(OR($D1705="",$R1705="Trùng"),"",SUMIFS(ORDERS!$J$2:$J$4995,ORDERS!$C$2:$C$4995,$D1705,ORDERS!$L$2:$L$4995,"Đã chuyển khoản"))</f>
        <v/>
      </c>
      <c r="Y1705" s="24" t="n"/>
    </row>
    <row r="1706" ht="14.25" customHeight="1" s="40">
      <c r="A1706" s="24" t="n"/>
      <c r="B1706" s="27" t="n"/>
      <c r="C1706" s="24" t="n"/>
      <c r="D1706" s="28" t="n"/>
      <c r="E1706" s="29" t="n"/>
      <c r="F1706" s="24" t="n"/>
      <c r="G1706" s="24" t="n"/>
      <c r="H1706" s="21">
        <f>IF(ISNUMBER($B1706),INT($B1706)-WEEKDAY($B1706,2)+1,"")</f>
        <v/>
      </c>
      <c r="I1706" s="24" t="n"/>
      <c r="J1706" s="22">
        <f t="array" ref="J1706">IF($D1706="","",IF($I1706="","(trống REF)",IFERROR(INDEX(MASTER_SOURCE!$B$2:$B$495,MATCH($I1706,MASTER_SOURCE!$A$2:$A$495,0)),"(REF không có trong MASTER_SOURCE)")))</f>
        <v/>
      </c>
      <c r="K1706" s="22">
        <f t="array" ref="K1706">IF($D1706="","",IFERROR(INDEX(MASTER_SOURCE!$C$2:$C$495,MATCH($I1706,MASTER_SOURCE!$A$2:$A$495,0)),""))</f>
        <v/>
      </c>
      <c r="L1706" s="22">
        <f t="array" ref="L1706">IF($D1706="","",IFERROR(INDEX(MASTER_SOURCE!$D$2:$D$495,MATCH($I1706,MASTER_SOURCE!$A$2:$A$495,0)),""))</f>
        <v/>
      </c>
      <c r="M1706" s="24" t="n"/>
      <c r="N1706" s="24" t="n"/>
      <c r="O1706" s="24" t="n"/>
      <c r="P1706" s="24" t="n"/>
      <c r="Q1706" s="22">
        <f>IF($D1706="","",IF(AND(OR(DANH_MUC!$L$5&lt;&gt;"Có",M1706="Có"),OR(DANH_MUC!$L$6&lt;&gt;"Có",N1706="Có"),OR(DANH_MUC!$L$7&lt;&gt;"Có",O1706="Có"),OR(DANH_MUC!$L$8&lt;&gt;"Có",P1706="Có")),"Có","Không"))</f>
        <v/>
      </c>
      <c r="R1706" s="22">
        <f>IF($D1706="","",IF(COUNTIF($D$2:$D1706,$D1706)&gt;1,"Trùng",""))</f>
        <v/>
      </c>
      <c r="S1706" s="22">
        <f>IF($D1706="","",IF(AND(LEN($D1706)=10,LEFT($D1706,1)="0",ISNUMBER(--$D1706)),"Có","Không"))</f>
        <v/>
      </c>
      <c r="T1706" s="22">
        <f>IF($D1706="","",IF(AND($C1706&lt;&gt;"",$Q1706="Có",$R1706="",$S1706="Có",AND($L1706&lt;&gt;"",OR($L1706&lt;&gt;"Chưa xác định",DANH_MUC!$L$9="Có"))),"Có","Không"))</f>
        <v/>
      </c>
      <c r="U1706" s="22">
        <f>IF(OR($D1706="",$T1706="Có"),"",IF($C1706="","Thiếu họ tên; ","")&amp;IF($S1706&lt;&gt;"Có","SĐT sai định dạng; ","")&amp;IF($R1706="Trùng","Trùng SĐT; ","")&amp;IF($Q1706&lt;&gt;"Có","Thiếu đồng ý bắt buộc; ","")&amp;IF($L1706="","Thiếu/sai Mã REF; ",IF(AND($L1706="Chưa xác định",DANH_MUC!$L$9&lt;&gt;"Có"),"Nguồn chưa xác định; ","")))</f>
        <v/>
      </c>
      <c r="V1706" s="22">
        <f>IF(OR($D1706="",$R1706="Trùng"),"",IF(COUNTIF(ORDERS!$C$2:$C$4995,$D1706)&gt;0,"Có","Không"))</f>
        <v/>
      </c>
      <c r="W1706" s="22">
        <f>IF(OR($D1706="",$R1706="Trùng"),"",COUNTIFS(ORDERS!$C$2:$C$4995,$D1706,ORDERS!$L$2:$L$4995,"Đã chuyển khoản"))</f>
        <v/>
      </c>
      <c r="X1706" s="23">
        <f>IF(OR($D1706="",$R1706="Trùng"),"",SUMIFS(ORDERS!$J$2:$J$4995,ORDERS!$C$2:$C$4995,$D1706,ORDERS!$L$2:$L$4995,"Đã chuyển khoản"))</f>
        <v/>
      </c>
      <c r="Y1706" s="24" t="n"/>
    </row>
    <row r="1707" ht="14.25" customHeight="1" s="40">
      <c r="A1707" s="24" t="n"/>
      <c r="B1707" s="27" t="n"/>
      <c r="C1707" s="24" t="n"/>
      <c r="D1707" s="28" t="n"/>
      <c r="E1707" s="29" t="n"/>
      <c r="F1707" s="24" t="n"/>
      <c r="G1707" s="24" t="n"/>
      <c r="H1707" s="21">
        <f>IF(ISNUMBER($B1707),INT($B1707)-WEEKDAY($B1707,2)+1,"")</f>
        <v/>
      </c>
      <c r="I1707" s="24" t="n"/>
      <c r="J1707" s="22">
        <f t="array" ref="J1707">IF($D1707="","",IF($I1707="","(trống REF)",IFERROR(INDEX(MASTER_SOURCE!$B$2:$B$495,MATCH($I1707,MASTER_SOURCE!$A$2:$A$495,0)),"(REF không có trong MASTER_SOURCE)")))</f>
        <v/>
      </c>
      <c r="K1707" s="22">
        <f t="array" ref="K1707">IF($D1707="","",IFERROR(INDEX(MASTER_SOURCE!$C$2:$C$495,MATCH($I1707,MASTER_SOURCE!$A$2:$A$495,0)),""))</f>
        <v/>
      </c>
      <c r="L1707" s="22">
        <f t="array" ref="L1707">IF($D1707="","",IFERROR(INDEX(MASTER_SOURCE!$D$2:$D$495,MATCH($I1707,MASTER_SOURCE!$A$2:$A$495,0)),""))</f>
        <v/>
      </c>
      <c r="M1707" s="24" t="n"/>
      <c r="N1707" s="24" t="n"/>
      <c r="O1707" s="24" t="n"/>
      <c r="P1707" s="24" t="n"/>
      <c r="Q1707" s="22">
        <f>IF($D1707="","",IF(AND(OR(DANH_MUC!$L$5&lt;&gt;"Có",M1707="Có"),OR(DANH_MUC!$L$6&lt;&gt;"Có",N1707="Có"),OR(DANH_MUC!$L$7&lt;&gt;"Có",O1707="Có"),OR(DANH_MUC!$L$8&lt;&gt;"Có",P1707="Có")),"Có","Không"))</f>
        <v/>
      </c>
      <c r="R1707" s="22">
        <f>IF($D1707="","",IF(COUNTIF($D$2:$D1707,$D1707)&gt;1,"Trùng",""))</f>
        <v/>
      </c>
      <c r="S1707" s="22">
        <f>IF($D1707="","",IF(AND(LEN($D1707)=10,LEFT($D1707,1)="0",ISNUMBER(--$D1707)),"Có","Không"))</f>
        <v/>
      </c>
      <c r="T1707" s="22">
        <f>IF($D1707="","",IF(AND($C1707&lt;&gt;"",$Q1707="Có",$R1707="",$S1707="Có",AND($L1707&lt;&gt;"",OR($L1707&lt;&gt;"Chưa xác định",DANH_MUC!$L$9="Có"))),"Có","Không"))</f>
        <v/>
      </c>
      <c r="U1707" s="22">
        <f>IF(OR($D1707="",$T1707="Có"),"",IF($C1707="","Thiếu họ tên; ","")&amp;IF($S1707&lt;&gt;"Có","SĐT sai định dạng; ","")&amp;IF($R1707="Trùng","Trùng SĐT; ","")&amp;IF($Q1707&lt;&gt;"Có","Thiếu đồng ý bắt buộc; ","")&amp;IF($L1707="","Thiếu/sai Mã REF; ",IF(AND($L1707="Chưa xác định",DANH_MUC!$L$9&lt;&gt;"Có"),"Nguồn chưa xác định; ","")))</f>
        <v/>
      </c>
      <c r="V1707" s="22">
        <f>IF(OR($D1707="",$R1707="Trùng"),"",IF(COUNTIF(ORDERS!$C$2:$C$4995,$D1707)&gt;0,"Có","Không"))</f>
        <v/>
      </c>
      <c r="W1707" s="22">
        <f>IF(OR($D1707="",$R1707="Trùng"),"",COUNTIFS(ORDERS!$C$2:$C$4995,$D1707,ORDERS!$L$2:$L$4995,"Đã chuyển khoản"))</f>
        <v/>
      </c>
      <c r="X1707" s="23">
        <f>IF(OR($D1707="",$R1707="Trùng"),"",SUMIFS(ORDERS!$J$2:$J$4995,ORDERS!$C$2:$C$4995,$D1707,ORDERS!$L$2:$L$4995,"Đã chuyển khoản"))</f>
        <v/>
      </c>
      <c r="Y1707" s="24" t="n"/>
    </row>
    <row r="1708" ht="14.25" customHeight="1" s="40">
      <c r="A1708" s="24" t="n"/>
      <c r="B1708" s="27" t="n"/>
      <c r="C1708" s="24" t="n"/>
      <c r="D1708" s="28" t="n"/>
      <c r="E1708" s="29" t="n"/>
      <c r="F1708" s="24" t="n"/>
      <c r="G1708" s="24" t="n"/>
      <c r="H1708" s="21">
        <f>IF(ISNUMBER($B1708),INT($B1708)-WEEKDAY($B1708,2)+1,"")</f>
        <v/>
      </c>
      <c r="I1708" s="24" t="n"/>
      <c r="J1708" s="22">
        <f t="array" ref="J1708">IF($D1708="","",IF($I1708="","(trống REF)",IFERROR(INDEX(MASTER_SOURCE!$B$2:$B$495,MATCH($I1708,MASTER_SOURCE!$A$2:$A$495,0)),"(REF không có trong MASTER_SOURCE)")))</f>
        <v/>
      </c>
      <c r="K1708" s="22">
        <f t="array" ref="K1708">IF($D1708="","",IFERROR(INDEX(MASTER_SOURCE!$C$2:$C$495,MATCH($I1708,MASTER_SOURCE!$A$2:$A$495,0)),""))</f>
        <v/>
      </c>
      <c r="L1708" s="22">
        <f t="array" ref="L1708">IF($D1708="","",IFERROR(INDEX(MASTER_SOURCE!$D$2:$D$495,MATCH($I1708,MASTER_SOURCE!$A$2:$A$495,0)),""))</f>
        <v/>
      </c>
      <c r="M1708" s="24" t="n"/>
      <c r="N1708" s="24" t="n"/>
      <c r="O1708" s="24" t="n"/>
      <c r="P1708" s="24" t="n"/>
      <c r="Q1708" s="22">
        <f>IF($D1708="","",IF(AND(OR(DANH_MUC!$L$5&lt;&gt;"Có",M1708="Có"),OR(DANH_MUC!$L$6&lt;&gt;"Có",N1708="Có"),OR(DANH_MUC!$L$7&lt;&gt;"Có",O1708="Có"),OR(DANH_MUC!$L$8&lt;&gt;"Có",P1708="Có")),"Có","Không"))</f>
        <v/>
      </c>
      <c r="R1708" s="22">
        <f>IF($D1708="","",IF(COUNTIF($D$2:$D1708,$D1708)&gt;1,"Trùng",""))</f>
        <v/>
      </c>
      <c r="S1708" s="22">
        <f>IF($D1708="","",IF(AND(LEN($D1708)=10,LEFT($D1708,1)="0",ISNUMBER(--$D1708)),"Có","Không"))</f>
        <v/>
      </c>
      <c r="T1708" s="22">
        <f>IF($D1708="","",IF(AND($C1708&lt;&gt;"",$Q1708="Có",$R1708="",$S1708="Có",AND($L1708&lt;&gt;"",OR($L1708&lt;&gt;"Chưa xác định",DANH_MUC!$L$9="Có"))),"Có","Không"))</f>
        <v/>
      </c>
      <c r="U1708" s="22">
        <f>IF(OR($D1708="",$T1708="Có"),"",IF($C1708="","Thiếu họ tên; ","")&amp;IF($S1708&lt;&gt;"Có","SĐT sai định dạng; ","")&amp;IF($R1708="Trùng","Trùng SĐT; ","")&amp;IF($Q1708&lt;&gt;"Có","Thiếu đồng ý bắt buộc; ","")&amp;IF($L1708="","Thiếu/sai Mã REF; ",IF(AND($L1708="Chưa xác định",DANH_MUC!$L$9&lt;&gt;"Có"),"Nguồn chưa xác định; ","")))</f>
        <v/>
      </c>
      <c r="V1708" s="22">
        <f>IF(OR($D1708="",$R1708="Trùng"),"",IF(COUNTIF(ORDERS!$C$2:$C$4995,$D1708)&gt;0,"Có","Không"))</f>
        <v/>
      </c>
      <c r="W1708" s="22">
        <f>IF(OR($D1708="",$R1708="Trùng"),"",COUNTIFS(ORDERS!$C$2:$C$4995,$D1708,ORDERS!$L$2:$L$4995,"Đã chuyển khoản"))</f>
        <v/>
      </c>
      <c r="X1708" s="23">
        <f>IF(OR($D1708="",$R1708="Trùng"),"",SUMIFS(ORDERS!$J$2:$J$4995,ORDERS!$C$2:$C$4995,$D1708,ORDERS!$L$2:$L$4995,"Đã chuyển khoản"))</f>
        <v/>
      </c>
      <c r="Y1708" s="24" t="n"/>
    </row>
    <row r="1709" ht="14.25" customHeight="1" s="40">
      <c r="A1709" s="24" t="n"/>
      <c r="B1709" s="27" t="n"/>
      <c r="C1709" s="24" t="n"/>
      <c r="D1709" s="28" t="n"/>
      <c r="E1709" s="29" t="n"/>
      <c r="F1709" s="24" t="n"/>
      <c r="G1709" s="24" t="n"/>
      <c r="H1709" s="21">
        <f>IF(ISNUMBER($B1709),INT($B1709)-WEEKDAY($B1709,2)+1,"")</f>
        <v/>
      </c>
      <c r="I1709" s="24" t="n"/>
      <c r="J1709" s="22">
        <f t="array" ref="J1709">IF($D1709="","",IF($I1709="","(trống REF)",IFERROR(INDEX(MASTER_SOURCE!$B$2:$B$495,MATCH($I1709,MASTER_SOURCE!$A$2:$A$495,0)),"(REF không có trong MASTER_SOURCE)")))</f>
        <v/>
      </c>
      <c r="K1709" s="22">
        <f t="array" ref="K1709">IF($D1709="","",IFERROR(INDEX(MASTER_SOURCE!$C$2:$C$495,MATCH($I1709,MASTER_SOURCE!$A$2:$A$495,0)),""))</f>
        <v/>
      </c>
      <c r="L1709" s="22">
        <f t="array" ref="L1709">IF($D1709="","",IFERROR(INDEX(MASTER_SOURCE!$D$2:$D$495,MATCH($I1709,MASTER_SOURCE!$A$2:$A$495,0)),""))</f>
        <v/>
      </c>
      <c r="M1709" s="24" t="n"/>
      <c r="N1709" s="24" t="n"/>
      <c r="O1709" s="24" t="n"/>
      <c r="P1709" s="24" t="n"/>
      <c r="Q1709" s="22">
        <f>IF($D1709="","",IF(AND(OR(DANH_MUC!$L$5&lt;&gt;"Có",M1709="Có"),OR(DANH_MUC!$L$6&lt;&gt;"Có",N1709="Có"),OR(DANH_MUC!$L$7&lt;&gt;"Có",O1709="Có"),OR(DANH_MUC!$L$8&lt;&gt;"Có",P1709="Có")),"Có","Không"))</f>
        <v/>
      </c>
      <c r="R1709" s="22">
        <f>IF($D1709="","",IF(COUNTIF($D$2:$D1709,$D1709)&gt;1,"Trùng",""))</f>
        <v/>
      </c>
      <c r="S1709" s="22">
        <f>IF($D1709="","",IF(AND(LEN($D1709)=10,LEFT($D1709,1)="0",ISNUMBER(--$D1709)),"Có","Không"))</f>
        <v/>
      </c>
      <c r="T1709" s="22">
        <f>IF($D1709="","",IF(AND($C1709&lt;&gt;"",$Q1709="Có",$R1709="",$S1709="Có",AND($L1709&lt;&gt;"",OR($L1709&lt;&gt;"Chưa xác định",DANH_MUC!$L$9="Có"))),"Có","Không"))</f>
        <v/>
      </c>
      <c r="U1709" s="22">
        <f>IF(OR($D1709="",$T1709="Có"),"",IF($C1709="","Thiếu họ tên; ","")&amp;IF($S1709&lt;&gt;"Có","SĐT sai định dạng; ","")&amp;IF($R1709="Trùng","Trùng SĐT; ","")&amp;IF($Q1709&lt;&gt;"Có","Thiếu đồng ý bắt buộc; ","")&amp;IF($L1709="","Thiếu/sai Mã REF; ",IF(AND($L1709="Chưa xác định",DANH_MUC!$L$9&lt;&gt;"Có"),"Nguồn chưa xác định; ","")))</f>
        <v/>
      </c>
      <c r="V1709" s="22">
        <f>IF(OR($D1709="",$R1709="Trùng"),"",IF(COUNTIF(ORDERS!$C$2:$C$4995,$D1709)&gt;0,"Có","Không"))</f>
        <v/>
      </c>
      <c r="W1709" s="22">
        <f>IF(OR($D1709="",$R1709="Trùng"),"",COUNTIFS(ORDERS!$C$2:$C$4995,$D1709,ORDERS!$L$2:$L$4995,"Đã chuyển khoản"))</f>
        <v/>
      </c>
      <c r="X1709" s="23">
        <f>IF(OR($D1709="",$R1709="Trùng"),"",SUMIFS(ORDERS!$J$2:$J$4995,ORDERS!$C$2:$C$4995,$D1709,ORDERS!$L$2:$L$4995,"Đã chuyển khoản"))</f>
        <v/>
      </c>
      <c r="Y1709" s="24" t="n"/>
    </row>
    <row r="1710" ht="14.25" customHeight="1" s="40">
      <c r="A1710" s="24" t="n"/>
      <c r="B1710" s="27" t="n"/>
      <c r="C1710" s="24" t="n"/>
      <c r="D1710" s="28" t="n"/>
      <c r="E1710" s="29" t="n"/>
      <c r="F1710" s="24" t="n"/>
      <c r="G1710" s="24" t="n"/>
      <c r="H1710" s="21">
        <f>IF(ISNUMBER($B1710),INT($B1710)-WEEKDAY($B1710,2)+1,"")</f>
        <v/>
      </c>
      <c r="I1710" s="24" t="n"/>
      <c r="J1710" s="22">
        <f t="array" ref="J1710">IF($D1710="","",IF($I1710="","(trống REF)",IFERROR(INDEX(MASTER_SOURCE!$B$2:$B$495,MATCH($I1710,MASTER_SOURCE!$A$2:$A$495,0)),"(REF không có trong MASTER_SOURCE)")))</f>
        <v/>
      </c>
      <c r="K1710" s="22">
        <f t="array" ref="K1710">IF($D1710="","",IFERROR(INDEX(MASTER_SOURCE!$C$2:$C$495,MATCH($I1710,MASTER_SOURCE!$A$2:$A$495,0)),""))</f>
        <v/>
      </c>
      <c r="L1710" s="22">
        <f t="array" ref="L1710">IF($D1710="","",IFERROR(INDEX(MASTER_SOURCE!$D$2:$D$495,MATCH($I1710,MASTER_SOURCE!$A$2:$A$495,0)),""))</f>
        <v/>
      </c>
      <c r="M1710" s="24" t="n"/>
      <c r="N1710" s="24" t="n"/>
      <c r="O1710" s="24" t="n"/>
      <c r="P1710" s="24" t="n"/>
      <c r="Q1710" s="22">
        <f>IF($D1710="","",IF(AND(OR(DANH_MUC!$L$5&lt;&gt;"Có",M1710="Có"),OR(DANH_MUC!$L$6&lt;&gt;"Có",N1710="Có"),OR(DANH_MUC!$L$7&lt;&gt;"Có",O1710="Có"),OR(DANH_MUC!$L$8&lt;&gt;"Có",P1710="Có")),"Có","Không"))</f>
        <v/>
      </c>
      <c r="R1710" s="22">
        <f>IF($D1710="","",IF(COUNTIF($D$2:$D1710,$D1710)&gt;1,"Trùng",""))</f>
        <v/>
      </c>
      <c r="S1710" s="22">
        <f>IF($D1710="","",IF(AND(LEN($D1710)=10,LEFT($D1710,1)="0",ISNUMBER(--$D1710)),"Có","Không"))</f>
        <v/>
      </c>
      <c r="T1710" s="22">
        <f>IF($D1710="","",IF(AND($C1710&lt;&gt;"",$Q1710="Có",$R1710="",$S1710="Có",AND($L1710&lt;&gt;"",OR($L1710&lt;&gt;"Chưa xác định",DANH_MUC!$L$9="Có"))),"Có","Không"))</f>
        <v/>
      </c>
      <c r="U1710" s="22">
        <f>IF(OR($D1710="",$T1710="Có"),"",IF($C1710="","Thiếu họ tên; ","")&amp;IF($S1710&lt;&gt;"Có","SĐT sai định dạng; ","")&amp;IF($R1710="Trùng","Trùng SĐT; ","")&amp;IF($Q1710&lt;&gt;"Có","Thiếu đồng ý bắt buộc; ","")&amp;IF($L1710="","Thiếu/sai Mã REF; ",IF(AND($L1710="Chưa xác định",DANH_MUC!$L$9&lt;&gt;"Có"),"Nguồn chưa xác định; ","")))</f>
        <v/>
      </c>
      <c r="V1710" s="22">
        <f>IF(OR($D1710="",$R1710="Trùng"),"",IF(COUNTIF(ORDERS!$C$2:$C$4995,$D1710)&gt;0,"Có","Không"))</f>
        <v/>
      </c>
      <c r="W1710" s="22">
        <f>IF(OR($D1710="",$R1710="Trùng"),"",COUNTIFS(ORDERS!$C$2:$C$4995,$D1710,ORDERS!$L$2:$L$4995,"Đã chuyển khoản"))</f>
        <v/>
      </c>
      <c r="X1710" s="23">
        <f>IF(OR($D1710="",$R1710="Trùng"),"",SUMIFS(ORDERS!$J$2:$J$4995,ORDERS!$C$2:$C$4995,$D1710,ORDERS!$L$2:$L$4995,"Đã chuyển khoản"))</f>
        <v/>
      </c>
      <c r="Y1710" s="24" t="n"/>
    </row>
    <row r="1711" ht="14.25" customHeight="1" s="40">
      <c r="A1711" s="24" t="n"/>
      <c r="B1711" s="27" t="n"/>
      <c r="C1711" s="24" t="n"/>
      <c r="D1711" s="28" t="n"/>
      <c r="E1711" s="29" t="n"/>
      <c r="F1711" s="24" t="n"/>
      <c r="G1711" s="24" t="n"/>
      <c r="H1711" s="21">
        <f>IF(ISNUMBER($B1711),INT($B1711)-WEEKDAY($B1711,2)+1,"")</f>
        <v/>
      </c>
      <c r="I1711" s="24" t="n"/>
      <c r="J1711" s="22">
        <f t="array" ref="J1711">IF($D1711="","",IF($I1711="","(trống REF)",IFERROR(INDEX(MASTER_SOURCE!$B$2:$B$495,MATCH($I1711,MASTER_SOURCE!$A$2:$A$495,0)),"(REF không có trong MASTER_SOURCE)")))</f>
        <v/>
      </c>
      <c r="K1711" s="22">
        <f t="array" ref="K1711">IF($D1711="","",IFERROR(INDEX(MASTER_SOURCE!$C$2:$C$495,MATCH($I1711,MASTER_SOURCE!$A$2:$A$495,0)),""))</f>
        <v/>
      </c>
      <c r="L1711" s="22">
        <f t="array" ref="L1711">IF($D1711="","",IFERROR(INDEX(MASTER_SOURCE!$D$2:$D$495,MATCH($I1711,MASTER_SOURCE!$A$2:$A$495,0)),""))</f>
        <v/>
      </c>
      <c r="M1711" s="24" t="n"/>
      <c r="N1711" s="24" t="n"/>
      <c r="O1711" s="24" t="n"/>
      <c r="P1711" s="24" t="n"/>
      <c r="Q1711" s="22">
        <f>IF($D1711="","",IF(AND(OR(DANH_MUC!$L$5&lt;&gt;"Có",M1711="Có"),OR(DANH_MUC!$L$6&lt;&gt;"Có",N1711="Có"),OR(DANH_MUC!$L$7&lt;&gt;"Có",O1711="Có"),OR(DANH_MUC!$L$8&lt;&gt;"Có",P1711="Có")),"Có","Không"))</f>
        <v/>
      </c>
      <c r="R1711" s="22">
        <f>IF($D1711="","",IF(COUNTIF($D$2:$D1711,$D1711)&gt;1,"Trùng",""))</f>
        <v/>
      </c>
      <c r="S1711" s="22">
        <f>IF($D1711="","",IF(AND(LEN($D1711)=10,LEFT($D1711,1)="0",ISNUMBER(--$D1711)),"Có","Không"))</f>
        <v/>
      </c>
      <c r="T1711" s="22">
        <f>IF($D1711="","",IF(AND($C1711&lt;&gt;"",$Q1711="Có",$R1711="",$S1711="Có",AND($L1711&lt;&gt;"",OR($L1711&lt;&gt;"Chưa xác định",DANH_MUC!$L$9="Có"))),"Có","Không"))</f>
        <v/>
      </c>
      <c r="U1711" s="22">
        <f>IF(OR($D1711="",$T1711="Có"),"",IF($C1711="","Thiếu họ tên; ","")&amp;IF($S1711&lt;&gt;"Có","SĐT sai định dạng; ","")&amp;IF($R1711="Trùng","Trùng SĐT; ","")&amp;IF($Q1711&lt;&gt;"Có","Thiếu đồng ý bắt buộc; ","")&amp;IF($L1711="","Thiếu/sai Mã REF; ",IF(AND($L1711="Chưa xác định",DANH_MUC!$L$9&lt;&gt;"Có"),"Nguồn chưa xác định; ","")))</f>
        <v/>
      </c>
      <c r="V1711" s="22">
        <f>IF(OR($D1711="",$R1711="Trùng"),"",IF(COUNTIF(ORDERS!$C$2:$C$4995,$D1711)&gt;0,"Có","Không"))</f>
        <v/>
      </c>
      <c r="W1711" s="22">
        <f>IF(OR($D1711="",$R1711="Trùng"),"",COUNTIFS(ORDERS!$C$2:$C$4995,$D1711,ORDERS!$L$2:$L$4995,"Đã chuyển khoản"))</f>
        <v/>
      </c>
      <c r="X1711" s="23">
        <f>IF(OR($D1711="",$R1711="Trùng"),"",SUMIFS(ORDERS!$J$2:$J$4995,ORDERS!$C$2:$C$4995,$D1711,ORDERS!$L$2:$L$4995,"Đã chuyển khoản"))</f>
        <v/>
      </c>
      <c r="Y1711" s="24" t="n"/>
    </row>
    <row r="1712" ht="14.25" customHeight="1" s="40">
      <c r="A1712" s="24" t="n"/>
      <c r="B1712" s="27" t="n"/>
      <c r="C1712" s="24" t="n"/>
      <c r="D1712" s="28" t="n"/>
      <c r="E1712" s="29" t="n"/>
      <c r="F1712" s="24" t="n"/>
      <c r="G1712" s="24" t="n"/>
      <c r="H1712" s="21">
        <f>IF(ISNUMBER($B1712),INT($B1712)-WEEKDAY($B1712,2)+1,"")</f>
        <v/>
      </c>
      <c r="I1712" s="24" t="n"/>
      <c r="J1712" s="22">
        <f t="array" ref="J1712">IF($D1712="","",IF($I1712="","(trống REF)",IFERROR(INDEX(MASTER_SOURCE!$B$2:$B$495,MATCH($I1712,MASTER_SOURCE!$A$2:$A$495,0)),"(REF không có trong MASTER_SOURCE)")))</f>
        <v/>
      </c>
      <c r="K1712" s="22">
        <f t="array" ref="K1712">IF($D1712="","",IFERROR(INDEX(MASTER_SOURCE!$C$2:$C$495,MATCH($I1712,MASTER_SOURCE!$A$2:$A$495,0)),""))</f>
        <v/>
      </c>
      <c r="L1712" s="22">
        <f t="array" ref="L1712">IF($D1712="","",IFERROR(INDEX(MASTER_SOURCE!$D$2:$D$495,MATCH($I1712,MASTER_SOURCE!$A$2:$A$495,0)),""))</f>
        <v/>
      </c>
      <c r="M1712" s="24" t="n"/>
      <c r="N1712" s="24" t="n"/>
      <c r="O1712" s="24" t="n"/>
      <c r="P1712" s="24" t="n"/>
      <c r="Q1712" s="22">
        <f>IF($D1712="","",IF(AND(OR(DANH_MUC!$L$5&lt;&gt;"Có",M1712="Có"),OR(DANH_MUC!$L$6&lt;&gt;"Có",N1712="Có"),OR(DANH_MUC!$L$7&lt;&gt;"Có",O1712="Có"),OR(DANH_MUC!$L$8&lt;&gt;"Có",P1712="Có")),"Có","Không"))</f>
        <v/>
      </c>
      <c r="R1712" s="22">
        <f>IF($D1712="","",IF(COUNTIF($D$2:$D1712,$D1712)&gt;1,"Trùng",""))</f>
        <v/>
      </c>
      <c r="S1712" s="22">
        <f>IF($D1712="","",IF(AND(LEN($D1712)=10,LEFT($D1712,1)="0",ISNUMBER(--$D1712)),"Có","Không"))</f>
        <v/>
      </c>
      <c r="T1712" s="22">
        <f>IF($D1712="","",IF(AND($C1712&lt;&gt;"",$Q1712="Có",$R1712="",$S1712="Có",AND($L1712&lt;&gt;"",OR($L1712&lt;&gt;"Chưa xác định",DANH_MUC!$L$9="Có"))),"Có","Không"))</f>
        <v/>
      </c>
      <c r="U1712" s="22">
        <f>IF(OR($D1712="",$T1712="Có"),"",IF($C1712="","Thiếu họ tên; ","")&amp;IF($S1712&lt;&gt;"Có","SĐT sai định dạng; ","")&amp;IF($R1712="Trùng","Trùng SĐT; ","")&amp;IF($Q1712&lt;&gt;"Có","Thiếu đồng ý bắt buộc; ","")&amp;IF($L1712="","Thiếu/sai Mã REF; ",IF(AND($L1712="Chưa xác định",DANH_MUC!$L$9&lt;&gt;"Có"),"Nguồn chưa xác định; ","")))</f>
        <v/>
      </c>
      <c r="V1712" s="22">
        <f>IF(OR($D1712="",$R1712="Trùng"),"",IF(COUNTIF(ORDERS!$C$2:$C$4995,$D1712)&gt;0,"Có","Không"))</f>
        <v/>
      </c>
      <c r="W1712" s="22">
        <f>IF(OR($D1712="",$R1712="Trùng"),"",COUNTIFS(ORDERS!$C$2:$C$4995,$D1712,ORDERS!$L$2:$L$4995,"Đã chuyển khoản"))</f>
        <v/>
      </c>
      <c r="X1712" s="23">
        <f>IF(OR($D1712="",$R1712="Trùng"),"",SUMIFS(ORDERS!$J$2:$J$4995,ORDERS!$C$2:$C$4995,$D1712,ORDERS!$L$2:$L$4995,"Đã chuyển khoản"))</f>
        <v/>
      </c>
      <c r="Y1712" s="24" t="n"/>
    </row>
    <row r="1713" ht="14.25" customHeight="1" s="40">
      <c r="A1713" s="24" t="n"/>
      <c r="B1713" s="27" t="n"/>
      <c r="C1713" s="24" t="n"/>
      <c r="D1713" s="28" t="n"/>
      <c r="E1713" s="29" t="n"/>
      <c r="F1713" s="24" t="n"/>
      <c r="G1713" s="24" t="n"/>
      <c r="H1713" s="21">
        <f>IF(ISNUMBER($B1713),INT($B1713)-WEEKDAY($B1713,2)+1,"")</f>
        <v/>
      </c>
      <c r="I1713" s="24" t="n"/>
      <c r="J1713" s="22">
        <f t="array" ref="J1713">IF($D1713="","",IF($I1713="","(trống REF)",IFERROR(INDEX(MASTER_SOURCE!$B$2:$B$495,MATCH($I1713,MASTER_SOURCE!$A$2:$A$495,0)),"(REF không có trong MASTER_SOURCE)")))</f>
        <v/>
      </c>
      <c r="K1713" s="22">
        <f t="array" ref="K1713">IF($D1713="","",IFERROR(INDEX(MASTER_SOURCE!$C$2:$C$495,MATCH($I1713,MASTER_SOURCE!$A$2:$A$495,0)),""))</f>
        <v/>
      </c>
      <c r="L1713" s="22">
        <f t="array" ref="L1713">IF($D1713="","",IFERROR(INDEX(MASTER_SOURCE!$D$2:$D$495,MATCH($I1713,MASTER_SOURCE!$A$2:$A$495,0)),""))</f>
        <v/>
      </c>
      <c r="M1713" s="24" t="n"/>
      <c r="N1713" s="24" t="n"/>
      <c r="O1713" s="24" t="n"/>
      <c r="P1713" s="24" t="n"/>
      <c r="Q1713" s="22">
        <f>IF($D1713="","",IF(AND(OR(DANH_MUC!$L$5&lt;&gt;"Có",M1713="Có"),OR(DANH_MUC!$L$6&lt;&gt;"Có",N1713="Có"),OR(DANH_MUC!$L$7&lt;&gt;"Có",O1713="Có"),OR(DANH_MUC!$L$8&lt;&gt;"Có",P1713="Có")),"Có","Không"))</f>
        <v/>
      </c>
      <c r="R1713" s="22">
        <f>IF($D1713="","",IF(COUNTIF($D$2:$D1713,$D1713)&gt;1,"Trùng",""))</f>
        <v/>
      </c>
      <c r="S1713" s="22">
        <f>IF($D1713="","",IF(AND(LEN($D1713)=10,LEFT($D1713,1)="0",ISNUMBER(--$D1713)),"Có","Không"))</f>
        <v/>
      </c>
      <c r="T1713" s="22">
        <f>IF($D1713="","",IF(AND($C1713&lt;&gt;"",$Q1713="Có",$R1713="",$S1713="Có",AND($L1713&lt;&gt;"",OR($L1713&lt;&gt;"Chưa xác định",DANH_MUC!$L$9="Có"))),"Có","Không"))</f>
        <v/>
      </c>
      <c r="U1713" s="22">
        <f>IF(OR($D1713="",$T1713="Có"),"",IF($C1713="","Thiếu họ tên; ","")&amp;IF($S1713&lt;&gt;"Có","SĐT sai định dạng; ","")&amp;IF($R1713="Trùng","Trùng SĐT; ","")&amp;IF($Q1713&lt;&gt;"Có","Thiếu đồng ý bắt buộc; ","")&amp;IF($L1713="","Thiếu/sai Mã REF; ",IF(AND($L1713="Chưa xác định",DANH_MUC!$L$9&lt;&gt;"Có"),"Nguồn chưa xác định; ","")))</f>
        <v/>
      </c>
      <c r="V1713" s="22">
        <f>IF(OR($D1713="",$R1713="Trùng"),"",IF(COUNTIF(ORDERS!$C$2:$C$4995,$D1713)&gt;0,"Có","Không"))</f>
        <v/>
      </c>
      <c r="W1713" s="22">
        <f>IF(OR($D1713="",$R1713="Trùng"),"",COUNTIFS(ORDERS!$C$2:$C$4995,$D1713,ORDERS!$L$2:$L$4995,"Đã chuyển khoản"))</f>
        <v/>
      </c>
      <c r="X1713" s="23">
        <f>IF(OR($D1713="",$R1713="Trùng"),"",SUMIFS(ORDERS!$J$2:$J$4995,ORDERS!$C$2:$C$4995,$D1713,ORDERS!$L$2:$L$4995,"Đã chuyển khoản"))</f>
        <v/>
      </c>
      <c r="Y1713" s="24" t="n"/>
    </row>
    <row r="1714" ht="14.25" customHeight="1" s="40">
      <c r="A1714" s="24" t="n"/>
      <c r="B1714" s="27" t="n"/>
      <c r="C1714" s="24" t="n"/>
      <c r="D1714" s="28" t="n"/>
      <c r="E1714" s="29" t="n"/>
      <c r="F1714" s="24" t="n"/>
      <c r="G1714" s="24" t="n"/>
      <c r="H1714" s="21">
        <f>IF(ISNUMBER($B1714),INT($B1714)-WEEKDAY($B1714,2)+1,"")</f>
        <v/>
      </c>
      <c r="I1714" s="24" t="n"/>
      <c r="J1714" s="22">
        <f t="array" ref="J1714">IF($D1714="","",IF($I1714="","(trống REF)",IFERROR(INDEX(MASTER_SOURCE!$B$2:$B$495,MATCH($I1714,MASTER_SOURCE!$A$2:$A$495,0)),"(REF không có trong MASTER_SOURCE)")))</f>
        <v/>
      </c>
      <c r="K1714" s="22">
        <f t="array" ref="K1714">IF($D1714="","",IFERROR(INDEX(MASTER_SOURCE!$C$2:$C$495,MATCH($I1714,MASTER_SOURCE!$A$2:$A$495,0)),""))</f>
        <v/>
      </c>
      <c r="L1714" s="22">
        <f t="array" ref="L1714">IF($D1714="","",IFERROR(INDEX(MASTER_SOURCE!$D$2:$D$495,MATCH($I1714,MASTER_SOURCE!$A$2:$A$495,0)),""))</f>
        <v/>
      </c>
      <c r="M1714" s="24" t="n"/>
      <c r="N1714" s="24" t="n"/>
      <c r="O1714" s="24" t="n"/>
      <c r="P1714" s="24" t="n"/>
      <c r="Q1714" s="22">
        <f>IF($D1714="","",IF(AND(OR(DANH_MUC!$L$5&lt;&gt;"Có",M1714="Có"),OR(DANH_MUC!$L$6&lt;&gt;"Có",N1714="Có"),OR(DANH_MUC!$L$7&lt;&gt;"Có",O1714="Có"),OR(DANH_MUC!$L$8&lt;&gt;"Có",P1714="Có")),"Có","Không"))</f>
        <v/>
      </c>
      <c r="R1714" s="22">
        <f>IF($D1714="","",IF(COUNTIF($D$2:$D1714,$D1714)&gt;1,"Trùng",""))</f>
        <v/>
      </c>
      <c r="S1714" s="22">
        <f>IF($D1714="","",IF(AND(LEN($D1714)=10,LEFT($D1714,1)="0",ISNUMBER(--$D1714)),"Có","Không"))</f>
        <v/>
      </c>
      <c r="T1714" s="22">
        <f>IF($D1714="","",IF(AND($C1714&lt;&gt;"",$Q1714="Có",$R1714="",$S1714="Có",AND($L1714&lt;&gt;"",OR($L1714&lt;&gt;"Chưa xác định",DANH_MUC!$L$9="Có"))),"Có","Không"))</f>
        <v/>
      </c>
      <c r="U1714" s="22">
        <f>IF(OR($D1714="",$T1714="Có"),"",IF($C1714="","Thiếu họ tên; ","")&amp;IF($S1714&lt;&gt;"Có","SĐT sai định dạng; ","")&amp;IF($R1714="Trùng","Trùng SĐT; ","")&amp;IF($Q1714&lt;&gt;"Có","Thiếu đồng ý bắt buộc; ","")&amp;IF($L1714="","Thiếu/sai Mã REF; ",IF(AND($L1714="Chưa xác định",DANH_MUC!$L$9&lt;&gt;"Có"),"Nguồn chưa xác định; ","")))</f>
        <v/>
      </c>
      <c r="V1714" s="22">
        <f>IF(OR($D1714="",$R1714="Trùng"),"",IF(COUNTIF(ORDERS!$C$2:$C$4995,$D1714)&gt;0,"Có","Không"))</f>
        <v/>
      </c>
      <c r="W1714" s="22">
        <f>IF(OR($D1714="",$R1714="Trùng"),"",COUNTIFS(ORDERS!$C$2:$C$4995,$D1714,ORDERS!$L$2:$L$4995,"Đã chuyển khoản"))</f>
        <v/>
      </c>
      <c r="X1714" s="23">
        <f>IF(OR($D1714="",$R1714="Trùng"),"",SUMIFS(ORDERS!$J$2:$J$4995,ORDERS!$C$2:$C$4995,$D1714,ORDERS!$L$2:$L$4995,"Đã chuyển khoản"))</f>
        <v/>
      </c>
      <c r="Y1714" s="24" t="n"/>
    </row>
    <row r="1715" ht="14.25" customHeight="1" s="40">
      <c r="A1715" s="24" t="n"/>
      <c r="B1715" s="27" t="n"/>
      <c r="C1715" s="24" t="n"/>
      <c r="D1715" s="28" t="n"/>
      <c r="E1715" s="29" t="n"/>
      <c r="F1715" s="24" t="n"/>
      <c r="G1715" s="24" t="n"/>
      <c r="H1715" s="21">
        <f>IF(ISNUMBER($B1715),INT($B1715)-WEEKDAY($B1715,2)+1,"")</f>
        <v/>
      </c>
      <c r="I1715" s="24" t="n"/>
      <c r="J1715" s="22">
        <f t="array" ref="J1715">IF($D1715="","",IF($I1715="","(trống REF)",IFERROR(INDEX(MASTER_SOURCE!$B$2:$B$495,MATCH($I1715,MASTER_SOURCE!$A$2:$A$495,0)),"(REF không có trong MASTER_SOURCE)")))</f>
        <v/>
      </c>
      <c r="K1715" s="22">
        <f t="array" ref="K1715">IF($D1715="","",IFERROR(INDEX(MASTER_SOURCE!$C$2:$C$495,MATCH($I1715,MASTER_SOURCE!$A$2:$A$495,0)),""))</f>
        <v/>
      </c>
      <c r="L1715" s="22">
        <f t="array" ref="L1715">IF($D1715="","",IFERROR(INDEX(MASTER_SOURCE!$D$2:$D$495,MATCH($I1715,MASTER_SOURCE!$A$2:$A$495,0)),""))</f>
        <v/>
      </c>
      <c r="M1715" s="24" t="n"/>
      <c r="N1715" s="24" t="n"/>
      <c r="O1715" s="24" t="n"/>
      <c r="P1715" s="24" t="n"/>
      <c r="Q1715" s="22">
        <f>IF($D1715="","",IF(AND(OR(DANH_MUC!$L$5&lt;&gt;"Có",M1715="Có"),OR(DANH_MUC!$L$6&lt;&gt;"Có",N1715="Có"),OR(DANH_MUC!$L$7&lt;&gt;"Có",O1715="Có"),OR(DANH_MUC!$L$8&lt;&gt;"Có",P1715="Có")),"Có","Không"))</f>
        <v/>
      </c>
      <c r="R1715" s="22">
        <f>IF($D1715="","",IF(COUNTIF($D$2:$D1715,$D1715)&gt;1,"Trùng",""))</f>
        <v/>
      </c>
      <c r="S1715" s="22">
        <f>IF($D1715="","",IF(AND(LEN($D1715)=10,LEFT($D1715,1)="0",ISNUMBER(--$D1715)),"Có","Không"))</f>
        <v/>
      </c>
      <c r="T1715" s="22">
        <f>IF($D1715="","",IF(AND($C1715&lt;&gt;"",$Q1715="Có",$R1715="",$S1715="Có",AND($L1715&lt;&gt;"",OR($L1715&lt;&gt;"Chưa xác định",DANH_MUC!$L$9="Có"))),"Có","Không"))</f>
        <v/>
      </c>
      <c r="U1715" s="22">
        <f>IF(OR($D1715="",$T1715="Có"),"",IF($C1715="","Thiếu họ tên; ","")&amp;IF($S1715&lt;&gt;"Có","SĐT sai định dạng; ","")&amp;IF($R1715="Trùng","Trùng SĐT; ","")&amp;IF($Q1715&lt;&gt;"Có","Thiếu đồng ý bắt buộc; ","")&amp;IF($L1715="","Thiếu/sai Mã REF; ",IF(AND($L1715="Chưa xác định",DANH_MUC!$L$9&lt;&gt;"Có"),"Nguồn chưa xác định; ","")))</f>
        <v/>
      </c>
      <c r="V1715" s="22">
        <f>IF(OR($D1715="",$R1715="Trùng"),"",IF(COUNTIF(ORDERS!$C$2:$C$4995,$D1715)&gt;0,"Có","Không"))</f>
        <v/>
      </c>
      <c r="W1715" s="22">
        <f>IF(OR($D1715="",$R1715="Trùng"),"",COUNTIFS(ORDERS!$C$2:$C$4995,$D1715,ORDERS!$L$2:$L$4995,"Đã chuyển khoản"))</f>
        <v/>
      </c>
      <c r="X1715" s="23">
        <f>IF(OR($D1715="",$R1715="Trùng"),"",SUMIFS(ORDERS!$J$2:$J$4995,ORDERS!$C$2:$C$4995,$D1715,ORDERS!$L$2:$L$4995,"Đã chuyển khoản"))</f>
        <v/>
      </c>
      <c r="Y1715" s="24" t="n"/>
    </row>
    <row r="1716" ht="14.25" customHeight="1" s="40">
      <c r="A1716" s="24" t="n"/>
      <c r="B1716" s="27" t="n"/>
      <c r="C1716" s="24" t="n"/>
      <c r="D1716" s="28" t="n"/>
      <c r="E1716" s="29" t="n"/>
      <c r="F1716" s="24" t="n"/>
      <c r="G1716" s="24" t="n"/>
      <c r="H1716" s="21">
        <f>IF(ISNUMBER($B1716),INT($B1716)-WEEKDAY($B1716,2)+1,"")</f>
        <v/>
      </c>
      <c r="I1716" s="24" t="n"/>
      <c r="J1716" s="22">
        <f t="array" ref="J1716">IF($D1716="","",IF($I1716="","(trống REF)",IFERROR(INDEX(MASTER_SOURCE!$B$2:$B$495,MATCH($I1716,MASTER_SOURCE!$A$2:$A$495,0)),"(REF không có trong MASTER_SOURCE)")))</f>
        <v/>
      </c>
      <c r="K1716" s="22">
        <f t="array" ref="K1716">IF($D1716="","",IFERROR(INDEX(MASTER_SOURCE!$C$2:$C$495,MATCH($I1716,MASTER_SOURCE!$A$2:$A$495,0)),""))</f>
        <v/>
      </c>
      <c r="L1716" s="22">
        <f t="array" ref="L1716">IF($D1716="","",IFERROR(INDEX(MASTER_SOURCE!$D$2:$D$495,MATCH($I1716,MASTER_SOURCE!$A$2:$A$495,0)),""))</f>
        <v/>
      </c>
      <c r="M1716" s="24" t="n"/>
      <c r="N1716" s="24" t="n"/>
      <c r="O1716" s="24" t="n"/>
      <c r="P1716" s="24" t="n"/>
      <c r="Q1716" s="22">
        <f>IF($D1716="","",IF(AND(OR(DANH_MUC!$L$5&lt;&gt;"Có",M1716="Có"),OR(DANH_MUC!$L$6&lt;&gt;"Có",N1716="Có"),OR(DANH_MUC!$L$7&lt;&gt;"Có",O1716="Có"),OR(DANH_MUC!$L$8&lt;&gt;"Có",P1716="Có")),"Có","Không"))</f>
        <v/>
      </c>
      <c r="R1716" s="22">
        <f>IF($D1716="","",IF(COUNTIF($D$2:$D1716,$D1716)&gt;1,"Trùng",""))</f>
        <v/>
      </c>
      <c r="S1716" s="22">
        <f>IF($D1716="","",IF(AND(LEN($D1716)=10,LEFT($D1716,1)="0",ISNUMBER(--$D1716)),"Có","Không"))</f>
        <v/>
      </c>
      <c r="T1716" s="22">
        <f>IF($D1716="","",IF(AND($C1716&lt;&gt;"",$Q1716="Có",$R1716="",$S1716="Có",AND($L1716&lt;&gt;"",OR($L1716&lt;&gt;"Chưa xác định",DANH_MUC!$L$9="Có"))),"Có","Không"))</f>
        <v/>
      </c>
      <c r="U1716" s="22">
        <f>IF(OR($D1716="",$T1716="Có"),"",IF($C1716="","Thiếu họ tên; ","")&amp;IF($S1716&lt;&gt;"Có","SĐT sai định dạng; ","")&amp;IF($R1716="Trùng","Trùng SĐT; ","")&amp;IF($Q1716&lt;&gt;"Có","Thiếu đồng ý bắt buộc; ","")&amp;IF($L1716="","Thiếu/sai Mã REF; ",IF(AND($L1716="Chưa xác định",DANH_MUC!$L$9&lt;&gt;"Có"),"Nguồn chưa xác định; ","")))</f>
        <v/>
      </c>
      <c r="V1716" s="22">
        <f>IF(OR($D1716="",$R1716="Trùng"),"",IF(COUNTIF(ORDERS!$C$2:$C$4995,$D1716)&gt;0,"Có","Không"))</f>
        <v/>
      </c>
      <c r="W1716" s="22">
        <f>IF(OR($D1716="",$R1716="Trùng"),"",COUNTIFS(ORDERS!$C$2:$C$4995,$D1716,ORDERS!$L$2:$L$4995,"Đã chuyển khoản"))</f>
        <v/>
      </c>
      <c r="X1716" s="23">
        <f>IF(OR($D1716="",$R1716="Trùng"),"",SUMIFS(ORDERS!$J$2:$J$4995,ORDERS!$C$2:$C$4995,$D1716,ORDERS!$L$2:$L$4995,"Đã chuyển khoản"))</f>
        <v/>
      </c>
      <c r="Y1716" s="24" t="n"/>
    </row>
    <row r="1717" ht="14.25" customHeight="1" s="40">
      <c r="A1717" s="24" t="n"/>
      <c r="B1717" s="27" t="n"/>
      <c r="C1717" s="24" t="n"/>
      <c r="D1717" s="28" t="n"/>
      <c r="E1717" s="29" t="n"/>
      <c r="F1717" s="24" t="n"/>
      <c r="G1717" s="24" t="n"/>
      <c r="H1717" s="21">
        <f>IF(ISNUMBER($B1717),INT($B1717)-WEEKDAY($B1717,2)+1,"")</f>
        <v/>
      </c>
      <c r="I1717" s="24" t="n"/>
      <c r="J1717" s="22">
        <f t="array" ref="J1717">IF($D1717="","",IF($I1717="","(trống REF)",IFERROR(INDEX(MASTER_SOURCE!$B$2:$B$495,MATCH($I1717,MASTER_SOURCE!$A$2:$A$495,0)),"(REF không có trong MASTER_SOURCE)")))</f>
        <v/>
      </c>
      <c r="K1717" s="22">
        <f t="array" ref="K1717">IF($D1717="","",IFERROR(INDEX(MASTER_SOURCE!$C$2:$C$495,MATCH($I1717,MASTER_SOURCE!$A$2:$A$495,0)),""))</f>
        <v/>
      </c>
      <c r="L1717" s="22">
        <f t="array" ref="L1717">IF($D1717="","",IFERROR(INDEX(MASTER_SOURCE!$D$2:$D$495,MATCH($I1717,MASTER_SOURCE!$A$2:$A$495,0)),""))</f>
        <v/>
      </c>
      <c r="M1717" s="24" t="n"/>
      <c r="N1717" s="24" t="n"/>
      <c r="O1717" s="24" t="n"/>
      <c r="P1717" s="24" t="n"/>
      <c r="Q1717" s="22">
        <f>IF($D1717="","",IF(AND(OR(DANH_MUC!$L$5&lt;&gt;"Có",M1717="Có"),OR(DANH_MUC!$L$6&lt;&gt;"Có",N1717="Có"),OR(DANH_MUC!$L$7&lt;&gt;"Có",O1717="Có"),OR(DANH_MUC!$L$8&lt;&gt;"Có",P1717="Có")),"Có","Không"))</f>
        <v/>
      </c>
      <c r="R1717" s="22">
        <f>IF($D1717="","",IF(COUNTIF($D$2:$D1717,$D1717)&gt;1,"Trùng",""))</f>
        <v/>
      </c>
      <c r="S1717" s="22">
        <f>IF($D1717="","",IF(AND(LEN($D1717)=10,LEFT($D1717,1)="0",ISNUMBER(--$D1717)),"Có","Không"))</f>
        <v/>
      </c>
      <c r="T1717" s="22">
        <f>IF($D1717="","",IF(AND($C1717&lt;&gt;"",$Q1717="Có",$R1717="",$S1717="Có",AND($L1717&lt;&gt;"",OR($L1717&lt;&gt;"Chưa xác định",DANH_MUC!$L$9="Có"))),"Có","Không"))</f>
        <v/>
      </c>
      <c r="U1717" s="22">
        <f>IF(OR($D1717="",$T1717="Có"),"",IF($C1717="","Thiếu họ tên; ","")&amp;IF($S1717&lt;&gt;"Có","SĐT sai định dạng; ","")&amp;IF($R1717="Trùng","Trùng SĐT; ","")&amp;IF($Q1717&lt;&gt;"Có","Thiếu đồng ý bắt buộc; ","")&amp;IF($L1717="","Thiếu/sai Mã REF; ",IF(AND($L1717="Chưa xác định",DANH_MUC!$L$9&lt;&gt;"Có"),"Nguồn chưa xác định; ","")))</f>
        <v/>
      </c>
      <c r="V1717" s="22">
        <f>IF(OR($D1717="",$R1717="Trùng"),"",IF(COUNTIF(ORDERS!$C$2:$C$4995,$D1717)&gt;0,"Có","Không"))</f>
        <v/>
      </c>
      <c r="W1717" s="22">
        <f>IF(OR($D1717="",$R1717="Trùng"),"",COUNTIFS(ORDERS!$C$2:$C$4995,$D1717,ORDERS!$L$2:$L$4995,"Đã chuyển khoản"))</f>
        <v/>
      </c>
      <c r="X1717" s="23">
        <f>IF(OR($D1717="",$R1717="Trùng"),"",SUMIFS(ORDERS!$J$2:$J$4995,ORDERS!$C$2:$C$4995,$D1717,ORDERS!$L$2:$L$4995,"Đã chuyển khoản"))</f>
        <v/>
      </c>
      <c r="Y1717" s="24" t="n"/>
    </row>
    <row r="1718" ht="14.25" customHeight="1" s="40">
      <c r="A1718" s="24" t="n"/>
      <c r="B1718" s="27" t="n"/>
      <c r="C1718" s="24" t="n"/>
      <c r="D1718" s="28" t="n"/>
      <c r="E1718" s="29" t="n"/>
      <c r="F1718" s="24" t="n"/>
      <c r="G1718" s="24" t="n"/>
      <c r="H1718" s="21">
        <f>IF(ISNUMBER($B1718),INT($B1718)-WEEKDAY($B1718,2)+1,"")</f>
        <v/>
      </c>
      <c r="I1718" s="24" t="n"/>
      <c r="J1718" s="22">
        <f t="array" ref="J1718">IF($D1718="","",IF($I1718="","(trống REF)",IFERROR(INDEX(MASTER_SOURCE!$B$2:$B$495,MATCH($I1718,MASTER_SOURCE!$A$2:$A$495,0)),"(REF không có trong MASTER_SOURCE)")))</f>
        <v/>
      </c>
      <c r="K1718" s="22">
        <f t="array" ref="K1718">IF($D1718="","",IFERROR(INDEX(MASTER_SOURCE!$C$2:$C$495,MATCH($I1718,MASTER_SOURCE!$A$2:$A$495,0)),""))</f>
        <v/>
      </c>
      <c r="L1718" s="22">
        <f t="array" ref="L1718">IF($D1718="","",IFERROR(INDEX(MASTER_SOURCE!$D$2:$D$495,MATCH($I1718,MASTER_SOURCE!$A$2:$A$495,0)),""))</f>
        <v/>
      </c>
      <c r="M1718" s="24" t="n"/>
      <c r="N1718" s="24" t="n"/>
      <c r="O1718" s="24" t="n"/>
      <c r="P1718" s="24" t="n"/>
      <c r="Q1718" s="22">
        <f>IF($D1718="","",IF(AND(OR(DANH_MUC!$L$5&lt;&gt;"Có",M1718="Có"),OR(DANH_MUC!$L$6&lt;&gt;"Có",N1718="Có"),OR(DANH_MUC!$L$7&lt;&gt;"Có",O1718="Có"),OR(DANH_MUC!$L$8&lt;&gt;"Có",P1718="Có")),"Có","Không"))</f>
        <v/>
      </c>
      <c r="R1718" s="22">
        <f>IF($D1718="","",IF(COUNTIF($D$2:$D1718,$D1718)&gt;1,"Trùng",""))</f>
        <v/>
      </c>
      <c r="S1718" s="22">
        <f>IF($D1718="","",IF(AND(LEN($D1718)=10,LEFT($D1718,1)="0",ISNUMBER(--$D1718)),"Có","Không"))</f>
        <v/>
      </c>
      <c r="T1718" s="22">
        <f>IF($D1718="","",IF(AND($C1718&lt;&gt;"",$Q1718="Có",$R1718="",$S1718="Có",AND($L1718&lt;&gt;"",OR($L1718&lt;&gt;"Chưa xác định",DANH_MUC!$L$9="Có"))),"Có","Không"))</f>
        <v/>
      </c>
      <c r="U1718" s="22">
        <f>IF(OR($D1718="",$T1718="Có"),"",IF($C1718="","Thiếu họ tên; ","")&amp;IF($S1718&lt;&gt;"Có","SĐT sai định dạng; ","")&amp;IF($R1718="Trùng","Trùng SĐT; ","")&amp;IF($Q1718&lt;&gt;"Có","Thiếu đồng ý bắt buộc; ","")&amp;IF($L1718="","Thiếu/sai Mã REF; ",IF(AND($L1718="Chưa xác định",DANH_MUC!$L$9&lt;&gt;"Có"),"Nguồn chưa xác định; ","")))</f>
        <v/>
      </c>
      <c r="V1718" s="22">
        <f>IF(OR($D1718="",$R1718="Trùng"),"",IF(COUNTIF(ORDERS!$C$2:$C$4995,$D1718)&gt;0,"Có","Không"))</f>
        <v/>
      </c>
      <c r="W1718" s="22">
        <f>IF(OR($D1718="",$R1718="Trùng"),"",COUNTIFS(ORDERS!$C$2:$C$4995,$D1718,ORDERS!$L$2:$L$4995,"Đã chuyển khoản"))</f>
        <v/>
      </c>
      <c r="X1718" s="23">
        <f>IF(OR($D1718="",$R1718="Trùng"),"",SUMIFS(ORDERS!$J$2:$J$4995,ORDERS!$C$2:$C$4995,$D1718,ORDERS!$L$2:$L$4995,"Đã chuyển khoản"))</f>
        <v/>
      </c>
      <c r="Y1718" s="24" t="n"/>
    </row>
    <row r="1719" ht="14.25" customHeight="1" s="40">
      <c r="A1719" s="24" t="n"/>
      <c r="B1719" s="27" t="n"/>
      <c r="C1719" s="24" t="n"/>
      <c r="D1719" s="28" t="n"/>
      <c r="E1719" s="29" t="n"/>
      <c r="F1719" s="24" t="n"/>
      <c r="G1719" s="24" t="n"/>
      <c r="H1719" s="21">
        <f>IF(ISNUMBER($B1719),INT($B1719)-WEEKDAY($B1719,2)+1,"")</f>
        <v/>
      </c>
      <c r="I1719" s="24" t="n"/>
      <c r="J1719" s="22">
        <f t="array" ref="J1719">IF($D1719="","",IF($I1719="","(trống REF)",IFERROR(INDEX(MASTER_SOURCE!$B$2:$B$495,MATCH($I1719,MASTER_SOURCE!$A$2:$A$495,0)),"(REF không có trong MASTER_SOURCE)")))</f>
        <v/>
      </c>
      <c r="K1719" s="22">
        <f t="array" ref="K1719">IF($D1719="","",IFERROR(INDEX(MASTER_SOURCE!$C$2:$C$495,MATCH($I1719,MASTER_SOURCE!$A$2:$A$495,0)),""))</f>
        <v/>
      </c>
      <c r="L1719" s="22">
        <f t="array" ref="L1719">IF($D1719="","",IFERROR(INDEX(MASTER_SOURCE!$D$2:$D$495,MATCH($I1719,MASTER_SOURCE!$A$2:$A$495,0)),""))</f>
        <v/>
      </c>
      <c r="M1719" s="24" t="n"/>
      <c r="N1719" s="24" t="n"/>
      <c r="O1719" s="24" t="n"/>
      <c r="P1719" s="24" t="n"/>
      <c r="Q1719" s="22">
        <f>IF($D1719="","",IF(AND(OR(DANH_MUC!$L$5&lt;&gt;"Có",M1719="Có"),OR(DANH_MUC!$L$6&lt;&gt;"Có",N1719="Có"),OR(DANH_MUC!$L$7&lt;&gt;"Có",O1719="Có"),OR(DANH_MUC!$L$8&lt;&gt;"Có",P1719="Có")),"Có","Không"))</f>
        <v/>
      </c>
      <c r="R1719" s="22">
        <f>IF($D1719="","",IF(COUNTIF($D$2:$D1719,$D1719)&gt;1,"Trùng",""))</f>
        <v/>
      </c>
      <c r="S1719" s="22">
        <f>IF($D1719="","",IF(AND(LEN($D1719)=10,LEFT($D1719,1)="0",ISNUMBER(--$D1719)),"Có","Không"))</f>
        <v/>
      </c>
      <c r="T1719" s="22">
        <f>IF($D1719="","",IF(AND($C1719&lt;&gt;"",$Q1719="Có",$R1719="",$S1719="Có",AND($L1719&lt;&gt;"",OR($L1719&lt;&gt;"Chưa xác định",DANH_MUC!$L$9="Có"))),"Có","Không"))</f>
        <v/>
      </c>
      <c r="U1719" s="22">
        <f>IF(OR($D1719="",$T1719="Có"),"",IF($C1719="","Thiếu họ tên; ","")&amp;IF($S1719&lt;&gt;"Có","SĐT sai định dạng; ","")&amp;IF($R1719="Trùng","Trùng SĐT; ","")&amp;IF($Q1719&lt;&gt;"Có","Thiếu đồng ý bắt buộc; ","")&amp;IF($L1719="","Thiếu/sai Mã REF; ",IF(AND($L1719="Chưa xác định",DANH_MUC!$L$9&lt;&gt;"Có"),"Nguồn chưa xác định; ","")))</f>
        <v/>
      </c>
      <c r="V1719" s="22">
        <f>IF(OR($D1719="",$R1719="Trùng"),"",IF(COUNTIF(ORDERS!$C$2:$C$4995,$D1719)&gt;0,"Có","Không"))</f>
        <v/>
      </c>
      <c r="W1719" s="22">
        <f>IF(OR($D1719="",$R1719="Trùng"),"",COUNTIFS(ORDERS!$C$2:$C$4995,$D1719,ORDERS!$L$2:$L$4995,"Đã chuyển khoản"))</f>
        <v/>
      </c>
      <c r="X1719" s="23">
        <f>IF(OR($D1719="",$R1719="Trùng"),"",SUMIFS(ORDERS!$J$2:$J$4995,ORDERS!$C$2:$C$4995,$D1719,ORDERS!$L$2:$L$4995,"Đã chuyển khoản"))</f>
        <v/>
      </c>
      <c r="Y1719" s="24" t="n"/>
    </row>
    <row r="1720" ht="14.25" customHeight="1" s="40">
      <c r="A1720" s="24" t="n"/>
      <c r="B1720" s="27" t="n"/>
      <c r="C1720" s="24" t="n"/>
      <c r="D1720" s="28" t="n"/>
      <c r="E1720" s="29" t="n"/>
      <c r="F1720" s="24" t="n"/>
      <c r="G1720" s="24" t="n"/>
      <c r="H1720" s="21">
        <f>IF(ISNUMBER($B1720),INT($B1720)-WEEKDAY($B1720,2)+1,"")</f>
        <v/>
      </c>
      <c r="I1720" s="24" t="n"/>
      <c r="J1720" s="22">
        <f t="array" ref="J1720">IF($D1720="","",IF($I1720="","(trống REF)",IFERROR(INDEX(MASTER_SOURCE!$B$2:$B$495,MATCH($I1720,MASTER_SOURCE!$A$2:$A$495,0)),"(REF không có trong MASTER_SOURCE)")))</f>
        <v/>
      </c>
      <c r="K1720" s="22">
        <f t="array" ref="K1720">IF($D1720="","",IFERROR(INDEX(MASTER_SOURCE!$C$2:$C$495,MATCH($I1720,MASTER_SOURCE!$A$2:$A$495,0)),""))</f>
        <v/>
      </c>
      <c r="L1720" s="22">
        <f t="array" ref="L1720">IF($D1720="","",IFERROR(INDEX(MASTER_SOURCE!$D$2:$D$495,MATCH($I1720,MASTER_SOURCE!$A$2:$A$495,0)),""))</f>
        <v/>
      </c>
      <c r="M1720" s="24" t="n"/>
      <c r="N1720" s="24" t="n"/>
      <c r="O1720" s="24" t="n"/>
      <c r="P1720" s="24" t="n"/>
      <c r="Q1720" s="22">
        <f>IF($D1720="","",IF(AND(OR(DANH_MUC!$L$5&lt;&gt;"Có",M1720="Có"),OR(DANH_MUC!$L$6&lt;&gt;"Có",N1720="Có"),OR(DANH_MUC!$L$7&lt;&gt;"Có",O1720="Có"),OR(DANH_MUC!$L$8&lt;&gt;"Có",P1720="Có")),"Có","Không"))</f>
        <v/>
      </c>
      <c r="R1720" s="22">
        <f>IF($D1720="","",IF(COUNTIF($D$2:$D1720,$D1720)&gt;1,"Trùng",""))</f>
        <v/>
      </c>
      <c r="S1720" s="22">
        <f>IF($D1720="","",IF(AND(LEN($D1720)=10,LEFT($D1720,1)="0",ISNUMBER(--$D1720)),"Có","Không"))</f>
        <v/>
      </c>
      <c r="T1720" s="22">
        <f>IF($D1720="","",IF(AND($C1720&lt;&gt;"",$Q1720="Có",$R1720="",$S1720="Có",AND($L1720&lt;&gt;"",OR($L1720&lt;&gt;"Chưa xác định",DANH_MUC!$L$9="Có"))),"Có","Không"))</f>
        <v/>
      </c>
      <c r="U1720" s="22">
        <f>IF(OR($D1720="",$T1720="Có"),"",IF($C1720="","Thiếu họ tên; ","")&amp;IF($S1720&lt;&gt;"Có","SĐT sai định dạng; ","")&amp;IF($R1720="Trùng","Trùng SĐT; ","")&amp;IF($Q1720&lt;&gt;"Có","Thiếu đồng ý bắt buộc; ","")&amp;IF($L1720="","Thiếu/sai Mã REF; ",IF(AND($L1720="Chưa xác định",DANH_MUC!$L$9&lt;&gt;"Có"),"Nguồn chưa xác định; ","")))</f>
        <v/>
      </c>
      <c r="V1720" s="22">
        <f>IF(OR($D1720="",$R1720="Trùng"),"",IF(COUNTIF(ORDERS!$C$2:$C$4995,$D1720)&gt;0,"Có","Không"))</f>
        <v/>
      </c>
      <c r="W1720" s="22">
        <f>IF(OR($D1720="",$R1720="Trùng"),"",COUNTIFS(ORDERS!$C$2:$C$4995,$D1720,ORDERS!$L$2:$L$4995,"Đã chuyển khoản"))</f>
        <v/>
      </c>
      <c r="X1720" s="23">
        <f>IF(OR($D1720="",$R1720="Trùng"),"",SUMIFS(ORDERS!$J$2:$J$4995,ORDERS!$C$2:$C$4995,$D1720,ORDERS!$L$2:$L$4995,"Đã chuyển khoản"))</f>
        <v/>
      </c>
      <c r="Y1720" s="24" t="n"/>
    </row>
    <row r="1721" ht="14.25" customHeight="1" s="40">
      <c r="A1721" s="24" t="n"/>
      <c r="B1721" s="27" t="n"/>
      <c r="C1721" s="24" t="n"/>
      <c r="D1721" s="28" t="n"/>
      <c r="E1721" s="29" t="n"/>
      <c r="F1721" s="24" t="n"/>
      <c r="G1721" s="24" t="n"/>
      <c r="H1721" s="21">
        <f>IF(ISNUMBER($B1721),INT($B1721)-WEEKDAY($B1721,2)+1,"")</f>
        <v/>
      </c>
      <c r="I1721" s="24" t="n"/>
      <c r="J1721" s="22">
        <f t="array" ref="J1721">IF($D1721="","",IF($I1721="","(trống REF)",IFERROR(INDEX(MASTER_SOURCE!$B$2:$B$495,MATCH($I1721,MASTER_SOURCE!$A$2:$A$495,0)),"(REF không có trong MASTER_SOURCE)")))</f>
        <v/>
      </c>
      <c r="K1721" s="22">
        <f t="array" ref="K1721">IF($D1721="","",IFERROR(INDEX(MASTER_SOURCE!$C$2:$C$495,MATCH($I1721,MASTER_SOURCE!$A$2:$A$495,0)),""))</f>
        <v/>
      </c>
      <c r="L1721" s="22">
        <f t="array" ref="L1721">IF($D1721="","",IFERROR(INDEX(MASTER_SOURCE!$D$2:$D$495,MATCH($I1721,MASTER_SOURCE!$A$2:$A$495,0)),""))</f>
        <v/>
      </c>
      <c r="M1721" s="24" t="n"/>
      <c r="N1721" s="24" t="n"/>
      <c r="O1721" s="24" t="n"/>
      <c r="P1721" s="24" t="n"/>
      <c r="Q1721" s="22">
        <f>IF($D1721="","",IF(AND(OR(DANH_MUC!$L$5&lt;&gt;"Có",M1721="Có"),OR(DANH_MUC!$L$6&lt;&gt;"Có",N1721="Có"),OR(DANH_MUC!$L$7&lt;&gt;"Có",O1721="Có"),OR(DANH_MUC!$L$8&lt;&gt;"Có",P1721="Có")),"Có","Không"))</f>
        <v/>
      </c>
      <c r="R1721" s="22">
        <f>IF($D1721="","",IF(COUNTIF($D$2:$D1721,$D1721)&gt;1,"Trùng",""))</f>
        <v/>
      </c>
      <c r="S1721" s="22">
        <f>IF($D1721="","",IF(AND(LEN($D1721)=10,LEFT($D1721,1)="0",ISNUMBER(--$D1721)),"Có","Không"))</f>
        <v/>
      </c>
      <c r="T1721" s="22">
        <f>IF($D1721="","",IF(AND($C1721&lt;&gt;"",$Q1721="Có",$R1721="",$S1721="Có",AND($L1721&lt;&gt;"",OR($L1721&lt;&gt;"Chưa xác định",DANH_MUC!$L$9="Có"))),"Có","Không"))</f>
        <v/>
      </c>
      <c r="U1721" s="22">
        <f>IF(OR($D1721="",$T1721="Có"),"",IF($C1721="","Thiếu họ tên; ","")&amp;IF($S1721&lt;&gt;"Có","SĐT sai định dạng; ","")&amp;IF($R1721="Trùng","Trùng SĐT; ","")&amp;IF($Q1721&lt;&gt;"Có","Thiếu đồng ý bắt buộc; ","")&amp;IF($L1721="","Thiếu/sai Mã REF; ",IF(AND($L1721="Chưa xác định",DANH_MUC!$L$9&lt;&gt;"Có"),"Nguồn chưa xác định; ","")))</f>
        <v/>
      </c>
      <c r="V1721" s="22">
        <f>IF(OR($D1721="",$R1721="Trùng"),"",IF(COUNTIF(ORDERS!$C$2:$C$4995,$D1721)&gt;0,"Có","Không"))</f>
        <v/>
      </c>
      <c r="W1721" s="22">
        <f>IF(OR($D1721="",$R1721="Trùng"),"",COUNTIFS(ORDERS!$C$2:$C$4995,$D1721,ORDERS!$L$2:$L$4995,"Đã chuyển khoản"))</f>
        <v/>
      </c>
      <c r="X1721" s="23">
        <f>IF(OR($D1721="",$R1721="Trùng"),"",SUMIFS(ORDERS!$J$2:$J$4995,ORDERS!$C$2:$C$4995,$D1721,ORDERS!$L$2:$L$4995,"Đã chuyển khoản"))</f>
        <v/>
      </c>
      <c r="Y1721" s="24" t="n"/>
    </row>
    <row r="1722" ht="14.25" customHeight="1" s="40">
      <c r="A1722" s="24" t="n"/>
      <c r="B1722" s="27" t="n"/>
      <c r="C1722" s="24" t="n"/>
      <c r="D1722" s="28" t="n"/>
      <c r="E1722" s="29" t="n"/>
      <c r="F1722" s="24" t="n"/>
      <c r="G1722" s="24" t="n"/>
      <c r="H1722" s="21">
        <f>IF(ISNUMBER($B1722),INT($B1722)-WEEKDAY($B1722,2)+1,"")</f>
        <v/>
      </c>
      <c r="I1722" s="24" t="n"/>
      <c r="J1722" s="22">
        <f t="array" ref="J1722">IF($D1722="","",IF($I1722="","(trống REF)",IFERROR(INDEX(MASTER_SOURCE!$B$2:$B$495,MATCH($I1722,MASTER_SOURCE!$A$2:$A$495,0)),"(REF không có trong MASTER_SOURCE)")))</f>
        <v/>
      </c>
      <c r="K1722" s="22">
        <f t="array" ref="K1722">IF($D1722="","",IFERROR(INDEX(MASTER_SOURCE!$C$2:$C$495,MATCH($I1722,MASTER_SOURCE!$A$2:$A$495,0)),""))</f>
        <v/>
      </c>
      <c r="L1722" s="22">
        <f t="array" ref="L1722">IF($D1722="","",IFERROR(INDEX(MASTER_SOURCE!$D$2:$D$495,MATCH($I1722,MASTER_SOURCE!$A$2:$A$495,0)),""))</f>
        <v/>
      </c>
      <c r="M1722" s="24" t="n"/>
      <c r="N1722" s="24" t="n"/>
      <c r="O1722" s="24" t="n"/>
      <c r="P1722" s="24" t="n"/>
      <c r="Q1722" s="22">
        <f>IF($D1722="","",IF(AND(OR(DANH_MUC!$L$5&lt;&gt;"Có",M1722="Có"),OR(DANH_MUC!$L$6&lt;&gt;"Có",N1722="Có"),OR(DANH_MUC!$L$7&lt;&gt;"Có",O1722="Có"),OR(DANH_MUC!$L$8&lt;&gt;"Có",P1722="Có")),"Có","Không"))</f>
        <v/>
      </c>
      <c r="R1722" s="22">
        <f>IF($D1722="","",IF(COUNTIF($D$2:$D1722,$D1722)&gt;1,"Trùng",""))</f>
        <v/>
      </c>
      <c r="S1722" s="22">
        <f>IF($D1722="","",IF(AND(LEN($D1722)=10,LEFT($D1722,1)="0",ISNUMBER(--$D1722)),"Có","Không"))</f>
        <v/>
      </c>
      <c r="T1722" s="22">
        <f>IF($D1722="","",IF(AND($C1722&lt;&gt;"",$Q1722="Có",$R1722="",$S1722="Có",AND($L1722&lt;&gt;"",OR($L1722&lt;&gt;"Chưa xác định",DANH_MUC!$L$9="Có"))),"Có","Không"))</f>
        <v/>
      </c>
      <c r="U1722" s="22">
        <f>IF(OR($D1722="",$T1722="Có"),"",IF($C1722="","Thiếu họ tên; ","")&amp;IF($S1722&lt;&gt;"Có","SĐT sai định dạng; ","")&amp;IF($R1722="Trùng","Trùng SĐT; ","")&amp;IF($Q1722&lt;&gt;"Có","Thiếu đồng ý bắt buộc; ","")&amp;IF($L1722="","Thiếu/sai Mã REF; ",IF(AND($L1722="Chưa xác định",DANH_MUC!$L$9&lt;&gt;"Có"),"Nguồn chưa xác định; ","")))</f>
        <v/>
      </c>
      <c r="V1722" s="22">
        <f>IF(OR($D1722="",$R1722="Trùng"),"",IF(COUNTIF(ORDERS!$C$2:$C$4995,$D1722)&gt;0,"Có","Không"))</f>
        <v/>
      </c>
      <c r="W1722" s="22">
        <f>IF(OR($D1722="",$R1722="Trùng"),"",COUNTIFS(ORDERS!$C$2:$C$4995,$D1722,ORDERS!$L$2:$L$4995,"Đã chuyển khoản"))</f>
        <v/>
      </c>
      <c r="X1722" s="23">
        <f>IF(OR($D1722="",$R1722="Trùng"),"",SUMIFS(ORDERS!$J$2:$J$4995,ORDERS!$C$2:$C$4995,$D1722,ORDERS!$L$2:$L$4995,"Đã chuyển khoản"))</f>
        <v/>
      </c>
      <c r="Y1722" s="24" t="n"/>
    </row>
    <row r="1723" ht="14.25" customHeight="1" s="40">
      <c r="A1723" s="24" t="n"/>
      <c r="B1723" s="27" t="n"/>
      <c r="C1723" s="24" t="n"/>
      <c r="D1723" s="28" t="n"/>
      <c r="E1723" s="29" t="n"/>
      <c r="F1723" s="24" t="n"/>
      <c r="G1723" s="24" t="n"/>
      <c r="H1723" s="21">
        <f>IF(ISNUMBER($B1723),INT($B1723)-WEEKDAY($B1723,2)+1,"")</f>
        <v/>
      </c>
      <c r="I1723" s="24" t="n"/>
      <c r="J1723" s="22">
        <f t="array" ref="J1723">IF($D1723="","",IF($I1723="","(trống REF)",IFERROR(INDEX(MASTER_SOURCE!$B$2:$B$495,MATCH($I1723,MASTER_SOURCE!$A$2:$A$495,0)),"(REF không có trong MASTER_SOURCE)")))</f>
        <v/>
      </c>
      <c r="K1723" s="22">
        <f t="array" ref="K1723">IF($D1723="","",IFERROR(INDEX(MASTER_SOURCE!$C$2:$C$495,MATCH($I1723,MASTER_SOURCE!$A$2:$A$495,0)),""))</f>
        <v/>
      </c>
      <c r="L1723" s="22">
        <f t="array" ref="L1723">IF($D1723="","",IFERROR(INDEX(MASTER_SOURCE!$D$2:$D$495,MATCH($I1723,MASTER_SOURCE!$A$2:$A$495,0)),""))</f>
        <v/>
      </c>
      <c r="M1723" s="24" t="n"/>
      <c r="N1723" s="24" t="n"/>
      <c r="O1723" s="24" t="n"/>
      <c r="P1723" s="24" t="n"/>
      <c r="Q1723" s="22">
        <f>IF($D1723="","",IF(AND(OR(DANH_MUC!$L$5&lt;&gt;"Có",M1723="Có"),OR(DANH_MUC!$L$6&lt;&gt;"Có",N1723="Có"),OR(DANH_MUC!$L$7&lt;&gt;"Có",O1723="Có"),OR(DANH_MUC!$L$8&lt;&gt;"Có",P1723="Có")),"Có","Không"))</f>
        <v/>
      </c>
      <c r="R1723" s="22">
        <f>IF($D1723="","",IF(COUNTIF($D$2:$D1723,$D1723)&gt;1,"Trùng",""))</f>
        <v/>
      </c>
      <c r="S1723" s="22">
        <f>IF($D1723="","",IF(AND(LEN($D1723)=10,LEFT($D1723,1)="0",ISNUMBER(--$D1723)),"Có","Không"))</f>
        <v/>
      </c>
      <c r="T1723" s="22">
        <f>IF($D1723="","",IF(AND($C1723&lt;&gt;"",$Q1723="Có",$R1723="",$S1723="Có",AND($L1723&lt;&gt;"",OR($L1723&lt;&gt;"Chưa xác định",DANH_MUC!$L$9="Có"))),"Có","Không"))</f>
        <v/>
      </c>
      <c r="U1723" s="22">
        <f>IF(OR($D1723="",$T1723="Có"),"",IF($C1723="","Thiếu họ tên; ","")&amp;IF($S1723&lt;&gt;"Có","SĐT sai định dạng; ","")&amp;IF($R1723="Trùng","Trùng SĐT; ","")&amp;IF($Q1723&lt;&gt;"Có","Thiếu đồng ý bắt buộc; ","")&amp;IF($L1723="","Thiếu/sai Mã REF; ",IF(AND($L1723="Chưa xác định",DANH_MUC!$L$9&lt;&gt;"Có"),"Nguồn chưa xác định; ","")))</f>
        <v/>
      </c>
      <c r="V1723" s="22">
        <f>IF(OR($D1723="",$R1723="Trùng"),"",IF(COUNTIF(ORDERS!$C$2:$C$4995,$D1723)&gt;0,"Có","Không"))</f>
        <v/>
      </c>
      <c r="W1723" s="22">
        <f>IF(OR($D1723="",$R1723="Trùng"),"",COUNTIFS(ORDERS!$C$2:$C$4995,$D1723,ORDERS!$L$2:$L$4995,"Đã chuyển khoản"))</f>
        <v/>
      </c>
      <c r="X1723" s="23">
        <f>IF(OR($D1723="",$R1723="Trùng"),"",SUMIFS(ORDERS!$J$2:$J$4995,ORDERS!$C$2:$C$4995,$D1723,ORDERS!$L$2:$L$4995,"Đã chuyển khoản"))</f>
        <v/>
      </c>
      <c r="Y1723" s="24" t="n"/>
    </row>
    <row r="1724" ht="14.25" customHeight="1" s="40">
      <c r="A1724" s="24" t="n"/>
      <c r="B1724" s="27" t="n"/>
      <c r="C1724" s="24" t="n"/>
      <c r="D1724" s="28" t="n"/>
      <c r="E1724" s="29" t="n"/>
      <c r="F1724" s="24" t="n"/>
      <c r="G1724" s="24" t="n"/>
      <c r="H1724" s="21">
        <f>IF(ISNUMBER($B1724),INT($B1724)-WEEKDAY($B1724,2)+1,"")</f>
        <v/>
      </c>
      <c r="I1724" s="24" t="n"/>
      <c r="J1724" s="22">
        <f t="array" ref="J1724">IF($D1724="","",IF($I1724="","(trống REF)",IFERROR(INDEX(MASTER_SOURCE!$B$2:$B$495,MATCH($I1724,MASTER_SOURCE!$A$2:$A$495,0)),"(REF không có trong MASTER_SOURCE)")))</f>
        <v/>
      </c>
      <c r="K1724" s="22">
        <f t="array" ref="K1724">IF($D1724="","",IFERROR(INDEX(MASTER_SOURCE!$C$2:$C$495,MATCH($I1724,MASTER_SOURCE!$A$2:$A$495,0)),""))</f>
        <v/>
      </c>
      <c r="L1724" s="22">
        <f t="array" ref="L1724">IF($D1724="","",IFERROR(INDEX(MASTER_SOURCE!$D$2:$D$495,MATCH($I1724,MASTER_SOURCE!$A$2:$A$495,0)),""))</f>
        <v/>
      </c>
      <c r="M1724" s="24" t="n"/>
      <c r="N1724" s="24" t="n"/>
      <c r="O1724" s="24" t="n"/>
      <c r="P1724" s="24" t="n"/>
      <c r="Q1724" s="22">
        <f>IF($D1724="","",IF(AND(OR(DANH_MUC!$L$5&lt;&gt;"Có",M1724="Có"),OR(DANH_MUC!$L$6&lt;&gt;"Có",N1724="Có"),OR(DANH_MUC!$L$7&lt;&gt;"Có",O1724="Có"),OR(DANH_MUC!$L$8&lt;&gt;"Có",P1724="Có")),"Có","Không"))</f>
        <v/>
      </c>
      <c r="R1724" s="22">
        <f>IF($D1724="","",IF(COUNTIF($D$2:$D1724,$D1724)&gt;1,"Trùng",""))</f>
        <v/>
      </c>
      <c r="S1724" s="22">
        <f>IF($D1724="","",IF(AND(LEN($D1724)=10,LEFT($D1724,1)="0",ISNUMBER(--$D1724)),"Có","Không"))</f>
        <v/>
      </c>
      <c r="T1724" s="22">
        <f>IF($D1724="","",IF(AND($C1724&lt;&gt;"",$Q1724="Có",$R1724="",$S1724="Có",AND($L1724&lt;&gt;"",OR($L1724&lt;&gt;"Chưa xác định",DANH_MUC!$L$9="Có"))),"Có","Không"))</f>
        <v/>
      </c>
      <c r="U1724" s="22">
        <f>IF(OR($D1724="",$T1724="Có"),"",IF($C1724="","Thiếu họ tên; ","")&amp;IF($S1724&lt;&gt;"Có","SĐT sai định dạng; ","")&amp;IF($R1724="Trùng","Trùng SĐT; ","")&amp;IF($Q1724&lt;&gt;"Có","Thiếu đồng ý bắt buộc; ","")&amp;IF($L1724="","Thiếu/sai Mã REF; ",IF(AND($L1724="Chưa xác định",DANH_MUC!$L$9&lt;&gt;"Có"),"Nguồn chưa xác định; ","")))</f>
        <v/>
      </c>
      <c r="V1724" s="22">
        <f>IF(OR($D1724="",$R1724="Trùng"),"",IF(COUNTIF(ORDERS!$C$2:$C$4995,$D1724)&gt;0,"Có","Không"))</f>
        <v/>
      </c>
      <c r="W1724" s="22">
        <f>IF(OR($D1724="",$R1724="Trùng"),"",COUNTIFS(ORDERS!$C$2:$C$4995,$D1724,ORDERS!$L$2:$L$4995,"Đã chuyển khoản"))</f>
        <v/>
      </c>
      <c r="X1724" s="23">
        <f>IF(OR($D1724="",$R1724="Trùng"),"",SUMIFS(ORDERS!$J$2:$J$4995,ORDERS!$C$2:$C$4995,$D1724,ORDERS!$L$2:$L$4995,"Đã chuyển khoản"))</f>
        <v/>
      </c>
      <c r="Y1724" s="24" t="n"/>
    </row>
    <row r="1725" ht="14.25" customHeight="1" s="40">
      <c r="A1725" s="24" t="n"/>
      <c r="B1725" s="27" t="n"/>
      <c r="C1725" s="24" t="n"/>
      <c r="D1725" s="28" t="n"/>
      <c r="E1725" s="29" t="n"/>
      <c r="F1725" s="24" t="n"/>
      <c r="G1725" s="24" t="n"/>
      <c r="H1725" s="21">
        <f>IF(ISNUMBER($B1725),INT($B1725)-WEEKDAY($B1725,2)+1,"")</f>
        <v/>
      </c>
      <c r="I1725" s="24" t="n"/>
      <c r="J1725" s="22">
        <f t="array" ref="J1725">IF($D1725="","",IF($I1725="","(trống REF)",IFERROR(INDEX(MASTER_SOURCE!$B$2:$B$495,MATCH($I1725,MASTER_SOURCE!$A$2:$A$495,0)),"(REF không có trong MASTER_SOURCE)")))</f>
        <v/>
      </c>
      <c r="K1725" s="22">
        <f t="array" ref="K1725">IF($D1725="","",IFERROR(INDEX(MASTER_SOURCE!$C$2:$C$495,MATCH($I1725,MASTER_SOURCE!$A$2:$A$495,0)),""))</f>
        <v/>
      </c>
      <c r="L1725" s="22">
        <f t="array" ref="L1725">IF($D1725="","",IFERROR(INDEX(MASTER_SOURCE!$D$2:$D$495,MATCH($I1725,MASTER_SOURCE!$A$2:$A$495,0)),""))</f>
        <v/>
      </c>
      <c r="M1725" s="24" t="n"/>
      <c r="N1725" s="24" t="n"/>
      <c r="O1725" s="24" t="n"/>
      <c r="P1725" s="24" t="n"/>
      <c r="Q1725" s="22">
        <f>IF($D1725="","",IF(AND(OR(DANH_MUC!$L$5&lt;&gt;"Có",M1725="Có"),OR(DANH_MUC!$L$6&lt;&gt;"Có",N1725="Có"),OR(DANH_MUC!$L$7&lt;&gt;"Có",O1725="Có"),OR(DANH_MUC!$L$8&lt;&gt;"Có",P1725="Có")),"Có","Không"))</f>
        <v/>
      </c>
      <c r="R1725" s="22">
        <f>IF($D1725="","",IF(COUNTIF($D$2:$D1725,$D1725)&gt;1,"Trùng",""))</f>
        <v/>
      </c>
      <c r="S1725" s="22">
        <f>IF($D1725="","",IF(AND(LEN($D1725)=10,LEFT($D1725,1)="0",ISNUMBER(--$D1725)),"Có","Không"))</f>
        <v/>
      </c>
      <c r="T1725" s="22">
        <f>IF($D1725="","",IF(AND($C1725&lt;&gt;"",$Q1725="Có",$R1725="",$S1725="Có",AND($L1725&lt;&gt;"",OR($L1725&lt;&gt;"Chưa xác định",DANH_MUC!$L$9="Có"))),"Có","Không"))</f>
        <v/>
      </c>
      <c r="U1725" s="22">
        <f>IF(OR($D1725="",$T1725="Có"),"",IF($C1725="","Thiếu họ tên; ","")&amp;IF($S1725&lt;&gt;"Có","SĐT sai định dạng; ","")&amp;IF($R1725="Trùng","Trùng SĐT; ","")&amp;IF($Q1725&lt;&gt;"Có","Thiếu đồng ý bắt buộc; ","")&amp;IF($L1725="","Thiếu/sai Mã REF; ",IF(AND($L1725="Chưa xác định",DANH_MUC!$L$9&lt;&gt;"Có"),"Nguồn chưa xác định; ","")))</f>
        <v/>
      </c>
      <c r="V1725" s="22">
        <f>IF(OR($D1725="",$R1725="Trùng"),"",IF(COUNTIF(ORDERS!$C$2:$C$4995,$D1725)&gt;0,"Có","Không"))</f>
        <v/>
      </c>
      <c r="W1725" s="22">
        <f>IF(OR($D1725="",$R1725="Trùng"),"",COUNTIFS(ORDERS!$C$2:$C$4995,$D1725,ORDERS!$L$2:$L$4995,"Đã chuyển khoản"))</f>
        <v/>
      </c>
      <c r="X1725" s="23">
        <f>IF(OR($D1725="",$R1725="Trùng"),"",SUMIFS(ORDERS!$J$2:$J$4995,ORDERS!$C$2:$C$4995,$D1725,ORDERS!$L$2:$L$4995,"Đã chuyển khoản"))</f>
        <v/>
      </c>
      <c r="Y1725" s="24" t="n"/>
    </row>
    <row r="1726" ht="14.25" customHeight="1" s="40">
      <c r="A1726" s="24" t="n"/>
      <c r="B1726" s="27" t="n"/>
      <c r="C1726" s="24" t="n"/>
      <c r="D1726" s="28" t="n"/>
      <c r="E1726" s="29" t="n"/>
      <c r="F1726" s="24" t="n"/>
      <c r="G1726" s="24" t="n"/>
      <c r="H1726" s="21">
        <f>IF(ISNUMBER($B1726),INT($B1726)-WEEKDAY($B1726,2)+1,"")</f>
        <v/>
      </c>
      <c r="I1726" s="24" t="n"/>
      <c r="J1726" s="22">
        <f t="array" ref="J1726">IF($D1726="","",IF($I1726="","(trống REF)",IFERROR(INDEX(MASTER_SOURCE!$B$2:$B$495,MATCH($I1726,MASTER_SOURCE!$A$2:$A$495,0)),"(REF không có trong MASTER_SOURCE)")))</f>
        <v/>
      </c>
      <c r="K1726" s="22">
        <f t="array" ref="K1726">IF($D1726="","",IFERROR(INDEX(MASTER_SOURCE!$C$2:$C$495,MATCH($I1726,MASTER_SOURCE!$A$2:$A$495,0)),""))</f>
        <v/>
      </c>
      <c r="L1726" s="22">
        <f t="array" ref="L1726">IF($D1726="","",IFERROR(INDEX(MASTER_SOURCE!$D$2:$D$495,MATCH($I1726,MASTER_SOURCE!$A$2:$A$495,0)),""))</f>
        <v/>
      </c>
      <c r="M1726" s="24" t="n"/>
      <c r="N1726" s="24" t="n"/>
      <c r="O1726" s="24" t="n"/>
      <c r="P1726" s="24" t="n"/>
      <c r="Q1726" s="22">
        <f>IF($D1726="","",IF(AND(OR(DANH_MUC!$L$5&lt;&gt;"Có",M1726="Có"),OR(DANH_MUC!$L$6&lt;&gt;"Có",N1726="Có"),OR(DANH_MUC!$L$7&lt;&gt;"Có",O1726="Có"),OR(DANH_MUC!$L$8&lt;&gt;"Có",P1726="Có")),"Có","Không"))</f>
        <v/>
      </c>
      <c r="R1726" s="22">
        <f>IF($D1726="","",IF(COUNTIF($D$2:$D1726,$D1726)&gt;1,"Trùng",""))</f>
        <v/>
      </c>
      <c r="S1726" s="22">
        <f>IF($D1726="","",IF(AND(LEN($D1726)=10,LEFT($D1726,1)="0",ISNUMBER(--$D1726)),"Có","Không"))</f>
        <v/>
      </c>
      <c r="T1726" s="22">
        <f>IF($D1726="","",IF(AND($C1726&lt;&gt;"",$Q1726="Có",$R1726="",$S1726="Có",AND($L1726&lt;&gt;"",OR($L1726&lt;&gt;"Chưa xác định",DANH_MUC!$L$9="Có"))),"Có","Không"))</f>
        <v/>
      </c>
      <c r="U1726" s="22">
        <f>IF(OR($D1726="",$T1726="Có"),"",IF($C1726="","Thiếu họ tên; ","")&amp;IF($S1726&lt;&gt;"Có","SĐT sai định dạng; ","")&amp;IF($R1726="Trùng","Trùng SĐT; ","")&amp;IF($Q1726&lt;&gt;"Có","Thiếu đồng ý bắt buộc; ","")&amp;IF($L1726="","Thiếu/sai Mã REF; ",IF(AND($L1726="Chưa xác định",DANH_MUC!$L$9&lt;&gt;"Có"),"Nguồn chưa xác định; ","")))</f>
        <v/>
      </c>
      <c r="V1726" s="22">
        <f>IF(OR($D1726="",$R1726="Trùng"),"",IF(COUNTIF(ORDERS!$C$2:$C$4995,$D1726)&gt;0,"Có","Không"))</f>
        <v/>
      </c>
      <c r="W1726" s="22">
        <f>IF(OR($D1726="",$R1726="Trùng"),"",COUNTIFS(ORDERS!$C$2:$C$4995,$D1726,ORDERS!$L$2:$L$4995,"Đã chuyển khoản"))</f>
        <v/>
      </c>
      <c r="X1726" s="23">
        <f>IF(OR($D1726="",$R1726="Trùng"),"",SUMIFS(ORDERS!$J$2:$J$4995,ORDERS!$C$2:$C$4995,$D1726,ORDERS!$L$2:$L$4995,"Đã chuyển khoản"))</f>
        <v/>
      </c>
      <c r="Y1726" s="24" t="n"/>
    </row>
    <row r="1727" ht="14.25" customHeight="1" s="40">
      <c r="A1727" s="24" t="n"/>
      <c r="B1727" s="27" t="n"/>
      <c r="C1727" s="24" t="n"/>
      <c r="D1727" s="28" t="n"/>
      <c r="E1727" s="29" t="n"/>
      <c r="F1727" s="24" t="n"/>
      <c r="G1727" s="24" t="n"/>
      <c r="H1727" s="21">
        <f>IF(ISNUMBER($B1727),INT($B1727)-WEEKDAY($B1727,2)+1,"")</f>
        <v/>
      </c>
      <c r="I1727" s="24" t="n"/>
      <c r="J1727" s="22">
        <f t="array" ref="J1727">IF($D1727="","",IF($I1727="","(trống REF)",IFERROR(INDEX(MASTER_SOURCE!$B$2:$B$495,MATCH($I1727,MASTER_SOURCE!$A$2:$A$495,0)),"(REF không có trong MASTER_SOURCE)")))</f>
        <v/>
      </c>
      <c r="K1727" s="22">
        <f t="array" ref="K1727">IF($D1727="","",IFERROR(INDEX(MASTER_SOURCE!$C$2:$C$495,MATCH($I1727,MASTER_SOURCE!$A$2:$A$495,0)),""))</f>
        <v/>
      </c>
      <c r="L1727" s="22">
        <f t="array" ref="L1727">IF($D1727="","",IFERROR(INDEX(MASTER_SOURCE!$D$2:$D$495,MATCH($I1727,MASTER_SOURCE!$A$2:$A$495,0)),""))</f>
        <v/>
      </c>
      <c r="M1727" s="24" t="n"/>
      <c r="N1727" s="24" t="n"/>
      <c r="O1727" s="24" t="n"/>
      <c r="P1727" s="24" t="n"/>
      <c r="Q1727" s="22">
        <f>IF($D1727="","",IF(AND(OR(DANH_MUC!$L$5&lt;&gt;"Có",M1727="Có"),OR(DANH_MUC!$L$6&lt;&gt;"Có",N1727="Có"),OR(DANH_MUC!$L$7&lt;&gt;"Có",O1727="Có"),OR(DANH_MUC!$L$8&lt;&gt;"Có",P1727="Có")),"Có","Không"))</f>
        <v/>
      </c>
      <c r="R1727" s="22">
        <f>IF($D1727="","",IF(COUNTIF($D$2:$D1727,$D1727)&gt;1,"Trùng",""))</f>
        <v/>
      </c>
      <c r="S1727" s="22">
        <f>IF($D1727="","",IF(AND(LEN($D1727)=10,LEFT($D1727,1)="0",ISNUMBER(--$D1727)),"Có","Không"))</f>
        <v/>
      </c>
      <c r="T1727" s="22">
        <f>IF($D1727="","",IF(AND($C1727&lt;&gt;"",$Q1727="Có",$R1727="",$S1727="Có",AND($L1727&lt;&gt;"",OR($L1727&lt;&gt;"Chưa xác định",DANH_MUC!$L$9="Có"))),"Có","Không"))</f>
        <v/>
      </c>
      <c r="U1727" s="22">
        <f>IF(OR($D1727="",$T1727="Có"),"",IF($C1727="","Thiếu họ tên; ","")&amp;IF($S1727&lt;&gt;"Có","SĐT sai định dạng; ","")&amp;IF($R1727="Trùng","Trùng SĐT; ","")&amp;IF($Q1727&lt;&gt;"Có","Thiếu đồng ý bắt buộc; ","")&amp;IF($L1727="","Thiếu/sai Mã REF; ",IF(AND($L1727="Chưa xác định",DANH_MUC!$L$9&lt;&gt;"Có"),"Nguồn chưa xác định; ","")))</f>
        <v/>
      </c>
      <c r="V1727" s="22">
        <f>IF(OR($D1727="",$R1727="Trùng"),"",IF(COUNTIF(ORDERS!$C$2:$C$4995,$D1727)&gt;0,"Có","Không"))</f>
        <v/>
      </c>
      <c r="W1727" s="22">
        <f>IF(OR($D1727="",$R1727="Trùng"),"",COUNTIFS(ORDERS!$C$2:$C$4995,$D1727,ORDERS!$L$2:$L$4995,"Đã chuyển khoản"))</f>
        <v/>
      </c>
      <c r="X1727" s="23">
        <f>IF(OR($D1727="",$R1727="Trùng"),"",SUMIFS(ORDERS!$J$2:$J$4995,ORDERS!$C$2:$C$4995,$D1727,ORDERS!$L$2:$L$4995,"Đã chuyển khoản"))</f>
        <v/>
      </c>
      <c r="Y1727" s="24" t="n"/>
    </row>
    <row r="1728" ht="14.25" customHeight="1" s="40">
      <c r="A1728" s="24" t="n"/>
      <c r="B1728" s="27" t="n"/>
      <c r="C1728" s="24" t="n"/>
      <c r="D1728" s="28" t="n"/>
      <c r="E1728" s="29" t="n"/>
      <c r="F1728" s="24" t="n"/>
      <c r="G1728" s="24" t="n"/>
      <c r="H1728" s="21">
        <f>IF(ISNUMBER($B1728),INT($B1728)-WEEKDAY($B1728,2)+1,"")</f>
        <v/>
      </c>
      <c r="I1728" s="24" t="n"/>
      <c r="J1728" s="22">
        <f t="array" ref="J1728">IF($D1728="","",IF($I1728="","(trống REF)",IFERROR(INDEX(MASTER_SOURCE!$B$2:$B$495,MATCH($I1728,MASTER_SOURCE!$A$2:$A$495,0)),"(REF không có trong MASTER_SOURCE)")))</f>
        <v/>
      </c>
      <c r="K1728" s="22">
        <f t="array" ref="K1728">IF($D1728="","",IFERROR(INDEX(MASTER_SOURCE!$C$2:$C$495,MATCH($I1728,MASTER_SOURCE!$A$2:$A$495,0)),""))</f>
        <v/>
      </c>
      <c r="L1728" s="22">
        <f t="array" ref="L1728">IF($D1728="","",IFERROR(INDEX(MASTER_SOURCE!$D$2:$D$495,MATCH($I1728,MASTER_SOURCE!$A$2:$A$495,0)),""))</f>
        <v/>
      </c>
      <c r="M1728" s="24" t="n"/>
      <c r="N1728" s="24" t="n"/>
      <c r="O1728" s="24" t="n"/>
      <c r="P1728" s="24" t="n"/>
      <c r="Q1728" s="22">
        <f>IF($D1728="","",IF(AND(OR(DANH_MUC!$L$5&lt;&gt;"Có",M1728="Có"),OR(DANH_MUC!$L$6&lt;&gt;"Có",N1728="Có"),OR(DANH_MUC!$L$7&lt;&gt;"Có",O1728="Có"),OR(DANH_MUC!$L$8&lt;&gt;"Có",P1728="Có")),"Có","Không"))</f>
        <v/>
      </c>
      <c r="R1728" s="22">
        <f>IF($D1728="","",IF(COUNTIF($D$2:$D1728,$D1728)&gt;1,"Trùng",""))</f>
        <v/>
      </c>
      <c r="S1728" s="22">
        <f>IF($D1728="","",IF(AND(LEN($D1728)=10,LEFT($D1728,1)="0",ISNUMBER(--$D1728)),"Có","Không"))</f>
        <v/>
      </c>
      <c r="T1728" s="22">
        <f>IF($D1728="","",IF(AND($C1728&lt;&gt;"",$Q1728="Có",$R1728="",$S1728="Có",AND($L1728&lt;&gt;"",OR($L1728&lt;&gt;"Chưa xác định",DANH_MUC!$L$9="Có"))),"Có","Không"))</f>
        <v/>
      </c>
      <c r="U1728" s="22">
        <f>IF(OR($D1728="",$T1728="Có"),"",IF($C1728="","Thiếu họ tên; ","")&amp;IF($S1728&lt;&gt;"Có","SĐT sai định dạng; ","")&amp;IF($R1728="Trùng","Trùng SĐT; ","")&amp;IF($Q1728&lt;&gt;"Có","Thiếu đồng ý bắt buộc; ","")&amp;IF($L1728="","Thiếu/sai Mã REF; ",IF(AND($L1728="Chưa xác định",DANH_MUC!$L$9&lt;&gt;"Có"),"Nguồn chưa xác định; ","")))</f>
        <v/>
      </c>
      <c r="V1728" s="22">
        <f>IF(OR($D1728="",$R1728="Trùng"),"",IF(COUNTIF(ORDERS!$C$2:$C$4995,$D1728)&gt;0,"Có","Không"))</f>
        <v/>
      </c>
      <c r="W1728" s="22">
        <f>IF(OR($D1728="",$R1728="Trùng"),"",COUNTIFS(ORDERS!$C$2:$C$4995,$D1728,ORDERS!$L$2:$L$4995,"Đã chuyển khoản"))</f>
        <v/>
      </c>
      <c r="X1728" s="23">
        <f>IF(OR($D1728="",$R1728="Trùng"),"",SUMIFS(ORDERS!$J$2:$J$4995,ORDERS!$C$2:$C$4995,$D1728,ORDERS!$L$2:$L$4995,"Đã chuyển khoản"))</f>
        <v/>
      </c>
      <c r="Y1728" s="24" t="n"/>
    </row>
    <row r="1729" ht="14.25" customHeight="1" s="40">
      <c r="A1729" s="24" t="n"/>
      <c r="B1729" s="27" t="n"/>
      <c r="C1729" s="24" t="n"/>
      <c r="D1729" s="28" t="n"/>
      <c r="E1729" s="29" t="n"/>
      <c r="F1729" s="24" t="n"/>
      <c r="G1729" s="24" t="n"/>
      <c r="H1729" s="21">
        <f>IF(ISNUMBER($B1729),INT($B1729)-WEEKDAY($B1729,2)+1,"")</f>
        <v/>
      </c>
      <c r="I1729" s="24" t="n"/>
      <c r="J1729" s="22">
        <f t="array" ref="J1729">IF($D1729="","",IF($I1729="","(trống REF)",IFERROR(INDEX(MASTER_SOURCE!$B$2:$B$495,MATCH($I1729,MASTER_SOURCE!$A$2:$A$495,0)),"(REF không có trong MASTER_SOURCE)")))</f>
        <v/>
      </c>
      <c r="K1729" s="22">
        <f t="array" ref="K1729">IF($D1729="","",IFERROR(INDEX(MASTER_SOURCE!$C$2:$C$495,MATCH($I1729,MASTER_SOURCE!$A$2:$A$495,0)),""))</f>
        <v/>
      </c>
      <c r="L1729" s="22">
        <f t="array" ref="L1729">IF($D1729="","",IFERROR(INDEX(MASTER_SOURCE!$D$2:$D$495,MATCH($I1729,MASTER_SOURCE!$A$2:$A$495,0)),""))</f>
        <v/>
      </c>
      <c r="M1729" s="24" t="n"/>
      <c r="N1729" s="24" t="n"/>
      <c r="O1729" s="24" t="n"/>
      <c r="P1729" s="24" t="n"/>
      <c r="Q1729" s="22">
        <f>IF($D1729="","",IF(AND(OR(DANH_MUC!$L$5&lt;&gt;"Có",M1729="Có"),OR(DANH_MUC!$L$6&lt;&gt;"Có",N1729="Có"),OR(DANH_MUC!$L$7&lt;&gt;"Có",O1729="Có"),OR(DANH_MUC!$L$8&lt;&gt;"Có",P1729="Có")),"Có","Không"))</f>
        <v/>
      </c>
      <c r="R1729" s="22">
        <f>IF($D1729="","",IF(COUNTIF($D$2:$D1729,$D1729)&gt;1,"Trùng",""))</f>
        <v/>
      </c>
      <c r="S1729" s="22">
        <f>IF($D1729="","",IF(AND(LEN($D1729)=10,LEFT($D1729,1)="0",ISNUMBER(--$D1729)),"Có","Không"))</f>
        <v/>
      </c>
      <c r="T1729" s="22">
        <f>IF($D1729="","",IF(AND($C1729&lt;&gt;"",$Q1729="Có",$R1729="",$S1729="Có",AND($L1729&lt;&gt;"",OR($L1729&lt;&gt;"Chưa xác định",DANH_MUC!$L$9="Có"))),"Có","Không"))</f>
        <v/>
      </c>
      <c r="U1729" s="22">
        <f>IF(OR($D1729="",$T1729="Có"),"",IF($C1729="","Thiếu họ tên; ","")&amp;IF($S1729&lt;&gt;"Có","SĐT sai định dạng; ","")&amp;IF($R1729="Trùng","Trùng SĐT; ","")&amp;IF($Q1729&lt;&gt;"Có","Thiếu đồng ý bắt buộc; ","")&amp;IF($L1729="","Thiếu/sai Mã REF; ",IF(AND($L1729="Chưa xác định",DANH_MUC!$L$9&lt;&gt;"Có"),"Nguồn chưa xác định; ","")))</f>
        <v/>
      </c>
      <c r="V1729" s="22">
        <f>IF(OR($D1729="",$R1729="Trùng"),"",IF(COUNTIF(ORDERS!$C$2:$C$4995,$D1729)&gt;0,"Có","Không"))</f>
        <v/>
      </c>
      <c r="W1729" s="22">
        <f>IF(OR($D1729="",$R1729="Trùng"),"",COUNTIFS(ORDERS!$C$2:$C$4995,$D1729,ORDERS!$L$2:$L$4995,"Đã chuyển khoản"))</f>
        <v/>
      </c>
      <c r="X1729" s="23">
        <f>IF(OR($D1729="",$R1729="Trùng"),"",SUMIFS(ORDERS!$J$2:$J$4995,ORDERS!$C$2:$C$4995,$D1729,ORDERS!$L$2:$L$4995,"Đã chuyển khoản"))</f>
        <v/>
      </c>
      <c r="Y1729" s="24" t="n"/>
    </row>
    <row r="1730" ht="14.25" customHeight="1" s="40">
      <c r="A1730" s="24" t="n"/>
      <c r="B1730" s="27" t="n"/>
      <c r="C1730" s="24" t="n"/>
      <c r="D1730" s="28" t="n"/>
      <c r="E1730" s="29" t="n"/>
      <c r="F1730" s="24" t="n"/>
      <c r="G1730" s="24" t="n"/>
      <c r="H1730" s="21">
        <f>IF(ISNUMBER($B1730),INT($B1730)-WEEKDAY($B1730,2)+1,"")</f>
        <v/>
      </c>
      <c r="I1730" s="24" t="n"/>
      <c r="J1730" s="22">
        <f t="array" ref="J1730">IF($D1730="","",IF($I1730="","(trống REF)",IFERROR(INDEX(MASTER_SOURCE!$B$2:$B$495,MATCH($I1730,MASTER_SOURCE!$A$2:$A$495,0)),"(REF không có trong MASTER_SOURCE)")))</f>
        <v/>
      </c>
      <c r="K1730" s="22">
        <f t="array" ref="K1730">IF($D1730="","",IFERROR(INDEX(MASTER_SOURCE!$C$2:$C$495,MATCH($I1730,MASTER_SOURCE!$A$2:$A$495,0)),""))</f>
        <v/>
      </c>
      <c r="L1730" s="22">
        <f t="array" ref="L1730">IF($D1730="","",IFERROR(INDEX(MASTER_SOURCE!$D$2:$D$495,MATCH($I1730,MASTER_SOURCE!$A$2:$A$495,0)),""))</f>
        <v/>
      </c>
      <c r="M1730" s="24" t="n"/>
      <c r="N1730" s="24" t="n"/>
      <c r="O1730" s="24" t="n"/>
      <c r="P1730" s="24" t="n"/>
      <c r="Q1730" s="22">
        <f>IF($D1730="","",IF(AND(OR(DANH_MUC!$L$5&lt;&gt;"Có",M1730="Có"),OR(DANH_MUC!$L$6&lt;&gt;"Có",N1730="Có"),OR(DANH_MUC!$L$7&lt;&gt;"Có",O1730="Có"),OR(DANH_MUC!$L$8&lt;&gt;"Có",P1730="Có")),"Có","Không"))</f>
        <v/>
      </c>
      <c r="R1730" s="22">
        <f>IF($D1730="","",IF(COUNTIF($D$2:$D1730,$D1730)&gt;1,"Trùng",""))</f>
        <v/>
      </c>
      <c r="S1730" s="22">
        <f>IF($D1730="","",IF(AND(LEN($D1730)=10,LEFT($D1730,1)="0",ISNUMBER(--$D1730)),"Có","Không"))</f>
        <v/>
      </c>
      <c r="T1730" s="22">
        <f>IF($D1730="","",IF(AND($C1730&lt;&gt;"",$Q1730="Có",$R1730="",$S1730="Có",AND($L1730&lt;&gt;"",OR($L1730&lt;&gt;"Chưa xác định",DANH_MUC!$L$9="Có"))),"Có","Không"))</f>
        <v/>
      </c>
      <c r="U1730" s="22">
        <f>IF(OR($D1730="",$T1730="Có"),"",IF($C1730="","Thiếu họ tên; ","")&amp;IF($S1730&lt;&gt;"Có","SĐT sai định dạng; ","")&amp;IF($R1730="Trùng","Trùng SĐT; ","")&amp;IF($Q1730&lt;&gt;"Có","Thiếu đồng ý bắt buộc; ","")&amp;IF($L1730="","Thiếu/sai Mã REF; ",IF(AND($L1730="Chưa xác định",DANH_MUC!$L$9&lt;&gt;"Có"),"Nguồn chưa xác định; ","")))</f>
        <v/>
      </c>
      <c r="V1730" s="22">
        <f>IF(OR($D1730="",$R1730="Trùng"),"",IF(COUNTIF(ORDERS!$C$2:$C$4995,$D1730)&gt;0,"Có","Không"))</f>
        <v/>
      </c>
      <c r="W1730" s="22">
        <f>IF(OR($D1730="",$R1730="Trùng"),"",COUNTIFS(ORDERS!$C$2:$C$4995,$D1730,ORDERS!$L$2:$L$4995,"Đã chuyển khoản"))</f>
        <v/>
      </c>
      <c r="X1730" s="23">
        <f>IF(OR($D1730="",$R1730="Trùng"),"",SUMIFS(ORDERS!$J$2:$J$4995,ORDERS!$C$2:$C$4995,$D1730,ORDERS!$L$2:$L$4995,"Đã chuyển khoản"))</f>
        <v/>
      </c>
      <c r="Y1730" s="24" t="n"/>
    </row>
    <row r="1731" ht="14.25" customHeight="1" s="40">
      <c r="A1731" s="24" t="n"/>
      <c r="B1731" s="27" t="n"/>
      <c r="C1731" s="24" t="n"/>
      <c r="D1731" s="28" t="n"/>
      <c r="E1731" s="29" t="n"/>
      <c r="F1731" s="24" t="n"/>
      <c r="G1731" s="24" t="n"/>
      <c r="H1731" s="21">
        <f>IF(ISNUMBER($B1731),INT($B1731)-WEEKDAY($B1731,2)+1,"")</f>
        <v/>
      </c>
      <c r="I1731" s="24" t="n"/>
      <c r="J1731" s="22">
        <f t="array" ref="J1731">IF($D1731="","",IF($I1731="","(trống REF)",IFERROR(INDEX(MASTER_SOURCE!$B$2:$B$495,MATCH($I1731,MASTER_SOURCE!$A$2:$A$495,0)),"(REF không có trong MASTER_SOURCE)")))</f>
        <v/>
      </c>
      <c r="K1731" s="22">
        <f t="array" ref="K1731">IF($D1731="","",IFERROR(INDEX(MASTER_SOURCE!$C$2:$C$495,MATCH($I1731,MASTER_SOURCE!$A$2:$A$495,0)),""))</f>
        <v/>
      </c>
      <c r="L1731" s="22">
        <f t="array" ref="L1731">IF($D1731="","",IFERROR(INDEX(MASTER_SOURCE!$D$2:$D$495,MATCH($I1731,MASTER_SOURCE!$A$2:$A$495,0)),""))</f>
        <v/>
      </c>
      <c r="M1731" s="24" t="n"/>
      <c r="N1731" s="24" t="n"/>
      <c r="O1731" s="24" t="n"/>
      <c r="P1731" s="24" t="n"/>
      <c r="Q1731" s="22">
        <f>IF($D1731="","",IF(AND(OR(DANH_MUC!$L$5&lt;&gt;"Có",M1731="Có"),OR(DANH_MUC!$L$6&lt;&gt;"Có",N1731="Có"),OR(DANH_MUC!$L$7&lt;&gt;"Có",O1731="Có"),OR(DANH_MUC!$L$8&lt;&gt;"Có",P1731="Có")),"Có","Không"))</f>
        <v/>
      </c>
      <c r="R1731" s="22">
        <f>IF($D1731="","",IF(COUNTIF($D$2:$D1731,$D1731)&gt;1,"Trùng",""))</f>
        <v/>
      </c>
      <c r="S1731" s="22">
        <f>IF($D1731="","",IF(AND(LEN($D1731)=10,LEFT($D1731,1)="0",ISNUMBER(--$D1731)),"Có","Không"))</f>
        <v/>
      </c>
      <c r="T1731" s="22">
        <f>IF($D1731="","",IF(AND($C1731&lt;&gt;"",$Q1731="Có",$R1731="",$S1731="Có",AND($L1731&lt;&gt;"",OR($L1731&lt;&gt;"Chưa xác định",DANH_MUC!$L$9="Có"))),"Có","Không"))</f>
        <v/>
      </c>
      <c r="U1731" s="22">
        <f>IF(OR($D1731="",$T1731="Có"),"",IF($C1731="","Thiếu họ tên; ","")&amp;IF($S1731&lt;&gt;"Có","SĐT sai định dạng; ","")&amp;IF($R1731="Trùng","Trùng SĐT; ","")&amp;IF($Q1731&lt;&gt;"Có","Thiếu đồng ý bắt buộc; ","")&amp;IF($L1731="","Thiếu/sai Mã REF; ",IF(AND($L1731="Chưa xác định",DANH_MUC!$L$9&lt;&gt;"Có"),"Nguồn chưa xác định; ","")))</f>
        <v/>
      </c>
      <c r="V1731" s="22">
        <f>IF(OR($D1731="",$R1731="Trùng"),"",IF(COUNTIF(ORDERS!$C$2:$C$4995,$D1731)&gt;0,"Có","Không"))</f>
        <v/>
      </c>
      <c r="W1731" s="22">
        <f>IF(OR($D1731="",$R1731="Trùng"),"",COUNTIFS(ORDERS!$C$2:$C$4995,$D1731,ORDERS!$L$2:$L$4995,"Đã chuyển khoản"))</f>
        <v/>
      </c>
      <c r="X1731" s="23">
        <f>IF(OR($D1731="",$R1731="Trùng"),"",SUMIFS(ORDERS!$J$2:$J$4995,ORDERS!$C$2:$C$4995,$D1731,ORDERS!$L$2:$L$4995,"Đã chuyển khoản"))</f>
        <v/>
      </c>
      <c r="Y1731" s="24" t="n"/>
    </row>
    <row r="1732" ht="14.25" customHeight="1" s="40">
      <c r="A1732" s="24" t="n"/>
      <c r="B1732" s="27" t="n"/>
      <c r="C1732" s="24" t="n"/>
      <c r="D1732" s="28" t="n"/>
      <c r="E1732" s="29" t="n"/>
      <c r="F1732" s="24" t="n"/>
      <c r="G1732" s="24" t="n"/>
      <c r="H1732" s="21">
        <f>IF(ISNUMBER($B1732),INT($B1732)-WEEKDAY($B1732,2)+1,"")</f>
        <v/>
      </c>
      <c r="I1732" s="24" t="n"/>
      <c r="J1732" s="22">
        <f t="array" ref="J1732">IF($D1732="","",IF($I1732="","(trống REF)",IFERROR(INDEX(MASTER_SOURCE!$B$2:$B$495,MATCH($I1732,MASTER_SOURCE!$A$2:$A$495,0)),"(REF không có trong MASTER_SOURCE)")))</f>
        <v/>
      </c>
      <c r="K1732" s="22">
        <f t="array" ref="K1732">IF($D1732="","",IFERROR(INDEX(MASTER_SOURCE!$C$2:$C$495,MATCH($I1732,MASTER_SOURCE!$A$2:$A$495,0)),""))</f>
        <v/>
      </c>
      <c r="L1732" s="22">
        <f t="array" ref="L1732">IF($D1732="","",IFERROR(INDEX(MASTER_SOURCE!$D$2:$D$495,MATCH($I1732,MASTER_SOURCE!$A$2:$A$495,0)),""))</f>
        <v/>
      </c>
      <c r="M1732" s="24" t="n"/>
      <c r="N1732" s="24" t="n"/>
      <c r="O1732" s="24" t="n"/>
      <c r="P1732" s="24" t="n"/>
      <c r="Q1732" s="22">
        <f>IF($D1732="","",IF(AND(OR(DANH_MUC!$L$5&lt;&gt;"Có",M1732="Có"),OR(DANH_MUC!$L$6&lt;&gt;"Có",N1732="Có"),OR(DANH_MUC!$L$7&lt;&gt;"Có",O1732="Có"),OR(DANH_MUC!$L$8&lt;&gt;"Có",P1732="Có")),"Có","Không"))</f>
        <v/>
      </c>
      <c r="R1732" s="22">
        <f>IF($D1732="","",IF(COUNTIF($D$2:$D1732,$D1732)&gt;1,"Trùng",""))</f>
        <v/>
      </c>
      <c r="S1732" s="22">
        <f>IF($D1732="","",IF(AND(LEN($D1732)=10,LEFT($D1732,1)="0",ISNUMBER(--$D1732)),"Có","Không"))</f>
        <v/>
      </c>
      <c r="T1732" s="22">
        <f>IF($D1732="","",IF(AND($C1732&lt;&gt;"",$Q1732="Có",$R1732="",$S1732="Có",AND($L1732&lt;&gt;"",OR($L1732&lt;&gt;"Chưa xác định",DANH_MUC!$L$9="Có"))),"Có","Không"))</f>
        <v/>
      </c>
      <c r="U1732" s="22">
        <f>IF(OR($D1732="",$T1732="Có"),"",IF($C1732="","Thiếu họ tên; ","")&amp;IF($S1732&lt;&gt;"Có","SĐT sai định dạng; ","")&amp;IF($R1732="Trùng","Trùng SĐT; ","")&amp;IF($Q1732&lt;&gt;"Có","Thiếu đồng ý bắt buộc; ","")&amp;IF($L1732="","Thiếu/sai Mã REF; ",IF(AND($L1732="Chưa xác định",DANH_MUC!$L$9&lt;&gt;"Có"),"Nguồn chưa xác định; ","")))</f>
        <v/>
      </c>
      <c r="V1732" s="22">
        <f>IF(OR($D1732="",$R1732="Trùng"),"",IF(COUNTIF(ORDERS!$C$2:$C$4995,$D1732)&gt;0,"Có","Không"))</f>
        <v/>
      </c>
      <c r="W1732" s="22">
        <f>IF(OR($D1732="",$R1732="Trùng"),"",COUNTIFS(ORDERS!$C$2:$C$4995,$D1732,ORDERS!$L$2:$L$4995,"Đã chuyển khoản"))</f>
        <v/>
      </c>
      <c r="X1732" s="23">
        <f>IF(OR($D1732="",$R1732="Trùng"),"",SUMIFS(ORDERS!$J$2:$J$4995,ORDERS!$C$2:$C$4995,$D1732,ORDERS!$L$2:$L$4995,"Đã chuyển khoản"))</f>
        <v/>
      </c>
      <c r="Y1732" s="24" t="n"/>
    </row>
    <row r="1733" ht="14.25" customHeight="1" s="40">
      <c r="A1733" s="24" t="n"/>
      <c r="B1733" s="27" t="n"/>
      <c r="C1733" s="24" t="n"/>
      <c r="D1733" s="28" t="n"/>
      <c r="E1733" s="29" t="n"/>
      <c r="F1733" s="24" t="n"/>
      <c r="G1733" s="24" t="n"/>
      <c r="H1733" s="21">
        <f>IF(ISNUMBER($B1733),INT($B1733)-WEEKDAY($B1733,2)+1,"")</f>
        <v/>
      </c>
      <c r="I1733" s="24" t="n"/>
      <c r="J1733" s="22">
        <f t="array" ref="J1733">IF($D1733="","",IF($I1733="","(trống REF)",IFERROR(INDEX(MASTER_SOURCE!$B$2:$B$495,MATCH($I1733,MASTER_SOURCE!$A$2:$A$495,0)),"(REF không có trong MASTER_SOURCE)")))</f>
        <v/>
      </c>
      <c r="K1733" s="22">
        <f t="array" ref="K1733">IF($D1733="","",IFERROR(INDEX(MASTER_SOURCE!$C$2:$C$495,MATCH($I1733,MASTER_SOURCE!$A$2:$A$495,0)),""))</f>
        <v/>
      </c>
      <c r="L1733" s="22">
        <f t="array" ref="L1733">IF($D1733="","",IFERROR(INDEX(MASTER_SOURCE!$D$2:$D$495,MATCH($I1733,MASTER_SOURCE!$A$2:$A$495,0)),""))</f>
        <v/>
      </c>
      <c r="M1733" s="24" t="n"/>
      <c r="N1733" s="24" t="n"/>
      <c r="O1733" s="24" t="n"/>
      <c r="P1733" s="24" t="n"/>
      <c r="Q1733" s="22">
        <f>IF($D1733="","",IF(AND(OR(DANH_MUC!$L$5&lt;&gt;"Có",M1733="Có"),OR(DANH_MUC!$L$6&lt;&gt;"Có",N1733="Có"),OR(DANH_MUC!$L$7&lt;&gt;"Có",O1733="Có"),OR(DANH_MUC!$L$8&lt;&gt;"Có",P1733="Có")),"Có","Không"))</f>
        <v/>
      </c>
      <c r="R1733" s="22">
        <f>IF($D1733="","",IF(COUNTIF($D$2:$D1733,$D1733)&gt;1,"Trùng",""))</f>
        <v/>
      </c>
      <c r="S1733" s="22">
        <f>IF($D1733="","",IF(AND(LEN($D1733)=10,LEFT($D1733,1)="0",ISNUMBER(--$D1733)),"Có","Không"))</f>
        <v/>
      </c>
      <c r="T1733" s="22">
        <f>IF($D1733="","",IF(AND($C1733&lt;&gt;"",$Q1733="Có",$R1733="",$S1733="Có",AND($L1733&lt;&gt;"",OR($L1733&lt;&gt;"Chưa xác định",DANH_MUC!$L$9="Có"))),"Có","Không"))</f>
        <v/>
      </c>
      <c r="U1733" s="22">
        <f>IF(OR($D1733="",$T1733="Có"),"",IF($C1733="","Thiếu họ tên; ","")&amp;IF($S1733&lt;&gt;"Có","SĐT sai định dạng; ","")&amp;IF($R1733="Trùng","Trùng SĐT; ","")&amp;IF($Q1733&lt;&gt;"Có","Thiếu đồng ý bắt buộc; ","")&amp;IF($L1733="","Thiếu/sai Mã REF; ",IF(AND($L1733="Chưa xác định",DANH_MUC!$L$9&lt;&gt;"Có"),"Nguồn chưa xác định; ","")))</f>
        <v/>
      </c>
      <c r="V1733" s="22">
        <f>IF(OR($D1733="",$R1733="Trùng"),"",IF(COUNTIF(ORDERS!$C$2:$C$4995,$D1733)&gt;0,"Có","Không"))</f>
        <v/>
      </c>
      <c r="W1733" s="22">
        <f>IF(OR($D1733="",$R1733="Trùng"),"",COUNTIFS(ORDERS!$C$2:$C$4995,$D1733,ORDERS!$L$2:$L$4995,"Đã chuyển khoản"))</f>
        <v/>
      </c>
      <c r="X1733" s="23">
        <f>IF(OR($D1733="",$R1733="Trùng"),"",SUMIFS(ORDERS!$J$2:$J$4995,ORDERS!$C$2:$C$4995,$D1733,ORDERS!$L$2:$L$4995,"Đã chuyển khoản"))</f>
        <v/>
      </c>
      <c r="Y1733" s="24" t="n"/>
    </row>
    <row r="1734" ht="14.25" customHeight="1" s="40">
      <c r="A1734" s="24" t="n"/>
      <c r="B1734" s="27" t="n"/>
      <c r="C1734" s="24" t="n"/>
      <c r="D1734" s="28" t="n"/>
      <c r="E1734" s="29" t="n"/>
      <c r="F1734" s="24" t="n"/>
      <c r="G1734" s="24" t="n"/>
      <c r="H1734" s="21">
        <f>IF(ISNUMBER($B1734),INT($B1734)-WEEKDAY($B1734,2)+1,"")</f>
        <v/>
      </c>
      <c r="I1734" s="24" t="n"/>
      <c r="J1734" s="22">
        <f t="array" ref="J1734">IF($D1734="","",IF($I1734="","(trống REF)",IFERROR(INDEX(MASTER_SOURCE!$B$2:$B$495,MATCH($I1734,MASTER_SOURCE!$A$2:$A$495,0)),"(REF không có trong MASTER_SOURCE)")))</f>
        <v/>
      </c>
      <c r="K1734" s="22">
        <f t="array" ref="K1734">IF($D1734="","",IFERROR(INDEX(MASTER_SOURCE!$C$2:$C$495,MATCH($I1734,MASTER_SOURCE!$A$2:$A$495,0)),""))</f>
        <v/>
      </c>
      <c r="L1734" s="22">
        <f t="array" ref="L1734">IF($D1734="","",IFERROR(INDEX(MASTER_SOURCE!$D$2:$D$495,MATCH($I1734,MASTER_SOURCE!$A$2:$A$495,0)),""))</f>
        <v/>
      </c>
      <c r="M1734" s="24" t="n"/>
      <c r="N1734" s="24" t="n"/>
      <c r="O1734" s="24" t="n"/>
      <c r="P1734" s="24" t="n"/>
      <c r="Q1734" s="22">
        <f>IF($D1734="","",IF(AND(OR(DANH_MUC!$L$5&lt;&gt;"Có",M1734="Có"),OR(DANH_MUC!$L$6&lt;&gt;"Có",N1734="Có"),OR(DANH_MUC!$L$7&lt;&gt;"Có",O1734="Có"),OR(DANH_MUC!$L$8&lt;&gt;"Có",P1734="Có")),"Có","Không"))</f>
        <v/>
      </c>
      <c r="R1734" s="22">
        <f>IF($D1734="","",IF(COUNTIF($D$2:$D1734,$D1734)&gt;1,"Trùng",""))</f>
        <v/>
      </c>
      <c r="S1734" s="22">
        <f>IF($D1734="","",IF(AND(LEN($D1734)=10,LEFT($D1734,1)="0",ISNUMBER(--$D1734)),"Có","Không"))</f>
        <v/>
      </c>
      <c r="T1734" s="22">
        <f>IF($D1734="","",IF(AND($C1734&lt;&gt;"",$Q1734="Có",$R1734="",$S1734="Có",AND($L1734&lt;&gt;"",OR($L1734&lt;&gt;"Chưa xác định",DANH_MUC!$L$9="Có"))),"Có","Không"))</f>
        <v/>
      </c>
      <c r="U1734" s="22">
        <f>IF(OR($D1734="",$T1734="Có"),"",IF($C1734="","Thiếu họ tên; ","")&amp;IF($S1734&lt;&gt;"Có","SĐT sai định dạng; ","")&amp;IF($R1734="Trùng","Trùng SĐT; ","")&amp;IF($Q1734&lt;&gt;"Có","Thiếu đồng ý bắt buộc; ","")&amp;IF($L1734="","Thiếu/sai Mã REF; ",IF(AND($L1734="Chưa xác định",DANH_MUC!$L$9&lt;&gt;"Có"),"Nguồn chưa xác định; ","")))</f>
        <v/>
      </c>
      <c r="V1734" s="22">
        <f>IF(OR($D1734="",$R1734="Trùng"),"",IF(COUNTIF(ORDERS!$C$2:$C$4995,$D1734)&gt;0,"Có","Không"))</f>
        <v/>
      </c>
      <c r="W1734" s="22">
        <f>IF(OR($D1734="",$R1734="Trùng"),"",COUNTIFS(ORDERS!$C$2:$C$4995,$D1734,ORDERS!$L$2:$L$4995,"Đã chuyển khoản"))</f>
        <v/>
      </c>
      <c r="X1734" s="23">
        <f>IF(OR($D1734="",$R1734="Trùng"),"",SUMIFS(ORDERS!$J$2:$J$4995,ORDERS!$C$2:$C$4995,$D1734,ORDERS!$L$2:$L$4995,"Đã chuyển khoản"))</f>
        <v/>
      </c>
      <c r="Y1734" s="24" t="n"/>
    </row>
    <row r="1735" ht="14.25" customHeight="1" s="40">
      <c r="A1735" s="24" t="n"/>
      <c r="B1735" s="27" t="n"/>
      <c r="C1735" s="24" t="n"/>
      <c r="D1735" s="28" t="n"/>
      <c r="E1735" s="29" t="n"/>
      <c r="F1735" s="24" t="n"/>
      <c r="G1735" s="24" t="n"/>
      <c r="H1735" s="21">
        <f>IF(ISNUMBER($B1735),INT($B1735)-WEEKDAY($B1735,2)+1,"")</f>
        <v/>
      </c>
      <c r="I1735" s="24" t="n"/>
      <c r="J1735" s="22">
        <f t="array" ref="J1735">IF($D1735="","",IF($I1735="","(trống REF)",IFERROR(INDEX(MASTER_SOURCE!$B$2:$B$495,MATCH($I1735,MASTER_SOURCE!$A$2:$A$495,0)),"(REF không có trong MASTER_SOURCE)")))</f>
        <v/>
      </c>
      <c r="K1735" s="22">
        <f t="array" ref="K1735">IF($D1735="","",IFERROR(INDEX(MASTER_SOURCE!$C$2:$C$495,MATCH($I1735,MASTER_SOURCE!$A$2:$A$495,0)),""))</f>
        <v/>
      </c>
      <c r="L1735" s="22">
        <f t="array" ref="L1735">IF($D1735="","",IFERROR(INDEX(MASTER_SOURCE!$D$2:$D$495,MATCH($I1735,MASTER_SOURCE!$A$2:$A$495,0)),""))</f>
        <v/>
      </c>
      <c r="M1735" s="24" t="n"/>
      <c r="N1735" s="24" t="n"/>
      <c r="O1735" s="24" t="n"/>
      <c r="P1735" s="24" t="n"/>
      <c r="Q1735" s="22">
        <f>IF($D1735="","",IF(AND(OR(DANH_MUC!$L$5&lt;&gt;"Có",M1735="Có"),OR(DANH_MUC!$L$6&lt;&gt;"Có",N1735="Có"),OR(DANH_MUC!$L$7&lt;&gt;"Có",O1735="Có"),OR(DANH_MUC!$L$8&lt;&gt;"Có",P1735="Có")),"Có","Không"))</f>
        <v/>
      </c>
      <c r="R1735" s="22">
        <f>IF($D1735="","",IF(COUNTIF($D$2:$D1735,$D1735)&gt;1,"Trùng",""))</f>
        <v/>
      </c>
      <c r="S1735" s="22">
        <f>IF($D1735="","",IF(AND(LEN($D1735)=10,LEFT($D1735,1)="0",ISNUMBER(--$D1735)),"Có","Không"))</f>
        <v/>
      </c>
      <c r="T1735" s="22">
        <f>IF($D1735="","",IF(AND($C1735&lt;&gt;"",$Q1735="Có",$R1735="",$S1735="Có",AND($L1735&lt;&gt;"",OR($L1735&lt;&gt;"Chưa xác định",DANH_MUC!$L$9="Có"))),"Có","Không"))</f>
        <v/>
      </c>
      <c r="U1735" s="22">
        <f>IF(OR($D1735="",$T1735="Có"),"",IF($C1735="","Thiếu họ tên; ","")&amp;IF($S1735&lt;&gt;"Có","SĐT sai định dạng; ","")&amp;IF($R1735="Trùng","Trùng SĐT; ","")&amp;IF($Q1735&lt;&gt;"Có","Thiếu đồng ý bắt buộc; ","")&amp;IF($L1735="","Thiếu/sai Mã REF; ",IF(AND($L1735="Chưa xác định",DANH_MUC!$L$9&lt;&gt;"Có"),"Nguồn chưa xác định; ","")))</f>
        <v/>
      </c>
      <c r="V1735" s="22">
        <f>IF(OR($D1735="",$R1735="Trùng"),"",IF(COUNTIF(ORDERS!$C$2:$C$4995,$D1735)&gt;0,"Có","Không"))</f>
        <v/>
      </c>
      <c r="W1735" s="22">
        <f>IF(OR($D1735="",$R1735="Trùng"),"",COUNTIFS(ORDERS!$C$2:$C$4995,$D1735,ORDERS!$L$2:$L$4995,"Đã chuyển khoản"))</f>
        <v/>
      </c>
      <c r="X1735" s="23">
        <f>IF(OR($D1735="",$R1735="Trùng"),"",SUMIFS(ORDERS!$J$2:$J$4995,ORDERS!$C$2:$C$4995,$D1735,ORDERS!$L$2:$L$4995,"Đã chuyển khoản"))</f>
        <v/>
      </c>
      <c r="Y1735" s="24" t="n"/>
    </row>
    <row r="1736" ht="14.25" customHeight="1" s="40">
      <c r="A1736" s="24" t="n"/>
      <c r="B1736" s="27" t="n"/>
      <c r="C1736" s="24" t="n"/>
      <c r="D1736" s="28" t="n"/>
      <c r="E1736" s="29" t="n"/>
      <c r="F1736" s="24" t="n"/>
      <c r="G1736" s="24" t="n"/>
      <c r="H1736" s="21">
        <f>IF(ISNUMBER($B1736),INT($B1736)-WEEKDAY($B1736,2)+1,"")</f>
        <v/>
      </c>
      <c r="I1736" s="24" t="n"/>
      <c r="J1736" s="22">
        <f t="array" ref="J1736">IF($D1736="","",IF($I1736="","(trống REF)",IFERROR(INDEX(MASTER_SOURCE!$B$2:$B$495,MATCH($I1736,MASTER_SOURCE!$A$2:$A$495,0)),"(REF không có trong MASTER_SOURCE)")))</f>
        <v/>
      </c>
      <c r="K1736" s="22">
        <f t="array" ref="K1736">IF($D1736="","",IFERROR(INDEX(MASTER_SOURCE!$C$2:$C$495,MATCH($I1736,MASTER_SOURCE!$A$2:$A$495,0)),""))</f>
        <v/>
      </c>
      <c r="L1736" s="22">
        <f t="array" ref="L1736">IF($D1736="","",IFERROR(INDEX(MASTER_SOURCE!$D$2:$D$495,MATCH($I1736,MASTER_SOURCE!$A$2:$A$495,0)),""))</f>
        <v/>
      </c>
      <c r="M1736" s="24" t="n"/>
      <c r="N1736" s="24" t="n"/>
      <c r="O1736" s="24" t="n"/>
      <c r="P1736" s="24" t="n"/>
      <c r="Q1736" s="22">
        <f>IF($D1736="","",IF(AND(OR(DANH_MUC!$L$5&lt;&gt;"Có",M1736="Có"),OR(DANH_MUC!$L$6&lt;&gt;"Có",N1736="Có"),OR(DANH_MUC!$L$7&lt;&gt;"Có",O1736="Có"),OR(DANH_MUC!$L$8&lt;&gt;"Có",P1736="Có")),"Có","Không"))</f>
        <v/>
      </c>
      <c r="R1736" s="22">
        <f>IF($D1736="","",IF(COUNTIF($D$2:$D1736,$D1736)&gt;1,"Trùng",""))</f>
        <v/>
      </c>
      <c r="S1736" s="22">
        <f>IF($D1736="","",IF(AND(LEN($D1736)=10,LEFT($D1736,1)="0",ISNUMBER(--$D1736)),"Có","Không"))</f>
        <v/>
      </c>
      <c r="T1736" s="22">
        <f>IF($D1736="","",IF(AND($C1736&lt;&gt;"",$Q1736="Có",$R1736="",$S1736="Có",AND($L1736&lt;&gt;"",OR($L1736&lt;&gt;"Chưa xác định",DANH_MUC!$L$9="Có"))),"Có","Không"))</f>
        <v/>
      </c>
      <c r="U1736" s="22">
        <f>IF(OR($D1736="",$T1736="Có"),"",IF($C1736="","Thiếu họ tên; ","")&amp;IF($S1736&lt;&gt;"Có","SĐT sai định dạng; ","")&amp;IF($R1736="Trùng","Trùng SĐT; ","")&amp;IF($Q1736&lt;&gt;"Có","Thiếu đồng ý bắt buộc; ","")&amp;IF($L1736="","Thiếu/sai Mã REF; ",IF(AND($L1736="Chưa xác định",DANH_MUC!$L$9&lt;&gt;"Có"),"Nguồn chưa xác định; ","")))</f>
        <v/>
      </c>
      <c r="V1736" s="22">
        <f>IF(OR($D1736="",$R1736="Trùng"),"",IF(COUNTIF(ORDERS!$C$2:$C$4995,$D1736)&gt;0,"Có","Không"))</f>
        <v/>
      </c>
      <c r="W1736" s="22">
        <f>IF(OR($D1736="",$R1736="Trùng"),"",COUNTIFS(ORDERS!$C$2:$C$4995,$D1736,ORDERS!$L$2:$L$4995,"Đã chuyển khoản"))</f>
        <v/>
      </c>
      <c r="X1736" s="23">
        <f>IF(OR($D1736="",$R1736="Trùng"),"",SUMIFS(ORDERS!$J$2:$J$4995,ORDERS!$C$2:$C$4995,$D1736,ORDERS!$L$2:$L$4995,"Đã chuyển khoản"))</f>
        <v/>
      </c>
      <c r="Y1736" s="24" t="n"/>
    </row>
    <row r="1737" ht="14.25" customHeight="1" s="40">
      <c r="A1737" s="24" t="n"/>
      <c r="B1737" s="27" t="n"/>
      <c r="C1737" s="24" t="n"/>
      <c r="D1737" s="28" t="n"/>
      <c r="E1737" s="29" t="n"/>
      <c r="F1737" s="24" t="n"/>
      <c r="G1737" s="24" t="n"/>
      <c r="H1737" s="21">
        <f>IF(ISNUMBER($B1737),INT($B1737)-WEEKDAY($B1737,2)+1,"")</f>
        <v/>
      </c>
      <c r="I1737" s="24" t="n"/>
      <c r="J1737" s="22">
        <f t="array" ref="J1737">IF($D1737="","",IF($I1737="","(trống REF)",IFERROR(INDEX(MASTER_SOURCE!$B$2:$B$495,MATCH($I1737,MASTER_SOURCE!$A$2:$A$495,0)),"(REF không có trong MASTER_SOURCE)")))</f>
        <v/>
      </c>
      <c r="K1737" s="22">
        <f t="array" ref="K1737">IF($D1737="","",IFERROR(INDEX(MASTER_SOURCE!$C$2:$C$495,MATCH($I1737,MASTER_SOURCE!$A$2:$A$495,0)),""))</f>
        <v/>
      </c>
      <c r="L1737" s="22">
        <f t="array" ref="L1737">IF($D1737="","",IFERROR(INDEX(MASTER_SOURCE!$D$2:$D$495,MATCH($I1737,MASTER_SOURCE!$A$2:$A$495,0)),""))</f>
        <v/>
      </c>
      <c r="M1737" s="24" t="n"/>
      <c r="N1737" s="24" t="n"/>
      <c r="O1737" s="24" t="n"/>
      <c r="P1737" s="24" t="n"/>
      <c r="Q1737" s="22">
        <f>IF($D1737="","",IF(AND(OR(DANH_MUC!$L$5&lt;&gt;"Có",M1737="Có"),OR(DANH_MUC!$L$6&lt;&gt;"Có",N1737="Có"),OR(DANH_MUC!$L$7&lt;&gt;"Có",O1737="Có"),OR(DANH_MUC!$L$8&lt;&gt;"Có",P1737="Có")),"Có","Không"))</f>
        <v/>
      </c>
      <c r="R1737" s="22">
        <f>IF($D1737="","",IF(COUNTIF($D$2:$D1737,$D1737)&gt;1,"Trùng",""))</f>
        <v/>
      </c>
      <c r="S1737" s="22">
        <f>IF($D1737="","",IF(AND(LEN($D1737)=10,LEFT($D1737,1)="0",ISNUMBER(--$D1737)),"Có","Không"))</f>
        <v/>
      </c>
      <c r="T1737" s="22">
        <f>IF($D1737="","",IF(AND($C1737&lt;&gt;"",$Q1737="Có",$R1737="",$S1737="Có",AND($L1737&lt;&gt;"",OR($L1737&lt;&gt;"Chưa xác định",DANH_MUC!$L$9="Có"))),"Có","Không"))</f>
        <v/>
      </c>
      <c r="U1737" s="22">
        <f>IF(OR($D1737="",$T1737="Có"),"",IF($C1737="","Thiếu họ tên; ","")&amp;IF($S1737&lt;&gt;"Có","SĐT sai định dạng; ","")&amp;IF($R1737="Trùng","Trùng SĐT; ","")&amp;IF($Q1737&lt;&gt;"Có","Thiếu đồng ý bắt buộc; ","")&amp;IF($L1737="","Thiếu/sai Mã REF; ",IF(AND($L1737="Chưa xác định",DANH_MUC!$L$9&lt;&gt;"Có"),"Nguồn chưa xác định; ","")))</f>
        <v/>
      </c>
      <c r="V1737" s="22">
        <f>IF(OR($D1737="",$R1737="Trùng"),"",IF(COUNTIF(ORDERS!$C$2:$C$4995,$D1737)&gt;0,"Có","Không"))</f>
        <v/>
      </c>
      <c r="W1737" s="22">
        <f>IF(OR($D1737="",$R1737="Trùng"),"",COUNTIFS(ORDERS!$C$2:$C$4995,$D1737,ORDERS!$L$2:$L$4995,"Đã chuyển khoản"))</f>
        <v/>
      </c>
      <c r="X1737" s="23">
        <f>IF(OR($D1737="",$R1737="Trùng"),"",SUMIFS(ORDERS!$J$2:$J$4995,ORDERS!$C$2:$C$4995,$D1737,ORDERS!$L$2:$L$4995,"Đã chuyển khoản"))</f>
        <v/>
      </c>
      <c r="Y1737" s="24" t="n"/>
    </row>
    <row r="1738" ht="14.25" customHeight="1" s="40">
      <c r="A1738" s="24" t="n"/>
      <c r="B1738" s="27" t="n"/>
      <c r="C1738" s="24" t="n"/>
      <c r="D1738" s="28" t="n"/>
      <c r="E1738" s="29" t="n"/>
      <c r="F1738" s="24" t="n"/>
      <c r="G1738" s="24" t="n"/>
      <c r="H1738" s="21">
        <f>IF(ISNUMBER($B1738),INT($B1738)-WEEKDAY($B1738,2)+1,"")</f>
        <v/>
      </c>
      <c r="I1738" s="24" t="n"/>
      <c r="J1738" s="22">
        <f t="array" ref="J1738">IF($D1738="","",IF($I1738="","(trống REF)",IFERROR(INDEX(MASTER_SOURCE!$B$2:$B$495,MATCH($I1738,MASTER_SOURCE!$A$2:$A$495,0)),"(REF không có trong MASTER_SOURCE)")))</f>
        <v/>
      </c>
      <c r="K1738" s="22">
        <f t="array" ref="K1738">IF($D1738="","",IFERROR(INDEX(MASTER_SOURCE!$C$2:$C$495,MATCH($I1738,MASTER_SOURCE!$A$2:$A$495,0)),""))</f>
        <v/>
      </c>
      <c r="L1738" s="22">
        <f t="array" ref="L1738">IF($D1738="","",IFERROR(INDEX(MASTER_SOURCE!$D$2:$D$495,MATCH($I1738,MASTER_SOURCE!$A$2:$A$495,0)),""))</f>
        <v/>
      </c>
      <c r="M1738" s="24" t="n"/>
      <c r="N1738" s="24" t="n"/>
      <c r="O1738" s="24" t="n"/>
      <c r="P1738" s="24" t="n"/>
      <c r="Q1738" s="22">
        <f>IF($D1738="","",IF(AND(OR(DANH_MUC!$L$5&lt;&gt;"Có",M1738="Có"),OR(DANH_MUC!$L$6&lt;&gt;"Có",N1738="Có"),OR(DANH_MUC!$L$7&lt;&gt;"Có",O1738="Có"),OR(DANH_MUC!$L$8&lt;&gt;"Có",P1738="Có")),"Có","Không"))</f>
        <v/>
      </c>
      <c r="R1738" s="22">
        <f>IF($D1738="","",IF(COUNTIF($D$2:$D1738,$D1738)&gt;1,"Trùng",""))</f>
        <v/>
      </c>
      <c r="S1738" s="22">
        <f>IF($D1738="","",IF(AND(LEN($D1738)=10,LEFT($D1738,1)="0",ISNUMBER(--$D1738)),"Có","Không"))</f>
        <v/>
      </c>
      <c r="T1738" s="22">
        <f>IF($D1738="","",IF(AND($C1738&lt;&gt;"",$Q1738="Có",$R1738="",$S1738="Có",AND($L1738&lt;&gt;"",OR($L1738&lt;&gt;"Chưa xác định",DANH_MUC!$L$9="Có"))),"Có","Không"))</f>
        <v/>
      </c>
      <c r="U1738" s="22">
        <f>IF(OR($D1738="",$T1738="Có"),"",IF($C1738="","Thiếu họ tên; ","")&amp;IF($S1738&lt;&gt;"Có","SĐT sai định dạng; ","")&amp;IF($R1738="Trùng","Trùng SĐT; ","")&amp;IF($Q1738&lt;&gt;"Có","Thiếu đồng ý bắt buộc; ","")&amp;IF($L1738="","Thiếu/sai Mã REF; ",IF(AND($L1738="Chưa xác định",DANH_MUC!$L$9&lt;&gt;"Có"),"Nguồn chưa xác định; ","")))</f>
        <v/>
      </c>
      <c r="V1738" s="22">
        <f>IF(OR($D1738="",$R1738="Trùng"),"",IF(COUNTIF(ORDERS!$C$2:$C$4995,$D1738)&gt;0,"Có","Không"))</f>
        <v/>
      </c>
      <c r="W1738" s="22">
        <f>IF(OR($D1738="",$R1738="Trùng"),"",COUNTIFS(ORDERS!$C$2:$C$4995,$D1738,ORDERS!$L$2:$L$4995,"Đã chuyển khoản"))</f>
        <v/>
      </c>
      <c r="X1738" s="23">
        <f>IF(OR($D1738="",$R1738="Trùng"),"",SUMIFS(ORDERS!$J$2:$J$4995,ORDERS!$C$2:$C$4995,$D1738,ORDERS!$L$2:$L$4995,"Đã chuyển khoản"))</f>
        <v/>
      </c>
      <c r="Y1738" s="24" t="n"/>
    </row>
    <row r="1739" ht="14.25" customHeight="1" s="40">
      <c r="A1739" s="24" t="n"/>
      <c r="B1739" s="27" t="n"/>
      <c r="C1739" s="24" t="n"/>
      <c r="D1739" s="28" t="n"/>
      <c r="E1739" s="29" t="n"/>
      <c r="F1739" s="24" t="n"/>
      <c r="G1739" s="24" t="n"/>
      <c r="H1739" s="21">
        <f>IF(ISNUMBER($B1739),INT($B1739)-WEEKDAY($B1739,2)+1,"")</f>
        <v/>
      </c>
      <c r="I1739" s="24" t="n"/>
      <c r="J1739" s="22">
        <f t="array" ref="J1739">IF($D1739="","",IF($I1739="","(trống REF)",IFERROR(INDEX(MASTER_SOURCE!$B$2:$B$495,MATCH($I1739,MASTER_SOURCE!$A$2:$A$495,0)),"(REF không có trong MASTER_SOURCE)")))</f>
        <v/>
      </c>
      <c r="K1739" s="22">
        <f t="array" ref="K1739">IF($D1739="","",IFERROR(INDEX(MASTER_SOURCE!$C$2:$C$495,MATCH($I1739,MASTER_SOURCE!$A$2:$A$495,0)),""))</f>
        <v/>
      </c>
      <c r="L1739" s="22">
        <f t="array" ref="L1739">IF($D1739="","",IFERROR(INDEX(MASTER_SOURCE!$D$2:$D$495,MATCH($I1739,MASTER_SOURCE!$A$2:$A$495,0)),""))</f>
        <v/>
      </c>
      <c r="M1739" s="24" t="n"/>
      <c r="N1739" s="24" t="n"/>
      <c r="O1739" s="24" t="n"/>
      <c r="P1739" s="24" t="n"/>
      <c r="Q1739" s="22">
        <f>IF($D1739="","",IF(AND(OR(DANH_MUC!$L$5&lt;&gt;"Có",M1739="Có"),OR(DANH_MUC!$L$6&lt;&gt;"Có",N1739="Có"),OR(DANH_MUC!$L$7&lt;&gt;"Có",O1739="Có"),OR(DANH_MUC!$L$8&lt;&gt;"Có",P1739="Có")),"Có","Không"))</f>
        <v/>
      </c>
      <c r="R1739" s="22">
        <f>IF($D1739="","",IF(COUNTIF($D$2:$D1739,$D1739)&gt;1,"Trùng",""))</f>
        <v/>
      </c>
      <c r="S1739" s="22">
        <f>IF($D1739="","",IF(AND(LEN($D1739)=10,LEFT($D1739,1)="0",ISNUMBER(--$D1739)),"Có","Không"))</f>
        <v/>
      </c>
      <c r="T1739" s="22">
        <f>IF($D1739="","",IF(AND($C1739&lt;&gt;"",$Q1739="Có",$R1739="",$S1739="Có",AND($L1739&lt;&gt;"",OR($L1739&lt;&gt;"Chưa xác định",DANH_MUC!$L$9="Có"))),"Có","Không"))</f>
        <v/>
      </c>
      <c r="U1739" s="22">
        <f>IF(OR($D1739="",$T1739="Có"),"",IF($C1739="","Thiếu họ tên; ","")&amp;IF($S1739&lt;&gt;"Có","SĐT sai định dạng; ","")&amp;IF($R1739="Trùng","Trùng SĐT; ","")&amp;IF($Q1739&lt;&gt;"Có","Thiếu đồng ý bắt buộc; ","")&amp;IF($L1739="","Thiếu/sai Mã REF; ",IF(AND($L1739="Chưa xác định",DANH_MUC!$L$9&lt;&gt;"Có"),"Nguồn chưa xác định; ","")))</f>
        <v/>
      </c>
      <c r="V1739" s="22">
        <f>IF(OR($D1739="",$R1739="Trùng"),"",IF(COUNTIF(ORDERS!$C$2:$C$4995,$D1739)&gt;0,"Có","Không"))</f>
        <v/>
      </c>
      <c r="W1739" s="22">
        <f>IF(OR($D1739="",$R1739="Trùng"),"",COUNTIFS(ORDERS!$C$2:$C$4995,$D1739,ORDERS!$L$2:$L$4995,"Đã chuyển khoản"))</f>
        <v/>
      </c>
      <c r="X1739" s="23">
        <f>IF(OR($D1739="",$R1739="Trùng"),"",SUMIFS(ORDERS!$J$2:$J$4995,ORDERS!$C$2:$C$4995,$D1739,ORDERS!$L$2:$L$4995,"Đã chuyển khoản"))</f>
        <v/>
      </c>
      <c r="Y1739" s="24" t="n"/>
    </row>
    <row r="1740" ht="14.25" customHeight="1" s="40">
      <c r="A1740" s="24" t="n"/>
      <c r="B1740" s="27" t="n"/>
      <c r="C1740" s="24" t="n"/>
      <c r="D1740" s="28" t="n"/>
      <c r="E1740" s="29" t="n"/>
      <c r="F1740" s="24" t="n"/>
      <c r="G1740" s="24" t="n"/>
      <c r="H1740" s="21">
        <f>IF(ISNUMBER($B1740),INT($B1740)-WEEKDAY($B1740,2)+1,"")</f>
        <v/>
      </c>
      <c r="I1740" s="24" t="n"/>
      <c r="J1740" s="22">
        <f t="array" ref="J1740">IF($D1740="","",IF($I1740="","(trống REF)",IFERROR(INDEX(MASTER_SOURCE!$B$2:$B$495,MATCH($I1740,MASTER_SOURCE!$A$2:$A$495,0)),"(REF không có trong MASTER_SOURCE)")))</f>
        <v/>
      </c>
      <c r="K1740" s="22">
        <f t="array" ref="K1740">IF($D1740="","",IFERROR(INDEX(MASTER_SOURCE!$C$2:$C$495,MATCH($I1740,MASTER_SOURCE!$A$2:$A$495,0)),""))</f>
        <v/>
      </c>
      <c r="L1740" s="22">
        <f t="array" ref="L1740">IF($D1740="","",IFERROR(INDEX(MASTER_SOURCE!$D$2:$D$495,MATCH($I1740,MASTER_SOURCE!$A$2:$A$495,0)),""))</f>
        <v/>
      </c>
      <c r="M1740" s="24" t="n"/>
      <c r="N1740" s="24" t="n"/>
      <c r="O1740" s="24" t="n"/>
      <c r="P1740" s="24" t="n"/>
      <c r="Q1740" s="22">
        <f>IF($D1740="","",IF(AND(OR(DANH_MUC!$L$5&lt;&gt;"Có",M1740="Có"),OR(DANH_MUC!$L$6&lt;&gt;"Có",N1740="Có"),OR(DANH_MUC!$L$7&lt;&gt;"Có",O1740="Có"),OR(DANH_MUC!$L$8&lt;&gt;"Có",P1740="Có")),"Có","Không"))</f>
        <v/>
      </c>
      <c r="R1740" s="22">
        <f>IF($D1740="","",IF(COUNTIF($D$2:$D1740,$D1740)&gt;1,"Trùng",""))</f>
        <v/>
      </c>
      <c r="S1740" s="22">
        <f>IF($D1740="","",IF(AND(LEN($D1740)=10,LEFT($D1740,1)="0",ISNUMBER(--$D1740)),"Có","Không"))</f>
        <v/>
      </c>
      <c r="T1740" s="22">
        <f>IF($D1740="","",IF(AND($C1740&lt;&gt;"",$Q1740="Có",$R1740="",$S1740="Có",AND($L1740&lt;&gt;"",OR($L1740&lt;&gt;"Chưa xác định",DANH_MUC!$L$9="Có"))),"Có","Không"))</f>
        <v/>
      </c>
      <c r="U1740" s="22">
        <f>IF(OR($D1740="",$T1740="Có"),"",IF($C1740="","Thiếu họ tên; ","")&amp;IF($S1740&lt;&gt;"Có","SĐT sai định dạng; ","")&amp;IF($R1740="Trùng","Trùng SĐT; ","")&amp;IF($Q1740&lt;&gt;"Có","Thiếu đồng ý bắt buộc; ","")&amp;IF($L1740="","Thiếu/sai Mã REF; ",IF(AND($L1740="Chưa xác định",DANH_MUC!$L$9&lt;&gt;"Có"),"Nguồn chưa xác định; ","")))</f>
        <v/>
      </c>
      <c r="V1740" s="22">
        <f>IF(OR($D1740="",$R1740="Trùng"),"",IF(COUNTIF(ORDERS!$C$2:$C$4995,$D1740)&gt;0,"Có","Không"))</f>
        <v/>
      </c>
      <c r="W1740" s="22">
        <f>IF(OR($D1740="",$R1740="Trùng"),"",COUNTIFS(ORDERS!$C$2:$C$4995,$D1740,ORDERS!$L$2:$L$4995,"Đã chuyển khoản"))</f>
        <v/>
      </c>
      <c r="X1740" s="23">
        <f>IF(OR($D1740="",$R1740="Trùng"),"",SUMIFS(ORDERS!$J$2:$J$4995,ORDERS!$C$2:$C$4995,$D1740,ORDERS!$L$2:$L$4995,"Đã chuyển khoản"))</f>
        <v/>
      </c>
      <c r="Y1740" s="24" t="n"/>
    </row>
    <row r="1741" ht="14.25" customHeight="1" s="40">
      <c r="A1741" s="24" t="n"/>
      <c r="B1741" s="27" t="n"/>
      <c r="C1741" s="24" t="n"/>
      <c r="D1741" s="28" t="n"/>
      <c r="E1741" s="29" t="n"/>
      <c r="F1741" s="24" t="n"/>
      <c r="G1741" s="24" t="n"/>
      <c r="H1741" s="21">
        <f>IF(ISNUMBER($B1741),INT($B1741)-WEEKDAY($B1741,2)+1,"")</f>
        <v/>
      </c>
      <c r="I1741" s="24" t="n"/>
      <c r="J1741" s="22">
        <f t="array" ref="J1741">IF($D1741="","",IF($I1741="","(trống REF)",IFERROR(INDEX(MASTER_SOURCE!$B$2:$B$495,MATCH($I1741,MASTER_SOURCE!$A$2:$A$495,0)),"(REF không có trong MASTER_SOURCE)")))</f>
        <v/>
      </c>
      <c r="K1741" s="22">
        <f t="array" ref="K1741">IF($D1741="","",IFERROR(INDEX(MASTER_SOURCE!$C$2:$C$495,MATCH($I1741,MASTER_SOURCE!$A$2:$A$495,0)),""))</f>
        <v/>
      </c>
      <c r="L1741" s="22">
        <f t="array" ref="L1741">IF($D1741="","",IFERROR(INDEX(MASTER_SOURCE!$D$2:$D$495,MATCH($I1741,MASTER_SOURCE!$A$2:$A$495,0)),""))</f>
        <v/>
      </c>
      <c r="M1741" s="24" t="n"/>
      <c r="N1741" s="24" t="n"/>
      <c r="O1741" s="24" t="n"/>
      <c r="P1741" s="24" t="n"/>
      <c r="Q1741" s="22">
        <f>IF($D1741="","",IF(AND(OR(DANH_MUC!$L$5&lt;&gt;"Có",M1741="Có"),OR(DANH_MUC!$L$6&lt;&gt;"Có",N1741="Có"),OR(DANH_MUC!$L$7&lt;&gt;"Có",O1741="Có"),OR(DANH_MUC!$L$8&lt;&gt;"Có",P1741="Có")),"Có","Không"))</f>
        <v/>
      </c>
      <c r="R1741" s="22">
        <f>IF($D1741="","",IF(COUNTIF($D$2:$D1741,$D1741)&gt;1,"Trùng",""))</f>
        <v/>
      </c>
      <c r="S1741" s="22">
        <f>IF($D1741="","",IF(AND(LEN($D1741)=10,LEFT($D1741,1)="0",ISNUMBER(--$D1741)),"Có","Không"))</f>
        <v/>
      </c>
      <c r="T1741" s="22">
        <f>IF($D1741="","",IF(AND($C1741&lt;&gt;"",$Q1741="Có",$R1741="",$S1741="Có",AND($L1741&lt;&gt;"",OR($L1741&lt;&gt;"Chưa xác định",DANH_MUC!$L$9="Có"))),"Có","Không"))</f>
        <v/>
      </c>
      <c r="U1741" s="22">
        <f>IF(OR($D1741="",$T1741="Có"),"",IF($C1741="","Thiếu họ tên; ","")&amp;IF($S1741&lt;&gt;"Có","SĐT sai định dạng; ","")&amp;IF($R1741="Trùng","Trùng SĐT; ","")&amp;IF($Q1741&lt;&gt;"Có","Thiếu đồng ý bắt buộc; ","")&amp;IF($L1741="","Thiếu/sai Mã REF; ",IF(AND($L1741="Chưa xác định",DANH_MUC!$L$9&lt;&gt;"Có"),"Nguồn chưa xác định; ","")))</f>
        <v/>
      </c>
      <c r="V1741" s="22">
        <f>IF(OR($D1741="",$R1741="Trùng"),"",IF(COUNTIF(ORDERS!$C$2:$C$4995,$D1741)&gt;0,"Có","Không"))</f>
        <v/>
      </c>
      <c r="W1741" s="22">
        <f>IF(OR($D1741="",$R1741="Trùng"),"",COUNTIFS(ORDERS!$C$2:$C$4995,$D1741,ORDERS!$L$2:$L$4995,"Đã chuyển khoản"))</f>
        <v/>
      </c>
      <c r="X1741" s="23">
        <f>IF(OR($D1741="",$R1741="Trùng"),"",SUMIFS(ORDERS!$J$2:$J$4995,ORDERS!$C$2:$C$4995,$D1741,ORDERS!$L$2:$L$4995,"Đã chuyển khoản"))</f>
        <v/>
      </c>
      <c r="Y1741" s="24" t="n"/>
    </row>
    <row r="1742" ht="14.25" customHeight="1" s="40">
      <c r="A1742" s="24" t="n"/>
      <c r="B1742" s="27" t="n"/>
      <c r="C1742" s="24" t="n"/>
      <c r="D1742" s="28" t="n"/>
      <c r="E1742" s="29" t="n"/>
      <c r="F1742" s="24" t="n"/>
      <c r="G1742" s="24" t="n"/>
      <c r="H1742" s="21">
        <f>IF(ISNUMBER($B1742),INT($B1742)-WEEKDAY($B1742,2)+1,"")</f>
        <v/>
      </c>
      <c r="I1742" s="24" t="n"/>
      <c r="J1742" s="22">
        <f t="array" ref="J1742">IF($D1742="","",IF($I1742="","(trống REF)",IFERROR(INDEX(MASTER_SOURCE!$B$2:$B$495,MATCH($I1742,MASTER_SOURCE!$A$2:$A$495,0)),"(REF không có trong MASTER_SOURCE)")))</f>
        <v/>
      </c>
      <c r="K1742" s="22">
        <f t="array" ref="K1742">IF($D1742="","",IFERROR(INDEX(MASTER_SOURCE!$C$2:$C$495,MATCH($I1742,MASTER_SOURCE!$A$2:$A$495,0)),""))</f>
        <v/>
      </c>
      <c r="L1742" s="22">
        <f t="array" ref="L1742">IF($D1742="","",IFERROR(INDEX(MASTER_SOURCE!$D$2:$D$495,MATCH($I1742,MASTER_SOURCE!$A$2:$A$495,0)),""))</f>
        <v/>
      </c>
      <c r="M1742" s="24" t="n"/>
      <c r="N1742" s="24" t="n"/>
      <c r="O1742" s="24" t="n"/>
      <c r="P1742" s="24" t="n"/>
      <c r="Q1742" s="22">
        <f>IF($D1742="","",IF(AND(OR(DANH_MUC!$L$5&lt;&gt;"Có",M1742="Có"),OR(DANH_MUC!$L$6&lt;&gt;"Có",N1742="Có"),OR(DANH_MUC!$L$7&lt;&gt;"Có",O1742="Có"),OR(DANH_MUC!$L$8&lt;&gt;"Có",P1742="Có")),"Có","Không"))</f>
        <v/>
      </c>
      <c r="R1742" s="22">
        <f>IF($D1742="","",IF(COUNTIF($D$2:$D1742,$D1742)&gt;1,"Trùng",""))</f>
        <v/>
      </c>
      <c r="S1742" s="22">
        <f>IF($D1742="","",IF(AND(LEN($D1742)=10,LEFT($D1742,1)="0",ISNUMBER(--$D1742)),"Có","Không"))</f>
        <v/>
      </c>
      <c r="T1742" s="22">
        <f>IF($D1742="","",IF(AND($C1742&lt;&gt;"",$Q1742="Có",$R1742="",$S1742="Có",AND($L1742&lt;&gt;"",OR($L1742&lt;&gt;"Chưa xác định",DANH_MUC!$L$9="Có"))),"Có","Không"))</f>
        <v/>
      </c>
      <c r="U1742" s="22">
        <f>IF(OR($D1742="",$T1742="Có"),"",IF($C1742="","Thiếu họ tên; ","")&amp;IF($S1742&lt;&gt;"Có","SĐT sai định dạng; ","")&amp;IF($R1742="Trùng","Trùng SĐT; ","")&amp;IF($Q1742&lt;&gt;"Có","Thiếu đồng ý bắt buộc; ","")&amp;IF($L1742="","Thiếu/sai Mã REF; ",IF(AND($L1742="Chưa xác định",DANH_MUC!$L$9&lt;&gt;"Có"),"Nguồn chưa xác định; ","")))</f>
        <v/>
      </c>
      <c r="V1742" s="22">
        <f>IF(OR($D1742="",$R1742="Trùng"),"",IF(COUNTIF(ORDERS!$C$2:$C$4995,$D1742)&gt;0,"Có","Không"))</f>
        <v/>
      </c>
      <c r="W1742" s="22">
        <f>IF(OR($D1742="",$R1742="Trùng"),"",COUNTIFS(ORDERS!$C$2:$C$4995,$D1742,ORDERS!$L$2:$L$4995,"Đã chuyển khoản"))</f>
        <v/>
      </c>
      <c r="X1742" s="23">
        <f>IF(OR($D1742="",$R1742="Trùng"),"",SUMIFS(ORDERS!$J$2:$J$4995,ORDERS!$C$2:$C$4995,$D1742,ORDERS!$L$2:$L$4995,"Đã chuyển khoản"))</f>
        <v/>
      </c>
      <c r="Y1742" s="24" t="n"/>
    </row>
    <row r="1743" ht="14.25" customHeight="1" s="40">
      <c r="A1743" s="24" t="n"/>
      <c r="B1743" s="27" t="n"/>
      <c r="C1743" s="24" t="n"/>
      <c r="D1743" s="28" t="n"/>
      <c r="E1743" s="29" t="n"/>
      <c r="F1743" s="24" t="n"/>
      <c r="G1743" s="24" t="n"/>
      <c r="H1743" s="21">
        <f>IF(ISNUMBER($B1743),INT($B1743)-WEEKDAY($B1743,2)+1,"")</f>
        <v/>
      </c>
      <c r="I1743" s="24" t="n"/>
      <c r="J1743" s="22">
        <f t="array" ref="J1743">IF($D1743="","",IF($I1743="","(trống REF)",IFERROR(INDEX(MASTER_SOURCE!$B$2:$B$495,MATCH($I1743,MASTER_SOURCE!$A$2:$A$495,0)),"(REF không có trong MASTER_SOURCE)")))</f>
        <v/>
      </c>
      <c r="K1743" s="22">
        <f t="array" ref="K1743">IF($D1743="","",IFERROR(INDEX(MASTER_SOURCE!$C$2:$C$495,MATCH($I1743,MASTER_SOURCE!$A$2:$A$495,0)),""))</f>
        <v/>
      </c>
      <c r="L1743" s="22">
        <f t="array" ref="L1743">IF($D1743="","",IFERROR(INDEX(MASTER_SOURCE!$D$2:$D$495,MATCH($I1743,MASTER_SOURCE!$A$2:$A$495,0)),""))</f>
        <v/>
      </c>
      <c r="M1743" s="24" t="n"/>
      <c r="N1743" s="24" t="n"/>
      <c r="O1743" s="24" t="n"/>
      <c r="P1743" s="24" t="n"/>
      <c r="Q1743" s="22">
        <f>IF($D1743="","",IF(AND(OR(DANH_MUC!$L$5&lt;&gt;"Có",M1743="Có"),OR(DANH_MUC!$L$6&lt;&gt;"Có",N1743="Có"),OR(DANH_MUC!$L$7&lt;&gt;"Có",O1743="Có"),OR(DANH_MUC!$L$8&lt;&gt;"Có",P1743="Có")),"Có","Không"))</f>
        <v/>
      </c>
      <c r="R1743" s="22">
        <f>IF($D1743="","",IF(COUNTIF($D$2:$D1743,$D1743)&gt;1,"Trùng",""))</f>
        <v/>
      </c>
      <c r="S1743" s="22">
        <f>IF($D1743="","",IF(AND(LEN($D1743)=10,LEFT($D1743,1)="0",ISNUMBER(--$D1743)),"Có","Không"))</f>
        <v/>
      </c>
      <c r="T1743" s="22">
        <f>IF($D1743="","",IF(AND($C1743&lt;&gt;"",$Q1743="Có",$R1743="",$S1743="Có",AND($L1743&lt;&gt;"",OR($L1743&lt;&gt;"Chưa xác định",DANH_MUC!$L$9="Có"))),"Có","Không"))</f>
        <v/>
      </c>
      <c r="U1743" s="22">
        <f>IF(OR($D1743="",$T1743="Có"),"",IF($C1743="","Thiếu họ tên; ","")&amp;IF($S1743&lt;&gt;"Có","SĐT sai định dạng; ","")&amp;IF($R1743="Trùng","Trùng SĐT; ","")&amp;IF($Q1743&lt;&gt;"Có","Thiếu đồng ý bắt buộc; ","")&amp;IF($L1743="","Thiếu/sai Mã REF; ",IF(AND($L1743="Chưa xác định",DANH_MUC!$L$9&lt;&gt;"Có"),"Nguồn chưa xác định; ","")))</f>
        <v/>
      </c>
      <c r="V1743" s="22">
        <f>IF(OR($D1743="",$R1743="Trùng"),"",IF(COUNTIF(ORDERS!$C$2:$C$4995,$D1743)&gt;0,"Có","Không"))</f>
        <v/>
      </c>
      <c r="W1743" s="22">
        <f>IF(OR($D1743="",$R1743="Trùng"),"",COUNTIFS(ORDERS!$C$2:$C$4995,$D1743,ORDERS!$L$2:$L$4995,"Đã chuyển khoản"))</f>
        <v/>
      </c>
      <c r="X1743" s="23">
        <f>IF(OR($D1743="",$R1743="Trùng"),"",SUMIFS(ORDERS!$J$2:$J$4995,ORDERS!$C$2:$C$4995,$D1743,ORDERS!$L$2:$L$4995,"Đã chuyển khoản"))</f>
        <v/>
      </c>
      <c r="Y1743" s="24" t="n"/>
    </row>
    <row r="1744" ht="14.25" customHeight="1" s="40">
      <c r="A1744" s="24" t="n"/>
      <c r="B1744" s="27" t="n"/>
      <c r="C1744" s="24" t="n"/>
      <c r="D1744" s="28" t="n"/>
      <c r="E1744" s="29" t="n"/>
      <c r="F1744" s="24" t="n"/>
      <c r="G1744" s="24" t="n"/>
      <c r="H1744" s="21">
        <f>IF(ISNUMBER($B1744),INT($B1744)-WEEKDAY($B1744,2)+1,"")</f>
        <v/>
      </c>
      <c r="I1744" s="24" t="n"/>
      <c r="J1744" s="22">
        <f t="array" ref="J1744">IF($D1744="","",IF($I1744="","(trống REF)",IFERROR(INDEX(MASTER_SOURCE!$B$2:$B$495,MATCH($I1744,MASTER_SOURCE!$A$2:$A$495,0)),"(REF không có trong MASTER_SOURCE)")))</f>
        <v/>
      </c>
      <c r="K1744" s="22">
        <f t="array" ref="K1744">IF($D1744="","",IFERROR(INDEX(MASTER_SOURCE!$C$2:$C$495,MATCH($I1744,MASTER_SOURCE!$A$2:$A$495,0)),""))</f>
        <v/>
      </c>
      <c r="L1744" s="22">
        <f t="array" ref="L1744">IF($D1744="","",IFERROR(INDEX(MASTER_SOURCE!$D$2:$D$495,MATCH($I1744,MASTER_SOURCE!$A$2:$A$495,0)),""))</f>
        <v/>
      </c>
      <c r="M1744" s="24" t="n"/>
      <c r="N1744" s="24" t="n"/>
      <c r="O1744" s="24" t="n"/>
      <c r="P1744" s="24" t="n"/>
      <c r="Q1744" s="22">
        <f>IF($D1744="","",IF(AND(OR(DANH_MUC!$L$5&lt;&gt;"Có",M1744="Có"),OR(DANH_MUC!$L$6&lt;&gt;"Có",N1744="Có"),OR(DANH_MUC!$L$7&lt;&gt;"Có",O1744="Có"),OR(DANH_MUC!$L$8&lt;&gt;"Có",P1744="Có")),"Có","Không"))</f>
        <v/>
      </c>
      <c r="R1744" s="22">
        <f>IF($D1744="","",IF(COUNTIF($D$2:$D1744,$D1744)&gt;1,"Trùng",""))</f>
        <v/>
      </c>
      <c r="S1744" s="22">
        <f>IF($D1744="","",IF(AND(LEN($D1744)=10,LEFT($D1744,1)="0",ISNUMBER(--$D1744)),"Có","Không"))</f>
        <v/>
      </c>
      <c r="T1744" s="22">
        <f>IF($D1744="","",IF(AND($C1744&lt;&gt;"",$Q1744="Có",$R1744="",$S1744="Có",AND($L1744&lt;&gt;"",OR($L1744&lt;&gt;"Chưa xác định",DANH_MUC!$L$9="Có"))),"Có","Không"))</f>
        <v/>
      </c>
      <c r="U1744" s="22">
        <f>IF(OR($D1744="",$T1744="Có"),"",IF($C1744="","Thiếu họ tên; ","")&amp;IF($S1744&lt;&gt;"Có","SĐT sai định dạng; ","")&amp;IF($R1744="Trùng","Trùng SĐT; ","")&amp;IF($Q1744&lt;&gt;"Có","Thiếu đồng ý bắt buộc; ","")&amp;IF($L1744="","Thiếu/sai Mã REF; ",IF(AND($L1744="Chưa xác định",DANH_MUC!$L$9&lt;&gt;"Có"),"Nguồn chưa xác định; ","")))</f>
        <v/>
      </c>
      <c r="V1744" s="22">
        <f>IF(OR($D1744="",$R1744="Trùng"),"",IF(COUNTIF(ORDERS!$C$2:$C$4995,$D1744)&gt;0,"Có","Không"))</f>
        <v/>
      </c>
      <c r="W1744" s="22">
        <f>IF(OR($D1744="",$R1744="Trùng"),"",COUNTIFS(ORDERS!$C$2:$C$4995,$D1744,ORDERS!$L$2:$L$4995,"Đã chuyển khoản"))</f>
        <v/>
      </c>
      <c r="X1744" s="23">
        <f>IF(OR($D1744="",$R1744="Trùng"),"",SUMIFS(ORDERS!$J$2:$J$4995,ORDERS!$C$2:$C$4995,$D1744,ORDERS!$L$2:$L$4995,"Đã chuyển khoản"))</f>
        <v/>
      </c>
      <c r="Y1744" s="24" t="n"/>
    </row>
    <row r="1745" ht="14.25" customHeight="1" s="40">
      <c r="A1745" s="24" t="n"/>
      <c r="B1745" s="27" t="n"/>
      <c r="C1745" s="24" t="n"/>
      <c r="D1745" s="28" t="n"/>
      <c r="E1745" s="29" t="n"/>
      <c r="F1745" s="24" t="n"/>
      <c r="G1745" s="24" t="n"/>
      <c r="H1745" s="21">
        <f>IF(ISNUMBER($B1745),INT($B1745)-WEEKDAY($B1745,2)+1,"")</f>
        <v/>
      </c>
      <c r="I1745" s="24" t="n"/>
      <c r="J1745" s="22">
        <f t="array" ref="J1745">IF($D1745="","",IF($I1745="","(trống REF)",IFERROR(INDEX(MASTER_SOURCE!$B$2:$B$495,MATCH($I1745,MASTER_SOURCE!$A$2:$A$495,0)),"(REF không có trong MASTER_SOURCE)")))</f>
        <v/>
      </c>
      <c r="K1745" s="22">
        <f t="array" ref="K1745">IF($D1745="","",IFERROR(INDEX(MASTER_SOURCE!$C$2:$C$495,MATCH($I1745,MASTER_SOURCE!$A$2:$A$495,0)),""))</f>
        <v/>
      </c>
      <c r="L1745" s="22">
        <f t="array" ref="L1745">IF($D1745="","",IFERROR(INDEX(MASTER_SOURCE!$D$2:$D$495,MATCH($I1745,MASTER_SOURCE!$A$2:$A$495,0)),""))</f>
        <v/>
      </c>
      <c r="M1745" s="24" t="n"/>
      <c r="N1745" s="24" t="n"/>
      <c r="O1745" s="24" t="n"/>
      <c r="P1745" s="24" t="n"/>
      <c r="Q1745" s="22">
        <f>IF($D1745="","",IF(AND(OR(DANH_MUC!$L$5&lt;&gt;"Có",M1745="Có"),OR(DANH_MUC!$L$6&lt;&gt;"Có",N1745="Có"),OR(DANH_MUC!$L$7&lt;&gt;"Có",O1745="Có"),OR(DANH_MUC!$L$8&lt;&gt;"Có",P1745="Có")),"Có","Không"))</f>
        <v/>
      </c>
      <c r="R1745" s="22">
        <f>IF($D1745="","",IF(COUNTIF($D$2:$D1745,$D1745)&gt;1,"Trùng",""))</f>
        <v/>
      </c>
      <c r="S1745" s="22">
        <f>IF($D1745="","",IF(AND(LEN($D1745)=10,LEFT($D1745,1)="0",ISNUMBER(--$D1745)),"Có","Không"))</f>
        <v/>
      </c>
      <c r="T1745" s="22">
        <f>IF($D1745="","",IF(AND($C1745&lt;&gt;"",$Q1745="Có",$R1745="",$S1745="Có",AND($L1745&lt;&gt;"",OR($L1745&lt;&gt;"Chưa xác định",DANH_MUC!$L$9="Có"))),"Có","Không"))</f>
        <v/>
      </c>
      <c r="U1745" s="22">
        <f>IF(OR($D1745="",$T1745="Có"),"",IF($C1745="","Thiếu họ tên; ","")&amp;IF($S1745&lt;&gt;"Có","SĐT sai định dạng; ","")&amp;IF($R1745="Trùng","Trùng SĐT; ","")&amp;IF($Q1745&lt;&gt;"Có","Thiếu đồng ý bắt buộc; ","")&amp;IF($L1745="","Thiếu/sai Mã REF; ",IF(AND($L1745="Chưa xác định",DANH_MUC!$L$9&lt;&gt;"Có"),"Nguồn chưa xác định; ","")))</f>
        <v/>
      </c>
      <c r="V1745" s="22">
        <f>IF(OR($D1745="",$R1745="Trùng"),"",IF(COUNTIF(ORDERS!$C$2:$C$4995,$D1745)&gt;0,"Có","Không"))</f>
        <v/>
      </c>
      <c r="W1745" s="22">
        <f>IF(OR($D1745="",$R1745="Trùng"),"",COUNTIFS(ORDERS!$C$2:$C$4995,$D1745,ORDERS!$L$2:$L$4995,"Đã chuyển khoản"))</f>
        <v/>
      </c>
      <c r="X1745" s="23">
        <f>IF(OR($D1745="",$R1745="Trùng"),"",SUMIFS(ORDERS!$J$2:$J$4995,ORDERS!$C$2:$C$4995,$D1745,ORDERS!$L$2:$L$4995,"Đã chuyển khoản"))</f>
        <v/>
      </c>
      <c r="Y1745" s="24" t="n"/>
    </row>
    <row r="1746" ht="14.25" customHeight="1" s="40">
      <c r="A1746" s="24" t="n"/>
      <c r="B1746" s="27" t="n"/>
      <c r="C1746" s="24" t="n"/>
      <c r="D1746" s="28" t="n"/>
      <c r="E1746" s="29" t="n"/>
      <c r="F1746" s="24" t="n"/>
      <c r="G1746" s="24" t="n"/>
      <c r="H1746" s="21">
        <f>IF(ISNUMBER($B1746),INT($B1746)-WEEKDAY($B1746,2)+1,"")</f>
        <v/>
      </c>
      <c r="I1746" s="24" t="n"/>
      <c r="J1746" s="22">
        <f t="array" ref="J1746">IF($D1746="","",IF($I1746="","(trống REF)",IFERROR(INDEX(MASTER_SOURCE!$B$2:$B$495,MATCH($I1746,MASTER_SOURCE!$A$2:$A$495,0)),"(REF không có trong MASTER_SOURCE)")))</f>
        <v/>
      </c>
      <c r="K1746" s="22">
        <f t="array" ref="K1746">IF($D1746="","",IFERROR(INDEX(MASTER_SOURCE!$C$2:$C$495,MATCH($I1746,MASTER_SOURCE!$A$2:$A$495,0)),""))</f>
        <v/>
      </c>
      <c r="L1746" s="22">
        <f t="array" ref="L1746">IF($D1746="","",IFERROR(INDEX(MASTER_SOURCE!$D$2:$D$495,MATCH($I1746,MASTER_SOURCE!$A$2:$A$495,0)),""))</f>
        <v/>
      </c>
      <c r="M1746" s="24" t="n"/>
      <c r="N1746" s="24" t="n"/>
      <c r="O1746" s="24" t="n"/>
      <c r="P1746" s="24" t="n"/>
      <c r="Q1746" s="22">
        <f>IF($D1746="","",IF(AND(OR(DANH_MUC!$L$5&lt;&gt;"Có",M1746="Có"),OR(DANH_MUC!$L$6&lt;&gt;"Có",N1746="Có"),OR(DANH_MUC!$L$7&lt;&gt;"Có",O1746="Có"),OR(DANH_MUC!$L$8&lt;&gt;"Có",P1746="Có")),"Có","Không"))</f>
        <v/>
      </c>
      <c r="R1746" s="22">
        <f>IF($D1746="","",IF(COUNTIF($D$2:$D1746,$D1746)&gt;1,"Trùng",""))</f>
        <v/>
      </c>
      <c r="S1746" s="22">
        <f>IF($D1746="","",IF(AND(LEN($D1746)=10,LEFT($D1746,1)="0",ISNUMBER(--$D1746)),"Có","Không"))</f>
        <v/>
      </c>
      <c r="T1746" s="22">
        <f>IF($D1746="","",IF(AND($C1746&lt;&gt;"",$Q1746="Có",$R1746="",$S1746="Có",AND($L1746&lt;&gt;"",OR($L1746&lt;&gt;"Chưa xác định",DANH_MUC!$L$9="Có"))),"Có","Không"))</f>
        <v/>
      </c>
      <c r="U1746" s="22">
        <f>IF(OR($D1746="",$T1746="Có"),"",IF($C1746="","Thiếu họ tên; ","")&amp;IF($S1746&lt;&gt;"Có","SĐT sai định dạng; ","")&amp;IF($R1746="Trùng","Trùng SĐT; ","")&amp;IF($Q1746&lt;&gt;"Có","Thiếu đồng ý bắt buộc; ","")&amp;IF($L1746="","Thiếu/sai Mã REF; ",IF(AND($L1746="Chưa xác định",DANH_MUC!$L$9&lt;&gt;"Có"),"Nguồn chưa xác định; ","")))</f>
        <v/>
      </c>
      <c r="V1746" s="22">
        <f>IF(OR($D1746="",$R1746="Trùng"),"",IF(COUNTIF(ORDERS!$C$2:$C$4995,$D1746)&gt;0,"Có","Không"))</f>
        <v/>
      </c>
      <c r="W1746" s="22">
        <f>IF(OR($D1746="",$R1746="Trùng"),"",COUNTIFS(ORDERS!$C$2:$C$4995,$D1746,ORDERS!$L$2:$L$4995,"Đã chuyển khoản"))</f>
        <v/>
      </c>
      <c r="X1746" s="23">
        <f>IF(OR($D1746="",$R1746="Trùng"),"",SUMIFS(ORDERS!$J$2:$J$4995,ORDERS!$C$2:$C$4995,$D1746,ORDERS!$L$2:$L$4995,"Đã chuyển khoản"))</f>
        <v/>
      </c>
      <c r="Y1746" s="24" t="n"/>
    </row>
    <row r="1747" ht="14.25" customHeight="1" s="40">
      <c r="A1747" s="24" t="n"/>
      <c r="B1747" s="27" t="n"/>
      <c r="C1747" s="24" t="n"/>
      <c r="D1747" s="28" t="n"/>
      <c r="E1747" s="29" t="n"/>
      <c r="F1747" s="24" t="n"/>
      <c r="G1747" s="24" t="n"/>
      <c r="H1747" s="21">
        <f>IF(ISNUMBER($B1747),INT($B1747)-WEEKDAY($B1747,2)+1,"")</f>
        <v/>
      </c>
      <c r="I1747" s="24" t="n"/>
      <c r="J1747" s="22">
        <f t="array" ref="J1747">IF($D1747="","",IF($I1747="","(trống REF)",IFERROR(INDEX(MASTER_SOURCE!$B$2:$B$495,MATCH($I1747,MASTER_SOURCE!$A$2:$A$495,0)),"(REF không có trong MASTER_SOURCE)")))</f>
        <v/>
      </c>
      <c r="K1747" s="22">
        <f t="array" ref="K1747">IF($D1747="","",IFERROR(INDEX(MASTER_SOURCE!$C$2:$C$495,MATCH($I1747,MASTER_SOURCE!$A$2:$A$495,0)),""))</f>
        <v/>
      </c>
      <c r="L1747" s="22">
        <f t="array" ref="L1747">IF($D1747="","",IFERROR(INDEX(MASTER_SOURCE!$D$2:$D$495,MATCH($I1747,MASTER_SOURCE!$A$2:$A$495,0)),""))</f>
        <v/>
      </c>
      <c r="M1747" s="24" t="n"/>
      <c r="N1747" s="24" t="n"/>
      <c r="O1747" s="24" t="n"/>
      <c r="P1747" s="24" t="n"/>
      <c r="Q1747" s="22">
        <f>IF($D1747="","",IF(AND(OR(DANH_MUC!$L$5&lt;&gt;"Có",M1747="Có"),OR(DANH_MUC!$L$6&lt;&gt;"Có",N1747="Có"),OR(DANH_MUC!$L$7&lt;&gt;"Có",O1747="Có"),OR(DANH_MUC!$L$8&lt;&gt;"Có",P1747="Có")),"Có","Không"))</f>
        <v/>
      </c>
      <c r="R1747" s="22">
        <f>IF($D1747="","",IF(COUNTIF($D$2:$D1747,$D1747)&gt;1,"Trùng",""))</f>
        <v/>
      </c>
      <c r="S1747" s="22">
        <f>IF($D1747="","",IF(AND(LEN($D1747)=10,LEFT($D1747,1)="0",ISNUMBER(--$D1747)),"Có","Không"))</f>
        <v/>
      </c>
      <c r="T1747" s="22">
        <f>IF($D1747="","",IF(AND($C1747&lt;&gt;"",$Q1747="Có",$R1747="",$S1747="Có",AND($L1747&lt;&gt;"",OR($L1747&lt;&gt;"Chưa xác định",DANH_MUC!$L$9="Có"))),"Có","Không"))</f>
        <v/>
      </c>
      <c r="U1747" s="22">
        <f>IF(OR($D1747="",$T1747="Có"),"",IF($C1747="","Thiếu họ tên; ","")&amp;IF($S1747&lt;&gt;"Có","SĐT sai định dạng; ","")&amp;IF($R1747="Trùng","Trùng SĐT; ","")&amp;IF($Q1747&lt;&gt;"Có","Thiếu đồng ý bắt buộc; ","")&amp;IF($L1747="","Thiếu/sai Mã REF; ",IF(AND($L1747="Chưa xác định",DANH_MUC!$L$9&lt;&gt;"Có"),"Nguồn chưa xác định; ","")))</f>
        <v/>
      </c>
      <c r="V1747" s="22">
        <f>IF(OR($D1747="",$R1747="Trùng"),"",IF(COUNTIF(ORDERS!$C$2:$C$4995,$D1747)&gt;0,"Có","Không"))</f>
        <v/>
      </c>
      <c r="W1747" s="22">
        <f>IF(OR($D1747="",$R1747="Trùng"),"",COUNTIFS(ORDERS!$C$2:$C$4995,$D1747,ORDERS!$L$2:$L$4995,"Đã chuyển khoản"))</f>
        <v/>
      </c>
      <c r="X1747" s="23">
        <f>IF(OR($D1747="",$R1747="Trùng"),"",SUMIFS(ORDERS!$J$2:$J$4995,ORDERS!$C$2:$C$4995,$D1747,ORDERS!$L$2:$L$4995,"Đã chuyển khoản"))</f>
        <v/>
      </c>
      <c r="Y1747" s="24" t="n"/>
    </row>
    <row r="1748" ht="14.25" customHeight="1" s="40">
      <c r="A1748" s="24" t="n"/>
      <c r="B1748" s="27" t="n"/>
      <c r="C1748" s="24" t="n"/>
      <c r="D1748" s="28" t="n"/>
      <c r="E1748" s="29" t="n"/>
      <c r="F1748" s="24" t="n"/>
      <c r="G1748" s="24" t="n"/>
      <c r="H1748" s="21">
        <f>IF(ISNUMBER($B1748),INT($B1748)-WEEKDAY($B1748,2)+1,"")</f>
        <v/>
      </c>
      <c r="I1748" s="24" t="n"/>
      <c r="J1748" s="22">
        <f t="array" ref="J1748">IF($D1748="","",IF($I1748="","(trống REF)",IFERROR(INDEX(MASTER_SOURCE!$B$2:$B$495,MATCH($I1748,MASTER_SOURCE!$A$2:$A$495,0)),"(REF không có trong MASTER_SOURCE)")))</f>
        <v/>
      </c>
      <c r="K1748" s="22">
        <f t="array" ref="K1748">IF($D1748="","",IFERROR(INDEX(MASTER_SOURCE!$C$2:$C$495,MATCH($I1748,MASTER_SOURCE!$A$2:$A$495,0)),""))</f>
        <v/>
      </c>
      <c r="L1748" s="22">
        <f t="array" ref="L1748">IF($D1748="","",IFERROR(INDEX(MASTER_SOURCE!$D$2:$D$495,MATCH($I1748,MASTER_SOURCE!$A$2:$A$495,0)),""))</f>
        <v/>
      </c>
      <c r="M1748" s="24" t="n"/>
      <c r="N1748" s="24" t="n"/>
      <c r="O1748" s="24" t="n"/>
      <c r="P1748" s="24" t="n"/>
      <c r="Q1748" s="22">
        <f>IF($D1748="","",IF(AND(OR(DANH_MUC!$L$5&lt;&gt;"Có",M1748="Có"),OR(DANH_MUC!$L$6&lt;&gt;"Có",N1748="Có"),OR(DANH_MUC!$L$7&lt;&gt;"Có",O1748="Có"),OR(DANH_MUC!$L$8&lt;&gt;"Có",P1748="Có")),"Có","Không"))</f>
        <v/>
      </c>
      <c r="R1748" s="22">
        <f>IF($D1748="","",IF(COUNTIF($D$2:$D1748,$D1748)&gt;1,"Trùng",""))</f>
        <v/>
      </c>
      <c r="S1748" s="22">
        <f>IF($D1748="","",IF(AND(LEN($D1748)=10,LEFT($D1748,1)="0",ISNUMBER(--$D1748)),"Có","Không"))</f>
        <v/>
      </c>
      <c r="T1748" s="22">
        <f>IF($D1748="","",IF(AND($C1748&lt;&gt;"",$Q1748="Có",$R1748="",$S1748="Có",AND($L1748&lt;&gt;"",OR($L1748&lt;&gt;"Chưa xác định",DANH_MUC!$L$9="Có"))),"Có","Không"))</f>
        <v/>
      </c>
      <c r="U1748" s="22">
        <f>IF(OR($D1748="",$T1748="Có"),"",IF($C1748="","Thiếu họ tên; ","")&amp;IF($S1748&lt;&gt;"Có","SĐT sai định dạng; ","")&amp;IF($R1748="Trùng","Trùng SĐT; ","")&amp;IF($Q1748&lt;&gt;"Có","Thiếu đồng ý bắt buộc; ","")&amp;IF($L1748="","Thiếu/sai Mã REF; ",IF(AND($L1748="Chưa xác định",DANH_MUC!$L$9&lt;&gt;"Có"),"Nguồn chưa xác định; ","")))</f>
        <v/>
      </c>
      <c r="V1748" s="22">
        <f>IF(OR($D1748="",$R1748="Trùng"),"",IF(COUNTIF(ORDERS!$C$2:$C$4995,$D1748)&gt;0,"Có","Không"))</f>
        <v/>
      </c>
      <c r="W1748" s="22">
        <f>IF(OR($D1748="",$R1748="Trùng"),"",COUNTIFS(ORDERS!$C$2:$C$4995,$D1748,ORDERS!$L$2:$L$4995,"Đã chuyển khoản"))</f>
        <v/>
      </c>
      <c r="X1748" s="23">
        <f>IF(OR($D1748="",$R1748="Trùng"),"",SUMIFS(ORDERS!$J$2:$J$4995,ORDERS!$C$2:$C$4995,$D1748,ORDERS!$L$2:$L$4995,"Đã chuyển khoản"))</f>
        <v/>
      </c>
      <c r="Y1748" s="24" t="n"/>
    </row>
    <row r="1749" ht="14.25" customHeight="1" s="40">
      <c r="A1749" s="24" t="n"/>
      <c r="B1749" s="27" t="n"/>
      <c r="C1749" s="24" t="n"/>
      <c r="D1749" s="28" t="n"/>
      <c r="E1749" s="29" t="n"/>
      <c r="F1749" s="24" t="n"/>
      <c r="G1749" s="24" t="n"/>
      <c r="H1749" s="21">
        <f>IF(ISNUMBER($B1749),INT($B1749)-WEEKDAY($B1749,2)+1,"")</f>
        <v/>
      </c>
      <c r="I1749" s="24" t="n"/>
      <c r="J1749" s="22">
        <f t="array" ref="J1749">IF($D1749="","",IF($I1749="","(trống REF)",IFERROR(INDEX(MASTER_SOURCE!$B$2:$B$495,MATCH($I1749,MASTER_SOURCE!$A$2:$A$495,0)),"(REF không có trong MASTER_SOURCE)")))</f>
        <v/>
      </c>
      <c r="K1749" s="22">
        <f t="array" ref="K1749">IF($D1749="","",IFERROR(INDEX(MASTER_SOURCE!$C$2:$C$495,MATCH($I1749,MASTER_SOURCE!$A$2:$A$495,0)),""))</f>
        <v/>
      </c>
      <c r="L1749" s="22">
        <f t="array" ref="L1749">IF($D1749="","",IFERROR(INDEX(MASTER_SOURCE!$D$2:$D$495,MATCH($I1749,MASTER_SOURCE!$A$2:$A$495,0)),""))</f>
        <v/>
      </c>
      <c r="M1749" s="24" t="n"/>
      <c r="N1749" s="24" t="n"/>
      <c r="O1749" s="24" t="n"/>
      <c r="P1749" s="24" t="n"/>
      <c r="Q1749" s="22">
        <f>IF($D1749="","",IF(AND(OR(DANH_MUC!$L$5&lt;&gt;"Có",M1749="Có"),OR(DANH_MUC!$L$6&lt;&gt;"Có",N1749="Có"),OR(DANH_MUC!$L$7&lt;&gt;"Có",O1749="Có"),OR(DANH_MUC!$L$8&lt;&gt;"Có",P1749="Có")),"Có","Không"))</f>
        <v/>
      </c>
      <c r="R1749" s="22">
        <f>IF($D1749="","",IF(COUNTIF($D$2:$D1749,$D1749)&gt;1,"Trùng",""))</f>
        <v/>
      </c>
      <c r="S1749" s="22">
        <f>IF($D1749="","",IF(AND(LEN($D1749)=10,LEFT($D1749,1)="0",ISNUMBER(--$D1749)),"Có","Không"))</f>
        <v/>
      </c>
      <c r="T1749" s="22">
        <f>IF($D1749="","",IF(AND($C1749&lt;&gt;"",$Q1749="Có",$R1749="",$S1749="Có",AND($L1749&lt;&gt;"",OR($L1749&lt;&gt;"Chưa xác định",DANH_MUC!$L$9="Có"))),"Có","Không"))</f>
        <v/>
      </c>
      <c r="U1749" s="22">
        <f>IF(OR($D1749="",$T1749="Có"),"",IF($C1749="","Thiếu họ tên; ","")&amp;IF($S1749&lt;&gt;"Có","SĐT sai định dạng; ","")&amp;IF($R1749="Trùng","Trùng SĐT; ","")&amp;IF($Q1749&lt;&gt;"Có","Thiếu đồng ý bắt buộc; ","")&amp;IF($L1749="","Thiếu/sai Mã REF; ",IF(AND($L1749="Chưa xác định",DANH_MUC!$L$9&lt;&gt;"Có"),"Nguồn chưa xác định; ","")))</f>
        <v/>
      </c>
      <c r="V1749" s="22">
        <f>IF(OR($D1749="",$R1749="Trùng"),"",IF(COUNTIF(ORDERS!$C$2:$C$4995,$D1749)&gt;0,"Có","Không"))</f>
        <v/>
      </c>
      <c r="W1749" s="22">
        <f>IF(OR($D1749="",$R1749="Trùng"),"",COUNTIFS(ORDERS!$C$2:$C$4995,$D1749,ORDERS!$L$2:$L$4995,"Đã chuyển khoản"))</f>
        <v/>
      </c>
      <c r="X1749" s="23">
        <f>IF(OR($D1749="",$R1749="Trùng"),"",SUMIFS(ORDERS!$J$2:$J$4995,ORDERS!$C$2:$C$4995,$D1749,ORDERS!$L$2:$L$4995,"Đã chuyển khoản"))</f>
        <v/>
      </c>
      <c r="Y1749" s="24" t="n"/>
    </row>
    <row r="1750" ht="14.25" customHeight="1" s="40">
      <c r="A1750" s="24" t="n"/>
      <c r="B1750" s="27" t="n"/>
      <c r="C1750" s="24" t="n"/>
      <c r="D1750" s="28" t="n"/>
      <c r="E1750" s="29" t="n"/>
      <c r="F1750" s="24" t="n"/>
      <c r="G1750" s="24" t="n"/>
      <c r="H1750" s="21">
        <f>IF(ISNUMBER($B1750),INT($B1750)-WEEKDAY($B1750,2)+1,"")</f>
        <v/>
      </c>
      <c r="I1750" s="24" t="n"/>
      <c r="J1750" s="22">
        <f t="array" ref="J1750">IF($D1750="","",IF($I1750="","(trống REF)",IFERROR(INDEX(MASTER_SOURCE!$B$2:$B$495,MATCH($I1750,MASTER_SOURCE!$A$2:$A$495,0)),"(REF không có trong MASTER_SOURCE)")))</f>
        <v/>
      </c>
      <c r="K1750" s="22">
        <f t="array" ref="K1750">IF($D1750="","",IFERROR(INDEX(MASTER_SOURCE!$C$2:$C$495,MATCH($I1750,MASTER_SOURCE!$A$2:$A$495,0)),""))</f>
        <v/>
      </c>
      <c r="L1750" s="22">
        <f t="array" ref="L1750">IF($D1750="","",IFERROR(INDEX(MASTER_SOURCE!$D$2:$D$495,MATCH($I1750,MASTER_SOURCE!$A$2:$A$495,0)),""))</f>
        <v/>
      </c>
      <c r="M1750" s="24" t="n"/>
      <c r="N1750" s="24" t="n"/>
      <c r="O1750" s="24" t="n"/>
      <c r="P1750" s="24" t="n"/>
      <c r="Q1750" s="22">
        <f>IF($D1750="","",IF(AND(OR(DANH_MUC!$L$5&lt;&gt;"Có",M1750="Có"),OR(DANH_MUC!$L$6&lt;&gt;"Có",N1750="Có"),OR(DANH_MUC!$L$7&lt;&gt;"Có",O1750="Có"),OR(DANH_MUC!$L$8&lt;&gt;"Có",P1750="Có")),"Có","Không"))</f>
        <v/>
      </c>
      <c r="R1750" s="22">
        <f>IF($D1750="","",IF(COUNTIF($D$2:$D1750,$D1750)&gt;1,"Trùng",""))</f>
        <v/>
      </c>
      <c r="S1750" s="22">
        <f>IF($D1750="","",IF(AND(LEN($D1750)=10,LEFT($D1750,1)="0",ISNUMBER(--$D1750)),"Có","Không"))</f>
        <v/>
      </c>
      <c r="T1750" s="22">
        <f>IF($D1750="","",IF(AND($C1750&lt;&gt;"",$Q1750="Có",$R1750="",$S1750="Có",AND($L1750&lt;&gt;"",OR($L1750&lt;&gt;"Chưa xác định",DANH_MUC!$L$9="Có"))),"Có","Không"))</f>
        <v/>
      </c>
      <c r="U1750" s="22">
        <f>IF(OR($D1750="",$T1750="Có"),"",IF($C1750="","Thiếu họ tên; ","")&amp;IF($S1750&lt;&gt;"Có","SĐT sai định dạng; ","")&amp;IF($R1750="Trùng","Trùng SĐT; ","")&amp;IF($Q1750&lt;&gt;"Có","Thiếu đồng ý bắt buộc; ","")&amp;IF($L1750="","Thiếu/sai Mã REF; ",IF(AND($L1750="Chưa xác định",DANH_MUC!$L$9&lt;&gt;"Có"),"Nguồn chưa xác định; ","")))</f>
        <v/>
      </c>
      <c r="V1750" s="22">
        <f>IF(OR($D1750="",$R1750="Trùng"),"",IF(COUNTIF(ORDERS!$C$2:$C$4995,$D1750)&gt;0,"Có","Không"))</f>
        <v/>
      </c>
      <c r="W1750" s="22">
        <f>IF(OR($D1750="",$R1750="Trùng"),"",COUNTIFS(ORDERS!$C$2:$C$4995,$D1750,ORDERS!$L$2:$L$4995,"Đã chuyển khoản"))</f>
        <v/>
      </c>
      <c r="X1750" s="23">
        <f>IF(OR($D1750="",$R1750="Trùng"),"",SUMIFS(ORDERS!$J$2:$J$4995,ORDERS!$C$2:$C$4995,$D1750,ORDERS!$L$2:$L$4995,"Đã chuyển khoản"))</f>
        <v/>
      </c>
      <c r="Y1750" s="24" t="n"/>
    </row>
    <row r="1751" ht="14.25" customHeight="1" s="40">
      <c r="A1751" s="24" t="n"/>
      <c r="B1751" s="27" t="n"/>
      <c r="C1751" s="24" t="n"/>
      <c r="D1751" s="28" t="n"/>
      <c r="E1751" s="29" t="n"/>
      <c r="F1751" s="24" t="n"/>
      <c r="G1751" s="24" t="n"/>
      <c r="H1751" s="21">
        <f>IF(ISNUMBER($B1751),INT($B1751)-WEEKDAY($B1751,2)+1,"")</f>
        <v/>
      </c>
      <c r="I1751" s="24" t="n"/>
      <c r="J1751" s="22">
        <f t="array" ref="J1751">IF($D1751="","",IF($I1751="","(trống REF)",IFERROR(INDEX(MASTER_SOURCE!$B$2:$B$495,MATCH($I1751,MASTER_SOURCE!$A$2:$A$495,0)),"(REF không có trong MASTER_SOURCE)")))</f>
        <v/>
      </c>
      <c r="K1751" s="22">
        <f t="array" ref="K1751">IF($D1751="","",IFERROR(INDEX(MASTER_SOURCE!$C$2:$C$495,MATCH($I1751,MASTER_SOURCE!$A$2:$A$495,0)),""))</f>
        <v/>
      </c>
      <c r="L1751" s="22">
        <f t="array" ref="L1751">IF($D1751="","",IFERROR(INDEX(MASTER_SOURCE!$D$2:$D$495,MATCH($I1751,MASTER_SOURCE!$A$2:$A$495,0)),""))</f>
        <v/>
      </c>
      <c r="M1751" s="24" t="n"/>
      <c r="N1751" s="24" t="n"/>
      <c r="O1751" s="24" t="n"/>
      <c r="P1751" s="24" t="n"/>
      <c r="Q1751" s="22">
        <f>IF($D1751="","",IF(AND(OR(DANH_MUC!$L$5&lt;&gt;"Có",M1751="Có"),OR(DANH_MUC!$L$6&lt;&gt;"Có",N1751="Có"),OR(DANH_MUC!$L$7&lt;&gt;"Có",O1751="Có"),OR(DANH_MUC!$L$8&lt;&gt;"Có",P1751="Có")),"Có","Không"))</f>
        <v/>
      </c>
      <c r="R1751" s="22">
        <f>IF($D1751="","",IF(COUNTIF($D$2:$D1751,$D1751)&gt;1,"Trùng",""))</f>
        <v/>
      </c>
      <c r="S1751" s="22">
        <f>IF($D1751="","",IF(AND(LEN($D1751)=10,LEFT($D1751,1)="0",ISNUMBER(--$D1751)),"Có","Không"))</f>
        <v/>
      </c>
      <c r="T1751" s="22">
        <f>IF($D1751="","",IF(AND($C1751&lt;&gt;"",$Q1751="Có",$R1751="",$S1751="Có",AND($L1751&lt;&gt;"",OR($L1751&lt;&gt;"Chưa xác định",DANH_MUC!$L$9="Có"))),"Có","Không"))</f>
        <v/>
      </c>
      <c r="U1751" s="22">
        <f>IF(OR($D1751="",$T1751="Có"),"",IF($C1751="","Thiếu họ tên; ","")&amp;IF($S1751&lt;&gt;"Có","SĐT sai định dạng; ","")&amp;IF($R1751="Trùng","Trùng SĐT; ","")&amp;IF($Q1751&lt;&gt;"Có","Thiếu đồng ý bắt buộc; ","")&amp;IF($L1751="","Thiếu/sai Mã REF; ",IF(AND($L1751="Chưa xác định",DANH_MUC!$L$9&lt;&gt;"Có"),"Nguồn chưa xác định; ","")))</f>
        <v/>
      </c>
      <c r="V1751" s="22">
        <f>IF(OR($D1751="",$R1751="Trùng"),"",IF(COUNTIF(ORDERS!$C$2:$C$4995,$D1751)&gt;0,"Có","Không"))</f>
        <v/>
      </c>
      <c r="W1751" s="22">
        <f>IF(OR($D1751="",$R1751="Trùng"),"",COUNTIFS(ORDERS!$C$2:$C$4995,$D1751,ORDERS!$L$2:$L$4995,"Đã chuyển khoản"))</f>
        <v/>
      </c>
      <c r="X1751" s="23">
        <f>IF(OR($D1751="",$R1751="Trùng"),"",SUMIFS(ORDERS!$J$2:$J$4995,ORDERS!$C$2:$C$4995,$D1751,ORDERS!$L$2:$L$4995,"Đã chuyển khoản"))</f>
        <v/>
      </c>
      <c r="Y1751" s="24" t="n"/>
    </row>
    <row r="1752" ht="14.25" customHeight="1" s="40">
      <c r="A1752" s="24" t="n"/>
      <c r="B1752" s="27" t="n"/>
      <c r="C1752" s="24" t="n"/>
      <c r="D1752" s="28" t="n"/>
      <c r="E1752" s="29" t="n"/>
      <c r="F1752" s="24" t="n"/>
      <c r="G1752" s="24" t="n"/>
      <c r="H1752" s="21">
        <f>IF(ISNUMBER($B1752),INT($B1752)-WEEKDAY($B1752,2)+1,"")</f>
        <v/>
      </c>
      <c r="I1752" s="24" t="n"/>
      <c r="J1752" s="22">
        <f t="array" ref="J1752">IF($D1752="","",IF($I1752="","(trống REF)",IFERROR(INDEX(MASTER_SOURCE!$B$2:$B$495,MATCH($I1752,MASTER_SOURCE!$A$2:$A$495,0)),"(REF không có trong MASTER_SOURCE)")))</f>
        <v/>
      </c>
      <c r="K1752" s="22">
        <f t="array" ref="K1752">IF($D1752="","",IFERROR(INDEX(MASTER_SOURCE!$C$2:$C$495,MATCH($I1752,MASTER_SOURCE!$A$2:$A$495,0)),""))</f>
        <v/>
      </c>
      <c r="L1752" s="22">
        <f t="array" ref="L1752">IF($D1752="","",IFERROR(INDEX(MASTER_SOURCE!$D$2:$D$495,MATCH($I1752,MASTER_SOURCE!$A$2:$A$495,0)),""))</f>
        <v/>
      </c>
      <c r="M1752" s="24" t="n"/>
      <c r="N1752" s="24" t="n"/>
      <c r="O1752" s="24" t="n"/>
      <c r="P1752" s="24" t="n"/>
      <c r="Q1752" s="22">
        <f>IF($D1752="","",IF(AND(OR(DANH_MUC!$L$5&lt;&gt;"Có",M1752="Có"),OR(DANH_MUC!$L$6&lt;&gt;"Có",N1752="Có"),OR(DANH_MUC!$L$7&lt;&gt;"Có",O1752="Có"),OR(DANH_MUC!$L$8&lt;&gt;"Có",P1752="Có")),"Có","Không"))</f>
        <v/>
      </c>
      <c r="R1752" s="22">
        <f>IF($D1752="","",IF(COUNTIF($D$2:$D1752,$D1752)&gt;1,"Trùng",""))</f>
        <v/>
      </c>
      <c r="S1752" s="22">
        <f>IF($D1752="","",IF(AND(LEN($D1752)=10,LEFT($D1752,1)="0",ISNUMBER(--$D1752)),"Có","Không"))</f>
        <v/>
      </c>
      <c r="T1752" s="22">
        <f>IF($D1752="","",IF(AND($C1752&lt;&gt;"",$Q1752="Có",$R1752="",$S1752="Có",AND($L1752&lt;&gt;"",OR($L1752&lt;&gt;"Chưa xác định",DANH_MUC!$L$9="Có"))),"Có","Không"))</f>
        <v/>
      </c>
      <c r="U1752" s="22">
        <f>IF(OR($D1752="",$T1752="Có"),"",IF($C1752="","Thiếu họ tên; ","")&amp;IF($S1752&lt;&gt;"Có","SĐT sai định dạng; ","")&amp;IF($R1752="Trùng","Trùng SĐT; ","")&amp;IF($Q1752&lt;&gt;"Có","Thiếu đồng ý bắt buộc; ","")&amp;IF($L1752="","Thiếu/sai Mã REF; ",IF(AND($L1752="Chưa xác định",DANH_MUC!$L$9&lt;&gt;"Có"),"Nguồn chưa xác định; ","")))</f>
        <v/>
      </c>
      <c r="V1752" s="22">
        <f>IF(OR($D1752="",$R1752="Trùng"),"",IF(COUNTIF(ORDERS!$C$2:$C$4995,$D1752)&gt;0,"Có","Không"))</f>
        <v/>
      </c>
      <c r="W1752" s="22">
        <f>IF(OR($D1752="",$R1752="Trùng"),"",COUNTIFS(ORDERS!$C$2:$C$4995,$D1752,ORDERS!$L$2:$L$4995,"Đã chuyển khoản"))</f>
        <v/>
      </c>
      <c r="X1752" s="23">
        <f>IF(OR($D1752="",$R1752="Trùng"),"",SUMIFS(ORDERS!$J$2:$J$4995,ORDERS!$C$2:$C$4995,$D1752,ORDERS!$L$2:$L$4995,"Đã chuyển khoản"))</f>
        <v/>
      </c>
      <c r="Y1752" s="24" t="n"/>
    </row>
    <row r="1753" ht="14.25" customHeight="1" s="40">
      <c r="A1753" s="24" t="n"/>
      <c r="B1753" s="27" t="n"/>
      <c r="C1753" s="24" t="n"/>
      <c r="D1753" s="28" t="n"/>
      <c r="E1753" s="29" t="n"/>
      <c r="F1753" s="24" t="n"/>
      <c r="G1753" s="24" t="n"/>
      <c r="H1753" s="21">
        <f>IF(ISNUMBER($B1753),INT($B1753)-WEEKDAY($B1753,2)+1,"")</f>
        <v/>
      </c>
      <c r="I1753" s="24" t="n"/>
      <c r="J1753" s="22">
        <f t="array" ref="J1753">IF($D1753="","",IF($I1753="","(trống REF)",IFERROR(INDEX(MASTER_SOURCE!$B$2:$B$495,MATCH($I1753,MASTER_SOURCE!$A$2:$A$495,0)),"(REF không có trong MASTER_SOURCE)")))</f>
        <v/>
      </c>
      <c r="K1753" s="22">
        <f t="array" ref="K1753">IF($D1753="","",IFERROR(INDEX(MASTER_SOURCE!$C$2:$C$495,MATCH($I1753,MASTER_SOURCE!$A$2:$A$495,0)),""))</f>
        <v/>
      </c>
      <c r="L1753" s="22">
        <f t="array" ref="L1753">IF($D1753="","",IFERROR(INDEX(MASTER_SOURCE!$D$2:$D$495,MATCH($I1753,MASTER_SOURCE!$A$2:$A$495,0)),""))</f>
        <v/>
      </c>
      <c r="M1753" s="24" t="n"/>
      <c r="N1753" s="24" t="n"/>
      <c r="O1753" s="24" t="n"/>
      <c r="P1753" s="24" t="n"/>
      <c r="Q1753" s="22">
        <f>IF($D1753="","",IF(AND(OR(DANH_MUC!$L$5&lt;&gt;"Có",M1753="Có"),OR(DANH_MUC!$L$6&lt;&gt;"Có",N1753="Có"),OR(DANH_MUC!$L$7&lt;&gt;"Có",O1753="Có"),OR(DANH_MUC!$L$8&lt;&gt;"Có",P1753="Có")),"Có","Không"))</f>
        <v/>
      </c>
      <c r="R1753" s="22">
        <f>IF($D1753="","",IF(COUNTIF($D$2:$D1753,$D1753)&gt;1,"Trùng",""))</f>
        <v/>
      </c>
      <c r="S1753" s="22">
        <f>IF($D1753="","",IF(AND(LEN($D1753)=10,LEFT($D1753,1)="0",ISNUMBER(--$D1753)),"Có","Không"))</f>
        <v/>
      </c>
      <c r="T1753" s="22">
        <f>IF($D1753="","",IF(AND($C1753&lt;&gt;"",$Q1753="Có",$R1753="",$S1753="Có",AND($L1753&lt;&gt;"",OR($L1753&lt;&gt;"Chưa xác định",DANH_MUC!$L$9="Có"))),"Có","Không"))</f>
        <v/>
      </c>
      <c r="U1753" s="22">
        <f>IF(OR($D1753="",$T1753="Có"),"",IF($C1753="","Thiếu họ tên; ","")&amp;IF($S1753&lt;&gt;"Có","SĐT sai định dạng; ","")&amp;IF($R1753="Trùng","Trùng SĐT; ","")&amp;IF($Q1753&lt;&gt;"Có","Thiếu đồng ý bắt buộc; ","")&amp;IF($L1753="","Thiếu/sai Mã REF; ",IF(AND($L1753="Chưa xác định",DANH_MUC!$L$9&lt;&gt;"Có"),"Nguồn chưa xác định; ","")))</f>
        <v/>
      </c>
      <c r="V1753" s="22">
        <f>IF(OR($D1753="",$R1753="Trùng"),"",IF(COUNTIF(ORDERS!$C$2:$C$4995,$D1753)&gt;0,"Có","Không"))</f>
        <v/>
      </c>
      <c r="W1753" s="22">
        <f>IF(OR($D1753="",$R1753="Trùng"),"",COUNTIFS(ORDERS!$C$2:$C$4995,$D1753,ORDERS!$L$2:$L$4995,"Đã chuyển khoản"))</f>
        <v/>
      </c>
      <c r="X1753" s="23">
        <f>IF(OR($D1753="",$R1753="Trùng"),"",SUMIFS(ORDERS!$J$2:$J$4995,ORDERS!$C$2:$C$4995,$D1753,ORDERS!$L$2:$L$4995,"Đã chuyển khoản"))</f>
        <v/>
      </c>
      <c r="Y1753" s="24" t="n"/>
    </row>
    <row r="1754" ht="14.25" customHeight="1" s="40">
      <c r="A1754" s="24" t="n"/>
      <c r="B1754" s="27" t="n"/>
      <c r="C1754" s="24" t="n"/>
      <c r="D1754" s="28" t="n"/>
      <c r="E1754" s="29" t="n"/>
      <c r="F1754" s="24" t="n"/>
      <c r="G1754" s="24" t="n"/>
      <c r="H1754" s="21">
        <f>IF(ISNUMBER($B1754),INT($B1754)-WEEKDAY($B1754,2)+1,"")</f>
        <v/>
      </c>
      <c r="I1754" s="24" t="n"/>
      <c r="J1754" s="22">
        <f t="array" ref="J1754">IF($D1754="","",IF($I1754="","(trống REF)",IFERROR(INDEX(MASTER_SOURCE!$B$2:$B$495,MATCH($I1754,MASTER_SOURCE!$A$2:$A$495,0)),"(REF không có trong MASTER_SOURCE)")))</f>
        <v/>
      </c>
      <c r="K1754" s="22">
        <f t="array" ref="K1754">IF($D1754="","",IFERROR(INDEX(MASTER_SOURCE!$C$2:$C$495,MATCH($I1754,MASTER_SOURCE!$A$2:$A$495,0)),""))</f>
        <v/>
      </c>
      <c r="L1754" s="22">
        <f t="array" ref="L1754">IF($D1754="","",IFERROR(INDEX(MASTER_SOURCE!$D$2:$D$495,MATCH($I1754,MASTER_SOURCE!$A$2:$A$495,0)),""))</f>
        <v/>
      </c>
      <c r="M1754" s="24" t="n"/>
      <c r="N1754" s="24" t="n"/>
      <c r="O1754" s="24" t="n"/>
      <c r="P1754" s="24" t="n"/>
      <c r="Q1754" s="22">
        <f>IF($D1754="","",IF(AND(OR(DANH_MUC!$L$5&lt;&gt;"Có",M1754="Có"),OR(DANH_MUC!$L$6&lt;&gt;"Có",N1754="Có"),OR(DANH_MUC!$L$7&lt;&gt;"Có",O1754="Có"),OR(DANH_MUC!$L$8&lt;&gt;"Có",P1754="Có")),"Có","Không"))</f>
        <v/>
      </c>
      <c r="R1754" s="22">
        <f>IF($D1754="","",IF(COUNTIF($D$2:$D1754,$D1754)&gt;1,"Trùng",""))</f>
        <v/>
      </c>
      <c r="S1754" s="22">
        <f>IF($D1754="","",IF(AND(LEN($D1754)=10,LEFT($D1754,1)="0",ISNUMBER(--$D1754)),"Có","Không"))</f>
        <v/>
      </c>
      <c r="T1754" s="22">
        <f>IF($D1754="","",IF(AND($C1754&lt;&gt;"",$Q1754="Có",$R1754="",$S1754="Có",AND($L1754&lt;&gt;"",OR($L1754&lt;&gt;"Chưa xác định",DANH_MUC!$L$9="Có"))),"Có","Không"))</f>
        <v/>
      </c>
      <c r="U1754" s="22">
        <f>IF(OR($D1754="",$T1754="Có"),"",IF($C1754="","Thiếu họ tên; ","")&amp;IF($S1754&lt;&gt;"Có","SĐT sai định dạng; ","")&amp;IF($R1754="Trùng","Trùng SĐT; ","")&amp;IF($Q1754&lt;&gt;"Có","Thiếu đồng ý bắt buộc; ","")&amp;IF($L1754="","Thiếu/sai Mã REF; ",IF(AND($L1754="Chưa xác định",DANH_MUC!$L$9&lt;&gt;"Có"),"Nguồn chưa xác định; ","")))</f>
        <v/>
      </c>
      <c r="V1754" s="22">
        <f>IF(OR($D1754="",$R1754="Trùng"),"",IF(COUNTIF(ORDERS!$C$2:$C$4995,$D1754)&gt;0,"Có","Không"))</f>
        <v/>
      </c>
      <c r="W1754" s="22">
        <f>IF(OR($D1754="",$R1754="Trùng"),"",COUNTIFS(ORDERS!$C$2:$C$4995,$D1754,ORDERS!$L$2:$L$4995,"Đã chuyển khoản"))</f>
        <v/>
      </c>
      <c r="X1754" s="23">
        <f>IF(OR($D1754="",$R1754="Trùng"),"",SUMIFS(ORDERS!$J$2:$J$4995,ORDERS!$C$2:$C$4995,$D1754,ORDERS!$L$2:$L$4995,"Đã chuyển khoản"))</f>
        <v/>
      </c>
      <c r="Y1754" s="24" t="n"/>
    </row>
    <row r="1755" ht="14.25" customHeight="1" s="40">
      <c r="A1755" s="24" t="n"/>
      <c r="B1755" s="27" t="n"/>
      <c r="C1755" s="24" t="n"/>
      <c r="D1755" s="28" t="n"/>
      <c r="E1755" s="29" t="n"/>
      <c r="F1755" s="24" t="n"/>
      <c r="G1755" s="24" t="n"/>
      <c r="H1755" s="21">
        <f>IF(ISNUMBER($B1755),INT($B1755)-WEEKDAY($B1755,2)+1,"")</f>
        <v/>
      </c>
      <c r="I1755" s="24" t="n"/>
      <c r="J1755" s="22">
        <f t="array" ref="J1755">IF($D1755="","",IF($I1755="","(trống REF)",IFERROR(INDEX(MASTER_SOURCE!$B$2:$B$495,MATCH($I1755,MASTER_SOURCE!$A$2:$A$495,0)),"(REF không có trong MASTER_SOURCE)")))</f>
        <v/>
      </c>
      <c r="K1755" s="22">
        <f t="array" ref="K1755">IF($D1755="","",IFERROR(INDEX(MASTER_SOURCE!$C$2:$C$495,MATCH($I1755,MASTER_SOURCE!$A$2:$A$495,0)),""))</f>
        <v/>
      </c>
      <c r="L1755" s="22">
        <f t="array" ref="L1755">IF($D1755="","",IFERROR(INDEX(MASTER_SOURCE!$D$2:$D$495,MATCH($I1755,MASTER_SOURCE!$A$2:$A$495,0)),""))</f>
        <v/>
      </c>
      <c r="M1755" s="24" t="n"/>
      <c r="N1755" s="24" t="n"/>
      <c r="O1755" s="24" t="n"/>
      <c r="P1755" s="24" t="n"/>
      <c r="Q1755" s="22">
        <f>IF($D1755="","",IF(AND(OR(DANH_MUC!$L$5&lt;&gt;"Có",M1755="Có"),OR(DANH_MUC!$L$6&lt;&gt;"Có",N1755="Có"),OR(DANH_MUC!$L$7&lt;&gt;"Có",O1755="Có"),OR(DANH_MUC!$L$8&lt;&gt;"Có",P1755="Có")),"Có","Không"))</f>
        <v/>
      </c>
      <c r="R1755" s="22">
        <f>IF($D1755="","",IF(COUNTIF($D$2:$D1755,$D1755)&gt;1,"Trùng",""))</f>
        <v/>
      </c>
      <c r="S1755" s="22">
        <f>IF($D1755="","",IF(AND(LEN($D1755)=10,LEFT($D1755,1)="0",ISNUMBER(--$D1755)),"Có","Không"))</f>
        <v/>
      </c>
      <c r="T1755" s="22">
        <f>IF($D1755="","",IF(AND($C1755&lt;&gt;"",$Q1755="Có",$R1755="",$S1755="Có",AND($L1755&lt;&gt;"",OR($L1755&lt;&gt;"Chưa xác định",DANH_MUC!$L$9="Có"))),"Có","Không"))</f>
        <v/>
      </c>
      <c r="U1755" s="22">
        <f>IF(OR($D1755="",$T1755="Có"),"",IF($C1755="","Thiếu họ tên; ","")&amp;IF($S1755&lt;&gt;"Có","SĐT sai định dạng; ","")&amp;IF($R1755="Trùng","Trùng SĐT; ","")&amp;IF($Q1755&lt;&gt;"Có","Thiếu đồng ý bắt buộc; ","")&amp;IF($L1755="","Thiếu/sai Mã REF; ",IF(AND($L1755="Chưa xác định",DANH_MUC!$L$9&lt;&gt;"Có"),"Nguồn chưa xác định; ","")))</f>
        <v/>
      </c>
      <c r="V1755" s="22">
        <f>IF(OR($D1755="",$R1755="Trùng"),"",IF(COUNTIF(ORDERS!$C$2:$C$4995,$D1755)&gt;0,"Có","Không"))</f>
        <v/>
      </c>
      <c r="W1755" s="22">
        <f>IF(OR($D1755="",$R1755="Trùng"),"",COUNTIFS(ORDERS!$C$2:$C$4995,$D1755,ORDERS!$L$2:$L$4995,"Đã chuyển khoản"))</f>
        <v/>
      </c>
      <c r="X1755" s="23">
        <f>IF(OR($D1755="",$R1755="Trùng"),"",SUMIFS(ORDERS!$J$2:$J$4995,ORDERS!$C$2:$C$4995,$D1755,ORDERS!$L$2:$L$4995,"Đã chuyển khoản"))</f>
        <v/>
      </c>
      <c r="Y1755" s="24" t="n"/>
    </row>
    <row r="1756" ht="14.25" customHeight="1" s="40">
      <c r="A1756" s="24" t="n"/>
      <c r="B1756" s="27" t="n"/>
      <c r="C1756" s="24" t="n"/>
      <c r="D1756" s="28" t="n"/>
      <c r="E1756" s="29" t="n"/>
      <c r="F1756" s="24" t="n"/>
      <c r="G1756" s="24" t="n"/>
      <c r="H1756" s="21">
        <f>IF(ISNUMBER($B1756),INT($B1756)-WEEKDAY($B1756,2)+1,"")</f>
        <v/>
      </c>
      <c r="I1756" s="24" t="n"/>
      <c r="J1756" s="22">
        <f t="array" ref="J1756">IF($D1756="","",IF($I1756="","(trống REF)",IFERROR(INDEX(MASTER_SOURCE!$B$2:$B$495,MATCH($I1756,MASTER_SOURCE!$A$2:$A$495,0)),"(REF không có trong MASTER_SOURCE)")))</f>
        <v/>
      </c>
      <c r="K1756" s="22">
        <f t="array" ref="K1756">IF($D1756="","",IFERROR(INDEX(MASTER_SOURCE!$C$2:$C$495,MATCH($I1756,MASTER_SOURCE!$A$2:$A$495,0)),""))</f>
        <v/>
      </c>
      <c r="L1756" s="22">
        <f t="array" ref="L1756">IF($D1756="","",IFERROR(INDEX(MASTER_SOURCE!$D$2:$D$495,MATCH($I1756,MASTER_SOURCE!$A$2:$A$495,0)),""))</f>
        <v/>
      </c>
      <c r="M1756" s="24" t="n"/>
      <c r="N1756" s="24" t="n"/>
      <c r="O1756" s="24" t="n"/>
      <c r="P1756" s="24" t="n"/>
      <c r="Q1756" s="22">
        <f>IF($D1756="","",IF(AND(OR(DANH_MUC!$L$5&lt;&gt;"Có",M1756="Có"),OR(DANH_MUC!$L$6&lt;&gt;"Có",N1756="Có"),OR(DANH_MUC!$L$7&lt;&gt;"Có",O1756="Có"),OR(DANH_MUC!$L$8&lt;&gt;"Có",P1756="Có")),"Có","Không"))</f>
        <v/>
      </c>
      <c r="R1756" s="22">
        <f>IF($D1756="","",IF(COUNTIF($D$2:$D1756,$D1756)&gt;1,"Trùng",""))</f>
        <v/>
      </c>
      <c r="S1756" s="22">
        <f>IF($D1756="","",IF(AND(LEN($D1756)=10,LEFT($D1756,1)="0",ISNUMBER(--$D1756)),"Có","Không"))</f>
        <v/>
      </c>
      <c r="T1756" s="22">
        <f>IF($D1756="","",IF(AND($C1756&lt;&gt;"",$Q1756="Có",$R1756="",$S1756="Có",AND($L1756&lt;&gt;"",OR($L1756&lt;&gt;"Chưa xác định",DANH_MUC!$L$9="Có"))),"Có","Không"))</f>
        <v/>
      </c>
      <c r="U1756" s="22">
        <f>IF(OR($D1756="",$T1756="Có"),"",IF($C1756="","Thiếu họ tên; ","")&amp;IF($S1756&lt;&gt;"Có","SĐT sai định dạng; ","")&amp;IF($R1756="Trùng","Trùng SĐT; ","")&amp;IF($Q1756&lt;&gt;"Có","Thiếu đồng ý bắt buộc; ","")&amp;IF($L1756="","Thiếu/sai Mã REF; ",IF(AND($L1756="Chưa xác định",DANH_MUC!$L$9&lt;&gt;"Có"),"Nguồn chưa xác định; ","")))</f>
        <v/>
      </c>
      <c r="V1756" s="22">
        <f>IF(OR($D1756="",$R1756="Trùng"),"",IF(COUNTIF(ORDERS!$C$2:$C$4995,$D1756)&gt;0,"Có","Không"))</f>
        <v/>
      </c>
      <c r="W1756" s="22">
        <f>IF(OR($D1756="",$R1756="Trùng"),"",COUNTIFS(ORDERS!$C$2:$C$4995,$D1756,ORDERS!$L$2:$L$4995,"Đã chuyển khoản"))</f>
        <v/>
      </c>
      <c r="X1756" s="23">
        <f>IF(OR($D1756="",$R1756="Trùng"),"",SUMIFS(ORDERS!$J$2:$J$4995,ORDERS!$C$2:$C$4995,$D1756,ORDERS!$L$2:$L$4995,"Đã chuyển khoản"))</f>
        <v/>
      </c>
      <c r="Y1756" s="24" t="n"/>
    </row>
    <row r="1757" ht="14.25" customHeight="1" s="40">
      <c r="A1757" s="24" t="n"/>
      <c r="B1757" s="27" t="n"/>
      <c r="C1757" s="24" t="n"/>
      <c r="D1757" s="28" t="n"/>
      <c r="E1757" s="29" t="n"/>
      <c r="F1757" s="24" t="n"/>
      <c r="G1757" s="24" t="n"/>
      <c r="H1757" s="21">
        <f>IF(ISNUMBER($B1757),INT($B1757)-WEEKDAY($B1757,2)+1,"")</f>
        <v/>
      </c>
      <c r="I1757" s="24" t="n"/>
      <c r="J1757" s="22">
        <f t="array" ref="J1757">IF($D1757="","",IF($I1757="","(trống REF)",IFERROR(INDEX(MASTER_SOURCE!$B$2:$B$495,MATCH($I1757,MASTER_SOURCE!$A$2:$A$495,0)),"(REF không có trong MASTER_SOURCE)")))</f>
        <v/>
      </c>
      <c r="K1757" s="22">
        <f t="array" ref="K1757">IF($D1757="","",IFERROR(INDEX(MASTER_SOURCE!$C$2:$C$495,MATCH($I1757,MASTER_SOURCE!$A$2:$A$495,0)),""))</f>
        <v/>
      </c>
      <c r="L1757" s="22">
        <f t="array" ref="L1757">IF($D1757="","",IFERROR(INDEX(MASTER_SOURCE!$D$2:$D$495,MATCH($I1757,MASTER_SOURCE!$A$2:$A$495,0)),""))</f>
        <v/>
      </c>
      <c r="M1757" s="24" t="n"/>
      <c r="N1757" s="24" t="n"/>
      <c r="O1757" s="24" t="n"/>
      <c r="P1757" s="24" t="n"/>
      <c r="Q1757" s="22">
        <f>IF($D1757="","",IF(AND(OR(DANH_MUC!$L$5&lt;&gt;"Có",M1757="Có"),OR(DANH_MUC!$L$6&lt;&gt;"Có",N1757="Có"),OR(DANH_MUC!$L$7&lt;&gt;"Có",O1757="Có"),OR(DANH_MUC!$L$8&lt;&gt;"Có",P1757="Có")),"Có","Không"))</f>
        <v/>
      </c>
      <c r="R1757" s="22">
        <f>IF($D1757="","",IF(COUNTIF($D$2:$D1757,$D1757)&gt;1,"Trùng",""))</f>
        <v/>
      </c>
      <c r="S1757" s="22">
        <f>IF($D1757="","",IF(AND(LEN($D1757)=10,LEFT($D1757,1)="0",ISNUMBER(--$D1757)),"Có","Không"))</f>
        <v/>
      </c>
      <c r="T1757" s="22">
        <f>IF($D1757="","",IF(AND($C1757&lt;&gt;"",$Q1757="Có",$R1757="",$S1757="Có",AND($L1757&lt;&gt;"",OR($L1757&lt;&gt;"Chưa xác định",DANH_MUC!$L$9="Có"))),"Có","Không"))</f>
        <v/>
      </c>
      <c r="U1757" s="22">
        <f>IF(OR($D1757="",$T1757="Có"),"",IF($C1757="","Thiếu họ tên; ","")&amp;IF($S1757&lt;&gt;"Có","SĐT sai định dạng; ","")&amp;IF($R1757="Trùng","Trùng SĐT; ","")&amp;IF($Q1757&lt;&gt;"Có","Thiếu đồng ý bắt buộc; ","")&amp;IF($L1757="","Thiếu/sai Mã REF; ",IF(AND($L1757="Chưa xác định",DANH_MUC!$L$9&lt;&gt;"Có"),"Nguồn chưa xác định; ","")))</f>
        <v/>
      </c>
      <c r="V1757" s="22">
        <f>IF(OR($D1757="",$R1757="Trùng"),"",IF(COUNTIF(ORDERS!$C$2:$C$4995,$D1757)&gt;0,"Có","Không"))</f>
        <v/>
      </c>
      <c r="W1757" s="22">
        <f>IF(OR($D1757="",$R1757="Trùng"),"",COUNTIFS(ORDERS!$C$2:$C$4995,$D1757,ORDERS!$L$2:$L$4995,"Đã chuyển khoản"))</f>
        <v/>
      </c>
      <c r="X1757" s="23">
        <f>IF(OR($D1757="",$R1757="Trùng"),"",SUMIFS(ORDERS!$J$2:$J$4995,ORDERS!$C$2:$C$4995,$D1757,ORDERS!$L$2:$L$4995,"Đã chuyển khoản"))</f>
        <v/>
      </c>
      <c r="Y1757" s="24" t="n"/>
    </row>
    <row r="1758" ht="14.25" customHeight="1" s="40">
      <c r="A1758" s="24" t="n"/>
      <c r="B1758" s="27" t="n"/>
      <c r="C1758" s="24" t="n"/>
      <c r="D1758" s="28" t="n"/>
      <c r="E1758" s="29" t="n"/>
      <c r="F1758" s="24" t="n"/>
      <c r="G1758" s="24" t="n"/>
      <c r="H1758" s="21">
        <f>IF(ISNUMBER($B1758),INT($B1758)-WEEKDAY($B1758,2)+1,"")</f>
        <v/>
      </c>
      <c r="I1758" s="24" t="n"/>
      <c r="J1758" s="22">
        <f t="array" ref="J1758">IF($D1758="","",IF($I1758="","(trống REF)",IFERROR(INDEX(MASTER_SOURCE!$B$2:$B$495,MATCH($I1758,MASTER_SOURCE!$A$2:$A$495,0)),"(REF không có trong MASTER_SOURCE)")))</f>
        <v/>
      </c>
      <c r="K1758" s="22">
        <f t="array" ref="K1758">IF($D1758="","",IFERROR(INDEX(MASTER_SOURCE!$C$2:$C$495,MATCH($I1758,MASTER_SOURCE!$A$2:$A$495,0)),""))</f>
        <v/>
      </c>
      <c r="L1758" s="22">
        <f t="array" ref="L1758">IF($D1758="","",IFERROR(INDEX(MASTER_SOURCE!$D$2:$D$495,MATCH($I1758,MASTER_SOURCE!$A$2:$A$495,0)),""))</f>
        <v/>
      </c>
      <c r="M1758" s="24" t="n"/>
      <c r="N1758" s="24" t="n"/>
      <c r="O1758" s="24" t="n"/>
      <c r="P1758" s="24" t="n"/>
      <c r="Q1758" s="22">
        <f>IF($D1758="","",IF(AND(OR(DANH_MUC!$L$5&lt;&gt;"Có",M1758="Có"),OR(DANH_MUC!$L$6&lt;&gt;"Có",N1758="Có"),OR(DANH_MUC!$L$7&lt;&gt;"Có",O1758="Có"),OR(DANH_MUC!$L$8&lt;&gt;"Có",P1758="Có")),"Có","Không"))</f>
        <v/>
      </c>
      <c r="R1758" s="22">
        <f>IF($D1758="","",IF(COUNTIF($D$2:$D1758,$D1758)&gt;1,"Trùng",""))</f>
        <v/>
      </c>
      <c r="S1758" s="22">
        <f>IF($D1758="","",IF(AND(LEN($D1758)=10,LEFT($D1758,1)="0",ISNUMBER(--$D1758)),"Có","Không"))</f>
        <v/>
      </c>
      <c r="T1758" s="22">
        <f>IF($D1758="","",IF(AND($C1758&lt;&gt;"",$Q1758="Có",$R1758="",$S1758="Có",AND($L1758&lt;&gt;"",OR($L1758&lt;&gt;"Chưa xác định",DANH_MUC!$L$9="Có"))),"Có","Không"))</f>
        <v/>
      </c>
      <c r="U1758" s="22">
        <f>IF(OR($D1758="",$T1758="Có"),"",IF($C1758="","Thiếu họ tên; ","")&amp;IF($S1758&lt;&gt;"Có","SĐT sai định dạng; ","")&amp;IF($R1758="Trùng","Trùng SĐT; ","")&amp;IF($Q1758&lt;&gt;"Có","Thiếu đồng ý bắt buộc; ","")&amp;IF($L1758="","Thiếu/sai Mã REF; ",IF(AND($L1758="Chưa xác định",DANH_MUC!$L$9&lt;&gt;"Có"),"Nguồn chưa xác định; ","")))</f>
        <v/>
      </c>
      <c r="V1758" s="22">
        <f>IF(OR($D1758="",$R1758="Trùng"),"",IF(COUNTIF(ORDERS!$C$2:$C$4995,$D1758)&gt;0,"Có","Không"))</f>
        <v/>
      </c>
      <c r="W1758" s="22">
        <f>IF(OR($D1758="",$R1758="Trùng"),"",COUNTIFS(ORDERS!$C$2:$C$4995,$D1758,ORDERS!$L$2:$L$4995,"Đã chuyển khoản"))</f>
        <v/>
      </c>
      <c r="X1758" s="23">
        <f>IF(OR($D1758="",$R1758="Trùng"),"",SUMIFS(ORDERS!$J$2:$J$4995,ORDERS!$C$2:$C$4995,$D1758,ORDERS!$L$2:$L$4995,"Đã chuyển khoản"))</f>
        <v/>
      </c>
      <c r="Y1758" s="24" t="n"/>
    </row>
    <row r="1759" ht="14.25" customHeight="1" s="40">
      <c r="A1759" s="24" t="n"/>
      <c r="B1759" s="27" t="n"/>
      <c r="C1759" s="24" t="n"/>
      <c r="D1759" s="28" t="n"/>
      <c r="E1759" s="29" t="n"/>
      <c r="F1759" s="24" t="n"/>
      <c r="G1759" s="24" t="n"/>
      <c r="H1759" s="21">
        <f>IF(ISNUMBER($B1759),INT($B1759)-WEEKDAY($B1759,2)+1,"")</f>
        <v/>
      </c>
      <c r="I1759" s="24" t="n"/>
      <c r="J1759" s="22">
        <f t="array" ref="J1759">IF($D1759="","",IF($I1759="","(trống REF)",IFERROR(INDEX(MASTER_SOURCE!$B$2:$B$495,MATCH($I1759,MASTER_SOURCE!$A$2:$A$495,0)),"(REF không có trong MASTER_SOURCE)")))</f>
        <v/>
      </c>
      <c r="K1759" s="22">
        <f t="array" ref="K1759">IF($D1759="","",IFERROR(INDEX(MASTER_SOURCE!$C$2:$C$495,MATCH($I1759,MASTER_SOURCE!$A$2:$A$495,0)),""))</f>
        <v/>
      </c>
      <c r="L1759" s="22">
        <f t="array" ref="L1759">IF($D1759="","",IFERROR(INDEX(MASTER_SOURCE!$D$2:$D$495,MATCH($I1759,MASTER_SOURCE!$A$2:$A$495,0)),""))</f>
        <v/>
      </c>
      <c r="M1759" s="24" t="n"/>
      <c r="N1759" s="24" t="n"/>
      <c r="O1759" s="24" t="n"/>
      <c r="P1759" s="24" t="n"/>
      <c r="Q1759" s="22">
        <f>IF($D1759="","",IF(AND(OR(DANH_MUC!$L$5&lt;&gt;"Có",M1759="Có"),OR(DANH_MUC!$L$6&lt;&gt;"Có",N1759="Có"),OR(DANH_MUC!$L$7&lt;&gt;"Có",O1759="Có"),OR(DANH_MUC!$L$8&lt;&gt;"Có",P1759="Có")),"Có","Không"))</f>
        <v/>
      </c>
      <c r="R1759" s="22">
        <f>IF($D1759="","",IF(COUNTIF($D$2:$D1759,$D1759)&gt;1,"Trùng",""))</f>
        <v/>
      </c>
      <c r="S1759" s="22">
        <f>IF($D1759="","",IF(AND(LEN($D1759)=10,LEFT($D1759,1)="0",ISNUMBER(--$D1759)),"Có","Không"))</f>
        <v/>
      </c>
      <c r="T1759" s="22">
        <f>IF($D1759="","",IF(AND($C1759&lt;&gt;"",$Q1759="Có",$R1759="",$S1759="Có",AND($L1759&lt;&gt;"",OR($L1759&lt;&gt;"Chưa xác định",DANH_MUC!$L$9="Có"))),"Có","Không"))</f>
        <v/>
      </c>
      <c r="U1759" s="22">
        <f>IF(OR($D1759="",$T1759="Có"),"",IF($C1759="","Thiếu họ tên; ","")&amp;IF($S1759&lt;&gt;"Có","SĐT sai định dạng; ","")&amp;IF($R1759="Trùng","Trùng SĐT; ","")&amp;IF($Q1759&lt;&gt;"Có","Thiếu đồng ý bắt buộc; ","")&amp;IF($L1759="","Thiếu/sai Mã REF; ",IF(AND($L1759="Chưa xác định",DANH_MUC!$L$9&lt;&gt;"Có"),"Nguồn chưa xác định; ","")))</f>
        <v/>
      </c>
      <c r="V1759" s="22">
        <f>IF(OR($D1759="",$R1759="Trùng"),"",IF(COUNTIF(ORDERS!$C$2:$C$4995,$D1759)&gt;0,"Có","Không"))</f>
        <v/>
      </c>
      <c r="W1759" s="22">
        <f>IF(OR($D1759="",$R1759="Trùng"),"",COUNTIFS(ORDERS!$C$2:$C$4995,$D1759,ORDERS!$L$2:$L$4995,"Đã chuyển khoản"))</f>
        <v/>
      </c>
      <c r="X1759" s="23">
        <f>IF(OR($D1759="",$R1759="Trùng"),"",SUMIFS(ORDERS!$J$2:$J$4995,ORDERS!$C$2:$C$4995,$D1759,ORDERS!$L$2:$L$4995,"Đã chuyển khoản"))</f>
        <v/>
      </c>
      <c r="Y1759" s="24" t="n"/>
    </row>
    <row r="1760" ht="14.25" customHeight="1" s="40">
      <c r="A1760" s="24" t="n"/>
      <c r="B1760" s="27" t="n"/>
      <c r="C1760" s="24" t="n"/>
      <c r="D1760" s="28" t="n"/>
      <c r="E1760" s="29" t="n"/>
      <c r="F1760" s="24" t="n"/>
      <c r="G1760" s="24" t="n"/>
      <c r="H1760" s="21">
        <f>IF(ISNUMBER($B1760),INT($B1760)-WEEKDAY($B1760,2)+1,"")</f>
        <v/>
      </c>
      <c r="I1760" s="24" t="n"/>
      <c r="J1760" s="22">
        <f t="array" ref="J1760">IF($D1760="","",IF($I1760="","(trống REF)",IFERROR(INDEX(MASTER_SOURCE!$B$2:$B$495,MATCH($I1760,MASTER_SOURCE!$A$2:$A$495,0)),"(REF không có trong MASTER_SOURCE)")))</f>
        <v/>
      </c>
      <c r="K1760" s="22">
        <f t="array" ref="K1760">IF($D1760="","",IFERROR(INDEX(MASTER_SOURCE!$C$2:$C$495,MATCH($I1760,MASTER_SOURCE!$A$2:$A$495,0)),""))</f>
        <v/>
      </c>
      <c r="L1760" s="22">
        <f t="array" ref="L1760">IF($D1760="","",IFERROR(INDEX(MASTER_SOURCE!$D$2:$D$495,MATCH($I1760,MASTER_SOURCE!$A$2:$A$495,0)),""))</f>
        <v/>
      </c>
      <c r="M1760" s="24" t="n"/>
      <c r="N1760" s="24" t="n"/>
      <c r="O1760" s="24" t="n"/>
      <c r="P1760" s="24" t="n"/>
      <c r="Q1760" s="22">
        <f>IF($D1760="","",IF(AND(OR(DANH_MUC!$L$5&lt;&gt;"Có",M1760="Có"),OR(DANH_MUC!$L$6&lt;&gt;"Có",N1760="Có"),OR(DANH_MUC!$L$7&lt;&gt;"Có",O1760="Có"),OR(DANH_MUC!$L$8&lt;&gt;"Có",P1760="Có")),"Có","Không"))</f>
        <v/>
      </c>
      <c r="R1760" s="22">
        <f>IF($D1760="","",IF(COUNTIF($D$2:$D1760,$D1760)&gt;1,"Trùng",""))</f>
        <v/>
      </c>
      <c r="S1760" s="22">
        <f>IF($D1760="","",IF(AND(LEN($D1760)=10,LEFT($D1760,1)="0",ISNUMBER(--$D1760)),"Có","Không"))</f>
        <v/>
      </c>
      <c r="T1760" s="22">
        <f>IF($D1760="","",IF(AND($C1760&lt;&gt;"",$Q1760="Có",$R1760="",$S1760="Có",AND($L1760&lt;&gt;"",OR($L1760&lt;&gt;"Chưa xác định",DANH_MUC!$L$9="Có"))),"Có","Không"))</f>
        <v/>
      </c>
      <c r="U1760" s="22">
        <f>IF(OR($D1760="",$T1760="Có"),"",IF($C1760="","Thiếu họ tên; ","")&amp;IF($S1760&lt;&gt;"Có","SĐT sai định dạng; ","")&amp;IF($R1760="Trùng","Trùng SĐT; ","")&amp;IF($Q1760&lt;&gt;"Có","Thiếu đồng ý bắt buộc; ","")&amp;IF($L1760="","Thiếu/sai Mã REF; ",IF(AND($L1760="Chưa xác định",DANH_MUC!$L$9&lt;&gt;"Có"),"Nguồn chưa xác định; ","")))</f>
        <v/>
      </c>
      <c r="V1760" s="22">
        <f>IF(OR($D1760="",$R1760="Trùng"),"",IF(COUNTIF(ORDERS!$C$2:$C$4995,$D1760)&gt;0,"Có","Không"))</f>
        <v/>
      </c>
      <c r="W1760" s="22">
        <f>IF(OR($D1760="",$R1760="Trùng"),"",COUNTIFS(ORDERS!$C$2:$C$4995,$D1760,ORDERS!$L$2:$L$4995,"Đã chuyển khoản"))</f>
        <v/>
      </c>
      <c r="X1760" s="23">
        <f>IF(OR($D1760="",$R1760="Trùng"),"",SUMIFS(ORDERS!$J$2:$J$4995,ORDERS!$C$2:$C$4995,$D1760,ORDERS!$L$2:$L$4995,"Đã chuyển khoản"))</f>
        <v/>
      </c>
      <c r="Y1760" s="24" t="n"/>
    </row>
    <row r="1761" ht="14.25" customHeight="1" s="40">
      <c r="A1761" s="24" t="n"/>
      <c r="B1761" s="27" t="n"/>
      <c r="C1761" s="24" t="n"/>
      <c r="D1761" s="28" t="n"/>
      <c r="E1761" s="29" t="n"/>
      <c r="F1761" s="24" t="n"/>
      <c r="G1761" s="24" t="n"/>
      <c r="H1761" s="21">
        <f>IF(ISNUMBER($B1761),INT($B1761)-WEEKDAY($B1761,2)+1,"")</f>
        <v/>
      </c>
      <c r="I1761" s="24" t="n"/>
      <c r="J1761" s="22">
        <f t="array" ref="J1761">IF($D1761="","",IF($I1761="","(trống REF)",IFERROR(INDEX(MASTER_SOURCE!$B$2:$B$495,MATCH($I1761,MASTER_SOURCE!$A$2:$A$495,0)),"(REF không có trong MASTER_SOURCE)")))</f>
        <v/>
      </c>
      <c r="K1761" s="22">
        <f t="array" ref="K1761">IF($D1761="","",IFERROR(INDEX(MASTER_SOURCE!$C$2:$C$495,MATCH($I1761,MASTER_SOURCE!$A$2:$A$495,0)),""))</f>
        <v/>
      </c>
      <c r="L1761" s="22">
        <f t="array" ref="L1761">IF($D1761="","",IFERROR(INDEX(MASTER_SOURCE!$D$2:$D$495,MATCH($I1761,MASTER_SOURCE!$A$2:$A$495,0)),""))</f>
        <v/>
      </c>
      <c r="M1761" s="24" t="n"/>
      <c r="N1761" s="24" t="n"/>
      <c r="O1761" s="24" t="n"/>
      <c r="P1761" s="24" t="n"/>
      <c r="Q1761" s="22">
        <f>IF($D1761="","",IF(AND(OR(DANH_MUC!$L$5&lt;&gt;"Có",M1761="Có"),OR(DANH_MUC!$L$6&lt;&gt;"Có",N1761="Có"),OR(DANH_MUC!$L$7&lt;&gt;"Có",O1761="Có"),OR(DANH_MUC!$L$8&lt;&gt;"Có",P1761="Có")),"Có","Không"))</f>
        <v/>
      </c>
      <c r="R1761" s="22">
        <f>IF($D1761="","",IF(COUNTIF($D$2:$D1761,$D1761)&gt;1,"Trùng",""))</f>
        <v/>
      </c>
      <c r="S1761" s="22">
        <f>IF($D1761="","",IF(AND(LEN($D1761)=10,LEFT($D1761,1)="0",ISNUMBER(--$D1761)),"Có","Không"))</f>
        <v/>
      </c>
      <c r="T1761" s="22">
        <f>IF($D1761="","",IF(AND($C1761&lt;&gt;"",$Q1761="Có",$R1761="",$S1761="Có",AND($L1761&lt;&gt;"",OR($L1761&lt;&gt;"Chưa xác định",DANH_MUC!$L$9="Có"))),"Có","Không"))</f>
        <v/>
      </c>
      <c r="U1761" s="22">
        <f>IF(OR($D1761="",$T1761="Có"),"",IF($C1761="","Thiếu họ tên; ","")&amp;IF($S1761&lt;&gt;"Có","SĐT sai định dạng; ","")&amp;IF($R1761="Trùng","Trùng SĐT; ","")&amp;IF($Q1761&lt;&gt;"Có","Thiếu đồng ý bắt buộc; ","")&amp;IF($L1761="","Thiếu/sai Mã REF; ",IF(AND($L1761="Chưa xác định",DANH_MUC!$L$9&lt;&gt;"Có"),"Nguồn chưa xác định; ","")))</f>
        <v/>
      </c>
      <c r="V1761" s="22">
        <f>IF(OR($D1761="",$R1761="Trùng"),"",IF(COUNTIF(ORDERS!$C$2:$C$4995,$D1761)&gt;0,"Có","Không"))</f>
        <v/>
      </c>
      <c r="W1761" s="22">
        <f>IF(OR($D1761="",$R1761="Trùng"),"",COUNTIFS(ORDERS!$C$2:$C$4995,$D1761,ORDERS!$L$2:$L$4995,"Đã chuyển khoản"))</f>
        <v/>
      </c>
      <c r="X1761" s="23">
        <f>IF(OR($D1761="",$R1761="Trùng"),"",SUMIFS(ORDERS!$J$2:$J$4995,ORDERS!$C$2:$C$4995,$D1761,ORDERS!$L$2:$L$4995,"Đã chuyển khoản"))</f>
        <v/>
      </c>
      <c r="Y1761" s="24" t="n"/>
    </row>
    <row r="1762" ht="14.25" customHeight="1" s="40">
      <c r="A1762" s="24" t="n"/>
      <c r="B1762" s="27" t="n"/>
      <c r="C1762" s="24" t="n"/>
      <c r="D1762" s="28" t="n"/>
      <c r="E1762" s="29" t="n"/>
      <c r="F1762" s="24" t="n"/>
      <c r="G1762" s="24" t="n"/>
      <c r="H1762" s="21">
        <f>IF(ISNUMBER($B1762),INT($B1762)-WEEKDAY($B1762,2)+1,"")</f>
        <v/>
      </c>
      <c r="I1762" s="24" t="n"/>
      <c r="J1762" s="22">
        <f t="array" ref="J1762">IF($D1762="","",IF($I1762="","(trống REF)",IFERROR(INDEX(MASTER_SOURCE!$B$2:$B$495,MATCH($I1762,MASTER_SOURCE!$A$2:$A$495,0)),"(REF không có trong MASTER_SOURCE)")))</f>
        <v/>
      </c>
      <c r="K1762" s="22">
        <f t="array" ref="K1762">IF($D1762="","",IFERROR(INDEX(MASTER_SOURCE!$C$2:$C$495,MATCH($I1762,MASTER_SOURCE!$A$2:$A$495,0)),""))</f>
        <v/>
      </c>
      <c r="L1762" s="22">
        <f t="array" ref="L1762">IF($D1762="","",IFERROR(INDEX(MASTER_SOURCE!$D$2:$D$495,MATCH($I1762,MASTER_SOURCE!$A$2:$A$495,0)),""))</f>
        <v/>
      </c>
      <c r="M1762" s="24" t="n"/>
      <c r="N1762" s="24" t="n"/>
      <c r="O1762" s="24" t="n"/>
      <c r="P1762" s="24" t="n"/>
      <c r="Q1762" s="22">
        <f>IF($D1762="","",IF(AND(OR(DANH_MUC!$L$5&lt;&gt;"Có",M1762="Có"),OR(DANH_MUC!$L$6&lt;&gt;"Có",N1762="Có"),OR(DANH_MUC!$L$7&lt;&gt;"Có",O1762="Có"),OR(DANH_MUC!$L$8&lt;&gt;"Có",P1762="Có")),"Có","Không"))</f>
        <v/>
      </c>
      <c r="R1762" s="22">
        <f>IF($D1762="","",IF(COUNTIF($D$2:$D1762,$D1762)&gt;1,"Trùng",""))</f>
        <v/>
      </c>
      <c r="S1762" s="22">
        <f>IF($D1762="","",IF(AND(LEN($D1762)=10,LEFT($D1762,1)="0",ISNUMBER(--$D1762)),"Có","Không"))</f>
        <v/>
      </c>
      <c r="T1762" s="22">
        <f>IF($D1762="","",IF(AND($C1762&lt;&gt;"",$Q1762="Có",$R1762="",$S1762="Có",AND($L1762&lt;&gt;"",OR($L1762&lt;&gt;"Chưa xác định",DANH_MUC!$L$9="Có"))),"Có","Không"))</f>
        <v/>
      </c>
      <c r="U1762" s="22">
        <f>IF(OR($D1762="",$T1762="Có"),"",IF($C1762="","Thiếu họ tên; ","")&amp;IF($S1762&lt;&gt;"Có","SĐT sai định dạng; ","")&amp;IF($R1762="Trùng","Trùng SĐT; ","")&amp;IF($Q1762&lt;&gt;"Có","Thiếu đồng ý bắt buộc; ","")&amp;IF($L1762="","Thiếu/sai Mã REF; ",IF(AND($L1762="Chưa xác định",DANH_MUC!$L$9&lt;&gt;"Có"),"Nguồn chưa xác định; ","")))</f>
        <v/>
      </c>
      <c r="V1762" s="22">
        <f>IF(OR($D1762="",$R1762="Trùng"),"",IF(COUNTIF(ORDERS!$C$2:$C$4995,$D1762)&gt;0,"Có","Không"))</f>
        <v/>
      </c>
      <c r="W1762" s="22">
        <f>IF(OR($D1762="",$R1762="Trùng"),"",COUNTIFS(ORDERS!$C$2:$C$4995,$D1762,ORDERS!$L$2:$L$4995,"Đã chuyển khoản"))</f>
        <v/>
      </c>
      <c r="X1762" s="23">
        <f>IF(OR($D1762="",$R1762="Trùng"),"",SUMIFS(ORDERS!$J$2:$J$4995,ORDERS!$C$2:$C$4995,$D1762,ORDERS!$L$2:$L$4995,"Đã chuyển khoản"))</f>
        <v/>
      </c>
      <c r="Y1762" s="24" t="n"/>
    </row>
    <row r="1763" ht="14.25" customHeight="1" s="40">
      <c r="A1763" s="24" t="n"/>
      <c r="B1763" s="27" t="n"/>
      <c r="C1763" s="24" t="n"/>
      <c r="D1763" s="28" t="n"/>
      <c r="E1763" s="29" t="n"/>
      <c r="F1763" s="24" t="n"/>
      <c r="G1763" s="24" t="n"/>
      <c r="H1763" s="21">
        <f>IF(ISNUMBER($B1763),INT($B1763)-WEEKDAY($B1763,2)+1,"")</f>
        <v/>
      </c>
      <c r="I1763" s="24" t="n"/>
      <c r="J1763" s="22">
        <f t="array" ref="J1763">IF($D1763="","",IF($I1763="","(trống REF)",IFERROR(INDEX(MASTER_SOURCE!$B$2:$B$495,MATCH($I1763,MASTER_SOURCE!$A$2:$A$495,0)),"(REF không có trong MASTER_SOURCE)")))</f>
        <v/>
      </c>
      <c r="K1763" s="22">
        <f t="array" ref="K1763">IF($D1763="","",IFERROR(INDEX(MASTER_SOURCE!$C$2:$C$495,MATCH($I1763,MASTER_SOURCE!$A$2:$A$495,0)),""))</f>
        <v/>
      </c>
      <c r="L1763" s="22">
        <f t="array" ref="L1763">IF($D1763="","",IFERROR(INDEX(MASTER_SOURCE!$D$2:$D$495,MATCH($I1763,MASTER_SOURCE!$A$2:$A$495,0)),""))</f>
        <v/>
      </c>
      <c r="M1763" s="24" t="n"/>
      <c r="N1763" s="24" t="n"/>
      <c r="O1763" s="24" t="n"/>
      <c r="P1763" s="24" t="n"/>
      <c r="Q1763" s="22">
        <f>IF($D1763="","",IF(AND(OR(DANH_MUC!$L$5&lt;&gt;"Có",M1763="Có"),OR(DANH_MUC!$L$6&lt;&gt;"Có",N1763="Có"),OR(DANH_MUC!$L$7&lt;&gt;"Có",O1763="Có"),OR(DANH_MUC!$L$8&lt;&gt;"Có",P1763="Có")),"Có","Không"))</f>
        <v/>
      </c>
      <c r="R1763" s="22">
        <f>IF($D1763="","",IF(COUNTIF($D$2:$D1763,$D1763)&gt;1,"Trùng",""))</f>
        <v/>
      </c>
      <c r="S1763" s="22">
        <f>IF($D1763="","",IF(AND(LEN($D1763)=10,LEFT($D1763,1)="0",ISNUMBER(--$D1763)),"Có","Không"))</f>
        <v/>
      </c>
      <c r="T1763" s="22">
        <f>IF($D1763="","",IF(AND($C1763&lt;&gt;"",$Q1763="Có",$R1763="",$S1763="Có",AND($L1763&lt;&gt;"",OR($L1763&lt;&gt;"Chưa xác định",DANH_MUC!$L$9="Có"))),"Có","Không"))</f>
        <v/>
      </c>
      <c r="U1763" s="22">
        <f>IF(OR($D1763="",$T1763="Có"),"",IF($C1763="","Thiếu họ tên; ","")&amp;IF($S1763&lt;&gt;"Có","SĐT sai định dạng; ","")&amp;IF($R1763="Trùng","Trùng SĐT; ","")&amp;IF($Q1763&lt;&gt;"Có","Thiếu đồng ý bắt buộc; ","")&amp;IF($L1763="","Thiếu/sai Mã REF; ",IF(AND($L1763="Chưa xác định",DANH_MUC!$L$9&lt;&gt;"Có"),"Nguồn chưa xác định; ","")))</f>
        <v/>
      </c>
      <c r="V1763" s="22">
        <f>IF(OR($D1763="",$R1763="Trùng"),"",IF(COUNTIF(ORDERS!$C$2:$C$4995,$D1763)&gt;0,"Có","Không"))</f>
        <v/>
      </c>
      <c r="W1763" s="22">
        <f>IF(OR($D1763="",$R1763="Trùng"),"",COUNTIFS(ORDERS!$C$2:$C$4995,$D1763,ORDERS!$L$2:$L$4995,"Đã chuyển khoản"))</f>
        <v/>
      </c>
      <c r="X1763" s="23">
        <f>IF(OR($D1763="",$R1763="Trùng"),"",SUMIFS(ORDERS!$J$2:$J$4995,ORDERS!$C$2:$C$4995,$D1763,ORDERS!$L$2:$L$4995,"Đã chuyển khoản"))</f>
        <v/>
      </c>
      <c r="Y1763" s="24" t="n"/>
    </row>
    <row r="1764" ht="14.25" customHeight="1" s="40">
      <c r="A1764" s="24" t="n"/>
      <c r="B1764" s="27" t="n"/>
      <c r="C1764" s="24" t="n"/>
      <c r="D1764" s="28" t="n"/>
      <c r="E1764" s="29" t="n"/>
      <c r="F1764" s="24" t="n"/>
      <c r="G1764" s="24" t="n"/>
      <c r="H1764" s="21">
        <f>IF(ISNUMBER($B1764),INT($B1764)-WEEKDAY($B1764,2)+1,"")</f>
        <v/>
      </c>
      <c r="I1764" s="24" t="n"/>
      <c r="J1764" s="22">
        <f t="array" ref="J1764">IF($D1764="","",IF($I1764="","(trống REF)",IFERROR(INDEX(MASTER_SOURCE!$B$2:$B$495,MATCH($I1764,MASTER_SOURCE!$A$2:$A$495,0)),"(REF không có trong MASTER_SOURCE)")))</f>
        <v/>
      </c>
      <c r="K1764" s="22">
        <f t="array" ref="K1764">IF($D1764="","",IFERROR(INDEX(MASTER_SOURCE!$C$2:$C$495,MATCH($I1764,MASTER_SOURCE!$A$2:$A$495,0)),""))</f>
        <v/>
      </c>
      <c r="L1764" s="22">
        <f t="array" ref="L1764">IF($D1764="","",IFERROR(INDEX(MASTER_SOURCE!$D$2:$D$495,MATCH($I1764,MASTER_SOURCE!$A$2:$A$495,0)),""))</f>
        <v/>
      </c>
      <c r="M1764" s="24" t="n"/>
      <c r="N1764" s="24" t="n"/>
      <c r="O1764" s="24" t="n"/>
      <c r="P1764" s="24" t="n"/>
      <c r="Q1764" s="22">
        <f>IF($D1764="","",IF(AND(OR(DANH_MUC!$L$5&lt;&gt;"Có",M1764="Có"),OR(DANH_MUC!$L$6&lt;&gt;"Có",N1764="Có"),OR(DANH_MUC!$L$7&lt;&gt;"Có",O1764="Có"),OR(DANH_MUC!$L$8&lt;&gt;"Có",P1764="Có")),"Có","Không"))</f>
        <v/>
      </c>
      <c r="R1764" s="22">
        <f>IF($D1764="","",IF(COUNTIF($D$2:$D1764,$D1764)&gt;1,"Trùng",""))</f>
        <v/>
      </c>
      <c r="S1764" s="22">
        <f>IF($D1764="","",IF(AND(LEN($D1764)=10,LEFT($D1764,1)="0",ISNUMBER(--$D1764)),"Có","Không"))</f>
        <v/>
      </c>
      <c r="T1764" s="22">
        <f>IF($D1764="","",IF(AND($C1764&lt;&gt;"",$Q1764="Có",$R1764="",$S1764="Có",AND($L1764&lt;&gt;"",OR($L1764&lt;&gt;"Chưa xác định",DANH_MUC!$L$9="Có"))),"Có","Không"))</f>
        <v/>
      </c>
      <c r="U1764" s="22">
        <f>IF(OR($D1764="",$T1764="Có"),"",IF($C1764="","Thiếu họ tên; ","")&amp;IF($S1764&lt;&gt;"Có","SĐT sai định dạng; ","")&amp;IF($R1764="Trùng","Trùng SĐT; ","")&amp;IF($Q1764&lt;&gt;"Có","Thiếu đồng ý bắt buộc; ","")&amp;IF($L1764="","Thiếu/sai Mã REF; ",IF(AND($L1764="Chưa xác định",DANH_MUC!$L$9&lt;&gt;"Có"),"Nguồn chưa xác định; ","")))</f>
        <v/>
      </c>
      <c r="V1764" s="22">
        <f>IF(OR($D1764="",$R1764="Trùng"),"",IF(COUNTIF(ORDERS!$C$2:$C$4995,$D1764)&gt;0,"Có","Không"))</f>
        <v/>
      </c>
      <c r="W1764" s="22">
        <f>IF(OR($D1764="",$R1764="Trùng"),"",COUNTIFS(ORDERS!$C$2:$C$4995,$D1764,ORDERS!$L$2:$L$4995,"Đã chuyển khoản"))</f>
        <v/>
      </c>
      <c r="X1764" s="23">
        <f>IF(OR($D1764="",$R1764="Trùng"),"",SUMIFS(ORDERS!$J$2:$J$4995,ORDERS!$C$2:$C$4995,$D1764,ORDERS!$L$2:$L$4995,"Đã chuyển khoản"))</f>
        <v/>
      </c>
      <c r="Y1764" s="24" t="n"/>
    </row>
    <row r="1765" ht="14.25" customHeight="1" s="40">
      <c r="A1765" s="24" t="n"/>
      <c r="B1765" s="27" t="n"/>
      <c r="C1765" s="24" t="n"/>
      <c r="D1765" s="28" t="n"/>
      <c r="E1765" s="29" t="n"/>
      <c r="F1765" s="24" t="n"/>
      <c r="G1765" s="24" t="n"/>
      <c r="H1765" s="21">
        <f>IF(ISNUMBER($B1765),INT($B1765)-WEEKDAY($B1765,2)+1,"")</f>
        <v/>
      </c>
      <c r="I1765" s="24" t="n"/>
      <c r="J1765" s="22">
        <f t="array" ref="J1765">IF($D1765="","",IF($I1765="","(trống REF)",IFERROR(INDEX(MASTER_SOURCE!$B$2:$B$495,MATCH($I1765,MASTER_SOURCE!$A$2:$A$495,0)),"(REF không có trong MASTER_SOURCE)")))</f>
        <v/>
      </c>
      <c r="K1765" s="22">
        <f t="array" ref="K1765">IF($D1765="","",IFERROR(INDEX(MASTER_SOURCE!$C$2:$C$495,MATCH($I1765,MASTER_SOURCE!$A$2:$A$495,0)),""))</f>
        <v/>
      </c>
      <c r="L1765" s="22">
        <f t="array" ref="L1765">IF($D1765="","",IFERROR(INDEX(MASTER_SOURCE!$D$2:$D$495,MATCH($I1765,MASTER_SOURCE!$A$2:$A$495,0)),""))</f>
        <v/>
      </c>
      <c r="M1765" s="24" t="n"/>
      <c r="N1765" s="24" t="n"/>
      <c r="O1765" s="24" t="n"/>
      <c r="P1765" s="24" t="n"/>
      <c r="Q1765" s="22">
        <f>IF($D1765="","",IF(AND(OR(DANH_MUC!$L$5&lt;&gt;"Có",M1765="Có"),OR(DANH_MUC!$L$6&lt;&gt;"Có",N1765="Có"),OR(DANH_MUC!$L$7&lt;&gt;"Có",O1765="Có"),OR(DANH_MUC!$L$8&lt;&gt;"Có",P1765="Có")),"Có","Không"))</f>
        <v/>
      </c>
      <c r="R1765" s="22">
        <f>IF($D1765="","",IF(COUNTIF($D$2:$D1765,$D1765)&gt;1,"Trùng",""))</f>
        <v/>
      </c>
      <c r="S1765" s="22">
        <f>IF($D1765="","",IF(AND(LEN($D1765)=10,LEFT($D1765,1)="0",ISNUMBER(--$D1765)),"Có","Không"))</f>
        <v/>
      </c>
      <c r="T1765" s="22">
        <f>IF($D1765="","",IF(AND($C1765&lt;&gt;"",$Q1765="Có",$R1765="",$S1765="Có",AND($L1765&lt;&gt;"",OR($L1765&lt;&gt;"Chưa xác định",DANH_MUC!$L$9="Có"))),"Có","Không"))</f>
        <v/>
      </c>
      <c r="U1765" s="22">
        <f>IF(OR($D1765="",$T1765="Có"),"",IF($C1765="","Thiếu họ tên; ","")&amp;IF($S1765&lt;&gt;"Có","SĐT sai định dạng; ","")&amp;IF($R1765="Trùng","Trùng SĐT; ","")&amp;IF($Q1765&lt;&gt;"Có","Thiếu đồng ý bắt buộc; ","")&amp;IF($L1765="","Thiếu/sai Mã REF; ",IF(AND($L1765="Chưa xác định",DANH_MUC!$L$9&lt;&gt;"Có"),"Nguồn chưa xác định; ","")))</f>
        <v/>
      </c>
      <c r="V1765" s="22">
        <f>IF(OR($D1765="",$R1765="Trùng"),"",IF(COUNTIF(ORDERS!$C$2:$C$4995,$D1765)&gt;0,"Có","Không"))</f>
        <v/>
      </c>
      <c r="W1765" s="22">
        <f>IF(OR($D1765="",$R1765="Trùng"),"",COUNTIFS(ORDERS!$C$2:$C$4995,$D1765,ORDERS!$L$2:$L$4995,"Đã chuyển khoản"))</f>
        <v/>
      </c>
      <c r="X1765" s="23">
        <f>IF(OR($D1765="",$R1765="Trùng"),"",SUMIFS(ORDERS!$J$2:$J$4995,ORDERS!$C$2:$C$4995,$D1765,ORDERS!$L$2:$L$4995,"Đã chuyển khoản"))</f>
        <v/>
      </c>
      <c r="Y1765" s="24" t="n"/>
    </row>
    <row r="1766" ht="14.25" customHeight="1" s="40">
      <c r="A1766" s="24" t="n"/>
      <c r="B1766" s="27" t="n"/>
      <c r="C1766" s="24" t="n"/>
      <c r="D1766" s="28" t="n"/>
      <c r="E1766" s="29" t="n"/>
      <c r="F1766" s="24" t="n"/>
      <c r="G1766" s="24" t="n"/>
      <c r="H1766" s="21">
        <f>IF(ISNUMBER($B1766),INT($B1766)-WEEKDAY($B1766,2)+1,"")</f>
        <v/>
      </c>
      <c r="I1766" s="24" t="n"/>
      <c r="J1766" s="22">
        <f t="array" ref="J1766">IF($D1766="","",IF($I1766="","(trống REF)",IFERROR(INDEX(MASTER_SOURCE!$B$2:$B$495,MATCH($I1766,MASTER_SOURCE!$A$2:$A$495,0)),"(REF không có trong MASTER_SOURCE)")))</f>
        <v/>
      </c>
      <c r="K1766" s="22">
        <f t="array" ref="K1766">IF($D1766="","",IFERROR(INDEX(MASTER_SOURCE!$C$2:$C$495,MATCH($I1766,MASTER_SOURCE!$A$2:$A$495,0)),""))</f>
        <v/>
      </c>
      <c r="L1766" s="22">
        <f t="array" ref="L1766">IF($D1766="","",IFERROR(INDEX(MASTER_SOURCE!$D$2:$D$495,MATCH($I1766,MASTER_SOURCE!$A$2:$A$495,0)),""))</f>
        <v/>
      </c>
      <c r="M1766" s="24" t="n"/>
      <c r="N1766" s="24" t="n"/>
      <c r="O1766" s="24" t="n"/>
      <c r="P1766" s="24" t="n"/>
      <c r="Q1766" s="22">
        <f>IF($D1766="","",IF(AND(OR(DANH_MUC!$L$5&lt;&gt;"Có",M1766="Có"),OR(DANH_MUC!$L$6&lt;&gt;"Có",N1766="Có"),OR(DANH_MUC!$L$7&lt;&gt;"Có",O1766="Có"),OR(DANH_MUC!$L$8&lt;&gt;"Có",P1766="Có")),"Có","Không"))</f>
        <v/>
      </c>
      <c r="R1766" s="22">
        <f>IF($D1766="","",IF(COUNTIF($D$2:$D1766,$D1766)&gt;1,"Trùng",""))</f>
        <v/>
      </c>
      <c r="S1766" s="22">
        <f>IF($D1766="","",IF(AND(LEN($D1766)=10,LEFT($D1766,1)="0",ISNUMBER(--$D1766)),"Có","Không"))</f>
        <v/>
      </c>
      <c r="T1766" s="22">
        <f>IF($D1766="","",IF(AND($C1766&lt;&gt;"",$Q1766="Có",$R1766="",$S1766="Có",AND($L1766&lt;&gt;"",OR($L1766&lt;&gt;"Chưa xác định",DANH_MUC!$L$9="Có"))),"Có","Không"))</f>
        <v/>
      </c>
      <c r="U1766" s="22">
        <f>IF(OR($D1766="",$T1766="Có"),"",IF($C1766="","Thiếu họ tên; ","")&amp;IF($S1766&lt;&gt;"Có","SĐT sai định dạng; ","")&amp;IF($R1766="Trùng","Trùng SĐT; ","")&amp;IF($Q1766&lt;&gt;"Có","Thiếu đồng ý bắt buộc; ","")&amp;IF($L1766="","Thiếu/sai Mã REF; ",IF(AND($L1766="Chưa xác định",DANH_MUC!$L$9&lt;&gt;"Có"),"Nguồn chưa xác định; ","")))</f>
        <v/>
      </c>
      <c r="V1766" s="22">
        <f>IF(OR($D1766="",$R1766="Trùng"),"",IF(COUNTIF(ORDERS!$C$2:$C$4995,$D1766)&gt;0,"Có","Không"))</f>
        <v/>
      </c>
      <c r="W1766" s="22">
        <f>IF(OR($D1766="",$R1766="Trùng"),"",COUNTIFS(ORDERS!$C$2:$C$4995,$D1766,ORDERS!$L$2:$L$4995,"Đã chuyển khoản"))</f>
        <v/>
      </c>
      <c r="X1766" s="23">
        <f>IF(OR($D1766="",$R1766="Trùng"),"",SUMIFS(ORDERS!$J$2:$J$4995,ORDERS!$C$2:$C$4995,$D1766,ORDERS!$L$2:$L$4995,"Đã chuyển khoản"))</f>
        <v/>
      </c>
      <c r="Y1766" s="24" t="n"/>
    </row>
    <row r="1767" ht="14.25" customHeight="1" s="40">
      <c r="A1767" s="24" t="n"/>
      <c r="B1767" s="27" t="n"/>
      <c r="C1767" s="24" t="n"/>
      <c r="D1767" s="28" t="n"/>
      <c r="E1767" s="29" t="n"/>
      <c r="F1767" s="24" t="n"/>
      <c r="G1767" s="24" t="n"/>
      <c r="H1767" s="21">
        <f>IF(ISNUMBER($B1767),INT($B1767)-WEEKDAY($B1767,2)+1,"")</f>
        <v/>
      </c>
      <c r="I1767" s="24" t="n"/>
      <c r="J1767" s="22">
        <f t="array" ref="J1767">IF($D1767="","",IF($I1767="","(trống REF)",IFERROR(INDEX(MASTER_SOURCE!$B$2:$B$495,MATCH($I1767,MASTER_SOURCE!$A$2:$A$495,0)),"(REF không có trong MASTER_SOURCE)")))</f>
        <v/>
      </c>
      <c r="K1767" s="22">
        <f t="array" ref="K1767">IF($D1767="","",IFERROR(INDEX(MASTER_SOURCE!$C$2:$C$495,MATCH($I1767,MASTER_SOURCE!$A$2:$A$495,0)),""))</f>
        <v/>
      </c>
      <c r="L1767" s="22">
        <f t="array" ref="L1767">IF($D1767="","",IFERROR(INDEX(MASTER_SOURCE!$D$2:$D$495,MATCH($I1767,MASTER_SOURCE!$A$2:$A$495,0)),""))</f>
        <v/>
      </c>
      <c r="M1767" s="24" t="n"/>
      <c r="N1767" s="24" t="n"/>
      <c r="O1767" s="24" t="n"/>
      <c r="P1767" s="24" t="n"/>
      <c r="Q1767" s="22">
        <f>IF($D1767="","",IF(AND(OR(DANH_MUC!$L$5&lt;&gt;"Có",M1767="Có"),OR(DANH_MUC!$L$6&lt;&gt;"Có",N1767="Có"),OR(DANH_MUC!$L$7&lt;&gt;"Có",O1767="Có"),OR(DANH_MUC!$L$8&lt;&gt;"Có",P1767="Có")),"Có","Không"))</f>
        <v/>
      </c>
      <c r="R1767" s="22">
        <f>IF($D1767="","",IF(COUNTIF($D$2:$D1767,$D1767)&gt;1,"Trùng",""))</f>
        <v/>
      </c>
      <c r="S1767" s="22">
        <f>IF($D1767="","",IF(AND(LEN($D1767)=10,LEFT($D1767,1)="0",ISNUMBER(--$D1767)),"Có","Không"))</f>
        <v/>
      </c>
      <c r="T1767" s="22">
        <f>IF($D1767="","",IF(AND($C1767&lt;&gt;"",$Q1767="Có",$R1767="",$S1767="Có",AND($L1767&lt;&gt;"",OR($L1767&lt;&gt;"Chưa xác định",DANH_MUC!$L$9="Có"))),"Có","Không"))</f>
        <v/>
      </c>
      <c r="U1767" s="22">
        <f>IF(OR($D1767="",$T1767="Có"),"",IF($C1767="","Thiếu họ tên; ","")&amp;IF($S1767&lt;&gt;"Có","SĐT sai định dạng; ","")&amp;IF($R1767="Trùng","Trùng SĐT; ","")&amp;IF($Q1767&lt;&gt;"Có","Thiếu đồng ý bắt buộc; ","")&amp;IF($L1767="","Thiếu/sai Mã REF; ",IF(AND($L1767="Chưa xác định",DANH_MUC!$L$9&lt;&gt;"Có"),"Nguồn chưa xác định; ","")))</f>
        <v/>
      </c>
      <c r="V1767" s="22">
        <f>IF(OR($D1767="",$R1767="Trùng"),"",IF(COUNTIF(ORDERS!$C$2:$C$4995,$D1767)&gt;0,"Có","Không"))</f>
        <v/>
      </c>
      <c r="W1767" s="22">
        <f>IF(OR($D1767="",$R1767="Trùng"),"",COUNTIFS(ORDERS!$C$2:$C$4995,$D1767,ORDERS!$L$2:$L$4995,"Đã chuyển khoản"))</f>
        <v/>
      </c>
      <c r="X1767" s="23">
        <f>IF(OR($D1767="",$R1767="Trùng"),"",SUMIFS(ORDERS!$J$2:$J$4995,ORDERS!$C$2:$C$4995,$D1767,ORDERS!$L$2:$L$4995,"Đã chuyển khoản"))</f>
        <v/>
      </c>
      <c r="Y1767" s="24" t="n"/>
    </row>
    <row r="1768" ht="14.25" customHeight="1" s="40">
      <c r="A1768" s="24" t="n"/>
      <c r="B1768" s="27" t="n"/>
      <c r="C1768" s="24" t="n"/>
      <c r="D1768" s="28" t="n"/>
      <c r="E1768" s="29" t="n"/>
      <c r="F1768" s="24" t="n"/>
      <c r="G1768" s="24" t="n"/>
      <c r="H1768" s="21">
        <f>IF(ISNUMBER($B1768),INT($B1768)-WEEKDAY($B1768,2)+1,"")</f>
        <v/>
      </c>
      <c r="I1768" s="24" t="n"/>
      <c r="J1768" s="22">
        <f t="array" ref="J1768">IF($D1768="","",IF($I1768="","(trống REF)",IFERROR(INDEX(MASTER_SOURCE!$B$2:$B$495,MATCH($I1768,MASTER_SOURCE!$A$2:$A$495,0)),"(REF không có trong MASTER_SOURCE)")))</f>
        <v/>
      </c>
      <c r="K1768" s="22">
        <f t="array" ref="K1768">IF($D1768="","",IFERROR(INDEX(MASTER_SOURCE!$C$2:$C$495,MATCH($I1768,MASTER_SOURCE!$A$2:$A$495,0)),""))</f>
        <v/>
      </c>
      <c r="L1768" s="22">
        <f t="array" ref="L1768">IF($D1768="","",IFERROR(INDEX(MASTER_SOURCE!$D$2:$D$495,MATCH($I1768,MASTER_SOURCE!$A$2:$A$495,0)),""))</f>
        <v/>
      </c>
      <c r="M1768" s="24" t="n"/>
      <c r="N1768" s="24" t="n"/>
      <c r="O1768" s="24" t="n"/>
      <c r="P1768" s="24" t="n"/>
      <c r="Q1768" s="22">
        <f>IF($D1768="","",IF(AND(OR(DANH_MUC!$L$5&lt;&gt;"Có",M1768="Có"),OR(DANH_MUC!$L$6&lt;&gt;"Có",N1768="Có"),OR(DANH_MUC!$L$7&lt;&gt;"Có",O1768="Có"),OR(DANH_MUC!$L$8&lt;&gt;"Có",P1768="Có")),"Có","Không"))</f>
        <v/>
      </c>
      <c r="R1768" s="22">
        <f>IF($D1768="","",IF(COUNTIF($D$2:$D1768,$D1768)&gt;1,"Trùng",""))</f>
        <v/>
      </c>
      <c r="S1768" s="22">
        <f>IF($D1768="","",IF(AND(LEN($D1768)=10,LEFT($D1768,1)="0",ISNUMBER(--$D1768)),"Có","Không"))</f>
        <v/>
      </c>
      <c r="T1768" s="22">
        <f>IF($D1768="","",IF(AND($C1768&lt;&gt;"",$Q1768="Có",$R1768="",$S1768="Có",AND($L1768&lt;&gt;"",OR($L1768&lt;&gt;"Chưa xác định",DANH_MUC!$L$9="Có"))),"Có","Không"))</f>
        <v/>
      </c>
      <c r="U1768" s="22">
        <f>IF(OR($D1768="",$T1768="Có"),"",IF($C1768="","Thiếu họ tên; ","")&amp;IF($S1768&lt;&gt;"Có","SĐT sai định dạng; ","")&amp;IF($R1768="Trùng","Trùng SĐT; ","")&amp;IF($Q1768&lt;&gt;"Có","Thiếu đồng ý bắt buộc; ","")&amp;IF($L1768="","Thiếu/sai Mã REF; ",IF(AND($L1768="Chưa xác định",DANH_MUC!$L$9&lt;&gt;"Có"),"Nguồn chưa xác định; ","")))</f>
        <v/>
      </c>
      <c r="V1768" s="22">
        <f>IF(OR($D1768="",$R1768="Trùng"),"",IF(COUNTIF(ORDERS!$C$2:$C$4995,$D1768)&gt;0,"Có","Không"))</f>
        <v/>
      </c>
      <c r="W1768" s="22">
        <f>IF(OR($D1768="",$R1768="Trùng"),"",COUNTIFS(ORDERS!$C$2:$C$4995,$D1768,ORDERS!$L$2:$L$4995,"Đã chuyển khoản"))</f>
        <v/>
      </c>
      <c r="X1768" s="23">
        <f>IF(OR($D1768="",$R1768="Trùng"),"",SUMIFS(ORDERS!$J$2:$J$4995,ORDERS!$C$2:$C$4995,$D1768,ORDERS!$L$2:$L$4995,"Đã chuyển khoản"))</f>
        <v/>
      </c>
      <c r="Y1768" s="24" t="n"/>
    </row>
    <row r="1769" ht="14.25" customHeight="1" s="40">
      <c r="A1769" s="24" t="n"/>
      <c r="B1769" s="27" t="n"/>
      <c r="C1769" s="24" t="n"/>
      <c r="D1769" s="28" t="n"/>
      <c r="E1769" s="29" t="n"/>
      <c r="F1769" s="24" t="n"/>
      <c r="G1769" s="24" t="n"/>
      <c r="H1769" s="21">
        <f>IF(ISNUMBER($B1769),INT($B1769)-WEEKDAY($B1769,2)+1,"")</f>
        <v/>
      </c>
      <c r="I1769" s="24" t="n"/>
      <c r="J1769" s="22">
        <f t="array" ref="J1769">IF($D1769="","",IF($I1769="","(trống REF)",IFERROR(INDEX(MASTER_SOURCE!$B$2:$B$495,MATCH($I1769,MASTER_SOURCE!$A$2:$A$495,0)),"(REF không có trong MASTER_SOURCE)")))</f>
        <v/>
      </c>
      <c r="K1769" s="22">
        <f t="array" ref="K1769">IF($D1769="","",IFERROR(INDEX(MASTER_SOURCE!$C$2:$C$495,MATCH($I1769,MASTER_SOURCE!$A$2:$A$495,0)),""))</f>
        <v/>
      </c>
      <c r="L1769" s="22">
        <f t="array" ref="L1769">IF($D1769="","",IFERROR(INDEX(MASTER_SOURCE!$D$2:$D$495,MATCH($I1769,MASTER_SOURCE!$A$2:$A$495,0)),""))</f>
        <v/>
      </c>
      <c r="M1769" s="24" t="n"/>
      <c r="N1769" s="24" t="n"/>
      <c r="O1769" s="24" t="n"/>
      <c r="P1769" s="24" t="n"/>
      <c r="Q1769" s="22">
        <f>IF($D1769="","",IF(AND(OR(DANH_MUC!$L$5&lt;&gt;"Có",M1769="Có"),OR(DANH_MUC!$L$6&lt;&gt;"Có",N1769="Có"),OR(DANH_MUC!$L$7&lt;&gt;"Có",O1769="Có"),OR(DANH_MUC!$L$8&lt;&gt;"Có",P1769="Có")),"Có","Không"))</f>
        <v/>
      </c>
      <c r="R1769" s="22">
        <f>IF($D1769="","",IF(COUNTIF($D$2:$D1769,$D1769)&gt;1,"Trùng",""))</f>
        <v/>
      </c>
      <c r="S1769" s="22">
        <f>IF($D1769="","",IF(AND(LEN($D1769)=10,LEFT($D1769,1)="0",ISNUMBER(--$D1769)),"Có","Không"))</f>
        <v/>
      </c>
      <c r="T1769" s="22">
        <f>IF($D1769="","",IF(AND($C1769&lt;&gt;"",$Q1769="Có",$R1769="",$S1769="Có",AND($L1769&lt;&gt;"",OR($L1769&lt;&gt;"Chưa xác định",DANH_MUC!$L$9="Có"))),"Có","Không"))</f>
        <v/>
      </c>
      <c r="U1769" s="22">
        <f>IF(OR($D1769="",$T1769="Có"),"",IF($C1769="","Thiếu họ tên; ","")&amp;IF($S1769&lt;&gt;"Có","SĐT sai định dạng; ","")&amp;IF($R1769="Trùng","Trùng SĐT; ","")&amp;IF($Q1769&lt;&gt;"Có","Thiếu đồng ý bắt buộc; ","")&amp;IF($L1769="","Thiếu/sai Mã REF; ",IF(AND($L1769="Chưa xác định",DANH_MUC!$L$9&lt;&gt;"Có"),"Nguồn chưa xác định; ","")))</f>
        <v/>
      </c>
      <c r="V1769" s="22">
        <f>IF(OR($D1769="",$R1769="Trùng"),"",IF(COUNTIF(ORDERS!$C$2:$C$4995,$D1769)&gt;0,"Có","Không"))</f>
        <v/>
      </c>
      <c r="W1769" s="22">
        <f>IF(OR($D1769="",$R1769="Trùng"),"",COUNTIFS(ORDERS!$C$2:$C$4995,$D1769,ORDERS!$L$2:$L$4995,"Đã chuyển khoản"))</f>
        <v/>
      </c>
      <c r="X1769" s="23">
        <f>IF(OR($D1769="",$R1769="Trùng"),"",SUMIFS(ORDERS!$J$2:$J$4995,ORDERS!$C$2:$C$4995,$D1769,ORDERS!$L$2:$L$4995,"Đã chuyển khoản"))</f>
        <v/>
      </c>
      <c r="Y1769" s="24" t="n"/>
    </row>
    <row r="1770" ht="14.25" customHeight="1" s="40">
      <c r="A1770" s="24" t="n"/>
      <c r="B1770" s="27" t="n"/>
      <c r="C1770" s="24" t="n"/>
      <c r="D1770" s="28" t="n"/>
      <c r="E1770" s="29" t="n"/>
      <c r="F1770" s="24" t="n"/>
      <c r="G1770" s="24" t="n"/>
      <c r="H1770" s="21">
        <f>IF(ISNUMBER($B1770),INT($B1770)-WEEKDAY($B1770,2)+1,"")</f>
        <v/>
      </c>
      <c r="I1770" s="24" t="n"/>
      <c r="J1770" s="22">
        <f t="array" ref="J1770">IF($D1770="","",IF($I1770="","(trống REF)",IFERROR(INDEX(MASTER_SOURCE!$B$2:$B$495,MATCH($I1770,MASTER_SOURCE!$A$2:$A$495,0)),"(REF không có trong MASTER_SOURCE)")))</f>
        <v/>
      </c>
      <c r="K1770" s="22">
        <f t="array" ref="K1770">IF($D1770="","",IFERROR(INDEX(MASTER_SOURCE!$C$2:$C$495,MATCH($I1770,MASTER_SOURCE!$A$2:$A$495,0)),""))</f>
        <v/>
      </c>
      <c r="L1770" s="22">
        <f t="array" ref="L1770">IF($D1770="","",IFERROR(INDEX(MASTER_SOURCE!$D$2:$D$495,MATCH($I1770,MASTER_SOURCE!$A$2:$A$495,0)),""))</f>
        <v/>
      </c>
      <c r="M1770" s="24" t="n"/>
      <c r="N1770" s="24" t="n"/>
      <c r="O1770" s="24" t="n"/>
      <c r="P1770" s="24" t="n"/>
      <c r="Q1770" s="22">
        <f>IF($D1770="","",IF(AND(OR(DANH_MUC!$L$5&lt;&gt;"Có",M1770="Có"),OR(DANH_MUC!$L$6&lt;&gt;"Có",N1770="Có"),OR(DANH_MUC!$L$7&lt;&gt;"Có",O1770="Có"),OR(DANH_MUC!$L$8&lt;&gt;"Có",P1770="Có")),"Có","Không"))</f>
        <v/>
      </c>
      <c r="R1770" s="22">
        <f>IF($D1770="","",IF(COUNTIF($D$2:$D1770,$D1770)&gt;1,"Trùng",""))</f>
        <v/>
      </c>
      <c r="S1770" s="22">
        <f>IF($D1770="","",IF(AND(LEN($D1770)=10,LEFT($D1770,1)="0",ISNUMBER(--$D1770)),"Có","Không"))</f>
        <v/>
      </c>
      <c r="T1770" s="22">
        <f>IF($D1770="","",IF(AND($C1770&lt;&gt;"",$Q1770="Có",$R1770="",$S1770="Có",AND($L1770&lt;&gt;"",OR($L1770&lt;&gt;"Chưa xác định",DANH_MUC!$L$9="Có"))),"Có","Không"))</f>
        <v/>
      </c>
      <c r="U1770" s="22">
        <f>IF(OR($D1770="",$T1770="Có"),"",IF($C1770="","Thiếu họ tên; ","")&amp;IF($S1770&lt;&gt;"Có","SĐT sai định dạng; ","")&amp;IF($R1770="Trùng","Trùng SĐT; ","")&amp;IF($Q1770&lt;&gt;"Có","Thiếu đồng ý bắt buộc; ","")&amp;IF($L1770="","Thiếu/sai Mã REF; ",IF(AND($L1770="Chưa xác định",DANH_MUC!$L$9&lt;&gt;"Có"),"Nguồn chưa xác định; ","")))</f>
        <v/>
      </c>
      <c r="V1770" s="22">
        <f>IF(OR($D1770="",$R1770="Trùng"),"",IF(COUNTIF(ORDERS!$C$2:$C$4995,$D1770)&gt;0,"Có","Không"))</f>
        <v/>
      </c>
      <c r="W1770" s="22">
        <f>IF(OR($D1770="",$R1770="Trùng"),"",COUNTIFS(ORDERS!$C$2:$C$4995,$D1770,ORDERS!$L$2:$L$4995,"Đã chuyển khoản"))</f>
        <v/>
      </c>
      <c r="X1770" s="23">
        <f>IF(OR($D1770="",$R1770="Trùng"),"",SUMIFS(ORDERS!$J$2:$J$4995,ORDERS!$C$2:$C$4995,$D1770,ORDERS!$L$2:$L$4995,"Đã chuyển khoản"))</f>
        <v/>
      </c>
      <c r="Y1770" s="24" t="n"/>
    </row>
    <row r="1771" ht="14.25" customHeight="1" s="40">
      <c r="A1771" s="24" t="n"/>
      <c r="B1771" s="27" t="n"/>
      <c r="C1771" s="24" t="n"/>
      <c r="D1771" s="28" t="n"/>
      <c r="E1771" s="29" t="n"/>
      <c r="F1771" s="24" t="n"/>
      <c r="G1771" s="24" t="n"/>
      <c r="H1771" s="21">
        <f>IF(ISNUMBER($B1771),INT($B1771)-WEEKDAY($B1771,2)+1,"")</f>
        <v/>
      </c>
      <c r="I1771" s="24" t="n"/>
      <c r="J1771" s="22">
        <f t="array" ref="J1771">IF($D1771="","",IF($I1771="","(trống REF)",IFERROR(INDEX(MASTER_SOURCE!$B$2:$B$495,MATCH($I1771,MASTER_SOURCE!$A$2:$A$495,0)),"(REF không có trong MASTER_SOURCE)")))</f>
        <v/>
      </c>
      <c r="K1771" s="22">
        <f t="array" ref="K1771">IF($D1771="","",IFERROR(INDEX(MASTER_SOURCE!$C$2:$C$495,MATCH($I1771,MASTER_SOURCE!$A$2:$A$495,0)),""))</f>
        <v/>
      </c>
      <c r="L1771" s="22">
        <f t="array" ref="L1771">IF($D1771="","",IFERROR(INDEX(MASTER_SOURCE!$D$2:$D$495,MATCH($I1771,MASTER_SOURCE!$A$2:$A$495,0)),""))</f>
        <v/>
      </c>
      <c r="M1771" s="24" t="n"/>
      <c r="N1771" s="24" t="n"/>
      <c r="O1771" s="24" t="n"/>
      <c r="P1771" s="24" t="n"/>
      <c r="Q1771" s="22">
        <f>IF($D1771="","",IF(AND(OR(DANH_MUC!$L$5&lt;&gt;"Có",M1771="Có"),OR(DANH_MUC!$L$6&lt;&gt;"Có",N1771="Có"),OR(DANH_MUC!$L$7&lt;&gt;"Có",O1771="Có"),OR(DANH_MUC!$L$8&lt;&gt;"Có",P1771="Có")),"Có","Không"))</f>
        <v/>
      </c>
      <c r="R1771" s="22">
        <f>IF($D1771="","",IF(COUNTIF($D$2:$D1771,$D1771)&gt;1,"Trùng",""))</f>
        <v/>
      </c>
      <c r="S1771" s="22">
        <f>IF($D1771="","",IF(AND(LEN($D1771)=10,LEFT($D1771,1)="0",ISNUMBER(--$D1771)),"Có","Không"))</f>
        <v/>
      </c>
      <c r="T1771" s="22">
        <f>IF($D1771="","",IF(AND($C1771&lt;&gt;"",$Q1771="Có",$R1771="",$S1771="Có",AND($L1771&lt;&gt;"",OR($L1771&lt;&gt;"Chưa xác định",DANH_MUC!$L$9="Có"))),"Có","Không"))</f>
        <v/>
      </c>
      <c r="U1771" s="22">
        <f>IF(OR($D1771="",$T1771="Có"),"",IF($C1771="","Thiếu họ tên; ","")&amp;IF($S1771&lt;&gt;"Có","SĐT sai định dạng; ","")&amp;IF($R1771="Trùng","Trùng SĐT; ","")&amp;IF($Q1771&lt;&gt;"Có","Thiếu đồng ý bắt buộc; ","")&amp;IF($L1771="","Thiếu/sai Mã REF; ",IF(AND($L1771="Chưa xác định",DANH_MUC!$L$9&lt;&gt;"Có"),"Nguồn chưa xác định; ","")))</f>
        <v/>
      </c>
      <c r="V1771" s="22">
        <f>IF(OR($D1771="",$R1771="Trùng"),"",IF(COUNTIF(ORDERS!$C$2:$C$4995,$D1771)&gt;0,"Có","Không"))</f>
        <v/>
      </c>
      <c r="W1771" s="22">
        <f>IF(OR($D1771="",$R1771="Trùng"),"",COUNTIFS(ORDERS!$C$2:$C$4995,$D1771,ORDERS!$L$2:$L$4995,"Đã chuyển khoản"))</f>
        <v/>
      </c>
      <c r="X1771" s="23">
        <f>IF(OR($D1771="",$R1771="Trùng"),"",SUMIFS(ORDERS!$J$2:$J$4995,ORDERS!$C$2:$C$4995,$D1771,ORDERS!$L$2:$L$4995,"Đã chuyển khoản"))</f>
        <v/>
      </c>
      <c r="Y1771" s="24" t="n"/>
    </row>
    <row r="1772" ht="14.25" customHeight="1" s="40">
      <c r="A1772" s="24" t="n"/>
      <c r="B1772" s="27" t="n"/>
      <c r="C1772" s="24" t="n"/>
      <c r="D1772" s="28" t="n"/>
      <c r="E1772" s="29" t="n"/>
      <c r="F1772" s="24" t="n"/>
      <c r="G1772" s="24" t="n"/>
      <c r="H1772" s="21">
        <f>IF(ISNUMBER($B1772),INT($B1772)-WEEKDAY($B1772,2)+1,"")</f>
        <v/>
      </c>
      <c r="I1772" s="24" t="n"/>
      <c r="J1772" s="22">
        <f t="array" ref="J1772">IF($D1772="","",IF($I1772="","(trống REF)",IFERROR(INDEX(MASTER_SOURCE!$B$2:$B$495,MATCH($I1772,MASTER_SOURCE!$A$2:$A$495,0)),"(REF không có trong MASTER_SOURCE)")))</f>
        <v/>
      </c>
      <c r="K1772" s="22">
        <f t="array" ref="K1772">IF($D1772="","",IFERROR(INDEX(MASTER_SOURCE!$C$2:$C$495,MATCH($I1772,MASTER_SOURCE!$A$2:$A$495,0)),""))</f>
        <v/>
      </c>
      <c r="L1772" s="22">
        <f t="array" ref="L1772">IF($D1772="","",IFERROR(INDEX(MASTER_SOURCE!$D$2:$D$495,MATCH($I1772,MASTER_SOURCE!$A$2:$A$495,0)),""))</f>
        <v/>
      </c>
      <c r="M1772" s="24" t="n"/>
      <c r="N1772" s="24" t="n"/>
      <c r="O1772" s="24" t="n"/>
      <c r="P1772" s="24" t="n"/>
      <c r="Q1772" s="22">
        <f>IF($D1772="","",IF(AND(OR(DANH_MUC!$L$5&lt;&gt;"Có",M1772="Có"),OR(DANH_MUC!$L$6&lt;&gt;"Có",N1772="Có"),OR(DANH_MUC!$L$7&lt;&gt;"Có",O1772="Có"),OR(DANH_MUC!$L$8&lt;&gt;"Có",P1772="Có")),"Có","Không"))</f>
        <v/>
      </c>
      <c r="R1772" s="22">
        <f>IF($D1772="","",IF(COUNTIF($D$2:$D1772,$D1772)&gt;1,"Trùng",""))</f>
        <v/>
      </c>
      <c r="S1772" s="22">
        <f>IF($D1772="","",IF(AND(LEN($D1772)=10,LEFT($D1772,1)="0",ISNUMBER(--$D1772)),"Có","Không"))</f>
        <v/>
      </c>
      <c r="T1772" s="22">
        <f>IF($D1772="","",IF(AND($C1772&lt;&gt;"",$Q1772="Có",$R1772="",$S1772="Có",AND($L1772&lt;&gt;"",OR($L1772&lt;&gt;"Chưa xác định",DANH_MUC!$L$9="Có"))),"Có","Không"))</f>
        <v/>
      </c>
      <c r="U1772" s="22">
        <f>IF(OR($D1772="",$T1772="Có"),"",IF($C1772="","Thiếu họ tên; ","")&amp;IF($S1772&lt;&gt;"Có","SĐT sai định dạng; ","")&amp;IF($R1772="Trùng","Trùng SĐT; ","")&amp;IF($Q1772&lt;&gt;"Có","Thiếu đồng ý bắt buộc; ","")&amp;IF($L1772="","Thiếu/sai Mã REF; ",IF(AND($L1772="Chưa xác định",DANH_MUC!$L$9&lt;&gt;"Có"),"Nguồn chưa xác định; ","")))</f>
        <v/>
      </c>
      <c r="V1772" s="22">
        <f>IF(OR($D1772="",$R1772="Trùng"),"",IF(COUNTIF(ORDERS!$C$2:$C$4995,$D1772)&gt;0,"Có","Không"))</f>
        <v/>
      </c>
      <c r="W1772" s="22">
        <f>IF(OR($D1772="",$R1772="Trùng"),"",COUNTIFS(ORDERS!$C$2:$C$4995,$D1772,ORDERS!$L$2:$L$4995,"Đã chuyển khoản"))</f>
        <v/>
      </c>
      <c r="X1772" s="23">
        <f>IF(OR($D1772="",$R1772="Trùng"),"",SUMIFS(ORDERS!$J$2:$J$4995,ORDERS!$C$2:$C$4995,$D1772,ORDERS!$L$2:$L$4995,"Đã chuyển khoản"))</f>
        <v/>
      </c>
      <c r="Y1772" s="24" t="n"/>
    </row>
    <row r="1773" ht="14.25" customHeight="1" s="40">
      <c r="A1773" s="24" t="n"/>
      <c r="B1773" s="27" t="n"/>
      <c r="C1773" s="24" t="n"/>
      <c r="D1773" s="28" t="n"/>
      <c r="E1773" s="29" t="n"/>
      <c r="F1773" s="24" t="n"/>
      <c r="G1773" s="24" t="n"/>
      <c r="H1773" s="21">
        <f>IF(ISNUMBER($B1773),INT($B1773)-WEEKDAY($B1773,2)+1,"")</f>
        <v/>
      </c>
      <c r="I1773" s="24" t="n"/>
      <c r="J1773" s="22">
        <f t="array" ref="J1773">IF($D1773="","",IF($I1773="","(trống REF)",IFERROR(INDEX(MASTER_SOURCE!$B$2:$B$495,MATCH($I1773,MASTER_SOURCE!$A$2:$A$495,0)),"(REF không có trong MASTER_SOURCE)")))</f>
        <v/>
      </c>
      <c r="K1773" s="22">
        <f t="array" ref="K1773">IF($D1773="","",IFERROR(INDEX(MASTER_SOURCE!$C$2:$C$495,MATCH($I1773,MASTER_SOURCE!$A$2:$A$495,0)),""))</f>
        <v/>
      </c>
      <c r="L1773" s="22">
        <f t="array" ref="L1773">IF($D1773="","",IFERROR(INDEX(MASTER_SOURCE!$D$2:$D$495,MATCH($I1773,MASTER_SOURCE!$A$2:$A$495,0)),""))</f>
        <v/>
      </c>
      <c r="M1773" s="24" t="n"/>
      <c r="N1773" s="24" t="n"/>
      <c r="O1773" s="24" t="n"/>
      <c r="P1773" s="24" t="n"/>
      <c r="Q1773" s="22">
        <f>IF($D1773="","",IF(AND(OR(DANH_MUC!$L$5&lt;&gt;"Có",M1773="Có"),OR(DANH_MUC!$L$6&lt;&gt;"Có",N1773="Có"),OR(DANH_MUC!$L$7&lt;&gt;"Có",O1773="Có"),OR(DANH_MUC!$L$8&lt;&gt;"Có",P1773="Có")),"Có","Không"))</f>
        <v/>
      </c>
      <c r="R1773" s="22">
        <f>IF($D1773="","",IF(COUNTIF($D$2:$D1773,$D1773)&gt;1,"Trùng",""))</f>
        <v/>
      </c>
      <c r="S1773" s="22">
        <f>IF($D1773="","",IF(AND(LEN($D1773)=10,LEFT($D1773,1)="0",ISNUMBER(--$D1773)),"Có","Không"))</f>
        <v/>
      </c>
      <c r="T1773" s="22">
        <f>IF($D1773="","",IF(AND($C1773&lt;&gt;"",$Q1773="Có",$R1773="",$S1773="Có",AND($L1773&lt;&gt;"",OR($L1773&lt;&gt;"Chưa xác định",DANH_MUC!$L$9="Có"))),"Có","Không"))</f>
        <v/>
      </c>
      <c r="U1773" s="22">
        <f>IF(OR($D1773="",$T1773="Có"),"",IF($C1773="","Thiếu họ tên; ","")&amp;IF($S1773&lt;&gt;"Có","SĐT sai định dạng; ","")&amp;IF($R1773="Trùng","Trùng SĐT; ","")&amp;IF($Q1773&lt;&gt;"Có","Thiếu đồng ý bắt buộc; ","")&amp;IF($L1773="","Thiếu/sai Mã REF; ",IF(AND($L1773="Chưa xác định",DANH_MUC!$L$9&lt;&gt;"Có"),"Nguồn chưa xác định; ","")))</f>
        <v/>
      </c>
      <c r="V1773" s="22">
        <f>IF(OR($D1773="",$R1773="Trùng"),"",IF(COUNTIF(ORDERS!$C$2:$C$4995,$D1773)&gt;0,"Có","Không"))</f>
        <v/>
      </c>
      <c r="W1773" s="22">
        <f>IF(OR($D1773="",$R1773="Trùng"),"",COUNTIFS(ORDERS!$C$2:$C$4995,$D1773,ORDERS!$L$2:$L$4995,"Đã chuyển khoản"))</f>
        <v/>
      </c>
      <c r="X1773" s="23">
        <f>IF(OR($D1773="",$R1773="Trùng"),"",SUMIFS(ORDERS!$J$2:$J$4995,ORDERS!$C$2:$C$4995,$D1773,ORDERS!$L$2:$L$4995,"Đã chuyển khoản"))</f>
        <v/>
      </c>
      <c r="Y1773" s="24" t="n"/>
    </row>
    <row r="1774" ht="14.25" customHeight="1" s="40">
      <c r="A1774" s="24" t="n"/>
      <c r="B1774" s="27" t="n"/>
      <c r="C1774" s="24" t="n"/>
      <c r="D1774" s="28" t="n"/>
      <c r="E1774" s="29" t="n"/>
      <c r="F1774" s="24" t="n"/>
      <c r="G1774" s="24" t="n"/>
      <c r="H1774" s="21">
        <f>IF(ISNUMBER($B1774),INT($B1774)-WEEKDAY($B1774,2)+1,"")</f>
        <v/>
      </c>
      <c r="I1774" s="24" t="n"/>
      <c r="J1774" s="22">
        <f t="array" ref="J1774">IF($D1774="","",IF($I1774="","(trống REF)",IFERROR(INDEX(MASTER_SOURCE!$B$2:$B$495,MATCH($I1774,MASTER_SOURCE!$A$2:$A$495,0)),"(REF không có trong MASTER_SOURCE)")))</f>
        <v/>
      </c>
      <c r="K1774" s="22">
        <f t="array" ref="K1774">IF($D1774="","",IFERROR(INDEX(MASTER_SOURCE!$C$2:$C$495,MATCH($I1774,MASTER_SOURCE!$A$2:$A$495,0)),""))</f>
        <v/>
      </c>
      <c r="L1774" s="22">
        <f t="array" ref="L1774">IF($D1774="","",IFERROR(INDEX(MASTER_SOURCE!$D$2:$D$495,MATCH($I1774,MASTER_SOURCE!$A$2:$A$495,0)),""))</f>
        <v/>
      </c>
      <c r="M1774" s="24" t="n"/>
      <c r="N1774" s="24" t="n"/>
      <c r="O1774" s="24" t="n"/>
      <c r="P1774" s="24" t="n"/>
      <c r="Q1774" s="22">
        <f>IF($D1774="","",IF(AND(OR(DANH_MUC!$L$5&lt;&gt;"Có",M1774="Có"),OR(DANH_MUC!$L$6&lt;&gt;"Có",N1774="Có"),OR(DANH_MUC!$L$7&lt;&gt;"Có",O1774="Có"),OR(DANH_MUC!$L$8&lt;&gt;"Có",P1774="Có")),"Có","Không"))</f>
        <v/>
      </c>
      <c r="R1774" s="22">
        <f>IF($D1774="","",IF(COUNTIF($D$2:$D1774,$D1774)&gt;1,"Trùng",""))</f>
        <v/>
      </c>
      <c r="S1774" s="22">
        <f>IF($D1774="","",IF(AND(LEN($D1774)=10,LEFT($D1774,1)="0",ISNUMBER(--$D1774)),"Có","Không"))</f>
        <v/>
      </c>
      <c r="T1774" s="22">
        <f>IF($D1774="","",IF(AND($C1774&lt;&gt;"",$Q1774="Có",$R1774="",$S1774="Có",AND($L1774&lt;&gt;"",OR($L1774&lt;&gt;"Chưa xác định",DANH_MUC!$L$9="Có"))),"Có","Không"))</f>
        <v/>
      </c>
      <c r="U1774" s="22">
        <f>IF(OR($D1774="",$T1774="Có"),"",IF($C1774="","Thiếu họ tên; ","")&amp;IF($S1774&lt;&gt;"Có","SĐT sai định dạng; ","")&amp;IF($R1774="Trùng","Trùng SĐT; ","")&amp;IF($Q1774&lt;&gt;"Có","Thiếu đồng ý bắt buộc; ","")&amp;IF($L1774="","Thiếu/sai Mã REF; ",IF(AND($L1774="Chưa xác định",DANH_MUC!$L$9&lt;&gt;"Có"),"Nguồn chưa xác định; ","")))</f>
        <v/>
      </c>
      <c r="V1774" s="22">
        <f>IF(OR($D1774="",$R1774="Trùng"),"",IF(COUNTIF(ORDERS!$C$2:$C$4995,$D1774)&gt;0,"Có","Không"))</f>
        <v/>
      </c>
      <c r="W1774" s="22">
        <f>IF(OR($D1774="",$R1774="Trùng"),"",COUNTIFS(ORDERS!$C$2:$C$4995,$D1774,ORDERS!$L$2:$L$4995,"Đã chuyển khoản"))</f>
        <v/>
      </c>
      <c r="X1774" s="23">
        <f>IF(OR($D1774="",$R1774="Trùng"),"",SUMIFS(ORDERS!$J$2:$J$4995,ORDERS!$C$2:$C$4995,$D1774,ORDERS!$L$2:$L$4995,"Đã chuyển khoản"))</f>
        <v/>
      </c>
      <c r="Y1774" s="24" t="n"/>
    </row>
    <row r="1775" ht="14.25" customHeight="1" s="40">
      <c r="A1775" s="24" t="n"/>
      <c r="B1775" s="27" t="n"/>
      <c r="C1775" s="24" t="n"/>
      <c r="D1775" s="28" t="n"/>
      <c r="E1775" s="29" t="n"/>
      <c r="F1775" s="24" t="n"/>
      <c r="G1775" s="24" t="n"/>
      <c r="H1775" s="21">
        <f>IF(ISNUMBER($B1775),INT($B1775)-WEEKDAY($B1775,2)+1,"")</f>
        <v/>
      </c>
      <c r="I1775" s="24" t="n"/>
      <c r="J1775" s="22">
        <f t="array" ref="J1775">IF($D1775="","",IF($I1775="","(trống REF)",IFERROR(INDEX(MASTER_SOURCE!$B$2:$B$495,MATCH($I1775,MASTER_SOURCE!$A$2:$A$495,0)),"(REF không có trong MASTER_SOURCE)")))</f>
        <v/>
      </c>
      <c r="K1775" s="22">
        <f t="array" ref="K1775">IF($D1775="","",IFERROR(INDEX(MASTER_SOURCE!$C$2:$C$495,MATCH($I1775,MASTER_SOURCE!$A$2:$A$495,0)),""))</f>
        <v/>
      </c>
      <c r="L1775" s="22">
        <f t="array" ref="L1775">IF($D1775="","",IFERROR(INDEX(MASTER_SOURCE!$D$2:$D$495,MATCH($I1775,MASTER_SOURCE!$A$2:$A$495,0)),""))</f>
        <v/>
      </c>
      <c r="M1775" s="24" t="n"/>
      <c r="N1775" s="24" t="n"/>
      <c r="O1775" s="24" t="n"/>
      <c r="P1775" s="24" t="n"/>
      <c r="Q1775" s="22">
        <f>IF($D1775="","",IF(AND(OR(DANH_MUC!$L$5&lt;&gt;"Có",M1775="Có"),OR(DANH_MUC!$L$6&lt;&gt;"Có",N1775="Có"),OR(DANH_MUC!$L$7&lt;&gt;"Có",O1775="Có"),OR(DANH_MUC!$L$8&lt;&gt;"Có",P1775="Có")),"Có","Không"))</f>
        <v/>
      </c>
      <c r="R1775" s="22">
        <f>IF($D1775="","",IF(COUNTIF($D$2:$D1775,$D1775)&gt;1,"Trùng",""))</f>
        <v/>
      </c>
      <c r="S1775" s="22">
        <f>IF($D1775="","",IF(AND(LEN($D1775)=10,LEFT($D1775,1)="0",ISNUMBER(--$D1775)),"Có","Không"))</f>
        <v/>
      </c>
      <c r="T1775" s="22">
        <f>IF($D1775="","",IF(AND($C1775&lt;&gt;"",$Q1775="Có",$R1775="",$S1775="Có",AND($L1775&lt;&gt;"",OR($L1775&lt;&gt;"Chưa xác định",DANH_MUC!$L$9="Có"))),"Có","Không"))</f>
        <v/>
      </c>
      <c r="U1775" s="22">
        <f>IF(OR($D1775="",$T1775="Có"),"",IF($C1775="","Thiếu họ tên; ","")&amp;IF($S1775&lt;&gt;"Có","SĐT sai định dạng; ","")&amp;IF($R1775="Trùng","Trùng SĐT; ","")&amp;IF($Q1775&lt;&gt;"Có","Thiếu đồng ý bắt buộc; ","")&amp;IF($L1775="","Thiếu/sai Mã REF; ",IF(AND($L1775="Chưa xác định",DANH_MUC!$L$9&lt;&gt;"Có"),"Nguồn chưa xác định; ","")))</f>
        <v/>
      </c>
      <c r="V1775" s="22">
        <f>IF(OR($D1775="",$R1775="Trùng"),"",IF(COUNTIF(ORDERS!$C$2:$C$4995,$D1775)&gt;0,"Có","Không"))</f>
        <v/>
      </c>
      <c r="W1775" s="22">
        <f>IF(OR($D1775="",$R1775="Trùng"),"",COUNTIFS(ORDERS!$C$2:$C$4995,$D1775,ORDERS!$L$2:$L$4995,"Đã chuyển khoản"))</f>
        <v/>
      </c>
      <c r="X1775" s="23">
        <f>IF(OR($D1775="",$R1775="Trùng"),"",SUMIFS(ORDERS!$J$2:$J$4995,ORDERS!$C$2:$C$4995,$D1775,ORDERS!$L$2:$L$4995,"Đã chuyển khoản"))</f>
        <v/>
      </c>
      <c r="Y1775" s="24" t="n"/>
    </row>
    <row r="1776" ht="14.25" customHeight="1" s="40">
      <c r="A1776" s="24" t="n"/>
      <c r="B1776" s="27" t="n"/>
      <c r="C1776" s="24" t="n"/>
      <c r="D1776" s="28" t="n"/>
      <c r="E1776" s="29" t="n"/>
      <c r="F1776" s="24" t="n"/>
      <c r="G1776" s="24" t="n"/>
      <c r="H1776" s="21">
        <f>IF(ISNUMBER($B1776),INT($B1776)-WEEKDAY($B1776,2)+1,"")</f>
        <v/>
      </c>
      <c r="I1776" s="24" t="n"/>
      <c r="J1776" s="22">
        <f t="array" ref="J1776">IF($D1776="","",IF($I1776="","(trống REF)",IFERROR(INDEX(MASTER_SOURCE!$B$2:$B$495,MATCH($I1776,MASTER_SOURCE!$A$2:$A$495,0)),"(REF không có trong MASTER_SOURCE)")))</f>
        <v/>
      </c>
      <c r="K1776" s="22">
        <f t="array" ref="K1776">IF($D1776="","",IFERROR(INDEX(MASTER_SOURCE!$C$2:$C$495,MATCH($I1776,MASTER_SOURCE!$A$2:$A$495,0)),""))</f>
        <v/>
      </c>
      <c r="L1776" s="22">
        <f t="array" ref="L1776">IF($D1776="","",IFERROR(INDEX(MASTER_SOURCE!$D$2:$D$495,MATCH($I1776,MASTER_SOURCE!$A$2:$A$495,0)),""))</f>
        <v/>
      </c>
      <c r="M1776" s="24" t="n"/>
      <c r="N1776" s="24" t="n"/>
      <c r="O1776" s="24" t="n"/>
      <c r="P1776" s="24" t="n"/>
      <c r="Q1776" s="22">
        <f>IF($D1776="","",IF(AND(OR(DANH_MUC!$L$5&lt;&gt;"Có",M1776="Có"),OR(DANH_MUC!$L$6&lt;&gt;"Có",N1776="Có"),OR(DANH_MUC!$L$7&lt;&gt;"Có",O1776="Có"),OR(DANH_MUC!$L$8&lt;&gt;"Có",P1776="Có")),"Có","Không"))</f>
        <v/>
      </c>
      <c r="R1776" s="22">
        <f>IF($D1776="","",IF(COUNTIF($D$2:$D1776,$D1776)&gt;1,"Trùng",""))</f>
        <v/>
      </c>
      <c r="S1776" s="22">
        <f>IF($D1776="","",IF(AND(LEN($D1776)=10,LEFT($D1776,1)="0",ISNUMBER(--$D1776)),"Có","Không"))</f>
        <v/>
      </c>
      <c r="T1776" s="22">
        <f>IF($D1776="","",IF(AND($C1776&lt;&gt;"",$Q1776="Có",$R1776="",$S1776="Có",AND($L1776&lt;&gt;"",OR($L1776&lt;&gt;"Chưa xác định",DANH_MUC!$L$9="Có"))),"Có","Không"))</f>
        <v/>
      </c>
      <c r="U1776" s="22">
        <f>IF(OR($D1776="",$T1776="Có"),"",IF($C1776="","Thiếu họ tên; ","")&amp;IF($S1776&lt;&gt;"Có","SĐT sai định dạng; ","")&amp;IF($R1776="Trùng","Trùng SĐT; ","")&amp;IF($Q1776&lt;&gt;"Có","Thiếu đồng ý bắt buộc; ","")&amp;IF($L1776="","Thiếu/sai Mã REF; ",IF(AND($L1776="Chưa xác định",DANH_MUC!$L$9&lt;&gt;"Có"),"Nguồn chưa xác định; ","")))</f>
        <v/>
      </c>
      <c r="V1776" s="22">
        <f>IF(OR($D1776="",$R1776="Trùng"),"",IF(COUNTIF(ORDERS!$C$2:$C$4995,$D1776)&gt;0,"Có","Không"))</f>
        <v/>
      </c>
      <c r="W1776" s="22">
        <f>IF(OR($D1776="",$R1776="Trùng"),"",COUNTIFS(ORDERS!$C$2:$C$4995,$D1776,ORDERS!$L$2:$L$4995,"Đã chuyển khoản"))</f>
        <v/>
      </c>
      <c r="X1776" s="23">
        <f>IF(OR($D1776="",$R1776="Trùng"),"",SUMIFS(ORDERS!$J$2:$J$4995,ORDERS!$C$2:$C$4995,$D1776,ORDERS!$L$2:$L$4995,"Đã chuyển khoản"))</f>
        <v/>
      </c>
      <c r="Y1776" s="24" t="n"/>
    </row>
    <row r="1777" ht="14.25" customHeight="1" s="40">
      <c r="A1777" s="24" t="n"/>
      <c r="B1777" s="27" t="n"/>
      <c r="C1777" s="24" t="n"/>
      <c r="D1777" s="28" t="n"/>
      <c r="E1777" s="29" t="n"/>
      <c r="F1777" s="24" t="n"/>
      <c r="G1777" s="24" t="n"/>
      <c r="H1777" s="21">
        <f>IF(ISNUMBER($B1777),INT($B1777)-WEEKDAY($B1777,2)+1,"")</f>
        <v/>
      </c>
      <c r="I1777" s="24" t="n"/>
      <c r="J1777" s="22">
        <f t="array" ref="J1777">IF($D1777="","",IF($I1777="","(trống REF)",IFERROR(INDEX(MASTER_SOURCE!$B$2:$B$495,MATCH($I1777,MASTER_SOURCE!$A$2:$A$495,0)),"(REF không có trong MASTER_SOURCE)")))</f>
        <v/>
      </c>
      <c r="K1777" s="22">
        <f t="array" ref="K1777">IF($D1777="","",IFERROR(INDEX(MASTER_SOURCE!$C$2:$C$495,MATCH($I1777,MASTER_SOURCE!$A$2:$A$495,0)),""))</f>
        <v/>
      </c>
      <c r="L1777" s="22">
        <f t="array" ref="L1777">IF($D1777="","",IFERROR(INDEX(MASTER_SOURCE!$D$2:$D$495,MATCH($I1777,MASTER_SOURCE!$A$2:$A$495,0)),""))</f>
        <v/>
      </c>
      <c r="M1777" s="24" t="n"/>
      <c r="N1777" s="24" t="n"/>
      <c r="O1777" s="24" t="n"/>
      <c r="P1777" s="24" t="n"/>
      <c r="Q1777" s="22">
        <f>IF($D1777="","",IF(AND(OR(DANH_MUC!$L$5&lt;&gt;"Có",M1777="Có"),OR(DANH_MUC!$L$6&lt;&gt;"Có",N1777="Có"),OR(DANH_MUC!$L$7&lt;&gt;"Có",O1777="Có"),OR(DANH_MUC!$L$8&lt;&gt;"Có",P1777="Có")),"Có","Không"))</f>
        <v/>
      </c>
      <c r="R1777" s="22">
        <f>IF($D1777="","",IF(COUNTIF($D$2:$D1777,$D1777)&gt;1,"Trùng",""))</f>
        <v/>
      </c>
      <c r="S1777" s="22">
        <f>IF($D1777="","",IF(AND(LEN($D1777)=10,LEFT($D1777,1)="0",ISNUMBER(--$D1777)),"Có","Không"))</f>
        <v/>
      </c>
      <c r="T1777" s="22">
        <f>IF($D1777="","",IF(AND($C1777&lt;&gt;"",$Q1777="Có",$R1777="",$S1777="Có",AND($L1777&lt;&gt;"",OR($L1777&lt;&gt;"Chưa xác định",DANH_MUC!$L$9="Có"))),"Có","Không"))</f>
        <v/>
      </c>
      <c r="U1777" s="22">
        <f>IF(OR($D1777="",$T1777="Có"),"",IF($C1777="","Thiếu họ tên; ","")&amp;IF($S1777&lt;&gt;"Có","SĐT sai định dạng; ","")&amp;IF($R1777="Trùng","Trùng SĐT; ","")&amp;IF($Q1777&lt;&gt;"Có","Thiếu đồng ý bắt buộc; ","")&amp;IF($L1777="","Thiếu/sai Mã REF; ",IF(AND($L1777="Chưa xác định",DANH_MUC!$L$9&lt;&gt;"Có"),"Nguồn chưa xác định; ","")))</f>
        <v/>
      </c>
      <c r="V1777" s="22">
        <f>IF(OR($D1777="",$R1777="Trùng"),"",IF(COUNTIF(ORDERS!$C$2:$C$4995,$D1777)&gt;0,"Có","Không"))</f>
        <v/>
      </c>
      <c r="W1777" s="22">
        <f>IF(OR($D1777="",$R1777="Trùng"),"",COUNTIFS(ORDERS!$C$2:$C$4995,$D1777,ORDERS!$L$2:$L$4995,"Đã chuyển khoản"))</f>
        <v/>
      </c>
      <c r="X1777" s="23">
        <f>IF(OR($D1777="",$R1777="Trùng"),"",SUMIFS(ORDERS!$J$2:$J$4995,ORDERS!$C$2:$C$4995,$D1777,ORDERS!$L$2:$L$4995,"Đã chuyển khoản"))</f>
        <v/>
      </c>
      <c r="Y1777" s="24" t="n"/>
    </row>
    <row r="1778" ht="14.25" customHeight="1" s="40">
      <c r="A1778" s="24" t="n"/>
      <c r="B1778" s="27" t="n"/>
      <c r="C1778" s="24" t="n"/>
      <c r="D1778" s="28" t="n"/>
      <c r="E1778" s="29" t="n"/>
      <c r="F1778" s="24" t="n"/>
      <c r="G1778" s="24" t="n"/>
      <c r="H1778" s="21">
        <f>IF(ISNUMBER($B1778),INT($B1778)-WEEKDAY($B1778,2)+1,"")</f>
        <v/>
      </c>
      <c r="I1778" s="24" t="n"/>
      <c r="J1778" s="22">
        <f t="array" ref="J1778">IF($D1778="","",IF($I1778="","(trống REF)",IFERROR(INDEX(MASTER_SOURCE!$B$2:$B$495,MATCH($I1778,MASTER_SOURCE!$A$2:$A$495,0)),"(REF không có trong MASTER_SOURCE)")))</f>
        <v/>
      </c>
      <c r="K1778" s="22">
        <f t="array" ref="K1778">IF($D1778="","",IFERROR(INDEX(MASTER_SOURCE!$C$2:$C$495,MATCH($I1778,MASTER_SOURCE!$A$2:$A$495,0)),""))</f>
        <v/>
      </c>
      <c r="L1778" s="22">
        <f t="array" ref="L1778">IF($D1778="","",IFERROR(INDEX(MASTER_SOURCE!$D$2:$D$495,MATCH($I1778,MASTER_SOURCE!$A$2:$A$495,0)),""))</f>
        <v/>
      </c>
      <c r="M1778" s="24" t="n"/>
      <c r="N1778" s="24" t="n"/>
      <c r="O1778" s="24" t="n"/>
      <c r="P1778" s="24" t="n"/>
      <c r="Q1778" s="22">
        <f>IF($D1778="","",IF(AND(OR(DANH_MUC!$L$5&lt;&gt;"Có",M1778="Có"),OR(DANH_MUC!$L$6&lt;&gt;"Có",N1778="Có"),OR(DANH_MUC!$L$7&lt;&gt;"Có",O1778="Có"),OR(DANH_MUC!$L$8&lt;&gt;"Có",P1778="Có")),"Có","Không"))</f>
        <v/>
      </c>
      <c r="R1778" s="22">
        <f>IF($D1778="","",IF(COUNTIF($D$2:$D1778,$D1778)&gt;1,"Trùng",""))</f>
        <v/>
      </c>
      <c r="S1778" s="22">
        <f>IF($D1778="","",IF(AND(LEN($D1778)=10,LEFT($D1778,1)="0",ISNUMBER(--$D1778)),"Có","Không"))</f>
        <v/>
      </c>
      <c r="T1778" s="22">
        <f>IF($D1778="","",IF(AND($C1778&lt;&gt;"",$Q1778="Có",$R1778="",$S1778="Có",AND($L1778&lt;&gt;"",OR($L1778&lt;&gt;"Chưa xác định",DANH_MUC!$L$9="Có"))),"Có","Không"))</f>
        <v/>
      </c>
      <c r="U1778" s="22">
        <f>IF(OR($D1778="",$T1778="Có"),"",IF($C1778="","Thiếu họ tên; ","")&amp;IF($S1778&lt;&gt;"Có","SĐT sai định dạng; ","")&amp;IF($R1778="Trùng","Trùng SĐT; ","")&amp;IF($Q1778&lt;&gt;"Có","Thiếu đồng ý bắt buộc; ","")&amp;IF($L1778="","Thiếu/sai Mã REF; ",IF(AND($L1778="Chưa xác định",DANH_MUC!$L$9&lt;&gt;"Có"),"Nguồn chưa xác định; ","")))</f>
        <v/>
      </c>
      <c r="V1778" s="22">
        <f>IF(OR($D1778="",$R1778="Trùng"),"",IF(COUNTIF(ORDERS!$C$2:$C$4995,$D1778)&gt;0,"Có","Không"))</f>
        <v/>
      </c>
      <c r="W1778" s="22">
        <f>IF(OR($D1778="",$R1778="Trùng"),"",COUNTIFS(ORDERS!$C$2:$C$4995,$D1778,ORDERS!$L$2:$L$4995,"Đã chuyển khoản"))</f>
        <v/>
      </c>
      <c r="X1778" s="23">
        <f>IF(OR($D1778="",$R1778="Trùng"),"",SUMIFS(ORDERS!$J$2:$J$4995,ORDERS!$C$2:$C$4995,$D1778,ORDERS!$L$2:$L$4995,"Đã chuyển khoản"))</f>
        <v/>
      </c>
      <c r="Y1778" s="24" t="n"/>
    </row>
    <row r="1779" ht="14.25" customHeight="1" s="40">
      <c r="A1779" s="24" t="n"/>
      <c r="B1779" s="27" t="n"/>
      <c r="C1779" s="24" t="n"/>
      <c r="D1779" s="28" t="n"/>
      <c r="E1779" s="29" t="n"/>
      <c r="F1779" s="24" t="n"/>
      <c r="G1779" s="24" t="n"/>
      <c r="H1779" s="21">
        <f>IF(ISNUMBER($B1779),INT($B1779)-WEEKDAY($B1779,2)+1,"")</f>
        <v/>
      </c>
      <c r="I1779" s="24" t="n"/>
      <c r="J1779" s="22">
        <f t="array" ref="J1779">IF($D1779="","",IF($I1779="","(trống REF)",IFERROR(INDEX(MASTER_SOURCE!$B$2:$B$495,MATCH($I1779,MASTER_SOURCE!$A$2:$A$495,0)),"(REF không có trong MASTER_SOURCE)")))</f>
        <v/>
      </c>
      <c r="K1779" s="22">
        <f t="array" ref="K1779">IF($D1779="","",IFERROR(INDEX(MASTER_SOURCE!$C$2:$C$495,MATCH($I1779,MASTER_SOURCE!$A$2:$A$495,0)),""))</f>
        <v/>
      </c>
      <c r="L1779" s="22">
        <f t="array" ref="L1779">IF($D1779="","",IFERROR(INDEX(MASTER_SOURCE!$D$2:$D$495,MATCH($I1779,MASTER_SOURCE!$A$2:$A$495,0)),""))</f>
        <v/>
      </c>
      <c r="M1779" s="24" t="n"/>
      <c r="N1779" s="24" t="n"/>
      <c r="O1779" s="24" t="n"/>
      <c r="P1779" s="24" t="n"/>
      <c r="Q1779" s="22">
        <f>IF($D1779="","",IF(AND(OR(DANH_MUC!$L$5&lt;&gt;"Có",M1779="Có"),OR(DANH_MUC!$L$6&lt;&gt;"Có",N1779="Có"),OR(DANH_MUC!$L$7&lt;&gt;"Có",O1779="Có"),OR(DANH_MUC!$L$8&lt;&gt;"Có",P1779="Có")),"Có","Không"))</f>
        <v/>
      </c>
      <c r="R1779" s="22">
        <f>IF($D1779="","",IF(COUNTIF($D$2:$D1779,$D1779)&gt;1,"Trùng",""))</f>
        <v/>
      </c>
      <c r="S1779" s="22">
        <f>IF($D1779="","",IF(AND(LEN($D1779)=10,LEFT($D1779,1)="0",ISNUMBER(--$D1779)),"Có","Không"))</f>
        <v/>
      </c>
      <c r="T1779" s="22">
        <f>IF($D1779="","",IF(AND($C1779&lt;&gt;"",$Q1779="Có",$R1779="",$S1779="Có",AND($L1779&lt;&gt;"",OR($L1779&lt;&gt;"Chưa xác định",DANH_MUC!$L$9="Có"))),"Có","Không"))</f>
        <v/>
      </c>
      <c r="U1779" s="22">
        <f>IF(OR($D1779="",$T1779="Có"),"",IF($C1779="","Thiếu họ tên; ","")&amp;IF($S1779&lt;&gt;"Có","SĐT sai định dạng; ","")&amp;IF($R1779="Trùng","Trùng SĐT; ","")&amp;IF($Q1779&lt;&gt;"Có","Thiếu đồng ý bắt buộc; ","")&amp;IF($L1779="","Thiếu/sai Mã REF; ",IF(AND($L1779="Chưa xác định",DANH_MUC!$L$9&lt;&gt;"Có"),"Nguồn chưa xác định; ","")))</f>
        <v/>
      </c>
      <c r="V1779" s="22">
        <f>IF(OR($D1779="",$R1779="Trùng"),"",IF(COUNTIF(ORDERS!$C$2:$C$4995,$D1779)&gt;0,"Có","Không"))</f>
        <v/>
      </c>
      <c r="W1779" s="22">
        <f>IF(OR($D1779="",$R1779="Trùng"),"",COUNTIFS(ORDERS!$C$2:$C$4995,$D1779,ORDERS!$L$2:$L$4995,"Đã chuyển khoản"))</f>
        <v/>
      </c>
      <c r="X1779" s="23">
        <f>IF(OR($D1779="",$R1779="Trùng"),"",SUMIFS(ORDERS!$J$2:$J$4995,ORDERS!$C$2:$C$4995,$D1779,ORDERS!$L$2:$L$4995,"Đã chuyển khoản"))</f>
        <v/>
      </c>
      <c r="Y1779" s="24" t="n"/>
    </row>
    <row r="1780" ht="14.25" customHeight="1" s="40">
      <c r="A1780" s="24" t="n"/>
      <c r="B1780" s="27" t="n"/>
      <c r="C1780" s="24" t="n"/>
      <c r="D1780" s="28" t="n"/>
      <c r="E1780" s="29" t="n"/>
      <c r="F1780" s="24" t="n"/>
      <c r="G1780" s="24" t="n"/>
      <c r="H1780" s="21">
        <f>IF(ISNUMBER($B1780),INT($B1780)-WEEKDAY($B1780,2)+1,"")</f>
        <v/>
      </c>
      <c r="I1780" s="24" t="n"/>
      <c r="J1780" s="22">
        <f t="array" ref="J1780">IF($D1780="","",IF($I1780="","(trống REF)",IFERROR(INDEX(MASTER_SOURCE!$B$2:$B$495,MATCH($I1780,MASTER_SOURCE!$A$2:$A$495,0)),"(REF không có trong MASTER_SOURCE)")))</f>
        <v/>
      </c>
      <c r="K1780" s="22">
        <f t="array" ref="K1780">IF($D1780="","",IFERROR(INDEX(MASTER_SOURCE!$C$2:$C$495,MATCH($I1780,MASTER_SOURCE!$A$2:$A$495,0)),""))</f>
        <v/>
      </c>
      <c r="L1780" s="22">
        <f t="array" ref="L1780">IF($D1780="","",IFERROR(INDEX(MASTER_SOURCE!$D$2:$D$495,MATCH($I1780,MASTER_SOURCE!$A$2:$A$495,0)),""))</f>
        <v/>
      </c>
      <c r="M1780" s="24" t="n"/>
      <c r="N1780" s="24" t="n"/>
      <c r="O1780" s="24" t="n"/>
      <c r="P1780" s="24" t="n"/>
      <c r="Q1780" s="22">
        <f>IF($D1780="","",IF(AND(OR(DANH_MUC!$L$5&lt;&gt;"Có",M1780="Có"),OR(DANH_MUC!$L$6&lt;&gt;"Có",N1780="Có"),OR(DANH_MUC!$L$7&lt;&gt;"Có",O1780="Có"),OR(DANH_MUC!$L$8&lt;&gt;"Có",P1780="Có")),"Có","Không"))</f>
        <v/>
      </c>
      <c r="R1780" s="22">
        <f>IF($D1780="","",IF(COUNTIF($D$2:$D1780,$D1780)&gt;1,"Trùng",""))</f>
        <v/>
      </c>
      <c r="S1780" s="22">
        <f>IF($D1780="","",IF(AND(LEN($D1780)=10,LEFT($D1780,1)="0",ISNUMBER(--$D1780)),"Có","Không"))</f>
        <v/>
      </c>
      <c r="T1780" s="22">
        <f>IF($D1780="","",IF(AND($C1780&lt;&gt;"",$Q1780="Có",$R1780="",$S1780="Có",AND($L1780&lt;&gt;"",OR($L1780&lt;&gt;"Chưa xác định",DANH_MUC!$L$9="Có"))),"Có","Không"))</f>
        <v/>
      </c>
      <c r="U1780" s="22">
        <f>IF(OR($D1780="",$T1780="Có"),"",IF($C1780="","Thiếu họ tên; ","")&amp;IF($S1780&lt;&gt;"Có","SĐT sai định dạng; ","")&amp;IF($R1780="Trùng","Trùng SĐT; ","")&amp;IF($Q1780&lt;&gt;"Có","Thiếu đồng ý bắt buộc; ","")&amp;IF($L1780="","Thiếu/sai Mã REF; ",IF(AND($L1780="Chưa xác định",DANH_MUC!$L$9&lt;&gt;"Có"),"Nguồn chưa xác định; ","")))</f>
        <v/>
      </c>
      <c r="V1780" s="22">
        <f>IF(OR($D1780="",$R1780="Trùng"),"",IF(COUNTIF(ORDERS!$C$2:$C$4995,$D1780)&gt;0,"Có","Không"))</f>
        <v/>
      </c>
      <c r="W1780" s="22">
        <f>IF(OR($D1780="",$R1780="Trùng"),"",COUNTIFS(ORDERS!$C$2:$C$4995,$D1780,ORDERS!$L$2:$L$4995,"Đã chuyển khoản"))</f>
        <v/>
      </c>
      <c r="X1780" s="23">
        <f>IF(OR($D1780="",$R1780="Trùng"),"",SUMIFS(ORDERS!$J$2:$J$4995,ORDERS!$C$2:$C$4995,$D1780,ORDERS!$L$2:$L$4995,"Đã chuyển khoản"))</f>
        <v/>
      </c>
      <c r="Y1780" s="24" t="n"/>
    </row>
    <row r="1781" ht="14.25" customHeight="1" s="40">
      <c r="A1781" s="24" t="n"/>
      <c r="B1781" s="27" t="n"/>
      <c r="C1781" s="24" t="n"/>
      <c r="D1781" s="28" t="n"/>
      <c r="E1781" s="29" t="n"/>
      <c r="F1781" s="24" t="n"/>
      <c r="G1781" s="24" t="n"/>
      <c r="H1781" s="21">
        <f>IF(ISNUMBER($B1781),INT($B1781)-WEEKDAY($B1781,2)+1,"")</f>
        <v/>
      </c>
      <c r="I1781" s="24" t="n"/>
      <c r="J1781" s="22">
        <f t="array" ref="J1781">IF($D1781="","",IF($I1781="","(trống REF)",IFERROR(INDEX(MASTER_SOURCE!$B$2:$B$495,MATCH($I1781,MASTER_SOURCE!$A$2:$A$495,0)),"(REF không có trong MASTER_SOURCE)")))</f>
        <v/>
      </c>
      <c r="K1781" s="22">
        <f t="array" ref="K1781">IF($D1781="","",IFERROR(INDEX(MASTER_SOURCE!$C$2:$C$495,MATCH($I1781,MASTER_SOURCE!$A$2:$A$495,0)),""))</f>
        <v/>
      </c>
      <c r="L1781" s="22">
        <f t="array" ref="L1781">IF($D1781="","",IFERROR(INDEX(MASTER_SOURCE!$D$2:$D$495,MATCH($I1781,MASTER_SOURCE!$A$2:$A$495,0)),""))</f>
        <v/>
      </c>
      <c r="M1781" s="24" t="n"/>
      <c r="N1781" s="24" t="n"/>
      <c r="O1781" s="24" t="n"/>
      <c r="P1781" s="24" t="n"/>
      <c r="Q1781" s="22">
        <f>IF($D1781="","",IF(AND(OR(DANH_MUC!$L$5&lt;&gt;"Có",M1781="Có"),OR(DANH_MUC!$L$6&lt;&gt;"Có",N1781="Có"),OR(DANH_MUC!$L$7&lt;&gt;"Có",O1781="Có"),OR(DANH_MUC!$L$8&lt;&gt;"Có",P1781="Có")),"Có","Không"))</f>
        <v/>
      </c>
      <c r="R1781" s="22">
        <f>IF($D1781="","",IF(COUNTIF($D$2:$D1781,$D1781)&gt;1,"Trùng",""))</f>
        <v/>
      </c>
      <c r="S1781" s="22">
        <f>IF($D1781="","",IF(AND(LEN($D1781)=10,LEFT($D1781,1)="0",ISNUMBER(--$D1781)),"Có","Không"))</f>
        <v/>
      </c>
      <c r="T1781" s="22">
        <f>IF($D1781="","",IF(AND($C1781&lt;&gt;"",$Q1781="Có",$R1781="",$S1781="Có",AND($L1781&lt;&gt;"",OR($L1781&lt;&gt;"Chưa xác định",DANH_MUC!$L$9="Có"))),"Có","Không"))</f>
        <v/>
      </c>
      <c r="U1781" s="22">
        <f>IF(OR($D1781="",$T1781="Có"),"",IF($C1781="","Thiếu họ tên; ","")&amp;IF($S1781&lt;&gt;"Có","SĐT sai định dạng; ","")&amp;IF($R1781="Trùng","Trùng SĐT; ","")&amp;IF($Q1781&lt;&gt;"Có","Thiếu đồng ý bắt buộc; ","")&amp;IF($L1781="","Thiếu/sai Mã REF; ",IF(AND($L1781="Chưa xác định",DANH_MUC!$L$9&lt;&gt;"Có"),"Nguồn chưa xác định; ","")))</f>
        <v/>
      </c>
      <c r="V1781" s="22">
        <f>IF(OR($D1781="",$R1781="Trùng"),"",IF(COUNTIF(ORDERS!$C$2:$C$4995,$D1781)&gt;0,"Có","Không"))</f>
        <v/>
      </c>
      <c r="W1781" s="22">
        <f>IF(OR($D1781="",$R1781="Trùng"),"",COUNTIFS(ORDERS!$C$2:$C$4995,$D1781,ORDERS!$L$2:$L$4995,"Đã chuyển khoản"))</f>
        <v/>
      </c>
      <c r="X1781" s="23">
        <f>IF(OR($D1781="",$R1781="Trùng"),"",SUMIFS(ORDERS!$J$2:$J$4995,ORDERS!$C$2:$C$4995,$D1781,ORDERS!$L$2:$L$4995,"Đã chuyển khoản"))</f>
        <v/>
      </c>
      <c r="Y1781" s="24" t="n"/>
    </row>
    <row r="1782" ht="14.25" customHeight="1" s="40">
      <c r="A1782" s="24" t="n"/>
      <c r="B1782" s="27" t="n"/>
      <c r="C1782" s="24" t="n"/>
      <c r="D1782" s="28" t="n"/>
      <c r="E1782" s="29" t="n"/>
      <c r="F1782" s="24" t="n"/>
      <c r="G1782" s="24" t="n"/>
      <c r="H1782" s="21">
        <f>IF(ISNUMBER($B1782),INT($B1782)-WEEKDAY($B1782,2)+1,"")</f>
        <v/>
      </c>
      <c r="I1782" s="24" t="n"/>
      <c r="J1782" s="22">
        <f t="array" ref="J1782">IF($D1782="","",IF($I1782="","(trống REF)",IFERROR(INDEX(MASTER_SOURCE!$B$2:$B$495,MATCH($I1782,MASTER_SOURCE!$A$2:$A$495,0)),"(REF không có trong MASTER_SOURCE)")))</f>
        <v/>
      </c>
      <c r="K1782" s="22">
        <f t="array" ref="K1782">IF($D1782="","",IFERROR(INDEX(MASTER_SOURCE!$C$2:$C$495,MATCH($I1782,MASTER_SOURCE!$A$2:$A$495,0)),""))</f>
        <v/>
      </c>
      <c r="L1782" s="22">
        <f t="array" ref="L1782">IF($D1782="","",IFERROR(INDEX(MASTER_SOURCE!$D$2:$D$495,MATCH($I1782,MASTER_SOURCE!$A$2:$A$495,0)),""))</f>
        <v/>
      </c>
      <c r="M1782" s="24" t="n"/>
      <c r="N1782" s="24" t="n"/>
      <c r="O1782" s="24" t="n"/>
      <c r="P1782" s="24" t="n"/>
      <c r="Q1782" s="22">
        <f>IF($D1782="","",IF(AND(OR(DANH_MUC!$L$5&lt;&gt;"Có",M1782="Có"),OR(DANH_MUC!$L$6&lt;&gt;"Có",N1782="Có"),OR(DANH_MUC!$L$7&lt;&gt;"Có",O1782="Có"),OR(DANH_MUC!$L$8&lt;&gt;"Có",P1782="Có")),"Có","Không"))</f>
        <v/>
      </c>
      <c r="R1782" s="22">
        <f>IF($D1782="","",IF(COUNTIF($D$2:$D1782,$D1782)&gt;1,"Trùng",""))</f>
        <v/>
      </c>
      <c r="S1782" s="22">
        <f>IF($D1782="","",IF(AND(LEN($D1782)=10,LEFT($D1782,1)="0",ISNUMBER(--$D1782)),"Có","Không"))</f>
        <v/>
      </c>
      <c r="T1782" s="22">
        <f>IF($D1782="","",IF(AND($C1782&lt;&gt;"",$Q1782="Có",$R1782="",$S1782="Có",AND($L1782&lt;&gt;"",OR($L1782&lt;&gt;"Chưa xác định",DANH_MUC!$L$9="Có"))),"Có","Không"))</f>
        <v/>
      </c>
      <c r="U1782" s="22">
        <f>IF(OR($D1782="",$T1782="Có"),"",IF($C1782="","Thiếu họ tên; ","")&amp;IF($S1782&lt;&gt;"Có","SĐT sai định dạng; ","")&amp;IF($R1782="Trùng","Trùng SĐT; ","")&amp;IF($Q1782&lt;&gt;"Có","Thiếu đồng ý bắt buộc; ","")&amp;IF($L1782="","Thiếu/sai Mã REF; ",IF(AND($L1782="Chưa xác định",DANH_MUC!$L$9&lt;&gt;"Có"),"Nguồn chưa xác định; ","")))</f>
        <v/>
      </c>
      <c r="V1782" s="22">
        <f>IF(OR($D1782="",$R1782="Trùng"),"",IF(COUNTIF(ORDERS!$C$2:$C$4995,$D1782)&gt;0,"Có","Không"))</f>
        <v/>
      </c>
      <c r="W1782" s="22">
        <f>IF(OR($D1782="",$R1782="Trùng"),"",COUNTIFS(ORDERS!$C$2:$C$4995,$D1782,ORDERS!$L$2:$L$4995,"Đã chuyển khoản"))</f>
        <v/>
      </c>
      <c r="X1782" s="23">
        <f>IF(OR($D1782="",$R1782="Trùng"),"",SUMIFS(ORDERS!$J$2:$J$4995,ORDERS!$C$2:$C$4995,$D1782,ORDERS!$L$2:$L$4995,"Đã chuyển khoản"))</f>
        <v/>
      </c>
      <c r="Y1782" s="24" t="n"/>
    </row>
    <row r="1783" ht="14.25" customHeight="1" s="40">
      <c r="A1783" s="24" t="n"/>
      <c r="B1783" s="27" t="n"/>
      <c r="C1783" s="24" t="n"/>
      <c r="D1783" s="28" t="n"/>
      <c r="E1783" s="29" t="n"/>
      <c r="F1783" s="24" t="n"/>
      <c r="G1783" s="24" t="n"/>
      <c r="H1783" s="21">
        <f>IF(ISNUMBER($B1783),INT($B1783)-WEEKDAY($B1783,2)+1,"")</f>
        <v/>
      </c>
      <c r="I1783" s="24" t="n"/>
      <c r="J1783" s="22">
        <f t="array" ref="J1783">IF($D1783="","",IF($I1783="","(trống REF)",IFERROR(INDEX(MASTER_SOURCE!$B$2:$B$495,MATCH($I1783,MASTER_SOURCE!$A$2:$A$495,0)),"(REF không có trong MASTER_SOURCE)")))</f>
        <v/>
      </c>
      <c r="K1783" s="22">
        <f t="array" ref="K1783">IF($D1783="","",IFERROR(INDEX(MASTER_SOURCE!$C$2:$C$495,MATCH($I1783,MASTER_SOURCE!$A$2:$A$495,0)),""))</f>
        <v/>
      </c>
      <c r="L1783" s="22">
        <f t="array" ref="L1783">IF($D1783="","",IFERROR(INDEX(MASTER_SOURCE!$D$2:$D$495,MATCH($I1783,MASTER_SOURCE!$A$2:$A$495,0)),""))</f>
        <v/>
      </c>
      <c r="M1783" s="24" t="n"/>
      <c r="N1783" s="24" t="n"/>
      <c r="O1783" s="24" t="n"/>
      <c r="P1783" s="24" t="n"/>
      <c r="Q1783" s="22">
        <f>IF($D1783="","",IF(AND(OR(DANH_MUC!$L$5&lt;&gt;"Có",M1783="Có"),OR(DANH_MUC!$L$6&lt;&gt;"Có",N1783="Có"),OR(DANH_MUC!$L$7&lt;&gt;"Có",O1783="Có"),OR(DANH_MUC!$L$8&lt;&gt;"Có",P1783="Có")),"Có","Không"))</f>
        <v/>
      </c>
      <c r="R1783" s="22">
        <f>IF($D1783="","",IF(COUNTIF($D$2:$D1783,$D1783)&gt;1,"Trùng",""))</f>
        <v/>
      </c>
      <c r="S1783" s="22">
        <f>IF($D1783="","",IF(AND(LEN($D1783)=10,LEFT($D1783,1)="0",ISNUMBER(--$D1783)),"Có","Không"))</f>
        <v/>
      </c>
      <c r="T1783" s="22">
        <f>IF($D1783="","",IF(AND($C1783&lt;&gt;"",$Q1783="Có",$R1783="",$S1783="Có",AND($L1783&lt;&gt;"",OR($L1783&lt;&gt;"Chưa xác định",DANH_MUC!$L$9="Có"))),"Có","Không"))</f>
        <v/>
      </c>
      <c r="U1783" s="22">
        <f>IF(OR($D1783="",$T1783="Có"),"",IF($C1783="","Thiếu họ tên; ","")&amp;IF($S1783&lt;&gt;"Có","SĐT sai định dạng; ","")&amp;IF($R1783="Trùng","Trùng SĐT; ","")&amp;IF($Q1783&lt;&gt;"Có","Thiếu đồng ý bắt buộc; ","")&amp;IF($L1783="","Thiếu/sai Mã REF; ",IF(AND($L1783="Chưa xác định",DANH_MUC!$L$9&lt;&gt;"Có"),"Nguồn chưa xác định; ","")))</f>
        <v/>
      </c>
      <c r="V1783" s="22">
        <f>IF(OR($D1783="",$R1783="Trùng"),"",IF(COUNTIF(ORDERS!$C$2:$C$4995,$D1783)&gt;0,"Có","Không"))</f>
        <v/>
      </c>
      <c r="W1783" s="22">
        <f>IF(OR($D1783="",$R1783="Trùng"),"",COUNTIFS(ORDERS!$C$2:$C$4995,$D1783,ORDERS!$L$2:$L$4995,"Đã chuyển khoản"))</f>
        <v/>
      </c>
      <c r="X1783" s="23">
        <f>IF(OR($D1783="",$R1783="Trùng"),"",SUMIFS(ORDERS!$J$2:$J$4995,ORDERS!$C$2:$C$4995,$D1783,ORDERS!$L$2:$L$4995,"Đã chuyển khoản"))</f>
        <v/>
      </c>
      <c r="Y1783" s="24" t="n"/>
    </row>
    <row r="1784" ht="14.25" customHeight="1" s="40">
      <c r="A1784" s="24" t="n"/>
      <c r="B1784" s="27" t="n"/>
      <c r="C1784" s="24" t="n"/>
      <c r="D1784" s="28" t="n"/>
      <c r="E1784" s="29" t="n"/>
      <c r="F1784" s="24" t="n"/>
      <c r="G1784" s="24" t="n"/>
      <c r="H1784" s="21">
        <f>IF(ISNUMBER($B1784),INT($B1784)-WEEKDAY($B1784,2)+1,"")</f>
        <v/>
      </c>
      <c r="I1784" s="24" t="n"/>
      <c r="J1784" s="22">
        <f t="array" ref="J1784">IF($D1784="","",IF($I1784="","(trống REF)",IFERROR(INDEX(MASTER_SOURCE!$B$2:$B$495,MATCH($I1784,MASTER_SOURCE!$A$2:$A$495,0)),"(REF không có trong MASTER_SOURCE)")))</f>
        <v/>
      </c>
      <c r="K1784" s="22">
        <f t="array" ref="K1784">IF($D1784="","",IFERROR(INDEX(MASTER_SOURCE!$C$2:$C$495,MATCH($I1784,MASTER_SOURCE!$A$2:$A$495,0)),""))</f>
        <v/>
      </c>
      <c r="L1784" s="22">
        <f t="array" ref="L1784">IF($D1784="","",IFERROR(INDEX(MASTER_SOURCE!$D$2:$D$495,MATCH($I1784,MASTER_SOURCE!$A$2:$A$495,0)),""))</f>
        <v/>
      </c>
      <c r="M1784" s="24" t="n"/>
      <c r="N1784" s="24" t="n"/>
      <c r="O1784" s="24" t="n"/>
      <c r="P1784" s="24" t="n"/>
      <c r="Q1784" s="22">
        <f>IF($D1784="","",IF(AND(OR(DANH_MUC!$L$5&lt;&gt;"Có",M1784="Có"),OR(DANH_MUC!$L$6&lt;&gt;"Có",N1784="Có"),OR(DANH_MUC!$L$7&lt;&gt;"Có",O1784="Có"),OR(DANH_MUC!$L$8&lt;&gt;"Có",P1784="Có")),"Có","Không"))</f>
        <v/>
      </c>
      <c r="R1784" s="22">
        <f>IF($D1784="","",IF(COUNTIF($D$2:$D1784,$D1784)&gt;1,"Trùng",""))</f>
        <v/>
      </c>
      <c r="S1784" s="22">
        <f>IF($D1784="","",IF(AND(LEN($D1784)=10,LEFT($D1784,1)="0",ISNUMBER(--$D1784)),"Có","Không"))</f>
        <v/>
      </c>
      <c r="T1784" s="22">
        <f>IF($D1784="","",IF(AND($C1784&lt;&gt;"",$Q1784="Có",$R1784="",$S1784="Có",AND($L1784&lt;&gt;"",OR($L1784&lt;&gt;"Chưa xác định",DANH_MUC!$L$9="Có"))),"Có","Không"))</f>
        <v/>
      </c>
      <c r="U1784" s="22">
        <f>IF(OR($D1784="",$T1784="Có"),"",IF($C1784="","Thiếu họ tên; ","")&amp;IF($S1784&lt;&gt;"Có","SĐT sai định dạng; ","")&amp;IF($R1784="Trùng","Trùng SĐT; ","")&amp;IF($Q1784&lt;&gt;"Có","Thiếu đồng ý bắt buộc; ","")&amp;IF($L1784="","Thiếu/sai Mã REF; ",IF(AND($L1784="Chưa xác định",DANH_MUC!$L$9&lt;&gt;"Có"),"Nguồn chưa xác định; ","")))</f>
        <v/>
      </c>
      <c r="V1784" s="22">
        <f>IF(OR($D1784="",$R1784="Trùng"),"",IF(COUNTIF(ORDERS!$C$2:$C$4995,$D1784)&gt;0,"Có","Không"))</f>
        <v/>
      </c>
      <c r="W1784" s="22">
        <f>IF(OR($D1784="",$R1784="Trùng"),"",COUNTIFS(ORDERS!$C$2:$C$4995,$D1784,ORDERS!$L$2:$L$4995,"Đã chuyển khoản"))</f>
        <v/>
      </c>
      <c r="X1784" s="23">
        <f>IF(OR($D1784="",$R1784="Trùng"),"",SUMIFS(ORDERS!$J$2:$J$4995,ORDERS!$C$2:$C$4995,$D1784,ORDERS!$L$2:$L$4995,"Đã chuyển khoản"))</f>
        <v/>
      </c>
      <c r="Y1784" s="24" t="n"/>
    </row>
    <row r="1785" ht="14.25" customHeight="1" s="40">
      <c r="A1785" s="24" t="n"/>
      <c r="B1785" s="27" t="n"/>
      <c r="C1785" s="24" t="n"/>
      <c r="D1785" s="28" t="n"/>
      <c r="E1785" s="29" t="n"/>
      <c r="F1785" s="24" t="n"/>
      <c r="G1785" s="24" t="n"/>
      <c r="H1785" s="21">
        <f>IF(ISNUMBER($B1785),INT($B1785)-WEEKDAY($B1785,2)+1,"")</f>
        <v/>
      </c>
      <c r="I1785" s="24" t="n"/>
      <c r="J1785" s="22">
        <f t="array" ref="J1785">IF($D1785="","",IF($I1785="","(trống REF)",IFERROR(INDEX(MASTER_SOURCE!$B$2:$B$495,MATCH($I1785,MASTER_SOURCE!$A$2:$A$495,0)),"(REF không có trong MASTER_SOURCE)")))</f>
        <v/>
      </c>
      <c r="K1785" s="22">
        <f t="array" ref="K1785">IF($D1785="","",IFERROR(INDEX(MASTER_SOURCE!$C$2:$C$495,MATCH($I1785,MASTER_SOURCE!$A$2:$A$495,0)),""))</f>
        <v/>
      </c>
      <c r="L1785" s="22">
        <f t="array" ref="L1785">IF($D1785="","",IFERROR(INDEX(MASTER_SOURCE!$D$2:$D$495,MATCH($I1785,MASTER_SOURCE!$A$2:$A$495,0)),""))</f>
        <v/>
      </c>
      <c r="M1785" s="24" t="n"/>
      <c r="N1785" s="24" t="n"/>
      <c r="O1785" s="24" t="n"/>
      <c r="P1785" s="24" t="n"/>
      <c r="Q1785" s="22">
        <f>IF($D1785="","",IF(AND(OR(DANH_MUC!$L$5&lt;&gt;"Có",M1785="Có"),OR(DANH_MUC!$L$6&lt;&gt;"Có",N1785="Có"),OR(DANH_MUC!$L$7&lt;&gt;"Có",O1785="Có"),OR(DANH_MUC!$L$8&lt;&gt;"Có",P1785="Có")),"Có","Không"))</f>
        <v/>
      </c>
      <c r="R1785" s="22">
        <f>IF($D1785="","",IF(COUNTIF($D$2:$D1785,$D1785)&gt;1,"Trùng",""))</f>
        <v/>
      </c>
      <c r="S1785" s="22">
        <f>IF($D1785="","",IF(AND(LEN($D1785)=10,LEFT($D1785,1)="0",ISNUMBER(--$D1785)),"Có","Không"))</f>
        <v/>
      </c>
      <c r="T1785" s="22">
        <f>IF($D1785="","",IF(AND($C1785&lt;&gt;"",$Q1785="Có",$R1785="",$S1785="Có",AND($L1785&lt;&gt;"",OR($L1785&lt;&gt;"Chưa xác định",DANH_MUC!$L$9="Có"))),"Có","Không"))</f>
        <v/>
      </c>
      <c r="U1785" s="22">
        <f>IF(OR($D1785="",$T1785="Có"),"",IF($C1785="","Thiếu họ tên; ","")&amp;IF($S1785&lt;&gt;"Có","SĐT sai định dạng; ","")&amp;IF($R1785="Trùng","Trùng SĐT; ","")&amp;IF($Q1785&lt;&gt;"Có","Thiếu đồng ý bắt buộc; ","")&amp;IF($L1785="","Thiếu/sai Mã REF; ",IF(AND($L1785="Chưa xác định",DANH_MUC!$L$9&lt;&gt;"Có"),"Nguồn chưa xác định; ","")))</f>
        <v/>
      </c>
      <c r="V1785" s="22">
        <f>IF(OR($D1785="",$R1785="Trùng"),"",IF(COUNTIF(ORDERS!$C$2:$C$4995,$D1785)&gt;0,"Có","Không"))</f>
        <v/>
      </c>
      <c r="W1785" s="22">
        <f>IF(OR($D1785="",$R1785="Trùng"),"",COUNTIFS(ORDERS!$C$2:$C$4995,$D1785,ORDERS!$L$2:$L$4995,"Đã chuyển khoản"))</f>
        <v/>
      </c>
      <c r="X1785" s="23">
        <f>IF(OR($D1785="",$R1785="Trùng"),"",SUMIFS(ORDERS!$J$2:$J$4995,ORDERS!$C$2:$C$4995,$D1785,ORDERS!$L$2:$L$4995,"Đã chuyển khoản"))</f>
        <v/>
      </c>
      <c r="Y1785" s="24" t="n"/>
    </row>
    <row r="1786" ht="14.25" customHeight="1" s="40">
      <c r="A1786" s="24" t="n"/>
      <c r="B1786" s="27" t="n"/>
      <c r="C1786" s="24" t="n"/>
      <c r="D1786" s="28" t="n"/>
      <c r="E1786" s="29" t="n"/>
      <c r="F1786" s="24" t="n"/>
      <c r="G1786" s="24" t="n"/>
      <c r="H1786" s="21">
        <f>IF(ISNUMBER($B1786),INT($B1786)-WEEKDAY($B1786,2)+1,"")</f>
        <v/>
      </c>
      <c r="I1786" s="24" t="n"/>
      <c r="J1786" s="22">
        <f t="array" ref="J1786">IF($D1786="","",IF($I1786="","(trống REF)",IFERROR(INDEX(MASTER_SOURCE!$B$2:$B$495,MATCH($I1786,MASTER_SOURCE!$A$2:$A$495,0)),"(REF không có trong MASTER_SOURCE)")))</f>
        <v/>
      </c>
      <c r="K1786" s="22">
        <f t="array" ref="K1786">IF($D1786="","",IFERROR(INDEX(MASTER_SOURCE!$C$2:$C$495,MATCH($I1786,MASTER_SOURCE!$A$2:$A$495,0)),""))</f>
        <v/>
      </c>
      <c r="L1786" s="22">
        <f t="array" ref="L1786">IF($D1786="","",IFERROR(INDEX(MASTER_SOURCE!$D$2:$D$495,MATCH($I1786,MASTER_SOURCE!$A$2:$A$495,0)),""))</f>
        <v/>
      </c>
      <c r="M1786" s="24" t="n"/>
      <c r="N1786" s="24" t="n"/>
      <c r="O1786" s="24" t="n"/>
      <c r="P1786" s="24" t="n"/>
      <c r="Q1786" s="22">
        <f>IF($D1786="","",IF(AND(OR(DANH_MUC!$L$5&lt;&gt;"Có",M1786="Có"),OR(DANH_MUC!$L$6&lt;&gt;"Có",N1786="Có"),OR(DANH_MUC!$L$7&lt;&gt;"Có",O1786="Có"),OR(DANH_MUC!$L$8&lt;&gt;"Có",P1786="Có")),"Có","Không"))</f>
        <v/>
      </c>
      <c r="R1786" s="22">
        <f>IF($D1786="","",IF(COUNTIF($D$2:$D1786,$D1786)&gt;1,"Trùng",""))</f>
        <v/>
      </c>
      <c r="S1786" s="22">
        <f>IF($D1786="","",IF(AND(LEN($D1786)=10,LEFT($D1786,1)="0",ISNUMBER(--$D1786)),"Có","Không"))</f>
        <v/>
      </c>
      <c r="T1786" s="22">
        <f>IF($D1786="","",IF(AND($C1786&lt;&gt;"",$Q1786="Có",$R1786="",$S1786="Có",AND($L1786&lt;&gt;"",OR($L1786&lt;&gt;"Chưa xác định",DANH_MUC!$L$9="Có"))),"Có","Không"))</f>
        <v/>
      </c>
      <c r="U1786" s="22">
        <f>IF(OR($D1786="",$T1786="Có"),"",IF($C1786="","Thiếu họ tên; ","")&amp;IF($S1786&lt;&gt;"Có","SĐT sai định dạng; ","")&amp;IF($R1786="Trùng","Trùng SĐT; ","")&amp;IF($Q1786&lt;&gt;"Có","Thiếu đồng ý bắt buộc; ","")&amp;IF($L1786="","Thiếu/sai Mã REF; ",IF(AND($L1786="Chưa xác định",DANH_MUC!$L$9&lt;&gt;"Có"),"Nguồn chưa xác định; ","")))</f>
        <v/>
      </c>
      <c r="V1786" s="22">
        <f>IF(OR($D1786="",$R1786="Trùng"),"",IF(COUNTIF(ORDERS!$C$2:$C$4995,$D1786)&gt;0,"Có","Không"))</f>
        <v/>
      </c>
      <c r="W1786" s="22">
        <f>IF(OR($D1786="",$R1786="Trùng"),"",COUNTIFS(ORDERS!$C$2:$C$4995,$D1786,ORDERS!$L$2:$L$4995,"Đã chuyển khoản"))</f>
        <v/>
      </c>
      <c r="X1786" s="23">
        <f>IF(OR($D1786="",$R1786="Trùng"),"",SUMIFS(ORDERS!$J$2:$J$4995,ORDERS!$C$2:$C$4995,$D1786,ORDERS!$L$2:$L$4995,"Đã chuyển khoản"))</f>
        <v/>
      </c>
      <c r="Y1786" s="24" t="n"/>
    </row>
    <row r="1787" ht="14.25" customHeight="1" s="40">
      <c r="A1787" s="24" t="n"/>
      <c r="B1787" s="27" t="n"/>
      <c r="C1787" s="24" t="n"/>
      <c r="D1787" s="28" t="n"/>
      <c r="E1787" s="29" t="n"/>
      <c r="F1787" s="24" t="n"/>
      <c r="G1787" s="24" t="n"/>
      <c r="H1787" s="21">
        <f>IF(ISNUMBER($B1787),INT($B1787)-WEEKDAY($B1787,2)+1,"")</f>
        <v/>
      </c>
      <c r="I1787" s="24" t="n"/>
      <c r="J1787" s="22">
        <f t="array" ref="J1787">IF($D1787="","",IF($I1787="","(trống REF)",IFERROR(INDEX(MASTER_SOURCE!$B$2:$B$495,MATCH($I1787,MASTER_SOURCE!$A$2:$A$495,0)),"(REF không có trong MASTER_SOURCE)")))</f>
        <v/>
      </c>
      <c r="K1787" s="22">
        <f t="array" ref="K1787">IF($D1787="","",IFERROR(INDEX(MASTER_SOURCE!$C$2:$C$495,MATCH($I1787,MASTER_SOURCE!$A$2:$A$495,0)),""))</f>
        <v/>
      </c>
      <c r="L1787" s="22">
        <f t="array" ref="L1787">IF($D1787="","",IFERROR(INDEX(MASTER_SOURCE!$D$2:$D$495,MATCH($I1787,MASTER_SOURCE!$A$2:$A$495,0)),""))</f>
        <v/>
      </c>
      <c r="M1787" s="24" t="n"/>
      <c r="N1787" s="24" t="n"/>
      <c r="O1787" s="24" t="n"/>
      <c r="P1787" s="24" t="n"/>
      <c r="Q1787" s="22">
        <f>IF($D1787="","",IF(AND(OR(DANH_MUC!$L$5&lt;&gt;"Có",M1787="Có"),OR(DANH_MUC!$L$6&lt;&gt;"Có",N1787="Có"),OR(DANH_MUC!$L$7&lt;&gt;"Có",O1787="Có"),OR(DANH_MUC!$L$8&lt;&gt;"Có",P1787="Có")),"Có","Không"))</f>
        <v/>
      </c>
      <c r="R1787" s="22">
        <f>IF($D1787="","",IF(COUNTIF($D$2:$D1787,$D1787)&gt;1,"Trùng",""))</f>
        <v/>
      </c>
      <c r="S1787" s="22">
        <f>IF($D1787="","",IF(AND(LEN($D1787)=10,LEFT($D1787,1)="0",ISNUMBER(--$D1787)),"Có","Không"))</f>
        <v/>
      </c>
      <c r="T1787" s="22">
        <f>IF($D1787="","",IF(AND($C1787&lt;&gt;"",$Q1787="Có",$R1787="",$S1787="Có",AND($L1787&lt;&gt;"",OR($L1787&lt;&gt;"Chưa xác định",DANH_MUC!$L$9="Có"))),"Có","Không"))</f>
        <v/>
      </c>
      <c r="U1787" s="22">
        <f>IF(OR($D1787="",$T1787="Có"),"",IF($C1787="","Thiếu họ tên; ","")&amp;IF($S1787&lt;&gt;"Có","SĐT sai định dạng; ","")&amp;IF($R1787="Trùng","Trùng SĐT; ","")&amp;IF($Q1787&lt;&gt;"Có","Thiếu đồng ý bắt buộc; ","")&amp;IF($L1787="","Thiếu/sai Mã REF; ",IF(AND($L1787="Chưa xác định",DANH_MUC!$L$9&lt;&gt;"Có"),"Nguồn chưa xác định; ","")))</f>
        <v/>
      </c>
      <c r="V1787" s="22">
        <f>IF(OR($D1787="",$R1787="Trùng"),"",IF(COUNTIF(ORDERS!$C$2:$C$4995,$D1787)&gt;0,"Có","Không"))</f>
        <v/>
      </c>
      <c r="W1787" s="22">
        <f>IF(OR($D1787="",$R1787="Trùng"),"",COUNTIFS(ORDERS!$C$2:$C$4995,$D1787,ORDERS!$L$2:$L$4995,"Đã chuyển khoản"))</f>
        <v/>
      </c>
      <c r="X1787" s="23">
        <f>IF(OR($D1787="",$R1787="Trùng"),"",SUMIFS(ORDERS!$J$2:$J$4995,ORDERS!$C$2:$C$4995,$D1787,ORDERS!$L$2:$L$4995,"Đã chuyển khoản"))</f>
        <v/>
      </c>
      <c r="Y1787" s="24" t="n"/>
    </row>
    <row r="1788" ht="14.25" customHeight="1" s="40">
      <c r="A1788" s="24" t="n"/>
      <c r="B1788" s="27" t="n"/>
      <c r="C1788" s="24" t="n"/>
      <c r="D1788" s="28" t="n"/>
      <c r="E1788" s="29" t="n"/>
      <c r="F1788" s="24" t="n"/>
      <c r="G1788" s="24" t="n"/>
      <c r="H1788" s="21">
        <f>IF(ISNUMBER($B1788),INT($B1788)-WEEKDAY($B1788,2)+1,"")</f>
        <v/>
      </c>
      <c r="I1788" s="24" t="n"/>
      <c r="J1788" s="22">
        <f t="array" ref="J1788">IF($D1788="","",IF($I1788="","(trống REF)",IFERROR(INDEX(MASTER_SOURCE!$B$2:$B$495,MATCH($I1788,MASTER_SOURCE!$A$2:$A$495,0)),"(REF không có trong MASTER_SOURCE)")))</f>
        <v/>
      </c>
      <c r="K1788" s="22">
        <f t="array" ref="K1788">IF($D1788="","",IFERROR(INDEX(MASTER_SOURCE!$C$2:$C$495,MATCH($I1788,MASTER_SOURCE!$A$2:$A$495,0)),""))</f>
        <v/>
      </c>
      <c r="L1788" s="22">
        <f t="array" ref="L1788">IF($D1788="","",IFERROR(INDEX(MASTER_SOURCE!$D$2:$D$495,MATCH($I1788,MASTER_SOURCE!$A$2:$A$495,0)),""))</f>
        <v/>
      </c>
      <c r="M1788" s="24" t="n"/>
      <c r="N1788" s="24" t="n"/>
      <c r="O1788" s="24" t="n"/>
      <c r="P1788" s="24" t="n"/>
      <c r="Q1788" s="22">
        <f>IF($D1788="","",IF(AND(OR(DANH_MUC!$L$5&lt;&gt;"Có",M1788="Có"),OR(DANH_MUC!$L$6&lt;&gt;"Có",N1788="Có"),OR(DANH_MUC!$L$7&lt;&gt;"Có",O1788="Có"),OR(DANH_MUC!$L$8&lt;&gt;"Có",P1788="Có")),"Có","Không"))</f>
        <v/>
      </c>
      <c r="R1788" s="22">
        <f>IF($D1788="","",IF(COUNTIF($D$2:$D1788,$D1788)&gt;1,"Trùng",""))</f>
        <v/>
      </c>
      <c r="S1788" s="22">
        <f>IF($D1788="","",IF(AND(LEN($D1788)=10,LEFT($D1788,1)="0",ISNUMBER(--$D1788)),"Có","Không"))</f>
        <v/>
      </c>
      <c r="T1788" s="22">
        <f>IF($D1788="","",IF(AND($C1788&lt;&gt;"",$Q1788="Có",$R1788="",$S1788="Có",AND($L1788&lt;&gt;"",OR($L1788&lt;&gt;"Chưa xác định",DANH_MUC!$L$9="Có"))),"Có","Không"))</f>
        <v/>
      </c>
      <c r="U1788" s="22">
        <f>IF(OR($D1788="",$T1788="Có"),"",IF($C1788="","Thiếu họ tên; ","")&amp;IF($S1788&lt;&gt;"Có","SĐT sai định dạng; ","")&amp;IF($R1788="Trùng","Trùng SĐT; ","")&amp;IF($Q1788&lt;&gt;"Có","Thiếu đồng ý bắt buộc; ","")&amp;IF($L1788="","Thiếu/sai Mã REF; ",IF(AND($L1788="Chưa xác định",DANH_MUC!$L$9&lt;&gt;"Có"),"Nguồn chưa xác định; ","")))</f>
        <v/>
      </c>
      <c r="V1788" s="22">
        <f>IF(OR($D1788="",$R1788="Trùng"),"",IF(COUNTIF(ORDERS!$C$2:$C$4995,$D1788)&gt;0,"Có","Không"))</f>
        <v/>
      </c>
      <c r="W1788" s="22">
        <f>IF(OR($D1788="",$R1788="Trùng"),"",COUNTIFS(ORDERS!$C$2:$C$4995,$D1788,ORDERS!$L$2:$L$4995,"Đã chuyển khoản"))</f>
        <v/>
      </c>
      <c r="X1788" s="23">
        <f>IF(OR($D1788="",$R1788="Trùng"),"",SUMIFS(ORDERS!$J$2:$J$4995,ORDERS!$C$2:$C$4995,$D1788,ORDERS!$L$2:$L$4995,"Đã chuyển khoản"))</f>
        <v/>
      </c>
      <c r="Y1788" s="24" t="n"/>
    </row>
    <row r="1789" ht="14.25" customHeight="1" s="40">
      <c r="A1789" s="24" t="n"/>
      <c r="B1789" s="27" t="n"/>
      <c r="C1789" s="24" t="n"/>
      <c r="D1789" s="28" t="n"/>
      <c r="E1789" s="29" t="n"/>
      <c r="F1789" s="24" t="n"/>
      <c r="G1789" s="24" t="n"/>
      <c r="H1789" s="21">
        <f>IF(ISNUMBER($B1789),INT($B1789)-WEEKDAY($B1789,2)+1,"")</f>
        <v/>
      </c>
      <c r="I1789" s="24" t="n"/>
      <c r="J1789" s="22">
        <f t="array" ref="J1789">IF($D1789="","",IF($I1789="","(trống REF)",IFERROR(INDEX(MASTER_SOURCE!$B$2:$B$495,MATCH($I1789,MASTER_SOURCE!$A$2:$A$495,0)),"(REF không có trong MASTER_SOURCE)")))</f>
        <v/>
      </c>
      <c r="K1789" s="22">
        <f t="array" ref="K1789">IF($D1789="","",IFERROR(INDEX(MASTER_SOURCE!$C$2:$C$495,MATCH($I1789,MASTER_SOURCE!$A$2:$A$495,0)),""))</f>
        <v/>
      </c>
      <c r="L1789" s="22">
        <f t="array" ref="L1789">IF($D1789="","",IFERROR(INDEX(MASTER_SOURCE!$D$2:$D$495,MATCH($I1789,MASTER_SOURCE!$A$2:$A$495,0)),""))</f>
        <v/>
      </c>
      <c r="M1789" s="24" t="n"/>
      <c r="N1789" s="24" t="n"/>
      <c r="O1789" s="24" t="n"/>
      <c r="P1789" s="24" t="n"/>
      <c r="Q1789" s="22">
        <f>IF($D1789="","",IF(AND(OR(DANH_MUC!$L$5&lt;&gt;"Có",M1789="Có"),OR(DANH_MUC!$L$6&lt;&gt;"Có",N1789="Có"),OR(DANH_MUC!$L$7&lt;&gt;"Có",O1789="Có"),OR(DANH_MUC!$L$8&lt;&gt;"Có",P1789="Có")),"Có","Không"))</f>
        <v/>
      </c>
      <c r="R1789" s="22">
        <f>IF($D1789="","",IF(COUNTIF($D$2:$D1789,$D1789)&gt;1,"Trùng",""))</f>
        <v/>
      </c>
      <c r="S1789" s="22">
        <f>IF($D1789="","",IF(AND(LEN($D1789)=10,LEFT($D1789,1)="0",ISNUMBER(--$D1789)),"Có","Không"))</f>
        <v/>
      </c>
      <c r="T1789" s="22">
        <f>IF($D1789="","",IF(AND($C1789&lt;&gt;"",$Q1789="Có",$R1789="",$S1789="Có",AND($L1789&lt;&gt;"",OR($L1789&lt;&gt;"Chưa xác định",DANH_MUC!$L$9="Có"))),"Có","Không"))</f>
        <v/>
      </c>
      <c r="U1789" s="22">
        <f>IF(OR($D1789="",$T1789="Có"),"",IF($C1789="","Thiếu họ tên; ","")&amp;IF($S1789&lt;&gt;"Có","SĐT sai định dạng; ","")&amp;IF($R1789="Trùng","Trùng SĐT; ","")&amp;IF($Q1789&lt;&gt;"Có","Thiếu đồng ý bắt buộc; ","")&amp;IF($L1789="","Thiếu/sai Mã REF; ",IF(AND($L1789="Chưa xác định",DANH_MUC!$L$9&lt;&gt;"Có"),"Nguồn chưa xác định; ","")))</f>
        <v/>
      </c>
      <c r="V1789" s="22">
        <f>IF(OR($D1789="",$R1789="Trùng"),"",IF(COUNTIF(ORDERS!$C$2:$C$4995,$D1789)&gt;0,"Có","Không"))</f>
        <v/>
      </c>
      <c r="W1789" s="22">
        <f>IF(OR($D1789="",$R1789="Trùng"),"",COUNTIFS(ORDERS!$C$2:$C$4995,$D1789,ORDERS!$L$2:$L$4995,"Đã chuyển khoản"))</f>
        <v/>
      </c>
      <c r="X1789" s="23">
        <f>IF(OR($D1789="",$R1789="Trùng"),"",SUMIFS(ORDERS!$J$2:$J$4995,ORDERS!$C$2:$C$4995,$D1789,ORDERS!$L$2:$L$4995,"Đã chuyển khoản"))</f>
        <v/>
      </c>
      <c r="Y1789" s="24" t="n"/>
    </row>
    <row r="1790" ht="14.25" customHeight="1" s="40">
      <c r="A1790" s="24" t="n"/>
      <c r="B1790" s="27" t="n"/>
      <c r="C1790" s="24" t="n"/>
      <c r="D1790" s="28" t="n"/>
      <c r="E1790" s="29" t="n"/>
      <c r="F1790" s="24" t="n"/>
      <c r="G1790" s="24" t="n"/>
      <c r="H1790" s="21">
        <f>IF(ISNUMBER($B1790),INT($B1790)-WEEKDAY($B1790,2)+1,"")</f>
        <v/>
      </c>
      <c r="I1790" s="24" t="n"/>
      <c r="J1790" s="22">
        <f t="array" ref="J1790">IF($D1790="","",IF($I1790="","(trống REF)",IFERROR(INDEX(MASTER_SOURCE!$B$2:$B$495,MATCH($I1790,MASTER_SOURCE!$A$2:$A$495,0)),"(REF không có trong MASTER_SOURCE)")))</f>
        <v/>
      </c>
      <c r="K1790" s="22">
        <f t="array" ref="K1790">IF($D1790="","",IFERROR(INDEX(MASTER_SOURCE!$C$2:$C$495,MATCH($I1790,MASTER_SOURCE!$A$2:$A$495,0)),""))</f>
        <v/>
      </c>
      <c r="L1790" s="22">
        <f t="array" ref="L1790">IF($D1790="","",IFERROR(INDEX(MASTER_SOURCE!$D$2:$D$495,MATCH($I1790,MASTER_SOURCE!$A$2:$A$495,0)),""))</f>
        <v/>
      </c>
      <c r="M1790" s="24" t="n"/>
      <c r="N1790" s="24" t="n"/>
      <c r="O1790" s="24" t="n"/>
      <c r="P1790" s="24" t="n"/>
      <c r="Q1790" s="22">
        <f>IF($D1790="","",IF(AND(OR(DANH_MUC!$L$5&lt;&gt;"Có",M1790="Có"),OR(DANH_MUC!$L$6&lt;&gt;"Có",N1790="Có"),OR(DANH_MUC!$L$7&lt;&gt;"Có",O1790="Có"),OR(DANH_MUC!$L$8&lt;&gt;"Có",P1790="Có")),"Có","Không"))</f>
        <v/>
      </c>
      <c r="R1790" s="22">
        <f>IF($D1790="","",IF(COUNTIF($D$2:$D1790,$D1790)&gt;1,"Trùng",""))</f>
        <v/>
      </c>
      <c r="S1790" s="22">
        <f>IF($D1790="","",IF(AND(LEN($D1790)=10,LEFT($D1790,1)="0",ISNUMBER(--$D1790)),"Có","Không"))</f>
        <v/>
      </c>
      <c r="T1790" s="22">
        <f>IF($D1790="","",IF(AND($C1790&lt;&gt;"",$Q1790="Có",$R1790="",$S1790="Có",AND($L1790&lt;&gt;"",OR($L1790&lt;&gt;"Chưa xác định",DANH_MUC!$L$9="Có"))),"Có","Không"))</f>
        <v/>
      </c>
      <c r="U1790" s="22">
        <f>IF(OR($D1790="",$T1790="Có"),"",IF($C1790="","Thiếu họ tên; ","")&amp;IF($S1790&lt;&gt;"Có","SĐT sai định dạng; ","")&amp;IF($R1790="Trùng","Trùng SĐT; ","")&amp;IF($Q1790&lt;&gt;"Có","Thiếu đồng ý bắt buộc; ","")&amp;IF($L1790="","Thiếu/sai Mã REF; ",IF(AND($L1790="Chưa xác định",DANH_MUC!$L$9&lt;&gt;"Có"),"Nguồn chưa xác định; ","")))</f>
        <v/>
      </c>
      <c r="V1790" s="22">
        <f>IF(OR($D1790="",$R1790="Trùng"),"",IF(COUNTIF(ORDERS!$C$2:$C$4995,$D1790)&gt;0,"Có","Không"))</f>
        <v/>
      </c>
      <c r="W1790" s="22">
        <f>IF(OR($D1790="",$R1790="Trùng"),"",COUNTIFS(ORDERS!$C$2:$C$4995,$D1790,ORDERS!$L$2:$L$4995,"Đã chuyển khoản"))</f>
        <v/>
      </c>
      <c r="X1790" s="23">
        <f>IF(OR($D1790="",$R1790="Trùng"),"",SUMIFS(ORDERS!$J$2:$J$4995,ORDERS!$C$2:$C$4995,$D1790,ORDERS!$L$2:$L$4995,"Đã chuyển khoản"))</f>
        <v/>
      </c>
      <c r="Y1790" s="24" t="n"/>
    </row>
    <row r="1791" ht="14.25" customHeight="1" s="40">
      <c r="A1791" s="24" t="n"/>
      <c r="B1791" s="27" t="n"/>
      <c r="C1791" s="24" t="n"/>
      <c r="D1791" s="28" t="n"/>
      <c r="E1791" s="29" t="n"/>
      <c r="F1791" s="24" t="n"/>
      <c r="G1791" s="24" t="n"/>
      <c r="H1791" s="21">
        <f>IF(ISNUMBER($B1791),INT($B1791)-WEEKDAY($B1791,2)+1,"")</f>
        <v/>
      </c>
      <c r="I1791" s="24" t="n"/>
      <c r="J1791" s="22">
        <f t="array" ref="J1791">IF($D1791="","",IF($I1791="","(trống REF)",IFERROR(INDEX(MASTER_SOURCE!$B$2:$B$495,MATCH($I1791,MASTER_SOURCE!$A$2:$A$495,0)),"(REF không có trong MASTER_SOURCE)")))</f>
        <v/>
      </c>
      <c r="K1791" s="22">
        <f t="array" ref="K1791">IF($D1791="","",IFERROR(INDEX(MASTER_SOURCE!$C$2:$C$495,MATCH($I1791,MASTER_SOURCE!$A$2:$A$495,0)),""))</f>
        <v/>
      </c>
      <c r="L1791" s="22">
        <f t="array" ref="L1791">IF($D1791="","",IFERROR(INDEX(MASTER_SOURCE!$D$2:$D$495,MATCH($I1791,MASTER_SOURCE!$A$2:$A$495,0)),""))</f>
        <v/>
      </c>
      <c r="M1791" s="24" t="n"/>
      <c r="N1791" s="24" t="n"/>
      <c r="O1791" s="24" t="n"/>
      <c r="P1791" s="24" t="n"/>
      <c r="Q1791" s="22">
        <f>IF($D1791="","",IF(AND(OR(DANH_MUC!$L$5&lt;&gt;"Có",M1791="Có"),OR(DANH_MUC!$L$6&lt;&gt;"Có",N1791="Có"),OR(DANH_MUC!$L$7&lt;&gt;"Có",O1791="Có"),OR(DANH_MUC!$L$8&lt;&gt;"Có",P1791="Có")),"Có","Không"))</f>
        <v/>
      </c>
      <c r="R1791" s="22">
        <f>IF($D1791="","",IF(COUNTIF($D$2:$D1791,$D1791)&gt;1,"Trùng",""))</f>
        <v/>
      </c>
      <c r="S1791" s="22">
        <f>IF($D1791="","",IF(AND(LEN($D1791)=10,LEFT($D1791,1)="0",ISNUMBER(--$D1791)),"Có","Không"))</f>
        <v/>
      </c>
      <c r="T1791" s="22">
        <f>IF($D1791="","",IF(AND($C1791&lt;&gt;"",$Q1791="Có",$R1791="",$S1791="Có",AND($L1791&lt;&gt;"",OR($L1791&lt;&gt;"Chưa xác định",DANH_MUC!$L$9="Có"))),"Có","Không"))</f>
        <v/>
      </c>
      <c r="U1791" s="22">
        <f>IF(OR($D1791="",$T1791="Có"),"",IF($C1791="","Thiếu họ tên; ","")&amp;IF($S1791&lt;&gt;"Có","SĐT sai định dạng; ","")&amp;IF($R1791="Trùng","Trùng SĐT; ","")&amp;IF($Q1791&lt;&gt;"Có","Thiếu đồng ý bắt buộc; ","")&amp;IF($L1791="","Thiếu/sai Mã REF; ",IF(AND($L1791="Chưa xác định",DANH_MUC!$L$9&lt;&gt;"Có"),"Nguồn chưa xác định; ","")))</f>
        <v/>
      </c>
      <c r="V1791" s="22">
        <f>IF(OR($D1791="",$R1791="Trùng"),"",IF(COUNTIF(ORDERS!$C$2:$C$4995,$D1791)&gt;0,"Có","Không"))</f>
        <v/>
      </c>
      <c r="W1791" s="22">
        <f>IF(OR($D1791="",$R1791="Trùng"),"",COUNTIFS(ORDERS!$C$2:$C$4995,$D1791,ORDERS!$L$2:$L$4995,"Đã chuyển khoản"))</f>
        <v/>
      </c>
      <c r="X1791" s="23">
        <f>IF(OR($D1791="",$R1791="Trùng"),"",SUMIFS(ORDERS!$J$2:$J$4995,ORDERS!$C$2:$C$4995,$D1791,ORDERS!$L$2:$L$4995,"Đã chuyển khoản"))</f>
        <v/>
      </c>
      <c r="Y1791" s="24" t="n"/>
    </row>
    <row r="1792" ht="14.25" customHeight="1" s="40">
      <c r="A1792" s="24" t="n"/>
      <c r="B1792" s="27" t="n"/>
      <c r="C1792" s="24" t="n"/>
      <c r="D1792" s="28" t="n"/>
      <c r="E1792" s="29" t="n"/>
      <c r="F1792" s="24" t="n"/>
      <c r="G1792" s="24" t="n"/>
      <c r="H1792" s="21">
        <f>IF(ISNUMBER($B1792),INT($B1792)-WEEKDAY($B1792,2)+1,"")</f>
        <v/>
      </c>
      <c r="I1792" s="24" t="n"/>
      <c r="J1792" s="22">
        <f t="array" ref="J1792">IF($D1792="","",IF($I1792="","(trống REF)",IFERROR(INDEX(MASTER_SOURCE!$B$2:$B$495,MATCH($I1792,MASTER_SOURCE!$A$2:$A$495,0)),"(REF không có trong MASTER_SOURCE)")))</f>
        <v/>
      </c>
      <c r="K1792" s="22">
        <f t="array" ref="K1792">IF($D1792="","",IFERROR(INDEX(MASTER_SOURCE!$C$2:$C$495,MATCH($I1792,MASTER_SOURCE!$A$2:$A$495,0)),""))</f>
        <v/>
      </c>
      <c r="L1792" s="22">
        <f t="array" ref="L1792">IF($D1792="","",IFERROR(INDEX(MASTER_SOURCE!$D$2:$D$495,MATCH($I1792,MASTER_SOURCE!$A$2:$A$495,0)),""))</f>
        <v/>
      </c>
      <c r="M1792" s="24" t="n"/>
      <c r="N1792" s="24" t="n"/>
      <c r="O1792" s="24" t="n"/>
      <c r="P1792" s="24" t="n"/>
      <c r="Q1792" s="22">
        <f>IF($D1792="","",IF(AND(OR(DANH_MUC!$L$5&lt;&gt;"Có",M1792="Có"),OR(DANH_MUC!$L$6&lt;&gt;"Có",N1792="Có"),OR(DANH_MUC!$L$7&lt;&gt;"Có",O1792="Có"),OR(DANH_MUC!$L$8&lt;&gt;"Có",P1792="Có")),"Có","Không"))</f>
        <v/>
      </c>
      <c r="R1792" s="22">
        <f>IF($D1792="","",IF(COUNTIF($D$2:$D1792,$D1792)&gt;1,"Trùng",""))</f>
        <v/>
      </c>
      <c r="S1792" s="22">
        <f>IF($D1792="","",IF(AND(LEN($D1792)=10,LEFT($D1792,1)="0",ISNUMBER(--$D1792)),"Có","Không"))</f>
        <v/>
      </c>
      <c r="T1792" s="22">
        <f>IF($D1792="","",IF(AND($C1792&lt;&gt;"",$Q1792="Có",$R1792="",$S1792="Có",AND($L1792&lt;&gt;"",OR($L1792&lt;&gt;"Chưa xác định",DANH_MUC!$L$9="Có"))),"Có","Không"))</f>
        <v/>
      </c>
      <c r="U1792" s="22">
        <f>IF(OR($D1792="",$T1792="Có"),"",IF($C1792="","Thiếu họ tên; ","")&amp;IF($S1792&lt;&gt;"Có","SĐT sai định dạng; ","")&amp;IF($R1792="Trùng","Trùng SĐT; ","")&amp;IF($Q1792&lt;&gt;"Có","Thiếu đồng ý bắt buộc; ","")&amp;IF($L1792="","Thiếu/sai Mã REF; ",IF(AND($L1792="Chưa xác định",DANH_MUC!$L$9&lt;&gt;"Có"),"Nguồn chưa xác định; ","")))</f>
        <v/>
      </c>
      <c r="V1792" s="22">
        <f>IF(OR($D1792="",$R1792="Trùng"),"",IF(COUNTIF(ORDERS!$C$2:$C$4995,$D1792)&gt;0,"Có","Không"))</f>
        <v/>
      </c>
      <c r="W1792" s="22">
        <f>IF(OR($D1792="",$R1792="Trùng"),"",COUNTIFS(ORDERS!$C$2:$C$4995,$D1792,ORDERS!$L$2:$L$4995,"Đã chuyển khoản"))</f>
        <v/>
      </c>
      <c r="X1792" s="23">
        <f>IF(OR($D1792="",$R1792="Trùng"),"",SUMIFS(ORDERS!$J$2:$J$4995,ORDERS!$C$2:$C$4995,$D1792,ORDERS!$L$2:$L$4995,"Đã chuyển khoản"))</f>
        <v/>
      </c>
      <c r="Y1792" s="24" t="n"/>
    </row>
    <row r="1793" ht="14.25" customHeight="1" s="40">
      <c r="A1793" s="24" t="n"/>
      <c r="B1793" s="27" t="n"/>
      <c r="C1793" s="24" t="n"/>
      <c r="D1793" s="28" t="n"/>
      <c r="E1793" s="29" t="n"/>
      <c r="F1793" s="24" t="n"/>
      <c r="G1793" s="24" t="n"/>
      <c r="H1793" s="21">
        <f>IF(ISNUMBER($B1793),INT($B1793)-WEEKDAY($B1793,2)+1,"")</f>
        <v/>
      </c>
      <c r="I1793" s="24" t="n"/>
      <c r="J1793" s="22">
        <f t="array" ref="J1793">IF($D1793="","",IF($I1793="","(trống REF)",IFERROR(INDEX(MASTER_SOURCE!$B$2:$B$495,MATCH($I1793,MASTER_SOURCE!$A$2:$A$495,0)),"(REF không có trong MASTER_SOURCE)")))</f>
        <v/>
      </c>
      <c r="K1793" s="22">
        <f t="array" ref="K1793">IF($D1793="","",IFERROR(INDEX(MASTER_SOURCE!$C$2:$C$495,MATCH($I1793,MASTER_SOURCE!$A$2:$A$495,0)),""))</f>
        <v/>
      </c>
      <c r="L1793" s="22">
        <f t="array" ref="L1793">IF($D1793="","",IFERROR(INDEX(MASTER_SOURCE!$D$2:$D$495,MATCH($I1793,MASTER_SOURCE!$A$2:$A$495,0)),""))</f>
        <v/>
      </c>
      <c r="M1793" s="24" t="n"/>
      <c r="N1793" s="24" t="n"/>
      <c r="O1793" s="24" t="n"/>
      <c r="P1793" s="24" t="n"/>
      <c r="Q1793" s="22">
        <f>IF($D1793="","",IF(AND(OR(DANH_MUC!$L$5&lt;&gt;"Có",M1793="Có"),OR(DANH_MUC!$L$6&lt;&gt;"Có",N1793="Có"),OR(DANH_MUC!$L$7&lt;&gt;"Có",O1793="Có"),OR(DANH_MUC!$L$8&lt;&gt;"Có",P1793="Có")),"Có","Không"))</f>
        <v/>
      </c>
      <c r="R1793" s="22">
        <f>IF($D1793="","",IF(COUNTIF($D$2:$D1793,$D1793)&gt;1,"Trùng",""))</f>
        <v/>
      </c>
      <c r="S1793" s="22">
        <f>IF($D1793="","",IF(AND(LEN($D1793)=10,LEFT($D1793,1)="0",ISNUMBER(--$D1793)),"Có","Không"))</f>
        <v/>
      </c>
      <c r="T1793" s="22">
        <f>IF($D1793="","",IF(AND($C1793&lt;&gt;"",$Q1793="Có",$R1793="",$S1793="Có",AND($L1793&lt;&gt;"",OR($L1793&lt;&gt;"Chưa xác định",DANH_MUC!$L$9="Có"))),"Có","Không"))</f>
        <v/>
      </c>
      <c r="U1793" s="22">
        <f>IF(OR($D1793="",$T1793="Có"),"",IF($C1793="","Thiếu họ tên; ","")&amp;IF($S1793&lt;&gt;"Có","SĐT sai định dạng; ","")&amp;IF($R1793="Trùng","Trùng SĐT; ","")&amp;IF($Q1793&lt;&gt;"Có","Thiếu đồng ý bắt buộc; ","")&amp;IF($L1793="","Thiếu/sai Mã REF; ",IF(AND($L1793="Chưa xác định",DANH_MUC!$L$9&lt;&gt;"Có"),"Nguồn chưa xác định; ","")))</f>
        <v/>
      </c>
      <c r="V1793" s="22">
        <f>IF(OR($D1793="",$R1793="Trùng"),"",IF(COUNTIF(ORDERS!$C$2:$C$4995,$D1793)&gt;0,"Có","Không"))</f>
        <v/>
      </c>
      <c r="W1793" s="22">
        <f>IF(OR($D1793="",$R1793="Trùng"),"",COUNTIFS(ORDERS!$C$2:$C$4995,$D1793,ORDERS!$L$2:$L$4995,"Đã chuyển khoản"))</f>
        <v/>
      </c>
      <c r="X1793" s="23">
        <f>IF(OR($D1793="",$R1793="Trùng"),"",SUMIFS(ORDERS!$J$2:$J$4995,ORDERS!$C$2:$C$4995,$D1793,ORDERS!$L$2:$L$4995,"Đã chuyển khoản"))</f>
        <v/>
      </c>
      <c r="Y1793" s="24" t="n"/>
    </row>
    <row r="1794" ht="14.25" customHeight="1" s="40">
      <c r="A1794" s="24" t="n"/>
      <c r="B1794" s="27" t="n"/>
      <c r="C1794" s="24" t="n"/>
      <c r="D1794" s="28" t="n"/>
      <c r="E1794" s="29" t="n"/>
      <c r="F1794" s="24" t="n"/>
      <c r="G1794" s="24" t="n"/>
      <c r="H1794" s="21">
        <f>IF(ISNUMBER($B1794),INT($B1794)-WEEKDAY($B1794,2)+1,"")</f>
        <v/>
      </c>
      <c r="I1794" s="24" t="n"/>
      <c r="J1794" s="22">
        <f t="array" ref="J1794">IF($D1794="","",IF($I1794="","(trống REF)",IFERROR(INDEX(MASTER_SOURCE!$B$2:$B$495,MATCH($I1794,MASTER_SOURCE!$A$2:$A$495,0)),"(REF không có trong MASTER_SOURCE)")))</f>
        <v/>
      </c>
      <c r="K1794" s="22">
        <f t="array" ref="K1794">IF($D1794="","",IFERROR(INDEX(MASTER_SOURCE!$C$2:$C$495,MATCH($I1794,MASTER_SOURCE!$A$2:$A$495,0)),""))</f>
        <v/>
      </c>
      <c r="L1794" s="22">
        <f t="array" ref="L1794">IF($D1794="","",IFERROR(INDEX(MASTER_SOURCE!$D$2:$D$495,MATCH($I1794,MASTER_SOURCE!$A$2:$A$495,0)),""))</f>
        <v/>
      </c>
      <c r="M1794" s="24" t="n"/>
      <c r="N1794" s="24" t="n"/>
      <c r="O1794" s="24" t="n"/>
      <c r="P1794" s="24" t="n"/>
      <c r="Q1794" s="22">
        <f>IF($D1794="","",IF(AND(OR(DANH_MUC!$L$5&lt;&gt;"Có",M1794="Có"),OR(DANH_MUC!$L$6&lt;&gt;"Có",N1794="Có"),OR(DANH_MUC!$L$7&lt;&gt;"Có",O1794="Có"),OR(DANH_MUC!$L$8&lt;&gt;"Có",P1794="Có")),"Có","Không"))</f>
        <v/>
      </c>
      <c r="R1794" s="22">
        <f>IF($D1794="","",IF(COUNTIF($D$2:$D1794,$D1794)&gt;1,"Trùng",""))</f>
        <v/>
      </c>
      <c r="S1794" s="22">
        <f>IF($D1794="","",IF(AND(LEN($D1794)=10,LEFT($D1794,1)="0",ISNUMBER(--$D1794)),"Có","Không"))</f>
        <v/>
      </c>
      <c r="T1794" s="22">
        <f>IF($D1794="","",IF(AND($C1794&lt;&gt;"",$Q1794="Có",$R1794="",$S1794="Có",AND($L1794&lt;&gt;"",OR($L1794&lt;&gt;"Chưa xác định",DANH_MUC!$L$9="Có"))),"Có","Không"))</f>
        <v/>
      </c>
      <c r="U1794" s="22">
        <f>IF(OR($D1794="",$T1794="Có"),"",IF($C1794="","Thiếu họ tên; ","")&amp;IF($S1794&lt;&gt;"Có","SĐT sai định dạng; ","")&amp;IF($R1794="Trùng","Trùng SĐT; ","")&amp;IF($Q1794&lt;&gt;"Có","Thiếu đồng ý bắt buộc; ","")&amp;IF($L1794="","Thiếu/sai Mã REF; ",IF(AND($L1794="Chưa xác định",DANH_MUC!$L$9&lt;&gt;"Có"),"Nguồn chưa xác định; ","")))</f>
        <v/>
      </c>
      <c r="V1794" s="22">
        <f>IF(OR($D1794="",$R1794="Trùng"),"",IF(COUNTIF(ORDERS!$C$2:$C$4995,$D1794)&gt;0,"Có","Không"))</f>
        <v/>
      </c>
      <c r="W1794" s="22">
        <f>IF(OR($D1794="",$R1794="Trùng"),"",COUNTIFS(ORDERS!$C$2:$C$4995,$D1794,ORDERS!$L$2:$L$4995,"Đã chuyển khoản"))</f>
        <v/>
      </c>
      <c r="X1794" s="23">
        <f>IF(OR($D1794="",$R1794="Trùng"),"",SUMIFS(ORDERS!$J$2:$J$4995,ORDERS!$C$2:$C$4995,$D1794,ORDERS!$L$2:$L$4995,"Đã chuyển khoản"))</f>
        <v/>
      </c>
      <c r="Y1794" s="24" t="n"/>
    </row>
    <row r="1795" ht="14.25" customHeight="1" s="40">
      <c r="A1795" s="24" t="n"/>
      <c r="B1795" s="27" t="n"/>
      <c r="C1795" s="24" t="n"/>
      <c r="D1795" s="28" t="n"/>
      <c r="E1795" s="29" t="n"/>
      <c r="F1795" s="24" t="n"/>
      <c r="G1795" s="24" t="n"/>
      <c r="H1795" s="21">
        <f>IF(ISNUMBER($B1795),INT($B1795)-WEEKDAY($B1795,2)+1,"")</f>
        <v/>
      </c>
      <c r="I1795" s="24" t="n"/>
      <c r="J1795" s="22">
        <f t="array" ref="J1795">IF($D1795="","",IF($I1795="","(trống REF)",IFERROR(INDEX(MASTER_SOURCE!$B$2:$B$495,MATCH($I1795,MASTER_SOURCE!$A$2:$A$495,0)),"(REF không có trong MASTER_SOURCE)")))</f>
        <v/>
      </c>
      <c r="K1795" s="22">
        <f t="array" ref="K1795">IF($D1795="","",IFERROR(INDEX(MASTER_SOURCE!$C$2:$C$495,MATCH($I1795,MASTER_SOURCE!$A$2:$A$495,0)),""))</f>
        <v/>
      </c>
      <c r="L1795" s="22">
        <f t="array" ref="L1795">IF($D1795="","",IFERROR(INDEX(MASTER_SOURCE!$D$2:$D$495,MATCH($I1795,MASTER_SOURCE!$A$2:$A$495,0)),""))</f>
        <v/>
      </c>
      <c r="M1795" s="24" t="n"/>
      <c r="N1795" s="24" t="n"/>
      <c r="O1795" s="24" t="n"/>
      <c r="P1795" s="24" t="n"/>
      <c r="Q1795" s="22">
        <f>IF($D1795="","",IF(AND(OR(DANH_MUC!$L$5&lt;&gt;"Có",M1795="Có"),OR(DANH_MUC!$L$6&lt;&gt;"Có",N1795="Có"),OR(DANH_MUC!$L$7&lt;&gt;"Có",O1795="Có"),OR(DANH_MUC!$L$8&lt;&gt;"Có",P1795="Có")),"Có","Không"))</f>
        <v/>
      </c>
      <c r="R1795" s="22">
        <f>IF($D1795="","",IF(COUNTIF($D$2:$D1795,$D1795)&gt;1,"Trùng",""))</f>
        <v/>
      </c>
      <c r="S1795" s="22">
        <f>IF($D1795="","",IF(AND(LEN($D1795)=10,LEFT($D1795,1)="0",ISNUMBER(--$D1795)),"Có","Không"))</f>
        <v/>
      </c>
      <c r="T1795" s="22">
        <f>IF($D1795="","",IF(AND($C1795&lt;&gt;"",$Q1795="Có",$R1795="",$S1795="Có",AND($L1795&lt;&gt;"",OR($L1795&lt;&gt;"Chưa xác định",DANH_MUC!$L$9="Có"))),"Có","Không"))</f>
        <v/>
      </c>
      <c r="U1795" s="22">
        <f>IF(OR($D1795="",$T1795="Có"),"",IF($C1795="","Thiếu họ tên; ","")&amp;IF($S1795&lt;&gt;"Có","SĐT sai định dạng; ","")&amp;IF($R1795="Trùng","Trùng SĐT; ","")&amp;IF($Q1795&lt;&gt;"Có","Thiếu đồng ý bắt buộc; ","")&amp;IF($L1795="","Thiếu/sai Mã REF; ",IF(AND($L1795="Chưa xác định",DANH_MUC!$L$9&lt;&gt;"Có"),"Nguồn chưa xác định; ","")))</f>
        <v/>
      </c>
      <c r="V1795" s="22">
        <f>IF(OR($D1795="",$R1795="Trùng"),"",IF(COUNTIF(ORDERS!$C$2:$C$4995,$D1795)&gt;0,"Có","Không"))</f>
        <v/>
      </c>
      <c r="W1795" s="22">
        <f>IF(OR($D1795="",$R1795="Trùng"),"",COUNTIFS(ORDERS!$C$2:$C$4995,$D1795,ORDERS!$L$2:$L$4995,"Đã chuyển khoản"))</f>
        <v/>
      </c>
      <c r="X1795" s="23">
        <f>IF(OR($D1795="",$R1795="Trùng"),"",SUMIFS(ORDERS!$J$2:$J$4995,ORDERS!$C$2:$C$4995,$D1795,ORDERS!$L$2:$L$4995,"Đã chuyển khoản"))</f>
        <v/>
      </c>
      <c r="Y1795" s="24" t="n"/>
    </row>
    <row r="1796" ht="14.25" customHeight="1" s="40">
      <c r="A1796" s="24" t="n"/>
      <c r="B1796" s="27" t="n"/>
      <c r="C1796" s="24" t="n"/>
      <c r="D1796" s="28" t="n"/>
      <c r="E1796" s="29" t="n"/>
      <c r="F1796" s="24" t="n"/>
      <c r="G1796" s="24" t="n"/>
      <c r="H1796" s="21">
        <f>IF(ISNUMBER($B1796),INT($B1796)-WEEKDAY($B1796,2)+1,"")</f>
        <v/>
      </c>
      <c r="I1796" s="24" t="n"/>
      <c r="J1796" s="22">
        <f t="array" ref="J1796">IF($D1796="","",IF($I1796="","(trống REF)",IFERROR(INDEX(MASTER_SOURCE!$B$2:$B$495,MATCH($I1796,MASTER_SOURCE!$A$2:$A$495,0)),"(REF không có trong MASTER_SOURCE)")))</f>
        <v/>
      </c>
      <c r="K1796" s="22">
        <f t="array" ref="K1796">IF($D1796="","",IFERROR(INDEX(MASTER_SOURCE!$C$2:$C$495,MATCH($I1796,MASTER_SOURCE!$A$2:$A$495,0)),""))</f>
        <v/>
      </c>
      <c r="L1796" s="22">
        <f t="array" ref="L1796">IF($D1796="","",IFERROR(INDEX(MASTER_SOURCE!$D$2:$D$495,MATCH($I1796,MASTER_SOURCE!$A$2:$A$495,0)),""))</f>
        <v/>
      </c>
      <c r="M1796" s="24" t="n"/>
      <c r="N1796" s="24" t="n"/>
      <c r="O1796" s="24" t="n"/>
      <c r="P1796" s="24" t="n"/>
      <c r="Q1796" s="22">
        <f>IF($D1796="","",IF(AND(OR(DANH_MUC!$L$5&lt;&gt;"Có",M1796="Có"),OR(DANH_MUC!$L$6&lt;&gt;"Có",N1796="Có"),OR(DANH_MUC!$L$7&lt;&gt;"Có",O1796="Có"),OR(DANH_MUC!$L$8&lt;&gt;"Có",P1796="Có")),"Có","Không"))</f>
        <v/>
      </c>
      <c r="R1796" s="22">
        <f>IF($D1796="","",IF(COUNTIF($D$2:$D1796,$D1796)&gt;1,"Trùng",""))</f>
        <v/>
      </c>
      <c r="S1796" s="22">
        <f>IF($D1796="","",IF(AND(LEN($D1796)=10,LEFT($D1796,1)="0",ISNUMBER(--$D1796)),"Có","Không"))</f>
        <v/>
      </c>
      <c r="T1796" s="22">
        <f>IF($D1796="","",IF(AND($C1796&lt;&gt;"",$Q1796="Có",$R1796="",$S1796="Có",AND($L1796&lt;&gt;"",OR($L1796&lt;&gt;"Chưa xác định",DANH_MUC!$L$9="Có"))),"Có","Không"))</f>
        <v/>
      </c>
      <c r="U1796" s="22">
        <f>IF(OR($D1796="",$T1796="Có"),"",IF($C1796="","Thiếu họ tên; ","")&amp;IF($S1796&lt;&gt;"Có","SĐT sai định dạng; ","")&amp;IF($R1796="Trùng","Trùng SĐT; ","")&amp;IF($Q1796&lt;&gt;"Có","Thiếu đồng ý bắt buộc; ","")&amp;IF($L1796="","Thiếu/sai Mã REF; ",IF(AND($L1796="Chưa xác định",DANH_MUC!$L$9&lt;&gt;"Có"),"Nguồn chưa xác định; ","")))</f>
        <v/>
      </c>
      <c r="V1796" s="22">
        <f>IF(OR($D1796="",$R1796="Trùng"),"",IF(COUNTIF(ORDERS!$C$2:$C$4995,$D1796)&gt;0,"Có","Không"))</f>
        <v/>
      </c>
      <c r="W1796" s="22">
        <f>IF(OR($D1796="",$R1796="Trùng"),"",COUNTIFS(ORDERS!$C$2:$C$4995,$D1796,ORDERS!$L$2:$L$4995,"Đã chuyển khoản"))</f>
        <v/>
      </c>
      <c r="X1796" s="23">
        <f>IF(OR($D1796="",$R1796="Trùng"),"",SUMIFS(ORDERS!$J$2:$J$4995,ORDERS!$C$2:$C$4995,$D1796,ORDERS!$L$2:$L$4995,"Đã chuyển khoản"))</f>
        <v/>
      </c>
      <c r="Y1796" s="24" t="n"/>
    </row>
    <row r="1797" ht="14.25" customHeight="1" s="40">
      <c r="A1797" s="24" t="n"/>
      <c r="B1797" s="27" t="n"/>
      <c r="C1797" s="24" t="n"/>
      <c r="D1797" s="28" t="n"/>
      <c r="E1797" s="29" t="n"/>
      <c r="F1797" s="24" t="n"/>
      <c r="G1797" s="24" t="n"/>
      <c r="H1797" s="21">
        <f>IF(ISNUMBER($B1797),INT($B1797)-WEEKDAY($B1797,2)+1,"")</f>
        <v/>
      </c>
      <c r="I1797" s="24" t="n"/>
      <c r="J1797" s="22">
        <f t="array" ref="J1797">IF($D1797="","",IF($I1797="","(trống REF)",IFERROR(INDEX(MASTER_SOURCE!$B$2:$B$495,MATCH($I1797,MASTER_SOURCE!$A$2:$A$495,0)),"(REF không có trong MASTER_SOURCE)")))</f>
        <v/>
      </c>
      <c r="K1797" s="22">
        <f t="array" ref="K1797">IF($D1797="","",IFERROR(INDEX(MASTER_SOURCE!$C$2:$C$495,MATCH($I1797,MASTER_SOURCE!$A$2:$A$495,0)),""))</f>
        <v/>
      </c>
      <c r="L1797" s="22">
        <f t="array" ref="L1797">IF($D1797="","",IFERROR(INDEX(MASTER_SOURCE!$D$2:$D$495,MATCH($I1797,MASTER_SOURCE!$A$2:$A$495,0)),""))</f>
        <v/>
      </c>
      <c r="M1797" s="24" t="n"/>
      <c r="N1797" s="24" t="n"/>
      <c r="O1797" s="24" t="n"/>
      <c r="P1797" s="24" t="n"/>
      <c r="Q1797" s="22">
        <f>IF($D1797="","",IF(AND(OR(DANH_MUC!$L$5&lt;&gt;"Có",M1797="Có"),OR(DANH_MUC!$L$6&lt;&gt;"Có",N1797="Có"),OR(DANH_MUC!$L$7&lt;&gt;"Có",O1797="Có"),OR(DANH_MUC!$L$8&lt;&gt;"Có",P1797="Có")),"Có","Không"))</f>
        <v/>
      </c>
      <c r="R1797" s="22">
        <f>IF($D1797="","",IF(COUNTIF($D$2:$D1797,$D1797)&gt;1,"Trùng",""))</f>
        <v/>
      </c>
      <c r="S1797" s="22">
        <f>IF($D1797="","",IF(AND(LEN($D1797)=10,LEFT($D1797,1)="0",ISNUMBER(--$D1797)),"Có","Không"))</f>
        <v/>
      </c>
      <c r="T1797" s="22">
        <f>IF($D1797="","",IF(AND($C1797&lt;&gt;"",$Q1797="Có",$R1797="",$S1797="Có",AND($L1797&lt;&gt;"",OR($L1797&lt;&gt;"Chưa xác định",DANH_MUC!$L$9="Có"))),"Có","Không"))</f>
        <v/>
      </c>
      <c r="U1797" s="22">
        <f>IF(OR($D1797="",$T1797="Có"),"",IF($C1797="","Thiếu họ tên; ","")&amp;IF($S1797&lt;&gt;"Có","SĐT sai định dạng; ","")&amp;IF($R1797="Trùng","Trùng SĐT; ","")&amp;IF($Q1797&lt;&gt;"Có","Thiếu đồng ý bắt buộc; ","")&amp;IF($L1797="","Thiếu/sai Mã REF; ",IF(AND($L1797="Chưa xác định",DANH_MUC!$L$9&lt;&gt;"Có"),"Nguồn chưa xác định; ","")))</f>
        <v/>
      </c>
      <c r="V1797" s="22">
        <f>IF(OR($D1797="",$R1797="Trùng"),"",IF(COUNTIF(ORDERS!$C$2:$C$4995,$D1797)&gt;0,"Có","Không"))</f>
        <v/>
      </c>
      <c r="W1797" s="22">
        <f>IF(OR($D1797="",$R1797="Trùng"),"",COUNTIFS(ORDERS!$C$2:$C$4995,$D1797,ORDERS!$L$2:$L$4995,"Đã chuyển khoản"))</f>
        <v/>
      </c>
      <c r="X1797" s="23">
        <f>IF(OR($D1797="",$R1797="Trùng"),"",SUMIFS(ORDERS!$J$2:$J$4995,ORDERS!$C$2:$C$4995,$D1797,ORDERS!$L$2:$L$4995,"Đã chuyển khoản"))</f>
        <v/>
      </c>
      <c r="Y1797" s="24" t="n"/>
    </row>
    <row r="1798" ht="14.25" customHeight="1" s="40">
      <c r="A1798" s="24" t="n"/>
      <c r="B1798" s="27" t="n"/>
      <c r="C1798" s="24" t="n"/>
      <c r="D1798" s="28" t="n"/>
      <c r="E1798" s="29" t="n"/>
      <c r="F1798" s="24" t="n"/>
      <c r="G1798" s="24" t="n"/>
      <c r="H1798" s="21">
        <f>IF(ISNUMBER($B1798),INT($B1798)-WEEKDAY($B1798,2)+1,"")</f>
        <v/>
      </c>
      <c r="I1798" s="24" t="n"/>
      <c r="J1798" s="22">
        <f t="array" ref="J1798">IF($D1798="","",IF($I1798="","(trống REF)",IFERROR(INDEX(MASTER_SOURCE!$B$2:$B$495,MATCH($I1798,MASTER_SOURCE!$A$2:$A$495,0)),"(REF không có trong MASTER_SOURCE)")))</f>
        <v/>
      </c>
      <c r="K1798" s="22">
        <f t="array" ref="K1798">IF($D1798="","",IFERROR(INDEX(MASTER_SOURCE!$C$2:$C$495,MATCH($I1798,MASTER_SOURCE!$A$2:$A$495,0)),""))</f>
        <v/>
      </c>
      <c r="L1798" s="22">
        <f t="array" ref="L1798">IF($D1798="","",IFERROR(INDEX(MASTER_SOURCE!$D$2:$D$495,MATCH($I1798,MASTER_SOURCE!$A$2:$A$495,0)),""))</f>
        <v/>
      </c>
      <c r="M1798" s="24" t="n"/>
      <c r="N1798" s="24" t="n"/>
      <c r="O1798" s="24" t="n"/>
      <c r="P1798" s="24" t="n"/>
      <c r="Q1798" s="22">
        <f>IF($D1798="","",IF(AND(OR(DANH_MUC!$L$5&lt;&gt;"Có",M1798="Có"),OR(DANH_MUC!$L$6&lt;&gt;"Có",N1798="Có"),OR(DANH_MUC!$L$7&lt;&gt;"Có",O1798="Có"),OR(DANH_MUC!$L$8&lt;&gt;"Có",P1798="Có")),"Có","Không"))</f>
        <v/>
      </c>
      <c r="R1798" s="22">
        <f>IF($D1798="","",IF(COUNTIF($D$2:$D1798,$D1798)&gt;1,"Trùng",""))</f>
        <v/>
      </c>
      <c r="S1798" s="22">
        <f>IF($D1798="","",IF(AND(LEN($D1798)=10,LEFT($D1798,1)="0",ISNUMBER(--$D1798)),"Có","Không"))</f>
        <v/>
      </c>
      <c r="T1798" s="22">
        <f>IF($D1798="","",IF(AND($C1798&lt;&gt;"",$Q1798="Có",$R1798="",$S1798="Có",AND($L1798&lt;&gt;"",OR($L1798&lt;&gt;"Chưa xác định",DANH_MUC!$L$9="Có"))),"Có","Không"))</f>
        <v/>
      </c>
      <c r="U1798" s="22">
        <f>IF(OR($D1798="",$T1798="Có"),"",IF($C1798="","Thiếu họ tên; ","")&amp;IF($S1798&lt;&gt;"Có","SĐT sai định dạng; ","")&amp;IF($R1798="Trùng","Trùng SĐT; ","")&amp;IF($Q1798&lt;&gt;"Có","Thiếu đồng ý bắt buộc; ","")&amp;IF($L1798="","Thiếu/sai Mã REF; ",IF(AND($L1798="Chưa xác định",DANH_MUC!$L$9&lt;&gt;"Có"),"Nguồn chưa xác định; ","")))</f>
        <v/>
      </c>
      <c r="V1798" s="22">
        <f>IF(OR($D1798="",$R1798="Trùng"),"",IF(COUNTIF(ORDERS!$C$2:$C$4995,$D1798)&gt;0,"Có","Không"))</f>
        <v/>
      </c>
      <c r="W1798" s="22">
        <f>IF(OR($D1798="",$R1798="Trùng"),"",COUNTIFS(ORDERS!$C$2:$C$4995,$D1798,ORDERS!$L$2:$L$4995,"Đã chuyển khoản"))</f>
        <v/>
      </c>
      <c r="X1798" s="23">
        <f>IF(OR($D1798="",$R1798="Trùng"),"",SUMIFS(ORDERS!$J$2:$J$4995,ORDERS!$C$2:$C$4995,$D1798,ORDERS!$L$2:$L$4995,"Đã chuyển khoản"))</f>
        <v/>
      </c>
      <c r="Y1798" s="24" t="n"/>
    </row>
    <row r="1799" ht="14.25" customHeight="1" s="40">
      <c r="A1799" s="24" t="n"/>
      <c r="B1799" s="27" t="n"/>
      <c r="C1799" s="24" t="n"/>
      <c r="D1799" s="28" t="n"/>
      <c r="E1799" s="29" t="n"/>
      <c r="F1799" s="24" t="n"/>
      <c r="G1799" s="24" t="n"/>
      <c r="H1799" s="21">
        <f>IF(ISNUMBER($B1799),INT($B1799)-WEEKDAY($B1799,2)+1,"")</f>
        <v/>
      </c>
      <c r="I1799" s="24" t="n"/>
      <c r="J1799" s="22">
        <f t="array" ref="J1799">IF($D1799="","",IF($I1799="","(trống REF)",IFERROR(INDEX(MASTER_SOURCE!$B$2:$B$495,MATCH($I1799,MASTER_SOURCE!$A$2:$A$495,0)),"(REF không có trong MASTER_SOURCE)")))</f>
        <v/>
      </c>
      <c r="K1799" s="22">
        <f t="array" ref="K1799">IF($D1799="","",IFERROR(INDEX(MASTER_SOURCE!$C$2:$C$495,MATCH($I1799,MASTER_SOURCE!$A$2:$A$495,0)),""))</f>
        <v/>
      </c>
      <c r="L1799" s="22">
        <f t="array" ref="L1799">IF($D1799="","",IFERROR(INDEX(MASTER_SOURCE!$D$2:$D$495,MATCH($I1799,MASTER_SOURCE!$A$2:$A$495,0)),""))</f>
        <v/>
      </c>
      <c r="M1799" s="24" t="n"/>
      <c r="N1799" s="24" t="n"/>
      <c r="O1799" s="24" t="n"/>
      <c r="P1799" s="24" t="n"/>
      <c r="Q1799" s="22">
        <f>IF($D1799="","",IF(AND(OR(DANH_MUC!$L$5&lt;&gt;"Có",M1799="Có"),OR(DANH_MUC!$L$6&lt;&gt;"Có",N1799="Có"),OR(DANH_MUC!$L$7&lt;&gt;"Có",O1799="Có"),OR(DANH_MUC!$L$8&lt;&gt;"Có",P1799="Có")),"Có","Không"))</f>
        <v/>
      </c>
      <c r="R1799" s="22">
        <f>IF($D1799="","",IF(COUNTIF($D$2:$D1799,$D1799)&gt;1,"Trùng",""))</f>
        <v/>
      </c>
      <c r="S1799" s="22">
        <f>IF($D1799="","",IF(AND(LEN($D1799)=10,LEFT($D1799,1)="0",ISNUMBER(--$D1799)),"Có","Không"))</f>
        <v/>
      </c>
      <c r="T1799" s="22">
        <f>IF($D1799="","",IF(AND($C1799&lt;&gt;"",$Q1799="Có",$R1799="",$S1799="Có",AND($L1799&lt;&gt;"",OR($L1799&lt;&gt;"Chưa xác định",DANH_MUC!$L$9="Có"))),"Có","Không"))</f>
        <v/>
      </c>
      <c r="U1799" s="22">
        <f>IF(OR($D1799="",$T1799="Có"),"",IF($C1799="","Thiếu họ tên; ","")&amp;IF($S1799&lt;&gt;"Có","SĐT sai định dạng; ","")&amp;IF($R1799="Trùng","Trùng SĐT; ","")&amp;IF($Q1799&lt;&gt;"Có","Thiếu đồng ý bắt buộc; ","")&amp;IF($L1799="","Thiếu/sai Mã REF; ",IF(AND($L1799="Chưa xác định",DANH_MUC!$L$9&lt;&gt;"Có"),"Nguồn chưa xác định; ","")))</f>
        <v/>
      </c>
      <c r="V1799" s="22">
        <f>IF(OR($D1799="",$R1799="Trùng"),"",IF(COUNTIF(ORDERS!$C$2:$C$4995,$D1799)&gt;0,"Có","Không"))</f>
        <v/>
      </c>
      <c r="W1799" s="22">
        <f>IF(OR($D1799="",$R1799="Trùng"),"",COUNTIFS(ORDERS!$C$2:$C$4995,$D1799,ORDERS!$L$2:$L$4995,"Đã chuyển khoản"))</f>
        <v/>
      </c>
      <c r="X1799" s="23">
        <f>IF(OR($D1799="",$R1799="Trùng"),"",SUMIFS(ORDERS!$J$2:$J$4995,ORDERS!$C$2:$C$4995,$D1799,ORDERS!$L$2:$L$4995,"Đã chuyển khoản"))</f>
        <v/>
      </c>
      <c r="Y1799" s="24" t="n"/>
    </row>
    <row r="1800" ht="14.25" customHeight="1" s="40">
      <c r="A1800" s="24" t="n"/>
      <c r="B1800" s="27" t="n"/>
      <c r="C1800" s="24" t="n"/>
      <c r="D1800" s="28" t="n"/>
      <c r="E1800" s="29" t="n"/>
      <c r="F1800" s="24" t="n"/>
      <c r="G1800" s="24" t="n"/>
      <c r="H1800" s="21">
        <f>IF(ISNUMBER($B1800),INT($B1800)-WEEKDAY($B1800,2)+1,"")</f>
        <v/>
      </c>
      <c r="I1800" s="24" t="n"/>
      <c r="J1800" s="22">
        <f t="array" ref="J1800">IF($D1800="","",IF($I1800="","(trống REF)",IFERROR(INDEX(MASTER_SOURCE!$B$2:$B$495,MATCH($I1800,MASTER_SOURCE!$A$2:$A$495,0)),"(REF không có trong MASTER_SOURCE)")))</f>
        <v/>
      </c>
      <c r="K1800" s="22">
        <f t="array" ref="K1800">IF($D1800="","",IFERROR(INDEX(MASTER_SOURCE!$C$2:$C$495,MATCH($I1800,MASTER_SOURCE!$A$2:$A$495,0)),""))</f>
        <v/>
      </c>
      <c r="L1800" s="22">
        <f t="array" ref="L1800">IF($D1800="","",IFERROR(INDEX(MASTER_SOURCE!$D$2:$D$495,MATCH($I1800,MASTER_SOURCE!$A$2:$A$495,0)),""))</f>
        <v/>
      </c>
      <c r="M1800" s="24" t="n"/>
      <c r="N1800" s="24" t="n"/>
      <c r="O1800" s="24" t="n"/>
      <c r="P1800" s="24" t="n"/>
      <c r="Q1800" s="22">
        <f>IF($D1800="","",IF(AND(OR(DANH_MUC!$L$5&lt;&gt;"Có",M1800="Có"),OR(DANH_MUC!$L$6&lt;&gt;"Có",N1800="Có"),OR(DANH_MUC!$L$7&lt;&gt;"Có",O1800="Có"),OR(DANH_MUC!$L$8&lt;&gt;"Có",P1800="Có")),"Có","Không"))</f>
        <v/>
      </c>
      <c r="R1800" s="22">
        <f>IF($D1800="","",IF(COUNTIF($D$2:$D1800,$D1800)&gt;1,"Trùng",""))</f>
        <v/>
      </c>
      <c r="S1800" s="22">
        <f>IF($D1800="","",IF(AND(LEN($D1800)=10,LEFT($D1800,1)="0",ISNUMBER(--$D1800)),"Có","Không"))</f>
        <v/>
      </c>
      <c r="T1800" s="22">
        <f>IF($D1800="","",IF(AND($C1800&lt;&gt;"",$Q1800="Có",$R1800="",$S1800="Có",AND($L1800&lt;&gt;"",OR($L1800&lt;&gt;"Chưa xác định",DANH_MUC!$L$9="Có"))),"Có","Không"))</f>
        <v/>
      </c>
      <c r="U1800" s="22">
        <f>IF(OR($D1800="",$T1800="Có"),"",IF($C1800="","Thiếu họ tên; ","")&amp;IF($S1800&lt;&gt;"Có","SĐT sai định dạng; ","")&amp;IF($R1800="Trùng","Trùng SĐT; ","")&amp;IF($Q1800&lt;&gt;"Có","Thiếu đồng ý bắt buộc; ","")&amp;IF($L1800="","Thiếu/sai Mã REF; ",IF(AND($L1800="Chưa xác định",DANH_MUC!$L$9&lt;&gt;"Có"),"Nguồn chưa xác định; ","")))</f>
        <v/>
      </c>
      <c r="V1800" s="22">
        <f>IF(OR($D1800="",$R1800="Trùng"),"",IF(COUNTIF(ORDERS!$C$2:$C$4995,$D1800)&gt;0,"Có","Không"))</f>
        <v/>
      </c>
      <c r="W1800" s="22">
        <f>IF(OR($D1800="",$R1800="Trùng"),"",COUNTIFS(ORDERS!$C$2:$C$4995,$D1800,ORDERS!$L$2:$L$4995,"Đã chuyển khoản"))</f>
        <v/>
      </c>
      <c r="X1800" s="23">
        <f>IF(OR($D1800="",$R1800="Trùng"),"",SUMIFS(ORDERS!$J$2:$J$4995,ORDERS!$C$2:$C$4995,$D1800,ORDERS!$L$2:$L$4995,"Đã chuyển khoản"))</f>
        <v/>
      </c>
      <c r="Y1800" s="24" t="n"/>
    </row>
    <row r="1801" ht="14.25" customHeight="1" s="40">
      <c r="A1801" s="24" t="n"/>
      <c r="B1801" s="27" t="n"/>
      <c r="C1801" s="24" t="n"/>
      <c r="D1801" s="28" t="n"/>
      <c r="E1801" s="29" t="n"/>
      <c r="F1801" s="24" t="n"/>
      <c r="G1801" s="24" t="n"/>
      <c r="H1801" s="21">
        <f>IF(ISNUMBER($B1801),INT($B1801)-WEEKDAY($B1801,2)+1,"")</f>
        <v/>
      </c>
      <c r="I1801" s="24" t="n"/>
      <c r="J1801" s="22">
        <f t="array" ref="J1801">IF($D1801="","",IF($I1801="","(trống REF)",IFERROR(INDEX(MASTER_SOURCE!$B$2:$B$495,MATCH($I1801,MASTER_SOURCE!$A$2:$A$495,0)),"(REF không có trong MASTER_SOURCE)")))</f>
        <v/>
      </c>
      <c r="K1801" s="22">
        <f t="array" ref="K1801">IF($D1801="","",IFERROR(INDEX(MASTER_SOURCE!$C$2:$C$495,MATCH($I1801,MASTER_SOURCE!$A$2:$A$495,0)),""))</f>
        <v/>
      </c>
      <c r="L1801" s="22">
        <f t="array" ref="L1801">IF($D1801="","",IFERROR(INDEX(MASTER_SOURCE!$D$2:$D$495,MATCH($I1801,MASTER_SOURCE!$A$2:$A$495,0)),""))</f>
        <v/>
      </c>
      <c r="M1801" s="24" t="n"/>
      <c r="N1801" s="24" t="n"/>
      <c r="O1801" s="24" t="n"/>
      <c r="P1801" s="24" t="n"/>
      <c r="Q1801" s="22">
        <f>IF($D1801="","",IF(AND(OR(DANH_MUC!$L$5&lt;&gt;"Có",M1801="Có"),OR(DANH_MUC!$L$6&lt;&gt;"Có",N1801="Có"),OR(DANH_MUC!$L$7&lt;&gt;"Có",O1801="Có"),OR(DANH_MUC!$L$8&lt;&gt;"Có",P1801="Có")),"Có","Không"))</f>
        <v/>
      </c>
      <c r="R1801" s="22">
        <f>IF($D1801="","",IF(COUNTIF($D$2:$D1801,$D1801)&gt;1,"Trùng",""))</f>
        <v/>
      </c>
      <c r="S1801" s="22">
        <f>IF($D1801="","",IF(AND(LEN($D1801)=10,LEFT($D1801,1)="0",ISNUMBER(--$D1801)),"Có","Không"))</f>
        <v/>
      </c>
      <c r="T1801" s="22">
        <f>IF($D1801="","",IF(AND($C1801&lt;&gt;"",$Q1801="Có",$R1801="",$S1801="Có",AND($L1801&lt;&gt;"",OR($L1801&lt;&gt;"Chưa xác định",DANH_MUC!$L$9="Có"))),"Có","Không"))</f>
        <v/>
      </c>
      <c r="U1801" s="22">
        <f>IF(OR($D1801="",$T1801="Có"),"",IF($C1801="","Thiếu họ tên; ","")&amp;IF($S1801&lt;&gt;"Có","SĐT sai định dạng; ","")&amp;IF($R1801="Trùng","Trùng SĐT; ","")&amp;IF($Q1801&lt;&gt;"Có","Thiếu đồng ý bắt buộc; ","")&amp;IF($L1801="","Thiếu/sai Mã REF; ",IF(AND($L1801="Chưa xác định",DANH_MUC!$L$9&lt;&gt;"Có"),"Nguồn chưa xác định; ","")))</f>
        <v/>
      </c>
      <c r="V1801" s="22">
        <f>IF(OR($D1801="",$R1801="Trùng"),"",IF(COUNTIF(ORDERS!$C$2:$C$4995,$D1801)&gt;0,"Có","Không"))</f>
        <v/>
      </c>
      <c r="W1801" s="22">
        <f>IF(OR($D1801="",$R1801="Trùng"),"",COUNTIFS(ORDERS!$C$2:$C$4995,$D1801,ORDERS!$L$2:$L$4995,"Đã chuyển khoản"))</f>
        <v/>
      </c>
      <c r="X1801" s="23">
        <f>IF(OR($D1801="",$R1801="Trùng"),"",SUMIFS(ORDERS!$J$2:$J$4995,ORDERS!$C$2:$C$4995,$D1801,ORDERS!$L$2:$L$4995,"Đã chuyển khoản"))</f>
        <v/>
      </c>
      <c r="Y1801" s="24" t="n"/>
    </row>
    <row r="1802" ht="14.25" customHeight="1" s="40">
      <c r="A1802" s="24" t="n"/>
      <c r="B1802" s="27" t="n"/>
      <c r="C1802" s="24" t="n"/>
      <c r="D1802" s="28" t="n"/>
      <c r="E1802" s="29" t="n"/>
      <c r="F1802" s="24" t="n"/>
      <c r="G1802" s="24" t="n"/>
      <c r="H1802" s="21">
        <f>IF(ISNUMBER($B1802),INT($B1802)-WEEKDAY($B1802,2)+1,"")</f>
        <v/>
      </c>
      <c r="I1802" s="24" t="n"/>
      <c r="J1802" s="22">
        <f t="array" ref="J1802">IF($D1802="","",IF($I1802="","(trống REF)",IFERROR(INDEX(MASTER_SOURCE!$B$2:$B$495,MATCH($I1802,MASTER_SOURCE!$A$2:$A$495,0)),"(REF không có trong MASTER_SOURCE)")))</f>
        <v/>
      </c>
      <c r="K1802" s="22">
        <f t="array" ref="K1802">IF($D1802="","",IFERROR(INDEX(MASTER_SOURCE!$C$2:$C$495,MATCH($I1802,MASTER_SOURCE!$A$2:$A$495,0)),""))</f>
        <v/>
      </c>
      <c r="L1802" s="22">
        <f t="array" ref="L1802">IF($D1802="","",IFERROR(INDEX(MASTER_SOURCE!$D$2:$D$495,MATCH($I1802,MASTER_SOURCE!$A$2:$A$495,0)),""))</f>
        <v/>
      </c>
      <c r="M1802" s="24" t="n"/>
      <c r="N1802" s="24" t="n"/>
      <c r="O1802" s="24" t="n"/>
      <c r="P1802" s="24" t="n"/>
      <c r="Q1802" s="22">
        <f>IF($D1802="","",IF(AND(OR(DANH_MUC!$L$5&lt;&gt;"Có",M1802="Có"),OR(DANH_MUC!$L$6&lt;&gt;"Có",N1802="Có"),OR(DANH_MUC!$L$7&lt;&gt;"Có",O1802="Có"),OR(DANH_MUC!$L$8&lt;&gt;"Có",P1802="Có")),"Có","Không"))</f>
        <v/>
      </c>
      <c r="R1802" s="22">
        <f>IF($D1802="","",IF(COUNTIF($D$2:$D1802,$D1802)&gt;1,"Trùng",""))</f>
        <v/>
      </c>
      <c r="S1802" s="22">
        <f>IF($D1802="","",IF(AND(LEN($D1802)=10,LEFT($D1802,1)="0",ISNUMBER(--$D1802)),"Có","Không"))</f>
        <v/>
      </c>
      <c r="T1802" s="22">
        <f>IF($D1802="","",IF(AND($C1802&lt;&gt;"",$Q1802="Có",$R1802="",$S1802="Có",AND($L1802&lt;&gt;"",OR($L1802&lt;&gt;"Chưa xác định",DANH_MUC!$L$9="Có"))),"Có","Không"))</f>
        <v/>
      </c>
      <c r="U1802" s="22">
        <f>IF(OR($D1802="",$T1802="Có"),"",IF($C1802="","Thiếu họ tên; ","")&amp;IF($S1802&lt;&gt;"Có","SĐT sai định dạng; ","")&amp;IF($R1802="Trùng","Trùng SĐT; ","")&amp;IF($Q1802&lt;&gt;"Có","Thiếu đồng ý bắt buộc; ","")&amp;IF($L1802="","Thiếu/sai Mã REF; ",IF(AND($L1802="Chưa xác định",DANH_MUC!$L$9&lt;&gt;"Có"),"Nguồn chưa xác định; ","")))</f>
        <v/>
      </c>
      <c r="V1802" s="22">
        <f>IF(OR($D1802="",$R1802="Trùng"),"",IF(COUNTIF(ORDERS!$C$2:$C$4995,$D1802)&gt;0,"Có","Không"))</f>
        <v/>
      </c>
      <c r="W1802" s="22">
        <f>IF(OR($D1802="",$R1802="Trùng"),"",COUNTIFS(ORDERS!$C$2:$C$4995,$D1802,ORDERS!$L$2:$L$4995,"Đã chuyển khoản"))</f>
        <v/>
      </c>
      <c r="X1802" s="23">
        <f>IF(OR($D1802="",$R1802="Trùng"),"",SUMIFS(ORDERS!$J$2:$J$4995,ORDERS!$C$2:$C$4995,$D1802,ORDERS!$L$2:$L$4995,"Đã chuyển khoản"))</f>
        <v/>
      </c>
      <c r="Y1802" s="24" t="n"/>
    </row>
    <row r="1803" ht="14.25" customHeight="1" s="40">
      <c r="A1803" s="24" t="n"/>
      <c r="B1803" s="27" t="n"/>
      <c r="C1803" s="24" t="n"/>
      <c r="D1803" s="28" t="n"/>
      <c r="E1803" s="29" t="n"/>
      <c r="F1803" s="24" t="n"/>
      <c r="G1803" s="24" t="n"/>
      <c r="H1803" s="21">
        <f>IF(ISNUMBER($B1803),INT($B1803)-WEEKDAY($B1803,2)+1,"")</f>
        <v/>
      </c>
      <c r="I1803" s="24" t="n"/>
      <c r="J1803" s="22">
        <f t="array" ref="J1803">IF($D1803="","",IF($I1803="","(trống REF)",IFERROR(INDEX(MASTER_SOURCE!$B$2:$B$495,MATCH($I1803,MASTER_SOURCE!$A$2:$A$495,0)),"(REF không có trong MASTER_SOURCE)")))</f>
        <v/>
      </c>
      <c r="K1803" s="22">
        <f t="array" ref="K1803">IF($D1803="","",IFERROR(INDEX(MASTER_SOURCE!$C$2:$C$495,MATCH($I1803,MASTER_SOURCE!$A$2:$A$495,0)),""))</f>
        <v/>
      </c>
      <c r="L1803" s="22">
        <f t="array" ref="L1803">IF($D1803="","",IFERROR(INDEX(MASTER_SOURCE!$D$2:$D$495,MATCH($I1803,MASTER_SOURCE!$A$2:$A$495,0)),""))</f>
        <v/>
      </c>
      <c r="M1803" s="24" t="n"/>
      <c r="N1803" s="24" t="n"/>
      <c r="O1803" s="24" t="n"/>
      <c r="P1803" s="24" t="n"/>
      <c r="Q1803" s="22">
        <f>IF($D1803="","",IF(AND(OR(DANH_MUC!$L$5&lt;&gt;"Có",M1803="Có"),OR(DANH_MUC!$L$6&lt;&gt;"Có",N1803="Có"),OR(DANH_MUC!$L$7&lt;&gt;"Có",O1803="Có"),OR(DANH_MUC!$L$8&lt;&gt;"Có",P1803="Có")),"Có","Không"))</f>
        <v/>
      </c>
      <c r="R1803" s="22">
        <f>IF($D1803="","",IF(COUNTIF($D$2:$D1803,$D1803)&gt;1,"Trùng",""))</f>
        <v/>
      </c>
      <c r="S1803" s="22">
        <f>IF($D1803="","",IF(AND(LEN($D1803)=10,LEFT($D1803,1)="0",ISNUMBER(--$D1803)),"Có","Không"))</f>
        <v/>
      </c>
      <c r="T1803" s="22">
        <f>IF($D1803="","",IF(AND($C1803&lt;&gt;"",$Q1803="Có",$R1803="",$S1803="Có",AND($L1803&lt;&gt;"",OR($L1803&lt;&gt;"Chưa xác định",DANH_MUC!$L$9="Có"))),"Có","Không"))</f>
        <v/>
      </c>
      <c r="U1803" s="22">
        <f>IF(OR($D1803="",$T1803="Có"),"",IF($C1803="","Thiếu họ tên; ","")&amp;IF($S1803&lt;&gt;"Có","SĐT sai định dạng; ","")&amp;IF($R1803="Trùng","Trùng SĐT; ","")&amp;IF($Q1803&lt;&gt;"Có","Thiếu đồng ý bắt buộc; ","")&amp;IF($L1803="","Thiếu/sai Mã REF; ",IF(AND($L1803="Chưa xác định",DANH_MUC!$L$9&lt;&gt;"Có"),"Nguồn chưa xác định; ","")))</f>
        <v/>
      </c>
      <c r="V1803" s="22">
        <f>IF(OR($D1803="",$R1803="Trùng"),"",IF(COUNTIF(ORDERS!$C$2:$C$4995,$D1803)&gt;0,"Có","Không"))</f>
        <v/>
      </c>
      <c r="W1803" s="22">
        <f>IF(OR($D1803="",$R1803="Trùng"),"",COUNTIFS(ORDERS!$C$2:$C$4995,$D1803,ORDERS!$L$2:$L$4995,"Đã chuyển khoản"))</f>
        <v/>
      </c>
      <c r="X1803" s="23">
        <f>IF(OR($D1803="",$R1803="Trùng"),"",SUMIFS(ORDERS!$J$2:$J$4995,ORDERS!$C$2:$C$4995,$D1803,ORDERS!$L$2:$L$4995,"Đã chuyển khoản"))</f>
        <v/>
      </c>
      <c r="Y1803" s="24" t="n"/>
    </row>
    <row r="1804" ht="14.25" customHeight="1" s="40">
      <c r="A1804" s="24" t="n"/>
      <c r="B1804" s="27" t="n"/>
      <c r="C1804" s="24" t="n"/>
      <c r="D1804" s="28" t="n"/>
      <c r="E1804" s="29" t="n"/>
      <c r="F1804" s="24" t="n"/>
      <c r="G1804" s="24" t="n"/>
      <c r="H1804" s="21">
        <f>IF(ISNUMBER($B1804),INT($B1804)-WEEKDAY($B1804,2)+1,"")</f>
        <v/>
      </c>
      <c r="I1804" s="24" t="n"/>
      <c r="J1804" s="22">
        <f t="array" ref="J1804">IF($D1804="","",IF($I1804="","(trống REF)",IFERROR(INDEX(MASTER_SOURCE!$B$2:$B$495,MATCH($I1804,MASTER_SOURCE!$A$2:$A$495,0)),"(REF không có trong MASTER_SOURCE)")))</f>
        <v/>
      </c>
      <c r="K1804" s="22">
        <f t="array" ref="K1804">IF($D1804="","",IFERROR(INDEX(MASTER_SOURCE!$C$2:$C$495,MATCH($I1804,MASTER_SOURCE!$A$2:$A$495,0)),""))</f>
        <v/>
      </c>
      <c r="L1804" s="22">
        <f t="array" ref="L1804">IF($D1804="","",IFERROR(INDEX(MASTER_SOURCE!$D$2:$D$495,MATCH($I1804,MASTER_SOURCE!$A$2:$A$495,0)),""))</f>
        <v/>
      </c>
      <c r="M1804" s="24" t="n"/>
      <c r="N1804" s="24" t="n"/>
      <c r="O1804" s="24" t="n"/>
      <c r="P1804" s="24" t="n"/>
      <c r="Q1804" s="22">
        <f>IF($D1804="","",IF(AND(OR(DANH_MUC!$L$5&lt;&gt;"Có",M1804="Có"),OR(DANH_MUC!$L$6&lt;&gt;"Có",N1804="Có"),OR(DANH_MUC!$L$7&lt;&gt;"Có",O1804="Có"),OR(DANH_MUC!$L$8&lt;&gt;"Có",P1804="Có")),"Có","Không"))</f>
        <v/>
      </c>
      <c r="R1804" s="22">
        <f>IF($D1804="","",IF(COUNTIF($D$2:$D1804,$D1804)&gt;1,"Trùng",""))</f>
        <v/>
      </c>
      <c r="S1804" s="22">
        <f>IF($D1804="","",IF(AND(LEN($D1804)=10,LEFT($D1804,1)="0",ISNUMBER(--$D1804)),"Có","Không"))</f>
        <v/>
      </c>
      <c r="T1804" s="22">
        <f>IF($D1804="","",IF(AND($C1804&lt;&gt;"",$Q1804="Có",$R1804="",$S1804="Có",AND($L1804&lt;&gt;"",OR($L1804&lt;&gt;"Chưa xác định",DANH_MUC!$L$9="Có"))),"Có","Không"))</f>
        <v/>
      </c>
      <c r="U1804" s="22">
        <f>IF(OR($D1804="",$T1804="Có"),"",IF($C1804="","Thiếu họ tên; ","")&amp;IF($S1804&lt;&gt;"Có","SĐT sai định dạng; ","")&amp;IF($R1804="Trùng","Trùng SĐT; ","")&amp;IF($Q1804&lt;&gt;"Có","Thiếu đồng ý bắt buộc; ","")&amp;IF($L1804="","Thiếu/sai Mã REF; ",IF(AND($L1804="Chưa xác định",DANH_MUC!$L$9&lt;&gt;"Có"),"Nguồn chưa xác định; ","")))</f>
        <v/>
      </c>
      <c r="V1804" s="22">
        <f>IF(OR($D1804="",$R1804="Trùng"),"",IF(COUNTIF(ORDERS!$C$2:$C$4995,$D1804)&gt;0,"Có","Không"))</f>
        <v/>
      </c>
      <c r="W1804" s="22">
        <f>IF(OR($D1804="",$R1804="Trùng"),"",COUNTIFS(ORDERS!$C$2:$C$4995,$D1804,ORDERS!$L$2:$L$4995,"Đã chuyển khoản"))</f>
        <v/>
      </c>
      <c r="X1804" s="23">
        <f>IF(OR($D1804="",$R1804="Trùng"),"",SUMIFS(ORDERS!$J$2:$J$4995,ORDERS!$C$2:$C$4995,$D1804,ORDERS!$L$2:$L$4995,"Đã chuyển khoản"))</f>
        <v/>
      </c>
      <c r="Y1804" s="24" t="n"/>
    </row>
    <row r="1805" ht="14.25" customHeight="1" s="40">
      <c r="A1805" s="24" t="n"/>
      <c r="B1805" s="27" t="n"/>
      <c r="C1805" s="24" t="n"/>
      <c r="D1805" s="28" t="n"/>
      <c r="E1805" s="29" t="n"/>
      <c r="F1805" s="24" t="n"/>
      <c r="G1805" s="24" t="n"/>
      <c r="H1805" s="21">
        <f>IF(ISNUMBER($B1805),INT($B1805)-WEEKDAY($B1805,2)+1,"")</f>
        <v/>
      </c>
      <c r="I1805" s="24" t="n"/>
      <c r="J1805" s="22">
        <f t="array" ref="J1805">IF($D1805="","",IF($I1805="","(trống REF)",IFERROR(INDEX(MASTER_SOURCE!$B$2:$B$495,MATCH($I1805,MASTER_SOURCE!$A$2:$A$495,0)),"(REF không có trong MASTER_SOURCE)")))</f>
        <v/>
      </c>
      <c r="K1805" s="22">
        <f t="array" ref="K1805">IF($D1805="","",IFERROR(INDEX(MASTER_SOURCE!$C$2:$C$495,MATCH($I1805,MASTER_SOURCE!$A$2:$A$495,0)),""))</f>
        <v/>
      </c>
      <c r="L1805" s="22">
        <f t="array" ref="L1805">IF($D1805="","",IFERROR(INDEX(MASTER_SOURCE!$D$2:$D$495,MATCH($I1805,MASTER_SOURCE!$A$2:$A$495,0)),""))</f>
        <v/>
      </c>
      <c r="M1805" s="24" t="n"/>
      <c r="N1805" s="24" t="n"/>
      <c r="O1805" s="24" t="n"/>
      <c r="P1805" s="24" t="n"/>
      <c r="Q1805" s="22">
        <f>IF($D1805="","",IF(AND(OR(DANH_MUC!$L$5&lt;&gt;"Có",M1805="Có"),OR(DANH_MUC!$L$6&lt;&gt;"Có",N1805="Có"),OR(DANH_MUC!$L$7&lt;&gt;"Có",O1805="Có"),OR(DANH_MUC!$L$8&lt;&gt;"Có",P1805="Có")),"Có","Không"))</f>
        <v/>
      </c>
      <c r="R1805" s="22">
        <f>IF($D1805="","",IF(COUNTIF($D$2:$D1805,$D1805)&gt;1,"Trùng",""))</f>
        <v/>
      </c>
      <c r="S1805" s="22">
        <f>IF($D1805="","",IF(AND(LEN($D1805)=10,LEFT($D1805,1)="0",ISNUMBER(--$D1805)),"Có","Không"))</f>
        <v/>
      </c>
      <c r="T1805" s="22">
        <f>IF($D1805="","",IF(AND($C1805&lt;&gt;"",$Q1805="Có",$R1805="",$S1805="Có",AND($L1805&lt;&gt;"",OR($L1805&lt;&gt;"Chưa xác định",DANH_MUC!$L$9="Có"))),"Có","Không"))</f>
        <v/>
      </c>
      <c r="U1805" s="22">
        <f>IF(OR($D1805="",$T1805="Có"),"",IF($C1805="","Thiếu họ tên; ","")&amp;IF($S1805&lt;&gt;"Có","SĐT sai định dạng; ","")&amp;IF($R1805="Trùng","Trùng SĐT; ","")&amp;IF($Q1805&lt;&gt;"Có","Thiếu đồng ý bắt buộc; ","")&amp;IF($L1805="","Thiếu/sai Mã REF; ",IF(AND($L1805="Chưa xác định",DANH_MUC!$L$9&lt;&gt;"Có"),"Nguồn chưa xác định; ","")))</f>
        <v/>
      </c>
      <c r="V1805" s="22">
        <f>IF(OR($D1805="",$R1805="Trùng"),"",IF(COUNTIF(ORDERS!$C$2:$C$4995,$D1805)&gt;0,"Có","Không"))</f>
        <v/>
      </c>
      <c r="W1805" s="22">
        <f>IF(OR($D1805="",$R1805="Trùng"),"",COUNTIFS(ORDERS!$C$2:$C$4995,$D1805,ORDERS!$L$2:$L$4995,"Đã chuyển khoản"))</f>
        <v/>
      </c>
      <c r="X1805" s="23">
        <f>IF(OR($D1805="",$R1805="Trùng"),"",SUMIFS(ORDERS!$J$2:$J$4995,ORDERS!$C$2:$C$4995,$D1805,ORDERS!$L$2:$L$4995,"Đã chuyển khoản"))</f>
        <v/>
      </c>
      <c r="Y1805" s="24" t="n"/>
    </row>
    <row r="1806" ht="14.25" customHeight="1" s="40">
      <c r="A1806" s="24" t="n"/>
      <c r="B1806" s="27" t="n"/>
      <c r="C1806" s="24" t="n"/>
      <c r="D1806" s="28" t="n"/>
      <c r="E1806" s="29" t="n"/>
      <c r="F1806" s="24" t="n"/>
      <c r="G1806" s="24" t="n"/>
      <c r="H1806" s="21">
        <f>IF(ISNUMBER($B1806),INT($B1806)-WEEKDAY($B1806,2)+1,"")</f>
        <v/>
      </c>
      <c r="I1806" s="24" t="n"/>
      <c r="J1806" s="22">
        <f t="array" ref="J1806">IF($D1806="","",IF($I1806="","(trống REF)",IFERROR(INDEX(MASTER_SOURCE!$B$2:$B$495,MATCH($I1806,MASTER_SOURCE!$A$2:$A$495,0)),"(REF không có trong MASTER_SOURCE)")))</f>
        <v/>
      </c>
      <c r="K1806" s="22">
        <f t="array" ref="K1806">IF($D1806="","",IFERROR(INDEX(MASTER_SOURCE!$C$2:$C$495,MATCH($I1806,MASTER_SOURCE!$A$2:$A$495,0)),""))</f>
        <v/>
      </c>
      <c r="L1806" s="22">
        <f t="array" ref="L1806">IF($D1806="","",IFERROR(INDEX(MASTER_SOURCE!$D$2:$D$495,MATCH($I1806,MASTER_SOURCE!$A$2:$A$495,0)),""))</f>
        <v/>
      </c>
      <c r="M1806" s="24" t="n"/>
      <c r="N1806" s="24" t="n"/>
      <c r="O1806" s="24" t="n"/>
      <c r="P1806" s="24" t="n"/>
      <c r="Q1806" s="22">
        <f>IF($D1806="","",IF(AND(OR(DANH_MUC!$L$5&lt;&gt;"Có",M1806="Có"),OR(DANH_MUC!$L$6&lt;&gt;"Có",N1806="Có"),OR(DANH_MUC!$L$7&lt;&gt;"Có",O1806="Có"),OR(DANH_MUC!$L$8&lt;&gt;"Có",P1806="Có")),"Có","Không"))</f>
        <v/>
      </c>
      <c r="R1806" s="22">
        <f>IF($D1806="","",IF(COUNTIF($D$2:$D1806,$D1806)&gt;1,"Trùng",""))</f>
        <v/>
      </c>
      <c r="S1806" s="22">
        <f>IF($D1806="","",IF(AND(LEN($D1806)=10,LEFT($D1806,1)="0",ISNUMBER(--$D1806)),"Có","Không"))</f>
        <v/>
      </c>
      <c r="T1806" s="22">
        <f>IF($D1806="","",IF(AND($C1806&lt;&gt;"",$Q1806="Có",$R1806="",$S1806="Có",AND($L1806&lt;&gt;"",OR($L1806&lt;&gt;"Chưa xác định",DANH_MUC!$L$9="Có"))),"Có","Không"))</f>
        <v/>
      </c>
      <c r="U1806" s="22">
        <f>IF(OR($D1806="",$T1806="Có"),"",IF($C1806="","Thiếu họ tên; ","")&amp;IF($S1806&lt;&gt;"Có","SĐT sai định dạng; ","")&amp;IF($R1806="Trùng","Trùng SĐT; ","")&amp;IF($Q1806&lt;&gt;"Có","Thiếu đồng ý bắt buộc; ","")&amp;IF($L1806="","Thiếu/sai Mã REF; ",IF(AND($L1806="Chưa xác định",DANH_MUC!$L$9&lt;&gt;"Có"),"Nguồn chưa xác định; ","")))</f>
        <v/>
      </c>
      <c r="V1806" s="22">
        <f>IF(OR($D1806="",$R1806="Trùng"),"",IF(COUNTIF(ORDERS!$C$2:$C$4995,$D1806)&gt;0,"Có","Không"))</f>
        <v/>
      </c>
      <c r="W1806" s="22">
        <f>IF(OR($D1806="",$R1806="Trùng"),"",COUNTIFS(ORDERS!$C$2:$C$4995,$D1806,ORDERS!$L$2:$L$4995,"Đã chuyển khoản"))</f>
        <v/>
      </c>
      <c r="X1806" s="23">
        <f>IF(OR($D1806="",$R1806="Trùng"),"",SUMIFS(ORDERS!$J$2:$J$4995,ORDERS!$C$2:$C$4995,$D1806,ORDERS!$L$2:$L$4995,"Đã chuyển khoản"))</f>
        <v/>
      </c>
      <c r="Y1806" s="24" t="n"/>
    </row>
    <row r="1807" ht="14.25" customHeight="1" s="40">
      <c r="A1807" s="24" t="n"/>
      <c r="B1807" s="27" t="n"/>
      <c r="C1807" s="24" t="n"/>
      <c r="D1807" s="28" t="n"/>
      <c r="E1807" s="29" t="n"/>
      <c r="F1807" s="24" t="n"/>
      <c r="G1807" s="24" t="n"/>
      <c r="H1807" s="21">
        <f>IF(ISNUMBER($B1807),INT($B1807)-WEEKDAY($B1807,2)+1,"")</f>
        <v/>
      </c>
      <c r="I1807" s="24" t="n"/>
      <c r="J1807" s="22">
        <f t="array" ref="J1807">IF($D1807="","",IF($I1807="","(trống REF)",IFERROR(INDEX(MASTER_SOURCE!$B$2:$B$495,MATCH($I1807,MASTER_SOURCE!$A$2:$A$495,0)),"(REF không có trong MASTER_SOURCE)")))</f>
        <v/>
      </c>
      <c r="K1807" s="22">
        <f t="array" ref="K1807">IF($D1807="","",IFERROR(INDEX(MASTER_SOURCE!$C$2:$C$495,MATCH($I1807,MASTER_SOURCE!$A$2:$A$495,0)),""))</f>
        <v/>
      </c>
      <c r="L1807" s="22">
        <f t="array" ref="L1807">IF($D1807="","",IFERROR(INDEX(MASTER_SOURCE!$D$2:$D$495,MATCH($I1807,MASTER_SOURCE!$A$2:$A$495,0)),""))</f>
        <v/>
      </c>
      <c r="M1807" s="24" t="n"/>
      <c r="N1807" s="24" t="n"/>
      <c r="O1807" s="24" t="n"/>
      <c r="P1807" s="24" t="n"/>
      <c r="Q1807" s="22">
        <f>IF($D1807="","",IF(AND(OR(DANH_MUC!$L$5&lt;&gt;"Có",M1807="Có"),OR(DANH_MUC!$L$6&lt;&gt;"Có",N1807="Có"),OR(DANH_MUC!$L$7&lt;&gt;"Có",O1807="Có"),OR(DANH_MUC!$L$8&lt;&gt;"Có",P1807="Có")),"Có","Không"))</f>
        <v/>
      </c>
      <c r="R1807" s="22">
        <f>IF($D1807="","",IF(COUNTIF($D$2:$D1807,$D1807)&gt;1,"Trùng",""))</f>
        <v/>
      </c>
      <c r="S1807" s="22">
        <f>IF($D1807="","",IF(AND(LEN($D1807)=10,LEFT($D1807,1)="0",ISNUMBER(--$D1807)),"Có","Không"))</f>
        <v/>
      </c>
      <c r="T1807" s="22">
        <f>IF($D1807="","",IF(AND($C1807&lt;&gt;"",$Q1807="Có",$R1807="",$S1807="Có",AND($L1807&lt;&gt;"",OR($L1807&lt;&gt;"Chưa xác định",DANH_MUC!$L$9="Có"))),"Có","Không"))</f>
        <v/>
      </c>
      <c r="U1807" s="22">
        <f>IF(OR($D1807="",$T1807="Có"),"",IF($C1807="","Thiếu họ tên; ","")&amp;IF($S1807&lt;&gt;"Có","SĐT sai định dạng; ","")&amp;IF($R1807="Trùng","Trùng SĐT; ","")&amp;IF($Q1807&lt;&gt;"Có","Thiếu đồng ý bắt buộc; ","")&amp;IF($L1807="","Thiếu/sai Mã REF; ",IF(AND($L1807="Chưa xác định",DANH_MUC!$L$9&lt;&gt;"Có"),"Nguồn chưa xác định; ","")))</f>
        <v/>
      </c>
      <c r="V1807" s="22">
        <f>IF(OR($D1807="",$R1807="Trùng"),"",IF(COUNTIF(ORDERS!$C$2:$C$4995,$D1807)&gt;0,"Có","Không"))</f>
        <v/>
      </c>
      <c r="W1807" s="22">
        <f>IF(OR($D1807="",$R1807="Trùng"),"",COUNTIFS(ORDERS!$C$2:$C$4995,$D1807,ORDERS!$L$2:$L$4995,"Đã chuyển khoản"))</f>
        <v/>
      </c>
      <c r="X1807" s="23">
        <f>IF(OR($D1807="",$R1807="Trùng"),"",SUMIFS(ORDERS!$J$2:$J$4995,ORDERS!$C$2:$C$4995,$D1807,ORDERS!$L$2:$L$4995,"Đã chuyển khoản"))</f>
        <v/>
      </c>
      <c r="Y1807" s="24" t="n"/>
    </row>
    <row r="1808" ht="14.25" customHeight="1" s="40">
      <c r="A1808" s="24" t="n"/>
      <c r="B1808" s="27" t="n"/>
      <c r="C1808" s="24" t="n"/>
      <c r="D1808" s="28" t="n"/>
      <c r="E1808" s="29" t="n"/>
      <c r="F1808" s="24" t="n"/>
      <c r="G1808" s="24" t="n"/>
      <c r="H1808" s="21">
        <f>IF(ISNUMBER($B1808),INT($B1808)-WEEKDAY($B1808,2)+1,"")</f>
        <v/>
      </c>
      <c r="I1808" s="24" t="n"/>
      <c r="J1808" s="22">
        <f t="array" ref="J1808">IF($D1808="","",IF($I1808="","(trống REF)",IFERROR(INDEX(MASTER_SOURCE!$B$2:$B$495,MATCH($I1808,MASTER_SOURCE!$A$2:$A$495,0)),"(REF không có trong MASTER_SOURCE)")))</f>
        <v/>
      </c>
      <c r="K1808" s="22">
        <f t="array" ref="K1808">IF($D1808="","",IFERROR(INDEX(MASTER_SOURCE!$C$2:$C$495,MATCH($I1808,MASTER_SOURCE!$A$2:$A$495,0)),""))</f>
        <v/>
      </c>
      <c r="L1808" s="22">
        <f t="array" ref="L1808">IF($D1808="","",IFERROR(INDEX(MASTER_SOURCE!$D$2:$D$495,MATCH($I1808,MASTER_SOURCE!$A$2:$A$495,0)),""))</f>
        <v/>
      </c>
      <c r="M1808" s="24" t="n"/>
      <c r="N1808" s="24" t="n"/>
      <c r="O1808" s="24" t="n"/>
      <c r="P1808" s="24" t="n"/>
      <c r="Q1808" s="22">
        <f>IF($D1808="","",IF(AND(OR(DANH_MUC!$L$5&lt;&gt;"Có",M1808="Có"),OR(DANH_MUC!$L$6&lt;&gt;"Có",N1808="Có"),OR(DANH_MUC!$L$7&lt;&gt;"Có",O1808="Có"),OR(DANH_MUC!$L$8&lt;&gt;"Có",P1808="Có")),"Có","Không"))</f>
        <v/>
      </c>
      <c r="R1808" s="22">
        <f>IF($D1808="","",IF(COUNTIF($D$2:$D1808,$D1808)&gt;1,"Trùng",""))</f>
        <v/>
      </c>
      <c r="S1808" s="22">
        <f>IF($D1808="","",IF(AND(LEN($D1808)=10,LEFT($D1808,1)="0",ISNUMBER(--$D1808)),"Có","Không"))</f>
        <v/>
      </c>
      <c r="T1808" s="22">
        <f>IF($D1808="","",IF(AND($C1808&lt;&gt;"",$Q1808="Có",$R1808="",$S1808="Có",AND($L1808&lt;&gt;"",OR($L1808&lt;&gt;"Chưa xác định",DANH_MUC!$L$9="Có"))),"Có","Không"))</f>
        <v/>
      </c>
      <c r="U1808" s="22">
        <f>IF(OR($D1808="",$T1808="Có"),"",IF($C1808="","Thiếu họ tên; ","")&amp;IF($S1808&lt;&gt;"Có","SĐT sai định dạng; ","")&amp;IF($R1808="Trùng","Trùng SĐT; ","")&amp;IF($Q1808&lt;&gt;"Có","Thiếu đồng ý bắt buộc; ","")&amp;IF($L1808="","Thiếu/sai Mã REF; ",IF(AND($L1808="Chưa xác định",DANH_MUC!$L$9&lt;&gt;"Có"),"Nguồn chưa xác định; ","")))</f>
        <v/>
      </c>
      <c r="V1808" s="22">
        <f>IF(OR($D1808="",$R1808="Trùng"),"",IF(COUNTIF(ORDERS!$C$2:$C$4995,$D1808)&gt;0,"Có","Không"))</f>
        <v/>
      </c>
      <c r="W1808" s="22">
        <f>IF(OR($D1808="",$R1808="Trùng"),"",COUNTIFS(ORDERS!$C$2:$C$4995,$D1808,ORDERS!$L$2:$L$4995,"Đã chuyển khoản"))</f>
        <v/>
      </c>
      <c r="X1808" s="23">
        <f>IF(OR($D1808="",$R1808="Trùng"),"",SUMIFS(ORDERS!$J$2:$J$4995,ORDERS!$C$2:$C$4995,$D1808,ORDERS!$L$2:$L$4995,"Đã chuyển khoản"))</f>
        <v/>
      </c>
      <c r="Y1808" s="24" t="n"/>
    </row>
    <row r="1809" ht="14.25" customHeight="1" s="40">
      <c r="A1809" s="24" t="n"/>
      <c r="B1809" s="27" t="n"/>
      <c r="C1809" s="24" t="n"/>
      <c r="D1809" s="28" t="n"/>
      <c r="E1809" s="29" t="n"/>
      <c r="F1809" s="24" t="n"/>
      <c r="G1809" s="24" t="n"/>
      <c r="H1809" s="21">
        <f>IF(ISNUMBER($B1809),INT($B1809)-WEEKDAY($B1809,2)+1,"")</f>
        <v/>
      </c>
      <c r="I1809" s="24" t="n"/>
      <c r="J1809" s="22">
        <f t="array" ref="J1809">IF($D1809="","",IF($I1809="","(trống REF)",IFERROR(INDEX(MASTER_SOURCE!$B$2:$B$495,MATCH($I1809,MASTER_SOURCE!$A$2:$A$495,0)),"(REF không có trong MASTER_SOURCE)")))</f>
        <v/>
      </c>
      <c r="K1809" s="22">
        <f t="array" ref="K1809">IF($D1809="","",IFERROR(INDEX(MASTER_SOURCE!$C$2:$C$495,MATCH($I1809,MASTER_SOURCE!$A$2:$A$495,0)),""))</f>
        <v/>
      </c>
      <c r="L1809" s="22">
        <f t="array" ref="L1809">IF($D1809="","",IFERROR(INDEX(MASTER_SOURCE!$D$2:$D$495,MATCH($I1809,MASTER_SOURCE!$A$2:$A$495,0)),""))</f>
        <v/>
      </c>
      <c r="M1809" s="24" t="n"/>
      <c r="N1809" s="24" t="n"/>
      <c r="O1809" s="24" t="n"/>
      <c r="P1809" s="24" t="n"/>
      <c r="Q1809" s="22">
        <f>IF($D1809="","",IF(AND(OR(DANH_MUC!$L$5&lt;&gt;"Có",M1809="Có"),OR(DANH_MUC!$L$6&lt;&gt;"Có",N1809="Có"),OR(DANH_MUC!$L$7&lt;&gt;"Có",O1809="Có"),OR(DANH_MUC!$L$8&lt;&gt;"Có",P1809="Có")),"Có","Không"))</f>
        <v/>
      </c>
      <c r="R1809" s="22">
        <f>IF($D1809="","",IF(COUNTIF($D$2:$D1809,$D1809)&gt;1,"Trùng",""))</f>
        <v/>
      </c>
      <c r="S1809" s="22">
        <f>IF($D1809="","",IF(AND(LEN($D1809)=10,LEFT($D1809,1)="0",ISNUMBER(--$D1809)),"Có","Không"))</f>
        <v/>
      </c>
      <c r="T1809" s="22">
        <f>IF($D1809="","",IF(AND($C1809&lt;&gt;"",$Q1809="Có",$R1809="",$S1809="Có",AND($L1809&lt;&gt;"",OR($L1809&lt;&gt;"Chưa xác định",DANH_MUC!$L$9="Có"))),"Có","Không"))</f>
        <v/>
      </c>
      <c r="U1809" s="22">
        <f>IF(OR($D1809="",$T1809="Có"),"",IF($C1809="","Thiếu họ tên; ","")&amp;IF($S1809&lt;&gt;"Có","SĐT sai định dạng; ","")&amp;IF($R1809="Trùng","Trùng SĐT; ","")&amp;IF($Q1809&lt;&gt;"Có","Thiếu đồng ý bắt buộc; ","")&amp;IF($L1809="","Thiếu/sai Mã REF; ",IF(AND($L1809="Chưa xác định",DANH_MUC!$L$9&lt;&gt;"Có"),"Nguồn chưa xác định; ","")))</f>
        <v/>
      </c>
      <c r="V1809" s="22">
        <f>IF(OR($D1809="",$R1809="Trùng"),"",IF(COUNTIF(ORDERS!$C$2:$C$4995,$D1809)&gt;0,"Có","Không"))</f>
        <v/>
      </c>
      <c r="W1809" s="22">
        <f>IF(OR($D1809="",$R1809="Trùng"),"",COUNTIFS(ORDERS!$C$2:$C$4995,$D1809,ORDERS!$L$2:$L$4995,"Đã chuyển khoản"))</f>
        <v/>
      </c>
      <c r="X1809" s="23">
        <f>IF(OR($D1809="",$R1809="Trùng"),"",SUMIFS(ORDERS!$J$2:$J$4995,ORDERS!$C$2:$C$4995,$D1809,ORDERS!$L$2:$L$4995,"Đã chuyển khoản"))</f>
        <v/>
      </c>
      <c r="Y1809" s="24" t="n"/>
    </row>
    <row r="1810" ht="14.25" customHeight="1" s="40">
      <c r="A1810" s="24" t="n"/>
      <c r="B1810" s="27" t="n"/>
      <c r="C1810" s="24" t="n"/>
      <c r="D1810" s="28" t="n"/>
      <c r="E1810" s="29" t="n"/>
      <c r="F1810" s="24" t="n"/>
      <c r="G1810" s="24" t="n"/>
      <c r="H1810" s="21">
        <f>IF(ISNUMBER($B1810),INT($B1810)-WEEKDAY($B1810,2)+1,"")</f>
        <v/>
      </c>
      <c r="I1810" s="24" t="n"/>
      <c r="J1810" s="22">
        <f t="array" ref="J1810">IF($D1810="","",IF($I1810="","(trống REF)",IFERROR(INDEX(MASTER_SOURCE!$B$2:$B$495,MATCH($I1810,MASTER_SOURCE!$A$2:$A$495,0)),"(REF không có trong MASTER_SOURCE)")))</f>
        <v/>
      </c>
      <c r="K1810" s="22">
        <f t="array" ref="K1810">IF($D1810="","",IFERROR(INDEX(MASTER_SOURCE!$C$2:$C$495,MATCH($I1810,MASTER_SOURCE!$A$2:$A$495,0)),""))</f>
        <v/>
      </c>
      <c r="L1810" s="22">
        <f t="array" ref="L1810">IF($D1810="","",IFERROR(INDEX(MASTER_SOURCE!$D$2:$D$495,MATCH($I1810,MASTER_SOURCE!$A$2:$A$495,0)),""))</f>
        <v/>
      </c>
      <c r="M1810" s="24" t="n"/>
      <c r="N1810" s="24" t="n"/>
      <c r="O1810" s="24" t="n"/>
      <c r="P1810" s="24" t="n"/>
      <c r="Q1810" s="22">
        <f>IF($D1810="","",IF(AND(OR(DANH_MUC!$L$5&lt;&gt;"Có",M1810="Có"),OR(DANH_MUC!$L$6&lt;&gt;"Có",N1810="Có"),OR(DANH_MUC!$L$7&lt;&gt;"Có",O1810="Có"),OR(DANH_MUC!$L$8&lt;&gt;"Có",P1810="Có")),"Có","Không"))</f>
        <v/>
      </c>
      <c r="R1810" s="22">
        <f>IF($D1810="","",IF(COUNTIF($D$2:$D1810,$D1810)&gt;1,"Trùng",""))</f>
        <v/>
      </c>
      <c r="S1810" s="22">
        <f>IF($D1810="","",IF(AND(LEN($D1810)=10,LEFT($D1810,1)="0",ISNUMBER(--$D1810)),"Có","Không"))</f>
        <v/>
      </c>
      <c r="T1810" s="22">
        <f>IF($D1810="","",IF(AND($C1810&lt;&gt;"",$Q1810="Có",$R1810="",$S1810="Có",AND($L1810&lt;&gt;"",OR($L1810&lt;&gt;"Chưa xác định",DANH_MUC!$L$9="Có"))),"Có","Không"))</f>
        <v/>
      </c>
      <c r="U1810" s="22">
        <f>IF(OR($D1810="",$T1810="Có"),"",IF($C1810="","Thiếu họ tên; ","")&amp;IF($S1810&lt;&gt;"Có","SĐT sai định dạng; ","")&amp;IF($R1810="Trùng","Trùng SĐT; ","")&amp;IF($Q1810&lt;&gt;"Có","Thiếu đồng ý bắt buộc; ","")&amp;IF($L1810="","Thiếu/sai Mã REF; ",IF(AND($L1810="Chưa xác định",DANH_MUC!$L$9&lt;&gt;"Có"),"Nguồn chưa xác định; ","")))</f>
        <v/>
      </c>
      <c r="V1810" s="22">
        <f>IF(OR($D1810="",$R1810="Trùng"),"",IF(COUNTIF(ORDERS!$C$2:$C$4995,$D1810)&gt;0,"Có","Không"))</f>
        <v/>
      </c>
      <c r="W1810" s="22">
        <f>IF(OR($D1810="",$R1810="Trùng"),"",COUNTIFS(ORDERS!$C$2:$C$4995,$D1810,ORDERS!$L$2:$L$4995,"Đã chuyển khoản"))</f>
        <v/>
      </c>
      <c r="X1810" s="23">
        <f>IF(OR($D1810="",$R1810="Trùng"),"",SUMIFS(ORDERS!$J$2:$J$4995,ORDERS!$C$2:$C$4995,$D1810,ORDERS!$L$2:$L$4995,"Đã chuyển khoản"))</f>
        <v/>
      </c>
      <c r="Y1810" s="24" t="n"/>
    </row>
    <row r="1811" ht="14.25" customHeight="1" s="40">
      <c r="A1811" s="24" t="n"/>
      <c r="B1811" s="27" t="n"/>
      <c r="C1811" s="24" t="n"/>
      <c r="D1811" s="28" t="n"/>
      <c r="E1811" s="29" t="n"/>
      <c r="F1811" s="24" t="n"/>
      <c r="G1811" s="24" t="n"/>
      <c r="H1811" s="21">
        <f>IF(ISNUMBER($B1811),INT($B1811)-WEEKDAY($B1811,2)+1,"")</f>
        <v/>
      </c>
      <c r="I1811" s="24" t="n"/>
      <c r="J1811" s="22">
        <f t="array" ref="J1811">IF($D1811="","",IF($I1811="","(trống REF)",IFERROR(INDEX(MASTER_SOURCE!$B$2:$B$495,MATCH($I1811,MASTER_SOURCE!$A$2:$A$495,0)),"(REF không có trong MASTER_SOURCE)")))</f>
        <v/>
      </c>
      <c r="K1811" s="22">
        <f t="array" ref="K1811">IF($D1811="","",IFERROR(INDEX(MASTER_SOURCE!$C$2:$C$495,MATCH($I1811,MASTER_SOURCE!$A$2:$A$495,0)),""))</f>
        <v/>
      </c>
      <c r="L1811" s="22">
        <f t="array" ref="L1811">IF($D1811="","",IFERROR(INDEX(MASTER_SOURCE!$D$2:$D$495,MATCH($I1811,MASTER_SOURCE!$A$2:$A$495,0)),""))</f>
        <v/>
      </c>
      <c r="M1811" s="24" t="n"/>
      <c r="N1811" s="24" t="n"/>
      <c r="O1811" s="24" t="n"/>
      <c r="P1811" s="24" t="n"/>
      <c r="Q1811" s="22">
        <f>IF($D1811="","",IF(AND(OR(DANH_MUC!$L$5&lt;&gt;"Có",M1811="Có"),OR(DANH_MUC!$L$6&lt;&gt;"Có",N1811="Có"),OR(DANH_MUC!$L$7&lt;&gt;"Có",O1811="Có"),OR(DANH_MUC!$L$8&lt;&gt;"Có",P1811="Có")),"Có","Không"))</f>
        <v/>
      </c>
      <c r="R1811" s="22">
        <f>IF($D1811="","",IF(COUNTIF($D$2:$D1811,$D1811)&gt;1,"Trùng",""))</f>
        <v/>
      </c>
      <c r="S1811" s="22">
        <f>IF($D1811="","",IF(AND(LEN($D1811)=10,LEFT($D1811,1)="0",ISNUMBER(--$D1811)),"Có","Không"))</f>
        <v/>
      </c>
      <c r="T1811" s="22">
        <f>IF($D1811="","",IF(AND($C1811&lt;&gt;"",$Q1811="Có",$R1811="",$S1811="Có",AND($L1811&lt;&gt;"",OR($L1811&lt;&gt;"Chưa xác định",DANH_MUC!$L$9="Có"))),"Có","Không"))</f>
        <v/>
      </c>
      <c r="U1811" s="22">
        <f>IF(OR($D1811="",$T1811="Có"),"",IF($C1811="","Thiếu họ tên; ","")&amp;IF($S1811&lt;&gt;"Có","SĐT sai định dạng; ","")&amp;IF($R1811="Trùng","Trùng SĐT; ","")&amp;IF($Q1811&lt;&gt;"Có","Thiếu đồng ý bắt buộc; ","")&amp;IF($L1811="","Thiếu/sai Mã REF; ",IF(AND($L1811="Chưa xác định",DANH_MUC!$L$9&lt;&gt;"Có"),"Nguồn chưa xác định; ","")))</f>
        <v/>
      </c>
      <c r="V1811" s="22">
        <f>IF(OR($D1811="",$R1811="Trùng"),"",IF(COUNTIF(ORDERS!$C$2:$C$4995,$D1811)&gt;0,"Có","Không"))</f>
        <v/>
      </c>
      <c r="W1811" s="22">
        <f>IF(OR($D1811="",$R1811="Trùng"),"",COUNTIFS(ORDERS!$C$2:$C$4995,$D1811,ORDERS!$L$2:$L$4995,"Đã chuyển khoản"))</f>
        <v/>
      </c>
      <c r="X1811" s="23">
        <f>IF(OR($D1811="",$R1811="Trùng"),"",SUMIFS(ORDERS!$J$2:$J$4995,ORDERS!$C$2:$C$4995,$D1811,ORDERS!$L$2:$L$4995,"Đã chuyển khoản"))</f>
        <v/>
      </c>
      <c r="Y1811" s="24" t="n"/>
    </row>
    <row r="1812" ht="14.25" customHeight="1" s="40">
      <c r="A1812" s="24" t="n"/>
      <c r="B1812" s="27" t="n"/>
      <c r="C1812" s="24" t="n"/>
      <c r="D1812" s="28" t="n"/>
      <c r="E1812" s="29" t="n"/>
      <c r="F1812" s="24" t="n"/>
      <c r="G1812" s="24" t="n"/>
      <c r="H1812" s="21">
        <f>IF(ISNUMBER($B1812),INT($B1812)-WEEKDAY($B1812,2)+1,"")</f>
        <v/>
      </c>
      <c r="I1812" s="24" t="n"/>
      <c r="J1812" s="22">
        <f t="array" ref="J1812">IF($D1812="","",IF($I1812="","(trống REF)",IFERROR(INDEX(MASTER_SOURCE!$B$2:$B$495,MATCH($I1812,MASTER_SOURCE!$A$2:$A$495,0)),"(REF không có trong MASTER_SOURCE)")))</f>
        <v/>
      </c>
      <c r="K1812" s="22">
        <f t="array" ref="K1812">IF($D1812="","",IFERROR(INDEX(MASTER_SOURCE!$C$2:$C$495,MATCH($I1812,MASTER_SOURCE!$A$2:$A$495,0)),""))</f>
        <v/>
      </c>
      <c r="L1812" s="22">
        <f t="array" ref="L1812">IF($D1812="","",IFERROR(INDEX(MASTER_SOURCE!$D$2:$D$495,MATCH($I1812,MASTER_SOURCE!$A$2:$A$495,0)),""))</f>
        <v/>
      </c>
      <c r="M1812" s="24" t="n"/>
      <c r="N1812" s="24" t="n"/>
      <c r="O1812" s="24" t="n"/>
      <c r="P1812" s="24" t="n"/>
      <c r="Q1812" s="22">
        <f>IF($D1812="","",IF(AND(OR(DANH_MUC!$L$5&lt;&gt;"Có",M1812="Có"),OR(DANH_MUC!$L$6&lt;&gt;"Có",N1812="Có"),OR(DANH_MUC!$L$7&lt;&gt;"Có",O1812="Có"),OR(DANH_MUC!$L$8&lt;&gt;"Có",P1812="Có")),"Có","Không"))</f>
        <v/>
      </c>
      <c r="R1812" s="22">
        <f>IF($D1812="","",IF(COUNTIF($D$2:$D1812,$D1812)&gt;1,"Trùng",""))</f>
        <v/>
      </c>
      <c r="S1812" s="22">
        <f>IF($D1812="","",IF(AND(LEN($D1812)=10,LEFT($D1812,1)="0",ISNUMBER(--$D1812)),"Có","Không"))</f>
        <v/>
      </c>
      <c r="T1812" s="22">
        <f>IF($D1812="","",IF(AND($C1812&lt;&gt;"",$Q1812="Có",$R1812="",$S1812="Có",AND($L1812&lt;&gt;"",OR($L1812&lt;&gt;"Chưa xác định",DANH_MUC!$L$9="Có"))),"Có","Không"))</f>
        <v/>
      </c>
      <c r="U1812" s="22">
        <f>IF(OR($D1812="",$T1812="Có"),"",IF($C1812="","Thiếu họ tên; ","")&amp;IF($S1812&lt;&gt;"Có","SĐT sai định dạng; ","")&amp;IF($R1812="Trùng","Trùng SĐT; ","")&amp;IF($Q1812&lt;&gt;"Có","Thiếu đồng ý bắt buộc; ","")&amp;IF($L1812="","Thiếu/sai Mã REF; ",IF(AND($L1812="Chưa xác định",DANH_MUC!$L$9&lt;&gt;"Có"),"Nguồn chưa xác định; ","")))</f>
        <v/>
      </c>
      <c r="V1812" s="22">
        <f>IF(OR($D1812="",$R1812="Trùng"),"",IF(COUNTIF(ORDERS!$C$2:$C$4995,$D1812)&gt;0,"Có","Không"))</f>
        <v/>
      </c>
      <c r="W1812" s="22">
        <f>IF(OR($D1812="",$R1812="Trùng"),"",COUNTIFS(ORDERS!$C$2:$C$4995,$D1812,ORDERS!$L$2:$L$4995,"Đã chuyển khoản"))</f>
        <v/>
      </c>
      <c r="X1812" s="23">
        <f>IF(OR($D1812="",$R1812="Trùng"),"",SUMIFS(ORDERS!$J$2:$J$4995,ORDERS!$C$2:$C$4995,$D1812,ORDERS!$L$2:$L$4995,"Đã chuyển khoản"))</f>
        <v/>
      </c>
      <c r="Y1812" s="24" t="n"/>
    </row>
    <row r="1813" ht="14.25" customHeight="1" s="40">
      <c r="A1813" s="24" t="n"/>
      <c r="B1813" s="27" t="n"/>
      <c r="C1813" s="24" t="n"/>
      <c r="D1813" s="28" t="n"/>
      <c r="E1813" s="29" t="n"/>
      <c r="F1813" s="24" t="n"/>
      <c r="G1813" s="24" t="n"/>
      <c r="H1813" s="21">
        <f>IF(ISNUMBER($B1813),INT($B1813)-WEEKDAY($B1813,2)+1,"")</f>
        <v/>
      </c>
      <c r="I1813" s="24" t="n"/>
      <c r="J1813" s="22">
        <f t="array" ref="J1813">IF($D1813="","",IF($I1813="","(trống REF)",IFERROR(INDEX(MASTER_SOURCE!$B$2:$B$495,MATCH($I1813,MASTER_SOURCE!$A$2:$A$495,0)),"(REF không có trong MASTER_SOURCE)")))</f>
        <v/>
      </c>
      <c r="K1813" s="22">
        <f t="array" ref="K1813">IF($D1813="","",IFERROR(INDEX(MASTER_SOURCE!$C$2:$C$495,MATCH($I1813,MASTER_SOURCE!$A$2:$A$495,0)),""))</f>
        <v/>
      </c>
      <c r="L1813" s="22">
        <f t="array" ref="L1813">IF($D1813="","",IFERROR(INDEX(MASTER_SOURCE!$D$2:$D$495,MATCH($I1813,MASTER_SOURCE!$A$2:$A$495,0)),""))</f>
        <v/>
      </c>
      <c r="M1813" s="24" t="n"/>
      <c r="N1813" s="24" t="n"/>
      <c r="O1813" s="24" t="n"/>
      <c r="P1813" s="24" t="n"/>
      <c r="Q1813" s="22">
        <f>IF($D1813="","",IF(AND(OR(DANH_MUC!$L$5&lt;&gt;"Có",M1813="Có"),OR(DANH_MUC!$L$6&lt;&gt;"Có",N1813="Có"),OR(DANH_MUC!$L$7&lt;&gt;"Có",O1813="Có"),OR(DANH_MUC!$L$8&lt;&gt;"Có",P1813="Có")),"Có","Không"))</f>
        <v/>
      </c>
      <c r="R1813" s="22">
        <f>IF($D1813="","",IF(COUNTIF($D$2:$D1813,$D1813)&gt;1,"Trùng",""))</f>
        <v/>
      </c>
      <c r="S1813" s="22">
        <f>IF($D1813="","",IF(AND(LEN($D1813)=10,LEFT($D1813,1)="0",ISNUMBER(--$D1813)),"Có","Không"))</f>
        <v/>
      </c>
      <c r="T1813" s="22">
        <f>IF($D1813="","",IF(AND($C1813&lt;&gt;"",$Q1813="Có",$R1813="",$S1813="Có",AND($L1813&lt;&gt;"",OR($L1813&lt;&gt;"Chưa xác định",DANH_MUC!$L$9="Có"))),"Có","Không"))</f>
        <v/>
      </c>
      <c r="U1813" s="22">
        <f>IF(OR($D1813="",$T1813="Có"),"",IF($C1813="","Thiếu họ tên; ","")&amp;IF($S1813&lt;&gt;"Có","SĐT sai định dạng; ","")&amp;IF($R1813="Trùng","Trùng SĐT; ","")&amp;IF($Q1813&lt;&gt;"Có","Thiếu đồng ý bắt buộc; ","")&amp;IF($L1813="","Thiếu/sai Mã REF; ",IF(AND($L1813="Chưa xác định",DANH_MUC!$L$9&lt;&gt;"Có"),"Nguồn chưa xác định; ","")))</f>
        <v/>
      </c>
      <c r="V1813" s="22">
        <f>IF(OR($D1813="",$R1813="Trùng"),"",IF(COUNTIF(ORDERS!$C$2:$C$4995,$D1813)&gt;0,"Có","Không"))</f>
        <v/>
      </c>
      <c r="W1813" s="22">
        <f>IF(OR($D1813="",$R1813="Trùng"),"",COUNTIFS(ORDERS!$C$2:$C$4995,$D1813,ORDERS!$L$2:$L$4995,"Đã chuyển khoản"))</f>
        <v/>
      </c>
      <c r="X1813" s="23">
        <f>IF(OR($D1813="",$R1813="Trùng"),"",SUMIFS(ORDERS!$J$2:$J$4995,ORDERS!$C$2:$C$4995,$D1813,ORDERS!$L$2:$L$4995,"Đã chuyển khoản"))</f>
        <v/>
      </c>
      <c r="Y1813" s="24" t="n"/>
    </row>
    <row r="1814" ht="14.25" customHeight="1" s="40">
      <c r="A1814" s="24" t="n"/>
      <c r="B1814" s="27" t="n"/>
      <c r="C1814" s="24" t="n"/>
      <c r="D1814" s="28" t="n"/>
      <c r="E1814" s="29" t="n"/>
      <c r="F1814" s="24" t="n"/>
      <c r="G1814" s="24" t="n"/>
      <c r="H1814" s="21">
        <f>IF(ISNUMBER($B1814),INT($B1814)-WEEKDAY($B1814,2)+1,"")</f>
        <v/>
      </c>
      <c r="I1814" s="24" t="n"/>
      <c r="J1814" s="22">
        <f t="array" ref="J1814">IF($D1814="","",IF($I1814="","(trống REF)",IFERROR(INDEX(MASTER_SOURCE!$B$2:$B$495,MATCH($I1814,MASTER_SOURCE!$A$2:$A$495,0)),"(REF không có trong MASTER_SOURCE)")))</f>
        <v/>
      </c>
      <c r="K1814" s="22">
        <f t="array" ref="K1814">IF($D1814="","",IFERROR(INDEX(MASTER_SOURCE!$C$2:$C$495,MATCH($I1814,MASTER_SOURCE!$A$2:$A$495,0)),""))</f>
        <v/>
      </c>
      <c r="L1814" s="22">
        <f t="array" ref="L1814">IF($D1814="","",IFERROR(INDEX(MASTER_SOURCE!$D$2:$D$495,MATCH($I1814,MASTER_SOURCE!$A$2:$A$495,0)),""))</f>
        <v/>
      </c>
      <c r="M1814" s="24" t="n"/>
      <c r="N1814" s="24" t="n"/>
      <c r="O1814" s="24" t="n"/>
      <c r="P1814" s="24" t="n"/>
      <c r="Q1814" s="22">
        <f>IF($D1814="","",IF(AND(OR(DANH_MUC!$L$5&lt;&gt;"Có",M1814="Có"),OR(DANH_MUC!$L$6&lt;&gt;"Có",N1814="Có"),OR(DANH_MUC!$L$7&lt;&gt;"Có",O1814="Có"),OR(DANH_MUC!$L$8&lt;&gt;"Có",P1814="Có")),"Có","Không"))</f>
        <v/>
      </c>
      <c r="R1814" s="22">
        <f>IF($D1814="","",IF(COUNTIF($D$2:$D1814,$D1814)&gt;1,"Trùng",""))</f>
        <v/>
      </c>
      <c r="S1814" s="22">
        <f>IF($D1814="","",IF(AND(LEN($D1814)=10,LEFT($D1814,1)="0",ISNUMBER(--$D1814)),"Có","Không"))</f>
        <v/>
      </c>
      <c r="T1814" s="22">
        <f>IF($D1814="","",IF(AND($C1814&lt;&gt;"",$Q1814="Có",$R1814="",$S1814="Có",AND($L1814&lt;&gt;"",OR($L1814&lt;&gt;"Chưa xác định",DANH_MUC!$L$9="Có"))),"Có","Không"))</f>
        <v/>
      </c>
      <c r="U1814" s="22">
        <f>IF(OR($D1814="",$T1814="Có"),"",IF($C1814="","Thiếu họ tên; ","")&amp;IF($S1814&lt;&gt;"Có","SĐT sai định dạng; ","")&amp;IF($R1814="Trùng","Trùng SĐT; ","")&amp;IF($Q1814&lt;&gt;"Có","Thiếu đồng ý bắt buộc; ","")&amp;IF($L1814="","Thiếu/sai Mã REF; ",IF(AND($L1814="Chưa xác định",DANH_MUC!$L$9&lt;&gt;"Có"),"Nguồn chưa xác định; ","")))</f>
        <v/>
      </c>
      <c r="V1814" s="22">
        <f>IF(OR($D1814="",$R1814="Trùng"),"",IF(COUNTIF(ORDERS!$C$2:$C$4995,$D1814)&gt;0,"Có","Không"))</f>
        <v/>
      </c>
      <c r="W1814" s="22">
        <f>IF(OR($D1814="",$R1814="Trùng"),"",COUNTIFS(ORDERS!$C$2:$C$4995,$D1814,ORDERS!$L$2:$L$4995,"Đã chuyển khoản"))</f>
        <v/>
      </c>
      <c r="X1814" s="23">
        <f>IF(OR($D1814="",$R1814="Trùng"),"",SUMIFS(ORDERS!$J$2:$J$4995,ORDERS!$C$2:$C$4995,$D1814,ORDERS!$L$2:$L$4995,"Đã chuyển khoản"))</f>
        <v/>
      </c>
      <c r="Y1814" s="24" t="n"/>
    </row>
    <row r="1815" ht="14.25" customHeight="1" s="40">
      <c r="A1815" s="24" t="n"/>
      <c r="B1815" s="27" t="n"/>
      <c r="C1815" s="24" t="n"/>
      <c r="D1815" s="28" t="n"/>
      <c r="E1815" s="29" t="n"/>
      <c r="F1815" s="24" t="n"/>
      <c r="G1815" s="24" t="n"/>
      <c r="H1815" s="21">
        <f>IF(ISNUMBER($B1815),INT($B1815)-WEEKDAY($B1815,2)+1,"")</f>
        <v/>
      </c>
      <c r="I1815" s="24" t="n"/>
      <c r="J1815" s="22">
        <f t="array" ref="J1815">IF($D1815="","",IF($I1815="","(trống REF)",IFERROR(INDEX(MASTER_SOURCE!$B$2:$B$495,MATCH($I1815,MASTER_SOURCE!$A$2:$A$495,0)),"(REF không có trong MASTER_SOURCE)")))</f>
        <v/>
      </c>
      <c r="K1815" s="22">
        <f t="array" ref="K1815">IF($D1815="","",IFERROR(INDEX(MASTER_SOURCE!$C$2:$C$495,MATCH($I1815,MASTER_SOURCE!$A$2:$A$495,0)),""))</f>
        <v/>
      </c>
      <c r="L1815" s="22">
        <f t="array" ref="L1815">IF($D1815="","",IFERROR(INDEX(MASTER_SOURCE!$D$2:$D$495,MATCH($I1815,MASTER_SOURCE!$A$2:$A$495,0)),""))</f>
        <v/>
      </c>
      <c r="M1815" s="24" t="n"/>
      <c r="N1815" s="24" t="n"/>
      <c r="O1815" s="24" t="n"/>
      <c r="P1815" s="24" t="n"/>
      <c r="Q1815" s="22">
        <f>IF($D1815="","",IF(AND(OR(DANH_MUC!$L$5&lt;&gt;"Có",M1815="Có"),OR(DANH_MUC!$L$6&lt;&gt;"Có",N1815="Có"),OR(DANH_MUC!$L$7&lt;&gt;"Có",O1815="Có"),OR(DANH_MUC!$L$8&lt;&gt;"Có",P1815="Có")),"Có","Không"))</f>
        <v/>
      </c>
      <c r="R1815" s="22">
        <f>IF($D1815="","",IF(COUNTIF($D$2:$D1815,$D1815)&gt;1,"Trùng",""))</f>
        <v/>
      </c>
      <c r="S1815" s="22">
        <f>IF($D1815="","",IF(AND(LEN($D1815)=10,LEFT($D1815,1)="0",ISNUMBER(--$D1815)),"Có","Không"))</f>
        <v/>
      </c>
      <c r="T1815" s="22">
        <f>IF($D1815="","",IF(AND($C1815&lt;&gt;"",$Q1815="Có",$R1815="",$S1815="Có",AND($L1815&lt;&gt;"",OR($L1815&lt;&gt;"Chưa xác định",DANH_MUC!$L$9="Có"))),"Có","Không"))</f>
        <v/>
      </c>
      <c r="U1815" s="22">
        <f>IF(OR($D1815="",$T1815="Có"),"",IF($C1815="","Thiếu họ tên; ","")&amp;IF($S1815&lt;&gt;"Có","SĐT sai định dạng; ","")&amp;IF($R1815="Trùng","Trùng SĐT; ","")&amp;IF($Q1815&lt;&gt;"Có","Thiếu đồng ý bắt buộc; ","")&amp;IF($L1815="","Thiếu/sai Mã REF; ",IF(AND($L1815="Chưa xác định",DANH_MUC!$L$9&lt;&gt;"Có"),"Nguồn chưa xác định; ","")))</f>
        <v/>
      </c>
      <c r="V1815" s="22">
        <f>IF(OR($D1815="",$R1815="Trùng"),"",IF(COUNTIF(ORDERS!$C$2:$C$4995,$D1815)&gt;0,"Có","Không"))</f>
        <v/>
      </c>
      <c r="W1815" s="22">
        <f>IF(OR($D1815="",$R1815="Trùng"),"",COUNTIFS(ORDERS!$C$2:$C$4995,$D1815,ORDERS!$L$2:$L$4995,"Đã chuyển khoản"))</f>
        <v/>
      </c>
      <c r="X1815" s="23">
        <f>IF(OR($D1815="",$R1815="Trùng"),"",SUMIFS(ORDERS!$J$2:$J$4995,ORDERS!$C$2:$C$4995,$D1815,ORDERS!$L$2:$L$4995,"Đã chuyển khoản"))</f>
        <v/>
      </c>
      <c r="Y1815" s="24" t="n"/>
    </row>
    <row r="1816" ht="14.25" customHeight="1" s="40">
      <c r="A1816" s="24" t="n"/>
      <c r="B1816" s="27" t="n"/>
      <c r="C1816" s="24" t="n"/>
      <c r="D1816" s="28" t="n"/>
      <c r="E1816" s="29" t="n"/>
      <c r="F1816" s="24" t="n"/>
      <c r="G1816" s="24" t="n"/>
      <c r="H1816" s="21">
        <f>IF(ISNUMBER($B1816),INT($B1816)-WEEKDAY($B1816,2)+1,"")</f>
        <v/>
      </c>
      <c r="I1816" s="24" t="n"/>
      <c r="J1816" s="22">
        <f t="array" ref="J1816">IF($D1816="","",IF($I1816="","(trống REF)",IFERROR(INDEX(MASTER_SOURCE!$B$2:$B$495,MATCH($I1816,MASTER_SOURCE!$A$2:$A$495,0)),"(REF không có trong MASTER_SOURCE)")))</f>
        <v/>
      </c>
      <c r="K1816" s="22">
        <f t="array" ref="K1816">IF($D1816="","",IFERROR(INDEX(MASTER_SOURCE!$C$2:$C$495,MATCH($I1816,MASTER_SOURCE!$A$2:$A$495,0)),""))</f>
        <v/>
      </c>
      <c r="L1816" s="22">
        <f t="array" ref="L1816">IF($D1816="","",IFERROR(INDEX(MASTER_SOURCE!$D$2:$D$495,MATCH($I1816,MASTER_SOURCE!$A$2:$A$495,0)),""))</f>
        <v/>
      </c>
      <c r="M1816" s="24" t="n"/>
      <c r="N1816" s="24" t="n"/>
      <c r="O1816" s="24" t="n"/>
      <c r="P1816" s="24" t="n"/>
      <c r="Q1816" s="22">
        <f>IF($D1816="","",IF(AND(OR(DANH_MUC!$L$5&lt;&gt;"Có",M1816="Có"),OR(DANH_MUC!$L$6&lt;&gt;"Có",N1816="Có"),OR(DANH_MUC!$L$7&lt;&gt;"Có",O1816="Có"),OR(DANH_MUC!$L$8&lt;&gt;"Có",P1816="Có")),"Có","Không"))</f>
        <v/>
      </c>
      <c r="R1816" s="22">
        <f>IF($D1816="","",IF(COUNTIF($D$2:$D1816,$D1816)&gt;1,"Trùng",""))</f>
        <v/>
      </c>
      <c r="S1816" s="22">
        <f>IF($D1816="","",IF(AND(LEN($D1816)=10,LEFT($D1816,1)="0",ISNUMBER(--$D1816)),"Có","Không"))</f>
        <v/>
      </c>
      <c r="T1816" s="22">
        <f>IF($D1816="","",IF(AND($C1816&lt;&gt;"",$Q1816="Có",$R1816="",$S1816="Có",AND($L1816&lt;&gt;"",OR($L1816&lt;&gt;"Chưa xác định",DANH_MUC!$L$9="Có"))),"Có","Không"))</f>
        <v/>
      </c>
      <c r="U1816" s="22">
        <f>IF(OR($D1816="",$T1816="Có"),"",IF($C1816="","Thiếu họ tên; ","")&amp;IF($S1816&lt;&gt;"Có","SĐT sai định dạng; ","")&amp;IF($R1816="Trùng","Trùng SĐT; ","")&amp;IF($Q1816&lt;&gt;"Có","Thiếu đồng ý bắt buộc; ","")&amp;IF($L1816="","Thiếu/sai Mã REF; ",IF(AND($L1816="Chưa xác định",DANH_MUC!$L$9&lt;&gt;"Có"),"Nguồn chưa xác định; ","")))</f>
        <v/>
      </c>
      <c r="V1816" s="22">
        <f>IF(OR($D1816="",$R1816="Trùng"),"",IF(COUNTIF(ORDERS!$C$2:$C$4995,$D1816)&gt;0,"Có","Không"))</f>
        <v/>
      </c>
      <c r="W1816" s="22">
        <f>IF(OR($D1816="",$R1816="Trùng"),"",COUNTIFS(ORDERS!$C$2:$C$4995,$D1816,ORDERS!$L$2:$L$4995,"Đã chuyển khoản"))</f>
        <v/>
      </c>
      <c r="X1816" s="23">
        <f>IF(OR($D1816="",$R1816="Trùng"),"",SUMIFS(ORDERS!$J$2:$J$4995,ORDERS!$C$2:$C$4995,$D1816,ORDERS!$L$2:$L$4995,"Đã chuyển khoản"))</f>
        <v/>
      </c>
      <c r="Y1816" s="24" t="n"/>
    </row>
    <row r="1817" ht="14.25" customHeight="1" s="40">
      <c r="A1817" s="24" t="n"/>
      <c r="B1817" s="27" t="n"/>
      <c r="C1817" s="24" t="n"/>
      <c r="D1817" s="28" t="n"/>
      <c r="E1817" s="29" t="n"/>
      <c r="F1817" s="24" t="n"/>
      <c r="G1817" s="24" t="n"/>
      <c r="H1817" s="21">
        <f>IF(ISNUMBER($B1817),INT($B1817)-WEEKDAY($B1817,2)+1,"")</f>
        <v/>
      </c>
      <c r="I1817" s="24" t="n"/>
      <c r="J1817" s="22">
        <f t="array" ref="J1817">IF($D1817="","",IF($I1817="","(trống REF)",IFERROR(INDEX(MASTER_SOURCE!$B$2:$B$495,MATCH($I1817,MASTER_SOURCE!$A$2:$A$495,0)),"(REF không có trong MASTER_SOURCE)")))</f>
        <v/>
      </c>
      <c r="K1817" s="22">
        <f t="array" ref="K1817">IF($D1817="","",IFERROR(INDEX(MASTER_SOURCE!$C$2:$C$495,MATCH($I1817,MASTER_SOURCE!$A$2:$A$495,0)),""))</f>
        <v/>
      </c>
      <c r="L1817" s="22">
        <f t="array" ref="L1817">IF($D1817="","",IFERROR(INDEX(MASTER_SOURCE!$D$2:$D$495,MATCH($I1817,MASTER_SOURCE!$A$2:$A$495,0)),""))</f>
        <v/>
      </c>
      <c r="M1817" s="24" t="n"/>
      <c r="N1817" s="24" t="n"/>
      <c r="O1817" s="24" t="n"/>
      <c r="P1817" s="24" t="n"/>
      <c r="Q1817" s="22">
        <f>IF($D1817="","",IF(AND(OR(DANH_MUC!$L$5&lt;&gt;"Có",M1817="Có"),OR(DANH_MUC!$L$6&lt;&gt;"Có",N1817="Có"),OR(DANH_MUC!$L$7&lt;&gt;"Có",O1817="Có"),OR(DANH_MUC!$L$8&lt;&gt;"Có",P1817="Có")),"Có","Không"))</f>
        <v/>
      </c>
      <c r="R1817" s="22">
        <f>IF($D1817="","",IF(COUNTIF($D$2:$D1817,$D1817)&gt;1,"Trùng",""))</f>
        <v/>
      </c>
      <c r="S1817" s="22">
        <f>IF($D1817="","",IF(AND(LEN($D1817)=10,LEFT($D1817,1)="0",ISNUMBER(--$D1817)),"Có","Không"))</f>
        <v/>
      </c>
      <c r="T1817" s="22">
        <f>IF($D1817="","",IF(AND($C1817&lt;&gt;"",$Q1817="Có",$R1817="",$S1817="Có",AND($L1817&lt;&gt;"",OR($L1817&lt;&gt;"Chưa xác định",DANH_MUC!$L$9="Có"))),"Có","Không"))</f>
        <v/>
      </c>
      <c r="U1817" s="22">
        <f>IF(OR($D1817="",$T1817="Có"),"",IF($C1817="","Thiếu họ tên; ","")&amp;IF($S1817&lt;&gt;"Có","SĐT sai định dạng; ","")&amp;IF($R1817="Trùng","Trùng SĐT; ","")&amp;IF($Q1817&lt;&gt;"Có","Thiếu đồng ý bắt buộc; ","")&amp;IF($L1817="","Thiếu/sai Mã REF; ",IF(AND($L1817="Chưa xác định",DANH_MUC!$L$9&lt;&gt;"Có"),"Nguồn chưa xác định; ","")))</f>
        <v/>
      </c>
      <c r="V1817" s="22">
        <f>IF(OR($D1817="",$R1817="Trùng"),"",IF(COUNTIF(ORDERS!$C$2:$C$4995,$D1817)&gt;0,"Có","Không"))</f>
        <v/>
      </c>
      <c r="W1817" s="22">
        <f>IF(OR($D1817="",$R1817="Trùng"),"",COUNTIFS(ORDERS!$C$2:$C$4995,$D1817,ORDERS!$L$2:$L$4995,"Đã chuyển khoản"))</f>
        <v/>
      </c>
      <c r="X1817" s="23">
        <f>IF(OR($D1817="",$R1817="Trùng"),"",SUMIFS(ORDERS!$J$2:$J$4995,ORDERS!$C$2:$C$4995,$D1817,ORDERS!$L$2:$L$4995,"Đã chuyển khoản"))</f>
        <v/>
      </c>
      <c r="Y1817" s="24" t="n"/>
    </row>
    <row r="1818" ht="14.25" customHeight="1" s="40">
      <c r="A1818" s="24" t="n"/>
      <c r="B1818" s="27" t="n"/>
      <c r="C1818" s="24" t="n"/>
      <c r="D1818" s="28" t="n"/>
      <c r="E1818" s="29" t="n"/>
      <c r="F1818" s="24" t="n"/>
      <c r="G1818" s="24" t="n"/>
      <c r="H1818" s="21">
        <f>IF(ISNUMBER($B1818),INT($B1818)-WEEKDAY($B1818,2)+1,"")</f>
        <v/>
      </c>
      <c r="I1818" s="24" t="n"/>
      <c r="J1818" s="22">
        <f t="array" ref="J1818">IF($D1818="","",IF($I1818="","(trống REF)",IFERROR(INDEX(MASTER_SOURCE!$B$2:$B$495,MATCH($I1818,MASTER_SOURCE!$A$2:$A$495,0)),"(REF không có trong MASTER_SOURCE)")))</f>
        <v/>
      </c>
      <c r="K1818" s="22">
        <f t="array" ref="K1818">IF($D1818="","",IFERROR(INDEX(MASTER_SOURCE!$C$2:$C$495,MATCH($I1818,MASTER_SOURCE!$A$2:$A$495,0)),""))</f>
        <v/>
      </c>
      <c r="L1818" s="22">
        <f t="array" ref="L1818">IF($D1818="","",IFERROR(INDEX(MASTER_SOURCE!$D$2:$D$495,MATCH($I1818,MASTER_SOURCE!$A$2:$A$495,0)),""))</f>
        <v/>
      </c>
      <c r="M1818" s="24" t="n"/>
      <c r="N1818" s="24" t="n"/>
      <c r="O1818" s="24" t="n"/>
      <c r="P1818" s="24" t="n"/>
      <c r="Q1818" s="22">
        <f>IF($D1818="","",IF(AND(OR(DANH_MUC!$L$5&lt;&gt;"Có",M1818="Có"),OR(DANH_MUC!$L$6&lt;&gt;"Có",N1818="Có"),OR(DANH_MUC!$L$7&lt;&gt;"Có",O1818="Có"),OR(DANH_MUC!$L$8&lt;&gt;"Có",P1818="Có")),"Có","Không"))</f>
        <v/>
      </c>
      <c r="R1818" s="22">
        <f>IF($D1818="","",IF(COUNTIF($D$2:$D1818,$D1818)&gt;1,"Trùng",""))</f>
        <v/>
      </c>
      <c r="S1818" s="22">
        <f>IF($D1818="","",IF(AND(LEN($D1818)=10,LEFT($D1818,1)="0",ISNUMBER(--$D1818)),"Có","Không"))</f>
        <v/>
      </c>
      <c r="T1818" s="22">
        <f>IF($D1818="","",IF(AND($C1818&lt;&gt;"",$Q1818="Có",$R1818="",$S1818="Có",AND($L1818&lt;&gt;"",OR($L1818&lt;&gt;"Chưa xác định",DANH_MUC!$L$9="Có"))),"Có","Không"))</f>
        <v/>
      </c>
      <c r="U1818" s="22">
        <f>IF(OR($D1818="",$T1818="Có"),"",IF($C1818="","Thiếu họ tên; ","")&amp;IF($S1818&lt;&gt;"Có","SĐT sai định dạng; ","")&amp;IF($R1818="Trùng","Trùng SĐT; ","")&amp;IF($Q1818&lt;&gt;"Có","Thiếu đồng ý bắt buộc; ","")&amp;IF($L1818="","Thiếu/sai Mã REF; ",IF(AND($L1818="Chưa xác định",DANH_MUC!$L$9&lt;&gt;"Có"),"Nguồn chưa xác định; ","")))</f>
        <v/>
      </c>
      <c r="V1818" s="22">
        <f>IF(OR($D1818="",$R1818="Trùng"),"",IF(COUNTIF(ORDERS!$C$2:$C$4995,$D1818)&gt;0,"Có","Không"))</f>
        <v/>
      </c>
      <c r="W1818" s="22">
        <f>IF(OR($D1818="",$R1818="Trùng"),"",COUNTIFS(ORDERS!$C$2:$C$4995,$D1818,ORDERS!$L$2:$L$4995,"Đã chuyển khoản"))</f>
        <v/>
      </c>
      <c r="X1818" s="23">
        <f>IF(OR($D1818="",$R1818="Trùng"),"",SUMIFS(ORDERS!$J$2:$J$4995,ORDERS!$C$2:$C$4995,$D1818,ORDERS!$L$2:$L$4995,"Đã chuyển khoản"))</f>
        <v/>
      </c>
      <c r="Y1818" s="24" t="n"/>
    </row>
    <row r="1819" ht="14.25" customHeight="1" s="40">
      <c r="A1819" s="24" t="n"/>
      <c r="B1819" s="27" t="n"/>
      <c r="C1819" s="24" t="n"/>
      <c r="D1819" s="28" t="n"/>
      <c r="E1819" s="29" t="n"/>
      <c r="F1819" s="24" t="n"/>
      <c r="G1819" s="24" t="n"/>
      <c r="H1819" s="21">
        <f>IF(ISNUMBER($B1819),INT($B1819)-WEEKDAY($B1819,2)+1,"")</f>
        <v/>
      </c>
      <c r="I1819" s="24" t="n"/>
      <c r="J1819" s="22">
        <f t="array" ref="J1819">IF($D1819="","",IF($I1819="","(trống REF)",IFERROR(INDEX(MASTER_SOURCE!$B$2:$B$495,MATCH($I1819,MASTER_SOURCE!$A$2:$A$495,0)),"(REF không có trong MASTER_SOURCE)")))</f>
        <v/>
      </c>
      <c r="K1819" s="22">
        <f t="array" ref="K1819">IF($D1819="","",IFERROR(INDEX(MASTER_SOURCE!$C$2:$C$495,MATCH($I1819,MASTER_SOURCE!$A$2:$A$495,0)),""))</f>
        <v/>
      </c>
      <c r="L1819" s="22">
        <f t="array" ref="L1819">IF($D1819="","",IFERROR(INDEX(MASTER_SOURCE!$D$2:$D$495,MATCH($I1819,MASTER_SOURCE!$A$2:$A$495,0)),""))</f>
        <v/>
      </c>
      <c r="M1819" s="24" t="n"/>
      <c r="N1819" s="24" t="n"/>
      <c r="O1819" s="24" t="n"/>
      <c r="P1819" s="24" t="n"/>
      <c r="Q1819" s="22">
        <f>IF($D1819="","",IF(AND(OR(DANH_MUC!$L$5&lt;&gt;"Có",M1819="Có"),OR(DANH_MUC!$L$6&lt;&gt;"Có",N1819="Có"),OR(DANH_MUC!$L$7&lt;&gt;"Có",O1819="Có"),OR(DANH_MUC!$L$8&lt;&gt;"Có",P1819="Có")),"Có","Không"))</f>
        <v/>
      </c>
      <c r="R1819" s="22">
        <f>IF($D1819="","",IF(COUNTIF($D$2:$D1819,$D1819)&gt;1,"Trùng",""))</f>
        <v/>
      </c>
      <c r="S1819" s="22">
        <f>IF($D1819="","",IF(AND(LEN($D1819)=10,LEFT($D1819,1)="0",ISNUMBER(--$D1819)),"Có","Không"))</f>
        <v/>
      </c>
      <c r="T1819" s="22">
        <f>IF($D1819="","",IF(AND($C1819&lt;&gt;"",$Q1819="Có",$R1819="",$S1819="Có",AND($L1819&lt;&gt;"",OR($L1819&lt;&gt;"Chưa xác định",DANH_MUC!$L$9="Có"))),"Có","Không"))</f>
        <v/>
      </c>
      <c r="U1819" s="22">
        <f>IF(OR($D1819="",$T1819="Có"),"",IF($C1819="","Thiếu họ tên; ","")&amp;IF($S1819&lt;&gt;"Có","SĐT sai định dạng; ","")&amp;IF($R1819="Trùng","Trùng SĐT; ","")&amp;IF($Q1819&lt;&gt;"Có","Thiếu đồng ý bắt buộc; ","")&amp;IF($L1819="","Thiếu/sai Mã REF; ",IF(AND($L1819="Chưa xác định",DANH_MUC!$L$9&lt;&gt;"Có"),"Nguồn chưa xác định; ","")))</f>
        <v/>
      </c>
      <c r="V1819" s="22">
        <f>IF(OR($D1819="",$R1819="Trùng"),"",IF(COUNTIF(ORDERS!$C$2:$C$4995,$D1819)&gt;0,"Có","Không"))</f>
        <v/>
      </c>
      <c r="W1819" s="22">
        <f>IF(OR($D1819="",$R1819="Trùng"),"",COUNTIFS(ORDERS!$C$2:$C$4995,$D1819,ORDERS!$L$2:$L$4995,"Đã chuyển khoản"))</f>
        <v/>
      </c>
      <c r="X1819" s="23">
        <f>IF(OR($D1819="",$R1819="Trùng"),"",SUMIFS(ORDERS!$J$2:$J$4995,ORDERS!$C$2:$C$4995,$D1819,ORDERS!$L$2:$L$4995,"Đã chuyển khoản"))</f>
        <v/>
      </c>
      <c r="Y1819" s="24" t="n"/>
    </row>
    <row r="1820" ht="14.25" customHeight="1" s="40">
      <c r="A1820" s="24" t="n"/>
      <c r="B1820" s="27" t="n"/>
      <c r="C1820" s="24" t="n"/>
      <c r="D1820" s="28" t="n"/>
      <c r="E1820" s="29" t="n"/>
      <c r="F1820" s="24" t="n"/>
      <c r="G1820" s="24" t="n"/>
      <c r="H1820" s="21">
        <f>IF(ISNUMBER($B1820),INT($B1820)-WEEKDAY($B1820,2)+1,"")</f>
        <v/>
      </c>
      <c r="I1820" s="24" t="n"/>
      <c r="J1820" s="22">
        <f t="array" ref="J1820">IF($D1820="","",IF($I1820="","(trống REF)",IFERROR(INDEX(MASTER_SOURCE!$B$2:$B$495,MATCH($I1820,MASTER_SOURCE!$A$2:$A$495,0)),"(REF không có trong MASTER_SOURCE)")))</f>
        <v/>
      </c>
      <c r="K1820" s="22">
        <f t="array" ref="K1820">IF($D1820="","",IFERROR(INDEX(MASTER_SOURCE!$C$2:$C$495,MATCH($I1820,MASTER_SOURCE!$A$2:$A$495,0)),""))</f>
        <v/>
      </c>
      <c r="L1820" s="22">
        <f t="array" ref="L1820">IF($D1820="","",IFERROR(INDEX(MASTER_SOURCE!$D$2:$D$495,MATCH($I1820,MASTER_SOURCE!$A$2:$A$495,0)),""))</f>
        <v/>
      </c>
      <c r="M1820" s="24" t="n"/>
      <c r="N1820" s="24" t="n"/>
      <c r="O1820" s="24" t="n"/>
      <c r="P1820" s="24" t="n"/>
      <c r="Q1820" s="22">
        <f>IF($D1820="","",IF(AND(OR(DANH_MUC!$L$5&lt;&gt;"Có",M1820="Có"),OR(DANH_MUC!$L$6&lt;&gt;"Có",N1820="Có"),OR(DANH_MUC!$L$7&lt;&gt;"Có",O1820="Có"),OR(DANH_MUC!$L$8&lt;&gt;"Có",P1820="Có")),"Có","Không"))</f>
        <v/>
      </c>
      <c r="R1820" s="22">
        <f>IF($D1820="","",IF(COUNTIF($D$2:$D1820,$D1820)&gt;1,"Trùng",""))</f>
        <v/>
      </c>
      <c r="S1820" s="22">
        <f>IF($D1820="","",IF(AND(LEN($D1820)=10,LEFT($D1820,1)="0",ISNUMBER(--$D1820)),"Có","Không"))</f>
        <v/>
      </c>
      <c r="T1820" s="22">
        <f>IF($D1820="","",IF(AND($C1820&lt;&gt;"",$Q1820="Có",$R1820="",$S1820="Có",AND($L1820&lt;&gt;"",OR($L1820&lt;&gt;"Chưa xác định",DANH_MUC!$L$9="Có"))),"Có","Không"))</f>
        <v/>
      </c>
      <c r="U1820" s="22">
        <f>IF(OR($D1820="",$T1820="Có"),"",IF($C1820="","Thiếu họ tên; ","")&amp;IF($S1820&lt;&gt;"Có","SĐT sai định dạng; ","")&amp;IF($R1820="Trùng","Trùng SĐT; ","")&amp;IF($Q1820&lt;&gt;"Có","Thiếu đồng ý bắt buộc; ","")&amp;IF($L1820="","Thiếu/sai Mã REF; ",IF(AND($L1820="Chưa xác định",DANH_MUC!$L$9&lt;&gt;"Có"),"Nguồn chưa xác định; ","")))</f>
        <v/>
      </c>
      <c r="V1820" s="22">
        <f>IF(OR($D1820="",$R1820="Trùng"),"",IF(COUNTIF(ORDERS!$C$2:$C$4995,$D1820)&gt;0,"Có","Không"))</f>
        <v/>
      </c>
      <c r="W1820" s="22">
        <f>IF(OR($D1820="",$R1820="Trùng"),"",COUNTIFS(ORDERS!$C$2:$C$4995,$D1820,ORDERS!$L$2:$L$4995,"Đã chuyển khoản"))</f>
        <v/>
      </c>
      <c r="X1820" s="23">
        <f>IF(OR($D1820="",$R1820="Trùng"),"",SUMIFS(ORDERS!$J$2:$J$4995,ORDERS!$C$2:$C$4995,$D1820,ORDERS!$L$2:$L$4995,"Đã chuyển khoản"))</f>
        <v/>
      </c>
      <c r="Y1820" s="24" t="n"/>
    </row>
    <row r="1821" ht="14.25" customHeight="1" s="40">
      <c r="A1821" s="24" t="n"/>
      <c r="B1821" s="27" t="n"/>
      <c r="C1821" s="24" t="n"/>
      <c r="D1821" s="28" t="n"/>
      <c r="E1821" s="29" t="n"/>
      <c r="F1821" s="24" t="n"/>
      <c r="G1821" s="24" t="n"/>
      <c r="H1821" s="21">
        <f>IF(ISNUMBER($B1821),INT($B1821)-WEEKDAY($B1821,2)+1,"")</f>
        <v/>
      </c>
      <c r="I1821" s="24" t="n"/>
      <c r="J1821" s="22">
        <f t="array" ref="J1821">IF($D1821="","",IF($I1821="","(trống REF)",IFERROR(INDEX(MASTER_SOURCE!$B$2:$B$495,MATCH($I1821,MASTER_SOURCE!$A$2:$A$495,0)),"(REF không có trong MASTER_SOURCE)")))</f>
        <v/>
      </c>
      <c r="K1821" s="22">
        <f t="array" ref="K1821">IF($D1821="","",IFERROR(INDEX(MASTER_SOURCE!$C$2:$C$495,MATCH($I1821,MASTER_SOURCE!$A$2:$A$495,0)),""))</f>
        <v/>
      </c>
      <c r="L1821" s="22">
        <f t="array" ref="L1821">IF($D1821="","",IFERROR(INDEX(MASTER_SOURCE!$D$2:$D$495,MATCH($I1821,MASTER_SOURCE!$A$2:$A$495,0)),""))</f>
        <v/>
      </c>
      <c r="M1821" s="24" t="n"/>
      <c r="N1821" s="24" t="n"/>
      <c r="O1821" s="24" t="n"/>
      <c r="P1821" s="24" t="n"/>
      <c r="Q1821" s="22">
        <f>IF($D1821="","",IF(AND(OR(DANH_MUC!$L$5&lt;&gt;"Có",M1821="Có"),OR(DANH_MUC!$L$6&lt;&gt;"Có",N1821="Có"),OR(DANH_MUC!$L$7&lt;&gt;"Có",O1821="Có"),OR(DANH_MUC!$L$8&lt;&gt;"Có",P1821="Có")),"Có","Không"))</f>
        <v/>
      </c>
      <c r="R1821" s="22">
        <f>IF($D1821="","",IF(COUNTIF($D$2:$D1821,$D1821)&gt;1,"Trùng",""))</f>
        <v/>
      </c>
      <c r="S1821" s="22">
        <f>IF($D1821="","",IF(AND(LEN($D1821)=10,LEFT($D1821,1)="0",ISNUMBER(--$D1821)),"Có","Không"))</f>
        <v/>
      </c>
      <c r="T1821" s="22">
        <f>IF($D1821="","",IF(AND($C1821&lt;&gt;"",$Q1821="Có",$R1821="",$S1821="Có",AND($L1821&lt;&gt;"",OR($L1821&lt;&gt;"Chưa xác định",DANH_MUC!$L$9="Có"))),"Có","Không"))</f>
        <v/>
      </c>
      <c r="U1821" s="22">
        <f>IF(OR($D1821="",$T1821="Có"),"",IF($C1821="","Thiếu họ tên; ","")&amp;IF($S1821&lt;&gt;"Có","SĐT sai định dạng; ","")&amp;IF($R1821="Trùng","Trùng SĐT; ","")&amp;IF($Q1821&lt;&gt;"Có","Thiếu đồng ý bắt buộc; ","")&amp;IF($L1821="","Thiếu/sai Mã REF; ",IF(AND($L1821="Chưa xác định",DANH_MUC!$L$9&lt;&gt;"Có"),"Nguồn chưa xác định; ","")))</f>
        <v/>
      </c>
      <c r="V1821" s="22">
        <f>IF(OR($D1821="",$R1821="Trùng"),"",IF(COUNTIF(ORDERS!$C$2:$C$4995,$D1821)&gt;0,"Có","Không"))</f>
        <v/>
      </c>
      <c r="W1821" s="22">
        <f>IF(OR($D1821="",$R1821="Trùng"),"",COUNTIFS(ORDERS!$C$2:$C$4995,$D1821,ORDERS!$L$2:$L$4995,"Đã chuyển khoản"))</f>
        <v/>
      </c>
      <c r="X1821" s="23">
        <f>IF(OR($D1821="",$R1821="Trùng"),"",SUMIFS(ORDERS!$J$2:$J$4995,ORDERS!$C$2:$C$4995,$D1821,ORDERS!$L$2:$L$4995,"Đã chuyển khoản"))</f>
        <v/>
      </c>
      <c r="Y1821" s="24" t="n"/>
    </row>
    <row r="1822" ht="14.25" customHeight="1" s="40">
      <c r="A1822" s="24" t="n"/>
      <c r="B1822" s="27" t="n"/>
      <c r="C1822" s="24" t="n"/>
      <c r="D1822" s="28" t="n"/>
      <c r="E1822" s="29" t="n"/>
      <c r="F1822" s="24" t="n"/>
      <c r="G1822" s="24" t="n"/>
      <c r="H1822" s="21">
        <f>IF(ISNUMBER($B1822),INT($B1822)-WEEKDAY($B1822,2)+1,"")</f>
        <v/>
      </c>
      <c r="I1822" s="24" t="n"/>
      <c r="J1822" s="22">
        <f t="array" ref="J1822">IF($D1822="","",IF($I1822="","(trống REF)",IFERROR(INDEX(MASTER_SOURCE!$B$2:$B$495,MATCH($I1822,MASTER_SOURCE!$A$2:$A$495,0)),"(REF không có trong MASTER_SOURCE)")))</f>
        <v/>
      </c>
      <c r="K1822" s="22">
        <f t="array" ref="K1822">IF($D1822="","",IFERROR(INDEX(MASTER_SOURCE!$C$2:$C$495,MATCH($I1822,MASTER_SOURCE!$A$2:$A$495,0)),""))</f>
        <v/>
      </c>
      <c r="L1822" s="22">
        <f t="array" ref="L1822">IF($D1822="","",IFERROR(INDEX(MASTER_SOURCE!$D$2:$D$495,MATCH($I1822,MASTER_SOURCE!$A$2:$A$495,0)),""))</f>
        <v/>
      </c>
      <c r="M1822" s="24" t="n"/>
      <c r="N1822" s="24" t="n"/>
      <c r="O1822" s="24" t="n"/>
      <c r="P1822" s="24" t="n"/>
      <c r="Q1822" s="22">
        <f>IF($D1822="","",IF(AND(OR(DANH_MUC!$L$5&lt;&gt;"Có",M1822="Có"),OR(DANH_MUC!$L$6&lt;&gt;"Có",N1822="Có"),OR(DANH_MUC!$L$7&lt;&gt;"Có",O1822="Có"),OR(DANH_MUC!$L$8&lt;&gt;"Có",P1822="Có")),"Có","Không"))</f>
        <v/>
      </c>
      <c r="R1822" s="22">
        <f>IF($D1822="","",IF(COUNTIF($D$2:$D1822,$D1822)&gt;1,"Trùng",""))</f>
        <v/>
      </c>
      <c r="S1822" s="22">
        <f>IF($D1822="","",IF(AND(LEN($D1822)=10,LEFT($D1822,1)="0",ISNUMBER(--$D1822)),"Có","Không"))</f>
        <v/>
      </c>
      <c r="T1822" s="22">
        <f>IF($D1822="","",IF(AND($C1822&lt;&gt;"",$Q1822="Có",$R1822="",$S1822="Có",AND($L1822&lt;&gt;"",OR($L1822&lt;&gt;"Chưa xác định",DANH_MUC!$L$9="Có"))),"Có","Không"))</f>
        <v/>
      </c>
      <c r="U1822" s="22">
        <f>IF(OR($D1822="",$T1822="Có"),"",IF($C1822="","Thiếu họ tên; ","")&amp;IF($S1822&lt;&gt;"Có","SĐT sai định dạng; ","")&amp;IF($R1822="Trùng","Trùng SĐT; ","")&amp;IF($Q1822&lt;&gt;"Có","Thiếu đồng ý bắt buộc; ","")&amp;IF($L1822="","Thiếu/sai Mã REF; ",IF(AND($L1822="Chưa xác định",DANH_MUC!$L$9&lt;&gt;"Có"),"Nguồn chưa xác định; ","")))</f>
        <v/>
      </c>
      <c r="V1822" s="22">
        <f>IF(OR($D1822="",$R1822="Trùng"),"",IF(COUNTIF(ORDERS!$C$2:$C$4995,$D1822)&gt;0,"Có","Không"))</f>
        <v/>
      </c>
      <c r="W1822" s="22">
        <f>IF(OR($D1822="",$R1822="Trùng"),"",COUNTIFS(ORDERS!$C$2:$C$4995,$D1822,ORDERS!$L$2:$L$4995,"Đã chuyển khoản"))</f>
        <v/>
      </c>
      <c r="X1822" s="23">
        <f>IF(OR($D1822="",$R1822="Trùng"),"",SUMIFS(ORDERS!$J$2:$J$4995,ORDERS!$C$2:$C$4995,$D1822,ORDERS!$L$2:$L$4995,"Đã chuyển khoản"))</f>
        <v/>
      </c>
      <c r="Y1822" s="24" t="n"/>
    </row>
    <row r="1823" ht="14.25" customHeight="1" s="40">
      <c r="A1823" s="24" t="n"/>
      <c r="B1823" s="27" t="n"/>
      <c r="C1823" s="24" t="n"/>
      <c r="D1823" s="28" t="n"/>
      <c r="E1823" s="29" t="n"/>
      <c r="F1823" s="24" t="n"/>
      <c r="G1823" s="24" t="n"/>
      <c r="H1823" s="21">
        <f>IF(ISNUMBER($B1823),INT($B1823)-WEEKDAY($B1823,2)+1,"")</f>
        <v/>
      </c>
      <c r="I1823" s="24" t="n"/>
      <c r="J1823" s="22">
        <f t="array" ref="J1823">IF($D1823="","",IF($I1823="","(trống REF)",IFERROR(INDEX(MASTER_SOURCE!$B$2:$B$495,MATCH($I1823,MASTER_SOURCE!$A$2:$A$495,0)),"(REF không có trong MASTER_SOURCE)")))</f>
        <v/>
      </c>
      <c r="K1823" s="22">
        <f t="array" ref="K1823">IF($D1823="","",IFERROR(INDEX(MASTER_SOURCE!$C$2:$C$495,MATCH($I1823,MASTER_SOURCE!$A$2:$A$495,0)),""))</f>
        <v/>
      </c>
      <c r="L1823" s="22">
        <f t="array" ref="L1823">IF($D1823="","",IFERROR(INDEX(MASTER_SOURCE!$D$2:$D$495,MATCH($I1823,MASTER_SOURCE!$A$2:$A$495,0)),""))</f>
        <v/>
      </c>
      <c r="M1823" s="24" t="n"/>
      <c r="N1823" s="24" t="n"/>
      <c r="O1823" s="24" t="n"/>
      <c r="P1823" s="24" t="n"/>
      <c r="Q1823" s="22">
        <f>IF($D1823="","",IF(AND(OR(DANH_MUC!$L$5&lt;&gt;"Có",M1823="Có"),OR(DANH_MUC!$L$6&lt;&gt;"Có",N1823="Có"),OR(DANH_MUC!$L$7&lt;&gt;"Có",O1823="Có"),OR(DANH_MUC!$L$8&lt;&gt;"Có",P1823="Có")),"Có","Không"))</f>
        <v/>
      </c>
      <c r="R1823" s="22">
        <f>IF($D1823="","",IF(COUNTIF($D$2:$D1823,$D1823)&gt;1,"Trùng",""))</f>
        <v/>
      </c>
      <c r="S1823" s="22">
        <f>IF($D1823="","",IF(AND(LEN($D1823)=10,LEFT($D1823,1)="0",ISNUMBER(--$D1823)),"Có","Không"))</f>
        <v/>
      </c>
      <c r="T1823" s="22">
        <f>IF($D1823="","",IF(AND($C1823&lt;&gt;"",$Q1823="Có",$R1823="",$S1823="Có",AND($L1823&lt;&gt;"",OR($L1823&lt;&gt;"Chưa xác định",DANH_MUC!$L$9="Có"))),"Có","Không"))</f>
        <v/>
      </c>
      <c r="U1823" s="22">
        <f>IF(OR($D1823="",$T1823="Có"),"",IF($C1823="","Thiếu họ tên; ","")&amp;IF($S1823&lt;&gt;"Có","SĐT sai định dạng; ","")&amp;IF($R1823="Trùng","Trùng SĐT; ","")&amp;IF($Q1823&lt;&gt;"Có","Thiếu đồng ý bắt buộc; ","")&amp;IF($L1823="","Thiếu/sai Mã REF; ",IF(AND($L1823="Chưa xác định",DANH_MUC!$L$9&lt;&gt;"Có"),"Nguồn chưa xác định; ","")))</f>
        <v/>
      </c>
      <c r="V1823" s="22">
        <f>IF(OR($D1823="",$R1823="Trùng"),"",IF(COUNTIF(ORDERS!$C$2:$C$4995,$D1823)&gt;0,"Có","Không"))</f>
        <v/>
      </c>
      <c r="W1823" s="22">
        <f>IF(OR($D1823="",$R1823="Trùng"),"",COUNTIFS(ORDERS!$C$2:$C$4995,$D1823,ORDERS!$L$2:$L$4995,"Đã chuyển khoản"))</f>
        <v/>
      </c>
      <c r="X1823" s="23">
        <f>IF(OR($D1823="",$R1823="Trùng"),"",SUMIFS(ORDERS!$J$2:$J$4995,ORDERS!$C$2:$C$4995,$D1823,ORDERS!$L$2:$L$4995,"Đã chuyển khoản"))</f>
        <v/>
      </c>
      <c r="Y1823" s="24" t="n"/>
    </row>
    <row r="1824" ht="14.25" customHeight="1" s="40">
      <c r="A1824" s="24" t="n"/>
      <c r="B1824" s="27" t="n"/>
      <c r="C1824" s="24" t="n"/>
      <c r="D1824" s="28" t="n"/>
      <c r="E1824" s="29" t="n"/>
      <c r="F1824" s="24" t="n"/>
      <c r="G1824" s="24" t="n"/>
      <c r="H1824" s="21">
        <f>IF(ISNUMBER($B1824),INT($B1824)-WEEKDAY($B1824,2)+1,"")</f>
        <v/>
      </c>
      <c r="I1824" s="24" t="n"/>
      <c r="J1824" s="22">
        <f t="array" ref="J1824">IF($D1824="","",IF($I1824="","(trống REF)",IFERROR(INDEX(MASTER_SOURCE!$B$2:$B$495,MATCH($I1824,MASTER_SOURCE!$A$2:$A$495,0)),"(REF không có trong MASTER_SOURCE)")))</f>
        <v/>
      </c>
      <c r="K1824" s="22">
        <f t="array" ref="K1824">IF($D1824="","",IFERROR(INDEX(MASTER_SOURCE!$C$2:$C$495,MATCH($I1824,MASTER_SOURCE!$A$2:$A$495,0)),""))</f>
        <v/>
      </c>
      <c r="L1824" s="22">
        <f t="array" ref="L1824">IF($D1824="","",IFERROR(INDEX(MASTER_SOURCE!$D$2:$D$495,MATCH($I1824,MASTER_SOURCE!$A$2:$A$495,0)),""))</f>
        <v/>
      </c>
      <c r="M1824" s="24" t="n"/>
      <c r="N1824" s="24" t="n"/>
      <c r="O1824" s="24" t="n"/>
      <c r="P1824" s="24" t="n"/>
      <c r="Q1824" s="22">
        <f>IF($D1824="","",IF(AND(OR(DANH_MUC!$L$5&lt;&gt;"Có",M1824="Có"),OR(DANH_MUC!$L$6&lt;&gt;"Có",N1824="Có"),OR(DANH_MUC!$L$7&lt;&gt;"Có",O1824="Có"),OR(DANH_MUC!$L$8&lt;&gt;"Có",P1824="Có")),"Có","Không"))</f>
        <v/>
      </c>
      <c r="R1824" s="22">
        <f>IF($D1824="","",IF(COUNTIF($D$2:$D1824,$D1824)&gt;1,"Trùng",""))</f>
        <v/>
      </c>
      <c r="S1824" s="22">
        <f>IF($D1824="","",IF(AND(LEN($D1824)=10,LEFT($D1824,1)="0",ISNUMBER(--$D1824)),"Có","Không"))</f>
        <v/>
      </c>
      <c r="T1824" s="22">
        <f>IF($D1824="","",IF(AND($C1824&lt;&gt;"",$Q1824="Có",$R1824="",$S1824="Có",AND($L1824&lt;&gt;"",OR($L1824&lt;&gt;"Chưa xác định",DANH_MUC!$L$9="Có"))),"Có","Không"))</f>
        <v/>
      </c>
      <c r="U1824" s="22">
        <f>IF(OR($D1824="",$T1824="Có"),"",IF($C1824="","Thiếu họ tên; ","")&amp;IF($S1824&lt;&gt;"Có","SĐT sai định dạng; ","")&amp;IF($R1824="Trùng","Trùng SĐT; ","")&amp;IF($Q1824&lt;&gt;"Có","Thiếu đồng ý bắt buộc; ","")&amp;IF($L1824="","Thiếu/sai Mã REF; ",IF(AND($L1824="Chưa xác định",DANH_MUC!$L$9&lt;&gt;"Có"),"Nguồn chưa xác định; ","")))</f>
        <v/>
      </c>
      <c r="V1824" s="22">
        <f>IF(OR($D1824="",$R1824="Trùng"),"",IF(COUNTIF(ORDERS!$C$2:$C$4995,$D1824)&gt;0,"Có","Không"))</f>
        <v/>
      </c>
      <c r="W1824" s="22">
        <f>IF(OR($D1824="",$R1824="Trùng"),"",COUNTIFS(ORDERS!$C$2:$C$4995,$D1824,ORDERS!$L$2:$L$4995,"Đã chuyển khoản"))</f>
        <v/>
      </c>
      <c r="X1824" s="23">
        <f>IF(OR($D1824="",$R1824="Trùng"),"",SUMIFS(ORDERS!$J$2:$J$4995,ORDERS!$C$2:$C$4995,$D1824,ORDERS!$L$2:$L$4995,"Đã chuyển khoản"))</f>
        <v/>
      </c>
      <c r="Y1824" s="24" t="n"/>
    </row>
    <row r="1825" ht="14.25" customHeight="1" s="40">
      <c r="A1825" s="24" t="n"/>
      <c r="B1825" s="27" t="n"/>
      <c r="C1825" s="24" t="n"/>
      <c r="D1825" s="28" t="n"/>
      <c r="E1825" s="29" t="n"/>
      <c r="F1825" s="24" t="n"/>
      <c r="G1825" s="24" t="n"/>
      <c r="H1825" s="21">
        <f>IF(ISNUMBER($B1825),INT($B1825)-WEEKDAY($B1825,2)+1,"")</f>
        <v/>
      </c>
      <c r="I1825" s="24" t="n"/>
      <c r="J1825" s="22">
        <f t="array" ref="J1825">IF($D1825="","",IF($I1825="","(trống REF)",IFERROR(INDEX(MASTER_SOURCE!$B$2:$B$495,MATCH($I1825,MASTER_SOURCE!$A$2:$A$495,0)),"(REF không có trong MASTER_SOURCE)")))</f>
        <v/>
      </c>
      <c r="K1825" s="22">
        <f t="array" ref="K1825">IF($D1825="","",IFERROR(INDEX(MASTER_SOURCE!$C$2:$C$495,MATCH($I1825,MASTER_SOURCE!$A$2:$A$495,0)),""))</f>
        <v/>
      </c>
      <c r="L1825" s="22">
        <f t="array" ref="L1825">IF($D1825="","",IFERROR(INDEX(MASTER_SOURCE!$D$2:$D$495,MATCH($I1825,MASTER_SOURCE!$A$2:$A$495,0)),""))</f>
        <v/>
      </c>
      <c r="M1825" s="24" t="n"/>
      <c r="N1825" s="24" t="n"/>
      <c r="O1825" s="24" t="n"/>
      <c r="P1825" s="24" t="n"/>
      <c r="Q1825" s="22">
        <f>IF($D1825="","",IF(AND(OR(DANH_MUC!$L$5&lt;&gt;"Có",M1825="Có"),OR(DANH_MUC!$L$6&lt;&gt;"Có",N1825="Có"),OR(DANH_MUC!$L$7&lt;&gt;"Có",O1825="Có"),OR(DANH_MUC!$L$8&lt;&gt;"Có",P1825="Có")),"Có","Không"))</f>
        <v/>
      </c>
      <c r="R1825" s="22">
        <f>IF($D1825="","",IF(COUNTIF($D$2:$D1825,$D1825)&gt;1,"Trùng",""))</f>
        <v/>
      </c>
      <c r="S1825" s="22">
        <f>IF($D1825="","",IF(AND(LEN($D1825)=10,LEFT($D1825,1)="0",ISNUMBER(--$D1825)),"Có","Không"))</f>
        <v/>
      </c>
      <c r="T1825" s="22">
        <f>IF($D1825="","",IF(AND($C1825&lt;&gt;"",$Q1825="Có",$R1825="",$S1825="Có",AND($L1825&lt;&gt;"",OR($L1825&lt;&gt;"Chưa xác định",DANH_MUC!$L$9="Có"))),"Có","Không"))</f>
        <v/>
      </c>
      <c r="U1825" s="22">
        <f>IF(OR($D1825="",$T1825="Có"),"",IF($C1825="","Thiếu họ tên; ","")&amp;IF($S1825&lt;&gt;"Có","SĐT sai định dạng; ","")&amp;IF($R1825="Trùng","Trùng SĐT; ","")&amp;IF($Q1825&lt;&gt;"Có","Thiếu đồng ý bắt buộc; ","")&amp;IF($L1825="","Thiếu/sai Mã REF; ",IF(AND($L1825="Chưa xác định",DANH_MUC!$L$9&lt;&gt;"Có"),"Nguồn chưa xác định; ","")))</f>
        <v/>
      </c>
      <c r="V1825" s="22">
        <f>IF(OR($D1825="",$R1825="Trùng"),"",IF(COUNTIF(ORDERS!$C$2:$C$4995,$D1825)&gt;0,"Có","Không"))</f>
        <v/>
      </c>
      <c r="W1825" s="22">
        <f>IF(OR($D1825="",$R1825="Trùng"),"",COUNTIFS(ORDERS!$C$2:$C$4995,$D1825,ORDERS!$L$2:$L$4995,"Đã chuyển khoản"))</f>
        <v/>
      </c>
      <c r="X1825" s="23">
        <f>IF(OR($D1825="",$R1825="Trùng"),"",SUMIFS(ORDERS!$J$2:$J$4995,ORDERS!$C$2:$C$4995,$D1825,ORDERS!$L$2:$L$4995,"Đã chuyển khoản"))</f>
        <v/>
      </c>
      <c r="Y1825" s="24" t="n"/>
    </row>
    <row r="1826" ht="14.25" customHeight="1" s="40">
      <c r="A1826" s="24" t="n"/>
      <c r="B1826" s="27" t="n"/>
      <c r="C1826" s="24" t="n"/>
      <c r="D1826" s="28" t="n"/>
      <c r="E1826" s="29" t="n"/>
      <c r="F1826" s="24" t="n"/>
      <c r="G1826" s="24" t="n"/>
      <c r="H1826" s="21">
        <f>IF(ISNUMBER($B1826),INT($B1826)-WEEKDAY($B1826,2)+1,"")</f>
        <v/>
      </c>
      <c r="I1826" s="24" t="n"/>
      <c r="J1826" s="22">
        <f t="array" ref="J1826">IF($D1826="","",IF($I1826="","(trống REF)",IFERROR(INDEX(MASTER_SOURCE!$B$2:$B$495,MATCH($I1826,MASTER_SOURCE!$A$2:$A$495,0)),"(REF không có trong MASTER_SOURCE)")))</f>
        <v/>
      </c>
      <c r="K1826" s="22">
        <f t="array" ref="K1826">IF($D1826="","",IFERROR(INDEX(MASTER_SOURCE!$C$2:$C$495,MATCH($I1826,MASTER_SOURCE!$A$2:$A$495,0)),""))</f>
        <v/>
      </c>
      <c r="L1826" s="22">
        <f t="array" ref="L1826">IF($D1826="","",IFERROR(INDEX(MASTER_SOURCE!$D$2:$D$495,MATCH($I1826,MASTER_SOURCE!$A$2:$A$495,0)),""))</f>
        <v/>
      </c>
      <c r="M1826" s="24" t="n"/>
      <c r="N1826" s="24" t="n"/>
      <c r="O1826" s="24" t="n"/>
      <c r="P1826" s="24" t="n"/>
      <c r="Q1826" s="22">
        <f>IF($D1826="","",IF(AND(OR(DANH_MUC!$L$5&lt;&gt;"Có",M1826="Có"),OR(DANH_MUC!$L$6&lt;&gt;"Có",N1826="Có"),OR(DANH_MUC!$L$7&lt;&gt;"Có",O1826="Có"),OR(DANH_MUC!$L$8&lt;&gt;"Có",P1826="Có")),"Có","Không"))</f>
        <v/>
      </c>
      <c r="R1826" s="22">
        <f>IF($D1826="","",IF(COUNTIF($D$2:$D1826,$D1826)&gt;1,"Trùng",""))</f>
        <v/>
      </c>
      <c r="S1826" s="22">
        <f>IF($D1826="","",IF(AND(LEN($D1826)=10,LEFT($D1826,1)="0",ISNUMBER(--$D1826)),"Có","Không"))</f>
        <v/>
      </c>
      <c r="T1826" s="22">
        <f>IF($D1826="","",IF(AND($C1826&lt;&gt;"",$Q1826="Có",$R1826="",$S1826="Có",AND($L1826&lt;&gt;"",OR($L1826&lt;&gt;"Chưa xác định",DANH_MUC!$L$9="Có"))),"Có","Không"))</f>
        <v/>
      </c>
      <c r="U1826" s="22">
        <f>IF(OR($D1826="",$T1826="Có"),"",IF($C1826="","Thiếu họ tên; ","")&amp;IF($S1826&lt;&gt;"Có","SĐT sai định dạng; ","")&amp;IF($R1826="Trùng","Trùng SĐT; ","")&amp;IF($Q1826&lt;&gt;"Có","Thiếu đồng ý bắt buộc; ","")&amp;IF($L1826="","Thiếu/sai Mã REF; ",IF(AND($L1826="Chưa xác định",DANH_MUC!$L$9&lt;&gt;"Có"),"Nguồn chưa xác định; ","")))</f>
        <v/>
      </c>
      <c r="V1826" s="22">
        <f>IF(OR($D1826="",$R1826="Trùng"),"",IF(COUNTIF(ORDERS!$C$2:$C$4995,$D1826)&gt;0,"Có","Không"))</f>
        <v/>
      </c>
      <c r="W1826" s="22">
        <f>IF(OR($D1826="",$R1826="Trùng"),"",COUNTIFS(ORDERS!$C$2:$C$4995,$D1826,ORDERS!$L$2:$L$4995,"Đã chuyển khoản"))</f>
        <v/>
      </c>
      <c r="X1826" s="23">
        <f>IF(OR($D1826="",$R1826="Trùng"),"",SUMIFS(ORDERS!$J$2:$J$4995,ORDERS!$C$2:$C$4995,$D1826,ORDERS!$L$2:$L$4995,"Đã chuyển khoản"))</f>
        <v/>
      </c>
      <c r="Y1826" s="24" t="n"/>
    </row>
    <row r="1827" ht="14.25" customHeight="1" s="40">
      <c r="A1827" s="24" t="n"/>
      <c r="B1827" s="27" t="n"/>
      <c r="C1827" s="24" t="n"/>
      <c r="D1827" s="28" t="n"/>
      <c r="E1827" s="29" t="n"/>
      <c r="F1827" s="24" t="n"/>
      <c r="G1827" s="24" t="n"/>
      <c r="H1827" s="21">
        <f>IF(ISNUMBER($B1827),INT($B1827)-WEEKDAY($B1827,2)+1,"")</f>
        <v/>
      </c>
      <c r="I1827" s="24" t="n"/>
      <c r="J1827" s="22">
        <f t="array" ref="J1827">IF($D1827="","",IF($I1827="","(trống REF)",IFERROR(INDEX(MASTER_SOURCE!$B$2:$B$495,MATCH($I1827,MASTER_SOURCE!$A$2:$A$495,0)),"(REF không có trong MASTER_SOURCE)")))</f>
        <v/>
      </c>
      <c r="K1827" s="22">
        <f t="array" ref="K1827">IF($D1827="","",IFERROR(INDEX(MASTER_SOURCE!$C$2:$C$495,MATCH($I1827,MASTER_SOURCE!$A$2:$A$495,0)),""))</f>
        <v/>
      </c>
      <c r="L1827" s="22">
        <f t="array" ref="L1827">IF($D1827="","",IFERROR(INDEX(MASTER_SOURCE!$D$2:$D$495,MATCH($I1827,MASTER_SOURCE!$A$2:$A$495,0)),""))</f>
        <v/>
      </c>
      <c r="M1827" s="24" t="n"/>
      <c r="N1827" s="24" t="n"/>
      <c r="O1827" s="24" t="n"/>
      <c r="P1827" s="24" t="n"/>
      <c r="Q1827" s="22">
        <f>IF($D1827="","",IF(AND(OR(DANH_MUC!$L$5&lt;&gt;"Có",M1827="Có"),OR(DANH_MUC!$L$6&lt;&gt;"Có",N1827="Có"),OR(DANH_MUC!$L$7&lt;&gt;"Có",O1827="Có"),OR(DANH_MUC!$L$8&lt;&gt;"Có",P1827="Có")),"Có","Không"))</f>
        <v/>
      </c>
      <c r="R1827" s="22">
        <f>IF($D1827="","",IF(COUNTIF($D$2:$D1827,$D1827)&gt;1,"Trùng",""))</f>
        <v/>
      </c>
      <c r="S1827" s="22">
        <f>IF($D1827="","",IF(AND(LEN($D1827)=10,LEFT($D1827,1)="0",ISNUMBER(--$D1827)),"Có","Không"))</f>
        <v/>
      </c>
      <c r="T1827" s="22">
        <f>IF($D1827="","",IF(AND($C1827&lt;&gt;"",$Q1827="Có",$R1827="",$S1827="Có",AND($L1827&lt;&gt;"",OR($L1827&lt;&gt;"Chưa xác định",DANH_MUC!$L$9="Có"))),"Có","Không"))</f>
        <v/>
      </c>
      <c r="U1827" s="22">
        <f>IF(OR($D1827="",$T1827="Có"),"",IF($C1827="","Thiếu họ tên; ","")&amp;IF($S1827&lt;&gt;"Có","SĐT sai định dạng; ","")&amp;IF($R1827="Trùng","Trùng SĐT; ","")&amp;IF($Q1827&lt;&gt;"Có","Thiếu đồng ý bắt buộc; ","")&amp;IF($L1827="","Thiếu/sai Mã REF; ",IF(AND($L1827="Chưa xác định",DANH_MUC!$L$9&lt;&gt;"Có"),"Nguồn chưa xác định; ","")))</f>
        <v/>
      </c>
      <c r="V1827" s="22">
        <f>IF(OR($D1827="",$R1827="Trùng"),"",IF(COUNTIF(ORDERS!$C$2:$C$4995,$D1827)&gt;0,"Có","Không"))</f>
        <v/>
      </c>
      <c r="W1827" s="22">
        <f>IF(OR($D1827="",$R1827="Trùng"),"",COUNTIFS(ORDERS!$C$2:$C$4995,$D1827,ORDERS!$L$2:$L$4995,"Đã chuyển khoản"))</f>
        <v/>
      </c>
      <c r="X1827" s="23">
        <f>IF(OR($D1827="",$R1827="Trùng"),"",SUMIFS(ORDERS!$J$2:$J$4995,ORDERS!$C$2:$C$4995,$D1827,ORDERS!$L$2:$L$4995,"Đã chuyển khoản"))</f>
        <v/>
      </c>
      <c r="Y1827" s="24" t="n"/>
    </row>
    <row r="1828" ht="14.25" customHeight="1" s="40">
      <c r="A1828" s="24" t="n"/>
      <c r="B1828" s="27" t="n"/>
      <c r="C1828" s="24" t="n"/>
      <c r="D1828" s="28" t="n"/>
      <c r="E1828" s="29" t="n"/>
      <c r="F1828" s="24" t="n"/>
      <c r="G1828" s="24" t="n"/>
      <c r="H1828" s="21">
        <f>IF(ISNUMBER($B1828),INT($B1828)-WEEKDAY($B1828,2)+1,"")</f>
        <v/>
      </c>
      <c r="I1828" s="24" t="n"/>
      <c r="J1828" s="22">
        <f t="array" ref="J1828">IF($D1828="","",IF($I1828="","(trống REF)",IFERROR(INDEX(MASTER_SOURCE!$B$2:$B$495,MATCH($I1828,MASTER_SOURCE!$A$2:$A$495,0)),"(REF không có trong MASTER_SOURCE)")))</f>
        <v/>
      </c>
      <c r="K1828" s="22">
        <f t="array" ref="K1828">IF($D1828="","",IFERROR(INDEX(MASTER_SOURCE!$C$2:$C$495,MATCH($I1828,MASTER_SOURCE!$A$2:$A$495,0)),""))</f>
        <v/>
      </c>
      <c r="L1828" s="22">
        <f t="array" ref="L1828">IF($D1828="","",IFERROR(INDEX(MASTER_SOURCE!$D$2:$D$495,MATCH($I1828,MASTER_SOURCE!$A$2:$A$495,0)),""))</f>
        <v/>
      </c>
      <c r="M1828" s="24" t="n"/>
      <c r="N1828" s="24" t="n"/>
      <c r="O1828" s="24" t="n"/>
      <c r="P1828" s="24" t="n"/>
      <c r="Q1828" s="22">
        <f>IF($D1828="","",IF(AND(OR(DANH_MUC!$L$5&lt;&gt;"Có",M1828="Có"),OR(DANH_MUC!$L$6&lt;&gt;"Có",N1828="Có"),OR(DANH_MUC!$L$7&lt;&gt;"Có",O1828="Có"),OR(DANH_MUC!$L$8&lt;&gt;"Có",P1828="Có")),"Có","Không"))</f>
        <v/>
      </c>
      <c r="R1828" s="22">
        <f>IF($D1828="","",IF(COUNTIF($D$2:$D1828,$D1828)&gt;1,"Trùng",""))</f>
        <v/>
      </c>
      <c r="S1828" s="22">
        <f>IF($D1828="","",IF(AND(LEN($D1828)=10,LEFT($D1828,1)="0",ISNUMBER(--$D1828)),"Có","Không"))</f>
        <v/>
      </c>
      <c r="T1828" s="22">
        <f>IF($D1828="","",IF(AND($C1828&lt;&gt;"",$Q1828="Có",$R1828="",$S1828="Có",AND($L1828&lt;&gt;"",OR($L1828&lt;&gt;"Chưa xác định",DANH_MUC!$L$9="Có"))),"Có","Không"))</f>
        <v/>
      </c>
      <c r="U1828" s="22">
        <f>IF(OR($D1828="",$T1828="Có"),"",IF($C1828="","Thiếu họ tên; ","")&amp;IF($S1828&lt;&gt;"Có","SĐT sai định dạng; ","")&amp;IF($R1828="Trùng","Trùng SĐT; ","")&amp;IF($Q1828&lt;&gt;"Có","Thiếu đồng ý bắt buộc; ","")&amp;IF($L1828="","Thiếu/sai Mã REF; ",IF(AND($L1828="Chưa xác định",DANH_MUC!$L$9&lt;&gt;"Có"),"Nguồn chưa xác định; ","")))</f>
        <v/>
      </c>
      <c r="V1828" s="22">
        <f>IF(OR($D1828="",$R1828="Trùng"),"",IF(COUNTIF(ORDERS!$C$2:$C$4995,$D1828)&gt;0,"Có","Không"))</f>
        <v/>
      </c>
      <c r="W1828" s="22">
        <f>IF(OR($D1828="",$R1828="Trùng"),"",COUNTIFS(ORDERS!$C$2:$C$4995,$D1828,ORDERS!$L$2:$L$4995,"Đã chuyển khoản"))</f>
        <v/>
      </c>
      <c r="X1828" s="23">
        <f>IF(OR($D1828="",$R1828="Trùng"),"",SUMIFS(ORDERS!$J$2:$J$4995,ORDERS!$C$2:$C$4995,$D1828,ORDERS!$L$2:$L$4995,"Đã chuyển khoản"))</f>
        <v/>
      </c>
      <c r="Y1828" s="24" t="n"/>
    </row>
    <row r="1829" ht="14.25" customHeight="1" s="40">
      <c r="A1829" s="24" t="n"/>
      <c r="B1829" s="27" t="n"/>
      <c r="C1829" s="24" t="n"/>
      <c r="D1829" s="28" t="n"/>
      <c r="E1829" s="29" t="n"/>
      <c r="F1829" s="24" t="n"/>
      <c r="G1829" s="24" t="n"/>
      <c r="H1829" s="21">
        <f>IF(ISNUMBER($B1829),INT($B1829)-WEEKDAY($B1829,2)+1,"")</f>
        <v/>
      </c>
      <c r="I1829" s="24" t="n"/>
      <c r="J1829" s="22">
        <f t="array" ref="J1829">IF($D1829="","",IF($I1829="","(trống REF)",IFERROR(INDEX(MASTER_SOURCE!$B$2:$B$495,MATCH($I1829,MASTER_SOURCE!$A$2:$A$495,0)),"(REF không có trong MASTER_SOURCE)")))</f>
        <v/>
      </c>
      <c r="K1829" s="22">
        <f t="array" ref="K1829">IF($D1829="","",IFERROR(INDEX(MASTER_SOURCE!$C$2:$C$495,MATCH($I1829,MASTER_SOURCE!$A$2:$A$495,0)),""))</f>
        <v/>
      </c>
      <c r="L1829" s="22">
        <f t="array" ref="L1829">IF($D1829="","",IFERROR(INDEX(MASTER_SOURCE!$D$2:$D$495,MATCH($I1829,MASTER_SOURCE!$A$2:$A$495,0)),""))</f>
        <v/>
      </c>
      <c r="M1829" s="24" t="n"/>
      <c r="N1829" s="24" t="n"/>
      <c r="O1829" s="24" t="n"/>
      <c r="P1829" s="24" t="n"/>
      <c r="Q1829" s="22">
        <f>IF($D1829="","",IF(AND(OR(DANH_MUC!$L$5&lt;&gt;"Có",M1829="Có"),OR(DANH_MUC!$L$6&lt;&gt;"Có",N1829="Có"),OR(DANH_MUC!$L$7&lt;&gt;"Có",O1829="Có"),OR(DANH_MUC!$L$8&lt;&gt;"Có",P1829="Có")),"Có","Không"))</f>
        <v/>
      </c>
      <c r="R1829" s="22">
        <f>IF($D1829="","",IF(COUNTIF($D$2:$D1829,$D1829)&gt;1,"Trùng",""))</f>
        <v/>
      </c>
      <c r="S1829" s="22">
        <f>IF($D1829="","",IF(AND(LEN($D1829)=10,LEFT($D1829,1)="0",ISNUMBER(--$D1829)),"Có","Không"))</f>
        <v/>
      </c>
      <c r="T1829" s="22">
        <f>IF($D1829="","",IF(AND($C1829&lt;&gt;"",$Q1829="Có",$R1829="",$S1829="Có",AND($L1829&lt;&gt;"",OR($L1829&lt;&gt;"Chưa xác định",DANH_MUC!$L$9="Có"))),"Có","Không"))</f>
        <v/>
      </c>
      <c r="U1829" s="22">
        <f>IF(OR($D1829="",$T1829="Có"),"",IF($C1829="","Thiếu họ tên; ","")&amp;IF($S1829&lt;&gt;"Có","SĐT sai định dạng; ","")&amp;IF($R1829="Trùng","Trùng SĐT; ","")&amp;IF($Q1829&lt;&gt;"Có","Thiếu đồng ý bắt buộc; ","")&amp;IF($L1829="","Thiếu/sai Mã REF; ",IF(AND($L1829="Chưa xác định",DANH_MUC!$L$9&lt;&gt;"Có"),"Nguồn chưa xác định; ","")))</f>
        <v/>
      </c>
      <c r="V1829" s="22">
        <f>IF(OR($D1829="",$R1829="Trùng"),"",IF(COUNTIF(ORDERS!$C$2:$C$4995,$D1829)&gt;0,"Có","Không"))</f>
        <v/>
      </c>
      <c r="W1829" s="22">
        <f>IF(OR($D1829="",$R1829="Trùng"),"",COUNTIFS(ORDERS!$C$2:$C$4995,$D1829,ORDERS!$L$2:$L$4995,"Đã chuyển khoản"))</f>
        <v/>
      </c>
      <c r="X1829" s="23">
        <f>IF(OR($D1829="",$R1829="Trùng"),"",SUMIFS(ORDERS!$J$2:$J$4995,ORDERS!$C$2:$C$4995,$D1829,ORDERS!$L$2:$L$4995,"Đã chuyển khoản"))</f>
        <v/>
      </c>
      <c r="Y1829" s="24" t="n"/>
    </row>
    <row r="1830" ht="14.25" customHeight="1" s="40">
      <c r="A1830" s="24" t="n"/>
      <c r="B1830" s="27" t="n"/>
      <c r="C1830" s="24" t="n"/>
      <c r="D1830" s="28" t="n"/>
      <c r="E1830" s="29" t="n"/>
      <c r="F1830" s="24" t="n"/>
      <c r="G1830" s="24" t="n"/>
      <c r="H1830" s="21">
        <f>IF(ISNUMBER($B1830),INT($B1830)-WEEKDAY($B1830,2)+1,"")</f>
        <v/>
      </c>
      <c r="I1830" s="24" t="n"/>
      <c r="J1830" s="22">
        <f t="array" ref="J1830">IF($D1830="","",IF($I1830="","(trống REF)",IFERROR(INDEX(MASTER_SOURCE!$B$2:$B$495,MATCH($I1830,MASTER_SOURCE!$A$2:$A$495,0)),"(REF không có trong MASTER_SOURCE)")))</f>
        <v/>
      </c>
      <c r="K1830" s="22">
        <f t="array" ref="K1830">IF($D1830="","",IFERROR(INDEX(MASTER_SOURCE!$C$2:$C$495,MATCH($I1830,MASTER_SOURCE!$A$2:$A$495,0)),""))</f>
        <v/>
      </c>
      <c r="L1830" s="22">
        <f t="array" ref="L1830">IF($D1830="","",IFERROR(INDEX(MASTER_SOURCE!$D$2:$D$495,MATCH($I1830,MASTER_SOURCE!$A$2:$A$495,0)),""))</f>
        <v/>
      </c>
      <c r="M1830" s="24" t="n"/>
      <c r="N1830" s="24" t="n"/>
      <c r="O1830" s="24" t="n"/>
      <c r="P1830" s="24" t="n"/>
      <c r="Q1830" s="22">
        <f>IF($D1830="","",IF(AND(OR(DANH_MUC!$L$5&lt;&gt;"Có",M1830="Có"),OR(DANH_MUC!$L$6&lt;&gt;"Có",N1830="Có"),OR(DANH_MUC!$L$7&lt;&gt;"Có",O1830="Có"),OR(DANH_MUC!$L$8&lt;&gt;"Có",P1830="Có")),"Có","Không"))</f>
        <v/>
      </c>
      <c r="R1830" s="22">
        <f>IF($D1830="","",IF(COUNTIF($D$2:$D1830,$D1830)&gt;1,"Trùng",""))</f>
        <v/>
      </c>
      <c r="S1830" s="22">
        <f>IF($D1830="","",IF(AND(LEN($D1830)=10,LEFT($D1830,1)="0",ISNUMBER(--$D1830)),"Có","Không"))</f>
        <v/>
      </c>
      <c r="T1830" s="22">
        <f>IF($D1830="","",IF(AND($C1830&lt;&gt;"",$Q1830="Có",$R1830="",$S1830="Có",AND($L1830&lt;&gt;"",OR($L1830&lt;&gt;"Chưa xác định",DANH_MUC!$L$9="Có"))),"Có","Không"))</f>
        <v/>
      </c>
      <c r="U1830" s="22">
        <f>IF(OR($D1830="",$T1830="Có"),"",IF($C1830="","Thiếu họ tên; ","")&amp;IF($S1830&lt;&gt;"Có","SĐT sai định dạng; ","")&amp;IF($R1830="Trùng","Trùng SĐT; ","")&amp;IF($Q1830&lt;&gt;"Có","Thiếu đồng ý bắt buộc; ","")&amp;IF($L1830="","Thiếu/sai Mã REF; ",IF(AND($L1830="Chưa xác định",DANH_MUC!$L$9&lt;&gt;"Có"),"Nguồn chưa xác định; ","")))</f>
        <v/>
      </c>
      <c r="V1830" s="22">
        <f>IF(OR($D1830="",$R1830="Trùng"),"",IF(COUNTIF(ORDERS!$C$2:$C$4995,$D1830)&gt;0,"Có","Không"))</f>
        <v/>
      </c>
      <c r="W1830" s="22">
        <f>IF(OR($D1830="",$R1830="Trùng"),"",COUNTIFS(ORDERS!$C$2:$C$4995,$D1830,ORDERS!$L$2:$L$4995,"Đã chuyển khoản"))</f>
        <v/>
      </c>
      <c r="X1830" s="23">
        <f>IF(OR($D1830="",$R1830="Trùng"),"",SUMIFS(ORDERS!$J$2:$J$4995,ORDERS!$C$2:$C$4995,$D1830,ORDERS!$L$2:$L$4995,"Đã chuyển khoản"))</f>
        <v/>
      </c>
      <c r="Y1830" s="24" t="n"/>
    </row>
    <row r="1831" ht="14.25" customHeight="1" s="40">
      <c r="A1831" s="24" t="n"/>
      <c r="B1831" s="27" t="n"/>
      <c r="C1831" s="24" t="n"/>
      <c r="D1831" s="28" t="n"/>
      <c r="E1831" s="29" t="n"/>
      <c r="F1831" s="24" t="n"/>
      <c r="G1831" s="24" t="n"/>
      <c r="H1831" s="21">
        <f>IF(ISNUMBER($B1831),INT($B1831)-WEEKDAY($B1831,2)+1,"")</f>
        <v/>
      </c>
      <c r="I1831" s="24" t="n"/>
      <c r="J1831" s="22">
        <f t="array" ref="J1831">IF($D1831="","",IF($I1831="","(trống REF)",IFERROR(INDEX(MASTER_SOURCE!$B$2:$B$495,MATCH($I1831,MASTER_SOURCE!$A$2:$A$495,0)),"(REF không có trong MASTER_SOURCE)")))</f>
        <v/>
      </c>
      <c r="K1831" s="22">
        <f t="array" ref="K1831">IF($D1831="","",IFERROR(INDEX(MASTER_SOURCE!$C$2:$C$495,MATCH($I1831,MASTER_SOURCE!$A$2:$A$495,0)),""))</f>
        <v/>
      </c>
      <c r="L1831" s="22">
        <f t="array" ref="L1831">IF($D1831="","",IFERROR(INDEX(MASTER_SOURCE!$D$2:$D$495,MATCH($I1831,MASTER_SOURCE!$A$2:$A$495,0)),""))</f>
        <v/>
      </c>
      <c r="M1831" s="24" t="n"/>
      <c r="N1831" s="24" t="n"/>
      <c r="O1831" s="24" t="n"/>
      <c r="P1831" s="24" t="n"/>
      <c r="Q1831" s="22">
        <f>IF($D1831="","",IF(AND(OR(DANH_MUC!$L$5&lt;&gt;"Có",M1831="Có"),OR(DANH_MUC!$L$6&lt;&gt;"Có",N1831="Có"),OR(DANH_MUC!$L$7&lt;&gt;"Có",O1831="Có"),OR(DANH_MUC!$L$8&lt;&gt;"Có",P1831="Có")),"Có","Không"))</f>
        <v/>
      </c>
      <c r="R1831" s="22">
        <f>IF($D1831="","",IF(COUNTIF($D$2:$D1831,$D1831)&gt;1,"Trùng",""))</f>
        <v/>
      </c>
      <c r="S1831" s="22">
        <f>IF($D1831="","",IF(AND(LEN($D1831)=10,LEFT($D1831,1)="0",ISNUMBER(--$D1831)),"Có","Không"))</f>
        <v/>
      </c>
      <c r="T1831" s="22">
        <f>IF($D1831="","",IF(AND($C1831&lt;&gt;"",$Q1831="Có",$R1831="",$S1831="Có",AND($L1831&lt;&gt;"",OR($L1831&lt;&gt;"Chưa xác định",DANH_MUC!$L$9="Có"))),"Có","Không"))</f>
        <v/>
      </c>
      <c r="U1831" s="22">
        <f>IF(OR($D1831="",$T1831="Có"),"",IF($C1831="","Thiếu họ tên; ","")&amp;IF($S1831&lt;&gt;"Có","SĐT sai định dạng; ","")&amp;IF($R1831="Trùng","Trùng SĐT; ","")&amp;IF($Q1831&lt;&gt;"Có","Thiếu đồng ý bắt buộc; ","")&amp;IF($L1831="","Thiếu/sai Mã REF; ",IF(AND($L1831="Chưa xác định",DANH_MUC!$L$9&lt;&gt;"Có"),"Nguồn chưa xác định; ","")))</f>
        <v/>
      </c>
      <c r="V1831" s="22">
        <f>IF(OR($D1831="",$R1831="Trùng"),"",IF(COUNTIF(ORDERS!$C$2:$C$4995,$D1831)&gt;0,"Có","Không"))</f>
        <v/>
      </c>
      <c r="W1831" s="22">
        <f>IF(OR($D1831="",$R1831="Trùng"),"",COUNTIFS(ORDERS!$C$2:$C$4995,$D1831,ORDERS!$L$2:$L$4995,"Đã chuyển khoản"))</f>
        <v/>
      </c>
      <c r="X1831" s="23">
        <f>IF(OR($D1831="",$R1831="Trùng"),"",SUMIFS(ORDERS!$J$2:$J$4995,ORDERS!$C$2:$C$4995,$D1831,ORDERS!$L$2:$L$4995,"Đã chuyển khoản"))</f>
        <v/>
      </c>
      <c r="Y1831" s="24" t="n"/>
    </row>
    <row r="1832" ht="14.25" customHeight="1" s="40">
      <c r="A1832" s="24" t="n"/>
      <c r="B1832" s="27" t="n"/>
      <c r="C1832" s="24" t="n"/>
      <c r="D1832" s="28" t="n"/>
      <c r="E1832" s="29" t="n"/>
      <c r="F1832" s="24" t="n"/>
      <c r="G1832" s="24" t="n"/>
      <c r="H1832" s="21">
        <f>IF(ISNUMBER($B1832),INT($B1832)-WEEKDAY($B1832,2)+1,"")</f>
        <v/>
      </c>
      <c r="I1832" s="24" t="n"/>
      <c r="J1832" s="22">
        <f t="array" ref="J1832">IF($D1832="","",IF($I1832="","(trống REF)",IFERROR(INDEX(MASTER_SOURCE!$B$2:$B$495,MATCH($I1832,MASTER_SOURCE!$A$2:$A$495,0)),"(REF không có trong MASTER_SOURCE)")))</f>
        <v/>
      </c>
      <c r="K1832" s="22">
        <f t="array" ref="K1832">IF($D1832="","",IFERROR(INDEX(MASTER_SOURCE!$C$2:$C$495,MATCH($I1832,MASTER_SOURCE!$A$2:$A$495,0)),""))</f>
        <v/>
      </c>
      <c r="L1832" s="22">
        <f t="array" ref="L1832">IF($D1832="","",IFERROR(INDEX(MASTER_SOURCE!$D$2:$D$495,MATCH($I1832,MASTER_SOURCE!$A$2:$A$495,0)),""))</f>
        <v/>
      </c>
      <c r="M1832" s="24" t="n"/>
      <c r="N1832" s="24" t="n"/>
      <c r="O1832" s="24" t="n"/>
      <c r="P1832" s="24" t="n"/>
      <c r="Q1832" s="22">
        <f>IF($D1832="","",IF(AND(OR(DANH_MUC!$L$5&lt;&gt;"Có",M1832="Có"),OR(DANH_MUC!$L$6&lt;&gt;"Có",N1832="Có"),OR(DANH_MUC!$L$7&lt;&gt;"Có",O1832="Có"),OR(DANH_MUC!$L$8&lt;&gt;"Có",P1832="Có")),"Có","Không"))</f>
        <v/>
      </c>
      <c r="R1832" s="22">
        <f>IF($D1832="","",IF(COUNTIF($D$2:$D1832,$D1832)&gt;1,"Trùng",""))</f>
        <v/>
      </c>
      <c r="S1832" s="22">
        <f>IF($D1832="","",IF(AND(LEN($D1832)=10,LEFT($D1832,1)="0",ISNUMBER(--$D1832)),"Có","Không"))</f>
        <v/>
      </c>
      <c r="T1832" s="22">
        <f>IF($D1832="","",IF(AND($C1832&lt;&gt;"",$Q1832="Có",$R1832="",$S1832="Có",AND($L1832&lt;&gt;"",OR($L1832&lt;&gt;"Chưa xác định",DANH_MUC!$L$9="Có"))),"Có","Không"))</f>
        <v/>
      </c>
      <c r="U1832" s="22">
        <f>IF(OR($D1832="",$T1832="Có"),"",IF($C1832="","Thiếu họ tên; ","")&amp;IF($S1832&lt;&gt;"Có","SĐT sai định dạng; ","")&amp;IF($R1832="Trùng","Trùng SĐT; ","")&amp;IF($Q1832&lt;&gt;"Có","Thiếu đồng ý bắt buộc; ","")&amp;IF($L1832="","Thiếu/sai Mã REF; ",IF(AND($L1832="Chưa xác định",DANH_MUC!$L$9&lt;&gt;"Có"),"Nguồn chưa xác định; ","")))</f>
        <v/>
      </c>
      <c r="V1832" s="22">
        <f>IF(OR($D1832="",$R1832="Trùng"),"",IF(COUNTIF(ORDERS!$C$2:$C$4995,$D1832)&gt;0,"Có","Không"))</f>
        <v/>
      </c>
      <c r="W1832" s="22">
        <f>IF(OR($D1832="",$R1832="Trùng"),"",COUNTIFS(ORDERS!$C$2:$C$4995,$D1832,ORDERS!$L$2:$L$4995,"Đã chuyển khoản"))</f>
        <v/>
      </c>
      <c r="X1832" s="23">
        <f>IF(OR($D1832="",$R1832="Trùng"),"",SUMIFS(ORDERS!$J$2:$J$4995,ORDERS!$C$2:$C$4995,$D1832,ORDERS!$L$2:$L$4995,"Đã chuyển khoản"))</f>
        <v/>
      </c>
      <c r="Y1832" s="24" t="n"/>
    </row>
    <row r="1833" ht="14.25" customHeight="1" s="40">
      <c r="A1833" s="24" t="n"/>
      <c r="B1833" s="27" t="n"/>
      <c r="C1833" s="24" t="n"/>
      <c r="D1833" s="28" t="n"/>
      <c r="E1833" s="29" t="n"/>
      <c r="F1833" s="24" t="n"/>
      <c r="G1833" s="24" t="n"/>
      <c r="H1833" s="21">
        <f>IF(ISNUMBER($B1833),INT($B1833)-WEEKDAY($B1833,2)+1,"")</f>
        <v/>
      </c>
      <c r="I1833" s="24" t="n"/>
      <c r="J1833" s="22">
        <f t="array" ref="J1833">IF($D1833="","",IF($I1833="","(trống REF)",IFERROR(INDEX(MASTER_SOURCE!$B$2:$B$495,MATCH($I1833,MASTER_SOURCE!$A$2:$A$495,0)),"(REF không có trong MASTER_SOURCE)")))</f>
        <v/>
      </c>
      <c r="K1833" s="22">
        <f t="array" ref="K1833">IF($D1833="","",IFERROR(INDEX(MASTER_SOURCE!$C$2:$C$495,MATCH($I1833,MASTER_SOURCE!$A$2:$A$495,0)),""))</f>
        <v/>
      </c>
      <c r="L1833" s="22">
        <f t="array" ref="L1833">IF($D1833="","",IFERROR(INDEX(MASTER_SOURCE!$D$2:$D$495,MATCH($I1833,MASTER_SOURCE!$A$2:$A$495,0)),""))</f>
        <v/>
      </c>
      <c r="M1833" s="24" t="n"/>
      <c r="N1833" s="24" t="n"/>
      <c r="O1833" s="24" t="n"/>
      <c r="P1833" s="24" t="n"/>
      <c r="Q1833" s="22">
        <f>IF($D1833="","",IF(AND(OR(DANH_MUC!$L$5&lt;&gt;"Có",M1833="Có"),OR(DANH_MUC!$L$6&lt;&gt;"Có",N1833="Có"),OR(DANH_MUC!$L$7&lt;&gt;"Có",O1833="Có"),OR(DANH_MUC!$L$8&lt;&gt;"Có",P1833="Có")),"Có","Không"))</f>
        <v/>
      </c>
      <c r="R1833" s="22">
        <f>IF($D1833="","",IF(COUNTIF($D$2:$D1833,$D1833)&gt;1,"Trùng",""))</f>
        <v/>
      </c>
      <c r="S1833" s="22">
        <f>IF($D1833="","",IF(AND(LEN($D1833)=10,LEFT($D1833,1)="0",ISNUMBER(--$D1833)),"Có","Không"))</f>
        <v/>
      </c>
      <c r="T1833" s="22">
        <f>IF($D1833="","",IF(AND($C1833&lt;&gt;"",$Q1833="Có",$R1833="",$S1833="Có",AND($L1833&lt;&gt;"",OR($L1833&lt;&gt;"Chưa xác định",DANH_MUC!$L$9="Có"))),"Có","Không"))</f>
        <v/>
      </c>
      <c r="U1833" s="22">
        <f>IF(OR($D1833="",$T1833="Có"),"",IF($C1833="","Thiếu họ tên; ","")&amp;IF($S1833&lt;&gt;"Có","SĐT sai định dạng; ","")&amp;IF($R1833="Trùng","Trùng SĐT; ","")&amp;IF($Q1833&lt;&gt;"Có","Thiếu đồng ý bắt buộc; ","")&amp;IF($L1833="","Thiếu/sai Mã REF; ",IF(AND($L1833="Chưa xác định",DANH_MUC!$L$9&lt;&gt;"Có"),"Nguồn chưa xác định; ","")))</f>
        <v/>
      </c>
      <c r="V1833" s="22">
        <f>IF(OR($D1833="",$R1833="Trùng"),"",IF(COUNTIF(ORDERS!$C$2:$C$4995,$D1833)&gt;0,"Có","Không"))</f>
        <v/>
      </c>
      <c r="W1833" s="22">
        <f>IF(OR($D1833="",$R1833="Trùng"),"",COUNTIFS(ORDERS!$C$2:$C$4995,$D1833,ORDERS!$L$2:$L$4995,"Đã chuyển khoản"))</f>
        <v/>
      </c>
      <c r="X1833" s="23">
        <f>IF(OR($D1833="",$R1833="Trùng"),"",SUMIFS(ORDERS!$J$2:$J$4995,ORDERS!$C$2:$C$4995,$D1833,ORDERS!$L$2:$L$4995,"Đã chuyển khoản"))</f>
        <v/>
      </c>
      <c r="Y1833" s="24" t="n"/>
    </row>
    <row r="1834" ht="14.25" customHeight="1" s="40">
      <c r="A1834" s="24" t="n"/>
      <c r="B1834" s="27" t="n"/>
      <c r="C1834" s="24" t="n"/>
      <c r="D1834" s="28" t="n"/>
      <c r="E1834" s="29" t="n"/>
      <c r="F1834" s="24" t="n"/>
      <c r="G1834" s="24" t="n"/>
      <c r="H1834" s="21">
        <f>IF(ISNUMBER($B1834),INT($B1834)-WEEKDAY($B1834,2)+1,"")</f>
        <v/>
      </c>
      <c r="I1834" s="24" t="n"/>
      <c r="J1834" s="22">
        <f t="array" ref="J1834">IF($D1834="","",IF($I1834="","(trống REF)",IFERROR(INDEX(MASTER_SOURCE!$B$2:$B$495,MATCH($I1834,MASTER_SOURCE!$A$2:$A$495,0)),"(REF không có trong MASTER_SOURCE)")))</f>
        <v/>
      </c>
      <c r="K1834" s="22">
        <f t="array" ref="K1834">IF($D1834="","",IFERROR(INDEX(MASTER_SOURCE!$C$2:$C$495,MATCH($I1834,MASTER_SOURCE!$A$2:$A$495,0)),""))</f>
        <v/>
      </c>
      <c r="L1834" s="22">
        <f t="array" ref="L1834">IF($D1834="","",IFERROR(INDEX(MASTER_SOURCE!$D$2:$D$495,MATCH($I1834,MASTER_SOURCE!$A$2:$A$495,0)),""))</f>
        <v/>
      </c>
      <c r="M1834" s="24" t="n"/>
      <c r="N1834" s="24" t="n"/>
      <c r="O1834" s="24" t="n"/>
      <c r="P1834" s="24" t="n"/>
      <c r="Q1834" s="22">
        <f>IF($D1834="","",IF(AND(OR(DANH_MUC!$L$5&lt;&gt;"Có",M1834="Có"),OR(DANH_MUC!$L$6&lt;&gt;"Có",N1834="Có"),OR(DANH_MUC!$L$7&lt;&gt;"Có",O1834="Có"),OR(DANH_MUC!$L$8&lt;&gt;"Có",P1834="Có")),"Có","Không"))</f>
        <v/>
      </c>
      <c r="R1834" s="22">
        <f>IF($D1834="","",IF(COUNTIF($D$2:$D1834,$D1834)&gt;1,"Trùng",""))</f>
        <v/>
      </c>
      <c r="S1834" s="22">
        <f>IF($D1834="","",IF(AND(LEN($D1834)=10,LEFT($D1834,1)="0",ISNUMBER(--$D1834)),"Có","Không"))</f>
        <v/>
      </c>
      <c r="T1834" s="22">
        <f>IF($D1834="","",IF(AND($C1834&lt;&gt;"",$Q1834="Có",$R1834="",$S1834="Có",AND($L1834&lt;&gt;"",OR($L1834&lt;&gt;"Chưa xác định",DANH_MUC!$L$9="Có"))),"Có","Không"))</f>
        <v/>
      </c>
      <c r="U1834" s="22">
        <f>IF(OR($D1834="",$T1834="Có"),"",IF($C1834="","Thiếu họ tên; ","")&amp;IF($S1834&lt;&gt;"Có","SĐT sai định dạng; ","")&amp;IF($R1834="Trùng","Trùng SĐT; ","")&amp;IF($Q1834&lt;&gt;"Có","Thiếu đồng ý bắt buộc; ","")&amp;IF($L1834="","Thiếu/sai Mã REF; ",IF(AND($L1834="Chưa xác định",DANH_MUC!$L$9&lt;&gt;"Có"),"Nguồn chưa xác định; ","")))</f>
        <v/>
      </c>
      <c r="V1834" s="22">
        <f>IF(OR($D1834="",$R1834="Trùng"),"",IF(COUNTIF(ORDERS!$C$2:$C$4995,$D1834)&gt;0,"Có","Không"))</f>
        <v/>
      </c>
      <c r="W1834" s="22">
        <f>IF(OR($D1834="",$R1834="Trùng"),"",COUNTIFS(ORDERS!$C$2:$C$4995,$D1834,ORDERS!$L$2:$L$4995,"Đã chuyển khoản"))</f>
        <v/>
      </c>
      <c r="X1834" s="23">
        <f>IF(OR($D1834="",$R1834="Trùng"),"",SUMIFS(ORDERS!$J$2:$J$4995,ORDERS!$C$2:$C$4995,$D1834,ORDERS!$L$2:$L$4995,"Đã chuyển khoản"))</f>
        <v/>
      </c>
      <c r="Y1834" s="24" t="n"/>
    </row>
    <row r="1835" ht="14.25" customHeight="1" s="40">
      <c r="A1835" s="24" t="n"/>
      <c r="B1835" s="27" t="n"/>
      <c r="C1835" s="24" t="n"/>
      <c r="D1835" s="28" t="n"/>
      <c r="E1835" s="29" t="n"/>
      <c r="F1835" s="24" t="n"/>
      <c r="G1835" s="24" t="n"/>
      <c r="H1835" s="21">
        <f>IF(ISNUMBER($B1835),INT($B1835)-WEEKDAY($B1835,2)+1,"")</f>
        <v/>
      </c>
      <c r="I1835" s="24" t="n"/>
      <c r="J1835" s="22">
        <f t="array" ref="J1835">IF($D1835="","",IF($I1835="","(trống REF)",IFERROR(INDEX(MASTER_SOURCE!$B$2:$B$495,MATCH($I1835,MASTER_SOURCE!$A$2:$A$495,0)),"(REF không có trong MASTER_SOURCE)")))</f>
        <v/>
      </c>
      <c r="K1835" s="22">
        <f t="array" ref="K1835">IF($D1835="","",IFERROR(INDEX(MASTER_SOURCE!$C$2:$C$495,MATCH($I1835,MASTER_SOURCE!$A$2:$A$495,0)),""))</f>
        <v/>
      </c>
      <c r="L1835" s="22">
        <f t="array" ref="L1835">IF($D1835="","",IFERROR(INDEX(MASTER_SOURCE!$D$2:$D$495,MATCH($I1835,MASTER_SOURCE!$A$2:$A$495,0)),""))</f>
        <v/>
      </c>
      <c r="M1835" s="24" t="n"/>
      <c r="N1835" s="24" t="n"/>
      <c r="O1835" s="24" t="n"/>
      <c r="P1835" s="24" t="n"/>
      <c r="Q1835" s="22">
        <f>IF($D1835="","",IF(AND(OR(DANH_MUC!$L$5&lt;&gt;"Có",M1835="Có"),OR(DANH_MUC!$L$6&lt;&gt;"Có",N1835="Có"),OR(DANH_MUC!$L$7&lt;&gt;"Có",O1835="Có"),OR(DANH_MUC!$L$8&lt;&gt;"Có",P1835="Có")),"Có","Không"))</f>
        <v/>
      </c>
      <c r="R1835" s="22">
        <f>IF($D1835="","",IF(COUNTIF($D$2:$D1835,$D1835)&gt;1,"Trùng",""))</f>
        <v/>
      </c>
      <c r="S1835" s="22">
        <f>IF($D1835="","",IF(AND(LEN($D1835)=10,LEFT($D1835,1)="0",ISNUMBER(--$D1835)),"Có","Không"))</f>
        <v/>
      </c>
      <c r="T1835" s="22">
        <f>IF($D1835="","",IF(AND($C1835&lt;&gt;"",$Q1835="Có",$R1835="",$S1835="Có",AND($L1835&lt;&gt;"",OR($L1835&lt;&gt;"Chưa xác định",DANH_MUC!$L$9="Có"))),"Có","Không"))</f>
        <v/>
      </c>
      <c r="U1835" s="22">
        <f>IF(OR($D1835="",$T1835="Có"),"",IF($C1835="","Thiếu họ tên; ","")&amp;IF($S1835&lt;&gt;"Có","SĐT sai định dạng; ","")&amp;IF($R1835="Trùng","Trùng SĐT; ","")&amp;IF($Q1835&lt;&gt;"Có","Thiếu đồng ý bắt buộc; ","")&amp;IF($L1835="","Thiếu/sai Mã REF; ",IF(AND($L1835="Chưa xác định",DANH_MUC!$L$9&lt;&gt;"Có"),"Nguồn chưa xác định; ","")))</f>
        <v/>
      </c>
      <c r="V1835" s="22">
        <f>IF(OR($D1835="",$R1835="Trùng"),"",IF(COUNTIF(ORDERS!$C$2:$C$4995,$D1835)&gt;0,"Có","Không"))</f>
        <v/>
      </c>
      <c r="W1835" s="22">
        <f>IF(OR($D1835="",$R1835="Trùng"),"",COUNTIFS(ORDERS!$C$2:$C$4995,$D1835,ORDERS!$L$2:$L$4995,"Đã chuyển khoản"))</f>
        <v/>
      </c>
      <c r="X1835" s="23">
        <f>IF(OR($D1835="",$R1835="Trùng"),"",SUMIFS(ORDERS!$J$2:$J$4995,ORDERS!$C$2:$C$4995,$D1835,ORDERS!$L$2:$L$4995,"Đã chuyển khoản"))</f>
        <v/>
      </c>
      <c r="Y1835" s="24" t="n"/>
    </row>
    <row r="1836" ht="14.25" customHeight="1" s="40">
      <c r="A1836" s="24" t="n"/>
      <c r="B1836" s="27" t="n"/>
      <c r="C1836" s="24" t="n"/>
      <c r="D1836" s="28" t="n"/>
      <c r="E1836" s="29" t="n"/>
      <c r="F1836" s="24" t="n"/>
      <c r="G1836" s="24" t="n"/>
      <c r="H1836" s="21">
        <f>IF(ISNUMBER($B1836),INT($B1836)-WEEKDAY($B1836,2)+1,"")</f>
        <v/>
      </c>
      <c r="I1836" s="24" t="n"/>
      <c r="J1836" s="22">
        <f t="array" ref="J1836">IF($D1836="","",IF($I1836="","(trống REF)",IFERROR(INDEX(MASTER_SOURCE!$B$2:$B$495,MATCH($I1836,MASTER_SOURCE!$A$2:$A$495,0)),"(REF không có trong MASTER_SOURCE)")))</f>
        <v/>
      </c>
      <c r="K1836" s="22">
        <f t="array" ref="K1836">IF($D1836="","",IFERROR(INDEX(MASTER_SOURCE!$C$2:$C$495,MATCH($I1836,MASTER_SOURCE!$A$2:$A$495,0)),""))</f>
        <v/>
      </c>
      <c r="L1836" s="22">
        <f t="array" ref="L1836">IF($D1836="","",IFERROR(INDEX(MASTER_SOURCE!$D$2:$D$495,MATCH($I1836,MASTER_SOURCE!$A$2:$A$495,0)),""))</f>
        <v/>
      </c>
      <c r="M1836" s="24" t="n"/>
      <c r="N1836" s="24" t="n"/>
      <c r="O1836" s="24" t="n"/>
      <c r="P1836" s="24" t="n"/>
      <c r="Q1836" s="22">
        <f>IF($D1836="","",IF(AND(OR(DANH_MUC!$L$5&lt;&gt;"Có",M1836="Có"),OR(DANH_MUC!$L$6&lt;&gt;"Có",N1836="Có"),OR(DANH_MUC!$L$7&lt;&gt;"Có",O1836="Có"),OR(DANH_MUC!$L$8&lt;&gt;"Có",P1836="Có")),"Có","Không"))</f>
        <v/>
      </c>
      <c r="R1836" s="22">
        <f>IF($D1836="","",IF(COUNTIF($D$2:$D1836,$D1836)&gt;1,"Trùng",""))</f>
        <v/>
      </c>
      <c r="S1836" s="22">
        <f>IF($D1836="","",IF(AND(LEN($D1836)=10,LEFT($D1836,1)="0",ISNUMBER(--$D1836)),"Có","Không"))</f>
        <v/>
      </c>
      <c r="T1836" s="22">
        <f>IF($D1836="","",IF(AND($C1836&lt;&gt;"",$Q1836="Có",$R1836="",$S1836="Có",AND($L1836&lt;&gt;"",OR($L1836&lt;&gt;"Chưa xác định",DANH_MUC!$L$9="Có"))),"Có","Không"))</f>
        <v/>
      </c>
      <c r="U1836" s="22">
        <f>IF(OR($D1836="",$T1836="Có"),"",IF($C1836="","Thiếu họ tên; ","")&amp;IF($S1836&lt;&gt;"Có","SĐT sai định dạng; ","")&amp;IF($R1836="Trùng","Trùng SĐT; ","")&amp;IF($Q1836&lt;&gt;"Có","Thiếu đồng ý bắt buộc; ","")&amp;IF($L1836="","Thiếu/sai Mã REF; ",IF(AND($L1836="Chưa xác định",DANH_MUC!$L$9&lt;&gt;"Có"),"Nguồn chưa xác định; ","")))</f>
        <v/>
      </c>
      <c r="V1836" s="22">
        <f>IF(OR($D1836="",$R1836="Trùng"),"",IF(COUNTIF(ORDERS!$C$2:$C$4995,$D1836)&gt;0,"Có","Không"))</f>
        <v/>
      </c>
      <c r="W1836" s="22">
        <f>IF(OR($D1836="",$R1836="Trùng"),"",COUNTIFS(ORDERS!$C$2:$C$4995,$D1836,ORDERS!$L$2:$L$4995,"Đã chuyển khoản"))</f>
        <v/>
      </c>
      <c r="X1836" s="23">
        <f>IF(OR($D1836="",$R1836="Trùng"),"",SUMIFS(ORDERS!$J$2:$J$4995,ORDERS!$C$2:$C$4995,$D1836,ORDERS!$L$2:$L$4995,"Đã chuyển khoản"))</f>
        <v/>
      </c>
      <c r="Y1836" s="24" t="n"/>
    </row>
    <row r="1837" ht="14.25" customHeight="1" s="40">
      <c r="A1837" s="24" t="n"/>
      <c r="B1837" s="27" t="n"/>
      <c r="C1837" s="24" t="n"/>
      <c r="D1837" s="28" t="n"/>
      <c r="E1837" s="29" t="n"/>
      <c r="F1837" s="24" t="n"/>
      <c r="G1837" s="24" t="n"/>
      <c r="H1837" s="21">
        <f>IF(ISNUMBER($B1837),INT($B1837)-WEEKDAY($B1837,2)+1,"")</f>
        <v/>
      </c>
      <c r="I1837" s="24" t="n"/>
      <c r="J1837" s="22">
        <f t="array" ref="J1837">IF($D1837="","",IF($I1837="","(trống REF)",IFERROR(INDEX(MASTER_SOURCE!$B$2:$B$495,MATCH($I1837,MASTER_SOURCE!$A$2:$A$495,0)),"(REF không có trong MASTER_SOURCE)")))</f>
        <v/>
      </c>
      <c r="K1837" s="22">
        <f t="array" ref="K1837">IF($D1837="","",IFERROR(INDEX(MASTER_SOURCE!$C$2:$C$495,MATCH($I1837,MASTER_SOURCE!$A$2:$A$495,0)),""))</f>
        <v/>
      </c>
      <c r="L1837" s="22">
        <f t="array" ref="L1837">IF($D1837="","",IFERROR(INDEX(MASTER_SOURCE!$D$2:$D$495,MATCH($I1837,MASTER_SOURCE!$A$2:$A$495,0)),""))</f>
        <v/>
      </c>
      <c r="M1837" s="24" t="n"/>
      <c r="N1837" s="24" t="n"/>
      <c r="O1837" s="24" t="n"/>
      <c r="P1837" s="24" t="n"/>
      <c r="Q1837" s="22">
        <f>IF($D1837="","",IF(AND(OR(DANH_MUC!$L$5&lt;&gt;"Có",M1837="Có"),OR(DANH_MUC!$L$6&lt;&gt;"Có",N1837="Có"),OR(DANH_MUC!$L$7&lt;&gt;"Có",O1837="Có"),OR(DANH_MUC!$L$8&lt;&gt;"Có",P1837="Có")),"Có","Không"))</f>
        <v/>
      </c>
      <c r="R1837" s="22">
        <f>IF($D1837="","",IF(COUNTIF($D$2:$D1837,$D1837)&gt;1,"Trùng",""))</f>
        <v/>
      </c>
      <c r="S1837" s="22">
        <f>IF($D1837="","",IF(AND(LEN($D1837)=10,LEFT($D1837,1)="0",ISNUMBER(--$D1837)),"Có","Không"))</f>
        <v/>
      </c>
      <c r="T1837" s="22">
        <f>IF($D1837="","",IF(AND($C1837&lt;&gt;"",$Q1837="Có",$R1837="",$S1837="Có",AND($L1837&lt;&gt;"",OR($L1837&lt;&gt;"Chưa xác định",DANH_MUC!$L$9="Có"))),"Có","Không"))</f>
        <v/>
      </c>
      <c r="U1837" s="22">
        <f>IF(OR($D1837="",$T1837="Có"),"",IF($C1837="","Thiếu họ tên; ","")&amp;IF($S1837&lt;&gt;"Có","SĐT sai định dạng; ","")&amp;IF($R1837="Trùng","Trùng SĐT; ","")&amp;IF($Q1837&lt;&gt;"Có","Thiếu đồng ý bắt buộc; ","")&amp;IF($L1837="","Thiếu/sai Mã REF; ",IF(AND($L1837="Chưa xác định",DANH_MUC!$L$9&lt;&gt;"Có"),"Nguồn chưa xác định; ","")))</f>
        <v/>
      </c>
      <c r="V1837" s="22">
        <f>IF(OR($D1837="",$R1837="Trùng"),"",IF(COUNTIF(ORDERS!$C$2:$C$4995,$D1837)&gt;0,"Có","Không"))</f>
        <v/>
      </c>
      <c r="W1837" s="22">
        <f>IF(OR($D1837="",$R1837="Trùng"),"",COUNTIFS(ORDERS!$C$2:$C$4995,$D1837,ORDERS!$L$2:$L$4995,"Đã chuyển khoản"))</f>
        <v/>
      </c>
      <c r="X1837" s="23">
        <f>IF(OR($D1837="",$R1837="Trùng"),"",SUMIFS(ORDERS!$J$2:$J$4995,ORDERS!$C$2:$C$4995,$D1837,ORDERS!$L$2:$L$4995,"Đã chuyển khoản"))</f>
        <v/>
      </c>
      <c r="Y1837" s="24" t="n"/>
    </row>
    <row r="1838" ht="14.25" customHeight="1" s="40">
      <c r="A1838" s="24" t="n"/>
      <c r="B1838" s="27" t="n"/>
      <c r="C1838" s="24" t="n"/>
      <c r="D1838" s="28" t="n"/>
      <c r="E1838" s="29" t="n"/>
      <c r="F1838" s="24" t="n"/>
      <c r="G1838" s="24" t="n"/>
      <c r="H1838" s="21">
        <f>IF(ISNUMBER($B1838),INT($B1838)-WEEKDAY($B1838,2)+1,"")</f>
        <v/>
      </c>
      <c r="I1838" s="24" t="n"/>
      <c r="J1838" s="22">
        <f t="array" ref="J1838">IF($D1838="","",IF($I1838="","(trống REF)",IFERROR(INDEX(MASTER_SOURCE!$B$2:$B$495,MATCH($I1838,MASTER_SOURCE!$A$2:$A$495,0)),"(REF không có trong MASTER_SOURCE)")))</f>
        <v/>
      </c>
      <c r="K1838" s="22">
        <f t="array" ref="K1838">IF($D1838="","",IFERROR(INDEX(MASTER_SOURCE!$C$2:$C$495,MATCH($I1838,MASTER_SOURCE!$A$2:$A$495,0)),""))</f>
        <v/>
      </c>
      <c r="L1838" s="22">
        <f t="array" ref="L1838">IF($D1838="","",IFERROR(INDEX(MASTER_SOURCE!$D$2:$D$495,MATCH($I1838,MASTER_SOURCE!$A$2:$A$495,0)),""))</f>
        <v/>
      </c>
      <c r="M1838" s="24" t="n"/>
      <c r="N1838" s="24" t="n"/>
      <c r="O1838" s="24" t="n"/>
      <c r="P1838" s="24" t="n"/>
      <c r="Q1838" s="22">
        <f>IF($D1838="","",IF(AND(OR(DANH_MUC!$L$5&lt;&gt;"Có",M1838="Có"),OR(DANH_MUC!$L$6&lt;&gt;"Có",N1838="Có"),OR(DANH_MUC!$L$7&lt;&gt;"Có",O1838="Có"),OR(DANH_MUC!$L$8&lt;&gt;"Có",P1838="Có")),"Có","Không"))</f>
        <v/>
      </c>
      <c r="R1838" s="22">
        <f>IF($D1838="","",IF(COUNTIF($D$2:$D1838,$D1838)&gt;1,"Trùng",""))</f>
        <v/>
      </c>
      <c r="S1838" s="22">
        <f>IF($D1838="","",IF(AND(LEN($D1838)=10,LEFT($D1838,1)="0",ISNUMBER(--$D1838)),"Có","Không"))</f>
        <v/>
      </c>
      <c r="T1838" s="22">
        <f>IF($D1838="","",IF(AND($C1838&lt;&gt;"",$Q1838="Có",$R1838="",$S1838="Có",AND($L1838&lt;&gt;"",OR($L1838&lt;&gt;"Chưa xác định",DANH_MUC!$L$9="Có"))),"Có","Không"))</f>
        <v/>
      </c>
      <c r="U1838" s="22">
        <f>IF(OR($D1838="",$T1838="Có"),"",IF($C1838="","Thiếu họ tên; ","")&amp;IF($S1838&lt;&gt;"Có","SĐT sai định dạng; ","")&amp;IF($R1838="Trùng","Trùng SĐT; ","")&amp;IF($Q1838&lt;&gt;"Có","Thiếu đồng ý bắt buộc; ","")&amp;IF($L1838="","Thiếu/sai Mã REF; ",IF(AND($L1838="Chưa xác định",DANH_MUC!$L$9&lt;&gt;"Có"),"Nguồn chưa xác định; ","")))</f>
        <v/>
      </c>
      <c r="V1838" s="22">
        <f>IF(OR($D1838="",$R1838="Trùng"),"",IF(COUNTIF(ORDERS!$C$2:$C$4995,$D1838)&gt;0,"Có","Không"))</f>
        <v/>
      </c>
      <c r="W1838" s="22">
        <f>IF(OR($D1838="",$R1838="Trùng"),"",COUNTIFS(ORDERS!$C$2:$C$4995,$D1838,ORDERS!$L$2:$L$4995,"Đã chuyển khoản"))</f>
        <v/>
      </c>
      <c r="X1838" s="23">
        <f>IF(OR($D1838="",$R1838="Trùng"),"",SUMIFS(ORDERS!$J$2:$J$4995,ORDERS!$C$2:$C$4995,$D1838,ORDERS!$L$2:$L$4995,"Đã chuyển khoản"))</f>
        <v/>
      </c>
      <c r="Y1838" s="24" t="n"/>
    </row>
    <row r="1839" ht="14.25" customHeight="1" s="40">
      <c r="A1839" s="24" t="n"/>
      <c r="B1839" s="27" t="n"/>
      <c r="C1839" s="24" t="n"/>
      <c r="D1839" s="28" t="n"/>
      <c r="E1839" s="29" t="n"/>
      <c r="F1839" s="24" t="n"/>
      <c r="G1839" s="24" t="n"/>
      <c r="H1839" s="21">
        <f>IF(ISNUMBER($B1839),INT($B1839)-WEEKDAY($B1839,2)+1,"")</f>
        <v/>
      </c>
      <c r="I1839" s="24" t="n"/>
      <c r="J1839" s="22">
        <f t="array" ref="J1839">IF($D1839="","",IF($I1839="","(trống REF)",IFERROR(INDEX(MASTER_SOURCE!$B$2:$B$495,MATCH($I1839,MASTER_SOURCE!$A$2:$A$495,0)),"(REF không có trong MASTER_SOURCE)")))</f>
        <v/>
      </c>
      <c r="K1839" s="22">
        <f t="array" ref="K1839">IF($D1839="","",IFERROR(INDEX(MASTER_SOURCE!$C$2:$C$495,MATCH($I1839,MASTER_SOURCE!$A$2:$A$495,0)),""))</f>
        <v/>
      </c>
      <c r="L1839" s="22">
        <f t="array" ref="L1839">IF($D1839="","",IFERROR(INDEX(MASTER_SOURCE!$D$2:$D$495,MATCH($I1839,MASTER_SOURCE!$A$2:$A$495,0)),""))</f>
        <v/>
      </c>
      <c r="M1839" s="24" t="n"/>
      <c r="N1839" s="24" t="n"/>
      <c r="O1839" s="24" t="n"/>
      <c r="P1839" s="24" t="n"/>
      <c r="Q1839" s="22">
        <f>IF($D1839="","",IF(AND(OR(DANH_MUC!$L$5&lt;&gt;"Có",M1839="Có"),OR(DANH_MUC!$L$6&lt;&gt;"Có",N1839="Có"),OR(DANH_MUC!$L$7&lt;&gt;"Có",O1839="Có"),OR(DANH_MUC!$L$8&lt;&gt;"Có",P1839="Có")),"Có","Không"))</f>
        <v/>
      </c>
      <c r="R1839" s="22">
        <f>IF($D1839="","",IF(COUNTIF($D$2:$D1839,$D1839)&gt;1,"Trùng",""))</f>
        <v/>
      </c>
      <c r="S1839" s="22">
        <f>IF($D1839="","",IF(AND(LEN($D1839)=10,LEFT($D1839,1)="0",ISNUMBER(--$D1839)),"Có","Không"))</f>
        <v/>
      </c>
      <c r="T1839" s="22">
        <f>IF($D1839="","",IF(AND($C1839&lt;&gt;"",$Q1839="Có",$R1839="",$S1839="Có",AND($L1839&lt;&gt;"",OR($L1839&lt;&gt;"Chưa xác định",DANH_MUC!$L$9="Có"))),"Có","Không"))</f>
        <v/>
      </c>
      <c r="U1839" s="22">
        <f>IF(OR($D1839="",$T1839="Có"),"",IF($C1839="","Thiếu họ tên; ","")&amp;IF($S1839&lt;&gt;"Có","SĐT sai định dạng; ","")&amp;IF($R1839="Trùng","Trùng SĐT; ","")&amp;IF($Q1839&lt;&gt;"Có","Thiếu đồng ý bắt buộc; ","")&amp;IF($L1839="","Thiếu/sai Mã REF; ",IF(AND($L1839="Chưa xác định",DANH_MUC!$L$9&lt;&gt;"Có"),"Nguồn chưa xác định; ","")))</f>
        <v/>
      </c>
      <c r="V1839" s="22">
        <f>IF(OR($D1839="",$R1839="Trùng"),"",IF(COUNTIF(ORDERS!$C$2:$C$4995,$D1839)&gt;0,"Có","Không"))</f>
        <v/>
      </c>
      <c r="W1839" s="22">
        <f>IF(OR($D1839="",$R1839="Trùng"),"",COUNTIFS(ORDERS!$C$2:$C$4995,$D1839,ORDERS!$L$2:$L$4995,"Đã chuyển khoản"))</f>
        <v/>
      </c>
      <c r="X1839" s="23">
        <f>IF(OR($D1839="",$R1839="Trùng"),"",SUMIFS(ORDERS!$J$2:$J$4995,ORDERS!$C$2:$C$4995,$D1839,ORDERS!$L$2:$L$4995,"Đã chuyển khoản"))</f>
        <v/>
      </c>
      <c r="Y1839" s="24" t="n"/>
    </row>
    <row r="1840" ht="14.25" customHeight="1" s="40">
      <c r="A1840" s="24" t="n"/>
      <c r="B1840" s="27" t="n"/>
      <c r="C1840" s="24" t="n"/>
      <c r="D1840" s="28" t="n"/>
      <c r="E1840" s="29" t="n"/>
      <c r="F1840" s="24" t="n"/>
      <c r="G1840" s="24" t="n"/>
      <c r="H1840" s="21">
        <f>IF(ISNUMBER($B1840),INT($B1840)-WEEKDAY($B1840,2)+1,"")</f>
        <v/>
      </c>
      <c r="I1840" s="24" t="n"/>
      <c r="J1840" s="22">
        <f t="array" ref="J1840">IF($D1840="","",IF($I1840="","(trống REF)",IFERROR(INDEX(MASTER_SOURCE!$B$2:$B$495,MATCH($I1840,MASTER_SOURCE!$A$2:$A$495,0)),"(REF không có trong MASTER_SOURCE)")))</f>
        <v/>
      </c>
      <c r="K1840" s="22">
        <f t="array" ref="K1840">IF($D1840="","",IFERROR(INDEX(MASTER_SOURCE!$C$2:$C$495,MATCH($I1840,MASTER_SOURCE!$A$2:$A$495,0)),""))</f>
        <v/>
      </c>
      <c r="L1840" s="22">
        <f t="array" ref="L1840">IF($D1840="","",IFERROR(INDEX(MASTER_SOURCE!$D$2:$D$495,MATCH($I1840,MASTER_SOURCE!$A$2:$A$495,0)),""))</f>
        <v/>
      </c>
      <c r="M1840" s="24" t="n"/>
      <c r="N1840" s="24" t="n"/>
      <c r="O1840" s="24" t="n"/>
      <c r="P1840" s="24" t="n"/>
      <c r="Q1840" s="22">
        <f>IF($D1840="","",IF(AND(OR(DANH_MUC!$L$5&lt;&gt;"Có",M1840="Có"),OR(DANH_MUC!$L$6&lt;&gt;"Có",N1840="Có"),OR(DANH_MUC!$L$7&lt;&gt;"Có",O1840="Có"),OR(DANH_MUC!$L$8&lt;&gt;"Có",P1840="Có")),"Có","Không"))</f>
        <v/>
      </c>
      <c r="R1840" s="22">
        <f>IF($D1840="","",IF(COUNTIF($D$2:$D1840,$D1840)&gt;1,"Trùng",""))</f>
        <v/>
      </c>
      <c r="S1840" s="22">
        <f>IF($D1840="","",IF(AND(LEN($D1840)=10,LEFT($D1840,1)="0",ISNUMBER(--$D1840)),"Có","Không"))</f>
        <v/>
      </c>
      <c r="T1840" s="22">
        <f>IF($D1840="","",IF(AND($C1840&lt;&gt;"",$Q1840="Có",$R1840="",$S1840="Có",AND($L1840&lt;&gt;"",OR($L1840&lt;&gt;"Chưa xác định",DANH_MUC!$L$9="Có"))),"Có","Không"))</f>
        <v/>
      </c>
      <c r="U1840" s="22">
        <f>IF(OR($D1840="",$T1840="Có"),"",IF($C1840="","Thiếu họ tên; ","")&amp;IF($S1840&lt;&gt;"Có","SĐT sai định dạng; ","")&amp;IF($R1840="Trùng","Trùng SĐT; ","")&amp;IF($Q1840&lt;&gt;"Có","Thiếu đồng ý bắt buộc; ","")&amp;IF($L1840="","Thiếu/sai Mã REF; ",IF(AND($L1840="Chưa xác định",DANH_MUC!$L$9&lt;&gt;"Có"),"Nguồn chưa xác định; ","")))</f>
        <v/>
      </c>
      <c r="V1840" s="22">
        <f>IF(OR($D1840="",$R1840="Trùng"),"",IF(COUNTIF(ORDERS!$C$2:$C$4995,$D1840)&gt;0,"Có","Không"))</f>
        <v/>
      </c>
      <c r="W1840" s="22">
        <f>IF(OR($D1840="",$R1840="Trùng"),"",COUNTIFS(ORDERS!$C$2:$C$4995,$D1840,ORDERS!$L$2:$L$4995,"Đã chuyển khoản"))</f>
        <v/>
      </c>
      <c r="X1840" s="23">
        <f>IF(OR($D1840="",$R1840="Trùng"),"",SUMIFS(ORDERS!$J$2:$J$4995,ORDERS!$C$2:$C$4995,$D1840,ORDERS!$L$2:$L$4995,"Đã chuyển khoản"))</f>
        <v/>
      </c>
      <c r="Y1840" s="24" t="n"/>
    </row>
    <row r="1841" ht="14.25" customHeight="1" s="40">
      <c r="A1841" s="24" t="n"/>
      <c r="B1841" s="27" t="n"/>
      <c r="C1841" s="24" t="n"/>
      <c r="D1841" s="28" t="n"/>
      <c r="E1841" s="29" t="n"/>
      <c r="F1841" s="24" t="n"/>
      <c r="G1841" s="24" t="n"/>
      <c r="H1841" s="21">
        <f>IF(ISNUMBER($B1841),INT($B1841)-WEEKDAY($B1841,2)+1,"")</f>
        <v/>
      </c>
      <c r="I1841" s="24" t="n"/>
      <c r="J1841" s="22">
        <f t="array" ref="J1841">IF($D1841="","",IF($I1841="","(trống REF)",IFERROR(INDEX(MASTER_SOURCE!$B$2:$B$495,MATCH($I1841,MASTER_SOURCE!$A$2:$A$495,0)),"(REF không có trong MASTER_SOURCE)")))</f>
        <v/>
      </c>
      <c r="K1841" s="22">
        <f t="array" ref="K1841">IF($D1841="","",IFERROR(INDEX(MASTER_SOURCE!$C$2:$C$495,MATCH($I1841,MASTER_SOURCE!$A$2:$A$495,0)),""))</f>
        <v/>
      </c>
      <c r="L1841" s="22">
        <f t="array" ref="L1841">IF($D1841="","",IFERROR(INDEX(MASTER_SOURCE!$D$2:$D$495,MATCH($I1841,MASTER_SOURCE!$A$2:$A$495,0)),""))</f>
        <v/>
      </c>
      <c r="M1841" s="24" t="n"/>
      <c r="N1841" s="24" t="n"/>
      <c r="O1841" s="24" t="n"/>
      <c r="P1841" s="24" t="n"/>
      <c r="Q1841" s="22">
        <f>IF($D1841="","",IF(AND(OR(DANH_MUC!$L$5&lt;&gt;"Có",M1841="Có"),OR(DANH_MUC!$L$6&lt;&gt;"Có",N1841="Có"),OR(DANH_MUC!$L$7&lt;&gt;"Có",O1841="Có"),OR(DANH_MUC!$L$8&lt;&gt;"Có",P1841="Có")),"Có","Không"))</f>
        <v/>
      </c>
      <c r="R1841" s="22">
        <f>IF($D1841="","",IF(COUNTIF($D$2:$D1841,$D1841)&gt;1,"Trùng",""))</f>
        <v/>
      </c>
      <c r="S1841" s="22">
        <f>IF($D1841="","",IF(AND(LEN($D1841)=10,LEFT($D1841,1)="0",ISNUMBER(--$D1841)),"Có","Không"))</f>
        <v/>
      </c>
      <c r="T1841" s="22">
        <f>IF($D1841="","",IF(AND($C1841&lt;&gt;"",$Q1841="Có",$R1841="",$S1841="Có",AND($L1841&lt;&gt;"",OR($L1841&lt;&gt;"Chưa xác định",DANH_MUC!$L$9="Có"))),"Có","Không"))</f>
        <v/>
      </c>
      <c r="U1841" s="22">
        <f>IF(OR($D1841="",$T1841="Có"),"",IF($C1841="","Thiếu họ tên; ","")&amp;IF($S1841&lt;&gt;"Có","SĐT sai định dạng; ","")&amp;IF($R1841="Trùng","Trùng SĐT; ","")&amp;IF($Q1841&lt;&gt;"Có","Thiếu đồng ý bắt buộc; ","")&amp;IF($L1841="","Thiếu/sai Mã REF; ",IF(AND($L1841="Chưa xác định",DANH_MUC!$L$9&lt;&gt;"Có"),"Nguồn chưa xác định; ","")))</f>
        <v/>
      </c>
      <c r="V1841" s="22">
        <f>IF(OR($D1841="",$R1841="Trùng"),"",IF(COUNTIF(ORDERS!$C$2:$C$4995,$D1841)&gt;0,"Có","Không"))</f>
        <v/>
      </c>
      <c r="W1841" s="22">
        <f>IF(OR($D1841="",$R1841="Trùng"),"",COUNTIFS(ORDERS!$C$2:$C$4995,$D1841,ORDERS!$L$2:$L$4995,"Đã chuyển khoản"))</f>
        <v/>
      </c>
      <c r="X1841" s="23">
        <f>IF(OR($D1841="",$R1841="Trùng"),"",SUMIFS(ORDERS!$J$2:$J$4995,ORDERS!$C$2:$C$4995,$D1841,ORDERS!$L$2:$L$4995,"Đã chuyển khoản"))</f>
        <v/>
      </c>
      <c r="Y1841" s="24" t="n"/>
    </row>
    <row r="1842" ht="14.25" customHeight="1" s="40">
      <c r="A1842" s="24" t="n"/>
      <c r="B1842" s="27" t="n"/>
      <c r="C1842" s="24" t="n"/>
      <c r="D1842" s="28" t="n"/>
      <c r="E1842" s="29" t="n"/>
      <c r="F1842" s="24" t="n"/>
      <c r="G1842" s="24" t="n"/>
      <c r="H1842" s="21">
        <f>IF(ISNUMBER($B1842),INT($B1842)-WEEKDAY($B1842,2)+1,"")</f>
        <v/>
      </c>
      <c r="I1842" s="24" t="n"/>
      <c r="J1842" s="22">
        <f t="array" ref="J1842">IF($D1842="","",IF($I1842="","(trống REF)",IFERROR(INDEX(MASTER_SOURCE!$B$2:$B$495,MATCH($I1842,MASTER_SOURCE!$A$2:$A$495,0)),"(REF không có trong MASTER_SOURCE)")))</f>
        <v/>
      </c>
      <c r="K1842" s="22">
        <f t="array" ref="K1842">IF($D1842="","",IFERROR(INDEX(MASTER_SOURCE!$C$2:$C$495,MATCH($I1842,MASTER_SOURCE!$A$2:$A$495,0)),""))</f>
        <v/>
      </c>
      <c r="L1842" s="22">
        <f t="array" ref="L1842">IF($D1842="","",IFERROR(INDEX(MASTER_SOURCE!$D$2:$D$495,MATCH($I1842,MASTER_SOURCE!$A$2:$A$495,0)),""))</f>
        <v/>
      </c>
      <c r="M1842" s="24" t="n"/>
      <c r="N1842" s="24" t="n"/>
      <c r="O1842" s="24" t="n"/>
      <c r="P1842" s="24" t="n"/>
      <c r="Q1842" s="22">
        <f>IF($D1842="","",IF(AND(OR(DANH_MUC!$L$5&lt;&gt;"Có",M1842="Có"),OR(DANH_MUC!$L$6&lt;&gt;"Có",N1842="Có"),OR(DANH_MUC!$L$7&lt;&gt;"Có",O1842="Có"),OR(DANH_MUC!$L$8&lt;&gt;"Có",P1842="Có")),"Có","Không"))</f>
        <v/>
      </c>
      <c r="R1842" s="22">
        <f>IF($D1842="","",IF(COUNTIF($D$2:$D1842,$D1842)&gt;1,"Trùng",""))</f>
        <v/>
      </c>
      <c r="S1842" s="22">
        <f>IF($D1842="","",IF(AND(LEN($D1842)=10,LEFT($D1842,1)="0",ISNUMBER(--$D1842)),"Có","Không"))</f>
        <v/>
      </c>
      <c r="T1842" s="22">
        <f>IF($D1842="","",IF(AND($C1842&lt;&gt;"",$Q1842="Có",$R1842="",$S1842="Có",AND($L1842&lt;&gt;"",OR($L1842&lt;&gt;"Chưa xác định",DANH_MUC!$L$9="Có"))),"Có","Không"))</f>
        <v/>
      </c>
      <c r="U1842" s="22">
        <f>IF(OR($D1842="",$T1842="Có"),"",IF($C1842="","Thiếu họ tên; ","")&amp;IF($S1842&lt;&gt;"Có","SĐT sai định dạng; ","")&amp;IF($R1842="Trùng","Trùng SĐT; ","")&amp;IF($Q1842&lt;&gt;"Có","Thiếu đồng ý bắt buộc; ","")&amp;IF($L1842="","Thiếu/sai Mã REF; ",IF(AND($L1842="Chưa xác định",DANH_MUC!$L$9&lt;&gt;"Có"),"Nguồn chưa xác định; ","")))</f>
        <v/>
      </c>
      <c r="V1842" s="22">
        <f>IF(OR($D1842="",$R1842="Trùng"),"",IF(COUNTIF(ORDERS!$C$2:$C$4995,$D1842)&gt;0,"Có","Không"))</f>
        <v/>
      </c>
      <c r="W1842" s="22">
        <f>IF(OR($D1842="",$R1842="Trùng"),"",COUNTIFS(ORDERS!$C$2:$C$4995,$D1842,ORDERS!$L$2:$L$4995,"Đã chuyển khoản"))</f>
        <v/>
      </c>
      <c r="X1842" s="23">
        <f>IF(OR($D1842="",$R1842="Trùng"),"",SUMIFS(ORDERS!$J$2:$J$4995,ORDERS!$C$2:$C$4995,$D1842,ORDERS!$L$2:$L$4995,"Đã chuyển khoản"))</f>
        <v/>
      </c>
      <c r="Y1842" s="24" t="n"/>
    </row>
    <row r="1843" ht="14.25" customHeight="1" s="40">
      <c r="A1843" s="24" t="n"/>
      <c r="B1843" s="27" t="n"/>
      <c r="C1843" s="24" t="n"/>
      <c r="D1843" s="28" t="n"/>
      <c r="E1843" s="29" t="n"/>
      <c r="F1843" s="24" t="n"/>
      <c r="G1843" s="24" t="n"/>
      <c r="H1843" s="21">
        <f>IF(ISNUMBER($B1843),INT($B1843)-WEEKDAY($B1843,2)+1,"")</f>
        <v/>
      </c>
      <c r="I1843" s="24" t="n"/>
      <c r="J1843" s="22">
        <f t="array" ref="J1843">IF($D1843="","",IF($I1843="","(trống REF)",IFERROR(INDEX(MASTER_SOURCE!$B$2:$B$495,MATCH($I1843,MASTER_SOURCE!$A$2:$A$495,0)),"(REF không có trong MASTER_SOURCE)")))</f>
        <v/>
      </c>
      <c r="K1843" s="22">
        <f t="array" ref="K1843">IF($D1843="","",IFERROR(INDEX(MASTER_SOURCE!$C$2:$C$495,MATCH($I1843,MASTER_SOURCE!$A$2:$A$495,0)),""))</f>
        <v/>
      </c>
      <c r="L1843" s="22">
        <f t="array" ref="L1843">IF($D1843="","",IFERROR(INDEX(MASTER_SOURCE!$D$2:$D$495,MATCH($I1843,MASTER_SOURCE!$A$2:$A$495,0)),""))</f>
        <v/>
      </c>
      <c r="M1843" s="24" t="n"/>
      <c r="N1843" s="24" t="n"/>
      <c r="O1843" s="24" t="n"/>
      <c r="P1843" s="24" t="n"/>
      <c r="Q1843" s="22">
        <f>IF($D1843="","",IF(AND(OR(DANH_MUC!$L$5&lt;&gt;"Có",M1843="Có"),OR(DANH_MUC!$L$6&lt;&gt;"Có",N1843="Có"),OR(DANH_MUC!$L$7&lt;&gt;"Có",O1843="Có"),OR(DANH_MUC!$L$8&lt;&gt;"Có",P1843="Có")),"Có","Không"))</f>
        <v/>
      </c>
      <c r="R1843" s="22">
        <f>IF($D1843="","",IF(COUNTIF($D$2:$D1843,$D1843)&gt;1,"Trùng",""))</f>
        <v/>
      </c>
      <c r="S1843" s="22">
        <f>IF($D1843="","",IF(AND(LEN($D1843)=10,LEFT($D1843,1)="0",ISNUMBER(--$D1843)),"Có","Không"))</f>
        <v/>
      </c>
      <c r="T1843" s="22">
        <f>IF($D1843="","",IF(AND($C1843&lt;&gt;"",$Q1843="Có",$R1843="",$S1843="Có",AND($L1843&lt;&gt;"",OR($L1843&lt;&gt;"Chưa xác định",DANH_MUC!$L$9="Có"))),"Có","Không"))</f>
        <v/>
      </c>
      <c r="U1843" s="22">
        <f>IF(OR($D1843="",$T1843="Có"),"",IF($C1843="","Thiếu họ tên; ","")&amp;IF($S1843&lt;&gt;"Có","SĐT sai định dạng; ","")&amp;IF($R1843="Trùng","Trùng SĐT; ","")&amp;IF($Q1843&lt;&gt;"Có","Thiếu đồng ý bắt buộc; ","")&amp;IF($L1843="","Thiếu/sai Mã REF; ",IF(AND($L1843="Chưa xác định",DANH_MUC!$L$9&lt;&gt;"Có"),"Nguồn chưa xác định; ","")))</f>
        <v/>
      </c>
      <c r="V1843" s="22">
        <f>IF(OR($D1843="",$R1843="Trùng"),"",IF(COUNTIF(ORDERS!$C$2:$C$4995,$D1843)&gt;0,"Có","Không"))</f>
        <v/>
      </c>
      <c r="W1843" s="22">
        <f>IF(OR($D1843="",$R1843="Trùng"),"",COUNTIFS(ORDERS!$C$2:$C$4995,$D1843,ORDERS!$L$2:$L$4995,"Đã chuyển khoản"))</f>
        <v/>
      </c>
      <c r="X1843" s="23">
        <f>IF(OR($D1843="",$R1843="Trùng"),"",SUMIFS(ORDERS!$J$2:$J$4995,ORDERS!$C$2:$C$4995,$D1843,ORDERS!$L$2:$L$4995,"Đã chuyển khoản"))</f>
        <v/>
      </c>
      <c r="Y1843" s="24" t="n"/>
    </row>
    <row r="1844" ht="14.25" customHeight="1" s="40">
      <c r="A1844" s="24" t="n"/>
      <c r="B1844" s="27" t="n"/>
      <c r="C1844" s="24" t="n"/>
      <c r="D1844" s="28" t="n"/>
      <c r="E1844" s="29" t="n"/>
      <c r="F1844" s="24" t="n"/>
      <c r="G1844" s="24" t="n"/>
      <c r="H1844" s="21">
        <f>IF(ISNUMBER($B1844),INT($B1844)-WEEKDAY($B1844,2)+1,"")</f>
        <v/>
      </c>
      <c r="I1844" s="24" t="n"/>
      <c r="J1844" s="22">
        <f t="array" ref="J1844">IF($D1844="","",IF($I1844="","(trống REF)",IFERROR(INDEX(MASTER_SOURCE!$B$2:$B$495,MATCH($I1844,MASTER_SOURCE!$A$2:$A$495,0)),"(REF không có trong MASTER_SOURCE)")))</f>
        <v/>
      </c>
      <c r="K1844" s="22">
        <f t="array" ref="K1844">IF($D1844="","",IFERROR(INDEX(MASTER_SOURCE!$C$2:$C$495,MATCH($I1844,MASTER_SOURCE!$A$2:$A$495,0)),""))</f>
        <v/>
      </c>
      <c r="L1844" s="22">
        <f t="array" ref="L1844">IF($D1844="","",IFERROR(INDEX(MASTER_SOURCE!$D$2:$D$495,MATCH($I1844,MASTER_SOURCE!$A$2:$A$495,0)),""))</f>
        <v/>
      </c>
      <c r="M1844" s="24" t="n"/>
      <c r="N1844" s="24" t="n"/>
      <c r="O1844" s="24" t="n"/>
      <c r="P1844" s="24" t="n"/>
      <c r="Q1844" s="22">
        <f>IF($D1844="","",IF(AND(OR(DANH_MUC!$L$5&lt;&gt;"Có",M1844="Có"),OR(DANH_MUC!$L$6&lt;&gt;"Có",N1844="Có"),OR(DANH_MUC!$L$7&lt;&gt;"Có",O1844="Có"),OR(DANH_MUC!$L$8&lt;&gt;"Có",P1844="Có")),"Có","Không"))</f>
        <v/>
      </c>
      <c r="R1844" s="22">
        <f>IF($D1844="","",IF(COUNTIF($D$2:$D1844,$D1844)&gt;1,"Trùng",""))</f>
        <v/>
      </c>
      <c r="S1844" s="22">
        <f>IF($D1844="","",IF(AND(LEN($D1844)=10,LEFT($D1844,1)="0",ISNUMBER(--$D1844)),"Có","Không"))</f>
        <v/>
      </c>
      <c r="T1844" s="22">
        <f>IF($D1844="","",IF(AND($C1844&lt;&gt;"",$Q1844="Có",$R1844="",$S1844="Có",AND($L1844&lt;&gt;"",OR($L1844&lt;&gt;"Chưa xác định",DANH_MUC!$L$9="Có"))),"Có","Không"))</f>
        <v/>
      </c>
      <c r="U1844" s="22">
        <f>IF(OR($D1844="",$T1844="Có"),"",IF($C1844="","Thiếu họ tên; ","")&amp;IF($S1844&lt;&gt;"Có","SĐT sai định dạng; ","")&amp;IF($R1844="Trùng","Trùng SĐT; ","")&amp;IF($Q1844&lt;&gt;"Có","Thiếu đồng ý bắt buộc; ","")&amp;IF($L1844="","Thiếu/sai Mã REF; ",IF(AND($L1844="Chưa xác định",DANH_MUC!$L$9&lt;&gt;"Có"),"Nguồn chưa xác định; ","")))</f>
        <v/>
      </c>
      <c r="V1844" s="22">
        <f>IF(OR($D1844="",$R1844="Trùng"),"",IF(COUNTIF(ORDERS!$C$2:$C$4995,$D1844)&gt;0,"Có","Không"))</f>
        <v/>
      </c>
      <c r="W1844" s="22">
        <f>IF(OR($D1844="",$R1844="Trùng"),"",COUNTIFS(ORDERS!$C$2:$C$4995,$D1844,ORDERS!$L$2:$L$4995,"Đã chuyển khoản"))</f>
        <v/>
      </c>
      <c r="X1844" s="23">
        <f>IF(OR($D1844="",$R1844="Trùng"),"",SUMIFS(ORDERS!$J$2:$J$4995,ORDERS!$C$2:$C$4995,$D1844,ORDERS!$L$2:$L$4995,"Đã chuyển khoản"))</f>
        <v/>
      </c>
      <c r="Y1844" s="24" t="n"/>
    </row>
    <row r="1845" ht="14.25" customHeight="1" s="40">
      <c r="A1845" s="24" t="n"/>
      <c r="B1845" s="27" t="n"/>
      <c r="C1845" s="24" t="n"/>
      <c r="D1845" s="28" t="n"/>
      <c r="E1845" s="29" t="n"/>
      <c r="F1845" s="24" t="n"/>
      <c r="G1845" s="24" t="n"/>
      <c r="H1845" s="21">
        <f>IF(ISNUMBER($B1845),INT($B1845)-WEEKDAY($B1845,2)+1,"")</f>
        <v/>
      </c>
      <c r="I1845" s="24" t="n"/>
      <c r="J1845" s="22">
        <f t="array" ref="J1845">IF($D1845="","",IF($I1845="","(trống REF)",IFERROR(INDEX(MASTER_SOURCE!$B$2:$B$495,MATCH($I1845,MASTER_SOURCE!$A$2:$A$495,0)),"(REF không có trong MASTER_SOURCE)")))</f>
        <v/>
      </c>
      <c r="K1845" s="22">
        <f t="array" ref="K1845">IF($D1845="","",IFERROR(INDEX(MASTER_SOURCE!$C$2:$C$495,MATCH($I1845,MASTER_SOURCE!$A$2:$A$495,0)),""))</f>
        <v/>
      </c>
      <c r="L1845" s="22">
        <f t="array" ref="L1845">IF($D1845="","",IFERROR(INDEX(MASTER_SOURCE!$D$2:$D$495,MATCH($I1845,MASTER_SOURCE!$A$2:$A$495,0)),""))</f>
        <v/>
      </c>
      <c r="M1845" s="24" t="n"/>
      <c r="N1845" s="24" t="n"/>
      <c r="O1845" s="24" t="n"/>
      <c r="P1845" s="24" t="n"/>
      <c r="Q1845" s="22">
        <f>IF($D1845="","",IF(AND(OR(DANH_MUC!$L$5&lt;&gt;"Có",M1845="Có"),OR(DANH_MUC!$L$6&lt;&gt;"Có",N1845="Có"),OR(DANH_MUC!$L$7&lt;&gt;"Có",O1845="Có"),OR(DANH_MUC!$L$8&lt;&gt;"Có",P1845="Có")),"Có","Không"))</f>
        <v/>
      </c>
      <c r="R1845" s="22">
        <f>IF($D1845="","",IF(COUNTIF($D$2:$D1845,$D1845)&gt;1,"Trùng",""))</f>
        <v/>
      </c>
      <c r="S1845" s="22">
        <f>IF($D1845="","",IF(AND(LEN($D1845)=10,LEFT($D1845,1)="0",ISNUMBER(--$D1845)),"Có","Không"))</f>
        <v/>
      </c>
      <c r="T1845" s="22">
        <f>IF($D1845="","",IF(AND($C1845&lt;&gt;"",$Q1845="Có",$R1845="",$S1845="Có",AND($L1845&lt;&gt;"",OR($L1845&lt;&gt;"Chưa xác định",DANH_MUC!$L$9="Có"))),"Có","Không"))</f>
        <v/>
      </c>
      <c r="U1845" s="22">
        <f>IF(OR($D1845="",$T1845="Có"),"",IF($C1845="","Thiếu họ tên; ","")&amp;IF($S1845&lt;&gt;"Có","SĐT sai định dạng; ","")&amp;IF($R1845="Trùng","Trùng SĐT; ","")&amp;IF($Q1845&lt;&gt;"Có","Thiếu đồng ý bắt buộc; ","")&amp;IF($L1845="","Thiếu/sai Mã REF; ",IF(AND($L1845="Chưa xác định",DANH_MUC!$L$9&lt;&gt;"Có"),"Nguồn chưa xác định; ","")))</f>
        <v/>
      </c>
      <c r="V1845" s="22">
        <f>IF(OR($D1845="",$R1845="Trùng"),"",IF(COUNTIF(ORDERS!$C$2:$C$4995,$D1845)&gt;0,"Có","Không"))</f>
        <v/>
      </c>
      <c r="W1845" s="22">
        <f>IF(OR($D1845="",$R1845="Trùng"),"",COUNTIFS(ORDERS!$C$2:$C$4995,$D1845,ORDERS!$L$2:$L$4995,"Đã chuyển khoản"))</f>
        <v/>
      </c>
      <c r="X1845" s="23">
        <f>IF(OR($D1845="",$R1845="Trùng"),"",SUMIFS(ORDERS!$J$2:$J$4995,ORDERS!$C$2:$C$4995,$D1845,ORDERS!$L$2:$L$4995,"Đã chuyển khoản"))</f>
        <v/>
      </c>
      <c r="Y1845" s="24" t="n"/>
    </row>
    <row r="1846" ht="14.25" customHeight="1" s="40">
      <c r="A1846" s="24" t="n"/>
      <c r="B1846" s="27" t="n"/>
      <c r="C1846" s="24" t="n"/>
      <c r="D1846" s="28" t="n"/>
      <c r="E1846" s="29" t="n"/>
      <c r="F1846" s="24" t="n"/>
      <c r="G1846" s="24" t="n"/>
      <c r="H1846" s="21">
        <f>IF(ISNUMBER($B1846),INT($B1846)-WEEKDAY($B1846,2)+1,"")</f>
        <v/>
      </c>
      <c r="I1846" s="24" t="n"/>
      <c r="J1846" s="22">
        <f t="array" ref="J1846">IF($D1846="","",IF($I1846="","(trống REF)",IFERROR(INDEX(MASTER_SOURCE!$B$2:$B$495,MATCH($I1846,MASTER_SOURCE!$A$2:$A$495,0)),"(REF không có trong MASTER_SOURCE)")))</f>
        <v/>
      </c>
      <c r="K1846" s="22">
        <f t="array" ref="K1846">IF($D1846="","",IFERROR(INDEX(MASTER_SOURCE!$C$2:$C$495,MATCH($I1846,MASTER_SOURCE!$A$2:$A$495,0)),""))</f>
        <v/>
      </c>
      <c r="L1846" s="22">
        <f t="array" ref="L1846">IF($D1846="","",IFERROR(INDEX(MASTER_SOURCE!$D$2:$D$495,MATCH($I1846,MASTER_SOURCE!$A$2:$A$495,0)),""))</f>
        <v/>
      </c>
      <c r="M1846" s="24" t="n"/>
      <c r="N1846" s="24" t="n"/>
      <c r="O1846" s="24" t="n"/>
      <c r="P1846" s="24" t="n"/>
      <c r="Q1846" s="22">
        <f>IF($D1846="","",IF(AND(OR(DANH_MUC!$L$5&lt;&gt;"Có",M1846="Có"),OR(DANH_MUC!$L$6&lt;&gt;"Có",N1846="Có"),OR(DANH_MUC!$L$7&lt;&gt;"Có",O1846="Có"),OR(DANH_MUC!$L$8&lt;&gt;"Có",P1846="Có")),"Có","Không"))</f>
        <v/>
      </c>
      <c r="R1846" s="22">
        <f>IF($D1846="","",IF(COUNTIF($D$2:$D1846,$D1846)&gt;1,"Trùng",""))</f>
        <v/>
      </c>
      <c r="S1846" s="22">
        <f>IF($D1846="","",IF(AND(LEN($D1846)=10,LEFT($D1846,1)="0",ISNUMBER(--$D1846)),"Có","Không"))</f>
        <v/>
      </c>
      <c r="T1846" s="22">
        <f>IF($D1846="","",IF(AND($C1846&lt;&gt;"",$Q1846="Có",$R1846="",$S1846="Có",AND($L1846&lt;&gt;"",OR($L1846&lt;&gt;"Chưa xác định",DANH_MUC!$L$9="Có"))),"Có","Không"))</f>
        <v/>
      </c>
      <c r="U1846" s="22">
        <f>IF(OR($D1846="",$T1846="Có"),"",IF($C1846="","Thiếu họ tên; ","")&amp;IF($S1846&lt;&gt;"Có","SĐT sai định dạng; ","")&amp;IF($R1846="Trùng","Trùng SĐT; ","")&amp;IF($Q1846&lt;&gt;"Có","Thiếu đồng ý bắt buộc; ","")&amp;IF($L1846="","Thiếu/sai Mã REF; ",IF(AND($L1846="Chưa xác định",DANH_MUC!$L$9&lt;&gt;"Có"),"Nguồn chưa xác định; ","")))</f>
        <v/>
      </c>
      <c r="V1846" s="22">
        <f>IF(OR($D1846="",$R1846="Trùng"),"",IF(COUNTIF(ORDERS!$C$2:$C$4995,$D1846)&gt;0,"Có","Không"))</f>
        <v/>
      </c>
      <c r="W1846" s="22">
        <f>IF(OR($D1846="",$R1846="Trùng"),"",COUNTIFS(ORDERS!$C$2:$C$4995,$D1846,ORDERS!$L$2:$L$4995,"Đã chuyển khoản"))</f>
        <v/>
      </c>
      <c r="X1846" s="23">
        <f>IF(OR($D1846="",$R1846="Trùng"),"",SUMIFS(ORDERS!$J$2:$J$4995,ORDERS!$C$2:$C$4995,$D1846,ORDERS!$L$2:$L$4995,"Đã chuyển khoản"))</f>
        <v/>
      </c>
      <c r="Y1846" s="24" t="n"/>
    </row>
    <row r="1847" ht="14.25" customHeight="1" s="40">
      <c r="A1847" s="24" t="n"/>
      <c r="B1847" s="27" t="n"/>
      <c r="C1847" s="24" t="n"/>
      <c r="D1847" s="28" t="n"/>
      <c r="E1847" s="29" t="n"/>
      <c r="F1847" s="24" t="n"/>
      <c r="G1847" s="24" t="n"/>
      <c r="H1847" s="21">
        <f>IF(ISNUMBER($B1847),INT($B1847)-WEEKDAY($B1847,2)+1,"")</f>
        <v/>
      </c>
      <c r="I1847" s="24" t="n"/>
      <c r="J1847" s="22">
        <f t="array" ref="J1847">IF($D1847="","",IF($I1847="","(trống REF)",IFERROR(INDEX(MASTER_SOURCE!$B$2:$B$495,MATCH($I1847,MASTER_SOURCE!$A$2:$A$495,0)),"(REF không có trong MASTER_SOURCE)")))</f>
        <v/>
      </c>
      <c r="K1847" s="22">
        <f t="array" ref="K1847">IF($D1847="","",IFERROR(INDEX(MASTER_SOURCE!$C$2:$C$495,MATCH($I1847,MASTER_SOURCE!$A$2:$A$495,0)),""))</f>
        <v/>
      </c>
      <c r="L1847" s="22">
        <f t="array" ref="L1847">IF($D1847="","",IFERROR(INDEX(MASTER_SOURCE!$D$2:$D$495,MATCH($I1847,MASTER_SOURCE!$A$2:$A$495,0)),""))</f>
        <v/>
      </c>
      <c r="M1847" s="24" t="n"/>
      <c r="N1847" s="24" t="n"/>
      <c r="O1847" s="24" t="n"/>
      <c r="P1847" s="24" t="n"/>
      <c r="Q1847" s="22">
        <f>IF($D1847="","",IF(AND(OR(DANH_MUC!$L$5&lt;&gt;"Có",M1847="Có"),OR(DANH_MUC!$L$6&lt;&gt;"Có",N1847="Có"),OR(DANH_MUC!$L$7&lt;&gt;"Có",O1847="Có"),OR(DANH_MUC!$L$8&lt;&gt;"Có",P1847="Có")),"Có","Không"))</f>
        <v/>
      </c>
      <c r="R1847" s="22">
        <f>IF($D1847="","",IF(COUNTIF($D$2:$D1847,$D1847)&gt;1,"Trùng",""))</f>
        <v/>
      </c>
      <c r="S1847" s="22">
        <f>IF($D1847="","",IF(AND(LEN($D1847)=10,LEFT($D1847,1)="0",ISNUMBER(--$D1847)),"Có","Không"))</f>
        <v/>
      </c>
      <c r="T1847" s="22">
        <f>IF($D1847="","",IF(AND($C1847&lt;&gt;"",$Q1847="Có",$R1847="",$S1847="Có",AND($L1847&lt;&gt;"",OR($L1847&lt;&gt;"Chưa xác định",DANH_MUC!$L$9="Có"))),"Có","Không"))</f>
        <v/>
      </c>
      <c r="U1847" s="22">
        <f>IF(OR($D1847="",$T1847="Có"),"",IF($C1847="","Thiếu họ tên; ","")&amp;IF($S1847&lt;&gt;"Có","SĐT sai định dạng; ","")&amp;IF($R1847="Trùng","Trùng SĐT; ","")&amp;IF($Q1847&lt;&gt;"Có","Thiếu đồng ý bắt buộc; ","")&amp;IF($L1847="","Thiếu/sai Mã REF; ",IF(AND($L1847="Chưa xác định",DANH_MUC!$L$9&lt;&gt;"Có"),"Nguồn chưa xác định; ","")))</f>
        <v/>
      </c>
      <c r="V1847" s="22">
        <f>IF(OR($D1847="",$R1847="Trùng"),"",IF(COUNTIF(ORDERS!$C$2:$C$4995,$D1847)&gt;0,"Có","Không"))</f>
        <v/>
      </c>
      <c r="W1847" s="22">
        <f>IF(OR($D1847="",$R1847="Trùng"),"",COUNTIFS(ORDERS!$C$2:$C$4995,$D1847,ORDERS!$L$2:$L$4995,"Đã chuyển khoản"))</f>
        <v/>
      </c>
      <c r="X1847" s="23">
        <f>IF(OR($D1847="",$R1847="Trùng"),"",SUMIFS(ORDERS!$J$2:$J$4995,ORDERS!$C$2:$C$4995,$D1847,ORDERS!$L$2:$L$4995,"Đã chuyển khoản"))</f>
        <v/>
      </c>
      <c r="Y1847" s="24" t="n"/>
    </row>
    <row r="1848" ht="14.25" customHeight="1" s="40">
      <c r="A1848" s="24" t="n"/>
      <c r="B1848" s="27" t="n"/>
      <c r="C1848" s="24" t="n"/>
      <c r="D1848" s="28" t="n"/>
      <c r="E1848" s="29" t="n"/>
      <c r="F1848" s="24" t="n"/>
      <c r="G1848" s="24" t="n"/>
      <c r="H1848" s="21">
        <f>IF(ISNUMBER($B1848),INT($B1848)-WEEKDAY($B1848,2)+1,"")</f>
        <v/>
      </c>
      <c r="I1848" s="24" t="n"/>
      <c r="J1848" s="22">
        <f t="array" ref="J1848">IF($D1848="","",IF($I1848="","(trống REF)",IFERROR(INDEX(MASTER_SOURCE!$B$2:$B$495,MATCH($I1848,MASTER_SOURCE!$A$2:$A$495,0)),"(REF không có trong MASTER_SOURCE)")))</f>
        <v/>
      </c>
      <c r="K1848" s="22">
        <f t="array" ref="K1848">IF($D1848="","",IFERROR(INDEX(MASTER_SOURCE!$C$2:$C$495,MATCH($I1848,MASTER_SOURCE!$A$2:$A$495,0)),""))</f>
        <v/>
      </c>
      <c r="L1848" s="22">
        <f t="array" ref="L1848">IF($D1848="","",IFERROR(INDEX(MASTER_SOURCE!$D$2:$D$495,MATCH($I1848,MASTER_SOURCE!$A$2:$A$495,0)),""))</f>
        <v/>
      </c>
      <c r="M1848" s="24" t="n"/>
      <c r="N1848" s="24" t="n"/>
      <c r="O1848" s="24" t="n"/>
      <c r="P1848" s="24" t="n"/>
      <c r="Q1848" s="22">
        <f>IF($D1848="","",IF(AND(OR(DANH_MUC!$L$5&lt;&gt;"Có",M1848="Có"),OR(DANH_MUC!$L$6&lt;&gt;"Có",N1848="Có"),OR(DANH_MUC!$L$7&lt;&gt;"Có",O1848="Có"),OR(DANH_MUC!$L$8&lt;&gt;"Có",P1848="Có")),"Có","Không"))</f>
        <v/>
      </c>
      <c r="R1848" s="22">
        <f>IF($D1848="","",IF(COUNTIF($D$2:$D1848,$D1848)&gt;1,"Trùng",""))</f>
        <v/>
      </c>
      <c r="S1848" s="22">
        <f>IF($D1848="","",IF(AND(LEN($D1848)=10,LEFT($D1848,1)="0",ISNUMBER(--$D1848)),"Có","Không"))</f>
        <v/>
      </c>
      <c r="T1848" s="22">
        <f>IF($D1848="","",IF(AND($C1848&lt;&gt;"",$Q1848="Có",$R1848="",$S1848="Có",AND($L1848&lt;&gt;"",OR($L1848&lt;&gt;"Chưa xác định",DANH_MUC!$L$9="Có"))),"Có","Không"))</f>
        <v/>
      </c>
      <c r="U1848" s="22">
        <f>IF(OR($D1848="",$T1848="Có"),"",IF($C1848="","Thiếu họ tên; ","")&amp;IF($S1848&lt;&gt;"Có","SĐT sai định dạng; ","")&amp;IF($R1848="Trùng","Trùng SĐT; ","")&amp;IF($Q1848&lt;&gt;"Có","Thiếu đồng ý bắt buộc; ","")&amp;IF($L1848="","Thiếu/sai Mã REF; ",IF(AND($L1848="Chưa xác định",DANH_MUC!$L$9&lt;&gt;"Có"),"Nguồn chưa xác định; ","")))</f>
        <v/>
      </c>
      <c r="V1848" s="22">
        <f>IF(OR($D1848="",$R1848="Trùng"),"",IF(COUNTIF(ORDERS!$C$2:$C$4995,$D1848)&gt;0,"Có","Không"))</f>
        <v/>
      </c>
      <c r="W1848" s="22">
        <f>IF(OR($D1848="",$R1848="Trùng"),"",COUNTIFS(ORDERS!$C$2:$C$4995,$D1848,ORDERS!$L$2:$L$4995,"Đã chuyển khoản"))</f>
        <v/>
      </c>
      <c r="X1848" s="23">
        <f>IF(OR($D1848="",$R1848="Trùng"),"",SUMIFS(ORDERS!$J$2:$J$4995,ORDERS!$C$2:$C$4995,$D1848,ORDERS!$L$2:$L$4995,"Đã chuyển khoản"))</f>
        <v/>
      </c>
      <c r="Y1848" s="24" t="n"/>
    </row>
    <row r="1849" ht="14.25" customHeight="1" s="40">
      <c r="A1849" s="24" t="n"/>
      <c r="B1849" s="27" t="n"/>
      <c r="C1849" s="24" t="n"/>
      <c r="D1849" s="28" t="n"/>
      <c r="E1849" s="29" t="n"/>
      <c r="F1849" s="24" t="n"/>
      <c r="G1849" s="24" t="n"/>
      <c r="H1849" s="21">
        <f>IF(ISNUMBER($B1849),INT($B1849)-WEEKDAY($B1849,2)+1,"")</f>
        <v/>
      </c>
      <c r="I1849" s="24" t="n"/>
      <c r="J1849" s="22">
        <f t="array" ref="J1849">IF($D1849="","",IF($I1849="","(trống REF)",IFERROR(INDEX(MASTER_SOURCE!$B$2:$B$495,MATCH($I1849,MASTER_SOURCE!$A$2:$A$495,0)),"(REF không có trong MASTER_SOURCE)")))</f>
        <v/>
      </c>
      <c r="K1849" s="22">
        <f t="array" ref="K1849">IF($D1849="","",IFERROR(INDEX(MASTER_SOURCE!$C$2:$C$495,MATCH($I1849,MASTER_SOURCE!$A$2:$A$495,0)),""))</f>
        <v/>
      </c>
      <c r="L1849" s="22">
        <f t="array" ref="L1849">IF($D1849="","",IFERROR(INDEX(MASTER_SOURCE!$D$2:$D$495,MATCH($I1849,MASTER_SOURCE!$A$2:$A$495,0)),""))</f>
        <v/>
      </c>
      <c r="M1849" s="24" t="n"/>
      <c r="N1849" s="24" t="n"/>
      <c r="O1849" s="24" t="n"/>
      <c r="P1849" s="24" t="n"/>
      <c r="Q1849" s="22">
        <f>IF($D1849="","",IF(AND(OR(DANH_MUC!$L$5&lt;&gt;"Có",M1849="Có"),OR(DANH_MUC!$L$6&lt;&gt;"Có",N1849="Có"),OR(DANH_MUC!$L$7&lt;&gt;"Có",O1849="Có"),OR(DANH_MUC!$L$8&lt;&gt;"Có",P1849="Có")),"Có","Không"))</f>
        <v/>
      </c>
      <c r="R1849" s="22">
        <f>IF($D1849="","",IF(COUNTIF($D$2:$D1849,$D1849)&gt;1,"Trùng",""))</f>
        <v/>
      </c>
      <c r="S1849" s="22">
        <f>IF($D1849="","",IF(AND(LEN($D1849)=10,LEFT($D1849,1)="0",ISNUMBER(--$D1849)),"Có","Không"))</f>
        <v/>
      </c>
      <c r="T1849" s="22">
        <f>IF($D1849="","",IF(AND($C1849&lt;&gt;"",$Q1849="Có",$R1849="",$S1849="Có",AND($L1849&lt;&gt;"",OR($L1849&lt;&gt;"Chưa xác định",DANH_MUC!$L$9="Có"))),"Có","Không"))</f>
        <v/>
      </c>
      <c r="U1849" s="22">
        <f>IF(OR($D1849="",$T1849="Có"),"",IF($C1849="","Thiếu họ tên; ","")&amp;IF($S1849&lt;&gt;"Có","SĐT sai định dạng; ","")&amp;IF($R1849="Trùng","Trùng SĐT; ","")&amp;IF($Q1849&lt;&gt;"Có","Thiếu đồng ý bắt buộc; ","")&amp;IF($L1849="","Thiếu/sai Mã REF; ",IF(AND($L1849="Chưa xác định",DANH_MUC!$L$9&lt;&gt;"Có"),"Nguồn chưa xác định; ","")))</f>
        <v/>
      </c>
      <c r="V1849" s="22">
        <f>IF(OR($D1849="",$R1849="Trùng"),"",IF(COUNTIF(ORDERS!$C$2:$C$4995,$D1849)&gt;0,"Có","Không"))</f>
        <v/>
      </c>
      <c r="W1849" s="22">
        <f>IF(OR($D1849="",$R1849="Trùng"),"",COUNTIFS(ORDERS!$C$2:$C$4995,$D1849,ORDERS!$L$2:$L$4995,"Đã chuyển khoản"))</f>
        <v/>
      </c>
      <c r="X1849" s="23">
        <f>IF(OR($D1849="",$R1849="Trùng"),"",SUMIFS(ORDERS!$J$2:$J$4995,ORDERS!$C$2:$C$4995,$D1849,ORDERS!$L$2:$L$4995,"Đã chuyển khoản"))</f>
        <v/>
      </c>
      <c r="Y1849" s="24" t="n"/>
    </row>
    <row r="1850" ht="14.25" customHeight="1" s="40">
      <c r="A1850" s="24" t="n"/>
      <c r="B1850" s="27" t="n"/>
      <c r="C1850" s="24" t="n"/>
      <c r="D1850" s="28" t="n"/>
      <c r="E1850" s="29" t="n"/>
      <c r="F1850" s="24" t="n"/>
      <c r="G1850" s="24" t="n"/>
      <c r="H1850" s="21">
        <f>IF(ISNUMBER($B1850),INT($B1850)-WEEKDAY($B1850,2)+1,"")</f>
        <v/>
      </c>
      <c r="I1850" s="24" t="n"/>
      <c r="J1850" s="22">
        <f t="array" ref="J1850">IF($D1850="","",IF($I1850="","(trống REF)",IFERROR(INDEX(MASTER_SOURCE!$B$2:$B$495,MATCH($I1850,MASTER_SOURCE!$A$2:$A$495,0)),"(REF không có trong MASTER_SOURCE)")))</f>
        <v/>
      </c>
      <c r="K1850" s="22">
        <f t="array" ref="K1850">IF($D1850="","",IFERROR(INDEX(MASTER_SOURCE!$C$2:$C$495,MATCH($I1850,MASTER_SOURCE!$A$2:$A$495,0)),""))</f>
        <v/>
      </c>
      <c r="L1850" s="22">
        <f t="array" ref="L1850">IF($D1850="","",IFERROR(INDEX(MASTER_SOURCE!$D$2:$D$495,MATCH($I1850,MASTER_SOURCE!$A$2:$A$495,0)),""))</f>
        <v/>
      </c>
      <c r="M1850" s="24" t="n"/>
      <c r="N1850" s="24" t="n"/>
      <c r="O1850" s="24" t="n"/>
      <c r="P1850" s="24" t="n"/>
      <c r="Q1850" s="22">
        <f>IF($D1850="","",IF(AND(OR(DANH_MUC!$L$5&lt;&gt;"Có",M1850="Có"),OR(DANH_MUC!$L$6&lt;&gt;"Có",N1850="Có"),OR(DANH_MUC!$L$7&lt;&gt;"Có",O1850="Có"),OR(DANH_MUC!$L$8&lt;&gt;"Có",P1850="Có")),"Có","Không"))</f>
        <v/>
      </c>
      <c r="R1850" s="22">
        <f>IF($D1850="","",IF(COUNTIF($D$2:$D1850,$D1850)&gt;1,"Trùng",""))</f>
        <v/>
      </c>
      <c r="S1850" s="22">
        <f>IF($D1850="","",IF(AND(LEN($D1850)=10,LEFT($D1850,1)="0",ISNUMBER(--$D1850)),"Có","Không"))</f>
        <v/>
      </c>
      <c r="T1850" s="22">
        <f>IF($D1850="","",IF(AND($C1850&lt;&gt;"",$Q1850="Có",$R1850="",$S1850="Có",AND($L1850&lt;&gt;"",OR($L1850&lt;&gt;"Chưa xác định",DANH_MUC!$L$9="Có"))),"Có","Không"))</f>
        <v/>
      </c>
      <c r="U1850" s="22">
        <f>IF(OR($D1850="",$T1850="Có"),"",IF($C1850="","Thiếu họ tên; ","")&amp;IF($S1850&lt;&gt;"Có","SĐT sai định dạng; ","")&amp;IF($R1850="Trùng","Trùng SĐT; ","")&amp;IF($Q1850&lt;&gt;"Có","Thiếu đồng ý bắt buộc; ","")&amp;IF($L1850="","Thiếu/sai Mã REF; ",IF(AND($L1850="Chưa xác định",DANH_MUC!$L$9&lt;&gt;"Có"),"Nguồn chưa xác định; ","")))</f>
        <v/>
      </c>
      <c r="V1850" s="22">
        <f>IF(OR($D1850="",$R1850="Trùng"),"",IF(COUNTIF(ORDERS!$C$2:$C$4995,$D1850)&gt;0,"Có","Không"))</f>
        <v/>
      </c>
      <c r="W1850" s="22">
        <f>IF(OR($D1850="",$R1850="Trùng"),"",COUNTIFS(ORDERS!$C$2:$C$4995,$D1850,ORDERS!$L$2:$L$4995,"Đã chuyển khoản"))</f>
        <v/>
      </c>
      <c r="X1850" s="23">
        <f>IF(OR($D1850="",$R1850="Trùng"),"",SUMIFS(ORDERS!$J$2:$J$4995,ORDERS!$C$2:$C$4995,$D1850,ORDERS!$L$2:$L$4995,"Đã chuyển khoản"))</f>
        <v/>
      </c>
      <c r="Y1850" s="24" t="n"/>
    </row>
    <row r="1851" ht="14.25" customHeight="1" s="40">
      <c r="A1851" s="24" t="n"/>
      <c r="B1851" s="27" t="n"/>
      <c r="C1851" s="24" t="n"/>
      <c r="D1851" s="28" t="n"/>
      <c r="E1851" s="29" t="n"/>
      <c r="F1851" s="24" t="n"/>
      <c r="G1851" s="24" t="n"/>
      <c r="H1851" s="21">
        <f>IF(ISNUMBER($B1851),INT($B1851)-WEEKDAY($B1851,2)+1,"")</f>
        <v/>
      </c>
      <c r="I1851" s="24" t="n"/>
      <c r="J1851" s="22">
        <f t="array" ref="J1851">IF($D1851="","",IF($I1851="","(trống REF)",IFERROR(INDEX(MASTER_SOURCE!$B$2:$B$495,MATCH($I1851,MASTER_SOURCE!$A$2:$A$495,0)),"(REF không có trong MASTER_SOURCE)")))</f>
        <v/>
      </c>
      <c r="K1851" s="22">
        <f t="array" ref="K1851">IF($D1851="","",IFERROR(INDEX(MASTER_SOURCE!$C$2:$C$495,MATCH($I1851,MASTER_SOURCE!$A$2:$A$495,0)),""))</f>
        <v/>
      </c>
      <c r="L1851" s="22">
        <f t="array" ref="L1851">IF($D1851="","",IFERROR(INDEX(MASTER_SOURCE!$D$2:$D$495,MATCH($I1851,MASTER_SOURCE!$A$2:$A$495,0)),""))</f>
        <v/>
      </c>
      <c r="M1851" s="24" t="n"/>
      <c r="N1851" s="24" t="n"/>
      <c r="O1851" s="24" t="n"/>
      <c r="P1851" s="24" t="n"/>
      <c r="Q1851" s="22">
        <f>IF($D1851="","",IF(AND(OR(DANH_MUC!$L$5&lt;&gt;"Có",M1851="Có"),OR(DANH_MUC!$L$6&lt;&gt;"Có",N1851="Có"),OR(DANH_MUC!$L$7&lt;&gt;"Có",O1851="Có"),OR(DANH_MUC!$L$8&lt;&gt;"Có",P1851="Có")),"Có","Không"))</f>
        <v/>
      </c>
      <c r="R1851" s="22">
        <f>IF($D1851="","",IF(COUNTIF($D$2:$D1851,$D1851)&gt;1,"Trùng",""))</f>
        <v/>
      </c>
      <c r="S1851" s="22">
        <f>IF($D1851="","",IF(AND(LEN($D1851)=10,LEFT($D1851,1)="0",ISNUMBER(--$D1851)),"Có","Không"))</f>
        <v/>
      </c>
      <c r="T1851" s="22">
        <f>IF($D1851="","",IF(AND($C1851&lt;&gt;"",$Q1851="Có",$R1851="",$S1851="Có",AND($L1851&lt;&gt;"",OR($L1851&lt;&gt;"Chưa xác định",DANH_MUC!$L$9="Có"))),"Có","Không"))</f>
        <v/>
      </c>
      <c r="U1851" s="22">
        <f>IF(OR($D1851="",$T1851="Có"),"",IF($C1851="","Thiếu họ tên; ","")&amp;IF($S1851&lt;&gt;"Có","SĐT sai định dạng; ","")&amp;IF($R1851="Trùng","Trùng SĐT; ","")&amp;IF($Q1851&lt;&gt;"Có","Thiếu đồng ý bắt buộc; ","")&amp;IF($L1851="","Thiếu/sai Mã REF; ",IF(AND($L1851="Chưa xác định",DANH_MUC!$L$9&lt;&gt;"Có"),"Nguồn chưa xác định; ","")))</f>
        <v/>
      </c>
      <c r="V1851" s="22">
        <f>IF(OR($D1851="",$R1851="Trùng"),"",IF(COUNTIF(ORDERS!$C$2:$C$4995,$D1851)&gt;0,"Có","Không"))</f>
        <v/>
      </c>
      <c r="W1851" s="22">
        <f>IF(OR($D1851="",$R1851="Trùng"),"",COUNTIFS(ORDERS!$C$2:$C$4995,$D1851,ORDERS!$L$2:$L$4995,"Đã chuyển khoản"))</f>
        <v/>
      </c>
      <c r="X1851" s="23">
        <f>IF(OR($D1851="",$R1851="Trùng"),"",SUMIFS(ORDERS!$J$2:$J$4995,ORDERS!$C$2:$C$4995,$D1851,ORDERS!$L$2:$L$4995,"Đã chuyển khoản"))</f>
        <v/>
      </c>
      <c r="Y1851" s="24" t="n"/>
    </row>
    <row r="1852" ht="14.25" customHeight="1" s="40">
      <c r="A1852" s="24" t="n"/>
      <c r="B1852" s="27" t="n"/>
      <c r="C1852" s="24" t="n"/>
      <c r="D1852" s="28" t="n"/>
      <c r="E1852" s="29" t="n"/>
      <c r="F1852" s="24" t="n"/>
      <c r="G1852" s="24" t="n"/>
      <c r="H1852" s="21">
        <f>IF(ISNUMBER($B1852),INT($B1852)-WEEKDAY($B1852,2)+1,"")</f>
        <v/>
      </c>
      <c r="I1852" s="24" t="n"/>
      <c r="J1852" s="22">
        <f t="array" ref="J1852">IF($D1852="","",IF($I1852="","(trống REF)",IFERROR(INDEX(MASTER_SOURCE!$B$2:$B$495,MATCH($I1852,MASTER_SOURCE!$A$2:$A$495,0)),"(REF không có trong MASTER_SOURCE)")))</f>
        <v/>
      </c>
      <c r="K1852" s="22">
        <f t="array" ref="K1852">IF($D1852="","",IFERROR(INDEX(MASTER_SOURCE!$C$2:$C$495,MATCH($I1852,MASTER_SOURCE!$A$2:$A$495,0)),""))</f>
        <v/>
      </c>
      <c r="L1852" s="22">
        <f t="array" ref="L1852">IF($D1852="","",IFERROR(INDEX(MASTER_SOURCE!$D$2:$D$495,MATCH($I1852,MASTER_SOURCE!$A$2:$A$495,0)),""))</f>
        <v/>
      </c>
      <c r="M1852" s="24" t="n"/>
      <c r="N1852" s="24" t="n"/>
      <c r="O1852" s="24" t="n"/>
      <c r="P1852" s="24" t="n"/>
      <c r="Q1852" s="22">
        <f>IF($D1852="","",IF(AND(OR(DANH_MUC!$L$5&lt;&gt;"Có",M1852="Có"),OR(DANH_MUC!$L$6&lt;&gt;"Có",N1852="Có"),OR(DANH_MUC!$L$7&lt;&gt;"Có",O1852="Có"),OR(DANH_MUC!$L$8&lt;&gt;"Có",P1852="Có")),"Có","Không"))</f>
        <v/>
      </c>
      <c r="R1852" s="22">
        <f>IF($D1852="","",IF(COUNTIF($D$2:$D1852,$D1852)&gt;1,"Trùng",""))</f>
        <v/>
      </c>
      <c r="S1852" s="22">
        <f>IF($D1852="","",IF(AND(LEN($D1852)=10,LEFT($D1852,1)="0",ISNUMBER(--$D1852)),"Có","Không"))</f>
        <v/>
      </c>
      <c r="T1852" s="22">
        <f>IF($D1852="","",IF(AND($C1852&lt;&gt;"",$Q1852="Có",$R1852="",$S1852="Có",AND($L1852&lt;&gt;"",OR($L1852&lt;&gt;"Chưa xác định",DANH_MUC!$L$9="Có"))),"Có","Không"))</f>
        <v/>
      </c>
      <c r="U1852" s="22">
        <f>IF(OR($D1852="",$T1852="Có"),"",IF($C1852="","Thiếu họ tên; ","")&amp;IF($S1852&lt;&gt;"Có","SĐT sai định dạng; ","")&amp;IF($R1852="Trùng","Trùng SĐT; ","")&amp;IF($Q1852&lt;&gt;"Có","Thiếu đồng ý bắt buộc; ","")&amp;IF($L1852="","Thiếu/sai Mã REF; ",IF(AND($L1852="Chưa xác định",DANH_MUC!$L$9&lt;&gt;"Có"),"Nguồn chưa xác định; ","")))</f>
        <v/>
      </c>
      <c r="V1852" s="22">
        <f>IF(OR($D1852="",$R1852="Trùng"),"",IF(COUNTIF(ORDERS!$C$2:$C$4995,$D1852)&gt;0,"Có","Không"))</f>
        <v/>
      </c>
      <c r="W1852" s="22">
        <f>IF(OR($D1852="",$R1852="Trùng"),"",COUNTIFS(ORDERS!$C$2:$C$4995,$D1852,ORDERS!$L$2:$L$4995,"Đã chuyển khoản"))</f>
        <v/>
      </c>
      <c r="X1852" s="23">
        <f>IF(OR($D1852="",$R1852="Trùng"),"",SUMIFS(ORDERS!$J$2:$J$4995,ORDERS!$C$2:$C$4995,$D1852,ORDERS!$L$2:$L$4995,"Đã chuyển khoản"))</f>
        <v/>
      </c>
      <c r="Y1852" s="24" t="n"/>
    </row>
    <row r="1853" ht="14.25" customHeight="1" s="40">
      <c r="A1853" s="24" t="n"/>
      <c r="B1853" s="27" t="n"/>
      <c r="C1853" s="24" t="n"/>
      <c r="D1853" s="28" t="n"/>
      <c r="E1853" s="29" t="n"/>
      <c r="F1853" s="24" t="n"/>
      <c r="G1853" s="24" t="n"/>
      <c r="H1853" s="21">
        <f>IF(ISNUMBER($B1853),INT($B1853)-WEEKDAY($B1853,2)+1,"")</f>
        <v/>
      </c>
      <c r="I1853" s="24" t="n"/>
      <c r="J1853" s="22">
        <f t="array" ref="J1853">IF($D1853="","",IF($I1853="","(trống REF)",IFERROR(INDEX(MASTER_SOURCE!$B$2:$B$495,MATCH($I1853,MASTER_SOURCE!$A$2:$A$495,0)),"(REF không có trong MASTER_SOURCE)")))</f>
        <v/>
      </c>
      <c r="K1853" s="22">
        <f t="array" ref="K1853">IF($D1853="","",IFERROR(INDEX(MASTER_SOURCE!$C$2:$C$495,MATCH($I1853,MASTER_SOURCE!$A$2:$A$495,0)),""))</f>
        <v/>
      </c>
      <c r="L1853" s="22">
        <f t="array" ref="L1853">IF($D1853="","",IFERROR(INDEX(MASTER_SOURCE!$D$2:$D$495,MATCH($I1853,MASTER_SOURCE!$A$2:$A$495,0)),""))</f>
        <v/>
      </c>
      <c r="M1853" s="24" t="n"/>
      <c r="N1853" s="24" t="n"/>
      <c r="O1853" s="24" t="n"/>
      <c r="P1853" s="24" t="n"/>
      <c r="Q1853" s="22">
        <f>IF($D1853="","",IF(AND(OR(DANH_MUC!$L$5&lt;&gt;"Có",M1853="Có"),OR(DANH_MUC!$L$6&lt;&gt;"Có",N1853="Có"),OR(DANH_MUC!$L$7&lt;&gt;"Có",O1853="Có"),OR(DANH_MUC!$L$8&lt;&gt;"Có",P1853="Có")),"Có","Không"))</f>
        <v/>
      </c>
      <c r="R1853" s="22">
        <f>IF($D1853="","",IF(COUNTIF($D$2:$D1853,$D1853)&gt;1,"Trùng",""))</f>
        <v/>
      </c>
      <c r="S1853" s="22">
        <f>IF($D1853="","",IF(AND(LEN($D1853)=10,LEFT($D1853,1)="0",ISNUMBER(--$D1853)),"Có","Không"))</f>
        <v/>
      </c>
      <c r="T1853" s="22">
        <f>IF($D1853="","",IF(AND($C1853&lt;&gt;"",$Q1853="Có",$R1853="",$S1853="Có",AND($L1853&lt;&gt;"",OR($L1853&lt;&gt;"Chưa xác định",DANH_MUC!$L$9="Có"))),"Có","Không"))</f>
        <v/>
      </c>
      <c r="U1853" s="22">
        <f>IF(OR($D1853="",$T1853="Có"),"",IF($C1853="","Thiếu họ tên; ","")&amp;IF($S1853&lt;&gt;"Có","SĐT sai định dạng; ","")&amp;IF($R1853="Trùng","Trùng SĐT; ","")&amp;IF($Q1853&lt;&gt;"Có","Thiếu đồng ý bắt buộc; ","")&amp;IF($L1853="","Thiếu/sai Mã REF; ",IF(AND($L1853="Chưa xác định",DANH_MUC!$L$9&lt;&gt;"Có"),"Nguồn chưa xác định; ","")))</f>
        <v/>
      </c>
      <c r="V1853" s="22">
        <f>IF(OR($D1853="",$R1853="Trùng"),"",IF(COUNTIF(ORDERS!$C$2:$C$4995,$D1853)&gt;0,"Có","Không"))</f>
        <v/>
      </c>
      <c r="W1853" s="22">
        <f>IF(OR($D1853="",$R1853="Trùng"),"",COUNTIFS(ORDERS!$C$2:$C$4995,$D1853,ORDERS!$L$2:$L$4995,"Đã chuyển khoản"))</f>
        <v/>
      </c>
      <c r="X1853" s="23">
        <f>IF(OR($D1853="",$R1853="Trùng"),"",SUMIFS(ORDERS!$J$2:$J$4995,ORDERS!$C$2:$C$4995,$D1853,ORDERS!$L$2:$L$4995,"Đã chuyển khoản"))</f>
        <v/>
      </c>
      <c r="Y1853" s="24" t="n"/>
    </row>
    <row r="1854" ht="14.25" customHeight="1" s="40">
      <c r="A1854" s="24" t="n"/>
      <c r="B1854" s="27" t="n"/>
      <c r="C1854" s="24" t="n"/>
      <c r="D1854" s="28" t="n"/>
      <c r="E1854" s="29" t="n"/>
      <c r="F1854" s="24" t="n"/>
      <c r="G1854" s="24" t="n"/>
      <c r="H1854" s="21">
        <f>IF(ISNUMBER($B1854),INT($B1854)-WEEKDAY($B1854,2)+1,"")</f>
        <v/>
      </c>
      <c r="I1854" s="24" t="n"/>
      <c r="J1854" s="22">
        <f t="array" ref="J1854">IF($D1854="","",IF($I1854="","(trống REF)",IFERROR(INDEX(MASTER_SOURCE!$B$2:$B$495,MATCH($I1854,MASTER_SOURCE!$A$2:$A$495,0)),"(REF không có trong MASTER_SOURCE)")))</f>
        <v/>
      </c>
      <c r="K1854" s="22">
        <f t="array" ref="K1854">IF($D1854="","",IFERROR(INDEX(MASTER_SOURCE!$C$2:$C$495,MATCH($I1854,MASTER_SOURCE!$A$2:$A$495,0)),""))</f>
        <v/>
      </c>
      <c r="L1854" s="22">
        <f t="array" ref="L1854">IF($D1854="","",IFERROR(INDEX(MASTER_SOURCE!$D$2:$D$495,MATCH($I1854,MASTER_SOURCE!$A$2:$A$495,0)),""))</f>
        <v/>
      </c>
      <c r="M1854" s="24" t="n"/>
      <c r="N1854" s="24" t="n"/>
      <c r="O1854" s="24" t="n"/>
      <c r="P1854" s="24" t="n"/>
      <c r="Q1854" s="22">
        <f>IF($D1854="","",IF(AND(OR(DANH_MUC!$L$5&lt;&gt;"Có",M1854="Có"),OR(DANH_MUC!$L$6&lt;&gt;"Có",N1854="Có"),OR(DANH_MUC!$L$7&lt;&gt;"Có",O1854="Có"),OR(DANH_MUC!$L$8&lt;&gt;"Có",P1854="Có")),"Có","Không"))</f>
        <v/>
      </c>
      <c r="R1854" s="22">
        <f>IF($D1854="","",IF(COUNTIF($D$2:$D1854,$D1854)&gt;1,"Trùng",""))</f>
        <v/>
      </c>
      <c r="S1854" s="22">
        <f>IF($D1854="","",IF(AND(LEN($D1854)=10,LEFT($D1854,1)="0",ISNUMBER(--$D1854)),"Có","Không"))</f>
        <v/>
      </c>
      <c r="T1854" s="22">
        <f>IF($D1854="","",IF(AND($C1854&lt;&gt;"",$Q1854="Có",$R1854="",$S1854="Có",AND($L1854&lt;&gt;"",OR($L1854&lt;&gt;"Chưa xác định",DANH_MUC!$L$9="Có"))),"Có","Không"))</f>
        <v/>
      </c>
      <c r="U1854" s="22">
        <f>IF(OR($D1854="",$T1854="Có"),"",IF($C1854="","Thiếu họ tên; ","")&amp;IF($S1854&lt;&gt;"Có","SĐT sai định dạng; ","")&amp;IF($R1854="Trùng","Trùng SĐT; ","")&amp;IF($Q1854&lt;&gt;"Có","Thiếu đồng ý bắt buộc; ","")&amp;IF($L1854="","Thiếu/sai Mã REF; ",IF(AND($L1854="Chưa xác định",DANH_MUC!$L$9&lt;&gt;"Có"),"Nguồn chưa xác định; ","")))</f>
        <v/>
      </c>
      <c r="V1854" s="22">
        <f>IF(OR($D1854="",$R1854="Trùng"),"",IF(COUNTIF(ORDERS!$C$2:$C$4995,$D1854)&gt;0,"Có","Không"))</f>
        <v/>
      </c>
      <c r="W1854" s="22">
        <f>IF(OR($D1854="",$R1854="Trùng"),"",COUNTIFS(ORDERS!$C$2:$C$4995,$D1854,ORDERS!$L$2:$L$4995,"Đã chuyển khoản"))</f>
        <v/>
      </c>
      <c r="X1854" s="23">
        <f>IF(OR($D1854="",$R1854="Trùng"),"",SUMIFS(ORDERS!$J$2:$J$4995,ORDERS!$C$2:$C$4995,$D1854,ORDERS!$L$2:$L$4995,"Đã chuyển khoản"))</f>
        <v/>
      </c>
      <c r="Y1854" s="24" t="n"/>
    </row>
    <row r="1855" ht="14.25" customHeight="1" s="40">
      <c r="A1855" s="24" t="n"/>
      <c r="B1855" s="27" t="n"/>
      <c r="C1855" s="24" t="n"/>
      <c r="D1855" s="28" t="n"/>
      <c r="E1855" s="29" t="n"/>
      <c r="F1855" s="24" t="n"/>
      <c r="G1855" s="24" t="n"/>
      <c r="H1855" s="21">
        <f>IF(ISNUMBER($B1855),INT($B1855)-WEEKDAY($B1855,2)+1,"")</f>
        <v/>
      </c>
      <c r="I1855" s="24" t="n"/>
      <c r="J1855" s="22">
        <f t="array" ref="J1855">IF($D1855="","",IF($I1855="","(trống REF)",IFERROR(INDEX(MASTER_SOURCE!$B$2:$B$495,MATCH($I1855,MASTER_SOURCE!$A$2:$A$495,0)),"(REF không có trong MASTER_SOURCE)")))</f>
        <v/>
      </c>
      <c r="K1855" s="22">
        <f t="array" ref="K1855">IF($D1855="","",IFERROR(INDEX(MASTER_SOURCE!$C$2:$C$495,MATCH($I1855,MASTER_SOURCE!$A$2:$A$495,0)),""))</f>
        <v/>
      </c>
      <c r="L1855" s="22">
        <f t="array" ref="L1855">IF($D1855="","",IFERROR(INDEX(MASTER_SOURCE!$D$2:$D$495,MATCH($I1855,MASTER_SOURCE!$A$2:$A$495,0)),""))</f>
        <v/>
      </c>
      <c r="M1855" s="24" t="n"/>
      <c r="N1855" s="24" t="n"/>
      <c r="O1855" s="24" t="n"/>
      <c r="P1855" s="24" t="n"/>
      <c r="Q1855" s="22">
        <f>IF($D1855="","",IF(AND(OR(DANH_MUC!$L$5&lt;&gt;"Có",M1855="Có"),OR(DANH_MUC!$L$6&lt;&gt;"Có",N1855="Có"),OR(DANH_MUC!$L$7&lt;&gt;"Có",O1855="Có"),OR(DANH_MUC!$L$8&lt;&gt;"Có",P1855="Có")),"Có","Không"))</f>
        <v/>
      </c>
      <c r="R1855" s="22">
        <f>IF($D1855="","",IF(COUNTIF($D$2:$D1855,$D1855)&gt;1,"Trùng",""))</f>
        <v/>
      </c>
      <c r="S1855" s="22">
        <f>IF($D1855="","",IF(AND(LEN($D1855)=10,LEFT($D1855,1)="0",ISNUMBER(--$D1855)),"Có","Không"))</f>
        <v/>
      </c>
      <c r="T1855" s="22">
        <f>IF($D1855="","",IF(AND($C1855&lt;&gt;"",$Q1855="Có",$R1855="",$S1855="Có",AND($L1855&lt;&gt;"",OR($L1855&lt;&gt;"Chưa xác định",DANH_MUC!$L$9="Có"))),"Có","Không"))</f>
        <v/>
      </c>
      <c r="U1855" s="22">
        <f>IF(OR($D1855="",$T1855="Có"),"",IF($C1855="","Thiếu họ tên; ","")&amp;IF($S1855&lt;&gt;"Có","SĐT sai định dạng; ","")&amp;IF($R1855="Trùng","Trùng SĐT; ","")&amp;IF($Q1855&lt;&gt;"Có","Thiếu đồng ý bắt buộc; ","")&amp;IF($L1855="","Thiếu/sai Mã REF; ",IF(AND($L1855="Chưa xác định",DANH_MUC!$L$9&lt;&gt;"Có"),"Nguồn chưa xác định; ","")))</f>
        <v/>
      </c>
      <c r="V1855" s="22">
        <f>IF(OR($D1855="",$R1855="Trùng"),"",IF(COUNTIF(ORDERS!$C$2:$C$4995,$D1855)&gt;0,"Có","Không"))</f>
        <v/>
      </c>
      <c r="W1855" s="22">
        <f>IF(OR($D1855="",$R1855="Trùng"),"",COUNTIFS(ORDERS!$C$2:$C$4995,$D1855,ORDERS!$L$2:$L$4995,"Đã chuyển khoản"))</f>
        <v/>
      </c>
      <c r="X1855" s="23">
        <f>IF(OR($D1855="",$R1855="Trùng"),"",SUMIFS(ORDERS!$J$2:$J$4995,ORDERS!$C$2:$C$4995,$D1855,ORDERS!$L$2:$L$4995,"Đã chuyển khoản"))</f>
        <v/>
      </c>
      <c r="Y1855" s="24" t="n"/>
    </row>
    <row r="1856" ht="14.25" customHeight="1" s="40">
      <c r="A1856" s="24" t="n"/>
      <c r="B1856" s="27" t="n"/>
      <c r="C1856" s="24" t="n"/>
      <c r="D1856" s="28" t="n"/>
      <c r="E1856" s="29" t="n"/>
      <c r="F1856" s="24" t="n"/>
      <c r="G1856" s="24" t="n"/>
      <c r="H1856" s="21">
        <f>IF(ISNUMBER($B1856),INT($B1856)-WEEKDAY($B1856,2)+1,"")</f>
        <v/>
      </c>
      <c r="I1856" s="24" t="n"/>
      <c r="J1856" s="22">
        <f t="array" ref="J1856">IF($D1856="","",IF($I1856="","(trống REF)",IFERROR(INDEX(MASTER_SOURCE!$B$2:$B$495,MATCH($I1856,MASTER_SOURCE!$A$2:$A$495,0)),"(REF không có trong MASTER_SOURCE)")))</f>
        <v/>
      </c>
      <c r="K1856" s="22">
        <f t="array" ref="K1856">IF($D1856="","",IFERROR(INDEX(MASTER_SOURCE!$C$2:$C$495,MATCH($I1856,MASTER_SOURCE!$A$2:$A$495,0)),""))</f>
        <v/>
      </c>
      <c r="L1856" s="22">
        <f t="array" ref="L1856">IF($D1856="","",IFERROR(INDEX(MASTER_SOURCE!$D$2:$D$495,MATCH($I1856,MASTER_SOURCE!$A$2:$A$495,0)),""))</f>
        <v/>
      </c>
      <c r="M1856" s="24" t="n"/>
      <c r="N1856" s="24" t="n"/>
      <c r="O1856" s="24" t="n"/>
      <c r="P1856" s="24" t="n"/>
      <c r="Q1856" s="22">
        <f>IF($D1856="","",IF(AND(OR(DANH_MUC!$L$5&lt;&gt;"Có",M1856="Có"),OR(DANH_MUC!$L$6&lt;&gt;"Có",N1856="Có"),OR(DANH_MUC!$L$7&lt;&gt;"Có",O1856="Có"),OR(DANH_MUC!$L$8&lt;&gt;"Có",P1856="Có")),"Có","Không"))</f>
        <v/>
      </c>
      <c r="R1856" s="22">
        <f>IF($D1856="","",IF(COUNTIF($D$2:$D1856,$D1856)&gt;1,"Trùng",""))</f>
        <v/>
      </c>
      <c r="S1856" s="22">
        <f>IF($D1856="","",IF(AND(LEN($D1856)=10,LEFT($D1856,1)="0",ISNUMBER(--$D1856)),"Có","Không"))</f>
        <v/>
      </c>
      <c r="T1856" s="22">
        <f>IF($D1856="","",IF(AND($C1856&lt;&gt;"",$Q1856="Có",$R1856="",$S1856="Có",AND($L1856&lt;&gt;"",OR($L1856&lt;&gt;"Chưa xác định",DANH_MUC!$L$9="Có"))),"Có","Không"))</f>
        <v/>
      </c>
      <c r="U1856" s="22">
        <f>IF(OR($D1856="",$T1856="Có"),"",IF($C1856="","Thiếu họ tên; ","")&amp;IF($S1856&lt;&gt;"Có","SĐT sai định dạng; ","")&amp;IF($R1856="Trùng","Trùng SĐT; ","")&amp;IF($Q1856&lt;&gt;"Có","Thiếu đồng ý bắt buộc; ","")&amp;IF($L1856="","Thiếu/sai Mã REF; ",IF(AND($L1856="Chưa xác định",DANH_MUC!$L$9&lt;&gt;"Có"),"Nguồn chưa xác định; ","")))</f>
        <v/>
      </c>
      <c r="V1856" s="22">
        <f>IF(OR($D1856="",$R1856="Trùng"),"",IF(COUNTIF(ORDERS!$C$2:$C$4995,$D1856)&gt;0,"Có","Không"))</f>
        <v/>
      </c>
      <c r="W1856" s="22">
        <f>IF(OR($D1856="",$R1856="Trùng"),"",COUNTIFS(ORDERS!$C$2:$C$4995,$D1856,ORDERS!$L$2:$L$4995,"Đã chuyển khoản"))</f>
        <v/>
      </c>
      <c r="X1856" s="23">
        <f>IF(OR($D1856="",$R1856="Trùng"),"",SUMIFS(ORDERS!$J$2:$J$4995,ORDERS!$C$2:$C$4995,$D1856,ORDERS!$L$2:$L$4995,"Đã chuyển khoản"))</f>
        <v/>
      </c>
      <c r="Y1856" s="24" t="n"/>
    </row>
    <row r="1857" ht="14.25" customHeight="1" s="40">
      <c r="A1857" s="24" t="n"/>
      <c r="B1857" s="27" t="n"/>
      <c r="C1857" s="24" t="n"/>
      <c r="D1857" s="28" t="n"/>
      <c r="E1857" s="29" t="n"/>
      <c r="F1857" s="24" t="n"/>
      <c r="G1857" s="24" t="n"/>
      <c r="H1857" s="21">
        <f>IF(ISNUMBER($B1857),INT($B1857)-WEEKDAY($B1857,2)+1,"")</f>
        <v/>
      </c>
      <c r="I1857" s="24" t="n"/>
      <c r="J1857" s="22">
        <f t="array" ref="J1857">IF($D1857="","",IF($I1857="","(trống REF)",IFERROR(INDEX(MASTER_SOURCE!$B$2:$B$495,MATCH($I1857,MASTER_SOURCE!$A$2:$A$495,0)),"(REF không có trong MASTER_SOURCE)")))</f>
        <v/>
      </c>
      <c r="K1857" s="22">
        <f t="array" ref="K1857">IF($D1857="","",IFERROR(INDEX(MASTER_SOURCE!$C$2:$C$495,MATCH($I1857,MASTER_SOURCE!$A$2:$A$495,0)),""))</f>
        <v/>
      </c>
      <c r="L1857" s="22">
        <f t="array" ref="L1857">IF($D1857="","",IFERROR(INDEX(MASTER_SOURCE!$D$2:$D$495,MATCH($I1857,MASTER_SOURCE!$A$2:$A$495,0)),""))</f>
        <v/>
      </c>
      <c r="M1857" s="24" t="n"/>
      <c r="N1857" s="24" t="n"/>
      <c r="O1857" s="24" t="n"/>
      <c r="P1857" s="24" t="n"/>
      <c r="Q1857" s="22">
        <f>IF($D1857="","",IF(AND(OR(DANH_MUC!$L$5&lt;&gt;"Có",M1857="Có"),OR(DANH_MUC!$L$6&lt;&gt;"Có",N1857="Có"),OR(DANH_MUC!$L$7&lt;&gt;"Có",O1857="Có"),OR(DANH_MUC!$L$8&lt;&gt;"Có",P1857="Có")),"Có","Không"))</f>
        <v/>
      </c>
      <c r="R1857" s="22">
        <f>IF($D1857="","",IF(COUNTIF($D$2:$D1857,$D1857)&gt;1,"Trùng",""))</f>
        <v/>
      </c>
      <c r="S1857" s="22">
        <f>IF($D1857="","",IF(AND(LEN($D1857)=10,LEFT($D1857,1)="0",ISNUMBER(--$D1857)),"Có","Không"))</f>
        <v/>
      </c>
      <c r="T1857" s="22">
        <f>IF($D1857="","",IF(AND($C1857&lt;&gt;"",$Q1857="Có",$R1857="",$S1857="Có",AND($L1857&lt;&gt;"",OR($L1857&lt;&gt;"Chưa xác định",DANH_MUC!$L$9="Có"))),"Có","Không"))</f>
        <v/>
      </c>
      <c r="U1857" s="22">
        <f>IF(OR($D1857="",$T1857="Có"),"",IF($C1857="","Thiếu họ tên; ","")&amp;IF($S1857&lt;&gt;"Có","SĐT sai định dạng; ","")&amp;IF($R1857="Trùng","Trùng SĐT; ","")&amp;IF($Q1857&lt;&gt;"Có","Thiếu đồng ý bắt buộc; ","")&amp;IF($L1857="","Thiếu/sai Mã REF; ",IF(AND($L1857="Chưa xác định",DANH_MUC!$L$9&lt;&gt;"Có"),"Nguồn chưa xác định; ","")))</f>
        <v/>
      </c>
      <c r="V1857" s="22">
        <f>IF(OR($D1857="",$R1857="Trùng"),"",IF(COUNTIF(ORDERS!$C$2:$C$4995,$D1857)&gt;0,"Có","Không"))</f>
        <v/>
      </c>
      <c r="W1857" s="22">
        <f>IF(OR($D1857="",$R1857="Trùng"),"",COUNTIFS(ORDERS!$C$2:$C$4995,$D1857,ORDERS!$L$2:$L$4995,"Đã chuyển khoản"))</f>
        <v/>
      </c>
      <c r="X1857" s="23">
        <f>IF(OR($D1857="",$R1857="Trùng"),"",SUMIFS(ORDERS!$J$2:$J$4995,ORDERS!$C$2:$C$4995,$D1857,ORDERS!$L$2:$L$4995,"Đã chuyển khoản"))</f>
        <v/>
      </c>
      <c r="Y1857" s="24" t="n"/>
    </row>
    <row r="1858" ht="14.25" customHeight="1" s="40">
      <c r="A1858" s="24" t="n"/>
      <c r="B1858" s="27" t="n"/>
      <c r="C1858" s="24" t="n"/>
      <c r="D1858" s="28" t="n"/>
      <c r="E1858" s="29" t="n"/>
      <c r="F1858" s="24" t="n"/>
      <c r="G1858" s="24" t="n"/>
      <c r="H1858" s="21">
        <f>IF(ISNUMBER($B1858),INT($B1858)-WEEKDAY($B1858,2)+1,"")</f>
        <v/>
      </c>
      <c r="I1858" s="24" t="n"/>
      <c r="J1858" s="22">
        <f t="array" ref="J1858">IF($D1858="","",IF($I1858="","(trống REF)",IFERROR(INDEX(MASTER_SOURCE!$B$2:$B$495,MATCH($I1858,MASTER_SOURCE!$A$2:$A$495,0)),"(REF không có trong MASTER_SOURCE)")))</f>
        <v/>
      </c>
      <c r="K1858" s="22">
        <f t="array" ref="K1858">IF($D1858="","",IFERROR(INDEX(MASTER_SOURCE!$C$2:$C$495,MATCH($I1858,MASTER_SOURCE!$A$2:$A$495,0)),""))</f>
        <v/>
      </c>
      <c r="L1858" s="22">
        <f t="array" ref="L1858">IF($D1858="","",IFERROR(INDEX(MASTER_SOURCE!$D$2:$D$495,MATCH($I1858,MASTER_SOURCE!$A$2:$A$495,0)),""))</f>
        <v/>
      </c>
      <c r="M1858" s="24" t="n"/>
      <c r="N1858" s="24" t="n"/>
      <c r="O1858" s="24" t="n"/>
      <c r="P1858" s="24" t="n"/>
      <c r="Q1858" s="22">
        <f>IF($D1858="","",IF(AND(OR(DANH_MUC!$L$5&lt;&gt;"Có",M1858="Có"),OR(DANH_MUC!$L$6&lt;&gt;"Có",N1858="Có"),OR(DANH_MUC!$L$7&lt;&gt;"Có",O1858="Có"),OR(DANH_MUC!$L$8&lt;&gt;"Có",P1858="Có")),"Có","Không"))</f>
        <v/>
      </c>
      <c r="R1858" s="22">
        <f>IF($D1858="","",IF(COUNTIF($D$2:$D1858,$D1858)&gt;1,"Trùng",""))</f>
        <v/>
      </c>
      <c r="S1858" s="22">
        <f>IF($D1858="","",IF(AND(LEN($D1858)=10,LEFT($D1858,1)="0",ISNUMBER(--$D1858)),"Có","Không"))</f>
        <v/>
      </c>
      <c r="T1858" s="22">
        <f>IF($D1858="","",IF(AND($C1858&lt;&gt;"",$Q1858="Có",$R1858="",$S1858="Có",AND($L1858&lt;&gt;"",OR($L1858&lt;&gt;"Chưa xác định",DANH_MUC!$L$9="Có"))),"Có","Không"))</f>
        <v/>
      </c>
      <c r="U1858" s="22">
        <f>IF(OR($D1858="",$T1858="Có"),"",IF($C1858="","Thiếu họ tên; ","")&amp;IF($S1858&lt;&gt;"Có","SĐT sai định dạng; ","")&amp;IF($R1858="Trùng","Trùng SĐT; ","")&amp;IF($Q1858&lt;&gt;"Có","Thiếu đồng ý bắt buộc; ","")&amp;IF($L1858="","Thiếu/sai Mã REF; ",IF(AND($L1858="Chưa xác định",DANH_MUC!$L$9&lt;&gt;"Có"),"Nguồn chưa xác định; ","")))</f>
        <v/>
      </c>
      <c r="V1858" s="22">
        <f>IF(OR($D1858="",$R1858="Trùng"),"",IF(COUNTIF(ORDERS!$C$2:$C$4995,$D1858)&gt;0,"Có","Không"))</f>
        <v/>
      </c>
      <c r="W1858" s="22">
        <f>IF(OR($D1858="",$R1858="Trùng"),"",COUNTIFS(ORDERS!$C$2:$C$4995,$D1858,ORDERS!$L$2:$L$4995,"Đã chuyển khoản"))</f>
        <v/>
      </c>
      <c r="X1858" s="23">
        <f>IF(OR($D1858="",$R1858="Trùng"),"",SUMIFS(ORDERS!$J$2:$J$4995,ORDERS!$C$2:$C$4995,$D1858,ORDERS!$L$2:$L$4995,"Đã chuyển khoản"))</f>
        <v/>
      </c>
      <c r="Y1858" s="24" t="n"/>
    </row>
    <row r="1859" ht="14.25" customHeight="1" s="40">
      <c r="A1859" s="24" t="n"/>
      <c r="B1859" s="27" t="n"/>
      <c r="C1859" s="24" t="n"/>
      <c r="D1859" s="28" t="n"/>
      <c r="E1859" s="29" t="n"/>
      <c r="F1859" s="24" t="n"/>
      <c r="G1859" s="24" t="n"/>
      <c r="H1859" s="21">
        <f>IF(ISNUMBER($B1859),INT($B1859)-WEEKDAY($B1859,2)+1,"")</f>
        <v/>
      </c>
      <c r="I1859" s="24" t="n"/>
      <c r="J1859" s="22">
        <f t="array" ref="J1859">IF($D1859="","",IF($I1859="","(trống REF)",IFERROR(INDEX(MASTER_SOURCE!$B$2:$B$495,MATCH($I1859,MASTER_SOURCE!$A$2:$A$495,0)),"(REF không có trong MASTER_SOURCE)")))</f>
        <v/>
      </c>
      <c r="K1859" s="22">
        <f t="array" ref="K1859">IF($D1859="","",IFERROR(INDEX(MASTER_SOURCE!$C$2:$C$495,MATCH($I1859,MASTER_SOURCE!$A$2:$A$495,0)),""))</f>
        <v/>
      </c>
      <c r="L1859" s="22">
        <f t="array" ref="L1859">IF($D1859="","",IFERROR(INDEX(MASTER_SOURCE!$D$2:$D$495,MATCH($I1859,MASTER_SOURCE!$A$2:$A$495,0)),""))</f>
        <v/>
      </c>
      <c r="M1859" s="24" t="n"/>
      <c r="N1859" s="24" t="n"/>
      <c r="O1859" s="24" t="n"/>
      <c r="P1859" s="24" t="n"/>
      <c r="Q1859" s="22">
        <f>IF($D1859="","",IF(AND(OR(DANH_MUC!$L$5&lt;&gt;"Có",M1859="Có"),OR(DANH_MUC!$L$6&lt;&gt;"Có",N1859="Có"),OR(DANH_MUC!$L$7&lt;&gt;"Có",O1859="Có"),OR(DANH_MUC!$L$8&lt;&gt;"Có",P1859="Có")),"Có","Không"))</f>
        <v/>
      </c>
      <c r="R1859" s="22">
        <f>IF($D1859="","",IF(COUNTIF($D$2:$D1859,$D1859)&gt;1,"Trùng",""))</f>
        <v/>
      </c>
      <c r="S1859" s="22">
        <f>IF($D1859="","",IF(AND(LEN($D1859)=10,LEFT($D1859,1)="0",ISNUMBER(--$D1859)),"Có","Không"))</f>
        <v/>
      </c>
      <c r="T1859" s="22">
        <f>IF($D1859="","",IF(AND($C1859&lt;&gt;"",$Q1859="Có",$R1859="",$S1859="Có",AND($L1859&lt;&gt;"",OR($L1859&lt;&gt;"Chưa xác định",DANH_MUC!$L$9="Có"))),"Có","Không"))</f>
        <v/>
      </c>
      <c r="U1859" s="22">
        <f>IF(OR($D1859="",$T1859="Có"),"",IF($C1859="","Thiếu họ tên; ","")&amp;IF($S1859&lt;&gt;"Có","SĐT sai định dạng; ","")&amp;IF($R1859="Trùng","Trùng SĐT; ","")&amp;IF($Q1859&lt;&gt;"Có","Thiếu đồng ý bắt buộc; ","")&amp;IF($L1859="","Thiếu/sai Mã REF; ",IF(AND($L1859="Chưa xác định",DANH_MUC!$L$9&lt;&gt;"Có"),"Nguồn chưa xác định; ","")))</f>
        <v/>
      </c>
      <c r="V1859" s="22">
        <f>IF(OR($D1859="",$R1859="Trùng"),"",IF(COUNTIF(ORDERS!$C$2:$C$4995,$D1859)&gt;0,"Có","Không"))</f>
        <v/>
      </c>
      <c r="W1859" s="22">
        <f>IF(OR($D1859="",$R1859="Trùng"),"",COUNTIFS(ORDERS!$C$2:$C$4995,$D1859,ORDERS!$L$2:$L$4995,"Đã chuyển khoản"))</f>
        <v/>
      </c>
      <c r="X1859" s="23">
        <f>IF(OR($D1859="",$R1859="Trùng"),"",SUMIFS(ORDERS!$J$2:$J$4995,ORDERS!$C$2:$C$4995,$D1859,ORDERS!$L$2:$L$4995,"Đã chuyển khoản"))</f>
        <v/>
      </c>
      <c r="Y1859" s="24" t="n"/>
    </row>
    <row r="1860" ht="14.25" customHeight="1" s="40">
      <c r="A1860" s="24" t="n"/>
      <c r="B1860" s="27" t="n"/>
      <c r="C1860" s="24" t="n"/>
      <c r="D1860" s="28" t="n"/>
      <c r="E1860" s="29" t="n"/>
      <c r="F1860" s="24" t="n"/>
      <c r="G1860" s="24" t="n"/>
      <c r="H1860" s="21">
        <f>IF(ISNUMBER($B1860),INT($B1860)-WEEKDAY($B1860,2)+1,"")</f>
        <v/>
      </c>
      <c r="I1860" s="24" t="n"/>
      <c r="J1860" s="22">
        <f t="array" ref="J1860">IF($D1860="","",IF($I1860="","(trống REF)",IFERROR(INDEX(MASTER_SOURCE!$B$2:$B$495,MATCH($I1860,MASTER_SOURCE!$A$2:$A$495,0)),"(REF không có trong MASTER_SOURCE)")))</f>
        <v/>
      </c>
      <c r="K1860" s="22">
        <f t="array" ref="K1860">IF($D1860="","",IFERROR(INDEX(MASTER_SOURCE!$C$2:$C$495,MATCH($I1860,MASTER_SOURCE!$A$2:$A$495,0)),""))</f>
        <v/>
      </c>
      <c r="L1860" s="22">
        <f t="array" ref="L1860">IF($D1860="","",IFERROR(INDEX(MASTER_SOURCE!$D$2:$D$495,MATCH($I1860,MASTER_SOURCE!$A$2:$A$495,0)),""))</f>
        <v/>
      </c>
      <c r="M1860" s="24" t="n"/>
      <c r="N1860" s="24" t="n"/>
      <c r="O1860" s="24" t="n"/>
      <c r="P1860" s="24" t="n"/>
      <c r="Q1860" s="22">
        <f>IF($D1860="","",IF(AND(OR(DANH_MUC!$L$5&lt;&gt;"Có",M1860="Có"),OR(DANH_MUC!$L$6&lt;&gt;"Có",N1860="Có"),OR(DANH_MUC!$L$7&lt;&gt;"Có",O1860="Có"),OR(DANH_MUC!$L$8&lt;&gt;"Có",P1860="Có")),"Có","Không"))</f>
        <v/>
      </c>
      <c r="R1860" s="22">
        <f>IF($D1860="","",IF(COUNTIF($D$2:$D1860,$D1860)&gt;1,"Trùng",""))</f>
        <v/>
      </c>
      <c r="S1860" s="22">
        <f>IF($D1860="","",IF(AND(LEN($D1860)=10,LEFT($D1860,1)="0",ISNUMBER(--$D1860)),"Có","Không"))</f>
        <v/>
      </c>
      <c r="T1860" s="22">
        <f>IF($D1860="","",IF(AND($C1860&lt;&gt;"",$Q1860="Có",$R1860="",$S1860="Có",AND($L1860&lt;&gt;"",OR($L1860&lt;&gt;"Chưa xác định",DANH_MUC!$L$9="Có"))),"Có","Không"))</f>
        <v/>
      </c>
      <c r="U1860" s="22">
        <f>IF(OR($D1860="",$T1860="Có"),"",IF($C1860="","Thiếu họ tên; ","")&amp;IF($S1860&lt;&gt;"Có","SĐT sai định dạng; ","")&amp;IF($R1860="Trùng","Trùng SĐT; ","")&amp;IF($Q1860&lt;&gt;"Có","Thiếu đồng ý bắt buộc; ","")&amp;IF($L1860="","Thiếu/sai Mã REF; ",IF(AND($L1860="Chưa xác định",DANH_MUC!$L$9&lt;&gt;"Có"),"Nguồn chưa xác định; ","")))</f>
        <v/>
      </c>
      <c r="V1860" s="22">
        <f>IF(OR($D1860="",$R1860="Trùng"),"",IF(COUNTIF(ORDERS!$C$2:$C$4995,$D1860)&gt;0,"Có","Không"))</f>
        <v/>
      </c>
      <c r="W1860" s="22">
        <f>IF(OR($D1860="",$R1860="Trùng"),"",COUNTIFS(ORDERS!$C$2:$C$4995,$D1860,ORDERS!$L$2:$L$4995,"Đã chuyển khoản"))</f>
        <v/>
      </c>
      <c r="X1860" s="23">
        <f>IF(OR($D1860="",$R1860="Trùng"),"",SUMIFS(ORDERS!$J$2:$J$4995,ORDERS!$C$2:$C$4995,$D1860,ORDERS!$L$2:$L$4995,"Đã chuyển khoản"))</f>
        <v/>
      </c>
      <c r="Y1860" s="24" t="n"/>
    </row>
    <row r="1861" ht="14.25" customHeight="1" s="40">
      <c r="A1861" s="24" t="n"/>
      <c r="B1861" s="27" t="n"/>
      <c r="C1861" s="24" t="n"/>
      <c r="D1861" s="28" t="n"/>
      <c r="E1861" s="29" t="n"/>
      <c r="F1861" s="24" t="n"/>
      <c r="G1861" s="24" t="n"/>
      <c r="H1861" s="21">
        <f>IF(ISNUMBER($B1861),INT($B1861)-WEEKDAY($B1861,2)+1,"")</f>
        <v/>
      </c>
      <c r="I1861" s="24" t="n"/>
      <c r="J1861" s="22">
        <f t="array" ref="J1861">IF($D1861="","",IF($I1861="","(trống REF)",IFERROR(INDEX(MASTER_SOURCE!$B$2:$B$495,MATCH($I1861,MASTER_SOURCE!$A$2:$A$495,0)),"(REF không có trong MASTER_SOURCE)")))</f>
        <v/>
      </c>
      <c r="K1861" s="22">
        <f t="array" ref="K1861">IF($D1861="","",IFERROR(INDEX(MASTER_SOURCE!$C$2:$C$495,MATCH($I1861,MASTER_SOURCE!$A$2:$A$495,0)),""))</f>
        <v/>
      </c>
      <c r="L1861" s="22">
        <f t="array" ref="L1861">IF($D1861="","",IFERROR(INDEX(MASTER_SOURCE!$D$2:$D$495,MATCH($I1861,MASTER_SOURCE!$A$2:$A$495,0)),""))</f>
        <v/>
      </c>
      <c r="M1861" s="24" t="n"/>
      <c r="N1861" s="24" t="n"/>
      <c r="O1861" s="24" t="n"/>
      <c r="P1861" s="24" t="n"/>
      <c r="Q1861" s="22">
        <f>IF($D1861="","",IF(AND(OR(DANH_MUC!$L$5&lt;&gt;"Có",M1861="Có"),OR(DANH_MUC!$L$6&lt;&gt;"Có",N1861="Có"),OR(DANH_MUC!$L$7&lt;&gt;"Có",O1861="Có"),OR(DANH_MUC!$L$8&lt;&gt;"Có",P1861="Có")),"Có","Không"))</f>
        <v/>
      </c>
      <c r="R1861" s="22">
        <f>IF($D1861="","",IF(COUNTIF($D$2:$D1861,$D1861)&gt;1,"Trùng",""))</f>
        <v/>
      </c>
      <c r="S1861" s="22">
        <f>IF($D1861="","",IF(AND(LEN($D1861)=10,LEFT($D1861,1)="0",ISNUMBER(--$D1861)),"Có","Không"))</f>
        <v/>
      </c>
      <c r="T1861" s="22">
        <f>IF($D1861="","",IF(AND($C1861&lt;&gt;"",$Q1861="Có",$R1861="",$S1861="Có",AND($L1861&lt;&gt;"",OR($L1861&lt;&gt;"Chưa xác định",DANH_MUC!$L$9="Có"))),"Có","Không"))</f>
        <v/>
      </c>
      <c r="U1861" s="22">
        <f>IF(OR($D1861="",$T1861="Có"),"",IF($C1861="","Thiếu họ tên; ","")&amp;IF($S1861&lt;&gt;"Có","SĐT sai định dạng; ","")&amp;IF($R1861="Trùng","Trùng SĐT; ","")&amp;IF($Q1861&lt;&gt;"Có","Thiếu đồng ý bắt buộc; ","")&amp;IF($L1861="","Thiếu/sai Mã REF; ",IF(AND($L1861="Chưa xác định",DANH_MUC!$L$9&lt;&gt;"Có"),"Nguồn chưa xác định; ","")))</f>
        <v/>
      </c>
      <c r="V1861" s="22">
        <f>IF(OR($D1861="",$R1861="Trùng"),"",IF(COUNTIF(ORDERS!$C$2:$C$4995,$D1861)&gt;0,"Có","Không"))</f>
        <v/>
      </c>
      <c r="W1861" s="22">
        <f>IF(OR($D1861="",$R1861="Trùng"),"",COUNTIFS(ORDERS!$C$2:$C$4995,$D1861,ORDERS!$L$2:$L$4995,"Đã chuyển khoản"))</f>
        <v/>
      </c>
      <c r="X1861" s="23">
        <f>IF(OR($D1861="",$R1861="Trùng"),"",SUMIFS(ORDERS!$J$2:$J$4995,ORDERS!$C$2:$C$4995,$D1861,ORDERS!$L$2:$L$4995,"Đã chuyển khoản"))</f>
        <v/>
      </c>
      <c r="Y1861" s="24" t="n"/>
    </row>
    <row r="1862" ht="14.25" customHeight="1" s="40">
      <c r="A1862" s="24" t="n"/>
      <c r="B1862" s="27" t="n"/>
      <c r="C1862" s="24" t="n"/>
      <c r="D1862" s="28" t="n"/>
      <c r="E1862" s="29" t="n"/>
      <c r="F1862" s="24" t="n"/>
      <c r="G1862" s="24" t="n"/>
      <c r="H1862" s="21">
        <f>IF(ISNUMBER($B1862),INT($B1862)-WEEKDAY($B1862,2)+1,"")</f>
        <v/>
      </c>
      <c r="I1862" s="24" t="n"/>
      <c r="J1862" s="22">
        <f t="array" ref="J1862">IF($D1862="","",IF($I1862="","(trống REF)",IFERROR(INDEX(MASTER_SOURCE!$B$2:$B$495,MATCH($I1862,MASTER_SOURCE!$A$2:$A$495,0)),"(REF không có trong MASTER_SOURCE)")))</f>
        <v/>
      </c>
      <c r="K1862" s="22">
        <f t="array" ref="K1862">IF($D1862="","",IFERROR(INDEX(MASTER_SOURCE!$C$2:$C$495,MATCH($I1862,MASTER_SOURCE!$A$2:$A$495,0)),""))</f>
        <v/>
      </c>
      <c r="L1862" s="22">
        <f t="array" ref="L1862">IF($D1862="","",IFERROR(INDEX(MASTER_SOURCE!$D$2:$D$495,MATCH($I1862,MASTER_SOURCE!$A$2:$A$495,0)),""))</f>
        <v/>
      </c>
      <c r="M1862" s="24" t="n"/>
      <c r="N1862" s="24" t="n"/>
      <c r="O1862" s="24" t="n"/>
      <c r="P1862" s="24" t="n"/>
      <c r="Q1862" s="22">
        <f>IF($D1862="","",IF(AND(OR(DANH_MUC!$L$5&lt;&gt;"Có",M1862="Có"),OR(DANH_MUC!$L$6&lt;&gt;"Có",N1862="Có"),OR(DANH_MUC!$L$7&lt;&gt;"Có",O1862="Có"),OR(DANH_MUC!$L$8&lt;&gt;"Có",P1862="Có")),"Có","Không"))</f>
        <v/>
      </c>
      <c r="R1862" s="22">
        <f>IF($D1862="","",IF(COUNTIF($D$2:$D1862,$D1862)&gt;1,"Trùng",""))</f>
        <v/>
      </c>
      <c r="S1862" s="22">
        <f>IF($D1862="","",IF(AND(LEN($D1862)=10,LEFT($D1862,1)="0",ISNUMBER(--$D1862)),"Có","Không"))</f>
        <v/>
      </c>
      <c r="T1862" s="22">
        <f>IF($D1862="","",IF(AND($C1862&lt;&gt;"",$Q1862="Có",$R1862="",$S1862="Có",AND($L1862&lt;&gt;"",OR($L1862&lt;&gt;"Chưa xác định",DANH_MUC!$L$9="Có"))),"Có","Không"))</f>
        <v/>
      </c>
      <c r="U1862" s="22">
        <f>IF(OR($D1862="",$T1862="Có"),"",IF($C1862="","Thiếu họ tên; ","")&amp;IF($S1862&lt;&gt;"Có","SĐT sai định dạng; ","")&amp;IF($R1862="Trùng","Trùng SĐT; ","")&amp;IF($Q1862&lt;&gt;"Có","Thiếu đồng ý bắt buộc; ","")&amp;IF($L1862="","Thiếu/sai Mã REF; ",IF(AND($L1862="Chưa xác định",DANH_MUC!$L$9&lt;&gt;"Có"),"Nguồn chưa xác định; ","")))</f>
        <v/>
      </c>
      <c r="V1862" s="22">
        <f>IF(OR($D1862="",$R1862="Trùng"),"",IF(COUNTIF(ORDERS!$C$2:$C$4995,$D1862)&gt;0,"Có","Không"))</f>
        <v/>
      </c>
      <c r="W1862" s="22">
        <f>IF(OR($D1862="",$R1862="Trùng"),"",COUNTIFS(ORDERS!$C$2:$C$4995,$D1862,ORDERS!$L$2:$L$4995,"Đã chuyển khoản"))</f>
        <v/>
      </c>
      <c r="X1862" s="23">
        <f>IF(OR($D1862="",$R1862="Trùng"),"",SUMIFS(ORDERS!$J$2:$J$4995,ORDERS!$C$2:$C$4995,$D1862,ORDERS!$L$2:$L$4995,"Đã chuyển khoản"))</f>
        <v/>
      </c>
      <c r="Y1862" s="24" t="n"/>
    </row>
    <row r="1863" ht="14.25" customHeight="1" s="40">
      <c r="A1863" s="24" t="n"/>
      <c r="B1863" s="27" t="n"/>
      <c r="C1863" s="24" t="n"/>
      <c r="D1863" s="28" t="n"/>
      <c r="E1863" s="29" t="n"/>
      <c r="F1863" s="24" t="n"/>
      <c r="G1863" s="24" t="n"/>
      <c r="H1863" s="21">
        <f>IF(ISNUMBER($B1863),INT($B1863)-WEEKDAY($B1863,2)+1,"")</f>
        <v/>
      </c>
      <c r="I1863" s="24" t="n"/>
      <c r="J1863" s="22">
        <f t="array" ref="J1863">IF($D1863="","",IF($I1863="","(trống REF)",IFERROR(INDEX(MASTER_SOURCE!$B$2:$B$495,MATCH($I1863,MASTER_SOURCE!$A$2:$A$495,0)),"(REF không có trong MASTER_SOURCE)")))</f>
        <v/>
      </c>
      <c r="K1863" s="22">
        <f t="array" ref="K1863">IF($D1863="","",IFERROR(INDEX(MASTER_SOURCE!$C$2:$C$495,MATCH($I1863,MASTER_SOURCE!$A$2:$A$495,0)),""))</f>
        <v/>
      </c>
      <c r="L1863" s="22">
        <f t="array" ref="L1863">IF($D1863="","",IFERROR(INDEX(MASTER_SOURCE!$D$2:$D$495,MATCH($I1863,MASTER_SOURCE!$A$2:$A$495,0)),""))</f>
        <v/>
      </c>
      <c r="M1863" s="24" t="n"/>
      <c r="N1863" s="24" t="n"/>
      <c r="O1863" s="24" t="n"/>
      <c r="P1863" s="24" t="n"/>
      <c r="Q1863" s="22">
        <f>IF($D1863="","",IF(AND(OR(DANH_MUC!$L$5&lt;&gt;"Có",M1863="Có"),OR(DANH_MUC!$L$6&lt;&gt;"Có",N1863="Có"),OR(DANH_MUC!$L$7&lt;&gt;"Có",O1863="Có"),OR(DANH_MUC!$L$8&lt;&gt;"Có",P1863="Có")),"Có","Không"))</f>
        <v/>
      </c>
      <c r="R1863" s="22">
        <f>IF($D1863="","",IF(COUNTIF($D$2:$D1863,$D1863)&gt;1,"Trùng",""))</f>
        <v/>
      </c>
      <c r="S1863" s="22">
        <f>IF($D1863="","",IF(AND(LEN($D1863)=10,LEFT($D1863,1)="0",ISNUMBER(--$D1863)),"Có","Không"))</f>
        <v/>
      </c>
      <c r="T1863" s="22">
        <f>IF($D1863="","",IF(AND($C1863&lt;&gt;"",$Q1863="Có",$R1863="",$S1863="Có",AND($L1863&lt;&gt;"",OR($L1863&lt;&gt;"Chưa xác định",DANH_MUC!$L$9="Có"))),"Có","Không"))</f>
        <v/>
      </c>
      <c r="U1863" s="22">
        <f>IF(OR($D1863="",$T1863="Có"),"",IF($C1863="","Thiếu họ tên; ","")&amp;IF($S1863&lt;&gt;"Có","SĐT sai định dạng; ","")&amp;IF($R1863="Trùng","Trùng SĐT; ","")&amp;IF($Q1863&lt;&gt;"Có","Thiếu đồng ý bắt buộc; ","")&amp;IF($L1863="","Thiếu/sai Mã REF; ",IF(AND($L1863="Chưa xác định",DANH_MUC!$L$9&lt;&gt;"Có"),"Nguồn chưa xác định; ","")))</f>
        <v/>
      </c>
      <c r="V1863" s="22">
        <f>IF(OR($D1863="",$R1863="Trùng"),"",IF(COUNTIF(ORDERS!$C$2:$C$4995,$D1863)&gt;0,"Có","Không"))</f>
        <v/>
      </c>
      <c r="W1863" s="22">
        <f>IF(OR($D1863="",$R1863="Trùng"),"",COUNTIFS(ORDERS!$C$2:$C$4995,$D1863,ORDERS!$L$2:$L$4995,"Đã chuyển khoản"))</f>
        <v/>
      </c>
      <c r="X1863" s="23">
        <f>IF(OR($D1863="",$R1863="Trùng"),"",SUMIFS(ORDERS!$J$2:$J$4995,ORDERS!$C$2:$C$4995,$D1863,ORDERS!$L$2:$L$4995,"Đã chuyển khoản"))</f>
        <v/>
      </c>
      <c r="Y1863" s="24" t="n"/>
    </row>
    <row r="1864" ht="14.25" customHeight="1" s="40">
      <c r="A1864" s="24" t="n"/>
      <c r="B1864" s="27" t="n"/>
      <c r="C1864" s="24" t="n"/>
      <c r="D1864" s="28" t="n"/>
      <c r="E1864" s="29" t="n"/>
      <c r="F1864" s="24" t="n"/>
      <c r="G1864" s="24" t="n"/>
      <c r="H1864" s="21">
        <f>IF(ISNUMBER($B1864),INT($B1864)-WEEKDAY($B1864,2)+1,"")</f>
        <v/>
      </c>
      <c r="I1864" s="24" t="n"/>
      <c r="J1864" s="22">
        <f t="array" ref="J1864">IF($D1864="","",IF($I1864="","(trống REF)",IFERROR(INDEX(MASTER_SOURCE!$B$2:$B$495,MATCH($I1864,MASTER_SOURCE!$A$2:$A$495,0)),"(REF không có trong MASTER_SOURCE)")))</f>
        <v/>
      </c>
      <c r="K1864" s="22">
        <f t="array" ref="K1864">IF($D1864="","",IFERROR(INDEX(MASTER_SOURCE!$C$2:$C$495,MATCH($I1864,MASTER_SOURCE!$A$2:$A$495,0)),""))</f>
        <v/>
      </c>
      <c r="L1864" s="22">
        <f t="array" ref="L1864">IF($D1864="","",IFERROR(INDEX(MASTER_SOURCE!$D$2:$D$495,MATCH($I1864,MASTER_SOURCE!$A$2:$A$495,0)),""))</f>
        <v/>
      </c>
      <c r="M1864" s="24" t="n"/>
      <c r="N1864" s="24" t="n"/>
      <c r="O1864" s="24" t="n"/>
      <c r="P1864" s="24" t="n"/>
      <c r="Q1864" s="22">
        <f>IF($D1864="","",IF(AND(OR(DANH_MUC!$L$5&lt;&gt;"Có",M1864="Có"),OR(DANH_MUC!$L$6&lt;&gt;"Có",N1864="Có"),OR(DANH_MUC!$L$7&lt;&gt;"Có",O1864="Có"),OR(DANH_MUC!$L$8&lt;&gt;"Có",P1864="Có")),"Có","Không"))</f>
        <v/>
      </c>
      <c r="R1864" s="22">
        <f>IF($D1864="","",IF(COUNTIF($D$2:$D1864,$D1864)&gt;1,"Trùng",""))</f>
        <v/>
      </c>
      <c r="S1864" s="22">
        <f>IF($D1864="","",IF(AND(LEN($D1864)=10,LEFT($D1864,1)="0",ISNUMBER(--$D1864)),"Có","Không"))</f>
        <v/>
      </c>
      <c r="T1864" s="22">
        <f>IF($D1864="","",IF(AND($C1864&lt;&gt;"",$Q1864="Có",$R1864="",$S1864="Có",AND($L1864&lt;&gt;"",OR($L1864&lt;&gt;"Chưa xác định",DANH_MUC!$L$9="Có"))),"Có","Không"))</f>
        <v/>
      </c>
      <c r="U1864" s="22">
        <f>IF(OR($D1864="",$T1864="Có"),"",IF($C1864="","Thiếu họ tên; ","")&amp;IF($S1864&lt;&gt;"Có","SĐT sai định dạng; ","")&amp;IF($R1864="Trùng","Trùng SĐT; ","")&amp;IF($Q1864&lt;&gt;"Có","Thiếu đồng ý bắt buộc; ","")&amp;IF($L1864="","Thiếu/sai Mã REF; ",IF(AND($L1864="Chưa xác định",DANH_MUC!$L$9&lt;&gt;"Có"),"Nguồn chưa xác định; ","")))</f>
        <v/>
      </c>
      <c r="V1864" s="22">
        <f>IF(OR($D1864="",$R1864="Trùng"),"",IF(COUNTIF(ORDERS!$C$2:$C$4995,$D1864)&gt;0,"Có","Không"))</f>
        <v/>
      </c>
      <c r="W1864" s="22">
        <f>IF(OR($D1864="",$R1864="Trùng"),"",COUNTIFS(ORDERS!$C$2:$C$4995,$D1864,ORDERS!$L$2:$L$4995,"Đã chuyển khoản"))</f>
        <v/>
      </c>
      <c r="X1864" s="23">
        <f>IF(OR($D1864="",$R1864="Trùng"),"",SUMIFS(ORDERS!$J$2:$J$4995,ORDERS!$C$2:$C$4995,$D1864,ORDERS!$L$2:$L$4995,"Đã chuyển khoản"))</f>
        <v/>
      </c>
      <c r="Y1864" s="24" t="n"/>
    </row>
    <row r="1865" ht="14.25" customHeight="1" s="40">
      <c r="A1865" s="24" t="n"/>
      <c r="B1865" s="27" t="n"/>
      <c r="C1865" s="24" t="n"/>
      <c r="D1865" s="28" t="n"/>
      <c r="E1865" s="29" t="n"/>
      <c r="F1865" s="24" t="n"/>
      <c r="G1865" s="24" t="n"/>
      <c r="H1865" s="21">
        <f>IF(ISNUMBER($B1865),INT($B1865)-WEEKDAY($B1865,2)+1,"")</f>
        <v/>
      </c>
      <c r="I1865" s="24" t="n"/>
      <c r="J1865" s="22">
        <f t="array" ref="J1865">IF($D1865="","",IF($I1865="","(trống REF)",IFERROR(INDEX(MASTER_SOURCE!$B$2:$B$495,MATCH($I1865,MASTER_SOURCE!$A$2:$A$495,0)),"(REF không có trong MASTER_SOURCE)")))</f>
        <v/>
      </c>
      <c r="K1865" s="22">
        <f t="array" ref="K1865">IF($D1865="","",IFERROR(INDEX(MASTER_SOURCE!$C$2:$C$495,MATCH($I1865,MASTER_SOURCE!$A$2:$A$495,0)),""))</f>
        <v/>
      </c>
      <c r="L1865" s="22">
        <f t="array" ref="L1865">IF($D1865="","",IFERROR(INDEX(MASTER_SOURCE!$D$2:$D$495,MATCH($I1865,MASTER_SOURCE!$A$2:$A$495,0)),""))</f>
        <v/>
      </c>
      <c r="M1865" s="24" t="n"/>
      <c r="N1865" s="24" t="n"/>
      <c r="O1865" s="24" t="n"/>
      <c r="P1865" s="24" t="n"/>
      <c r="Q1865" s="22">
        <f>IF($D1865="","",IF(AND(OR(DANH_MUC!$L$5&lt;&gt;"Có",M1865="Có"),OR(DANH_MUC!$L$6&lt;&gt;"Có",N1865="Có"),OR(DANH_MUC!$L$7&lt;&gt;"Có",O1865="Có"),OR(DANH_MUC!$L$8&lt;&gt;"Có",P1865="Có")),"Có","Không"))</f>
        <v/>
      </c>
      <c r="R1865" s="22">
        <f>IF($D1865="","",IF(COUNTIF($D$2:$D1865,$D1865)&gt;1,"Trùng",""))</f>
        <v/>
      </c>
      <c r="S1865" s="22">
        <f>IF($D1865="","",IF(AND(LEN($D1865)=10,LEFT($D1865,1)="0",ISNUMBER(--$D1865)),"Có","Không"))</f>
        <v/>
      </c>
      <c r="T1865" s="22">
        <f>IF($D1865="","",IF(AND($C1865&lt;&gt;"",$Q1865="Có",$R1865="",$S1865="Có",AND($L1865&lt;&gt;"",OR($L1865&lt;&gt;"Chưa xác định",DANH_MUC!$L$9="Có"))),"Có","Không"))</f>
        <v/>
      </c>
      <c r="U1865" s="22">
        <f>IF(OR($D1865="",$T1865="Có"),"",IF($C1865="","Thiếu họ tên; ","")&amp;IF($S1865&lt;&gt;"Có","SĐT sai định dạng; ","")&amp;IF($R1865="Trùng","Trùng SĐT; ","")&amp;IF($Q1865&lt;&gt;"Có","Thiếu đồng ý bắt buộc; ","")&amp;IF($L1865="","Thiếu/sai Mã REF; ",IF(AND($L1865="Chưa xác định",DANH_MUC!$L$9&lt;&gt;"Có"),"Nguồn chưa xác định; ","")))</f>
        <v/>
      </c>
      <c r="V1865" s="22">
        <f>IF(OR($D1865="",$R1865="Trùng"),"",IF(COUNTIF(ORDERS!$C$2:$C$4995,$D1865)&gt;0,"Có","Không"))</f>
        <v/>
      </c>
      <c r="W1865" s="22">
        <f>IF(OR($D1865="",$R1865="Trùng"),"",COUNTIFS(ORDERS!$C$2:$C$4995,$D1865,ORDERS!$L$2:$L$4995,"Đã chuyển khoản"))</f>
        <v/>
      </c>
      <c r="X1865" s="23">
        <f>IF(OR($D1865="",$R1865="Trùng"),"",SUMIFS(ORDERS!$J$2:$J$4995,ORDERS!$C$2:$C$4995,$D1865,ORDERS!$L$2:$L$4995,"Đã chuyển khoản"))</f>
        <v/>
      </c>
      <c r="Y1865" s="24" t="n"/>
    </row>
    <row r="1866" ht="14.25" customHeight="1" s="40">
      <c r="A1866" s="24" t="n"/>
      <c r="B1866" s="27" t="n"/>
      <c r="C1866" s="24" t="n"/>
      <c r="D1866" s="28" t="n"/>
      <c r="E1866" s="29" t="n"/>
      <c r="F1866" s="24" t="n"/>
      <c r="G1866" s="24" t="n"/>
      <c r="H1866" s="21">
        <f>IF(ISNUMBER($B1866),INT($B1866)-WEEKDAY($B1866,2)+1,"")</f>
        <v/>
      </c>
      <c r="I1866" s="24" t="n"/>
      <c r="J1866" s="22">
        <f t="array" ref="J1866">IF($D1866="","",IF($I1866="","(trống REF)",IFERROR(INDEX(MASTER_SOURCE!$B$2:$B$495,MATCH($I1866,MASTER_SOURCE!$A$2:$A$495,0)),"(REF không có trong MASTER_SOURCE)")))</f>
        <v/>
      </c>
      <c r="K1866" s="22">
        <f t="array" ref="K1866">IF($D1866="","",IFERROR(INDEX(MASTER_SOURCE!$C$2:$C$495,MATCH($I1866,MASTER_SOURCE!$A$2:$A$495,0)),""))</f>
        <v/>
      </c>
      <c r="L1866" s="22">
        <f t="array" ref="L1866">IF($D1866="","",IFERROR(INDEX(MASTER_SOURCE!$D$2:$D$495,MATCH($I1866,MASTER_SOURCE!$A$2:$A$495,0)),""))</f>
        <v/>
      </c>
      <c r="M1866" s="24" t="n"/>
      <c r="N1866" s="24" t="n"/>
      <c r="O1866" s="24" t="n"/>
      <c r="P1866" s="24" t="n"/>
      <c r="Q1866" s="22">
        <f>IF($D1866="","",IF(AND(OR(DANH_MUC!$L$5&lt;&gt;"Có",M1866="Có"),OR(DANH_MUC!$L$6&lt;&gt;"Có",N1866="Có"),OR(DANH_MUC!$L$7&lt;&gt;"Có",O1866="Có"),OR(DANH_MUC!$L$8&lt;&gt;"Có",P1866="Có")),"Có","Không"))</f>
        <v/>
      </c>
      <c r="R1866" s="22">
        <f>IF($D1866="","",IF(COUNTIF($D$2:$D1866,$D1866)&gt;1,"Trùng",""))</f>
        <v/>
      </c>
      <c r="S1866" s="22">
        <f>IF($D1866="","",IF(AND(LEN($D1866)=10,LEFT($D1866,1)="0",ISNUMBER(--$D1866)),"Có","Không"))</f>
        <v/>
      </c>
      <c r="T1866" s="22">
        <f>IF($D1866="","",IF(AND($C1866&lt;&gt;"",$Q1866="Có",$R1866="",$S1866="Có",AND($L1866&lt;&gt;"",OR($L1866&lt;&gt;"Chưa xác định",DANH_MUC!$L$9="Có"))),"Có","Không"))</f>
        <v/>
      </c>
      <c r="U1866" s="22">
        <f>IF(OR($D1866="",$T1866="Có"),"",IF($C1866="","Thiếu họ tên; ","")&amp;IF($S1866&lt;&gt;"Có","SĐT sai định dạng; ","")&amp;IF($R1866="Trùng","Trùng SĐT; ","")&amp;IF($Q1866&lt;&gt;"Có","Thiếu đồng ý bắt buộc; ","")&amp;IF($L1866="","Thiếu/sai Mã REF; ",IF(AND($L1866="Chưa xác định",DANH_MUC!$L$9&lt;&gt;"Có"),"Nguồn chưa xác định; ","")))</f>
        <v/>
      </c>
      <c r="V1866" s="22">
        <f>IF(OR($D1866="",$R1866="Trùng"),"",IF(COUNTIF(ORDERS!$C$2:$C$4995,$D1866)&gt;0,"Có","Không"))</f>
        <v/>
      </c>
      <c r="W1866" s="22">
        <f>IF(OR($D1866="",$R1866="Trùng"),"",COUNTIFS(ORDERS!$C$2:$C$4995,$D1866,ORDERS!$L$2:$L$4995,"Đã chuyển khoản"))</f>
        <v/>
      </c>
      <c r="X1866" s="23">
        <f>IF(OR($D1866="",$R1866="Trùng"),"",SUMIFS(ORDERS!$J$2:$J$4995,ORDERS!$C$2:$C$4995,$D1866,ORDERS!$L$2:$L$4995,"Đã chuyển khoản"))</f>
        <v/>
      </c>
      <c r="Y1866" s="24" t="n"/>
    </row>
    <row r="1867" ht="14.25" customHeight="1" s="40">
      <c r="A1867" s="24" t="n"/>
      <c r="B1867" s="27" t="n"/>
      <c r="C1867" s="24" t="n"/>
      <c r="D1867" s="28" t="n"/>
      <c r="E1867" s="29" t="n"/>
      <c r="F1867" s="24" t="n"/>
      <c r="G1867" s="24" t="n"/>
      <c r="H1867" s="21">
        <f>IF(ISNUMBER($B1867),INT($B1867)-WEEKDAY($B1867,2)+1,"")</f>
        <v/>
      </c>
      <c r="I1867" s="24" t="n"/>
      <c r="J1867" s="22">
        <f t="array" ref="J1867">IF($D1867="","",IF($I1867="","(trống REF)",IFERROR(INDEX(MASTER_SOURCE!$B$2:$B$495,MATCH($I1867,MASTER_SOURCE!$A$2:$A$495,0)),"(REF không có trong MASTER_SOURCE)")))</f>
        <v/>
      </c>
      <c r="K1867" s="22">
        <f t="array" ref="K1867">IF($D1867="","",IFERROR(INDEX(MASTER_SOURCE!$C$2:$C$495,MATCH($I1867,MASTER_SOURCE!$A$2:$A$495,0)),""))</f>
        <v/>
      </c>
      <c r="L1867" s="22">
        <f t="array" ref="L1867">IF($D1867="","",IFERROR(INDEX(MASTER_SOURCE!$D$2:$D$495,MATCH($I1867,MASTER_SOURCE!$A$2:$A$495,0)),""))</f>
        <v/>
      </c>
      <c r="M1867" s="24" t="n"/>
      <c r="N1867" s="24" t="n"/>
      <c r="O1867" s="24" t="n"/>
      <c r="P1867" s="24" t="n"/>
      <c r="Q1867" s="22">
        <f>IF($D1867="","",IF(AND(OR(DANH_MUC!$L$5&lt;&gt;"Có",M1867="Có"),OR(DANH_MUC!$L$6&lt;&gt;"Có",N1867="Có"),OR(DANH_MUC!$L$7&lt;&gt;"Có",O1867="Có"),OR(DANH_MUC!$L$8&lt;&gt;"Có",P1867="Có")),"Có","Không"))</f>
        <v/>
      </c>
      <c r="R1867" s="22">
        <f>IF($D1867="","",IF(COUNTIF($D$2:$D1867,$D1867)&gt;1,"Trùng",""))</f>
        <v/>
      </c>
      <c r="S1867" s="22">
        <f>IF($D1867="","",IF(AND(LEN($D1867)=10,LEFT($D1867,1)="0",ISNUMBER(--$D1867)),"Có","Không"))</f>
        <v/>
      </c>
      <c r="T1867" s="22">
        <f>IF($D1867="","",IF(AND($C1867&lt;&gt;"",$Q1867="Có",$R1867="",$S1867="Có",AND($L1867&lt;&gt;"",OR($L1867&lt;&gt;"Chưa xác định",DANH_MUC!$L$9="Có"))),"Có","Không"))</f>
        <v/>
      </c>
      <c r="U1867" s="22">
        <f>IF(OR($D1867="",$T1867="Có"),"",IF($C1867="","Thiếu họ tên; ","")&amp;IF($S1867&lt;&gt;"Có","SĐT sai định dạng; ","")&amp;IF($R1867="Trùng","Trùng SĐT; ","")&amp;IF($Q1867&lt;&gt;"Có","Thiếu đồng ý bắt buộc; ","")&amp;IF($L1867="","Thiếu/sai Mã REF; ",IF(AND($L1867="Chưa xác định",DANH_MUC!$L$9&lt;&gt;"Có"),"Nguồn chưa xác định; ","")))</f>
        <v/>
      </c>
      <c r="V1867" s="22">
        <f>IF(OR($D1867="",$R1867="Trùng"),"",IF(COUNTIF(ORDERS!$C$2:$C$4995,$D1867)&gt;0,"Có","Không"))</f>
        <v/>
      </c>
      <c r="W1867" s="22">
        <f>IF(OR($D1867="",$R1867="Trùng"),"",COUNTIFS(ORDERS!$C$2:$C$4995,$D1867,ORDERS!$L$2:$L$4995,"Đã chuyển khoản"))</f>
        <v/>
      </c>
      <c r="X1867" s="23">
        <f>IF(OR($D1867="",$R1867="Trùng"),"",SUMIFS(ORDERS!$J$2:$J$4995,ORDERS!$C$2:$C$4995,$D1867,ORDERS!$L$2:$L$4995,"Đã chuyển khoản"))</f>
        <v/>
      </c>
      <c r="Y1867" s="24" t="n"/>
    </row>
    <row r="1868" ht="14.25" customHeight="1" s="40">
      <c r="A1868" s="24" t="n"/>
      <c r="B1868" s="27" t="n"/>
      <c r="C1868" s="24" t="n"/>
      <c r="D1868" s="28" t="n"/>
      <c r="E1868" s="29" t="n"/>
      <c r="F1868" s="24" t="n"/>
      <c r="G1868" s="24" t="n"/>
      <c r="H1868" s="21">
        <f>IF(ISNUMBER($B1868),INT($B1868)-WEEKDAY($B1868,2)+1,"")</f>
        <v/>
      </c>
      <c r="I1868" s="24" t="n"/>
      <c r="J1868" s="22">
        <f t="array" ref="J1868">IF($D1868="","",IF($I1868="","(trống REF)",IFERROR(INDEX(MASTER_SOURCE!$B$2:$B$495,MATCH($I1868,MASTER_SOURCE!$A$2:$A$495,0)),"(REF không có trong MASTER_SOURCE)")))</f>
        <v/>
      </c>
      <c r="K1868" s="22">
        <f t="array" ref="K1868">IF($D1868="","",IFERROR(INDEX(MASTER_SOURCE!$C$2:$C$495,MATCH($I1868,MASTER_SOURCE!$A$2:$A$495,0)),""))</f>
        <v/>
      </c>
      <c r="L1868" s="22">
        <f t="array" ref="L1868">IF($D1868="","",IFERROR(INDEX(MASTER_SOURCE!$D$2:$D$495,MATCH($I1868,MASTER_SOURCE!$A$2:$A$495,0)),""))</f>
        <v/>
      </c>
      <c r="M1868" s="24" t="n"/>
      <c r="N1868" s="24" t="n"/>
      <c r="O1868" s="24" t="n"/>
      <c r="P1868" s="24" t="n"/>
      <c r="Q1868" s="22">
        <f>IF($D1868="","",IF(AND(OR(DANH_MUC!$L$5&lt;&gt;"Có",M1868="Có"),OR(DANH_MUC!$L$6&lt;&gt;"Có",N1868="Có"),OR(DANH_MUC!$L$7&lt;&gt;"Có",O1868="Có"),OR(DANH_MUC!$L$8&lt;&gt;"Có",P1868="Có")),"Có","Không"))</f>
        <v/>
      </c>
      <c r="R1868" s="22">
        <f>IF($D1868="","",IF(COUNTIF($D$2:$D1868,$D1868)&gt;1,"Trùng",""))</f>
        <v/>
      </c>
      <c r="S1868" s="22">
        <f>IF($D1868="","",IF(AND(LEN($D1868)=10,LEFT($D1868,1)="0",ISNUMBER(--$D1868)),"Có","Không"))</f>
        <v/>
      </c>
      <c r="T1868" s="22">
        <f>IF($D1868="","",IF(AND($C1868&lt;&gt;"",$Q1868="Có",$R1868="",$S1868="Có",AND($L1868&lt;&gt;"",OR($L1868&lt;&gt;"Chưa xác định",DANH_MUC!$L$9="Có"))),"Có","Không"))</f>
        <v/>
      </c>
      <c r="U1868" s="22">
        <f>IF(OR($D1868="",$T1868="Có"),"",IF($C1868="","Thiếu họ tên; ","")&amp;IF($S1868&lt;&gt;"Có","SĐT sai định dạng; ","")&amp;IF($R1868="Trùng","Trùng SĐT; ","")&amp;IF($Q1868&lt;&gt;"Có","Thiếu đồng ý bắt buộc; ","")&amp;IF($L1868="","Thiếu/sai Mã REF; ",IF(AND($L1868="Chưa xác định",DANH_MUC!$L$9&lt;&gt;"Có"),"Nguồn chưa xác định; ","")))</f>
        <v/>
      </c>
      <c r="V1868" s="22">
        <f>IF(OR($D1868="",$R1868="Trùng"),"",IF(COUNTIF(ORDERS!$C$2:$C$4995,$D1868)&gt;0,"Có","Không"))</f>
        <v/>
      </c>
      <c r="W1868" s="22">
        <f>IF(OR($D1868="",$R1868="Trùng"),"",COUNTIFS(ORDERS!$C$2:$C$4995,$D1868,ORDERS!$L$2:$L$4995,"Đã chuyển khoản"))</f>
        <v/>
      </c>
      <c r="X1868" s="23">
        <f>IF(OR($D1868="",$R1868="Trùng"),"",SUMIFS(ORDERS!$J$2:$J$4995,ORDERS!$C$2:$C$4995,$D1868,ORDERS!$L$2:$L$4995,"Đã chuyển khoản"))</f>
        <v/>
      </c>
      <c r="Y1868" s="24" t="n"/>
    </row>
    <row r="1869" ht="14.25" customHeight="1" s="40">
      <c r="A1869" s="24" t="n"/>
      <c r="B1869" s="27" t="n"/>
      <c r="C1869" s="24" t="n"/>
      <c r="D1869" s="28" t="n"/>
      <c r="E1869" s="29" t="n"/>
      <c r="F1869" s="24" t="n"/>
      <c r="G1869" s="24" t="n"/>
      <c r="H1869" s="21">
        <f>IF(ISNUMBER($B1869),INT($B1869)-WEEKDAY($B1869,2)+1,"")</f>
        <v/>
      </c>
      <c r="I1869" s="24" t="n"/>
      <c r="J1869" s="22">
        <f t="array" ref="J1869">IF($D1869="","",IF($I1869="","(trống REF)",IFERROR(INDEX(MASTER_SOURCE!$B$2:$B$495,MATCH($I1869,MASTER_SOURCE!$A$2:$A$495,0)),"(REF không có trong MASTER_SOURCE)")))</f>
        <v/>
      </c>
      <c r="K1869" s="22">
        <f t="array" ref="K1869">IF($D1869="","",IFERROR(INDEX(MASTER_SOURCE!$C$2:$C$495,MATCH($I1869,MASTER_SOURCE!$A$2:$A$495,0)),""))</f>
        <v/>
      </c>
      <c r="L1869" s="22">
        <f t="array" ref="L1869">IF($D1869="","",IFERROR(INDEX(MASTER_SOURCE!$D$2:$D$495,MATCH($I1869,MASTER_SOURCE!$A$2:$A$495,0)),""))</f>
        <v/>
      </c>
      <c r="M1869" s="24" t="n"/>
      <c r="N1869" s="24" t="n"/>
      <c r="O1869" s="24" t="n"/>
      <c r="P1869" s="24" t="n"/>
      <c r="Q1869" s="22">
        <f>IF($D1869="","",IF(AND(OR(DANH_MUC!$L$5&lt;&gt;"Có",M1869="Có"),OR(DANH_MUC!$L$6&lt;&gt;"Có",N1869="Có"),OR(DANH_MUC!$L$7&lt;&gt;"Có",O1869="Có"),OR(DANH_MUC!$L$8&lt;&gt;"Có",P1869="Có")),"Có","Không"))</f>
        <v/>
      </c>
      <c r="R1869" s="22">
        <f>IF($D1869="","",IF(COUNTIF($D$2:$D1869,$D1869)&gt;1,"Trùng",""))</f>
        <v/>
      </c>
      <c r="S1869" s="22">
        <f>IF($D1869="","",IF(AND(LEN($D1869)=10,LEFT($D1869,1)="0",ISNUMBER(--$D1869)),"Có","Không"))</f>
        <v/>
      </c>
      <c r="T1869" s="22">
        <f>IF($D1869="","",IF(AND($C1869&lt;&gt;"",$Q1869="Có",$R1869="",$S1869="Có",AND($L1869&lt;&gt;"",OR($L1869&lt;&gt;"Chưa xác định",DANH_MUC!$L$9="Có"))),"Có","Không"))</f>
        <v/>
      </c>
      <c r="U1869" s="22">
        <f>IF(OR($D1869="",$T1869="Có"),"",IF($C1869="","Thiếu họ tên; ","")&amp;IF($S1869&lt;&gt;"Có","SĐT sai định dạng; ","")&amp;IF($R1869="Trùng","Trùng SĐT; ","")&amp;IF($Q1869&lt;&gt;"Có","Thiếu đồng ý bắt buộc; ","")&amp;IF($L1869="","Thiếu/sai Mã REF; ",IF(AND($L1869="Chưa xác định",DANH_MUC!$L$9&lt;&gt;"Có"),"Nguồn chưa xác định; ","")))</f>
        <v/>
      </c>
      <c r="V1869" s="22">
        <f>IF(OR($D1869="",$R1869="Trùng"),"",IF(COUNTIF(ORDERS!$C$2:$C$4995,$D1869)&gt;0,"Có","Không"))</f>
        <v/>
      </c>
      <c r="W1869" s="22">
        <f>IF(OR($D1869="",$R1869="Trùng"),"",COUNTIFS(ORDERS!$C$2:$C$4995,$D1869,ORDERS!$L$2:$L$4995,"Đã chuyển khoản"))</f>
        <v/>
      </c>
      <c r="X1869" s="23">
        <f>IF(OR($D1869="",$R1869="Trùng"),"",SUMIFS(ORDERS!$J$2:$J$4995,ORDERS!$C$2:$C$4995,$D1869,ORDERS!$L$2:$L$4995,"Đã chuyển khoản"))</f>
        <v/>
      </c>
      <c r="Y1869" s="24" t="n"/>
    </row>
    <row r="1870" ht="14.25" customHeight="1" s="40">
      <c r="A1870" s="24" t="n"/>
      <c r="B1870" s="27" t="n"/>
      <c r="C1870" s="24" t="n"/>
      <c r="D1870" s="28" t="n"/>
      <c r="E1870" s="29" t="n"/>
      <c r="F1870" s="24" t="n"/>
      <c r="G1870" s="24" t="n"/>
      <c r="H1870" s="21">
        <f>IF(ISNUMBER($B1870),INT($B1870)-WEEKDAY($B1870,2)+1,"")</f>
        <v/>
      </c>
      <c r="I1870" s="24" t="n"/>
      <c r="J1870" s="22">
        <f t="array" ref="J1870">IF($D1870="","",IF($I1870="","(trống REF)",IFERROR(INDEX(MASTER_SOURCE!$B$2:$B$495,MATCH($I1870,MASTER_SOURCE!$A$2:$A$495,0)),"(REF không có trong MASTER_SOURCE)")))</f>
        <v/>
      </c>
      <c r="K1870" s="22">
        <f t="array" ref="K1870">IF($D1870="","",IFERROR(INDEX(MASTER_SOURCE!$C$2:$C$495,MATCH($I1870,MASTER_SOURCE!$A$2:$A$495,0)),""))</f>
        <v/>
      </c>
      <c r="L1870" s="22">
        <f t="array" ref="L1870">IF($D1870="","",IFERROR(INDEX(MASTER_SOURCE!$D$2:$D$495,MATCH($I1870,MASTER_SOURCE!$A$2:$A$495,0)),""))</f>
        <v/>
      </c>
      <c r="M1870" s="24" t="n"/>
      <c r="N1870" s="24" t="n"/>
      <c r="O1870" s="24" t="n"/>
      <c r="P1870" s="24" t="n"/>
      <c r="Q1870" s="22">
        <f>IF($D1870="","",IF(AND(OR(DANH_MUC!$L$5&lt;&gt;"Có",M1870="Có"),OR(DANH_MUC!$L$6&lt;&gt;"Có",N1870="Có"),OR(DANH_MUC!$L$7&lt;&gt;"Có",O1870="Có"),OR(DANH_MUC!$L$8&lt;&gt;"Có",P1870="Có")),"Có","Không"))</f>
        <v/>
      </c>
      <c r="R1870" s="22">
        <f>IF($D1870="","",IF(COUNTIF($D$2:$D1870,$D1870)&gt;1,"Trùng",""))</f>
        <v/>
      </c>
      <c r="S1870" s="22">
        <f>IF($D1870="","",IF(AND(LEN($D1870)=10,LEFT($D1870,1)="0",ISNUMBER(--$D1870)),"Có","Không"))</f>
        <v/>
      </c>
      <c r="T1870" s="22">
        <f>IF($D1870="","",IF(AND($C1870&lt;&gt;"",$Q1870="Có",$R1870="",$S1870="Có",AND($L1870&lt;&gt;"",OR($L1870&lt;&gt;"Chưa xác định",DANH_MUC!$L$9="Có"))),"Có","Không"))</f>
        <v/>
      </c>
      <c r="U1870" s="22">
        <f>IF(OR($D1870="",$T1870="Có"),"",IF($C1870="","Thiếu họ tên; ","")&amp;IF($S1870&lt;&gt;"Có","SĐT sai định dạng; ","")&amp;IF($R1870="Trùng","Trùng SĐT; ","")&amp;IF($Q1870&lt;&gt;"Có","Thiếu đồng ý bắt buộc; ","")&amp;IF($L1870="","Thiếu/sai Mã REF; ",IF(AND($L1870="Chưa xác định",DANH_MUC!$L$9&lt;&gt;"Có"),"Nguồn chưa xác định; ","")))</f>
        <v/>
      </c>
      <c r="V1870" s="22">
        <f>IF(OR($D1870="",$R1870="Trùng"),"",IF(COUNTIF(ORDERS!$C$2:$C$4995,$D1870)&gt;0,"Có","Không"))</f>
        <v/>
      </c>
      <c r="W1870" s="22">
        <f>IF(OR($D1870="",$R1870="Trùng"),"",COUNTIFS(ORDERS!$C$2:$C$4995,$D1870,ORDERS!$L$2:$L$4995,"Đã chuyển khoản"))</f>
        <v/>
      </c>
      <c r="X1870" s="23">
        <f>IF(OR($D1870="",$R1870="Trùng"),"",SUMIFS(ORDERS!$J$2:$J$4995,ORDERS!$C$2:$C$4995,$D1870,ORDERS!$L$2:$L$4995,"Đã chuyển khoản"))</f>
        <v/>
      </c>
      <c r="Y1870" s="24" t="n"/>
    </row>
    <row r="1871" ht="14.25" customHeight="1" s="40">
      <c r="A1871" s="24" t="n"/>
      <c r="B1871" s="27" t="n"/>
      <c r="C1871" s="24" t="n"/>
      <c r="D1871" s="28" t="n"/>
      <c r="E1871" s="29" t="n"/>
      <c r="F1871" s="24" t="n"/>
      <c r="G1871" s="24" t="n"/>
      <c r="H1871" s="21">
        <f>IF(ISNUMBER($B1871),INT($B1871)-WEEKDAY($B1871,2)+1,"")</f>
        <v/>
      </c>
      <c r="I1871" s="24" t="n"/>
      <c r="J1871" s="22">
        <f t="array" ref="J1871">IF($D1871="","",IF($I1871="","(trống REF)",IFERROR(INDEX(MASTER_SOURCE!$B$2:$B$495,MATCH($I1871,MASTER_SOURCE!$A$2:$A$495,0)),"(REF không có trong MASTER_SOURCE)")))</f>
        <v/>
      </c>
      <c r="K1871" s="22">
        <f t="array" ref="K1871">IF($D1871="","",IFERROR(INDEX(MASTER_SOURCE!$C$2:$C$495,MATCH($I1871,MASTER_SOURCE!$A$2:$A$495,0)),""))</f>
        <v/>
      </c>
      <c r="L1871" s="22">
        <f t="array" ref="L1871">IF($D1871="","",IFERROR(INDEX(MASTER_SOURCE!$D$2:$D$495,MATCH($I1871,MASTER_SOURCE!$A$2:$A$495,0)),""))</f>
        <v/>
      </c>
      <c r="M1871" s="24" t="n"/>
      <c r="N1871" s="24" t="n"/>
      <c r="O1871" s="24" t="n"/>
      <c r="P1871" s="24" t="n"/>
      <c r="Q1871" s="22">
        <f>IF($D1871="","",IF(AND(OR(DANH_MUC!$L$5&lt;&gt;"Có",M1871="Có"),OR(DANH_MUC!$L$6&lt;&gt;"Có",N1871="Có"),OR(DANH_MUC!$L$7&lt;&gt;"Có",O1871="Có"),OR(DANH_MUC!$L$8&lt;&gt;"Có",P1871="Có")),"Có","Không"))</f>
        <v/>
      </c>
      <c r="R1871" s="22">
        <f>IF($D1871="","",IF(COUNTIF($D$2:$D1871,$D1871)&gt;1,"Trùng",""))</f>
        <v/>
      </c>
      <c r="S1871" s="22">
        <f>IF($D1871="","",IF(AND(LEN($D1871)=10,LEFT($D1871,1)="0",ISNUMBER(--$D1871)),"Có","Không"))</f>
        <v/>
      </c>
      <c r="T1871" s="22">
        <f>IF($D1871="","",IF(AND($C1871&lt;&gt;"",$Q1871="Có",$R1871="",$S1871="Có",AND($L1871&lt;&gt;"",OR($L1871&lt;&gt;"Chưa xác định",DANH_MUC!$L$9="Có"))),"Có","Không"))</f>
        <v/>
      </c>
      <c r="U1871" s="22">
        <f>IF(OR($D1871="",$T1871="Có"),"",IF($C1871="","Thiếu họ tên; ","")&amp;IF($S1871&lt;&gt;"Có","SĐT sai định dạng; ","")&amp;IF($R1871="Trùng","Trùng SĐT; ","")&amp;IF($Q1871&lt;&gt;"Có","Thiếu đồng ý bắt buộc; ","")&amp;IF($L1871="","Thiếu/sai Mã REF; ",IF(AND($L1871="Chưa xác định",DANH_MUC!$L$9&lt;&gt;"Có"),"Nguồn chưa xác định; ","")))</f>
        <v/>
      </c>
      <c r="V1871" s="22">
        <f>IF(OR($D1871="",$R1871="Trùng"),"",IF(COUNTIF(ORDERS!$C$2:$C$4995,$D1871)&gt;0,"Có","Không"))</f>
        <v/>
      </c>
      <c r="W1871" s="22">
        <f>IF(OR($D1871="",$R1871="Trùng"),"",COUNTIFS(ORDERS!$C$2:$C$4995,$D1871,ORDERS!$L$2:$L$4995,"Đã chuyển khoản"))</f>
        <v/>
      </c>
      <c r="X1871" s="23">
        <f>IF(OR($D1871="",$R1871="Trùng"),"",SUMIFS(ORDERS!$J$2:$J$4995,ORDERS!$C$2:$C$4995,$D1871,ORDERS!$L$2:$L$4995,"Đã chuyển khoản"))</f>
        <v/>
      </c>
      <c r="Y1871" s="24" t="n"/>
    </row>
    <row r="1872" ht="14.25" customHeight="1" s="40">
      <c r="A1872" s="24" t="n"/>
      <c r="B1872" s="27" t="n"/>
      <c r="C1872" s="24" t="n"/>
      <c r="D1872" s="28" t="n"/>
      <c r="E1872" s="29" t="n"/>
      <c r="F1872" s="24" t="n"/>
      <c r="G1872" s="24" t="n"/>
      <c r="H1872" s="21">
        <f>IF(ISNUMBER($B1872),INT($B1872)-WEEKDAY($B1872,2)+1,"")</f>
        <v/>
      </c>
      <c r="I1872" s="24" t="n"/>
      <c r="J1872" s="22">
        <f t="array" ref="J1872">IF($D1872="","",IF($I1872="","(trống REF)",IFERROR(INDEX(MASTER_SOURCE!$B$2:$B$495,MATCH($I1872,MASTER_SOURCE!$A$2:$A$495,0)),"(REF không có trong MASTER_SOURCE)")))</f>
        <v/>
      </c>
      <c r="K1872" s="22">
        <f t="array" ref="K1872">IF($D1872="","",IFERROR(INDEX(MASTER_SOURCE!$C$2:$C$495,MATCH($I1872,MASTER_SOURCE!$A$2:$A$495,0)),""))</f>
        <v/>
      </c>
      <c r="L1872" s="22">
        <f t="array" ref="L1872">IF($D1872="","",IFERROR(INDEX(MASTER_SOURCE!$D$2:$D$495,MATCH($I1872,MASTER_SOURCE!$A$2:$A$495,0)),""))</f>
        <v/>
      </c>
      <c r="M1872" s="24" t="n"/>
      <c r="N1872" s="24" t="n"/>
      <c r="O1872" s="24" t="n"/>
      <c r="P1872" s="24" t="n"/>
      <c r="Q1872" s="22">
        <f>IF($D1872="","",IF(AND(OR(DANH_MUC!$L$5&lt;&gt;"Có",M1872="Có"),OR(DANH_MUC!$L$6&lt;&gt;"Có",N1872="Có"),OR(DANH_MUC!$L$7&lt;&gt;"Có",O1872="Có"),OR(DANH_MUC!$L$8&lt;&gt;"Có",P1872="Có")),"Có","Không"))</f>
        <v/>
      </c>
      <c r="R1872" s="22">
        <f>IF($D1872="","",IF(COUNTIF($D$2:$D1872,$D1872)&gt;1,"Trùng",""))</f>
        <v/>
      </c>
      <c r="S1872" s="22">
        <f>IF($D1872="","",IF(AND(LEN($D1872)=10,LEFT($D1872,1)="0",ISNUMBER(--$D1872)),"Có","Không"))</f>
        <v/>
      </c>
      <c r="T1872" s="22">
        <f>IF($D1872="","",IF(AND($C1872&lt;&gt;"",$Q1872="Có",$R1872="",$S1872="Có",AND($L1872&lt;&gt;"",OR($L1872&lt;&gt;"Chưa xác định",DANH_MUC!$L$9="Có"))),"Có","Không"))</f>
        <v/>
      </c>
      <c r="U1872" s="22">
        <f>IF(OR($D1872="",$T1872="Có"),"",IF($C1872="","Thiếu họ tên; ","")&amp;IF($S1872&lt;&gt;"Có","SĐT sai định dạng; ","")&amp;IF($R1872="Trùng","Trùng SĐT; ","")&amp;IF($Q1872&lt;&gt;"Có","Thiếu đồng ý bắt buộc; ","")&amp;IF($L1872="","Thiếu/sai Mã REF; ",IF(AND($L1872="Chưa xác định",DANH_MUC!$L$9&lt;&gt;"Có"),"Nguồn chưa xác định; ","")))</f>
        <v/>
      </c>
      <c r="V1872" s="22">
        <f>IF(OR($D1872="",$R1872="Trùng"),"",IF(COUNTIF(ORDERS!$C$2:$C$4995,$D1872)&gt;0,"Có","Không"))</f>
        <v/>
      </c>
      <c r="W1872" s="22">
        <f>IF(OR($D1872="",$R1872="Trùng"),"",COUNTIFS(ORDERS!$C$2:$C$4995,$D1872,ORDERS!$L$2:$L$4995,"Đã chuyển khoản"))</f>
        <v/>
      </c>
      <c r="X1872" s="23">
        <f>IF(OR($D1872="",$R1872="Trùng"),"",SUMIFS(ORDERS!$J$2:$J$4995,ORDERS!$C$2:$C$4995,$D1872,ORDERS!$L$2:$L$4995,"Đã chuyển khoản"))</f>
        <v/>
      </c>
      <c r="Y1872" s="24" t="n"/>
    </row>
    <row r="1873" ht="14.25" customHeight="1" s="40">
      <c r="A1873" s="24" t="n"/>
      <c r="B1873" s="27" t="n"/>
      <c r="C1873" s="24" t="n"/>
      <c r="D1873" s="28" t="n"/>
      <c r="E1873" s="29" t="n"/>
      <c r="F1873" s="24" t="n"/>
      <c r="G1873" s="24" t="n"/>
      <c r="H1873" s="21">
        <f>IF(ISNUMBER($B1873),INT($B1873)-WEEKDAY($B1873,2)+1,"")</f>
        <v/>
      </c>
      <c r="I1873" s="24" t="n"/>
      <c r="J1873" s="22">
        <f t="array" ref="J1873">IF($D1873="","",IF($I1873="","(trống REF)",IFERROR(INDEX(MASTER_SOURCE!$B$2:$B$495,MATCH($I1873,MASTER_SOURCE!$A$2:$A$495,0)),"(REF không có trong MASTER_SOURCE)")))</f>
        <v/>
      </c>
      <c r="K1873" s="22">
        <f t="array" ref="K1873">IF($D1873="","",IFERROR(INDEX(MASTER_SOURCE!$C$2:$C$495,MATCH($I1873,MASTER_SOURCE!$A$2:$A$495,0)),""))</f>
        <v/>
      </c>
      <c r="L1873" s="22">
        <f t="array" ref="L1873">IF($D1873="","",IFERROR(INDEX(MASTER_SOURCE!$D$2:$D$495,MATCH($I1873,MASTER_SOURCE!$A$2:$A$495,0)),""))</f>
        <v/>
      </c>
      <c r="M1873" s="24" t="n"/>
      <c r="N1873" s="24" t="n"/>
      <c r="O1873" s="24" t="n"/>
      <c r="P1873" s="24" t="n"/>
      <c r="Q1873" s="22">
        <f>IF($D1873="","",IF(AND(OR(DANH_MUC!$L$5&lt;&gt;"Có",M1873="Có"),OR(DANH_MUC!$L$6&lt;&gt;"Có",N1873="Có"),OR(DANH_MUC!$L$7&lt;&gt;"Có",O1873="Có"),OR(DANH_MUC!$L$8&lt;&gt;"Có",P1873="Có")),"Có","Không"))</f>
        <v/>
      </c>
      <c r="R1873" s="22">
        <f>IF($D1873="","",IF(COUNTIF($D$2:$D1873,$D1873)&gt;1,"Trùng",""))</f>
        <v/>
      </c>
      <c r="S1873" s="22">
        <f>IF($D1873="","",IF(AND(LEN($D1873)=10,LEFT($D1873,1)="0",ISNUMBER(--$D1873)),"Có","Không"))</f>
        <v/>
      </c>
      <c r="T1873" s="22">
        <f>IF($D1873="","",IF(AND($C1873&lt;&gt;"",$Q1873="Có",$R1873="",$S1873="Có",AND($L1873&lt;&gt;"",OR($L1873&lt;&gt;"Chưa xác định",DANH_MUC!$L$9="Có"))),"Có","Không"))</f>
        <v/>
      </c>
      <c r="U1873" s="22">
        <f>IF(OR($D1873="",$T1873="Có"),"",IF($C1873="","Thiếu họ tên; ","")&amp;IF($S1873&lt;&gt;"Có","SĐT sai định dạng; ","")&amp;IF($R1873="Trùng","Trùng SĐT; ","")&amp;IF($Q1873&lt;&gt;"Có","Thiếu đồng ý bắt buộc; ","")&amp;IF($L1873="","Thiếu/sai Mã REF; ",IF(AND($L1873="Chưa xác định",DANH_MUC!$L$9&lt;&gt;"Có"),"Nguồn chưa xác định; ","")))</f>
        <v/>
      </c>
      <c r="V1873" s="22">
        <f>IF(OR($D1873="",$R1873="Trùng"),"",IF(COUNTIF(ORDERS!$C$2:$C$4995,$D1873)&gt;0,"Có","Không"))</f>
        <v/>
      </c>
      <c r="W1873" s="22">
        <f>IF(OR($D1873="",$R1873="Trùng"),"",COUNTIFS(ORDERS!$C$2:$C$4995,$D1873,ORDERS!$L$2:$L$4995,"Đã chuyển khoản"))</f>
        <v/>
      </c>
      <c r="X1873" s="23">
        <f>IF(OR($D1873="",$R1873="Trùng"),"",SUMIFS(ORDERS!$J$2:$J$4995,ORDERS!$C$2:$C$4995,$D1873,ORDERS!$L$2:$L$4995,"Đã chuyển khoản"))</f>
        <v/>
      </c>
      <c r="Y1873" s="24" t="n"/>
    </row>
    <row r="1874" ht="14.25" customHeight="1" s="40">
      <c r="A1874" s="24" t="n"/>
      <c r="B1874" s="27" t="n"/>
      <c r="C1874" s="24" t="n"/>
      <c r="D1874" s="28" t="n"/>
      <c r="E1874" s="29" t="n"/>
      <c r="F1874" s="24" t="n"/>
      <c r="G1874" s="24" t="n"/>
      <c r="H1874" s="21">
        <f>IF(ISNUMBER($B1874),INT($B1874)-WEEKDAY($B1874,2)+1,"")</f>
        <v/>
      </c>
      <c r="I1874" s="24" t="n"/>
      <c r="J1874" s="22">
        <f t="array" ref="J1874">IF($D1874="","",IF($I1874="","(trống REF)",IFERROR(INDEX(MASTER_SOURCE!$B$2:$B$495,MATCH($I1874,MASTER_SOURCE!$A$2:$A$495,0)),"(REF không có trong MASTER_SOURCE)")))</f>
        <v/>
      </c>
      <c r="K1874" s="22">
        <f t="array" ref="K1874">IF($D1874="","",IFERROR(INDEX(MASTER_SOURCE!$C$2:$C$495,MATCH($I1874,MASTER_SOURCE!$A$2:$A$495,0)),""))</f>
        <v/>
      </c>
      <c r="L1874" s="22">
        <f t="array" ref="L1874">IF($D1874="","",IFERROR(INDEX(MASTER_SOURCE!$D$2:$D$495,MATCH($I1874,MASTER_SOURCE!$A$2:$A$495,0)),""))</f>
        <v/>
      </c>
      <c r="M1874" s="24" t="n"/>
      <c r="N1874" s="24" t="n"/>
      <c r="O1874" s="24" t="n"/>
      <c r="P1874" s="24" t="n"/>
      <c r="Q1874" s="22">
        <f>IF($D1874="","",IF(AND(OR(DANH_MUC!$L$5&lt;&gt;"Có",M1874="Có"),OR(DANH_MUC!$L$6&lt;&gt;"Có",N1874="Có"),OR(DANH_MUC!$L$7&lt;&gt;"Có",O1874="Có"),OR(DANH_MUC!$L$8&lt;&gt;"Có",P1874="Có")),"Có","Không"))</f>
        <v/>
      </c>
      <c r="R1874" s="22">
        <f>IF($D1874="","",IF(COUNTIF($D$2:$D1874,$D1874)&gt;1,"Trùng",""))</f>
        <v/>
      </c>
      <c r="S1874" s="22">
        <f>IF($D1874="","",IF(AND(LEN($D1874)=10,LEFT($D1874,1)="0",ISNUMBER(--$D1874)),"Có","Không"))</f>
        <v/>
      </c>
      <c r="T1874" s="22">
        <f>IF($D1874="","",IF(AND($C1874&lt;&gt;"",$Q1874="Có",$R1874="",$S1874="Có",AND($L1874&lt;&gt;"",OR($L1874&lt;&gt;"Chưa xác định",DANH_MUC!$L$9="Có"))),"Có","Không"))</f>
        <v/>
      </c>
      <c r="U1874" s="22">
        <f>IF(OR($D1874="",$T1874="Có"),"",IF($C1874="","Thiếu họ tên; ","")&amp;IF($S1874&lt;&gt;"Có","SĐT sai định dạng; ","")&amp;IF($R1874="Trùng","Trùng SĐT; ","")&amp;IF($Q1874&lt;&gt;"Có","Thiếu đồng ý bắt buộc; ","")&amp;IF($L1874="","Thiếu/sai Mã REF; ",IF(AND($L1874="Chưa xác định",DANH_MUC!$L$9&lt;&gt;"Có"),"Nguồn chưa xác định; ","")))</f>
        <v/>
      </c>
      <c r="V1874" s="22">
        <f>IF(OR($D1874="",$R1874="Trùng"),"",IF(COUNTIF(ORDERS!$C$2:$C$4995,$D1874)&gt;0,"Có","Không"))</f>
        <v/>
      </c>
      <c r="W1874" s="22">
        <f>IF(OR($D1874="",$R1874="Trùng"),"",COUNTIFS(ORDERS!$C$2:$C$4995,$D1874,ORDERS!$L$2:$L$4995,"Đã chuyển khoản"))</f>
        <v/>
      </c>
      <c r="X1874" s="23">
        <f>IF(OR($D1874="",$R1874="Trùng"),"",SUMIFS(ORDERS!$J$2:$J$4995,ORDERS!$C$2:$C$4995,$D1874,ORDERS!$L$2:$L$4995,"Đã chuyển khoản"))</f>
        <v/>
      </c>
      <c r="Y1874" s="24" t="n"/>
    </row>
    <row r="1875" ht="14.25" customHeight="1" s="40">
      <c r="A1875" s="24" t="n"/>
      <c r="B1875" s="27" t="n"/>
      <c r="C1875" s="24" t="n"/>
      <c r="D1875" s="28" t="n"/>
      <c r="E1875" s="29" t="n"/>
      <c r="F1875" s="24" t="n"/>
      <c r="G1875" s="24" t="n"/>
      <c r="H1875" s="21">
        <f>IF(ISNUMBER($B1875),INT($B1875)-WEEKDAY($B1875,2)+1,"")</f>
        <v/>
      </c>
      <c r="I1875" s="24" t="n"/>
      <c r="J1875" s="22">
        <f t="array" ref="J1875">IF($D1875="","",IF($I1875="","(trống REF)",IFERROR(INDEX(MASTER_SOURCE!$B$2:$B$495,MATCH($I1875,MASTER_SOURCE!$A$2:$A$495,0)),"(REF không có trong MASTER_SOURCE)")))</f>
        <v/>
      </c>
      <c r="K1875" s="22">
        <f t="array" ref="K1875">IF($D1875="","",IFERROR(INDEX(MASTER_SOURCE!$C$2:$C$495,MATCH($I1875,MASTER_SOURCE!$A$2:$A$495,0)),""))</f>
        <v/>
      </c>
      <c r="L1875" s="22">
        <f t="array" ref="L1875">IF($D1875="","",IFERROR(INDEX(MASTER_SOURCE!$D$2:$D$495,MATCH($I1875,MASTER_SOURCE!$A$2:$A$495,0)),""))</f>
        <v/>
      </c>
      <c r="M1875" s="24" t="n"/>
      <c r="N1875" s="24" t="n"/>
      <c r="O1875" s="24" t="n"/>
      <c r="P1875" s="24" t="n"/>
      <c r="Q1875" s="22">
        <f>IF($D1875="","",IF(AND(OR(DANH_MUC!$L$5&lt;&gt;"Có",M1875="Có"),OR(DANH_MUC!$L$6&lt;&gt;"Có",N1875="Có"),OR(DANH_MUC!$L$7&lt;&gt;"Có",O1875="Có"),OR(DANH_MUC!$L$8&lt;&gt;"Có",P1875="Có")),"Có","Không"))</f>
        <v/>
      </c>
      <c r="R1875" s="22">
        <f>IF($D1875="","",IF(COUNTIF($D$2:$D1875,$D1875)&gt;1,"Trùng",""))</f>
        <v/>
      </c>
      <c r="S1875" s="22">
        <f>IF($D1875="","",IF(AND(LEN($D1875)=10,LEFT($D1875,1)="0",ISNUMBER(--$D1875)),"Có","Không"))</f>
        <v/>
      </c>
      <c r="T1875" s="22">
        <f>IF($D1875="","",IF(AND($C1875&lt;&gt;"",$Q1875="Có",$R1875="",$S1875="Có",AND($L1875&lt;&gt;"",OR($L1875&lt;&gt;"Chưa xác định",DANH_MUC!$L$9="Có"))),"Có","Không"))</f>
        <v/>
      </c>
      <c r="U1875" s="22">
        <f>IF(OR($D1875="",$T1875="Có"),"",IF($C1875="","Thiếu họ tên; ","")&amp;IF($S1875&lt;&gt;"Có","SĐT sai định dạng; ","")&amp;IF($R1875="Trùng","Trùng SĐT; ","")&amp;IF($Q1875&lt;&gt;"Có","Thiếu đồng ý bắt buộc; ","")&amp;IF($L1875="","Thiếu/sai Mã REF; ",IF(AND($L1875="Chưa xác định",DANH_MUC!$L$9&lt;&gt;"Có"),"Nguồn chưa xác định; ","")))</f>
        <v/>
      </c>
      <c r="V1875" s="22">
        <f>IF(OR($D1875="",$R1875="Trùng"),"",IF(COUNTIF(ORDERS!$C$2:$C$4995,$D1875)&gt;0,"Có","Không"))</f>
        <v/>
      </c>
      <c r="W1875" s="22">
        <f>IF(OR($D1875="",$R1875="Trùng"),"",COUNTIFS(ORDERS!$C$2:$C$4995,$D1875,ORDERS!$L$2:$L$4995,"Đã chuyển khoản"))</f>
        <v/>
      </c>
      <c r="X1875" s="23">
        <f>IF(OR($D1875="",$R1875="Trùng"),"",SUMIFS(ORDERS!$J$2:$J$4995,ORDERS!$C$2:$C$4995,$D1875,ORDERS!$L$2:$L$4995,"Đã chuyển khoản"))</f>
        <v/>
      </c>
      <c r="Y1875" s="24" t="n"/>
    </row>
    <row r="1876" ht="14.25" customHeight="1" s="40">
      <c r="A1876" s="24" t="n"/>
      <c r="B1876" s="27" t="n"/>
      <c r="C1876" s="24" t="n"/>
      <c r="D1876" s="28" t="n"/>
      <c r="E1876" s="29" t="n"/>
      <c r="F1876" s="24" t="n"/>
      <c r="G1876" s="24" t="n"/>
      <c r="H1876" s="21">
        <f>IF(ISNUMBER($B1876),INT($B1876)-WEEKDAY($B1876,2)+1,"")</f>
        <v/>
      </c>
      <c r="I1876" s="24" t="n"/>
      <c r="J1876" s="22">
        <f t="array" ref="J1876">IF($D1876="","",IF($I1876="","(trống REF)",IFERROR(INDEX(MASTER_SOURCE!$B$2:$B$495,MATCH($I1876,MASTER_SOURCE!$A$2:$A$495,0)),"(REF không có trong MASTER_SOURCE)")))</f>
        <v/>
      </c>
      <c r="K1876" s="22">
        <f t="array" ref="K1876">IF($D1876="","",IFERROR(INDEX(MASTER_SOURCE!$C$2:$C$495,MATCH($I1876,MASTER_SOURCE!$A$2:$A$495,0)),""))</f>
        <v/>
      </c>
      <c r="L1876" s="22">
        <f t="array" ref="L1876">IF($D1876="","",IFERROR(INDEX(MASTER_SOURCE!$D$2:$D$495,MATCH($I1876,MASTER_SOURCE!$A$2:$A$495,0)),""))</f>
        <v/>
      </c>
      <c r="M1876" s="24" t="n"/>
      <c r="N1876" s="24" t="n"/>
      <c r="O1876" s="24" t="n"/>
      <c r="P1876" s="24" t="n"/>
      <c r="Q1876" s="22">
        <f>IF($D1876="","",IF(AND(OR(DANH_MUC!$L$5&lt;&gt;"Có",M1876="Có"),OR(DANH_MUC!$L$6&lt;&gt;"Có",N1876="Có"),OR(DANH_MUC!$L$7&lt;&gt;"Có",O1876="Có"),OR(DANH_MUC!$L$8&lt;&gt;"Có",P1876="Có")),"Có","Không"))</f>
        <v/>
      </c>
      <c r="R1876" s="22">
        <f>IF($D1876="","",IF(COUNTIF($D$2:$D1876,$D1876)&gt;1,"Trùng",""))</f>
        <v/>
      </c>
      <c r="S1876" s="22">
        <f>IF($D1876="","",IF(AND(LEN($D1876)=10,LEFT($D1876,1)="0",ISNUMBER(--$D1876)),"Có","Không"))</f>
        <v/>
      </c>
      <c r="T1876" s="22">
        <f>IF($D1876="","",IF(AND($C1876&lt;&gt;"",$Q1876="Có",$R1876="",$S1876="Có",AND($L1876&lt;&gt;"",OR($L1876&lt;&gt;"Chưa xác định",DANH_MUC!$L$9="Có"))),"Có","Không"))</f>
        <v/>
      </c>
      <c r="U1876" s="22">
        <f>IF(OR($D1876="",$T1876="Có"),"",IF($C1876="","Thiếu họ tên; ","")&amp;IF($S1876&lt;&gt;"Có","SĐT sai định dạng; ","")&amp;IF($R1876="Trùng","Trùng SĐT; ","")&amp;IF($Q1876&lt;&gt;"Có","Thiếu đồng ý bắt buộc; ","")&amp;IF($L1876="","Thiếu/sai Mã REF; ",IF(AND($L1876="Chưa xác định",DANH_MUC!$L$9&lt;&gt;"Có"),"Nguồn chưa xác định; ","")))</f>
        <v/>
      </c>
      <c r="V1876" s="22">
        <f>IF(OR($D1876="",$R1876="Trùng"),"",IF(COUNTIF(ORDERS!$C$2:$C$4995,$D1876)&gt;0,"Có","Không"))</f>
        <v/>
      </c>
      <c r="W1876" s="22">
        <f>IF(OR($D1876="",$R1876="Trùng"),"",COUNTIFS(ORDERS!$C$2:$C$4995,$D1876,ORDERS!$L$2:$L$4995,"Đã chuyển khoản"))</f>
        <v/>
      </c>
      <c r="X1876" s="23">
        <f>IF(OR($D1876="",$R1876="Trùng"),"",SUMIFS(ORDERS!$J$2:$J$4995,ORDERS!$C$2:$C$4995,$D1876,ORDERS!$L$2:$L$4995,"Đã chuyển khoản"))</f>
        <v/>
      </c>
      <c r="Y1876" s="24" t="n"/>
    </row>
    <row r="1877" ht="14.25" customHeight="1" s="40">
      <c r="A1877" s="24" t="n"/>
      <c r="B1877" s="27" t="n"/>
      <c r="C1877" s="24" t="n"/>
      <c r="D1877" s="28" t="n"/>
      <c r="E1877" s="29" t="n"/>
      <c r="F1877" s="24" t="n"/>
      <c r="G1877" s="24" t="n"/>
      <c r="H1877" s="21">
        <f>IF(ISNUMBER($B1877),INT($B1877)-WEEKDAY($B1877,2)+1,"")</f>
        <v/>
      </c>
      <c r="I1877" s="24" t="n"/>
      <c r="J1877" s="22">
        <f t="array" ref="J1877">IF($D1877="","",IF($I1877="","(trống REF)",IFERROR(INDEX(MASTER_SOURCE!$B$2:$B$495,MATCH($I1877,MASTER_SOURCE!$A$2:$A$495,0)),"(REF không có trong MASTER_SOURCE)")))</f>
        <v/>
      </c>
      <c r="K1877" s="22">
        <f t="array" ref="K1877">IF($D1877="","",IFERROR(INDEX(MASTER_SOURCE!$C$2:$C$495,MATCH($I1877,MASTER_SOURCE!$A$2:$A$495,0)),""))</f>
        <v/>
      </c>
      <c r="L1877" s="22">
        <f t="array" ref="L1877">IF($D1877="","",IFERROR(INDEX(MASTER_SOURCE!$D$2:$D$495,MATCH($I1877,MASTER_SOURCE!$A$2:$A$495,0)),""))</f>
        <v/>
      </c>
      <c r="M1877" s="24" t="n"/>
      <c r="N1877" s="24" t="n"/>
      <c r="O1877" s="24" t="n"/>
      <c r="P1877" s="24" t="n"/>
      <c r="Q1877" s="22">
        <f>IF($D1877="","",IF(AND(OR(DANH_MUC!$L$5&lt;&gt;"Có",M1877="Có"),OR(DANH_MUC!$L$6&lt;&gt;"Có",N1877="Có"),OR(DANH_MUC!$L$7&lt;&gt;"Có",O1877="Có"),OR(DANH_MUC!$L$8&lt;&gt;"Có",P1877="Có")),"Có","Không"))</f>
        <v/>
      </c>
      <c r="R1877" s="22">
        <f>IF($D1877="","",IF(COUNTIF($D$2:$D1877,$D1877)&gt;1,"Trùng",""))</f>
        <v/>
      </c>
      <c r="S1877" s="22">
        <f>IF($D1877="","",IF(AND(LEN($D1877)=10,LEFT($D1877,1)="0",ISNUMBER(--$D1877)),"Có","Không"))</f>
        <v/>
      </c>
      <c r="T1877" s="22">
        <f>IF($D1877="","",IF(AND($C1877&lt;&gt;"",$Q1877="Có",$R1877="",$S1877="Có",AND($L1877&lt;&gt;"",OR($L1877&lt;&gt;"Chưa xác định",DANH_MUC!$L$9="Có"))),"Có","Không"))</f>
        <v/>
      </c>
      <c r="U1877" s="22">
        <f>IF(OR($D1877="",$T1877="Có"),"",IF($C1877="","Thiếu họ tên; ","")&amp;IF($S1877&lt;&gt;"Có","SĐT sai định dạng; ","")&amp;IF($R1877="Trùng","Trùng SĐT; ","")&amp;IF($Q1877&lt;&gt;"Có","Thiếu đồng ý bắt buộc; ","")&amp;IF($L1877="","Thiếu/sai Mã REF; ",IF(AND($L1877="Chưa xác định",DANH_MUC!$L$9&lt;&gt;"Có"),"Nguồn chưa xác định; ","")))</f>
        <v/>
      </c>
      <c r="V1877" s="22">
        <f>IF(OR($D1877="",$R1877="Trùng"),"",IF(COUNTIF(ORDERS!$C$2:$C$4995,$D1877)&gt;0,"Có","Không"))</f>
        <v/>
      </c>
      <c r="W1877" s="22">
        <f>IF(OR($D1877="",$R1877="Trùng"),"",COUNTIFS(ORDERS!$C$2:$C$4995,$D1877,ORDERS!$L$2:$L$4995,"Đã chuyển khoản"))</f>
        <v/>
      </c>
      <c r="X1877" s="23">
        <f>IF(OR($D1877="",$R1877="Trùng"),"",SUMIFS(ORDERS!$J$2:$J$4995,ORDERS!$C$2:$C$4995,$D1877,ORDERS!$L$2:$L$4995,"Đã chuyển khoản"))</f>
        <v/>
      </c>
      <c r="Y1877" s="24" t="n"/>
    </row>
    <row r="1878" ht="14.25" customHeight="1" s="40">
      <c r="A1878" s="24" t="n"/>
      <c r="B1878" s="27" t="n"/>
      <c r="C1878" s="24" t="n"/>
      <c r="D1878" s="28" t="n"/>
      <c r="E1878" s="29" t="n"/>
      <c r="F1878" s="24" t="n"/>
      <c r="G1878" s="24" t="n"/>
      <c r="H1878" s="21">
        <f>IF(ISNUMBER($B1878),INT($B1878)-WEEKDAY($B1878,2)+1,"")</f>
        <v/>
      </c>
      <c r="I1878" s="24" t="n"/>
      <c r="J1878" s="22">
        <f t="array" ref="J1878">IF($D1878="","",IF($I1878="","(trống REF)",IFERROR(INDEX(MASTER_SOURCE!$B$2:$B$495,MATCH($I1878,MASTER_SOURCE!$A$2:$A$495,0)),"(REF không có trong MASTER_SOURCE)")))</f>
        <v/>
      </c>
      <c r="K1878" s="22">
        <f t="array" ref="K1878">IF($D1878="","",IFERROR(INDEX(MASTER_SOURCE!$C$2:$C$495,MATCH($I1878,MASTER_SOURCE!$A$2:$A$495,0)),""))</f>
        <v/>
      </c>
      <c r="L1878" s="22">
        <f t="array" ref="L1878">IF($D1878="","",IFERROR(INDEX(MASTER_SOURCE!$D$2:$D$495,MATCH($I1878,MASTER_SOURCE!$A$2:$A$495,0)),""))</f>
        <v/>
      </c>
      <c r="M1878" s="24" t="n"/>
      <c r="N1878" s="24" t="n"/>
      <c r="O1878" s="24" t="n"/>
      <c r="P1878" s="24" t="n"/>
      <c r="Q1878" s="22">
        <f>IF($D1878="","",IF(AND(OR(DANH_MUC!$L$5&lt;&gt;"Có",M1878="Có"),OR(DANH_MUC!$L$6&lt;&gt;"Có",N1878="Có"),OR(DANH_MUC!$L$7&lt;&gt;"Có",O1878="Có"),OR(DANH_MUC!$L$8&lt;&gt;"Có",P1878="Có")),"Có","Không"))</f>
        <v/>
      </c>
      <c r="R1878" s="22">
        <f>IF($D1878="","",IF(COUNTIF($D$2:$D1878,$D1878)&gt;1,"Trùng",""))</f>
        <v/>
      </c>
      <c r="S1878" s="22">
        <f>IF($D1878="","",IF(AND(LEN($D1878)=10,LEFT($D1878,1)="0",ISNUMBER(--$D1878)),"Có","Không"))</f>
        <v/>
      </c>
      <c r="T1878" s="22">
        <f>IF($D1878="","",IF(AND($C1878&lt;&gt;"",$Q1878="Có",$R1878="",$S1878="Có",AND($L1878&lt;&gt;"",OR($L1878&lt;&gt;"Chưa xác định",DANH_MUC!$L$9="Có"))),"Có","Không"))</f>
        <v/>
      </c>
      <c r="U1878" s="22">
        <f>IF(OR($D1878="",$T1878="Có"),"",IF($C1878="","Thiếu họ tên; ","")&amp;IF($S1878&lt;&gt;"Có","SĐT sai định dạng; ","")&amp;IF($R1878="Trùng","Trùng SĐT; ","")&amp;IF($Q1878&lt;&gt;"Có","Thiếu đồng ý bắt buộc; ","")&amp;IF($L1878="","Thiếu/sai Mã REF; ",IF(AND($L1878="Chưa xác định",DANH_MUC!$L$9&lt;&gt;"Có"),"Nguồn chưa xác định; ","")))</f>
        <v/>
      </c>
      <c r="V1878" s="22">
        <f>IF(OR($D1878="",$R1878="Trùng"),"",IF(COUNTIF(ORDERS!$C$2:$C$4995,$D1878)&gt;0,"Có","Không"))</f>
        <v/>
      </c>
      <c r="W1878" s="22">
        <f>IF(OR($D1878="",$R1878="Trùng"),"",COUNTIFS(ORDERS!$C$2:$C$4995,$D1878,ORDERS!$L$2:$L$4995,"Đã chuyển khoản"))</f>
        <v/>
      </c>
      <c r="X1878" s="23">
        <f>IF(OR($D1878="",$R1878="Trùng"),"",SUMIFS(ORDERS!$J$2:$J$4995,ORDERS!$C$2:$C$4995,$D1878,ORDERS!$L$2:$L$4995,"Đã chuyển khoản"))</f>
        <v/>
      </c>
      <c r="Y1878" s="24" t="n"/>
    </row>
    <row r="1879" ht="14.25" customHeight="1" s="40">
      <c r="A1879" s="24" t="n"/>
      <c r="B1879" s="27" t="n"/>
      <c r="C1879" s="24" t="n"/>
      <c r="D1879" s="28" t="n"/>
      <c r="E1879" s="29" t="n"/>
      <c r="F1879" s="24" t="n"/>
      <c r="G1879" s="24" t="n"/>
      <c r="H1879" s="21">
        <f>IF(ISNUMBER($B1879),INT($B1879)-WEEKDAY($B1879,2)+1,"")</f>
        <v/>
      </c>
      <c r="I1879" s="24" t="n"/>
      <c r="J1879" s="22">
        <f t="array" ref="J1879">IF($D1879="","",IF($I1879="","(trống REF)",IFERROR(INDEX(MASTER_SOURCE!$B$2:$B$495,MATCH($I1879,MASTER_SOURCE!$A$2:$A$495,0)),"(REF không có trong MASTER_SOURCE)")))</f>
        <v/>
      </c>
      <c r="K1879" s="22">
        <f t="array" ref="K1879">IF($D1879="","",IFERROR(INDEX(MASTER_SOURCE!$C$2:$C$495,MATCH($I1879,MASTER_SOURCE!$A$2:$A$495,0)),""))</f>
        <v/>
      </c>
      <c r="L1879" s="22">
        <f t="array" ref="L1879">IF($D1879="","",IFERROR(INDEX(MASTER_SOURCE!$D$2:$D$495,MATCH($I1879,MASTER_SOURCE!$A$2:$A$495,0)),""))</f>
        <v/>
      </c>
      <c r="M1879" s="24" t="n"/>
      <c r="N1879" s="24" t="n"/>
      <c r="O1879" s="24" t="n"/>
      <c r="P1879" s="24" t="n"/>
      <c r="Q1879" s="22">
        <f>IF($D1879="","",IF(AND(OR(DANH_MUC!$L$5&lt;&gt;"Có",M1879="Có"),OR(DANH_MUC!$L$6&lt;&gt;"Có",N1879="Có"),OR(DANH_MUC!$L$7&lt;&gt;"Có",O1879="Có"),OR(DANH_MUC!$L$8&lt;&gt;"Có",P1879="Có")),"Có","Không"))</f>
        <v/>
      </c>
      <c r="R1879" s="22">
        <f>IF($D1879="","",IF(COUNTIF($D$2:$D1879,$D1879)&gt;1,"Trùng",""))</f>
        <v/>
      </c>
      <c r="S1879" s="22">
        <f>IF($D1879="","",IF(AND(LEN($D1879)=10,LEFT($D1879,1)="0",ISNUMBER(--$D1879)),"Có","Không"))</f>
        <v/>
      </c>
      <c r="T1879" s="22">
        <f>IF($D1879="","",IF(AND($C1879&lt;&gt;"",$Q1879="Có",$R1879="",$S1879="Có",AND($L1879&lt;&gt;"",OR($L1879&lt;&gt;"Chưa xác định",DANH_MUC!$L$9="Có"))),"Có","Không"))</f>
        <v/>
      </c>
      <c r="U1879" s="22">
        <f>IF(OR($D1879="",$T1879="Có"),"",IF($C1879="","Thiếu họ tên; ","")&amp;IF($S1879&lt;&gt;"Có","SĐT sai định dạng; ","")&amp;IF($R1879="Trùng","Trùng SĐT; ","")&amp;IF($Q1879&lt;&gt;"Có","Thiếu đồng ý bắt buộc; ","")&amp;IF($L1879="","Thiếu/sai Mã REF; ",IF(AND($L1879="Chưa xác định",DANH_MUC!$L$9&lt;&gt;"Có"),"Nguồn chưa xác định; ","")))</f>
        <v/>
      </c>
      <c r="V1879" s="22">
        <f>IF(OR($D1879="",$R1879="Trùng"),"",IF(COUNTIF(ORDERS!$C$2:$C$4995,$D1879)&gt;0,"Có","Không"))</f>
        <v/>
      </c>
      <c r="W1879" s="22">
        <f>IF(OR($D1879="",$R1879="Trùng"),"",COUNTIFS(ORDERS!$C$2:$C$4995,$D1879,ORDERS!$L$2:$L$4995,"Đã chuyển khoản"))</f>
        <v/>
      </c>
      <c r="X1879" s="23">
        <f>IF(OR($D1879="",$R1879="Trùng"),"",SUMIFS(ORDERS!$J$2:$J$4995,ORDERS!$C$2:$C$4995,$D1879,ORDERS!$L$2:$L$4995,"Đã chuyển khoản"))</f>
        <v/>
      </c>
      <c r="Y1879" s="24" t="n"/>
    </row>
    <row r="1880" ht="14.25" customHeight="1" s="40">
      <c r="A1880" s="24" t="n"/>
      <c r="B1880" s="27" t="n"/>
      <c r="C1880" s="24" t="n"/>
      <c r="D1880" s="28" t="n"/>
      <c r="E1880" s="29" t="n"/>
      <c r="F1880" s="24" t="n"/>
      <c r="G1880" s="24" t="n"/>
      <c r="H1880" s="21">
        <f>IF(ISNUMBER($B1880),INT($B1880)-WEEKDAY($B1880,2)+1,"")</f>
        <v/>
      </c>
      <c r="I1880" s="24" t="n"/>
      <c r="J1880" s="22">
        <f t="array" ref="J1880">IF($D1880="","",IF($I1880="","(trống REF)",IFERROR(INDEX(MASTER_SOURCE!$B$2:$B$495,MATCH($I1880,MASTER_SOURCE!$A$2:$A$495,0)),"(REF không có trong MASTER_SOURCE)")))</f>
        <v/>
      </c>
      <c r="K1880" s="22">
        <f t="array" ref="K1880">IF($D1880="","",IFERROR(INDEX(MASTER_SOURCE!$C$2:$C$495,MATCH($I1880,MASTER_SOURCE!$A$2:$A$495,0)),""))</f>
        <v/>
      </c>
      <c r="L1880" s="22">
        <f t="array" ref="L1880">IF($D1880="","",IFERROR(INDEX(MASTER_SOURCE!$D$2:$D$495,MATCH($I1880,MASTER_SOURCE!$A$2:$A$495,0)),""))</f>
        <v/>
      </c>
      <c r="M1880" s="24" t="n"/>
      <c r="N1880" s="24" t="n"/>
      <c r="O1880" s="24" t="n"/>
      <c r="P1880" s="24" t="n"/>
      <c r="Q1880" s="22">
        <f>IF($D1880="","",IF(AND(OR(DANH_MUC!$L$5&lt;&gt;"Có",M1880="Có"),OR(DANH_MUC!$L$6&lt;&gt;"Có",N1880="Có"),OR(DANH_MUC!$L$7&lt;&gt;"Có",O1880="Có"),OR(DANH_MUC!$L$8&lt;&gt;"Có",P1880="Có")),"Có","Không"))</f>
        <v/>
      </c>
      <c r="R1880" s="22">
        <f>IF($D1880="","",IF(COUNTIF($D$2:$D1880,$D1880)&gt;1,"Trùng",""))</f>
        <v/>
      </c>
      <c r="S1880" s="22">
        <f>IF($D1880="","",IF(AND(LEN($D1880)=10,LEFT($D1880,1)="0",ISNUMBER(--$D1880)),"Có","Không"))</f>
        <v/>
      </c>
      <c r="T1880" s="22">
        <f>IF($D1880="","",IF(AND($C1880&lt;&gt;"",$Q1880="Có",$R1880="",$S1880="Có",AND($L1880&lt;&gt;"",OR($L1880&lt;&gt;"Chưa xác định",DANH_MUC!$L$9="Có"))),"Có","Không"))</f>
        <v/>
      </c>
      <c r="U1880" s="22">
        <f>IF(OR($D1880="",$T1880="Có"),"",IF($C1880="","Thiếu họ tên; ","")&amp;IF($S1880&lt;&gt;"Có","SĐT sai định dạng; ","")&amp;IF($R1880="Trùng","Trùng SĐT; ","")&amp;IF($Q1880&lt;&gt;"Có","Thiếu đồng ý bắt buộc; ","")&amp;IF($L1880="","Thiếu/sai Mã REF; ",IF(AND($L1880="Chưa xác định",DANH_MUC!$L$9&lt;&gt;"Có"),"Nguồn chưa xác định; ","")))</f>
        <v/>
      </c>
      <c r="V1880" s="22">
        <f>IF(OR($D1880="",$R1880="Trùng"),"",IF(COUNTIF(ORDERS!$C$2:$C$4995,$D1880)&gt;0,"Có","Không"))</f>
        <v/>
      </c>
      <c r="W1880" s="22">
        <f>IF(OR($D1880="",$R1880="Trùng"),"",COUNTIFS(ORDERS!$C$2:$C$4995,$D1880,ORDERS!$L$2:$L$4995,"Đã chuyển khoản"))</f>
        <v/>
      </c>
      <c r="X1880" s="23">
        <f>IF(OR($D1880="",$R1880="Trùng"),"",SUMIFS(ORDERS!$J$2:$J$4995,ORDERS!$C$2:$C$4995,$D1880,ORDERS!$L$2:$L$4995,"Đã chuyển khoản"))</f>
        <v/>
      </c>
      <c r="Y1880" s="24" t="n"/>
    </row>
    <row r="1881" ht="14.25" customHeight="1" s="40">
      <c r="A1881" s="24" t="n"/>
      <c r="B1881" s="27" t="n"/>
      <c r="C1881" s="24" t="n"/>
      <c r="D1881" s="28" t="n"/>
      <c r="E1881" s="29" t="n"/>
      <c r="F1881" s="24" t="n"/>
      <c r="G1881" s="24" t="n"/>
      <c r="H1881" s="21">
        <f>IF(ISNUMBER($B1881),INT($B1881)-WEEKDAY($B1881,2)+1,"")</f>
        <v/>
      </c>
      <c r="I1881" s="24" t="n"/>
      <c r="J1881" s="22">
        <f t="array" ref="J1881">IF($D1881="","",IF($I1881="","(trống REF)",IFERROR(INDEX(MASTER_SOURCE!$B$2:$B$495,MATCH($I1881,MASTER_SOURCE!$A$2:$A$495,0)),"(REF không có trong MASTER_SOURCE)")))</f>
        <v/>
      </c>
      <c r="K1881" s="22">
        <f t="array" ref="K1881">IF($D1881="","",IFERROR(INDEX(MASTER_SOURCE!$C$2:$C$495,MATCH($I1881,MASTER_SOURCE!$A$2:$A$495,0)),""))</f>
        <v/>
      </c>
      <c r="L1881" s="22">
        <f t="array" ref="L1881">IF($D1881="","",IFERROR(INDEX(MASTER_SOURCE!$D$2:$D$495,MATCH($I1881,MASTER_SOURCE!$A$2:$A$495,0)),""))</f>
        <v/>
      </c>
      <c r="M1881" s="24" t="n"/>
      <c r="N1881" s="24" t="n"/>
      <c r="O1881" s="24" t="n"/>
      <c r="P1881" s="24" t="n"/>
      <c r="Q1881" s="22">
        <f>IF($D1881="","",IF(AND(OR(DANH_MUC!$L$5&lt;&gt;"Có",M1881="Có"),OR(DANH_MUC!$L$6&lt;&gt;"Có",N1881="Có"),OR(DANH_MUC!$L$7&lt;&gt;"Có",O1881="Có"),OR(DANH_MUC!$L$8&lt;&gt;"Có",P1881="Có")),"Có","Không"))</f>
        <v/>
      </c>
      <c r="R1881" s="22">
        <f>IF($D1881="","",IF(COUNTIF($D$2:$D1881,$D1881)&gt;1,"Trùng",""))</f>
        <v/>
      </c>
      <c r="S1881" s="22">
        <f>IF($D1881="","",IF(AND(LEN($D1881)=10,LEFT($D1881,1)="0",ISNUMBER(--$D1881)),"Có","Không"))</f>
        <v/>
      </c>
      <c r="T1881" s="22">
        <f>IF($D1881="","",IF(AND($C1881&lt;&gt;"",$Q1881="Có",$R1881="",$S1881="Có",AND($L1881&lt;&gt;"",OR($L1881&lt;&gt;"Chưa xác định",DANH_MUC!$L$9="Có"))),"Có","Không"))</f>
        <v/>
      </c>
      <c r="U1881" s="22">
        <f>IF(OR($D1881="",$T1881="Có"),"",IF($C1881="","Thiếu họ tên; ","")&amp;IF($S1881&lt;&gt;"Có","SĐT sai định dạng; ","")&amp;IF($R1881="Trùng","Trùng SĐT; ","")&amp;IF($Q1881&lt;&gt;"Có","Thiếu đồng ý bắt buộc; ","")&amp;IF($L1881="","Thiếu/sai Mã REF; ",IF(AND($L1881="Chưa xác định",DANH_MUC!$L$9&lt;&gt;"Có"),"Nguồn chưa xác định; ","")))</f>
        <v/>
      </c>
      <c r="V1881" s="22">
        <f>IF(OR($D1881="",$R1881="Trùng"),"",IF(COUNTIF(ORDERS!$C$2:$C$4995,$D1881)&gt;0,"Có","Không"))</f>
        <v/>
      </c>
      <c r="W1881" s="22">
        <f>IF(OR($D1881="",$R1881="Trùng"),"",COUNTIFS(ORDERS!$C$2:$C$4995,$D1881,ORDERS!$L$2:$L$4995,"Đã chuyển khoản"))</f>
        <v/>
      </c>
      <c r="X1881" s="23">
        <f>IF(OR($D1881="",$R1881="Trùng"),"",SUMIFS(ORDERS!$J$2:$J$4995,ORDERS!$C$2:$C$4995,$D1881,ORDERS!$L$2:$L$4995,"Đã chuyển khoản"))</f>
        <v/>
      </c>
      <c r="Y1881" s="24" t="n"/>
    </row>
    <row r="1882" ht="14.25" customHeight="1" s="40">
      <c r="A1882" s="24" t="n"/>
      <c r="B1882" s="27" t="n"/>
      <c r="C1882" s="24" t="n"/>
      <c r="D1882" s="28" t="n"/>
      <c r="E1882" s="29" t="n"/>
      <c r="F1882" s="24" t="n"/>
      <c r="G1882" s="24" t="n"/>
      <c r="H1882" s="21">
        <f>IF(ISNUMBER($B1882),INT($B1882)-WEEKDAY($B1882,2)+1,"")</f>
        <v/>
      </c>
      <c r="I1882" s="24" t="n"/>
      <c r="J1882" s="22">
        <f t="array" ref="J1882">IF($D1882="","",IF($I1882="","(trống REF)",IFERROR(INDEX(MASTER_SOURCE!$B$2:$B$495,MATCH($I1882,MASTER_SOURCE!$A$2:$A$495,0)),"(REF không có trong MASTER_SOURCE)")))</f>
        <v/>
      </c>
      <c r="K1882" s="22">
        <f t="array" ref="K1882">IF($D1882="","",IFERROR(INDEX(MASTER_SOURCE!$C$2:$C$495,MATCH($I1882,MASTER_SOURCE!$A$2:$A$495,0)),""))</f>
        <v/>
      </c>
      <c r="L1882" s="22">
        <f t="array" ref="L1882">IF($D1882="","",IFERROR(INDEX(MASTER_SOURCE!$D$2:$D$495,MATCH($I1882,MASTER_SOURCE!$A$2:$A$495,0)),""))</f>
        <v/>
      </c>
      <c r="M1882" s="24" t="n"/>
      <c r="N1882" s="24" t="n"/>
      <c r="O1882" s="24" t="n"/>
      <c r="P1882" s="24" t="n"/>
      <c r="Q1882" s="22">
        <f>IF($D1882="","",IF(AND(OR(DANH_MUC!$L$5&lt;&gt;"Có",M1882="Có"),OR(DANH_MUC!$L$6&lt;&gt;"Có",N1882="Có"),OR(DANH_MUC!$L$7&lt;&gt;"Có",O1882="Có"),OR(DANH_MUC!$L$8&lt;&gt;"Có",P1882="Có")),"Có","Không"))</f>
        <v/>
      </c>
      <c r="R1882" s="22">
        <f>IF($D1882="","",IF(COUNTIF($D$2:$D1882,$D1882)&gt;1,"Trùng",""))</f>
        <v/>
      </c>
      <c r="S1882" s="22">
        <f>IF($D1882="","",IF(AND(LEN($D1882)=10,LEFT($D1882,1)="0",ISNUMBER(--$D1882)),"Có","Không"))</f>
        <v/>
      </c>
      <c r="T1882" s="22">
        <f>IF($D1882="","",IF(AND($C1882&lt;&gt;"",$Q1882="Có",$R1882="",$S1882="Có",AND($L1882&lt;&gt;"",OR($L1882&lt;&gt;"Chưa xác định",DANH_MUC!$L$9="Có"))),"Có","Không"))</f>
        <v/>
      </c>
      <c r="U1882" s="22">
        <f>IF(OR($D1882="",$T1882="Có"),"",IF($C1882="","Thiếu họ tên; ","")&amp;IF($S1882&lt;&gt;"Có","SĐT sai định dạng; ","")&amp;IF($R1882="Trùng","Trùng SĐT; ","")&amp;IF($Q1882&lt;&gt;"Có","Thiếu đồng ý bắt buộc; ","")&amp;IF($L1882="","Thiếu/sai Mã REF; ",IF(AND($L1882="Chưa xác định",DANH_MUC!$L$9&lt;&gt;"Có"),"Nguồn chưa xác định; ","")))</f>
        <v/>
      </c>
      <c r="V1882" s="22">
        <f>IF(OR($D1882="",$R1882="Trùng"),"",IF(COUNTIF(ORDERS!$C$2:$C$4995,$D1882)&gt;0,"Có","Không"))</f>
        <v/>
      </c>
      <c r="W1882" s="22">
        <f>IF(OR($D1882="",$R1882="Trùng"),"",COUNTIFS(ORDERS!$C$2:$C$4995,$D1882,ORDERS!$L$2:$L$4995,"Đã chuyển khoản"))</f>
        <v/>
      </c>
      <c r="X1882" s="23">
        <f>IF(OR($D1882="",$R1882="Trùng"),"",SUMIFS(ORDERS!$J$2:$J$4995,ORDERS!$C$2:$C$4995,$D1882,ORDERS!$L$2:$L$4995,"Đã chuyển khoản"))</f>
        <v/>
      </c>
      <c r="Y1882" s="24" t="n"/>
    </row>
    <row r="1883" ht="14.25" customHeight="1" s="40">
      <c r="A1883" s="24" t="n"/>
      <c r="B1883" s="27" t="n"/>
      <c r="C1883" s="24" t="n"/>
      <c r="D1883" s="28" t="n"/>
      <c r="E1883" s="29" t="n"/>
      <c r="F1883" s="24" t="n"/>
      <c r="G1883" s="24" t="n"/>
      <c r="H1883" s="21">
        <f>IF(ISNUMBER($B1883),INT($B1883)-WEEKDAY($B1883,2)+1,"")</f>
        <v/>
      </c>
      <c r="I1883" s="24" t="n"/>
      <c r="J1883" s="22">
        <f t="array" ref="J1883">IF($D1883="","",IF($I1883="","(trống REF)",IFERROR(INDEX(MASTER_SOURCE!$B$2:$B$495,MATCH($I1883,MASTER_SOURCE!$A$2:$A$495,0)),"(REF không có trong MASTER_SOURCE)")))</f>
        <v/>
      </c>
      <c r="K1883" s="22">
        <f t="array" ref="K1883">IF($D1883="","",IFERROR(INDEX(MASTER_SOURCE!$C$2:$C$495,MATCH($I1883,MASTER_SOURCE!$A$2:$A$495,0)),""))</f>
        <v/>
      </c>
      <c r="L1883" s="22">
        <f t="array" ref="L1883">IF($D1883="","",IFERROR(INDEX(MASTER_SOURCE!$D$2:$D$495,MATCH($I1883,MASTER_SOURCE!$A$2:$A$495,0)),""))</f>
        <v/>
      </c>
      <c r="M1883" s="24" t="n"/>
      <c r="N1883" s="24" t="n"/>
      <c r="O1883" s="24" t="n"/>
      <c r="P1883" s="24" t="n"/>
      <c r="Q1883" s="22">
        <f>IF($D1883="","",IF(AND(OR(DANH_MUC!$L$5&lt;&gt;"Có",M1883="Có"),OR(DANH_MUC!$L$6&lt;&gt;"Có",N1883="Có"),OR(DANH_MUC!$L$7&lt;&gt;"Có",O1883="Có"),OR(DANH_MUC!$L$8&lt;&gt;"Có",P1883="Có")),"Có","Không"))</f>
        <v/>
      </c>
      <c r="R1883" s="22">
        <f>IF($D1883="","",IF(COUNTIF($D$2:$D1883,$D1883)&gt;1,"Trùng",""))</f>
        <v/>
      </c>
      <c r="S1883" s="22">
        <f>IF($D1883="","",IF(AND(LEN($D1883)=10,LEFT($D1883,1)="0",ISNUMBER(--$D1883)),"Có","Không"))</f>
        <v/>
      </c>
      <c r="T1883" s="22">
        <f>IF($D1883="","",IF(AND($C1883&lt;&gt;"",$Q1883="Có",$R1883="",$S1883="Có",AND($L1883&lt;&gt;"",OR($L1883&lt;&gt;"Chưa xác định",DANH_MUC!$L$9="Có"))),"Có","Không"))</f>
        <v/>
      </c>
      <c r="U1883" s="22">
        <f>IF(OR($D1883="",$T1883="Có"),"",IF($C1883="","Thiếu họ tên; ","")&amp;IF($S1883&lt;&gt;"Có","SĐT sai định dạng; ","")&amp;IF($R1883="Trùng","Trùng SĐT; ","")&amp;IF($Q1883&lt;&gt;"Có","Thiếu đồng ý bắt buộc; ","")&amp;IF($L1883="","Thiếu/sai Mã REF; ",IF(AND($L1883="Chưa xác định",DANH_MUC!$L$9&lt;&gt;"Có"),"Nguồn chưa xác định; ","")))</f>
        <v/>
      </c>
      <c r="V1883" s="22">
        <f>IF(OR($D1883="",$R1883="Trùng"),"",IF(COUNTIF(ORDERS!$C$2:$C$4995,$D1883)&gt;0,"Có","Không"))</f>
        <v/>
      </c>
      <c r="W1883" s="22">
        <f>IF(OR($D1883="",$R1883="Trùng"),"",COUNTIFS(ORDERS!$C$2:$C$4995,$D1883,ORDERS!$L$2:$L$4995,"Đã chuyển khoản"))</f>
        <v/>
      </c>
      <c r="X1883" s="23">
        <f>IF(OR($D1883="",$R1883="Trùng"),"",SUMIFS(ORDERS!$J$2:$J$4995,ORDERS!$C$2:$C$4995,$D1883,ORDERS!$L$2:$L$4995,"Đã chuyển khoản"))</f>
        <v/>
      </c>
      <c r="Y1883" s="24" t="n"/>
    </row>
    <row r="1884" ht="14.25" customHeight="1" s="40">
      <c r="A1884" s="24" t="n"/>
      <c r="B1884" s="27" t="n"/>
      <c r="C1884" s="24" t="n"/>
      <c r="D1884" s="28" t="n"/>
      <c r="E1884" s="29" t="n"/>
      <c r="F1884" s="24" t="n"/>
      <c r="G1884" s="24" t="n"/>
      <c r="H1884" s="21">
        <f>IF(ISNUMBER($B1884),INT($B1884)-WEEKDAY($B1884,2)+1,"")</f>
        <v/>
      </c>
      <c r="I1884" s="24" t="n"/>
      <c r="J1884" s="22">
        <f t="array" ref="J1884">IF($D1884="","",IF($I1884="","(trống REF)",IFERROR(INDEX(MASTER_SOURCE!$B$2:$B$495,MATCH($I1884,MASTER_SOURCE!$A$2:$A$495,0)),"(REF không có trong MASTER_SOURCE)")))</f>
        <v/>
      </c>
      <c r="K1884" s="22">
        <f t="array" ref="K1884">IF($D1884="","",IFERROR(INDEX(MASTER_SOURCE!$C$2:$C$495,MATCH($I1884,MASTER_SOURCE!$A$2:$A$495,0)),""))</f>
        <v/>
      </c>
      <c r="L1884" s="22">
        <f t="array" ref="L1884">IF($D1884="","",IFERROR(INDEX(MASTER_SOURCE!$D$2:$D$495,MATCH($I1884,MASTER_SOURCE!$A$2:$A$495,0)),""))</f>
        <v/>
      </c>
      <c r="M1884" s="24" t="n"/>
      <c r="N1884" s="24" t="n"/>
      <c r="O1884" s="24" t="n"/>
      <c r="P1884" s="24" t="n"/>
      <c r="Q1884" s="22">
        <f>IF($D1884="","",IF(AND(OR(DANH_MUC!$L$5&lt;&gt;"Có",M1884="Có"),OR(DANH_MUC!$L$6&lt;&gt;"Có",N1884="Có"),OR(DANH_MUC!$L$7&lt;&gt;"Có",O1884="Có"),OR(DANH_MUC!$L$8&lt;&gt;"Có",P1884="Có")),"Có","Không"))</f>
        <v/>
      </c>
      <c r="R1884" s="22">
        <f>IF($D1884="","",IF(COUNTIF($D$2:$D1884,$D1884)&gt;1,"Trùng",""))</f>
        <v/>
      </c>
      <c r="S1884" s="22">
        <f>IF($D1884="","",IF(AND(LEN($D1884)=10,LEFT($D1884,1)="0",ISNUMBER(--$D1884)),"Có","Không"))</f>
        <v/>
      </c>
      <c r="T1884" s="22">
        <f>IF($D1884="","",IF(AND($C1884&lt;&gt;"",$Q1884="Có",$R1884="",$S1884="Có",AND($L1884&lt;&gt;"",OR($L1884&lt;&gt;"Chưa xác định",DANH_MUC!$L$9="Có"))),"Có","Không"))</f>
        <v/>
      </c>
      <c r="U1884" s="22">
        <f>IF(OR($D1884="",$T1884="Có"),"",IF($C1884="","Thiếu họ tên; ","")&amp;IF($S1884&lt;&gt;"Có","SĐT sai định dạng; ","")&amp;IF($R1884="Trùng","Trùng SĐT; ","")&amp;IF($Q1884&lt;&gt;"Có","Thiếu đồng ý bắt buộc; ","")&amp;IF($L1884="","Thiếu/sai Mã REF; ",IF(AND($L1884="Chưa xác định",DANH_MUC!$L$9&lt;&gt;"Có"),"Nguồn chưa xác định; ","")))</f>
        <v/>
      </c>
      <c r="V1884" s="22">
        <f>IF(OR($D1884="",$R1884="Trùng"),"",IF(COUNTIF(ORDERS!$C$2:$C$4995,$D1884)&gt;0,"Có","Không"))</f>
        <v/>
      </c>
      <c r="W1884" s="22">
        <f>IF(OR($D1884="",$R1884="Trùng"),"",COUNTIFS(ORDERS!$C$2:$C$4995,$D1884,ORDERS!$L$2:$L$4995,"Đã chuyển khoản"))</f>
        <v/>
      </c>
      <c r="X1884" s="23">
        <f>IF(OR($D1884="",$R1884="Trùng"),"",SUMIFS(ORDERS!$J$2:$J$4995,ORDERS!$C$2:$C$4995,$D1884,ORDERS!$L$2:$L$4995,"Đã chuyển khoản"))</f>
        <v/>
      </c>
      <c r="Y1884" s="24" t="n"/>
    </row>
    <row r="1885" ht="14.25" customHeight="1" s="40">
      <c r="A1885" s="24" t="n"/>
      <c r="B1885" s="27" t="n"/>
      <c r="C1885" s="24" t="n"/>
      <c r="D1885" s="28" t="n"/>
      <c r="E1885" s="29" t="n"/>
      <c r="F1885" s="24" t="n"/>
      <c r="G1885" s="24" t="n"/>
      <c r="H1885" s="21">
        <f>IF(ISNUMBER($B1885),INT($B1885)-WEEKDAY($B1885,2)+1,"")</f>
        <v/>
      </c>
      <c r="I1885" s="24" t="n"/>
      <c r="J1885" s="22">
        <f t="array" ref="J1885">IF($D1885="","",IF($I1885="","(trống REF)",IFERROR(INDEX(MASTER_SOURCE!$B$2:$B$495,MATCH($I1885,MASTER_SOURCE!$A$2:$A$495,0)),"(REF không có trong MASTER_SOURCE)")))</f>
        <v/>
      </c>
      <c r="K1885" s="22">
        <f t="array" ref="K1885">IF($D1885="","",IFERROR(INDEX(MASTER_SOURCE!$C$2:$C$495,MATCH($I1885,MASTER_SOURCE!$A$2:$A$495,0)),""))</f>
        <v/>
      </c>
      <c r="L1885" s="22">
        <f t="array" ref="L1885">IF($D1885="","",IFERROR(INDEX(MASTER_SOURCE!$D$2:$D$495,MATCH($I1885,MASTER_SOURCE!$A$2:$A$495,0)),""))</f>
        <v/>
      </c>
      <c r="M1885" s="24" t="n"/>
      <c r="N1885" s="24" t="n"/>
      <c r="O1885" s="24" t="n"/>
      <c r="P1885" s="24" t="n"/>
      <c r="Q1885" s="22">
        <f>IF($D1885="","",IF(AND(OR(DANH_MUC!$L$5&lt;&gt;"Có",M1885="Có"),OR(DANH_MUC!$L$6&lt;&gt;"Có",N1885="Có"),OR(DANH_MUC!$L$7&lt;&gt;"Có",O1885="Có"),OR(DANH_MUC!$L$8&lt;&gt;"Có",P1885="Có")),"Có","Không"))</f>
        <v/>
      </c>
      <c r="R1885" s="22">
        <f>IF($D1885="","",IF(COUNTIF($D$2:$D1885,$D1885)&gt;1,"Trùng",""))</f>
        <v/>
      </c>
      <c r="S1885" s="22">
        <f>IF($D1885="","",IF(AND(LEN($D1885)=10,LEFT($D1885,1)="0",ISNUMBER(--$D1885)),"Có","Không"))</f>
        <v/>
      </c>
      <c r="T1885" s="22">
        <f>IF($D1885="","",IF(AND($C1885&lt;&gt;"",$Q1885="Có",$R1885="",$S1885="Có",AND($L1885&lt;&gt;"",OR($L1885&lt;&gt;"Chưa xác định",DANH_MUC!$L$9="Có"))),"Có","Không"))</f>
        <v/>
      </c>
      <c r="U1885" s="22">
        <f>IF(OR($D1885="",$T1885="Có"),"",IF($C1885="","Thiếu họ tên; ","")&amp;IF($S1885&lt;&gt;"Có","SĐT sai định dạng; ","")&amp;IF($R1885="Trùng","Trùng SĐT; ","")&amp;IF($Q1885&lt;&gt;"Có","Thiếu đồng ý bắt buộc; ","")&amp;IF($L1885="","Thiếu/sai Mã REF; ",IF(AND($L1885="Chưa xác định",DANH_MUC!$L$9&lt;&gt;"Có"),"Nguồn chưa xác định; ","")))</f>
        <v/>
      </c>
      <c r="V1885" s="22">
        <f>IF(OR($D1885="",$R1885="Trùng"),"",IF(COUNTIF(ORDERS!$C$2:$C$4995,$D1885)&gt;0,"Có","Không"))</f>
        <v/>
      </c>
      <c r="W1885" s="22">
        <f>IF(OR($D1885="",$R1885="Trùng"),"",COUNTIFS(ORDERS!$C$2:$C$4995,$D1885,ORDERS!$L$2:$L$4995,"Đã chuyển khoản"))</f>
        <v/>
      </c>
      <c r="X1885" s="23">
        <f>IF(OR($D1885="",$R1885="Trùng"),"",SUMIFS(ORDERS!$J$2:$J$4995,ORDERS!$C$2:$C$4995,$D1885,ORDERS!$L$2:$L$4995,"Đã chuyển khoản"))</f>
        <v/>
      </c>
      <c r="Y1885" s="24" t="n"/>
    </row>
    <row r="1886" ht="14.25" customHeight="1" s="40">
      <c r="A1886" s="24" t="n"/>
      <c r="B1886" s="27" t="n"/>
      <c r="C1886" s="24" t="n"/>
      <c r="D1886" s="28" t="n"/>
      <c r="E1886" s="29" t="n"/>
      <c r="F1886" s="24" t="n"/>
      <c r="G1886" s="24" t="n"/>
      <c r="H1886" s="21">
        <f>IF(ISNUMBER($B1886),INT($B1886)-WEEKDAY($B1886,2)+1,"")</f>
        <v/>
      </c>
      <c r="I1886" s="24" t="n"/>
      <c r="J1886" s="22">
        <f t="array" ref="J1886">IF($D1886="","",IF($I1886="","(trống REF)",IFERROR(INDEX(MASTER_SOURCE!$B$2:$B$495,MATCH($I1886,MASTER_SOURCE!$A$2:$A$495,0)),"(REF không có trong MASTER_SOURCE)")))</f>
        <v/>
      </c>
      <c r="K1886" s="22">
        <f t="array" ref="K1886">IF($D1886="","",IFERROR(INDEX(MASTER_SOURCE!$C$2:$C$495,MATCH($I1886,MASTER_SOURCE!$A$2:$A$495,0)),""))</f>
        <v/>
      </c>
      <c r="L1886" s="22">
        <f t="array" ref="L1886">IF($D1886="","",IFERROR(INDEX(MASTER_SOURCE!$D$2:$D$495,MATCH($I1886,MASTER_SOURCE!$A$2:$A$495,0)),""))</f>
        <v/>
      </c>
      <c r="M1886" s="24" t="n"/>
      <c r="N1886" s="24" t="n"/>
      <c r="O1886" s="24" t="n"/>
      <c r="P1886" s="24" t="n"/>
      <c r="Q1886" s="22">
        <f>IF($D1886="","",IF(AND(OR(DANH_MUC!$L$5&lt;&gt;"Có",M1886="Có"),OR(DANH_MUC!$L$6&lt;&gt;"Có",N1886="Có"),OR(DANH_MUC!$L$7&lt;&gt;"Có",O1886="Có"),OR(DANH_MUC!$L$8&lt;&gt;"Có",P1886="Có")),"Có","Không"))</f>
        <v/>
      </c>
      <c r="R1886" s="22">
        <f>IF($D1886="","",IF(COUNTIF($D$2:$D1886,$D1886)&gt;1,"Trùng",""))</f>
        <v/>
      </c>
      <c r="S1886" s="22">
        <f>IF($D1886="","",IF(AND(LEN($D1886)=10,LEFT($D1886,1)="0",ISNUMBER(--$D1886)),"Có","Không"))</f>
        <v/>
      </c>
      <c r="T1886" s="22">
        <f>IF($D1886="","",IF(AND($C1886&lt;&gt;"",$Q1886="Có",$R1886="",$S1886="Có",AND($L1886&lt;&gt;"",OR($L1886&lt;&gt;"Chưa xác định",DANH_MUC!$L$9="Có"))),"Có","Không"))</f>
        <v/>
      </c>
      <c r="U1886" s="22">
        <f>IF(OR($D1886="",$T1886="Có"),"",IF($C1886="","Thiếu họ tên; ","")&amp;IF($S1886&lt;&gt;"Có","SĐT sai định dạng; ","")&amp;IF($R1886="Trùng","Trùng SĐT; ","")&amp;IF($Q1886&lt;&gt;"Có","Thiếu đồng ý bắt buộc; ","")&amp;IF($L1886="","Thiếu/sai Mã REF; ",IF(AND($L1886="Chưa xác định",DANH_MUC!$L$9&lt;&gt;"Có"),"Nguồn chưa xác định; ","")))</f>
        <v/>
      </c>
      <c r="V1886" s="22">
        <f>IF(OR($D1886="",$R1886="Trùng"),"",IF(COUNTIF(ORDERS!$C$2:$C$4995,$D1886)&gt;0,"Có","Không"))</f>
        <v/>
      </c>
      <c r="W1886" s="22">
        <f>IF(OR($D1886="",$R1886="Trùng"),"",COUNTIFS(ORDERS!$C$2:$C$4995,$D1886,ORDERS!$L$2:$L$4995,"Đã chuyển khoản"))</f>
        <v/>
      </c>
      <c r="X1886" s="23">
        <f>IF(OR($D1886="",$R1886="Trùng"),"",SUMIFS(ORDERS!$J$2:$J$4995,ORDERS!$C$2:$C$4995,$D1886,ORDERS!$L$2:$L$4995,"Đã chuyển khoản"))</f>
        <v/>
      </c>
      <c r="Y1886" s="24" t="n"/>
    </row>
    <row r="1887" ht="14.25" customHeight="1" s="40">
      <c r="A1887" s="24" t="n"/>
      <c r="B1887" s="27" t="n"/>
      <c r="C1887" s="24" t="n"/>
      <c r="D1887" s="28" t="n"/>
      <c r="E1887" s="29" t="n"/>
      <c r="F1887" s="24" t="n"/>
      <c r="G1887" s="24" t="n"/>
      <c r="H1887" s="21">
        <f>IF(ISNUMBER($B1887),INT($B1887)-WEEKDAY($B1887,2)+1,"")</f>
        <v/>
      </c>
      <c r="I1887" s="24" t="n"/>
      <c r="J1887" s="22">
        <f t="array" ref="J1887">IF($D1887="","",IF($I1887="","(trống REF)",IFERROR(INDEX(MASTER_SOURCE!$B$2:$B$495,MATCH($I1887,MASTER_SOURCE!$A$2:$A$495,0)),"(REF không có trong MASTER_SOURCE)")))</f>
        <v/>
      </c>
      <c r="K1887" s="22">
        <f t="array" ref="K1887">IF($D1887="","",IFERROR(INDEX(MASTER_SOURCE!$C$2:$C$495,MATCH($I1887,MASTER_SOURCE!$A$2:$A$495,0)),""))</f>
        <v/>
      </c>
      <c r="L1887" s="22">
        <f t="array" ref="L1887">IF($D1887="","",IFERROR(INDEX(MASTER_SOURCE!$D$2:$D$495,MATCH($I1887,MASTER_SOURCE!$A$2:$A$495,0)),""))</f>
        <v/>
      </c>
      <c r="M1887" s="24" t="n"/>
      <c r="N1887" s="24" t="n"/>
      <c r="O1887" s="24" t="n"/>
      <c r="P1887" s="24" t="n"/>
      <c r="Q1887" s="22">
        <f>IF($D1887="","",IF(AND(OR(DANH_MUC!$L$5&lt;&gt;"Có",M1887="Có"),OR(DANH_MUC!$L$6&lt;&gt;"Có",N1887="Có"),OR(DANH_MUC!$L$7&lt;&gt;"Có",O1887="Có"),OR(DANH_MUC!$L$8&lt;&gt;"Có",P1887="Có")),"Có","Không"))</f>
        <v/>
      </c>
      <c r="R1887" s="22">
        <f>IF($D1887="","",IF(COUNTIF($D$2:$D1887,$D1887)&gt;1,"Trùng",""))</f>
        <v/>
      </c>
      <c r="S1887" s="22">
        <f>IF($D1887="","",IF(AND(LEN($D1887)=10,LEFT($D1887,1)="0",ISNUMBER(--$D1887)),"Có","Không"))</f>
        <v/>
      </c>
      <c r="T1887" s="22">
        <f>IF($D1887="","",IF(AND($C1887&lt;&gt;"",$Q1887="Có",$R1887="",$S1887="Có",AND($L1887&lt;&gt;"",OR($L1887&lt;&gt;"Chưa xác định",DANH_MUC!$L$9="Có"))),"Có","Không"))</f>
        <v/>
      </c>
      <c r="U1887" s="22">
        <f>IF(OR($D1887="",$T1887="Có"),"",IF($C1887="","Thiếu họ tên; ","")&amp;IF($S1887&lt;&gt;"Có","SĐT sai định dạng; ","")&amp;IF($R1887="Trùng","Trùng SĐT; ","")&amp;IF($Q1887&lt;&gt;"Có","Thiếu đồng ý bắt buộc; ","")&amp;IF($L1887="","Thiếu/sai Mã REF; ",IF(AND($L1887="Chưa xác định",DANH_MUC!$L$9&lt;&gt;"Có"),"Nguồn chưa xác định; ","")))</f>
        <v/>
      </c>
      <c r="V1887" s="22">
        <f>IF(OR($D1887="",$R1887="Trùng"),"",IF(COUNTIF(ORDERS!$C$2:$C$4995,$D1887)&gt;0,"Có","Không"))</f>
        <v/>
      </c>
      <c r="W1887" s="22">
        <f>IF(OR($D1887="",$R1887="Trùng"),"",COUNTIFS(ORDERS!$C$2:$C$4995,$D1887,ORDERS!$L$2:$L$4995,"Đã chuyển khoản"))</f>
        <v/>
      </c>
      <c r="X1887" s="23">
        <f>IF(OR($D1887="",$R1887="Trùng"),"",SUMIFS(ORDERS!$J$2:$J$4995,ORDERS!$C$2:$C$4995,$D1887,ORDERS!$L$2:$L$4995,"Đã chuyển khoản"))</f>
        <v/>
      </c>
      <c r="Y1887" s="24" t="n"/>
    </row>
    <row r="1888" ht="14.25" customHeight="1" s="40">
      <c r="A1888" s="24" t="n"/>
      <c r="B1888" s="27" t="n"/>
      <c r="C1888" s="24" t="n"/>
      <c r="D1888" s="28" t="n"/>
      <c r="E1888" s="29" t="n"/>
      <c r="F1888" s="24" t="n"/>
      <c r="G1888" s="24" t="n"/>
      <c r="H1888" s="21">
        <f>IF(ISNUMBER($B1888),INT($B1888)-WEEKDAY($B1888,2)+1,"")</f>
        <v/>
      </c>
      <c r="I1888" s="24" t="n"/>
      <c r="J1888" s="22">
        <f t="array" ref="J1888">IF($D1888="","",IF($I1888="","(trống REF)",IFERROR(INDEX(MASTER_SOURCE!$B$2:$B$495,MATCH($I1888,MASTER_SOURCE!$A$2:$A$495,0)),"(REF không có trong MASTER_SOURCE)")))</f>
        <v/>
      </c>
      <c r="K1888" s="22">
        <f t="array" ref="K1888">IF($D1888="","",IFERROR(INDEX(MASTER_SOURCE!$C$2:$C$495,MATCH($I1888,MASTER_SOURCE!$A$2:$A$495,0)),""))</f>
        <v/>
      </c>
      <c r="L1888" s="22">
        <f t="array" ref="L1888">IF($D1888="","",IFERROR(INDEX(MASTER_SOURCE!$D$2:$D$495,MATCH($I1888,MASTER_SOURCE!$A$2:$A$495,0)),""))</f>
        <v/>
      </c>
      <c r="M1888" s="24" t="n"/>
      <c r="N1888" s="24" t="n"/>
      <c r="O1888" s="24" t="n"/>
      <c r="P1888" s="24" t="n"/>
      <c r="Q1888" s="22">
        <f>IF($D1888="","",IF(AND(OR(DANH_MUC!$L$5&lt;&gt;"Có",M1888="Có"),OR(DANH_MUC!$L$6&lt;&gt;"Có",N1888="Có"),OR(DANH_MUC!$L$7&lt;&gt;"Có",O1888="Có"),OR(DANH_MUC!$L$8&lt;&gt;"Có",P1888="Có")),"Có","Không"))</f>
        <v/>
      </c>
      <c r="R1888" s="22">
        <f>IF($D1888="","",IF(COUNTIF($D$2:$D1888,$D1888)&gt;1,"Trùng",""))</f>
        <v/>
      </c>
      <c r="S1888" s="22">
        <f>IF($D1888="","",IF(AND(LEN($D1888)=10,LEFT($D1888,1)="0",ISNUMBER(--$D1888)),"Có","Không"))</f>
        <v/>
      </c>
      <c r="T1888" s="22">
        <f>IF($D1888="","",IF(AND($C1888&lt;&gt;"",$Q1888="Có",$R1888="",$S1888="Có",AND($L1888&lt;&gt;"",OR($L1888&lt;&gt;"Chưa xác định",DANH_MUC!$L$9="Có"))),"Có","Không"))</f>
        <v/>
      </c>
      <c r="U1888" s="22">
        <f>IF(OR($D1888="",$T1888="Có"),"",IF($C1888="","Thiếu họ tên; ","")&amp;IF($S1888&lt;&gt;"Có","SĐT sai định dạng; ","")&amp;IF($R1888="Trùng","Trùng SĐT; ","")&amp;IF($Q1888&lt;&gt;"Có","Thiếu đồng ý bắt buộc; ","")&amp;IF($L1888="","Thiếu/sai Mã REF; ",IF(AND($L1888="Chưa xác định",DANH_MUC!$L$9&lt;&gt;"Có"),"Nguồn chưa xác định; ","")))</f>
        <v/>
      </c>
      <c r="V1888" s="22">
        <f>IF(OR($D1888="",$R1888="Trùng"),"",IF(COUNTIF(ORDERS!$C$2:$C$4995,$D1888)&gt;0,"Có","Không"))</f>
        <v/>
      </c>
      <c r="W1888" s="22">
        <f>IF(OR($D1888="",$R1888="Trùng"),"",COUNTIFS(ORDERS!$C$2:$C$4995,$D1888,ORDERS!$L$2:$L$4995,"Đã chuyển khoản"))</f>
        <v/>
      </c>
      <c r="X1888" s="23">
        <f>IF(OR($D1888="",$R1888="Trùng"),"",SUMIFS(ORDERS!$J$2:$J$4995,ORDERS!$C$2:$C$4995,$D1888,ORDERS!$L$2:$L$4995,"Đã chuyển khoản"))</f>
        <v/>
      </c>
      <c r="Y1888" s="24" t="n"/>
    </row>
    <row r="1889" ht="14.25" customHeight="1" s="40">
      <c r="A1889" s="24" t="n"/>
      <c r="B1889" s="27" t="n"/>
      <c r="C1889" s="24" t="n"/>
      <c r="D1889" s="28" t="n"/>
      <c r="E1889" s="29" t="n"/>
      <c r="F1889" s="24" t="n"/>
      <c r="G1889" s="24" t="n"/>
      <c r="H1889" s="21">
        <f>IF(ISNUMBER($B1889),INT($B1889)-WEEKDAY($B1889,2)+1,"")</f>
        <v/>
      </c>
      <c r="I1889" s="24" t="n"/>
      <c r="J1889" s="22">
        <f t="array" ref="J1889">IF($D1889="","",IF($I1889="","(trống REF)",IFERROR(INDEX(MASTER_SOURCE!$B$2:$B$495,MATCH($I1889,MASTER_SOURCE!$A$2:$A$495,0)),"(REF không có trong MASTER_SOURCE)")))</f>
        <v/>
      </c>
      <c r="K1889" s="22">
        <f t="array" ref="K1889">IF($D1889="","",IFERROR(INDEX(MASTER_SOURCE!$C$2:$C$495,MATCH($I1889,MASTER_SOURCE!$A$2:$A$495,0)),""))</f>
        <v/>
      </c>
      <c r="L1889" s="22">
        <f t="array" ref="L1889">IF($D1889="","",IFERROR(INDEX(MASTER_SOURCE!$D$2:$D$495,MATCH($I1889,MASTER_SOURCE!$A$2:$A$495,0)),""))</f>
        <v/>
      </c>
      <c r="M1889" s="24" t="n"/>
      <c r="N1889" s="24" t="n"/>
      <c r="O1889" s="24" t="n"/>
      <c r="P1889" s="24" t="n"/>
      <c r="Q1889" s="22">
        <f>IF($D1889="","",IF(AND(OR(DANH_MUC!$L$5&lt;&gt;"Có",M1889="Có"),OR(DANH_MUC!$L$6&lt;&gt;"Có",N1889="Có"),OR(DANH_MUC!$L$7&lt;&gt;"Có",O1889="Có"),OR(DANH_MUC!$L$8&lt;&gt;"Có",P1889="Có")),"Có","Không"))</f>
        <v/>
      </c>
      <c r="R1889" s="22">
        <f>IF($D1889="","",IF(COUNTIF($D$2:$D1889,$D1889)&gt;1,"Trùng",""))</f>
        <v/>
      </c>
      <c r="S1889" s="22">
        <f>IF($D1889="","",IF(AND(LEN($D1889)=10,LEFT($D1889,1)="0",ISNUMBER(--$D1889)),"Có","Không"))</f>
        <v/>
      </c>
      <c r="T1889" s="22">
        <f>IF($D1889="","",IF(AND($C1889&lt;&gt;"",$Q1889="Có",$R1889="",$S1889="Có",AND($L1889&lt;&gt;"",OR($L1889&lt;&gt;"Chưa xác định",DANH_MUC!$L$9="Có"))),"Có","Không"))</f>
        <v/>
      </c>
      <c r="U1889" s="22">
        <f>IF(OR($D1889="",$T1889="Có"),"",IF($C1889="","Thiếu họ tên; ","")&amp;IF($S1889&lt;&gt;"Có","SĐT sai định dạng; ","")&amp;IF($R1889="Trùng","Trùng SĐT; ","")&amp;IF($Q1889&lt;&gt;"Có","Thiếu đồng ý bắt buộc; ","")&amp;IF($L1889="","Thiếu/sai Mã REF; ",IF(AND($L1889="Chưa xác định",DANH_MUC!$L$9&lt;&gt;"Có"),"Nguồn chưa xác định; ","")))</f>
        <v/>
      </c>
      <c r="V1889" s="22">
        <f>IF(OR($D1889="",$R1889="Trùng"),"",IF(COUNTIF(ORDERS!$C$2:$C$4995,$D1889)&gt;0,"Có","Không"))</f>
        <v/>
      </c>
      <c r="W1889" s="22">
        <f>IF(OR($D1889="",$R1889="Trùng"),"",COUNTIFS(ORDERS!$C$2:$C$4995,$D1889,ORDERS!$L$2:$L$4995,"Đã chuyển khoản"))</f>
        <v/>
      </c>
      <c r="X1889" s="23">
        <f>IF(OR($D1889="",$R1889="Trùng"),"",SUMIFS(ORDERS!$J$2:$J$4995,ORDERS!$C$2:$C$4995,$D1889,ORDERS!$L$2:$L$4995,"Đã chuyển khoản"))</f>
        <v/>
      </c>
      <c r="Y1889" s="24" t="n"/>
    </row>
    <row r="1890" ht="14.25" customHeight="1" s="40">
      <c r="A1890" s="24" t="n"/>
      <c r="B1890" s="27" t="n"/>
      <c r="C1890" s="24" t="n"/>
      <c r="D1890" s="28" t="n"/>
      <c r="E1890" s="29" t="n"/>
      <c r="F1890" s="24" t="n"/>
      <c r="G1890" s="24" t="n"/>
      <c r="H1890" s="21">
        <f>IF(ISNUMBER($B1890),INT($B1890)-WEEKDAY($B1890,2)+1,"")</f>
        <v/>
      </c>
      <c r="I1890" s="24" t="n"/>
      <c r="J1890" s="22">
        <f t="array" ref="J1890">IF($D1890="","",IF($I1890="","(trống REF)",IFERROR(INDEX(MASTER_SOURCE!$B$2:$B$495,MATCH($I1890,MASTER_SOURCE!$A$2:$A$495,0)),"(REF không có trong MASTER_SOURCE)")))</f>
        <v/>
      </c>
      <c r="K1890" s="22">
        <f t="array" ref="K1890">IF($D1890="","",IFERROR(INDEX(MASTER_SOURCE!$C$2:$C$495,MATCH($I1890,MASTER_SOURCE!$A$2:$A$495,0)),""))</f>
        <v/>
      </c>
      <c r="L1890" s="22">
        <f t="array" ref="L1890">IF($D1890="","",IFERROR(INDEX(MASTER_SOURCE!$D$2:$D$495,MATCH($I1890,MASTER_SOURCE!$A$2:$A$495,0)),""))</f>
        <v/>
      </c>
      <c r="M1890" s="24" t="n"/>
      <c r="N1890" s="24" t="n"/>
      <c r="O1890" s="24" t="n"/>
      <c r="P1890" s="24" t="n"/>
      <c r="Q1890" s="22">
        <f>IF($D1890="","",IF(AND(OR(DANH_MUC!$L$5&lt;&gt;"Có",M1890="Có"),OR(DANH_MUC!$L$6&lt;&gt;"Có",N1890="Có"),OR(DANH_MUC!$L$7&lt;&gt;"Có",O1890="Có"),OR(DANH_MUC!$L$8&lt;&gt;"Có",P1890="Có")),"Có","Không"))</f>
        <v/>
      </c>
      <c r="R1890" s="22">
        <f>IF($D1890="","",IF(COUNTIF($D$2:$D1890,$D1890)&gt;1,"Trùng",""))</f>
        <v/>
      </c>
      <c r="S1890" s="22">
        <f>IF($D1890="","",IF(AND(LEN($D1890)=10,LEFT($D1890,1)="0",ISNUMBER(--$D1890)),"Có","Không"))</f>
        <v/>
      </c>
      <c r="T1890" s="22">
        <f>IF($D1890="","",IF(AND($C1890&lt;&gt;"",$Q1890="Có",$R1890="",$S1890="Có",AND($L1890&lt;&gt;"",OR($L1890&lt;&gt;"Chưa xác định",DANH_MUC!$L$9="Có"))),"Có","Không"))</f>
        <v/>
      </c>
      <c r="U1890" s="22">
        <f>IF(OR($D1890="",$T1890="Có"),"",IF($C1890="","Thiếu họ tên; ","")&amp;IF($S1890&lt;&gt;"Có","SĐT sai định dạng; ","")&amp;IF($R1890="Trùng","Trùng SĐT; ","")&amp;IF($Q1890&lt;&gt;"Có","Thiếu đồng ý bắt buộc; ","")&amp;IF($L1890="","Thiếu/sai Mã REF; ",IF(AND($L1890="Chưa xác định",DANH_MUC!$L$9&lt;&gt;"Có"),"Nguồn chưa xác định; ","")))</f>
        <v/>
      </c>
      <c r="V1890" s="22">
        <f>IF(OR($D1890="",$R1890="Trùng"),"",IF(COUNTIF(ORDERS!$C$2:$C$4995,$D1890)&gt;0,"Có","Không"))</f>
        <v/>
      </c>
      <c r="W1890" s="22">
        <f>IF(OR($D1890="",$R1890="Trùng"),"",COUNTIFS(ORDERS!$C$2:$C$4995,$D1890,ORDERS!$L$2:$L$4995,"Đã chuyển khoản"))</f>
        <v/>
      </c>
      <c r="X1890" s="23">
        <f>IF(OR($D1890="",$R1890="Trùng"),"",SUMIFS(ORDERS!$J$2:$J$4995,ORDERS!$C$2:$C$4995,$D1890,ORDERS!$L$2:$L$4995,"Đã chuyển khoản"))</f>
        <v/>
      </c>
      <c r="Y1890" s="24" t="n"/>
    </row>
    <row r="1891" ht="14.25" customHeight="1" s="40">
      <c r="A1891" s="24" t="n"/>
      <c r="B1891" s="27" t="n"/>
      <c r="C1891" s="24" t="n"/>
      <c r="D1891" s="28" t="n"/>
      <c r="E1891" s="29" t="n"/>
      <c r="F1891" s="24" t="n"/>
      <c r="G1891" s="24" t="n"/>
      <c r="H1891" s="21">
        <f>IF(ISNUMBER($B1891),INT($B1891)-WEEKDAY($B1891,2)+1,"")</f>
        <v/>
      </c>
      <c r="I1891" s="24" t="n"/>
      <c r="J1891" s="22">
        <f t="array" ref="J1891">IF($D1891="","",IF($I1891="","(trống REF)",IFERROR(INDEX(MASTER_SOURCE!$B$2:$B$495,MATCH($I1891,MASTER_SOURCE!$A$2:$A$495,0)),"(REF không có trong MASTER_SOURCE)")))</f>
        <v/>
      </c>
      <c r="K1891" s="22">
        <f t="array" ref="K1891">IF($D1891="","",IFERROR(INDEX(MASTER_SOURCE!$C$2:$C$495,MATCH($I1891,MASTER_SOURCE!$A$2:$A$495,0)),""))</f>
        <v/>
      </c>
      <c r="L1891" s="22">
        <f t="array" ref="L1891">IF($D1891="","",IFERROR(INDEX(MASTER_SOURCE!$D$2:$D$495,MATCH($I1891,MASTER_SOURCE!$A$2:$A$495,0)),""))</f>
        <v/>
      </c>
      <c r="M1891" s="24" t="n"/>
      <c r="N1891" s="24" t="n"/>
      <c r="O1891" s="24" t="n"/>
      <c r="P1891" s="24" t="n"/>
      <c r="Q1891" s="22">
        <f>IF($D1891="","",IF(AND(OR(DANH_MUC!$L$5&lt;&gt;"Có",M1891="Có"),OR(DANH_MUC!$L$6&lt;&gt;"Có",N1891="Có"),OR(DANH_MUC!$L$7&lt;&gt;"Có",O1891="Có"),OR(DANH_MUC!$L$8&lt;&gt;"Có",P1891="Có")),"Có","Không"))</f>
        <v/>
      </c>
      <c r="R1891" s="22">
        <f>IF($D1891="","",IF(COUNTIF($D$2:$D1891,$D1891)&gt;1,"Trùng",""))</f>
        <v/>
      </c>
      <c r="S1891" s="22">
        <f>IF($D1891="","",IF(AND(LEN($D1891)=10,LEFT($D1891,1)="0",ISNUMBER(--$D1891)),"Có","Không"))</f>
        <v/>
      </c>
      <c r="T1891" s="22">
        <f>IF($D1891="","",IF(AND($C1891&lt;&gt;"",$Q1891="Có",$R1891="",$S1891="Có",AND($L1891&lt;&gt;"",OR($L1891&lt;&gt;"Chưa xác định",DANH_MUC!$L$9="Có"))),"Có","Không"))</f>
        <v/>
      </c>
      <c r="U1891" s="22">
        <f>IF(OR($D1891="",$T1891="Có"),"",IF($C1891="","Thiếu họ tên; ","")&amp;IF($S1891&lt;&gt;"Có","SĐT sai định dạng; ","")&amp;IF($R1891="Trùng","Trùng SĐT; ","")&amp;IF($Q1891&lt;&gt;"Có","Thiếu đồng ý bắt buộc; ","")&amp;IF($L1891="","Thiếu/sai Mã REF; ",IF(AND($L1891="Chưa xác định",DANH_MUC!$L$9&lt;&gt;"Có"),"Nguồn chưa xác định; ","")))</f>
        <v/>
      </c>
      <c r="V1891" s="22">
        <f>IF(OR($D1891="",$R1891="Trùng"),"",IF(COUNTIF(ORDERS!$C$2:$C$4995,$D1891)&gt;0,"Có","Không"))</f>
        <v/>
      </c>
      <c r="W1891" s="22">
        <f>IF(OR($D1891="",$R1891="Trùng"),"",COUNTIFS(ORDERS!$C$2:$C$4995,$D1891,ORDERS!$L$2:$L$4995,"Đã chuyển khoản"))</f>
        <v/>
      </c>
      <c r="X1891" s="23">
        <f>IF(OR($D1891="",$R1891="Trùng"),"",SUMIFS(ORDERS!$J$2:$J$4995,ORDERS!$C$2:$C$4995,$D1891,ORDERS!$L$2:$L$4995,"Đã chuyển khoản"))</f>
        <v/>
      </c>
      <c r="Y1891" s="24" t="n"/>
    </row>
    <row r="1892" ht="14.25" customHeight="1" s="40">
      <c r="A1892" s="24" t="n"/>
      <c r="B1892" s="27" t="n"/>
      <c r="C1892" s="24" t="n"/>
      <c r="D1892" s="28" t="n"/>
      <c r="E1892" s="29" t="n"/>
      <c r="F1892" s="24" t="n"/>
      <c r="G1892" s="24" t="n"/>
      <c r="H1892" s="21">
        <f>IF(ISNUMBER($B1892),INT($B1892)-WEEKDAY($B1892,2)+1,"")</f>
        <v/>
      </c>
      <c r="I1892" s="24" t="n"/>
      <c r="J1892" s="22">
        <f t="array" ref="J1892">IF($D1892="","",IF($I1892="","(trống REF)",IFERROR(INDEX(MASTER_SOURCE!$B$2:$B$495,MATCH($I1892,MASTER_SOURCE!$A$2:$A$495,0)),"(REF không có trong MASTER_SOURCE)")))</f>
        <v/>
      </c>
      <c r="K1892" s="22">
        <f t="array" ref="K1892">IF($D1892="","",IFERROR(INDEX(MASTER_SOURCE!$C$2:$C$495,MATCH($I1892,MASTER_SOURCE!$A$2:$A$495,0)),""))</f>
        <v/>
      </c>
      <c r="L1892" s="22">
        <f t="array" ref="L1892">IF($D1892="","",IFERROR(INDEX(MASTER_SOURCE!$D$2:$D$495,MATCH($I1892,MASTER_SOURCE!$A$2:$A$495,0)),""))</f>
        <v/>
      </c>
      <c r="M1892" s="24" t="n"/>
      <c r="N1892" s="24" t="n"/>
      <c r="O1892" s="24" t="n"/>
      <c r="P1892" s="24" t="n"/>
      <c r="Q1892" s="22">
        <f>IF($D1892="","",IF(AND(OR(DANH_MUC!$L$5&lt;&gt;"Có",M1892="Có"),OR(DANH_MUC!$L$6&lt;&gt;"Có",N1892="Có"),OR(DANH_MUC!$L$7&lt;&gt;"Có",O1892="Có"),OR(DANH_MUC!$L$8&lt;&gt;"Có",P1892="Có")),"Có","Không"))</f>
        <v/>
      </c>
      <c r="R1892" s="22">
        <f>IF($D1892="","",IF(COUNTIF($D$2:$D1892,$D1892)&gt;1,"Trùng",""))</f>
        <v/>
      </c>
      <c r="S1892" s="22">
        <f>IF($D1892="","",IF(AND(LEN($D1892)=10,LEFT($D1892,1)="0",ISNUMBER(--$D1892)),"Có","Không"))</f>
        <v/>
      </c>
      <c r="T1892" s="22">
        <f>IF($D1892="","",IF(AND($C1892&lt;&gt;"",$Q1892="Có",$R1892="",$S1892="Có",AND($L1892&lt;&gt;"",OR($L1892&lt;&gt;"Chưa xác định",DANH_MUC!$L$9="Có"))),"Có","Không"))</f>
        <v/>
      </c>
      <c r="U1892" s="22">
        <f>IF(OR($D1892="",$T1892="Có"),"",IF($C1892="","Thiếu họ tên; ","")&amp;IF($S1892&lt;&gt;"Có","SĐT sai định dạng; ","")&amp;IF($R1892="Trùng","Trùng SĐT; ","")&amp;IF($Q1892&lt;&gt;"Có","Thiếu đồng ý bắt buộc; ","")&amp;IF($L1892="","Thiếu/sai Mã REF; ",IF(AND($L1892="Chưa xác định",DANH_MUC!$L$9&lt;&gt;"Có"),"Nguồn chưa xác định; ","")))</f>
        <v/>
      </c>
      <c r="V1892" s="22">
        <f>IF(OR($D1892="",$R1892="Trùng"),"",IF(COUNTIF(ORDERS!$C$2:$C$4995,$D1892)&gt;0,"Có","Không"))</f>
        <v/>
      </c>
      <c r="W1892" s="22">
        <f>IF(OR($D1892="",$R1892="Trùng"),"",COUNTIFS(ORDERS!$C$2:$C$4995,$D1892,ORDERS!$L$2:$L$4995,"Đã chuyển khoản"))</f>
        <v/>
      </c>
      <c r="X1892" s="23">
        <f>IF(OR($D1892="",$R1892="Trùng"),"",SUMIFS(ORDERS!$J$2:$J$4995,ORDERS!$C$2:$C$4995,$D1892,ORDERS!$L$2:$L$4995,"Đã chuyển khoản"))</f>
        <v/>
      </c>
      <c r="Y1892" s="24" t="n"/>
    </row>
    <row r="1893" ht="14.25" customHeight="1" s="40">
      <c r="A1893" s="24" t="n"/>
      <c r="B1893" s="27" t="n"/>
      <c r="C1893" s="24" t="n"/>
      <c r="D1893" s="28" t="n"/>
      <c r="E1893" s="29" t="n"/>
      <c r="F1893" s="24" t="n"/>
      <c r="G1893" s="24" t="n"/>
      <c r="H1893" s="21">
        <f>IF(ISNUMBER($B1893),INT($B1893)-WEEKDAY($B1893,2)+1,"")</f>
        <v/>
      </c>
      <c r="I1893" s="24" t="n"/>
      <c r="J1893" s="22">
        <f t="array" ref="J1893">IF($D1893="","",IF($I1893="","(trống REF)",IFERROR(INDEX(MASTER_SOURCE!$B$2:$B$495,MATCH($I1893,MASTER_SOURCE!$A$2:$A$495,0)),"(REF không có trong MASTER_SOURCE)")))</f>
        <v/>
      </c>
      <c r="K1893" s="22">
        <f t="array" ref="K1893">IF($D1893="","",IFERROR(INDEX(MASTER_SOURCE!$C$2:$C$495,MATCH($I1893,MASTER_SOURCE!$A$2:$A$495,0)),""))</f>
        <v/>
      </c>
      <c r="L1893" s="22">
        <f t="array" ref="L1893">IF($D1893="","",IFERROR(INDEX(MASTER_SOURCE!$D$2:$D$495,MATCH($I1893,MASTER_SOURCE!$A$2:$A$495,0)),""))</f>
        <v/>
      </c>
      <c r="M1893" s="24" t="n"/>
      <c r="N1893" s="24" t="n"/>
      <c r="O1893" s="24" t="n"/>
      <c r="P1893" s="24" t="n"/>
      <c r="Q1893" s="22">
        <f>IF($D1893="","",IF(AND(OR(DANH_MUC!$L$5&lt;&gt;"Có",M1893="Có"),OR(DANH_MUC!$L$6&lt;&gt;"Có",N1893="Có"),OR(DANH_MUC!$L$7&lt;&gt;"Có",O1893="Có"),OR(DANH_MUC!$L$8&lt;&gt;"Có",P1893="Có")),"Có","Không"))</f>
        <v/>
      </c>
      <c r="R1893" s="22">
        <f>IF($D1893="","",IF(COUNTIF($D$2:$D1893,$D1893)&gt;1,"Trùng",""))</f>
        <v/>
      </c>
      <c r="S1893" s="22">
        <f>IF($D1893="","",IF(AND(LEN($D1893)=10,LEFT($D1893,1)="0",ISNUMBER(--$D1893)),"Có","Không"))</f>
        <v/>
      </c>
      <c r="T1893" s="22">
        <f>IF($D1893="","",IF(AND($C1893&lt;&gt;"",$Q1893="Có",$R1893="",$S1893="Có",AND($L1893&lt;&gt;"",OR($L1893&lt;&gt;"Chưa xác định",DANH_MUC!$L$9="Có"))),"Có","Không"))</f>
        <v/>
      </c>
      <c r="U1893" s="22">
        <f>IF(OR($D1893="",$T1893="Có"),"",IF($C1893="","Thiếu họ tên; ","")&amp;IF($S1893&lt;&gt;"Có","SĐT sai định dạng; ","")&amp;IF($R1893="Trùng","Trùng SĐT; ","")&amp;IF($Q1893&lt;&gt;"Có","Thiếu đồng ý bắt buộc; ","")&amp;IF($L1893="","Thiếu/sai Mã REF; ",IF(AND($L1893="Chưa xác định",DANH_MUC!$L$9&lt;&gt;"Có"),"Nguồn chưa xác định; ","")))</f>
        <v/>
      </c>
      <c r="V1893" s="22">
        <f>IF(OR($D1893="",$R1893="Trùng"),"",IF(COUNTIF(ORDERS!$C$2:$C$4995,$D1893)&gt;0,"Có","Không"))</f>
        <v/>
      </c>
      <c r="W1893" s="22">
        <f>IF(OR($D1893="",$R1893="Trùng"),"",COUNTIFS(ORDERS!$C$2:$C$4995,$D1893,ORDERS!$L$2:$L$4995,"Đã chuyển khoản"))</f>
        <v/>
      </c>
      <c r="X1893" s="23">
        <f>IF(OR($D1893="",$R1893="Trùng"),"",SUMIFS(ORDERS!$J$2:$J$4995,ORDERS!$C$2:$C$4995,$D1893,ORDERS!$L$2:$L$4995,"Đã chuyển khoản"))</f>
        <v/>
      </c>
      <c r="Y1893" s="24" t="n"/>
    </row>
    <row r="1894" ht="14.25" customHeight="1" s="40">
      <c r="A1894" s="24" t="n"/>
      <c r="B1894" s="27" t="n"/>
      <c r="C1894" s="24" t="n"/>
      <c r="D1894" s="28" t="n"/>
      <c r="E1894" s="29" t="n"/>
      <c r="F1894" s="24" t="n"/>
      <c r="G1894" s="24" t="n"/>
      <c r="H1894" s="21">
        <f>IF(ISNUMBER($B1894),INT($B1894)-WEEKDAY($B1894,2)+1,"")</f>
        <v/>
      </c>
      <c r="I1894" s="24" t="n"/>
      <c r="J1894" s="22">
        <f t="array" ref="J1894">IF($D1894="","",IF($I1894="","(trống REF)",IFERROR(INDEX(MASTER_SOURCE!$B$2:$B$495,MATCH($I1894,MASTER_SOURCE!$A$2:$A$495,0)),"(REF không có trong MASTER_SOURCE)")))</f>
        <v/>
      </c>
      <c r="K1894" s="22">
        <f t="array" ref="K1894">IF($D1894="","",IFERROR(INDEX(MASTER_SOURCE!$C$2:$C$495,MATCH($I1894,MASTER_SOURCE!$A$2:$A$495,0)),""))</f>
        <v/>
      </c>
      <c r="L1894" s="22">
        <f t="array" ref="L1894">IF($D1894="","",IFERROR(INDEX(MASTER_SOURCE!$D$2:$D$495,MATCH($I1894,MASTER_SOURCE!$A$2:$A$495,0)),""))</f>
        <v/>
      </c>
      <c r="M1894" s="24" t="n"/>
      <c r="N1894" s="24" t="n"/>
      <c r="O1894" s="24" t="n"/>
      <c r="P1894" s="24" t="n"/>
      <c r="Q1894" s="22">
        <f>IF($D1894="","",IF(AND(OR(DANH_MUC!$L$5&lt;&gt;"Có",M1894="Có"),OR(DANH_MUC!$L$6&lt;&gt;"Có",N1894="Có"),OR(DANH_MUC!$L$7&lt;&gt;"Có",O1894="Có"),OR(DANH_MUC!$L$8&lt;&gt;"Có",P1894="Có")),"Có","Không"))</f>
        <v/>
      </c>
      <c r="R1894" s="22">
        <f>IF($D1894="","",IF(COUNTIF($D$2:$D1894,$D1894)&gt;1,"Trùng",""))</f>
        <v/>
      </c>
      <c r="S1894" s="22">
        <f>IF($D1894="","",IF(AND(LEN($D1894)=10,LEFT($D1894,1)="0",ISNUMBER(--$D1894)),"Có","Không"))</f>
        <v/>
      </c>
      <c r="T1894" s="22">
        <f>IF($D1894="","",IF(AND($C1894&lt;&gt;"",$Q1894="Có",$R1894="",$S1894="Có",AND($L1894&lt;&gt;"",OR($L1894&lt;&gt;"Chưa xác định",DANH_MUC!$L$9="Có"))),"Có","Không"))</f>
        <v/>
      </c>
      <c r="U1894" s="22">
        <f>IF(OR($D1894="",$T1894="Có"),"",IF($C1894="","Thiếu họ tên; ","")&amp;IF($S1894&lt;&gt;"Có","SĐT sai định dạng; ","")&amp;IF($R1894="Trùng","Trùng SĐT; ","")&amp;IF($Q1894&lt;&gt;"Có","Thiếu đồng ý bắt buộc; ","")&amp;IF($L1894="","Thiếu/sai Mã REF; ",IF(AND($L1894="Chưa xác định",DANH_MUC!$L$9&lt;&gt;"Có"),"Nguồn chưa xác định; ","")))</f>
        <v/>
      </c>
      <c r="V1894" s="22">
        <f>IF(OR($D1894="",$R1894="Trùng"),"",IF(COUNTIF(ORDERS!$C$2:$C$4995,$D1894)&gt;0,"Có","Không"))</f>
        <v/>
      </c>
      <c r="W1894" s="22">
        <f>IF(OR($D1894="",$R1894="Trùng"),"",COUNTIFS(ORDERS!$C$2:$C$4995,$D1894,ORDERS!$L$2:$L$4995,"Đã chuyển khoản"))</f>
        <v/>
      </c>
      <c r="X1894" s="23">
        <f>IF(OR($D1894="",$R1894="Trùng"),"",SUMIFS(ORDERS!$J$2:$J$4995,ORDERS!$C$2:$C$4995,$D1894,ORDERS!$L$2:$L$4995,"Đã chuyển khoản"))</f>
        <v/>
      </c>
      <c r="Y1894" s="24" t="n"/>
    </row>
    <row r="1895" ht="14.25" customHeight="1" s="40">
      <c r="A1895" s="24" t="n"/>
      <c r="B1895" s="27" t="n"/>
      <c r="C1895" s="24" t="n"/>
      <c r="D1895" s="28" t="n"/>
      <c r="E1895" s="29" t="n"/>
      <c r="F1895" s="24" t="n"/>
      <c r="G1895" s="24" t="n"/>
      <c r="H1895" s="21">
        <f>IF(ISNUMBER($B1895),INT($B1895)-WEEKDAY($B1895,2)+1,"")</f>
        <v/>
      </c>
      <c r="I1895" s="24" t="n"/>
      <c r="J1895" s="22">
        <f t="array" ref="J1895">IF($D1895="","",IF($I1895="","(trống REF)",IFERROR(INDEX(MASTER_SOURCE!$B$2:$B$495,MATCH($I1895,MASTER_SOURCE!$A$2:$A$495,0)),"(REF không có trong MASTER_SOURCE)")))</f>
        <v/>
      </c>
      <c r="K1895" s="22">
        <f t="array" ref="K1895">IF($D1895="","",IFERROR(INDEX(MASTER_SOURCE!$C$2:$C$495,MATCH($I1895,MASTER_SOURCE!$A$2:$A$495,0)),""))</f>
        <v/>
      </c>
      <c r="L1895" s="22">
        <f t="array" ref="L1895">IF($D1895="","",IFERROR(INDEX(MASTER_SOURCE!$D$2:$D$495,MATCH($I1895,MASTER_SOURCE!$A$2:$A$495,0)),""))</f>
        <v/>
      </c>
      <c r="M1895" s="24" t="n"/>
      <c r="N1895" s="24" t="n"/>
      <c r="O1895" s="24" t="n"/>
      <c r="P1895" s="24" t="n"/>
      <c r="Q1895" s="22">
        <f>IF($D1895="","",IF(AND(OR(DANH_MUC!$L$5&lt;&gt;"Có",M1895="Có"),OR(DANH_MUC!$L$6&lt;&gt;"Có",N1895="Có"),OR(DANH_MUC!$L$7&lt;&gt;"Có",O1895="Có"),OR(DANH_MUC!$L$8&lt;&gt;"Có",P1895="Có")),"Có","Không"))</f>
        <v/>
      </c>
      <c r="R1895" s="22">
        <f>IF($D1895="","",IF(COUNTIF($D$2:$D1895,$D1895)&gt;1,"Trùng",""))</f>
        <v/>
      </c>
      <c r="S1895" s="22">
        <f>IF($D1895="","",IF(AND(LEN($D1895)=10,LEFT($D1895,1)="0",ISNUMBER(--$D1895)),"Có","Không"))</f>
        <v/>
      </c>
      <c r="T1895" s="22">
        <f>IF($D1895="","",IF(AND($C1895&lt;&gt;"",$Q1895="Có",$R1895="",$S1895="Có",AND($L1895&lt;&gt;"",OR($L1895&lt;&gt;"Chưa xác định",DANH_MUC!$L$9="Có"))),"Có","Không"))</f>
        <v/>
      </c>
      <c r="U1895" s="22">
        <f>IF(OR($D1895="",$T1895="Có"),"",IF($C1895="","Thiếu họ tên; ","")&amp;IF($S1895&lt;&gt;"Có","SĐT sai định dạng; ","")&amp;IF($R1895="Trùng","Trùng SĐT; ","")&amp;IF($Q1895&lt;&gt;"Có","Thiếu đồng ý bắt buộc; ","")&amp;IF($L1895="","Thiếu/sai Mã REF; ",IF(AND($L1895="Chưa xác định",DANH_MUC!$L$9&lt;&gt;"Có"),"Nguồn chưa xác định; ","")))</f>
        <v/>
      </c>
      <c r="V1895" s="22">
        <f>IF(OR($D1895="",$R1895="Trùng"),"",IF(COUNTIF(ORDERS!$C$2:$C$4995,$D1895)&gt;0,"Có","Không"))</f>
        <v/>
      </c>
      <c r="W1895" s="22">
        <f>IF(OR($D1895="",$R1895="Trùng"),"",COUNTIFS(ORDERS!$C$2:$C$4995,$D1895,ORDERS!$L$2:$L$4995,"Đã chuyển khoản"))</f>
        <v/>
      </c>
      <c r="X1895" s="23">
        <f>IF(OR($D1895="",$R1895="Trùng"),"",SUMIFS(ORDERS!$J$2:$J$4995,ORDERS!$C$2:$C$4995,$D1895,ORDERS!$L$2:$L$4995,"Đã chuyển khoản"))</f>
        <v/>
      </c>
      <c r="Y1895" s="24" t="n"/>
    </row>
    <row r="1896" ht="14.25" customHeight="1" s="40">
      <c r="A1896" s="24" t="n"/>
      <c r="B1896" s="27" t="n"/>
      <c r="C1896" s="24" t="n"/>
      <c r="D1896" s="28" t="n"/>
      <c r="E1896" s="29" t="n"/>
      <c r="F1896" s="24" t="n"/>
      <c r="G1896" s="24" t="n"/>
      <c r="H1896" s="21">
        <f>IF(ISNUMBER($B1896),INT($B1896)-WEEKDAY($B1896,2)+1,"")</f>
        <v/>
      </c>
      <c r="I1896" s="24" t="n"/>
      <c r="J1896" s="22">
        <f t="array" ref="J1896">IF($D1896="","",IF($I1896="","(trống REF)",IFERROR(INDEX(MASTER_SOURCE!$B$2:$B$495,MATCH($I1896,MASTER_SOURCE!$A$2:$A$495,0)),"(REF không có trong MASTER_SOURCE)")))</f>
        <v/>
      </c>
      <c r="K1896" s="22">
        <f t="array" ref="K1896">IF($D1896="","",IFERROR(INDEX(MASTER_SOURCE!$C$2:$C$495,MATCH($I1896,MASTER_SOURCE!$A$2:$A$495,0)),""))</f>
        <v/>
      </c>
      <c r="L1896" s="22">
        <f t="array" ref="L1896">IF($D1896="","",IFERROR(INDEX(MASTER_SOURCE!$D$2:$D$495,MATCH($I1896,MASTER_SOURCE!$A$2:$A$495,0)),""))</f>
        <v/>
      </c>
      <c r="M1896" s="24" t="n"/>
      <c r="N1896" s="24" t="n"/>
      <c r="O1896" s="24" t="n"/>
      <c r="P1896" s="24" t="n"/>
      <c r="Q1896" s="22">
        <f>IF($D1896="","",IF(AND(OR(DANH_MUC!$L$5&lt;&gt;"Có",M1896="Có"),OR(DANH_MUC!$L$6&lt;&gt;"Có",N1896="Có"),OR(DANH_MUC!$L$7&lt;&gt;"Có",O1896="Có"),OR(DANH_MUC!$L$8&lt;&gt;"Có",P1896="Có")),"Có","Không"))</f>
        <v/>
      </c>
      <c r="R1896" s="22">
        <f>IF($D1896="","",IF(COUNTIF($D$2:$D1896,$D1896)&gt;1,"Trùng",""))</f>
        <v/>
      </c>
      <c r="S1896" s="22">
        <f>IF($D1896="","",IF(AND(LEN($D1896)=10,LEFT($D1896,1)="0",ISNUMBER(--$D1896)),"Có","Không"))</f>
        <v/>
      </c>
      <c r="T1896" s="22">
        <f>IF($D1896="","",IF(AND($C1896&lt;&gt;"",$Q1896="Có",$R1896="",$S1896="Có",AND($L1896&lt;&gt;"",OR($L1896&lt;&gt;"Chưa xác định",DANH_MUC!$L$9="Có"))),"Có","Không"))</f>
        <v/>
      </c>
      <c r="U1896" s="22">
        <f>IF(OR($D1896="",$T1896="Có"),"",IF($C1896="","Thiếu họ tên; ","")&amp;IF($S1896&lt;&gt;"Có","SĐT sai định dạng; ","")&amp;IF($R1896="Trùng","Trùng SĐT; ","")&amp;IF($Q1896&lt;&gt;"Có","Thiếu đồng ý bắt buộc; ","")&amp;IF($L1896="","Thiếu/sai Mã REF; ",IF(AND($L1896="Chưa xác định",DANH_MUC!$L$9&lt;&gt;"Có"),"Nguồn chưa xác định; ","")))</f>
        <v/>
      </c>
      <c r="V1896" s="22">
        <f>IF(OR($D1896="",$R1896="Trùng"),"",IF(COUNTIF(ORDERS!$C$2:$C$4995,$D1896)&gt;0,"Có","Không"))</f>
        <v/>
      </c>
      <c r="W1896" s="22">
        <f>IF(OR($D1896="",$R1896="Trùng"),"",COUNTIFS(ORDERS!$C$2:$C$4995,$D1896,ORDERS!$L$2:$L$4995,"Đã chuyển khoản"))</f>
        <v/>
      </c>
      <c r="X1896" s="23">
        <f>IF(OR($D1896="",$R1896="Trùng"),"",SUMIFS(ORDERS!$J$2:$J$4995,ORDERS!$C$2:$C$4995,$D1896,ORDERS!$L$2:$L$4995,"Đã chuyển khoản"))</f>
        <v/>
      </c>
      <c r="Y1896" s="24" t="n"/>
    </row>
    <row r="1897" ht="14.25" customHeight="1" s="40">
      <c r="A1897" s="24" t="n"/>
      <c r="B1897" s="27" t="n"/>
      <c r="C1897" s="24" t="n"/>
      <c r="D1897" s="28" t="n"/>
      <c r="E1897" s="29" t="n"/>
      <c r="F1897" s="24" t="n"/>
      <c r="G1897" s="24" t="n"/>
      <c r="H1897" s="21">
        <f>IF(ISNUMBER($B1897),INT($B1897)-WEEKDAY($B1897,2)+1,"")</f>
        <v/>
      </c>
      <c r="I1897" s="24" t="n"/>
      <c r="J1897" s="22">
        <f t="array" ref="J1897">IF($D1897="","",IF($I1897="","(trống REF)",IFERROR(INDEX(MASTER_SOURCE!$B$2:$B$495,MATCH($I1897,MASTER_SOURCE!$A$2:$A$495,0)),"(REF không có trong MASTER_SOURCE)")))</f>
        <v/>
      </c>
      <c r="K1897" s="22">
        <f t="array" ref="K1897">IF($D1897="","",IFERROR(INDEX(MASTER_SOURCE!$C$2:$C$495,MATCH($I1897,MASTER_SOURCE!$A$2:$A$495,0)),""))</f>
        <v/>
      </c>
      <c r="L1897" s="22">
        <f t="array" ref="L1897">IF($D1897="","",IFERROR(INDEX(MASTER_SOURCE!$D$2:$D$495,MATCH($I1897,MASTER_SOURCE!$A$2:$A$495,0)),""))</f>
        <v/>
      </c>
      <c r="M1897" s="24" t="n"/>
      <c r="N1897" s="24" t="n"/>
      <c r="O1897" s="24" t="n"/>
      <c r="P1897" s="24" t="n"/>
      <c r="Q1897" s="22">
        <f>IF($D1897="","",IF(AND(OR(DANH_MUC!$L$5&lt;&gt;"Có",M1897="Có"),OR(DANH_MUC!$L$6&lt;&gt;"Có",N1897="Có"),OR(DANH_MUC!$L$7&lt;&gt;"Có",O1897="Có"),OR(DANH_MUC!$L$8&lt;&gt;"Có",P1897="Có")),"Có","Không"))</f>
        <v/>
      </c>
      <c r="R1897" s="22">
        <f>IF($D1897="","",IF(COUNTIF($D$2:$D1897,$D1897)&gt;1,"Trùng",""))</f>
        <v/>
      </c>
      <c r="S1897" s="22">
        <f>IF($D1897="","",IF(AND(LEN($D1897)=10,LEFT($D1897,1)="0",ISNUMBER(--$D1897)),"Có","Không"))</f>
        <v/>
      </c>
      <c r="T1897" s="22">
        <f>IF($D1897="","",IF(AND($C1897&lt;&gt;"",$Q1897="Có",$R1897="",$S1897="Có",AND($L1897&lt;&gt;"",OR($L1897&lt;&gt;"Chưa xác định",DANH_MUC!$L$9="Có"))),"Có","Không"))</f>
        <v/>
      </c>
      <c r="U1897" s="22">
        <f>IF(OR($D1897="",$T1897="Có"),"",IF($C1897="","Thiếu họ tên; ","")&amp;IF($S1897&lt;&gt;"Có","SĐT sai định dạng; ","")&amp;IF($R1897="Trùng","Trùng SĐT; ","")&amp;IF($Q1897&lt;&gt;"Có","Thiếu đồng ý bắt buộc; ","")&amp;IF($L1897="","Thiếu/sai Mã REF; ",IF(AND($L1897="Chưa xác định",DANH_MUC!$L$9&lt;&gt;"Có"),"Nguồn chưa xác định; ","")))</f>
        <v/>
      </c>
      <c r="V1897" s="22">
        <f>IF(OR($D1897="",$R1897="Trùng"),"",IF(COUNTIF(ORDERS!$C$2:$C$4995,$D1897)&gt;0,"Có","Không"))</f>
        <v/>
      </c>
      <c r="W1897" s="22">
        <f>IF(OR($D1897="",$R1897="Trùng"),"",COUNTIFS(ORDERS!$C$2:$C$4995,$D1897,ORDERS!$L$2:$L$4995,"Đã chuyển khoản"))</f>
        <v/>
      </c>
      <c r="X1897" s="23">
        <f>IF(OR($D1897="",$R1897="Trùng"),"",SUMIFS(ORDERS!$J$2:$J$4995,ORDERS!$C$2:$C$4995,$D1897,ORDERS!$L$2:$L$4995,"Đã chuyển khoản"))</f>
        <v/>
      </c>
      <c r="Y1897" s="24" t="n"/>
    </row>
    <row r="1898" ht="14.25" customHeight="1" s="40">
      <c r="A1898" s="24" t="n"/>
      <c r="B1898" s="27" t="n"/>
      <c r="C1898" s="24" t="n"/>
      <c r="D1898" s="28" t="n"/>
      <c r="E1898" s="29" t="n"/>
      <c r="F1898" s="24" t="n"/>
      <c r="G1898" s="24" t="n"/>
      <c r="H1898" s="21">
        <f>IF(ISNUMBER($B1898),INT($B1898)-WEEKDAY($B1898,2)+1,"")</f>
        <v/>
      </c>
      <c r="I1898" s="24" t="n"/>
      <c r="J1898" s="22">
        <f t="array" ref="J1898">IF($D1898="","",IF($I1898="","(trống REF)",IFERROR(INDEX(MASTER_SOURCE!$B$2:$B$495,MATCH($I1898,MASTER_SOURCE!$A$2:$A$495,0)),"(REF không có trong MASTER_SOURCE)")))</f>
        <v/>
      </c>
      <c r="K1898" s="22">
        <f t="array" ref="K1898">IF($D1898="","",IFERROR(INDEX(MASTER_SOURCE!$C$2:$C$495,MATCH($I1898,MASTER_SOURCE!$A$2:$A$495,0)),""))</f>
        <v/>
      </c>
      <c r="L1898" s="22">
        <f t="array" ref="L1898">IF($D1898="","",IFERROR(INDEX(MASTER_SOURCE!$D$2:$D$495,MATCH($I1898,MASTER_SOURCE!$A$2:$A$495,0)),""))</f>
        <v/>
      </c>
      <c r="M1898" s="24" t="n"/>
      <c r="N1898" s="24" t="n"/>
      <c r="O1898" s="24" t="n"/>
      <c r="P1898" s="24" t="n"/>
      <c r="Q1898" s="22">
        <f>IF($D1898="","",IF(AND(OR(DANH_MUC!$L$5&lt;&gt;"Có",M1898="Có"),OR(DANH_MUC!$L$6&lt;&gt;"Có",N1898="Có"),OR(DANH_MUC!$L$7&lt;&gt;"Có",O1898="Có"),OR(DANH_MUC!$L$8&lt;&gt;"Có",P1898="Có")),"Có","Không"))</f>
        <v/>
      </c>
      <c r="R1898" s="22">
        <f>IF($D1898="","",IF(COUNTIF($D$2:$D1898,$D1898)&gt;1,"Trùng",""))</f>
        <v/>
      </c>
      <c r="S1898" s="22">
        <f>IF($D1898="","",IF(AND(LEN($D1898)=10,LEFT($D1898,1)="0",ISNUMBER(--$D1898)),"Có","Không"))</f>
        <v/>
      </c>
      <c r="T1898" s="22">
        <f>IF($D1898="","",IF(AND($C1898&lt;&gt;"",$Q1898="Có",$R1898="",$S1898="Có",AND($L1898&lt;&gt;"",OR($L1898&lt;&gt;"Chưa xác định",DANH_MUC!$L$9="Có"))),"Có","Không"))</f>
        <v/>
      </c>
      <c r="U1898" s="22">
        <f>IF(OR($D1898="",$T1898="Có"),"",IF($C1898="","Thiếu họ tên; ","")&amp;IF($S1898&lt;&gt;"Có","SĐT sai định dạng; ","")&amp;IF($R1898="Trùng","Trùng SĐT; ","")&amp;IF($Q1898&lt;&gt;"Có","Thiếu đồng ý bắt buộc; ","")&amp;IF($L1898="","Thiếu/sai Mã REF; ",IF(AND($L1898="Chưa xác định",DANH_MUC!$L$9&lt;&gt;"Có"),"Nguồn chưa xác định; ","")))</f>
        <v/>
      </c>
      <c r="V1898" s="22">
        <f>IF(OR($D1898="",$R1898="Trùng"),"",IF(COUNTIF(ORDERS!$C$2:$C$4995,$D1898)&gt;0,"Có","Không"))</f>
        <v/>
      </c>
      <c r="W1898" s="22">
        <f>IF(OR($D1898="",$R1898="Trùng"),"",COUNTIFS(ORDERS!$C$2:$C$4995,$D1898,ORDERS!$L$2:$L$4995,"Đã chuyển khoản"))</f>
        <v/>
      </c>
      <c r="X1898" s="23">
        <f>IF(OR($D1898="",$R1898="Trùng"),"",SUMIFS(ORDERS!$J$2:$J$4995,ORDERS!$C$2:$C$4995,$D1898,ORDERS!$L$2:$L$4995,"Đã chuyển khoản"))</f>
        <v/>
      </c>
      <c r="Y1898" s="24" t="n"/>
    </row>
    <row r="1899" ht="14.25" customHeight="1" s="40">
      <c r="A1899" s="24" t="n"/>
      <c r="B1899" s="27" t="n"/>
      <c r="C1899" s="24" t="n"/>
      <c r="D1899" s="28" t="n"/>
      <c r="E1899" s="29" t="n"/>
      <c r="F1899" s="24" t="n"/>
      <c r="G1899" s="24" t="n"/>
      <c r="H1899" s="21">
        <f>IF(ISNUMBER($B1899),INT($B1899)-WEEKDAY($B1899,2)+1,"")</f>
        <v/>
      </c>
      <c r="I1899" s="24" t="n"/>
      <c r="J1899" s="22">
        <f t="array" ref="J1899">IF($D1899="","",IF($I1899="","(trống REF)",IFERROR(INDEX(MASTER_SOURCE!$B$2:$B$495,MATCH($I1899,MASTER_SOURCE!$A$2:$A$495,0)),"(REF không có trong MASTER_SOURCE)")))</f>
        <v/>
      </c>
      <c r="K1899" s="22">
        <f t="array" ref="K1899">IF($D1899="","",IFERROR(INDEX(MASTER_SOURCE!$C$2:$C$495,MATCH($I1899,MASTER_SOURCE!$A$2:$A$495,0)),""))</f>
        <v/>
      </c>
      <c r="L1899" s="22">
        <f t="array" ref="L1899">IF($D1899="","",IFERROR(INDEX(MASTER_SOURCE!$D$2:$D$495,MATCH($I1899,MASTER_SOURCE!$A$2:$A$495,0)),""))</f>
        <v/>
      </c>
      <c r="M1899" s="24" t="n"/>
      <c r="N1899" s="24" t="n"/>
      <c r="O1899" s="24" t="n"/>
      <c r="P1899" s="24" t="n"/>
      <c r="Q1899" s="22">
        <f>IF($D1899="","",IF(AND(OR(DANH_MUC!$L$5&lt;&gt;"Có",M1899="Có"),OR(DANH_MUC!$L$6&lt;&gt;"Có",N1899="Có"),OR(DANH_MUC!$L$7&lt;&gt;"Có",O1899="Có"),OR(DANH_MUC!$L$8&lt;&gt;"Có",P1899="Có")),"Có","Không"))</f>
        <v/>
      </c>
      <c r="R1899" s="22">
        <f>IF($D1899="","",IF(COUNTIF($D$2:$D1899,$D1899)&gt;1,"Trùng",""))</f>
        <v/>
      </c>
      <c r="S1899" s="22">
        <f>IF($D1899="","",IF(AND(LEN($D1899)=10,LEFT($D1899,1)="0",ISNUMBER(--$D1899)),"Có","Không"))</f>
        <v/>
      </c>
      <c r="T1899" s="22">
        <f>IF($D1899="","",IF(AND($C1899&lt;&gt;"",$Q1899="Có",$R1899="",$S1899="Có",AND($L1899&lt;&gt;"",OR($L1899&lt;&gt;"Chưa xác định",DANH_MUC!$L$9="Có"))),"Có","Không"))</f>
        <v/>
      </c>
      <c r="U1899" s="22">
        <f>IF(OR($D1899="",$T1899="Có"),"",IF($C1899="","Thiếu họ tên; ","")&amp;IF($S1899&lt;&gt;"Có","SĐT sai định dạng; ","")&amp;IF($R1899="Trùng","Trùng SĐT; ","")&amp;IF($Q1899&lt;&gt;"Có","Thiếu đồng ý bắt buộc; ","")&amp;IF($L1899="","Thiếu/sai Mã REF; ",IF(AND($L1899="Chưa xác định",DANH_MUC!$L$9&lt;&gt;"Có"),"Nguồn chưa xác định; ","")))</f>
        <v/>
      </c>
      <c r="V1899" s="22">
        <f>IF(OR($D1899="",$R1899="Trùng"),"",IF(COUNTIF(ORDERS!$C$2:$C$4995,$D1899)&gt;0,"Có","Không"))</f>
        <v/>
      </c>
      <c r="W1899" s="22">
        <f>IF(OR($D1899="",$R1899="Trùng"),"",COUNTIFS(ORDERS!$C$2:$C$4995,$D1899,ORDERS!$L$2:$L$4995,"Đã chuyển khoản"))</f>
        <v/>
      </c>
      <c r="X1899" s="23">
        <f>IF(OR($D1899="",$R1899="Trùng"),"",SUMIFS(ORDERS!$J$2:$J$4995,ORDERS!$C$2:$C$4995,$D1899,ORDERS!$L$2:$L$4995,"Đã chuyển khoản"))</f>
        <v/>
      </c>
      <c r="Y1899" s="24" t="n"/>
    </row>
    <row r="1900" ht="14.25" customHeight="1" s="40">
      <c r="A1900" s="24" t="n"/>
      <c r="B1900" s="27" t="n"/>
      <c r="C1900" s="24" t="n"/>
      <c r="D1900" s="28" t="n"/>
      <c r="E1900" s="29" t="n"/>
      <c r="F1900" s="24" t="n"/>
      <c r="G1900" s="24" t="n"/>
      <c r="H1900" s="21">
        <f>IF(ISNUMBER($B1900),INT($B1900)-WEEKDAY($B1900,2)+1,"")</f>
        <v/>
      </c>
      <c r="I1900" s="24" t="n"/>
      <c r="J1900" s="22">
        <f t="array" ref="J1900">IF($D1900="","",IF($I1900="","(trống REF)",IFERROR(INDEX(MASTER_SOURCE!$B$2:$B$495,MATCH($I1900,MASTER_SOURCE!$A$2:$A$495,0)),"(REF không có trong MASTER_SOURCE)")))</f>
        <v/>
      </c>
      <c r="K1900" s="22">
        <f t="array" ref="K1900">IF($D1900="","",IFERROR(INDEX(MASTER_SOURCE!$C$2:$C$495,MATCH($I1900,MASTER_SOURCE!$A$2:$A$495,0)),""))</f>
        <v/>
      </c>
      <c r="L1900" s="22">
        <f t="array" ref="L1900">IF($D1900="","",IFERROR(INDEX(MASTER_SOURCE!$D$2:$D$495,MATCH($I1900,MASTER_SOURCE!$A$2:$A$495,0)),""))</f>
        <v/>
      </c>
      <c r="M1900" s="24" t="n"/>
      <c r="N1900" s="24" t="n"/>
      <c r="O1900" s="24" t="n"/>
      <c r="P1900" s="24" t="n"/>
      <c r="Q1900" s="22">
        <f>IF($D1900="","",IF(AND(OR(DANH_MUC!$L$5&lt;&gt;"Có",M1900="Có"),OR(DANH_MUC!$L$6&lt;&gt;"Có",N1900="Có"),OR(DANH_MUC!$L$7&lt;&gt;"Có",O1900="Có"),OR(DANH_MUC!$L$8&lt;&gt;"Có",P1900="Có")),"Có","Không"))</f>
        <v/>
      </c>
      <c r="R1900" s="22">
        <f>IF($D1900="","",IF(COUNTIF($D$2:$D1900,$D1900)&gt;1,"Trùng",""))</f>
        <v/>
      </c>
      <c r="S1900" s="22">
        <f>IF($D1900="","",IF(AND(LEN($D1900)=10,LEFT($D1900,1)="0",ISNUMBER(--$D1900)),"Có","Không"))</f>
        <v/>
      </c>
      <c r="T1900" s="22">
        <f>IF($D1900="","",IF(AND($C1900&lt;&gt;"",$Q1900="Có",$R1900="",$S1900="Có",AND($L1900&lt;&gt;"",OR($L1900&lt;&gt;"Chưa xác định",DANH_MUC!$L$9="Có"))),"Có","Không"))</f>
        <v/>
      </c>
      <c r="U1900" s="22">
        <f>IF(OR($D1900="",$T1900="Có"),"",IF($C1900="","Thiếu họ tên; ","")&amp;IF($S1900&lt;&gt;"Có","SĐT sai định dạng; ","")&amp;IF($R1900="Trùng","Trùng SĐT; ","")&amp;IF($Q1900&lt;&gt;"Có","Thiếu đồng ý bắt buộc; ","")&amp;IF($L1900="","Thiếu/sai Mã REF; ",IF(AND($L1900="Chưa xác định",DANH_MUC!$L$9&lt;&gt;"Có"),"Nguồn chưa xác định; ","")))</f>
        <v/>
      </c>
      <c r="V1900" s="22">
        <f>IF(OR($D1900="",$R1900="Trùng"),"",IF(COUNTIF(ORDERS!$C$2:$C$4995,$D1900)&gt;0,"Có","Không"))</f>
        <v/>
      </c>
      <c r="W1900" s="22">
        <f>IF(OR($D1900="",$R1900="Trùng"),"",COUNTIFS(ORDERS!$C$2:$C$4995,$D1900,ORDERS!$L$2:$L$4995,"Đã chuyển khoản"))</f>
        <v/>
      </c>
      <c r="X1900" s="23">
        <f>IF(OR($D1900="",$R1900="Trùng"),"",SUMIFS(ORDERS!$J$2:$J$4995,ORDERS!$C$2:$C$4995,$D1900,ORDERS!$L$2:$L$4995,"Đã chuyển khoản"))</f>
        <v/>
      </c>
      <c r="Y1900" s="24" t="n"/>
    </row>
    <row r="1901" ht="14.25" customHeight="1" s="40">
      <c r="A1901" s="24" t="n"/>
      <c r="B1901" s="27" t="n"/>
      <c r="C1901" s="24" t="n"/>
      <c r="D1901" s="28" t="n"/>
      <c r="E1901" s="29" t="n"/>
      <c r="F1901" s="24" t="n"/>
      <c r="G1901" s="24" t="n"/>
      <c r="H1901" s="21">
        <f>IF(ISNUMBER($B1901),INT($B1901)-WEEKDAY($B1901,2)+1,"")</f>
        <v/>
      </c>
      <c r="I1901" s="24" t="n"/>
      <c r="J1901" s="22">
        <f t="array" ref="J1901">IF($D1901="","",IF($I1901="","(trống REF)",IFERROR(INDEX(MASTER_SOURCE!$B$2:$B$495,MATCH($I1901,MASTER_SOURCE!$A$2:$A$495,0)),"(REF không có trong MASTER_SOURCE)")))</f>
        <v/>
      </c>
      <c r="K1901" s="22">
        <f t="array" ref="K1901">IF($D1901="","",IFERROR(INDEX(MASTER_SOURCE!$C$2:$C$495,MATCH($I1901,MASTER_SOURCE!$A$2:$A$495,0)),""))</f>
        <v/>
      </c>
      <c r="L1901" s="22">
        <f t="array" ref="L1901">IF($D1901="","",IFERROR(INDEX(MASTER_SOURCE!$D$2:$D$495,MATCH($I1901,MASTER_SOURCE!$A$2:$A$495,0)),""))</f>
        <v/>
      </c>
      <c r="M1901" s="24" t="n"/>
      <c r="N1901" s="24" t="n"/>
      <c r="O1901" s="24" t="n"/>
      <c r="P1901" s="24" t="n"/>
      <c r="Q1901" s="22">
        <f>IF($D1901="","",IF(AND(OR(DANH_MUC!$L$5&lt;&gt;"Có",M1901="Có"),OR(DANH_MUC!$L$6&lt;&gt;"Có",N1901="Có"),OR(DANH_MUC!$L$7&lt;&gt;"Có",O1901="Có"),OR(DANH_MUC!$L$8&lt;&gt;"Có",P1901="Có")),"Có","Không"))</f>
        <v/>
      </c>
      <c r="R1901" s="22">
        <f>IF($D1901="","",IF(COUNTIF($D$2:$D1901,$D1901)&gt;1,"Trùng",""))</f>
        <v/>
      </c>
      <c r="S1901" s="22">
        <f>IF($D1901="","",IF(AND(LEN($D1901)=10,LEFT($D1901,1)="0",ISNUMBER(--$D1901)),"Có","Không"))</f>
        <v/>
      </c>
      <c r="T1901" s="22">
        <f>IF($D1901="","",IF(AND($C1901&lt;&gt;"",$Q1901="Có",$R1901="",$S1901="Có",AND($L1901&lt;&gt;"",OR($L1901&lt;&gt;"Chưa xác định",DANH_MUC!$L$9="Có"))),"Có","Không"))</f>
        <v/>
      </c>
      <c r="U1901" s="22">
        <f>IF(OR($D1901="",$T1901="Có"),"",IF($C1901="","Thiếu họ tên; ","")&amp;IF($S1901&lt;&gt;"Có","SĐT sai định dạng; ","")&amp;IF($R1901="Trùng","Trùng SĐT; ","")&amp;IF($Q1901&lt;&gt;"Có","Thiếu đồng ý bắt buộc; ","")&amp;IF($L1901="","Thiếu/sai Mã REF; ",IF(AND($L1901="Chưa xác định",DANH_MUC!$L$9&lt;&gt;"Có"),"Nguồn chưa xác định; ","")))</f>
        <v/>
      </c>
      <c r="V1901" s="22">
        <f>IF(OR($D1901="",$R1901="Trùng"),"",IF(COUNTIF(ORDERS!$C$2:$C$4995,$D1901)&gt;0,"Có","Không"))</f>
        <v/>
      </c>
      <c r="W1901" s="22">
        <f>IF(OR($D1901="",$R1901="Trùng"),"",COUNTIFS(ORDERS!$C$2:$C$4995,$D1901,ORDERS!$L$2:$L$4995,"Đã chuyển khoản"))</f>
        <v/>
      </c>
      <c r="X1901" s="23">
        <f>IF(OR($D1901="",$R1901="Trùng"),"",SUMIFS(ORDERS!$J$2:$J$4995,ORDERS!$C$2:$C$4995,$D1901,ORDERS!$L$2:$L$4995,"Đã chuyển khoản"))</f>
        <v/>
      </c>
      <c r="Y1901" s="24" t="n"/>
    </row>
    <row r="1902" ht="14.25" customHeight="1" s="40">
      <c r="A1902" s="24" t="n"/>
      <c r="B1902" s="27" t="n"/>
      <c r="C1902" s="24" t="n"/>
      <c r="D1902" s="28" t="n"/>
      <c r="E1902" s="29" t="n"/>
      <c r="F1902" s="24" t="n"/>
      <c r="G1902" s="24" t="n"/>
      <c r="H1902" s="21">
        <f>IF(ISNUMBER($B1902),INT($B1902)-WEEKDAY($B1902,2)+1,"")</f>
        <v/>
      </c>
      <c r="I1902" s="24" t="n"/>
      <c r="J1902" s="22">
        <f t="array" ref="J1902">IF($D1902="","",IF($I1902="","(trống REF)",IFERROR(INDEX(MASTER_SOURCE!$B$2:$B$495,MATCH($I1902,MASTER_SOURCE!$A$2:$A$495,0)),"(REF không có trong MASTER_SOURCE)")))</f>
        <v/>
      </c>
      <c r="K1902" s="22">
        <f t="array" ref="K1902">IF($D1902="","",IFERROR(INDEX(MASTER_SOURCE!$C$2:$C$495,MATCH($I1902,MASTER_SOURCE!$A$2:$A$495,0)),""))</f>
        <v/>
      </c>
      <c r="L1902" s="22">
        <f t="array" ref="L1902">IF($D1902="","",IFERROR(INDEX(MASTER_SOURCE!$D$2:$D$495,MATCH($I1902,MASTER_SOURCE!$A$2:$A$495,0)),""))</f>
        <v/>
      </c>
      <c r="M1902" s="24" t="n"/>
      <c r="N1902" s="24" t="n"/>
      <c r="O1902" s="24" t="n"/>
      <c r="P1902" s="24" t="n"/>
      <c r="Q1902" s="22">
        <f>IF($D1902="","",IF(AND(OR(DANH_MUC!$L$5&lt;&gt;"Có",M1902="Có"),OR(DANH_MUC!$L$6&lt;&gt;"Có",N1902="Có"),OR(DANH_MUC!$L$7&lt;&gt;"Có",O1902="Có"),OR(DANH_MUC!$L$8&lt;&gt;"Có",P1902="Có")),"Có","Không"))</f>
        <v/>
      </c>
      <c r="R1902" s="22">
        <f>IF($D1902="","",IF(COUNTIF($D$2:$D1902,$D1902)&gt;1,"Trùng",""))</f>
        <v/>
      </c>
      <c r="S1902" s="22">
        <f>IF($D1902="","",IF(AND(LEN($D1902)=10,LEFT($D1902,1)="0",ISNUMBER(--$D1902)),"Có","Không"))</f>
        <v/>
      </c>
      <c r="T1902" s="22">
        <f>IF($D1902="","",IF(AND($C1902&lt;&gt;"",$Q1902="Có",$R1902="",$S1902="Có",AND($L1902&lt;&gt;"",OR($L1902&lt;&gt;"Chưa xác định",DANH_MUC!$L$9="Có"))),"Có","Không"))</f>
        <v/>
      </c>
      <c r="U1902" s="22">
        <f>IF(OR($D1902="",$T1902="Có"),"",IF($C1902="","Thiếu họ tên; ","")&amp;IF($S1902&lt;&gt;"Có","SĐT sai định dạng; ","")&amp;IF($R1902="Trùng","Trùng SĐT; ","")&amp;IF($Q1902&lt;&gt;"Có","Thiếu đồng ý bắt buộc; ","")&amp;IF($L1902="","Thiếu/sai Mã REF; ",IF(AND($L1902="Chưa xác định",DANH_MUC!$L$9&lt;&gt;"Có"),"Nguồn chưa xác định; ","")))</f>
        <v/>
      </c>
      <c r="V1902" s="22">
        <f>IF(OR($D1902="",$R1902="Trùng"),"",IF(COUNTIF(ORDERS!$C$2:$C$4995,$D1902)&gt;0,"Có","Không"))</f>
        <v/>
      </c>
      <c r="W1902" s="22">
        <f>IF(OR($D1902="",$R1902="Trùng"),"",COUNTIFS(ORDERS!$C$2:$C$4995,$D1902,ORDERS!$L$2:$L$4995,"Đã chuyển khoản"))</f>
        <v/>
      </c>
      <c r="X1902" s="23">
        <f>IF(OR($D1902="",$R1902="Trùng"),"",SUMIFS(ORDERS!$J$2:$J$4995,ORDERS!$C$2:$C$4995,$D1902,ORDERS!$L$2:$L$4995,"Đã chuyển khoản"))</f>
        <v/>
      </c>
      <c r="Y1902" s="24" t="n"/>
    </row>
    <row r="1903" ht="14.25" customHeight="1" s="40">
      <c r="A1903" s="24" t="n"/>
      <c r="B1903" s="27" t="n"/>
      <c r="C1903" s="24" t="n"/>
      <c r="D1903" s="28" t="n"/>
      <c r="E1903" s="29" t="n"/>
      <c r="F1903" s="24" t="n"/>
      <c r="G1903" s="24" t="n"/>
      <c r="H1903" s="21">
        <f>IF(ISNUMBER($B1903),INT($B1903)-WEEKDAY($B1903,2)+1,"")</f>
        <v/>
      </c>
      <c r="I1903" s="24" t="n"/>
      <c r="J1903" s="22">
        <f t="array" ref="J1903">IF($D1903="","",IF($I1903="","(trống REF)",IFERROR(INDEX(MASTER_SOURCE!$B$2:$B$495,MATCH($I1903,MASTER_SOURCE!$A$2:$A$495,0)),"(REF không có trong MASTER_SOURCE)")))</f>
        <v/>
      </c>
      <c r="K1903" s="22">
        <f t="array" ref="K1903">IF($D1903="","",IFERROR(INDEX(MASTER_SOURCE!$C$2:$C$495,MATCH($I1903,MASTER_SOURCE!$A$2:$A$495,0)),""))</f>
        <v/>
      </c>
      <c r="L1903" s="22">
        <f t="array" ref="L1903">IF($D1903="","",IFERROR(INDEX(MASTER_SOURCE!$D$2:$D$495,MATCH($I1903,MASTER_SOURCE!$A$2:$A$495,0)),""))</f>
        <v/>
      </c>
      <c r="M1903" s="24" t="n"/>
      <c r="N1903" s="24" t="n"/>
      <c r="O1903" s="24" t="n"/>
      <c r="P1903" s="24" t="n"/>
      <c r="Q1903" s="22">
        <f>IF($D1903="","",IF(AND(OR(DANH_MUC!$L$5&lt;&gt;"Có",M1903="Có"),OR(DANH_MUC!$L$6&lt;&gt;"Có",N1903="Có"),OR(DANH_MUC!$L$7&lt;&gt;"Có",O1903="Có"),OR(DANH_MUC!$L$8&lt;&gt;"Có",P1903="Có")),"Có","Không"))</f>
        <v/>
      </c>
      <c r="R1903" s="22">
        <f>IF($D1903="","",IF(COUNTIF($D$2:$D1903,$D1903)&gt;1,"Trùng",""))</f>
        <v/>
      </c>
      <c r="S1903" s="22">
        <f>IF($D1903="","",IF(AND(LEN($D1903)=10,LEFT($D1903,1)="0",ISNUMBER(--$D1903)),"Có","Không"))</f>
        <v/>
      </c>
      <c r="T1903" s="22">
        <f>IF($D1903="","",IF(AND($C1903&lt;&gt;"",$Q1903="Có",$R1903="",$S1903="Có",AND($L1903&lt;&gt;"",OR($L1903&lt;&gt;"Chưa xác định",DANH_MUC!$L$9="Có"))),"Có","Không"))</f>
        <v/>
      </c>
      <c r="U1903" s="22">
        <f>IF(OR($D1903="",$T1903="Có"),"",IF($C1903="","Thiếu họ tên; ","")&amp;IF($S1903&lt;&gt;"Có","SĐT sai định dạng; ","")&amp;IF($R1903="Trùng","Trùng SĐT; ","")&amp;IF($Q1903&lt;&gt;"Có","Thiếu đồng ý bắt buộc; ","")&amp;IF($L1903="","Thiếu/sai Mã REF; ",IF(AND($L1903="Chưa xác định",DANH_MUC!$L$9&lt;&gt;"Có"),"Nguồn chưa xác định; ","")))</f>
        <v/>
      </c>
      <c r="V1903" s="22">
        <f>IF(OR($D1903="",$R1903="Trùng"),"",IF(COUNTIF(ORDERS!$C$2:$C$4995,$D1903)&gt;0,"Có","Không"))</f>
        <v/>
      </c>
      <c r="W1903" s="22">
        <f>IF(OR($D1903="",$R1903="Trùng"),"",COUNTIFS(ORDERS!$C$2:$C$4995,$D1903,ORDERS!$L$2:$L$4995,"Đã chuyển khoản"))</f>
        <v/>
      </c>
      <c r="X1903" s="23">
        <f>IF(OR($D1903="",$R1903="Trùng"),"",SUMIFS(ORDERS!$J$2:$J$4995,ORDERS!$C$2:$C$4995,$D1903,ORDERS!$L$2:$L$4995,"Đã chuyển khoản"))</f>
        <v/>
      </c>
      <c r="Y1903" s="24" t="n"/>
    </row>
    <row r="1904" ht="14.25" customHeight="1" s="40">
      <c r="A1904" s="24" t="n"/>
      <c r="B1904" s="27" t="n"/>
      <c r="C1904" s="24" t="n"/>
      <c r="D1904" s="28" t="n"/>
      <c r="E1904" s="29" t="n"/>
      <c r="F1904" s="24" t="n"/>
      <c r="G1904" s="24" t="n"/>
      <c r="H1904" s="21">
        <f>IF(ISNUMBER($B1904),INT($B1904)-WEEKDAY($B1904,2)+1,"")</f>
        <v/>
      </c>
      <c r="I1904" s="24" t="n"/>
      <c r="J1904" s="22">
        <f t="array" ref="J1904">IF($D1904="","",IF($I1904="","(trống REF)",IFERROR(INDEX(MASTER_SOURCE!$B$2:$B$495,MATCH($I1904,MASTER_SOURCE!$A$2:$A$495,0)),"(REF không có trong MASTER_SOURCE)")))</f>
        <v/>
      </c>
      <c r="K1904" s="22">
        <f t="array" ref="K1904">IF($D1904="","",IFERROR(INDEX(MASTER_SOURCE!$C$2:$C$495,MATCH($I1904,MASTER_SOURCE!$A$2:$A$495,0)),""))</f>
        <v/>
      </c>
      <c r="L1904" s="22">
        <f t="array" ref="L1904">IF($D1904="","",IFERROR(INDEX(MASTER_SOURCE!$D$2:$D$495,MATCH($I1904,MASTER_SOURCE!$A$2:$A$495,0)),""))</f>
        <v/>
      </c>
      <c r="M1904" s="24" t="n"/>
      <c r="N1904" s="24" t="n"/>
      <c r="O1904" s="24" t="n"/>
      <c r="P1904" s="24" t="n"/>
      <c r="Q1904" s="22">
        <f>IF($D1904="","",IF(AND(OR(DANH_MUC!$L$5&lt;&gt;"Có",M1904="Có"),OR(DANH_MUC!$L$6&lt;&gt;"Có",N1904="Có"),OR(DANH_MUC!$L$7&lt;&gt;"Có",O1904="Có"),OR(DANH_MUC!$L$8&lt;&gt;"Có",P1904="Có")),"Có","Không"))</f>
        <v/>
      </c>
      <c r="R1904" s="22">
        <f>IF($D1904="","",IF(COUNTIF($D$2:$D1904,$D1904)&gt;1,"Trùng",""))</f>
        <v/>
      </c>
      <c r="S1904" s="22">
        <f>IF($D1904="","",IF(AND(LEN($D1904)=10,LEFT($D1904,1)="0",ISNUMBER(--$D1904)),"Có","Không"))</f>
        <v/>
      </c>
      <c r="T1904" s="22">
        <f>IF($D1904="","",IF(AND($C1904&lt;&gt;"",$Q1904="Có",$R1904="",$S1904="Có",AND($L1904&lt;&gt;"",OR($L1904&lt;&gt;"Chưa xác định",DANH_MUC!$L$9="Có"))),"Có","Không"))</f>
        <v/>
      </c>
      <c r="U1904" s="22">
        <f>IF(OR($D1904="",$T1904="Có"),"",IF($C1904="","Thiếu họ tên; ","")&amp;IF($S1904&lt;&gt;"Có","SĐT sai định dạng; ","")&amp;IF($R1904="Trùng","Trùng SĐT; ","")&amp;IF($Q1904&lt;&gt;"Có","Thiếu đồng ý bắt buộc; ","")&amp;IF($L1904="","Thiếu/sai Mã REF; ",IF(AND($L1904="Chưa xác định",DANH_MUC!$L$9&lt;&gt;"Có"),"Nguồn chưa xác định; ","")))</f>
        <v/>
      </c>
      <c r="V1904" s="22">
        <f>IF(OR($D1904="",$R1904="Trùng"),"",IF(COUNTIF(ORDERS!$C$2:$C$4995,$D1904)&gt;0,"Có","Không"))</f>
        <v/>
      </c>
      <c r="W1904" s="22">
        <f>IF(OR($D1904="",$R1904="Trùng"),"",COUNTIFS(ORDERS!$C$2:$C$4995,$D1904,ORDERS!$L$2:$L$4995,"Đã chuyển khoản"))</f>
        <v/>
      </c>
      <c r="X1904" s="23">
        <f>IF(OR($D1904="",$R1904="Trùng"),"",SUMIFS(ORDERS!$J$2:$J$4995,ORDERS!$C$2:$C$4995,$D1904,ORDERS!$L$2:$L$4995,"Đã chuyển khoản"))</f>
        <v/>
      </c>
      <c r="Y1904" s="24" t="n"/>
    </row>
    <row r="1905" ht="14.25" customHeight="1" s="40">
      <c r="A1905" s="24" t="n"/>
      <c r="B1905" s="27" t="n"/>
      <c r="C1905" s="24" t="n"/>
      <c r="D1905" s="28" t="n"/>
      <c r="E1905" s="29" t="n"/>
      <c r="F1905" s="24" t="n"/>
      <c r="G1905" s="24" t="n"/>
      <c r="H1905" s="21">
        <f>IF(ISNUMBER($B1905),INT($B1905)-WEEKDAY($B1905,2)+1,"")</f>
        <v/>
      </c>
      <c r="I1905" s="24" t="n"/>
      <c r="J1905" s="22">
        <f t="array" ref="J1905">IF($D1905="","",IF($I1905="","(trống REF)",IFERROR(INDEX(MASTER_SOURCE!$B$2:$B$495,MATCH($I1905,MASTER_SOURCE!$A$2:$A$495,0)),"(REF không có trong MASTER_SOURCE)")))</f>
        <v/>
      </c>
      <c r="K1905" s="22">
        <f t="array" ref="K1905">IF($D1905="","",IFERROR(INDEX(MASTER_SOURCE!$C$2:$C$495,MATCH($I1905,MASTER_SOURCE!$A$2:$A$495,0)),""))</f>
        <v/>
      </c>
      <c r="L1905" s="22">
        <f t="array" ref="L1905">IF($D1905="","",IFERROR(INDEX(MASTER_SOURCE!$D$2:$D$495,MATCH($I1905,MASTER_SOURCE!$A$2:$A$495,0)),""))</f>
        <v/>
      </c>
      <c r="M1905" s="24" t="n"/>
      <c r="N1905" s="24" t="n"/>
      <c r="O1905" s="24" t="n"/>
      <c r="P1905" s="24" t="n"/>
      <c r="Q1905" s="22">
        <f>IF($D1905="","",IF(AND(OR(DANH_MUC!$L$5&lt;&gt;"Có",M1905="Có"),OR(DANH_MUC!$L$6&lt;&gt;"Có",N1905="Có"),OR(DANH_MUC!$L$7&lt;&gt;"Có",O1905="Có"),OR(DANH_MUC!$L$8&lt;&gt;"Có",P1905="Có")),"Có","Không"))</f>
        <v/>
      </c>
      <c r="R1905" s="22">
        <f>IF($D1905="","",IF(COUNTIF($D$2:$D1905,$D1905)&gt;1,"Trùng",""))</f>
        <v/>
      </c>
      <c r="S1905" s="22">
        <f>IF($D1905="","",IF(AND(LEN($D1905)=10,LEFT($D1905,1)="0",ISNUMBER(--$D1905)),"Có","Không"))</f>
        <v/>
      </c>
      <c r="T1905" s="22">
        <f>IF($D1905="","",IF(AND($C1905&lt;&gt;"",$Q1905="Có",$R1905="",$S1905="Có",AND($L1905&lt;&gt;"",OR($L1905&lt;&gt;"Chưa xác định",DANH_MUC!$L$9="Có"))),"Có","Không"))</f>
        <v/>
      </c>
      <c r="U1905" s="22">
        <f>IF(OR($D1905="",$T1905="Có"),"",IF($C1905="","Thiếu họ tên; ","")&amp;IF($S1905&lt;&gt;"Có","SĐT sai định dạng; ","")&amp;IF($R1905="Trùng","Trùng SĐT; ","")&amp;IF($Q1905&lt;&gt;"Có","Thiếu đồng ý bắt buộc; ","")&amp;IF($L1905="","Thiếu/sai Mã REF; ",IF(AND($L1905="Chưa xác định",DANH_MUC!$L$9&lt;&gt;"Có"),"Nguồn chưa xác định; ","")))</f>
        <v/>
      </c>
      <c r="V1905" s="22">
        <f>IF(OR($D1905="",$R1905="Trùng"),"",IF(COUNTIF(ORDERS!$C$2:$C$4995,$D1905)&gt;0,"Có","Không"))</f>
        <v/>
      </c>
      <c r="W1905" s="22">
        <f>IF(OR($D1905="",$R1905="Trùng"),"",COUNTIFS(ORDERS!$C$2:$C$4995,$D1905,ORDERS!$L$2:$L$4995,"Đã chuyển khoản"))</f>
        <v/>
      </c>
      <c r="X1905" s="23">
        <f>IF(OR($D1905="",$R1905="Trùng"),"",SUMIFS(ORDERS!$J$2:$J$4995,ORDERS!$C$2:$C$4995,$D1905,ORDERS!$L$2:$L$4995,"Đã chuyển khoản"))</f>
        <v/>
      </c>
      <c r="Y1905" s="24" t="n"/>
    </row>
    <row r="1906" ht="14.25" customHeight="1" s="40">
      <c r="A1906" s="24" t="n"/>
      <c r="B1906" s="27" t="n"/>
      <c r="C1906" s="24" t="n"/>
      <c r="D1906" s="28" t="n"/>
      <c r="E1906" s="29" t="n"/>
      <c r="F1906" s="24" t="n"/>
      <c r="G1906" s="24" t="n"/>
      <c r="H1906" s="21">
        <f>IF(ISNUMBER($B1906),INT($B1906)-WEEKDAY($B1906,2)+1,"")</f>
        <v/>
      </c>
      <c r="I1906" s="24" t="n"/>
      <c r="J1906" s="22">
        <f t="array" ref="J1906">IF($D1906="","",IF($I1906="","(trống REF)",IFERROR(INDEX(MASTER_SOURCE!$B$2:$B$495,MATCH($I1906,MASTER_SOURCE!$A$2:$A$495,0)),"(REF không có trong MASTER_SOURCE)")))</f>
        <v/>
      </c>
      <c r="K1906" s="22">
        <f t="array" ref="K1906">IF($D1906="","",IFERROR(INDEX(MASTER_SOURCE!$C$2:$C$495,MATCH($I1906,MASTER_SOURCE!$A$2:$A$495,0)),""))</f>
        <v/>
      </c>
      <c r="L1906" s="22">
        <f t="array" ref="L1906">IF($D1906="","",IFERROR(INDEX(MASTER_SOURCE!$D$2:$D$495,MATCH($I1906,MASTER_SOURCE!$A$2:$A$495,0)),""))</f>
        <v/>
      </c>
      <c r="M1906" s="24" t="n"/>
      <c r="N1906" s="24" t="n"/>
      <c r="O1906" s="24" t="n"/>
      <c r="P1906" s="24" t="n"/>
      <c r="Q1906" s="22">
        <f>IF($D1906="","",IF(AND(OR(DANH_MUC!$L$5&lt;&gt;"Có",M1906="Có"),OR(DANH_MUC!$L$6&lt;&gt;"Có",N1906="Có"),OR(DANH_MUC!$L$7&lt;&gt;"Có",O1906="Có"),OR(DANH_MUC!$L$8&lt;&gt;"Có",P1906="Có")),"Có","Không"))</f>
        <v/>
      </c>
      <c r="R1906" s="22">
        <f>IF($D1906="","",IF(COUNTIF($D$2:$D1906,$D1906)&gt;1,"Trùng",""))</f>
        <v/>
      </c>
      <c r="S1906" s="22">
        <f>IF($D1906="","",IF(AND(LEN($D1906)=10,LEFT($D1906,1)="0",ISNUMBER(--$D1906)),"Có","Không"))</f>
        <v/>
      </c>
      <c r="T1906" s="22">
        <f>IF($D1906="","",IF(AND($C1906&lt;&gt;"",$Q1906="Có",$R1906="",$S1906="Có",AND($L1906&lt;&gt;"",OR($L1906&lt;&gt;"Chưa xác định",DANH_MUC!$L$9="Có"))),"Có","Không"))</f>
        <v/>
      </c>
      <c r="U1906" s="22">
        <f>IF(OR($D1906="",$T1906="Có"),"",IF($C1906="","Thiếu họ tên; ","")&amp;IF($S1906&lt;&gt;"Có","SĐT sai định dạng; ","")&amp;IF($R1906="Trùng","Trùng SĐT; ","")&amp;IF($Q1906&lt;&gt;"Có","Thiếu đồng ý bắt buộc; ","")&amp;IF($L1906="","Thiếu/sai Mã REF; ",IF(AND($L1906="Chưa xác định",DANH_MUC!$L$9&lt;&gt;"Có"),"Nguồn chưa xác định; ","")))</f>
        <v/>
      </c>
      <c r="V1906" s="22">
        <f>IF(OR($D1906="",$R1906="Trùng"),"",IF(COUNTIF(ORDERS!$C$2:$C$4995,$D1906)&gt;0,"Có","Không"))</f>
        <v/>
      </c>
      <c r="W1906" s="22">
        <f>IF(OR($D1906="",$R1906="Trùng"),"",COUNTIFS(ORDERS!$C$2:$C$4995,$D1906,ORDERS!$L$2:$L$4995,"Đã chuyển khoản"))</f>
        <v/>
      </c>
      <c r="X1906" s="23">
        <f>IF(OR($D1906="",$R1906="Trùng"),"",SUMIFS(ORDERS!$J$2:$J$4995,ORDERS!$C$2:$C$4995,$D1906,ORDERS!$L$2:$L$4995,"Đã chuyển khoản"))</f>
        <v/>
      </c>
      <c r="Y1906" s="24" t="n"/>
    </row>
    <row r="1907" ht="14.25" customHeight="1" s="40">
      <c r="A1907" s="24" t="n"/>
      <c r="B1907" s="27" t="n"/>
      <c r="C1907" s="24" t="n"/>
      <c r="D1907" s="28" t="n"/>
      <c r="E1907" s="29" t="n"/>
      <c r="F1907" s="24" t="n"/>
      <c r="G1907" s="24" t="n"/>
      <c r="H1907" s="21">
        <f>IF(ISNUMBER($B1907),INT($B1907)-WEEKDAY($B1907,2)+1,"")</f>
        <v/>
      </c>
      <c r="I1907" s="24" t="n"/>
      <c r="J1907" s="22">
        <f t="array" ref="J1907">IF($D1907="","",IF($I1907="","(trống REF)",IFERROR(INDEX(MASTER_SOURCE!$B$2:$B$495,MATCH($I1907,MASTER_SOURCE!$A$2:$A$495,0)),"(REF không có trong MASTER_SOURCE)")))</f>
        <v/>
      </c>
      <c r="K1907" s="22">
        <f t="array" ref="K1907">IF($D1907="","",IFERROR(INDEX(MASTER_SOURCE!$C$2:$C$495,MATCH($I1907,MASTER_SOURCE!$A$2:$A$495,0)),""))</f>
        <v/>
      </c>
      <c r="L1907" s="22">
        <f t="array" ref="L1907">IF($D1907="","",IFERROR(INDEX(MASTER_SOURCE!$D$2:$D$495,MATCH($I1907,MASTER_SOURCE!$A$2:$A$495,0)),""))</f>
        <v/>
      </c>
      <c r="M1907" s="24" t="n"/>
      <c r="N1907" s="24" t="n"/>
      <c r="O1907" s="24" t="n"/>
      <c r="P1907" s="24" t="n"/>
      <c r="Q1907" s="22">
        <f>IF($D1907="","",IF(AND(OR(DANH_MUC!$L$5&lt;&gt;"Có",M1907="Có"),OR(DANH_MUC!$L$6&lt;&gt;"Có",N1907="Có"),OR(DANH_MUC!$L$7&lt;&gt;"Có",O1907="Có"),OR(DANH_MUC!$L$8&lt;&gt;"Có",P1907="Có")),"Có","Không"))</f>
        <v/>
      </c>
      <c r="R1907" s="22">
        <f>IF($D1907="","",IF(COUNTIF($D$2:$D1907,$D1907)&gt;1,"Trùng",""))</f>
        <v/>
      </c>
      <c r="S1907" s="22">
        <f>IF($D1907="","",IF(AND(LEN($D1907)=10,LEFT($D1907,1)="0",ISNUMBER(--$D1907)),"Có","Không"))</f>
        <v/>
      </c>
      <c r="T1907" s="22">
        <f>IF($D1907="","",IF(AND($C1907&lt;&gt;"",$Q1907="Có",$R1907="",$S1907="Có",AND($L1907&lt;&gt;"",OR($L1907&lt;&gt;"Chưa xác định",DANH_MUC!$L$9="Có"))),"Có","Không"))</f>
        <v/>
      </c>
      <c r="U1907" s="22">
        <f>IF(OR($D1907="",$T1907="Có"),"",IF($C1907="","Thiếu họ tên; ","")&amp;IF($S1907&lt;&gt;"Có","SĐT sai định dạng; ","")&amp;IF($R1907="Trùng","Trùng SĐT; ","")&amp;IF($Q1907&lt;&gt;"Có","Thiếu đồng ý bắt buộc; ","")&amp;IF($L1907="","Thiếu/sai Mã REF; ",IF(AND($L1907="Chưa xác định",DANH_MUC!$L$9&lt;&gt;"Có"),"Nguồn chưa xác định; ","")))</f>
        <v/>
      </c>
      <c r="V1907" s="22">
        <f>IF(OR($D1907="",$R1907="Trùng"),"",IF(COUNTIF(ORDERS!$C$2:$C$4995,$D1907)&gt;0,"Có","Không"))</f>
        <v/>
      </c>
      <c r="W1907" s="22">
        <f>IF(OR($D1907="",$R1907="Trùng"),"",COUNTIFS(ORDERS!$C$2:$C$4995,$D1907,ORDERS!$L$2:$L$4995,"Đã chuyển khoản"))</f>
        <v/>
      </c>
      <c r="X1907" s="23">
        <f>IF(OR($D1907="",$R1907="Trùng"),"",SUMIFS(ORDERS!$J$2:$J$4995,ORDERS!$C$2:$C$4995,$D1907,ORDERS!$L$2:$L$4995,"Đã chuyển khoản"))</f>
        <v/>
      </c>
      <c r="Y1907" s="24" t="n"/>
    </row>
    <row r="1908" ht="14.25" customHeight="1" s="40">
      <c r="A1908" s="24" t="n"/>
      <c r="B1908" s="27" t="n"/>
      <c r="C1908" s="24" t="n"/>
      <c r="D1908" s="28" t="n"/>
      <c r="E1908" s="29" t="n"/>
      <c r="F1908" s="24" t="n"/>
      <c r="G1908" s="24" t="n"/>
      <c r="H1908" s="21">
        <f>IF(ISNUMBER($B1908),INT($B1908)-WEEKDAY($B1908,2)+1,"")</f>
        <v/>
      </c>
      <c r="I1908" s="24" t="n"/>
      <c r="J1908" s="22">
        <f t="array" ref="J1908">IF($D1908="","",IF($I1908="","(trống REF)",IFERROR(INDEX(MASTER_SOURCE!$B$2:$B$495,MATCH($I1908,MASTER_SOURCE!$A$2:$A$495,0)),"(REF không có trong MASTER_SOURCE)")))</f>
        <v/>
      </c>
      <c r="K1908" s="22">
        <f t="array" ref="K1908">IF($D1908="","",IFERROR(INDEX(MASTER_SOURCE!$C$2:$C$495,MATCH($I1908,MASTER_SOURCE!$A$2:$A$495,0)),""))</f>
        <v/>
      </c>
      <c r="L1908" s="22">
        <f t="array" ref="L1908">IF($D1908="","",IFERROR(INDEX(MASTER_SOURCE!$D$2:$D$495,MATCH($I1908,MASTER_SOURCE!$A$2:$A$495,0)),""))</f>
        <v/>
      </c>
      <c r="M1908" s="24" t="n"/>
      <c r="N1908" s="24" t="n"/>
      <c r="O1908" s="24" t="n"/>
      <c r="P1908" s="24" t="n"/>
      <c r="Q1908" s="22">
        <f>IF($D1908="","",IF(AND(OR(DANH_MUC!$L$5&lt;&gt;"Có",M1908="Có"),OR(DANH_MUC!$L$6&lt;&gt;"Có",N1908="Có"),OR(DANH_MUC!$L$7&lt;&gt;"Có",O1908="Có"),OR(DANH_MUC!$L$8&lt;&gt;"Có",P1908="Có")),"Có","Không"))</f>
        <v/>
      </c>
      <c r="R1908" s="22">
        <f>IF($D1908="","",IF(COUNTIF($D$2:$D1908,$D1908)&gt;1,"Trùng",""))</f>
        <v/>
      </c>
      <c r="S1908" s="22">
        <f>IF($D1908="","",IF(AND(LEN($D1908)=10,LEFT($D1908,1)="0",ISNUMBER(--$D1908)),"Có","Không"))</f>
        <v/>
      </c>
      <c r="T1908" s="22">
        <f>IF($D1908="","",IF(AND($C1908&lt;&gt;"",$Q1908="Có",$R1908="",$S1908="Có",AND($L1908&lt;&gt;"",OR($L1908&lt;&gt;"Chưa xác định",DANH_MUC!$L$9="Có"))),"Có","Không"))</f>
        <v/>
      </c>
      <c r="U1908" s="22">
        <f>IF(OR($D1908="",$T1908="Có"),"",IF($C1908="","Thiếu họ tên; ","")&amp;IF($S1908&lt;&gt;"Có","SĐT sai định dạng; ","")&amp;IF($R1908="Trùng","Trùng SĐT; ","")&amp;IF($Q1908&lt;&gt;"Có","Thiếu đồng ý bắt buộc; ","")&amp;IF($L1908="","Thiếu/sai Mã REF; ",IF(AND($L1908="Chưa xác định",DANH_MUC!$L$9&lt;&gt;"Có"),"Nguồn chưa xác định; ","")))</f>
        <v/>
      </c>
      <c r="V1908" s="22">
        <f>IF(OR($D1908="",$R1908="Trùng"),"",IF(COUNTIF(ORDERS!$C$2:$C$4995,$D1908)&gt;0,"Có","Không"))</f>
        <v/>
      </c>
      <c r="W1908" s="22">
        <f>IF(OR($D1908="",$R1908="Trùng"),"",COUNTIFS(ORDERS!$C$2:$C$4995,$D1908,ORDERS!$L$2:$L$4995,"Đã chuyển khoản"))</f>
        <v/>
      </c>
      <c r="X1908" s="23">
        <f>IF(OR($D1908="",$R1908="Trùng"),"",SUMIFS(ORDERS!$J$2:$J$4995,ORDERS!$C$2:$C$4995,$D1908,ORDERS!$L$2:$L$4995,"Đã chuyển khoản"))</f>
        <v/>
      </c>
      <c r="Y1908" s="24" t="n"/>
    </row>
    <row r="1909" ht="14.25" customHeight="1" s="40">
      <c r="A1909" s="24" t="n"/>
      <c r="B1909" s="27" t="n"/>
      <c r="C1909" s="24" t="n"/>
      <c r="D1909" s="28" t="n"/>
      <c r="E1909" s="29" t="n"/>
      <c r="F1909" s="24" t="n"/>
      <c r="G1909" s="24" t="n"/>
      <c r="H1909" s="21">
        <f>IF(ISNUMBER($B1909),INT($B1909)-WEEKDAY($B1909,2)+1,"")</f>
        <v/>
      </c>
      <c r="I1909" s="24" t="n"/>
      <c r="J1909" s="22">
        <f t="array" ref="J1909">IF($D1909="","",IF($I1909="","(trống REF)",IFERROR(INDEX(MASTER_SOURCE!$B$2:$B$495,MATCH($I1909,MASTER_SOURCE!$A$2:$A$495,0)),"(REF không có trong MASTER_SOURCE)")))</f>
        <v/>
      </c>
      <c r="K1909" s="22">
        <f t="array" ref="K1909">IF($D1909="","",IFERROR(INDEX(MASTER_SOURCE!$C$2:$C$495,MATCH($I1909,MASTER_SOURCE!$A$2:$A$495,0)),""))</f>
        <v/>
      </c>
      <c r="L1909" s="22">
        <f t="array" ref="L1909">IF($D1909="","",IFERROR(INDEX(MASTER_SOURCE!$D$2:$D$495,MATCH($I1909,MASTER_SOURCE!$A$2:$A$495,0)),""))</f>
        <v/>
      </c>
      <c r="M1909" s="24" t="n"/>
      <c r="N1909" s="24" t="n"/>
      <c r="O1909" s="24" t="n"/>
      <c r="P1909" s="24" t="n"/>
      <c r="Q1909" s="22">
        <f>IF($D1909="","",IF(AND(OR(DANH_MUC!$L$5&lt;&gt;"Có",M1909="Có"),OR(DANH_MUC!$L$6&lt;&gt;"Có",N1909="Có"),OR(DANH_MUC!$L$7&lt;&gt;"Có",O1909="Có"),OR(DANH_MUC!$L$8&lt;&gt;"Có",P1909="Có")),"Có","Không"))</f>
        <v/>
      </c>
      <c r="R1909" s="22">
        <f>IF($D1909="","",IF(COUNTIF($D$2:$D1909,$D1909)&gt;1,"Trùng",""))</f>
        <v/>
      </c>
      <c r="S1909" s="22">
        <f>IF($D1909="","",IF(AND(LEN($D1909)=10,LEFT($D1909,1)="0",ISNUMBER(--$D1909)),"Có","Không"))</f>
        <v/>
      </c>
      <c r="T1909" s="22">
        <f>IF($D1909="","",IF(AND($C1909&lt;&gt;"",$Q1909="Có",$R1909="",$S1909="Có",AND($L1909&lt;&gt;"",OR($L1909&lt;&gt;"Chưa xác định",DANH_MUC!$L$9="Có"))),"Có","Không"))</f>
        <v/>
      </c>
      <c r="U1909" s="22">
        <f>IF(OR($D1909="",$T1909="Có"),"",IF($C1909="","Thiếu họ tên; ","")&amp;IF($S1909&lt;&gt;"Có","SĐT sai định dạng; ","")&amp;IF($R1909="Trùng","Trùng SĐT; ","")&amp;IF($Q1909&lt;&gt;"Có","Thiếu đồng ý bắt buộc; ","")&amp;IF($L1909="","Thiếu/sai Mã REF; ",IF(AND($L1909="Chưa xác định",DANH_MUC!$L$9&lt;&gt;"Có"),"Nguồn chưa xác định; ","")))</f>
        <v/>
      </c>
      <c r="V1909" s="22">
        <f>IF(OR($D1909="",$R1909="Trùng"),"",IF(COUNTIF(ORDERS!$C$2:$C$4995,$D1909)&gt;0,"Có","Không"))</f>
        <v/>
      </c>
      <c r="W1909" s="22">
        <f>IF(OR($D1909="",$R1909="Trùng"),"",COUNTIFS(ORDERS!$C$2:$C$4995,$D1909,ORDERS!$L$2:$L$4995,"Đã chuyển khoản"))</f>
        <v/>
      </c>
      <c r="X1909" s="23">
        <f>IF(OR($D1909="",$R1909="Trùng"),"",SUMIFS(ORDERS!$J$2:$J$4995,ORDERS!$C$2:$C$4995,$D1909,ORDERS!$L$2:$L$4995,"Đã chuyển khoản"))</f>
        <v/>
      </c>
      <c r="Y1909" s="24" t="n"/>
    </row>
    <row r="1910" ht="14.25" customHeight="1" s="40">
      <c r="A1910" s="24" t="n"/>
      <c r="B1910" s="27" t="n"/>
      <c r="C1910" s="24" t="n"/>
      <c r="D1910" s="28" t="n"/>
      <c r="E1910" s="29" t="n"/>
      <c r="F1910" s="24" t="n"/>
      <c r="G1910" s="24" t="n"/>
      <c r="H1910" s="21">
        <f>IF(ISNUMBER($B1910),INT($B1910)-WEEKDAY($B1910,2)+1,"")</f>
        <v/>
      </c>
      <c r="I1910" s="24" t="n"/>
      <c r="J1910" s="22">
        <f t="array" ref="J1910">IF($D1910="","",IF($I1910="","(trống REF)",IFERROR(INDEX(MASTER_SOURCE!$B$2:$B$495,MATCH($I1910,MASTER_SOURCE!$A$2:$A$495,0)),"(REF không có trong MASTER_SOURCE)")))</f>
        <v/>
      </c>
      <c r="K1910" s="22">
        <f t="array" ref="K1910">IF($D1910="","",IFERROR(INDEX(MASTER_SOURCE!$C$2:$C$495,MATCH($I1910,MASTER_SOURCE!$A$2:$A$495,0)),""))</f>
        <v/>
      </c>
      <c r="L1910" s="22">
        <f t="array" ref="L1910">IF($D1910="","",IFERROR(INDEX(MASTER_SOURCE!$D$2:$D$495,MATCH($I1910,MASTER_SOURCE!$A$2:$A$495,0)),""))</f>
        <v/>
      </c>
      <c r="M1910" s="24" t="n"/>
      <c r="N1910" s="24" t="n"/>
      <c r="O1910" s="24" t="n"/>
      <c r="P1910" s="24" t="n"/>
      <c r="Q1910" s="22">
        <f>IF($D1910="","",IF(AND(OR(DANH_MUC!$L$5&lt;&gt;"Có",M1910="Có"),OR(DANH_MUC!$L$6&lt;&gt;"Có",N1910="Có"),OR(DANH_MUC!$L$7&lt;&gt;"Có",O1910="Có"),OR(DANH_MUC!$L$8&lt;&gt;"Có",P1910="Có")),"Có","Không"))</f>
        <v/>
      </c>
      <c r="R1910" s="22">
        <f>IF($D1910="","",IF(COUNTIF($D$2:$D1910,$D1910)&gt;1,"Trùng",""))</f>
        <v/>
      </c>
      <c r="S1910" s="22">
        <f>IF($D1910="","",IF(AND(LEN($D1910)=10,LEFT($D1910,1)="0",ISNUMBER(--$D1910)),"Có","Không"))</f>
        <v/>
      </c>
      <c r="T1910" s="22">
        <f>IF($D1910="","",IF(AND($C1910&lt;&gt;"",$Q1910="Có",$R1910="",$S1910="Có",AND($L1910&lt;&gt;"",OR($L1910&lt;&gt;"Chưa xác định",DANH_MUC!$L$9="Có"))),"Có","Không"))</f>
        <v/>
      </c>
      <c r="U1910" s="22">
        <f>IF(OR($D1910="",$T1910="Có"),"",IF($C1910="","Thiếu họ tên; ","")&amp;IF($S1910&lt;&gt;"Có","SĐT sai định dạng; ","")&amp;IF($R1910="Trùng","Trùng SĐT; ","")&amp;IF($Q1910&lt;&gt;"Có","Thiếu đồng ý bắt buộc; ","")&amp;IF($L1910="","Thiếu/sai Mã REF; ",IF(AND($L1910="Chưa xác định",DANH_MUC!$L$9&lt;&gt;"Có"),"Nguồn chưa xác định; ","")))</f>
        <v/>
      </c>
      <c r="V1910" s="22">
        <f>IF(OR($D1910="",$R1910="Trùng"),"",IF(COUNTIF(ORDERS!$C$2:$C$4995,$D1910)&gt;0,"Có","Không"))</f>
        <v/>
      </c>
      <c r="W1910" s="22">
        <f>IF(OR($D1910="",$R1910="Trùng"),"",COUNTIFS(ORDERS!$C$2:$C$4995,$D1910,ORDERS!$L$2:$L$4995,"Đã chuyển khoản"))</f>
        <v/>
      </c>
      <c r="X1910" s="23">
        <f>IF(OR($D1910="",$R1910="Trùng"),"",SUMIFS(ORDERS!$J$2:$J$4995,ORDERS!$C$2:$C$4995,$D1910,ORDERS!$L$2:$L$4995,"Đã chuyển khoản"))</f>
        <v/>
      </c>
      <c r="Y1910" s="24" t="n"/>
    </row>
    <row r="1911" ht="14.25" customHeight="1" s="40">
      <c r="A1911" s="24" t="n"/>
      <c r="B1911" s="27" t="n"/>
      <c r="C1911" s="24" t="n"/>
      <c r="D1911" s="28" t="n"/>
      <c r="E1911" s="29" t="n"/>
      <c r="F1911" s="24" t="n"/>
      <c r="G1911" s="24" t="n"/>
      <c r="H1911" s="21">
        <f>IF(ISNUMBER($B1911),INT($B1911)-WEEKDAY($B1911,2)+1,"")</f>
        <v/>
      </c>
      <c r="I1911" s="24" t="n"/>
      <c r="J1911" s="22">
        <f t="array" ref="J1911">IF($D1911="","",IF($I1911="","(trống REF)",IFERROR(INDEX(MASTER_SOURCE!$B$2:$B$495,MATCH($I1911,MASTER_SOURCE!$A$2:$A$495,0)),"(REF không có trong MASTER_SOURCE)")))</f>
        <v/>
      </c>
      <c r="K1911" s="22">
        <f t="array" ref="K1911">IF($D1911="","",IFERROR(INDEX(MASTER_SOURCE!$C$2:$C$495,MATCH($I1911,MASTER_SOURCE!$A$2:$A$495,0)),""))</f>
        <v/>
      </c>
      <c r="L1911" s="22">
        <f t="array" ref="L1911">IF($D1911="","",IFERROR(INDEX(MASTER_SOURCE!$D$2:$D$495,MATCH($I1911,MASTER_SOURCE!$A$2:$A$495,0)),""))</f>
        <v/>
      </c>
      <c r="M1911" s="24" t="n"/>
      <c r="N1911" s="24" t="n"/>
      <c r="O1911" s="24" t="n"/>
      <c r="P1911" s="24" t="n"/>
      <c r="Q1911" s="22">
        <f>IF($D1911="","",IF(AND(OR(DANH_MUC!$L$5&lt;&gt;"Có",M1911="Có"),OR(DANH_MUC!$L$6&lt;&gt;"Có",N1911="Có"),OR(DANH_MUC!$L$7&lt;&gt;"Có",O1911="Có"),OR(DANH_MUC!$L$8&lt;&gt;"Có",P1911="Có")),"Có","Không"))</f>
        <v/>
      </c>
      <c r="R1911" s="22">
        <f>IF($D1911="","",IF(COUNTIF($D$2:$D1911,$D1911)&gt;1,"Trùng",""))</f>
        <v/>
      </c>
      <c r="S1911" s="22">
        <f>IF($D1911="","",IF(AND(LEN($D1911)=10,LEFT($D1911,1)="0",ISNUMBER(--$D1911)),"Có","Không"))</f>
        <v/>
      </c>
      <c r="T1911" s="22">
        <f>IF($D1911="","",IF(AND($C1911&lt;&gt;"",$Q1911="Có",$R1911="",$S1911="Có",AND($L1911&lt;&gt;"",OR($L1911&lt;&gt;"Chưa xác định",DANH_MUC!$L$9="Có"))),"Có","Không"))</f>
        <v/>
      </c>
      <c r="U1911" s="22">
        <f>IF(OR($D1911="",$T1911="Có"),"",IF($C1911="","Thiếu họ tên; ","")&amp;IF($S1911&lt;&gt;"Có","SĐT sai định dạng; ","")&amp;IF($R1911="Trùng","Trùng SĐT; ","")&amp;IF($Q1911&lt;&gt;"Có","Thiếu đồng ý bắt buộc; ","")&amp;IF($L1911="","Thiếu/sai Mã REF; ",IF(AND($L1911="Chưa xác định",DANH_MUC!$L$9&lt;&gt;"Có"),"Nguồn chưa xác định; ","")))</f>
        <v/>
      </c>
      <c r="V1911" s="22">
        <f>IF(OR($D1911="",$R1911="Trùng"),"",IF(COUNTIF(ORDERS!$C$2:$C$4995,$D1911)&gt;0,"Có","Không"))</f>
        <v/>
      </c>
      <c r="W1911" s="22">
        <f>IF(OR($D1911="",$R1911="Trùng"),"",COUNTIFS(ORDERS!$C$2:$C$4995,$D1911,ORDERS!$L$2:$L$4995,"Đã chuyển khoản"))</f>
        <v/>
      </c>
      <c r="X1911" s="23">
        <f>IF(OR($D1911="",$R1911="Trùng"),"",SUMIFS(ORDERS!$J$2:$J$4995,ORDERS!$C$2:$C$4995,$D1911,ORDERS!$L$2:$L$4995,"Đã chuyển khoản"))</f>
        <v/>
      </c>
      <c r="Y1911" s="24" t="n"/>
    </row>
    <row r="1912" ht="14.25" customHeight="1" s="40">
      <c r="A1912" s="24" t="n"/>
      <c r="B1912" s="27" t="n"/>
      <c r="C1912" s="24" t="n"/>
      <c r="D1912" s="28" t="n"/>
      <c r="E1912" s="29" t="n"/>
      <c r="F1912" s="24" t="n"/>
      <c r="G1912" s="24" t="n"/>
      <c r="H1912" s="21">
        <f>IF(ISNUMBER($B1912),INT($B1912)-WEEKDAY($B1912,2)+1,"")</f>
        <v/>
      </c>
      <c r="I1912" s="24" t="n"/>
      <c r="J1912" s="22">
        <f t="array" ref="J1912">IF($D1912="","",IF($I1912="","(trống REF)",IFERROR(INDEX(MASTER_SOURCE!$B$2:$B$495,MATCH($I1912,MASTER_SOURCE!$A$2:$A$495,0)),"(REF không có trong MASTER_SOURCE)")))</f>
        <v/>
      </c>
      <c r="K1912" s="22">
        <f t="array" ref="K1912">IF($D1912="","",IFERROR(INDEX(MASTER_SOURCE!$C$2:$C$495,MATCH($I1912,MASTER_SOURCE!$A$2:$A$495,0)),""))</f>
        <v/>
      </c>
      <c r="L1912" s="22">
        <f t="array" ref="L1912">IF($D1912="","",IFERROR(INDEX(MASTER_SOURCE!$D$2:$D$495,MATCH($I1912,MASTER_SOURCE!$A$2:$A$495,0)),""))</f>
        <v/>
      </c>
      <c r="M1912" s="24" t="n"/>
      <c r="N1912" s="24" t="n"/>
      <c r="O1912" s="24" t="n"/>
      <c r="P1912" s="24" t="n"/>
      <c r="Q1912" s="22">
        <f>IF($D1912="","",IF(AND(OR(DANH_MUC!$L$5&lt;&gt;"Có",M1912="Có"),OR(DANH_MUC!$L$6&lt;&gt;"Có",N1912="Có"),OR(DANH_MUC!$L$7&lt;&gt;"Có",O1912="Có"),OR(DANH_MUC!$L$8&lt;&gt;"Có",P1912="Có")),"Có","Không"))</f>
        <v/>
      </c>
      <c r="R1912" s="22">
        <f>IF($D1912="","",IF(COUNTIF($D$2:$D1912,$D1912)&gt;1,"Trùng",""))</f>
        <v/>
      </c>
      <c r="S1912" s="22">
        <f>IF($D1912="","",IF(AND(LEN($D1912)=10,LEFT($D1912,1)="0",ISNUMBER(--$D1912)),"Có","Không"))</f>
        <v/>
      </c>
      <c r="T1912" s="22">
        <f>IF($D1912="","",IF(AND($C1912&lt;&gt;"",$Q1912="Có",$R1912="",$S1912="Có",AND($L1912&lt;&gt;"",OR($L1912&lt;&gt;"Chưa xác định",DANH_MUC!$L$9="Có"))),"Có","Không"))</f>
        <v/>
      </c>
      <c r="U1912" s="22">
        <f>IF(OR($D1912="",$T1912="Có"),"",IF($C1912="","Thiếu họ tên; ","")&amp;IF($S1912&lt;&gt;"Có","SĐT sai định dạng; ","")&amp;IF($R1912="Trùng","Trùng SĐT; ","")&amp;IF($Q1912&lt;&gt;"Có","Thiếu đồng ý bắt buộc; ","")&amp;IF($L1912="","Thiếu/sai Mã REF; ",IF(AND($L1912="Chưa xác định",DANH_MUC!$L$9&lt;&gt;"Có"),"Nguồn chưa xác định; ","")))</f>
        <v/>
      </c>
      <c r="V1912" s="22">
        <f>IF(OR($D1912="",$R1912="Trùng"),"",IF(COUNTIF(ORDERS!$C$2:$C$4995,$D1912)&gt;0,"Có","Không"))</f>
        <v/>
      </c>
      <c r="W1912" s="22">
        <f>IF(OR($D1912="",$R1912="Trùng"),"",COUNTIFS(ORDERS!$C$2:$C$4995,$D1912,ORDERS!$L$2:$L$4995,"Đã chuyển khoản"))</f>
        <v/>
      </c>
      <c r="X1912" s="23">
        <f>IF(OR($D1912="",$R1912="Trùng"),"",SUMIFS(ORDERS!$J$2:$J$4995,ORDERS!$C$2:$C$4995,$D1912,ORDERS!$L$2:$L$4995,"Đã chuyển khoản"))</f>
        <v/>
      </c>
      <c r="Y1912" s="24" t="n"/>
    </row>
    <row r="1913" ht="14.25" customHeight="1" s="40">
      <c r="A1913" s="24" t="n"/>
      <c r="B1913" s="27" t="n"/>
      <c r="C1913" s="24" t="n"/>
      <c r="D1913" s="28" t="n"/>
      <c r="E1913" s="29" t="n"/>
      <c r="F1913" s="24" t="n"/>
      <c r="G1913" s="24" t="n"/>
      <c r="H1913" s="21">
        <f>IF(ISNUMBER($B1913),INT($B1913)-WEEKDAY($B1913,2)+1,"")</f>
        <v/>
      </c>
      <c r="I1913" s="24" t="n"/>
      <c r="J1913" s="22">
        <f t="array" ref="J1913">IF($D1913="","",IF($I1913="","(trống REF)",IFERROR(INDEX(MASTER_SOURCE!$B$2:$B$495,MATCH($I1913,MASTER_SOURCE!$A$2:$A$495,0)),"(REF không có trong MASTER_SOURCE)")))</f>
        <v/>
      </c>
      <c r="K1913" s="22">
        <f t="array" ref="K1913">IF($D1913="","",IFERROR(INDEX(MASTER_SOURCE!$C$2:$C$495,MATCH($I1913,MASTER_SOURCE!$A$2:$A$495,0)),""))</f>
        <v/>
      </c>
      <c r="L1913" s="22">
        <f t="array" ref="L1913">IF($D1913="","",IFERROR(INDEX(MASTER_SOURCE!$D$2:$D$495,MATCH($I1913,MASTER_SOURCE!$A$2:$A$495,0)),""))</f>
        <v/>
      </c>
      <c r="M1913" s="24" t="n"/>
      <c r="N1913" s="24" t="n"/>
      <c r="O1913" s="24" t="n"/>
      <c r="P1913" s="24" t="n"/>
      <c r="Q1913" s="22">
        <f>IF($D1913="","",IF(AND(OR(DANH_MUC!$L$5&lt;&gt;"Có",M1913="Có"),OR(DANH_MUC!$L$6&lt;&gt;"Có",N1913="Có"),OR(DANH_MUC!$L$7&lt;&gt;"Có",O1913="Có"),OR(DANH_MUC!$L$8&lt;&gt;"Có",P1913="Có")),"Có","Không"))</f>
        <v/>
      </c>
      <c r="R1913" s="22">
        <f>IF($D1913="","",IF(COUNTIF($D$2:$D1913,$D1913)&gt;1,"Trùng",""))</f>
        <v/>
      </c>
      <c r="S1913" s="22">
        <f>IF($D1913="","",IF(AND(LEN($D1913)=10,LEFT($D1913,1)="0",ISNUMBER(--$D1913)),"Có","Không"))</f>
        <v/>
      </c>
      <c r="T1913" s="22">
        <f>IF($D1913="","",IF(AND($C1913&lt;&gt;"",$Q1913="Có",$R1913="",$S1913="Có",AND($L1913&lt;&gt;"",OR($L1913&lt;&gt;"Chưa xác định",DANH_MUC!$L$9="Có"))),"Có","Không"))</f>
        <v/>
      </c>
      <c r="U1913" s="22">
        <f>IF(OR($D1913="",$T1913="Có"),"",IF($C1913="","Thiếu họ tên; ","")&amp;IF($S1913&lt;&gt;"Có","SĐT sai định dạng; ","")&amp;IF($R1913="Trùng","Trùng SĐT; ","")&amp;IF($Q1913&lt;&gt;"Có","Thiếu đồng ý bắt buộc; ","")&amp;IF($L1913="","Thiếu/sai Mã REF; ",IF(AND($L1913="Chưa xác định",DANH_MUC!$L$9&lt;&gt;"Có"),"Nguồn chưa xác định; ","")))</f>
        <v/>
      </c>
      <c r="V1913" s="22">
        <f>IF(OR($D1913="",$R1913="Trùng"),"",IF(COUNTIF(ORDERS!$C$2:$C$4995,$D1913)&gt;0,"Có","Không"))</f>
        <v/>
      </c>
      <c r="W1913" s="22">
        <f>IF(OR($D1913="",$R1913="Trùng"),"",COUNTIFS(ORDERS!$C$2:$C$4995,$D1913,ORDERS!$L$2:$L$4995,"Đã chuyển khoản"))</f>
        <v/>
      </c>
      <c r="X1913" s="23">
        <f>IF(OR($D1913="",$R1913="Trùng"),"",SUMIFS(ORDERS!$J$2:$J$4995,ORDERS!$C$2:$C$4995,$D1913,ORDERS!$L$2:$L$4995,"Đã chuyển khoản"))</f>
        <v/>
      </c>
      <c r="Y1913" s="24" t="n"/>
    </row>
    <row r="1914" ht="14.25" customHeight="1" s="40">
      <c r="A1914" s="24" t="n"/>
      <c r="B1914" s="27" t="n"/>
      <c r="C1914" s="24" t="n"/>
      <c r="D1914" s="28" t="n"/>
      <c r="E1914" s="29" t="n"/>
      <c r="F1914" s="24" t="n"/>
      <c r="G1914" s="24" t="n"/>
      <c r="H1914" s="21">
        <f>IF(ISNUMBER($B1914),INT($B1914)-WEEKDAY($B1914,2)+1,"")</f>
        <v/>
      </c>
      <c r="I1914" s="24" t="n"/>
      <c r="J1914" s="22">
        <f t="array" ref="J1914">IF($D1914="","",IF($I1914="","(trống REF)",IFERROR(INDEX(MASTER_SOURCE!$B$2:$B$495,MATCH($I1914,MASTER_SOURCE!$A$2:$A$495,0)),"(REF không có trong MASTER_SOURCE)")))</f>
        <v/>
      </c>
      <c r="K1914" s="22">
        <f t="array" ref="K1914">IF($D1914="","",IFERROR(INDEX(MASTER_SOURCE!$C$2:$C$495,MATCH($I1914,MASTER_SOURCE!$A$2:$A$495,0)),""))</f>
        <v/>
      </c>
      <c r="L1914" s="22">
        <f t="array" ref="L1914">IF($D1914="","",IFERROR(INDEX(MASTER_SOURCE!$D$2:$D$495,MATCH($I1914,MASTER_SOURCE!$A$2:$A$495,0)),""))</f>
        <v/>
      </c>
      <c r="M1914" s="24" t="n"/>
      <c r="N1914" s="24" t="n"/>
      <c r="O1914" s="24" t="n"/>
      <c r="P1914" s="24" t="n"/>
      <c r="Q1914" s="22">
        <f>IF($D1914="","",IF(AND(OR(DANH_MUC!$L$5&lt;&gt;"Có",M1914="Có"),OR(DANH_MUC!$L$6&lt;&gt;"Có",N1914="Có"),OR(DANH_MUC!$L$7&lt;&gt;"Có",O1914="Có"),OR(DANH_MUC!$L$8&lt;&gt;"Có",P1914="Có")),"Có","Không"))</f>
        <v/>
      </c>
      <c r="R1914" s="22">
        <f>IF($D1914="","",IF(COUNTIF($D$2:$D1914,$D1914)&gt;1,"Trùng",""))</f>
        <v/>
      </c>
      <c r="S1914" s="22">
        <f>IF($D1914="","",IF(AND(LEN($D1914)=10,LEFT($D1914,1)="0",ISNUMBER(--$D1914)),"Có","Không"))</f>
        <v/>
      </c>
      <c r="T1914" s="22">
        <f>IF($D1914="","",IF(AND($C1914&lt;&gt;"",$Q1914="Có",$R1914="",$S1914="Có",AND($L1914&lt;&gt;"",OR($L1914&lt;&gt;"Chưa xác định",DANH_MUC!$L$9="Có"))),"Có","Không"))</f>
        <v/>
      </c>
      <c r="U1914" s="22">
        <f>IF(OR($D1914="",$T1914="Có"),"",IF($C1914="","Thiếu họ tên; ","")&amp;IF($S1914&lt;&gt;"Có","SĐT sai định dạng; ","")&amp;IF($R1914="Trùng","Trùng SĐT; ","")&amp;IF($Q1914&lt;&gt;"Có","Thiếu đồng ý bắt buộc; ","")&amp;IF($L1914="","Thiếu/sai Mã REF; ",IF(AND($L1914="Chưa xác định",DANH_MUC!$L$9&lt;&gt;"Có"),"Nguồn chưa xác định; ","")))</f>
        <v/>
      </c>
      <c r="V1914" s="22">
        <f>IF(OR($D1914="",$R1914="Trùng"),"",IF(COUNTIF(ORDERS!$C$2:$C$4995,$D1914)&gt;0,"Có","Không"))</f>
        <v/>
      </c>
      <c r="W1914" s="22">
        <f>IF(OR($D1914="",$R1914="Trùng"),"",COUNTIFS(ORDERS!$C$2:$C$4995,$D1914,ORDERS!$L$2:$L$4995,"Đã chuyển khoản"))</f>
        <v/>
      </c>
      <c r="X1914" s="23">
        <f>IF(OR($D1914="",$R1914="Trùng"),"",SUMIFS(ORDERS!$J$2:$J$4995,ORDERS!$C$2:$C$4995,$D1914,ORDERS!$L$2:$L$4995,"Đã chuyển khoản"))</f>
        <v/>
      </c>
      <c r="Y1914" s="24" t="n"/>
    </row>
    <row r="1915" ht="14.25" customHeight="1" s="40">
      <c r="A1915" s="24" t="n"/>
      <c r="B1915" s="27" t="n"/>
      <c r="C1915" s="24" t="n"/>
      <c r="D1915" s="28" t="n"/>
      <c r="E1915" s="29" t="n"/>
      <c r="F1915" s="24" t="n"/>
      <c r="G1915" s="24" t="n"/>
      <c r="H1915" s="21">
        <f>IF(ISNUMBER($B1915),INT($B1915)-WEEKDAY($B1915,2)+1,"")</f>
        <v/>
      </c>
      <c r="I1915" s="24" t="n"/>
      <c r="J1915" s="22">
        <f t="array" ref="J1915">IF($D1915="","",IF($I1915="","(trống REF)",IFERROR(INDEX(MASTER_SOURCE!$B$2:$B$495,MATCH($I1915,MASTER_SOURCE!$A$2:$A$495,0)),"(REF không có trong MASTER_SOURCE)")))</f>
        <v/>
      </c>
      <c r="K1915" s="22">
        <f t="array" ref="K1915">IF($D1915="","",IFERROR(INDEX(MASTER_SOURCE!$C$2:$C$495,MATCH($I1915,MASTER_SOURCE!$A$2:$A$495,0)),""))</f>
        <v/>
      </c>
      <c r="L1915" s="22">
        <f t="array" ref="L1915">IF($D1915="","",IFERROR(INDEX(MASTER_SOURCE!$D$2:$D$495,MATCH($I1915,MASTER_SOURCE!$A$2:$A$495,0)),""))</f>
        <v/>
      </c>
      <c r="M1915" s="24" t="n"/>
      <c r="N1915" s="24" t="n"/>
      <c r="O1915" s="24" t="n"/>
      <c r="P1915" s="24" t="n"/>
      <c r="Q1915" s="22">
        <f>IF($D1915="","",IF(AND(OR(DANH_MUC!$L$5&lt;&gt;"Có",M1915="Có"),OR(DANH_MUC!$L$6&lt;&gt;"Có",N1915="Có"),OR(DANH_MUC!$L$7&lt;&gt;"Có",O1915="Có"),OR(DANH_MUC!$L$8&lt;&gt;"Có",P1915="Có")),"Có","Không"))</f>
        <v/>
      </c>
      <c r="R1915" s="22">
        <f>IF($D1915="","",IF(COUNTIF($D$2:$D1915,$D1915)&gt;1,"Trùng",""))</f>
        <v/>
      </c>
      <c r="S1915" s="22">
        <f>IF($D1915="","",IF(AND(LEN($D1915)=10,LEFT($D1915,1)="0",ISNUMBER(--$D1915)),"Có","Không"))</f>
        <v/>
      </c>
      <c r="T1915" s="22">
        <f>IF($D1915="","",IF(AND($C1915&lt;&gt;"",$Q1915="Có",$R1915="",$S1915="Có",AND($L1915&lt;&gt;"",OR($L1915&lt;&gt;"Chưa xác định",DANH_MUC!$L$9="Có"))),"Có","Không"))</f>
        <v/>
      </c>
      <c r="U1915" s="22">
        <f>IF(OR($D1915="",$T1915="Có"),"",IF($C1915="","Thiếu họ tên; ","")&amp;IF($S1915&lt;&gt;"Có","SĐT sai định dạng; ","")&amp;IF($R1915="Trùng","Trùng SĐT; ","")&amp;IF($Q1915&lt;&gt;"Có","Thiếu đồng ý bắt buộc; ","")&amp;IF($L1915="","Thiếu/sai Mã REF; ",IF(AND($L1915="Chưa xác định",DANH_MUC!$L$9&lt;&gt;"Có"),"Nguồn chưa xác định; ","")))</f>
        <v/>
      </c>
      <c r="V1915" s="22">
        <f>IF(OR($D1915="",$R1915="Trùng"),"",IF(COUNTIF(ORDERS!$C$2:$C$4995,$D1915)&gt;0,"Có","Không"))</f>
        <v/>
      </c>
      <c r="W1915" s="22">
        <f>IF(OR($D1915="",$R1915="Trùng"),"",COUNTIFS(ORDERS!$C$2:$C$4995,$D1915,ORDERS!$L$2:$L$4995,"Đã chuyển khoản"))</f>
        <v/>
      </c>
      <c r="X1915" s="23">
        <f>IF(OR($D1915="",$R1915="Trùng"),"",SUMIFS(ORDERS!$J$2:$J$4995,ORDERS!$C$2:$C$4995,$D1915,ORDERS!$L$2:$L$4995,"Đã chuyển khoản"))</f>
        <v/>
      </c>
      <c r="Y1915" s="24" t="n"/>
    </row>
    <row r="1916" ht="14.25" customHeight="1" s="40">
      <c r="A1916" s="24" t="n"/>
      <c r="B1916" s="27" t="n"/>
      <c r="C1916" s="24" t="n"/>
      <c r="D1916" s="28" t="n"/>
      <c r="E1916" s="29" t="n"/>
      <c r="F1916" s="24" t="n"/>
      <c r="G1916" s="24" t="n"/>
      <c r="H1916" s="21">
        <f>IF(ISNUMBER($B1916),INT($B1916)-WEEKDAY($B1916,2)+1,"")</f>
        <v/>
      </c>
      <c r="I1916" s="24" t="n"/>
      <c r="J1916" s="22">
        <f t="array" ref="J1916">IF($D1916="","",IF($I1916="","(trống REF)",IFERROR(INDEX(MASTER_SOURCE!$B$2:$B$495,MATCH($I1916,MASTER_SOURCE!$A$2:$A$495,0)),"(REF không có trong MASTER_SOURCE)")))</f>
        <v/>
      </c>
      <c r="K1916" s="22">
        <f t="array" ref="K1916">IF($D1916="","",IFERROR(INDEX(MASTER_SOURCE!$C$2:$C$495,MATCH($I1916,MASTER_SOURCE!$A$2:$A$495,0)),""))</f>
        <v/>
      </c>
      <c r="L1916" s="22">
        <f t="array" ref="L1916">IF($D1916="","",IFERROR(INDEX(MASTER_SOURCE!$D$2:$D$495,MATCH($I1916,MASTER_SOURCE!$A$2:$A$495,0)),""))</f>
        <v/>
      </c>
      <c r="M1916" s="24" t="n"/>
      <c r="N1916" s="24" t="n"/>
      <c r="O1916" s="24" t="n"/>
      <c r="P1916" s="24" t="n"/>
      <c r="Q1916" s="22">
        <f>IF($D1916="","",IF(AND(OR(DANH_MUC!$L$5&lt;&gt;"Có",M1916="Có"),OR(DANH_MUC!$L$6&lt;&gt;"Có",N1916="Có"),OR(DANH_MUC!$L$7&lt;&gt;"Có",O1916="Có"),OR(DANH_MUC!$L$8&lt;&gt;"Có",P1916="Có")),"Có","Không"))</f>
        <v/>
      </c>
      <c r="R1916" s="22">
        <f>IF($D1916="","",IF(COUNTIF($D$2:$D1916,$D1916)&gt;1,"Trùng",""))</f>
        <v/>
      </c>
      <c r="S1916" s="22">
        <f>IF($D1916="","",IF(AND(LEN($D1916)=10,LEFT($D1916,1)="0",ISNUMBER(--$D1916)),"Có","Không"))</f>
        <v/>
      </c>
      <c r="T1916" s="22">
        <f>IF($D1916="","",IF(AND($C1916&lt;&gt;"",$Q1916="Có",$R1916="",$S1916="Có",AND($L1916&lt;&gt;"",OR($L1916&lt;&gt;"Chưa xác định",DANH_MUC!$L$9="Có"))),"Có","Không"))</f>
        <v/>
      </c>
      <c r="U1916" s="22">
        <f>IF(OR($D1916="",$T1916="Có"),"",IF($C1916="","Thiếu họ tên; ","")&amp;IF($S1916&lt;&gt;"Có","SĐT sai định dạng; ","")&amp;IF($R1916="Trùng","Trùng SĐT; ","")&amp;IF($Q1916&lt;&gt;"Có","Thiếu đồng ý bắt buộc; ","")&amp;IF($L1916="","Thiếu/sai Mã REF; ",IF(AND($L1916="Chưa xác định",DANH_MUC!$L$9&lt;&gt;"Có"),"Nguồn chưa xác định; ","")))</f>
        <v/>
      </c>
      <c r="V1916" s="22">
        <f>IF(OR($D1916="",$R1916="Trùng"),"",IF(COUNTIF(ORDERS!$C$2:$C$4995,$D1916)&gt;0,"Có","Không"))</f>
        <v/>
      </c>
      <c r="W1916" s="22">
        <f>IF(OR($D1916="",$R1916="Trùng"),"",COUNTIFS(ORDERS!$C$2:$C$4995,$D1916,ORDERS!$L$2:$L$4995,"Đã chuyển khoản"))</f>
        <v/>
      </c>
      <c r="X1916" s="23">
        <f>IF(OR($D1916="",$R1916="Trùng"),"",SUMIFS(ORDERS!$J$2:$J$4995,ORDERS!$C$2:$C$4995,$D1916,ORDERS!$L$2:$L$4995,"Đã chuyển khoản"))</f>
        <v/>
      </c>
      <c r="Y1916" s="24" t="n"/>
    </row>
    <row r="1917" ht="14.25" customHeight="1" s="40">
      <c r="A1917" s="24" t="n"/>
      <c r="B1917" s="27" t="n"/>
      <c r="C1917" s="24" t="n"/>
      <c r="D1917" s="28" t="n"/>
      <c r="E1917" s="29" t="n"/>
      <c r="F1917" s="24" t="n"/>
      <c r="G1917" s="24" t="n"/>
      <c r="H1917" s="21">
        <f>IF(ISNUMBER($B1917),INT($B1917)-WEEKDAY($B1917,2)+1,"")</f>
        <v/>
      </c>
      <c r="I1917" s="24" t="n"/>
      <c r="J1917" s="22">
        <f t="array" ref="J1917">IF($D1917="","",IF($I1917="","(trống REF)",IFERROR(INDEX(MASTER_SOURCE!$B$2:$B$495,MATCH($I1917,MASTER_SOURCE!$A$2:$A$495,0)),"(REF không có trong MASTER_SOURCE)")))</f>
        <v/>
      </c>
      <c r="K1917" s="22">
        <f t="array" ref="K1917">IF($D1917="","",IFERROR(INDEX(MASTER_SOURCE!$C$2:$C$495,MATCH($I1917,MASTER_SOURCE!$A$2:$A$495,0)),""))</f>
        <v/>
      </c>
      <c r="L1917" s="22">
        <f t="array" ref="L1917">IF($D1917="","",IFERROR(INDEX(MASTER_SOURCE!$D$2:$D$495,MATCH($I1917,MASTER_SOURCE!$A$2:$A$495,0)),""))</f>
        <v/>
      </c>
      <c r="M1917" s="24" t="n"/>
      <c r="N1917" s="24" t="n"/>
      <c r="O1917" s="24" t="n"/>
      <c r="P1917" s="24" t="n"/>
      <c r="Q1917" s="22">
        <f>IF($D1917="","",IF(AND(OR(DANH_MUC!$L$5&lt;&gt;"Có",M1917="Có"),OR(DANH_MUC!$L$6&lt;&gt;"Có",N1917="Có"),OR(DANH_MUC!$L$7&lt;&gt;"Có",O1917="Có"),OR(DANH_MUC!$L$8&lt;&gt;"Có",P1917="Có")),"Có","Không"))</f>
        <v/>
      </c>
      <c r="R1917" s="22">
        <f>IF($D1917="","",IF(COUNTIF($D$2:$D1917,$D1917)&gt;1,"Trùng",""))</f>
        <v/>
      </c>
      <c r="S1917" s="22">
        <f>IF($D1917="","",IF(AND(LEN($D1917)=10,LEFT($D1917,1)="0",ISNUMBER(--$D1917)),"Có","Không"))</f>
        <v/>
      </c>
      <c r="T1917" s="22">
        <f>IF($D1917="","",IF(AND($C1917&lt;&gt;"",$Q1917="Có",$R1917="",$S1917="Có",AND($L1917&lt;&gt;"",OR($L1917&lt;&gt;"Chưa xác định",DANH_MUC!$L$9="Có"))),"Có","Không"))</f>
        <v/>
      </c>
      <c r="U1917" s="22">
        <f>IF(OR($D1917="",$T1917="Có"),"",IF($C1917="","Thiếu họ tên; ","")&amp;IF($S1917&lt;&gt;"Có","SĐT sai định dạng; ","")&amp;IF($R1917="Trùng","Trùng SĐT; ","")&amp;IF($Q1917&lt;&gt;"Có","Thiếu đồng ý bắt buộc; ","")&amp;IF($L1917="","Thiếu/sai Mã REF; ",IF(AND($L1917="Chưa xác định",DANH_MUC!$L$9&lt;&gt;"Có"),"Nguồn chưa xác định; ","")))</f>
        <v/>
      </c>
      <c r="V1917" s="22">
        <f>IF(OR($D1917="",$R1917="Trùng"),"",IF(COUNTIF(ORDERS!$C$2:$C$4995,$D1917)&gt;0,"Có","Không"))</f>
        <v/>
      </c>
      <c r="W1917" s="22">
        <f>IF(OR($D1917="",$R1917="Trùng"),"",COUNTIFS(ORDERS!$C$2:$C$4995,$D1917,ORDERS!$L$2:$L$4995,"Đã chuyển khoản"))</f>
        <v/>
      </c>
      <c r="X1917" s="23">
        <f>IF(OR($D1917="",$R1917="Trùng"),"",SUMIFS(ORDERS!$J$2:$J$4995,ORDERS!$C$2:$C$4995,$D1917,ORDERS!$L$2:$L$4995,"Đã chuyển khoản"))</f>
        <v/>
      </c>
      <c r="Y1917" s="24" t="n"/>
    </row>
    <row r="1918" ht="14.25" customHeight="1" s="40">
      <c r="A1918" s="24" t="n"/>
      <c r="B1918" s="27" t="n"/>
      <c r="C1918" s="24" t="n"/>
      <c r="D1918" s="28" t="n"/>
      <c r="E1918" s="29" t="n"/>
      <c r="F1918" s="24" t="n"/>
      <c r="G1918" s="24" t="n"/>
      <c r="H1918" s="21">
        <f>IF(ISNUMBER($B1918),INT($B1918)-WEEKDAY($B1918,2)+1,"")</f>
        <v/>
      </c>
      <c r="I1918" s="24" t="n"/>
      <c r="J1918" s="22">
        <f t="array" ref="J1918">IF($D1918="","",IF($I1918="","(trống REF)",IFERROR(INDEX(MASTER_SOURCE!$B$2:$B$495,MATCH($I1918,MASTER_SOURCE!$A$2:$A$495,0)),"(REF không có trong MASTER_SOURCE)")))</f>
        <v/>
      </c>
      <c r="K1918" s="22">
        <f t="array" ref="K1918">IF($D1918="","",IFERROR(INDEX(MASTER_SOURCE!$C$2:$C$495,MATCH($I1918,MASTER_SOURCE!$A$2:$A$495,0)),""))</f>
        <v/>
      </c>
      <c r="L1918" s="22">
        <f t="array" ref="L1918">IF($D1918="","",IFERROR(INDEX(MASTER_SOURCE!$D$2:$D$495,MATCH($I1918,MASTER_SOURCE!$A$2:$A$495,0)),""))</f>
        <v/>
      </c>
      <c r="M1918" s="24" t="n"/>
      <c r="N1918" s="24" t="n"/>
      <c r="O1918" s="24" t="n"/>
      <c r="P1918" s="24" t="n"/>
      <c r="Q1918" s="22">
        <f>IF($D1918="","",IF(AND(OR(DANH_MUC!$L$5&lt;&gt;"Có",M1918="Có"),OR(DANH_MUC!$L$6&lt;&gt;"Có",N1918="Có"),OR(DANH_MUC!$L$7&lt;&gt;"Có",O1918="Có"),OR(DANH_MUC!$L$8&lt;&gt;"Có",P1918="Có")),"Có","Không"))</f>
        <v/>
      </c>
      <c r="R1918" s="22">
        <f>IF($D1918="","",IF(COUNTIF($D$2:$D1918,$D1918)&gt;1,"Trùng",""))</f>
        <v/>
      </c>
      <c r="S1918" s="22">
        <f>IF($D1918="","",IF(AND(LEN($D1918)=10,LEFT($D1918,1)="0",ISNUMBER(--$D1918)),"Có","Không"))</f>
        <v/>
      </c>
      <c r="T1918" s="22">
        <f>IF($D1918="","",IF(AND($C1918&lt;&gt;"",$Q1918="Có",$R1918="",$S1918="Có",AND($L1918&lt;&gt;"",OR($L1918&lt;&gt;"Chưa xác định",DANH_MUC!$L$9="Có"))),"Có","Không"))</f>
        <v/>
      </c>
      <c r="U1918" s="22">
        <f>IF(OR($D1918="",$T1918="Có"),"",IF($C1918="","Thiếu họ tên; ","")&amp;IF($S1918&lt;&gt;"Có","SĐT sai định dạng; ","")&amp;IF($R1918="Trùng","Trùng SĐT; ","")&amp;IF($Q1918&lt;&gt;"Có","Thiếu đồng ý bắt buộc; ","")&amp;IF($L1918="","Thiếu/sai Mã REF; ",IF(AND($L1918="Chưa xác định",DANH_MUC!$L$9&lt;&gt;"Có"),"Nguồn chưa xác định; ","")))</f>
        <v/>
      </c>
      <c r="V1918" s="22">
        <f>IF(OR($D1918="",$R1918="Trùng"),"",IF(COUNTIF(ORDERS!$C$2:$C$4995,$D1918)&gt;0,"Có","Không"))</f>
        <v/>
      </c>
      <c r="W1918" s="22">
        <f>IF(OR($D1918="",$R1918="Trùng"),"",COUNTIFS(ORDERS!$C$2:$C$4995,$D1918,ORDERS!$L$2:$L$4995,"Đã chuyển khoản"))</f>
        <v/>
      </c>
      <c r="X1918" s="23">
        <f>IF(OR($D1918="",$R1918="Trùng"),"",SUMIFS(ORDERS!$J$2:$J$4995,ORDERS!$C$2:$C$4995,$D1918,ORDERS!$L$2:$L$4995,"Đã chuyển khoản"))</f>
        <v/>
      </c>
      <c r="Y1918" s="24" t="n"/>
    </row>
    <row r="1919" ht="14.25" customHeight="1" s="40">
      <c r="A1919" s="24" t="n"/>
      <c r="B1919" s="27" t="n"/>
      <c r="C1919" s="24" t="n"/>
      <c r="D1919" s="28" t="n"/>
      <c r="E1919" s="29" t="n"/>
      <c r="F1919" s="24" t="n"/>
      <c r="G1919" s="24" t="n"/>
      <c r="H1919" s="21">
        <f>IF(ISNUMBER($B1919),INT($B1919)-WEEKDAY($B1919,2)+1,"")</f>
        <v/>
      </c>
      <c r="I1919" s="24" t="n"/>
      <c r="J1919" s="22">
        <f t="array" ref="J1919">IF($D1919="","",IF($I1919="","(trống REF)",IFERROR(INDEX(MASTER_SOURCE!$B$2:$B$495,MATCH($I1919,MASTER_SOURCE!$A$2:$A$495,0)),"(REF không có trong MASTER_SOURCE)")))</f>
        <v/>
      </c>
      <c r="K1919" s="22">
        <f t="array" ref="K1919">IF($D1919="","",IFERROR(INDEX(MASTER_SOURCE!$C$2:$C$495,MATCH($I1919,MASTER_SOURCE!$A$2:$A$495,0)),""))</f>
        <v/>
      </c>
      <c r="L1919" s="22">
        <f t="array" ref="L1919">IF($D1919="","",IFERROR(INDEX(MASTER_SOURCE!$D$2:$D$495,MATCH($I1919,MASTER_SOURCE!$A$2:$A$495,0)),""))</f>
        <v/>
      </c>
      <c r="M1919" s="24" t="n"/>
      <c r="N1919" s="24" t="n"/>
      <c r="O1919" s="24" t="n"/>
      <c r="P1919" s="24" t="n"/>
      <c r="Q1919" s="22">
        <f>IF($D1919="","",IF(AND(OR(DANH_MUC!$L$5&lt;&gt;"Có",M1919="Có"),OR(DANH_MUC!$L$6&lt;&gt;"Có",N1919="Có"),OR(DANH_MUC!$L$7&lt;&gt;"Có",O1919="Có"),OR(DANH_MUC!$L$8&lt;&gt;"Có",P1919="Có")),"Có","Không"))</f>
        <v/>
      </c>
      <c r="R1919" s="22">
        <f>IF($D1919="","",IF(COUNTIF($D$2:$D1919,$D1919)&gt;1,"Trùng",""))</f>
        <v/>
      </c>
      <c r="S1919" s="22">
        <f>IF($D1919="","",IF(AND(LEN($D1919)=10,LEFT($D1919,1)="0",ISNUMBER(--$D1919)),"Có","Không"))</f>
        <v/>
      </c>
      <c r="T1919" s="22">
        <f>IF($D1919="","",IF(AND($C1919&lt;&gt;"",$Q1919="Có",$R1919="",$S1919="Có",AND($L1919&lt;&gt;"",OR($L1919&lt;&gt;"Chưa xác định",DANH_MUC!$L$9="Có"))),"Có","Không"))</f>
        <v/>
      </c>
      <c r="U1919" s="22">
        <f>IF(OR($D1919="",$T1919="Có"),"",IF($C1919="","Thiếu họ tên; ","")&amp;IF($S1919&lt;&gt;"Có","SĐT sai định dạng; ","")&amp;IF($R1919="Trùng","Trùng SĐT; ","")&amp;IF($Q1919&lt;&gt;"Có","Thiếu đồng ý bắt buộc; ","")&amp;IF($L1919="","Thiếu/sai Mã REF; ",IF(AND($L1919="Chưa xác định",DANH_MUC!$L$9&lt;&gt;"Có"),"Nguồn chưa xác định; ","")))</f>
        <v/>
      </c>
      <c r="V1919" s="22">
        <f>IF(OR($D1919="",$R1919="Trùng"),"",IF(COUNTIF(ORDERS!$C$2:$C$4995,$D1919)&gt;0,"Có","Không"))</f>
        <v/>
      </c>
      <c r="W1919" s="22">
        <f>IF(OR($D1919="",$R1919="Trùng"),"",COUNTIFS(ORDERS!$C$2:$C$4995,$D1919,ORDERS!$L$2:$L$4995,"Đã chuyển khoản"))</f>
        <v/>
      </c>
      <c r="X1919" s="23">
        <f>IF(OR($D1919="",$R1919="Trùng"),"",SUMIFS(ORDERS!$J$2:$J$4995,ORDERS!$C$2:$C$4995,$D1919,ORDERS!$L$2:$L$4995,"Đã chuyển khoản"))</f>
        <v/>
      </c>
      <c r="Y1919" s="24" t="n"/>
    </row>
    <row r="1920" ht="14.25" customHeight="1" s="40">
      <c r="A1920" s="24" t="n"/>
      <c r="B1920" s="27" t="n"/>
      <c r="C1920" s="24" t="n"/>
      <c r="D1920" s="28" t="n"/>
      <c r="E1920" s="29" t="n"/>
      <c r="F1920" s="24" t="n"/>
      <c r="G1920" s="24" t="n"/>
      <c r="H1920" s="21">
        <f>IF(ISNUMBER($B1920),INT($B1920)-WEEKDAY($B1920,2)+1,"")</f>
        <v/>
      </c>
      <c r="I1920" s="24" t="n"/>
      <c r="J1920" s="22">
        <f t="array" ref="J1920">IF($D1920="","",IF($I1920="","(trống REF)",IFERROR(INDEX(MASTER_SOURCE!$B$2:$B$495,MATCH($I1920,MASTER_SOURCE!$A$2:$A$495,0)),"(REF không có trong MASTER_SOURCE)")))</f>
        <v/>
      </c>
      <c r="K1920" s="22">
        <f t="array" ref="K1920">IF($D1920="","",IFERROR(INDEX(MASTER_SOURCE!$C$2:$C$495,MATCH($I1920,MASTER_SOURCE!$A$2:$A$495,0)),""))</f>
        <v/>
      </c>
      <c r="L1920" s="22">
        <f t="array" ref="L1920">IF($D1920="","",IFERROR(INDEX(MASTER_SOURCE!$D$2:$D$495,MATCH($I1920,MASTER_SOURCE!$A$2:$A$495,0)),""))</f>
        <v/>
      </c>
      <c r="M1920" s="24" t="n"/>
      <c r="N1920" s="24" t="n"/>
      <c r="O1920" s="24" t="n"/>
      <c r="P1920" s="24" t="n"/>
      <c r="Q1920" s="22">
        <f>IF($D1920="","",IF(AND(OR(DANH_MUC!$L$5&lt;&gt;"Có",M1920="Có"),OR(DANH_MUC!$L$6&lt;&gt;"Có",N1920="Có"),OR(DANH_MUC!$L$7&lt;&gt;"Có",O1920="Có"),OR(DANH_MUC!$L$8&lt;&gt;"Có",P1920="Có")),"Có","Không"))</f>
        <v/>
      </c>
      <c r="R1920" s="22">
        <f>IF($D1920="","",IF(COUNTIF($D$2:$D1920,$D1920)&gt;1,"Trùng",""))</f>
        <v/>
      </c>
      <c r="S1920" s="22">
        <f>IF($D1920="","",IF(AND(LEN($D1920)=10,LEFT($D1920,1)="0",ISNUMBER(--$D1920)),"Có","Không"))</f>
        <v/>
      </c>
      <c r="T1920" s="22">
        <f>IF($D1920="","",IF(AND($C1920&lt;&gt;"",$Q1920="Có",$R1920="",$S1920="Có",AND($L1920&lt;&gt;"",OR($L1920&lt;&gt;"Chưa xác định",DANH_MUC!$L$9="Có"))),"Có","Không"))</f>
        <v/>
      </c>
      <c r="U1920" s="22">
        <f>IF(OR($D1920="",$T1920="Có"),"",IF($C1920="","Thiếu họ tên; ","")&amp;IF($S1920&lt;&gt;"Có","SĐT sai định dạng; ","")&amp;IF($R1920="Trùng","Trùng SĐT; ","")&amp;IF($Q1920&lt;&gt;"Có","Thiếu đồng ý bắt buộc; ","")&amp;IF($L1920="","Thiếu/sai Mã REF; ",IF(AND($L1920="Chưa xác định",DANH_MUC!$L$9&lt;&gt;"Có"),"Nguồn chưa xác định; ","")))</f>
        <v/>
      </c>
      <c r="V1920" s="22">
        <f>IF(OR($D1920="",$R1920="Trùng"),"",IF(COUNTIF(ORDERS!$C$2:$C$4995,$D1920)&gt;0,"Có","Không"))</f>
        <v/>
      </c>
      <c r="W1920" s="22">
        <f>IF(OR($D1920="",$R1920="Trùng"),"",COUNTIFS(ORDERS!$C$2:$C$4995,$D1920,ORDERS!$L$2:$L$4995,"Đã chuyển khoản"))</f>
        <v/>
      </c>
      <c r="X1920" s="23">
        <f>IF(OR($D1920="",$R1920="Trùng"),"",SUMIFS(ORDERS!$J$2:$J$4995,ORDERS!$C$2:$C$4995,$D1920,ORDERS!$L$2:$L$4995,"Đã chuyển khoản"))</f>
        <v/>
      </c>
      <c r="Y1920" s="24" t="n"/>
    </row>
    <row r="1921" ht="14.25" customHeight="1" s="40">
      <c r="A1921" s="24" t="n"/>
      <c r="B1921" s="27" t="n"/>
      <c r="C1921" s="24" t="n"/>
      <c r="D1921" s="28" t="n"/>
      <c r="E1921" s="29" t="n"/>
      <c r="F1921" s="24" t="n"/>
      <c r="G1921" s="24" t="n"/>
      <c r="H1921" s="21">
        <f>IF(ISNUMBER($B1921),INT($B1921)-WEEKDAY($B1921,2)+1,"")</f>
        <v/>
      </c>
      <c r="I1921" s="24" t="n"/>
      <c r="J1921" s="22">
        <f t="array" ref="J1921">IF($D1921="","",IF($I1921="","(trống REF)",IFERROR(INDEX(MASTER_SOURCE!$B$2:$B$495,MATCH($I1921,MASTER_SOURCE!$A$2:$A$495,0)),"(REF không có trong MASTER_SOURCE)")))</f>
        <v/>
      </c>
      <c r="K1921" s="22">
        <f t="array" ref="K1921">IF($D1921="","",IFERROR(INDEX(MASTER_SOURCE!$C$2:$C$495,MATCH($I1921,MASTER_SOURCE!$A$2:$A$495,0)),""))</f>
        <v/>
      </c>
      <c r="L1921" s="22">
        <f t="array" ref="L1921">IF($D1921="","",IFERROR(INDEX(MASTER_SOURCE!$D$2:$D$495,MATCH($I1921,MASTER_SOURCE!$A$2:$A$495,0)),""))</f>
        <v/>
      </c>
      <c r="M1921" s="24" t="n"/>
      <c r="N1921" s="24" t="n"/>
      <c r="O1921" s="24" t="n"/>
      <c r="P1921" s="24" t="n"/>
      <c r="Q1921" s="22">
        <f>IF($D1921="","",IF(AND(OR(DANH_MUC!$L$5&lt;&gt;"Có",M1921="Có"),OR(DANH_MUC!$L$6&lt;&gt;"Có",N1921="Có"),OR(DANH_MUC!$L$7&lt;&gt;"Có",O1921="Có"),OR(DANH_MUC!$L$8&lt;&gt;"Có",P1921="Có")),"Có","Không"))</f>
        <v/>
      </c>
      <c r="R1921" s="22">
        <f>IF($D1921="","",IF(COUNTIF($D$2:$D1921,$D1921)&gt;1,"Trùng",""))</f>
        <v/>
      </c>
      <c r="S1921" s="22">
        <f>IF($D1921="","",IF(AND(LEN($D1921)=10,LEFT($D1921,1)="0",ISNUMBER(--$D1921)),"Có","Không"))</f>
        <v/>
      </c>
      <c r="T1921" s="22">
        <f>IF($D1921="","",IF(AND($C1921&lt;&gt;"",$Q1921="Có",$R1921="",$S1921="Có",AND($L1921&lt;&gt;"",OR($L1921&lt;&gt;"Chưa xác định",DANH_MUC!$L$9="Có"))),"Có","Không"))</f>
        <v/>
      </c>
      <c r="U1921" s="22">
        <f>IF(OR($D1921="",$T1921="Có"),"",IF($C1921="","Thiếu họ tên; ","")&amp;IF($S1921&lt;&gt;"Có","SĐT sai định dạng; ","")&amp;IF($R1921="Trùng","Trùng SĐT; ","")&amp;IF($Q1921&lt;&gt;"Có","Thiếu đồng ý bắt buộc; ","")&amp;IF($L1921="","Thiếu/sai Mã REF; ",IF(AND($L1921="Chưa xác định",DANH_MUC!$L$9&lt;&gt;"Có"),"Nguồn chưa xác định; ","")))</f>
        <v/>
      </c>
      <c r="V1921" s="22">
        <f>IF(OR($D1921="",$R1921="Trùng"),"",IF(COUNTIF(ORDERS!$C$2:$C$4995,$D1921)&gt;0,"Có","Không"))</f>
        <v/>
      </c>
      <c r="W1921" s="22">
        <f>IF(OR($D1921="",$R1921="Trùng"),"",COUNTIFS(ORDERS!$C$2:$C$4995,$D1921,ORDERS!$L$2:$L$4995,"Đã chuyển khoản"))</f>
        <v/>
      </c>
      <c r="X1921" s="23">
        <f>IF(OR($D1921="",$R1921="Trùng"),"",SUMIFS(ORDERS!$J$2:$J$4995,ORDERS!$C$2:$C$4995,$D1921,ORDERS!$L$2:$L$4995,"Đã chuyển khoản"))</f>
        <v/>
      </c>
      <c r="Y1921" s="24" t="n"/>
    </row>
    <row r="1922" ht="14.25" customHeight="1" s="40">
      <c r="A1922" s="24" t="n"/>
      <c r="B1922" s="27" t="n"/>
      <c r="C1922" s="24" t="n"/>
      <c r="D1922" s="28" t="n"/>
      <c r="E1922" s="29" t="n"/>
      <c r="F1922" s="24" t="n"/>
      <c r="G1922" s="24" t="n"/>
      <c r="H1922" s="21">
        <f>IF(ISNUMBER($B1922),INT($B1922)-WEEKDAY($B1922,2)+1,"")</f>
        <v/>
      </c>
      <c r="I1922" s="24" t="n"/>
      <c r="J1922" s="22">
        <f t="array" ref="J1922">IF($D1922="","",IF($I1922="","(trống REF)",IFERROR(INDEX(MASTER_SOURCE!$B$2:$B$495,MATCH($I1922,MASTER_SOURCE!$A$2:$A$495,0)),"(REF không có trong MASTER_SOURCE)")))</f>
        <v/>
      </c>
      <c r="K1922" s="22">
        <f t="array" ref="K1922">IF($D1922="","",IFERROR(INDEX(MASTER_SOURCE!$C$2:$C$495,MATCH($I1922,MASTER_SOURCE!$A$2:$A$495,0)),""))</f>
        <v/>
      </c>
      <c r="L1922" s="22">
        <f t="array" ref="L1922">IF($D1922="","",IFERROR(INDEX(MASTER_SOURCE!$D$2:$D$495,MATCH($I1922,MASTER_SOURCE!$A$2:$A$495,0)),""))</f>
        <v/>
      </c>
      <c r="M1922" s="24" t="n"/>
      <c r="N1922" s="24" t="n"/>
      <c r="O1922" s="24" t="n"/>
      <c r="P1922" s="24" t="n"/>
      <c r="Q1922" s="22">
        <f>IF($D1922="","",IF(AND(OR(DANH_MUC!$L$5&lt;&gt;"Có",M1922="Có"),OR(DANH_MUC!$L$6&lt;&gt;"Có",N1922="Có"),OR(DANH_MUC!$L$7&lt;&gt;"Có",O1922="Có"),OR(DANH_MUC!$L$8&lt;&gt;"Có",P1922="Có")),"Có","Không"))</f>
        <v/>
      </c>
      <c r="R1922" s="22">
        <f>IF($D1922="","",IF(COUNTIF($D$2:$D1922,$D1922)&gt;1,"Trùng",""))</f>
        <v/>
      </c>
      <c r="S1922" s="22">
        <f>IF($D1922="","",IF(AND(LEN($D1922)=10,LEFT($D1922,1)="0",ISNUMBER(--$D1922)),"Có","Không"))</f>
        <v/>
      </c>
      <c r="T1922" s="22">
        <f>IF($D1922="","",IF(AND($C1922&lt;&gt;"",$Q1922="Có",$R1922="",$S1922="Có",AND($L1922&lt;&gt;"",OR($L1922&lt;&gt;"Chưa xác định",DANH_MUC!$L$9="Có"))),"Có","Không"))</f>
        <v/>
      </c>
      <c r="U1922" s="22">
        <f>IF(OR($D1922="",$T1922="Có"),"",IF($C1922="","Thiếu họ tên; ","")&amp;IF($S1922&lt;&gt;"Có","SĐT sai định dạng; ","")&amp;IF($R1922="Trùng","Trùng SĐT; ","")&amp;IF($Q1922&lt;&gt;"Có","Thiếu đồng ý bắt buộc; ","")&amp;IF($L1922="","Thiếu/sai Mã REF; ",IF(AND($L1922="Chưa xác định",DANH_MUC!$L$9&lt;&gt;"Có"),"Nguồn chưa xác định; ","")))</f>
        <v/>
      </c>
      <c r="V1922" s="22">
        <f>IF(OR($D1922="",$R1922="Trùng"),"",IF(COUNTIF(ORDERS!$C$2:$C$4995,$D1922)&gt;0,"Có","Không"))</f>
        <v/>
      </c>
      <c r="W1922" s="22">
        <f>IF(OR($D1922="",$R1922="Trùng"),"",COUNTIFS(ORDERS!$C$2:$C$4995,$D1922,ORDERS!$L$2:$L$4995,"Đã chuyển khoản"))</f>
        <v/>
      </c>
      <c r="X1922" s="23">
        <f>IF(OR($D1922="",$R1922="Trùng"),"",SUMIFS(ORDERS!$J$2:$J$4995,ORDERS!$C$2:$C$4995,$D1922,ORDERS!$L$2:$L$4995,"Đã chuyển khoản"))</f>
        <v/>
      </c>
      <c r="Y1922" s="24" t="n"/>
    </row>
    <row r="1923" ht="14.25" customHeight="1" s="40">
      <c r="A1923" s="24" t="n"/>
      <c r="B1923" s="27" t="n"/>
      <c r="C1923" s="24" t="n"/>
      <c r="D1923" s="28" t="n"/>
      <c r="E1923" s="29" t="n"/>
      <c r="F1923" s="24" t="n"/>
      <c r="G1923" s="24" t="n"/>
      <c r="H1923" s="21">
        <f>IF(ISNUMBER($B1923),INT($B1923)-WEEKDAY($B1923,2)+1,"")</f>
        <v/>
      </c>
      <c r="I1923" s="24" t="n"/>
      <c r="J1923" s="22">
        <f t="array" ref="J1923">IF($D1923="","",IF($I1923="","(trống REF)",IFERROR(INDEX(MASTER_SOURCE!$B$2:$B$495,MATCH($I1923,MASTER_SOURCE!$A$2:$A$495,0)),"(REF không có trong MASTER_SOURCE)")))</f>
        <v/>
      </c>
      <c r="K1923" s="22">
        <f t="array" ref="K1923">IF($D1923="","",IFERROR(INDEX(MASTER_SOURCE!$C$2:$C$495,MATCH($I1923,MASTER_SOURCE!$A$2:$A$495,0)),""))</f>
        <v/>
      </c>
      <c r="L1923" s="22">
        <f t="array" ref="L1923">IF($D1923="","",IFERROR(INDEX(MASTER_SOURCE!$D$2:$D$495,MATCH($I1923,MASTER_SOURCE!$A$2:$A$495,0)),""))</f>
        <v/>
      </c>
      <c r="M1923" s="24" t="n"/>
      <c r="N1923" s="24" t="n"/>
      <c r="O1923" s="24" t="n"/>
      <c r="P1923" s="24" t="n"/>
      <c r="Q1923" s="22">
        <f>IF($D1923="","",IF(AND(OR(DANH_MUC!$L$5&lt;&gt;"Có",M1923="Có"),OR(DANH_MUC!$L$6&lt;&gt;"Có",N1923="Có"),OR(DANH_MUC!$L$7&lt;&gt;"Có",O1923="Có"),OR(DANH_MUC!$L$8&lt;&gt;"Có",P1923="Có")),"Có","Không"))</f>
        <v/>
      </c>
      <c r="R1923" s="22">
        <f>IF($D1923="","",IF(COUNTIF($D$2:$D1923,$D1923)&gt;1,"Trùng",""))</f>
        <v/>
      </c>
      <c r="S1923" s="22">
        <f>IF($D1923="","",IF(AND(LEN($D1923)=10,LEFT($D1923,1)="0",ISNUMBER(--$D1923)),"Có","Không"))</f>
        <v/>
      </c>
      <c r="T1923" s="22">
        <f>IF($D1923="","",IF(AND($C1923&lt;&gt;"",$Q1923="Có",$R1923="",$S1923="Có",AND($L1923&lt;&gt;"",OR($L1923&lt;&gt;"Chưa xác định",DANH_MUC!$L$9="Có"))),"Có","Không"))</f>
        <v/>
      </c>
      <c r="U1923" s="22">
        <f>IF(OR($D1923="",$T1923="Có"),"",IF($C1923="","Thiếu họ tên; ","")&amp;IF($S1923&lt;&gt;"Có","SĐT sai định dạng; ","")&amp;IF($R1923="Trùng","Trùng SĐT; ","")&amp;IF($Q1923&lt;&gt;"Có","Thiếu đồng ý bắt buộc; ","")&amp;IF($L1923="","Thiếu/sai Mã REF; ",IF(AND($L1923="Chưa xác định",DANH_MUC!$L$9&lt;&gt;"Có"),"Nguồn chưa xác định; ","")))</f>
        <v/>
      </c>
      <c r="V1923" s="22">
        <f>IF(OR($D1923="",$R1923="Trùng"),"",IF(COUNTIF(ORDERS!$C$2:$C$4995,$D1923)&gt;0,"Có","Không"))</f>
        <v/>
      </c>
      <c r="W1923" s="22">
        <f>IF(OR($D1923="",$R1923="Trùng"),"",COUNTIFS(ORDERS!$C$2:$C$4995,$D1923,ORDERS!$L$2:$L$4995,"Đã chuyển khoản"))</f>
        <v/>
      </c>
      <c r="X1923" s="23">
        <f>IF(OR($D1923="",$R1923="Trùng"),"",SUMIFS(ORDERS!$J$2:$J$4995,ORDERS!$C$2:$C$4995,$D1923,ORDERS!$L$2:$L$4995,"Đã chuyển khoản"))</f>
        <v/>
      </c>
      <c r="Y1923" s="24" t="n"/>
    </row>
    <row r="1924" ht="14.25" customHeight="1" s="40">
      <c r="A1924" s="24" t="n"/>
      <c r="B1924" s="27" t="n"/>
      <c r="C1924" s="24" t="n"/>
      <c r="D1924" s="28" t="n"/>
      <c r="E1924" s="29" t="n"/>
      <c r="F1924" s="24" t="n"/>
      <c r="G1924" s="24" t="n"/>
      <c r="H1924" s="21">
        <f>IF(ISNUMBER($B1924),INT($B1924)-WEEKDAY($B1924,2)+1,"")</f>
        <v/>
      </c>
      <c r="I1924" s="24" t="n"/>
      <c r="J1924" s="22">
        <f t="array" ref="J1924">IF($D1924="","",IF($I1924="","(trống REF)",IFERROR(INDEX(MASTER_SOURCE!$B$2:$B$495,MATCH($I1924,MASTER_SOURCE!$A$2:$A$495,0)),"(REF không có trong MASTER_SOURCE)")))</f>
        <v/>
      </c>
      <c r="K1924" s="22">
        <f t="array" ref="K1924">IF($D1924="","",IFERROR(INDEX(MASTER_SOURCE!$C$2:$C$495,MATCH($I1924,MASTER_SOURCE!$A$2:$A$495,0)),""))</f>
        <v/>
      </c>
      <c r="L1924" s="22">
        <f t="array" ref="L1924">IF($D1924="","",IFERROR(INDEX(MASTER_SOURCE!$D$2:$D$495,MATCH($I1924,MASTER_SOURCE!$A$2:$A$495,0)),""))</f>
        <v/>
      </c>
      <c r="M1924" s="24" t="n"/>
      <c r="N1924" s="24" t="n"/>
      <c r="O1924" s="24" t="n"/>
      <c r="P1924" s="24" t="n"/>
      <c r="Q1924" s="22">
        <f>IF($D1924="","",IF(AND(OR(DANH_MUC!$L$5&lt;&gt;"Có",M1924="Có"),OR(DANH_MUC!$L$6&lt;&gt;"Có",N1924="Có"),OR(DANH_MUC!$L$7&lt;&gt;"Có",O1924="Có"),OR(DANH_MUC!$L$8&lt;&gt;"Có",P1924="Có")),"Có","Không"))</f>
        <v/>
      </c>
      <c r="R1924" s="22">
        <f>IF($D1924="","",IF(COUNTIF($D$2:$D1924,$D1924)&gt;1,"Trùng",""))</f>
        <v/>
      </c>
      <c r="S1924" s="22">
        <f>IF($D1924="","",IF(AND(LEN($D1924)=10,LEFT($D1924,1)="0",ISNUMBER(--$D1924)),"Có","Không"))</f>
        <v/>
      </c>
      <c r="T1924" s="22">
        <f>IF($D1924="","",IF(AND($C1924&lt;&gt;"",$Q1924="Có",$R1924="",$S1924="Có",AND($L1924&lt;&gt;"",OR($L1924&lt;&gt;"Chưa xác định",DANH_MUC!$L$9="Có"))),"Có","Không"))</f>
        <v/>
      </c>
      <c r="U1924" s="22">
        <f>IF(OR($D1924="",$T1924="Có"),"",IF($C1924="","Thiếu họ tên; ","")&amp;IF($S1924&lt;&gt;"Có","SĐT sai định dạng; ","")&amp;IF($R1924="Trùng","Trùng SĐT; ","")&amp;IF($Q1924&lt;&gt;"Có","Thiếu đồng ý bắt buộc; ","")&amp;IF($L1924="","Thiếu/sai Mã REF; ",IF(AND($L1924="Chưa xác định",DANH_MUC!$L$9&lt;&gt;"Có"),"Nguồn chưa xác định; ","")))</f>
        <v/>
      </c>
      <c r="V1924" s="22">
        <f>IF(OR($D1924="",$R1924="Trùng"),"",IF(COUNTIF(ORDERS!$C$2:$C$4995,$D1924)&gt;0,"Có","Không"))</f>
        <v/>
      </c>
      <c r="W1924" s="22">
        <f>IF(OR($D1924="",$R1924="Trùng"),"",COUNTIFS(ORDERS!$C$2:$C$4995,$D1924,ORDERS!$L$2:$L$4995,"Đã chuyển khoản"))</f>
        <v/>
      </c>
      <c r="X1924" s="23">
        <f>IF(OR($D1924="",$R1924="Trùng"),"",SUMIFS(ORDERS!$J$2:$J$4995,ORDERS!$C$2:$C$4995,$D1924,ORDERS!$L$2:$L$4995,"Đã chuyển khoản"))</f>
        <v/>
      </c>
      <c r="Y1924" s="24" t="n"/>
    </row>
    <row r="1925" ht="14.25" customHeight="1" s="40">
      <c r="A1925" s="24" t="n"/>
      <c r="B1925" s="27" t="n"/>
      <c r="C1925" s="24" t="n"/>
      <c r="D1925" s="28" t="n"/>
      <c r="E1925" s="29" t="n"/>
      <c r="F1925" s="24" t="n"/>
      <c r="G1925" s="24" t="n"/>
      <c r="H1925" s="21">
        <f>IF(ISNUMBER($B1925),INT($B1925)-WEEKDAY($B1925,2)+1,"")</f>
        <v/>
      </c>
      <c r="I1925" s="24" t="n"/>
      <c r="J1925" s="22">
        <f t="array" ref="J1925">IF($D1925="","",IF($I1925="","(trống REF)",IFERROR(INDEX(MASTER_SOURCE!$B$2:$B$495,MATCH($I1925,MASTER_SOURCE!$A$2:$A$495,0)),"(REF không có trong MASTER_SOURCE)")))</f>
        <v/>
      </c>
      <c r="K1925" s="22">
        <f t="array" ref="K1925">IF($D1925="","",IFERROR(INDEX(MASTER_SOURCE!$C$2:$C$495,MATCH($I1925,MASTER_SOURCE!$A$2:$A$495,0)),""))</f>
        <v/>
      </c>
      <c r="L1925" s="22">
        <f t="array" ref="L1925">IF($D1925="","",IFERROR(INDEX(MASTER_SOURCE!$D$2:$D$495,MATCH($I1925,MASTER_SOURCE!$A$2:$A$495,0)),""))</f>
        <v/>
      </c>
      <c r="M1925" s="24" t="n"/>
      <c r="N1925" s="24" t="n"/>
      <c r="O1925" s="24" t="n"/>
      <c r="P1925" s="24" t="n"/>
      <c r="Q1925" s="22">
        <f>IF($D1925="","",IF(AND(OR(DANH_MUC!$L$5&lt;&gt;"Có",M1925="Có"),OR(DANH_MUC!$L$6&lt;&gt;"Có",N1925="Có"),OR(DANH_MUC!$L$7&lt;&gt;"Có",O1925="Có"),OR(DANH_MUC!$L$8&lt;&gt;"Có",P1925="Có")),"Có","Không"))</f>
        <v/>
      </c>
      <c r="R1925" s="22">
        <f>IF($D1925="","",IF(COUNTIF($D$2:$D1925,$D1925)&gt;1,"Trùng",""))</f>
        <v/>
      </c>
      <c r="S1925" s="22">
        <f>IF($D1925="","",IF(AND(LEN($D1925)=10,LEFT($D1925,1)="0",ISNUMBER(--$D1925)),"Có","Không"))</f>
        <v/>
      </c>
      <c r="T1925" s="22">
        <f>IF($D1925="","",IF(AND($C1925&lt;&gt;"",$Q1925="Có",$R1925="",$S1925="Có",AND($L1925&lt;&gt;"",OR($L1925&lt;&gt;"Chưa xác định",DANH_MUC!$L$9="Có"))),"Có","Không"))</f>
        <v/>
      </c>
      <c r="U1925" s="22">
        <f>IF(OR($D1925="",$T1925="Có"),"",IF($C1925="","Thiếu họ tên; ","")&amp;IF($S1925&lt;&gt;"Có","SĐT sai định dạng; ","")&amp;IF($R1925="Trùng","Trùng SĐT; ","")&amp;IF($Q1925&lt;&gt;"Có","Thiếu đồng ý bắt buộc; ","")&amp;IF($L1925="","Thiếu/sai Mã REF; ",IF(AND($L1925="Chưa xác định",DANH_MUC!$L$9&lt;&gt;"Có"),"Nguồn chưa xác định; ","")))</f>
        <v/>
      </c>
      <c r="V1925" s="22">
        <f>IF(OR($D1925="",$R1925="Trùng"),"",IF(COUNTIF(ORDERS!$C$2:$C$4995,$D1925)&gt;0,"Có","Không"))</f>
        <v/>
      </c>
      <c r="W1925" s="22">
        <f>IF(OR($D1925="",$R1925="Trùng"),"",COUNTIFS(ORDERS!$C$2:$C$4995,$D1925,ORDERS!$L$2:$L$4995,"Đã chuyển khoản"))</f>
        <v/>
      </c>
      <c r="X1925" s="23">
        <f>IF(OR($D1925="",$R1925="Trùng"),"",SUMIFS(ORDERS!$J$2:$J$4995,ORDERS!$C$2:$C$4995,$D1925,ORDERS!$L$2:$L$4995,"Đã chuyển khoản"))</f>
        <v/>
      </c>
      <c r="Y1925" s="24" t="n"/>
    </row>
    <row r="1926" ht="14.25" customHeight="1" s="40">
      <c r="A1926" s="24" t="n"/>
      <c r="B1926" s="27" t="n"/>
      <c r="C1926" s="24" t="n"/>
      <c r="D1926" s="28" t="n"/>
      <c r="E1926" s="29" t="n"/>
      <c r="F1926" s="24" t="n"/>
      <c r="G1926" s="24" t="n"/>
      <c r="H1926" s="21">
        <f>IF(ISNUMBER($B1926),INT($B1926)-WEEKDAY($B1926,2)+1,"")</f>
        <v/>
      </c>
      <c r="I1926" s="24" t="n"/>
      <c r="J1926" s="22">
        <f t="array" ref="J1926">IF($D1926="","",IF($I1926="","(trống REF)",IFERROR(INDEX(MASTER_SOURCE!$B$2:$B$495,MATCH($I1926,MASTER_SOURCE!$A$2:$A$495,0)),"(REF không có trong MASTER_SOURCE)")))</f>
        <v/>
      </c>
      <c r="K1926" s="22">
        <f t="array" ref="K1926">IF($D1926="","",IFERROR(INDEX(MASTER_SOURCE!$C$2:$C$495,MATCH($I1926,MASTER_SOURCE!$A$2:$A$495,0)),""))</f>
        <v/>
      </c>
      <c r="L1926" s="22">
        <f t="array" ref="L1926">IF($D1926="","",IFERROR(INDEX(MASTER_SOURCE!$D$2:$D$495,MATCH($I1926,MASTER_SOURCE!$A$2:$A$495,0)),""))</f>
        <v/>
      </c>
      <c r="M1926" s="24" t="n"/>
      <c r="N1926" s="24" t="n"/>
      <c r="O1926" s="24" t="n"/>
      <c r="P1926" s="24" t="n"/>
      <c r="Q1926" s="22">
        <f>IF($D1926="","",IF(AND(OR(DANH_MUC!$L$5&lt;&gt;"Có",M1926="Có"),OR(DANH_MUC!$L$6&lt;&gt;"Có",N1926="Có"),OR(DANH_MUC!$L$7&lt;&gt;"Có",O1926="Có"),OR(DANH_MUC!$L$8&lt;&gt;"Có",P1926="Có")),"Có","Không"))</f>
        <v/>
      </c>
      <c r="R1926" s="22">
        <f>IF($D1926="","",IF(COUNTIF($D$2:$D1926,$D1926)&gt;1,"Trùng",""))</f>
        <v/>
      </c>
      <c r="S1926" s="22">
        <f>IF($D1926="","",IF(AND(LEN($D1926)=10,LEFT($D1926,1)="0",ISNUMBER(--$D1926)),"Có","Không"))</f>
        <v/>
      </c>
      <c r="T1926" s="22">
        <f>IF($D1926="","",IF(AND($C1926&lt;&gt;"",$Q1926="Có",$R1926="",$S1926="Có",AND($L1926&lt;&gt;"",OR($L1926&lt;&gt;"Chưa xác định",DANH_MUC!$L$9="Có"))),"Có","Không"))</f>
        <v/>
      </c>
      <c r="U1926" s="22">
        <f>IF(OR($D1926="",$T1926="Có"),"",IF($C1926="","Thiếu họ tên; ","")&amp;IF($S1926&lt;&gt;"Có","SĐT sai định dạng; ","")&amp;IF($R1926="Trùng","Trùng SĐT; ","")&amp;IF($Q1926&lt;&gt;"Có","Thiếu đồng ý bắt buộc; ","")&amp;IF($L1926="","Thiếu/sai Mã REF; ",IF(AND($L1926="Chưa xác định",DANH_MUC!$L$9&lt;&gt;"Có"),"Nguồn chưa xác định; ","")))</f>
        <v/>
      </c>
      <c r="V1926" s="22">
        <f>IF(OR($D1926="",$R1926="Trùng"),"",IF(COUNTIF(ORDERS!$C$2:$C$4995,$D1926)&gt;0,"Có","Không"))</f>
        <v/>
      </c>
      <c r="W1926" s="22">
        <f>IF(OR($D1926="",$R1926="Trùng"),"",COUNTIFS(ORDERS!$C$2:$C$4995,$D1926,ORDERS!$L$2:$L$4995,"Đã chuyển khoản"))</f>
        <v/>
      </c>
      <c r="X1926" s="23">
        <f>IF(OR($D1926="",$R1926="Trùng"),"",SUMIFS(ORDERS!$J$2:$J$4995,ORDERS!$C$2:$C$4995,$D1926,ORDERS!$L$2:$L$4995,"Đã chuyển khoản"))</f>
        <v/>
      </c>
      <c r="Y1926" s="24" t="n"/>
    </row>
    <row r="1927" ht="14.25" customHeight="1" s="40">
      <c r="A1927" s="24" t="n"/>
      <c r="B1927" s="27" t="n"/>
      <c r="C1927" s="24" t="n"/>
      <c r="D1927" s="28" t="n"/>
      <c r="E1927" s="29" t="n"/>
      <c r="F1927" s="24" t="n"/>
      <c r="G1927" s="24" t="n"/>
      <c r="H1927" s="21">
        <f>IF(ISNUMBER($B1927),INT($B1927)-WEEKDAY($B1927,2)+1,"")</f>
        <v/>
      </c>
      <c r="I1927" s="24" t="n"/>
      <c r="J1927" s="22">
        <f t="array" ref="J1927">IF($D1927="","",IF($I1927="","(trống REF)",IFERROR(INDEX(MASTER_SOURCE!$B$2:$B$495,MATCH($I1927,MASTER_SOURCE!$A$2:$A$495,0)),"(REF không có trong MASTER_SOURCE)")))</f>
        <v/>
      </c>
      <c r="K1927" s="22">
        <f t="array" ref="K1927">IF($D1927="","",IFERROR(INDEX(MASTER_SOURCE!$C$2:$C$495,MATCH($I1927,MASTER_SOURCE!$A$2:$A$495,0)),""))</f>
        <v/>
      </c>
      <c r="L1927" s="22">
        <f t="array" ref="L1927">IF($D1927="","",IFERROR(INDEX(MASTER_SOURCE!$D$2:$D$495,MATCH($I1927,MASTER_SOURCE!$A$2:$A$495,0)),""))</f>
        <v/>
      </c>
      <c r="M1927" s="24" t="n"/>
      <c r="N1927" s="24" t="n"/>
      <c r="O1927" s="24" t="n"/>
      <c r="P1927" s="24" t="n"/>
      <c r="Q1927" s="22">
        <f>IF($D1927="","",IF(AND(OR(DANH_MUC!$L$5&lt;&gt;"Có",M1927="Có"),OR(DANH_MUC!$L$6&lt;&gt;"Có",N1927="Có"),OR(DANH_MUC!$L$7&lt;&gt;"Có",O1927="Có"),OR(DANH_MUC!$L$8&lt;&gt;"Có",P1927="Có")),"Có","Không"))</f>
        <v/>
      </c>
      <c r="R1927" s="22">
        <f>IF($D1927="","",IF(COUNTIF($D$2:$D1927,$D1927)&gt;1,"Trùng",""))</f>
        <v/>
      </c>
      <c r="S1927" s="22">
        <f>IF($D1927="","",IF(AND(LEN($D1927)=10,LEFT($D1927,1)="0",ISNUMBER(--$D1927)),"Có","Không"))</f>
        <v/>
      </c>
      <c r="T1927" s="22">
        <f>IF($D1927="","",IF(AND($C1927&lt;&gt;"",$Q1927="Có",$R1927="",$S1927="Có",AND($L1927&lt;&gt;"",OR($L1927&lt;&gt;"Chưa xác định",DANH_MUC!$L$9="Có"))),"Có","Không"))</f>
        <v/>
      </c>
      <c r="U1927" s="22">
        <f>IF(OR($D1927="",$T1927="Có"),"",IF($C1927="","Thiếu họ tên; ","")&amp;IF($S1927&lt;&gt;"Có","SĐT sai định dạng; ","")&amp;IF($R1927="Trùng","Trùng SĐT; ","")&amp;IF($Q1927&lt;&gt;"Có","Thiếu đồng ý bắt buộc; ","")&amp;IF($L1927="","Thiếu/sai Mã REF; ",IF(AND($L1927="Chưa xác định",DANH_MUC!$L$9&lt;&gt;"Có"),"Nguồn chưa xác định; ","")))</f>
        <v/>
      </c>
      <c r="V1927" s="22">
        <f>IF(OR($D1927="",$R1927="Trùng"),"",IF(COUNTIF(ORDERS!$C$2:$C$4995,$D1927)&gt;0,"Có","Không"))</f>
        <v/>
      </c>
      <c r="W1927" s="22">
        <f>IF(OR($D1927="",$R1927="Trùng"),"",COUNTIFS(ORDERS!$C$2:$C$4995,$D1927,ORDERS!$L$2:$L$4995,"Đã chuyển khoản"))</f>
        <v/>
      </c>
      <c r="X1927" s="23">
        <f>IF(OR($D1927="",$R1927="Trùng"),"",SUMIFS(ORDERS!$J$2:$J$4995,ORDERS!$C$2:$C$4995,$D1927,ORDERS!$L$2:$L$4995,"Đã chuyển khoản"))</f>
        <v/>
      </c>
      <c r="Y1927" s="24" t="n"/>
    </row>
    <row r="1928" ht="14.25" customHeight="1" s="40">
      <c r="A1928" s="24" t="n"/>
      <c r="B1928" s="27" t="n"/>
      <c r="C1928" s="24" t="n"/>
      <c r="D1928" s="28" t="n"/>
      <c r="E1928" s="29" t="n"/>
      <c r="F1928" s="24" t="n"/>
      <c r="G1928" s="24" t="n"/>
      <c r="H1928" s="21">
        <f>IF(ISNUMBER($B1928),INT($B1928)-WEEKDAY($B1928,2)+1,"")</f>
        <v/>
      </c>
      <c r="I1928" s="24" t="n"/>
      <c r="J1928" s="22">
        <f t="array" ref="J1928">IF($D1928="","",IF($I1928="","(trống REF)",IFERROR(INDEX(MASTER_SOURCE!$B$2:$B$495,MATCH($I1928,MASTER_SOURCE!$A$2:$A$495,0)),"(REF không có trong MASTER_SOURCE)")))</f>
        <v/>
      </c>
      <c r="K1928" s="22">
        <f t="array" ref="K1928">IF($D1928="","",IFERROR(INDEX(MASTER_SOURCE!$C$2:$C$495,MATCH($I1928,MASTER_SOURCE!$A$2:$A$495,0)),""))</f>
        <v/>
      </c>
      <c r="L1928" s="22">
        <f t="array" ref="L1928">IF($D1928="","",IFERROR(INDEX(MASTER_SOURCE!$D$2:$D$495,MATCH($I1928,MASTER_SOURCE!$A$2:$A$495,0)),""))</f>
        <v/>
      </c>
      <c r="M1928" s="24" t="n"/>
      <c r="N1928" s="24" t="n"/>
      <c r="O1928" s="24" t="n"/>
      <c r="P1928" s="24" t="n"/>
      <c r="Q1928" s="22">
        <f>IF($D1928="","",IF(AND(OR(DANH_MUC!$L$5&lt;&gt;"Có",M1928="Có"),OR(DANH_MUC!$L$6&lt;&gt;"Có",N1928="Có"),OR(DANH_MUC!$L$7&lt;&gt;"Có",O1928="Có"),OR(DANH_MUC!$L$8&lt;&gt;"Có",P1928="Có")),"Có","Không"))</f>
        <v/>
      </c>
      <c r="R1928" s="22">
        <f>IF($D1928="","",IF(COUNTIF($D$2:$D1928,$D1928)&gt;1,"Trùng",""))</f>
        <v/>
      </c>
      <c r="S1928" s="22">
        <f>IF($D1928="","",IF(AND(LEN($D1928)=10,LEFT($D1928,1)="0",ISNUMBER(--$D1928)),"Có","Không"))</f>
        <v/>
      </c>
      <c r="T1928" s="22">
        <f>IF($D1928="","",IF(AND($C1928&lt;&gt;"",$Q1928="Có",$R1928="",$S1928="Có",AND($L1928&lt;&gt;"",OR($L1928&lt;&gt;"Chưa xác định",DANH_MUC!$L$9="Có"))),"Có","Không"))</f>
        <v/>
      </c>
      <c r="U1928" s="22">
        <f>IF(OR($D1928="",$T1928="Có"),"",IF($C1928="","Thiếu họ tên; ","")&amp;IF($S1928&lt;&gt;"Có","SĐT sai định dạng; ","")&amp;IF($R1928="Trùng","Trùng SĐT; ","")&amp;IF($Q1928&lt;&gt;"Có","Thiếu đồng ý bắt buộc; ","")&amp;IF($L1928="","Thiếu/sai Mã REF; ",IF(AND($L1928="Chưa xác định",DANH_MUC!$L$9&lt;&gt;"Có"),"Nguồn chưa xác định; ","")))</f>
        <v/>
      </c>
      <c r="V1928" s="22">
        <f>IF(OR($D1928="",$R1928="Trùng"),"",IF(COUNTIF(ORDERS!$C$2:$C$4995,$D1928)&gt;0,"Có","Không"))</f>
        <v/>
      </c>
      <c r="W1928" s="22">
        <f>IF(OR($D1928="",$R1928="Trùng"),"",COUNTIFS(ORDERS!$C$2:$C$4995,$D1928,ORDERS!$L$2:$L$4995,"Đã chuyển khoản"))</f>
        <v/>
      </c>
      <c r="X1928" s="23">
        <f>IF(OR($D1928="",$R1928="Trùng"),"",SUMIFS(ORDERS!$J$2:$J$4995,ORDERS!$C$2:$C$4995,$D1928,ORDERS!$L$2:$L$4995,"Đã chuyển khoản"))</f>
        <v/>
      </c>
      <c r="Y1928" s="24" t="n"/>
    </row>
    <row r="1929" ht="14.25" customHeight="1" s="40">
      <c r="A1929" s="24" t="n"/>
      <c r="B1929" s="27" t="n"/>
      <c r="C1929" s="24" t="n"/>
      <c r="D1929" s="28" t="n"/>
      <c r="E1929" s="29" t="n"/>
      <c r="F1929" s="24" t="n"/>
      <c r="G1929" s="24" t="n"/>
      <c r="H1929" s="21">
        <f>IF(ISNUMBER($B1929),INT($B1929)-WEEKDAY($B1929,2)+1,"")</f>
        <v/>
      </c>
      <c r="I1929" s="24" t="n"/>
      <c r="J1929" s="22">
        <f t="array" ref="J1929">IF($D1929="","",IF($I1929="","(trống REF)",IFERROR(INDEX(MASTER_SOURCE!$B$2:$B$495,MATCH($I1929,MASTER_SOURCE!$A$2:$A$495,0)),"(REF không có trong MASTER_SOURCE)")))</f>
        <v/>
      </c>
      <c r="K1929" s="22">
        <f t="array" ref="K1929">IF($D1929="","",IFERROR(INDEX(MASTER_SOURCE!$C$2:$C$495,MATCH($I1929,MASTER_SOURCE!$A$2:$A$495,0)),""))</f>
        <v/>
      </c>
      <c r="L1929" s="22">
        <f t="array" ref="L1929">IF($D1929="","",IFERROR(INDEX(MASTER_SOURCE!$D$2:$D$495,MATCH($I1929,MASTER_SOURCE!$A$2:$A$495,0)),""))</f>
        <v/>
      </c>
      <c r="M1929" s="24" t="n"/>
      <c r="N1929" s="24" t="n"/>
      <c r="O1929" s="24" t="n"/>
      <c r="P1929" s="24" t="n"/>
      <c r="Q1929" s="22">
        <f>IF($D1929="","",IF(AND(OR(DANH_MUC!$L$5&lt;&gt;"Có",M1929="Có"),OR(DANH_MUC!$L$6&lt;&gt;"Có",N1929="Có"),OR(DANH_MUC!$L$7&lt;&gt;"Có",O1929="Có"),OR(DANH_MUC!$L$8&lt;&gt;"Có",P1929="Có")),"Có","Không"))</f>
        <v/>
      </c>
      <c r="R1929" s="22">
        <f>IF($D1929="","",IF(COUNTIF($D$2:$D1929,$D1929)&gt;1,"Trùng",""))</f>
        <v/>
      </c>
      <c r="S1929" s="22">
        <f>IF($D1929="","",IF(AND(LEN($D1929)=10,LEFT($D1929,1)="0",ISNUMBER(--$D1929)),"Có","Không"))</f>
        <v/>
      </c>
      <c r="T1929" s="22">
        <f>IF($D1929="","",IF(AND($C1929&lt;&gt;"",$Q1929="Có",$R1929="",$S1929="Có",AND($L1929&lt;&gt;"",OR($L1929&lt;&gt;"Chưa xác định",DANH_MUC!$L$9="Có"))),"Có","Không"))</f>
        <v/>
      </c>
      <c r="U1929" s="22">
        <f>IF(OR($D1929="",$T1929="Có"),"",IF($C1929="","Thiếu họ tên; ","")&amp;IF($S1929&lt;&gt;"Có","SĐT sai định dạng; ","")&amp;IF($R1929="Trùng","Trùng SĐT; ","")&amp;IF($Q1929&lt;&gt;"Có","Thiếu đồng ý bắt buộc; ","")&amp;IF($L1929="","Thiếu/sai Mã REF; ",IF(AND($L1929="Chưa xác định",DANH_MUC!$L$9&lt;&gt;"Có"),"Nguồn chưa xác định; ","")))</f>
        <v/>
      </c>
      <c r="V1929" s="22">
        <f>IF(OR($D1929="",$R1929="Trùng"),"",IF(COUNTIF(ORDERS!$C$2:$C$4995,$D1929)&gt;0,"Có","Không"))</f>
        <v/>
      </c>
      <c r="W1929" s="22">
        <f>IF(OR($D1929="",$R1929="Trùng"),"",COUNTIFS(ORDERS!$C$2:$C$4995,$D1929,ORDERS!$L$2:$L$4995,"Đã chuyển khoản"))</f>
        <v/>
      </c>
      <c r="X1929" s="23">
        <f>IF(OR($D1929="",$R1929="Trùng"),"",SUMIFS(ORDERS!$J$2:$J$4995,ORDERS!$C$2:$C$4995,$D1929,ORDERS!$L$2:$L$4995,"Đã chuyển khoản"))</f>
        <v/>
      </c>
      <c r="Y1929" s="24" t="n"/>
    </row>
    <row r="1930" ht="14.25" customHeight="1" s="40">
      <c r="A1930" s="24" t="n"/>
      <c r="B1930" s="27" t="n"/>
      <c r="C1930" s="24" t="n"/>
      <c r="D1930" s="28" t="n"/>
      <c r="E1930" s="29" t="n"/>
      <c r="F1930" s="24" t="n"/>
      <c r="G1930" s="24" t="n"/>
      <c r="H1930" s="21">
        <f>IF(ISNUMBER($B1930),INT($B1930)-WEEKDAY($B1930,2)+1,"")</f>
        <v/>
      </c>
      <c r="I1930" s="24" t="n"/>
      <c r="J1930" s="22">
        <f t="array" ref="J1930">IF($D1930="","",IF($I1930="","(trống REF)",IFERROR(INDEX(MASTER_SOURCE!$B$2:$B$495,MATCH($I1930,MASTER_SOURCE!$A$2:$A$495,0)),"(REF không có trong MASTER_SOURCE)")))</f>
        <v/>
      </c>
      <c r="K1930" s="22">
        <f t="array" ref="K1930">IF($D1930="","",IFERROR(INDEX(MASTER_SOURCE!$C$2:$C$495,MATCH($I1930,MASTER_SOURCE!$A$2:$A$495,0)),""))</f>
        <v/>
      </c>
      <c r="L1930" s="22">
        <f t="array" ref="L1930">IF($D1930="","",IFERROR(INDEX(MASTER_SOURCE!$D$2:$D$495,MATCH($I1930,MASTER_SOURCE!$A$2:$A$495,0)),""))</f>
        <v/>
      </c>
      <c r="M1930" s="24" t="n"/>
      <c r="N1930" s="24" t="n"/>
      <c r="O1930" s="24" t="n"/>
      <c r="P1930" s="24" t="n"/>
      <c r="Q1930" s="22">
        <f>IF($D1930="","",IF(AND(OR(DANH_MUC!$L$5&lt;&gt;"Có",M1930="Có"),OR(DANH_MUC!$L$6&lt;&gt;"Có",N1930="Có"),OR(DANH_MUC!$L$7&lt;&gt;"Có",O1930="Có"),OR(DANH_MUC!$L$8&lt;&gt;"Có",P1930="Có")),"Có","Không"))</f>
        <v/>
      </c>
      <c r="R1930" s="22">
        <f>IF($D1930="","",IF(COUNTIF($D$2:$D1930,$D1930)&gt;1,"Trùng",""))</f>
        <v/>
      </c>
      <c r="S1930" s="22">
        <f>IF($D1930="","",IF(AND(LEN($D1930)=10,LEFT($D1930,1)="0",ISNUMBER(--$D1930)),"Có","Không"))</f>
        <v/>
      </c>
      <c r="T1930" s="22">
        <f>IF($D1930="","",IF(AND($C1930&lt;&gt;"",$Q1930="Có",$R1930="",$S1930="Có",AND($L1930&lt;&gt;"",OR($L1930&lt;&gt;"Chưa xác định",DANH_MUC!$L$9="Có"))),"Có","Không"))</f>
        <v/>
      </c>
      <c r="U1930" s="22">
        <f>IF(OR($D1930="",$T1930="Có"),"",IF($C1930="","Thiếu họ tên; ","")&amp;IF($S1930&lt;&gt;"Có","SĐT sai định dạng; ","")&amp;IF($R1930="Trùng","Trùng SĐT; ","")&amp;IF($Q1930&lt;&gt;"Có","Thiếu đồng ý bắt buộc; ","")&amp;IF($L1930="","Thiếu/sai Mã REF; ",IF(AND($L1930="Chưa xác định",DANH_MUC!$L$9&lt;&gt;"Có"),"Nguồn chưa xác định; ","")))</f>
        <v/>
      </c>
      <c r="V1930" s="22">
        <f>IF(OR($D1930="",$R1930="Trùng"),"",IF(COUNTIF(ORDERS!$C$2:$C$4995,$D1930)&gt;0,"Có","Không"))</f>
        <v/>
      </c>
      <c r="W1930" s="22">
        <f>IF(OR($D1930="",$R1930="Trùng"),"",COUNTIFS(ORDERS!$C$2:$C$4995,$D1930,ORDERS!$L$2:$L$4995,"Đã chuyển khoản"))</f>
        <v/>
      </c>
      <c r="X1930" s="23">
        <f>IF(OR($D1930="",$R1930="Trùng"),"",SUMIFS(ORDERS!$J$2:$J$4995,ORDERS!$C$2:$C$4995,$D1930,ORDERS!$L$2:$L$4995,"Đã chuyển khoản"))</f>
        <v/>
      </c>
      <c r="Y1930" s="24" t="n"/>
    </row>
    <row r="1931" ht="14.25" customHeight="1" s="40">
      <c r="A1931" s="24" t="n"/>
      <c r="B1931" s="27" t="n"/>
      <c r="C1931" s="24" t="n"/>
      <c r="D1931" s="28" t="n"/>
      <c r="E1931" s="29" t="n"/>
      <c r="F1931" s="24" t="n"/>
      <c r="G1931" s="24" t="n"/>
      <c r="H1931" s="21">
        <f>IF(ISNUMBER($B1931),INT($B1931)-WEEKDAY($B1931,2)+1,"")</f>
        <v/>
      </c>
      <c r="I1931" s="24" t="n"/>
      <c r="J1931" s="22">
        <f t="array" ref="J1931">IF($D1931="","",IF($I1931="","(trống REF)",IFERROR(INDEX(MASTER_SOURCE!$B$2:$B$495,MATCH($I1931,MASTER_SOURCE!$A$2:$A$495,0)),"(REF không có trong MASTER_SOURCE)")))</f>
        <v/>
      </c>
      <c r="K1931" s="22">
        <f t="array" ref="K1931">IF($D1931="","",IFERROR(INDEX(MASTER_SOURCE!$C$2:$C$495,MATCH($I1931,MASTER_SOURCE!$A$2:$A$495,0)),""))</f>
        <v/>
      </c>
      <c r="L1931" s="22">
        <f t="array" ref="L1931">IF($D1931="","",IFERROR(INDEX(MASTER_SOURCE!$D$2:$D$495,MATCH($I1931,MASTER_SOURCE!$A$2:$A$495,0)),""))</f>
        <v/>
      </c>
      <c r="M1931" s="24" t="n"/>
      <c r="N1931" s="24" t="n"/>
      <c r="O1931" s="24" t="n"/>
      <c r="P1931" s="24" t="n"/>
      <c r="Q1931" s="22">
        <f>IF($D1931="","",IF(AND(OR(DANH_MUC!$L$5&lt;&gt;"Có",M1931="Có"),OR(DANH_MUC!$L$6&lt;&gt;"Có",N1931="Có"),OR(DANH_MUC!$L$7&lt;&gt;"Có",O1931="Có"),OR(DANH_MUC!$L$8&lt;&gt;"Có",P1931="Có")),"Có","Không"))</f>
        <v/>
      </c>
      <c r="R1931" s="22">
        <f>IF($D1931="","",IF(COUNTIF($D$2:$D1931,$D1931)&gt;1,"Trùng",""))</f>
        <v/>
      </c>
      <c r="S1931" s="22">
        <f>IF($D1931="","",IF(AND(LEN($D1931)=10,LEFT($D1931,1)="0",ISNUMBER(--$D1931)),"Có","Không"))</f>
        <v/>
      </c>
      <c r="T1931" s="22">
        <f>IF($D1931="","",IF(AND($C1931&lt;&gt;"",$Q1931="Có",$R1931="",$S1931="Có",AND($L1931&lt;&gt;"",OR($L1931&lt;&gt;"Chưa xác định",DANH_MUC!$L$9="Có"))),"Có","Không"))</f>
        <v/>
      </c>
      <c r="U1931" s="22">
        <f>IF(OR($D1931="",$T1931="Có"),"",IF($C1931="","Thiếu họ tên; ","")&amp;IF($S1931&lt;&gt;"Có","SĐT sai định dạng; ","")&amp;IF($R1931="Trùng","Trùng SĐT; ","")&amp;IF($Q1931&lt;&gt;"Có","Thiếu đồng ý bắt buộc; ","")&amp;IF($L1931="","Thiếu/sai Mã REF; ",IF(AND($L1931="Chưa xác định",DANH_MUC!$L$9&lt;&gt;"Có"),"Nguồn chưa xác định; ","")))</f>
        <v/>
      </c>
      <c r="V1931" s="22">
        <f>IF(OR($D1931="",$R1931="Trùng"),"",IF(COUNTIF(ORDERS!$C$2:$C$4995,$D1931)&gt;0,"Có","Không"))</f>
        <v/>
      </c>
      <c r="W1931" s="22">
        <f>IF(OR($D1931="",$R1931="Trùng"),"",COUNTIFS(ORDERS!$C$2:$C$4995,$D1931,ORDERS!$L$2:$L$4995,"Đã chuyển khoản"))</f>
        <v/>
      </c>
      <c r="X1931" s="23">
        <f>IF(OR($D1931="",$R1931="Trùng"),"",SUMIFS(ORDERS!$J$2:$J$4995,ORDERS!$C$2:$C$4995,$D1931,ORDERS!$L$2:$L$4995,"Đã chuyển khoản"))</f>
        <v/>
      </c>
      <c r="Y1931" s="24" t="n"/>
    </row>
    <row r="1932" ht="14.25" customHeight="1" s="40">
      <c r="A1932" s="24" t="n"/>
      <c r="B1932" s="27" t="n"/>
      <c r="C1932" s="24" t="n"/>
      <c r="D1932" s="28" t="n"/>
      <c r="E1932" s="29" t="n"/>
      <c r="F1932" s="24" t="n"/>
      <c r="G1932" s="24" t="n"/>
      <c r="H1932" s="21">
        <f>IF(ISNUMBER($B1932),INT($B1932)-WEEKDAY($B1932,2)+1,"")</f>
        <v/>
      </c>
      <c r="I1932" s="24" t="n"/>
      <c r="J1932" s="22">
        <f t="array" ref="J1932">IF($D1932="","",IF($I1932="","(trống REF)",IFERROR(INDEX(MASTER_SOURCE!$B$2:$B$495,MATCH($I1932,MASTER_SOURCE!$A$2:$A$495,0)),"(REF không có trong MASTER_SOURCE)")))</f>
        <v/>
      </c>
      <c r="K1932" s="22">
        <f t="array" ref="K1932">IF($D1932="","",IFERROR(INDEX(MASTER_SOURCE!$C$2:$C$495,MATCH($I1932,MASTER_SOURCE!$A$2:$A$495,0)),""))</f>
        <v/>
      </c>
      <c r="L1932" s="22">
        <f t="array" ref="L1932">IF($D1932="","",IFERROR(INDEX(MASTER_SOURCE!$D$2:$D$495,MATCH($I1932,MASTER_SOURCE!$A$2:$A$495,0)),""))</f>
        <v/>
      </c>
      <c r="M1932" s="24" t="n"/>
      <c r="N1932" s="24" t="n"/>
      <c r="O1932" s="24" t="n"/>
      <c r="P1932" s="24" t="n"/>
      <c r="Q1932" s="22">
        <f>IF($D1932="","",IF(AND(OR(DANH_MUC!$L$5&lt;&gt;"Có",M1932="Có"),OR(DANH_MUC!$L$6&lt;&gt;"Có",N1932="Có"),OR(DANH_MUC!$L$7&lt;&gt;"Có",O1932="Có"),OR(DANH_MUC!$L$8&lt;&gt;"Có",P1932="Có")),"Có","Không"))</f>
        <v/>
      </c>
      <c r="R1932" s="22">
        <f>IF($D1932="","",IF(COUNTIF($D$2:$D1932,$D1932)&gt;1,"Trùng",""))</f>
        <v/>
      </c>
      <c r="S1932" s="22">
        <f>IF($D1932="","",IF(AND(LEN($D1932)=10,LEFT($D1932,1)="0",ISNUMBER(--$D1932)),"Có","Không"))</f>
        <v/>
      </c>
      <c r="T1932" s="22">
        <f>IF($D1932="","",IF(AND($C1932&lt;&gt;"",$Q1932="Có",$R1932="",$S1932="Có",AND($L1932&lt;&gt;"",OR($L1932&lt;&gt;"Chưa xác định",DANH_MUC!$L$9="Có"))),"Có","Không"))</f>
        <v/>
      </c>
      <c r="U1932" s="22">
        <f>IF(OR($D1932="",$T1932="Có"),"",IF($C1932="","Thiếu họ tên; ","")&amp;IF($S1932&lt;&gt;"Có","SĐT sai định dạng; ","")&amp;IF($R1932="Trùng","Trùng SĐT; ","")&amp;IF($Q1932&lt;&gt;"Có","Thiếu đồng ý bắt buộc; ","")&amp;IF($L1932="","Thiếu/sai Mã REF; ",IF(AND($L1932="Chưa xác định",DANH_MUC!$L$9&lt;&gt;"Có"),"Nguồn chưa xác định; ","")))</f>
        <v/>
      </c>
      <c r="V1932" s="22">
        <f>IF(OR($D1932="",$R1932="Trùng"),"",IF(COUNTIF(ORDERS!$C$2:$C$4995,$D1932)&gt;0,"Có","Không"))</f>
        <v/>
      </c>
      <c r="W1932" s="22">
        <f>IF(OR($D1932="",$R1932="Trùng"),"",COUNTIFS(ORDERS!$C$2:$C$4995,$D1932,ORDERS!$L$2:$L$4995,"Đã chuyển khoản"))</f>
        <v/>
      </c>
      <c r="X1932" s="23">
        <f>IF(OR($D1932="",$R1932="Trùng"),"",SUMIFS(ORDERS!$J$2:$J$4995,ORDERS!$C$2:$C$4995,$D1932,ORDERS!$L$2:$L$4995,"Đã chuyển khoản"))</f>
        <v/>
      </c>
      <c r="Y1932" s="24" t="n"/>
    </row>
    <row r="1933" ht="14.25" customHeight="1" s="40">
      <c r="A1933" s="24" t="n"/>
      <c r="B1933" s="27" t="n"/>
      <c r="C1933" s="24" t="n"/>
      <c r="D1933" s="28" t="n"/>
      <c r="E1933" s="29" t="n"/>
      <c r="F1933" s="24" t="n"/>
      <c r="G1933" s="24" t="n"/>
      <c r="H1933" s="21">
        <f>IF(ISNUMBER($B1933),INT($B1933)-WEEKDAY($B1933,2)+1,"")</f>
        <v/>
      </c>
      <c r="I1933" s="24" t="n"/>
      <c r="J1933" s="22">
        <f t="array" ref="J1933">IF($D1933="","",IF($I1933="","(trống REF)",IFERROR(INDEX(MASTER_SOURCE!$B$2:$B$495,MATCH($I1933,MASTER_SOURCE!$A$2:$A$495,0)),"(REF không có trong MASTER_SOURCE)")))</f>
        <v/>
      </c>
      <c r="K1933" s="22">
        <f t="array" ref="K1933">IF($D1933="","",IFERROR(INDEX(MASTER_SOURCE!$C$2:$C$495,MATCH($I1933,MASTER_SOURCE!$A$2:$A$495,0)),""))</f>
        <v/>
      </c>
      <c r="L1933" s="22">
        <f t="array" ref="L1933">IF($D1933="","",IFERROR(INDEX(MASTER_SOURCE!$D$2:$D$495,MATCH($I1933,MASTER_SOURCE!$A$2:$A$495,0)),""))</f>
        <v/>
      </c>
      <c r="M1933" s="24" t="n"/>
      <c r="N1933" s="24" t="n"/>
      <c r="O1933" s="24" t="n"/>
      <c r="P1933" s="24" t="n"/>
      <c r="Q1933" s="22">
        <f>IF($D1933="","",IF(AND(OR(DANH_MUC!$L$5&lt;&gt;"Có",M1933="Có"),OR(DANH_MUC!$L$6&lt;&gt;"Có",N1933="Có"),OR(DANH_MUC!$L$7&lt;&gt;"Có",O1933="Có"),OR(DANH_MUC!$L$8&lt;&gt;"Có",P1933="Có")),"Có","Không"))</f>
        <v/>
      </c>
      <c r="R1933" s="22">
        <f>IF($D1933="","",IF(COUNTIF($D$2:$D1933,$D1933)&gt;1,"Trùng",""))</f>
        <v/>
      </c>
      <c r="S1933" s="22">
        <f>IF($D1933="","",IF(AND(LEN($D1933)=10,LEFT($D1933,1)="0",ISNUMBER(--$D1933)),"Có","Không"))</f>
        <v/>
      </c>
      <c r="T1933" s="22">
        <f>IF($D1933="","",IF(AND($C1933&lt;&gt;"",$Q1933="Có",$R1933="",$S1933="Có",AND($L1933&lt;&gt;"",OR($L1933&lt;&gt;"Chưa xác định",DANH_MUC!$L$9="Có"))),"Có","Không"))</f>
        <v/>
      </c>
      <c r="U1933" s="22">
        <f>IF(OR($D1933="",$T1933="Có"),"",IF($C1933="","Thiếu họ tên; ","")&amp;IF($S1933&lt;&gt;"Có","SĐT sai định dạng; ","")&amp;IF($R1933="Trùng","Trùng SĐT; ","")&amp;IF($Q1933&lt;&gt;"Có","Thiếu đồng ý bắt buộc; ","")&amp;IF($L1933="","Thiếu/sai Mã REF; ",IF(AND($L1933="Chưa xác định",DANH_MUC!$L$9&lt;&gt;"Có"),"Nguồn chưa xác định; ","")))</f>
        <v/>
      </c>
      <c r="V1933" s="22">
        <f>IF(OR($D1933="",$R1933="Trùng"),"",IF(COUNTIF(ORDERS!$C$2:$C$4995,$D1933)&gt;0,"Có","Không"))</f>
        <v/>
      </c>
      <c r="W1933" s="22">
        <f>IF(OR($D1933="",$R1933="Trùng"),"",COUNTIFS(ORDERS!$C$2:$C$4995,$D1933,ORDERS!$L$2:$L$4995,"Đã chuyển khoản"))</f>
        <v/>
      </c>
      <c r="X1933" s="23">
        <f>IF(OR($D1933="",$R1933="Trùng"),"",SUMIFS(ORDERS!$J$2:$J$4995,ORDERS!$C$2:$C$4995,$D1933,ORDERS!$L$2:$L$4995,"Đã chuyển khoản"))</f>
        <v/>
      </c>
      <c r="Y1933" s="24" t="n"/>
    </row>
    <row r="1934" ht="14.25" customHeight="1" s="40">
      <c r="A1934" s="24" t="n"/>
      <c r="B1934" s="27" t="n"/>
      <c r="C1934" s="24" t="n"/>
      <c r="D1934" s="28" t="n"/>
      <c r="E1934" s="29" t="n"/>
      <c r="F1934" s="24" t="n"/>
      <c r="G1934" s="24" t="n"/>
      <c r="H1934" s="21">
        <f>IF(ISNUMBER($B1934),INT($B1934)-WEEKDAY($B1934,2)+1,"")</f>
        <v/>
      </c>
      <c r="I1934" s="24" t="n"/>
      <c r="J1934" s="22">
        <f t="array" ref="J1934">IF($D1934="","",IF($I1934="","(trống REF)",IFERROR(INDEX(MASTER_SOURCE!$B$2:$B$495,MATCH($I1934,MASTER_SOURCE!$A$2:$A$495,0)),"(REF không có trong MASTER_SOURCE)")))</f>
        <v/>
      </c>
      <c r="K1934" s="22">
        <f t="array" ref="K1934">IF($D1934="","",IFERROR(INDEX(MASTER_SOURCE!$C$2:$C$495,MATCH($I1934,MASTER_SOURCE!$A$2:$A$495,0)),""))</f>
        <v/>
      </c>
      <c r="L1934" s="22">
        <f t="array" ref="L1934">IF($D1934="","",IFERROR(INDEX(MASTER_SOURCE!$D$2:$D$495,MATCH($I1934,MASTER_SOURCE!$A$2:$A$495,0)),""))</f>
        <v/>
      </c>
      <c r="M1934" s="24" t="n"/>
      <c r="N1934" s="24" t="n"/>
      <c r="O1934" s="24" t="n"/>
      <c r="P1934" s="24" t="n"/>
      <c r="Q1934" s="22">
        <f>IF($D1934="","",IF(AND(OR(DANH_MUC!$L$5&lt;&gt;"Có",M1934="Có"),OR(DANH_MUC!$L$6&lt;&gt;"Có",N1934="Có"),OR(DANH_MUC!$L$7&lt;&gt;"Có",O1934="Có"),OR(DANH_MUC!$L$8&lt;&gt;"Có",P1934="Có")),"Có","Không"))</f>
        <v/>
      </c>
      <c r="R1934" s="22">
        <f>IF($D1934="","",IF(COUNTIF($D$2:$D1934,$D1934)&gt;1,"Trùng",""))</f>
        <v/>
      </c>
      <c r="S1934" s="22">
        <f>IF($D1934="","",IF(AND(LEN($D1934)=10,LEFT($D1934,1)="0",ISNUMBER(--$D1934)),"Có","Không"))</f>
        <v/>
      </c>
      <c r="T1934" s="22">
        <f>IF($D1934="","",IF(AND($C1934&lt;&gt;"",$Q1934="Có",$R1934="",$S1934="Có",AND($L1934&lt;&gt;"",OR($L1934&lt;&gt;"Chưa xác định",DANH_MUC!$L$9="Có"))),"Có","Không"))</f>
        <v/>
      </c>
      <c r="U1934" s="22">
        <f>IF(OR($D1934="",$T1934="Có"),"",IF($C1934="","Thiếu họ tên; ","")&amp;IF($S1934&lt;&gt;"Có","SĐT sai định dạng; ","")&amp;IF($R1934="Trùng","Trùng SĐT; ","")&amp;IF($Q1934&lt;&gt;"Có","Thiếu đồng ý bắt buộc; ","")&amp;IF($L1934="","Thiếu/sai Mã REF; ",IF(AND($L1934="Chưa xác định",DANH_MUC!$L$9&lt;&gt;"Có"),"Nguồn chưa xác định; ","")))</f>
        <v/>
      </c>
      <c r="V1934" s="22">
        <f>IF(OR($D1934="",$R1934="Trùng"),"",IF(COUNTIF(ORDERS!$C$2:$C$4995,$D1934)&gt;0,"Có","Không"))</f>
        <v/>
      </c>
      <c r="W1934" s="22">
        <f>IF(OR($D1934="",$R1934="Trùng"),"",COUNTIFS(ORDERS!$C$2:$C$4995,$D1934,ORDERS!$L$2:$L$4995,"Đã chuyển khoản"))</f>
        <v/>
      </c>
      <c r="X1934" s="23">
        <f>IF(OR($D1934="",$R1934="Trùng"),"",SUMIFS(ORDERS!$J$2:$J$4995,ORDERS!$C$2:$C$4995,$D1934,ORDERS!$L$2:$L$4995,"Đã chuyển khoản"))</f>
        <v/>
      </c>
      <c r="Y1934" s="24" t="n"/>
    </row>
    <row r="1935" ht="14.25" customHeight="1" s="40">
      <c r="A1935" s="24" t="n"/>
      <c r="B1935" s="27" t="n"/>
      <c r="C1935" s="24" t="n"/>
      <c r="D1935" s="28" t="n"/>
      <c r="E1935" s="29" t="n"/>
      <c r="F1935" s="24" t="n"/>
      <c r="G1935" s="24" t="n"/>
      <c r="H1935" s="21">
        <f>IF(ISNUMBER($B1935),INT($B1935)-WEEKDAY($B1935,2)+1,"")</f>
        <v/>
      </c>
      <c r="I1935" s="24" t="n"/>
      <c r="J1935" s="22">
        <f t="array" ref="J1935">IF($D1935="","",IF($I1935="","(trống REF)",IFERROR(INDEX(MASTER_SOURCE!$B$2:$B$495,MATCH($I1935,MASTER_SOURCE!$A$2:$A$495,0)),"(REF không có trong MASTER_SOURCE)")))</f>
        <v/>
      </c>
      <c r="K1935" s="22">
        <f t="array" ref="K1935">IF($D1935="","",IFERROR(INDEX(MASTER_SOURCE!$C$2:$C$495,MATCH($I1935,MASTER_SOURCE!$A$2:$A$495,0)),""))</f>
        <v/>
      </c>
      <c r="L1935" s="22">
        <f t="array" ref="L1935">IF($D1935="","",IFERROR(INDEX(MASTER_SOURCE!$D$2:$D$495,MATCH($I1935,MASTER_SOURCE!$A$2:$A$495,0)),""))</f>
        <v/>
      </c>
      <c r="M1935" s="24" t="n"/>
      <c r="N1935" s="24" t="n"/>
      <c r="O1935" s="24" t="n"/>
      <c r="P1935" s="24" t="n"/>
      <c r="Q1935" s="22">
        <f>IF($D1935="","",IF(AND(OR(DANH_MUC!$L$5&lt;&gt;"Có",M1935="Có"),OR(DANH_MUC!$L$6&lt;&gt;"Có",N1935="Có"),OR(DANH_MUC!$L$7&lt;&gt;"Có",O1935="Có"),OR(DANH_MUC!$L$8&lt;&gt;"Có",P1935="Có")),"Có","Không"))</f>
        <v/>
      </c>
      <c r="R1935" s="22">
        <f>IF($D1935="","",IF(COUNTIF($D$2:$D1935,$D1935)&gt;1,"Trùng",""))</f>
        <v/>
      </c>
      <c r="S1935" s="22">
        <f>IF($D1935="","",IF(AND(LEN($D1935)=10,LEFT($D1935,1)="0",ISNUMBER(--$D1935)),"Có","Không"))</f>
        <v/>
      </c>
      <c r="T1935" s="22">
        <f>IF($D1935="","",IF(AND($C1935&lt;&gt;"",$Q1935="Có",$R1935="",$S1935="Có",AND($L1935&lt;&gt;"",OR($L1935&lt;&gt;"Chưa xác định",DANH_MUC!$L$9="Có"))),"Có","Không"))</f>
        <v/>
      </c>
      <c r="U1935" s="22">
        <f>IF(OR($D1935="",$T1935="Có"),"",IF($C1935="","Thiếu họ tên; ","")&amp;IF($S1935&lt;&gt;"Có","SĐT sai định dạng; ","")&amp;IF($R1935="Trùng","Trùng SĐT; ","")&amp;IF($Q1935&lt;&gt;"Có","Thiếu đồng ý bắt buộc; ","")&amp;IF($L1935="","Thiếu/sai Mã REF; ",IF(AND($L1935="Chưa xác định",DANH_MUC!$L$9&lt;&gt;"Có"),"Nguồn chưa xác định; ","")))</f>
        <v/>
      </c>
      <c r="V1935" s="22">
        <f>IF(OR($D1935="",$R1935="Trùng"),"",IF(COUNTIF(ORDERS!$C$2:$C$4995,$D1935)&gt;0,"Có","Không"))</f>
        <v/>
      </c>
      <c r="W1935" s="22">
        <f>IF(OR($D1935="",$R1935="Trùng"),"",COUNTIFS(ORDERS!$C$2:$C$4995,$D1935,ORDERS!$L$2:$L$4995,"Đã chuyển khoản"))</f>
        <v/>
      </c>
      <c r="X1935" s="23">
        <f>IF(OR($D1935="",$R1935="Trùng"),"",SUMIFS(ORDERS!$J$2:$J$4995,ORDERS!$C$2:$C$4995,$D1935,ORDERS!$L$2:$L$4995,"Đã chuyển khoản"))</f>
        <v/>
      </c>
      <c r="Y1935" s="24" t="n"/>
    </row>
    <row r="1936" ht="14.25" customHeight="1" s="40">
      <c r="A1936" s="24" t="n"/>
      <c r="B1936" s="27" t="n"/>
      <c r="C1936" s="24" t="n"/>
      <c r="D1936" s="28" t="n"/>
      <c r="E1936" s="29" t="n"/>
      <c r="F1936" s="24" t="n"/>
      <c r="G1936" s="24" t="n"/>
      <c r="H1936" s="21">
        <f>IF(ISNUMBER($B1936),INT($B1936)-WEEKDAY($B1936,2)+1,"")</f>
        <v/>
      </c>
      <c r="I1936" s="24" t="n"/>
      <c r="J1936" s="22">
        <f t="array" ref="J1936">IF($D1936="","",IF($I1936="","(trống REF)",IFERROR(INDEX(MASTER_SOURCE!$B$2:$B$495,MATCH($I1936,MASTER_SOURCE!$A$2:$A$495,0)),"(REF không có trong MASTER_SOURCE)")))</f>
        <v/>
      </c>
      <c r="K1936" s="22">
        <f t="array" ref="K1936">IF($D1936="","",IFERROR(INDEX(MASTER_SOURCE!$C$2:$C$495,MATCH($I1936,MASTER_SOURCE!$A$2:$A$495,0)),""))</f>
        <v/>
      </c>
      <c r="L1936" s="22">
        <f t="array" ref="L1936">IF($D1936="","",IFERROR(INDEX(MASTER_SOURCE!$D$2:$D$495,MATCH($I1936,MASTER_SOURCE!$A$2:$A$495,0)),""))</f>
        <v/>
      </c>
      <c r="M1936" s="24" t="n"/>
      <c r="N1936" s="24" t="n"/>
      <c r="O1936" s="24" t="n"/>
      <c r="P1936" s="24" t="n"/>
      <c r="Q1936" s="22">
        <f>IF($D1936="","",IF(AND(OR(DANH_MUC!$L$5&lt;&gt;"Có",M1936="Có"),OR(DANH_MUC!$L$6&lt;&gt;"Có",N1936="Có"),OR(DANH_MUC!$L$7&lt;&gt;"Có",O1936="Có"),OR(DANH_MUC!$L$8&lt;&gt;"Có",P1936="Có")),"Có","Không"))</f>
        <v/>
      </c>
      <c r="R1936" s="22">
        <f>IF($D1936="","",IF(COUNTIF($D$2:$D1936,$D1936)&gt;1,"Trùng",""))</f>
        <v/>
      </c>
      <c r="S1936" s="22">
        <f>IF($D1936="","",IF(AND(LEN($D1936)=10,LEFT($D1936,1)="0",ISNUMBER(--$D1936)),"Có","Không"))</f>
        <v/>
      </c>
      <c r="T1936" s="22">
        <f>IF($D1936="","",IF(AND($C1936&lt;&gt;"",$Q1936="Có",$R1936="",$S1936="Có",AND($L1936&lt;&gt;"",OR($L1936&lt;&gt;"Chưa xác định",DANH_MUC!$L$9="Có"))),"Có","Không"))</f>
        <v/>
      </c>
      <c r="U1936" s="22">
        <f>IF(OR($D1936="",$T1936="Có"),"",IF($C1936="","Thiếu họ tên; ","")&amp;IF($S1936&lt;&gt;"Có","SĐT sai định dạng; ","")&amp;IF($R1936="Trùng","Trùng SĐT; ","")&amp;IF($Q1936&lt;&gt;"Có","Thiếu đồng ý bắt buộc; ","")&amp;IF($L1936="","Thiếu/sai Mã REF; ",IF(AND($L1936="Chưa xác định",DANH_MUC!$L$9&lt;&gt;"Có"),"Nguồn chưa xác định; ","")))</f>
        <v/>
      </c>
      <c r="V1936" s="22">
        <f>IF(OR($D1936="",$R1936="Trùng"),"",IF(COUNTIF(ORDERS!$C$2:$C$4995,$D1936)&gt;0,"Có","Không"))</f>
        <v/>
      </c>
      <c r="W1936" s="22">
        <f>IF(OR($D1936="",$R1936="Trùng"),"",COUNTIFS(ORDERS!$C$2:$C$4995,$D1936,ORDERS!$L$2:$L$4995,"Đã chuyển khoản"))</f>
        <v/>
      </c>
      <c r="X1936" s="23">
        <f>IF(OR($D1936="",$R1936="Trùng"),"",SUMIFS(ORDERS!$J$2:$J$4995,ORDERS!$C$2:$C$4995,$D1936,ORDERS!$L$2:$L$4995,"Đã chuyển khoản"))</f>
        <v/>
      </c>
      <c r="Y1936" s="24" t="n"/>
    </row>
    <row r="1937" ht="14.25" customHeight="1" s="40">
      <c r="A1937" s="24" t="n"/>
      <c r="B1937" s="27" t="n"/>
      <c r="C1937" s="24" t="n"/>
      <c r="D1937" s="28" t="n"/>
      <c r="E1937" s="29" t="n"/>
      <c r="F1937" s="24" t="n"/>
      <c r="G1937" s="24" t="n"/>
      <c r="H1937" s="21">
        <f>IF(ISNUMBER($B1937),INT($B1937)-WEEKDAY($B1937,2)+1,"")</f>
        <v/>
      </c>
      <c r="I1937" s="24" t="n"/>
      <c r="J1937" s="22">
        <f t="array" ref="J1937">IF($D1937="","",IF($I1937="","(trống REF)",IFERROR(INDEX(MASTER_SOURCE!$B$2:$B$495,MATCH($I1937,MASTER_SOURCE!$A$2:$A$495,0)),"(REF không có trong MASTER_SOURCE)")))</f>
        <v/>
      </c>
      <c r="K1937" s="22">
        <f t="array" ref="K1937">IF($D1937="","",IFERROR(INDEX(MASTER_SOURCE!$C$2:$C$495,MATCH($I1937,MASTER_SOURCE!$A$2:$A$495,0)),""))</f>
        <v/>
      </c>
      <c r="L1937" s="22">
        <f t="array" ref="L1937">IF($D1937="","",IFERROR(INDEX(MASTER_SOURCE!$D$2:$D$495,MATCH($I1937,MASTER_SOURCE!$A$2:$A$495,0)),""))</f>
        <v/>
      </c>
      <c r="M1937" s="24" t="n"/>
      <c r="N1937" s="24" t="n"/>
      <c r="O1937" s="24" t="n"/>
      <c r="P1937" s="24" t="n"/>
      <c r="Q1937" s="22">
        <f>IF($D1937="","",IF(AND(OR(DANH_MUC!$L$5&lt;&gt;"Có",M1937="Có"),OR(DANH_MUC!$L$6&lt;&gt;"Có",N1937="Có"),OR(DANH_MUC!$L$7&lt;&gt;"Có",O1937="Có"),OR(DANH_MUC!$L$8&lt;&gt;"Có",P1937="Có")),"Có","Không"))</f>
        <v/>
      </c>
      <c r="R1937" s="22">
        <f>IF($D1937="","",IF(COUNTIF($D$2:$D1937,$D1937)&gt;1,"Trùng",""))</f>
        <v/>
      </c>
      <c r="S1937" s="22">
        <f>IF($D1937="","",IF(AND(LEN($D1937)=10,LEFT($D1937,1)="0",ISNUMBER(--$D1937)),"Có","Không"))</f>
        <v/>
      </c>
      <c r="T1937" s="22">
        <f>IF($D1937="","",IF(AND($C1937&lt;&gt;"",$Q1937="Có",$R1937="",$S1937="Có",AND($L1937&lt;&gt;"",OR($L1937&lt;&gt;"Chưa xác định",DANH_MUC!$L$9="Có"))),"Có","Không"))</f>
        <v/>
      </c>
      <c r="U1937" s="22">
        <f>IF(OR($D1937="",$T1937="Có"),"",IF($C1937="","Thiếu họ tên; ","")&amp;IF($S1937&lt;&gt;"Có","SĐT sai định dạng; ","")&amp;IF($R1937="Trùng","Trùng SĐT; ","")&amp;IF($Q1937&lt;&gt;"Có","Thiếu đồng ý bắt buộc; ","")&amp;IF($L1937="","Thiếu/sai Mã REF; ",IF(AND($L1937="Chưa xác định",DANH_MUC!$L$9&lt;&gt;"Có"),"Nguồn chưa xác định; ","")))</f>
        <v/>
      </c>
      <c r="V1937" s="22">
        <f>IF(OR($D1937="",$R1937="Trùng"),"",IF(COUNTIF(ORDERS!$C$2:$C$4995,$D1937)&gt;0,"Có","Không"))</f>
        <v/>
      </c>
      <c r="W1937" s="22">
        <f>IF(OR($D1937="",$R1937="Trùng"),"",COUNTIFS(ORDERS!$C$2:$C$4995,$D1937,ORDERS!$L$2:$L$4995,"Đã chuyển khoản"))</f>
        <v/>
      </c>
      <c r="X1937" s="23">
        <f>IF(OR($D1937="",$R1937="Trùng"),"",SUMIFS(ORDERS!$J$2:$J$4995,ORDERS!$C$2:$C$4995,$D1937,ORDERS!$L$2:$L$4995,"Đã chuyển khoản"))</f>
        <v/>
      </c>
      <c r="Y1937" s="24" t="n"/>
    </row>
    <row r="1938" ht="14.25" customHeight="1" s="40">
      <c r="A1938" s="24" t="n"/>
      <c r="B1938" s="27" t="n"/>
      <c r="C1938" s="24" t="n"/>
      <c r="D1938" s="28" t="n"/>
      <c r="E1938" s="29" t="n"/>
      <c r="F1938" s="24" t="n"/>
      <c r="G1938" s="24" t="n"/>
      <c r="H1938" s="21">
        <f>IF(ISNUMBER($B1938),INT($B1938)-WEEKDAY($B1938,2)+1,"")</f>
        <v/>
      </c>
      <c r="I1938" s="24" t="n"/>
      <c r="J1938" s="22">
        <f t="array" ref="J1938">IF($D1938="","",IF($I1938="","(trống REF)",IFERROR(INDEX(MASTER_SOURCE!$B$2:$B$495,MATCH($I1938,MASTER_SOURCE!$A$2:$A$495,0)),"(REF không có trong MASTER_SOURCE)")))</f>
        <v/>
      </c>
      <c r="K1938" s="22">
        <f t="array" ref="K1938">IF($D1938="","",IFERROR(INDEX(MASTER_SOURCE!$C$2:$C$495,MATCH($I1938,MASTER_SOURCE!$A$2:$A$495,0)),""))</f>
        <v/>
      </c>
      <c r="L1938" s="22">
        <f t="array" ref="L1938">IF($D1938="","",IFERROR(INDEX(MASTER_SOURCE!$D$2:$D$495,MATCH($I1938,MASTER_SOURCE!$A$2:$A$495,0)),""))</f>
        <v/>
      </c>
      <c r="M1938" s="24" t="n"/>
      <c r="N1938" s="24" t="n"/>
      <c r="O1938" s="24" t="n"/>
      <c r="P1938" s="24" t="n"/>
      <c r="Q1938" s="22">
        <f>IF($D1938="","",IF(AND(OR(DANH_MUC!$L$5&lt;&gt;"Có",M1938="Có"),OR(DANH_MUC!$L$6&lt;&gt;"Có",N1938="Có"),OR(DANH_MUC!$L$7&lt;&gt;"Có",O1938="Có"),OR(DANH_MUC!$L$8&lt;&gt;"Có",P1938="Có")),"Có","Không"))</f>
        <v/>
      </c>
      <c r="R1938" s="22">
        <f>IF($D1938="","",IF(COUNTIF($D$2:$D1938,$D1938)&gt;1,"Trùng",""))</f>
        <v/>
      </c>
      <c r="S1938" s="22">
        <f>IF($D1938="","",IF(AND(LEN($D1938)=10,LEFT($D1938,1)="0",ISNUMBER(--$D1938)),"Có","Không"))</f>
        <v/>
      </c>
      <c r="T1938" s="22">
        <f>IF($D1938="","",IF(AND($C1938&lt;&gt;"",$Q1938="Có",$R1938="",$S1938="Có",AND($L1938&lt;&gt;"",OR($L1938&lt;&gt;"Chưa xác định",DANH_MUC!$L$9="Có"))),"Có","Không"))</f>
        <v/>
      </c>
      <c r="U1938" s="22">
        <f>IF(OR($D1938="",$T1938="Có"),"",IF($C1938="","Thiếu họ tên; ","")&amp;IF($S1938&lt;&gt;"Có","SĐT sai định dạng; ","")&amp;IF($R1938="Trùng","Trùng SĐT; ","")&amp;IF($Q1938&lt;&gt;"Có","Thiếu đồng ý bắt buộc; ","")&amp;IF($L1938="","Thiếu/sai Mã REF; ",IF(AND($L1938="Chưa xác định",DANH_MUC!$L$9&lt;&gt;"Có"),"Nguồn chưa xác định; ","")))</f>
        <v/>
      </c>
      <c r="V1938" s="22">
        <f>IF(OR($D1938="",$R1938="Trùng"),"",IF(COUNTIF(ORDERS!$C$2:$C$4995,$D1938)&gt;0,"Có","Không"))</f>
        <v/>
      </c>
      <c r="W1938" s="22">
        <f>IF(OR($D1938="",$R1938="Trùng"),"",COUNTIFS(ORDERS!$C$2:$C$4995,$D1938,ORDERS!$L$2:$L$4995,"Đã chuyển khoản"))</f>
        <v/>
      </c>
      <c r="X1938" s="23">
        <f>IF(OR($D1938="",$R1938="Trùng"),"",SUMIFS(ORDERS!$J$2:$J$4995,ORDERS!$C$2:$C$4995,$D1938,ORDERS!$L$2:$L$4995,"Đã chuyển khoản"))</f>
        <v/>
      </c>
      <c r="Y1938" s="24" t="n"/>
    </row>
    <row r="1939" ht="14.25" customHeight="1" s="40">
      <c r="A1939" s="24" t="n"/>
      <c r="B1939" s="27" t="n"/>
      <c r="C1939" s="24" t="n"/>
      <c r="D1939" s="28" t="n"/>
      <c r="E1939" s="29" t="n"/>
      <c r="F1939" s="24" t="n"/>
      <c r="G1939" s="24" t="n"/>
      <c r="H1939" s="21">
        <f>IF(ISNUMBER($B1939),INT($B1939)-WEEKDAY($B1939,2)+1,"")</f>
        <v/>
      </c>
      <c r="I1939" s="24" t="n"/>
      <c r="J1939" s="22">
        <f t="array" ref="J1939">IF($D1939="","",IF($I1939="","(trống REF)",IFERROR(INDEX(MASTER_SOURCE!$B$2:$B$495,MATCH($I1939,MASTER_SOURCE!$A$2:$A$495,0)),"(REF không có trong MASTER_SOURCE)")))</f>
        <v/>
      </c>
      <c r="K1939" s="22">
        <f t="array" ref="K1939">IF($D1939="","",IFERROR(INDEX(MASTER_SOURCE!$C$2:$C$495,MATCH($I1939,MASTER_SOURCE!$A$2:$A$495,0)),""))</f>
        <v/>
      </c>
      <c r="L1939" s="22">
        <f t="array" ref="L1939">IF($D1939="","",IFERROR(INDEX(MASTER_SOURCE!$D$2:$D$495,MATCH($I1939,MASTER_SOURCE!$A$2:$A$495,0)),""))</f>
        <v/>
      </c>
      <c r="M1939" s="24" t="n"/>
      <c r="N1939" s="24" t="n"/>
      <c r="O1939" s="24" t="n"/>
      <c r="P1939" s="24" t="n"/>
      <c r="Q1939" s="22">
        <f>IF($D1939="","",IF(AND(OR(DANH_MUC!$L$5&lt;&gt;"Có",M1939="Có"),OR(DANH_MUC!$L$6&lt;&gt;"Có",N1939="Có"),OR(DANH_MUC!$L$7&lt;&gt;"Có",O1939="Có"),OR(DANH_MUC!$L$8&lt;&gt;"Có",P1939="Có")),"Có","Không"))</f>
        <v/>
      </c>
      <c r="R1939" s="22">
        <f>IF($D1939="","",IF(COUNTIF($D$2:$D1939,$D1939)&gt;1,"Trùng",""))</f>
        <v/>
      </c>
      <c r="S1939" s="22">
        <f>IF($D1939="","",IF(AND(LEN($D1939)=10,LEFT($D1939,1)="0",ISNUMBER(--$D1939)),"Có","Không"))</f>
        <v/>
      </c>
      <c r="T1939" s="22">
        <f>IF($D1939="","",IF(AND($C1939&lt;&gt;"",$Q1939="Có",$R1939="",$S1939="Có",AND($L1939&lt;&gt;"",OR($L1939&lt;&gt;"Chưa xác định",DANH_MUC!$L$9="Có"))),"Có","Không"))</f>
        <v/>
      </c>
      <c r="U1939" s="22">
        <f>IF(OR($D1939="",$T1939="Có"),"",IF($C1939="","Thiếu họ tên; ","")&amp;IF($S1939&lt;&gt;"Có","SĐT sai định dạng; ","")&amp;IF($R1939="Trùng","Trùng SĐT; ","")&amp;IF($Q1939&lt;&gt;"Có","Thiếu đồng ý bắt buộc; ","")&amp;IF($L1939="","Thiếu/sai Mã REF; ",IF(AND($L1939="Chưa xác định",DANH_MUC!$L$9&lt;&gt;"Có"),"Nguồn chưa xác định; ","")))</f>
        <v/>
      </c>
      <c r="V1939" s="22">
        <f>IF(OR($D1939="",$R1939="Trùng"),"",IF(COUNTIF(ORDERS!$C$2:$C$4995,$D1939)&gt;0,"Có","Không"))</f>
        <v/>
      </c>
      <c r="W1939" s="22">
        <f>IF(OR($D1939="",$R1939="Trùng"),"",COUNTIFS(ORDERS!$C$2:$C$4995,$D1939,ORDERS!$L$2:$L$4995,"Đã chuyển khoản"))</f>
        <v/>
      </c>
      <c r="X1939" s="23">
        <f>IF(OR($D1939="",$R1939="Trùng"),"",SUMIFS(ORDERS!$J$2:$J$4995,ORDERS!$C$2:$C$4995,$D1939,ORDERS!$L$2:$L$4995,"Đã chuyển khoản"))</f>
        <v/>
      </c>
      <c r="Y1939" s="24" t="n"/>
    </row>
    <row r="1940" ht="14.25" customHeight="1" s="40">
      <c r="A1940" s="24" t="n"/>
      <c r="B1940" s="27" t="n"/>
      <c r="C1940" s="24" t="n"/>
      <c r="D1940" s="28" t="n"/>
      <c r="E1940" s="29" t="n"/>
      <c r="F1940" s="24" t="n"/>
      <c r="G1940" s="24" t="n"/>
      <c r="H1940" s="21">
        <f>IF(ISNUMBER($B1940),INT($B1940)-WEEKDAY($B1940,2)+1,"")</f>
        <v/>
      </c>
      <c r="I1940" s="24" t="n"/>
      <c r="J1940" s="22">
        <f t="array" ref="J1940">IF($D1940="","",IF($I1940="","(trống REF)",IFERROR(INDEX(MASTER_SOURCE!$B$2:$B$495,MATCH($I1940,MASTER_SOURCE!$A$2:$A$495,0)),"(REF không có trong MASTER_SOURCE)")))</f>
        <v/>
      </c>
      <c r="K1940" s="22">
        <f t="array" ref="K1940">IF($D1940="","",IFERROR(INDEX(MASTER_SOURCE!$C$2:$C$495,MATCH($I1940,MASTER_SOURCE!$A$2:$A$495,0)),""))</f>
        <v/>
      </c>
      <c r="L1940" s="22">
        <f t="array" ref="L1940">IF($D1940="","",IFERROR(INDEX(MASTER_SOURCE!$D$2:$D$495,MATCH($I1940,MASTER_SOURCE!$A$2:$A$495,0)),""))</f>
        <v/>
      </c>
      <c r="M1940" s="24" t="n"/>
      <c r="N1940" s="24" t="n"/>
      <c r="O1940" s="24" t="n"/>
      <c r="P1940" s="24" t="n"/>
      <c r="Q1940" s="22">
        <f>IF($D1940="","",IF(AND(OR(DANH_MUC!$L$5&lt;&gt;"Có",M1940="Có"),OR(DANH_MUC!$L$6&lt;&gt;"Có",N1940="Có"),OR(DANH_MUC!$L$7&lt;&gt;"Có",O1940="Có"),OR(DANH_MUC!$L$8&lt;&gt;"Có",P1940="Có")),"Có","Không"))</f>
        <v/>
      </c>
      <c r="R1940" s="22">
        <f>IF($D1940="","",IF(COUNTIF($D$2:$D1940,$D1940)&gt;1,"Trùng",""))</f>
        <v/>
      </c>
      <c r="S1940" s="22">
        <f>IF($D1940="","",IF(AND(LEN($D1940)=10,LEFT($D1940,1)="0",ISNUMBER(--$D1940)),"Có","Không"))</f>
        <v/>
      </c>
      <c r="T1940" s="22">
        <f>IF($D1940="","",IF(AND($C1940&lt;&gt;"",$Q1940="Có",$R1940="",$S1940="Có",AND($L1940&lt;&gt;"",OR($L1940&lt;&gt;"Chưa xác định",DANH_MUC!$L$9="Có"))),"Có","Không"))</f>
        <v/>
      </c>
      <c r="U1940" s="22">
        <f>IF(OR($D1940="",$T1940="Có"),"",IF($C1940="","Thiếu họ tên; ","")&amp;IF($S1940&lt;&gt;"Có","SĐT sai định dạng; ","")&amp;IF($R1940="Trùng","Trùng SĐT; ","")&amp;IF($Q1940&lt;&gt;"Có","Thiếu đồng ý bắt buộc; ","")&amp;IF($L1940="","Thiếu/sai Mã REF; ",IF(AND($L1940="Chưa xác định",DANH_MUC!$L$9&lt;&gt;"Có"),"Nguồn chưa xác định; ","")))</f>
        <v/>
      </c>
      <c r="V1940" s="22">
        <f>IF(OR($D1940="",$R1940="Trùng"),"",IF(COUNTIF(ORDERS!$C$2:$C$4995,$D1940)&gt;0,"Có","Không"))</f>
        <v/>
      </c>
      <c r="W1940" s="22">
        <f>IF(OR($D1940="",$R1940="Trùng"),"",COUNTIFS(ORDERS!$C$2:$C$4995,$D1940,ORDERS!$L$2:$L$4995,"Đã chuyển khoản"))</f>
        <v/>
      </c>
      <c r="X1940" s="23">
        <f>IF(OR($D1940="",$R1940="Trùng"),"",SUMIFS(ORDERS!$J$2:$J$4995,ORDERS!$C$2:$C$4995,$D1940,ORDERS!$L$2:$L$4995,"Đã chuyển khoản"))</f>
        <v/>
      </c>
      <c r="Y1940" s="24" t="n"/>
    </row>
    <row r="1941" ht="14.25" customHeight="1" s="40">
      <c r="A1941" s="24" t="n"/>
      <c r="B1941" s="27" t="n"/>
      <c r="C1941" s="24" t="n"/>
      <c r="D1941" s="28" t="n"/>
      <c r="E1941" s="29" t="n"/>
      <c r="F1941" s="24" t="n"/>
      <c r="G1941" s="24" t="n"/>
      <c r="H1941" s="21">
        <f>IF(ISNUMBER($B1941),INT($B1941)-WEEKDAY($B1941,2)+1,"")</f>
        <v/>
      </c>
      <c r="I1941" s="24" t="n"/>
      <c r="J1941" s="22">
        <f t="array" ref="J1941">IF($D1941="","",IF($I1941="","(trống REF)",IFERROR(INDEX(MASTER_SOURCE!$B$2:$B$495,MATCH($I1941,MASTER_SOURCE!$A$2:$A$495,0)),"(REF không có trong MASTER_SOURCE)")))</f>
        <v/>
      </c>
      <c r="K1941" s="22">
        <f t="array" ref="K1941">IF($D1941="","",IFERROR(INDEX(MASTER_SOURCE!$C$2:$C$495,MATCH($I1941,MASTER_SOURCE!$A$2:$A$495,0)),""))</f>
        <v/>
      </c>
      <c r="L1941" s="22">
        <f t="array" ref="L1941">IF($D1941="","",IFERROR(INDEX(MASTER_SOURCE!$D$2:$D$495,MATCH($I1941,MASTER_SOURCE!$A$2:$A$495,0)),""))</f>
        <v/>
      </c>
      <c r="M1941" s="24" t="n"/>
      <c r="N1941" s="24" t="n"/>
      <c r="O1941" s="24" t="n"/>
      <c r="P1941" s="24" t="n"/>
      <c r="Q1941" s="22">
        <f>IF($D1941="","",IF(AND(OR(DANH_MUC!$L$5&lt;&gt;"Có",M1941="Có"),OR(DANH_MUC!$L$6&lt;&gt;"Có",N1941="Có"),OR(DANH_MUC!$L$7&lt;&gt;"Có",O1941="Có"),OR(DANH_MUC!$L$8&lt;&gt;"Có",P1941="Có")),"Có","Không"))</f>
        <v/>
      </c>
      <c r="R1941" s="22">
        <f>IF($D1941="","",IF(COUNTIF($D$2:$D1941,$D1941)&gt;1,"Trùng",""))</f>
        <v/>
      </c>
      <c r="S1941" s="22">
        <f>IF($D1941="","",IF(AND(LEN($D1941)=10,LEFT($D1941,1)="0",ISNUMBER(--$D1941)),"Có","Không"))</f>
        <v/>
      </c>
      <c r="T1941" s="22">
        <f>IF($D1941="","",IF(AND($C1941&lt;&gt;"",$Q1941="Có",$R1941="",$S1941="Có",AND($L1941&lt;&gt;"",OR($L1941&lt;&gt;"Chưa xác định",DANH_MUC!$L$9="Có"))),"Có","Không"))</f>
        <v/>
      </c>
      <c r="U1941" s="22">
        <f>IF(OR($D1941="",$T1941="Có"),"",IF($C1941="","Thiếu họ tên; ","")&amp;IF($S1941&lt;&gt;"Có","SĐT sai định dạng; ","")&amp;IF($R1941="Trùng","Trùng SĐT; ","")&amp;IF($Q1941&lt;&gt;"Có","Thiếu đồng ý bắt buộc; ","")&amp;IF($L1941="","Thiếu/sai Mã REF; ",IF(AND($L1941="Chưa xác định",DANH_MUC!$L$9&lt;&gt;"Có"),"Nguồn chưa xác định; ","")))</f>
        <v/>
      </c>
      <c r="V1941" s="22">
        <f>IF(OR($D1941="",$R1941="Trùng"),"",IF(COUNTIF(ORDERS!$C$2:$C$4995,$D1941)&gt;0,"Có","Không"))</f>
        <v/>
      </c>
      <c r="W1941" s="22">
        <f>IF(OR($D1941="",$R1941="Trùng"),"",COUNTIFS(ORDERS!$C$2:$C$4995,$D1941,ORDERS!$L$2:$L$4995,"Đã chuyển khoản"))</f>
        <v/>
      </c>
      <c r="X1941" s="23">
        <f>IF(OR($D1941="",$R1941="Trùng"),"",SUMIFS(ORDERS!$J$2:$J$4995,ORDERS!$C$2:$C$4995,$D1941,ORDERS!$L$2:$L$4995,"Đã chuyển khoản"))</f>
        <v/>
      </c>
      <c r="Y1941" s="24" t="n"/>
    </row>
    <row r="1942" ht="14.25" customHeight="1" s="40">
      <c r="A1942" s="24" t="n"/>
      <c r="B1942" s="27" t="n"/>
      <c r="C1942" s="24" t="n"/>
      <c r="D1942" s="28" t="n"/>
      <c r="E1942" s="29" t="n"/>
      <c r="F1942" s="24" t="n"/>
      <c r="G1942" s="24" t="n"/>
      <c r="H1942" s="21">
        <f>IF(ISNUMBER($B1942),INT($B1942)-WEEKDAY($B1942,2)+1,"")</f>
        <v/>
      </c>
      <c r="I1942" s="24" t="n"/>
      <c r="J1942" s="22">
        <f t="array" ref="J1942">IF($D1942="","",IF($I1942="","(trống REF)",IFERROR(INDEX(MASTER_SOURCE!$B$2:$B$495,MATCH($I1942,MASTER_SOURCE!$A$2:$A$495,0)),"(REF không có trong MASTER_SOURCE)")))</f>
        <v/>
      </c>
      <c r="K1942" s="22">
        <f t="array" ref="K1942">IF($D1942="","",IFERROR(INDEX(MASTER_SOURCE!$C$2:$C$495,MATCH($I1942,MASTER_SOURCE!$A$2:$A$495,0)),""))</f>
        <v/>
      </c>
      <c r="L1942" s="22">
        <f t="array" ref="L1942">IF($D1942="","",IFERROR(INDEX(MASTER_SOURCE!$D$2:$D$495,MATCH($I1942,MASTER_SOURCE!$A$2:$A$495,0)),""))</f>
        <v/>
      </c>
      <c r="M1942" s="24" t="n"/>
      <c r="N1942" s="24" t="n"/>
      <c r="O1942" s="24" t="n"/>
      <c r="P1942" s="24" t="n"/>
      <c r="Q1942" s="22">
        <f>IF($D1942="","",IF(AND(OR(DANH_MUC!$L$5&lt;&gt;"Có",M1942="Có"),OR(DANH_MUC!$L$6&lt;&gt;"Có",N1942="Có"),OR(DANH_MUC!$L$7&lt;&gt;"Có",O1942="Có"),OR(DANH_MUC!$L$8&lt;&gt;"Có",P1942="Có")),"Có","Không"))</f>
        <v/>
      </c>
      <c r="R1942" s="22">
        <f>IF($D1942="","",IF(COUNTIF($D$2:$D1942,$D1942)&gt;1,"Trùng",""))</f>
        <v/>
      </c>
      <c r="S1942" s="22">
        <f>IF($D1942="","",IF(AND(LEN($D1942)=10,LEFT($D1942,1)="0",ISNUMBER(--$D1942)),"Có","Không"))</f>
        <v/>
      </c>
      <c r="T1942" s="22">
        <f>IF($D1942="","",IF(AND($C1942&lt;&gt;"",$Q1942="Có",$R1942="",$S1942="Có",AND($L1942&lt;&gt;"",OR($L1942&lt;&gt;"Chưa xác định",DANH_MUC!$L$9="Có"))),"Có","Không"))</f>
        <v/>
      </c>
      <c r="U1942" s="22">
        <f>IF(OR($D1942="",$T1942="Có"),"",IF($C1942="","Thiếu họ tên; ","")&amp;IF($S1942&lt;&gt;"Có","SĐT sai định dạng; ","")&amp;IF($R1942="Trùng","Trùng SĐT; ","")&amp;IF($Q1942&lt;&gt;"Có","Thiếu đồng ý bắt buộc; ","")&amp;IF($L1942="","Thiếu/sai Mã REF; ",IF(AND($L1942="Chưa xác định",DANH_MUC!$L$9&lt;&gt;"Có"),"Nguồn chưa xác định; ","")))</f>
        <v/>
      </c>
      <c r="V1942" s="22">
        <f>IF(OR($D1942="",$R1942="Trùng"),"",IF(COUNTIF(ORDERS!$C$2:$C$4995,$D1942)&gt;0,"Có","Không"))</f>
        <v/>
      </c>
      <c r="W1942" s="22">
        <f>IF(OR($D1942="",$R1942="Trùng"),"",COUNTIFS(ORDERS!$C$2:$C$4995,$D1942,ORDERS!$L$2:$L$4995,"Đã chuyển khoản"))</f>
        <v/>
      </c>
      <c r="X1942" s="23">
        <f>IF(OR($D1942="",$R1942="Trùng"),"",SUMIFS(ORDERS!$J$2:$J$4995,ORDERS!$C$2:$C$4995,$D1942,ORDERS!$L$2:$L$4995,"Đã chuyển khoản"))</f>
        <v/>
      </c>
      <c r="Y1942" s="24" t="n"/>
    </row>
    <row r="1943" ht="14.25" customHeight="1" s="40">
      <c r="A1943" s="24" t="n"/>
      <c r="B1943" s="27" t="n"/>
      <c r="C1943" s="24" t="n"/>
      <c r="D1943" s="28" t="n"/>
      <c r="E1943" s="29" t="n"/>
      <c r="F1943" s="24" t="n"/>
      <c r="G1943" s="24" t="n"/>
      <c r="H1943" s="21">
        <f>IF(ISNUMBER($B1943),INT($B1943)-WEEKDAY($B1943,2)+1,"")</f>
        <v/>
      </c>
      <c r="I1943" s="24" t="n"/>
      <c r="J1943" s="22">
        <f t="array" ref="J1943">IF($D1943="","",IF($I1943="","(trống REF)",IFERROR(INDEX(MASTER_SOURCE!$B$2:$B$495,MATCH($I1943,MASTER_SOURCE!$A$2:$A$495,0)),"(REF không có trong MASTER_SOURCE)")))</f>
        <v/>
      </c>
      <c r="K1943" s="22">
        <f t="array" ref="K1943">IF($D1943="","",IFERROR(INDEX(MASTER_SOURCE!$C$2:$C$495,MATCH($I1943,MASTER_SOURCE!$A$2:$A$495,0)),""))</f>
        <v/>
      </c>
      <c r="L1943" s="22">
        <f t="array" ref="L1943">IF($D1943="","",IFERROR(INDEX(MASTER_SOURCE!$D$2:$D$495,MATCH($I1943,MASTER_SOURCE!$A$2:$A$495,0)),""))</f>
        <v/>
      </c>
      <c r="M1943" s="24" t="n"/>
      <c r="N1943" s="24" t="n"/>
      <c r="O1943" s="24" t="n"/>
      <c r="P1943" s="24" t="n"/>
      <c r="Q1943" s="22">
        <f>IF($D1943="","",IF(AND(OR(DANH_MUC!$L$5&lt;&gt;"Có",M1943="Có"),OR(DANH_MUC!$L$6&lt;&gt;"Có",N1943="Có"),OR(DANH_MUC!$L$7&lt;&gt;"Có",O1943="Có"),OR(DANH_MUC!$L$8&lt;&gt;"Có",P1943="Có")),"Có","Không"))</f>
        <v/>
      </c>
      <c r="R1943" s="22">
        <f>IF($D1943="","",IF(COUNTIF($D$2:$D1943,$D1943)&gt;1,"Trùng",""))</f>
        <v/>
      </c>
      <c r="S1943" s="22">
        <f>IF($D1943="","",IF(AND(LEN($D1943)=10,LEFT($D1943,1)="0",ISNUMBER(--$D1943)),"Có","Không"))</f>
        <v/>
      </c>
      <c r="T1943" s="22">
        <f>IF($D1943="","",IF(AND($C1943&lt;&gt;"",$Q1943="Có",$R1943="",$S1943="Có",AND($L1943&lt;&gt;"",OR($L1943&lt;&gt;"Chưa xác định",DANH_MUC!$L$9="Có"))),"Có","Không"))</f>
        <v/>
      </c>
      <c r="U1943" s="22">
        <f>IF(OR($D1943="",$T1943="Có"),"",IF($C1943="","Thiếu họ tên; ","")&amp;IF($S1943&lt;&gt;"Có","SĐT sai định dạng; ","")&amp;IF($R1943="Trùng","Trùng SĐT; ","")&amp;IF($Q1943&lt;&gt;"Có","Thiếu đồng ý bắt buộc; ","")&amp;IF($L1943="","Thiếu/sai Mã REF; ",IF(AND($L1943="Chưa xác định",DANH_MUC!$L$9&lt;&gt;"Có"),"Nguồn chưa xác định; ","")))</f>
        <v/>
      </c>
      <c r="V1943" s="22">
        <f>IF(OR($D1943="",$R1943="Trùng"),"",IF(COUNTIF(ORDERS!$C$2:$C$4995,$D1943)&gt;0,"Có","Không"))</f>
        <v/>
      </c>
      <c r="W1943" s="22">
        <f>IF(OR($D1943="",$R1943="Trùng"),"",COUNTIFS(ORDERS!$C$2:$C$4995,$D1943,ORDERS!$L$2:$L$4995,"Đã chuyển khoản"))</f>
        <v/>
      </c>
      <c r="X1943" s="23">
        <f>IF(OR($D1943="",$R1943="Trùng"),"",SUMIFS(ORDERS!$J$2:$J$4995,ORDERS!$C$2:$C$4995,$D1943,ORDERS!$L$2:$L$4995,"Đã chuyển khoản"))</f>
        <v/>
      </c>
      <c r="Y1943" s="24" t="n"/>
    </row>
    <row r="1944" ht="14.25" customHeight="1" s="40">
      <c r="A1944" s="24" t="n"/>
      <c r="B1944" s="27" t="n"/>
      <c r="C1944" s="24" t="n"/>
      <c r="D1944" s="28" t="n"/>
      <c r="E1944" s="29" t="n"/>
      <c r="F1944" s="24" t="n"/>
      <c r="G1944" s="24" t="n"/>
      <c r="H1944" s="21">
        <f>IF(ISNUMBER($B1944),INT($B1944)-WEEKDAY($B1944,2)+1,"")</f>
        <v/>
      </c>
      <c r="I1944" s="24" t="n"/>
      <c r="J1944" s="22">
        <f t="array" ref="J1944">IF($D1944="","",IF($I1944="","(trống REF)",IFERROR(INDEX(MASTER_SOURCE!$B$2:$B$495,MATCH($I1944,MASTER_SOURCE!$A$2:$A$495,0)),"(REF không có trong MASTER_SOURCE)")))</f>
        <v/>
      </c>
      <c r="K1944" s="22">
        <f t="array" ref="K1944">IF($D1944="","",IFERROR(INDEX(MASTER_SOURCE!$C$2:$C$495,MATCH($I1944,MASTER_SOURCE!$A$2:$A$495,0)),""))</f>
        <v/>
      </c>
      <c r="L1944" s="22">
        <f t="array" ref="L1944">IF($D1944="","",IFERROR(INDEX(MASTER_SOURCE!$D$2:$D$495,MATCH($I1944,MASTER_SOURCE!$A$2:$A$495,0)),""))</f>
        <v/>
      </c>
      <c r="M1944" s="24" t="n"/>
      <c r="N1944" s="24" t="n"/>
      <c r="O1944" s="24" t="n"/>
      <c r="P1944" s="24" t="n"/>
      <c r="Q1944" s="22">
        <f>IF($D1944="","",IF(AND(OR(DANH_MUC!$L$5&lt;&gt;"Có",M1944="Có"),OR(DANH_MUC!$L$6&lt;&gt;"Có",N1944="Có"),OR(DANH_MUC!$L$7&lt;&gt;"Có",O1944="Có"),OR(DANH_MUC!$L$8&lt;&gt;"Có",P1944="Có")),"Có","Không"))</f>
        <v/>
      </c>
      <c r="R1944" s="22">
        <f>IF($D1944="","",IF(COUNTIF($D$2:$D1944,$D1944)&gt;1,"Trùng",""))</f>
        <v/>
      </c>
      <c r="S1944" s="22">
        <f>IF($D1944="","",IF(AND(LEN($D1944)=10,LEFT($D1944,1)="0",ISNUMBER(--$D1944)),"Có","Không"))</f>
        <v/>
      </c>
      <c r="T1944" s="22">
        <f>IF($D1944="","",IF(AND($C1944&lt;&gt;"",$Q1944="Có",$R1944="",$S1944="Có",AND($L1944&lt;&gt;"",OR($L1944&lt;&gt;"Chưa xác định",DANH_MUC!$L$9="Có"))),"Có","Không"))</f>
        <v/>
      </c>
      <c r="U1944" s="22">
        <f>IF(OR($D1944="",$T1944="Có"),"",IF($C1944="","Thiếu họ tên; ","")&amp;IF($S1944&lt;&gt;"Có","SĐT sai định dạng; ","")&amp;IF($R1944="Trùng","Trùng SĐT; ","")&amp;IF($Q1944&lt;&gt;"Có","Thiếu đồng ý bắt buộc; ","")&amp;IF($L1944="","Thiếu/sai Mã REF; ",IF(AND($L1944="Chưa xác định",DANH_MUC!$L$9&lt;&gt;"Có"),"Nguồn chưa xác định; ","")))</f>
        <v/>
      </c>
      <c r="V1944" s="22">
        <f>IF(OR($D1944="",$R1944="Trùng"),"",IF(COUNTIF(ORDERS!$C$2:$C$4995,$D1944)&gt;0,"Có","Không"))</f>
        <v/>
      </c>
      <c r="W1944" s="22">
        <f>IF(OR($D1944="",$R1944="Trùng"),"",COUNTIFS(ORDERS!$C$2:$C$4995,$D1944,ORDERS!$L$2:$L$4995,"Đã chuyển khoản"))</f>
        <v/>
      </c>
      <c r="X1944" s="23">
        <f>IF(OR($D1944="",$R1944="Trùng"),"",SUMIFS(ORDERS!$J$2:$J$4995,ORDERS!$C$2:$C$4995,$D1944,ORDERS!$L$2:$L$4995,"Đã chuyển khoản"))</f>
        <v/>
      </c>
      <c r="Y1944" s="24" t="n"/>
    </row>
    <row r="1945" ht="14.25" customHeight="1" s="40">
      <c r="A1945" s="24" t="n"/>
      <c r="B1945" s="27" t="n"/>
      <c r="C1945" s="24" t="n"/>
      <c r="D1945" s="28" t="n"/>
      <c r="E1945" s="29" t="n"/>
      <c r="F1945" s="24" t="n"/>
      <c r="G1945" s="24" t="n"/>
      <c r="H1945" s="21">
        <f>IF(ISNUMBER($B1945),INT($B1945)-WEEKDAY($B1945,2)+1,"")</f>
        <v/>
      </c>
      <c r="I1945" s="24" t="n"/>
      <c r="J1945" s="22">
        <f t="array" ref="J1945">IF($D1945="","",IF($I1945="","(trống REF)",IFERROR(INDEX(MASTER_SOURCE!$B$2:$B$495,MATCH($I1945,MASTER_SOURCE!$A$2:$A$495,0)),"(REF không có trong MASTER_SOURCE)")))</f>
        <v/>
      </c>
      <c r="K1945" s="22">
        <f t="array" ref="K1945">IF($D1945="","",IFERROR(INDEX(MASTER_SOURCE!$C$2:$C$495,MATCH($I1945,MASTER_SOURCE!$A$2:$A$495,0)),""))</f>
        <v/>
      </c>
      <c r="L1945" s="22">
        <f t="array" ref="L1945">IF($D1945="","",IFERROR(INDEX(MASTER_SOURCE!$D$2:$D$495,MATCH($I1945,MASTER_SOURCE!$A$2:$A$495,0)),""))</f>
        <v/>
      </c>
      <c r="M1945" s="24" t="n"/>
      <c r="N1945" s="24" t="n"/>
      <c r="O1945" s="24" t="n"/>
      <c r="P1945" s="24" t="n"/>
      <c r="Q1945" s="22">
        <f>IF($D1945="","",IF(AND(OR(DANH_MUC!$L$5&lt;&gt;"Có",M1945="Có"),OR(DANH_MUC!$L$6&lt;&gt;"Có",N1945="Có"),OR(DANH_MUC!$L$7&lt;&gt;"Có",O1945="Có"),OR(DANH_MUC!$L$8&lt;&gt;"Có",P1945="Có")),"Có","Không"))</f>
        <v/>
      </c>
      <c r="R1945" s="22">
        <f>IF($D1945="","",IF(COUNTIF($D$2:$D1945,$D1945)&gt;1,"Trùng",""))</f>
        <v/>
      </c>
      <c r="S1945" s="22">
        <f>IF($D1945="","",IF(AND(LEN($D1945)=10,LEFT($D1945,1)="0",ISNUMBER(--$D1945)),"Có","Không"))</f>
        <v/>
      </c>
      <c r="T1945" s="22">
        <f>IF($D1945="","",IF(AND($C1945&lt;&gt;"",$Q1945="Có",$R1945="",$S1945="Có",AND($L1945&lt;&gt;"",OR($L1945&lt;&gt;"Chưa xác định",DANH_MUC!$L$9="Có"))),"Có","Không"))</f>
        <v/>
      </c>
      <c r="U1945" s="22">
        <f>IF(OR($D1945="",$T1945="Có"),"",IF($C1945="","Thiếu họ tên; ","")&amp;IF($S1945&lt;&gt;"Có","SĐT sai định dạng; ","")&amp;IF($R1945="Trùng","Trùng SĐT; ","")&amp;IF($Q1945&lt;&gt;"Có","Thiếu đồng ý bắt buộc; ","")&amp;IF($L1945="","Thiếu/sai Mã REF; ",IF(AND($L1945="Chưa xác định",DANH_MUC!$L$9&lt;&gt;"Có"),"Nguồn chưa xác định; ","")))</f>
        <v/>
      </c>
      <c r="V1945" s="22">
        <f>IF(OR($D1945="",$R1945="Trùng"),"",IF(COUNTIF(ORDERS!$C$2:$C$4995,$D1945)&gt;0,"Có","Không"))</f>
        <v/>
      </c>
      <c r="W1945" s="22">
        <f>IF(OR($D1945="",$R1945="Trùng"),"",COUNTIFS(ORDERS!$C$2:$C$4995,$D1945,ORDERS!$L$2:$L$4995,"Đã chuyển khoản"))</f>
        <v/>
      </c>
      <c r="X1945" s="23">
        <f>IF(OR($D1945="",$R1945="Trùng"),"",SUMIFS(ORDERS!$J$2:$J$4995,ORDERS!$C$2:$C$4995,$D1945,ORDERS!$L$2:$L$4995,"Đã chuyển khoản"))</f>
        <v/>
      </c>
      <c r="Y1945" s="24" t="n"/>
    </row>
    <row r="1946" ht="14.25" customHeight="1" s="40">
      <c r="A1946" s="24" t="n"/>
      <c r="B1946" s="27" t="n"/>
      <c r="C1946" s="24" t="n"/>
      <c r="D1946" s="28" t="n"/>
      <c r="E1946" s="29" t="n"/>
      <c r="F1946" s="24" t="n"/>
      <c r="G1946" s="24" t="n"/>
      <c r="H1946" s="21">
        <f>IF(ISNUMBER($B1946),INT($B1946)-WEEKDAY($B1946,2)+1,"")</f>
        <v/>
      </c>
      <c r="I1946" s="24" t="n"/>
      <c r="J1946" s="22">
        <f t="array" ref="J1946">IF($D1946="","",IF($I1946="","(trống REF)",IFERROR(INDEX(MASTER_SOURCE!$B$2:$B$495,MATCH($I1946,MASTER_SOURCE!$A$2:$A$495,0)),"(REF không có trong MASTER_SOURCE)")))</f>
        <v/>
      </c>
      <c r="K1946" s="22">
        <f t="array" ref="K1946">IF($D1946="","",IFERROR(INDEX(MASTER_SOURCE!$C$2:$C$495,MATCH($I1946,MASTER_SOURCE!$A$2:$A$495,0)),""))</f>
        <v/>
      </c>
      <c r="L1946" s="22">
        <f t="array" ref="L1946">IF($D1946="","",IFERROR(INDEX(MASTER_SOURCE!$D$2:$D$495,MATCH($I1946,MASTER_SOURCE!$A$2:$A$495,0)),""))</f>
        <v/>
      </c>
      <c r="M1946" s="24" t="n"/>
      <c r="N1946" s="24" t="n"/>
      <c r="O1946" s="24" t="n"/>
      <c r="P1946" s="24" t="n"/>
      <c r="Q1946" s="22">
        <f>IF($D1946="","",IF(AND(OR(DANH_MUC!$L$5&lt;&gt;"Có",M1946="Có"),OR(DANH_MUC!$L$6&lt;&gt;"Có",N1946="Có"),OR(DANH_MUC!$L$7&lt;&gt;"Có",O1946="Có"),OR(DANH_MUC!$L$8&lt;&gt;"Có",P1946="Có")),"Có","Không"))</f>
        <v/>
      </c>
      <c r="R1946" s="22">
        <f>IF($D1946="","",IF(COUNTIF($D$2:$D1946,$D1946)&gt;1,"Trùng",""))</f>
        <v/>
      </c>
      <c r="S1946" s="22">
        <f>IF($D1946="","",IF(AND(LEN($D1946)=10,LEFT($D1946,1)="0",ISNUMBER(--$D1946)),"Có","Không"))</f>
        <v/>
      </c>
      <c r="T1946" s="22">
        <f>IF($D1946="","",IF(AND($C1946&lt;&gt;"",$Q1946="Có",$R1946="",$S1946="Có",AND($L1946&lt;&gt;"",OR($L1946&lt;&gt;"Chưa xác định",DANH_MUC!$L$9="Có"))),"Có","Không"))</f>
        <v/>
      </c>
      <c r="U1946" s="22">
        <f>IF(OR($D1946="",$T1946="Có"),"",IF($C1946="","Thiếu họ tên; ","")&amp;IF($S1946&lt;&gt;"Có","SĐT sai định dạng; ","")&amp;IF($R1946="Trùng","Trùng SĐT; ","")&amp;IF($Q1946&lt;&gt;"Có","Thiếu đồng ý bắt buộc; ","")&amp;IF($L1946="","Thiếu/sai Mã REF; ",IF(AND($L1946="Chưa xác định",DANH_MUC!$L$9&lt;&gt;"Có"),"Nguồn chưa xác định; ","")))</f>
        <v/>
      </c>
      <c r="V1946" s="22">
        <f>IF(OR($D1946="",$R1946="Trùng"),"",IF(COUNTIF(ORDERS!$C$2:$C$4995,$D1946)&gt;0,"Có","Không"))</f>
        <v/>
      </c>
      <c r="W1946" s="22">
        <f>IF(OR($D1946="",$R1946="Trùng"),"",COUNTIFS(ORDERS!$C$2:$C$4995,$D1946,ORDERS!$L$2:$L$4995,"Đã chuyển khoản"))</f>
        <v/>
      </c>
      <c r="X1946" s="23">
        <f>IF(OR($D1946="",$R1946="Trùng"),"",SUMIFS(ORDERS!$J$2:$J$4995,ORDERS!$C$2:$C$4995,$D1946,ORDERS!$L$2:$L$4995,"Đã chuyển khoản"))</f>
        <v/>
      </c>
      <c r="Y1946" s="24" t="n"/>
    </row>
    <row r="1947" ht="14.25" customHeight="1" s="40">
      <c r="A1947" s="24" t="n"/>
      <c r="B1947" s="27" t="n"/>
      <c r="C1947" s="24" t="n"/>
      <c r="D1947" s="28" t="n"/>
      <c r="E1947" s="29" t="n"/>
      <c r="F1947" s="24" t="n"/>
      <c r="G1947" s="24" t="n"/>
      <c r="H1947" s="21">
        <f>IF(ISNUMBER($B1947),INT($B1947)-WEEKDAY($B1947,2)+1,"")</f>
        <v/>
      </c>
      <c r="I1947" s="24" t="n"/>
      <c r="J1947" s="22">
        <f t="array" ref="J1947">IF($D1947="","",IF($I1947="","(trống REF)",IFERROR(INDEX(MASTER_SOURCE!$B$2:$B$495,MATCH($I1947,MASTER_SOURCE!$A$2:$A$495,0)),"(REF không có trong MASTER_SOURCE)")))</f>
        <v/>
      </c>
      <c r="K1947" s="22">
        <f t="array" ref="K1947">IF($D1947="","",IFERROR(INDEX(MASTER_SOURCE!$C$2:$C$495,MATCH($I1947,MASTER_SOURCE!$A$2:$A$495,0)),""))</f>
        <v/>
      </c>
      <c r="L1947" s="22">
        <f t="array" ref="L1947">IF($D1947="","",IFERROR(INDEX(MASTER_SOURCE!$D$2:$D$495,MATCH($I1947,MASTER_SOURCE!$A$2:$A$495,0)),""))</f>
        <v/>
      </c>
      <c r="M1947" s="24" t="n"/>
      <c r="N1947" s="24" t="n"/>
      <c r="O1947" s="24" t="n"/>
      <c r="P1947" s="24" t="n"/>
      <c r="Q1947" s="22">
        <f>IF($D1947="","",IF(AND(OR(DANH_MUC!$L$5&lt;&gt;"Có",M1947="Có"),OR(DANH_MUC!$L$6&lt;&gt;"Có",N1947="Có"),OR(DANH_MUC!$L$7&lt;&gt;"Có",O1947="Có"),OR(DANH_MUC!$L$8&lt;&gt;"Có",P1947="Có")),"Có","Không"))</f>
        <v/>
      </c>
      <c r="R1947" s="22">
        <f>IF($D1947="","",IF(COUNTIF($D$2:$D1947,$D1947)&gt;1,"Trùng",""))</f>
        <v/>
      </c>
      <c r="S1947" s="22">
        <f>IF($D1947="","",IF(AND(LEN($D1947)=10,LEFT($D1947,1)="0",ISNUMBER(--$D1947)),"Có","Không"))</f>
        <v/>
      </c>
      <c r="T1947" s="22">
        <f>IF($D1947="","",IF(AND($C1947&lt;&gt;"",$Q1947="Có",$R1947="",$S1947="Có",AND($L1947&lt;&gt;"",OR($L1947&lt;&gt;"Chưa xác định",DANH_MUC!$L$9="Có"))),"Có","Không"))</f>
        <v/>
      </c>
      <c r="U1947" s="22">
        <f>IF(OR($D1947="",$T1947="Có"),"",IF($C1947="","Thiếu họ tên; ","")&amp;IF($S1947&lt;&gt;"Có","SĐT sai định dạng; ","")&amp;IF($R1947="Trùng","Trùng SĐT; ","")&amp;IF($Q1947&lt;&gt;"Có","Thiếu đồng ý bắt buộc; ","")&amp;IF($L1947="","Thiếu/sai Mã REF; ",IF(AND($L1947="Chưa xác định",DANH_MUC!$L$9&lt;&gt;"Có"),"Nguồn chưa xác định; ","")))</f>
        <v/>
      </c>
      <c r="V1947" s="22">
        <f>IF(OR($D1947="",$R1947="Trùng"),"",IF(COUNTIF(ORDERS!$C$2:$C$4995,$D1947)&gt;0,"Có","Không"))</f>
        <v/>
      </c>
      <c r="W1947" s="22">
        <f>IF(OR($D1947="",$R1947="Trùng"),"",COUNTIFS(ORDERS!$C$2:$C$4995,$D1947,ORDERS!$L$2:$L$4995,"Đã chuyển khoản"))</f>
        <v/>
      </c>
      <c r="X1947" s="23">
        <f>IF(OR($D1947="",$R1947="Trùng"),"",SUMIFS(ORDERS!$J$2:$J$4995,ORDERS!$C$2:$C$4995,$D1947,ORDERS!$L$2:$L$4995,"Đã chuyển khoản"))</f>
        <v/>
      </c>
      <c r="Y1947" s="24" t="n"/>
    </row>
    <row r="1948" ht="14.25" customHeight="1" s="40">
      <c r="A1948" s="24" t="n"/>
      <c r="B1948" s="27" t="n"/>
      <c r="C1948" s="24" t="n"/>
      <c r="D1948" s="28" t="n"/>
      <c r="E1948" s="29" t="n"/>
      <c r="F1948" s="24" t="n"/>
      <c r="G1948" s="24" t="n"/>
      <c r="H1948" s="21">
        <f>IF(ISNUMBER($B1948),INT($B1948)-WEEKDAY($B1948,2)+1,"")</f>
        <v/>
      </c>
      <c r="I1948" s="24" t="n"/>
      <c r="J1948" s="22">
        <f t="array" ref="J1948">IF($D1948="","",IF($I1948="","(trống REF)",IFERROR(INDEX(MASTER_SOURCE!$B$2:$B$495,MATCH($I1948,MASTER_SOURCE!$A$2:$A$495,0)),"(REF không có trong MASTER_SOURCE)")))</f>
        <v/>
      </c>
      <c r="K1948" s="22">
        <f t="array" ref="K1948">IF($D1948="","",IFERROR(INDEX(MASTER_SOURCE!$C$2:$C$495,MATCH($I1948,MASTER_SOURCE!$A$2:$A$495,0)),""))</f>
        <v/>
      </c>
      <c r="L1948" s="22">
        <f t="array" ref="L1948">IF($D1948="","",IFERROR(INDEX(MASTER_SOURCE!$D$2:$D$495,MATCH($I1948,MASTER_SOURCE!$A$2:$A$495,0)),""))</f>
        <v/>
      </c>
      <c r="M1948" s="24" t="n"/>
      <c r="N1948" s="24" t="n"/>
      <c r="O1948" s="24" t="n"/>
      <c r="P1948" s="24" t="n"/>
      <c r="Q1948" s="22">
        <f>IF($D1948="","",IF(AND(OR(DANH_MUC!$L$5&lt;&gt;"Có",M1948="Có"),OR(DANH_MUC!$L$6&lt;&gt;"Có",N1948="Có"),OR(DANH_MUC!$L$7&lt;&gt;"Có",O1948="Có"),OR(DANH_MUC!$L$8&lt;&gt;"Có",P1948="Có")),"Có","Không"))</f>
        <v/>
      </c>
      <c r="R1948" s="22">
        <f>IF($D1948="","",IF(COUNTIF($D$2:$D1948,$D1948)&gt;1,"Trùng",""))</f>
        <v/>
      </c>
      <c r="S1948" s="22">
        <f>IF($D1948="","",IF(AND(LEN($D1948)=10,LEFT($D1948,1)="0",ISNUMBER(--$D1948)),"Có","Không"))</f>
        <v/>
      </c>
      <c r="T1948" s="22">
        <f>IF($D1948="","",IF(AND($C1948&lt;&gt;"",$Q1948="Có",$R1948="",$S1948="Có",AND($L1948&lt;&gt;"",OR($L1948&lt;&gt;"Chưa xác định",DANH_MUC!$L$9="Có"))),"Có","Không"))</f>
        <v/>
      </c>
      <c r="U1948" s="22">
        <f>IF(OR($D1948="",$T1948="Có"),"",IF($C1948="","Thiếu họ tên; ","")&amp;IF($S1948&lt;&gt;"Có","SĐT sai định dạng; ","")&amp;IF($R1948="Trùng","Trùng SĐT; ","")&amp;IF($Q1948&lt;&gt;"Có","Thiếu đồng ý bắt buộc; ","")&amp;IF($L1948="","Thiếu/sai Mã REF; ",IF(AND($L1948="Chưa xác định",DANH_MUC!$L$9&lt;&gt;"Có"),"Nguồn chưa xác định; ","")))</f>
        <v/>
      </c>
      <c r="V1948" s="22">
        <f>IF(OR($D1948="",$R1948="Trùng"),"",IF(COUNTIF(ORDERS!$C$2:$C$4995,$D1948)&gt;0,"Có","Không"))</f>
        <v/>
      </c>
      <c r="W1948" s="22">
        <f>IF(OR($D1948="",$R1948="Trùng"),"",COUNTIFS(ORDERS!$C$2:$C$4995,$D1948,ORDERS!$L$2:$L$4995,"Đã chuyển khoản"))</f>
        <v/>
      </c>
      <c r="X1948" s="23">
        <f>IF(OR($D1948="",$R1948="Trùng"),"",SUMIFS(ORDERS!$J$2:$J$4995,ORDERS!$C$2:$C$4995,$D1948,ORDERS!$L$2:$L$4995,"Đã chuyển khoản"))</f>
        <v/>
      </c>
      <c r="Y1948" s="24" t="n"/>
    </row>
    <row r="1949" ht="14.25" customHeight="1" s="40">
      <c r="A1949" s="24" t="n"/>
      <c r="B1949" s="27" t="n"/>
      <c r="C1949" s="24" t="n"/>
      <c r="D1949" s="28" t="n"/>
      <c r="E1949" s="29" t="n"/>
      <c r="F1949" s="24" t="n"/>
      <c r="G1949" s="24" t="n"/>
      <c r="H1949" s="21">
        <f>IF(ISNUMBER($B1949),INT($B1949)-WEEKDAY($B1949,2)+1,"")</f>
        <v/>
      </c>
      <c r="I1949" s="24" t="n"/>
      <c r="J1949" s="22">
        <f t="array" ref="J1949">IF($D1949="","",IF($I1949="","(trống REF)",IFERROR(INDEX(MASTER_SOURCE!$B$2:$B$495,MATCH($I1949,MASTER_SOURCE!$A$2:$A$495,0)),"(REF không có trong MASTER_SOURCE)")))</f>
        <v/>
      </c>
      <c r="K1949" s="22">
        <f t="array" ref="K1949">IF($D1949="","",IFERROR(INDEX(MASTER_SOURCE!$C$2:$C$495,MATCH($I1949,MASTER_SOURCE!$A$2:$A$495,0)),""))</f>
        <v/>
      </c>
      <c r="L1949" s="22">
        <f t="array" ref="L1949">IF($D1949="","",IFERROR(INDEX(MASTER_SOURCE!$D$2:$D$495,MATCH($I1949,MASTER_SOURCE!$A$2:$A$495,0)),""))</f>
        <v/>
      </c>
      <c r="M1949" s="24" t="n"/>
      <c r="N1949" s="24" t="n"/>
      <c r="O1949" s="24" t="n"/>
      <c r="P1949" s="24" t="n"/>
      <c r="Q1949" s="22">
        <f>IF($D1949="","",IF(AND(OR(DANH_MUC!$L$5&lt;&gt;"Có",M1949="Có"),OR(DANH_MUC!$L$6&lt;&gt;"Có",N1949="Có"),OR(DANH_MUC!$L$7&lt;&gt;"Có",O1949="Có"),OR(DANH_MUC!$L$8&lt;&gt;"Có",P1949="Có")),"Có","Không"))</f>
        <v/>
      </c>
      <c r="R1949" s="22">
        <f>IF($D1949="","",IF(COUNTIF($D$2:$D1949,$D1949)&gt;1,"Trùng",""))</f>
        <v/>
      </c>
      <c r="S1949" s="22">
        <f>IF($D1949="","",IF(AND(LEN($D1949)=10,LEFT($D1949,1)="0",ISNUMBER(--$D1949)),"Có","Không"))</f>
        <v/>
      </c>
      <c r="T1949" s="22">
        <f>IF($D1949="","",IF(AND($C1949&lt;&gt;"",$Q1949="Có",$R1949="",$S1949="Có",AND($L1949&lt;&gt;"",OR($L1949&lt;&gt;"Chưa xác định",DANH_MUC!$L$9="Có"))),"Có","Không"))</f>
        <v/>
      </c>
      <c r="U1949" s="22">
        <f>IF(OR($D1949="",$T1949="Có"),"",IF($C1949="","Thiếu họ tên; ","")&amp;IF($S1949&lt;&gt;"Có","SĐT sai định dạng; ","")&amp;IF($R1949="Trùng","Trùng SĐT; ","")&amp;IF($Q1949&lt;&gt;"Có","Thiếu đồng ý bắt buộc; ","")&amp;IF($L1949="","Thiếu/sai Mã REF; ",IF(AND($L1949="Chưa xác định",DANH_MUC!$L$9&lt;&gt;"Có"),"Nguồn chưa xác định; ","")))</f>
        <v/>
      </c>
      <c r="V1949" s="22">
        <f>IF(OR($D1949="",$R1949="Trùng"),"",IF(COUNTIF(ORDERS!$C$2:$C$4995,$D1949)&gt;0,"Có","Không"))</f>
        <v/>
      </c>
      <c r="W1949" s="22">
        <f>IF(OR($D1949="",$R1949="Trùng"),"",COUNTIFS(ORDERS!$C$2:$C$4995,$D1949,ORDERS!$L$2:$L$4995,"Đã chuyển khoản"))</f>
        <v/>
      </c>
      <c r="X1949" s="23">
        <f>IF(OR($D1949="",$R1949="Trùng"),"",SUMIFS(ORDERS!$J$2:$J$4995,ORDERS!$C$2:$C$4995,$D1949,ORDERS!$L$2:$L$4995,"Đã chuyển khoản"))</f>
        <v/>
      </c>
      <c r="Y1949" s="24" t="n"/>
    </row>
    <row r="1950" ht="14.25" customHeight="1" s="40">
      <c r="A1950" s="24" t="n"/>
      <c r="B1950" s="27" t="n"/>
      <c r="C1950" s="24" t="n"/>
      <c r="D1950" s="28" t="n"/>
      <c r="E1950" s="29" t="n"/>
      <c r="F1950" s="24" t="n"/>
      <c r="G1950" s="24" t="n"/>
      <c r="H1950" s="21">
        <f>IF(ISNUMBER($B1950),INT($B1950)-WEEKDAY($B1950,2)+1,"")</f>
        <v/>
      </c>
      <c r="I1950" s="24" t="n"/>
      <c r="J1950" s="22">
        <f t="array" ref="J1950">IF($D1950="","",IF($I1950="","(trống REF)",IFERROR(INDEX(MASTER_SOURCE!$B$2:$B$495,MATCH($I1950,MASTER_SOURCE!$A$2:$A$495,0)),"(REF không có trong MASTER_SOURCE)")))</f>
        <v/>
      </c>
      <c r="K1950" s="22">
        <f t="array" ref="K1950">IF($D1950="","",IFERROR(INDEX(MASTER_SOURCE!$C$2:$C$495,MATCH($I1950,MASTER_SOURCE!$A$2:$A$495,0)),""))</f>
        <v/>
      </c>
      <c r="L1950" s="22">
        <f t="array" ref="L1950">IF($D1950="","",IFERROR(INDEX(MASTER_SOURCE!$D$2:$D$495,MATCH($I1950,MASTER_SOURCE!$A$2:$A$495,0)),""))</f>
        <v/>
      </c>
      <c r="M1950" s="24" t="n"/>
      <c r="N1950" s="24" t="n"/>
      <c r="O1950" s="24" t="n"/>
      <c r="P1950" s="24" t="n"/>
      <c r="Q1950" s="22">
        <f>IF($D1950="","",IF(AND(OR(DANH_MUC!$L$5&lt;&gt;"Có",M1950="Có"),OR(DANH_MUC!$L$6&lt;&gt;"Có",N1950="Có"),OR(DANH_MUC!$L$7&lt;&gt;"Có",O1950="Có"),OR(DANH_MUC!$L$8&lt;&gt;"Có",P1950="Có")),"Có","Không"))</f>
        <v/>
      </c>
      <c r="R1950" s="22">
        <f>IF($D1950="","",IF(COUNTIF($D$2:$D1950,$D1950)&gt;1,"Trùng",""))</f>
        <v/>
      </c>
      <c r="S1950" s="22">
        <f>IF($D1950="","",IF(AND(LEN($D1950)=10,LEFT($D1950,1)="0",ISNUMBER(--$D1950)),"Có","Không"))</f>
        <v/>
      </c>
      <c r="T1950" s="22">
        <f>IF($D1950="","",IF(AND($C1950&lt;&gt;"",$Q1950="Có",$R1950="",$S1950="Có",AND($L1950&lt;&gt;"",OR($L1950&lt;&gt;"Chưa xác định",DANH_MUC!$L$9="Có"))),"Có","Không"))</f>
        <v/>
      </c>
      <c r="U1950" s="22">
        <f>IF(OR($D1950="",$T1950="Có"),"",IF($C1950="","Thiếu họ tên; ","")&amp;IF($S1950&lt;&gt;"Có","SĐT sai định dạng; ","")&amp;IF($R1950="Trùng","Trùng SĐT; ","")&amp;IF($Q1950&lt;&gt;"Có","Thiếu đồng ý bắt buộc; ","")&amp;IF($L1950="","Thiếu/sai Mã REF; ",IF(AND($L1950="Chưa xác định",DANH_MUC!$L$9&lt;&gt;"Có"),"Nguồn chưa xác định; ","")))</f>
        <v/>
      </c>
      <c r="V1950" s="22">
        <f>IF(OR($D1950="",$R1950="Trùng"),"",IF(COUNTIF(ORDERS!$C$2:$C$4995,$D1950)&gt;0,"Có","Không"))</f>
        <v/>
      </c>
      <c r="W1950" s="22">
        <f>IF(OR($D1950="",$R1950="Trùng"),"",COUNTIFS(ORDERS!$C$2:$C$4995,$D1950,ORDERS!$L$2:$L$4995,"Đã chuyển khoản"))</f>
        <v/>
      </c>
      <c r="X1950" s="23">
        <f>IF(OR($D1950="",$R1950="Trùng"),"",SUMIFS(ORDERS!$J$2:$J$4995,ORDERS!$C$2:$C$4995,$D1950,ORDERS!$L$2:$L$4995,"Đã chuyển khoản"))</f>
        <v/>
      </c>
      <c r="Y1950" s="24" t="n"/>
    </row>
    <row r="1951" ht="14.25" customHeight="1" s="40">
      <c r="A1951" s="24" t="n"/>
      <c r="B1951" s="27" t="n"/>
      <c r="C1951" s="24" t="n"/>
      <c r="D1951" s="28" t="n"/>
      <c r="E1951" s="29" t="n"/>
      <c r="F1951" s="24" t="n"/>
      <c r="G1951" s="24" t="n"/>
      <c r="H1951" s="21">
        <f>IF(ISNUMBER($B1951),INT($B1951)-WEEKDAY($B1951,2)+1,"")</f>
        <v/>
      </c>
      <c r="I1951" s="24" t="n"/>
      <c r="J1951" s="22">
        <f t="array" ref="J1951">IF($D1951="","",IF($I1951="","(trống REF)",IFERROR(INDEX(MASTER_SOURCE!$B$2:$B$495,MATCH($I1951,MASTER_SOURCE!$A$2:$A$495,0)),"(REF không có trong MASTER_SOURCE)")))</f>
        <v/>
      </c>
      <c r="K1951" s="22">
        <f t="array" ref="K1951">IF($D1951="","",IFERROR(INDEX(MASTER_SOURCE!$C$2:$C$495,MATCH($I1951,MASTER_SOURCE!$A$2:$A$495,0)),""))</f>
        <v/>
      </c>
      <c r="L1951" s="22">
        <f t="array" ref="L1951">IF($D1951="","",IFERROR(INDEX(MASTER_SOURCE!$D$2:$D$495,MATCH($I1951,MASTER_SOURCE!$A$2:$A$495,0)),""))</f>
        <v/>
      </c>
      <c r="M1951" s="24" t="n"/>
      <c r="N1951" s="24" t="n"/>
      <c r="O1951" s="24" t="n"/>
      <c r="P1951" s="24" t="n"/>
      <c r="Q1951" s="22">
        <f>IF($D1951="","",IF(AND(OR(DANH_MUC!$L$5&lt;&gt;"Có",M1951="Có"),OR(DANH_MUC!$L$6&lt;&gt;"Có",N1951="Có"),OR(DANH_MUC!$L$7&lt;&gt;"Có",O1951="Có"),OR(DANH_MUC!$L$8&lt;&gt;"Có",P1951="Có")),"Có","Không"))</f>
        <v/>
      </c>
      <c r="R1951" s="22">
        <f>IF($D1951="","",IF(COUNTIF($D$2:$D1951,$D1951)&gt;1,"Trùng",""))</f>
        <v/>
      </c>
      <c r="S1951" s="22">
        <f>IF($D1951="","",IF(AND(LEN($D1951)=10,LEFT($D1951,1)="0",ISNUMBER(--$D1951)),"Có","Không"))</f>
        <v/>
      </c>
      <c r="T1951" s="22">
        <f>IF($D1951="","",IF(AND($C1951&lt;&gt;"",$Q1951="Có",$R1951="",$S1951="Có",AND($L1951&lt;&gt;"",OR($L1951&lt;&gt;"Chưa xác định",DANH_MUC!$L$9="Có"))),"Có","Không"))</f>
        <v/>
      </c>
      <c r="U1951" s="22">
        <f>IF(OR($D1951="",$T1951="Có"),"",IF($C1951="","Thiếu họ tên; ","")&amp;IF($S1951&lt;&gt;"Có","SĐT sai định dạng; ","")&amp;IF($R1951="Trùng","Trùng SĐT; ","")&amp;IF($Q1951&lt;&gt;"Có","Thiếu đồng ý bắt buộc; ","")&amp;IF($L1951="","Thiếu/sai Mã REF; ",IF(AND($L1951="Chưa xác định",DANH_MUC!$L$9&lt;&gt;"Có"),"Nguồn chưa xác định; ","")))</f>
        <v/>
      </c>
      <c r="V1951" s="22">
        <f>IF(OR($D1951="",$R1951="Trùng"),"",IF(COUNTIF(ORDERS!$C$2:$C$4995,$D1951)&gt;0,"Có","Không"))</f>
        <v/>
      </c>
      <c r="W1951" s="22">
        <f>IF(OR($D1951="",$R1951="Trùng"),"",COUNTIFS(ORDERS!$C$2:$C$4995,$D1951,ORDERS!$L$2:$L$4995,"Đã chuyển khoản"))</f>
        <v/>
      </c>
      <c r="X1951" s="23">
        <f>IF(OR($D1951="",$R1951="Trùng"),"",SUMIFS(ORDERS!$J$2:$J$4995,ORDERS!$C$2:$C$4995,$D1951,ORDERS!$L$2:$L$4995,"Đã chuyển khoản"))</f>
        <v/>
      </c>
      <c r="Y1951" s="24" t="n"/>
    </row>
    <row r="1952" ht="14.25" customHeight="1" s="40">
      <c r="A1952" s="24" t="n"/>
      <c r="B1952" s="27" t="n"/>
      <c r="C1952" s="24" t="n"/>
      <c r="D1952" s="28" t="n"/>
      <c r="E1952" s="29" t="n"/>
      <c r="F1952" s="24" t="n"/>
      <c r="G1952" s="24" t="n"/>
      <c r="H1952" s="21">
        <f>IF(ISNUMBER($B1952),INT($B1952)-WEEKDAY($B1952,2)+1,"")</f>
        <v/>
      </c>
      <c r="I1952" s="24" t="n"/>
      <c r="J1952" s="22">
        <f t="array" ref="J1952">IF($D1952="","",IF($I1952="","(trống REF)",IFERROR(INDEX(MASTER_SOURCE!$B$2:$B$495,MATCH($I1952,MASTER_SOURCE!$A$2:$A$495,0)),"(REF không có trong MASTER_SOURCE)")))</f>
        <v/>
      </c>
      <c r="K1952" s="22">
        <f t="array" ref="K1952">IF($D1952="","",IFERROR(INDEX(MASTER_SOURCE!$C$2:$C$495,MATCH($I1952,MASTER_SOURCE!$A$2:$A$495,0)),""))</f>
        <v/>
      </c>
      <c r="L1952" s="22">
        <f t="array" ref="L1952">IF($D1952="","",IFERROR(INDEX(MASTER_SOURCE!$D$2:$D$495,MATCH($I1952,MASTER_SOURCE!$A$2:$A$495,0)),""))</f>
        <v/>
      </c>
      <c r="M1952" s="24" t="n"/>
      <c r="N1952" s="24" t="n"/>
      <c r="O1952" s="24" t="n"/>
      <c r="P1952" s="24" t="n"/>
      <c r="Q1952" s="22">
        <f>IF($D1952="","",IF(AND(OR(DANH_MUC!$L$5&lt;&gt;"Có",M1952="Có"),OR(DANH_MUC!$L$6&lt;&gt;"Có",N1952="Có"),OR(DANH_MUC!$L$7&lt;&gt;"Có",O1952="Có"),OR(DANH_MUC!$L$8&lt;&gt;"Có",P1952="Có")),"Có","Không"))</f>
        <v/>
      </c>
      <c r="R1952" s="22">
        <f>IF($D1952="","",IF(COUNTIF($D$2:$D1952,$D1952)&gt;1,"Trùng",""))</f>
        <v/>
      </c>
      <c r="S1952" s="22">
        <f>IF($D1952="","",IF(AND(LEN($D1952)=10,LEFT($D1952,1)="0",ISNUMBER(--$D1952)),"Có","Không"))</f>
        <v/>
      </c>
      <c r="T1952" s="22">
        <f>IF($D1952="","",IF(AND($C1952&lt;&gt;"",$Q1952="Có",$R1952="",$S1952="Có",AND($L1952&lt;&gt;"",OR($L1952&lt;&gt;"Chưa xác định",DANH_MUC!$L$9="Có"))),"Có","Không"))</f>
        <v/>
      </c>
      <c r="U1952" s="22">
        <f>IF(OR($D1952="",$T1952="Có"),"",IF($C1952="","Thiếu họ tên; ","")&amp;IF($S1952&lt;&gt;"Có","SĐT sai định dạng; ","")&amp;IF($R1952="Trùng","Trùng SĐT; ","")&amp;IF($Q1952&lt;&gt;"Có","Thiếu đồng ý bắt buộc; ","")&amp;IF($L1952="","Thiếu/sai Mã REF; ",IF(AND($L1952="Chưa xác định",DANH_MUC!$L$9&lt;&gt;"Có"),"Nguồn chưa xác định; ","")))</f>
        <v/>
      </c>
      <c r="V1952" s="22">
        <f>IF(OR($D1952="",$R1952="Trùng"),"",IF(COUNTIF(ORDERS!$C$2:$C$4995,$D1952)&gt;0,"Có","Không"))</f>
        <v/>
      </c>
      <c r="W1952" s="22">
        <f>IF(OR($D1952="",$R1952="Trùng"),"",COUNTIFS(ORDERS!$C$2:$C$4995,$D1952,ORDERS!$L$2:$L$4995,"Đã chuyển khoản"))</f>
        <v/>
      </c>
      <c r="X1952" s="23">
        <f>IF(OR($D1952="",$R1952="Trùng"),"",SUMIFS(ORDERS!$J$2:$J$4995,ORDERS!$C$2:$C$4995,$D1952,ORDERS!$L$2:$L$4995,"Đã chuyển khoản"))</f>
        <v/>
      </c>
      <c r="Y1952" s="24" t="n"/>
    </row>
    <row r="1953" ht="14.25" customHeight="1" s="40">
      <c r="A1953" s="24" t="n"/>
      <c r="B1953" s="27" t="n"/>
      <c r="C1953" s="24" t="n"/>
      <c r="D1953" s="28" t="n"/>
      <c r="E1953" s="29" t="n"/>
      <c r="F1953" s="24" t="n"/>
      <c r="G1953" s="24" t="n"/>
      <c r="H1953" s="21">
        <f>IF(ISNUMBER($B1953),INT($B1953)-WEEKDAY($B1953,2)+1,"")</f>
        <v/>
      </c>
      <c r="I1953" s="24" t="n"/>
      <c r="J1953" s="22">
        <f t="array" ref="J1953">IF($D1953="","",IF($I1953="","(trống REF)",IFERROR(INDEX(MASTER_SOURCE!$B$2:$B$495,MATCH($I1953,MASTER_SOURCE!$A$2:$A$495,0)),"(REF không có trong MASTER_SOURCE)")))</f>
        <v/>
      </c>
      <c r="K1953" s="22">
        <f t="array" ref="K1953">IF($D1953="","",IFERROR(INDEX(MASTER_SOURCE!$C$2:$C$495,MATCH($I1953,MASTER_SOURCE!$A$2:$A$495,0)),""))</f>
        <v/>
      </c>
      <c r="L1953" s="22">
        <f t="array" ref="L1953">IF($D1953="","",IFERROR(INDEX(MASTER_SOURCE!$D$2:$D$495,MATCH($I1953,MASTER_SOURCE!$A$2:$A$495,0)),""))</f>
        <v/>
      </c>
      <c r="M1953" s="24" t="n"/>
      <c r="N1953" s="24" t="n"/>
      <c r="O1953" s="24" t="n"/>
      <c r="P1953" s="24" t="n"/>
      <c r="Q1953" s="22">
        <f>IF($D1953="","",IF(AND(OR(DANH_MUC!$L$5&lt;&gt;"Có",M1953="Có"),OR(DANH_MUC!$L$6&lt;&gt;"Có",N1953="Có"),OR(DANH_MUC!$L$7&lt;&gt;"Có",O1953="Có"),OR(DANH_MUC!$L$8&lt;&gt;"Có",P1953="Có")),"Có","Không"))</f>
        <v/>
      </c>
      <c r="R1953" s="22">
        <f>IF($D1953="","",IF(COUNTIF($D$2:$D1953,$D1953)&gt;1,"Trùng",""))</f>
        <v/>
      </c>
      <c r="S1953" s="22">
        <f>IF($D1953="","",IF(AND(LEN($D1953)=10,LEFT($D1953,1)="0",ISNUMBER(--$D1953)),"Có","Không"))</f>
        <v/>
      </c>
      <c r="T1953" s="22">
        <f>IF($D1953="","",IF(AND($C1953&lt;&gt;"",$Q1953="Có",$R1953="",$S1953="Có",AND($L1953&lt;&gt;"",OR($L1953&lt;&gt;"Chưa xác định",DANH_MUC!$L$9="Có"))),"Có","Không"))</f>
        <v/>
      </c>
      <c r="U1953" s="22">
        <f>IF(OR($D1953="",$T1953="Có"),"",IF($C1953="","Thiếu họ tên; ","")&amp;IF($S1953&lt;&gt;"Có","SĐT sai định dạng; ","")&amp;IF($R1953="Trùng","Trùng SĐT; ","")&amp;IF($Q1953&lt;&gt;"Có","Thiếu đồng ý bắt buộc; ","")&amp;IF($L1953="","Thiếu/sai Mã REF; ",IF(AND($L1953="Chưa xác định",DANH_MUC!$L$9&lt;&gt;"Có"),"Nguồn chưa xác định; ","")))</f>
        <v/>
      </c>
      <c r="V1953" s="22">
        <f>IF(OR($D1953="",$R1953="Trùng"),"",IF(COUNTIF(ORDERS!$C$2:$C$4995,$D1953)&gt;0,"Có","Không"))</f>
        <v/>
      </c>
      <c r="W1953" s="22">
        <f>IF(OR($D1953="",$R1953="Trùng"),"",COUNTIFS(ORDERS!$C$2:$C$4995,$D1953,ORDERS!$L$2:$L$4995,"Đã chuyển khoản"))</f>
        <v/>
      </c>
      <c r="X1953" s="23">
        <f>IF(OR($D1953="",$R1953="Trùng"),"",SUMIFS(ORDERS!$J$2:$J$4995,ORDERS!$C$2:$C$4995,$D1953,ORDERS!$L$2:$L$4995,"Đã chuyển khoản"))</f>
        <v/>
      </c>
      <c r="Y1953" s="24" t="n"/>
    </row>
    <row r="1954" ht="14.25" customHeight="1" s="40">
      <c r="A1954" s="24" t="n"/>
      <c r="B1954" s="27" t="n"/>
      <c r="C1954" s="24" t="n"/>
      <c r="D1954" s="28" t="n"/>
      <c r="E1954" s="29" t="n"/>
      <c r="F1954" s="24" t="n"/>
      <c r="G1954" s="24" t="n"/>
      <c r="H1954" s="21">
        <f>IF(ISNUMBER($B1954),INT($B1954)-WEEKDAY($B1954,2)+1,"")</f>
        <v/>
      </c>
      <c r="I1954" s="24" t="n"/>
      <c r="J1954" s="22">
        <f t="array" ref="J1954">IF($D1954="","",IF($I1954="","(trống REF)",IFERROR(INDEX(MASTER_SOURCE!$B$2:$B$495,MATCH($I1954,MASTER_SOURCE!$A$2:$A$495,0)),"(REF không có trong MASTER_SOURCE)")))</f>
        <v/>
      </c>
      <c r="K1954" s="22">
        <f t="array" ref="K1954">IF($D1954="","",IFERROR(INDEX(MASTER_SOURCE!$C$2:$C$495,MATCH($I1954,MASTER_SOURCE!$A$2:$A$495,0)),""))</f>
        <v/>
      </c>
      <c r="L1954" s="22">
        <f t="array" ref="L1954">IF($D1954="","",IFERROR(INDEX(MASTER_SOURCE!$D$2:$D$495,MATCH($I1954,MASTER_SOURCE!$A$2:$A$495,0)),""))</f>
        <v/>
      </c>
      <c r="M1954" s="24" t="n"/>
      <c r="N1954" s="24" t="n"/>
      <c r="O1954" s="24" t="n"/>
      <c r="P1954" s="24" t="n"/>
      <c r="Q1954" s="22">
        <f>IF($D1954="","",IF(AND(OR(DANH_MUC!$L$5&lt;&gt;"Có",M1954="Có"),OR(DANH_MUC!$L$6&lt;&gt;"Có",N1954="Có"),OR(DANH_MUC!$L$7&lt;&gt;"Có",O1954="Có"),OR(DANH_MUC!$L$8&lt;&gt;"Có",P1954="Có")),"Có","Không"))</f>
        <v/>
      </c>
      <c r="R1954" s="22">
        <f>IF($D1954="","",IF(COUNTIF($D$2:$D1954,$D1954)&gt;1,"Trùng",""))</f>
        <v/>
      </c>
      <c r="S1954" s="22">
        <f>IF($D1954="","",IF(AND(LEN($D1954)=10,LEFT($D1954,1)="0",ISNUMBER(--$D1954)),"Có","Không"))</f>
        <v/>
      </c>
      <c r="T1954" s="22">
        <f>IF($D1954="","",IF(AND($C1954&lt;&gt;"",$Q1954="Có",$R1954="",$S1954="Có",AND($L1954&lt;&gt;"",OR($L1954&lt;&gt;"Chưa xác định",DANH_MUC!$L$9="Có"))),"Có","Không"))</f>
        <v/>
      </c>
      <c r="U1954" s="22">
        <f>IF(OR($D1954="",$T1954="Có"),"",IF($C1954="","Thiếu họ tên; ","")&amp;IF($S1954&lt;&gt;"Có","SĐT sai định dạng; ","")&amp;IF($R1954="Trùng","Trùng SĐT; ","")&amp;IF($Q1954&lt;&gt;"Có","Thiếu đồng ý bắt buộc; ","")&amp;IF($L1954="","Thiếu/sai Mã REF; ",IF(AND($L1954="Chưa xác định",DANH_MUC!$L$9&lt;&gt;"Có"),"Nguồn chưa xác định; ","")))</f>
        <v/>
      </c>
      <c r="V1954" s="22">
        <f>IF(OR($D1954="",$R1954="Trùng"),"",IF(COUNTIF(ORDERS!$C$2:$C$4995,$D1954)&gt;0,"Có","Không"))</f>
        <v/>
      </c>
      <c r="W1954" s="22">
        <f>IF(OR($D1954="",$R1954="Trùng"),"",COUNTIFS(ORDERS!$C$2:$C$4995,$D1954,ORDERS!$L$2:$L$4995,"Đã chuyển khoản"))</f>
        <v/>
      </c>
      <c r="X1954" s="23">
        <f>IF(OR($D1954="",$R1954="Trùng"),"",SUMIFS(ORDERS!$J$2:$J$4995,ORDERS!$C$2:$C$4995,$D1954,ORDERS!$L$2:$L$4995,"Đã chuyển khoản"))</f>
        <v/>
      </c>
      <c r="Y1954" s="24" t="n"/>
    </row>
    <row r="1955" ht="14.25" customHeight="1" s="40">
      <c r="A1955" s="24" t="n"/>
      <c r="B1955" s="27" t="n"/>
      <c r="C1955" s="24" t="n"/>
      <c r="D1955" s="28" t="n"/>
      <c r="E1955" s="29" t="n"/>
      <c r="F1955" s="24" t="n"/>
      <c r="G1955" s="24" t="n"/>
      <c r="H1955" s="21">
        <f>IF(ISNUMBER($B1955),INT($B1955)-WEEKDAY($B1955,2)+1,"")</f>
        <v/>
      </c>
      <c r="I1955" s="24" t="n"/>
      <c r="J1955" s="22">
        <f t="array" ref="J1955">IF($D1955="","",IF($I1955="","(trống REF)",IFERROR(INDEX(MASTER_SOURCE!$B$2:$B$495,MATCH($I1955,MASTER_SOURCE!$A$2:$A$495,0)),"(REF không có trong MASTER_SOURCE)")))</f>
        <v/>
      </c>
      <c r="K1955" s="22">
        <f t="array" ref="K1955">IF($D1955="","",IFERROR(INDEX(MASTER_SOURCE!$C$2:$C$495,MATCH($I1955,MASTER_SOURCE!$A$2:$A$495,0)),""))</f>
        <v/>
      </c>
      <c r="L1955" s="22">
        <f t="array" ref="L1955">IF($D1955="","",IFERROR(INDEX(MASTER_SOURCE!$D$2:$D$495,MATCH($I1955,MASTER_SOURCE!$A$2:$A$495,0)),""))</f>
        <v/>
      </c>
      <c r="M1955" s="24" t="n"/>
      <c r="N1955" s="24" t="n"/>
      <c r="O1955" s="24" t="n"/>
      <c r="P1955" s="24" t="n"/>
      <c r="Q1955" s="22">
        <f>IF($D1955="","",IF(AND(OR(DANH_MUC!$L$5&lt;&gt;"Có",M1955="Có"),OR(DANH_MUC!$L$6&lt;&gt;"Có",N1955="Có"),OR(DANH_MUC!$L$7&lt;&gt;"Có",O1955="Có"),OR(DANH_MUC!$L$8&lt;&gt;"Có",P1955="Có")),"Có","Không"))</f>
        <v/>
      </c>
      <c r="R1955" s="22">
        <f>IF($D1955="","",IF(COUNTIF($D$2:$D1955,$D1955)&gt;1,"Trùng",""))</f>
        <v/>
      </c>
      <c r="S1955" s="22">
        <f>IF($D1955="","",IF(AND(LEN($D1955)=10,LEFT($D1955,1)="0",ISNUMBER(--$D1955)),"Có","Không"))</f>
        <v/>
      </c>
      <c r="T1955" s="22">
        <f>IF($D1955="","",IF(AND($C1955&lt;&gt;"",$Q1955="Có",$R1955="",$S1955="Có",AND($L1955&lt;&gt;"",OR($L1955&lt;&gt;"Chưa xác định",DANH_MUC!$L$9="Có"))),"Có","Không"))</f>
        <v/>
      </c>
      <c r="U1955" s="22">
        <f>IF(OR($D1955="",$T1955="Có"),"",IF($C1955="","Thiếu họ tên; ","")&amp;IF($S1955&lt;&gt;"Có","SĐT sai định dạng; ","")&amp;IF($R1955="Trùng","Trùng SĐT; ","")&amp;IF($Q1955&lt;&gt;"Có","Thiếu đồng ý bắt buộc; ","")&amp;IF($L1955="","Thiếu/sai Mã REF; ",IF(AND($L1955="Chưa xác định",DANH_MUC!$L$9&lt;&gt;"Có"),"Nguồn chưa xác định; ","")))</f>
        <v/>
      </c>
      <c r="V1955" s="22">
        <f>IF(OR($D1955="",$R1955="Trùng"),"",IF(COUNTIF(ORDERS!$C$2:$C$4995,$D1955)&gt;0,"Có","Không"))</f>
        <v/>
      </c>
      <c r="W1955" s="22">
        <f>IF(OR($D1955="",$R1955="Trùng"),"",COUNTIFS(ORDERS!$C$2:$C$4995,$D1955,ORDERS!$L$2:$L$4995,"Đã chuyển khoản"))</f>
        <v/>
      </c>
      <c r="X1955" s="23">
        <f>IF(OR($D1955="",$R1955="Trùng"),"",SUMIFS(ORDERS!$J$2:$J$4995,ORDERS!$C$2:$C$4995,$D1955,ORDERS!$L$2:$L$4995,"Đã chuyển khoản"))</f>
        <v/>
      </c>
      <c r="Y1955" s="24" t="n"/>
    </row>
    <row r="1956" ht="14.25" customHeight="1" s="40">
      <c r="A1956" s="24" t="n"/>
      <c r="B1956" s="27" t="n"/>
      <c r="C1956" s="24" t="n"/>
      <c r="D1956" s="28" t="n"/>
      <c r="E1956" s="29" t="n"/>
      <c r="F1956" s="24" t="n"/>
      <c r="G1956" s="24" t="n"/>
      <c r="H1956" s="21">
        <f>IF(ISNUMBER($B1956),INT($B1956)-WEEKDAY($B1956,2)+1,"")</f>
        <v/>
      </c>
      <c r="I1956" s="24" t="n"/>
      <c r="J1956" s="22">
        <f t="array" ref="J1956">IF($D1956="","",IF($I1956="","(trống REF)",IFERROR(INDEX(MASTER_SOURCE!$B$2:$B$495,MATCH($I1956,MASTER_SOURCE!$A$2:$A$495,0)),"(REF không có trong MASTER_SOURCE)")))</f>
        <v/>
      </c>
      <c r="K1956" s="22">
        <f t="array" ref="K1956">IF($D1956="","",IFERROR(INDEX(MASTER_SOURCE!$C$2:$C$495,MATCH($I1956,MASTER_SOURCE!$A$2:$A$495,0)),""))</f>
        <v/>
      </c>
      <c r="L1956" s="22">
        <f t="array" ref="L1956">IF($D1956="","",IFERROR(INDEX(MASTER_SOURCE!$D$2:$D$495,MATCH($I1956,MASTER_SOURCE!$A$2:$A$495,0)),""))</f>
        <v/>
      </c>
      <c r="M1956" s="24" t="n"/>
      <c r="N1956" s="24" t="n"/>
      <c r="O1956" s="24" t="n"/>
      <c r="P1956" s="24" t="n"/>
      <c r="Q1956" s="22">
        <f>IF($D1956="","",IF(AND(OR(DANH_MUC!$L$5&lt;&gt;"Có",M1956="Có"),OR(DANH_MUC!$L$6&lt;&gt;"Có",N1956="Có"),OR(DANH_MUC!$L$7&lt;&gt;"Có",O1956="Có"),OR(DANH_MUC!$L$8&lt;&gt;"Có",P1956="Có")),"Có","Không"))</f>
        <v/>
      </c>
      <c r="R1956" s="22">
        <f>IF($D1956="","",IF(COUNTIF($D$2:$D1956,$D1956)&gt;1,"Trùng",""))</f>
        <v/>
      </c>
      <c r="S1956" s="22">
        <f>IF($D1956="","",IF(AND(LEN($D1956)=10,LEFT($D1956,1)="0",ISNUMBER(--$D1956)),"Có","Không"))</f>
        <v/>
      </c>
      <c r="T1956" s="22">
        <f>IF($D1956="","",IF(AND($C1956&lt;&gt;"",$Q1956="Có",$R1956="",$S1956="Có",AND($L1956&lt;&gt;"",OR($L1956&lt;&gt;"Chưa xác định",DANH_MUC!$L$9="Có"))),"Có","Không"))</f>
        <v/>
      </c>
      <c r="U1956" s="22">
        <f>IF(OR($D1956="",$T1956="Có"),"",IF($C1956="","Thiếu họ tên; ","")&amp;IF($S1956&lt;&gt;"Có","SĐT sai định dạng; ","")&amp;IF($R1956="Trùng","Trùng SĐT; ","")&amp;IF($Q1956&lt;&gt;"Có","Thiếu đồng ý bắt buộc; ","")&amp;IF($L1956="","Thiếu/sai Mã REF; ",IF(AND($L1956="Chưa xác định",DANH_MUC!$L$9&lt;&gt;"Có"),"Nguồn chưa xác định; ","")))</f>
        <v/>
      </c>
      <c r="V1956" s="22">
        <f>IF(OR($D1956="",$R1956="Trùng"),"",IF(COUNTIF(ORDERS!$C$2:$C$4995,$D1956)&gt;0,"Có","Không"))</f>
        <v/>
      </c>
      <c r="W1956" s="22">
        <f>IF(OR($D1956="",$R1956="Trùng"),"",COUNTIFS(ORDERS!$C$2:$C$4995,$D1956,ORDERS!$L$2:$L$4995,"Đã chuyển khoản"))</f>
        <v/>
      </c>
      <c r="X1956" s="23">
        <f>IF(OR($D1956="",$R1956="Trùng"),"",SUMIFS(ORDERS!$J$2:$J$4995,ORDERS!$C$2:$C$4995,$D1956,ORDERS!$L$2:$L$4995,"Đã chuyển khoản"))</f>
        <v/>
      </c>
      <c r="Y1956" s="24" t="n"/>
    </row>
    <row r="1957" ht="14.25" customHeight="1" s="40">
      <c r="A1957" s="24" t="n"/>
      <c r="B1957" s="27" t="n"/>
      <c r="C1957" s="24" t="n"/>
      <c r="D1957" s="28" t="n"/>
      <c r="E1957" s="29" t="n"/>
      <c r="F1957" s="24" t="n"/>
      <c r="G1957" s="24" t="n"/>
      <c r="H1957" s="21">
        <f>IF(ISNUMBER($B1957),INT($B1957)-WEEKDAY($B1957,2)+1,"")</f>
        <v/>
      </c>
      <c r="I1957" s="24" t="n"/>
      <c r="J1957" s="22">
        <f t="array" ref="J1957">IF($D1957="","",IF($I1957="","(trống REF)",IFERROR(INDEX(MASTER_SOURCE!$B$2:$B$495,MATCH($I1957,MASTER_SOURCE!$A$2:$A$495,0)),"(REF không có trong MASTER_SOURCE)")))</f>
        <v/>
      </c>
      <c r="K1957" s="22">
        <f t="array" ref="K1957">IF($D1957="","",IFERROR(INDEX(MASTER_SOURCE!$C$2:$C$495,MATCH($I1957,MASTER_SOURCE!$A$2:$A$495,0)),""))</f>
        <v/>
      </c>
      <c r="L1957" s="22">
        <f t="array" ref="L1957">IF($D1957="","",IFERROR(INDEX(MASTER_SOURCE!$D$2:$D$495,MATCH($I1957,MASTER_SOURCE!$A$2:$A$495,0)),""))</f>
        <v/>
      </c>
      <c r="M1957" s="24" t="n"/>
      <c r="N1957" s="24" t="n"/>
      <c r="O1957" s="24" t="n"/>
      <c r="P1957" s="24" t="n"/>
      <c r="Q1957" s="22">
        <f>IF($D1957="","",IF(AND(OR(DANH_MUC!$L$5&lt;&gt;"Có",M1957="Có"),OR(DANH_MUC!$L$6&lt;&gt;"Có",N1957="Có"),OR(DANH_MUC!$L$7&lt;&gt;"Có",O1957="Có"),OR(DANH_MUC!$L$8&lt;&gt;"Có",P1957="Có")),"Có","Không"))</f>
        <v/>
      </c>
      <c r="R1957" s="22">
        <f>IF($D1957="","",IF(COUNTIF($D$2:$D1957,$D1957)&gt;1,"Trùng",""))</f>
        <v/>
      </c>
      <c r="S1957" s="22">
        <f>IF($D1957="","",IF(AND(LEN($D1957)=10,LEFT($D1957,1)="0",ISNUMBER(--$D1957)),"Có","Không"))</f>
        <v/>
      </c>
      <c r="T1957" s="22">
        <f>IF($D1957="","",IF(AND($C1957&lt;&gt;"",$Q1957="Có",$R1957="",$S1957="Có",AND($L1957&lt;&gt;"",OR($L1957&lt;&gt;"Chưa xác định",DANH_MUC!$L$9="Có"))),"Có","Không"))</f>
        <v/>
      </c>
      <c r="U1957" s="22">
        <f>IF(OR($D1957="",$T1957="Có"),"",IF($C1957="","Thiếu họ tên; ","")&amp;IF($S1957&lt;&gt;"Có","SĐT sai định dạng; ","")&amp;IF($R1957="Trùng","Trùng SĐT; ","")&amp;IF($Q1957&lt;&gt;"Có","Thiếu đồng ý bắt buộc; ","")&amp;IF($L1957="","Thiếu/sai Mã REF; ",IF(AND($L1957="Chưa xác định",DANH_MUC!$L$9&lt;&gt;"Có"),"Nguồn chưa xác định; ","")))</f>
        <v/>
      </c>
      <c r="V1957" s="22">
        <f>IF(OR($D1957="",$R1957="Trùng"),"",IF(COUNTIF(ORDERS!$C$2:$C$4995,$D1957)&gt;0,"Có","Không"))</f>
        <v/>
      </c>
      <c r="W1957" s="22">
        <f>IF(OR($D1957="",$R1957="Trùng"),"",COUNTIFS(ORDERS!$C$2:$C$4995,$D1957,ORDERS!$L$2:$L$4995,"Đã chuyển khoản"))</f>
        <v/>
      </c>
      <c r="X1957" s="23">
        <f>IF(OR($D1957="",$R1957="Trùng"),"",SUMIFS(ORDERS!$J$2:$J$4995,ORDERS!$C$2:$C$4995,$D1957,ORDERS!$L$2:$L$4995,"Đã chuyển khoản"))</f>
        <v/>
      </c>
      <c r="Y1957" s="24" t="n"/>
    </row>
    <row r="1958" ht="14.25" customHeight="1" s="40">
      <c r="A1958" s="24" t="n"/>
      <c r="B1958" s="27" t="n"/>
      <c r="C1958" s="24" t="n"/>
      <c r="D1958" s="28" t="n"/>
      <c r="E1958" s="29" t="n"/>
      <c r="F1958" s="24" t="n"/>
      <c r="G1958" s="24" t="n"/>
      <c r="H1958" s="21">
        <f>IF(ISNUMBER($B1958),INT($B1958)-WEEKDAY($B1958,2)+1,"")</f>
        <v/>
      </c>
      <c r="I1958" s="24" t="n"/>
      <c r="J1958" s="22">
        <f t="array" ref="J1958">IF($D1958="","",IF($I1958="","(trống REF)",IFERROR(INDEX(MASTER_SOURCE!$B$2:$B$495,MATCH($I1958,MASTER_SOURCE!$A$2:$A$495,0)),"(REF không có trong MASTER_SOURCE)")))</f>
        <v/>
      </c>
      <c r="K1958" s="22">
        <f t="array" ref="K1958">IF($D1958="","",IFERROR(INDEX(MASTER_SOURCE!$C$2:$C$495,MATCH($I1958,MASTER_SOURCE!$A$2:$A$495,0)),""))</f>
        <v/>
      </c>
      <c r="L1958" s="22">
        <f t="array" ref="L1958">IF($D1958="","",IFERROR(INDEX(MASTER_SOURCE!$D$2:$D$495,MATCH($I1958,MASTER_SOURCE!$A$2:$A$495,0)),""))</f>
        <v/>
      </c>
      <c r="M1958" s="24" t="n"/>
      <c r="N1958" s="24" t="n"/>
      <c r="O1958" s="24" t="n"/>
      <c r="P1958" s="24" t="n"/>
      <c r="Q1958" s="22">
        <f>IF($D1958="","",IF(AND(OR(DANH_MUC!$L$5&lt;&gt;"Có",M1958="Có"),OR(DANH_MUC!$L$6&lt;&gt;"Có",N1958="Có"),OR(DANH_MUC!$L$7&lt;&gt;"Có",O1958="Có"),OR(DANH_MUC!$L$8&lt;&gt;"Có",P1958="Có")),"Có","Không"))</f>
        <v/>
      </c>
      <c r="R1958" s="22">
        <f>IF($D1958="","",IF(COUNTIF($D$2:$D1958,$D1958)&gt;1,"Trùng",""))</f>
        <v/>
      </c>
      <c r="S1958" s="22">
        <f>IF($D1958="","",IF(AND(LEN($D1958)=10,LEFT($D1958,1)="0",ISNUMBER(--$D1958)),"Có","Không"))</f>
        <v/>
      </c>
      <c r="T1958" s="22">
        <f>IF($D1958="","",IF(AND($C1958&lt;&gt;"",$Q1958="Có",$R1958="",$S1958="Có",AND($L1958&lt;&gt;"",OR($L1958&lt;&gt;"Chưa xác định",DANH_MUC!$L$9="Có"))),"Có","Không"))</f>
        <v/>
      </c>
      <c r="U1958" s="22">
        <f>IF(OR($D1958="",$T1958="Có"),"",IF($C1958="","Thiếu họ tên; ","")&amp;IF($S1958&lt;&gt;"Có","SĐT sai định dạng; ","")&amp;IF($R1958="Trùng","Trùng SĐT; ","")&amp;IF($Q1958&lt;&gt;"Có","Thiếu đồng ý bắt buộc; ","")&amp;IF($L1958="","Thiếu/sai Mã REF; ",IF(AND($L1958="Chưa xác định",DANH_MUC!$L$9&lt;&gt;"Có"),"Nguồn chưa xác định; ","")))</f>
        <v/>
      </c>
      <c r="V1958" s="22">
        <f>IF(OR($D1958="",$R1958="Trùng"),"",IF(COUNTIF(ORDERS!$C$2:$C$4995,$D1958)&gt;0,"Có","Không"))</f>
        <v/>
      </c>
      <c r="W1958" s="22">
        <f>IF(OR($D1958="",$R1958="Trùng"),"",COUNTIFS(ORDERS!$C$2:$C$4995,$D1958,ORDERS!$L$2:$L$4995,"Đã chuyển khoản"))</f>
        <v/>
      </c>
      <c r="X1958" s="23">
        <f>IF(OR($D1958="",$R1958="Trùng"),"",SUMIFS(ORDERS!$J$2:$J$4995,ORDERS!$C$2:$C$4995,$D1958,ORDERS!$L$2:$L$4995,"Đã chuyển khoản"))</f>
        <v/>
      </c>
      <c r="Y1958" s="24" t="n"/>
    </row>
    <row r="1959" ht="14.25" customHeight="1" s="40">
      <c r="A1959" s="24" t="n"/>
      <c r="B1959" s="27" t="n"/>
      <c r="C1959" s="24" t="n"/>
      <c r="D1959" s="28" t="n"/>
      <c r="E1959" s="29" t="n"/>
      <c r="F1959" s="24" t="n"/>
      <c r="G1959" s="24" t="n"/>
      <c r="H1959" s="21">
        <f>IF(ISNUMBER($B1959),INT($B1959)-WEEKDAY($B1959,2)+1,"")</f>
        <v/>
      </c>
      <c r="I1959" s="24" t="n"/>
      <c r="J1959" s="22">
        <f t="array" ref="J1959">IF($D1959="","",IF($I1959="","(trống REF)",IFERROR(INDEX(MASTER_SOURCE!$B$2:$B$495,MATCH($I1959,MASTER_SOURCE!$A$2:$A$495,0)),"(REF không có trong MASTER_SOURCE)")))</f>
        <v/>
      </c>
      <c r="K1959" s="22">
        <f t="array" ref="K1959">IF($D1959="","",IFERROR(INDEX(MASTER_SOURCE!$C$2:$C$495,MATCH($I1959,MASTER_SOURCE!$A$2:$A$495,0)),""))</f>
        <v/>
      </c>
      <c r="L1959" s="22">
        <f t="array" ref="L1959">IF($D1959="","",IFERROR(INDEX(MASTER_SOURCE!$D$2:$D$495,MATCH($I1959,MASTER_SOURCE!$A$2:$A$495,0)),""))</f>
        <v/>
      </c>
      <c r="M1959" s="24" t="n"/>
      <c r="N1959" s="24" t="n"/>
      <c r="O1959" s="24" t="n"/>
      <c r="P1959" s="24" t="n"/>
      <c r="Q1959" s="22">
        <f>IF($D1959="","",IF(AND(OR(DANH_MUC!$L$5&lt;&gt;"Có",M1959="Có"),OR(DANH_MUC!$L$6&lt;&gt;"Có",N1959="Có"),OR(DANH_MUC!$L$7&lt;&gt;"Có",O1959="Có"),OR(DANH_MUC!$L$8&lt;&gt;"Có",P1959="Có")),"Có","Không"))</f>
        <v/>
      </c>
      <c r="R1959" s="22">
        <f>IF($D1959="","",IF(COUNTIF($D$2:$D1959,$D1959)&gt;1,"Trùng",""))</f>
        <v/>
      </c>
      <c r="S1959" s="22">
        <f>IF($D1959="","",IF(AND(LEN($D1959)=10,LEFT($D1959,1)="0",ISNUMBER(--$D1959)),"Có","Không"))</f>
        <v/>
      </c>
      <c r="T1959" s="22">
        <f>IF($D1959="","",IF(AND($C1959&lt;&gt;"",$Q1959="Có",$R1959="",$S1959="Có",AND($L1959&lt;&gt;"",OR($L1959&lt;&gt;"Chưa xác định",DANH_MUC!$L$9="Có"))),"Có","Không"))</f>
        <v/>
      </c>
      <c r="U1959" s="22">
        <f>IF(OR($D1959="",$T1959="Có"),"",IF($C1959="","Thiếu họ tên; ","")&amp;IF($S1959&lt;&gt;"Có","SĐT sai định dạng; ","")&amp;IF($R1959="Trùng","Trùng SĐT; ","")&amp;IF($Q1959&lt;&gt;"Có","Thiếu đồng ý bắt buộc; ","")&amp;IF($L1959="","Thiếu/sai Mã REF; ",IF(AND($L1959="Chưa xác định",DANH_MUC!$L$9&lt;&gt;"Có"),"Nguồn chưa xác định; ","")))</f>
        <v/>
      </c>
      <c r="V1959" s="22">
        <f>IF(OR($D1959="",$R1959="Trùng"),"",IF(COUNTIF(ORDERS!$C$2:$C$4995,$D1959)&gt;0,"Có","Không"))</f>
        <v/>
      </c>
      <c r="W1959" s="22">
        <f>IF(OR($D1959="",$R1959="Trùng"),"",COUNTIFS(ORDERS!$C$2:$C$4995,$D1959,ORDERS!$L$2:$L$4995,"Đã chuyển khoản"))</f>
        <v/>
      </c>
      <c r="X1959" s="23">
        <f>IF(OR($D1959="",$R1959="Trùng"),"",SUMIFS(ORDERS!$J$2:$J$4995,ORDERS!$C$2:$C$4995,$D1959,ORDERS!$L$2:$L$4995,"Đã chuyển khoản"))</f>
        <v/>
      </c>
      <c r="Y1959" s="24" t="n"/>
    </row>
    <row r="1960" ht="14.25" customHeight="1" s="40">
      <c r="A1960" s="24" t="n"/>
      <c r="B1960" s="27" t="n"/>
      <c r="C1960" s="24" t="n"/>
      <c r="D1960" s="28" t="n"/>
      <c r="E1960" s="29" t="n"/>
      <c r="F1960" s="24" t="n"/>
      <c r="G1960" s="24" t="n"/>
      <c r="H1960" s="21">
        <f>IF(ISNUMBER($B1960),INT($B1960)-WEEKDAY($B1960,2)+1,"")</f>
        <v/>
      </c>
      <c r="I1960" s="24" t="n"/>
      <c r="J1960" s="22">
        <f t="array" ref="J1960">IF($D1960="","",IF($I1960="","(trống REF)",IFERROR(INDEX(MASTER_SOURCE!$B$2:$B$495,MATCH($I1960,MASTER_SOURCE!$A$2:$A$495,0)),"(REF không có trong MASTER_SOURCE)")))</f>
        <v/>
      </c>
      <c r="K1960" s="22">
        <f t="array" ref="K1960">IF($D1960="","",IFERROR(INDEX(MASTER_SOURCE!$C$2:$C$495,MATCH($I1960,MASTER_SOURCE!$A$2:$A$495,0)),""))</f>
        <v/>
      </c>
      <c r="L1960" s="22">
        <f t="array" ref="L1960">IF($D1960="","",IFERROR(INDEX(MASTER_SOURCE!$D$2:$D$495,MATCH($I1960,MASTER_SOURCE!$A$2:$A$495,0)),""))</f>
        <v/>
      </c>
      <c r="M1960" s="24" t="n"/>
      <c r="N1960" s="24" t="n"/>
      <c r="O1960" s="24" t="n"/>
      <c r="P1960" s="24" t="n"/>
      <c r="Q1960" s="22">
        <f>IF($D1960="","",IF(AND(OR(DANH_MUC!$L$5&lt;&gt;"Có",M1960="Có"),OR(DANH_MUC!$L$6&lt;&gt;"Có",N1960="Có"),OR(DANH_MUC!$L$7&lt;&gt;"Có",O1960="Có"),OR(DANH_MUC!$L$8&lt;&gt;"Có",P1960="Có")),"Có","Không"))</f>
        <v/>
      </c>
      <c r="R1960" s="22">
        <f>IF($D1960="","",IF(COUNTIF($D$2:$D1960,$D1960)&gt;1,"Trùng",""))</f>
        <v/>
      </c>
      <c r="S1960" s="22">
        <f>IF($D1960="","",IF(AND(LEN($D1960)=10,LEFT($D1960,1)="0",ISNUMBER(--$D1960)),"Có","Không"))</f>
        <v/>
      </c>
      <c r="T1960" s="22">
        <f>IF($D1960="","",IF(AND($C1960&lt;&gt;"",$Q1960="Có",$R1960="",$S1960="Có",AND($L1960&lt;&gt;"",OR($L1960&lt;&gt;"Chưa xác định",DANH_MUC!$L$9="Có"))),"Có","Không"))</f>
        <v/>
      </c>
      <c r="U1960" s="22">
        <f>IF(OR($D1960="",$T1960="Có"),"",IF($C1960="","Thiếu họ tên; ","")&amp;IF($S1960&lt;&gt;"Có","SĐT sai định dạng; ","")&amp;IF($R1960="Trùng","Trùng SĐT; ","")&amp;IF($Q1960&lt;&gt;"Có","Thiếu đồng ý bắt buộc; ","")&amp;IF($L1960="","Thiếu/sai Mã REF; ",IF(AND($L1960="Chưa xác định",DANH_MUC!$L$9&lt;&gt;"Có"),"Nguồn chưa xác định; ","")))</f>
        <v/>
      </c>
      <c r="V1960" s="22">
        <f>IF(OR($D1960="",$R1960="Trùng"),"",IF(COUNTIF(ORDERS!$C$2:$C$4995,$D1960)&gt;0,"Có","Không"))</f>
        <v/>
      </c>
      <c r="W1960" s="22">
        <f>IF(OR($D1960="",$R1960="Trùng"),"",COUNTIFS(ORDERS!$C$2:$C$4995,$D1960,ORDERS!$L$2:$L$4995,"Đã chuyển khoản"))</f>
        <v/>
      </c>
      <c r="X1960" s="23">
        <f>IF(OR($D1960="",$R1960="Trùng"),"",SUMIFS(ORDERS!$J$2:$J$4995,ORDERS!$C$2:$C$4995,$D1960,ORDERS!$L$2:$L$4995,"Đã chuyển khoản"))</f>
        <v/>
      </c>
      <c r="Y1960" s="24" t="n"/>
    </row>
    <row r="1961" ht="14.25" customHeight="1" s="40">
      <c r="A1961" s="24" t="n"/>
      <c r="B1961" s="27" t="n"/>
      <c r="C1961" s="24" t="n"/>
      <c r="D1961" s="28" t="n"/>
      <c r="E1961" s="29" t="n"/>
      <c r="F1961" s="24" t="n"/>
      <c r="G1961" s="24" t="n"/>
      <c r="H1961" s="21">
        <f>IF(ISNUMBER($B1961),INT($B1961)-WEEKDAY($B1961,2)+1,"")</f>
        <v/>
      </c>
      <c r="I1961" s="24" t="n"/>
      <c r="J1961" s="22">
        <f t="array" ref="J1961">IF($D1961="","",IF($I1961="","(trống REF)",IFERROR(INDEX(MASTER_SOURCE!$B$2:$B$495,MATCH($I1961,MASTER_SOURCE!$A$2:$A$495,0)),"(REF không có trong MASTER_SOURCE)")))</f>
        <v/>
      </c>
      <c r="K1961" s="22">
        <f t="array" ref="K1961">IF($D1961="","",IFERROR(INDEX(MASTER_SOURCE!$C$2:$C$495,MATCH($I1961,MASTER_SOURCE!$A$2:$A$495,0)),""))</f>
        <v/>
      </c>
      <c r="L1961" s="22">
        <f t="array" ref="L1961">IF($D1961="","",IFERROR(INDEX(MASTER_SOURCE!$D$2:$D$495,MATCH($I1961,MASTER_SOURCE!$A$2:$A$495,0)),""))</f>
        <v/>
      </c>
      <c r="M1961" s="24" t="n"/>
      <c r="N1961" s="24" t="n"/>
      <c r="O1961" s="24" t="n"/>
      <c r="P1961" s="24" t="n"/>
      <c r="Q1961" s="22">
        <f>IF($D1961="","",IF(AND(OR(DANH_MUC!$L$5&lt;&gt;"Có",M1961="Có"),OR(DANH_MUC!$L$6&lt;&gt;"Có",N1961="Có"),OR(DANH_MUC!$L$7&lt;&gt;"Có",O1961="Có"),OR(DANH_MUC!$L$8&lt;&gt;"Có",P1961="Có")),"Có","Không"))</f>
        <v/>
      </c>
      <c r="R1961" s="22">
        <f>IF($D1961="","",IF(COUNTIF($D$2:$D1961,$D1961)&gt;1,"Trùng",""))</f>
        <v/>
      </c>
      <c r="S1961" s="22">
        <f>IF($D1961="","",IF(AND(LEN($D1961)=10,LEFT($D1961,1)="0",ISNUMBER(--$D1961)),"Có","Không"))</f>
        <v/>
      </c>
      <c r="T1961" s="22">
        <f>IF($D1961="","",IF(AND($C1961&lt;&gt;"",$Q1961="Có",$R1961="",$S1961="Có",AND($L1961&lt;&gt;"",OR($L1961&lt;&gt;"Chưa xác định",DANH_MUC!$L$9="Có"))),"Có","Không"))</f>
        <v/>
      </c>
      <c r="U1961" s="22">
        <f>IF(OR($D1961="",$T1961="Có"),"",IF($C1961="","Thiếu họ tên; ","")&amp;IF($S1961&lt;&gt;"Có","SĐT sai định dạng; ","")&amp;IF($R1961="Trùng","Trùng SĐT; ","")&amp;IF($Q1961&lt;&gt;"Có","Thiếu đồng ý bắt buộc; ","")&amp;IF($L1961="","Thiếu/sai Mã REF; ",IF(AND($L1961="Chưa xác định",DANH_MUC!$L$9&lt;&gt;"Có"),"Nguồn chưa xác định; ","")))</f>
        <v/>
      </c>
      <c r="V1961" s="22">
        <f>IF(OR($D1961="",$R1961="Trùng"),"",IF(COUNTIF(ORDERS!$C$2:$C$4995,$D1961)&gt;0,"Có","Không"))</f>
        <v/>
      </c>
      <c r="W1961" s="22">
        <f>IF(OR($D1961="",$R1961="Trùng"),"",COUNTIFS(ORDERS!$C$2:$C$4995,$D1961,ORDERS!$L$2:$L$4995,"Đã chuyển khoản"))</f>
        <v/>
      </c>
      <c r="X1961" s="23">
        <f>IF(OR($D1961="",$R1961="Trùng"),"",SUMIFS(ORDERS!$J$2:$J$4995,ORDERS!$C$2:$C$4995,$D1961,ORDERS!$L$2:$L$4995,"Đã chuyển khoản"))</f>
        <v/>
      </c>
      <c r="Y1961" s="24" t="n"/>
    </row>
    <row r="1962" ht="14.25" customHeight="1" s="40">
      <c r="A1962" s="24" t="n"/>
      <c r="B1962" s="27" t="n"/>
      <c r="C1962" s="24" t="n"/>
      <c r="D1962" s="28" t="n"/>
      <c r="E1962" s="29" t="n"/>
      <c r="F1962" s="24" t="n"/>
      <c r="G1962" s="24" t="n"/>
      <c r="H1962" s="21">
        <f>IF(ISNUMBER($B1962),INT($B1962)-WEEKDAY($B1962,2)+1,"")</f>
        <v/>
      </c>
      <c r="I1962" s="24" t="n"/>
      <c r="J1962" s="22">
        <f t="array" ref="J1962">IF($D1962="","",IF($I1962="","(trống REF)",IFERROR(INDEX(MASTER_SOURCE!$B$2:$B$495,MATCH($I1962,MASTER_SOURCE!$A$2:$A$495,0)),"(REF không có trong MASTER_SOURCE)")))</f>
        <v/>
      </c>
      <c r="K1962" s="22">
        <f t="array" ref="K1962">IF($D1962="","",IFERROR(INDEX(MASTER_SOURCE!$C$2:$C$495,MATCH($I1962,MASTER_SOURCE!$A$2:$A$495,0)),""))</f>
        <v/>
      </c>
      <c r="L1962" s="22">
        <f t="array" ref="L1962">IF($D1962="","",IFERROR(INDEX(MASTER_SOURCE!$D$2:$D$495,MATCH($I1962,MASTER_SOURCE!$A$2:$A$495,0)),""))</f>
        <v/>
      </c>
      <c r="M1962" s="24" t="n"/>
      <c r="N1962" s="24" t="n"/>
      <c r="O1962" s="24" t="n"/>
      <c r="P1962" s="24" t="n"/>
      <c r="Q1962" s="22">
        <f>IF($D1962="","",IF(AND(OR(DANH_MUC!$L$5&lt;&gt;"Có",M1962="Có"),OR(DANH_MUC!$L$6&lt;&gt;"Có",N1962="Có"),OR(DANH_MUC!$L$7&lt;&gt;"Có",O1962="Có"),OR(DANH_MUC!$L$8&lt;&gt;"Có",P1962="Có")),"Có","Không"))</f>
        <v/>
      </c>
      <c r="R1962" s="22">
        <f>IF($D1962="","",IF(COUNTIF($D$2:$D1962,$D1962)&gt;1,"Trùng",""))</f>
        <v/>
      </c>
      <c r="S1962" s="22">
        <f>IF($D1962="","",IF(AND(LEN($D1962)=10,LEFT($D1962,1)="0",ISNUMBER(--$D1962)),"Có","Không"))</f>
        <v/>
      </c>
      <c r="T1962" s="22">
        <f>IF($D1962="","",IF(AND($C1962&lt;&gt;"",$Q1962="Có",$R1962="",$S1962="Có",AND($L1962&lt;&gt;"",OR($L1962&lt;&gt;"Chưa xác định",DANH_MUC!$L$9="Có"))),"Có","Không"))</f>
        <v/>
      </c>
      <c r="U1962" s="22">
        <f>IF(OR($D1962="",$T1962="Có"),"",IF($C1962="","Thiếu họ tên; ","")&amp;IF($S1962&lt;&gt;"Có","SĐT sai định dạng; ","")&amp;IF($R1962="Trùng","Trùng SĐT; ","")&amp;IF($Q1962&lt;&gt;"Có","Thiếu đồng ý bắt buộc; ","")&amp;IF($L1962="","Thiếu/sai Mã REF; ",IF(AND($L1962="Chưa xác định",DANH_MUC!$L$9&lt;&gt;"Có"),"Nguồn chưa xác định; ","")))</f>
        <v/>
      </c>
      <c r="V1962" s="22">
        <f>IF(OR($D1962="",$R1962="Trùng"),"",IF(COUNTIF(ORDERS!$C$2:$C$4995,$D1962)&gt;0,"Có","Không"))</f>
        <v/>
      </c>
      <c r="W1962" s="22">
        <f>IF(OR($D1962="",$R1962="Trùng"),"",COUNTIFS(ORDERS!$C$2:$C$4995,$D1962,ORDERS!$L$2:$L$4995,"Đã chuyển khoản"))</f>
        <v/>
      </c>
      <c r="X1962" s="23">
        <f>IF(OR($D1962="",$R1962="Trùng"),"",SUMIFS(ORDERS!$J$2:$J$4995,ORDERS!$C$2:$C$4995,$D1962,ORDERS!$L$2:$L$4995,"Đã chuyển khoản"))</f>
        <v/>
      </c>
      <c r="Y1962" s="24" t="n"/>
    </row>
    <row r="1963" ht="14.25" customHeight="1" s="40">
      <c r="A1963" s="24" t="n"/>
      <c r="B1963" s="27" t="n"/>
      <c r="C1963" s="24" t="n"/>
      <c r="D1963" s="28" t="n"/>
      <c r="E1963" s="29" t="n"/>
      <c r="F1963" s="24" t="n"/>
      <c r="G1963" s="24" t="n"/>
      <c r="H1963" s="21">
        <f>IF(ISNUMBER($B1963),INT($B1963)-WEEKDAY($B1963,2)+1,"")</f>
        <v/>
      </c>
      <c r="I1963" s="24" t="n"/>
      <c r="J1963" s="22">
        <f t="array" ref="J1963">IF($D1963="","",IF($I1963="","(trống REF)",IFERROR(INDEX(MASTER_SOURCE!$B$2:$B$495,MATCH($I1963,MASTER_SOURCE!$A$2:$A$495,0)),"(REF không có trong MASTER_SOURCE)")))</f>
        <v/>
      </c>
      <c r="K1963" s="22">
        <f t="array" ref="K1963">IF($D1963="","",IFERROR(INDEX(MASTER_SOURCE!$C$2:$C$495,MATCH($I1963,MASTER_SOURCE!$A$2:$A$495,0)),""))</f>
        <v/>
      </c>
      <c r="L1963" s="22">
        <f t="array" ref="L1963">IF($D1963="","",IFERROR(INDEX(MASTER_SOURCE!$D$2:$D$495,MATCH($I1963,MASTER_SOURCE!$A$2:$A$495,0)),""))</f>
        <v/>
      </c>
      <c r="M1963" s="24" t="n"/>
      <c r="N1963" s="24" t="n"/>
      <c r="O1963" s="24" t="n"/>
      <c r="P1963" s="24" t="n"/>
      <c r="Q1963" s="22">
        <f>IF($D1963="","",IF(AND(OR(DANH_MUC!$L$5&lt;&gt;"Có",M1963="Có"),OR(DANH_MUC!$L$6&lt;&gt;"Có",N1963="Có"),OR(DANH_MUC!$L$7&lt;&gt;"Có",O1963="Có"),OR(DANH_MUC!$L$8&lt;&gt;"Có",P1963="Có")),"Có","Không"))</f>
        <v/>
      </c>
      <c r="R1963" s="22">
        <f>IF($D1963="","",IF(COUNTIF($D$2:$D1963,$D1963)&gt;1,"Trùng",""))</f>
        <v/>
      </c>
      <c r="S1963" s="22">
        <f>IF($D1963="","",IF(AND(LEN($D1963)=10,LEFT($D1963,1)="0",ISNUMBER(--$D1963)),"Có","Không"))</f>
        <v/>
      </c>
      <c r="T1963" s="22">
        <f>IF($D1963="","",IF(AND($C1963&lt;&gt;"",$Q1963="Có",$R1963="",$S1963="Có",AND($L1963&lt;&gt;"",OR($L1963&lt;&gt;"Chưa xác định",DANH_MUC!$L$9="Có"))),"Có","Không"))</f>
        <v/>
      </c>
      <c r="U1963" s="22">
        <f>IF(OR($D1963="",$T1963="Có"),"",IF($C1963="","Thiếu họ tên; ","")&amp;IF($S1963&lt;&gt;"Có","SĐT sai định dạng; ","")&amp;IF($R1963="Trùng","Trùng SĐT; ","")&amp;IF($Q1963&lt;&gt;"Có","Thiếu đồng ý bắt buộc; ","")&amp;IF($L1963="","Thiếu/sai Mã REF; ",IF(AND($L1963="Chưa xác định",DANH_MUC!$L$9&lt;&gt;"Có"),"Nguồn chưa xác định; ","")))</f>
        <v/>
      </c>
      <c r="V1963" s="22">
        <f>IF(OR($D1963="",$R1963="Trùng"),"",IF(COUNTIF(ORDERS!$C$2:$C$4995,$D1963)&gt;0,"Có","Không"))</f>
        <v/>
      </c>
      <c r="W1963" s="22">
        <f>IF(OR($D1963="",$R1963="Trùng"),"",COUNTIFS(ORDERS!$C$2:$C$4995,$D1963,ORDERS!$L$2:$L$4995,"Đã chuyển khoản"))</f>
        <v/>
      </c>
      <c r="X1963" s="23">
        <f>IF(OR($D1963="",$R1963="Trùng"),"",SUMIFS(ORDERS!$J$2:$J$4995,ORDERS!$C$2:$C$4995,$D1963,ORDERS!$L$2:$L$4995,"Đã chuyển khoản"))</f>
        <v/>
      </c>
      <c r="Y1963" s="24" t="n"/>
    </row>
    <row r="1964" ht="14.25" customHeight="1" s="40">
      <c r="A1964" s="24" t="n"/>
      <c r="B1964" s="27" t="n"/>
      <c r="C1964" s="24" t="n"/>
      <c r="D1964" s="28" t="n"/>
      <c r="E1964" s="29" t="n"/>
      <c r="F1964" s="24" t="n"/>
      <c r="G1964" s="24" t="n"/>
      <c r="H1964" s="21">
        <f>IF(ISNUMBER($B1964),INT($B1964)-WEEKDAY($B1964,2)+1,"")</f>
        <v/>
      </c>
      <c r="I1964" s="24" t="n"/>
      <c r="J1964" s="22">
        <f t="array" ref="J1964">IF($D1964="","",IF($I1964="","(trống REF)",IFERROR(INDEX(MASTER_SOURCE!$B$2:$B$495,MATCH($I1964,MASTER_SOURCE!$A$2:$A$495,0)),"(REF không có trong MASTER_SOURCE)")))</f>
        <v/>
      </c>
      <c r="K1964" s="22">
        <f t="array" ref="K1964">IF($D1964="","",IFERROR(INDEX(MASTER_SOURCE!$C$2:$C$495,MATCH($I1964,MASTER_SOURCE!$A$2:$A$495,0)),""))</f>
        <v/>
      </c>
      <c r="L1964" s="22">
        <f t="array" ref="L1964">IF($D1964="","",IFERROR(INDEX(MASTER_SOURCE!$D$2:$D$495,MATCH($I1964,MASTER_SOURCE!$A$2:$A$495,0)),""))</f>
        <v/>
      </c>
      <c r="M1964" s="24" t="n"/>
      <c r="N1964" s="24" t="n"/>
      <c r="O1964" s="24" t="n"/>
      <c r="P1964" s="24" t="n"/>
      <c r="Q1964" s="22">
        <f>IF($D1964="","",IF(AND(OR(DANH_MUC!$L$5&lt;&gt;"Có",M1964="Có"),OR(DANH_MUC!$L$6&lt;&gt;"Có",N1964="Có"),OR(DANH_MUC!$L$7&lt;&gt;"Có",O1964="Có"),OR(DANH_MUC!$L$8&lt;&gt;"Có",P1964="Có")),"Có","Không"))</f>
        <v/>
      </c>
      <c r="R1964" s="22">
        <f>IF($D1964="","",IF(COUNTIF($D$2:$D1964,$D1964)&gt;1,"Trùng",""))</f>
        <v/>
      </c>
      <c r="S1964" s="22">
        <f>IF($D1964="","",IF(AND(LEN($D1964)=10,LEFT($D1964,1)="0",ISNUMBER(--$D1964)),"Có","Không"))</f>
        <v/>
      </c>
      <c r="T1964" s="22">
        <f>IF($D1964="","",IF(AND($C1964&lt;&gt;"",$Q1964="Có",$R1964="",$S1964="Có",AND($L1964&lt;&gt;"",OR($L1964&lt;&gt;"Chưa xác định",DANH_MUC!$L$9="Có"))),"Có","Không"))</f>
        <v/>
      </c>
      <c r="U1964" s="22">
        <f>IF(OR($D1964="",$T1964="Có"),"",IF($C1964="","Thiếu họ tên; ","")&amp;IF($S1964&lt;&gt;"Có","SĐT sai định dạng; ","")&amp;IF($R1964="Trùng","Trùng SĐT; ","")&amp;IF($Q1964&lt;&gt;"Có","Thiếu đồng ý bắt buộc; ","")&amp;IF($L1964="","Thiếu/sai Mã REF; ",IF(AND($L1964="Chưa xác định",DANH_MUC!$L$9&lt;&gt;"Có"),"Nguồn chưa xác định; ","")))</f>
        <v/>
      </c>
      <c r="V1964" s="22">
        <f>IF(OR($D1964="",$R1964="Trùng"),"",IF(COUNTIF(ORDERS!$C$2:$C$4995,$D1964)&gt;0,"Có","Không"))</f>
        <v/>
      </c>
      <c r="W1964" s="22">
        <f>IF(OR($D1964="",$R1964="Trùng"),"",COUNTIFS(ORDERS!$C$2:$C$4995,$D1964,ORDERS!$L$2:$L$4995,"Đã chuyển khoản"))</f>
        <v/>
      </c>
      <c r="X1964" s="23">
        <f>IF(OR($D1964="",$R1964="Trùng"),"",SUMIFS(ORDERS!$J$2:$J$4995,ORDERS!$C$2:$C$4995,$D1964,ORDERS!$L$2:$L$4995,"Đã chuyển khoản"))</f>
        <v/>
      </c>
      <c r="Y1964" s="24" t="n"/>
    </row>
    <row r="1965" ht="14.25" customHeight="1" s="40">
      <c r="A1965" s="24" t="n"/>
      <c r="B1965" s="27" t="n"/>
      <c r="C1965" s="24" t="n"/>
      <c r="D1965" s="28" t="n"/>
      <c r="E1965" s="29" t="n"/>
      <c r="F1965" s="24" t="n"/>
      <c r="G1965" s="24" t="n"/>
      <c r="H1965" s="21">
        <f>IF(ISNUMBER($B1965),INT($B1965)-WEEKDAY($B1965,2)+1,"")</f>
        <v/>
      </c>
      <c r="I1965" s="24" t="n"/>
      <c r="J1965" s="22">
        <f t="array" ref="J1965">IF($D1965="","",IF($I1965="","(trống REF)",IFERROR(INDEX(MASTER_SOURCE!$B$2:$B$495,MATCH($I1965,MASTER_SOURCE!$A$2:$A$495,0)),"(REF không có trong MASTER_SOURCE)")))</f>
        <v/>
      </c>
      <c r="K1965" s="22">
        <f t="array" ref="K1965">IF($D1965="","",IFERROR(INDEX(MASTER_SOURCE!$C$2:$C$495,MATCH($I1965,MASTER_SOURCE!$A$2:$A$495,0)),""))</f>
        <v/>
      </c>
      <c r="L1965" s="22">
        <f t="array" ref="L1965">IF($D1965="","",IFERROR(INDEX(MASTER_SOURCE!$D$2:$D$495,MATCH($I1965,MASTER_SOURCE!$A$2:$A$495,0)),""))</f>
        <v/>
      </c>
      <c r="M1965" s="24" t="n"/>
      <c r="N1965" s="24" t="n"/>
      <c r="O1965" s="24" t="n"/>
      <c r="P1965" s="24" t="n"/>
      <c r="Q1965" s="22">
        <f>IF($D1965="","",IF(AND(OR(DANH_MUC!$L$5&lt;&gt;"Có",M1965="Có"),OR(DANH_MUC!$L$6&lt;&gt;"Có",N1965="Có"),OR(DANH_MUC!$L$7&lt;&gt;"Có",O1965="Có"),OR(DANH_MUC!$L$8&lt;&gt;"Có",P1965="Có")),"Có","Không"))</f>
        <v/>
      </c>
      <c r="R1965" s="22">
        <f>IF($D1965="","",IF(COUNTIF($D$2:$D1965,$D1965)&gt;1,"Trùng",""))</f>
        <v/>
      </c>
      <c r="S1965" s="22">
        <f>IF($D1965="","",IF(AND(LEN($D1965)=10,LEFT($D1965,1)="0",ISNUMBER(--$D1965)),"Có","Không"))</f>
        <v/>
      </c>
      <c r="T1965" s="22">
        <f>IF($D1965="","",IF(AND($C1965&lt;&gt;"",$Q1965="Có",$R1965="",$S1965="Có",AND($L1965&lt;&gt;"",OR($L1965&lt;&gt;"Chưa xác định",DANH_MUC!$L$9="Có"))),"Có","Không"))</f>
        <v/>
      </c>
      <c r="U1965" s="22">
        <f>IF(OR($D1965="",$T1965="Có"),"",IF($C1965="","Thiếu họ tên; ","")&amp;IF($S1965&lt;&gt;"Có","SĐT sai định dạng; ","")&amp;IF($R1965="Trùng","Trùng SĐT; ","")&amp;IF($Q1965&lt;&gt;"Có","Thiếu đồng ý bắt buộc; ","")&amp;IF($L1965="","Thiếu/sai Mã REF; ",IF(AND($L1965="Chưa xác định",DANH_MUC!$L$9&lt;&gt;"Có"),"Nguồn chưa xác định; ","")))</f>
        <v/>
      </c>
      <c r="V1965" s="22">
        <f>IF(OR($D1965="",$R1965="Trùng"),"",IF(COUNTIF(ORDERS!$C$2:$C$4995,$D1965)&gt;0,"Có","Không"))</f>
        <v/>
      </c>
      <c r="W1965" s="22">
        <f>IF(OR($D1965="",$R1965="Trùng"),"",COUNTIFS(ORDERS!$C$2:$C$4995,$D1965,ORDERS!$L$2:$L$4995,"Đã chuyển khoản"))</f>
        <v/>
      </c>
      <c r="X1965" s="23">
        <f>IF(OR($D1965="",$R1965="Trùng"),"",SUMIFS(ORDERS!$J$2:$J$4995,ORDERS!$C$2:$C$4995,$D1965,ORDERS!$L$2:$L$4995,"Đã chuyển khoản"))</f>
        <v/>
      </c>
      <c r="Y1965" s="24" t="n"/>
    </row>
    <row r="1966" ht="14.25" customHeight="1" s="40">
      <c r="A1966" s="24" t="n"/>
      <c r="B1966" s="27" t="n"/>
      <c r="C1966" s="24" t="n"/>
      <c r="D1966" s="28" t="n"/>
      <c r="E1966" s="29" t="n"/>
      <c r="F1966" s="24" t="n"/>
      <c r="G1966" s="24" t="n"/>
      <c r="H1966" s="21">
        <f>IF(ISNUMBER($B1966),INT($B1966)-WEEKDAY($B1966,2)+1,"")</f>
        <v/>
      </c>
      <c r="I1966" s="24" t="n"/>
      <c r="J1966" s="22">
        <f t="array" ref="J1966">IF($D1966="","",IF($I1966="","(trống REF)",IFERROR(INDEX(MASTER_SOURCE!$B$2:$B$495,MATCH($I1966,MASTER_SOURCE!$A$2:$A$495,0)),"(REF không có trong MASTER_SOURCE)")))</f>
        <v/>
      </c>
      <c r="K1966" s="22">
        <f t="array" ref="K1966">IF($D1966="","",IFERROR(INDEX(MASTER_SOURCE!$C$2:$C$495,MATCH($I1966,MASTER_SOURCE!$A$2:$A$495,0)),""))</f>
        <v/>
      </c>
      <c r="L1966" s="22">
        <f t="array" ref="L1966">IF($D1966="","",IFERROR(INDEX(MASTER_SOURCE!$D$2:$D$495,MATCH($I1966,MASTER_SOURCE!$A$2:$A$495,0)),""))</f>
        <v/>
      </c>
      <c r="M1966" s="24" t="n"/>
      <c r="N1966" s="24" t="n"/>
      <c r="O1966" s="24" t="n"/>
      <c r="P1966" s="24" t="n"/>
      <c r="Q1966" s="22">
        <f>IF($D1966="","",IF(AND(OR(DANH_MUC!$L$5&lt;&gt;"Có",M1966="Có"),OR(DANH_MUC!$L$6&lt;&gt;"Có",N1966="Có"),OR(DANH_MUC!$L$7&lt;&gt;"Có",O1966="Có"),OR(DANH_MUC!$L$8&lt;&gt;"Có",P1966="Có")),"Có","Không"))</f>
        <v/>
      </c>
      <c r="R1966" s="22">
        <f>IF($D1966="","",IF(COUNTIF($D$2:$D1966,$D1966)&gt;1,"Trùng",""))</f>
        <v/>
      </c>
      <c r="S1966" s="22">
        <f>IF($D1966="","",IF(AND(LEN($D1966)=10,LEFT($D1966,1)="0",ISNUMBER(--$D1966)),"Có","Không"))</f>
        <v/>
      </c>
      <c r="T1966" s="22">
        <f>IF($D1966="","",IF(AND($C1966&lt;&gt;"",$Q1966="Có",$R1966="",$S1966="Có",AND($L1966&lt;&gt;"",OR($L1966&lt;&gt;"Chưa xác định",DANH_MUC!$L$9="Có"))),"Có","Không"))</f>
        <v/>
      </c>
      <c r="U1966" s="22">
        <f>IF(OR($D1966="",$T1966="Có"),"",IF($C1966="","Thiếu họ tên; ","")&amp;IF($S1966&lt;&gt;"Có","SĐT sai định dạng; ","")&amp;IF($R1966="Trùng","Trùng SĐT; ","")&amp;IF($Q1966&lt;&gt;"Có","Thiếu đồng ý bắt buộc; ","")&amp;IF($L1966="","Thiếu/sai Mã REF; ",IF(AND($L1966="Chưa xác định",DANH_MUC!$L$9&lt;&gt;"Có"),"Nguồn chưa xác định; ","")))</f>
        <v/>
      </c>
      <c r="V1966" s="22">
        <f>IF(OR($D1966="",$R1966="Trùng"),"",IF(COUNTIF(ORDERS!$C$2:$C$4995,$D1966)&gt;0,"Có","Không"))</f>
        <v/>
      </c>
      <c r="W1966" s="22">
        <f>IF(OR($D1966="",$R1966="Trùng"),"",COUNTIFS(ORDERS!$C$2:$C$4995,$D1966,ORDERS!$L$2:$L$4995,"Đã chuyển khoản"))</f>
        <v/>
      </c>
      <c r="X1966" s="23">
        <f>IF(OR($D1966="",$R1966="Trùng"),"",SUMIFS(ORDERS!$J$2:$J$4995,ORDERS!$C$2:$C$4995,$D1966,ORDERS!$L$2:$L$4995,"Đã chuyển khoản"))</f>
        <v/>
      </c>
      <c r="Y1966" s="24" t="n"/>
    </row>
    <row r="1967" ht="14.25" customHeight="1" s="40">
      <c r="A1967" s="24" t="n"/>
      <c r="B1967" s="27" t="n"/>
      <c r="C1967" s="24" t="n"/>
      <c r="D1967" s="28" t="n"/>
      <c r="E1967" s="29" t="n"/>
      <c r="F1967" s="24" t="n"/>
      <c r="G1967" s="24" t="n"/>
      <c r="H1967" s="21">
        <f>IF(ISNUMBER($B1967),INT($B1967)-WEEKDAY($B1967,2)+1,"")</f>
        <v/>
      </c>
      <c r="I1967" s="24" t="n"/>
      <c r="J1967" s="22">
        <f t="array" ref="J1967">IF($D1967="","",IF($I1967="","(trống REF)",IFERROR(INDEX(MASTER_SOURCE!$B$2:$B$495,MATCH($I1967,MASTER_SOURCE!$A$2:$A$495,0)),"(REF không có trong MASTER_SOURCE)")))</f>
        <v/>
      </c>
      <c r="K1967" s="22">
        <f t="array" ref="K1967">IF($D1967="","",IFERROR(INDEX(MASTER_SOURCE!$C$2:$C$495,MATCH($I1967,MASTER_SOURCE!$A$2:$A$495,0)),""))</f>
        <v/>
      </c>
      <c r="L1967" s="22">
        <f t="array" ref="L1967">IF($D1967="","",IFERROR(INDEX(MASTER_SOURCE!$D$2:$D$495,MATCH($I1967,MASTER_SOURCE!$A$2:$A$495,0)),""))</f>
        <v/>
      </c>
      <c r="M1967" s="24" t="n"/>
      <c r="N1967" s="24" t="n"/>
      <c r="O1967" s="24" t="n"/>
      <c r="P1967" s="24" t="n"/>
      <c r="Q1967" s="22">
        <f>IF($D1967="","",IF(AND(OR(DANH_MUC!$L$5&lt;&gt;"Có",M1967="Có"),OR(DANH_MUC!$L$6&lt;&gt;"Có",N1967="Có"),OR(DANH_MUC!$L$7&lt;&gt;"Có",O1967="Có"),OR(DANH_MUC!$L$8&lt;&gt;"Có",P1967="Có")),"Có","Không"))</f>
        <v/>
      </c>
      <c r="R1967" s="22">
        <f>IF($D1967="","",IF(COUNTIF($D$2:$D1967,$D1967)&gt;1,"Trùng",""))</f>
        <v/>
      </c>
      <c r="S1967" s="22">
        <f>IF($D1967="","",IF(AND(LEN($D1967)=10,LEFT($D1967,1)="0",ISNUMBER(--$D1967)),"Có","Không"))</f>
        <v/>
      </c>
      <c r="T1967" s="22">
        <f>IF($D1967="","",IF(AND($C1967&lt;&gt;"",$Q1967="Có",$R1967="",$S1967="Có",AND($L1967&lt;&gt;"",OR($L1967&lt;&gt;"Chưa xác định",DANH_MUC!$L$9="Có"))),"Có","Không"))</f>
        <v/>
      </c>
      <c r="U1967" s="22">
        <f>IF(OR($D1967="",$T1967="Có"),"",IF($C1967="","Thiếu họ tên; ","")&amp;IF($S1967&lt;&gt;"Có","SĐT sai định dạng; ","")&amp;IF($R1967="Trùng","Trùng SĐT; ","")&amp;IF($Q1967&lt;&gt;"Có","Thiếu đồng ý bắt buộc; ","")&amp;IF($L1967="","Thiếu/sai Mã REF; ",IF(AND($L1967="Chưa xác định",DANH_MUC!$L$9&lt;&gt;"Có"),"Nguồn chưa xác định; ","")))</f>
        <v/>
      </c>
      <c r="V1967" s="22">
        <f>IF(OR($D1967="",$R1967="Trùng"),"",IF(COUNTIF(ORDERS!$C$2:$C$4995,$D1967)&gt;0,"Có","Không"))</f>
        <v/>
      </c>
      <c r="W1967" s="22">
        <f>IF(OR($D1967="",$R1967="Trùng"),"",COUNTIFS(ORDERS!$C$2:$C$4995,$D1967,ORDERS!$L$2:$L$4995,"Đã chuyển khoản"))</f>
        <v/>
      </c>
      <c r="X1967" s="23">
        <f>IF(OR($D1967="",$R1967="Trùng"),"",SUMIFS(ORDERS!$J$2:$J$4995,ORDERS!$C$2:$C$4995,$D1967,ORDERS!$L$2:$L$4995,"Đã chuyển khoản"))</f>
        <v/>
      </c>
      <c r="Y1967" s="24" t="n"/>
    </row>
    <row r="1968" ht="14.25" customHeight="1" s="40">
      <c r="A1968" s="24" t="n"/>
      <c r="B1968" s="27" t="n"/>
      <c r="C1968" s="24" t="n"/>
      <c r="D1968" s="28" t="n"/>
      <c r="E1968" s="29" t="n"/>
      <c r="F1968" s="24" t="n"/>
      <c r="G1968" s="24" t="n"/>
      <c r="H1968" s="21">
        <f>IF(ISNUMBER($B1968),INT($B1968)-WEEKDAY($B1968,2)+1,"")</f>
        <v/>
      </c>
      <c r="I1968" s="24" t="n"/>
      <c r="J1968" s="22">
        <f t="array" ref="J1968">IF($D1968="","",IF($I1968="","(trống REF)",IFERROR(INDEX(MASTER_SOURCE!$B$2:$B$495,MATCH($I1968,MASTER_SOURCE!$A$2:$A$495,0)),"(REF không có trong MASTER_SOURCE)")))</f>
        <v/>
      </c>
      <c r="K1968" s="22">
        <f t="array" ref="K1968">IF($D1968="","",IFERROR(INDEX(MASTER_SOURCE!$C$2:$C$495,MATCH($I1968,MASTER_SOURCE!$A$2:$A$495,0)),""))</f>
        <v/>
      </c>
      <c r="L1968" s="22">
        <f t="array" ref="L1968">IF($D1968="","",IFERROR(INDEX(MASTER_SOURCE!$D$2:$D$495,MATCH($I1968,MASTER_SOURCE!$A$2:$A$495,0)),""))</f>
        <v/>
      </c>
      <c r="M1968" s="24" t="n"/>
      <c r="N1968" s="24" t="n"/>
      <c r="O1968" s="24" t="n"/>
      <c r="P1968" s="24" t="n"/>
      <c r="Q1968" s="22">
        <f>IF($D1968="","",IF(AND(OR(DANH_MUC!$L$5&lt;&gt;"Có",M1968="Có"),OR(DANH_MUC!$L$6&lt;&gt;"Có",N1968="Có"),OR(DANH_MUC!$L$7&lt;&gt;"Có",O1968="Có"),OR(DANH_MUC!$L$8&lt;&gt;"Có",P1968="Có")),"Có","Không"))</f>
        <v/>
      </c>
      <c r="R1968" s="22">
        <f>IF($D1968="","",IF(COUNTIF($D$2:$D1968,$D1968)&gt;1,"Trùng",""))</f>
        <v/>
      </c>
      <c r="S1968" s="22">
        <f>IF($D1968="","",IF(AND(LEN($D1968)=10,LEFT($D1968,1)="0",ISNUMBER(--$D1968)),"Có","Không"))</f>
        <v/>
      </c>
      <c r="T1968" s="22">
        <f>IF($D1968="","",IF(AND($C1968&lt;&gt;"",$Q1968="Có",$R1968="",$S1968="Có",AND($L1968&lt;&gt;"",OR($L1968&lt;&gt;"Chưa xác định",DANH_MUC!$L$9="Có"))),"Có","Không"))</f>
        <v/>
      </c>
      <c r="U1968" s="22">
        <f>IF(OR($D1968="",$T1968="Có"),"",IF($C1968="","Thiếu họ tên; ","")&amp;IF($S1968&lt;&gt;"Có","SĐT sai định dạng; ","")&amp;IF($R1968="Trùng","Trùng SĐT; ","")&amp;IF($Q1968&lt;&gt;"Có","Thiếu đồng ý bắt buộc; ","")&amp;IF($L1968="","Thiếu/sai Mã REF; ",IF(AND($L1968="Chưa xác định",DANH_MUC!$L$9&lt;&gt;"Có"),"Nguồn chưa xác định; ","")))</f>
        <v/>
      </c>
      <c r="V1968" s="22">
        <f>IF(OR($D1968="",$R1968="Trùng"),"",IF(COUNTIF(ORDERS!$C$2:$C$4995,$D1968)&gt;0,"Có","Không"))</f>
        <v/>
      </c>
      <c r="W1968" s="22">
        <f>IF(OR($D1968="",$R1968="Trùng"),"",COUNTIFS(ORDERS!$C$2:$C$4995,$D1968,ORDERS!$L$2:$L$4995,"Đã chuyển khoản"))</f>
        <v/>
      </c>
      <c r="X1968" s="23">
        <f>IF(OR($D1968="",$R1968="Trùng"),"",SUMIFS(ORDERS!$J$2:$J$4995,ORDERS!$C$2:$C$4995,$D1968,ORDERS!$L$2:$L$4995,"Đã chuyển khoản"))</f>
        <v/>
      </c>
      <c r="Y1968" s="24" t="n"/>
    </row>
    <row r="1969" ht="14.25" customHeight="1" s="40">
      <c r="A1969" s="24" t="n"/>
      <c r="B1969" s="27" t="n"/>
      <c r="C1969" s="24" t="n"/>
      <c r="D1969" s="28" t="n"/>
      <c r="E1969" s="29" t="n"/>
      <c r="F1969" s="24" t="n"/>
      <c r="G1969" s="24" t="n"/>
      <c r="H1969" s="21">
        <f>IF(ISNUMBER($B1969),INT($B1969)-WEEKDAY($B1969,2)+1,"")</f>
        <v/>
      </c>
      <c r="I1969" s="24" t="n"/>
      <c r="J1969" s="22">
        <f t="array" ref="J1969">IF($D1969="","",IF($I1969="","(trống REF)",IFERROR(INDEX(MASTER_SOURCE!$B$2:$B$495,MATCH($I1969,MASTER_SOURCE!$A$2:$A$495,0)),"(REF không có trong MASTER_SOURCE)")))</f>
        <v/>
      </c>
      <c r="K1969" s="22">
        <f t="array" ref="K1969">IF($D1969="","",IFERROR(INDEX(MASTER_SOURCE!$C$2:$C$495,MATCH($I1969,MASTER_SOURCE!$A$2:$A$495,0)),""))</f>
        <v/>
      </c>
      <c r="L1969" s="22">
        <f t="array" ref="L1969">IF($D1969="","",IFERROR(INDEX(MASTER_SOURCE!$D$2:$D$495,MATCH($I1969,MASTER_SOURCE!$A$2:$A$495,0)),""))</f>
        <v/>
      </c>
      <c r="M1969" s="24" t="n"/>
      <c r="N1969" s="24" t="n"/>
      <c r="O1969" s="24" t="n"/>
      <c r="P1969" s="24" t="n"/>
      <c r="Q1969" s="22">
        <f>IF($D1969="","",IF(AND(OR(DANH_MUC!$L$5&lt;&gt;"Có",M1969="Có"),OR(DANH_MUC!$L$6&lt;&gt;"Có",N1969="Có"),OR(DANH_MUC!$L$7&lt;&gt;"Có",O1969="Có"),OR(DANH_MUC!$L$8&lt;&gt;"Có",P1969="Có")),"Có","Không"))</f>
        <v/>
      </c>
      <c r="R1969" s="22">
        <f>IF($D1969="","",IF(COUNTIF($D$2:$D1969,$D1969)&gt;1,"Trùng",""))</f>
        <v/>
      </c>
      <c r="S1969" s="22">
        <f>IF($D1969="","",IF(AND(LEN($D1969)=10,LEFT($D1969,1)="0",ISNUMBER(--$D1969)),"Có","Không"))</f>
        <v/>
      </c>
      <c r="T1969" s="22">
        <f>IF($D1969="","",IF(AND($C1969&lt;&gt;"",$Q1969="Có",$R1969="",$S1969="Có",AND($L1969&lt;&gt;"",OR($L1969&lt;&gt;"Chưa xác định",DANH_MUC!$L$9="Có"))),"Có","Không"))</f>
        <v/>
      </c>
      <c r="U1969" s="22">
        <f>IF(OR($D1969="",$T1969="Có"),"",IF($C1969="","Thiếu họ tên; ","")&amp;IF($S1969&lt;&gt;"Có","SĐT sai định dạng; ","")&amp;IF($R1969="Trùng","Trùng SĐT; ","")&amp;IF($Q1969&lt;&gt;"Có","Thiếu đồng ý bắt buộc; ","")&amp;IF($L1969="","Thiếu/sai Mã REF; ",IF(AND($L1969="Chưa xác định",DANH_MUC!$L$9&lt;&gt;"Có"),"Nguồn chưa xác định; ","")))</f>
        <v/>
      </c>
      <c r="V1969" s="22">
        <f>IF(OR($D1969="",$R1969="Trùng"),"",IF(COUNTIF(ORDERS!$C$2:$C$4995,$D1969)&gt;0,"Có","Không"))</f>
        <v/>
      </c>
      <c r="W1969" s="22">
        <f>IF(OR($D1969="",$R1969="Trùng"),"",COUNTIFS(ORDERS!$C$2:$C$4995,$D1969,ORDERS!$L$2:$L$4995,"Đã chuyển khoản"))</f>
        <v/>
      </c>
      <c r="X1969" s="23">
        <f>IF(OR($D1969="",$R1969="Trùng"),"",SUMIFS(ORDERS!$J$2:$J$4995,ORDERS!$C$2:$C$4995,$D1969,ORDERS!$L$2:$L$4995,"Đã chuyển khoản"))</f>
        <v/>
      </c>
      <c r="Y1969" s="24" t="n"/>
    </row>
    <row r="1970" ht="14.25" customHeight="1" s="40">
      <c r="A1970" s="24" t="n"/>
      <c r="B1970" s="27" t="n"/>
      <c r="C1970" s="24" t="n"/>
      <c r="D1970" s="28" t="n"/>
      <c r="E1970" s="29" t="n"/>
      <c r="F1970" s="24" t="n"/>
      <c r="G1970" s="24" t="n"/>
      <c r="H1970" s="21">
        <f>IF(ISNUMBER($B1970),INT($B1970)-WEEKDAY($B1970,2)+1,"")</f>
        <v/>
      </c>
      <c r="I1970" s="24" t="n"/>
      <c r="J1970" s="22">
        <f t="array" ref="J1970">IF($D1970="","",IF($I1970="","(trống REF)",IFERROR(INDEX(MASTER_SOURCE!$B$2:$B$495,MATCH($I1970,MASTER_SOURCE!$A$2:$A$495,0)),"(REF không có trong MASTER_SOURCE)")))</f>
        <v/>
      </c>
      <c r="K1970" s="22">
        <f t="array" ref="K1970">IF($D1970="","",IFERROR(INDEX(MASTER_SOURCE!$C$2:$C$495,MATCH($I1970,MASTER_SOURCE!$A$2:$A$495,0)),""))</f>
        <v/>
      </c>
      <c r="L1970" s="22">
        <f t="array" ref="L1970">IF($D1970="","",IFERROR(INDEX(MASTER_SOURCE!$D$2:$D$495,MATCH($I1970,MASTER_SOURCE!$A$2:$A$495,0)),""))</f>
        <v/>
      </c>
      <c r="M1970" s="24" t="n"/>
      <c r="N1970" s="24" t="n"/>
      <c r="O1970" s="24" t="n"/>
      <c r="P1970" s="24" t="n"/>
      <c r="Q1970" s="22">
        <f>IF($D1970="","",IF(AND(OR(DANH_MUC!$L$5&lt;&gt;"Có",M1970="Có"),OR(DANH_MUC!$L$6&lt;&gt;"Có",N1970="Có"),OR(DANH_MUC!$L$7&lt;&gt;"Có",O1970="Có"),OR(DANH_MUC!$L$8&lt;&gt;"Có",P1970="Có")),"Có","Không"))</f>
        <v/>
      </c>
      <c r="R1970" s="22">
        <f>IF($D1970="","",IF(COUNTIF($D$2:$D1970,$D1970)&gt;1,"Trùng",""))</f>
        <v/>
      </c>
      <c r="S1970" s="22">
        <f>IF($D1970="","",IF(AND(LEN($D1970)=10,LEFT($D1970,1)="0",ISNUMBER(--$D1970)),"Có","Không"))</f>
        <v/>
      </c>
      <c r="T1970" s="22">
        <f>IF($D1970="","",IF(AND($C1970&lt;&gt;"",$Q1970="Có",$R1970="",$S1970="Có",AND($L1970&lt;&gt;"",OR($L1970&lt;&gt;"Chưa xác định",DANH_MUC!$L$9="Có"))),"Có","Không"))</f>
        <v/>
      </c>
      <c r="U1970" s="22">
        <f>IF(OR($D1970="",$T1970="Có"),"",IF($C1970="","Thiếu họ tên; ","")&amp;IF($S1970&lt;&gt;"Có","SĐT sai định dạng; ","")&amp;IF($R1970="Trùng","Trùng SĐT; ","")&amp;IF($Q1970&lt;&gt;"Có","Thiếu đồng ý bắt buộc; ","")&amp;IF($L1970="","Thiếu/sai Mã REF; ",IF(AND($L1970="Chưa xác định",DANH_MUC!$L$9&lt;&gt;"Có"),"Nguồn chưa xác định; ","")))</f>
        <v/>
      </c>
      <c r="V1970" s="22">
        <f>IF(OR($D1970="",$R1970="Trùng"),"",IF(COUNTIF(ORDERS!$C$2:$C$4995,$D1970)&gt;0,"Có","Không"))</f>
        <v/>
      </c>
      <c r="W1970" s="22">
        <f>IF(OR($D1970="",$R1970="Trùng"),"",COUNTIFS(ORDERS!$C$2:$C$4995,$D1970,ORDERS!$L$2:$L$4995,"Đã chuyển khoản"))</f>
        <v/>
      </c>
      <c r="X1970" s="23">
        <f>IF(OR($D1970="",$R1970="Trùng"),"",SUMIFS(ORDERS!$J$2:$J$4995,ORDERS!$C$2:$C$4995,$D1970,ORDERS!$L$2:$L$4995,"Đã chuyển khoản"))</f>
        <v/>
      </c>
      <c r="Y1970" s="24" t="n"/>
    </row>
    <row r="1971" ht="14.25" customHeight="1" s="40">
      <c r="A1971" s="24" t="n"/>
      <c r="B1971" s="27" t="n"/>
      <c r="C1971" s="24" t="n"/>
      <c r="D1971" s="28" t="n"/>
      <c r="E1971" s="29" t="n"/>
      <c r="F1971" s="24" t="n"/>
      <c r="G1971" s="24" t="n"/>
      <c r="H1971" s="21">
        <f>IF(ISNUMBER($B1971),INT($B1971)-WEEKDAY($B1971,2)+1,"")</f>
        <v/>
      </c>
      <c r="I1971" s="24" t="n"/>
      <c r="J1971" s="22">
        <f t="array" ref="J1971">IF($D1971="","",IF($I1971="","(trống REF)",IFERROR(INDEX(MASTER_SOURCE!$B$2:$B$495,MATCH($I1971,MASTER_SOURCE!$A$2:$A$495,0)),"(REF không có trong MASTER_SOURCE)")))</f>
        <v/>
      </c>
      <c r="K1971" s="22">
        <f t="array" ref="K1971">IF($D1971="","",IFERROR(INDEX(MASTER_SOURCE!$C$2:$C$495,MATCH($I1971,MASTER_SOURCE!$A$2:$A$495,0)),""))</f>
        <v/>
      </c>
      <c r="L1971" s="22">
        <f t="array" ref="L1971">IF($D1971="","",IFERROR(INDEX(MASTER_SOURCE!$D$2:$D$495,MATCH($I1971,MASTER_SOURCE!$A$2:$A$495,0)),""))</f>
        <v/>
      </c>
      <c r="M1971" s="24" t="n"/>
      <c r="N1971" s="24" t="n"/>
      <c r="O1971" s="24" t="n"/>
      <c r="P1971" s="24" t="n"/>
      <c r="Q1971" s="22">
        <f>IF($D1971="","",IF(AND(OR(DANH_MUC!$L$5&lt;&gt;"Có",M1971="Có"),OR(DANH_MUC!$L$6&lt;&gt;"Có",N1971="Có"),OR(DANH_MUC!$L$7&lt;&gt;"Có",O1971="Có"),OR(DANH_MUC!$L$8&lt;&gt;"Có",P1971="Có")),"Có","Không"))</f>
        <v/>
      </c>
      <c r="R1971" s="22">
        <f>IF($D1971="","",IF(COUNTIF($D$2:$D1971,$D1971)&gt;1,"Trùng",""))</f>
        <v/>
      </c>
      <c r="S1971" s="22">
        <f>IF($D1971="","",IF(AND(LEN($D1971)=10,LEFT($D1971,1)="0",ISNUMBER(--$D1971)),"Có","Không"))</f>
        <v/>
      </c>
      <c r="T1971" s="22">
        <f>IF($D1971="","",IF(AND($C1971&lt;&gt;"",$Q1971="Có",$R1971="",$S1971="Có",AND($L1971&lt;&gt;"",OR($L1971&lt;&gt;"Chưa xác định",DANH_MUC!$L$9="Có"))),"Có","Không"))</f>
        <v/>
      </c>
      <c r="U1971" s="22">
        <f>IF(OR($D1971="",$T1971="Có"),"",IF($C1971="","Thiếu họ tên; ","")&amp;IF($S1971&lt;&gt;"Có","SĐT sai định dạng; ","")&amp;IF($R1971="Trùng","Trùng SĐT; ","")&amp;IF($Q1971&lt;&gt;"Có","Thiếu đồng ý bắt buộc; ","")&amp;IF($L1971="","Thiếu/sai Mã REF; ",IF(AND($L1971="Chưa xác định",DANH_MUC!$L$9&lt;&gt;"Có"),"Nguồn chưa xác định; ","")))</f>
        <v/>
      </c>
      <c r="V1971" s="22">
        <f>IF(OR($D1971="",$R1971="Trùng"),"",IF(COUNTIF(ORDERS!$C$2:$C$4995,$D1971)&gt;0,"Có","Không"))</f>
        <v/>
      </c>
      <c r="W1971" s="22">
        <f>IF(OR($D1971="",$R1971="Trùng"),"",COUNTIFS(ORDERS!$C$2:$C$4995,$D1971,ORDERS!$L$2:$L$4995,"Đã chuyển khoản"))</f>
        <v/>
      </c>
      <c r="X1971" s="23">
        <f>IF(OR($D1971="",$R1971="Trùng"),"",SUMIFS(ORDERS!$J$2:$J$4995,ORDERS!$C$2:$C$4995,$D1971,ORDERS!$L$2:$L$4995,"Đã chuyển khoản"))</f>
        <v/>
      </c>
      <c r="Y1971" s="24" t="n"/>
    </row>
    <row r="1972" ht="14.25" customHeight="1" s="40">
      <c r="A1972" s="24" t="n"/>
      <c r="B1972" s="27" t="n"/>
      <c r="C1972" s="24" t="n"/>
      <c r="D1972" s="28" t="n"/>
      <c r="E1972" s="29" t="n"/>
      <c r="F1972" s="24" t="n"/>
      <c r="G1972" s="24" t="n"/>
      <c r="H1972" s="21">
        <f>IF(ISNUMBER($B1972),INT($B1972)-WEEKDAY($B1972,2)+1,"")</f>
        <v/>
      </c>
      <c r="I1972" s="24" t="n"/>
      <c r="J1972" s="22">
        <f t="array" ref="J1972">IF($D1972="","",IF($I1972="","(trống REF)",IFERROR(INDEX(MASTER_SOURCE!$B$2:$B$495,MATCH($I1972,MASTER_SOURCE!$A$2:$A$495,0)),"(REF không có trong MASTER_SOURCE)")))</f>
        <v/>
      </c>
      <c r="K1972" s="22">
        <f t="array" ref="K1972">IF($D1972="","",IFERROR(INDEX(MASTER_SOURCE!$C$2:$C$495,MATCH($I1972,MASTER_SOURCE!$A$2:$A$495,0)),""))</f>
        <v/>
      </c>
      <c r="L1972" s="22">
        <f t="array" ref="L1972">IF($D1972="","",IFERROR(INDEX(MASTER_SOURCE!$D$2:$D$495,MATCH($I1972,MASTER_SOURCE!$A$2:$A$495,0)),""))</f>
        <v/>
      </c>
      <c r="M1972" s="24" t="n"/>
      <c r="N1972" s="24" t="n"/>
      <c r="O1972" s="24" t="n"/>
      <c r="P1972" s="24" t="n"/>
      <c r="Q1972" s="22">
        <f>IF($D1972="","",IF(AND(OR(DANH_MUC!$L$5&lt;&gt;"Có",M1972="Có"),OR(DANH_MUC!$L$6&lt;&gt;"Có",N1972="Có"),OR(DANH_MUC!$L$7&lt;&gt;"Có",O1972="Có"),OR(DANH_MUC!$L$8&lt;&gt;"Có",P1972="Có")),"Có","Không"))</f>
        <v/>
      </c>
      <c r="R1972" s="22">
        <f>IF($D1972="","",IF(COUNTIF($D$2:$D1972,$D1972)&gt;1,"Trùng",""))</f>
        <v/>
      </c>
      <c r="S1972" s="22">
        <f>IF($D1972="","",IF(AND(LEN($D1972)=10,LEFT($D1972,1)="0",ISNUMBER(--$D1972)),"Có","Không"))</f>
        <v/>
      </c>
      <c r="T1972" s="22">
        <f>IF($D1972="","",IF(AND($C1972&lt;&gt;"",$Q1972="Có",$R1972="",$S1972="Có",AND($L1972&lt;&gt;"",OR($L1972&lt;&gt;"Chưa xác định",DANH_MUC!$L$9="Có"))),"Có","Không"))</f>
        <v/>
      </c>
      <c r="U1972" s="22">
        <f>IF(OR($D1972="",$T1972="Có"),"",IF($C1972="","Thiếu họ tên; ","")&amp;IF($S1972&lt;&gt;"Có","SĐT sai định dạng; ","")&amp;IF($R1972="Trùng","Trùng SĐT; ","")&amp;IF($Q1972&lt;&gt;"Có","Thiếu đồng ý bắt buộc; ","")&amp;IF($L1972="","Thiếu/sai Mã REF; ",IF(AND($L1972="Chưa xác định",DANH_MUC!$L$9&lt;&gt;"Có"),"Nguồn chưa xác định; ","")))</f>
        <v/>
      </c>
      <c r="V1972" s="22">
        <f>IF(OR($D1972="",$R1972="Trùng"),"",IF(COUNTIF(ORDERS!$C$2:$C$4995,$D1972)&gt;0,"Có","Không"))</f>
        <v/>
      </c>
      <c r="W1972" s="22">
        <f>IF(OR($D1972="",$R1972="Trùng"),"",COUNTIFS(ORDERS!$C$2:$C$4995,$D1972,ORDERS!$L$2:$L$4995,"Đã chuyển khoản"))</f>
        <v/>
      </c>
      <c r="X1972" s="23">
        <f>IF(OR($D1972="",$R1972="Trùng"),"",SUMIFS(ORDERS!$J$2:$J$4995,ORDERS!$C$2:$C$4995,$D1972,ORDERS!$L$2:$L$4995,"Đã chuyển khoản"))</f>
        <v/>
      </c>
      <c r="Y1972" s="24" t="n"/>
    </row>
    <row r="1973" ht="14.25" customHeight="1" s="40">
      <c r="A1973" s="24" t="n"/>
      <c r="B1973" s="27" t="n"/>
      <c r="C1973" s="24" t="n"/>
      <c r="D1973" s="28" t="n"/>
      <c r="E1973" s="29" t="n"/>
      <c r="F1973" s="24" t="n"/>
      <c r="G1973" s="24" t="n"/>
      <c r="H1973" s="21">
        <f>IF(ISNUMBER($B1973),INT($B1973)-WEEKDAY($B1973,2)+1,"")</f>
        <v/>
      </c>
      <c r="I1973" s="24" t="n"/>
      <c r="J1973" s="22">
        <f t="array" ref="J1973">IF($D1973="","",IF($I1973="","(trống REF)",IFERROR(INDEX(MASTER_SOURCE!$B$2:$B$495,MATCH($I1973,MASTER_SOURCE!$A$2:$A$495,0)),"(REF không có trong MASTER_SOURCE)")))</f>
        <v/>
      </c>
      <c r="K1973" s="22">
        <f t="array" ref="K1973">IF($D1973="","",IFERROR(INDEX(MASTER_SOURCE!$C$2:$C$495,MATCH($I1973,MASTER_SOURCE!$A$2:$A$495,0)),""))</f>
        <v/>
      </c>
      <c r="L1973" s="22">
        <f t="array" ref="L1973">IF($D1973="","",IFERROR(INDEX(MASTER_SOURCE!$D$2:$D$495,MATCH($I1973,MASTER_SOURCE!$A$2:$A$495,0)),""))</f>
        <v/>
      </c>
      <c r="M1973" s="24" t="n"/>
      <c r="N1973" s="24" t="n"/>
      <c r="O1973" s="24" t="n"/>
      <c r="P1973" s="24" t="n"/>
      <c r="Q1973" s="22">
        <f>IF($D1973="","",IF(AND(OR(DANH_MUC!$L$5&lt;&gt;"Có",M1973="Có"),OR(DANH_MUC!$L$6&lt;&gt;"Có",N1973="Có"),OR(DANH_MUC!$L$7&lt;&gt;"Có",O1973="Có"),OR(DANH_MUC!$L$8&lt;&gt;"Có",P1973="Có")),"Có","Không"))</f>
        <v/>
      </c>
      <c r="R1973" s="22">
        <f>IF($D1973="","",IF(COUNTIF($D$2:$D1973,$D1973)&gt;1,"Trùng",""))</f>
        <v/>
      </c>
      <c r="S1973" s="22">
        <f>IF($D1973="","",IF(AND(LEN($D1973)=10,LEFT($D1973,1)="0",ISNUMBER(--$D1973)),"Có","Không"))</f>
        <v/>
      </c>
      <c r="T1973" s="22">
        <f>IF($D1973="","",IF(AND($C1973&lt;&gt;"",$Q1973="Có",$R1973="",$S1973="Có",AND($L1973&lt;&gt;"",OR($L1973&lt;&gt;"Chưa xác định",DANH_MUC!$L$9="Có"))),"Có","Không"))</f>
        <v/>
      </c>
      <c r="U1973" s="22">
        <f>IF(OR($D1973="",$T1973="Có"),"",IF($C1973="","Thiếu họ tên; ","")&amp;IF($S1973&lt;&gt;"Có","SĐT sai định dạng; ","")&amp;IF($R1973="Trùng","Trùng SĐT; ","")&amp;IF($Q1973&lt;&gt;"Có","Thiếu đồng ý bắt buộc; ","")&amp;IF($L1973="","Thiếu/sai Mã REF; ",IF(AND($L1973="Chưa xác định",DANH_MUC!$L$9&lt;&gt;"Có"),"Nguồn chưa xác định; ","")))</f>
        <v/>
      </c>
      <c r="V1973" s="22">
        <f>IF(OR($D1973="",$R1973="Trùng"),"",IF(COUNTIF(ORDERS!$C$2:$C$4995,$D1973)&gt;0,"Có","Không"))</f>
        <v/>
      </c>
      <c r="W1973" s="22">
        <f>IF(OR($D1973="",$R1973="Trùng"),"",COUNTIFS(ORDERS!$C$2:$C$4995,$D1973,ORDERS!$L$2:$L$4995,"Đã chuyển khoản"))</f>
        <v/>
      </c>
      <c r="X1973" s="23">
        <f>IF(OR($D1973="",$R1973="Trùng"),"",SUMIFS(ORDERS!$J$2:$J$4995,ORDERS!$C$2:$C$4995,$D1973,ORDERS!$L$2:$L$4995,"Đã chuyển khoản"))</f>
        <v/>
      </c>
      <c r="Y1973" s="24" t="n"/>
    </row>
    <row r="1974" ht="14.25" customHeight="1" s="40">
      <c r="A1974" s="24" t="n"/>
      <c r="B1974" s="27" t="n"/>
      <c r="C1974" s="24" t="n"/>
      <c r="D1974" s="28" t="n"/>
      <c r="E1974" s="29" t="n"/>
      <c r="F1974" s="24" t="n"/>
      <c r="G1974" s="24" t="n"/>
      <c r="H1974" s="21">
        <f>IF(ISNUMBER($B1974),INT($B1974)-WEEKDAY($B1974,2)+1,"")</f>
        <v/>
      </c>
      <c r="I1974" s="24" t="n"/>
      <c r="J1974" s="22">
        <f t="array" ref="J1974">IF($D1974="","",IF($I1974="","(trống REF)",IFERROR(INDEX(MASTER_SOURCE!$B$2:$B$495,MATCH($I1974,MASTER_SOURCE!$A$2:$A$495,0)),"(REF không có trong MASTER_SOURCE)")))</f>
        <v/>
      </c>
      <c r="K1974" s="22">
        <f t="array" ref="K1974">IF($D1974="","",IFERROR(INDEX(MASTER_SOURCE!$C$2:$C$495,MATCH($I1974,MASTER_SOURCE!$A$2:$A$495,0)),""))</f>
        <v/>
      </c>
      <c r="L1974" s="22">
        <f t="array" ref="L1974">IF($D1974="","",IFERROR(INDEX(MASTER_SOURCE!$D$2:$D$495,MATCH($I1974,MASTER_SOURCE!$A$2:$A$495,0)),""))</f>
        <v/>
      </c>
      <c r="M1974" s="24" t="n"/>
      <c r="N1974" s="24" t="n"/>
      <c r="O1974" s="24" t="n"/>
      <c r="P1974" s="24" t="n"/>
      <c r="Q1974" s="22">
        <f>IF($D1974="","",IF(AND(OR(DANH_MUC!$L$5&lt;&gt;"Có",M1974="Có"),OR(DANH_MUC!$L$6&lt;&gt;"Có",N1974="Có"),OR(DANH_MUC!$L$7&lt;&gt;"Có",O1974="Có"),OR(DANH_MUC!$L$8&lt;&gt;"Có",P1974="Có")),"Có","Không"))</f>
        <v/>
      </c>
      <c r="R1974" s="22">
        <f>IF($D1974="","",IF(COUNTIF($D$2:$D1974,$D1974)&gt;1,"Trùng",""))</f>
        <v/>
      </c>
      <c r="S1974" s="22">
        <f>IF($D1974="","",IF(AND(LEN($D1974)=10,LEFT($D1974,1)="0",ISNUMBER(--$D1974)),"Có","Không"))</f>
        <v/>
      </c>
      <c r="T1974" s="22">
        <f>IF($D1974="","",IF(AND($C1974&lt;&gt;"",$Q1974="Có",$R1974="",$S1974="Có",AND($L1974&lt;&gt;"",OR($L1974&lt;&gt;"Chưa xác định",DANH_MUC!$L$9="Có"))),"Có","Không"))</f>
        <v/>
      </c>
      <c r="U1974" s="22">
        <f>IF(OR($D1974="",$T1974="Có"),"",IF($C1974="","Thiếu họ tên; ","")&amp;IF($S1974&lt;&gt;"Có","SĐT sai định dạng; ","")&amp;IF($R1974="Trùng","Trùng SĐT; ","")&amp;IF($Q1974&lt;&gt;"Có","Thiếu đồng ý bắt buộc; ","")&amp;IF($L1974="","Thiếu/sai Mã REF; ",IF(AND($L1974="Chưa xác định",DANH_MUC!$L$9&lt;&gt;"Có"),"Nguồn chưa xác định; ","")))</f>
        <v/>
      </c>
      <c r="V1974" s="22">
        <f>IF(OR($D1974="",$R1974="Trùng"),"",IF(COUNTIF(ORDERS!$C$2:$C$4995,$D1974)&gt;0,"Có","Không"))</f>
        <v/>
      </c>
      <c r="W1974" s="22">
        <f>IF(OR($D1974="",$R1974="Trùng"),"",COUNTIFS(ORDERS!$C$2:$C$4995,$D1974,ORDERS!$L$2:$L$4995,"Đã chuyển khoản"))</f>
        <v/>
      </c>
      <c r="X1974" s="23">
        <f>IF(OR($D1974="",$R1974="Trùng"),"",SUMIFS(ORDERS!$J$2:$J$4995,ORDERS!$C$2:$C$4995,$D1974,ORDERS!$L$2:$L$4995,"Đã chuyển khoản"))</f>
        <v/>
      </c>
      <c r="Y1974" s="24" t="n"/>
    </row>
    <row r="1975" ht="14.25" customHeight="1" s="40">
      <c r="A1975" s="24" t="n"/>
      <c r="B1975" s="27" t="n"/>
      <c r="C1975" s="24" t="n"/>
      <c r="D1975" s="28" t="n"/>
      <c r="E1975" s="29" t="n"/>
      <c r="F1975" s="24" t="n"/>
      <c r="G1975" s="24" t="n"/>
      <c r="H1975" s="21">
        <f>IF(ISNUMBER($B1975),INT($B1975)-WEEKDAY($B1975,2)+1,"")</f>
        <v/>
      </c>
      <c r="I1975" s="24" t="n"/>
      <c r="J1975" s="22">
        <f t="array" ref="J1975">IF($D1975="","",IF($I1975="","(trống REF)",IFERROR(INDEX(MASTER_SOURCE!$B$2:$B$495,MATCH($I1975,MASTER_SOURCE!$A$2:$A$495,0)),"(REF không có trong MASTER_SOURCE)")))</f>
        <v/>
      </c>
      <c r="K1975" s="22">
        <f t="array" ref="K1975">IF($D1975="","",IFERROR(INDEX(MASTER_SOURCE!$C$2:$C$495,MATCH($I1975,MASTER_SOURCE!$A$2:$A$495,0)),""))</f>
        <v/>
      </c>
      <c r="L1975" s="22">
        <f t="array" ref="L1975">IF($D1975="","",IFERROR(INDEX(MASTER_SOURCE!$D$2:$D$495,MATCH($I1975,MASTER_SOURCE!$A$2:$A$495,0)),""))</f>
        <v/>
      </c>
      <c r="M1975" s="24" t="n"/>
      <c r="N1975" s="24" t="n"/>
      <c r="O1975" s="24" t="n"/>
      <c r="P1975" s="24" t="n"/>
      <c r="Q1975" s="22">
        <f>IF($D1975="","",IF(AND(OR(DANH_MUC!$L$5&lt;&gt;"Có",M1975="Có"),OR(DANH_MUC!$L$6&lt;&gt;"Có",N1975="Có"),OR(DANH_MUC!$L$7&lt;&gt;"Có",O1975="Có"),OR(DANH_MUC!$L$8&lt;&gt;"Có",P1975="Có")),"Có","Không"))</f>
        <v/>
      </c>
      <c r="R1975" s="22">
        <f>IF($D1975="","",IF(COUNTIF($D$2:$D1975,$D1975)&gt;1,"Trùng",""))</f>
        <v/>
      </c>
      <c r="S1975" s="22">
        <f>IF($D1975="","",IF(AND(LEN($D1975)=10,LEFT($D1975,1)="0",ISNUMBER(--$D1975)),"Có","Không"))</f>
        <v/>
      </c>
      <c r="T1975" s="22">
        <f>IF($D1975="","",IF(AND($C1975&lt;&gt;"",$Q1975="Có",$R1975="",$S1975="Có",AND($L1975&lt;&gt;"",OR($L1975&lt;&gt;"Chưa xác định",DANH_MUC!$L$9="Có"))),"Có","Không"))</f>
        <v/>
      </c>
      <c r="U1975" s="22">
        <f>IF(OR($D1975="",$T1975="Có"),"",IF($C1975="","Thiếu họ tên; ","")&amp;IF($S1975&lt;&gt;"Có","SĐT sai định dạng; ","")&amp;IF($R1975="Trùng","Trùng SĐT; ","")&amp;IF($Q1975&lt;&gt;"Có","Thiếu đồng ý bắt buộc; ","")&amp;IF($L1975="","Thiếu/sai Mã REF; ",IF(AND($L1975="Chưa xác định",DANH_MUC!$L$9&lt;&gt;"Có"),"Nguồn chưa xác định; ","")))</f>
        <v/>
      </c>
      <c r="V1975" s="22">
        <f>IF(OR($D1975="",$R1975="Trùng"),"",IF(COUNTIF(ORDERS!$C$2:$C$4995,$D1975)&gt;0,"Có","Không"))</f>
        <v/>
      </c>
      <c r="W1975" s="22">
        <f>IF(OR($D1975="",$R1975="Trùng"),"",COUNTIFS(ORDERS!$C$2:$C$4995,$D1975,ORDERS!$L$2:$L$4995,"Đã chuyển khoản"))</f>
        <v/>
      </c>
      <c r="X1975" s="23">
        <f>IF(OR($D1975="",$R1975="Trùng"),"",SUMIFS(ORDERS!$J$2:$J$4995,ORDERS!$C$2:$C$4995,$D1975,ORDERS!$L$2:$L$4995,"Đã chuyển khoản"))</f>
        <v/>
      </c>
      <c r="Y1975" s="24" t="n"/>
    </row>
    <row r="1976" ht="14.25" customHeight="1" s="40">
      <c r="A1976" s="24" t="n"/>
      <c r="B1976" s="27" t="n"/>
      <c r="C1976" s="24" t="n"/>
      <c r="D1976" s="28" t="n"/>
      <c r="E1976" s="29" t="n"/>
      <c r="F1976" s="24" t="n"/>
      <c r="G1976" s="24" t="n"/>
      <c r="H1976" s="21">
        <f>IF(ISNUMBER($B1976),INT($B1976)-WEEKDAY($B1976,2)+1,"")</f>
        <v/>
      </c>
      <c r="I1976" s="24" t="n"/>
      <c r="J1976" s="22">
        <f t="array" ref="J1976">IF($D1976="","",IF($I1976="","(trống REF)",IFERROR(INDEX(MASTER_SOURCE!$B$2:$B$495,MATCH($I1976,MASTER_SOURCE!$A$2:$A$495,0)),"(REF không có trong MASTER_SOURCE)")))</f>
        <v/>
      </c>
      <c r="K1976" s="22">
        <f t="array" ref="K1976">IF($D1976="","",IFERROR(INDEX(MASTER_SOURCE!$C$2:$C$495,MATCH($I1976,MASTER_SOURCE!$A$2:$A$495,0)),""))</f>
        <v/>
      </c>
      <c r="L1976" s="22">
        <f t="array" ref="L1976">IF($D1976="","",IFERROR(INDEX(MASTER_SOURCE!$D$2:$D$495,MATCH($I1976,MASTER_SOURCE!$A$2:$A$495,0)),""))</f>
        <v/>
      </c>
      <c r="M1976" s="24" t="n"/>
      <c r="N1976" s="24" t="n"/>
      <c r="O1976" s="24" t="n"/>
      <c r="P1976" s="24" t="n"/>
      <c r="Q1976" s="22">
        <f>IF($D1976="","",IF(AND(OR(DANH_MUC!$L$5&lt;&gt;"Có",M1976="Có"),OR(DANH_MUC!$L$6&lt;&gt;"Có",N1976="Có"),OR(DANH_MUC!$L$7&lt;&gt;"Có",O1976="Có"),OR(DANH_MUC!$L$8&lt;&gt;"Có",P1976="Có")),"Có","Không"))</f>
        <v/>
      </c>
      <c r="R1976" s="22">
        <f>IF($D1976="","",IF(COUNTIF($D$2:$D1976,$D1976)&gt;1,"Trùng",""))</f>
        <v/>
      </c>
      <c r="S1976" s="22">
        <f>IF($D1976="","",IF(AND(LEN($D1976)=10,LEFT($D1976,1)="0",ISNUMBER(--$D1976)),"Có","Không"))</f>
        <v/>
      </c>
      <c r="T1976" s="22">
        <f>IF($D1976="","",IF(AND($C1976&lt;&gt;"",$Q1976="Có",$R1976="",$S1976="Có",AND($L1976&lt;&gt;"",OR($L1976&lt;&gt;"Chưa xác định",DANH_MUC!$L$9="Có"))),"Có","Không"))</f>
        <v/>
      </c>
      <c r="U1976" s="22">
        <f>IF(OR($D1976="",$T1976="Có"),"",IF($C1976="","Thiếu họ tên; ","")&amp;IF($S1976&lt;&gt;"Có","SĐT sai định dạng; ","")&amp;IF($R1976="Trùng","Trùng SĐT; ","")&amp;IF($Q1976&lt;&gt;"Có","Thiếu đồng ý bắt buộc; ","")&amp;IF($L1976="","Thiếu/sai Mã REF; ",IF(AND($L1976="Chưa xác định",DANH_MUC!$L$9&lt;&gt;"Có"),"Nguồn chưa xác định; ","")))</f>
        <v/>
      </c>
      <c r="V1976" s="22">
        <f>IF(OR($D1976="",$R1976="Trùng"),"",IF(COUNTIF(ORDERS!$C$2:$C$4995,$D1976)&gt;0,"Có","Không"))</f>
        <v/>
      </c>
      <c r="W1976" s="22">
        <f>IF(OR($D1976="",$R1976="Trùng"),"",COUNTIFS(ORDERS!$C$2:$C$4995,$D1976,ORDERS!$L$2:$L$4995,"Đã chuyển khoản"))</f>
        <v/>
      </c>
      <c r="X1976" s="23">
        <f>IF(OR($D1976="",$R1976="Trùng"),"",SUMIFS(ORDERS!$J$2:$J$4995,ORDERS!$C$2:$C$4995,$D1976,ORDERS!$L$2:$L$4995,"Đã chuyển khoản"))</f>
        <v/>
      </c>
      <c r="Y1976" s="24" t="n"/>
    </row>
    <row r="1977" ht="14.25" customHeight="1" s="40">
      <c r="A1977" s="24" t="n"/>
      <c r="B1977" s="27" t="n"/>
      <c r="C1977" s="24" t="n"/>
      <c r="D1977" s="28" t="n"/>
      <c r="E1977" s="29" t="n"/>
      <c r="F1977" s="24" t="n"/>
      <c r="G1977" s="24" t="n"/>
      <c r="H1977" s="21">
        <f>IF(ISNUMBER($B1977),INT($B1977)-WEEKDAY($B1977,2)+1,"")</f>
        <v/>
      </c>
      <c r="I1977" s="24" t="n"/>
      <c r="J1977" s="22">
        <f t="array" ref="J1977">IF($D1977="","",IF($I1977="","(trống REF)",IFERROR(INDEX(MASTER_SOURCE!$B$2:$B$495,MATCH($I1977,MASTER_SOURCE!$A$2:$A$495,0)),"(REF không có trong MASTER_SOURCE)")))</f>
        <v/>
      </c>
      <c r="K1977" s="22">
        <f t="array" ref="K1977">IF($D1977="","",IFERROR(INDEX(MASTER_SOURCE!$C$2:$C$495,MATCH($I1977,MASTER_SOURCE!$A$2:$A$495,0)),""))</f>
        <v/>
      </c>
      <c r="L1977" s="22">
        <f t="array" ref="L1977">IF($D1977="","",IFERROR(INDEX(MASTER_SOURCE!$D$2:$D$495,MATCH($I1977,MASTER_SOURCE!$A$2:$A$495,0)),""))</f>
        <v/>
      </c>
      <c r="M1977" s="24" t="n"/>
      <c r="N1977" s="24" t="n"/>
      <c r="O1977" s="24" t="n"/>
      <c r="P1977" s="24" t="n"/>
      <c r="Q1977" s="22">
        <f>IF($D1977="","",IF(AND(OR(DANH_MUC!$L$5&lt;&gt;"Có",M1977="Có"),OR(DANH_MUC!$L$6&lt;&gt;"Có",N1977="Có"),OR(DANH_MUC!$L$7&lt;&gt;"Có",O1977="Có"),OR(DANH_MUC!$L$8&lt;&gt;"Có",P1977="Có")),"Có","Không"))</f>
        <v/>
      </c>
      <c r="R1977" s="22">
        <f>IF($D1977="","",IF(COUNTIF($D$2:$D1977,$D1977)&gt;1,"Trùng",""))</f>
        <v/>
      </c>
      <c r="S1977" s="22">
        <f>IF($D1977="","",IF(AND(LEN($D1977)=10,LEFT($D1977,1)="0",ISNUMBER(--$D1977)),"Có","Không"))</f>
        <v/>
      </c>
      <c r="T1977" s="22">
        <f>IF($D1977="","",IF(AND($C1977&lt;&gt;"",$Q1977="Có",$R1977="",$S1977="Có",AND($L1977&lt;&gt;"",OR($L1977&lt;&gt;"Chưa xác định",DANH_MUC!$L$9="Có"))),"Có","Không"))</f>
        <v/>
      </c>
      <c r="U1977" s="22">
        <f>IF(OR($D1977="",$T1977="Có"),"",IF($C1977="","Thiếu họ tên; ","")&amp;IF($S1977&lt;&gt;"Có","SĐT sai định dạng; ","")&amp;IF($R1977="Trùng","Trùng SĐT; ","")&amp;IF($Q1977&lt;&gt;"Có","Thiếu đồng ý bắt buộc; ","")&amp;IF($L1977="","Thiếu/sai Mã REF; ",IF(AND($L1977="Chưa xác định",DANH_MUC!$L$9&lt;&gt;"Có"),"Nguồn chưa xác định; ","")))</f>
        <v/>
      </c>
      <c r="V1977" s="22">
        <f>IF(OR($D1977="",$R1977="Trùng"),"",IF(COUNTIF(ORDERS!$C$2:$C$4995,$D1977)&gt;0,"Có","Không"))</f>
        <v/>
      </c>
      <c r="W1977" s="22">
        <f>IF(OR($D1977="",$R1977="Trùng"),"",COUNTIFS(ORDERS!$C$2:$C$4995,$D1977,ORDERS!$L$2:$L$4995,"Đã chuyển khoản"))</f>
        <v/>
      </c>
      <c r="X1977" s="23">
        <f>IF(OR($D1977="",$R1977="Trùng"),"",SUMIFS(ORDERS!$J$2:$J$4995,ORDERS!$C$2:$C$4995,$D1977,ORDERS!$L$2:$L$4995,"Đã chuyển khoản"))</f>
        <v/>
      </c>
      <c r="Y1977" s="24" t="n"/>
    </row>
    <row r="1978" ht="14.25" customHeight="1" s="40">
      <c r="A1978" s="24" t="n"/>
      <c r="B1978" s="27" t="n"/>
      <c r="C1978" s="24" t="n"/>
      <c r="D1978" s="28" t="n"/>
      <c r="E1978" s="29" t="n"/>
      <c r="F1978" s="24" t="n"/>
      <c r="G1978" s="24" t="n"/>
      <c r="H1978" s="21">
        <f>IF(ISNUMBER($B1978),INT($B1978)-WEEKDAY($B1978,2)+1,"")</f>
        <v/>
      </c>
      <c r="I1978" s="24" t="n"/>
      <c r="J1978" s="22">
        <f t="array" ref="J1978">IF($D1978="","",IF($I1978="","(trống REF)",IFERROR(INDEX(MASTER_SOURCE!$B$2:$B$495,MATCH($I1978,MASTER_SOURCE!$A$2:$A$495,0)),"(REF không có trong MASTER_SOURCE)")))</f>
        <v/>
      </c>
      <c r="K1978" s="22">
        <f t="array" ref="K1978">IF($D1978="","",IFERROR(INDEX(MASTER_SOURCE!$C$2:$C$495,MATCH($I1978,MASTER_SOURCE!$A$2:$A$495,0)),""))</f>
        <v/>
      </c>
      <c r="L1978" s="22">
        <f t="array" ref="L1978">IF($D1978="","",IFERROR(INDEX(MASTER_SOURCE!$D$2:$D$495,MATCH($I1978,MASTER_SOURCE!$A$2:$A$495,0)),""))</f>
        <v/>
      </c>
      <c r="M1978" s="24" t="n"/>
      <c r="N1978" s="24" t="n"/>
      <c r="O1978" s="24" t="n"/>
      <c r="P1978" s="24" t="n"/>
      <c r="Q1978" s="22">
        <f>IF($D1978="","",IF(AND(OR(DANH_MUC!$L$5&lt;&gt;"Có",M1978="Có"),OR(DANH_MUC!$L$6&lt;&gt;"Có",N1978="Có"),OR(DANH_MUC!$L$7&lt;&gt;"Có",O1978="Có"),OR(DANH_MUC!$L$8&lt;&gt;"Có",P1978="Có")),"Có","Không"))</f>
        <v/>
      </c>
      <c r="R1978" s="22">
        <f>IF($D1978="","",IF(COUNTIF($D$2:$D1978,$D1978)&gt;1,"Trùng",""))</f>
        <v/>
      </c>
      <c r="S1978" s="22">
        <f>IF($D1978="","",IF(AND(LEN($D1978)=10,LEFT($D1978,1)="0",ISNUMBER(--$D1978)),"Có","Không"))</f>
        <v/>
      </c>
      <c r="T1978" s="22">
        <f>IF($D1978="","",IF(AND($C1978&lt;&gt;"",$Q1978="Có",$R1978="",$S1978="Có",AND($L1978&lt;&gt;"",OR($L1978&lt;&gt;"Chưa xác định",DANH_MUC!$L$9="Có"))),"Có","Không"))</f>
        <v/>
      </c>
      <c r="U1978" s="22">
        <f>IF(OR($D1978="",$T1978="Có"),"",IF($C1978="","Thiếu họ tên; ","")&amp;IF($S1978&lt;&gt;"Có","SĐT sai định dạng; ","")&amp;IF($R1978="Trùng","Trùng SĐT; ","")&amp;IF($Q1978&lt;&gt;"Có","Thiếu đồng ý bắt buộc; ","")&amp;IF($L1978="","Thiếu/sai Mã REF; ",IF(AND($L1978="Chưa xác định",DANH_MUC!$L$9&lt;&gt;"Có"),"Nguồn chưa xác định; ","")))</f>
        <v/>
      </c>
      <c r="V1978" s="22">
        <f>IF(OR($D1978="",$R1978="Trùng"),"",IF(COUNTIF(ORDERS!$C$2:$C$4995,$D1978)&gt;0,"Có","Không"))</f>
        <v/>
      </c>
      <c r="W1978" s="22">
        <f>IF(OR($D1978="",$R1978="Trùng"),"",COUNTIFS(ORDERS!$C$2:$C$4995,$D1978,ORDERS!$L$2:$L$4995,"Đã chuyển khoản"))</f>
        <v/>
      </c>
      <c r="X1978" s="23">
        <f>IF(OR($D1978="",$R1978="Trùng"),"",SUMIFS(ORDERS!$J$2:$J$4995,ORDERS!$C$2:$C$4995,$D1978,ORDERS!$L$2:$L$4995,"Đã chuyển khoản"))</f>
        <v/>
      </c>
      <c r="Y1978" s="24" t="n"/>
    </row>
    <row r="1979" ht="14.25" customHeight="1" s="40">
      <c r="A1979" s="24" t="n"/>
      <c r="B1979" s="27" t="n"/>
      <c r="C1979" s="24" t="n"/>
      <c r="D1979" s="28" t="n"/>
      <c r="E1979" s="29" t="n"/>
      <c r="F1979" s="24" t="n"/>
      <c r="G1979" s="24" t="n"/>
      <c r="H1979" s="21">
        <f>IF(ISNUMBER($B1979),INT($B1979)-WEEKDAY($B1979,2)+1,"")</f>
        <v/>
      </c>
      <c r="I1979" s="24" t="n"/>
      <c r="J1979" s="22">
        <f t="array" ref="J1979">IF($D1979="","",IF($I1979="","(trống REF)",IFERROR(INDEX(MASTER_SOURCE!$B$2:$B$495,MATCH($I1979,MASTER_SOURCE!$A$2:$A$495,0)),"(REF không có trong MASTER_SOURCE)")))</f>
        <v/>
      </c>
      <c r="K1979" s="22">
        <f t="array" ref="K1979">IF($D1979="","",IFERROR(INDEX(MASTER_SOURCE!$C$2:$C$495,MATCH($I1979,MASTER_SOURCE!$A$2:$A$495,0)),""))</f>
        <v/>
      </c>
      <c r="L1979" s="22">
        <f t="array" ref="L1979">IF($D1979="","",IFERROR(INDEX(MASTER_SOURCE!$D$2:$D$495,MATCH($I1979,MASTER_SOURCE!$A$2:$A$495,0)),""))</f>
        <v/>
      </c>
      <c r="M1979" s="24" t="n"/>
      <c r="N1979" s="24" t="n"/>
      <c r="O1979" s="24" t="n"/>
      <c r="P1979" s="24" t="n"/>
      <c r="Q1979" s="22">
        <f>IF($D1979="","",IF(AND(OR(DANH_MUC!$L$5&lt;&gt;"Có",M1979="Có"),OR(DANH_MUC!$L$6&lt;&gt;"Có",N1979="Có"),OR(DANH_MUC!$L$7&lt;&gt;"Có",O1979="Có"),OR(DANH_MUC!$L$8&lt;&gt;"Có",P1979="Có")),"Có","Không"))</f>
        <v/>
      </c>
      <c r="R1979" s="22">
        <f>IF($D1979="","",IF(COUNTIF($D$2:$D1979,$D1979)&gt;1,"Trùng",""))</f>
        <v/>
      </c>
      <c r="S1979" s="22">
        <f>IF($D1979="","",IF(AND(LEN($D1979)=10,LEFT($D1979,1)="0",ISNUMBER(--$D1979)),"Có","Không"))</f>
        <v/>
      </c>
      <c r="T1979" s="22">
        <f>IF($D1979="","",IF(AND($C1979&lt;&gt;"",$Q1979="Có",$R1979="",$S1979="Có",AND($L1979&lt;&gt;"",OR($L1979&lt;&gt;"Chưa xác định",DANH_MUC!$L$9="Có"))),"Có","Không"))</f>
        <v/>
      </c>
      <c r="U1979" s="22">
        <f>IF(OR($D1979="",$T1979="Có"),"",IF($C1979="","Thiếu họ tên; ","")&amp;IF($S1979&lt;&gt;"Có","SĐT sai định dạng; ","")&amp;IF($R1979="Trùng","Trùng SĐT; ","")&amp;IF($Q1979&lt;&gt;"Có","Thiếu đồng ý bắt buộc; ","")&amp;IF($L1979="","Thiếu/sai Mã REF; ",IF(AND($L1979="Chưa xác định",DANH_MUC!$L$9&lt;&gt;"Có"),"Nguồn chưa xác định; ","")))</f>
        <v/>
      </c>
      <c r="V1979" s="22">
        <f>IF(OR($D1979="",$R1979="Trùng"),"",IF(COUNTIF(ORDERS!$C$2:$C$4995,$D1979)&gt;0,"Có","Không"))</f>
        <v/>
      </c>
      <c r="W1979" s="22">
        <f>IF(OR($D1979="",$R1979="Trùng"),"",COUNTIFS(ORDERS!$C$2:$C$4995,$D1979,ORDERS!$L$2:$L$4995,"Đã chuyển khoản"))</f>
        <v/>
      </c>
      <c r="X1979" s="23">
        <f>IF(OR($D1979="",$R1979="Trùng"),"",SUMIFS(ORDERS!$J$2:$J$4995,ORDERS!$C$2:$C$4995,$D1979,ORDERS!$L$2:$L$4995,"Đã chuyển khoản"))</f>
        <v/>
      </c>
      <c r="Y1979" s="24" t="n"/>
    </row>
    <row r="1980" ht="14.25" customHeight="1" s="40">
      <c r="A1980" s="24" t="n"/>
      <c r="B1980" s="27" t="n"/>
      <c r="C1980" s="24" t="n"/>
      <c r="D1980" s="28" t="n"/>
      <c r="E1980" s="29" t="n"/>
      <c r="F1980" s="24" t="n"/>
      <c r="G1980" s="24" t="n"/>
      <c r="H1980" s="21">
        <f>IF(ISNUMBER($B1980),INT($B1980)-WEEKDAY($B1980,2)+1,"")</f>
        <v/>
      </c>
      <c r="I1980" s="24" t="n"/>
      <c r="J1980" s="22">
        <f t="array" ref="J1980">IF($D1980="","",IF($I1980="","(trống REF)",IFERROR(INDEX(MASTER_SOURCE!$B$2:$B$495,MATCH($I1980,MASTER_SOURCE!$A$2:$A$495,0)),"(REF không có trong MASTER_SOURCE)")))</f>
        <v/>
      </c>
      <c r="K1980" s="22">
        <f t="array" ref="K1980">IF($D1980="","",IFERROR(INDEX(MASTER_SOURCE!$C$2:$C$495,MATCH($I1980,MASTER_SOURCE!$A$2:$A$495,0)),""))</f>
        <v/>
      </c>
      <c r="L1980" s="22">
        <f t="array" ref="L1980">IF($D1980="","",IFERROR(INDEX(MASTER_SOURCE!$D$2:$D$495,MATCH($I1980,MASTER_SOURCE!$A$2:$A$495,0)),""))</f>
        <v/>
      </c>
      <c r="M1980" s="24" t="n"/>
      <c r="N1980" s="24" t="n"/>
      <c r="O1980" s="24" t="n"/>
      <c r="P1980" s="24" t="n"/>
      <c r="Q1980" s="22">
        <f>IF($D1980="","",IF(AND(OR(DANH_MUC!$L$5&lt;&gt;"Có",M1980="Có"),OR(DANH_MUC!$L$6&lt;&gt;"Có",N1980="Có"),OR(DANH_MUC!$L$7&lt;&gt;"Có",O1980="Có"),OR(DANH_MUC!$L$8&lt;&gt;"Có",P1980="Có")),"Có","Không"))</f>
        <v/>
      </c>
      <c r="R1980" s="22">
        <f>IF($D1980="","",IF(COUNTIF($D$2:$D1980,$D1980)&gt;1,"Trùng",""))</f>
        <v/>
      </c>
      <c r="S1980" s="22">
        <f>IF($D1980="","",IF(AND(LEN($D1980)=10,LEFT($D1980,1)="0",ISNUMBER(--$D1980)),"Có","Không"))</f>
        <v/>
      </c>
      <c r="T1980" s="22">
        <f>IF($D1980="","",IF(AND($C1980&lt;&gt;"",$Q1980="Có",$R1980="",$S1980="Có",AND($L1980&lt;&gt;"",OR($L1980&lt;&gt;"Chưa xác định",DANH_MUC!$L$9="Có"))),"Có","Không"))</f>
        <v/>
      </c>
      <c r="U1980" s="22">
        <f>IF(OR($D1980="",$T1980="Có"),"",IF($C1980="","Thiếu họ tên; ","")&amp;IF($S1980&lt;&gt;"Có","SĐT sai định dạng; ","")&amp;IF($R1980="Trùng","Trùng SĐT; ","")&amp;IF($Q1980&lt;&gt;"Có","Thiếu đồng ý bắt buộc; ","")&amp;IF($L1980="","Thiếu/sai Mã REF; ",IF(AND($L1980="Chưa xác định",DANH_MUC!$L$9&lt;&gt;"Có"),"Nguồn chưa xác định; ","")))</f>
        <v/>
      </c>
      <c r="V1980" s="22">
        <f>IF(OR($D1980="",$R1980="Trùng"),"",IF(COUNTIF(ORDERS!$C$2:$C$4995,$D1980)&gt;0,"Có","Không"))</f>
        <v/>
      </c>
      <c r="W1980" s="22">
        <f>IF(OR($D1980="",$R1980="Trùng"),"",COUNTIFS(ORDERS!$C$2:$C$4995,$D1980,ORDERS!$L$2:$L$4995,"Đã chuyển khoản"))</f>
        <v/>
      </c>
      <c r="X1980" s="23">
        <f>IF(OR($D1980="",$R1980="Trùng"),"",SUMIFS(ORDERS!$J$2:$J$4995,ORDERS!$C$2:$C$4995,$D1980,ORDERS!$L$2:$L$4995,"Đã chuyển khoản"))</f>
        <v/>
      </c>
      <c r="Y1980" s="24" t="n"/>
    </row>
    <row r="1981" ht="14.25" customHeight="1" s="40">
      <c r="A1981" s="24" t="n"/>
      <c r="B1981" s="27" t="n"/>
      <c r="C1981" s="24" t="n"/>
      <c r="D1981" s="28" t="n"/>
      <c r="E1981" s="29" t="n"/>
      <c r="F1981" s="24" t="n"/>
      <c r="G1981" s="24" t="n"/>
      <c r="H1981" s="21">
        <f>IF(ISNUMBER($B1981),INT($B1981)-WEEKDAY($B1981,2)+1,"")</f>
        <v/>
      </c>
      <c r="I1981" s="24" t="n"/>
      <c r="J1981" s="22">
        <f t="array" ref="J1981">IF($D1981="","",IF($I1981="","(trống REF)",IFERROR(INDEX(MASTER_SOURCE!$B$2:$B$495,MATCH($I1981,MASTER_SOURCE!$A$2:$A$495,0)),"(REF không có trong MASTER_SOURCE)")))</f>
        <v/>
      </c>
      <c r="K1981" s="22">
        <f t="array" ref="K1981">IF($D1981="","",IFERROR(INDEX(MASTER_SOURCE!$C$2:$C$495,MATCH($I1981,MASTER_SOURCE!$A$2:$A$495,0)),""))</f>
        <v/>
      </c>
      <c r="L1981" s="22">
        <f t="array" ref="L1981">IF($D1981="","",IFERROR(INDEX(MASTER_SOURCE!$D$2:$D$495,MATCH($I1981,MASTER_SOURCE!$A$2:$A$495,0)),""))</f>
        <v/>
      </c>
      <c r="M1981" s="24" t="n"/>
      <c r="N1981" s="24" t="n"/>
      <c r="O1981" s="24" t="n"/>
      <c r="P1981" s="24" t="n"/>
      <c r="Q1981" s="22">
        <f>IF($D1981="","",IF(AND(OR(DANH_MUC!$L$5&lt;&gt;"Có",M1981="Có"),OR(DANH_MUC!$L$6&lt;&gt;"Có",N1981="Có"),OR(DANH_MUC!$L$7&lt;&gt;"Có",O1981="Có"),OR(DANH_MUC!$L$8&lt;&gt;"Có",P1981="Có")),"Có","Không"))</f>
        <v/>
      </c>
      <c r="R1981" s="22">
        <f>IF($D1981="","",IF(COUNTIF($D$2:$D1981,$D1981)&gt;1,"Trùng",""))</f>
        <v/>
      </c>
      <c r="S1981" s="22">
        <f>IF($D1981="","",IF(AND(LEN($D1981)=10,LEFT($D1981,1)="0",ISNUMBER(--$D1981)),"Có","Không"))</f>
        <v/>
      </c>
      <c r="T1981" s="22">
        <f>IF($D1981="","",IF(AND($C1981&lt;&gt;"",$Q1981="Có",$R1981="",$S1981="Có",AND($L1981&lt;&gt;"",OR($L1981&lt;&gt;"Chưa xác định",DANH_MUC!$L$9="Có"))),"Có","Không"))</f>
        <v/>
      </c>
      <c r="U1981" s="22">
        <f>IF(OR($D1981="",$T1981="Có"),"",IF($C1981="","Thiếu họ tên; ","")&amp;IF($S1981&lt;&gt;"Có","SĐT sai định dạng; ","")&amp;IF($R1981="Trùng","Trùng SĐT; ","")&amp;IF($Q1981&lt;&gt;"Có","Thiếu đồng ý bắt buộc; ","")&amp;IF($L1981="","Thiếu/sai Mã REF; ",IF(AND($L1981="Chưa xác định",DANH_MUC!$L$9&lt;&gt;"Có"),"Nguồn chưa xác định; ","")))</f>
        <v/>
      </c>
      <c r="V1981" s="22">
        <f>IF(OR($D1981="",$R1981="Trùng"),"",IF(COUNTIF(ORDERS!$C$2:$C$4995,$D1981)&gt;0,"Có","Không"))</f>
        <v/>
      </c>
      <c r="W1981" s="22">
        <f>IF(OR($D1981="",$R1981="Trùng"),"",COUNTIFS(ORDERS!$C$2:$C$4995,$D1981,ORDERS!$L$2:$L$4995,"Đã chuyển khoản"))</f>
        <v/>
      </c>
      <c r="X1981" s="23">
        <f>IF(OR($D1981="",$R1981="Trùng"),"",SUMIFS(ORDERS!$J$2:$J$4995,ORDERS!$C$2:$C$4995,$D1981,ORDERS!$L$2:$L$4995,"Đã chuyển khoản"))</f>
        <v/>
      </c>
      <c r="Y1981" s="24" t="n"/>
    </row>
    <row r="1982" ht="14.25" customHeight="1" s="40">
      <c r="A1982" s="24" t="n"/>
      <c r="B1982" s="27" t="n"/>
      <c r="C1982" s="24" t="n"/>
      <c r="D1982" s="28" t="n"/>
      <c r="E1982" s="29" t="n"/>
      <c r="F1982" s="24" t="n"/>
      <c r="G1982" s="24" t="n"/>
      <c r="H1982" s="21">
        <f>IF(ISNUMBER($B1982),INT($B1982)-WEEKDAY($B1982,2)+1,"")</f>
        <v/>
      </c>
      <c r="I1982" s="24" t="n"/>
      <c r="J1982" s="22">
        <f t="array" ref="J1982">IF($D1982="","",IF($I1982="","(trống REF)",IFERROR(INDEX(MASTER_SOURCE!$B$2:$B$495,MATCH($I1982,MASTER_SOURCE!$A$2:$A$495,0)),"(REF không có trong MASTER_SOURCE)")))</f>
        <v/>
      </c>
      <c r="K1982" s="22">
        <f t="array" ref="K1982">IF($D1982="","",IFERROR(INDEX(MASTER_SOURCE!$C$2:$C$495,MATCH($I1982,MASTER_SOURCE!$A$2:$A$495,0)),""))</f>
        <v/>
      </c>
      <c r="L1982" s="22">
        <f t="array" ref="L1982">IF($D1982="","",IFERROR(INDEX(MASTER_SOURCE!$D$2:$D$495,MATCH($I1982,MASTER_SOURCE!$A$2:$A$495,0)),""))</f>
        <v/>
      </c>
      <c r="M1982" s="24" t="n"/>
      <c r="N1982" s="24" t="n"/>
      <c r="O1982" s="24" t="n"/>
      <c r="P1982" s="24" t="n"/>
      <c r="Q1982" s="22">
        <f>IF($D1982="","",IF(AND(OR(DANH_MUC!$L$5&lt;&gt;"Có",M1982="Có"),OR(DANH_MUC!$L$6&lt;&gt;"Có",N1982="Có"),OR(DANH_MUC!$L$7&lt;&gt;"Có",O1982="Có"),OR(DANH_MUC!$L$8&lt;&gt;"Có",P1982="Có")),"Có","Không"))</f>
        <v/>
      </c>
      <c r="R1982" s="22">
        <f>IF($D1982="","",IF(COUNTIF($D$2:$D1982,$D1982)&gt;1,"Trùng",""))</f>
        <v/>
      </c>
      <c r="S1982" s="22">
        <f>IF($D1982="","",IF(AND(LEN($D1982)=10,LEFT($D1982,1)="0",ISNUMBER(--$D1982)),"Có","Không"))</f>
        <v/>
      </c>
      <c r="T1982" s="22">
        <f>IF($D1982="","",IF(AND($C1982&lt;&gt;"",$Q1982="Có",$R1982="",$S1982="Có",AND($L1982&lt;&gt;"",OR($L1982&lt;&gt;"Chưa xác định",DANH_MUC!$L$9="Có"))),"Có","Không"))</f>
        <v/>
      </c>
      <c r="U1982" s="22">
        <f>IF(OR($D1982="",$T1982="Có"),"",IF($C1982="","Thiếu họ tên; ","")&amp;IF($S1982&lt;&gt;"Có","SĐT sai định dạng; ","")&amp;IF($R1982="Trùng","Trùng SĐT; ","")&amp;IF($Q1982&lt;&gt;"Có","Thiếu đồng ý bắt buộc; ","")&amp;IF($L1982="","Thiếu/sai Mã REF; ",IF(AND($L1982="Chưa xác định",DANH_MUC!$L$9&lt;&gt;"Có"),"Nguồn chưa xác định; ","")))</f>
        <v/>
      </c>
      <c r="V1982" s="22">
        <f>IF(OR($D1982="",$R1982="Trùng"),"",IF(COUNTIF(ORDERS!$C$2:$C$4995,$D1982)&gt;0,"Có","Không"))</f>
        <v/>
      </c>
      <c r="W1982" s="22">
        <f>IF(OR($D1982="",$R1982="Trùng"),"",COUNTIFS(ORDERS!$C$2:$C$4995,$D1982,ORDERS!$L$2:$L$4995,"Đã chuyển khoản"))</f>
        <v/>
      </c>
      <c r="X1982" s="23">
        <f>IF(OR($D1982="",$R1982="Trùng"),"",SUMIFS(ORDERS!$J$2:$J$4995,ORDERS!$C$2:$C$4995,$D1982,ORDERS!$L$2:$L$4995,"Đã chuyển khoản"))</f>
        <v/>
      </c>
      <c r="Y1982" s="24" t="n"/>
    </row>
    <row r="1983" ht="14.25" customHeight="1" s="40">
      <c r="A1983" s="24" t="n"/>
      <c r="B1983" s="27" t="n"/>
      <c r="C1983" s="24" t="n"/>
      <c r="D1983" s="28" t="n"/>
      <c r="E1983" s="29" t="n"/>
      <c r="F1983" s="24" t="n"/>
      <c r="G1983" s="24" t="n"/>
      <c r="H1983" s="21">
        <f>IF(ISNUMBER($B1983),INT($B1983)-WEEKDAY($B1983,2)+1,"")</f>
        <v/>
      </c>
      <c r="I1983" s="24" t="n"/>
      <c r="J1983" s="22">
        <f t="array" ref="J1983">IF($D1983="","",IF($I1983="","(trống REF)",IFERROR(INDEX(MASTER_SOURCE!$B$2:$B$495,MATCH($I1983,MASTER_SOURCE!$A$2:$A$495,0)),"(REF không có trong MASTER_SOURCE)")))</f>
        <v/>
      </c>
      <c r="K1983" s="22">
        <f t="array" ref="K1983">IF($D1983="","",IFERROR(INDEX(MASTER_SOURCE!$C$2:$C$495,MATCH($I1983,MASTER_SOURCE!$A$2:$A$495,0)),""))</f>
        <v/>
      </c>
      <c r="L1983" s="22">
        <f t="array" ref="L1983">IF($D1983="","",IFERROR(INDEX(MASTER_SOURCE!$D$2:$D$495,MATCH($I1983,MASTER_SOURCE!$A$2:$A$495,0)),""))</f>
        <v/>
      </c>
      <c r="M1983" s="24" t="n"/>
      <c r="N1983" s="24" t="n"/>
      <c r="O1983" s="24" t="n"/>
      <c r="P1983" s="24" t="n"/>
      <c r="Q1983" s="22">
        <f>IF($D1983="","",IF(AND(OR(DANH_MUC!$L$5&lt;&gt;"Có",M1983="Có"),OR(DANH_MUC!$L$6&lt;&gt;"Có",N1983="Có"),OR(DANH_MUC!$L$7&lt;&gt;"Có",O1983="Có"),OR(DANH_MUC!$L$8&lt;&gt;"Có",P1983="Có")),"Có","Không"))</f>
        <v/>
      </c>
      <c r="R1983" s="22">
        <f>IF($D1983="","",IF(COUNTIF($D$2:$D1983,$D1983)&gt;1,"Trùng",""))</f>
        <v/>
      </c>
      <c r="S1983" s="22">
        <f>IF($D1983="","",IF(AND(LEN($D1983)=10,LEFT($D1983,1)="0",ISNUMBER(--$D1983)),"Có","Không"))</f>
        <v/>
      </c>
      <c r="T1983" s="22">
        <f>IF($D1983="","",IF(AND($C1983&lt;&gt;"",$Q1983="Có",$R1983="",$S1983="Có",AND($L1983&lt;&gt;"",OR($L1983&lt;&gt;"Chưa xác định",DANH_MUC!$L$9="Có"))),"Có","Không"))</f>
        <v/>
      </c>
      <c r="U1983" s="22">
        <f>IF(OR($D1983="",$T1983="Có"),"",IF($C1983="","Thiếu họ tên; ","")&amp;IF($S1983&lt;&gt;"Có","SĐT sai định dạng; ","")&amp;IF($R1983="Trùng","Trùng SĐT; ","")&amp;IF($Q1983&lt;&gt;"Có","Thiếu đồng ý bắt buộc; ","")&amp;IF($L1983="","Thiếu/sai Mã REF; ",IF(AND($L1983="Chưa xác định",DANH_MUC!$L$9&lt;&gt;"Có"),"Nguồn chưa xác định; ","")))</f>
        <v/>
      </c>
      <c r="V1983" s="22">
        <f>IF(OR($D1983="",$R1983="Trùng"),"",IF(COUNTIF(ORDERS!$C$2:$C$4995,$D1983)&gt;0,"Có","Không"))</f>
        <v/>
      </c>
      <c r="W1983" s="22">
        <f>IF(OR($D1983="",$R1983="Trùng"),"",COUNTIFS(ORDERS!$C$2:$C$4995,$D1983,ORDERS!$L$2:$L$4995,"Đã chuyển khoản"))</f>
        <v/>
      </c>
      <c r="X1983" s="23">
        <f>IF(OR($D1983="",$R1983="Trùng"),"",SUMIFS(ORDERS!$J$2:$J$4995,ORDERS!$C$2:$C$4995,$D1983,ORDERS!$L$2:$L$4995,"Đã chuyển khoản"))</f>
        <v/>
      </c>
      <c r="Y1983" s="24" t="n"/>
    </row>
    <row r="1984" ht="14.25" customHeight="1" s="40">
      <c r="A1984" s="24" t="n"/>
      <c r="B1984" s="27" t="n"/>
      <c r="C1984" s="24" t="n"/>
      <c r="D1984" s="28" t="n"/>
      <c r="E1984" s="29" t="n"/>
      <c r="F1984" s="24" t="n"/>
      <c r="G1984" s="24" t="n"/>
      <c r="H1984" s="21">
        <f>IF(ISNUMBER($B1984),INT($B1984)-WEEKDAY($B1984,2)+1,"")</f>
        <v/>
      </c>
      <c r="I1984" s="24" t="n"/>
      <c r="J1984" s="22">
        <f t="array" ref="J1984">IF($D1984="","",IF($I1984="","(trống REF)",IFERROR(INDEX(MASTER_SOURCE!$B$2:$B$495,MATCH($I1984,MASTER_SOURCE!$A$2:$A$495,0)),"(REF không có trong MASTER_SOURCE)")))</f>
        <v/>
      </c>
      <c r="K1984" s="22">
        <f t="array" ref="K1984">IF($D1984="","",IFERROR(INDEX(MASTER_SOURCE!$C$2:$C$495,MATCH($I1984,MASTER_SOURCE!$A$2:$A$495,0)),""))</f>
        <v/>
      </c>
      <c r="L1984" s="22">
        <f t="array" ref="L1984">IF($D1984="","",IFERROR(INDEX(MASTER_SOURCE!$D$2:$D$495,MATCH($I1984,MASTER_SOURCE!$A$2:$A$495,0)),""))</f>
        <v/>
      </c>
      <c r="M1984" s="24" t="n"/>
      <c r="N1984" s="24" t="n"/>
      <c r="O1984" s="24" t="n"/>
      <c r="P1984" s="24" t="n"/>
      <c r="Q1984" s="22">
        <f>IF($D1984="","",IF(AND(OR(DANH_MUC!$L$5&lt;&gt;"Có",M1984="Có"),OR(DANH_MUC!$L$6&lt;&gt;"Có",N1984="Có"),OR(DANH_MUC!$L$7&lt;&gt;"Có",O1984="Có"),OR(DANH_MUC!$L$8&lt;&gt;"Có",P1984="Có")),"Có","Không"))</f>
        <v/>
      </c>
      <c r="R1984" s="22">
        <f>IF($D1984="","",IF(COUNTIF($D$2:$D1984,$D1984)&gt;1,"Trùng",""))</f>
        <v/>
      </c>
      <c r="S1984" s="22">
        <f>IF($D1984="","",IF(AND(LEN($D1984)=10,LEFT($D1984,1)="0",ISNUMBER(--$D1984)),"Có","Không"))</f>
        <v/>
      </c>
      <c r="T1984" s="22">
        <f>IF($D1984="","",IF(AND($C1984&lt;&gt;"",$Q1984="Có",$R1984="",$S1984="Có",AND($L1984&lt;&gt;"",OR($L1984&lt;&gt;"Chưa xác định",DANH_MUC!$L$9="Có"))),"Có","Không"))</f>
        <v/>
      </c>
      <c r="U1984" s="22">
        <f>IF(OR($D1984="",$T1984="Có"),"",IF($C1984="","Thiếu họ tên; ","")&amp;IF($S1984&lt;&gt;"Có","SĐT sai định dạng; ","")&amp;IF($R1984="Trùng","Trùng SĐT; ","")&amp;IF($Q1984&lt;&gt;"Có","Thiếu đồng ý bắt buộc; ","")&amp;IF($L1984="","Thiếu/sai Mã REF; ",IF(AND($L1984="Chưa xác định",DANH_MUC!$L$9&lt;&gt;"Có"),"Nguồn chưa xác định; ","")))</f>
        <v/>
      </c>
      <c r="V1984" s="22">
        <f>IF(OR($D1984="",$R1984="Trùng"),"",IF(COUNTIF(ORDERS!$C$2:$C$4995,$D1984)&gt;0,"Có","Không"))</f>
        <v/>
      </c>
      <c r="W1984" s="22">
        <f>IF(OR($D1984="",$R1984="Trùng"),"",COUNTIFS(ORDERS!$C$2:$C$4995,$D1984,ORDERS!$L$2:$L$4995,"Đã chuyển khoản"))</f>
        <v/>
      </c>
      <c r="X1984" s="23">
        <f>IF(OR($D1984="",$R1984="Trùng"),"",SUMIFS(ORDERS!$J$2:$J$4995,ORDERS!$C$2:$C$4995,$D1984,ORDERS!$L$2:$L$4995,"Đã chuyển khoản"))</f>
        <v/>
      </c>
      <c r="Y1984" s="24" t="n"/>
    </row>
    <row r="1985" ht="14.25" customHeight="1" s="40">
      <c r="A1985" s="24" t="n"/>
      <c r="B1985" s="27" t="n"/>
      <c r="C1985" s="24" t="n"/>
      <c r="D1985" s="28" t="n"/>
      <c r="E1985" s="29" t="n"/>
      <c r="F1985" s="24" t="n"/>
      <c r="G1985" s="24" t="n"/>
      <c r="H1985" s="21">
        <f>IF(ISNUMBER($B1985),INT($B1985)-WEEKDAY($B1985,2)+1,"")</f>
        <v/>
      </c>
      <c r="I1985" s="24" t="n"/>
      <c r="J1985" s="22">
        <f t="array" ref="J1985">IF($D1985="","",IF($I1985="","(trống REF)",IFERROR(INDEX(MASTER_SOURCE!$B$2:$B$495,MATCH($I1985,MASTER_SOURCE!$A$2:$A$495,0)),"(REF không có trong MASTER_SOURCE)")))</f>
        <v/>
      </c>
      <c r="K1985" s="22">
        <f t="array" ref="K1985">IF($D1985="","",IFERROR(INDEX(MASTER_SOURCE!$C$2:$C$495,MATCH($I1985,MASTER_SOURCE!$A$2:$A$495,0)),""))</f>
        <v/>
      </c>
      <c r="L1985" s="22">
        <f t="array" ref="L1985">IF($D1985="","",IFERROR(INDEX(MASTER_SOURCE!$D$2:$D$495,MATCH($I1985,MASTER_SOURCE!$A$2:$A$495,0)),""))</f>
        <v/>
      </c>
      <c r="M1985" s="24" t="n"/>
      <c r="N1985" s="24" t="n"/>
      <c r="O1985" s="24" t="n"/>
      <c r="P1985" s="24" t="n"/>
      <c r="Q1985" s="22">
        <f>IF($D1985="","",IF(AND(OR(DANH_MUC!$L$5&lt;&gt;"Có",M1985="Có"),OR(DANH_MUC!$L$6&lt;&gt;"Có",N1985="Có"),OR(DANH_MUC!$L$7&lt;&gt;"Có",O1985="Có"),OR(DANH_MUC!$L$8&lt;&gt;"Có",P1985="Có")),"Có","Không"))</f>
        <v/>
      </c>
      <c r="R1985" s="22">
        <f>IF($D1985="","",IF(COUNTIF($D$2:$D1985,$D1985)&gt;1,"Trùng",""))</f>
        <v/>
      </c>
      <c r="S1985" s="22">
        <f>IF($D1985="","",IF(AND(LEN($D1985)=10,LEFT($D1985,1)="0",ISNUMBER(--$D1985)),"Có","Không"))</f>
        <v/>
      </c>
      <c r="T1985" s="22">
        <f>IF($D1985="","",IF(AND($C1985&lt;&gt;"",$Q1985="Có",$R1985="",$S1985="Có",AND($L1985&lt;&gt;"",OR($L1985&lt;&gt;"Chưa xác định",DANH_MUC!$L$9="Có"))),"Có","Không"))</f>
        <v/>
      </c>
      <c r="U1985" s="22">
        <f>IF(OR($D1985="",$T1985="Có"),"",IF($C1985="","Thiếu họ tên; ","")&amp;IF($S1985&lt;&gt;"Có","SĐT sai định dạng; ","")&amp;IF($R1985="Trùng","Trùng SĐT; ","")&amp;IF($Q1985&lt;&gt;"Có","Thiếu đồng ý bắt buộc; ","")&amp;IF($L1985="","Thiếu/sai Mã REF; ",IF(AND($L1985="Chưa xác định",DANH_MUC!$L$9&lt;&gt;"Có"),"Nguồn chưa xác định; ","")))</f>
        <v/>
      </c>
      <c r="V1985" s="22">
        <f>IF(OR($D1985="",$R1985="Trùng"),"",IF(COUNTIF(ORDERS!$C$2:$C$4995,$D1985)&gt;0,"Có","Không"))</f>
        <v/>
      </c>
      <c r="W1985" s="22">
        <f>IF(OR($D1985="",$R1985="Trùng"),"",COUNTIFS(ORDERS!$C$2:$C$4995,$D1985,ORDERS!$L$2:$L$4995,"Đã chuyển khoản"))</f>
        <v/>
      </c>
      <c r="X1985" s="23">
        <f>IF(OR($D1985="",$R1985="Trùng"),"",SUMIFS(ORDERS!$J$2:$J$4995,ORDERS!$C$2:$C$4995,$D1985,ORDERS!$L$2:$L$4995,"Đã chuyển khoản"))</f>
        <v/>
      </c>
      <c r="Y1985" s="24" t="n"/>
    </row>
    <row r="1986" ht="14.25" customHeight="1" s="40">
      <c r="A1986" s="24" t="n"/>
      <c r="B1986" s="27" t="n"/>
      <c r="C1986" s="24" t="n"/>
      <c r="D1986" s="28" t="n"/>
      <c r="E1986" s="29" t="n"/>
      <c r="F1986" s="24" t="n"/>
      <c r="G1986" s="24" t="n"/>
      <c r="H1986" s="21">
        <f>IF(ISNUMBER($B1986),INT($B1986)-WEEKDAY($B1986,2)+1,"")</f>
        <v/>
      </c>
      <c r="I1986" s="24" t="n"/>
      <c r="J1986" s="22">
        <f t="array" ref="J1986">IF($D1986="","",IF($I1986="","(trống REF)",IFERROR(INDEX(MASTER_SOURCE!$B$2:$B$495,MATCH($I1986,MASTER_SOURCE!$A$2:$A$495,0)),"(REF không có trong MASTER_SOURCE)")))</f>
        <v/>
      </c>
      <c r="K1986" s="22">
        <f t="array" ref="K1986">IF($D1986="","",IFERROR(INDEX(MASTER_SOURCE!$C$2:$C$495,MATCH($I1986,MASTER_SOURCE!$A$2:$A$495,0)),""))</f>
        <v/>
      </c>
      <c r="L1986" s="22">
        <f t="array" ref="L1986">IF($D1986="","",IFERROR(INDEX(MASTER_SOURCE!$D$2:$D$495,MATCH($I1986,MASTER_SOURCE!$A$2:$A$495,0)),""))</f>
        <v/>
      </c>
      <c r="M1986" s="24" t="n"/>
      <c r="N1986" s="24" t="n"/>
      <c r="O1986" s="24" t="n"/>
      <c r="P1986" s="24" t="n"/>
      <c r="Q1986" s="22">
        <f>IF($D1986="","",IF(AND(OR(DANH_MUC!$L$5&lt;&gt;"Có",M1986="Có"),OR(DANH_MUC!$L$6&lt;&gt;"Có",N1986="Có"),OR(DANH_MUC!$L$7&lt;&gt;"Có",O1986="Có"),OR(DANH_MUC!$L$8&lt;&gt;"Có",P1986="Có")),"Có","Không"))</f>
        <v/>
      </c>
      <c r="R1986" s="22">
        <f>IF($D1986="","",IF(COUNTIF($D$2:$D1986,$D1986)&gt;1,"Trùng",""))</f>
        <v/>
      </c>
      <c r="S1986" s="22">
        <f>IF($D1986="","",IF(AND(LEN($D1986)=10,LEFT($D1986,1)="0",ISNUMBER(--$D1986)),"Có","Không"))</f>
        <v/>
      </c>
      <c r="T1986" s="22">
        <f>IF($D1986="","",IF(AND($C1986&lt;&gt;"",$Q1986="Có",$R1986="",$S1986="Có",AND($L1986&lt;&gt;"",OR($L1986&lt;&gt;"Chưa xác định",DANH_MUC!$L$9="Có"))),"Có","Không"))</f>
        <v/>
      </c>
      <c r="U1986" s="22">
        <f>IF(OR($D1986="",$T1986="Có"),"",IF($C1986="","Thiếu họ tên; ","")&amp;IF($S1986&lt;&gt;"Có","SĐT sai định dạng; ","")&amp;IF($R1986="Trùng","Trùng SĐT; ","")&amp;IF($Q1986&lt;&gt;"Có","Thiếu đồng ý bắt buộc; ","")&amp;IF($L1986="","Thiếu/sai Mã REF; ",IF(AND($L1986="Chưa xác định",DANH_MUC!$L$9&lt;&gt;"Có"),"Nguồn chưa xác định; ","")))</f>
        <v/>
      </c>
      <c r="V1986" s="22">
        <f>IF(OR($D1986="",$R1986="Trùng"),"",IF(COUNTIF(ORDERS!$C$2:$C$4995,$D1986)&gt;0,"Có","Không"))</f>
        <v/>
      </c>
      <c r="W1986" s="22">
        <f>IF(OR($D1986="",$R1986="Trùng"),"",COUNTIFS(ORDERS!$C$2:$C$4995,$D1986,ORDERS!$L$2:$L$4995,"Đã chuyển khoản"))</f>
        <v/>
      </c>
      <c r="X1986" s="23">
        <f>IF(OR($D1986="",$R1986="Trùng"),"",SUMIFS(ORDERS!$J$2:$J$4995,ORDERS!$C$2:$C$4995,$D1986,ORDERS!$L$2:$L$4995,"Đã chuyển khoản"))</f>
        <v/>
      </c>
      <c r="Y1986" s="24" t="n"/>
    </row>
    <row r="1987" ht="14.25" customHeight="1" s="40">
      <c r="A1987" s="24" t="n"/>
      <c r="B1987" s="27" t="n"/>
      <c r="C1987" s="24" t="n"/>
      <c r="D1987" s="28" t="n"/>
      <c r="E1987" s="29" t="n"/>
      <c r="F1987" s="24" t="n"/>
      <c r="G1987" s="24" t="n"/>
      <c r="H1987" s="21">
        <f>IF(ISNUMBER($B1987),INT($B1987)-WEEKDAY($B1987,2)+1,"")</f>
        <v/>
      </c>
      <c r="I1987" s="24" t="n"/>
      <c r="J1987" s="22">
        <f t="array" ref="J1987">IF($D1987="","",IF($I1987="","(trống REF)",IFERROR(INDEX(MASTER_SOURCE!$B$2:$B$495,MATCH($I1987,MASTER_SOURCE!$A$2:$A$495,0)),"(REF không có trong MASTER_SOURCE)")))</f>
        <v/>
      </c>
      <c r="K1987" s="22">
        <f t="array" ref="K1987">IF($D1987="","",IFERROR(INDEX(MASTER_SOURCE!$C$2:$C$495,MATCH($I1987,MASTER_SOURCE!$A$2:$A$495,0)),""))</f>
        <v/>
      </c>
      <c r="L1987" s="22">
        <f t="array" ref="L1987">IF($D1987="","",IFERROR(INDEX(MASTER_SOURCE!$D$2:$D$495,MATCH($I1987,MASTER_SOURCE!$A$2:$A$495,0)),""))</f>
        <v/>
      </c>
      <c r="M1987" s="24" t="n"/>
      <c r="N1987" s="24" t="n"/>
      <c r="O1987" s="24" t="n"/>
      <c r="P1987" s="24" t="n"/>
      <c r="Q1987" s="22">
        <f>IF($D1987="","",IF(AND(OR(DANH_MUC!$L$5&lt;&gt;"Có",M1987="Có"),OR(DANH_MUC!$L$6&lt;&gt;"Có",N1987="Có"),OR(DANH_MUC!$L$7&lt;&gt;"Có",O1987="Có"),OR(DANH_MUC!$L$8&lt;&gt;"Có",P1987="Có")),"Có","Không"))</f>
        <v/>
      </c>
      <c r="R1987" s="22">
        <f>IF($D1987="","",IF(COUNTIF($D$2:$D1987,$D1987)&gt;1,"Trùng",""))</f>
        <v/>
      </c>
      <c r="S1987" s="22">
        <f>IF($D1987="","",IF(AND(LEN($D1987)=10,LEFT($D1987,1)="0",ISNUMBER(--$D1987)),"Có","Không"))</f>
        <v/>
      </c>
      <c r="T1987" s="22">
        <f>IF($D1987="","",IF(AND($C1987&lt;&gt;"",$Q1987="Có",$R1987="",$S1987="Có",AND($L1987&lt;&gt;"",OR($L1987&lt;&gt;"Chưa xác định",DANH_MUC!$L$9="Có"))),"Có","Không"))</f>
        <v/>
      </c>
      <c r="U1987" s="22">
        <f>IF(OR($D1987="",$T1987="Có"),"",IF($C1987="","Thiếu họ tên; ","")&amp;IF($S1987&lt;&gt;"Có","SĐT sai định dạng; ","")&amp;IF($R1987="Trùng","Trùng SĐT; ","")&amp;IF($Q1987&lt;&gt;"Có","Thiếu đồng ý bắt buộc; ","")&amp;IF($L1987="","Thiếu/sai Mã REF; ",IF(AND($L1987="Chưa xác định",DANH_MUC!$L$9&lt;&gt;"Có"),"Nguồn chưa xác định; ","")))</f>
        <v/>
      </c>
      <c r="V1987" s="22">
        <f>IF(OR($D1987="",$R1987="Trùng"),"",IF(COUNTIF(ORDERS!$C$2:$C$4995,$D1987)&gt;0,"Có","Không"))</f>
        <v/>
      </c>
      <c r="W1987" s="22">
        <f>IF(OR($D1987="",$R1987="Trùng"),"",COUNTIFS(ORDERS!$C$2:$C$4995,$D1987,ORDERS!$L$2:$L$4995,"Đã chuyển khoản"))</f>
        <v/>
      </c>
      <c r="X1987" s="23">
        <f>IF(OR($D1987="",$R1987="Trùng"),"",SUMIFS(ORDERS!$J$2:$J$4995,ORDERS!$C$2:$C$4995,$D1987,ORDERS!$L$2:$L$4995,"Đã chuyển khoản"))</f>
        <v/>
      </c>
      <c r="Y1987" s="24" t="n"/>
    </row>
    <row r="1988" ht="14.25" customHeight="1" s="40">
      <c r="A1988" s="24" t="n"/>
      <c r="B1988" s="27" t="n"/>
      <c r="C1988" s="24" t="n"/>
      <c r="D1988" s="28" t="n"/>
      <c r="E1988" s="29" t="n"/>
      <c r="F1988" s="24" t="n"/>
      <c r="G1988" s="24" t="n"/>
      <c r="H1988" s="21">
        <f>IF(ISNUMBER($B1988),INT($B1988)-WEEKDAY($B1988,2)+1,"")</f>
        <v/>
      </c>
      <c r="I1988" s="24" t="n"/>
      <c r="J1988" s="22">
        <f t="array" ref="J1988">IF($D1988="","",IF($I1988="","(trống REF)",IFERROR(INDEX(MASTER_SOURCE!$B$2:$B$495,MATCH($I1988,MASTER_SOURCE!$A$2:$A$495,0)),"(REF không có trong MASTER_SOURCE)")))</f>
        <v/>
      </c>
      <c r="K1988" s="22">
        <f t="array" ref="K1988">IF($D1988="","",IFERROR(INDEX(MASTER_SOURCE!$C$2:$C$495,MATCH($I1988,MASTER_SOURCE!$A$2:$A$495,0)),""))</f>
        <v/>
      </c>
      <c r="L1988" s="22">
        <f t="array" ref="L1988">IF($D1988="","",IFERROR(INDEX(MASTER_SOURCE!$D$2:$D$495,MATCH($I1988,MASTER_SOURCE!$A$2:$A$495,0)),""))</f>
        <v/>
      </c>
      <c r="M1988" s="24" t="n"/>
      <c r="N1988" s="24" t="n"/>
      <c r="O1988" s="24" t="n"/>
      <c r="P1988" s="24" t="n"/>
      <c r="Q1988" s="22">
        <f>IF($D1988="","",IF(AND(OR(DANH_MUC!$L$5&lt;&gt;"Có",M1988="Có"),OR(DANH_MUC!$L$6&lt;&gt;"Có",N1988="Có"),OR(DANH_MUC!$L$7&lt;&gt;"Có",O1988="Có"),OR(DANH_MUC!$L$8&lt;&gt;"Có",P1988="Có")),"Có","Không"))</f>
        <v/>
      </c>
      <c r="R1988" s="22">
        <f>IF($D1988="","",IF(COUNTIF($D$2:$D1988,$D1988)&gt;1,"Trùng",""))</f>
        <v/>
      </c>
      <c r="S1988" s="22">
        <f>IF($D1988="","",IF(AND(LEN($D1988)=10,LEFT($D1988,1)="0",ISNUMBER(--$D1988)),"Có","Không"))</f>
        <v/>
      </c>
      <c r="T1988" s="22">
        <f>IF($D1988="","",IF(AND($C1988&lt;&gt;"",$Q1988="Có",$R1988="",$S1988="Có",AND($L1988&lt;&gt;"",OR($L1988&lt;&gt;"Chưa xác định",DANH_MUC!$L$9="Có"))),"Có","Không"))</f>
        <v/>
      </c>
      <c r="U1988" s="22">
        <f>IF(OR($D1988="",$T1988="Có"),"",IF($C1988="","Thiếu họ tên; ","")&amp;IF($S1988&lt;&gt;"Có","SĐT sai định dạng; ","")&amp;IF($R1988="Trùng","Trùng SĐT; ","")&amp;IF($Q1988&lt;&gt;"Có","Thiếu đồng ý bắt buộc; ","")&amp;IF($L1988="","Thiếu/sai Mã REF; ",IF(AND($L1988="Chưa xác định",DANH_MUC!$L$9&lt;&gt;"Có"),"Nguồn chưa xác định; ","")))</f>
        <v/>
      </c>
      <c r="V1988" s="22">
        <f>IF(OR($D1988="",$R1988="Trùng"),"",IF(COUNTIF(ORDERS!$C$2:$C$4995,$D1988)&gt;0,"Có","Không"))</f>
        <v/>
      </c>
      <c r="W1988" s="22">
        <f>IF(OR($D1988="",$R1988="Trùng"),"",COUNTIFS(ORDERS!$C$2:$C$4995,$D1988,ORDERS!$L$2:$L$4995,"Đã chuyển khoản"))</f>
        <v/>
      </c>
      <c r="X1988" s="23">
        <f>IF(OR($D1988="",$R1988="Trùng"),"",SUMIFS(ORDERS!$J$2:$J$4995,ORDERS!$C$2:$C$4995,$D1988,ORDERS!$L$2:$L$4995,"Đã chuyển khoản"))</f>
        <v/>
      </c>
      <c r="Y1988" s="24" t="n"/>
    </row>
    <row r="1989" ht="14.25" customHeight="1" s="40">
      <c r="A1989" s="24" t="n"/>
      <c r="B1989" s="27" t="n"/>
      <c r="C1989" s="24" t="n"/>
      <c r="D1989" s="28" t="n"/>
      <c r="E1989" s="29" t="n"/>
      <c r="F1989" s="24" t="n"/>
      <c r="G1989" s="24" t="n"/>
      <c r="H1989" s="21">
        <f>IF(ISNUMBER($B1989),INT($B1989)-WEEKDAY($B1989,2)+1,"")</f>
        <v/>
      </c>
      <c r="I1989" s="24" t="n"/>
      <c r="J1989" s="22">
        <f t="array" ref="J1989">IF($D1989="","",IF($I1989="","(trống REF)",IFERROR(INDEX(MASTER_SOURCE!$B$2:$B$495,MATCH($I1989,MASTER_SOURCE!$A$2:$A$495,0)),"(REF không có trong MASTER_SOURCE)")))</f>
        <v/>
      </c>
      <c r="K1989" s="22">
        <f t="array" ref="K1989">IF($D1989="","",IFERROR(INDEX(MASTER_SOURCE!$C$2:$C$495,MATCH($I1989,MASTER_SOURCE!$A$2:$A$495,0)),""))</f>
        <v/>
      </c>
      <c r="L1989" s="22">
        <f t="array" ref="L1989">IF($D1989="","",IFERROR(INDEX(MASTER_SOURCE!$D$2:$D$495,MATCH($I1989,MASTER_SOURCE!$A$2:$A$495,0)),""))</f>
        <v/>
      </c>
      <c r="M1989" s="24" t="n"/>
      <c r="N1989" s="24" t="n"/>
      <c r="O1989" s="24" t="n"/>
      <c r="P1989" s="24" t="n"/>
      <c r="Q1989" s="22">
        <f>IF($D1989="","",IF(AND(OR(DANH_MUC!$L$5&lt;&gt;"Có",M1989="Có"),OR(DANH_MUC!$L$6&lt;&gt;"Có",N1989="Có"),OR(DANH_MUC!$L$7&lt;&gt;"Có",O1989="Có"),OR(DANH_MUC!$L$8&lt;&gt;"Có",P1989="Có")),"Có","Không"))</f>
        <v/>
      </c>
      <c r="R1989" s="22">
        <f>IF($D1989="","",IF(COUNTIF($D$2:$D1989,$D1989)&gt;1,"Trùng",""))</f>
        <v/>
      </c>
      <c r="S1989" s="22">
        <f>IF($D1989="","",IF(AND(LEN($D1989)=10,LEFT($D1989,1)="0",ISNUMBER(--$D1989)),"Có","Không"))</f>
        <v/>
      </c>
      <c r="T1989" s="22">
        <f>IF($D1989="","",IF(AND($C1989&lt;&gt;"",$Q1989="Có",$R1989="",$S1989="Có",AND($L1989&lt;&gt;"",OR($L1989&lt;&gt;"Chưa xác định",DANH_MUC!$L$9="Có"))),"Có","Không"))</f>
        <v/>
      </c>
      <c r="U1989" s="22">
        <f>IF(OR($D1989="",$T1989="Có"),"",IF($C1989="","Thiếu họ tên; ","")&amp;IF($S1989&lt;&gt;"Có","SĐT sai định dạng; ","")&amp;IF($R1989="Trùng","Trùng SĐT; ","")&amp;IF($Q1989&lt;&gt;"Có","Thiếu đồng ý bắt buộc; ","")&amp;IF($L1989="","Thiếu/sai Mã REF; ",IF(AND($L1989="Chưa xác định",DANH_MUC!$L$9&lt;&gt;"Có"),"Nguồn chưa xác định; ","")))</f>
        <v/>
      </c>
      <c r="V1989" s="22">
        <f>IF(OR($D1989="",$R1989="Trùng"),"",IF(COUNTIF(ORDERS!$C$2:$C$4995,$D1989)&gt;0,"Có","Không"))</f>
        <v/>
      </c>
      <c r="W1989" s="22">
        <f>IF(OR($D1989="",$R1989="Trùng"),"",COUNTIFS(ORDERS!$C$2:$C$4995,$D1989,ORDERS!$L$2:$L$4995,"Đã chuyển khoản"))</f>
        <v/>
      </c>
      <c r="X1989" s="23">
        <f>IF(OR($D1989="",$R1989="Trùng"),"",SUMIFS(ORDERS!$J$2:$J$4995,ORDERS!$C$2:$C$4995,$D1989,ORDERS!$L$2:$L$4995,"Đã chuyển khoản"))</f>
        <v/>
      </c>
      <c r="Y1989" s="24" t="n"/>
    </row>
    <row r="1990" ht="14.25" customHeight="1" s="40">
      <c r="A1990" s="24" t="n"/>
      <c r="B1990" s="27" t="n"/>
      <c r="C1990" s="24" t="n"/>
      <c r="D1990" s="28" t="n"/>
      <c r="E1990" s="29" t="n"/>
      <c r="F1990" s="24" t="n"/>
      <c r="G1990" s="24" t="n"/>
      <c r="H1990" s="21">
        <f>IF(ISNUMBER($B1990),INT($B1990)-WEEKDAY($B1990,2)+1,"")</f>
        <v/>
      </c>
      <c r="I1990" s="24" t="n"/>
      <c r="J1990" s="22">
        <f t="array" ref="J1990">IF($D1990="","",IF($I1990="","(trống REF)",IFERROR(INDEX(MASTER_SOURCE!$B$2:$B$495,MATCH($I1990,MASTER_SOURCE!$A$2:$A$495,0)),"(REF không có trong MASTER_SOURCE)")))</f>
        <v/>
      </c>
      <c r="K1990" s="22">
        <f t="array" ref="K1990">IF($D1990="","",IFERROR(INDEX(MASTER_SOURCE!$C$2:$C$495,MATCH($I1990,MASTER_SOURCE!$A$2:$A$495,0)),""))</f>
        <v/>
      </c>
      <c r="L1990" s="22">
        <f t="array" ref="L1990">IF($D1990="","",IFERROR(INDEX(MASTER_SOURCE!$D$2:$D$495,MATCH($I1990,MASTER_SOURCE!$A$2:$A$495,0)),""))</f>
        <v/>
      </c>
      <c r="M1990" s="24" t="n"/>
      <c r="N1990" s="24" t="n"/>
      <c r="O1990" s="24" t="n"/>
      <c r="P1990" s="24" t="n"/>
      <c r="Q1990" s="22">
        <f>IF($D1990="","",IF(AND(OR(DANH_MUC!$L$5&lt;&gt;"Có",M1990="Có"),OR(DANH_MUC!$L$6&lt;&gt;"Có",N1990="Có"),OR(DANH_MUC!$L$7&lt;&gt;"Có",O1990="Có"),OR(DANH_MUC!$L$8&lt;&gt;"Có",P1990="Có")),"Có","Không"))</f>
        <v/>
      </c>
      <c r="R1990" s="22">
        <f>IF($D1990="","",IF(COUNTIF($D$2:$D1990,$D1990)&gt;1,"Trùng",""))</f>
        <v/>
      </c>
      <c r="S1990" s="22">
        <f>IF($D1990="","",IF(AND(LEN($D1990)=10,LEFT($D1990,1)="0",ISNUMBER(--$D1990)),"Có","Không"))</f>
        <v/>
      </c>
      <c r="T1990" s="22">
        <f>IF($D1990="","",IF(AND($C1990&lt;&gt;"",$Q1990="Có",$R1990="",$S1990="Có",AND($L1990&lt;&gt;"",OR($L1990&lt;&gt;"Chưa xác định",DANH_MUC!$L$9="Có"))),"Có","Không"))</f>
        <v/>
      </c>
      <c r="U1990" s="22">
        <f>IF(OR($D1990="",$T1990="Có"),"",IF($C1990="","Thiếu họ tên; ","")&amp;IF($S1990&lt;&gt;"Có","SĐT sai định dạng; ","")&amp;IF($R1990="Trùng","Trùng SĐT; ","")&amp;IF($Q1990&lt;&gt;"Có","Thiếu đồng ý bắt buộc; ","")&amp;IF($L1990="","Thiếu/sai Mã REF; ",IF(AND($L1990="Chưa xác định",DANH_MUC!$L$9&lt;&gt;"Có"),"Nguồn chưa xác định; ","")))</f>
        <v/>
      </c>
      <c r="V1990" s="22">
        <f>IF(OR($D1990="",$R1990="Trùng"),"",IF(COUNTIF(ORDERS!$C$2:$C$4995,$D1990)&gt;0,"Có","Không"))</f>
        <v/>
      </c>
      <c r="W1990" s="22">
        <f>IF(OR($D1990="",$R1990="Trùng"),"",COUNTIFS(ORDERS!$C$2:$C$4995,$D1990,ORDERS!$L$2:$L$4995,"Đã chuyển khoản"))</f>
        <v/>
      </c>
      <c r="X1990" s="23">
        <f>IF(OR($D1990="",$R1990="Trùng"),"",SUMIFS(ORDERS!$J$2:$J$4995,ORDERS!$C$2:$C$4995,$D1990,ORDERS!$L$2:$L$4995,"Đã chuyển khoản"))</f>
        <v/>
      </c>
      <c r="Y1990" s="24" t="n"/>
    </row>
    <row r="1991" ht="14.25" customHeight="1" s="40">
      <c r="A1991" s="24" t="n"/>
      <c r="B1991" s="27" t="n"/>
      <c r="C1991" s="24" t="n"/>
      <c r="D1991" s="28" t="n"/>
      <c r="E1991" s="29" t="n"/>
      <c r="F1991" s="24" t="n"/>
      <c r="G1991" s="24" t="n"/>
      <c r="H1991" s="21">
        <f>IF(ISNUMBER($B1991),INT($B1991)-WEEKDAY($B1991,2)+1,"")</f>
        <v/>
      </c>
      <c r="I1991" s="24" t="n"/>
      <c r="J1991" s="22">
        <f t="array" ref="J1991">IF($D1991="","",IF($I1991="","(trống REF)",IFERROR(INDEX(MASTER_SOURCE!$B$2:$B$495,MATCH($I1991,MASTER_SOURCE!$A$2:$A$495,0)),"(REF không có trong MASTER_SOURCE)")))</f>
        <v/>
      </c>
      <c r="K1991" s="22">
        <f t="array" ref="K1991">IF($D1991="","",IFERROR(INDEX(MASTER_SOURCE!$C$2:$C$495,MATCH($I1991,MASTER_SOURCE!$A$2:$A$495,0)),""))</f>
        <v/>
      </c>
      <c r="L1991" s="22">
        <f t="array" ref="L1991">IF($D1991="","",IFERROR(INDEX(MASTER_SOURCE!$D$2:$D$495,MATCH($I1991,MASTER_SOURCE!$A$2:$A$495,0)),""))</f>
        <v/>
      </c>
      <c r="M1991" s="24" t="n"/>
      <c r="N1991" s="24" t="n"/>
      <c r="O1991" s="24" t="n"/>
      <c r="P1991" s="24" t="n"/>
      <c r="Q1991" s="22">
        <f>IF($D1991="","",IF(AND(OR(DANH_MUC!$L$5&lt;&gt;"Có",M1991="Có"),OR(DANH_MUC!$L$6&lt;&gt;"Có",N1991="Có"),OR(DANH_MUC!$L$7&lt;&gt;"Có",O1991="Có"),OR(DANH_MUC!$L$8&lt;&gt;"Có",P1991="Có")),"Có","Không"))</f>
        <v/>
      </c>
      <c r="R1991" s="22">
        <f>IF($D1991="","",IF(COUNTIF($D$2:$D1991,$D1991)&gt;1,"Trùng",""))</f>
        <v/>
      </c>
      <c r="S1991" s="22">
        <f>IF($D1991="","",IF(AND(LEN($D1991)=10,LEFT($D1991,1)="0",ISNUMBER(--$D1991)),"Có","Không"))</f>
        <v/>
      </c>
      <c r="T1991" s="22">
        <f>IF($D1991="","",IF(AND($C1991&lt;&gt;"",$Q1991="Có",$R1991="",$S1991="Có",AND($L1991&lt;&gt;"",OR($L1991&lt;&gt;"Chưa xác định",DANH_MUC!$L$9="Có"))),"Có","Không"))</f>
        <v/>
      </c>
      <c r="U1991" s="22">
        <f>IF(OR($D1991="",$T1991="Có"),"",IF($C1991="","Thiếu họ tên; ","")&amp;IF($S1991&lt;&gt;"Có","SĐT sai định dạng; ","")&amp;IF($R1991="Trùng","Trùng SĐT; ","")&amp;IF($Q1991&lt;&gt;"Có","Thiếu đồng ý bắt buộc; ","")&amp;IF($L1991="","Thiếu/sai Mã REF; ",IF(AND($L1991="Chưa xác định",DANH_MUC!$L$9&lt;&gt;"Có"),"Nguồn chưa xác định; ","")))</f>
        <v/>
      </c>
      <c r="V1991" s="22">
        <f>IF(OR($D1991="",$R1991="Trùng"),"",IF(COUNTIF(ORDERS!$C$2:$C$4995,$D1991)&gt;0,"Có","Không"))</f>
        <v/>
      </c>
      <c r="W1991" s="22">
        <f>IF(OR($D1991="",$R1991="Trùng"),"",COUNTIFS(ORDERS!$C$2:$C$4995,$D1991,ORDERS!$L$2:$L$4995,"Đã chuyển khoản"))</f>
        <v/>
      </c>
      <c r="X1991" s="23">
        <f>IF(OR($D1991="",$R1991="Trùng"),"",SUMIFS(ORDERS!$J$2:$J$4995,ORDERS!$C$2:$C$4995,$D1991,ORDERS!$L$2:$L$4995,"Đã chuyển khoản"))</f>
        <v/>
      </c>
      <c r="Y1991" s="24" t="n"/>
    </row>
    <row r="1992" ht="14.25" customHeight="1" s="40">
      <c r="A1992" s="24" t="n"/>
      <c r="B1992" s="27" t="n"/>
      <c r="C1992" s="24" t="n"/>
      <c r="D1992" s="28" t="n"/>
      <c r="E1992" s="29" t="n"/>
      <c r="F1992" s="24" t="n"/>
      <c r="G1992" s="24" t="n"/>
      <c r="H1992" s="21">
        <f>IF(ISNUMBER($B1992),INT($B1992)-WEEKDAY($B1992,2)+1,"")</f>
        <v/>
      </c>
      <c r="I1992" s="24" t="n"/>
      <c r="J1992" s="22">
        <f t="array" ref="J1992">IF($D1992="","",IF($I1992="","(trống REF)",IFERROR(INDEX(MASTER_SOURCE!$B$2:$B$495,MATCH($I1992,MASTER_SOURCE!$A$2:$A$495,0)),"(REF không có trong MASTER_SOURCE)")))</f>
        <v/>
      </c>
      <c r="K1992" s="22">
        <f t="array" ref="K1992">IF($D1992="","",IFERROR(INDEX(MASTER_SOURCE!$C$2:$C$495,MATCH($I1992,MASTER_SOURCE!$A$2:$A$495,0)),""))</f>
        <v/>
      </c>
      <c r="L1992" s="22">
        <f t="array" ref="L1992">IF($D1992="","",IFERROR(INDEX(MASTER_SOURCE!$D$2:$D$495,MATCH($I1992,MASTER_SOURCE!$A$2:$A$495,0)),""))</f>
        <v/>
      </c>
      <c r="M1992" s="24" t="n"/>
      <c r="N1992" s="24" t="n"/>
      <c r="O1992" s="24" t="n"/>
      <c r="P1992" s="24" t="n"/>
      <c r="Q1992" s="22">
        <f>IF($D1992="","",IF(AND(OR(DANH_MUC!$L$5&lt;&gt;"Có",M1992="Có"),OR(DANH_MUC!$L$6&lt;&gt;"Có",N1992="Có"),OR(DANH_MUC!$L$7&lt;&gt;"Có",O1992="Có"),OR(DANH_MUC!$L$8&lt;&gt;"Có",P1992="Có")),"Có","Không"))</f>
        <v/>
      </c>
      <c r="R1992" s="22">
        <f>IF($D1992="","",IF(COUNTIF($D$2:$D1992,$D1992)&gt;1,"Trùng",""))</f>
        <v/>
      </c>
      <c r="S1992" s="22">
        <f>IF($D1992="","",IF(AND(LEN($D1992)=10,LEFT($D1992,1)="0",ISNUMBER(--$D1992)),"Có","Không"))</f>
        <v/>
      </c>
      <c r="T1992" s="22">
        <f>IF($D1992="","",IF(AND($C1992&lt;&gt;"",$Q1992="Có",$R1992="",$S1992="Có",AND($L1992&lt;&gt;"",OR($L1992&lt;&gt;"Chưa xác định",DANH_MUC!$L$9="Có"))),"Có","Không"))</f>
        <v/>
      </c>
      <c r="U1992" s="22">
        <f>IF(OR($D1992="",$T1992="Có"),"",IF($C1992="","Thiếu họ tên; ","")&amp;IF($S1992&lt;&gt;"Có","SĐT sai định dạng; ","")&amp;IF($R1992="Trùng","Trùng SĐT; ","")&amp;IF($Q1992&lt;&gt;"Có","Thiếu đồng ý bắt buộc; ","")&amp;IF($L1992="","Thiếu/sai Mã REF; ",IF(AND($L1992="Chưa xác định",DANH_MUC!$L$9&lt;&gt;"Có"),"Nguồn chưa xác định; ","")))</f>
        <v/>
      </c>
      <c r="V1992" s="22">
        <f>IF(OR($D1992="",$R1992="Trùng"),"",IF(COUNTIF(ORDERS!$C$2:$C$4995,$D1992)&gt;0,"Có","Không"))</f>
        <v/>
      </c>
      <c r="W1992" s="22">
        <f>IF(OR($D1992="",$R1992="Trùng"),"",COUNTIFS(ORDERS!$C$2:$C$4995,$D1992,ORDERS!$L$2:$L$4995,"Đã chuyển khoản"))</f>
        <v/>
      </c>
      <c r="X1992" s="23">
        <f>IF(OR($D1992="",$R1992="Trùng"),"",SUMIFS(ORDERS!$J$2:$J$4995,ORDERS!$C$2:$C$4995,$D1992,ORDERS!$L$2:$L$4995,"Đã chuyển khoản"))</f>
        <v/>
      </c>
      <c r="Y1992" s="24" t="n"/>
    </row>
    <row r="1993" ht="14.25" customHeight="1" s="40">
      <c r="A1993" s="24" t="n"/>
      <c r="B1993" s="27" t="n"/>
      <c r="C1993" s="24" t="n"/>
      <c r="D1993" s="28" t="n"/>
      <c r="E1993" s="29" t="n"/>
      <c r="F1993" s="24" t="n"/>
      <c r="G1993" s="24" t="n"/>
      <c r="H1993" s="21">
        <f>IF(ISNUMBER($B1993),INT($B1993)-WEEKDAY($B1993,2)+1,"")</f>
        <v/>
      </c>
      <c r="I1993" s="24" t="n"/>
      <c r="J1993" s="22">
        <f t="array" ref="J1993">IF($D1993="","",IF($I1993="","(trống REF)",IFERROR(INDEX(MASTER_SOURCE!$B$2:$B$495,MATCH($I1993,MASTER_SOURCE!$A$2:$A$495,0)),"(REF không có trong MASTER_SOURCE)")))</f>
        <v/>
      </c>
      <c r="K1993" s="22">
        <f t="array" ref="K1993">IF($D1993="","",IFERROR(INDEX(MASTER_SOURCE!$C$2:$C$495,MATCH($I1993,MASTER_SOURCE!$A$2:$A$495,0)),""))</f>
        <v/>
      </c>
      <c r="L1993" s="22">
        <f t="array" ref="L1993">IF($D1993="","",IFERROR(INDEX(MASTER_SOURCE!$D$2:$D$495,MATCH($I1993,MASTER_SOURCE!$A$2:$A$495,0)),""))</f>
        <v/>
      </c>
      <c r="M1993" s="24" t="n"/>
      <c r="N1993" s="24" t="n"/>
      <c r="O1993" s="24" t="n"/>
      <c r="P1993" s="24" t="n"/>
      <c r="Q1993" s="22">
        <f>IF($D1993="","",IF(AND(OR(DANH_MUC!$L$5&lt;&gt;"Có",M1993="Có"),OR(DANH_MUC!$L$6&lt;&gt;"Có",N1993="Có"),OR(DANH_MUC!$L$7&lt;&gt;"Có",O1993="Có"),OR(DANH_MUC!$L$8&lt;&gt;"Có",P1993="Có")),"Có","Không"))</f>
        <v/>
      </c>
      <c r="R1993" s="22">
        <f>IF($D1993="","",IF(COUNTIF($D$2:$D1993,$D1993)&gt;1,"Trùng",""))</f>
        <v/>
      </c>
      <c r="S1993" s="22">
        <f>IF($D1993="","",IF(AND(LEN($D1993)=10,LEFT($D1993,1)="0",ISNUMBER(--$D1993)),"Có","Không"))</f>
        <v/>
      </c>
      <c r="T1993" s="22">
        <f>IF($D1993="","",IF(AND($C1993&lt;&gt;"",$Q1993="Có",$R1993="",$S1993="Có",AND($L1993&lt;&gt;"",OR($L1993&lt;&gt;"Chưa xác định",DANH_MUC!$L$9="Có"))),"Có","Không"))</f>
        <v/>
      </c>
      <c r="U1993" s="22">
        <f>IF(OR($D1993="",$T1993="Có"),"",IF($C1993="","Thiếu họ tên; ","")&amp;IF($S1993&lt;&gt;"Có","SĐT sai định dạng; ","")&amp;IF($R1993="Trùng","Trùng SĐT; ","")&amp;IF($Q1993&lt;&gt;"Có","Thiếu đồng ý bắt buộc; ","")&amp;IF($L1993="","Thiếu/sai Mã REF; ",IF(AND($L1993="Chưa xác định",DANH_MUC!$L$9&lt;&gt;"Có"),"Nguồn chưa xác định; ","")))</f>
        <v/>
      </c>
      <c r="V1993" s="22">
        <f>IF(OR($D1993="",$R1993="Trùng"),"",IF(COUNTIF(ORDERS!$C$2:$C$4995,$D1993)&gt;0,"Có","Không"))</f>
        <v/>
      </c>
      <c r="W1993" s="22">
        <f>IF(OR($D1993="",$R1993="Trùng"),"",COUNTIFS(ORDERS!$C$2:$C$4995,$D1993,ORDERS!$L$2:$L$4995,"Đã chuyển khoản"))</f>
        <v/>
      </c>
      <c r="X1993" s="23">
        <f>IF(OR($D1993="",$R1993="Trùng"),"",SUMIFS(ORDERS!$J$2:$J$4995,ORDERS!$C$2:$C$4995,$D1993,ORDERS!$L$2:$L$4995,"Đã chuyển khoản"))</f>
        <v/>
      </c>
      <c r="Y1993" s="24" t="n"/>
    </row>
    <row r="1994" ht="14.25" customHeight="1" s="40">
      <c r="A1994" s="24" t="n"/>
      <c r="B1994" s="27" t="n"/>
      <c r="C1994" s="24" t="n"/>
      <c r="D1994" s="28" t="n"/>
      <c r="E1994" s="29" t="n"/>
      <c r="F1994" s="24" t="n"/>
      <c r="G1994" s="24" t="n"/>
      <c r="H1994" s="21">
        <f>IF(ISNUMBER($B1994),INT($B1994)-WEEKDAY($B1994,2)+1,"")</f>
        <v/>
      </c>
      <c r="I1994" s="24" t="n"/>
      <c r="J1994" s="22">
        <f t="array" ref="J1994">IF($D1994="","",IF($I1994="","(trống REF)",IFERROR(INDEX(MASTER_SOURCE!$B$2:$B$495,MATCH($I1994,MASTER_SOURCE!$A$2:$A$495,0)),"(REF không có trong MASTER_SOURCE)")))</f>
        <v/>
      </c>
      <c r="K1994" s="22">
        <f t="array" ref="K1994">IF($D1994="","",IFERROR(INDEX(MASTER_SOURCE!$C$2:$C$495,MATCH($I1994,MASTER_SOURCE!$A$2:$A$495,0)),""))</f>
        <v/>
      </c>
      <c r="L1994" s="22">
        <f t="array" ref="L1994">IF($D1994="","",IFERROR(INDEX(MASTER_SOURCE!$D$2:$D$495,MATCH($I1994,MASTER_SOURCE!$A$2:$A$495,0)),""))</f>
        <v/>
      </c>
      <c r="M1994" s="24" t="n"/>
      <c r="N1994" s="24" t="n"/>
      <c r="O1994" s="24" t="n"/>
      <c r="P1994" s="24" t="n"/>
      <c r="Q1994" s="22">
        <f>IF($D1994="","",IF(AND(OR(DANH_MUC!$L$5&lt;&gt;"Có",M1994="Có"),OR(DANH_MUC!$L$6&lt;&gt;"Có",N1994="Có"),OR(DANH_MUC!$L$7&lt;&gt;"Có",O1994="Có"),OR(DANH_MUC!$L$8&lt;&gt;"Có",P1994="Có")),"Có","Không"))</f>
        <v/>
      </c>
      <c r="R1994" s="22">
        <f>IF($D1994="","",IF(COUNTIF($D$2:$D1994,$D1994)&gt;1,"Trùng",""))</f>
        <v/>
      </c>
      <c r="S1994" s="22">
        <f>IF($D1994="","",IF(AND(LEN($D1994)=10,LEFT($D1994,1)="0",ISNUMBER(--$D1994)),"Có","Không"))</f>
        <v/>
      </c>
      <c r="T1994" s="22">
        <f>IF($D1994="","",IF(AND($C1994&lt;&gt;"",$Q1994="Có",$R1994="",$S1994="Có",AND($L1994&lt;&gt;"",OR($L1994&lt;&gt;"Chưa xác định",DANH_MUC!$L$9="Có"))),"Có","Không"))</f>
        <v/>
      </c>
      <c r="U1994" s="22">
        <f>IF(OR($D1994="",$T1994="Có"),"",IF($C1994="","Thiếu họ tên; ","")&amp;IF($S1994&lt;&gt;"Có","SĐT sai định dạng; ","")&amp;IF($R1994="Trùng","Trùng SĐT; ","")&amp;IF($Q1994&lt;&gt;"Có","Thiếu đồng ý bắt buộc; ","")&amp;IF($L1994="","Thiếu/sai Mã REF; ",IF(AND($L1994="Chưa xác định",DANH_MUC!$L$9&lt;&gt;"Có"),"Nguồn chưa xác định; ","")))</f>
        <v/>
      </c>
      <c r="V1994" s="22">
        <f>IF(OR($D1994="",$R1994="Trùng"),"",IF(COUNTIF(ORDERS!$C$2:$C$4995,$D1994)&gt;0,"Có","Không"))</f>
        <v/>
      </c>
      <c r="W1994" s="22">
        <f>IF(OR($D1994="",$R1994="Trùng"),"",COUNTIFS(ORDERS!$C$2:$C$4995,$D1994,ORDERS!$L$2:$L$4995,"Đã chuyển khoản"))</f>
        <v/>
      </c>
      <c r="X1994" s="23">
        <f>IF(OR($D1994="",$R1994="Trùng"),"",SUMIFS(ORDERS!$J$2:$J$4995,ORDERS!$C$2:$C$4995,$D1994,ORDERS!$L$2:$L$4995,"Đã chuyển khoản"))</f>
        <v/>
      </c>
      <c r="Y1994" s="24" t="n"/>
    </row>
    <row r="1995" ht="14.25" customHeight="1" s="40">
      <c r="A1995" s="24" t="n"/>
      <c r="B1995" s="27" t="n"/>
      <c r="C1995" s="24" t="n"/>
      <c r="D1995" s="28" t="n"/>
      <c r="E1995" s="29" t="n"/>
      <c r="F1995" s="24" t="n"/>
      <c r="G1995" s="24" t="n"/>
      <c r="H1995" s="21">
        <f>IF(ISNUMBER($B1995),INT($B1995)-WEEKDAY($B1995,2)+1,"")</f>
        <v/>
      </c>
      <c r="I1995" s="24" t="n"/>
      <c r="J1995" s="22">
        <f t="array" ref="J1995">IF($D1995="","",IF($I1995="","(trống REF)",IFERROR(INDEX(MASTER_SOURCE!$B$2:$B$495,MATCH($I1995,MASTER_SOURCE!$A$2:$A$495,0)),"(REF không có trong MASTER_SOURCE)")))</f>
        <v/>
      </c>
      <c r="K1995" s="22">
        <f t="array" ref="K1995">IF($D1995="","",IFERROR(INDEX(MASTER_SOURCE!$C$2:$C$495,MATCH($I1995,MASTER_SOURCE!$A$2:$A$495,0)),""))</f>
        <v/>
      </c>
      <c r="L1995" s="22">
        <f t="array" ref="L1995">IF($D1995="","",IFERROR(INDEX(MASTER_SOURCE!$D$2:$D$495,MATCH($I1995,MASTER_SOURCE!$A$2:$A$495,0)),""))</f>
        <v/>
      </c>
      <c r="M1995" s="24" t="n"/>
      <c r="N1995" s="24" t="n"/>
      <c r="O1995" s="24" t="n"/>
      <c r="P1995" s="24" t="n"/>
      <c r="Q1995" s="22">
        <f>IF($D1995="","",IF(AND(OR(DANH_MUC!$L$5&lt;&gt;"Có",M1995="Có"),OR(DANH_MUC!$L$6&lt;&gt;"Có",N1995="Có"),OR(DANH_MUC!$L$7&lt;&gt;"Có",O1995="Có"),OR(DANH_MUC!$L$8&lt;&gt;"Có",P1995="Có")),"Có","Không"))</f>
        <v/>
      </c>
      <c r="R1995" s="22">
        <f>IF($D1995="","",IF(COUNTIF($D$2:$D1995,$D1995)&gt;1,"Trùng",""))</f>
        <v/>
      </c>
      <c r="S1995" s="22">
        <f>IF($D1995="","",IF(AND(LEN($D1995)=10,LEFT($D1995,1)="0",ISNUMBER(--$D1995)),"Có","Không"))</f>
        <v/>
      </c>
      <c r="T1995" s="22">
        <f>IF($D1995="","",IF(AND($C1995&lt;&gt;"",$Q1995="Có",$R1995="",$S1995="Có",AND($L1995&lt;&gt;"",OR($L1995&lt;&gt;"Chưa xác định",DANH_MUC!$L$9="Có"))),"Có","Không"))</f>
        <v/>
      </c>
      <c r="U1995" s="22">
        <f>IF(OR($D1995="",$T1995="Có"),"",IF($C1995="","Thiếu họ tên; ","")&amp;IF($S1995&lt;&gt;"Có","SĐT sai định dạng; ","")&amp;IF($R1995="Trùng","Trùng SĐT; ","")&amp;IF($Q1995&lt;&gt;"Có","Thiếu đồng ý bắt buộc; ","")&amp;IF($L1995="","Thiếu/sai Mã REF; ",IF(AND($L1995="Chưa xác định",DANH_MUC!$L$9&lt;&gt;"Có"),"Nguồn chưa xác định; ","")))</f>
        <v/>
      </c>
      <c r="V1995" s="22">
        <f>IF(OR($D1995="",$R1995="Trùng"),"",IF(COUNTIF(ORDERS!$C$2:$C$4995,$D1995)&gt;0,"Có","Không"))</f>
        <v/>
      </c>
      <c r="W1995" s="22">
        <f>IF(OR($D1995="",$R1995="Trùng"),"",COUNTIFS(ORDERS!$C$2:$C$4995,$D1995,ORDERS!$L$2:$L$4995,"Đã chuyển khoản"))</f>
        <v/>
      </c>
      <c r="X1995" s="23">
        <f>IF(OR($D1995="",$R1995="Trùng"),"",SUMIFS(ORDERS!$J$2:$J$4995,ORDERS!$C$2:$C$4995,$D1995,ORDERS!$L$2:$L$4995,"Đã chuyển khoản"))</f>
        <v/>
      </c>
      <c r="Y1995" s="24" t="n"/>
    </row>
    <row r="1996" ht="14.25" customHeight="1" s="40">
      <c r="A1996" s="24" t="n"/>
      <c r="B1996" s="27" t="n"/>
      <c r="C1996" s="24" t="n"/>
      <c r="D1996" s="28" t="n"/>
      <c r="E1996" s="29" t="n"/>
      <c r="F1996" s="24" t="n"/>
      <c r="G1996" s="24" t="n"/>
      <c r="H1996" s="21">
        <f>IF(ISNUMBER($B1996),INT($B1996)-WEEKDAY($B1996,2)+1,"")</f>
        <v/>
      </c>
      <c r="I1996" s="24" t="n"/>
      <c r="J1996" s="22">
        <f t="array" ref="J1996">IF($D1996="","",IF($I1996="","(trống REF)",IFERROR(INDEX(MASTER_SOURCE!$B$2:$B$495,MATCH($I1996,MASTER_SOURCE!$A$2:$A$495,0)),"(REF không có trong MASTER_SOURCE)")))</f>
        <v/>
      </c>
      <c r="K1996" s="22">
        <f t="array" ref="K1996">IF($D1996="","",IFERROR(INDEX(MASTER_SOURCE!$C$2:$C$495,MATCH($I1996,MASTER_SOURCE!$A$2:$A$495,0)),""))</f>
        <v/>
      </c>
      <c r="L1996" s="22">
        <f t="array" ref="L1996">IF($D1996="","",IFERROR(INDEX(MASTER_SOURCE!$D$2:$D$495,MATCH($I1996,MASTER_SOURCE!$A$2:$A$495,0)),""))</f>
        <v/>
      </c>
      <c r="M1996" s="24" t="n"/>
      <c r="N1996" s="24" t="n"/>
      <c r="O1996" s="24" t="n"/>
      <c r="P1996" s="24" t="n"/>
      <c r="Q1996" s="22">
        <f>IF($D1996="","",IF(AND(OR(DANH_MUC!$L$5&lt;&gt;"Có",M1996="Có"),OR(DANH_MUC!$L$6&lt;&gt;"Có",N1996="Có"),OR(DANH_MUC!$L$7&lt;&gt;"Có",O1996="Có"),OR(DANH_MUC!$L$8&lt;&gt;"Có",P1996="Có")),"Có","Không"))</f>
        <v/>
      </c>
      <c r="R1996" s="22">
        <f>IF($D1996="","",IF(COUNTIF($D$2:$D1996,$D1996)&gt;1,"Trùng",""))</f>
        <v/>
      </c>
      <c r="S1996" s="22">
        <f>IF($D1996="","",IF(AND(LEN($D1996)=10,LEFT($D1996,1)="0",ISNUMBER(--$D1996)),"Có","Không"))</f>
        <v/>
      </c>
      <c r="T1996" s="22">
        <f>IF($D1996="","",IF(AND($C1996&lt;&gt;"",$Q1996="Có",$R1996="",$S1996="Có",AND($L1996&lt;&gt;"",OR($L1996&lt;&gt;"Chưa xác định",DANH_MUC!$L$9="Có"))),"Có","Không"))</f>
        <v/>
      </c>
      <c r="U1996" s="22">
        <f>IF(OR($D1996="",$T1996="Có"),"",IF($C1996="","Thiếu họ tên; ","")&amp;IF($S1996&lt;&gt;"Có","SĐT sai định dạng; ","")&amp;IF($R1996="Trùng","Trùng SĐT; ","")&amp;IF($Q1996&lt;&gt;"Có","Thiếu đồng ý bắt buộc; ","")&amp;IF($L1996="","Thiếu/sai Mã REF; ",IF(AND($L1996="Chưa xác định",DANH_MUC!$L$9&lt;&gt;"Có"),"Nguồn chưa xác định; ","")))</f>
        <v/>
      </c>
      <c r="V1996" s="22">
        <f>IF(OR($D1996="",$R1996="Trùng"),"",IF(COUNTIF(ORDERS!$C$2:$C$4995,$D1996)&gt;0,"Có","Không"))</f>
        <v/>
      </c>
      <c r="W1996" s="22">
        <f>IF(OR($D1996="",$R1996="Trùng"),"",COUNTIFS(ORDERS!$C$2:$C$4995,$D1996,ORDERS!$L$2:$L$4995,"Đã chuyển khoản"))</f>
        <v/>
      </c>
      <c r="X1996" s="23">
        <f>IF(OR($D1996="",$R1996="Trùng"),"",SUMIFS(ORDERS!$J$2:$J$4995,ORDERS!$C$2:$C$4995,$D1996,ORDERS!$L$2:$L$4995,"Đã chuyển khoản"))</f>
        <v/>
      </c>
      <c r="Y1996" s="24" t="n"/>
    </row>
    <row r="1997" ht="14.25" customHeight="1" s="40">
      <c r="A1997" s="24" t="n"/>
      <c r="B1997" s="27" t="n"/>
      <c r="C1997" s="24" t="n"/>
      <c r="D1997" s="28" t="n"/>
      <c r="E1997" s="29" t="n"/>
      <c r="F1997" s="24" t="n"/>
      <c r="G1997" s="24" t="n"/>
      <c r="H1997" s="21">
        <f>IF(ISNUMBER($B1997),INT($B1997)-WEEKDAY($B1997,2)+1,"")</f>
        <v/>
      </c>
      <c r="I1997" s="24" t="n"/>
      <c r="J1997" s="22">
        <f t="array" ref="J1997">IF($D1997="","",IF($I1997="","(trống REF)",IFERROR(INDEX(MASTER_SOURCE!$B$2:$B$495,MATCH($I1997,MASTER_SOURCE!$A$2:$A$495,0)),"(REF không có trong MASTER_SOURCE)")))</f>
        <v/>
      </c>
      <c r="K1997" s="22">
        <f t="array" ref="K1997">IF($D1997="","",IFERROR(INDEX(MASTER_SOURCE!$C$2:$C$495,MATCH($I1997,MASTER_SOURCE!$A$2:$A$495,0)),""))</f>
        <v/>
      </c>
      <c r="L1997" s="22">
        <f t="array" ref="L1997">IF($D1997="","",IFERROR(INDEX(MASTER_SOURCE!$D$2:$D$495,MATCH($I1997,MASTER_SOURCE!$A$2:$A$495,0)),""))</f>
        <v/>
      </c>
      <c r="M1997" s="24" t="n"/>
      <c r="N1997" s="24" t="n"/>
      <c r="O1997" s="24" t="n"/>
      <c r="P1997" s="24" t="n"/>
      <c r="Q1997" s="22">
        <f>IF($D1997="","",IF(AND(OR(DANH_MUC!$L$5&lt;&gt;"Có",M1997="Có"),OR(DANH_MUC!$L$6&lt;&gt;"Có",N1997="Có"),OR(DANH_MUC!$L$7&lt;&gt;"Có",O1997="Có"),OR(DANH_MUC!$L$8&lt;&gt;"Có",P1997="Có")),"Có","Không"))</f>
        <v/>
      </c>
      <c r="R1997" s="22">
        <f>IF($D1997="","",IF(COUNTIF($D$2:$D1997,$D1997)&gt;1,"Trùng",""))</f>
        <v/>
      </c>
      <c r="S1997" s="22">
        <f>IF($D1997="","",IF(AND(LEN($D1997)=10,LEFT($D1997,1)="0",ISNUMBER(--$D1997)),"Có","Không"))</f>
        <v/>
      </c>
      <c r="T1997" s="22">
        <f>IF($D1997="","",IF(AND($C1997&lt;&gt;"",$Q1997="Có",$R1997="",$S1997="Có",AND($L1997&lt;&gt;"",OR($L1997&lt;&gt;"Chưa xác định",DANH_MUC!$L$9="Có"))),"Có","Không"))</f>
        <v/>
      </c>
      <c r="U1997" s="22">
        <f>IF(OR($D1997="",$T1997="Có"),"",IF($C1997="","Thiếu họ tên; ","")&amp;IF($S1997&lt;&gt;"Có","SĐT sai định dạng; ","")&amp;IF($R1997="Trùng","Trùng SĐT; ","")&amp;IF($Q1997&lt;&gt;"Có","Thiếu đồng ý bắt buộc; ","")&amp;IF($L1997="","Thiếu/sai Mã REF; ",IF(AND($L1997="Chưa xác định",DANH_MUC!$L$9&lt;&gt;"Có"),"Nguồn chưa xác định; ","")))</f>
        <v/>
      </c>
      <c r="V1997" s="22">
        <f>IF(OR($D1997="",$R1997="Trùng"),"",IF(COUNTIF(ORDERS!$C$2:$C$4995,$D1997)&gt;0,"Có","Không"))</f>
        <v/>
      </c>
      <c r="W1997" s="22">
        <f>IF(OR($D1997="",$R1997="Trùng"),"",COUNTIFS(ORDERS!$C$2:$C$4995,$D1997,ORDERS!$L$2:$L$4995,"Đã chuyển khoản"))</f>
        <v/>
      </c>
      <c r="X1997" s="23">
        <f>IF(OR($D1997="",$R1997="Trùng"),"",SUMIFS(ORDERS!$J$2:$J$4995,ORDERS!$C$2:$C$4995,$D1997,ORDERS!$L$2:$L$4995,"Đã chuyển khoản"))</f>
        <v/>
      </c>
      <c r="Y1997" s="24" t="n"/>
    </row>
    <row r="1998" ht="14.25" customHeight="1" s="40">
      <c r="A1998" s="24" t="n"/>
      <c r="B1998" s="27" t="n"/>
      <c r="C1998" s="24" t="n"/>
      <c r="D1998" s="28" t="n"/>
      <c r="E1998" s="29" t="n"/>
      <c r="F1998" s="24" t="n"/>
      <c r="G1998" s="24" t="n"/>
      <c r="H1998" s="21">
        <f>IF(ISNUMBER($B1998),INT($B1998)-WEEKDAY($B1998,2)+1,"")</f>
        <v/>
      </c>
      <c r="I1998" s="24" t="n"/>
      <c r="J1998" s="22">
        <f t="array" ref="J1998">IF($D1998="","",IF($I1998="","(trống REF)",IFERROR(INDEX(MASTER_SOURCE!$B$2:$B$495,MATCH($I1998,MASTER_SOURCE!$A$2:$A$495,0)),"(REF không có trong MASTER_SOURCE)")))</f>
        <v/>
      </c>
      <c r="K1998" s="22">
        <f t="array" ref="K1998">IF($D1998="","",IFERROR(INDEX(MASTER_SOURCE!$C$2:$C$495,MATCH($I1998,MASTER_SOURCE!$A$2:$A$495,0)),""))</f>
        <v/>
      </c>
      <c r="L1998" s="22">
        <f t="array" ref="L1998">IF($D1998="","",IFERROR(INDEX(MASTER_SOURCE!$D$2:$D$495,MATCH($I1998,MASTER_SOURCE!$A$2:$A$495,0)),""))</f>
        <v/>
      </c>
      <c r="M1998" s="24" t="n"/>
      <c r="N1998" s="24" t="n"/>
      <c r="O1998" s="24" t="n"/>
      <c r="P1998" s="24" t="n"/>
      <c r="Q1998" s="22">
        <f>IF($D1998="","",IF(AND(OR(DANH_MUC!$L$5&lt;&gt;"Có",M1998="Có"),OR(DANH_MUC!$L$6&lt;&gt;"Có",N1998="Có"),OR(DANH_MUC!$L$7&lt;&gt;"Có",O1998="Có"),OR(DANH_MUC!$L$8&lt;&gt;"Có",P1998="Có")),"Có","Không"))</f>
        <v/>
      </c>
      <c r="R1998" s="22">
        <f>IF($D1998="","",IF(COUNTIF($D$2:$D1998,$D1998)&gt;1,"Trùng",""))</f>
        <v/>
      </c>
      <c r="S1998" s="22">
        <f>IF($D1998="","",IF(AND(LEN($D1998)=10,LEFT($D1998,1)="0",ISNUMBER(--$D1998)),"Có","Không"))</f>
        <v/>
      </c>
      <c r="T1998" s="22">
        <f>IF($D1998="","",IF(AND($C1998&lt;&gt;"",$Q1998="Có",$R1998="",$S1998="Có",AND($L1998&lt;&gt;"",OR($L1998&lt;&gt;"Chưa xác định",DANH_MUC!$L$9="Có"))),"Có","Không"))</f>
        <v/>
      </c>
      <c r="U1998" s="22">
        <f>IF(OR($D1998="",$T1998="Có"),"",IF($C1998="","Thiếu họ tên; ","")&amp;IF($S1998&lt;&gt;"Có","SĐT sai định dạng; ","")&amp;IF($R1998="Trùng","Trùng SĐT; ","")&amp;IF($Q1998&lt;&gt;"Có","Thiếu đồng ý bắt buộc; ","")&amp;IF($L1998="","Thiếu/sai Mã REF; ",IF(AND($L1998="Chưa xác định",DANH_MUC!$L$9&lt;&gt;"Có"),"Nguồn chưa xác định; ","")))</f>
        <v/>
      </c>
      <c r="V1998" s="22">
        <f>IF(OR($D1998="",$R1998="Trùng"),"",IF(COUNTIF(ORDERS!$C$2:$C$4995,$D1998)&gt;0,"Có","Không"))</f>
        <v/>
      </c>
      <c r="W1998" s="22">
        <f>IF(OR($D1998="",$R1998="Trùng"),"",COUNTIFS(ORDERS!$C$2:$C$4995,$D1998,ORDERS!$L$2:$L$4995,"Đã chuyển khoản"))</f>
        <v/>
      </c>
      <c r="X1998" s="23">
        <f>IF(OR($D1998="",$R1998="Trùng"),"",SUMIFS(ORDERS!$J$2:$J$4995,ORDERS!$C$2:$C$4995,$D1998,ORDERS!$L$2:$L$4995,"Đã chuyển khoản"))</f>
        <v/>
      </c>
      <c r="Y1998" s="24" t="n"/>
    </row>
    <row r="1999" ht="14.25" customHeight="1" s="40">
      <c r="A1999" s="24" t="n"/>
      <c r="B1999" s="27" t="n"/>
      <c r="C1999" s="24" t="n"/>
      <c r="D1999" s="28" t="n"/>
      <c r="E1999" s="29" t="n"/>
      <c r="F1999" s="24" t="n"/>
      <c r="G1999" s="24" t="n"/>
      <c r="H1999" s="21">
        <f>IF(ISNUMBER($B1999),INT($B1999)-WEEKDAY($B1999,2)+1,"")</f>
        <v/>
      </c>
      <c r="I1999" s="24" t="n"/>
      <c r="J1999" s="22">
        <f t="array" ref="J1999">IF($D1999="","",IF($I1999="","(trống REF)",IFERROR(INDEX(MASTER_SOURCE!$B$2:$B$495,MATCH($I1999,MASTER_SOURCE!$A$2:$A$495,0)),"(REF không có trong MASTER_SOURCE)")))</f>
        <v/>
      </c>
      <c r="K1999" s="22">
        <f t="array" ref="K1999">IF($D1999="","",IFERROR(INDEX(MASTER_SOURCE!$C$2:$C$495,MATCH($I1999,MASTER_SOURCE!$A$2:$A$495,0)),""))</f>
        <v/>
      </c>
      <c r="L1999" s="22">
        <f t="array" ref="L1999">IF($D1999="","",IFERROR(INDEX(MASTER_SOURCE!$D$2:$D$495,MATCH($I1999,MASTER_SOURCE!$A$2:$A$495,0)),""))</f>
        <v/>
      </c>
      <c r="M1999" s="24" t="n"/>
      <c r="N1999" s="24" t="n"/>
      <c r="O1999" s="24" t="n"/>
      <c r="P1999" s="24" t="n"/>
      <c r="Q1999" s="22">
        <f>IF($D1999="","",IF(AND(OR(DANH_MUC!$L$5&lt;&gt;"Có",M1999="Có"),OR(DANH_MUC!$L$6&lt;&gt;"Có",N1999="Có"),OR(DANH_MUC!$L$7&lt;&gt;"Có",O1999="Có"),OR(DANH_MUC!$L$8&lt;&gt;"Có",P1999="Có")),"Có","Không"))</f>
        <v/>
      </c>
      <c r="R1999" s="22">
        <f>IF($D1999="","",IF(COUNTIF($D$2:$D1999,$D1999)&gt;1,"Trùng",""))</f>
        <v/>
      </c>
      <c r="S1999" s="22">
        <f>IF($D1999="","",IF(AND(LEN($D1999)=10,LEFT($D1999,1)="0",ISNUMBER(--$D1999)),"Có","Không"))</f>
        <v/>
      </c>
      <c r="T1999" s="22">
        <f>IF($D1999="","",IF(AND($C1999&lt;&gt;"",$Q1999="Có",$R1999="",$S1999="Có",AND($L1999&lt;&gt;"",OR($L1999&lt;&gt;"Chưa xác định",DANH_MUC!$L$9="Có"))),"Có","Không"))</f>
        <v/>
      </c>
      <c r="U1999" s="22">
        <f>IF(OR($D1999="",$T1999="Có"),"",IF($C1999="","Thiếu họ tên; ","")&amp;IF($S1999&lt;&gt;"Có","SĐT sai định dạng; ","")&amp;IF($R1999="Trùng","Trùng SĐT; ","")&amp;IF($Q1999&lt;&gt;"Có","Thiếu đồng ý bắt buộc; ","")&amp;IF($L1999="","Thiếu/sai Mã REF; ",IF(AND($L1999="Chưa xác định",DANH_MUC!$L$9&lt;&gt;"Có"),"Nguồn chưa xác định; ","")))</f>
        <v/>
      </c>
      <c r="V1999" s="22">
        <f>IF(OR($D1999="",$R1999="Trùng"),"",IF(COUNTIF(ORDERS!$C$2:$C$4995,$D1999)&gt;0,"Có","Không"))</f>
        <v/>
      </c>
      <c r="W1999" s="22">
        <f>IF(OR($D1999="",$R1999="Trùng"),"",COUNTIFS(ORDERS!$C$2:$C$4995,$D1999,ORDERS!$L$2:$L$4995,"Đã chuyển khoản"))</f>
        <v/>
      </c>
      <c r="X1999" s="23">
        <f>IF(OR($D1999="",$R1999="Trùng"),"",SUMIFS(ORDERS!$J$2:$J$4995,ORDERS!$C$2:$C$4995,$D1999,ORDERS!$L$2:$L$4995,"Đã chuyển khoản"))</f>
        <v/>
      </c>
      <c r="Y1999" s="24" t="n"/>
    </row>
    <row r="2000" ht="14.25" customHeight="1" s="40">
      <c r="A2000" s="24" t="n"/>
      <c r="B2000" s="27" t="n"/>
      <c r="C2000" s="24" t="n"/>
      <c r="D2000" s="28" t="n"/>
      <c r="E2000" s="29" t="n"/>
      <c r="F2000" s="24" t="n"/>
      <c r="G2000" s="24" t="n"/>
      <c r="H2000" s="21">
        <f>IF(ISNUMBER($B2000),INT($B2000)-WEEKDAY($B2000,2)+1,"")</f>
        <v/>
      </c>
      <c r="I2000" s="24" t="n"/>
      <c r="J2000" s="22">
        <f t="array" ref="J2000">IF($D2000="","",IF($I2000="","(trống REF)",IFERROR(INDEX(MASTER_SOURCE!$B$2:$B$495,MATCH($I2000,MASTER_SOURCE!$A$2:$A$495,0)),"(REF không có trong MASTER_SOURCE)")))</f>
        <v/>
      </c>
      <c r="K2000" s="22">
        <f t="array" ref="K2000">IF($D2000="","",IFERROR(INDEX(MASTER_SOURCE!$C$2:$C$495,MATCH($I2000,MASTER_SOURCE!$A$2:$A$495,0)),""))</f>
        <v/>
      </c>
      <c r="L2000" s="22">
        <f t="array" ref="L2000">IF($D2000="","",IFERROR(INDEX(MASTER_SOURCE!$D$2:$D$495,MATCH($I2000,MASTER_SOURCE!$A$2:$A$495,0)),""))</f>
        <v/>
      </c>
      <c r="M2000" s="24" t="n"/>
      <c r="N2000" s="24" t="n"/>
      <c r="O2000" s="24" t="n"/>
      <c r="P2000" s="24" t="n"/>
      <c r="Q2000" s="22">
        <f>IF($D2000="","",IF(AND(OR(DANH_MUC!$L$5&lt;&gt;"Có",M2000="Có"),OR(DANH_MUC!$L$6&lt;&gt;"Có",N2000="Có"),OR(DANH_MUC!$L$7&lt;&gt;"Có",O2000="Có"),OR(DANH_MUC!$L$8&lt;&gt;"Có",P2000="Có")),"Có","Không"))</f>
        <v/>
      </c>
      <c r="R2000" s="22">
        <f>IF($D2000="","",IF(COUNTIF($D$2:$D2000,$D2000)&gt;1,"Trùng",""))</f>
        <v/>
      </c>
      <c r="S2000" s="22">
        <f>IF($D2000="","",IF(AND(LEN($D2000)=10,LEFT($D2000,1)="0",ISNUMBER(--$D2000)),"Có","Không"))</f>
        <v/>
      </c>
      <c r="T2000" s="22">
        <f>IF($D2000="","",IF(AND($C2000&lt;&gt;"",$Q2000="Có",$R2000="",$S2000="Có",AND($L2000&lt;&gt;"",OR($L2000&lt;&gt;"Chưa xác định",DANH_MUC!$L$9="Có"))),"Có","Không"))</f>
        <v/>
      </c>
      <c r="U2000" s="22">
        <f>IF(OR($D2000="",$T2000="Có"),"",IF($C2000="","Thiếu họ tên; ","")&amp;IF($S2000&lt;&gt;"Có","SĐT sai định dạng; ","")&amp;IF($R2000="Trùng","Trùng SĐT; ","")&amp;IF($Q2000&lt;&gt;"Có","Thiếu đồng ý bắt buộc; ","")&amp;IF($L2000="","Thiếu/sai Mã REF; ",IF(AND($L2000="Chưa xác định",DANH_MUC!$L$9&lt;&gt;"Có"),"Nguồn chưa xác định; ","")))</f>
        <v/>
      </c>
      <c r="V2000" s="22">
        <f>IF(OR($D2000="",$R2000="Trùng"),"",IF(COUNTIF(ORDERS!$C$2:$C$4995,$D2000)&gt;0,"Có","Không"))</f>
        <v/>
      </c>
      <c r="W2000" s="22">
        <f>IF(OR($D2000="",$R2000="Trùng"),"",COUNTIFS(ORDERS!$C$2:$C$4995,$D2000,ORDERS!$L$2:$L$4995,"Đã chuyển khoản"))</f>
        <v/>
      </c>
      <c r="X2000" s="23">
        <f>IF(OR($D2000="",$R2000="Trùng"),"",SUMIFS(ORDERS!$J$2:$J$4995,ORDERS!$C$2:$C$4995,$D2000,ORDERS!$L$2:$L$4995,"Đã chuyển khoản"))</f>
        <v/>
      </c>
      <c r="Y2000" s="24" t="n"/>
    </row>
    <row r="2001" ht="14.25" customHeight="1" s="40">
      <c r="A2001" s="24" t="n"/>
      <c r="B2001" s="27" t="n"/>
      <c r="C2001" s="24" t="n"/>
      <c r="D2001" s="28" t="n"/>
      <c r="E2001" s="29" t="n"/>
      <c r="F2001" s="24" t="n"/>
      <c r="G2001" s="24" t="n"/>
      <c r="H2001" s="21">
        <f>IF(ISNUMBER($B2001),INT($B2001)-WEEKDAY($B2001,2)+1,"")</f>
        <v/>
      </c>
      <c r="I2001" s="24" t="n"/>
      <c r="J2001" s="22">
        <f t="array" ref="J2001">IF($D2001="","",IF($I2001="","(trống REF)",IFERROR(INDEX(MASTER_SOURCE!$B$2:$B$495,MATCH($I2001,MASTER_SOURCE!$A$2:$A$495,0)),"(REF không có trong MASTER_SOURCE)")))</f>
        <v/>
      </c>
      <c r="K2001" s="22">
        <f t="array" ref="K2001">IF($D2001="","",IFERROR(INDEX(MASTER_SOURCE!$C$2:$C$495,MATCH($I2001,MASTER_SOURCE!$A$2:$A$495,0)),""))</f>
        <v/>
      </c>
      <c r="L2001" s="22">
        <f t="array" ref="L2001">IF($D2001="","",IFERROR(INDEX(MASTER_SOURCE!$D$2:$D$495,MATCH($I2001,MASTER_SOURCE!$A$2:$A$495,0)),""))</f>
        <v/>
      </c>
      <c r="M2001" s="24" t="n"/>
      <c r="N2001" s="24" t="n"/>
      <c r="O2001" s="24" t="n"/>
      <c r="P2001" s="24" t="n"/>
      <c r="Q2001" s="22">
        <f>IF($D2001="","",IF(AND(OR(DANH_MUC!$L$5&lt;&gt;"Có",M2001="Có"),OR(DANH_MUC!$L$6&lt;&gt;"Có",N2001="Có"),OR(DANH_MUC!$L$7&lt;&gt;"Có",O2001="Có"),OR(DANH_MUC!$L$8&lt;&gt;"Có",P2001="Có")),"Có","Không"))</f>
        <v/>
      </c>
      <c r="R2001" s="22">
        <f>IF($D2001="","",IF(COUNTIF($D$2:$D2001,$D2001)&gt;1,"Trùng",""))</f>
        <v/>
      </c>
      <c r="S2001" s="22">
        <f>IF($D2001="","",IF(AND(LEN($D2001)=10,LEFT($D2001,1)="0",ISNUMBER(--$D2001)),"Có","Không"))</f>
        <v/>
      </c>
      <c r="T2001" s="22">
        <f>IF($D2001="","",IF(AND($C2001&lt;&gt;"",$Q2001="Có",$R2001="",$S2001="Có",AND($L2001&lt;&gt;"",OR($L2001&lt;&gt;"Chưa xác định",DANH_MUC!$L$9="Có"))),"Có","Không"))</f>
        <v/>
      </c>
      <c r="U2001" s="22">
        <f>IF(OR($D2001="",$T2001="Có"),"",IF($C2001="","Thiếu họ tên; ","")&amp;IF($S2001&lt;&gt;"Có","SĐT sai định dạng; ","")&amp;IF($R2001="Trùng","Trùng SĐT; ","")&amp;IF($Q2001&lt;&gt;"Có","Thiếu đồng ý bắt buộc; ","")&amp;IF($L2001="","Thiếu/sai Mã REF; ",IF(AND($L2001="Chưa xác định",DANH_MUC!$L$9&lt;&gt;"Có"),"Nguồn chưa xác định; ","")))</f>
        <v/>
      </c>
      <c r="V2001" s="22">
        <f>IF(OR($D2001="",$R2001="Trùng"),"",IF(COUNTIF(ORDERS!$C$2:$C$4995,$D2001)&gt;0,"Có","Không"))</f>
        <v/>
      </c>
      <c r="W2001" s="22">
        <f>IF(OR($D2001="",$R2001="Trùng"),"",COUNTIFS(ORDERS!$C$2:$C$4995,$D2001,ORDERS!$L$2:$L$4995,"Đã chuyển khoản"))</f>
        <v/>
      </c>
      <c r="X2001" s="23">
        <f>IF(OR($D2001="",$R2001="Trùng"),"",SUMIFS(ORDERS!$J$2:$J$4995,ORDERS!$C$2:$C$4995,$D2001,ORDERS!$L$2:$L$4995,"Đã chuyển khoản"))</f>
        <v/>
      </c>
      <c r="Y2001" s="24" t="n"/>
    </row>
    <row r="2002" ht="14.25" customHeight="1" s="40">
      <c r="A2002" s="24" t="n"/>
      <c r="B2002" s="27" t="n"/>
      <c r="C2002" s="24" t="n"/>
      <c r="D2002" s="28" t="n"/>
      <c r="E2002" s="29" t="n"/>
      <c r="F2002" s="24" t="n"/>
      <c r="G2002" s="24" t="n"/>
      <c r="H2002" s="21">
        <f>IF(ISNUMBER($B2002),INT($B2002)-WEEKDAY($B2002,2)+1,"")</f>
        <v/>
      </c>
      <c r="I2002" s="24" t="n"/>
      <c r="J2002" s="22">
        <f t="array" ref="J2002">IF($D2002="","",IF($I2002="","(trống REF)",IFERROR(INDEX(MASTER_SOURCE!$B$2:$B$495,MATCH($I2002,MASTER_SOURCE!$A$2:$A$495,0)),"(REF không có trong MASTER_SOURCE)")))</f>
        <v/>
      </c>
      <c r="K2002" s="22">
        <f t="array" ref="K2002">IF($D2002="","",IFERROR(INDEX(MASTER_SOURCE!$C$2:$C$495,MATCH($I2002,MASTER_SOURCE!$A$2:$A$495,0)),""))</f>
        <v/>
      </c>
      <c r="L2002" s="22">
        <f t="array" ref="L2002">IF($D2002="","",IFERROR(INDEX(MASTER_SOURCE!$D$2:$D$495,MATCH($I2002,MASTER_SOURCE!$A$2:$A$495,0)),""))</f>
        <v/>
      </c>
      <c r="M2002" s="24" t="n"/>
      <c r="N2002" s="24" t="n"/>
      <c r="O2002" s="24" t="n"/>
      <c r="P2002" s="24" t="n"/>
      <c r="Q2002" s="22">
        <f>IF($D2002="","",IF(AND(OR(DANH_MUC!$L$5&lt;&gt;"Có",M2002="Có"),OR(DANH_MUC!$L$6&lt;&gt;"Có",N2002="Có"),OR(DANH_MUC!$L$7&lt;&gt;"Có",O2002="Có"),OR(DANH_MUC!$L$8&lt;&gt;"Có",P2002="Có")),"Có","Không"))</f>
        <v/>
      </c>
      <c r="R2002" s="22">
        <f>IF($D2002="","",IF(COUNTIF($D$2:$D2002,$D2002)&gt;1,"Trùng",""))</f>
        <v/>
      </c>
      <c r="S2002" s="22">
        <f>IF($D2002="","",IF(AND(LEN($D2002)=10,LEFT($D2002,1)="0",ISNUMBER(--$D2002)),"Có","Không"))</f>
        <v/>
      </c>
      <c r="T2002" s="22">
        <f>IF($D2002="","",IF(AND($C2002&lt;&gt;"",$Q2002="Có",$R2002="",$S2002="Có",AND($L2002&lt;&gt;"",OR($L2002&lt;&gt;"Chưa xác định",DANH_MUC!$L$9="Có"))),"Có","Không"))</f>
        <v/>
      </c>
      <c r="U2002" s="22">
        <f>IF(OR($D2002="",$T2002="Có"),"",IF($C2002="","Thiếu họ tên; ","")&amp;IF($S2002&lt;&gt;"Có","SĐT sai định dạng; ","")&amp;IF($R2002="Trùng","Trùng SĐT; ","")&amp;IF($Q2002&lt;&gt;"Có","Thiếu đồng ý bắt buộc; ","")&amp;IF($L2002="","Thiếu/sai Mã REF; ",IF(AND($L2002="Chưa xác định",DANH_MUC!$L$9&lt;&gt;"Có"),"Nguồn chưa xác định; ","")))</f>
        <v/>
      </c>
      <c r="V2002" s="22">
        <f>IF(OR($D2002="",$R2002="Trùng"),"",IF(COUNTIF(ORDERS!$C$2:$C$4995,$D2002)&gt;0,"Có","Không"))</f>
        <v/>
      </c>
      <c r="W2002" s="22">
        <f>IF(OR($D2002="",$R2002="Trùng"),"",COUNTIFS(ORDERS!$C$2:$C$4995,$D2002,ORDERS!$L$2:$L$4995,"Đã chuyển khoản"))</f>
        <v/>
      </c>
      <c r="X2002" s="23">
        <f>IF(OR($D2002="",$R2002="Trùng"),"",SUMIFS(ORDERS!$J$2:$J$4995,ORDERS!$C$2:$C$4995,$D2002,ORDERS!$L$2:$L$4995,"Đã chuyển khoản"))</f>
        <v/>
      </c>
      <c r="Y2002" s="24" t="n"/>
    </row>
    <row r="2003" ht="14.25" customHeight="1" s="40">
      <c r="A2003" s="24" t="n"/>
      <c r="B2003" s="27" t="n"/>
      <c r="C2003" s="24" t="n"/>
      <c r="D2003" s="28" t="n"/>
      <c r="E2003" s="29" t="n"/>
      <c r="F2003" s="24" t="n"/>
      <c r="G2003" s="24" t="n"/>
      <c r="H2003" s="21">
        <f>IF(ISNUMBER($B2003),INT($B2003)-WEEKDAY($B2003,2)+1,"")</f>
        <v/>
      </c>
      <c r="I2003" s="24" t="n"/>
      <c r="J2003" s="22">
        <f t="array" ref="J2003">IF($D2003="","",IF($I2003="","(trống REF)",IFERROR(INDEX(MASTER_SOURCE!$B$2:$B$495,MATCH($I2003,MASTER_SOURCE!$A$2:$A$495,0)),"(REF không có trong MASTER_SOURCE)")))</f>
        <v/>
      </c>
      <c r="K2003" s="22">
        <f t="array" ref="K2003">IF($D2003="","",IFERROR(INDEX(MASTER_SOURCE!$C$2:$C$495,MATCH($I2003,MASTER_SOURCE!$A$2:$A$495,0)),""))</f>
        <v/>
      </c>
      <c r="L2003" s="22">
        <f t="array" ref="L2003">IF($D2003="","",IFERROR(INDEX(MASTER_SOURCE!$D$2:$D$495,MATCH($I2003,MASTER_SOURCE!$A$2:$A$495,0)),""))</f>
        <v/>
      </c>
      <c r="M2003" s="24" t="n"/>
      <c r="N2003" s="24" t="n"/>
      <c r="O2003" s="24" t="n"/>
      <c r="P2003" s="24" t="n"/>
      <c r="Q2003" s="22">
        <f>IF($D2003="","",IF(AND(OR(DANH_MUC!$L$5&lt;&gt;"Có",M2003="Có"),OR(DANH_MUC!$L$6&lt;&gt;"Có",N2003="Có"),OR(DANH_MUC!$L$7&lt;&gt;"Có",O2003="Có"),OR(DANH_MUC!$L$8&lt;&gt;"Có",P2003="Có")),"Có","Không"))</f>
        <v/>
      </c>
      <c r="R2003" s="22">
        <f>IF($D2003="","",IF(COUNTIF($D$2:$D2003,$D2003)&gt;1,"Trùng",""))</f>
        <v/>
      </c>
      <c r="S2003" s="22">
        <f>IF($D2003="","",IF(AND(LEN($D2003)=10,LEFT($D2003,1)="0",ISNUMBER(--$D2003)),"Có","Không"))</f>
        <v/>
      </c>
      <c r="T2003" s="22">
        <f>IF($D2003="","",IF(AND($C2003&lt;&gt;"",$Q2003="Có",$R2003="",$S2003="Có",AND($L2003&lt;&gt;"",OR($L2003&lt;&gt;"Chưa xác định",DANH_MUC!$L$9="Có"))),"Có","Không"))</f>
        <v/>
      </c>
      <c r="U2003" s="22">
        <f>IF(OR($D2003="",$T2003="Có"),"",IF($C2003="","Thiếu họ tên; ","")&amp;IF($S2003&lt;&gt;"Có","SĐT sai định dạng; ","")&amp;IF($R2003="Trùng","Trùng SĐT; ","")&amp;IF($Q2003&lt;&gt;"Có","Thiếu đồng ý bắt buộc; ","")&amp;IF($L2003="","Thiếu/sai Mã REF; ",IF(AND($L2003="Chưa xác định",DANH_MUC!$L$9&lt;&gt;"Có"),"Nguồn chưa xác định; ","")))</f>
        <v/>
      </c>
      <c r="V2003" s="22">
        <f>IF(OR($D2003="",$R2003="Trùng"),"",IF(COUNTIF(ORDERS!$C$2:$C$4995,$D2003)&gt;0,"Có","Không"))</f>
        <v/>
      </c>
      <c r="W2003" s="22">
        <f>IF(OR($D2003="",$R2003="Trùng"),"",COUNTIFS(ORDERS!$C$2:$C$4995,$D2003,ORDERS!$L$2:$L$4995,"Đã chuyển khoản"))</f>
        <v/>
      </c>
      <c r="X2003" s="23">
        <f>IF(OR($D2003="",$R2003="Trùng"),"",SUMIFS(ORDERS!$J$2:$J$4995,ORDERS!$C$2:$C$4995,$D2003,ORDERS!$L$2:$L$4995,"Đã chuyển khoản"))</f>
        <v/>
      </c>
      <c r="Y2003" s="24" t="n"/>
    </row>
    <row r="2004" ht="14.25" customHeight="1" s="40">
      <c r="A2004" s="24" t="n"/>
      <c r="B2004" s="27" t="n"/>
      <c r="C2004" s="24" t="n"/>
      <c r="D2004" s="28" t="n"/>
      <c r="E2004" s="29" t="n"/>
      <c r="F2004" s="24" t="n"/>
      <c r="G2004" s="24" t="n"/>
      <c r="H2004" s="21">
        <f>IF(ISNUMBER($B2004),INT($B2004)-WEEKDAY($B2004,2)+1,"")</f>
        <v/>
      </c>
      <c r="I2004" s="24" t="n"/>
      <c r="J2004" s="22">
        <f t="array" ref="J2004">IF($D2004="","",IF($I2004="","(trống REF)",IFERROR(INDEX(MASTER_SOURCE!$B$2:$B$495,MATCH($I2004,MASTER_SOURCE!$A$2:$A$495,0)),"(REF không có trong MASTER_SOURCE)")))</f>
        <v/>
      </c>
      <c r="K2004" s="22">
        <f t="array" ref="K2004">IF($D2004="","",IFERROR(INDEX(MASTER_SOURCE!$C$2:$C$495,MATCH($I2004,MASTER_SOURCE!$A$2:$A$495,0)),""))</f>
        <v/>
      </c>
      <c r="L2004" s="22">
        <f t="array" ref="L2004">IF($D2004="","",IFERROR(INDEX(MASTER_SOURCE!$D$2:$D$495,MATCH($I2004,MASTER_SOURCE!$A$2:$A$495,0)),""))</f>
        <v/>
      </c>
      <c r="M2004" s="24" t="n"/>
      <c r="N2004" s="24" t="n"/>
      <c r="O2004" s="24" t="n"/>
      <c r="P2004" s="24" t="n"/>
      <c r="Q2004" s="22">
        <f>IF($D2004="","",IF(AND(OR(DANH_MUC!$L$5&lt;&gt;"Có",M2004="Có"),OR(DANH_MUC!$L$6&lt;&gt;"Có",N2004="Có"),OR(DANH_MUC!$L$7&lt;&gt;"Có",O2004="Có"),OR(DANH_MUC!$L$8&lt;&gt;"Có",P2004="Có")),"Có","Không"))</f>
        <v/>
      </c>
      <c r="R2004" s="22">
        <f>IF($D2004="","",IF(COUNTIF($D$2:$D2004,$D2004)&gt;1,"Trùng",""))</f>
        <v/>
      </c>
      <c r="S2004" s="22">
        <f>IF($D2004="","",IF(AND(LEN($D2004)=10,LEFT($D2004,1)="0",ISNUMBER(--$D2004)),"Có","Không"))</f>
        <v/>
      </c>
      <c r="T2004" s="22">
        <f>IF($D2004="","",IF(AND($C2004&lt;&gt;"",$Q2004="Có",$R2004="",$S2004="Có",AND($L2004&lt;&gt;"",OR($L2004&lt;&gt;"Chưa xác định",DANH_MUC!$L$9="Có"))),"Có","Không"))</f>
        <v/>
      </c>
      <c r="U2004" s="22">
        <f>IF(OR($D2004="",$T2004="Có"),"",IF($C2004="","Thiếu họ tên; ","")&amp;IF($S2004&lt;&gt;"Có","SĐT sai định dạng; ","")&amp;IF($R2004="Trùng","Trùng SĐT; ","")&amp;IF($Q2004&lt;&gt;"Có","Thiếu đồng ý bắt buộc; ","")&amp;IF($L2004="","Thiếu/sai Mã REF; ",IF(AND($L2004="Chưa xác định",DANH_MUC!$L$9&lt;&gt;"Có"),"Nguồn chưa xác định; ","")))</f>
        <v/>
      </c>
      <c r="V2004" s="22">
        <f>IF(OR($D2004="",$R2004="Trùng"),"",IF(COUNTIF(ORDERS!$C$2:$C$4995,$D2004)&gt;0,"Có","Không"))</f>
        <v/>
      </c>
      <c r="W2004" s="22">
        <f>IF(OR($D2004="",$R2004="Trùng"),"",COUNTIFS(ORDERS!$C$2:$C$4995,$D2004,ORDERS!$L$2:$L$4995,"Đã chuyển khoản"))</f>
        <v/>
      </c>
      <c r="X2004" s="23">
        <f>IF(OR($D2004="",$R2004="Trùng"),"",SUMIFS(ORDERS!$J$2:$J$4995,ORDERS!$C$2:$C$4995,$D2004,ORDERS!$L$2:$L$4995,"Đã chuyển khoản"))</f>
        <v/>
      </c>
      <c r="Y2004" s="24" t="n"/>
    </row>
    <row r="2005" ht="14.25" customHeight="1" s="40">
      <c r="A2005" s="24" t="n"/>
      <c r="B2005" s="27" t="n"/>
      <c r="C2005" s="24" t="n"/>
      <c r="D2005" s="28" t="n"/>
      <c r="E2005" s="29" t="n"/>
      <c r="F2005" s="24" t="n"/>
      <c r="G2005" s="24" t="n"/>
      <c r="H2005" s="21">
        <f>IF(ISNUMBER($B2005),INT($B2005)-WEEKDAY($B2005,2)+1,"")</f>
        <v/>
      </c>
      <c r="I2005" s="24" t="n"/>
      <c r="J2005" s="22">
        <f t="array" ref="J2005">IF($D2005="","",IF($I2005="","(trống REF)",IFERROR(INDEX(MASTER_SOURCE!$B$2:$B$495,MATCH($I2005,MASTER_SOURCE!$A$2:$A$495,0)),"(REF không có trong MASTER_SOURCE)")))</f>
        <v/>
      </c>
      <c r="K2005" s="22">
        <f t="array" ref="K2005">IF($D2005="","",IFERROR(INDEX(MASTER_SOURCE!$C$2:$C$495,MATCH($I2005,MASTER_SOURCE!$A$2:$A$495,0)),""))</f>
        <v/>
      </c>
      <c r="L2005" s="22">
        <f t="array" ref="L2005">IF($D2005="","",IFERROR(INDEX(MASTER_SOURCE!$D$2:$D$495,MATCH($I2005,MASTER_SOURCE!$A$2:$A$495,0)),""))</f>
        <v/>
      </c>
      <c r="M2005" s="24" t="n"/>
      <c r="N2005" s="24" t="n"/>
      <c r="O2005" s="24" t="n"/>
      <c r="P2005" s="24" t="n"/>
      <c r="Q2005" s="22">
        <f>IF($D2005="","",IF(AND(OR(DANH_MUC!$L$5&lt;&gt;"Có",M2005="Có"),OR(DANH_MUC!$L$6&lt;&gt;"Có",N2005="Có"),OR(DANH_MUC!$L$7&lt;&gt;"Có",O2005="Có"),OR(DANH_MUC!$L$8&lt;&gt;"Có",P2005="Có")),"Có","Không"))</f>
        <v/>
      </c>
      <c r="R2005" s="22">
        <f>IF($D2005="","",IF(COUNTIF($D$2:$D2005,$D2005)&gt;1,"Trùng",""))</f>
        <v/>
      </c>
      <c r="S2005" s="22">
        <f>IF($D2005="","",IF(AND(LEN($D2005)=10,LEFT($D2005,1)="0",ISNUMBER(--$D2005)),"Có","Không"))</f>
        <v/>
      </c>
      <c r="T2005" s="22">
        <f>IF($D2005="","",IF(AND($C2005&lt;&gt;"",$Q2005="Có",$R2005="",$S2005="Có",AND($L2005&lt;&gt;"",OR($L2005&lt;&gt;"Chưa xác định",DANH_MUC!$L$9="Có"))),"Có","Không"))</f>
        <v/>
      </c>
      <c r="U2005" s="22">
        <f>IF(OR($D2005="",$T2005="Có"),"",IF($C2005="","Thiếu họ tên; ","")&amp;IF($S2005&lt;&gt;"Có","SĐT sai định dạng; ","")&amp;IF($R2005="Trùng","Trùng SĐT; ","")&amp;IF($Q2005&lt;&gt;"Có","Thiếu đồng ý bắt buộc; ","")&amp;IF($L2005="","Thiếu/sai Mã REF; ",IF(AND($L2005="Chưa xác định",DANH_MUC!$L$9&lt;&gt;"Có"),"Nguồn chưa xác định; ","")))</f>
        <v/>
      </c>
      <c r="V2005" s="22">
        <f>IF(OR($D2005="",$R2005="Trùng"),"",IF(COUNTIF(ORDERS!$C$2:$C$4995,$D2005)&gt;0,"Có","Không"))</f>
        <v/>
      </c>
      <c r="W2005" s="22">
        <f>IF(OR($D2005="",$R2005="Trùng"),"",COUNTIFS(ORDERS!$C$2:$C$4995,$D2005,ORDERS!$L$2:$L$4995,"Đã chuyển khoản"))</f>
        <v/>
      </c>
      <c r="X2005" s="23">
        <f>IF(OR($D2005="",$R2005="Trùng"),"",SUMIFS(ORDERS!$J$2:$J$4995,ORDERS!$C$2:$C$4995,$D2005,ORDERS!$L$2:$L$4995,"Đã chuyển khoản"))</f>
        <v/>
      </c>
      <c r="Y2005" s="24" t="n"/>
    </row>
    <row r="2006" ht="14.25" customHeight="1" s="40">
      <c r="A2006" s="24" t="n"/>
      <c r="B2006" s="27" t="n"/>
      <c r="C2006" s="24" t="n"/>
      <c r="D2006" s="28" t="n"/>
      <c r="E2006" s="29" t="n"/>
      <c r="F2006" s="24" t="n"/>
      <c r="G2006" s="24" t="n"/>
      <c r="H2006" s="21">
        <f>IF(ISNUMBER($B2006),INT($B2006)-WEEKDAY($B2006,2)+1,"")</f>
        <v/>
      </c>
      <c r="I2006" s="24" t="n"/>
      <c r="J2006" s="22">
        <f t="array" ref="J2006">IF($D2006="","",IF($I2006="","(trống REF)",IFERROR(INDEX(MASTER_SOURCE!$B$2:$B$495,MATCH($I2006,MASTER_SOURCE!$A$2:$A$495,0)),"(REF không có trong MASTER_SOURCE)")))</f>
        <v/>
      </c>
      <c r="K2006" s="22">
        <f t="array" ref="K2006">IF($D2006="","",IFERROR(INDEX(MASTER_SOURCE!$C$2:$C$495,MATCH($I2006,MASTER_SOURCE!$A$2:$A$495,0)),""))</f>
        <v/>
      </c>
      <c r="L2006" s="22">
        <f t="array" ref="L2006">IF($D2006="","",IFERROR(INDEX(MASTER_SOURCE!$D$2:$D$495,MATCH($I2006,MASTER_SOURCE!$A$2:$A$495,0)),""))</f>
        <v/>
      </c>
      <c r="M2006" s="24" t="n"/>
      <c r="N2006" s="24" t="n"/>
      <c r="O2006" s="24" t="n"/>
      <c r="P2006" s="24" t="n"/>
      <c r="Q2006" s="22">
        <f>IF($D2006="","",IF(AND(OR(DANH_MUC!$L$5&lt;&gt;"Có",M2006="Có"),OR(DANH_MUC!$L$6&lt;&gt;"Có",N2006="Có"),OR(DANH_MUC!$L$7&lt;&gt;"Có",O2006="Có"),OR(DANH_MUC!$L$8&lt;&gt;"Có",P2006="Có")),"Có","Không"))</f>
        <v/>
      </c>
      <c r="R2006" s="22">
        <f>IF($D2006="","",IF(COUNTIF($D$2:$D2006,$D2006)&gt;1,"Trùng",""))</f>
        <v/>
      </c>
      <c r="S2006" s="22">
        <f>IF($D2006="","",IF(AND(LEN($D2006)=10,LEFT($D2006,1)="0",ISNUMBER(--$D2006)),"Có","Không"))</f>
        <v/>
      </c>
      <c r="T2006" s="22">
        <f>IF($D2006="","",IF(AND($C2006&lt;&gt;"",$Q2006="Có",$R2006="",$S2006="Có",AND($L2006&lt;&gt;"",OR($L2006&lt;&gt;"Chưa xác định",DANH_MUC!$L$9="Có"))),"Có","Không"))</f>
        <v/>
      </c>
      <c r="U2006" s="22">
        <f>IF(OR($D2006="",$T2006="Có"),"",IF($C2006="","Thiếu họ tên; ","")&amp;IF($S2006&lt;&gt;"Có","SĐT sai định dạng; ","")&amp;IF($R2006="Trùng","Trùng SĐT; ","")&amp;IF($Q2006&lt;&gt;"Có","Thiếu đồng ý bắt buộc; ","")&amp;IF($L2006="","Thiếu/sai Mã REF; ",IF(AND($L2006="Chưa xác định",DANH_MUC!$L$9&lt;&gt;"Có"),"Nguồn chưa xác định; ","")))</f>
        <v/>
      </c>
      <c r="V2006" s="22">
        <f>IF(OR($D2006="",$R2006="Trùng"),"",IF(COUNTIF(ORDERS!$C$2:$C$4995,$D2006)&gt;0,"Có","Không"))</f>
        <v/>
      </c>
      <c r="W2006" s="22">
        <f>IF(OR($D2006="",$R2006="Trùng"),"",COUNTIFS(ORDERS!$C$2:$C$4995,$D2006,ORDERS!$L$2:$L$4995,"Đã chuyển khoản"))</f>
        <v/>
      </c>
      <c r="X2006" s="23">
        <f>IF(OR($D2006="",$R2006="Trùng"),"",SUMIFS(ORDERS!$J$2:$J$4995,ORDERS!$C$2:$C$4995,$D2006,ORDERS!$L$2:$L$4995,"Đã chuyển khoản"))</f>
        <v/>
      </c>
      <c r="Y2006" s="24" t="n"/>
    </row>
    <row r="2007" ht="14.25" customHeight="1" s="40">
      <c r="A2007" s="24" t="n"/>
      <c r="B2007" s="27" t="n"/>
      <c r="C2007" s="24" t="n"/>
      <c r="D2007" s="28" t="n"/>
      <c r="E2007" s="29" t="n"/>
      <c r="F2007" s="24" t="n"/>
      <c r="G2007" s="24" t="n"/>
      <c r="H2007" s="21">
        <f>IF(ISNUMBER($B2007),INT($B2007)-WEEKDAY($B2007,2)+1,"")</f>
        <v/>
      </c>
      <c r="I2007" s="24" t="n"/>
      <c r="J2007" s="22">
        <f t="array" ref="J2007">IF($D2007="","",IF($I2007="","(trống REF)",IFERROR(INDEX(MASTER_SOURCE!$B$2:$B$495,MATCH($I2007,MASTER_SOURCE!$A$2:$A$495,0)),"(REF không có trong MASTER_SOURCE)")))</f>
        <v/>
      </c>
      <c r="K2007" s="22">
        <f t="array" ref="K2007">IF($D2007="","",IFERROR(INDEX(MASTER_SOURCE!$C$2:$C$495,MATCH($I2007,MASTER_SOURCE!$A$2:$A$495,0)),""))</f>
        <v/>
      </c>
      <c r="L2007" s="22">
        <f t="array" ref="L2007">IF($D2007="","",IFERROR(INDEX(MASTER_SOURCE!$D$2:$D$495,MATCH($I2007,MASTER_SOURCE!$A$2:$A$495,0)),""))</f>
        <v/>
      </c>
      <c r="M2007" s="24" t="n"/>
      <c r="N2007" s="24" t="n"/>
      <c r="O2007" s="24" t="n"/>
      <c r="P2007" s="24" t="n"/>
      <c r="Q2007" s="22">
        <f>IF($D2007="","",IF(AND(OR(DANH_MUC!$L$5&lt;&gt;"Có",M2007="Có"),OR(DANH_MUC!$L$6&lt;&gt;"Có",N2007="Có"),OR(DANH_MUC!$L$7&lt;&gt;"Có",O2007="Có"),OR(DANH_MUC!$L$8&lt;&gt;"Có",P2007="Có")),"Có","Không"))</f>
        <v/>
      </c>
      <c r="R2007" s="22">
        <f>IF($D2007="","",IF(COUNTIF($D$2:$D2007,$D2007)&gt;1,"Trùng",""))</f>
        <v/>
      </c>
      <c r="S2007" s="22">
        <f>IF($D2007="","",IF(AND(LEN($D2007)=10,LEFT($D2007,1)="0",ISNUMBER(--$D2007)),"Có","Không"))</f>
        <v/>
      </c>
      <c r="T2007" s="22">
        <f>IF($D2007="","",IF(AND($C2007&lt;&gt;"",$Q2007="Có",$R2007="",$S2007="Có",AND($L2007&lt;&gt;"",OR($L2007&lt;&gt;"Chưa xác định",DANH_MUC!$L$9="Có"))),"Có","Không"))</f>
        <v/>
      </c>
      <c r="U2007" s="22">
        <f>IF(OR($D2007="",$T2007="Có"),"",IF($C2007="","Thiếu họ tên; ","")&amp;IF($S2007&lt;&gt;"Có","SĐT sai định dạng; ","")&amp;IF($R2007="Trùng","Trùng SĐT; ","")&amp;IF($Q2007&lt;&gt;"Có","Thiếu đồng ý bắt buộc; ","")&amp;IF($L2007="","Thiếu/sai Mã REF; ",IF(AND($L2007="Chưa xác định",DANH_MUC!$L$9&lt;&gt;"Có"),"Nguồn chưa xác định; ","")))</f>
        <v/>
      </c>
      <c r="V2007" s="22">
        <f>IF(OR($D2007="",$R2007="Trùng"),"",IF(COUNTIF(ORDERS!$C$2:$C$4995,$D2007)&gt;0,"Có","Không"))</f>
        <v/>
      </c>
      <c r="W2007" s="22">
        <f>IF(OR($D2007="",$R2007="Trùng"),"",COUNTIFS(ORDERS!$C$2:$C$4995,$D2007,ORDERS!$L$2:$L$4995,"Đã chuyển khoản"))</f>
        <v/>
      </c>
      <c r="X2007" s="23">
        <f>IF(OR($D2007="",$R2007="Trùng"),"",SUMIFS(ORDERS!$J$2:$J$4995,ORDERS!$C$2:$C$4995,$D2007,ORDERS!$L$2:$L$4995,"Đã chuyển khoản"))</f>
        <v/>
      </c>
      <c r="Y2007" s="24" t="n"/>
    </row>
    <row r="2008" ht="14.25" customHeight="1" s="40">
      <c r="A2008" s="24" t="n"/>
      <c r="B2008" s="27" t="n"/>
      <c r="C2008" s="24" t="n"/>
      <c r="D2008" s="28" t="n"/>
      <c r="E2008" s="29" t="n"/>
      <c r="F2008" s="24" t="n"/>
      <c r="G2008" s="24" t="n"/>
      <c r="H2008" s="21">
        <f>IF(ISNUMBER($B2008),INT($B2008)-WEEKDAY($B2008,2)+1,"")</f>
        <v/>
      </c>
      <c r="I2008" s="24" t="n"/>
      <c r="J2008" s="22">
        <f t="array" ref="J2008">IF($D2008="","",IF($I2008="","(trống REF)",IFERROR(INDEX(MASTER_SOURCE!$B$2:$B$495,MATCH($I2008,MASTER_SOURCE!$A$2:$A$495,0)),"(REF không có trong MASTER_SOURCE)")))</f>
        <v/>
      </c>
      <c r="K2008" s="22">
        <f t="array" ref="K2008">IF($D2008="","",IFERROR(INDEX(MASTER_SOURCE!$C$2:$C$495,MATCH($I2008,MASTER_SOURCE!$A$2:$A$495,0)),""))</f>
        <v/>
      </c>
      <c r="L2008" s="22">
        <f t="array" ref="L2008">IF($D2008="","",IFERROR(INDEX(MASTER_SOURCE!$D$2:$D$495,MATCH($I2008,MASTER_SOURCE!$A$2:$A$495,0)),""))</f>
        <v/>
      </c>
      <c r="M2008" s="24" t="n"/>
      <c r="N2008" s="24" t="n"/>
      <c r="O2008" s="24" t="n"/>
      <c r="P2008" s="24" t="n"/>
      <c r="Q2008" s="22">
        <f>IF($D2008="","",IF(AND(OR(DANH_MUC!$L$5&lt;&gt;"Có",M2008="Có"),OR(DANH_MUC!$L$6&lt;&gt;"Có",N2008="Có"),OR(DANH_MUC!$L$7&lt;&gt;"Có",O2008="Có"),OR(DANH_MUC!$L$8&lt;&gt;"Có",P2008="Có")),"Có","Không"))</f>
        <v/>
      </c>
      <c r="R2008" s="22">
        <f>IF($D2008="","",IF(COUNTIF($D$2:$D2008,$D2008)&gt;1,"Trùng",""))</f>
        <v/>
      </c>
      <c r="S2008" s="22">
        <f>IF($D2008="","",IF(AND(LEN($D2008)=10,LEFT($D2008,1)="0",ISNUMBER(--$D2008)),"Có","Không"))</f>
        <v/>
      </c>
      <c r="T2008" s="22">
        <f>IF($D2008="","",IF(AND($C2008&lt;&gt;"",$Q2008="Có",$R2008="",$S2008="Có",AND($L2008&lt;&gt;"",OR($L2008&lt;&gt;"Chưa xác định",DANH_MUC!$L$9="Có"))),"Có","Không"))</f>
        <v/>
      </c>
      <c r="U2008" s="22">
        <f>IF(OR($D2008="",$T2008="Có"),"",IF($C2008="","Thiếu họ tên; ","")&amp;IF($S2008&lt;&gt;"Có","SĐT sai định dạng; ","")&amp;IF($R2008="Trùng","Trùng SĐT; ","")&amp;IF($Q2008&lt;&gt;"Có","Thiếu đồng ý bắt buộc; ","")&amp;IF($L2008="","Thiếu/sai Mã REF; ",IF(AND($L2008="Chưa xác định",DANH_MUC!$L$9&lt;&gt;"Có"),"Nguồn chưa xác định; ","")))</f>
        <v/>
      </c>
      <c r="V2008" s="22">
        <f>IF(OR($D2008="",$R2008="Trùng"),"",IF(COUNTIF(ORDERS!$C$2:$C$4995,$D2008)&gt;0,"Có","Không"))</f>
        <v/>
      </c>
      <c r="W2008" s="22">
        <f>IF(OR($D2008="",$R2008="Trùng"),"",COUNTIFS(ORDERS!$C$2:$C$4995,$D2008,ORDERS!$L$2:$L$4995,"Đã chuyển khoản"))</f>
        <v/>
      </c>
      <c r="X2008" s="23">
        <f>IF(OR($D2008="",$R2008="Trùng"),"",SUMIFS(ORDERS!$J$2:$J$4995,ORDERS!$C$2:$C$4995,$D2008,ORDERS!$L$2:$L$4995,"Đã chuyển khoản"))</f>
        <v/>
      </c>
      <c r="Y2008" s="24" t="n"/>
    </row>
    <row r="2009" ht="14.25" customHeight="1" s="40">
      <c r="A2009" s="24" t="n"/>
      <c r="B2009" s="27" t="n"/>
      <c r="C2009" s="24" t="n"/>
      <c r="D2009" s="28" t="n"/>
      <c r="E2009" s="29" t="n"/>
      <c r="F2009" s="24" t="n"/>
      <c r="G2009" s="24" t="n"/>
      <c r="H2009" s="21">
        <f>IF(ISNUMBER($B2009),INT($B2009)-WEEKDAY($B2009,2)+1,"")</f>
        <v/>
      </c>
      <c r="I2009" s="24" t="n"/>
      <c r="J2009" s="22">
        <f t="array" ref="J2009">IF($D2009="","",IF($I2009="","(trống REF)",IFERROR(INDEX(MASTER_SOURCE!$B$2:$B$495,MATCH($I2009,MASTER_SOURCE!$A$2:$A$495,0)),"(REF không có trong MASTER_SOURCE)")))</f>
        <v/>
      </c>
      <c r="K2009" s="22">
        <f t="array" ref="K2009">IF($D2009="","",IFERROR(INDEX(MASTER_SOURCE!$C$2:$C$495,MATCH($I2009,MASTER_SOURCE!$A$2:$A$495,0)),""))</f>
        <v/>
      </c>
      <c r="L2009" s="22">
        <f t="array" ref="L2009">IF($D2009="","",IFERROR(INDEX(MASTER_SOURCE!$D$2:$D$495,MATCH($I2009,MASTER_SOURCE!$A$2:$A$495,0)),""))</f>
        <v/>
      </c>
      <c r="M2009" s="24" t="n"/>
      <c r="N2009" s="24" t="n"/>
      <c r="O2009" s="24" t="n"/>
      <c r="P2009" s="24" t="n"/>
      <c r="Q2009" s="22">
        <f>IF($D2009="","",IF(AND(OR(DANH_MUC!$L$5&lt;&gt;"Có",M2009="Có"),OR(DANH_MUC!$L$6&lt;&gt;"Có",N2009="Có"),OR(DANH_MUC!$L$7&lt;&gt;"Có",O2009="Có"),OR(DANH_MUC!$L$8&lt;&gt;"Có",P2009="Có")),"Có","Không"))</f>
        <v/>
      </c>
      <c r="R2009" s="22">
        <f>IF($D2009="","",IF(COUNTIF($D$2:$D2009,$D2009)&gt;1,"Trùng",""))</f>
        <v/>
      </c>
      <c r="S2009" s="22">
        <f>IF($D2009="","",IF(AND(LEN($D2009)=10,LEFT($D2009,1)="0",ISNUMBER(--$D2009)),"Có","Không"))</f>
        <v/>
      </c>
      <c r="T2009" s="22">
        <f>IF($D2009="","",IF(AND($C2009&lt;&gt;"",$Q2009="Có",$R2009="",$S2009="Có",AND($L2009&lt;&gt;"",OR($L2009&lt;&gt;"Chưa xác định",DANH_MUC!$L$9="Có"))),"Có","Không"))</f>
        <v/>
      </c>
      <c r="U2009" s="22">
        <f>IF(OR($D2009="",$T2009="Có"),"",IF($C2009="","Thiếu họ tên; ","")&amp;IF($S2009&lt;&gt;"Có","SĐT sai định dạng; ","")&amp;IF($R2009="Trùng","Trùng SĐT; ","")&amp;IF($Q2009&lt;&gt;"Có","Thiếu đồng ý bắt buộc; ","")&amp;IF($L2009="","Thiếu/sai Mã REF; ",IF(AND($L2009="Chưa xác định",DANH_MUC!$L$9&lt;&gt;"Có"),"Nguồn chưa xác định; ","")))</f>
        <v/>
      </c>
      <c r="V2009" s="22">
        <f>IF(OR($D2009="",$R2009="Trùng"),"",IF(COUNTIF(ORDERS!$C$2:$C$4995,$D2009)&gt;0,"Có","Không"))</f>
        <v/>
      </c>
      <c r="W2009" s="22">
        <f>IF(OR($D2009="",$R2009="Trùng"),"",COUNTIFS(ORDERS!$C$2:$C$4995,$D2009,ORDERS!$L$2:$L$4995,"Đã chuyển khoản"))</f>
        <v/>
      </c>
      <c r="X2009" s="23">
        <f>IF(OR($D2009="",$R2009="Trùng"),"",SUMIFS(ORDERS!$J$2:$J$4995,ORDERS!$C$2:$C$4995,$D2009,ORDERS!$L$2:$L$4995,"Đã chuyển khoản"))</f>
        <v/>
      </c>
      <c r="Y2009" s="24" t="n"/>
    </row>
    <row r="2010" ht="14.25" customHeight="1" s="40">
      <c r="A2010" s="24" t="n"/>
      <c r="B2010" s="27" t="n"/>
      <c r="C2010" s="24" t="n"/>
      <c r="D2010" s="28" t="n"/>
      <c r="E2010" s="29" t="n"/>
      <c r="F2010" s="24" t="n"/>
      <c r="G2010" s="24" t="n"/>
      <c r="H2010" s="21">
        <f>IF(ISNUMBER($B2010),INT($B2010)-WEEKDAY($B2010,2)+1,"")</f>
        <v/>
      </c>
      <c r="I2010" s="24" t="n"/>
      <c r="J2010" s="22">
        <f t="array" ref="J2010">IF($D2010="","",IF($I2010="","(trống REF)",IFERROR(INDEX(MASTER_SOURCE!$B$2:$B$495,MATCH($I2010,MASTER_SOURCE!$A$2:$A$495,0)),"(REF không có trong MASTER_SOURCE)")))</f>
        <v/>
      </c>
      <c r="K2010" s="22">
        <f t="array" ref="K2010">IF($D2010="","",IFERROR(INDEX(MASTER_SOURCE!$C$2:$C$495,MATCH($I2010,MASTER_SOURCE!$A$2:$A$495,0)),""))</f>
        <v/>
      </c>
      <c r="L2010" s="22">
        <f t="array" ref="L2010">IF($D2010="","",IFERROR(INDEX(MASTER_SOURCE!$D$2:$D$495,MATCH($I2010,MASTER_SOURCE!$A$2:$A$495,0)),""))</f>
        <v/>
      </c>
      <c r="M2010" s="24" t="n"/>
      <c r="N2010" s="24" t="n"/>
      <c r="O2010" s="24" t="n"/>
      <c r="P2010" s="24" t="n"/>
      <c r="Q2010" s="22">
        <f>IF($D2010="","",IF(AND(OR(DANH_MUC!$L$5&lt;&gt;"Có",M2010="Có"),OR(DANH_MUC!$L$6&lt;&gt;"Có",N2010="Có"),OR(DANH_MUC!$L$7&lt;&gt;"Có",O2010="Có"),OR(DANH_MUC!$L$8&lt;&gt;"Có",P2010="Có")),"Có","Không"))</f>
        <v/>
      </c>
      <c r="R2010" s="22">
        <f>IF($D2010="","",IF(COUNTIF($D$2:$D2010,$D2010)&gt;1,"Trùng",""))</f>
        <v/>
      </c>
      <c r="S2010" s="22">
        <f>IF($D2010="","",IF(AND(LEN($D2010)=10,LEFT($D2010,1)="0",ISNUMBER(--$D2010)),"Có","Không"))</f>
        <v/>
      </c>
      <c r="T2010" s="22">
        <f>IF($D2010="","",IF(AND($C2010&lt;&gt;"",$Q2010="Có",$R2010="",$S2010="Có",AND($L2010&lt;&gt;"",OR($L2010&lt;&gt;"Chưa xác định",DANH_MUC!$L$9="Có"))),"Có","Không"))</f>
        <v/>
      </c>
      <c r="U2010" s="22">
        <f>IF(OR($D2010="",$T2010="Có"),"",IF($C2010="","Thiếu họ tên; ","")&amp;IF($S2010&lt;&gt;"Có","SĐT sai định dạng; ","")&amp;IF($R2010="Trùng","Trùng SĐT; ","")&amp;IF($Q2010&lt;&gt;"Có","Thiếu đồng ý bắt buộc; ","")&amp;IF($L2010="","Thiếu/sai Mã REF; ",IF(AND($L2010="Chưa xác định",DANH_MUC!$L$9&lt;&gt;"Có"),"Nguồn chưa xác định; ","")))</f>
        <v/>
      </c>
      <c r="V2010" s="22">
        <f>IF(OR($D2010="",$R2010="Trùng"),"",IF(COUNTIF(ORDERS!$C$2:$C$4995,$D2010)&gt;0,"Có","Không"))</f>
        <v/>
      </c>
      <c r="W2010" s="22">
        <f>IF(OR($D2010="",$R2010="Trùng"),"",COUNTIFS(ORDERS!$C$2:$C$4995,$D2010,ORDERS!$L$2:$L$4995,"Đã chuyển khoản"))</f>
        <v/>
      </c>
      <c r="X2010" s="23">
        <f>IF(OR($D2010="",$R2010="Trùng"),"",SUMIFS(ORDERS!$J$2:$J$4995,ORDERS!$C$2:$C$4995,$D2010,ORDERS!$L$2:$L$4995,"Đã chuyển khoản"))</f>
        <v/>
      </c>
      <c r="Y2010" s="24" t="n"/>
    </row>
    <row r="2011" ht="14.25" customHeight="1" s="40">
      <c r="A2011" s="24" t="n"/>
      <c r="B2011" s="27" t="n"/>
      <c r="C2011" s="24" t="n"/>
      <c r="D2011" s="28" t="n"/>
      <c r="E2011" s="29" t="n"/>
      <c r="F2011" s="24" t="n"/>
      <c r="G2011" s="24" t="n"/>
      <c r="H2011" s="21">
        <f>IF(ISNUMBER($B2011),INT($B2011)-WEEKDAY($B2011,2)+1,"")</f>
        <v/>
      </c>
      <c r="I2011" s="24" t="n"/>
      <c r="J2011" s="22">
        <f t="array" ref="J2011">IF($D2011="","",IF($I2011="","(trống REF)",IFERROR(INDEX(MASTER_SOURCE!$B$2:$B$495,MATCH($I2011,MASTER_SOURCE!$A$2:$A$495,0)),"(REF không có trong MASTER_SOURCE)")))</f>
        <v/>
      </c>
      <c r="K2011" s="22">
        <f t="array" ref="K2011">IF($D2011="","",IFERROR(INDEX(MASTER_SOURCE!$C$2:$C$495,MATCH($I2011,MASTER_SOURCE!$A$2:$A$495,0)),""))</f>
        <v/>
      </c>
      <c r="L2011" s="22">
        <f t="array" ref="L2011">IF($D2011="","",IFERROR(INDEX(MASTER_SOURCE!$D$2:$D$495,MATCH($I2011,MASTER_SOURCE!$A$2:$A$495,0)),""))</f>
        <v/>
      </c>
      <c r="M2011" s="24" t="n"/>
      <c r="N2011" s="24" t="n"/>
      <c r="O2011" s="24" t="n"/>
      <c r="P2011" s="24" t="n"/>
      <c r="Q2011" s="22">
        <f>IF($D2011="","",IF(AND(OR(DANH_MUC!$L$5&lt;&gt;"Có",M2011="Có"),OR(DANH_MUC!$L$6&lt;&gt;"Có",N2011="Có"),OR(DANH_MUC!$L$7&lt;&gt;"Có",O2011="Có"),OR(DANH_MUC!$L$8&lt;&gt;"Có",P2011="Có")),"Có","Không"))</f>
        <v/>
      </c>
      <c r="R2011" s="22">
        <f>IF($D2011="","",IF(COUNTIF($D$2:$D2011,$D2011)&gt;1,"Trùng",""))</f>
        <v/>
      </c>
      <c r="S2011" s="22">
        <f>IF($D2011="","",IF(AND(LEN($D2011)=10,LEFT($D2011,1)="0",ISNUMBER(--$D2011)),"Có","Không"))</f>
        <v/>
      </c>
      <c r="T2011" s="22">
        <f>IF($D2011="","",IF(AND($C2011&lt;&gt;"",$Q2011="Có",$R2011="",$S2011="Có",AND($L2011&lt;&gt;"",OR($L2011&lt;&gt;"Chưa xác định",DANH_MUC!$L$9="Có"))),"Có","Không"))</f>
        <v/>
      </c>
      <c r="U2011" s="22">
        <f>IF(OR($D2011="",$T2011="Có"),"",IF($C2011="","Thiếu họ tên; ","")&amp;IF($S2011&lt;&gt;"Có","SĐT sai định dạng; ","")&amp;IF($R2011="Trùng","Trùng SĐT; ","")&amp;IF($Q2011&lt;&gt;"Có","Thiếu đồng ý bắt buộc; ","")&amp;IF($L2011="","Thiếu/sai Mã REF; ",IF(AND($L2011="Chưa xác định",DANH_MUC!$L$9&lt;&gt;"Có"),"Nguồn chưa xác định; ","")))</f>
        <v/>
      </c>
      <c r="V2011" s="22">
        <f>IF(OR($D2011="",$R2011="Trùng"),"",IF(COUNTIF(ORDERS!$C$2:$C$4995,$D2011)&gt;0,"Có","Không"))</f>
        <v/>
      </c>
      <c r="W2011" s="22">
        <f>IF(OR($D2011="",$R2011="Trùng"),"",COUNTIFS(ORDERS!$C$2:$C$4995,$D2011,ORDERS!$L$2:$L$4995,"Đã chuyển khoản"))</f>
        <v/>
      </c>
      <c r="X2011" s="23">
        <f>IF(OR($D2011="",$R2011="Trùng"),"",SUMIFS(ORDERS!$J$2:$J$4995,ORDERS!$C$2:$C$4995,$D2011,ORDERS!$L$2:$L$4995,"Đã chuyển khoản"))</f>
        <v/>
      </c>
      <c r="Y2011" s="24" t="n"/>
    </row>
    <row r="2012" ht="14.25" customHeight="1" s="40">
      <c r="A2012" s="24" t="n"/>
      <c r="B2012" s="27" t="n"/>
      <c r="C2012" s="24" t="n"/>
      <c r="D2012" s="28" t="n"/>
      <c r="E2012" s="29" t="n"/>
      <c r="F2012" s="24" t="n"/>
      <c r="G2012" s="24" t="n"/>
      <c r="H2012" s="21">
        <f>IF(ISNUMBER($B2012),INT($B2012)-WEEKDAY($B2012,2)+1,"")</f>
        <v/>
      </c>
      <c r="I2012" s="24" t="n"/>
      <c r="J2012" s="22">
        <f t="array" ref="J2012">IF($D2012="","",IF($I2012="","(trống REF)",IFERROR(INDEX(MASTER_SOURCE!$B$2:$B$495,MATCH($I2012,MASTER_SOURCE!$A$2:$A$495,0)),"(REF không có trong MASTER_SOURCE)")))</f>
        <v/>
      </c>
      <c r="K2012" s="22">
        <f t="array" ref="K2012">IF($D2012="","",IFERROR(INDEX(MASTER_SOURCE!$C$2:$C$495,MATCH($I2012,MASTER_SOURCE!$A$2:$A$495,0)),""))</f>
        <v/>
      </c>
      <c r="L2012" s="22">
        <f t="array" ref="L2012">IF($D2012="","",IFERROR(INDEX(MASTER_SOURCE!$D$2:$D$495,MATCH($I2012,MASTER_SOURCE!$A$2:$A$495,0)),""))</f>
        <v/>
      </c>
      <c r="M2012" s="24" t="n"/>
      <c r="N2012" s="24" t="n"/>
      <c r="O2012" s="24" t="n"/>
      <c r="P2012" s="24" t="n"/>
      <c r="Q2012" s="22">
        <f>IF($D2012="","",IF(AND(OR(DANH_MUC!$L$5&lt;&gt;"Có",M2012="Có"),OR(DANH_MUC!$L$6&lt;&gt;"Có",N2012="Có"),OR(DANH_MUC!$L$7&lt;&gt;"Có",O2012="Có"),OR(DANH_MUC!$L$8&lt;&gt;"Có",P2012="Có")),"Có","Không"))</f>
        <v/>
      </c>
      <c r="R2012" s="22">
        <f>IF($D2012="","",IF(COUNTIF($D$2:$D2012,$D2012)&gt;1,"Trùng",""))</f>
        <v/>
      </c>
      <c r="S2012" s="22">
        <f>IF($D2012="","",IF(AND(LEN($D2012)=10,LEFT($D2012,1)="0",ISNUMBER(--$D2012)),"Có","Không"))</f>
        <v/>
      </c>
      <c r="T2012" s="22">
        <f>IF($D2012="","",IF(AND($C2012&lt;&gt;"",$Q2012="Có",$R2012="",$S2012="Có",AND($L2012&lt;&gt;"",OR($L2012&lt;&gt;"Chưa xác định",DANH_MUC!$L$9="Có"))),"Có","Không"))</f>
        <v/>
      </c>
      <c r="U2012" s="22">
        <f>IF(OR($D2012="",$T2012="Có"),"",IF($C2012="","Thiếu họ tên; ","")&amp;IF($S2012&lt;&gt;"Có","SĐT sai định dạng; ","")&amp;IF($R2012="Trùng","Trùng SĐT; ","")&amp;IF($Q2012&lt;&gt;"Có","Thiếu đồng ý bắt buộc; ","")&amp;IF($L2012="","Thiếu/sai Mã REF; ",IF(AND($L2012="Chưa xác định",DANH_MUC!$L$9&lt;&gt;"Có"),"Nguồn chưa xác định; ","")))</f>
        <v/>
      </c>
      <c r="V2012" s="22">
        <f>IF(OR($D2012="",$R2012="Trùng"),"",IF(COUNTIF(ORDERS!$C$2:$C$4995,$D2012)&gt;0,"Có","Không"))</f>
        <v/>
      </c>
      <c r="W2012" s="22">
        <f>IF(OR($D2012="",$R2012="Trùng"),"",COUNTIFS(ORDERS!$C$2:$C$4995,$D2012,ORDERS!$L$2:$L$4995,"Đã chuyển khoản"))</f>
        <v/>
      </c>
      <c r="X2012" s="23">
        <f>IF(OR($D2012="",$R2012="Trùng"),"",SUMIFS(ORDERS!$J$2:$J$4995,ORDERS!$C$2:$C$4995,$D2012,ORDERS!$L$2:$L$4995,"Đã chuyển khoản"))</f>
        <v/>
      </c>
      <c r="Y2012" s="24" t="n"/>
    </row>
    <row r="2013" ht="14.25" customHeight="1" s="40">
      <c r="A2013" s="24" t="n"/>
      <c r="B2013" s="27" t="n"/>
      <c r="C2013" s="24" t="n"/>
      <c r="D2013" s="28" t="n"/>
      <c r="E2013" s="29" t="n"/>
      <c r="F2013" s="24" t="n"/>
      <c r="G2013" s="24" t="n"/>
      <c r="H2013" s="21">
        <f>IF(ISNUMBER($B2013),INT($B2013)-WEEKDAY($B2013,2)+1,"")</f>
        <v/>
      </c>
      <c r="I2013" s="24" t="n"/>
      <c r="J2013" s="22">
        <f t="array" ref="J2013">IF($D2013="","",IF($I2013="","(trống REF)",IFERROR(INDEX(MASTER_SOURCE!$B$2:$B$495,MATCH($I2013,MASTER_SOURCE!$A$2:$A$495,0)),"(REF không có trong MASTER_SOURCE)")))</f>
        <v/>
      </c>
      <c r="K2013" s="22">
        <f t="array" ref="K2013">IF($D2013="","",IFERROR(INDEX(MASTER_SOURCE!$C$2:$C$495,MATCH($I2013,MASTER_SOURCE!$A$2:$A$495,0)),""))</f>
        <v/>
      </c>
      <c r="L2013" s="22">
        <f t="array" ref="L2013">IF($D2013="","",IFERROR(INDEX(MASTER_SOURCE!$D$2:$D$495,MATCH($I2013,MASTER_SOURCE!$A$2:$A$495,0)),""))</f>
        <v/>
      </c>
      <c r="M2013" s="24" t="n"/>
      <c r="N2013" s="24" t="n"/>
      <c r="O2013" s="24" t="n"/>
      <c r="P2013" s="24" t="n"/>
      <c r="Q2013" s="22">
        <f>IF($D2013="","",IF(AND(OR(DANH_MUC!$L$5&lt;&gt;"Có",M2013="Có"),OR(DANH_MUC!$L$6&lt;&gt;"Có",N2013="Có"),OR(DANH_MUC!$L$7&lt;&gt;"Có",O2013="Có"),OR(DANH_MUC!$L$8&lt;&gt;"Có",P2013="Có")),"Có","Không"))</f>
        <v/>
      </c>
      <c r="R2013" s="22">
        <f>IF($D2013="","",IF(COUNTIF($D$2:$D2013,$D2013)&gt;1,"Trùng",""))</f>
        <v/>
      </c>
      <c r="S2013" s="22">
        <f>IF($D2013="","",IF(AND(LEN($D2013)=10,LEFT($D2013,1)="0",ISNUMBER(--$D2013)),"Có","Không"))</f>
        <v/>
      </c>
      <c r="T2013" s="22">
        <f>IF($D2013="","",IF(AND($C2013&lt;&gt;"",$Q2013="Có",$R2013="",$S2013="Có",AND($L2013&lt;&gt;"",OR($L2013&lt;&gt;"Chưa xác định",DANH_MUC!$L$9="Có"))),"Có","Không"))</f>
        <v/>
      </c>
      <c r="U2013" s="22">
        <f>IF(OR($D2013="",$T2013="Có"),"",IF($C2013="","Thiếu họ tên; ","")&amp;IF($S2013&lt;&gt;"Có","SĐT sai định dạng; ","")&amp;IF($R2013="Trùng","Trùng SĐT; ","")&amp;IF($Q2013&lt;&gt;"Có","Thiếu đồng ý bắt buộc; ","")&amp;IF($L2013="","Thiếu/sai Mã REF; ",IF(AND($L2013="Chưa xác định",DANH_MUC!$L$9&lt;&gt;"Có"),"Nguồn chưa xác định; ","")))</f>
        <v/>
      </c>
      <c r="V2013" s="22">
        <f>IF(OR($D2013="",$R2013="Trùng"),"",IF(COUNTIF(ORDERS!$C$2:$C$4995,$D2013)&gt;0,"Có","Không"))</f>
        <v/>
      </c>
      <c r="W2013" s="22">
        <f>IF(OR($D2013="",$R2013="Trùng"),"",COUNTIFS(ORDERS!$C$2:$C$4995,$D2013,ORDERS!$L$2:$L$4995,"Đã chuyển khoản"))</f>
        <v/>
      </c>
      <c r="X2013" s="23">
        <f>IF(OR($D2013="",$R2013="Trùng"),"",SUMIFS(ORDERS!$J$2:$J$4995,ORDERS!$C$2:$C$4995,$D2013,ORDERS!$L$2:$L$4995,"Đã chuyển khoản"))</f>
        <v/>
      </c>
      <c r="Y2013" s="24" t="n"/>
    </row>
    <row r="2014" ht="14.25" customHeight="1" s="40">
      <c r="A2014" s="24" t="n"/>
      <c r="B2014" s="27" t="n"/>
      <c r="C2014" s="24" t="n"/>
      <c r="D2014" s="28" t="n"/>
      <c r="E2014" s="29" t="n"/>
      <c r="F2014" s="24" t="n"/>
      <c r="G2014" s="24" t="n"/>
      <c r="H2014" s="21">
        <f>IF(ISNUMBER($B2014),INT($B2014)-WEEKDAY($B2014,2)+1,"")</f>
        <v/>
      </c>
      <c r="I2014" s="24" t="n"/>
      <c r="J2014" s="22">
        <f t="array" ref="J2014">IF($D2014="","",IF($I2014="","(trống REF)",IFERROR(INDEX(MASTER_SOURCE!$B$2:$B$495,MATCH($I2014,MASTER_SOURCE!$A$2:$A$495,0)),"(REF không có trong MASTER_SOURCE)")))</f>
        <v/>
      </c>
      <c r="K2014" s="22">
        <f t="array" ref="K2014">IF($D2014="","",IFERROR(INDEX(MASTER_SOURCE!$C$2:$C$495,MATCH($I2014,MASTER_SOURCE!$A$2:$A$495,0)),""))</f>
        <v/>
      </c>
      <c r="L2014" s="22">
        <f t="array" ref="L2014">IF($D2014="","",IFERROR(INDEX(MASTER_SOURCE!$D$2:$D$495,MATCH($I2014,MASTER_SOURCE!$A$2:$A$495,0)),""))</f>
        <v/>
      </c>
      <c r="M2014" s="24" t="n"/>
      <c r="N2014" s="24" t="n"/>
      <c r="O2014" s="24" t="n"/>
      <c r="P2014" s="24" t="n"/>
      <c r="Q2014" s="22">
        <f>IF($D2014="","",IF(AND(OR(DANH_MUC!$L$5&lt;&gt;"Có",M2014="Có"),OR(DANH_MUC!$L$6&lt;&gt;"Có",N2014="Có"),OR(DANH_MUC!$L$7&lt;&gt;"Có",O2014="Có"),OR(DANH_MUC!$L$8&lt;&gt;"Có",P2014="Có")),"Có","Không"))</f>
        <v/>
      </c>
      <c r="R2014" s="22">
        <f>IF($D2014="","",IF(COUNTIF($D$2:$D2014,$D2014)&gt;1,"Trùng",""))</f>
        <v/>
      </c>
      <c r="S2014" s="22">
        <f>IF($D2014="","",IF(AND(LEN($D2014)=10,LEFT($D2014,1)="0",ISNUMBER(--$D2014)),"Có","Không"))</f>
        <v/>
      </c>
      <c r="T2014" s="22">
        <f>IF($D2014="","",IF(AND($C2014&lt;&gt;"",$Q2014="Có",$R2014="",$S2014="Có",AND($L2014&lt;&gt;"",OR($L2014&lt;&gt;"Chưa xác định",DANH_MUC!$L$9="Có"))),"Có","Không"))</f>
        <v/>
      </c>
      <c r="U2014" s="22">
        <f>IF(OR($D2014="",$T2014="Có"),"",IF($C2014="","Thiếu họ tên; ","")&amp;IF($S2014&lt;&gt;"Có","SĐT sai định dạng; ","")&amp;IF($R2014="Trùng","Trùng SĐT; ","")&amp;IF($Q2014&lt;&gt;"Có","Thiếu đồng ý bắt buộc; ","")&amp;IF($L2014="","Thiếu/sai Mã REF; ",IF(AND($L2014="Chưa xác định",DANH_MUC!$L$9&lt;&gt;"Có"),"Nguồn chưa xác định; ","")))</f>
        <v/>
      </c>
      <c r="V2014" s="22">
        <f>IF(OR($D2014="",$R2014="Trùng"),"",IF(COUNTIF(ORDERS!$C$2:$C$4995,$D2014)&gt;0,"Có","Không"))</f>
        <v/>
      </c>
      <c r="W2014" s="22">
        <f>IF(OR($D2014="",$R2014="Trùng"),"",COUNTIFS(ORDERS!$C$2:$C$4995,$D2014,ORDERS!$L$2:$L$4995,"Đã chuyển khoản"))</f>
        <v/>
      </c>
      <c r="X2014" s="23">
        <f>IF(OR($D2014="",$R2014="Trùng"),"",SUMIFS(ORDERS!$J$2:$J$4995,ORDERS!$C$2:$C$4995,$D2014,ORDERS!$L$2:$L$4995,"Đã chuyển khoản"))</f>
        <v/>
      </c>
      <c r="Y2014" s="24" t="n"/>
    </row>
    <row r="2015" ht="14.25" customHeight="1" s="40">
      <c r="A2015" s="24" t="n"/>
      <c r="B2015" s="27" t="n"/>
      <c r="C2015" s="24" t="n"/>
      <c r="D2015" s="28" t="n"/>
      <c r="E2015" s="29" t="n"/>
      <c r="F2015" s="24" t="n"/>
      <c r="G2015" s="24" t="n"/>
      <c r="H2015" s="21">
        <f>IF(ISNUMBER($B2015),INT($B2015)-WEEKDAY($B2015,2)+1,"")</f>
        <v/>
      </c>
      <c r="I2015" s="24" t="n"/>
      <c r="J2015" s="22">
        <f t="array" ref="J2015">IF($D2015="","",IF($I2015="","(trống REF)",IFERROR(INDEX(MASTER_SOURCE!$B$2:$B$495,MATCH($I2015,MASTER_SOURCE!$A$2:$A$495,0)),"(REF không có trong MASTER_SOURCE)")))</f>
        <v/>
      </c>
      <c r="K2015" s="22">
        <f t="array" ref="K2015">IF($D2015="","",IFERROR(INDEX(MASTER_SOURCE!$C$2:$C$495,MATCH($I2015,MASTER_SOURCE!$A$2:$A$495,0)),""))</f>
        <v/>
      </c>
      <c r="L2015" s="22">
        <f t="array" ref="L2015">IF($D2015="","",IFERROR(INDEX(MASTER_SOURCE!$D$2:$D$495,MATCH($I2015,MASTER_SOURCE!$A$2:$A$495,0)),""))</f>
        <v/>
      </c>
      <c r="M2015" s="24" t="n"/>
      <c r="N2015" s="24" t="n"/>
      <c r="O2015" s="24" t="n"/>
      <c r="P2015" s="24" t="n"/>
      <c r="Q2015" s="22">
        <f>IF($D2015="","",IF(AND(OR(DANH_MUC!$L$5&lt;&gt;"Có",M2015="Có"),OR(DANH_MUC!$L$6&lt;&gt;"Có",N2015="Có"),OR(DANH_MUC!$L$7&lt;&gt;"Có",O2015="Có"),OR(DANH_MUC!$L$8&lt;&gt;"Có",P2015="Có")),"Có","Không"))</f>
        <v/>
      </c>
      <c r="R2015" s="22">
        <f>IF($D2015="","",IF(COUNTIF($D$2:$D2015,$D2015)&gt;1,"Trùng",""))</f>
        <v/>
      </c>
      <c r="S2015" s="22">
        <f>IF($D2015="","",IF(AND(LEN($D2015)=10,LEFT($D2015,1)="0",ISNUMBER(--$D2015)),"Có","Không"))</f>
        <v/>
      </c>
      <c r="T2015" s="22">
        <f>IF($D2015="","",IF(AND($C2015&lt;&gt;"",$Q2015="Có",$R2015="",$S2015="Có",AND($L2015&lt;&gt;"",OR($L2015&lt;&gt;"Chưa xác định",DANH_MUC!$L$9="Có"))),"Có","Không"))</f>
        <v/>
      </c>
      <c r="U2015" s="22">
        <f>IF(OR($D2015="",$T2015="Có"),"",IF($C2015="","Thiếu họ tên; ","")&amp;IF($S2015&lt;&gt;"Có","SĐT sai định dạng; ","")&amp;IF($R2015="Trùng","Trùng SĐT; ","")&amp;IF($Q2015&lt;&gt;"Có","Thiếu đồng ý bắt buộc; ","")&amp;IF($L2015="","Thiếu/sai Mã REF; ",IF(AND($L2015="Chưa xác định",DANH_MUC!$L$9&lt;&gt;"Có"),"Nguồn chưa xác định; ","")))</f>
        <v/>
      </c>
      <c r="V2015" s="22">
        <f>IF(OR($D2015="",$R2015="Trùng"),"",IF(COUNTIF(ORDERS!$C$2:$C$4995,$D2015)&gt;0,"Có","Không"))</f>
        <v/>
      </c>
      <c r="W2015" s="22">
        <f>IF(OR($D2015="",$R2015="Trùng"),"",COUNTIFS(ORDERS!$C$2:$C$4995,$D2015,ORDERS!$L$2:$L$4995,"Đã chuyển khoản"))</f>
        <v/>
      </c>
      <c r="X2015" s="23">
        <f>IF(OR($D2015="",$R2015="Trùng"),"",SUMIFS(ORDERS!$J$2:$J$4995,ORDERS!$C$2:$C$4995,$D2015,ORDERS!$L$2:$L$4995,"Đã chuyển khoản"))</f>
        <v/>
      </c>
      <c r="Y2015" s="24" t="n"/>
    </row>
    <row r="2016" ht="14.25" customHeight="1" s="40">
      <c r="A2016" s="24" t="n"/>
      <c r="B2016" s="27" t="n"/>
      <c r="C2016" s="24" t="n"/>
      <c r="D2016" s="28" t="n"/>
      <c r="E2016" s="29" t="n"/>
      <c r="F2016" s="24" t="n"/>
      <c r="G2016" s="24" t="n"/>
      <c r="H2016" s="21">
        <f>IF(ISNUMBER($B2016),INT($B2016)-WEEKDAY($B2016,2)+1,"")</f>
        <v/>
      </c>
      <c r="I2016" s="24" t="n"/>
      <c r="J2016" s="22">
        <f t="array" ref="J2016">IF($D2016="","",IF($I2016="","(trống REF)",IFERROR(INDEX(MASTER_SOURCE!$B$2:$B$495,MATCH($I2016,MASTER_SOURCE!$A$2:$A$495,0)),"(REF không có trong MASTER_SOURCE)")))</f>
        <v/>
      </c>
      <c r="K2016" s="22">
        <f t="array" ref="K2016">IF($D2016="","",IFERROR(INDEX(MASTER_SOURCE!$C$2:$C$495,MATCH($I2016,MASTER_SOURCE!$A$2:$A$495,0)),""))</f>
        <v/>
      </c>
      <c r="L2016" s="22">
        <f t="array" ref="L2016">IF($D2016="","",IFERROR(INDEX(MASTER_SOURCE!$D$2:$D$495,MATCH($I2016,MASTER_SOURCE!$A$2:$A$495,0)),""))</f>
        <v/>
      </c>
      <c r="M2016" s="24" t="n"/>
      <c r="N2016" s="24" t="n"/>
      <c r="O2016" s="24" t="n"/>
      <c r="P2016" s="24" t="n"/>
      <c r="Q2016" s="22">
        <f>IF($D2016="","",IF(AND(OR(DANH_MUC!$L$5&lt;&gt;"Có",M2016="Có"),OR(DANH_MUC!$L$6&lt;&gt;"Có",N2016="Có"),OR(DANH_MUC!$L$7&lt;&gt;"Có",O2016="Có"),OR(DANH_MUC!$L$8&lt;&gt;"Có",P2016="Có")),"Có","Không"))</f>
        <v/>
      </c>
      <c r="R2016" s="22">
        <f>IF($D2016="","",IF(COUNTIF($D$2:$D2016,$D2016)&gt;1,"Trùng",""))</f>
        <v/>
      </c>
      <c r="S2016" s="22">
        <f>IF($D2016="","",IF(AND(LEN($D2016)=10,LEFT($D2016,1)="0",ISNUMBER(--$D2016)),"Có","Không"))</f>
        <v/>
      </c>
      <c r="T2016" s="22">
        <f>IF($D2016="","",IF(AND($C2016&lt;&gt;"",$Q2016="Có",$R2016="",$S2016="Có",AND($L2016&lt;&gt;"",OR($L2016&lt;&gt;"Chưa xác định",DANH_MUC!$L$9="Có"))),"Có","Không"))</f>
        <v/>
      </c>
      <c r="U2016" s="22">
        <f>IF(OR($D2016="",$T2016="Có"),"",IF($C2016="","Thiếu họ tên; ","")&amp;IF($S2016&lt;&gt;"Có","SĐT sai định dạng; ","")&amp;IF($R2016="Trùng","Trùng SĐT; ","")&amp;IF($Q2016&lt;&gt;"Có","Thiếu đồng ý bắt buộc; ","")&amp;IF($L2016="","Thiếu/sai Mã REF; ",IF(AND($L2016="Chưa xác định",DANH_MUC!$L$9&lt;&gt;"Có"),"Nguồn chưa xác định; ","")))</f>
        <v/>
      </c>
      <c r="V2016" s="22">
        <f>IF(OR($D2016="",$R2016="Trùng"),"",IF(COUNTIF(ORDERS!$C$2:$C$4995,$D2016)&gt;0,"Có","Không"))</f>
        <v/>
      </c>
      <c r="W2016" s="22">
        <f>IF(OR($D2016="",$R2016="Trùng"),"",COUNTIFS(ORDERS!$C$2:$C$4995,$D2016,ORDERS!$L$2:$L$4995,"Đã chuyển khoản"))</f>
        <v/>
      </c>
      <c r="X2016" s="23">
        <f>IF(OR($D2016="",$R2016="Trùng"),"",SUMIFS(ORDERS!$J$2:$J$4995,ORDERS!$C$2:$C$4995,$D2016,ORDERS!$L$2:$L$4995,"Đã chuyển khoản"))</f>
        <v/>
      </c>
      <c r="Y2016" s="24" t="n"/>
    </row>
    <row r="2017" ht="14.25" customHeight="1" s="40">
      <c r="A2017" s="24" t="n"/>
      <c r="B2017" s="27" t="n"/>
      <c r="C2017" s="24" t="n"/>
      <c r="D2017" s="28" t="n"/>
      <c r="E2017" s="29" t="n"/>
      <c r="F2017" s="24" t="n"/>
      <c r="G2017" s="24" t="n"/>
      <c r="H2017" s="21">
        <f>IF(ISNUMBER($B2017),INT($B2017)-WEEKDAY($B2017,2)+1,"")</f>
        <v/>
      </c>
      <c r="I2017" s="24" t="n"/>
      <c r="J2017" s="22">
        <f t="array" ref="J2017">IF($D2017="","",IF($I2017="","(trống REF)",IFERROR(INDEX(MASTER_SOURCE!$B$2:$B$495,MATCH($I2017,MASTER_SOURCE!$A$2:$A$495,0)),"(REF không có trong MASTER_SOURCE)")))</f>
        <v/>
      </c>
      <c r="K2017" s="22">
        <f t="array" ref="K2017">IF($D2017="","",IFERROR(INDEX(MASTER_SOURCE!$C$2:$C$495,MATCH($I2017,MASTER_SOURCE!$A$2:$A$495,0)),""))</f>
        <v/>
      </c>
      <c r="L2017" s="22">
        <f t="array" ref="L2017">IF($D2017="","",IFERROR(INDEX(MASTER_SOURCE!$D$2:$D$495,MATCH($I2017,MASTER_SOURCE!$A$2:$A$495,0)),""))</f>
        <v/>
      </c>
      <c r="M2017" s="24" t="n"/>
      <c r="N2017" s="24" t="n"/>
      <c r="O2017" s="24" t="n"/>
      <c r="P2017" s="24" t="n"/>
      <c r="Q2017" s="22">
        <f>IF($D2017="","",IF(AND(OR(DANH_MUC!$L$5&lt;&gt;"Có",M2017="Có"),OR(DANH_MUC!$L$6&lt;&gt;"Có",N2017="Có"),OR(DANH_MUC!$L$7&lt;&gt;"Có",O2017="Có"),OR(DANH_MUC!$L$8&lt;&gt;"Có",P2017="Có")),"Có","Không"))</f>
        <v/>
      </c>
      <c r="R2017" s="22">
        <f>IF($D2017="","",IF(COUNTIF($D$2:$D2017,$D2017)&gt;1,"Trùng",""))</f>
        <v/>
      </c>
      <c r="S2017" s="22">
        <f>IF($D2017="","",IF(AND(LEN($D2017)=10,LEFT($D2017,1)="0",ISNUMBER(--$D2017)),"Có","Không"))</f>
        <v/>
      </c>
      <c r="T2017" s="22">
        <f>IF($D2017="","",IF(AND($C2017&lt;&gt;"",$Q2017="Có",$R2017="",$S2017="Có",AND($L2017&lt;&gt;"",OR($L2017&lt;&gt;"Chưa xác định",DANH_MUC!$L$9="Có"))),"Có","Không"))</f>
        <v/>
      </c>
      <c r="U2017" s="22">
        <f>IF(OR($D2017="",$T2017="Có"),"",IF($C2017="","Thiếu họ tên; ","")&amp;IF($S2017&lt;&gt;"Có","SĐT sai định dạng; ","")&amp;IF($R2017="Trùng","Trùng SĐT; ","")&amp;IF($Q2017&lt;&gt;"Có","Thiếu đồng ý bắt buộc; ","")&amp;IF($L2017="","Thiếu/sai Mã REF; ",IF(AND($L2017="Chưa xác định",DANH_MUC!$L$9&lt;&gt;"Có"),"Nguồn chưa xác định; ","")))</f>
        <v/>
      </c>
      <c r="V2017" s="22">
        <f>IF(OR($D2017="",$R2017="Trùng"),"",IF(COUNTIF(ORDERS!$C$2:$C$4995,$D2017)&gt;0,"Có","Không"))</f>
        <v/>
      </c>
      <c r="W2017" s="22">
        <f>IF(OR($D2017="",$R2017="Trùng"),"",COUNTIFS(ORDERS!$C$2:$C$4995,$D2017,ORDERS!$L$2:$L$4995,"Đã chuyển khoản"))</f>
        <v/>
      </c>
      <c r="X2017" s="23">
        <f>IF(OR($D2017="",$R2017="Trùng"),"",SUMIFS(ORDERS!$J$2:$J$4995,ORDERS!$C$2:$C$4995,$D2017,ORDERS!$L$2:$L$4995,"Đã chuyển khoản"))</f>
        <v/>
      </c>
      <c r="Y2017" s="24" t="n"/>
    </row>
    <row r="2018" ht="14.25" customHeight="1" s="40">
      <c r="A2018" s="24" t="n"/>
      <c r="B2018" s="27" t="n"/>
      <c r="C2018" s="24" t="n"/>
      <c r="D2018" s="28" t="n"/>
      <c r="E2018" s="29" t="n"/>
      <c r="F2018" s="24" t="n"/>
      <c r="G2018" s="24" t="n"/>
      <c r="H2018" s="21">
        <f>IF(ISNUMBER($B2018),INT($B2018)-WEEKDAY($B2018,2)+1,"")</f>
        <v/>
      </c>
      <c r="I2018" s="24" t="n"/>
      <c r="J2018" s="22">
        <f t="array" ref="J2018">IF($D2018="","",IF($I2018="","(trống REF)",IFERROR(INDEX(MASTER_SOURCE!$B$2:$B$495,MATCH($I2018,MASTER_SOURCE!$A$2:$A$495,0)),"(REF không có trong MASTER_SOURCE)")))</f>
        <v/>
      </c>
      <c r="K2018" s="22">
        <f t="array" ref="K2018">IF($D2018="","",IFERROR(INDEX(MASTER_SOURCE!$C$2:$C$495,MATCH($I2018,MASTER_SOURCE!$A$2:$A$495,0)),""))</f>
        <v/>
      </c>
      <c r="L2018" s="22">
        <f t="array" ref="L2018">IF($D2018="","",IFERROR(INDEX(MASTER_SOURCE!$D$2:$D$495,MATCH($I2018,MASTER_SOURCE!$A$2:$A$495,0)),""))</f>
        <v/>
      </c>
      <c r="M2018" s="24" t="n"/>
      <c r="N2018" s="24" t="n"/>
      <c r="O2018" s="24" t="n"/>
      <c r="P2018" s="24" t="n"/>
      <c r="Q2018" s="22">
        <f>IF($D2018="","",IF(AND(OR(DANH_MUC!$L$5&lt;&gt;"Có",M2018="Có"),OR(DANH_MUC!$L$6&lt;&gt;"Có",N2018="Có"),OR(DANH_MUC!$L$7&lt;&gt;"Có",O2018="Có"),OR(DANH_MUC!$L$8&lt;&gt;"Có",P2018="Có")),"Có","Không"))</f>
        <v/>
      </c>
      <c r="R2018" s="22">
        <f>IF($D2018="","",IF(COUNTIF($D$2:$D2018,$D2018)&gt;1,"Trùng",""))</f>
        <v/>
      </c>
      <c r="S2018" s="22">
        <f>IF($D2018="","",IF(AND(LEN($D2018)=10,LEFT($D2018,1)="0",ISNUMBER(--$D2018)),"Có","Không"))</f>
        <v/>
      </c>
      <c r="T2018" s="22">
        <f>IF($D2018="","",IF(AND($C2018&lt;&gt;"",$Q2018="Có",$R2018="",$S2018="Có",AND($L2018&lt;&gt;"",OR($L2018&lt;&gt;"Chưa xác định",DANH_MUC!$L$9="Có"))),"Có","Không"))</f>
        <v/>
      </c>
      <c r="U2018" s="22">
        <f>IF(OR($D2018="",$T2018="Có"),"",IF($C2018="","Thiếu họ tên; ","")&amp;IF($S2018&lt;&gt;"Có","SĐT sai định dạng; ","")&amp;IF($R2018="Trùng","Trùng SĐT; ","")&amp;IF($Q2018&lt;&gt;"Có","Thiếu đồng ý bắt buộc; ","")&amp;IF($L2018="","Thiếu/sai Mã REF; ",IF(AND($L2018="Chưa xác định",DANH_MUC!$L$9&lt;&gt;"Có"),"Nguồn chưa xác định; ","")))</f>
        <v/>
      </c>
      <c r="V2018" s="22">
        <f>IF(OR($D2018="",$R2018="Trùng"),"",IF(COUNTIF(ORDERS!$C$2:$C$4995,$D2018)&gt;0,"Có","Không"))</f>
        <v/>
      </c>
      <c r="W2018" s="22">
        <f>IF(OR($D2018="",$R2018="Trùng"),"",COUNTIFS(ORDERS!$C$2:$C$4995,$D2018,ORDERS!$L$2:$L$4995,"Đã chuyển khoản"))</f>
        <v/>
      </c>
      <c r="X2018" s="23">
        <f>IF(OR($D2018="",$R2018="Trùng"),"",SUMIFS(ORDERS!$J$2:$J$4995,ORDERS!$C$2:$C$4995,$D2018,ORDERS!$L$2:$L$4995,"Đã chuyển khoản"))</f>
        <v/>
      </c>
      <c r="Y2018" s="24" t="n"/>
    </row>
    <row r="2019" ht="14.25" customHeight="1" s="40">
      <c r="A2019" s="24" t="n"/>
      <c r="B2019" s="27" t="n"/>
      <c r="C2019" s="24" t="n"/>
      <c r="D2019" s="28" t="n"/>
      <c r="E2019" s="29" t="n"/>
      <c r="F2019" s="24" t="n"/>
      <c r="G2019" s="24" t="n"/>
      <c r="H2019" s="21">
        <f>IF(ISNUMBER($B2019),INT($B2019)-WEEKDAY($B2019,2)+1,"")</f>
        <v/>
      </c>
      <c r="I2019" s="24" t="n"/>
      <c r="J2019" s="22">
        <f t="array" ref="J2019">IF($D2019="","",IF($I2019="","(trống REF)",IFERROR(INDEX(MASTER_SOURCE!$B$2:$B$495,MATCH($I2019,MASTER_SOURCE!$A$2:$A$495,0)),"(REF không có trong MASTER_SOURCE)")))</f>
        <v/>
      </c>
      <c r="K2019" s="22">
        <f t="array" ref="K2019">IF($D2019="","",IFERROR(INDEX(MASTER_SOURCE!$C$2:$C$495,MATCH($I2019,MASTER_SOURCE!$A$2:$A$495,0)),""))</f>
        <v/>
      </c>
      <c r="L2019" s="22">
        <f t="array" ref="L2019">IF($D2019="","",IFERROR(INDEX(MASTER_SOURCE!$D$2:$D$495,MATCH($I2019,MASTER_SOURCE!$A$2:$A$495,0)),""))</f>
        <v/>
      </c>
      <c r="M2019" s="24" t="n"/>
      <c r="N2019" s="24" t="n"/>
      <c r="O2019" s="24" t="n"/>
      <c r="P2019" s="24" t="n"/>
      <c r="Q2019" s="22">
        <f>IF($D2019="","",IF(AND(OR(DANH_MUC!$L$5&lt;&gt;"Có",M2019="Có"),OR(DANH_MUC!$L$6&lt;&gt;"Có",N2019="Có"),OR(DANH_MUC!$L$7&lt;&gt;"Có",O2019="Có"),OR(DANH_MUC!$L$8&lt;&gt;"Có",P2019="Có")),"Có","Không"))</f>
        <v/>
      </c>
      <c r="R2019" s="22">
        <f>IF($D2019="","",IF(COUNTIF($D$2:$D2019,$D2019)&gt;1,"Trùng",""))</f>
        <v/>
      </c>
      <c r="S2019" s="22">
        <f>IF($D2019="","",IF(AND(LEN($D2019)=10,LEFT($D2019,1)="0",ISNUMBER(--$D2019)),"Có","Không"))</f>
        <v/>
      </c>
      <c r="T2019" s="22">
        <f>IF($D2019="","",IF(AND($C2019&lt;&gt;"",$Q2019="Có",$R2019="",$S2019="Có",AND($L2019&lt;&gt;"",OR($L2019&lt;&gt;"Chưa xác định",DANH_MUC!$L$9="Có"))),"Có","Không"))</f>
        <v/>
      </c>
      <c r="U2019" s="22">
        <f>IF(OR($D2019="",$T2019="Có"),"",IF($C2019="","Thiếu họ tên; ","")&amp;IF($S2019&lt;&gt;"Có","SĐT sai định dạng; ","")&amp;IF($R2019="Trùng","Trùng SĐT; ","")&amp;IF($Q2019&lt;&gt;"Có","Thiếu đồng ý bắt buộc; ","")&amp;IF($L2019="","Thiếu/sai Mã REF; ",IF(AND($L2019="Chưa xác định",DANH_MUC!$L$9&lt;&gt;"Có"),"Nguồn chưa xác định; ","")))</f>
        <v/>
      </c>
      <c r="V2019" s="22">
        <f>IF(OR($D2019="",$R2019="Trùng"),"",IF(COUNTIF(ORDERS!$C$2:$C$4995,$D2019)&gt;0,"Có","Không"))</f>
        <v/>
      </c>
      <c r="W2019" s="22">
        <f>IF(OR($D2019="",$R2019="Trùng"),"",COUNTIFS(ORDERS!$C$2:$C$4995,$D2019,ORDERS!$L$2:$L$4995,"Đã chuyển khoản"))</f>
        <v/>
      </c>
      <c r="X2019" s="23">
        <f>IF(OR($D2019="",$R2019="Trùng"),"",SUMIFS(ORDERS!$J$2:$J$4995,ORDERS!$C$2:$C$4995,$D2019,ORDERS!$L$2:$L$4995,"Đã chuyển khoản"))</f>
        <v/>
      </c>
      <c r="Y2019" s="24" t="n"/>
    </row>
    <row r="2020" ht="14.25" customHeight="1" s="40">
      <c r="A2020" s="24" t="n"/>
      <c r="B2020" s="27" t="n"/>
      <c r="C2020" s="24" t="n"/>
      <c r="D2020" s="28" t="n"/>
      <c r="E2020" s="29" t="n"/>
      <c r="F2020" s="24" t="n"/>
      <c r="G2020" s="24" t="n"/>
      <c r="H2020" s="21">
        <f>IF(ISNUMBER($B2020),INT($B2020)-WEEKDAY($B2020,2)+1,"")</f>
        <v/>
      </c>
      <c r="I2020" s="24" t="n"/>
      <c r="J2020" s="22">
        <f t="array" ref="J2020">IF($D2020="","",IF($I2020="","(trống REF)",IFERROR(INDEX(MASTER_SOURCE!$B$2:$B$495,MATCH($I2020,MASTER_SOURCE!$A$2:$A$495,0)),"(REF không có trong MASTER_SOURCE)")))</f>
        <v/>
      </c>
      <c r="K2020" s="22">
        <f t="array" ref="K2020">IF($D2020="","",IFERROR(INDEX(MASTER_SOURCE!$C$2:$C$495,MATCH($I2020,MASTER_SOURCE!$A$2:$A$495,0)),""))</f>
        <v/>
      </c>
      <c r="L2020" s="22">
        <f t="array" ref="L2020">IF($D2020="","",IFERROR(INDEX(MASTER_SOURCE!$D$2:$D$495,MATCH($I2020,MASTER_SOURCE!$A$2:$A$495,0)),""))</f>
        <v/>
      </c>
      <c r="M2020" s="24" t="n"/>
      <c r="N2020" s="24" t="n"/>
      <c r="O2020" s="24" t="n"/>
      <c r="P2020" s="24" t="n"/>
      <c r="Q2020" s="22">
        <f>IF($D2020="","",IF(AND(OR(DANH_MUC!$L$5&lt;&gt;"Có",M2020="Có"),OR(DANH_MUC!$L$6&lt;&gt;"Có",N2020="Có"),OR(DANH_MUC!$L$7&lt;&gt;"Có",O2020="Có"),OR(DANH_MUC!$L$8&lt;&gt;"Có",P2020="Có")),"Có","Không"))</f>
        <v/>
      </c>
      <c r="R2020" s="22">
        <f>IF($D2020="","",IF(COUNTIF($D$2:$D2020,$D2020)&gt;1,"Trùng",""))</f>
        <v/>
      </c>
      <c r="S2020" s="22">
        <f>IF($D2020="","",IF(AND(LEN($D2020)=10,LEFT($D2020,1)="0",ISNUMBER(--$D2020)),"Có","Không"))</f>
        <v/>
      </c>
      <c r="T2020" s="22">
        <f>IF($D2020="","",IF(AND($C2020&lt;&gt;"",$Q2020="Có",$R2020="",$S2020="Có",AND($L2020&lt;&gt;"",OR($L2020&lt;&gt;"Chưa xác định",DANH_MUC!$L$9="Có"))),"Có","Không"))</f>
        <v/>
      </c>
      <c r="U2020" s="22">
        <f>IF(OR($D2020="",$T2020="Có"),"",IF($C2020="","Thiếu họ tên; ","")&amp;IF($S2020&lt;&gt;"Có","SĐT sai định dạng; ","")&amp;IF($R2020="Trùng","Trùng SĐT; ","")&amp;IF($Q2020&lt;&gt;"Có","Thiếu đồng ý bắt buộc; ","")&amp;IF($L2020="","Thiếu/sai Mã REF; ",IF(AND($L2020="Chưa xác định",DANH_MUC!$L$9&lt;&gt;"Có"),"Nguồn chưa xác định; ","")))</f>
        <v/>
      </c>
      <c r="V2020" s="22">
        <f>IF(OR($D2020="",$R2020="Trùng"),"",IF(COUNTIF(ORDERS!$C$2:$C$4995,$D2020)&gt;0,"Có","Không"))</f>
        <v/>
      </c>
      <c r="W2020" s="22">
        <f>IF(OR($D2020="",$R2020="Trùng"),"",COUNTIFS(ORDERS!$C$2:$C$4995,$D2020,ORDERS!$L$2:$L$4995,"Đã chuyển khoản"))</f>
        <v/>
      </c>
      <c r="X2020" s="23">
        <f>IF(OR($D2020="",$R2020="Trùng"),"",SUMIFS(ORDERS!$J$2:$J$4995,ORDERS!$C$2:$C$4995,$D2020,ORDERS!$L$2:$L$4995,"Đã chuyển khoản"))</f>
        <v/>
      </c>
      <c r="Y2020" s="24" t="n"/>
    </row>
    <row r="2021" ht="14.25" customHeight="1" s="40">
      <c r="A2021" s="24" t="n"/>
      <c r="B2021" s="27" t="n"/>
      <c r="C2021" s="24" t="n"/>
      <c r="D2021" s="28" t="n"/>
      <c r="E2021" s="29" t="n"/>
      <c r="F2021" s="24" t="n"/>
      <c r="G2021" s="24" t="n"/>
      <c r="H2021" s="21">
        <f>IF(ISNUMBER($B2021),INT($B2021)-WEEKDAY($B2021,2)+1,"")</f>
        <v/>
      </c>
      <c r="I2021" s="24" t="n"/>
      <c r="J2021" s="22">
        <f t="array" ref="J2021">IF($D2021="","",IF($I2021="","(trống REF)",IFERROR(INDEX(MASTER_SOURCE!$B$2:$B$495,MATCH($I2021,MASTER_SOURCE!$A$2:$A$495,0)),"(REF không có trong MASTER_SOURCE)")))</f>
        <v/>
      </c>
      <c r="K2021" s="22">
        <f t="array" ref="K2021">IF($D2021="","",IFERROR(INDEX(MASTER_SOURCE!$C$2:$C$495,MATCH($I2021,MASTER_SOURCE!$A$2:$A$495,0)),""))</f>
        <v/>
      </c>
      <c r="L2021" s="22">
        <f t="array" ref="L2021">IF($D2021="","",IFERROR(INDEX(MASTER_SOURCE!$D$2:$D$495,MATCH($I2021,MASTER_SOURCE!$A$2:$A$495,0)),""))</f>
        <v/>
      </c>
      <c r="M2021" s="24" t="n"/>
      <c r="N2021" s="24" t="n"/>
      <c r="O2021" s="24" t="n"/>
      <c r="P2021" s="24" t="n"/>
      <c r="Q2021" s="22">
        <f>IF($D2021="","",IF(AND(OR(DANH_MUC!$L$5&lt;&gt;"Có",M2021="Có"),OR(DANH_MUC!$L$6&lt;&gt;"Có",N2021="Có"),OR(DANH_MUC!$L$7&lt;&gt;"Có",O2021="Có"),OR(DANH_MUC!$L$8&lt;&gt;"Có",P2021="Có")),"Có","Không"))</f>
        <v/>
      </c>
      <c r="R2021" s="22">
        <f>IF($D2021="","",IF(COUNTIF($D$2:$D2021,$D2021)&gt;1,"Trùng",""))</f>
        <v/>
      </c>
      <c r="S2021" s="22">
        <f>IF($D2021="","",IF(AND(LEN($D2021)=10,LEFT($D2021,1)="0",ISNUMBER(--$D2021)),"Có","Không"))</f>
        <v/>
      </c>
      <c r="T2021" s="22">
        <f>IF($D2021="","",IF(AND($C2021&lt;&gt;"",$Q2021="Có",$R2021="",$S2021="Có",AND($L2021&lt;&gt;"",OR($L2021&lt;&gt;"Chưa xác định",DANH_MUC!$L$9="Có"))),"Có","Không"))</f>
        <v/>
      </c>
      <c r="U2021" s="22">
        <f>IF(OR($D2021="",$T2021="Có"),"",IF($C2021="","Thiếu họ tên; ","")&amp;IF($S2021&lt;&gt;"Có","SĐT sai định dạng; ","")&amp;IF($R2021="Trùng","Trùng SĐT; ","")&amp;IF($Q2021&lt;&gt;"Có","Thiếu đồng ý bắt buộc; ","")&amp;IF($L2021="","Thiếu/sai Mã REF; ",IF(AND($L2021="Chưa xác định",DANH_MUC!$L$9&lt;&gt;"Có"),"Nguồn chưa xác định; ","")))</f>
        <v/>
      </c>
      <c r="V2021" s="22">
        <f>IF(OR($D2021="",$R2021="Trùng"),"",IF(COUNTIF(ORDERS!$C$2:$C$4995,$D2021)&gt;0,"Có","Không"))</f>
        <v/>
      </c>
      <c r="W2021" s="22">
        <f>IF(OR($D2021="",$R2021="Trùng"),"",COUNTIFS(ORDERS!$C$2:$C$4995,$D2021,ORDERS!$L$2:$L$4995,"Đã chuyển khoản"))</f>
        <v/>
      </c>
      <c r="X2021" s="23">
        <f>IF(OR($D2021="",$R2021="Trùng"),"",SUMIFS(ORDERS!$J$2:$J$4995,ORDERS!$C$2:$C$4995,$D2021,ORDERS!$L$2:$L$4995,"Đã chuyển khoản"))</f>
        <v/>
      </c>
      <c r="Y2021" s="24" t="n"/>
    </row>
    <row r="2022" ht="14.25" customHeight="1" s="40">
      <c r="A2022" s="24" t="n"/>
      <c r="B2022" s="27" t="n"/>
      <c r="C2022" s="24" t="n"/>
      <c r="D2022" s="28" t="n"/>
      <c r="E2022" s="29" t="n"/>
      <c r="F2022" s="24" t="n"/>
      <c r="G2022" s="24" t="n"/>
      <c r="H2022" s="21">
        <f>IF(ISNUMBER($B2022),INT($B2022)-WEEKDAY($B2022,2)+1,"")</f>
        <v/>
      </c>
      <c r="I2022" s="24" t="n"/>
      <c r="J2022" s="22">
        <f t="array" ref="J2022">IF($D2022="","",IF($I2022="","(trống REF)",IFERROR(INDEX(MASTER_SOURCE!$B$2:$B$495,MATCH($I2022,MASTER_SOURCE!$A$2:$A$495,0)),"(REF không có trong MASTER_SOURCE)")))</f>
        <v/>
      </c>
      <c r="K2022" s="22">
        <f t="array" ref="K2022">IF($D2022="","",IFERROR(INDEX(MASTER_SOURCE!$C$2:$C$495,MATCH($I2022,MASTER_SOURCE!$A$2:$A$495,0)),""))</f>
        <v/>
      </c>
      <c r="L2022" s="22">
        <f t="array" ref="L2022">IF($D2022="","",IFERROR(INDEX(MASTER_SOURCE!$D$2:$D$495,MATCH($I2022,MASTER_SOURCE!$A$2:$A$495,0)),""))</f>
        <v/>
      </c>
      <c r="M2022" s="24" t="n"/>
      <c r="N2022" s="24" t="n"/>
      <c r="O2022" s="24" t="n"/>
      <c r="P2022" s="24" t="n"/>
      <c r="Q2022" s="22">
        <f>IF($D2022="","",IF(AND(OR(DANH_MUC!$L$5&lt;&gt;"Có",M2022="Có"),OR(DANH_MUC!$L$6&lt;&gt;"Có",N2022="Có"),OR(DANH_MUC!$L$7&lt;&gt;"Có",O2022="Có"),OR(DANH_MUC!$L$8&lt;&gt;"Có",P2022="Có")),"Có","Không"))</f>
        <v/>
      </c>
      <c r="R2022" s="22">
        <f>IF($D2022="","",IF(COUNTIF($D$2:$D2022,$D2022)&gt;1,"Trùng",""))</f>
        <v/>
      </c>
      <c r="S2022" s="22">
        <f>IF($D2022="","",IF(AND(LEN($D2022)=10,LEFT($D2022,1)="0",ISNUMBER(--$D2022)),"Có","Không"))</f>
        <v/>
      </c>
      <c r="T2022" s="22">
        <f>IF($D2022="","",IF(AND($C2022&lt;&gt;"",$Q2022="Có",$R2022="",$S2022="Có",AND($L2022&lt;&gt;"",OR($L2022&lt;&gt;"Chưa xác định",DANH_MUC!$L$9="Có"))),"Có","Không"))</f>
        <v/>
      </c>
      <c r="U2022" s="22">
        <f>IF(OR($D2022="",$T2022="Có"),"",IF($C2022="","Thiếu họ tên; ","")&amp;IF($S2022&lt;&gt;"Có","SĐT sai định dạng; ","")&amp;IF($R2022="Trùng","Trùng SĐT; ","")&amp;IF($Q2022&lt;&gt;"Có","Thiếu đồng ý bắt buộc; ","")&amp;IF($L2022="","Thiếu/sai Mã REF; ",IF(AND($L2022="Chưa xác định",DANH_MUC!$L$9&lt;&gt;"Có"),"Nguồn chưa xác định; ","")))</f>
        <v/>
      </c>
      <c r="V2022" s="22">
        <f>IF(OR($D2022="",$R2022="Trùng"),"",IF(COUNTIF(ORDERS!$C$2:$C$4995,$D2022)&gt;0,"Có","Không"))</f>
        <v/>
      </c>
      <c r="W2022" s="22">
        <f>IF(OR($D2022="",$R2022="Trùng"),"",COUNTIFS(ORDERS!$C$2:$C$4995,$D2022,ORDERS!$L$2:$L$4995,"Đã chuyển khoản"))</f>
        <v/>
      </c>
      <c r="X2022" s="23">
        <f>IF(OR($D2022="",$R2022="Trùng"),"",SUMIFS(ORDERS!$J$2:$J$4995,ORDERS!$C$2:$C$4995,$D2022,ORDERS!$L$2:$L$4995,"Đã chuyển khoản"))</f>
        <v/>
      </c>
      <c r="Y2022" s="24" t="n"/>
    </row>
    <row r="2023" ht="14.25" customHeight="1" s="40">
      <c r="A2023" s="24" t="n"/>
      <c r="B2023" s="27" t="n"/>
      <c r="C2023" s="24" t="n"/>
      <c r="D2023" s="28" t="n"/>
      <c r="E2023" s="29" t="n"/>
      <c r="F2023" s="24" t="n"/>
      <c r="G2023" s="24" t="n"/>
      <c r="H2023" s="21">
        <f>IF(ISNUMBER($B2023),INT($B2023)-WEEKDAY($B2023,2)+1,"")</f>
        <v/>
      </c>
      <c r="I2023" s="24" t="n"/>
      <c r="J2023" s="22">
        <f t="array" ref="J2023">IF($D2023="","",IF($I2023="","(trống REF)",IFERROR(INDEX(MASTER_SOURCE!$B$2:$B$495,MATCH($I2023,MASTER_SOURCE!$A$2:$A$495,0)),"(REF không có trong MASTER_SOURCE)")))</f>
        <v/>
      </c>
      <c r="K2023" s="22">
        <f t="array" ref="K2023">IF($D2023="","",IFERROR(INDEX(MASTER_SOURCE!$C$2:$C$495,MATCH($I2023,MASTER_SOURCE!$A$2:$A$495,0)),""))</f>
        <v/>
      </c>
      <c r="L2023" s="22">
        <f t="array" ref="L2023">IF($D2023="","",IFERROR(INDEX(MASTER_SOURCE!$D$2:$D$495,MATCH($I2023,MASTER_SOURCE!$A$2:$A$495,0)),""))</f>
        <v/>
      </c>
      <c r="M2023" s="24" t="n"/>
      <c r="N2023" s="24" t="n"/>
      <c r="O2023" s="24" t="n"/>
      <c r="P2023" s="24" t="n"/>
      <c r="Q2023" s="22">
        <f>IF($D2023="","",IF(AND(OR(DANH_MUC!$L$5&lt;&gt;"Có",M2023="Có"),OR(DANH_MUC!$L$6&lt;&gt;"Có",N2023="Có"),OR(DANH_MUC!$L$7&lt;&gt;"Có",O2023="Có"),OR(DANH_MUC!$L$8&lt;&gt;"Có",P2023="Có")),"Có","Không"))</f>
        <v/>
      </c>
      <c r="R2023" s="22">
        <f>IF($D2023="","",IF(COUNTIF($D$2:$D2023,$D2023)&gt;1,"Trùng",""))</f>
        <v/>
      </c>
      <c r="S2023" s="22">
        <f>IF($D2023="","",IF(AND(LEN($D2023)=10,LEFT($D2023,1)="0",ISNUMBER(--$D2023)),"Có","Không"))</f>
        <v/>
      </c>
      <c r="T2023" s="22">
        <f>IF($D2023="","",IF(AND($C2023&lt;&gt;"",$Q2023="Có",$R2023="",$S2023="Có",AND($L2023&lt;&gt;"",OR($L2023&lt;&gt;"Chưa xác định",DANH_MUC!$L$9="Có"))),"Có","Không"))</f>
        <v/>
      </c>
      <c r="U2023" s="22">
        <f>IF(OR($D2023="",$T2023="Có"),"",IF($C2023="","Thiếu họ tên; ","")&amp;IF($S2023&lt;&gt;"Có","SĐT sai định dạng; ","")&amp;IF($R2023="Trùng","Trùng SĐT; ","")&amp;IF($Q2023&lt;&gt;"Có","Thiếu đồng ý bắt buộc; ","")&amp;IF($L2023="","Thiếu/sai Mã REF; ",IF(AND($L2023="Chưa xác định",DANH_MUC!$L$9&lt;&gt;"Có"),"Nguồn chưa xác định; ","")))</f>
        <v/>
      </c>
      <c r="V2023" s="22">
        <f>IF(OR($D2023="",$R2023="Trùng"),"",IF(COUNTIF(ORDERS!$C$2:$C$4995,$D2023)&gt;0,"Có","Không"))</f>
        <v/>
      </c>
      <c r="W2023" s="22">
        <f>IF(OR($D2023="",$R2023="Trùng"),"",COUNTIFS(ORDERS!$C$2:$C$4995,$D2023,ORDERS!$L$2:$L$4995,"Đã chuyển khoản"))</f>
        <v/>
      </c>
      <c r="X2023" s="23">
        <f>IF(OR($D2023="",$R2023="Trùng"),"",SUMIFS(ORDERS!$J$2:$J$4995,ORDERS!$C$2:$C$4995,$D2023,ORDERS!$L$2:$L$4995,"Đã chuyển khoản"))</f>
        <v/>
      </c>
      <c r="Y2023" s="24" t="n"/>
    </row>
    <row r="2024" ht="14.25" customHeight="1" s="40">
      <c r="A2024" s="24" t="n"/>
      <c r="B2024" s="27" t="n"/>
      <c r="C2024" s="24" t="n"/>
      <c r="D2024" s="28" t="n"/>
      <c r="E2024" s="29" t="n"/>
      <c r="F2024" s="24" t="n"/>
      <c r="G2024" s="24" t="n"/>
      <c r="H2024" s="21">
        <f>IF(ISNUMBER($B2024),INT($B2024)-WEEKDAY($B2024,2)+1,"")</f>
        <v/>
      </c>
      <c r="I2024" s="24" t="n"/>
      <c r="J2024" s="22">
        <f t="array" ref="J2024">IF($D2024="","",IF($I2024="","(trống REF)",IFERROR(INDEX(MASTER_SOURCE!$B$2:$B$495,MATCH($I2024,MASTER_SOURCE!$A$2:$A$495,0)),"(REF không có trong MASTER_SOURCE)")))</f>
        <v/>
      </c>
      <c r="K2024" s="22">
        <f t="array" ref="K2024">IF($D2024="","",IFERROR(INDEX(MASTER_SOURCE!$C$2:$C$495,MATCH($I2024,MASTER_SOURCE!$A$2:$A$495,0)),""))</f>
        <v/>
      </c>
      <c r="L2024" s="22">
        <f t="array" ref="L2024">IF($D2024="","",IFERROR(INDEX(MASTER_SOURCE!$D$2:$D$495,MATCH($I2024,MASTER_SOURCE!$A$2:$A$495,0)),""))</f>
        <v/>
      </c>
      <c r="M2024" s="24" t="n"/>
      <c r="N2024" s="24" t="n"/>
      <c r="O2024" s="24" t="n"/>
      <c r="P2024" s="24" t="n"/>
      <c r="Q2024" s="22">
        <f>IF($D2024="","",IF(AND(OR(DANH_MUC!$L$5&lt;&gt;"Có",M2024="Có"),OR(DANH_MUC!$L$6&lt;&gt;"Có",N2024="Có"),OR(DANH_MUC!$L$7&lt;&gt;"Có",O2024="Có"),OR(DANH_MUC!$L$8&lt;&gt;"Có",P2024="Có")),"Có","Không"))</f>
        <v/>
      </c>
      <c r="R2024" s="22">
        <f>IF($D2024="","",IF(COUNTIF($D$2:$D2024,$D2024)&gt;1,"Trùng",""))</f>
        <v/>
      </c>
      <c r="S2024" s="22">
        <f>IF($D2024="","",IF(AND(LEN($D2024)=10,LEFT($D2024,1)="0",ISNUMBER(--$D2024)),"Có","Không"))</f>
        <v/>
      </c>
      <c r="T2024" s="22">
        <f>IF($D2024="","",IF(AND($C2024&lt;&gt;"",$Q2024="Có",$R2024="",$S2024="Có",AND($L2024&lt;&gt;"",OR($L2024&lt;&gt;"Chưa xác định",DANH_MUC!$L$9="Có"))),"Có","Không"))</f>
        <v/>
      </c>
      <c r="U2024" s="22">
        <f>IF(OR($D2024="",$T2024="Có"),"",IF($C2024="","Thiếu họ tên; ","")&amp;IF($S2024&lt;&gt;"Có","SĐT sai định dạng; ","")&amp;IF($R2024="Trùng","Trùng SĐT; ","")&amp;IF($Q2024&lt;&gt;"Có","Thiếu đồng ý bắt buộc; ","")&amp;IF($L2024="","Thiếu/sai Mã REF; ",IF(AND($L2024="Chưa xác định",DANH_MUC!$L$9&lt;&gt;"Có"),"Nguồn chưa xác định; ","")))</f>
        <v/>
      </c>
      <c r="V2024" s="22">
        <f>IF(OR($D2024="",$R2024="Trùng"),"",IF(COUNTIF(ORDERS!$C$2:$C$4995,$D2024)&gt;0,"Có","Không"))</f>
        <v/>
      </c>
      <c r="W2024" s="22">
        <f>IF(OR($D2024="",$R2024="Trùng"),"",COUNTIFS(ORDERS!$C$2:$C$4995,$D2024,ORDERS!$L$2:$L$4995,"Đã chuyển khoản"))</f>
        <v/>
      </c>
      <c r="X2024" s="23">
        <f>IF(OR($D2024="",$R2024="Trùng"),"",SUMIFS(ORDERS!$J$2:$J$4995,ORDERS!$C$2:$C$4995,$D2024,ORDERS!$L$2:$L$4995,"Đã chuyển khoản"))</f>
        <v/>
      </c>
      <c r="Y2024" s="24" t="n"/>
    </row>
    <row r="2025" ht="14.25" customHeight="1" s="40">
      <c r="A2025" s="24" t="n"/>
      <c r="B2025" s="27" t="n"/>
      <c r="C2025" s="24" t="n"/>
      <c r="D2025" s="28" t="n"/>
      <c r="E2025" s="29" t="n"/>
      <c r="F2025" s="24" t="n"/>
      <c r="G2025" s="24" t="n"/>
      <c r="H2025" s="21">
        <f>IF(ISNUMBER($B2025),INT($B2025)-WEEKDAY($B2025,2)+1,"")</f>
        <v/>
      </c>
      <c r="I2025" s="24" t="n"/>
      <c r="J2025" s="22">
        <f t="array" ref="J2025">IF($D2025="","",IF($I2025="","(trống REF)",IFERROR(INDEX(MASTER_SOURCE!$B$2:$B$495,MATCH($I2025,MASTER_SOURCE!$A$2:$A$495,0)),"(REF không có trong MASTER_SOURCE)")))</f>
        <v/>
      </c>
      <c r="K2025" s="22">
        <f t="array" ref="K2025">IF($D2025="","",IFERROR(INDEX(MASTER_SOURCE!$C$2:$C$495,MATCH($I2025,MASTER_SOURCE!$A$2:$A$495,0)),""))</f>
        <v/>
      </c>
      <c r="L2025" s="22">
        <f t="array" ref="L2025">IF($D2025="","",IFERROR(INDEX(MASTER_SOURCE!$D$2:$D$495,MATCH($I2025,MASTER_SOURCE!$A$2:$A$495,0)),""))</f>
        <v/>
      </c>
      <c r="M2025" s="24" t="n"/>
      <c r="N2025" s="24" t="n"/>
      <c r="O2025" s="24" t="n"/>
      <c r="P2025" s="24" t="n"/>
      <c r="Q2025" s="22">
        <f>IF($D2025="","",IF(AND(OR(DANH_MUC!$L$5&lt;&gt;"Có",M2025="Có"),OR(DANH_MUC!$L$6&lt;&gt;"Có",N2025="Có"),OR(DANH_MUC!$L$7&lt;&gt;"Có",O2025="Có"),OR(DANH_MUC!$L$8&lt;&gt;"Có",P2025="Có")),"Có","Không"))</f>
        <v/>
      </c>
      <c r="R2025" s="22">
        <f>IF($D2025="","",IF(COUNTIF($D$2:$D2025,$D2025)&gt;1,"Trùng",""))</f>
        <v/>
      </c>
      <c r="S2025" s="22">
        <f>IF($D2025="","",IF(AND(LEN($D2025)=10,LEFT($D2025,1)="0",ISNUMBER(--$D2025)),"Có","Không"))</f>
        <v/>
      </c>
      <c r="T2025" s="22">
        <f>IF($D2025="","",IF(AND($C2025&lt;&gt;"",$Q2025="Có",$R2025="",$S2025="Có",AND($L2025&lt;&gt;"",OR($L2025&lt;&gt;"Chưa xác định",DANH_MUC!$L$9="Có"))),"Có","Không"))</f>
        <v/>
      </c>
      <c r="U2025" s="22">
        <f>IF(OR($D2025="",$T2025="Có"),"",IF($C2025="","Thiếu họ tên; ","")&amp;IF($S2025&lt;&gt;"Có","SĐT sai định dạng; ","")&amp;IF($R2025="Trùng","Trùng SĐT; ","")&amp;IF($Q2025&lt;&gt;"Có","Thiếu đồng ý bắt buộc; ","")&amp;IF($L2025="","Thiếu/sai Mã REF; ",IF(AND($L2025="Chưa xác định",DANH_MUC!$L$9&lt;&gt;"Có"),"Nguồn chưa xác định; ","")))</f>
        <v/>
      </c>
      <c r="V2025" s="22">
        <f>IF(OR($D2025="",$R2025="Trùng"),"",IF(COUNTIF(ORDERS!$C$2:$C$4995,$D2025)&gt;0,"Có","Không"))</f>
        <v/>
      </c>
      <c r="W2025" s="22">
        <f>IF(OR($D2025="",$R2025="Trùng"),"",COUNTIFS(ORDERS!$C$2:$C$4995,$D2025,ORDERS!$L$2:$L$4995,"Đã chuyển khoản"))</f>
        <v/>
      </c>
      <c r="X2025" s="23">
        <f>IF(OR($D2025="",$R2025="Trùng"),"",SUMIFS(ORDERS!$J$2:$J$4995,ORDERS!$C$2:$C$4995,$D2025,ORDERS!$L$2:$L$4995,"Đã chuyển khoản"))</f>
        <v/>
      </c>
      <c r="Y2025" s="24" t="n"/>
    </row>
    <row r="2026" ht="14.25" customHeight="1" s="40">
      <c r="A2026" s="24" t="n"/>
      <c r="B2026" s="27" t="n"/>
      <c r="C2026" s="24" t="n"/>
      <c r="D2026" s="28" t="n"/>
      <c r="E2026" s="29" t="n"/>
      <c r="F2026" s="24" t="n"/>
      <c r="G2026" s="24" t="n"/>
      <c r="H2026" s="21">
        <f>IF(ISNUMBER($B2026),INT($B2026)-WEEKDAY($B2026,2)+1,"")</f>
        <v/>
      </c>
      <c r="I2026" s="24" t="n"/>
      <c r="J2026" s="22">
        <f t="array" ref="J2026">IF($D2026="","",IF($I2026="","(trống REF)",IFERROR(INDEX(MASTER_SOURCE!$B$2:$B$495,MATCH($I2026,MASTER_SOURCE!$A$2:$A$495,0)),"(REF không có trong MASTER_SOURCE)")))</f>
        <v/>
      </c>
      <c r="K2026" s="22">
        <f t="array" ref="K2026">IF($D2026="","",IFERROR(INDEX(MASTER_SOURCE!$C$2:$C$495,MATCH($I2026,MASTER_SOURCE!$A$2:$A$495,0)),""))</f>
        <v/>
      </c>
      <c r="L2026" s="22">
        <f t="array" ref="L2026">IF($D2026="","",IFERROR(INDEX(MASTER_SOURCE!$D$2:$D$495,MATCH($I2026,MASTER_SOURCE!$A$2:$A$495,0)),""))</f>
        <v/>
      </c>
      <c r="M2026" s="24" t="n"/>
      <c r="N2026" s="24" t="n"/>
      <c r="O2026" s="24" t="n"/>
      <c r="P2026" s="24" t="n"/>
      <c r="Q2026" s="22">
        <f>IF($D2026="","",IF(AND(OR(DANH_MUC!$L$5&lt;&gt;"Có",M2026="Có"),OR(DANH_MUC!$L$6&lt;&gt;"Có",N2026="Có"),OR(DANH_MUC!$L$7&lt;&gt;"Có",O2026="Có"),OR(DANH_MUC!$L$8&lt;&gt;"Có",P2026="Có")),"Có","Không"))</f>
        <v/>
      </c>
      <c r="R2026" s="22">
        <f>IF($D2026="","",IF(COUNTIF($D$2:$D2026,$D2026)&gt;1,"Trùng",""))</f>
        <v/>
      </c>
      <c r="S2026" s="22">
        <f>IF($D2026="","",IF(AND(LEN($D2026)=10,LEFT($D2026,1)="0",ISNUMBER(--$D2026)),"Có","Không"))</f>
        <v/>
      </c>
      <c r="T2026" s="22">
        <f>IF($D2026="","",IF(AND($C2026&lt;&gt;"",$Q2026="Có",$R2026="",$S2026="Có",AND($L2026&lt;&gt;"",OR($L2026&lt;&gt;"Chưa xác định",DANH_MUC!$L$9="Có"))),"Có","Không"))</f>
        <v/>
      </c>
      <c r="U2026" s="22">
        <f>IF(OR($D2026="",$T2026="Có"),"",IF($C2026="","Thiếu họ tên; ","")&amp;IF($S2026&lt;&gt;"Có","SĐT sai định dạng; ","")&amp;IF($R2026="Trùng","Trùng SĐT; ","")&amp;IF($Q2026&lt;&gt;"Có","Thiếu đồng ý bắt buộc; ","")&amp;IF($L2026="","Thiếu/sai Mã REF; ",IF(AND($L2026="Chưa xác định",DANH_MUC!$L$9&lt;&gt;"Có"),"Nguồn chưa xác định; ","")))</f>
        <v/>
      </c>
      <c r="V2026" s="22">
        <f>IF(OR($D2026="",$R2026="Trùng"),"",IF(COUNTIF(ORDERS!$C$2:$C$4995,$D2026)&gt;0,"Có","Không"))</f>
        <v/>
      </c>
      <c r="W2026" s="22">
        <f>IF(OR($D2026="",$R2026="Trùng"),"",COUNTIFS(ORDERS!$C$2:$C$4995,$D2026,ORDERS!$L$2:$L$4995,"Đã chuyển khoản"))</f>
        <v/>
      </c>
      <c r="X2026" s="23">
        <f>IF(OR($D2026="",$R2026="Trùng"),"",SUMIFS(ORDERS!$J$2:$J$4995,ORDERS!$C$2:$C$4995,$D2026,ORDERS!$L$2:$L$4995,"Đã chuyển khoản"))</f>
        <v/>
      </c>
      <c r="Y2026" s="24" t="n"/>
    </row>
    <row r="2027" ht="14.25" customHeight="1" s="40">
      <c r="A2027" s="24" t="n"/>
      <c r="B2027" s="27" t="n"/>
      <c r="C2027" s="24" t="n"/>
      <c r="D2027" s="28" t="n"/>
      <c r="E2027" s="29" t="n"/>
      <c r="F2027" s="24" t="n"/>
      <c r="G2027" s="24" t="n"/>
      <c r="H2027" s="21">
        <f>IF(ISNUMBER($B2027),INT($B2027)-WEEKDAY($B2027,2)+1,"")</f>
        <v/>
      </c>
      <c r="I2027" s="24" t="n"/>
      <c r="J2027" s="22">
        <f t="array" ref="J2027">IF($D2027="","",IF($I2027="","(trống REF)",IFERROR(INDEX(MASTER_SOURCE!$B$2:$B$495,MATCH($I2027,MASTER_SOURCE!$A$2:$A$495,0)),"(REF không có trong MASTER_SOURCE)")))</f>
        <v/>
      </c>
      <c r="K2027" s="22">
        <f t="array" ref="K2027">IF($D2027="","",IFERROR(INDEX(MASTER_SOURCE!$C$2:$C$495,MATCH($I2027,MASTER_SOURCE!$A$2:$A$495,0)),""))</f>
        <v/>
      </c>
      <c r="L2027" s="22">
        <f t="array" ref="L2027">IF($D2027="","",IFERROR(INDEX(MASTER_SOURCE!$D$2:$D$495,MATCH($I2027,MASTER_SOURCE!$A$2:$A$495,0)),""))</f>
        <v/>
      </c>
      <c r="M2027" s="24" t="n"/>
      <c r="N2027" s="24" t="n"/>
      <c r="O2027" s="24" t="n"/>
      <c r="P2027" s="24" t="n"/>
      <c r="Q2027" s="22">
        <f>IF($D2027="","",IF(AND(OR(DANH_MUC!$L$5&lt;&gt;"Có",M2027="Có"),OR(DANH_MUC!$L$6&lt;&gt;"Có",N2027="Có"),OR(DANH_MUC!$L$7&lt;&gt;"Có",O2027="Có"),OR(DANH_MUC!$L$8&lt;&gt;"Có",P2027="Có")),"Có","Không"))</f>
        <v/>
      </c>
      <c r="R2027" s="22">
        <f>IF($D2027="","",IF(COUNTIF($D$2:$D2027,$D2027)&gt;1,"Trùng",""))</f>
        <v/>
      </c>
      <c r="S2027" s="22">
        <f>IF($D2027="","",IF(AND(LEN($D2027)=10,LEFT($D2027,1)="0",ISNUMBER(--$D2027)),"Có","Không"))</f>
        <v/>
      </c>
      <c r="T2027" s="22">
        <f>IF($D2027="","",IF(AND($C2027&lt;&gt;"",$Q2027="Có",$R2027="",$S2027="Có",AND($L2027&lt;&gt;"",OR($L2027&lt;&gt;"Chưa xác định",DANH_MUC!$L$9="Có"))),"Có","Không"))</f>
        <v/>
      </c>
      <c r="U2027" s="22">
        <f>IF(OR($D2027="",$T2027="Có"),"",IF($C2027="","Thiếu họ tên; ","")&amp;IF($S2027&lt;&gt;"Có","SĐT sai định dạng; ","")&amp;IF($R2027="Trùng","Trùng SĐT; ","")&amp;IF($Q2027&lt;&gt;"Có","Thiếu đồng ý bắt buộc; ","")&amp;IF($L2027="","Thiếu/sai Mã REF; ",IF(AND($L2027="Chưa xác định",DANH_MUC!$L$9&lt;&gt;"Có"),"Nguồn chưa xác định; ","")))</f>
        <v/>
      </c>
      <c r="V2027" s="22">
        <f>IF(OR($D2027="",$R2027="Trùng"),"",IF(COUNTIF(ORDERS!$C$2:$C$4995,$D2027)&gt;0,"Có","Không"))</f>
        <v/>
      </c>
      <c r="W2027" s="22">
        <f>IF(OR($D2027="",$R2027="Trùng"),"",COUNTIFS(ORDERS!$C$2:$C$4995,$D2027,ORDERS!$L$2:$L$4995,"Đã chuyển khoản"))</f>
        <v/>
      </c>
      <c r="X2027" s="23">
        <f>IF(OR($D2027="",$R2027="Trùng"),"",SUMIFS(ORDERS!$J$2:$J$4995,ORDERS!$C$2:$C$4995,$D2027,ORDERS!$L$2:$L$4995,"Đã chuyển khoản"))</f>
        <v/>
      </c>
      <c r="Y2027" s="24" t="n"/>
    </row>
    <row r="2028" ht="14.25" customHeight="1" s="40">
      <c r="A2028" s="24" t="n"/>
      <c r="B2028" s="27" t="n"/>
      <c r="C2028" s="24" t="n"/>
      <c r="D2028" s="28" t="n"/>
      <c r="E2028" s="29" t="n"/>
      <c r="F2028" s="24" t="n"/>
      <c r="G2028" s="24" t="n"/>
      <c r="H2028" s="21">
        <f>IF(ISNUMBER($B2028),INT($B2028)-WEEKDAY($B2028,2)+1,"")</f>
        <v/>
      </c>
      <c r="I2028" s="24" t="n"/>
      <c r="J2028" s="22">
        <f t="array" ref="J2028">IF($D2028="","",IF($I2028="","(trống REF)",IFERROR(INDEX(MASTER_SOURCE!$B$2:$B$495,MATCH($I2028,MASTER_SOURCE!$A$2:$A$495,0)),"(REF không có trong MASTER_SOURCE)")))</f>
        <v/>
      </c>
      <c r="K2028" s="22">
        <f t="array" ref="K2028">IF($D2028="","",IFERROR(INDEX(MASTER_SOURCE!$C$2:$C$495,MATCH($I2028,MASTER_SOURCE!$A$2:$A$495,0)),""))</f>
        <v/>
      </c>
      <c r="L2028" s="22">
        <f t="array" ref="L2028">IF($D2028="","",IFERROR(INDEX(MASTER_SOURCE!$D$2:$D$495,MATCH($I2028,MASTER_SOURCE!$A$2:$A$495,0)),""))</f>
        <v/>
      </c>
      <c r="M2028" s="24" t="n"/>
      <c r="N2028" s="24" t="n"/>
      <c r="O2028" s="24" t="n"/>
      <c r="P2028" s="24" t="n"/>
      <c r="Q2028" s="22">
        <f>IF($D2028="","",IF(AND(OR(DANH_MUC!$L$5&lt;&gt;"Có",M2028="Có"),OR(DANH_MUC!$L$6&lt;&gt;"Có",N2028="Có"),OR(DANH_MUC!$L$7&lt;&gt;"Có",O2028="Có"),OR(DANH_MUC!$L$8&lt;&gt;"Có",P2028="Có")),"Có","Không"))</f>
        <v/>
      </c>
      <c r="R2028" s="22">
        <f>IF($D2028="","",IF(COUNTIF($D$2:$D2028,$D2028)&gt;1,"Trùng",""))</f>
        <v/>
      </c>
      <c r="S2028" s="22">
        <f>IF($D2028="","",IF(AND(LEN($D2028)=10,LEFT($D2028,1)="0",ISNUMBER(--$D2028)),"Có","Không"))</f>
        <v/>
      </c>
      <c r="T2028" s="22">
        <f>IF($D2028="","",IF(AND($C2028&lt;&gt;"",$Q2028="Có",$R2028="",$S2028="Có",AND($L2028&lt;&gt;"",OR($L2028&lt;&gt;"Chưa xác định",DANH_MUC!$L$9="Có"))),"Có","Không"))</f>
        <v/>
      </c>
      <c r="U2028" s="22">
        <f>IF(OR($D2028="",$T2028="Có"),"",IF($C2028="","Thiếu họ tên; ","")&amp;IF($S2028&lt;&gt;"Có","SĐT sai định dạng; ","")&amp;IF($R2028="Trùng","Trùng SĐT; ","")&amp;IF($Q2028&lt;&gt;"Có","Thiếu đồng ý bắt buộc; ","")&amp;IF($L2028="","Thiếu/sai Mã REF; ",IF(AND($L2028="Chưa xác định",DANH_MUC!$L$9&lt;&gt;"Có"),"Nguồn chưa xác định; ","")))</f>
        <v/>
      </c>
      <c r="V2028" s="22">
        <f>IF(OR($D2028="",$R2028="Trùng"),"",IF(COUNTIF(ORDERS!$C$2:$C$4995,$D2028)&gt;0,"Có","Không"))</f>
        <v/>
      </c>
      <c r="W2028" s="22">
        <f>IF(OR($D2028="",$R2028="Trùng"),"",COUNTIFS(ORDERS!$C$2:$C$4995,$D2028,ORDERS!$L$2:$L$4995,"Đã chuyển khoản"))</f>
        <v/>
      </c>
      <c r="X2028" s="23">
        <f>IF(OR($D2028="",$R2028="Trùng"),"",SUMIFS(ORDERS!$J$2:$J$4995,ORDERS!$C$2:$C$4995,$D2028,ORDERS!$L$2:$L$4995,"Đã chuyển khoản"))</f>
        <v/>
      </c>
      <c r="Y2028" s="24" t="n"/>
    </row>
    <row r="2029" ht="14.25" customHeight="1" s="40">
      <c r="A2029" s="24" t="n"/>
      <c r="B2029" s="27" t="n"/>
      <c r="C2029" s="24" t="n"/>
      <c r="D2029" s="28" t="n"/>
      <c r="E2029" s="29" t="n"/>
      <c r="F2029" s="24" t="n"/>
      <c r="G2029" s="24" t="n"/>
      <c r="H2029" s="21">
        <f>IF(ISNUMBER($B2029),INT($B2029)-WEEKDAY($B2029,2)+1,"")</f>
        <v/>
      </c>
      <c r="I2029" s="24" t="n"/>
      <c r="J2029" s="22">
        <f t="array" ref="J2029">IF($D2029="","",IF($I2029="","(trống REF)",IFERROR(INDEX(MASTER_SOURCE!$B$2:$B$495,MATCH($I2029,MASTER_SOURCE!$A$2:$A$495,0)),"(REF không có trong MASTER_SOURCE)")))</f>
        <v/>
      </c>
      <c r="K2029" s="22">
        <f t="array" ref="K2029">IF($D2029="","",IFERROR(INDEX(MASTER_SOURCE!$C$2:$C$495,MATCH($I2029,MASTER_SOURCE!$A$2:$A$495,0)),""))</f>
        <v/>
      </c>
      <c r="L2029" s="22">
        <f t="array" ref="L2029">IF($D2029="","",IFERROR(INDEX(MASTER_SOURCE!$D$2:$D$495,MATCH($I2029,MASTER_SOURCE!$A$2:$A$495,0)),""))</f>
        <v/>
      </c>
      <c r="M2029" s="24" t="n"/>
      <c r="N2029" s="24" t="n"/>
      <c r="O2029" s="24" t="n"/>
      <c r="P2029" s="24" t="n"/>
      <c r="Q2029" s="22">
        <f>IF($D2029="","",IF(AND(OR(DANH_MUC!$L$5&lt;&gt;"Có",M2029="Có"),OR(DANH_MUC!$L$6&lt;&gt;"Có",N2029="Có"),OR(DANH_MUC!$L$7&lt;&gt;"Có",O2029="Có"),OR(DANH_MUC!$L$8&lt;&gt;"Có",P2029="Có")),"Có","Không"))</f>
        <v/>
      </c>
      <c r="R2029" s="22">
        <f>IF($D2029="","",IF(COUNTIF($D$2:$D2029,$D2029)&gt;1,"Trùng",""))</f>
        <v/>
      </c>
      <c r="S2029" s="22">
        <f>IF($D2029="","",IF(AND(LEN($D2029)=10,LEFT($D2029,1)="0",ISNUMBER(--$D2029)),"Có","Không"))</f>
        <v/>
      </c>
      <c r="T2029" s="22">
        <f>IF($D2029="","",IF(AND($C2029&lt;&gt;"",$Q2029="Có",$R2029="",$S2029="Có",AND($L2029&lt;&gt;"",OR($L2029&lt;&gt;"Chưa xác định",DANH_MUC!$L$9="Có"))),"Có","Không"))</f>
        <v/>
      </c>
      <c r="U2029" s="22">
        <f>IF(OR($D2029="",$T2029="Có"),"",IF($C2029="","Thiếu họ tên; ","")&amp;IF($S2029&lt;&gt;"Có","SĐT sai định dạng; ","")&amp;IF($R2029="Trùng","Trùng SĐT; ","")&amp;IF($Q2029&lt;&gt;"Có","Thiếu đồng ý bắt buộc; ","")&amp;IF($L2029="","Thiếu/sai Mã REF; ",IF(AND($L2029="Chưa xác định",DANH_MUC!$L$9&lt;&gt;"Có"),"Nguồn chưa xác định; ","")))</f>
        <v/>
      </c>
      <c r="V2029" s="22">
        <f>IF(OR($D2029="",$R2029="Trùng"),"",IF(COUNTIF(ORDERS!$C$2:$C$4995,$D2029)&gt;0,"Có","Không"))</f>
        <v/>
      </c>
      <c r="W2029" s="22">
        <f>IF(OR($D2029="",$R2029="Trùng"),"",COUNTIFS(ORDERS!$C$2:$C$4995,$D2029,ORDERS!$L$2:$L$4995,"Đã chuyển khoản"))</f>
        <v/>
      </c>
      <c r="X2029" s="23">
        <f>IF(OR($D2029="",$R2029="Trùng"),"",SUMIFS(ORDERS!$J$2:$J$4995,ORDERS!$C$2:$C$4995,$D2029,ORDERS!$L$2:$L$4995,"Đã chuyển khoản"))</f>
        <v/>
      </c>
      <c r="Y2029" s="24" t="n"/>
    </row>
    <row r="2030" ht="14.25" customHeight="1" s="40">
      <c r="A2030" s="24" t="n"/>
      <c r="B2030" s="27" t="n"/>
      <c r="C2030" s="24" t="n"/>
      <c r="D2030" s="28" t="n"/>
      <c r="E2030" s="29" t="n"/>
      <c r="F2030" s="24" t="n"/>
      <c r="G2030" s="24" t="n"/>
      <c r="H2030" s="21">
        <f>IF(ISNUMBER($B2030),INT($B2030)-WEEKDAY($B2030,2)+1,"")</f>
        <v/>
      </c>
      <c r="I2030" s="24" t="n"/>
      <c r="J2030" s="22">
        <f t="array" ref="J2030">IF($D2030="","",IF($I2030="","(trống REF)",IFERROR(INDEX(MASTER_SOURCE!$B$2:$B$495,MATCH($I2030,MASTER_SOURCE!$A$2:$A$495,0)),"(REF không có trong MASTER_SOURCE)")))</f>
        <v/>
      </c>
      <c r="K2030" s="22">
        <f t="array" ref="K2030">IF($D2030="","",IFERROR(INDEX(MASTER_SOURCE!$C$2:$C$495,MATCH($I2030,MASTER_SOURCE!$A$2:$A$495,0)),""))</f>
        <v/>
      </c>
      <c r="L2030" s="22">
        <f t="array" ref="L2030">IF($D2030="","",IFERROR(INDEX(MASTER_SOURCE!$D$2:$D$495,MATCH($I2030,MASTER_SOURCE!$A$2:$A$495,0)),""))</f>
        <v/>
      </c>
      <c r="M2030" s="24" t="n"/>
      <c r="N2030" s="24" t="n"/>
      <c r="O2030" s="24" t="n"/>
      <c r="P2030" s="24" t="n"/>
      <c r="Q2030" s="22">
        <f>IF($D2030="","",IF(AND(OR(DANH_MUC!$L$5&lt;&gt;"Có",M2030="Có"),OR(DANH_MUC!$L$6&lt;&gt;"Có",N2030="Có"),OR(DANH_MUC!$L$7&lt;&gt;"Có",O2030="Có"),OR(DANH_MUC!$L$8&lt;&gt;"Có",P2030="Có")),"Có","Không"))</f>
        <v/>
      </c>
      <c r="R2030" s="22">
        <f>IF($D2030="","",IF(COUNTIF($D$2:$D2030,$D2030)&gt;1,"Trùng",""))</f>
        <v/>
      </c>
      <c r="S2030" s="22">
        <f>IF($D2030="","",IF(AND(LEN($D2030)=10,LEFT($D2030,1)="0",ISNUMBER(--$D2030)),"Có","Không"))</f>
        <v/>
      </c>
      <c r="T2030" s="22">
        <f>IF($D2030="","",IF(AND($C2030&lt;&gt;"",$Q2030="Có",$R2030="",$S2030="Có",AND($L2030&lt;&gt;"",OR($L2030&lt;&gt;"Chưa xác định",DANH_MUC!$L$9="Có"))),"Có","Không"))</f>
        <v/>
      </c>
      <c r="U2030" s="22">
        <f>IF(OR($D2030="",$T2030="Có"),"",IF($C2030="","Thiếu họ tên; ","")&amp;IF($S2030&lt;&gt;"Có","SĐT sai định dạng; ","")&amp;IF($R2030="Trùng","Trùng SĐT; ","")&amp;IF($Q2030&lt;&gt;"Có","Thiếu đồng ý bắt buộc; ","")&amp;IF($L2030="","Thiếu/sai Mã REF; ",IF(AND($L2030="Chưa xác định",DANH_MUC!$L$9&lt;&gt;"Có"),"Nguồn chưa xác định; ","")))</f>
        <v/>
      </c>
      <c r="V2030" s="22">
        <f>IF(OR($D2030="",$R2030="Trùng"),"",IF(COUNTIF(ORDERS!$C$2:$C$4995,$D2030)&gt;0,"Có","Không"))</f>
        <v/>
      </c>
      <c r="W2030" s="22">
        <f>IF(OR($D2030="",$R2030="Trùng"),"",COUNTIFS(ORDERS!$C$2:$C$4995,$D2030,ORDERS!$L$2:$L$4995,"Đã chuyển khoản"))</f>
        <v/>
      </c>
      <c r="X2030" s="23">
        <f>IF(OR($D2030="",$R2030="Trùng"),"",SUMIFS(ORDERS!$J$2:$J$4995,ORDERS!$C$2:$C$4995,$D2030,ORDERS!$L$2:$L$4995,"Đã chuyển khoản"))</f>
        <v/>
      </c>
      <c r="Y2030" s="24" t="n"/>
    </row>
    <row r="2031" ht="14.25" customHeight="1" s="40">
      <c r="A2031" s="24" t="n"/>
      <c r="B2031" s="27" t="n"/>
      <c r="C2031" s="24" t="n"/>
      <c r="D2031" s="28" t="n"/>
      <c r="E2031" s="29" t="n"/>
      <c r="F2031" s="24" t="n"/>
      <c r="G2031" s="24" t="n"/>
      <c r="H2031" s="21">
        <f>IF(ISNUMBER($B2031),INT($B2031)-WEEKDAY($B2031,2)+1,"")</f>
        <v/>
      </c>
      <c r="I2031" s="24" t="n"/>
      <c r="J2031" s="22">
        <f t="array" ref="J2031">IF($D2031="","",IF($I2031="","(trống REF)",IFERROR(INDEX(MASTER_SOURCE!$B$2:$B$495,MATCH($I2031,MASTER_SOURCE!$A$2:$A$495,0)),"(REF không có trong MASTER_SOURCE)")))</f>
        <v/>
      </c>
      <c r="K2031" s="22">
        <f t="array" ref="K2031">IF($D2031="","",IFERROR(INDEX(MASTER_SOURCE!$C$2:$C$495,MATCH($I2031,MASTER_SOURCE!$A$2:$A$495,0)),""))</f>
        <v/>
      </c>
      <c r="L2031" s="22">
        <f t="array" ref="L2031">IF($D2031="","",IFERROR(INDEX(MASTER_SOURCE!$D$2:$D$495,MATCH($I2031,MASTER_SOURCE!$A$2:$A$495,0)),""))</f>
        <v/>
      </c>
      <c r="M2031" s="24" t="n"/>
      <c r="N2031" s="24" t="n"/>
      <c r="O2031" s="24" t="n"/>
      <c r="P2031" s="24" t="n"/>
      <c r="Q2031" s="22">
        <f>IF($D2031="","",IF(AND(OR(DANH_MUC!$L$5&lt;&gt;"Có",M2031="Có"),OR(DANH_MUC!$L$6&lt;&gt;"Có",N2031="Có"),OR(DANH_MUC!$L$7&lt;&gt;"Có",O2031="Có"),OR(DANH_MUC!$L$8&lt;&gt;"Có",P2031="Có")),"Có","Không"))</f>
        <v/>
      </c>
      <c r="R2031" s="22">
        <f>IF($D2031="","",IF(COUNTIF($D$2:$D2031,$D2031)&gt;1,"Trùng",""))</f>
        <v/>
      </c>
      <c r="S2031" s="22">
        <f>IF($D2031="","",IF(AND(LEN($D2031)=10,LEFT($D2031,1)="0",ISNUMBER(--$D2031)),"Có","Không"))</f>
        <v/>
      </c>
      <c r="T2031" s="22">
        <f>IF($D2031="","",IF(AND($C2031&lt;&gt;"",$Q2031="Có",$R2031="",$S2031="Có",AND($L2031&lt;&gt;"",OR($L2031&lt;&gt;"Chưa xác định",DANH_MUC!$L$9="Có"))),"Có","Không"))</f>
        <v/>
      </c>
      <c r="U2031" s="22">
        <f>IF(OR($D2031="",$T2031="Có"),"",IF($C2031="","Thiếu họ tên; ","")&amp;IF($S2031&lt;&gt;"Có","SĐT sai định dạng; ","")&amp;IF($R2031="Trùng","Trùng SĐT; ","")&amp;IF($Q2031&lt;&gt;"Có","Thiếu đồng ý bắt buộc; ","")&amp;IF($L2031="","Thiếu/sai Mã REF; ",IF(AND($L2031="Chưa xác định",DANH_MUC!$L$9&lt;&gt;"Có"),"Nguồn chưa xác định; ","")))</f>
        <v/>
      </c>
      <c r="V2031" s="22">
        <f>IF(OR($D2031="",$R2031="Trùng"),"",IF(COUNTIF(ORDERS!$C$2:$C$4995,$D2031)&gt;0,"Có","Không"))</f>
        <v/>
      </c>
      <c r="W2031" s="22">
        <f>IF(OR($D2031="",$R2031="Trùng"),"",COUNTIFS(ORDERS!$C$2:$C$4995,$D2031,ORDERS!$L$2:$L$4995,"Đã chuyển khoản"))</f>
        <v/>
      </c>
      <c r="X2031" s="23">
        <f>IF(OR($D2031="",$R2031="Trùng"),"",SUMIFS(ORDERS!$J$2:$J$4995,ORDERS!$C$2:$C$4995,$D2031,ORDERS!$L$2:$L$4995,"Đã chuyển khoản"))</f>
        <v/>
      </c>
      <c r="Y2031" s="24" t="n"/>
    </row>
    <row r="2032" ht="14.25" customHeight="1" s="40">
      <c r="A2032" s="24" t="n"/>
      <c r="B2032" s="27" t="n"/>
      <c r="C2032" s="24" t="n"/>
      <c r="D2032" s="28" t="n"/>
      <c r="E2032" s="29" t="n"/>
      <c r="F2032" s="24" t="n"/>
      <c r="G2032" s="24" t="n"/>
      <c r="H2032" s="21">
        <f>IF(ISNUMBER($B2032),INT($B2032)-WEEKDAY($B2032,2)+1,"")</f>
        <v/>
      </c>
      <c r="I2032" s="24" t="n"/>
      <c r="J2032" s="22">
        <f t="array" ref="J2032">IF($D2032="","",IF($I2032="","(trống REF)",IFERROR(INDEX(MASTER_SOURCE!$B$2:$B$495,MATCH($I2032,MASTER_SOURCE!$A$2:$A$495,0)),"(REF không có trong MASTER_SOURCE)")))</f>
        <v/>
      </c>
      <c r="K2032" s="22">
        <f t="array" ref="K2032">IF($D2032="","",IFERROR(INDEX(MASTER_SOURCE!$C$2:$C$495,MATCH($I2032,MASTER_SOURCE!$A$2:$A$495,0)),""))</f>
        <v/>
      </c>
      <c r="L2032" s="22">
        <f t="array" ref="L2032">IF($D2032="","",IFERROR(INDEX(MASTER_SOURCE!$D$2:$D$495,MATCH($I2032,MASTER_SOURCE!$A$2:$A$495,0)),""))</f>
        <v/>
      </c>
      <c r="M2032" s="24" t="n"/>
      <c r="N2032" s="24" t="n"/>
      <c r="O2032" s="24" t="n"/>
      <c r="P2032" s="24" t="n"/>
      <c r="Q2032" s="22">
        <f>IF($D2032="","",IF(AND(OR(DANH_MUC!$L$5&lt;&gt;"Có",M2032="Có"),OR(DANH_MUC!$L$6&lt;&gt;"Có",N2032="Có"),OR(DANH_MUC!$L$7&lt;&gt;"Có",O2032="Có"),OR(DANH_MUC!$L$8&lt;&gt;"Có",P2032="Có")),"Có","Không"))</f>
        <v/>
      </c>
      <c r="R2032" s="22">
        <f>IF($D2032="","",IF(COUNTIF($D$2:$D2032,$D2032)&gt;1,"Trùng",""))</f>
        <v/>
      </c>
      <c r="S2032" s="22">
        <f>IF($D2032="","",IF(AND(LEN($D2032)=10,LEFT($D2032,1)="0",ISNUMBER(--$D2032)),"Có","Không"))</f>
        <v/>
      </c>
      <c r="T2032" s="22">
        <f>IF($D2032="","",IF(AND($C2032&lt;&gt;"",$Q2032="Có",$R2032="",$S2032="Có",AND($L2032&lt;&gt;"",OR($L2032&lt;&gt;"Chưa xác định",DANH_MUC!$L$9="Có"))),"Có","Không"))</f>
        <v/>
      </c>
      <c r="U2032" s="22">
        <f>IF(OR($D2032="",$T2032="Có"),"",IF($C2032="","Thiếu họ tên; ","")&amp;IF($S2032&lt;&gt;"Có","SĐT sai định dạng; ","")&amp;IF($R2032="Trùng","Trùng SĐT; ","")&amp;IF($Q2032&lt;&gt;"Có","Thiếu đồng ý bắt buộc; ","")&amp;IF($L2032="","Thiếu/sai Mã REF; ",IF(AND($L2032="Chưa xác định",DANH_MUC!$L$9&lt;&gt;"Có"),"Nguồn chưa xác định; ","")))</f>
        <v/>
      </c>
      <c r="V2032" s="22">
        <f>IF(OR($D2032="",$R2032="Trùng"),"",IF(COUNTIF(ORDERS!$C$2:$C$4995,$D2032)&gt;0,"Có","Không"))</f>
        <v/>
      </c>
      <c r="W2032" s="22">
        <f>IF(OR($D2032="",$R2032="Trùng"),"",COUNTIFS(ORDERS!$C$2:$C$4995,$D2032,ORDERS!$L$2:$L$4995,"Đã chuyển khoản"))</f>
        <v/>
      </c>
      <c r="X2032" s="23">
        <f>IF(OR($D2032="",$R2032="Trùng"),"",SUMIFS(ORDERS!$J$2:$J$4995,ORDERS!$C$2:$C$4995,$D2032,ORDERS!$L$2:$L$4995,"Đã chuyển khoản"))</f>
        <v/>
      </c>
      <c r="Y2032" s="24" t="n"/>
    </row>
    <row r="2033" ht="14.25" customHeight="1" s="40">
      <c r="A2033" s="24" t="n"/>
      <c r="B2033" s="27" t="n"/>
      <c r="C2033" s="24" t="n"/>
      <c r="D2033" s="28" t="n"/>
      <c r="E2033" s="29" t="n"/>
      <c r="F2033" s="24" t="n"/>
      <c r="G2033" s="24" t="n"/>
      <c r="H2033" s="21">
        <f>IF(ISNUMBER($B2033),INT($B2033)-WEEKDAY($B2033,2)+1,"")</f>
        <v/>
      </c>
      <c r="I2033" s="24" t="n"/>
      <c r="J2033" s="22">
        <f t="array" ref="J2033">IF($D2033="","",IF($I2033="","(trống REF)",IFERROR(INDEX(MASTER_SOURCE!$B$2:$B$495,MATCH($I2033,MASTER_SOURCE!$A$2:$A$495,0)),"(REF không có trong MASTER_SOURCE)")))</f>
        <v/>
      </c>
      <c r="K2033" s="22">
        <f t="array" ref="K2033">IF($D2033="","",IFERROR(INDEX(MASTER_SOURCE!$C$2:$C$495,MATCH($I2033,MASTER_SOURCE!$A$2:$A$495,0)),""))</f>
        <v/>
      </c>
      <c r="L2033" s="22">
        <f t="array" ref="L2033">IF($D2033="","",IFERROR(INDEX(MASTER_SOURCE!$D$2:$D$495,MATCH($I2033,MASTER_SOURCE!$A$2:$A$495,0)),""))</f>
        <v/>
      </c>
      <c r="M2033" s="24" t="n"/>
      <c r="N2033" s="24" t="n"/>
      <c r="O2033" s="24" t="n"/>
      <c r="P2033" s="24" t="n"/>
      <c r="Q2033" s="22">
        <f>IF($D2033="","",IF(AND(OR(DANH_MUC!$L$5&lt;&gt;"Có",M2033="Có"),OR(DANH_MUC!$L$6&lt;&gt;"Có",N2033="Có"),OR(DANH_MUC!$L$7&lt;&gt;"Có",O2033="Có"),OR(DANH_MUC!$L$8&lt;&gt;"Có",P2033="Có")),"Có","Không"))</f>
        <v/>
      </c>
      <c r="R2033" s="22">
        <f>IF($D2033="","",IF(COUNTIF($D$2:$D2033,$D2033)&gt;1,"Trùng",""))</f>
        <v/>
      </c>
      <c r="S2033" s="22">
        <f>IF($D2033="","",IF(AND(LEN($D2033)=10,LEFT($D2033,1)="0",ISNUMBER(--$D2033)),"Có","Không"))</f>
        <v/>
      </c>
      <c r="T2033" s="22">
        <f>IF($D2033="","",IF(AND($C2033&lt;&gt;"",$Q2033="Có",$R2033="",$S2033="Có",AND($L2033&lt;&gt;"",OR($L2033&lt;&gt;"Chưa xác định",DANH_MUC!$L$9="Có"))),"Có","Không"))</f>
        <v/>
      </c>
      <c r="U2033" s="22">
        <f>IF(OR($D2033="",$T2033="Có"),"",IF($C2033="","Thiếu họ tên; ","")&amp;IF($S2033&lt;&gt;"Có","SĐT sai định dạng; ","")&amp;IF($R2033="Trùng","Trùng SĐT; ","")&amp;IF($Q2033&lt;&gt;"Có","Thiếu đồng ý bắt buộc; ","")&amp;IF($L2033="","Thiếu/sai Mã REF; ",IF(AND($L2033="Chưa xác định",DANH_MUC!$L$9&lt;&gt;"Có"),"Nguồn chưa xác định; ","")))</f>
        <v/>
      </c>
      <c r="V2033" s="22">
        <f>IF(OR($D2033="",$R2033="Trùng"),"",IF(COUNTIF(ORDERS!$C$2:$C$4995,$D2033)&gt;0,"Có","Không"))</f>
        <v/>
      </c>
      <c r="W2033" s="22">
        <f>IF(OR($D2033="",$R2033="Trùng"),"",COUNTIFS(ORDERS!$C$2:$C$4995,$D2033,ORDERS!$L$2:$L$4995,"Đã chuyển khoản"))</f>
        <v/>
      </c>
      <c r="X2033" s="23">
        <f>IF(OR($D2033="",$R2033="Trùng"),"",SUMIFS(ORDERS!$J$2:$J$4995,ORDERS!$C$2:$C$4995,$D2033,ORDERS!$L$2:$L$4995,"Đã chuyển khoản"))</f>
        <v/>
      </c>
      <c r="Y2033" s="24" t="n"/>
    </row>
    <row r="2034" ht="14.25" customHeight="1" s="40">
      <c r="A2034" s="24" t="n"/>
      <c r="B2034" s="27" t="n"/>
      <c r="C2034" s="24" t="n"/>
      <c r="D2034" s="28" t="n"/>
      <c r="E2034" s="29" t="n"/>
      <c r="F2034" s="24" t="n"/>
      <c r="G2034" s="24" t="n"/>
      <c r="H2034" s="21">
        <f>IF(ISNUMBER($B2034),INT($B2034)-WEEKDAY($B2034,2)+1,"")</f>
        <v/>
      </c>
      <c r="I2034" s="24" t="n"/>
      <c r="J2034" s="22">
        <f t="array" ref="J2034">IF($D2034="","",IF($I2034="","(trống REF)",IFERROR(INDEX(MASTER_SOURCE!$B$2:$B$495,MATCH($I2034,MASTER_SOURCE!$A$2:$A$495,0)),"(REF không có trong MASTER_SOURCE)")))</f>
        <v/>
      </c>
      <c r="K2034" s="22">
        <f t="array" ref="K2034">IF($D2034="","",IFERROR(INDEX(MASTER_SOURCE!$C$2:$C$495,MATCH($I2034,MASTER_SOURCE!$A$2:$A$495,0)),""))</f>
        <v/>
      </c>
      <c r="L2034" s="22">
        <f t="array" ref="L2034">IF($D2034="","",IFERROR(INDEX(MASTER_SOURCE!$D$2:$D$495,MATCH($I2034,MASTER_SOURCE!$A$2:$A$495,0)),""))</f>
        <v/>
      </c>
      <c r="M2034" s="24" t="n"/>
      <c r="N2034" s="24" t="n"/>
      <c r="O2034" s="24" t="n"/>
      <c r="P2034" s="24" t="n"/>
      <c r="Q2034" s="22">
        <f>IF($D2034="","",IF(AND(OR(DANH_MUC!$L$5&lt;&gt;"Có",M2034="Có"),OR(DANH_MUC!$L$6&lt;&gt;"Có",N2034="Có"),OR(DANH_MUC!$L$7&lt;&gt;"Có",O2034="Có"),OR(DANH_MUC!$L$8&lt;&gt;"Có",P2034="Có")),"Có","Không"))</f>
        <v/>
      </c>
      <c r="R2034" s="22">
        <f>IF($D2034="","",IF(COUNTIF($D$2:$D2034,$D2034)&gt;1,"Trùng",""))</f>
        <v/>
      </c>
      <c r="S2034" s="22">
        <f>IF($D2034="","",IF(AND(LEN($D2034)=10,LEFT($D2034,1)="0",ISNUMBER(--$D2034)),"Có","Không"))</f>
        <v/>
      </c>
      <c r="T2034" s="22">
        <f>IF($D2034="","",IF(AND($C2034&lt;&gt;"",$Q2034="Có",$R2034="",$S2034="Có",AND($L2034&lt;&gt;"",OR($L2034&lt;&gt;"Chưa xác định",DANH_MUC!$L$9="Có"))),"Có","Không"))</f>
        <v/>
      </c>
      <c r="U2034" s="22">
        <f>IF(OR($D2034="",$T2034="Có"),"",IF($C2034="","Thiếu họ tên; ","")&amp;IF($S2034&lt;&gt;"Có","SĐT sai định dạng; ","")&amp;IF($R2034="Trùng","Trùng SĐT; ","")&amp;IF($Q2034&lt;&gt;"Có","Thiếu đồng ý bắt buộc; ","")&amp;IF($L2034="","Thiếu/sai Mã REF; ",IF(AND($L2034="Chưa xác định",DANH_MUC!$L$9&lt;&gt;"Có"),"Nguồn chưa xác định; ","")))</f>
        <v/>
      </c>
      <c r="V2034" s="22">
        <f>IF(OR($D2034="",$R2034="Trùng"),"",IF(COUNTIF(ORDERS!$C$2:$C$4995,$D2034)&gt;0,"Có","Không"))</f>
        <v/>
      </c>
      <c r="W2034" s="22">
        <f>IF(OR($D2034="",$R2034="Trùng"),"",COUNTIFS(ORDERS!$C$2:$C$4995,$D2034,ORDERS!$L$2:$L$4995,"Đã chuyển khoản"))</f>
        <v/>
      </c>
      <c r="X2034" s="23">
        <f>IF(OR($D2034="",$R2034="Trùng"),"",SUMIFS(ORDERS!$J$2:$J$4995,ORDERS!$C$2:$C$4995,$D2034,ORDERS!$L$2:$L$4995,"Đã chuyển khoản"))</f>
        <v/>
      </c>
      <c r="Y2034" s="24" t="n"/>
    </row>
    <row r="2035" ht="14.25" customHeight="1" s="40">
      <c r="A2035" s="24" t="n"/>
      <c r="B2035" s="27" t="n"/>
      <c r="C2035" s="24" t="n"/>
      <c r="D2035" s="28" t="n"/>
      <c r="E2035" s="29" t="n"/>
      <c r="F2035" s="24" t="n"/>
      <c r="G2035" s="24" t="n"/>
      <c r="H2035" s="21">
        <f>IF(ISNUMBER($B2035),INT($B2035)-WEEKDAY($B2035,2)+1,"")</f>
        <v/>
      </c>
      <c r="I2035" s="24" t="n"/>
      <c r="J2035" s="22">
        <f t="array" ref="J2035">IF($D2035="","",IF($I2035="","(trống REF)",IFERROR(INDEX(MASTER_SOURCE!$B$2:$B$495,MATCH($I2035,MASTER_SOURCE!$A$2:$A$495,0)),"(REF không có trong MASTER_SOURCE)")))</f>
        <v/>
      </c>
      <c r="K2035" s="22">
        <f t="array" ref="K2035">IF($D2035="","",IFERROR(INDEX(MASTER_SOURCE!$C$2:$C$495,MATCH($I2035,MASTER_SOURCE!$A$2:$A$495,0)),""))</f>
        <v/>
      </c>
      <c r="L2035" s="22">
        <f t="array" ref="L2035">IF($D2035="","",IFERROR(INDEX(MASTER_SOURCE!$D$2:$D$495,MATCH($I2035,MASTER_SOURCE!$A$2:$A$495,0)),""))</f>
        <v/>
      </c>
      <c r="M2035" s="24" t="n"/>
      <c r="N2035" s="24" t="n"/>
      <c r="O2035" s="24" t="n"/>
      <c r="P2035" s="24" t="n"/>
      <c r="Q2035" s="22">
        <f>IF($D2035="","",IF(AND(OR(DANH_MUC!$L$5&lt;&gt;"Có",M2035="Có"),OR(DANH_MUC!$L$6&lt;&gt;"Có",N2035="Có"),OR(DANH_MUC!$L$7&lt;&gt;"Có",O2035="Có"),OR(DANH_MUC!$L$8&lt;&gt;"Có",P2035="Có")),"Có","Không"))</f>
        <v/>
      </c>
      <c r="R2035" s="22">
        <f>IF($D2035="","",IF(COUNTIF($D$2:$D2035,$D2035)&gt;1,"Trùng",""))</f>
        <v/>
      </c>
      <c r="S2035" s="22">
        <f>IF($D2035="","",IF(AND(LEN($D2035)=10,LEFT($D2035,1)="0",ISNUMBER(--$D2035)),"Có","Không"))</f>
        <v/>
      </c>
      <c r="T2035" s="22">
        <f>IF($D2035="","",IF(AND($C2035&lt;&gt;"",$Q2035="Có",$R2035="",$S2035="Có",AND($L2035&lt;&gt;"",OR($L2035&lt;&gt;"Chưa xác định",DANH_MUC!$L$9="Có"))),"Có","Không"))</f>
        <v/>
      </c>
      <c r="U2035" s="22">
        <f>IF(OR($D2035="",$T2035="Có"),"",IF($C2035="","Thiếu họ tên; ","")&amp;IF($S2035&lt;&gt;"Có","SĐT sai định dạng; ","")&amp;IF($R2035="Trùng","Trùng SĐT; ","")&amp;IF($Q2035&lt;&gt;"Có","Thiếu đồng ý bắt buộc; ","")&amp;IF($L2035="","Thiếu/sai Mã REF; ",IF(AND($L2035="Chưa xác định",DANH_MUC!$L$9&lt;&gt;"Có"),"Nguồn chưa xác định; ","")))</f>
        <v/>
      </c>
      <c r="V2035" s="22">
        <f>IF(OR($D2035="",$R2035="Trùng"),"",IF(COUNTIF(ORDERS!$C$2:$C$4995,$D2035)&gt;0,"Có","Không"))</f>
        <v/>
      </c>
      <c r="W2035" s="22">
        <f>IF(OR($D2035="",$R2035="Trùng"),"",COUNTIFS(ORDERS!$C$2:$C$4995,$D2035,ORDERS!$L$2:$L$4995,"Đã chuyển khoản"))</f>
        <v/>
      </c>
      <c r="X2035" s="23">
        <f>IF(OR($D2035="",$R2035="Trùng"),"",SUMIFS(ORDERS!$J$2:$J$4995,ORDERS!$C$2:$C$4995,$D2035,ORDERS!$L$2:$L$4995,"Đã chuyển khoản"))</f>
        <v/>
      </c>
      <c r="Y2035" s="24" t="n"/>
    </row>
    <row r="2036" ht="14.25" customHeight="1" s="40">
      <c r="A2036" s="24" t="n"/>
      <c r="B2036" s="27" t="n"/>
      <c r="C2036" s="24" t="n"/>
      <c r="D2036" s="28" t="n"/>
      <c r="E2036" s="29" t="n"/>
      <c r="F2036" s="24" t="n"/>
      <c r="G2036" s="24" t="n"/>
      <c r="H2036" s="21">
        <f>IF(ISNUMBER($B2036),INT($B2036)-WEEKDAY($B2036,2)+1,"")</f>
        <v/>
      </c>
      <c r="I2036" s="24" t="n"/>
      <c r="J2036" s="22">
        <f t="array" ref="J2036">IF($D2036="","",IF($I2036="","(trống REF)",IFERROR(INDEX(MASTER_SOURCE!$B$2:$B$495,MATCH($I2036,MASTER_SOURCE!$A$2:$A$495,0)),"(REF không có trong MASTER_SOURCE)")))</f>
        <v/>
      </c>
      <c r="K2036" s="22">
        <f t="array" ref="K2036">IF($D2036="","",IFERROR(INDEX(MASTER_SOURCE!$C$2:$C$495,MATCH($I2036,MASTER_SOURCE!$A$2:$A$495,0)),""))</f>
        <v/>
      </c>
      <c r="L2036" s="22">
        <f t="array" ref="L2036">IF($D2036="","",IFERROR(INDEX(MASTER_SOURCE!$D$2:$D$495,MATCH($I2036,MASTER_SOURCE!$A$2:$A$495,0)),""))</f>
        <v/>
      </c>
      <c r="M2036" s="24" t="n"/>
      <c r="N2036" s="24" t="n"/>
      <c r="O2036" s="24" t="n"/>
      <c r="P2036" s="24" t="n"/>
      <c r="Q2036" s="22">
        <f>IF($D2036="","",IF(AND(OR(DANH_MUC!$L$5&lt;&gt;"Có",M2036="Có"),OR(DANH_MUC!$L$6&lt;&gt;"Có",N2036="Có"),OR(DANH_MUC!$L$7&lt;&gt;"Có",O2036="Có"),OR(DANH_MUC!$L$8&lt;&gt;"Có",P2036="Có")),"Có","Không"))</f>
        <v/>
      </c>
      <c r="R2036" s="22">
        <f>IF($D2036="","",IF(COUNTIF($D$2:$D2036,$D2036)&gt;1,"Trùng",""))</f>
        <v/>
      </c>
      <c r="S2036" s="22">
        <f>IF($D2036="","",IF(AND(LEN($D2036)=10,LEFT($D2036,1)="0",ISNUMBER(--$D2036)),"Có","Không"))</f>
        <v/>
      </c>
      <c r="T2036" s="22">
        <f>IF($D2036="","",IF(AND($C2036&lt;&gt;"",$Q2036="Có",$R2036="",$S2036="Có",AND($L2036&lt;&gt;"",OR($L2036&lt;&gt;"Chưa xác định",DANH_MUC!$L$9="Có"))),"Có","Không"))</f>
        <v/>
      </c>
      <c r="U2036" s="22">
        <f>IF(OR($D2036="",$T2036="Có"),"",IF($C2036="","Thiếu họ tên; ","")&amp;IF($S2036&lt;&gt;"Có","SĐT sai định dạng; ","")&amp;IF($R2036="Trùng","Trùng SĐT; ","")&amp;IF($Q2036&lt;&gt;"Có","Thiếu đồng ý bắt buộc; ","")&amp;IF($L2036="","Thiếu/sai Mã REF; ",IF(AND($L2036="Chưa xác định",DANH_MUC!$L$9&lt;&gt;"Có"),"Nguồn chưa xác định; ","")))</f>
        <v/>
      </c>
      <c r="V2036" s="22">
        <f>IF(OR($D2036="",$R2036="Trùng"),"",IF(COUNTIF(ORDERS!$C$2:$C$4995,$D2036)&gt;0,"Có","Không"))</f>
        <v/>
      </c>
      <c r="W2036" s="22">
        <f>IF(OR($D2036="",$R2036="Trùng"),"",COUNTIFS(ORDERS!$C$2:$C$4995,$D2036,ORDERS!$L$2:$L$4995,"Đã chuyển khoản"))</f>
        <v/>
      </c>
      <c r="X2036" s="23">
        <f>IF(OR($D2036="",$R2036="Trùng"),"",SUMIFS(ORDERS!$J$2:$J$4995,ORDERS!$C$2:$C$4995,$D2036,ORDERS!$L$2:$L$4995,"Đã chuyển khoản"))</f>
        <v/>
      </c>
      <c r="Y2036" s="24" t="n"/>
    </row>
    <row r="2037" ht="14.25" customHeight="1" s="40">
      <c r="A2037" s="24" t="n"/>
      <c r="B2037" s="27" t="n"/>
      <c r="C2037" s="24" t="n"/>
      <c r="D2037" s="28" t="n"/>
      <c r="E2037" s="29" t="n"/>
      <c r="F2037" s="24" t="n"/>
      <c r="G2037" s="24" t="n"/>
      <c r="H2037" s="21">
        <f>IF(ISNUMBER($B2037),INT($B2037)-WEEKDAY($B2037,2)+1,"")</f>
        <v/>
      </c>
      <c r="I2037" s="24" t="n"/>
      <c r="J2037" s="22">
        <f t="array" ref="J2037">IF($D2037="","",IF($I2037="","(trống REF)",IFERROR(INDEX(MASTER_SOURCE!$B$2:$B$495,MATCH($I2037,MASTER_SOURCE!$A$2:$A$495,0)),"(REF không có trong MASTER_SOURCE)")))</f>
        <v/>
      </c>
      <c r="K2037" s="22">
        <f t="array" ref="K2037">IF($D2037="","",IFERROR(INDEX(MASTER_SOURCE!$C$2:$C$495,MATCH($I2037,MASTER_SOURCE!$A$2:$A$495,0)),""))</f>
        <v/>
      </c>
      <c r="L2037" s="22">
        <f t="array" ref="L2037">IF($D2037="","",IFERROR(INDEX(MASTER_SOURCE!$D$2:$D$495,MATCH($I2037,MASTER_SOURCE!$A$2:$A$495,0)),""))</f>
        <v/>
      </c>
      <c r="M2037" s="24" t="n"/>
      <c r="N2037" s="24" t="n"/>
      <c r="O2037" s="24" t="n"/>
      <c r="P2037" s="24" t="n"/>
      <c r="Q2037" s="22">
        <f>IF($D2037="","",IF(AND(OR(DANH_MUC!$L$5&lt;&gt;"Có",M2037="Có"),OR(DANH_MUC!$L$6&lt;&gt;"Có",N2037="Có"),OR(DANH_MUC!$L$7&lt;&gt;"Có",O2037="Có"),OR(DANH_MUC!$L$8&lt;&gt;"Có",P2037="Có")),"Có","Không"))</f>
        <v/>
      </c>
      <c r="R2037" s="22">
        <f>IF($D2037="","",IF(COUNTIF($D$2:$D2037,$D2037)&gt;1,"Trùng",""))</f>
        <v/>
      </c>
      <c r="S2037" s="22">
        <f>IF($D2037="","",IF(AND(LEN($D2037)=10,LEFT($D2037,1)="0",ISNUMBER(--$D2037)),"Có","Không"))</f>
        <v/>
      </c>
      <c r="T2037" s="22">
        <f>IF($D2037="","",IF(AND($C2037&lt;&gt;"",$Q2037="Có",$R2037="",$S2037="Có",AND($L2037&lt;&gt;"",OR($L2037&lt;&gt;"Chưa xác định",DANH_MUC!$L$9="Có"))),"Có","Không"))</f>
        <v/>
      </c>
      <c r="U2037" s="22">
        <f>IF(OR($D2037="",$T2037="Có"),"",IF($C2037="","Thiếu họ tên; ","")&amp;IF($S2037&lt;&gt;"Có","SĐT sai định dạng; ","")&amp;IF($R2037="Trùng","Trùng SĐT; ","")&amp;IF($Q2037&lt;&gt;"Có","Thiếu đồng ý bắt buộc; ","")&amp;IF($L2037="","Thiếu/sai Mã REF; ",IF(AND($L2037="Chưa xác định",DANH_MUC!$L$9&lt;&gt;"Có"),"Nguồn chưa xác định; ","")))</f>
        <v/>
      </c>
      <c r="V2037" s="22">
        <f>IF(OR($D2037="",$R2037="Trùng"),"",IF(COUNTIF(ORDERS!$C$2:$C$4995,$D2037)&gt;0,"Có","Không"))</f>
        <v/>
      </c>
      <c r="W2037" s="22">
        <f>IF(OR($D2037="",$R2037="Trùng"),"",COUNTIFS(ORDERS!$C$2:$C$4995,$D2037,ORDERS!$L$2:$L$4995,"Đã chuyển khoản"))</f>
        <v/>
      </c>
      <c r="X2037" s="23">
        <f>IF(OR($D2037="",$R2037="Trùng"),"",SUMIFS(ORDERS!$J$2:$J$4995,ORDERS!$C$2:$C$4995,$D2037,ORDERS!$L$2:$L$4995,"Đã chuyển khoản"))</f>
        <v/>
      </c>
      <c r="Y2037" s="24" t="n"/>
    </row>
    <row r="2038" ht="14.25" customHeight="1" s="40">
      <c r="A2038" s="24" t="n"/>
      <c r="B2038" s="27" t="n"/>
      <c r="C2038" s="24" t="n"/>
      <c r="D2038" s="28" t="n"/>
      <c r="E2038" s="29" t="n"/>
      <c r="F2038" s="24" t="n"/>
      <c r="G2038" s="24" t="n"/>
      <c r="H2038" s="21">
        <f>IF(ISNUMBER($B2038),INT($B2038)-WEEKDAY($B2038,2)+1,"")</f>
        <v/>
      </c>
      <c r="I2038" s="24" t="n"/>
      <c r="J2038" s="22">
        <f t="array" ref="J2038">IF($D2038="","",IF($I2038="","(trống REF)",IFERROR(INDEX(MASTER_SOURCE!$B$2:$B$495,MATCH($I2038,MASTER_SOURCE!$A$2:$A$495,0)),"(REF không có trong MASTER_SOURCE)")))</f>
        <v/>
      </c>
      <c r="K2038" s="22">
        <f t="array" ref="K2038">IF($D2038="","",IFERROR(INDEX(MASTER_SOURCE!$C$2:$C$495,MATCH($I2038,MASTER_SOURCE!$A$2:$A$495,0)),""))</f>
        <v/>
      </c>
      <c r="L2038" s="22">
        <f t="array" ref="L2038">IF($D2038="","",IFERROR(INDEX(MASTER_SOURCE!$D$2:$D$495,MATCH($I2038,MASTER_SOURCE!$A$2:$A$495,0)),""))</f>
        <v/>
      </c>
      <c r="M2038" s="24" t="n"/>
      <c r="N2038" s="24" t="n"/>
      <c r="O2038" s="24" t="n"/>
      <c r="P2038" s="24" t="n"/>
      <c r="Q2038" s="22">
        <f>IF($D2038="","",IF(AND(OR(DANH_MUC!$L$5&lt;&gt;"Có",M2038="Có"),OR(DANH_MUC!$L$6&lt;&gt;"Có",N2038="Có"),OR(DANH_MUC!$L$7&lt;&gt;"Có",O2038="Có"),OR(DANH_MUC!$L$8&lt;&gt;"Có",P2038="Có")),"Có","Không"))</f>
        <v/>
      </c>
      <c r="R2038" s="22">
        <f>IF($D2038="","",IF(COUNTIF($D$2:$D2038,$D2038)&gt;1,"Trùng",""))</f>
        <v/>
      </c>
      <c r="S2038" s="22">
        <f>IF($D2038="","",IF(AND(LEN($D2038)=10,LEFT($D2038,1)="0",ISNUMBER(--$D2038)),"Có","Không"))</f>
        <v/>
      </c>
      <c r="T2038" s="22">
        <f>IF($D2038="","",IF(AND($C2038&lt;&gt;"",$Q2038="Có",$R2038="",$S2038="Có",AND($L2038&lt;&gt;"",OR($L2038&lt;&gt;"Chưa xác định",DANH_MUC!$L$9="Có"))),"Có","Không"))</f>
        <v/>
      </c>
      <c r="U2038" s="22">
        <f>IF(OR($D2038="",$T2038="Có"),"",IF($C2038="","Thiếu họ tên; ","")&amp;IF($S2038&lt;&gt;"Có","SĐT sai định dạng; ","")&amp;IF($R2038="Trùng","Trùng SĐT; ","")&amp;IF($Q2038&lt;&gt;"Có","Thiếu đồng ý bắt buộc; ","")&amp;IF($L2038="","Thiếu/sai Mã REF; ",IF(AND($L2038="Chưa xác định",DANH_MUC!$L$9&lt;&gt;"Có"),"Nguồn chưa xác định; ","")))</f>
        <v/>
      </c>
      <c r="V2038" s="22">
        <f>IF(OR($D2038="",$R2038="Trùng"),"",IF(COUNTIF(ORDERS!$C$2:$C$4995,$D2038)&gt;0,"Có","Không"))</f>
        <v/>
      </c>
      <c r="W2038" s="22">
        <f>IF(OR($D2038="",$R2038="Trùng"),"",COUNTIFS(ORDERS!$C$2:$C$4995,$D2038,ORDERS!$L$2:$L$4995,"Đã chuyển khoản"))</f>
        <v/>
      </c>
      <c r="X2038" s="23">
        <f>IF(OR($D2038="",$R2038="Trùng"),"",SUMIFS(ORDERS!$J$2:$J$4995,ORDERS!$C$2:$C$4995,$D2038,ORDERS!$L$2:$L$4995,"Đã chuyển khoản"))</f>
        <v/>
      </c>
      <c r="Y2038" s="24" t="n"/>
    </row>
    <row r="2039" ht="14.25" customHeight="1" s="40">
      <c r="A2039" s="24" t="n"/>
      <c r="B2039" s="27" t="n"/>
      <c r="C2039" s="24" t="n"/>
      <c r="D2039" s="28" t="n"/>
      <c r="E2039" s="29" t="n"/>
      <c r="F2039" s="24" t="n"/>
      <c r="G2039" s="24" t="n"/>
      <c r="H2039" s="21">
        <f>IF(ISNUMBER($B2039),INT($B2039)-WEEKDAY($B2039,2)+1,"")</f>
        <v/>
      </c>
      <c r="I2039" s="24" t="n"/>
      <c r="J2039" s="22">
        <f t="array" ref="J2039">IF($D2039="","",IF($I2039="","(trống REF)",IFERROR(INDEX(MASTER_SOURCE!$B$2:$B$495,MATCH($I2039,MASTER_SOURCE!$A$2:$A$495,0)),"(REF không có trong MASTER_SOURCE)")))</f>
        <v/>
      </c>
      <c r="K2039" s="22">
        <f t="array" ref="K2039">IF($D2039="","",IFERROR(INDEX(MASTER_SOURCE!$C$2:$C$495,MATCH($I2039,MASTER_SOURCE!$A$2:$A$495,0)),""))</f>
        <v/>
      </c>
      <c r="L2039" s="22">
        <f t="array" ref="L2039">IF($D2039="","",IFERROR(INDEX(MASTER_SOURCE!$D$2:$D$495,MATCH($I2039,MASTER_SOURCE!$A$2:$A$495,0)),""))</f>
        <v/>
      </c>
      <c r="M2039" s="24" t="n"/>
      <c r="N2039" s="24" t="n"/>
      <c r="O2039" s="24" t="n"/>
      <c r="P2039" s="24" t="n"/>
      <c r="Q2039" s="22">
        <f>IF($D2039="","",IF(AND(OR(DANH_MUC!$L$5&lt;&gt;"Có",M2039="Có"),OR(DANH_MUC!$L$6&lt;&gt;"Có",N2039="Có"),OR(DANH_MUC!$L$7&lt;&gt;"Có",O2039="Có"),OR(DANH_MUC!$L$8&lt;&gt;"Có",P2039="Có")),"Có","Không"))</f>
        <v/>
      </c>
      <c r="R2039" s="22">
        <f>IF($D2039="","",IF(COUNTIF($D$2:$D2039,$D2039)&gt;1,"Trùng",""))</f>
        <v/>
      </c>
      <c r="S2039" s="22">
        <f>IF($D2039="","",IF(AND(LEN($D2039)=10,LEFT($D2039,1)="0",ISNUMBER(--$D2039)),"Có","Không"))</f>
        <v/>
      </c>
      <c r="T2039" s="22">
        <f>IF($D2039="","",IF(AND($C2039&lt;&gt;"",$Q2039="Có",$R2039="",$S2039="Có",AND($L2039&lt;&gt;"",OR($L2039&lt;&gt;"Chưa xác định",DANH_MUC!$L$9="Có"))),"Có","Không"))</f>
        <v/>
      </c>
      <c r="U2039" s="22">
        <f>IF(OR($D2039="",$T2039="Có"),"",IF($C2039="","Thiếu họ tên; ","")&amp;IF($S2039&lt;&gt;"Có","SĐT sai định dạng; ","")&amp;IF($R2039="Trùng","Trùng SĐT; ","")&amp;IF($Q2039&lt;&gt;"Có","Thiếu đồng ý bắt buộc; ","")&amp;IF($L2039="","Thiếu/sai Mã REF; ",IF(AND($L2039="Chưa xác định",DANH_MUC!$L$9&lt;&gt;"Có"),"Nguồn chưa xác định; ","")))</f>
        <v/>
      </c>
      <c r="V2039" s="22">
        <f>IF(OR($D2039="",$R2039="Trùng"),"",IF(COUNTIF(ORDERS!$C$2:$C$4995,$D2039)&gt;0,"Có","Không"))</f>
        <v/>
      </c>
      <c r="W2039" s="22">
        <f>IF(OR($D2039="",$R2039="Trùng"),"",COUNTIFS(ORDERS!$C$2:$C$4995,$D2039,ORDERS!$L$2:$L$4995,"Đã chuyển khoản"))</f>
        <v/>
      </c>
      <c r="X2039" s="23">
        <f>IF(OR($D2039="",$R2039="Trùng"),"",SUMIFS(ORDERS!$J$2:$J$4995,ORDERS!$C$2:$C$4995,$D2039,ORDERS!$L$2:$L$4995,"Đã chuyển khoản"))</f>
        <v/>
      </c>
      <c r="Y2039" s="24" t="n"/>
    </row>
    <row r="2040" ht="14.25" customHeight="1" s="40">
      <c r="A2040" s="24" t="n"/>
      <c r="B2040" s="27" t="n"/>
      <c r="C2040" s="24" t="n"/>
      <c r="D2040" s="28" t="n"/>
      <c r="E2040" s="29" t="n"/>
      <c r="F2040" s="24" t="n"/>
      <c r="G2040" s="24" t="n"/>
      <c r="H2040" s="21">
        <f>IF(ISNUMBER($B2040),INT($B2040)-WEEKDAY($B2040,2)+1,"")</f>
        <v/>
      </c>
      <c r="I2040" s="24" t="n"/>
      <c r="J2040" s="22">
        <f t="array" ref="J2040">IF($D2040="","",IF($I2040="","(trống REF)",IFERROR(INDEX(MASTER_SOURCE!$B$2:$B$495,MATCH($I2040,MASTER_SOURCE!$A$2:$A$495,0)),"(REF không có trong MASTER_SOURCE)")))</f>
        <v/>
      </c>
      <c r="K2040" s="22">
        <f t="array" ref="K2040">IF($D2040="","",IFERROR(INDEX(MASTER_SOURCE!$C$2:$C$495,MATCH($I2040,MASTER_SOURCE!$A$2:$A$495,0)),""))</f>
        <v/>
      </c>
      <c r="L2040" s="22">
        <f t="array" ref="L2040">IF($D2040="","",IFERROR(INDEX(MASTER_SOURCE!$D$2:$D$495,MATCH($I2040,MASTER_SOURCE!$A$2:$A$495,0)),""))</f>
        <v/>
      </c>
      <c r="M2040" s="24" t="n"/>
      <c r="N2040" s="24" t="n"/>
      <c r="O2040" s="24" t="n"/>
      <c r="P2040" s="24" t="n"/>
      <c r="Q2040" s="22">
        <f>IF($D2040="","",IF(AND(OR(DANH_MUC!$L$5&lt;&gt;"Có",M2040="Có"),OR(DANH_MUC!$L$6&lt;&gt;"Có",N2040="Có"),OR(DANH_MUC!$L$7&lt;&gt;"Có",O2040="Có"),OR(DANH_MUC!$L$8&lt;&gt;"Có",P2040="Có")),"Có","Không"))</f>
        <v/>
      </c>
      <c r="R2040" s="22">
        <f>IF($D2040="","",IF(COUNTIF($D$2:$D2040,$D2040)&gt;1,"Trùng",""))</f>
        <v/>
      </c>
      <c r="S2040" s="22">
        <f>IF($D2040="","",IF(AND(LEN($D2040)=10,LEFT($D2040,1)="0",ISNUMBER(--$D2040)),"Có","Không"))</f>
        <v/>
      </c>
      <c r="T2040" s="22">
        <f>IF($D2040="","",IF(AND($C2040&lt;&gt;"",$Q2040="Có",$R2040="",$S2040="Có",AND($L2040&lt;&gt;"",OR($L2040&lt;&gt;"Chưa xác định",DANH_MUC!$L$9="Có"))),"Có","Không"))</f>
        <v/>
      </c>
      <c r="U2040" s="22">
        <f>IF(OR($D2040="",$T2040="Có"),"",IF($C2040="","Thiếu họ tên; ","")&amp;IF($S2040&lt;&gt;"Có","SĐT sai định dạng; ","")&amp;IF($R2040="Trùng","Trùng SĐT; ","")&amp;IF($Q2040&lt;&gt;"Có","Thiếu đồng ý bắt buộc; ","")&amp;IF($L2040="","Thiếu/sai Mã REF; ",IF(AND($L2040="Chưa xác định",DANH_MUC!$L$9&lt;&gt;"Có"),"Nguồn chưa xác định; ","")))</f>
        <v/>
      </c>
      <c r="V2040" s="22">
        <f>IF(OR($D2040="",$R2040="Trùng"),"",IF(COUNTIF(ORDERS!$C$2:$C$4995,$D2040)&gt;0,"Có","Không"))</f>
        <v/>
      </c>
      <c r="W2040" s="22">
        <f>IF(OR($D2040="",$R2040="Trùng"),"",COUNTIFS(ORDERS!$C$2:$C$4995,$D2040,ORDERS!$L$2:$L$4995,"Đã chuyển khoản"))</f>
        <v/>
      </c>
      <c r="X2040" s="23">
        <f>IF(OR($D2040="",$R2040="Trùng"),"",SUMIFS(ORDERS!$J$2:$J$4995,ORDERS!$C$2:$C$4995,$D2040,ORDERS!$L$2:$L$4995,"Đã chuyển khoản"))</f>
        <v/>
      </c>
      <c r="Y2040" s="24" t="n"/>
    </row>
    <row r="2041" ht="14.25" customHeight="1" s="40">
      <c r="A2041" s="24" t="n"/>
      <c r="B2041" s="27" t="n"/>
      <c r="C2041" s="24" t="n"/>
      <c r="D2041" s="28" t="n"/>
      <c r="E2041" s="29" t="n"/>
      <c r="F2041" s="24" t="n"/>
      <c r="G2041" s="24" t="n"/>
      <c r="H2041" s="21">
        <f>IF(ISNUMBER($B2041),INT($B2041)-WEEKDAY($B2041,2)+1,"")</f>
        <v/>
      </c>
      <c r="I2041" s="24" t="n"/>
      <c r="J2041" s="22">
        <f t="array" ref="J2041">IF($D2041="","",IF($I2041="","(trống REF)",IFERROR(INDEX(MASTER_SOURCE!$B$2:$B$495,MATCH($I2041,MASTER_SOURCE!$A$2:$A$495,0)),"(REF không có trong MASTER_SOURCE)")))</f>
        <v/>
      </c>
      <c r="K2041" s="22">
        <f t="array" ref="K2041">IF($D2041="","",IFERROR(INDEX(MASTER_SOURCE!$C$2:$C$495,MATCH($I2041,MASTER_SOURCE!$A$2:$A$495,0)),""))</f>
        <v/>
      </c>
      <c r="L2041" s="22">
        <f t="array" ref="L2041">IF($D2041="","",IFERROR(INDEX(MASTER_SOURCE!$D$2:$D$495,MATCH($I2041,MASTER_SOURCE!$A$2:$A$495,0)),""))</f>
        <v/>
      </c>
      <c r="M2041" s="24" t="n"/>
      <c r="N2041" s="24" t="n"/>
      <c r="O2041" s="24" t="n"/>
      <c r="P2041" s="24" t="n"/>
      <c r="Q2041" s="22">
        <f>IF($D2041="","",IF(AND(OR(DANH_MUC!$L$5&lt;&gt;"Có",M2041="Có"),OR(DANH_MUC!$L$6&lt;&gt;"Có",N2041="Có"),OR(DANH_MUC!$L$7&lt;&gt;"Có",O2041="Có"),OR(DANH_MUC!$L$8&lt;&gt;"Có",P2041="Có")),"Có","Không"))</f>
        <v/>
      </c>
      <c r="R2041" s="22">
        <f>IF($D2041="","",IF(COUNTIF($D$2:$D2041,$D2041)&gt;1,"Trùng",""))</f>
        <v/>
      </c>
      <c r="S2041" s="22">
        <f>IF($D2041="","",IF(AND(LEN($D2041)=10,LEFT($D2041,1)="0",ISNUMBER(--$D2041)),"Có","Không"))</f>
        <v/>
      </c>
      <c r="T2041" s="22">
        <f>IF($D2041="","",IF(AND($C2041&lt;&gt;"",$Q2041="Có",$R2041="",$S2041="Có",AND($L2041&lt;&gt;"",OR($L2041&lt;&gt;"Chưa xác định",DANH_MUC!$L$9="Có"))),"Có","Không"))</f>
        <v/>
      </c>
      <c r="U2041" s="22">
        <f>IF(OR($D2041="",$T2041="Có"),"",IF($C2041="","Thiếu họ tên; ","")&amp;IF($S2041&lt;&gt;"Có","SĐT sai định dạng; ","")&amp;IF($R2041="Trùng","Trùng SĐT; ","")&amp;IF($Q2041&lt;&gt;"Có","Thiếu đồng ý bắt buộc; ","")&amp;IF($L2041="","Thiếu/sai Mã REF; ",IF(AND($L2041="Chưa xác định",DANH_MUC!$L$9&lt;&gt;"Có"),"Nguồn chưa xác định; ","")))</f>
        <v/>
      </c>
      <c r="V2041" s="22">
        <f>IF(OR($D2041="",$R2041="Trùng"),"",IF(COUNTIF(ORDERS!$C$2:$C$4995,$D2041)&gt;0,"Có","Không"))</f>
        <v/>
      </c>
      <c r="W2041" s="22">
        <f>IF(OR($D2041="",$R2041="Trùng"),"",COUNTIFS(ORDERS!$C$2:$C$4995,$D2041,ORDERS!$L$2:$L$4995,"Đã chuyển khoản"))</f>
        <v/>
      </c>
      <c r="X2041" s="23">
        <f>IF(OR($D2041="",$R2041="Trùng"),"",SUMIFS(ORDERS!$J$2:$J$4995,ORDERS!$C$2:$C$4995,$D2041,ORDERS!$L$2:$L$4995,"Đã chuyển khoản"))</f>
        <v/>
      </c>
      <c r="Y2041" s="24" t="n"/>
    </row>
    <row r="2042" ht="14.25" customHeight="1" s="40">
      <c r="A2042" s="24" t="n"/>
      <c r="B2042" s="27" t="n"/>
      <c r="C2042" s="24" t="n"/>
      <c r="D2042" s="28" t="n"/>
      <c r="E2042" s="29" t="n"/>
      <c r="F2042" s="24" t="n"/>
      <c r="G2042" s="24" t="n"/>
      <c r="H2042" s="21">
        <f>IF(ISNUMBER($B2042),INT($B2042)-WEEKDAY($B2042,2)+1,"")</f>
        <v/>
      </c>
      <c r="I2042" s="24" t="n"/>
      <c r="J2042" s="22">
        <f t="array" ref="J2042">IF($D2042="","",IF($I2042="","(trống REF)",IFERROR(INDEX(MASTER_SOURCE!$B$2:$B$495,MATCH($I2042,MASTER_SOURCE!$A$2:$A$495,0)),"(REF không có trong MASTER_SOURCE)")))</f>
        <v/>
      </c>
      <c r="K2042" s="22">
        <f t="array" ref="K2042">IF($D2042="","",IFERROR(INDEX(MASTER_SOURCE!$C$2:$C$495,MATCH($I2042,MASTER_SOURCE!$A$2:$A$495,0)),""))</f>
        <v/>
      </c>
      <c r="L2042" s="22">
        <f t="array" ref="L2042">IF($D2042="","",IFERROR(INDEX(MASTER_SOURCE!$D$2:$D$495,MATCH($I2042,MASTER_SOURCE!$A$2:$A$495,0)),""))</f>
        <v/>
      </c>
      <c r="M2042" s="24" t="n"/>
      <c r="N2042" s="24" t="n"/>
      <c r="O2042" s="24" t="n"/>
      <c r="P2042" s="24" t="n"/>
      <c r="Q2042" s="22">
        <f>IF($D2042="","",IF(AND(OR(DANH_MUC!$L$5&lt;&gt;"Có",M2042="Có"),OR(DANH_MUC!$L$6&lt;&gt;"Có",N2042="Có"),OR(DANH_MUC!$L$7&lt;&gt;"Có",O2042="Có"),OR(DANH_MUC!$L$8&lt;&gt;"Có",P2042="Có")),"Có","Không"))</f>
        <v/>
      </c>
      <c r="R2042" s="22">
        <f>IF($D2042="","",IF(COUNTIF($D$2:$D2042,$D2042)&gt;1,"Trùng",""))</f>
        <v/>
      </c>
      <c r="S2042" s="22">
        <f>IF($D2042="","",IF(AND(LEN($D2042)=10,LEFT($D2042,1)="0",ISNUMBER(--$D2042)),"Có","Không"))</f>
        <v/>
      </c>
      <c r="T2042" s="22">
        <f>IF($D2042="","",IF(AND($C2042&lt;&gt;"",$Q2042="Có",$R2042="",$S2042="Có",AND($L2042&lt;&gt;"",OR($L2042&lt;&gt;"Chưa xác định",DANH_MUC!$L$9="Có"))),"Có","Không"))</f>
        <v/>
      </c>
      <c r="U2042" s="22">
        <f>IF(OR($D2042="",$T2042="Có"),"",IF($C2042="","Thiếu họ tên; ","")&amp;IF($S2042&lt;&gt;"Có","SĐT sai định dạng; ","")&amp;IF($R2042="Trùng","Trùng SĐT; ","")&amp;IF($Q2042&lt;&gt;"Có","Thiếu đồng ý bắt buộc; ","")&amp;IF($L2042="","Thiếu/sai Mã REF; ",IF(AND($L2042="Chưa xác định",DANH_MUC!$L$9&lt;&gt;"Có"),"Nguồn chưa xác định; ","")))</f>
        <v/>
      </c>
      <c r="V2042" s="22">
        <f>IF(OR($D2042="",$R2042="Trùng"),"",IF(COUNTIF(ORDERS!$C$2:$C$4995,$D2042)&gt;0,"Có","Không"))</f>
        <v/>
      </c>
      <c r="W2042" s="22">
        <f>IF(OR($D2042="",$R2042="Trùng"),"",COUNTIFS(ORDERS!$C$2:$C$4995,$D2042,ORDERS!$L$2:$L$4995,"Đã chuyển khoản"))</f>
        <v/>
      </c>
      <c r="X2042" s="23">
        <f>IF(OR($D2042="",$R2042="Trùng"),"",SUMIFS(ORDERS!$J$2:$J$4995,ORDERS!$C$2:$C$4995,$D2042,ORDERS!$L$2:$L$4995,"Đã chuyển khoản"))</f>
        <v/>
      </c>
      <c r="Y2042" s="24" t="n"/>
    </row>
    <row r="2043" ht="14.25" customHeight="1" s="40">
      <c r="A2043" s="24" t="n"/>
      <c r="B2043" s="27" t="n"/>
      <c r="C2043" s="24" t="n"/>
      <c r="D2043" s="28" t="n"/>
      <c r="E2043" s="29" t="n"/>
      <c r="F2043" s="24" t="n"/>
      <c r="G2043" s="24" t="n"/>
      <c r="H2043" s="21">
        <f>IF(ISNUMBER($B2043),INT($B2043)-WEEKDAY($B2043,2)+1,"")</f>
        <v/>
      </c>
      <c r="I2043" s="24" t="n"/>
      <c r="J2043" s="22">
        <f t="array" ref="J2043">IF($D2043="","",IF($I2043="","(trống REF)",IFERROR(INDEX(MASTER_SOURCE!$B$2:$B$495,MATCH($I2043,MASTER_SOURCE!$A$2:$A$495,0)),"(REF không có trong MASTER_SOURCE)")))</f>
        <v/>
      </c>
      <c r="K2043" s="22">
        <f t="array" ref="K2043">IF($D2043="","",IFERROR(INDEX(MASTER_SOURCE!$C$2:$C$495,MATCH($I2043,MASTER_SOURCE!$A$2:$A$495,0)),""))</f>
        <v/>
      </c>
      <c r="L2043" s="22">
        <f t="array" ref="L2043">IF($D2043="","",IFERROR(INDEX(MASTER_SOURCE!$D$2:$D$495,MATCH($I2043,MASTER_SOURCE!$A$2:$A$495,0)),""))</f>
        <v/>
      </c>
      <c r="M2043" s="24" t="n"/>
      <c r="N2043" s="24" t="n"/>
      <c r="O2043" s="24" t="n"/>
      <c r="P2043" s="24" t="n"/>
      <c r="Q2043" s="22">
        <f>IF($D2043="","",IF(AND(OR(DANH_MUC!$L$5&lt;&gt;"Có",M2043="Có"),OR(DANH_MUC!$L$6&lt;&gt;"Có",N2043="Có"),OR(DANH_MUC!$L$7&lt;&gt;"Có",O2043="Có"),OR(DANH_MUC!$L$8&lt;&gt;"Có",P2043="Có")),"Có","Không"))</f>
        <v/>
      </c>
      <c r="R2043" s="22">
        <f>IF($D2043="","",IF(COUNTIF($D$2:$D2043,$D2043)&gt;1,"Trùng",""))</f>
        <v/>
      </c>
      <c r="S2043" s="22">
        <f>IF($D2043="","",IF(AND(LEN($D2043)=10,LEFT($D2043,1)="0",ISNUMBER(--$D2043)),"Có","Không"))</f>
        <v/>
      </c>
      <c r="T2043" s="22">
        <f>IF($D2043="","",IF(AND($C2043&lt;&gt;"",$Q2043="Có",$R2043="",$S2043="Có",AND($L2043&lt;&gt;"",OR($L2043&lt;&gt;"Chưa xác định",DANH_MUC!$L$9="Có"))),"Có","Không"))</f>
        <v/>
      </c>
      <c r="U2043" s="22">
        <f>IF(OR($D2043="",$T2043="Có"),"",IF($C2043="","Thiếu họ tên; ","")&amp;IF($S2043&lt;&gt;"Có","SĐT sai định dạng; ","")&amp;IF($R2043="Trùng","Trùng SĐT; ","")&amp;IF($Q2043&lt;&gt;"Có","Thiếu đồng ý bắt buộc; ","")&amp;IF($L2043="","Thiếu/sai Mã REF; ",IF(AND($L2043="Chưa xác định",DANH_MUC!$L$9&lt;&gt;"Có"),"Nguồn chưa xác định; ","")))</f>
        <v/>
      </c>
      <c r="V2043" s="22">
        <f>IF(OR($D2043="",$R2043="Trùng"),"",IF(COUNTIF(ORDERS!$C$2:$C$4995,$D2043)&gt;0,"Có","Không"))</f>
        <v/>
      </c>
      <c r="W2043" s="22">
        <f>IF(OR($D2043="",$R2043="Trùng"),"",COUNTIFS(ORDERS!$C$2:$C$4995,$D2043,ORDERS!$L$2:$L$4995,"Đã chuyển khoản"))</f>
        <v/>
      </c>
      <c r="X2043" s="23">
        <f>IF(OR($D2043="",$R2043="Trùng"),"",SUMIFS(ORDERS!$J$2:$J$4995,ORDERS!$C$2:$C$4995,$D2043,ORDERS!$L$2:$L$4995,"Đã chuyển khoản"))</f>
        <v/>
      </c>
      <c r="Y2043" s="24" t="n"/>
    </row>
    <row r="2044" ht="14.25" customHeight="1" s="40">
      <c r="A2044" s="24" t="n"/>
      <c r="B2044" s="27" t="n"/>
      <c r="C2044" s="24" t="n"/>
      <c r="D2044" s="28" t="n"/>
      <c r="E2044" s="29" t="n"/>
      <c r="F2044" s="24" t="n"/>
      <c r="G2044" s="24" t="n"/>
      <c r="H2044" s="21">
        <f>IF(ISNUMBER($B2044),INT($B2044)-WEEKDAY($B2044,2)+1,"")</f>
        <v/>
      </c>
      <c r="I2044" s="24" t="n"/>
      <c r="J2044" s="22">
        <f t="array" ref="J2044">IF($D2044="","",IF($I2044="","(trống REF)",IFERROR(INDEX(MASTER_SOURCE!$B$2:$B$495,MATCH($I2044,MASTER_SOURCE!$A$2:$A$495,0)),"(REF không có trong MASTER_SOURCE)")))</f>
        <v/>
      </c>
      <c r="K2044" s="22">
        <f t="array" ref="K2044">IF($D2044="","",IFERROR(INDEX(MASTER_SOURCE!$C$2:$C$495,MATCH($I2044,MASTER_SOURCE!$A$2:$A$495,0)),""))</f>
        <v/>
      </c>
      <c r="L2044" s="22">
        <f t="array" ref="L2044">IF($D2044="","",IFERROR(INDEX(MASTER_SOURCE!$D$2:$D$495,MATCH($I2044,MASTER_SOURCE!$A$2:$A$495,0)),""))</f>
        <v/>
      </c>
      <c r="M2044" s="24" t="n"/>
      <c r="N2044" s="24" t="n"/>
      <c r="O2044" s="24" t="n"/>
      <c r="P2044" s="24" t="n"/>
      <c r="Q2044" s="22">
        <f>IF($D2044="","",IF(AND(OR(DANH_MUC!$L$5&lt;&gt;"Có",M2044="Có"),OR(DANH_MUC!$L$6&lt;&gt;"Có",N2044="Có"),OR(DANH_MUC!$L$7&lt;&gt;"Có",O2044="Có"),OR(DANH_MUC!$L$8&lt;&gt;"Có",P2044="Có")),"Có","Không"))</f>
        <v/>
      </c>
      <c r="R2044" s="22">
        <f>IF($D2044="","",IF(COUNTIF($D$2:$D2044,$D2044)&gt;1,"Trùng",""))</f>
        <v/>
      </c>
      <c r="S2044" s="22">
        <f>IF($D2044="","",IF(AND(LEN($D2044)=10,LEFT($D2044,1)="0",ISNUMBER(--$D2044)),"Có","Không"))</f>
        <v/>
      </c>
      <c r="T2044" s="22">
        <f>IF($D2044="","",IF(AND($C2044&lt;&gt;"",$Q2044="Có",$R2044="",$S2044="Có",AND($L2044&lt;&gt;"",OR($L2044&lt;&gt;"Chưa xác định",DANH_MUC!$L$9="Có"))),"Có","Không"))</f>
        <v/>
      </c>
      <c r="U2044" s="22">
        <f>IF(OR($D2044="",$T2044="Có"),"",IF($C2044="","Thiếu họ tên; ","")&amp;IF($S2044&lt;&gt;"Có","SĐT sai định dạng; ","")&amp;IF($R2044="Trùng","Trùng SĐT; ","")&amp;IF($Q2044&lt;&gt;"Có","Thiếu đồng ý bắt buộc; ","")&amp;IF($L2044="","Thiếu/sai Mã REF; ",IF(AND($L2044="Chưa xác định",DANH_MUC!$L$9&lt;&gt;"Có"),"Nguồn chưa xác định; ","")))</f>
        <v/>
      </c>
      <c r="V2044" s="22">
        <f>IF(OR($D2044="",$R2044="Trùng"),"",IF(COUNTIF(ORDERS!$C$2:$C$4995,$D2044)&gt;0,"Có","Không"))</f>
        <v/>
      </c>
      <c r="W2044" s="22">
        <f>IF(OR($D2044="",$R2044="Trùng"),"",COUNTIFS(ORDERS!$C$2:$C$4995,$D2044,ORDERS!$L$2:$L$4995,"Đã chuyển khoản"))</f>
        <v/>
      </c>
      <c r="X2044" s="23">
        <f>IF(OR($D2044="",$R2044="Trùng"),"",SUMIFS(ORDERS!$J$2:$J$4995,ORDERS!$C$2:$C$4995,$D2044,ORDERS!$L$2:$L$4995,"Đã chuyển khoản"))</f>
        <v/>
      </c>
      <c r="Y2044" s="24" t="n"/>
    </row>
    <row r="2045" ht="14.25" customHeight="1" s="40">
      <c r="A2045" s="24" t="n"/>
      <c r="B2045" s="27" t="n"/>
      <c r="C2045" s="24" t="n"/>
      <c r="D2045" s="28" t="n"/>
      <c r="E2045" s="29" t="n"/>
      <c r="F2045" s="24" t="n"/>
      <c r="G2045" s="24" t="n"/>
      <c r="H2045" s="21">
        <f>IF(ISNUMBER($B2045),INT($B2045)-WEEKDAY($B2045,2)+1,"")</f>
        <v/>
      </c>
      <c r="I2045" s="24" t="n"/>
      <c r="J2045" s="22">
        <f t="array" ref="J2045">IF($D2045="","",IF($I2045="","(trống REF)",IFERROR(INDEX(MASTER_SOURCE!$B$2:$B$495,MATCH($I2045,MASTER_SOURCE!$A$2:$A$495,0)),"(REF không có trong MASTER_SOURCE)")))</f>
        <v/>
      </c>
      <c r="K2045" s="22">
        <f t="array" ref="K2045">IF($D2045="","",IFERROR(INDEX(MASTER_SOURCE!$C$2:$C$495,MATCH($I2045,MASTER_SOURCE!$A$2:$A$495,0)),""))</f>
        <v/>
      </c>
      <c r="L2045" s="22">
        <f t="array" ref="L2045">IF($D2045="","",IFERROR(INDEX(MASTER_SOURCE!$D$2:$D$495,MATCH($I2045,MASTER_SOURCE!$A$2:$A$495,0)),""))</f>
        <v/>
      </c>
      <c r="M2045" s="24" t="n"/>
      <c r="N2045" s="24" t="n"/>
      <c r="O2045" s="24" t="n"/>
      <c r="P2045" s="24" t="n"/>
      <c r="Q2045" s="22">
        <f>IF($D2045="","",IF(AND(OR(DANH_MUC!$L$5&lt;&gt;"Có",M2045="Có"),OR(DANH_MUC!$L$6&lt;&gt;"Có",N2045="Có"),OR(DANH_MUC!$L$7&lt;&gt;"Có",O2045="Có"),OR(DANH_MUC!$L$8&lt;&gt;"Có",P2045="Có")),"Có","Không"))</f>
        <v/>
      </c>
      <c r="R2045" s="22">
        <f>IF($D2045="","",IF(COUNTIF($D$2:$D2045,$D2045)&gt;1,"Trùng",""))</f>
        <v/>
      </c>
      <c r="S2045" s="22">
        <f>IF($D2045="","",IF(AND(LEN($D2045)=10,LEFT($D2045,1)="0",ISNUMBER(--$D2045)),"Có","Không"))</f>
        <v/>
      </c>
      <c r="T2045" s="22">
        <f>IF($D2045="","",IF(AND($C2045&lt;&gt;"",$Q2045="Có",$R2045="",$S2045="Có",AND($L2045&lt;&gt;"",OR($L2045&lt;&gt;"Chưa xác định",DANH_MUC!$L$9="Có"))),"Có","Không"))</f>
        <v/>
      </c>
      <c r="U2045" s="22">
        <f>IF(OR($D2045="",$T2045="Có"),"",IF($C2045="","Thiếu họ tên; ","")&amp;IF($S2045&lt;&gt;"Có","SĐT sai định dạng; ","")&amp;IF($R2045="Trùng","Trùng SĐT; ","")&amp;IF($Q2045&lt;&gt;"Có","Thiếu đồng ý bắt buộc; ","")&amp;IF($L2045="","Thiếu/sai Mã REF; ",IF(AND($L2045="Chưa xác định",DANH_MUC!$L$9&lt;&gt;"Có"),"Nguồn chưa xác định; ","")))</f>
        <v/>
      </c>
      <c r="V2045" s="22">
        <f>IF(OR($D2045="",$R2045="Trùng"),"",IF(COUNTIF(ORDERS!$C$2:$C$4995,$D2045)&gt;0,"Có","Không"))</f>
        <v/>
      </c>
      <c r="W2045" s="22">
        <f>IF(OR($D2045="",$R2045="Trùng"),"",COUNTIFS(ORDERS!$C$2:$C$4995,$D2045,ORDERS!$L$2:$L$4995,"Đã chuyển khoản"))</f>
        <v/>
      </c>
      <c r="X2045" s="23">
        <f>IF(OR($D2045="",$R2045="Trùng"),"",SUMIFS(ORDERS!$J$2:$J$4995,ORDERS!$C$2:$C$4995,$D2045,ORDERS!$L$2:$L$4995,"Đã chuyển khoản"))</f>
        <v/>
      </c>
      <c r="Y2045" s="24" t="n"/>
    </row>
    <row r="2046" ht="14.25" customHeight="1" s="40">
      <c r="A2046" s="24" t="n"/>
      <c r="B2046" s="27" t="n"/>
      <c r="C2046" s="24" t="n"/>
      <c r="D2046" s="28" t="n"/>
      <c r="E2046" s="29" t="n"/>
      <c r="F2046" s="24" t="n"/>
      <c r="G2046" s="24" t="n"/>
      <c r="H2046" s="21">
        <f>IF(ISNUMBER($B2046),INT($B2046)-WEEKDAY($B2046,2)+1,"")</f>
        <v/>
      </c>
      <c r="I2046" s="24" t="n"/>
      <c r="J2046" s="22">
        <f t="array" ref="J2046">IF($D2046="","",IF($I2046="","(trống REF)",IFERROR(INDEX(MASTER_SOURCE!$B$2:$B$495,MATCH($I2046,MASTER_SOURCE!$A$2:$A$495,0)),"(REF không có trong MASTER_SOURCE)")))</f>
        <v/>
      </c>
      <c r="K2046" s="22">
        <f t="array" ref="K2046">IF($D2046="","",IFERROR(INDEX(MASTER_SOURCE!$C$2:$C$495,MATCH($I2046,MASTER_SOURCE!$A$2:$A$495,0)),""))</f>
        <v/>
      </c>
      <c r="L2046" s="22">
        <f t="array" ref="L2046">IF($D2046="","",IFERROR(INDEX(MASTER_SOURCE!$D$2:$D$495,MATCH($I2046,MASTER_SOURCE!$A$2:$A$495,0)),""))</f>
        <v/>
      </c>
      <c r="M2046" s="24" t="n"/>
      <c r="N2046" s="24" t="n"/>
      <c r="O2046" s="24" t="n"/>
      <c r="P2046" s="24" t="n"/>
      <c r="Q2046" s="22">
        <f>IF($D2046="","",IF(AND(OR(DANH_MUC!$L$5&lt;&gt;"Có",M2046="Có"),OR(DANH_MUC!$L$6&lt;&gt;"Có",N2046="Có"),OR(DANH_MUC!$L$7&lt;&gt;"Có",O2046="Có"),OR(DANH_MUC!$L$8&lt;&gt;"Có",P2046="Có")),"Có","Không"))</f>
        <v/>
      </c>
      <c r="R2046" s="22">
        <f>IF($D2046="","",IF(COUNTIF($D$2:$D2046,$D2046)&gt;1,"Trùng",""))</f>
        <v/>
      </c>
      <c r="S2046" s="22">
        <f>IF($D2046="","",IF(AND(LEN($D2046)=10,LEFT($D2046,1)="0",ISNUMBER(--$D2046)),"Có","Không"))</f>
        <v/>
      </c>
      <c r="T2046" s="22">
        <f>IF($D2046="","",IF(AND($C2046&lt;&gt;"",$Q2046="Có",$R2046="",$S2046="Có",AND($L2046&lt;&gt;"",OR($L2046&lt;&gt;"Chưa xác định",DANH_MUC!$L$9="Có"))),"Có","Không"))</f>
        <v/>
      </c>
      <c r="U2046" s="22">
        <f>IF(OR($D2046="",$T2046="Có"),"",IF($C2046="","Thiếu họ tên; ","")&amp;IF($S2046&lt;&gt;"Có","SĐT sai định dạng; ","")&amp;IF($R2046="Trùng","Trùng SĐT; ","")&amp;IF($Q2046&lt;&gt;"Có","Thiếu đồng ý bắt buộc; ","")&amp;IF($L2046="","Thiếu/sai Mã REF; ",IF(AND($L2046="Chưa xác định",DANH_MUC!$L$9&lt;&gt;"Có"),"Nguồn chưa xác định; ","")))</f>
        <v/>
      </c>
      <c r="V2046" s="22">
        <f>IF(OR($D2046="",$R2046="Trùng"),"",IF(COUNTIF(ORDERS!$C$2:$C$4995,$D2046)&gt;0,"Có","Không"))</f>
        <v/>
      </c>
      <c r="W2046" s="22">
        <f>IF(OR($D2046="",$R2046="Trùng"),"",COUNTIFS(ORDERS!$C$2:$C$4995,$D2046,ORDERS!$L$2:$L$4995,"Đã chuyển khoản"))</f>
        <v/>
      </c>
      <c r="X2046" s="23">
        <f>IF(OR($D2046="",$R2046="Trùng"),"",SUMIFS(ORDERS!$J$2:$J$4995,ORDERS!$C$2:$C$4995,$D2046,ORDERS!$L$2:$L$4995,"Đã chuyển khoản"))</f>
        <v/>
      </c>
      <c r="Y2046" s="24" t="n"/>
    </row>
    <row r="2047" ht="14.25" customHeight="1" s="40">
      <c r="A2047" s="24" t="n"/>
      <c r="B2047" s="27" t="n"/>
      <c r="C2047" s="24" t="n"/>
      <c r="D2047" s="28" t="n"/>
      <c r="E2047" s="29" t="n"/>
      <c r="F2047" s="24" t="n"/>
      <c r="G2047" s="24" t="n"/>
      <c r="H2047" s="21">
        <f>IF(ISNUMBER($B2047),INT($B2047)-WEEKDAY($B2047,2)+1,"")</f>
        <v/>
      </c>
      <c r="I2047" s="24" t="n"/>
      <c r="J2047" s="22">
        <f t="array" ref="J2047">IF($D2047="","",IF($I2047="","(trống REF)",IFERROR(INDEX(MASTER_SOURCE!$B$2:$B$495,MATCH($I2047,MASTER_SOURCE!$A$2:$A$495,0)),"(REF không có trong MASTER_SOURCE)")))</f>
        <v/>
      </c>
      <c r="K2047" s="22">
        <f t="array" ref="K2047">IF($D2047="","",IFERROR(INDEX(MASTER_SOURCE!$C$2:$C$495,MATCH($I2047,MASTER_SOURCE!$A$2:$A$495,0)),""))</f>
        <v/>
      </c>
      <c r="L2047" s="22">
        <f t="array" ref="L2047">IF($D2047="","",IFERROR(INDEX(MASTER_SOURCE!$D$2:$D$495,MATCH($I2047,MASTER_SOURCE!$A$2:$A$495,0)),""))</f>
        <v/>
      </c>
      <c r="M2047" s="24" t="n"/>
      <c r="N2047" s="24" t="n"/>
      <c r="O2047" s="24" t="n"/>
      <c r="P2047" s="24" t="n"/>
      <c r="Q2047" s="22">
        <f>IF($D2047="","",IF(AND(OR(DANH_MUC!$L$5&lt;&gt;"Có",M2047="Có"),OR(DANH_MUC!$L$6&lt;&gt;"Có",N2047="Có"),OR(DANH_MUC!$L$7&lt;&gt;"Có",O2047="Có"),OR(DANH_MUC!$L$8&lt;&gt;"Có",P2047="Có")),"Có","Không"))</f>
        <v/>
      </c>
      <c r="R2047" s="22">
        <f>IF($D2047="","",IF(COUNTIF($D$2:$D2047,$D2047)&gt;1,"Trùng",""))</f>
        <v/>
      </c>
      <c r="S2047" s="22">
        <f>IF($D2047="","",IF(AND(LEN($D2047)=10,LEFT($D2047,1)="0",ISNUMBER(--$D2047)),"Có","Không"))</f>
        <v/>
      </c>
      <c r="T2047" s="22">
        <f>IF($D2047="","",IF(AND($C2047&lt;&gt;"",$Q2047="Có",$R2047="",$S2047="Có",AND($L2047&lt;&gt;"",OR($L2047&lt;&gt;"Chưa xác định",DANH_MUC!$L$9="Có"))),"Có","Không"))</f>
        <v/>
      </c>
      <c r="U2047" s="22">
        <f>IF(OR($D2047="",$T2047="Có"),"",IF($C2047="","Thiếu họ tên; ","")&amp;IF($S2047&lt;&gt;"Có","SĐT sai định dạng; ","")&amp;IF($R2047="Trùng","Trùng SĐT; ","")&amp;IF($Q2047&lt;&gt;"Có","Thiếu đồng ý bắt buộc; ","")&amp;IF($L2047="","Thiếu/sai Mã REF; ",IF(AND($L2047="Chưa xác định",DANH_MUC!$L$9&lt;&gt;"Có"),"Nguồn chưa xác định; ","")))</f>
        <v/>
      </c>
      <c r="V2047" s="22">
        <f>IF(OR($D2047="",$R2047="Trùng"),"",IF(COUNTIF(ORDERS!$C$2:$C$4995,$D2047)&gt;0,"Có","Không"))</f>
        <v/>
      </c>
      <c r="W2047" s="22">
        <f>IF(OR($D2047="",$R2047="Trùng"),"",COUNTIFS(ORDERS!$C$2:$C$4995,$D2047,ORDERS!$L$2:$L$4995,"Đã chuyển khoản"))</f>
        <v/>
      </c>
      <c r="X2047" s="23">
        <f>IF(OR($D2047="",$R2047="Trùng"),"",SUMIFS(ORDERS!$J$2:$J$4995,ORDERS!$C$2:$C$4995,$D2047,ORDERS!$L$2:$L$4995,"Đã chuyển khoản"))</f>
        <v/>
      </c>
      <c r="Y2047" s="24" t="n"/>
    </row>
    <row r="2048" ht="14.25" customHeight="1" s="40">
      <c r="A2048" s="24" t="n"/>
      <c r="B2048" s="27" t="n"/>
      <c r="C2048" s="24" t="n"/>
      <c r="D2048" s="28" t="n"/>
      <c r="E2048" s="29" t="n"/>
      <c r="F2048" s="24" t="n"/>
      <c r="G2048" s="24" t="n"/>
      <c r="H2048" s="21">
        <f>IF(ISNUMBER($B2048),INT($B2048)-WEEKDAY($B2048,2)+1,"")</f>
        <v/>
      </c>
      <c r="I2048" s="24" t="n"/>
      <c r="J2048" s="22">
        <f t="array" ref="J2048">IF($D2048="","",IF($I2048="","(trống REF)",IFERROR(INDEX(MASTER_SOURCE!$B$2:$B$495,MATCH($I2048,MASTER_SOURCE!$A$2:$A$495,0)),"(REF không có trong MASTER_SOURCE)")))</f>
        <v/>
      </c>
      <c r="K2048" s="22">
        <f t="array" ref="K2048">IF($D2048="","",IFERROR(INDEX(MASTER_SOURCE!$C$2:$C$495,MATCH($I2048,MASTER_SOURCE!$A$2:$A$495,0)),""))</f>
        <v/>
      </c>
      <c r="L2048" s="22">
        <f t="array" ref="L2048">IF($D2048="","",IFERROR(INDEX(MASTER_SOURCE!$D$2:$D$495,MATCH($I2048,MASTER_SOURCE!$A$2:$A$495,0)),""))</f>
        <v/>
      </c>
      <c r="M2048" s="24" t="n"/>
      <c r="N2048" s="24" t="n"/>
      <c r="O2048" s="24" t="n"/>
      <c r="P2048" s="24" t="n"/>
      <c r="Q2048" s="22">
        <f>IF($D2048="","",IF(AND(OR(DANH_MUC!$L$5&lt;&gt;"Có",M2048="Có"),OR(DANH_MUC!$L$6&lt;&gt;"Có",N2048="Có"),OR(DANH_MUC!$L$7&lt;&gt;"Có",O2048="Có"),OR(DANH_MUC!$L$8&lt;&gt;"Có",P2048="Có")),"Có","Không"))</f>
        <v/>
      </c>
      <c r="R2048" s="22">
        <f>IF($D2048="","",IF(COUNTIF($D$2:$D2048,$D2048)&gt;1,"Trùng",""))</f>
        <v/>
      </c>
      <c r="S2048" s="22">
        <f>IF($D2048="","",IF(AND(LEN($D2048)=10,LEFT($D2048,1)="0",ISNUMBER(--$D2048)),"Có","Không"))</f>
        <v/>
      </c>
      <c r="T2048" s="22">
        <f>IF($D2048="","",IF(AND($C2048&lt;&gt;"",$Q2048="Có",$R2048="",$S2048="Có",AND($L2048&lt;&gt;"",OR($L2048&lt;&gt;"Chưa xác định",DANH_MUC!$L$9="Có"))),"Có","Không"))</f>
        <v/>
      </c>
      <c r="U2048" s="22">
        <f>IF(OR($D2048="",$T2048="Có"),"",IF($C2048="","Thiếu họ tên; ","")&amp;IF($S2048&lt;&gt;"Có","SĐT sai định dạng; ","")&amp;IF($R2048="Trùng","Trùng SĐT; ","")&amp;IF($Q2048&lt;&gt;"Có","Thiếu đồng ý bắt buộc; ","")&amp;IF($L2048="","Thiếu/sai Mã REF; ",IF(AND($L2048="Chưa xác định",DANH_MUC!$L$9&lt;&gt;"Có"),"Nguồn chưa xác định; ","")))</f>
        <v/>
      </c>
      <c r="V2048" s="22">
        <f>IF(OR($D2048="",$R2048="Trùng"),"",IF(COUNTIF(ORDERS!$C$2:$C$4995,$D2048)&gt;0,"Có","Không"))</f>
        <v/>
      </c>
      <c r="W2048" s="22">
        <f>IF(OR($D2048="",$R2048="Trùng"),"",COUNTIFS(ORDERS!$C$2:$C$4995,$D2048,ORDERS!$L$2:$L$4995,"Đã chuyển khoản"))</f>
        <v/>
      </c>
      <c r="X2048" s="23">
        <f>IF(OR($D2048="",$R2048="Trùng"),"",SUMIFS(ORDERS!$J$2:$J$4995,ORDERS!$C$2:$C$4995,$D2048,ORDERS!$L$2:$L$4995,"Đã chuyển khoản"))</f>
        <v/>
      </c>
      <c r="Y2048" s="24" t="n"/>
    </row>
    <row r="2049" ht="14.25" customHeight="1" s="40">
      <c r="A2049" s="24" t="n"/>
      <c r="B2049" s="27" t="n"/>
      <c r="C2049" s="24" t="n"/>
      <c r="D2049" s="28" t="n"/>
      <c r="E2049" s="29" t="n"/>
      <c r="F2049" s="24" t="n"/>
      <c r="G2049" s="24" t="n"/>
      <c r="H2049" s="21">
        <f>IF(ISNUMBER($B2049),INT($B2049)-WEEKDAY($B2049,2)+1,"")</f>
        <v/>
      </c>
      <c r="I2049" s="24" t="n"/>
      <c r="J2049" s="22">
        <f t="array" ref="J2049">IF($D2049="","",IF($I2049="","(trống REF)",IFERROR(INDEX(MASTER_SOURCE!$B$2:$B$495,MATCH($I2049,MASTER_SOURCE!$A$2:$A$495,0)),"(REF không có trong MASTER_SOURCE)")))</f>
        <v/>
      </c>
      <c r="K2049" s="22">
        <f t="array" ref="K2049">IF($D2049="","",IFERROR(INDEX(MASTER_SOURCE!$C$2:$C$495,MATCH($I2049,MASTER_SOURCE!$A$2:$A$495,0)),""))</f>
        <v/>
      </c>
      <c r="L2049" s="22">
        <f t="array" ref="L2049">IF($D2049="","",IFERROR(INDEX(MASTER_SOURCE!$D$2:$D$495,MATCH($I2049,MASTER_SOURCE!$A$2:$A$495,0)),""))</f>
        <v/>
      </c>
      <c r="M2049" s="24" t="n"/>
      <c r="N2049" s="24" t="n"/>
      <c r="O2049" s="24" t="n"/>
      <c r="P2049" s="24" t="n"/>
      <c r="Q2049" s="22">
        <f>IF($D2049="","",IF(AND(OR(DANH_MUC!$L$5&lt;&gt;"Có",M2049="Có"),OR(DANH_MUC!$L$6&lt;&gt;"Có",N2049="Có"),OR(DANH_MUC!$L$7&lt;&gt;"Có",O2049="Có"),OR(DANH_MUC!$L$8&lt;&gt;"Có",P2049="Có")),"Có","Không"))</f>
        <v/>
      </c>
      <c r="R2049" s="22">
        <f>IF($D2049="","",IF(COUNTIF($D$2:$D2049,$D2049)&gt;1,"Trùng",""))</f>
        <v/>
      </c>
      <c r="S2049" s="22">
        <f>IF($D2049="","",IF(AND(LEN($D2049)=10,LEFT($D2049,1)="0",ISNUMBER(--$D2049)),"Có","Không"))</f>
        <v/>
      </c>
      <c r="T2049" s="22">
        <f>IF($D2049="","",IF(AND($C2049&lt;&gt;"",$Q2049="Có",$R2049="",$S2049="Có",AND($L2049&lt;&gt;"",OR($L2049&lt;&gt;"Chưa xác định",DANH_MUC!$L$9="Có"))),"Có","Không"))</f>
        <v/>
      </c>
      <c r="U2049" s="22">
        <f>IF(OR($D2049="",$T2049="Có"),"",IF($C2049="","Thiếu họ tên; ","")&amp;IF($S2049&lt;&gt;"Có","SĐT sai định dạng; ","")&amp;IF($R2049="Trùng","Trùng SĐT; ","")&amp;IF($Q2049&lt;&gt;"Có","Thiếu đồng ý bắt buộc; ","")&amp;IF($L2049="","Thiếu/sai Mã REF; ",IF(AND($L2049="Chưa xác định",DANH_MUC!$L$9&lt;&gt;"Có"),"Nguồn chưa xác định; ","")))</f>
        <v/>
      </c>
      <c r="V2049" s="22">
        <f>IF(OR($D2049="",$R2049="Trùng"),"",IF(COUNTIF(ORDERS!$C$2:$C$4995,$D2049)&gt;0,"Có","Không"))</f>
        <v/>
      </c>
      <c r="W2049" s="22">
        <f>IF(OR($D2049="",$R2049="Trùng"),"",COUNTIFS(ORDERS!$C$2:$C$4995,$D2049,ORDERS!$L$2:$L$4995,"Đã chuyển khoản"))</f>
        <v/>
      </c>
      <c r="X2049" s="23">
        <f>IF(OR($D2049="",$R2049="Trùng"),"",SUMIFS(ORDERS!$J$2:$J$4995,ORDERS!$C$2:$C$4995,$D2049,ORDERS!$L$2:$L$4995,"Đã chuyển khoản"))</f>
        <v/>
      </c>
      <c r="Y2049" s="24" t="n"/>
    </row>
    <row r="2050" ht="14.25" customHeight="1" s="40">
      <c r="A2050" s="24" t="n"/>
      <c r="B2050" s="27" t="n"/>
      <c r="C2050" s="24" t="n"/>
      <c r="D2050" s="28" t="n"/>
      <c r="E2050" s="29" t="n"/>
      <c r="F2050" s="24" t="n"/>
      <c r="G2050" s="24" t="n"/>
      <c r="H2050" s="21">
        <f>IF(ISNUMBER($B2050),INT($B2050)-WEEKDAY($B2050,2)+1,"")</f>
        <v/>
      </c>
      <c r="I2050" s="24" t="n"/>
      <c r="J2050" s="22">
        <f t="array" ref="J2050">IF($D2050="","",IF($I2050="","(trống REF)",IFERROR(INDEX(MASTER_SOURCE!$B$2:$B$495,MATCH($I2050,MASTER_SOURCE!$A$2:$A$495,0)),"(REF không có trong MASTER_SOURCE)")))</f>
        <v/>
      </c>
      <c r="K2050" s="22">
        <f t="array" ref="K2050">IF($D2050="","",IFERROR(INDEX(MASTER_SOURCE!$C$2:$C$495,MATCH($I2050,MASTER_SOURCE!$A$2:$A$495,0)),""))</f>
        <v/>
      </c>
      <c r="L2050" s="22">
        <f t="array" ref="L2050">IF($D2050="","",IFERROR(INDEX(MASTER_SOURCE!$D$2:$D$495,MATCH($I2050,MASTER_SOURCE!$A$2:$A$495,0)),""))</f>
        <v/>
      </c>
      <c r="M2050" s="24" t="n"/>
      <c r="N2050" s="24" t="n"/>
      <c r="O2050" s="24" t="n"/>
      <c r="P2050" s="24" t="n"/>
      <c r="Q2050" s="22">
        <f>IF($D2050="","",IF(AND(OR(DANH_MUC!$L$5&lt;&gt;"Có",M2050="Có"),OR(DANH_MUC!$L$6&lt;&gt;"Có",N2050="Có"),OR(DANH_MUC!$L$7&lt;&gt;"Có",O2050="Có"),OR(DANH_MUC!$L$8&lt;&gt;"Có",P2050="Có")),"Có","Không"))</f>
        <v/>
      </c>
      <c r="R2050" s="22">
        <f>IF($D2050="","",IF(COUNTIF($D$2:$D2050,$D2050)&gt;1,"Trùng",""))</f>
        <v/>
      </c>
      <c r="S2050" s="22">
        <f>IF($D2050="","",IF(AND(LEN($D2050)=10,LEFT($D2050,1)="0",ISNUMBER(--$D2050)),"Có","Không"))</f>
        <v/>
      </c>
      <c r="T2050" s="22">
        <f>IF($D2050="","",IF(AND($C2050&lt;&gt;"",$Q2050="Có",$R2050="",$S2050="Có",AND($L2050&lt;&gt;"",OR($L2050&lt;&gt;"Chưa xác định",DANH_MUC!$L$9="Có"))),"Có","Không"))</f>
        <v/>
      </c>
      <c r="U2050" s="22">
        <f>IF(OR($D2050="",$T2050="Có"),"",IF($C2050="","Thiếu họ tên; ","")&amp;IF($S2050&lt;&gt;"Có","SĐT sai định dạng; ","")&amp;IF($R2050="Trùng","Trùng SĐT; ","")&amp;IF($Q2050&lt;&gt;"Có","Thiếu đồng ý bắt buộc; ","")&amp;IF($L2050="","Thiếu/sai Mã REF; ",IF(AND($L2050="Chưa xác định",DANH_MUC!$L$9&lt;&gt;"Có"),"Nguồn chưa xác định; ","")))</f>
        <v/>
      </c>
      <c r="V2050" s="22">
        <f>IF(OR($D2050="",$R2050="Trùng"),"",IF(COUNTIF(ORDERS!$C$2:$C$4995,$D2050)&gt;0,"Có","Không"))</f>
        <v/>
      </c>
      <c r="W2050" s="22">
        <f>IF(OR($D2050="",$R2050="Trùng"),"",COUNTIFS(ORDERS!$C$2:$C$4995,$D2050,ORDERS!$L$2:$L$4995,"Đã chuyển khoản"))</f>
        <v/>
      </c>
      <c r="X2050" s="23">
        <f>IF(OR($D2050="",$R2050="Trùng"),"",SUMIFS(ORDERS!$J$2:$J$4995,ORDERS!$C$2:$C$4995,$D2050,ORDERS!$L$2:$L$4995,"Đã chuyển khoản"))</f>
        <v/>
      </c>
      <c r="Y2050" s="24" t="n"/>
    </row>
    <row r="2051" ht="14.25" customHeight="1" s="40">
      <c r="A2051" s="24" t="n"/>
      <c r="B2051" s="27" t="n"/>
      <c r="C2051" s="24" t="n"/>
      <c r="D2051" s="28" t="n"/>
      <c r="E2051" s="29" t="n"/>
      <c r="F2051" s="24" t="n"/>
      <c r="G2051" s="24" t="n"/>
      <c r="H2051" s="21">
        <f>IF(ISNUMBER($B2051),INT($B2051)-WEEKDAY($B2051,2)+1,"")</f>
        <v/>
      </c>
      <c r="I2051" s="24" t="n"/>
      <c r="J2051" s="22">
        <f t="array" ref="J2051">IF($D2051="","",IF($I2051="","(trống REF)",IFERROR(INDEX(MASTER_SOURCE!$B$2:$B$495,MATCH($I2051,MASTER_SOURCE!$A$2:$A$495,0)),"(REF không có trong MASTER_SOURCE)")))</f>
        <v/>
      </c>
      <c r="K2051" s="22">
        <f t="array" ref="K2051">IF($D2051="","",IFERROR(INDEX(MASTER_SOURCE!$C$2:$C$495,MATCH($I2051,MASTER_SOURCE!$A$2:$A$495,0)),""))</f>
        <v/>
      </c>
      <c r="L2051" s="22">
        <f t="array" ref="L2051">IF($D2051="","",IFERROR(INDEX(MASTER_SOURCE!$D$2:$D$495,MATCH($I2051,MASTER_SOURCE!$A$2:$A$495,0)),""))</f>
        <v/>
      </c>
      <c r="M2051" s="24" t="n"/>
      <c r="N2051" s="24" t="n"/>
      <c r="O2051" s="24" t="n"/>
      <c r="P2051" s="24" t="n"/>
      <c r="Q2051" s="22">
        <f>IF($D2051="","",IF(AND(OR(DANH_MUC!$L$5&lt;&gt;"Có",M2051="Có"),OR(DANH_MUC!$L$6&lt;&gt;"Có",N2051="Có"),OR(DANH_MUC!$L$7&lt;&gt;"Có",O2051="Có"),OR(DANH_MUC!$L$8&lt;&gt;"Có",P2051="Có")),"Có","Không"))</f>
        <v/>
      </c>
      <c r="R2051" s="22">
        <f>IF($D2051="","",IF(COUNTIF($D$2:$D2051,$D2051)&gt;1,"Trùng",""))</f>
        <v/>
      </c>
      <c r="S2051" s="22">
        <f>IF($D2051="","",IF(AND(LEN($D2051)=10,LEFT($D2051,1)="0",ISNUMBER(--$D2051)),"Có","Không"))</f>
        <v/>
      </c>
      <c r="T2051" s="22">
        <f>IF($D2051="","",IF(AND($C2051&lt;&gt;"",$Q2051="Có",$R2051="",$S2051="Có",AND($L2051&lt;&gt;"",OR($L2051&lt;&gt;"Chưa xác định",DANH_MUC!$L$9="Có"))),"Có","Không"))</f>
        <v/>
      </c>
      <c r="U2051" s="22">
        <f>IF(OR($D2051="",$T2051="Có"),"",IF($C2051="","Thiếu họ tên; ","")&amp;IF($S2051&lt;&gt;"Có","SĐT sai định dạng; ","")&amp;IF($R2051="Trùng","Trùng SĐT; ","")&amp;IF($Q2051&lt;&gt;"Có","Thiếu đồng ý bắt buộc; ","")&amp;IF($L2051="","Thiếu/sai Mã REF; ",IF(AND($L2051="Chưa xác định",DANH_MUC!$L$9&lt;&gt;"Có"),"Nguồn chưa xác định; ","")))</f>
        <v/>
      </c>
      <c r="V2051" s="22">
        <f>IF(OR($D2051="",$R2051="Trùng"),"",IF(COUNTIF(ORDERS!$C$2:$C$4995,$D2051)&gt;0,"Có","Không"))</f>
        <v/>
      </c>
      <c r="W2051" s="22">
        <f>IF(OR($D2051="",$R2051="Trùng"),"",COUNTIFS(ORDERS!$C$2:$C$4995,$D2051,ORDERS!$L$2:$L$4995,"Đã chuyển khoản"))</f>
        <v/>
      </c>
      <c r="X2051" s="23">
        <f>IF(OR($D2051="",$R2051="Trùng"),"",SUMIFS(ORDERS!$J$2:$J$4995,ORDERS!$C$2:$C$4995,$D2051,ORDERS!$L$2:$L$4995,"Đã chuyển khoản"))</f>
        <v/>
      </c>
      <c r="Y2051" s="24" t="n"/>
    </row>
    <row r="2052" ht="14.25" customHeight="1" s="40">
      <c r="A2052" s="24" t="n"/>
      <c r="B2052" s="27" t="n"/>
      <c r="C2052" s="24" t="n"/>
      <c r="D2052" s="28" t="n"/>
      <c r="E2052" s="29" t="n"/>
      <c r="F2052" s="24" t="n"/>
      <c r="G2052" s="24" t="n"/>
      <c r="H2052" s="21">
        <f>IF(ISNUMBER($B2052),INT($B2052)-WEEKDAY($B2052,2)+1,"")</f>
        <v/>
      </c>
      <c r="I2052" s="24" t="n"/>
      <c r="J2052" s="22">
        <f t="array" ref="J2052">IF($D2052="","",IF($I2052="","(trống REF)",IFERROR(INDEX(MASTER_SOURCE!$B$2:$B$495,MATCH($I2052,MASTER_SOURCE!$A$2:$A$495,0)),"(REF không có trong MASTER_SOURCE)")))</f>
        <v/>
      </c>
      <c r="K2052" s="22">
        <f t="array" ref="K2052">IF($D2052="","",IFERROR(INDEX(MASTER_SOURCE!$C$2:$C$495,MATCH($I2052,MASTER_SOURCE!$A$2:$A$495,0)),""))</f>
        <v/>
      </c>
      <c r="L2052" s="22">
        <f t="array" ref="L2052">IF($D2052="","",IFERROR(INDEX(MASTER_SOURCE!$D$2:$D$495,MATCH($I2052,MASTER_SOURCE!$A$2:$A$495,0)),""))</f>
        <v/>
      </c>
      <c r="M2052" s="24" t="n"/>
      <c r="N2052" s="24" t="n"/>
      <c r="O2052" s="24" t="n"/>
      <c r="P2052" s="24" t="n"/>
      <c r="Q2052" s="22">
        <f>IF($D2052="","",IF(AND(OR(DANH_MUC!$L$5&lt;&gt;"Có",M2052="Có"),OR(DANH_MUC!$L$6&lt;&gt;"Có",N2052="Có"),OR(DANH_MUC!$L$7&lt;&gt;"Có",O2052="Có"),OR(DANH_MUC!$L$8&lt;&gt;"Có",P2052="Có")),"Có","Không"))</f>
        <v/>
      </c>
      <c r="R2052" s="22">
        <f>IF($D2052="","",IF(COUNTIF($D$2:$D2052,$D2052)&gt;1,"Trùng",""))</f>
        <v/>
      </c>
      <c r="S2052" s="22">
        <f>IF($D2052="","",IF(AND(LEN($D2052)=10,LEFT($D2052,1)="0",ISNUMBER(--$D2052)),"Có","Không"))</f>
        <v/>
      </c>
      <c r="T2052" s="22">
        <f>IF($D2052="","",IF(AND($C2052&lt;&gt;"",$Q2052="Có",$R2052="",$S2052="Có",AND($L2052&lt;&gt;"",OR($L2052&lt;&gt;"Chưa xác định",DANH_MUC!$L$9="Có"))),"Có","Không"))</f>
        <v/>
      </c>
      <c r="U2052" s="22">
        <f>IF(OR($D2052="",$T2052="Có"),"",IF($C2052="","Thiếu họ tên; ","")&amp;IF($S2052&lt;&gt;"Có","SĐT sai định dạng; ","")&amp;IF($R2052="Trùng","Trùng SĐT; ","")&amp;IF($Q2052&lt;&gt;"Có","Thiếu đồng ý bắt buộc; ","")&amp;IF($L2052="","Thiếu/sai Mã REF; ",IF(AND($L2052="Chưa xác định",DANH_MUC!$L$9&lt;&gt;"Có"),"Nguồn chưa xác định; ","")))</f>
        <v/>
      </c>
      <c r="V2052" s="22">
        <f>IF(OR($D2052="",$R2052="Trùng"),"",IF(COUNTIF(ORDERS!$C$2:$C$4995,$D2052)&gt;0,"Có","Không"))</f>
        <v/>
      </c>
      <c r="W2052" s="22">
        <f>IF(OR($D2052="",$R2052="Trùng"),"",COUNTIFS(ORDERS!$C$2:$C$4995,$D2052,ORDERS!$L$2:$L$4995,"Đã chuyển khoản"))</f>
        <v/>
      </c>
      <c r="X2052" s="23">
        <f>IF(OR($D2052="",$R2052="Trùng"),"",SUMIFS(ORDERS!$J$2:$J$4995,ORDERS!$C$2:$C$4995,$D2052,ORDERS!$L$2:$L$4995,"Đã chuyển khoản"))</f>
        <v/>
      </c>
      <c r="Y2052" s="24" t="n"/>
    </row>
    <row r="2053" ht="14.25" customHeight="1" s="40">
      <c r="A2053" s="24" t="n"/>
      <c r="B2053" s="27" t="n"/>
      <c r="C2053" s="24" t="n"/>
      <c r="D2053" s="28" t="n"/>
      <c r="E2053" s="29" t="n"/>
      <c r="F2053" s="24" t="n"/>
      <c r="G2053" s="24" t="n"/>
      <c r="H2053" s="21">
        <f>IF(ISNUMBER($B2053),INT($B2053)-WEEKDAY($B2053,2)+1,"")</f>
        <v/>
      </c>
      <c r="I2053" s="24" t="n"/>
      <c r="J2053" s="22">
        <f t="array" ref="J2053">IF($D2053="","",IF($I2053="","(trống REF)",IFERROR(INDEX(MASTER_SOURCE!$B$2:$B$495,MATCH($I2053,MASTER_SOURCE!$A$2:$A$495,0)),"(REF không có trong MASTER_SOURCE)")))</f>
        <v/>
      </c>
      <c r="K2053" s="22">
        <f t="array" ref="K2053">IF($D2053="","",IFERROR(INDEX(MASTER_SOURCE!$C$2:$C$495,MATCH($I2053,MASTER_SOURCE!$A$2:$A$495,0)),""))</f>
        <v/>
      </c>
      <c r="L2053" s="22">
        <f t="array" ref="L2053">IF($D2053="","",IFERROR(INDEX(MASTER_SOURCE!$D$2:$D$495,MATCH($I2053,MASTER_SOURCE!$A$2:$A$495,0)),""))</f>
        <v/>
      </c>
      <c r="M2053" s="24" t="n"/>
      <c r="N2053" s="24" t="n"/>
      <c r="O2053" s="24" t="n"/>
      <c r="P2053" s="24" t="n"/>
      <c r="Q2053" s="22">
        <f>IF($D2053="","",IF(AND(OR(DANH_MUC!$L$5&lt;&gt;"Có",M2053="Có"),OR(DANH_MUC!$L$6&lt;&gt;"Có",N2053="Có"),OR(DANH_MUC!$L$7&lt;&gt;"Có",O2053="Có"),OR(DANH_MUC!$L$8&lt;&gt;"Có",P2053="Có")),"Có","Không"))</f>
        <v/>
      </c>
      <c r="R2053" s="22">
        <f>IF($D2053="","",IF(COUNTIF($D$2:$D2053,$D2053)&gt;1,"Trùng",""))</f>
        <v/>
      </c>
      <c r="S2053" s="22">
        <f>IF($D2053="","",IF(AND(LEN($D2053)=10,LEFT($D2053,1)="0",ISNUMBER(--$D2053)),"Có","Không"))</f>
        <v/>
      </c>
      <c r="T2053" s="22">
        <f>IF($D2053="","",IF(AND($C2053&lt;&gt;"",$Q2053="Có",$R2053="",$S2053="Có",AND($L2053&lt;&gt;"",OR($L2053&lt;&gt;"Chưa xác định",DANH_MUC!$L$9="Có"))),"Có","Không"))</f>
        <v/>
      </c>
      <c r="U2053" s="22">
        <f>IF(OR($D2053="",$T2053="Có"),"",IF($C2053="","Thiếu họ tên; ","")&amp;IF($S2053&lt;&gt;"Có","SĐT sai định dạng; ","")&amp;IF($R2053="Trùng","Trùng SĐT; ","")&amp;IF($Q2053&lt;&gt;"Có","Thiếu đồng ý bắt buộc; ","")&amp;IF($L2053="","Thiếu/sai Mã REF; ",IF(AND($L2053="Chưa xác định",DANH_MUC!$L$9&lt;&gt;"Có"),"Nguồn chưa xác định; ","")))</f>
        <v/>
      </c>
      <c r="V2053" s="22">
        <f>IF(OR($D2053="",$R2053="Trùng"),"",IF(COUNTIF(ORDERS!$C$2:$C$4995,$D2053)&gt;0,"Có","Không"))</f>
        <v/>
      </c>
      <c r="W2053" s="22">
        <f>IF(OR($D2053="",$R2053="Trùng"),"",COUNTIFS(ORDERS!$C$2:$C$4995,$D2053,ORDERS!$L$2:$L$4995,"Đã chuyển khoản"))</f>
        <v/>
      </c>
      <c r="X2053" s="23">
        <f>IF(OR($D2053="",$R2053="Trùng"),"",SUMIFS(ORDERS!$J$2:$J$4995,ORDERS!$C$2:$C$4995,$D2053,ORDERS!$L$2:$L$4995,"Đã chuyển khoản"))</f>
        <v/>
      </c>
      <c r="Y2053" s="24" t="n"/>
    </row>
    <row r="2054" ht="14.25" customHeight="1" s="40">
      <c r="A2054" s="24" t="n"/>
      <c r="B2054" s="27" t="n"/>
      <c r="C2054" s="24" t="n"/>
      <c r="D2054" s="28" t="n"/>
      <c r="E2054" s="29" t="n"/>
      <c r="F2054" s="24" t="n"/>
      <c r="G2054" s="24" t="n"/>
      <c r="H2054" s="21">
        <f>IF(ISNUMBER($B2054),INT($B2054)-WEEKDAY($B2054,2)+1,"")</f>
        <v/>
      </c>
      <c r="I2054" s="24" t="n"/>
      <c r="J2054" s="22">
        <f t="array" ref="J2054">IF($D2054="","",IF($I2054="","(trống REF)",IFERROR(INDEX(MASTER_SOURCE!$B$2:$B$495,MATCH($I2054,MASTER_SOURCE!$A$2:$A$495,0)),"(REF không có trong MASTER_SOURCE)")))</f>
        <v/>
      </c>
      <c r="K2054" s="22">
        <f t="array" ref="K2054">IF($D2054="","",IFERROR(INDEX(MASTER_SOURCE!$C$2:$C$495,MATCH($I2054,MASTER_SOURCE!$A$2:$A$495,0)),""))</f>
        <v/>
      </c>
      <c r="L2054" s="22">
        <f t="array" ref="L2054">IF($D2054="","",IFERROR(INDEX(MASTER_SOURCE!$D$2:$D$495,MATCH($I2054,MASTER_SOURCE!$A$2:$A$495,0)),""))</f>
        <v/>
      </c>
      <c r="M2054" s="24" t="n"/>
      <c r="N2054" s="24" t="n"/>
      <c r="O2054" s="24" t="n"/>
      <c r="P2054" s="24" t="n"/>
      <c r="Q2054" s="22">
        <f>IF($D2054="","",IF(AND(OR(DANH_MUC!$L$5&lt;&gt;"Có",M2054="Có"),OR(DANH_MUC!$L$6&lt;&gt;"Có",N2054="Có"),OR(DANH_MUC!$L$7&lt;&gt;"Có",O2054="Có"),OR(DANH_MUC!$L$8&lt;&gt;"Có",P2054="Có")),"Có","Không"))</f>
        <v/>
      </c>
      <c r="R2054" s="22">
        <f>IF($D2054="","",IF(COUNTIF($D$2:$D2054,$D2054)&gt;1,"Trùng",""))</f>
        <v/>
      </c>
      <c r="S2054" s="22">
        <f>IF($D2054="","",IF(AND(LEN($D2054)=10,LEFT($D2054,1)="0",ISNUMBER(--$D2054)),"Có","Không"))</f>
        <v/>
      </c>
      <c r="T2054" s="22">
        <f>IF($D2054="","",IF(AND($C2054&lt;&gt;"",$Q2054="Có",$R2054="",$S2054="Có",AND($L2054&lt;&gt;"",OR($L2054&lt;&gt;"Chưa xác định",DANH_MUC!$L$9="Có"))),"Có","Không"))</f>
        <v/>
      </c>
      <c r="U2054" s="22">
        <f>IF(OR($D2054="",$T2054="Có"),"",IF($C2054="","Thiếu họ tên; ","")&amp;IF($S2054&lt;&gt;"Có","SĐT sai định dạng; ","")&amp;IF($R2054="Trùng","Trùng SĐT; ","")&amp;IF($Q2054&lt;&gt;"Có","Thiếu đồng ý bắt buộc; ","")&amp;IF($L2054="","Thiếu/sai Mã REF; ",IF(AND($L2054="Chưa xác định",DANH_MUC!$L$9&lt;&gt;"Có"),"Nguồn chưa xác định; ","")))</f>
        <v/>
      </c>
      <c r="V2054" s="22">
        <f>IF(OR($D2054="",$R2054="Trùng"),"",IF(COUNTIF(ORDERS!$C$2:$C$4995,$D2054)&gt;0,"Có","Không"))</f>
        <v/>
      </c>
      <c r="W2054" s="22">
        <f>IF(OR($D2054="",$R2054="Trùng"),"",COUNTIFS(ORDERS!$C$2:$C$4995,$D2054,ORDERS!$L$2:$L$4995,"Đã chuyển khoản"))</f>
        <v/>
      </c>
      <c r="X2054" s="23">
        <f>IF(OR($D2054="",$R2054="Trùng"),"",SUMIFS(ORDERS!$J$2:$J$4995,ORDERS!$C$2:$C$4995,$D2054,ORDERS!$L$2:$L$4995,"Đã chuyển khoản"))</f>
        <v/>
      </c>
      <c r="Y2054" s="24" t="n"/>
    </row>
    <row r="2055" ht="14.25" customHeight="1" s="40">
      <c r="A2055" s="24" t="n"/>
      <c r="B2055" s="27" t="n"/>
      <c r="C2055" s="24" t="n"/>
      <c r="D2055" s="28" t="n"/>
      <c r="E2055" s="29" t="n"/>
      <c r="F2055" s="24" t="n"/>
      <c r="G2055" s="24" t="n"/>
      <c r="H2055" s="21">
        <f>IF(ISNUMBER($B2055),INT($B2055)-WEEKDAY($B2055,2)+1,"")</f>
        <v/>
      </c>
      <c r="I2055" s="24" t="n"/>
      <c r="J2055" s="22">
        <f t="array" ref="J2055">IF($D2055="","",IF($I2055="","(trống REF)",IFERROR(INDEX(MASTER_SOURCE!$B$2:$B$495,MATCH($I2055,MASTER_SOURCE!$A$2:$A$495,0)),"(REF không có trong MASTER_SOURCE)")))</f>
        <v/>
      </c>
      <c r="K2055" s="22">
        <f t="array" ref="K2055">IF($D2055="","",IFERROR(INDEX(MASTER_SOURCE!$C$2:$C$495,MATCH($I2055,MASTER_SOURCE!$A$2:$A$495,0)),""))</f>
        <v/>
      </c>
      <c r="L2055" s="22">
        <f t="array" ref="L2055">IF($D2055="","",IFERROR(INDEX(MASTER_SOURCE!$D$2:$D$495,MATCH($I2055,MASTER_SOURCE!$A$2:$A$495,0)),""))</f>
        <v/>
      </c>
      <c r="M2055" s="24" t="n"/>
      <c r="N2055" s="24" t="n"/>
      <c r="O2055" s="24" t="n"/>
      <c r="P2055" s="24" t="n"/>
      <c r="Q2055" s="22">
        <f>IF($D2055="","",IF(AND(OR(DANH_MUC!$L$5&lt;&gt;"Có",M2055="Có"),OR(DANH_MUC!$L$6&lt;&gt;"Có",N2055="Có"),OR(DANH_MUC!$L$7&lt;&gt;"Có",O2055="Có"),OR(DANH_MUC!$L$8&lt;&gt;"Có",P2055="Có")),"Có","Không"))</f>
        <v/>
      </c>
      <c r="R2055" s="22">
        <f>IF($D2055="","",IF(COUNTIF($D$2:$D2055,$D2055)&gt;1,"Trùng",""))</f>
        <v/>
      </c>
      <c r="S2055" s="22">
        <f>IF($D2055="","",IF(AND(LEN($D2055)=10,LEFT($D2055,1)="0",ISNUMBER(--$D2055)),"Có","Không"))</f>
        <v/>
      </c>
      <c r="T2055" s="22">
        <f>IF($D2055="","",IF(AND($C2055&lt;&gt;"",$Q2055="Có",$R2055="",$S2055="Có",AND($L2055&lt;&gt;"",OR($L2055&lt;&gt;"Chưa xác định",DANH_MUC!$L$9="Có"))),"Có","Không"))</f>
        <v/>
      </c>
      <c r="U2055" s="22">
        <f>IF(OR($D2055="",$T2055="Có"),"",IF($C2055="","Thiếu họ tên; ","")&amp;IF($S2055&lt;&gt;"Có","SĐT sai định dạng; ","")&amp;IF($R2055="Trùng","Trùng SĐT; ","")&amp;IF($Q2055&lt;&gt;"Có","Thiếu đồng ý bắt buộc; ","")&amp;IF($L2055="","Thiếu/sai Mã REF; ",IF(AND($L2055="Chưa xác định",DANH_MUC!$L$9&lt;&gt;"Có"),"Nguồn chưa xác định; ","")))</f>
        <v/>
      </c>
      <c r="V2055" s="22">
        <f>IF(OR($D2055="",$R2055="Trùng"),"",IF(COUNTIF(ORDERS!$C$2:$C$4995,$D2055)&gt;0,"Có","Không"))</f>
        <v/>
      </c>
      <c r="W2055" s="22">
        <f>IF(OR($D2055="",$R2055="Trùng"),"",COUNTIFS(ORDERS!$C$2:$C$4995,$D2055,ORDERS!$L$2:$L$4995,"Đã chuyển khoản"))</f>
        <v/>
      </c>
      <c r="X2055" s="23">
        <f>IF(OR($D2055="",$R2055="Trùng"),"",SUMIFS(ORDERS!$J$2:$J$4995,ORDERS!$C$2:$C$4995,$D2055,ORDERS!$L$2:$L$4995,"Đã chuyển khoản"))</f>
        <v/>
      </c>
      <c r="Y2055" s="24" t="n"/>
    </row>
    <row r="2056" ht="14.25" customHeight="1" s="40">
      <c r="A2056" s="24" t="n"/>
      <c r="B2056" s="27" t="n"/>
      <c r="C2056" s="24" t="n"/>
      <c r="D2056" s="28" t="n"/>
      <c r="E2056" s="29" t="n"/>
      <c r="F2056" s="24" t="n"/>
      <c r="G2056" s="24" t="n"/>
      <c r="H2056" s="21">
        <f>IF(ISNUMBER($B2056),INT($B2056)-WEEKDAY($B2056,2)+1,"")</f>
        <v/>
      </c>
      <c r="I2056" s="24" t="n"/>
      <c r="J2056" s="22">
        <f t="array" ref="J2056">IF($D2056="","",IF($I2056="","(trống REF)",IFERROR(INDEX(MASTER_SOURCE!$B$2:$B$495,MATCH($I2056,MASTER_SOURCE!$A$2:$A$495,0)),"(REF không có trong MASTER_SOURCE)")))</f>
        <v/>
      </c>
      <c r="K2056" s="22">
        <f t="array" ref="K2056">IF($D2056="","",IFERROR(INDEX(MASTER_SOURCE!$C$2:$C$495,MATCH($I2056,MASTER_SOURCE!$A$2:$A$495,0)),""))</f>
        <v/>
      </c>
      <c r="L2056" s="22">
        <f t="array" ref="L2056">IF($D2056="","",IFERROR(INDEX(MASTER_SOURCE!$D$2:$D$495,MATCH($I2056,MASTER_SOURCE!$A$2:$A$495,0)),""))</f>
        <v/>
      </c>
      <c r="M2056" s="24" t="n"/>
      <c r="N2056" s="24" t="n"/>
      <c r="O2056" s="24" t="n"/>
      <c r="P2056" s="24" t="n"/>
      <c r="Q2056" s="22">
        <f>IF($D2056="","",IF(AND(OR(DANH_MUC!$L$5&lt;&gt;"Có",M2056="Có"),OR(DANH_MUC!$L$6&lt;&gt;"Có",N2056="Có"),OR(DANH_MUC!$L$7&lt;&gt;"Có",O2056="Có"),OR(DANH_MUC!$L$8&lt;&gt;"Có",P2056="Có")),"Có","Không"))</f>
        <v/>
      </c>
      <c r="R2056" s="22">
        <f>IF($D2056="","",IF(COUNTIF($D$2:$D2056,$D2056)&gt;1,"Trùng",""))</f>
        <v/>
      </c>
      <c r="S2056" s="22">
        <f>IF($D2056="","",IF(AND(LEN($D2056)=10,LEFT($D2056,1)="0",ISNUMBER(--$D2056)),"Có","Không"))</f>
        <v/>
      </c>
      <c r="T2056" s="22">
        <f>IF($D2056="","",IF(AND($C2056&lt;&gt;"",$Q2056="Có",$R2056="",$S2056="Có",AND($L2056&lt;&gt;"",OR($L2056&lt;&gt;"Chưa xác định",DANH_MUC!$L$9="Có"))),"Có","Không"))</f>
        <v/>
      </c>
      <c r="U2056" s="22">
        <f>IF(OR($D2056="",$T2056="Có"),"",IF($C2056="","Thiếu họ tên; ","")&amp;IF($S2056&lt;&gt;"Có","SĐT sai định dạng; ","")&amp;IF($R2056="Trùng","Trùng SĐT; ","")&amp;IF($Q2056&lt;&gt;"Có","Thiếu đồng ý bắt buộc; ","")&amp;IF($L2056="","Thiếu/sai Mã REF; ",IF(AND($L2056="Chưa xác định",DANH_MUC!$L$9&lt;&gt;"Có"),"Nguồn chưa xác định; ","")))</f>
        <v/>
      </c>
      <c r="V2056" s="22">
        <f>IF(OR($D2056="",$R2056="Trùng"),"",IF(COUNTIF(ORDERS!$C$2:$C$4995,$D2056)&gt;0,"Có","Không"))</f>
        <v/>
      </c>
      <c r="W2056" s="22">
        <f>IF(OR($D2056="",$R2056="Trùng"),"",COUNTIFS(ORDERS!$C$2:$C$4995,$D2056,ORDERS!$L$2:$L$4995,"Đã chuyển khoản"))</f>
        <v/>
      </c>
      <c r="X2056" s="23">
        <f>IF(OR($D2056="",$R2056="Trùng"),"",SUMIFS(ORDERS!$J$2:$J$4995,ORDERS!$C$2:$C$4995,$D2056,ORDERS!$L$2:$L$4995,"Đã chuyển khoản"))</f>
        <v/>
      </c>
      <c r="Y2056" s="24" t="n"/>
    </row>
    <row r="2057" ht="14.25" customHeight="1" s="40">
      <c r="A2057" s="24" t="n"/>
      <c r="B2057" s="27" t="n"/>
      <c r="C2057" s="24" t="n"/>
      <c r="D2057" s="28" t="n"/>
      <c r="E2057" s="29" t="n"/>
      <c r="F2057" s="24" t="n"/>
      <c r="G2057" s="24" t="n"/>
      <c r="H2057" s="21">
        <f>IF(ISNUMBER($B2057),INT($B2057)-WEEKDAY($B2057,2)+1,"")</f>
        <v/>
      </c>
      <c r="I2057" s="24" t="n"/>
      <c r="J2057" s="22">
        <f t="array" ref="J2057">IF($D2057="","",IF($I2057="","(trống REF)",IFERROR(INDEX(MASTER_SOURCE!$B$2:$B$495,MATCH($I2057,MASTER_SOURCE!$A$2:$A$495,0)),"(REF không có trong MASTER_SOURCE)")))</f>
        <v/>
      </c>
      <c r="K2057" s="22">
        <f t="array" ref="K2057">IF($D2057="","",IFERROR(INDEX(MASTER_SOURCE!$C$2:$C$495,MATCH($I2057,MASTER_SOURCE!$A$2:$A$495,0)),""))</f>
        <v/>
      </c>
      <c r="L2057" s="22">
        <f t="array" ref="L2057">IF($D2057="","",IFERROR(INDEX(MASTER_SOURCE!$D$2:$D$495,MATCH($I2057,MASTER_SOURCE!$A$2:$A$495,0)),""))</f>
        <v/>
      </c>
      <c r="M2057" s="24" t="n"/>
      <c r="N2057" s="24" t="n"/>
      <c r="O2057" s="24" t="n"/>
      <c r="P2057" s="24" t="n"/>
      <c r="Q2057" s="22">
        <f>IF($D2057="","",IF(AND(OR(DANH_MUC!$L$5&lt;&gt;"Có",M2057="Có"),OR(DANH_MUC!$L$6&lt;&gt;"Có",N2057="Có"),OR(DANH_MUC!$L$7&lt;&gt;"Có",O2057="Có"),OR(DANH_MUC!$L$8&lt;&gt;"Có",P2057="Có")),"Có","Không"))</f>
        <v/>
      </c>
      <c r="R2057" s="22">
        <f>IF($D2057="","",IF(COUNTIF($D$2:$D2057,$D2057)&gt;1,"Trùng",""))</f>
        <v/>
      </c>
      <c r="S2057" s="22">
        <f>IF($D2057="","",IF(AND(LEN($D2057)=10,LEFT($D2057,1)="0",ISNUMBER(--$D2057)),"Có","Không"))</f>
        <v/>
      </c>
      <c r="T2057" s="22">
        <f>IF($D2057="","",IF(AND($C2057&lt;&gt;"",$Q2057="Có",$R2057="",$S2057="Có",AND($L2057&lt;&gt;"",OR($L2057&lt;&gt;"Chưa xác định",DANH_MUC!$L$9="Có"))),"Có","Không"))</f>
        <v/>
      </c>
      <c r="U2057" s="22">
        <f>IF(OR($D2057="",$T2057="Có"),"",IF($C2057="","Thiếu họ tên; ","")&amp;IF($S2057&lt;&gt;"Có","SĐT sai định dạng; ","")&amp;IF($R2057="Trùng","Trùng SĐT; ","")&amp;IF($Q2057&lt;&gt;"Có","Thiếu đồng ý bắt buộc; ","")&amp;IF($L2057="","Thiếu/sai Mã REF; ",IF(AND($L2057="Chưa xác định",DANH_MUC!$L$9&lt;&gt;"Có"),"Nguồn chưa xác định; ","")))</f>
        <v/>
      </c>
      <c r="V2057" s="22">
        <f>IF(OR($D2057="",$R2057="Trùng"),"",IF(COUNTIF(ORDERS!$C$2:$C$4995,$D2057)&gt;0,"Có","Không"))</f>
        <v/>
      </c>
      <c r="W2057" s="22">
        <f>IF(OR($D2057="",$R2057="Trùng"),"",COUNTIFS(ORDERS!$C$2:$C$4995,$D2057,ORDERS!$L$2:$L$4995,"Đã chuyển khoản"))</f>
        <v/>
      </c>
      <c r="X2057" s="23">
        <f>IF(OR($D2057="",$R2057="Trùng"),"",SUMIFS(ORDERS!$J$2:$J$4995,ORDERS!$C$2:$C$4995,$D2057,ORDERS!$L$2:$L$4995,"Đã chuyển khoản"))</f>
        <v/>
      </c>
      <c r="Y2057" s="24" t="n"/>
    </row>
    <row r="2058" ht="14.25" customHeight="1" s="40">
      <c r="A2058" s="24" t="n"/>
      <c r="B2058" s="27" t="n"/>
      <c r="C2058" s="24" t="n"/>
      <c r="D2058" s="28" t="n"/>
      <c r="E2058" s="29" t="n"/>
      <c r="F2058" s="24" t="n"/>
      <c r="G2058" s="24" t="n"/>
      <c r="H2058" s="21">
        <f>IF(ISNUMBER($B2058),INT($B2058)-WEEKDAY($B2058,2)+1,"")</f>
        <v/>
      </c>
      <c r="I2058" s="24" t="n"/>
      <c r="J2058" s="22">
        <f t="array" ref="J2058">IF($D2058="","",IF($I2058="","(trống REF)",IFERROR(INDEX(MASTER_SOURCE!$B$2:$B$495,MATCH($I2058,MASTER_SOURCE!$A$2:$A$495,0)),"(REF không có trong MASTER_SOURCE)")))</f>
        <v/>
      </c>
      <c r="K2058" s="22">
        <f t="array" ref="K2058">IF($D2058="","",IFERROR(INDEX(MASTER_SOURCE!$C$2:$C$495,MATCH($I2058,MASTER_SOURCE!$A$2:$A$495,0)),""))</f>
        <v/>
      </c>
      <c r="L2058" s="22">
        <f t="array" ref="L2058">IF($D2058="","",IFERROR(INDEX(MASTER_SOURCE!$D$2:$D$495,MATCH($I2058,MASTER_SOURCE!$A$2:$A$495,0)),""))</f>
        <v/>
      </c>
      <c r="M2058" s="24" t="n"/>
      <c r="N2058" s="24" t="n"/>
      <c r="O2058" s="24" t="n"/>
      <c r="P2058" s="24" t="n"/>
      <c r="Q2058" s="22">
        <f>IF($D2058="","",IF(AND(OR(DANH_MUC!$L$5&lt;&gt;"Có",M2058="Có"),OR(DANH_MUC!$L$6&lt;&gt;"Có",N2058="Có"),OR(DANH_MUC!$L$7&lt;&gt;"Có",O2058="Có"),OR(DANH_MUC!$L$8&lt;&gt;"Có",P2058="Có")),"Có","Không"))</f>
        <v/>
      </c>
      <c r="R2058" s="22">
        <f>IF($D2058="","",IF(COUNTIF($D$2:$D2058,$D2058)&gt;1,"Trùng",""))</f>
        <v/>
      </c>
      <c r="S2058" s="22">
        <f>IF($D2058="","",IF(AND(LEN($D2058)=10,LEFT($D2058,1)="0",ISNUMBER(--$D2058)),"Có","Không"))</f>
        <v/>
      </c>
      <c r="T2058" s="22">
        <f>IF($D2058="","",IF(AND($C2058&lt;&gt;"",$Q2058="Có",$R2058="",$S2058="Có",AND($L2058&lt;&gt;"",OR($L2058&lt;&gt;"Chưa xác định",DANH_MUC!$L$9="Có"))),"Có","Không"))</f>
        <v/>
      </c>
      <c r="U2058" s="22">
        <f>IF(OR($D2058="",$T2058="Có"),"",IF($C2058="","Thiếu họ tên; ","")&amp;IF($S2058&lt;&gt;"Có","SĐT sai định dạng; ","")&amp;IF($R2058="Trùng","Trùng SĐT; ","")&amp;IF($Q2058&lt;&gt;"Có","Thiếu đồng ý bắt buộc; ","")&amp;IF($L2058="","Thiếu/sai Mã REF; ",IF(AND($L2058="Chưa xác định",DANH_MUC!$L$9&lt;&gt;"Có"),"Nguồn chưa xác định; ","")))</f>
        <v/>
      </c>
      <c r="V2058" s="22">
        <f>IF(OR($D2058="",$R2058="Trùng"),"",IF(COUNTIF(ORDERS!$C$2:$C$4995,$D2058)&gt;0,"Có","Không"))</f>
        <v/>
      </c>
      <c r="W2058" s="22">
        <f>IF(OR($D2058="",$R2058="Trùng"),"",COUNTIFS(ORDERS!$C$2:$C$4995,$D2058,ORDERS!$L$2:$L$4995,"Đã chuyển khoản"))</f>
        <v/>
      </c>
      <c r="X2058" s="23">
        <f>IF(OR($D2058="",$R2058="Trùng"),"",SUMIFS(ORDERS!$J$2:$J$4995,ORDERS!$C$2:$C$4995,$D2058,ORDERS!$L$2:$L$4995,"Đã chuyển khoản"))</f>
        <v/>
      </c>
      <c r="Y2058" s="24" t="n"/>
    </row>
    <row r="2059" ht="14.25" customHeight="1" s="40">
      <c r="A2059" s="24" t="n"/>
      <c r="B2059" s="27" t="n"/>
      <c r="C2059" s="24" t="n"/>
      <c r="D2059" s="28" t="n"/>
      <c r="E2059" s="29" t="n"/>
      <c r="F2059" s="24" t="n"/>
      <c r="G2059" s="24" t="n"/>
      <c r="H2059" s="21">
        <f>IF(ISNUMBER($B2059),INT($B2059)-WEEKDAY($B2059,2)+1,"")</f>
        <v/>
      </c>
      <c r="I2059" s="24" t="n"/>
      <c r="J2059" s="22">
        <f t="array" ref="J2059">IF($D2059="","",IF($I2059="","(trống REF)",IFERROR(INDEX(MASTER_SOURCE!$B$2:$B$495,MATCH($I2059,MASTER_SOURCE!$A$2:$A$495,0)),"(REF không có trong MASTER_SOURCE)")))</f>
        <v/>
      </c>
      <c r="K2059" s="22">
        <f t="array" ref="K2059">IF($D2059="","",IFERROR(INDEX(MASTER_SOURCE!$C$2:$C$495,MATCH($I2059,MASTER_SOURCE!$A$2:$A$495,0)),""))</f>
        <v/>
      </c>
      <c r="L2059" s="22">
        <f t="array" ref="L2059">IF($D2059="","",IFERROR(INDEX(MASTER_SOURCE!$D$2:$D$495,MATCH($I2059,MASTER_SOURCE!$A$2:$A$495,0)),""))</f>
        <v/>
      </c>
      <c r="M2059" s="24" t="n"/>
      <c r="N2059" s="24" t="n"/>
      <c r="O2059" s="24" t="n"/>
      <c r="P2059" s="24" t="n"/>
      <c r="Q2059" s="22">
        <f>IF($D2059="","",IF(AND(OR(DANH_MUC!$L$5&lt;&gt;"Có",M2059="Có"),OR(DANH_MUC!$L$6&lt;&gt;"Có",N2059="Có"),OR(DANH_MUC!$L$7&lt;&gt;"Có",O2059="Có"),OR(DANH_MUC!$L$8&lt;&gt;"Có",P2059="Có")),"Có","Không"))</f>
        <v/>
      </c>
      <c r="R2059" s="22">
        <f>IF($D2059="","",IF(COUNTIF($D$2:$D2059,$D2059)&gt;1,"Trùng",""))</f>
        <v/>
      </c>
      <c r="S2059" s="22">
        <f>IF($D2059="","",IF(AND(LEN($D2059)=10,LEFT($D2059,1)="0",ISNUMBER(--$D2059)),"Có","Không"))</f>
        <v/>
      </c>
      <c r="T2059" s="22">
        <f>IF($D2059="","",IF(AND($C2059&lt;&gt;"",$Q2059="Có",$R2059="",$S2059="Có",AND($L2059&lt;&gt;"",OR($L2059&lt;&gt;"Chưa xác định",DANH_MUC!$L$9="Có"))),"Có","Không"))</f>
        <v/>
      </c>
      <c r="U2059" s="22">
        <f>IF(OR($D2059="",$T2059="Có"),"",IF($C2059="","Thiếu họ tên; ","")&amp;IF($S2059&lt;&gt;"Có","SĐT sai định dạng; ","")&amp;IF($R2059="Trùng","Trùng SĐT; ","")&amp;IF($Q2059&lt;&gt;"Có","Thiếu đồng ý bắt buộc; ","")&amp;IF($L2059="","Thiếu/sai Mã REF; ",IF(AND($L2059="Chưa xác định",DANH_MUC!$L$9&lt;&gt;"Có"),"Nguồn chưa xác định; ","")))</f>
        <v/>
      </c>
      <c r="V2059" s="22">
        <f>IF(OR($D2059="",$R2059="Trùng"),"",IF(COUNTIF(ORDERS!$C$2:$C$4995,$D2059)&gt;0,"Có","Không"))</f>
        <v/>
      </c>
      <c r="W2059" s="22">
        <f>IF(OR($D2059="",$R2059="Trùng"),"",COUNTIFS(ORDERS!$C$2:$C$4995,$D2059,ORDERS!$L$2:$L$4995,"Đã chuyển khoản"))</f>
        <v/>
      </c>
      <c r="X2059" s="23">
        <f>IF(OR($D2059="",$R2059="Trùng"),"",SUMIFS(ORDERS!$J$2:$J$4995,ORDERS!$C$2:$C$4995,$D2059,ORDERS!$L$2:$L$4995,"Đã chuyển khoản"))</f>
        <v/>
      </c>
      <c r="Y2059" s="24" t="n"/>
    </row>
    <row r="2060" ht="14.25" customHeight="1" s="40">
      <c r="A2060" s="24" t="n"/>
      <c r="B2060" s="27" t="n"/>
      <c r="C2060" s="24" t="n"/>
      <c r="D2060" s="28" t="n"/>
      <c r="E2060" s="29" t="n"/>
      <c r="F2060" s="24" t="n"/>
      <c r="G2060" s="24" t="n"/>
      <c r="H2060" s="21">
        <f>IF(ISNUMBER($B2060),INT($B2060)-WEEKDAY($B2060,2)+1,"")</f>
        <v/>
      </c>
      <c r="I2060" s="24" t="n"/>
      <c r="J2060" s="22">
        <f t="array" ref="J2060">IF($D2060="","",IF($I2060="","(trống REF)",IFERROR(INDEX(MASTER_SOURCE!$B$2:$B$495,MATCH($I2060,MASTER_SOURCE!$A$2:$A$495,0)),"(REF không có trong MASTER_SOURCE)")))</f>
        <v/>
      </c>
      <c r="K2060" s="22">
        <f t="array" ref="K2060">IF($D2060="","",IFERROR(INDEX(MASTER_SOURCE!$C$2:$C$495,MATCH($I2060,MASTER_SOURCE!$A$2:$A$495,0)),""))</f>
        <v/>
      </c>
      <c r="L2060" s="22">
        <f t="array" ref="L2060">IF($D2060="","",IFERROR(INDEX(MASTER_SOURCE!$D$2:$D$495,MATCH($I2060,MASTER_SOURCE!$A$2:$A$495,0)),""))</f>
        <v/>
      </c>
      <c r="M2060" s="24" t="n"/>
      <c r="N2060" s="24" t="n"/>
      <c r="O2060" s="24" t="n"/>
      <c r="P2060" s="24" t="n"/>
      <c r="Q2060" s="22">
        <f>IF($D2060="","",IF(AND(OR(DANH_MUC!$L$5&lt;&gt;"Có",M2060="Có"),OR(DANH_MUC!$L$6&lt;&gt;"Có",N2060="Có"),OR(DANH_MUC!$L$7&lt;&gt;"Có",O2060="Có"),OR(DANH_MUC!$L$8&lt;&gt;"Có",P2060="Có")),"Có","Không"))</f>
        <v/>
      </c>
      <c r="R2060" s="22">
        <f>IF($D2060="","",IF(COUNTIF($D$2:$D2060,$D2060)&gt;1,"Trùng",""))</f>
        <v/>
      </c>
      <c r="S2060" s="22">
        <f>IF($D2060="","",IF(AND(LEN($D2060)=10,LEFT($D2060,1)="0",ISNUMBER(--$D2060)),"Có","Không"))</f>
        <v/>
      </c>
      <c r="T2060" s="22">
        <f>IF($D2060="","",IF(AND($C2060&lt;&gt;"",$Q2060="Có",$R2060="",$S2060="Có",AND($L2060&lt;&gt;"",OR($L2060&lt;&gt;"Chưa xác định",DANH_MUC!$L$9="Có"))),"Có","Không"))</f>
        <v/>
      </c>
      <c r="U2060" s="22">
        <f>IF(OR($D2060="",$T2060="Có"),"",IF($C2060="","Thiếu họ tên; ","")&amp;IF($S2060&lt;&gt;"Có","SĐT sai định dạng; ","")&amp;IF($R2060="Trùng","Trùng SĐT; ","")&amp;IF($Q2060&lt;&gt;"Có","Thiếu đồng ý bắt buộc; ","")&amp;IF($L2060="","Thiếu/sai Mã REF; ",IF(AND($L2060="Chưa xác định",DANH_MUC!$L$9&lt;&gt;"Có"),"Nguồn chưa xác định; ","")))</f>
        <v/>
      </c>
      <c r="V2060" s="22">
        <f>IF(OR($D2060="",$R2060="Trùng"),"",IF(COUNTIF(ORDERS!$C$2:$C$4995,$D2060)&gt;0,"Có","Không"))</f>
        <v/>
      </c>
      <c r="W2060" s="22">
        <f>IF(OR($D2060="",$R2060="Trùng"),"",COUNTIFS(ORDERS!$C$2:$C$4995,$D2060,ORDERS!$L$2:$L$4995,"Đã chuyển khoản"))</f>
        <v/>
      </c>
      <c r="X2060" s="23">
        <f>IF(OR($D2060="",$R2060="Trùng"),"",SUMIFS(ORDERS!$J$2:$J$4995,ORDERS!$C$2:$C$4995,$D2060,ORDERS!$L$2:$L$4995,"Đã chuyển khoản"))</f>
        <v/>
      </c>
      <c r="Y2060" s="24" t="n"/>
    </row>
    <row r="2061" ht="14.25" customHeight="1" s="40">
      <c r="A2061" s="24" t="n"/>
      <c r="B2061" s="27" t="n"/>
      <c r="C2061" s="24" t="n"/>
      <c r="D2061" s="28" t="n"/>
      <c r="E2061" s="29" t="n"/>
      <c r="F2061" s="24" t="n"/>
      <c r="G2061" s="24" t="n"/>
      <c r="H2061" s="21">
        <f>IF(ISNUMBER($B2061),INT($B2061)-WEEKDAY($B2061,2)+1,"")</f>
        <v/>
      </c>
      <c r="I2061" s="24" t="n"/>
      <c r="J2061" s="22">
        <f t="array" ref="J2061">IF($D2061="","",IF($I2061="","(trống REF)",IFERROR(INDEX(MASTER_SOURCE!$B$2:$B$495,MATCH($I2061,MASTER_SOURCE!$A$2:$A$495,0)),"(REF không có trong MASTER_SOURCE)")))</f>
        <v/>
      </c>
      <c r="K2061" s="22">
        <f t="array" ref="K2061">IF($D2061="","",IFERROR(INDEX(MASTER_SOURCE!$C$2:$C$495,MATCH($I2061,MASTER_SOURCE!$A$2:$A$495,0)),""))</f>
        <v/>
      </c>
      <c r="L2061" s="22">
        <f t="array" ref="L2061">IF($D2061="","",IFERROR(INDEX(MASTER_SOURCE!$D$2:$D$495,MATCH($I2061,MASTER_SOURCE!$A$2:$A$495,0)),""))</f>
        <v/>
      </c>
      <c r="M2061" s="24" t="n"/>
      <c r="N2061" s="24" t="n"/>
      <c r="O2061" s="24" t="n"/>
      <c r="P2061" s="24" t="n"/>
      <c r="Q2061" s="22">
        <f>IF($D2061="","",IF(AND(OR(DANH_MUC!$L$5&lt;&gt;"Có",M2061="Có"),OR(DANH_MUC!$L$6&lt;&gt;"Có",N2061="Có"),OR(DANH_MUC!$L$7&lt;&gt;"Có",O2061="Có"),OR(DANH_MUC!$L$8&lt;&gt;"Có",P2061="Có")),"Có","Không"))</f>
        <v/>
      </c>
      <c r="R2061" s="22">
        <f>IF($D2061="","",IF(COUNTIF($D$2:$D2061,$D2061)&gt;1,"Trùng",""))</f>
        <v/>
      </c>
      <c r="S2061" s="22">
        <f>IF($D2061="","",IF(AND(LEN($D2061)=10,LEFT($D2061,1)="0",ISNUMBER(--$D2061)),"Có","Không"))</f>
        <v/>
      </c>
      <c r="T2061" s="22">
        <f>IF($D2061="","",IF(AND($C2061&lt;&gt;"",$Q2061="Có",$R2061="",$S2061="Có",AND($L2061&lt;&gt;"",OR($L2061&lt;&gt;"Chưa xác định",DANH_MUC!$L$9="Có"))),"Có","Không"))</f>
        <v/>
      </c>
      <c r="U2061" s="22">
        <f>IF(OR($D2061="",$T2061="Có"),"",IF($C2061="","Thiếu họ tên; ","")&amp;IF($S2061&lt;&gt;"Có","SĐT sai định dạng; ","")&amp;IF($R2061="Trùng","Trùng SĐT; ","")&amp;IF($Q2061&lt;&gt;"Có","Thiếu đồng ý bắt buộc; ","")&amp;IF($L2061="","Thiếu/sai Mã REF; ",IF(AND($L2061="Chưa xác định",DANH_MUC!$L$9&lt;&gt;"Có"),"Nguồn chưa xác định; ","")))</f>
        <v/>
      </c>
      <c r="V2061" s="22">
        <f>IF(OR($D2061="",$R2061="Trùng"),"",IF(COUNTIF(ORDERS!$C$2:$C$4995,$D2061)&gt;0,"Có","Không"))</f>
        <v/>
      </c>
      <c r="W2061" s="22">
        <f>IF(OR($D2061="",$R2061="Trùng"),"",COUNTIFS(ORDERS!$C$2:$C$4995,$D2061,ORDERS!$L$2:$L$4995,"Đã chuyển khoản"))</f>
        <v/>
      </c>
      <c r="X2061" s="23">
        <f>IF(OR($D2061="",$R2061="Trùng"),"",SUMIFS(ORDERS!$J$2:$J$4995,ORDERS!$C$2:$C$4995,$D2061,ORDERS!$L$2:$L$4995,"Đã chuyển khoản"))</f>
        <v/>
      </c>
      <c r="Y2061" s="24" t="n"/>
    </row>
    <row r="2062" ht="14.25" customHeight="1" s="40">
      <c r="A2062" s="24" t="n"/>
      <c r="B2062" s="27" t="n"/>
      <c r="C2062" s="24" t="n"/>
      <c r="D2062" s="28" t="n"/>
      <c r="E2062" s="29" t="n"/>
      <c r="F2062" s="24" t="n"/>
      <c r="G2062" s="24" t="n"/>
      <c r="H2062" s="21">
        <f>IF(ISNUMBER($B2062),INT($B2062)-WEEKDAY($B2062,2)+1,"")</f>
        <v/>
      </c>
      <c r="I2062" s="24" t="n"/>
      <c r="J2062" s="22">
        <f t="array" ref="J2062">IF($D2062="","",IF($I2062="","(trống REF)",IFERROR(INDEX(MASTER_SOURCE!$B$2:$B$495,MATCH($I2062,MASTER_SOURCE!$A$2:$A$495,0)),"(REF không có trong MASTER_SOURCE)")))</f>
        <v/>
      </c>
      <c r="K2062" s="22">
        <f t="array" ref="K2062">IF($D2062="","",IFERROR(INDEX(MASTER_SOURCE!$C$2:$C$495,MATCH($I2062,MASTER_SOURCE!$A$2:$A$495,0)),""))</f>
        <v/>
      </c>
      <c r="L2062" s="22">
        <f t="array" ref="L2062">IF($D2062="","",IFERROR(INDEX(MASTER_SOURCE!$D$2:$D$495,MATCH($I2062,MASTER_SOURCE!$A$2:$A$495,0)),""))</f>
        <v/>
      </c>
      <c r="M2062" s="24" t="n"/>
      <c r="N2062" s="24" t="n"/>
      <c r="O2062" s="24" t="n"/>
      <c r="P2062" s="24" t="n"/>
      <c r="Q2062" s="22">
        <f>IF($D2062="","",IF(AND(OR(DANH_MUC!$L$5&lt;&gt;"Có",M2062="Có"),OR(DANH_MUC!$L$6&lt;&gt;"Có",N2062="Có"),OR(DANH_MUC!$L$7&lt;&gt;"Có",O2062="Có"),OR(DANH_MUC!$L$8&lt;&gt;"Có",P2062="Có")),"Có","Không"))</f>
        <v/>
      </c>
      <c r="R2062" s="22">
        <f>IF($D2062="","",IF(COUNTIF($D$2:$D2062,$D2062)&gt;1,"Trùng",""))</f>
        <v/>
      </c>
      <c r="S2062" s="22">
        <f>IF($D2062="","",IF(AND(LEN($D2062)=10,LEFT($D2062,1)="0",ISNUMBER(--$D2062)),"Có","Không"))</f>
        <v/>
      </c>
      <c r="T2062" s="22">
        <f>IF($D2062="","",IF(AND($C2062&lt;&gt;"",$Q2062="Có",$R2062="",$S2062="Có",AND($L2062&lt;&gt;"",OR($L2062&lt;&gt;"Chưa xác định",DANH_MUC!$L$9="Có"))),"Có","Không"))</f>
        <v/>
      </c>
      <c r="U2062" s="22">
        <f>IF(OR($D2062="",$T2062="Có"),"",IF($C2062="","Thiếu họ tên; ","")&amp;IF($S2062&lt;&gt;"Có","SĐT sai định dạng; ","")&amp;IF($R2062="Trùng","Trùng SĐT; ","")&amp;IF($Q2062&lt;&gt;"Có","Thiếu đồng ý bắt buộc; ","")&amp;IF($L2062="","Thiếu/sai Mã REF; ",IF(AND($L2062="Chưa xác định",DANH_MUC!$L$9&lt;&gt;"Có"),"Nguồn chưa xác định; ","")))</f>
        <v/>
      </c>
      <c r="V2062" s="22">
        <f>IF(OR($D2062="",$R2062="Trùng"),"",IF(COUNTIF(ORDERS!$C$2:$C$4995,$D2062)&gt;0,"Có","Không"))</f>
        <v/>
      </c>
      <c r="W2062" s="22">
        <f>IF(OR($D2062="",$R2062="Trùng"),"",COUNTIFS(ORDERS!$C$2:$C$4995,$D2062,ORDERS!$L$2:$L$4995,"Đã chuyển khoản"))</f>
        <v/>
      </c>
      <c r="X2062" s="23">
        <f>IF(OR($D2062="",$R2062="Trùng"),"",SUMIFS(ORDERS!$J$2:$J$4995,ORDERS!$C$2:$C$4995,$D2062,ORDERS!$L$2:$L$4995,"Đã chuyển khoản"))</f>
        <v/>
      </c>
      <c r="Y2062" s="24" t="n"/>
    </row>
    <row r="2063" ht="14.25" customHeight="1" s="40">
      <c r="A2063" s="24" t="n"/>
      <c r="B2063" s="27" t="n"/>
      <c r="C2063" s="24" t="n"/>
      <c r="D2063" s="28" t="n"/>
      <c r="E2063" s="29" t="n"/>
      <c r="F2063" s="24" t="n"/>
      <c r="G2063" s="24" t="n"/>
      <c r="H2063" s="21">
        <f>IF(ISNUMBER($B2063),INT($B2063)-WEEKDAY($B2063,2)+1,"")</f>
        <v/>
      </c>
      <c r="I2063" s="24" t="n"/>
      <c r="J2063" s="22">
        <f t="array" ref="J2063">IF($D2063="","",IF($I2063="","(trống REF)",IFERROR(INDEX(MASTER_SOURCE!$B$2:$B$495,MATCH($I2063,MASTER_SOURCE!$A$2:$A$495,0)),"(REF không có trong MASTER_SOURCE)")))</f>
        <v/>
      </c>
      <c r="K2063" s="22">
        <f t="array" ref="K2063">IF($D2063="","",IFERROR(INDEX(MASTER_SOURCE!$C$2:$C$495,MATCH($I2063,MASTER_SOURCE!$A$2:$A$495,0)),""))</f>
        <v/>
      </c>
      <c r="L2063" s="22">
        <f t="array" ref="L2063">IF($D2063="","",IFERROR(INDEX(MASTER_SOURCE!$D$2:$D$495,MATCH($I2063,MASTER_SOURCE!$A$2:$A$495,0)),""))</f>
        <v/>
      </c>
      <c r="M2063" s="24" t="n"/>
      <c r="N2063" s="24" t="n"/>
      <c r="O2063" s="24" t="n"/>
      <c r="P2063" s="24" t="n"/>
      <c r="Q2063" s="22">
        <f>IF($D2063="","",IF(AND(OR(DANH_MUC!$L$5&lt;&gt;"Có",M2063="Có"),OR(DANH_MUC!$L$6&lt;&gt;"Có",N2063="Có"),OR(DANH_MUC!$L$7&lt;&gt;"Có",O2063="Có"),OR(DANH_MUC!$L$8&lt;&gt;"Có",P2063="Có")),"Có","Không"))</f>
        <v/>
      </c>
      <c r="R2063" s="22">
        <f>IF($D2063="","",IF(COUNTIF($D$2:$D2063,$D2063)&gt;1,"Trùng",""))</f>
        <v/>
      </c>
      <c r="S2063" s="22">
        <f>IF($D2063="","",IF(AND(LEN($D2063)=10,LEFT($D2063,1)="0",ISNUMBER(--$D2063)),"Có","Không"))</f>
        <v/>
      </c>
      <c r="T2063" s="22">
        <f>IF($D2063="","",IF(AND($C2063&lt;&gt;"",$Q2063="Có",$R2063="",$S2063="Có",AND($L2063&lt;&gt;"",OR($L2063&lt;&gt;"Chưa xác định",DANH_MUC!$L$9="Có"))),"Có","Không"))</f>
        <v/>
      </c>
      <c r="U2063" s="22">
        <f>IF(OR($D2063="",$T2063="Có"),"",IF($C2063="","Thiếu họ tên; ","")&amp;IF($S2063&lt;&gt;"Có","SĐT sai định dạng; ","")&amp;IF($R2063="Trùng","Trùng SĐT; ","")&amp;IF($Q2063&lt;&gt;"Có","Thiếu đồng ý bắt buộc; ","")&amp;IF($L2063="","Thiếu/sai Mã REF; ",IF(AND($L2063="Chưa xác định",DANH_MUC!$L$9&lt;&gt;"Có"),"Nguồn chưa xác định; ","")))</f>
        <v/>
      </c>
      <c r="V2063" s="22">
        <f>IF(OR($D2063="",$R2063="Trùng"),"",IF(COUNTIF(ORDERS!$C$2:$C$4995,$D2063)&gt;0,"Có","Không"))</f>
        <v/>
      </c>
      <c r="W2063" s="22">
        <f>IF(OR($D2063="",$R2063="Trùng"),"",COUNTIFS(ORDERS!$C$2:$C$4995,$D2063,ORDERS!$L$2:$L$4995,"Đã chuyển khoản"))</f>
        <v/>
      </c>
      <c r="X2063" s="23">
        <f>IF(OR($D2063="",$R2063="Trùng"),"",SUMIFS(ORDERS!$J$2:$J$4995,ORDERS!$C$2:$C$4995,$D2063,ORDERS!$L$2:$L$4995,"Đã chuyển khoản"))</f>
        <v/>
      </c>
      <c r="Y2063" s="24" t="n"/>
    </row>
    <row r="2064" ht="14.25" customHeight="1" s="40">
      <c r="A2064" s="24" t="n"/>
      <c r="B2064" s="27" t="n"/>
      <c r="C2064" s="24" t="n"/>
      <c r="D2064" s="28" t="n"/>
      <c r="E2064" s="29" t="n"/>
      <c r="F2064" s="24" t="n"/>
      <c r="G2064" s="24" t="n"/>
      <c r="H2064" s="21">
        <f>IF(ISNUMBER($B2064),INT($B2064)-WEEKDAY($B2064,2)+1,"")</f>
        <v/>
      </c>
      <c r="I2064" s="24" t="n"/>
      <c r="J2064" s="22">
        <f t="array" ref="J2064">IF($D2064="","",IF($I2064="","(trống REF)",IFERROR(INDEX(MASTER_SOURCE!$B$2:$B$495,MATCH($I2064,MASTER_SOURCE!$A$2:$A$495,0)),"(REF không có trong MASTER_SOURCE)")))</f>
        <v/>
      </c>
      <c r="K2064" s="22">
        <f t="array" ref="K2064">IF($D2064="","",IFERROR(INDEX(MASTER_SOURCE!$C$2:$C$495,MATCH($I2064,MASTER_SOURCE!$A$2:$A$495,0)),""))</f>
        <v/>
      </c>
      <c r="L2064" s="22">
        <f t="array" ref="L2064">IF($D2064="","",IFERROR(INDEX(MASTER_SOURCE!$D$2:$D$495,MATCH($I2064,MASTER_SOURCE!$A$2:$A$495,0)),""))</f>
        <v/>
      </c>
      <c r="M2064" s="24" t="n"/>
      <c r="N2064" s="24" t="n"/>
      <c r="O2064" s="24" t="n"/>
      <c r="P2064" s="24" t="n"/>
      <c r="Q2064" s="22">
        <f>IF($D2064="","",IF(AND(OR(DANH_MUC!$L$5&lt;&gt;"Có",M2064="Có"),OR(DANH_MUC!$L$6&lt;&gt;"Có",N2064="Có"),OR(DANH_MUC!$L$7&lt;&gt;"Có",O2064="Có"),OR(DANH_MUC!$L$8&lt;&gt;"Có",P2064="Có")),"Có","Không"))</f>
        <v/>
      </c>
      <c r="R2064" s="22">
        <f>IF($D2064="","",IF(COUNTIF($D$2:$D2064,$D2064)&gt;1,"Trùng",""))</f>
        <v/>
      </c>
      <c r="S2064" s="22">
        <f>IF($D2064="","",IF(AND(LEN($D2064)=10,LEFT($D2064,1)="0",ISNUMBER(--$D2064)),"Có","Không"))</f>
        <v/>
      </c>
      <c r="T2064" s="22">
        <f>IF($D2064="","",IF(AND($C2064&lt;&gt;"",$Q2064="Có",$R2064="",$S2064="Có",AND($L2064&lt;&gt;"",OR($L2064&lt;&gt;"Chưa xác định",DANH_MUC!$L$9="Có"))),"Có","Không"))</f>
        <v/>
      </c>
      <c r="U2064" s="22">
        <f>IF(OR($D2064="",$T2064="Có"),"",IF($C2064="","Thiếu họ tên; ","")&amp;IF($S2064&lt;&gt;"Có","SĐT sai định dạng; ","")&amp;IF($R2064="Trùng","Trùng SĐT; ","")&amp;IF($Q2064&lt;&gt;"Có","Thiếu đồng ý bắt buộc; ","")&amp;IF($L2064="","Thiếu/sai Mã REF; ",IF(AND($L2064="Chưa xác định",DANH_MUC!$L$9&lt;&gt;"Có"),"Nguồn chưa xác định; ","")))</f>
        <v/>
      </c>
      <c r="V2064" s="22">
        <f>IF(OR($D2064="",$R2064="Trùng"),"",IF(COUNTIF(ORDERS!$C$2:$C$4995,$D2064)&gt;0,"Có","Không"))</f>
        <v/>
      </c>
      <c r="W2064" s="22">
        <f>IF(OR($D2064="",$R2064="Trùng"),"",COUNTIFS(ORDERS!$C$2:$C$4995,$D2064,ORDERS!$L$2:$L$4995,"Đã chuyển khoản"))</f>
        <v/>
      </c>
      <c r="X2064" s="23">
        <f>IF(OR($D2064="",$R2064="Trùng"),"",SUMIFS(ORDERS!$J$2:$J$4995,ORDERS!$C$2:$C$4995,$D2064,ORDERS!$L$2:$L$4995,"Đã chuyển khoản"))</f>
        <v/>
      </c>
      <c r="Y2064" s="24" t="n"/>
    </row>
    <row r="2065" ht="14.25" customHeight="1" s="40">
      <c r="A2065" s="24" t="n"/>
      <c r="B2065" s="27" t="n"/>
      <c r="C2065" s="24" t="n"/>
      <c r="D2065" s="28" t="n"/>
      <c r="E2065" s="29" t="n"/>
      <c r="F2065" s="24" t="n"/>
      <c r="G2065" s="24" t="n"/>
      <c r="H2065" s="21">
        <f>IF(ISNUMBER($B2065),INT($B2065)-WEEKDAY($B2065,2)+1,"")</f>
        <v/>
      </c>
      <c r="I2065" s="24" t="n"/>
      <c r="J2065" s="22">
        <f t="array" ref="J2065">IF($D2065="","",IF($I2065="","(trống REF)",IFERROR(INDEX(MASTER_SOURCE!$B$2:$B$495,MATCH($I2065,MASTER_SOURCE!$A$2:$A$495,0)),"(REF không có trong MASTER_SOURCE)")))</f>
        <v/>
      </c>
      <c r="K2065" s="22">
        <f t="array" ref="K2065">IF($D2065="","",IFERROR(INDEX(MASTER_SOURCE!$C$2:$C$495,MATCH($I2065,MASTER_SOURCE!$A$2:$A$495,0)),""))</f>
        <v/>
      </c>
      <c r="L2065" s="22">
        <f t="array" ref="L2065">IF($D2065="","",IFERROR(INDEX(MASTER_SOURCE!$D$2:$D$495,MATCH($I2065,MASTER_SOURCE!$A$2:$A$495,0)),""))</f>
        <v/>
      </c>
      <c r="M2065" s="24" t="n"/>
      <c r="N2065" s="24" t="n"/>
      <c r="O2065" s="24" t="n"/>
      <c r="P2065" s="24" t="n"/>
      <c r="Q2065" s="22">
        <f>IF($D2065="","",IF(AND(OR(DANH_MUC!$L$5&lt;&gt;"Có",M2065="Có"),OR(DANH_MUC!$L$6&lt;&gt;"Có",N2065="Có"),OR(DANH_MUC!$L$7&lt;&gt;"Có",O2065="Có"),OR(DANH_MUC!$L$8&lt;&gt;"Có",P2065="Có")),"Có","Không"))</f>
        <v/>
      </c>
      <c r="R2065" s="22">
        <f>IF($D2065="","",IF(COUNTIF($D$2:$D2065,$D2065)&gt;1,"Trùng",""))</f>
        <v/>
      </c>
      <c r="S2065" s="22">
        <f>IF($D2065="","",IF(AND(LEN($D2065)=10,LEFT($D2065,1)="0",ISNUMBER(--$D2065)),"Có","Không"))</f>
        <v/>
      </c>
      <c r="T2065" s="22">
        <f>IF($D2065="","",IF(AND($C2065&lt;&gt;"",$Q2065="Có",$R2065="",$S2065="Có",AND($L2065&lt;&gt;"",OR($L2065&lt;&gt;"Chưa xác định",DANH_MUC!$L$9="Có"))),"Có","Không"))</f>
        <v/>
      </c>
      <c r="U2065" s="22">
        <f>IF(OR($D2065="",$T2065="Có"),"",IF($C2065="","Thiếu họ tên; ","")&amp;IF($S2065&lt;&gt;"Có","SĐT sai định dạng; ","")&amp;IF($R2065="Trùng","Trùng SĐT; ","")&amp;IF($Q2065&lt;&gt;"Có","Thiếu đồng ý bắt buộc; ","")&amp;IF($L2065="","Thiếu/sai Mã REF; ",IF(AND($L2065="Chưa xác định",DANH_MUC!$L$9&lt;&gt;"Có"),"Nguồn chưa xác định; ","")))</f>
        <v/>
      </c>
      <c r="V2065" s="22">
        <f>IF(OR($D2065="",$R2065="Trùng"),"",IF(COUNTIF(ORDERS!$C$2:$C$4995,$D2065)&gt;0,"Có","Không"))</f>
        <v/>
      </c>
      <c r="W2065" s="22">
        <f>IF(OR($D2065="",$R2065="Trùng"),"",COUNTIFS(ORDERS!$C$2:$C$4995,$D2065,ORDERS!$L$2:$L$4995,"Đã chuyển khoản"))</f>
        <v/>
      </c>
      <c r="X2065" s="23">
        <f>IF(OR($D2065="",$R2065="Trùng"),"",SUMIFS(ORDERS!$J$2:$J$4995,ORDERS!$C$2:$C$4995,$D2065,ORDERS!$L$2:$L$4995,"Đã chuyển khoản"))</f>
        <v/>
      </c>
      <c r="Y2065" s="24" t="n"/>
    </row>
    <row r="2066" ht="14.25" customHeight="1" s="40">
      <c r="A2066" s="24" t="n"/>
      <c r="B2066" s="27" t="n"/>
      <c r="C2066" s="24" t="n"/>
      <c r="D2066" s="28" t="n"/>
      <c r="E2066" s="29" t="n"/>
      <c r="F2066" s="24" t="n"/>
      <c r="G2066" s="24" t="n"/>
      <c r="H2066" s="21">
        <f>IF(ISNUMBER($B2066),INT($B2066)-WEEKDAY($B2066,2)+1,"")</f>
        <v/>
      </c>
      <c r="I2066" s="24" t="n"/>
      <c r="J2066" s="22">
        <f t="array" ref="J2066">IF($D2066="","",IF($I2066="","(trống REF)",IFERROR(INDEX(MASTER_SOURCE!$B$2:$B$495,MATCH($I2066,MASTER_SOURCE!$A$2:$A$495,0)),"(REF không có trong MASTER_SOURCE)")))</f>
        <v/>
      </c>
      <c r="K2066" s="22">
        <f t="array" ref="K2066">IF($D2066="","",IFERROR(INDEX(MASTER_SOURCE!$C$2:$C$495,MATCH($I2066,MASTER_SOURCE!$A$2:$A$495,0)),""))</f>
        <v/>
      </c>
      <c r="L2066" s="22">
        <f t="array" ref="L2066">IF($D2066="","",IFERROR(INDEX(MASTER_SOURCE!$D$2:$D$495,MATCH($I2066,MASTER_SOURCE!$A$2:$A$495,0)),""))</f>
        <v/>
      </c>
      <c r="M2066" s="24" t="n"/>
      <c r="N2066" s="24" t="n"/>
      <c r="O2066" s="24" t="n"/>
      <c r="P2066" s="24" t="n"/>
      <c r="Q2066" s="22">
        <f>IF($D2066="","",IF(AND(OR(DANH_MUC!$L$5&lt;&gt;"Có",M2066="Có"),OR(DANH_MUC!$L$6&lt;&gt;"Có",N2066="Có"),OR(DANH_MUC!$L$7&lt;&gt;"Có",O2066="Có"),OR(DANH_MUC!$L$8&lt;&gt;"Có",P2066="Có")),"Có","Không"))</f>
        <v/>
      </c>
      <c r="R2066" s="22">
        <f>IF($D2066="","",IF(COUNTIF($D$2:$D2066,$D2066)&gt;1,"Trùng",""))</f>
        <v/>
      </c>
      <c r="S2066" s="22">
        <f>IF($D2066="","",IF(AND(LEN($D2066)=10,LEFT($D2066,1)="0",ISNUMBER(--$D2066)),"Có","Không"))</f>
        <v/>
      </c>
      <c r="T2066" s="22">
        <f>IF($D2066="","",IF(AND($C2066&lt;&gt;"",$Q2066="Có",$R2066="",$S2066="Có",AND($L2066&lt;&gt;"",OR($L2066&lt;&gt;"Chưa xác định",DANH_MUC!$L$9="Có"))),"Có","Không"))</f>
        <v/>
      </c>
      <c r="U2066" s="22">
        <f>IF(OR($D2066="",$T2066="Có"),"",IF($C2066="","Thiếu họ tên; ","")&amp;IF($S2066&lt;&gt;"Có","SĐT sai định dạng; ","")&amp;IF($R2066="Trùng","Trùng SĐT; ","")&amp;IF($Q2066&lt;&gt;"Có","Thiếu đồng ý bắt buộc; ","")&amp;IF($L2066="","Thiếu/sai Mã REF; ",IF(AND($L2066="Chưa xác định",DANH_MUC!$L$9&lt;&gt;"Có"),"Nguồn chưa xác định; ","")))</f>
        <v/>
      </c>
      <c r="V2066" s="22">
        <f>IF(OR($D2066="",$R2066="Trùng"),"",IF(COUNTIF(ORDERS!$C$2:$C$4995,$D2066)&gt;0,"Có","Không"))</f>
        <v/>
      </c>
      <c r="W2066" s="22">
        <f>IF(OR($D2066="",$R2066="Trùng"),"",COUNTIFS(ORDERS!$C$2:$C$4995,$D2066,ORDERS!$L$2:$L$4995,"Đã chuyển khoản"))</f>
        <v/>
      </c>
      <c r="X2066" s="23">
        <f>IF(OR($D2066="",$R2066="Trùng"),"",SUMIFS(ORDERS!$J$2:$J$4995,ORDERS!$C$2:$C$4995,$D2066,ORDERS!$L$2:$L$4995,"Đã chuyển khoản"))</f>
        <v/>
      </c>
      <c r="Y2066" s="24" t="n"/>
    </row>
    <row r="2067" ht="14.25" customHeight="1" s="40">
      <c r="A2067" s="24" t="n"/>
      <c r="B2067" s="27" t="n"/>
      <c r="C2067" s="24" t="n"/>
      <c r="D2067" s="28" t="n"/>
      <c r="E2067" s="29" t="n"/>
      <c r="F2067" s="24" t="n"/>
      <c r="G2067" s="24" t="n"/>
      <c r="H2067" s="21">
        <f>IF(ISNUMBER($B2067),INT($B2067)-WEEKDAY($B2067,2)+1,"")</f>
        <v/>
      </c>
      <c r="I2067" s="24" t="n"/>
      <c r="J2067" s="22">
        <f t="array" ref="J2067">IF($D2067="","",IF($I2067="","(trống REF)",IFERROR(INDEX(MASTER_SOURCE!$B$2:$B$495,MATCH($I2067,MASTER_SOURCE!$A$2:$A$495,0)),"(REF không có trong MASTER_SOURCE)")))</f>
        <v/>
      </c>
      <c r="K2067" s="22">
        <f t="array" ref="K2067">IF($D2067="","",IFERROR(INDEX(MASTER_SOURCE!$C$2:$C$495,MATCH($I2067,MASTER_SOURCE!$A$2:$A$495,0)),""))</f>
        <v/>
      </c>
      <c r="L2067" s="22">
        <f t="array" ref="L2067">IF($D2067="","",IFERROR(INDEX(MASTER_SOURCE!$D$2:$D$495,MATCH($I2067,MASTER_SOURCE!$A$2:$A$495,0)),""))</f>
        <v/>
      </c>
      <c r="M2067" s="24" t="n"/>
      <c r="N2067" s="24" t="n"/>
      <c r="O2067" s="24" t="n"/>
      <c r="P2067" s="24" t="n"/>
      <c r="Q2067" s="22">
        <f>IF($D2067="","",IF(AND(OR(DANH_MUC!$L$5&lt;&gt;"Có",M2067="Có"),OR(DANH_MUC!$L$6&lt;&gt;"Có",N2067="Có"),OR(DANH_MUC!$L$7&lt;&gt;"Có",O2067="Có"),OR(DANH_MUC!$L$8&lt;&gt;"Có",P2067="Có")),"Có","Không"))</f>
        <v/>
      </c>
      <c r="R2067" s="22">
        <f>IF($D2067="","",IF(COUNTIF($D$2:$D2067,$D2067)&gt;1,"Trùng",""))</f>
        <v/>
      </c>
      <c r="S2067" s="22">
        <f>IF($D2067="","",IF(AND(LEN($D2067)=10,LEFT($D2067,1)="0",ISNUMBER(--$D2067)),"Có","Không"))</f>
        <v/>
      </c>
      <c r="T2067" s="22">
        <f>IF($D2067="","",IF(AND($C2067&lt;&gt;"",$Q2067="Có",$R2067="",$S2067="Có",AND($L2067&lt;&gt;"",OR($L2067&lt;&gt;"Chưa xác định",DANH_MUC!$L$9="Có"))),"Có","Không"))</f>
        <v/>
      </c>
      <c r="U2067" s="22">
        <f>IF(OR($D2067="",$T2067="Có"),"",IF($C2067="","Thiếu họ tên; ","")&amp;IF($S2067&lt;&gt;"Có","SĐT sai định dạng; ","")&amp;IF($R2067="Trùng","Trùng SĐT; ","")&amp;IF($Q2067&lt;&gt;"Có","Thiếu đồng ý bắt buộc; ","")&amp;IF($L2067="","Thiếu/sai Mã REF; ",IF(AND($L2067="Chưa xác định",DANH_MUC!$L$9&lt;&gt;"Có"),"Nguồn chưa xác định; ","")))</f>
        <v/>
      </c>
      <c r="V2067" s="22">
        <f>IF(OR($D2067="",$R2067="Trùng"),"",IF(COUNTIF(ORDERS!$C$2:$C$4995,$D2067)&gt;0,"Có","Không"))</f>
        <v/>
      </c>
      <c r="W2067" s="22">
        <f>IF(OR($D2067="",$R2067="Trùng"),"",COUNTIFS(ORDERS!$C$2:$C$4995,$D2067,ORDERS!$L$2:$L$4995,"Đã chuyển khoản"))</f>
        <v/>
      </c>
      <c r="X2067" s="23">
        <f>IF(OR($D2067="",$R2067="Trùng"),"",SUMIFS(ORDERS!$J$2:$J$4995,ORDERS!$C$2:$C$4995,$D2067,ORDERS!$L$2:$L$4995,"Đã chuyển khoản"))</f>
        <v/>
      </c>
      <c r="Y2067" s="24" t="n"/>
    </row>
    <row r="2068" ht="14.25" customHeight="1" s="40">
      <c r="A2068" s="24" t="n"/>
      <c r="B2068" s="27" t="n"/>
      <c r="C2068" s="24" t="n"/>
      <c r="D2068" s="28" t="n"/>
      <c r="E2068" s="29" t="n"/>
      <c r="F2068" s="24" t="n"/>
      <c r="G2068" s="24" t="n"/>
      <c r="H2068" s="21">
        <f>IF(ISNUMBER($B2068),INT($B2068)-WEEKDAY($B2068,2)+1,"")</f>
        <v/>
      </c>
      <c r="I2068" s="24" t="n"/>
      <c r="J2068" s="22">
        <f t="array" ref="J2068">IF($D2068="","",IF($I2068="","(trống REF)",IFERROR(INDEX(MASTER_SOURCE!$B$2:$B$495,MATCH($I2068,MASTER_SOURCE!$A$2:$A$495,0)),"(REF không có trong MASTER_SOURCE)")))</f>
        <v/>
      </c>
      <c r="K2068" s="22">
        <f t="array" ref="K2068">IF($D2068="","",IFERROR(INDEX(MASTER_SOURCE!$C$2:$C$495,MATCH($I2068,MASTER_SOURCE!$A$2:$A$495,0)),""))</f>
        <v/>
      </c>
      <c r="L2068" s="22">
        <f t="array" ref="L2068">IF($D2068="","",IFERROR(INDEX(MASTER_SOURCE!$D$2:$D$495,MATCH($I2068,MASTER_SOURCE!$A$2:$A$495,0)),""))</f>
        <v/>
      </c>
      <c r="M2068" s="24" t="n"/>
      <c r="N2068" s="24" t="n"/>
      <c r="O2068" s="24" t="n"/>
      <c r="P2068" s="24" t="n"/>
      <c r="Q2068" s="22">
        <f>IF($D2068="","",IF(AND(OR(DANH_MUC!$L$5&lt;&gt;"Có",M2068="Có"),OR(DANH_MUC!$L$6&lt;&gt;"Có",N2068="Có"),OR(DANH_MUC!$L$7&lt;&gt;"Có",O2068="Có"),OR(DANH_MUC!$L$8&lt;&gt;"Có",P2068="Có")),"Có","Không"))</f>
        <v/>
      </c>
      <c r="R2068" s="22">
        <f>IF($D2068="","",IF(COUNTIF($D$2:$D2068,$D2068)&gt;1,"Trùng",""))</f>
        <v/>
      </c>
      <c r="S2068" s="22">
        <f>IF($D2068="","",IF(AND(LEN($D2068)=10,LEFT($D2068,1)="0",ISNUMBER(--$D2068)),"Có","Không"))</f>
        <v/>
      </c>
      <c r="T2068" s="22">
        <f>IF($D2068="","",IF(AND($C2068&lt;&gt;"",$Q2068="Có",$R2068="",$S2068="Có",AND($L2068&lt;&gt;"",OR($L2068&lt;&gt;"Chưa xác định",DANH_MUC!$L$9="Có"))),"Có","Không"))</f>
        <v/>
      </c>
      <c r="U2068" s="22">
        <f>IF(OR($D2068="",$T2068="Có"),"",IF($C2068="","Thiếu họ tên; ","")&amp;IF($S2068&lt;&gt;"Có","SĐT sai định dạng; ","")&amp;IF($R2068="Trùng","Trùng SĐT; ","")&amp;IF($Q2068&lt;&gt;"Có","Thiếu đồng ý bắt buộc; ","")&amp;IF($L2068="","Thiếu/sai Mã REF; ",IF(AND($L2068="Chưa xác định",DANH_MUC!$L$9&lt;&gt;"Có"),"Nguồn chưa xác định; ","")))</f>
        <v/>
      </c>
      <c r="V2068" s="22">
        <f>IF(OR($D2068="",$R2068="Trùng"),"",IF(COUNTIF(ORDERS!$C$2:$C$4995,$D2068)&gt;0,"Có","Không"))</f>
        <v/>
      </c>
      <c r="W2068" s="22">
        <f>IF(OR($D2068="",$R2068="Trùng"),"",COUNTIFS(ORDERS!$C$2:$C$4995,$D2068,ORDERS!$L$2:$L$4995,"Đã chuyển khoản"))</f>
        <v/>
      </c>
      <c r="X2068" s="23">
        <f>IF(OR($D2068="",$R2068="Trùng"),"",SUMIFS(ORDERS!$J$2:$J$4995,ORDERS!$C$2:$C$4995,$D2068,ORDERS!$L$2:$L$4995,"Đã chuyển khoản"))</f>
        <v/>
      </c>
      <c r="Y2068" s="24" t="n"/>
    </row>
    <row r="2069" ht="14.25" customHeight="1" s="40">
      <c r="A2069" s="24" t="n"/>
      <c r="B2069" s="27" t="n"/>
      <c r="C2069" s="24" t="n"/>
      <c r="D2069" s="28" t="n"/>
      <c r="E2069" s="29" t="n"/>
      <c r="F2069" s="24" t="n"/>
      <c r="G2069" s="24" t="n"/>
      <c r="H2069" s="21">
        <f>IF(ISNUMBER($B2069),INT($B2069)-WEEKDAY($B2069,2)+1,"")</f>
        <v/>
      </c>
      <c r="I2069" s="24" t="n"/>
      <c r="J2069" s="22">
        <f t="array" ref="J2069">IF($D2069="","",IF($I2069="","(trống REF)",IFERROR(INDEX(MASTER_SOURCE!$B$2:$B$495,MATCH($I2069,MASTER_SOURCE!$A$2:$A$495,0)),"(REF không có trong MASTER_SOURCE)")))</f>
        <v/>
      </c>
      <c r="K2069" s="22">
        <f t="array" ref="K2069">IF($D2069="","",IFERROR(INDEX(MASTER_SOURCE!$C$2:$C$495,MATCH($I2069,MASTER_SOURCE!$A$2:$A$495,0)),""))</f>
        <v/>
      </c>
      <c r="L2069" s="22">
        <f t="array" ref="L2069">IF($D2069="","",IFERROR(INDEX(MASTER_SOURCE!$D$2:$D$495,MATCH($I2069,MASTER_SOURCE!$A$2:$A$495,0)),""))</f>
        <v/>
      </c>
      <c r="M2069" s="24" t="n"/>
      <c r="N2069" s="24" t="n"/>
      <c r="O2069" s="24" t="n"/>
      <c r="P2069" s="24" t="n"/>
      <c r="Q2069" s="22">
        <f>IF($D2069="","",IF(AND(OR(DANH_MUC!$L$5&lt;&gt;"Có",M2069="Có"),OR(DANH_MUC!$L$6&lt;&gt;"Có",N2069="Có"),OR(DANH_MUC!$L$7&lt;&gt;"Có",O2069="Có"),OR(DANH_MUC!$L$8&lt;&gt;"Có",P2069="Có")),"Có","Không"))</f>
        <v/>
      </c>
      <c r="R2069" s="22">
        <f>IF($D2069="","",IF(COUNTIF($D$2:$D2069,$D2069)&gt;1,"Trùng",""))</f>
        <v/>
      </c>
      <c r="S2069" s="22">
        <f>IF($D2069="","",IF(AND(LEN($D2069)=10,LEFT($D2069,1)="0",ISNUMBER(--$D2069)),"Có","Không"))</f>
        <v/>
      </c>
      <c r="T2069" s="22">
        <f>IF($D2069="","",IF(AND($C2069&lt;&gt;"",$Q2069="Có",$R2069="",$S2069="Có",AND($L2069&lt;&gt;"",OR($L2069&lt;&gt;"Chưa xác định",DANH_MUC!$L$9="Có"))),"Có","Không"))</f>
        <v/>
      </c>
      <c r="U2069" s="22">
        <f>IF(OR($D2069="",$T2069="Có"),"",IF($C2069="","Thiếu họ tên; ","")&amp;IF($S2069&lt;&gt;"Có","SĐT sai định dạng; ","")&amp;IF($R2069="Trùng","Trùng SĐT; ","")&amp;IF($Q2069&lt;&gt;"Có","Thiếu đồng ý bắt buộc; ","")&amp;IF($L2069="","Thiếu/sai Mã REF; ",IF(AND($L2069="Chưa xác định",DANH_MUC!$L$9&lt;&gt;"Có"),"Nguồn chưa xác định; ","")))</f>
        <v/>
      </c>
      <c r="V2069" s="22">
        <f>IF(OR($D2069="",$R2069="Trùng"),"",IF(COUNTIF(ORDERS!$C$2:$C$4995,$D2069)&gt;0,"Có","Không"))</f>
        <v/>
      </c>
      <c r="W2069" s="22">
        <f>IF(OR($D2069="",$R2069="Trùng"),"",COUNTIFS(ORDERS!$C$2:$C$4995,$D2069,ORDERS!$L$2:$L$4995,"Đã chuyển khoản"))</f>
        <v/>
      </c>
      <c r="X2069" s="23">
        <f>IF(OR($D2069="",$R2069="Trùng"),"",SUMIFS(ORDERS!$J$2:$J$4995,ORDERS!$C$2:$C$4995,$D2069,ORDERS!$L$2:$L$4995,"Đã chuyển khoản"))</f>
        <v/>
      </c>
      <c r="Y2069" s="24" t="n"/>
    </row>
    <row r="2070" ht="14.25" customHeight="1" s="40">
      <c r="A2070" s="24" t="n"/>
      <c r="B2070" s="27" t="n"/>
      <c r="C2070" s="24" t="n"/>
      <c r="D2070" s="28" t="n"/>
      <c r="E2070" s="29" t="n"/>
      <c r="F2070" s="24" t="n"/>
      <c r="G2070" s="24" t="n"/>
      <c r="H2070" s="21">
        <f>IF(ISNUMBER($B2070),INT($B2070)-WEEKDAY($B2070,2)+1,"")</f>
        <v/>
      </c>
      <c r="I2070" s="24" t="n"/>
      <c r="J2070" s="22">
        <f t="array" ref="J2070">IF($D2070="","",IF($I2070="","(trống REF)",IFERROR(INDEX(MASTER_SOURCE!$B$2:$B$495,MATCH($I2070,MASTER_SOURCE!$A$2:$A$495,0)),"(REF không có trong MASTER_SOURCE)")))</f>
        <v/>
      </c>
      <c r="K2070" s="22">
        <f t="array" ref="K2070">IF($D2070="","",IFERROR(INDEX(MASTER_SOURCE!$C$2:$C$495,MATCH($I2070,MASTER_SOURCE!$A$2:$A$495,0)),""))</f>
        <v/>
      </c>
      <c r="L2070" s="22">
        <f t="array" ref="L2070">IF($D2070="","",IFERROR(INDEX(MASTER_SOURCE!$D$2:$D$495,MATCH($I2070,MASTER_SOURCE!$A$2:$A$495,0)),""))</f>
        <v/>
      </c>
      <c r="M2070" s="24" t="n"/>
      <c r="N2070" s="24" t="n"/>
      <c r="O2070" s="24" t="n"/>
      <c r="P2070" s="24" t="n"/>
      <c r="Q2070" s="22">
        <f>IF($D2070="","",IF(AND(OR(DANH_MUC!$L$5&lt;&gt;"Có",M2070="Có"),OR(DANH_MUC!$L$6&lt;&gt;"Có",N2070="Có"),OR(DANH_MUC!$L$7&lt;&gt;"Có",O2070="Có"),OR(DANH_MUC!$L$8&lt;&gt;"Có",P2070="Có")),"Có","Không"))</f>
        <v/>
      </c>
      <c r="R2070" s="22">
        <f>IF($D2070="","",IF(COUNTIF($D$2:$D2070,$D2070)&gt;1,"Trùng",""))</f>
        <v/>
      </c>
      <c r="S2070" s="22">
        <f>IF($D2070="","",IF(AND(LEN($D2070)=10,LEFT($D2070,1)="0",ISNUMBER(--$D2070)),"Có","Không"))</f>
        <v/>
      </c>
      <c r="T2070" s="22">
        <f>IF($D2070="","",IF(AND($C2070&lt;&gt;"",$Q2070="Có",$R2070="",$S2070="Có",AND($L2070&lt;&gt;"",OR($L2070&lt;&gt;"Chưa xác định",DANH_MUC!$L$9="Có"))),"Có","Không"))</f>
        <v/>
      </c>
      <c r="U2070" s="22">
        <f>IF(OR($D2070="",$T2070="Có"),"",IF($C2070="","Thiếu họ tên; ","")&amp;IF($S2070&lt;&gt;"Có","SĐT sai định dạng; ","")&amp;IF($R2070="Trùng","Trùng SĐT; ","")&amp;IF($Q2070&lt;&gt;"Có","Thiếu đồng ý bắt buộc; ","")&amp;IF($L2070="","Thiếu/sai Mã REF; ",IF(AND($L2070="Chưa xác định",DANH_MUC!$L$9&lt;&gt;"Có"),"Nguồn chưa xác định; ","")))</f>
        <v/>
      </c>
      <c r="V2070" s="22">
        <f>IF(OR($D2070="",$R2070="Trùng"),"",IF(COUNTIF(ORDERS!$C$2:$C$4995,$D2070)&gt;0,"Có","Không"))</f>
        <v/>
      </c>
      <c r="W2070" s="22">
        <f>IF(OR($D2070="",$R2070="Trùng"),"",COUNTIFS(ORDERS!$C$2:$C$4995,$D2070,ORDERS!$L$2:$L$4995,"Đã chuyển khoản"))</f>
        <v/>
      </c>
      <c r="X2070" s="23">
        <f>IF(OR($D2070="",$R2070="Trùng"),"",SUMIFS(ORDERS!$J$2:$J$4995,ORDERS!$C$2:$C$4995,$D2070,ORDERS!$L$2:$L$4995,"Đã chuyển khoản"))</f>
        <v/>
      </c>
      <c r="Y2070" s="24" t="n"/>
    </row>
    <row r="2071" ht="14.25" customHeight="1" s="40">
      <c r="A2071" s="24" t="n"/>
      <c r="B2071" s="27" t="n"/>
      <c r="C2071" s="24" t="n"/>
      <c r="D2071" s="28" t="n"/>
      <c r="E2071" s="29" t="n"/>
      <c r="F2071" s="24" t="n"/>
      <c r="G2071" s="24" t="n"/>
      <c r="H2071" s="21">
        <f>IF(ISNUMBER($B2071),INT($B2071)-WEEKDAY($B2071,2)+1,"")</f>
        <v/>
      </c>
      <c r="I2071" s="24" t="n"/>
      <c r="J2071" s="22">
        <f t="array" ref="J2071">IF($D2071="","",IF($I2071="","(trống REF)",IFERROR(INDEX(MASTER_SOURCE!$B$2:$B$495,MATCH($I2071,MASTER_SOURCE!$A$2:$A$495,0)),"(REF không có trong MASTER_SOURCE)")))</f>
        <v/>
      </c>
      <c r="K2071" s="22">
        <f t="array" ref="K2071">IF($D2071="","",IFERROR(INDEX(MASTER_SOURCE!$C$2:$C$495,MATCH($I2071,MASTER_SOURCE!$A$2:$A$495,0)),""))</f>
        <v/>
      </c>
      <c r="L2071" s="22">
        <f t="array" ref="L2071">IF($D2071="","",IFERROR(INDEX(MASTER_SOURCE!$D$2:$D$495,MATCH($I2071,MASTER_SOURCE!$A$2:$A$495,0)),""))</f>
        <v/>
      </c>
      <c r="M2071" s="24" t="n"/>
      <c r="N2071" s="24" t="n"/>
      <c r="O2071" s="24" t="n"/>
      <c r="P2071" s="24" t="n"/>
      <c r="Q2071" s="22">
        <f>IF($D2071="","",IF(AND(OR(DANH_MUC!$L$5&lt;&gt;"Có",M2071="Có"),OR(DANH_MUC!$L$6&lt;&gt;"Có",N2071="Có"),OR(DANH_MUC!$L$7&lt;&gt;"Có",O2071="Có"),OR(DANH_MUC!$L$8&lt;&gt;"Có",P2071="Có")),"Có","Không"))</f>
        <v/>
      </c>
      <c r="R2071" s="22">
        <f>IF($D2071="","",IF(COUNTIF($D$2:$D2071,$D2071)&gt;1,"Trùng",""))</f>
        <v/>
      </c>
      <c r="S2071" s="22">
        <f>IF($D2071="","",IF(AND(LEN($D2071)=10,LEFT($D2071,1)="0",ISNUMBER(--$D2071)),"Có","Không"))</f>
        <v/>
      </c>
      <c r="T2071" s="22">
        <f>IF($D2071="","",IF(AND($C2071&lt;&gt;"",$Q2071="Có",$R2071="",$S2071="Có",AND($L2071&lt;&gt;"",OR($L2071&lt;&gt;"Chưa xác định",DANH_MUC!$L$9="Có"))),"Có","Không"))</f>
        <v/>
      </c>
      <c r="U2071" s="22">
        <f>IF(OR($D2071="",$T2071="Có"),"",IF($C2071="","Thiếu họ tên; ","")&amp;IF($S2071&lt;&gt;"Có","SĐT sai định dạng; ","")&amp;IF($R2071="Trùng","Trùng SĐT; ","")&amp;IF($Q2071&lt;&gt;"Có","Thiếu đồng ý bắt buộc; ","")&amp;IF($L2071="","Thiếu/sai Mã REF; ",IF(AND($L2071="Chưa xác định",DANH_MUC!$L$9&lt;&gt;"Có"),"Nguồn chưa xác định; ","")))</f>
        <v/>
      </c>
      <c r="V2071" s="22">
        <f>IF(OR($D2071="",$R2071="Trùng"),"",IF(COUNTIF(ORDERS!$C$2:$C$4995,$D2071)&gt;0,"Có","Không"))</f>
        <v/>
      </c>
      <c r="W2071" s="22">
        <f>IF(OR($D2071="",$R2071="Trùng"),"",COUNTIFS(ORDERS!$C$2:$C$4995,$D2071,ORDERS!$L$2:$L$4995,"Đã chuyển khoản"))</f>
        <v/>
      </c>
      <c r="X2071" s="23">
        <f>IF(OR($D2071="",$R2071="Trùng"),"",SUMIFS(ORDERS!$J$2:$J$4995,ORDERS!$C$2:$C$4995,$D2071,ORDERS!$L$2:$L$4995,"Đã chuyển khoản"))</f>
        <v/>
      </c>
      <c r="Y2071" s="24" t="n"/>
    </row>
    <row r="2072" ht="14.25" customHeight="1" s="40">
      <c r="A2072" s="24" t="n"/>
      <c r="B2072" s="27" t="n"/>
      <c r="C2072" s="24" t="n"/>
      <c r="D2072" s="28" t="n"/>
      <c r="E2072" s="29" t="n"/>
      <c r="F2072" s="24" t="n"/>
      <c r="G2072" s="24" t="n"/>
      <c r="H2072" s="21">
        <f>IF(ISNUMBER($B2072),INT($B2072)-WEEKDAY($B2072,2)+1,"")</f>
        <v/>
      </c>
      <c r="I2072" s="24" t="n"/>
      <c r="J2072" s="22">
        <f t="array" ref="J2072">IF($D2072="","",IF($I2072="","(trống REF)",IFERROR(INDEX(MASTER_SOURCE!$B$2:$B$495,MATCH($I2072,MASTER_SOURCE!$A$2:$A$495,0)),"(REF không có trong MASTER_SOURCE)")))</f>
        <v/>
      </c>
      <c r="K2072" s="22">
        <f t="array" ref="K2072">IF($D2072="","",IFERROR(INDEX(MASTER_SOURCE!$C$2:$C$495,MATCH($I2072,MASTER_SOURCE!$A$2:$A$495,0)),""))</f>
        <v/>
      </c>
      <c r="L2072" s="22">
        <f t="array" ref="L2072">IF($D2072="","",IFERROR(INDEX(MASTER_SOURCE!$D$2:$D$495,MATCH($I2072,MASTER_SOURCE!$A$2:$A$495,0)),""))</f>
        <v/>
      </c>
      <c r="M2072" s="24" t="n"/>
      <c r="N2072" s="24" t="n"/>
      <c r="O2072" s="24" t="n"/>
      <c r="P2072" s="24" t="n"/>
      <c r="Q2072" s="22">
        <f>IF($D2072="","",IF(AND(OR(DANH_MUC!$L$5&lt;&gt;"Có",M2072="Có"),OR(DANH_MUC!$L$6&lt;&gt;"Có",N2072="Có"),OR(DANH_MUC!$L$7&lt;&gt;"Có",O2072="Có"),OR(DANH_MUC!$L$8&lt;&gt;"Có",P2072="Có")),"Có","Không"))</f>
        <v/>
      </c>
      <c r="R2072" s="22">
        <f>IF($D2072="","",IF(COUNTIF($D$2:$D2072,$D2072)&gt;1,"Trùng",""))</f>
        <v/>
      </c>
      <c r="S2072" s="22">
        <f>IF($D2072="","",IF(AND(LEN($D2072)=10,LEFT($D2072,1)="0",ISNUMBER(--$D2072)),"Có","Không"))</f>
        <v/>
      </c>
      <c r="T2072" s="22">
        <f>IF($D2072="","",IF(AND($C2072&lt;&gt;"",$Q2072="Có",$R2072="",$S2072="Có",AND($L2072&lt;&gt;"",OR($L2072&lt;&gt;"Chưa xác định",DANH_MUC!$L$9="Có"))),"Có","Không"))</f>
        <v/>
      </c>
      <c r="U2072" s="22">
        <f>IF(OR($D2072="",$T2072="Có"),"",IF($C2072="","Thiếu họ tên; ","")&amp;IF($S2072&lt;&gt;"Có","SĐT sai định dạng; ","")&amp;IF($R2072="Trùng","Trùng SĐT; ","")&amp;IF($Q2072&lt;&gt;"Có","Thiếu đồng ý bắt buộc; ","")&amp;IF($L2072="","Thiếu/sai Mã REF; ",IF(AND($L2072="Chưa xác định",DANH_MUC!$L$9&lt;&gt;"Có"),"Nguồn chưa xác định; ","")))</f>
        <v/>
      </c>
      <c r="V2072" s="22">
        <f>IF(OR($D2072="",$R2072="Trùng"),"",IF(COUNTIF(ORDERS!$C$2:$C$4995,$D2072)&gt;0,"Có","Không"))</f>
        <v/>
      </c>
      <c r="W2072" s="22">
        <f>IF(OR($D2072="",$R2072="Trùng"),"",COUNTIFS(ORDERS!$C$2:$C$4995,$D2072,ORDERS!$L$2:$L$4995,"Đã chuyển khoản"))</f>
        <v/>
      </c>
      <c r="X2072" s="23">
        <f>IF(OR($D2072="",$R2072="Trùng"),"",SUMIFS(ORDERS!$J$2:$J$4995,ORDERS!$C$2:$C$4995,$D2072,ORDERS!$L$2:$L$4995,"Đã chuyển khoản"))</f>
        <v/>
      </c>
      <c r="Y2072" s="24" t="n"/>
    </row>
    <row r="2073" ht="14.25" customHeight="1" s="40">
      <c r="A2073" s="24" t="n"/>
      <c r="B2073" s="27" t="n"/>
      <c r="C2073" s="24" t="n"/>
      <c r="D2073" s="28" t="n"/>
      <c r="E2073" s="29" t="n"/>
      <c r="F2073" s="24" t="n"/>
      <c r="G2073" s="24" t="n"/>
      <c r="H2073" s="21">
        <f>IF(ISNUMBER($B2073),INT($B2073)-WEEKDAY($B2073,2)+1,"")</f>
        <v/>
      </c>
      <c r="I2073" s="24" t="n"/>
      <c r="J2073" s="22">
        <f t="array" ref="J2073">IF($D2073="","",IF($I2073="","(trống REF)",IFERROR(INDEX(MASTER_SOURCE!$B$2:$B$495,MATCH($I2073,MASTER_SOURCE!$A$2:$A$495,0)),"(REF không có trong MASTER_SOURCE)")))</f>
        <v/>
      </c>
      <c r="K2073" s="22">
        <f t="array" ref="K2073">IF($D2073="","",IFERROR(INDEX(MASTER_SOURCE!$C$2:$C$495,MATCH($I2073,MASTER_SOURCE!$A$2:$A$495,0)),""))</f>
        <v/>
      </c>
      <c r="L2073" s="22">
        <f t="array" ref="L2073">IF($D2073="","",IFERROR(INDEX(MASTER_SOURCE!$D$2:$D$495,MATCH($I2073,MASTER_SOURCE!$A$2:$A$495,0)),""))</f>
        <v/>
      </c>
      <c r="M2073" s="24" t="n"/>
      <c r="N2073" s="24" t="n"/>
      <c r="O2073" s="24" t="n"/>
      <c r="P2073" s="24" t="n"/>
      <c r="Q2073" s="22">
        <f>IF($D2073="","",IF(AND(OR(DANH_MUC!$L$5&lt;&gt;"Có",M2073="Có"),OR(DANH_MUC!$L$6&lt;&gt;"Có",N2073="Có"),OR(DANH_MUC!$L$7&lt;&gt;"Có",O2073="Có"),OR(DANH_MUC!$L$8&lt;&gt;"Có",P2073="Có")),"Có","Không"))</f>
        <v/>
      </c>
      <c r="R2073" s="22">
        <f>IF($D2073="","",IF(COUNTIF($D$2:$D2073,$D2073)&gt;1,"Trùng",""))</f>
        <v/>
      </c>
      <c r="S2073" s="22">
        <f>IF($D2073="","",IF(AND(LEN($D2073)=10,LEFT($D2073,1)="0",ISNUMBER(--$D2073)),"Có","Không"))</f>
        <v/>
      </c>
      <c r="T2073" s="22">
        <f>IF($D2073="","",IF(AND($C2073&lt;&gt;"",$Q2073="Có",$R2073="",$S2073="Có",AND($L2073&lt;&gt;"",OR($L2073&lt;&gt;"Chưa xác định",DANH_MUC!$L$9="Có"))),"Có","Không"))</f>
        <v/>
      </c>
      <c r="U2073" s="22">
        <f>IF(OR($D2073="",$T2073="Có"),"",IF($C2073="","Thiếu họ tên; ","")&amp;IF($S2073&lt;&gt;"Có","SĐT sai định dạng; ","")&amp;IF($R2073="Trùng","Trùng SĐT; ","")&amp;IF($Q2073&lt;&gt;"Có","Thiếu đồng ý bắt buộc; ","")&amp;IF($L2073="","Thiếu/sai Mã REF; ",IF(AND($L2073="Chưa xác định",DANH_MUC!$L$9&lt;&gt;"Có"),"Nguồn chưa xác định; ","")))</f>
        <v/>
      </c>
      <c r="V2073" s="22">
        <f>IF(OR($D2073="",$R2073="Trùng"),"",IF(COUNTIF(ORDERS!$C$2:$C$4995,$D2073)&gt;0,"Có","Không"))</f>
        <v/>
      </c>
      <c r="W2073" s="22">
        <f>IF(OR($D2073="",$R2073="Trùng"),"",COUNTIFS(ORDERS!$C$2:$C$4995,$D2073,ORDERS!$L$2:$L$4995,"Đã chuyển khoản"))</f>
        <v/>
      </c>
      <c r="X2073" s="23">
        <f>IF(OR($D2073="",$R2073="Trùng"),"",SUMIFS(ORDERS!$J$2:$J$4995,ORDERS!$C$2:$C$4995,$D2073,ORDERS!$L$2:$L$4995,"Đã chuyển khoản"))</f>
        <v/>
      </c>
      <c r="Y2073" s="24" t="n"/>
    </row>
    <row r="2074" ht="14.25" customHeight="1" s="40">
      <c r="A2074" s="24" t="n"/>
      <c r="B2074" s="27" t="n"/>
      <c r="C2074" s="24" t="n"/>
      <c r="D2074" s="28" t="n"/>
      <c r="E2074" s="29" t="n"/>
      <c r="F2074" s="24" t="n"/>
      <c r="G2074" s="24" t="n"/>
      <c r="H2074" s="21">
        <f>IF(ISNUMBER($B2074),INT($B2074)-WEEKDAY($B2074,2)+1,"")</f>
        <v/>
      </c>
      <c r="I2074" s="24" t="n"/>
      <c r="J2074" s="22">
        <f t="array" ref="J2074">IF($D2074="","",IF($I2074="","(trống REF)",IFERROR(INDEX(MASTER_SOURCE!$B$2:$B$495,MATCH($I2074,MASTER_SOURCE!$A$2:$A$495,0)),"(REF không có trong MASTER_SOURCE)")))</f>
        <v/>
      </c>
      <c r="K2074" s="22">
        <f t="array" ref="K2074">IF($D2074="","",IFERROR(INDEX(MASTER_SOURCE!$C$2:$C$495,MATCH($I2074,MASTER_SOURCE!$A$2:$A$495,0)),""))</f>
        <v/>
      </c>
      <c r="L2074" s="22">
        <f t="array" ref="L2074">IF($D2074="","",IFERROR(INDEX(MASTER_SOURCE!$D$2:$D$495,MATCH($I2074,MASTER_SOURCE!$A$2:$A$495,0)),""))</f>
        <v/>
      </c>
      <c r="M2074" s="24" t="n"/>
      <c r="N2074" s="24" t="n"/>
      <c r="O2074" s="24" t="n"/>
      <c r="P2074" s="24" t="n"/>
      <c r="Q2074" s="22">
        <f>IF($D2074="","",IF(AND(OR(DANH_MUC!$L$5&lt;&gt;"Có",M2074="Có"),OR(DANH_MUC!$L$6&lt;&gt;"Có",N2074="Có"),OR(DANH_MUC!$L$7&lt;&gt;"Có",O2074="Có"),OR(DANH_MUC!$L$8&lt;&gt;"Có",P2074="Có")),"Có","Không"))</f>
        <v/>
      </c>
      <c r="R2074" s="22">
        <f>IF($D2074="","",IF(COUNTIF($D$2:$D2074,$D2074)&gt;1,"Trùng",""))</f>
        <v/>
      </c>
      <c r="S2074" s="22">
        <f>IF($D2074="","",IF(AND(LEN($D2074)=10,LEFT($D2074,1)="0",ISNUMBER(--$D2074)),"Có","Không"))</f>
        <v/>
      </c>
      <c r="T2074" s="22">
        <f>IF($D2074="","",IF(AND($C2074&lt;&gt;"",$Q2074="Có",$R2074="",$S2074="Có",AND($L2074&lt;&gt;"",OR($L2074&lt;&gt;"Chưa xác định",DANH_MUC!$L$9="Có"))),"Có","Không"))</f>
        <v/>
      </c>
      <c r="U2074" s="22">
        <f>IF(OR($D2074="",$T2074="Có"),"",IF($C2074="","Thiếu họ tên; ","")&amp;IF($S2074&lt;&gt;"Có","SĐT sai định dạng; ","")&amp;IF($R2074="Trùng","Trùng SĐT; ","")&amp;IF($Q2074&lt;&gt;"Có","Thiếu đồng ý bắt buộc; ","")&amp;IF($L2074="","Thiếu/sai Mã REF; ",IF(AND($L2074="Chưa xác định",DANH_MUC!$L$9&lt;&gt;"Có"),"Nguồn chưa xác định; ","")))</f>
        <v/>
      </c>
      <c r="V2074" s="22">
        <f>IF(OR($D2074="",$R2074="Trùng"),"",IF(COUNTIF(ORDERS!$C$2:$C$4995,$D2074)&gt;0,"Có","Không"))</f>
        <v/>
      </c>
      <c r="W2074" s="22">
        <f>IF(OR($D2074="",$R2074="Trùng"),"",COUNTIFS(ORDERS!$C$2:$C$4995,$D2074,ORDERS!$L$2:$L$4995,"Đã chuyển khoản"))</f>
        <v/>
      </c>
      <c r="X2074" s="23">
        <f>IF(OR($D2074="",$R2074="Trùng"),"",SUMIFS(ORDERS!$J$2:$J$4995,ORDERS!$C$2:$C$4995,$D2074,ORDERS!$L$2:$L$4995,"Đã chuyển khoản"))</f>
        <v/>
      </c>
      <c r="Y2074" s="24" t="n"/>
    </row>
    <row r="2075" ht="14.25" customHeight="1" s="40">
      <c r="A2075" s="24" t="n"/>
      <c r="B2075" s="27" t="n"/>
      <c r="C2075" s="24" t="n"/>
      <c r="D2075" s="28" t="n"/>
      <c r="E2075" s="29" t="n"/>
      <c r="F2075" s="24" t="n"/>
      <c r="G2075" s="24" t="n"/>
      <c r="H2075" s="21">
        <f>IF(ISNUMBER($B2075),INT($B2075)-WEEKDAY($B2075,2)+1,"")</f>
        <v/>
      </c>
      <c r="I2075" s="24" t="n"/>
      <c r="J2075" s="22">
        <f t="array" ref="J2075">IF($D2075="","",IF($I2075="","(trống REF)",IFERROR(INDEX(MASTER_SOURCE!$B$2:$B$495,MATCH($I2075,MASTER_SOURCE!$A$2:$A$495,0)),"(REF không có trong MASTER_SOURCE)")))</f>
        <v/>
      </c>
      <c r="K2075" s="22">
        <f t="array" ref="K2075">IF($D2075="","",IFERROR(INDEX(MASTER_SOURCE!$C$2:$C$495,MATCH($I2075,MASTER_SOURCE!$A$2:$A$495,0)),""))</f>
        <v/>
      </c>
      <c r="L2075" s="22">
        <f t="array" ref="L2075">IF($D2075="","",IFERROR(INDEX(MASTER_SOURCE!$D$2:$D$495,MATCH($I2075,MASTER_SOURCE!$A$2:$A$495,0)),""))</f>
        <v/>
      </c>
      <c r="M2075" s="24" t="n"/>
      <c r="N2075" s="24" t="n"/>
      <c r="O2075" s="24" t="n"/>
      <c r="P2075" s="24" t="n"/>
      <c r="Q2075" s="22">
        <f>IF($D2075="","",IF(AND(OR(DANH_MUC!$L$5&lt;&gt;"Có",M2075="Có"),OR(DANH_MUC!$L$6&lt;&gt;"Có",N2075="Có"),OR(DANH_MUC!$L$7&lt;&gt;"Có",O2075="Có"),OR(DANH_MUC!$L$8&lt;&gt;"Có",P2075="Có")),"Có","Không"))</f>
        <v/>
      </c>
      <c r="R2075" s="22">
        <f>IF($D2075="","",IF(COUNTIF($D$2:$D2075,$D2075)&gt;1,"Trùng",""))</f>
        <v/>
      </c>
      <c r="S2075" s="22">
        <f>IF($D2075="","",IF(AND(LEN($D2075)=10,LEFT($D2075,1)="0",ISNUMBER(--$D2075)),"Có","Không"))</f>
        <v/>
      </c>
      <c r="T2075" s="22">
        <f>IF($D2075="","",IF(AND($C2075&lt;&gt;"",$Q2075="Có",$R2075="",$S2075="Có",AND($L2075&lt;&gt;"",OR($L2075&lt;&gt;"Chưa xác định",DANH_MUC!$L$9="Có"))),"Có","Không"))</f>
        <v/>
      </c>
      <c r="U2075" s="22">
        <f>IF(OR($D2075="",$T2075="Có"),"",IF($C2075="","Thiếu họ tên; ","")&amp;IF($S2075&lt;&gt;"Có","SĐT sai định dạng; ","")&amp;IF($R2075="Trùng","Trùng SĐT; ","")&amp;IF($Q2075&lt;&gt;"Có","Thiếu đồng ý bắt buộc; ","")&amp;IF($L2075="","Thiếu/sai Mã REF; ",IF(AND($L2075="Chưa xác định",DANH_MUC!$L$9&lt;&gt;"Có"),"Nguồn chưa xác định; ","")))</f>
        <v/>
      </c>
      <c r="V2075" s="22">
        <f>IF(OR($D2075="",$R2075="Trùng"),"",IF(COUNTIF(ORDERS!$C$2:$C$4995,$D2075)&gt;0,"Có","Không"))</f>
        <v/>
      </c>
      <c r="W2075" s="22">
        <f>IF(OR($D2075="",$R2075="Trùng"),"",COUNTIFS(ORDERS!$C$2:$C$4995,$D2075,ORDERS!$L$2:$L$4995,"Đã chuyển khoản"))</f>
        <v/>
      </c>
      <c r="X2075" s="23">
        <f>IF(OR($D2075="",$R2075="Trùng"),"",SUMIFS(ORDERS!$J$2:$J$4995,ORDERS!$C$2:$C$4995,$D2075,ORDERS!$L$2:$L$4995,"Đã chuyển khoản"))</f>
        <v/>
      </c>
      <c r="Y2075" s="24" t="n"/>
    </row>
    <row r="2076" ht="14.25" customHeight="1" s="40">
      <c r="A2076" s="24" t="n"/>
      <c r="B2076" s="27" t="n"/>
      <c r="C2076" s="24" t="n"/>
      <c r="D2076" s="28" t="n"/>
      <c r="E2076" s="29" t="n"/>
      <c r="F2076" s="24" t="n"/>
      <c r="G2076" s="24" t="n"/>
      <c r="H2076" s="21">
        <f>IF(ISNUMBER($B2076),INT($B2076)-WEEKDAY($B2076,2)+1,"")</f>
        <v/>
      </c>
      <c r="I2076" s="24" t="n"/>
      <c r="J2076" s="22">
        <f t="array" ref="J2076">IF($D2076="","",IF($I2076="","(trống REF)",IFERROR(INDEX(MASTER_SOURCE!$B$2:$B$495,MATCH($I2076,MASTER_SOURCE!$A$2:$A$495,0)),"(REF không có trong MASTER_SOURCE)")))</f>
        <v/>
      </c>
      <c r="K2076" s="22">
        <f t="array" ref="K2076">IF($D2076="","",IFERROR(INDEX(MASTER_SOURCE!$C$2:$C$495,MATCH($I2076,MASTER_SOURCE!$A$2:$A$495,0)),""))</f>
        <v/>
      </c>
      <c r="L2076" s="22">
        <f t="array" ref="L2076">IF($D2076="","",IFERROR(INDEX(MASTER_SOURCE!$D$2:$D$495,MATCH($I2076,MASTER_SOURCE!$A$2:$A$495,0)),""))</f>
        <v/>
      </c>
      <c r="M2076" s="24" t="n"/>
      <c r="N2076" s="24" t="n"/>
      <c r="O2076" s="24" t="n"/>
      <c r="P2076" s="24" t="n"/>
      <c r="Q2076" s="22">
        <f>IF($D2076="","",IF(AND(OR(DANH_MUC!$L$5&lt;&gt;"Có",M2076="Có"),OR(DANH_MUC!$L$6&lt;&gt;"Có",N2076="Có"),OR(DANH_MUC!$L$7&lt;&gt;"Có",O2076="Có"),OR(DANH_MUC!$L$8&lt;&gt;"Có",P2076="Có")),"Có","Không"))</f>
        <v/>
      </c>
      <c r="R2076" s="22">
        <f>IF($D2076="","",IF(COUNTIF($D$2:$D2076,$D2076)&gt;1,"Trùng",""))</f>
        <v/>
      </c>
      <c r="S2076" s="22">
        <f>IF($D2076="","",IF(AND(LEN($D2076)=10,LEFT($D2076,1)="0",ISNUMBER(--$D2076)),"Có","Không"))</f>
        <v/>
      </c>
      <c r="T2076" s="22">
        <f>IF($D2076="","",IF(AND($C2076&lt;&gt;"",$Q2076="Có",$R2076="",$S2076="Có",AND($L2076&lt;&gt;"",OR($L2076&lt;&gt;"Chưa xác định",DANH_MUC!$L$9="Có"))),"Có","Không"))</f>
        <v/>
      </c>
      <c r="U2076" s="22">
        <f>IF(OR($D2076="",$T2076="Có"),"",IF($C2076="","Thiếu họ tên; ","")&amp;IF($S2076&lt;&gt;"Có","SĐT sai định dạng; ","")&amp;IF($R2076="Trùng","Trùng SĐT; ","")&amp;IF($Q2076&lt;&gt;"Có","Thiếu đồng ý bắt buộc; ","")&amp;IF($L2076="","Thiếu/sai Mã REF; ",IF(AND($L2076="Chưa xác định",DANH_MUC!$L$9&lt;&gt;"Có"),"Nguồn chưa xác định; ","")))</f>
        <v/>
      </c>
      <c r="V2076" s="22">
        <f>IF(OR($D2076="",$R2076="Trùng"),"",IF(COUNTIF(ORDERS!$C$2:$C$4995,$D2076)&gt;0,"Có","Không"))</f>
        <v/>
      </c>
      <c r="W2076" s="22">
        <f>IF(OR($D2076="",$R2076="Trùng"),"",COUNTIFS(ORDERS!$C$2:$C$4995,$D2076,ORDERS!$L$2:$L$4995,"Đã chuyển khoản"))</f>
        <v/>
      </c>
      <c r="X2076" s="23">
        <f>IF(OR($D2076="",$R2076="Trùng"),"",SUMIFS(ORDERS!$J$2:$J$4995,ORDERS!$C$2:$C$4995,$D2076,ORDERS!$L$2:$L$4995,"Đã chuyển khoản"))</f>
        <v/>
      </c>
      <c r="Y2076" s="24" t="n"/>
    </row>
    <row r="2077" ht="14.25" customHeight="1" s="40">
      <c r="A2077" s="24" t="n"/>
      <c r="B2077" s="27" t="n"/>
      <c r="C2077" s="24" t="n"/>
      <c r="D2077" s="28" t="n"/>
      <c r="E2077" s="29" t="n"/>
      <c r="F2077" s="24" t="n"/>
      <c r="G2077" s="24" t="n"/>
      <c r="H2077" s="21">
        <f>IF(ISNUMBER($B2077),INT($B2077)-WEEKDAY($B2077,2)+1,"")</f>
        <v/>
      </c>
      <c r="I2077" s="24" t="n"/>
      <c r="J2077" s="22">
        <f t="array" ref="J2077">IF($D2077="","",IF($I2077="","(trống REF)",IFERROR(INDEX(MASTER_SOURCE!$B$2:$B$495,MATCH($I2077,MASTER_SOURCE!$A$2:$A$495,0)),"(REF không có trong MASTER_SOURCE)")))</f>
        <v/>
      </c>
      <c r="K2077" s="22">
        <f t="array" ref="K2077">IF($D2077="","",IFERROR(INDEX(MASTER_SOURCE!$C$2:$C$495,MATCH($I2077,MASTER_SOURCE!$A$2:$A$495,0)),""))</f>
        <v/>
      </c>
      <c r="L2077" s="22">
        <f t="array" ref="L2077">IF($D2077="","",IFERROR(INDEX(MASTER_SOURCE!$D$2:$D$495,MATCH($I2077,MASTER_SOURCE!$A$2:$A$495,0)),""))</f>
        <v/>
      </c>
      <c r="M2077" s="24" t="n"/>
      <c r="N2077" s="24" t="n"/>
      <c r="O2077" s="24" t="n"/>
      <c r="P2077" s="24" t="n"/>
      <c r="Q2077" s="22">
        <f>IF($D2077="","",IF(AND(OR(DANH_MUC!$L$5&lt;&gt;"Có",M2077="Có"),OR(DANH_MUC!$L$6&lt;&gt;"Có",N2077="Có"),OR(DANH_MUC!$L$7&lt;&gt;"Có",O2077="Có"),OR(DANH_MUC!$L$8&lt;&gt;"Có",P2077="Có")),"Có","Không"))</f>
        <v/>
      </c>
      <c r="R2077" s="22">
        <f>IF($D2077="","",IF(COUNTIF($D$2:$D2077,$D2077)&gt;1,"Trùng",""))</f>
        <v/>
      </c>
      <c r="S2077" s="22">
        <f>IF($D2077="","",IF(AND(LEN($D2077)=10,LEFT($D2077,1)="0",ISNUMBER(--$D2077)),"Có","Không"))</f>
        <v/>
      </c>
      <c r="T2077" s="22">
        <f>IF($D2077="","",IF(AND($C2077&lt;&gt;"",$Q2077="Có",$R2077="",$S2077="Có",AND($L2077&lt;&gt;"",OR($L2077&lt;&gt;"Chưa xác định",DANH_MUC!$L$9="Có"))),"Có","Không"))</f>
        <v/>
      </c>
      <c r="U2077" s="22">
        <f>IF(OR($D2077="",$T2077="Có"),"",IF($C2077="","Thiếu họ tên; ","")&amp;IF($S2077&lt;&gt;"Có","SĐT sai định dạng; ","")&amp;IF($R2077="Trùng","Trùng SĐT; ","")&amp;IF($Q2077&lt;&gt;"Có","Thiếu đồng ý bắt buộc; ","")&amp;IF($L2077="","Thiếu/sai Mã REF; ",IF(AND($L2077="Chưa xác định",DANH_MUC!$L$9&lt;&gt;"Có"),"Nguồn chưa xác định; ","")))</f>
        <v/>
      </c>
      <c r="V2077" s="22">
        <f>IF(OR($D2077="",$R2077="Trùng"),"",IF(COUNTIF(ORDERS!$C$2:$C$4995,$D2077)&gt;0,"Có","Không"))</f>
        <v/>
      </c>
      <c r="W2077" s="22">
        <f>IF(OR($D2077="",$R2077="Trùng"),"",COUNTIFS(ORDERS!$C$2:$C$4995,$D2077,ORDERS!$L$2:$L$4995,"Đã chuyển khoản"))</f>
        <v/>
      </c>
      <c r="X2077" s="23">
        <f>IF(OR($D2077="",$R2077="Trùng"),"",SUMIFS(ORDERS!$J$2:$J$4995,ORDERS!$C$2:$C$4995,$D2077,ORDERS!$L$2:$L$4995,"Đã chuyển khoản"))</f>
        <v/>
      </c>
      <c r="Y2077" s="24" t="n"/>
    </row>
    <row r="2078" ht="14.25" customHeight="1" s="40">
      <c r="A2078" s="24" t="n"/>
      <c r="B2078" s="27" t="n"/>
      <c r="C2078" s="24" t="n"/>
      <c r="D2078" s="28" t="n"/>
      <c r="E2078" s="29" t="n"/>
      <c r="F2078" s="24" t="n"/>
      <c r="G2078" s="24" t="n"/>
      <c r="H2078" s="21">
        <f>IF(ISNUMBER($B2078),INT($B2078)-WEEKDAY($B2078,2)+1,"")</f>
        <v/>
      </c>
      <c r="I2078" s="24" t="n"/>
      <c r="J2078" s="22">
        <f t="array" ref="J2078">IF($D2078="","",IF($I2078="","(trống REF)",IFERROR(INDEX(MASTER_SOURCE!$B$2:$B$495,MATCH($I2078,MASTER_SOURCE!$A$2:$A$495,0)),"(REF không có trong MASTER_SOURCE)")))</f>
        <v/>
      </c>
      <c r="K2078" s="22">
        <f t="array" ref="K2078">IF($D2078="","",IFERROR(INDEX(MASTER_SOURCE!$C$2:$C$495,MATCH($I2078,MASTER_SOURCE!$A$2:$A$495,0)),""))</f>
        <v/>
      </c>
      <c r="L2078" s="22">
        <f t="array" ref="L2078">IF($D2078="","",IFERROR(INDEX(MASTER_SOURCE!$D$2:$D$495,MATCH($I2078,MASTER_SOURCE!$A$2:$A$495,0)),""))</f>
        <v/>
      </c>
      <c r="M2078" s="24" t="n"/>
      <c r="N2078" s="24" t="n"/>
      <c r="O2078" s="24" t="n"/>
      <c r="P2078" s="24" t="n"/>
      <c r="Q2078" s="22">
        <f>IF($D2078="","",IF(AND(OR(DANH_MUC!$L$5&lt;&gt;"Có",M2078="Có"),OR(DANH_MUC!$L$6&lt;&gt;"Có",N2078="Có"),OR(DANH_MUC!$L$7&lt;&gt;"Có",O2078="Có"),OR(DANH_MUC!$L$8&lt;&gt;"Có",P2078="Có")),"Có","Không"))</f>
        <v/>
      </c>
      <c r="R2078" s="22">
        <f>IF($D2078="","",IF(COUNTIF($D$2:$D2078,$D2078)&gt;1,"Trùng",""))</f>
        <v/>
      </c>
      <c r="S2078" s="22">
        <f>IF($D2078="","",IF(AND(LEN($D2078)=10,LEFT($D2078,1)="0",ISNUMBER(--$D2078)),"Có","Không"))</f>
        <v/>
      </c>
      <c r="T2078" s="22">
        <f>IF($D2078="","",IF(AND($C2078&lt;&gt;"",$Q2078="Có",$R2078="",$S2078="Có",AND($L2078&lt;&gt;"",OR($L2078&lt;&gt;"Chưa xác định",DANH_MUC!$L$9="Có"))),"Có","Không"))</f>
        <v/>
      </c>
      <c r="U2078" s="22">
        <f>IF(OR($D2078="",$T2078="Có"),"",IF($C2078="","Thiếu họ tên; ","")&amp;IF($S2078&lt;&gt;"Có","SĐT sai định dạng; ","")&amp;IF($R2078="Trùng","Trùng SĐT; ","")&amp;IF($Q2078&lt;&gt;"Có","Thiếu đồng ý bắt buộc; ","")&amp;IF($L2078="","Thiếu/sai Mã REF; ",IF(AND($L2078="Chưa xác định",DANH_MUC!$L$9&lt;&gt;"Có"),"Nguồn chưa xác định; ","")))</f>
        <v/>
      </c>
      <c r="V2078" s="22">
        <f>IF(OR($D2078="",$R2078="Trùng"),"",IF(COUNTIF(ORDERS!$C$2:$C$4995,$D2078)&gt;0,"Có","Không"))</f>
        <v/>
      </c>
      <c r="W2078" s="22">
        <f>IF(OR($D2078="",$R2078="Trùng"),"",COUNTIFS(ORDERS!$C$2:$C$4995,$D2078,ORDERS!$L$2:$L$4995,"Đã chuyển khoản"))</f>
        <v/>
      </c>
      <c r="X2078" s="23">
        <f>IF(OR($D2078="",$R2078="Trùng"),"",SUMIFS(ORDERS!$J$2:$J$4995,ORDERS!$C$2:$C$4995,$D2078,ORDERS!$L$2:$L$4995,"Đã chuyển khoản"))</f>
        <v/>
      </c>
      <c r="Y2078" s="24" t="n"/>
    </row>
    <row r="2079" ht="14.25" customHeight="1" s="40">
      <c r="A2079" s="24" t="n"/>
      <c r="B2079" s="27" t="n"/>
      <c r="C2079" s="24" t="n"/>
      <c r="D2079" s="28" t="n"/>
      <c r="E2079" s="29" t="n"/>
      <c r="F2079" s="24" t="n"/>
      <c r="G2079" s="24" t="n"/>
      <c r="H2079" s="21">
        <f>IF(ISNUMBER($B2079),INT($B2079)-WEEKDAY($B2079,2)+1,"")</f>
        <v/>
      </c>
      <c r="I2079" s="24" t="n"/>
      <c r="J2079" s="22">
        <f t="array" ref="J2079">IF($D2079="","",IF($I2079="","(trống REF)",IFERROR(INDEX(MASTER_SOURCE!$B$2:$B$495,MATCH($I2079,MASTER_SOURCE!$A$2:$A$495,0)),"(REF không có trong MASTER_SOURCE)")))</f>
        <v/>
      </c>
      <c r="K2079" s="22">
        <f t="array" ref="K2079">IF($D2079="","",IFERROR(INDEX(MASTER_SOURCE!$C$2:$C$495,MATCH($I2079,MASTER_SOURCE!$A$2:$A$495,0)),""))</f>
        <v/>
      </c>
      <c r="L2079" s="22">
        <f t="array" ref="L2079">IF($D2079="","",IFERROR(INDEX(MASTER_SOURCE!$D$2:$D$495,MATCH($I2079,MASTER_SOURCE!$A$2:$A$495,0)),""))</f>
        <v/>
      </c>
      <c r="M2079" s="24" t="n"/>
      <c r="N2079" s="24" t="n"/>
      <c r="O2079" s="24" t="n"/>
      <c r="P2079" s="24" t="n"/>
      <c r="Q2079" s="22">
        <f>IF($D2079="","",IF(AND(OR(DANH_MUC!$L$5&lt;&gt;"Có",M2079="Có"),OR(DANH_MUC!$L$6&lt;&gt;"Có",N2079="Có"),OR(DANH_MUC!$L$7&lt;&gt;"Có",O2079="Có"),OR(DANH_MUC!$L$8&lt;&gt;"Có",P2079="Có")),"Có","Không"))</f>
        <v/>
      </c>
      <c r="R2079" s="22">
        <f>IF($D2079="","",IF(COUNTIF($D$2:$D2079,$D2079)&gt;1,"Trùng",""))</f>
        <v/>
      </c>
      <c r="S2079" s="22">
        <f>IF($D2079="","",IF(AND(LEN($D2079)=10,LEFT($D2079,1)="0",ISNUMBER(--$D2079)),"Có","Không"))</f>
        <v/>
      </c>
      <c r="T2079" s="22">
        <f>IF($D2079="","",IF(AND($C2079&lt;&gt;"",$Q2079="Có",$R2079="",$S2079="Có",AND($L2079&lt;&gt;"",OR($L2079&lt;&gt;"Chưa xác định",DANH_MUC!$L$9="Có"))),"Có","Không"))</f>
        <v/>
      </c>
      <c r="U2079" s="22">
        <f>IF(OR($D2079="",$T2079="Có"),"",IF($C2079="","Thiếu họ tên; ","")&amp;IF($S2079&lt;&gt;"Có","SĐT sai định dạng; ","")&amp;IF($R2079="Trùng","Trùng SĐT; ","")&amp;IF($Q2079&lt;&gt;"Có","Thiếu đồng ý bắt buộc; ","")&amp;IF($L2079="","Thiếu/sai Mã REF; ",IF(AND($L2079="Chưa xác định",DANH_MUC!$L$9&lt;&gt;"Có"),"Nguồn chưa xác định; ","")))</f>
        <v/>
      </c>
      <c r="V2079" s="22">
        <f>IF(OR($D2079="",$R2079="Trùng"),"",IF(COUNTIF(ORDERS!$C$2:$C$4995,$D2079)&gt;0,"Có","Không"))</f>
        <v/>
      </c>
      <c r="W2079" s="22">
        <f>IF(OR($D2079="",$R2079="Trùng"),"",COUNTIFS(ORDERS!$C$2:$C$4995,$D2079,ORDERS!$L$2:$L$4995,"Đã chuyển khoản"))</f>
        <v/>
      </c>
      <c r="X2079" s="23">
        <f>IF(OR($D2079="",$R2079="Trùng"),"",SUMIFS(ORDERS!$J$2:$J$4995,ORDERS!$C$2:$C$4995,$D2079,ORDERS!$L$2:$L$4995,"Đã chuyển khoản"))</f>
        <v/>
      </c>
      <c r="Y2079" s="24" t="n"/>
    </row>
    <row r="2080" ht="14.25" customHeight="1" s="40">
      <c r="A2080" s="24" t="n"/>
      <c r="B2080" s="27" t="n"/>
      <c r="C2080" s="24" t="n"/>
      <c r="D2080" s="28" t="n"/>
      <c r="E2080" s="29" t="n"/>
      <c r="F2080" s="24" t="n"/>
      <c r="G2080" s="24" t="n"/>
      <c r="H2080" s="21">
        <f>IF(ISNUMBER($B2080),INT($B2080)-WEEKDAY($B2080,2)+1,"")</f>
        <v/>
      </c>
      <c r="I2080" s="24" t="n"/>
      <c r="J2080" s="22">
        <f t="array" ref="J2080">IF($D2080="","",IF($I2080="","(trống REF)",IFERROR(INDEX(MASTER_SOURCE!$B$2:$B$495,MATCH($I2080,MASTER_SOURCE!$A$2:$A$495,0)),"(REF không có trong MASTER_SOURCE)")))</f>
        <v/>
      </c>
      <c r="K2080" s="22">
        <f t="array" ref="K2080">IF($D2080="","",IFERROR(INDEX(MASTER_SOURCE!$C$2:$C$495,MATCH($I2080,MASTER_SOURCE!$A$2:$A$495,0)),""))</f>
        <v/>
      </c>
      <c r="L2080" s="22">
        <f t="array" ref="L2080">IF($D2080="","",IFERROR(INDEX(MASTER_SOURCE!$D$2:$D$495,MATCH($I2080,MASTER_SOURCE!$A$2:$A$495,0)),""))</f>
        <v/>
      </c>
      <c r="M2080" s="24" t="n"/>
      <c r="N2080" s="24" t="n"/>
      <c r="O2080" s="24" t="n"/>
      <c r="P2080" s="24" t="n"/>
      <c r="Q2080" s="22">
        <f>IF($D2080="","",IF(AND(OR(DANH_MUC!$L$5&lt;&gt;"Có",M2080="Có"),OR(DANH_MUC!$L$6&lt;&gt;"Có",N2080="Có"),OR(DANH_MUC!$L$7&lt;&gt;"Có",O2080="Có"),OR(DANH_MUC!$L$8&lt;&gt;"Có",P2080="Có")),"Có","Không"))</f>
        <v/>
      </c>
      <c r="R2080" s="22">
        <f>IF($D2080="","",IF(COUNTIF($D$2:$D2080,$D2080)&gt;1,"Trùng",""))</f>
        <v/>
      </c>
      <c r="S2080" s="22">
        <f>IF($D2080="","",IF(AND(LEN($D2080)=10,LEFT($D2080,1)="0",ISNUMBER(--$D2080)),"Có","Không"))</f>
        <v/>
      </c>
      <c r="T2080" s="22">
        <f>IF($D2080="","",IF(AND($C2080&lt;&gt;"",$Q2080="Có",$R2080="",$S2080="Có",AND($L2080&lt;&gt;"",OR($L2080&lt;&gt;"Chưa xác định",DANH_MUC!$L$9="Có"))),"Có","Không"))</f>
        <v/>
      </c>
      <c r="U2080" s="22">
        <f>IF(OR($D2080="",$T2080="Có"),"",IF($C2080="","Thiếu họ tên; ","")&amp;IF($S2080&lt;&gt;"Có","SĐT sai định dạng; ","")&amp;IF($R2080="Trùng","Trùng SĐT; ","")&amp;IF($Q2080&lt;&gt;"Có","Thiếu đồng ý bắt buộc; ","")&amp;IF($L2080="","Thiếu/sai Mã REF; ",IF(AND($L2080="Chưa xác định",DANH_MUC!$L$9&lt;&gt;"Có"),"Nguồn chưa xác định; ","")))</f>
        <v/>
      </c>
      <c r="V2080" s="22">
        <f>IF(OR($D2080="",$R2080="Trùng"),"",IF(COUNTIF(ORDERS!$C$2:$C$4995,$D2080)&gt;0,"Có","Không"))</f>
        <v/>
      </c>
      <c r="W2080" s="22">
        <f>IF(OR($D2080="",$R2080="Trùng"),"",COUNTIFS(ORDERS!$C$2:$C$4995,$D2080,ORDERS!$L$2:$L$4995,"Đã chuyển khoản"))</f>
        <v/>
      </c>
      <c r="X2080" s="23">
        <f>IF(OR($D2080="",$R2080="Trùng"),"",SUMIFS(ORDERS!$J$2:$J$4995,ORDERS!$C$2:$C$4995,$D2080,ORDERS!$L$2:$L$4995,"Đã chuyển khoản"))</f>
        <v/>
      </c>
      <c r="Y2080" s="24" t="n"/>
    </row>
    <row r="2081" ht="14.25" customHeight="1" s="40">
      <c r="A2081" s="24" t="n"/>
      <c r="B2081" s="27" t="n"/>
      <c r="C2081" s="24" t="n"/>
      <c r="D2081" s="28" t="n"/>
      <c r="E2081" s="29" t="n"/>
      <c r="F2081" s="24" t="n"/>
      <c r="G2081" s="24" t="n"/>
      <c r="H2081" s="21">
        <f>IF(ISNUMBER($B2081),INT($B2081)-WEEKDAY($B2081,2)+1,"")</f>
        <v/>
      </c>
      <c r="I2081" s="24" t="n"/>
      <c r="J2081" s="22">
        <f t="array" ref="J2081">IF($D2081="","",IF($I2081="","(trống REF)",IFERROR(INDEX(MASTER_SOURCE!$B$2:$B$495,MATCH($I2081,MASTER_SOURCE!$A$2:$A$495,0)),"(REF không có trong MASTER_SOURCE)")))</f>
        <v/>
      </c>
      <c r="K2081" s="22">
        <f t="array" ref="K2081">IF($D2081="","",IFERROR(INDEX(MASTER_SOURCE!$C$2:$C$495,MATCH($I2081,MASTER_SOURCE!$A$2:$A$495,0)),""))</f>
        <v/>
      </c>
      <c r="L2081" s="22">
        <f t="array" ref="L2081">IF($D2081="","",IFERROR(INDEX(MASTER_SOURCE!$D$2:$D$495,MATCH($I2081,MASTER_SOURCE!$A$2:$A$495,0)),""))</f>
        <v/>
      </c>
      <c r="M2081" s="24" t="n"/>
      <c r="N2081" s="24" t="n"/>
      <c r="O2081" s="24" t="n"/>
      <c r="P2081" s="24" t="n"/>
      <c r="Q2081" s="22">
        <f>IF($D2081="","",IF(AND(OR(DANH_MUC!$L$5&lt;&gt;"Có",M2081="Có"),OR(DANH_MUC!$L$6&lt;&gt;"Có",N2081="Có"),OR(DANH_MUC!$L$7&lt;&gt;"Có",O2081="Có"),OR(DANH_MUC!$L$8&lt;&gt;"Có",P2081="Có")),"Có","Không"))</f>
        <v/>
      </c>
      <c r="R2081" s="22">
        <f>IF($D2081="","",IF(COUNTIF($D$2:$D2081,$D2081)&gt;1,"Trùng",""))</f>
        <v/>
      </c>
      <c r="S2081" s="22">
        <f>IF($D2081="","",IF(AND(LEN($D2081)=10,LEFT($D2081,1)="0",ISNUMBER(--$D2081)),"Có","Không"))</f>
        <v/>
      </c>
      <c r="T2081" s="22">
        <f>IF($D2081="","",IF(AND($C2081&lt;&gt;"",$Q2081="Có",$R2081="",$S2081="Có",AND($L2081&lt;&gt;"",OR($L2081&lt;&gt;"Chưa xác định",DANH_MUC!$L$9="Có"))),"Có","Không"))</f>
        <v/>
      </c>
      <c r="U2081" s="22">
        <f>IF(OR($D2081="",$T2081="Có"),"",IF($C2081="","Thiếu họ tên; ","")&amp;IF($S2081&lt;&gt;"Có","SĐT sai định dạng; ","")&amp;IF($R2081="Trùng","Trùng SĐT; ","")&amp;IF($Q2081&lt;&gt;"Có","Thiếu đồng ý bắt buộc; ","")&amp;IF($L2081="","Thiếu/sai Mã REF; ",IF(AND($L2081="Chưa xác định",DANH_MUC!$L$9&lt;&gt;"Có"),"Nguồn chưa xác định; ","")))</f>
        <v/>
      </c>
      <c r="V2081" s="22">
        <f>IF(OR($D2081="",$R2081="Trùng"),"",IF(COUNTIF(ORDERS!$C$2:$C$4995,$D2081)&gt;0,"Có","Không"))</f>
        <v/>
      </c>
      <c r="W2081" s="22">
        <f>IF(OR($D2081="",$R2081="Trùng"),"",COUNTIFS(ORDERS!$C$2:$C$4995,$D2081,ORDERS!$L$2:$L$4995,"Đã chuyển khoản"))</f>
        <v/>
      </c>
      <c r="X2081" s="23">
        <f>IF(OR($D2081="",$R2081="Trùng"),"",SUMIFS(ORDERS!$J$2:$J$4995,ORDERS!$C$2:$C$4995,$D2081,ORDERS!$L$2:$L$4995,"Đã chuyển khoản"))</f>
        <v/>
      </c>
      <c r="Y2081" s="24" t="n"/>
    </row>
    <row r="2082" ht="14.25" customHeight="1" s="40">
      <c r="A2082" s="24" t="n"/>
      <c r="B2082" s="27" t="n"/>
      <c r="C2082" s="24" t="n"/>
      <c r="D2082" s="28" t="n"/>
      <c r="E2082" s="29" t="n"/>
      <c r="F2082" s="24" t="n"/>
      <c r="G2082" s="24" t="n"/>
      <c r="H2082" s="21">
        <f>IF(ISNUMBER($B2082),INT($B2082)-WEEKDAY($B2082,2)+1,"")</f>
        <v/>
      </c>
      <c r="I2082" s="24" t="n"/>
      <c r="J2082" s="22">
        <f t="array" ref="J2082">IF($D2082="","",IF($I2082="","(trống REF)",IFERROR(INDEX(MASTER_SOURCE!$B$2:$B$495,MATCH($I2082,MASTER_SOURCE!$A$2:$A$495,0)),"(REF không có trong MASTER_SOURCE)")))</f>
        <v/>
      </c>
      <c r="K2082" s="22">
        <f t="array" ref="K2082">IF($D2082="","",IFERROR(INDEX(MASTER_SOURCE!$C$2:$C$495,MATCH($I2082,MASTER_SOURCE!$A$2:$A$495,0)),""))</f>
        <v/>
      </c>
      <c r="L2082" s="22">
        <f t="array" ref="L2082">IF($D2082="","",IFERROR(INDEX(MASTER_SOURCE!$D$2:$D$495,MATCH($I2082,MASTER_SOURCE!$A$2:$A$495,0)),""))</f>
        <v/>
      </c>
      <c r="M2082" s="24" t="n"/>
      <c r="N2082" s="24" t="n"/>
      <c r="O2082" s="24" t="n"/>
      <c r="P2082" s="24" t="n"/>
      <c r="Q2082" s="22">
        <f>IF($D2082="","",IF(AND(OR(DANH_MUC!$L$5&lt;&gt;"Có",M2082="Có"),OR(DANH_MUC!$L$6&lt;&gt;"Có",N2082="Có"),OR(DANH_MUC!$L$7&lt;&gt;"Có",O2082="Có"),OR(DANH_MUC!$L$8&lt;&gt;"Có",P2082="Có")),"Có","Không"))</f>
        <v/>
      </c>
      <c r="R2082" s="22">
        <f>IF($D2082="","",IF(COUNTIF($D$2:$D2082,$D2082)&gt;1,"Trùng",""))</f>
        <v/>
      </c>
      <c r="S2082" s="22">
        <f>IF($D2082="","",IF(AND(LEN($D2082)=10,LEFT($D2082,1)="0",ISNUMBER(--$D2082)),"Có","Không"))</f>
        <v/>
      </c>
      <c r="T2082" s="22">
        <f>IF($D2082="","",IF(AND($C2082&lt;&gt;"",$Q2082="Có",$R2082="",$S2082="Có",AND($L2082&lt;&gt;"",OR($L2082&lt;&gt;"Chưa xác định",DANH_MUC!$L$9="Có"))),"Có","Không"))</f>
        <v/>
      </c>
      <c r="U2082" s="22">
        <f>IF(OR($D2082="",$T2082="Có"),"",IF($C2082="","Thiếu họ tên; ","")&amp;IF($S2082&lt;&gt;"Có","SĐT sai định dạng; ","")&amp;IF($R2082="Trùng","Trùng SĐT; ","")&amp;IF($Q2082&lt;&gt;"Có","Thiếu đồng ý bắt buộc; ","")&amp;IF($L2082="","Thiếu/sai Mã REF; ",IF(AND($L2082="Chưa xác định",DANH_MUC!$L$9&lt;&gt;"Có"),"Nguồn chưa xác định; ","")))</f>
        <v/>
      </c>
      <c r="V2082" s="22">
        <f>IF(OR($D2082="",$R2082="Trùng"),"",IF(COUNTIF(ORDERS!$C$2:$C$4995,$D2082)&gt;0,"Có","Không"))</f>
        <v/>
      </c>
      <c r="W2082" s="22">
        <f>IF(OR($D2082="",$R2082="Trùng"),"",COUNTIFS(ORDERS!$C$2:$C$4995,$D2082,ORDERS!$L$2:$L$4995,"Đã chuyển khoản"))</f>
        <v/>
      </c>
      <c r="X2082" s="23">
        <f>IF(OR($D2082="",$R2082="Trùng"),"",SUMIFS(ORDERS!$J$2:$J$4995,ORDERS!$C$2:$C$4995,$D2082,ORDERS!$L$2:$L$4995,"Đã chuyển khoản"))</f>
        <v/>
      </c>
      <c r="Y2082" s="24" t="n"/>
    </row>
    <row r="2083" ht="14.25" customHeight="1" s="40">
      <c r="A2083" s="24" t="n"/>
      <c r="B2083" s="27" t="n"/>
      <c r="C2083" s="24" t="n"/>
      <c r="D2083" s="28" t="n"/>
      <c r="E2083" s="29" t="n"/>
      <c r="F2083" s="24" t="n"/>
      <c r="G2083" s="24" t="n"/>
      <c r="H2083" s="21">
        <f>IF(ISNUMBER($B2083),INT($B2083)-WEEKDAY($B2083,2)+1,"")</f>
        <v/>
      </c>
      <c r="I2083" s="24" t="n"/>
      <c r="J2083" s="22">
        <f t="array" ref="J2083">IF($D2083="","",IF($I2083="","(trống REF)",IFERROR(INDEX(MASTER_SOURCE!$B$2:$B$495,MATCH($I2083,MASTER_SOURCE!$A$2:$A$495,0)),"(REF không có trong MASTER_SOURCE)")))</f>
        <v/>
      </c>
      <c r="K2083" s="22">
        <f t="array" ref="K2083">IF($D2083="","",IFERROR(INDEX(MASTER_SOURCE!$C$2:$C$495,MATCH($I2083,MASTER_SOURCE!$A$2:$A$495,0)),""))</f>
        <v/>
      </c>
      <c r="L2083" s="22">
        <f t="array" ref="L2083">IF($D2083="","",IFERROR(INDEX(MASTER_SOURCE!$D$2:$D$495,MATCH($I2083,MASTER_SOURCE!$A$2:$A$495,0)),""))</f>
        <v/>
      </c>
      <c r="M2083" s="24" t="n"/>
      <c r="N2083" s="24" t="n"/>
      <c r="O2083" s="24" t="n"/>
      <c r="P2083" s="24" t="n"/>
      <c r="Q2083" s="22">
        <f>IF($D2083="","",IF(AND(OR(DANH_MUC!$L$5&lt;&gt;"Có",M2083="Có"),OR(DANH_MUC!$L$6&lt;&gt;"Có",N2083="Có"),OR(DANH_MUC!$L$7&lt;&gt;"Có",O2083="Có"),OR(DANH_MUC!$L$8&lt;&gt;"Có",P2083="Có")),"Có","Không"))</f>
        <v/>
      </c>
      <c r="R2083" s="22">
        <f>IF($D2083="","",IF(COUNTIF($D$2:$D2083,$D2083)&gt;1,"Trùng",""))</f>
        <v/>
      </c>
      <c r="S2083" s="22">
        <f>IF($D2083="","",IF(AND(LEN($D2083)=10,LEFT($D2083,1)="0",ISNUMBER(--$D2083)),"Có","Không"))</f>
        <v/>
      </c>
      <c r="T2083" s="22">
        <f>IF($D2083="","",IF(AND($C2083&lt;&gt;"",$Q2083="Có",$R2083="",$S2083="Có",AND($L2083&lt;&gt;"",OR($L2083&lt;&gt;"Chưa xác định",DANH_MUC!$L$9="Có"))),"Có","Không"))</f>
        <v/>
      </c>
      <c r="U2083" s="22">
        <f>IF(OR($D2083="",$T2083="Có"),"",IF($C2083="","Thiếu họ tên; ","")&amp;IF($S2083&lt;&gt;"Có","SĐT sai định dạng; ","")&amp;IF($R2083="Trùng","Trùng SĐT; ","")&amp;IF($Q2083&lt;&gt;"Có","Thiếu đồng ý bắt buộc; ","")&amp;IF($L2083="","Thiếu/sai Mã REF; ",IF(AND($L2083="Chưa xác định",DANH_MUC!$L$9&lt;&gt;"Có"),"Nguồn chưa xác định; ","")))</f>
        <v/>
      </c>
      <c r="V2083" s="22">
        <f>IF(OR($D2083="",$R2083="Trùng"),"",IF(COUNTIF(ORDERS!$C$2:$C$4995,$D2083)&gt;0,"Có","Không"))</f>
        <v/>
      </c>
      <c r="W2083" s="22">
        <f>IF(OR($D2083="",$R2083="Trùng"),"",COUNTIFS(ORDERS!$C$2:$C$4995,$D2083,ORDERS!$L$2:$L$4995,"Đã chuyển khoản"))</f>
        <v/>
      </c>
      <c r="X2083" s="23">
        <f>IF(OR($D2083="",$R2083="Trùng"),"",SUMIFS(ORDERS!$J$2:$J$4995,ORDERS!$C$2:$C$4995,$D2083,ORDERS!$L$2:$L$4995,"Đã chuyển khoản"))</f>
        <v/>
      </c>
      <c r="Y2083" s="24" t="n"/>
    </row>
    <row r="2084" ht="14.25" customHeight="1" s="40">
      <c r="A2084" s="24" t="n"/>
      <c r="B2084" s="27" t="n"/>
      <c r="C2084" s="24" t="n"/>
      <c r="D2084" s="28" t="n"/>
      <c r="E2084" s="29" t="n"/>
      <c r="F2084" s="24" t="n"/>
      <c r="G2084" s="24" t="n"/>
      <c r="H2084" s="21">
        <f>IF(ISNUMBER($B2084),INT($B2084)-WEEKDAY($B2084,2)+1,"")</f>
        <v/>
      </c>
      <c r="I2084" s="24" t="n"/>
      <c r="J2084" s="22">
        <f t="array" ref="J2084">IF($D2084="","",IF($I2084="","(trống REF)",IFERROR(INDEX(MASTER_SOURCE!$B$2:$B$495,MATCH($I2084,MASTER_SOURCE!$A$2:$A$495,0)),"(REF không có trong MASTER_SOURCE)")))</f>
        <v/>
      </c>
      <c r="K2084" s="22">
        <f t="array" ref="K2084">IF($D2084="","",IFERROR(INDEX(MASTER_SOURCE!$C$2:$C$495,MATCH($I2084,MASTER_SOURCE!$A$2:$A$495,0)),""))</f>
        <v/>
      </c>
      <c r="L2084" s="22">
        <f t="array" ref="L2084">IF($D2084="","",IFERROR(INDEX(MASTER_SOURCE!$D$2:$D$495,MATCH($I2084,MASTER_SOURCE!$A$2:$A$495,0)),""))</f>
        <v/>
      </c>
      <c r="M2084" s="24" t="n"/>
      <c r="N2084" s="24" t="n"/>
      <c r="O2084" s="24" t="n"/>
      <c r="P2084" s="24" t="n"/>
      <c r="Q2084" s="22">
        <f>IF($D2084="","",IF(AND(OR(DANH_MUC!$L$5&lt;&gt;"Có",M2084="Có"),OR(DANH_MUC!$L$6&lt;&gt;"Có",N2084="Có"),OR(DANH_MUC!$L$7&lt;&gt;"Có",O2084="Có"),OR(DANH_MUC!$L$8&lt;&gt;"Có",P2084="Có")),"Có","Không"))</f>
        <v/>
      </c>
      <c r="R2084" s="22">
        <f>IF($D2084="","",IF(COUNTIF($D$2:$D2084,$D2084)&gt;1,"Trùng",""))</f>
        <v/>
      </c>
      <c r="S2084" s="22">
        <f>IF($D2084="","",IF(AND(LEN($D2084)=10,LEFT($D2084,1)="0",ISNUMBER(--$D2084)),"Có","Không"))</f>
        <v/>
      </c>
      <c r="T2084" s="22">
        <f>IF($D2084="","",IF(AND($C2084&lt;&gt;"",$Q2084="Có",$R2084="",$S2084="Có",AND($L2084&lt;&gt;"",OR($L2084&lt;&gt;"Chưa xác định",DANH_MUC!$L$9="Có"))),"Có","Không"))</f>
        <v/>
      </c>
      <c r="U2084" s="22">
        <f>IF(OR($D2084="",$T2084="Có"),"",IF($C2084="","Thiếu họ tên; ","")&amp;IF($S2084&lt;&gt;"Có","SĐT sai định dạng; ","")&amp;IF($R2084="Trùng","Trùng SĐT; ","")&amp;IF($Q2084&lt;&gt;"Có","Thiếu đồng ý bắt buộc; ","")&amp;IF($L2084="","Thiếu/sai Mã REF; ",IF(AND($L2084="Chưa xác định",DANH_MUC!$L$9&lt;&gt;"Có"),"Nguồn chưa xác định; ","")))</f>
        <v/>
      </c>
      <c r="V2084" s="22">
        <f>IF(OR($D2084="",$R2084="Trùng"),"",IF(COUNTIF(ORDERS!$C$2:$C$4995,$D2084)&gt;0,"Có","Không"))</f>
        <v/>
      </c>
      <c r="W2084" s="22">
        <f>IF(OR($D2084="",$R2084="Trùng"),"",COUNTIFS(ORDERS!$C$2:$C$4995,$D2084,ORDERS!$L$2:$L$4995,"Đã chuyển khoản"))</f>
        <v/>
      </c>
      <c r="X2084" s="23">
        <f>IF(OR($D2084="",$R2084="Trùng"),"",SUMIFS(ORDERS!$J$2:$J$4995,ORDERS!$C$2:$C$4995,$D2084,ORDERS!$L$2:$L$4995,"Đã chuyển khoản"))</f>
        <v/>
      </c>
      <c r="Y2084" s="24" t="n"/>
    </row>
    <row r="2085" ht="14.25" customHeight="1" s="40">
      <c r="A2085" s="24" t="n"/>
      <c r="B2085" s="27" t="n"/>
      <c r="C2085" s="24" t="n"/>
      <c r="D2085" s="28" t="n"/>
      <c r="E2085" s="29" t="n"/>
      <c r="F2085" s="24" t="n"/>
      <c r="G2085" s="24" t="n"/>
      <c r="H2085" s="21">
        <f>IF(ISNUMBER($B2085),INT($B2085)-WEEKDAY($B2085,2)+1,"")</f>
        <v/>
      </c>
      <c r="I2085" s="24" t="n"/>
      <c r="J2085" s="22">
        <f t="array" ref="J2085">IF($D2085="","",IF($I2085="","(trống REF)",IFERROR(INDEX(MASTER_SOURCE!$B$2:$B$495,MATCH($I2085,MASTER_SOURCE!$A$2:$A$495,0)),"(REF không có trong MASTER_SOURCE)")))</f>
        <v/>
      </c>
      <c r="K2085" s="22">
        <f t="array" ref="K2085">IF($D2085="","",IFERROR(INDEX(MASTER_SOURCE!$C$2:$C$495,MATCH($I2085,MASTER_SOURCE!$A$2:$A$495,0)),""))</f>
        <v/>
      </c>
      <c r="L2085" s="22">
        <f t="array" ref="L2085">IF($D2085="","",IFERROR(INDEX(MASTER_SOURCE!$D$2:$D$495,MATCH($I2085,MASTER_SOURCE!$A$2:$A$495,0)),""))</f>
        <v/>
      </c>
      <c r="M2085" s="24" t="n"/>
      <c r="N2085" s="24" t="n"/>
      <c r="O2085" s="24" t="n"/>
      <c r="P2085" s="24" t="n"/>
      <c r="Q2085" s="22">
        <f>IF($D2085="","",IF(AND(OR(DANH_MUC!$L$5&lt;&gt;"Có",M2085="Có"),OR(DANH_MUC!$L$6&lt;&gt;"Có",N2085="Có"),OR(DANH_MUC!$L$7&lt;&gt;"Có",O2085="Có"),OR(DANH_MUC!$L$8&lt;&gt;"Có",P2085="Có")),"Có","Không"))</f>
        <v/>
      </c>
      <c r="R2085" s="22">
        <f>IF($D2085="","",IF(COUNTIF($D$2:$D2085,$D2085)&gt;1,"Trùng",""))</f>
        <v/>
      </c>
      <c r="S2085" s="22">
        <f>IF($D2085="","",IF(AND(LEN($D2085)=10,LEFT($D2085,1)="0",ISNUMBER(--$D2085)),"Có","Không"))</f>
        <v/>
      </c>
      <c r="T2085" s="22">
        <f>IF($D2085="","",IF(AND($C2085&lt;&gt;"",$Q2085="Có",$R2085="",$S2085="Có",AND($L2085&lt;&gt;"",OR($L2085&lt;&gt;"Chưa xác định",DANH_MUC!$L$9="Có"))),"Có","Không"))</f>
        <v/>
      </c>
      <c r="U2085" s="22">
        <f>IF(OR($D2085="",$T2085="Có"),"",IF($C2085="","Thiếu họ tên; ","")&amp;IF($S2085&lt;&gt;"Có","SĐT sai định dạng; ","")&amp;IF($R2085="Trùng","Trùng SĐT; ","")&amp;IF($Q2085&lt;&gt;"Có","Thiếu đồng ý bắt buộc; ","")&amp;IF($L2085="","Thiếu/sai Mã REF; ",IF(AND($L2085="Chưa xác định",DANH_MUC!$L$9&lt;&gt;"Có"),"Nguồn chưa xác định; ","")))</f>
        <v/>
      </c>
      <c r="V2085" s="22">
        <f>IF(OR($D2085="",$R2085="Trùng"),"",IF(COUNTIF(ORDERS!$C$2:$C$4995,$D2085)&gt;0,"Có","Không"))</f>
        <v/>
      </c>
      <c r="W2085" s="22">
        <f>IF(OR($D2085="",$R2085="Trùng"),"",COUNTIFS(ORDERS!$C$2:$C$4995,$D2085,ORDERS!$L$2:$L$4995,"Đã chuyển khoản"))</f>
        <v/>
      </c>
      <c r="X2085" s="23">
        <f>IF(OR($D2085="",$R2085="Trùng"),"",SUMIFS(ORDERS!$J$2:$J$4995,ORDERS!$C$2:$C$4995,$D2085,ORDERS!$L$2:$L$4995,"Đã chuyển khoản"))</f>
        <v/>
      </c>
      <c r="Y2085" s="24" t="n"/>
    </row>
    <row r="2086" ht="14.25" customHeight="1" s="40">
      <c r="A2086" s="24" t="n"/>
      <c r="B2086" s="27" t="n"/>
      <c r="C2086" s="24" t="n"/>
      <c r="D2086" s="28" t="n"/>
      <c r="E2086" s="29" t="n"/>
      <c r="F2086" s="24" t="n"/>
      <c r="G2086" s="24" t="n"/>
      <c r="H2086" s="21">
        <f>IF(ISNUMBER($B2086),INT($B2086)-WEEKDAY($B2086,2)+1,"")</f>
        <v/>
      </c>
      <c r="I2086" s="24" t="n"/>
      <c r="J2086" s="22">
        <f t="array" ref="J2086">IF($D2086="","",IF($I2086="","(trống REF)",IFERROR(INDEX(MASTER_SOURCE!$B$2:$B$495,MATCH($I2086,MASTER_SOURCE!$A$2:$A$495,0)),"(REF không có trong MASTER_SOURCE)")))</f>
        <v/>
      </c>
      <c r="K2086" s="22">
        <f t="array" ref="K2086">IF($D2086="","",IFERROR(INDEX(MASTER_SOURCE!$C$2:$C$495,MATCH($I2086,MASTER_SOURCE!$A$2:$A$495,0)),""))</f>
        <v/>
      </c>
      <c r="L2086" s="22">
        <f t="array" ref="L2086">IF($D2086="","",IFERROR(INDEX(MASTER_SOURCE!$D$2:$D$495,MATCH($I2086,MASTER_SOURCE!$A$2:$A$495,0)),""))</f>
        <v/>
      </c>
      <c r="M2086" s="24" t="n"/>
      <c r="N2086" s="24" t="n"/>
      <c r="O2086" s="24" t="n"/>
      <c r="P2086" s="24" t="n"/>
      <c r="Q2086" s="22">
        <f>IF($D2086="","",IF(AND(OR(DANH_MUC!$L$5&lt;&gt;"Có",M2086="Có"),OR(DANH_MUC!$L$6&lt;&gt;"Có",N2086="Có"),OR(DANH_MUC!$L$7&lt;&gt;"Có",O2086="Có"),OR(DANH_MUC!$L$8&lt;&gt;"Có",P2086="Có")),"Có","Không"))</f>
        <v/>
      </c>
      <c r="R2086" s="22">
        <f>IF($D2086="","",IF(COUNTIF($D$2:$D2086,$D2086)&gt;1,"Trùng",""))</f>
        <v/>
      </c>
      <c r="S2086" s="22">
        <f>IF($D2086="","",IF(AND(LEN($D2086)=10,LEFT($D2086,1)="0",ISNUMBER(--$D2086)),"Có","Không"))</f>
        <v/>
      </c>
      <c r="T2086" s="22">
        <f>IF($D2086="","",IF(AND($C2086&lt;&gt;"",$Q2086="Có",$R2086="",$S2086="Có",AND($L2086&lt;&gt;"",OR($L2086&lt;&gt;"Chưa xác định",DANH_MUC!$L$9="Có"))),"Có","Không"))</f>
        <v/>
      </c>
      <c r="U2086" s="22">
        <f>IF(OR($D2086="",$T2086="Có"),"",IF($C2086="","Thiếu họ tên; ","")&amp;IF($S2086&lt;&gt;"Có","SĐT sai định dạng; ","")&amp;IF($R2086="Trùng","Trùng SĐT; ","")&amp;IF($Q2086&lt;&gt;"Có","Thiếu đồng ý bắt buộc; ","")&amp;IF($L2086="","Thiếu/sai Mã REF; ",IF(AND($L2086="Chưa xác định",DANH_MUC!$L$9&lt;&gt;"Có"),"Nguồn chưa xác định; ","")))</f>
        <v/>
      </c>
      <c r="V2086" s="22">
        <f>IF(OR($D2086="",$R2086="Trùng"),"",IF(COUNTIF(ORDERS!$C$2:$C$4995,$D2086)&gt;0,"Có","Không"))</f>
        <v/>
      </c>
      <c r="W2086" s="22">
        <f>IF(OR($D2086="",$R2086="Trùng"),"",COUNTIFS(ORDERS!$C$2:$C$4995,$D2086,ORDERS!$L$2:$L$4995,"Đã chuyển khoản"))</f>
        <v/>
      </c>
      <c r="X2086" s="23">
        <f>IF(OR($D2086="",$R2086="Trùng"),"",SUMIFS(ORDERS!$J$2:$J$4995,ORDERS!$C$2:$C$4995,$D2086,ORDERS!$L$2:$L$4995,"Đã chuyển khoản"))</f>
        <v/>
      </c>
      <c r="Y2086" s="24" t="n"/>
    </row>
    <row r="2087" ht="14.25" customHeight="1" s="40">
      <c r="A2087" s="24" t="n"/>
      <c r="B2087" s="27" t="n"/>
      <c r="C2087" s="24" t="n"/>
      <c r="D2087" s="28" t="n"/>
      <c r="E2087" s="29" t="n"/>
      <c r="F2087" s="24" t="n"/>
      <c r="G2087" s="24" t="n"/>
      <c r="H2087" s="21">
        <f>IF(ISNUMBER($B2087),INT($B2087)-WEEKDAY($B2087,2)+1,"")</f>
        <v/>
      </c>
      <c r="I2087" s="24" t="n"/>
      <c r="J2087" s="22">
        <f t="array" ref="J2087">IF($D2087="","",IF($I2087="","(trống REF)",IFERROR(INDEX(MASTER_SOURCE!$B$2:$B$495,MATCH($I2087,MASTER_SOURCE!$A$2:$A$495,0)),"(REF không có trong MASTER_SOURCE)")))</f>
        <v/>
      </c>
      <c r="K2087" s="22">
        <f t="array" ref="K2087">IF($D2087="","",IFERROR(INDEX(MASTER_SOURCE!$C$2:$C$495,MATCH($I2087,MASTER_SOURCE!$A$2:$A$495,0)),""))</f>
        <v/>
      </c>
      <c r="L2087" s="22">
        <f t="array" ref="L2087">IF($D2087="","",IFERROR(INDEX(MASTER_SOURCE!$D$2:$D$495,MATCH($I2087,MASTER_SOURCE!$A$2:$A$495,0)),""))</f>
        <v/>
      </c>
      <c r="M2087" s="24" t="n"/>
      <c r="N2087" s="24" t="n"/>
      <c r="O2087" s="24" t="n"/>
      <c r="P2087" s="24" t="n"/>
      <c r="Q2087" s="22">
        <f>IF($D2087="","",IF(AND(OR(DANH_MUC!$L$5&lt;&gt;"Có",M2087="Có"),OR(DANH_MUC!$L$6&lt;&gt;"Có",N2087="Có"),OR(DANH_MUC!$L$7&lt;&gt;"Có",O2087="Có"),OR(DANH_MUC!$L$8&lt;&gt;"Có",P2087="Có")),"Có","Không"))</f>
        <v/>
      </c>
      <c r="R2087" s="22">
        <f>IF($D2087="","",IF(COUNTIF($D$2:$D2087,$D2087)&gt;1,"Trùng",""))</f>
        <v/>
      </c>
      <c r="S2087" s="22">
        <f>IF($D2087="","",IF(AND(LEN($D2087)=10,LEFT($D2087,1)="0",ISNUMBER(--$D2087)),"Có","Không"))</f>
        <v/>
      </c>
      <c r="T2087" s="22">
        <f>IF($D2087="","",IF(AND($C2087&lt;&gt;"",$Q2087="Có",$R2087="",$S2087="Có",AND($L2087&lt;&gt;"",OR($L2087&lt;&gt;"Chưa xác định",DANH_MUC!$L$9="Có"))),"Có","Không"))</f>
        <v/>
      </c>
      <c r="U2087" s="22">
        <f>IF(OR($D2087="",$T2087="Có"),"",IF($C2087="","Thiếu họ tên; ","")&amp;IF($S2087&lt;&gt;"Có","SĐT sai định dạng; ","")&amp;IF($R2087="Trùng","Trùng SĐT; ","")&amp;IF($Q2087&lt;&gt;"Có","Thiếu đồng ý bắt buộc; ","")&amp;IF($L2087="","Thiếu/sai Mã REF; ",IF(AND($L2087="Chưa xác định",DANH_MUC!$L$9&lt;&gt;"Có"),"Nguồn chưa xác định; ","")))</f>
        <v/>
      </c>
      <c r="V2087" s="22">
        <f>IF(OR($D2087="",$R2087="Trùng"),"",IF(COUNTIF(ORDERS!$C$2:$C$4995,$D2087)&gt;0,"Có","Không"))</f>
        <v/>
      </c>
      <c r="W2087" s="22">
        <f>IF(OR($D2087="",$R2087="Trùng"),"",COUNTIFS(ORDERS!$C$2:$C$4995,$D2087,ORDERS!$L$2:$L$4995,"Đã chuyển khoản"))</f>
        <v/>
      </c>
      <c r="X2087" s="23">
        <f>IF(OR($D2087="",$R2087="Trùng"),"",SUMIFS(ORDERS!$J$2:$J$4995,ORDERS!$C$2:$C$4995,$D2087,ORDERS!$L$2:$L$4995,"Đã chuyển khoản"))</f>
        <v/>
      </c>
      <c r="Y2087" s="24" t="n"/>
    </row>
    <row r="2088" ht="14.25" customHeight="1" s="40">
      <c r="A2088" s="24" t="n"/>
      <c r="B2088" s="27" t="n"/>
      <c r="C2088" s="24" t="n"/>
      <c r="D2088" s="28" t="n"/>
      <c r="E2088" s="29" t="n"/>
      <c r="F2088" s="24" t="n"/>
      <c r="G2088" s="24" t="n"/>
      <c r="H2088" s="21">
        <f>IF(ISNUMBER($B2088),INT($B2088)-WEEKDAY($B2088,2)+1,"")</f>
        <v/>
      </c>
      <c r="I2088" s="24" t="n"/>
      <c r="J2088" s="22">
        <f t="array" ref="J2088">IF($D2088="","",IF($I2088="","(trống REF)",IFERROR(INDEX(MASTER_SOURCE!$B$2:$B$495,MATCH($I2088,MASTER_SOURCE!$A$2:$A$495,0)),"(REF không có trong MASTER_SOURCE)")))</f>
        <v/>
      </c>
      <c r="K2088" s="22">
        <f t="array" ref="K2088">IF($D2088="","",IFERROR(INDEX(MASTER_SOURCE!$C$2:$C$495,MATCH($I2088,MASTER_SOURCE!$A$2:$A$495,0)),""))</f>
        <v/>
      </c>
      <c r="L2088" s="22">
        <f t="array" ref="L2088">IF($D2088="","",IFERROR(INDEX(MASTER_SOURCE!$D$2:$D$495,MATCH($I2088,MASTER_SOURCE!$A$2:$A$495,0)),""))</f>
        <v/>
      </c>
      <c r="M2088" s="24" t="n"/>
      <c r="N2088" s="24" t="n"/>
      <c r="O2088" s="24" t="n"/>
      <c r="P2088" s="24" t="n"/>
      <c r="Q2088" s="22">
        <f>IF($D2088="","",IF(AND(OR(DANH_MUC!$L$5&lt;&gt;"Có",M2088="Có"),OR(DANH_MUC!$L$6&lt;&gt;"Có",N2088="Có"),OR(DANH_MUC!$L$7&lt;&gt;"Có",O2088="Có"),OR(DANH_MUC!$L$8&lt;&gt;"Có",P2088="Có")),"Có","Không"))</f>
        <v/>
      </c>
      <c r="R2088" s="22">
        <f>IF($D2088="","",IF(COUNTIF($D$2:$D2088,$D2088)&gt;1,"Trùng",""))</f>
        <v/>
      </c>
      <c r="S2088" s="22">
        <f>IF($D2088="","",IF(AND(LEN($D2088)=10,LEFT($D2088,1)="0",ISNUMBER(--$D2088)),"Có","Không"))</f>
        <v/>
      </c>
      <c r="T2088" s="22">
        <f>IF($D2088="","",IF(AND($C2088&lt;&gt;"",$Q2088="Có",$R2088="",$S2088="Có",AND($L2088&lt;&gt;"",OR($L2088&lt;&gt;"Chưa xác định",DANH_MUC!$L$9="Có"))),"Có","Không"))</f>
        <v/>
      </c>
      <c r="U2088" s="22">
        <f>IF(OR($D2088="",$T2088="Có"),"",IF($C2088="","Thiếu họ tên; ","")&amp;IF($S2088&lt;&gt;"Có","SĐT sai định dạng; ","")&amp;IF($R2088="Trùng","Trùng SĐT; ","")&amp;IF($Q2088&lt;&gt;"Có","Thiếu đồng ý bắt buộc; ","")&amp;IF($L2088="","Thiếu/sai Mã REF; ",IF(AND($L2088="Chưa xác định",DANH_MUC!$L$9&lt;&gt;"Có"),"Nguồn chưa xác định; ","")))</f>
        <v/>
      </c>
      <c r="V2088" s="22">
        <f>IF(OR($D2088="",$R2088="Trùng"),"",IF(COUNTIF(ORDERS!$C$2:$C$4995,$D2088)&gt;0,"Có","Không"))</f>
        <v/>
      </c>
      <c r="W2088" s="22">
        <f>IF(OR($D2088="",$R2088="Trùng"),"",COUNTIFS(ORDERS!$C$2:$C$4995,$D2088,ORDERS!$L$2:$L$4995,"Đã chuyển khoản"))</f>
        <v/>
      </c>
      <c r="X2088" s="23">
        <f>IF(OR($D2088="",$R2088="Trùng"),"",SUMIFS(ORDERS!$J$2:$J$4995,ORDERS!$C$2:$C$4995,$D2088,ORDERS!$L$2:$L$4995,"Đã chuyển khoản"))</f>
        <v/>
      </c>
      <c r="Y2088" s="24" t="n"/>
    </row>
    <row r="2089" ht="14.25" customHeight="1" s="40">
      <c r="A2089" s="24" t="n"/>
      <c r="B2089" s="27" t="n"/>
      <c r="C2089" s="24" t="n"/>
      <c r="D2089" s="28" t="n"/>
      <c r="E2089" s="29" t="n"/>
      <c r="F2089" s="24" t="n"/>
      <c r="G2089" s="24" t="n"/>
      <c r="H2089" s="21">
        <f>IF(ISNUMBER($B2089),INT($B2089)-WEEKDAY($B2089,2)+1,"")</f>
        <v/>
      </c>
      <c r="I2089" s="24" t="n"/>
      <c r="J2089" s="22">
        <f t="array" ref="J2089">IF($D2089="","",IF($I2089="","(trống REF)",IFERROR(INDEX(MASTER_SOURCE!$B$2:$B$495,MATCH($I2089,MASTER_SOURCE!$A$2:$A$495,0)),"(REF không có trong MASTER_SOURCE)")))</f>
        <v/>
      </c>
      <c r="K2089" s="22">
        <f t="array" ref="K2089">IF($D2089="","",IFERROR(INDEX(MASTER_SOURCE!$C$2:$C$495,MATCH($I2089,MASTER_SOURCE!$A$2:$A$495,0)),""))</f>
        <v/>
      </c>
      <c r="L2089" s="22">
        <f t="array" ref="L2089">IF($D2089="","",IFERROR(INDEX(MASTER_SOURCE!$D$2:$D$495,MATCH($I2089,MASTER_SOURCE!$A$2:$A$495,0)),""))</f>
        <v/>
      </c>
      <c r="M2089" s="24" t="n"/>
      <c r="N2089" s="24" t="n"/>
      <c r="O2089" s="24" t="n"/>
      <c r="P2089" s="24" t="n"/>
      <c r="Q2089" s="22">
        <f>IF($D2089="","",IF(AND(OR(DANH_MUC!$L$5&lt;&gt;"Có",M2089="Có"),OR(DANH_MUC!$L$6&lt;&gt;"Có",N2089="Có"),OR(DANH_MUC!$L$7&lt;&gt;"Có",O2089="Có"),OR(DANH_MUC!$L$8&lt;&gt;"Có",P2089="Có")),"Có","Không"))</f>
        <v/>
      </c>
      <c r="R2089" s="22">
        <f>IF($D2089="","",IF(COUNTIF($D$2:$D2089,$D2089)&gt;1,"Trùng",""))</f>
        <v/>
      </c>
      <c r="S2089" s="22">
        <f>IF($D2089="","",IF(AND(LEN($D2089)=10,LEFT($D2089,1)="0",ISNUMBER(--$D2089)),"Có","Không"))</f>
        <v/>
      </c>
      <c r="T2089" s="22">
        <f>IF($D2089="","",IF(AND($C2089&lt;&gt;"",$Q2089="Có",$R2089="",$S2089="Có",AND($L2089&lt;&gt;"",OR($L2089&lt;&gt;"Chưa xác định",DANH_MUC!$L$9="Có"))),"Có","Không"))</f>
        <v/>
      </c>
      <c r="U2089" s="22">
        <f>IF(OR($D2089="",$T2089="Có"),"",IF($C2089="","Thiếu họ tên; ","")&amp;IF($S2089&lt;&gt;"Có","SĐT sai định dạng; ","")&amp;IF($R2089="Trùng","Trùng SĐT; ","")&amp;IF($Q2089&lt;&gt;"Có","Thiếu đồng ý bắt buộc; ","")&amp;IF($L2089="","Thiếu/sai Mã REF; ",IF(AND($L2089="Chưa xác định",DANH_MUC!$L$9&lt;&gt;"Có"),"Nguồn chưa xác định; ","")))</f>
        <v/>
      </c>
      <c r="V2089" s="22">
        <f>IF(OR($D2089="",$R2089="Trùng"),"",IF(COUNTIF(ORDERS!$C$2:$C$4995,$D2089)&gt;0,"Có","Không"))</f>
        <v/>
      </c>
      <c r="W2089" s="22">
        <f>IF(OR($D2089="",$R2089="Trùng"),"",COUNTIFS(ORDERS!$C$2:$C$4995,$D2089,ORDERS!$L$2:$L$4995,"Đã chuyển khoản"))</f>
        <v/>
      </c>
      <c r="X2089" s="23">
        <f>IF(OR($D2089="",$R2089="Trùng"),"",SUMIFS(ORDERS!$J$2:$J$4995,ORDERS!$C$2:$C$4995,$D2089,ORDERS!$L$2:$L$4995,"Đã chuyển khoản"))</f>
        <v/>
      </c>
      <c r="Y2089" s="24" t="n"/>
    </row>
    <row r="2090" ht="14.25" customHeight="1" s="40">
      <c r="A2090" s="24" t="n"/>
      <c r="B2090" s="27" t="n"/>
      <c r="C2090" s="24" t="n"/>
      <c r="D2090" s="28" t="n"/>
      <c r="E2090" s="29" t="n"/>
      <c r="F2090" s="24" t="n"/>
      <c r="G2090" s="24" t="n"/>
      <c r="H2090" s="21">
        <f>IF(ISNUMBER($B2090),INT($B2090)-WEEKDAY($B2090,2)+1,"")</f>
        <v/>
      </c>
      <c r="I2090" s="24" t="n"/>
      <c r="J2090" s="22">
        <f t="array" ref="J2090">IF($D2090="","",IF($I2090="","(trống REF)",IFERROR(INDEX(MASTER_SOURCE!$B$2:$B$495,MATCH($I2090,MASTER_SOURCE!$A$2:$A$495,0)),"(REF không có trong MASTER_SOURCE)")))</f>
        <v/>
      </c>
      <c r="K2090" s="22">
        <f t="array" ref="K2090">IF($D2090="","",IFERROR(INDEX(MASTER_SOURCE!$C$2:$C$495,MATCH($I2090,MASTER_SOURCE!$A$2:$A$495,0)),""))</f>
        <v/>
      </c>
      <c r="L2090" s="22">
        <f t="array" ref="L2090">IF($D2090="","",IFERROR(INDEX(MASTER_SOURCE!$D$2:$D$495,MATCH($I2090,MASTER_SOURCE!$A$2:$A$495,0)),""))</f>
        <v/>
      </c>
      <c r="M2090" s="24" t="n"/>
      <c r="N2090" s="24" t="n"/>
      <c r="O2090" s="24" t="n"/>
      <c r="P2090" s="24" t="n"/>
      <c r="Q2090" s="22">
        <f>IF($D2090="","",IF(AND(OR(DANH_MUC!$L$5&lt;&gt;"Có",M2090="Có"),OR(DANH_MUC!$L$6&lt;&gt;"Có",N2090="Có"),OR(DANH_MUC!$L$7&lt;&gt;"Có",O2090="Có"),OR(DANH_MUC!$L$8&lt;&gt;"Có",P2090="Có")),"Có","Không"))</f>
        <v/>
      </c>
      <c r="R2090" s="22">
        <f>IF($D2090="","",IF(COUNTIF($D$2:$D2090,$D2090)&gt;1,"Trùng",""))</f>
        <v/>
      </c>
      <c r="S2090" s="22">
        <f>IF($D2090="","",IF(AND(LEN($D2090)=10,LEFT($D2090,1)="0",ISNUMBER(--$D2090)),"Có","Không"))</f>
        <v/>
      </c>
      <c r="T2090" s="22">
        <f>IF($D2090="","",IF(AND($C2090&lt;&gt;"",$Q2090="Có",$R2090="",$S2090="Có",AND($L2090&lt;&gt;"",OR($L2090&lt;&gt;"Chưa xác định",DANH_MUC!$L$9="Có"))),"Có","Không"))</f>
        <v/>
      </c>
      <c r="U2090" s="22">
        <f>IF(OR($D2090="",$T2090="Có"),"",IF($C2090="","Thiếu họ tên; ","")&amp;IF($S2090&lt;&gt;"Có","SĐT sai định dạng; ","")&amp;IF($R2090="Trùng","Trùng SĐT; ","")&amp;IF($Q2090&lt;&gt;"Có","Thiếu đồng ý bắt buộc; ","")&amp;IF($L2090="","Thiếu/sai Mã REF; ",IF(AND($L2090="Chưa xác định",DANH_MUC!$L$9&lt;&gt;"Có"),"Nguồn chưa xác định; ","")))</f>
        <v/>
      </c>
      <c r="V2090" s="22">
        <f>IF(OR($D2090="",$R2090="Trùng"),"",IF(COUNTIF(ORDERS!$C$2:$C$4995,$D2090)&gt;0,"Có","Không"))</f>
        <v/>
      </c>
      <c r="W2090" s="22">
        <f>IF(OR($D2090="",$R2090="Trùng"),"",COUNTIFS(ORDERS!$C$2:$C$4995,$D2090,ORDERS!$L$2:$L$4995,"Đã chuyển khoản"))</f>
        <v/>
      </c>
      <c r="X2090" s="23">
        <f>IF(OR($D2090="",$R2090="Trùng"),"",SUMIFS(ORDERS!$J$2:$J$4995,ORDERS!$C$2:$C$4995,$D2090,ORDERS!$L$2:$L$4995,"Đã chuyển khoản"))</f>
        <v/>
      </c>
      <c r="Y2090" s="24" t="n"/>
    </row>
    <row r="2091" ht="14.25" customHeight="1" s="40">
      <c r="A2091" s="24" t="n"/>
      <c r="B2091" s="27" t="n"/>
      <c r="C2091" s="24" t="n"/>
      <c r="D2091" s="28" t="n"/>
      <c r="E2091" s="29" t="n"/>
      <c r="F2091" s="24" t="n"/>
      <c r="G2091" s="24" t="n"/>
      <c r="H2091" s="21">
        <f>IF(ISNUMBER($B2091),INT($B2091)-WEEKDAY($B2091,2)+1,"")</f>
        <v/>
      </c>
      <c r="I2091" s="24" t="n"/>
      <c r="J2091" s="22">
        <f t="array" ref="J2091">IF($D2091="","",IF($I2091="","(trống REF)",IFERROR(INDEX(MASTER_SOURCE!$B$2:$B$495,MATCH($I2091,MASTER_SOURCE!$A$2:$A$495,0)),"(REF không có trong MASTER_SOURCE)")))</f>
        <v/>
      </c>
      <c r="K2091" s="22">
        <f t="array" ref="K2091">IF($D2091="","",IFERROR(INDEX(MASTER_SOURCE!$C$2:$C$495,MATCH($I2091,MASTER_SOURCE!$A$2:$A$495,0)),""))</f>
        <v/>
      </c>
      <c r="L2091" s="22">
        <f t="array" ref="L2091">IF($D2091="","",IFERROR(INDEX(MASTER_SOURCE!$D$2:$D$495,MATCH($I2091,MASTER_SOURCE!$A$2:$A$495,0)),""))</f>
        <v/>
      </c>
      <c r="M2091" s="24" t="n"/>
      <c r="N2091" s="24" t="n"/>
      <c r="O2091" s="24" t="n"/>
      <c r="P2091" s="24" t="n"/>
      <c r="Q2091" s="22">
        <f>IF($D2091="","",IF(AND(OR(DANH_MUC!$L$5&lt;&gt;"Có",M2091="Có"),OR(DANH_MUC!$L$6&lt;&gt;"Có",N2091="Có"),OR(DANH_MUC!$L$7&lt;&gt;"Có",O2091="Có"),OR(DANH_MUC!$L$8&lt;&gt;"Có",P2091="Có")),"Có","Không"))</f>
        <v/>
      </c>
      <c r="R2091" s="22">
        <f>IF($D2091="","",IF(COUNTIF($D$2:$D2091,$D2091)&gt;1,"Trùng",""))</f>
        <v/>
      </c>
      <c r="S2091" s="22">
        <f>IF($D2091="","",IF(AND(LEN($D2091)=10,LEFT($D2091,1)="0",ISNUMBER(--$D2091)),"Có","Không"))</f>
        <v/>
      </c>
      <c r="T2091" s="22">
        <f>IF($D2091="","",IF(AND($C2091&lt;&gt;"",$Q2091="Có",$R2091="",$S2091="Có",AND($L2091&lt;&gt;"",OR($L2091&lt;&gt;"Chưa xác định",DANH_MUC!$L$9="Có"))),"Có","Không"))</f>
        <v/>
      </c>
      <c r="U2091" s="22">
        <f>IF(OR($D2091="",$T2091="Có"),"",IF($C2091="","Thiếu họ tên; ","")&amp;IF($S2091&lt;&gt;"Có","SĐT sai định dạng; ","")&amp;IF($R2091="Trùng","Trùng SĐT; ","")&amp;IF($Q2091&lt;&gt;"Có","Thiếu đồng ý bắt buộc; ","")&amp;IF($L2091="","Thiếu/sai Mã REF; ",IF(AND($L2091="Chưa xác định",DANH_MUC!$L$9&lt;&gt;"Có"),"Nguồn chưa xác định; ","")))</f>
        <v/>
      </c>
      <c r="V2091" s="22">
        <f>IF(OR($D2091="",$R2091="Trùng"),"",IF(COUNTIF(ORDERS!$C$2:$C$4995,$D2091)&gt;0,"Có","Không"))</f>
        <v/>
      </c>
      <c r="W2091" s="22">
        <f>IF(OR($D2091="",$R2091="Trùng"),"",COUNTIFS(ORDERS!$C$2:$C$4995,$D2091,ORDERS!$L$2:$L$4995,"Đã chuyển khoản"))</f>
        <v/>
      </c>
      <c r="X2091" s="23">
        <f>IF(OR($D2091="",$R2091="Trùng"),"",SUMIFS(ORDERS!$J$2:$J$4995,ORDERS!$C$2:$C$4995,$D2091,ORDERS!$L$2:$L$4995,"Đã chuyển khoản"))</f>
        <v/>
      </c>
      <c r="Y2091" s="24" t="n"/>
    </row>
    <row r="2092" ht="14.25" customHeight="1" s="40">
      <c r="A2092" s="24" t="n"/>
      <c r="B2092" s="27" t="n"/>
      <c r="C2092" s="24" t="n"/>
      <c r="D2092" s="28" t="n"/>
      <c r="E2092" s="29" t="n"/>
      <c r="F2092" s="24" t="n"/>
      <c r="G2092" s="24" t="n"/>
      <c r="H2092" s="21">
        <f>IF(ISNUMBER($B2092),INT($B2092)-WEEKDAY($B2092,2)+1,"")</f>
        <v/>
      </c>
      <c r="I2092" s="24" t="n"/>
      <c r="J2092" s="22">
        <f t="array" ref="J2092">IF($D2092="","",IF($I2092="","(trống REF)",IFERROR(INDEX(MASTER_SOURCE!$B$2:$B$495,MATCH($I2092,MASTER_SOURCE!$A$2:$A$495,0)),"(REF không có trong MASTER_SOURCE)")))</f>
        <v/>
      </c>
      <c r="K2092" s="22">
        <f t="array" ref="K2092">IF($D2092="","",IFERROR(INDEX(MASTER_SOURCE!$C$2:$C$495,MATCH($I2092,MASTER_SOURCE!$A$2:$A$495,0)),""))</f>
        <v/>
      </c>
      <c r="L2092" s="22">
        <f t="array" ref="L2092">IF($D2092="","",IFERROR(INDEX(MASTER_SOURCE!$D$2:$D$495,MATCH($I2092,MASTER_SOURCE!$A$2:$A$495,0)),""))</f>
        <v/>
      </c>
      <c r="M2092" s="24" t="n"/>
      <c r="N2092" s="24" t="n"/>
      <c r="O2092" s="24" t="n"/>
      <c r="P2092" s="24" t="n"/>
      <c r="Q2092" s="22">
        <f>IF($D2092="","",IF(AND(OR(DANH_MUC!$L$5&lt;&gt;"Có",M2092="Có"),OR(DANH_MUC!$L$6&lt;&gt;"Có",N2092="Có"),OR(DANH_MUC!$L$7&lt;&gt;"Có",O2092="Có"),OR(DANH_MUC!$L$8&lt;&gt;"Có",P2092="Có")),"Có","Không"))</f>
        <v/>
      </c>
      <c r="R2092" s="22">
        <f>IF($D2092="","",IF(COUNTIF($D$2:$D2092,$D2092)&gt;1,"Trùng",""))</f>
        <v/>
      </c>
      <c r="S2092" s="22">
        <f>IF($D2092="","",IF(AND(LEN($D2092)=10,LEFT($D2092,1)="0",ISNUMBER(--$D2092)),"Có","Không"))</f>
        <v/>
      </c>
      <c r="T2092" s="22">
        <f>IF($D2092="","",IF(AND($C2092&lt;&gt;"",$Q2092="Có",$R2092="",$S2092="Có",AND($L2092&lt;&gt;"",OR($L2092&lt;&gt;"Chưa xác định",DANH_MUC!$L$9="Có"))),"Có","Không"))</f>
        <v/>
      </c>
      <c r="U2092" s="22">
        <f>IF(OR($D2092="",$T2092="Có"),"",IF($C2092="","Thiếu họ tên; ","")&amp;IF($S2092&lt;&gt;"Có","SĐT sai định dạng; ","")&amp;IF($R2092="Trùng","Trùng SĐT; ","")&amp;IF($Q2092&lt;&gt;"Có","Thiếu đồng ý bắt buộc; ","")&amp;IF($L2092="","Thiếu/sai Mã REF; ",IF(AND($L2092="Chưa xác định",DANH_MUC!$L$9&lt;&gt;"Có"),"Nguồn chưa xác định; ","")))</f>
        <v/>
      </c>
      <c r="V2092" s="22">
        <f>IF(OR($D2092="",$R2092="Trùng"),"",IF(COUNTIF(ORDERS!$C$2:$C$4995,$D2092)&gt;0,"Có","Không"))</f>
        <v/>
      </c>
      <c r="W2092" s="22">
        <f>IF(OR($D2092="",$R2092="Trùng"),"",COUNTIFS(ORDERS!$C$2:$C$4995,$D2092,ORDERS!$L$2:$L$4995,"Đã chuyển khoản"))</f>
        <v/>
      </c>
      <c r="X2092" s="23">
        <f>IF(OR($D2092="",$R2092="Trùng"),"",SUMIFS(ORDERS!$J$2:$J$4995,ORDERS!$C$2:$C$4995,$D2092,ORDERS!$L$2:$L$4995,"Đã chuyển khoản"))</f>
        <v/>
      </c>
      <c r="Y2092" s="24" t="n"/>
    </row>
    <row r="2093" ht="14.25" customHeight="1" s="40">
      <c r="A2093" s="24" t="n"/>
      <c r="B2093" s="27" t="n"/>
      <c r="C2093" s="24" t="n"/>
      <c r="D2093" s="28" t="n"/>
      <c r="E2093" s="29" t="n"/>
      <c r="F2093" s="24" t="n"/>
      <c r="G2093" s="24" t="n"/>
      <c r="H2093" s="21">
        <f>IF(ISNUMBER($B2093),INT($B2093)-WEEKDAY($B2093,2)+1,"")</f>
        <v/>
      </c>
      <c r="I2093" s="24" t="n"/>
      <c r="J2093" s="22">
        <f t="array" ref="J2093">IF($D2093="","",IF($I2093="","(trống REF)",IFERROR(INDEX(MASTER_SOURCE!$B$2:$B$495,MATCH($I2093,MASTER_SOURCE!$A$2:$A$495,0)),"(REF không có trong MASTER_SOURCE)")))</f>
        <v/>
      </c>
      <c r="K2093" s="22">
        <f t="array" ref="K2093">IF($D2093="","",IFERROR(INDEX(MASTER_SOURCE!$C$2:$C$495,MATCH($I2093,MASTER_SOURCE!$A$2:$A$495,0)),""))</f>
        <v/>
      </c>
      <c r="L2093" s="22">
        <f t="array" ref="L2093">IF($D2093="","",IFERROR(INDEX(MASTER_SOURCE!$D$2:$D$495,MATCH($I2093,MASTER_SOURCE!$A$2:$A$495,0)),""))</f>
        <v/>
      </c>
      <c r="M2093" s="24" t="n"/>
      <c r="N2093" s="24" t="n"/>
      <c r="O2093" s="24" t="n"/>
      <c r="P2093" s="24" t="n"/>
      <c r="Q2093" s="22">
        <f>IF($D2093="","",IF(AND(OR(DANH_MUC!$L$5&lt;&gt;"Có",M2093="Có"),OR(DANH_MUC!$L$6&lt;&gt;"Có",N2093="Có"),OR(DANH_MUC!$L$7&lt;&gt;"Có",O2093="Có"),OR(DANH_MUC!$L$8&lt;&gt;"Có",P2093="Có")),"Có","Không"))</f>
        <v/>
      </c>
      <c r="R2093" s="22">
        <f>IF($D2093="","",IF(COUNTIF($D$2:$D2093,$D2093)&gt;1,"Trùng",""))</f>
        <v/>
      </c>
      <c r="S2093" s="22">
        <f>IF($D2093="","",IF(AND(LEN($D2093)=10,LEFT($D2093,1)="0",ISNUMBER(--$D2093)),"Có","Không"))</f>
        <v/>
      </c>
      <c r="T2093" s="22">
        <f>IF($D2093="","",IF(AND($C2093&lt;&gt;"",$Q2093="Có",$R2093="",$S2093="Có",AND($L2093&lt;&gt;"",OR($L2093&lt;&gt;"Chưa xác định",DANH_MUC!$L$9="Có"))),"Có","Không"))</f>
        <v/>
      </c>
      <c r="U2093" s="22">
        <f>IF(OR($D2093="",$T2093="Có"),"",IF($C2093="","Thiếu họ tên; ","")&amp;IF($S2093&lt;&gt;"Có","SĐT sai định dạng; ","")&amp;IF($R2093="Trùng","Trùng SĐT; ","")&amp;IF($Q2093&lt;&gt;"Có","Thiếu đồng ý bắt buộc; ","")&amp;IF($L2093="","Thiếu/sai Mã REF; ",IF(AND($L2093="Chưa xác định",DANH_MUC!$L$9&lt;&gt;"Có"),"Nguồn chưa xác định; ","")))</f>
        <v/>
      </c>
      <c r="V2093" s="22">
        <f>IF(OR($D2093="",$R2093="Trùng"),"",IF(COUNTIF(ORDERS!$C$2:$C$4995,$D2093)&gt;0,"Có","Không"))</f>
        <v/>
      </c>
      <c r="W2093" s="22">
        <f>IF(OR($D2093="",$R2093="Trùng"),"",COUNTIFS(ORDERS!$C$2:$C$4995,$D2093,ORDERS!$L$2:$L$4995,"Đã chuyển khoản"))</f>
        <v/>
      </c>
      <c r="X2093" s="23">
        <f>IF(OR($D2093="",$R2093="Trùng"),"",SUMIFS(ORDERS!$J$2:$J$4995,ORDERS!$C$2:$C$4995,$D2093,ORDERS!$L$2:$L$4995,"Đã chuyển khoản"))</f>
        <v/>
      </c>
      <c r="Y2093" s="24" t="n"/>
    </row>
    <row r="2094" ht="14.25" customHeight="1" s="40">
      <c r="A2094" s="24" t="n"/>
      <c r="B2094" s="27" t="n"/>
      <c r="C2094" s="24" t="n"/>
      <c r="D2094" s="28" t="n"/>
      <c r="E2094" s="29" t="n"/>
      <c r="F2094" s="24" t="n"/>
      <c r="G2094" s="24" t="n"/>
      <c r="H2094" s="21">
        <f>IF(ISNUMBER($B2094),INT($B2094)-WEEKDAY($B2094,2)+1,"")</f>
        <v/>
      </c>
      <c r="I2094" s="24" t="n"/>
      <c r="J2094" s="22">
        <f t="array" ref="J2094">IF($D2094="","",IF($I2094="","(trống REF)",IFERROR(INDEX(MASTER_SOURCE!$B$2:$B$495,MATCH($I2094,MASTER_SOURCE!$A$2:$A$495,0)),"(REF không có trong MASTER_SOURCE)")))</f>
        <v/>
      </c>
      <c r="K2094" s="22">
        <f t="array" ref="K2094">IF($D2094="","",IFERROR(INDEX(MASTER_SOURCE!$C$2:$C$495,MATCH($I2094,MASTER_SOURCE!$A$2:$A$495,0)),""))</f>
        <v/>
      </c>
      <c r="L2094" s="22">
        <f t="array" ref="L2094">IF($D2094="","",IFERROR(INDEX(MASTER_SOURCE!$D$2:$D$495,MATCH($I2094,MASTER_SOURCE!$A$2:$A$495,0)),""))</f>
        <v/>
      </c>
      <c r="M2094" s="24" t="n"/>
      <c r="N2094" s="24" t="n"/>
      <c r="O2094" s="24" t="n"/>
      <c r="P2094" s="24" t="n"/>
      <c r="Q2094" s="22">
        <f>IF($D2094="","",IF(AND(OR(DANH_MUC!$L$5&lt;&gt;"Có",M2094="Có"),OR(DANH_MUC!$L$6&lt;&gt;"Có",N2094="Có"),OR(DANH_MUC!$L$7&lt;&gt;"Có",O2094="Có"),OR(DANH_MUC!$L$8&lt;&gt;"Có",P2094="Có")),"Có","Không"))</f>
        <v/>
      </c>
      <c r="R2094" s="22">
        <f>IF($D2094="","",IF(COUNTIF($D$2:$D2094,$D2094)&gt;1,"Trùng",""))</f>
        <v/>
      </c>
      <c r="S2094" s="22">
        <f>IF($D2094="","",IF(AND(LEN($D2094)=10,LEFT($D2094,1)="0",ISNUMBER(--$D2094)),"Có","Không"))</f>
        <v/>
      </c>
      <c r="T2094" s="22">
        <f>IF($D2094="","",IF(AND($C2094&lt;&gt;"",$Q2094="Có",$R2094="",$S2094="Có",AND($L2094&lt;&gt;"",OR($L2094&lt;&gt;"Chưa xác định",DANH_MUC!$L$9="Có"))),"Có","Không"))</f>
        <v/>
      </c>
      <c r="U2094" s="22">
        <f>IF(OR($D2094="",$T2094="Có"),"",IF($C2094="","Thiếu họ tên; ","")&amp;IF($S2094&lt;&gt;"Có","SĐT sai định dạng; ","")&amp;IF($R2094="Trùng","Trùng SĐT; ","")&amp;IF($Q2094&lt;&gt;"Có","Thiếu đồng ý bắt buộc; ","")&amp;IF($L2094="","Thiếu/sai Mã REF; ",IF(AND($L2094="Chưa xác định",DANH_MUC!$L$9&lt;&gt;"Có"),"Nguồn chưa xác định; ","")))</f>
        <v/>
      </c>
      <c r="V2094" s="22">
        <f>IF(OR($D2094="",$R2094="Trùng"),"",IF(COUNTIF(ORDERS!$C$2:$C$4995,$D2094)&gt;0,"Có","Không"))</f>
        <v/>
      </c>
      <c r="W2094" s="22">
        <f>IF(OR($D2094="",$R2094="Trùng"),"",COUNTIFS(ORDERS!$C$2:$C$4995,$D2094,ORDERS!$L$2:$L$4995,"Đã chuyển khoản"))</f>
        <v/>
      </c>
      <c r="X2094" s="23">
        <f>IF(OR($D2094="",$R2094="Trùng"),"",SUMIFS(ORDERS!$J$2:$J$4995,ORDERS!$C$2:$C$4995,$D2094,ORDERS!$L$2:$L$4995,"Đã chuyển khoản"))</f>
        <v/>
      </c>
      <c r="Y2094" s="24" t="n"/>
    </row>
    <row r="2095" ht="14.25" customHeight="1" s="40">
      <c r="A2095" s="24" t="n"/>
      <c r="B2095" s="27" t="n"/>
      <c r="C2095" s="24" t="n"/>
      <c r="D2095" s="28" t="n"/>
      <c r="E2095" s="29" t="n"/>
      <c r="F2095" s="24" t="n"/>
      <c r="G2095" s="24" t="n"/>
      <c r="H2095" s="21">
        <f>IF(ISNUMBER($B2095),INT($B2095)-WEEKDAY($B2095,2)+1,"")</f>
        <v/>
      </c>
      <c r="I2095" s="24" t="n"/>
      <c r="J2095" s="22">
        <f t="array" ref="J2095">IF($D2095="","",IF($I2095="","(trống REF)",IFERROR(INDEX(MASTER_SOURCE!$B$2:$B$495,MATCH($I2095,MASTER_SOURCE!$A$2:$A$495,0)),"(REF không có trong MASTER_SOURCE)")))</f>
        <v/>
      </c>
      <c r="K2095" s="22">
        <f t="array" ref="K2095">IF($D2095="","",IFERROR(INDEX(MASTER_SOURCE!$C$2:$C$495,MATCH($I2095,MASTER_SOURCE!$A$2:$A$495,0)),""))</f>
        <v/>
      </c>
      <c r="L2095" s="22">
        <f t="array" ref="L2095">IF($D2095="","",IFERROR(INDEX(MASTER_SOURCE!$D$2:$D$495,MATCH($I2095,MASTER_SOURCE!$A$2:$A$495,0)),""))</f>
        <v/>
      </c>
      <c r="M2095" s="24" t="n"/>
      <c r="N2095" s="24" t="n"/>
      <c r="O2095" s="24" t="n"/>
      <c r="P2095" s="24" t="n"/>
      <c r="Q2095" s="22">
        <f>IF($D2095="","",IF(AND(OR(DANH_MUC!$L$5&lt;&gt;"Có",M2095="Có"),OR(DANH_MUC!$L$6&lt;&gt;"Có",N2095="Có"),OR(DANH_MUC!$L$7&lt;&gt;"Có",O2095="Có"),OR(DANH_MUC!$L$8&lt;&gt;"Có",P2095="Có")),"Có","Không"))</f>
        <v/>
      </c>
      <c r="R2095" s="22">
        <f>IF($D2095="","",IF(COUNTIF($D$2:$D2095,$D2095)&gt;1,"Trùng",""))</f>
        <v/>
      </c>
      <c r="S2095" s="22">
        <f>IF($D2095="","",IF(AND(LEN($D2095)=10,LEFT($D2095,1)="0",ISNUMBER(--$D2095)),"Có","Không"))</f>
        <v/>
      </c>
      <c r="T2095" s="22">
        <f>IF($D2095="","",IF(AND($C2095&lt;&gt;"",$Q2095="Có",$R2095="",$S2095="Có",AND($L2095&lt;&gt;"",OR($L2095&lt;&gt;"Chưa xác định",DANH_MUC!$L$9="Có"))),"Có","Không"))</f>
        <v/>
      </c>
      <c r="U2095" s="22">
        <f>IF(OR($D2095="",$T2095="Có"),"",IF($C2095="","Thiếu họ tên; ","")&amp;IF($S2095&lt;&gt;"Có","SĐT sai định dạng; ","")&amp;IF($R2095="Trùng","Trùng SĐT; ","")&amp;IF($Q2095&lt;&gt;"Có","Thiếu đồng ý bắt buộc; ","")&amp;IF($L2095="","Thiếu/sai Mã REF; ",IF(AND($L2095="Chưa xác định",DANH_MUC!$L$9&lt;&gt;"Có"),"Nguồn chưa xác định; ","")))</f>
        <v/>
      </c>
      <c r="V2095" s="22">
        <f>IF(OR($D2095="",$R2095="Trùng"),"",IF(COUNTIF(ORDERS!$C$2:$C$4995,$D2095)&gt;0,"Có","Không"))</f>
        <v/>
      </c>
      <c r="W2095" s="22">
        <f>IF(OR($D2095="",$R2095="Trùng"),"",COUNTIFS(ORDERS!$C$2:$C$4995,$D2095,ORDERS!$L$2:$L$4995,"Đã chuyển khoản"))</f>
        <v/>
      </c>
      <c r="X2095" s="23">
        <f>IF(OR($D2095="",$R2095="Trùng"),"",SUMIFS(ORDERS!$J$2:$J$4995,ORDERS!$C$2:$C$4995,$D2095,ORDERS!$L$2:$L$4995,"Đã chuyển khoản"))</f>
        <v/>
      </c>
      <c r="Y2095" s="24" t="n"/>
    </row>
    <row r="2096" ht="14.25" customHeight="1" s="40">
      <c r="A2096" s="24" t="n"/>
      <c r="B2096" s="27" t="n"/>
      <c r="C2096" s="24" t="n"/>
      <c r="D2096" s="28" t="n"/>
      <c r="E2096" s="29" t="n"/>
      <c r="F2096" s="24" t="n"/>
      <c r="G2096" s="24" t="n"/>
      <c r="H2096" s="21">
        <f>IF(ISNUMBER($B2096),INT($B2096)-WEEKDAY($B2096,2)+1,"")</f>
        <v/>
      </c>
      <c r="I2096" s="24" t="n"/>
      <c r="J2096" s="22">
        <f t="array" ref="J2096">IF($D2096="","",IF($I2096="","(trống REF)",IFERROR(INDEX(MASTER_SOURCE!$B$2:$B$495,MATCH($I2096,MASTER_SOURCE!$A$2:$A$495,0)),"(REF không có trong MASTER_SOURCE)")))</f>
        <v/>
      </c>
      <c r="K2096" s="22">
        <f t="array" ref="K2096">IF($D2096="","",IFERROR(INDEX(MASTER_SOURCE!$C$2:$C$495,MATCH($I2096,MASTER_SOURCE!$A$2:$A$495,0)),""))</f>
        <v/>
      </c>
      <c r="L2096" s="22">
        <f t="array" ref="L2096">IF($D2096="","",IFERROR(INDEX(MASTER_SOURCE!$D$2:$D$495,MATCH($I2096,MASTER_SOURCE!$A$2:$A$495,0)),""))</f>
        <v/>
      </c>
      <c r="M2096" s="24" t="n"/>
      <c r="N2096" s="24" t="n"/>
      <c r="O2096" s="24" t="n"/>
      <c r="P2096" s="24" t="n"/>
      <c r="Q2096" s="22">
        <f>IF($D2096="","",IF(AND(OR(DANH_MUC!$L$5&lt;&gt;"Có",M2096="Có"),OR(DANH_MUC!$L$6&lt;&gt;"Có",N2096="Có"),OR(DANH_MUC!$L$7&lt;&gt;"Có",O2096="Có"),OR(DANH_MUC!$L$8&lt;&gt;"Có",P2096="Có")),"Có","Không"))</f>
        <v/>
      </c>
      <c r="R2096" s="22">
        <f>IF($D2096="","",IF(COUNTIF($D$2:$D2096,$D2096)&gt;1,"Trùng",""))</f>
        <v/>
      </c>
      <c r="S2096" s="22">
        <f>IF($D2096="","",IF(AND(LEN($D2096)=10,LEFT($D2096,1)="0",ISNUMBER(--$D2096)),"Có","Không"))</f>
        <v/>
      </c>
      <c r="T2096" s="22">
        <f>IF($D2096="","",IF(AND($C2096&lt;&gt;"",$Q2096="Có",$R2096="",$S2096="Có",AND($L2096&lt;&gt;"",OR($L2096&lt;&gt;"Chưa xác định",DANH_MUC!$L$9="Có"))),"Có","Không"))</f>
        <v/>
      </c>
      <c r="U2096" s="22">
        <f>IF(OR($D2096="",$T2096="Có"),"",IF($C2096="","Thiếu họ tên; ","")&amp;IF($S2096&lt;&gt;"Có","SĐT sai định dạng; ","")&amp;IF($R2096="Trùng","Trùng SĐT; ","")&amp;IF($Q2096&lt;&gt;"Có","Thiếu đồng ý bắt buộc; ","")&amp;IF($L2096="","Thiếu/sai Mã REF; ",IF(AND($L2096="Chưa xác định",DANH_MUC!$L$9&lt;&gt;"Có"),"Nguồn chưa xác định; ","")))</f>
        <v/>
      </c>
      <c r="V2096" s="22">
        <f>IF(OR($D2096="",$R2096="Trùng"),"",IF(COUNTIF(ORDERS!$C$2:$C$4995,$D2096)&gt;0,"Có","Không"))</f>
        <v/>
      </c>
      <c r="W2096" s="22">
        <f>IF(OR($D2096="",$R2096="Trùng"),"",COUNTIFS(ORDERS!$C$2:$C$4995,$D2096,ORDERS!$L$2:$L$4995,"Đã chuyển khoản"))</f>
        <v/>
      </c>
      <c r="X2096" s="23">
        <f>IF(OR($D2096="",$R2096="Trùng"),"",SUMIFS(ORDERS!$J$2:$J$4995,ORDERS!$C$2:$C$4995,$D2096,ORDERS!$L$2:$L$4995,"Đã chuyển khoản"))</f>
        <v/>
      </c>
      <c r="Y2096" s="24" t="n"/>
    </row>
    <row r="2097" ht="14.25" customHeight="1" s="40">
      <c r="A2097" s="24" t="n"/>
      <c r="B2097" s="27" t="n"/>
      <c r="C2097" s="24" t="n"/>
      <c r="D2097" s="28" t="n"/>
      <c r="E2097" s="29" t="n"/>
      <c r="F2097" s="24" t="n"/>
      <c r="G2097" s="24" t="n"/>
      <c r="H2097" s="21">
        <f>IF(ISNUMBER($B2097),INT($B2097)-WEEKDAY($B2097,2)+1,"")</f>
        <v/>
      </c>
      <c r="I2097" s="24" t="n"/>
      <c r="J2097" s="22">
        <f t="array" ref="J2097">IF($D2097="","",IF($I2097="","(trống REF)",IFERROR(INDEX(MASTER_SOURCE!$B$2:$B$495,MATCH($I2097,MASTER_SOURCE!$A$2:$A$495,0)),"(REF không có trong MASTER_SOURCE)")))</f>
        <v/>
      </c>
      <c r="K2097" s="22">
        <f t="array" ref="K2097">IF($D2097="","",IFERROR(INDEX(MASTER_SOURCE!$C$2:$C$495,MATCH($I2097,MASTER_SOURCE!$A$2:$A$495,0)),""))</f>
        <v/>
      </c>
      <c r="L2097" s="22">
        <f t="array" ref="L2097">IF($D2097="","",IFERROR(INDEX(MASTER_SOURCE!$D$2:$D$495,MATCH($I2097,MASTER_SOURCE!$A$2:$A$495,0)),""))</f>
        <v/>
      </c>
      <c r="M2097" s="24" t="n"/>
      <c r="N2097" s="24" t="n"/>
      <c r="O2097" s="24" t="n"/>
      <c r="P2097" s="24" t="n"/>
      <c r="Q2097" s="22">
        <f>IF($D2097="","",IF(AND(OR(DANH_MUC!$L$5&lt;&gt;"Có",M2097="Có"),OR(DANH_MUC!$L$6&lt;&gt;"Có",N2097="Có"),OR(DANH_MUC!$L$7&lt;&gt;"Có",O2097="Có"),OR(DANH_MUC!$L$8&lt;&gt;"Có",P2097="Có")),"Có","Không"))</f>
        <v/>
      </c>
      <c r="R2097" s="22">
        <f>IF($D2097="","",IF(COUNTIF($D$2:$D2097,$D2097)&gt;1,"Trùng",""))</f>
        <v/>
      </c>
      <c r="S2097" s="22">
        <f>IF($D2097="","",IF(AND(LEN($D2097)=10,LEFT($D2097,1)="0",ISNUMBER(--$D2097)),"Có","Không"))</f>
        <v/>
      </c>
      <c r="T2097" s="22">
        <f>IF($D2097="","",IF(AND($C2097&lt;&gt;"",$Q2097="Có",$R2097="",$S2097="Có",AND($L2097&lt;&gt;"",OR($L2097&lt;&gt;"Chưa xác định",DANH_MUC!$L$9="Có"))),"Có","Không"))</f>
        <v/>
      </c>
      <c r="U2097" s="22">
        <f>IF(OR($D2097="",$T2097="Có"),"",IF($C2097="","Thiếu họ tên; ","")&amp;IF($S2097&lt;&gt;"Có","SĐT sai định dạng; ","")&amp;IF($R2097="Trùng","Trùng SĐT; ","")&amp;IF($Q2097&lt;&gt;"Có","Thiếu đồng ý bắt buộc; ","")&amp;IF($L2097="","Thiếu/sai Mã REF; ",IF(AND($L2097="Chưa xác định",DANH_MUC!$L$9&lt;&gt;"Có"),"Nguồn chưa xác định; ","")))</f>
        <v/>
      </c>
      <c r="V2097" s="22">
        <f>IF(OR($D2097="",$R2097="Trùng"),"",IF(COUNTIF(ORDERS!$C$2:$C$4995,$D2097)&gt;0,"Có","Không"))</f>
        <v/>
      </c>
      <c r="W2097" s="22">
        <f>IF(OR($D2097="",$R2097="Trùng"),"",COUNTIFS(ORDERS!$C$2:$C$4995,$D2097,ORDERS!$L$2:$L$4995,"Đã chuyển khoản"))</f>
        <v/>
      </c>
      <c r="X2097" s="23">
        <f>IF(OR($D2097="",$R2097="Trùng"),"",SUMIFS(ORDERS!$J$2:$J$4995,ORDERS!$C$2:$C$4995,$D2097,ORDERS!$L$2:$L$4995,"Đã chuyển khoản"))</f>
        <v/>
      </c>
      <c r="Y2097" s="24" t="n"/>
    </row>
    <row r="2098" ht="14.25" customHeight="1" s="40">
      <c r="A2098" s="24" t="n"/>
      <c r="B2098" s="27" t="n"/>
      <c r="C2098" s="24" t="n"/>
      <c r="D2098" s="28" t="n"/>
      <c r="E2098" s="29" t="n"/>
      <c r="F2098" s="24" t="n"/>
      <c r="G2098" s="24" t="n"/>
      <c r="H2098" s="21">
        <f>IF(ISNUMBER($B2098),INT($B2098)-WEEKDAY($B2098,2)+1,"")</f>
        <v/>
      </c>
      <c r="I2098" s="24" t="n"/>
      <c r="J2098" s="22">
        <f t="array" ref="J2098">IF($D2098="","",IF($I2098="","(trống REF)",IFERROR(INDEX(MASTER_SOURCE!$B$2:$B$495,MATCH($I2098,MASTER_SOURCE!$A$2:$A$495,0)),"(REF không có trong MASTER_SOURCE)")))</f>
        <v/>
      </c>
      <c r="K2098" s="22">
        <f t="array" ref="K2098">IF($D2098="","",IFERROR(INDEX(MASTER_SOURCE!$C$2:$C$495,MATCH($I2098,MASTER_SOURCE!$A$2:$A$495,0)),""))</f>
        <v/>
      </c>
      <c r="L2098" s="22">
        <f t="array" ref="L2098">IF($D2098="","",IFERROR(INDEX(MASTER_SOURCE!$D$2:$D$495,MATCH($I2098,MASTER_SOURCE!$A$2:$A$495,0)),""))</f>
        <v/>
      </c>
      <c r="M2098" s="24" t="n"/>
      <c r="N2098" s="24" t="n"/>
      <c r="O2098" s="24" t="n"/>
      <c r="P2098" s="24" t="n"/>
      <c r="Q2098" s="22">
        <f>IF($D2098="","",IF(AND(OR(DANH_MUC!$L$5&lt;&gt;"Có",M2098="Có"),OR(DANH_MUC!$L$6&lt;&gt;"Có",N2098="Có"),OR(DANH_MUC!$L$7&lt;&gt;"Có",O2098="Có"),OR(DANH_MUC!$L$8&lt;&gt;"Có",P2098="Có")),"Có","Không"))</f>
        <v/>
      </c>
      <c r="R2098" s="22">
        <f>IF($D2098="","",IF(COUNTIF($D$2:$D2098,$D2098)&gt;1,"Trùng",""))</f>
        <v/>
      </c>
      <c r="S2098" s="22">
        <f>IF($D2098="","",IF(AND(LEN($D2098)=10,LEFT($D2098,1)="0",ISNUMBER(--$D2098)),"Có","Không"))</f>
        <v/>
      </c>
      <c r="T2098" s="22">
        <f>IF($D2098="","",IF(AND($C2098&lt;&gt;"",$Q2098="Có",$R2098="",$S2098="Có",AND($L2098&lt;&gt;"",OR($L2098&lt;&gt;"Chưa xác định",DANH_MUC!$L$9="Có"))),"Có","Không"))</f>
        <v/>
      </c>
      <c r="U2098" s="22">
        <f>IF(OR($D2098="",$T2098="Có"),"",IF($C2098="","Thiếu họ tên; ","")&amp;IF($S2098&lt;&gt;"Có","SĐT sai định dạng; ","")&amp;IF($R2098="Trùng","Trùng SĐT; ","")&amp;IF($Q2098&lt;&gt;"Có","Thiếu đồng ý bắt buộc; ","")&amp;IF($L2098="","Thiếu/sai Mã REF; ",IF(AND($L2098="Chưa xác định",DANH_MUC!$L$9&lt;&gt;"Có"),"Nguồn chưa xác định; ","")))</f>
        <v/>
      </c>
      <c r="V2098" s="22">
        <f>IF(OR($D2098="",$R2098="Trùng"),"",IF(COUNTIF(ORDERS!$C$2:$C$4995,$D2098)&gt;0,"Có","Không"))</f>
        <v/>
      </c>
      <c r="W2098" s="22">
        <f>IF(OR($D2098="",$R2098="Trùng"),"",COUNTIFS(ORDERS!$C$2:$C$4995,$D2098,ORDERS!$L$2:$L$4995,"Đã chuyển khoản"))</f>
        <v/>
      </c>
      <c r="X2098" s="23">
        <f>IF(OR($D2098="",$R2098="Trùng"),"",SUMIFS(ORDERS!$J$2:$J$4995,ORDERS!$C$2:$C$4995,$D2098,ORDERS!$L$2:$L$4995,"Đã chuyển khoản"))</f>
        <v/>
      </c>
      <c r="Y2098" s="24" t="n"/>
    </row>
    <row r="2099" ht="14.25" customHeight="1" s="40">
      <c r="A2099" s="24" t="n"/>
      <c r="B2099" s="27" t="n"/>
      <c r="C2099" s="24" t="n"/>
      <c r="D2099" s="28" t="n"/>
      <c r="E2099" s="29" t="n"/>
      <c r="F2099" s="24" t="n"/>
      <c r="G2099" s="24" t="n"/>
      <c r="H2099" s="21">
        <f>IF(ISNUMBER($B2099),INT($B2099)-WEEKDAY($B2099,2)+1,"")</f>
        <v/>
      </c>
      <c r="I2099" s="24" t="n"/>
      <c r="J2099" s="22">
        <f t="array" ref="J2099">IF($D2099="","",IF($I2099="","(trống REF)",IFERROR(INDEX(MASTER_SOURCE!$B$2:$B$495,MATCH($I2099,MASTER_SOURCE!$A$2:$A$495,0)),"(REF không có trong MASTER_SOURCE)")))</f>
        <v/>
      </c>
      <c r="K2099" s="22">
        <f t="array" ref="K2099">IF($D2099="","",IFERROR(INDEX(MASTER_SOURCE!$C$2:$C$495,MATCH($I2099,MASTER_SOURCE!$A$2:$A$495,0)),""))</f>
        <v/>
      </c>
      <c r="L2099" s="22">
        <f t="array" ref="L2099">IF($D2099="","",IFERROR(INDEX(MASTER_SOURCE!$D$2:$D$495,MATCH($I2099,MASTER_SOURCE!$A$2:$A$495,0)),""))</f>
        <v/>
      </c>
      <c r="M2099" s="24" t="n"/>
      <c r="N2099" s="24" t="n"/>
      <c r="O2099" s="24" t="n"/>
      <c r="P2099" s="24" t="n"/>
      <c r="Q2099" s="22">
        <f>IF($D2099="","",IF(AND(OR(DANH_MUC!$L$5&lt;&gt;"Có",M2099="Có"),OR(DANH_MUC!$L$6&lt;&gt;"Có",N2099="Có"),OR(DANH_MUC!$L$7&lt;&gt;"Có",O2099="Có"),OR(DANH_MUC!$L$8&lt;&gt;"Có",P2099="Có")),"Có","Không"))</f>
        <v/>
      </c>
      <c r="R2099" s="22">
        <f>IF($D2099="","",IF(COUNTIF($D$2:$D2099,$D2099)&gt;1,"Trùng",""))</f>
        <v/>
      </c>
      <c r="S2099" s="22">
        <f>IF($D2099="","",IF(AND(LEN($D2099)=10,LEFT($D2099,1)="0",ISNUMBER(--$D2099)),"Có","Không"))</f>
        <v/>
      </c>
      <c r="T2099" s="22">
        <f>IF($D2099="","",IF(AND($C2099&lt;&gt;"",$Q2099="Có",$R2099="",$S2099="Có",AND($L2099&lt;&gt;"",OR($L2099&lt;&gt;"Chưa xác định",DANH_MUC!$L$9="Có"))),"Có","Không"))</f>
        <v/>
      </c>
      <c r="U2099" s="22">
        <f>IF(OR($D2099="",$T2099="Có"),"",IF($C2099="","Thiếu họ tên; ","")&amp;IF($S2099&lt;&gt;"Có","SĐT sai định dạng; ","")&amp;IF($R2099="Trùng","Trùng SĐT; ","")&amp;IF($Q2099&lt;&gt;"Có","Thiếu đồng ý bắt buộc; ","")&amp;IF($L2099="","Thiếu/sai Mã REF; ",IF(AND($L2099="Chưa xác định",DANH_MUC!$L$9&lt;&gt;"Có"),"Nguồn chưa xác định; ","")))</f>
        <v/>
      </c>
      <c r="V2099" s="22">
        <f>IF(OR($D2099="",$R2099="Trùng"),"",IF(COUNTIF(ORDERS!$C$2:$C$4995,$D2099)&gt;0,"Có","Không"))</f>
        <v/>
      </c>
      <c r="W2099" s="22">
        <f>IF(OR($D2099="",$R2099="Trùng"),"",COUNTIFS(ORDERS!$C$2:$C$4995,$D2099,ORDERS!$L$2:$L$4995,"Đã chuyển khoản"))</f>
        <v/>
      </c>
      <c r="X2099" s="23">
        <f>IF(OR($D2099="",$R2099="Trùng"),"",SUMIFS(ORDERS!$J$2:$J$4995,ORDERS!$C$2:$C$4995,$D2099,ORDERS!$L$2:$L$4995,"Đã chuyển khoản"))</f>
        <v/>
      </c>
      <c r="Y2099" s="24" t="n"/>
    </row>
    <row r="2100" ht="14.25" customHeight="1" s="40">
      <c r="A2100" s="24" t="n"/>
      <c r="B2100" s="27" t="n"/>
      <c r="C2100" s="24" t="n"/>
      <c r="D2100" s="28" t="n"/>
      <c r="E2100" s="29" t="n"/>
      <c r="F2100" s="24" t="n"/>
      <c r="G2100" s="24" t="n"/>
      <c r="H2100" s="21">
        <f>IF(ISNUMBER($B2100),INT($B2100)-WEEKDAY($B2100,2)+1,"")</f>
        <v/>
      </c>
      <c r="I2100" s="24" t="n"/>
      <c r="J2100" s="22">
        <f t="array" ref="J2100">IF($D2100="","",IF($I2100="","(trống REF)",IFERROR(INDEX(MASTER_SOURCE!$B$2:$B$495,MATCH($I2100,MASTER_SOURCE!$A$2:$A$495,0)),"(REF không có trong MASTER_SOURCE)")))</f>
        <v/>
      </c>
      <c r="K2100" s="22">
        <f t="array" ref="K2100">IF($D2100="","",IFERROR(INDEX(MASTER_SOURCE!$C$2:$C$495,MATCH($I2100,MASTER_SOURCE!$A$2:$A$495,0)),""))</f>
        <v/>
      </c>
      <c r="L2100" s="22">
        <f t="array" ref="L2100">IF($D2100="","",IFERROR(INDEX(MASTER_SOURCE!$D$2:$D$495,MATCH($I2100,MASTER_SOURCE!$A$2:$A$495,0)),""))</f>
        <v/>
      </c>
      <c r="M2100" s="24" t="n"/>
      <c r="N2100" s="24" t="n"/>
      <c r="O2100" s="24" t="n"/>
      <c r="P2100" s="24" t="n"/>
      <c r="Q2100" s="22">
        <f>IF($D2100="","",IF(AND(OR(DANH_MUC!$L$5&lt;&gt;"Có",M2100="Có"),OR(DANH_MUC!$L$6&lt;&gt;"Có",N2100="Có"),OR(DANH_MUC!$L$7&lt;&gt;"Có",O2100="Có"),OR(DANH_MUC!$L$8&lt;&gt;"Có",P2100="Có")),"Có","Không"))</f>
        <v/>
      </c>
      <c r="R2100" s="22">
        <f>IF($D2100="","",IF(COUNTIF($D$2:$D2100,$D2100)&gt;1,"Trùng",""))</f>
        <v/>
      </c>
      <c r="S2100" s="22">
        <f>IF($D2100="","",IF(AND(LEN($D2100)=10,LEFT($D2100,1)="0",ISNUMBER(--$D2100)),"Có","Không"))</f>
        <v/>
      </c>
      <c r="T2100" s="22">
        <f>IF($D2100="","",IF(AND($C2100&lt;&gt;"",$Q2100="Có",$R2100="",$S2100="Có",AND($L2100&lt;&gt;"",OR($L2100&lt;&gt;"Chưa xác định",DANH_MUC!$L$9="Có"))),"Có","Không"))</f>
        <v/>
      </c>
      <c r="U2100" s="22">
        <f>IF(OR($D2100="",$T2100="Có"),"",IF($C2100="","Thiếu họ tên; ","")&amp;IF($S2100&lt;&gt;"Có","SĐT sai định dạng; ","")&amp;IF($R2100="Trùng","Trùng SĐT; ","")&amp;IF($Q2100&lt;&gt;"Có","Thiếu đồng ý bắt buộc; ","")&amp;IF($L2100="","Thiếu/sai Mã REF; ",IF(AND($L2100="Chưa xác định",DANH_MUC!$L$9&lt;&gt;"Có"),"Nguồn chưa xác định; ","")))</f>
        <v/>
      </c>
      <c r="V2100" s="22">
        <f>IF(OR($D2100="",$R2100="Trùng"),"",IF(COUNTIF(ORDERS!$C$2:$C$4995,$D2100)&gt;0,"Có","Không"))</f>
        <v/>
      </c>
      <c r="W2100" s="22">
        <f>IF(OR($D2100="",$R2100="Trùng"),"",COUNTIFS(ORDERS!$C$2:$C$4995,$D2100,ORDERS!$L$2:$L$4995,"Đã chuyển khoản"))</f>
        <v/>
      </c>
      <c r="X2100" s="23">
        <f>IF(OR($D2100="",$R2100="Trùng"),"",SUMIFS(ORDERS!$J$2:$J$4995,ORDERS!$C$2:$C$4995,$D2100,ORDERS!$L$2:$L$4995,"Đã chuyển khoản"))</f>
        <v/>
      </c>
      <c r="Y2100" s="24" t="n"/>
    </row>
    <row r="2101" ht="14.25" customHeight="1" s="40">
      <c r="A2101" s="24" t="n"/>
      <c r="B2101" s="27" t="n"/>
      <c r="C2101" s="24" t="n"/>
      <c r="D2101" s="28" t="n"/>
      <c r="E2101" s="29" t="n"/>
      <c r="F2101" s="24" t="n"/>
      <c r="G2101" s="24" t="n"/>
      <c r="H2101" s="21">
        <f>IF(ISNUMBER($B2101),INT($B2101)-WEEKDAY($B2101,2)+1,"")</f>
        <v/>
      </c>
      <c r="I2101" s="24" t="n"/>
      <c r="J2101" s="22">
        <f t="array" ref="J2101">IF($D2101="","",IF($I2101="","(trống REF)",IFERROR(INDEX(MASTER_SOURCE!$B$2:$B$495,MATCH($I2101,MASTER_SOURCE!$A$2:$A$495,0)),"(REF không có trong MASTER_SOURCE)")))</f>
        <v/>
      </c>
      <c r="K2101" s="22">
        <f t="array" ref="K2101">IF($D2101="","",IFERROR(INDEX(MASTER_SOURCE!$C$2:$C$495,MATCH($I2101,MASTER_SOURCE!$A$2:$A$495,0)),""))</f>
        <v/>
      </c>
      <c r="L2101" s="22">
        <f t="array" ref="L2101">IF($D2101="","",IFERROR(INDEX(MASTER_SOURCE!$D$2:$D$495,MATCH($I2101,MASTER_SOURCE!$A$2:$A$495,0)),""))</f>
        <v/>
      </c>
      <c r="M2101" s="24" t="n"/>
      <c r="N2101" s="24" t="n"/>
      <c r="O2101" s="24" t="n"/>
      <c r="P2101" s="24" t="n"/>
      <c r="Q2101" s="22">
        <f>IF($D2101="","",IF(AND(OR(DANH_MUC!$L$5&lt;&gt;"Có",M2101="Có"),OR(DANH_MUC!$L$6&lt;&gt;"Có",N2101="Có"),OR(DANH_MUC!$L$7&lt;&gt;"Có",O2101="Có"),OR(DANH_MUC!$L$8&lt;&gt;"Có",P2101="Có")),"Có","Không"))</f>
        <v/>
      </c>
      <c r="R2101" s="22">
        <f>IF($D2101="","",IF(COUNTIF($D$2:$D2101,$D2101)&gt;1,"Trùng",""))</f>
        <v/>
      </c>
      <c r="S2101" s="22">
        <f>IF($D2101="","",IF(AND(LEN($D2101)=10,LEFT($D2101,1)="0",ISNUMBER(--$D2101)),"Có","Không"))</f>
        <v/>
      </c>
      <c r="T2101" s="22">
        <f>IF($D2101="","",IF(AND($C2101&lt;&gt;"",$Q2101="Có",$R2101="",$S2101="Có",AND($L2101&lt;&gt;"",OR($L2101&lt;&gt;"Chưa xác định",DANH_MUC!$L$9="Có"))),"Có","Không"))</f>
        <v/>
      </c>
      <c r="U2101" s="22">
        <f>IF(OR($D2101="",$T2101="Có"),"",IF($C2101="","Thiếu họ tên; ","")&amp;IF($S2101&lt;&gt;"Có","SĐT sai định dạng; ","")&amp;IF($R2101="Trùng","Trùng SĐT; ","")&amp;IF($Q2101&lt;&gt;"Có","Thiếu đồng ý bắt buộc; ","")&amp;IF($L2101="","Thiếu/sai Mã REF; ",IF(AND($L2101="Chưa xác định",DANH_MUC!$L$9&lt;&gt;"Có"),"Nguồn chưa xác định; ","")))</f>
        <v/>
      </c>
      <c r="V2101" s="22">
        <f>IF(OR($D2101="",$R2101="Trùng"),"",IF(COUNTIF(ORDERS!$C$2:$C$4995,$D2101)&gt;0,"Có","Không"))</f>
        <v/>
      </c>
      <c r="W2101" s="22">
        <f>IF(OR($D2101="",$R2101="Trùng"),"",COUNTIFS(ORDERS!$C$2:$C$4995,$D2101,ORDERS!$L$2:$L$4995,"Đã chuyển khoản"))</f>
        <v/>
      </c>
      <c r="X2101" s="23">
        <f>IF(OR($D2101="",$R2101="Trùng"),"",SUMIFS(ORDERS!$J$2:$J$4995,ORDERS!$C$2:$C$4995,$D2101,ORDERS!$L$2:$L$4995,"Đã chuyển khoản"))</f>
        <v/>
      </c>
      <c r="Y2101" s="24" t="n"/>
    </row>
    <row r="2102" ht="14.25" customHeight="1" s="40">
      <c r="A2102" s="24" t="n"/>
      <c r="B2102" s="27" t="n"/>
      <c r="C2102" s="24" t="n"/>
      <c r="D2102" s="28" t="n"/>
      <c r="E2102" s="29" t="n"/>
      <c r="F2102" s="24" t="n"/>
      <c r="G2102" s="24" t="n"/>
      <c r="H2102" s="21">
        <f>IF(ISNUMBER($B2102),INT($B2102)-WEEKDAY($B2102,2)+1,"")</f>
        <v/>
      </c>
      <c r="I2102" s="24" t="n"/>
      <c r="J2102" s="22">
        <f t="array" ref="J2102">IF($D2102="","",IF($I2102="","(trống REF)",IFERROR(INDEX(MASTER_SOURCE!$B$2:$B$495,MATCH($I2102,MASTER_SOURCE!$A$2:$A$495,0)),"(REF không có trong MASTER_SOURCE)")))</f>
        <v/>
      </c>
      <c r="K2102" s="22">
        <f t="array" ref="K2102">IF($D2102="","",IFERROR(INDEX(MASTER_SOURCE!$C$2:$C$495,MATCH($I2102,MASTER_SOURCE!$A$2:$A$495,0)),""))</f>
        <v/>
      </c>
      <c r="L2102" s="22">
        <f t="array" ref="L2102">IF($D2102="","",IFERROR(INDEX(MASTER_SOURCE!$D$2:$D$495,MATCH($I2102,MASTER_SOURCE!$A$2:$A$495,0)),""))</f>
        <v/>
      </c>
      <c r="M2102" s="24" t="n"/>
      <c r="N2102" s="24" t="n"/>
      <c r="O2102" s="24" t="n"/>
      <c r="P2102" s="24" t="n"/>
      <c r="Q2102" s="22">
        <f>IF($D2102="","",IF(AND(OR(DANH_MUC!$L$5&lt;&gt;"Có",M2102="Có"),OR(DANH_MUC!$L$6&lt;&gt;"Có",N2102="Có"),OR(DANH_MUC!$L$7&lt;&gt;"Có",O2102="Có"),OR(DANH_MUC!$L$8&lt;&gt;"Có",P2102="Có")),"Có","Không"))</f>
        <v/>
      </c>
      <c r="R2102" s="22">
        <f>IF($D2102="","",IF(COUNTIF($D$2:$D2102,$D2102)&gt;1,"Trùng",""))</f>
        <v/>
      </c>
      <c r="S2102" s="22">
        <f>IF($D2102="","",IF(AND(LEN($D2102)=10,LEFT($D2102,1)="0",ISNUMBER(--$D2102)),"Có","Không"))</f>
        <v/>
      </c>
      <c r="T2102" s="22">
        <f>IF($D2102="","",IF(AND($C2102&lt;&gt;"",$Q2102="Có",$R2102="",$S2102="Có",AND($L2102&lt;&gt;"",OR($L2102&lt;&gt;"Chưa xác định",DANH_MUC!$L$9="Có"))),"Có","Không"))</f>
        <v/>
      </c>
      <c r="U2102" s="22">
        <f>IF(OR($D2102="",$T2102="Có"),"",IF($C2102="","Thiếu họ tên; ","")&amp;IF($S2102&lt;&gt;"Có","SĐT sai định dạng; ","")&amp;IF($R2102="Trùng","Trùng SĐT; ","")&amp;IF($Q2102&lt;&gt;"Có","Thiếu đồng ý bắt buộc; ","")&amp;IF($L2102="","Thiếu/sai Mã REF; ",IF(AND($L2102="Chưa xác định",DANH_MUC!$L$9&lt;&gt;"Có"),"Nguồn chưa xác định; ","")))</f>
        <v/>
      </c>
      <c r="V2102" s="22">
        <f>IF(OR($D2102="",$R2102="Trùng"),"",IF(COUNTIF(ORDERS!$C$2:$C$4995,$D2102)&gt;0,"Có","Không"))</f>
        <v/>
      </c>
      <c r="W2102" s="22">
        <f>IF(OR($D2102="",$R2102="Trùng"),"",COUNTIFS(ORDERS!$C$2:$C$4995,$D2102,ORDERS!$L$2:$L$4995,"Đã chuyển khoản"))</f>
        <v/>
      </c>
      <c r="X2102" s="23">
        <f>IF(OR($D2102="",$R2102="Trùng"),"",SUMIFS(ORDERS!$J$2:$J$4995,ORDERS!$C$2:$C$4995,$D2102,ORDERS!$L$2:$L$4995,"Đã chuyển khoản"))</f>
        <v/>
      </c>
      <c r="Y2102" s="24" t="n"/>
    </row>
    <row r="2103" ht="14.25" customHeight="1" s="40">
      <c r="A2103" s="24" t="n"/>
      <c r="B2103" s="27" t="n"/>
      <c r="C2103" s="24" t="n"/>
      <c r="D2103" s="28" t="n"/>
      <c r="E2103" s="29" t="n"/>
      <c r="F2103" s="24" t="n"/>
      <c r="G2103" s="24" t="n"/>
      <c r="H2103" s="21">
        <f>IF(ISNUMBER($B2103),INT($B2103)-WEEKDAY($B2103,2)+1,"")</f>
        <v/>
      </c>
      <c r="I2103" s="24" t="n"/>
      <c r="J2103" s="22">
        <f t="array" ref="J2103">IF($D2103="","",IF($I2103="","(trống REF)",IFERROR(INDEX(MASTER_SOURCE!$B$2:$B$495,MATCH($I2103,MASTER_SOURCE!$A$2:$A$495,0)),"(REF không có trong MASTER_SOURCE)")))</f>
        <v/>
      </c>
      <c r="K2103" s="22">
        <f t="array" ref="K2103">IF($D2103="","",IFERROR(INDEX(MASTER_SOURCE!$C$2:$C$495,MATCH($I2103,MASTER_SOURCE!$A$2:$A$495,0)),""))</f>
        <v/>
      </c>
      <c r="L2103" s="22">
        <f t="array" ref="L2103">IF($D2103="","",IFERROR(INDEX(MASTER_SOURCE!$D$2:$D$495,MATCH($I2103,MASTER_SOURCE!$A$2:$A$495,0)),""))</f>
        <v/>
      </c>
      <c r="M2103" s="24" t="n"/>
      <c r="N2103" s="24" t="n"/>
      <c r="O2103" s="24" t="n"/>
      <c r="P2103" s="24" t="n"/>
      <c r="Q2103" s="22">
        <f>IF($D2103="","",IF(AND(OR(DANH_MUC!$L$5&lt;&gt;"Có",M2103="Có"),OR(DANH_MUC!$L$6&lt;&gt;"Có",N2103="Có"),OR(DANH_MUC!$L$7&lt;&gt;"Có",O2103="Có"),OR(DANH_MUC!$L$8&lt;&gt;"Có",P2103="Có")),"Có","Không"))</f>
        <v/>
      </c>
      <c r="R2103" s="22">
        <f>IF($D2103="","",IF(COUNTIF($D$2:$D2103,$D2103)&gt;1,"Trùng",""))</f>
        <v/>
      </c>
      <c r="S2103" s="22">
        <f>IF($D2103="","",IF(AND(LEN($D2103)=10,LEFT($D2103,1)="0",ISNUMBER(--$D2103)),"Có","Không"))</f>
        <v/>
      </c>
      <c r="T2103" s="22">
        <f>IF($D2103="","",IF(AND($C2103&lt;&gt;"",$Q2103="Có",$R2103="",$S2103="Có",AND($L2103&lt;&gt;"",OR($L2103&lt;&gt;"Chưa xác định",DANH_MUC!$L$9="Có"))),"Có","Không"))</f>
        <v/>
      </c>
      <c r="U2103" s="22">
        <f>IF(OR($D2103="",$T2103="Có"),"",IF($C2103="","Thiếu họ tên; ","")&amp;IF($S2103&lt;&gt;"Có","SĐT sai định dạng; ","")&amp;IF($R2103="Trùng","Trùng SĐT; ","")&amp;IF($Q2103&lt;&gt;"Có","Thiếu đồng ý bắt buộc; ","")&amp;IF($L2103="","Thiếu/sai Mã REF; ",IF(AND($L2103="Chưa xác định",DANH_MUC!$L$9&lt;&gt;"Có"),"Nguồn chưa xác định; ","")))</f>
        <v/>
      </c>
      <c r="V2103" s="22">
        <f>IF(OR($D2103="",$R2103="Trùng"),"",IF(COUNTIF(ORDERS!$C$2:$C$4995,$D2103)&gt;0,"Có","Không"))</f>
        <v/>
      </c>
      <c r="W2103" s="22">
        <f>IF(OR($D2103="",$R2103="Trùng"),"",COUNTIFS(ORDERS!$C$2:$C$4995,$D2103,ORDERS!$L$2:$L$4995,"Đã chuyển khoản"))</f>
        <v/>
      </c>
      <c r="X2103" s="23">
        <f>IF(OR($D2103="",$R2103="Trùng"),"",SUMIFS(ORDERS!$J$2:$J$4995,ORDERS!$C$2:$C$4995,$D2103,ORDERS!$L$2:$L$4995,"Đã chuyển khoản"))</f>
        <v/>
      </c>
      <c r="Y2103" s="24" t="n"/>
    </row>
    <row r="2104" ht="14.25" customHeight="1" s="40">
      <c r="A2104" s="24" t="n"/>
      <c r="B2104" s="27" t="n"/>
      <c r="C2104" s="24" t="n"/>
      <c r="D2104" s="28" t="n"/>
      <c r="E2104" s="29" t="n"/>
      <c r="F2104" s="24" t="n"/>
      <c r="G2104" s="24" t="n"/>
      <c r="H2104" s="21">
        <f>IF(ISNUMBER($B2104),INT($B2104)-WEEKDAY($B2104,2)+1,"")</f>
        <v/>
      </c>
      <c r="I2104" s="24" t="n"/>
      <c r="J2104" s="22">
        <f t="array" ref="J2104">IF($D2104="","",IF($I2104="","(trống REF)",IFERROR(INDEX(MASTER_SOURCE!$B$2:$B$495,MATCH($I2104,MASTER_SOURCE!$A$2:$A$495,0)),"(REF không có trong MASTER_SOURCE)")))</f>
        <v/>
      </c>
      <c r="K2104" s="22">
        <f t="array" ref="K2104">IF($D2104="","",IFERROR(INDEX(MASTER_SOURCE!$C$2:$C$495,MATCH($I2104,MASTER_SOURCE!$A$2:$A$495,0)),""))</f>
        <v/>
      </c>
      <c r="L2104" s="22">
        <f t="array" ref="L2104">IF($D2104="","",IFERROR(INDEX(MASTER_SOURCE!$D$2:$D$495,MATCH($I2104,MASTER_SOURCE!$A$2:$A$495,0)),""))</f>
        <v/>
      </c>
      <c r="M2104" s="24" t="n"/>
      <c r="N2104" s="24" t="n"/>
      <c r="O2104" s="24" t="n"/>
      <c r="P2104" s="24" t="n"/>
      <c r="Q2104" s="22">
        <f>IF($D2104="","",IF(AND(OR(DANH_MUC!$L$5&lt;&gt;"Có",M2104="Có"),OR(DANH_MUC!$L$6&lt;&gt;"Có",N2104="Có"),OR(DANH_MUC!$L$7&lt;&gt;"Có",O2104="Có"),OR(DANH_MUC!$L$8&lt;&gt;"Có",P2104="Có")),"Có","Không"))</f>
        <v/>
      </c>
      <c r="R2104" s="22">
        <f>IF($D2104="","",IF(COUNTIF($D$2:$D2104,$D2104)&gt;1,"Trùng",""))</f>
        <v/>
      </c>
      <c r="S2104" s="22">
        <f>IF($D2104="","",IF(AND(LEN($D2104)=10,LEFT($D2104,1)="0",ISNUMBER(--$D2104)),"Có","Không"))</f>
        <v/>
      </c>
      <c r="T2104" s="22">
        <f>IF($D2104="","",IF(AND($C2104&lt;&gt;"",$Q2104="Có",$R2104="",$S2104="Có",AND($L2104&lt;&gt;"",OR($L2104&lt;&gt;"Chưa xác định",DANH_MUC!$L$9="Có"))),"Có","Không"))</f>
        <v/>
      </c>
      <c r="U2104" s="22">
        <f>IF(OR($D2104="",$T2104="Có"),"",IF($C2104="","Thiếu họ tên; ","")&amp;IF($S2104&lt;&gt;"Có","SĐT sai định dạng; ","")&amp;IF($R2104="Trùng","Trùng SĐT; ","")&amp;IF($Q2104&lt;&gt;"Có","Thiếu đồng ý bắt buộc; ","")&amp;IF($L2104="","Thiếu/sai Mã REF; ",IF(AND($L2104="Chưa xác định",DANH_MUC!$L$9&lt;&gt;"Có"),"Nguồn chưa xác định; ","")))</f>
        <v/>
      </c>
      <c r="V2104" s="22">
        <f>IF(OR($D2104="",$R2104="Trùng"),"",IF(COUNTIF(ORDERS!$C$2:$C$4995,$D2104)&gt;0,"Có","Không"))</f>
        <v/>
      </c>
      <c r="W2104" s="22">
        <f>IF(OR($D2104="",$R2104="Trùng"),"",COUNTIFS(ORDERS!$C$2:$C$4995,$D2104,ORDERS!$L$2:$L$4995,"Đã chuyển khoản"))</f>
        <v/>
      </c>
      <c r="X2104" s="23">
        <f>IF(OR($D2104="",$R2104="Trùng"),"",SUMIFS(ORDERS!$J$2:$J$4995,ORDERS!$C$2:$C$4995,$D2104,ORDERS!$L$2:$L$4995,"Đã chuyển khoản"))</f>
        <v/>
      </c>
      <c r="Y2104" s="24" t="n"/>
    </row>
    <row r="2105" ht="14.25" customHeight="1" s="40">
      <c r="A2105" s="24" t="n"/>
      <c r="B2105" s="27" t="n"/>
      <c r="C2105" s="24" t="n"/>
      <c r="D2105" s="28" t="n"/>
      <c r="E2105" s="29" t="n"/>
      <c r="F2105" s="24" t="n"/>
      <c r="G2105" s="24" t="n"/>
      <c r="H2105" s="21">
        <f>IF(ISNUMBER($B2105),INT($B2105)-WEEKDAY($B2105,2)+1,"")</f>
        <v/>
      </c>
      <c r="I2105" s="24" t="n"/>
      <c r="J2105" s="22">
        <f t="array" ref="J2105">IF($D2105="","",IF($I2105="","(trống REF)",IFERROR(INDEX(MASTER_SOURCE!$B$2:$B$495,MATCH($I2105,MASTER_SOURCE!$A$2:$A$495,0)),"(REF không có trong MASTER_SOURCE)")))</f>
        <v/>
      </c>
      <c r="K2105" s="22">
        <f t="array" ref="K2105">IF($D2105="","",IFERROR(INDEX(MASTER_SOURCE!$C$2:$C$495,MATCH($I2105,MASTER_SOURCE!$A$2:$A$495,0)),""))</f>
        <v/>
      </c>
      <c r="L2105" s="22">
        <f t="array" ref="L2105">IF($D2105="","",IFERROR(INDEX(MASTER_SOURCE!$D$2:$D$495,MATCH($I2105,MASTER_SOURCE!$A$2:$A$495,0)),""))</f>
        <v/>
      </c>
      <c r="M2105" s="24" t="n"/>
      <c r="N2105" s="24" t="n"/>
      <c r="O2105" s="24" t="n"/>
      <c r="P2105" s="24" t="n"/>
      <c r="Q2105" s="22">
        <f>IF($D2105="","",IF(AND(OR(DANH_MUC!$L$5&lt;&gt;"Có",M2105="Có"),OR(DANH_MUC!$L$6&lt;&gt;"Có",N2105="Có"),OR(DANH_MUC!$L$7&lt;&gt;"Có",O2105="Có"),OR(DANH_MUC!$L$8&lt;&gt;"Có",P2105="Có")),"Có","Không"))</f>
        <v/>
      </c>
      <c r="R2105" s="22">
        <f>IF($D2105="","",IF(COUNTIF($D$2:$D2105,$D2105)&gt;1,"Trùng",""))</f>
        <v/>
      </c>
      <c r="S2105" s="22">
        <f>IF($D2105="","",IF(AND(LEN($D2105)=10,LEFT($D2105,1)="0",ISNUMBER(--$D2105)),"Có","Không"))</f>
        <v/>
      </c>
      <c r="T2105" s="22">
        <f>IF($D2105="","",IF(AND($C2105&lt;&gt;"",$Q2105="Có",$R2105="",$S2105="Có",AND($L2105&lt;&gt;"",OR($L2105&lt;&gt;"Chưa xác định",DANH_MUC!$L$9="Có"))),"Có","Không"))</f>
        <v/>
      </c>
      <c r="U2105" s="22">
        <f>IF(OR($D2105="",$T2105="Có"),"",IF($C2105="","Thiếu họ tên; ","")&amp;IF($S2105&lt;&gt;"Có","SĐT sai định dạng; ","")&amp;IF($R2105="Trùng","Trùng SĐT; ","")&amp;IF($Q2105&lt;&gt;"Có","Thiếu đồng ý bắt buộc; ","")&amp;IF($L2105="","Thiếu/sai Mã REF; ",IF(AND($L2105="Chưa xác định",DANH_MUC!$L$9&lt;&gt;"Có"),"Nguồn chưa xác định; ","")))</f>
        <v/>
      </c>
      <c r="V2105" s="22">
        <f>IF(OR($D2105="",$R2105="Trùng"),"",IF(COUNTIF(ORDERS!$C$2:$C$4995,$D2105)&gt;0,"Có","Không"))</f>
        <v/>
      </c>
      <c r="W2105" s="22">
        <f>IF(OR($D2105="",$R2105="Trùng"),"",COUNTIFS(ORDERS!$C$2:$C$4995,$D2105,ORDERS!$L$2:$L$4995,"Đã chuyển khoản"))</f>
        <v/>
      </c>
      <c r="X2105" s="23">
        <f>IF(OR($D2105="",$R2105="Trùng"),"",SUMIFS(ORDERS!$J$2:$J$4995,ORDERS!$C$2:$C$4995,$D2105,ORDERS!$L$2:$L$4995,"Đã chuyển khoản"))</f>
        <v/>
      </c>
      <c r="Y2105" s="24" t="n"/>
    </row>
    <row r="2106" ht="14.25" customHeight="1" s="40">
      <c r="A2106" s="24" t="n"/>
      <c r="B2106" s="27" t="n"/>
      <c r="C2106" s="24" t="n"/>
      <c r="D2106" s="28" t="n"/>
      <c r="E2106" s="29" t="n"/>
      <c r="F2106" s="24" t="n"/>
      <c r="G2106" s="24" t="n"/>
      <c r="H2106" s="21">
        <f>IF(ISNUMBER($B2106),INT($B2106)-WEEKDAY($B2106,2)+1,"")</f>
        <v/>
      </c>
      <c r="I2106" s="24" t="n"/>
      <c r="J2106" s="22">
        <f t="array" ref="J2106">IF($D2106="","",IF($I2106="","(trống REF)",IFERROR(INDEX(MASTER_SOURCE!$B$2:$B$495,MATCH($I2106,MASTER_SOURCE!$A$2:$A$495,0)),"(REF không có trong MASTER_SOURCE)")))</f>
        <v/>
      </c>
      <c r="K2106" s="22">
        <f t="array" ref="K2106">IF($D2106="","",IFERROR(INDEX(MASTER_SOURCE!$C$2:$C$495,MATCH($I2106,MASTER_SOURCE!$A$2:$A$495,0)),""))</f>
        <v/>
      </c>
      <c r="L2106" s="22">
        <f t="array" ref="L2106">IF($D2106="","",IFERROR(INDEX(MASTER_SOURCE!$D$2:$D$495,MATCH($I2106,MASTER_SOURCE!$A$2:$A$495,0)),""))</f>
        <v/>
      </c>
      <c r="M2106" s="24" t="n"/>
      <c r="N2106" s="24" t="n"/>
      <c r="O2106" s="24" t="n"/>
      <c r="P2106" s="24" t="n"/>
      <c r="Q2106" s="22">
        <f>IF($D2106="","",IF(AND(OR(DANH_MUC!$L$5&lt;&gt;"Có",M2106="Có"),OR(DANH_MUC!$L$6&lt;&gt;"Có",N2106="Có"),OR(DANH_MUC!$L$7&lt;&gt;"Có",O2106="Có"),OR(DANH_MUC!$L$8&lt;&gt;"Có",P2106="Có")),"Có","Không"))</f>
        <v/>
      </c>
      <c r="R2106" s="22">
        <f>IF($D2106="","",IF(COUNTIF($D$2:$D2106,$D2106)&gt;1,"Trùng",""))</f>
        <v/>
      </c>
      <c r="S2106" s="22">
        <f>IF($D2106="","",IF(AND(LEN($D2106)=10,LEFT($D2106,1)="0",ISNUMBER(--$D2106)),"Có","Không"))</f>
        <v/>
      </c>
      <c r="T2106" s="22">
        <f>IF($D2106="","",IF(AND($C2106&lt;&gt;"",$Q2106="Có",$R2106="",$S2106="Có",AND($L2106&lt;&gt;"",OR($L2106&lt;&gt;"Chưa xác định",DANH_MUC!$L$9="Có"))),"Có","Không"))</f>
        <v/>
      </c>
      <c r="U2106" s="22">
        <f>IF(OR($D2106="",$T2106="Có"),"",IF($C2106="","Thiếu họ tên; ","")&amp;IF($S2106&lt;&gt;"Có","SĐT sai định dạng; ","")&amp;IF($R2106="Trùng","Trùng SĐT; ","")&amp;IF($Q2106&lt;&gt;"Có","Thiếu đồng ý bắt buộc; ","")&amp;IF($L2106="","Thiếu/sai Mã REF; ",IF(AND($L2106="Chưa xác định",DANH_MUC!$L$9&lt;&gt;"Có"),"Nguồn chưa xác định; ","")))</f>
        <v/>
      </c>
      <c r="V2106" s="22">
        <f>IF(OR($D2106="",$R2106="Trùng"),"",IF(COUNTIF(ORDERS!$C$2:$C$4995,$D2106)&gt;0,"Có","Không"))</f>
        <v/>
      </c>
      <c r="W2106" s="22">
        <f>IF(OR($D2106="",$R2106="Trùng"),"",COUNTIFS(ORDERS!$C$2:$C$4995,$D2106,ORDERS!$L$2:$L$4995,"Đã chuyển khoản"))</f>
        <v/>
      </c>
      <c r="X2106" s="23">
        <f>IF(OR($D2106="",$R2106="Trùng"),"",SUMIFS(ORDERS!$J$2:$J$4995,ORDERS!$C$2:$C$4995,$D2106,ORDERS!$L$2:$L$4995,"Đã chuyển khoản"))</f>
        <v/>
      </c>
      <c r="Y2106" s="24" t="n"/>
    </row>
    <row r="2107" ht="14.25" customHeight="1" s="40">
      <c r="A2107" s="24" t="n"/>
      <c r="B2107" s="27" t="n"/>
      <c r="C2107" s="24" t="n"/>
      <c r="D2107" s="28" t="n"/>
      <c r="E2107" s="29" t="n"/>
      <c r="F2107" s="24" t="n"/>
      <c r="G2107" s="24" t="n"/>
      <c r="H2107" s="21">
        <f>IF(ISNUMBER($B2107),INT($B2107)-WEEKDAY($B2107,2)+1,"")</f>
        <v/>
      </c>
      <c r="I2107" s="24" t="n"/>
      <c r="J2107" s="22">
        <f t="array" ref="J2107">IF($D2107="","",IF($I2107="","(trống REF)",IFERROR(INDEX(MASTER_SOURCE!$B$2:$B$495,MATCH($I2107,MASTER_SOURCE!$A$2:$A$495,0)),"(REF không có trong MASTER_SOURCE)")))</f>
        <v/>
      </c>
      <c r="K2107" s="22">
        <f t="array" ref="K2107">IF($D2107="","",IFERROR(INDEX(MASTER_SOURCE!$C$2:$C$495,MATCH($I2107,MASTER_SOURCE!$A$2:$A$495,0)),""))</f>
        <v/>
      </c>
      <c r="L2107" s="22">
        <f t="array" ref="L2107">IF($D2107="","",IFERROR(INDEX(MASTER_SOURCE!$D$2:$D$495,MATCH($I2107,MASTER_SOURCE!$A$2:$A$495,0)),""))</f>
        <v/>
      </c>
      <c r="M2107" s="24" t="n"/>
      <c r="N2107" s="24" t="n"/>
      <c r="O2107" s="24" t="n"/>
      <c r="P2107" s="24" t="n"/>
      <c r="Q2107" s="22">
        <f>IF($D2107="","",IF(AND(OR(DANH_MUC!$L$5&lt;&gt;"Có",M2107="Có"),OR(DANH_MUC!$L$6&lt;&gt;"Có",N2107="Có"),OR(DANH_MUC!$L$7&lt;&gt;"Có",O2107="Có"),OR(DANH_MUC!$L$8&lt;&gt;"Có",P2107="Có")),"Có","Không"))</f>
        <v/>
      </c>
      <c r="R2107" s="22">
        <f>IF($D2107="","",IF(COUNTIF($D$2:$D2107,$D2107)&gt;1,"Trùng",""))</f>
        <v/>
      </c>
      <c r="S2107" s="22">
        <f>IF($D2107="","",IF(AND(LEN($D2107)=10,LEFT($D2107,1)="0",ISNUMBER(--$D2107)),"Có","Không"))</f>
        <v/>
      </c>
      <c r="T2107" s="22">
        <f>IF($D2107="","",IF(AND($C2107&lt;&gt;"",$Q2107="Có",$R2107="",$S2107="Có",AND($L2107&lt;&gt;"",OR($L2107&lt;&gt;"Chưa xác định",DANH_MUC!$L$9="Có"))),"Có","Không"))</f>
        <v/>
      </c>
      <c r="U2107" s="22">
        <f>IF(OR($D2107="",$T2107="Có"),"",IF($C2107="","Thiếu họ tên; ","")&amp;IF($S2107&lt;&gt;"Có","SĐT sai định dạng; ","")&amp;IF($R2107="Trùng","Trùng SĐT; ","")&amp;IF($Q2107&lt;&gt;"Có","Thiếu đồng ý bắt buộc; ","")&amp;IF($L2107="","Thiếu/sai Mã REF; ",IF(AND($L2107="Chưa xác định",DANH_MUC!$L$9&lt;&gt;"Có"),"Nguồn chưa xác định; ","")))</f>
        <v/>
      </c>
      <c r="V2107" s="22">
        <f>IF(OR($D2107="",$R2107="Trùng"),"",IF(COUNTIF(ORDERS!$C$2:$C$4995,$D2107)&gt;0,"Có","Không"))</f>
        <v/>
      </c>
      <c r="W2107" s="22">
        <f>IF(OR($D2107="",$R2107="Trùng"),"",COUNTIFS(ORDERS!$C$2:$C$4995,$D2107,ORDERS!$L$2:$L$4995,"Đã chuyển khoản"))</f>
        <v/>
      </c>
      <c r="X2107" s="23">
        <f>IF(OR($D2107="",$R2107="Trùng"),"",SUMIFS(ORDERS!$J$2:$J$4995,ORDERS!$C$2:$C$4995,$D2107,ORDERS!$L$2:$L$4995,"Đã chuyển khoản"))</f>
        <v/>
      </c>
      <c r="Y2107" s="24" t="n"/>
    </row>
    <row r="2108" ht="14.25" customHeight="1" s="40">
      <c r="A2108" s="24" t="n"/>
      <c r="B2108" s="27" t="n"/>
      <c r="C2108" s="24" t="n"/>
      <c r="D2108" s="28" t="n"/>
      <c r="E2108" s="29" t="n"/>
      <c r="F2108" s="24" t="n"/>
      <c r="G2108" s="24" t="n"/>
      <c r="H2108" s="21">
        <f>IF(ISNUMBER($B2108),INT($B2108)-WEEKDAY($B2108,2)+1,"")</f>
        <v/>
      </c>
      <c r="I2108" s="24" t="n"/>
      <c r="J2108" s="22">
        <f t="array" ref="J2108">IF($D2108="","",IF($I2108="","(trống REF)",IFERROR(INDEX(MASTER_SOURCE!$B$2:$B$495,MATCH($I2108,MASTER_SOURCE!$A$2:$A$495,0)),"(REF không có trong MASTER_SOURCE)")))</f>
        <v/>
      </c>
      <c r="K2108" s="22">
        <f t="array" ref="K2108">IF($D2108="","",IFERROR(INDEX(MASTER_SOURCE!$C$2:$C$495,MATCH($I2108,MASTER_SOURCE!$A$2:$A$495,0)),""))</f>
        <v/>
      </c>
      <c r="L2108" s="22">
        <f t="array" ref="L2108">IF($D2108="","",IFERROR(INDEX(MASTER_SOURCE!$D$2:$D$495,MATCH($I2108,MASTER_SOURCE!$A$2:$A$495,0)),""))</f>
        <v/>
      </c>
      <c r="M2108" s="24" t="n"/>
      <c r="N2108" s="24" t="n"/>
      <c r="O2108" s="24" t="n"/>
      <c r="P2108" s="24" t="n"/>
      <c r="Q2108" s="22">
        <f>IF($D2108="","",IF(AND(OR(DANH_MUC!$L$5&lt;&gt;"Có",M2108="Có"),OR(DANH_MUC!$L$6&lt;&gt;"Có",N2108="Có"),OR(DANH_MUC!$L$7&lt;&gt;"Có",O2108="Có"),OR(DANH_MUC!$L$8&lt;&gt;"Có",P2108="Có")),"Có","Không"))</f>
        <v/>
      </c>
      <c r="R2108" s="22">
        <f>IF($D2108="","",IF(COUNTIF($D$2:$D2108,$D2108)&gt;1,"Trùng",""))</f>
        <v/>
      </c>
      <c r="S2108" s="22">
        <f>IF($D2108="","",IF(AND(LEN($D2108)=10,LEFT($D2108,1)="0",ISNUMBER(--$D2108)),"Có","Không"))</f>
        <v/>
      </c>
      <c r="T2108" s="22">
        <f>IF($D2108="","",IF(AND($C2108&lt;&gt;"",$Q2108="Có",$R2108="",$S2108="Có",AND($L2108&lt;&gt;"",OR($L2108&lt;&gt;"Chưa xác định",DANH_MUC!$L$9="Có"))),"Có","Không"))</f>
        <v/>
      </c>
      <c r="U2108" s="22">
        <f>IF(OR($D2108="",$T2108="Có"),"",IF($C2108="","Thiếu họ tên; ","")&amp;IF($S2108&lt;&gt;"Có","SĐT sai định dạng; ","")&amp;IF($R2108="Trùng","Trùng SĐT; ","")&amp;IF($Q2108&lt;&gt;"Có","Thiếu đồng ý bắt buộc; ","")&amp;IF($L2108="","Thiếu/sai Mã REF; ",IF(AND($L2108="Chưa xác định",DANH_MUC!$L$9&lt;&gt;"Có"),"Nguồn chưa xác định; ","")))</f>
        <v/>
      </c>
      <c r="V2108" s="22">
        <f>IF(OR($D2108="",$R2108="Trùng"),"",IF(COUNTIF(ORDERS!$C$2:$C$4995,$D2108)&gt;0,"Có","Không"))</f>
        <v/>
      </c>
      <c r="W2108" s="22">
        <f>IF(OR($D2108="",$R2108="Trùng"),"",COUNTIFS(ORDERS!$C$2:$C$4995,$D2108,ORDERS!$L$2:$L$4995,"Đã chuyển khoản"))</f>
        <v/>
      </c>
      <c r="X2108" s="23">
        <f>IF(OR($D2108="",$R2108="Trùng"),"",SUMIFS(ORDERS!$J$2:$J$4995,ORDERS!$C$2:$C$4995,$D2108,ORDERS!$L$2:$L$4995,"Đã chuyển khoản"))</f>
        <v/>
      </c>
      <c r="Y2108" s="24" t="n"/>
    </row>
    <row r="2109" ht="14.25" customHeight="1" s="40">
      <c r="A2109" s="24" t="n"/>
      <c r="B2109" s="27" t="n"/>
      <c r="C2109" s="24" t="n"/>
      <c r="D2109" s="28" t="n"/>
      <c r="E2109" s="29" t="n"/>
      <c r="F2109" s="24" t="n"/>
      <c r="G2109" s="24" t="n"/>
      <c r="H2109" s="21">
        <f>IF(ISNUMBER($B2109),INT($B2109)-WEEKDAY($B2109,2)+1,"")</f>
        <v/>
      </c>
      <c r="I2109" s="24" t="n"/>
      <c r="J2109" s="22">
        <f t="array" ref="J2109">IF($D2109="","",IF($I2109="","(trống REF)",IFERROR(INDEX(MASTER_SOURCE!$B$2:$B$495,MATCH($I2109,MASTER_SOURCE!$A$2:$A$495,0)),"(REF không có trong MASTER_SOURCE)")))</f>
        <v/>
      </c>
      <c r="K2109" s="22">
        <f t="array" ref="K2109">IF($D2109="","",IFERROR(INDEX(MASTER_SOURCE!$C$2:$C$495,MATCH($I2109,MASTER_SOURCE!$A$2:$A$495,0)),""))</f>
        <v/>
      </c>
      <c r="L2109" s="22">
        <f t="array" ref="L2109">IF($D2109="","",IFERROR(INDEX(MASTER_SOURCE!$D$2:$D$495,MATCH($I2109,MASTER_SOURCE!$A$2:$A$495,0)),""))</f>
        <v/>
      </c>
      <c r="M2109" s="24" t="n"/>
      <c r="N2109" s="24" t="n"/>
      <c r="O2109" s="24" t="n"/>
      <c r="P2109" s="24" t="n"/>
      <c r="Q2109" s="22">
        <f>IF($D2109="","",IF(AND(OR(DANH_MUC!$L$5&lt;&gt;"Có",M2109="Có"),OR(DANH_MUC!$L$6&lt;&gt;"Có",N2109="Có"),OR(DANH_MUC!$L$7&lt;&gt;"Có",O2109="Có"),OR(DANH_MUC!$L$8&lt;&gt;"Có",P2109="Có")),"Có","Không"))</f>
        <v/>
      </c>
      <c r="R2109" s="22">
        <f>IF($D2109="","",IF(COUNTIF($D$2:$D2109,$D2109)&gt;1,"Trùng",""))</f>
        <v/>
      </c>
      <c r="S2109" s="22">
        <f>IF($D2109="","",IF(AND(LEN($D2109)=10,LEFT($D2109,1)="0",ISNUMBER(--$D2109)),"Có","Không"))</f>
        <v/>
      </c>
      <c r="T2109" s="22">
        <f>IF($D2109="","",IF(AND($C2109&lt;&gt;"",$Q2109="Có",$R2109="",$S2109="Có",AND($L2109&lt;&gt;"",OR($L2109&lt;&gt;"Chưa xác định",DANH_MUC!$L$9="Có"))),"Có","Không"))</f>
        <v/>
      </c>
      <c r="U2109" s="22">
        <f>IF(OR($D2109="",$T2109="Có"),"",IF($C2109="","Thiếu họ tên; ","")&amp;IF($S2109&lt;&gt;"Có","SĐT sai định dạng; ","")&amp;IF($R2109="Trùng","Trùng SĐT; ","")&amp;IF($Q2109&lt;&gt;"Có","Thiếu đồng ý bắt buộc; ","")&amp;IF($L2109="","Thiếu/sai Mã REF; ",IF(AND($L2109="Chưa xác định",DANH_MUC!$L$9&lt;&gt;"Có"),"Nguồn chưa xác định; ","")))</f>
        <v/>
      </c>
      <c r="V2109" s="22">
        <f>IF(OR($D2109="",$R2109="Trùng"),"",IF(COUNTIF(ORDERS!$C$2:$C$4995,$D2109)&gt;0,"Có","Không"))</f>
        <v/>
      </c>
      <c r="W2109" s="22">
        <f>IF(OR($D2109="",$R2109="Trùng"),"",COUNTIFS(ORDERS!$C$2:$C$4995,$D2109,ORDERS!$L$2:$L$4995,"Đã chuyển khoản"))</f>
        <v/>
      </c>
      <c r="X2109" s="23">
        <f>IF(OR($D2109="",$R2109="Trùng"),"",SUMIFS(ORDERS!$J$2:$J$4995,ORDERS!$C$2:$C$4995,$D2109,ORDERS!$L$2:$L$4995,"Đã chuyển khoản"))</f>
        <v/>
      </c>
      <c r="Y2109" s="24" t="n"/>
    </row>
    <row r="2110" ht="14.25" customHeight="1" s="40">
      <c r="A2110" s="24" t="n"/>
      <c r="B2110" s="27" t="n"/>
      <c r="C2110" s="24" t="n"/>
      <c r="D2110" s="28" t="n"/>
      <c r="E2110" s="29" t="n"/>
      <c r="F2110" s="24" t="n"/>
      <c r="G2110" s="24" t="n"/>
      <c r="H2110" s="21">
        <f>IF(ISNUMBER($B2110),INT($B2110)-WEEKDAY($B2110,2)+1,"")</f>
        <v/>
      </c>
      <c r="I2110" s="24" t="n"/>
      <c r="J2110" s="22">
        <f t="array" ref="J2110">IF($D2110="","",IF($I2110="","(trống REF)",IFERROR(INDEX(MASTER_SOURCE!$B$2:$B$495,MATCH($I2110,MASTER_SOURCE!$A$2:$A$495,0)),"(REF không có trong MASTER_SOURCE)")))</f>
        <v/>
      </c>
      <c r="K2110" s="22">
        <f t="array" ref="K2110">IF($D2110="","",IFERROR(INDEX(MASTER_SOURCE!$C$2:$C$495,MATCH($I2110,MASTER_SOURCE!$A$2:$A$495,0)),""))</f>
        <v/>
      </c>
      <c r="L2110" s="22">
        <f t="array" ref="L2110">IF($D2110="","",IFERROR(INDEX(MASTER_SOURCE!$D$2:$D$495,MATCH($I2110,MASTER_SOURCE!$A$2:$A$495,0)),""))</f>
        <v/>
      </c>
      <c r="M2110" s="24" t="n"/>
      <c r="N2110" s="24" t="n"/>
      <c r="O2110" s="24" t="n"/>
      <c r="P2110" s="24" t="n"/>
      <c r="Q2110" s="22">
        <f>IF($D2110="","",IF(AND(OR(DANH_MUC!$L$5&lt;&gt;"Có",M2110="Có"),OR(DANH_MUC!$L$6&lt;&gt;"Có",N2110="Có"),OR(DANH_MUC!$L$7&lt;&gt;"Có",O2110="Có"),OR(DANH_MUC!$L$8&lt;&gt;"Có",P2110="Có")),"Có","Không"))</f>
        <v/>
      </c>
      <c r="R2110" s="22">
        <f>IF($D2110="","",IF(COUNTIF($D$2:$D2110,$D2110)&gt;1,"Trùng",""))</f>
        <v/>
      </c>
      <c r="S2110" s="22">
        <f>IF($D2110="","",IF(AND(LEN($D2110)=10,LEFT($D2110,1)="0",ISNUMBER(--$D2110)),"Có","Không"))</f>
        <v/>
      </c>
      <c r="T2110" s="22">
        <f>IF($D2110="","",IF(AND($C2110&lt;&gt;"",$Q2110="Có",$R2110="",$S2110="Có",AND($L2110&lt;&gt;"",OR($L2110&lt;&gt;"Chưa xác định",DANH_MUC!$L$9="Có"))),"Có","Không"))</f>
        <v/>
      </c>
      <c r="U2110" s="22">
        <f>IF(OR($D2110="",$T2110="Có"),"",IF($C2110="","Thiếu họ tên; ","")&amp;IF($S2110&lt;&gt;"Có","SĐT sai định dạng; ","")&amp;IF($R2110="Trùng","Trùng SĐT; ","")&amp;IF($Q2110&lt;&gt;"Có","Thiếu đồng ý bắt buộc; ","")&amp;IF($L2110="","Thiếu/sai Mã REF; ",IF(AND($L2110="Chưa xác định",DANH_MUC!$L$9&lt;&gt;"Có"),"Nguồn chưa xác định; ","")))</f>
        <v/>
      </c>
      <c r="V2110" s="22">
        <f>IF(OR($D2110="",$R2110="Trùng"),"",IF(COUNTIF(ORDERS!$C$2:$C$4995,$D2110)&gt;0,"Có","Không"))</f>
        <v/>
      </c>
      <c r="W2110" s="22">
        <f>IF(OR($D2110="",$R2110="Trùng"),"",COUNTIFS(ORDERS!$C$2:$C$4995,$D2110,ORDERS!$L$2:$L$4995,"Đã chuyển khoản"))</f>
        <v/>
      </c>
      <c r="X2110" s="23">
        <f>IF(OR($D2110="",$R2110="Trùng"),"",SUMIFS(ORDERS!$J$2:$J$4995,ORDERS!$C$2:$C$4995,$D2110,ORDERS!$L$2:$L$4995,"Đã chuyển khoản"))</f>
        <v/>
      </c>
      <c r="Y2110" s="24" t="n"/>
    </row>
    <row r="2111" ht="14.25" customHeight="1" s="40">
      <c r="A2111" s="24" t="n"/>
      <c r="B2111" s="27" t="n"/>
      <c r="C2111" s="24" t="n"/>
      <c r="D2111" s="28" t="n"/>
      <c r="E2111" s="29" t="n"/>
      <c r="F2111" s="24" t="n"/>
      <c r="G2111" s="24" t="n"/>
      <c r="H2111" s="21">
        <f>IF(ISNUMBER($B2111),INT($B2111)-WEEKDAY($B2111,2)+1,"")</f>
        <v/>
      </c>
      <c r="I2111" s="24" t="n"/>
      <c r="J2111" s="22">
        <f t="array" ref="J2111">IF($D2111="","",IF($I2111="","(trống REF)",IFERROR(INDEX(MASTER_SOURCE!$B$2:$B$495,MATCH($I2111,MASTER_SOURCE!$A$2:$A$495,0)),"(REF không có trong MASTER_SOURCE)")))</f>
        <v/>
      </c>
      <c r="K2111" s="22">
        <f t="array" ref="K2111">IF($D2111="","",IFERROR(INDEX(MASTER_SOURCE!$C$2:$C$495,MATCH($I2111,MASTER_SOURCE!$A$2:$A$495,0)),""))</f>
        <v/>
      </c>
      <c r="L2111" s="22">
        <f t="array" ref="L2111">IF($D2111="","",IFERROR(INDEX(MASTER_SOURCE!$D$2:$D$495,MATCH($I2111,MASTER_SOURCE!$A$2:$A$495,0)),""))</f>
        <v/>
      </c>
      <c r="M2111" s="24" t="n"/>
      <c r="N2111" s="24" t="n"/>
      <c r="O2111" s="24" t="n"/>
      <c r="P2111" s="24" t="n"/>
      <c r="Q2111" s="22">
        <f>IF($D2111="","",IF(AND(OR(DANH_MUC!$L$5&lt;&gt;"Có",M2111="Có"),OR(DANH_MUC!$L$6&lt;&gt;"Có",N2111="Có"),OR(DANH_MUC!$L$7&lt;&gt;"Có",O2111="Có"),OR(DANH_MUC!$L$8&lt;&gt;"Có",P2111="Có")),"Có","Không"))</f>
        <v/>
      </c>
      <c r="R2111" s="22">
        <f>IF($D2111="","",IF(COUNTIF($D$2:$D2111,$D2111)&gt;1,"Trùng",""))</f>
        <v/>
      </c>
      <c r="S2111" s="22">
        <f>IF($D2111="","",IF(AND(LEN($D2111)=10,LEFT($D2111,1)="0",ISNUMBER(--$D2111)),"Có","Không"))</f>
        <v/>
      </c>
      <c r="T2111" s="22">
        <f>IF($D2111="","",IF(AND($C2111&lt;&gt;"",$Q2111="Có",$R2111="",$S2111="Có",AND($L2111&lt;&gt;"",OR($L2111&lt;&gt;"Chưa xác định",DANH_MUC!$L$9="Có"))),"Có","Không"))</f>
        <v/>
      </c>
      <c r="U2111" s="22">
        <f>IF(OR($D2111="",$T2111="Có"),"",IF($C2111="","Thiếu họ tên; ","")&amp;IF($S2111&lt;&gt;"Có","SĐT sai định dạng; ","")&amp;IF($R2111="Trùng","Trùng SĐT; ","")&amp;IF($Q2111&lt;&gt;"Có","Thiếu đồng ý bắt buộc; ","")&amp;IF($L2111="","Thiếu/sai Mã REF; ",IF(AND($L2111="Chưa xác định",DANH_MUC!$L$9&lt;&gt;"Có"),"Nguồn chưa xác định; ","")))</f>
        <v/>
      </c>
      <c r="V2111" s="22">
        <f>IF(OR($D2111="",$R2111="Trùng"),"",IF(COUNTIF(ORDERS!$C$2:$C$4995,$D2111)&gt;0,"Có","Không"))</f>
        <v/>
      </c>
      <c r="W2111" s="22">
        <f>IF(OR($D2111="",$R2111="Trùng"),"",COUNTIFS(ORDERS!$C$2:$C$4995,$D2111,ORDERS!$L$2:$L$4995,"Đã chuyển khoản"))</f>
        <v/>
      </c>
      <c r="X2111" s="23">
        <f>IF(OR($D2111="",$R2111="Trùng"),"",SUMIFS(ORDERS!$J$2:$J$4995,ORDERS!$C$2:$C$4995,$D2111,ORDERS!$L$2:$L$4995,"Đã chuyển khoản"))</f>
        <v/>
      </c>
      <c r="Y2111" s="24" t="n"/>
    </row>
    <row r="2112" ht="14.25" customHeight="1" s="40">
      <c r="A2112" s="24" t="n"/>
      <c r="B2112" s="27" t="n"/>
      <c r="C2112" s="24" t="n"/>
      <c r="D2112" s="28" t="n"/>
      <c r="E2112" s="29" t="n"/>
      <c r="F2112" s="24" t="n"/>
      <c r="G2112" s="24" t="n"/>
      <c r="H2112" s="21">
        <f>IF(ISNUMBER($B2112),INT($B2112)-WEEKDAY($B2112,2)+1,"")</f>
        <v/>
      </c>
      <c r="I2112" s="24" t="n"/>
      <c r="J2112" s="22">
        <f t="array" ref="J2112">IF($D2112="","",IF($I2112="","(trống REF)",IFERROR(INDEX(MASTER_SOURCE!$B$2:$B$495,MATCH($I2112,MASTER_SOURCE!$A$2:$A$495,0)),"(REF không có trong MASTER_SOURCE)")))</f>
        <v/>
      </c>
      <c r="K2112" s="22">
        <f t="array" ref="K2112">IF($D2112="","",IFERROR(INDEX(MASTER_SOURCE!$C$2:$C$495,MATCH($I2112,MASTER_SOURCE!$A$2:$A$495,0)),""))</f>
        <v/>
      </c>
      <c r="L2112" s="22">
        <f t="array" ref="L2112">IF($D2112="","",IFERROR(INDEX(MASTER_SOURCE!$D$2:$D$495,MATCH($I2112,MASTER_SOURCE!$A$2:$A$495,0)),""))</f>
        <v/>
      </c>
      <c r="M2112" s="24" t="n"/>
      <c r="N2112" s="24" t="n"/>
      <c r="O2112" s="24" t="n"/>
      <c r="P2112" s="24" t="n"/>
      <c r="Q2112" s="22">
        <f>IF($D2112="","",IF(AND(OR(DANH_MUC!$L$5&lt;&gt;"Có",M2112="Có"),OR(DANH_MUC!$L$6&lt;&gt;"Có",N2112="Có"),OR(DANH_MUC!$L$7&lt;&gt;"Có",O2112="Có"),OR(DANH_MUC!$L$8&lt;&gt;"Có",P2112="Có")),"Có","Không"))</f>
        <v/>
      </c>
      <c r="R2112" s="22">
        <f>IF($D2112="","",IF(COUNTIF($D$2:$D2112,$D2112)&gt;1,"Trùng",""))</f>
        <v/>
      </c>
      <c r="S2112" s="22">
        <f>IF($D2112="","",IF(AND(LEN($D2112)=10,LEFT($D2112,1)="0",ISNUMBER(--$D2112)),"Có","Không"))</f>
        <v/>
      </c>
      <c r="T2112" s="22">
        <f>IF($D2112="","",IF(AND($C2112&lt;&gt;"",$Q2112="Có",$R2112="",$S2112="Có",AND($L2112&lt;&gt;"",OR($L2112&lt;&gt;"Chưa xác định",DANH_MUC!$L$9="Có"))),"Có","Không"))</f>
        <v/>
      </c>
      <c r="U2112" s="22">
        <f>IF(OR($D2112="",$T2112="Có"),"",IF($C2112="","Thiếu họ tên; ","")&amp;IF($S2112&lt;&gt;"Có","SĐT sai định dạng; ","")&amp;IF($R2112="Trùng","Trùng SĐT; ","")&amp;IF($Q2112&lt;&gt;"Có","Thiếu đồng ý bắt buộc; ","")&amp;IF($L2112="","Thiếu/sai Mã REF; ",IF(AND($L2112="Chưa xác định",DANH_MUC!$L$9&lt;&gt;"Có"),"Nguồn chưa xác định; ","")))</f>
        <v/>
      </c>
      <c r="V2112" s="22">
        <f>IF(OR($D2112="",$R2112="Trùng"),"",IF(COUNTIF(ORDERS!$C$2:$C$4995,$D2112)&gt;0,"Có","Không"))</f>
        <v/>
      </c>
      <c r="W2112" s="22">
        <f>IF(OR($D2112="",$R2112="Trùng"),"",COUNTIFS(ORDERS!$C$2:$C$4995,$D2112,ORDERS!$L$2:$L$4995,"Đã chuyển khoản"))</f>
        <v/>
      </c>
      <c r="X2112" s="23">
        <f>IF(OR($D2112="",$R2112="Trùng"),"",SUMIFS(ORDERS!$J$2:$J$4995,ORDERS!$C$2:$C$4995,$D2112,ORDERS!$L$2:$L$4995,"Đã chuyển khoản"))</f>
        <v/>
      </c>
      <c r="Y2112" s="24" t="n"/>
    </row>
    <row r="2113" ht="14.25" customHeight="1" s="40">
      <c r="A2113" s="24" t="n"/>
      <c r="B2113" s="27" t="n"/>
      <c r="C2113" s="24" t="n"/>
      <c r="D2113" s="28" t="n"/>
      <c r="E2113" s="29" t="n"/>
      <c r="F2113" s="24" t="n"/>
      <c r="G2113" s="24" t="n"/>
      <c r="H2113" s="21">
        <f>IF(ISNUMBER($B2113),INT($B2113)-WEEKDAY($B2113,2)+1,"")</f>
        <v/>
      </c>
      <c r="I2113" s="24" t="n"/>
      <c r="J2113" s="22">
        <f t="array" ref="J2113">IF($D2113="","",IF($I2113="","(trống REF)",IFERROR(INDEX(MASTER_SOURCE!$B$2:$B$495,MATCH($I2113,MASTER_SOURCE!$A$2:$A$495,0)),"(REF không có trong MASTER_SOURCE)")))</f>
        <v/>
      </c>
      <c r="K2113" s="22">
        <f t="array" ref="K2113">IF($D2113="","",IFERROR(INDEX(MASTER_SOURCE!$C$2:$C$495,MATCH($I2113,MASTER_SOURCE!$A$2:$A$495,0)),""))</f>
        <v/>
      </c>
      <c r="L2113" s="22">
        <f t="array" ref="L2113">IF($D2113="","",IFERROR(INDEX(MASTER_SOURCE!$D$2:$D$495,MATCH($I2113,MASTER_SOURCE!$A$2:$A$495,0)),""))</f>
        <v/>
      </c>
      <c r="M2113" s="24" t="n"/>
      <c r="N2113" s="24" t="n"/>
      <c r="O2113" s="24" t="n"/>
      <c r="P2113" s="24" t="n"/>
      <c r="Q2113" s="22">
        <f>IF($D2113="","",IF(AND(OR(DANH_MUC!$L$5&lt;&gt;"Có",M2113="Có"),OR(DANH_MUC!$L$6&lt;&gt;"Có",N2113="Có"),OR(DANH_MUC!$L$7&lt;&gt;"Có",O2113="Có"),OR(DANH_MUC!$L$8&lt;&gt;"Có",P2113="Có")),"Có","Không"))</f>
        <v/>
      </c>
      <c r="R2113" s="22">
        <f>IF($D2113="","",IF(COUNTIF($D$2:$D2113,$D2113)&gt;1,"Trùng",""))</f>
        <v/>
      </c>
      <c r="S2113" s="22">
        <f>IF($D2113="","",IF(AND(LEN($D2113)=10,LEFT($D2113,1)="0",ISNUMBER(--$D2113)),"Có","Không"))</f>
        <v/>
      </c>
      <c r="T2113" s="22">
        <f>IF($D2113="","",IF(AND($C2113&lt;&gt;"",$Q2113="Có",$R2113="",$S2113="Có",AND($L2113&lt;&gt;"",OR($L2113&lt;&gt;"Chưa xác định",DANH_MUC!$L$9="Có"))),"Có","Không"))</f>
        <v/>
      </c>
      <c r="U2113" s="22">
        <f>IF(OR($D2113="",$T2113="Có"),"",IF($C2113="","Thiếu họ tên; ","")&amp;IF($S2113&lt;&gt;"Có","SĐT sai định dạng; ","")&amp;IF($R2113="Trùng","Trùng SĐT; ","")&amp;IF($Q2113&lt;&gt;"Có","Thiếu đồng ý bắt buộc; ","")&amp;IF($L2113="","Thiếu/sai Mã REF; ",IF(AND($L2113="Chưa xác định",DANH_MUC!$L$9&lt;&gt;"Có"),"Nguồn chưa xác định; ","")))</f>
        <v/>
      </c>
      <c r="V2113" s="22">
        <f>IF(OR($D2113="",$R2113="Trùng"),"",IF(COUNTIF(ORDERS!$C$2:$C$4995,$D2113)&gt;0,"Có","Không"))</f>
        <v/>
      </c>
      <c r="W2113" s="22">
        <f>IF(OR($D2113="",$R2113="Trùng"),"",COUNTIFS(ORDERS!$C$2:$C$4995,$D2113,ORDERS!$L$2:$L$4995,"Đã chuyển khoản"))</f>
        <v/>
      </c>
      <c r="X2113" s="23">
        <f>IF(OR($D2113="",$R2113="Trùng"),"",SUMIFS(ORDERS!$J$2:$J$4995,ORDERS!$C$2:$C$4995,$D2113,ORDERS!$L$2:$L$4995,"Đã chuyển khoản"))</f>
        <v/>
      </c>
      <c r="Y2113" s="24" t="n"/>
    </row>
    <row r="2114" ht="14.25" customHeight="1" s="40">
      <c r="A2114" s="24" t="n"/>
      <c r="B2114" s="27" t="n"/>
      <c r="C2114" s="24" t="n"/>
      <c r="D2114" s="28" t="n"/>
      <c r="E2114" s="29" t="n"/>
      <c r="F2114" s="24" t="n"/>
      <c r="G2114" s="24" t="n"/>
      <c r="H2114" s="21">
        <f>IF(ISNUMBER($B2114),INT($B2114)-WEEKDAY($B2114,2)+1,"")</f>
        <v/>
      </c>
      <c r="I2114" s="24" t="n"/>
      <c r="J2114" s="22">
        <f t="array" ref="J2114">IF($D2114="","",IF($I2114="","(trống REF)",IFERROR(INDEX(MASTER_SOURCE!$B$2:$B$495,MATCH($I2114,MASTER_SOURCE!$A$2:$A$495,0)),"(REF không có trong MASTER_SOURCE)")))</f>
        <v/>
      </c>
      <c r="K2114" s="22">
        <f t="array" ref="K2114">IF($D2114="","",IFERROR(INDEX(MASTER_SOURCE!$C$2:$C$495,MATCH($I2114,MASTER_SOURCE!$A$2:$A$495,0)),""))</f>
        <v/>
      </c>
      <c r="L2114" s="22">
        <f t="array" ref="L2114">IF($D2114="","",IFERROR(INDEX(MASTER_SOURCE!$D$2:$D$495,MATCH($I2114,MASTER_SOURCE!$A$2:$A$495,0)),""))</f>
        <v/>
      </c>
      <c r="M2114" s="24" t="n"/>
      <c r="N2114" s="24" t="n"/>
      <c r="O2114" s="24" t="n"/>
      <c r="P2114" s="24" t="n"/>
      <c r="Q2114" s="22">
        <f>IF($D2114="","",IF(AND(OR(DANH_MUC!$L$5&lt;&gt;"Có",M2114="Có"),OR(DANH_MUC!$L$6&lt;&gt;"Có",N2114="Có"),OR(DANH_MUC!$L$7&lt;&gt;"Có",O2114="Có"),OR(DANH_MUC!$L$8&lt;&gt;"Có",P2114="Có")),"Có","Không"))</f>
        <v/>
      </c>
      <c r="R2114" s="22">
        <f>IF($D2114="","",IF(COUNTIF($D$2:$D2114,$D2114)&gt;1,"Trùng",""))</f>
        <v/>
      </c>
      <c r="S2114" s="22">
        <f>IF($D2114="","",IF(AND(LEN($D2114)=10,LEFT($D2114,1)="0",ISNUMBER(--$D2114)),"Có","Không"))</f>
        <v/>
      </c>
      <c r="T2114" s="22">
        <f>IF($D2114="","",IF(AND($C2114&lt;&gt;"",$Q2114="Có",$R2114="",$S2114="Có",AND($L2114&lt;&gt;"",OR($L2114&lt;&gt;"Chưa xác định",DANH_MUC!$L$9="Có"))),"Có","Không"))</f>
        <v/>
      </c>
      <c r="U2114" s="22">
        <f>IF(OR($D2114="",$T2114="Có"),"",IF($C2114="","Thiếu họ tên; ","")&amp;IF($S2114&lt;&gt;"Có","SĐT sai định dạng; ","")&amp;IF($R2114="Trùng","Trùng SĐT; ","")&amp;IF($Q2114&lt;&gt;"Có","Thiếu đồng ý bắt buộc; ","")&amp;IF($L2114="","Thiếu/sai Mã REF; ",IF(AND($L2114="Chưa xác định",DANH_MUC!$L$9&lt;&gt;"Có"),"Nguồn chưa xác định; ","")))</f>
        <v/>
      </c>
      <c r="V2114" s="22">
        <f>IF(OR($D2114="",$R2114="Trùng"),"",IF(COUNTIF(ORDERS!$C$2:$C$4995,$D2114)&gt;0,"Có","Không"))</f>
        <v/>
      </c>
      <c r="W2114" s="22">
        <f>IF(OR($D2114="",$R2114="Trùng"),"",COUNTIFS(ORDERS!$C$2:$C$4995,$D2114,ORDERS!$L$2:$L$4995,"Đã chuyển khoản"))</f>
        <v/>
      </c>
      <c r="X2114" s="23">
        <f>IF(OR($D2114="",$R2114="Trùng"),"",SUMIFS(ORDERS!$J$2:$J$4995,ORDERS!$C$2:$C$4995,$D2114,ORDERS!$L$2:$L$4995,"Đã chuyển khoản"))</f>
        <v/>
      </c>
      <c r="Y2114" s="24" t="n"/>
    </row>
    <row r="2115" ht="14.25" customHeight="1" s="40">
      <c r="A2115" s="24" t="n"/>
      <c r="B2115" s="27" t="n"/>
      <c r="C2115" s="24" t="n"/>
      <c r="D2115" s="28" t="n"/>
      <c r="E2115" s="29" t="n"/>
      <c r="F2115" s="24" t="n"/>
      <c r="G2115" s="24" t="n"/>
      <c r="H2115" s="21">
        <f>IF(ISNUMBER($B2115),INT($B2115)-WEEKDAY($B2115,2)+1,"")</f>
        <v/>
      </c>
      <c r="I2115" s="24" t="n"/>
      <c r="J2115" s="22">
        <f t="array" ref="J2115">IF($D2115="","",IF($I2115="","(trống REF)",IFERROR(INDEX(MASTER_SOURCE!$B$2:$B$495,MATCH($I2115,MASTER_SOURCE!$A$2:$A$495,0)),"(REF không có trong MASTER_SOURCE)")))</f>
        <v/>
      </c>
      <c r="K2115" s="22">
        <f t="array" ref="K2115">IF($D2115="","",IFERROR(INDEX(MASTER_SOURCE!$C$2:$C$495,MATCH($I2115,MASTER_SOURCE!$A$2:$A$495,0)),""))</f>
        <v/>
      </c>
      <c r="L2115" s="22">
        <f t="array" ref="L2115">IF($D2115="","",IFERROR(INDEX(MASTER_SOURCE!$D$2:$D$495,MATCH($I2115,MASTER_SOURCE!$A$2:$A$495,0)),""))</f>
        <v/>
      </c>
      <c r="M2115" s="24" t="n"/>
      <c r="N2115" s="24" t="n"/>
      <c r="O2115" s="24" t="n"/>
      <c r="P2115" s="24" t="n"/>
      <c r="Q2115" s="22">
        <f>IF($D2115="","",IF(AND(OR(DANH_MUC!$L$5&lt;&gt;"Có",M2115="Có"),OR(DANH_MUC!$L$6&lt;&gt;"Có",N2115="Có"),OR(DANH_MUC!$L$7&lt;&gt;"Có",O2115="Có"),OR(DANH_MUC!$L$8&lt;&gt;"Có",P2115="Có")),"Có","Không"))</f>
        <v/>
      </c>
      <c r="R2115" s="22">
        <f>IF($D2115="","",IF(COUNTIF($D$2:$D2115,$D2115)&gt;1,"Trùng",""))</f>
        <v/>
      </c>
      <c r="S2115" s="22">
        <f>IF($D2115="","",IF(AND(LEN($D2115)=10,LEFT($D2115,1)="0",ISNUMBER(--$D2115)),"Có","Không"))</f>
        <v/>
      </c>
      <c r="T2115" s="22">
        <f>IF($D2115="","",IF(AND($C2115&lt;&gt;"",$Q2115="Có",$R2115="",$S2115="Có",AND($L2115&lt;&gt;"",OR($L2115&lt;&gt;"Chưa xác định",DANH_MUC!$L$9="Có"))),"Có","Không"))</f>
        <v/>
      </c>
      <c r="U2115" s="22">
        <f>IF(OR($D2115="",$T2115="Có"),"",IF($C2115="","Thiếu họ tên; ","")&amp;IF($S2115&lt;&gt;"Có","SĐT sai định dạng; ","")&amp;IF($R2115="Trùng","Trùng SĐT; ","")&amp;IF($Q2115&lt;&gt;"Có","Thiếu đồng ý bắt buộc; ","")&amp;IF($L2115="","Thiếu/sai Mã REF; ",IF(AND($L2115="Chưa xác định",DANH_MUC!$L$9&lt;&gt;"Có"),"Nguồn chưa xác định; ","")))</f>
        <v/>
      </c>
      <c r="V2115" s="22">
        <f>IF(OR($D2115="",$R2115="Trùng"),"",IF(COUNTIF(ORDERS!$C$2:$C$4995,$D2115)&gt;0,"Có","Không"))</f>
        <v/>
      </c>
      <c r="W2115" s="22">
        <f>IF(OR($D2115="",$R2115="Trùng"),"",COUNTIFS(ORDERS!$C$2:$C$4995,$D2115,ORDERS!$L$2:$L$4995,"Đã chuyển khoản"))</f>
        <v/>
      </c>
      <c r="X2115" s="23">
        <f>IF(OR($D2115="",$R2115="Trùng"),"",SUMIFS(ORDERS!$J$2:$J$4995,ORDERS!$C$2:$C$4995,$D2115,ORDERS!$L$2:$L$4995,"Đã chuyển khoản"))</f>
        <v/>
      </c>
      <c r="Y2115" s="24" t="n"/>
    </row>
    <row r="2116" ht="14.25" customHeight="1" s="40">
      <c r="A2116" s="24" t="n"/>
      <c r="B2116" s="27" t="n"/>
      <c r="C2116" s="24" t="n"/>
      <c r="D2116" s="28" t="n"/>
      <c r="E2116" s="29" t="n"/>
      <c r="F2116" s="24" t="n"/>
      <c r="G2116" s="24" t="n"/>
      <c r="H2116" s="21">
        <f>IF(ISNUMBER($B2116),INT($B2116)-WEEKDAY($B2116,2)+1,"")</f>
        <v/>
      </c>
      <c r="I2116" s="24" t="n"/>
      <c r="J2116" s="22">
        <f t="array" ref="J2116">IF($D2116="","",IF($I2116="","(trống REF)",IFERROR(INDEX(MASTER_SOURCE!$B$2:$B$495,MATCH($I2116,MASTER_SOURCE!$A$2:$A$495,0)),"(REF không có trong MASTER_SOURCE)")))</f>
        <v/>
      </c>
      <c r="K2116" s="22">
        <f t="array" ref="K2116">IF($D2116="","",IFERROR(INDEX(MASTER_SOURCE!$C$2:$C$495,MATCH($I2116,MASTER_SOURCE!$A$2:$A$495,0)),""))</f>
        <v/>
      </c>
      <c r="L2116" s="22">
        <f t="array" ref="L2116">IF($D2116="","",IFERROR(INDEX(MASTER_SOURCE!$D$2:$D$495,MATCH($I2116,MASTER_SOURCE!$A$2:$A$495,0)),""))</f>
        <v/>
      </c>
      <c r="M2116" s="24" t="n"/>
      <c r="N2116" s="24" t="n"/>
      <c r="O2116" s="24" t="n"/>
      <c r="P2116" s="24" t="n"/>
      <c r="Q2116" s="22">
        <f>IF($D2116="","",IF(AND(OR(DANH_MUC!$L$5&lt;&gt;"Có",M2116="Có"),OR(DANH_MUC!$L$6&lt;&gt;"Có",N2116="Có"),OR(DANH_MUC!$L$7&lt;&gt;"Có",O2116="Có"),OR(DANH_MUC!$L$8&lt;&gt;"Có",P2116="Có")),"Có","Không"))</f>
        <v/>
      </c>
      <c r="R2116" s="22">
        <f>IF($D2116="","",IF(COUNTIF($D$2:$D2116,$D2116)&gt;1,"Trùng",""))</f>
        <v/>
      </c>
      <c r="S2116" s="22">
        <f>IF($D2116="","",IF(AND(LEN($D2116)=10,LEFT($D2116,1)="0",ISNUMBER(--$D2116)),"Có","Không"))</f>
        <v/>
      </c>
      <c r="T2116" s="22">
        <f>IF($D2116="","",IF(AND($C2116&lt;&gt;"",$Q2116="Có",$R2116="",$S2116="Có",AND($L2116&lt;&gt;"",OR($L2116&lt;&gt;"Chưa xác định",DANH_MUC!$L$9="Có"))),"Có","Không"))</f>
        <v/>
      </c>
      <c r="U2116" s="22">
        <f>IF(OR($D2116="",$T2116="Có"),"",IF($C2116="","Thiếu họ tên; ","")&amp;IF($S2116&lt;&gt;"Có","SĐT sai định dạng; ","")&amp;IF($R2116="Trùng","Trùng SĐT; ","")&amp;IF($Q2116&lt;&gt;"Có","Thiếu đồng ý bắt buộc; ","")&amp;IF($L2116="","Thiếu/sai Mã REF; ",IF(AND($L2116="Chưa xác định",DANH_MUC!$L$9&lt;&gt;"Có"),"Nguồn chưa xác định; ","")))</f>
        <v/>
      </c>
      <c r="V2116" s="22">
        <f>IF(OR($D2116="",$R2116="Trùng"),"",IF(COUNTIF(ORDERS!$C$2:$C$4995,$D2116)&gt;0,"Có","Không"))</f>
        <v/>
      </c>
      <c r="W2116" s="22">
        <f>IF(OR($D2116="",$R2116="Trùng"),"",COUNTIFS(ORDERS!$C$2:$C$4995,$D2116,ORDERS!$L$2:$L$4995,"Đã chuyển khoản"))</f>
        <v/>
      </c>
      <c r="X2116" s="23">
        <f>IF(OR($D2116="",$R2116="Trùng"),"",SUMIFS(ORDERS!$J$2:$J$4995,ORDERS!$C$2:$C$4995,$D2116,ORDERS!$L$2:$L$4995,"Đã chuyển khoản"))</f>
        <v/>
      </c>
      <c r="Y2116" s="24" t="n"/>
    </row>
    <row r="2117" ht="14.25" customHeight="1" s="40">
      <c r="A2117" s="24" t="n"/>
      <c r="B2117" s="27" t="n"/>
      <c r="C2117" s="24" t="n"/>
      <c r="D2117" s="28" t="n"/>
      <c r="E2117" s="29" t="n"/>
      <c r="F2117" s="24" t="n"/>
      <c r="G2117" s="24" t="n"/>
      <c r="H2117" s="21">
        <f>IF(ISNUMBER($B2117),INT($B2117)-WEEKDAY($B2117,2)+1,"")</f>
        <v/>
      </c>
      <c r="I2117" s="24" t="n"/>
      <c r="J2117" s="22">
        <f t="array" ref="J2117">IF($D2117="","",IF($I2117="","(trống REF)",IFERROR(INDEX(MASTER_SOURCE!$B$2:$B$495,MATCH($I2117,MASTER_SOURCE!$A$2:$A$495,0)),"(REF không có trong MASTER_SOURCE)")))</f>
        <v/>
      </c>
      <c r="K2117" s="22">
        <f t="array" ref="K2117">IF($D2117="","",IFERROR(INDEX(MASTER_SOURCE!$C$2:$C$495,MATCH($I2117,MASTER_SOURCE!$A$2:$A$495,0)),""))</f>
        <v/>
      </c>
      <c r="L2117" s="22">
        <f t="array" ref="L2117">IF($D2117="","",IFERROR(INDEX(MASTER_SOURCE!$D$2:$D$495,MATCH($I2117,MASTER_SOURCE!$A$2:$A$495,0)),""))</f>
        <v/>
      </c>
      <c r="M2117" s="24" t="n"/>
      <c r="N2117" s="24" t="n"/>
      <c r="O2117" s="24" t="n"/>
      <c r="P2117" s="24" t="n"/>
      <c r="Q2117" s="22">
        <f>IF($D2117="","",IF(AND(OR(DANH_MUC!$L$5&lt;&gt;"Có",M2117="Có"),OR(DANH_MUC!$L$6&lt;&gt;"Có",N2117="Có"),OR(DANH_MUC!$L$7&lt;&gt;"Có",O2117="Có"),OR(DANH_MUC!$L$8&lt;&gt;"Có",P2117="Có")),"Có","Không"))</f>
        <v/>
      </c>
      <c r="R2117" s="22">
        <f>IF($D2117="","",IF(COUNTIF($D$2:$D2117,$D2117)&gt;1,"Trùng",""))</f>
        <v/>
      </c>
      <c r="S2117" s="22">
        <f>IF($D2117="","",IF(AND(LEN($D2117)=10,LEFT($D2117,1)="0",ISNUMBER(--$D2117)),"Có","Không"))</f>
        <v/>
      </c>
      <c r="T2117" s="22">
        <f>IF($D2117="","",IF(AND($C2117&lt;&gt;"",$Q2117="Có",$R2117="",$S2117="Có",AND($L2117&lt;&gt;"",OR($L2117&lt;&gt;"Chưa xác định",DANH_MUC!$L$9="Có"))),"Có","Không"))</f>
        <v/>
      </c>
      <c r="U2117" s="22">
        <f>IF(OR($D2117="",$T2117="Có"),"",IF($C2117="","Thiếu họ tên; ","")&amp;IF($S2117&lt;&gt;"Có","SĐT sai định dạng; ","")&amp;IF($R2117="Trùng","Trùng SĐT; ","")&amp;IF($Q2117&lt;&gt;"Có","Thiếu đồng ý bắt buộc; ","")&amp;IF($L2117="","Thiếu/sai Mã REF; ",IF(AND($L2117="Chưa xác định",DANH_MUC!$L$9&lt;&gt;"Có"),"Nguồn chưa xác định; ","")))</f>
        <v/>
      </c>
      <c r="V2117" s="22">
        <f>IF(OR($D2117="",$R2117="Trùng"),"",IF(COUNTIF(ORDERS!$C$2:$C$4995,$D2117)&gt;0,"Có","Không"))</f>
        <v/>
      </c>
      <c r="W2117" s="22">
        <f>IF(OR($D2117="",$R2117="Trùng"),"",COUNTIFS(ORDERS!$C$2:$C$4995,$D2117,ORDERS!$L$2:$L$4995,"Đã chuyển khoản"))</f>
        <v/>
      </c>
      <c r="X2117" s="23">
        <f>IF(OR($D2117="",$R2117="Trùng"),"",SUMIFS(ORDERS!$J$2:$J$4995,ORDERS!$C$2:$C$4995,$D2117,ORDERS!$L$2:$L$4995,"Đã chuyển khoản"))</f>
        <v/>
      </c>
      <c r="Y2117" s="24" t="n"/>
    </row>
    <row r="2118" ht="14.25" customHeight="1" s="40">
      <c r="A2118" s="24" t="n"/>
      <c r="B2118" s="27" t="n"/>
      <c r="C2118" s="24" t="n"/>
      <c r="D2118" s="28" t="n"/>
      <c r="E2118" s="29" t="n"/>
      <c r="F2118" s="24" t="n"/>
      <c r="G2118" s="24" t="n"/>
      <c r="H2118" s="21">
        <f>IF(ISNUMBER($B2118),INT($B2118)-WEEKDAY($B2118,2)+1,"")</f>
        <v/>
      </c>
      <c r="I2118" s="24" t="n"/>
      <c r="J2118" s="22">
        <f t="array" ref="J2118">IF($D2118="","",IF($I2118="","(trống REF)",IFERROR(INDEX(MASTER_SOURCE!$B$2:$B$495,MATCH($I2118,MASTER_SOURCE!$A$2:$A$495,0)),"(REF không có trong MASTER_SOURCE)")))</f>
        <v/>
      </c>
      <c r="K2118" s="22">
        <f t="array" ref="K2118">IF($D2118="","",IFERROR(INDEX(MASTER_SOURCE!$C$2:$C$495,MATCH($I2118,MASTER_SOURCE!$A$2:$A$495,0)),""))</f>
        <v/>
      </c>
      <c r="L2118" s="22">
        <f t="array" ref="L2118">IF($D2118="","",IFERROR(INDEX(MASTER_SOURCE!$D$2:$D$495,MATCH($I2118,MASTER_SOURCE!$A$2:$A$495,0)),""))</f>
        <v/>
      </c>
      <c r="M2118" s="24" t="n"/>
      <c r="N2118" s="24" t="n"/>
      <c r="O2118" s="24" t="n"/>
      <c r="P2118" s="24" t="n"/>
      <c r="Q2118" s="22">
        <f>IF($D2118="","",IF(AND(OR(DANH_MUC!$L$5&lt;&gt;"Có",M2118="Có"),OR(DANH_MUC!$L$6&lt;&gt;"Có",N2118="Có"),OR(DANH_MUC!$L$7&lt;&gt;"Có",O2118="Có"),OR(DANH_MUC!$L$8&lt;&gt;"Có",P2118="Có")),"Có","Không"))</f>
        <v/>
      </c>
      <c r="R2118" s="22">
        <f>IF($D2118="","",IF(COUNTIF($D$2:$D2118,$D2118)&gt;1,"Trùng",""))</f>
        <v/>
      </c>
      <c r="S2118" s="22">
        <f>IF($D2118="","",IF(AND(LEN($D2118)=10,LEFT($D2118,1)="0",ISNUMBER(--$D2118)),"Có","Không"))</f>
        <v/>
      </c>
      <c r="T2118" s="22">
        <f>IF($D2118="","",IF(AND($C2118&lt;&gt;"",$Q2118="Có",$R2118="",$S2118="Có",AND($L2118&lt;&gt;"",OR($L2118&lt;&gt;"Chưa xác định",DANH_MUC!$L$9="Có"))),"Có","Không"))</f>
        <v/>
      </c>
      <c r="U2118" s="22">
        <f>IF(OR($D2118="",$T2118="Có"),"",IF($C2118="","Thiếu họ tên; ","")&amp;IF($S2118&lt;&gt;"Có","SĐT sai định dạng; ","")&amp;IF($R2118="Trùng","Trùng SĐT; ","")&amp;IF($Q2118&lt;&gt;"Có","Thiếu đồng ý bắt buộc; ","")&amp;IF($L2118="","Thiếu/sai Mã REF; ",IF(AND($L2118="Chưa xác định",DANH_MUC!$L$9&lt;&gt;"Có"),"Nguồn chưa xác định; ","")))</f>
        <v/>
      </c>
      <c r="V2118" s="22">
        <f>IF(OR($D2118="",$R2118="Trùng"),"",IF(COUNTIF(ORDERS!$C$2:$C$4995,$D2118)&gt;0,"Có","Không"))</f>
        <v/>
      </c>
      <c r="W2118" s="22">
        <f>IF(OR($D2118="",$R2118="Trùng"),"",COUNTIFS(ORDERS!$C$2:$C$4995,$D2118,ORDERS!$L$2:$L$4995,"Đã chuyển khoản"))</f>
        <v/>
      </c>
      <c r="X2118" s="23">
        <f>IF(OR($D2118="",$R2118="Trùng"),"",SUMIFS(ORDERS!$J$2:$J$4995,ORDERS!$C$2:$C$4995,$D2118,ORDERS!$L$2:$L$4995,"Đã chuyển khoản"))</f>
        <v/>
      </c>
      <c r="Y2118" s="24" t="n"/>
    </row>
    <row r="2119" ht="14.25" customHeight="1" s="40">
      <c r="A2119" s="24" t="n"/>
      <c r="B2119" s="27" t="n"/>
      <c r="C2119" s="24" t="n"/>
      <c r="D2119" s="28" t="n"/>
      <c r="E2119" s="29" t="n"/>
      <c r="F2119" s="24" t="n"/>
      <c r="G2119" s="24" t="n"/>
      <c r="H2119" s="21">
        <f>IF(ISNUMBER($B2119),INT($B2119)-WEEKDAY($B2119,2)+1,"")</f>
        <v/>
      </c>
      <c r="I2119" s="24" t="n"/>
      <c r="J2119" s="22">
        <f t="array" ref="J2119">IF($D2119="","",IF($I2119="","(trống REF)",IFERROR(INDEX(MASTER_SOURCE!$B$2:$B$495,MATCH($I2119,MASTER_SOURCE!$A$2:$A$495,0)),"(REF không có trong MASTER_SOURCE)")))</f>
        <v/>
      </c>
      <c r="K2119" s="22">
        <f t="array" ref="K2119">IF($D2119="","",IFERROR(INDEX(MASTER_SOURCE!$C$2:$C$495,MATCH($I2119,MASTER_SOURCE!$A$2:$A$495,0)),""))</f>
        <v/>
      </c>
      <c r="L2119" s="22">
        <f t="array" ref="L2119">IF($D2119="","",IFERROR(INDEX(MASTER_SOURCE!$D$2:$D$495,MATCH($I2119,MASTER_SOURCE!$A$2:$A$495,0)),""))</f>
        <v/>
      </c>
      <c r="M2119" s="24" t="n"/>
      <c r="N2119" s="24" t="n"/>
      <c r="O2119" s="24" t="n"/>
      <c r="P2119" s="24" t="n"/>
      <c r="Q2119" s="22">
        <f>IF($D2119="","",IF(AND(OR(DANH_MUC!$L$5&lt;&gt;"Có",M2119="Có"),OR(DANH_MUC!$L$6&lt;&gt;"Có",N2119="Có"),OR(DANH_MUC!$L$7&lt;&gt;"Có",O2119="Có"),OR(DANH_MUC!$L$8&lt;&gt;"Có",P2119="Có")),"Có","Không"))</f>
        <v/>
      </c>
      <c r="R2119" s="22">
        <f>IF($D2119="","",IF(COUNTIF($D$2:$D2119,$D2119)&gt;1,"Trùng",""))</f>
        <v/>
      </c>
      <c r="S2119" s="22">
        <f>IF($D2119="","",IF(AND(LEN($D2119)=10,LEFT($D2119,1)="0",ISNUMBER(--$D2119)),"Có","Không"))</f>
        <v/>
      </c>
      <c r="T2119" s="22">
        <f>IF($D2119="","",IF(AND($C2119&lt;&gt;"",$Q2119="Có",$R2119="",$S2119="Có",AND($L2119&lt;&gt;"",OR($L2119&lt;&gt;"Chưa xác định",DANH_MUC!$L$9="Có"))),"Có","Không"))</f>
        <v/>
      </c>
      <c r="U2119" s="22">
        <f>IF(OR($D2119="",$T2119="Có"),"",IF($C2119="","Thiếu họ tên; ","")&amp;IF($S2119&lt;&gt;"Có","SĐT sai định dạng; ","")&amp;IF($R2119="Trùng","Trùng SĐT; ","")&amp;IF($Q2119&lt;&gt;"Có","Thiếu đồng ý bắt buộc; ","")&amp;IF($L2119="","Thiếu/sai Mã REF; ",IF(AND($L2119="Chưa xác định",DANH_MUC!$L$9&lt;&gt;"Có"),"Nguồn chưa xác định; ","")))</f>
        <v/>
      </c>
      <c r="V2119" s="22">
        <f>IF(OR($D2119="",$R2119="Trùng"),"",IF(COUNTIF(ORDERS!$C$2:$C$4995,$D2119)&gt;0,"Có","Không"))</f>
        <v/>
      </c>
      <c r="W2119" s="22">
        <f>IF(OR($D2119="",$R2119="Trùng"),"",COUNTIFS(ORDERS!$C$2:$C$4995,$D2119,ORDERS!$L$2:$L$4995,"Đã chuyển khoản"))</f>
        <v/>
      </c>
      <c r="X2119" s="23">
        <f>IF(OR($D2119="",$R2119="Trùng"),"",SUMIFS(ORDERS!$J$2:$J$4995,ORDERS!$C$2:$C$4995,$D2119,ORDERS!$L$2:$L$4995,"Đã chuyển khoản"))</f>
        <v/>
      </c>
      <c r="Y2119" s="24" t="n"/>
    </row>
    <row r="2120" ht="14.25" customHeight="1" s="40">
      <c r="A2120" s="24" t="n"/>
      <c r="B2120" s="27" t="n"/>
      <c r="C2120" s="24" t="n"/>
      <c r="D2120" s="28" t="n"/>
      <c r="E2120" s="29" t="n"/>
      <c r="F2120" s="24" t="n"/>
      <c r="G2120" s="24" t="n"/>
      <c r="H2120" s="21">
        <f>IF(ISNUMBER($B2120),INT($B2120)-WEEKDAY($B2120,2)+1,"")</f>
        <v/>
      </c>
      <c r="I2120" s="24" t="n"/>
      <c r="J2120" s="22">
        <f t="array" ref="J2120">IF($D2120="","",IF($I2120="","(trống REF)",IFERROR(INDEX(MASTER_SOURCE!$B$2:$B$495,MATCH($I2120,MASTER_SOURCE!$A$2:$A$495,0)),"(REF không có trong MASTER_SOURCE)")))</f>
        <v/>
      </c>
      <c r="K2120" s="22">
        <f t="array" ref="K2120">IF($D2120="","",IFERROR(INDEX(MASTER_SOURCE!$C$2:$C$495,MATCH($I2120,MASTER_SOURCE!$A$2:$A$495,0)),""))</f>
        <v/>
      </c>
      <c r="L2120" s="22">
        <f t="array" ref="L2120">IF($D2120="","",IFERROR(INDEX(MASTER_SOURCE!$D$2:$D$495,MATCH($I2120,MASTER_SOURCE!$A$2:$A$495,0)),""))</f>
        <v/>
      </c>
      <c r="M2120" s="24" t="n"/>
      <c r="N2120" s="24" t="n"/>
      <c r="O2120" s="24" t="n"/>
      <c r="P2120" s="24" t="n"/>
      <c r="Q2120" s="22">
        <f>IF($D2120="","",IF(AND(OR(DANH_MUC!$L$5&lt;&gt;"Có",M2120="Có"),OR(DANH_MUC!$L$6&lt;&gt;"Có",N2120="Có"),OR(DANH_MUC!$L$7&lt;&gt;"Có",O2120="Có"),OR(DANH_MUC!$L$8&lt;&gt;"Có",P2120="Có")),"Có","Không"))</f>
        <v/>
      </c>
      <c r="R2120" s="22">
        <f>IF($D2120="","",IF(COUNTIF($D$2:$D2120,$D2120)&gt;1,"Trùng",""))</f>
        <v/>
      </c>
      <c r="S2120" s="22">
        <f>IF($D2120="","",IF(AND(LEN($D2120)=10,LEFT($D2120,1)="0",ISNUMBER(--$D2120)),"Có","Không"))</f>
        <v/>
      </c>
      <c r="T2120" s="22">
        <f>IF($D2120="","",IF(AND($C2120&lt;&gt;"",$Q2120="Có",$R2120="",$S2120="Có",AND($L2120&lt;&gt;"",OR($L2120&lt;&gt;"Chưa xác định",DANH_MUC!$L$9="Có"))),"Có","Không"))</f>
        <v/>
      </c>
      <c r="U2120" s="22">
        <f>IF(OR($D2120="",$T2120="Có"),"",IF($C2120="","Thiếu họ tên; ","")&amp;IF($S2120&lt;&gt;"Có","SĐT sai định dạng; ","")&amp;IF($R2120="Trùng","Trùng SĐT; ","")&amp;IF($Q2120&lt;&gt;"Có","Thiếu đồng ý bắt buộc; ","")&amp;IF($L2120="","Thiếu/sai Mã REF; ",IF(AND($L2120="Chưa xác định",DANH_MUC!$L$9&lt;&gt;"Có"),"Nguồn chưa xác định; ","")))</f>
        <v/>
      </c>
      <c r="V2120" s="22">
        <f>IF(OR($D2120="",$R2120="Trùng"),"",IF(COUNTIF(ORDERS!$C$2:$C$4995,$D2120)&gt;0,"Có","Không"))</f>
        <v/>
      </c>
      <c r="W2120" s="22">
        <f>IF(OR($D2120="",$R2120="Trùng"),"",COUNTIFS(ORDERS!$C$2:$C$4995,$D2120,ORDERS!$L$2:$L$4995,"Đã chuyển khoản"))</f>
        <v/>
      </c>
      <c r="X2120" s="23">
        <f>IF(OR($D2120="",$R2120="Trùng"),"",SUMIFS(ORDERS!$J$2:$J$4995,ORDERS!$C$2:$C$4995,$D2120,ORDERS!$L$2:$L$4995,"Đã chuyển khoản"))</f>
        <v/>
      </c>
      <c r="Y2120" s="24" t="n"/>
    </row>
    <row r="2121" ht="14.25" customHeight="1" s="40">
      <c r="A2121" s="24" t="n"/>
      <c r="B2121" s="27" t="n"/>
      <c r="C2121" s="24" t="n"/>
      <c r="D2121" s="28" t="n"/>
      <c r="E2121" s="29" t="n"/>
      <c r="F2121" s="24" t="n"/>
      <c r="G2121" s="24" t="n"/>
      <c r="H2121" s="21">
        <f>IF(ISNUMBER($B2121),INT($B2121)-WEEKDAY($B2121,2)+1,"")</f>
        <v/>
      </c>
      <c r="I2121" s="24" t="n"/>
      <c r="J2121" s="22">
        <f t="array" ref="J2121">IF($D2121="","",IF($I2121="","(trống REF)",IFERROR(INDEX(MASTER_SOURCE!$B$2:$B$495,MATCH($I2121,MASTER_SOURCE!$A$2:$A$495,0)),"(REF không có trong MASTER_SOURCE)")))</f>
        <v/>
      </c>
      <c r="K2121" s="22">
        <f t="array" ref="K2121">IF($D2121="","",IFERROR(INDEX(MASTER_SOURCE!$C$2:$C$495,MATCH($I2121,MASTER_SOURCE!$A$2:$A$495,0)),""))</f>
        <v/>
      </c>
      <c r="L2121" s="22">
        <f t="array" ref="L2121">IF($D2121="","",IFERROR(INDEX(MASTER_SOURCE!$D$2:$D$495,MATCH($I2121,MASTER_SOURCE!$A$2:$A$495,0)),""))</f>
        <v/>
      </c>
      <c r="M2121" s="24" t="n"/>
      <c r="N2121" s="24" t="n"/>
      <c r="O2121" s="24" t="n"/>
      <c r="P2121" s="24" t="n"/>
      <c r="Q2121" s="22">
        <f>IF($D2121="","",IF(AND(OR(DANH_MUC!$L$5&lt;&gt;"Có",M2121="Có"),OR(DANH_MUC!$L$6&lt;&gt;"Có",N2121="Có"),OR(DANH_MUC!$L$7&lt;&gt;"Có",O2121="Có"),OR(DANH_MUC!$L$8&lt;&gt;"Có",P2121="Có")),"Có","Không"))</f>
        <v/>
      </c>
      <c r="R2121" s="22">
        <f>IF($D2121="","",IF(COUNTIF($D$2:$D2121,$D2121)&gt;1,"Trùng",""))</f>
        <v/>
      </c>
      <c r="S2121" s="22">
        <f>IF($D2121="","",IF(AND(LEN($D2121)=10,LEFT($D2121,1)="0",ISNUMBER(--$D2121)),"Có","Không"))</f>
        <v/>
      </c>
      <c r="T2121" s="22">
        <f>IF($D2121="","",IF(AND($C2121&lt;&gt;"",$Q2121="Có",$R2121="",$S2121="Có",AND($L2121&lt;&gt;"",OR($L2121&lt;&gt;"Chưa xác định",DANH_MUC!$L$9="Có"))),"Có","Không"))</f>
        <v/>
      </c>
      <c r="U2121" s="22">
        <f>IF(OR($D2121="",$T2121="Có"),"",IF($C2121="","Thiếu họ tên; ","")&amp;IF($S2121&lt;&gt;"Có","SĐT sai định dạng; ","")&amp;IF($R2121="Trùng","Trùng SĐT; ","")&amp;IF($Q2121&lt;&gt;"Có","Thiếu đồng ý bắt buộc; ","")&amp;IF($L2121="","Thiếu/sai Mã REF; ",IF(AND($L2121="Chưa xác định",DANH_MUC!$L$9&lt;&gt;"Có"),"Nguồn chưa xác định; ","")))</f>
        <v/>
      </c>
      <c r="V2121" s="22">
        <f>IF(OR($D2121="",$R2121="Trùng"),"",IF(COUNTIF(ORDERS!$C$2:$C$4995,$D2121)&gt;0,"Có","Không"))</f>
        <v/>
      </c>
      <c r="W2121" s="22">
        <f>IF(OR($D2121="",$R2121="Trùng"),"",COUNTIFS(ORDERS!$C$2:$C$4995,$D2121,ORDERS!$L$2:$L$4995,"Đã chuyển khoản"))</f>
        <v/>
      </c>
      <c r="X2121" s="23">
        <f>IF(OR($D2121="",$R2121="Trùng"),"",SUMIFS(ORDERS!$J$2:$J$4995,ORDERS!$C$2:$C$4995,$D2121,ORDERS!$L$2:$L$4995,"Đã chuyển khoản"))</f>
        <v/>
      </c>
      <c r="Y2121" s="24" t="n"/>
    </row>
    <row r="2122" ht="14.25" customHeight="1" s="40">
      <c r="A2122" s="24" t="n"/>
      <c r="B2122" s="27" t="n"/>
      <c r="C2122" s="24" t="n"/>
      <c r="D2122" s="28" t="n"/>
      <c r="E2122" s="29" t="n"/>
      <c r="F2122" s="24" t="n"/>
      <c r="G2122" s="24" t="n"/>
      <c r="H2122" s="21">
        <f>IF(ISNUMBER($B2122),INT($B2122)-WEEKDAY($B2122,2)+1,"")</f>
        <v/>
      </c>
      <c r="I2122" s="24" t="n"/>
      <c r="J2122" s="22">
        <f t="array" ref="J2122">IF($D2122="","",IF($I2122="","(trống REF)",IFERROR(INDEX(MASTER_SOURCE!$B$2:$B$495,MATCH($I2122,MASTER_SOURCE!$A$2:$A$495,0)),"(REF không có trong MASTER_SOURCE)")))</f>
        <v/>
      </c>
      <c r="K2122" s="22">
        <f t="array" ref="K2122">IF($D2122="","",IFERROR(INDEX(MASTER_SOURCE!$C$2:$C$495,MATCH($I2122,MASTER_SOURCE!$A$2:$A$495,0)),""))</f>
        <v/>
      </c>
      <c r="L2122" s="22">
        <f t="array" ref="L2122">IF($D2122="","",IFERROR(INDEX(MASTER_SOURCE!$D$2:$D$495,MATCH($I2122,MASTER_SOURCE!$A$2:$A$495,0)),""))</f>
        <v/>
      </c>
      <c r="M2122" s="24" t="n"/>
      <c r="N2122" s="24" t="n"/>
      <c r="O2122" s="24" t="n"/>
      <c r="P2122" s="24" t="n"/>
      <c r="Q2122" s="22">
        <f>IF($D2122="","",IF(AND(OR(DANH_MUC!$L$5&lt;&gt;"Có",M2122="Có"),OR(DANH_MUC!$L$6&lt;&gt;"Có",N2122="Có"),OR(DANH_MUC!$L$7&lt;&gt;"Có",O2122="Có"),OR(DANH_MUC!$L$8&lt;&gt;"Có",P2122="Có")),"Có","Không"))</f>
        <v/>
      </c>
      <c r="R2122" s="22">
        <f>IF($D2122="","",IF(COUNTIF($D$2:$D2122,$D2122)&gt;1,"Trùng",""))</f>
        <v/>
      </c>
      <c r="S2122" s="22">
        <f>IF($D2122="","",IF(AND(LEN($D2122)=10,LEFT($D2122,1)="0",ISNUMBER(--$D2122)),"Có","Không"))</f>
        <v/>
      </c>
      <c r="T2122" s="22">
        <f>IF($D2122="","",IF(AND($C2122&lt;&gt;"",$Q2122="Có",$R2122="",$S2122="Có",AND($L2122&lt;&gt;"",OR($L2122&lt;&gt;"Chưa xác định",DANH_MUC!$L$9="Có"))),"Có","Không"))</f>
        <v/>
      </c>
      <c r="U2122" s="22">
        <f>IF(OR($D2122="",$T2122="Có"),"",IF($C2122="","Thiếu họ tên; ","")&amp;IF($S2122&lt;&gt;"Có","SĐT sai định dạng; ","")&amp;IF($R2122="Trùng","Trùng SĐT; ","")&amp;IF($Q2122&lt;&gt;"Có","Thiếu đồng ý bắt buộc; ","")&amp;IF($L2122="","Thiếu/sai Mã REF; ",IF(AND($L2122="Chưa xác định",DANH_MUC!$L$9&lt;&gt;"Có"),"Nguồn chưa xác định; ","")))</f>
        <v/>
      </c>
      <c r="V2122" s="22">
        <f>IF(OR($D2122="",$R2122="Trùng"),"",IF(COUNTIF(ORDERS!$C$2:$C$4995,$D2122)&gt;0,"Có","Không"))</f>
        <v/>
      </c>
      <c r="W2122" s="22">
        <f>IF(OR($D2122="",$R2122="Trùng"),"",COUNTIFS(ORDERS!$C$2:$C$4995,$D2122,ORDERS!$L$2:$L$4995,"Đã chuyển khoản"))</f>
        <v/>
      </c>
      <c r="X2122" s="23">
        <f>IF(OR($D2122="",$R2122="Trùng"),"",SUMIFS(ORDERS!$J$2:$J$4995,ORDERS!$C$2:$C$4995,$D2122,ORDERS!$L$2:$L$4995,"Đã chuyển khoản"))</f>
        <v/>
      </c>
      <c r="Y2122" s="24" t="n"/>
    </row>
    <row r="2123" ht="14.25" customHeight="1" s="40">
      <c r="A2123" s="24" t="n"/>
      <c r="B2123" s="27" t="n"/>
      <c r="C2123" s="24" t="n"/>
      <c r="D2123" s="28" t="n"/>
      <c r="E2123" s="29" t="n"/>
      <c r="F2123" s="24" t="n"/>
      <c r="G2123" s="24" t="n"/>
      <c r="H2123" s="21">
        <f>IF(ISNUMBER($B2123),INT($B2123)-WEEKDAY($B2123,2)+1,"")</f>
        <v/>
      </c>
      <c r="I2123" s="24" t="n"/>
      <c r="J2123" s="22">
        <f t="array" ref="J2123">IF($D2123="","",IF($I2123="","(trống REF)",IFERROR(INDEX(MASTER_SOURCE!$B$2:$B$495,MATCH($I2123,MASTER_SOURCE!$A$2:$A$495,0)),"(REF không có trong MASTER_SOURCE)")))</f>
        <v/>
      </c>
      <c r="K2123" s="22">
        <f t="array" ref="K2123">IF($D2123="","",IFERROR(INDEX(MASTER_SOURCE!$C$2:$C$495,MATCH($I2123,MASTER_SOURCE!$A$2:$A$495,0)),""))</f>
        <v/>
      </c>
      <c r="L2123" s="22">
        <f t="array" ref="L2123">IF($D2123="","",IFERROR(INDEX(MASTER_SOURCE!$D$2:$D$495,MATCH($I2123,MASTER_SOURCE!$A$2:$A$495,0)),""))</f>
        <v/>
      </c>
      <c r="M2123" s="24" t="n"/>
      <c r="N2123" s="24" t="n"/>
      <c r="O2123" s="24" t="n"/>
      <c r="P2123" s="24" t="n"/>
      <c r="Q2123" s="22">
        <f>IF($D2123="","",IF(AND(OR(DANH_MUC!$L$5&lt;&gt;"Có",M2123="Có"),OR(DANH_MUC!$L$6&lt;&gt;"Có",N2123="Có"),OR(DANH_MUC!$L$7&lt;&gt;"Có",O2123="Có"),OR(DANH_MUC!$L$8&lt;&gt;"Có",P2123="Có")),"Có","Không"))</f>
        <v/>
      </c>
      <c r="R2123" s="22">
        <f>IF($D2123="","",IF(COUNTIF($D$2:$D2123,$D2123)&gt;1,"Trùng",""))</f>
        <v/>
      </c>
      <c r="S2123" s="22">
        <f>IF($D2123="","",IF(AND(LEN($D2123)=10,LEFT($D2123,1)="0",ISNUMBER(--$D2123)),"Có","Không"))</f>
        <v/>
      </c>
      <c r="T2123" s="22">
        <f>IF($D2123="","",IF(AND($C2123&lt;&gt;"",$Q2123="Có",$R2123="",$S2123="Có",AND($L2123&lt;&gt;"",OR($L2123&lt;&gt;"Chưa xác định",DANH_MUC!$L$9="Có"))),"Có","Không"))</f>
        <v/>
      </c>
      <c r="U2123" s="22">
        <f>IF(OR($D2123="",$T2123="Có"),"",IF($C2123="","Thiếu họ tên; ","")&amp;IF($S2123&lt;&gt;"Có","SĐT sai định dạng; ","")&amp;IF($R2123="Trùng","Trùng SĐT; ","")&amp;IF($Q2123&lt;&gt;"Có","Thiếu đồng ý bắt buộc; ","")&amp;IF($L2123="","Thiếu/sai Mã REF; ",IF(AND($L2123="Chưa xác định",DANH_MUC!$L$9&lt;&gt;"Có"),"Nguồn chưa xác định; ","")))</f>
        <v/>
      </c>
      <c r="V2123" s="22">
        <f>IF(OR($D2123="",$R2123="Trùng"),"",IF(COUNTIF(ORDERS!$C$2:$C$4995,$D2123)&gt;0,"Có","Không"))</f>
        <v/>
      </c>
      <c r="W2123" s="22">
        <f>IF(OR($D2123="",$R2123="Trùng"),"",COUNTIFS(ORDERS!$C$2:$C$4995,$D2123,ORDERS!$L$2:$L$4995,"Đã chuyển khoản"))</f>
        <v/>
      </c>
      <c r="X2123" s="23">
        <f>IF(OR($D2123="",$R2123="Trùng"),"",SUMIFS(ORDERS!$J$2:$J$4995,ORDERS!$C$2:$C$4995,$D2123,ORDERS!$L$2:$L$4995,"Đã chuyển khoản"))</f>
        <v/>
      </c>
      <c r="Y2123" s="24" t="n"/>
    </row>
    <row r="2124" ht="14.25" customHeight="1" s="40">
      <c r="A2124" s="24" t="n"/>
      <c r="B2124" s="27" t="n"/>
      <c r="C2124" s="24" t="n"/>
      <c r="D2124" s="28" t="n"/>
      <c r="E2124" s="29" t="n"/>
      <c r="F2124" s="24" t="n"/>
      <c r="G2124" s="24" t="n"/>
      <c r="H2124" s="21">
        <f>IF(ISNUMBER($B2124),INT($B2124)-WEEKDAY($B2124,2)+1,"")</f>
        <v/>
      </c>
      <c r="I2124" s="24" t="n"/>
      <c r="J2124" s="22">
        <f t="array" ref="J2124">IF($D2124="","",IF($I2124="","(trống REF)",IFERROR(INDEX(MASTER_SOURCE!$B$2:$B$495,MATCH($I2124,MASTER_SOURCE!$A$2:$A$495,0)),"(REF không có trong MASTER_SOURCE)")))</f>
        <v/>
      </c>
      <c r="K2124" s="22">
        <f t="array" ref="K2124">IF($D2124="","",IFERROR(INDEX(MASTER_SOURCE!$C$2:$C$495,MATCH($I2124,MASTER_SOURCE!$A$2:$A$495,0)),""))</f>
        <v/>
      </c>
      <c r="L2124" s="22">
        <f t="array" ref="L2124">IF($D2124="","",IFERROR(INDEX(MASTER_SOURCE!$D$2:$D$495,MATCH($I2124,MASTER_SOURCE!$A$2:$A$495,0)),""))</f>
        <v/>
      </c>
      <c r="M2124" s="24" t="n"/>
      <c r="N2124" s="24" t="n"/>
      <c r="O2124" s="24" t="n"/>
      <c r="P2124" s="24" t="n"/>
      <c r="Q2124" s="22">
        <f>IF($D2124="","",IF(AND(OR(DANH_MUC!$L$5&lt;&gt;"Có",M2124="Có"),OR(DANH_MUC!$L$6&lt;&gt;"Có",N2124="Có"),OR(DANH_MUC!$L$7&lt;&gt;"Có",O2124="Có"),OR(DANH_MUC!$L$8&lt;&gt;"Có",P2124="Có")),"Có","Không"))</f>
        <v/>
      </c>
      <c r="R2124" s="22">
        <f>IF($D2124="","",IF(COUNTIF($D$2:$D2124,$D2124)&gt;1,"Trùng",""))</f>
        <v/>
      </c>
      <c r="S2124" s="22">
        <f>IF($D2124="","",IF(AND(LEN($D2124)=10,LEFT($D2124,1)="0",ISNUMBER(--$D2124)),"Có","Không"))</f>
        <v/>
      </c>
      <c r="T2124" s="22">
        <f>IF($D2124="","",IF(AND($C2124&lt;&gt;"",$Q2124="Có",$R2124="",$S2124="Có",AND($L2124&lt;&gt;"",OR($L2124&lt;&gt;"Chưa xác định",DANH_MUC!$L$9="Có"))),"Có","Không"))</f>
        <v/>
      </c>
      <c r="U2124" s="22">
        <f>IF(OR($D2124="",$T2124="Có"),"",IF($C2124="","Thiếu họ tên; ","")&amp;IF($S2124&lt;&gt;"Có","SĐT sai định dạng; ","")&amp;IF($R2124="Trùng","Trùng SĐT; ","")&amp;IF($Q2124&lt;&gt;"Có","Thiếu đồng ý bắt buộc; ","")&amp;IF($L2124="","Thiếu/sai Mã REF; ",IF(AND($L2124="Chưa xác định",DANH_MUC!$L$9&lt;&gt;"Có"),"Nguồn chưa xác định; ","")))</f>
        <v/>
      </c>
      <c r="V2124" s="22">
        <f>IF(OR($D2124="",$R2124="Trùng"),"",IF(COUNTIF(ORDERS!$C$2:$C$4995,$D2124)&gt;0,"Có","Không"))</f>
        <v/>
      </c>
      <c r="W2124" s="22">
        <f>IF(OR($D2124="",$R2124="Trùng"),"",COUNTIFS(ORDERS!$C$2:$C$4995,$D2124,ORDERS!$L$2:$L$4995,"Đã chuyển khoản"))</f>
        <v/>
      </c>
      <c r="X2124" s="23">
        <f>IF(OR($D2124="",$R2124="Trùng"),"",SUMIFS(ORDERS!$J$2:$J$4995,ORDERS!$C$2:$C$4995,$D2124,ORDERS!$L$2:$L$4995,"Đã chuyển khoản"))</f>
        <v/>
      </c>
      <c r="Y2124" s="24" t="n"/>
    </row>
    <row r="2125" ht="14.25" customHeight="1" s="40">
      <c r="A2125" s="24" t="n"/>
      <c r="B2125" s="27" t="n"/>
      <c r="C2125" s="24" t="n"/>
      <c r="D2125" s="28" t="n"/>
      <c r="E2125" s="29" t="n"/>
      <c r="F2125" s="24" t="n"/>
      <c r="G2125" s="24" t="n"/>
      <c r="H2125" s="21">
        <f>IF(ISNUMBER($B2125),INT($B2125)-WEEKDAY($B2125,2)+1,"")</f>
        <v/>
      </c>
      <c r="I2125" s="24" t="n"/>
      <c r="J2125" s="22">
        <f t="array" ref="J2125">IF($D2125="","",IF($I2125="","(trống REF)",IFERROR(INDEX(MASTER_SOURCE!$B$2:$B$495,MATCH($I2125,MASTER_SOURCE!$A$2:$A$495,0)),"(REF không có trong MASTER_SOURCE)")))</f>
        <v/>
      </c>
      <c r="K2125" s="22">
        <f t="array" ref="K2125">IF($D2125="","",IFERROR(INDEX(MASTER_SOURCE!$C$2:$C$495,MATCH($I2125,MASTER_SOURCE!$A$2:$A$495,0)),""))</f>
        <v/>
      </c>
      <c r="L2125" s="22">
        <f t="array" ref="L2125">IF($D2125="","",IFERROR(INDEX(MASTER_SOURCE!$D$2:$D$495,MATCH($I2125,MASTER_SOURCE!$A$2:$A$495,0)),""))</f>
        <v/>
      </c>
      <c r="M2125" s="24" t="n"/>
      <c r="N2125" s="24" t="n"/>
      <c r="O2125" s="24" t="n"/>
      <c r="P2125" s="24" t="n"/>
      <c r="Q2125" s="22">
        <f>IF($D2125="","",IF(AND(OR(DANH_MUC!$L$5&lt;&gt;"Có",M2125="Có"),OR(DANH_MUC!$L$6&lt;&gt;"Có",N2125="Có"),OR(DANH_MUC!$L$7&lt;&gt;"Có",O2125="Có"),OR(DANH_MUC!$L$8&lt;&gt;"Có",P2125="Có")),"Có","Không"))</f>
        <v/>
      </c>
      <c r="R2125" s="22">
        <f>IF($D2125="","",IF(COUNTIF($D$2:$D2125,$D2125)&gt;1,"Trùng",""))</f>
        <v/>
      </c>
      <c r="S2125" s="22">
        <f>IF($D2125="","",IF(AND(LEN($D2125)=10,LEFT($D2125,1)="0",ISNUMBER(--$D2125)),"Có","Không"))</f>
        <v/>
      </c>
      <c r="T2125" s="22">
        <f>IF($D2125="","",IF(AND($C2125&lt;&gt;"",$Q2125="Có",$R2125="",$S2125="Có",AND($L2125&lt;&gt;"",OR($L2125&lt;&gt;"Chưa xác định",DANH_MUC!$L$9="Có"))),"Có","Không"))</f>
        <v/>
      </c>
      <c r="U2125" s="22">
        <f>IF(OR($D2125="",$T2125="Có"),"",IF($C2125="","Thiếu họ tên; ","")&amp;IF($S2125&lt;&gt;"Có","SĐT sai định dạng; ","")&amp;IF($R2125="Trùng","Trùng SĐT; ","")&amp;IF($Q2125&lt;&gt;"Có","Thiếu đồng ý bắt buộc; ","")&amp;IF($L2125="","Thiếu/sai Mã REF; ",IF(AND($L2125="Chưa xác định",DANH_MUC!$L$9&lt;&gt;"Có"),"Nguồn chưa xác định; ","")))</f>
        <v/>
      </c>
      <c r="V2125" s="22">
        <f>IF(OR($D2125="",$R2125="Trùng"),"",IF(COUNTIF(ORDERS!$C$2:$C$4995,$D2125)&gt;0,"Có","Không"))</f>
        <v/>
      </c>
      <c r="W2125" s="22">
        <f>IF(OR($D2125="",$R2125="Trùng"),"",COUNTIFS(ORDERS!$C$2:$C$4995,$D2125,ORDERS!$L$2:$L$4995,"Đã chuyển khoản"))</f>
        <v/>
      </c>
      <c r="X2125" s="23">
        <f>IF(OR($D2125="",$R2125="Trùng"),"",SUMIFS(ORDERS!$J$2:$J$4995,ORDERS!$C$2:$C$4995,$D2125,ORDERS!$L$2:$L$4995,"Đã chuyển khoản"))</f>
        <v/>
      </c>
      <c r="Y2125" s="24" t="n"/>
    </row>
    <row r="2126" ht="14.25" customHeight="1" s="40">
      <c r="A2126" s="24" t="n"/>
      <c r="B2126" s="27" t="n"/>
      <c r="C2126" s="24" t="n"/>
      <c r="D2126" s="28" t="n"/>
      <c r="E2126" s="29" t="n"/>
      <c r="F2126" s="24" t="n"/>
      <c r="G2126" s="24" t="n"/>
      <c r="H2126" s="21">
        <f>IF(ISNUMBER($B2126),INT($B2126)-WEEKDAY($B2126,2)+1,"")</f>
        <v/>
      </c>
      <c r="I2126" s="24" t="n"/>
      <c r="J2126" s="22">
        <f t="array" ref="J2126">IF($D2126="","",IF($I2126="","(trống REF)",IFERROR(INDEX(MASTER_SOURCE!$B$2:$B$495,MATCH($I2126,MASTER_SOURCE!$A$2:$A$495,0)),"(REF không có trong MASTER_SOURCE)")))</f>
        <v/>
      </c>
      <c r="K2126" s="22">
        <f t="array" ref="K2126">IF($D2126="","",IFERROR(INDEX(MASTER_SOURCE!$C$2:$C$495,MATCH($I2126,MASTER_SOURCE!$A$2:$A$495,0)),""))</f>
        <v/>
      </c>
      <c r="L2126" s="22">
        <f t="array" ref="L2126">IF($D2126="","",IFERROR(INDEX(MASTER_SOURCE!$D$2:$D$495,MATCH($I2126,MASTER_SOURCE!$A$2:$A$495,0)),""))</f>
        <v/>
      </c>
      <c r="M2126" s="24" t="n"/>
      <c r="N2126" s="24" t="n"/>
      <c r="O2126" s="24" t="n"/>
      <c r="P2126" s="24" t="n"/>
      <c r="Q2126" s="22">
        <f>IF($D2126="","",IF(AND(OR(DANH_MUC!$L$5&lt;&gt;"Có",M2126="Có"),OR(DANH_MUC!$L$6&lt;&gt;"Có",N2126="Có"),OR(DANH_MUC!$L$7&lt;&gt;"Có",O2126="Có"),OR(DANH_MUC!$L$8&lt;&gt;"Có",P2126="Có")),"Có","Không"))</f>
        <v/>
      </c>
      <c r="R2126" s="22">
        <f>IF($D2126="","",IF(COUNTIF($D$2:$D2126,$D2126)&gt;1,"Trùng",""))</f>
        <v/>
      </c>
      <c r="S2126" s="22">
        <f>IF($D2126="","",IF(AND(LEN($D2126)=10,LEFT($D2126,1)="0",ISNUMBER(--$D2126)),"Có","Không"))</f>
        <v/>
      </c>
      <c r="T2126" s="22">
        <f>IF($D2126="","",IF(AND($C2126&lt;&gt;"",$Q2126="Có",$R2126="",$S2126="Có",AND($L2126&lt;&gt;"",OR($L2126&lt;&gt;"Chưa xác định",DANH_MUC!$L$9="Có"))),"Có","Không"))</f>
        <v/>
      </c>
      <c r="U2126" s="22">
        <f>IF(OR($D2126="",$T2126="Có"),"",IF($C2126="","Thiếu họ tên; ","")&amp;IF($S2126&lt;&gt;"Có","SĐT sai định dạng; ","")&amp;IF($R2126="Trùng","Trùng SĐT; ","")&amp;IF($Q2126&lt;&gt;"Có","Thiếu đồng ý bắt buộc; ","")&amp;IF($L2126="","Thiếu/sai Mã REF; ",IF(AND($L2126="Chưa xác định",DANH_MUC!$L$9&lt;&gt;"Có"),"Nguồn chưa xác định; ","")))</f>
        <v/>
      </c>
      <c r="V2126" s="22">
        <f>IF(OR($D2126="",$R2126="Trùng"),"",IF(COUNTIF(ORDERS!$C$2:$C$4995,$D2126)&gt;0,"Có","Không"))</f>
        <v/>
      </c>
      <c r="W2126" s="22">
        <f>IF(OR($D2126="",$R2126="Trùng"),"",COUNTIFS(ORDERS!$C$2:$C$4995,$D2126,ORDERS!$L$2:$L$4995,"Đã chuyển khoản"))</f>
        <v/>
      </c>
      <c r="X2126" s="23">
        <f>IF(OR($D2126="",$R2126="Trùng"),"",SUMIFS(ORDERS!$J$2:$J$4995,ORDERS!$C$2:$C$4995,$D2126,ORDERS!$L$2:$L$4995,"Đã chuyển khoản"))</f>
        <v/>
      </c>
      <c r="Y2126" s="24" t="n"/>
    </row>
    <row r="2127" ht="14.25" customHeight="1" s="40">
      <c r="A2127" s="24" t="n"/>
      <c r="B2127" s="27" t="n"/>
      <c r="C2127" s="24" t="n"/>
      <c r="D2127" s="28" t="n"/>
      <c r="E2127" s="29" t="n"/>
      <c r="F2127" s="24" t="n"/>
      <c r="G2127" s="24" t="n"/>
      <c r="H2127" s="21">
        <f>IF(ISNUMBER($B2127),INT($B2127)-WEEKDAY($B2127,2)+1,"")</f>
        <v/>
      </c>
      <c r="I2127" s="24" t="n"/>
      <c r="J2127" s="22">
        <f t="array" ref="J2127">IF($D2127="","",IF($I2127="","(trống REF)",IFERROR(INDEX(MASTER_SOURCE!$B$2:$B$495,MATCH($I2127,MASTER_SOURCE!$A$2:$A$495,0)),"(REF không có trong MASTER_SOURCE)")))</f>
        <v/>
      </c>
      <c r="K2127" s="22">
        <f t="array" ref="K2127">IF($D2127="","",IFERROR(INDEX(MASTER_SOURCE!$C$2:$C$495,MATCH($I2127,MASTER_SOURCE!$A$2:$A$495,0)),""))</f>
        <v/>
      </c>
      <c r="L2127" s="22">
        <f t="array" ref="L2127">IF($D2127="","",IFERROR(INDEX(MASTER_SOURCE!$D$2:$D$495,MATCH($I2127,MASTER_SOURCE!$A$2:$A$495,0)),""))</f>
        <v/>
      </c>
      <c r="M2127" s="24" t="n"/>
      <c r="N2127" s="24" t="n"/>
      <c r="O2127" s="24" t="n"/>
      <c r="P2127" s="24" t="n"/>
      <c r="Q2127" s="22">
        <f>IF($D2127="","",IF(AND(OR(DANH_MUC!$L$5&lt;&gt;"Có",M2127="Có"),OR(DANH_MUC!$L$6&lt;&gt;"Có",N2127="Có"),OR(DANH_MUC!$L$7&lt;&gt;"Có",O2127="Có"),OR(DANH_MUC!$L$8&lt;&gt;"Có",P2127="Có")),"Có","Không"))</f>
        <v/>
      </c>
      <c r="R2127" s="22">
        <f>IF($D2127="","",IF(COUNTIF($D$2:$D2127,$D2127)&gt;1,"Trùng",""))</f>
        <v/>
      </c>
      <c r="S2127" s="22">
        <f>IF($D2127="","",IF(AND(LEN($D2127)=10,LEFT($D2127,1)="0",ISNUMBER(--$D2127)),"Có","Không"))</f>
        <v/>
      </c>
      <c r="T2127" s="22">
        <f>IF($D2127="","",IF(AND($C2127&lt;&gt;"",$Q2127="Có",$R2127="",$S2127="Có",AND($L2127&lt;&gt;"",OR($L2127&lt;&gt;"Chưa xác định",DANH_MUC!$L$9="Có"))),"Có","Không"))</f>
        <v/>
      </c>
      <c r="U2127" s="22">
        <f>IF(OR($D2127="",$T2127="Có"),"",IF($C2127="","Thiếu họ tên; ","")&amp;IF($S2127&lt;&gt;"Có","SĐT sai định dạng; ","")&amp;IF($R2127="Trùng","Trùng SĐT; ","")&amp;IF($Q2127&lt;&gt;"Có","Thiếu đồng ý bắt buộc; ","")&amp;IF($L2127="","Thiếu/sai Mã REF; ",IF(AND($L2127="Chưa xác định",DANH_MUC!$L$9&lt;&gt;"Có"),"Nguồn chưa xác định; ","")))</f>
        <v/>
      </c>
      <c r="V2127" s="22">
        <f>IF(OR($D2127="",$R2127="Trùng"),"",IF(COUNTIF(ORDERS!$C$2:$C$4995,$D2127)&gt;0,"Có","Không"))</f>
        <v/>
      </c>
      <c r="W2127" s="22">
        <f>IF(OR($D2127="",$R2127="Trùng"),"",COUNTIFS(ORDERS!$C$2:$C$4995,$D2127,ORDERS!$L$2:$L$4995,"Đã chuyển khoản"))</f>
        <v/>
      </c>
      <c r="X2127" s="23">
        <f>IF(OR($D2127="",$R2127="Trùng"),"",SUMIFS(ORDERS!$J$2:$J$4995,ORDERS!$C$2:$C$4995,$D2127,ORDERS!$L$2:$L$4995,"Đã chuyển khoản"))</f>
        <v/>
      </c>
      <c r="Y2127" s="24" t="n"/>
    </row>
    <row r="2128" ht="14.25" customHeight="1" s="40">
      <c r="A2128" s="24" t="n"/>
      <c r="B2128" s="27" t="n"/>
      <c r="C2128" s="24" t="n"/>
      <c r="D2128" s="28" t="n"/>
      <c r="E2128" s="29" t="n"/>
      <c r="F2128" s="24" t="n"/>
      <c r="G2128" s="24" t="n"/>
      <c r="H2128" s="21">
        <f>IF(ISNUMBER($B2128),INT($B2128)-WEEKDAY($B2128,2)+1,"")</f>
        <v/>
      </c>
      <c r="I2128" s="24" t="n"/>
      <c r="J2128" s="22">
        <f t="array" ref="J2128">IF($D2128="","",IF($I2128="","(trống REF)",IFERROR(INDEX(MASTER_SOURCE!$B$2:$B$495,MATCH($I2128,MASTER_SOURCE!$A$2:$A$495,0)),"(REF không có trong MASTER_SOURCE)")))</f>
        <v/>
      </c>
      <c r="K2128" s="22">
        <f t="array" ref="K2128">IF($D2128="","",IFERROR(INDEX(MASTER_SOURCE!$C$2:$C$495,MATCH($I2128,MASTER_SOURCE!$A$2:$A$495,0)),""))</f>
        <v/>
      </c>
      <c r="L2128" s="22">
        <f t="array" ref="L2128">IF($D2128="","",IFERROR(INDEX(MASTER_SOURCE!$D$2:$D$495,MATCH($I2128,MASTER_SOURCE!$A$2:$A$495,0)),""))</f>
        <v/>
      </c>
      <c r="M2128" s="24" t="n"/>
      <c r="N2128" s="24" t="n"/>
      <c r="O2128" s="24" t="n"/>
      <c r="P2128" s="24" t="n"/>
      <c r="Q2128" s="22">
        <f>IF($D2128="","",IF(AND(OR(DANH_MUC!$L$5&lt;&gt;"Có",M2128="Có"),OR(DANH_MUC!$L$6&lt;&gt;"Có",N2128="Có"),OR(DANH_MUC!$L$7&lt;&gt;"Có",O2128="Có"),OR(DANH_MUC!$L$8&lt;&gt;"Có",P2128="Có")),"Có","Không"))</f>
        <v/>
      </c>
      <c r="R2128" s="22">
        <f>IF($D2128="","",IF(COUNTIF($D$2:$D2128,$D2128)&gt;1,"Trùng",""))</f>
        <v/>
      </c>
      <c r="S2128" s="22">
        <f>IF($D2128="","",IF(AND(LEN($D2128)=10,LEFT($D2128,1)="0",ISNUMBER(--$D2128)),"Có","Không"))</f>
        <v/>
      </c>
      <c r="T2128" s="22">
        <f>IF($D2128="","",IF(AND($C2128&lt;&gt;"",$Q2128="Có",$R2128="",$S2128="Có",AND($L2128&lt;&gt;"",OR($L2128&lt;&gt;"Chưa xác định",DANH_MUC!$L$9="Có"))),"Có","Không"))</f>
        <v/>
      </c>
      <c r="U2128" s="22">
        <f>IF(OR($D2128="",$T2128="Có"),"",IF($C2128="","Thiếu họ tên; ","")&amp;IF($S2128&lt;&gt;"Có","SĐT sai định dạng; ","")&amp;IF($R2128="Trùng","Trùng SĐT; ","")&amp;IF($Q2128&lt;&gt;"Có","Thiếu đồng ý bắt buộc; ","")&amp;IF($L2128="","Thiếu/sai Mã REF; ",IF(AND($L2128="Chưa xác định",DANH_MUC!$L$9&lt;&gt;"Có"),"Nguồn chưa xác định; ","")))</f>
        <v/>
      </c>
      <c r="V2128" s="22">
        <f>IF(OR($D2128="",$R2128="Trùng"),"",IF(COUNTIF(ORDERS!$C$2:$C$4995,$D2128)&gt;0,"Có","Không"))</f>
        <v/>
      </c>
      <c r="W2128" s="22">
        <f>IF(OR($D2128="",$R2128="Trùng"),"",COUNTIFS(ORDERS!$C$2:$C$4995,$D2128,ORDERS!$L$2:$L$4995,"Đã chuyển khoản"))</f>
        <v/>
      </c>
      <c r="X2128" s="23">
        <f>IF(OR($D2128="",$R2128="Trùng"),"",SUMIFS(ORDERS!$J$2:$J$4995,ORDERS!$C$2:$C$4995,$D2128,ORDERS!$L$2:$L$4995,"Đã chuyển khoản"))</f>
        <v/>
      </c>
      <c r="Y2128" s="24" t="n"/>
    </row>
    <row r="2129" ht="14.25" customHeight="1" s="40">
      <c r="A2129" s="24" t="n"/>
      <c r="B2129" s="27" t="n"/>
      <c r="C2129" s="24" t="n"/>
      <c r="D2129" s="28" t="n"/>
      <c r="E2129" s="29" t="n"/>
      <c r="F2129" s="24" t="n"/>
      <c r="G2129" s="24" t="n"/>
      <c r="H2129" s="21">
        <f>IF(ISNUMBER($B2129),INT($B2129)-WEEKDAY($B2129,2)+1,"")</f>
        <v/>
      </c>
      <c r="I2129" s="24" t="n"/>
      <c r="J2129" s="22">
        <f t="array" ref="J2129">IF($D2129="","",IF($I2129="","(trống REF)",IFERROR(INDEX(MASTER_SOURCE!$B$2:$B$495,MATCH($I2129,MASTER_SOURCE!$A$2:$A$495,0)),"(REF không có trong MASTER_SOURCE)")))</f>
        <v/>
      </c>
      <c r="K2129" s="22">
        <f t="array" ref="K2129">IF($D2129="","",IFERROR(INDEX(MASTER_SOURCE!$C$2:$C$495,MATCH($I2129,MASTER_SOURCE!$A$2:$A$495,0)),""))</f>
        <v/>
      </c>
      <c r="L2129" s="22">
        <f t="array" ref="L2129">IF($D2129="","",IFERROR(INDEX(MASTER_SOURCE!$D$2:$D$495,MATCH($I2129,MASTER_SOURCE!$A$2:$A$495,0)),""))</f>
        <v/>
      </c>
      <c r="M2129" s="24" t="n"/>
      <c r="N2129" s="24" t="n"/>
      <c r="O2129" s="24" t="n"/>
      <c r="P2129" s="24" t="n"/>
      <c r="Q2129" s="22">
        <f>IF($D2129="","",IF(AND(OR(DANH_MUC!$L$5&lt;&gt;"Có",M2129="Có"),OR(DANH_MUC!$L$6&lt;&gt;"Có",N2129="Có"),OR(DANH_MUC!$L$7&lt;&gt;"Có",O2129="Có"),OR(DANH_MUC!$L$8&lt;&gt;"Có",P2129="Có")),"Có","Không"))</f>
        <v/>
      </c>
      <c r="R2129" s="22">
        <f>IF($D2129="","",IF(COUNTIF($D$2:$D2129,$D2129)&gt;1,"Trùng",""))</f>
        <v/>
      </c>
      <c r="S2129" s="22">
        <f>IF($D2129="","",IF(AND(LEN($D2129)=10,LEFT($D2129,1)="0",ISNUMBER(--$D2129)),"Có","Không"))</f>
        <v/>
      </c>
      <c r="T2129" s="22">
        <f>IF($D2129="","",IF(AND($C2129&lt;&gt;"",$Q2129="Có",$R2129="",$S2129="Có",AND($L2129&lt;&gt;"",OR($L2129&lt;&gt;"Chưa xác định",DANH_MUC!$L$9="Có"))),"Có","Không"))</f>
        <v/>
      </c>
      <c r="U2129" s="22">
        <f>IF(OR($D2129="",$T2129="Có"),"",IF($C2129="","Thiếu họ tên; ","")&amp;IF($S2129&lt;&gt;"Có","SĐT sai định dạng; ","")&amp;IF($R2129="Trùng","Trùng SĐT; ","")&amp;IF($Q2129&lt;&gt;"Có","Thiếu đồng ý bắt buộc; ","")&amp;IF($L2129="","Thiếu/sai Mã REF; ",IF(AND($L2129="Chưa xác định",DANH_MUC!$L$9&lt;&gt;"Có"),"Nguồn chưa xác định; ","")))</f>
        <v/>
      </c>
      <c r="V2129" s="22">
        <f>IF(OR($D2129="",$R2129="Trùng"),"",IF(COUNTIF(ORDERS!$C$2:$C$4995,$D2129)&gt;0,"Có","Không"))</f>
        <v/>
      </c>
      <c r="W2129" s="22">
        <f>IF(OR($D2129="",$R2129="Trùng"),"",COUNTIFS(ORDERS!$C$2:$C$4995,$D2129,ORDERS!$L$2:$L$4995,"Đã chuyển khoản"))</f>
        <v/>
      </c>
      <c r="X2129" s="23">
        <f>IF(OR($D2129="",$R2129="Trùng"),"",SUMIFS(ORDERS!$J$2:$J$4995,ORDERS!$C$2:$C$4995,$D2129,ORDERS!$L$2:$L$4995,"Đã chuyển khoản"))</f>
        <v/>
      </c>
      <c r="Y2129" s="24" t="n"/>
    </row>
    <row r="2130" ht="14.25" customHeight="1" s="40">
      <c r="A2130" s="24" t="n"/>
      <c r="B2130" s="27" t="n"/>
      <c r="C2130" s="24" t="n"/>
      <c r="D2130" s="28" t="n"/>
      <c r="E2130" s="29" t="n"/>
      <c r="F2130" s="24" t="n"/>
      <c r="G2130" s="24" t="n"/>
      <c r="H2130" s="21">
        <f>IF(ISNUMBER($B2130),INT($B2130)-WEEKDAY($B2130,2)+1,"")</f>
        <v/>
      </c>
      <c r="I2130" s="24" t="n"/>
      <c r="J2130" s="22">
        <f t="array" ref="J2130">IF($D2130="","",IF($I2130="","(trống REF)",IFERROR(INDEX(MASTER_SOURCE!$B$2:$B$495,MATCH($I2130,MASTER_SOURCE!$A$2:$A$495,0)),"(REF không có trong MASTER_SOURCE)")))</f>
        <v/>
      </c>
      <c r="K2130" s="22">
        <f t="array" ref="K2130">IF($D2130="","",IFERROR(INDEX(MASTER_SOURCE!$C$2:$C$495,MATCH($I2130,MASTER_SOURCE!$A$2:$A$495,0)),""))</f>
        <v/>
      </c>
      <c r="L2130" s="22">
        <f t="array" ref="L2130">IF($D2130="","",IFERROR(INDEX(MASTER_SOURCE!$D$2:$D$495,MATCH($I2130,MASTER_SOURCE!$A$2:$A$495,0)),""))</f>
        <v/>
      </c>
      <c r="M2130" s="24" t="n"/>
      <c r="N2130" s="24" t="n"/>
      <c r="O2130" s="24" t="n"/>
      <c r="P2130" s="24" t="n"/>
      <c r="Q2130" s="22">
        <f>IF($D2130="","",IF(AND(OR(DANH_MUC!$L$5&lt;&gt;"Có",M2130="Có"),OR(DANH_MUC!$L$6&lt;&gt;"Có",N2130="Có"),OR(DANH_MUC!$L$7&lt;&gt;"Có",O2130="Có"),OR(DANH_MUC!$L$8&lt;&gt;"Có",P2130="Có")),"Có","Không"))</f>
        <v/>
      </c>
      <c r="R2130" s="22">
        <f>IF($D2130="","",IF(COUNTIF($D$2:$D2130,$D2130)&gt;1,"Trùng",""))</f>
        <v/>
      </c>
      <c r="S2130" s="22">
        <f>IF($D2130="","",IF(AND(LEN($D2130)=10,LEFT($D2130,1)="0",ISNUMBER(--$D2130)),"Có","Không"))</f>
        <v/>
      </c>
      <c r="T2130" s="22">
        <f>IF($D2130="","",IF(AND($C2130&lt;&gt;"",$Q2130="Có",$R2130="",$S2130="Có",AND($L2130&lt;&gt;"",OR($L2130&lt;&gt;"Chưa xác định",DANH_MUC!$L$9="Có"))),"Có","Không"))</f>
        <v/>
      </c>
      <c r="U2130" s="22">
        <f>IF(OR($D2130="",$T2130="Có"),"",IF($C2130="","Thiếu họ tên; ","")&amp;IF($S2130&lt;&gt;"Có","SĐT sai định dạng; ","")&amp;IF($R2130="Trùng","Trùng SĐT; ","")&amp;IF($Q2130&lt;&gt;"Có","Thiếu đồng ý bắt buộc; ","")&amp;IF($L2130="","Thiếu/sai Mã REF; ",IF(AND($L2130="Chưa xác định",DANH_MUC!$L$9&lt;&gt;"Có"),"Nguồn chưa xác định; ","")))</f>
        <v/>
      </c>
      <c r="V2130" s="22">
        <f>IF(OR($D2130="",$R2130="Trùng"),"",IF(COUNTIF(ORDERS!$C$2:$C$4995,$D2130)&gt;0,"Có","Không"))</f>
        <v/>
      </c>
      <c r="W2130" s="22">
        <f>IF(OR($D2130="",$R2130="Trùng"),"",COUNTIFS(ORDERS!$C$2:$C$4995,$D2130,ORDERS!$L$2:$L$4995,"Đã chuyển khoản"))</f>
        <v/>
      </c>
      <c r="X2130" s="23">
        <f>IF(OR($D2130="",$R2130="Trùng"),"",SUMIFS(ORDERS!$J$2:$J$4995,ORDERS!$C$2:$C$4995,$D2130,ORDERS!$L$2:$L$4995,"Đã chuyển khoản"))</f>
        <v/>
      </c>
      <c r="Y2130" s="24" t="n"/>
    </row>
    <row r="2131" ht="14.25" customHeight="1" s="40">
      <c r="A2131" s="24" t="n"/>
      <c r="B2131" s="27" t="n"/>
      <c r="C2131" s="24" t="n"/>
      <c r="D2131" s="28" t="n"/>
      <c r="E2131" s="29" t="n"/>
      <c r="F2131" s="24" t="n"/>
      <c r="G2131" s="24" t="n"/>
      <c r="H2131" s="21">
        <f>IF(ISNUMBER($B2131),INT($B2131)-WEEKDAY($B2131,2)+1,"")</f>
        <v/>
      </c>
      <c r="I2131" s="24" t="n"/>
      <c r="J2131" s="22">
        <f t="array" ref="J2131">IF($D2131="","",IF($I2131="","(trống REF)",IFERROR(INDEX(MASTER_SOURCE!$B$2:$B$495,MATCH($I2131,MASTER_SOURCE!$A$2:$A$495,0)),"(REF không có trong MASTER_SOURCE)")))</f>
        <v/>
      </c>
      <c r="K2131" s="22">
        <f t="array" ref="K2131">IF($D2131="","",IFERROR(INDEX(MASTER_SOURCE!$C$2:$C$495,MATCH($I2131,MASTER_SOURCE!$A$2:$A$495,0)),""))</f>
        <v/>
      </c>
      <c r="L2131" s="22">
        <f t="array" ref="L2131">IF($D2131="","",IFERROR(INDEX(MASTER_SOURCE!$D$2:$D$495,MATCH($I2131,MASTER_SOURCE!$A$2:$A$495,0)),""))</f>
        <v/>
      </c>
      <c r="M2131" s="24" t="n"/>
      <c r="N2131" s="24" t="n"/>
      <c r="O2131" s="24" t="n"/>
      <c r="P2131" s="24" t="n"/>
      <c r="Q2131" s="22">
        <f>IF($D2131="","",IF(AND(OR(DANH_MUC!$L$5&lt;&gt;"Có",M2131="Có"),OR(DANH_MUC!$L$6&lt;&gt;"Có",N2131="Có"),OR(DANH_MUC!$L$7&lt;&gt;"Có",O2131="Có"),OR(DANH_MUC!$L$8&lt;&gt;"Có",P2131="Có")),"Có","Không"))</f>
        <v/>
      </c>
      <c r="R2131" s="22">
        <f>IF($D2131="","",IF(COUNTIF($D$2:$D2131,$D2131)&gt;1,"Trùng",""))</f>
        <v/>
      </c>
      <c r="S2131" s="22">
        <f>IF($D2131="","",IF(AND(LEN($D2131)=10,LEFT($D2131,1)="0",ISNUMBER(--$D2131)),"Có","Không"))</f>
        <v/>
      </c>
      <c r="T2131" s="22">
        <f>IF($D2131="","",IF(AND($C2131&lt;&gt;"",$Q2131="Có",$R2131="",$S2131="Có",AND($L2131&lt;&gt;"",OR($L2131&lt;&gt;"Chưa xác định",DANH_MUC!$L$9="Có"))),"Có","Không"))</f>
        <v/>
      </c>
      <c r="U2131" s="22">
        <f>IF(OR($D2131="",$T2131="Có"),"",IF($C2131="","Thiếu họ tên; ","")&amp;IF($S2131&lt;&gt;"Có","SĐT sai định dạng; ","")&amp;IF($R2131="Trùng","Trùng SĐT; ","")&amp;IF($Q2131&lt;&gt;"Có","Thiếu đồng ý bắt buộc; ","")&amp;IF($L2131="","Thiếu/sai Mã REF; ",IF(AND($L2131="Chưa xác định",DANH_MUC!$L$9&lt;&gt;"Có"),"Nguồn chưa xác định; ","")))</f>
        <v/>
      </c>
      <c r="V2131" s="22">
        <f>IF(OR($D2131="",$R2131="Trùng"),"",IF(COUNTIF(ORDERS!$C$2:$C$4995,$D2131)&gt;0,"Có","Không"))</f>
        <v/>
      </c>
      <c r="W2131" s="22">
        <f>IF(OR($D2131="",$R2131="Trùng"),"",COUNTIFS(ORDERS!$C$2:$C$4995,$D2131,ORDERS!$L$2:$L$4995,"Đã chuyển khoản"))</f>
        <v/>
      </c>
      <c r="X2131" s="23">
        <f>IF(OR($D2131="",$R2131="Trùng"),"",SUMIFS(ORDERS!$J$2:$J$4995,ORDERS!$C$2:$C$4995,$D2131,ORDERS!$L$2:$L$4995,"Đã chuyển khoản"))</f>
        <v/>
      </c>
      <c r="Y2131" s="24" t="n"/>
    </row>
    <row r="2132" ht="14.25" customHeight="1" s="40">
      <c r="A2132" s="24" t="n"/>
      <c r="B2132" s="27" t="n"/>
      <c r="C2132" s="24" t="n"/>
      <c r="D2132" s="28" t="n"/>
      <c r="E2132" s="29" t="n"/>
      <c r="F2132" s="24" t="n"/>
      <c r="G2132" s="24" t="n"/>
      <c r="H2132" s="21">
        <f>IF(ISNUMBER($B2132),INT($B2132)-WEEKDAY($B2132,2)+1,"")</f>
        <v/>
      </c>
      <c r="I2132" s="24" t="n"/>
      <c r="J2132" s="22">
        <f t="array" ref="J2132">IF($D2132="","",IF($I2132="","(trống REF)",IFERROR(INDEX(MASTER_SOURCE!$B$2:$B$495,MATCH($I2132,MASTER_SOURCE!$A$2:$A$495,0)),"(REF không có trong MASTER_SOURCE)")))</f>
        <v/>
      </c>
      <c r="K2132" s="22">
        <f t="array" ref="K2132">IF($D2132="","",IFERROR(INDEX(MASTER_SOURCE!$C$2:$C$495,MATCH($I2132,MASTER_SOURCE!$A$2:$A$495,0)),""))</f>
        <v/>
      </c>
      <c r="L2132" s="22">
        <f t="array" ref="L2132">IF($D2132="","",IFERROR(INDEX(MASTER_SOURCE!$D$2:$D$495,MATCH($I2132,MASTER_SOURCE!$A$2:$A$495,0)),""))</f>
        <v/>
      </c>
      <c r="M2132" s="24" t="n"/>
      <c r="N2132" s="24" t="n"/>
      <c r="O2132" s="24" t="n"/>
      <c r="P2132" s="24" t="n"/>
      <c r="Q2132" s="22">
        <f>IF($D2132="","",IF(AND(OR(DANH_MUC!$L$5&lt;&gt;"Có",M2132="Có"),OR(DANH_MUC!$L$6&lt;&gt;"Có",N2132="Có"),OR(DANH_MUC!$L$7&lt;&gt;"Có",O2132="Có"),OR(DANH_MUC!$L$8&lt;&gt;"Có",P2132="Có")),"Có","Không"))</f>
        <v/>
      </c>
      <c r="R2132" s="22">
        <f>IF($D2132="","",IF(COUNTIF($D$2:$D2132,$D2132)&gt;1,"Trùng",""))</f>
        <v/>
      </c>
      <c r="S2132" s="22">
        <f>IF($D2132="","",IF(AND(LEN($D2132)=10,LEFT($D2132,1)="0",ISNUMBER(--$D2132)),"Có","Không"))</f>
        <v/>
      </c>
      <c r="T2132" s="22">
        <f>IF($D2132="","",IF(AND($C2132&lt;&gt;"",$Q2132="Có",$R2132="",$S2132="Có",AND($L2132&lt;&gt;"",OR($L2132&lt;&gt;"Chưa xác định",DANH_MUC!$L$9="Có"))),"Có","Không"))</f>
        <v/>
      </c>
      <c r="U2132" s="22">
        <f>IF(OR($D2132="",$T2132="Có"),"",IF($C2132="","Thiếu họ tên; ","")&amp;IF($S2132&lt;&gt;"Có","SĐT sai định dạng; ","")&amp;IF($R2132="Trùng","Trùng SĐT; ","")&amp;IF($Q2132&lt;&gt;"Có","Thiếu đồng ý bắt buộc; ","")&amp;IF($L2132="","Thiếu/sai Mã REF; ",IF(AND($L2132="Chưa xác định",DANH_MUC!$L$9&lt;&gt;"Có"),"Nguồn chưa xác định; ","")))</f>
        <v/>
      </c>
      <c r="V2132" s="22">
        <f>IF(OR($D2132="",$R2132="Trùng"),"",IF(COUNTIF(ORDERS!$C$2:$C$4995,$D2132)&gt;0,"Có","Không"))</f>
        <v/>
      </c>
      <c r="W2132" s="22">
        <f>IF(OR($D2132="",$R2132="Trùng"),"",COUNTIFS(ORDERS!$C$2:$C$4995,$D2132,ORDERS!$L$2:$L$4995,"Đã chuyển khoản"))</f>
        <v/>
      </c>
      <c r="X2132" s="23">
        <f>IF(OR($D2132="",$R2132="Trùng"),"",SUMIFS(ORDERS!$J$2:$J$4995,ORDERS!$C$2:$C$4995,$D2132,ORDERS!$L$2:$L$4995,"Đã chuyển khoản"))</f>
        <v/>
      </c>
      <c r="Y2132" s="24" t="n"/>
    </row>
    <row r="2133" ht="14.25" customHeight="1" s="40">
      <c r="A2133" s="24" t="n"/>
      <c r="B2133" s="27" t="n"/>
      <c r="C2133" s="24" t="n"/>
      <c r="D2133" s="28" t="n"/>
      <c r="E2133" s="29" t="n"/>
      <c r="F2133" s="24" t="n"/>
      <c r="G2133" s="24" t="n"/>
      <c r="H2133" s="21">
        <f>IF(ISNUMBER($B2133),INT($B2133)-WEEKDAY($B2133,2)+1,"")</f>
        <v/>
      </c>
      <c r="I2133" s="24" t="n"/>
      <c r="J2133" s="22">
        <f t="array" ref="J2133">IF($D2133="","",IF($I2133="","(trống REF)",IFERROR(INDEX(MASTER_SOURCE!$B$2:$B$495,MATCH($I2133,MASTER_SOURCE!$A$2:$A$495,0)),"(REF không có trong MASTER_SOURCE)")))</f>
        <v/>
      </c>
      <c r="K2133" s="22">
        <f t="array" ref="K2133">IF($D2133="","",IFERROR(INDEX(MASTER_SOURCE!$C$2:$C$495,MATCH($I2133,MASTER_SOURCE!$A$2:$A$495,0)),""))</f>
        <v/>
      </c>
      <c r="L2133" s="22">
        <f t="array" ref="L2133">IF($D2133="","",IFERROR(INDEX(MASTER_SOURCE!$D$2:$D$495,MATCH($I2133,MASTER_SOURCE!$A$2:$A$495,0)),""))</f>
        <v/>
      </c>
      <c r="M2133" s="24" t="n"/>
      <c r="N2133" s="24" t="n"/>
      <c r="O2133" s="24" t="n"/>
      <c r="P2133" s="24" t="n"/>
      <c r="Q2133" s="22">
        <f>IF($D2133="","",IF(AND(OR(DANH_MUC!$L$5&lt;&gt;"Có",M2133="Có"),OR(DANH_MUC!$L$6&lt;&gt;"Có",N2133="Có"),OR(DANH_MUC!$L$7&lt;&gt;"Có",O2133="Có"),OR(DANH_MUC!$L$8&lt;&gt;"Có",P2133="Có")),"Có","Không"))</f>
        <v/>
      </c>
      <c r="R2133" s="22">
        <f>IF($D2133="","",IF(COUNTIF($D$2:$D2133,$D2133)&gt;1,"Trùng",""))</f>
        <v/>
      </c>
      <c r="S2133" s="22">
        <f>IF($D2133="","",IF(AND(LEN($D2133)=10,LEFT($D2133,1)="0",ISNUMBER(--$D2133)),"Có","Không"))</f>
        <v/>
      </c>
      <c r="T2133" s="22">
        <f>IF($D2133="","",IF(AND($C2133&lt;&gt;"",$Q2133="Có",$R2133="",$S2133="Có",AND($L2133&lt;&gt;"",OR($L2133&lt;&gt;"Chưa xác định",DANH_MUC!$L$9="Có"))),"Có","Không"))</f>
        <v/>
      </c>
      <c r="U2133" s="22">
        <f>IF(OR($D2133="",$T2133="Có"),"",IF($C2133="","Thiếu họ tên; ","")&amp;IF($S2133&lt;&gt;"Có","SĐT sai định dạng; ","")&amp;IF($R2133="Trùng","Trùng SĐT; ","")&amp;IF($Q2133&lt;&gt;"Có","Thiếu đồng ý bắt buộc; ","")&amp;IF($L2133="","Thiếu/sai Mã REF; ",IF(AND($L2133="Chưa xác định",DANH_MUC!$L$9&lt;&gt;"Có"),"Nguồn chưa xác định; ","")))</f>
        <v/>
      </c>
      <c r="V2133" s="22">
        <f>IF(OR($D2133="",$R2133="Trùng"),"",IF(COUNTIF(ORDERS!$C$2:$C$4995,$D2133)&gt;0,"Có","Không"))</f>
        <v/>
      </c>
      <c r="W2133" s="22">
        <f>IF(OR($D2133="",$R2133="Trùng"),"",COUNTIFS(ORDERS!$C$2:$C$4995,$D2133,ORDERS!$L$2:$L$4995,"Đã chuyển khoản"))</f>
        <v/>
      </c>
      <c r="X2133" s="23">
        <f>IF(OR($D2133="",$R2133="Trùng"),"",SUMIFS(ORDERS!$J$2:$J$4995,ORDERS!$C$2:$C$4995,$D2133,ORDERS!$L$2:$L$4995,"Đã chuyển khoản"))</f>
        <v/>
      </c>
      <c r="Y2133" s="24" t="n"/>
    </row>
    <row r="2134" ht="14.25" customHeight="1" s="40">
      <c r="A2134" s="24" t="n"/>
      <c r="B2134" s="27" t="n"/>
      <c r="C2134" s="24" t="n"/>
      <c r="D2134" s="28" t="n"/>
      <c r="E2134" s="29" t="n"/>
      <c r="F2134" s="24" t="n"/>
      <c r="G2134" s="24" t="n"/>
      <c r="H2134" s="21">
        <f>IF(ISNUMBER($B2134),INT($B2134)-WEEKDAY($B2134,2)+1,"")</f>
        <v/>
      </c>
      <c r="I2134" s="24" t="n"/>
      <c r="J2134" s="22">
        <f t="array" ref="J2134">IF($D2134="","",IF($I2134="","(trống REF)",IFERROR(INDEX(MASTER_SOURCE!$B$2:$B$495,MATCH($I2134,MASTER_SOURCE!$A$2:$A$495,0)),"(REF không có trong MASTER_SOURCE)")))</f>
        <v/>
      </c>
      <c r="K2134" s="22">
        <f t="array" ref="K2134">IF($D2134="","",IFERROR(INDEX(MASTER_SOURCE!$C$2:$C$495,MATCH($I2134,MASTER_SOURCE!$A$2:$A$495,0)),""))</f>
        <v/>
      </c>
      <c r="L2134" s="22">
        <f t="array" ref="L2134">IF($D2134="","",IFERROR(INDEX(MASTER_SOURCE!$D$2:$D$495,MATCH($I2134,MASTER_SOURCE!$A$2:$A$495,0)),""))</f>
        <v/>
      </c>
      <c r="M2134" s="24" t="n"/>
      <c r="N2134" s="24" t="n"/>
      <c r="O2134" s="24" t="n"/>
      <c r="P2134" s="24" t="n"/>
      <c r="Q2134" s="22">
        <f>IF($D2134="","",IF(AND(OR(DANH_MUC!$L$5&lt;&gt;"Có",M2134="Có"),OR(DANH_MUC!$L$6&lt;&gt;"Có",N2134="Có"),OR(DANH_MUC!$L$7&lt;&gt;"Có",O2134="Có"),OR(DANH_MUC!$L$8&lt;&gt;"Có",P2134="Có")),"Có","Không"))</f>
        <v/>
      </c>
      <c r="R2134" s="22">
        <f>IF($D2134="","",IF(COUNTIF($D$2:$D2134,$D2134)&gt;1,"Trùng",""))</f>
        <v/>
      </c>
      <c r="S2134" s="22">
        <f>IF($D2134="","",IF(AND(LEN($D2134)=10,LEFT($D2134,1)="0",ISNUMBER(--$D2134)),"Có","Không"))</f>
        <v/>
      </c>
      <c r="T2134" s="22">
        <f>IF($D2134="","",IF(AND($C2134&lt;&gt;"",$Q2134="Có",$R2134="",$S2134="Có",AND($L2134&lt;&gt;"",OR($L2134&lt;&gt;"Chưa xác định",DANH_MUC!$L$9="Có"))),"Có","Không"))</f>
        <v/>
      </c>
      <c r="U2134" s="22">
        <f>IF(OR($D2134="",$T2134="Có"),"",IF($C2134="","Thiếu họ tên; ","")&amp;IF($S2134&lt;&gt;"Có","SĐT sai định dạng; ","")&amp;IF($R2134="Trùng","Trùng SĐT; ","")&amp;IF($Q2134&lt;&gt;"Có","Thiếu đồng ý bắt buộc; ","")&amp;IF($L2134="","Thiếu/sai Mã REF; ",IF(AND($L2134="Chưa xác định",DANH_MUC!$L$9&lt;&gt;"Có"),"Nguồn chưa xác định; ","")))</f>
        <v/>
      </c>
      <c r="V2134" s="22">
        <f>IF(OR($D2134="",$R2134="Trùng"),"",IF(COUNTIF(ORDERS!$C$2:$C$4995,$D2134)&gt;0,"Có","Không"))</f>
        <v/>
      </c>
      <c r="W2134" s="22">
        <f>IF(OR($D2134="",$R2134="Trùng"),"",COUNTIFS(ORDERS!$C$2:$C$4995,$D2134,ORDERS!$L$2:$L$4995,"Đã chuyển khoản"))</f>
        <v/>
      </c>
      <c r="X2134" s="23">
        <f>IF(OR($D2134="",$R2134="Trùng"),"",SUMIFS(ORDERS!$J$2:$J$4995,ORDERS!$C$2:$C$4995,$D2134,ORDERS!$L$2:$L$4995,"Đã chuyển khoản"))</f>
        <v/>
      </c>
      <c r="Y2134" s="24" t="n"/>
    </row>
    <row r="2135" ht="14.25" customHeight="1" s="40">
      <c r="A2135" s="24" t="n"/>
      <c r="B2135" s="27" t="n"/>
      <c r="C2135" s="24" t="n"/>
      <c r="D2135" s="28" t="n"/>
      <c r="E2135" s="29" t="n"/>
      <c r="F2135" s="24" t="n"/>
      <c r="G2135" s="24" t="n"/>
      <c r="H2135" s="21">
        <f>IF(ISNUMBER($B2135),INT($B2135)-WEEKDAY($B2135,2)+1,"")</f>
        <v/>
      </c>
      <c r="I2135" s="24" t="n"/>
      <c r="J2135" s="22">
        <f t="array" ref="J2135">IF($D2135="","",IF($I2135="","(trống REF)",IFERROR(INDEX(MASTER_SOURCE!$B$2:$B$495,MATCH($I2135,MASTER_SOURCE!$A$2:$A$495,0)),"(REF không có trong MASTER_SOURCE)")))</f>
        <v/>
      </c>
      <c r="K2135" s="22">
        <f t="array" ref="K2135">IF($D2135="","",IFERROR(INDEX(MASTER_SOURCE!$C$2:$C$495,MATCH($I2135,MASTER_SOURCE!$A$2:$A$495,0)),""))</f>
        <v/>
      </c>
      <c r="L2135" s="22">
        <f t="array" ref="L2135">IF($D2135="","",IFERROR(INDEX(MASTER_SOURCE!$D$2:$D$495,MATCH($I2135,MASTER_SOURCE!$A$2:$A$495,0)),""))</f>
        <v/>
      </c>
      <c r="M2135" s="24" t="n"/>
      <c r="N2135" s="24" t="n"/>
      <c r="O2135" s="24" t="n"/>
      <c r="P2135" s="24" t="n"/>
      <c r="Q2135" s="22">
        <f>IF($D2135="","",IF(AND(OR(DANH_MUC!$L$5&lt;&gt;"Có",M2135="Có"),OR(DANH_MUC!$L$6&lt;&gt;"Có",N2135="Có"),OR(DANH_MUC!$L$7&lt;&gt;"Có",O2135="Có"),OR(DANH_MUC!$L$8&lt;&gt;"Có",P2135="Có")),"Có","Không"))</f>
        <v/>
      </c>
      <c r="R2135" s="22">
        <f>IF($D2135="","",IF(COUNTIF($D$2:$D2135,$D2135)&gt;1,"Trùng",""))</f>
        <v/>
      </c>
      <c r="S2135" s="22">
        <f>IF($D2135="","",IF(AND(LEN($D2135)=10,LEFT($D2135,1)="0",ISNUMBER(--$D2135)),"Có","Không"))</f>
        <v/>
      </c>
      <c r="T2135" s="22">
        <f>IF($D2135="","",IF(AND($C2135&lt;&gt;"",$Q2135="Có",$R2135="",$S2135="Có",AND($L2135&lt;&gt;"",OR($L2135&lt;&gt;"Chưa xác định",DANH_MUC!$L$9="Có"))),"Có","Không"))</f>
        <v/>
      </c>
      <c r="U2135" s="22">
        <f>IF(OR($D2135="",$T2135="Có"),"",IF($C2135="","Thiếu họ tên; ","")&amp;IF($S2135&lt;&gt;"Có","SĐT sai định dạng; ","")&amp;IF($R2135="Trùng","Trùng SĐT; ","")&amp;IF($Q2135&lt;&gt;"Có","Thiếu đồng ý bắt buộc; ","")&amp;IF($L2135="","Thiếu/sai Mã REF; ",IF(AND($L2135="Chưa xác định",DANH_MUC!$L$9&lt;&gt;"Có"),"Nguồn chưa xác định; ","")))</f>
        <v/>
      </c>
      <c r="V2135" s="22">
        <f>IF(OR($D2135="",$R2135="Trùng"),"",IF(COUNTIF(ORDERS!$C$2:$C$4995,$D2135)&gt;0,"Có","Không"))</f>
        <v/>
      </c>
      <c r="W2135" s="22">
        <f>IF(OR($D2135="",$R2135="Trùng"),"",COUNTIFS(ORDERS!$C$2:$C$4995,$D2135,ORDERS!$L$2:$L$4995,"Đã chuyển khoản"))</f>
        <v/>
      </c>
      <c r="X2135" s="23">
        <f>IF(OR($D2135="",$R2135="Trùng"),"",SUMIFS(ORDERS!$J$2:$J$4995,ORDERS!$C$2:$C$4995,$D2135,ORDERS!$L$2:$L$4995,"Đã chuyển khoản"))</f>
        <v/>
      </c>
      <c r="Y2135" s="24" t="n"/>
    </row>
    <row r="2136" ht="14.25" customHeight="1" s="40">
      <c r="A2136" s="24" t="n"/>
      <c r="B2136" s="27" t="n"/>
      <c r="C2136" s="24" t="n"/>
      <c r="D2136" s="28" t="n"/>
      <c r="E2136" s="29" t="n"/>
      <c r="F2136" s="24" t="n"/>
      <c r="G2136" s="24" t="n"/>
      <c r="H2136" s="21">
        <f>IF(ISNUMBER($B2136),INT($B2136)-WEEKDAY($B2136,2)+1,"")</f>
        <v/>
      </c>
      <c r="I2136" s="24" t="n"/>
      <c r="J2136" s="22">
        <f t="array" ref="J2136">IF($D2136="","",IF($I2136="","(trống REF)",IFERROR(INDEX(MASTER_SOURCE!$B$2:$B$495,MATCH($I2136,MASTER_SOURCE!$A$2:$A$495,0)),"(REF không có trong MASTER_SOURCE)")))</f>
        <v/>
      </c>
      <c r="K2136" s="22">
        <f t="array" ref="K2136">IF($D2136="","",IFERROR(INDEX(MASTER_SOURCE!$C$2:$C$495,MATCH($I2136,MASTER_SOURCE!$A$2:$A$495,0)),""))</f>
        <v/>
      </c>
      <c r="L2136" s="22">
        <f t="array" ref="L2136">IF($D2136="","",IFERROR(INDEX(MASTER_SOURCE!$D$2:$D$495,MATCH($I2136,MASTER_SOURCE!$A$2:$A$495,0)),""))</f>
        <v/>
      </c>
      <c r="M2136" s="24" t="n"/>
      <c r="N2136" s="24" t="n"/>
      <c r="O2136" s="24" t="n"/>
      <c r="P2136" s="24" t="n"/>
      <c r="Q2136" s="22">
        <f>IF($D2136="","",IF(AND(OR(DANH_MUC!$L$5&lt;&gt;"Có",M2136="Có"),OR(DANH_MUC!$L$6&lt;&gt;"Có",N2136="Có"),OR(DANH_MUC!$L$7&lt;&gt;"Có",O2136="Có"),OR(DANH_MUC!$L$8&lt;&gt;"Có",P2136="Có")),"Có","Không"))</f>
        <v/>
      </c>
      <c r="R2136" s="22">
        <f>IF($D2136="","",IF(COUNTIF($D$2:$D2136,$D2136)&gt;1,"Trùng",""))</f>
        <v/>
      </c>
      <c r="S2136" s="22">
        <f>IF($D2136="","",IF(AND(LEN($D2136)=10,LEFT($D2136,1)="0",ISNUMBER(--$D2136)),"Có","Không"))</f>
        <v/>
      </c>
      <c r="T2136" s="22">
        <f>IF($D2136="","",IF(AND($C2136&lt;&gt;"",$Q2136="Có",$R2136="",$S2136="Có",AND($L2136&lt;&gt;"",OR($L2136&lt;&gt;"Chưa xác định",DANH_MUC!$L$9="Có"))),"Có","Không"))</f>
        <v/>
      </c>
      <c r="U2136" s="22">
        <f>IF(OR($D2136="",$T2136="Có"),"",IF($C2136="","Thiếu họ tên; ","")&amp;IF($S2136&lt;&gt;"Có","SĐT sai định dạng; ","")&amp;IF($R2136="Trùng","Trùng SĐT; ","")&amp;IF($Q2136&lt;&gt;"Có","Thiếu đồng ý bắt buộc; ","")&amp;IF($L2136="","Thiếu/sai Mã REF; ",IF(AND($L2136="Chưa xác định",DANH_MUC!$L$9&lt;&gt;"Có"),"Nguồn chưa xác định; ","")))</f>
        <v/>
      </c>
      <c r="V2136" s="22">
        <f>IF(OR($D2136="",$R2136="Trùng"),"",IF(COUNTIF(ORDERS!$C$2:$C$4995,$D2136)&gt;0,"Có","Không"))</f>
        <v/>
      </c>
      <c r="W2136" s="22">
        <f>IF(OR($D2136="",$R2136="Trùng"),"",COUNTIFS(ORDERS!$C$2:$C$4995,$D2136,ORDERS!$L$2:$L$4995,"Đã chuyển khoản"))</f>
        <v/>
      </c>
      <c r="X2136" s="23">
        <f>IF(OR($D2136="",$R2136="Trùng"),"",SUMIFS(ORDERS!$J$2:$J$4995,ORDERS!$C$2:$C$4995,$D2136,ORDERS!$L$2:$L$4995,"Đã chuyển khoản"))</f>
        <v/>
      </c>
      <c r="Y2136" s="24" t="n"/>
    </row>
    <row r="2137" ht="14.25" customHeight="1" s="40">
      <c r="A2137" s="24" t="n"/>
      <c r="B2137" s="27" t="n"/>
      <c r="C2137" s="24" t="n"/>
      <c r="D2137" s="28" t="n"/>
      <c r="E2137" s="29" t="n"/>
      <c r="F2137" s="24" t="n"/>
      <c r="G2137" s="24" t="n"/>
      <c r="H2137" s="21">
        <f>IF(ISNUMBER($B2137),INT($B2137)-WEEKDAY($B2137,2)+1,"")</f>
        <v/>
      </c>
      <c r="I2137" s="24" t="n"/>
      <c r="J2137" s="22">
        <f t="array" ref="J2137">IF($D2137="","",IF($I2137="","(trống REF)",IFERROR(INDEX(MASTER_SOURCE!$B$2:$B$495,MATCH($I2137,MASTER_SOURCE!$A$2:$A$495,0)),"(REF không có trong MASTER_SOURCE)")))</f>
        <v/>
      </c>
      <c r="K2137" s="22">
        <f t="array" ref="K2137">IF($D2137="","",IFERROR(INDEX(MASTER_SOURCE!$C$2:$C$495,MATCH($I2137,MASTER_SOURCE!$A$2:$A$495,0)),""))</f>
        <v/>
      </c>
      <c r="L2137" s="22">
        <f t="array" ref="L2137">IF($D2137="","",IFERROR(INDEX(MASTER_SOURCE!$D$2:$D$495,MATCH($I2137,MASTER_SOURCE!$A$2:$A$495,0)),""))</f>
        <v/>
      </c>
      <c r="M2137" s="24" t="n"/>
      <c r="N2137" s="24" t="n"/>
      <c r="O2137" s="24" t="n"/>
      <c r="P2137" s="24" t="n"/>
      <c r="Q2137" s="22">
        <f>IF($D2137="","",IF(AND(OR(DANH_MUC!$L$5&lt;&gt;"Có",M2137="Có"),OR(DANH_MUC!$L$6&lt;&gt;"Có",N2137="Có"),OR(DANH_MUC!$L$7&lt;&gt;"Có",O2137="Có"),OR(DANH_MUC!$L$8&lt;&gt;"Có",P2137="Có")),"Có","Không"))</f>
        <v/>
      </c>
      <c r="R2137" s="22">
        <f>IF($D2137="","",IF(COUNTIF($D$2:$D2137,$D2137)&gt;1,"Trùng",""))</f>
        <v/>
      </c>
      <c r="S2137" s="22">
        <f>IF($D2137="","",IF(AND(LEN($D2137)=10,LEFT($D2137,1)="0",ISNUMBER(--$D2137)),"Có","Không"))</f>
        <v/>
      </c>
      <c r="T2137" s="22">
        <f>IF($D2137="","",IF(AND($C2137&lt;&gt;"",$Q2137="Có",$R2137="",$S2137="Có",AND($L2137&lt;&gt;"",OR($L2137&lt;&gt;"Chưa xác định",DANH_MUC!$L$9="Có"))),"Có","Không"))</f>
        <v/>
      </c>
      <c r="U2137" s="22">
        <f>IF(OR($D2137="",$T2137="Có"),"",IF($C2137="","Thiếu họ tên; ","")&amp;IF($S2137&lt;&gt;"Có","SĐT sai định dạng; ","")&amp;IF($R2137="Trùng","Trùng SĐT; ","")&amp;IF($Q2137&lt;&gt;"Có","Thiếu đồng ý bắt buộc; ","")&amp;IF($L2137="","Thiếu/sai Mã REF; ",IF(AND($L2137="Chưa xác định",DANH_MUC!$L$9&lt;&gt;"Có"),"Nguồn chưa xác định; ","")))</f>
        <v/>
      </c>
      <c r="V2137" s="22">
        <f>IF(OR($D2137="",$R2137="Trùng"),"",IF(COUNTIF(ORDERS!$C$2:$C$4995,$D2137)&gt;0,"Có","Không"))</f>
        <v/>
      </c>
      <c r="W2137" s="22">
        <f>IF(OR($D2137="",$R2137="Trùng"),"",COUNTIFS(ORDERS!$C$2:$C$4995,$D2137,ORDERS!$L$2:$L$4995,"Đã chuyển khoản"))</f>
        <v/>
      </c>
      <c r="X2137" s="23">
        <f>IF(OR($D2137="",$R2137="Trùng"),"",SUMIFS(ORDERS!$J$2:$J$4995,ORDERS!$C$2:$C$4995,$D2137,ORDERS!$L$2:$L$4995,"Đã chuyển khoản"))</f>
        <v/>
      </c>
      <c r="Y2137" s="24" t="n"/>
    </row>
    <row r="2138" ht="14.25" customHeight="1" s="40">
      <c r="A2138" s="24" t="n"/>
      <c r="B2138" s="27" t="n"/>
      <c r="C2138" s="24" t="n"/>
      <c r="D2138" s="28" t="n"/>
      <c r="E2138" s="29" t="n"/>
      <c r="F2138" s="24" t="n"/>
      <c r="G2138" s="24" t="n"/>
      <c r="H2138" s="21">
        <f>IF(ISNUMBER($B2138),INT($B2138)-WEEKDAY($B2138,2)+1,"")</f>
        <v/>
      </c>
      <c r="I2138" s="24" t="n"/>
      <c r="J2138" s="22">
        <f t="array" ref="J2138">IF($D2138="","",IF($I2138="","(trống REF)",IFERROR(INDEX(MASTER_SOURCE!$B$2:$B$495,MATCH($I2138,MASTER_SOURCE!$A$2:$A$495,0)),"(REF không có trong MASTER_SOURCE)")))</f>
        <v/>
      </c>
      <c r="K2138" s="22">
        <f t="array" ref="K2138">IF($D2138="","",IFERROR(INDEX(MASTER_SOURCE!$C$2:$C$495,MATCH($I2138,MASTER_SOURCE!$A$2:$A$495,0)),""))</f>
        <v/>
      </c>
      <c r="L2138" s="22">
        <f t="array" ref="L2138">IF($D2138="","",IFERROR(INDEX(MASTER_SOURCE!$D$2:$D$495,MATCH($I2138,MASTER_SOURCE!$A$2:$A$495,0)),""))</f>
        <v/>
      </c>
      <c r="M2138" s="24" t="n"/>
      <c r="N2138" s="24" t="n"/>
      <c r="O2138" s="24" t="n"/>
      <c r="P2138" s="24" t="n"/>
      <c r="Q2138" s="22">
        <f>IF($D2138="","",IF(AND(OR(DANH_MUC!$L$5&lt;&gt;"Có",M2138="Có"),OR(DANH_MUC!$L$6&lt;&gt;"Có",N2138="Có"),OR(DANH_MUC!$L$7&lt;&gt;"Có",O2138="Có"),OR(DANH_MUC!$L$8&lt;&gt;"Có",P2138="Có")),"Có","Không"))</f>
        <v/>
      </c>
      <c r="R2138" s="22">
        <f>IF($D2138="","",IF(COUNTIF($D$2:$D2138,$D2138)&gt;1,"Trùng",""))</f>
        <v/>
      </c>
      <c r="S2138" s="22">
        <f>IF($D2138="","",IF(AND(LEN($D2138)=10,LEFT($D2138,1)="0",ISNUMBER(--$D2138)),"Có","Không"))</f>
        <v/>
      </c>
      <c r="T2138" s="22">
        <f>IF($D2138="","",IF(AND($C2138&lt;&gt;"",$Q2138="Có",$R2138="",$S2138="Có",AND($L2138&lt;&gt;"",OR($L2138&lt;&gt;"Chưa xác định",DANH_MUC!$L$9="Có"))),"Có","Không"))</f>
        <v/>
      </c>
      <c r="U2138" s="22">
        <f>IF(OR($D2138="",$T2138="Có"),"",IF($C2138="","Thiếu họ tên; ","")&amp;IF($S2138&lt;&gt;"Có","SĐT sai định dạng; ","")&amp;IF($R2138="Trùng","Trùng SĐT; ","")&amp;IF($Q2138&lt;&gt;"Có","Thiếu đồng ý bắt buộc; ","")&amp;IF($L2138="","Thiếu/sai Mã REF; ",IF(AND($L2138="Chưa xác định",DANH_MUC!$L$9&lt;&gt;"Có"),"Nguồn chưa xác định; ","")))</f>
        <v/>
      </c>
      <c r="V2138" s="22">
        <f>IF(OR($D2138="",$R2138="Trùng"),"",IF(COUNTIF(ORDERS!$C$2:$C$4995,$D2138)&gt;0,"Có","Không"))</f>
        <v/>
      </c>
      <c r="W2138" s="22">
        <f>IF(OR($D2138="",$R2138="Trùng"),"",COUNTIFS(ORDERS!$C$2:$C$4995,$D2138,ORDERS!$L$2:$L$4995,"Đã chuyển khoản"))</f>
        <v/>
      </c>
      <c r="X2138" s="23">
        <f>IF(OR($D2138="",$R2138="Trùng"),"",SUMIFS(ORDERS!$J$2:$J$4995,ORDERS!$C$2:$C$4995,$D2138,ORDERS!$L$2:$L$4995,"Đã chuyển khoản"))</f>
        <v/>
      </c>
      <c r="Y2138" s="24" t="n"/>
    </row>
    <row r="2139" ht="14.25" customHeight="1" s="40">
      <c r="A2139" s="24" t="n"/>
      <c r="B2139" s="27" t="n"/>
      <c r="C2139" s="24" t="n"/>
      <c r="D2139" s="28" t="n"/>
      <c r="E2139" s="29" t="n"/>
      <c r="F2139" s="24" t="n"/>
      <c r="G2139" s="24" t="n"/>
      <c r="H2139" s="21">
        <f>IF(ISNUMBER($B2139),INT($B2139)-WEEKDAY($B2139,2)+1,"")</f>
        <v/>
      </c>
      <c r="I2139" s="24" t="n"/>
      <c r="J2139" s="22">
        <f t="array" ref="J2139">IF($D2139="","",IF($I2139="","(trống REF)",IFERROR(INDEX(MASTER_SOURCE!$B$2:$B$495,MATCH($I2139,MASTER_SOURCE!$A$2:$A$495,0)),"(REF không có trong MASTER_SOURCE)")))</f>
        <v/>
      </c>
      <c r="K2139" s="22">
        <f t="array" ref="K2139">IF($D2139="","",IFERROR(INDEX(MASTER_SOURCE!$C$2:$C$495,MATCH($I2139,MASTER_SOURCE!$A$2:$A$495,0)),""))</f>
        <v/>
      </c>
      <c r="L2139" s="22">
        <f t="array" ref="L2139">IF($D2139="","",IFERROR(INDEX(MASTER_SOURCE!$D$2:$D$495,MATCH($I2139,MASTER_SOURCE!$A$2:$A$495,0)),""))</f>
        <v/>
      </c>
      <c r="M2139" s="24" t="n"/>
      <c r="N2139" s="24" t="n"/>
      <c r="O2139" s="24" t="n"/>
      <c r="P2139" s="24" t="n"/>
      <c r="Q2139" s="22">
        <f>IF($D2139="","",IF(AND(OR(DANH_MUC!$L$5&lt;&gt;"Có",M2139="Có"),OR(DANH_MUC!$L$6&lt;&gt;"Có",N2139="Có"),OR(DANH_MUC!$L$7&lt;&gt;"Có",O2139="Có"),OR(DANH_MUC!$L$8&lt;&gt;"Có",P2139="Có")),"Có","Không"))</f>
        <v/>
      </c>
      <c r="R2139" s="22">
        <f>IF($D2139="","",IF(COUNTIF($D$2:$D2139,$D2139)&gt;1,"Trùng",""))</f>
        <v/>
      </c>
      <c r="S2139" s="22">
        <f>IF($D2139="","",IF(AND(LEN($D2139)=10,LEFT($D2139,1)="0",ISNUMBER(--$D2139)),"Có","Không"))</f>
        <v/>
      </c>
      <c r="T2139" s="22">
        <f>IF($D2139="","",IF(AND($C2139&lt;&gt;"",$Q2139="Có",$R2139="",$S2139="Có",AND($L2139&lt;&gt;"",OR($L2139&lt;&gt;"Chưa xác định",DANH_MUC!$L$9="Có"))),"Có","Không"))</f>
        <v/>
      </c>
      <c r="U2139" s="22">
        <f>IF(OR($D2139="",$T2139="Có"),"",IF($C2139="","Thiếu họ tên; ","")&amp;IF($S2139&lt;&gt;"Có","SĐT sai định dạng; ","")&amp;IF($R2139="Trùng","Trùng SĐT; ","")&amp;IF($Q2139&lt;&gt;"Có","Thiếu đồng ý bắt buộc; ","")&amp;IF($L2139="","Thiếu/sai Mã REF; ",IF(AND($L2139="Chưa xác định",DANH_MUC!$L$9&lt;&gt;"Có"),"Nguồn chưa xác định; ","")))</f>
        <v/>
      </c>
      <c r="V2139" s="22">
        <f>IF(OR($D2139="",$R2139="Trùng"),"",IF(COUNTIF(ORDERS!$C$2:$C$4995,$D2139)&gt;0,"Có","Không"))</f>
        <v/>
      </c>
      <c r="W2139" s="22">
        <f>IF(OR($D2139="",$R2139="Trùng"),"",COUNTIFS(ORDERS!$C$2:$C$4995,$D2139,ORDERS!$L$2:$L$4995,"Đã chuyển khoản"))</f>
        <v/>
      </c>
      <c r="X2139" s="23">
        <f>IF(OR($D2139="",$R2139="Trùng"),"",SUMIFS(ORDERS!$J$2:$J$4995,ORDERS!$C$2:$C$4995,$D2139,ORDERS!$L$2:$L$4995,"Đã chuyển khoản"))</f>
        <v/>
      </c>
      <c r="Y2139" s="24" t="n"/>
    </row>
    <row r="2140" ht="14.25" customHeight="1" s="40">
      <c r="A2140" s="24" t="n"/>
      <c r="B2140" s="27" t="n"/>
      <c r="C2140" s="24" t="n"/>
      <c r="D2140" s="28" t="n"/>
      <c r="E2140" s="29" t="n"/>
      <c r="F2140" s="24" t="n"/>
      <c r="G2140" s="24" t="n"/>
      <c r="H2140" s="21">
        <f>IF(ISNUMBER($B2140),INT($B2140)-WEEKDAY($B2140,2)+1,"")</f>
        <v/>
      </c>
      <c r="I2140" s="24" t="n"/>
      <c r="J2140" s="22">
        <f t="array" ref="J2140">IF($D2140="","",IF($I2140="","(trống REF)",IFERROR(INDEX(MASTER_SOURCE!$B$2:$B$495,MATCH($I2140,MASTER_SOURCE!$A$2:$A$495,0)),"(REF không có trong MASTER_SOURCE)")))</f>
        <v/>
      </c>
      <c r="K2140" s="22">
        <f t="array" ref="K2140">IF($D2140="","",IFERROR(INDEX(MASTER_SOURCE!$C$2:$C$495,MATCH($I2140,MASTER_SOURCE!$A$2:$A$495,0)),""))</f>
        <v/>
      </c>
      <c r="L2140" s="22">
        <f t="array" ref="L2140">IF($D2140="","",IFERROR(INDEX(MASTER_SOURCE!$D$2:$D$495,MATCH($I2140,MASTER_SOURCE!$A$2:$A$495,0)),""))</f>
        <v/>
      </c>
      <c r="M2140" s="24" t="n"/>
      <c r="N2140" s="24" t="n"/>
      <c r="O2140" s="24" t="n"/>
      <c r="P2140" s="24" t="n"/>
      <c r="Q2140" s="22">
        <f>IF($D2140="","",IF(AND(OR(DANH_MUC!$L$5&lt;&gt;"Có",M2140="Có"),OR(DANH_MUC!$L$6&lt;&gt;"Có",N2140="Có"),OR(DANH_MUC!$L$7&lt;&gt;"Có",O2140="Có"),OR(DANH_MUC!$L$8&lt;&gt;"Có",P2140="Có")),"Có","Không"))</f>
        <v/>
      </c>
      <c r="R2140" s="22">
        <f>IF($D2140="","",IF(COUNTIF($D$2:$D2140,$D2140)&gt;1,"Trùng",""))</f>
        <v/>
      </c>
      <c r="S2140" s="22">
        <f>IF($D2140="","",IF(AND(LEN($D2140)=10,LEFT($D2140,1)="0",ISNUMBER(--$D2140)),"Có","Không"))</f>
        <v/>
      </c>
      <c r="T2140" s="22">
        <f>IF($D2140="","",IF(AND($C2140&lt;&gt;"",$Q2140="Có",$R2140="",$S2140="Có",AND($L2140&lt;&gt;"",OR($L2140&lt;&gt;"Chưa xác định",DANH_MUC!$L$9="Có"))),"Có","Không"))</f>
        <v/>
      </c>
      <c r="U2140" s="22">
        <f>IF(OR($D2140="",$T2140="Có"),"",IF($C2140="","Thiếu họ tên; ","")&amp;IF($S2140&lt;&gt;"Có","SĐT sai định dạng; ","")&amp;IF($R2140="Trùng","Trùng SĐT; ","")&amp;IF($Q2140&lt;&gt;"Có","Thiếu đồng ý bắt buộc; ","")&amp;IF($L2140="","Thiếu/sai Mã REF; ",IF(AND($L2140="Chưa xác định",DANH_MUC!$L$9&lt;&gt;"Có"),"Nguồn chưa xác định; ","")))</f>
        <v/>
      </c>
      <c r="V2140" s="22">
        <f>IF(OR($D2140="",$R2140="Trùng"),"",IF(COUNTIF(ORDERS!$C$2:$C$4995,$D2140)&gt;0,"Có","Không"))</f>
        <v/>
      </c>
      <c r="W2140" s="22">
        <f>IF(OR($D2140="",$R2140="Trùng"),"",COUNTIFS(ORDERS!$C$2:$C$4995,$D2140,ORDERS!$L$2:$L$4995,"Đã chuyển khoản"))</f>
        <v/>
      </c>
      <c r="X2140" s="23">
        <f>IF(OR($D2140="",$R2140="Trùng"),"",SUMIFS(ORDERS!$J$2:$J$4995,ORDERS!$C$2:$C$4995,$D2140,ORDERS!$L$2:$L$4995,"Đã chuyển khoản"))</f>
        <v/>
      </c>
      <c r="Y2140" s="24" t="n"/>
    </row>
    <row r="2141" ht="14.25" customHeight="1" s="40">
      <c r="A2141" s="24" t="n"/>
      <c r="B2141" s="27" t="n"/>
      <c r="C2141" s="24" t="n"/>
      <c r="D2141" s="28" t="n"/>
      <c r="E2141" s="29" t="n"/>
      <c r="F2141" s="24" t="n"/>
      <c r="G2141" s="24" t="n"/>
      <c r="H2141" s="21">
        <f>IF(ISNUMBER($B2141),INT($B2141)-WEEKDAY($B2141,2)+1,"")</f>
        <v/>
      </c>
      <c r="I2141" s="24" t="n"/>
      <c r="J2141" s="22">
        <f t="array" ref="J2141">IF($D2141="","",IF($I2141="","(trống REF)",IFERROR(INDEX(MASTER_SOURCE!$B$2:$B$495,MATCH($I2141,MASTER_SOURCE!$A$2:$A$495,0)),"(REF không có trong MASTER_SOURCE)")))</f>
        <v/>
      </c>
      <c r="K2141" s="22">
        <f t="array" ref="K2141">IF($D2141="","",IFERROR(INDEX(MASTER_SOURCE!$C$2:$C$495,MATCH($I2141,MASTER_SOURCE!$A$2:$A$495,0)),""))</f>
        <v/>
      </c>
      <c r="L2141" s="22">
        <f t="array" ref="L2141">IF($D2141="","",IFERROR(INDEX(MASTER_SOURCE!$D$2:$D$495,MATCH($I2141,MASTER_SOURCE!$A$2:$A$495,0)),""))</f>
        <v/>
      </c>
      <c r="M2141" s="24" t="n"/>
      <c r="N2141" s="24" t="n"/>
      <c r="O2141" s="24" t="n"/>
      <c r="P2141" s="24" t="n"/>
      <c r="Q2141" s="22">
        <f>IF($D2141="","",IF(AND(OR(DANH_MUC!$L$5&lt;&gt;"Có",M2141="Có"),OR(DANH_MUC!$L$6&lt;&gt;"Có",N2141="Có"),OR(DANH_MUC!$L$7&lt;&gt;"Có",O2141="Có"),OR(DANH_MUC!$L$8&lt;&gt;"Có",P2141="Có")),"Có","Không"))</f>
        <v/>
      </c>
      <c r="R2141" s="22">
        <f>IF($D2141="","",IF(COUNTIF($D$2:$D2141,$D2141)&gt;1,"Trùng",""))</f>
        <v/>
      </c>
      <c r="S2141" s="22">
        <f>IF($D2141="","",IF(AND(LEN($D2141)=10,LEFT($D2141,1)="0",ISNUMBER(--$D2141)),"Có","Không"))</f>
        <v/>
      </c>
      <c r="T2141" s="22">
        <f>IF($D2141="","",IF(AND($C2141&lt;&gt;"",$Q2141="Có",$R2141="",$S2141="Có",AND($L2141&lt;&gt;"",OR($L2141&lt;&gt;"Chưa xác định",DANH_MUC!$L$9="Có"))),"Có","Không"))</f>
        <v/>
      </c>
      <c r="U2141" s="22">
        <f>IF(OR($D2141="",$T2141="Có"),"",IF($C2141="","Thiếu họ tên; ","")&amp;IF($S2141&lt;&gt;"Có","SĐT sai định dạng; ","")&amp;IF($R2141="Trùng","Trùng SĐT; ","")&amp;IF($Q2141&lt;&gt;"Có","Thiếu đồng ý bắt buộc; ","")&amp;IF($L2141="","Thiếu/sai Mã REF; ",IF(AND($L2141="Chưa xác định",DANH_MUC!$L$9&lt;&gt;"Có"),"Nguồn chưa xác định; ","")))</f>
        <v/>
      </c>
      <c r="V2141" s="22">
        <f>IF(OR($D2141="",$R2141="Trùng"),"",IF(COUNTIF(ORDERS!$C$2:$C$4995,$D2141)&gt;0,"Có","Không"))</f>
        <v/>
      </c>
      <c r="W2141" s="22">
        <f>IF(OR($D2141="",$R2141="Trùng"),"",COUNTIFS(ORDERS!$C$2:$C$4995,$D2141,ORDERS!$L$2:$L$4995,"Đã chuyển khoản"))</f>
        <v/>
      </c>
      <c r="X2141" s="23">
        <f>IF(OR($D2141="",$R2141="Trùng"),"",SUMIFS(ORDERS!$J$2:$J$4995,ORDERS!$C$2:$C$4995,$D2141,ORDERS!$L$2:$L$4995,"Đã chuyển khoản"))</f>
        <v/>
      </c>
      <c r="Y2141" s="24" t="n"/>
    </row>
    <row r="2142" ht="14.25" customHeight="1" s="40">
      <c r="A2142" s="24" t="n"/>
      <c r="B2142" s="27" t="n"/>
      <c r="C2142" s="24" t="n"/>
      <c r="D2142" s="28" t="n"/>
      <c r="E2142" s="29" t="n"/>
      <c r="F2142" s="24" t="n"/>
      <c r="G2142" s="24" t="n"/>
      <c r="H2142" s="21">
        <f>IF(ISNUMBER($B2142),INT($B2142)-WEEKDAY($B2142,2)+1,"")</f>
        <v/>
      </c>
      <c r="I2142" s="24" t="n"/>
      <c r="J2142" s="22">
        <f t="array" ref="J2142">IF($D2142="","",IF($I2142="","(trống REF)",IFERROR(INDEX(MASTER_SOURCE!$B$2:$B$495,MATCH($I2142,MASTER_SOURCE!$A$2:$A$495,0)),"(REF không có trong MASTER_SOURCE)")))</f>
        <v/>
      </c>
      <c r="K2142" s="22">
        <f t="array" ref="K2142">IF($D2142="","",IFERROR(INDEX(MASTER_SOURCE!$C$2:$C$495,MATCH($I2142,MASTER_SOURCE!$A$2:$A$495,0)),""))</f>
        <v/>
      </c>
      <c r="L2142" s="22">
        <f t="array" ref="L2142">IF($D2142="","",IFERROR(INDEX(MASTER_SOURCE!$D$2:$D$495,MATCH($I2142,MASTER_SOURCE!$A$2:$A$495,0)),""))</f>
        <v/>
      </c>
      <c r="M2142" s="24" t="n"/>
      <c r="N2142" s="24" t="n"/>
      <c r="O2142" s="24" t="n"/>
      <c r="P2142" s="24" t="n"/>
      <c r="Q2142" s="22">
        <f>IF($D2142="","",IF(AND(OR(DANH_MUC!$L$5&lt;&gt;"Có",M2142="Có"),OR(DANH_MUC!$L$6&lt;&gt;"Có",N2142="Có"),OR(DANH_MUC!$L$7&lt;&gt;"Có",O2142="Có"),OR(DANH_MUC!$L$8&lt;&gt;"Có",P2142="Có")),"Có","Không"))</f>
        <v/>
      </c>
      <c r="R2142" s="22">
        <f>IF($D2142="","",IF(COUNTIF($D$2:$D2142,$D2142)&gt;1,"Trùng",""))</f>
        <v/>
      </c>
      <c r="S2142" s="22">
        <f>IF($D2142="","",IF(AND(LEN($D2142)=10,LEFT($D2142,1)="0",ISNUMBER(--$D2142)),"Có","Không"))</f>
        <v/>
      </c>
      <c r="T2142" s="22">
        <f>IF($D2142="","",IF(AND($C2142&lt;&gt;"",$Q2142="Có",$R2142="",$S2142="Có",AND($L2142&lt;&gt;"",OR($L2142&lt;&gt;"Chưa xác định",DANH_MUC!$L$9="Có"))),"Có","Không"))</f>
        <v/>
      </c>
      <c r="U2142" s="22">
        <f>IF(OR($D2142="",$T2142="Có"),"",IF($C2142="","Thiếu họ tên; ","")&amp;IF($S2142&lt;&gt;"Có","SĐT sai định dạng; ","")&amp;IF($R2142="Trùng","Trùng SĐT; ","")&amp;IF($Q2142&lt;&gt;"Có","Thiếu đồng ý bắt buộc; ","")&amp;IF($L2142="","Thiếu/sai Mã REF; ",IF(AND($L2142="Chưa xác định",DANH_MUC!$L$9&lt;&gt;"Có"),"Nguồn chưa xác định; ","")))</f>
        <v/>
      </c>
      <c r="V2142" s="22">
        <f>IF(OR($D2142="",$R2142="Trùng"),"",IF(COUNTIF(ORDERS!$C$2:$C$4995,$D2142)&gt;0,"Có","Không"))</f>
        <v/>
      </c>
      <c r="W2142" s="22">
        <f>IF(OR($D2142="",$R2142="Trùng"),"",COUNTIFS(ORDERS!$C$2:$C$4995,$D2142,ORDERS!$L$2:$L$4995,"Đã chuyển khoản"))</f>
        <v/>
      </c>
      <c r="X2142" s="23">
        <f>IF(OR($D2142="",$R2142="Trùng"),"",SUMIFS(ORDERS!$J$2:$J$4995,ORDERS!$C$2:$C$4995,$D2142,ORDERS!$L$2:$L$4995,"Đã chuyển khoản"))</f>
        <v/>
      </c>
      <c r="Y2142" s="24" t="n"/>
    </row>
    <row r="2143" ht="14.25" customHeight="1" s="40">
      <c r="A2143" s="24" t="n"/>
      <c r="B2143" s="27" t="n"/>
      <c r="C2143" s="24" t="n"/>
      <c r="D2143" s="28" t="n"/>
      <c r="E2143" s="29" t="n"/>
      <c r="F2143" s="24" t="n"/>
      <c r="G2143" s="24" t="n"/>
      <c r="H2143" s="21">
        <f>IF(ISNUMBER($B2143),INT($B2143)-WEEKDAY($B2143,2)+1,"")</f>
        <v/>
      </c>
      <c r="I2143" s="24" t="n"/>
      <c r="J2143" s="22">
        <f t="array" ref="J2143">IF($D2143="","",IF($I2143="","(trống REF)",IFERROR(INDEX(MASTER_SOURCE!$B$2:$B$495,MATCH($I2143,MASTER_SOURCE!$A$2:$A$495,0)),"(REF không có trong MASTER_SOURCE)")))</f>
        <v/>
      </c>
      <c r="K2143" s="22">
        <f t="array" ref="K2143">IF($D2143="","",IFERROR(INDEX(MASTER_SOURCE!$C$2:$C$495,MATCH($I2143,MASTER_SOURCE!$A$2:$A$495,0)),""))</f>
        <v/>
      </c>
      <c r="L2143" s="22">
        <f t="array" ref="L2143">IF($D2143="","",IFERROR(INDEX(MASTER_SOURCE!$D$2:$D$495,MATCH($I2143,MASTER_SOURCE!$A$2:$A$495,0)),""))</f>
        <v/>
      </c>
      <c r="M2143" s="24" t="n"/>
      <c r="N2143" s="24" t="n"/>
      <c r="O2143" s="24" t="n"/>
      <c r="P2143" s="24" t="n"/>
      <c r="Q2143" s="22">
        <f>IF($D2143="","",IF(AND(OR(DANH_MUC!$L$5&lt;&gt;"Có",M2143="Có"),OR(DANH_MUC!$L$6&lt;&gt;"Có",N2143="Có"),OR(DANH_MUC!$L$7&lt;&gt;"Có",O2143="Có"),OR(DANH_MUC!$L$8&lt;&gt;"Có",P2143="Có")),"Có","Không"))</f>
        <v/>
      </c>
      <c r="R2143" s="22">
        <f>IF($D2143="","",IF(COUNTIF($D$2:$D2143,$D2143)&gt;1,"Trùng",""))</f>
        <v/>
      </c>
      <c r="S2143" s="22">
        <f>IF($D2143="","",IF(AND(LEN($D2143)=10,LEFT($D2143,1)="0",ISNUMBER(--$D2143)),"Có","Không"))</f>
        <v/>
      </c>
      <c r="T2143" s="22">
        <f>IF($D2143="","",IF(AND($C2143&lt;&gt;"",$Q2143="Có",$R2143="",$S2143="Có",AND($L2143&lt;&gt;"",OR($L2143&lt;&gt;"Chưa xác định",DANH_MUC!$L$9="Có"))),"Có","Không"))</f>
        <v/>
      </c>
      <c r="U2143" s="22">
        <f>IF(OR($D2143="",$T2143="Có"),"",IF($C2143="","Thiếu họ tên; ","")&amp;IF($S2143&lt;&gt;"Có","SĐT sai định dạng; ","")&amp;IF($R2143="Trùng","Trùng SĐT; ","")&amp;IF($Q2143&lt;&gt;"Có","Thiếu đồng ý bắt buộc; ","")&amp;IF($L2143="","Thiếu/sai Mã REF; ",IF(AND($L2143="Chưa xác định",DANH_MUC!$L$9&lt;&gt;"Có"),"Nguồn chưa xác định; ","")))</f>
        <v/>
      </c>
      <c r="V2143" s="22">
        <f>IF(OR($D2143="",$R2143="Trùng"),"",IF(COUNTIF(ORDERS!$C$2:$C$4995,$D2143)&gt;0,"Có","Không"))</f>
        <v/>
      </c>
      <c r="W2143" s="22">
        <f>IF(OR($D2143="",$R2143="Trùng"),"",COUNTIFS(ORDERS!$C$2:$C$4995,$D2143,ORDERS!$L$2:$L$4995,"Đã chuyển khoản"))</f>
        <v/>
      </c>
      <c r="X2143" s="23">
        <f>IF(OR($D2143="",$R2143="Trùng"),"",SUMIFS(ORDERS!$J$2:$J$4995,ORDERS!$C$2:$C$4995,$D2143,ORDERS!$L$2:$L$4995,"Đã chuyển khoản"))</f>
        <v/>
      </c>
      <c r="Y2143" s="24" t="n"/>
    </row>
    <row r="2144" ht="14.25" customHeight="1" s="40">
      <c r="A2144" s="24" t="n"/>
      <c r="B2144" s="27" t="n"/>
      <c r="C2144" s="24" t="n"/>
      <c r="D2144" s="28" t="n"/>
      <c r="E2144" s="29" t="n"/>
      <c r="F2144" s="24" t="n"/>
      <c r="G2144" s="24" t="n"/>
      <c r="H2144" s="21">
        <f>IF(ISNUMBER($B2144),INT($B2144)-WEEKDAY($B2144,2)+1,"")</f>
        <v/>
      </c>
      <c r="I2144" s="24" t="n"/>
      <c r="J2144" s="22">
        <f t="array" ref="J2144">IF($D2144="","",IF($I2144="","(trống REF)",IFERROR(INDEX(MASTER_SOURCE!$B$2:$B$495,MATCH($I2144,MASTER_SOURCE!$A$2:$A$495,0)),"(REF không có trong MASTER_SOURCE)")))</f>
        <v/>
      </c>
      <c r="K2144" s="22">
        <f t="array" ref="K2144">IF($D2144="","",IFERROR(INDEX(MASTER_SOURCE!$C$2:$C$495,MATCH($I2144,MASTER_SOURCE!$A$2:$A$495,0)),""))</f>
        <v/>
      </c>
      <c r="L2144" s="22">
        <f t="array" ref="L2144">IF($D2144="","",IFERROR(INDEX(MASTER_SOURCE!$D$2:$D$495,MATCH($I2144,MASTER_SOURCE!$A$2:$A$495,0)),""))</f>
        <v/>
      </c>
      <c r="M2144" s="24" t="n"/>
      <c r="N2144" s="24" t="n"/>
      <c r="O2144" s="24" t="n"/>
      <c r="P2144" s="24" t="n"/>
      <c r="Q2144" s="22">
        <f>IF($D2144="","",IF(AND(OR(DANH_MUC!$L$5&lt;&gt;"Có",M2144="Có"),OR(DANH_MUC!$L$6&lt;&gt;"Có",N2144="Có"),OR(DANH_MUC!$L$7&lt;&gt;"Có",O2144="Có"),OR(DANH_MUC!$L$8&lt;&gt;"Có",P2144="Có")),"Có","Không"))</f>
        <v/>
      </c>
      <c r="R2144" s="22">
        <f>IF($D2144="","",IF(COUNTIF($D$2:$D2144,$D2144)&gt;1,"Trùng",""))</f>
        <v/>
      </c>
      <c r="S2144" s="22">
        <f>IF($D2144="","",IF(AND(LEN($D2144)=10,LEFT($D2144,1)="0",ISNUMBER(--$D2144)),"Có","Không"))</f>
        <v/>
      </c>
      <c r="T2144" s="22">
        <f>IF($D2144="","",IF(AND($C2144&lt;&gt;"",$Q2144="Có",$R2144="",$S2144="Có",AND($L2144&lt;&gt;"",OR($L2144&lt;&gt;"Chưa xác định",DANH_MUC!$L$9="Có"))),"Có","Không"))</f>
        <v/>
      </c>
      <c r="U2144" s="22">
        <f>IF(OR($D2144="",$T2144="Có"),"",IF($C2144="","Thiếu họ tên; ","")&amp;IF($S2144&lt;&gt;"Có","SĐT sai định dạng; ","")&amp;IF($R2144="Trùng","Trùng SĐT; ","")&amp;IF($Q2144&lt;&gt;"Có","Thiếu đồng ý bắt buộc; ","")&amp;IF($L2144="","Thiếu/sai Mã REF; ",IF(AND($L2144="Chưa xác định",DANH_MUC!$L$9&lt;&gt;"Có"),"Nguồn chưa xác định; ","")))</f>
        <v/>
      </c>
      <c r="V2144" s="22">
        <f>IF(OR($D2144="",$R2144="Trùng"),"",IF(COUNTIF(ORDERS!$C$2:$C$4995,$D2144)&gt;0,"Có","Không"))</f>
        <v/>
      </c>
      <c r="W2144" s="22">
        <f>IF(OR($D2144="",$R2144="Trùng"),"",COUNTIFS(ORDERS!$C$2:$C$4995,$D2144,ORDERS!$L$2:$L$4995,"Đã chuyển khoản"))</f>
        <v/>
      </c>
      <c r="X2144" s="23">
        <f>IF(OR($D2144="",$R2144="Trùng"),"",SUMIFS(ORDERS!$J$2:$J$4995,ORDERS!$C$2:$C$4995,$D2144,ORDERS!$L$2:$L$4995,"Đã chuyển khoản"))</f>
        <v/>
      </c>
      <c r="Y2144" s="24" t="n"/>
    </row>
    <row r="2145" ht="14.25" customHeight="1" s="40">
      <c r="A2145" s="24" t="n"/>
      <c r="B2145" s="27" t="n"/>
      <c r="C2145" s="24" t="n"/>
      <c r="D2145" s="28" t="n"/>
      <c r="E2145" s="29" t="n"/>
      <c r="F2145" s="24" t="n"/>
      <c r="G2145" s="24" t="n"/>
      <c r="H2145" s="21">
        <f>IF(ISNUMBER($B2145),INT($B2145)-WEEKDAY($B2145,2)+1,"")</f>
        <v/>
      </c>
      <c r="I2145" s="24" t="n"/>
      <c r="J2145" s="22">
        <f t="array" ref="J2145">IF($D2145="","",IF($I2145="","(trống REF)",IFERROR(INDEX(MASTER_SOURCE!$B$2:$B$495,MATCH($I2145,MASTER_SOURCE!$A$2:$A$495,0)),"(REF không có trong MASTER_SOURCE)")))</f>
        <v/>
      </c>
      <c r="K2145" s="22">
        <f t="array" ref="K2145">IF($D2145="","",IFERROR(INDEX(MASTER_SOURCE!$C$2:$C$495,MATCH($I2145,MASTER_SOURCE!$A$2:$A$495,0)),""))</f>
        <v/>
      </c>
      <c r="L2145" s="22">
        <f t="array" ref="L2145">IF($D2145="","",IFERROR(INDEX(MASTER_SOURCE!$D$2:$D$495,MATCH($I2145,MASTER_SOURCE!$A$2:$A$495,0)),""))</f>
        <v/>
      </c>
      <c r="M2145" s="24" t="n"/>
      <c r="N2145" s="24" t="n"/>
      <c r="O2145" s="24" t="n"/>
      <c r="P2145" s="24" t="n"/>
      <c r="Q2145" s="22">
        <f>IF($D2145="","",IF(AND(OR(DANH_MUC!$L$5&lt;&gt;"Có",M2145="Có"),OR(DANH_MUC!$L$6&lt;&gt;"Có",N2145="Có"),OR(DANH_MUC!$L$7&lt;&gt;"Có",O2145="Có"),OR(DANH_MUC!$L$8&lt;&gt;"Có",P2145="Có")),"Có","Không"))</f>
        <v/>
      </c>
      <c r="R2145" s="22">
        <f>IF($D2145="","",IF(COUNTIF($D$2:$D2145,$D2145)&gt;1,"Trùng",""))</f>
        <v/>
      </c>
      <c r="S2145" s="22">
        <f>IF($D2145="","",IF(AND(LEN($D2145)=10,LEFT($D2145,1)="0",ISNUMBER(--$D2145)),"Có","Không"))</f>
        <v/>
      </c>
      <c r="T2145" s="22">
        <f>IF($D2145="","",IF(AND($C2145&lt;&gt;"",$Q2145="Có",$R2145="",$S2145="Có",AND($L2145&lt;&gt;"",OR($L2145&lt;&gt;"Chưa xác định",DANH_MUC!$L$9="Có"))),"Có","Không"))</f>
        <v/>
      </c>
      <c r="U2145" s="22">
        <f>IF(OR($D2145="",$T2145="Có"),"",IF($C2145="","Thiếu họ tên; ","")&amp;IF($S2145&lt;&gt;"Có","SĐT sai định dạng; ","")&amp;IF($R2145="Trùng","Trùng SĐT; ","")&amp;IF($Q2145&lt;&gt;"Có","Thiếu đồng ý bắt buộc; ","")&amp;IF($L2145="","Thiếu/sai Mã REF; ",IF(AND($L2145="Chưa xác định",DANH_MUC!$L$9&lt;&gt;"Có"),"Nguồn chưa xác định; ","")))</f>
        <v/>
      </c>
      <c r="V2145" s="22">
        <f>IF(OR($D2145="",$R2145="Trùng"),"",IF(COUNTIF(ORDERS!$C$2:$C$4995,$D2145)&gt;0,"Có","Không"))</f>
        <v/>
      </c>
      <c r="W2145" s="22">
        <f>IF(OR($D2145="",$R2145="Trùng"),"",COUNTIFS(ORDERS!$C$2:$C$4995,$D2145,ORDERS!$L$2:$L$4995,"Đã chuyển khoản"))</f>
        <v/>
      </c>
      <c r="X2145" s="23">
        <f>IF(OR($D2145="",$R2145="Trùng"),"",SUMIFS(ORDERS!$J$2:$J$4995,ORDERS!$C$2:$C$4995,$D2145,ORDERS!$L$2:$L$4995,"Đã chuyển khoản"))</f>
        <v/>
      </c>
      <c r="Y2145" s="24" t="n"/>
    </row>
    <row r="2146" ht="14.25" customHeight="1" s="40">
      <c r="A2146" s="24" t="n"/>
      <c r="B2146" s="27" t="n"/>
      <c r="C2146" s="24" t="n"/>
      <c r="D2146" s="28" t="n"/>
      <c r="E2146" s="29" t="n"/>
      <c r="F2146" s="24" t="n"/>
      <c r="G2146" s="24" t="n"/>
      <c r="H2146" s="21">
        <f>IF(ISNUMBER($B2146),INT($B2146)-WEEKDAY($B2146,2)+1,"")</f>
        <v/>
      </c>
      <c r="I2146" s="24" t="n"/>
      <c r="J2146" s="22">
        <f t="array" ref="J2146">IF($D2146="","",IF($I2146="","(trống REF)",IFERROR(INDEX(MASTER_SOURCE!$B$2:$B$495,MATCH($I2146,MASTER_SOURCE!$A$2:$A$495,0)),"(REF không có trong MASTER_SOURCE)")))</f>
        <v/>
      </c>
      <c r="K2146" s="22">
        <f t="array" ref="K2146">IF($D2146="","",IFERROR(INDEX(MASTER_SOURCE!$C$2:$C$495,MATCH($I2146,MASTER_SOURCE!$A$2:$A$495,0)),""))</f>
        <v/>
      </c>
      <c r="L2146" s="22">
        <f t="array" ref="L2146">IF($D2146="","",IFERROR(INDEX(MASTER_SOURCE!$D$2:$D$495,MATCH($I2146,MASTER_SOURCE!$A$2:$A$495,0)),""))</f>
        <v/>
      </c>
      <c r="M2146" s="24" t="n"/>
      <c r="N2146" s="24" t="n"/>
      <c r="O2146" s="24" t="n"/>
      <c r="P2146" s="24" t="n"/>
      <c r="Q2146" s="22">
        <f>IF($D2146="","",IF(AND(OR(DANH_MUC!$L$5&lt;&gt;"Có",M2146="Có"),OR(DANH_MUC!$L$6&lt;&gt;"Có",N2146="Có"),OR(DANH_MUC!$L$7&lt;&gt;"Có",O2146="Có"),OR(DANH_MUC!$L$8&lt;&gt;"Có",P2146="Có")),"Có","Không"))</f>
        <v/>
      </c>
      <c r="R2146" s="22">
        <f>IF($D2146="","",IF(COUNTIF($D$2:$D2146,$D2146)&gt;1,"Trùng",""))</f>
        <v/>
      </c>
      <c r="S2146" s="22">
        <f>IF($D2146="","",IF(AND(LEN($D2146)=10,LEFT($D2146,1)="0",ISNUMBER(--$D2146)),"Có","Không"))</f>
        <v/>
      </c>
      <c r="T2146" s="22">
        <f>IF($D2146="","",IF(AND($C2146&lt;&gt;"",$Q2146="Có",$R2146="",$S2146="Có",AND($L2146&lt;&gt;"",OR($L2146&lt;&gt;"Chưa xác định",DANH_MUC!$L$9="Có"))),"Có","Không"))</f>
        <v/>
      </c>
      <c r="U2146" s="22">
        <f>IF(OR($D2146="",$T2146="Có"),"",IF($C2146="","Thiếu họ tên; ","")&amp;IF($S2146&lt;&gt;"Có","SĐT sai định dạng; ","")&amp;IF($R2146="Trùng","Trùng SĐT; ","")&amp;IF($Q2146&lt;&gt;"Có","Thiếu đồng ý bắt buộc; ","")&amp;IF($L2146="","Thiếu/sai Mã REF; ",IF(AND($L2146="Chưa xác định",DANH_MUC!$L$9&lt;&gt;"Có"),"Nguồn chưa xác định; ","")))</f>
        <v/>
      </c>
      <c r="V2146" s="22">
        <f>IF(OR($D2146="",$R2146="Trùng"),"",IF(COUNTIF(ORDERS!$C$2:$C$4995,$D2146)&gt;0,"Có","Không"))</f>
        <v/>
      </c>
      <c r="W2146" s="22">
        <f>IF(OR($D2146="",$R2146="Trùng"),"",COUNTIFS(ORDERS!$C$2:$C$4995,$D2146,ORDERS!$L$2:$L$4995,"Đã chuyển khoản"))</f>
        <v/>
      </c>
      <c r="X2146" s="23">
        <f>IF(OR($D2146="",$R2146="Trùng"),"",SUMIFS(ORDERS!$J$2:$J$4995,ORDERS!$C$2:$C$4995,$D2146,ORDERS!$L$2:$L$4995,"Đã chuyển khoản"))</f>
        <v/>
      </c>
      <c r="Y2146" s="24" t="n"/>
    </row>
    <row r="2147" ht="14.25" customHeight="1" s="40">
      <c r="A2147" s="24" t="n"/>
      <c r="B2147" s="27" t="n"/>
      <c r="C2147" s="24" t="n"/>
      <c r="D2147" s="28" t="n"/>
      <c r="E2147" s="29" t="n"/>
      <c r="F2147" s="24" t="n"/>
      <c r="G2147" s="24" t="n"/>
      <c r="H2147" s="21">
        <f>IF(ISNUMBER($B2147),INT($B2147)-WEEKDAY($B2147,2)+1,"")</f>
        <v/>
      </c>
      <c r="I2147" s="24" t="n"/>
      <c r="J2147" s="22">
        <f t="array" ref="J2147">IF($D2147="","",IF($I2147="","(trống REF)",IFERROR(INDEX(MASTER_SOURCE!$B$2:$B$495,MATCH($I2147,MASTER_SOURCE!$A$2:$A$495,0)),"(REF không có trong MASTER_SOURCE)")))</f>
        <v/>
      </c>
      <c r="K2147" s="22">
        <f t="array" ref="K2147">IF($D2147="","",IFERROR(INDEX(MASTER_SOURCE!$C$2:$C$495,MATCH($I2147,MASTER_SOURCE!$A$2:$A$495,0)),""))</f>
        <v/>
      </c>
      <c r="L2147" s="22">
        <f t="array" ref="L2147">IF($D2147="","",IFERROR(INDEX(MASTER_SOURCE!$D$2:$D$495,MATCH($I2147,MASTER_SOURCE!$A$2:$A$495,0)),""))</f>
        <v/>
      </c>
      <c r="M2147" s="24" t="n"/>
      <c r="N2147" s="24" t="n"/>
      <c r="O2147" s="24" t="n"/>
      <c r="P2147" s="24" t="n"/>
      <c r="Q2147" s="22">
        <f>IF($D2147="","",IF(AND(OR(DANH_MUC!$L$5&lt;&gt;"Có",M2147="Có"),OR(DANH_MUC!$L$6&lt;&gt;"Có",N2147="Có"),OR(DANH_MUC!$L$7&lt;&gt;"Có",O2147="Có"),OR(DANH_MUC!$L$8&lt;&gt;"Có",P2147="Có")),"Có","Không"))</f>
        <v/>
      </c>
      <c r="R2147" s="22">
        <f>IF($D2147="","",IF(COUNTIF($D$2:$D2147,$D2147)&gt;1,"Trùng",""))</f>
        <v/>
      </c>
      <c r="S2147" s="22">
        <f>IF($D2147="","",IF(AND(LEN($D2147)=10,LEFT($D2147,1)="0",ISNUMBER(--$D2147)),"Có","Không"))</f>
        <v/>
      </c>
      <c r="T2147" s="22">
        <f>IF($D2147="","",IF(AND($C2147&lt;&gt;"",$Q2147="Có",$R2147="",$S2147="Có",AND($L2147&lt;&gt;"",OR($L2147&lt;&gt;"Chưa xác định",DANH_MUC!$L$9="Có"))),"Có","Không"))</f>
        <v/>
      </c>
      <c r="U2147" s="22">
        <f>IF(OR($D2147="",$T2147="Có"),"",IF($C2147="","Thiếu họ tên; ","")&amp;IF($S2147&lt;&gt;"Có","SĐT sai định dạng; ","")&amp;IF($R2147="Trùng","Trùng SĐT; ","")&amp;IF($Q2147&lt;&gt;"Có","Thiếu đồng ý bắt buộc; ","")&amp;IF($L2147="","Thiếu/sai Mã REF; ",IF(AND($L2147="Chưa xác định",DANH_MUC!$L$9&lt;&gt;"Có"),"Nguồn chưa xác định; ","")))</f>
        <v/>
      </c>
      <c r="V2147" s="22">
        <f>IF(OR($D2147="",$R2147="Trùng"),"",IF(COUNTIF(ORDERS!$C$2:$C$4995,$D2147)&gt;0,"Có","Không"))</f>
        <v/>
      </c>
      <c r="W2147" s="22">
        <f>IF(OR($D2147="",$R2147="Trùng"),"",COUNTIFS(ORDERS!$C$2:$C$4995,$D2147,ORDERS!$L$2:$L$4995,"Đã chuyển khoản"))</f>
        <v/>
      </c>
      <c r="X2147" s="23">
        <f>IF(OR($D2147="",$R2147="Trùng"),"",SUMIFS(ORDERS!$J$2:$J$4995,ORDERS!$C$2:$C$4995,$D2147,ORDERS!$L$2:$L$4995,"Đã chuyển khoản"))</f>
        <v/>
      </c>
      <c r="Y2147" s="24" t="n"/>
    </row>
    <row r="2148" ht="14.25" customHeight="1" s="40">
      <c r="A2148" s="24" t="n"/>
      <c r="B2148" s="27" t="n"/>
      <c r="C2148" s="24" t="n"/>
      <c r="D2148" s="28" t="n"/>
      <c r="E2148" s="29" t="n"/>
      <c r="F2148" s="24" t="n"/>
      <c r="G2148" s="24" t="n"/>
      <c r="H2148" s="21">
        <f>IF(ISNUMBER($B2148),INT($B2148)-WEEKDAY($B2148,2)+1,"")</f>
        <v/>
      </c>
      <c r="I2148" s="24" t="n"/>
      <c r="J2148" s="22">
        <f t="array" ref="J2148">IF($D2148="","",IF($I2148="","(trống REF)",IFERROR(INDEX(MASTER_SOURCE!$B$2:$B$495,MATCH($I2148,MASTER_SOURCE!$A$2:$A$495,0)),"(REF không có trong MASTER_SOURCE)")))</f>
        <v/>
      </c>
      <c r="K2148" s="22">
        <f t="array" ref="K2148">IF($D2148="","",IFERROR(INDEX(MASTER_SOURCE!$C$2:$C$495,MATCH($I2148,MASTER_SOURCE!$A$2:$A$495,0)),""))</f>
        <v/>
      </c>
      <c r="L2148" s="22">
        <f t="array" ref="L2148">IF($D2148="","",IFERROR(INDEX(MASTER_SOURCE!$D$2:$D$495,MATCH($I2148,MASTER_SOURCE!$A$2:$A$495,0)),""))</f>
        <v/>
      </c>
      <c r="M2148" s="24" t="n"/>
      <c r="N2148" s="24" t="n"/>
      <c r="O2148" s="24" t="n"/>
      <c r="P2148" s="24" t="n"/>
      <c r="Q2148" s="22">
        <f>IF($D2148="","",IF(AND(OR(DANH_MUC!$L$5&lt;&gt;"Có",M2148="Có"),OR(DANH_MUC!$L$6&lt;&gt;"Có",N2148="Có"),OR(DANH_MUC!$L$7&lt;&gt;"Có",O2148="Có"),OR(DANH_MUC!$L$8&lt;&gt;"Có",P2148="Có")),"Có","Không"))</f>
        <v/>
      </c>
      <c r="R2148" s="22">
        <f>IF($D2148="","",IF(COUNTIF($D$2:$D2148,$D2148)&gt;1,"Trùng",""))</f>
        <v/>
      </c>
      <c r="S2148" s="22">
        <f>IF($D2148="","",IF(AND(LEN($D2148)=10,LEFT($D2148,1)="0",ISNUMBER(--$D2148)),"Có","Không"))</f>
        <v/>
      </c>
      <c r="T2148" s="22">
        <f>IF($D2148="","",IF(AND($C2148&lt;&gt;"",$Q2148="Có",$R2148="",$S2148="Có",AND($L2148&lt;&gt;"",OR($L2148&lt;&gt;"Chưa xác định",DANH_MUC!$L$9="Có"))),"Có","Không"))</f>
        <v/>
      </c>
      <c r="U2148" s="22">
        <f>IF(OR($D2148="",$T2148="Có"),"",IF($C2148="","Thiếu họ tên; ","")&amp;IF($S2148&lt;&gt;"Có","SĐT sai định dạng; ","")&amp;IF($R2148="Trùng","Trùng SĐT; ","")&amp;IF($Q2148&lt;&gt;"Có","Thiếu đồng ý bắt buộc; ","")&amp;IF($L2148="","Thiếu/sai Mã REF; ",IF(AND($L2148="Chưa xác định",DANH_MUC!$L$9&lt;&gt;"Có"),"Nguồn chưa xác định; ","")))</f>
        <v/>
      </c>
      <c r="V2148" s="22">
        <f>IF(OR($D2148="",$R2148="Trùng"),"",IF(COUNTIF(ORDERS!$C$2:$C$4995,$D2148)&gt;0,"Có","Không"))</f>
        <v/>
      </c>
      <c r="W2148" s="22">
        <f>IF(OR($D2148="",$R2148="Trùng"),"",COUNTIFS(ORDERS!$C$2:$C$4995,$D2148,ORDERS!$L$2:$L$4995,"Đã chuyển khoản"))</f>
        <v/>
      </c>
      <c r="X2148" s="23">
        <f>IF(OR($D2148="",$R2148="Trùng"),"",SUMIFS(ORDERS!$J$2:$J$4995,ORDERS!$C$2:$C$4995,$D2148,ORDERS!$L$2:$L$4995,"Đã chuyển khoản"))</f>
        <v/>
      </c>
      <c r="Y2148" s="24" t="n"/>
    </row>
    <row r="2149" ht="14.25" customHeight="1" s="40">
      <c r="A2149" s="24" t="n"/>
      <c r="B2149" s="27" t="n"/>
      <c r="C2149" s="24" t="n"/>
      <c r="D2149" s="28" t="n"/>
      <c r="E2149" s="29" t="n"/>
      <c r="F2149" s="24" t="n"/>
      <c r="G2149" s="24" t="n"/>
      <c r="H2149" s="21">
        <f>IF(ISNUMBER($B2149),INT($B2149)-WEEKDAY($B2149,2)+1,"")</f>
        <v/>
      </c>
      <c r="I2149" s="24" t="n"/>
      <c r="J2149" s="22">
        <f t="array" ref="J2149">IF($D2149="","",IF($I2149="","(trống REF)",IFERROR(INDEX(MASTER_SOURCE!$B$2:$B$495,MATCH($I2149,MASTER_SOURCE!$A$2:$A$495,0)),"(REF không có trong MASTER_SOURCE)")))</f>
        <v/>
      </c>
      <c r="K2149" s="22">
        <f t="array" ref="K2149">IF($D2149="","",IFERROR(INDEX(MASTER_SOURCE!$C$2:$C$495,MATCH($I2149,MASTER_SOURCE!$A$2:$A$495,0)),""))</f>
        <v/>
      </c>
      <c r="L2149" s="22">
        <f t="array" ref="L2149">IF($D2149="","",IFERROR(INDEX(MASTER_SOURCE!$D$2:$D$495,MATCH($I2149,MASTER_SOURCE!$A$2:$A$495,0)),""))</f>
        <v/>
      </c>
      <c r="M2149" s="24" t="n"/>
      <c r="N2149" s="24" t="n"/>
      <c r="O2149" s="24" t="n"/>
      <c r="P2149" s="24" t="n"/>
      <c r="Q2149" s="22">
        <f>IF($D2149="","",IF(AND(OR(DANH_MUC!$L$5&lt;&gt;"Có",M2149="Có"),OR(DANH_MUC!$L$6&lt;&gt;"Có",N2149="Có"),OR(DANH_MUC!$L$7&lt;&gt;"Có",O2149="Có"),OR(DANH_MUC!$L$8&lt;&gt;"Có",P2149="Có")),"Có","Không"))</f>
        <v/>
      </c>
      <c r="R2149" s="22">
        <f>IF($D2149="","",IF(COUNTIF($D$2:$D2149,$D2149)&gt;1,"Trùng",""))</f>
        <v/>
      </c>
      <c r="S2149" s="22">
        <f>IF($D2149="","",IF(AND(LEN($D2149)=10,LEFT($D2149,1)="0",ISNUMBER(--$D2149)),"Có","Không"))</f>
        <v/>
      </c>
      <c r="T2149" s="22">
        <f>IF($D2149="","",IF(AND($C2149&lt;&gt;"",$Q2149="Có",$R2149="",$S2149="Có",AND($L2149&lt;&gt;"",OR($L2149&lt;&gt;"Chưa xác định",DANH_MUC!$L$9="Có"))),"Có","Không"))</f>
        <v/>
      </c>
      <c r="U2149" s="22">
        <f>IF(OR($D2149="",$T2149="Có"),"",IF($C2149="","Thiếu họ tên; ","")&amp;IF($S2149&lt;&gt;"Có","SĐT sai định dạng; ","")&amp;IF($R2149="Trùng","Trùng SĐT; ","")&amp;IF($Q2149&lt;&gt;"Có","Thiếu đồng ý bắt buộc; ","")&amp;IF($L2149="","Thiếu/sai Mã REF; ",IF(AND($L2149="Chưa xác định",DANH_MUC!$L$9&lt;&gt;"Có"),"Nguồn chưa xác định; ","")))</f>
        <v/>
      </c>
      <c r="V2149" s="22">
        <f>IF(OR($D2149="",$R2149="Trùng"),"",IF(COUNTIF(ORDERS!$C$2:$C$4995,$D2149)&gt;0,"Có","Không"))</f>
        <v/>
      </c>
      <c r="W2149" s="22">
        <f>IF(OR($D2149="",$R2149="Trùng"),"",COUNTIFS(ORDERS!$C$2:$C$4995,$D2149,ORDERS!$L$2:$L$4995,"Đã chuyển khoản"))</f>
        <v/>
      </c>
      <c r="X2149" s="23">
        <f>IF(OR($D2149="",$R2149="Trùng"),"",SUMIFS(ORDERS!$J$2:$J$4995,ORDERS!$C$2:$C$4995,$D2149,ORDERS!$L$2:$L$4995,"Đã chuyển khoản"))</f>
        <v/>
      </c>
      <c r="Y2149" s="24" t="n"/>
    </row>
    <row r="2150" ht="14.25" customHeight="1" s="40">
      <c r="A2150" s="24" t="n"/>
      <c r="B2150" s="27" t="n"/>
      <c r="C2150" s="24" t="n"/>
      <c r="D2150" s="28" t="n"/>
      <c r="E2150" s="29" t="n"/>
      <c r="F2150" s="24" t="n"/>
      <c r="G2150" s="24" t="n"/>
      <c r="H2150" s="21">
        <f>IF(ISNUMBER($B2150),INT($B2150)-WEEKDAY($B2150,2)+1,"")</f>
        <v/>
      </c>
      <c r="I2150" s="24" t="n"/>
      <c r="J2150" s="22">
        <f t="array" ref="J2150">IF($D2150="","",IF($I2150="","(trống REF)",IFERROR(INDEX(MASTER_SOURCE!$B$2:$B$495,MATCH($I2150,MASTER_SOURCE!$A$2:$A$495,0)),"(REF không có trong MASTER_SOURCE)")))</f>
        <v/>
      </c>
      <c r="K2150" s="22">
        <f t="array" ref="K2150">IF($D2150="","",IFERROR(INDEX(MASTER_SOURCE!$C$2:$C$495,MATCH($I2150,MASTER_SOURCE!$A$2:$A$495,0)),""))</f>
        <v/>
      </c>
      <c r="L2150" s="22">
        <f t="array" ref="L2150">IF($D2150="","",IFERROR(INDEX(MASTER_SOURCE!$D$2:$D$495,MATCH($I2150,MASTER_SOURCE!$A$2:$A$495,0)),""))</f>
        <v/>
      </c>
      <c r="M2150" s="24" t="n"/>
      <c r="N2150" s="24" t="n"/>
      <c r="O2150" s="24" t="n"/>
      <c r="P2150" s="24" t="n"/>
      <c r="Q2150" s="22">
        <f>IF($D2150="","",IF(AND(OR(DANH_MUC!$L$5&lt;&gt;"Có",M2150="Có"),OR(DANH_MUC!$L$6&lt;&gt;"Có",N2150="Có"),OR(DANH_MUC!$L$7&lt;&gt;"Có",O2150="Có"),OR(DANH_MUC!$L$8&lt;&gt;"Có",P2150="Có")),"Có","Không"))</f>
        <v/>
      </c>
      <c r="R2150" s="22">
        <f>IF($D2150="","",IF(COUNTIF($D$2:$D2150,$D2150)&gt;1,"Trùng",""))</f>
        <v/>
      </c>
      <c r="S2150" s="22">
        <f>IF($D2150="","",IF(AND(LEN($D2150)=10,LEFT($D2150,1)="0",ISNUMBER(--$D2150)),"Có","Không"))</f>
        <v/>
      </c>
      <c r="T2150" s="22">
        <f>IF($D2150="","",IF(AND($C2150&lt;&gt;"",$Q2150="Có",$R2150="",$S2150="Có",AND($L2150&lt;&gt;"",OR($L2150&lt;&gt;"Chưa xác định",DANH_MUC!$L$9="Có"))),"Có","Không"))</f>
        <v/>
      </c>
      <c r="U2150" s="22">
        <f>IF(OR($D2150="",$T2150="Có"),"",IF($C2150="","Thiếu họ tên; ","")&amp;IF($S2150&lt;&gt;"Có","SĐT sai định dạng; ","")&amp;IF($R2150="Trùng","Trùng SĐT; ","")&amp;IF($Q2150&lt;&gt;"Có","Thiếu đồng ý bắt buộc; ","")&amp;IF($L2150="","Thiếu/sai Mã REF; ",IF(AND($L2150="Chưa xác định",DANH_MUC!$L$9&lt;&gt;"Có"),"Nguồn chưa xác định; ","")))</f>
        <v/>
      </c>
      <c r="V2150" s="22">
        <f>IF(OR($D2150="",$R2150="Trùng"),"",IF(COUNTIF(ORDERS!$C$2:$C$4995,$D2150)&gt;0,"Có","Không"))</f>
        <v/>
      </c>
      <c r="W2150" s="22">
        <f>IF(OR($D2150="",$R2150="Trùng"),"",COUNTIFS(ORDERS!$C$2:$C$4995,$D2150,ORDERS!$L$2:$L$4995,"Đã chuyển khoản"))</f>
        <v/>
      </c>
      <c r="X2150" s="23">
        <f>IF(OR($D2150="",$R2150="Trùng"),"",SUMIFS(ORDERS!$J$2:$J$4995,ORDERS!$C$2:$C$4995,$D2150,ORDERS!$L$2:$L$4995,"Đã chuyển khoản"))</f>
        <v/>
      </c>
      <c r="Y2150" s="24" t="n"/>
    </row>
    <row r="2151" ht="14.25" customHeight="1" s="40">
      <c r="A2151" s="24" t="n"/>
      <c r="B2151" s="27" t="n"/>
      <c r="C2151" s="24" t="n"/>
      <c r="D2151" s="28" t="n"/>
      <c r="E2151" s="29" t="n"/>
      <c r="F2151" s="24" t="n"/>
      <c r="G2151" s="24" t="n"/>
      <c r="H2151" s="21">
        <f>IF(ISNUMBER($B2151),INT($B2151)-WEEKDAY($B2151,2)+1,"")</f>
        <v/>
      </c>
      <c r="I2151" s="24" t="n"/>
      <c r="J2151" s="22">
        <f t="array" ref="J2151">IF($D2151="","",IF($I2151="","(trống REF)",IFERROR(INDEX(MASTER_SOURCE!$B$2:$B$495,MATCH($I2151,MASTER_SOURCE!$A$2:$A$495,0)),"(REF không có trong MASTER_SOURCE)")))</f>
        <v/>
      </c>
      <c r="K2151" s="22">
        <f t="array" ref="K2151">IF($D2151="","",IFERROR(INDEX(MASTER_SOURCE!$C$2:$C$495,MATCH($I2151,MASTER_SOURCE!$A$2:$A$495,0)),""))</f>
        <v/>
      </c>
      <c r="L2151" s="22">
        <f t="array" ref="L2151">IF($D2151="","",IFERROR(INDEX(MASTER_SOURCE!$D$2:$D$495,MATCH($I2151,MASTER_SOURCE!$A$2:$A$495,0)),""))</f>
        <v/>
      </c>
      <c r="M2151" s="24" t="n"/>
      <c r="N2151" s="24" t="n"/>
      <c r="O2151" s="24" t="n"/>
      <c r="P2151" s="24" t="n"/>
      <c r="Q2151" s="22">
        <f>IF($D2151="","",IF(AND(OR(DANH_MUC!$L$5&lt;&gt;"Có",M2151="Có"),OR(DANH_MUC!$L$6&lt;&gt;"Có",N2151="Có"),OR(DANH_MUC!$L$7&lt;&gt;"Có",O2151="Có"),OR(DANH_MUC!$L$8&lt;&gt;"Có",P2151="Có")),"Có","Không"))</f>
        <v/>
      </c>
      <c r="R2151" s="22">
        <f>IF($D2151="","",IF(COUNTIF($D$2:$D2151,$D2151)&gt;1,"Trùng",""))</f>
        <v/>
      </c>
      <c r="S2151" s="22">
        <f>IF($D2151="","",IF(AND(LEN($D2151)=10,LEFT($D2151,1)="0",ISNUMBER(--$D2151)),"Có","Không"))</f>
        <v/>
      </c>
      <c r="T2151" s="22">
        <f>IF($D2151="","",IF(AND($C2151&lt;&gt;"",$Q2151="Có",$R2151="",$S2151="Có",AND($L2151&lt;&gt;"",OR($L2151&lt;&gt;"Chưa xác định",DANH_MUC!$L$9="Có"))),"Có","Không"))</f>
        <v/>
      </c>
      <c r="U2151" s="22">
        <f>IF(OR($D2151="",$T2151="Có"),"",IF($C2151="","Thiếu họ tên; ","")&amp;IF($S2151&lt;&gt;"Có","SĐT sai định dạng; ","")&amp;IF($R2151="Trùng","Trùng SĐT; ","")&amp;IF($Q2151&lt;&gt;"Có","Thiếu đồng ý bắt buộc; ","")&amp;IF($L2151="","Thiếu/sai Mã REF; ",IF(AND($L2151="Chưa xác định",DANH_MUC!$L$9&lt;&gt;"Có"),"Nguồn chưa xác định; ","")))</f>
        <v/>
      </c>
      <c r="V2151" s="22">
        <f>IF(OR($D2151="",$R2151="Trùng"),"",IF(COUNTIF(ORDERS!$C$2:$C$4995,$D2151)&gt;0,"Có","Không"))</f>
        <v/>
      </c>
      <c r="W2151" s="22">
        <f>IF(OR($D2151="",$R2151="Trùng"),"",COUNTIFS(ORDERS!$C$2:$C$4995,$D2151,ORDERS!$L$2:$L$4995,"Đã chuyển khoản"))</f>
        <v/>
      </c>
      <c r="X2151" s="23">
        <f>IF(OR($D2151="",$R2151="Trùng"),"",SUMIFS(ORDERS!$J$2:$J$4995,ORDERS!$C$2:$C$4995,$D2151,ORDERS!$L$2:$L$4995,"Đã chuyển khoản"))</f>
        <v/>
      </c>
      <c r="Y2151" s="24" t="n"/>
    </row>
    <row r="2152" ht="14.25" customHeight="1" s="40">
      <c r="A2152" s="24" t="n"/>
      <c r="B2152" s="27" t="n"/>
      <c r="C2152" s="24" t="n"/>
      <c r="D2152" s="28" t="n"/>
      <c r="E2152" s="29" t="n"/>
      <c r="F2152" s="24" t="n"/>
      <c r="G2152" s="24" t="n"/>
      <c r="H2152" s="21">
        <f>IF(ISNUMBER($B2152),INT($B2152)-WEEKDAY($B2152,2)+1,"")</f>
        <v/>
      </c>
      <c r="I2152" s="24" t="n"/>
      <c r="J2152" s="22">
        <f t="array" ref="J2152">IF($D2152="","",IF($I2152="","(trống REF)",IFERROR(INDEX(MASTER_SOURCE!$B$2:$B$495,MATCH($I2152,MASTER_SOURCE!$A$2:$A$495,0)),"(REF không có trong MASTER_SOURCE)")))</f>
        <v/>
      </c>
      <c r="K2152" s="22">
        <f t="array" ref="K2152">IF($D2152="","",IFERROR(INDEX(MASTER_SOURCE!$C$2:$C$495,MATCH($I2152,MASTER_SOURCE!$A$2:$A$495,0)),""))</f>
        <v/>
      </c>
      <c r="L2152" s="22">
        <f t="array" ref="L2152">IF($D2152="","",IFERROR(INDEX(MASTER_SOURCE!$D$2:$D$495,MATCH($I2152,MASTER_SOURCE!$A$2:$A$495,0)),""))</f>
        <v/>
      </c>
      <c r="M2152" s="24" t="n"/>
      <c r="N2152" s="24" t="n"/>
      <c r="O2152" s="24" t="n"/>
      <c r="P2152" s="24" t="n"/>
      <c r="Q2152" s="22">
        <f>IF($D2152="","",IF(AND(OR(DANH_MUC!$L$5&lt;&gt;"Có",M2152="Có"),OR(DANH_MUC!$L$6&lt;&gt;"Có",N2152="Có"),OR(DANH_MUC!$L$7&lt;&gt;"Có",O2152="Có"),OR(DANH_MUC!$L$8&lt;&gt;"Có",P2152="Có")),"Có","Không"))</f>
        <v/>
      </c>
      <c r="R2152" s="22">
        <f>IF($D2152="","",IF(COUNTIF($D$2:$D2152,$D2152)&gt;1,"Trùng",""))</f>
        <v/>
      </c>
      <c r="S2152" s="22">
        <f>IF($D2152="","",IF(AND(LEN($D2152)=10,LEFT($D2152,1)="0",ISNUMBER(--$D2152)),"Có","Không"))</f>
        <v/>
      </c>
      <c r="T2152" s="22">
        <f>IF($D2152="","",IF(AND($C2152&lt;&gt;"",$Q2152="Có",$R2152="",$S2152="Có",AND($L2152&lt;&gt;"",OR($L2152&lt;&gt;"Chưa xác định",DANH_MUC!$L$9="Có"))),"Có","Không"))</f>
        <v/>
      </c>
      <c r="U2152" s="22">
        <f>IF(OR($D2152="",$T2152="Có"),"",IF($C2152="","Thiếu họ tên; ","")&amp;IF($S2152&lt;&gt;"Có","SĐT sai định dạng; ","")&amp;IF($R2152="Trùng","Trùng SĐT; ","")&amp;IF($Q2152&lt;&gt;"Có","Thiếu đồng ý bắt buộc; ","")&amp;IF($L2152="","Thiếu/sai Mã REF; ",IF(AND($L2152="Chưa xác định",DANH_MUC!$L$9&lt;&gt;"Có"),"Nguồn chưa xác định; ","")))</f>
        <v/>
      </c>
      <c r="V2152" s="22">
        <f>IF(OR($D2152="",$R2152="Trùng"),"",IF(COUNTIF(ORDERS!$C$2:$C$4995,$D2152)&gt;0,"Có","Không"))</f>
        <v/>
      </c>
      <c r="W2152" s="22">
        <f>IF(OR($D2152="",$R2152="Trùng"),"",COUNTIFS(ORDERS!$C$2:$C$4995,$D2152,ORDERS!$L$2:$L$4995,"Đã chuyển khoản"))</f>
        <v/>
      </c>
      <c r="X2152" s="23">
        <f>IF(OR($D2152="",$R2152="Trùng"),"",SUMIFS(ORDERS!$J$2:$J$4995,ORDERS!$C$2:$C$4995,$D2152,ORDERS!$L$2:$L$4995,"Đã chuyển khoản"))</f>
        <v/>
      </c>
      <c r="Y2152" s="24" t="n"/>
    </row>
    <row r="2153" ht="14.25" customHeight="1" s="40">
      <c r="A2153" s="24" t="n"/>
      <c r="B2153" s="27" t="n"/>
      <c r="C2153" s="24" t="n"/>
      <c r="D2153" s="28" t="n"/>
      <c r="E2153" s="29" t="n"/>
      <c r="F2153" s="24" t="n"/>
      <c r="G2153" s="24" t="n"/>
      <c r="H2153" s="21">
        <f>IF(ISNUMBER($B2153),INT($B2153)-WEEKDAY($B2153,2)+1,"")</f>
        <v/>
      </c>
      <c r="I2153" s="24" t="n"/>
      <c r="J2153" s="22">
        <f t="array" ref="J2153">IF($D2153="","",IF($I2153="","(trống REF)",IFERROR(INDEX(MASTER_SOURCE!$B$2:$B$495,MATCH($I2153,MASTER_SOURCE!$A$2:$A$495,0)),"(REF không có trong MASTER_SOURCE)")))</f>
        <v/>
      </c>
      <c r="K2153" s="22">
        <f t="array" ref="K2153">IF($D2153="","",IFERROR(INDEX(MASTER_SOURCE!$C$2:$C$495,MATCH($I2153,MASTER_SOURCE!$A$2:$A$495,0)),""))</f>
        <v/>
      </c>
      <c r="L2153" s="22">
        <f t="array" ref="L2153">IF($D2153="","",IFERROR(INDEX(MASTER_SOURCE!$D$2:$D$495,MATCH($I2153,MASTER_SOURCE!$A$2:$A$495,0)),""))</f>
        <v/>
      </c>
      <c r="M2153" s="24" t="n"/>
      <c r="N2153" s="24" t="n"/>
      <c r="O2153" s="24" t="n"/>
      <c r="P2153" s="24" t="n"/>
      <c r="Q2153" s="22">
        <f>IF($D2153="","",IF(AND(OR(DANH_MUC!$L$5&lt;&gt;"Có",M2153="Có"),OR(DANH_MUC!$L$6&lt;&gt;"Có",N2153="Có"),OR(DANH_MUC!$L$7&lt;&gt;"Có",O2153="Có"),OR(DANH_MUC!$L$8&lt;&gt;"Có",P2153="Có")),"Có","Không"))</f>
        <v/>
      </c>
      <c r="R2153" s="22">
        <f>IF($D2153="","",IF(COUNTIF($D$2:$D2153,$D2153)&gt;1,"Trùng",""))</f>
        <v/>
      </c>
      <c r="S2153" s="22">
        <f>IF($D2153="","",IF(AND(LEN($D2153)=10,LEFT($D2153,1)="0",ISNUMBER(--$D2153)),"Có","Không"))</f>
        <v/>
      </c>
      <c r="T2153" s="22">
        <f>IF($D2153="","",IF(AND($C2153&lt;&gt;"",$Q2153="Có",$R2153="",$S2153="Có",AND($L2153&lt;&gt;"",OR($L2153&lt;&gt;"Chưa xác định",DANH_MUC!$L$9="Có"))),"Có","Không"))</f>
        <v/>
      </c>
      <c r="U2153" s="22">
        <f>IF(OR($D2153="",$T2153="Có"),"",IF($C2153="","Thiếu họ tên; ","")&amp;IF($S2153&lt;&gt;"Có","SĐT sai định dạng; ","")&amp;IF($R2153="Trùng","Trùng SĐT; ","")&amp;IF($Q2153&lt;&gt;"Có","Thiếu đồng ý bắt buộc; ","")&amp;IF($L2153="","Thiếu/sai Mã REF; ",IF(AND($L2153="Chưa xác định",DANH_MUC!$L$9&lt;&gt;"Có"),"Nguồn chưa xác định; ","")))</f>
        <v/>
      </c>
      <c r="V2153" s="22">
        <f>IF(OR($D2153="",$R2153="Trùng"),"",IF(COUNTIF(ORDERS!$C$2:$C$4995,$D2153)&gt;0,"Có","Không"))</f>
        <v/>
      </c>
      <c r="W2153" s="22">
        <f>IF(OR($D2153="",$R2153="Trùng"),"",COUNTIFS(ORDERS!$C$2:$C$4995,$D2153,ORDERS!$L$2:$L$4995,"Đã chuyển khoản"))</f>
        <v/>
      </c>
      <c r="X2153" s="23">
        <f>IF(OR($D2153="",$R2153="Trùng"),"",SUMIFS(ORDERS!$J$2:$J$4995,ORDERS!$C$2:$C$4995,$D2153,ORDERS!$L$2:$L$4995,"Đã chuyển khoản"))</f>
        <v/>
      </c>
      <c r="Y2153" s="24" t="n"/>
    </row>
    <row r="2154" ht="14.25" customHeight="1" s="40">
      <c r="A2154" s="24" t="n"/>
      <c r="B2154" s="27" t="n"/>
      <c r="C2154" s="24" t="n"/>
      <c r="D2154" s="28" t="n"/>
      <c r="E2154" s="29" t="n"/>
      <c r="F2154" s="24" t="n"/>
      <c r="G2154" s="24" t="n"/>
      <c r="H2154" s="21">
        <f>IF(ISNUMBER($B2154),INT($B2154)-WEEKDAY($B2154,2)+1,"")</f>
        <v/>
      </c>
      <c r="I2154" s="24" t="n"/>
      <c r="J2154" s="22">
        <f t="array" ref="J2154">IF($D2154="","",IF($I2154="","(trống REF)",IFERROR(INDEX(MASTER_SOURCE!$B$2:$B$495,MATCH($I2154,MASTER_SOURCE!$A$2:$A$495,0)),"(REF không có trong MASTER_SOURCE)")))</f>
        <v/>
      </c>
      <c r="K2154" s="22">
        <f t="array" ref="K2154">IF($D2154="","",IFERROR(INDEX(MASTER_SOURCE!$C$2:$C$495,MATCH($I2154,MASTER_SOURCE!$A$2:$A$495,0)),""))</f>
        <v/>
      </c>
      <c r="L2154" s="22">
        <f t="array" ref="L2154">IF($D2154="","",IFERROR(INDEX(MASTER_SOURCE!$D$2:$D$495,MATCH($I2154,MASTER_SOURCE!$A$2:$A$495,0)),""))</f>
        <v/>
      </c>
      <c r="M2154" s="24" t="n"/>
      <c r="N2154" s="24" t="n"/>
      <c r="O2154" s="24" t="n"/>
      <c r="P2154" s="24" t="n"/>
      <c r="Q2154" s="22">
        <f>IF($D2154="","",IF(AND(OR(DANH_MUC!$L$5&lt;&gt;"Có",M2154="Có"),OR(DANH_MUC!$L$6&lt;&gt;"Có",N2154="Có"),OR(DANH_MUC!$L$7&lt;&gt;"Có",O2154="Có"),OR(DANH_MUC!$L$8&lt;&gt;"Có",P2154="Có")),"Có","Không"))</f>
        <v/>
      </c>
      <c r="R2154" s="22">
        <f>IF($D2154="","",IF(COUNTIF($D$2:$D2154,$D2154)&gt;1,"Trùng",""))</f>
        <v/>
      </c>
      <c r="S2154" s="22">
        <f>IF($D2154="","",IF(AND(LEN($D2154)=10,LEFT($D2154,1)="0",ISNUMBER(--$D2154)),"Có","Không"))</f>
        <v/>
      </c>
      <c r="T2154" s="22">
        <f>IF($D2154="","",IF(AND($C2154&lt;&gt;"",$Q2154="Có",$R2154="",$S2154="Có",AND($L2154&lt;&gt;"",OR($L2154&lt;&gt;"Chưa xác định",DANH_MUC!$L$9="Có"))),"Có","Không"))</f>
        <v/>
      </c>
      <c r="U2154" s="22">
        <f>IF(OR($D2154="",$T2154="Có"),"",IF($C2154="","Thiếu họ tên; ","")&amp;IF($S2154&lt;&gt;"Có","SĐT sai định dạng; ","")&amp;IF($R2154="Trùng","Trùng SĐT; ","")&amp;IF($Q2154&lt;&gt;"Có","Thiếu đồng ý bắt buộc; ","")&amp;IF($L2154="","Thiếu/sai Mã REF; ",IF(AND($L2154="Chưa xác định",DANH_MUC!$L$9&lt;&gt;"Có"),"Nguồn chưa xác định; ","")))</f>
        <v/>
      </c>
      <c r="V2154" s="22">
        <f>IF(OR($D2154="",$R2154="Trùng"),"",IF(COUNTIF(ORDERS!$C$2:$C$4995,$D2154)&gt;0,"Có","Không"))</f>
        <v/>
      </c>
      <c r="W2154" s="22">
        <f>IF(OR($D2154="",$R2154="Trùng"),"",COUNTIFS(ORDERS!$C$2:$C$4995,$D2154,ORDERS!$L$2:$L$4995,"Đã chuyển khoản"))</f>
        <v/>
      </c>
      <c r="X2154" s="23">
        <f>IF(OR($D2154="",$R2154="Trùng"),"",SUMIFS(ORDERS!$J$2:$J$4995,ORDERS!$C$2:$C$4995,$D2154,ORDERS!$L$2:$L$4995,"Đã chuyển khoản"))</f>
        <v/>
      </c>
      <c r="Y2154" s="24" t="n"/>
    </row>
    <row r="2155" ht="14.25" customHeight="1" s="40">
      <c r="A2155" s="24" t="n"/>
      <c r="B2155" s="27" t="n"/>
      <c r="C2155" s="24" t="n"/>
      <c r="D2155" s="28" t="n"/>
      <c r="E2155" s="29" t="n"/>
      <c r="F2155" s="24" t="n"/>
      <c r="G2155" s="24" t="n"/>
      <c r="H2155" s="21">
        <f>IF(ISNUMBER($B2155),INT($B2155)-WEEKDAY($B2155,2)+1,"")</f>
        <v/>
      </c>
      <c r="I2155" s="24" t="n"/>
      <c r="J2155" s="22">
        <f t="array" ref="J2155">IF($D2155="","",IF($I2155="","(trống REF)",IFERROR(INDEX(MASTER_SOURCE!$B$2:$B$495,MATCH($I2155,MASTER_SOURCE!$A$2:$A$495,0)),"(REF không có trong MASTER_SOURCE)")))</f>
        <v/>
      </c>
      <c r="K2155" s="22">
        <f t="array" ref="K2155">IF($D2155="","",IFERROR(INDEX(MASTER_SOURCE!$C$2:$C$495,MATCH($I2155,MASTER_SOURCE!$A$2:$A$495,0)),""))</f>
        <v/>
      </c>
      <c r="L2155" s="22">
        <f t="array" ref="L2155">IF($D2155="","",IFERROR(INDEX(MASTER_SOURCE!$D$2:$D$495,MATCH($I2155,MASTER_SOURCE!$A$2:$A$495,0)),""))</f>
        <v/>
      </c>
      <c r="M2155" s="24" t="n"/>
      <c r="N2155" s="24" t="n"/>
      <c r="O2155" s="24" t="n"/>
      <c r="P2155" s="24" t="n"/>
      <c r="Q2155" s="22">
        <f>IF($D2155="","",IF(AND(OR(DANH_MUC!$L$5&lt;&gt;"Có",M2155="Có"),OR(DANH_MUC!$L$6&lt;&gt;"Có",N2155="Có"),OR(DANH_MUC!$L$7&lt;&gt;"Có",O2155="Có"),OR(DANH_MUC!$L$8&lt;&gt;"Có",P2155="Có")),"Có","Không"))</f>
        <v/>
      </c>
      <c r="R2155" s="22">
        <f>IF($D2155="","",IF(COUNTIF($D$2:$D2155,$D2155)&gt;1,"Trùng",""))</f>
        <v/>
      </c>
      <c r="S2155" s="22">
        <f>IF($D2155="","",IF(AND(LEN($D2155)=10,LEFT($D2155,1)="0",ISNUMBER(--$D2155)),"Có","Không"))</f>
        <v/>
      </c>
      <c r="T2155" s="22">
        <f>IF($D2155="","",IF(AND($C2155&lt;&gt;"",$Q2155="Có",$R2155="",$S2155="Có",AND($L2155&lt;&gt;"",OR($L2155&lt;&gt;"Chưa xác định",DANH_MUC!$L$9="Có"))),"Có","Không"))</f>
        <v/>
      </c>
      <c r="U2155" s="22">
        <f>IF(OR($D2155="",$T2155="Có"),"",IF($C2155="","Thiếu họ tên; ","")&amp;IF($S2155&lt;&gt;"Có","SĐT sai định dạng; ","")&amp;IF($R2155="Trùng","Trùng SĐT; ","")&amp;IF($Q2155&lt;&gt;"Có","Thiếu đồng ý bắt buộc; ","")&amp;IF($L2155="","Thiếu/sai Mã REF; ",IF(AND($L2155="Chưa xác định",DANH_MUC!$L$9&lt;&gt;"Có"),"Nguồn chưa xác định; ","")))</f>
        <v/>
      </c>
      <c r="V2155" s="22">
        <f>IF(OR($D2155="",$R2155="Trùng"),"",IF(COUNTIF(ORDERS!$C$2:$C$4995,$D2155)&gt;0,"Có","Không"))</f>
        <v/>
      </c>
      <c r="W2155" s="22">
        <f>IF(OR($D2155="",$R2155="Trùng"),"",COUNTIFS(ORDERS!$C$2:$C$4995,$D2155,ORDERS!$L$2:$L$4995,"Đã chuyển khoản"))</f>
        <v/>
      </c>
      <c r="X2155" s="23">
        <f>IF(OR($D2155="",$R2155="Trùng"),"",SUMIFS(ORDERS!$J$2:$J$4995,ORDERS!$C$2:$C$4995,$D2155,ORDERS!$L$2:$L$4995,"Đã chuyển khoản"))</f>
        <v/>
      </c>
      <c r="Y2155" s="24" t="n"/>
    </row>
    <row r="2156" ht="14.25" customHeight="1" s="40">
      <c r="A2156" s="24" t="n"/>
      <c r="B2156" s="27" t="n"/>
      <c r="C2156" s="24" t="n"/>
      <c r="D2156" s="28" t="n"/>
      <c r="E2156" s="29" t="n"/>
      <c r="F2156" s="24" t="n"/>
      <c r="G2156" s="24" t="n"/>
      <c r="H2156" s="21">
        <f>IF(ISNUMBER($B2156),INT($B2156)-WEEKDAY($B2156,2)+1,"")</f>
        <v/>
      </c>
      <c r="I2156" s="24" t="n"/>
      <c r="J2156" s="22">
        <f t="array" ref="J2156">IF($D2156="","",IF($I2156="","(trống REF)",IFERROR(INDEX(MASTER_SOURCE!$B$2:$B$495,MATCH($I2156,MASTER_SOURCE!$A$2:$A$495,0)),"(REF không có trong MASTER_SOURCE)")))</f>
        <v/>
      </c>
      <c r="K2156" s="22">
        <f t="array" ref="K2156">IF($D2156="","",IFERROR(INDEX(MASTER_SOURCE!$C$2:$C$495,MATCH($I2156,MASTER_SOURCE!$A$2:$A$495,0)),""))</f>
        <v/>
      </c>
      <c r="L2156" s="22">
        <f t="array" ref="L2156">IF($D2156="","",IFERROR(INDEX(MASTER_SOURCE!$D$2:$D$495,MATCH($I2156,MASTER_SOURCE!$A$2:$A$495,0)),""))</f>
        <v/>
      </c>
      <c r="M2156" s="24" t="n"/>
      <c r="N2156" s="24" t="n"/>
      <c r="O2156" s="24" t="n"/>
      <c r="P2156" s="24" t="n"/>
      <c r="Q2156" s="22">
        <f>IF($D2156="","",IF(AND(OR(DANH_MUC!$L$5&lt;&gt;"Có",M2156="Có"),OR(DANH_MUC!$L$6&lt;&gt;"Có",N2156="Có"),OR(DANH_MUC!$L$7&lt;&gt;"Có",O2156="Có"),OR(DANH_MUC!$L$8&lt;&gt;"Có",P2156="Có")),"Có","Không"))</f>
        <v/>
      </c>
      <c r="R2156" s="22">
        <f>IF($D2156="","",IF(COUNTIF($D$2:$D2156,$D2156)&gt;1,"Trùng",""))</f>
        <v/>
      </c>
      <c r="S2156" s="22">
        <f>IF($D2156="","",IF(AND(LEN($D2156)=10,LEFT($D2156,1)="0",ISNUMBER(--$D2156)),"Có","Không"))</f>
        <v/>
      </c>
      <c r="T2156" s="22">
        <f>IF($D2156="","",IF(AND($C2156&lt;&gt;"",$Q2156="Có",$R2156="",$S2156="Có",AND($L2156&lt;&gt;"",OR($L2156&lt;&gt;"Chưa xác định",DANH_MUC!$L$9="Có"))),"Có","Không"))</f>
        <v/>
      </c>
      <c r="U2156" s="22">
        <f>IF(OR($D2156="",$T2156="Có"),"",IF($C2156="","Thiếu họ tên; ","")&amp;IF($S2156&lt;&gt;"Có","SĐT sai định dạng; ","")&amp;IF($R2156="Trùng","Trùng SĐT; ","")&amp;IF($Q2156&lt;&gt;"Có","Thiếu đồng ý bắt buộc; ","")&amp;IF($L2156="","Thiếu/sai Mã REF; ",IF(AND($L2156="Chưa xác định",DANH_MUC!$L$9&lt;&gt;"Có"),"Nguồn chưa xác định; ","")))</f>
        <v/>
      </c>
      <c r="V2156" s="22">
        <f>IF(OR($D2156="",$R2156="Trùng"),"",IF(COUNTIF(ORDERS!$C$2:$C$4995,$D2156)&gt;0,"Có","Không"))</f>
        <v/>
      </c>
      <c r="W2156" s="22">
        <f>IF(OR($D2156="",$R2156="Trùng"),"",COUNTIFS(ORDERS!$C$2:$C$4995,$D2156,ORDERS!$L$2:$L$4995,"Đã chuyển khoản"))</f>
        <v/>
      </c>
      <c r="X2156" s="23">
        <f>IF(OR($D2156="",$R2156="Trùng"),"",SUMIFS(ORDERS!$J$2:$J$4995,ORDERS!$C$2:$C$4995,$D2156,ORDERS!$L$2:$L$4995,"Đã chuyển khoản"))</f>
        <v/>
      </c>
      <c r="Y2156" s="24" t="n"/>
    </row>
    <row r="2157" ht="14.25" customHeight="1" s="40">
      <c r="A2157" s="24" t="n"/>
      <c r="B2157" s="27" t="n"/>
      <c r="C2157" s="24" t="n"/>
      <c r="D2157" s="28" t="n"/>
      <c r="E2157" s="29" t="n"/>
      <c r="F2157" s="24" t="n"/>
      <c r="G2157" s="24" t="n"/>
      <c r="H2157" s="21">
        <f>IF(ISNUMBER($B2157),INT($B2157)-WEEKDAY($B2157,2)+1,"")</f>
        <v/>
      </c>
      <c r="I2157" s="24" t="n"/>
      <c r="J2157" s="22">
        <f t="array" ref="J2157">IF($D2157="","",IF($I2157="","(trống REF)",IFERROR(INDEX(MASTER_SOURCE!$B$2:$B$495,MATCH($I2157,MASTER_SOURCE!$A$2:$A$495,0)),"(REF không có trong MASTER_SOURCE)")))</f>
        <v/>
      </c>
      <c r="K2157" s="22">
        <f t="array" ref="K2157">IF($D2157="","",IFERROR(INDEX(MASTER_SOURCE!$C$2:$C$495,MATCH($I2157,MASTER_SOURCE!$A$2:$A$495,0)),""))</f>
        <v/>
      </c>
      <c r="L2157" s="22">
        <f t="array" ref="L2157">IF($D2157="","",IFERROR(INDEX(MASTER_SOURCE!$D$2:$D$495,MATCH($I2157,MASTER_SOURCE!$A$2:$A$495,0)),""))</f>
        <v/>
      </c>
      <c r="M2157" s="24" t="n"/>
      <c r="N2157" s="24" t="n"/>
      <c r="O2157" s="24" t="n"/>
      <c r="P2157" s="24" t="n"/>
      <c r="Q2157" s="22">
        <f>IF($D2157="","",IF(AND(OR(DANH_MUC!$L$5&lt;&gt;"Có",M2157="Có"),OR(DANH_MUC!$L$6&lt;&gt;"Có",N2157="Có"),OR(DANH_MUC!$L$7&lt;&gt;"Có",O2157="Có"),OR(DANH_MUC!$L$8&lt;&gt;"Có",P2157="Có")),"Có","Không"))</f>
        <v/>
      </c>
      <c r="R2157" s="22">
        <f>IF($D2157="","",IF(COUNTIF($D$2:$D2157,$D2157)&gt;1,"Trùng",""))</f>
        <v/>
      </c>
      <c r="S2157" s="22">
        <f>IF($D2157="","",IF(AND(LEN($D2157)=10,LEFT($D2157,1)="0",ISNUMBER(--$D2157)),"Có","Không"))</f>
        <v/>
      </c>
      <c r="T2157" s="22">
        <f>IF($D2157="","",IF(AND($C2157&lt;&gt;"",$Q2157="Có",$R2157="",$S2157="Có",AND($L2157&lt;&gt;"",OR($L2157&lt;&gt;"Chưa xác định",DANH_MUC!$L$9="Có"))),"Có","Không"))</f>
        <v/>
      </c>
      <c r="U2157" s="22">
        <f>IF(OR($D2157="",$T2157="Có"),"",IF($C2157="","Thiếu họ tên; ","")&amp;IF($S2157&lt;&gt;"Có","SĐT sai định dạng; ","")&amp;IF($R2157="Trùng","Trùng SĐT; ","")&amp;IF($Q2157&lt;&gt;"Có","Thiếu đồng ý bắt buộc; ","")&amp;IF($L2157="","Thiếu/sai Mã REF; ",IF(AND($L2157="Chưa xác định",DANH_MUC!$L$9&lt;&gt;"Có"),"Nguồn chưa xác định; ","")))</f>
        <v/>
      </c>
      <c r="V2157" s="22">
        <f>IF(OR($D2157="",$R2157="Trùng"),"",IF(COUNTIF(ORDERS!$C$2:$C$4995,$D2157)&gt;0,"Có","Không"))</f>
        <v/>
      </c>
      <c r="W2157" s="22">
        <f>IF(OR($D2157="",$R2157="Trùng"),"",COUNTIFS(ORDERS!$C$2:$C$4995,$D2157,ORDERS!$L$2:$L$4995,"Đã chuyển khoản"))</f>
        <v/>
      </c>
      <c r="X2157" s="23">
        <f>IF(OR($D2157="",$R2157="Trùng"),"",SUMIFS(ORDERS!$J$2:$J$4995,ORDERS!$C$2:$C$4995,$D2157,ORDERS!$L$2:$L$4995,"Đã chuyển khoản"))</f>
        <v/>
      </c>
      <c r="Y2157" s="24" t="n"/>
    </row>
    <row r="2158" ht="14.25" customHeight="1" s="40">
      <c r="A2158" s="24" t="n"/>
      <c r="B2158" s="27" t="n"/>
      <c r="C2158" s="24" t="n"/>
      <c r="D2158" s="28" t="n"/>
      <c r="E2158" s="29" t="n"/>
      <c r="F2158" s="24" t="n"/>
      <c r="G2158" s="24" t="n"/>
      <c r="H2158" s="21">
        <f>IF(ISNUMBER($B2158),INT($B2158)-WEEKDAY($B2158,2)+1,"")</f>
        <v/>
      </c>
      <c r="I2158" s="24" t="n"/>
      <c r="J2158" s="22">
        <f t="array" ref="J2158">IF($D2158="","",IF($I2158="","(trống REF)",IFERROR(INDEX(MASTER_SOURCE!$B$2:$B$495,MATCH($I2158,MASTER_SOURCE!$A$2:$A$495,0)),"(REF không có trong MASTER_SOURCE)")))</f>
        <v/>
      </c>
      <c r="K2158" s="22">
        <f t="array" ref="K2158">IF($D2158="","",IFERROR(INDEX(MASTER_SOURCE!$C$2:$C$495,MATCH($I2158,MASTER_SOURCE!$A$2:$A$495,0)),""))</f>
        <v/>
      </c>
      <c r="L2158" s="22">
        <f t="array" ref="L2158">IF($D2158="","",IFERROR(INDEX(MASTER_SOURCE!$D$2:$D$495,MATCH($I2158,MASTER_SOURCE!$A$2:$A$495,0)),""))</f>
        <v/>
      </c>
      <c r="M2158" s="24" t="n"/>
      <c r="N2158" s="24" t="n"/>
      <c r="O2158" s="24" t="n"/>
      <c r="P2158" s="24" t="n"/>
      <c r="Q2158" s="22">
        <f>IF($D2158="","",IF(AND(OR(DANH_MUC!$L$5&lt;&gt;"Có",M2158="Có"),OR(DANH_MUC!$L$6&lt;&gt;"Có",N2158="Có"),OR(DANH_MUC!$L$7&lt;&gt;"Có",O2158="Có"),OR(DANH_MUC!$L$8&lt;&gt;"Có",P2158="Có")),"Có","Không"))</f>
        <v/>
      </c>
      <c r="R2158" s="22">
        <f>IF($D2158="","",IF(COUNTIF($D$2:$D2158,$D2158)&gt;1,"Trùng",""))</f>
        <v/>
      </c>
      <c r="S2158" s="22">
        <f>IF($D2158="","",IF(AND(LEN($D2158)=10,LEFT($D2158,1)="0",ISNUMBER(--$D2158)),"Có","Không"))</f>
        <v/>
      </c>
      <c r="T2158" s="22">
        <f>IF($D2158="","",IF(AND($C2158&lt;&gt;"",$Q2158="Có",$R2158="",$S2158="Có",AND($L2158&lt;&gt;"",OR($L2158&lt;&gt;"Chưa xác định",DANH_MUC!$L$9="Có"))),"Có","Không"))</f>
        <v/>
      </c>
      <c r="U2158" s="22">
        <f>IF(OR($D2158="",$T2158="Có"),"",IF($C2158="","Thiếu họ tên; ","")&amp;IF($S2158&lt;&gt;"Có","SĐT sai định dạng; ","")&amp;IF($R2158="Trùng","Trùng SĐT; ","")&amp;IF($Q2158&lt;&gt;"Có","Thiếu đồng ý bắt buộc; ","")&amp;IF($L2158="","Thiếu/sai Mã REF; ",IF(AND($L2158="Chưa xác định",DANH_MUC!$L$9&lt;&gt;"Có"),"Nguồn chưa xác định; ","")))</f>
        <v/>
      </c>
      <c r="V2158" s="22">
        <f>IF(OR($D2158="",$R2158="Trùng"),"",IF(COUNTIF(ORDERS!$C$2:$C$4995,$D2158)&gt;0,"Có","Không"))</f>
        <v/>
      </c>
      <c r="W2158" s="22">
        <f>IF(OR($D2158="",$R2158="Trùng"),"",COUNTIFS(ORDERS!$C$2:$C$4995,$D2158,ORDERS!$L$2:$L$4995,"Đã chuyển khoản"))</f>
        <v/>
      </c>
      <c r="X2158" s="23">
        <f>IF(OR($D2158="",$R2158="Trùng"),"",SUMIFS(ORDERS!$J$2:$J$4995,ORDERS!$C$2:$C$4995,$D2158,ORDERS!$L$2:$L$4995,"Đã chuyển khoản"))</f>
        <v/>
      </c>
      <c r="Y2158" s="24" t="n"/>
    </row>
    <row r="2159" ht="14.25" customHeight="1" s="40">
      <c r="A2159" s="24" t="n"/>
      <c r="B2159" s="27" t="n"/>
      <c r="C2159" s="24" t="n"/>
      <c r="D2159" s="28" t="n"/>
      <c r="E2159" s="29" t="n"/>
      <c r="F2159" s="24" t="n"/>
      <c r="G2159" s="24" t="n"/>
      <c r="H2159" s="21">
        <f>IF(ISNUMBER($B2159),INT($B2159)-WEEKDAY($B2159,2)+1,"")</f>
        <v/>
      </c>
      <c r="I2159" s="24" t="n"/>
      <c r="J2159" s="22">
        <f t="array" ref="J2159">IF($D2159="","",IF($I2159="","(trống REF)",IFERROR(INDEX(MASTER_SOURCE!$B$2:$B$495,MATCH($I2159,MASTER_SOURCE!$A$2:$A$495,0)),"(REF không có trong MASTER_SOURCE)")))</f>
        <v/>
      </c>
      <c r="K2159" s="22">
        <f t="array" ref="K2159">IF($D2159="","",IFERROR(INDEX(MASTER_SOURCE!$C$2:$C$495,MATCH($I2159,MASTER_SOURCE!$A$2:$A$495,0)),""))</f>
        <v/>
      </c>
      <c r="L2159" s="22">
        <f t="array" ref="L2159">IF($D2159="","",IFERROR(INDEX(MASTER_SOURCE!$D$2:$D$495,MATCH($I2159,MASTER_SOURCE!$A$2:$A$495,0)),""))</f>
        <v/>
      </c>
      <c r="M2159" s="24" t="n"/>
      <c r="N2159" s="24" t="n"/>
      <c r="O2159" s="24" t="n"/>
      <c r="P2159" s="24" t="n"/>
      <c r="Q2159" s="22">
        <f>IF($D2159="","",IF(AND(OR(DANH_MUC!$L$5&lt;&gt;"Có",M2159="Có"),OR(DANH_MUC!$L$6&lt;&gt;"Có",N2159="Có"),OR(DANH_MUC!$L$7&lt;&gt;"Có",O2159="Có"),OR(DANH_MUC!$L$8&lt;&gt;"Có",P2159="Có")),"Có","Không"))</f>
        <v/>
      </c>
      <c r="R2159" s="22">
        <f>IF($D2159="","",IF(COUNTIF($D$2:$D2159,$D2159)&gt;1,"Trùng",""))</f>
        <v/>
      </c>
      <c r="S2159" s="22">
        <f>IF($D2159="","",IF(AND(LEN($D2159)=10,LEFT($D2159,1)="0",ISNUMBER(--$D2159)),"Có","Không"))</f>
        <v/>
      </c>
      <c r="T2159" s="22">
        <f>IF($D2159="","",IF(AND($C2159&lt;&gt;"",$Q2159="Có",$R2159="",$S2159="Có",AND($L2159&lt;&gt;"",OR($L2159&lt;&gt;"Chưa xác định",DANH_MUC!$L$9="Có"))),"Có","Không"))</f>
        <v/>
      </c>
      <c r="U2159" s="22">
        <f>IF(OR($D2159="",$T2159="Có"),"",IF($C2159="","Thiếu họ tên; ","")&amp;IF($S2159&lt;&gt;"Có","SĐT sai định dạng; ","")&amp;IF($R2159="Trùng","Trùng SĐT; ","")&amp;IF($Q2159&lt;&gt;"Có","Thiếu đồng ý bắt buộc; ","")&amp;IF($L2159="","Thiếu/sai Mã REF; ",IF(AND($L2159="Chưa xác định",DANH_MUC!$L$9&lt;&gt;"Có"),"Nguồn chưa xác định; ","")))</f>
        <v/>
      </c>
      <c r="V2159" s="22">
        <f>IF(OR($D2159="",$R2159="Trùng"),"",IF(COUNTIF(ORDERS!$C$2:$C$4995,$D2159)&gt;0,"Có","Không"))</f>
        <v/>
      </c>
      <c r="W2159" s="22">
        <f>IF(OR($D2159="",$R2159="Trùng"),"",COUNTIFS(ORDERS!$C$2:$C$4995,$D2159,ORDERS!$L$2:$L$4995,"Đã chuyển khoản"))</f>
        <v/>
      </c>
      <c r="X2159" s="23">
        <f>IF(OR($D2159="",$R2159="Trùng"),"",SUMIFS(ORDERS!$J$2:$J$4995,ORDERS!$C$2:$C$4995,$D2159,ORDERS!$L$2:$L$4995,"Đã chuyển khoản"))</f>
        <v/>
      </c>
      <c r="Y2159" s="24" t="n"/>
    </row>
    <row r="2160" ht="14.25" customHeight="1" s="40">
      <c r="A2160" s="24" t="n"/>
      <c r="B2160" s="27" t="n"/>
      <c r="C2160" s="24" t="n"/>
      <c r="D2160" s="28" t="n"/>
      <c r="E2160" s="29" t="n"/>
      <c r="F2160" s="24" t="n"/>
      <c r="G2160" s="24" t="n"/>
      <c r="H2160" s="21">
        <f>IF(ISNUMBER($B2160),INT($B2160)-WEEKDAY($B2160,2)+1,"")</f>
        <v/>
      </c>
      <c r="I2160" s="24" t="n"/>
      <c r="J2160" s="22">
        <f t="array" ref="J2160">IF($D2160="","",IF($I2160="","(trống REF)",IFERROR(INDEX(MASTER_SOURCE!$B$2:$B$495,MATCH($I2160,MASTER_SOURCE!$A$2:$A$495,0)),"(REF không có trong MASTER_SOURCE)")))</f>
        <v/>
      </c>
      <c r="K2160" s="22">
        <f t="array" ref="K2160">IF($D2160="","",IFERROR(INDEX(MASTER_SOURCE!$C$2:$C$495,MATCH($I2160,MASTER_SOURCE!$A$2:$A$495,0)),""))</f>
        <v/>
      </c>
      <c r="L2160" s="22">
        <f t="array" ref="L2160">IF($D2160="","",IFERROR(INDEX(MASTER_SOURCE!$D$2:$D$495,MATCH($I2160,MASTER_SOURCE!$A$2:$A$495,0)),""))</f>
        <v/>
      </c>
      <c r="M2160" s="24" t="n"/>
      <c r="N2160" s="24" t="n"/>
      <c r="O2160" s="24" t="n"/>
      <c r="P2160" s="24" t="n"/>
      <c r="Q2160" s="22">
        <f>IF($D2160="","",IF(AND(OR(DANH_MUC!$L$5&lt;&gt;"Có",M2160="Có"),OR(DANH_MUC!$L$6&lt;&gt;"Có",N2160="Có"),OR(DANH_MUC!$L$7&lt;&gt;"Có",O2160="Có"),OR(DANH_MUC!$L$8&lt;&gt;"Có",P2160="Có")),"Có","Không"))</f>
        <v/>
      </c>
      <c r="R2160" s="22">
        <f>IF($D2160="","",IF(COUNTIF($D$2:$D2160,$D2160)&gt;1,"Trùng",""))</f>
        <v/>
      </c>
      <c r="S2160" s="22">
        <f>IF($D2160="","",IF(AND(LEN($D2160)=10,LEFT($D2160,1)="0",ISNUMBER(--$D2160)),"Có","Không"))</f>
        <v/>
      </c>
      <c r="T2160" s="22">
        <f>IF($D2160="","",IF(AND($C2160&lt;&gt;"",$Q2160="Có",$R2160="",$S2160="Có",AND($L2160&lt;&gt;"",OR($L2160&lt;&gt;"Chưa xác định",DANH_MUC!$L$9="Có"))),"Có","Không"))</f>
        <v/>
      </c>
      <c r="U2160" s="22">
        <f>IF(OR($D2160="",$T2160="Có"),"",IF($C2160="","Thiếu họ tên; ","")&amp;IF($S2160&lt;&gt;"Có","SĐT sai định dạng; ","")&amp;IF($R2160="Trùng","Trùng SĐT; ","")&amp;IF($Q2160&lt;&gt;"Có","Thiếu đồng ý bắt buộc; ","")&amp;IF($L2160="","Thiếu/sai Mã REF; ",IF(AND($L2160="Chưa xác định",DANH_MUC!$L$9&lt;&gt;"Có"),"Nguồn chưa xác định; ","")))</f>
        <v/>
      </c>
      <c r="V2160" s="22">
        <f>IF(OR($D2160="",$R2160="Trùng"),"",IF(COUNTIF(ORDERS!$C$2:$C$4995,$D2160)&gt;0,"Có","Không"))</f>
        <v/>
      </c>
      <c r="W2160" s="22">
        <f>IF(OR($D2160="",$R2160="Trùng"),"",COUNTIFS(ORDERS!$C$2:$C$4995,$D2160,ORDERS!$L$2:$L$4995,"Đã chuyển khoản"))</f>
        <v/>
      </c>
      <c r="X2160" s="23">
        <f>IF(OR($D2160="",$R2160="Trùng"),"",SUMIFS(ORDERS!$J$2:$J$4995,ORDERS!$C$2:$C$4995,$D2160,ORDERS!$L$2:$L$4995,"Đã chuyển khoản"))</f>
        <v/>
      </c>
      <c r="Y2160" s="24" t="n"/>
    </row>
    <row r="2161" ht="14.25" customHeight="1" s="40">
      <c r="A2161" s="24" t="n"/>
      <c r="B2161" s="27" t="n"/>
      <c r="C2161" s="24" t="n"/>
      <c r="D2161" s="28" t="n"/>
      <c r="E2161" s="29" t="n"/>
      <c r="F2161" s="24" t="n"/>
      <c r="G2161" s="24" t="n"/>
      <c r="H2161" s="21">
        <f>IF(ISNUMBER($B2161),INT($B2161)-WEEKDAY($B2161,2)+1,"")</f>
        <v/>
      </c>
      <c r="I2161" s="24" t="n"/>
      <c r="J2161" s="22">
        <f t="array" ref="J2161">IF($D2161="","",IF($I2161="","(trống REF)",IFERROR(INDEX(MASTER_SOURCE!$B$2:$B$495,MATCH($I2161,MASTER_SOURCE!$A$2:$A$495,0)),"(REF không có trong MASTER_SOURCE)")))</f>
        <v/>
      </c>
      <c r="K2161" s="22">
        <f t="array" ref="K2161">IF($D2161="","",IFERROR(INDEX(MASTER_SOURCE!$C$2:$C$495,MATCH($I2161,MASTER_SOURCE!$A$2:$A$495,0)),""))</f>
        <v/>
      </c>
      <c r="L2161" s="22">
        <f t="array" ref="L2161">IF($D2161="","",IFERROR(INDEX(MASTER_SOURCE!$D$2:$D$495,MATCH($I2161,MASTER_SOURCE!$A$2:$A$495,0)),""))</f>
        <v/>
      </c>
      <c r="M2161" s="24" t="n"/>
      <c r="N2161" s="24" t="n"/>
      <c r="O2161" s="24" t="n"/>
      <c r="P2161" s="24" t="n"/>
      <c r="Q2161" s="22">
        <f>IF($D2161="","",IF(AND(OR(DANH_MUC!$L$5&lt;&gt;"Có",M2161="Có"),OR(DANH_MUC!$L$6&lt;&gt;"Có",N2161="Có"),OR(DANH_MUC!$L$7&lt;&gt;"Có",O2161="Có"),OR(DANH_MUC!$L$8&lt;&gt;"Có",P2161="Có")),"Có","Không"))</f>
        <v/>
      </c>
      <c r="R2161" s="22">
        <f>IF($D2161="","",IF(COUNTIF($D$2:$D2161,$D2161)&gt;1,"Trùng",""))</f>
        <v/>
      </c>
      <c r="S2161" s="22">
        <f>IF($D2161="","",IF(AND(LEN($D2161)=10,LEFT($D2161,1)="0",ISNUMBER(--$D2161)),"Có","Không"))</f>
        <v/>
      </c>
      <c r="T2161" s="22">
        <f>IF($D2161="","",IF(AND($C2161&lt;&gt;"",$Q2161="Có",$R2161="",$S2161="Có",AND($L2161&lt;&gt;"",OR($L2161&lt;&gt;"Chưa xác định",DANH_MUC!$L$9="Có"))),"Có","Không"))</f>
        <v/>
      </c>
      <c r="U2161" s="22">
        <f>IF(OR($D2161="",$T2161="Có"),"",IF($C2161="","Thiếu họ tên; ","")&amp;IF($S2161&lt;&gt;"Có","SĐT sai định dạng; ","")&amp;IF($R2161="Trùng","Trùng SĐT; ","")&amp;IF($Q2161&lt;&gt;"Có","Thiếu đồng ý bắt buộc; ","")&amp;IF($L2161="","Thiếu/sai Mã REF; ",IF(AND($L2161="Chưa xác định",DANH_MUC!$L$9&lt;&gt;"Có"),"Nguồn chưa xác định; ","")))</f>
        <v/>
      </c>
      <c r="V2161" s="22">
        <f>IF(OR($D2161="",$R2161="Trùng"),"",IF(COUNTIF(ORDERS!$C$2:$C$4995,$D2161)&gt;0,"Có","Không"))</f>
        <v/>
      </c>
      <c r="W2161" s="22">
        <f>IF(OR($D2161="",$R2161="Trùng"),"",COUNTIFS(ORDERS!$C$2:$C$4995,$D2161,ORDERS!$L$2:$L$4995,"Đã chuyển khoản"))</f>
        <v/>
      </c>
      <c r="X2161" s="23">
        <f>IF(OR($D2161="",$R2161="Trùng"),"",SUMIFS(ORDERS!$J$2:$J$4995,ORDERS!$C$2:$C$4995,$D2161,ORDERS!$L$2:$L$4995,"Đã chuyển khoản"))</f>
        <v/>
      </c>
      <c r="Y2161" s="24" t="n"/>
    </row>
    <row r="2162" ht="14.25" customHeight="1" s="40">
      <c r="A2162" s="24" t="n"/>
      <c r="B2162" s="27" t="n"/>
      <c r="C2162" s="24" t="n"/>
      <c r="D2162" s="28" t="n"/>
      <c r="E2162" s="29" t="n"/>
      <c r="F2162" s="24" t="n"/>
      <c r="G2162" s="24" t="n"/>
      <c r="H2162" s="21">
        <f>IF(ISNUMBER($B2162),INT($B2162)-WEEKDAY($B2162,2)+1,"")</f>
        <v/>
      </c>
      <c r="I2162" s="24" t="n"/>
      <c r="J2162" s="22">
        <f t="array" ref="J2162">IF($D2162="","",IF($I2162="","(trống REF)",IFERROR(INDEX(MASTER_SOURCE!$B$2:$B$495,MATCH($I2162,MASTER_SOURCE!$A$2:$A$495,0)),"(REF không có trong MASTER_SOURCE)")))</f>
        <v/>
      </c>
      <c r="K2162" s="22">
        <f t="array" ref="K2162">IF($D2162="","",IFERROR(INDEX(MASTER_SOURCE!$C$2:$C$495,MATCH($I2162,MASTER_SOURCE!$A$2:$A$495,0)),""))</f>
        <v/>
      </c>
      <c r="L2162" s="22">
        <f t="array" ref="L2162">IF($D2162="","",IFERROR(INDEX(MASTER_SOURCE!$D$2:$D$495,MATCH($I2162,MASTER_SOURCE!$A$2:$A$495,0)),""))</f>
        <v/>
      </c>
      <c r="M2162" s="24" t="n"/>
      <c r="N2162" s="24" t="n"/>
      <c r="O2162" s="24" t="n"/>
      <c r="P2162" s="24" t="n"/>
      <c r="Q2162" s="22">
        <f>IF($D2162="","",IF(AND(OR(DANH_MUC!$L$5&lt;&gt;"Có",M2162="Có"),OR(DANH_MUC!$L$6&lt;&gt;"Có",N2162="Có"),OR(DANH_MUC!$L$7&lt;&gt;"Có",O2162="Có"),OR(DANH_MUC!$L$8&lt;&gt;"Có",P2162="Có")),"Có","Không"))</f>
        <v/>
      </c>
      <c r="R2162" s="22">
        <f>IF($D2162="","",IF(COUNTIF($D$2:$D2162,$D2162)&gt;1,"Trùng",""))</f>
        <v/>
      </c>
      <c r="S2162" s="22">
        <f>IF($D2162="","",IF(AND(LEN($D2162)=10,LEFT($D2162,1)="0",ISNUMBER(--$D2162)),"Có","Không"))</f>
        <v/>
      </c>
      <c r="T2162" s="22">
        <f>IF($D2162="","",IF(AND($C2162&lt;&gt;"",$Q2162="Có",$R2162="",$S2162="Có",AND($L2162&lt;&gt;"",OR($L2162&lt;&gt;"Chưa xác định",DANH_MUC!$L$9="Có"))),"Có","Không"))</f>
        <v/>
      </c>
      <c r="U2162" s="22">
        <f>IF(OR($D2162="",$T2162="Có"),"",IF($C2162="","Thiếu họ tên; ","")&amp;IF($S2162&lt;&gt;"Có","SĐT sai định dạng; ","")&amp;IF($R2162="Trùng","Trùng SĐT; ","")&amp;IF($Q2162&lt;&gt;"Có","Thiếu đồng ý bắt buộc; ","")&amp;IF($L2162="","Thiếu/sai Mã REF; ",IF(AND($L2162="Chưa xác định",DANH_MUC!$L$9&lt;&gt;"Có"),"Nguồn chưa xác định; ","")))</f>
        <v/>
      </c>
      <c r="V2162" s="22">
        <f>IF(OR($D2162="",$R2162="Trùng"),"",IF(COUNTIF(ORDERS!$C$2:$C$4995,$D2162)&gt;0,"Có","Không"))</f>
        <v/>
      </c>
      <c r="W2162" s="22">
        <f>IF(OR($D2162="",$R2162="Trùng"),"",COUNTIFS(ORDERS!$C$2:$C$4995,$D2162,ORDERS!$L$2:$L$4995,"Đã chuyển khoản"))</f>
        <v/>
      </c>
      <c r="X2162" s="23">
        <f>IF(OR($D2162="",$R2162="Trùng"),"",SUMIFS(ORDERS!$J$2:$J$4995,ORDERS!$C$2:$C$4995,$D2162,ORDERS!$L$2:$L$4995,"Đã chuyển khoản"))</f>
        <v/>
      </c>
      <c r="Y2162" s="24" t="n"/>
    </row>
    <row r="2163" ht="14.25" customHeight="1" s="40">
      <c r="A2163" s="24" t="n"/>
      <c r="B2163" s="27" t="n"/>
      <c r="C2163" s="24" t="n"/>
      <c r="D2163" s="28" t="n"/>
      <c r="E2163" s="29" t="n"/>
      <c r="F2163" s="24" t="n"/>
      <c r="G2163" s="24" t="n"/>
      <c r="H2163" s="21">
        <f>IF(ISNUMBER($B2163),INT($B2163)-WEEKDAY($B2163,2)+1,"")</f>
        <v/>
      </c>
      <c r="I2163" s="24" t="n"/>
      <c r="J2163" s="22">
        <f t="array" ref="J2163">IF($D2163="","",IF($I2163="","(trống REF)",IFERROR(INDEX(MASTER_SOURCE!$B$2:$B$495,MATCH($I2163,MASTER_SOURCE!$A$2:$A$495,0)),"(REF không có trong MASTER_SOURCE)")))</f>
        <v/>
      </c>
      <c r="K2163" s="22">
        <f t="array" ref="K2163">IF($D2163="","",IFERROR(INDEX(MASTER_SOURCE!$C$2:$C$495,MATCH($I2163,MASTER_SOURCE!$A$2:$A$495,0)),""))</f>
        <v/>
      </c>
      <c r="L2163" s="22">
        <f t="array" ref="L2163">IF($D2163="","",IFERROR(INDEX(MASTER_SOURCE!$D$2:$D$495,MATCH($I2163,MASTER_SOURCE!$A$2:$A$495,0)),""))</f>
        <v/>
      </c>
      <c r="M2163" s="24" t="n"/>
      <c r="N2163" s="24" t="n"/>
      <c r="O2163" s="24" t="n"/>
      <c r="P2163" s="24" t="n"/>
      <c r="Q2163" s="22">
        <f>IF($D2163="","",IF(AND(OR(DANH_MUC!$L$5&lt;&gt;"Có",M2163="Có"),OR(DANH_MUC!$L$6&lt;&gt;"Có",N2163="Có"),OR(DANH_MUC!$L$7&lt;&gt;"Có",O2163="Có"),OR(DANH_MUC!$L$8&lt;&gt;"Có",P2163="Có")),"Có","Không"))</f>
        <v/>
      </c>
      <c r="R2163" s="22">
        <f>IF($D2163="","",IF(COUNTIF($D$2:$D2163,$D2163)&gt;1,"Trùng",""))</f>
        <v/>
      </c>
      <c r="S2163" s="22">
        <f>IF($D2163="","",IF(AND(LEN($D2163)=10,LEFT($D2163,1)="0",ISNUMBER(--$D2163)),"Có","Không"))</f>
        <v/>
      </c>
      <c r="T2163" s="22">
        <f>IF($D2163="","",IF(AND($C2163&lt;&gt;"",$Q2163="Có",$R2163="",$S2163="Có",AND($L2163&lt;&gt;"",OR($L2163&lt;&gt;"Chưa xác định",DANH_MUC!$L$9="Có"))),"Có","Không"))</f>
        <v/>
      </c>
      <c r="U2163" s="22">
        <f>IF(OR($D2163="",$T2163="Có"),"",IF($C2163="","Thiếu họ tên; ","")&amp;IF($S2163&lt;&gt;"Có","SĐT sai định dạng; ","")&amp;IF($R2163="Trùng","Trùng SĐT; ","")&amp;IF($Q2163&lt;&gt;"Có","Thiếu đồng ý bắt buộc; ","")&amp;IF($L2163="","Thiếu/sai Mã REF; ",IF(AND($L2163="Chưa xác định",DANH_MUC!$L$9&lt;&gt;"Có"),"Nguồn chưa xác định; ","")))</f>
        <v/>
      </c>
      <c r="V2163" s="22">
        <f>IF(OR($D2163="",$R2163="Trùng"),"",IF(COUNTIF(ORDERS!$C$2:$C$4995,$D2163)&gt;0,"Có","Không"))</f>
        <v/>
      </c>
      <c r="W2163" s="22">
        <f>IF(OR($D2163="",$R2163="Trùng"),"",COUNTIFS(ORDERS!$C$2:$C$4995,$D2163,ORDERS!$L$2:$L$4995,"Đã chuyển khoản"))</f>
        <v/>
      </c>
      <c r="X2163" s="23">
        <f>IF(OR($D2163="",$R2163="Trùng"),"",SUMIFS(ORDERS!$J$2:$J$4995,ORDERS!$C$2:$C$4995,$D2163,ORDERS!$L$2:$L$4995,"Đã chuyển khoản"))</f>
        <v/>
      </c>
      <c r="Y2163" s="24" t="n"/>
    </row>
    <row r="2164" ht="14.25" customHeight="1" s="40">
      <c r="A2164" s="24" t="n"/>
      <c r="B2164" s="27" t="n"/>
      <c r="C2164" s="24" t="n"/>
      <c r="D2164" s="28" t="n"/>
      <c r="E2164" s="29" t="n"/>
      <c r="F2164" s="24" t="n"/>
      <c r="G2164" s="24" t="n"/>
      <c r="H2164" s="21">
        <f>IF(ISNUMBER($B2164),INT($B2164)-WEEKDAY($B2164,2)+1,"")</f>
        <v/>
      </c>
      <c r="I2164" s="24" t="n"/>
      <c r="J2164" s="22">
        <f t="array" ref="J2164">IF($D2164="","",IF($I2164="","(trống REF)",IFERROR(INDEX(MASTER_SOURCE!$B$2:$B$495,MATCH($I2164,MASTER_SOURCE!$A$2:$A$495,0)),"(REF không có trong MASTER_SOURCE)")))</f>
        <v/>
      </c>
      <c r="K2164" s="22">
        <f t="array" ref="K2164">IF($D2164="","",IFERROR(INDEX(MASTER_SOURCE!$C$2:$C$495,MATCH($I2164,MASTER_SOURCE!$A$2:$A$495,0)),""))</f>
        <v/>
      </c>
      <c r="L2164" s="22">
        <f t="array" ref="L2164">IF($D2164="","",IFERROR(INDEX(MASTER_SOURCE!$D$2:$D$495,MATCH($I2164,MASTER_SOURCE!$A$2:$A$495,0)),""))</f>
        <v/>
      </c>
      <c r="M2164" s="24" t="n"/>
      <c r="N2164" s="24" t="n"/>
      <c r="O2164" s="24" t="n"/>
      <c r="P2164" s="24" t="n"/>
      <c r="Q2164" s="22">
        <f>IF($D2164="","",IF(AND(OR(DANH_MUC!$L$5&lt;&gt;"Có",M2164="Có"),OR(DANH_MUC!$L$6&lt;&gt;"Có",N2164="Có"),OR(DANH_MUC!$L$7&lt;&gt;"Có",O2164="Có"),OR(DANH_MUC!$L$8&lt;&gt;"Có",P2164="Có")),"Có","Không"))</f>
        <v/>
      </c>
      <c r="R2164" s="22">
        <f>IF($D2164="","",IF(COUNTIF($D$2:$D2164,$D2164)&gt;1,"Trùng",""))</f>
        <v/>
      </c>
      <c r="S2164" s="22">
        <f>IF($D2164="","",IF(AND(LEN($D2164)=10,LEFT($D2164,1)="0",ISNUMBER(--$D2164)),"Có","Không"))</f>
        <v/>
      </c>
      <c r="T2164" s="22">
        <f>IF($D2164="","",IF(AND($C2164&lt;&gt;"",$Q2164="Có",$R2164="",$S2164="Có",AND($L2164&lt;&gt;"",OR($L2164&lt;&gt;"Chưa xác định",DANH_MUC!$L$9="Có"))),"Có","Không"))</f>
        <v/>
      </c>
      <c r="U2164" s="22">
        <f>IF(OR($D2164="",$T2164="Có"),"",IF($C2164="","Thiếu họ tên; ","")&amp;IF($S2164&lt;&gt;"Có","SĐT sai định dạng; ","")&amp;IF($R2164="Trùng","Trùng SĐT; ","")&amp;IF($Q2164&lt;&gt;"Có","Thiếu đồng ý bắt buộc; ","")&amp;IF($L2164="","Thiếu/sai Mã REF; ",IF(AND($L2164="Chưa xác định",DANH_MUC!$L$9&lt;&gt;"Có"),"Nguồn chưa xác định; ","")))</f>
        <v/>
      </c>
      <c r="V2164" s="22">
        <f>IF(OR($D2164="",$R2164="Trùng"),"",IF(COUNTIF(ORDERS!$C$2:$C$4995,$D2164)&gt;0,"Có","Không"))</f>
        <v/>
      </c>
      <c r="W2164" s="22">
        <f>IF(OR($D2164="",$R2164="Trùng"),"",COUNTIFS(ORDERS!$C$2:$C$4995,$D2164,ORDERS!$L$2:$L$4995,"Đã chuyển khoản"))</f>
        <v/>
      </c>
      <c r="X2164" s="23">
        <f>IF(OR($D2164="",$R2164="Trùng"),"",SUMIFS(ORDERS!$J$2:$J$4995,ORDERS!$C$2:$C$4995,$D2164,ORDERS!$L$2:$L$4995,"Đã chuyển khoản"))</f>
        <v/>
      </c>
      <c r="Y2164" s="24" t="n"/>
    </row>
    <row r="2165" ht="14.25" customHeight="1" s="40">
      <c r="A2165" s="24" t="n"/>
      <c r="B2165" s="27" t="n"/>
      <c r="C2165" s="24" t="n"/>
      <c r="D2165" s="28" t="n"/>
      <c r="E2165" s="29" t="n"/>
      <c r="F2165" s="24" t="n"/>
      <c r="G2165" s="24" t="n"/>
      <c r="H2165" s="21">
        <f>IF(ISNUMBER($B2165),INT($B2165)-WEEKDAY($B2165,2)+1,"")</f>
        <v/>
      </c>
      <c r="I2165" s="24" t="n"/>
      <c r="J2165" s="22">
        <f t="array" ref="J2165">IF($D2165="","",IF($I2165="","(trống REF)",IFERROR(INDEX(MASTER_SOURCE!$B$2:$B$495,MATCH($I2165,MASTER_SOURCE!$A$2:$A$495,0)),"(REF không có trong MASTER_SOURCE)")))</f>
        <v/>
      </c>
      <c r="K2165" s="22">
        <f t="array" ref="K2165">IF($D2165="","",IFERROR(INDEX(MASTER_SOURCE!$C$2:$C$495,MATCH($I2165,MASTER_SOURCE!$A$2:$A$495,0)),""))</f>
        <v/>
      </c>
      <c r="L2165" s="22">
        <f t="array" ref="L2165">IF($D2165="","",IFERROR(INDEX(MASTER_SOURCE!$D$2:$D$495,MATCH($I2165,MASTER_SOURCE!$A$2:$A$495,0)),""))</f>
        <v/>
      </c>
      <c r="M2165" s="24" t="n"/>
      <c r="N2165" s="24" t="n"/>
      <c r="O2165" s="24" t="n"/>
      <c r="P2165" s="24" t="n"/>
      <c r="Q2165" s="22">
        <f>IF($D2165="","",IF(AND(OR(DANH_MUC!$L$5&lt;&gt;"Có",M2165="Có"),OR(DANH_MUC!$L$6&lt;&gt;"Có",N2165="Có"),OR(DANH_MUC!$L$7&lt;&gt;"Có",O2165="Có"),OR(DANH_MUC!$L$8&lt;&gt;"Có",P2165="Có")),"Có","Không"))</f>
        <v/>
      </c>
      <c r="R2165" s="22">
        <f>IF($D2165="","",IF(COUNTIF($D$2:$D2165,$D2165)&gt;1,"Trùng",""))</f>
        <v/>
      </c>
      <c r="S2165" s="22">
        <f>IF($D2165="","",IF(AND(LEN($D2165)=10,LEFT($D2165,1)="0",ISNUMBER(--$D2165)),"Có","Không"))</f>
        <v/>
      </c>
      <c r="T2165" s="22">
        <f>IF($D2165="","",IF(AND($C2165&lt;&gt;"",$Q2165="Có",$R2165="",$S2165="Có",AND($L2165&lt;&gt;"",OR($L2165&lt;&gt;"Chưa xác định",DANH_MUC!$L$9="Có"))),"Có","Không"))</f>
        <v/>
      </c>
      <c r="U2165" s="22">
        <f>IF(OR($D2165="",$T2165="Có"),"",IF($C2165="","Thiếu họ tên; ","")&amp;IF($S2165&lt;&gt;"Có","SĐT sai định dạng; ","")&amp;IF($R2165="Trùng","Trùng SĐT; ","")&amp;IF($Q2165&lt;&gt;"Có","Thiếu đồng ý bắt buộc; ","")&amp;IF($L2165="","Thiếu/sai Mã REF; ",IF(AND($L2165="Chưa xác định",DANH_MUC!$L$9&lt;&gt;"Có"),"Nguồn chưa xác định; ","")))</f>
        <v/>
      </c>
      <c r="V2165" s="22">
        <f>IF(OR($D2165="",$R2165="Trùng"),"",IF(COUNTIF(ORDERS!$C$2:$C$4995,$D2165)&gt;0,"Có","Không"))</f>
        <v/>
      </c>
      <c r="W2165" s="22">
        <f>IF(OR($D2165="",$R2165="Trùng"),"",COUNTIFS(ORDERS!$C$2:$C$4995,$D2165,ORDERS!$L$2:$L$4995,"Đã chuyển khoản"))</f>
        <v/>
      </c>
      <c r="X2165" s="23">
        <f>IF(OR($D2165="",$R2165="Trùng"),"",SUMIFS(ORDERS!$J$2:$J$4995,ORDERS!$C$2:$C$4995,$D2165,ORDERS!$L$2:$L$4995,"Đã chuyển khoản"))</f>
        <v/>
      </c>
      <c r="Y2165" s="24" t="n"/>
    </row>
    <row r="2166" ht="14.25" customHeight="1" s="40">
      <c r="A2166" s="24" t="n"/>
      <c r="B2166" s="27" t="n"/>
      <c r="C2166" s="24" t="n"/>
      <c r="D2166" s="28" t="n"/>
      <c r="E2166" s="29" t="n"/>
      <c r="F2166" s="24" t="n"/>
      <c r="G2166" s="24" t="n"/>
      <c r="H2166" s="21">
        <f>IF(ISNUMBER($B2166),INT($B2166)-WEEKDAY($B2166,2)+1,"")</f>
        <v/>
      </c>
      <c r="I2166" s="24" t="n"/>
      <c r="J2166" s="22">
        <f t="array" ref="J2166">IF($D2166="","",IF($I2166="","(trống REF)",IFERROR(INDEX(MASTER_SOURCE!$B$2:$B$495,MATCH($I2166,MASTER_SOURCE!$A$2:$A$495,0)),"(REF không có trong MASTER_SOURCE)")))</f>
        <v/>
      </c>
      <c r="K2166" s="22">
        <f t="array" ref="K2166">IF($D2166="","",IFERROR(INDEX(MASTER_SOURCE!$C$2:$C$495,MATCH($I2166,MASTER_SOURCE!$A$2:$A$495,0)),""))</f>
        <v/>
      </c>
      <c r="L2166" s="22">
        <f t="array" ref="L2166">IF($D2166="","",IFERROR(INDEX(MASTER_SOURCE!$D$2:$D$495,MATCH($I2166,MASTER_SOURCE!$A$2:$A$495,0)),""))</f>
        <v/>
      </c>
      <c r="M2166" s="24" t="n"/>
      <c r="N2166" s="24" t="n"/>
      <c r="O2166" s="24" t="n"/>
      <c r="P2166" s="24" t="n"/>
      <c r="Q2166" s="22">
        <f>IF($D2166="","",IF(AND(OR(DANH_MUC!$L$5&lt;&gt;"Có",M2166="Có"),OR(DANH_MUC!$L$6&lt;&gt;"Có",N2166="Có"),OR(DANH_MUC!$L$7&lt;&gt;"Có",O2166="Có"),OR(DANH_MUC!$L$8&lt;&gt;"Có",P2166="Có")),"Có","Không"))</f>
        <v/>
      </c>
      <c r="R2166" s="22">
        <f>IF($D2166="","",IF(COUNTIF($D$2:$D2166,$D2166)&gt;1,"Trùng",""))</f>
        <v/>
      </c>
      <c r="S2166" s="22">
        <f>IF($D2166="","",IF(AND(LEN($D2166)=10,LEFT($D2166,1)="0",ISNUMBER(--$D2166)),"Có","Không"))</f>
        <v/>
      </c>
      <c r="T2166" s="22">
        <f>IF($D2166="","",IF(AND($C2166&lt;&gt;"",$Q2166="Có",$R2166="",$S2166="Có",AND($L2166&lt;&gt;"",OR($L2166&lt;&gt;"Chưa xác định",DANH_MUC!$L$9="Có"))),"Có","Không"))</f>
        <v/>
      </c>
      <c r="U2166" s="22">
        <f>IF(OR($D2166="",$T2166="Có"),"",IF($C2166="","Thiếu họ tên; ","")&amp;IF($S2166&lt;&gt;"Có","SĐT sai định dạng; ","")&amp;IF($R2166="Trùng","Trùng SĐT; ","")&amp;IF($Q2166&lt;&gt;"Có","Thiếu đồng ý bắt buộc; ","")&amp;IF($L2166="","Thiếu/sai Mã REF; ",IF(AND($L2166="Chưa xác định",DANH_MUC!$L$9&lt;&gt;"Có"),"Nguồn chưa xác định; ","")))</f>
        <v/>
      </c>
      <c r="V2166" s="22">
        <f>IF(OR($D2166="",$R2166="Trùng"),"",IF(COUNTIF(ORDERS!$C$2:$C$4995,$D2166)&gt;0,"Có","Không"))</f>
        <v/>
      </c>
      <c r="W2166" s="22">
        <f>IF(OR($D2166="",$R2166="Trùng"),"",COUNTIFS(ORDERS!$C$2:$C$4995,$D2166,ORDERS!$L$2:$L$4995,"Đã chuyển khoản"))</f>
        <v/>
      </c>
      <c r="X2166" s="23">
        <f>IF(OR($D2166="",$R2166="Trùng"),"",SUMIFS(ORDERS!$J$2:$J$4995,ORDERS!$C$2:$C$4995,$D2166,ORDERS!$L$2:$L$4995,"Đã chuyển khoản"))</f>
        <v/>
      </c>
      <c r="Y2166" s="24" t="n"/>
    </row>
    <row r="2167" ht="14.25" customHeight="1" s="40">
      <c r="A2167" s="24" t="n"/>
      <c r="B2167" s="27" t="n"/>
      <c r="C2167" s="24" t="n"/>
      <c r="D2167" s="28" t="n"/>
      <c r="E2167" s="29" t="n"/>
      <c r="F2167" s="24" t="n"/>
      <c r="G2167" s="24" t="n"/>
      <c r="H2167" s="21">
        <f>IF(ISNUMBER($B2167),INT($B2167)-WEEKDAY($B2167,2)+1,"")</f>
        <v/>
      </c>
      <c r="I2167" s="24" t="n"/>
      <c r="J2167" s="22">
        <f t="array" ref="J2167">IF($D2167="","",IF($I2167="","(trống REF)",IFERROR(INDEX(MASTER_SOURCE!$B$2:$B$495,MATCH($I2167,MASTER_SOURCE!$A$2:$A$495,0)),"(REF không có trong MASTER_SOURCE)")))</f>
        <v/>
      </c>
      <c r="K2167" s="22">
        <f t="array" ref="K2167">IF($D2167="","",IFERROR(INDEX(MASTER_SOURCE!$C$2:$C$495,MATCH($I2167,MASTER_SOURCE!$A$2:$A$495,0)),""))</f>
        <v/>
      </c>
      <c r="L2167" s="22">
        <f t="array" ref="L2167">IF($D2167="","",IFERROR(INDEX(MASTER_SOURCE!$D$2:$D$495,MATCH($I2167,MASTER_SOURCE!$A$2:$A$495,0)),""))</f>
        <v/>
      </c>
      <c r="M2167" s="24" t="n"/>
      <c r="N2167" s="24" t="n"/>
      <c r="O2167" s="24" t="n"/>
      <c r="P2167" s="24" t="n"/>
      <c r="Q2167" s="22">
        <f>IF($D2167="","",IF(AND(OR(DANH_MUC!$L$5&lt;&gt;"Có",M2167="Có"),OR(DANH_MUC!$L$6&lt;&gt;"Có",N2167="Có"),OR(DANH_MUC!$L$7&lt;&gt;"Có",O2167="Có"),OR(DANH_MUC!$L$8&lt;&gt;"Có",P2167="Có")),"Có","Không"))</f>
        <v/>
      </c>
      <c r="R2167" s="22">
        <f>IF($D2167="","",IF(COUNTIF($D$2:$D2167,$D2167)&gt;1,"Trùng",""))</f>
        <v/>
      </c>
      <c r="S2167" s="22">
        <f>IF($D2167="","",IF(AND(LEN($D2167)=10,LEFT($D2167,1)="0",ISNUMBER(--$D2167)),"Có","Không"))</f>
        <v/>
      </c>
      <c r="T2167" s="22">
        <f>IF($D2167="","",IF(AND($C2167&lt;&gt;"",$Q2167="Có",$R2167="",$S2167="Có",AND($L2167&lt;&gt;"",OR($L2167&lt;&gt;"Chưa xác định",DANH_MUC!$L$9="Có"))),"Có","Không"))</f>
        <v/>
      </c>
      <c r="U2167" s="22">
        <f>IF(OR($D2167="",$T2167="Có"),"",IF($C2167="","Thiếu họ tên; ","")&amp;IF($S2167&lt;&gt;"Có","SĐT sai định dạng; ","")&amp;IF($R2167="Trùng","Trùng SĐT; ","")&amp;IF($Q2167&lt;&gt;"Có","Thiếu đồng ý bắt buộc; ","")&amp;IF($L2167="","Thiếu/sai Mã REF; ",IF(AND($L2167="Chưa xác định",DANH_MUC!$L$9&lt;&gt;"Có"),"Nguồn chưa xác định; ","")))</f>
        <v/>
      </c>
      <c r="V2167" s="22">
        <f>IF(OR($D2167="",$R2167="Trùng"),"",IF(COUNTIF(ORDERS!$C$2:$C$4995,$D2167)&gt;0,"Có","Không"))</f>
        <v/>
      </c>
      <c r="W2167" s="22">
        <f>IF(OR($D2167="",$R2167="Trùng"),"",COUNTIFS(ORDERS!$C$2:$C$4995,$D2167,ORDERS!$L$2:$L$4995,"Đã chuyển khoản"))</f>
        <v/>
      </c>
      <c r="X2167" s="23">
        <f>IF(OR($D2167="",$R2167="Trùng"),"",SUMIFS(ORDERS!$J$2:$J$4995,ORDERS!$C$2:$C$4995,$D2167,ORDERS!$L$2:$L$4995,"Đã chuyển khoản"))</f>
        <v/>
      </c>
      <c r="Y2167" s="24" t="n"/>
    </row>
    <row r="2168" ht="14.25" customHeight="1" s="40">
      <c r="A2168" s="24" t="n"/>
      <c r="B2168" s="27" t="n"/>
      <c r="C2168" s="24" t="n"/>
      <c r="D2168" s="28" t="n"/>
      <c r="E2168" s="29" t="n"/>
      <c r="F2168" s="24" t="n"/>
      <c r="G2168" s="24" t="n"/>
      <c r="H2168" s="21">
        <f>IF(ISNUMBER($B2168),INT($B2168)-WEEKDAY($B2168,2)+1,"")</f>
        <v/>
      </c>
      <c r="I2168" s="24" t="n"/>
      <c r="J2168" s="22">
        <f t="array" ref="J2168">IF($D2168="","",IF($I2168="","(trống REF)",IFERROR(INDEX(MASTER_SOURCE!$B$2:$B$495,MATCH($I2168,MASTER_SOURCE!$A$2:$A$495,0)),"(REF không có trong MASTER_SOURCE)")))</f>
        <v/>
      </c>
      <c r="K2168" s="22">
        <f t="array" ref="K2168">IF($D2168="","",IFERROR(INDEX(MASTER_SOURCE!$C$2:$C$495,MATCH($I2168,MASTER_SOURCE!$A$2:$A$495,0)),""))</f>
        <v/>
      </c>
      <c r="L2168" s="22">
        <f t="array" ref="L2168">IF($D2168="","",IFERROR(INDEX(MASTER_SOURCE!$D$2:$D$495,MATCH($I2168,MASTER_SOURCE!$A$2:$A$495,0)),""))</f>
        <v/>
      </c>
      <c r="M2168" s="24" t="n"/>
      <c r="N2168" s="24" t="n"/>
      <c r="O2168" s="24" t="n"/>
      <c r="P2168" s="24" t="n"/>
      <c r="Q2168" s="22">
        <f>IF($D2168="","",IF(AND(OR(DANH_MUC!$L$5&lt;&gt;"Có",M2168="Có"),OR(DANH_MUC!$L$6&lt;&gt;"Có",N2168="Có"),OR(DANH_MUC!$L$7&lt;&gt;"Có",O2168="Có"),OR(DANH_MUC!$L$8&lt;&gt;"Có",P2168="Có")),"Có","Không"))</f>
        <v/>
      </c>
      <c r="R2168" s="22">
        <f>IF($D2168="","",IF(COUNTIF($D$2:$D2168,$D2168)&gt;1,"Trùng",""))</f>
        <v/>
      </c>
      <c r="S2168" s="22">
        <f>IF($D2168="","",IF(AND(LEN($D2168)=10,LEFT($D2168,1)="0",ISNUMBER(--$D2168)),"Có","Không"))</f>
        <v/>
      </c>
      <c r="T2168" s="22">
        <f>IF($D2168="","",IF(AND($C2168&lt;&gt;"",$Q2168="Có",$R2168="",$S2168="Có",AND($L2168&lt;&gt;"",OR($L2168&lt;&gt;"Chưa xác định",DANH_MUC!$L$9="Có"))),"Có","Không"))</f>
        <v/>
      </c>
      <c r="U2168" s="22">
        <f>IF(OR($D2168="",$T2168="Có"),"",IF($C2168="","Thiếu họ tên; ","")&amp;IF($S2168&lt;&gt;"Có","SĐT sai định dạng; ","")&amp;IF($R2168="Trùng","Trùng SĐT; ","")&amp;IF($Q2168&lt;&gt;"Có","Thiếu đồng ý bắt buộc; ","")&amp;IF($L2168="","Thiếu/sai Mã REF; ",IF(AND($L2168="Chưa xác định",DANH_MUC!$L$9&lt;&gt;"Có"),"Nguồn chưa xác định; ","")))</f>
        <v/>
      </c>
      <c r="V2168" s="22">
        <f>IF(OR($D2168="",$R2168="Trùng"),"",IF(COUNTIF(ORDERS!$C$2:$C$4995,$D2168)&gt;0,"Có","Không"))</f>
        <v/>
      </c>
      <c r="W2168" s="22">
        <f>IF(OR($D2168="",$R2168="Trùng"),"",COUNTIFS(ORDERS!$C$2:$C$4995,$D2168,ORDERS!$L$2:$L$4995,"Đã chuyển khoản"))</f>
        <v/>
      </c>
      <c r="X2168" s="23">
        <f>IF(OR($D2168="",$R2168="Trùng"),"",SUMIFS(ORDERS!$J$2:$J$4995,ORDERS!$C$2:$C$4995,$D2168,ORDERS!$L$2:$L$4995,"Đã chuyển khoản"))</f>
        <v/>
      </c>
      <c r="Y2168" s="24" t="n"/>
    </row>
    <row r="2169" ht="14.25" customHeight="1" s="40">
      <c r="A2169" s="24" t="n"/>
      <c r="B2169" s="27" t="n"/>
      <c r="C2169" s="24" t="n"/>
      <c r="D2169" s="28" t="n"/>
      <c r="E2169" s="29" t="n"/>
      <c r="F2169" s="24" t="n"/>
      <c r="G2169" s="24" t="n"/>
      <c r="H2169" s="21">
        <f>IF(ISNUMBER($B2169),INT($B2169)-WEEKDAY($B2169,2)+1,"")</f>
        <v/>
      </c>
      <c r="I2169" s="24" t="n"/>
      <c r="J2169" s="22">
        <f t="array" ref="J2169">IF($D2169="","",IF($I2169="","(trống REF)",IFERROR(INDEX(MASTER_SOURCE!$B$2:$B$495,MATCH($I2169,MASTER_SOURCE!$A$2:$A$495,0)),"(REF không có trong MASTER_SOURCE)")))</f>
        <v/>
      </c>
      <c r="K2169" s="22">
        <f t="array" ref="K2169">IF($D2169="","",IFERROR(INDEX(MASTER_SOURCE!$C$2:$C$495,MATCH($I2169,MASTER_SOURCE!$A$2:$A$495,0)),""))</f>
        <v/>
      </c>
      <c r="L2169" s="22">
        <f t="array" ref="L2169">IF($D2169="","",IFERROR(INDEX(MASTER_SOURCE!$D$2:$D$495,MATCH($I2169,MASTER_SOURCE!$A$2:$A$495,0)),""))</f>
        <v/>
      </c>
      <c r="M2169" s="24" t="n"/>
      <c r="N2169" s="24" t="n"/>
      <c r="O2169" s="24" t="n"/>
      <c r="P2169" s="24" t="n"/>
      <c r="Q2169" s="22">
        <f>IF($D2169="","",IF(AND(OR(DANH_MUC!$L$5&lt;&gt;"Có",M2169="Có"),OR(DANH_MUC!$L$6&lt;&gt;"Có",N2169="Có"),OR(DANH_MUC!$L$7&lt;&gt;"Có",O2169="Có"),OR(DANH_MUC!$L$8&lt;&gt;"Có",P2169="Có")),"Có","Không"))</f>
        <v/>
      </c>
      <c r="R2169" s="22">
        <f>IF($D2169="","",IF(COUNTIF($D$2:$D2169,$D2169)&gt;1,"Trùng",""))</f>
        <v/>
      </c>
      <c r="S2169" s="22">
        <f>IF($D2169="","",IF(AND(LEN($D2169)=10,LEFT($D2169,1)="0",ISNUMBER(--$D2169)),"Có","Không"))</f>
        <v/>
      </c>
      <c r="T2169" s="22">
        <f>IF($D2169="","",IF(AND($C2169&lt;&gt;"",$Q2169="Có",$R2169="",$S2169="Có",AND($L2169&lt;&gt;"",OR($L2169&lt;&gt;"Chưa xác định",DANH_MUC!$L$9="Có"))),"Có","Không"))</f>
        <v/>
      </c>
      <c r="U2169" s="22">
        <f>IF(OR($D2169="",$T2169="Có"),"",IF($C2169="","Thiếu họ tên; ","")&amp;IF($S2169&lt;&gt;"Có","SĐT sai định dạng; ","")&amp;IF($R2169="Trùng","Trùng SĐT; ","")&amp;IF($Q2169&lt;&gt;"Có","Thiếu đồng ý bắt buộc; ","")&amp;IF($L2169="","Thiếu/sai Mã REF; ",IF(AND($L2169="Chưa xác định",DANH_MUC!$L$9&lt;&gt;"Có"),"Nguồn chưa xác định; ","")))</f>
        <v/>
      </c>
      <c r="V2169" s="22">
        <f>IF(OR($D2169="",$R2169="Trùng"),"",IF(COUNTIF(ORDERS!$C$2:$C$4995,$D2169)&gt;0,"Có","Không"))</f>
        <v/>
      </c>
      <c r="W2169" s="22">
        <f>IF(OR($D2169="",$R2169="Trùng"),"",COUNTIFS(ORDERS!$C$2:$C$4995,$D2169,ORDERS!$L$2:$L$4995,"Đã chuyển khoản"))</f>
        <v/>
      </c>
      <c r="X2169" s="23">
        <f>IF(OR($D2169="",$R2169="Trùng"),"",SUMIFS(ORDERS!$J$2:$J$4995,ORDERS!$C$2:$C$4995,$D2169,ORDERS!$L$2:$L$4995,"Đã chuyển khoản"))</f>
        <v/>
      </c>
      <c r="Y2169" s="24" t="n"/>
    </row>
    <row r="2170" ht="14.25" customHeight="1" s="40">
      <c r="A2170" s="24" t="n"/>
      <c r="B2170" s="27" t="n"/>
      <c r="C2170" s="24" t="n"/>
      <c r="D2170" s="28" t="n"/>
      <c r="E2170" s="29" t="n"/>
      <c r="F2170" s="24" t="n"/>
      <c r="G2170" s="24" t="n"/>
      <c r="H2170" s="21">
        <f>IF(ISNUMBER($B2170),INT($B2170)-WEEKDAY($B2170,2)+1,"")</f>
        <v/>
      </c>
      <c r="I2170" s="24" t="n"/>
      <c r="J2170" s="22">
        <f t="array" ref="J2170">IF($D2170="","",IF($I2170="","(trống REF)",IFERROR(INDEX(MASTER_SOURCE!$B$2:$B$495,MATCH($I2170,MASTER_SOURCE!$A$2:$A$495,0)),"(REF không có trong MASTER_SOURCE)")))</f>
        <v/>
      </c>
      <c r="K2170" s="22">
        <f t="array" ref="K2170">IF($D2170="","",IFERROR(INDEX(MASTER_SOURCE!$C$2:$C$495,MATCH($I2170,MASTER_SOURCE!$A$2:$A$495,0)),""))</f>
        <v/>
      </c>
      <c r="L2170" s="22">
        <f t="array" ref="L2170">IF($D2170="","",IFERROR(INDEX(MASTER_SOURCE!$D$2:$D$495,MATCH($I2170,MASTER_SOURCE!$A$2:$A$495,0)),""))</f>
        <v/>
      </c>
      <c r="M2170" s="24" t="n"/>
      <c r="N2170" s="24" t="n"/>
      <c r="O2170" s="24" t="n"/>
      <c r="P2170" s="24" t="n"/>
      <c r="Q2170" s="22">
        <f>IF($D2170="","",IF(AND(OR(DANH_MUC!$L$5&lt;&gt;"Có",M2170="Có"),OR(DANH_MUC!$L$6&lt;&gt;"Có",N2170="Có"),OR(DANH_MUC!$L$7&lt;&gt;"Có",O2170="Có"),OR(DANH_MUC!$L$8&lt;&gt;"Có",P2170="Có")),"Có","Không"))</f>
        <v/>
      </c>
      <c r="R2170" s="22">
        <f>IF($D2170="","",IF(COUNTIF($D$2:$D2170,$D2170)&gt;1,"Trùng",""))</f>
        <v/>
      </c>
      <c r="S2170" s="22">
        <f>IF($D2170="","",IF(AND(LEN($D2170)=10,LEFT($D2170,1)="0",ISNUMBER(--$D2170)),"Có","Không"))</f>
        <v/>
      </c>
      <c r="T2170" s="22">
        <f>IF($D2170="","",IF(AND($C2170&lt;&gt;"",$Q2170="Có",$R2170="",$S2170="Có",AND($L2170&lt;&gt;"",OR($L2170&lt;&gt;"Chưa xác định",DANH_MUC!$L$9="Có"))),"Có","Không"))</f>
        <v/>
      </c>
      <c r="U2170" s="22">
        <f>IF(OR($D2170="",$T2170="Có"),"",IF($C2170="","Thiếu họ tên; ","")&amp;IF($S2170&lt;&gt;"Có","SĐT sai định dạng; ","")&amp;IF($R2170="Trùng","Trùng SĐT; ","")&amp;IF($Q2170&lt;&gt;"Có","Thiếu đồng ý bắt buộc; ","")&amp;IF($L2170="","Thiếu/sai Mã REF; ",IF(AND($L2170="Chưa xác định",DANH_MUC!$L$9&lt;&gt;"Có"),"Nguồn chưa xác định; ","")))</f>
        <v/>
      </c>
      <c r="V2170" s="22">
        <f>IF(OR($D2170="",$R2170="Trùng"),"",IF(COUNTIF(ORDERS!$C$2:$C$4995,$D2170)&gt;0,"Có","Không"))</f>
        <v/>
      </c>
      <c r="W2170" s="22">
        <f>IF(OR($D2170="",$R2170="Trùng"),"",COUNTIFS(ORDERS!$C$2:$C$4995,$D2170,ORDERS!$L$2:$L$4995,"Đã chuyển khoản"))</f>
        <v/>
      </c>
      <c r="X2170" s="23">
        <f>IF(OR($D2170="",$R2170="Trùng"),"",SUMIFS(ORDERS!$J$2:$J$4995,ORDERS!$C$2:$C$4995,$D2170,ORDERS!$L$2:$L$4995,"Đã chuyển khoản"))</f>
        <v/>
      </c>
      <c r="Y2170" s="24" t="n"/>
    </row>
    <row r="2171" ht="14.25" customHeight="1" s="40">
      <c r="A2171" s="24" t="n"/>
      <c r="B2171" s="27" t="n"/>
      <c r="C2171" s="24" t="n"/>
      <c r="D2171" s="28" t="n"/>
      <c r="E2171" s="29" t="n"/>
      <c r="F2171" s="24" t="n"/>
      <c r="G2171" s="24" t="n"/>
      <c r="H2171" s="21">
        <f>IF(ISNUMBER($B2171),INT($B2171)-WEEKDAY($B2171,2)+1,"")</f>
        <v/>
      </c>
      <c r="I2171" s="24" t="n"/>
      <c r="J2171" s="22">
        <f t="array" ref="J2171">IF($D2171="","",IF($I2171="","(trống REF)",IFERROR(INDEX(MASTER_SOURCE!$B$2:$B$495,MATCH($I2171,MASTER_SOURCE!$A$2:$A$495,0)),"(REF không có trong MASTER_SOURCE)")))</f>
        <v/>
      </c>
      <c r="K2171" s="22">
        <f t="array" ref="K2171">IF($D2171="","",IFERROR(INDEX(MASTER_SOURCE!$C$2:$C$495,MATCH($I2171,MASTER_SOURCE!$A$2:$A$495,0)),""))</f>
        <v/>
      </c>
      <c r="L2171" s="22">
        <f t="array" ref="L2171">IF($D2171="","",IFERROR(INDEX(MASTER_SOURCE!$D$2:$D$495,MATCH($I2171,MASTER_SOURCE!$A$2:$A$495,0)),""))</f>
        <v/>
      </c>
      <c r="M2171" s="24" t="n"/>
      <c r="N2171" s="24" t="n"/>
      <c r="O2171" s="24" t="n"/>
      <c r="P2171" s="24" t="n"/>
      <c r="Q2171" s="22">
        <f>IF($D2171="","",IF(AND(OR(DANH_MUC!$L$5&lt;&gt;"Có",M2171="Có"),OR(DANH_MUC!$L$6&lt;&gt;"Có",N2171="Có"),OR(DANH_MUC!$L$7&lt;&gt;"Có",O2171="Có"),OR(DANH_MUC!$L$8&lt;&gt;"Có",P2171="Có")),"Có","Không"))</f>
        <v/>
      </c>
      <c r="R2171" s="22">
        <f>IF($D2171="","",IF(COUNTIF($D$2:$D2171,$D2171)&gt;1,"Trùng",""))</f>
        <v/>
      </c>
      <c r="S2171" s="22">
        <f>IF($D2171="","",IF(AND(LEN($D2171)=10,LEFT($D2171,1)="0",ISNUMBER(--$D2171)),"Có","Không"))</f>
        <v/>
      </c>
      <c r="T2171" s="22">
        <f>IF($D2171="","",IF(AND($C2171&lt;&gt;"",$Q2171="Có",$R2171="",$S2171="Có",AND($L2171&lt;&gt;"",OR($L2171&lt;&gt;"Chưa xác định",DANH_MUC!$L$9="Có"))),"Có","Không"))</f>
        <v/>
      </c>
      <c r="U2171" s="22">
        <f>IF(OR($D2171="",$T2171="Có"),"",IF($C2171="","Thiếu họ tên; ","")&amp;IF($S2171&lt;&gt;"Có","SĐT sai định dạng; ","")&amp;IF($R2171="Trùng","Trùng SĐT; ","")&amp;IF($Q2171&lt;&gt;"Có","Thiếu đồng ý bắt buộc; ","")&amp;IF($L2171="","Thiếu/sai Mã REF; ",IF(AND($L2171="Chưa xác định",DANH_MUC!$L$9&lt;&gt;"Có"),"Nguồn chưa xác định; ","")))</f>
        <v/>
      </c>
      <c r="V2171" s="22">
        <f>IF(OR($D2171="",$R2171="Trùng"),"",IF(COUNTIF(ORDERS!$C$2:$C$4995,$D2171)&gt;0,"Có","Không"))</f>
        <v/>
      </c>
      <c r="W2171" s="22">
        <f>IF(OR($D2171="",$R2171="Trùng"),"",COUNTIFS(ORDERS!$C$2:$C$4995,$D2171,ORDERS!$L$2:$L$4995,"Đã chuyển khoản"))</f>
        <v/>
      </c>
      <c r="X2171" s="23">
        <f>IF(OR($D2171="",$R2171="Trùng"),"",SUMIFS(ORDERS!$J$2:$J$4995,ORDERS!$C$2:$C$4995,$D2171,ORDERS!$L$2:$L$4995,"Đã chuyển khoản"))</f>
        <v/>
      </c>
      <c r="Y2171" s="24" t="n"/>
    </row>
    <row r="2172" ht="14.25" customHeight="1" s="40">
      <c r="A2172" s="24" t="n"/>
      <c r="B2172" s="27" t="n"/>
      <c r="C2172" s="24" t="n"/>
      <c r="D2172" s="28" t="n"/>
      <c r="E2172" s="29" t="n"/>
      <c r="F2172" s="24" t="n"/>
      <c r="G2172" s="24" t="n"/>
      <c r="H2172" s="21">
        <f>IF(ISNUMBER($B2172),INT($B2172)-WEEKDAY($B2172,2)+1,"")</f>
        <v/>
      </c>
      <c r="I2172" s="24" t="n"/>
      <c r="J2172" s="22">
        <f t="array" ref="J2172">IF($D2172="","",IF($I2172="","(trống REF)",IFERROR(INDEX(MASTER_SOURCE!$B$2:$B$495,MATCH($I2172,MASTER_SOURCE!$A$2:$A$495,0)),"(REF không có trong MASTER_SOURCE)")))</f>
        <v/>
      </c>
      <c r="K2172" s="22">
        <f t="array" ref="K2172">IF($D2172="","",IFERROR(INDEX(MASTER_SOURCE!$C$2:$C$495,MATCH($I2172,MASTER_SOURCE!$A$2:$A$495,0)),""))</f>
        <v/>
      </c>
      <c r="L2172" s="22">
        <f t="array" ref="L2172">IF($D2172="","",IFERROR(INDEX(MASTER_SOURCE!$D$2:$D$495,MATCH($I2172,MASTER_SOURCE!$A$2:$A$495,0)),""))</f>
        <v/>
      </c>
      <c r="M2172" s="24" t="n"/>
      <c r="N2172" s="24" t="n"/>
      <c r="O2172" s="24" t="n"/>
      <c r="P2172" s="24" t="n"/>
      <c r="Q2172" s="22">
        <f>IF($D2172="","",IF(AND(OR(DANH_MUC!$L$5&lt;&gt;"Có",M2172="Có"),OR(DANH_MUC!$L$6&lt;&gt;"Có",N2172="Có"),OR(DANH_MUC!$L$7&lt;&gt;"Có",O2172="Có"),OR(DANH_MUC!$L$8&lt;&gt;"Có",P2172="Có")),"Có","Không"))</f>
        <v/>
      </c>
      <c r="R2172" s="22">
        <f>IF($D2172="","",IF(COUNTIF($D$2:$D2172,$D2172)&gt;1,"Trùng",""))</f>
        <v/>
      </c>
      <c r="S2172" s="22">
        <f>IF($D2172="","",IF(AND(LEN($D2172)=10,LEFT($D2172,1)="0",ISNUMBER(--$D2172)),"Có","Không"))</f>
        <v/>
      </c>
      <c r="T2172" s="22">
        <f>IF($D2172="","",IF(AND($C2172&lt;&gt;"",$Q2172="Có",$R2172="",$S2172="Có",AND($L2172&lt;&gt;"",OR($L2172&lt;&gt;"Chưa xác định",DANH_MUC!$L$9="Có"))),"Có","Không"))</f>
        <v/>
      </c>
      <c r="U2172" s="22">
        <f>IF(OR($D2172="",$T2172="Có"),"",IF($C2172="","Thiếu họ tên; ","")&amp;IF($S2172&lt;&gt;"Có","SĐT sai định dạng; ","")&amp;IF($R2172="Trùng","Trùng SĐT; ","")&amp;IF($Q2172&lt;&gt;"Có","Thiếu đồng ý bắt buộc; ","")&amp;IF($L2172="","Thiếu/sai Mã REF; ",IF(AND($L2172="Chưa xác định",DANH_MUC!$L$9&lt;&gt;"Có"),"Nguồn chưa xác định; ","")))</f>
        <v/>
      </c>
      <c r="V2172" s="22">
        <f>IF(OR($D2172="",$R2172="Trùng"),"",IF(COUNTIF(ORDERS!$C$2:$C$4995,$D2172)&gt;0,"Có","Không"))</f>
        <v/>
      </c>
      <c r="W2172" s="22">
        <f>IF(OR($D2172="",$R2172="Trùng"),"",COUNTIFS(ORDERS!$C$2:$C$4995,$D2172,ORDERS!$L$2:$L$4995,"Đã chuyển khoản"))</f>
        <v/>
      </c>
      <c r="X2172" s="23">
        <f>IF(OR($D2172="",$R2172="Trùng"),"",SUMIFS(ORDERS!$J$2:$J$4995,ORDERS!$C$2:$C$4995,$D2172,ORDERS!$L$2:$L$4995,"Đã chuyển khoản"))</f>
        <v/>
      </c>
      <c r="Y2172" s="24" t="n"/>
    </row>
    <row r="2173" ht="14.25" customHeight="1" s="40">
      <c r="A2173" s="24" t="n"/>
      <c r="B2173" s="27" t="n"/>
      <c r="C2173" s="24" t="n"/>
      <c r="D2173" s="28" t="n"/>
      <c r="E2173" s="29" t="n"/>
      <c r="F2173" s="24" t="n"/>
      <c r="G2173" s="24" t="n"/>
      <c r="H2173" s="21">
        <f>IF(ISNUMBER($B2173),INT($B2173)-WEEKDAY($B2173,2)+1,"")</f>
        <v/>
      </c>
      <c r="I2173" s="24" t="n"/>
      <c r="J2173" s="22">
        <f t="array" ref="J2173">IF($D2173="","",IF($I2173="","(trống REF)",IFERROR(INDEX(MASTER_SOURCE!$B$2:$B$495,MATCH($I2173,MASTER_SOURCE!$A$2:$A$495,0)),"(REF không có trong MASTER_SOURCE)")))</f>
        <v/>
      </c>
      <c r="K2173" s="22">
        <f t="array" ref="K2173">IF($D2173="","",IFERROR(INDEX(MASTER_SOURCE!$C$2:$C$495,MATCH($I2173,MASTER_SOURCE!$A$2:$A$495,0)),""))</f>
        <v/>
      </c>
      <c r="L2173" s="22">
        <f t="array" ref="L2173">IF($D2173="","",IFERROR(INDEX(MASTER_SOURCE!$D$2:$D$495,MATCH($I2173,MASTER_SOURCE!$A$2:$A$495,0)),""))</f>
        <v/>
      </c>
      <c r="M2173" s="24" t="n"/>
      <c r="N2173" s="24" t="n"/>
      <c r="O2173" s="24" t="n"/>
      <c r="P2173" s="24" t="n"/>
      <c r="Q2173" s="22">
        <f>IF($D2173="","",IF(AND(OR(DANH_MUC!$L$5&lt;&gt;"Có",M2173="Có"),OR(DANH_MUC!$L$6&lt;&gt;"Có",N2173="Có"),OR(DANH_MUC!$L$7&lt;&gt;"Có",O2173="Có"),OR(DANH_MUC!$L$8&lt;&gt;"Có",P2173="Có")),"Có","Không"))</f>
        <v/>
      </c>
      <c r="R2173" s="22">
        <f>IF($D2173="","",IF(COUNTIF($D$2:$D2173,$D2173)&gt;1,"Trùng",""))</f>
        <v/>
      </c>
      <c r="S2173" s="22">
        <f>IF($D2173="","",IF(AND(LEN($D2173)=10,LEFT($D2173,1)="0",ISNUMBER(--$D2173)),"Có","Không"))</f>
        <v/>
      </c>
      <c r="T2173" s="22">
        <f>IF($D2173="","",IF(AND($C2173&lt;&gt;"",$Q2173="Có",$R2173="",$S2173="Có",AND($L2173&lt;&gt;"",OR($L2173&lt;&gt;"Chưa xác định",DANH_MUC!$L$9="Có"))),"Có","Không"))</f>
        <v/>
      </c>
      <c r="U2173" s="22">
        <f>IF(OR($D2173="",$T2173="Có"),"",IF($C2173="","Thiếu họ tên; ","")&amp;IF($S2173&lt;&gt;"Có","SĐT sai định dạng; ","")&amp;IF($R2173="Trùng","Trùng SĐT; ","")&amp;IF($Q2173&lt;&gt;"Có","Thiếu đồng ý bắt buộc; ","")&amp;IF($L2173="","Thiếu/sai Mã REF; ",IF(AND($L2173="Chưa xác định",DANH_MUC!$L$9&lt;&gt;"Có"),"Nguồn chưa xác định; ","")))</f>
        <v/>
      </c>
      <c r="V2173" s="22">
        <f>IF(OR($D2173="",$R2173="Trùng"),"",IF(COUNTIF(ORDERS!$C$2:$C$4995,$D2173)&gt;0,"Có","Không"))</f>
        <v/>
      </c>
      <c r="W2173" s="22">
        <f>IF(OR($D2173="",$R2173="Trùng"),"",COUNTIFS(ORDERS!$C$2:$C$4995,$D2173,ORDERS!$L$2:$L$4995,"Đã chuyển khoản"))</f>
        <v/>
      </c>
      <c r="X2173" s="23">
        <f>IF(OR($D2173="",$R2173="Trùng"),"",SUMIFS(ORDERS!$J$2:$J$4995,ORDERS!$C$2:$C$4995,$D2173,ORDERS!$L$2:$L$4995,"Đã chuyển khoản"))</f>
        <v/>
      </c>
      <c r="Y2173" s="24" t="n"/>
    </row>
    <row r="2174" ht="14.25" customHeight="1" s="40">
      <c r="A2174" s="24" t="n"/>
      <c r="B2174" s="27" t="n"/>
      <c r="C2174" s="24" t="n"/>
      <c r="D2174" s="28" t="n"/>
      <c r="E2174" s="29" t="n"/>
      <c r="F2174" s="24" t="n"/>
      <c r="G2174" s="24" t="n"/>
      <c r="H2174" s="21">
        <f>IF(ISNUMBER($B2174),INT($B2174)-WEEKDAY($B2174,2)+1,"")</f>
        <v/>
      </c>
      <c r="I2174" s="24" t="n"/>
      <c r="J2174" s="22">
        <f t="array" ref="J2174">IF($D2174="","",IF($I2174="","(trống REF)",IFERROR(INDEX(MASTER_SOURCE!$B$2:$B$495,MATCH($I2174,MASTER_SOURCE!$A$2:$A$495,0)),"(REF không có trong MASTER_SOURCE)")))</f>
        <v/>
      </c>
      <c r="K2174" s="22">
        <f t="array" ref="K2174">IF($D2174="","",IFERROR(INDEX(MASTER_SOURCE!$C$2:$C$495,MATCH($I2174,MASTER_SOURCE!$A$2:$A$495,0)),""))</f>
        <v/>
      </c>
      <c r="L2174" s="22">
        <f t="array" ref="L2174">IF($D2174="","",IFERROR(INDEX(MASTER_SOURCE!$D$2:$D$495,MATCH($I2174,MASTER_SOURCE!$A$2:$A$495,0)),""))</f>
        <v/>
      </c>
      <c r="M2174" s="24" t="n"/>
      <c r="N2174" s="24" t="n"/>
      <c r="O2174" s="24" t="n"/>
      <c r="P2174" s="24" t="n"/>
      <c r="Q2174" s="22">
        <f>IF($D2174="","",IF(AND(OR(DANH_MUC!$L$5&lt;&gt;"Có",M2174="Có"),OR(DANH_MUC!$L$6&lt;&gt;"Có",N2174="Có"),OR(DANH_MUC!$L$7&lt;&gt;"Có",O2174="Có"),OR(DANH_MUC!$L$8&lt;&gt;"Có",P2174="Có")),"Có","Không"))</f>
        <v/>
      </c>
      <c r="R2174" s="22">
        <f>IF($D2174="","",IF(COUNTIF($D$2:$D2174,$D2174)&gt;1,"Trùng",""))</f>
        <v/>
      </c>
      <c r="S2174" s="22">
        <f>IF($D2174="","",IF(AND(LEN($D2174)=10,LEFT($D2174,1)="0",ISNUMBER(--$D2174)),"Có","Không"))</f>
        <v/>
      </c>
      <c r="T2174" s="22">
        <f>IF($D2174="","",IF(AND($C2174&lt;&gt;"",$Q2174="Có",$R2174="",$S2174="Có",AND($L2174&lt;&gt;"",OR($L2174&lt;&gt;"Chưa xác định",DANH_MUC!$L$9="Có"))),"Có","Không"))</f>
        <v/>
      </c>
      <c r="U2174" s="22">
        <f>IF(OR($D2174="",$T2174="Có"),"",IF($C2174="","Thiếu họ tên; ","")&amp;IF($S2174&lt;&gt;"Có","SĐT sai định dạng; ","")&amp;IF($R2174="Trùng","Trùng SĐT; ","")&amp;IF($Q2174&lt;&gt;"Có","Thiếu đồng ý bắt buộc; ","")&amp;IF($L2174="","Thiếu/sai Mã REF; ",IF(AND($L2174="Chưa xác định",DANH_MUC!$L$9&lt;&gt;"Có"),"Nguồn chưa xác định; ","")))</f>
        <v/>
      </c>
      <c r="V2174" s="22">
        <f>IF(OR($D2174="",$R2174="Trùng"),"",IF(COUNTIF(ORDERS!$C$2:$C$4995,$D2174)&gt;0,"Có","Không"))</f>
        <v/>
      </c>
      <c r="W2174" s="22">
        <f>IF(OR($D2174="",$R2174="Trùng"),"",COUNTIFS(ORDERS!$C$2:$C$4995,$D2174,ORDERS!$L$2:$L$4995,"Đã chuyển khoản"))</f>
        <v/>
      </c>
      <c r="X2174" s="23">
        <f>IF(OR($D2174="",$R2174="Trùng"),"",SUMIFS(ORDERS!$J$2:$J$4995,ORDERS!$C$2:$C$4995,$D2174,ORDERS!$L$2:$L$4995,"Đã chuyển khoản"))</f>
        <v/>
      </c>
      <c r="Y2174" s="24" t="n"/>
    </row>
    <row r="2175" ht="14.25" customHeight="1" s="40">
      <c r="A2175" s="24" t="n"/>
      <c r="B2175" s="27" t="n"/>
      <c r="C2175" s="24" t="n"/>
      <c r="D2175" s="28" t="n"/>
      <c r="E2175" s="29" t="n"/>
      <c r="F2175" s="24" t="n"/>
      <c r="G2175" s="24" t="n"/>
      <c r="H2175" s="21">
        <f>IF(ISNUMBER($B2175),INT($B2175)-WEEKDAY($B2175,2)+1,"")</f>
        <v/>
      </c>
      <c r="I2175" s="24" t="n"/>
      <c r="J2175" s="22">
        <f t="array" ref="J2175">IF($D2175="","",IF($I2175="","(trống REF)",IFERROR(INDEX(MASTER_SOURCE!$B$2:$B$495,MATCH($I2175,MASTER_SOURCE!$A$2:$A$495,0)),"(REF không có trong MASTER_SOURCE)")))</f>
        <v/>
      </c>
      <c r="K2175" s="22">
        <f t="array" ref="K2175">IF($D2175="","",IFERROR(INDEX(MASTER_SOURCE!$C$2:$C$495,MATCH($I2175,MASTER_SOURCE!$A$2:$A$495,0)),""))</f>
        <v/>
      </c>
      <c r="L2175" s="22">
        <f t="array" ref="L2175">IF($D2175="","",IFERROR(INDEX(MASTER_SOURCE!$D$2:$D$495,MATCH($I2175,MASTER_SOURCE!$A$2:$A$495,0)),""))</f>
        <v/>
      </c>
      <c r="M2175" s="24" t="n"/>
      <c r="N2175" s="24" t="n"/>
      <c r="O2175" s="24" t="n"/>
      <c r="P2175" s="24" t="n"/>
      <c r="Q2175" s="22">
        <f>IF($D2175="","",IF(AND(OR(DANH_MUC!$L$5&lt;&gt;"Có",M2175="Có"),OR(DANH_MUC!$L$6&lt;&gt;"Có",N2175="Có"),OR(DANH_MUC!$L$7&lt;&gt;"Có",O2175="Có"),OR(DANH_MUC!$L$8&lt;&gt;"Có",P2175="Có")),"Có","Không"))</f>
        <v/>
      </c>
      <c r="R2175" s="22">
        <f>IF($D2175="","",IF(COUNTIF($D$2:$D2175,$D2175)&gt;1,"Trùng",""))</f>
        <v/>
      </c>
      <c r="S2175" s="22">
        <f>IF($D2175="","",IF(AND(LEN($D2175)=10,LEFT($D2175,1)="0",ISNUMBER(--$D2175)),"Có","Không"))</f>
        <v/>
      </c>
      <c r="T2175" s="22">
        <f>IF($D2175="","",IF(AND($C2175&lt;&gt;"",$Q2175="Có",$R2175="",$S2175="Có",AND($L2175&lt;&gt;"",OR($L2175&lt;&gt;"Chưa xác định",DANH_MUC!$L$9="Có"))),"Có","Không"))</f>
        <v/>
      </c>
      <c r="U2175" s="22">
        <f>IF(OR($D2175="",$T2175="Có"),"",IF($C2175="","Thiếu họ tên; ","")&amp;IF($S2175&lt;&gt;"Có","SĐT sai định dạng; ","")&amp;IF($R2175="Trùng","Trùng SĐT; ","")&amp;IF($Q2175&lt;&gt;"Có","Thiếu đồng ý bắt buộc; ","")&amp;IF($L2175="","Thiếu/sai Mã REF; ",IF(AND($L2175="Chưa xác định",DANH_MUC!$L$9&lt;&gt;"Có"),"Nguồn chưa xác định; ","")))</f>
        <v/>
      </c>
      <c r="V2175" s="22">
        <f>IF(OR($D2175="",$R2175="Trùng"),"",IF(COUNTIF(ORDERS!$C$2:$C$4995,$D2175)&gt;0,"Có","Không"))</f>
        <v/>
      </c>
      <c r="W2175" s="22">
        <f>IF(OR($D2175="",$R2175="Trùng"),"",COUNTIFS(ORDERS!$C$2:$C$4995,$D2175,ORDERS!$L$2:$L$4995,"Đã chuyển khoản"))</f>
        <v/>
      </c>
      <c r="X2175" s="23">
        <f>IF(OR($D2175="",$R2175="Trùng"),"",SUMIFS(ORDERS!$J$2:$J$4995,ORDERS!$C$2:$C$4995,$D2175,ORDERS!$L$2:$L$4995,"Đã chuyển khoản"))</f>
        <v/>
      </c>
      <c r="Y2175" s="24" t="n"/>
    </row>
    <row r="2176" ht="14.25" customHeight="1" s="40">
      <c r="A2176" s="24" t="n"/>
      <c r="B2176" s="27" t="n"/>
      <c r="C2176" s="24" t="n"/>
      <c r="D2176" s="28" t="n"/>
      <c r="E2176" s="29" t="n"/>
      <c r="F2176" s="24" t="n"/>
      <c r="G2176" s="24" t="n"/>
      <c r="H2176" s="21">
        <f>IF(ISNUMBER($B2176),INT($B2176)-WEEKDAY($B2176,2)+1,"")</f>
        <v/>
      </c>
      <c r="I2176" s="24" t="n"/>
      <c r="J2176" s="22">
        <f t="array" ref="J2176">IF($D2176="","",IF($I2176="","(trống REF)",IFERROR(INDEX(MASTER_SOURCE!$B$2:$B$495,MATCH($I2176,MASTER_SOURCE!$A$2:$A$495,0)),"(REF không có trong MASTER_SOURCE)")))</f>
        <v/>
      </c>
      <c r="K2176" s="22">
        <f t="array" ref="K2176">IF($D2176="","",IFERROR(INDEX(MASTER_SOURCE!$C$2:$C$495,MATCH($I2176,MASTER_SOURCE!$A$2:$A$495,0)),""))</f>
        <v/>
      </c>
      <c r="L2176" s="22">
        <f t="array" ref="L2176">IF($D2176="","",IFERROR(INDEX(MASTER_SOURCE!$D$2:$D$495,MATCH($I2176,MASTER_SOURCE!$A$2:$A$495,0)),""))</f>
        <v/>
      </c>
      <c r="M2176" s="24" t="n"/>
      <c r="N2176" s="24" t="n"/>
      <c r="O2176" s="24" t="n"/>
      <c r="P2176" s="24" t="n"/>
      <c r="Q2176" s="22">
        <f>IF($D2176="","",IF(AND(OR(DANH_MUC!$L$5&lt;&gt;"Có",M2176="Có"),OR(DANH_MUC!$L$6&lt;&gt;"Có",N2176="Có"),OR(DANH_MUC!$L$7&lt;&gt;"Có",O2176="Có"),OR(DANH_MUC!$L$8&lt;&gt;"Có",P2176="Có")),"Có","Không"))</f>
        <v/>
      </c>
      <c r="R2176" s="22">
        <f>IF($D2176="","",IF(COUNTIF($D$2:$D2176,$D2176)&gt;1,"Trùng",""))</f>
        <v/>
      </c>
      <c r="S2176" s="22">
        <f>IF($D2176="","",IF(AND(LEN($D2176)=10,LEFT($D2176,1)="0",ISNUMBER(--$D2176)),"Có","Không"))</f>
        <v/>
      </c>
      <c r="T2176" s="22">
        <f>IF($D2176="","",IF(AND($C2176&lt;&gt;"",$Q2176="Có",$R2176="",$S2176="Có",AND($L2176&lt;&gt;"",OR($L2176&lt;&gt;"Chưa xác định",DANH_MUC!$L$9="Có"))),"Có","Không"))</f>
        <v/>
      </c>
      <c r="U2176" s="22">
        <f>IF(OR($D2176="",$T2176="Có"),"",IF($C2176="","Thiếu họ tên; ","")&amp;IF($S2176&lt;&gt;"Có","SĐT sai định dạng; ","")&amp;IF($R2176="Trùng","Trùng SĐT; ","")&amp;IF($Q2176&lt;&gt;"Có","Thiếu đồng ý bắt buộc; ","")&amp;IF($L2176="","Thiếu/sai Mã REF; ",IF(AND($L2176="Chưa xác định",DANH_MUC!$L$9&lt;&gt;"Có"),"Nguồn chưa xác định; ","")))</f>
        <v/>
      </c>
      <c r="V2176" s="22">
        <f>IF(OR($D2176="",$R2176="Trùng"),"",IF(COUNTIF(ORDERS!$C$2:$C$4995,$D2176)&gt;0,"Có","Không"))</f>
        <v/>
      </c>
      <c r="W2176" s="22">
        <f>IF(OR($D2176="",$R2176="Trùng"),"",COUNTIFS(ORDERS!$C$2:$C$4995,$D2176,ORDERS!$L$2:$L$4995,"Đã chuyển khoản"))</f>
        <v/>
      </c>
      <c r="X2176" s="23">
        <f>IF(OR($D2176="",$R2176="Trùng"),"",SUMIFS(ORDERS!$J$2:$J$4995,ORDERS!$C$2:$C$4995,$D2176,ORDERS!$L$2:$L$4995,"Đã chuyển khoản"))</f>
        <v/>
      </c>
      <c r="Y2176" s="24" t="n"/>
    </row>
    <row r="2177" ht="14.25" customHeight="1" s="40">
      <c r="A2177" s="24" t="n"/>
      <c r="B2177" s="27" t="n"/>
      <c r="C2177" s="24" t="n"/>
      <c r="D2177" s="28" t="n"/>
      <c r="E2177" s="29" t="n"/>
      <c r="F2177" s="24" t="n"/>
      <c r="G2177" s="24" t="n"/>
      <c r="H2177" s="21">
        <f>IF(ISNUMBER($B2177),INT($B2177)-WEEKDAY($B2177,2)+1,"")</f>
        <v/>
      </c>
      <c r="I2177" s="24" t="n"/>
      <c r="J2177" s="22">
        <f t="array" ref="J2177">IF($D2177="","",IF($I2177="","(trống REF)",IFERROR(INDEX(MASTER_SOURCE!$B$2:$B$495,MATCH($I2177,MASTER_SOURCE!$A$2:$A$495,0)),"(REF không có trong MASTER_SOURCE)")))</f>
        <v/>
      </c>
      <c r="K2177" s="22">
        <f t="array" ref="K2177">IF($D2177="","",IFERROR(INDEX(MASTER_SOURCE!$C$2:$C$495,MATCH($I2177,MASTER_SOURCE!$A$2:$A$495,0)),""))</f>
        <v/>
      </c>
      <c r="L2177" s="22">
        <f t="array" ref="L2177">IF($D2177="","",IFERROR(INDEX(MASTER_SOURCE!$D$2:$D$495,MATCH($I2177,MASTER_SOURCE!$A$2:$A$495,0)),""))</f>
        <v/>
      </c>
      <c r="M2177" s="24" t="n"/>
      <c r="N2177" s="24" t="n"/>
      <c r="O2177" s="24" t="n"/>
      <c r="P2177" s="24" t="n"/>
      <c r="Q2177" s="22">
        <f>IF($D2177="","",IF(AND(OR(DANH_MUC!$L$5&lt;&gt;"Có",M2177="Có"),OR(DANH_MUC!$L$6&lt;&gt;"Có",N2177="Có"),OR(DANH_MUC!$L$7&lt;&gt;"Có",O2177="Có"),OR(DANH_MUC!$L$8&lt;&gt;"Có",P2177="Có")),"Có","Không"))</f>
        <v/>
      </c>
      <c r="R2177" s="22">
        <f>IF($D2177="","",IF(COUNTIF($D$2:$D2177,$D2177)&gt;1,"Trùng",""))</f>
        <v/>
      </c>
      <c r="S2177" s="22">
        <f>IF($D2177="","",IF(AND(LEN($D2177)=10,LEFT($D2177,1)="0",ISNUMBER(--$D2177)),"Có","Không"))</f>
        <v/>
      </c>
      <c r="T2177" s="22">
        <f>IF($D2177="","",IF(AND($C2177&lt;&gt;"",$Q2177="Có",$R2177="",$S2177="Có",AND($L2177&lt;&gt;"",OR($L2177&lt;&gt;"Chưa xác định",DANH_MUC!$L$9="Có"))),"Có","Không"))</f>
        <v/>
      </c>
      <c r="U2177" s="22">
        <f>IF(OR($D2177="",$T2177="Có"),"",IF($C2177="","Thiếu họ tên; ","")&amp;IF($S2177&lt;&gt;"Có","SĐT sai định dạng; ","")&amp;IF($R2177="Trùng","Trùng SĐT; ","")&amp;IF($Q2177&lt;&gt;"Có","Thiếu đồng ý bắt buộc; ","")&amp;IF($L2177="","Thiếu/sai Mã REF; ",IF(AND($L2177="Chưa xác định",DANH_MUC!$L$9&lt;&gt;"Có"),"Nguồn chưa xác định; ","")))</f>
        <v/>
      </c>
      <c r="V2177" s="22">
        <f>IF(OR($D2177="",$R2177="Trùng"),"",IF(COUNTIF(ORDERS!$C$2:$C$4995,$D2177)&gt;0,"Có","Không"))</f>
        <v/>
      </c>
      <c r="W2177" s="22">
        <f>IF(OR($D2177="",$R2177="Trùng"),"",COUNTIFS(ORDERS!$C$2:$C$4995,$D2177,ORDERS!$L$2:$L$4995,"Đã chuyển khoản"))</f>
        <v/>
      </c>
      <c r="X2177" s="23">
        <f>IF(OR($D2177="",$R2177="Trùng"),"",SUMIFS(ORDERS!$J$2:$J$4995,ORDERS!$C$2:$C$4995,$D2177,ORDERS!$L$2:$L$4995,"Đã chuyển khoản"))</f>
        <v/>
      </c>
      <c r="Y2177" s="24" t="n"/>
    </row>
    <row r="2178" ht="14.25" customHeight="1" s="40">
      <c r="A2178" s="24" t="n"/>
      <c r="B2178" s="27" t="n"/>
      <c r="C2178" s="24" t="n"/>
      <c r="D2178" s="28" t="n"/>
      <c r="E2178" s="29" t="n"/>
      <c r="F2178" s="24" t="n"/>
      <c r="G2178" s="24" t="n"/>
      <c r="H2178" s="21">
        <f>IF(ISNUMBER($B2178),INT($B2178)-WEEKDAY($B2178,2)+1,"")</f>
        <v/>
      </c>
      <c r="I2178" s="24" t="n"/>
      <c r="J2178" s="22">
        <f t="array" ref="J2178">IF($D2178="","",IF($I2178="","(trống REF)",IFERROR(INDEX(MASTER_SOURCE!$B$2:$B$495,MATCH($I2178,MASTER_SOURCE!$A$2:$A$495,0)),"(REF không có trong MASTER_SOURCE)")))</f>
        <v/>
      </c>
      <c r="K2178" s="22">
        <f t="array" ref="K2178">IF($D2178="","",IFERROR(INDEX(MASTER_SOURCE!$C$2:$C$495,MATCH($I2178,MASTER_SOURCE!$A$2:$A$495,0)),""))</f>
        <v/>
      </c>
      <c r="L2178" s="22">
        <f t="array" ref="L2178">IF($D2178="","",IFERROR(INDEX(MASTER_SOURCE!$D$2:$D$495,MATCH($I2178,MASTER_SOURCE!$A$2:$A$495,0)),""))</f>
        <v/>
      </c>
      <c r="M2178" s="24" t="n"/>
      <c r="N2178" s="24" t="n"/>
      <c r="O2178" s="24" t="n"/>
      <c r="P2178" s="24" t="n"/>
      <c r="Q2178" s="22">
        <f>IF($D2178="","",IF(AND(OR(DANH_MUC!$L$5&lt;&gt;"Có",M2178="Có"),OR(DANH_MUC!$L$6&lt;&gt;"Có",N2178="Có"),OR(DANH_MUC!$L$7&lt;&gt;"Có",O2178="Có"),OR(DANH_MUC!$L$8&lt;&gt;"Có",P2178="Có")),"Có","Không"))</f>
        <v/>
      </c>
      <c r="R2178" s="22">
        <f>IF($D2178="","",IF(COUNTIF($D$2:$D2178,$D2178)&gt;1,"Trùng",""))</f>
        <v/>
      </c>
      <c r="S2178" s="22">
        <f>IF($D2178="","",IF(AND(LEN($D2178)=10,LEFT($D2178,1)="0",ISNUMBER(--$D2178)),"Có","Không"))</f>
        <v/>
      </c>
      <c r="T2178" s="22">
        <f>IF($D2178="","",IF(AND($C2178&lt;&gt;"",$Q2178="Có",$R2178="",$S2178="Có",AND($L2178&lt;&gt;"",OR($L2178&lt;&gt;"Chưa xác định",DANH_MUC!$L$9="Có"))),"Có","Không"))</f>
        <v/>
      </c>
      <c r="U2178" s="22">
        <f>IF(OR($D2178="",$T2178="Có"),"",IF($C2178="","Thiếu họ tên; ","")&amp;IF($S2178&lt;&gt;"Có","SĐT sai định dạng; ","")&amp;IF($R2178="Trùng","Trùng SĐT; ","")&amp;IF($Q2178&lt;&gt;"Có","Thiếu đồng ý bắt buộc; ","")&amp;IF($L2178="","Thiếu/sai Mã REF; ",IF(AND($L2178="Chưa xác định",DANH_MUC!$L$9&lt;&gt;"Có"),"Nguồn chưa xác định; ","")))</f>
        <v/>
      </c>
      <c r="V2178" s="22">
        <f>IF(OR($D2178="",$R2178="Trùng"),"",IF(COUNTIF(ORDERS!$C$2:$C$4995,$D2178)&gt;0,"Có","Không"))</f>
        <v/>
      </c>
      <c r="W2178" s="22">
        <f>IF(OR($D2178="",$R2178="Trùng"),"",COUNTIFS(ORDERS!$C$2:$C$4995,$D2178,ORDERS!$L$2:$L$4995,"Đã chuyển khoản"))</f>
        <v/>
      </c>
      <c r="X2178" s="23">
        <f>IF(OR($D2178="",$R2178="Trùng"),"",SUMIFS(ORDERS!$J$2:$J$4995,ORDERS!$C$2:$C$4995,$D2178,ORDERS!$L$2:$L$4995,"Đã chuyển khoản"))</f>
        <v/>
      </c>
      <c r="Y2178" s="24" t="n"/>
    </row>
    <row r="2179" ht="14.25" customHeight="1" s="40">
      <c r="A2179" s="24" t="n"/>
      <c r="B2179" s="27" t="n"/>
      <c r="C2179" s="24" t="n"/>
      <c r="D2179" s="28" t="n"/>
      <c r="E2179" s="29" t="n"/>
      <c r="F2179" s="24" t="n"/>
      <c r="G2179" s="24" t="n"/>
      <c r="H2179" s="21">
        <f>IF(ISNUMBER($B2179),INT($B2179)-WEEKDAY($B2179,2)+1,"")</f>
        <v/>
      </c>
      <c r="I2179" s="24" t="n"/>
      <c r="J2179" s="22">
        <f t="array" ref="J2179">IF($D2179="","",IF($I2179="","(trống REF)",IFERROR(INDEX(MASTER_SOURCE!$B$2:$B$495,MATCH($I2179,MASTER_SOURCE!$A$2:$A$495,0)),"(REF không có trong MASTER_SOURCE)")))</f>
        <v/>
      </c>
      <c r="K2179" s="22">
        <f t="array" ref="K2179">IF($D2179="","",IFERROR(INDEX(MASTER_SOURCE!$C$2:$C$495,MATCH($I2179,MASTER_SOURCE!$A$2:$A$495,0)),""))</f>
        <v/>
      </c>
      <c r="L2179" s="22">
        <f t="array" ref="L2179">IF($D2179="","",IFERROR(INDEX(MASTER_SOURCE!$D$2:$D$495,MATCH($I2179,MASTER_SOURCE!$A$2:$A$495,0)),""))</f>
        <v/>
      </c>
      <c r="M2179" s="24" t="n"/>
      <c r="N2179" s="24" t="n"/>
      <c r="O2179" s="24" t="n"/>
      <c r="P2179" s="24" t="n"/>
      <c r="Q2179" s="22">
        <f>IF($D2179="","",IF(AND(OR(DANH_MUC!$L$5&lt;&gt;"Có",M2179="Có"),OR(DANH_MUC!$L$6&lt;&gt;"Có",N2179="Có"),OR(DANH_MUC!$L$7&lt;&gt;"Có",O2179="Có"),OR(DANH_MUC!$L$8&lt;&gt;"Có",P2179="Có")),"Có","Không"))</f>
        <v/>
      </c>
      <c r="R2179" s="22">
        <f>IF($D2179="","",IF(COUNTIF($D$2:$D2179,$D2179)&gt;1,"Trùng",""))</f>
        <v/>
      </c>
      <c r="S2179" s="22">
        <f>IF($D2179="","",IF(AND(LEN($D2179)=10,LEFT($D2179,1)="0",ISNUMBER(--$D2179)),"Có","Không"))</f>
        <v/>
      </c>
      <c r="T2179" s="22">
        <f>IF($D2179="","",IF(AND($C2179&lt;&gt;"",$Q2179="Có",$R2179="",$S2179="Có",AND($L2179&lt;&gt;"",OR($L2179&lt;&gt;"Chưa xác định",DANH_MUC!$L$9="Có"))),"Có","Không"))</f>
        <v/>
      </c>
      <c r="U2179" s="22">
        <f>IF(OR($D2179="",$T2179="Có"),"",IF($C2179="","Thiếu họ tên; ","")&amp;IF($S2179&lt;&gt;"Có","SĐT sai định dạng; ","")&amp;IF($R2179="Trùng","Trùng SĐT; ","")&amp;IF($Q2179&lt;&gt;"Có","Thiếu đồng ý bắt buộc; ","")&amp;IF($L2179="","Thiếu/sai Mã REF; ",IF(AND($L2179="Chưa xác định",DANH_MUC!$L$9&lt;&gt;"Có"),"Nguồn chưa xác định; ","")))</f>
        <v/>
      </c>
      <c r="V2179" s="22">
        <f>IF(OR($D2179="",$R2179="Trùng"),"",IF(COUNTIF(ORDERS!$C$2:$C$4995,$D2179)&gt;0,"Có","Không"))</f>
        <v/>
      </c>
      <c r="W2179" s="22">
        <f>IF(OR($D2179="",$R2179="Trùng"),"",COUNTIFS(ORDERS!$C$2:$C$4995,$D2179,ORDERS!$L$2:$L$4995,"Đã chuyển khoản"))</f>
        <v/>
      </c>
      <c r="X2179" s="23">
        <f>IF(OR($D2179="",$R2179="Trùng"),"",SUMIFS(ORDERS!$J$2:$J$4995,ORDERS!$C$2:$C$4995,$D2179,ORDERS!$L$2:$L$4995,"Đã chuyển khoản"))</f>
        <v/>
      </c>
      <c r="Y2179" s="24" t="n"/>
    </row>
    <row r="2180" ht="14.25" customHeight="1" s="40">
      <c r="A2180" s="24" t="n"/>
      <c r="B2180" s="27" t="n"/>
      <c r="C2180" s="24" t="n"/>
      <c r="D2180" s="28" t="n"/>
      <c r="E2180" s="29" t="n"/>
      <c r="F2180" s="24" t="n"/>
      <c r="G2180" s="24" t="n"/>
      <c r="H2180" s="21">
        <f>IF(ISNUMBER($B2180),INT($B2180)-WEEKDAY($B2180,2)+1,"")</f>
        <v/>
      </c>
      <c r="I2180" s="24" t="n"/>
      <c r="J2180" s="22">
        <f t="array" ref="J2180">IF($D2180="","",IF($I2180="","(trống REF)",IFERROR(INDEX(MASTER_SOURCE!$B$2:$B$495,MATCH($I2180,MASTER_SOURCE!$A$2:$A$495,0)),"(REF không có trong MASTER_SOURCE)")))</f>
        <v/>
      </c>
      <c r="K2180" s="22">
        <f t="array" ref="K2180">IF($D2180="","",IFERROR(INDEX(MASTER_SOURCE!$C$2:$C$495,MATCH($I2180,MASTER_SOURCE!$A$2:$A$495,0)),""))</f>
        <v/>
      </c>
      <c r="L2180" s="22">
        <f t="array" ref="L2180">IF($D2180="","",IFERROR(INDEX(MASTER_SOURCE!$D$2:$D$495,MATCH($I2180,MASTER_SOURCE!$A$2:$A$495,0)),""))</f>
        <v/>
      </c>
      <c r="M2180" s="24" t="n"/>
      <c r="N2180" s="24" t="n"/>
      <c r="O2180" s="24" t="n"/>
      <c r="P2180" s="24" t="n"/>
      <c r="Q2180" s="22">
        <f>IF($D2180="","",IF(AND(OR(DANH_MUC!$L$5&lt;&gt;"Có",M2180="Có"),OR(DANH_MUC!$L$6&lt;&gt;"Có",N2180="Có"),OR(DANH_MUC!$L$7&lt;&gt;"Có",O2180="Có"),OR(DANH_MUC!$L$8&lt;&gt;"Có",P2180="Có")),"Có","Không"))</f>
        <v/>
      </c>
      <c r="R2180" s="22">
        <f>IF($D2180="","",IF(COUNTIF($D$2:$D2180,$D2180)&gt;1,"Trùng",""))</f>
        <v/>
      </c>
      <c r="S2180" s="22">
        <f>IF($D2180="","",IF(AND(LEN($D2180)=10,LEFT($D2180,1)="0",ISNUMBER(--$D2180)),"Có","Không"))</f>
        <v/>
      </c>
      <c r="T2180" s="22">
        <f>IF($D2180="","",IF(AND($C2180&lt;&gt;"",$Q2180="Có",$R2180="",$S2180="Có",AND($L2180&lt;&gt;"",OR($L2180&lt;&gt;"Chưa xác định",DANH_MUC!$L$9="Có"))),"Có","Không"))</f>
        <v/>
      </c>
      <c r="U2180" s="22">
        <f>IF(OR($D2180="",$T2180="Có"),"",IF($C2180="","Thiếu họ tên; ","")&amp;IF($S2180&lt;&gt;"Có","SĐT sai định dạng; ","")&amp;IF($R2180="Trùng","Trùng SĐT; ","")&amp;IF($Q2180&lt;&gt;"Có","Thiếu đồng ý bắt buộc; ","")&amp;IF($L2180="","Thiếu/sai Mã REF; ",IF(AND($L2180="Chưa xác định",DANH_MUC!$L$9&lt;&gt;"Có"),"Nguồn chưa xác định; ","")))</f>
        <v/>
      </c>
      <c r="V2180" s="22">
        <f>IF(OR($D2180="",$R2180="Trùng"),"",IF(COUNTIF(ORDERS!$C$2:$C$4995,$D2180)&gt;0,"Có","Không"))</f>
        <v/>
      </c>
      <c r="W2180" s="22">
        <f>IF(OR($D2180="",$R2180="Trùng"),"",COUNTIFS(ORDERS!$C$2:$C$4995,$D2180,ORDERS!$L$2:$L$4995,"Đã chuyển khoản"))</f>
        <v/>
      </c>
      <c r="X2180" s="23">
        <f>IF(OR($D2180="",$R2180="Trùng"),"",SUMIFS(ORDERS!$J$2:$J$4995,ORDERS!$C$2:$C$4995,$D2180,ORDERS!$L$2:$L$4995,"Đã chuyển khoản"))</f>
        <v/>
      </c>
      <c r="Y2180" s="24" t="n"/>
    </row>
    <row r="2181" ht="14.25" customHeight="1" s="40">
      <c r="A2181" s="24" t="n"/>
      <c r="B2181" s="27" t="n"/>
      <c r="C2181" s="24" t="n"/>
      <c r="D2181" s="28" t="n"/>
      <c r="E2181" s="29" t="n"/>
      <c r="F2181" s="24" t="n"/>
      <c r="G2181" s="24" t="n"/>
      <c r="H2181" s="21">
        <f>IF(ISNUMBER($B2181),INT($B2181)-WEEKDAY($B2181,2)+1,"")</f>
        <v/>
      </c>
      <c r="I2181" s="24" t="n"/>
      <c r="J2181" s="22">
        <f t="array" ref="J2181">IF($D2181="","",IF($I2181="","(trống REF)",IFERROR(INDEX(MASTER_SOURCE!$B$2:$B$495,MATCH($I2181,MASTER_SOURCE!$A$2:$A$495,0)),"(REF không có trong MASTER_SOURCE)")))</f>
        <v/>
      </c>
      <c r="K2181" s="22">
        <f t="array" ref="K2181">IF($D2181="","",IFERROR(INDEX(MASTER_SOURCE!$C$2:$C$495,MATCH($I2181,MASTER_SOURCE!$A$2:$A$495,0)),""))</f>
        <v/>
      </c>
      <c r="L2181" s="22">
        <f t="array" ref="L2181">IF($D2181="","",IFERROR(INDEX(MASTER_SOURCE!$D$2:$D$495,MATCH($I2181,MASTER_SOURCE!$A$2:$A$495,0)),""))</f>
        <v/>
      </c>
      <c r="M2181" s="24" t="n"/>
      <c r="N2181" s="24" t="n"/>
      <c r="O2181" s="24" t="n"/>
      <c r="P2181" s="24" t="n"/>
      <c r="Q2181" s="22">
        <f>IF($D2181="","",IF(AND(OR(DANH_MUC!$L$5&lt;&gt;"Có",M2181="Có"),OR(DANH_MUC!$L$6&lt;&gt;"Có",N2181="Có"),OR(DANH_MUC!$L$7&lt;&gt;"Có",O2181="Có"),OR(DANH_MUC!$L$8&lt;&gt;"Có",P2181="Có")),"Có","Không"))</f>
        <v/>
      </c>
      <c r="R2181" s="22">
        <f>IF($D2181="","",IF(COUNTIF($D$2:$D2181,$D2181)&gt;1,"Trùng",""))</f>
        <v/>
      </c>
      <c r="S2181" s="22">
        <f>IF($D2181="","",IF(AND(LEN($D2181)=10,LEFT($D2181,1)="0",ISNUMBER(--$D2181)),"Có","Không"))</f>
        <v/>
      </c>
      <c r="T2181" s="22">
        <f>IF($D2181="","",IF(AND($C2181&lt;&gt;"",$Q2181="Có",$R2181="",$S2181="Có",AND($L2181&lt;&gt;"",OR($L2181&lt;&gt;"Chưa xác định",DANH_MUC!$L$9="Có"))),"Có","Không"))</f>
        <v/>
      </c>
      <c r="U2181" s="22">
        <f>IF(OR($D2181="",$T2181="Có"),"",IF($C2181="","Thiếu họ tên; ","")&amp;IF($S2181&lt;&gt;"Có","SĐT sai định dạng; ","")&amp;IF($R2181="Trùng","Trùng SĐT; ","")&amp;IF($Q2181&lt;&gt;"Có","Thiếu đồng ý bắt buộc; ","")&amp;IF($L2181="","Thiếu/sai Mã REF; ",IF(AND($L2181="Chưa xác định",DANH_MUC!$L$9&lt;&gt;"Có"),"Nguồn chưa xác định; ","")))</f>
        <v/>
      </c>
      <c r="V2181" s="22">
        <f>IF(OR($D2181="",$R2181="Trùng"),"",IF(COUNTIF(ORDERS!$C$2:$C$4995,$D2181)&gt;0,"Có","Không"))</f>
        <v/>
      </c>
      <c r="W2181" s="22">
        <f>IF(OR($D2181="",$R2181="Trùng"),"",COUNTIFS(ORDERS!$C$2:$C$4995,$D2181,ORDERS!$L$2:$L$4995,"Đã chuyển khoản"))</f>
        <v/>
      </c>
      <c r="X2181" s="23">
        <f>IF(OR($D2181="",$R2181="Trùng"),"",SUMIFS(ORDERS!$J$2:$J$4995,ORDERS!$C$2:$C$4995,$D2181,ORDERS!$L$2:$L$4995,"Đã chuyển khoản"))</f>
        <v/>
      </c>
      <c r="Y2181" s="24" t="n"/>
    </row>
    <row r="2182" ht="14.25" customHeight="1" s="40">
      <c r="A2182" s="24" t="n"/>
      <c r="B2182" s="27" t="n"/>
      <c r="C2182" s="24" t="n"/>
      <c r="D2182" s="28" t="n"/>
      <c r="E2182" s="29" t="n"/>
      <c r="F2182" s="24" t="n"/>
      <c r="G2182" s="24" t="n"/>
      <c r="H2182" s="21">
        <f>IF(ISNUMBER($B2182),INT($B2182)-WEEKDAY($B2182,2)+1,"")</f>
        <v/>
      </c>
      <c r="I2182" s="24" t="n"/>
      <c r="J2182" s="22">
        <f t="array" ref="J2182">IF($D2182="","",IF($I2182="","(trống REF)",IFERROR(INDEX(MASTER_SOURCE!$B$2:$B$495,MATCH($I2182,MASTER_SOURCE!$A$2:$A$495,0)),"(REF không có trong MASTER_SOURCE)")))</f>
        <v/>
      </c>
      <c r="K2182" s="22">
        <f t="array" ref="K2182">IF($D2182="","",IFERROR(INDEX(MASTER_SOURCE!$C$2:$C$495,MATCH($I2182,MASTER_SOURCE!$A$2:$A$495,0)),""))</f>
        <v/>
      </c>
      <c r="L2182" s="22">
        <f t="array" ref="L2182">IF($D2182="","",IFERROR(INDEX(MASTER_SOURCE!$D$2:$D$495,MATCH($I2182,MASTER_SOURCE!$A$2:$A$495,0)),""))</f>
        <v/>
      </c>
      <c r="M2182" s="24" t="n"/>
      <c r="N2182" s="24" t="n"/>
      <c r="O2182" s="24" t="n"/>
      <c r="P2182" s="24" t="n"/>
      <c r="Q2182" s="22">
        <f>IF($D2182="","",IF(AND(OR(DANH_MUC!$L$5&lt;&gt;"Có",M2182="Có"),OR(DANH_MUC!$L$6&lt;&gt;"Có",N2182="Có"),OR(DANH_MUC!$L$7&lt;&gt;"Có",O2182="Có"),OR(DANH_MUC!$L$8&lt;&gt;"Có",P2182="Có")),"Có","Không"))</f>
        <v/>
      </c>
      <c r="R2182" s="22">
        <f>IF($D2182="","",IF(COUNTIF($D$2:$D2182,$D2182)&gt;1,"Trùng",""))</f>
        <v/>
      </c>
      <c r="S2182" s="22">
        <f>IF($D2182="","",IF(AND(LEN($D2182)=10,LEFT($D2182,1)="0",ISNUMBER(--$D2182)),"Có","Không"))</f>
        <v/>
      </c>
      <c r="T2182" s="22">
        <f>IF($D2182="","",IF(AND($C2182&lt;&gt;"",$Q2182="Có",$R2182="",$S2182="Có",AND($L2182&lt;&gt;"",OR($L2182&lt;&gt;"Chưa xác định",DANH_MUC!$L$9="Có"))),"Có","Không"))</f>
        <v/>
      </c>
      <c r="U2182" s="22">
        <f>IF(OR($D2182="",$T2182="Có"),"",IF($C2182="","Thiếu họ tên; ","")&amp;IF($S2182&lt;&gt;"Có","SĐT sai định dạng; ","")&amp;IF($R2182="Trùng","Trùng SĐT; ","")&amp;IF($Q2182&lt;&gt;"Có","Thiếu đồng ý bắt buộc; ","")&amp;IF($L2182="","Thiếu/sai Mã REF; ",IF(AND($L2182="Chưa xác định",DANH_MUC!$L$9&lt;&gt;"Có"),"Nguồn chưa xác định; ","")))</f>
        <v/>
      </c>
      <c r="V2182" s="22">
        <f>IF(OR($D2182="",$R2182="Trùng"),"",IF(COUNTIF(ORDERS!$C$2:$C$4995,$D2182)&gt;0,"Có","Không"))</f>
        <v/>
      </c>
      <c r="W2182" s="22">
        <f>IF(OR($D2182="",$R2182="Trùng"),"",COUNTIFS(ORDERS!$C$2:$C$4995,$D2182,ORDERS!$L$2:$L$4995,"Đã chuyển khoản"))</f>
        <v/>
      </c>
      <c r="X2182" s="23">
        <f>IF(OR($D2182="",$R2182="Trùng"),"",SUMIFS(ORDERS!$J$2:$J$4995,ORDERS!$C$2:$C$4995,$D2182,ORDERS!$L$2:$L$4995,"Đã chuyển khoản"))</f>
        <v/>
      </c>
      <c r="Y2182" s="24" t="n"/>
    </row>
    <row r="2183" ht="14.25" customHeight="1" s="40">
      <c r="A2183" s="24" t="n"/>
      <c r="B2183" s="27" t="n"/>
      <c r="C2183" s="24" t="n"/>
      <c r="D2183" s="28" t="n"/>
      <c r="E2183" s="29" t="n"/>
      <c r="F2183" s="24" t="n"/>
      <c r="G2183" s="24" t="n"/>
      <c r="H2183" s="21">
        <f>IF(ISNUMBER($B2183),INT($B2183)-WEEKDAY($B2183,2)+1,"")</f>
        <v/>
      </c>
      <c r="I2183" s="24" t="n"/>
      <c r="J2183" s="22">
        <f t="array" ref="J2183">IF($D2183="","",IF($I2183="","(trống REF)",IFERROR(INDEX(MASTER_SOURCE!$B$2:$B$495,MATCH($I2183,MASTER_SOURCE!$A$2:$A$495,0)),"(REF không có trong MASTER_SOURCE)")))</f>
        <v/>
      </c>
      <c r="K2183" s="22">
        <f t="array" ref="K2183">IF($D2183="","",IFERROR(INDEX(MASTER_SOURCE!$C$2:$C$495,MATCH($I2183,MASTER_SOURCE!$A$2:$A$495,0)),""))</f>
        <v/>
      </c>
      <c r="L2183" s="22">
        <f t="array" ref="L2183">IF($D2183="","",IFERROR(INDEX(MASTER_SOURCE!$D$2:$D$495,MATCH($I2183,MASTER_SOURCE!$A$2:$A$495,0)),""))</f>
        <v/>
      </c>
      <c r="M2183" s="24" t="n"/>
      <c r="N2183" s="24" t="n"/>
      <c r="O2183" s="24" t="n"/>
      <c r="P2183" s="24" t="n"/>
      <c r="Q2183" s="22">
        <f>IF($D2183="","",IF(AND(OR(DANH_MUC!$L$5&lt;&gt;"Có",M2183="Có"),OR(DANH_MUC!$L$6&lt;&gt;"Có",N2183="Có"),OR(DANH_MUC!$L$7&lt;&gt;"Có",O2183="Có"),OR(DANH_MUC!$L$8&lt;&gt;"Có",P2183="Có")),"Có","Không"))</f>
        <v/>
      </c>
      <c r="R2183" s="22">
        <f>IF($D2183="","",IF(COUNTIF($D$2:$D2183,$D2183)&gt;1,"Trùng",""))</f>
        <v/>
      </c>
      <c r="S2183" s="22">
        <f>IF($D2183="","",IF(AND(LEN($D2183)=10,LEFT($D2183,1)="0",ISNUMBER(--$D2183)),"Có","Không"))</f>
        <v/>
      </c>
      <c r="T2183" s="22">
        <f>IF($D2183="","",IF(AND($C2183&lt;&gt;"",$Q2183="Có",$R2183="",$S2183="Có",AND($L2183&lt;&gt;"",OR($L2183&lt;&gt;"Chưa xác định",DANH_MUC!$L$9="Có"))),"Có","Không"))</f>
        <v/>
      </c>
      <c r="U2183" s="22">
        <f>IF(OR($D2183="",$T2183="Có"),"",IF($C2183="","Thiếu họ tên; ","")&amp;IF($S2183&lt;&gt;"Có","SĐT sai định dạng; ","")&amp;IF($R2183="Trùng","Trùng SĐT; ","")&amp;IF($Q2183&lt;&gt;"Có","Thiếu đồng ý bắt buộc; ","")&amp;IF($L2183="","Thiếu/sai Mã REF; ",IF(AND($L2183="Chưa xác định",DANH_MUC!$L$9&lt;&gt;"Có"),"Nguồn chưa xác định; ","")))</f>
        <v/>
      </c>
      <c r="V2183" s="22">
        <f>IF(OR($D2183="",$R2183="Trùng"),"",IF(COUNTIF(ORDERS!$C$2:$C$4995,$D2183)&gt;0,"Có","Không"))</f>
        <v/>
      </c>
      <c r="W2183" s="22">
        <f>IF(OR($D2183="",$R2183="Trùng"),"",COUNTIFS(ORDERS!$C$2:$C$4995,$D2183,ORDERS!$L$2:$L$4995,"Đã chuyển khoản"))</f>
        <v/>
      </c>
      <c r="X2183" s="23">
        <f>IF(OR($D2183="",$R2183="Trùng"),"",SUMIFS(ORDERS!$J$2:$J$4995,ORDERS!$C$2:$C$4995,$D2183,ORDERS!$L$2:$L$4995,"Đã chuyển khoản"))</f>
        <v/>
      </c>
      <c r="Y2183" s="24" t="n"/>
    </row>
    <row r="2184" ht="14.25" customHeight="1" s="40">
      <c r="A2184" s="24" t="n"/>
      <c r="B2184" s="27" t="n"/>
      <c r="C2184" s="24" t="n"/>
      <c r="D2184" s="28" t="n"/>
      <c r="E2184" s="29" t="n"/>
      <c r="F2184" s="24" t="n"/>
      <c r="G2184" s="24" t="n"/>
      <c r="H2184" s="21">
        <f>IF(ISNUMBER($B2184),INT($B2184)-WEEKDAY($B2184,2)+1,"")</f>
        <v/>
      </c>
      <c r="I2184" s="24" t="n"/>
      <c r="J2184" s="22">
        <f t="array" ref="J2184">IF($D2184="","",IF($I2184="","(trống REF)",IFERROR(INDEX(MASTER_SOURCE!$B$2:$B$495,MATCH($I2184,MASTER_SOURCE!$A$2:$A$495,0)),"(REF không có trong MASTER_SOURCE)")))</f>
        <v/>
      </c>
      <c r="K2184" s="22">
        <f t="array" ref="K2184">IF($D2184="","",IFERROR(INDEX(MASTER_SOURCE!$C$2:$C$495,MATCH($I2184,MASTER_SOURCE!$A$2:$A$495,0)),""))</f>
        <v/>
      </c>
      <c r="L2184" s="22">
        <f t="array" ref="L2184">IF($D2184="","",IFERROR(INDEX(MASTER_SOURCE!$D$2:$D$495,MATCH($I2184,MASTER_SOURCE!$A$2:$A$495,0)),""))</f>
        <v/>
      </c>
      <c r="M2184" s="24" t="n"/>
      <c r="N2184" s="24" t="n"/>
      <c r="O2184" s="24" t="n"/>
      <c r="P2184" s="24" t="n"/>
      <c r="Q2184" s="22">
        <f>IF($D2184="","",IF(AND(OR(DANH_MUC!$L$5&lt;&gt;"Có",M2184="Có"),OR(DANH_MUC!$L$6&lt;&gt;"Có",N2184="Có"),OR(DANH_MUC!$L$7&lt;&gt;"Có",O2184="Có"),OR(DANH_MUC!$L$8&lt;&gt;"Có",P2184="Có")),"Có","Không"))</f>
        <v/>
      </c>
      <c r="R2184" s="22">
        <f>IF($D2184="","",IF(COUNTIF($D$2:$D2184,$D2184)&gt;1,"Trùng",""))</f>
        <v/>
      </c>
      <c r="S2184" s="22">
        <f>IF($D2184="","",IF(AND(LEN($D2184)=10,LEFT($D2184,1)="0",ISNUMBER(--$D2184)),"Có","Không"))</f>
        <v/>
      </c>
      <c r="T2184" s="22">
        <f>IF($D2184="","",IF(AND($C2184&lt;&gt;"",$Q2184="Có",$R2184="",$S2184="Có",AND($L2184&lt;&gt;"",OR($L2184&lt;&gt;"Chưa xác định",DANH_MUC!$L$9="Có"))),"Có","Không"))</f>
        <v/>
      </c>
      <c r="U2184" s="22">
        <f>IF(OR($D2184="",$T2184="Có"),"",IF($C2184="","Thiếu họ tên; ","")&amp;IF($S2184&lt;&gt;"Có","SĐT sai định dạng; ","")&amp;IF($R2184="Trùng","Trùng SĐT; ","")&amp;IF($Q2184&lt;&gt;"Có","Thiếu đồng ý bắt buộc; ","")&amp;IF($L2184="","Thiếu/sai Mã REF; ",IF(AND($L2184="Chưa xác định",DANH_MUC!$L$9&lt;&gt;"Có"),"Nguồn chưa xác định; ","")))</f>
        <v/>
      </c>
      <c r="V2184" s="22">
        <f>IF(OR($D2184="",$R2184="Trùng"),"",IF(COUNTIF(ORDERS!$C$2:$C$4995,$D2184)&gt;0,"Có","Không"))</f>
        <v/>
      </c>
      <c r="W2184" s="22">
        <f>IF(OR($D2184="",$R2184="Trùng"),"",COUNTIFS(ORDERS!$C$2:$C$4995,$D2184,ORDERS!$L$2:$L$4995,"Đã chuyển khoản"))</f>
        <v/>
      </c>
      <c r="X2184" s="23">
        <f>IF(OR($D2184="",$R2184="Trùng"),"",SUMIFS(ORDERS!$J$2:$J$4995,ORDERS!$C$2:$C$4995,$D2184,ORDERS!$L$2:$L$4995,"Đã chuyển khoản"))</f>
        <v/>
      </c>
      <c r="Y2184" s="24" t="n"/>
    </row>
    <row r="2185" ht="14.25" customHeight="1" s="40">
      <c r="A2185" s="24" t="n"/>
      <c r="B2185" s="27" t="n"/>
      <c r="C2185" s="24" t="n"/>
      <c r="D2185" s="28" t="n"/>
      <c r="E2185" s="29" t="n"/>
      <c r="F2185" s="24" t="n"/>
      <c r="G2185" s="24" t="n"/>
      <c r="H2185" s="21">
        <f>IF(ISNUMBER($B2185),INT($B2185)-WEEKDAY($B2185,2)+1,"")</f>
        <v/>
      </c>
      <c r="I2185" s="24" t="n"/>
      <c r="J2185" s="22">
        <f t="array" ref="J2185">IF($D2185="","",IF($I2185="","(trống REF)",IFERROR(INDEX(MASTER_SOURCE!$B$2:$B$495,MATCH($I2185,MASTER_SOURCE!$A$2:$A$495,0)),"(REF không có trong MASTER_SOURCE)")))</f>
        <v/>
      </c>
      <c r="K2185" s="22">
        <f t="array" ref="K2185">IF($D2185="","",IFERROR(INDEX(MASTER_SOURCE!$C$2:$C$495,MATCH($I2185,MASTER_SOURCE!$A$2:$A$495,0)),""))</f>
        <v/>
      </c>
      <c r="L2185" s="22">
        <f t="array" ref="L2185">IF($D2185="","",IFERROR(INDEX(MASTER_SOURCE!$D$2:$D$495,MATCH($I2185,MASTER_SOURCE!$A$2:$A$495,0)),""))</f>
        <v/>
      </c>
      <c r="M2185" s="24" t="n"/>
      <c r="N2185" s="24" t="n"/>
      <c r="O2185" s="24" t="n"/>
      <c r="P2185" s="24" t="n"/>
      <c r="Q2185" s="22">
        <f>IF($D2185="","",IF(AND(OR(DANH_MUC!$L$5&lt;&gt;"Có",M2185="Có"),OR(DANH_MUC!$L$6&lt;&gt;"Có",N2185="Có"),OR(DANH_MUC!$L$7&lt;&gt;"Có",O2185="Có"),OR(DANH_MUC!$L$8&lt;&gt;"Có",P2185="Có")),"Có","Không"))</f>
        <v/>
      </c>
      <c r="R2185" s="22">
        <f>IF($D2185="","",IF(COUNTIF($D$2:$D2185,$D2185)&gt;1,"Trùng",""))</f>
        <v/>
      </c>
      <c r="S2185" s="22">
        <f>IF($D2185="","",IF(AND(LEN($D2185)=10,LEFT($D2185,1)="0",ISNUMBER(--$D2185)),"Có","Không"))</f>
        <v/>
      </c>
      <c r="T2185" s="22">
        <f>IF($D2185="","",IF(AND($C2185&lt;&gt;"",$Q2185="Có",$R2185="",$S2185="Có",AND($L2185&lt;&gt;"",OR($L2185&lt;&gt;"Chưa xác định",DANH_MUC!$L$9="Có"))),"Có","Không"))</f>
        <v/>
      </c>
      <c r="U2185" s="22">
        <f>IF(OR($D2185="",$T2185="Có"),"",IF($C2185="","Thiếu họ tên; ","")&amp;IF($S2185&lt;&gt;"Có","SĐT sai định dạng; ","")&amp;IF($R2185="Trùng","Trùng SĐT; ","")&amp;IF($Q2185&lt;&gt;"Có","Thiếu đồng ý bắt buộc; ","")&amp;IF($L2185="","Thiếu/sai Mã REF; ",IF(AND($L2185="Chưa xác định",DANH_MUC!$L$9&lt;&gt;"Có"),"Nguồn chưa xác định; ","")))</f>
        <v/>
      </c>
      <c r="V2185" s="22">
        <f>IF(OR($D2185="",$R2185="Trùng"),"",IF(COUNTIF(ORDERS!$C$2:$C$4995,$D2185)&gt;0,"Có","Không"))</f>
        <v/>
      </c>
      <c r="W2185" s="22">
        <f>IF(OR($D2185="",$R2185="Trùng"),"",COUNTIFS(ORDERS!$C$2:$C$4995,$D2185,ORDERS!$L$2:$L$4995,"Đã chuyển khoản"))</f>
        <v/>
      </c>
      <c r="X2185" s="23">
        <f>IF(OR($D2185="",$R2185="Trùng"),"",SUMIFS(ORDERS!$J$2:$J$4995,ORDERS!$C$2:$C$4995,$D2185,ORDERS!$L$2:$L$4995,"Đã chuyển khoản"))</f>
        <v/>
      </c>
      <c r="Y2185" s="24" t="n"/>
    </row>
    <row r="2186" ht="14.25" customHeight="1" s="40">
      <c r="A2186" s="24" t="n"/>
      <c r="B2186" s="27" t="n"/>
      <c r="C2186" s="24" t="n"/>
      <c r="D2186" s="28" t="n"/>
      <c r="E2186" s="29" t="n"/>
      <c r="F2186" s="24" t="n"/>
      <c r="G2186" s="24" t="n"/>
      <c r="H2186" s="21">
        <f>IF(ISNUMBER($B2186),INT($B2186)-WEEKDAY($B2186,2)+1,"")</f>
        <v/>
      </c>
      <c r="I2186" s="24" t="n"/>
      <c r="J2186" s="22">
        <f t="array" ref="J2186">IF($D2186="","",IF($I2186="","(trống REF)",IFERROR(INDEX(MASTER_SOURCE!$B$2:$B$495,MATCH($I2186,MASTER_SOURCE!$A$2:$A$495,0)),"(REF không có trong MASTER_SOURCE)")))</f>
        <v/>
      </c>
      <c r="K2186" s="22">
        <f t="array" ref="K2186">IF($D2186="","",IFERROR(INDEX(MASTER_SOURCE!$C$2:$C$495,MATCH($I2186,MASTER_SOURCE!$A$2:$A$495,0)),""))</f>
        <v/>
      </c>
      <c r="L2186" s="22">
        <f t="array" ref="L2186">IF($D2186="","",IFERROR(INDEX(MASTER_SOURCE!$D$2:$D$495,MATCH($I2186,MASTER_SOURCE!$A$2:$A$495,0)),""))</f>
        <v/>
      </c>
      <c r="M2186" s="24" t="n"/>
      <c r="N2186" s="24" t="n"/>
      <c r="O2186" s="24" t="n"/>
      <c r="P2186" s="24" t="n"/>
      <c r="Q2186" s="22">
        <f>IF($D2186="","",IF(AND(OR(DANH_MUC!$L$5&lt;&gt;"Có",M2186="Có"),OR(DANH_MUC!$L$6&lt;&gt;"Có",N2186="Có"),OR(DANH_MUC!$L$7&lt;&gt;"Có",O2186="Có"),OR(DANH_MUC!$L$8&lt;&gt;"Có",P2186="Có")),"Có","Không"))</f>
        <v/>
      </c>
      <c r="R2186" s="22">
        <f>IF($D2186="","",IF(COUNTIF($D$2:$D2186,$D2186)&gt;1,"Trùng",""))</f>
        <v/>
      </c>
      <c r="S2186" s="22">
        <f>IF($D2186="","",IF(AND(LEN($D2186)=10,LEFT($D2186,1)="0",ISNUMBER(--$D2186)),"Có","Không"))</f>
        <v/>
      </c>
      <c r="T2186" s="22">
        <f>IF($D2186="","",IF(AND($C2186&lt;&gt;"",$Q2186="Có",$R2186="",$S2186="Có",AND($L2186&lt;&gt;"",OR($L2186&lt;&gt;"Chưa xác định",DANH_MUC!$L$9="Có"))),"Có","Không"))</f>
        <v/>
      </c>
      <c r="U2186" s="22">
        <f>IF(OR($D2186="",$T2186="Có"),"",IF($C2186="","Thiếu họ tên; ","")&amp;IF($S2186&lt;&gt;"Có","SĐT sai định dạng; ","")&amp;IF($R2186="Trùng","Trùng SĐT; ","")&amp;IF($Q2186&lt;&gt;"Có","Thiếu đồng ý bắt buộc; ","")&amp;IF($L2186="","Thiếu/sai Mã REF; ",IF(AND($L2186="Chưa xác định",DANH_MUC!$L$9&lt;&gt;"Có"),"Nguồn chưa xác định; ","")))</f>
        <v/>
      </c>
      <c r="V2186" s="22">
        <f>IF(OR($D2186="",$R2186="Trùng"),"",IF(COUNTIF(ORDERS!$C$2:$C$4995,$D2186)&gt;0,"Có","Không"))</f>
        <v/>
      </c>
      <c r="W2186" s="22">
        <f>IF(OR($D2186="",$R2186="Trùng"),"",COUNTIFS(ORDERS!$C$2:$C$4995,$D2186,ORDERS!$L$2:$L$4995,"Đã chuyển khoản"))</f>
        <v/>
      </c>
      <c r="X2186" s="23">
        <f>IF(OR($D2186="",$R2186="Trùng"),"",SUMIFS(ORDERS!$J$2:$J$4995,ORDERS!$C$2:$C$4995,$D2186,ORDERS!$L$2:$L$4995,"Đã chuyển khoản"))</f>
        <v/>
      </c>
      <c r="Y2186" s="24" t="n"/>
    </row>
    <row r="2187" ht="14.25" customHeight="1" s="40">
      <c r="A2187" s="24" t="n"/>
      <c r="B2187" s="27" t="n"/>
      <c r="C2187" s="24" t="n"/>
      <c r="D2187" s="28" t="n"/>
      <c r="E2187" s="29" t="n"/>
      <c r="F2187" s="24" t="n"/>
      <c r="G2187" s="24" t="n"/>
      <c r="H2187" s="21">
        <f>IF(ISNUMBER($B2187),INT($B2187)-WEEKDAY($B2187,2)+1,"")</f>
        <v/>
      </c>
      <c r="I2187" s="24" t="n"/>
      <c r="J2187" s="22">
        <f t="array" ref="J2187">IF($D2187="","",IF($I2187="","(trống REF)",IFERROR(INDEX(MASTER_SOURCE!$B$2:$B$495,MATCH($I2187,MASTER_SOURCE!$A$2:$A$495,0)),"(REF không có trong MASTER_SOURCE)")))</f>
        <v/>
      </c>
      <c r="K2187" s="22">
        <f t="array" ref="K2187">IF($D2187="","",IFERROR(INDEX(MASTER_SOURCE!$C$2:$C$495,MATCH($I2187,MASTER_SOURCE!$A$2:$A$495,0)),""))</f>
        <v/>
      </c>
      <c r="L2187" s="22">
        <f t="array" ref="L2187">IF($D2187="","",IFERROR(INDEX(MASTER_SOURCE!$D$2:$D$495,MATCH($I2187,MASTER_SOURCE!$A$2:$A$495,0)),""))</f>
        <v/>
      </c>
      <c r="M2187" s="24" t="n"/>
      <c r="N2187" s="24" t="n"/>
      <c r="O2187" s="24" t="n"/>
      <c r="P2187" s="24" t="n"/>
      <c r="Q2187" s="22">
        <f>IF($D2187="","",IF(AND(OR(DANH_MUC!$L$5&lt;&gt;"Có",M2187="Có"),OR(DANH_MUC!$L$6&lt;&gt;"Có",N2187="Có"),OR(DANH_MUC!$L$7&lt;&gt;"Có",O2187="Có"),OR(DANH_MUC!$L$8&lt;&gt;"Có",P2187="Có")),"Có","Không"))</f>
        <v/>
      </c>
      <c r="R2187" s="22">
        <f>IF($D2187="","",IF(COUNTIF($D$2:$D2187,$D2187)&gt;1,"Trùng",""))</f>
        <v/>
      </c>
      <c r="S2187" s="22">
        <f>IF($D2187="","",IF(AND(LEN($D2187)=10,LEFT($D2187,1)="0",ISNUMBER(--$D2187)),"Có","Không"))</f>
        <v/>
      </c>
      <c r="T2187" s="22">
        <f>IF($D2187="","",IF(AND($C2187&lt;&gt;"",$Q2187="Có",$R2187="",$S2187="Có",AND($L2187&lt;&gt;"",OR($L2187&lt;&gt;"Chưa xác định",DANH_MUC!$L$9="Có"))),"Có","Không"))</f>
        <v/>
      </c>
      <c r="U2187" s="22">
        <f>IF(OR($D2187="",$T2187="Có"),"",IF($C2187="","Thiếu họ tên; ","")&amp;IF($S2187&lt;&gt;"Có","SĐT sai định dạng; ","")&amp;IF($R2187="Trùng","Trùng SĐT; ","")&amp;IF($Q2187&lt;&gt;"Có","Thiếu đồng ý bắt buộc; ","")&amp;IF($L2187="","Thiếu/sai Mã REF; ",IF(AND($L2187="Chưa xác định",DANH_MUC!$L$9&lt;&gt;"Có"),"Nguồn chưa xác định; ","")))</f>
        <v/>
      </c>
      <c r="V2187" s="22">
        <f>IF(OR($D2187="",$R2187="Trùng"),"",IF(COUNTIF(ORDERS!$C$2:$C$4995,$D2187)&gt;0,"Có","Không"))</f>
        <v/>
      </c>
      <c r="W2187" s="22">
        <f>IF(OR($D2187="",$R2187="Trùng"),"",COUNTIFS(ORDERS!$C$2:$C$4995,$D2187,ORDERS!$L$2:$L$4995,"Đã chuyển khoản"))</f>
        <v/>
      </c>
      <c r="X2187" s="23">
        <f>IF(OR($D2187="",$R2187="Trùng"),"",SUMIFS(ORDERS!$J$2:$J$4995,ORDERS!$C$2:$C$4995,$D2187,ORDERS!$L$2:$L$4995,"Đã chuyển khoản"))</f>
        <v/>
      </c>
      <c r="Y2187" s="24" t="n"/>
    </row>
    <row r="2188" ht="14.25" customHeight="1" s="40">
      <c r="A2188" s="24" t="n"/>
      <c r="B2188" s="27" t="n"/>
      <c r="C2188" s="24" t="n"/>
      <c r="D2188" s="28" t="n"/>
      <c r="E2188" s="29" t="n"/>
      <c r="F2188" s="24" t="n"/>
      <c r="G2188" s="24" t="n"/>
      <c r="H2188" s="21">
        <f>IF(ISNUMBER($B2188),INT($B2188)-WEEKDAY($B2188,2)+1,"")</f>
        <v/>
      </c>
      <c r="I2188" s="24" t="n"/>
      <c r="J2188" s="22">
        <f t="array" ref="J2188">IF($D2188="","",IF($I2188="","(trống REF)",IFERROR(INDEX(MASTER_SOURCE!$B$2:$B$495,MATCH($I2188,MASTER_SOURCE!$A$2:$A$495,0)),"(REF không có trong MASTER_SOURCE)")))</f>
        <v/>
      </c>
      <c r="K2188" s="22">
        <f t="array" ref="K2188">IF($D2188="","",IFERROR(INDEX(MASTER_SOURCE!$C$2:$C$495,MATCH($I2188,MASTER_SOURCE!$A$2:$A$495,0)),""))</f>
        <v/>
      </c>
      <c r="L2188" s="22">
        <f t="array" ref="L2188">IF($D2188="","",IFERROR(INDEX(MASTER_SOURCE!$D$2:$D$495,MATCH($I2188,MASTER_SOURCE!$A$2:$A$495,0)),""))</f>
        <v/>
      </c>
      <c r="M2188" s="24" t="n"/>
      <c r="N2188" s="24" t="n"/>
      <c r="O2188" s="24" t="n"/>
      <c r="P2188" s="24" t="n"/>
      <c r="Q2188" s="22">
        <f>IF($D2188="","",IF(AND(OR(DANH_MUC!$L$5&lt;&gt;"Có",M2188="Có"),OR(DANH_MUC!$L$6&lt;&gt;"Có",N2188="Có"),OR(DANH_MUC!$L$7&lt;&gt;"Có",O2188="Có"),OR(DANH_MUC!$L$8&lt;&gt;"Có",P2188="Có")),"Có","Không"))</f>
        <v/>
      </c>
      <c r="R2188" s="22">
        <f>IF($D2188="","",IF(COUNTIF($D$2:$D2188,$D2188)&gt;1,"Trùng",""))</f>
        <v/>
      </c>
      <c r="S2188" s="22">
        <f>IF($D2188="","",IF(AND(LEN($D2188)=10,LEFT($D2188,1)="0",ISNUMBER(--$D2188)),"Có","Không"))</f>
        <v/>
      </c>
      <c r="T2188" s="22">
        <f>IF($D2188="","",IF(AND($C2188&lt;&gt;"",$Q2188="Có",$R2188="",$S2188="Có",AND($L2188&lt;&gt;"",OR($L2188&lt;&gt;"Chưa xác định",DANH_MUC!$L$9="Có"))),"Có","Không"))</f>
        <v/>
      </c>
      <c r="U2188" s="22">
        <f>IF(OR($D2188="",$T2188="Có"),"",IF($C2188="","Thiếu họ tên; ","")&amp;IF($S2188&lt;&gt;"Có","SĐT sai định dạng; ","")&amp;IF($R2188="Trùng","Trùng SĐT; ","")&amp;IF($Q2188&lt;&gt;"Có","Thiếu đồng ý bắt buộc; ","")&amp;IF($L2188="","Thiếu/sai Mã REF; ",IF(AND($L2188="Chưa xác định",DANH_MUC!$L$9&lt;&gt;"Có"),"Nguồn chưa xác định; ","")))</f>
        <v/>
      </c>
      <c r="V2188" s="22">
        <f>IF(OR($D2188="",$R2188="Trùng"),"",IF(COUNTIF(ORDERS!$C$2:$C$4995,$D2188)&gt;0,"Có","Không"))</f>
        <v/>
      </c>
      <c r="W2188" s="22">
        <f>IF(OR($D2188="",$R2188="Trùng"),"",COUNTIFS(ORDERS!$C$2:$C$4995,$D2188,ORDERS!$L$2:$L$4995,"Đã chuyển khoản"))</f>
        <v/>
      </c>
      <c r="X2188" s="23">
        <f>IF(OR($D2188="",$R2188="Trùng"),"",SUMIFS(ORDERS!$J$2:$J$4995,ORDERS!$C$2:$C$4995,$D2188,ORDERS!$L$2:$L$4995,"Đã chuyển khoản"))</f>
        <v/>
      </c>
      <c r="Y2188" s="24" t="n"/>
    </row>
    <row r="2189" ht="14.25" customHeight="1" s="40">
      <c r="A2189" s="24" t="n"/>
      <c r="B2189" s="27" t="n"/>
      <c r="C2189" s="24" t="n"/>
      <c r="D2189" s="28" t="n"/>
      <c r="E2189" s="29" t="n"/>
      <c r="F2189" s="24" t="n"/>
      <c r="G2189" s="24" t="n"/>
      <c r="H2189" s="21">
        <f>IF(ISNUMBER($B2189),INT($B2189)-WEEKDAY($B2189,2)+1,"")</f>
        <v/>
      </c>
      <c r="I2189" s="24" t="n"/>
      <c r="J2189" s="22">
        <f t="array" ref="J2189">IF($D2189="","",IF($I2189="","(trống REF)",IFERROR(INDEX(MASTER_SOURCE!$B$2:$B$495,MATCH($I2189,MASTER_SOURCE!$A$2:$A$495,0)),"(REF không có trong MASTER_SOURCE)")))</f>
        <v/>
      </c>
      <c r="K2189" s="22">
        <f t="array" ref="K2189">IF($D2189="","",IFERROR(INDEX(MASTER_SOURCE!$C$2:$C$495,MATCH($I2189,MASTER_SOURCE!$A$2:$A$495,0)),""))</f>
        <v/>
      </c>
      <c r="L2189" s="22">
        <f t="array" ref="L2189">IF($D2189="","",IFERROR(INDEX(MASTER_SOURCE!$D$2:$D$495,MATCH($I2189,MASTER_SOURCE!$A$2:$A$495,0)),""))</f>
        <v/>
      </c>
      <c r="M2189" s="24" t="n"/>
      <c r="N2189" s="24" t="n"/>
      <c r="O2189" s="24" t="n"/>
      <c r="P2189" s="24" t="n"/>
      <c r="Q2189" s="22">
        <f>IF($D2189="","",IF(AND(OR(DANH_MUC!$L$5&lt;&gt;"Có",M2189="Có"),OR(DANH_MUC!$L$6&lt;&gt;"Có",N2189="Có"),OR(DANH_MUC!$L$7&lt;&gt;"Có",O2189="Có"),OR(DANH_MUC!$L$8&lt;&gt;"Có",P2189="Có")),"Có","Không"))</f>
        <v/>
      </c>
      <c r="R2189" s="22">
        <f>IF($D2189="","",IF(COUNTIF($D$2:$D2189,$D2189)&gt;1,"Trùng",""))</f>
        <v/>
      </c>
      <c r="S2189" s="22">
        <f>IF($D2189="","",IF(AND(LEN($D2189)=10,LEFT($D2189,1)="0",ISNUMBER(--$D2189)),"Có","Không"))</f>
        <v/>
      </c>
      <c r="T2189" s="22">
        <f>IF($D2189="","",IF(AND($C2189&lt;&gt;"",$Q2189="Có",$R2189="",$S2189="Có",AND($L2189&lt;&gt;"",OR($L2189&lt;&gt;"Chưa xác định",DANH_MUC!$L$9="Có"))),"Có","Không"))</f>
        <v/>
      </c>
      <c r="U2189" s="22">
        <f>IF(OR($D2189="",$T2189="Có"),"",IF($C2189="","Thiếu họ tên; ","")&amp;IF($S2189&lt;&gt;"Có","SĐT sai định dạng; ","")&amp;IF($R2189="Trùng","Trùng SĐT; ","")&amp;IF($Q2189&lt;&gt;"Có","Thiếu đồng ý bắt buộc; ","")&amp;IF($L2189="","Thiếu/sai Mã REF; ",IF(AND($L2189="Chưa xác định",DANH_MUC!$L$9&lt;&gt;"Có"),"Nguồn chưa xác định; ","")))</f>
        <v/>
      </c>
      <c r="V2189" s="22">
        <f>IF(OR($D2189="",$R2189="Trùng"),"",IF(COUNTIF(ORDERS!$C$2:$C$4995,$D2189)&gt;0,"Có","Không"))</f>
        <v/>
      </c>
      <c r="W2189" s="22">
        <f>IF(OR($D2189="",$R2189="Trùng"),"",COUNTIFS(ORDERS!$C$2:$C$4995,$D2189,ORDERS!$L$2:$L$4995,"Đã chuyển khoản"))</f>
        <v/>
      </c>
      <c r="X2189" s="23">
        <f>IF(OR($D2189="",$R2189="Trùng"),"",SUMIFS(ORDERS!$J$2:$J$4995,ORDERS!$C$2:$C$4995,$D2189,ORDERS!$L$2:$L$4995,"Đã chuyển khoản"))</f>
        <v/>
      </c>
      <c r="Y2189" s="24" t="n"/>
    </row>
    <row r="2190" ht="14.25" customHeight="1" s="40">
      <c r="A2190" s="24" t="n"/>
      <c r="B2190" s="27" t="n"/>
      <c r="C2190" s="24" t="n"/>
      <c r="D2190" s="28" t="n"/>
      <c r="E2190" s="29" t="n"/>
      <c r="F2190" s="24" t="n"/>
      <c r="G2190" s="24" t="n"/>
      <c r="H2190" s="21">
        <f>IF(ISNUMBER($B2190),INT($B2190)-WEEKDAY($B2190,2)+1,"")</f>
        <v/>
      </c>
      <c r="I2190" s="24" t="n"/>
      <c r="J2190" s="22">
        <f t="array" ref="J2190">IF($D2190="","",IF($I2190="","(trống REF)",IFERROR(INDEX(MASTER_SOURCE!$B$2:$B$495,MATCH($I2190,MASTER_SOURCE!$A$2:$A$495,0)),"(REF không có trong MASTER_SOURCE)")))</f>
        <v/>
      </c>
      <c r="K2190" s="22">
        <f t="array" ref="K2190">IF($D2190="","",IFERROR(INDEX(MASTER_SOURCE!$C$2:$C$495,MATCH($I2190,MASTER_SOURCE!$A$2:$A$495,0)),""))</f>
        <v/>
      </c>
      <c r="L2190" s="22">
        <f t="array" ref="L2190">IF($D2190="","",IFERROR(INDEX(MASTER_SOURCE!$D$2:$D$495,MATCH($I2190,MASTER_SOURCE!$A$2:$A$495,0)),""))</f>
        <v/>
      </c>
      <c r="M2190" s="24" t="n"/>
      <c r="N2190" s="24" t="n"/>
      <c r="O2190" s="24" t="n"/>
      <c r="P2190" s="24" t="n"/>
      <c r="Q2190" s="22">
        <f>IF($D2190="","",IF(AND(OR(DANH_MUC!$L$5&lt;&gt;"Có",M2190="Có"),OR(DANH_MUC!$L$6&lt;&gt;"Có",N2190="Có"),OR(DANH_MUC!$L$7&lt;&gt;"Có",O2190="Có"),OR(DANH_MUC!$L$8&lt;&gt;"Có",P2190="Có")),"Có","Không"))</f>
        <v/>
      </c>
      <c r="R2190" s="22">
        <f>IF($D2190="","",IF(COUNTIF($D$2:$D2190,$D2190)&gt;1,"Trùng",""))</f>
        <v/>
      </c>
      <c r="S2190" s="22">
        <f>IF($D2190="","",IF(AND(LEN($D2190)=10,LEFT($D2190,1)="0",ISNUMBER(--$D2190)),"Có","Không"))</f>
        <v/>
      </c>
      <c r="T2190" s="22">
        <f>IF($D2190="","",IF(AND($C2190&lt;&gt;"",$Q2190="Có",$R2190="",$S2190="Có",AND($L2190&lt;&gt;"",OR($L2190&lt;&gt;"Chưa xác định",DANH_MUC!$L$9="Có"))),"Có","Không"))</f>
        <v/>
      </c>
      <c r="U2190" s="22">
        <f>IF(OR($D2190="",$T2190="Có"),"",IF($C2190="","Thiếu họ tên; ","")&amp;IF($S2190&lt;&gt;"Có","SĐT sai định dạng; ","")&amp;IF($R2190="Trùng","Trùng SĐT; ","")&amp;IF($Q2190&lt;&gt;"Có","Thiếu đồng ý bắt buộc; ","")&amp;IF($L2190="","Thiếu/sai Mã REF; ",IF(AND($L2190="Chưa xác định",DANH_MUC!$L$9&lt;&gt;"Có"),"Nguồn chưa xác định; ","")))</f>
        <v/>
      </c>
      <c r="V2190" s="22">
        <f>IF(OR($D2190="",$R2190="Trùng"),"",IF(COUNTIF(ORDERS!$C$2:$C$4995,$D2190)&gt;0,"Có","Không"))</f>
        <v/>
      </c>
      <c r="W2190" s="22">
        <f>IF(OR($D2190="",$R2190="Trùng"),"",COUNTIFS(ORDERS!$C$2:$C$4995,$D2190,ORDERS!$L$2:$L$4995,"Đã chuyển khoản"))</f>
        <v/>
      </c>
      <c r="X2190" s="23">
        <f>IF(OR($D2190="",$R2190="Trùng"),"",SUMIFS(ORDERS!$J$2:$J$4995,ORDERS!$C$2:$C$4995,$D2190,ORDERS!$L$2:$L$4995,"Đã chuyển khoản"))</f>
        <v/>
      </c>
      <c r="Y2190" s="24" t="n"/>
    </row>
    <row r="2191" ht="14.25" customHeight="1" s="40">
      <c r="A2191" s="24" t="n"/>
      <c r="B2191" s="27" t="n"/>
      <c r="C2191" s="24" t="n"/>
      <c r="D2191" s="28" t="n"/>
      <c r="E2191" s="29" t="n"/>
      <c r="F2191" s="24" t="n"/>
      <c r="G2191" s="24" t="n"/>
      <c r="H2191" s="21">
        <f>IF(ISNUMBER($B2191),INT($B2191)-WEEKDAY($B2191,2)+1,"")</f>
        <v/>
      </c>
      <c r="I2191" s="24" t="n"/>
      <c r="J2191" s="22">
        <f t="array" ref="J2191">IF($D2191="","",IF($I2191="","(trống REF)",IFERROR(INDEX(MASTER_SOURCE!$B$2:$B$495,MATCH($I2191,MASTER_SOURCE!$A$2:$A$495,0)),"(REF không có trong MASTER_SOURCE)")))</f>
        <v/>
      </c>
      <c r="K2191" s="22">
        <f t="array" ref="K2191">IF($D2191="","",IFERROR(INDEX(MASTER_SOURCE!$C$2:$C$495,MATCH($I2191,MASTER_SOURCE!$A$2:$A$495,0)),""))</f>
        <v/>
      </c>
      <c r="L2191" s="22">
        <f t="array" ref="L2191">IF($D2191="","",IFERROR(INDEX(MASTER_SOURCE!$D$2:$D$495,MATCH($I2191,MASTER_SOURCE!$A$2:$A$495,0)),""))</f>
        <v/>
      </c>
      <c r="M2191" s="24" t="n"/>
      <c r="N2191" s="24" t="n"/>
      <c r="O2191" s="24" t="n"/>
      <c r="P2191" s="24" t="n"/>
      <c r="Q2191" s="22">
        <f>IF($D2191="","",IF(AND(OR(DANH_MUC!$L$5&lt;&gt;"Có",M2191="Có"),OR(DANH_MUC!$L$6&lt;&gt;"Có",N2191="Có"),OR(DANH_MUC!$L$7&lt;&gt;"Có",O2191="Có"),OR(DANH_MUC!$L$8&lt;&gt;"Có",P2191="Có")),"Có","Không"))</f>
        <v/>
      </c>
      <c r="R2191" s="22">
        <f>IF($D2191="","",IF(COUNTIF($D$2:$D2191,$D2191)&gt;1,"Trùng",""))</f>
        <v/>
      </c>
      <c r="S2191" s="22">
        <f>IF($D2191="","",IF(AND(LEN($D2191)=10,LEFT($D2191,1)="0",ISNUMBER(--$D2191)),"Có","Không"))</f>
        <v/>
      </c>
      <c r="T2191" s="22">
        <f>IF($D2191="","",IF(AND($C2191&lt;&gt;"",$Q2191="Có",$R2191="",$S2191="Có",AND($L2191&lt;&gt;"",OR($L2191&lt;&gt;"Chưa xác định",DANH_MUC!$L$9="Có"))),"Có","Không"))</f>
        <v/>
      </c>
      <c r="U2191" s="22">
        <f>IF(OR($D2191="",$T2191="Có"),"",IF($C2191="","Thiếu họ tên; ","")&amp;IF($S2191&lt;&gt;"Có","SĐT sai định dạng; ","")&amp;IF($R2191="Trùng","Trùng SĐT; ","")&amp;IF($Q2191&lt;&gt;"Có","Thiếu đồng ý bắt buộc; ","")&amp;IF($L2191="","Thiếu/sai Mã REF; ",IF(AND($L2191="Chưa xác định",DANH_MUC!$L$9&lt;&gt;"Có"),"Nguồn chưa xác định; ","")))</f>
        <v/>
      </c>
      <c r="V2191" s="22">
        <f>IF(OR($D2191="",$R2191="Trùng"),"",IF(COUNTIF(ORDERS!$C$2:$C$4995,$D2191)&gt;0,"Có","Không"))</f>
        <v/>
      </c>
      <c r="W2191" s="22">
        <f>IF(OR($D2191="",$R2191="Trùng"),"",COUNTIFS(ORDERS!$C$2:$C$4995,$D2191,ORDERS!$L$2:$L$4995,"Đã chuyển khoản"))</f>
        <v/>
      </c>
      <c r="X2191" s="23">
        <f>IF(OR($D2191="",$R2191="Trùng"),"",SUMIFS(ORDERS!$J$2:$J$4995,ORDERS!$C$2:$C$4995,$D2191,ORDERS!$L$2:$L$4995,"Đã chuyển khoản"))</f>
        <v/>
      </c>
      <c r="Y2191" s="24" t="n"/>
    </row>
    <row r="2192" ht="14.25" customHeight="1" s="40">
      <c r="A2192" s="24" t="n"/>
      <c r="B2192" s="27" t="n"/>
      <c r="C2192" s="24" t="n"/>
      <c r="D2192" s="28" t="n"/>
      <c r="E2192" s="29" t="n"/>
      <c r="F2192" s="24" t="n"/>
      <c r="G2192" s="24" t="n"/>
      <c r="H2192" s="21">
        <f>IF(ISNUMBER($B2192),INT($B2192)-WEEKDAY($B2192,2)+1,"")</f>
        <v/>
      </c>
      <c r="I2192" s="24" t="n"/>
      <c r="J2192" s="22">
        <f t="array" ref="J2192">IF($D2192="","",IF($I2192="","(trống REF)",IFERROR(INDEX(MASTER_SOURCE!$B$2:$B$495,MATCH($I2192,MASTER_SOURCE!$A$2:$A$495,0)),"(REF không có trong MASTER_SOURCE)")))</f>
        <v/>
      </c>
      <c r="K2192" s="22">
        <f t="array" ref="K2192">IF($D2192="","",IFERROR(INDEX(MASTER_SOURCE!$C$2:$C$495,MATCH($I2192,MASTER_SOURCE!$A$2:$A$495,0)),""))</f>
        <v/>
      </c>
      <c r="L2192" s="22">
        <f t="array" ref="L2192">IF($D2192="","",IFERROR(INDEX(MASTER_SOURCE!$D$2:$D$495,MATCH($I2192,MASTER_SOURCE!$A$2:$A$495,0)),""))</f>
        <v/>
      </c>
      <c r="M2192" s="24" t="n"/>
      <c r="N2192" s="24" t="n"/>
      <c r="O2192" s="24" t="n"/>
      <c r="P2192" s="24" t="n"/>
      <c r="Q2192" s="22">
        <f>IF($D2192="","",IF(AND(OR(DANH_MUC!$L$5&lt;&gt;"Có",M2192="Có"),OR(DANH_MUC!$L$6&lt;&gt;"Có",N2192="Có"),OR(DANH_MUC!$L$7&lt;&gt;"Có",O2192="Có"),OR(DANH_MUC!$L$8&lt;&gt;"Có",P2192="Có")),"Có","Không"))</f>
        <v/>
      </c>
      <c r="R2192" s="22">
        <f>IF($D2192="","",IF(COUNTIF($D$2:$D2192,$D2192)&gt;1,"Trùng",""))</f>
        <v/>
      </c>
      <c r="S2192" s="22">
        <f>IF($D2192="","",IF(AND(LEN($D2192)=10,LEFT($D2192,1)="0",ISNUMBER(--$D2192)),"Có","Không"))</f>
        <v/>
      </c>
      <c r="T2192" s="22">
        <f>IF($D2192="","",IF(AND($C2192&lt;&gt;"",$Q2192="Có",$R2192="",$S2192="Có",AND($L2192&lt;&gt;"",OR($L2192&lt;&gt;"Chưa xác định",DANH_MUC!$L$9="Có"))),"Có","Không"))</f>
        <v/>
      </c>
      <c r="U2192" s="22">
        <f>IF(OR($D2192="",$T2192="Có"),"",IF($C2192="","Thiếu họ tên; ","")&amp;IF($S2192&lt;&gt;"Có","SĐT sai định dạng; ","")&amp;IF($R2192="Trùng","Trùng SĐT; ","")&amp;IF($Q2192&lt;&gt;"Có","Thiếu đồng ý bắt buộc; ","")&amp;IF($L2192="","Thiếu/sai Mã REF; ",IF(AND($L2192="Chưa xác định",DANH_MUC!$L$9&lt;&gt;"Có"),"Nguồn chưa xác định; ","")))</f>
        <v/>
      </c>
      <c r="V2192" s="22">
        <f>IF(OR($D2192="",$R2192="Trùng"),"",IF(COUNTIF(ORDERS!$C$2:$C$4995,$D2192)&gt;0,"Có","Không"))</f>
        <v/>
      </c>
      <c r="W2192" s="22">
        <f>IF(OR($D2192="",$R2192="Trùng"),"",COUNTIFS(ORDERS!$C$2:$C$4995,$D2192,ORDERS!$L$2:$L$4995,"Đã chuyển khoản"))</f>
        <v/>
      </c>
      <c r="X2192" s="23">
        <f>IF(OR($D2192="",$R2192="Trùng"),"",SUMIFS(ORDERS!$J$2:$J$4995,ORDERS!$C$2:$C$4995,$D2192,ORDERS!$L$2:$L$4995,"Đã chuyển khoản"))</f>
        <v/>
      </c>
      <c r="Y2192" s="24" t="n"/>
    </row>
    <row r="2193" ht="14.25" customHeight="1" s="40">
      <c r="A2193" s="24" t="n"/>
      <c r="B2193" s="27" t="n"/>
      <c r="C2193" s="24" t="n"/>
      <c r="D2193" s="28" t="n"/>
      <c r="E2193" s="29" t="n"/>
      <c r="F2193" s="24" t="n"/>
      <c r="G2193" s="24" t="n"/>
      <c r="H2193" s="21">
        <f>IF(ISNUMBER($B2193),INT($B2193)-WEEKDAY($B2193,2)+1,"")</f>
        <v/>
      </c>
      <c r="I2193" s="24" t="n"/>
      <c r="J2193" s="22">
        <f t="array" ref="J2193">IF($D2193="","",IF($I2193="","(trống REF)",IFERROR(INDEX(MASTER_SOURCE!$B$2:$B$495,MATCH($I2193,MASTER_SOURCE!$A$2:$A$495,0)),"(REF không có trong MASTER_SOURCE)")))</f>
        <v/>
      </c>
      <c r="K2193" s="22">
        <f t="array" ref="K2193">IF($D2193="","",IFERROR(INDEX(MASTER_SOURCE!$C$2:$C$495,MATCH($I2193,MASTER_SOURCE!$A$2:$A$495,0)),""))</f>
        <v/>
      </c>
      <c r="L2193" s="22">
        <f t="array" ref="L2193">IF($D2193="","",IFERROR(INDEX(MASTER_SOURCE!$D$2:$D$495,MATCH($I2193,MASTER_SOURCE!$A$2:$A$495,0)),""))</f>
        <v/>
      </c>
      <c r="M2193" s="24" t="n"/>
      <c r="N2193" s="24" t="n"/>
      <c r="O2193" s="24" t="n"/>
      <c r="P2193" s="24" t="n"/>
      <c r="Q2193" s="22">
        <f>IF($D2193="","",IF(AND(OR(DANH_MUC!$L$5&lt;&gt;"Có",M2193="Có"),OR(DANH_MUC!$L$6&lt;&gt;"Có",N2193="Có"),OR(DANH_MUC!$L$7&lt;&gt;"Có",O2193="Có"),OR(DANH_MUC!$L$8&lt;&gt;"Có",P2193="Có")),"Có","Không"))</f>
        <v/>
      </c>
      <c r="R2193" s="22">
        <f>IF($D2193="","",IF(COUNTIF($D$2:$D2193,$D2193)&gt;1,"Trùng",""))</f>
        <v/>
      </c>
      <c r="S2193" s="22">
        <f>IF($D2193="","",IF(AND(LEN($D2193)=10,LEFT($D2193,1)="0",ISNUMBER(--$D2193)),"Có","Không"))</f>
        <v/>
      </c>
      <c r="T2193" s="22">
        <f>IF($D2193="","",IF(AND($C2193&lt;&gt;"",$Q2193="Có",$R2193="",$S2193="Có",AND($L2193&lt;&gt;"",OR($L2193&lt;&gt;"Chưa xác định",DANH_MUC!$L$9="Có"))),"Có","Không"))</f>
        <v/>
      </c>
      <c r="U2193" s="22">
        <f>IF(OR($D2193="",$T2193="Có"),"",IF($C2193="","Thiếu họ tên; ","")&amp;IF($S2193&lt;&gt;"Có","SĐT sai định dạng; ","")&amp;IF($R2193="Trùng","Trùng SĐT; ","")&amp;IF($Q2193&lt;&gt;"Có","Thiếu đồng ý bắt buộc; ","")&amp;IF($L2193="","Thiếu/sai Mã REF; ",IF(AND($L2193="Chưa xác định",DANH_MUC!$L$9&lt;&gt;"Có"),"Nguồn chưa xác định; ","")))</f>
        <v/>
      </c>
      <c r="V2193" s="22">
        <f>IF(OR($D2193="",$R2193="Trùng"),"",IF(COUNTIF(ORDERS!$C$2:$C$4995,$D2193)&gt;0,"Có","Không"))</f>
        <v/>
      </c>
      <c r="W2193" s="22">
        <f>IF(OR($D2193="",$R2193="Trùng"),"",COUNTIFS(ORDERS!$C$2:$C$4995,$D2193,ORDERS!$L$2:$L$4995,"Đã chuyển khoản"))</f>
        <v/>
      </c>
      <c r="X2193" s="23">
        <f>IF(OR($D2193="",$R2193="Trùng"),"",SUMIFS(ORDERS!$J$2:$J$4995,ORDERS!$C$2:$C$4995,$D2193,ORDERS!$L$2:$L$4995,"Đã chuyển khoản"))</f>
        <v/>
      </c>
      <c r="Y2193" s="24" t="n"/>
    </row>
    <row r="2194" ht="14.25" customHeight="1" s="40">
      <c r="A2194" s="24" t="n"/>
      <c r="B2194" s="27" t="n"/>
      <c r="C2194" s="24" t="n"/>
      <c r="D2194" s="28" t="n"/>
      <c r="E2194" s="29" t="n"/>
      <c r="F2194" s="24" t="n"/>
      <c r="G2194" s="24" t="n"/>
      <c r="H2194" s="21">
        <f>IF(ISNUMBER($B2194),INT($B2194)-WEEKDAY($B2194,2)+1,"")</f>
        <v/>
      </c>
      <c r="I2194" s="24" t="n"/>
      <c r="J2194" s="22">
        <f t="array" ref="J2194">IF($D2194="","",IF($I2194="","(trống REF)",IFERROR(INDEX(MASTER_SOURCE!$B$2:$B$495,MATCH($I2194,MASTER_SOURCE!$A$2:$A$495,0)),"(REF không có trong MASTER_SOURCE)")))</f>
        <v/>
      </c>
      <c r="K2194" s="22">
        <f t="array" ref="K2194">IF($D2194="","",IFERROR(INDEX(MASTER_SOURCE!$C$2:$C$495,MATCH($I2194,MASTER_SOURCE!$A$2:$A$495,0)),""))</f>
        <v/>
      </c>
      <c r="L2194" s="22">
        <f t="array" ref="L2194">IF($D2194="","",IFERROR(INDEX(MASTER_SOURCE!$D$2:$D$495,MATCH($I2194,MASTER_SOURCE!$A$2:$A$495,0)),""))</f>
        <v/>
      </c>
      <c r="M2194" s="24" t="n"/>
      <c r="N2194" s="24" t="n"/>
      <c r="O2194" s="24" t="n"/>
      <c r="P2194" s="24" t="n"/>
      <c r="Q2194" s="22">
        <f>IF($D2194="","",IF(AND(OR(DANH_MUC!$L$5&lt;&gt;"Có",M2194="Có"),OR(DANH_MUC!$L$6&lt;&gt;"Có",N2194="Có"),OR(DANH_MUC!$L$7&lt;&gt;"Có",O2194="Có"),OR(DANH_MUC!$L$8&lt;&gt;"Có",P2194="Có")),"Có","Không"))</f>
        <v/>
      </c>
      <c r="R2194" s="22">
        <f>IF($D2194="","",IF(COUNTIF($D$2:$D2194,$D2194)&gt;1,"Trùng",""))</f>
        <v/>
      </c>
      <c r="S2194" s="22">
        <f>IF($D2194="","",IF(AND(LEN($D2194)=10,LEFT($D2194,1)="0",ISNUMBER(--$D2194)),"Có","Không"))</f>
        <v/>
      </c>
      <c r="T2194" s="22">
        <f>IF($D2194="","",IF(AND($C2194&lt;&gt;"",$Q2194="Có",$R2194="",$S2194="Có",AND($L2194&lt;&gt;"",OR($L2194&lt;&gt;"Chưa xác định",DANH_MUC!$L$9="Có"))),"Có","Không"))</f>
        <v/>
      </c>
      <c r="U2194" s="22">
        <f>IF(OR($D2194="",$T2194="Có"),"",IF($C2194="","Thiếu họ tên; ","")&amp;IF($S2194&lt;&gt;"Có","SĐT sai định dạng; ","")&amp;IF($R2194="Trùng","Trùng SĐT; ","")&amp;IF($Q2194&lt;&gt;"Có","Thiếu đồng ý bắt buộc; ","")&amp;IF($L2194="","Thiếu/sai Mã REF; ",IF(AND($L2194="Chưa xác định",DANH_MUC!$L$9&lt;&gt;"Có"),"Nguồn chưa xác định; ","")))</f>
        <v/>
      </c>
      <c r="V2194" s="22">
        <f>IF(OR($D2194="",$R2194="Trùng"),"",IF(COUNTIF(ORDERS!$C$2:$C$4995,$D2194)&gt;0,"Có","Không"))</f>
        <v/>
      </c>
      <c r="W2194" s="22">
        <f>IF(OR($D2194="",$R2194="Trùng"),"",COUNTIFS(ORDERS!$C$2:$C$4995,$D2194,ORDERS!$L$2:$L$4995,"Đã chuyển khoản"))</f>
        <v/>
      </c>
      <c r="X2194" s="23">
        <f>IF(OR($D2194="",$R2194="Trùng"),"",SUMIFS(ORDERS!$J$2:$J$4995,ORDERS!$C$2:$C$4995,$D2194,ORDERS!$L$2:$L$4995,"Đã chuyển khoản"))</f>
        <v/>
      </c>
      <c r="Y2194" s="24" t="n"/>
    </row>
    <row r="2195" ht="14.25" customHeight="1" s="40">
      <c r="A2195" s="24" t="n"/>
      <c r="B2195" s="27" t="n"/>
      <c r="C2195" s="24" t="n"/>
      <c r="D2195" s="28" t="n"/>
      <c r="E2195" s="29" t="n"/>
      <c r="F2195" s="24" t="n"/>
      <c r="G2195" s="24" t="n"/>
      <c r="H2195" s="21">
        <f>IF(ISNUMBER($B2195),INT($B2195)-WEEKDAY($B2195,2)+1,"")</f>
        <v/>
      </c>
      <c r="I2195" s="24" t="n"/>
      <c r="J2195" s="22">
        <f t="array" ref="J2195">IF($D2195="","",IF($I2195="","(trống REF)",IFERROR(INDEX(MASTER_SOURCE!$B$2:$B$495,MATCH($I2195,MASTER_SOURCE!$A$2:$A$495,0)),"(REF không có trong MASTER_SOURCE)")))</f>
        <v/>
      </c>
      <c r="K2195" s="22">
        <f t="array" ref="K2195">IF($D2195="","",IFERROR(INDEX(MASTER_SOURCE!$C$2:$C$495,MATCH($I2195,MASTER_SOURCE!$A$2:$A$495,0)),""))</f>
        <v/>
      </c>
      <c r="L2195" s="22">
        <f t="array" ref="L2195">IF($D2195="","",IFERROR(INDEX(MASTER_SOURCE!$D$2:$D$495,MATCH($I2195,MASTER_SOURCE!$A$2:$A$495,0)),""))</f>
        <v/>
      </c>
      <c r="M2195" s="24" t="n"/>
      <c r="N2195" s="24" t="n"/>
      <c r="O2195" s="24" t="n"/>
      <c r="P2195" s="24" t="n"/>
      <c r="Q2195" s="22">
        <f>IF($D2195="","",IF(AND(OR(DANH_MUC!$L$5&lt;&gt;"Có",M2195="Có"),OR(DANH_MUC!$L$6&lt;&gt;"Có",N2195="Có"),OR(DANH_MUC!$L$7&lt;&gt;"Có",O2195="Có"),OR(DANH_MUC!$L$8&lt;&gt;"Có",P2195="Có")),"Có","Không"))</f>
        <v/>
      </c>
      <c r="R2195" s="22">
        <f>IF($D2195="","",IF(COUNTIF($D$2:$D2195,$D2195)&gt;1,"Trùng",""))</f>
        <v/>
      </c>
      <c r="S2195" s="22">
        <f>IF($D2195="","",IF(AND(LEN($D2195)=10,LEFT($D2195,1)="0",ISNUMBER(--$D2195)),"Có","Không"))</f>
        <v/>
      </c>
      <c r="T2195" s="22">
        <f>IF($D2195="","",IF(AND($C2195&lt;&gt;"",$Q2195="Có",$R2195="",$S2195="Có",AND($L2195&lt;&gt;"",OR($L2195&lt;&gt;"Chưa xác định",DANH_MUC!$L$9="Có"))),"Có","Không"))</f>
        <v/>
      </c>
      <c r="U2195" s="22">
        <f>IF(OR($D2195="",$T2195="Có"),"",IF($C2195="","Thiếu họ tên; ","")&amp;IF($S2195&lt;&gt;"Có","SĐT sai định dạng; ","")&amp;IF($R2195="Trùng","Trùng SĐT; ","")&amp;IF($Q2195&lt;&gt;"Có","Thiếu đồng ý bắt buộc; ","")&amp;IF($L2195="","Thiếu/sai Mã REF; ",IF(AND($L2195="Chưa xác định",DANH_MUC!$L$9&lt;&gt;"Có"),"Nguồn chưa xác định; ","")))</f>
        <v/>
      </c>
      <c r="V2195" s="22">
        <f>IF(OR($D2195="",$R2195="Trùng"),"",IF(COUNTIF(ORDERS!$C$2:$C$4995,$D2195)&gt;0,"Có","Không"))</f>
        <v/>
      </c>
      <c r="W2195" s="22">
        <f>IF(OR($D2195="",$R2195="Trùng"),"",COUNTIFS(ORDERS!$C$2:$C$4995,$D2195,ORDERS!$L$2:$L$4995,"Đã chuyển khoản"))</f>
        <v/>
      </c>
      <c r="X2195" s="23">
        <f>IF(OR($D2195="",$R2195="Trùng"),"",SUMIFS(ORDERS!$J$2:$J$4995,ORDERS!$C$2:$C$4995,$D2195,ORDERS!$L$2:$L$4995,"Đã chuyển khoản"))</f>
        <v/>
      </c>
      <c r="Y2195" s="24" t="n"/>
    </row>
    <row r="2196" ht="14.25" customHeight="1" s="40">
      <c r="A2196" s="24" t="n"/>
      <c r="B2196" s="27" t="n"/>
      <c r="C2196" s="24" t="n"/>
      <c r="D2196" s="28" t="n"/>
      <c r="E2196" s="29" t="n"/>
      <c r="F2196" s="24" t="n"/>
      <c r="G2196" s="24" t="n"/>
      <c r="H2196" s="21">
        <f>IF(ISNUMBER($B2196),INT($B2196)-WEEKDAY($B2196,2)+1,"")</f>
        <v/>
      </c>
      <c r="I2196" s="24" t="n"/>
      <c r="J2196" s="22">
        <f t="array" ref="J2196">IF($D2196="","",IF($I2196="","(trống REF)",IFERROR(INDEX(MASTER_SOURCE!$B$2:$B$495,MATCH($I2196,MASTER_SOURCE!$A$2:$A$495,0)),"(REF không có trong MASTER_SOURCE)")))</f>
        <v/>
      </c>
      <c r="K2196" s="22">
        <f t="array" ref="K2196">IF($D2196="","",IFERROR(INDEX(MASTER_SOURCE!$C$2:$C$495,MATCH($I2196,MASTER_SOURCE!$A$2:$A$495,0)),""))</f>
        <v/>
      </c>
      <c r="L2196" s="22">
        <f t="array" ref="L2196">IF($D2196="","",IFERROR(INDEX(MASTER_SOURCE!$D$2:$D$495,MATCH($I2196,MASTER_SOURCE!$A$2:$A$495,0)),""))</f>
        <v/>
      </c>
      <c r="M2196" s="24" t="n"/>
      <c r="N2196" s="24" t="n"/>
      <c r="O2196" s="24" t="n"/>
      <c r="P2196" s="24" t="n"/>
      <c r="Q2196" s="22">
        <f>IF($D2196="","",IF(AND(OR(DANH_MUC!$L$5&lt;&gt;"Có",M2196="Có"),OR(DANH_MUC!$L$6&lt;&gt;"Có",N2196="Có"),OR(DANH_MUC!$L$7&lt;&gt;"Có",O2196="Có"),OR(DANH_MUC!$L$8&lt;&gt;"Có",P2196="Có")),"Có","Không"))</f>
        <v/>
      </c>
      <c r="R2196" s="22">
        <f>IF($D2196="","",IF(COUNTIF($D$2:$D2196,$D2196)&gt;1,"Trùng",""))</f>
        <v/>
      </c>
      <c r="S2196" s="22">
        <f>IF($D2196="","",IF(AND(LEN($D2196)=10,LEFT($D2196,1)="0",ISNUMBER(--$D2196)),"Có","Không"))</f>
        <v/>
      </c>
      <c r="T2196" s="22">
        <f>IF($D2196="","",IF(AND($C2196&lt;&gt;"",$Q2196="Có",$R2196="",$S2196="Có",AND($L2196&lt;&gt;"",OR($L2196&lt;&gt;"Chưa xác định",DANH_MUC!$L$9="Có"))),"Có","Không"))</f>
        <v/>
      </c>
      <c r="U2196" s="22">
        <f>IF(OR($D2196="",$T2196="Có"),"",IF($C2196="","Thiếu họ tên; ","")&amp;IF($S2196&lt;&gt;"Có","SĐT sai định dạng; ","")&amp;IF($R2196="Trùng","Trùng SĐT; ","")&amp;IF($Q2196&lt;&gt;"Có","Thiếu đồng ý bắt buộc; ","")&amp;IF($L2196="","Thiếu/sai Mã REF; ",IF(AND($L2196="Chưa xác định",DANH_MUC!$L$9&lt;&gt;"Có"),"Nguồn chưa xác định; ","")))</f>
        <v/>
      </c>
      <c r="V2196" s="22">
        <f>IF(OR($D2196="",$R2196="Trùng"),"",IF(COUNTIF(ORDERS!$C$2:$C$4995,$D2196)&gt;0,"Có","Không"))</f>
        <v/>
      </c>
      <c r="W2196" s="22">
        <f>IF(OR($D2196="",$R2196="Trùng"),"",COUNTIFS(ORDERS!$C$2:$C$4995,$D2196,ORDERS!$L$2:$L$4995,"Đã chuyển khoản"))</f>
        <v/>
      </c>
      <c r="X2196" s="23">
        <f>IF(OR($D2196="",$R2196="Trùng"),"",SUMIFS(ORDERS!$J$2:$J$4995,ORDERS!$C$2:$C$4995,$D2196,ORDERS!$L$2:$L$4995,"Đã chuyển khoản"))</f>
        <v/>
      </c>
      <c r="Y2196" s="24" t="n"/>
    </row>
    <row r="2197" ht="14.25" customHeight="1" s="40">
      <c r="A2197" s="24" t="n"/>
      <c r="B2197" s="27" t="n"/>
      <c r="C2197" s="24" t="n"/>
      <c r="D2197" s="28" t="n"/>
      <c r="E2197" s="29" t="n"/>
      <c r="F2197" s="24" t="n"/>
      <c r="G2197" s="24" t="n"/>
      <c r="H2197" s="21">
        <f>IF(ISNUMBER($B2197),INT($B2197)-WEEKDAY($B2197,2)+1,"")</f>
        <v/>
      </c>
      <c r="I2197" s="24" t="n"/>
      <c r="J2197" s="22">
        <f t="array" ref="J2197">IF($D2197="","",IF($I2197="","(trống REF)",IFERROR(INDEX(MASTER_SOURCE!$B$2:$B$495,MATCH($I2197,MASTER_SOURCE!$A$2:$A$495,0)),"(REF không có trong MASTER_SOURCE)")))</f>
        <v/>
      </c>
      <c r="K2197" s="22">
        <f t="array" ref="K2197">IF($D2197="","",IFERROR(INDEX(MASTER_SOURCE!$C$2:$C$495,MATCH($I2197,MASTER_SOURCE!$A$2:$A$495,0)),""))</f>
        <v/>
      </c>
      <c r="L2197" s="22">
        <f t="array" ref="L2197">IF($D2197="","",IFERROR(INDEX(MASTER_SOURCE!$D$2:$D$495,MATCH($I2197,MASTER_SOURCE!$A$2:$A$495,0)),""))</f>
        <v/>
      </c>
      <c r="M2197" s="24" t="n"/>
      <c r="N2197" s="24" t="n"/>
      <c r="O2197" s="24" t="n"/>
      <c r="P2197" s="24" t="n"/>
      <c r="Q2197" s="22">
        <f>IF($D2197="","",IF(AND(OR(DANH_MUC!$L$5&lt;&gt;"Có",M2197="Có"),OR(DANH_MUC!$L$6&lt;&gt;"Có",N2197="Có"),OR(DANH_MUC!$L$7&lt;&gt;"Có",O2197="Có"),OR(DANH_MUC!$L$8&lt;&gt;"Có",P2197="Có")),"Có","Không"))</f>
        <v/>
      </c>
      <c r="R2197" s="22">
        <f>IF($D2197="","",IF(COUNTIF($D$2:$D2197,$D2197)&gt;1,"Trùng",""))</f>
        <v/>
      </c>
      <c r="S2197" s="22">
        <f>IF($D2197="","",IF(AND(LEN($D2197)=10,LEFT($D2197,1)="0",ISNUMBER(--$D2197)),"Có","Không"))</f>
        <v/>
      </c>
      <c r="T2197" s="22">
        <f>IF($D2197="","",IF(AND($C2197&lt;&gt;"",$Q2197="Có",$R2197="",$S2197="Có",AND($L2197&lt;&gt;"",OR($L2197&lt;&gt;"Chưa xác định",DANH_MUC!$L$9="Có"))),"Có","Không"))</f>
        <v/>
      </c>
      <c r="U2197" s="22">
        <f>IF(OR($D2197="",$T2197="Có"),"",IF($C2197="","Thiếu họ tên; ","")&amp;IF($S2197&lt;&gt;"Có","SĐT sai định dạng; ","")&amp;IF($R2197="Trùng","Trùng SĐT; ","")&amp;IF($Q2197&lt;&gt;"Có","Thiếu đồng ý bắt buộc; ","")&amp;IF($L2197="","Thiếu/sai Mã REF; ",IF(AND($L2197="Chưa xác định",DANH_MUC!$L$9&lt;&gt;"Có"),"Nguồn chưa xác định; ","")))</f>
        <v/>
      </c>
      <c r="V2197" s="22">
        <f>IF(OR($D2197="",$R2197="Trùng"),"",IF(COUNTIF(ORDERS!$C$2:$C$4995,$D2197)&gt;0,"Có","Không"))</f>
        <v/>
      </c>
      <c r="W2197" s="22">
        <f>IF(OR($D2197="",$R2197="Trùng"),"",COUNTIFS(ORDERS!$C$2:$C$4995,$D2197,ORDERS!$L$2:$L$4995,"Đã chuyển khoản"))</f>
        <v/>
      </c>
      <c r="X2197" s="23">
        <f>IF(OR($D2197="",$R2197="Trùng"),"",SUMIFS(ORDERS!$J$2:$J$4995,ORDERS!$C$2:$C$4995,$D2197,ORDERS!$L$2:$L$4995,"Đã chuyển khoản"))</f>
        <v/>
      </c>
      <c r="Y2197" s="24" t="n"/>
    </row>
    <row r="2198" ht="14.25" customHeight="1" s="40">
      <c r="A2198" s="24" t="n"/>
      <c r="B2198" s="27" t="n"/>
      <c r="C2198" s="24" t="n"/>
      <c r="D2198" s="28" t="n"/>
      <c r="E2198" s="29" t="n"/>
      <c r="F2198" s="24" t="n"/>
      <c r="G2198" s="24" t="n"/>
      <c r="H2198" s="21">
        <f>IF(ISNUMBER($B2198),INT($B2198)-WEEKDAY($B2198,2)+1,"")</f>
        <v/>
      </c>
      <c r="I2198" s="24" t="n"/>
      <c r="J2198" s="22">
        <f t="array" ref="J2198">IF($D2198="","",IF($I2198="","(trống REF)",IFERROR(INDEX(MASTER_SOURCE!$B$2:$B$495,MATCH($I2198,MASTER_SOURCE!$A$2:$A$495,0)),"(REF không có trong MASTER_SOURCE)")))</f>
        <v/>
      </c>
      <c r="K2198" s="22">
        <f t="array" ref="K2198">IF($D2198="","",IFERROR(INDEX(MASTER_SOURCE!$C$2:$C$495,MATCH($I2198,MASTER_SOURCE!$A$2:$A$495,0)),""))</f>
        <v/>
      </c>
      <c r="L2198" s="22">
        <f t="array" ref="L2198">IF($D2198="","",IFERROR(INDEX(MASTER_SOURCE!$D$2:$D$495,MATCH($I2198,MASTER_SOURCE!$A$2:$A$495,0)),""))</f>
        <v/>
      </c>
      <c r="M2198" s="24" t="n"/>
      <c r="N2198" s="24" t="n"/>
      <c r="O2198" s="24" t="n"/>
      <c r="P2198" s="24" t="n"/>
      <c r="Q2198" s="22">
        <f>IF($D2198="","",IF(AND(OR(DANH_MUC!$L$5&lt;&gt;"Có",M2198="Có"),OR(DANH_MUC!$L$6&lt;&gt;"Có",N2198="Có"),OR(DANH_MUC!$L$7&lt;&gt;"Có",O2198="Có"),OR(DANH_MUC!$L$8&lt;&gt;"Có",P2198="Có")),"Có","Không"))</f>
        <v/>
      </c>
      <c r="R2198" s="22">
        <f>IF($D2198="","",IF(COUNTIF($D$2:$D2198,$D2198)&gt;1,"Trùng",""))</f>
        <v/>
      </c>
      <c r="S2198" s="22">
        <f>IF($D2198="","",IF(AND(LEN($D2198)=10,LEFT($D2198,1)="0",ISNUMBER(--$D2198)),"Có","Không"))</f>
        <v/>
      </c>
      <c r="T2198" s="22">
        <f>IF($D2198="","",IF(AND($C2198&lt;&gt;"",$Q2198="Có",$R2198="",$S2198="Có",AND($L2198&lt;&gt;"",OR($L2198&lt;&gt;"Chưa xác định",DANH_MUC!$L$9="Có"))),"Có","Không"))</f>
        <v/>
      </c>
      <c r="U2198" s="22">
        <f>IF(OR($D2198="",$T2198="Có"),"",IF($C2198="","Thiếu họ tên; ","")&amp;IF($S2198&lt;&gt;"Có","SĐT sai định dạng; ","")&amp;IF($R2198="Trùng","Trùng SĐT; ","")&amp;IF($Q2198&lt;&gt;"Có","Thiếu đồng ý bắt buộc; ","")&amp;IF($L2198="","Thiếu/sai Mã REF; ",IF(AND($L2198="Chưa xác định",DANH_MUC!$L$9&lt;&gt;"Có"),"Nguồn chưa xác định; ","")))</f>
        <v/>
      </c>
      <c r="V2198" s="22">
        <f>IF(OR($D2198="",$R2198="Trùng"),"",IF(COUNTIF(ORDERS!$C$2:$C$4995,$D2198)&gt;0,"Có","Không"))</f>
        <v/>
      </c>
      <c r="W2198" s="22">
        <f>IF(OR($D2198="",$R2198="Trùng"),"",COUNTIFS(ORDERS!$C$2:$C$4995,$D2198,ORDERS!$L$2:$L$4995,"Đã chuyển khoản"))</f>
        <v/>
      </c>
      <c r="X2198" s="23">
        <f>IF(OR($D2198="",$R2198="Trùng"),"",SUMIFS(ORDERS!$J$2:$J$4995,ORDERS!$C$2:$C$4995,$D2198,ORDERS!$L$2:$L$4995,"Đã chuyển khoản"))</f>
        <v/>
      </c>
      <c r="Y2198" s="24" t="n"/>
    </row>
    <row r="2199" ht="14.25" customHeight="1" s="40">
      <c r="A2199" s="24" t="n"/>
      <c r="B2199" s="27" t="n"/>
      <c r="C2199" s="24" t="n"/>
      <c r="D2199" s="28" t="n"/>
      <c r="E2199" s="29" t="n"/>
      <c r="F2199" s="24" t="n"/>
      <c r="G2199" s="24" t="n"/>
      <c r="H2199" s="21">
        <f>IF(ISNUMBER($B2199),INT($B2199)-WEEKDAY($B2199,2)+1,"")</f>
        <v/>
      </c>
      <c r="I2199" s="24" t="n"/>
      <c r="J2199" s="22">
        <f t="array" ref="J2199">IF($D2199="","",IF($I2199="","(trống REF)",IFERROR(INDEX(MASTER_SOURCE!$B$2:$B$495,MATCH($I2199,MASTER_SOURCE!$A$2:$A$495,0)),"(REF không có trong MASTER_SOURCE)")))</f>
        <v/>
      </c>
      <c r="K2199" s="22">
        <f t="array" ref="K2199">IF($D2199="","",IFERROR(INDEX(MASTER_SOURCE!$C$2:$C$495,MATCH($I2199,MASTER_SOURCE!$A$2:$A$495,0)),""))</f>
        <v/>
      </c>
      <c r="L2199" s="22">
        <f t="array" ref="L2199">IF($D2199="","",IFERROR(INDEX(MASTER_SOURCE!$D$2:$D$495,MATCH($I2199,MASTER_SOURCE!$A$2:$A$495,0)),""))</f>
        <v/>
      </c>
      <c r="M2199" s="24" t="n"/>
      <c r="N2199" s="24" t="n"/>
      <c r="O2199" s="24" t="n"/>
      <c r="P2199" s="24" t="n"/>
      <c r="Q2199" s="22">
        <f>IF($D2199="","",IF(AND(OR(DANH_MUC!$L$5&lt;&gt;"Có",M2199="Có"),OR(DANH_MUC!$L$6&lt;&gt;"Có",N2199="Có"),OR(DANH_MUC!$L$7&lt;&gt;"Có",O2199="Có"),OR(DANH_MUC!$L$8&lt;&gt;"Có",P2199="Có")),"Có","Không"))</f>
        <v/>
      </c>
      <c r="R2199" s="22">
        <f>IF($D2199="","",IF(COUNTIF($D$2:$D2199,$D2199)&gt;1,"Trùng",""))</f>
        <v/>
      </c>
      <c r="S2199" s="22">
        <f>IF($D2199="","",IF(AND(LEN($D2199)=10,LEFT($D2199,1)="0",ISNUMBER(--$D2199)),"Có","Không"))</f>
        <v/>
      </c>
      <c r="T2199" s="22">
        <f>IF($D2199="","",IF(AND($C2199&lt;&gt;"",$Q2199="Có",$R2199="",$S2199="Có",AND($L2199&lt;&gt;"",OR($L2199&lt;&gt;"Chưa xác định",DANH_MUC!$L$9="Có"))),"Có","Không"))</f>
        <v/>
      </c>
      <c r="U2199" s="22">
        <f>IF(OR($D2199="",$T2199="Có"),"",IF($C2199="","Thiếu họ tên; ","")&amp;IF($S2199&lt;&gt;"Có","SĐT sai định dạng; ","")&amp;IF($R2199="Trùng","Trùng SĐT; ","")&amp;IF($Q2199&lt;&gt;"Có","Thiếu đồng ý bắt buộc; ","")&amp;IF($L2199="","Thiếu/sai Mã REF; ",IF(AND($L2199="Chưa xác định",DANH_MUC!$L$9&lt;&gt;"Có"),"Nguồn chưa xác định; ","")))</f>
        <v/>
      </c>
      <c r="V2199" s="22">
        <f>IF(OR($D2199="",$R2199="Trùng"),"",IF(COUNTIF(ORDERS!$C$2:$C$4995,$D2199)&gt;0,"Có","Không"))</f>
        <v/>
      </c>
      <c r="W2199" s="22">
        <f>IF(OR($D2199="",$R2199="Trùng"),"",COUNTIFS(ORDERS!$C$2:$C$4995,$D2199,ORDERS!$L$2:$L$4995,"Đã chuyển khoản"))</f>
        <v/>
      </c>
      <c r="X2199" s="23">
        <f>IF(OR($D2199="",$R2199="Trùng"),"",SUMIFS(ORDERS!$J$2:$J$4995,ORDERS!$C$2:$C$4995,$D2199,ORDERS!$L$2:$L$4995,"Đã chuyển khoản"))</f>
        <v/>
      </c>
      <c r="Y2199" s="24" t="n"/>
    </row>
    <row r="2200" ht="14.25" customHeight="1" s="40">
      <c r="A2200" s="24" t="n"/>
      <c r="B2200" s="27" t="n"/>
      <c r="C2200" s="24" t="n"/>
      <c r="D2200" s="28" t="n"/>
      <c r="E2200" s="29" t="n"/>
      <c r="F2200" s="24" t="n"/>
      <c r="G2200" s="24" t="n"/>
      <c r="H2200" s="21">
        <f>IF(ISNUMBER($B2200),INT($B2200)-WEEKDAY($B2200,2)+1,"")</f>
        <v/>
      </c>
      <c r="I2200" s="24" t="n"/>
      <c r="J2200" s="22">
        <f t="array" ref="J2200">IF($D2200="","",IF($I2200="","(trống REF)",IFERROR(INDEX(MASTER_SOURCE!$B$2:$B$495,MATCH($I2200,MASTER_SOURCE!$A$2:$A$495,0)),"(REF không có trong MASTER_SOURCE)")))</f>
        <v/>
      </c>
      <c r="K2200" s="22">
        <f t="array" ref="K2200">IF($D2200="","",IFERROR(INDEX(MASTER_SOURCE!$C$2:$C$495,MATCH($I2200,MASTER_SOURCE!$A$2:$A$495,0)),""))</f>
        <v/>
      </c>
      <c r="L2200" s="22">
        <f t="array" ref="L2200">IF($D2200="","",IFERROR(INDEX(MASTER_SOURCE!$D$2:$D$495,MATCH($I2200,MASTER_SOURCE!$A$2:$A$495,0)),""))</f>
        <v/>
      </c>
      <c r="M2200" s="24" t="n"/>
      <c r="N2200" s="24" t="n"/>
      <c r="O2200" s="24" t="n"/>
      <c r="P2200" s="24" t="n"/>
      <c r="Q2200" s="22">
        <f>IF($D2200="","",IF(AND(OR(DANH_MUC!$L$5&lt;&gt;"Có",M2200="Có"),OR(DANH_MUC!$L$6&lt;&gt;"Có",N2200="Có"),OR(DANH_MUC!$L$7&lt;&gt;"Có",O2200="Có"),OR(DANH_MUC!$L$8&lt;&gt;"Có",P2200="Có")),"Có","Không"))</f>
        <v/>
      </c>
      <c r="R2200" s="22">
        <f>IF($D2200="","",IF(COUNTIF($D$2:$D2200,$D2200)&gt;1,"Trùng",""))</f>
        <v/>
      </c>
      <c r="S2200" s="22">
        <f>IF($D2200="","",IF(AND(LEN($D2200)=10,LEFT($D2200,1)="0",ISNUMBER(--$D2200)),"Có","Không"))</f>
        <v/>
      </c>
      <c r="T2200" s="22">
        <f>IF($D2200="","",IF(AND($C2200&lt;&gt;"",$Q2200="Có",$R2200="",$S2200="Có",AND($L2200&lt;&gt;"",OR($L2200&lt;&gt;"Chưa xác định",DANH_MUC!$L$9="Có"))),"Có","Không"))</f>
        <v/>
      </c>
      <c r="U2200" s="22">
        <f>IF(OR($D2200="",$T2200="Có"),"",IF($C2200="","Thiếu họ tên; ","")&amp;IF($S2200&lt;&gt;"Có","SĐT sai định dạng; ","")&amp;IF($R2200="Trùng","Trùng SĐT; ","")&amp;IF($Q2200&lt;&gt;"Có","Thiếu đồng ý bắt buộc; ","")&amp;IF($L2200="","Thiếu/sai Mã REF; ",IF(AND($L2200="Chưa xác định",DANH_MUC!$L$9&lt;&gt;"Có"),"Nguồn chưa xác định; ","")))</f>
        <v/>
      </c>
      <c r="V2200" s="22">
        <f>IF(OR($D2200="",$R2200="Trùng"),"",IF(COUNTIF(ORDERS!$C$2:$C$4995,$D2200)&gt;0,"Có","Không"))</f>
        <v/>
      </c>
      <c r="W2200" s="22">
        <f>IF(OR($D2200="",$R2200="Trùng"),"",COUNTIFS(ORDERS!$C$2:$C$4995,$D2200,ORDERS!$L$2:$L$4995,"Đã chuyển khoản"))</f>
        <v/>
      </c>
      <c r="X2200" s="23">
        <f>IF(OR($D2200="",$R2200="Trùng"),"",SUMIFS(ORDERS!$J$2:$J$4995,ORDERS!$C$2:$C$4995,$D2200,ORDERS!$L$2:$L$4995,"Đã chuyển khoản"))</f>
        <v/>
      </c>
      <c r="Y2200" s="24" t="n"/>
    </row>
    <row r="2201" ht="14.25" customHeight="1" s="40">
      <c r="A2201" s="24" t="n"/>
      <c r="B2201" s="27" t="n"/>
      <c r="C2201" s="24" t="n"/>
      <c r="D2201" s="28" t="n"/>
      <c r="E2201" s="29" t="n"/>
      <c r="F2201" s="24" t="n"/>
      <c r="G2201" s="24" t="n"/>
      <c r="H2201" s="21">
        <f>IF(ISNUMBER($B2201),INT($B2201)-WEEKDAY($B2201,2)+1,"")</f>
        <v/>
      </c>
      <c r="I2201" s="24" t="n"/>
      <c r="J2201" s="22">
        <f t="array" ref="J2201">IF($D2201="","",IF($I2201="","(trống REF)",IFERROR(INDEX(MASTER_SOURCE!$B$2:$B$495,MATCH($I2201,MASTER_SOURCE!$A$2:$A$495,0)),"(REF không có trong MASTER_SOURCE)")))</f>
        <v/>
      </c>
      <c r="K2201" s="22">
        <f t="array" ref="K2201">IF($D2201="","",IFERROR(INDEX(MASTER_SOURCE!$C$2:$C$495,MATCH($I2201,MASTER_SOURCE!$A$2:$A$495,0)),""))</f>
        <v/>
      </c>
      <c r="L2201" s="22">
        <f t="array" ref="L2201">IF($D2201="","",IFERROR(INDEX(MASTER_SOURCE!$D$2:$D$495,MATCH($I2201,MASTER_SOURCE!$A$2:$A$495,0)),""))</f>
        <v/>
      </c>
      <c r="M2201" s="24" t="n"/>
      <c r="N2201" s="24" t="n"/>
      <c r="O2201" s="24" t="n"/>
      <c r="P2201" s="24" t="n"/>
      <c r="Q2201" s="22">
        <f>IF($D2201="","",IF(AND(OR(DANH_MUC!$L$5&lt;&gt;"Có",M2201="Có"),OR(DANH_MUC!$L$6&lt;&gt;"Có",N2201="Có"),OR(DANH_MUC!$L$7&lt;&gt;"Có",O2201="Có"),OR(DANH_MUC!$L$8&lt;&gt;"Có",P2201="Có")),"Có","Không"))</f>
        <v/>
      </c>
      <c r="R2201" s="22">
        <f>IF($D2201="","",IF(COUNTIF($D$2:$D2201,$D2201)&gt;1,"Trùng",""))</f>
        <v/>
      </c>
      <c r="S2201" s="22">
        <f>IF($D2201="","",IF(AND(LEN($D2201)=10,LEFT($D2201,1)="0",ISNUMBER(--$D2201)),"Có","Không"))</f>
        <v/>
      </c>
      <c r="T2201" s="22">
        <f>IF($D2201="","",IF(AND($C2201&lt;&gt;"",$Q2201="Có",$R2201="",$S2201="Có",AND($L2201&lt;&gt;"",OR($L2201&lt;&gt;"Chưa xác định",DANH_MUC!$L$9="Có"))),"Có","Không"))</f>
        <v/>
      </c>
      <c r="U2201" s="22">
        <f>IF(OR($D2201="",$T2201="Có"),"",IF($C2201="","Thiếu họ tên; ","")&amp;IF($S2201&lt;&gt;"Có","SĐT sai định dạng; ","")&amp;IF($R2201="Trùng","Trùng SĐT; ","")&amp;IF($Q2201&lt;&gt;"Có","Thiếu đồng ý bắt buộc; ","")&amp;IF($L2201="","Thiếu/sai Mã REF; ",IF(AND($L2201="Chưa xác định",DANH_MUC!$L$9&lt;&gt;"Có"),"Nguồn chưa xác định; ","")))</f>
        <v/>
      </c>
      <c r="V2201" s="22">
        <f>IF(OR($D2201="",$R2201="Trùng"),"",IF(COUNTIF(ORDERS!$C$2:$C$4995,$D2201)&gt;0,"Có","Không"))</f>
        <v/>
      </c>
      <c r="W2201" s="22">
        <f>IF(OR($D2201="",$R2201="Trùng"),"",COUNTIFS(ORDERS!$C$2:$C$4995,$D2201,ORDERS!$L$2:$L$4995,"Đã chuyển khoản"))</f>
        <v/>
      </c>
      <c r="X2201" s="23">
        <f>IF(OR($D2201="",$R2201="Trùng"),"",SUMIFS(ORDERS!$J$2:$J$4995,ORDERS!$C$2:$C$4995,$D2201,ORDERS!$L$2:$L$4995,"Đã chuyển khoản"))</f>
        <v/>
      </c>
      <c r="Y2201" s="24" t="n"/>
    </row>
    <row r="2202" ht="14.25" customHeight="1" s="40">
      <c r="A2202" s="24" t="n"/>
      <c r="B2202" s="27" t="n"/>
      <c r="C2202" s="24" t="n"/>
      <c r="D2202" s="28" t="n"/>
      <c r="E2202" s="29" t="n"/>
      <c r="F2202" s="24" t="n"/>
      <c r="G2202" s="24" t="n"/>
      <c r="H2202" s="21">
        <f>IF(ISNUMBER($B2202),INT($B2202)-WEEKDAY($B2202,2)+1,"")</f>
        <v/>
      </c>
      <c r="I2202" s="24" t="n"/>
      <c r="J2202" s="22">
        <f t="array" ref="J2202">IF($D2202="","",IF($I2202="","(trống REF)",IFERROR(INDEX(MASTER_SOURCE!$B$2:$B$495,MATCH($I2202,MASTER_SOURCE!$A$2:$A$495,0)),"(REF không có trong MASTER_SOURCE)")))</f>
        <v/>
      </c>
      <c r="K2202" s="22">
        <f t="array" ref="K2202">IF($D2202="","",IFERROR(INDEX(MASTER_SOURCE!$C$2:$C$495,MATCH($I2202,MASTER_SOURCE!$A$2:$A$495,0)),""))</f>
        <v/>
      </c>
      <c r="L2202" s="22">
        <f t="array" ref="L2202">IF($D2202="","",IFERROR(INDEX(MASTER_SOURCE!$D$2:$D$495,MATCH($I2202,MASTER_SOURCE!$A$2:$A$495,0)),""))</f>
        <v/>
      </c>
      <c r="M2202" s="24" t="n"/>
      <c r="N2202" s="24" t="n"/>
      <c r="O2202" s="24" t="n"/>
      <c r="P2202" s="24" t="n"/>
      <c r="Q2202" s="22">
        <f>IF($D2202="","",IF(AND(OR(DANH_MUC!$L$5&lt;&gt;"Có",M2202="Có"),OR(DANH_MUC!$L$6&lt;&gt;"Có",N2202="Có"),OR(DANH_MUC!$L$7&lt;&gt;"Có",O2202="Có"),OR(DANH_MUC!$L$8&lt;&gt;"Có",P2202="Có")),"Có","Không"))</f>
        <v/>
      </c>
      <c r="R2202" s="22">
        <f>IF($D2202="","",IF(COUNTIF($D$2:$D2202,$D2202)&gt;1,"Trùng",""))</f>
        <v/>
      </c>
      <c r="S2202" s="22">
        <f>IF($D2202="","",IF(AND(LEN($D2202)=10,LEFT($D2202,1)="0",ISNUMBER(--$D2202)),"Có","Không"))</f>
        <v/>
      </c>
      <c r="T2202" s="22">
        <f>IF($D2202="","",IF(AND($C2202&lt;&gt;"",$Q2202="Có",$R2202="",$S2202="Có",AND($L2202&lt;&gt;"",OR($L2202&lt;&gt;"Chưa xác định",DANH_MUC!$L$9="Có"))),"Có","Không"))</f>
        <v/>
      </c>
      <c r="U2202" s="22">
        <f>IF(OR($D2202="",$T2202="Có"),"",IF($C2202="","Thiếu họ tên; ","")&amp;IF($S2202&lt;&gt;"Có","SĐT sai định dạng; ","")&amp;IF($R2202="Trùng","Trùng SĐT; ","")&amp;IF($Q2202&lt;&gt;"Có","Thiếu đồng ý bắt buộc; ","")&amp;IF($L2202="","Thiếu/sai Mã REF; ",IF(AND($L2202="Chưa xác định",DANH_MUC!$L$9&lt;&gt;"Có"),"Nguồn chưa xác định; ","")))</f>
        <v/>
      </c>
      <c r="V2202" s="22">
        <f>IF(OR($D2202="",$R2202="Trùng"),"",IF(COUNTIF(ORDERS!$C$2:$C$4995,$D2202)&gt;0,"Có","Không"))</f>
        <v/>
      </c>
      <c r="W2202" s="22">
        <f>IF(OR($D2202="",$R2202="Trùng"),"",COUNTIFS(ORDERS!$C$2:$C$4995,$D2202,ORDERS!$L$2:$L$4995,"Đã chuyển khoản"))</f>
        <v/>
      </c>
      <c r="X2202" s="23">
        <f>IF(OR($D2202="",$R2202="Trùng"),"",SUMIFS(ORDERS!$J$2:$J$4995,ORDERS!$C$2:$C$4995,$D2202,ORDERS!$L$2:$L$4995,"Đã chuyển khoản"))</f>
        <v/>
      </c>
      <c r="Y2202" s="24" t="n"/>
    </row>
    <row r="2203" ht="14.25" customHeight="1" s="40">
      <c r="A2203" s="24" t="n"/>
      <c r="B2203" s="27" t="n"/>
      <c r="C2203" s="24" t="n"/>
      <c r="D2203" s="28" t="n"/>
      <c r="E2203" s="29" t="n"/>
      <c r="F2203" s="24" t="n"/>
      <c r="G2203" s="24" t="n"/>
      <c r="H2203" s="21">
        <f>IF(ISNUMBER($B2203),INT($B2203)-WEEKDAY($B2203,2)+1,"")</f>
        <v/>
      </c>
      <c r="I2203" s="24" t="n"/>
      <c r="J2203" s="22">
        <f t="array" ref="J2203">IF($D2203="","",IF($I2203="","(trống REF)",IFERROR(INDEX(MASTER_SOURCE!$B$2:$B$495,MATCH($I2203,MASTER_SOURCE!$A$2:$A$495,0)),"(REF không có trong MASTER_SOURCE)")))</f>
        <v/>
      </c>
      <c r="K2203" s="22">
        <f t="array" ref="K2203">IF($D2203="","",IFERROR(INDEX(MASTER_SOURCE!$C$2:$C$495,MATCH($I2203,MASTER_SOURCE!$A$2:$A$495,0)),""))</f>
        <v/>
      </c>
      <c r="L2203" s="22">
        <f t="array" ref="L2203">IF($D2203="","",IFERROR(INDEX(MASTER_SOURCE!$D$2:$D$495,MATCH($I2203,MASTER_SOURCE!$A$2:$A$495,0)),""))</f>
        <v/>
      </c>
      <c r="M2203" s="24" t="n"/>
      <c r="N2203" s="24" t="n"/>
      <c r="O2203" s="24" t="n"/>
      <c r="P2203" s="24" t="n"/>
      <c r="Q2203" s="22">
        <f>IF($D2203="","",IF(AND(OR(DANH_MUC!$L$5&lt;&gt;"Có",M2203="Có"),OR(DANH_MUC!$L$6&lt;&gt;"Có",N2203="Có"),OR(DANH_MUC!$L$7&lt;&gt;"Có",O2203="Có"),OR(DANH_MUC!$L$8&lt;&gt;"Có",P2203="Có")),"Có","Không"))</f>
        <v/>
      </c>
      <c r="R2203" s="22">
        <f>IF($D2203="","",IF(COUNTIF($D$2:$D2203,$D2203)&gt;1,"Trùng",""))</f>
        <v/>
      </c>
      <c r="S2203" s="22">
        <f>IF($D2203="","",IF(AND(LEN($D2203)=10,LEFT($D2203,1)="0",ISNUMBER(--$D2203)),"Có","Không"))</f>
        <v/>
      </c>
      <c r="T2203" s="22">
        <f>IF($D2203="","",IF(AND($C2203&lt;&gt;"",$Q2203="Có",$R2203="",$S2203="Có",AND($L2203&lt;&gt;"",OR($L2203&lt;&gt;"Chưa xác định",DANH_MUC!$L$9="Có"))),"Có","Không"))</f>
        <v/>
      </c>
      <c r="U2203" s="22">
        <f>IF(OR($D2203="",$T2203="Có"),"",IF($C2203="","Thiếu họ tên; ","")&amp;IF($S2203&lt;&gt;"Có","SĐT sai định dạng; ","")&amp;IF($R2203="Trùng","Trùng SĐT; ","")&amp;IF($Q2203&lt;&gt;"Có","Thiếu đồng ý bắt buộc; ","")&amp;IF($L2203="","Thiếu/sai Mã REF; ",IF(AND($L2203="Chưa xác định",DANH_MUC!$L$9&lt;&gt;"Có"),"Nguồn chưa xác định; ","")))</f>
        <v/>
      </c>
      <c r="V2203" s="22">
        <f>IF(OR($D2203="",$R2203="Trùng"),"",IF(COUNTIF(ORDERS!$C$2:$C$4995,$D2203)&gt;0,"Có","Không"))</f>
        <v/>
      </c>
      <c r="W2203" s="22">
        <f>IF(OR($D2203="",$R2203="Trùng"),"",COUNTIFS(ORDERS!$C$2:$C$4995,$D2203,ORDERS!$L$2:$L$4995,"Đã chuyển khoản"))</f>
        <v/>
      </c>
      <c r="X2203" s="23">
        <f>IF(OR($D2203="",$R2203="Trùng"),"",SUMIFS(ORDERS!$J$2:$J$4995,ORDERS!$C$2:$C$4995,$D2203,ORDERS!$L$2:$L$4995,"Đã chuyển khoản"))</f>
        <v/>
      </c>
      <c r="Y2203" s="24" t="n"/>
    </row>
    <row r="2204" ht="14.25" customHeight="1" s="40">
      <c r="A2204" s="24" t="n"/>
      <c r="B2204" s="27" t="n"/>
      <c r="C2204" s="24" t="n"/>
      <c r="D2204" s="28" t="n"/>
      <c r="E2204" s="29" t="n"/>
      <c r="F2204" s="24" t="n"/>
      <c r="G2204" s="24" t="n"/>
      <c r="H2204" s="21">
        <f>IF(ISNUMBER($B2204),INT($B2204)-WEEKDAY($B2204,2)+1,"")</f>
        <v/>
      </c>
      <c r="I2204" s="24" t="n"/>
      <c r="J2204" s="22">
        <f t="array" ref="J2204">IF($D2204="","",IF($I2204="","(trống REF)",IFERROR(INDEX(MASTER_SOURCE!$B$2:$B$495,MATCH($I2204,MASTER_SOURCE!$A$2:$A$495,0)),"(REF không có trong MASTER_SOURCE)")))</f>
        <v/>
      </c>
      <c r="K2204" s="22">
        <f t="array" ref="K2204">IF($D2204="","",IFERROR(INDEX(MASTER_SOURCE!$C$2:$C$495,MATCH($I2204,MASTER_SOURCE!$A$2:$A$495,0)),""))</f>
        <v/>
      </c>
      <c r="L2204" s="22">
        <f t="array" ref="L2204">IF($D2204="","",IFERROR(INDEX(MASTER_SOURCE!$D$2:$D$495,MATCH($I2204,MASTER_SOURCE!$A$2:$A$495,0)),""))</f>
        <v/>
      </c>
      <c r="M2204" s="24" t="n"/>
      <c r="N2204" s="24" t="n"/>
      <c r="O2204" s="24" t="n"/>
      <c r="P2204" s="24" t="n"/>
      <c r="Q2204" s="22">
        <f>IF($D2204="","",IF(AND(OR(DANH_MUC!$L$5&lt;&gt;"Có",M2204="Có"),OR(DANH_MUC!$L$6&lt;&gt;"Có",N2204="Có"),OR(DANH_MUC!$L$7&lt;&gt;"Có",O2204="Có"),OR(DANH_MUC!$L$8&lt;&gt;"Có",P2204="Có")),"Có","Không"))</f>
        <v/>
      </c>
      <c r="R2204" s="22">
        <f>IF($D2204="","",IF(COUNTIF($D$2:$D2204,$D2204)&gt;1,"Trùng",""))</f>
        <v/>
      </c>
      <c r="S2204" s="22">
        <f>IF($D2204="","",IF(AND(LEN($D2204)=10,LEFT($D2204,1)="0",ISNUMBER(--$D2204)),"Có","Không"))</f>
        <v/>
      </c>
      <c r="T2204" s="22">
        <f>IF($D2204="","",IF(AND($C2204&lt;&gt;"",$Q2204="Có",$R2204="",$S2204="Có",AND($L2204&lt;&gt;"",OR($L2204&lt;&gt;"Chưa xác định",DANH_MUC!$L$9="Có"))),"Có","Không"))</f>
        <v/>
      </c>
      <c r="U2204" s="22">
        <f>IF(OR($D2204="",$T2204="Có"),"",IF($C2204="","Thiếu họ tên; ","")&amp;IF($S2204&lt;&gt;"Có","SĐT sai định dạng; ","")&amp;IF($R2204="Trùng","Trùng SĐT; ","")&amp;IF($Q2204&lt;&gt;"Có","Thiếu đồng ý bắt buộc; ","")&amp;IF($L2204="","Thiếu/sai Mã REF; ",IF(AND($L2204="Chưa xác định",DANH_MUC!$L$9&lt;&gt;"Có"),"Nguồn chưa xác định; ","")))</f>
        <v/>
      </c>
      <c r="V2204" s="22">
        <f>IF(OR($D2204="",$R2204="Trùng"),"",IF(COUNTIF(ORDERS!$C$2:$C$4995,$D2204)&gt;0,"Có","Không"))</f>
        <v/>
      </c>
      <c r="W2204" s="22">
        <f>IF(OR($D2204="",$R2204="Trùng"),"",COUNTIFS(ORDERS!$C$2:$C$4995,$D2204,ORDERS!$L$2:$L$4995,"Đã chuyển khoản"))</f>
        <v/>
      </c>
      <c r="X2204" s="23">
        <f>IF(OR($D2204="",$R2204="Trùng"),"",SUMIFS(ORDERS!$J$2:$J$4995,ORDERS!$C$2:$C$4995,$D2204,ORDERS!$L$2:$L$4995,"Đã chuyển khoản"))</f>
        <v/>
      </c>
      <c r="Y2204" s="24" t="n"/>
    </row>
    <row r="2205" ht="14.25" customHeight="1" s="40">
      <c r="A2205" s="24" t="n"/>
      <c r="B2205" s="27" t="n"/>
      <c r="C2205" s="24" t="n"/>
      <c r="D2205" s="28" t="n"/>
      <c r="E2205" s="29" t="n"/>
      <c r="F2205" s="24" t="n"/>
      <c r="G2205" s="24" t="n"/>
      <c r="H2205" s="21">
        <f>IF(ISNUMBER($B2205),INT($B2205)-WEEKDAY($B2205,2)+1,"")</f>
        <v/>
      </c>
      <c r="I2205" s="24" t="n"/>
      <c r="J2205" s="22">
        <f t="array" ref="J2205">IF($D2205="","",IF($I2205="","(trống REF)",IFERROR(INDEX(MASTER_SOURCE!$B$2:$B$495,MATCH($I2205,MASTER_SOURCE!$A$2:$A$495,0)),"(REF không có trong MASTER_SOURCE)")))</f>
        <v/>
      </c>
      <c r="K2205" s="22">
        <f t="array" ref="K2205">IF($D2205="","",IFERROR(INDEX(MASTER_SOURCE!$C$2:$C$495,MATCH($I2205,MASTER_SOURCE!$A$2:$A$495,0)),""))</f>
        <v/>
      </c>
      <c r="L2205" s="22">
        <f t="array" ref="L2205">IF($D2205="","",IFERROR(INDEX(MASTER_SOURCE!$D$2:$D$495,MATCH($I2205,MASTER_SOURCE!$A$2:$A$495,0)),""))</f>
        <v/>
      </c>
      <c r="M2205" s="24" t="n"/>
      <c r="N2205" s="24" t="n"/>
      <c r="O2205" s="24" t="n"/>
      <c r="P2205" s="24" t="n"/>
      <c r="Q2205" s="22">
        <f>IF($D2205="","",IF(AND(OR(DANH_MUC!$L$5&lt;&gt;"Có",M2205="Có"),OR(DANH_MUC!$L$6&lt;&gt;"Có",N2205="Có"),OR(DANH_MUC!$L$7&lt;&gt;"Có",O2205="Có"),OR(DANH_MUC!$L$8&lt;&gt;"Có",P2205="Có")),"Có","Không"))</f>
        <v/>
      </c>
      <c r="R2205" s="22">
        <f>IF($D2205="","",IF(COUNTIF($D$2:$D2205,$D2205)&gt;1,"Trùng",""))</f>
        <v/>
      </c>
      <c r="S2205" s="22">
        <f>IF($D2205="","",IF(AND(LEN($D2205)=10,LEFT($D2205,1)="0",ISNUMBER(--$D2205)),"Có","Không"))</f>
        <v/>
      </c>
      <c r="T2205" s="22">
        <f>IF($D2205="","",IF(AND($C2205&lt;&gt;"",$Q2205="Có",$R2205="",$S2205="Có",AND($L2205&lt;&gt;"",OR($L2205&lt;&gt;"Chưa xác định",DANH_MUC!$L$9="Có"))),"Có","Không"))</f>
        <v/>
      </c>
      <c r="U2205" s="22">
        <f>IF(OR($D2205="",$T2205="Có"),"",IF($C2205="","Thiếu họ tên; ","")&amp;IF($S2205&lt;&gt;"Có","SĐT sai định dạng; ","")&amp;IF($R2205="Trùng","Trùng SĐT; ","")&amp;IF($Q2205&lt;&gt;"Có","Thiếu đồng ý bắt buộc; ","")&amp;IF($L2205="","Thiếu/sai Mã REF; ",IF(AND($L2205="Chưa xác định",DANH_MUC!$L$9&lt;&gt;"Có"),"Nguồn chưa xác định; ","")))</f>
        <v/>
      </c>
      <c r="V2205" s="22">
        <f>IF(OR($D2205="",$R2205="Trùng"),"",IF(COUNTIF(ORDERS!$C$2:$C$4995,$D2205)&gt;0,"Có","Không"))</f>
        <v/>
      </c>
      <c r="W2205" s="22">
        <f>IF(OR($D2205="",$R2205="Trùng"),"",COUNTIFS(ORDERS!$C$2:$C$4995,$D2205,ORDERS!$L$2:$L$4995,"Đã chuyển khoản"))</f>
        <v/>
      </c>
      <c r="X2205" s="23">
        <f>IF(OR($D2205="",$R2205="Trùng"),"",SUMIFS(ORDERS!$J$2:$J$4995,ORDERS!$C$2:$C$4995,$D2205,ORDERS!$L$2:$L$4995,"Đã chuyển khoản"))</f>
        <v/>
      </c>
      <c r="Y2205" s="24" t="n"/>
    </row>
    <row r="2206" ht="14.25" customHeight="1" s="40">
      <c r="A2206" s="24" t="n"/>
      <c r="B2206" s="27" t="n"/>
      <c r="C2206" s="24" t="n"/>
      <c r="D2206" s="28" t="n"/>
      <c r="E2206" s="29" t="n"/>
      <c r="F2206" s="24" t="n"/>
      <c r="G2206" s="24" t="n"/>
      <c r="H2206" s="21">
        <f>IF(ISNUMBER($B2206),INT($B2206)-WEEKDAY($B2206,2)+1,"")</f>
        <v/>
      </c>
      <c r="I2206" s="24" t="n"/>
      <c r="J2206" s="22">
        <f t="array" ref="J2206">IF($D2206="","",IF($I2206="","(trống REF)",IFERROR(INDEX(MASTER_SOURCE!$B$2:$B$495,MATCH($I2206,MASTER_SOURCE!$A$2:$A$495,0)),"(REF không có trong MASTER_SOURCE)")))</f>
        <v/>
      </c>
      <c r="K2206" s="22">
        <f t="array" ref="K2206">IF($D2206="","",IFERROR(INDEX(MASTER_SOURCE!$C$2:$C$495,MATCH($I2206,MASTER_SOURCE!$A$2:$A$495,0)),""))</f>
        <v/>
      </c>
      <c r="L2206" s="22">
        <f t="array" ref="L2206">IF($D2206="","",IFERROR(INDEX(MASTER_SOURCE!$D$2:$D$495,MATCH($I2206,MASTER_SOURCE!$A$2:$A$495,0)),""))</f>
        <v/>
      </c>
      <c r="M2206" s="24" t="n"/>
      <c r="N2206" s="24" t="n"/>
      <c r="O2206" s="24" t="n"/>
      <c r="P2206" s="24" t="n"/>
      <c r="Q2206" s="22">
        <f>IF($D2206="","",IF(AND(OR(DANH_MUC!$L$5&lt;&gt;"Có",M2206="Có"),OR(DANH_MUC!$L$6&lt;&gt;"Có",N2206="Có"),OR(DANH_MUC!$L$7&lt;&gt;"Có",O2206="Có"),OR(DANH_MUC!$L$8&lt;&gt;"Có",P2206="Có")),"Có","Không"))</f>
        <v/>
      </c>
      <c r="R2206" s="22">
        <f>IF($D2206="","",IF(COUNTIF($D$2:$D2206,$D2206)&gt;1,"Trùng",""))</f>
        <v/>
      </c>
      <c r="S2206" s="22">
        <f>IF($D2206="","",IF(AND(LEN($D2206)=10,LEFT($D2206,1)="0",ISNUMBER(--$D2206)),"Có","Không"))</f>
        <v/>
      </c>
      <c r="T2206" s="22">
        <f>IF($D2206="","",IF(AND($C2206&lt;&gt;"",$Q2206="Có",$R2206="",$S2206="Có",AND($L2206&lt;&gt;"",OR($L2206&lt;&gt;"Chưa xác định",DANH_MUC!$L$9="Có"))),"Có","Không"))</f>
        <v/>
      </c>
      <c r="U2206" s="22">
        <f>IF(OR($D2206="",$T2206="Có"),"",IF($C2206="","Thiếu họ tên; ","")&amp;IF($S2206&lt;&gt;"Có","SĐT sai định dạng; ","")&amp;IF($R2206="Trùng","Trùng SĐT; ","")&amp;IF($Q2206&lt;&gt;"Có","Thiếu đồng ý bắt buộc; ","")&amp;IF($L2206="","Thiếu/sai Mã REF; ",IF(AND($L2206="Chưa xác định",DANH_MUC!$L$9&lt;&gt;"Có"),"Nguồn chưa xác định; ","")))</f>
        <v/>
      </c>
      <c r="V2206" s="22">
        <f>IF(OR($D2206="",$R2206="Trùng"),"",IF(COUNTIF(ORDERS!$C$2:$C$4995,$D2206)&gt;0,"Có","Không"))</f>
        <v/>
      </c>
      <c r="W2206" s="22">
        <f>IF(OR($D2206="",$R2206="Trùng"),"",COUNTIFS(ORDERS!$C$2:$C$4995,$D2206,ORDERS!$L$2:$L$4995,"Đã chuyển khoản"))</f>
        <v/>
      </c>
      <c r="X2206" s="23">
        <f>IF(OR($D2206="",$R2206="Trùng"),"",SUMIFS(ORDERS!$J$2:$J$4995,ORDERS!$C$2:$C$4995,$D2206,ORDERS!$L$2:$L$4995,"Đã chuyển khoản"))</f>
        <v/>
      </c>
      <c r="Y2206" s="24" t="n"/>
    </row>
    <row r="2207" ht="14.25" customHeight="1" s="40">
      <c r="A2207" s="24" t="n"/>
      <c r="B2207" s="27" t="n"/>
      <c r="C2207" s="24" t="n"/>
      <c r="D2207" s="28" t="n"/>
      <c r="E2207" s="29" t="n"/>
      <c r="F2207" s="24" t="n"/>
      <c r="G2207" s="24" t="n"/>
      <c r="H2207" s="21">
        <f>IF(ISNUMBER($B2207),INT($B2207)-WEEKDAY($B2207,2)+1,"")</f>
        <v/>
      </c>
      <c r="I2207" s="24" t="n"/>
      <c r="J2207" s="22">
        <f t="array" ref="J2207">IF($D2207="","",IF($I2207="","(trống REF)",IFERROR(INDEX(MASTER_SOURCE!$B$2:$B$495,MATCH($I2207,MASTER_SOURCE!$A$2:$A$495,0)),"(REF không có trong MASTER_SOURCE)")))</f>
        <v/>
      </c>
      <c r="K2207" s="22">
        <f t="array" ref="K2207">IF($D2207="","",IFERROR(INDEX(MASTER_SOURCE!$C$2:$C$495,MATCH($I2207,MASTER_SOURCE!$A$2:$A$495,0)),""))</f>
        <v/>
      </c>
      <c r="L2207" s="22">
        <f t="array" ref="L2207">IF($D2207="","",IFERROR(INDEX(MASTER_SOURCE!$D$2:$D$495,MATCH($I2207,MASTER_SOURCE!$A$2:$A$495,0)),""))</f>
        <v/>
      </c>
      <c r="M2207" s="24" t="n"/>
      <c r="N2207" s="24" t="n"/>
      <c r="O2207" s="24" t="n"/>
      <c r="P2207" s="24" t="n"/>
      <c r="Q2207" s="22">
        <f>IF($D2207="","",IF(AND(OR(DANH_MUC!$L$5&lt;&gt;"Có",M2207="Có"),OR(DANH_MUC!$L$6&lt;&gt;"Có",N2207="Có"),OR(DANH_MUC!$L$7&lt;&gt;"Có",O2207="Có"),OR(DANH_MUC!$L$8&lt;&gt;"Có",P2207="Có")),"Có","Không"))</f>
        <v/>
      </c>
      <c r="R2207" s="22">
        <f>IF($D2207="","",IF(COUNTIF($D$2:$D2207,$D2207)&gt;1,"Trùng",""))</f>
        <v/>
      </c>
      <c r="S2207" s="22">
        <f>IF($D2207="","",IF(AND(LEN($D2207)=10,LEFT($D2207,1)="0",ISNUMBER(--$D2207)),"Có","Không"))</f>
        <v/>
      </c>
      <c r="T2207" s="22">
        <f>IF($D2207="","",IF(AND($C2207&lt;&gt;"",$Q2207="Có",$R2207="",$S2207="Có",AND($L2207&lt;&gt;"",OR($L2207&lt;&gt;"Chưa xác định",DANH_MUC!$L$9="Có"))),"Có","Không"))</f>
        <v/>
      </c>
      <c r="U2207" s="22">
        <f>IF(OR($D2207="",$T2207="Có"),"",IF($C2207="","Thiếu họ tên; ","")&amp;IF($S2207&lt;&gt;"Có","SĐT sai định dạng; ","")&amp;IF($R2207="Trùng","Trùng SĐT; ","")&amp;IF($Q2207&lt;&gt;"Có","Thiếu đồng ý bắt buộc; ","")&amp;IF($L2207="","Thiếu/sai Mã REF; ",IF(AND($L2207="Chưa xác định",DANH_MUC!$L$9&lt;&gt;"Có"),"Nguồn chưa xác định; ","")))</f>
        <v/>
      </c>
      <c r="V2207" s="22">
        <f>IF(OR($D2207="",$R2207="Trùng"),"",IF(COUNTIF(ORDERS!$C$2:$C$4995,$D2207)&gt;0,"Có","Không"))</f>
        <v/>
      </c>
      <c r="W2207" s="22">
        <f>IF(OR($D2207="",$R2207="Trùng"),"",COUNTIFS(ORDERS!$C$2:$C$4995,$D2207,ORDERS!$L$2:$L$4995,"Đã chuyển khoản"))</f>
        <v/>
      </c>
      <c r="X2207" s="23">
        <f>IF(OR($D2207="",$R2207="Trùng"),"",SUMIFS(ORDERS!$J$2:$J$4995,ORDERS!$C$2:$C$4995,$D2207,ORDERS!$L$2:$L$4995,"Đã chuyển khoản"))</f>
        <v/>
      </c>
      <c r="Y2207" s="24" t="n"/>
    </row>
    <row r="2208" ht="14.25" customHeight="1" s="40">
      <c r="A2208" s="24" t="n"/>
      <c r="B2208" s="27" t="n"/>
      <c r="C2208" s="24" t="n"/>
      <c r="D2208" s="28" t="n"/>
      <c r="E2208" s="29" t="n"/>
      <c r="F2208" s="24" t="n"/>
      <c r="G2208" s="24" t="n"/>
      <c r="H2208" s="21">
        <f>IF(ISNUMBER($B2208),INT($B2208)-WEEKDAY($B2208,2)+1,"")</f>
        <v/>
      </c>
      <c r="I2208" s="24" t="n"/>
      <c r="J2208" s="22">
        <f t="array" ref="J2208">IF($D2208="","",IF($I2208="","(trống REF)",IFERROR(INDEX(MASTER_SOURCE!$B$2:$B$495,MATCH($I2208,MASTER_SOURCE!$A$2:$A$495,0)),"(REF không có trong MASTER_SOURCE)")))</f>
        <v/>
      </c>
      <c r="K2208" s="22">
        <f t="array" ref="K2208">IF($D2208="","",IFERROR(INDEX(MASTER_SOURCE!$C$2:$C$495,MATCH($I2208,MASTER_SOURCE!$A$2:$A$495,0)),""))</f>
        <v/>
      </c>
      <c r="L2208" s="22">
        <f t="array" ref="L2208">IF($D2208="","",IFERROR(INDEX(MASTER_SOURCE!$D$2:$D$495,MATCH($I2208,MASTER_SOURCE!$A$2:$A$495,0)),""))</f>
        <v/>
      </c>
      <c r="M2208" s="24" t="n"/>
      <c r="N2208" s="24" t="n"/>
      <c r="O2208" s="24" t="n"/>
      <c r="P2208" s="24" t="n"/>
      <c r="Q2208" s="22">
        <f>IF($D2208="","",IF(AND(OR(DANH_MUC!$L$5&lt;&gt;"Có",M2208="Có"),OR(DANH_MUC!$L$6&lt;&gt;"Có",N2208="Có"),OR(DANH_MUC!$L$7&lt;&gt;"Có",O2208="Có"),OR(DANH_MUC!$L$8&lt;&gt;"Có",P2208="Có")),"Có","Không"))</f>
        <v/>
      </c>
      <c r="R2208" s="22">
        <f>IF($D2208="","",IF(COUNTIF($D$2:$D2208,$D2208)&gt;1,"Trùng",""))</f>
        <v/>
      </c>
      <c r="S2208" s="22">
        <f>IF($D2208="","",IF(AND(LEN($D2208)=10,LEFT($D2208,1)="0",ISNUMBER(--$D2208)),"Có","Không"))</f>
        <v/>
      </c>
      <c r="T2208" s="22">
        <f>IF($D2208="","",IF(AND($C2208&lt;&gt;"",$Q2208="Có",$R2208="",$S2208="Có",AND($L2208&lt;&gt;"",OR($L2208&lt;&gt;"Chưa xác định",DANH_MUC!$L$9="Có"))),"Có","Không"))</f>
        <v/>
      </c>
      <c r="U2208" s="22">
        <f>IF(OR($D2208="",$T2208="Có"),"",IF($C2208="","Thiếu họ tên; ","")&amp;IF($S2208&lt;&gt;"Có","SĐT sai định dạng; ","")&amp;IF($R2208="Trùng","Trùng SĐT; ","")&amp;IF($Q2208&lt;&gt;"Có","Thiếu đồng ý bắt buộc; ","")&amp;IF($L2208="","Thiếu/sai Mã REF; ",IF(AND($L2208="Chưa xác định",DANH_MUC!$L$9&lt;&gt;"Có"),"Nguồn chưa xác định; ","")))</f>
        <v/>
      </c>
      <c r="V2208" s="22">
        <f>IF(OR($D2208="",$R2208="Trùng"),"",IF(COUNTIF(ORDERS!$C$2:$C$4995,$D2208)&gt;0,"Có","Không"))</f>
        <v/>
      </c>
      <c r="W2208" s="22">
        <f>IF(OR($D2208="",$R2208="Trùng"),"",COUNTIFS(ORDERS!$C$2:$C$4995,$D2208,ORDERS!$L$2:$L$4995,"Đã chuyển khoản"))</f>
        <v/>
      </c>
      <c r="X2208" s="23">
        <f>IF(OR($D2208="",$R2208="Trùng"),"",SUMIFS(ORDERS!$J$2:$J$4995,ORDERS!$C$2:$C$4995,$D2208,ORDERS!$L$2:$L$4995,"Đã chuyển khoản"))</f>
        <v/>
      </c>
      <c r="Y2208" s="24" t="n"/>
    </row>
    <row r="2209" ht="14.25" customHeight="1" s="40">
      <c r="A2209" s="24" t="n"/>
      <c r="B2209" s="27" t="n"/>
      <c r="C2209" s="24" t="n"/>
      <c r="D2209" s="28" t="n"/>
      <c r="E2209" s="29" t="n"/>
      <c r="F2209" s="24" t="n"/>
      <c r="G2209" s="24" t="n"/>
      <c r="H2209" s="21">
        <f>IF(ISNUMBER($B2209),INT($B2209)-WEEKDAY($B2209,2)+1,"")</f>
        <v/>
      </c>
      <c r="I2209" s="24" t="n"/>
      <c r="J2209" s="22">
        <f t="array" ref="J2209">IF($D2209="","",IF($I2209="","(trống REF)",IFERROR(INDEX(MASTER_SOURCE!$B$2:$B$495,MATCH($I2209,MASTER_SOURCE!$A$2:$A$495,0)),"(REF không có trong MASTER_SOURCE)")))</f>
        <v/>
      </c>
      <c r="K2209" s="22">
        <f t="array" ref="K2209">IF($D2209="","",IFERROR(INDEX(MASTER_SOURCE!$C$2:$C$495,MATCH($I2209,MASTER_SOURCE!$A$2:$A$495,0)),""))</f>
        <v/>
      </c>
      <c r="L2209" s="22">
        <f t="array" ref="L2209">IF($D2209="","",IFERROR(INDEX(MASTER_SOURCE!$D$2:$D$495,MATCH($I2209,MASTER_SOURCE!$A$2:$A$495,0)),""))</f>
        <v/>
      </c>
      <c r="M2209" s="24" t="n"/>
      <c r="N2209" s="24" t="n"/>
      <c r="O2209" s="24" t="n"/>
      <c r="P2209" s="24" t="n"/>
      <c r="Q2209" s="22">
        <f>IF($D2209="","",IF(AND(OR(DANH_MUC!$L$5&lt;&gt;"Có",M2209="Có"),OR(DANH_MUC!$L$6&lt;&gt;"Có",N2209="Có"),OR(DANH_MUC!$L$7&lt;&gt;"Có",O2209="Có"),OR(DANH_MUC!$L$8&lt;&gt;"Có",P2209="Có")),"Có","Không"))</f>
        <v/>
      </c>
      <c r="R2209" s="22">
        <f>IF($D2209="","",IF(COUNTIF($D$2:$D2209,$D2209)&gt;1,"Trùng",""))</f>
        <v/>
      </c>
      <c r="S2209" s="22">
        <f>IF($D2209="","",IF(AND(LEN($D2209)=10,LEFT($D2209,1)="0",ISNUMBER(--$D2209)),"Có","Không"))</f>
        <v/>
      </c>
      <c r="T2209" s="22">
        <f>IF($D2209="","",IF(AND($C2209&lt;&gt;"",$Q2209="Có",$R2209="",$S2209="Có",AND($L2209&lt;&gt;"",OR($L2209&lt;&gt;"Chưa xác định",DANH_MUC!$L$9="Có"))),"Có","Không"))</f>
        <v/>
      </c>
      <c r="U2209" s="22">
        <f>IF(OR($D2209="",$T2209="Có"),"",IF($C2209="","Thiếu họ tên; ","")&amp;IF($S2209&lt;&gt;"Có","SĐT sai định dạng; ","")&amp;IF($R2209="Trùng","Trùng SĐT; ","")&amp;IF($Q2209&lt;&gt;"Có","Thiếu đồng ý bắt buộc; ","")&amp;IF($L2209="","Thiếu/sai Mã REF; ",IF(AND($L2209="Chưa xác định",DANH_MUC!$L$9&lt;&gt;"Có"),"Nguồn chưa xác định; ","")))</f>
        <v/>
      </c>
      <c r="V2209" s="22">
        <f>IF(OR($D2209="",$R2209="Trùng"),"",IF(COUNTIF(ORDERS!$C$2:$C$4995,$D2209)&gt;0,"Có","Không"))</f>
        <v/>
      </c>
      <c r="W2209" s="22">
        <f>IF(OR($D2209="",$R2209="Trùng"),"",COUNTIFS(ORDERS!$C$2:$C$4995,$D2209,ORDERS!$L$2:$L$4995,"Đã chuyển khoản"))</f>
        <v/>
      </c>
      <c r="X2209" s="23">
        <f>IF(OR($D2209="",$R2209="Trùng"),"",SUMIFS(ORDERS!$J$2:$J$4995,ORDERS!$C$2:$C$4995,$D2209,ORDERS!$L$2:$L$4995,"Đã chuyển khoản"))</f>
        <v/>
      </c>
      <c r="Y2209" s="24" t="n"/>
    </row>
    <row r="2210" ht="14.25" customHeight="1" s="40">
      <c r="A2210" s="24" t="n"/>
      <c r="B2210" s="27" t="n"/>
      <c r="C2210" s="24" t="n"/>
      <c r="D2210" s="28" t="n"/>
      <c r="E2210" s="29" t="n"/>
      <c r="F2210" s="24" t="n"/>
      <c r="G2210" s="24" t="n"/>
      <c r="H2210" s="21">
        <f>IF(ISNUMBER($B2210),INT($B2210)-WEEKDAY($B2210,2)+1,"")</f>
        <v/>
      </c>
      <c r="I2210" s="24" t="n"/>
      <c r="J2210" s="22">
        <f t="array" ref="J2210">IF($D2210="","",IF($I2210="","(trống REF)",IFERROR(INDEX(MASTER_SOURCE!$B$2:$B$495,MATCH($I2210,MASTER_SOURCE!$A$2:$A$495,0)),"(REF không có trong MASTER_SOURCE)")))</f>
        <v/>
      </c>
      <c r="K2210" s="22">
        <f t="array" ref="K2210">IF($D2210="","",IFERROR(INDEX(MASTER_SOURCE!$C$2:$C$495,MATCH($I2210,MASTER_SOURCE!$A$2:$A$495,0)),""))</f>
        <v/>
      </c>
      <c r="L2210" s="22">
        <f t="array" ref="L2210">IF($D2210="","",IFERROR(INDEX(MASTER_SOURCE!$D$2:$D$495,MATCH($I2210,MASTER_SOURCE!$A$2:$A$495,0)),""))</f>
        <v/>
      </c>
      <c r="M2210" s="24" t="n"/>
      <c r="N2210" s="24" t="n"/>
      <c r="O2210" s="24" t="n"/>
      <c r="P2210" s="24" t="n"/>
      <c r="Q2210" s="22">
        <f>IF($D2210="","",IF(AND(OR(DANH_MUC!$L$5&lt;&gt;"Có",M2210="Có"),OR(DANH_MUC!$L$6&lt;&gt;"Có",N2210="Có"),OR(DANH_MUC!$L$7&lt;&gt;"Có",O2210="Có"),OR(DANH_MUC!$L$8&lt;&gt;"Có",P2210="Có")),"Có","Không"))</f>
        <v/>
      </c>
      <c r="R2210" s="22">
        <f>IF($D2210="","",IF(COUNTIF($D$2:$D2210,$D2210)&gt;1,"Trùng",""))</f>
        <v/>
      </c>
      <c r="S2210" s="22">
        <f>IF($D2210="","",IF(AND(LEN($D2210)=10,LEFT($D2210,1)="0",ISNUMBER(--$D2210)),"Có","Không"))</f>
        <v/>
      </c>
      <c r="T2210" s="22">
        <f>IF($D2210="","",IF(AND($C2210&lt;&gt;"",$Q2210="Có",$R2210="",$S2210="Có",AND($L2210&lt;&gt;"",OR($L2210&lt;&gt;"Chưa xác định",DANH_MUC!$L$9="Có"))),"Có","Không"))</f>
        <v/>
      </c>
      <c r="U2210" s="22">
        <f>IF(OR($D2210="",$T2210="Có"),"",IF($C2210="","Thiếu họ tên; ","")&amp;IF($S2210&lt;&gt;"Có","SĐT sai định dạng; ","")&amp;IF($R2210="Trùng","Trùng SĐT; ","")&amp;IF($Q2210&lt;&gt;"Có","Thiếu đồng ý bắt buộc; ","")&amp;IF($L2210="","Thiếu/sai Mã REF; ",IF(AND($L2210="Chưa xác định",DANH_MUC!$L$9&lt;&gt;"Có"),"Nguồn chưa xác định; ","")))</f>
        <v/>
      </c>
      <c r="V2210" s="22">
        <f>IF(OR($D2210="",$R2210="Trùng"),"",IF(COUNTIF(ORDERS!$C$2:$C$4995,$D2210)&gt;0,"Có","Không"))</f>
        <v/>
      </c>
      <c r="W2210" s="22">
        <f>IF(OR($D2210="",$R2210="Trùng"),"",COUNTIFS(ORDERS!$C$2:$C$4995,$D2210,ORDERS!$L$2:$L$4995,"Đã chuyển khoản"))</f>
        <v/>
      </c>
      <c r="X2210" s="23">
        <f>IF(OR($D2210="",$R2210="Trùng"),"",SUMIFS(ORDERS!$J$2:$J$4995,ORDERS!$C$2:$C$4995,$D2210,ORDERS!$L$2:$L$4995,"Đã chuyển khoản"))</f>
        <v/>
      </c>
      <c r="Y2210" s="24" t="n"/>
    </row>
    <row r="2211" ht="14.25" customHeight="1" s="40">
      <c r="A2211" s="24" t="n"/>
      <c r="B2211" s="27" t="n"/>
      <c r="C2211" s="24" t="n"/>
      <c r="D2211" s="28" t="n"/>
      <c r="E2211" s="29" t="n"/>
      <c r="F2211" s="24" t="n"/>
      <c r="G2211" s="24" t="n"/>
      <c r="H2211" s="21">
        <f>IF(ISNUMBER($B2211),INT($B2211)-WEEKDAY($B2211,2)+1,"")</f>
        <v/>
      </c>
      <c r="I2211" s="24" t="n"/>
      <c r="J2211" s="22">
        <f t="array" ref="J2211">IF($D2211="","",IF($I2211="","(trống REF)",IFERROR(INDEX(MASTER_SOURCE!$B$2:$B$495,MATCH($I2211,MASTER_SOURCE!$A$2:$A$495,0)),"(REF không có trong MASTER_SOURCE)")))</f>
        <v/>
      </c>
      <c r="K2211" s="22">
        <f t="array" ref="K2211">IF($D2211="","",IFERROR(INDEX(MASTER_SOURCE!$C$2:$C$495,MATCH($I2211,MASTER_SOURCE!$A$2:$A$495,0)),""))</f>
        <v/>
      </c>
      <c r="L2211" s="22">
        <f t="array" ref="L2211">IF($D2211="","",IFERROR(INDEX(MASTER_SOURCE!$D$2:$D$495,MATCH($I2211,MASTER_SOURCE!$A$2:$A$495,0)),""))</f>
        <v/>
      </c>
      <c r="M2211" s="24" t="n"/>
      <c r="N2211" s="24" t="n"/>
      <c r="O2211" s="24" t="n"/>
      <c r="P2211" s="24" t="n"/>
      <c r="Q2211" s="22">
        <f>IF($D2211="","",IF(AND(OR(DANH_MUC!$L$5&lt;&gt;"Có",M2211="Có"),OR(DANH_MUC!$L$6&lt;&gt;"Có",N2211="Có"),OR(DANH_MUC!$L$7&lt;&gt;"Có",O2211="Có"),OR(DANH_MUC!$L$8&lt;&gt;"Có",P2211="Có")),"Có","Không"))</f>
        <v/>
      </c>
      <c r="R2211" s="22">
        <f>IF($D2211="","",IF(COUNTIF($D$2:$D2211,$D2211)&gt;1,"Trùng",""))</f>
        <v/>
      </c>
      <c r="S2211" s="22">
        <f>IF($D2211="","",IF(AND(LEN($D2211)=10,LEFT($D2211,1)="0",ISNUMBER(--$D2211)),"Có","Không"))</f>
        <v/>
      </c>
      <c r="T2211" s="22">
        <f>IF($D2211="","",IF(AND($C2211&lt;&gt;"",$Q2211="Có",$R2211="",$S2211="Có",AND($L2211&lt;&gt;"",OR($L2211&lt;&gt;"Chưa xác định",DANH_MUC!$L$9="Có"))),"Có","Không"))</f>
        <v/>
      </c>
      <c r="U2211" s="22">
        <f>IF(OR($D2211="",$T2211="Có"),"",IF($C2211="","Thiếu họ tên; ","")&amp;IF($S2211&lt;&gt;"Có","SĐT sai định dạng; ","")&amp;IF($R2211="Trùng","Trùng SĐT; ","")&amp;IF($Q2211&lt;&gt;"Có","Thiếu đồng ý bắt buộc; ","")&amp;IF($L2211="","Thiếu/sai Mã REF; ",IF(AND($L2211="Chưa xác định",DANH_MUC!$L$9&lt;&gt;"Có"),"Nguồn chưa xác định; ","")))</f>
        <v/>
      </c>
      <c r="V2211" s="22">
        <f>IF(OR($D2211="",$R2211="Trùng"),"",IF(COUNTIF(ORDERS!$C$2:$C$4995,$D2211)&gt;0,"Có","Không"))</f>
        <v/>
      </c>
      <c r="W2211" s="22">
        <f>IF(OR($D2211="",$R2211="Trùng"),"",COUNTIFS(ORDERS!$C$2:$C$4995,$D2211,ORDERS!$L$2:$L$4995,"Đã chuyển khoản"))</f>
        <v/>
      </c>
      <c r="X2211" s="23">
        <f>IF(OR($D2211="",$R2211="Trùng"),"",SUMIFS(ORDERS!$J$2:$J$4995,ORDERS!$C$2:$C$4995,$D2211,ORDERS!$L$2:$L$4995,"Đã chuyển khoản"))</f>
        <v/>
      </c>
      <c r="Y2211" s="24" t="n"/>
    </row>
    <row r="2212" ht="14.25" customHeight="1" s="40">
      <c r="A2212" s="24" t="n"/>
      <c r="B2212" s="27" t="n"/>
      <c r="C2212" s="24" t="n"/>
      <c r="D2212" s="28" t="n"/>
      <c r="E2212" s="29" t="n"/>
      <c r="F2212" s="24" t="n"/>
      <c r="G2212" s="24" t="n"/>
      <c r="H2212" s="21">
        <f>IF(ISNUMBER($B2212),INT($B2212)-WEEKDAY($B2212,2)+1,"")</f>
        <v/>
      </c>
      <c r="I2212" s="24" t="n"/>
      <c r="J2212" s="22">
        <f t="array" ref="J2212">IF($D2212="","",IF($I2212="","(trống REF)",IFERROR(INDEX(MASTER_SOURCE!$B$2:$B$495,MATCH($I2212,MASTER_SOURCE!$A$2:$A$495,0)),"(REF không có trong MASTER_SOURCE)")))</f>
        <v/>
      </c>
      <c r="K2212" s="22">
        <f t="array" ref="K2212">IF($D2212="","",IFERROR(INDEX(MASTER_SOURCE!$C$2:$C$495,MATCH($I2212,MASTER_SOURCE!$A$2:$A$495,0)),""))</f>
        <v/>
      </c>
      <c r="L2212" s="22">
        <f t="array" ref="L2212">IF($D2212="","",IFERROR(INDEX(MASTER_SOURCE!$D$2:$D$495,MATCH($I2212,MASTER_SOURCE!$A$2:$A$495,0)),""))</f>
        <v/>
      </c>
      <c r="M2212" s="24" t="n"/>
      <c r="N2212" s="24" t="n"/>
      <c r="O2212" s="24" t="n"/>
      <c r="P2212" s="24" t="n"/>
      <c r="Q2212" s="22">
        <f>IF($D2212="","",IF(AND(OR(DANH_MUC!$L$5&lt;&gt;"Có",M2212="Có"),OR(DANH_MUC!$L$6&lt;&gt;"Có",N2212="Có"),OR(DANH_MUC!$L$7&lt;&gt;"Có",O2212="Có"),OR(DANH_MUC!$L$8&lt;&gt;"Có",P2212="Có")),"Có","Không"))</f>
        <v/>
      </c>
      <c r="R2212" s="22">
        <f>IF($D2212="","",IF(COUNTIF($D$2:$D2212,$D2212)&gt;1,"Trùng",""))</f>
        <v/>
      </c>
      <c r="S2212" s="22">
        <f>IF($D2212="","",IF(AND(LEN($D2212)=10,LEFT($D2212,1)="0",ISNUMBER(--$D2212)),"Có","Không"))</f>
        <v/>
      </c>
      <c r="T2212" s="22">
        <f>IF($D2212="","",IF(AND($C2212&lt;&gt;"",$Q2212="Có",$R2212="",$S2212="Có",AND($L2212&lt;&gt;"",OR($L2212&lt;&gt;"Chưa xác định",DANH_MUC!$L$9="Có"))),"Có","Không"))</f>
        <v/>
      </c>
      <c r="U2212" s="22">
        <f>IF(OR($D2212="",$T2212="Có"),"",IF($C2212="","Thiếu họ tên; ","")&amp;IF($S2212&lt;&gt;"Có","SĐT sai định dạng; ","")&amp;IF($R2212="Trùng","Trùng SĐT; ","")&amp;IF($Q2212&lt;&gt;"Có","Thiếu đồng ý bắt buộc; ","")&amp;IF($L2212="","Thiếu/sai Mã REF; ",IF(AND($L2212="Chưa xác định",DANH_MUC!$L$9&lt;&gt;"Có"),"Nguồn chưa xác định; ","")))</f>
        <v/>
      </c>
      <c r="V2212" s="22">
        <f>IF(OR($D2212="",$R2212="Trùng"),"",IF(COUNTIF(ORDERS!$C$2:$C$4995,$D2212)&gt;0,"Có","Không"))</f>
        <v/>
      </c>
      <c r="W2212" s="22">
        <f>IF(OR($D2212="",$R2212="Trùng"),"",COUNTIFS(ORDERS!$C$2:$C$4995,$D2212,ORDERS!$L$2:$L$4995,"Đã chuyển khoản"))</f>
        <v/>
      </c>
      <c r="X2212" s="23">
        <f>IF(OR($D2212="",$R2212="Trùng"),"",SUMIFS(ORDERS!$J$2:$J$4995,ORDERS!$C$2:$C$4995,$D2212,ORDERS!$L$2:$L$4995,"Đã chuyển khoản"))</f>
        <v/>
      </c>
      <c r="Y2212" s="24" t="n"/>
    </row>
    <row r="2213" ht="14.25" customHeight="1" s="40">
      <c r="A2213" s="24" t="n"/>
      <c r="B2213" s="27" t="n"/>
      <c r="C2213" s="24" t="n"/>
      <c r="D2213" s="28" t="n"/>
      <c r="E2213" s="29" t="n"/>
      <c r="F2213" s="24" t="n"/>
      <c r="G2213" s="24" t="n"/>
      <c r="H2213" s="21">
        <f>IF(ISNUMBER($B2213),INT($B2213)-WEEKDAY($B2213,2)+1,"")</f>
        <v/>
      </c>
      <c r="I2213" s="24" t="n"/>
      <c r="J2213" s="22">
        <f t="array" ref="J2213">IF($D2213="","",IF($I2213="","(trống REF)",IFERROR(INDEX(MASTER_SOURCE!$B$2:$B$495,MATCH($I2213,MASTER_SOURCE!$A$2:$A$495,0)),"(REF không có trong MASTER_SOURCE)")))</f>
        <v/>
      </c>
      <c r="K2213" s="22">
        <f t="array" ref="K2213">IF($D2213="","",IFERROR(INDEX(MASTER_SOURCE!$C$2:$C$495,MATCH($I2213,MASTER_SOURCE!$A$2:$A$495,0)),""))</f>
        <v/>
      </c>
      <c r="L2213" s="22">
        <f t="array" ref="L2213">IF($D2213="","",IFERROR(INDEX(MASTER_SOURCE!$D$2:$D$495,MATCH($I2213,MASTER_SOURCE!$A$2:$A$495,0)),""))</f>
        <v/>
      </c>
      <c r="M2213" s="24" t="n"/>
      <c r="N2213" s="24" t="n"/>
      <c r="O2213" s="24" t="n"/>
      <c r="P2213" s="24" t="n"/>
      <c r="Q2213" s="22">
        <f>IF($D2213="","",IF(AND(OR(DANH_MUC!$L$5&lt;&gt;"Có",M2213="Có"),OR(DANH_MUC!$L$6&lt;&gt;"Có",N2213="Có"),OR(DANH_MUC!$L$7&lt;&gt;"Có",O2213="Có"),OR(DANH_MUC!$L$8&lt;&gt;"Có",P2213="Có")),"Có","Không"))</f>
        <v/>
      </c>
      <c r="R2213" s="22">
        <f>IF($D2213="","",IF(COUNTIF($D$2:$D2213,$D2213)&gt;1,"Trùng",""))</f>
        <v/>
      </c>
      <c r="S2213" s="22">
        <f>IF($D2213="","",IF(AND(LEN($D2213)=10,LEFT($D2213,1)="0",ISNUMBER(--$D2213)),"Có","Không"))</f>
        <v/>
      </c>
      <c r="T2213" s="22">
        <f>IF($D2213="","",IF(AND($C2213&lt;&gt;"",$Q2213="Có",$R2213="",$S2213="Có",AND($L2213&lt;&gt;"",OR($L2213&lt;&gt;"Chưa xác định",DANH_MUC!$L$9="Có"))),"Có","Không"))</f>
        <v/>
      </c>
      <c r="U2213" s="22">
        <f>IF(OR($D2213="",$T2213="Có"),"",IF($C2213="","Thiếu họ tên; ","")&amp;IF($S2213&lt;&gt;"Có","SĐT sai định dạng; ","")&amp;IF($R2213="Trùng","Trùng SĐT; ","")&amp;IF($Q2213&lt;&gt;"Có","Thiếu đồng ý bắt buộc; ","")&amp;IF($L2213="","Thiếu/sai Mã REF; ",IF(AND($L2213="Chưa xác định",DANH_MUC!$L$9&lt;&gt;"Có"),"Nguồn chưa xác định; ","")))</f>
        <v/>
      </c>
      <c r="V2213" s="22">
        <f>IF(OR($D2213="",$R2213="Trùng"),"",IF(COUNTIF(ORDERS!$C$2:$C$4995,$D2213)&gt;0,"Có","Không"))</f>
        <v/>
      </c>
      <c r="W2213" s="22">
        <f>IF(OR($D2213="",$R2213="Trùng"),"",COUNTIFS(ORDERS!$C$2:$C$4995,$D2213,ORDERS!$L$2:$L$4995,"Đã chuyển khoản"))</f>
        <v/>
      </c>
      <c r="X2213" s="23">
        <f>IF(OR($D2213="",$R2213="Trùng"),"",SUMIFS(ORDERS!$J$2:$J$4995,ORDERS!$C$2:$C$4995,$D2213,ORDERS!$L$2:$L$4995,"Đã chuyển khoản"))</f>
        <v/>
      </c>
      <c r="Y2213" s="24" t="n"/>
    </row>
    <row r="2214" ht="14.25" customHeight="1" s="40">
      <c r="A2214" s="24" t="n"/>
      <c r="B2214" s="27" t="n"/>
      <c r="C2214" s="24" t="n"/>
      <c r="D2214" s="28" t="n"/>
      <c r="E2214" s="29" t="n"/>
      <c r="F2214" s="24" t="n"/>
      <c r="G2214" s="24" t="n"/>
      <c r="H2214" s="21">
        <f>IF(ISNUMBER($B2214),INT($B2214)-WEEKDAY($B2214,2)+1,"")</f>
        <v/>
      </c>
      <c r="I2214" s="24" t="n"/>
      <c r="J2214" s="22">
        <f t="array" ref="J2214">IF($D2214="","",IF($I2214="","(trống REF)",IFERROR(INDEX(MASTER_SOURCE!$B$2:$B$495,MATCH($I2214,MASTER_SOURCE!$A$2:$A$495,0)),"(REF không có trong MASTER_SOURCE)")))</f>
        <v/>
      </c>
      <c r="K2214" s="22">
        <f t="array" ref="K2214">IF($D2214="","",IFERROR(INDEX(MASTER_SOURCE!$C$2:$C$495,MATCH($I2214,MASTER_SOURCE!$A$2:$A$495,0)),""))</f>
        <v/>
      </c>
      <c r="L2214" s="22">
        <f t="array" ref="L2214">IF($D2214="","",IFERROR(INDEX(MASTER_SOURCE!$D$2:$D$495,MATCH($I2214,MASTER_SOURCE!$A$2:$A$495,0)),""))</f>
        <v/>
      </c>
      <c r="M2214" s="24" t="n"/>
      <c r="N2214" s="24" t="n"/>
      <c r="O2214" s="24" t="n"/>
      <c r="P2214" s="24" t="n"/>
      <c r="Q2214" s="22">
        <f>IF($D2214="","",IF(AND(OR(DANH_MUC!$L$5&lt;&gt;"Có",M2214="Có"),OR(DANH_MUC!$L$6&lt;&gt;"Có",N2214="Có"),OR(DANH_MUC!$L$7&lt;&gt;"Có",O2214="Có"),OR(DANH_MUC!$L$8&lt;&gt;"Có",P2214="Có")),"Có","Không"))</f>
        <v/>
      </c>
      <c r="R2214" s="22">
        <f>IF($D2214="","",IF(COUNTIF($D$2:$D2214,$D2214)&gt;1,"Trùng",""))</f>
        <v/>
      </c>
      <c r="S2214" s="22">
        <f>IF($D2214="","",IF(AND(LEN($D2214)=10,LEFT($D2214,1)="0",ISNUMBER(--$D2214)),"Có","Không"))</f>
        <v/>
      </c>
      <c r="T2214" s="22">
        <f>IF($D2214="","",IF(AND($C2214&lt;&gt;"",$Q2214="Có",$R2214="",$S2214="Có",AND($L2214&lt;&gt;"",OR($L2214&lt;&gt;"Chưa xác định",DANH_MUC!$L$9="Có"))),"Có","Không"))</f>
        <v/>
      </c>
      <c r="U2214" s="22">
        <f>IF(OR($D2214="",$T2214="Có"),"",IF($C2214="","Thiếu họ tên; ","")&amp;IF($S2214&lt;&gt;"Có","SĐT sai định dạng; ","")&amp;IF($R2214="Trùng","Trùng SĐT; ","")&amp;IF($Q2214&lt;&gt;"Có","Thiếu đồng ý bắt buộc; ","")&amp;IF($L2214="","Thiếu/sai Mã REF; ",IF(AND($L2214="Chưa xác định",DANH_MUC!$L$9&lt;&gt;"Có"),"Nguồn chưa xác định; ","")))</f>
        <v/>
      </c>
      <c r="V2214" s="22">
        <f>IF(OR($D2214="",$R2214="Trùng"),"",IF(COUNTIF(ORDERS!$C$2:$C$4995,$D2214)&gt;0,"Có","Không"))</f>
        <v/>
      </c>
      <c r="W2214" s="22">
        <f>IF(OR($D2214="",$R2214="Trùng"),"",COUNTIFS(ORDERS!$C$2:$C$4995,$D2214,ORDERS!$L$2:$L$4995,"Đã chuyển khoản"))</f>
        <v/>
      </c>
      <c r="X2214" s="23">
        <f>IF(OR($D2214="",$R2214="Trùng"),"",SUMIFS(ORDERS!$J$2:$J$4995,ORDERS!$C$2:$C$4995,$D2214,ORDERS!$L$2:$L$4995,"Đã chuyển khoản"))</f>
        <v/>
      </c>
      <c r="Y2214" s="24" t="n"/>
    </row>
    <row r="2215" ht="14.25" customHeight="1" s="40">
      <c r="A2215" s="24" t="n"/>
      <c r="B2215" s="27" t="n"/>
      <c r="C2215" s="24" t="n"/>
      <c r="D2215" s="28" t="n"/>
      <c r="E2215" s="29" t="n"/>
      <c r="F2215" s="24" t="n"/>
      <c r="G2215" s="24" t="n"/>
      <c r="H2215" s="21">
        <f>IF(ISNUMBER($B2215),INT($B2215)-WEEKDAY($B2215,2)+1,"")</f>
        <v/>
      </c>
      <c r="I2215" s="24" t="n"/>
      <c r="J2215" s="22">
        <f t="array" ref="J2215">IF($D2215="","",IF($I2215="","(trống REF)",IFERROR(INDEX(MASTER_SOURCE!$B$2:$B$495,MATCH($I2215,MASTER_SOURCE!$A$2:$A$495,0)),"(REF không có trong MASTER_SOURCE)")))</f>
        <v/>
      </c>
      <c r="K2215" s="22">
        <f t="array" ref="K2215">IF($D2215="","",IFERROR(INDEX(MASTER_SOURCE!$C$2:$C$495,MATCH($I2215,MASTER_SOURCE!$A$2:$A$495,0)),""))</f>
        <v/>
      </c>
      <c r="L2215" s="22">
        <f t="array" ref="L2215">IF($D2215="","",IFERROR(INDEX(MASTER_SOURCE!$D$2:$D$495,MATCH($I2215,MASTER_SOURCE!$A$2:$A$495,0)),""))</f>
        <v/>
      </c>
      <c r="M2215" s="24" t="n"/>
      <c r="N2215" s="24" t="n"/>
      <c r="O2215" s="24" t="n"/>
      <c r="P2215" s="24" t="n"/>
      <c r="Q2215" s="22">
        <f>IF($D2215="","",IF(AND(OR(DANH_MUC!$L$5&lt;&gt;"Có",M2215="Có"),OR(DANH_MUC!$L$6&lt;&gt;"Có",N2215="Có"),OR(DANH_MUC!$L$7&lt;&gt;"Có",O2215="Có"),OR(DANH_MUC!$L$8&lt;&gt;"Có",P2215="Có")),"Có","Không"))</f>
        <v/>
      </c>
      <c r="R2215" s="22">
        <f>IF($D2215="","",IF(COUNTIF($D$2:$D2215,$D2215)&gt;1,"Trùng",""))</f>
        <v/>
      </c>
      <c r="S2215" s="22">
        <f>IF($D2215="","",IF(AND(LEN($D2215)=10,LEFT($D2215,1)="0",ISNUMBER(--$D2215)),"Có","Không"))</f>
        <v/>
      </c>
      <c r="T2215" s="22">
        <f>IF($D2215="","",IF(AND($C2215&lt;&gt;"",$Q2215="Có",$R2215="",$S2215="Có",AND($L2215&lt;&gt;"",OR($L2215&lt;&gt;"Chưa xác định",DANH_MUC!$L$9="Có"))),"Có","Không"))</f>
        <v/>
      </c>
      <c r="U2215" s="22">
        <f>IF(OR($D2215="",$T2215="Có"),"",IF($C2215="","Thiếu họ tên; ","")&amp;IF($S2215&lt;&gt;"Có","SĐT sai định dạng; ","")&amp;IF($R2215="Trùng","Trùng SĐT; ","")&amp;IF($Q2215&lt;&gt;"Có","Thiếu đồng ý bắt buộc; ","")&amp;IF($L2215="","Thiếu/sai Mã REF; ",IF(AND($L2215="Chưa xác định",DANH_MUC!$L$9&lt;&gt;"Có"),"Nguồn chưa xác định; ","")))</f>
        <v/>
      </c>
      <c r="V2215" s="22">
        <f>IF(OR($D2215="",$R2215="Trùng"),"",IF(COUNTIF(ORDERS!$C$2:$C$4995,$D2215)&gt;0,"Có","Không"))</f>
        <v/>
      </c>
      <c r="W2215" s="22">
        <f>IF(OR($D2215="",$R2215="Trùng"),"",COUNTIFS(ORDERS!$C$2:$C$4995,$D2215,ORDERS!$L$2:$L$4995,"Đã chuyển khoản"))</f>
        <v/>
      </c>
      <c r="X2215" s="23">
        <f>IF(OR($D2215="",$R2215="Trùng"),"",SUMIFS(ORDERS!$J$2:$J$4995,ORDERS!$C$2:$C$4995,$D2215,ORDERS!$L$2:$L$4995,"Đã chuyển khoản"))</f>
        <v/>
      </c>
      <c r="Y2215" s="24" t="n"/>
    </row>
    <row r="2216" ht="14.25" customHeight="1" s="40">
      <c r="A2216" s="24" t="n"/>
      <c r="B2216" s="27" t="n"/>
      <c r="C2216" s="24" t="n"/>
      <c r="D2216" s="28" t="n"/>
      <c r="E2216" s="29" t="n"/>
      <c r="F2216" s="24" t="n"/>
      <c r="G2216" s="24" t="n"/>
      <c r="H2216" s="21">
        <f>IF(ISNUMBER($B2216),INT($B2216)-WEEKDAY($B2216,2)+1,"")</f>
        <v/>
      </c>
      <c r="I2216" s="24" t="n"/>
      <c r="J2216" s="22">
        <f t="array" ref="J2216">IF($D2216="","",IF($I2216="","(trống REF)",IFERROR(INDEX(MASTER_SOURCE!$B$2:$B$495,MATCH($I2216,MASTER_SOURCE!$A$2:$A$495,0)),"(REF không có trong MASTER_SOURCE)")))</f>
        <v/>
      </c>
      <c r="K2216" s="22">
        <f t="array" ref="K2216">IF($D2216="","",IFERROR(INDEX(MASTER_SOURCE!$C$2:$C$495,MATCH($I2216,MASTER_SOURCE!$A$2:$A$495,0)),""))</f>
        <v/>
      </c>
      <c r="L2216" s="22">
        <f t="array" ref="L2216">IF($D2216="","",IFERROR(INDEX(MASTER_SOURCE!$D$2:$D$495,MATCH($I2216,MASTER_SOURCE!$A$2:$A$495,0)),""))</f>
        <v/>
      </c>
      <c r="M2216" s="24" t="n"/>
      <c r="N2216" s="24" t="n"/>
      <c r="O2216" s="24" t="n"/>
      <c r="P2216" s="24" t="n"/>
      <c r="Q2216" s="22">
        <f>IF($D2216="","",IF(AND(OR(DANH_MUC!$L$5&lt;&gt;"Có",M2216="Có"),OR(DANH_MUC!$L$6&lt;&gt;"Có",N2216="Có"),OR(DANH_MUC!$L$7&lt;&gt;"Có",O2216="Có"),OR(DANH_MUC!$L$8&lt;&gt;"Có",P2216="Có")),"Có","Không"))</f>
        <v/>
      </c>
      <c r="R2216" s="22">
        <f>IF($D2216="","",IF(COUNTIF($D$2:$D2216,$D2216)&gt;1,"Trùng",""))</f>
        <v/>
      </c>
      <c r="S2216" s="22">
        <f>IF($D2216="","",IF(AND(LEN($D2216)=10,LEFT($D2216,1)="0",ISNUMBER(--$D2216)),"Có","Không"))</f>
        <v/>
      </c>
      <c r="T2216" s="22">
        <f>IF($D2216="","",IF(AND($C2216&lt;&gt;"",$Q2216="Có",$R2216="",$S2216="Có",AND($L2216&lt;&gt;"",OR($L2216&lt;&gt;"Chưa xác định",DANH_MUC!$L$9="Có"))),"Có","Không"))</f>
        <v/>
      </c>
      <c r="U2216" s="22">
        <f>IF(OR($D2216="",$T2216="Có"),"",IF($C2216="","Thiếu họ tên; ","")&amp;IF($S2216&lt;&gt;"Có","SĐT sai định dạng; ","")&amp;IF($R2216="Trùng","Trùng SĐT; ","")&amp;IF($Q2216&lt;&gt;"Có","Thiếu đồng ý bắt buộc; ","")&amp;IF($L2216="","Thiếu/sai Mã REF; ",IF(AND($L2216="Chưa xác định",DANH_MUC!$L$9&lt;&gt;"Có"),"Nguồn chưa xác định; ","")))</f>
        <v/>
      </c>
      <c r="V2216" s="22">
        <f>IF(OR($D2216="",$R2216="Trùng"),"",IF(COUNTIF(ORDERS!$C$2:$C$4995,$D2216)&gt;0,"Có","Không"))</f>
        <v/>
      </c>
      <c r="W2216" s="22">
        <f>IF(OR($D2216="",$R2216="Trùng"),"",COUNTIFS(ORDERS!$C$2:$C$4995,$D2216,ORDERS!$L$2:$L$4995,"Đã chuyển khoản"))</f>
        <v/>
      </c>
      <c r="X2216" s="23">
        <f>IF(OR($D2216="",$R2216="Trùng"),"",SUMIFS(ORDERS!$J$2:$J$4995,ORDERS!$C$2:$C$4995,$D2216,ORDERS!$L$2:$L$4995,"Đã chuyển khoản"))</f>
        <v/>
      </c>
      <c r="Y2216" s="24" t="n"/>
    </row>
    <row r="2217" ht="14.25" customHeight="1" s="40">
      <c r="A2217" s="24" t="n"/>
      <c r="B2217" s="27" t="n"/>
      <c r="C2217" s="24" t="n"/>
      <c r="D2217" s="28" t="n"/>
      <c r="E2217" s="29" t="n"/>
      <c r="F2217" s="24" t="n"/>
      <c r="G2217" s="24" t="n"/>
      <c r="H2217" s="21">
        <f>IF(ISNUMBER($B2217),INT($B2217)-WEEKDAY($B2217,2)+1,"")</f>
        <v/>
      </c>
      <c r="I2217" s="24" t="n"/>
      <c r="J2217" s="22">
        <f t="array" ref="J2217">IF($D2217="","",IF($I2217="","(trống REF)",IFERROR(INDEX(MASTER_SOURCE!$B$2:$B$495,MATCH($I2217,MASTER_SOURCE!$A$2:$A$495,0)),"(REF không có trong MASTER_SOURCE)")))</f>
        <v/>
      </c>
      <c r="K2217" s="22">
        <f t="array" ref="K2217">IF($D2217="","",IFERROR(INDEX(MASTER_SOURCE!$C$2:$C$495,MATCH($I2217,MASTER_SOURCE!$A$2:$A$495,0)),""))</f>
        <v/>
      </c>
      <c r="L2217" s="22">
        <f t="array" ref="L2217">IF($D2217="","",IFERROR(INDEX(MASTER_SOURCE!$D$2:$D$495,MATCH($I2217,MASTER_SOURCE!$A$2:$A$495,0)),""))</f>
        <v/>
      </c>
      <c r="M2217" s="24" t="n"/>
      <c r="N2217" s="24" t="n"/>
      <c r="O2217" s="24" t="n"/>
      <c r="P2217" s="24" t="n"/>
      <c r="Q2217" s="22">
        <f>IF($D2217="","",IF(AND(OR(DANH_MUC!$L$5&lt;&gt;"Có",M2217="Có"),OR(DANH_MUC!$L$6&lt;&gt;"Có",N2217="Có"),OR(DANH_MUC!$L$7&lt;&gt;"Có",O2217="Có"),OR(DANH_MUC!$L$8&lt;&gt;"Có",P2217="Có")),"Có","Không"))</f>
        <v/>
      </c>
      <c r="R2217" s="22">
        <f>IF($D2217="","",IF(COUNTIF($D$2:$D2217,$D2217)&gt;1,"Trùng",""))</f>
        <v/>
      </c>
      <c r="S2217" s="22">
        <f>IF($D2217="","",IF(AND(LEN($D2217)=10,LEFT($D2217,1)="0",ISNUMBER(--$D2217)),"Có","Không"))</f>
        <v/>
      </c>
      <c r="T2217" s="22">
        <f>IF($D2217="","",IF(AND($C2217&lt;&gt;"",$Q2217="Có",$R2217="",$S2217="Có",AND($L2217&lt;&gt;"",OR($L2217&lt;&gt;"Chưa xác định",DANH_MUC!$L$9="Có"))),"Có","Không"))</f>
        <v/>
      </c>
      <c r="U2217" s="22">
        <f>IF(OR($D2217="",$T2217="Có"),"",IF($C2217="","Thiếu họ tên; ","")&amp;IF($S2217&lt;&gt;"Có","SĐT sai định dạng; ","")&amp;IF($R2217="Trùng","Trùng SĐT; ","")&amp;IF($Q2217&lt;&gt;"Có","Thiếu đồng ý bắt buộc; ","")&amp;IF($L2217="","Thiếu/sai Mã REF; ",IF(AND($L2217="Chưa xác định",DANH_MUC!$L$9&lt;&gt;"Có"),"Nguồn chưa xác định; ","")))</f>
        <v/>
      </c>
      <c r="V2217" s="22">
        <f>IF(OR($D2217="",$R2217="Trùng"),"",IF(COUNTIF(ORDERS!$C$2:$C$4995,$D2217)&gt;0,"Có","Không"))</f>
        <v/>
      </c>
      <c r="W2217" s="22">
        <f>IF(OR($D2217="",$R2217="Trùng"),"",COUNTIFS(ORDERS!$C$2:$C$4995,$D2217,ORDERS!$L$2:$L$4995,"Đã chuyển khoản"))</f>
        <v/>
      </c>
      <c r="X2217" s="23">
        <f>IF(OR($D2217="",$R2217="Trùng"),"",SUMIFS(ORDERS!$J$2:$J$4995,ORDERS!$C$2:$C$4995,$D2217,ORDERS!$L$2:$L$4995,"Đã chuyển khoản"))</f>
        <v/>
      </c>
      <c r="Y2217" s="24" t="n"/>
    </row>
    <row r="2218" ht="14.25" customHeight="1" s="40">
      <c r="A2218" s="24" t="n"/>
      <c r="B2218" s="27" t="n"/>
      <c r="C2218" s="24" t="n"/>
      <c r="D2218" s="28" t="n"/>
      <c r="E2218" s="29" t="n"/>
      <c r="F2218" s="24" t="n"/>
      <c r="G2218" s="24" t="n"/>
      <c r="H2218" s="21">
        <f>IF(ISNUMBER($B2218),INT($B2218)-WEEKDAY($B2218,2)+1,"")</f>
        <v/>
      </c>
      <c r="I2218" s="24" t="n"/>
      <c r="J2218" s="22">
        <f t="array" ref="J2218">IF($D2218="","",IF($I2218="","(trống REF)",IFERROR(INDEX(MASTER_SOURCE!$B$2:$B$495,MATCH($I2218,MASTER_SOURCE!$A$2:$A$495,0)),"(REF không có trong MASTER_SOURCE)")))</f>
        <v/>
      </c>
      <c r="K2218" s="22">
        <f t="array" ref="K2218">IF($D2218="","",IFERROR(INDEX(MASTER_SOURCE!$C$2:$C$495,MATCH($I2218,MASTER_SOURCE!$A$2:$A$495,0)),""))</f>
        <v/>
      </c>
      <c r="L2218" s="22">
        <f t="array" ref="L2218">IF($D2218="","",IFERROR(INDEX(MASTER_SOURCE!$D$2:$D$495,MATCH($I2218,MASTER_SOURCE!$A$2:$A$495,0)),""))</f>
        <v/>
      </c>
      <c r="M2218" s="24" t="n"/>
      <c r="N2218" s="24" t="n"/>
      <c r="O2218" s="24" t="n"/>
      <c r="P2218" s="24" t="n"/>
      <c r="Q2218" s="22">
        <f>IF($D2218="","",IF(AND(OR(DANH_MUC!$L$5&lt;&gt;"Có",M2218="Có"),OR(DANH_MUC!$L$6&lt;&gt;"Có",N2218="Có"),OR(DANH_MUC!$L$7&lt;&gt;"Có",O2218="Có"),OR(DANH_MUC!$L$8&lt;&gt;"Có",P2218="Có")),"Có","Không"))</f>
        <v/>
      </c>
      <c r="R2218" s="22">
        <f>IF($D2218="","",IF(COUNTIF($D$2:$D2218,$D2218)&gt;1,"Trùng",""))</f>
        <v/>
      </c>
      <c r="S2218" s="22">
        <f>IF($D2218="","",IF(AND(LEN($D2218)=10,LEFT($D2218,1)="0",ISNUMBER(--$D2218)),"Có","Không"))</f>
        <v/>
      </c>
      <c r="T2218" s="22">
        <f>IF($D2218="","",IF(AND($C2218&lt;&gt;"",$Q2218="Có",$R2218="",$S2218="Có",AND($L2218&lt;&gt;"",OR($L2218&lt;&gt;"Chưa xác định",DANH_MUC!$L$9="Có"))),"Có","Không"))</f>
        <v/>
      </c>
      <c r="U2218" s="22">
        <f>IF(OR($D2218="",$T2218="Có"),"",IF($C2218="","Thiếu họ tên; ","")&amp;IF($S2218&lt;&gt;"Có","SĐT sai định dạng; ","")&amp;IF($R2218="Trùng","Trùng SĐT; ","")&amp;IF($Q2218&lt;&gt;"Có","Thiếu đồng ý bắt buộc; ","")&amp;IF($L2218="","Thiếu/sai Mã REF; ",IF(AND($L2218="Chưa xác định",DANH_MUC!$L$9&lt;&gt;"Có"),"Nguồn chưa xác định; ","")))</f>
        <v/>
      </c>
      <c r="V2218" s="22">
        <f>IF(OR($D2218="",$R2218="Trùng"),"",IF(COUNTIF(ORDERS!$C$2:$C$4995,$D2218)&gt;0,"Có","Không"))</f>
        <v/>
      </c>
      <c r="W2218" s="22">
        <f>IF(OR($D2218="",$R2218="Trùng"),"",COUNTIFS(ORDERS!$C$2:$C$4995,$D2218,ORDERS!$L$2:$L$4995,"Đã chuyển khoản"))</f>
        <v/>
      </c>
      <c r="X2218" s="23">
        <f>IF(OR($D2218="",$R2218="Trùng"),"",SUMIFS(ORDERS!$J$2:$J$4995,ORDERS!$C$2:$C$4995,$D2218,ORDERS!$L$2:$L$4995,"Đã chuyển khoản"))</f>
        <v/>
      </c>
      <c r="Y2218" s="24" t="n"/>
    </row>
    <row r="2219" ht="14.25" customHeight="1" s="40">
      <c r="A2219" s="24" t="n"/>
      <c r="B2219" s="27" t="n"/>
      <c r="C2219" s="24" t="n"/>
      <c r="D2219" s="28" t="n"/>
      <c r="E2219" s="29" t="n"/>
      <c r="F2219" s="24" t="n"/>
      <c r="G2219" s="24" t="n"/>
      <c r="H2219" s="21">
        <f>IF(ISNUMBER($B2219),INT($B2219)-WEEKDAY($B2219,2)+1,"")</f>
        <v/>
      </c>
      <c r="I2219" s="24" t="n"/>
      <c r="J2219" s="22">
        <f t="array" ref="J2219">IF($D2219="","",IF($I2219="","(trống REF)",IFERROR(INDEX(MASTER_SOURCE!$B$2:$B$495,MATCH($I2219,MASTER_SOURCE!$A$2:$A$495,0)),"(REF không có trong MASTER_SOURCE)")))</f>
        <v/>
      </c>
      <c r="K2219" s="22">
        <f t="array" ref="K2219">IF($D2219="","",IFERROR(INDEX(MASTER_SOURCE!$C$2:$C$495,MATCH($I2219,MASTER_SOURCE!$A$2:$A$495,0)),""))</f>
        <v/>
      </c>
      <c r="L2219" s="22">
        <f t="array" ref="L2219">IF($D2219="","",IFERROR(INDEX(MASTER_SOURCE!$D$2:$D$495,MATCH($I2219,MASTER_SOURCE!$A$2:$A$495,0)),""))</f>
        <v/>
      </c>
      <c r="M2219" s="24" t="n"/>
      <c r="N2219" s="24" t="n"/>
      <c r="O2219" s="24" t="n"/>
      <c r="P2219" s="24" t="n"/>
      <c r="Q2219" s="22">
        <f>IF($D2219="","",IF(AND(OR(DANH_MUC!$L$5&lt;&gt;"Có",M2219="Có"),OR(DANH_MUC!$L$6&lt;&gt;"Có",N2219="Có"),OR(DANH_MUC!$L$7&lt;&gt;"Có",O2219="Có"),OR(DANH_MUC!$L$8&lt;&gt;"Có",P2219="Có")),"Có","Không"))</f>
        <v/>
      </c>
      <c r="R2219" s="22">
        <f>IF($D2219="","",IF(COUNTIF($D$2:$D2219,$D2219)&gt;1,"Trùng",""))</f>
        <v/>
      </c>
      <c r="S2219" s="22">
        <f>IF($D2219="","",IF(AND(LEN($D2219)=10,LEFT($D2219,1)="0",ISNUMBER(--$D2219)),"Có","Không"))</f>
        <v/>
      </c>
      <c r="T2219" s="22">
        <f>IF($D2219="","",IF(AND($C2219&lt;&gt;"",$Q2219="Có",$R2219="",$S2219="Có",AND($L2219&lt;&gt;"",OR($L2219&lt;&gt;"Chưa xác định",DANH_MUC!$L$9="Có"))),"Có","Không"))</f>
        <v/>
      </c>
      <c r="U2219" s="22">
        <f>IF(OR($D2219="",$T2219="Có"),"",IF($C2219="","Thiếu họ tên; ","")&amp;IF($S2219&lt;&gt;"Có","SĐT sai định dạng; ","")&amp;IF($R2219="Trùng","Trùng SĐT; ","")&amp;IF($Q2219&lt;&gt;"Có","Thiếu đồng ý bắt buộc; ","")&amp;IF($L2219="","Thiếu/sai Mã REF; ",IF(AND($L2219="Chưa xác định",DANH_MUC!$L$9&lt;&gt;"Có"),"Nguồn chưa xác định; ","")))</f>
        <v/>
      </c>
      <c r="V2219" s="22">
        <f>IF(OR($D2219="",$R2219="Trùng"),"",IF(COUNTIF(ORDERS!$C$2:$C$4995,$D2219)&gt;0,"Có","Không"))</f>
        <v/>
      </c>
      <c r="W2219" s="22">
        <f>IF(OR($D2219="",$R2219="Trùng"),"",COUNTIFS(ORDERS!$C$2:$C$4995,$D2219,ORDERS!$L$2:$L$4995,"Đã chuyển khoản"))</f>
        <v/>
      </c>
      <c r="X2219" s="23">
        <f>IF(OR($D2219="",$R2219="Trùng"),"",SUMIFS(ORDERS!$J$2:$J$4995,ORDERS!$C$2:$C$4995,$D2219,ORDERS!$L$2:$L$4995,"Đã chuyển khoản"))</f>
        <v/>
      </c>
      <c r="Y2219" s="24" t="n"/>
    </row>
    <row r="2220" ht="14.25" customHeight="1" s="40">
      <c r="A2220" s="24" t="n"/>
      <c r="B2220" s="27" t="n"/>
      <c r="C2220" s="24" t="n"/>
      <c r="D2220" s="28" t="n"/>
      <c r="E2220" s="29" t="n"/>
      <c r="F2220" s="24" t="n"/>
      <c r="G2220" s="24" t="n"/>
      <c r="H2220" s="21">
        <f>IF(ISNUMBER($B2220),INT($B2220)-WEEKDAY($B2220,2)+1,"")</f>
        <v/>
      </c>
      <c r="I2220" s="24" t="n"/>
      <c r="J2220" s="22">
        <f t="array" ref="J2220">IF($D2220="","",IF($I2220="","(trống REF)",IFERROR(INDEX(MASTER_SOURCE!$B$2:$B$495,MATCH($I2220,MASTER_SOURCE!$A$2:$A$495,0)),"(REF không có trong MASTER_SOURCE)")))</f>
        <v/>
      </c>
      <c r="K2220" s="22">
        <f t="array" ref="K2220">IF($D2220="","",IFERROR(INDEX(MASTER_SOURCE!$C$2:$C$495,MATCH($I2220,MASTER_SOURCE!$A$2:$A$495,0)),""))</f>
        <v/>
      </c>
      <c r="L2220" s="22">
        <f t="array" ref="L2220">IF($D2220="","",IFERROR(INDEX(MASTER_SOURCE!$D$2:$D$495,MATCH($I2220,MASTER_SOURCE!$A$2:$A$495,0)),""))</f>
        <v/>
      </c>
      <c r="M2220" s="24" t="n"/>
      <c r="N2220" s="24" t="n"/>
      <c r="O2220" s="24" t="n"/>
      <c r="P2220" s="24" t="n"/>
      <c r="Q2220" s="22">
        <f>IF($D2220="","",IF(AND(OR(DANH_MUC!$L$5&lt;&gt;"Có",M2220="Có"),OR(DANH_MUC!$L$6&lt;&gt;"Có",N2220="Có"),OR(DANH_MUC!$L$7&lt;&gt;"Có",O2220="Có"),OR(DANH_MUC!$L$8&lt;&gt;"Có",P2220="Có")),"Có","Không"))</f>
        <v/>
      </c>
      <c r="R2220" s="22">
        <f>IF($D2220="","",IF(COUNTIF($D$2:$D2220,$D2220)&gt;1,"Trùng",""))</f>
        <v/>
      </c>
      <c r="S2220" s="22">
        <f>IF($D2220="","",IF(AND(LEN($D2220)=10,LEFT($D2220,1)="0",ISNUMBER(--$D2220)),"Có","Không"))</f>
        <v/>
      </c>
      <c r="T2220" s="22">
        <f>IF($D2220="","",IF(AND($C2220&lt;&gt;"",$Q2220="Có",$R2220="",$S2220="Có",AND($L2220&lt;&gt;"",OR($L2220&lt;&gt;"Chưa xác định",DANH_MUC!$L$9="Có"))),"Có","Không"))</f>
        <v/>
      </c>
      <c r="U2220" s="22">
        <f>IF(OR($D2220="",$T2220="Có"),"",IF($C2220="","Thiếu họ tên; ","")&amp;IF($S2220&lt;&gt;"Có","SĐT sai định dạng; ","")&amp;IF($R2220="Trùng","Trùng SĐT; ","")&amp;IF($Q2220&lt;&gt;"Có","Thiếu đồng ý bắt buộc; ","")&amp;IF($L2220="","Thiếu/sai Mã REF; ",IF(AND($L2220="Chưa xác định",DANH_MUC!$L$9&lt;&gt;"Có"),"Nguồn chưa xác định; ","")))</f>
        <v/>
      </c>
      <c r="V2220" s="22">
        <f>IF(OR($D2220="",$R2220="Trùng"),"",IF(COUNTIF(ORDERS!$C$2:$C$4995,$D2220)&gt;0,"Có","Không"))</f>
        <v/>
      </c>
      <c r="W2220" s="22">
        <f>IF(OR($D2220="",$R2220="Trùng"),"",COUNTIFS(ORDERS!$C$2:$C$4995,$D2220,ORDERS!$L$2:$L$4995,"Đã chuyển khoản"))</f>
        <v/>
      </c>
      <c r="X2220" s="23">
        <f>IF(OR($D2220="",$R2220="Trùng"),"",SUMIFS(ORDERS!$J$2:$J$4995,ORDERS!$C$2:$C$4995,$D2220,ORDERS!$L$2:$L$4995,"Đã chuyển khoản"))</f>
        <v/>
      </c>
      <c r="Y2220" s="24" t="n"/>
    </row>
    <row r="2221" ht="14.25" customHeight="1" s="40">
      <c r="A2221" s="24" t="n"/>
      <c r="B2221" s="27" t="n"/>
      <c r="C2221" s="24" t="n"/>
      <c r="D2221" s="28" t="n"/>
      <c r="E2221" s="29" t="n"/>
      <c r="F2221" s="24" t="n"/>
      <c r="G2221" s="24" t="n"/>
      <c r="H2221" s="21">
        <f>IF(ISNUMBER($B2221),INT($B2221)-WEEKDAY($B2221,2)+1,"")</f>
        <v/>
      </c>
      <c r="I2221" s="24" t="n"/>
      <c r="J2221" s="22">
        <f t="array" ref="J2221">IF($D2221="","",IF($I2221="","(trống REF)",IFERROR(INDEX(MASTER_SOURCE!$B$2:$B$495,MATCH($I2221,MASTER_SOURCE!$A$2:$A$495,0)),"(REF không có trong MASTER_SOURCE)")))</f>
        <v/>
      </c>
      <c r="K2221" s="22">
        <f t="array" ref="K2221">IF($D2221="","",IFERROR(INDEX(MASTER_SOURCE!$C$2:$C$495,MATCH($I2221,MASTER_SOURCE!$A$2:$A$495,0)),""))</f>
        <v/>
      </c>
      <c r="L2221" s="22">
        <f t="array" ref="L2221">IF($D2221="","",IFERROR(INDEX(MASTER_SOURCE!$D$2:$D$495,MATCH($I2221,MASTER_SOURCE!$A$2:$A$495,0)),""))</f>
        <v/>
      </c>
      <c r="M2221" s="24" t="n"/>
      <c r="N2221" s="24" t="n"/>
      <c r="O2221" s="24" t="n"/>
      <c r="P2221" s="24" t="n"/>
      <c r="Q2221" s="22">
        <f>IF($D2221="","",IF(AND(OR(DANH_MUC!$L$5&lt;&gt;"Có",M2221="Có"),OR(DANH_MUC!$L$6&lt;&gt;"Có",N2221="Có"),OR(DANH_MUC!$L$7&lt;&gt;"Có",O2221="Có"),OR(DANH_MUC!$L$8&lt;&gt;"Có",P2221="Có")),"Có","Không"))</f>
        <v/>
      </c>
      <c r="R2221" s="22">
        <f>IF($D2221="","",IF(COUNTIF($D$2:$D2221,$D2221)&gt;1,"Trùng",""))</f>
        <v/>
      </c>
      <c r="S2221" s="22">
        <f>IF($D2221="","",IF(AND(LEN($D2221)=10,LEFT($D2221,1)="0",ISNUMBER(--$D2221)),"Có","Không"))</f>
        <v/>
      </c>
      <c r="T2221" s="22">
        <f>IF($D2221="","",IF(AND($C2221&lt;&gt;"",$Q2221="Có",$R2221="",$S2221="Có",AND($L2221&lt;&gt;"",OR($L2221&lt;&gt;"Chưa xác định",DANH_MUC!$L$9="Có"))),"Có","Không"))</f>
        <v/>
      </c>
      <c r="U2221" s="22">
        <f>IF(OR($D2221="",$T2221="Có"),"",IF($C2221="","Thiếu họ tên; ","")&amp;IF($S2221&lt;&gt;"Có","SĐT sai định dạng; ","")&amp;IF($R2221="Trùng","Trùng SĐT; ","")&amp;IF($Q2221&lt;&gt;"Có","Thiếu đồng ý bắt buộc; ","")&amp;IF($L2221="","Thiếu/sai Mã REF; ",IF(AND($L2221="Chưa xác định",DANH_MUC!$L$9&lt;&gt;"Có"),"Nguồn chưa xác định; ","")))</f>
        <v/>
      </c>
      <c r="V2221" s="22">
        <f>IF(OR($D2221="",$R2221="Trùng"),"",IF(COUNTIF(ORDERS!$C$2:$C$4995,$D2221)&gt;0,"Có","Không"))</f>
        <v/>
      </c>
      <c r="W2221" s="22">
        <f>IF(OR($D2221="",$R2221="Trùng"),"",COUNTIFS(ORDERS!$C$2:$C$4995,$D2221,ORDERS!$L$2:$L$4995,"Đã chuyển khoản"))</f>
        <v/>
      </c>
      <c r="X2221" s="23">
        <f>IF(OR($D2221="",$R2221="Trùng"),"",SUMIFS(ORDERS!$J$2:$J$4995,ORDERS!$C$2:$C$4995,$D2221,ORDERS!$L$2:$L$4995,"Đã chuyển khoản"))</f>
        <v/>
      </c>
      <c r="Y2221" s="24" t="n"/>
    </row>
    <row r="2222" ht="14.25" customHeight="1" s="40">
      <c r="A2222" s="24" t="n"/>
      <c r="B2222" s="27" t="n"/>
      <c r="C2222" s="24" t="n"/>
      <c r="D2222" s="28" t="n"/>
      <c r="E2222" s="29" t="n"/>
      <c r="F2222" s="24" t="n"/>
      <c r="G2222" s="24" t="n"/>
      <c r="H2222" s="21">
        <f>IF(ISNUMBER($B2222),INT($B2222)-WEEKDAY($B2222,2)+1,"")</f>
        <v/>
      </c>
      <c r="I2222" s="24" t="n"/>
      <c r="J2222" s="22">
        <f t="array" ref="J2222">IF($D2222="","",IF($I2222="","(trống REF)",IFERROR(INDEX(MASTER_SOURCE!$B$2:$B$495,MATCH($I2222,MASTER_SOURCE!$A$2:$A$495,0)),"(REF không có trong MASTER_SOURCE)")))</f>
        <v/>
      </c>
      <c r="K2222" s="22">
        <f t="array" ref="K2222">IF($D2222="","",IFERROR(INDEX(MASTER_SOURCE!$C$2:$C$495,MATCH($I2222,MASTER_SOURCE!$A$2:$A$495,0)),""))</f>
        <v/>
      </c>
      <c r="L2222" s="22">
        <f t="array" ref="L2222">IF($D2222="","",IFERROR(INDEX(MASTER_SOURCE!$D$2:$D$495,MATCH($I2222,MASTER_SOURCE!$A$2:$A$495,0)),""))</f>
        <v/>
      </c>
      <c r="M2222" s="24" t="n"/>
      <c r="N2222" s="24" t="n"/>
      <c r="O2222" s="24" t="n"/>
      <c r="P2222" s="24" t="n"/>
      <c r="Q2222" s="22">
        <f>IF($D2222="","",IF(AND(OR(DANH_MUC!$L$5&lt;&gt;"Có",M2222="Có"),OR(DANH_MUC!$L$6&lt;&gt;"Có",N2222="Có"),OR(DANH_MUC!$L$7&lt;&gt;"Có",O2222="Có"),OR(DANH_MUC!$L$8&lt;&gt;"Có",P2222="Có")),"Có","Không"))</f>
        <v/>
      </c>
      <c r="R2222" s="22">
        <f>IF($D2222="","",IF(COUNTIF($D$2:$D2222,$D2222)&gt;1,"Trùng",""))</f>
        <v/>
      </c>
      <c r="S2222" s="22">
        <f>IF($D2222="","",IF(AND(LEN($D2222)=10,LEFT($D2222,1)="0",ISNUMBER(--$D2222)),"Có","Không"))</f>
        <v/>
      </c>
      <c r="T2222" s="22">
        <f>IF($D2222="","",IF(AND($C2222&lt;&gt;"",$Q2222="Có",$R2222="",$S2222="Có",AND($L2222&lt;&gt;"",OR($L2222&lt;&gt;"Chưa xác định",DANH_MUC!$L$9="Có"))),"Có","Không"))</f>
        <v/>
      </c>
      <c r="U2222" s="22">
        <f>IF(OR($D2222="",$T2222="Có"),"",IF($C2222="","Thiếu họ tên; ","")&amp;IF($S2222&lt;&gt;"Có","SĐT sai định dạng; ","")&amp;IF($R2222="Trùng","Trùng SĐT; ","")&amp;IF($Q2222&lt;&gt;"Có","Thiếu đồng ý bắt buộc; ","")&amp;IF($L2222="","Thiếu/sai Mã REF; ",IF(AND($L2222="Chưa xác định",DANH_MUC!$L$9&lt;&gt;"Có"),"Nguồn chưa xác định; ","")))</f>
        <v/>
      </c>
      <c r="V2222" s="22">
        <f>IF(OR($D2222="",$R2222="Trùng"),"",IF(COUNTIF(ORDERS!$C$2:$C$4995,$D2222)&gt;0,"Có","Không"))</f>
        <v/>
      </c>
      <c r="W2222" s="22">
        <f>IF(OR($D2222="",$R2222="Trùng"),"",COUNTIFS(ORDERS!$C$2:$C$4995,$D2222,ORDERS!$L$2:$L$4995,"Đã chuyển khoản"))</f>
        <v/>
      </c>
      <c r="X2222" s="23">
        <f>IF(OR($D2222="",$R2222="Trùng"),"",SUMIFS(ORDERS!$J$2:$J$4995,ORDERS!$C$2:$C$4995,$D2222,ORDERS!$L$2:$L$4995,"Đã chuyển khoản"))</f>
        <v/>
      </c>
      <c r="Y2222" s="24" t="n"/>
    </row>
    <row r="2223" ht="14.25" customHeight="1" s="40">
      <c r="A2223" s="24" t="n"/>
      <c r="B2223" s="27" t="n"/>
      <c r="C2223" s="24" t="n"/>
      <c r="D2223" s="28" t="n"/>
      <c r="E2223" s="29" t="n"/>
      <c r="F2223" s="24" t="n"/>
      <c r="G2223" s="24" t="n"/>
      <c r="H2223" s="21">
        <f>IF(ISNUMBER($B2223),INT($B2223)-WEEKDAY($B2223,2)+1,"")</f>
        <v/>
      </c>
      <c r="I2223" s="24" t="n"/>
      <c r="J2223" s="22">
        <f t="array" ref="J2223">IF($D2223="","",IF($I2223="","(trống REF)",IFERROR(INDEX(MASTER_SOURCE!$B$2:$B$495,MATCH($I2223,MASTER_SOURCE!$A$2:$A$495,0)),"(REF không có trong MASTER_SOURCE)")))</f>
        <v/>
      </c>
      <c r="K2223" s="22">
        <f t="array" ref="K2223">IF($D2223="","",IFERROR(INDEX(MASTER_SOURCE!$C$2:$C$495,MATCH($I2223,MASTER_SOURCE!$A$2:$A$495,0)),""))</f>
        <v/>
      </c>
      <c r="L2223" s="22">
        <f t="array" ref="L2223">IF($D2223="","",IFERROR(INDEX(MASTER_SOURCE!$D$2:$D$495,MATCH($I2223,MASTER_SOURCE!$A$2:$A$495,0)),""))</f>
        <v/>
      </c>
      <c r="M2223" s="24" t="n"/>
      <c r="N2223" s="24" t="n"/>
      <c r="O2223" s="24" t="n"/>
      <c r="P2223" s="24" t="n"/>
      <c r="Q2223" s="22">
        <f>IF($D2223="","",IF(AND(OR(DANH_MUC!$L$5&lt;&gt;"Có",M2223="Có"),OR(DANH_MUC!$L$6&lt;&gt;"Có",N2223="Có"),OR(DANH_MUC!$L$7&lt;&gt;"Có",O2223="Có"),OR(DANH_MUC!$L$8&lt;&gt;"Có",P2223="Có")),"Có","Không"))</f>
        <v/>
      </c>
      <c r="R2223" s="22">
        <f>IF($D2223="","",IF(COUNTIF($D$2:$D2223,$D2223)&gt;1,"Trùng",""))</f>
        <v/>
      </c>
      <c r="S2223" s="22">
        <f>IF($D2223="","",IF(AND(LEN($D2223)=10,LEFT($D2223,1)="0",ISNUMBER(--$D2223)),"Có","Không"))</f>
        <v/>
      </c>
      <c r="T2223" s="22">
        <f>IF($D2223="","",IF(AND($C2223&lt;&gt;"",$Q2223="Có",$R2223="",$S2223="Có",AND($L2223&lt;&gt;"",OR($L2223&lt;&gt;"Chưa xác định",DANH_MUC!$L$9="Có"))),"Có","Không"))</f>
        <v/>
      </c>
      <c r="U2223" s="22">
        <f>IF(OR($D2223="",$T2223="Có"),"",IF($C2223="","Thiếu họ tên; ","")&amp;IF($S2223&lt;&gt;"Có","SĐT sai định dạng; ","")&amp;IF($R2223="Trùng","Trùng SĐT; ","")&amp;IF($Q2223&lt;&gt;"Có","Thiếu đồng ý bắt buộc; ","")&amp;IF($L2223="","Thiếu/sai Mã REF; ",IF(AND($L2223="Chưa xác định",DANH_MUC!$L$9&lt;&gt;"Có"),"Nguồn chưa xác định; ","")))</f>
        <v/>
      </c>
      <c r="V2223" s="22">
        <f>IF(OR($D2223="",$R2223="Trùng"),"",IF(COUNTIF(ORDERS!$C$2:$C$4995,$D2223)&gt;0,"Có","Không"))</f>
        <v/>
      </c>
      <c r="W2223" s="22">
        <f>IF(OR($D2223="",$R2223="Trùng"),"",COUNTIFS(ORDERS!$C$2:$C$4995,$D2223,ORDERS!$L$2:$L$4995,"Đã chuyển khoản"))</f>
        <v/>
      </c>
      <c r="X2223" s="23">
        <f>IF(OR($D2223="",$R2223="Trùng"),"",SUMIFS(ORDERS!$J$2:$J$4995,ORDERS!$C$2:$C$4995,$D2223,ORDERS!$L$2:$L$4995,"Đã chuyển khoản"))</f>
        <v/>
      </c>
      <c r="Y2223" s="24" t="n"/>
    </row>
    <row r="2224" ht="14.25" customHeight="1" s="40">
      <c r="A2224" s="24" t="n"/>
      <c r="B2224" s="27" t="n"/>
      <c r="C2224" s="24" t="n"/>
      <c r="D2224" s="28" t="n"/>
      <c r="E2224" s="29" t="n"/>
      <c r="F2224" s="24" t="n"/>
      <c r="G2224" s="24" t="n"/>
      <c r="H2224" s="21">
        <f>IF(ISNUMBER($B2224),INT($B2224)-WEEKDAY($B2224,2)+1,"")</f>
        <v/>
      </c>
      <c r="I2224" s="24" t="n"/>
      <c r="J2224" s="22">
        <f t="array" ref="J2224">IF($D2224="","",IF($I2224="","(trống REF)",IFERROR(INDEX(MASTER_SOURCE!$B$2:$B$495,MATCH($I2224,MASTER_SOURCE!$A$2:$A$495,0)),"(REF không có trong MASTER_SOURCE)")))</f>
        <v/>
      </c>
      <c r="K2224" s="22">
        <f t="array" ref="K2224">IF($D2224="","",IFERROR(INDEX(MASTER_SOURCE!$C$2:$C$495,MATCH($I2224,MASTER_SOURCE!$A$2:$A$495,0)),""))</f>
        <v/>
      </c>
      <c r="L2224" s="22">
        <f t="array" ref="L2224">IF($D2224="","",IFERROR(INDEX(MASTER_SOURCE!$D$2:$D$495,MATCH($I2224,MASTER_SOURCE!$A$2:$A$495,0)),""))</f>
        <v/>
      </c>
      <c r="M2224" s="24" t="n"/>
      <c r="N2224" s="24" t="n"/>
      <c r="O2224" s="24" t="n"/>
      <c r="P2224" s="24" t="n"/>
      <c r="Q2224" s="22">
        <f>IF($D2224="","",IF(AND(OR(DANH_MUC!$L$5&lt;&gt;"Có",M2224="Có"),OR(DANH_MUC!$L$6&lt;&gt;"Có",N2224="Có"),OR(DANH_MUC!$L$7&lt;&gt;"Có",O2224="Có"),OR(DANH_MUC!$L$8&lt;&gt;"Có",P2224="Có")),"Có","Không"))</f>
        <v/>
      </c>
      <c r="R2224" s="22">
        <f>IF($D2224="","",IF(COUNTIF($D$2:$D2224,$D2224)&gt;1,"Trùng",""))</f>
        <v/>
      </c>
      <c r="S2224" s="22">
        <f>IF($D2224="","",IF(AND(LEN($D2224)=10,LEFT($D2224,1)="0",ISNUMBER(--$D2224)),"Có","Không"))</f>
        <v/>
      </c>
      <c r="T2224" s="22">
        <f>IF($D2224="","",IF(AND($C2224&lt;&gt;"",$Q2224="Có",$R2224="",$S2224="Có",AND($L2224&lt;&gt;"",OR($L2224&lt;&gt;"Chưa xác định",DANH_MUC!$L$9="Có"))),"Có","Không"))</f>
        <v/>
      </c>
      <c r="U2224" s="22">
        <f>IF(OR($D2224="",$T2224="Có"),"",IF($C2224="","Thiếu họ tên; ","")&amp;IF($S2224&lt;&gt;"Có","SĐT sai định dạng; ","")&amp;IF($R2224="Trùng","Trùng SĐT; ","")&amp;IF($Q2224&lt;&gt;"Có","Thiếu đồng ý bắt buộc; ","")&amp;IF($L2224="","Thiếu/sai Mã REF; ",IF(AND($L2224="Chưa xác định",DANH_MUC!$L$9&lt;&gt;"Có"),"Nguồn chưa xác định; ","")))</f>
        <v/>
      </c>
      <c r="V2224" s="22">
        <f>IF(OR($D2224="",$R2224="Trùng"),"",IF(COUNTIF(ORDERS!$C$2:$C$4995,$D2224)&gt;0,"Có","Không"))</f>
        <v/>
      </c>
      <c r="W2224" s="22">
        <f>IF(OR($D2224="",$R2224="Trùng"),"",COUNTIFS(ORDERS!$C$2:$C$4995,$D2224,ORDERS!$L$2:$L$4995,"Đã chuyển khoản"))</f>
        <v/>
      </c>
      <c r="X2224" s="23">
        <f>IF(OR($D2224="",$R2224="Trùng"),"",SUMIFS(ORDERS!$J$2:$J$4995,ORDERS!$C$2:$C$4995,$D2224,ORDERS!$L$2:$L$4995,"Đã chuyển khoản"))</f>
        <v/>
      </c>
      <c r="Y2224" s="24" t="n"/>
    </row>
    <row r="2225" ht="14.25" customHeight="1" s="40">
      <c r="A2225" s="24" t="n"/>
      <c r="B2225" s="27" t="n"/>
      <c r="C2225" s="24" t="n"/>
      <c r="D2225" s="28" t="n"/>
      <c r="E2225" s="29" t="n"/>
      <c r="F2225" s="24" t="n"/>
      <c r="G2225" s="24" t="n"/>
      <c r="H2225" s="21">
        <f>IF(ISNUMBER($B2225),INT($B2225)-WEEKDAY($B2225,2)+1,"")</f>
        <v/>
      </c>
      <c r="I2225" s="24" t="n"/>
      <c r="J2225" s="22">
        <f t="array" ref="J2225">IF($D2225="","",IF($I2225="","(trống REF)",IFERROR(INDEX(MASTER_SOURCE!$B$2:$B$495,MATCH($I2225,MASTER_SOURCE!$A$2:$A$495,0)),"(REF không có trong MASTER_SOURCE)")))</f>
        <v/>
      </c>
      <c r="K2225" s="22">
        <f t="array" ref="K2225">IF($D2225="","",IFERROR(INDEX(MASTER_SOURCE!$C$2:$C$495,MATCH($I2225,MASTER_SOURCE!$A$2:$A$495,0)),""))</f>
        <v/>
      </c>
      <c r="L2225" s="22">
        <f t="array" ref="L2225">IF($D2225="","",IFERROR(INDEX(MASTER_SOURCE!$D$2:$D$495,MATCH($I2225,MASTER_SOURCE!$A$2:$A$495,0)),""))</f>
        <v/>
      </c>
      <c r="M2225" s="24" t="n"/>
      <c r="N2225" s="24" t="n"/>
      <c r="O2225" s="24" t="n"/>
      <c r="P2225" s="24" t="n"/>
      <c r="Q2225" s="22">
        <f>IF($D2225="","",IF(AND(OR(DANH_MUC!$L$5&lt;&gt;"Có",M2225="Có"),OR(DANH_MUC!$L$6&lt;&gt;"Có",N2225="Có"),OR(DANH_MUC!$L$7&lt;&gt;"Có",O2225="Có"),OR(DANH_MUC!$L$8&lt;&gt;"Có",P2225="Có")),"Có","Không"))</f>
        <v/>
      </c>
      <c r="R2225" s="22">
        <f>IF($D2225="","",IF(COUNTIF($D$2:$D2225,$D2225)&gt;1,"Trùng",""))</f>
        <v/>
      </c>
      <c r="S2225" s="22">
        <f>IF($D2225="","",IF(AND(LEN($D2225)=10,LEFT($D2225,1)="0",ISNUMBER(--$D2225)),"Có","Không"))</f>
        <v/>
      </c>
      <c r="T2225" s="22">
        <f>IF($D2225="","",IF(AND($C2225&lt;&gt;"",$Q2225="Có",$R2225="",$S2225="Có",AND($L2225&lt;&gt;"",OR($L2225&lt;&gt;"Chưa xác định",DANH_MUC!$L$9="Có"))),"Có","Không"))</f>
        <v/>
      </c>
      <c r="U2225" s="22">
        <f>IF(OR($D2225="",$T2225="Có"),"",IF($C2225="","Thiếu họ tên; ","")&amp;IF($S2225&lt;&gt;"Có","SĐT sai định dạng; ","")&amp;IF($R2225="Trùng","Trùng SĐT; ","")&amp;IF($Q2225&lt;&gt;"Có","Thiếu đồng ý bắt buộc; ","")&amp;IF($L2225="","Thiếu/sai Mã REF; ",IF(AND($L2225="Chưa xác định",DANH_MUC!$L$9&lt;&gt;"Có"),"Nguồn chưa xác định; ","")))</f>
        <v/>
      </c>
      <c r="V2225" s="22">
        <f>IF(OR($D2225="",$R2225="Trùng"),"",IF(COUNTIF(ORDERS!$C$2:$C$4995,$D2225)&gt;0,"Có","Không"))</f>
        <v/>
      </c>
      <c r="W2225" s="22">
        <f>IF(OR($D2225="",$R2225="Trùng"),"",COUNTIFS(ORDERS!$C$2:$C$4995,$D2225,ORDERS!$L$2:$L$4995,"Đã chuyển khoản"))</f>
        <v/>
      </c>
      <c r="X2225" s="23">
        <f>IF(OR($D2225="",$R2225="Trùng"),"",SUMIFS(ORDERS!$J$2:$J$4995,ORDERS!$C$2:$C$4995,$D2225,ORDERS!$L$2:$L$4995,"Đã chuyển khoản"))</f>
        <v/>
      </c>
      <c r="Y2225" s="24" t="n"/>
    </row>
    <row r="2226" ht="14.25" customHeight="1" s="40">
      <c r="A2226" s="24" t="n"/>
      <c r="B2226" s="27" t="n"/>
      <c r="C2226" s="24" t="n"/>
      <c r="D2226" s="28" t="n"/>
      <c r="E2226" s="29" t="n"/>
      <c r="F2226" s="24" t="n"/>
      <c r="G2226" s="24" t="n"/>
      <c r="H2226" s="21">
        <f>IF(ISNUMBER($B2226),INT($B2226)-WEEKDAY($B2226,2)+1,"")</f>
        <v/>
      </c>
      <c r="I2226" s="24" t="n"/>
      <c r="J2226" s="22">
        <f t="array" ref="J2226">IF($D2226="","",IF($I2226="","(trống REF)",IFERROR(INDEX(MASTER_SOURCE!$B$2:$B$495,MATCH($I2226,MASTER_SOURCE!$A$2:$A$495,0)),"(REF không có trong MASTER_SOURCE)")))</f>
        <v/>
      </c>
      <c r="K2226" s="22">
        <f t="array" ref="K2226">IF($D2226="","",IFERROR(INDEX(MASTER_SOURCE!$C$2:$C$495,MATCH($I2226,MASTER_SOURCE!$A$2:$A$495,0)),""))</f>
        <v/>
      </c>
      <c r="L2226" s="22">
        <f t="array" ref="L2226">IF($D2226="","",IFERROR(INDEX(MASTER_SOURCE!$D$2:$D$495,MATCH($I2226,MASTER_SOURCE!$A$2:$A$495,0)),""))</f>
        <v/>
      </c>
      <c r="M2226" s="24" t="n"/>
      <c r="N2226" s="24" t="n"/>
      <c r="O2226" s="24" t="n"/>
      <c r="P2226" s="24" t="n"/>
      <c r="Q2226" s="22">
        <f>IF($D2226="","",IF(AND(OR(DANH_MUC!$L$5&lt;&gt;"Có",M2226="Có"),OR(DANH_MUC!$L$6&lt;&gt;"Có",N2226="Có"),OR(DANH_MUC!$L$7&lt;&gt;"Có",O2226="Có"),OR(DANH_MUC!$L$8&lt;&gt;"Có",P2226="Có")),"Có","Không"))</f>
        <v/>
      </c>
      <c r="R2226" s="22">
        <f>IF($D2226="","",IF(COUNTIF($D$2:$D2226,$D2226)&gt;1,"Trùng",""))</f>
        <v/>
      </c>
      <c r="S2226" s="22">
        <f>IF($D2226="","",IF(AND(LEN($D2226)=10,LEFT($D2226,1)="0",ISNUMBER(--$D2226)),"Có","Không"))</f>
        <v/>
      </c>
      <c r="T2226" s="22">
        <f>IF($D2226="","",IF(AND($C2226&lt;&gt;"",$Q2226="Có",$R2226="",$S2226="Có",AND($L2226&lt;&gt;"",OR($L2226&lt;&gt;"Chưa xác định",DANH_MUC!$L$9="Có"))),"Có","Không"))</f>
        <v/>
      </c>
      <c r="U2226" s="22">
        <f>IF(OR($D2226="",$T2226="Có"),"",IF($C2226="","Thiếu họ tên; ","")&amp;IF($S2226&lt;&gt;"Có","SĐT sai định dạng; ","")&amp;IF($R2226="Trùng","Trùng SĐT; ","")&amp;IF($Q2226&lt;&gt;"Có","Thiếu đồng ý bắt buộc; ","")&amp;IF($L2226="","Thiếu/sai Mã REF; ",IF(AND($L2226="Chưa xác định",DANH_MUC!$L$9&lt;&gt;"Có"),"Nguồn chưa xác định; ","")))</f>
        <v/>
      </c>
      <c r="V2226" s="22">
        <f>IF(OR($D2226="",$R2226="Trùng"),"",IF(COUNTIF(ORDERS!$C$2:$C$4995,$D2226)&gt;0,"Có","Không"))</f>
        <v/>
      </c>
      <c r="W2226" s="22">
        <f>IF(OR($D2226="",$R2226="Trùng"),"",COUNTIFS(ORDERS!$C$2:$C$4995,$D2226,ORDERS!$L$2:$L$4995,"Đã chuyển khoản"))</f>
        <v/>
      </c>
      <c r="X2226" s="23">
        <f>IF(OR($D2226="",$R2226="Trùng"),"",SUMIFS(ORDERS!$J$2:$J$4995,ORDERS!$C$2:$C$4995,$D2226,ORDERS!$L$2:$L$4995,"Đã chuyển khoản"))</f>
        <v/>
      </c>
      <c r="Y2226" s="24" t="n"/>
    </row>
    <row r="2227" ht="14.25" customHeight="1" s="40">
      <c r="A2227" s="24" t="n"/>
      <c r="B2227" s="27" t="n"/>
      <c r="C2227" s="24" t="n"/>
      <c r="D2227" s="28" t="n"/>
      <c r="E2227" s="29" t="n"/>
      <c r="F2227" s="24" t="n"/>
      <c r="G2227" s="24" t="n"/>
      <c r="H2227" s="21">
        <f>IF(ISNUMBER($B2227),INT($B2227)-WEEKDAY($B2227,2)+1,"")</f>
        <v/>
      </c>
      <c r="I2227" s="24" t="n"/>
      <c r="J2227" s="22">
        <f t="array" ref="J2227">IF($D2227="","",IF($I2227="","(trống REF)",IFERROR(INDEX(MASTER_SOURCE!$B$2:$B$495,MATCH($I2227,MASTER_SOURCE!$A$2:$A$495,0)),"(REF không có trong MASTER_SOURCE)")))</f>
        <v/>
      </c>
      <c r="K2227" s="22">
        <f t="array" ref="K2227">IF($D2227="","",IFERROR(INDEX(MASTER_SOURCE!$C$2:$C$495,MATCH($I2227,MASTER_SOURCE!$A$2:$A$495,0)),""))</f>
        <v/>
      </c>
      <c r="L2227" s="22">
        <f t="array" ref="L2227">IF($D2227="","",IFERROR(INDEX(MASTER_SOURCE!$D$2:$D$495,MATCH($I2227,MASTER_SOURCE!$A$2:$A$495,0)),""))</f>
        <v/>
      </c>
      <c r="M2227" s="24" t="n"/>
      <c r="N2227" s="24" t="n"/>
      <c r="O2227" s="24" t="n"/>
      <c r="P2227" s="24" t="n"/>
      <c r="Q2227" s="22">
        <f>IF($D2227="","",IF(AND(OR(DANH_MUC!$L$5&lt;&gt;"Có",M2227="Có"),OR(DANH_MUC!$L$6&lt;&gt;"Có",N2227="Có"),OR(DANH_MUC!$L$7&lt;&gt;"Có",O2227="Có"),OR(DANH_MUC!$L$8&lt;&gt;"Có",P2227="Có")),"Có","Không"))</f>
        <v/>
      </c>
      <c r="R2227" s="22">
        <f>IF($D2227="","",IF(COUNTIF($D$2:$D2227,$D2227)&gt;1,"Trùng",""))</f>
        <v/>
      </c>
      <c r="S2227" s="22">
        <f>IF($D2227="","",IF(AND(LEN($D2227)=10,LEFT($D2227,1)="0",ISNUMBER(--$D2227)),"Có","Không"))</f>
        <v/>
      </c>
      <c r="T2227" s="22">
        <f>IF($D2227="","",IF(AND($C2227&lt;&gt;"",$Q2227="Có",$R2227="",$S2227="Có",AND($L2227&lt;&gt;"",OR($L2227&lt;&gt;"Chưa xác định",DANH_MUC!$L$9="Có"))),"Có","Không"))</f>
        <v/>
      </c>
      <c r="U2227" s="22">
        <f>IF(OR($D2227="",$T2227="Có"),"",IF($C2227="","Thiếu họ tên; ","")&amp;IF($S2227&lt;&gt;"Có","SĐT sai định dạng; ","")&amp;IF($R2227="Trùng","Trùng SĐT; ","")&amp;IF($Q2227&lt;&gt;"Có","Thiếu đồng ý bắt buộc; ","")&amp;IF($L2227="","Thiếu/sai Mã REF; ",IF(AND($L2227="Chưa xác định",DANH_MUC!$L$9&lt;&gt;"Có"),"Nguồn chưa xác định; ","")))</f>
        <v/>
      </c>
      <c r="V2227" s="22">
        <f>IF(OR($D2227="",$R2227="Trùng"),"",IF(COUNTIF(ORDERS!$C$2:$C$4995,$D2227)&gt;0,"Có","Không"))</f>
        <v/>
      </c>
      <c r="W2227" s="22">
        <f>IF(OR($D2227="",$R2227="Trùng"),"",COUNTIFS(ORDERS!$C$2:$C$4995,$D2227,ORDERS!$L$2:$L$4995,"Đã chuyển khoản"))</f>
        <v/>
      </c>
      <c r="X2227" s="23">
        <f>IF(OR($D2227="",$R2227="Trùng"),"",SUMIFS(ORDERS!$J$2:$J$4995,ORDERS!$C$2:$C$4995,$D2227,ORDERS!$L$2:$L$4995,"Đã chuyển khoản"))</f>
        <v/>
      </c>
      <c r="Y2227" s="24" t="n"/>
    </row>
    <row r="2228" ht="14.25" customHeight="1" s="40">
      <c r="A2228" s="24" t="n"/>
      <c r="B2228" s="27" t="n"/>
      <c r="C2228" s="24" t="n"/>
      <c r="D2228" s="28" t="n"/>
      <c r="E2228" s="29" t="n"/>
      <c r="F2228" s="24" t="n"/>
      <c r="G2228" s="24" t="n"/>
      <c r="H2228" s="21">
        <f>IF(ISNUMBER($B2228),INT($B2228)-WEEKDAY($B2228,2)+1,"")</f>
        <v/>
      </c>
      <c r="I2228" s="24" t="n"/>
      <c r="J2228" s="22">
        <f t="array" ref="J2228">IF($D2228="","",IF($I2228="","(trống REF)",IFERROR(INDEX(MASTER_SOURCE!$B$2:$B$495,MATCH($I2228,MASTER_SOURCE!$A$2:$A$495,0)),"(REF không có trong MASTER_SOURCE)")))</f>
        <v/>
      </c>
      <c r="K2228" s="22">
        <f t="array" ref="K2228">IF($D2228="","",IFERROR(INDEX(MASTER_SOURCE!$C$2:$C$495,MATCH($I2228,MASTER_SOURCE!$A$2:$A$495,0)),""))</f>
        <v/>
      </c>
      <c r="L2228" s="22">
        <f t="array" ref="L2228">IF($D2228="","",IFERROR(INDEX(MASTER_SOURCE!$D$2:$D$495,MATCH($I2228,MASTER_SOURCE!$A$2:$A$495,0)),""))</f>
        <v/>
      </c>
      <c r="M2228" s="24" t="n"/>
      <c r="N2228" s="24" t="n"/>
      <c r="O2228" s="24" t="n"/>
      <c r="P2228" s="24" t="n"/>
      <c r="Q2228" s="22">
        <f>IF($D2228="","",IF(AND(OR(DANH_MUC!$L$5&lt;&gt;"Có",M2228="Có"),OR(DANH_MUC!$L$6&lt;&gt;"Có",N2228="Có"),OR(DANH_MUC!$L$7&lt;&gt;"Có",O2228="Có"),OR(DANH_MUC!$L$8&lt;&gt;"Có",P2228="Có")),"Có","Không"))</f>
        <v/>
      </c>
      <c r="R2228" s="22">
        <f>IF($D2228="","",IF(COUNTIF($D$2:$D2228,$D2228)&gt;1,"Trùng",""))</f>
        <v/>
      </c>
      <c r="S2228" s="22">
        <f>IF($D2228="","",IF(AND(LEN($D2228)=10,LEFT($D2228,1)="0",ISNUMBER(--$D2228)),"Có","Không"))</f>
        <v/>
      </c>
      <c r="T2228" s="22">
        <f>IF($D2228="","",IF(AND($C2228&lt;&gt;"",$Q2228="Có",$R2228="",$S2228="Có",AND($L2228&lt;&gt;"",OR($L2228&lt;&gt;"Chưa xác định",DANH_MUC!$L$9="Có"))),"Có","Không"))</f>
        <v/>
      </c>
      <c r="U2228" s="22">
        <f>IF(OR($D2228="",$T2228="Có"),"",IF($C2228="","Thiếu họ tên; ","")&amp;IF($S2228&lt;&gt;"Có","SĐT sai định dạng; ","")&amp;IF($R2228="Trùng","Trùng SĐT; ","")&amp;IF($Q2228&lt;&gt;"Có","Thiếu đồng ý bắt buộc; ","")&amp;IF($L2228="","Thiếu/sai Mã REF; ",IF(AND($L2228="Chưa xác định",DANH_MUC!$L$9&lt;&gt;"Có"),"Nguồn chưa xác định; ","")))</f>
        <v/>
      </c>
      <c r="V2228" s="22">
        <f>IF(OR($D2228="",$R2228="Trùng"),"",IF(COUNTIF(ORDERS!$C$2:$C$4995,$D2228)&gt;0,"Có","Không"))</f>
        <v/>
      </c>
      <c r="W2228" s="22">
        <f>IF(OR($D2228="",$R2228="Trùng"),"",COUNTIFS(ORDERS!$C$2:$C$4995,$D2228,ORDERS!$L$2:$L$4995,"Đã chuyển khoản"))</f>
        <v/>
      </c>
      <c r="X2228" s="23">
        <f>IF(OR($D2228="",$R2228="Trùng"),"",SUMIFS(ORDERS!$J$2:$J$4995,ORDERS!$C$2:$C$4995,$D2228,ORDERS!$L$2:$L$4995,"Đã chuyển khoản"))</f>
        <v/>
      </c>
      <c r="Y2228" s="24" t="n"/>
    </row>
    <row r="2229" ht="14.25" customHeight="1" s="40">
      <c r="A2229" s="24" t="n"/>
      <c r="B2229" s="27" t="n"/>
      <c r="C2229" s="24" t="n"/>
      <c r="D2229" s="28" t="n"/>
      <c r="E2229" s="29" t="n"/>
      <c r="F2229" s="24" t="n"/>
      <c r="G2229" s="24" t="n"/>
      <c r="H2229" s="21">
        <f>IF(ISNUMBER($B2229),INT($B2229)-WEEKDAY($B2229,2)+1,"")</f>
        <v/>
      </c>
      <c r="I2229" s="24" t="n"/>
      <c r="J2229" s="22">
        <f t="array" ref="J2229">IF($D2229="","",IF($I2229="","(trống REF)",IFERROR(INDEX(MASTER_SOURCE!$B$2:$B$495,MATCH($I2229,MASTER_SOURCE!$A$2:$A$495,0)),"(REF không có trong MASTER_SOURCE)")))</f>
        <v/>
      </c>
      <c r="K2229" s="22">
        <f t="array" ref="K2229">IF($D2229="","",IFERROR(INDEX(MASTER_SOURCE!$C$2:$C$495,MATCH($I2229,MASTER_SOURCE!$A$2:$A$495,0)),""))</f>
        <v/>
      </c>
      <c r="L2229" s="22">
        <f t="array" ref="L2229">IF($D2229="","",IFERROR(INDEX(MASTER_SOURCE!$D$2:$D$495,MATCH($I2229,MASTER_SOURCE!$A$2:$A$495,0)),""))</f>
        <v/>
      </c>
      <c r="M2229" s="24" t="n"/>
      <c r="N2229" s="24" t="n"/>
      <c r="O2229" s="24" t="n"/>
      <c r="P2229" s="24" t="n"/>
      <c r="Q2229" s="22">
        <f>IF($D2229="","",IF(AND(OR(DANH_MUC!$L$5&lt;&gt;"Có",M2229="Có"),OR(DANH_MUC!$L$6&lt;&gt;"Có",N2229="Có"),OR(DANH_MUC!$L$7&lt;&gt;"Có",O2229="Có"),OR(DANH_MUC!$L$8&lt;&gt;"Có",P2229="Có")),"Có","Không"))</f>
        <v/>
      </c>
      <c r="R2229" s="22">
        <f>IF($D2229="","",IF(COUNTIF($D$2:$D2229,$D2229)&gt;1,"Trùng",""))</f>
        <v/>
      </c>
      <c r="S2229" s="22">
        <f>IF($D2229="","",IF(AND(LEN($D2229)=10,LEFT($D2229,1)="0",ISNUMBER(--$D2229)),"Có","Không"))</f>
        <v/>
      </c>
      <c r="T2229" s="22">
        <f>IF($D2229="","",IF(AND($C2229&lt;&gt;"",$Q2229="Có",$R2229="",$S2229="Có",AND($L2229&lt;&gt;"",OR($L2229&lt;&gt;"Chưa xác định",DANH_MUC!$L$9="Có"))),"Có","Không"))</f>
        <v/>
      </c>
      <c r="U2229" s="22">
        <f>IF(OR($D2229="",$T2229="Có"),"",IF($C2229="","Thiếu họ tên; ","")&amp;IF($S2229&lt;&gt;"Có","SĐT sai định dạng; ","")&amp;IF($R2229="Trùng","Trùng SĐT; ","")&amp;IF($Q2229&lt;&gt;"Có","Thiếu đồng ý bắt buộc; ","")&amp;IF($L2229="","Thiếu/sai Mã REF; ",IF(AND($L2229="Chưa xác định",DANH_MUC!$L$9&lt;&gt;"Có"),"Nguồn chưa xác định; ","")))</f>
        <v/>
      </c>
      <c r="V2229" s="22">
        <f>IF(OR($D2229="",$R2229="Trùng"),"",IF(COUNTIF(ORDERS!$C$2:$C$4995,$D2229)&gt;0,"Có","Không"))</f>
        <v/>
      </c>
      <c r="W2229" s="22">
        <f>IF(OR($D2229="",$R2229="Trùng"),"",COUNTIFS(ORDERS!$C$2:$C$4995,$D2229,ORDERS!$L$2:$L$4995,"Đã chuyển khoản"))</f>
        <v/>
      </c>
      <c r="X2229" s="23">
        <f>IF(OR($D2229="",$R2229="Trùng"),"",SUMIFS(ORDERS!$J$2:$J$4995,ORDERS!$C$2:$C$4995,$D2229,ORDERS!$L$2:$L$4995,"Đã chuyển khoản"))</f>
        <v/>
      </c>
      <c r="Y2229" s="24" t="n"/>
    </row>
    <row r="2230" ht="14.25" customHeight="1" s="40">
      <c r="A2230" s="24" t="n"/>
      <c r="B2230" s="27" t="n"/>
      <c r="C2230" s="24" t="n"/>
      <c r="D2230" s="28" t="n"/>
      <c r="E2230" s="29" t="n"/>
      <c r="F2230" s="24" t="n"/>
      <c r="G2230" s="24" t="n"/>
      <c r="H2230" s="21">
        <f>IF(ISNUMBER($B2230),INT($B2230)-WEEKDAY($B2230,2)+1,"")</f>
        <v/>
      </c>
      <c r="I2230" s="24" t="n"/>
      <c r="J2230" s="22">
        <f t="array" ref="J2230">IF($D2230="","",IF($I2230="","(trống REF)",IFERROR(INDEX(MASTER_SOURCE!$B$2:$B$495,MATCH($I2230,MASTER_SOURCE!$A$2:$A$495,0)),"(REF không có trong MASTER_SOURCE)")))</f>
        <v/>
      </c>
      <c r="K2230" s="22">
        <f t="array" ref="K2230">IF($D2230="","",IFERROR(INDEX(MASTER_SOURCE!$C$2:$C$495,MATCH($I2230,MASTER_SOURCE!$A$2:$A$495,0)),""))</f>
        <v/>
      </c>
      <c r="L2230" s="22">
        <f t="array" ref="L2230">IF($D2230="","",IFERROR(INDEX(MASTER_SOURCE!$D$2:$D$495,MATCH($I2230,MASTER_SOURCE!$A$2:$A$495,0)),""))</f>
        <v/>
      </c>
      <c r="M2230" s="24" t="n"/>
      <c r="N2230" s="24" t="n"/>
      <c r="O2230" s="24" t="n"/>
      <c r="P2230" s="24" t="n"/>
      <c r="Q2230" s="22">
        <f>IF($D2230="","",IF(AND(OR(DANH_MUC!$L$5&lt;&gt;"Có",M2230="Có"),OR(DANH_MUC!$L$6&lt;&gt;"Có",N2230="Có"),OR(DANH_MUC!$L$7&lt;&gt;"Có",O2230="Có"),OR(DANH_MUC!$L$8&lt;&gt;"Có",P2230="Có")),"Có","Không"))</f>
        <v/>
      </c>
      <c r="R2230" s="22">
        <f>IF($D2230="","",IF(COUNTIF($D$2:$D2230,$D2230)&gt;1,"Trùng",""))</f>
        <v/>
      </c>
      <c r="S2230" s="22">
        <f>IF($D2230="","",IF(AND(LEN($D2230)=10,LEFT($D2230,1)="0",ISNUMBER(--$D2230)),"Có","Không"))</f>
        <v/>
      </c>
      <c r="T2230" s="22">
        <f>IF($D2230="","",IF(AND($C2230&lt;&gt;"",$Q2230="Có",$R2230="",$S2230="Có",AND($L2230&lt;&gt;"",OR($L2230&lt;&gt;"Chưa xác định",DANH_MUC!$L$9="Có"))),"Có","Không"))</f>
        <v/>
      </c>
      <c r="U2230" s="22">
        <f>IF(OR($D2230="",$T2230="Có"),"",IF($C2230="","Thiếu họ tên; ","")&amp;IF($S2230&lt;&gt;"Có","SĐT sai định dạng; ","")&amp;IF($R2230="Trùng","Trùng SĐT; ","")&amp;IF($Q2230&lt;&gt;"Có","Thiếu đồng ý bắt buộc; ","")&amp;IF($L2230="","Thiếu/sai Mã REF; ",IF(AND($L2230="Chưa xác định",DANH_MUC!$L$9&lt;&gt;"Có"),"Nguồn chưa xác định; ","")))</f>
        <v/>
      </c>
      <c r="V2230" s="22">
        <f>IF(OR($D2230="",$R2230="Trùng"),"",IF(COUNTIF(ORDERS!$C$2:$C$4995,$D2230)&gt;0,"Có","Không"))</f>
        <v/>
      </c>
      <c r="W2230" s="22">
        <f>IF(OR($D2230="",$R2230="Trùng"),"",COUNTIFS(ORDERS!$C$2:$C$4995,$D2230,ORDERS!$L$2:$L$4995,"Đã chuyển khoản"))</f>
        <v/>
      </c>
      <c r="X2230" s="23">
        <f>IF(OR($D2230="",$R2230="Trùng"),"",SUMIFS(ORDERS!$J$2:$J$4995,ORDERS!$C$2:$C$4995,$D2230,ORDERS!$L$2:$L$4995,"Đã chuyển khoản"))</f>
        <v/>
      </c>
      <c r="Y2230" s="24" t="n"/>
    </row>
    <row r="2231" ht="14.25" customHeight="1" s="40">
      <c r="A2231" s="24" t="n"/>
      <c r="B2231" s="27" t="n"/>
      <c r="C2231" s="24" t="n"/>
      <c r="D2231" s="28" t="n"/>
      <c r="E2231" s="29" t="n"/>
      <c r="F2231" s="24" t="n"/>
      <c r="G2231" s="24" t="n"/>
      <c r="H2231" s="21">
        <f>IF(ISNUMBER($B2231),INT($B2231)-WEEKDAY($B2231,2)+1,"")</f>
        <v/>
      </c>
      <c r="I2231" s="24" t="n"/>
      <c r="J2231" s="22">
        <f t="array" ref="J2231">IF($D2231="","",IF($I2231="","(trống REF)",IFERROR(INDEX(MASTER_SOURCE!$B$2:$B$495,MATCH($I2231,MASTER_SOURCE!$A$2:$A$495,0)),"(REF không có trong MASTER_SOURCE)")))</f>
        <v/>
      </c>
      <c r="K2231" s="22">
        <f t="array" ref="K2231">IF($D2231="","",IFERROR(INDEX(MASTER_SOURCE!$C$2:$C$495,MATCH($I2231,MASTER_SOURCE!$A$2:$A$495,0)),""))</f>
        <v/>
      </c>
      <c r="L2231" s="22">
        <f t="array" ref="L2231">IF($D2231="","",IFERROR(INDEX(MASTER_SOURCE!$D$2:$D$495,MATCH($I2231,MASTER_SOURCE!$A$2:$A$495,0)),""))</f>
        <v/>
      </c>
      <c r="M2231" s="24" t="n"/>
      <c r="N2231" s="24" t="n"/>
      <c r="O2231" s="24" t="n"/>
      <c r="P2231" s="24" t="n"/>
      <c r="Q2231" s="22">
        <f>IF($D2231="","",IF(AND(OR(DANH_MUC!$L$5&lt;&gt;"Có",M2231="Có"),OR(DANH_MUC!$L$6&lt;&gt;"Có",N2231="Có"),OR(DANH_MUC!$L$7&lt;&gt;"Có",O2231="Có"),OR(DANH_MUC!$L$8&lt;&gt;"Có",P2231="Có")),"Có","Không"))</f>
        <v/>
      </c>
      <c r="R2231" s="22">
        <f>IF($D2231="","",IF(COUNTIF($D$2:$D2231,$D2231)&gt;1,"Trùng",""))</f>
        <v/>
      </c>
      <c r="S2231" s="22">
        <f>IF($D2231="","",IF(AND(LEN($D2231)=10,LEFT($D2231,1)="0",ISNUMBER(--$D2231)),"Có","Không"))</f>
        <v/>
      </c>
      <c r="T2231" s="22">
        <f>IF($D2231="","",IF(AND($C2231&lt;&gt;"",$Q2231="Có",$R2231="",$S2231="Có",AND($L2231&lt;&gt;"",OR($L2231&lt;&gt;"Chưa xác định",DANH_MUC!$L$9="Có"))),"Có","Không"))</f>
        <v/>
      </c>
      <c r="U2231" s="22">
        <f>IF(OR($D2231="",$T2231="Có"),"",IF($C2231="","Thiếu họ tên; ","")&amp;IF($S2231&lt;&gt;"Có","SĐT sai định dạng; ","")&amp;IF($R2231="Trùng","Trùng SĐT; ","")&amp;IF($Q2231&lt;&gt;"Có","Thiếu đồng ý bắt buộc; ","")&amp;IF($L2231="","Thiếu/sai Mã REF; ",IF(AND($L2231="Chưa xác định",DANH_MUC!$L$9&lt;&gt;"Có"),"Nguồn chưa xác định; ","")))</f>
        <v/>
      </c>
      <c r="V2231" s="22">
        <f>IF(OR($D2231="",$R2231="Trùng"),"",IF(COUNTIF(ORDERS!$C$2:$C$4995,$D2231)&gt;0,"Có","Không"))</f>
        <v/>
      </c>
      <c r="W2231" s="22">
        <f>IF(OR($D2231="",$R2231="Trùng"),"",COUNTIFS(ORDERS!$C$2:$C$4995,$D2231,ORDERS!$L$2:$L$4995,"Đã chuyển khoản"))</f>
        <v/>
      </c>
      <c r="X2231" s="23">
        <f>IF(OR($D2231="",$R2231="Trùng"),"",SUMIFS(ORDERS!$J$2:$J$4995,ORDERS!$C$2:$C$4995,$D2231,ORDERS!$L$2:$L$4995,"Đã chuyển khoản"))</f>
        <v/>
      </c>
      <c r="Y2231" s="24" t="n"/>
    </row>
    <row r="2232" ht="14.25" customHeight="1" s="40">
      <c r="A2232" s="24" t="n"/>
      <c r="B2232" s="27" t="n"/>
      <c r="C2232" s="24" t="n"/>
      <c r="D2232" s="28" t="n"/>
      <c r="E2232" s="29" t="n"/>
      <c r="F2232" s="24" t="n"/>
      <c r="G2232" s="24" t="n"/>
      <c r="H2232" s="21">
        <f>IF(ISNUMBER($B2232),INT($B2232)-WEEKDAY($B2232,2)+1,"")</f>
        <v/>
      </c>
      <c r="I2232" s="24" t="n"/>
      <c r="J2232" s="22">
        <f t="array" ref="J2232">IF($D2232="","",IF($I2232="","(trống REF)",IFERROR(INDEX(MASTER_SOURCE!$B$2:$B$495,MATCH($I2232,MASTER_SOURCE!$A$2:$A$495,0)),"(REF không có trong MASTER_SOURCE)")))</f>
        <v/>
      </c>
      <c r="K2232" s="22">
        <f t="array" ref="K2232">IF($D2232="","",IFERROR(INDEX(MASTER_SOURCE!$C$2:$C$495,MATCH($I2232,MASTER_SOURCE!$A$2:$A$495,0)),""))</f>
        <v/>
      </c>
      <c r="L2232" s="22">
        <f t="array" ref="L2232">IF($D2232="","",IFERROR(INDEX(MASTER_SOURCE!$D$2:$D$495,MATCH($I2232,MASTER_SOURCE!$A$2:$A$495,0)),""))</f>
        <v/>
      </c>
      <c r="M2232" s="24" t="n"/>
      <c r="N2232" s="24" t="n"/>
      <c r="O2232" s="24" t="n"/>
      <c r="P2232" s="24" t="n"/>
      <c r="Q2232" s="22">
        <f>IF($D2232="","",IF(AND(OR(DANH_MUC!$L$5&lt;&gt;"Có",M2232="Có"),OR(DANH_MUC!$L$6&lt;&gt;"Có",N2232="Có"),OR(DANH_MUC!$L$7&lt;&gt;"Có",O2232="Có"),OR(DANH_MUC!$L$8&lt;&gt;"Có",P2232="Có")),"Có","Không"))</f>
        <v/>
      </c>
      <c r="R2232" s="22">
        <f>IF($D2232="","",IF(COUNTIF($D$2:$D2232,$D2232)&gt;1,"Trùng",""))</f>
        <v/>
      </c>
      <c r="S2232" s="22">
        <f>IF($D2232="","",IF(AND(LEN($D2232)=10,LEFT($D2232,1)="0",ISNUMBER(--$D2232)),"Có","Không"))</f>
        <v/>
      </c>
      <c r="T2232" s="22">
        <f>IF($D2232="","",IF(AND($C2232&lt;&gt;"",$Q2232="Có",$R2232="",$S2232="Có",AND($L2232&lt;&gt;"",OR($L2232&lt;&gt;"Chưa xác định",DANH_MUC!$L$9="Có"))),"Có","Không"))</f>
        <v/>
      </c>
      <c r="U2232" s="22">
        <f>IF(OR($D2232="",$T2232="Có"),"",IF($C2232="","Thiếu họ tên; ","")&amp;IF($S2232&lt;&gt;"Có","SĐT sai định dạng; ","")&amp;IF($R2232="Trùng","Trùng SĐT; ","")&amp;IF($Q2232&lt;&gt;"Có","Thiếu đồng ý bắt buộc; ","")&amp;IF($L2232="","Thiếu/sai Mã REF; ",IF(AND($L2232="Chưa xác định",DANH_MUC!$L$9&lt;&gt;"Có"),"Nguồn chưa xác định; ","")))</f>
        <v/>
      </c>
      <c r="V2232" s="22">
        <f>IF(OR($D2232="",$R2232="Trùng"),"",IF(COUNTIF(ORDERS!$C$2:$C$4995,$D2232)&gt;0,"Có","Không"))</f>
        <v/>
      </c>
      <c r="W2232" s="22">
        <f>IF(OR($D2232="",$R2232="Trùng"),"",COUNTIFS(ORDERS!$C$2:$C$4995,$D2232,ORDERS!$L$2:$L$4995,"Đã chuyển khoản"))</f>
        <v/>
      </c>
      <c r="X2232" s="23">
        <f>IF(OR($D2232="",$R2232="Trùng"),"",SUMIFS(ORDERS!$J$2:$J$4995,ORDERS!$C$2:$C$4995,$D2232,ORDERS!$L$2:$L$4995,"Đã chuyển khoản"))</f>
        <v/>
      </c>
      <c r="Y2232" s="24" t="n"/>
    </row>
    <row r="2233" ht="14.25" customHeight="1" s="40">
      <c r="A2233" s="24" t="n"/>
      <c r="B2233" s="27" t="n"/>
      <c r="C2233" s="24" t="n"/>
      <c r="D2233" s="28" t="n"/>
      <c r="E2233" s="29" t="n"/>
      <c r="F2233" s="24" t="n"/>
      <c r="G2233" s="24" t="n"/>
      <c r="H2233" s="21">
        <f>IF(ISNUMBER($B2233),INT($B2233)-WEEKDAY($B2233,2)+1,"")</f>
        <v/>
      </c>
      <c r="I2233" s="24" t="n"/>
      <c r="J2233" s="22">
        <f t="array" ref="J2233">IF($D2233="","",IF($I2233="","(trống REF)",IFERROR(INDEX(MASTER_SOURCE!$B$2:$B$495,MATCH($I2233,MASTER_SOURCE!$A$2:$A$495,0)),"(REF không có trong MASTER_SOURCE)")))</f>
        <v/>
      </c>
      <c r="K2233" s="22">
        <f t="array" ref="K2233">IF($D2233="","",IFERROR(INDEX(MASTER_SOURCE!$C$2:$C$495,MATCH($I2233,MASTER_SOURCE!$A$2:$A$495,0)),""))</f>
        <v/>
      </c>
      <c r="L2233" s="22">
        <f t="array" ref="L2233">IF($D2233="","",IFERROR(INDEX(MASTER_SOURCE!$D$2:$D$495,MATCH($I2233,MASTER_SOURCE!$A$2:$A$495,0)),""))</f>
        <v/>
      </c>
      <c r="M2233" s="24" t="n"/>
      <c r="N2233" s="24" t="n"/>
      <c r="O2233" s="24" t="n"/>
      <c r="P2233" s="24" t="n"/>
      <c r="Q2233" s="22">
        <f>IF($D2233="","",IF(AND(OR(DANH_MUC!$L$5&lt;&gt;"Có",M2233="Có"),OR(DANH_MUC!$L$6&lt;&gt;"Có",N2233="Có"),OR(DANH_MUC!$L$7&lt;&gt;"Có",O2233="Có"),OR(DANH_MUC!$L$8&lt;&gt;"Có",P2233="Có")),"Có","Không"))</f>
        <v/>
      </c>
      <c r="R2233" s="22">
        <f>IF($D2233="","",IF(COUNTIF($D$2:$D2233,$D2233)&gt;1,"Trùng",""))</f>
        <v/>
      </c>
      <c r="S2233" s="22">
        <f>IF($D2233="","",IF(AND(LEN($D2233)=10,LEFT($D2233,1)="0",ISNUMBER(--$D2233)),"Có","Không"))</f>
        <v/>
      </c>
      <c r="T2233" s="22">
        <f>IF($D2233="","",IF(AND($C2233&lt;&gt;"",$Q2233="Có",$R2233="",$S2233="Có",AND($L2233&lt;&gt;"",OR($L2233&lt;&gt;"Chưa xác định",DANH_MUC!$L$9="Có"))),"Có","Không"))</f>
        <v/>
      </c>
      <c r="U2233" s="22">
        <f>IF(OR($D2233="",$T2233="Có"),"",IF($C2233="","Thiếu họ tên; ","")&amp;IF($S2233&lt;&gt;"Có","SĐT sai định dạng; ","")&amp;IF($R2233="Trùng","Trùng SĐT; ","")&amp;IF($Q2233&lt;&gt;"Có","Thiếu đồng ý bắt buộc; ","")&amp;IF($L2233="","Thiếu/sai Mã REF; ",IF(AND($L2233="Chưa xác định",DANH_MUC!$L$9&lt;&gt;"Có"),"Nguồn chưa xác định; ","")))</f>
        <v/>
      </c>
      <c r="V2233" s="22">
        <f>IF(OR($D2233="",$R2233="Trùng"),"",IF(COUNTIF(ORDERS!$C$2:$C$4995,$D2233)&gt;0,"Có","Không"))</f>
        <v/>
      </c>
      <c r="W2233" s="22">
        <f>IF(OR($D2233="",$R2233="Trùng"),"",COUNTIFS(ORDERS!$C$2:$C$4995,$D2233,ORDERS!$L$2:$L$4995,"Đã chuyển khoản"))</f>
        <v/>
      </c>
      <c r="X2233" s="23">
        <f>IF(OR($D2233="",$R2233="Trùng"),"",SUMIFS(ORDERS!$J$2:$J$4995,ORDERS!$C$2:$C$4995,$D2233,ORDERS!$L$2:$L$4995,"Đã chuyển khoản"))</f>
        <v/>
      </c>
      <c r="Y2233" s="24" t="n"/>
    </row>
    <row r="2234" ht="14.25" customHeight="1" s="40">
      <c r="A2234" s="24" t="n"/>
      <c r="B2234" s="27" t="n"/>
      <c r="C2234" s="24" t="n"/>
      <c r="D2234" s="28" t="n"/>
      <c r="E2234" s="29" t="n"/>
      <c r="F2234" s="24" t="n"/>
      <c r="G2234" s="24" t="n"/>
      <c r="H2234" s="21">
        <f>IF(ISNUMBER($B2234),INT($B2234)-WEEKDAY($B2234,2)+1,"")</f>
        <v/>
      </c>
      <c r="I2234" s="24" t="n"/>
      <c r="J2234" s="22">
        <f t="array" ref="J2234">IF($D2234="","",IF($I2234="","(trống REF)",IFERROR(INDEX(MASTER_SOURCE!$B$2:$B$495,MATCH($I2234,MASTER_SOURCE!$A$2:$A$495,0)),"(REF không có trong MASTER_SOURCE)")))</f>
        <v/>
      </c>
      <c r="K2234" s="22">
        <f t="array" ref="K2234">IF($D2234="","",IFERROR(INDEX(MASTER_SOURCE!$C$2:$C$495,MATCH($I2234,MASTER_SOURCE!$A$2:$A$495,0)),""))</f>
        <v/>
      </c>
      <c r="L2234" s="22">
        <f t="array" ref="L2234">IF($D2234="","",IFERROR(INDEX(MASTER_SOURCE!$D$2:$D$495,MATCH($I2234,MASTER_SOURCE!$A$2:$A$495,0)),""))</f>
        <v/>
      </c>
      <c r="M2234" s="24" t="n"/>
      <c r="N2234" s="24" t="n"/>
      <c r="O2234" s="24" t="n"/>
      <c r="P2234" s="24" t="n"/>
      <c r="Q2234" s="22">
        <f>IF($D2234="","",IF(AND(OR(DANH_MUC!$L$5&lt;&gt;"Có",M2234="Có"),OR(DANH_MUC!$L$6&lt;&gt;"Có",N2234="Có"),OR(DANH_MUC!$L$7&lt;&gt;"Có",O2234="Có"),OR(DANH_MUC!$L$8&lt;&gt;"Có",P2234="Có")),"Có","Không"))</f>
        <v/>
      </c>
      <c r="R2234" s="22">
        <f>IF($D2234="","",IF(COUNTIF($D$2:$D2234,$D2234)&gt;1,"Trùng",""))</f>
        <v/>
      </c>
      <c r="S2234" s="22">
        <f>IF($D2234="","",IF(AND(LEN($D2234)=10,LEFT($D2234,1)="0",ISNUMBER(--$D2234)),"Có","Không"))</f>
        <v/>
      </c>
      <c r="T2234" s="22">
        <f>IF($D2234="","",IF(AND($C2234&lt;&gt;"",$Q2234="Có",$R2234="",$S2234="Có",AND($L2234&lt;&gt;"",OR($L2234&lt;&gt;"Chưa xác định",DANH_MUC!$L$9="Có"))),"Có","Không"))</f>
        <v/>
      </c>
      <c r="U2234" s="22">
        <f>IF(OR($D2234="",$T2234="Có"),"",IF($C2234="","Thiếu họ tên; ","")&amp;IF($S2234&lt;&gt;"Có","SĐT sai định dạng; ","")&amp;IF($R2234="Trùng","Trùng SĐT; ","")&amp;IF($Q2234&lt;&gt;"Có","Thiếu đồng ý bắt buộc; ","")&amp;IF($L2234="","Thiếu/sai Mã REF; ",IF(AND($L2234="Chưa xác định",DANH_MUC!$L$9&lt;&gt;"Có"),"Nguồn chưa xác định; ","")))</f>
        <v/>
      </c>
      <c r="V2234" s="22">
        <f>IF(OR($D2234="",$R2234="Trùng"),"",IF(COUNTIF(ORDERS!$C$2:$C$4995,$D2234)&gt;0,"Có","Không"))</f>
        <v/>
      </c>
      <c r="W2234" s="22">
        <f>IF(OR($D2234="",$R2234="Trùng"),"",COUNTIFS(ORDERS!$C$2:$C$4995,$D2234,ORDERS!$L$2:$L$4995,"Đã chuyển khoản"))</f>
        <v/>
      </c>
      <c r="X2234" s="23">
        <f>IF(OR($D2234="",$R2234="Trùng"),"",SUMIFS(ORDERS!$J$2:$J$4995,ORDERS!$C$2:$C$4995,$D2234,ORDERS!$L$2:$L$4995,"Đã chuyển khoản"))</f>
        <v/>
      </c>
      <c r="Y2234" s="24" t="n"/>
    </row>
    <row r="2235" ht="14.25" customHeight="1" s="40">
      <c r="A2235" s="24" t="n"/>
      <c r="B2235" s="27" t="n"/>
      <c r="C2235" s="24" t="n"/>
      <c r="D2235" s="28" t="n"/>
      <c r="E2235" s="29" t="n"/>
      <c r="F2235" s="24" t="n"/>
      <c r="G2235" s="24" t="n"/>
      <c r="H2235" s="21">
        <f>IF(ISNUMBER($B2235),INT($B2235)-WEEKDAY($B2235,2)+1,"")</f>
        <v/>
      </c>
      <c r="I2235" s="24" t="n"/>
      <c r="J2235" s="22">
        <f t="array" ref="J2235">IF($D2235="","",IF($I2235="","(trống REF)",IFERROR(INDEX(MASTER_SOURCE!$B$2:$B$495,MATCH($I2235,MASTER_SOURCE!$A$2:$A$495,0)),"(REF không có trong MASTER_SOURCE)")))</f>
        <v/>
      </c>
      <c r="K2235" s="22">
        <f t="array" ref="K2235">IF($D2235="","",IFERROR(INDEX(MASTER_SOURCE!$C$2:$C$495,MATCH($I2235,MASTER_SOURCE!$A$2:$A$495,0)),""))</f>
        <v/>
      </c>
      <c r="L2235" s="22">
        <f t="array" ref="L2235">IF($D2235="","",IFERROR(INDEX(MASTER_SOURCE!$D$2:$D$495,MATCH($I2235,MASTER_SOURCE!$A$2:$A$495,0)),""))</f>
        <v/>
      </c>
      <c r="M2235" s="24" t="n"/>
      <c r="N2235" s="24" t="n"/>
      <c r="O2235" s="24" t="n"/>
      <c r="P2235" s="24" t="n"/>
      <c r="Q2235" s="22">
        <f>IF($D2235="","",IF(AND(OR(DANH_MUC!$L$5&lt;&gt;"Có",M2235="Có"),OR(DANH_MUC!$L$6&lt;&gt;"Có",N2235="Có"),OR(DANH_MUC!$L$7&lt;&gt;"Có",O2235="Có"),OR(DANH_MUC!$L$8&lt;&gt;"Có",P2235="Có")),"Có","Không"))</f>
        <v/>
      </c>
      <c r="R2235" s="22">
        <f>IF($D2235="","",IF(COUNTIF($D$2:$D2235,$D2235)&gt;1,"Trùng",""))</f>
        <v/>
      </c>
      <c r="S2235" s="22">
        <f>IF($D2235="","",IF(AND(LEN($D2235)=10,LEFT($D2235,1)="0",ISNUMBER(--$D2235)),"Có","Không"))</f>
        <v/>
      </c>
      <c r="T2235" s="22">
        <f>IF($D2235="","",IF(AND($C2235&lt;&gt;"",$Q2235="Có",$R2235="",$S2235="Có",AND($L2235&lt;&gt;"",OR($L2235&lt;&gt;"Chưa xác định",DANH_MUC!$L$9="Có"))),"Có","Không"))</f>
        <v/>
      </c>
      <c r="U2235" s="22">
        <f>IF(OR($D2235="",$T2235="Có"),"",IF($C2235="","Thiếu họ tên; ","")&amp;IF($S2235&lt;&gt;"Có","SĐT sai định dạng; ","")&amp;IF($R2235="Trùng","Trùng SĐT; ","")&amp;IF($Q2235&lt;&gt;"Có","Thiếu đồng ý bắt buộc; ","")&amp;IF($L2235="","Thiếu/sai Mã REF; ",IF(AND($L2235="Chưa xác định",DANH_MUC!$L$9&lt;&gt;"Có"),"Nguồn chưa xác định; ","")))</f>
        <v/>
      </c>
      <c r="V2235" s="22">
        <f>IF(OR($D2235="",$R2235="Trùng"),"",IF(COUNTIF(ORDERS!$C$2:$C$4995,$D2235)&gt;0,"Có","Không"))</f>
        <v/>
      </c>
      <c r="W2235" s="22">
        <f>IF(OR($D2235="",$R2235="Trùng"),"",COUNTIFS(ORDERS!$C$2:$C$4995,$D2235,ORDERS!$L$2:$L$4995,"Đã chuyển khoản"))</f>
        <v/>
      </c>
      <c r="X2235" s="23">
        <f>IF(OR($D2235="",$R2235="Trùng"),"",SUMIFS(ORDERS!$J$2:$J$4995,ORDERS!$C$2:$C$4995,$D2235,ORDERS!$L$2:$L$4995,"Đã chuyển khoản"))</f>
        <v/>
      </c>
      <c r="Y2235" s="24" t="n"/>
    </row>
    <row r="2236" ht="14.25" customHeight="1" s="40">
      <c r="A2236" s="24" t="n"/>
      <c r="B2236" s="27" t="n"/>
      <c r="C2236" s="24" t="n"/>
      <c r="D2236" s="28" t="n"/>
      <c r="E2236" s="29" t="n"/>
      <c r="F2236" s="24" t="n"/>
      <c r="G2236" s="24" t="n"/>
      <c r="H2236" s="21">
        <f>IF(ISNUMBER($B2236),INT($B2236)-WEEKDAY($B2236,2)+1,"")</f>
        <v/>
      </c>
      <c r="I2236" s="24" t="n"/>
      <c r="J2236" s="22">
        <f t="array" ref="J2236">IF($D2236="","",IF($I2236="","(trống REF)",IFERROR(INDEX(MASTER_SOURCE!$B$2:$B$495,MATCH($I2236,MASTER_SOURCE!$A$2:$A$495,0)),"(REF không có trong MASTER_SOURCE)")))</f>
        <v/>
      </c>
      <c r="K2236" s="22">
        <f t="array" ref="K2236">IF($D2236="","",IFERROR(INDEX(MASTER_SOURCE!$C$2:$C$495,MATCH($I2236,MASTER_SOURCE!$A$2:$A$495,0)),""))</f>
        <v/>
      </c>
      <c r="L2236" s="22">
        <f t="array" ref="L2236">IF($D2236="","",IFERROR(INDEX(MASTER_SOURCE!$D$2:$D$495,MATCH($I2236,MASTER_SOURCE!$A$2:$A$495,0)),""))</f>
        <v/>
      </c>
      <c r="M2236" s="24" t="n"/>
      <c r="N2236" s="24" t="n"/>
      <c r="O2236" s="24" t="n"/>
      <c r="P2236" s="24" t="n"/>
      <c r="Q2236" s="22">
        <f>IF($D2236="","",IF(AND(OR(DANH_MUC!$L$5&lt;&gt;"Có",M2236="Có"),OR(DANH_MUC!$L$6&lt;&gt;"Có",N2236="Có"),OR(DANH_MUC!$L$7&lt;&gt;"Có",O2236="Có"),OR(DANH_MUC!$L$8&lt;&gt;"Có",P2236="Có")),"Có","Không"))</f>
        <v/>
      </c>
      <c r="R2236" s="22">
        <f>IF($D2236="","",IF(COUNTIF($D$2:$D2236,$D2236)&gt;1,"Trùng",""))</f>
        <v/>
      </c>
      <c r="S2236" s="22">
        <f>IF($D2236="","",IF(AND(LEN($D2236)=10,LEFT($D2236,1)="0",ISNUMBER(--$D2236)),"Có","Không"))</f>
        <v/>
      </c>
      <c r="T2236" s="22">
        <f>IF($D2236="","",IF(AND($C2236&lt;&gt;"",$Q2236="Có",$R2236="",$S2236="Có",AND($L2236&lt;&gt;"",OR($L2236&lt;&gt;"Chưa xác định",DANH_MUC!$L$9="Có"))),"Có","Không"))</f>
        <v/>
      </c>
      <c r="U2236" s="22">
        <f>IF(OR($D2236="",$T2236="Có"),"",IF($C2236="","Thiếu họ tên; ","")&amp;IF($S2236&lt;&gt;"Có","SĐT sai định dạng; ","")&amp;IF($R2236="Trùng","Trùng SĐT; ","")&amp;IF($Q2236&lt;&gt;"Có","Thiếu đồng ý bắt buộc; ","")&amp;IF($L2236="","Thiếu/sai Mã REF; ",IF(AND($L2236="Chưa xác định",DANH_MUC!$L$9&lt;&gt;"Có"),"Nguồn chưa xác định; ","")))</f>
        <v/>
      </c>
      <c r="V2236" s="22">
        <f>IF(OR($D2236="",$R2236="Trùng"),"",IF(COUNTIF(ORDERS!$C$2:$C$4995,$D2236)&gt;0,"Có","Không"))</f>
        <v/>
      </c>
      <c r="W2236" s="22">
        <f>IF(OR($D2236="",$R2236="Trùng"),"",COUNTIFS(ORDERS!$C$2:$C$4995,$D2236,ORDERS!$L$2:$L$4995,"Đã chuyển khoản"))</f>
        <v/>
      </c>
      <c r="X2236" s="23">
        <f>IF(OR($D2236="",$R2236="Trùng"),"",SUMIFS(ORDERS!$J$2:$J$4995,ORDERS!$C$2:$C$4995,$D2236,ORDERS!$L$2:$L$4995,"Đã chuyển khoản"))</f>
        <v/>
      </c>
      <c r="Y2236" s="24" t="n"/>
    </row>
    <row r="2237" ht="14.25" customHeight="1" s="40">
      <c r="A2237" s="24" t="n"/>
      <c r="B2237" s="27" t="n"/>
      <c r="C2237" s="24" t="n"/>
      <c r="D2237" s="28" t="n"/>
      <c r="E2237" s="29" t="n"/>
      <c r="F2237" s="24" t="n"/>
      <c r="G2237" s="24" t="n"/>
      <c r="H2237" s="21">
        <f>IF(ISNUMBER($B2237),INT($B2237)-WEEKDAY($B2237,2)+1,"")</f>
        <v/>
      </c>
      <c r="I2237" s="24" t="n"/>
      <c r="J2237" s="22">
        <f t="array" ref="J2237">IF($D2237="","",IF($I2237="","(trống REF)",IFERROR(INDEX(MASTER_SOURCE!$B$2:$B$495,MATCH($I2237,MASTER_SOURCE!$A$2:$A$495,0)),"(REF không có trong MASTER_SOURCE)")))</f>
        <v/>
      </c>
      <c r="K2237" s="22">
        <f t="array" ref="K2237">IF($D2237="","",IFERROR(INDEX(MASTER_SOURCE!$C$2:$C$495,MATCH($I2237,MASTER_SOURCE!$A$2:$A$495,0)),""))</f>
        <v/>
      </c>
      <c r="L2237" s="22">
        <f t="array" ref="L2237">IF($D2237="","",IFERROR(INDEX(MASTER_SOURCE!$D$2:$D$495,MATCH($I2237,MASTER_SOURCE!$A$2:$A$495,0)),""))</f>
        <v/>
      </c>
      <c r="M2237" s="24" t="n"/>
      <c r="N2237" s="24" t="n"/>
      <c r="O2237" s="24" t="n"/>
      <c r="P2237" s="24" t="n"/>
      <c r="Q2237" s="22">
        <f>IF($D2237="","",IF(AND(OR(DANH_MUC!$L$5&lt;&gt;"Có",M2237="Có"),OR(DANH_MUC!$L$6&lt;&gt;"Có",N2237="Có"),OR(DANH_MUC!$L$7&lt;&gt;"Có",O2237="Có"),OR(DANH_MUC!$L$8&lt;&gt;"Có",P2237="Có")),"Có","Không"))</f>
        <v/>
      </c>
      <c r="R2237" s="22">
        <f>IF($D2237="","",IF(COUNTIF($D$2:$D2237,$D2237)&gt;1,"Trùng",""))</f>
        <v/>
      </c>
      <c r="S2237" s="22">
        <f>IF($D2237="","",IF(AND(LEN($D2237)=10,LEFT($D2237,1)="0",ISNUMBER(--$D2237)),"Có","Không"))</f>
        <v/>
      </c>
      <c r="T2237" s="22">
        <f>IF($D2237="","",IF(AND($C2237&lt;&gt;"",$Q2237="Có",$R2237="",$S2237="Có",AND($L2237&lt;&gt;"",OR($L2237&lt;&gt;"Chưa xác định",DANH_MUC!$L$9="Có"))),"Có","Không"))</f>
        <v/>
      </c>
      <c r="U2237" s="22">
        <f>IF(OR($D2237="",$T2237="Có"),"",IF($C2237="","Thiếu họ tên; ","")&amp;IF($S2237&lt;&gt;"Có","SĐT sai định dạng; ","")&amp;IF($R2237="Trùng","Trùng SĐT; ","")&amp;IF($Q2237&lt;&gt;"Có","Thiếu đồng ý bắt buộc; ","")&amp;IF($L2237="","Thiếu/sai Mã REF; ",IF(AND($L2237="Chưa xác định",DANH_MUC!$L$9&lt;&gt;"Có"),"Nguồn chưa xác định; ","")))</f>
        <v/>
      </c>
      <c r="V2237" s="22">
        <f>IF(OR($D2237="",$R2237="Trùng"),"",IF(COUNTIF(ORDERS!$C$2:$C$4995,$D2237)&gt;0,"Có","Không"))</f>
        <v/>
      </c>
      <c r="W2237" s="22">
        <f>IF(OR($D2237="",$R2237="Trùng"),"",COUNTIFS(ORDERS!$C$2:$C$4995,$D2237,ORDERS!$L$2:$L$4995,"Đã chuyển khoản"))</f>
        <v/>
      </c>
      <c r="X2237" s="23">
        <f>IF(OR($D2237="",$R2237="Trùng"),"",SUMIFS(ORDERS!$J$2:$J$4995,ORDERS!$C$2:$C$4995,$D2237,ORDERS!$L$2:$L$4995,"Đã chuyển khoản"))</f>
        <v/>
      </c>
      <c r="Y2237" s="24" t="n"/>
    </row>
    <row r="2238" ht="14.25" customHeight="1" s="40">
      <c r="A2238" s="24" t="n"/>
      <c r="B2238" s="27" t="n"/>
      <c r="C2238" s="24" t="n"/>
      <c r="D2238" s="28" t="n"/>
      <c r="E2238" s="29" t="n"/>
      <c r="F2238" s="24" t="n"/>
      <c r="G2238" s="24" t="n"/>
      <c r="H2238" s="21">
        <f>IF(ISNUMBER($B2238),INT($B2238)-WEEKDAY($B2238,2)+1,"")</f>
        <v/>
      </c>
      <c r="I2238" s="24" t="n"/>
      <c r="J2238" s="22">
        <f t="array" ref="J2238">IF($D2238="","",IF($I2238="","(trống REF)",IFERROR(INDEX(MASTER_SOURCE!$B$2:$B$495,MATCH($I2238,MASTER_SOURCE!$A$2:$A$495,0)),"(REF không có trong MASTER_SOURCE)")))</f>
        <v/>
      </c>
      <c r="K2238" s="22">
        <f t="array" ref="K2238">IF($D2238="","",IFERROR(INDEX(MASTER_SOURCE!$C$2:$C$495,MATCH($I2238,MASTER_SOURCE!$A$2:$A$495,0)),""))</f>
        <v/>
      </c>
      <c r="L2238" s="22">
        <f t="array" ref="L2238">IF($D2238="","",IFERROR(INDEX(MASTER_SOURCE!$D$2:$D$495,MATCH($I2238,MASTER_SOURCE!$A$2:$A$495,0)),""))</f>
        <v/>
      </c>
      <c r="M2238" s="24" t="n"/>
      <c r="N2238" s="24" t="n"/>
      <c r="O2238" s="24" t="n"/>
      <c r="P2238" s="24" t="n"/>
      <c r="Q2238" s="22">
        <f>IF($D2238="","",IF(AND(OR(DANH_MUC!$L$5&lt;&gt;"Có",M2238="Có"),OR(DANH_MUC!$L$6&lt;&gt;"Có",N2238="Có"),OR(DANH_MUC!$L$7&lt;&gt;"Có",O2238="Có"),OR(DANH_MUC!$L$8&lt;&gt;"Có",P2238="Có")),"Có","Không"))</f>
        <v/>
      </c>
      <c r="R2238" s="22">
        <f>IF($D2238="","",IF(COUNTIF($D$2:$D2238,$D2238)&gt;1,"Trùng",""))</f>
        <v/>
      </c>
      <c r="S2238" s="22">
        <f>IF($D2238="","",IF(AND(LEN($D2238)=10,LEFT($D2238,1)="0",ISNUMBER(--$D2238)),"Có","Không"))</f>
        <v/>
      </c>
      <c r="T2238" s="22">
        <f>IF($D2238="","",IF(AND($C2238&lt;&gt;"",$Q2238="Có",$R2238="",$S2238="Có",AND($L2238&lt;&gt;"",OR($L2238&lt;&gt;"Chưa xác định",DANH_MUC!$L$9="Có"))),"Có","Không"))</f>
        <v/>
      </c>
      <c r="U2238" s="22">
        <f>IF(OR($D2238="",$T2238="Có"),"",IF($C2238="","Thiếu họ tên; ","")&amp;IF($S2238&lt;&gt;"Có","SĐT sai định dạng; ","")&amp;IF($R2238="Trùng","Trùng SĐT; ","")&amp;IF($Q2238&lt;&gt;"Có","Thiếu đồng ý bắt buộc; ","")&amp;IF($L2238="","Thiếu/sai Mã REF; ",IF(AND($L2238="Chưa xác định",DANH_MUC!$L$9&lt;&gt;"Có"),"Nguồn chưa xác định; ","")))</f>
        <v/>
      </c>
      <c r="V2238" s="22">
        <f>IF(OR($D2238="",$R2238="Trùng"),"",IF(COUNTIF(ORDERS!$C$2:$C$4995,$D2238)&gt;0,"Có","Không"))</f>
        <v/>
      </c>
      <c r="W2238" s="22">
        <f>IF(OR($D2238="",$R2238="Trùng"),"",COUNTIFS(ORDERS!$C$2:$C$4995,$D2238,ORDERS!$L$2:$L$4995,"Đã chuyển khoản"))</f>
        <v/>
      </c>
      <c r="X2238" s="23">
        <f>IF(OR($D2238="",$R2238="Trùng"),"",SUMIFS(ORDERS!$J$2:$J$4995,ORDERS!$C$2:$C$4995,$D2238,ORDERS!$L$2:$L$4995,"Đã chuyển khoản"))</f>
        <v/>
      </c>
      <c r="Y2238" s="24" t="n"/>
    </row>
    <row r="2239" ht="14.25" customHeight="1" s="40">
      <c r="A2239" s="24" t="n"/>
      <c r="B2239" s="27" t="n"/>
      <c r="C2239" s="24" t="n"/>
      <c r="D2239" s="28" t="n"/>
      <c r="E2239" s="29" t="n"/>
      <c r="F2239" s="24" t="n"/>
      <c r="G2239" s="24" t="n"/>
      <c r="H2239" s="21">
        <f>IF(ISNUMBER($B2239),INT($B2239)-WEEKDAY($B2239,2)+1,"")</f>
        <v/>
      </c>
      <c r="I2239" s="24" t="n"/>
      <c r="J2239" s="22">
        <f t="array" ref="J2239">IF($D2239="","",IF($I2239="","(trống REF)",IFERROR(INDEX(MASTER_SOURCE!$B$2:$B$495,MATCH($I2239,MASTER_SOURCE!$A$2:$A$495,0)),"(REF không có trong MASTER_SOURCE)")))</f>
        <v/>
      </c>
      <c r="K2239" s="22">
        <f t="array" ref="K2239">IF($D2239="","",IFERROR(INDEX(MASTER_SOURCE!$C$2:$C$495,MATCH($I2239,MASTER_SOURCE!$A$2:$A$495,0)),""))</f>
        <v/>
      </c>
      <c r="L2239" s="22">
        <f t="array" ref="L2239">IF($D2239="","",IFERROR(INDEX(MASTER_SOURCE!$D$2:$D$495,MATCH($I2239,MASTER_SOURCE!$A$2:$A$495,0)),""))</f>
        <v/>
      </c>
      <c r="M2239" s="24" t="n"/>
      <c r="N2239" s="24" t="n"/>
      <c r="O2239" s="24" t="n"/>
      <c r="P2239" s="24" t="n"/>
      <c r="Q2239" s="22">
        <f>IF($D2239="","",IF(AND(OR(DANH_MUC!$L$5&lt;&gt;"Có",M2239="Có"),OR(DANH_MUC!$L$6&lt;&gt;"Có",N2239="Có"),OR(DANH_MUC!$L$7&lt;&gt;"Có",O2239="Có"),OR(DANH_MUC!$L$8&lt;&gt;"Có",P2239="Có")),"Có","Không"))</f>
        <v/>
      </c>
      <c r="R2239" s="22">
        <f>IF($D2239="","",IF(COUNTIF($D$2:$D2239,$D2239)&gt;1,"Trùng",""))</f>
        <v/>
      </c>
      <c r="S2239" s="22">
        <f>IF($D2239="","",IF(AND(LEN($D2239)=10,LEFT($D2239,1)="0",ISNUMBER(--$D2239)),"Có","Không"))</f>
        <v/>
      </c>
      <c r="T2239" s="22">
        <f>IF($D2239="","",IF(AND($C2239&lt;&gt;"",$Q2239="Có",$R2239="",$S2239="Có",AND($L2239&lt;&gt;"",OR($L2239&lt;&gt;"Chưa xác định",DANH_MUC!$L$9="Có"))),"Có","Không"))</f>
        <v/>
      </c>
      <c r="U2239" s="22">
        <f>IF(OR($D2239="",$T2239="Có"),"",IF($C2239="","Thiếu họ tên; ","")&amp;IF($S2239&lt;&gt;"Có","SĐT sai định dạng; ","")&amp;IF($R2239="Trùng","Trùng SĐT; ","")&amp;IF($Q2239&lt;&gt;"Có","Thiếu đồng ý bắt buộc; ","")&amp;IF($L2239="","Thiếu/sai Mã REF; ",IF(AND($L2239="Chưa xác định",DANH_MUC!$L$9&lt;&gt;"Có"),"Nguồn chưa xác định; ","")))</f>
        <v/>
      </c>
      <c r="V2239" s="22">
        <f>IF(OR($D2239="",$R2239="Trùng"),"",IF(COUNTIF(ORDERS!$C$2:$C$4995,$D2239)&gt;0,"Có","Không"))</f>
        <v/>
      </c>
      <c r="W2239" s="22">
        <f>IF(OR($D2239="",$R2239="Trùng"),"",COUNTIFS(ORDERS!$C$2:$C$4995,$D2239,ORDERS!$L$2:$L$4995,"Đã chuyển khoản"))</f>
        <v/>
      </c>
      <c r="X2239" s="23">
        <f>IF(OR($D2239="",$R2239="Trùng"),"",SUMIFS(ORDERS!$J$2:$J$4995,ORDERS!$C$2:$C$4995,$D2239,ORDERS!$L$2:$L$4995,"Đã chuyển khoản"))</f>
        <v/>
      </c>
      <c r="Y2239" s="24" t="n"/>
    </row>
    <row r="2240" ht="14.25" customHeight="1" s="40">
      <c r="A2240" s="24" t="n"/>
      <c r="B2240" s="27" t="n"/>
      <c r="C2240" s="24" t="n"/>
      <c r="D2240" s="28" t="n"/>
      <c r="E2240" s="29" t="n"/>
      <c r="F2240" s="24" t="n"/>
      <c r="G2240" s="24" t="n"/>
      <c r="H2240" s="21">
        <f>IF(ISNUMBER($B2240),INT($B2240)-WEEKDAY($B2240,2)+1,"")</f>
        <v/>
      </c>
      <c r="I2240" s="24" t="n"/>
      <c r="J2240" s="22">
        <f t="array" ref="J2240">IF($D2240="","",IF($I2240="","(trống REF)",IFERROR(INDEX(MASTER_SOURCE!$B$2:$B$495,MATCH($I2240,MASTER_SOURCE!$A$2:$A$495,0)),"(REF không có trong MASTER_SOURCE)")))</f>
        <v/>
      </c>
      <c r="K2240" s="22">
        <f t="array" ref="K2240">IF($D2240="","",IFERROR(INDEX(MASTER_SOURCE!$C$2:$C$495,MATCH($I2240,MASTER_SOURCE!$A$2:$A$495,0)),""))</f>
        <v/>
      </c>
      <c r="L2240" s="22">
        <f t="array" ref="L2240">IF($D2240="","",IFERROR(INDEX(MASTER_SOURCE!$D$2:$D$495,MATCH($I2240,MASTER_SOURCE!$A$2:$A$495,0)),""))</f>
        <v/>
      </c>
      <c r="M2240" s="24" t="n"/>
      <c r="N2240" s="24" t="n"/>
      <c r="O2240" s="24" t="n"/>
      <c r="P2240" s="24" t="n"/>
      <c r="Q2240" s="22">
        <f>IF($D2240="","",IF(AND(OR(DANH_MUC!$L$5&lt;&gt;"Có",M2240="Có"),OR(DANH_MUC!$L$6&lt;&gt;"Có",N2240="Có"),OR(DANH_MUC!$L$7&lt;&gt;"Có",O2240="Có"),OR(DANH_MUC!$L$8&lt;&gt;"Có",P2240="Có")),"Có","Không"))</f>
        <v/>
      </c>
      <c r="R2240" s="22">
        <f>IF($D2240="","",IF(COUNTIF($D$2:$D2240,$D2240)&gt;1,"Trùng",""))</f>
        <v/>
      </c>
      <c r="S2240" s="22">
        <f>IF($D2240="","",IF(AND(LEN($D2240)=10,LEFT($D2240,1)="0",ISNUMBER(--$D2240)),"Có","Không"))</f>
        <v/>
      </c>
      <c r="T2240" s="22">
        <f>IF($D2240="","",IF(AND($C2240&lt;&gt;"",$Q2240="Có",$R2240="",$S2240="Có",AND($L2240&lt;&gt;"",OR($L2240&lt;&gt;"Chưa xác định",DANH_MUC!$L$9="Có"))),"Có","Không"))</f>
        <v/>
      </c>
      <c r="U2240" s="22">
        <f>IF(OR($D2240="",$T2240="Có"),"",IF($C2240="","Thiếu họ tên; ","")&amp;IF($S2240&lt;&gt;"Có","SĐT sai định dạng; ","")&amp;IF($R2240="Trùng","Trùng SĐT; ","")&amp;IF($Q2240&lt;&gt;"Có","Thiếu đồng ý bắt buộc; ","")&amp;IF($L2240="","Thiếu/sai Mã REF; ",IF(AND($L2240="Chưa xác định",DANH_MUC!$L$9&lt;&gt;"Có"),"Nguồn chưa xác định; ","")))</f>
        <v/>
      </c>
      <c r="V2240" s="22">
        <f>IF(OR($D2240="",$R2240="Trùng"),"",IF(COUNTIF(ORDERS!$C$2:$C$4995,$D2240)&gt;0,"Có","Không"))</f>
        <v/>
      </c>
      <c r="W2240" s="22">
        <f>IF(OR($D2240="",$R2240="Trùng"),"",COUNTIFS(ORDERS!$C$2:$C$4995,$D2240,ORDERS!$L$2:$L$4995,"Đã chuyển khoản"))</f>
        <v/>
      </c>
      <c r="X2240" s="23">
        <f>IF(OR($D2240="",$R2240="Trùng"),"",SUMIFS(ORDERS!$J$2:$J$4995,ORDERS!$C$2:$C$4995,$D2240,ORDERS!$L$2:$L$4995,"Đã chuyển khoản"))</f>
        <v/>
      </c>
      <c r="Y2240" s="24" t="n"/>
    </row>
    <row r="2241" ht="14.25" customHeight="1" s="40">
      <c r="A2241" s="24" t="n"/>
      <c r="B2241" s="27" t="n"/>
      <c r="C2241" s="24" t="n"/>
      <c r="D2241" s="28" t="n"/>
      <c r="E2241" s="29" t="n"/>
      <c r="F2241" s="24" t="n"/>
      <c r="G2241" s="24" t="n"/>
      <c r="H2241" s="21">
        <f>IF(ISNUMBER($B2241),INT($B2241)-WEEKDAY($B2241,2)+1,"")</f>
        <v/>
      </c>
      <c r="I2241" s="24" t="n"/>
      <c r="J2241" s="22">
        <f t="array" ref="J2241">IF($D2241="","",IF($I2241="","(trống REF)",IFERROR(INDEX(MASTER_SOURCE!$B$2:$B$495,MATCH($I2241,MASTER_SOURCE!$A$2:$A$495,0)),"(REF không có trong MASTER_SOURCE)")))</f>
        <v/>
      </c>
      <c r="K2241" s="22">
        <f t="array" ref="K2241">IF($D2241="","",IFERROR(INDEX(MASTER_SOURCE!$C$2:$C$495,MATCH($I2241,MASTER_SOURCE!$A$2:$A$495,0)),""))</f>
        <v/>
      </c>
      <c r="L2241" s="22">
        <f t="array" ref="L2241">IF($D2241="","",IFERROR(INDEX(MASTER_SOURCE!$D$2:$D$495,MATCH($I2241,MASTER_SOURCE!$A$2:$A$495,0)),""))</f>
        <v/>
      </c>
      <c r="M2241" s="24" t="n"/>
      <c r="N2241" s="24" t="n"/>
      <c r="O2241" s="24" t="n"/>
      <c r="P2241" s="24" t="n"/>
      <c r="Q2241" s="22">
        <f>IF($D2241="","",IF(AND(OR(DANH_MUC!$L$5&lt;&gt;"Có",M2241="Có"),OR(DANH_MUC!$L$6&lt;&gt;"Có",N2241="Có"),OR(DANH_MUC!$L$7&lt;&gt;"Có",O2241="Có"),OR(DANH_MUC!$L$8&lt;&gt;"Có",P2241="Có")),"Có","Không"))</f>
        <v/>
      </c>
      <c r="R2241" s="22">
        <f>IF($D2241="","",IF(COUNTIF($D$2:$D2241,$D2241)&gt;1,"Trùng",""))</f>
        <v/>
      </c>
      <c r="S2241" s="22">
        <f>IF($D2241="","",IF(AND(LEN($D2241)=10,LEFT($D2241,1)="0",ISNUMBER(--$D2241)),"Có","Không"))</f>
        <v/>
      </c>
      <c r="T2241" s="22">
        <f>IF($D2241="","",IF(AND($C2241&lt;&gt;"",$Q2241="Có",$R2241="",$S2241="Có",AND($L2241&lt;&gt;"",OR($L2241&lt;&gt;"Chưa xác định",DANH_MUC!$L$9="Có"))),"Có","Không"))</f>
        <v/>
      </c>
      <c r="U2241" s="22">
        <f>IF(OR($D2241="",$T2241="Có"),"",IF($C2241="","Thiếu họ tên; ","")&amp;IF($S2241&lt;&gt;"Có","SĐT sai định dạng; ","")&amp;IF($R2241="Trùng","Trùng SĐT; ","")&amp;IF($Q2241&lt;&gt;"Có","Thiếu đồng ý bắt buộc; ","")&amp;IF($L2241="","Thiếu/sai Mã REF; ",IF(AND($L2241="Chưa xác định",DANH_MUC!$L$9&lt;&gt;"Có"),"Nguồn chưa xác định; ","")))</f>
        <v/>
      </c>
      <c r="V2241" s="22">
        <f>IF(OR($D2241="",$R2241="Trùng"),"",IF(COUNTIF(ORDERS!$C$2:$C$4995,$D2241)&gt;0,"Có","Không"))</f>
        <v/>
      </c>
      <c r="W2241" s="22">
        <f>IF(OR($D2241="",$R2241="Trùng"),"",COUNTIFS(ORDERS!$C$2:$C$4995,$D2241,ORDERS!$L$2:$L$4995,"Đã chuyển khoản"))</f>
        <v/>
      </c>
      <c r="X2241" s="23">
        <f>IF(OR($D2241="",$R2241="Trùng"),"",SUMIFS(ORDERS!$J$2:$J$4995,ORDERS!$C$2:$C$4995,$D2241,ORDERS!$L$2:$L$4995,"Đã chuyển khoản"))</f>
        <v/>
      </c>
      <c r="Y2241" s="24" t="n"/>
    </row>
    <row r="2242" ht="14.25" customHeight="1" s="40">
      <c r="A2242" s="24" t="n"/>
      <c r="B2242" s="27" t="n"/>
      <c r="C2242" s="24" t="n"/>
      <c r="D2242" s="28" t="n"/>
      <c r="E2242" s="29" t="n"/>
      <c r="F2242" s="24" t="n"/>
      <c r="G2242" s="24" t="n"/>
      <c r="H2242" s="21">
        <f>IF(ISNUMBER($B2242),INT($B2242)-WEEKDAY($B2242,2)+1,"")</f>
        <v/>
      </c>
      <c r="I2242" s="24" t="n"/>
      <c r="J2242" s="22">
        <f t="array" ref="J2242">IF($D2242="","",IF($I2242="","(trống REF)",IFERROR(INDEX(MASTER_SOURCE!$B$2:$B$495,MATCH($I2242,MASTER_SOURCE!$A$2:$A$495,0)),"(REF không có trong MASTER_SOURCE)")))</f>
        <v/>
      </c>
      <c r="K2242" s="22">
        <f t="array" ref="K2242">IF($D2242="","",IFERROR(INDEX(MASTER_SOURCE!$C$2:$C$495,MATCH($I2242,MASTER_SOURCE!$A$2:$A$495,0)),""))</f>
        <v/>
      </c>
      <c r="L2242" s="22">
        <f t="array" ref="L2242">IF($D2242="","",IFERROR(INDEX(MASTER_SOURCE!$D$2:$D$495,MATCH($I2242,MASTER_SOURCE!$A$2:$A$495,0)),""))</f>
        <v/>
      </c>
      <c r="M2242" s="24" t="n"/>
      <c r="N2242" s="24" t="n"/>
      <c r="O2242" s="24" t="n"/>
      <c r="P2242" s="24" t="n"/>
      <c r="Q2242" s="22">
        <f>IF($D2242="","",IF(AND(OR(DANH_MUC!$L$5&lt;&gt;"Có",M2242="Có"),OR(DANH_MUC!$L$6&lt;&gt;"Có",N2242="Có"),OR(DANH_MUC!$L$7&lt;&gt;"Có",O2242="Có"),OR(DANH_MUC!$L$8&lt;&gt;"Có",P2242="Có")),"Có","Không"))</f>
        <v/>
      </c>
      <c r="R2242" s="22">
        <f>IF($D2242="","",IF(COUNTIF($D$2:$D2242,$D2242)&gt;1,"Trùng",""))</f>
        <v/>
      </c>
      <c r="S2242" s="22">
        <f>IF($D2242="","",IF(AND(LEN($D2242)=10,LEFT($D2242,1)="0",ISNUMBER(--$D2242)),"Có","Không"))</f>
        <v/>
      </c>
      <c r="T2242" s="22">
        <f>IF($D2242="","",IF(AND($C2242&lt;&gt;"",$Q2242="Có",$R2242="",$S2242="Có",AND($L2242&lt;&gt;"",OR($L2242&lt;&gt;"Chưa xác định",DANH_MUC!$L$9="Có"))),"Có","Không"))</f>
        <v/>
      </c>
      <c r="U2242" s="22">
        <f>IF(OR($D2242="",$T2242="Có"),"",IF($C2242="","Thiếu họ tên; ","")&amp;IF($S2242&lt;&gt;"Có","SĐT sai định dạng; ","")&amp;IF($R2242="Trùng","Trùng SĐT; ","")&amp;IF($Q2242&lt;&gt;"Có","Thiếu đồng ý bắt buộc; ","")&amp;IF($L2242="","Thiếu/sai Mã REF; ",IF(AND($L2242="Chưa xác định",DANH_MUC!$L$9&lt;&gt;"Có"),"Nguồn chưa xác định; ","")))</f>
        <v/>
      </c>
      <c r="V2242" s="22">
        <f>IF(OR($D2242="",$R2242="Trùng"),"",IF(COUNTIF(ORDERS!$C$2:$C$4995,$D2242)&gt;0,"Có","Không"))</f>
        <v/>
      </c>
      <c r="W2242" s="22">
        <f>IF(OR($D2242="",$R2242="Trùng"),"",COUNTIFS(ORDERS!$C$2:$C$4995,$D2242,ORDERS!$L$2:$L$4995,"Đã chuyển khoản"))</f>
        <v/>
      </c>
      <c r="X2242" s="23">
        <f>IF(OR($D2242="",$R2242="Trùng"),"",SUMIFS(ORDERS!$J$2:$J$4995,ORDERS!$C$2:$C$4995,$D2242,ORDERS!$L$2:$L$4995,"Đã chuyển khoản"))</f>
        <v/>
      </c>
      <c r="Y2242" s="24" t="n"/>
    </row>
    <row r="2243" ht="14.25" customHeight="1" s="40">
      <c r="A2243" s="24" t="n"/>
      <c r="B2243" s="27" t="n"/>
      <c r="C2243" s="24" t="n"/>
      <c r="D2243" s="28" t="n"/>
      <c r="E2243" s="29" t="n"/>
      <c r="F2243" s="24" t="n"/>
      <c r="G2243" s="24" t="n"/>
      <c r="H2243" s="21">
        <f>IF(ISNUMBER($B2243),INT($B2243)-WEEKDAY($B2243,2)+1,"")</f>
        <v/>
      </c>
      <c r="I2243" s="24" t="n"/>
      <c r="J2243" s="22">
        <f t="array" ref="J2243">IF($D2243="","",IF($I2243="","(trống REF)",IFERROR(INDEX(MASTER_SOURCE!$B$2:$B$495,MATCH($I2243,MASTER_SOURCE!$A$2:$A$495,0)),"(REF không có trong MASTER_SOURCE)")))</f>
        <v/>
      </c>
      <c r="K2243" s="22">
        <f t="array" ref="K2243">IF($D2243="","",IFERROR(INDEX(MASTER_SOURCE!$C$2:$C$495,MATCH($I2243,MASTER_SOURCE!$A$2:$A$495,0)),""))</f>
        <v/>
      </c>
      <c r="L2243" s="22">
        <f t="array" ref="L2243">IF($D2243="","",IFERROR(INDEX(MASTER_SOURCE!$D$2:$D$495,MATCH($I2243,MASTER_SOURCE!$A$2:$A$495,0)),""))</f>
        <v/>
      </c>
      <c r="M2243" s="24" t="n"/>
      <c r="N2243" s="24" t="n"/>
      <c r="O2243" s="24" t="n"/>
      <c r="P2243" s="24" t="n"/>
      <c r="Q2243" s="22">
        <f>IF($D2243="","",IF(AND(OR(DANH_MUC!$L$5&lt;&gt;"Có",M2243="Có"),OR(DANH_MUC!$L$6&lt;&gt;"Có",N2243="Có"),OR(DANH_MUC!$L$7&lt;&gt;"Có",O2243="Có"),OR(DANH_MUC!$L$8&lt;&gt;"Có",P2243="Có")),"Có","Không"))</f>
        <v/>
      </c>
      <c r="R2243" s="22">
        <f>IF($D2243="","",IF(COUNTIF($D$2:$D2243,$D2243)&gt;1,"Trùng",""))</f>
        <v/>
      </c>
      <c r="S2243" s="22">
        <f>IF($D2243="","",IF(AND(LEN($D2243)=10,LEFT($D2243,1)="0",ISNUMBER(--$D2243)),"Có","Không"))</f>
        <v/>
      </c>
      <c r="T2243" s="22">
        <f>IF($D2243="","",IF(AND($C2243&lt;&gt;"",$Q2243="Có",$R2243="",$S2243="Có",AND($L2243&lt;&gt;"",OR($L2243&lt;&gt;"Chưa xác định",DANH_MUC!$L$9="Có"))),"Có","Không"))</f>
        <v/>
      </c>
      <c r="U2243" s="22">
        <f>IF(OR($D2243="",$T2243="Có"),"",IF($C2243="","Thiếu họ tên; ","")&amp;IF($S2243&lt;&gt;"Có","SĐT sai định dạng; ","")&amp;IF($R2243="Trùng","Trùng SĐT; ","")&amp;IF($Q2243&lt;&gt;"Có","Thiếu đồng ý bắt buộc; ","")&amp;IF($L2243="","Thiếu/sai Mã REF; ",IF(AND($L2243="Chưa xác định",DANH_MUC!$L$9&lt;&gt;"Có"),"Nguồn chưa xác định; ","")))</f>
        <v/>
      </c>
      <c r="V2243" s="22">
        <f>IF(OR($D2243="",$R2243="Trùng"),"",IF(COUNTIF(ORDERS!$C$2:$C$4995,$D2243)&gt;0,"Có","Không"))</f>
        <v/>
      </c>
      <c r="W2243" s="22">
        <f>IF(OR($D2243="",$R2243="Trùng"),"",COUNTIFS(ORDERS!$C$2:$C$4995,$D2243,ORDERS!$L$2:$L$4995,"Đã chuyển khoản"))</f>
        <v/>
      </c>
      <c r="X2243" s="23">
        <f>IF(OR($D2243="",$R2243="Trùng"),"",SUMIFS(ORDERS!$J$2:$J$4995,ORDERS!$C$2:$C$4995,$D2243,ORDERS!$L$2:$L$4995,"Đã chuyển khoản"))</f>
        <v/>
      </c>
      <c r="Y2243" s="24" t="n"/>
    </row>
    <row r="2244" ht="14.25" customHeight="1" s="40">
      <c r="A2244" s="24" t="n"/>
      <c r="B2244" s="27" t="n"/>
      <c r="C2244" s="24" t="n"/>
      <c r="D2244" s="28" t="n"/>
      <c r="E2244" s="29" t="n"/>
      <c r="F2244" s="24" t="n"/>
      <c r="G2244" s="24" t="n"/>
      <c r="H2244" s="21">
        <f>IF(ISNUMBER($B2244),INT($B2244)-WEEKDAY($B2244,2)+1,"")</f>
        <v/>
      </c>
      <c r="I2244" s="24" t="n"/>
      <c r="J2244" s="22">
        <f t="array" ref="J2244">IF($D2244="","",IF($I2244="","(trống REF)",IFERROR(INDEX(MASTER_SOURCE!$B$2:$B$495,MATCH($I2244,MASTER_SOURCE!$A$2:$A$495,0)),"(REF không có trong MASTER_SOURCE)")))</f>
        <v/>
      </c>
      <c r="K2244" s="22">
        <f t="array" ref="K2244">IF($D2244="","",IFERROR(INDEX(MASTER_SOURCE!$C$2:$C$495,MATCH($I2244,MASTER_SOURCE!$A$2:$A$495,0)),""))</f>
        <v/>
      </c>
      <c r="L2244" s="22">
        <f t="array" ref="L2244">IF($D2244="","",IFERROR(INDEX(MASTER_SOURCE!$D$2:$D$495,MATCH($I2244,MASTER_SOURCE!$A$2:$A$495,0)),""))</f>
        <v/>
      </c>
      <c r="M2244" s="24" t="n"/>
      <c r="N2244" s="24" t="n"/>
      <c r="O2244" s="24" t="n"/>
      <c r="P2244" s="24" t="n"/>
      <c r="Q2244" s="22">
        <f>IF($D2244="","",IF(AND(OR(DANH_MUC!$L$5&lt;&gt;"Có",M2244="Có"),OR(DANH_MUC!$L$6&lt;&gt;"Có",N2244="Có"),OR(DANH_MUC!$L$7&lt;&gt;"Có",O2244="Có"),OR(DANH_MUC!$L$8&lt;&gt;"Có",P2244="Có")),"Có","Không"))</f>
        <v/>
      </c>
      <c r="R2244" s="22">
        <f>IF($D2244="","",IF(COUNTIF($D$2:$D2244,$D2244)&gt;1,"Trùng",""))</f>
        <v/>
      </c>
      <c r="S2244" s="22">
        <f>IF($D2244="","",IF(AND(LEN($D2244)=10,LEFT($D2244,1)="0",ISNUMBER(--$D2244)),"Có","Không"))</f>
        <v/>
      </c>
      <c r="T2244" s="22">
        <f>IF($D2244="","",IF(AND($C2244&lt;&gt;"",$Q2244="Có",$R2244="",$S2244="Có",AND($L2244&lt;&gt;"",OR($L2244&lt;&gt;"Chưa xác định",DANH_MUC!$L$9="Có"))),"Có","Không"))</f>
        <v/>
      </c>
      <c r="U2244" s="22">
        <f>IF(OR($D2244="",$T2244="Có"),"",IF($C2244="","Thiếu họ tên; ","")&amp;IF($S2244&lt;&gt;"Có","SĐT sai định dạng; ","")&amp;IF($R2244="Trùng","Trùng SĐT; ","")&amp;IF($Q2244&lt;&gt;"Có","Thiếu đồng ý bắt buộc; ","")&amp;IF($L2244="","Thiếu/sai Mã REF; ",IF(AND($L2244="Chưa xác định",DANH_MUC!$L$9&lt;&gt;"Có"),"Nguồn chưa xác định; ","")))</f>
        <v/>
      </c>
      <c r="V2244" s="22">
        <f>IF(OR($D2244="",$R2244="Trùng"),"",IF(COUNTIF(ORDERS!$C$2:$C$4995,$D2244)&gt;0,"Có","Không"))</f>
        <v/>
      </c>
      <c r="W2244" s="22">
        <f>IF(OR($D2244="",$R2244="Trùng"),"",COUNTIFS(ORDERS!$C$2:$C$4995,$D2244,ORDERS!$L$2:$L$4995,"Đã chuyển khoản"))</f>
        <v/>
      </c>
      <c r="X2244" s="23">
        <f>IF(OR($D2244="",$R2244="Trùng"),"",SUMIFS(ORDERS!$J$2:$J$4995,ORDERS!$C$2:$C$4995,$D2244,ORDERS!$L$2:$L$4995,"Đã chuyển khoản"))</f>
        <v/>
      </c>
      <c r="Y2244" s="24" t="n"/>
    </row>
    <row r="2245" ht="14.25" customHeight="1" s="40">
      <c r="A2245" s="24" t="n"/>
      <c r="B2245" s="27" t="n"/>
      <c r="C2245" s="24" t="n"/>
      <c r="D2245" s="28" t="n"/>
      <c r="E2245" s="29" t="n"/>
      <c r="F2245" s="24" t="n"/>
      <c r="G2245" s="24" t="n"/>
      <c r="H2245" s="21">
        <f>IF(ISNUMBER($B2245),INT($B2245)-WEEKDAY($B2245,2)+1,"")</f>
        <v/>
      </c>
      <c r="I2245" s="24" t="n"/>
      <c r="J2245" s="22">
        <f t="array" ref="J2245">IF($D2245="","",IF($I2245="","(trống REF)",IFERROR(INDEX(MASTER_SOURCE!$B$2:$B$495,MATCH($I2245,MASTER_SOURCE!$A$2:$A$495,0)),"(REF không có trong MASTER_SOURCE)")))</f>
        <v/>
      </c>
      <c r="K2245" s="22">
        <f t="array" ref="K2245">IF($D2245="","",IFERROR(INDEX(MASTER_SOURCE!$C$2:$C$495,MATCH($I2245,MASTER_SOURCE!$A$2:$A$495,0)),""))</f>
        <v/>
      </c>
      <c r="L2245" s="22">
        <f t="array" ref="L2245">IF($D2245="","",IFERROR(INDEX(MASTER_SOURCE!$D$2:$D$495,MATCH($I2245,MASTER_SOURCE!$A$2:$A$495,0)),""))</f>
        <v/>
      </c>
      <c r="M2245" s="24" t="n"/>
      <c r="N2245" s="24" t="n"/>
      <c r="O2245" s="24" t="n"/>
      <c r="P2245" s="24" t="n"/>
      <c r="Q2245" s="22">
        <f>IF($D2245="","",IF(AND(OR(DANH_MUC!$L$5&lt;&gt;"Có",M2245="Có"),OR(DANH_MUC!$L$6&lt;&gt;"Có",N2245="Có"),OR(DANH_MUC!$L$7&lt;&gt;"Có",O2245="Có"),OR(DANH_MUC!$L$8&lt;&gt;"Có",P2245="Có")),"Có","Không"))</f>
        <v/>
      </c>
      <c r="R2245" s="22">
        <f>IF($D2245="","",IF(COUNTIF($D$2:$D2245,$D2245)&gt;1,"Trùng",""))</f>
        <v/>
      </c>
      <c r="S2245" s="22">
        <f>IF($D2245="","",IF(AND(LEN($D2245)=10,LEFT($D2245,1)="0",ISNUMBER(--$D2245)),"Có","Không"))</f>
        <v/>
      </c>
      <c r="T2245" s="22">
        <f>IF($D2245="","",IF(AND($C2245&lt;&gt;"",$Q2245="Có",$R2245="",$S2245="Có",AND($L2245&lt;&gt;"",OR($L2245&lt;&gt;"Chưa xác định",DANH_MUC!$L$9="Có"))),"Có","Không"))</f>
        <v/>
      </c>
      <c r="U2245" s="22">
        <f>IF(OR($D2245="",$T2245="Có"),"",IF($C2245="","Thiếu họ tên; ","")&amp;IF($S2245&lt;&gt;"Có","SĐT sai định dạng; ","")&amp;IF($R2245="Trùng","Trùng SĐT; ","")&amp;IF($Q2245&lt;&gt;"Có","Thiếu đồng ý bắt buộc; ","")&amp;IF($L2245="","Thiếu/sai Mã REF; ",IF(AND($L2245="Chưa xác định",DANH_MUC!$L$9&lt;&gt;"Có"),"Nguồn chưa xác định; ","")))</f>
        <v/>
      </c>
      <c r="V2245" s="22">
        <f>IF(OR($D2245="",$R2245="Trùng"),"",IF(COUNTIF(ORDERS!$C$2:$C$4995,$D2245)&gt;0,"Có","Không"))</f>
        <v/>
      </c>
      <c r="W2245" s="22">
        <f>IF(OR($D2245="",$R2245="Trùng"),"",COUNTIFS(ORDERS!$C$2:$C$4995,$D2245,ORDERS!$L$2:$L$4995,"Đã chuyển khoản"))</f>
        <v/>
      </c>
      <c r="X2245" s="23">
        <f>IF(OR($D2245="",$R2245="Trùng"),"",SUMIFS(ORDERS!$J$2:$J$4995,ORDERS!$C$2:$C$4995,$D2245,ORDERS!$L$2:$L$4995,"Đã chuyển khoản"))</f>
        <v/>
      </c>
      <c r="Y2245" s="24" t="n"/>
    </row>
    <row r="2246" ht="14.25" customHeight="1" s="40">
      <c r="A2246" s="24" t="n"/>
      <c r="B2246" s="27" t="n"/>
      <c r="C2246" s="24" t="n"/>
      <c r="D2246" s="28" t="n"/>
      <c r="E2246" s="29" t="n"/>
      <c r="F2246" s="24" t="n"/>
      <c r="G2246" s="24" t="n"/>
      <c r="H2246" s="21">
        <f>IF(ISNUMBER($B2246),INT($B2246)-WEEKDAY($B2246,2)+1,"")</f>
        <v/>
      </c>
      <c r="I2246" s="24" t="n"/>
      <c r="J2246" s="22">
        <f t="array" ref="J2246">IF($D2246="","",IF($I2246="","(trống REF)",IFERROR(INDEX(MASTER_SOURCE!$B$2:$B$495,MATCH($I2246,MASTER_SOURCE!$A$2:$A$495,0)),"(REF không có trong MASTER_SOURCE)")))</f>
        <v/>
      </c>
      <c r="K2246" s="22">
        <f t="array" ref="K2246">IF($D2246="","",IFERROR(INDEX(MASTER_SOURCE!$C$2:$C$495,MATCH($I2246,MASTER_SOURCE!$A$2:$A$495,0)),""))</f>
        <v/>
      </c>
      <c r="L2246" s="22">
        <f t="array" ref="L2246">IF($D2246="","",IFERROR(INDEX(MASTER_SOURCE!$D$2:$D$495,MATCH($I2246,MASTER_SOURCE!$A$2:$A$495,0)),""))</f>
        <v/>
      </c>
      <c r="M2246" s="24" t="n"/>
      <c r="N2246" s="24" t="n"/>
      <c r="O2246" s="24" t="n"/>
      <c r="P2246" s="24" t="n"/>
      <c r="Q2246" s="22">
        <f>IF($D2246="","",IF(AND(OR(DANH_MUC!$L$5&lt;&gt;"Có",M2246="Có"),OR(DANH_MUC!$L$6&lt;&gt;"Có",N2246="Có"),OR(DANH_MUC!$L$7&lt;&gt;"Có",O2246="Có"),OR(DANH_MUC!$L$8&lt;&gt;"Có",P2246="Có")),"Có","Không"))</f>
        <v/>
      </c>
      <c r="R2246" s="22">
        <f>IF($D2246="","",IF(COUNTIF($D$2:$D2246,$D2246)&gt;1,"Trùng",""))</f>
        <v/>
      </c>
      <c r="S2246" s="22">
        <f>IF($D2246="","",IF(AND(LEN($D2246)=10,LEFT($D2246,1)="0",ISNUMBER(--$D2246)),"Có","Không"))</f>
        <v/>
      </c>
      <c r="T2246" s="22">
        <f>IF($D2246="","",IF(AND($C2246&lt;&gt;"",$Q2246="Có",$R2246="",$S2246="Có",AND($L2246&lt;&gt;"",OR($L2246&lt;&gt;"Chưa xác định",DANH_MUC!$L$9="Có"))),"Có","Không"))</f>
        <v/>
      </c>
      <c r="U2246" s="22">
        <f>IF(OR($D2246="",$T2246="Có"),"",IF($C2246="","Thiếu họ tên; ","")&amp;IF($S2246&lt;&gt;"Có","SĐT sai định dạng; ","")&amp;IF($R2246="Trùng","Trùng SĐT; ","")&amp;IF($Q2246&lt;&gt;"Có","Thiếu đồng ý bắt buộc; ","")&amp;IF($L2246="","Thiếu/sai Mã REF; ",IF(AND($L2246="Chưa xác định",DANH_MUC!$L$9&lt;&gt;"Có"),"Nguồn chưa xác định; ","")))</f>
        <v/>
      </c>
      <c r="V2246" s="22">
        <f>IF(OR($D2246="",$R2246="Trùng"),"",IF(COUNTIF(ORDERS!$C$2:$C$4995,$D2246)&gt;0,"Có","Không"))</f>
        <v/>
      </c>
      <c r="W2246" s="22">
        <f>IF(OR($D2246="",$R2246="Trùng"),"",COUNTIFS(ORDERS!$C$2:$C$4995,$D2246,ORDERS!$L$2:$L$4995,"Đã chuyển khoản"))</f>
        <v/>
      </c>
      <c r="X2246" s="23">
        <f>IF(OR($D2246="",$R2246="Trùng"),"",SUMIFS(ORDERS!$J$2:$J$4995,ORDERS!$C$2:$C$4995,$D2246,ORDERS!$L$2:$L$4995,"Đã chuyển khoản"))</f>
        <v/>
      </c>
      <c r="Y2246" s="24" t="n"/>
    </row>
    <row r="2247" ht="14.25" customHeight="1" s="40">
      <c r="A2247" s="24" t="n"/>
      <c r="B2247" s="27" t="n"/>
      <c r="C2247" s="24" t="n"/>
      <c r="D2247" s="28" t="n"/>
      <c r="E2247" s="29" t="n"/>
      <c r="F2247" s="24" t="n"/>
      <c r="G2247" s="24" t="n"/>
      <c r="H2247" s="21">
        <f>IF(ISNUMBER($B2247),INT($B2247)-WEEKDAY($B2247,2)+1,"")</f>
        <v/>
      </c>
      <c r="I2247" s="24" t="n"/>
      <c r="J2247" s="22">
        <f t="array" ref="J2247">IF($D2247="","",IF($I2247="","(trống REF)",IFERROR(INDEX(MASTER_SOURCE!$B$2:$B$495,MATCH($I2247,MASTER_SOURCE!$A$2:$A$495,0)),"(REF không có trong MASTER_SOURCE)")))</f>
        <v/>
      </c>
      <c r="K2247" s="22">
        <f t="array" ref="K2247">IF($D2247="","",IFERROR(INDEX(MASTER_SOURCE!$C$2:$C$495,MATCH($I2247,MASTER_SOURCE!$A$2:$A$495,0)),""))</f>
        <v/>
      </c>
      <c r="L2247" s="22">
        <f t="array" ref="L2247">IF($D2247="","",IFERROR(INDEX(MASTER_SOURCE!$D$2:$D$495,MATCH($I2247,MASTER_SOURCE!$A$2:$A$495,0)),""))</f>
        <v/>
      </c>
      <c r="M2247" s="24" t="n"/>
      <c r="N2247" s="24" t="n"/>
      <c r="O2247" s="24" t="n"/>
      <c r="P2247" s="24" t="n"/>
      <c r="Q2247" s="22">
        <f>IF($D2247="","",IF(AND(OR(DANH_MUC!$L$5&lt;&gt;"Có",M2247="Có"),OR(DANH_MUC!$L$6&lt;&gt;"Có",N2247="Có"),OR(DANH_MUC!$L$7&lt;&gt;"Có",O2247="Có"),OR(DANH_MUC!$L$8&lt;&gt;"Có",P2247="Có")),"Có","Không"))</f>
        <v/>
      </c>
      <c r="R2247" s="22">
        <f>IF($D2247="","",IF(COUNTIF($D$2:$D2247,$D2247)&gt;1,"Trùng",""))</f>
        <v/>
      </c>
      <c r="S2247" s="22">
        <f>IF($D2247="","",IF(AND(LEN($D2247)=10,LEFT($D2247,1)="0",ISNUMBER(--$D2247)),"Có","Không"))</f>
        <v/>
      </c>
      <c r="T2247" s="22">
        <f>IF($D2247="","",IF(AND($C2247&lt;&gt;"",$Q2247="Có",$R2247="",$S2247="Có",AND($L2247&lt;&gt;"",OR($L2247&lt;&gt;"Chưa xác định",DANH_MUC!$L$9="Có"))),"Có","Không"))</f>
        <v/>
      </c>
      <c r="U2247" s="22">
        <f>IF(OR($D2247="",$T2247="Có"),"",IF($C2247="","Thiếu họ tên; ","")&amp;IF($S2247&lt;&gt;"Có","SĐT sai định dạng; ","")&amp;IF($R2247="Trùng","Trùng SĐT; ","")&amp;IF($Q2247&lt;&gt;"Có","Thiếu đồng ý bắt buộc; ","")&amp;IF($L2247="","Thiếu/sai Mã REF; ",IF(AND($L2247="Chưa xác định",DANH_MUC!$L$9&lt;&gt;"Có"),"Nguồn chưa xác định; ","")))</f>
        <v/>
      </c>
      <c r="V2247" s="22">
        <f>IF(OR($D2247="",$R2247="Trùng"),"",IF(COUNTIF(ORDERS!$C$2:$C$4995,$D2247)&gt;0,"Có","Không"))</f>
        <v/>
      </c>
      <c r="W2247" s="22">
        <f>IF(OR($D2247="",$R2247="Trùng"),"",COUNTIFS(ORDERS!$C$2:$C$4995,$D2247,ORDERS!$L$2:$L$4995,"Đã chuyển khoản"))</f>
        <v/>
      </c>
      <c r="X2247" s="23">
        <f>IF(OR($D2247="",$R2247="Trùng"),"",SUMIFS(ORDERS!$J$2:$J$4995,ORDERS!$C$2:$C$4995,$D2247,ORDERS!$L$2:$L$4995,"Đã chuyển khoản"))</f>
        <v/>
      </c>
      <c r="Y2247" s="24" t="n"/>
    </row>
    <row r="2248" ht="14.25" customHeight="1" s="40">
      <c r="A2248" s="24" t="n"/>
      <c r="B2248" s="27" t="n"/>
      <c r="C2248" s="24" t="n"/>
      <c r="D2248" s="28" t="n"/>
      <c r="E2248" s="29" t="n"/>
      <c r="F2248" s="24" t="n"/>
      <c r="G2248" s="24" t="n"/>
      <c r="H2248" s="21">
        <f>IF(ISNUMBER($B2248),INT($B2248)-WEEKDAY($B2248,2)+1,"")</f>
        <v/>
      </c>
      <c r="I2248" s="24" t="n"/>
      <c r="J2248" s="22">
        <f t="array" ref="J2248">IF($D2248="","",IF($I2248="","(trống REF)",IFERROR(INDEX(MASTER_SOURCE!$B$2:$B$495,MATCH($I2248,MASTER_SOURCE!$A$2:$A$495,0)),"(REF không có trong MASTER_SOURCE)")))</f>
        <v/>
      </c>
      <c r="K2248" s="22">
        <f t="array" ref="K2248">IF($D2248="","",IFERROR(INDEX(MASTER_SOURCE!$C$2:$C$495,MATCH($I2248,MASTER_SOURCE!$A$2:$A$495,0)),""))</f>
        <v/>
      </c>
      <c r="L2248" s="22">
        <f t="array" ref="L2248">IF($D2248="","",IFERROR(INDEX(MASTER_SOURCE!$D$2:$D$495,MATCH($I2248,MASTER_SOURCE!$A$2:$A$495,0)),""))</f>
        <v/>
      </c>
      <c r="M2248" s="24" t="n"/>
      <c r="N2248" s="24" t="n"/>
      <c r="O2248" s="24" t="n"/>
      <c r="P2248" s="24" t="n"/>
      <c r="Q2248" s="22">
        <f>IF($D2248="","",IF(AND(OR(DANH_MUC!$L$5&lt;&gt;"Có",M2248="Có"),OR(DANH_MUC!$L$6&lt;&gt;"Có",N2248="Có"),OR(DANH_MUC!$L$7&lt;&gt;"Có",O2248="Có"),OR(DANH_MUC!$L$8&lt;&gt;"Có",P2248="Có")),"Có","Không"))</f>
        <v/>
      </c>
      <c r="R2248" s="22">
        <f>IF($D2248="","",IF(COUNTIF($D$2:$D2248,$D2248)&gt;1,"Trùng",""))</f>
        <v/>
      </c>
      <c r="S2248" s="22">
        <f>IF($D2248="","",IF(AND(LEN($D2248)=10,LEFT($D2248,1)="0",ISNUMBER(--$D2248)),"Có","Không"))</f>
        <v/>
      </c>
      <c r="T2248" s="22">
        <f>IF($D2248="","",IF(AND($C2248&lt;&gt;"",$Q2248="Có",$R2248="",$S2248="Có",AND($L2248&lt;&gt;"",OR($L2248&lt;&gt;"Chưa xác định",DANH_MUC!$L$9="Có"))),"Có","Không"))</f>
        <v/>
      </c>
      <c r="U2248" s="22">
        <f>IF(OR($D2248="",$T2248="Có"),"",IF($C2248="","Thiếu họ tên; ","")&amp;IF($S2248&lt;&gt;"Có","SĐT sai định dạng; ","")&amp;IF($R2248="Trùng","Trùng SĐT; ","")&amp;IF($Q2248&lt;&gt;"Có","Thiếu đồng ý bắt buộc; ","")&amp;IF($L2248="","Thiếu/sai Mã REF; ",IF(AND($L2248="Chưa xác định",DANH_MUC!$L$9&lt;&gt;"Có"),"Nguồn chưa xác định; ","")))</f>
        <v/>
      </c>
      <c r="V2248" s="22">
        <f>IF(OR($D2248="",$R2248="Trùng"),"",IF(COUNTIF(ORDERS!$C$2:$C$4995,$D2248)&gt;0,"Có","Không"))</f>
        <v/>
      </c>
      <c r="W2248" s="22">
        <f>IF(OR($D2248="",$R2248="Trùng"),"",COUNTIFS(ORDERS!$C$2:$C$4995,$D2248,ORDERS!$L$2:$L$4995,"Đã chuyển khoản"))</f>
        <v/>
      </c>
      <c r="X2248" s="23">
        <f>IF(OR($D2248="",$R2248="Trùng"),"",SUMIFS(ORDERS!$J$2:$J$4995,ORDERS!$C$2:$C$4995,$D2248,ORDERS!$L$2:$L$4995,"Đã chuyển khoản"))</f>
        <v/>
      </c>
      <c r="Y2248" s="24" t="n"/>
    </row>
    <row r="2249" ht="14.25" customHeight="1" s="40">
      <c r="A2249" s="24" t="n"/>
      <c r="B2249" s="27" t="n"/>
      <c r="C2249" s="24" t="n"/>
      <c r="D2249" s="28" t="n"/>
      <c r="E2249" s="29" t="n"/>
      <c r="F2249" s="24" t="n"/>
      <c r="G2249" s="24" t="n"/>
      <c r="H2249" s="21">
        <f>IF(ISNUMBER($B2249),INT($B2249)-WEEKDAY($B2249,2)+1,"")</f>
        <v/>
      </c>
      <c r="I2249" s="24" t="n"/>
      <c r="J2249" s="22">
        <f t="array" ref="J2249">IF($D2249="","",IF($I2249="","(trống REF)",IFERROR(INDEX(MASTER_SOURCE!$B$2:$B$495,MATCH($I2249,MASTER_SOURCE!$A$2:$A$495,0)),"(REF không có trong MASTER_SOURCE)")))</f>
        <v/>
      </c>
      <c r="K2249" s="22">
        <f t="array" ref="K2249">IF($D2249="","",IFERROR(INDEX(MASTER_SOURCE!$C$2:$C$495,MATCH($I2249,MASTER_SOURCE!$A$2:$A$495,0)),""))</f>
        <v/>
      </c>
      <c r="L2249" s="22">
        <f t="array" ref="L2249">IF($D2249="","",IFERROR(INDEX(MASTER_SOURCE!$D$2:$D$495,MATCH($I2249,MASTER_SOURCE!$A$2:$A$495,0)),""))</f>
        <v/>
      </c>
      <c r="M2249" s="24" t="n"/>
      <c r="N2249" s="24" t="n"/>
      <c r="O2249" s="24" t="n"/>
      <c r="P2249" s="24" t="n"/>
      <c r="Q2249" s="22">
        <f>IF($D2249="","",IF(AND(OR(DANH_MUC!$L$5&lt;&gt;"Có",M2249="Có"),OR(DANH_MUC!$L$6&lt;&gt;"Có",N2249="Có"),OR(DANH_MUC!$L$7&lt;&gt;"Có",O2249="Có"),OR(DANH_MUC!$L$8&lt;&gt;"Có",P2249="Có")),"Có","Không"))</f>
        <v/>
      </c>
      <c r="R2249" s="22">
        <f>IF($D2249="","",IF(COUNTIF($D$2:$D2249,$D2249)&gt;1,"Trùng",""))</f>
        <v/>
      </c>
      <c r="S2249" s="22">
        <f>IF($D2249="","",IF(AND(LEN($D2249)=10,LEFT($D2249,1)="0",ISNUMBER(--$D2249)),"Có","Không"))</f>
        <v/>
      </c>
      <c r="T2249" s="22">
        <f>IF($D2249="","",IF(AND($C2249&lt;&gt;"",$Q2249="Có",$R2249="",$S2249="Có",AND($L2249&lt;&gt;"",OR($L2249&lt;&gt;"Chưa xác định",DANH_MUC!$L$9="Có"))),"Có","Không"))</f>
        <v/>
      </c>
      <c r="U2249" s="22">
        <f>IF(OR($D2249="",$T2249="Có"),"",IF($C2249="","Thiếu họ tên; ","")&amp;IF($S2249&lt;&gt;"Có","SĐT sai định dạng; ","")&amp;IF($R2249="Trùng","Trùng SĐT; ","")&amp;IF($Q2249&lt;&gt;"Có","Thiếu đồng ý bắt buộc; ","")&amp;IF($L2249="","Thiếu/sai Mã REF; ",IF(AND($L2249="Chưa xác định",DANH_MUC!$L$9&lt;&gt;"Có"),"Nguồn chưa xác định; ","")))</f>
        <v/>
      </c>
      <c r="V2249" s="22">
        <f>IF(OR($D2249="",$R2249="Trùng"),"",IF(COUNTIF(ORDERS!$C$2:$C$4995,$D2249)&gt;0,"Có","Không"))</f>
        <v/>
      </c>
      <c r="W2249" s="22">
        <f>IF(OR($D2249="",$R2249="Trùng"),"",COUNTIFS(ORDERS!$C$2:$C$4995,$D2249,ORDERS!$L$2:$L$4995,"Đã chuyển khoản"))</f>
        <v/>
      </c>
      <c r="X2249" s="23">
        <f>IF(OR($D2249="",$R2249="Trùng"),"",SUMIFS(ORDERS!$J$2:$J$4995,ORDERS!$C$2:$C$4995,$D2249,ORDERS!$L$2:$L$4995,"Đã chuyển khoản"))</f>
        <v/>
      </c>
      <c r="Y2249" s="24" t="n"/>
    </row>
    <row r="2250" ht="14.25" customHeight="1" s="40">
      <c r="A2250" s="24" t="n"/>
      <c r="B2250" s="27" t="n"/>
      <c r="C2250" s="24" t="n"/>
      <c r="D2250" s="28" t="n"/>
      <c r="E2250" s="29" t="n"/>
      <c r="F2250" s="24" t="n"/>
      <c r="G2250" s="24" t="n"/>
      <c r="H2250" s="21">
        <f>IF(ISNUMBER($B2250),INT($B2250)-WEEKDAY($B2250,2)+1,"")</f>
        <v/>
      </c>
      <c r="I2250" s="24" t="n"/>
      <c r="J2250" s="22">
        <f t="array" ref="J2250">IF($D2250="","",IF($I2250="","(trống REF)",IFERROR(INDEX(MASTER_SOURCE!$B$2:$B$495,MATCH($I2250,MASTER_SOURCE!$A$2:$A$495,0)),"(REF không có trong MASTER_SOURCE)")))</f>
        <v/>
      </c>
      <c r="K2250" s="22">
        <f t="array" ref="K2250">IF($D2250="","",IFERROR(INDEX(MASTER_SOURCE!$C$2:$C$495,MATCH($I2250,MASTER_SOURCE!$A$2:$A$495,0)),""))</f>
        <v/>
      </c>
      <c r="L2250" s="22">
        <f t="array" ref="L2250">IF($D2250="","",IFERROR(INDEX(MASTER_SOURCE!$D$2:$D$495,MATCH($I2250,MASTER_SOURCE!$A$2:$A$495,0)),""))</f>
        <v/>
      </c>
      <c r="M2250" s="24" t="n"/>
      <c r="N2250" s="24" t="n"/>
      <c r="O2250" s="24" t="n"/>
      <c r="P2250" s="24" t="n"/>
      <c r="Q2250" s="22">
        <f>IF($D2250="","",IF(AND(OR(DANH_MUC!$L$5&lt;&gt;"Có",M2250="Có"),OR(DANH_MUC!$L$6&lt;&gt;"Có",N2250="Có"),OR(DANH_MUC!$L$7&lt;&gt;"Có",O2250="Có"),OR(DANH_MUC!$L$8&lt;&gt;"Có",P2250="Có")),"Có","Không"))</f>
        <v/>
      </c>
      <c r="R2250" s="22">
        <f>IF($D2250="","",IF(COUNTIF($D$2:$D2250,$D2250)&gt;1,"Trùng",""))</f>
        <v/>
      </c>
      <c r="S2250" s="22">
        <f>IF($D2250="","",IF(AND(LEN($D2250)=10,LEFT($D2250,1)="0",ISNUMBER(--$D2250)),"Có","Không"))</f>
        <v/>
      </c>
      <c r="T2250" s="22">
        <f>IF($D2250="","",IF(AND($C2250&lt;&gt;"",$Q2250="Có",$R2250="",$S2250="Có",AND($L2250&lt;&gt;"",OR($L2250&lt;&gt;"Chưa xác định",DANH_MUC!$L$9="Có"))),"Có","Không"))</f>
        <v/>
      </c>
      <c r="U2250" s="22">
        <f>IF(OR($D2250="",$T2250="Có"),"",IF($C2250="","Thiếu họ tên; ","")&amp;IF($S2250&lt;&gt;"Có","SĐT sai định dạng; ","")&amp;IF($R2250="Trùng","Trùng SĐT; ","")&amp;IF($Q2250&lt;&gt;"Có","Thiếu đồng ý bắt buộc; ","")&amp;IF($L2250="","Thiếu/sai Mã REF; ",IF(AND($L2250="Chưa xác định",DANH_MUC!$L$9&lt;&gt;"Có"),"Nguồn chưa xác định; ","")))</f>
        <v/>
      </c>
      <c r="V2250" s="22">
        <f>IF(OR($D2250="",$R2250="Trùng"),"",IF(COUNTIF(ORDERS!$C$2:$C$4995,$D2250)&gt;0,"Có","Không"))</f>
        <v/>
      </c>
      <c r="W2250" s="22">
        <f>IF(OR($D2250="",$R2250="Trùng"),"",COUNTIFS(ORDERS!$C$2:$C$4995,$D2250,ORDERS!$L$2:$L$4995,"Đã chuyển khoản"))</f>
        <v/>
      </c>
      <c r="X2250" s="23">
        <f>IF(OR($D2250="",$R2250="Trùng"),"",SUMIFS(ORDERS!$J$2:$J$4995,ORDERS!$C$2:$C$4995,$D2250,ORDERS!$L$2:$L$4995,"Đã chuyển khoản"))</f>
        <v/>
      </c>
      <c r="Y2250" s="24" t="n"/>
    </row>
    <row r="2251" ht="14.25" customHeight="1" s="40">
      <c r="A2251" s="24" t="n"/>
      <c r="B2251" s="27" t="n"/>
      <c r="C2251" s="24" t="n"/>
      <c r="D2251" s="28" t="n"/>
      <c r="E2251" s="29" t="n"/>
      <c r="F2251" s="24" t="n"/>
      <c r="G2251" s="24" t="n"/>
      <c r="H2251" s="21">
        <f>IF(ISNUMBER($B2251),INT($B2251)-WEEKDAY($B2251,2)+1,"")</f>
        <v/>
      </c>
      <c r="I2251" s="24" t="n"/>
      <c r="J2251" s="22">
        <f t="array" ref="J2251">IF($D2251="","",IF($I2251="","(trống REF)",IFERROR(INDEX(MASTER_SOURCE!$B$2:$B$495,MATCH($I2251,MASTER_SOURCE!$A$2:$A$495,0)),"(REF không có trong MASTER_SOURCE)")))</f>
        <v/>
      </c>
      <c r="K2251" s="22">
        <f t="array" ref="K2251">IF($D2251="","",IFERROR(INDEX(MASTER_SOURCE!$C$2:$C$495,MATCH($I2251,MASTER_SOURCE!$A$2:$A$495,0)),""))</f>
        <v/>
      </c>
      <c r="L2251" s="22">
        <f t="array" ref="L2251">IF($D2251="","",IFERROR(INDEX(MASTER_SOURCE!$D$2:$D$495,MATCH($I2251,MASTER_SOURCE!$A$2:$A$495,0)),""))</f>
        <v/>
      </c>
      <c r="M2251" s="24" t="n"/>
      <c r="N2251" s="24" t="n"/>
      <c r="O2251" s="24" t="n"/>
      <c r="P2251" s="24" t="n"/>
      <c r="Q2251" s="22">
        <f>IF($D2251="","",IF(AND(OR(DANH_MUC!$L$5&lt;&gt;"Có",M2251="Có"),OR(DANH_MUC!$L$6&lt;&gt;"Có",N2251="Có"),OR(DANH_MUC!$L$7&lt;&gt;"Có",O2251="Có"),OR(DANH_MUC!$L$8&lt;&gt;"Có",P2251="Có")),"Có","Không"))</f>
        <v/>
      </c>
      <c r="R2251" s="22">
        <f>IF($D2251="","",IF(COUNTIF($D$2:$D2251,$D2251)&gt;1,"Trùng",""))</f>
        <v/>
      </c>
      <c r="S2251" s="22">
        <f>IF($D2251="","",IF(AND(LEN($D2251)=10,LEFT($D2251,1)="0",ISNUMBER(--$D2251)),"Có","Không"))</f>
        <v/>
      </c>
      <c r="T2251" s="22">
        <f>IF($D2251="","",IF(AND($C2251&lt;&gt;"",$Q2251="Có",$R2251="",$S2251="Có",AND($L2251&lt;&gt;"",OR($L2251&lt;&gt;"Chưa xác định",DANH_MUC!$L$9="Có"))),"Có","Không"))</f>
        <v/>
      </c>
      <c r="U2251" s="22">
        <f>IF(OR($D2251="",$T2251="Có"),"",IF($C2251="","Thiếu họ tên; ","")&amp;IF($S2251&lt;&gt;"Có","SĐT sai định dạng; ","")&amp;IF($R2251="Trùng","Trùng SĐT; ","")&amp;IF($Q2251&lt;&gt;"Có","Thiếu đồng ý bắt buộc; ","")&amp;IF($L2251="","Thiếu/sai Mã REF; ",IF(AND($L2251="Chưa xác định",DANH_MUC!$L$9&lt;&gt;"Có"),"Nguồn chưa xác định; ","")))</f>
        <v/>
      </c>
      <c r="V2251" s="22">
        <f>IF(OR($D2251="",$R2251="Trùng"),"",IF(COUNTIF(ORDERS!$C$2:$C$4995,$D2251)&gt;0,"Có","Không"))</f>
        <v/>
      </c>
      <c r="W2251" s="22">
        <f>IF(OR($D2251="",$R2251="Trùng"),"",COUNTIFS(ORDERS!$C$2:$C$4995,$D2251,ORDERS!$L$2:$L$4995,"Đã chuyển khoản"))</f>
        <v/>
      </c>
      <c r="X2251" s="23">
        <f>IF(OR($D2251="",$R2251="Trùng"),"",SUMIFS(ORDERS!$J$2:$J$4995,ORDERS!$C$2:$C$4995,$D2251,ORDERS!$L$2:$L$4995,"Đã chuyển khoản"))</f>
        <v/>
      </c>
      <c r="Y2251" s="24" t="n"/>
    </row>
    <row r="2252" ht="14.25" customHeight="1" s="40">
      <c r="A2252" s="24" t="n"/>
      <c r="B2252" s="27" t="n"/>
      <c r="C2252" s="24" t="n"/>
      <c r="D2252" s="28" t="n"/>
      <c r="E2252" s="29" t="n"/>
      <c r="F2252" s="24" t="n"/>
      <c r="G2252" s="24" t="n"/>
      <c r="H2252" s="21">
        <f>IF(ISNUMBER($B2252),INT($B2252)-WEEKDAY($B2252,2)+1,"")</f>
        <v/>
      </c>
      <c r="I2252" s="24" t="n"/>
      <c r="J2252" s="22">
        <f t="array" ref="J2252">IF($D2252="","",IF($I2252="","(trống REF)",IFERROR(INDEX(MASTER_SOURCE!$B$2:$B$495,MATCH($I2252,MASTER_SOURCE!$A$2:$A$495,0)),"(REF không có trong MASTER_SOURCE)")))</f>
        <v/>
      </c>
      <c r="K2252" s="22">
        <f t="array" ref="K2252">IF($D2252="","",IFERROR(INDEX(MASTER_SOURCE!$C$2:$C$495,MATCH($I2252,MASTER_SOURCE!$A$2:$A$495,0)),""))</f>
        <v/>
      </c>
      <c r="L2252" s="22">
        <f t="array" ref="L2252">IF($D2252="","",IFERROR(INDEX(MASTER_SOURCE!$D$2:$D$495,MATCH($I2252,MASTER_SOURCE!$A$2:$A$495,0)),""))</f>
        <v/>
      </c>
      <c r="M2252" s="24" t="n"/>
      <c r="N2252" s="24" t="n"/>
      <c r="O2252" s="24" t="n"/>
      <c r="P2252" s="24" t="n"/>
      <c r="Q2252" s="22">
        <f>IF($D2252="","",IF(AND(OR(DANH_MUC!$L$5&lt;&gt;"Có",M2252="Có"),OR(DANH_MUC!$L$6&lt;&gt;"Có",N2252="Có"),OR(DANH_MUC!$L$7&lt;&gt;"Có",O2252="Có"),OR(DANH_MUC!$L$8&lt;&gt;"Có",P2252="Có")),"Có","Không"))</f>
        <v/>
      </c>
      <c r="R2252" s="22">
        <f>IF($D2252="","",IF(COUNTIF($D$2:$D2252,$D2252)&gt;1,"Trùng",""))</f>
        <v/>
      </c>
      <c r="S2252" s="22">
        <f>IF($D2252="","",IF(AND(LEN($D2252)=10,LEFT($D2252,1)="0",ISNUMBER(--$D2252)),"Có","Không"))</f>
        <v/>
      </c>
      <c r="T2252" s="22">
        <f>IF($D2252="","",IF(AND($C2252&lt;&gt;"",$Q2252="Có",$R2252="",$S2252="Có",AND($L2252&lt;&gt;"",OR($L2252&lt;&gt;"Chưa xác định",DANH_MUC!$L$9="Có"))),"Có","Không"))</f>
        <v/>
      </c>
      <c r="U2252" s="22">
        <f>IF(OR($D2252="",$T2252="Có"),"",IF($C2252="","Thiếu họ tên; ","")&amp;IF($S2252&lt;&gt;"Có","SĐT sai định dạng; ","")&amp;IF($R2252="Trùng","Trùng SĐT; ","")&amp;IF($Q2252&lt;&gt;"Có","Thiếu đồng ý bắt buộc; ","")&amp;IF($L2252="","Thiếu/sai Mã REF; ",IF(AND($L2252="Chưa xác định",DANH_MUC!$L$9&lt;&gt;"Có"),"Nguồn chưa xác định; ","")))</f>
        <v/>
      </c>
      <c r="V2252" s="22">
        <f>IF(OR($D2252="",$R2252="Trùng"),"",IF(COUNTIF(ORDERS!$C$2:$C$4995,$D2252)&gt;0,"Có","Không"))</f>
        <v/>
      </c>
      <c r="W2252" s="22">
        <f>IF(OR($D2252="",$R2252="Trùng"),"",COUNTIFS(ORDERS!$C$2:$C$4995,$D2252,ORDERS!$L$2:$L$4995,"Đã chuyển khoản"))</f>
        <v/>
      </c>
      <c r="X2252" s="23">
        <f>IF(OR($D2252="",$R2252="Trùng"),"",SUMIFS(ORDERS!$J$2:$J$4995,ORDERS!$C$2:$C$4995,$D2252,ORDERS!$L$2:$L$4995,"Đã chuyển khoản"))</f>
        <v/>
      </c>
      <c r="Y2252" s="24" t="n"/>
    </row>
    <row r="2253" ht="14.25" customHeight="1" s="40">
      <c r="A2253" s="24" t="n"/>
      <c r="B2253" s="27" t="n"/>
      <c r="C2253" s="24" t="n"/>
      <c r="D2253" s="28" t="n"/>
      <c r="E2253" s="29" t="n"/>
      <c r="F2253" s="24" t="n"/>
      <c r="G2253" s="24" t="n"/>
      <c r="H2253" s="21">
        <f>IF(ISNUMBER($B2253),INT($B2253)-WEEKDAY($B2253,2)+1,"")</f>
        <v/>
      </c>
      <c r="I2253" s="24" t="n"/>
      <c r="J2253" s="22">
        <f t="array" ref="J2253">IF($D2253="","",IF($I2253="","(trống REF)",IFERROR(INDEX(MASTER_SOURCE!$B$2:$B$495,MATCH($I2253,MASTER_SOURCE!$A$2:$A$495,0)),"(REF không có trong MASTER_SOURCE)")))</f>
        <v/>
      </c>
      <c r="K2253" s="22">
        <f t="array" ref="K2253">IF($D2253="","",IFERROR(INDEX(MASTER_SOURCE!$C$2:$C$495,MATCH($I2253,MASTER_SOURCE!$A$2:$A$495,0)),""))</f>
        <v/>
      </c>
      <c r="L2253" s="22">
        <f t="array" ref="L2253">IF($D2253="","",IFERROR(INDEX(MASTER_SOURCE!$D$2:$D$495,MATCH($I2253,MASTER_SOURCE!$A$2:$A$495,0)),""))</f>
        <v/>
      </c>
      <c r="M2253" s="24" t="n"/>
      <c r="N2253" s="24" t="n"/>
      <c r="O2253" s="24" t="n"/>
      <c r="P2253" s="24" t="n"/>
      <c r="Q2253" s="22">
        <f>IF($D2253="","",IF(AND(OR(DANH_MUC!$L$5&lt;&gt;"Có",M2253="Có"),OR(DANH_MUC!$L$6&lt;&gt;"Có",N2253="Có"),OR(DANH_MUC!$L$7&lt;&gt;"Có",O2253="Có"),OR(DANH_MUC!$L$8&lt;&gt;"Có",P2253="Có")),"Có","Không"))</f>
        <v/>
      </c>
      <c r="R2253" s="22">
        <f>IF($D2253="","",IF(COUNTIF($D$2:$D2253,$D2253)&gt;1,"Trùng",""))</f>
        <v/>
      </c>
      <c r="S2253" s="22">
        <f>IF($D2253="","",IF(AND(LEN($D2253)=10,LEFT($D2253,1)="0",ISNUMBER(--$D2253)),"Có","Không"))</f>
        <v/>
      </c>
      <c r="T2253" s="22">
        <f>IF($D2253="","",IF(AND($C2253&lt;&gt;"",$Q2253="Có",$R2253="",$S2253="Có",AND($L2253&lt;&gt;"",OR($L2253&lt;&gt;"Chưa xác định",DANH_MUC!$L$9="Có"))),"Có","Không"))</f>
        <v/>
      </c>
      <c r="U2253" s="22">
        <f>IF(OR($D2253="",$T2253="Có"),"",IF($C2253="","Thiếu họ tên; ","")&amp;IF($S2253&lt;&gt;"Có","SĐT sai định dạng; ","")&amp;IF($R2253="Trùng","Trùng SĐT; ","")&amp;IF($Q2253&lt;&gt;"Có","Thiếu đồng ý bắt buộc; ","")&amp;IF($L2253="","Thiếu/sai Mã REF; ",IF(AND($L2253="Chưa xác định",DANH_MUC!$L$9&lt;&gt;"Có"),"Nguồn chưa xác định; ","")))</f>
        <v/>
      </c>
      <c r="V2253" s="22">
        <f>IF(OR($D2253="",$R2253="Trùng"),"",IF(COUNTIF(ORDERS!$C$2:$C$4995,$D2253)&gt;0,"Có","Không"))</f>
        <v/>
      </c>
      <c r="W2253" s="22">
        <f>IF(OR($D2253="",$R2253="Trùng"),"",COUNTIFS(ORDERS!$C$2:$C$4995,$D2253,ORDERS!$L$2:$L$4995,"Đã chuyển khoản"))</f>
        <v/>
      </c>
      <c r="X2253" s="23">
        <f>IF(OR($D2253="",$R2253="Trùng"),"",SUMIFS(ORDERS!$J$2:$J$4995,ORDERS!$C$2:$C$4995,$D2253,ORDERS!$L$2:$L$4995,"Đã chuyển khoản"))</f>
        <v/>
      </c>
      <c r="Y2253" s="24" t="n"/>
    </row>
    <row r="2254" ht="14.25" customHeight="1" s="40">
      <c r="A2254" s="24" t="n"/>
      <c r="B2254" s="27" t="n"/>
      <c r="C2254" s="24" t="n"/>
      <c r="D2254" s="28" t="n"/>
      <c r="E2254" s="29" t="n"/>
      <c r="F2254" s="24" t="n"/>
      <c r="G2254" s="24" t="n"/>
      <c r="H2254" s="21">
        <f>IF(ISNUMBER($B2254),INT($B2254)-WEEKDAY($B2254,2)+1,"")</f>
        <v/>
      </c>
      <c r="I2254" s="24" t="n"/>
      <c r="J2254" s="22">
        <f t="array" ref="J2254">IF($D2254="","",IF($I2254="","(trống REF)",IFERROR(INDEX(MASTER_SOURCE!$B$2:$B$495,MATCH($I2254,MASTER_SOURCE!$A$2:$A$495,0)),"(REF không có trong MASTER_SOURCE)")))</f>
        <v/>
      </c>
      <c r="K2254" s="22">
        <f t="array" ref="K2254">IF($D2254="","",IFERROR(INDEX(MASTER_SOURCE!$C$2:$C$495,MATCH($I2254,MASTER_SOURCE!$A$2:$A$495,0)),""))</f>
        <v/>
      </c>
      <c r="L2254" s="22">
        <f t="array" ref="L2254">IF($D2254="","",IFERROR(INDEX(MASTER_SOURCE!$D$2:$D$495,MATCH($I2254,MASTER_SOURCE!$A$2:$A$495,0)),""))</f>
        <v/>
      </c>
      <c r="M2254" s="24" t="n"/>
      <c r="N2254" s="24" t="n"/>
      <c r="O2254" s="24" t="n"/>
      <c r="P2254" s="24" t="n"/>
      <c r="Q2254" s="22">
        <f>IF($D2254="","",IF(AND(OR(DANH_MUC!$L$5&lt;&gt;"Có",M2254="Có"),OR(DANH_MUC!$L$6&lt;&gt;"Có",N2254="Có"),OR(DANH_MUC!$L$7&lt;&gt;"Có",O2254="Có"),OR(DANH_MUC!$L$8&lt;&gt;"Có",P2254="Có")),"Có","Không"))</f>
        <v/>
      </c>
      <c r="R2254" s="22">
        <f>IF($D2254="","",IF(COUNTIF($D$2:$D2254,$D2254)&gt;1,"Trùng",""))</f>
        <v/>
      </c>
      <c r="S2254" s="22">
        <f>IF($D2254="","",IF(AND(LEN($D2254)=10,LEFT($D2254,1)="0",ISNUMBER(--$D2254)),"Có","Không"))</f>
        <v/>
      </c>
      <c r="T2254" s="22">
        <f>IF($D2254="","",IF(AND($C2254&lt;&gt;"",$Q2254="Có",$R2254="",$S2254="Có",AND($L2254&lt;&gt;"",OR($L2254&lt;&gt;"Chưa xác định",DANH_MUC!$L$9="Có"))),"Có","Không"))</f>
        <v/>
      </c>
      <c r="U2254" s="22">
        <f>IF(OR($D2254="",$T2254="Có"),"",IF($C2254="","Thiếu họ tên; ","")&amp;IF($S2254&lt;&gt;"Có","SĐT sai định dạng; ","")&amp;IF($R2254="Trùng","Trùng SĐT; ","")&amp;IF($Q2254&lt;&gt;"Có","Thiếu đồng ý bắt buộc; ","")&amp;IF($L2254="","Thiếu/sai Mã REF; ",IF(AND($L2254="Chưa xác định",DANH_MUC!$L$9&lt;&gt;"Có"),"Nguồn chưa xác định; ","")))</f>
        <v/>
      </c>
      <c r="V2254" s="22">
        <f>IF(OR($D2254="",$R2254="Trùng"),"",IF(COUNTIF(ORDERS!$C$2:$C$4995,$D2254)&gt;0,"Có","Không"))</f>
        <v/>
      </c>
      <c r="W2254" s="22">
        <f>IF(OR($D2254="",$R2254="Trùng"),"",COUNTIFS(ORDERS!$C$2:$C$4995,$D2254,ORDERS!$L$2:$L$4995,"Đã chuyển khoản"))</f>
        <v/>
      </c>
      <c r="X2254" s="23">
        <f>IF(OR($D2254="",$R2254="Trùng"),"",SUMIFS(ORDERS!$J$2:$J$4995,ORDERS!$C$2:$C$4995,$D2254,ORDERS!$L$2:$L$4995,"Đã chuyển khoản"))</f>
        <v/>
      </c>
      <c r="Y2254" s="24" t="n"/>
    </row>
    <row r="2255" ht="14.25" customHeight="1" s="40">
      <c r="A2255" s="24" t="n"/>
      <c r="B2255" s="27" t="n"/>
      <c r="C2255" s="24" t="n"/>
      <c r="D2255" s="28" t="n"/>
      <c r="E2255" s="29" t="n"/>
      <c r="F2255" s="24" t="n"/>
      <c r="G2255" s="24" t="n"/>
      <c r="H2255" s="21">
        <f>IF(ISNUMBER($B2255),INT($B2255)-WEEKDAY($B2255,2)+1,"")</f>
        <v/>
      </c>
      <c r="I2255" s="24" t="n"/>
      <c r="J2255" s="22">
        <f t="array" ref="J2255">IF($D2255="","",IF($I2255="","(trống REF)",IFERROR(INDEX(MASTER_SOURCE!$B$2:$B$495,MATCH($I2255,MASTER_SOURCE!$A$2:$A$495,0)),"(REF không có trong MASTER_SOURCE)")))</f>
        <v/>
      </c>
      <c r="K2255" s="22">
        <f t="array" ref="K2255">IF($D2255="","",IFERROR(INDEX(MASTER_SOURCE!$C$2:$C$495,MATCH($I2255,MASTER_SOURCE!$A$2:$A$495,0)),""))</f>
        <v/>
      </c>
      <c r="L2255" s="22">
        <f t="array" ref="L2255">IF($D2255="","",IFERROR(INDEX(MASTER_SOURCE!$D$2:$D$495,MATCH($I2255,MASTER_SOURCE!$A$2:$A$495,0)),""))</f>
        <v/>
      </c>
      <c r="M2255" s="24" t="n"/>
      <c r="N2255" s="24" t="n"/>
      <c r="O2255" s="24" t="n"/>
      <c r="P2255" s="24" t="n"/>
      <c r="Q2255" s="22">
        <f>IF($D2255="","",IF(AND(OR(DANH_MUC!$L$5&lt;&gt;"Có",M2255="Có"),OR(DANH_MUC!$L$6&lt;&gt;"Có",N2255="Có"),OR(DANH_MUC!$L$7&lt;&gt;"Có",O2255="Có"),OR(DANH_MUC!$L$8&lt;&gt;"Có",P2255="Có")),"Có","Không"))</f>
        <v/>
      </c>
      <c r="R2255" s="22">
        <f>IF($D2255="","",IF(COUNTIF($D$2:$D2255,$D2255)&gt;1,"Trùng",""))</f>
        <v/>
      </c>
      <c r="S2255" s="22">
        <f>IF($D2255="","",IF(AND(LEN($D2255)=10,LEFT($D2255,1)="0",ISNUMBER(--$D2255)),"Có","Không"))</f>
        <v/>
      </c>
      <c r="T2255" s="22">
        <f>IF($D2255="","",IF(AND($C2255&lt;&gt;"",$Q2255="Có",$R2255="",$S2255="Có",AND($L2255&lt;&gt;"",OR($L2255&lt;&gt;"Chưa xác định",DANH_MUC!$L$9="Có"))),"Có","Không"))</f>
        <v/>
      </c>
      <c r="U2255" s="22">
        <f>IF(OR($D2255="",$T2255="Có"),"",IF($C2255="","Thiếu họ tên; ","")&amp;IF($S2255&lt;&gt;"Có","SĐT sai định dạng; ","")&amp;IF($R2255="Trùng","Trùng SĐT; ","")&amp;IF($Q2255&lt;&gt;"Có","Thiếu đồng ý bắt buộc; ","")&amp;IF($L2255="","Thiếu/sai Mã REF; ",IF(AND($L2255="Chưa xác định",DANH_MUC!$L$9&lt;&gt;"Có"),"Nguồn chưa xác định; ","")))</f>
        <v/>
      </c>
      <c r="V2255" s="22">
        <f>IF(OR($D2255="",$R2255="Trùng"),"",IF(COUNTIF(ORDERS!$C$2:$C$4995,$D2255)&gt;0,"Có","Không"))</f>
        <v/>
      </c>
      <c r="W2255" s="22">
        <f>IF(OR($D2255="",$R2255="Trùng"),"",COUNTIFS(ORDERS!$C$2:$C$4995,$D2255,ORDERS!$L$2:$L$4995,"Đã chuyển khoản"))</f>
        <v/>
      </c>
      <c r="X2255" s="23">
        <f>IF(OR($D2255="",$R2255="Trùng"),"",SUMIFS(ORDERS!$J$2:$J$4995,ORDERS!$C$2:$C$4995,$D2255,ORDERS!$L$2:$L$4995,"Đã chuyển khoản"))</f>
        <v/>
      </c>
      <c r="Y2255" s="24" t="n"/>
    </row>
    <row r="2256" ht="14.25" customHeight="1" s="40">
      <c r="A2256" s="24" t="n"/>
      <c r="B2256" s="27" t="n"/>
      <c r="C2256" s="24" t="n"/>
      <c r="D2256" s="28" t="n"/>
      <c r="E2256" s="29" t="n"/>
      <c r="F2256" s="24" t="n"/>
      <c r="G2256" s="24" t="n"/>
      <c r="H2256" s="21">
        <f>IF(ISNUMBER($B2256),INT($B2256)-WEEKDAY($B2256,2)+1,"")</f>
        <v/>
      </c>
      <c r="I2256" s="24" t="n"/>
      <c r="J2256" s="22">
        <f t="array" ref="J2256">IF($D2256="","",IF($I2256="","(trống REF)",IFERROR(INDEX(MASTER_SOURCE!$B$2:$B$495,MATCH($I2256,MASTER_SOURCE!$A$2:$A$495,0)),"(REF không có trong MASTER_SOURCE)")))</f>
        <v/>
      </c>
      <c r="K2256" s="22">
        <f t="array" ref="K2256">IF($D2256="","",IFERROR(INDEX(MASTER_SOURCE!$C$2:$C$495,MATCH($I2256,MASTER_SOURCE!$A$2:$A$495,0)),""))</f>
        <v/>
      </c>
      <c r="L2256" s="22">
        <f t="array" ref="L2256">IF($D2256="","",IFERROR(INDEX(MASTER_SOURCE!$D$2:$D$495,MATCH($I2256,MASTER_SOURCE!$A$2:$A$495,0)),""))</f>
        <v/>
      </c>
      <c r="M2256" s="24" t="n"/>
      <c r="N2256" s="24" t="n"/>
      <c r="O2256" s="24" t="n"/>
      <c r="P2256" s="24" t="n"/>
      <c r="Q2256" s="22">
        <f>IF($D2256="","",IF(AND(OR(DANH_MUC!$L$5&lt;&gt;"Có",M2256="Có"),OR(DANH_MUC!$L$6&lt;&gt;"Có",N2256="Có"),OR(DANH_MUC!$L$7&lt;&gt;"Có",O2256="Có"),OR(DANH_MUC!$L$8&lt;&gt;"Có",P2256="Có")),"Có","Không"))</f>
        <v/>
      </c>
      <c r="R2256" s="22">
        <f>IF($D2256="","",IF(COUNTIF($D$2:$D2256,$D2256)&gt;1,"Trùng",""))</f>
        <v/>
      </c>
      <c r="S2256" s="22">
        <f>IF($D2256="","",IF(AND(LEN($D2256)=10,LEFT($D2256,1)="0",ISNUMBER(--$D2256)),"Có","Không"))</f>
        <v/>
      </c>
      <c r="T2256" s="22">
        <f>IF($D2256="","",IF(AND($C2256&lt;&gt;"",$Q2256="Có",$R2256="",$S2256="Có",AND($L2256&lt;&gt;"",OR($L2256&lt;&gt;"Chưa xác định",DANH_MUC!$L$9="Có"))),"Có","Không"))</f>
        <v/>
      </c>
      <c r="U2256" s="22">
        <f>IF(OR($D2256="",$T2256="Có"),"",IF($C2256="","Thiếu họ tên; ","")&amp;IF($S2256&lt;&gt;"Có","SĐT sai định dạng; ","")&amp;IF($R2256="Trùng","Trùng SĐT; ","")&amp;IF($Q2256&lt;&gt;"Có","Thiếu đồng ý bắt buộc; ","")&amp;IF($L2256="","Thiếu/sai Mã REF; ",IF(AND($L2256="Chưa xác định",DANH_MUC!$L$9&lt;&gt;"Có"),"Nguồn chưa xác định; ","")))</f>
        <v/>
      </c>
      <c r="V2256" s="22">
        <f>IF(OR($D2256="",$R2256="Trùng"),"",IF(COUNTIF(ORDERS!$C$2:$C$4995,$D2256)&gt;0,"Có","Không"))</f>
        <v/>
      </c>
      <c r="W2256" s="22">
        <f>IF(OR($D2256="",$R2256="Trùng"),"",COUNTIFS(ORDERS!$C$2:$C$4995,$D2256,ORDERS!$L$2:$L$4995,"Đã chuyển khoản"))</f>
        <v/>
      </c>
      <c r="X2256" s="23">
        <f>IF(OR($D2256="",$R2256="Trùng"),"",SUMIFS(ORDERS!$J$2:$J$4995,ORDERS!$C$2:$C$4995,$D2256,ORDERS!$L$2:$L$4995,"Đã chuyển khoản"))</f>
        <v/>
      </c>
      <c r="Y2256" s="24" t="n"/>
    </row>
    <row r="2257" ht="14.25" customHeight="1" s="40">
      <c r="A2257" s="24" t="n"/>
      <c r="B2257" s="27" t="n"/>
      <c r="C2257" s="24" t="n"/>
      <c r="D2257" s="28" t="n"/>
      <c r="E2257" s="29" t="n"/>
      <c r="F2257" s="24" t="n"/>
      <c r="G2257" s="24" t="n"/>
      <c r="H2257" s="21">
        <f>IF(ISNUMBER($B2257),INT($B2257)-WEEKDAY($B2257,2)+1,"")</f>
        <v/>
      </c>
      <c r="I2257" s="24" t="n"/>
      <c r="J2257" s="22">
        <f t="array" ref="J2257">IF($D2257="","",IF($I2257="","(trống REF)",IFERROR(INDEX(MASTER_SOURCE!$B$2:$B$495,MATCH($I2257,MASTER_SOURCE!$A$2:$A$495,0)),"(REF không có trong MASTER_SOURCE)")))</f>
        <v/>
      </c>
      <c r="K2257" s="22">
        <f t="array" ref="K2257">IF($D2257="","",IFERROR(INDEX(MASTER_SOURCE!$C$2:$C$495,MATCH($I2257,MASTER_SOURCE!$A$2:$A$495,0)),""))</f>
        <v/>
      </c>
      <c r="L2257" s="22">
        <f t="array" ref="L2257">IF($D2257="","",IFERROR(INDEX(MASTER_SOURCE!$D$2:$D$495,MATCH($I2257,MASTER_SOURCE!$A$2:$A$495,0)),""))</f>
        <v/>
      </c>
      <c r="M2257" s="24" t="n"/>
      <c r="N2257" s="24" t="n"/>
      <c r="O2257" s="24" t="n"/>
      <c r="P2257" s="24" t="n"/>
      <c r="Q2257" s="22">
        <f>IF($D2257="","",IF(AND(OR(DANH_MUC!$L$5&lt;&gt;"Có",M2257="Có"),OR(DANH_MUC!$L$6&lt;&gt;"Có",N2257="Có"),OR(DANH_MUC!$L$7&lt;&gt;"Có",O2257="Có"),OR(DANH_MUC!$L$8&lt;&gt;"Có",P2257="Có")),"Có","Không"))</f>
        <v/>
      </c>
      <c r="R2257" s="22">
        <f>IF($D2257="","",IF(COUNTIF($D$2:$D2257,$D2257)&gt;1,"Trùng",""))</f>
        <v/>
      </c>
      <c r="S2257" s="22">
        <f>IF($D2257="","",IF(AND(LEN($D2257)=10,LEFT($D2257,1)="0",ISNUMBER(--$D2257)),"Có","Không"))</f>
        <v/>
      </c>
      <c r="T2257" s="22">
        <f>IF($D2257="","",IF(AND($C2257&lt;&gt;"",$Q2257="Có",$R2257="",$S2257="Có",AND($L2257&lt;&gt;"",OR($L2257&lt;&gt;"Chưa xác định",DANH_MUC!$L$9="Có"))),"Có","Không"))</f>
        <v/>
      </c>
      <c r="U2257" s="22">
        <f>IF(OR($D2257="",$T2257="Có"),"",IF($C2257="","Thiếu họ tên; ","")&amp;IF($S2257&lt;&gt;"Có","SĐT sai định dạng; ","")&amp;IF($R2257="Trùng","Trùng SĐT; ","")&amp;IF($Q2257&lt;&gt;"Có","Thiếu đồng ý bắt buộc; ","")&amp;IF($L2257="","Thiếu/sai Mã REF; ",IF(AND($L2257="Chưa xác định",DANH_MUC!$L$9&lt;&gt;"Có"),"Nguồn chưa xác định; ","")))</f>
        <v/>
      </c>
      <c r="V2257" s="22">
        <f>IF(OR($D2257="",$R2257="Trùng"),"",IF(COUNTIF(ORDERS!$C$2:$C$4995,$D2257)&gt;0,"Có","Không"))</f>
        <v/>
      </c>
      <c r="W2257" s="22">
        <f>IF(OR($D2257="",$R2257="Trùng"),"",COUNTIFS(ORDERS!$C$2:$C$4995,$D2257,ORDERS!$L$2:$L$4995,"Đã chuyển khoản"))</f>
        <v/>
      </c>
      <c r="X2257" s="23">
        <f>IF(OR($D2257="",$R2257="Trùng"),"",SUMIFS(ORDERS!$J$2:$J$4995,ORDERS!$C$2:$C$4995,$D2257,ORDERS!$L$2:$L$4995,"Đã chuyển khoản"))</f>
        <v/>
      </c>
      <c r="Y2257" s="24" t="n"/>
    </row>
    <row r="2258" ht="14.25" customHeight="1" s="40">
      <c r="A2258" s="24" t="n"/>
      <c r="B2258" s="27" t="n"/>
      <c r="C2258" s="24" t="n"/>
      <c r="D2258" s="28" t="n"/>
      <c r="E2258" s="29" t="n"/>
      <c r="F2258" s="24" t="n"/>
      <c r="G2258" s="24" t="n"/>
      <c r="H2258" s="21">
        <f>IF(ISNUMBER($B2258),INT($B2258)-WEEKDAY($B2258,2)+1,"")</f>
        <v/>
      </c>
      <c r="I2258" s="24" t="n"/>
      <c r="J2258" s="22">
        <f t="array" ref="J2258">IF($D2258="","",IF($I2258="","(trống REF)",IFERROR(INDEX(MASTER_SOURCE!$B$2:$B$495,MATCH($I2258,MASTER_SOURCE!$A$2:$A$495,0)),"(REF không có trong MASTER_SOURCE)")))</f>
        <v/>
      </c>
      <c r="K2258" s="22">
        <f t="array" ref="K2258">IF($D2258="","",IFERROR(INDEX(MASTER_SOURCE!$C$2:$C$495,MATCH($I2258,MASTER_SOURCE!$A$2:$A$495,0)),""))</f>
        <v/>
      </c>
      <c r="L2258" s="22">
        <f t="array" ref="L2258">IF($D2258="","",IFERROR(INDEX(MASTER_SOURCE!$D$2:$D$495,MATCH($I2258,MASTER_SOURCE!$A$2:$A$495,0)),""))</f>
        <v/>
      </c>
      <c r="M2258" s="24" t="n"/>
      <c r="N2258" s="24" t="n"/>
      <c r="O2258" s="24" t="n"/>
      <c r="P2258" s="24" t="n"/>
      <c r="Q2258" s="22">
        <f>IF($D2258="","",IF(AND(OR(DANH_MUC!$L$5&lt;&gt;"Có",M2258="Có"),OR(DANH_MUC!$L$6&lt;&gt;"Có",N2258="Có"),OR(DANH_MUC!$L$7&lt;&gt;"Có",O2258="Có"),OR(DANH_MUC!$L$8&lt;&gt;"Có",P2258="Có")),"Có","Không"))</f>
        <v/>
      </c>
      <c r="R2258" s="22">
        <f>IF($D2258="","",IF(COUNTIF($D$2:$D2258,$D2258)&gt;1,"Trùng",""))</f>
        <v/>
      </c>
      <c r="S2258" s="22">
        <f>IF($D2258="","",IF(AND(LEN($D2258)=10,LEFT($D2258,1)="0",ISNUMBER(--$D2258)),"Có","Không"))</f>
        <v/>
      </c>
      <c r="T2258" s="22">
        <f>IF($D2258="","",IF(AND($C2258&lt;&gt;"",$Q2258="Có",$R2258="",$S2258="Có",AND($L2258&lt;&gt;"",OR($L2258&lt;&gt;"Chưa xác định",DANH_MUC!$L$9="Có"))),"Có","Không"))</f>
        <v/>
      </c>
      <c r="U2258" s="22">
        <f>IF(OR($D2258="",$T2258="Có"),"",IF($C2258="","Thiếu họ tên; ","")&amp;IF($S2258&lt;&gt;"Có","SĐT sai định dạng; ","")&amp;IF($R2258="Trùng","Trùng SĐT; ","")&amp;IF($Q2258&lt;&gt;"Có","Thiếu đồng ý bắt buộc; ","")&amp;IF($L2258="","Thiếu/sai Mã REF; ",IF(AND($L2258="Chưa xác định",DANH_MUC!$L$9&lt;&gt;"Có"),"Nguồn chưa xác định; ","")))</f>
        <v/>
      </c>
      <c r="V2258" s="22">
        <f>IF(OR($D2258="",$R2258="Trùng"),"",IF(COUNTIF(ORDERS!$C$2:$C$4995,$D2258)&gt;0,"Có","Không"))</f>
        <v/>
      </c>
      <c r="W2258" s="22">
        <f>IF(OR($D2258="",$R2258="Trùng"),"",COUNTIFS(ORDERS!$C$2:$C$4995,$D2258,ORDERS!$L$2:$L$4995,"Đã chuyển khoản"))</f>
        <v/>
      </c>
      <c r="X2258" s="23">
        <f>IF(OR($D2258="",$R2258="Trùng"),"",SUMIFS(ORDERS!$J$2:$J$4995,ORDERS!$C$2:$C$4995,$D2258,ORDERS!$L$2:$L$4995,"Đã chuyển khoản"))</f>
        <v/>
      </c>
      <c r="Y2258" s="24" t="n"/>
    </row>
    <row r="2259" ht="14.25" customHeight="1" s="40">
      <c r="A2259" s="24" t="n"/>
      <c r="B2259" s="27" t="n"/>
      <c r="C2259" s="24" t="n"/>
      <c r="D2259" s="28" t="n"/>
      <c r="E2259" s="29" t="n"/>
      <c r="F2259" s="24" t="n"/>
      <c r="G2259" s="24" t="n"/>
      <c r="H2259" s="21">
        <f>IF(ISNUMBER($B2259),INT($B2259)-WEEKDAY($B2259,2)+1,"")</f>
        <v/>
      </c>
      <c r="I2259" s="24" t="n"/>
      <c r="J2259" s="22">
        <f t="array" ref="J2259">IF($D2259="","",IF($I2259="","(trống REF)",IFERROR(INDEX(MASTER_SOURCE!$B$2:$B$495,MATCH($I2259,MASTER_SOURCE!$A$2:$A$495,0)),"(REF không có trong MASTER_SOURCE)")))</f>
        <v/>
      </c>
      <c r="K2259" s="22">
        <f t="array" ref="K2259">IF($D2259="","",IFERROR(INDEX(MASTER_SOURCE!$C$2:$C$495,MATCH($I2259,MASTER_SOURCE!$A$2:$A$495,0)),""))</f>
        <v/>
      </c>
      <c r="L2259" s="22">
        <f t="array" ref="L2259">IF($D2259="","",IFERROR(INDEX(MASTER_SOURCE!$D$2:$D$495,MATCH($I2259,MASTER_SOURCE!$A$2:$A$495,0)),""))</f>
        <v/>
      </c>
      <c r="M2259" s="24" t="n"/>
      <c r="N2259" s="24" t="n"/>
      <c r="O2259" s="24" t="n"/>
      <c r="P2259" s="24" t="n"/>
      <c r="Q2259" s="22">
        <f>IF($D2259="","",IF(AND(OR(DANH_MUC!$L$5&lt;&gt;"Có",M2259="Có"),OR(DANH_MUC!$L$6&lt;&gt;"Có",N2259="Có"),OR(DANH_MUC!$L$7&lt;&gt;"Có",O2259="Có"),OR(DANH_MUC!$L$8&lt;&gt;"Có",P2259="Có")),"Có","Không"))</f>
        <v/>
      </c>
      <c r="R2259" s="22">
        <f>IF($D2259="","",IF(COUNTIF($D$2:$D2259,$D2259)&gt;1,"Trùng",""))</f>
        <v/>
      </c>
      <c r="S2259" s="22">
        <f>IF($D2259="","",IF(AND(LEN($D2259)=10,LEFT($D2259,1)="0",ISNUMBER(--$D2259)),"Có","Không"))</f>
        <v/>
      </c>
      <c r="T2259" s="22">
        <f>IF($D2259="","",IF(AND($C2259&lt;&gt;"",$Q2259="Có",$R2259="",$S2259="Có",AND($L2259&lt;&gt;"",OR($L2259&lt;&gt;"Chưa xác định",DANH_MUC!$L$9="Có"))),"Có","Không"))</f>
        <v/>
      </c>
      <c r="U2259" s="22">
        <f>IF(OR($D2259="",$T2259="Có"),"",IF($C2259="","Thiếu họ tên; ","")&amp;IF($S2259&lt;&gt;"Có","SĐT sai định dạng; ","")&amp;IF($R2259="Trùng","Trùng SĐT; ","")&amp;IF($Q2259&lt;&gt;"Có","Thiếu đồng ý bắt buộc; ","")&amp;IF($L2259="","Thiếu/sai Mã REF; ",IF(AND($L2259="Chưa xác định",DANH_MUC!$L$9&lt;&gt;"Có"),"Nguồn chưa xác định; ","")))</f>
        <v/>
      </c>
      <c r="V2259" s="22">
        <f>IF(OR($D2259="",$R2259="Trùng"),"",IF(COUNTIF(ORDERS!$C$2:$C$4995,$D2259)&gt;0,"Có","Không"))</f>
        <v/>
      </c>
      <c r="W2259" s="22">
        <f>IF(OR($D2259="",$R2259="Trùng"),"",COUNTIFS(ORDERS!$C$2:$C$4995,$D2259,ORDERS!$L$2:$L$4995,"Đã chuyển khoản"))</f>
        <v/>
      </c>
      <c r="X2259" s="23">
        <f>IF(OR($D2259="",$R2259="Trùng"),"",SUMIFS(ORDERS!$J$2:$J$4995,ORDERS!$C$2:$C$4995,$D2259,ORDERS!$L$2:$L$4995,"Đã chuyển khoản"))</f>
        <v/>
      </c>
      <c r="Y2259" s="24" t="n"/>
    </row>
    <row r="2260" ht="14.25" customHeight="1" s="40">
      <c r="A2260" s="24" t="n"/>
      <c r="B2260" s="27" t="n"/>
      <c r="C2260" s="24" t="n"/>
      <c r="D2260" s="28" t="n"/>
      <c r="E2260" s="29" t="n"/>
      <c r="F2260" s="24" t="n"/>
      <c r="G2260" s="24" t="n"/>
      <c r="H2260" s="21">
        <f>IF(ISNUMBER($B2260),INT($B2260)-WEEKDAY($B2260,2)+1,"")</f>
        <v/>
      </c>
      <c r="I2260" s="24" t="n"/>
      <c r="J2260" s="22">
        <f t="array" ref="J2260">IF($D2260="","",IF($I2260="","(trống REF)",IFERROR(INDEX(MASTER_SOURCE!$B$2:$B$495,MATCH($I2260,MASTER_SOURCE!$A$2:$A$495,0)),"(REF không có trong MASTER_SOURCE)")))</f>
        <v/>
      </c>
      <c r="K2260" s="22">
        <f t="array" ref="K2260">IF($D2260="","",IFERROR(INDEX(MASTER_SOURCE!$C$2:$C$495,MATCH($I2260,MASTER_SOURCE!$A$2:$A$495,0)),""))</f>
        <v/>
      </c>
      <c r="L2260" s="22">
        <f t="array" ref="L2260">IF($D2260="","",IFERROR(INDEX(MASTER_SOURCE!$D$2:$D$495,MATCH($I2260,MASTER_SOURCE!$A$2:$A$495,0)),""))</f>
        <v/>
      </c>
      <c r="M2260" s="24" t="n"/>
      <c r="N2260" s="24" t="n"/>
      <c r="O2260" s="24" t="n"/>
      <c r="P2260" s="24" t="n"/>
      <c r="Q2260" s="22">
        <f>IF($D2260="","",IF(AND(OR(DANH_MUC!$L$5&lt;&gt;"Có",M2260="Có"),OR(DANH_MUC!$L$6&lt;&gt;"Có",N2260="Có"),OR(DANH_MUC!$L$7&lt;&gt;"Có",O2260="Có"),OR(DANH_MUC!$L$8&lt;&gt;"Có",P2260="Có")),"Có","Không"))</f>
        <v/>
      </c>
      <c r="R2260" s="22">
        <f>IF($D2260="","",IF(COUNTIF($D$2:$D2260,$D2260)&gt;1,"Trùng",""))</f>
        <v/>
      </c>
      <c r="S2260" s="22">
        <f>IF($D2260="","",IF(AND(LEN($D2260)=10,LEFT($D2260,1)="0",ISNUMBER(--$D2260)),"Có","Không"))</f>
        <v/>
      </c>
      <c r="T2260" s="22">
        <f>IF($D2260="","",IF(AND($C2260&lt;&gt;"",$Q2260="Có",$R2260="",$S2260="Có",AND($L2260&lt;&gt;"",OR($L2260&lt;&gt;"Chưa xác định",DANH_MUC!$L$9="Có"))),"Có","Không"))</f>
        <v/>
      </c>
      <c r="U2260" s="22">
        <f>IF(OR($D2260="",$T2260="Có"),"",IF($C2260="","Thiếu họ tên; ","")&amp;IF($S2260&lt;&gt;"Có","SĐT sai định dạng; ","")&amp;IF($R2260="Trùng","Trùng SĐT; ","")&amp;IF($Q2260&lt;&gt;"Có","Thiếu đồng ý bắt buộc; ","")&amp;IF($L2260="","Thiếu/sai Mã REF; ",IF(AND($L2260="Chưa xác định",DANH_MUC!$L$9&lt;&gt;"Có"),"Nguồn chưa xác định; ","")))</f>
        <v/>
      </c>
      <c r="V2260" s="22">
        <f>IF(OR($D2260="",$R2260="Trùng"),"",IF(COUNTIF(ORDERS!$C$2:$C$4995,$D2260)&gt;0,"Có","Không"))</f>
        <v/>
      </c>
      <c r="W2260" s="22">
        <f>IF(OR($D2260="",$R2260="Trùng"),"",COUNTIFS(ORDERS!$C$2:$C$4995,$D2260,ORDERS!$L$2:$L$4995,"Đã chuyển khoản"))</f>
        <v/>
      </c>
      <c r="X2260" s="23">
        <f>IF(OR($D2260="",$R2260="Trùng"),"",SUMIFS(ORDERS!$J$2:$J$4995,ORDERS!$C$2:$C$4995,$D2260,ORDERS!$L$2:$L$4995,"Đã chuyển khoản"))</f>
        <v/>
      </c>
      <c r="Y2260" s="24" t="n"/>
    </row>
    <row r="2261" ht="14.25" customHeight="1" s="40">
      <c r="A2261" s="24" t="n"/>
      <c r="B2261" s="27" t="n"/>
      <c r="C2261" s="24" t="n"/>
      <c r="D2261" s="28" t="n"/>
      <c r="E2261" s="29" t="n"/>
      <c r="F2261" s="24" t="n"/>
      <c r="G2261" s="24" t="n"/>
      <c r="H2261" s="21">
        <f>IF(ISNUMBER($B2261),INT($B2261)-WEEKDAY($B2261,2)+1,"")</f>
        <v/>
      </c>
      <c r="I2261" s="24" t="n"/>
      <c r="J2261" s="22">
        <f t="array" ref="J2261">IF($D2261="","",IF($I2261="","(trống REF)",IFERROR(INDEX(MASTER_SOURCE!$B$2:$B$495,MATCH($I2261,MASTER_SOURCE!$A$2:$A$495,0)),"(REF không có trong MASTER_SOURCE)")))</f>
        <v/>
      </c>
      <c r="K2261" s="22">
        <f t="array" ref="K2261">IF($D2261="","",IFERROR(INDEX(MASTER_SOURCE!$C$2:$C$495,MATCH($I2261,MASTER_SOURCE!$A$2:$A$495,0)),""))</f>
        <v/>
      </c>
      <c r="L2261" s="22">
        <f t="array" ref="L2261">IF($D2261="","",IFERROR(INDEX(MASTER_SOURCE!$D$2:$D$495,MATCH($I2261,MASTER_SOURCE!$A$2:$A$495,0)),""))</f>
        <v/>
      </c>
      <c r="M2261" s="24" t="n"/>
      <c r="N2261" s="24" t="n"/>
      <c r="O2261" s="24" t="n"/>
      <c r="P2261" s="24" t="n"/>
      <c r="Q2261" s="22">
        <f>IF($D2261="","",IF(AND(OR(DANH_MUC!$L$5&lt;&gt;"Có",M2261="Có"),OR(DANH_MUC!$L$6&lt;&gt;"Có",N2261="Có"),OR(DANH_MUC!$L$7&lt;&gt;"Có",O2261="Có"),OR(DANH_MUC!$L$8&lt;&gt;"Có",P2261="Có")),"Có","Không"))</f>
        <v/>
      </c>
      <c r="R2261" s="22">
        <f>IF($D2261="","",IF(COUNTIF($D$2:$D2261,$D2261)&gt;1,"Trùng",""))</f>
        <v/>
      </c>
      <c r="S2261" s="22">
        <f>IF($D2261="","",IF(AND(LEN($D2261)=10,LEFT($D2261,1)="0",ISNUMBER(--$D2261)),"Có","Không"))</f>
        <v/>
      </c>
      <c r="T2261" s="22">
        <f>IF($D2261="","",IF(AND($C2261&lt;&gt;"",$Q2261="Có",$R2261="",$S2261="Có",AND($L2261&lt;&gt;"",OR($L2261&lt;&gt;"Chưa xác định",DANH_MUC!$L$9="Có"))),"Có","Không"))</f>
        <v/>
      </c>
      <c r="U2261" s="22">
        <f>IF(OR($D2261="",$T2261="Có"),"",IF($C2261="","Thiếu họ tên; ","")&amp;IF($S2261&lt;&gt;"Có","SĐT sai định dạng; ","")&amp;IF($R2261="Trùng","Trùng SĐT; ","")&amp;IF($Q2261&lt;&gt;"Có","Thiếu đồng ý bắt buộc; ","")&amp;IF($L2261="","Thiếu/sai Mã REF; ",IF(AND($L2261="Chưa xác định",DANH_MUC!$L$9&lt;&gt;"Có"),"Nguồn chưa xác định; ","")))</f>
        <v/>
      </c>
      <c r="V2261" s="22">
        <f>IF(OR($D2261="",$R2261="Trùng"),"",IF(COUNTIF(ORDERS!$C$2:$C$4995,$D2261)&gt;0,"Có","Không"))</f>
        <v/>
      </c>
      <c r="W2261" s="22">
        <f>IF(OR($D2261="",$R2261="Trùng"),"",COUNTIFS(ORDERS!$C$2:$C$4995,$D2261,ORDERS!$L$2:$L$4995,"Đã chuyển khoản"))</f>
        <v/>
      </c>
      <c r="X2261" s="23">
        <f>IF(OR($D2261="",$R2261="Trùng"),"",SUMIFS(ORDERS!$J$2:$J$4995,ORDERS!$C$2:$C$4995,$D2261,ORDERS!$L$2:$L$4995,"Đã chuyển khoản"))</f>
        <v/>
      </c>
      <c r="Y2261" s="24" t="n"/>
    </row>
    <row r="2262" ht="14.25" customHeight="1" s="40">
      <c r="A2262" s="24" t="n"/>
      <c r="B2262" s="27" t="n"/>
      <c r="C2262" s="24" t="n"/>
      <c r="D2262" s="28" t="n"/>
      <c r="E2262" s="29" t="n"/>
      <c r="F2262" s="24" t="n"/>
      <c r="G2262" s="24" t="n"/>
      <c r="H2262" s="21">
        <f>IF(ISNUMBER($B2262),INT($B2262)-WEEKDAY($B2262,2)+1,"")</f>
        <v/>
      </c>
      <c r="I2262" s="24" t="n"/>
      <c r="J2262" s="22">
        <f t="array" ref="J2262">IF($D2262="","",IF($I2262="","(trống REF)",IFERROR(INDEX(MASTER_SOURCE!$B$2:$B$495,MATCH($I2262,MASTER_SOURCE!$A$2:$A$495,0)),"(REF không có trong MASTER_SOURCE)")))</f>
        <v/>
      </c>
      <c r="K2262" s="22">
        <f t="array" ref="K2262">IF($D2262="","",IFERROR(INDEX(MASTER_SOURCE!$C$2:$C$495,MATCH($I2262,MASTER_SOURCE!$A$2:$A$495,0)),""))</f>
        <v/>
      </c>
      <c r="L2262" s="22">
        <f t="array" ref="L2262">IF($D2262="","",IFERROR(INDEX(MASTER_SOURCE!$D$2:$D$495,MATCH($I2262,MASTER_SOURCE!$A$2:$A$495,0)),""))</f>
        <v/>
      </c>
      <c r="M2262" s="24" t="n"/>
      <c r="N2262" s="24" t="n"/>
      <c r="O2262" s="24" t="n"/>
      <c r="P2262" s="24" t="n"/>
      <c r="Q2262" s="22">
        <f>IF($D2262="","",IF(AND(OR(DANH_MUC!$L$5&lt;&gt;"Có",M2262="Có"),OR(DANH_MUC!$L$6&lt;&gt;"Có",N2262="Có"),OR(DANH_MUC!$L$7&lt;&gt;"Có",O2262="Có"),OR(DANH_MUC!$L$8&lt;&gt;"Có",P2262="Có")),"Có","Không"))</f>
        <v/>
      </c>
      <c r="R2262" s="22">
        <f>IF($D2262="","",IF(COUNTIF($D$2:$D2262,$D2262)&gt;1,"Trùng",""))</f>
        <v/>
      </c>
      <c r="S2262" s="22">
        <f>IF($D2262="","",IF(AND(LEN($D2262)=10,LEFT($D2262,1)="0",ISNUMBER(--$D2262)),"Có","Không"))</f>
        <v/>
      </c>
      <c r="T2262" s="22">
        <f>IF($D2262="","",IF(AND($C2262&lt;&gt;"",$Q2262="Có",$R2262="",$S2262="Có",AND($L2262&lt;&gt;"",OR($L2262&lt;&gt;"Chưa xác định",DANH_MUC!$L$9="Có"))),"Có","Không"))</f>
        <v/>
      </c>
      <c r="U2262" s="22">
        <f>IF(OR($D2262="",$T2262="Có"),"",IF($C2262="","Thiếu họ tên; ","")&amp;IF($S2262&lt;&gt;"Có","SĐT sai định dạng; ","")&amp;IF($R2262="Trùng","Trùng SĐT; ","")&amp;IF($Q2262&lt;&gt;"Có","Thiếu đồng ý bắt buộc; ","")&amp;IF($L2262="","Thiếu/sai Mã REF; ",IF(AND($L2262="Chưa xác định",DANH_MUC!$L$9&lt;&gt;"Có"),"Nguồn chưa xác định; ","")))</f>
        <v/>
      </c>
      <c r="V2262" s="22">
        <f>IF(OR($D2262="",$R2262="Trùng"),"",IF(COUNTIF(ORDERS!$C$2:$C$4995,$D2262)&gt;0,"Có","Không"))</f>
        <v/>
      </c>
      <c r="W2262" s="22">
        <f>IF(OR($D2262="",$R2262="Trùng"),"",COUNTIFS(ORDERS!$C$2:$C$4995,$D2262,ORDERS!$L$2:$L$4995,"Đã chuyển khoản"))</f>
        <v/>
      </c>
      <c r="X2262" s="23">
        <f>IF(OR($D2262="",$R2262="Trùng"),"",SUMIFS(ORDERS!$J$2:$J$4995,ORDERS!$C$2:$C$4995,$D2262,ORDERS!$L$2:$L$4995,"Đã chuyển khoản"))</f>
        <v/>
      </c>
      <c r="Y2262" s="24" t="n"/>
    </row>
    <row r="2263" ht="14.25" customHeight="1" s="40">
      <c r="A2263" s="24" t="n"/>
      <c r="B2263" s="27" t="n"/>
      <c r="C2263" s="24" t="n"/>
      <c r="D2263" s="28" t="n"/>
      <c r="E2263" s="29" t="n"/>
      <c r="F2263" s="24" t="n"/>
      <c r="G2263" s="24" t="n"/>
      <c r="H2263" s="21">
        <f>IF(ISNUMBER($B2263),INT($B2263)-WEEKDAY($B2263,2)+1,"")</f>
        <v/>
      </c>
      <c r="I2263" s="24" t="n"/>
      <c r="J2263" s="22">
        <f t="array" ref="J2263">IF($D2263="","",IF($I2263="","(trống REF)",IFERROR(INDEX(MASTER_SOURCE!$B$2:$B$495,MATCH($I2263,MASTER_SOURCE!$A$2:$A$495,0)),"(REF không có trong MASTER_SOURCE)")))</f>
        <v/>
      </c>
      <c r="K2263" s="22">
        <f t="array" ref="K2263">IF($D2263="","",IFERROR(INDEX(MASTER_SOURCE!$C$2:$C$495,MATCH($I2263,MASTER_SOURCE!$A$2:$A$495,0)),""))</f>
        <v/>
      </c>
      <c r="L2263" s="22">
        <f t="array" ref="L2263">IF($D2263="","",IFERROR(INDEX(MASTER_SOURCE!$D$2:$D$495,MATCH($I2263,MASTER_SOURCE!$A$2:$A$495,0)),""))</f>
        <v/>
      </c>
      <c r="M2263" s="24" t="n"/>
      <c r="N2263" s="24" t="n"/>
      <c r="O2263" s="24" t="n"/>
      <c r="P2263" s="24" t="n"/>
      <c r="Q2263" s="22">
        <f>IF($D2263="","",IF(AND(OR(DANH_MUC!$L$5&lt;&gt;"Có",M2263="Có"),OR(DANH_MUC!$L$6&lt;&gt;"Có",N2263="Có"),OR(DANH_MUC!$L$7&lt;&gt;"Có",O2263="Có"),OR(DANH_MUC!$L$8&lt;&gt;"Có",P2263="Có")),"Có","Không"))</f>
        <v/>
      </c>
      <c r="R2263" s="22">
        <f>IF($D2263="","",IF(COUNTIF($D$2:$D2263,$D2263)&gt;1,"Trùng",""))</f>
        <v/>
      </c>
      <c r="S2263" s="22">
        <f>IF($D2263="","",IF(AND(LEN($D2263)=10,LEFT($D2263,1)="0",ISNUMBER(--$D2263)),"Có","Không"))</f>
        <v/>
      </c>
      <c r="T2263" s="22">
        <f>IF($D2263="","",IF(AND($C2263&lt;&gt;"",$Q2263="Có",$R2263="",$S2263="Có",AND($L2263&lt;&gt;"",OR($L2263&lt;&gt;"Chưa xác định",DANH_MUC!$L$9="Có"))),"Có","Không"))</f>
        <v/>
      </c>
      <c r="U2263" s="22">
        <f>IF(OR($D2263="",$T2263="Có"),"",IF($C2263="","Thiếu họ tên; ","")&amp;IF($S2263&lt;&gt;"Có","SĐT sai định dạng; ","")&amp;IF($R2263="Trùng","Trùng SĐT; ","")&amp;IF($Q2263&lt;&gt;"Có","Thiếu đồng ý bắt buộc; ","")&amp;IF($L2263="","Thiếu/sai Mã REF; ",IF(AND($L2263="Chưa xác định",DANH_MUC!$L$9&lt;&gt;"Có"),"Nguồn chưa xác định; ","")))</f>
        <v/>
      </c>
      <c r="V2263" s="22">
        <f>IF(OR($D2263="",$R2263="Trùng"),"",IF(COUNTIF(ORDERS!$C$2:$C$4995,$D2263)&gt;0,"Có","Không"))</f>
        <v/>
      </c>
      <c r="W2263" s="22">
        <f>IF(OR($D2263="",$R2263="Trùng"),"",COUNTIFS(ORDERS!$C$2:$C$4995,$D2263,ORDERS!$L$2:$L$4995,"Đã chuyển khoản"))</f>
        <v/>
      </c>
      <c r="X2263" s="23">
        <f>IF(OR($D2263="",$R2263="Trùng"),"",SUMIFS(ORDERS!$J$2:$J$4995,ORDERS!$C$2:$C$4995,$D2263,ORDERS!$L$2:$L$4995,"Đã chuyển khoản"))</f>
        <v/>
      </c>
      <c r="Y2263" s="24" t="n"/>
    </row>
    <row r="2264" ht="14.25" customHeight="1" s="40">
      <c r="A2264" s="24" t="n"/>
      <c r="B2264" s="27" t="n"/>
      <c r="C2264" s="24" t="n"/>
      <c r="D2264" s="28" t="n"/>
      <c r="E2264" s="29" t="n"/>
      <c r="F2264" s="24" t="n"/>
      <c r="G2264" s="24" t="n"/>
      <c r="H2264" s="21">
        <f>IF(ISNUMBER($B2264),INT($B2264)-WEEKDAY($B2264,2)+1,"")</f>
        <v/>
      </c>
      <c r="I2264" s="24" t="n"/>
      <c r="J2264" s="22">
        <f t="array" ref="J2264">IF($D2264="","",IF($I2264="","(trống REF)",IFERROR(INDEX(MASTER_SOURCE!$B$2:$B$495,MATCH($I2264,MASTER_SOURCE!$A$2:$A$495,0)),"(REF không có trong MASTER_SOURCE)")))</f>
        <v/>
      </c>
      <c r="K2264" s="22">
        <f t="array" ref="K2264">IF($D2264="","",IFERROR(INDEX(MASTER_SOURCE!$C$2:$C$495,MATCH($I2264,MASTER_SOURCE!$A$2:$A$495,0)),""))</f>
        <v/>
      </c>
      <c r="L2264" s="22">
        <f t="array" ref="L2264">IF($D2264="","",IFERROR(INDEX(MASTER_SOURCE!$D$2:$D$495,MATCH($I2264,MASTER_SOURCE!$A$2:$A$495,0)),""))</f>
        <v/>
      </c>
      <c r="M2264" s="24" t="n"/>
      <c r="N2264" s="24" t="n"/>
      <c r="O2264" s="24" t="n"/>
      <c r="P2264" s="24" t="n"/>
      <c r="Q2264" s="22">
        <f>IF($D2264="","",IF(AND(OR(DANH_MUC!$L$5&lt;&gt;"Có",M2264="Có"),OR(DANH_MUC!$L$6&lt;&gt;"Có",N2264="Có"),OR(DANH_MUC!$L$7&lt;&gt;"Có",O2264="Có"),OR(DANH_MUC!$L$8&lt;&gt;"Có",P2264="Có")),"Có","Không"))</f>
        <v/>
      </c>
      <c r="R2264" s="22">
        <f>IF($D2264="","",IF(COUNTIF($D$2:$D2264,$D2264)&gt;1,"Trùng",""))</f>
        <v/>
      </c>
      <c r="S2264" s="22">
        <f>IF($D2264="","",IF(AND(LEN($D2264)=10,LEFT($D2264,1)="0",ISNUMBER(--$D2264)),"Có","Không"))</f>
        <v/>
      </c>
      <c r="T2264" s="22">
        <f>IF($D2264="","",IF(AND($C2264&lt;&gt;"",$Q2264="Có",$R2264="",$S2264="Có",AND($L2264&lt;&gt;"",OR($L2264&lt;&gt;"Chưa xác định",DANH_MUC!$L$9="Có"))),"Có","Không"))</f>
        <v/>
      </c>
      <c r="U2264" s="22">
        <f>IF(OR($D2264="",$T2264="Có"),"",IF($C2264="","Thiếu họ tên; ","")&amp;IF($S2264&lt;&gt;"Có","SĐT sai định dạng; ","")&amp;IF($R2264="Trùng","Trùng SĐT; ","")&amp;IF($Q2264&lt;&gt;"Có","Thiếu đồng ý bắt buộc; ","")&amp;IF($L2264="","Thiếu/sai Mã REF; ",IF(AND($L2264="Chưa xác định",DANH_MUC!$L$9&lt;&gt;"Có"),"Nguồn chưa xác định; ","")))</f>
        <v/>
      </c>
      <c r="V2264" s="22">
        <f>IF(OR($D2264="",$R2264="Trùng"),"",IF(COUNTIF(ORDERS!$C$2:$C$4995,$D2264)&gt;0,"Có","Không"))</f>
        <v/>
      </c>
      <c r="W2264" s="22">
        <f>IF(OR($D2264="",$R2264="Trùng"),"",COUNTIFS(ORDERS!$C$2:$C$4995,$D2264,ORDERS!$L$2:$L$4995,"Đã chuyển khoản"))</f>
        <v/>
      </c>
      <c r="X2264" s="23">
        <f>IF(OR($D2264="",$R2264="Trùng"),"",SUMIFS(ORDERS!$J$2:$J$4995,ORDERS!$C$2:$C$4995,$D2264,ORDERS!$L$2:$L$4995,"Đã chuyển khoản"))</f>
        <v/>
      </c>
      <c r="Y2264" s="24" t="n"/>
    </row>
    <row r="2265" ht="14.25" customHeight="1" s="40">
      <c r="A2265" s="24" t="n"/>
      <c r="B2265" s="27" t="n"/>
      <c r="C2265" s="24" t="n"/>
      <c r="D2265" s="28" t="n"/>
      <c r="E2265" s="29" t="n"/>
      <c r="F2265" s="24" t="n"/>
      <c r="G2265" s="24" t="n"/>
      <c r="H2265" s="21">
        <f>IF(ISNUMBER($B2265),INT($B2265)-WEEKDAY($B2265,2)+1,"")</f>
        <v/>
      </c>
      <c r="I2265" s="24" t="n"/>
      <c r="J2265" s="22">
        <f t="array" ref="J2265">IF($D2265="","",IF($I2265="","(trống REF)",IFERROR(INDEX(MASTER_SOURCE!$B$2:$B$495,MATCH($I2265,MASTER_SOURCE!$A$2:$A$495,0)),"(REF không có trong MASTER_SOURCE)")))</f>
        <v/>
      </c>
      <c r="K2265" s="22">
        <f t="array" ref="K2265">IF($D2265="","",IFERROR(INDEX(MASTER_SOURCE!$C$2:$C$495,MATCH($I2265,MASTER_SOURCE!$A$2:$A$495,0)),""))</f>
        <v/>
      </c>
      <c r="L2265" s="22">
        <f t="array" ref="L2265">IF($D2265="","",IFERROR(INDEX(MASTER_SOURCE!$D$2:$D$495,MATCH($I2265,MASTER_SOURCE!$A$2:$A$495,0)),""))</f>
        <v/>
      </c>
      <c r="M2265" s="24" t="n"/>
      <c r="N2265" s="24" t="n"/>
      <c r="O2265" s="24" t="n"/>
      <c r="P2265" s="24" t="n"/>
      <c r="Q2265" s="22">
        <f>IF($D2265="","",IF(AND(OR(DANH_MUC!$L$5&lt;&gt;"Có",M2265="Có"),OR(DANH_MUC!$L$6&lt;&gt;"Có",N2265="Có"),OR(DANH_MUC!$L$7&lt;&gt;"Có",O2265="Có"),OR(DANH_MUC!$L$8&lt;&gt;"Có",P2265="Có")),"Có","Không"))</f>
        <v/>
      </c>
      <c r="R2265" s="22">
        <f>IF($D2265="","",IF(COUNTIF($D$2:$D2265,$D2265)&gt;1,"Trùng",""))</f>
        <v/>
      </c>
      <c r="S2265" s="22">
        <f>IF($D2265="","",IF(AND(LEN($D2265)=10,LEFT($D2265,1)="0",ISNUMBER(--$D2265)),"Có","Không"))</f>
        <v/>
      </c>
      <c r="T2265" s="22">
        <f>IF($D2265="","",IF(AND($C2265&lt;&gt;"",$Q2265="Có",$R2265="",$S2265="Có",AND($L2265&lt;&gt;"",OR($L2265&lt;&gt;"Chưa xác định",DANH_MUC!$L$9="Có"))),"Có","Không"))</f>
        <v/>
      </c>
      <c r="U2265" s="22">
        <f>IF(OR($D2265="",$T2265="Có"),"",IF($C2265="","Thiếu họ tên; ","")&amp;IF($S2265&lt;&gt;"Có","SĐT sai định dạng; ","")&amp;IF($R2265="Trùng","Trùng SĐT; ","")&amp;IF($Q2265&lt;&gt;"Có","Thiếu đồng ý bắt buộc; ","")&amp;IF($L2265="","Thiếu/sai Mã REF; ",IF(AND($L2265="Chưa xác định",DANH_MUC!$L$9&lt;&gt;"Có"),"Nguồn chưa xác định; ","")))</f>
        <v/>
      </c>
      <c r="V2265" s="22">
        <f>IF(OR($D2265="",$R2265="Trùng"),"",IF(COUNTIF(ORDERS!$C$2:$C$4995,$D2265)&gt;0,"Có","Không"))</f>
        <v/>
      </c>
      <c r="W2265" s="22">
        <f>IF(OR($D2265="",$R2265="Trùng"),"",COUNTIFS(ORDERS!$C$2:$C$4995,$D2265,ORDERS!$L$2:$L$4995,"Đã chuyển khoản"))</f>
        <v/>
      </c>
      <c r="X2265" s="23">
        <f>IF(OR($D2265="",$R2265="Trùng"),"",SUMIFS(ORDERS!$J$2:$J$4995,ORDERS!$C$2:$C$4995,$D2265,ORDERS!$L$2:$L$4995,"Đã chuyển khoản"))</f>
        <v/>
      </c>
      <c r="Y2265" s="24" t="n"/>
    </row>
    <row r="2266" ht="14.25" customHeight="1" s="40">
      <c r="A2266" s="24" t="n"/>
      <c r="B2266" s="27" t="n"/>
      <c r="C2266" s="24" t="n"/>
      <c r="D2266" s="28" t="n"/>
      <c r="E2266" s="29" t="n"/>
      <c r="F2266" s="24" t="n"/>
      <c r="G2266" s="24" t="n"/>
      <c r="H2266" s="21">
        <f>IF(ISNUMBER($B2266),INT($B2266)-WEEKDAY($B2266,2)+1,"")</f>
        <v/>
      </c>
      <c r="I2266" s="24" t="n"/>
      <c r="J2266" s="22">
        <f t="array" ref="J2266">IF($D2266="","",IF($I2266="","(trống REF)",IFERROR(INDEX(MASTER_SOURCE!$B$2:$B$495,MATCH($I2266,MASTER_SOURCE!$A$2:$A$495,0)),"(REF không có trong MASTER_SOURCE)")))</f>
        <v/>
      </c>
      <c r="K2266" s="22">
        <f t="array" ref="K2266">IF($D2266="","",IFERROR(INDEX(MASTER_SOURCE!$C$2:$C$495,MATCH($I2266,MASTER_SOURCE!$A$2:$A$495,0)),""))</f>
        <v/>
      </c>
      <c r="L2266" s="22">
        <f t="array" ref="L2266">IF($D2266="","",IFERROR(INDEX(MASTER_SOURCE!$D$2:$D$495,MATCH($I2266,MASTER_SOURCE!$A$2:$A$495,0)),""))</f>
        <v/>
      </c>
      <c r="M2266" s="24" t="n"/>
      <c r="N2266" s="24" t="n"/>
      <c r="O2266" s="24" t="n"/>
      <c r="P2266" s="24" t="n"/>
      <c r="Q2266" s="22">
        <f>IF($D2266="","",IF(AND(OR(DANH_MUC!$L$5&lt;&gt;"Có",M2266="Có"),OR(DANH_MUC!$L$6&lt;&gt;"Có",N2266="Có"),OR(DANH_MUC!$L$7&lt;&gt;"Có",O2266="Có"),OR(DANH_MUC!$L$8&lt;&gt;"Có",P2266="Có")),"Có","Không"))</f>
        <v/>
      </c>
      <c r="R2266" s="22">
        <f>IF($D2266="","",IF(COUNTIF($D$2:$D2266,$D2266)&gt;1,"Trùng",""))</f>
        <v/>
      </c>
      <c r="S2266" s="22">
        <f>IF($D2266="","",IF(AND(LEN($D2266)=10,LEFT($D2266,1)="0",ISNUMBER(--$D2266)),"Có","Không"))</f>
        <v/>
      </c>
      <c r="T2266" s="22">
        <f>IF($D2266="","",IF(AND($C2266&lt;&gt;"",$Q2266="Có",$R2266="",$S2266="Có",AND($L2266&lt;&gt;"",OR($L2266&lt;&gt;"Chưa xác định",DANH_MUC!$L$9="Có"))),"Có","Không"))</f>
        <v/>
      </c>
      <c r="U2266" s="22">
        <f>IF(OR($D2266="",$T2266="Có"),"",IF($C2266="","Thiếu họ tên; ","")&amp;IF($S2266&lt;&gt;"Có","SĐT sai định dạng; ","")&amp;IF($R2266="Trùng","Trùng SĐT; ","")&amp;IF($Q2266&lt;&gt;"Có","Thiếu đồng ý bắt buộc; ","")&amp;IF($L2266="","Thiếu/sai Mã REF; ",IF(AND($L2266="Chưa xác định",DANH_MUC!$L$9&lt;&gt;"Có"),"Nguồn chưa xác định; ","")))</f>
        <v/>
      </c>
      <c r="V2266" s="22">
        <f>IF(OR($D2266="",$R2266="Trùng"),"",IF(COUNTIF(ORDERS!$C$2:$C$4995,$D2266)&gt;0,"Có","Không"))</f>
        <v/>
      </c>
      <c r="W2266" s="22">
        <f>IF(OR($D2266="",$R2266="Trùng"),"",COUNTIFS(ORDERS!$C$2:$C$4995,$D2266,ORDERS!$L$2:$L$4995,"Đã chuyển khoản"))</f>
        <v/>
      </c>
      <c r="X2266" s="23">
        <f>IF(OR($D2266="",$R2266="Trùng"),"",SUMIFS(ORDERS!$J$2:$J$4995,ORDERS!$C$2:$C$4995,$D2266,ORDERS!$L$2:$L$4995,"Đã chuyển khoản"))</f>
        <v/>
      </c>
      <c r="Y2266" s="24" t="n"/>
    </row>
    <row r="2267" ht="14.25" customHeight="1" s="40">
      <c r="A2267" s="24" t="n"/>
      <c r="B2267" s="27" t="n"/>
      <c r="C2267" s="24" t="n"/>
      <c r="D2267" s="28" t="n"/>
      <c r="E2267" s="29" t="n"/>
      <c r="F2267" s="24" t="n"/>
      <c r="G2267" s="24" t="n"/>
      <c r="H2267" s="21">
        <f>IF(ISNUMBER($B2267),INT($B2267)-WEEKDAY($B2267,2)+1,"")</f>
        <v/>
      </c>
      <c r="I2267" s="24" t="n"/>
      <c r="J2267" s="22">
        <f t="array" ref="J2267">IF($D2267="","",IF($I2267="","(trống REF)",IFERROR(INDEX(MASTER_SOURCE!$B$2:$B$495,MATCH($I2267,MASTER_SOURCE!$A$2:$A$495,0)),"(REF không có trong MASTER_SOURCE)")))</f>
        <v/>
      </c>
      <c r="K2267" s="22">
        <f t="array" ref="K2267">IF($D2267="","",IFERROR(INDEX(MASTER_SOURCE!$C$2:$C$495,MATCH($I2267,MASTER_SOURCE!$A$2:$A$495,0)),""))</f>
        <v/>
      </c>
      <c r="L2267" s="22">
        <f t="array" ref="L2267">IF($D2267="","",IFERROR(INDEX(MASTER_SOURCE!$D$2:$D$495,MATCH($I2267,MASTER_SOURCE!$A$2:$A$495,0)),""))</f>
        <v/>
      </c>
      <c r="M2267" s="24" t="n"/>
      <c r="N2267" s="24" t="n"/>
      <c r="O2267" s="24" t="n"/>
      <c r="P2267" s="24" t="n"/>
      <c r="Q2267" s="22">
        <f>IF($D2267="","",IF(AND(OR(DANH_MUC!$L$5&lt;&gt;"Có",M2267="Có"),OR(DANH_MUC!$L$6&lt;&gt;"Có",N2267="Có"),OR(DANH_MUC!$L$7&lt;&gt;"Có",O2267="Có"),OR(DANH_MUC!$L$8&lt;&gt;"Có",P2267="Có")),"Có","Không"))</f>
        <v/>
      </c>
      <c r="R2267" s="22">
        <f>IF($D2267="","",IF(COUNTIF($D$2:$D2267,$D2267)&gt;1,"Trùng",""))</f>
        <v/>
      </c>
      <c r="S2267" s="22">
        <f>IF($D2267="","",IF(AND(LEN($D2267)=10,LEFT($D2267,1)="0",ISNUMBER(--$D2267)),"Có","Không"))</f>
        <v/>
      </c>
      <c r="T2267" s="22">
        <f>IF($D2267="","",IF(AND($C2267&lt;&gt;"",$Q2267="Có",$R2267="",$S2267="Có",AND($L2267&lt;&gt;"",OR($L2267&lt;&gt;"Chưa xác định",DANH_MUC!$L$9="Có"))),"Có","Không"))</f>
        <v/>
      </c>
      <c r="U2267" s="22">
        <f>IF(OR($D2267="",$T2267="Có"),"",IF($C2267="","Thiếu họ tên; ","")&amp;IF($S2267&lt;&gt;"Có","SĐT sai định dạng; ","")&amp;IF($R2267="Trùng","Trùng SĐT; ","")&amp;IF($Q2267&lt;&gt;"Có","Thiếu đồng ý bắt buộc; ","")&amp;IF($L2267="","Thiếu/sai Mã REF; ",IF(AND($L2267="Chưa xác định",DANH_MUC!$L$9&lt;&gt;"Có"),"Nguồn chưa xác định; ","")))</f>
        <v/>
      </c>
      <c r="V2267" s="22">
        <f>IF(OR($D2267="",$R2267="Trùng"),"",IF(COUNTIF(ORDERS!$C$2:$C$4995,$D2267)&gt;0,"Có","Không"))</f>
        <v/>
      </c>
      <c r="W2267" s="22">
        <f>IF(OR($D2267="",$R2267="Trùng"),"",COUNTIFS(ORDERS!$C$2:$C$4995,$D2267,ORDERS!$L$2:$L$4995,"Đã chuyển khoản"))</f>
        <v/>
      </c>
      <c r="X2267" s="23">
        <f>IF(OR($D2267="",$R2267="Trùng"),"",SUMIFS(ORDERS!$J$2:$J$4995,ORDERS!$C$2:$C$4995,$D2267,ORDERS!$L$2:$L$4995,"Đã chuyển khoản"))</f>
        <v/>
      </c>
      <c r="Y2267" s="24" t="n"/>
    </row>
    <row r="2268" ht="14.25" customHeight="1" s="40">
      <c r="A2268" s="24" t="n"/>
      <c r="B2268" s="27" t="n"/>
      <c r="C2268" s="24" t="n"/>
      <c r="D2268" s="28" t="n"/>
      <c r="E2268" s="29" t="n"/>
      <c r="F2268" s="24" t="n"/>
      <c r="G2268" s="24" t="n"/>
      <c r="H2268" s="21">
        <f>IF(ISNUMBER($B2268),INT($B2268)-WEEKDAY($B2268,2)+1,"")</f>
        <v/>
      </c>
      <c r="I2268" s="24" t="n"/>
      <c r="J2268" s="22">
        <f t="array" ref="J2268">IF($D2268="","",IF($I2268="","(trống REF)",IFERROR(INDEX(MASTER_SOURCE!$B$2:$B$495,MATCH($I2268,MASTER_SOURCE!$A$2:$A$495,0)),"(REF không có trong MASTER_SOURCE)")))</f>
        <v/>
      </c>
      <c r="K2268" s="22">
        <f t="array" ref="K2268">IF($D2268="","",IFERROR(INDEX(MASTER_SOURCE!$C$2:$C$495,MATCH($I2268,MASTER_SOURCE!$A$2:$A$495,0)),""))</f>
        <v/>
      </c>
      <c r="L2268" s="22">
        <f t="array" ref="L2268">IF($D2268="","",IFERROR(INDEX(MASTER_SOURCE!$D$2:$D$495,MATCH($I2268,MASTER_SOURCE!$A$2:$A$495,0)),""))</f>
        <v/>
      </c>
      <c r="M2268" s="24" t="n"/>
      <c r="N2268" s="24" t="n"/>
      <c r="O2268" s="24" t="n"/>
      <c r="P2268" s="24" t="n"/>
      <c r="Q2268" s="22">
        <f>IF($D2268="","",IF(AND(OR(DANH_MUC!$L$5&lt;&gt;"Có",M2268="Có"),OR(DANH_MUC!$L$6&lt;&gt;"Có",N2268="Có"),OR(DANH_MUC!$L$7&lt;&gt;"Có",O2268="Có"),OR(DANH_MUC!$L$8&lt;&gt;"Có",P2268="Có")),"Có","Không"))</f>
        <v/>
      </c>
      <c r="R2268" s="22">
        <f>IF($D2268="","",IF(COUNTIF($D$2:$D2268,$D2268)&gt;1,"Trùng",""))</f>
        <v/>
      </c>
      <c r="S2268" s="22">
        <f>IF($D2268="","",IF(AND(LEN($D2268)=10,LEFT($D2268,1)="0",ISNUMBER(--$D2268)),"Có","Không"))</f>
        <v/>
      </c>
      <c r="T2268" s="22">
        <f>IF($D2268="","",IF(AND($C2268&lt;&gt;"",$Q2268="Có",$R2268="",$S2268="Có",AND($L2268&lt;&gt;"",OR($L2268&lt;&gt;"Chưa xác định",DANH_MUC!$L$9="Có"))),"Có","Không"))</f>
        <v/>
      </c>
      <c r="U2268" s="22">
        <f>IF(OR($D2268="",$T2268="Có"),"",IF($C2268="","Thiếu họ tên; ","")&amp;IF($S2268&lt;&gt;"Có","SĐT sai định dạng; ","")&amp;IF($R2268="Trùng","Trùng SĐT; ","")&amp;IF($Q2268&lt;&gt;"Có","Thiếu đồng ý bắt buộc; ","")&amp;IF($L2268="","Thiếu/sai Mã REF; ",IF(AND($L2268="Chưa xác định",DANH_MUC!$L$9&lt;&gt;"Có"),"Nguồn chưa xác định; ","")))</f>
        <v/>
      </c>
      <c r="V2268" s="22">
        <f>IF(OR($D2268="",$R2268="Trùng"),"",IF(COUNTIF(ORDERS!$C$2:$C$4995,$D2268)&gt;0,"Có","Không"))</f>
        <v/>
      </c>
      <c r="W2268" s="22">
        <f>IF(OR($D2268="",$R2268="Trùng"),"",COUNTIFS(ORDERS!$C$2:$C$4995,$D2268,ORDERS!$L$2:$L$4995,"Đã chuyển khoản"))</f>
        <v/>
      </c>
      <c r="X2268" s="23">
        <f>IF(OR($D2268="",$R2268="Trùng"),"",SUMIFS(ORDERS!$J$2:$J$4995,ORDERS!$C$2:$C$4995,$D2268,ORDERS!$L$2:$L$4995,"Đã chuyển khoản"))</f>
        <v/>
      </c>
      <c r="Y2268" s="24" t="n"/>
    </row>
    <row r="2269" ht="14.25" customHeight="1" s="40">
      <c r="A2269" s="24" t="n"/>
      <c r="B2269" s="27" t="n"/>
      <c r="C2269" s="24" t="n"/>
      <c r="D2269" s="28" t="n"/>
      <c r="E2269" s="29" t="n"/>
      <c r="F2269" s="24" t="n"/>
      <c r="G2269" s="24" t="n"/>
      <c r="H2269" s="21">
        <f>IF(ISNUMBER($B2269),INT($B2269)-WEEKDAY($B2269,2)+1,"")</f>
        <v/>
      </c>
      <c r="I2269" s="24" t="n"/>
      <c r="J2269" s="22">
        <f t="array" ref="J2269">IF($D2269="","",IF($I2269="","(trống REF)",IFERROR(INDEX(MASTER_SOURCE!$B$2:$B$495,MATCH($I2269,MASTER_SOURCE!$A$2:$A$495,0)),"(REF không có trong MASTER_SOURCE)")))</f>
        <v/>
      </c>
      <c r="K2269" s="22">
        <f t="array" ref="K2269">IF($D2269="","",IFERROR(INDEX(MASTER_SOURCE!$C$2:$C$495,MATCH($I2269,MASTER_SOURCE!$A$2:$A$495,0)),""))</f>
        <v/>
      </c>
      <c r="L2269" s="22">
        <f t="array" ref="L2269">IF($D2269="","",IFERROR(INDEX(MASTER_SOURCE!$D$2:$D$495,MATCH($I2269,MASTER_SOURCE!$A$2:$A$495,0)),""))</f>
        <v/>
      </c>
      <c r="M2269" s="24" t="n"/>
      <c r="N2269" s="24" t="n"/>
      <c r="O2269" s="24" t="n"/>
      <c r="P2269" s="24" t="n"/>
      <c r="Q2269" s="22">
        <f>IF($D2269="","",IF(AND(OR(DANH_MUC!$L$5&lt;&gt;"Có",M2269="Có"),OR(DANH_MUC!$L$6&lt;&gt;"Có",N2269="Có"),OR(DANH_MUC!$L$7&lt;&gt;"Có",O2269="Có"),OR(DANH_MUC!$L$8&lt;&gt;"Có",P2269="Có")),"Có","Không"))</f>
        <v/>
      </c>
      <c r="R2269" s="22">
        <f>IF($D2269="","",IF(COUNTIF($D$2:$D2269,$D2269)&gt;1,"Trùng",""))</f>
        <v/>
      </c>
      <c r="S2269" s="22">
        <f>IF($D2269="","",IF(AND(LEN($D2269)=10,LEFT($D2269,1)="0",ISNUMBER(--$D2269)),"Có","Không"))</f>
        <v/>
      </c>
      <c r="T2269" s="22">
        <f>IF($D2269="","",IF(AND($C2269&lt;&gt;"",$Q2269="Có",$R2269="",$S2269="Có",AND($L2269&lt;&gt;"",OR($L2269&lt;&gt;"Chưa xác định",DANH_MUC!$L$9="Có"))),"Có","Không"))</f>
        <v/>
      </c>
      <c r="U2269" s="22">
        <f>IF(OR($D2269="",$T2269="Có"),"",IF($C2269="","Thiếu họ tên; ","")&amp;IF($S2269&lt;&gt;"Có","SĐT sai định dạng; ","")&amp;IF($R2269="Trùng","Trùng SĐT; ","")&amp;IF($Q2269&lt;&gt;"Có","Thiếu đồng ý bắt buộc; ","")&amp;IF($L2269="","Thiếu/sai Mã REF; ",IF(AND($L2269="Chưa xác định",DANH_MUC!$L$9&lt;&gt;"Có"),"Nguồn chưa xác định; ","")))</f>
        <v/>
      </c>
      <c r="V2269" s="22">
        <f>IF(OR($D2269="",$R2269="Trùng"),"",IF(COUNTIF(ORDERS!$C$2:$C$4995,$D2269)&gt;0,"Có","Không"))</f>
        <v/>
      </c>
      <c r="W2269" s="22">
        <f>IF(OR($D2269="",$R2269="Trùng"),"",COUNTIFS(ORDERS!$C$2:$C$4995,$D2269,ORDERS!$L$2:$L$4995,"Đã chuyển khoản"))</f>
        <v/>
      </c>
      <c r="X2269" s="23">
        <f>IF(OR($D2269="",$R2269="Trùng"),"",SUMIFS(ORDERS!$J$2:$J$4995,ORDERS!$C$2:$C$4995,$D2269,ORDERS!$L$2:$L$4995,"Đã chuyển khoản"))</f>
        <v/>
      </c>
      <c r="Y2269" s="24" t="n"/>
    </row>
    <row r="2270" ht="14.25" customHeight="1" s="40">
      <c r="A2270" s="24" t="n"/>
      <c r="B2270" s="27" t="n"/>
      <c r="C2270" s="24" t="n"/>
      <c r="D2270" s="28" t="n"/>
      <c r="E2270" s="29" t="n"/>
      <c r="F2270" s="24" t="n"/>
      <c r="G2270" s="24" t="n"/>
      <c r="H2270" s="21">
        <f>IF(ISNUMBER($B2270),INT($B2270)-WEEKDAY($B2270,2)+1,"")</f>
        <v/>
      </c>
      <c r="I2270" s="24" t="n"/>
      <c r="J2270" s="22">
        <f t="array" ref="J2270">IF($D2270="","",IF($I2270="","(trống REF)",IFERROR(INDEX(MASTER_SOURCE!$B$2:$B$495,MATCH($I2270,MASTER_SOURCE!$A$2:$A$495,0)),"(REF không có trong MASTER_SOURCE)")))</f>
        <v/>
      </c>
      <c r="K2270" s="22">
        <f t="array" ref="K2270">IF($D2270="","",IFERROR(INDEX(MASTER_SOURCE!$C$2:$C$495,MATCH($I2270,MASTER_SOURCE!$A$2:$A$495,0)),""))</f>
        <v/>
      </c>
      <c r="L2270" s="22">
        <f t="array" ref="L2270">IF($D2270="","",IFERROR(INDEX(MASTER_SOURCE!$D$2:$D$495,MATCH($I2270,MASTER_SOURCE!$A$2:$A$495,0)),""))</f>
        <v/>
      </c>
      <c r="M2270" s="24" t="n"/>
      <c r="N2270" s="24" t="n"/>
      <c r="O2270" s="24" t="n"/>
      <c r="P2270" s="24" t="n"/>
      <c r="Q2270" s="22">
        <f>IF($D2270="","",IF(AND(OR(DANH_MUC!$L$5&lt;&gt;"Có",M2270="Có"),OR(DANH_MUC!$L$6&lt;&gt;"Có",N2270="Có"),OR(DANH_MUC!$L$7&lt;&gt;"Có",O2270="Có"),OR(DANH_MUC!$L$8&lt;&gt;"Có",P2270="Có")),"Có","Không"))</f>
        <v/>
      </c>
      <c r="R2270" s="22">
        <f>IF($D2270="","",IF(COUNTIF($D$2:$D2270,$D2270)&gt;1,"Trùng",""))</f>
        <v/>
      </c>
      <c r="S2270" s="22">
        <f>IF($D2270="","",IF(AND(LEN($D2270)=10,LEFT($D2270,1)="0",ISNUMBER(--$D2270)),"Có","Không"))</f>
        <v/>
      </c>
      <c r="T2270" s="22">
        <f>IF($D2270="","",IF(AND($C2270&lt;&gt;"",$Q2270="Có",$R2270="",$S2270="Có",AND($L2270&lt;&gt;"",OR($L2270&lt;&gt;"Chưa xác định",DANH_MUC!$L$9="Có"))),"Có","Không"))</f>
        <v/>
      </c>
      <c r="U2270" s="22">
        <f>IF(OR($D2270="",$T2270="Có"),"",IF($C2270="","Thiếu họ tên; ","")&amp;IF($S2270&lt;&gt;"Có","SĐT sai định dạng; ","")&amp;IF($R2270="Trùng","Trùng SĐT; ","")&amp;IF($Q2270&lt;&gt;"Có","Thiếu đồng ý bắt buộc; ","")&amp;IF($L2270="","Thiếu/sai Mã REF; ",IF(AND($L2270="Chưa xác định",DANH_MUC!$L$9&lt;&gt;"Có"),"Nguồn chưa xác định; ","")))</f>
        <v/>
      </c>
      <c r="V2270" s="22">
        <f>IF(OR($D2270="",$R2270="Trùng"),"",IF(COUNTIF(ORDERS!$C$2:$C$4995,$D2270)&gt;0,"Có","Không"))</f>
        <v/>
      </c>
      <c r="W2270" s="22">
        <f>IF(OR($D2270="",$R2270="Trùng"),"",COUNTIFS(ORDERS!$C$2:$C$4995,$D2270,ORDERS!$L$2:$L$4995,"Đã chuyển khoản"))</f>
        <v/>
      </c>
      <c r="X2270" s="23">
        <f>IF(OR($D2270="",$R2270="Trùng"),"",SUMIFS(ORDERS!$J$2:$J$4995,ORDERS!$C$2:$C$4995,$D2270,ORDERS!$L$2:$L$4995,"Đã chuyển khoản"))</f>
        <v/>
      </c>
      <c r="Y2270" s="24" t="n"/>
    </row>
    <row r="2271" ht="14.25" customHeight="1" s="40">
      <c r="A2271" s="24" t="n"/>
      <c r="B2271" s="27" t="n"/>
      <c r="C2271" s="24" t="n"/>
      <c r="D2271" s="28" t="n"/>
      <c r="E2271" s="29" t="n"/>
      <c r="F2271" s="24" t="n"/>
      <c r="G2271" s="24" t="n"/>
      <c r="H2271" s="21">
        <f>IF(ISNUMBER($B2271),INT($B2271)-WEEKDAY($B2271,2)+1,"")</f>
        <v/>
      </c>
      <c r="I2271" s="24" t="n"/>
      <c r="J2271" s="22">
        <f t="array" ref="J2271">IF($D2271="","",IF($I2271="","(trống REF)",IFERROR(INDEX(MASTER_SOURCE!$B$2:$B$495,MATCH($I2271,MASTER_SOURCE!$A$2:$A$495,0)),"(REF không có trong MASTER_SOURCE)")))</f>
        <v/>
      </c>
      <c r="K2271" s="22">
        <f t="array" ref="K2271">IF($D2271="","",IFERROR(INDEX(MASTER_SOURCE!$C$2:$C$495,MATCH($I2271,MASTER_SOURCE!$A$2:$A$495,0)),""))</f>
        <v/>
      </c>
      <c r="L2271" s="22">
        <f t="array" ref="L2271">IF($D2271="","",IFERROR(INDEX(MASTER_SOURCE!$D$2:$D$495,MATCH($I2271,MASTER_SOURCE!$A$2:$A$495,0)),""))</f>
        <v/>
      </c>
      <c r="M2271" s="24" t="n"/>
      <c r="N2271" s="24" t="n"/>
      <c r="O2271" s="24" t="n"/>
      <c r="P2271" s="24" t="n"/>
      <c r="Q2271" s="22">
        <f>IF($D2271="","",IF(AND(OR(DANH_MUC!$L$5&lt;&gt;"Có",M2271="Có"),OR(DANH_MUC!$L$6&lt;&gt;"Có",N2271="Có"),OR(DANH_MUC!$L$7&lt;&gt;"Có",O2271="Có"),OR(DANH_MUC!$L$8&lt;&gt;"Có",P2271="Có")),"Có","Không"))</f>
        <v/>
      </c>
      <c r="R2271" s="22">
        <f>IF($D2271="","",IF(COUNTIF($D$2:$D2271,$D2271)&gt;1,"Trùng",""))</f>
        <v/>
      </c>
      <c r="S2271" s="22">
        <f>IF($D2271="","",IF(AND(LEN($D2271)=10,LEFT($D2271,1)="0",ISNUMBER(--$D2271)),"Có","Không"))</f>
        <v/>
      </c>
      <c r="T2271" s="22">
        <f>IF($D2271="","",IF(AND($C2271&lt;&gt;"",$Q2271="Có",$R2271="",$S2271="Có",AND($L2271&lt;&gt;"",OR($L2271&lt;&gt;"Chưa xác định",DANH_MUC!$L$9="Có"))),"Có","Không"))</f>
        <v/>
      </c>
      <c r="U2271" s="22">
        <f>IF(OR($D2271="",$T2271="Có"),"",IF($C2271="","Thiếu họ tên; ","")&amp;IF($S2271&lt;&gt;"Có","SĐT sai định dạng; ","")&amp;IF($R2271="Trùng","Trùng SĐT; ","")&amp;IF($Q2271&lt;&gt;"Có","Thiếu đồng ý bắt buộc; ","")&amp;IF($L2271="","Thiếu/sai Mã REF; ",IF(AND($L2271="Chưa xác định",DANH_MUC!$L$9&lt;&gt;"Có"),"Nguồn chưa xác định; ","")))</f>
        <v/>
      </c>
      <c r="V2271" s="22">
        <f>IF(OR($D2271="",$R2271="Trùng"),"",IF(COUNTIF(ORDERS!$C$2:$C$4995,$D2271)&gt;0,"Có","Không"))</f>
        <v/>
      </c>
      <c r="W2271" s="22">
        <f>IF(OR($D2271="",$R2271="Trùng"),"",COUNTIFS(ORDERS!$C$2:$C$4995,$D2271,ORDERS!$L$2:$L$4995,"Đã chuyển khoản"))</f>
        <v/>
      </c>
      <c r="X2271" s="23">
        <f>IF(OR($D2271="",$R2271="Trùng"),"",SUMIFS(ORDERS!$J$2:$J$4995,ORDERS!$C$2:$C$4995,$D2271,ORDERS!$L$2:$L$4995,"Đã chuyển khoản"))</f>
        <v/>
      </c>
      <c r="Y2271" s="24" t="n"/>
    </row>
    <row r="2272" ht="14.25" customHeight="1" s="40">
      <c r="A2272" s="24" t="n"/>
      <c r="B2272" s="27" t="n"/>
      <c r="C2272" s="24" t="n"/>
      <c r="D2272" s="28" t="n"/>
      <c r="E2272" s="29" t="n"/>
      <c r="F2272" s="24" t="n"/>
      <c r="G2272" s="24" t="n"/>
      <c r="H2272" s="21">
        <f>IF(ISNUMBER($B2272),INT($B2272)-WEEKDAY($B2272,2)+1,"")</f>
        <v/>
      </c>
      <c r="I2272" s="24" t="n"/>
      <c r="J2272" s="22">
        <f t="array" ref="J2272">IF($D2272="","",IF($I2272="","(trống REF)",IFERROR(INDEX(MASTER_SOURCE!$B$2:$B$495,MATCH($I2272,MASTER_SOURCE!$A$2:$A$495,0)),"(REF không có trong MASTER_SOURCE)")))</f>
        <v/>
      </c>
      <c r="K2272" s="22">
        <f t="array" ref="K2272">IF($D2272="","",IFERROR(INDEX(MASTER_SOURCE!$C$2:$C$495,MATCH($I2272,MASTER_SOURCE!$A$2:$A$495,0)),""))</f>
        <v/>
      </c>
      <c r="L2272" s="22">
        <f t="array" ref="L2272">IF($D2272="","",IFERROR(INDEX(MASTER_SOURCE!$D$2:$D$495,MATCH($I2272,MASTER_SOURCE!$A$2:$A$495,0)),""))</f>
        <v/>
      </c>
      <c r="M2272" s="24" t="n"/>
      <c r="N2272" s="24" t="n"/>
      <c r="O2272" s="24" t="n"/>
      <c r="P2272" s="24" t="n"/>
      <c r="Q2272" s="22">
        <f>IF($D2272="","",IF(AND(OR(DANH_MUC!$L$5&lt;&gt;"Có",M2272="Có"),OR(DANH_MUC!$L$6&lt;&gt;"Có",N2272="Có"),OR(DANH_MUC!$L$7&lt;&gt;"Có",O2272="Có"),OR(DANH_MUC!$L$8&lt;&gt;"Có",P2272="Có")),"Có","Không"))</f>
        <v/>
      </c>
      <c r="R2272" s="22">
        <f>IF($D2272="","",IF(COUNTIF($D$2:$D2272,$D2272)&gt;1,"Trùng",""))</f>
        <v/>
      </c>
      <c r="S2272" s="22">
        <f>IF($D2272="","",IF(AND(LEN($D2272)=10,LEFT($D2272,1)="0",ISNUMBER(--$D2272)),"Có","Không"))</f>
        <v/>
      </c>
      <c r="T2272" s="22">
        <f>IF($D2272="","",IF(AND($C2272&lt;&gt;"",$Q2272="Có",$R2272="",$S2272="Có",AND($L2272&lt;&gt;"",OR($L2272&lt;&gt;"Chưa xác định",DANH_MUC!$L$9="Có"))),"Có","Không"))</f>
        <v/>
      </c>
      <c r="U2272" s="22">
        <f>IF(OR($D2272="",$T2272="Có"),"",IF($C2272="","Thiếu họ tên; ","")&amp;IF($S2272&lt;&gt;"Có","SĐT sai định dạng; ","")&amp;IF($R2272="Trùng","Trùng SĐT; ","")&amp;IF($Q2272&lt;&gt;"Có","Thiếu đồng ý bắt buộc; ","")&amp;IF($L2272="","Thiếu/sai Mã REF; ",IF(AND($L2272="Chưa xác định",DANH_MUC!$L$9&lt;&gt;"Có"),"Nguồn chưa xác định; ","")))</f>
        <v/>
      </c>
      <c r="V2272" s="22">
        <f>IF(OR($D2272="",$R2272="Trùng"),"",IF(COUNTIF(ORDERS!$C$2:$C$4995,$D2272)&gt;0,"Có","Không"))</f>
        <v/>
      </c>
      <c r="W2272" s="22">
        <f>IF(OR($D2272="",$R2272="Trùng"),"",COUNTIFS(ORDERS!$C$2:$C$4995,$D2272,ORDERS!$L$2:$L$4995,"Đã chuyển khoản"))</f>
        <v/>
      </c>
      <c r="X2272" s="23">
        <f>IF(OR($D2272="",$R2272="Trùng"),"",SUMIFS(ORDERS!$J$2:$J$4995,ORDERS!$C$2:$C$4995,$D2272,ORDERS!$L$2:$L$4995,"Đã chuyển khoản"))</f>
        <v/>
      </c>
      <c r="Y2272" s="24" t="n"/>
    </row>
    <row r="2273" ht="14.25" customHeight="1" s="40">
      <c r="A2273" s="24" t="n"/>
      <c r="B2273" s="27" t="n"/>
      <c r="C2273" s="24" t="n"/>
      <c r="D2273" s="28" t="n"/>
      <c r="E2273" s="29" t="n"/>
      <c r="F2273" s="24" t="n"/>
      <c r="G2273" s="24" t="n"/>
      <c r="H2273" s="21">
        <f>IF(ISNUMBER($B2273),INT($B2273)-WEEKDAY($B2273,2)+1,"")</f>
        <v/>
      </c>
      <c r="I2273" s="24" t="n"/>
      <c r="J2273" s="22">
        <f t="array" ref="J2273">IF($D2273="","",IF($I2273="","(trống REF)",IFERROR(INDEX(MASTER_SOURCE!$B$2:$B$495,MATCH($I2273,MASTER_SOURCE!$A$2:$A$495,0)),"(REF không có trong MASTER_SOURCE)")))</f>
        <v/>
      </c>
      <c r="K2273" s="22">
        <f t="array" ref="K2273">IF($D2273="","",IFERROR(INDEX(MASTER_SOURCE!$C$2:$C$495,MATCH($I2273,MASTER_SOURCE!$A$2:$A$495,0)),""))</f>
        <v/>
      </c>
      <c r="L2273" s="22">
        <f t="array" ref="L2273">IF($D2273="","",IFERROR(INDEX(MASTER_SOURCE!$D$2:$D$495,MATCH($I2273,MASTER_SOURCE!$A$2:$A$495,0)),""))</f>
        <v/>
      </c>
      <c r="M2273" s="24" t="n"/>
      <c r="N2273" s="24" t="n"/>
      <c r="O2273" s="24" t="n"/>
      <c r="P2273" s="24" t="n"/>
      <c r="Q2273" s="22">
        <f>IF($D2273="","",IF(AND(OR(DANH_MUC!$L$5&lt;&gt;"Có",M2273="Có"),OR(DANH_MUC!$L$6&lt;&gt;"Có",N2273="Có"),OR(DANH_MUC!$L$7&lt;&gt;"Có",O2273="Có"),OR(DANH_MUC!$L$8&lt;&gt;"Có",P2273="Có")),"Có","Không"))</f>
        <v/>
      </c>
      <c r="R2273" s="22">
        <f>IF($D2273="","",IF(COUNTIF($D$2:$D2273,$D2273)&gt;1,"Trùng",""))</f>
        <v/>
      </c>
      <c r="S2273" s="22">
        <f>IF($D2273="","",IF(AND(LEN($D2273)=10,LEFT($D2273,1)="0",ISNUMBER(--$D2273)),"Có","Không"))</f>
        <v/>
      </c>
      <c r="T2273" s="22">
        <f>IF($D2273="","",IF(AND($C2273&lt;&gt;"",$Q2273="Có",$R2273="",$S2273="Có",AND($L2273&lt;&gt;"",OR($L2273&lt;&gt;"Chưa xác định",DANH_MUC!$L$9="Có"))),"Có","Không"))</f>
        <v/>
      </c>
      <c r="U2273" s="22">
        <f>IF(OR($D2273="",$T2273="Có"),"",IF($C2273="","Thiếu họ tên; ","")&amp;IF($S2273&lt;&gt;"Có","SĐT sai định dạng; ","")&amp;IF($R2273="Trùng","Trùng SĐT; ","")&amp;IF($Q2273&lt;&gt;"Có","Thiếu đồng ý bắt buộc; ","")&amp;IF($L2273="","Thiếu/sai Mã REF; ",IF(AND($L2273="Chưa xác định",DANH_MUC!$L$9&lt;&gt;"Có"),"Nguồn chưa xác định; ","")))</f>
        <v/>
      </c>
      <c r="V2273" s="22">
        <f>IF(OR($D2273="",$R2273="Trùng"),"",IF(COUNTIF(ORDERS!$C$2:$C$4995,$D2273)&gt;0,"Có","Không"))</f>
        <v/>
      </c>
      <c r="W2273" s="22">
        <f>IF(OR($D2273="",$R2273="Trùng"),"",COUNTIFS(ORDERS!$C$2:$C$4995,$D2273,ORDERS!$L$2:$L$4995,"Đã chuyển khoản"))</f>
        <v/>
      </c>
      <c r="X2273" s="23">
        <f>IF(OR($D2273="",$R2273="Trùng"),"",SUMIFS(ORDERS!$J$2:$J$4995,ORDERS!$C$2:$C$4995,$D2273,ORDERS!$L$2:$L$4995,"Đã chuyển khoản"))</f>
        <v/>
      </c>
      <c r="Y2273" s="24" t="n"/>
    </row>
    <row r="2274" ht="14.25" customHeight="1" s="40">
      <c r="A2274" s="24" t="n"/>
      <c r="B2274" s="27" t="n"/>
      <c r="C2274" s="24" t="n"/>
      <c r="D2274" s="28" t="n"/>
      <c r="E2274" s="29" t="n"/>
      <c r="F2274" s="24" t="n"/>
      <c r="G2274" s="24" t="n"/>
      <c r="H2274" s="21">
        <f>IF(ISNUMBER($B2274),INT($B2274)-WEEKDAY($B2274,2)+1,"")</f>
        <v/>
      </c>
      <c r="I2274" s="24" t="n"/>
      <c r="J2274" s="22">
        <f t="array" ref="J2274">IF($D2274="","",IF($I2274="","(trống REF)",IFERROR(INDEX(MASTER_SOURCE!$B$2:$B$495,MATCH($I2274,MASTER_SOURCE!$A$2:$A$495,0)),"(REF không có trong MASTER_SOURCE)")))</f>
        <v/>
      </c>
      <c r="K2274" s="22">
        <f t="array" ref="K2274">IF($D2274="","",IFERROR(INDEX(MASTER_SOURCE!$C$2:$C$495,MATCH($I2274,MASTER_SOURCE!$A$2:$A$495,0)),""))</f>
        <v/>
      </c>
      <c r="L2274" s="22">
        <f t="array" ref="L2274">IF($D2274="","",IFERROR(INDEX(MASTER_SOURCE!$D$2:$D$495,MATCH($I2274,MASTER_SOURCE!$A$2:$A$495,0)),""))</f>
        <v/>
      </c>
      <c r="M2274" s="24" t="n"/>
      <c r="N2274" s="24" t="n"/>
      <c r="O2274" s="24" t="n"/>
      <c r="P2274" s="24" t="n"/>
      <c r="Q2274" s="22">
        <f>IF($D2274="","",IF(AND(OR(DANH_MUC!$L$5&lt;&gt;"Có",M2274="Có"),OR(DANH_MUC!$L$6&lt;&gt;"Có",N2274="Có"),OR(DANH_MUC!$L$7&lt;&gt;"Có",O2274="Có"),OR(DANH_MUC!$L$8&lt;&gt;"Có",P2274="Có")),"Có","Không"))</f>
        <v/>
      </c>
      <c r="R2274" s="22">
        <f>IF($D2274="","",IF(COUNTIF($D$2:$D2274,$D2274)&gt;1,"Trùng",""))</f>
        <v/>
      </c>
      <c r="S2274" s="22">
        <f>IF($D2274="","",IF(AND(LEN($D2274)=10,LEFT($D2274,1)="0",ISNUMBER(--$D2274)),"Có","Không"))</f>
        <v/>
      </c>
      <c r="T2274" s="22">
        <f>IF($D2274="","",IF(AND($C2274&lt;&gt;"",$Q2274="Có",$R2274="",$S2274="Có",AND($L2274&lt;&gt;"",OR($L2274&lt;&gt;"Chưa xác định",DANH_MUC!$L$9="Có"))),"Có","Không"))</f>
        <v/>
      </c>
      <c r="U2274" s="22">
        <f>IF(OR($D2274="",$T2274="Có"),"",IF($C2274="","Thiếu họ tên; ","")&amp;IF($S2274&lt;&gt;"Có","SĐT sai định dạng; ","")&amp;IF($R2274="Trùng","Trùng SĐT; ","")&amp;IF($Q2274&lt;&gt;"Có","Thiếu đồng ý bắt buộc; ","")&amp;IF($L2274="","Thiếu/sai Mã REF; ",IF(AND($L2274="Chưa xác định",DANH_MUC!$L$9&lt;&gt;"Có"),"Nguồn chưa xác định; ","")))</f>
        <v/>
      </c>
      <c r="V2274" s="22">
        <f>IF(OR($D2274="",$R2274="Trùng"),"",IF(COUNTIF(ORDERS!$C$2:$C$4995,$D2274)&gt;0,"Có","Không"))</f>
        <v/>
      </c>
      <c r="W2274" s="22">
        <f>IF(OR($D2274="",$R2274="Trùng"),"",COUNTIFS(ORDERS!$C$2:$C$4995,$D2274,ORDERS!$L$2:$L$4995,"Đã chuyển khoản"))</f>
        <v/>
      </c>
      <c r="X2274" s="23">
        <f>IF(OR($D2274="",$R2274="Trùng"),"",SUMIFS(ORDERS!$J$2:$J$4995,ORDERS!$C$2:$C$4995,$D2274,ORDERS!$L$2:$L$4995,"Đã chuyển khoản"))</f>
        <v/>
      </c>
      <c r="Y2274" s="24" t="n"/>
    </row>
    <row r="2275" ht="14.25" customHeight="1" s="40">
      <c r="A2275" s="24" t="n"/>
      <c r="B2275" s="27" t="n"/>
      <c r="C2275" s="24" t="n"/>
      <c r="D2275" s="28" t="n"/>
      <c r="E2275" s="29" t="n"/>
      <c r="F2275" s="24" t="n"/>
      <c r="G2275" s="24" t="n"/>
      <c r="H2275" s="21">
        <f>IF(ISNUMBER($B2275),INT($B2275)-WEEKDAY($B2275,2)+1,"")</f>
        <v/>
      </c>
      <c r="I2275" s="24" t="n"/>
      <c r="J2275" s="22">
        <f t="array" ref="J2275">IF($D2275="","",IF($I2275="","(trống REF)",IFERROR(INDEX(MASTER_SOURCE!$B$2:$B$495,MATCH($I2275,MASTER_SOURCE!$A$2:$A$495,0)),"(REF không có trong MASTER_SOURCE)")))</f>
        <v/>
      </c>
      <c r="K2275" s="22">
        <f t="array" ref="K2275">IF($D2275="","",IFERROR(INDEX(MASTER_SOURCE!$C$2:$C$495,MATCH($I2275,MASTER_SOURCE!$A$2:$A$495,0)),""))</f>
        <v/>
      </c>
      <c r="L2275" s="22">
        <f t="array" ref="L2275">IF($D2275="","",IFERROR(INDEX(MASTER_SOURCE!$D$2:$D$495,MATCH($I2275,MASTER_SOURCE!$A$2:$A$495,0)),""))</f>
        <v/>
      </c>
      <c r="M2275" s="24" t="n"/>
      <c r="N2275" s="24" t="n"/>
      <c r="O2275" s="24" t="n"/>
      <c r="P2275" s="24" t="n"/>
      <c r="Q2275" s="22">
        <f>IF($D2275="","",IF(AND(OR(DANH_MUC!$L$5&lt;&gt;"Có",M2275="Có"),OR(DANH_MUC!$L$6&lt;&gt;"Có",N2275="Có"),OR(DANH_MUC!$L$7&lt;&gt;"Có",O2275="Có"),OR(DANH_MUC!$L$8&lt;&gt;"Có",P2275="Có")),"Có","Không"))</f>
        <v/>
      </c>
      <c r="R2275" s="22">
        <f>IF($D2275="","",IF(COUNTIF($D$2:$D2275,$D2275)&gt;1,"Trùng",""))</f>
        <v/>
      </c>
      <c r="S2275" s="22">
        <f>IF($D2275="","",IF(AND(LEN($D2275)=10,LEFT($D2275,1)="0",ISNUMBER(--$D2275)),"Có","Không"))</f>
        <v/>
      </c>
      <c r="T2275" s="22">
        <f>IF($D2275="","",IF(AND($C2275&lt;&gt;"",$Q2275="Có",$R2275="",$S2275="Có",AND($L2275&lt;&gt;"",OR($L2275&lt;&gt;"Chưa xác định",DANH_MUC!$L$9="Có"))),"Có","Không"))</f>
        <v/>
      </c>
      <c r="U2275" s="22">
        <f>IF(OR($D2275="",$T2275="Có"),"",IF($C2275="","Thiếu họ tên; ","")&amp;IF($S2275&lt;&gt;"Có","SĐT sai định dạng; ","")&amp;IF($R2275="Trùng","Trùng SĐT; ","")&amp;IF($Q2275&lt;&gt;"Có","Thiếu đồng ý bắt buộc; ","")&amp;IF($L2275="","Thiếu/sai Mã REF; ",IF(AND($L2275="Chưa xác định",DANH_MUC!$L$9&lt;&gt;"Có"),"Nguồn chưa xác định; ","")))</f>
        <v/>
      </c>
      <c r="V2275" s="22">
        <f>IF(OR($D2275="",$R2275="Trùng"),"",IF(COUNTIF(ORDERS!$C$2:$C$4995,$D2275)&gt;0,"Có","Không"))</f>
        <v/>
      </c>
      <c r="W2275" s="22">
        <f>IF(OR($D2275="",$R2275="Trùng"),"",COUNTIFS(ORDERS!$C$2:$C$4995,$D2275,ORDERS!$L$2:$L$4995,"Đã chuyển khoản"))</f>
        <v/>
      </c>
      <c r="X2275" s="23">
        <f>IF(OR($D2275="",$R2275="Trùng"),"",SUMIFS(ORDERS!$J$2:$J$4995,ORDERS!$C$2:$C$4995,$D2275,ORDERS!$L$2:$L$4995,"Đã chuyển khoản"))</f>
        <v/>
      </c>
      <c r="Y2275" s="24" t="n"/>
    </row>
    <row r="2276" ht="14.25" customHeight="1" s="40">
      <c r="A2276" s="24" t="n"/>
      <c r="B2276" s="27" t="n"/>
      <c r="C2276" s="24" t="n"/>
      <c r="D2276" s="28" t="n"/>
      <c r="E2276" s="29" t="n"/>
      <c r="F2276" s="24" t="n"/>
      <c r="G2276" s="24" t="n"/>
      <c r="H2276" s="21">
        <f>IF(ISNUMBER($B2276),INT($B2276)-WEEKDAY($B2276,2)+1,"")</f>
        <v/>
      </c>
      <c r="I2276" s="24" t="n"/>
      <c r="J2276" s="22">
        <f t="array" ref="J2276">IF($D2276="","",IF($I2276="","(trống REF)",IFERROR(INDEX(MASTER_SOURCE!$B$2:$B$495,MATCH($I2276,MASTER_SOURCE!$A$2:$A$495,0)),"(REF không có trong MASTER_SOURCE)")))</f>
        <v/>
      </c>
      <c r="K2276" s="22">
        <f t="array" ref="K2276">IF($D2276="","",IFERROR(INDEX(MASTER_SOURCE!$C$2:$C$495,MATCH($I2276,MASTER_SOURCE!$A$2:$A$495,0)),""))</f>
        <v/>
      </c>
      <c r="L2276" s="22">
        <f t="array" ref="L2276">IF($D2276="","",IFERROR(INDEX(MASTER_SOURCE!$D$2:$D$495,MATCH($I2276,MASTER_SOURCE!$A$2:$A$495,0)),""))</f>
        <v/>
      </c>
      <c r="M2276" s="24" t="n"/>
      <c r="N2276" s="24" t="n"/>
      <c r="O2276" s="24" t="n"/>
      <c r="P2276" s="24" t="n"/>
      <c r="Q2276" s="22">
        <f>IF($D2276="","",IF(AND(OR(DANH_MUC!$L$5&lt;&gt;"Có",M2276="Có"),OR(DANH_MUC!$L$6&lt;&gt;"Có",N2276="Có"),OR(DANH_MUC!$L$7&lt;&gt;"Có",O2276="Có"),OR(DANH_MUC!$L$8&lt;&gt;"Có",P2276="Có")),"Có","Không"))</f>
        <v/>
      </c>
      <c r="R2276" s="22">
        <f>IF($D2276="","",IF(COUNTIF($D$2:$D2276,$D2276)&gt;1,"Trùng",""))</f>
        <v/>
      </c>
      <c r="S2276" s="22">
        <f>IF($D2276="","",IF(AND(LEN($D2276)=10,LEFT($D2276,1)="0",ISNUMBER(--$D2276)),"Có","Không"))</f>
        <v/>
      </c>
      <c r="T2276" s="22">
        <f>IF($D2276="","",IF(AND($C2276&lt;&gt;"",$Q2276="Có",$R2276="",$S2276="Có",AND($L2276&lt;&gt;"",OR($L2276&lt;&gt;"Chưa xác định",DANH_MUC!$L$9="Có"))),"Có","Không"))</f>
        <v/>
      </c>
      <c r="U2276" s="22">
        <f>IF(OR($D2276="",$T2276="Có"),"",IF($C2276="","Thiếu họ tên; ","")&amp;IF($S2276&lt;&gt;"Có","SĐT sai định dạng; ","")&amp;IF($R2276="Trùng","Trùng SĐT; ","")&amp;IF($Q2276&lt;&gt;"Có","Thiếu đồng ý bắt buộc; ","")&amp;IF($L2276="","Thiếu/sai Mã REF; ",IF(AND($L2276="Chưa xác định",DANH_MUC!$L$9&lt;&gt;"Có"),"Nguồn chưa xác định; ","")))</f>
        <v/>
      </c>
      <c r="V2276" s="22">
        <f>IF(OR($D2276="",$R2276="Trùng"),"",IF(COUNTIF(ORDERS!$C$2:$C$4995,$D2276)&gt;0,"Có","Không"))</f>
        <v/>
      </c>
      <c r="W2276" s="22">
        <f>IF(OR($D2276="",$R2276="Trùng"),"",COUNTIFS(ORDERS!$C$2:$C$4995,$D2276,ORDERS!$L$2:$L$4995,"Đã chuyển khoản"))</f>
        <v/>
      </c>
      <c r="X2276" s="23">
        <f>IF(OR($D2276="",$R2276="Trùng"),"",SUMIFS(ORDERS!$J$2:$J$4995,ORDERS!$C$2:$C$4995,$D2276,ORDERS!$L$2:$L$4995,"Đã chuyển khoản"))</f>
        <v/>
      </c>
      <c r="Y2276" s="24" t="n"/>
    </row>
    <row r="2277" ht="14.25" customHeight="1" s="40">
      <c r="A2277" s="24" t="n"/>
      <c r="B2277" s="27" t="n"/>
      <c r="C2277" s="24" t="n"/>
      <c r="D2277" s="28" t="n"/>
      <c r="E2277" s="29" t="n"/>
      <c r="F2277" s="24" t="n"/>
      <c r="G2277" s="24" t="n"/>
      <c r="H2277" s="21">
        <f>IF(ISNUMBER($B2277),INT($B2277)-WEEKDAY($B2277,2)+1,"")</f>
        <v/>
      </c>
      <c r="I2277" s="24" t="n"/>
      <c r="J2277" s="22">
        <f t="array" ref="J2277">IF($D2277="","",IF($I2277="","(trống REF)",IFERROR(INDEX(MASTER_SOURCE!$B$2:$B$495,MATCH($I2277,MASTER_SOURCE!$A$2:$A$495,0)),"(REF không có trong MASTER_SOURCE)")))</f>
        <v/>
      </c>
      <c r="K2277" s="22">
        <f t="array" ref="K2277">IF($D2277="","",IFERROR(INDEX(MASTER_SOURCE!$C$2:$C$495,MATCH($I2277,MASTER_SOURCE!$A$2:$A$495,0)),""))</f>
        <v/>
      </c>
      <c r="L2277" s="22">
        <f t="array" ref="L2277">IF($D2277="","",IFERROR(INDEX(MASTER_SOURCE!$D$2:$D$495,MATCH($I2277,MASTER_SOURCE!$A$2:$A$495,0)),""))</f>
        <v/>
      </c>
      <c r="M2277" s="24" t="n"/>
      <c r="N2277" s="24" t="n"/>
      <c r="O2277" s="24" t="n"/>
      <c r="P2277" s="24" t="n"/>
      <c r="Q2277" s="22">
        <f>IF($D2277="","",IF(AND(OR(DANH_MUC!$L$5&lt;&gt;"Có",M2277="Có"),OR(DANH_MUC!$L$6&lt;&gt;"Có",N2277="Có"),OR(DANH_MUC!$L$7&lt;&gt;"Có",O2277="Có"),OR(DANH_MUC!$L$8&lt;&gt;"Có",P2277="Có")),"Có","Không"))</f>
        <v/>
      </c>
      <c r="R2277" s="22">
        <f>IF($D2277="","",IF(COUNTIF($D$2:$D2277,$D2277)&gt;1,"Trùng",""))</f>
        <v/>
      </c>
      <c r="S2277" s="22">
        <f>IF($D2277="","",IF(AND(LEN($D2277)=10,LEFT($D2277,1)="0",ISNUMBER(--$D2277)),"Có","Không"))</f>
        <v/>
      </c>
      <c r="T2277" s="22">
        <f>IF($D2277="","",IF(AND($C2277&lt;&gt;"",$Q2277="Có",$R2277="",$S2277="Có",AND($L2277&lt;&gt;"",OR($L2277&lt;&gt;"Chưa xác định",DANH_MUC!$L$9="Có"))),"Có","Không"))</f>
        <v/>
      </c>
      <c r="U2277" s="22">
        <f>IF(OR($D2277="",$T2277="Có"),"",IF($C2277="","Thiếu họ tên; ","")&amp;IF($S2277&lt;&gt;"Có","SĐT sai định dạng; ","")&amp;IF($R2277="Trùng","Trùng SĐT; ","")&amp;IF($Q2277&lt;&gt;"Có","Thiếu đồng ý bắt buộc; ","")&amp;IF($L2277="","Thiếu/sai Mã REF; ",IF(AND($L2277="Chưa xác định",DANH_MUC!$L$9&lt;&gt;"Có"),"Nguồn chưa xác định; ","")))</f>
        <v/>
      </c>
      <c r="V2277" s="22">
        <f>IF(OR($D2277="",$R2277="Trùng"),"",IF(COUNTIF(ORDERS!$C$2:$C$4995,$D2277)&gt;0,"Có","Không"))</f>
        <v/>
      </c>
      <c r="W2277" s="22">
        <f>IF(OR($D2277="",$R2277="Trùng"),"",COUNTIFS(ORDERS!$C$2:$C$4995,$D2277,ORDERS!$L$2:$L$4995,"Đã chuyển khoản"))</f>
        <v/>
      </c>
      <c r="X2277" s="23">
        <f>IF(OR($D2277="",$R2277="Trùng"),"",SUMIFS(ORDERS!$J$2:$J$4995,ORDERS!$C$2:$C$4995,$D2277,ORDERS!$L$2:$L$4995,"Đã chuyển khoản"))</f>
        <v/>
      </c>
      <c r="Y2277" s="24" t="n"/>
    </row>
    <row r="2278" ht="14.25" customHeight="1" s="40">
      <c r="A2278" s="24" t="n"/>
      <c r="B2278" s="27" t="n"/>
      <c r="C2278" s="24" t="n"/>
      <c r="D2278" s="28" t="n"/>
      <c r="E2278" s="29" t="n"/>
      <c r="F2278" s="24" t="n"/>
      <c r="G2278" s="24" t="n"/>
      <c r="H2278" s="21">
        <f>IF(ISNUMBER($B2278),INT($B2278)-WEEKDAY($B2278,2)+1,"")</f>
        <v/>
      </c>
      <c r="I2278" s="24" t="n"/>
      <c r="J2278" s="22">
        <f t="array" ref="J2278">IF($D2278="","",IF($I2278="","(trống REF)",IFERROR(INDEX(MASTER_SOURCE!$B$2:$B$495,MATCH($I2278,MASTER_SOURCE!$A$2:$A$495,0)),"(REF không có trong MASTER_SOURCE)")))</f>
        <v/>
      </c>
      <c r="K2278" s="22">
        <f t="array" ref="K2278">IF($D2278="","",IFERROR(INDEX(MASTER_SOURCE!$C$2:$C$495,MATCH($I2278,MASTER_SOURCE!$A$2:$A$495,0)),""))</f>
        <v/>
      </c>
      <c r="L2278" s="22">
        <f t="array" ref="L2278">IF($D2278="","",IFERROR(INDEX(MASTER_SOURCE!$D$2:$D$495,MATCH($I2278,MASTER_SOURCE!$A$2:$A$495,0)),""))</f>
        <v/>
      </c>
      <c r="M2278" s="24" t="n"/>
      <c r="N2278" s="24" t="n"/>
      <c r="O2278" s="24" t="n"/>
      <c r="P2278" s="24" t="n"/>
      <c r="Q2278" s="22">
        <f>IF($D2278="","",IF(AND(OR(DANH_MUC!$L$5&lt;&gt;"Có",M2278="Có"),OR(DANH_MUC!$L$6&lt;&gt;"Có",N2278="Có"),OR(DANH_MUC!$L$7&lt;&gt;"Có",O2278="Có"),OR(DANH_MUC!$L$8&lt;&gt;"Có",P2278="Có")),"Có","Không"))</f>
        <v/>
      </c>
      <c r="R2278" s="22">
        <f>IF($D2278="","",IF(COUNTIF($D$2:$D2278,$D2278)&gt;1,"Trùng",""))</f>
        <v/>
      </c>
      <c r="S2278" s="22">
        <f>IF($D2278="","",IF(AND(LEN($D2278)=10,LEFT($D2278,1)="0",ISNUMBER(--$D2278)),"Có","Không"))</f>
        <v/>
      </c>
      <c r="T2278" s="22">
        <f>IF($D2278="","",IF(AND($C2278&lt;&gt;"",$Q2278="Có",$R2278="",$S2278="Có",AND($L2278&lt;&gt;"",OR($L2278&lt;&gt;"Chưa xác định",DANH_MUC!$L$9="Có"))),"Có","Không"))</f>
        <v/>
      </c>
      <c r="U2278" s="22">
        <f>IF(OR($D2278="",$T2278="Có"),"",IF($C2278="","Thiếu họ tên; ","")&amp;IF($S2278&lt;&gt;"Có","SĐT sai định dạng; ","")&amp;IF($R2278="Trùng","Trùng SĐT; ","")&amp;IF($Q2278&lt;&gt;"Có","Thiếu đồng ý bắt buộc; ","")&amp;IF($L2278="","Thiếu/sai Mã REF; ",IF(AND($L2278="Chưa xác định",DANH_MUC!$L$9&lt;&gt;"Có"),"Nguồn chưa xác định; ","")))</f>
        <v/>
      </c>
      <c r="V2278" s="22">
        <f>IF(OR($D2278="",$R2278="Trùng"),"",IF(COUNTIF(ORDERS!$C$2:$C$4995,$D2278)&gt;0,"Có","Không"))</f>
        <v/>
      </c>
      <c r="W2278" s="22">
        <f>IF(OR($D2278="",$R2278="Trùng"),"",COUNTIFS(ORDERS!$C$2:$C$4995,$D2278,ORDERS!$L$2:$L$4995,"Đã chuyển khoản"))</f>
        <v/>
      </c>
      <c r="X2278" s="23">
        <f>IF(OR($D2278="",$R2278="Trùng"),"",SUMIFS(ORDERS!$J$2:$J$4995,ORDERS!$C$2:$C$4995,$D2278,ORDERS!$L$2:$L$4995,"Đã chuyển khoản"))</f>
        <v/>
      </c>
      <c r="Y2278" s="24" t="n"/>
    </row>
    <row r="2279" ht="14.25" customHeight="1" s="40">
      <c r="A2279" s="24" t="n"/>
      <c r="B2279" s="27" t="n"/>
      <c r="C2279" s="24" t="n"/>
      <c r="D2279" s="28" t="n"/>
      <c r="E2279" s="29" t="n"/>
      <c r="F2279" s="24" t="n"/>
      <c r="G2279" s="24" t="n"/>
      <c r="H2279" s="21">
        <f>IF(ISNUMBER($B2279),INT($B2279)-WEEKDAY($B2279,2)+1,"")</f>
        <v/>
      </c>
      <c r="I2279" s="24" t="n"/>
      <c r="J2279" s="22">
        <f t="array" ref="J2279">IF($D2279="","",IF($I2279="","(trống REF)",IFERROR(INDEX(MASTER_SOURCE!$B$2:$B$495,MATCH($I2279,MASTER_SOURCE!$A$2:$A$495,0)),"(REF không có trong MASTER_SOURCE)")))</f>
        <v/>
      </c>
      <c r="K2279" s="22">
        <f t="array" ref="K2279">IF($D2279="","",IFERROR(INDEX(MASTER_SOURCE!$C$2:$C$495,MATCH($I2279,MASTER_SOURCE!$A$2:$A$495,0)),""))</f>
        <v/>
      </c>
      <c r="L2279" s="22">
        <f t="array" ref="L2279">IF($D2279="","",IFERROR(INDEX(MASTER_SOURCE!$D$2:$D$495,MATCH($I2279,MASTER_SOURCE!$A$2:$A$495,0)),""))</f>
        <v/>
      </c>
      <c r="M2279" s="24" t="n"/>
      <c r="N2279" s="24" t="n"/>
      <c r="O2279" s="24" t="n"/>
      <c r="P2279" s="24" t="n"/>
      <c r="Q2279" s="22">
        <f>IF($D2279="","",IF(AND(OR(DANH_MUC!$L$5&lt;&gt;"Có",M2279="Có"),OR(DANH_MUC!$L$6&lt;&gt;"Có",N2279="Có"),OR(DANH_MUC!$L$7&lt;&gt;"Có",O2279="Có"),OR(DANH_MUC!$L$8&lt;&gt;"Có",P2279="Có")),"Có","Không"))</f>
        <v/>
      </c>
      <c r="R2279" s="22">
        <f>IF($D2279="","",IF(COUNTIF($D$2:$D2279,$D2279)&gt;1,"Trùng",""))</f>
        <v/>
      </c>
      <c r="S2279" s="22">
        <f>IF($D2279="","",IF(AND(LEN($D2279)=10,LEFT($D2279,1)="0",ISNUMBER(--$D2279)),"Có","Không"))</f>
        <v/>
      </c>
      <c r="T2279" s="22">
        <f>IF($D2279="","",IF(AND($C2279&lt;&gt;"",$Q2279="Có",$R2279="",$S2279="Có",AND($L2279&lt;&gt;"",OR($L2279&lt;&gt;"Chưa xác định",DANH_MUC!$L$9="Có"))),"Có","Không"))</f>
        <v/>
      </c>
      <c r="U2279" s="22">
        <f>IF(OR($D2279="",$T2279="Có"),"",IF($C2279="","Thiếu họ tên; ","")&amp;IF($S2279&lt;&gt;"Có","SĐT sai định dạng; ","")&amp;IF($R2279="Trùng","Trùng SĐT; ","")&amp;IF($Q2279&lt;&gt;"Có","Thiếu đồng ý bắt buộc; ","")&amp;IF($L2279="","Thiếu/sai Mã REF; ",IF(AND($L2279="Chưa xác định",DANH_MUC!$L$9&lt;&gt;"Có"),"Nguồn chưa xác định; ","")))</f>
        <v/>
      </c>
      <c r="V2279" s="22">
        <f>IF(OR($D2279="",$R2279="Trùng"),"",IF(COUNTIF(ORDERS!$C$2:$C$4995,$D2279)&gt;0,"Có","Không"))</f>
        <v/>
      </c>
      <c r="W2279" s="22">
        <f>IF(OR($D2279="",$R2279="Trùng"),"",COUNTIFS(ORDERS!$C$2:$C$4995,$D2279,ORDERS!$L$2:$L$4995,"Đã chuyển khoản"))</f>
        <v/>
      </c>
      <c r="X2279" s="23">
        <f>IF(OR($D2279="",$R2279="Trùng"),"",SUMIFS(ORDERS!$J$2:$J$4995,ORDERS!$C$2:$C$4995,$D2279,ORDERS!$L$2:$L$4995,"Đã chuyển khoản"))</f>
        <v/>
      </c>
      <c r="Y2279" s="24" t="n"/>
    </row>
    <row r="2280" ht="14.25" customHeight="1" s="40">
      <c r="A2280" s="24" t="n"/>
      <c r="B2280" s="27" t="n"/>
      <c r="C2280" s="24" t="n"/>
      <c r="D2280" s="28" t="n"/>
      <c r="E2280" s="29" t="n"/>
      <c r="F2280" s="24" t="n"/>
      <c r="G2280" s="24" t="n"/>
      <c r="H2280" s="21">
        <f>IF(ISNUMBER($B2280),INT($B2280)-WEEKDAY($B2280,2)+1,"")</f>
        <v/>
      </c>
      <c r="I2280" s="24" t="n"/>
      <c r="J2280" s="22">
        <f t="array" ref="J2280">IF($D2280="","",IF($I2280="","(trống REF)",IFERROR(INDEX(MASTER_SOURCE!$B$2:$B$495,MATCH($I2280,MASTER_SOURCE!$A$2:$A$495,0)),"(REF không có trong MASTER_SOURCE)")))</f>
        <v/>
      </c>
      <c r="K2280" s="22">
        <f t="array" ref="K2280">IF($D2280="","",IFERROR(INDEX(MASTER_SOURCE!$C$2:$C$495,MATCH($I2280,MASTER_SOURCE!$A$2:$A$495,0)),""))</f>
        <v/>
      </c>
      <c r="L2280" s="22">
        <f t="array" ref="L2280">IF($D2280="","",IFERROR(INDEX(MASTER_SOURCE!$D$2:$D$495,MATCH($I2280,MASTER_SOURCE!$A$2:$A$495,0)),""))</f>
        <v/>
      </c>
      <c r="M2280" s="24" t="n"/>
      <c r="N2280" s="24" t="n"/>
      <c r="O2280" s="24" t="n"/>
      <c r="P2280" s="24" t="n"/>
      <c r="Q2280" s="22">
        <f>IF($D2280="","",IF(AND(OR(DANH_MUC!$L$5&lt;&gt;"Có",M2280="Có"),OR(DANH_MUC!$L$6&lt;&gt;"Có",N2280="Có"),OR(DANH_MUC!$L$7&lt;&gt;"Có",O2280="Có"),OR(DANH_MUC!$L$8&lt;&gt;"Có",P2280="Có")),"Có","Không"))</f>
        <v/>
      </c>
      <c r="R2280" s="22">
        <f>IF($D2280="","",IF(COUNTIF($D$2:$D2280,$D2280)&gt;1,"Trùng",""))</f>
        <v/>
      </c>
      <c r="S2280" s="22">
        <f>IF($D2280="","",IF(AND(LEN($D2280)=10,LEFT($D2280,1)="0",ISNUMBER(--$D2280)),"Có","Không"))</f>
        <v/>
      </c>
      <c r="T2280" s="22">
        <f>IF($D2280="","",IF(AND($C2280&lt;&gt;"",$Q2280="Có",$R2280="",$S2280="Có",AND($L2280&lt;&gt;"",OR($L2280&lt;&gt;"Chưa xác định",DANH_MUC!$L$9="Có"))),"Có","Không"))</f>
        <v/>
      </c>
      <c r="U2280" s="22">
        <f>IF(OR($D2280="",$T2280="Có"),"",IF($C2280="","Thiếu họ tên; ","")&amp;IF($S2280&lt;&gt;"Có","SĐT sai định dạng; ","")&amp;IF($R2280="Trùng","Trùng SĐT; ","")&amp;IF($Q2280&lt;&gt;"Có","Thiếu đồng ý bắt buộc; ","")&amp;IF($L2280="","Thiếu/sai Mã REF; ",IF(AND($L2280="Chưa xác định",DANH_MUC!$L$9&lt;&gt;"Có"),"Nguồn chưa xác định; ","")))</f>
        <v/>
      </c>
      <c r="V2280" s="22">
        <f>IF(OR($D2280="",$R2280="Trùng"),"",IF(COUNTIF(ORDERS!$C$2:$C$4995,$D2280)&gt;0,"Có","Không"))</f>
        <v/>
      </c>
      <c r="W2280" s="22">
        <f>IF(OR($D2280="",$R2280="Trùng"),"",COUNTIFS(ORDERS!$C$2:$C$4995,$D2280,ORDERS!$L$2:$L$4995,"Đã chuyển khoản"))</f>
        <v/>
      </c>
      <c r="X2280" s="23">
        <f>IF(OR($D2280="",$R2280="Trùng"),"",SUMIFS(ORDERS!$J$2:$J$4995,ORDERS!$C$2:$C$4995,$D2280,ORDERS!$L$2:$L$4995,"Đã chuyển khoản"))</f>
        <v/>
      </c>
      <c r="Y2280" s="24" t="n"/>
    </row>
    <row r="2281" ht="14.25" customHeight="1" s="40">
      <c r="A2281" s="24" t="n"/>
      <c r="B2281" s="27" t="n"/>
      <c r="C2281" s="24" t="n"/>
      <c r="D2281" s="28" t="n"/>
      <c r="E2281" s="29" t="n"/>
      <c r="F2281" s="24" t="n"/>
      <c r="G2281" s="24" t="n"/>
      <c r="H2281" s="21">
        <f>IF(ISNUMBER($B2281),INT($B2281)-WEEKDAY($B2281,2)+1,"")</f>
        <v/>
      </c>
      <c r="I2281" s="24" t="n"/>
      <c r="J2281" s="22">
        <f t="array" ref="J2281">IF($D2281="","",IF($I2281="","(trống REF)",IFERROR(INDEX(MASTER_SOURCE!$B$2:$B$495,MATCH($I2281,MASTER_SOURCE!$A$2:$A$495,0)),"(REF không có trong MASTER_SOURCE)")))</f>
        <v/>
      </c>
      <c r="K2281" s="22">
        <f t="array" ref="K2281">IF($D2281="","",IFERROR(INDEX(MASTER_SOURCE!$C$2:$C$495,MATCH($I2281,MASTER_SOURCE!$A$2:$A$495,0)),""))</f>
        <v/>
      </c>
      <c r="L2281" s="22">
        <f t="array" ref="L2281">IF($D2281="","",IFERROR(INDEX(MASTER_SOURCE!$D$2:$D$495,MATCH($I2281,MASTER_SOURCE!$A$2:$A$495,0)),""))</f>
        <v/>
      </c>
      <c r="M2281" s="24" t="n"/>
      <c r="N2281" s="24" t="n"/>
      <c r="O2281" s="24" t="n"/>
      <c r="P2281" s="24" t="n"/>
      <c r="Q2281" s="22">
        <f>IF($D2281="","",IF(AND(OR(DANH_MUC!$L$5&lt;&gt;"Có",M2281="Có"),OR(DANH_MUC!$L$6&lt;&gt;"Có",N2281="Có"),OR(DANH_MUC!$L$7&lt;&gt;"Có",O2281="Có"),OR(DANH_MUC!$L$8&lt;&gt;"Có",P2281="Có")),"Có","Không"))</f>
        <v/>
      </c>
      <c r="R2281" s="22">
        <f>IF($D2281="","",IF(COUNTIF($D$2:$D2281,$D2281)&gt;1,"Trùng",""))</f>
        <v/>
      </c>
      <c r="S2281" s="22">
        <f>IF($D2281="","",IF(AND(LEN($D2281)=10,LEFT($D2281,1)="0",ISNUMBER(--$D2281)),"Có","Không"))</f>
        <v/>
      </c>
      <c r="T2281" s="22">
        <f>IF($D2281="","",IF(AND($C2281&lt;&gt;"",$Q2281="Có",$R2281="",$S2281="Có",AND($L2281&lt;&gt;"",OR($L2281&lt;&gt;"Chưa xác định",DANH_MUC!$L$9="Có"))),"Có","Không"))</f>
        <v/>
      </c>
      <c r="U2281" s="22">
        <f>IF(OR($D2281="",$T2281="Có"),"",IF($C2281="","Thiếu họ tên; ","")&amp;IF($S2281&lt;&gt;"Có","SĐT sai định dạng; ","")&amp;IF($R2281="Trùng","Trùng SĐT; ","")&amp;IF($Q2281&lt;&gt;"Có","Thiếu đồng ý bắt buộc; ","")&amp;IF($L2281="","Thiếu/sai Mã REF; ",IF(AND($L2281="Chưa xác định",DANH_MUC!$L$9&lt;&gt;"Có"),"Nguồn chưa xác định; ","")))</f>
        <v/>
      </c>
      <c r="V2281" s="22">
        <f>IF(OR($D2281="",$R2281="Trùng"),"",IF(COUNTIF(ORDERS!$C$2:$C$4995,$D2281)&gt;0,"Có","Không"))</f>
        <v/>
      </c>
      <c r="W2281" s="22">
        <f>IF(OR($D2281="",$R2281="Trùng"),"",COUNTIFS(ORDERS!$C$2:$C$4995,$D2281,ORDERS!$L$2:$L$4995,"Đã chuyển khoản"))</f>
        <v/>
      </c>
      <c r="X2281" s="23">
        <f>IF(OR($D2281="",$R2281="Trùng"),"",SUMIFS(ORDERS!$J$2:$J$4995,ORDERS!$C$2:$C$4995,$D2281,ORDERS!$L$2:$L$4995,"Đã chuyển khoản"))</f>
        <v/>
      </c>
      <c r="Y2281" s="24" t="n"/>
    </row>
    <row r="2282" ht="14.25" customHeight="1" s="40">
      <c r="A2282" s="24" t="n"/>
      <c r="B2282" s="27" t="n"/>
      <c r="C2282" s="24" t="n"/>
      <c r="D2282" s="28" t="n"/>
      <c r="E2282" s="29" t="n"/>
      <c r="F2282" s="24" t="n"/>
      <c r="G2282" s="24" t="n"/>
      <c r="H2282" s="21">
        <f>IF(ISNUMBER($B2282),INT($B2282)-WEEKDAY($B2282,2)+1,"")</f>
        <v/>
      </c>
      <c r="I2282" s="24" t="n"/>
      <c r="J2282" s="22">
        <f t="array" ref="J2282">IF($D2282="","",IF($I2282="","(trống REF)",IFERROR(INDEX(MASTER_SOURCE!$B$2:$B$495,MATCH($I2282,MASTER_SOURCE!$A$2:$A$495,0)),"(REF không có trong MASTER_SOURCE)")))</f>
        <v/>
      </c>
      <c r="K2282" s="22">
        <f t="array" ref="K2282">IF($D2282="","",IFERROR(INDEX(MASTER_SOURCE!$C$2:$C$495,MATCH($I2282,MASTER_SOURCE!$A$2:$A$495,0)),""))</f>
        <v/>
      </c>
      <c r="L2282" s="22">
        <f t="array" ref="L2282">IF($D2282="","",IFERROR(INDEX(MASTER_SOURCE!$D$2:$D$495,MATCH($I2282,MASTER_SOURCE!$A$2:$A$495,0)),""))</f>
        <v/>
      </c>
      <c r="M2282" s="24" t="n"/>
      <c r="N2282" s="24" t="n"/>
      <c r="O2282" s="24" t="n"/>
      <c r="P2282" s="24" t="n"/>
      <c r="Q2282" s="22">
        <f>IF($D2282="","",IF(AND(OR(DANH_MUC!$L$5&lt;&gt;"Có",M2282="Có"),OR(DANH_MUC!$L$6&lt;&gt;"Có",N2282="Có"),OR(DANH_MUC!$L$7&lt;&gt;"Có",O2282="Có"),OR(DANH_MUC!$L$8&lt;&gt;"Có",P2282="Có")),"Có","Không"))</f>
        <v/>
      </c>
      <c r="R2282" s="22">
        <f>IF($D2282="","",IF(COUNTIF($D$2:$D2282,$D2282)&gt;1,"Trùng",""))</f>
        <v/>
      </c>
      <c r="S2282" s="22">
        <f>IF($D2282="","",IF(AND(LEN($D2282)=10,LEFT($D2282,1)="0",ISNUMBER(--$D2282)),"Có","Không"))</f>
        <v/>
      </c>
      <c r="T2282" s="22">
        <f>IF($D2282="","",IF(AND($C2282&lt;&gt;"",$Q2282="Có",$R2282="",$S2282="Có",AND($L2282&lt;&gt;"",OR($L2282&lt;&gt;"Chưa xác định",DANH_MUC!$L$9="Có"))),"Có","Không"))</f>
        <v/>
      </c>
      <c r="U2282" s="22">
        <f>IF(OR($D2282="",$T2282="Có"),"",IF($C2282="","Thiếu họ tên; ","")&amp;IF($S2282&lt;&gt;"Có","SĐT sai định dạng; ","")&amp;IF($R2282="Trùng","Trùng SĐT; ","")&amp;IF($Q2282&lt;&gt;"Có","Thiếu đồng ý bắt buộc; ","")&amp;IF($L2282="","Thiếu/sai Mã REF; ",IF(AND($L2282="Chưa xác định",DANH_MUC!$L$9&lt;&gt;"Có"),"Nguồn chưa xác định; ","")))</f>
        <v/>
      </c>
      <c r="V2282" s="22">
        <f>IF(OR($D2282="",$R2282="Trùng"),"",IF(COUNTIF(ORDERS!$C$2:$C$4995,$D2282)&gt;0,"Có","Không"))</f>
        <v/>
      </c>
      <c r="W2282" s="22">
        <f>IF(OR($D2282="",$R2282="Trùng"),"",COUNTIFS(ORDERS!$C$2:$C$4995,$D2282,ORDERS!$L$2:$L$4995,"Đã chuyển khoản"))</f>
        <v/>
      </c>
      <c r="X2282" s="23">
        <f>IF(OR($D2282="",$R2282="Trùng"),"",SUMIFS(ORDERS!$J$2:$J$4995,ORDERS!$C$2:$C$4995,$D2282,ORDERS!$L$2:$L$4995,"Đã chuyển khoản"))</f>
        <v/>
      </c>
      <c r="Y2282" s="24" t="n"/>
    </row>
    <row r="2283" ht="14.25" customHeight="1" s="40">
      <c r="A2283" s="24" t="n"/>
      <c r="B2283" s="27" t="n"/>
      <c r="C2283" s="24" t="n"/>
      <c r="D2283" s="28" t="n"/>
      <c r="E2283" s="29" t="n"/>
      <c r="F2283" s="24" t="n"/>
      <c r="G2283" s="24" t="n"/>
      <c r="H2283" s="21">
        <f>IF(ISNUMBER($B2283),INT($B2283)-WEEKDAY($B2283,2)+1,"")</f>
        <v/>
      </c>
      <c r="I2283" s="24" t="n"/>
      <c r="J2283" s="22">
        <f t="array" ref="J2283">IF($D2283="","",IF($I2283="","(trống REF)",IFERROR(INDEX(MASTER_SOURCE!$B$2:$B$495,MATCH($I2283,MASTER_SOURCE!$A$2:$A$495,0)),"(REF không có trong MASTER_SOURCE)")))</f>
        <v/>
      </c>
      <c r="K2283" s="22">
        <f t="array" ref="K2283">IF($D2283="","",IFERROR(INDEX(MASTER_SOURCE!$C$2:$C$495,MATCH($I2283,MASTER_SOURCE!$A$2:$A$495,0)),""))</f>
        <v/>
      </c>
      <c r="L2283" s="22">
        <f t="array" ref="L2283">IF($D2283="","",IFERROR(INDEX(MASTER_SOURCE!$D$2:$D$495,MATCH($I2283,MASTER_SOURCE!$A$2:$A$495,0)),""))</f>
        <v/>
      </c>
      <c r="M2283" s="24" t="n"/>
      <c r="N2283" s="24" t="n"/>
      <c r="O2283" s="24" t="n"/>
      <c r="P2283" s="24" t="n"/>
      <c r="Q2283" s="22">
        <f>IF($D2283="","",IF(AND(OR(DANH_MUC!$L$5&lt;&gt;"Có",M2283="Có"),OR(DANH_MUC!$L$6&lt;&gt;"Có",N2283="Có"),OR(DANH_MUC!$L$7&lt;&gt;"Có",O2283="Có"),OR(DANH_MUC!$L$8&lt;&gt;"Có",P2283="Có")),"Có","Không"))</f>
        <v/>
      </c>
      <c r="R2283" s="22">
        <f>IF($D2283="","",IF(COUNTIF($D$2:$D2283,$D2283)&gt;1,"Trùng",""))</f>
        <v/>
      </c>
      <c r="S2283" s="22">
        <f>IF($D2283="","",IF(AND(LEN($D2283)=10,LEFT($D2283,1)="0",ISNUMBER(--$D2283)),"Có","Không"))</f>
        <v/>
      </c>
      <c r="T2283" s="22">
        <f>IF($D2283="","",IF(AND($C2283&lt;&gt;"",$Q2283="Có",$R2283="",$S2283="Có",AND($L2283&lt;&gt;"",OR($L2283&lt;&gt;"Chưa xác định",DANH_MUC!$L$9="Có"))),"Có","Không"))</f>
        <v/>
      </c>
      <c r="U2283" s="22">
        <f>IF(OR($D2283="",$T2283="Có"),"",IF($C2283="","Thiếu họ tên; ","")&amp;IF($S2283&lt;&gt;"Có","SĐT sai định dạng; ","")&amp;IF($R2283="Trùng","Trùng SĐT; ","")&amp;IF($Q2283&lt;&gt;"Có","Thiếu đồng ý bắt buộc; ","")&amp;IF($L2283="","Thiếu/sai Mã REF; ",IF(AND($L2283="Chưa xác định",DANH_MUC!$L$9&lt;&gt;"Có"),"Nguồn chưa xác định; ","")))</f>
        <v/>
      </c>
      <c r="V2283" s="22">
        <f>IF(OR($D2283="",$R2283="Trùng"),"",IF(COUNTIF(ORDERS!$C$2:$C$4995,$D2283)&gt;0,"Có","Không"))</f>
        <v/>
      </c>
      <c r="W2283" s="22">
        <f>IF(OR($D2283="",$R2283="Trùng"),"",COUNTIFS(ORDERS!$C$2:$C$4995,$D2283,ORDERS!$L$2:$L$4995,"Đã chuyển khoản"))</f>
        <v/>
      </c>
      <c r="X2283" s="23">
        <f>IF(OR($D2283="",$R2283="Trùng"),"",SUMIFS(ORDERS!$J$2:$J$4995,ORDERS!$C$2:$C$4995,$D2283,ORDERS!$L$2:$L$4995,"Đã chuyển khoản"))</f>
        <v/>
      </c>
      <c r="Y2283" s="24" t="n"/>
    </row>
    <row r="2284" ht="14.25" customHeight="1" s="40">
      <c r="A2284" s="24" t="n"/>
      <c r="B2284" s="27" t="n"/>
      <c r="C2284" s="24" t="n"/>
      <c r="D2284" s="28" t="n"/>
      <c r="E2284" s="29" t="n"/>
      <c r="F2284" s="24" t="n"/>
      <c r="G2284" s="24" t="n"/>
      <c r="H2284" s="21">
        <f>IF(ISNUMBER($B2284),INT($B2284)-WEEKDAY($B2284,2)+1,"")</f>
        <v/>
      </c>
      <c r="I2284" s="24" t="n"/>
      <c r="J2284" s="22">
        <f t="array" ref="J2284">IF($D2284="","",IF($I2284="","(trống REF)",IFERROR(INDEX(MASTER_SOURCE!$B$2:$B$495,MATCH($I2284,MASTER_SOURCE!$A$2:$A$495,0)),"(REF không có trong MASTER_SOURCE)")))</f>
        <v/>
      </c>
      <c r="K2284" s="22">
        <f t="array" ref="K2284">IF($D2284="","",IFERROR(INDEX(MASTER_SOURCE!$C$2:$C$495,MATCH($I2284,MASTER_SOURCE!$A$2:$A$495,0)),""))</f>
        <v/>
      </c>
      <c r="L2284" s="22">
        <f t="array" ref="L2284">IF($D2284="","",IFERROR(INDEX(MASTER_SOURCE!$D$2:$D$495,MATCH($I2284,MASTER_SOURCE!$A$2:$A$495,0)),""))</f>
        <v/>
      </c>
      <c r="M2284" s="24" t="n"/>
      <c r="N2284" s="24" t="n"/>
      <c r="O2284" s="24" t="n"/>
      <c r="P2284" s="24" t="n"/>
      <c r="Q2284" s="22">
        <f>IF($D2284="","",IF(AND(OR(DANH_MUC!$L$5&lt;&gt;"Có",M2284="Có"),OR(DANH_MUC!$L$6&lt;&gt;"Có",N2284="Có"),OR(DANH_MUC!$L$7&lt;&gt;"Có",O2284="Có"),OR(DANH_MUC!$L$8&lt;&gt;"Có",P2284="Có")),"Có","Không"))</f>
        <v/>
      </c>
      <c r="R2284" s="22">
        <f>IF($D2284="","",IF(COUNTIF($D$2:$D2284,$D2284)&gt;1,"Trùng",""))</f>
        <v/>
      </c>
      <c r="S2284" s="22">
        <f>IF($D2284="","",IF(AND(LEN($D2284)=10,LEFT($D2284,1)="0",ISNUMBER(--$D2284)),"Có","Không"))</f>
        <v/>
      </c>
      <c r="T2284" s="22">
        <f>IF($D2284="","",IF(AND($C2284&lt;&gt;"",$Q2284="Có",$R2284="",$S2284="Có",AND($L2284&lt;&gt;"",OR($L2284&lt;&gt;"Chưa xác định",DANH_MUC!$L$9="Có"))),"Có","Không"))</f>
        <v/>
      </c>
      <c r="U2284" s="22">
        <f>IF(OR($D2284="",$T2284="Có"),"",IF($C2284="","Thiếu họ tên; ","")&amp;IF($S2284&lt;&gt;"Có","SĐT sai định dạng; ","")&amp;IF($R2284="Trùng","Trùng SĐT; ","")&amp;IF($Q2284&lt;&gt;"Có","Thiếu đồng ý bắt buộc; ","")&amp;IF($L2284="","Thiếu/sai Mã REF; ",IF(AND($L2284="Chưa xác định",DANH_MUC!$L$9&lt;&gt;"Có"),"Nguồn chưa xác định; ","")))</f>
        <v/>
      </c>
      <c r="V2284" s="22">
        <f>IF(OR($D2284="",$R2284="Trùng"),"",IF(COUNTIF(ORDERS!$C$2:$C$4995,$D2284)&gt;0,"Có","Không"))</f>
        <v/>
      </c>
      <c r="W2284" s="22">
        <f>IF(OR($D2284="",$R2284="Trùng"),"",COUNTIFS(ORDERS!$C$2:$C$4995,$D2284,ORDERS!$L$2:$L$4995,"Đã chuyển khoản"))</f>
        <v/>
      </c>
      <c r="X2284" s="23">
        <f>IF(OR($D2284="",$R2284="Trùng"),"",SUMIFS(ORDERS!$J$2:$J$4995,ORDERS!$C$2:$C$4995,$D2284,ORDERS!$L$2:$L$4995,"Đã chuyển khoản"))</f>
        <v/>
      </c>
      <c r="Y2284" s="24" t="n"/>
    </row>
    <row r="2285" ht="14.25" customHeight="1" s="40">
      <c r="A2285" s="24" t="n"/>
      <c r="B2285" s="27" t="n"/>
      <c r="C2285" s="24" t="n"/>
      <c r="D2285" s="28" t="n"/>
      <c r="E2285" s="29" t="n"/>
      <c r="F2285" s="24" t="n"/>
      <c r="G2285" s="24" t="n"/>
      <c r="H2285" s="21">
        <f>IF(ISNUMBER($B2285),INT($B2285)-WEEKDAY($B2285,2)+1,"")</f>
        <v/>
      </c>
      <c r="I2285" s="24" t="n"/>
      <c r="J2285" s="22">
        <f t="array" ref="J2285">IF($D2285="","",IF($I2285="","(trống REF)",IFERROR(INDEX(MASTER_SOURCE!$B$2:$B$495,MATCH($I2285,MASTER_SOURCE!$A$2:$A$495,0)),"(REF không có trong MASTER_SOURCE)")))</f>
        <v/>
      </c>
      <c r="K2285" s="22">
        <f t="array" ref="K2285">IF($D2285="","",IFERROR(INDEX(MASTER_SOURCE!$C$2:$C$495,MATCH($I2285,MASTER_SOURCE!$A$2:$A$495,0)),""))</f>
        <v/>
      </c>
      <c r="L2285" s="22">
        <f t="array" ref="L2285">IF($D2285="","",IFERROR(INDEX(MASTER_SOURCE!$D$2:$D$495,MATCH($I2285,MASTER_SOURCE!$A$2:$A$495,0)),""))</f>
        <v/>
      </c>
      <c r="M2285" s="24" t="n"/>
      <c r="N2285" s="24" t="n"/>
      <c r="O2285" s="24" t="n"/>
      <c r="P2285" s="24" t="n"/>
      <c r="Q2285" s="22">
        <f>IF($D2285="","",IF(AND(OR(DANH_MUC!$L$5&lt;&gt;"Có",M2285="Có"),OR(DANH_MUC!$L$6&lt;&gt;"Có",N2285="Có"),OR(DANH_MUC!$L$7&lt;&gt;"Có",O2285="Có"),OR(DANH_MUC!$L$8&lt;&gt;"Có",P2285="Có")),"Có","Không"))</f>
        <v/>
      </c>
      <c r="R2285" s="22">
        <f>IF($D2285="","",IF(COUNTIF($D$2:$D2285,$D2285)&gt;1,"Trùng",""))</f>
        <v/>
      </c>
      <c r="S2285" s="22">
        <f>IF($D2285="","",IF(AND(LEN($D2285)=10,LEFT($D2285,1)="0",ISNUMBER(--$D2285)),"Có","Không"))</f>
        <v/>
      </c>
      <c r="T2285" s="22">
        <f>IF($D2285="","",IF(AND($C2285&lt;&gt;"",$Q2285="Có",$R2285="",$S2285="Có",AND($L2285&lt;&gt;"",OR($L2285&lt;&gt;"Chưa xác định",DANH_MUC!$L$9="Có"))),"Có","Không"))</f>
        <v/>
      </c>
      <c r="U2285" s="22">
        <f>IF(OR($D2285="",$T2285="Có"),"",IF($C2285="","Thiếu họ tên; ","")&amp;IF($S2285&lt;&gt;"Có","SĐT sai định dạng; ","")&amp;IF($R2285="Trùng","Trùng SĐT; ","")&amp;IF($Q2285&lt;&gt;"Có","Thiếu đồng ý bắt buộc; ","")&amp;IF($L2285="","Thiếu/sai Mã REF; ",IF(AND($L2285="Chưa xác định",DANH_MUC!$L$9&lt;&gt;"Có"),"Nguồn chưa xác định; ","")))</f>
        <v/>
      </c>
      <c r="V2285" s="22">
        <f>IF(OR($D2285="",$R2285="Trùng"),"",IF(COUNTIF(ORDERS!$C$2:$C$4995,$D2285)&gt;0,"Có","Không"))</f>
        <v/>
      </c>
      <c r="W2285" s="22">
        <f>IF(OR($D2285="",$R2285="Trùng"),"",COUNTIFS(ORDERS!$C$2:$C$4995,$D2285,ORDERS!$L$2:$L$4995,"Đã chuyển khoản"))</f>
        <v/>
      </c>
      <c r="X2285" s="23">
        <f>IF(OR($D2285="",$R2285="Trùng"),"",SUMIFS(ORDERS!$J$2:$J$4995,ORDERS!$C$2:$C$4995,$D2285,ORDERS!$L$2:$L$4995,"Đã chuyển khoản"))</f>
        <v/>
      </c>
      <c r="Y2285" s="24" t="n"/>
    </row>
    <row r="2286" ht="14.25" customHeight="1" s="40">
      <c r="A2286" s="24" t="n"/>
      <c r="B2286" s="27" t="n"/>
      <c r="C2286" s="24" t="n"/>
      <c r="D2286" s="28" t="n"/>
      <c r="E2286" s="29" t="n"/>
      <c r="F2286" s="24" t="n"/>
      <c r="G2286" s="24" t="n"/>
      <c r="H2286" s="21">
        <f>IF(ISNUMBER($B2286),INT($B2286)-WEEKDAY($B2286,2)+1,"")</f>
        <v/>
      </c>
      <c r="I2286" s="24" t="n"/>
      <c r="J2286" s="22">
        <f t="array" ref="J2286">IF($D2286="","",IF($I2286="","(trống REF)",IFERROR(INDEX(MASTER_SOURCE!$B$2:$B$495,MATCH($I2286,MASTER_SOURCE!$A$2:$A$495,0)),"(REF không có trong MASTER_SOURCE)")))</f>
        <v/>
      </c>
      <c r="K2286" s="22">
        <f t="array" ref="K2286">IF($D2286="","",IFERROR(INDEX(MASTER_SOURCE!$C$2:$C$495,MATCH($I2286,MASTER_SOURCE!$A$2:$A$495,0)),""))</f>
        <v/>
      </c>
      <c r="L2286" s="22">
        <f t="array" ref="L2286">IF($D2286="","",IFERROR(INDEX(MASTER_SOURCE!$D$2:$D$495,MATCH($I2286,MASTER_SOURCE!$A$2:$A$495,0)),""))</f>
        <v/>
      </c>
      <c r="M2286" s="24" t="n"/>
      <c r="N2286" s="24" t="n"/>
      <c r="O2286" s="24" t="n"/>
      <c r="P2286" s="24" t="n"/>
      <c r="Q2286" s="22">
        <f>IF($D2286="","",IF(AND(OR(DANH_MUC!$L$5&lt;&gt;"Có",M2286="Có"),OR(DANH_MUC!$L$6&lt;&gt;"Có",N2286="Có"),OR(DANH_MUC!$L$7&lt;&gt;"Có",O2286="Có"),OR(DANH_MUC!$L$8&lt;&gt;"Có",P2286="Có")),"Có","Không"))</f>
        <v/>
      </c>
      <c r="R2286" s="22">
        <f>IF($D2286="","",IF(COUNTIF($D$2:$D2286,$D2286)&gt;1,"Trùng",""))</f>
        <v/>
      </c>
      <c r="S2286" s="22">
        <f>IF($D2286="","",IF(AND(LEN($D2286)=10,LEFT($D2286,1)="0",ISNUMBER(--$D2286)),"Có","Không"))</f>
        <v/>
      </c>
      <c r="T2286" s="22">
        <f>IF($D2286="","",IF(AND($C2286&lt;&gt;"",$Q2286="Có",$R2286="",$S2286="Có",AND($L2286&lt;&gt;"",OR($L2286&lt;&gt;"Chưa xác định",DANH_MUC!$L$9="Có"))),"Có","Không"))</f>
        <v/>
      </c>
      <c r="U2286" s="22">
        <f>IF(OR($D2286="",$T2286="Có"),"",IF($C2286="","Thiếu họ tên; ","")&amp;IF($S2286&lt;&gt;"Có","SĐT sai định dạng; ","")&amp;IF($R2286="Trùng","Trùng SĐT; ","")&amp;IF($Q2286&lt;&gt;"Có","Thiếu đồng ý bắt buộc; ","")&amp;IF($L2286="","Thiếu/sai Mã REF; ",IF(AND($L2286="Chưa xác định",DANH_MUC!$L$9&lt;&gt;"Có"),"Nguồn chưa xác định; ","")))</f>
        <v/>
      </c>
      <c r="V2286" s="22">
        <f>IF(OR($D2286="",$R2286="Trùng"),"",IF(COUNTIF(ORDERS!$C$2:$C$4995,$D2286)&gt;0,"Có","Không"))</f>
        <v/>
      </c>
      <c r="W2286" s="22">
        <f>IF(OR($D2286="",$R2286="Trùng"),"",COUNTIFS(ORDERS!$C$2:$C$4995,$D2286,ORDERS!$L$2:$L$4995,"Đã chuyển khoản"))</f>
        <v/>
      </c>
      <c r="X2286" s="23">
        <f>IF(OR($D2286="",$R2286="Trùng"),"",SUMIFS(ORDERS!$J$2:$J$4995,ORDERS!$C$2:$C$4995,$D2286,ORDERS!$L$2:$L$4995,"Đã chuyển khoản"))</f>
        <v/>
      </c>
      <c r="Y2286" s="24" t="n"/>
    </row>
    <row r="2287" ht="14.25" customHeight="1" s="40">
      <c r="A2287" s="24" t="n"/>
      <c r="B2287" s="27" t="n"/>
      <c r="C2287" s="24" t="n"/>
      <c r="D2287" s="28" t="n"/>
      <c r="E2287" s="29" t="n"/>
      <c r="F2287" s="24" t="n"/>
      <c r="G2287" s="24" t="n"/>
      <c r="H2287" s="21">
        <f>IF(ISNUMBER($B2287),INT($B2287)-WEEKDAY($B2287,2)+1,"")</f>
        <v/>
      </c>
      <c r="I2287" s="24" t="n"/>
      <c r="J2287" s="22">
        <f t="array" ref="J2287">IF($D2287="","",IF($I2287="","(trống REF)",IFERROR(INDEX(MASTER_SOURCE!$B$2:$B$495,MATCH($I2287,MASTER_SOURCE!$A$2:$A$495,0)),"(REF không có trong MASTER_SOURCE)")))</f>
        <v/>
      </c>
      <c r="K2287" s="22">
        <f t="array" ref="K2287">IF($D2287="","",IFERROR(INDEX(MASTER_SOURCE!$C$2:$C$495,MATCH($I2287,MASTER_SOURCE!$A$2:$A$495,0)),""))</f>
        <v/>
      </c>
      <c r="L2287" s="22">
        <f t="array" ref="L2287">IF($D2287="","",IFERROR(INDEX(MASTER_SOURCE!$D$2:$D$495,MATCH($I2287,MASTER_SOURCE!$A$2:$A$495,0)),""))</f>
        <v/>
      </c>
      <c r="M2287" s="24" t="n"/>
      <c r="N2287" s="24" t="n"/>
      <c r="O2287" s="24" t="n"/>
      <c r="P2287" s="24" t="n"/>
      <c r="Q2287" s="22">
        <f>IF($D2287="","",IF(AND(OR(DANH_MUC!$L$5&lt;&gt;"Có",M2287="Có"),OR(DANH_MUC!$L$6&lt;&gt;"Có",N2287="Có"),OR(DANH_MUC!$L$7&lt;&gt;"Có",O2287="Có"),OR(DANH_MUC!$L$8&lt;&gt;"Có",P2287="Có")),"Có","Không"))</f>
        <v/>
      </c>
      <c r="R2287" s="22">
        <f>IF($D2287="","",IF(COUNTIF($D$2:$D2287,$D2287)&gt;1,"Trùng",""))</f>
        <v/>
      </c>
      <c r="S2287" s="22">
        <f>IF($D2287="","",IF(AND(LEN($D2287)=10,LEFT($D2287,1)="0",ISNUMBER(--$D2287)),"Có","Không"))</f>
        <v/>
      </c>
      <c r="T2287" s="22">
        <f>IF($D2287="","",IF(AND($C2287&lt;&gt;"",$Q2287="Có",$R2287="",$S2287="Có",AND($L2287&lt;&gt;"",OR($L2287&lt;&gt;"Chưa xác định",DANH_MUC!$L$9="Có"))),"Có","Không"))</f>
        <v/>
      </c>
      <c r="U2287" s="22">
        <f>IF(OR($D2287="",$T2287="Có"),"",IF($C2287="","Thiếu họ tên; ","")&amp;IF($S2287&lt;&gt;"Có","SĐT sai định dạng; ","")&amp;IF($R2287="Trùng","Trùng SĐT; ","")&amp;IF($Q2287&lt;&gt;"Có","Thiếu đồng ý bắt buộc; ","")&amp;IF($L2287="","Thiếu/sai Mã REF; ",IF(AND($L2287="Chưa xác định",DANH_MUC!$L$9&lt;&gt;"Có"),"Nguồn chưa xác định; ","")))</f>
        <v/>
      </c>
      <c r="V2287" s="22">
        <f>IF(OR($D2287="",$R2287="Trùng"),"",IF(COUNTIF(ORDERS!$C$2:$C$4995,$D2287)&gt;0,"Có","Không"))</f>
        <v/>
      </c>
      <c r="W2287" s="22">
        <f>IF(OR($D2287="",$R2287="Trùng"),"",COUNTIFS(ORDERS!$C$2:$C$4995,$D2287,ORDERS!$L$2:$L$4995,"Đã chuyển khoản"))</f>
        <v/>
      </c>
      <c r="X2287" s="23">
        <f>IF(OR($D2287="",$R2287="Trùng"),"",SUMIFS(ORDERS!$J$2:$J$4995,ORDERS!$C$2:$C$4995,$D2287,ORDERS!$L$2:$L$4995,"Đã chuyển khoản"))</f>
        <v/>
      </c>
      <c r="Y2287" s="24" t="n"/>
    </row>
    <row r="2288" ht="14.25" customHeight="1" s="40">
      <c r="A2288" s="24" t="n"/>
      <c r="B2288" s="27" t="n"/>
      <c r="C2288" s="24" t="n"/>
      <c r="D2288" s="28" t="n"/>
      <c r="E2288" s="29" t="n"/>
      <c r="F2288" s="24" t="n"/>
      <c r="G2288" s="24" t="n"/>
      <c r="H2288" s="21">
        <f>IF(ISNUMBER($B2288),INT($B2288)-WEEKDAY($B2288,2)+1,"")</f>
        <v/>
      </c>
      <c r="I2288" s="24" t="n"/>
      <c r="J2288" s="22">
        <f t="array" ref="J2288">IF($D2288="","",IF($I2288="","(trống REF)",IFERROR(INDEX(MASTER_SOURCE!$B$2:$B$495,MATCH($I2288,MASTER_SOURCE!$A$2:$A$495,0)),"(REF không có trong MASTER_SOURCE)")))</f>
        <v/>
      </c>
      <c r="K2288" s="22">
        <f t="array" ref="K2288">IF($D2288="","",IFERROR(INDEX(MASTER_SOURCE!$C$2:$C$495,MATCH($I2288,MASTER_SOURCE!$A$2:$A$495,0)),""))</f>
        <v/>
      </c>
      <c r="L2288" s="22">
        <f t="array" ref="L2288">IF($D2288="","",IFERROR(INDEX(MASTER_SOURCE!$D$2:$D$495,MATCH($I2288,MASTER_SOURCE!$A$2:$A$495,0)),""))</f>
        <v/>
      </c>
      <c r="M2288" s="24" t="n"/>
      <c r="N2288" s="24" t="n"/>
      <c r="O2288" s="24" t="n"/>
      <c r="P2288" s="24" t="n"/>
      <c r="Q2288" s="22">
        <f>IF($D2288="","",IF(AND(OR(DANH_MUC!$L$5&lt;&gt;"Có",M2288="Có"),OR(DANH_MUC!$L$6&lt;&gt;"Có",N2288="Có"),OR(DANH_MUC!$L$7&lt;&gt;"Có",O2288="Có"),OR(DANH_MUC!$L$8&lt;&gt;"Có",P2288="Có")),"Có","Không"))</f>
        <v/>
      </c>
      <c r="R2288" s="22">
        <f>IF($D2288="","",IF(COUNTIF($D$2:$D2288,$D2288)&gt;1,"Trùng",""))</f>
        <v/>
      </c>
      <c r="S2288" s="22">
        <f>IF($D2288="","",IF(AND(LEN($D2288)=10,LEFT($D2288,1)="0",ISNUMBER(--$D2288)),"Có","Không"))</f>
        <v/>
      </c>
      <c r="T2288" s="22">
        <f>IF($D2288="","",IF(AND($C2288&lt;&gt;"",$Q2288="Có",$R2288="",$S2288="Có",AND($L2288&lt;&gt;"",OR($L2288&lt;&gt;"Chưa xác định",DANH_MUC!$L$9="Có"))),"Có","Không"))</f>
        <v/>
      </c>
      <c r="U2288" s="22">
        <f>IF(OR($D2288="",$T2288="Có"),"",IF($C2288="","Thiếu họ tên; ","")&amp;IF($S2288&lt;&gt;"Có","SĐT sai định dạng; ","")&amp;IF($R2288="Trùng","Trùng SĐT; ","")&amp;IF($Q2288&lt;&gt;"Có","Thiếu đồng ý bắt buộc; ","")&amp;IF($L2288="","Thiếu/sai Mã REF; ",IF(AND($L2288="Chưa xác định",DANH_MUC!$L$9&lt;&gt;"Có"),"Nguồn chưa xác định; ","")))</f>
        <v/>
      </c>
      <c r="V2288" s="22">
        <f>IF(OR($D2288="",$R2288="Trùng"),"",IF(COUNTIF(ORDERS!$C$2:$C$4995,$D2288)&gt;0,"Có","Không"))</f>
        <v/>
      </c>
      <c r="W2288" s="22">
        <f>IF(OR($D2288="",$R2288="Trùng"),"",COUNTIFS(ORDERS!$C$2:$C$4995,$D2288,ORDERS!$L$2:$L$4995,"Đã chuyển khoản"))</f>
        <v/>
      </c>
      <c r="X2288" s="23">
        <f>IF(OR($D2288="",$R2288="Trùng"),"",SUMIFS(ORDERS!$J$2:$J$4995,ORDERS!$C$2:$C$4995,$D2288,ORDERS!$L$2:$L$4995,"Đã chuyển khoản"))</f>
        <v/>
      </c>
      <c r="Y2288" s="24" t="n"/>
    </row>
    <row r="2289" ht="14.25" customHeight="1" s="40">
      <c r="A2289" s="24" t="n"/>
      <c r="B2289" s="27" t="n"/>
      <c r="C2289" s="24" t="n"/>
      <c r="D2289" s="28" t="n"/>
      <c r="E2289" s="29" t="n"/>
      <c r="F2289" s="24" t="n"/>
      <c r="G2289" s="24" t="n"/>
      <c r="H2289" s="21">
        <f>IF(ISNUMBER($B2289),INT($B2289)-WEEKDAY($B2289,2)+1,"")</f>
        <v/>
      </c>
      <c r="I2289" s="24" t="n"/>
      <c r="J2289" s="22">
        <f t="array" ref="J2289">IF($D2289="","",IF($I2289="","(trống REF)",IFERROR(INDEX(MASTER_SOURCE!$B$2:$B$495,MATCH($I2289,MASTER_SOURCE!$A$2:$A$495,0)),"(REF không có trong MASTER_SOURCE)")))</f>
        <v/>
      </c>
      <c r="K2289" s="22">
        <f t="array" ref="K2289">IF($D2289="","",IFERROR(INDEX(MASTER_SOURCE!$C$2:$C$495,MATCH($I2289,MASTER_SOURCE!$A$2:$A$495,0)),""))</f>
        <v/>
      </c>
      <c r="L2289" s="22">
        <f t="array" ref="L2289">IF($D2289="","",IFERROR(INDEX(MASTER_SOURCE!$D$2:$D$495,MATCH($I2289,MASTER_SOURCE!$A$2:$A$495,0)),""))</f>
        <v/>
      </c>
      <c r="M2289" s="24" t="n"/>
      <c r="N2289" s="24" t="n"/>
      <c r="O2289" s="24" t="n"/>
      <c r="P2289" s="24" t="n"/>
      <c r="Q2289" s="22">
        <f>IF($D2289="","",IF(AND(OR(DANH_MUC!$L$5&lt;&gt;"Có",M2289="Có"),OR(DANH_MUC!$L$6&lt;&gt;"Có",N2289="Có"),OR(DANH_MUC!$L$7&lt;&gt;"Có",O2289="Có"),OR(DANH_MUC!$L$8&lt;&gt;"Có",P2289="Có")),"Có","Không"))</f>
        <v/>
      </c>
      <c r="R2289" s="22">
        <f>IF($D2289="","",IF(COUNTIF($D$2:$D2289,$D2289)&gt;1,"Trùng",""))</f>
        <v/>
      </c>
      <c r="S2289" s="22">
        <f>IF($D2289="","",IF(AND(LEN($D2289)=10,LEFT($D2289,1)="0",ISNUMBER(--$D2289)),"Có","Không"))</f>
        <v/>
      </c>
      <c r="T2289" s="22">
        <f>IF($D2289="","",IF(AND($C2289&lt;&gt;"",$Q2289="Có",$R2289="",$S2289="Có",AND($L2289&lt;&gt;"",OR($L2289&lt;&gt;"Chưa xác định",DANH_MUC!$L$9="Có"))),"Có","Không"))</f>
        <v/>
      </c>
      <c r="U2289" s="22">
        <f>IF(OR($D2289="",$T2289="Có"),"",IF($C2289="","Thiếu họ tên; ","")&amp;IF($S2289&lt;&gt;"Có","SĐT sai định dạng; ","")&amp;IF($R2289="Trùng","Trùng SĐT; ","")&amp;IF($Q2289&lt;&gt;"Có","Thiếu đồng ý bắt buộc; ","")&amp;IF($L2289="","Thiếu/sai Mã REF; ",IF(AND($L2289="Chưa xác định",DANH_MUC!$L$9&lt;&gt;"Có"),"Nguồn chưa xác định; ","")))</f>
        <v/>
      </c>
      <c r="V2289" s="22">
        <f>IF(OR($D2289="",$R2289="Trùng"),"",IF(COUNTIF(ORDERS!$C$2:$C$4995,$D2289)&gt;0,"Có","Không"))</f>
        <v/>
      </c>
      <c r="W2289" s="22">
        <f>IF(OR($D2289="",$R2289="Trùng"),"",COUNTIFS(ORDERS!$C$2:$C$4995,$D2289,ORDERS!$L$2:$L$4995,"Đã chuyển khoản"))</f>
        <v/>
      </c>
      <c r="X2289" s="23">
        <f>IF(OR($D2289="",$R2289="Trùng"),"",SUMIFS(ORDERS!$J$2:$J$4995,ORDERS!$C$2:$C$4995,$D2289,ORDERS!$L$2:$L$4995,"Đã chuyển khoản"))</f>
        <v/>
      </c>
      <c r="Y2289" s="24" t="n"/>
    </row>
    <row r="2290" ht="14.25" customHeight="1" s="40">
      <c r="A2290" s="24" t="n"/>
      <c r="B2290" s="27" t="n"/>
      <c r="C2290" s="24" t="n"/>
      <c r="D2290" s="28" t="n"/>
      <c r="E2290" s="29" t="n"/>
      <c r="F2290" s="24" t="n"/>
      <c r="G2290" s="24" t="n"/>
      <c r="H2290" s="21">
        <f>IF(ISNUMBER($B2290),INT($B2290)-WEEKDAY($B2290,2)+1,"")</f>
        <v/>
      </c>
      <c r="I2290" s="24" t="n"/>
      <c r="J2290" s="22">
        <f t="array" ref="J2290">IF($D2290="","",IF($I2290="","(trống REF)",IFERROR(INDEX(MASTER_SOURCE!$B$2:$B$495,MATCH($I2290,MASTER_SOURCE!$A$2:$A$495,0)),"(REF không có trong MASTER_SOURCE)")))</f>
        <v/>
      </c>
      <c r="K2290" s="22">
        <f t="array" ref="K2290">IF($D2290="","",IFERROR(INDEX(MASTER_SOURCE!$C$2:$C$495,MATCH($I2290,MASTER_SOURCE!$A$2:$A$495,0)),""))</f>
        <v/>
      </c>
      <c r="L2290" s="22">
        <f t="array" ref="L2290">IF($D2290="","",IFERROR(INDEX(MASTER_SOURCE!$D$2:$D$495,MATCH($I2290,MASTER_SOURCE!$A$2:$A$495,0)),""))</f>
        <v/>
      </c>
      <c r="M2290" s="24" t="n"/>
      <c r="N2290" s="24" t="n"/>
      <c r="O2290" s="24" t="n"/>
      <c r="P2290" s="24" t="n"/>
      <c r="Q2290" s="22">
        <f>IF($D2290="","",IF(AND(OR(DANH_MUC!$L$5&lt;&gt;"Có",M2290="Có"),OR(DANH_MUC!$L$6&lt;&gt;"Có",N2290="Có"),OR(DANH_MUC!$L$7&lt;&gt;"Có",O2290="Có"),OR(DANH_MUC!$L$8&lt;&gt;"Có",P2290="Có")),"Có","Không"))</f>
        <v/>
      </c>
      <c r="R2290" s="22">
        <f>IF($D2290="","",IF(COUNTIF($D$2:$D2290,$D2290)&gt;1,"Trùng",""))</f>
        <v/>
      </c>
      <c r="S2290" s="22">
        <f>IF($D2290="","",IF(AND(LEN($D2290)=10,LEFT($D2290,1)="0",ISNUMBER(--$D2290)),"Có","Không"))</f>
        <v/>
      </c>
      <c r="T2290" s="22">
        <f>IF($D2290="","",IF(AND($C2290&lt;&gt;"",$Q2290="Có",$R2290="",$S2290="Có",AND($L2290&lt;&gt;"",OR($L2290&lt;&gt;"Chưa xác định",DANH_MUC!$L$9="Có"))),"Có","Không"))</f>
        <v/>
      </c>
      <c r="U2290" s="22">
        <f>IF(OR($D2290="",$T2290="Có"),"",IF($C2290="","Thiếu họ tên; ","")&amp;IF($S2290&lt;&gt;"Có","SĐT sai định dạng; ","")&amp;IF($R2290="Trùng","Trùng SĐT; ","")&amp;IF($Q2290&lt;&gt;"Có","Thiếu đồng ý bắt buộc; ","")&amp;IF($L2290="","Thiếu/sai Mã REF; ",IF(AND($L2290="Chưa xác định",DANH_MUC!$L$9&lt;&gt;"Có"),"Nguồn chưa xác định; ","")))</f>
        <v/>
      </c>
      <c r="V2290" s="22">
        <f>IF(OR($D2290="",$R2290="Trùng"),"",IF(COUNTIF(ORDERS!$C$2:$C$4995,$D2290)&gt;0,"Có","Không"))</f>
        <v/>
      </c>
      <c r="W2290" s="22">
        <f>IF(OR($D2290="",$R2290="Trùng"),"",COUNTIFS(ORDERS!$C$2:$C$4995,$D2290,ORDERS!$L$2:$L$4995,"Đã chuyển khoản"))</f>
        <v/>
      </c>
      <c r="X2290" s="23">
        <f>IF(OR($D2290="",$R2290="Trùng"),"",SUMIFS(ORDERS!$J$2:$J$4995,ORDERS!$C$2:$C$4995,$D2290,ORDERS!$L$2:$L$4995,"Đã chuyển khoản"))</f>
        <v/>
      </c>
      <c r="Y2290" s="24" t="n"/>
    </row>
    <row r="2291" ht="14.25" customHeight="1" s="40">
      <c r="A2291" s="24" t="n"/>
      <c r="B2291" s="27" t="n"/>
      <c r="C2291" s="24" t="n"/>
      <c r="D2291" s="28" t="n"/>
      <c r="E2291" s="29" t="n"/>
      <c r="F2291" s="24" t="n"/>
      <c r="G2291" s="24" t="n"/>
      <c r="H2291" s="21">
        <f>IF(ISNUMBER($B2291),INT($B2291)-WEEKDAY($B2291,2)+1,"")</f>
        <v/>
      </c>
      <c r="I2291" s="24" t="n"/>
      <c r="J2291" s="22">
        <f t="array" ref="J2291">IF($D2291="","",IF($I2291="","(trống REF)",IFERROR(INDEX(MASTER_SOURCE!$B$2:$B$495,MATCH($I2291,MASTER_SOURCE!$A$2:$A$495,0)),"(REF không có trong MASTER_SOURCE)")))</f>
        <v/>
      </c>
      <c r="K2291" s="22">
        <f t="array" ref="K2291">IF($D2291="","",IFERROR(INDEX(MASTER_SOURCE!$C$2:$C$495,MATCH($I2291,MASTER_SOURCE!$A$2:$A$495,0)),""))</f>
        <v/>
      </c>
      <c r="L2291" s="22">
        <f t="array" ref="L2291">IF($D2291="","",IFERROR(INDEX(MASTER_SOURCE!$D$2:$D$495,MATCH($I2291,MASTER_SOURCE!$A$2:$A$495,0)),""))</f>
        <v/>
      </c>
      <c r="M2291" s="24" t="n"/>
      <c r="N2291" s="24" t="n"/>
      <c r="O2291" s="24" t="n"/>
      <c r="P2291" s="24" t="n"/>
      <c r="Q2291" s="22">
        <f>IF($D2291="","",IF(AND(OR(DANH_MUC!$L$5&lt;&gt;"Có",M2291="Có"),OR(DANH_MUC!$L$6&lt;&gt;"Có",N2291="Có"),OR(DANH_MUC!$L$7&lt;&gt;"Có",O2291="Có"),OR(DANH_MUC!$L$8&lt;&gt;"Có",P2291="Có")),"Có","Không"))</f>
        <v/>
      </c>
      <c r="R2291" s="22">
        <f>IF($D2291="","",IF(COUNTIF($D$2:$D2291,$D2291)&gt;1,"Trùng",""))</f>
        <v/>
      </c>
      <c r="S2291" s="22">
        <f>IF($D2291="","",IF(AND(LEN($D2291)=10,LEFT($D2291,1)="0",ISNUMBER(--$D2291)),"Có","Không"))</f>
        <v/>
      </c>
      <c r="T2291" s="22">
        <f>IF($D2291="","",IF(AND($C2291&lt;&gt;"",$Q2291="Có",$R2291="",$S2291="Có",AND($L2291&lt;&gt;"",OR($L2291&lt;&gt;"Chưa xác định",DANH_MUC!$L$9="Có"))),"Có","Không"))</f>
        <v/>
      </c>
      <c r="U2291" s="22">
        <f>IF(OR($D2291="",$T2291="Có"),"",IF($C2291="","Thiếu họ tên; ","")&amp;IF($S2291&lt;&gt;"Có","SĐT sai định dạng; ","")&amp;IF($R2291="Trùng","Trùng SĐT; ","")&amp;IF($Q2291&lt;&gt;"Có","Thiếu đồng ý bắt buộc; ","")&amp;IF($L2291="","Thiếu/sai Mã REF; ",IF(AND($L2291="Chưa xác định",DANH_MUC!$L$9&lt;&gt;"Có"),"Nguồn chưa xác định; ","")))</f>
        <v/>
      </c>
      <c r="V2291" s="22">
        <f>IF(OR($D2291="",$R2291="Trùng"),"",IF(COUNTIF(ORDERS!$C$2:$C$4995,$D2291)&gt;0,"Có","Không"))</f>
        <v/>
      </c>
      <c r="W2291" s="22">
        <f>IF(OR($D2291="",$R2291="Trùng"),"",COUNTIFS(ORDERS!$C$2:$C$4995,$D2291,ORDERS!$L$2:$L$4995,"Đã chuyển khoản"))</f>
        <v/>
      </c>
      <c r="X2291" s="23">
        <f>IF(OR($D2291="",$R2291="Trùng"),"",SUMIFS(ORDERS!$J$2:$J$4995,ORDERS!$C$2:$C$4995,$D2291,ORDERS!$L$2:$L$4995,"Đã chuyển khoản"))</f>
        <v/>
      </c>
      <c r="Y2291" s="24" t="n"/>
    </row>
    <row r="2292" ht="14.25" customHeight="1" s="40">
      <c r="A2292" s="24" t="n"/>
      <c r="B2292" s="27" t="n"/>
      <c r="C2292" s="24" t="n"/>
      <c r="D2292" s="28" t="n"/>
      <c r="E2292" s="29" t="n"/>
      <c r="F2292" s="24" t="n"/>
      <c r="G2292" s="24" t="n"/>
      <c r="H2292" s="21">
        <f>IF(ISNUMBER($B2292),INT($B2292)-WEEKDAY($B2292,2)+1,"")</f>
        <v/>
      </c>
      <c r="I2292" s="24" t="n"/>
      <c r="J2292" s="22">
        <f t="array" ref="J2292">IF($D2292="","",IF($I2292="","(trống REF)",IFERROR(INDEX(MASTER_SOURCE!$B$2:$B$495,MATCH($I2292,MASTER_SOURCE!$A$2:$A$495,0)),"(REF không có trong MASTER_SOURCE)")))</f>
        <v/>
      </c>
      <c r="K2292" s="22">
        <f t="array" ref="K2292">IF($D2292="","",IFERROR(INDEX(MASTER_SOURCE!$C$2:$C$495,MATCH($I2292,MASTER_SOURCE!$A$2:$A$495,0)),""))</f>
        <v/>
      </c>
      <c r="L2292" s="22">
        <f t="array" ref="L2292">IF($D2292="","",IFERROR(INDEX(MASTER_SOURCE!$D$2:$D$495,MATCH($I2292,MASTER_SOURCE!$A$2:$A$495,0)),""))</f>
        <v/>
      </c>
      <c r="M2292" s="24" t="n"/>
      <c r="N2292" s="24" t="n"/>
      <c r="O2292" s="24" t="n"/>
      <c r="P2292" s="24" t="n"/>
      <c r="Q2292" s="22">
        <f>IF($D2292="","",IF(AND(OR(DANH_MUC!$L$5&lt;&gt;"Có",M2292="Có"),OR(DANH_MUC!$L$6&lt;&gt;"Có",N2292="Có"),OR(DANH_MUC!$L$7&lt;&gt;"Có",O2292="Có"),OR(DANH_MUC!$L$8&lt;&gt;"Có",P2292="Có")),"Có","Không"))</f>
        <v/>
      </c>
      <c r="R2292" s="22">
        <f>IF($D2292="","",IF(COUNTIF($D$2:$D2292,$D2292)&gt;1,"Trùng",""))</f>
        <v/>
      </c>
      <c r="S2292" s="22">
        <f>IF($D2292="","",IF(AND(LEN($D2292)=10,LEFT($D2292,1)="0",ISNUMBER(--$D2292)),"Có","Không"))</f>
        <v/>
      </c>
      <c r="T2292" s="22">
        <f>IF($D2292="","",IF(AND($C2292&lt;&gt;"",$Q2292="Có",$R2292="",$S2292="Có",AND($L2292&lt;&gt;"",OR($L2292&lt;&gt;"Chưa xác định",DANH_MUC!$L$9="Có"))),"Có","Không"))</f>
        <v/>
      </c>
      <c r="U2292" s="22">
        <f>IF(OR($D2292="",$T2292="Có"),"",IF($C2292="","Thiếu họ tên; ","")&amp;IF($S2292&lt;&gt;"Có","SĐT sai định dạng; ","")&amp;IF($R2292="Trùng","Trùng SĐT; ","")&amp;IF($Q2292&lt;&gt;"Có","Thiếu đồng ý bắt buộc; ","")&amp;IF($L2292="","Thiếu/sai Mã REF; ",IF(AND($L2292="Chưa xác định",DANH_MUC!$L$9&lt;&gt;"Có"),"Nguồn chưa xác định; ","")))</f>
        <v/>
      </c>
      <c r="V2292" s="22">
        <f>IF(OR($D2292="",$R2292="Trùng"),"",IF(COUNTIF(ORDERS!$C$2:$C$4995,$D2292)&gt;0,"Có","Không"))</f>
        <v/>
      </c>
      <c r="W2292" s="22">
        <f>IF(OR($D2292="",$R2292="Trùng"),"",COUNTIFS(ORDERS!$C$2:$C$4995,$D2292,ORDERS!$L$2:$L$4995,"Đã chuyển khoản"))</f>
        <v/>
      </c>
      <c r="X2292" s="23">
        <f>IF(OR($D2292="",$R2292="Trùng"),"",SUMIFS(ORDERS!$J$2:$J$4995,ORDERS!$C$2:$C$4995,$D2292,ORDERS!$L$2:$L$4995,"Đã chuyển khoản"))</f>
        <v/>
      </c>
      <c r="Y2292" s="24" t="n"/>
    </row>
    <row r="2293" ht="14.25" customHeight="1" s="40">
      <c r="A2293" s="24" t="n"/>
      <c r="B2293" s="27" t="n"/>
      <c r="C2293" s="24" t="n"/>
      <c r="D2293" s="28" t="n"/>
      <c r="E2293" s="29" t="n"/>
      <c r="F2293" s="24" t="n"/>
      <c r="G2293" s="24" t="n"/>
      <c r="H2293" s="21">
        <f>IF(ISNUMBER($B2293),INT($B2293)-WEEKDAY($B2293,2)+1,"")</f>
        <v/>
      </c>
      <c r="I2293" s="24" t="n"/>
      <c r="J2293" s="22">
        <f t="array" ref="J2293">IF($D2293="","",IF($I2293="","(trống REF)",IFERROR(INDEX(MASTER_SOURCE!$B$2:$B$495,MATCH($I2293,MASTER_SOURCE!$A$2:$A$495,0)),"(REF không có trong MASTER_SOURCE)")))</f>
        <v/>
      </c>
      <c r="K2293" s="22">
        <f t="array" ref="K2293">IF($D2293="","",IFERROR(INDEX(MASTER_SOURCE!$C$2:$C$495,MATCH($I2293,MASTER_SOURCE!$A$2:$A$495,0)),""))</f>
        <v/>
      </c>
      <c r="L2293" s="22">
        <f t="array" ref="L2293">IF($D2293="","",IFERROR(INDEX(MASTER_SOURCE!$D$2:$D$495,MATCH($I2293,MASTER_SOURCE!$A$2:$A$495,0)),""))</f>
        <v/>
      </c>
      <c r="M2293" s="24" t="n"/>
      <c r="N2293" s="24" t="n"/>
      <c r="O2293" s="24" t="n"/>
      <c r="P2293" s="24" t="n"/>
      <c r="Q2293" s="22">
        <f>IF($D2293="","",IF(AND(OR(DANH_MUC!$L$5&lt;&gt;"Có",M2293="Có"),OR(DANH_MUC!$L$6&lt;&gt;"Có",N2293="Có"),OR(DANH_MUC!$L$7&lt;&gt;"Có",O2293="Có"),OR(DANH_MUC!$L$8&lt;&gt;"Có",P2293="Có")),"Có","Không"))</f>
        <v/>
      </c>
      <c r="R2293" s="22">
        <f>IF($D2293="","",IF(COUNTIF($D$2:$D2293,$D2293)&gt;1,"Trùng",""))</f>
        <v/>
      </c>
      <c r="S2293" s="22">
        <f>IF($D2293="","",IF(AND(LEN($D2293)=10,LEFT($D2293,1)="0",ISNUMBER(--$D2293)),"Có","Không"))</f>
        <v/>
      </c>
      <c r="T2293" s="22">
        <f>IF($D2293="","",IF(AND($C2293&lt;&gt;"",$Q2293="Có",$R2293="",$S2293="Có",AND($L2293&lt;&gt;"",OR($L2293&lt;&gt;"Chưa xác định",DANH_MUC!$L$9="Có"))),"Có","Không"))</f>
        <v/>
      </c>
      <c r="U2293" s="22">
        <f>IF(OR($D2293="",$T2293="Có"),"",IF($C2293="","Thiếu họ tên; ","")&amp;IF($S2293&lt;&gt;"Có","SĐT sai định dạng; ","")&amp;IF($R2293="Trùng","Trùng SĐT; ","")&amp;IF($Q2293&lt;&gt;"Có","Thiếu đồng ý bắt buộc; ","")&amp;IF($L2293="","Thiếu/sai Mã REF; ",IF(AND($L2293="Chưa xác định",DANH_MUC!$L$9&lt;&gt;"Có"),"Nguồn chưa xác định; ","")))</f>
        <v/>
      </c>
      <c r="V2293" s="22">
        <f>IF(OR($D2293="",$R2293="Trùng"),"",IF(COUNTIF(ORDERS!$C$2:$C$4995,$D2293)&gt;0,"Có","Không"))</f>
        <v/>
      </c>
      <c r="W2293" s="22">
        <f>IF(OR($D2293="",$R2293="Trùng"),"",COUNTIFS(ORDERS!$C$2:$C$4995,$D2293,ORDERS!$L$2:$L$4995,"Đã chuyển khoản"))</f>
        <v/>
      </c>
      <c r="X2293" s="23">
        <f>IF(OR($D2293="",$R2293="Trùng"),"",SUMIFS(ORDERS!$J$2:$J$4995,ORDERS!$C$2:$C$4995,$D2293,ORDERS!$L$2:$L$4995,"Đã chuyển khoản"))</f>
        <v/>
      </c>
      <c r="Y2293" s="24" t="n"/>
    </row>
    <row r="2294" ht="14.25" customHeight="1" s="40">
      <c r="A2294" s="24" t="n"/>
      <c r="B2294" s="27" t="n"/>
      <c r="C2294" s="24" t="n"/>
      <c r="D2294" s="28" t="n"/>
      <c r="E2294" s="29" t="n"/>
      <c r="F2294" s="24" t="n"/>
      <c r="G2294" s="24" t="n"/>
      <c r="H2294" s="21">
        <f>IF(ISNUMBER($B2294),INT($B2294)-WEEKDAY($B2294,2)+1,"")</f>
        <v/>
      </c>
      <c r="I2294" s="24" t="n"/>
      <c r="J2294" s="22">
        <f t="array" ref="J2294">IF($D2294="","",IF($I2294="","(trống REF)",IFERROR(INDEX(MASTER_SOURCE!$B$2:$B$495,MATCH($I2294,MASTER_SOURCE!$A$2:$A$495,0)),"(REF không có trong MASTER_SOURCE)")))</f>
        <v/>
      </c>
      <c r="K2294" s="22">
        <f t="array" ref="K2294">IF($D2294="","",IFERROR(INDEX(MASTER_SOURCE!$C$2:$C$495,MATCH($I2294,MASTER_SOURCE!$A$2:$A$495,0)),""))</f>
        <v/>
      </c>
      <c r="L2294" s="22">
        <f t="array" ref="L2294">IF($D2294="","",IFERROR(INDEX(MASTER_SOURCE!$D$2:$D$495,MATCH($I2294,MASTER_SOURCE!$A$2:$A$495,0)),""))</f>
        <v/>
      </c>
      <c r="M2294" s="24" t="n"/>
      <c r="N2294" s="24" t="n"/>
      <c r="O2294" s="24" t="n"/>
      <c r="P2294" s="24" t="n"/>
      <c r="Q2294" s="22">
        <f>IF($D2294="","",IF(AND(OR(DANH_MUC!$L$5&lt;&gt;"Có",M2294="Có"),OR(DANH_MUC!$L$6&lt;&gt;"Có",N2294="Có"),OR(DANH_MUC!$L$7&lt;&gt;"Có",O2294="Có"),OR(DANH_MUC!$L$8&lt;&gt;"Có",P2294="Có")),"Có","Không"))</f>
        <v/>
      </c>
      <c r="R2294" s="22">
        <f>IF($D2294="","",IF(COUNTIF($D$2:$D2294,$D2294)&gt;1,"Trùng",""))</f>
        <v/>
      </c>
      <c r="S2294" s="22">
        <f>IF($D2294="","",IF(AND(LEN($D2294)=10,LEFT($D2294,1)="0",ISNUMBER(--$D2294)),"Có","Không"))</f>
        <v/>
      </c>
      <c r="T2294" s="22">
        <f>IF($D2294="","",IF(AND($C2294&lt;&gt;"",$Q2294="Có",$R2294="",$S2294="Có",AND($L2294&lt;&gt;"",OR($L2294&lt;&gt;"Chưa xác định",DANH_MUC!$L$9="Có"))),"Có","Không"))</f>
        <v/>
      </c>
      <c r="U2294" s="22">
        <f>IF(OR($D2294="",$T2294="Có"),"",IF($C2294="","Thiếu họ tên; ","")&amp;IF($S2294&lt;&gt;"Có","SĐT sai định dạng; ","")&amp;IF($R2294="Trùng","Trùng SĐT; ","")&amp;IF($Q2294&lt;&gt;"Có","Thiếu đồng ý bắt buộc; ","")&amp;IF($L2294="","Thiếu/sai Mã REF; ",IF(AND($L2294="Chưa xác định",DANH_MUC!$L$9&lt;&gt;"Có"),"Nguồn chưa xác định; ","")))</f>
        <v/>
      </c>
      <c r="V2294" s="22">
        <f>IF(OR($D2294="",$R2294="Trùng"),"",IF(COUNTIF(ORDERS!$C$2:$C$4995,$D2294)&gt;0,"Có","Không"))</f>
        <v/>
      </c>
      <c r="W2294" s="22">
        <f>IF(OR($D2294="",$R2294="Trùng"),"",COUNTIFS(ORDERS!$C$2:$C$4995,$D2294,ORDERS!$L$2:$L$4995,"Đã chuyển khoản"))</f>
        <v/>
      </c>
      <c r="X2294" s="23">
        <f>IF(OR($D2294="",$R2294="Trùng"),"",SUMIFS(ORDERS!$J$2:$J$4995,ORDERS!$C$2:$C$4995,$D2294,ORDERS!$L$2:$L$4995,"Đã chuyển khoản"))</f>
        <v/>
      </c>
      <c r="Y2294" s="24" t="n"/>
    </row>
    <row r="2295" ht="14.25" customHeight="1" s="40">
      <c r="A2295" s="24" t="n"/>
      <c r="B2295" s="27" t="n"/>
      <c r="C2295" s="24" t="n"/>
      <c r="D2295" s="28" t="n"/>
      <c r="E2295" s="29" t="n"/>
      <c r="F2295" s="24" t="n"/>
      <c r="G2295" s="24" t="n"/>
      <c r="H2295" s="21">
        <f>IF(ISNUMBER($B2295),INT($B2295)-WEEKDAY($B2295,2)+1,"")</f>
        <v/>
      </c>
      <c r="I2295" s="24" t="n"/>
      <c r="J2295" s="22">
        <f t="array" ref="J2295">IF($D2295="","",IF($I2295="","(trống REF)",IFERROR(INDEX(MASTER_SOURCE!$B$2:$B$495,MATCH($I2295,MASTER_SOURCE!$A$2:$A$495,0)),"(REF không có trong MASTER_SOURCE)")))</f>
        <v/>
      </c>
      <c r="K2295" s="22">
        <f t="array" ref="K2295">IF($D2295="","",IFERROR(INDEX(MASTER_SOURCE!$C$2:$C$495,MATCH($I2295,MASTER_SOURCE!$A$2:$A$495,0)),""))</f>
        <v/>
      </c>
      <c r="L2295" s="22">
        <f t="array" ref="L2295">IF($D2295="","",IFERROR(INDEX(MASTER_SOURCE!$D$2:$D$495,MATCH($I2295,MASTER_SOURCE!$A$2:$A$495,0)),""))</f>
        <v/>
      </c>
      <c r="M2295" s="24" t="n"/>
      <c r="N2295" s="24" t="n"/>
      <c r="O2295" s="24" t="n"/>
      <c r="P2295" s="24" t="n"/>
      <c r="Q2295" s="22">
        <f>IF($D2295="","",IF(AND(OR(DANH_MUC!$L$5&lt;&gt;"Có",M2295="Có"),OR(DANH_MUC!$L$6&lt;&gt;"Có",N2295="Có"),OR(DANH_MUC!$L$7&lt;&gt;"Có",O2295="Có"),OR(DANH_MUC!$L$8&lt;&gt;"Có",P2295="Có")),"Có","Không"))</f>
        <v/>
      </c>
      <c r="R2295" s="22">
        <f>IF($D2295="","",IF(COUNTIF($D$2:$D2295,$D2295)&gt;1,"Trùng",""))</f>
        <v/>
      </c>
      <c r="S2295" s="22">
        <f>IF($D2295="","",IF(AND(LEN($D2295)=10,LEFT($D2295,1)="0",ISNUMBER(--$D2295)),"Có","Không"))</f>
        <v/>
      </c>
      <c r="T2295" s="22">
        <f>IF($D2295="","",IF(AND($C2295&lt;&gt;"",$Q2295="Có",$R2295="",$S2295="Có",AND($L2295&lt;&gt;"",OR($L2295&lt;&gt;"Chưa xác định",DANH_MUC!$L$9="Có"))),"Có","Không"))</f>
        <v/>
      </c>
      <c r="U2295" s="22">
        <f>IF(OR($D2295="",$T2295="Có"),"",IF($C2295="","Thiếu họ tên; ","")&amp;IF($S2295&lt;&gt;"Có","SĐT sai định dạng; ","")&amp;IF($R2295="Trùng","Trùng SĐT; ","")&amp;IF($Q2295&lt;&gt;"Có","Thiếu đồng ý bắt buộc; ","")&amp;IF($L2295="","Thiếu/sai Mã REF; ",IF(AND($L2295="Chưa xác định",DANH_MUC!$L$9&lt;&gt;"Có"),"Nguồn chưa xác định; ","")))</f>
        <v/>
      </c>
      <c r="V2295" s="22">
        <f>IF(OR($D2295="",$R2295="Trùng"),"",IF(COUNTIF(ORDERS!$C$2:$C$4995,$D2295)&gt;0,"Có","Không"))</f>
        <v/>
      </c>
      <c r="W2295" s="22">
        <f>IF(OR($D2295="",$R2295="Trùng"),"",COUNTIFS(ORDERS!$C$2:$C$4995,$D2295,ORDERS!$L$2:$L$4995,"Đã chuyển khoản"))</f>
        <v/>
      </c>
      <c r="X2295" s="23">
        <f>IF(OR($D2295="",$R2295="Trùng"),"",SUMIFS(ORDERS!$J$2:$J$4995,ORDERS!$C$2:$C$4995,$D2295,ORDERS!$L$2:$L$4995,"Đã chuyển khoản"))</f>
        <v/>
      </c>
      <c r="Y2295" s="24" t="n"/>
    </row>
    <row r="2296" ht="14.25" customHeight="1" s="40">
      <c r="A2296" s="24" t="n"/>
      <c r="B2296" s="27" t="n"/>
      <c r="C2296" s="24" t="n"/>
      <c r="D2296" s="28" t="n"/>
      <c r="E2296" s="29" t="n"/>
      <c r="F2296" s="24" t="n"/>
      <c r="G2296" s="24" t="n"/>
      <c r="H2296" s="21">
        <f>IF(ISNUMBER($B2296),INT($B2296)-WEEKDAY($B2296,2)+1,"")</f>
        <v/>
      </c>
      <c r="I2296" s="24" t="n"/>
      <c r="J2296" s="22">
        <f t="array" ref="J2296">IF($D2296="","",IF($I2296="","(trống REF)",IFERROR(INDEX(MASTER_SOURCE!$B$2:$B$495,MATCH($I2296,MASTER_SOURCE!$A$2:$A$495,0)),"(REF không có trong MASTER_SOURCE)")))</f>
        <v/>
      </c>
      <c r="K2296" s="22">
        <f t="array" ref="K2296">IF($D2296="","",IFERROR(INDEX(MASTER_SOURCE!$C$2:$C$495,MATCH($I2296,MASTER_SOURCE!$A$2:$A$495,0)),""))</f>
        <v/>
      </c>
      <c r="L2296" s="22">
        <f t="array" ref="L2296">IF($D2296="","",IFERROR(INDEX(MASTER_SOURCE!$D$2:$D$495,MATCH($I2296,MASTER_SOURCE!$A$2:$A$495,0)),""))</f>
        <v/>
      </c>
      <c r="M2296" s="24" t="n"/>
      <c r="N2296" s="24" t="n"/>
      <c r="O2296" s="24" t="n"/>
      <c r="P2296" s="24" t="n"/>
      <c r="Q2296" s="22">
        <f>IF($D2296="","",IF(AND(OR(DANH_MUC!$L$5&lt;&gt;"Có",M2296="Có"),OR(DANH_MUC!$L$6&lt;&gt;"Có",N2296="Có"),OR(DANH_MUC!$L$7&lt;&gt;"Có",O2296="Có"),OR(DANH_MUC!$L$8&lt;&gt;"Có",P2296="Có")),"Có","Không"))</f>
        <v/>
      </c>
      <c r="R2296" s="22">
        <f>IF($D2296="","",IF(COUNTIF($D$2:$D2296,$D2296)&gt;1,"Trùng",""))</f>
        <v/>
      </c>
      <c r="S2296" s="22">
        <f>IF($D2296="","",IF(AND(LEN($D2296)=10,LEFT($D2296,1)="0",ISNUMBER(--$D2296)),"Có","Không"))</f>
        <v/>
      </c>
      <c r="T2296" s="22">
        <f>IF($D2296="","",IF(AND($C2296&lt;&gt;"",$Q2296="Có",$R2296="",$S2296="Có",AND($L2296&lt;&gt;"",OR($L2296&lt;&gt;"Chưa xác định",DANH_MUC!$L$9="Có"))),"Có","Không"))</f>
        <v/>
      </c>
      <c r="U2296" s="22">
        <f>IF(OR($D2296="",$T2296="Có"),"",IF($C2296="","Thiếu họ tên; ","")&amp;IF($S2296&lt;&gt;"Có","SĐT sai định dạng; ","")&amp;IF($R2296="Trùng","Trùng SĐT; ","")&amp;IF($Q2296&lt;&gt;"Có","Thiếu đồng ý bắt buộc; ","")&amp;IF($L2296="","Thiếu/sai Mã REF; ",IF(AND($L2296="Chưa xác định",DANH_MUC!$L$9&lt;&gt;"Có"),"Nguồn chưa xác định; ","")))</f>
        <v/>
      </c>
      <c r="V2296" s="22">
        <f>IF(OR($D2296="",$R2296="Trùng"),"",IF(COUNTIF(ORDERS!$C$2:$C$4995,$D2296)&gt;0,"Có","Không"))</f>
        <v/>
      </c>
      <c r="W2296" s="22">
        <f>IF(OR($D2296="",$R2296="Trùng"),"",COUNTIFS(ORDERS!$C$2:$C$4995,$D2296,ORDERS!$L$2:$L$4995,"Đã chuyển khoản"))</f>
        <v/>
      </c>
      <c r="X2296" s="23">
        <f>IF(OR($D2296="",$R2296="Trùng"),"",SUMIFS(ORDERS!$J$2:$J$4995,ORDERS!$C$2:$C$4995,$D2296,ORDERS!$L$2:$L$4995,"Đã chuyển khoản"))</f>
        <v/>
      </c>
      <c r="Y2296" s="24" t="n"/>
    </row>
    <row r="2297" ht="14.25" customHeight="1" s="40">
      <c r="A2297" s="24" t="n"/>
      <c r="B2297" s="27" t="n"/>
      <c r="C2297" s="24" t="n"/>
      <c r="D2297" s="28" t="n"/>
      <c r="E2297" s="29" t="n"/>
      <c r="F2297" s="24" t="n"/>
      <c r="G2297" s="24" t="n"/>
      <c r="H2297" s="21">
        <f>IF(ISNUMBER($B2297),INT($B2297)-WEEKDAY($B2297,2)+1,"")</f>
        <v/>
      </c>
      <c r="I2297" s="24" t="n"/>
      <c r="J2297" s="22">
        <f t="array" ref="J2297">IF($D2297="","",IF($I2297="","(trống REF)",IFERROR(INDEX(MASTER_SOURCE!$B$2:$B$495,MATCH($I2297,MASTER_SOURCE!$A$2:$A$495,0)),"(REF không có trong MASTER_SOURCE)")))</f>
        <v/>
      </c>
      <c r="K2297" s="22">
        <f t="array" ref="K2297">IF($D2297="","",IFERROR(INDEX(MASTER_SOURCE!$C$2:$C$495,MATCH($I2297,MASTER_SOURCE!$A$2:$A$495,0)),""))</f>
        <v/>
      </c>
      <c r="L2297" s="22">
        <f t="array" ref="L2297">IF($D2297="","",IFERROR(INDEX(MASTER_SOURCE!$D$2:$D$495,MATCH($I2297,MASTER_SOURCE!$A$2:$A$495,0)),""))</f>
        <v/>
      </c>
      <c r="M2297" s="24" t="n"/>
      <c r="N2297" s="24" t="n"/>
      <c r="O2297" s="24" t="n"/>
      <c r="P2297" s="24" t="n"/>
      <c r="Q2297" s="22">
        <f>IF($D2297="","",IF(AND(OR(DANH_MUC!$L$5&lt;&gt;"Có",M2297="Có"),OR(DANH_MUC!$L$6&lt;&gt;"Có",N2297="Có"),OR(DANH_MUC!$L$7&lt;&gt;"Có",O2297="Có"),OR(DANH_MUC!$L$8&lt;&gt;"Có",P2297="Có")),"Có","Không"))</f>
        <v/>
      </c>
      <c r="R2297" s="22">
        <f>IF($D2297="","",IF(COUNTIF($D$2:$D2297,$D2297)&gt;1,"Trùng",""))</f>
        <v/>
      </c>
      <c r="S2297" s="22">
        <f>IF($D2297="","",IF(AND(LEN($D2297)=10,LEFT($D2297,1)="0",ISNUMBER(--$D2297)),"Có","Không"))</f>
        <v/>
      </c>
      <c r="T2297" s="22">
        <f>IF($D2297="","",IF(AND($C2297&lt;&gt;"",$Q2297="Có",$R2297="",$S2297="Có",AND($L2297&lt;&gt;"",OR($L2297&lt;&gt;"Chưa xác định",DANH_MUC!$L$9="Có"))),"Có","Không"))</f>
        <v/>
      </c>
      <c r="U2297" s="22">
        <f>IF(OR($D2297="",$T2297="Có"),"",IF($C2297="","Thiếu họ tên; ","")&amp;IF($S2297&lt;&gt;"Có","SĐT sai định dạng; ","")&amp;IF($R2297="Trùng","Trùng SĐT; ","")&amp;IF($Q2297&lt;&gt;"Có","Thiếu đồng ý bắt buộc; ","")&amp;IF($L2297="","Thiếu/sai Mã REF; ",IF(AND($L2297="Chưa xác định",DANH_MUC!$L$9&lt;&gt;"Có"),"Nguồn chưa xác định; ","")))</f>
        <v/>
      </c>
      <c r="V2297" s="22">
        <f>IF(OR($D2297="",$R2297="Trùng"),"",IF(COUNTIF(ORDERS!$C$2:$C$4995,$D2297)&gt;0,"Có","Không"))</f>
        <v/>
      </c>
      <c r="W2297" s="22">
        <f>IF(OR($D2297="",$R2297="Trùng"),"",COUNTIFS(ORDERS!$C$2:$C$4995,$D2297,ORDERS!$L$2:$L$4995,"Đã chuyển khoản"))</f>
        <v/>
      </c>
      <c r="X2297" s="23">
        <f>IF(OR($D2297="",$R2297="Trùng"),"",SUMIFS(ORDERS!$J$2:$J$4995,ORDERS!$C$2:$C$4995,$D2297,ORDERS!$L$2:$L$4995,"Đã chuyển khoản"))</f>
        <v/>
      </c>
      <c r="Y2297" s="24" t="n"/>
    </row>
    <row r="2298" ht="14.25" customHeight="1" s="40">
      <c r="A2298" s="24" t="n"/>
      <c r="B2298" s="27" t="n"/>
      <c r="C2298" s="24" t="n"/>
      <c r="D2298" s="28" t="n"/>
      <c r="E2298" s="29" t="n"/>
      <c r="F2298" s="24" t="n"/>
      <c r="G2298" s="24" t="n"/>
      <c r="H2298" s="21">
        <f>IF(ISNUMBER($B2298),INT($B2298)-WEEKDAY($B2298,2)+1,"")</f>
        <v/>
      </c>
      <c r="I2298" s="24" t="n"/>
      <c r="J2298" s="22">
        <f t="array" ref="J2298">IF($D2298="","",IF($I2298="","(trống REF)",IFERROR(INDEX(MASTER_SOURCE!$B$2:$B$495,MATCH($I2298,MASTER_SOURCE!$A$2:$A$495,0)),"(REF không có trong MASTER_SOURCE)")))</f>
        <v/>
      </c>
      <c r="K2298" s="22">
        <f t="array" ref="K2298">IF($D2298="","",IFERROR(INDEX(MASTER_SOURCE!$C$2:$C$495,MATCH($I2298,MASTER_SOURCE!$A$2:$A$495,0)),""))</f>
        <v/>
      </c>
      <c r="L2298" s="22">
        <f t="array" ref="L2298">IF($D2298="","",IFERROR(INDEX(MASTER_SOURCE!$D$2:$D$495,MATCH($I2298,MASTER_SOURCE!$A$2:$A$495,0)),""))</f>
        <v/>
      </c>
      <c r="M2298" s="24" t="n"/>
      <c r="N2298" s="24" t="n"/>
      <c r="O2298" s="24" t="n"/>
      <c r="P2298" s="24" t="n"/>
      <c r="Q2298" s="22">
        <f>IF($D2298="","",IF(AND(OR(DANH_MUC!$L$5&lt;&gt;"Có",M2298="Có"),OR(DANH_MUC!$L$6&lt;&gt;"Có",N2298="Có"),OR(DANH_MUC!$L$7&lt;&gt;"Có",O2298="Có"),OR(DANH_MUC!$L$8&lt;&gt;"Có",P2298="Có")),"Có","Không"))</f>
        <v/>
      </c>
      <c r="R2298" s="22">
        <f>IF($D2298="","",IF(COUNTIF($D$2:$D2298,$D2298)&gt;1,"Trùng",""))</f>
        <v/>
      </c>
      <c r="S2298" s="22">
        <f>IF($D2298="","",IF(AND(LEN($D2298)=10,LEFT($D2298,1)="0",ISNUMBER(--$D2298)),"Có","Không"))</f>
        <v/>
      </c>
      <c r="T2298" s="22">
        <f>IF($D2298="","",IF(AND($C2298&lt;&gt;"",$Q2298="Có",$R2298="",$S2298="Có",AND($L2298&lt;&gt;"",OR($L2298&lt;&gt;"Chưa xác định",DANH_MUC!$L$9="Có"))),"Có","Không"))</f>
        <v/>
      </c>
      <c r="U2298" s="22">
        <f>IF(OR($D2298="",$T2298="Có"),"",IF($C2298="","Thiếu họ tên; ","")&amp;IF($S2298&lt;&gt;"Có","SĐT sai định dạng; ","")&amp;IF($R2298="Trùng","Trùng SĐT; ","")&amp;IF($Q2298&lt;&gt;"Có","Thiếu đồng ý bắt buộc; ","")&amp;IF($L2298="","Thiếu/sai Mã REF; ",IF(AND($L2298="Chưa xác định",DANH_MUC!$L$9&lt;&gt;"Có"),"Nguồn chưa xác định; ","")))</f>
        <v/>
      </c>
      <c r="V2298" s="22">
        <f>IF(OR($D2298="",$R2298="Trùng"),"",IF(COUNTIF(ORDERS!$C$2:$C$4995,$D2298)&gt;0,"Có","Không"))</f>
        <v/>
      </c>
      <c r="W2298" s="22">
        <f>IF(OR($D2298="",$R2298="Trùng"),"",COUNTIFS(ORDERS!$C$2:$C$4995,$D2298,ORDERS!$L$2:$L$4995,"Đã chuyển khoản"))</f>
        <v/>
      </c>
      <c r="X2298" s="23">
        <f>IF(OR($D2298="",$R2298="Trùng"),"",SUMIFS(ORDERS!$J$2:$J$4995,ORDERS!$C$2:$C$4995,$D2298,ORDERS!$L$2:$L$4995,"Đã chuyển khoản"))</f>
        <v/>
      </c>
      <c r="Y2298" s="24" t="n"/>
    </row>
    <row r="2299" ht="14.25" customHeight="1" s="40">
      <c r="A2299" s="24" t="n"/>
      <c r="B2299" s="27" t="n"/>
      <c r="C2299" s="24" t="n"/>
      <c r="D2299" s="28" t="n"/>
      <c r="E2299" s="29" t="n"/>
      <c r="F2299" s="24" t="n"/>
      <c r="G2299" s="24" t="n"/>
      <c r="H2299" s="21">
        <f>IF(ISNUMBER($B2299),INT($B2299)-WEEKDAY($B2299,2)+1,"")</f>
        <v/>
      </c>
      <c r="I2299" s="24" t="n"/>
      <c r="J2299" s="22">
        <f t="array" ref="J2299">IF($D2299="","",IF($I2299="","(trống REF)",IFERROR(INDEX(MASTER_SOURCE!$B$2:$B$495,MATCH($I2299,MASTER_SOURCE!$A$2:$A$495,0)),"(REF không có trong MASTER_SOURCE)")))</f>
        <v/>
      </c>
      <c r="K2299" s="22">
        <f t="array" ref="K2299">IF($D2299="","",IFERROR(INDEX(MASTER_SOURCE!$C$2:$C$495,MATCH($I2299,MASTER_SOURCE!$A$2:$A$495,0)),""))</f>
        <v/>
      </c>
      <c r="L2299" s="22">
        <f t="array" ref="L2299">IF($D2299="","",IFERROR(INDEX(MASTER_SOURCE!$D$2:$D$495,MATCH($I2299,MASTER_SOURCE!$A$2:$A$495,0)),""))</f>
        <v/>
      </c>
      <c r="M2299" s="24" t="n"/>
      <c r="N2299" s="24" t="n"/>
      <c r="O2299" s="24" t="n"/>
      <c r="P2299" s="24" t="n"/>
      <c r="Q2299" s="22">
        <f>IF($D2299="","",IF(AND(OR(DANH_MUC!$L$5&lt;&gt;"Có",M2299="Có"),OR(DANH_MUC!$L$6&lt;&gt;"Có",N2299="Có"),OR(DANH_MUC!$L$7&lt;&gt;"Có",O2299="Có"),OR(DANH_MUC!$L$8&lt;&gt;"Có",P2299="Có")),"Có","Không"))</f>
        <v/>
      </c>
      <c r="R2299" s="22">
        <f>IF($D2299="","",IF(COUNTIF($D$2:$D2299,$D2299)&gt;1,"Trùng",""))</f>
        <v/>
      </c>
      <c r="S2299" s="22">
        <f>IF($D2299="","",IF(AND(LEN($D2299)=10,LEFT($D2299,1)="0",ISNUMBER(--$D2299)),"Có","Không"))</f>
        <v/>
      </c>
      <c r="T2299" s="22">
        <f>IF($D2299="","",IF(AND($C2299&lt;&gt;"",$Q2299="Có",$R2299="",$S2299="Có",AND($L2299&lt;&gt;"",OR($L2299&lt;&gt;"Chưa xác định",DANH_MUC!$L$9="Có"))),"Có","Không"))</f>
        <v/>
      </c>
      <c r="U2299" s="22">
        <f>IF(OR($D2299="",$T2299="Có"),"",IF($C2299="","Thiếu họ tên; ","")&amp;IF($S2299&lt;&gt;"Có","SĐT sai định dạng; ","")&amp;IF($R2299="Trùng","Trùng SĐT; ","")&amp;IF($Q2299&lt;&gt;"Có","Thiếu đồng ý bắt buộc; ","")&amp;IF($L2299="","Thiếu/sai Mã REF; ",IF(AND($L2299="Chưa xác định",DANH_MUC!$L$9&lt;&gt;"Có"),"Nguồn chưa xác định; ","")))</f>
        <v/>
      </c>
      <c r="V2299" s="22">
        <f>IF(OR($D2299="",$R2299="Trùng"),"",IF(COUNTIF(ORDERS!$C$2:$C$4995,$D2299)&gt;0,"Có","Không"))</f>
        <v/>
      </c>
      <c r="W2299" s="22">
        <f>IF(OR($D2299="",$R2299="Trùng"),"",COUNTIFS(ORDERS!$C$2:$C$4995,$D2299,ORDERS!$L$2:$L$4995,"Đã chuyển khoản"))</f>
        <v/>
      </c>
      <c r="X2299" s="23">
        <f>IF(OR($D2299="",$R2299="Trùng"),"",SUMIFS(ORDERS!$J$2:$J$4995,ORDERS!$C$2:$C$4995,$D2299,ORDERS!$L$2:$L$4995,"Đã chuyển khoản"))</f>
        <v/>
      </c>
      <c r="Y2299" s="24" t="n"/>
    </row>
    <row r="2300" ht="14.25" customHeight="1" s="40">
      <c r="A2300" s="24" t="n"/>
      <c r="B2300" s="27" t="n"/>
      <c r="C2300" s="24" t="n"/>
      <c r="D2300" s="28" t="n"/>
      <c r="E2300" s="29" t="n"/>
      <c r="F2300" s="24" t="n"/>
      <c r="G2300" s="24" t="n"/>
      <c r="H2300" s="21">
        <f>IF(ISNUMBER($B2300),INT($B2300)-WEEKDAY($B2300,2)+1,"")</f>
        <v/>
      </c>
      <c r="I2300" s="24" t="n"/>
      <c r="J2300" s="22">
        <f t="array" ref="J2300">IF($D2300="","",IF($I2300="","(trống REF)",IFERROR(INDEX(MASTER_SOURCE!$B$2:$B$495,MATCH($I2300,MASTER_SOURCE!$A$2:$A$495,0)),"(REF không có trong MASTER_SOURCE)")))</f>
        <v/>
      </c>
      <c r="K2300" s="22">
        <f t="array" ref="K2300">IF($D2300="","",IFERROR(INDEX(MASTER_SOURCE!$C$2:$C$495,MATCH($I2300,MASTER_SOURCE!$A$2:$A$495,0)),""))</f>
        <v/>
      </c>
      <c r="L2300" s="22">
        <f t="array" ref="L2300">IF($D2300="","",IFERROR(INDEX(MASTER_SOURCE!$D$2:$D$495,MATCH($I2300,MASTER_SOURCE!$A$2:$A$495,0)),""))</f>
        <v/>
      </c>
      <c r="M2300" s="24" t="n"/>
      <c r="N2300" s="24" t="n"/>
      <c r="O2300" s="24" t="n"/>
      <c r="P2300" s="24" t="n"/>
      <c r="Q2300" s="22">
        <f>IF($D2300="","",IF(AND(OR(DANH_MUC!$L$5&lt;&gt;"Có",M2300="Có"),OR(DANH_MUC!$L$6&lt;&gt;"Có",N2300="Có"),OR(DANH_MUC!$L$7&lt;&gt;"Có",O2300="Có"),OR(DANH_MUC!$L$8&lt;&gt;"Có",P2300="Có")),"Có","Không"))</f>
        <v/>
      </c>
      <c r="R2300" s="22">
        <f>IF($D2300="","",IF(COUNTIF($D$2:$D2300,$D2300)&gt;1,"Trùng",""))</f>
        <v/>
      </c>
      <c r="S2300" s="22">
        <f>IF($D2300="","",IF(AND(LEN($D2300)=10,LEFT($D2300,1)="0",ISNUMBER(--$D2300)),"Có","Không"))</f>
        <v/>
      </c>
      <c r="T2300" s="22">
        <f>IF($D2300="","",IF(AND($C2300&lt;&gt;"",$Q2300="Có",$R2300="",$S2300="Có",AND($L2300&lt;&gt;"",OR($L2300&lt;&gt;"Chưa xác định",DANH_MUC!$L$9="Có"))),"Có","Không"))</f>
        <v/>
      </c>
      <c r="U2300" s="22">
        <f>IF(OR($D2300="",$T2300="Có"),"",IF($C2300="","Thiếu họ tên; ","")&amp;IF($S2300&lt;&gt;"Có","SĐT sai định dạng; ","")&amp;IF($R2300="Trùng","Trùng SĐT; ","")&amp;IF($Q2300&lt;&gt;"Có","Thiếu đồng ý bắt buộc; ","")&amp;IF($L2300="","Thiếu/sai Mã REF; ",IF(AND($L2300="Chưa xác định",DANH_MUC!$L$9&lt;&gt;"Có"),"Nguồn chưa xác định; ","")))</f>
        <v/>
      </c>
      <c r="V2300" s="22">
        <f>IF(OR($D2300="",$R2300="Trùng"),"",IF(COUNTIF(ORDERS!$C$2:$C$4995,$D2300)&gt;0,"Có","Không"))</f>
        <v/>
      </c>
      <c r="W2300" s="22">
        <f>IF(OR($D2300="",$R2300="Trùng"),"",COUNTIFS(ORDERS!$C$2:$C$4995,$D2300,ORDERS!$L$2:$L$4995,"Đã chuyển khoản"))</f>
        <v/>
      </c>
      <c r="X2300" s="23">
        <f>IF(OR($D2300="",$R2300="Trùng"),"",SUMIFS(ORDERS!$J$2:$J$4995,ORDERS!$C$2:$C$4995,$D2300,ORDERS!$L$2:$L$4995,"Đã chuyển khoản"))</f>
        <v/>
      </c>
      <c r="Y2300" s="24" t="n"/>
    </row>
    <row r="2301" ht="14.25" customHeight="1" s="40">
      <c r="A2301" s="24" t="n"/>
      <c r="B2301" s="27" t="n"/>
      <c r="C2301" s="24" t="n"/>
      <c r="D2301" s="28" t="n"/>
      <c r="E2301" s="29" t="n"/>
      <c r="F2301" s="24" t="n"/>
      <c r="G2301" s="24" t="n"/>
      <c r="H2301" s="21">
        <f>IF(ISNUMBER($B2301),INT($B2301)-WEEKDAY($B2301,2)+1,"")</f>
        <v/>
      </c>
      <c r="I2301" s="24" t="n"/>
      <c r="J2301" s="22">
        <f t="array" ref="J2301">IF($D2301="","",IF($I2301="","(trống REF)",IFERROR(INDEX(MASTER_SOURCE!$B$2:$B$495,MATCH($I2301,MASTER_SOURCE!$A$2:$A$495,0)),"(REF không có trong MASTER_SOURCE)")))</f>
        <v/>
      </c>
      <c r="K2301" s="22">
        <f t="array" ref="K2301">IF($D2301="","",IFERROR(INDEX(MASTER_SOURCE!$C$2:$C$495,MATCH($I2301,MASTER_SOURCE!$A$2:$A$495,0)),""))</f>
        <v/>
      </c>
      <c r="L2301" s="22">
        <f t="array" ref="L2301">IF($D2301="","",IFERROR(INDEX(MASTER_SOURCE!$D$2:$D$495,MATCH($I2301,MASTER_SOURCE!$A$2:$A$495,0)),""))</f>
        <v/>
      </c>
      <c r="M2301" s="24" t="n"/>
      <c r="N2301" s="24" t="n"/>
      <c r="O2301" s="24" t="n"/>
      <c r="P2301" s="24" t="n"/>
      <c r="Q2301" s="22">
        <f>IF($D2301="","",IF(AND(OR(DANH_MUC!$L$5&lt;&gt;"Có",M2301="Có"),OR(DANH_MUC!$L$6&lt;&gt;"Có",N2301="Có"),OR(DANH_MUC!$L$7&lt;&gt;"Có",O2301="Có"),OR(DANH_MUC!$L$8&lt;&gt;"Có",P2301="Có")),"Có","Không"))</f>
        <v/>
      </c>
      <c r="R2301" s="22">
        <f>IF($D2301="","",IF(COUNTIF($D$2:$D2301,$D2301)&gt;1,"Trùng",""))</f>
        <v/>
      </c>
      <c r="S2301" s="22">
        <f>IF($D2301="","",IF(AND(LEN($D2301)=10,LEFT($D2301,1)="0",ISNUMBER(--$D2301)),"Có","Không"))</f>
        <v/>
      </c>
      <c r="T2301" s="22">
        <f>IF($D2301="","",IF(AND($C2301&lt;&gt;"",$Q2301="Có",$R2301="",$S2301="Có",AND($L2301&lt;&gt;"",OR($L2301&lt;&gt;"Chưa xác định",DANH_MUC!$L$9="Có"))),"Có","Không"))</f>
        <v/>
      </c>
      <c r="U2301" s="22">
        <f>IF(OR($D2301="",$T2301="Có"),"",IF($C2301="","Thiếu họ tên; ","")&amp;IF($S2301&lt;&gt;"Có","SĐT sai định dạng; ","")&amp;IF($R2301="Trùng","Trùng SĐT; ","")&amp;IF($Q2301&lt;&gt;"Có","Thiếu đồng ý bắt buộc; ","")&amp;IF($L2301="","Thiếu/sai Mã REF; ",IF(AND($L2301="Chưa xác định",DANH_MUC!$L$9&lt;&gt;"Có"),"Nguồn chưa xác định; ","")))</f>
        <v/>
      </c>
      <c r="V2301" s="22">
        <f>IF(OR($D2301="",$R2301="Trùng"),"",IF(COUNTIF(ORDERS!$C$2:$C$4995,$D2301)&gt;0,"Có","Không"))</f>
        <v/>
      </c>
      <c r="W2301" s="22">
        <f>IF(OR($D2301="",$R2301="Trùng"),"",COUNTIFS(ORDERS!$C$2:$C$4995,$D2301,ORDERS!$L$2:$L$4995,"Đã chuyển khoản"))</f>
        <v/>
      </c>
      <c r="X2301" s="23">
        <f>IF(OR($D2301="",$R2301="Trùng"),"",SUMIFS(ORDERS!$J$2:$J$4995,ORDERS!$C$2:$C$4995,$D2301,ORDERS!$L$2:$L$4995,"Đã chuyển khoản"))</f>
        <v/>
      </c>
      <c r="Y2301" s="24" t="n"/>
    </row>
    <row r="2302" ht="14.25" customHeight="1" s="40">
      <c r="A2302" s="24" t="n"/>
      <c r="B2302" s="27" t="n"/>
      <c r="C2302" s="24" t="n"/>
      <c r="D2302" s="28" t="n"/>
      <c r="E2302" s="29" t="n"/>
      <c r="F2302" s="24" t="n"/>
      <c r="G2302" s="24" t="n"/>
      <c r="H2302" s="21">
        <f>IF(ISNUMBER($B2302),INT($B2302)-WEEKDAY($B2302,2)+1,"")</f>
        <v/>
      </c>
      <c r="I2302" s="24" t="n"/>
      <c r="J2302" s="22">
        <f t="array" ref="J2302">IF($D2302="","",IF($I2302="","(trống REF)",IFERROR(INDEX(MASTER_SOURCE!$B$2:$B$495,MATCH($I2302,MASTER_SOURCE!$A$2:$A$495,0)),"(REF không có trong MASTER_SOURCE)")))</f>
        <v/>
      </c>
      <c r="K2302" s="22">
        <f t="array" ref="K2302">IF($D2302="","",IFERROR(INDEX(MASTER_SOURCE!$C$2:$C$495,MATCH($I2302,MASTER_SOURCE!$A$2:$A$495,0)),""))</f>
        <v/>
      </c>
      <c r="L2302" s="22">
        <f t="array" ref="L2302">IF($D2302="","",IFERROR(INDEX(MASTER_SOURCE!$D$2:$D$495,MATCH($I2302,MASTER_SOURCE!$A$2:$A$495,0)),""))</f>
        <v/>
      </c>
      <c r="M2302" s="24" t="n"/>
      <c r="N2302" s="24" t="n"/>
      <c r="O2302" s="24" t="n"/>
      <c r="P2302" s="24" t="n"/>
      <c r="Q2302" s="22">
        <f>IF($D2302="","",IF(AND(OR(DANH_MUC!$L$5&lt;&gt;"Có",M2302="Có"),OR(DANH_MUC!$L$6&lt;&gt;"Có",N2302="Có"),OR(DANH_MUC!$L$7&lt;&gt;"Có",O2302="Có"),OR(DANH_MUC!$L$8&lt;&gt;"Có",P2302="Có")),"Có","Không"))</f>
        <v/>
      </c>
      <c r="R2302" s="22">
        <f>IF($D2302="","",IF(COUNTIF($D$2:$D2302,$D2302)&gt;1,"Trùng",""))</f>
        <v/>
      </c>
      <c r="S2302" s="22">
        <f>IF($D2302="","",IF(AND(LEN($D2302)=10,LEFT($D2302,1)="0",ISNUMBER(--$D2302)),"Có","Không"))</f>
        <v/>
      </c>
      <c r="T2302" s="22">
        <f>IF($D2302="","",IF(AND($C2302&lt;&gt;"",$Q2302="Có",$R2302="",$S2302="Có",AND($L2302&lt;&gt;"",OR($L2302&lt;&gt;"Chưa xác định",DANH_MUC!$L$9="Có"))),"Có","Không"))</f>
        <v/>
      </c>
      <c r="U2302" s="22">
        <f>IF(OR($D2302="",$T2302="Có"),"",IF($C2302="","Thiếu họ tên; ","")&amp;IF($S2302&lt;&gt;"Có","SĐT sai định dạng; ","")&amp;IF($R2302="Trùng","Trùng SĐT; ","")&amp;IF($Q2302&lt;&gt;"Có","Thiếu đồng ý bắt buộc; ","")&amp;IF($L2302="","Thiếu/sai Mã REF; ",IF(AND($L2302="Chưa xác định",DANH_MUC!$L$9&lt;&gt;"Có"),"Nguồn chưa xác định; ","")))</f>
        <v/>
      </c>
      <c r="V2302" s="22">
        <f>IF(OR($D2302="",$R2302="Trùng"),"",IF(COUNTIF(ORDERS!$C$2:$C$4995,$D2302)&gt;0,"Có","Không"))</f>
        <v/>
      </c>
      <c r="W2302" s="22">
        <f>IF(OR($D2302="",$R2302="Trùng"),"",COUNTIFS(ORDERS!$C$2:$C$4995,$D2302,ORDERS!$L$2:$L$4995,"Đã chuyển khoản"))</f>
        <v/>
      </c>
      <c r="X2302" s="23">
        <f>IF(OR($D2302="",$R2302="Trùng"),"",SUMIFS(ORDERS!$J$2:$J$4995,ORDERS!$C$2:$C$4995,$D2302,ORDERS!$L$2:$L$4995,"Đã chuyển khoản"))</f>
        <v/>
      </c>
      <c r="Y2302" s="24" t="n"/>
    </row>
    <row r="2303" ht="14.25" customHeight="1" s="40">
      <c r="A2303" s="24" t="n"/>
      <c r="B2303" s="27" t="n"/>
      <c r="C2303" s="24" t="n"/>
      <c r="D2303" s="28" t="n"/>
      <c r="E2303" s="29" t="n"/>
      <c r="F2303" s="24" t="n"/>
      <c r="G2303" s="24" t="n"/>
      <c r="H2303" s="21">
        <f>IF(ISNUMBER($B2303),INT($B2303)-WEEKDAY($B2303,2)+1,"")</f>
        <v/>
      </c>
      <c r="I2303" s="24" t="n"/>
      <c r="J2303" s="22">
        <f t="array" ref="J2303">IF($D2303="","",IF($I2303="","(trống REF)",IFERROR(INDEX(MASTER_SOURCE!$B$2:$B$495,MATCH($I2303,MASTER_SOURCE!$A$2:$A$495,0)),"(REF không có trong MASTER_SOURCE)")))</f>
        <v/>
      </c>
      <c r="K2303" s="22">
        <f t="array" ref="K2303">IF($D2303="","",IFERROR(INDEX(MASTER_SOURCE!$C$2:$C$495,MATCH($I2303,MASTER_SOURCE!$A$2:$A$495,0)),""))</f>
        <v/>
      </c>
      <c r="L2303" s="22">
        <f t="array" ref="L2303">IF($D2303="","",IFERROR(INDEX(MASTER_SOURCE!$D$2:$D$495,MATCH($I2303,MASTER_SOURCE!$A$2:$A$495,0)),""))</f>
        <v/>
      </c>
      <c r="M2303" s="24" t="n"/>
      <c r="N2303" s="24" t="n"/>
      <c r="O2303" s="24" t="n"/>
      <c r="P2303" s="24" t="n"/>
      <c r="Q2303" s="22">
        <f>IF($D2303="","",IF(AND(OR(DANH_MUC!$L$5&lt;&gt;"Có",M2303="Có"),OR(DANH_MUC!$L$6&lt;&gt;"Có",N2303="Có"),OR(DANH_MUC!$L$7&lt;&gt;"Có",O2303="Có"),OR(DANH_MUC!$L$8&lt;&gt;"Có",P2303="Có")),"Có","Không"))</f>
        <v/>
      </c>
      <c r="R2303" s="22">
        <f>IF($D2303="","",IF(COUNTIF($D$2:$D2303,$D2303)&gt;1,"Trùng",""))</f>
        <v/>
      </c>
      <c r="S2303" s="22">
        <f>IF($D2303="","",IF(AND(LEN($D2303)=10,LEFT($D2303,1)="0",ISNUMBER(--$D2303)),"Có","Không"))</f>
        <v/>
      </c>
      <c r="T2303" s="22">
        <f>IF($D2303="","",IF(AND($C2303&lt;&gt;"",$Q2303="Có",$R2303="",$S2303="Có",AND($L2303&lt;&gt;"",OR($L2303&lt;&gt;"Chưa xác định",DANH_MUC!$L$9="Có"))),"Có","Không"))</f>
        <v/>
      </c>
      <c r="U2303" s="22">
        <f>IF(OR($D2303="",$T2303="Có"),"",IF($C2303="","Thiếu họ tên; ","")&amp;IF($S2303&lt;&gt;"Có","SĐT sai định dạng; ","")&amp;IF($R2303="Trùng","Trùng SĐT; ","")&amp;IF($Q2303&lt;&gt;"Có","Thiếu đồng ý bắt buộc; ","")&amp;IF($L2303="","Thiếu/sai Mã REF; ",IF(AND($L2303="Chưa xác định",DANH_MUC!$L$9&lt;&gt;"Có"),"Nguồn chưa xác định; ","")))</f>
        <v/>
      </c>
      <c r="V2303" s="22">
        <f>IF(OR($D2303="",$R2303="Trùng"),"",IF(COUNTIF(ORDERS!$C$2:$C$4995,$D2303)&gt;0,"Có","Không"))</f>
        <v/>
      </c>
      <c r="W2303" s="22">
        <f>IF(OR($D2303="",$R2303="Trùng"),"",COUNTIFS(ORDERS!$C$2:$C$4995,$D2303,ORDERS!$L$2:$L$4995,"Đã chuyển khoản"))</f>
        <v/>
      </c>
      <c r="X2303" s="23">
        <f>IF(OR($D2303="",$R2303="Trùng"),"",SUMIFS(ORDERS!$J$2:$J$4995,ORDERS!$C$2:$C$4995,$D2303,ORDERS!$L$2:$L$4995,"Đã chuyển khoản"))</f>
        <v/>
      </c>
      <c r="Y2303" s="24" t="n"/>
    </row>
    <row r="2304" ht="14.25" customHeight="1" s="40">
      <c r="A2304" s="24" t="n"/>
      <c r="B2304" s="27" t="n"/>
      <c r="C2304" s="24" t="n"/>
      <c r="D2304" s="28" t="n"/>
      <c r="E2304" s="29" t="n"/>
      <c r="F2304" s="24" t="n"/>
      <c r="G2304" s="24" t="n"/>
      <c r="H2304" s="21">
        <f>IF(ISNUMBER($B2304),INT($B2304)-WEEKDAY($B2304,2)+1,"")</f>
        <v/>
      </c>
      <c r="I2304" s="24" t="n"/>
      <c r="J2304" s="22">
        <f t="array" ref="J2304">IF($D2304="","",IF($I2304="","(trống REF)",IFERROR(INDEX(MASTER_SOURCE!$B$2:$B$495,MATCH($I2304,MASTER_SOURCE!$A$2:$A$495,0)),"(REF không có trong MASTER_SOURCE)")))</f>
        <v/>
      </c>
      <c r="K2304" s="22">
        <f t="array" ref="K2304">IF($D2304="","",IFERROR(INDEX(MASTER_SOURCE!$C$2:$C$495,MATCH($I2304,MASTER_SOURCE!$A$2:$A$495,0)),""))</f>
        <v/>
      </c>
      <c r="L2304" s="22">
        <f t="array" ref="L2304">IF($D2304="","",IFERROR(INDEX(MASTER_SOURCE!$D$2:$D$495,MATCH($I2304,MASTER_SOURCE!$A$2:$A$495,0)),""))</f>
        <v/>
      </c>
      <c r="M2304" s="24" t="n"/>
      <c r="N2304" s="24" t="n"/>
      <c r="O2304" s="24" t="n"/>
      <c r="P2304" s="24" t="n"/>
      <c r="Q2304" s="22">
        <f>IF($D2304="","",IF(AND(OR(DANH_MUC!$L$5&lt;&gt;"Có",M2304="Có"),OR(DANH_MUC!$L$6&lt;&gt;"Có",N2304="Có"),OR(DANH_MUC!$L$7&lt;&gt;"Có",O2304="Có"),OR(DANH_MUC!$L$8&lt;&gt;"Có",P2304="Có")),"Có","Không"))</f>
        <v/>
      </c>
      <c r="R2304" s="22">
        <f>IF($D2304="","",IF(COUNTIF($D$2:$D2304,$D2304)&gt;1,"Trùng",""))</f>
        <v/>
      </c>
      <c r="S2304" s="22">
        <f>IF($D2304="","",IF(AND(LEN($D2304)=10,LEFT($D2304,1)="0",ISNUMBER(--$D2304)),"Có","Không"))</f>
        <v/>
      </c>
      <c r="T2304" s="22">
        <f>IF($D2304="","",IF(AND($C2304&lt;&gt;"",$Q2304="Có",$R2304="",$S2304="Có",AND($L2304&lt;&gt;"",OR($L2304&lt;&gt;"Chưa xác định",DANH_MUC!$L$9="Có"))),"Có","Không"))</f>
        <v/>
      </c>
      <c r="U2304" s="22">
        <f>IF(OR($D2304="",$T2304="Có"),"",IF($C2304="","Thiếu họ tên; ","")&amp;IF($S2304&lt;&gt;"Có","SĐT sai định dạng; ","")&amp;IF($R2304="Trùng","Trùng SĐT; ","")&amp;IF($Q2304&lt;&gt;"Có","Thiếu đồng ý bắt buộc; ","")&amp;IF($L2304="","Thiếu/sai Mã REF; ",IF(AND($L2304="Chưa xác định",DANH_MUC!$L$9&lt;&gt;"Có"),"Nguồn chưa xác định; ","")))</f>
        <v/>
      </c>
      <c r="V2304" s="22">
        <f>IF(OR($D2304="",$R2304="Trùng"),"",IF(COUNTIF(ORDERS!$C$2:$C$4995,$D2304)&gt;0,"Có","Không"))</f>
        <v/>
      </c>
      <c r="W2304" s="22">
        <f>IF(OR($D2304="",$R2304="Trùng"),"",COUNTIFS(ORDERS!$C$2:$C$4995,$D2304,ORDERS!$L$2:$L$4995,"Đã chuyển khoản"))</f>
        <v/>
      </c>
      <c r="X2304" s="23">
        <f>IF(OR($D2304="",$R2304="Trùng"),"",SUMIFS(ORDERS!$J$2:$J$4995,ORDERS!$C$2:$C$4995,$D2304,ORDERS!$L$2:$L$4995,"Đã chuyển khoản"))</f>
        <v/>
      </c>
      <c r="Y2304" s="24" t="n"/>
    </row>
    <row r="2305" ht="14.25" customHeight="1" s="40">
      <c r="A2305" s="24" t="n"/>
      <c r="B2305" s="27" t="n"/>
      <c r="C2305" s="24" t="n"/>
      <c r="D2305" s="28" t="n"/>
      <c r="E2305" s="29" t="n"/>
      <c r="F2305" s="24" t="n"/>
      <c r="G2305" s="24" t="n"/>
      <c r="H2305" s="21">
        <f>IF(ISNUMBER($B2305),INT($B2305)-WEEKDAY($B2305,2)+1,"")</f>
        <v/>
      </c>
      <c r="I2305" s="24" t="n"/>
      <c r="J2305" s="22">
        <f t="array" ref="J2305">IF($D2305="","",IF($I2305="","(trống REF)",IFERROR(INDEX(MASTER_SOURCE!$B$2:$B$495,MATCH($I2305,MASTER_SOURCE!$A$2:$A$495,0)),"(REF không có trong MASTER_SOURCE)")))</f>
        <v/>
      </c>
      <c r="K2305" s="22">
        <f t="array" ref="K2305">IF($D2305="","",IFERROR(INDEX(MASTER_SOURCE!$C$2:$C$495,MATCH($I2305,MASTER_SOURCE!$A$2:$A$495,0)),""))</f>
        <v/>
      </c>
      <c r="L2305" s="22">
        <f t="array" ref="L2305">IF($D2305="","",IFERROR(INDEX(MASTER_SOURCE!$D$2:$D$495,MATCH($I2305,MASTER_SOURCE!$A$2:$A$495,0)),""))</f>
        <v/>
      </c>
      <c r="M2305" s="24" t="n"/>
      <c r="N2305" s="24" t="n"/>
      <c r="O2305" s="24" t="n"/>
      <c r="P2305" s="24" t="n"/>
      <c r="Q2305" s="22">
        <f>IF($D2305="","",IF(AND(OR(DANH_MUC!$L$5&lt;&gt;"Có",M2305="Có"),OR(DANH_MUC!$L$6&lt;&gt;"Có",N2305="Có"),OR(DANH_MUC!$L$7&lt;&gt;"Có",O2305="Có"),OR(DANH_MUC!$L$8&lt;&gt;"Có",P2305="Có")),"Có","Không"))</f>
        <v/>
      </c>
      <c r="R2305" s="22">
        <f>IF($D2305="","",IF(COUNTIF($D$2:$D2305,$D2305)&gt;1,"Trùng",""))</f>
        <v/>
      </c>
      <c r="S2305" s="22">
        <f>IF($D2305="","",IF(AND(LEN($D2305)=10,LEFT($D2305,1)="0",ISNUMBER(--$D2305)),"Có","Không"))</f>
        <v/>
      </c>
      <c r="T2305" s="22">
        <f>IF($D2305="","",IF(AND($C2305&lt;&gt;"",$Q2305="Có",$R2305="",$S2305="Có",AND($L2305&lt;&gt;"",OR($L2305&lt;&gt;"Chưa xác định",DANH_MUC!$L$9="Có"))),"Có","Không"))</f>
        <v/>
      </c>
      <c r="U2305" s="22">
        <f>IF(OR($D2305="",$T2305="Có"),"",IF($C2305="","Thiếu họ tên; ","")&amp;IF($S2305&lt;&gt;"Có","SĐT sai định dạng; ","")&amp;IF($R2305="Trùng","Trùng SĐT; ","")&amp;IF($Q2305&lt;&gt;"Có","Thiếu đồng ý bắt buộc; ","")&amp;IF($L2305="","Thiếu/sai Mã REF; ",IF(AND($L2305="Chưa xác định",DANH_MUC!$L$9&lt;&gt;"Có"),"Nguồn chưa xác định; ","")))</f>
        <v/>
      </c>
      <c r="V2305" s="22">
        <f>IF(OR($D2305="",$R2305="Trùng"),"",IF(COUNTIF(ORDERS!$C$2:$C$4995,$D2305)&gt;0,"Có","Không"))</f>
        <v/>
      </c>
      <c r="W2305" s="22">
        <f>IF(OR($D2305="",$R2305="Trùng"),"",COUNTIFS(ORDERS!$C$2:$C$4995,$D2305,ORDERS!$L$2:$L$4995,"Đã chuyển khoản"))</f>
        <v/>
      </c>
      <c r="X2305" s="23">
        <f>IF(OR($D2305="",$R2305="Trùng"),"",SUMIFS(ORDERS!$J$2:$J$4995,ORDERS!$C$2:$C$4995,$D2305,ORDERS!$L$2:$L$4995,"Đã chuyển khoản"))</f>
        <v/>
      </c>
      <c r="Y2305" s="24" t="n"/>
    </row>
    <row r="2306" ht="14.25" customHeight="1" s="40">
      <c r="A2306" s="24" t="n"/>
      <c r="B2306" s="27" t="n"/>
      <c r="C2306" s="24" t="n"/>
      <c r="D2306" s="28" t="n"/>
      <c r="E2306" s="29" t="n"/>
      <c r="F2306" s="24" t="n"/>
      <c r="G2306" s="24" t="n"/>
      <c r="H2306" s="21">
        <f>IF(ISNUMBER($B2306),INT($B2306)-WEEKDAY($B2306,2)+1,"")</f>
        <v/>
      </c>
      <c r="I2306" s="24" t="n"/>
      <c r="J2306" s="22">
        <f t="array" ref="J2306">IF($D2306="","",IF($I2306="","(trống REF)",IFERROR(INDEX(MASTER_SOURCE!$B$2:$B$495,MATCH($I2306,MASTER_SOURCE!$A$2:$A$495,0)),"(REF không có trong MASTER_SOURCE)")))</f>
        <v/>
      </c>
      <c r="K2306" s="22">
        <f t="array" ref="K2306">IF($D2306="","",IFERROR(INDEX(MASTER_SOURCE!$C$2:$C$495,MATCH($I2306,MASTER_SOURCE!$A$2:$A$495,0)),""))</f>
        <v/>
      </c>
      <c r="L2306" s="22">
        <f t="array" ref="L2306">IF($D2306="","",IFERROR(INDEX(MASTER_SOURCE!$D$2:$D$495,MATCH($I2306,MASTER_SOURCE!$A$2:$A$495,0)),""))</f>
        <v/>
      </c>
      <c r="M2306" s="24" t="n"/>
      <c r="N2306" s="24" t="n"/>
      <c r="O2306" s="24" t="n"/>
      <c r="P2306" s="24" t="n"/>
      <c r="Q2306" s="22">
        <f>IF($D2306="","",IF(AND(OR(DANH_MUC!$L$5&lt;&gt;"Có",M2306="Có"),OR(DANH_MUC!$L$6&lt;&gt;"Có",N2306="Có"),OR(DANH_MUC!$L$7&lt;&gt;"Có",O2306="Có"),OR(DANH_MUC!$L$8&lt;&gt;"Có",P2306="Có")),"Có","Không"))</f>
        <v/>
      </c>
      <c r="R2306" s="22">
        <f>IF($D2306="","",IF(COUNTIF($D$2:$D2306,$D2306)&gt;1,"Trùng",""))</f>
        <v/>
      </c>
      <c r="S2306" s="22">
        <f>IF($D2306="","",IF(AND(LEN($D2306)=10,LEFT($D2306,1)="0",ISNUMBER(--$D2306)),"Có","Không"))</f>
        <v/>
      </c>
      <c r="T2306" s="22">
        <f>IF($D2306="","",IF(AND($C2306&lt;&gt;"",$Q2306="Có",$R2306="",$S2306="Có",AND($L2306&lt;&gt;"",OR($L2306&lt;&gt;"Chưa xác định",DANH_MUC!$L$9="Có"))),"Có","Không"))</f>
        <v/>
      </c>
      <c r="U2306" s="22">
        <f>IF(OR($D2306="",$T2306="Có"),"",IF($C2306="","Thiếu họ tên; ","")&amp;IF($S2306&lt;&gt;"Có","SĐT sai định dạng; ","")&amp;IF($R2306="Trùng","Trùng SĐT; ","")&amp;IF($Q2306&lt;&gt;"Có","Thiếu đồng ý bắt buộc; ","")&amp;IF($L2306="","Thiếu/sai Mã REF; ",IF(AND($L2306="Chưa xác định",DANH_MUC!$L$9&lt;&gt;"Có"),"Nguồn chưa xác định; ","")))</f>
        <v/>
      </c>
      <c r="V2306" s="22">
        <f>IF(OR($D2306="",$R2306="Trùng"),"",IF(COUNTIF(ORDERS!$C$2:$C$4995,$D2306)&gt;0,"Có","Không"))</f>
        <v/>
      </c>
      <c r="W2306" s="22">
        <f>IF(OR($D2306="",$R2306="Trùng"),"",COUNTIFS(ORDERS!$C$2:$C$4995,$D2306,ORDERS!$L$2:$L$4995,"Đã chuyển khoản"))</f>
        <v/>
      </c>
      <c r="X2306" s="23">
        <f>IF(OR($D2306="",$R2306="Trùng"),"",SUMIFS(ORDERS!$J$2:$J$4995,ORDERS!$C$2:$C$4995,$D2306,ORDERS!$L$2:$L$4995,"Đã chuyển khoản"))</f>
        <v/>
      </c>
      <c r="Y2306" s="24" t="n"/>
    </row>
    <row r="2307" ht="14.25" customHeight="1" s="40">
      <c r="A2307" s="24" t="n"/>
      <c r="B2307" s="27" t="n"/>
      <c r="C2307" s="24" t="n"/>
      <c r="D2307" s="28" t="n"/>
      <c r="E2307" s="29" t="n"/>
      <c r="F2307" s="24" t="n"/>
      <c r="G2307" s="24" t="n"/>
      <c r="H2307" s="21">
        <f>IF(ISNUMBER($B2307),INT($B2307)-WEEKDAY($B2307,2)+1,"")</f>
        <v/>
      </c>
      <c r="I2307" s="24" t="n"/>
      <c r="J2307" s="22">
        <f t="array" ref="J2307">IF($D2307="","",IF($I2307="","(trống REF)",IFERROR(INDEX(MASTER_SOURCE!$B$2:$B$495,MATCH($I2307,MASTER_SOURCE!$A$2:$A$495,0)),"(REF không có trong MASTER_SOURCE)")))</f>
        <v/>
      </c>
      <c r="K2307" s="22">
        <f t="array" ref="K2307">IF($D2307="","",IFERROR(INDEX(MASTER_SOURCE!$C$2:$C$495,MATCH($I2307,MASTER_SOURCE!$A$2:$A$495,0)),""))</f>
        <v/>
      </c>
      <c r="L2307" s="22">
        <f t="array" ref="L2307">IF($D2307="","",IFERROR(INDEX(MASTER_SOURCE!$D$2:$D$495,MATCH($I2307,MASTER_SOURCE!$A$2:$A$495,0)),""))</f>
        <v/>
      </c>
      <c r="M2307" s="24" t="n"/>
      <c r="N2307" s="24" t="n"/>
      <c r="O2307" s="24" t="n"/>
      <c r="P2307" s="24" t="n"/>
      <c r="Q2307" s="22">
        <f>IF($D2307="","",IF(AND(OR(DANH_MUC!$L$5&lt;&gt;"Có",M2307="Có"),OR(DANH_MUC!$L$6&lt;&gt;"Có",N2307="Có"),OR(DANH_MUC!$L$7&lt;&gt;"Có",O2307="Có"),OR(DANH_MUC!$L$8&lt;&gt;"Có",P2307="Có")),"Có","Không"))</f>
        <v/>
      </c>
      <c r="R2307" s="22">
        <f>IF($D2307="","",IF(COUNTIF($D$2:$D2307,$D2307)&gt;1,"Trùng",""))</f>
        <v/>
      </c>
      <c r="S2307" s="22">
        <f>IF($D2307="","",IF(AND(LEN($D2307)=10,LEFT($D2307,1)="0",ISNUMBER(--$D2307)),"Có","Không"))</f>
        <v/>
      </c>
      <c r="T2307" s="22">
        <f>IF($D2307="","",IF(AND($C2307&lt;&gt;"",$Q2307="Có",$R2307="",$S2307="Có",AND($L2307&lt;&gt;"",OR($L2307&lt;&gt;"Chưa xác định",DANH_MUC!$L$9="Có"))),"Có","Không"))</f>
        <v/>
      </c>
      <c r="U2307" s="22">
        <f>IF(OR($D2307="",$T2307="Có"),"",IF($C2307="","Thiếu họ tên; ","")&amp;IF($S2307&lt;&gt;"Có","SĐT sai định dạng; ","")&amp;IF($R2307="Trùng","Trùng SĐT; ","")&amp;IF($Q2307&lt;&gt;"Có","Thiếu đồng ý bắt buộc; ","")&amp;IF($L2307="","Thiếu/sai Mã REF; ",IF(AND($L2307="Chưa xác định",DANH_MUC!$L$9&lt;&gt;"Có"),"Nguồn chưa xác định; ","")))</f>
        <v/>
      </c>
      <c r="V2307" s="22">
        <f>IF(OR($D2307="",$R2307="Trùng"),"",IF(COUNTIF(ORDERS!$C$2:$C$4995,$D2307)&gt;0,"Có","Không"))</f>
        <v/>
      </c>
      <c r="W2307" s="22">
        <f>IF(OR($D2307="",$R2307="Trùng"),"",COUNTIFS(ORDERS!$C$2:$C$4995,$D2307,ORDERS!$L$2:$L$4995,"Đã chuyển khoản"))</f>
        <v/>
      </c>
      <c r="X2307" s="23">
        <f>IF(OR($D2307="",$R2307="Trùng"),"",SUMIFS(ORDERS!$J$2:$J$4995,ORDERS!$C$2:$C$4995,$D2307,ORDERS!$L$2:$L$4995,"Đã chuyển khoản"))</f>
        <v/>
      </c>
      <c r="Y2307" s="24" t="n"/>
    </row>
    <row r="2308" ht="14.25" customHeight="1" s="40">
      <c r="A2308" s="24" t="n"/>
      <c r="B2308" s="27" t="n"/>
      <c r="C2308" s="24" t="n"/>
      <c r="D2308" s="28" t="n"/>
      <c r="E2308" s="29" t="n"/>
      <c r="F2308" s="24" t="n"/>
      <c r="G2308" s="24" t="n"/>
      <c r="H2308" s="21">
        <f>IF(ISNUMBER($B2308),INT($B2308)-WEEKDAY($B2308,2)+1,"")</f>
        <v/>
      </c>
      <c r="I2308" s="24" t="n"/>
      <c r="J2308" s="22">
        <f t="array" ref="J2308">IF($D2308="","",IF($I2308="","(trống REF)",IFERROR(INDEX(MASTER_SOURCE!$B$2:$B$495,MATCH($I2308,MASTER_SOURCE!$A$2:$A$495,0)),"(REF không có trong MASTER_SOURCE)")))</f>
        <v/>
      </c>
      <c r="K2308" s="22">
        <f t="array" ref="K2308">IF($D2308="","",IFERROR(INDEX(MASTER_SOURCE!$C$2:$C$495,MATCH($I2308,MASTER_SOURCE!$A$2:$A$495,0)),""))</f>
        <v/>
      </c>
      <c r="L2308" s="22">
        <f t="array" ref="L2308">IF($D2308="","",IFERROR(INDEX(MASTER_SOURCE!$D$2:$D$495,MATCH($I2308,MASTER_SOURCE!$A$2:$A$495,0)),""))</f>
        <v/>
      </c>
      <c r="M2308" s="24" t="n"/>
      <c r="N2308" s="24" t="n"/>
      <c r="O2308" s="24" t="n"/>
      <c r="P2308" s="24" t="n"/>
      <c r="Q2308" s="22">
        <f>IF($D2308="","",IF(AND(OR(DANH_MUC!$L$5&lt;&gt;"Có",M2308="Có"),OR(DANH_MUC!$L$6&lt;&gt;"Có",N2308="Có"),OR(DANH_MUC!$L$7&lt;&gt;"Có",O2308="Có"),OR(DANH_MUC!$L$8&lt;&gt;"Có",P2308="Có")),"Có","Không"))</f>
        <v/>
      </c>
      <c r="R2308" s="22">
        <f>IF($D2308="","",IF(COUNTIF($D$2:$D2308,$D2308)&gt;1,"Trùng",""))</f>
        <v/>
      </c>
      <c r="S2308" s="22">
        <f>IF($D2308="","",IF(AND(LEN($D2308)=10,LEFT($D2308,1)="0",ISNUMBER(--$D2308)),"Có","Không"))</f>
        <v/>
      </c>
      <c r="T2308" s="22">
        <f>IF($D2308="","",IF(AND($C2308&lt;&gt;"",$Q2308="Có",$R2308="",$S2308="Có",AND($L2308&lt;&gt;"",OR($L2308&lt;&gt;"Chưa xác định",DANH_MUC!$L$9="Có"))),"Có","Không"))</f>
        <v/>
      </c>
      <c r="U2308" s="22">
        <f>IF(OR($D2308="",$T2308="Có"),"",IF($C2308="","Thiếu họ tên; ","")&amp;IF($S2308&lt;&gt;"Có","SĐT sai định dạng; ","")&amp;IF($R2308="Trùng","Trùng SĐT; ","")&amp;IF($Q2308&lt;&gt;"Có","Thiếu đồng ý bắt buộc; ","")&amp;IF($L2308="","Thiếu/sai Mã REF; ",IF(AND($L2308="Chưa xác định",DANH_MUC!$L$9&lt;&gt;"Có"),"Nguồn chưa xác định; ","")))</f>
        <v/>
      </c>
      <c r="V2308" s="22">
        <f>IF(OR($D2308="",$R2308="Trùng"),"",IF(COUNTIF(ORDERS!$C$2:$C$4995,$D2308)&gt;0,"Có","Không"))</f>
        <v/>
      </c>
      <c r="W2308" s="22">
        <f>IF(OR($D2308="",$R2308="Trùng"),"",COUNTIFS(ORDERS!$C$2:$C$4995,$D2308,ORDERS!$L$2:$L$4995,"Đã chuyển khoản"))</f>
        <v/>
      </c>
      <c r="X2308" s="23">
        <f>IF(OR($D2308="",$R2308="Trùng"),"",SUMIFS(ORDERS!$J$2:$J$4995,ORDERS!$C$2:$C$4995,$D2308,ORDERS!$L$2:$L$4995,"Đã chuyển khoản"))</f>
        <v/>
      </c>
      <c r="Y2308" s="24" t="n"/>
    </row>
    <row r="2309" ht="14.25" customHeight="1" s="40">
      <c r="A2309" s="24" t="n"/>
      <c r="B2309" s="27" t="n"/>
      <c r="C2309" s="24" t="n"/>
      <c r="D2309" s="28" t="n"/>
      <c r="E2309" s="29" t="n"/>
      <c r="F2309" s="24" t="n"/>
      <c r="G2309" s="24" t="n"/>
      <c r="H2309" s="21">
        <f>IF(ISNUMBER($B2309),INT($B2309)-WEEKDAY($B2309,2)+1,"")</f>
        <v/>
      </c>
      <c r="I2309" s="24" t="n"/>
      <c r="J2309" s="22">
        <f t="array" ref="J2309">IF($D2309="","",IF($I2309="","(trống REF)",IFERROR(INDEX(MASTER_SOURCE!$B$2:$B$495,MATCH($I2309,MASTER_SOURCE!$A$2:$A$495,0)),"(REF không có trong MASTER_SOURCE)")))</f>
        <v/>
      </c>
      <c r="K2309" s="22">
        <f t="array" ref="K2309">IF($D2309="","",IFERROR(INDEX(MASTER_SOURCE!$C$2:$C$495,MATCH($I2309,MASTER_SOURCE!$A$2:$A$495,0)),""))</f>
        <v/>
      </c>
      <c r="L2309" s="22">
        <f t="array" ref="L2309">IF($D2309="","",IFERROR(INDEX(MASTER_SOURCE!$D$2:$D$495,MATCH($I2309,MASTER_SOURCE!$A$2:$A$495,0)),""))</f>
        <v/>
      </c>
      <c r="M2309" s="24" t="n"/>
      <c r="N2309" s="24" t="n"/>
      <c r="O2309" s="24" t="n"/>
      <c r="P2309" s="24" t="n"/>
      <c r="Q2309" s="22">
        <f>IF($D2309="","",IF(AND(OR(DANH_MUC!$L$5&lt;&gt;"Có",M2309="Có"),OR(DANH_MUC!$L$6&lt;&gt;"Có",N2309="Có"),OR(DANH_MUC!$L$7&lt;&gt;"Có",O2309="Có"),OR(DANH_MUC!$L$8&lt;&gt;"Có",P2309="Có")),"Có","Không"))</f>
        <v/>
      </c>
      <c r="R2309" s="22">
        <f>IF($D2309="","",IF(COUNTIF($D$2:$D2309,$D2309)&gt;1,"Trùng",""))</f>
        <v/>
      </c>
      <c r="S2309" s="22">
        <f>IF($D2309="","",IF(AND(LEN($D2309)=10,LEFT($D2309,1)="0",ISNUMBER(--$D2309)),"Có","Không"))</f>
        <v/>
      </c>
      <c r="T2309" s="22">
        <f>IF($D2309="","",IF(AND($C2309&lt;&gt;"",$Q2309="Có",$R2309="",$S2309="Có",AND($L2309&lt;&gt;"",OR($L2309&lt;&gt;"Chưa xác định",DANH_MUC!$L$9="Có"))),"Có","Không"))</f>
        <v/>
      </c>
      <c r="U2309" s="22">
        <f>IF(OR($D2309="",$T2309="Có"),"",IF($C2309="","Thiếu họ tên; ","")&amp;IF($S2309&lt;&gt;"Có","SĐT sai định dạng; ","")&amp;IF($R2309="Trùng","Trùng SĐT; ","")&amp;IF($Q2309&lt;&gt;"Có","Thiếu đồng ý bắt buộc; ","")&amp;IF($L2309="","Thiếu/sai Mã REF; ",IF(AND($L2309="Chưa xác định",DANH_MUC!$L$9&lt;&gt;"Có"),"Nguồn chưa xác định; ","")))</f>
        <v/>
      </c>
      <c r="V2309" s="22">
        <f>IF(OR($D2309="",$R2309="Trùng"),"",IF(COUNTIF(ORDERS!$C$2:$C$4995,$D2309)&gt;0,"Có","Không"))</f>
        <v/>
      </c>
      <c r="W2309" s="22">
        <f>IF(OR($D2309="",$R2309="Trùng"),"",COUNTIFS(ORDERS!$C$2:$C$4995,$D2309,ORDERS!$L$2:$L$4995,"Đã chuyển khoản"))</f>
        <v/>
      </c>
      <c r="X2309" s="23">
        <f>IF(OR($D2309="",$R2309="Trùng"),"",SUMIFS(ORDERS!$J$2:$J$4995,ORDERS!$C$2:$C$4995,$D2309,ORDERS!$L$2:$L$4995,"Đã chuyển khoản"))</f>
        <v/>
      </c>
      <c r="Y2309" s="24" t="n"/>
    </row>
    <row r="2310" ht="14.25" customHeight="1" s="40">
      <c r="A2310" s="24" t="n"/>
      <c r="B2310" s="27" t="n"/>
      <c r="C2310" s="24" t="n"/>
      <c r="D2310" s="28" t="n"/>
      <c r="E2310" s="29" t="n"/>
      <c r="F2310" s="24" t="n"/>
      <c r="G2310" s="24" t="n"/>
      <c r="H2310" s="21">
        <f>IF(ISNUMBER($B2310),INT($B2310)-WEEKDAY($B2310,2)+1,"")</f>
        <v/>
      </c>
      <c r="I2310" s="24" t="n"/>
      <c r="J2310" s="22">
        <f t="array" ref="J2310">IF($D2310="","",IF($I2310="","(trống REF)",IFERROR(INDEX(MASTER_SOURCE!$B$2:$B$495,MATCH($I2310,MASTER_SOURCE!$A$2:$A$495,0)),"(REF không có trong MASTER_SOURCE)")))</f>
        <v/>
      </c>
      <c r="K2310" s="22">
        <f t="array" ref="K2310">IF($D2310="","",IFERROR(INDEX(MASTER_SOURCE!$C$2:$C$495,MATCH($I2310,MASTER_SOURCE!$A$2:$A$495,0)),""))</f>
        <v/>
      </c>
      <c r="L2310" s="22">
        <f t="array" ref="L2310">IF($D2310="","",IFERROR(INDEX(MASTER_SOURCE!$D$2:$D$495,MATCH($I2310,MASTER_SOURCE!$A$2:$A$495,0)),""))</f>
        <v/>
      </c>
      <c r="M2310" s="24" t="n"/>
      <c r="N2310" s="24" t="n"/>
      <c r="O2310" s="24" t="n"/>
      <c r="P2310" s="24" t="n"/>
      <c r="Q2310" s="22">
        <f>IF($D2310="","",IF(AND(OR(DANH_MUC!$L$5&lt;&gt;"Có",M2310="Có"),OR(DANH_MUC!$L$6&lt;&gt;"Có",N2310="Có"),OR(DANH_MUC!$L$7&lt;&gt;"Có",O2310="Có"),OR(DANH_MUC!$L$8&lt;&gt;"Có",P2310="Có")),"Có","Không"))</f>
        <v/>
      </c>
      <c r="R2310" s="22">
        <f>IF($D2310="","",IF(COUNTIF($D$2:$D2310,$D2310)&gt;1,"Trùng",""))</f>
        <v/>
      </c>
      <c r="S2310" s="22">
        <f>IF($D2310="","",IF(AND(LEN($D2310)=10,LEFT($D2310,1)="0",ISNUMBER(--$D2310)),"Có","Không"))</f>
        <v/>
      </c>
      <c r="T2310" s="22">
        <f>IF($D2310="","",IF(AND($C2310&lt;&gt;"",$Q2310="Có",$R2310="",$S2310="Có",AND($L2310&lt;&gt;"",OR($L2310&lt;&gt;"Chưa xác định",DANH_MUC!$L$9="Có"))),"Có","Không"))</f>
        <v/>
      </c>
      <c r="U2310" s="22">
        <f>IF(OR($D2310="",$T2310="Có"),"",IF($C2310="","Thiếu họ tên; ","")&amp;IF($S2310&lt;&gt;"Có","SĐT sai định dạng; ","")&amp;IF($R2310="Trùng","Trùng SĐT; ","")&amp;IF($Q2310&lt;&gt;"Có","Thiếu đồng ý bắt buộc; ","")&amp;IF($L2310="","Thiếu/sai Mã REF; ",IF(AND($L2310="Chưa xác định",DANH_MUC!$L$9&lt;&gt;"Có"),"Nguồn chưa xác định; ","")))</f>
        <v/>
      </c>
      <c r="V2310" s="22">
        <f>IF(OR($D2310="",$R2310="Trùng"),"",IF(COUNTIF(ORDERS!$C$2:$C$4995,$D2310)&gt;0,"Có","Không"))</f>
        <v/>
      </c>
      <c r="W2310" s="22">
        <f>IF(OR($D2310="",$R2310="Trùng"),"",COUNTIFS(ORDERS!$C$2:$C$4995,$D2310,ORDERS!$L$2:$L$4995,"Đã chuyển khoản"))</f>
        <v/>
      </c>
      <c r="X2310" s="23">
        <f>IF(OR($D2310="",$R2310="Trùng"),"",SUMIFS(ORDERS!$J$2:$J$4995,ORDERS!$C$2:$C$4995,$D2310,ORDERS!$L$2:$L$4995,"Đã chuyển khoản"))</f>
        <v/>
      </c>
      <c r="Y2310" s="24" t="n"/>
    </row>
    <row r="2311" ht="14.25" customHeight="1" s="40">
      <c r="A2311" s="24" t="n"/>
      <c r="B2311" s="27" t="n"/>
      <c r="C2311" s="24" t="n"/>
      <c r="D2311" s="28" t="n"/>
      <c r="E2311" s="29" t="n"/>
      <c r="F2311" s="24" t="n"/>
      <c r="G2311" s="24" t="n"/>
      <c r="H2311" s="21">
        <f>IF(ISNUMBER($B2311),INT($B2311)-WEEKDAY($B2311,2)+1,"")</f>
        <v/>
      </c>
      <c r="I2311" s="24" t="n"/>
      <c r="J2311" s="22">
        <f t="array" ref="J2311">IF($D2311="","",IF($I2311="","(trống REF)",IFERROR(INDEX(MASTER_SOURCE!$B$2:$B$495,MATCH($I2311,MASTER_SOURCE!$A$2:$A$495,0)),"(REF không có trong MASTER_SOURCE)")))</f>
        <v/>
      </c>
      <c r="K2311" s="22">
        <f t="array" ref="K2311">IF($D2311="","",IFERROR(INDEX(MASTER_SOURCE!$C$2:$C$495,MATCH($I2311,MASTER_SOURCE!$A$2:$A$495,0)),""))</f>
        <v/>
      </c>
      <c r="L2311" s="22">
        <f t="array" ref="L2311">IF($D2311="","",IFERROR(INDEX(MASTER_SOURCE!$D$2:$D$495,MATCH($I2311,MASTER_SOURCE!$A$2:$A$495,0)),""))</f>
        <v/>
      </c>
      <c r="M2311" s="24" t="n"/>
      <c r="N2311" s="24" t="n"/>
      <c r="O2311" s="24" t="n"/>
      <c r="P2311" s="24" t="n"/>
      <c r="Q2311" s="22">
        <f>IF($D2311="","",IF(AND(OR(DANH_MUC!$L$5&lt;&gt;"Có",M2311="Có"),OR(DANH_MUC!$L$6&lt;&gt;"Có",N2311="Có"),OR(DANH_MUC!$L$7&lt;&gt;"Có",O2311="Có"),OR(DANH_MUC!$L$8&lt;&gt;"Có",P2311="Có")),"Có","Không"))</f>
        <v/>
      </c>
      <c r="R2311" s="22">
        <f>IF($D2311="","",IF(COUNTIF($D$2:$D2311,$D2311)&gt;1,"Trùng",""))</f>
        <v/>
      </c>
      <c r="S2311" s="22">
        <f>IF($D2311="","",IF(AND(LEN($D2311)=10,LEFT($D2311,1)="0",ISNUMBER(--$D2311)),"Có","Không"))</f>
        <v/>
      </c>
      <c r="T2311" s="22">
        <f>IF($D2311="","",IF(AND($C2311&lt;&gt;"",$Q2311="Có",$R2311="",$S2311="Có",AND($L2311&lt;&gt;"",OR($L2311&lt;&gt;"Chưa xác định",DANH_MUC!$L$9="Có"))),"Có","Không"))</f>
        <v/>
      </c>
      <c r="U2311" s="22">
        <f>IF(OR($D2311="",$T2311="Có"),"",IF($C2311="","Thiếu họ tên; ","")&amp;IF($S2311&lt;&gt;"Có","SĐT sai định dạng; ","")&amp;IF($R2311="Trùng","Trùng SĐT; ","")&amp;IF($Q2311&lt;&gt;"Có","Thiếu đồng ý bắt buộc; ","")&amp;IF($L2311="","Thiếu/sai Mã REF; ",IF(AND($L2311="Chưa xác định",DANH_MUC!$L$9&lt;&gt;"Có"),"Nguồn chưa xác định; ","")))</f>
        <v/>
      </c>
      <c r="V2311" s="22">
        <f>IF(OR($D2311="",$R2311="Trùng"),"",IF(COUNTIF(ORDERS!$C$2:$C$4995,$D2311)&gt;0,"Có","Không"))</f>
        <v/>
      </c>
      <c r="W2311" s="22">
        <f>IF(OR($D2311="",$R2311="Trùng"),"",COUNTIFS(ORDERS!$C$2:$C$4995,$D2311,ORDERS!$L$2:$L$4995,"Đã chuyển khoản"))</f>
        <v/>
      </c>
      <c r="X2311" s="23">
        <f>IF(OR($D2311="",$R2311="Trùng"),"",SUMIFS(ORDERS!$J$2:$J$4995,ORDERS!$C$2:$C$4995,$D2311,ORDERS!$L$2:$L$4995,"Đã chuyển khoản"))</f>
        <v/>
      </c>
      <c r="Y2311" s="24" t="n"/>
    </row>
    <row r="2312" ht="14.25" customHeight="1" s="40">
      <c r="A2312" s="24" t="n"/>
      <c r="B2312" s="27" t="n"/>
      <c r="C2312" s="24" t="n"/>
      <c r="D2312" s="28" t="n"/>
      <c r="E2312" s="29" t="n"/>
      <c r="F2312" s="24" t="n"/>
      <c r="G2312" s="24" t="n"/>
      <c r="H2312" s="21">
        <f>IF(ISNUMBER($B2312),INT($B2312)-WEEKDAY($B2312,2)+1,"")</f>
        <v/>
      </c>
      <c r="I2312" s="24" t="n"/>
      <c r="J2312" s="22">
        <f t="array" ref="J2312">IF($D2312="","",IF($I2312="","(trống REF)",IFERROR(INDEX(MASTER_SOURCE!$B$2:$B$495,MATCH($I2312,MASTER_SOURCE!$A$2:$A$495,0)),"(REF không có trong MASTER_SOURCE)")))</f>
        <v/>
      </c>
      <c r="K2312" s="22">
        <f t="array" ref="K2312">IF($D2312="","",IFERROR(INDEX(MASTER_SOURCE!$C$2:$C$495,MATCH($I2312,MASTER_SOURCE!$A$2:$A$495,0)),""))</f>
        <v/>
      </c>
      <c r="L2312" s="22">
        <f t="array" ref="L2312">IF($D2312="","",IFERROR(INDEX(MASTER_SOURCE!$D$2:$D$495,MATCH($I2312,MASTER_SOURCE!$A$2:$A$495,0)),""))</f>
        <v/>
      </c>
      <c r="M2312" s="24" t="n"/>
      <c r="N2312" s="24" t="n"/>
      <c r="O2312" s="24" t="n"/>
      <c r="P2312" s="24" t="n"/>
      <c r="Q2312" s="22">
        <f>IF($D2312="","",IF(AND(OR(DANH_MUC!$L$5&lt;&gt;"Có",M2312="Có"),OR(DANH_MUC!$L$6&lt;&gt;"Có",N2312="Có"),OR(DANH_MUC!$L$7&lt;&gt;"Có",O2312="Có"),OR(DANH_MUC!$L$8&lt;&gt;"Có",P2312="Có")),"Có","Không"))</f>
        <v/>
      </c>
      <c r="R2312" s="22">
        <f>IF($D2312="","",IF(COUNTIF($D$2:$D2312,$D2312)&gt;1,"Trùng",""))</f>
        <v/>
      </c>
      <c r="S2312" s="22">
        <f>IF($D2312="","",IF(AND(LEN($D2312)=10,LEFT($D2312,1)="0",ISNUMBER(--$D2312)),"Có","Không"))</f>
        <v/>
      </c>
      <c r="T2312" s="22">
        <f>IF($D2312="","",IF(AND($C2312&lt;&gt;"",$Q2312="Có",$R2312="",$S2312="Có",AND($L2312&lt;&gt;"",OR($L2312&lt;&gt;"Chưa xác định",DANH_MUC!$L$9="Có"))),"Có","Không"))</f>
        <v/>
      </c>
      <c r="U2312" s="22">
        <f>IF(OR($D2312="",$T2312="Có"),"",IF($C2312="","Thiếu họ tên; ","")&amp;IF($S2312&lt;&gt;"Có","SĐT sai định dạng; ","")&amp;IF($R2312="Trùng","Trùng SĐT; ","")&amp;IF($Q2312&lt;&gt;"Có","Thiếu đồng ý bắt buộc; ","")&amp;IF($L2312="","Thiếu/sai Mã REF; ",IF(AND($L2312="Chưa xác định",DANH_MUC!$L$9&lt;&gt;"Có"),"Nguồn chưa xác định; ","")))</f>
        <v/>
      </c>
      <c r="V2312" s="22">
        <f>IF(OR($D2312="",$R2312="Trùng"),"",IF(COUNTIF(ORDERS!$C$2:$C$4995,$D2312)&gt;0,"Có","Không"))</f>
        <v/>
      </c>
      <c r="W2312" s="22">
        <f>IF(OR($D2312="",$R2312="Trùng"),"",COUNTIFS(ORDERS!$C$2:$C$4995,$D2312,ORDERS!$L$2:$L$4995,"Đã chuyển khoản"))</f>
        <v/>
      </c>
      <c r="X2312" s="23">
        <f>IF(OR($D2312="",$R2312="Trùng"),"",SUMIFS(ORDERS!$J$2:$J$4995,ORDERS!$C$2:$C$4995,$D2312,ORDERS!$L$2:$L$4995,"Đã chuyển khoản"))</f>
        <v/>
      </c>
      <c r="Y2312" s="24" t="n"/>
    </row>
    <row r="2313" ht="14.25" customHeight="1" s="40">
      <c r="A2313" s="24" t="n"/>
      <c r="B2313" s="27" t="n"/>
      <c r="C2313" s="24" t="n"/>
      <c r="D2313" s="28" t="n"/>
      <c r="E2313" s="29" t="n"/>
      <c r="F2313" s="24" t="n"/>
      <c r="G2313" s="24" t="n"/>
      <c r="H2313" s="21">
        <f>IF(ISNUMBER($B2313),INT($B2313)-WEEKDAY($B2313,2)+1,"")</f>
        <v/>
      </c>
      <c r="I2313" s="24" t="n"/>
      <c r="J2313" s="22">
        <f t="array" ref="J2313">IF($D2313="","",IF($I2313="","(trống REF)",IFERROR(INDEX(MASTER_SOURCE!$B$2:$B$495,MATCH($I2313,MASTER_SOURCE!$A$2:$A$495,0)),"(REF không có trong MASTER_SOURCE)")))</f>
        <v/>
      </c>
      <c r="K2313" s="22">
        <f t="array" ref="K2313">IF($D2313="","",IFERROR(INDEX(MASTER_SOURCE!$C$2:$C$495,MATCH($I2313,MASTER_SOURCE!$A$2:$A$495,0)),""))</f>
        <v/>
      </c>
      <c r="L2313" s="22">
        <f t="array" ref="L2313">IF($D2313="","",IFERROR(INDEX(MASTER_SOURCE!$D$2:$D$495,MATCH($I2313,MASTER_SOURCE!$A$2:$A$495,0)),""))</f>
        <v/>
      </c>
      <c r="M2313" s="24" t="n"/>
      <c r="N2313" s="24" t="n"/>
      <c r="O2313" s="24" t="n"/>
      <c r="P2313" s="24" t="n"/>
      <c r="Q2313" s="22">
        <f>IF($D2313="","",IF(AND(OR(DANH_MUC!$L$5&lt;&gt;"Có",M2313="Có"),OR(DANH_MUC!$L$6&lt;&gt;"Có",N2313="Có"),OR(DANH_MUC!$L$7&lt;&gt;"Có",O2313="Có"),OR(DANH_MUC!$L$8&lt;&gt;"Có",P2313="Có")),"Có","Không"))</f>
        <v/>
      </c>
      <c r="R2313" s="22">
        <f>IF($D2313="","",IF(COUNTIF($D$2:$D2313,$D2313)&gt;1,"Trùng",""))</f>
        <v/>
      </c>
      <c r="S2313" s="22">
        <f>IF($D2313="","",IF(AND(LEN($D2313)=10,LEFT($D2313,1)="0",ISNUMBER(--$D2313)),"Có","Không"))</f>
        <v/>
      </c>
      <c r="T2313" s="22">
        <f>IF($D2313="","",IF(AND($C2313&lt;&gt;"",$Q2313="Có",$R2313="",$S2313="Có",AND($L2313&lt;&gt;"",OR($L2313&lt;&gt;"Chưa xác định",DANH_MUC!$L$9="Có"))),"Có","Không"))</f>
        <v/>
      </c>
      <c r="U2313" s="22">
        <f>IF(OR($D2313="",$T2313="Có"),"",IF($C2313="","Thiếu họ tên; ","")&amp;IF($S2313&lt;&gt;"Có","SĐT sai định dạng; ","")&amp;IF($R2313="Trùng","Trùng SĐT; ","")&amp;IF($Q2313&lt;&gt;"Có","Thiếu đồng ý bắt buộc; ","")&amp;IF($L2313="","Thiếu/sai Mã REF; ",IF(AND($L2313="Chưa xác định",DANH_MUC!$L$9&lt;&gt;"Có"),"Nguồn chưa xác định; ","")))</f>
        <v/>
      </c>
      <c r="V2313" s="22">
        <f>IF(OR($D2313="",$R2313="Trùng"),"",IF(COUNTIF(ORDERS!$C$2:$C$4995,$D2313)&gt;0,"Có","Không"))</f>
        <v/>
      </c>
      <c r="W2313" s="22">
        <f>IF(OR($D2313="",$R2313="Trùng"),"",COUNTIFS(ORDERS!$C$2:$C$4995,$D2313,ORDERS!$L$2:$L$4995,"Đã chuyển khoản"))</f>
        <v/>
      </c>
      <c r="X2313" s="23">
        <f>IF(OR($D2313="",$R2313="Trùng"),"",SUMIFS(ORDERS!$J$2:$J$4995,ORDERS!$C$2:$C$4995,$D2313,ORDERS!$L$2:$L$4995,"Đã chuyển khoản"))</f>
        <v/>
      </c>
      <c r="Y2313" s="24" t="n"/>
    </row>
    <row r="2314" ht="14.25" customHeight="1" s="40">
      <c r="A2314" s="24" t="n"/>
      <c r="B2314" s="27" t="n"/>
      <c r="C2314" s="24" t="n"/>
      <c r="D2314" s="28" t="n"/>
      <c r="E2314" s="29" t="n"/>
      <c r="F2314" s="24" t="n"/>
      <c r="G2314" s="24" t="n"/>
      <c r="H2314" s="21">
        <f>IF(ISNUMBER($B2314),INT($B2314)-WEEKDAY($B2314,2)+1,"")</f>
        <v/>
      </c>
      <c r="I2314" s="24" t="n"/>
      <c r="J2314" s="22">
        <f t="array" ref="J2314">IF($D2314="","",IF($I2314="","(trống REF)",IFERROR(INDEX(MASTER_SOURCE!$B$2:$B$495,MATCH($I2314,MASTER_SOURCE!$A$2:$A$495,0)),"(REF không có trong MASTER_SOURCE)")))</f>
        <v/>
      </c>
      <c r="K2314" s="22">
        <f t="array" ref="K2314">IF($D2314="","",IFERROR(INDEX(MASTER_SOURCE!$C$2:$C$495,MATCH($I2314,MASTER_SOURCE!$A$2:$A$495,0)),""))</f>
        <v/>
      </c>
      <c r="L2314" s="22">
        <f t="array" ref="L2314">IF($D2314="","",IFERROR(INDEX(MASTER_SOURCE!$D$2:$D$495,MATCH($I2314,MASTER_SOURCE!$A$2:$A$495,0)),""))</f>
        <v/>
      </c>
      <c r="M2314" s="24" t="n"/>
      <c r="N2314" s="24" t="n"/>
      <c r="O2314" s="24" t="n"/>
      <c r="P2314" s="24" t="n"/>
      <c r="Q2314" s="22">
        <f>IF($D2314="","",IF(AND(OR(DANH_MUC!$L$5&lt;&gt;"Có",M2314="Có"),OR(DANH_MUC!$L$6&lt;&gt;"Có",N2314="Có"),OR(DANH_MUC!$L$7&lt;&gt;"Có",O2314="Có"),OR(DANH_MUC!$L$8&lt;&gt;"Có",P2314="Có")),"Có","Không"))</f>
        <v/>
      </c>
      <c r="R2314" s="22">
        <f>IF($D2314="","",IF(COUNTIF($D$2:$D2314,$D2314)&gt;1,"Trùng",""))</f>
        <v/>
      </c>
      <c r="S2314" s="22">
        <f>IF($D2314="","",IF(AND(LEN($D2314)=10,LEFT($D2314,1)="0",ISNUMBER(--$D2314)),"Có","Không"))</f>
        <v/>
      </c>
      <c r="T2314" s="22">
        <f>IF($D2314="","",IF(AND($C2314&lt;&gt;"",$Q2314="Có",$R2314="",$S2314="Có",AND($L2314&lt;&gt;"",OR($L2314&lt;&gt;"Chưa xác định",DANH_MUC!$L$9="Có"))),"Có","Không"))</f>
        <v/>
      </c>
      <c r="U2314" s="22">
        <f>IF(OR($D2314="",$T2314="Có"),"",IF($C2314="","Thiếu họ tên; ","")&amp;IF($S2314&lt;&gt;"Có","SĐT sai định dạng; ","")&amp;IF($R2314="Trùng","Trùng SĐT; ","")&amp;IF($Q2314&lt;&gt;"Có","Thiếu đồng ý bắt buộc; ","")&amp;IF($L2314="","Thiếu/sai Mã REF; ",IF(AND($L2314="Chưa xác định",DANH_MUC!$L$9&lt;&gt;"Có"),"Nguồn chưa xác định; ","")))</f>
        <v/>
      </c>
      <c r="V2314" s="22">
        <f>IF(OR($D2314="",$R2314="Trùng"),"",IF(COUNTIF(ORDERS!$C$2:$C$4995,$D2314)&gt;0,"Có","Không"))</f>
        <v/>
      </c>
      <c r="W2314" s="22">
        <f>IF(OR($D2314="",$R2314="Trùng"),"",COUNTIFS(ORDERS!$C$2:$C$4995,$D2314,ORDERS!$L$2:$L$4995,"Đã chuyển khoản"))</f>
        <v/>
      </c>
      <c r="X2314" s="23">
        <f>IF(OR($D2314="",$R2314="Trùng"),"",SUMIFS(ORDERS!$J$2:$J$4995,ORDERS!$C$2:$C$4995,$D2314,ORDERS!$L$2:$L$4995,"Đã chuyển khoản"))</f>
        <v/>
      </c>
      <c r="Y2314" s="24" t="n"/>
    </row>
    <row r="2315" ht="14.25" customHeight="1" s="40">
      <c r="A2315" s="24" t="n"/>
      <c r="B2315" s="27" t="n"/>
      <c r="C2315" s="24" t="n"/>
      <c r="D2315" s="28" t="n"/>
      <c r="E2315" s="29" t="n"/>
      <c r="F2315" s="24" t="n"/>
      <c r="G2315" s="24" t="n"/>
      <c r="H2315" s="21">
        <f>IF(ISNUMBER($B2315),INT($B2315)-WEEKDAY($B2315,2)+1,"")</f>
        <v/>
      </c>
      <c r="I2315" s="24" t="n"/>
      <c r="J2315" s="22">
        <f t="array" ref="J2315">IF($D2315="","",IF($I2315="","(trống REF)",IFERROR(INDEX(MASTER_SOURCE!$B$2:$B$495,MATCH($I2315,MASTER_SOURCE!$A$2:$A$495,0)),"(REF không có trong MASTER_SOURCE)")))</f>
        <v/>
      </c>
      <c r="K2315" s="22">
        <f t="array" ref="K2315">IF($D2315="","",IFERROR(INDEX(MASTER_SOURCE!$C$2:$C$495,MATCH($I2315,MASTER_SOURCE!$A$2:$A$495,0)),""))</f>
        <v/>
      </c>
      <c r="L2315" s="22">
        <f t="array" ref="L2315">IF($D2315="","",IFERROR(INDEX(MASTER_SOURCE!$D$2:$D$495,MATCH($I2315,MASTER_SOURCE!$A$2:$A$495,0)),""))</f>
        <v/>
      </c>
      <c r="M2315" s="24" t="n"/>
      <c r="N2315" s="24" t="n"/>
      <c r="O2315" s="24" t="n"/>
      <c r="P2315" s="24" t="n"/>
      <c r="Q2315" s="22">
        <f>IF($D2315="","",IF(AND(OR(DANH_MUC!$L$5&lt;&gt;"Có",M2315="Có"),OR(DANH_MUC!$L$6&lt;&gt;"Có",N2315="Có"),OR(DANH_MUC!$L$7&lt;&gt;"Có",O2315="Có"),OR(DANH_MUC!$L$8&lt;&gt;"Có",P2315="Có")),"Có","Không"))</f>
        <v/>
      </c>
      <c r="R2315" s="22">
        <f>IF($D2315="","",IF(COUNTIF($D$2:$D2315,$D2315)&gt;1,"Trùng",""))</f>
        <v/>
      </c>
      <c r="S2315" s="22">
        <f>IF($D2315="","",IF(AND(LEN($D2315)=10,LEFT($D2315,1)="0",ISNUMBER(--$D2315)),"Có","Không"))</f>
        <v/>
      </c>
      <c r="T2315" s="22">
        <f>IF($D2315="","",IF(AND($C2315&lt;&gt;"",$Q2315="Có",$R2315="",$S2315="Có",AND($L2315&lt;&gt;"",OR($L2315&lt;&gt;"Chưa xác định",DANH_MUC!$L$9="Có"))),"Có","Không"))</f>
        <v/>
      </c>
      <c r="U2315" s="22">
        <f>IF(OR($D2315="",$T2315="Có"),"",IF($C2315="","Thiếu họ tên; ","")&amp;IF($S2315&lt;&gt;"Có","SĐT sai định dạng; ","")&amp;IF($R2315="Trùng","Trùng SĐT; ","")&amp;IF($Q2315&lt;&gt;"Có","Thiếu đồng ý bắt buộc; ","")&amp;IF($L2315="","Thiếu/sai Mã REF; ",IF(AND($L2315="Chưa xác định",DANH_MUC!$L$9&lt;&gt;"Có"),"Nguồn chưa xác định; ","")))</f>
        <v/>
      </c>
      <c r="V2315" s="22">
        <f>IF(OR($D2315="",$R2315="Trùng"),"",IF(COUNTIF(ORDERS!$C$2:$C$4995,$D2315)&gt;0,"Có","Không"))</f>
        <v/>
      </c>
      <c r="W2315" s="22">
        <f>IF(OR($D2315="",$R2315="Trùng"),"",COUNTIFS(ORDERS!$C$2:$C$4995,$D2315,ORDERS!$L$2:$L$4995,"Đã chuyển khoản"))</f>
        <v/>
      </c>
      <c r="X2315" s="23">
        <f>IF(OR($D2315="",$R2315="Trùng"),"",SUMIFS(ORDERS!$J$2:$J$4995,ORDERS!$C$2:$C$4995,$D2315,ORDERS!$L$2:$L$4995,"Đã chuyển khoản"))</f>
        <v/>
      </c>
      <c r="Y2315" s="24" t="n"/>
    </row>
    <row r="2316" ht="14.25" customHeight="1" s="40">
      <c r="A2316" s="24" t="n"/>
      <c r="B2316" s="27" t="n"/>
      <c r="C2316" s="24" t="n"/>
      <c r="D2316" s="28" t="n"/>
      <c r="E2316" s="29" t="n"/>
      <c r="F2316" s="24" t="n"/>
      <c r="G2316" s="24" t="n"/>
      <c r="H2316" s="21">
        <f>IF(ISNUMBER($B2316),INT($B2316)-WEEKDAY($B2316,2)+1,"")</f>
        <v/>
      </c>
      <c r="I2316" s="24" t="n"/>
      <c r="J2316" s="22">
        <f t="array" ref="J2316">IF($D2316="","",IF($I2316="","(trống REF)",IFERROR(INDEX(MASTER_SOURCE!$B$2:$B$495,MATCH($I2316,MASTER_SOURCE!$A$2:$A$495,0)),"(REF không có trong MASTER_SOURCE)")))</f>
        <v/>
      </c>
      <c r="K2316" s="22">
        <f t="array" ref="K2316">IF($D2316="","",IFERROR(INDEX(MASTER_SOURCE!$C$2:$C$495,MATCH($I2316,MASTER_SOURCE!$A$2:$A$495,0)),""))</f>
        <v/>
      </c>
      <c r="L2316" s="22">
        <f t="array" ref="L2316">IF($D2316="","",IFERROR(INDEX(MASTER_SOURCE!$D$2:$D$495,MATCH($I2316,MASTER_SOURCE!$A$2:$A$495,0)),""))</f>
        <v/>
      </c>
      <c r="M2316" s="24" t="n"/>
      <c r="N2316" s="24" t="n"/>
      <c r="O2316" s="24" t="n"/>
      <c r="P2316" s="24" t="n"/>
      <c r="Q2316" s="22">
        <f>IF($D2316="","",IF(AND(OR(DANH_MUC!$L$5&lt;&gt;"Có",M2316="Có"),OR(DANH_MUC!$L$6&lt;&gt;"Có",N2316="Có"),OR(DANH_MUC!$L$7&lt;&gt;"Có",O2316="Có"),OR(DANH_MUC!$L$8&lt;&gt;"Có",P2316="Có")),"Có","Không"))</f>
        <v/>
      </c>
      <c r="R2316" s="22">
        <f>IF($D2316="","",IF(COUNTIF($D$2:$D2316,$D2316)&gt;1,"Trùng",""))</f>
        <v/>
      </c>
      <c r="S2316" s="22">
        <f>IF($D2316="","",IF(AND(LEN($D2316)=10,LEFT($D2316,1)="0",ISNUMBER(--$D2316)),"Có","Không"))</f>
        <v/>
      </c>
      <c r="T2316" s="22">
        <f>IF($D2316="","",IF(AND($C2316&lt;&gt;"",$Q2316="Có",$R2316="",$S2316="Có",AND($L2316&lt;&gt;"",OR($L2316&lt;&gt;"Chưa xác định",DANH_MUC!$L$9="Có"))),"Có","Không"))</f>
        <v/>
      </c>
      <c r="U2316" s="22">
        <f>IF(OR($D2316="",$T2316="Có"),"",IF($C2316="","Thiếu họ tên; ","")&amp;IF($S2316&lt;&gt;"Có","SĐT sai định dạng; ","")&amp;IF($R2316="Trùng","Trùng SĐT; ","")&amp;IF($Q2316&lt;&gt;"Có","Thiếu đồng ý bắt buộc; ","")&amp;IF($L2316="","Thiếu/sai Mã REF; ",IF(AND($L2316="Chưa xác định",DANH_MUC!$L$9&lt;&gt;"Có"),"Nguồn chưa xác định; ","")))</f>
        <v/>
      </c>
      <c r="V2316" s="22">
        <f>IF(OR($D2316="",$R2316="Trùng"),"",IF(COUNTIF(ORDERS!$C$2:$C$4995,$D2316)&gt;0,"Có","Không"))</f>
        <v/>
      </c>
      <c r="W2316" s="22">
        <f>IF(OR($D2316="",$R2316="Trùng"),"",COUNTIFS(ORDERS!$C$2:$C$4995,$D2316,ORDERS!$L$2:$L$4995,"Đã chuyển khoản"))</f>
        <v/>
      </c>
      <c r="X2316" s="23">
        <f>IF(OR($D2316="",$R2316="Trùng"),"",SUMIFS(ORDERS!$J$2:$J$4995,ORDERS!$C$2:$C$4995,$D2316,ORDERS!$L$2:$L$4995,"Đã chuyển khoản"))</f>
        <v/>
      </c>
      <c r="Y2316" s="24" t="n"/>
    </row>
    <row r="2317" ht="14.25" customHeight="1" s="40">
      <c r="A2317" s="24" t="n"/>
      <c r="B2317" s="27" t="n"/>
      <c r="C2317" s="24" t="n"/>
      <c r="D2317" s="28" t="n"/>
      <c r="E2317" s="29" t="n"/>
      <c r="F2317" s="24" t="n"/>
      <c r="G2317" s="24" t="n"/>
      <c r="H2317" s="21">
        <f>IF(ISNUMBER($B2317),INT($B2317)-WEEKDAY($B2317,2)+1,"")</f>
        <v/>
      </c>
      <c r="I2317" s="24" t="n"/>
      <c r="J2317" s="22">
        <f t="array" ref="J2317">IF($D2317="","",IF($I2317="","(trống REF)",IFERROR(INDEX(MASTER_SOURCE!$B$2:$B$495,MATCH($I2317,MASTER_SOURCE!$A$2:$A$495,0)),"(REF không có trong MASTER_SOURCE)")))</f>
        <v/>
      </c>
      <c r="K2317" s="22">
        <f t="array" ref="K2317">IF($D2317="","",IFERROR(INDEX(MASTER_SOURCE!$C$2:$C$495,MATCH($I2317,MASTER_SOURCE!$A$2:$A$495,0)),""))</f>
        <v/>
      </c>
      <c r="L2317" s="22">
        <f t="array" ref="L2317">IF($D2317="","",IFERROR(INDEX(MASTER_SOURCE!$D$2:$D$495,MATCH($I2317,MASTER_SOURCE!$A$2:$A$495,0)),""))</f>
        <v/>
      </c>
      <c r="M2317" s="24" t="n"/>
      <c r="N2317" s="24" t="n"/>
      <c r="O2317" s="24" t="n"/>
      <c r="P2317" s="24" t="n"/>
      <c r="Q2317" s="22">
        <f>IF($D2317="","",IF(AND(OR(DANH_MUC!$L$5&lt;&gt;"Có",M2317="Có"),OR(DANH_MUC!$L$6&lt;&gt;"Có",N2317="Có"),OR(DANH_MUC!$L$7&lt;&gt;"Có",O2317="Có"),OR(DANH_MUC!$L$8&lt;&gt;"Có",P2317="Có")),"Có","Không"))</f>
        <v/>
      </c>
      <c r="R2317" s="22">
        <f>IF($D2317="","",IF(COUNTIF($D$2:$D2317,$D2317)&gt;1,"Trùng",""))</f>
        <v/>
      </c>
      <c r="S2317" s="22">
        <f>IF($D2317="","",IF(AND(LEN($D2317)=10,LEFT($D2317,1)="0",ISNUMBER(--$D2317)),"Có","Không"))</f>
        <v/>
      </c>
      <c r="T2317" s="22">
        <f>IF($D2317="","",IF(AND($C2317&lt;&gt;"",$Q2317="Có",$R2317="",$S2317="Có",AND($L2317&lt;&gt;"",OR($L2317&lt;&gt;"Chưa xác định",DANH_MUC!$L$9="Có"))),"Có","Không"))</f>
        <v/>
      </c>
      <c r="U2317" s="22">
        <f>IF(OR($D2317="",$T2317="Có"),"",IF($C2317="","Thiếu họ tên; ","")&amp;IF($S2317&lt;&gt;"Có","SĐT sai định dạng; ","")&amp;IF($R2317="Trùng","Trùng SĐT; ","")&amp;IF($Q2317&lt;&gt;"Có","Thiếu đồng ý bắt buộc; ","")&amp;IF($L2317="","Thiếu/sai Mã REF; ",IF(AND($L2317="Chưa xác định",DANH_MUC!$L$9&lt;&gt;"Có"),"Nguồn chưa xác định; ","")))</f>
        <v/>
      </c>
      <c r="V2317" s="22">
        <f>IF(OR($D2317="",$R2317="Trùng"),"",IF(COUNTIF(ORDERS!$C$2:$C$4995,$D2317)&gt;0,"Có","Không"))</f>
        <v/>
      </c>
      <c r="W2317" s="22">
        <f>IF(OR($D2317="",$R2317="Trùng"),"",COUNTIFS(ORDERS!$C$2:$C$4995,$D2317,ORDERS!$L$2:$L$4995,"Đã chuyển khoản"))</f>
        <v/>
      </c>
      <c r="X2317" s="23">
        <f>IF(OR($D2317="",$R2317="Trùng"),"",SUMIFS(ORDERS!$J$2:$J$4995,ORDERS!$C$2:$C$4995,$D2317,ORDERS!$L$2:$L$4995,"Đã chuyển khoản"))</f>
        <v/>
      </c>
      <c r="Y2317" s="24" t="n"/>
    </row>
    <row r="2318" ht="14.25" customHeight="1" s="40">
      <c r="A2318" s="24" t="n"/>
      <c r="B2318" s="27" t="n"/>
      <c r="C2318" s="24" t="n"/>
      <c r="D2318" s="28" t="n"/>
      <c r="E2318" s="29" t="n"/>
      <c r="F2318" s="24" t="n"/>
      <c r="G2318" s="24" t="n"/>
      <c r="H2318" s="21">
        <f>IF(ISNUMBER($B2318),INT($B2318)-WEEKDAY($B2318,2)+1,"")</f>
        <v/>
      </c>
      <c r="I2318" s="24" t="n"/>
      <c r="J2318" s="22">
        <f t="array" ref="J2318">IF($D2318="","",IF($I2318="","(trống REF)",IFERROR(INDEX(MASTER_SOURCE!$B$2:$B$495,MATCH($I2318,MASTER_SOURCE!$A$2:$A$495,0)),"(REF không có trong MASTER_SOURCE)")))</f>
        <v/>
      </c>
      <c r="K2318" s="22">
        <f t="array" ref="K2318">IF($D2318="","",IFERROR(INDEX(MASTER_SOURCE!$C$2:$C$495,MATCH($I2318,MASTER_SOURCE!$A$2:$A$495,0)),""))</f>
        <v/>
      </c>
      <c r="L2318" s="22">
        <f t="array" ref="L2318">IF($D2318="","",IFERROR(INDEX(MASTER_SOURCE!$D$2:$D$495,MATCH($I2318,MASTER_SOURCE!$A$2:$A$495,0)),""))</f>
        <v/>
      </c>
      <c r="M2318" s="24" t="n"/>
      <c r="N2318" s="24" t="n"/>
      <c r="O2318" s="24" t="n"/>
      <c r="P2318" s="24" t="n"/>
      <c r="Q2318" s="22">
        <f>IF($D2318="","",IF(AND(OR(DANH_MUC!$L$5&lt;&gt;"Có",M2318="Có"),OR(DANH_MUC!$L$6&lt;&gt;"Có",N2318="Có"),OR(DANH_MUC!$L$7&lt;&gt;"Có",O2318="Có"),OR(DANH_MUC!$L$8&lt;&gt;"Có",P2318="Có")),"Có","Không"))</f>
        <v/>
      </c>
      <c r="R2318" s="22">
        <f>IF($D2318="","",IF(COUNTIF($D$2:$D2318,$D2318)&gt;1,"Trùng",""))</f>
        <v/>
      </c>
      <c r="S2318" s="22">
        <f>IF($D2318="","",IF(AND(LEN($D2318)=10,LEFT($D2318,1)="0",ISNUMBER(--$D2318)),"Có","Không"))</f>
        <v/>
      </c>
      <c r="T2318" s="22">
        <f>IF($D2318="","",IF(AND($C2318&lt;&gt;"",$Q2318="Có",$R2318="",$S2318="Có",AND($L2318&lt;&gt;"",OR($L2318&lt;&gt;"Chưa xác định",DANH_MUC!$L$9="Có"))),"Có","Không"))</f>
        <v/>
      </c>
      <c r="U2318" s="22">
        <f>IF(OR($D2318="",$T2318="Có"),"",IF($C2318="","Thiếu họ tên; ","")&amp;IF($S2318&lt;&gt;"Có","SĐT sai định dạng; ","")&amp;IF($R2318="Trùng","Trùng SĐT; ","")&amp;IF($Q2318&lt;&gt;"Có","Thiếu đồng ý bắt buộc; ","")&amp;IF($L2318="","Thiếu/sai Mã REF; ",IF(AND($L2318="Chưa xác định",DANH_MUC!$L$9&lt;&gt;"Có"),"Nguồn chưa xác định; ","")))</f>
        <v/>
      </c>
      <c r="V2318" s="22">
        <f>IF(OR($D2318="",$R2318="Trùng"),"",IF(COUNTIF(ORDERS!$C$2:$C$4995,$D2318)&gt;0,"Có","Không"))</f>
        <v/>
      </c>
      <c r="W2318" s="22">
        <f>IF(OR($D2318="",$R2318="Trùng"),"",COUNTIFS(ORDERS!$C$2:$C$4995,$D2318,ORDERS!$L$2:$L$4995,"Đã chuyển khoản"))</f>
        <v/>
      </c>
      <c r="X2318" s="23">
        <f>IF(OR($D2318="",$R2318="Trùng"),"",SUMIFS(ORDERS!$J$2:$J$4995,ORDERS!$C$2:$C$4995,$D2318,ORDERS!$L$2:$L$4995,"Đã chuyển khoản"))</f>
        <v/>
      </c>
      <c r="Y2318" s="24" t="n"/>
    </row>
    <row r="2319" ht="14.25" customHeight="1" s="40">
      <c r="A2319" s="24" t="n"/>
      <c r="B2319" s="27" t="n"/>
      <c r="C2319" s="24" t="n"/>
      <c r="D2319" s="28" t="n"/>
      <c r="E2319" s="29" t="n"/>
      <c r="F2319" s="24" t="n"/>
      <c r="G2319" s="24" t="n"/>
      <c r="H2319" s="21">
        <f>IF(ISNUMBER($B2319),INT($B2319)-WEEKDAY($B2319,2)+1,"")</f>
        <v/>
      </c>
      <c r="I2319" s="24" t="n"/>
      <c r="J2319" s="22">
        <f t="array" ref="J2319">IF($D2319="","",IF($I2319="","(trống REF)",IFERROR(INDEX(MASTER_SOURCE!$B$2:$B$495,MATCH($I2319,MASTER_SOURCE!$A$2:$A$495,0)),"(REF không có trong MASTER_SOURCE)")))</f>
        <v/>
      </c>
      <c r="K2319" s="22">
        <f t="array" ref="K2319">IF($D2319="","",IFERROR(INDEX(MASTER_SOURCE!$C$2:$C$495,MATCH($I2319,MASTER_SOURCE!$A$2:$A$495,0)),""))</f>
        <v/>
      </c>
      <c r="L2319" s="22">
        <f t="array" ref="L2319">IF($D2319="","",IFERROR(INDEX(MASTER_SOURCE!$D$2:$D$495,MATCH($I2319,MASTER_SOURCE!$A$2:$A$495,0)),""))</f>
        <v/>
      </c>
      <c r="M2319" s="24" t="n"/>
      <c r="N2319" s="24" t="n"/>
      <c r="O2319" s="24" t="n"/>
      <c r="P2319" s="24" t="n"/>
      <c r="Q2319" s="22">
        <f>IF($D2319="","",IF(AND(OR(DANH_MUC!$L$5&lt;&gt;"Có",M2319="Có"),OR(DANH_MUC!$L$6&lt;&gt;"Có",N2319="Có"),OR(DANH_MUC!$L$7&lt;&gt;"Có",O2319="Có"),OR(DANH_MUC!$L$8&lt;&gt;"Có",P2319="Có")),"Có","Không"))</f>
        <v/>
      </c>
      <c r="R2319" s="22">
        <f>IF($D2319="","",IF(COUNTIF($D$2:$D2319,$D2319)&gt;1,"Trùng",""))</f>
        <v/>
      </c>
      <c r="S2319" s="22">
        <f>IF($D2319="","",IF(AND(LEN($D2319)=10,LEFT($D2319,1)="0",ISNUMBER(--$D2319)),"Có","Không"))</f>
        <v/>
      </c>
      <c r="T2319" s="22">
        <f>IF($D2319="","",IF(AND($C2319&lt;&gt;"",$Q2319="Có",$R2319="",$S2319="Có",AND($L2319&lt;&gt;"",OR($L2319&lt;&gt;"Chưa xác định",DANH_MUC!$L$9="Có"))),"Có","Không"))</f>
        <v/>
      </c>
      <c r="U2319" s="22">
        <f>IF(OR($D2319="",$T2319="Có"),"",IF($C2319="","Thiếu họ tên; ","")&amp;IF($S2319&lt;&gt;"Có","SĐT sai định dạng; ","")&amp;IF($R2319="Trùng","Trùng SĐT; ","")&amp;IF($Q2319&lt;&gt;"Có","Thiếu đồng ý bắt buộc; ","")&amp;IF($L2319="","Thiếu/sai Mã REF; ",IF(AND($L2319="Chưa xác định",DANH_MUC!$L$9&lt;&gt;"Có"),"Nguồn chưa xác định; ","")))</f>
        <v/>
      </c>
      <c r="V2319" s="22">
        <f>IF(OR($D2319="",$R2319="Trùng"),"",IF(COUNTIF(ORDERS!$C$2:$C$4995,$D2319)&gt;0,"Có","Không"))</f>
        <v/>
      </c>
      <c r="W2319" s="22">
        <f>IF(OR($D2319="",$R2319="Trùng"),"",COUNTIFS(ORDERS!$C$2:$C$4995,$D2319,ORDERS!$L$2:$L$4995,"Đã chuyển khoản"))</f>
        <v/>
      </c>
      <c r="X2319" s="23">
        <f>IF(OR($D2319="",$R2319="Trùng"),"",SUMIFS(ORDERS!$J$2:$J$4995,ORDERS!$C$2:$C$4995,$D2319,ORDERS!$L$2:$L$4995,"Đã chuyển khoản"))</f>
        <v/>
      </c>
      <c r="Y2319" s="24" t="n"/>
    </row>
    <row r="2320" ht="14.25" customHeight="1" s="40">
      <c r="A2320" s="24" t="n"/>
      <c r="B2320" s="27" t="n"/>
      <c r="C2320" s="24" t="n"/>
      <c r="D2320" s="28" t="n"/>
      <c r="E2320" s="29" t="n"/>
      <c r="F2320" s="24" t="n"/>
      <c r="G2320" s="24" t="n"/>
      <c r="H2320" s="21">
        <f>IF(ISNUMBER($B2320),INT($B2320)-WEEKDAY($B2320,2)+1,"")</f>
        <v/>
      </c>
      <c r="I2320" s="24" t="n"/>
      <c r="J2320" s="22">
        <f t="array" ref="J2320">IF($D2320="","",IF($I2320="","(trống REF)",IFERROR(INDEX(MASTER_SOURCE!$B$2:$B$495,MATCH($I2320,MASTER_SOURCE!$A$2:$A$495,0)),"(REF không có trong MASTER_SOURCE)")))</f>
        <v/>
      </c>
      <c r="K2320" s="22">
        <f t="array" ref="K2320">IF($D2320="","",IFERROR(INDEX(MASTER_SOURCE!$C$2:$C$495,MATCH($I2320,MASTER_SOURCE!$A$2:$A$495,0)),""))</f>
        <v/>
      </c>
      <c r="L2320" s="22">
        <f t="array" ref="L2320">IF($D2320="","",IFERROR(INDEX(MASTER_SOURCE!$D$2:$D$495,MATCH($I2320,MASTER_SOURCE!$A$2:$A$495,0)),""))</f>
        <v/>
      </c>
      <c r="M2320" s="24" t="n"/>
      <c r="N2320" s="24" t="n"/>
      <c r="O2320" s="24" t="n"/>
      <c r="P2320" s="24" t="n"/>
      <c r="Q2320" s="22">
        <f>IF($D2320="","",IF(AND(OR(DANH_MUC!$L$5&lt;&gt;"Có",M2320="Có"),OR(DANH_MUC!$L$6&lt;&gt;"Có",N2320="Có"),OR(DANH_MUC!$L$7&lt;&gt;"Có",O2320="Có"),OR(DANH_MUC!$L$8&lt;&gt;"Có",P2320="Có")),"Có","Không"))</f>
        <v/>
      </c>
      <c r="R2320" s="22">
        <f>IF($D2320="","",IF(COUNTIF($D$2:$D2320,$D2320)&gt;1,"Trùng",""))</f>
        <v/>
      </c>
      <c r="S2320" s="22">
        <f>IF($D2320="","",IF(AND(LEN($D2320)=10,LEFT($D2320,1)="0",ISNUMBER(--$D2320)),"Có","Không"))</f>
        <v/>
      </c>
      <c r="T2320" s="22">
        <f>IF($D2320="","",IF(AND($C2320&lt;&gt;"",$Q2320="Có",$R2320="",$S2320="Có",AND($L2320&lt;&gt;"",OR($L2320&lt;&gt;"Chưa xác định",DANH_MUC!$L$9="Có"))),"Có","Không"))</f>
        <v/>
      </c>
      <c r="U2320" s="22">
        <f>IF(OR($D2320="",$T2320="Có"),"",IF($C2320="","Thiếu họ tên; ","")&amp;IF($S2320&lt;&gt;"Có","SĐT sai định dạng; ","")&amp;IF($R2320="Trùng","Trùng SĐT; ","")&amp;IF($Q2320&lt;&gt;"Có","Thiếu đồng ý bắt buộc; ","")&amp;IF($L2320="","Thiếu/sai Mã REF; ",IF(AND($L2320="Chưa xác định",DANH_MUC!$L$9&lt;&gt;"Có"),"Nguồn chưa xác định; ","")))</f>
        <v/>
      </c>
      <c r="V2320" s="22">
        <f>IF(OR($D2320="",$R2320="Trùng"),"",IF(COUNTIF(ORDERS!$C$2:$C$4995,$D2320)&gt;0,"Có","Không"))</f>
        <v/>
      </c>
      <c r="W2320" s="22">
        <f>IF(OR($D2320="",$R2320="Trùng"),"",COUNTIFS(ORDERS!$C$2:$C$4995,$D2320,ORDERS!$L$2:$L$4995,"Đã chuyển khoản"))</f>
        <v/>
      </c>
      <c r="X2320" s="23">
        <f>IF(OR($D2320="",$R2320="Trùng"),"",SUMIFS(ORDERS!$J$2:$J$4995,ORDERS!$C$2:$C$4995,$D2320,ORDERS!$L$2:$L$4995,"Đã chuyển khoản"))</f>
        <v/>
      </c>
      <c r="Y2320" s="24" t="n"/>
    </row>
    <row r="2321" ht="14.25" customHeight="1" s="40">
      <c r="A2321" s="24" t="n"/>
      <c r="B2321" s="27" t="n"/>
      <c r="C2321" s="24" t="n"/>
      <c r="D2321" s="28" t="n"/>
      <c r="E2321" s="29" t="n"/>
      <c r="F2321" s="24" t="n"/>
      <c r="G2321" s="24" t="n"/>
      <c r="H2321" s="21">
        <f>IF(ISNUMBER($B2321),INT($B2321)-WEEKDAY($B2321,2)+1,"")</f>
        <v/>
      </c>
      <c r="I2321" s="24" t="n"/>
      <c r="J2321" s="22">
        <f t="array" ref="J2321">IF($D2321="","",IF($I2321="","(trống REF)",IFERROR(INDEX(MASTER_SOURCE!$B$2:$B$495,MATCH($I2321,MASTER_SOURCE!$A$2:$A$495,0)),"(REF không có trong MASTER_SOURCE)")))</f>
        <v/>
      </c>
      <c r="K2321" s="22">
        <f t="array" ref="K2321">IF($D2321="","",IFERROR(INDEX(MASTER_SOURCE!$C$2:$C$495,MATCH($I2321,MASTER_SOURCE!$A$2:$A$495,0)),""))</f>
        <v/>
      </c>
      <c r="L2321" s="22">
        <f t="array" ref="L2321">IF($D2321="","",IFERROR(INDEX(MASTER_SOURCE!$D$2:$D$495,MATCH($I2321,MASTER_SOURCE!$A$2:$A$495,0)),""))</f>
        <v/>
      </c>
      <c r="M2321" s="24" t="n"/>
      <c r="N2321" s="24" t="n"/>
      <c r="O2321" s="24" t="n"/>
      <c r="P2321" s="24" t="n"/>
      <c r="Q2321" s="22">
        <f>IF($D2321="","",IF(AND(OR(DANH_MUC!$L$5&lt;&gt;"Có",M2321="Có"),OR(DANH_MUC!$L$6&lt;&gt;"Có",N2321="Có"),OR(DANH_MUC!$L$7&lt;&gt;"Có",O2321="Có"),OR(DANH_MUC!$L$8&lt;&gt;"Có",P2321="Có")),"Có","Không"))</f>
        <v/>
      </c>
      <c r="R2321" s="22">
        <f>IF($D2321="","",IF(COUNTIF($D$2:$D2321,$D2321)&gt;1,"Trùng",""))</f>
        <v/>
      </c>
      <c r="S2321" s="22">
        <f>IF($D2321="","",IF(AND(LEN($D2321)=10,LEFT($D2321,1)="0",ISNUMBER(--$D2321)),"Có","Không"))</f>
        <v/>
      </c>
      <c r="T2321" s="22">
        <f>IF($D2321="","",IF(AND($C2321&lt;&gt;"",$Q2321="Có",$R2321="",$S2321="Có",AND($L2321&lt;&gt;"",OR($L2321&lt;&gt;"Chưa xác định",DANH_MUC!$L$9="Có"))),"Có","Không"))</f>
        <v/>
      </c>
      <c r="U2321" s="22">
        <f>IF(OR($D2321="",$T2321="Có"),"",IF($C2321="","Thiếu họ tên; ","")&amp;IF($S2321&lt;&gt;"Có","SĐT sai định dạng; ","")&amp;IF($R2321="Trùng","Trùng SĐT; ","")&amp;IF($Q2321&lt;&gt;"Có","Thiếu đồng ý bắt buộc; ","")&amp;IF($L2321="","Thiếu/sai Mã REF; ",IF(AND($L2321="Chưa xác định",DANH_MUC!$L$9&lt;&gt;"Có"),"Nguồn chưa xác định; ","")))</f>
        <v/>
      </c>
      <c r="V2321" s="22">
        <f>IF(OR($D2321="",$R2321="Trùng"),"",IF(COUNTIF(ORDERS!$C$2:$C$4995,$D2321)&gt;0,"Có","Không"))</f>
        <v/>
      </c>
      <c r="W2321" s="22">
        <f>IF(OR($D2321="",$R2321="Trùng"),"",COUNTIFS(ORDERS!$C$2:$C$4995,$D2321,ORDERS!$L$2:$L$4995,"Đã chuyển khoản"))</f>
        <v/>
      </c>
      <c r="X2321" s="23">
        <f>IF(OR($D2321="",$R2321="Trùng"),"",SUMIFS(ORDERS!$J$2:$J$4995,ORDERS!$C$2:$C$4995,$D2321,ORDERS!$L$2:$L$4995,"Đã chuyển khoản"))</f>
        <v/>
      </c>
      <c r="Y2321" s="24" t="n"/>
    </row>
    <row r="2322" ht="14.25" customHeight="1" s="40">
      <c r="A2322" s="24" t="n"/>
      <c r="B2322" s="27" t="n"/>
      <c r="C2322" s="24" t="n"/>
      <c r="D2322" s="28" t="n"/>
      <c r="E2322" s="29" t="n"/>
      <c r="F2322" s="24" t="n"/>
      <c r="G2322" s="24" t="n"/>
      <c r="H2322" s="21">
        <f>IF(ISNUMBER($B2322),INT($B2322)-WEEKDAY($B2322,2)+1,"")</f>
        <v/>
      </c>
      <c r="I2322" s="24" t="n"/>
      <c r="J2322" s="22">
        <f t="array" ref="J2322">IF($D2322="","",IF($I2322="","(trống REF)",IFERROR(INDEX(MASTER_SOURCE!$B$2:$B$495,MATCH($I2322,MASTER_SOURCE!$A$2:$A$495,0)),"(REF không có trong MASTER_SOURCE)")))</f>
        <v/>
      </c>
      <c r="K2322" s="22">
        <f t="array" ref="K2322">IF($D2322="","",IFERROR(INDEX(MASTER_SOURCE!$C$2:$C$495,MATCH($I2322,MASTER_SOURCE!$A$2:$A$495,0)),""))</f>
        <v/>
      </c>
      <c r="L2322" s="22">
        <f t="array" ref="L2322">IF($D2322="","",IFERROR(INDEX(MASTER_SOURCE!$D$2:$D$495,MATCH($I2322,MASTER_SOURCE!$A$2:$A$495,0)),""))</f>
        <v/>
      </c>
      <c r="M2322" s="24" t="n"/>
      <c r="N2322" s="24" t="n"/>
      <c r="O2322" s="24" t="n"/>
      <c r="P2322" s="24" t="n"/>
      <c r="Q2322" s="22">
        <f>IF($D2322="","",IF(AND(OR(DANH_MUC!$L$5&lt;&gt;"Có",M2322="Có"),OR(DANH_MUC!$L$6&lt;&gt;"Có",N2322="Có"),OR(DANH_MUC!$L$7&lt;&gt;"Có",O2322="Có"),OR(DANH_MUC!$L$8&lt;&gt;"Có",P2322="Có")),"Có","Không"))</f>
        <v/>
      </c>
      <c r="R2322" s="22">
        <f>IF($D2322="","",IF(COUNTIF($D$2:$D2322,$D2322)&gt;1,"Trùng",""))</f>
        <v/>
      </c>
      <c r="S2322" s="22">
        <f>IF($D2322="","",IF(AND(LEN($D2322)=10,LEFT($D2322,1)="0",ISNUMBER(--$D2322)),"Có","Không"))</f>
        <v/>
      </c>
      <c r="T2322" s="22">
        <f>IF($D2322="","",IF(AND($C2322&lt;&gt;"",$Q2322="Có",$R2322="",$S2322="Có",AND($L2322&lt;&gt;"",OR($L2322&lt;&gt;"Chưa xác định",DANH_MUC!$L$9="Có"))),"Có","Không"))</f>
        <v/>
      </c>
      <c r="U2322" s="22">
        <f>IF(OR($D2322="",$T2322="Có"),"",IF($C2322="","Thiếu họ tên; ","")&amp;IF($S2322&lt;&gt;"Có","SĐT sai định dạng; ","")&amp;IF($R2322="Trùng","Trùng SĐT; ","")&amp;IF($Q2322&lt;&gt;"Có","Thiếu đồng ý bắt buộc; ","")&amp;IF($L2322="","Thiếu/sai Mã REF; ",IF(AND($L2322="Chưa xác định",DANH_MUC!$L$9&lt;&gt;"Có"),"Nguồn chưa xác định; ","")))</f>
        <v/>
      </c>
      <c r="V2322" s="22">
        <f>IF(OR($D2322="",$R2322="Trùng"),"",IF(COUNTIF(ORDERS!$C$2:$C$4995,$D2322)&gt;0,"Có","Không"))</f>
        <v/>
      </c>
      <c r="W2322" s="22">
        <f>IF(OR($D2322="",$R2322="Trùng"),"",COUNTIFS(ORDERS!$C$2:$C$4995,$D2322,ORDERS!$L$2:$L$4995,"Đã chuyển khoản"))</f>
        <v/>
      </c>
      <c r="X2322" s="23">
        <f>IF(OR($D2322="",$R2322="Trùng"),"",SUMIFS(ORDERS!$J$2:$J$4995,ORDERS!$C$2:$C$4995,$D2322,ORDERS!$L$2:$L$4995,"Đã chuyển khoản"))</f>
        <v/>
      </c>
      <c r="Y2322" s="24" t="n"/>
    </row>
    <row r="2323" ht="14.25" customHeight="1" s="40">
      <c r="A2323" s="24" t="n"/>
      <c r="B2323" s="27" t="n"/>
      <c r="C2323" s="24" t="n"/>
      <c r="D2323" s="28" t="n"/>
      <c r="E2323" s="29" t="n"/>
      <c r="F2323" s="24" t="n"/>
      <c r="G2323" s="24" t="n"/>
      <c r="H2323" s="21">
        <f>IF(ISNUMBER($B2323),INT($B2323)-WEEKDAY($B2323,2)+1,"")</f>
        <v/>
      </c>
      <c r="I2323" s="24" t="n"/>
      <c r="J2323" s="22">
        <f t="array" ref="J2323">IF($D2323="","",IF($I2323="","(trống REF)",IFERROR(INDEX(MASTER_SOURCE!$B$2:$B$495,MATCH($I2323,MASTER_SOURCE!$A$2:$A$495,0)),"(REF không có trong MASTER_SOURCE)")))</f>
        <v/>
      </c>
      <c r="K2323" s="22">
        <f t="array" ref="K2323">IF($D2323="","",IFERROR(INDEX(MASTER_SOURCE!$C$2:$C$495,MATCH($I2323,MASTER_SOURCE!$A$2:$A$495,0)),""))</f>
        <v/>
      </c>
      <c r="L2323" s="22">
        <f t="array" ref="L2323">IF($D2323="","",IFERROR(INDEX(MASTER_SOURCE!$D$2:$D$495,MATCH($I2323,MASTER_SOURCE!$A$2:$A$495,0)),""))</f>
        <v/>
      </c>
      <c r="M2323" s="24" t="n"/>
      <c r="N2323" s="24" t="n"/>
      <c r="O2323" s="24" t="n"/>
      <c r="P2323" s="24" t="n"/>
      <c r="Q2323" s="22">
        <f>IF($D2323="","",IF(AND(OR(DANH_MUC!$L$5&lt;&gt;"Có",M2323="Có"),OR(DANH_MUC!$L$6&lt;&gt;"Có",N2323="Có"),OR(DANH_MUC!$L$7&lt;&gt;"Có",O2323="Có"),OR(DANH_MUC!$L$8&lt;&gt;"Có",P2323="Có")),"Có","Không"))</f>
        <v/>
      </c>
      <c r="R2323" s="22">
        <f>IF($D2323="","",IF(COUNTIF($D$2:$D2323,$D2323)&gt;1,"Trùng",""))</f>
        <v/>
      </c>
      <c r="S2323" s="22">
        <f>IF($D2323="","",IF(AND(LEN($D2323)=10,LEFT($D2323,1)="0",ISNUMBER(--$D2323)),"Có","Không"))</f>
        <v/>
      </c>
      <c r="T2323" s="22">
        <f>IF($D2323="","",IF(AND($C2323&lt;&gt;"",$Q2323="Có",$R2323="",$S2323="Có",AND($L2323&lt;&gt;"",OR($L2323&lt;&gt;"Chưa xác định",DANH_MUC!$L$9="Có"))),"Có","Không"))</f>
        <v/>
      </c>
      <c r="U2323" s="22">
        <f>IF(OR($D2323="",$T2323="Có"),"",IF($C2323="","Thiếu họ tên; ","")&amp;IF($S2323&lt;&gt;"Có","SĐT sai định dạng; ","")&amp;IF($R2323="Trùng","Trùng SĐT; ","")&amp;IF($Q2323&lt;&gt;"Có","Thiếu đồng ý bắt buộc; ","")&amp;IF($L2323="","Thiếu/sai Mã REF; ",IF(AND($L2323="Chưa xác định",DANH_MUC!$L$9&lt;&gt;"Có"),"Nguồn chưa xác định; ","")))</f>
        <v/>
      </c>
      <c r="V2323" s="22">
        <f>IF(OR($D2323="",$R2323="Trùng"),"",IF(COUNTIF(ORDERS!$C$2:$C$4995,$D2323)&gt;0,"Có","Không"))</f>
        <v/>
      </c>
      <c r="W2323" s="22">
        <f>IF(OR($D2323="",$R2323="Trùng"),"",COUNTIFS(ORDERS!$C$2:$C$4995,$D2323,ORDERS!$L$2:$L$4995,"Đã chuyển khoản"))</f>
        <v/>
      </c>
      <c r="X2323" s="23">
        <f>IF(OR($D2323="",$R2323="Trùng"),"",SUMIFS(ORDERS!$J$2:$J$4995,ORDERS!$C$2:$C$4995,$D2323,ORDERS!$L$2:$L$4995,"Đã chuyển khoản"))</f>
        <v/>
      </c>
      <c r="Y2323" s="24" t="n"/>
    </row>
    <row r="2324" ht="14.25" customHeight="1" s="40">
      <c r="A2324" s="24" t="n"/>
      <c r="B2324" s="27" t="n"/>
      <c r="C2324" s="24" t="n"/>
      <c r="D2324" s="28" t="n"/>
      <c r="E2324" s="29" t="n"/>
      <c r="F2324" s="24" t="n"/>
      <c r="G2324" s="24" t="n"/>
      <c r="H2324" s="21">
        <f>IF(ISNUMBER($B2324),INT($B2324)-WEEKDAY($B2324,2)+1,"")</f>
        <v/>
      </c>
      <c r="I2324" s="24" t="n"/>
      <c r="J2324" s="22">
        <f t="array" ref="J2324">IF($D2324="","",IF($I2324="","(trống REF)",IFERROR(INDEX(MASTER_SOURCE!$B$2:$B$495,MATCH($I2324,MASTER_SOURCE!$A$2:$A$495,0)),"(REF không có trong MASTER_SOURCE)")))</f>
        <v/>
      </c>
      <c r="K2324" s="22">
        <f t="array" ref="K2324">IF($D2324="","",IFERROR(INDEX(MASTER_SOURCE!$C$2:$C$495,MATCH($I2324,MASTER_SOURCE!$A$2:$A$495,0)),""))</f>
        <v/>
      </c>
      <c r="L2324" s="22">
        <f t="array" ref="L2324">IF($D2324="","",IFERROR(INDEX(MASTER_SOURCE!$D$2:$D$495,MATCH($I2324,MASTER_SOURCE!$A$2:$A$495,0)),""))</f>
        <v/>
      </c>
      <c r="M2324" s="24" t="n"/>
      <c r="N2324" s="24" t="n"/>
      <c r="O2324" s="24" t="n"/>
      <c r="P2324" s="24" t="n"/>
      <c r="Q2324" s="22">
        <f>IF($D2324="","",IF(AND(OR(DANH_MUC!$L$5&lt;&gt;"Có",M2324="Có"),OR(DANH_MUC!$L$6&lt;&gt;"Có",N2324="Có"),OR(DANH_MUC!$L$7&lt;&gt;"Có",O2324="Có"),OR(DANH_MUC!$L$8&lt;&gt;"Có",P2324="Có")),"Có","Không"))</f>
        <v/>
      </c>
      <c r="R2324" s="22">
        <f>IF($D2324="","",IF(COUNTIF($D$2:$D2324,$D2324)&gt;1,"Trùng",""))</f>
        <v/>
      </c>
      <c r="S2324" s="22">
        <f>IF($D2324="","",IF(AND(LEN($D2324)=10,LEFT($D2324,1)="0",ISNUMBER(--$D2324)),"Có","Không"))</f>
        <v/>
      </c>
      <c r="T2324" s="22">
        <f>IF($D2324="","",IF(AND($C2324&lt;&gt;"",$Q2324="Có",$R2324="",$S2324="Có",AND($L2324&lt;&gt;"",OR($L2324&lt;&gt;"Chưa xác định",DANH_MUC!$L$9="Có"))),"Có","Không"))</f>
        <v/>
      </c>
      <c r="U2324" s="22">
        <f>IF(OR($D2324="",$T2324="Có"),"",IF($C2324="","Thiếu họ tên; ","")&amp;IF($S2324&lt;&gt;"Có","SĐT sai định dạng; ","")&amp;IF($R2324="Trùng","Trùng SĐT; ","")&amp;IF($Q2324&lt;&gt;"Có","Thiếu đồng ý bắt buộc; ","")&amp;IF($L2324="","Thiếu/sai Mã REF; ",IF(AND($L2324="Chưa xác định",DANH_MUC!$L$9&lt;&gt;"Có"),"Nguồn chưa xác định; ","")))</f>
        <v/>
      </c>
      <c r="V2324" s="22">
        <f>IF(OR($D2324="",$R2324="Trùng"),"",IF(COUNTIF(ORDERS!$C$2:$C$4995,$D2324)&gt;0,"Có","Không"))</f>
        <v/>
      </c>
      <c r="W2324" s="22">
        <f>IF(OR($D2324="",$R2324="Trùng"),"",COUNTIFS(ORDERS!$C$2:$C$4995,$D2324,ORDERS!$L$2:$L$4995,"Đã chuyển khoản"))</f>
        <v/>
      </c>
      <c r="X2324" s="23">
        <f>IF(OR($D2324="",$R2324="Trùng"),"",SUMIFS(ORDERS!$J$2:$J$4995,ORDERS!$C$2:$C$4995,$D2324,ORDERS!$L$2:$L$4995,"Đã chuyển khoản"))</f>
        <v/>
      </c>
      <c r="Y2324" s="24" t="n"/>
    </row>
    <row r="2325" ht="14.25" customHeight="1" s="40">
      <c r="A2325" s="24" t="n"/>
      <c r="B2325" s="27" t="n"/>
      <c r="C2325" s="24" t="n"/>
      <c r="D2325" s="28" t="n"/>
      <c r="E2325" s="29" t="n"/>
      <c r="F2325" s="24" t="n"/>
      <c r="G2325" s="24" t="n"/>
      <c r="H2325" s="21">
        <f>IF(ISNUMBER($B2325),INT($B2325)-WEEKDAY($B2325,2)+1,"")</f>
        <v/>
      </c>
      <c r="I2325" s="24" t="n"/>
      <c r="J2325" s="22">
        <f t="array" ref="J2325">IF($D2325="","",IF($I2325="","(trống REF)",IFERROR(INDEX(MASTER_SOURCE!$B$2:$B$495,MATCH($I2325,MASTER_SOURCE!$A$2:$A$495,0)),"(REF không có trong MASTER_SOURCE)")))</f>
        <v/>
      </c>
      <c r="K2325" s="22">
        <f t="array" ref="K2325">IF($D2325="","",IFERROR(INDEX(MASTER_SOURCE!$C$2:$C$495,MATCH($I2325,MASTER_SOURCE!$A$2:$A$495,0)),""))</f>
        <v/>
      </c>
      <c r="L2325" s="22">
        <f t="array" ref="L2325">IF($D2325="","",IFERROR(INDEX(MASTER_SOURCE!$D$2:$D$495,MATCH($I2325,MASTER_SOURCE!$A$2:$A$495,0)),""))</f>
        <v/>
      </c>
      <c r="M2325" s="24" t="n"/>
      <c r="N2325" s="24" t="n"/>
      <c r="O2325" s="24" t="n"/>
      <c r="P2325" s="24" t="n"/>
      <c r="Q2325" s="22">
        <f>IF($D2325="","",IF(AND(OR(DANH_MUC!$L$5&lt;&gt;"Có",M2325="Có"),OR(DANH_MUC!$L$6&lt;&gt;"Có",N2325="Có"),OR(DANH_MUC!$L$7&lt;&gt;"Có",O2325="Có"),OR(DANH_MUC!$L$8&lt;&gt;"Có",P2325="Có")),"Có","Không"))</f>
        <v/>
      </c>
      <c r="R2325" s="22">
        <f>IF($D2325="","",IF(COUNTIF($D$2:$D2325,$D2325)&gt;1,"Trùng",""))</f>
        <v/>
      </c>
      <c r="S2325" s="22">
        <f>IF($D2325="","",IF(AND(LEN($D2325)=10,LEFT($D2325,1)="0",ISNUMBER(--$D2325)),"Có","Không"))</f>
        <v/>
      </c>
      <c r="T2325" s="22">
        <f>IF($D2325="","",IF(AND($C2325&lt;&gt;"",$Q2325="Có",$R2325="",$S2325="Có",AND($L2325&lt;&gt;"",OR($L2325&lt;&gt;"Chưa xác định",DANH_MUC!$L$9="Có"))),"Có","Không"))</f>
        <v/>
      </c>
      <c r="U2325" s="22">
        <f>IF(OR($D2325="",$T2325="Có"),"",IF($C2325="","Thiếu họ tên; ","")&amp;IF($S2325&lt;&gt;"Có","SĐT sai định dạng; ","")&amp;IF($R2325="Trùng","Trùng SĐT; ","")&amp;IF($Q2325&lt;&gt;"Có","Thiếu đồng ý bắt buộc; ","")&amp;IF($L2325="","Thiếu/sai Mã REF; ",IF(AND($L2325="Chưa xác định",DANH_MUC!$L$9&lt;&gt;"Có"),"Nguồn chưa xác định; ","")))</f>
        <v/>
      </c>
      <c r="V2325" s="22">
        <f>IF(OR($D2325="",$R2325="Trùng"),"",IF(COUNTIF(ORDERS!$C$2:$C$4995,$D2325)&gt;0,"Có","Không"))</f>
        <v/>
      </c>
      <c r="W2325" s="22">
        <f>IF(OR($D2325="",$R2325="Trùng"),"",COUNTIFS(ORDERS!$C$2:$C$4995,$D2325,ORDERS!$L$2:$L$4995,"Đã chuyển khoản"))</f>
        <v/>
      </c>
      <c r="X2325" s="23">
        <f>IF(OR($D2325="",$R2325="Trùng"),"",SUMIFS(ORDERS!$J$2:$J$4995,ORDERS!$C$2:$C$4995,$D2325,ORDERS!$L$2:$L$4995,"Đã chuyển khoản"))</f>
        <v/>
      </c>
      <c r="Y2325" s="24" t="n"/>
    </row>
    <row r="2326" ht="14.25" customHeight="1" s="40">
      <c r="A2326" s="24" t="n"/>
      <c r="B2326" s="27" t="n"/>
      <c r="C2326" s="24" t="n"/>
      <c r="D2326" s="28" t="n"/>
      <c r="E2326" s="29" t="n"/>
      <c r="F2326" s="24" t="n"/>
      <c r="G2326" s="24" t="n"/>
      <c r="H2326" s="21">
        <f>IF(ISNUMBER($B2326),INT($B2326)-WEEKDAY($B2326,2)+1,"")</f>
        <v/>
      </c>
      <c r="I2326" s="24" t="n"/>
      <c r="J2326" s="22">
        <f t="array" ref="J2326">IF($D2326="","",IF($I2326="","(trống REF)",IFERROR(INDEX(MASTER_SOURCE!$B$2:$B$495,MATCH($I2326,MASTER_SOURCE!$A$2:$A$495,0)),"(REF không có trong MASTER_SOURCE)")))</f>
        <v/>
      </c>
      <c r="K2326" s="22">
        <f t="array" ref="K2326">IF($D2326="","",IFERROR(INDEX(MASTER_SOURCE!$C$2:$C$495,MATCH($I2326,MASTER_SOURCE!$A$2:$A$495,0)),""))</f>
        <v/>
      </c>
      <c r="L2326" s="22">
        <f t="array" ref="L2326">IF($D2326="","",IFERROR(INDEX(MASTER_SOURCE!$D$2:$D$495,MATCH($I2326,MASTER_SOURCE!$A$2:$A$495,0)),""))</f>
        <v/>
      </c>
      <c r="M2326" s="24" t="n"/>
      <c r="N2326" s="24" t="n"/>
      <c r="O2326" s="24" t="n"/>
      <c r="P2326" s="24" t="n"/>
      <c r="Q2326" s="22">
        <f>IF($D2326="","",IF(AND(OR(DANH_MUC!$L$5&lt;&gt;"Có",M2326="Có"),OR(DANH_MUC!$L$6&lt;&gt;"Có",N2326="Có"),OR(DANH_MUC!$L$7&lt;&gt;"Có",O2326="Có"),OR(DANH_MUC!$L$8&lt;&gt;"Có",P2326="Có")),"Có","Không"))</f>
        <v/>
      </c>
      <c r="R2326" s="22">
        <f>IF($D2326="","",IF(COUNTIF($D$2:$D2326,$D2326)&gt;1,"Trùng",""))</f>
        <v/>
      </c>
      <c r="S2326" s="22">
        <f>IF($D2326="","",IF(AND(LEN($D2326)=10,LEFT($D2326,1)="0",ISNUMBER(--$D2326)),"Có","Không"))</f>
        <v/>
      </c>
      <c r="T2326" s="22">
        <f>IF($D2326="","",IF(AND($C2326&lt;&gt;"",$Q2326="Có",$R2326="",$S2326="Có",AND($L2326&lt;&gt;"",OR($L2326&lt;&gt;"Chưa xác định",DANH_MUC!$L$9="Có"))),"Có","Không"))</f>
        <v/>
      </c>
      <c r="U2326" s="22">
        <f>IF(OR($D2326="",$T2326="Có"),"",IF($C2326="","Thiếu họ tên; ","")&amp;IF($S2326&lt;&gt;"Có","SĐT sai định dạng; ","")&amp;IF($R2326="Trùng","Trùng SĐT; ","")&amp;IF($Q2326&lt;&gt;"Có","Thiếu đồng ý bắt buộc; ","")&amp;IF($L2326="","Thiếu/sai Mã REF; ",IF(AND($L2326="Chưa xác định",DANH_MUC!$L$9&lt;&gt;"Có"),"Nguồn chưa xác định; ","")))</f>
        <v/>
      </c>
      <c r="V2326" s="22">
        <f>IF(OR($D2326="",$R2326="Trùng"),"",IF(COUNTIF(ORDERS!$C$2:$C$4995,$D2326)&gt;0,"Có","Không"))</f>
        <v/>
      </c>
      <c r="W2326" s="22">
        <f>IF(OR($D2326="",$R2326="Trùng"),"",COUNTIFS(ORDERS!$C$2:$C$4995,$D2326,ORDERS!$L$2:$L$4995,"Đã chuyển khoản"))</f>
        <v/>
      </c>
      <c r="X2326" s="23">
        <f>IF(OR($D2326="",$R2326="Trùng"),"",SUMIFS(ORDERS!$J$2:$J$4995,ORDERS!$C$2:$C$4995,$D2326,ORDERS!$L$2:$L$4995,"Đã chuyển khoản"))</f>
        <v/>
      </c>
      <c r="Y2326" s="24" t="n"/>
    </row>
    <row r="2327" ht="14.25" customHeight="1" s="40">
      <c r="A2327" s="24" t="n"/>
      <c r="B2327" s="27" t="n"/>
      <c r="C2327" s="24" t="n"/>
      <c r="D2327" s="28" t="n"/>
      <c r="E2327" s="29" t="n"/>
      <c r="F2327" s="24" t="n"/>
      <c r="G2327" s="24" t="n"/>
      <c r="H2327" s="21">
        <f>IF(ISNUMBER($B2327),INT($B2327)-WEEKDAY($B2327,2)+1,"")</f>
        <v/>
      </c>
      <c r="I2327" s="24" t="n"/>
      <c r="J2327" s="22">
        <f t="array" ref="J2327">IF($D2327="","",IF($I2327="","(trống REF)",IFERROR(INDEX(MASTER_SOURCE!$B$2:$B$495,MATCH($I2327,MASTER_SOURCE!$A$2:$A$495,0)),"(REF không có trong MASTER_SOURCE)")))</f>
        <v/>
      </c>
      <c r="K2327" s="22">
        <f t="array" ref="K2327">IF($D2327="","",IFERROR(INDEX(MASTER_SOURCE!$C$2:$C$495,MATCH($I2327,MASTER_SOURCE!$A$2:$A$495,0)),""))</f>
        <v/>
      </c>
      <c r="L2327" s="22">
        <f t="array" ref="L2327">IF($D2327="","",IFERROR(INDEX(MASTER_SOURCE!$D$2:$D$495,MATCH($I2327,MASTER_SOURCE!$A$2:$A$495,0)),""))</f>
        <v/>
      </c>
      <c r="M2327" s="24" t="n"/>
      <c r="N2327" s="24" t="n"/>
      <c r="O2327" s="24" t="n"/>
      <c r="P2327" s="24" t="n"/>
      <c r="Q2327" s="22">
        <f>IF($D2327="","",IF(AND(OR(DANH_MUC!$L$5&lt;&gt;"Có",M2327="Có"),OR(DANH_MUC!$L$6&lt;&gt;"Có",N2327="Có"),OR(DANH_MUC!$L$7&lt;&gt;"Có",O2327="Có"),OR(DANH_MUC!$L$8&lt;&gt;"Có",P2327="Có")),"Có","Không"))</f>
        <v/>
      </c>
      <c r="R2327" s="22">
        <f>IF($D2327="","",IF(COUNTIF($D$2:$D2327,$D2327)&gt;1,"Trùng",""))</f>
        <v/>
      </c>
      <c r="S2327" s="22">
        <f>IF($D2327="","",IF(AND(LEN($D2327)=10,LEFT($D2327,1)="0",ISNUMBER(--$D2327)),"Có","Không"))</f>
        <v/>
      </c>
      <c r="T2327" s="22">
        <f>IF($D2327="","",IF(AND($C2327&lt;&gt;"",$Q2327="Có",$R2327="",$S2327="Có",AND($L2327&lt;&gt;"",OR($L2327&lt;&gt;"Chưa xác định",DANH_MUC!$L$9="Có"))),"Có","Không"))</f>
        <v/>
      </c>
      <c r="U2327" s="22">
        <f>IF(OR($D2327="",$T2327="Có"),"",IF($C2327="","Thiếu họ tên; ","")&amp;IF($S2327&lt;&gt;"Có","SĐT sai định dạng; ","")&amp;IF($R2327="Trùng","Trùng SĐT; ","")&amp;IF($Q2327&lt;&gt;"Có","Thiếu đồng ý bắt buộc; ","")&amp;IF($L2327="","Thiếu/sai Mã REF; ",IF(AND($L2327="Chưa xác định",DANH_MUC!$L$9&lt;&gt;"Có"),"Nguồn chưa xác định; ","")))</f>
        <v/>
      </c>
      <c r="V2327" s="22">
        <f>IF(OR($D2327="",$R2327="Trùng"),"",IF(COUNTIF(ORDERS!$C$2:$C$4995,$D2327)&gt;0,"Có","Không"))</f>
        <v/>
      </c>
      <c r="W2327" s="22">
        <f>IF(OR($D2327="",$R2327="Trùng"),"",COUNTIFS(ORDERS!$C$2:$C$4995,$D2327,ORDERS!$L$2:$L$4995,"Đã chuyển khoản"))</f>
        <v/>
      </c>
      <c r="X2327" s="23">
        <f>IF(OR($D2327="",$R2327="Trùng"),"",SUMIFS(ORDERS!$J$2:$J$4995,ORDERS!$C$2:$C$4995,$D2327,ORDERS!$L$2:$L$4995,"Đã chuyển khoản"))</f>
        <v/>
      </c>
      <c r="Y2327" s="24" t="n"/>
    </row>
    <row r="2328" ht="14.25" customHeight="1" s="40">
      <c r="A2328" s="24" t="n"/>
      <c r="B2328" s="27" t="n"/>
      <c r="C2328" s="24" t="n"/>
      <c r="D2328" s="28" t="n"/>
      <c r="E2328" s="29" t="n"/>
      <c r="F2328" s="24" t="n"/>
      <c r="G2328" s="24" t="n"/>
      <c r="H2328" s="21">
        <f>IF(ISNUMBER($B2328),INT($B2328)-WEEKDAY($B2328,2)+1,"")</f>
        <v/>
      </c>
      <c r="I2328" s="24" t="n"/>
      <c r="J2328" s="22">
        <f t="array" ref="J2328">IF($D2328="","",IF($I2328="","(trống REF)",IFERROR(INDEX(MASTER_SOURCE!$B$2:$B$495,MATCH($I2328,MASTER_SOURCE!$A$2:$A$495,0)),"(REF không có trong MASTER_SOURCE)")))</f>
        <v/>
      </c>
      <c r="K2328" s="22">
        <f t="array" ref="K2328">IF($D2328="","",IFERROR(INDEX(MASTER_SOURCE!$C$2:$C$495,MATCH($I2328,MASTER_SOURCE!$A$2:$A$495,0)),""))</f>
        <v/>
      </c>
      <c r="L2328" s="22">
        <f t="array" ref="L2328">IF($D2328="","",IFERROR(INDEX(MASTER_SOURCE!$D$2:$D$495,MATCH($I2328,MASTER_SOURCE!$A$2:$A$495,0)),""))</f>
        <v/>
      </c>
      <c r="M2328" s="24" t="n"/>
      <c r="N2328" s="24" t="n"/>
      <c r="O2328" s="24" t="n"/>
      <c r="P2328" s="24" t="n"/>
      <c r="Q2328" s="22">
        <f>IF($D2328="","",IF(AND(OR(DANH_MUC!$L$5&lt;&gt;"Có",M2328="Có"),OR(DANH_MUC!$L$6&lt;&gt;"Có",N2328="Có"),OR(DANH_MUC!$L$7&lt;&gt;"Có",O2328="Có"),OR(DANH_MUC!$L$8&lt;&gt;"Có",P2328="Có")),"Có","Không"))</f>
        <v/>
      </c>
      <c r="R2328" s="22">
        <f>IF($D2328="","",IF(COUNTIF($D$2:$D2328,$D2328)&gt;1,"Trùng",""))</f>
        <v/>
      </c>
      <c r="S2328" s="22">
        <f>IF($D2328="","",IF(AND(LEN($D2328)=10,LEFT($D2328,1)="0",ISNUMBER(--$D2328)),"Có","Không"))</f>
        <v/>
      </c>
      <c r="T2328" s="22">
        <f>IF($D2328="","",IF(AND($C2328&lt;&gt;"",$Q2328="Có",$R2328="",$S2328="Có",AND($L2328&lt;&gt;"",OR($L2328&lt;&gt;"Chưa xác định",DANH_MUC!$L$9="Có"))),"Có","Không"))</f>
        <v/>
      </c>
      <c r="U2328" s="22">
        <f>IF(OR($D2328="",$T2328="Có"),"",IF($C2328="","Thiếu họ tên; ","")&amp;IF($S2328&lt;&gt;"Có","SĐT sai định dạng; ","")&amp;IF($R2328="Trùng","Trùng SĐT; ","")&amp;IF($Q2328&lt;&gt;"Có","Thiếu đồng ý bắt buộc; ","")&amp;IF($L2328="","Thiếu/sai Mã REF; ",IF(AND($L2328="Chưa xác định",DANH_MUC!$L$9&lt;&gt;"Có"),"Nguồn chưa xác định; ","")))</f>
        <v/>
      </c>
      <c r="V2328" s="22">
        <f>IF(OR($D2328="",$R2328="Trùng"),"",IF(COUNTIF(ORDERS!$C$2:$C$4995,$D2328)&gt;0,"Có","Không"))</f>
        <v/>
      </c>
      <c r="W2328" s="22">
        <f>IF(OR($D2328="",$R2328="Trùng"),"",COUNTIFS(ORDERS!$C$2:$C$4995,$D2328,ORDERS!$L$2:$L$4995,"Đã chuyển khoản"))</f>
        <v/>
      </c>
      <c r="X2328" s="23">
        <f>IF(OR($D2328="",$R2328="Trùng"),"",SUMIFS(ORDERS!$J$2:$J$4995,ORDERS!$C$2:$C$4995,$D2328,ORDERS!$L$2:$L$4995,"Đã chuyển khoản"))</f>
        <v/>
      </c>
      <c r="Y2328" s="24" t="n"/>
    </row>
    <row r="2329" ht="14.25" customHeight="1" s="40">
      <c r="A2329" s="24" t="n"/>
      <c r="B2329" s="27" t="n"/>
      <c r="C2329" s="24" t="n"/>
      <c r="D2329" s="28" t="n"/>
      <c r="E2329" s="29" t="n"/>
      <c r="F2329" s="24" t="n"/>
      <c r="G2329" s="24" t="n"/>
      <c r="H2329" s="21">
        <f>IF(ISNUMBER($B2329),INT($B2329)-WEEKDAY($B2329,2)+1,"")</f>
        <v/>
      </c>
      <c r="I2329" s="24" t="n"/>
      <c r="J2329" s="22">
        <f t="array" ref="J2329">IF($D2329="","",IF($I2329="","(trống REF)",IFERROR(INDEX(MASTER_SOURCE!$B$2:$B$495,MATCH($I2329,MASTER_SOURCE!$A$2:$A$495,0)),"(REF không có trong MASTER_SOURCE)")))</f>
        <v/>
      </c>
      <c r="K2329" s="22">
        <f t="array" ref="K2329">IF($D2329="","",IFERROR(INDEX(MASTER_SOURCE!$C$2:$C$495,MATCH($I2329,MASTER_SOURCE!$A$2:$A$495,0)),""))</f>
        <v/>
      </c>
      <c r="L2329" s="22">
        <f t="array" ref="L2329">IF($D2329="","",IFERROR(INDEX(MASTER_SOURCE!$D$2:$D$495,MATCH($I2329,MASTER_SOURCE!$A$2:$A$495,0)),""))</f>
        <v/>
      </c>
      <c r="M2329" s="24" t="n"/>
      <c r="N2329" s="24" t="n"/>
      <c r="O2329" s="24" t="n"/>
      <c r="P2329" s="24" t="n"/>
      <c r="Q2329" s="22">
        <f>IF($D2329="","",IF(AND(OR(DANH_MUC!$L$5&lt;&gt;"Có",M2329="Có"),OR(DANH_MUC!$L$6&lt;&gt;"Có",N2329="Có"),OR(DANH_MUC!$L$7&lt;&gt;"Có",O2329="Có"),OR(DANH_MUC!$L$8&lt;&gt;"Có",P2329="Có")),"Có","Không"))</f>
        <v/>
      </c>
      <c r="R2329" s="22">
        <f>IF($D2329="","",IF(COUNTIF($D$2:$D2329,$D2329)&gt;1,"Trùng",""))</f>
        <v/>
      </c>
      <c r="S2329" s="22">
        <f>IF($D2329="","",IF(AND(LEN($D2329)=10,LEFT($D2329,1)="0",ISNUMBER(--$D2329)),"Có","Không"))</f>
        <v/>
      </c>
      <c r="T2329" s="22">
        <f>IF($D2329="","",IF(AND($C2329&lt;&gt;"",$Q2329="Có",$R2329="",$S2329="Có",AND($L2329&lt;&gt;"",OR($L2329&lt;&gt;"Chưa xác định",DANH_MUC!$L$9="Có"))),"Có","Không"))</f>
        <v/>
      </c>
      <c r="U2329" s="22">
        <f>IF(OR($D2329="",$T2329="Có"),"",IF($C2329="","Thiếu họ tên; ","")&amp;IF($S2329&lt;&gt;"Có","SĐT sai định dạng; ","")&amp;IF($R2329="Trùng","Trùng SĐT; ","")&amp;IF($Q2329&lt;&gt;"Có","Thiếu đồng ý bắt buộc; ","")&amp;IF($L2329="","Thiếu/sai Mã REF; ",IF(AND($L2329="Chưa xác định",DANH_MUC!$L$9&lt;&gt;"Có"),"Nguồn chưa xác định; ","")))</f>
        <v/>
      </c>
      <c r="V2329" s="22">
        <f>IF(OR($D2329="",$R2329="Trùng"),"",IF(COUNTIF(ORDERS!$C$2:$C$4995,$D2329)&gt;0,"Có","Không"))</f>
        <v/>
      </c>
      <c r="W2329" s="22">
        <f>IF(OR($D2329="",$R2329="Trùng"),"",COUNTIFS(ORDERS!$C$2:$C$4995,$D2329,ORDERS!$L$2:$L$4995,"Đã chuyển khoản"))</f>
        <v/>
      </c>
      <c r="X2329" s="23">
        <f>IF(OR($D2329="",$R2329="Trùng"),"",SUMIFS(ORDERS!$J$2:$J$4995,ORDERS!$C$2:$C$4995,$D2329,ORDERS!$L$2:$L$4995,"Đã chuyển khoản"))</f>
        <v/>
      </c>
      <c r="Y2329" s="24" t="n"/>
    </row>
    <row r="2330" ht="14.25" customHeight="1" s="40">
      <c r="A2330" s="24" t="n"/>
      <c r="B2330" s="27" t="n"/>
      <c r="C2330" s="24" t="n"/>
      <c r="D2330" s="28" t="n"/>
      <c r="E2330" s="29" t="n"/>
      <c r="F2330" s="24" t="n"/>
      <c r="G2330" s="24" t="n"/>
      <c r="H2330" s="21">
        <f>IF(ISNUMBER($B2330),INT($B2330)-WEEKDAY($B2330,2)+1,"")</f>
        <v/>
      </c>
      <c r="I2330" s="24" t="n"/>
      <c r="J2330" s="22">
        <f t="array" ref="J2330">IF($D2330="","",IF($I2330="","(trống REF)",IFERROR(INDEX(MASTER_SOURCE!$B$2:$B$495,MATCH($I2330,MASTER_SOURCE!$A$2:$A$495,0)),"(REF không có trong MASTER_SOURCE)")))</f>
        <v/>
      </c>
      <c r="K2330" s="22">
        <f t="array" ref="K2330">IF($D2330="","",IFERROR(INDEX(MASTER_SOURCE!$C$2:$C$495,MATCH($I2330,MASTER_SOURCE!$A$2:$A$495,0)),""))</f>
        <v/>
      </c>
      <c r="L2330" s="22">
        <f t="array" ref="L2330">IF($D2330="","",IFERROR(INDEX(MASTER_SOURCE!$D$2:$D$495,MATCH($I2330,MASTER_SOURCE!$A$2:$A$495,0)),""))</f>
        <v/>
      </c>
      <c r="M2330" s="24" t="n"/>
      <c r="N2330" s="24" t="n"/>
      <c r="O2330" s="24" t="n"/>
      <c r="P2330" s="24" t="n"/>
      <c r="Q2330" s="22">
        <f>IF($D2330="","",IF(AND(OR(DANH_MUC!$L$5&lt;&gt;"Có",M2330="Có"),OR(DANH_MUC!$L$6&lt;&gt;"Có",N2330="Có"),OR(DANH_MUC!$L$7&lt;&gt;"Có",O2330="Có"),OR(DANH_MUC!$L$8&lt;&gt;"Có",P2330="Có")),"Có","Không"))</f>
        <v/>
      </c>
      <c r="R2330" s="22">
        <f>IF($D2330="","",IF(COUNTIF($D$2:$D2330,$D2330)&gt;1,"Trùng",""))</f>
        <v/>
      </c>
      <c r="S2330" s="22">
        <f>IF($D2330="","",IF(AND(LEN($D2330)=10,LEFT($D2330,1)="0",ISNUMBER(--$D2330)),"Có","Không"))</f>
        <v/>
      </c>
      <c r="T2330" s="22">
        <f>IF($D2330="","",IF(AND($C2330&lt;&gt;"",$Q2330="Có",$R2330="",$S2330="Có",AND($L2330&lt;&gt;"",OR($L2330&lt;&gt;"Chưa xác định",DANH_MUC!$L$9="Có"))),"Có","Không"))</f>
        <v/>
      </c>
      <c r="U2330" s="22">
        <f>IF(OR($D2330="",$T2330="Có"),"",IF($C2330="","Thiếu họ tên; ","")&amp;IF($S2330&lt;&gt;"Có","SĐT sai định dạng; ","")&amp;IF($R2330="Trùng","Trùng SĐT; ","")&amp;IF($Q2330&lt;&gt;"Có","Thiếu đồng ý bắt buộc; ","")&amp;IF($L2330="","Thiếu/sai Mã REF; ",IF(AND($L2330="Chưa xác định",DANH_MUC!$L$9&lt;&gt;"Có"),"Nguồn chưa xác định; ","")))</f>
        <v/>
      </c>
      <c r="V2330" s="22">
        <f>IF(OR($D2330="",$R2330="Trùng"),"",IF(COUNTIF(ORDERS!$C$2:$C$4995,$D2330)&gt;0,"Có","Không"))</f>
        <v/>
      </c>
      <c r="W2330" s="22">
        <f>IF(OR($D2330="",$R2330="Trùng"),"",COUNTIFS(ORDERS!$C$2:$C$4995,$D2330,ORDERS!$L$2:$L$4995,"Đã chuyển khoản"))</f>
        <v/>
      </c>
      <c r="X2330" s="23">
        <f>IF(OR($D2330="",$R2330="Trùng"),"",SUMIFS(ORDERS!$J$2:$J$4995,ORDERS!$C$2:$C$4995,$D2330,ORDERS!$L$2:$L$4995,"Đã chuyển khoản"))</f>
        <v/>
      </c>
      <c r="Y2330" s="24" t="n"/>
    </row>
    <row r="2331" ht="14.25" customHeight="1" s="40">
      <c r="A2331" s="24" t="n"/>
      <c r="B2331" s="27" t="n"/>
      <c r="C2331" s="24" t="n"/>
      <c r="D2331" s="28" t="n"/>
      <c r="E2331" s="29" t="n"/>
      <c r="F2331" s="24" t="n"/>
      <c r="G2331" s="24" t="n"/>
      <c r="H2331" s="21">
        <f>IF(ISNUMBER($B2331),INT($B2331)-WEEKDAY($B2331,2)+1,"")</f>
        <v/>
      </c>
      <c r="I2331" s="24" t="n"/>
      <c r="J2331" s="22">
        <f t="array" ref="J2331">IF($D2331="","",IF($I2331="","(trống REF)",IFERROR(INDEX(MASTER_SOURCE!$B$2:$B$495,MATCH($I2331,MASTER_SOURCE!$A$2:$A$495,0)),"(REF không có trong MASTER_SOURCE)")))</f>
        <v/>
      </c>
      <c r="K2331" s="22">
        <f t="array" ref="K2331">IF($D2331="","",IFERROR(INDEX(MASTER_SOURCE!$C$2:$C$495,MATCH($I2331,MASTER_SOURCE!$A$2:$A$495,0)),""))</f>
        <v/>
      </c>
      <c r="L2331" s="22">
        <f t="array" ref="L2331">IF($D2331="","",IFERROR(INDEX(MASTER_SOURCE!$D$2:$D$495,MATCH($I2331,MASTER_SOURCE!$A$2:$A$495,0)),""))</f>
        <v/>
      </c>
      <c r="M2331" s="24" t="n"/>
      <c r="N2331" s="24" t="n"/>
      <c r="O2331" s="24" t="n"/>
      <c r="P2331" s="24" t="n"/>
      <c r="Q2331" s="22">
        <f>IF($D2331="","",IF(AND(OR(DANH_MUC!$L$5&lt;&gt;"Có",M2331="Có"),OR(DANH_MUC!$L$6&lt;&gt;"Có",N2331="Có"),OR(DANH_MUC!$L$7&lt;&gt;"Có",O2331="Có"),OR(DANH_MUC!$L$8&lt;&gt;"Có",P2331="Có")),"Có","Không"))</f>
        <v/>
      </c>
      <c r="R2331" s="22">
        <f>IF($D2331="","",IF(COUNTIF($D$2:$D2331,$D2331)&gt;1,"Trùng",""))</f>
        <v/>
      </c>
      <c r="S2331" s="22">
        <f>IF($D2331="","",IF(AND(LEN($D2331)=10,LEFT($D2331,1)="0",ISNUMBER(--$D2331)),"Có","Không"))</f>
        <v/>
      </c>
      <c r="T2331" s="22">
        <f>IF($D2331="","",IF(AND($C2331&lt;&gt;"",$Q2331="Có",$R2331="",$S2331="Có",AND($L2331&lt;&gt;"",OR($L2331&lt;&gt;"Chưa xác định",DANH_MUC!$L$9="Có"))),"Có","Không"))</f>
        <v/>
      </c>
      <c r="U2331" s="22">
        <f>IF(OR($D2331="",$T2331="Có"),"",IF($C2331="","Thiếu họ tên; ","")&amp;IF($S2331&lt;&gt;"Có","SĐT sai định dạng; ","")&amp;IF($R2331="Trùng","Trùng SĐT; ","")&amp;IF($Q2331&lt;&gt;"Có","Thiếu đồng ý bắt buộc; ","")&amp;IF($L2331="","Thiếu/sai Mã REF; ",IF(AND($L2331="Chưa xác định",DANH_MUC!$L$9&lt;&gt;"Có"),"Nguồn chưa xác định; ","")))</f>
        <v/>
      </c>
      <c r="V2331" s="22">
        <f>IF(OR($D2331="",$R2331="Trùng"),"",IF(COUNTIF(ORDERS!$C$2:$C$4995,$D2331)&gt;0,"Có","Không"))</f>
        <v/>
      </c>
      <c r="W2331" s="22">
        <f>IF(OR($D2331="",$R2331="Trùng"),"",COUNTIFS(ORDERS!$C$2:$C$4995,$D2331,ORDERS!$L$2:$L$4995,"Đã chuyển khoản"))</f>
        <v/>
      </c>
      <c r="X2331" s="23">
        <f>IF(OR($D2331="",$R2331="Trùng"),"",SUMIFS(ORDERS!$J$2:$J$4995,ORDERS!$C$2:$C$4995,$D2331,ORDERS!$L$2:$L$4995,"Đã chuyển khoản"))</f>
        <v/>
      </c>
      <c r="Y2331" s="24" t="n"/>
    </row>
    <row r="2332" ht="14.25" customHeight="1" s="40">
      <c r="A2332" s="24" t="n"/>
      <c r="B2332" s="27" t="n"/>
      <c r="C2332" s="24" t="n"/>
      <c r="D2332" s="28" t="n"/>
      <c r="E2332" s="29" t="n"/>
      <c r="F2332" s="24" t="n"/>
      <c r="G2332" s="24" t="n"/>
      <c r="H2332" s="21">
        <f>IF(ISNUMBER($B2332),INT($B2332)-WEEKDAY($B2332,2)+1,"")</f>
        <v/>
      </c>
      <c r="I2332" s="24" t="n"/>
      <c r="J2332" s="22">
        <f t="array" ref="J2332">IF($D2332="","",IF($I2332="","(trống REF)",IFERROR(INDEX(MASTER_SOURCE!$B$2:$B$495,MATCH($I2332,MASTER_SOURCE!$A$2:$A$495,0)),"(REF không có trong MASTER_SOURCE)")))</f>
        <v/>
      </c>
      <c r="K2332" s="22">
        <f t="array" ref="K2332">IF($D2332="","",IFERROR(INDEX(MASTER_SOURCE!$C$2:$C$495,MATCH($I2332,MASTER_SOURCE!$A$2:$A$495,0)),""))</f>
        <v/>
      </c>
      <c r="L2332" s="22">
        <f t="array" ref="L2332">IF($D2332="","",IFERROR(INDEX(MASTER_SOURCE!$D$2:$D$495,MATCH($I2332,MASTER_SOURCE!$A$2:$A$495,0)),""))</f>
        <v/>
      </c>
      <c r="M2332" s="24" t="n"/>
      <c r="N2332" s="24" t="n"/>
      <c r="O2332" s="24" t="n"/>
      <c r="P2332" s="24" t="n"/>
      <c r="Q2332" s="22">
        <f>IF($D2332="","",IF(AND(OR(DANH_MUC!$L$5&lt;&gt;"Có",M2332="Có"),OR(DANH_MUC!$L$6&lt;&gt;"Có",N2332="Có"),OR(DANH_MUC!$L$7&lt;&gt;"Có",O2332="Có"),OR(DANH_MUC!$L$8&lt;&gt;"Có",P2332="Có")),"Có","Không"))</f>
        <v/>
      </c>
      <c r="R2332" s="22">
        <f>IF($D2332="","",IF(COUNTIF($D$2:$D2332,$D2332)&gt;1,"Trùng",""))</f>
        <v/>
      </c>
      <c r="S2332" s="22">
        <f>IF($D2332="","",IF(AND(LEN($D2332)=10,LEFT($D2332,1)="0",ISNUMBER(--$D2332)),"Có","Không"))</f>
        <v/>
      </c>
      <c r="T2332" s="22">
        <f>IF($D2332="","",IF(AND($C2332&lt;&gt;"",$Q2332="Có",$R2332="",$S2332="Có",AND($L2332&lt;&gt;"",OR($L2332&lt;&gt;"Chưa xác định",DANH_MUC!$L$9="Có"))),"Có","Không"))</f>
        <v/>
      </c>
      <c r="U2332" s="22">
        <f>IF(OR($D2332="",$T2332="Có"),"",IF($C2332="","Thiếu họ tên; ","")&amp;IF($S2332&lt;&gt;"Có","SĐT sai định dạng; ","")&amp;IF($R2332="Trùng","Trùng SĐT; ","")&amp;IF($Q2332&lt;&gt;"Có","Thiếu đồng ý bắt buộc; ","")&amp;IF($L2332="","Thiếu/sai Mã REF; ",IF(AND($L2332="Chưa xác định",DANH_MUC!$L$9&lt;&gt;"Có"),"Nguồn chưa xác định; ","")))</f>
        <v/>
      </c>
      <c r="V2332" s="22">
        <f>IF(OR($D2332="",$R2332="Trùng"),"",IF(COUNTIF(ORDERS!$C$2:$C$4995,$D2332)&gt;0,"Có","Không"))</f>
        <v/>
      </c>
      <c r="W2332" s="22">
        <f>IF(OR($D2332="",$R2332="Trùng"),"",COUNTIFS(ORDERS!$C$2:$C$4995,$D2332,ORDERS!$L$2:$L$4995,"Đã chuyển khoản"))</f>
        <v/>
      </c>
      <c r="X2332" s="23">
        <f>IF(OR($D2332="",$R2332="Trùng"),"",SUMIFS(ORDERS!$J$2:$J$4995,ORDERS!$C$2:$C$4995,$D2332,ORDERS!$L$2:$L$4995,"Đã chuyển khoản"))</f>
        <v/>
      </c>
      <c r="Y2332" s="24" t="n"/>
    </row>
    <row r="2333" ht="14.25" customHeight="1" s="40">
      <c r="A2333" s="24" t="n"/>
      <c r="B2333" s="27" t="n"/>
      <c r="C2333" s="24" t="n"/>
      <c r="D2333" s="28" t="n"/>
      <c r="E2333" s="29" t="n"/>
      <c r="F2333" s="24" t="n"/>
      <c r="G2333" s="24" t="n"/>
      <c r="H2333" s="21">
        <f>IF(ISNUMBER($B2333),INT($B2333)-WEEKDAY($B2333,2)+1,"")</f>
        <v/>
      </c>
      <c r="I2333" s="24" t="n"/>
      <c r="J2333" s="22">
        <f t="array" ref="J2333">IF($D2333="","",IF($I2333="","(trống REF)",IFERROR(INDEX(MASTER_SOURCE!$B$2:$B$495,MATCH($I2333,MASTER_SOURCE!$A$2:$A$495,0)),"(REF không có trong MASTER_SOURCE)")))</f>
        <v/>
      </c>
      <c r="K2333" s="22">
        <f t="array" ref="K2333">IF($D2333="","",IFERROR(INDEX(MASTER_SOURCE!$C$2:$C$495,MATCH($I2333,MASTER_SOURCE!$A$2:$A$495,0)),""))</f>
        <v/>
      </c>
      <c r="L2333" s="22">
        <f t="array" ref="L2333">IF($D2333="","",IFERROR(INDEX(MASTER_SOURCE!$D$2:$D$495,MATCH($I2333,MASTER_SOURCE!$A$2:$A$495,0)),""))</f>
        <v/>
      </c>
      <c r="M2333" s="24" t="n"/>
      <c r="N2333" s="24" t="n"/>
      <c r="O2333" s="24" t="n"/>
      <c r="P2333" s="24" t="n"/>
      <c r="Q2333" s="22">
        <f>IF($D2333="","",IF(AND(OR(DANH_MUC!$L$5&lt;&gt;"Có",M2333="Có"),OR(DANH_MUC!$L$6&lt;&gt;"Có",N2333="Có"),OR(DANH_MUC!$L$7&lt;&gt;"Có",O2333="Có"),OR(DANH_MUC!$L$8&lt;&gt;"Có",P2333="Có")),"Có","Không"))</f>
        <v/>
      </c>
      <c r="R2333" s="22">
        <f>IF($D2333="","",IF(COUNTIF($D$2:$D2333,$D2333)&gt;1,"Trùng",""))</f>
        <v/>
      </c>
      <c r="S2333" s="22">
        <f>IF($D2333="","",IF(AND(LEN($D2333)=10,LEFT($D2333,1)="0",ISNUMBER(--$D2333)),"Có","Không"))</f>
        <v/>
      </c>
      <c r="T2333" s="22">
        <f>IF($D2333="","",IF(AND($C2333&lt;&gt;"",$Q2333="Có",$R2333="",$S2333="Có",AND($L2333&lt;&gt;"",OR($L2333&lt;&gt;"Chưa xác định",DANH_MUC!$L$9="Có"))),"Có","Không"))</f>
        <v/>
      </c>
      <c r="U2333" s="22">
        <f>IF(OR($D2333="",$T2333="Có"),"",IF($C2333="","Thiếu họ tên; ","")&amp;IF($S2333&lt;&gt;"Có","SĐT sai định dạng; ","")&amp;IF($R2333="Trùng","Trùng SĐT; ","")&amp;IF($Q2333&lt;&gt;"Có","Thiếu đồng ý bắt buộc; ","")&amp;IF($L2333="","Thiếu/sai Mã REF; ",IF(AND($L2333="Chưa xác định",DANH_MUC!$L$9&lt;&gt;"Có"),"Nguồn chưa xác định; ","")))</f>
        <v/>
      </c>
      <c r="V2333" s="22">
        <f>IF(OR($D2333="",$R2333="Trùng"),"",IF(COUNTIF(ORDERS!$C$2:$C$4995,$D2333)&gt;0,"Có","Không"))</f>
        <v/>
      </c>
      <c r="W2333" s="22">
        <f>IF(OR($D2333="",$R2333="Trùng"),"",COUNTIFS(ORDERS!$C$2:$C$4995,$D2333,ORDERS!$L$2:$L$4995,"Đã chuyển khoản"))</f>
        <v/>
      </c>
      <c r="X2333" s="23">
        <f>IF(OR($D2333="",$R2333="Trùng"),"",SUMIFS(ORDERS!$J$2:$J$4995,ORDERS!$C$2:$C$4995,$D2333,ORDERS!$L$2:$L$4995,"Đã chuyển khoản"))</f>
        <v/>
      </c>
      <c r="Y2333" s="24" t="n"/>
    </row>
    <row r="2334" ht="14.25" customHeight="1" s="40">
      <c r="A2334" s="24" t="n"/>
      <c r="B2334" s="27" t="n"/>
      <c r="C2334" s="24" t="n"/>
      <c r="D2334" s="28" t="n"/>
      <c r="E2334" s="29" t="n"/>
      <c r="F2334" s="24" t="n"/>
      <c r="G2334" s="24" t="n"/>
      <c r="H2334" s="21">
        <f>IF(ISNUMBER($B2334),INT($B2334)-WEEKDAY($B2334,2)+1,"")</f>
        <v/>
      </c>
      <c r="I2334" s="24" t="n"/>
      <c r="J2334" s="22">
        <f t="array" ref="J2334">IF($D2334="","",IF($I2334="","(trống REF)",IFERROR(INDEX(MASTER_SOURCE!$B$2:$B$495,MATCH($I2334,MASTER_SOURCE!$A$2:$A$495,0)),"(REF không có trong MASTER_SOURCE)")))</f>
        <v/>
      </c>
      <c r="K2334" s="22">
        <f t="array" ref="K2334">IF($D2334="","",IFERROR(INDEX(MASTER_SOURCE!$C$2:$C$495,MATCH($I2334,MASTER_SOURCE!$A$2:$A$495,0)),""))</f>
        <v/>
      </c>
      <c r="L2334" s="22">
        <f t="array" ref="L2334">IF($D2334="","",IFERROR(INDEX(MASTER_SOURCE!$D$2:$D$495,MATCH($I2334,MASTER_SOURCE!$A$2:$A$495,0)),""))</f>
        <v/>
      </c>
      <c r="M2334" s="24" t="n"/>
      <c r="N2334" s="24" t="n"/>
      <c r="O2334" s="24" t="n"/>
      <c r="P2334" s="24" t="n"/>
      <c r="Q2334" s="22">
        <f>IF($D2334="","",IF(AND(OR(DANH_MUC!$L$5&lt;&gt;"Có",M2334="Có"),OR(DANH_MUC!$L$6&lt;&gt;"Có",N2334="Có"),OR(DANH_MUC!$L$7&lt;&gt;"Có",O2334="Có"),OR(DANH_MUC!$L$8&lt;&gt;"Có",P2334="Có")),"Có","Không"))</f>
        <v/>
      </c>
      <c r="R2334" s="22">
        <f>IF($D2334="","",IF(COUNTIF($D$2:$D2334,$D2334)&gt;1,"Trùng",""))</f>
        <v/>
      </c>
      <c r="S2334" s="22">
        <f>IF($D2334="","",IF(AND(LEN($D2334)=10,LEFT($D2334,1)="0",ISNUMBER(--$D2334)),"Có","Không"))</f>
        <v/>
      </c>
      <c r="T2334" s="22">
        <f>IF($D2334="","",IF(AND($C2334&lt;&gt;"",$Q2334="Có",$R2334="",$S2334="Có",AND($L2334&lt;&gt;"",OR($L2334&lt;&gt;"Chưa xác định",DANH_MUC!$L$9="Có"))),"Có","Không"))</f>
        <v/>
      </c>
      <c r="U2334" s="22">
        <f>IF(OR($D2334="",$T2334="Có"),"",IF($C2334="","Thiếu họ tên; ","")&amp;IF($S2334&lt;&gt;"Có","SĐT sai định dạng; ","")&amp;IF($R2334="Trùng","Trùng SĐT; ","")&amp;IF($Q2334&lt;&gt;"Có","Thiếu đồng ý bắt buộc; ","")&amp;IF($L2334="","Thiếu/sai Mã REF; ",IF(AND($L2334="Chưa xác định",DANH_MUC!$L$9&lt;&gt;"Có"),"Nguồn chưa xác định; ","")))</f>
        <v/>
      </c>
      <c r="V2334" s="22">
        <f>IF(OR($D2334="",$R2334="Trùng"),"",IF(COUNTIF(ORDERS!$C$2:$C$4995,$D2334)&gt;0,"Có","Không"))</f>
        <v/>
      </c>
      <c r="W2334" s="22">
        <f>IF(OR($D2334="",$R2334="Trùng"),"",COUNTIFS(ORDERS!$C$2:$C$4995,$D2334,ORDERS!$L$2:$L$4995,"Đã chuyển khoản"))</f>
        <v/>
      </c>
      <c r="X2334" s="23">
        <f>IF(OR($D2334="",$R2334="Trùng"),"",SUMIFS(ORDERS!$J$2:$J$4995,ORDERS!$C$2:$C$4995,$D2334,ORDERS!$L$2:$L$4995,"Đã chuyển khoản"))</f>
        <v/>
      </c>
      <c r="Y2334" s="24" t="n"/>
    </row>
    <row r="2335" ht="14.25" customHeight="1" s="40">
      <c r="A2335" s="24" t="n"/>
      <c r="B2335" s="27" t="n"/>
      <c r="C2335" s="24" t="n"/>
      <c r="D2335" s="28" t="n"/>
      <c r="E2335" s="29" t="n"/>
      <c r="F2335" s="24" t="n"/>
      <c r="G2335" s="24" t="n"/>
      <c r="H2335" s="21">
        <f>IF(ISNUMBER($B2335),INT($B2335)-WEEKDAY($B2335,2)+1,"")</f>
        <v/>
      </c>
      <c r="I2335" s="24" t="n"/>
      <c r="J2335" s="22">
        <f t="array" ref="J2335">IF($D2335="","",IF($I2335="","(trống REF)",IFERROR(INDEX(MASTER_SOURCE!$B$2:$B$495,MATCH($I2335,MASTER_SOURCE!$A$2:$A$495,0)),"(REF không có trong MASTER_SOURCE)")))</f>
        <v/>
      </c>
      <c r="K2335" s="22">
        <f t="array" ref="K2335">IF($D2335="","",IFERROR(INDEX(MASTER_SOURCE!$C$2:$C$495,MATCH($I2335,MASTER_SOURCE!$A$2:$A$495,0)),""))</f>
        <v/>
      </c>
      <c r="L2335" s="22">
        <f t="array" ref="L2335">IF($D2335="","",IFERROR(INDEX(MASTER_SOURCE!$D$2:$D$495,MATCH($I2335,MASTER_SOURCE!$A$2:$A$495,0)),""))</f>
        <v/>
      </c>
      <c r="M2335" s="24" t="n"/>
      <c r="N2335" s="24" t="n"/>
      <c r="O2335" s="24" t="n"/>
      <c r="P2335" s="24" t="n"/>
      <c r="Q2335" s="22">
        <f>IF($D2335="","",IF(AND(OR(DANH_MUC!$L$5&lt;&gt;"Có",M2335="Có"),OR(DANH_MUC!$L$6&lt;&gt;"Có",N2335="Có"),OR(DANH_MUC!$L$7&lt;&gt;"Có",O2335="Có"),OR(DANH_MUC!$L$8&lt;&gt;"Có",P2335="Có")),"Có","Không"))</f>
        <v/>
      </c>
      <c r="R2335" s="22">
        <f>IF($D2335="","",IF(COUNTIF($D$2:$D2335,$D2335)&gt;1,"Trùng",""))</f>
        <v/>
      </c>
      <c r="S2335" s="22">
        <f>IF($D2335="","",IF(AND(LEN($D2335)=10,LEFT($D2335,1)="0",ISNUMBER(--$D2335)),"Có","Không"))</f>
        <v/>
      </c>
      <c r="T2335" s="22">
        <f>IF($D2335="","",IF(AND($C2335&lt;&gt;"",$Q2335="Có",$R2335="",$S2335="Có",AND($L2335&lt;&gt;"",OR($L2335&lt;&gt;"Chưa xác định",DANH_MUC!$L$9="Có"))),"Có","Không"))</f>
        <v/>
      </c>
      <c r="U2335" s="22">
        <f>IF(OR($D2335="",$T2335="Có"),"",IF($C2335="","Thiếu họ tên; ","")&amp;IF($S2335&lt;&gt;"Có","SĐT sai định dạng; ","")&amp;IF($R2335="Trùng","Trùng SĐT; ","")&amp;IF($Q2335&lt;&gt;"Có","Thiếu đồng ý bắt buộc; ","")&amp;IF($L2335="","Thiếu/sai Mã REF; ",IF(AND($L2335="Chưa xác định",DANH_MUC!$L$9&lt;&gt;"Có"),"Nguồn chưa xác định; ","")))</f>
        <v/>
      </c>
      <c r="V2335" s="22">
        <f>IF(OR($D2335="",$R2335="Trùng"),"",IF(COUNTIF(ORDERS!$C$2:$C$4995,$D2335)&gt;0,"Có","Không"))</f>
        <v/>
      </c>
      <c r="W2335" s="22">
        <f>IF(OR($D2335="",$R2335="Trùng"),"",COUNTIFS(ORDERS!$C$2:$C$4995,$D2335,ORDERS!$L$2:$L$4995,"Đã chuyển khoản"))</f>
        <v/>
      </c>
      <c r="X2335" s="23">
        <f>IF(OR($D2335="",$R2335="Trùng"),"",SUMIFS(ORDERS!$J$2:$J$4995,ORDERS!$C$2:$C$4995,$D2335,ORDERS!$L$2:$L$4995,"Đã chuyển khoản"))</f>
        <v/>
      </c>
      <c r="Y2335" s="24" t="n"/>
    </row>
    <row r="2336" ht="14.25" customHeight="1" s="40">
      <c r="A2336" s="24" t="n"/>
      <c r="B2336" s="27" t="n"/>
      <c r="C2336" s="24" t="n"/>
      <c r="D2336" s="28" t="n"/>
      <c r="E2336" s="29" t="n"/>
      <c r="F2336" s="24" t="n"/>
      <c r="G2336" s="24" t="n"/>
      <c r="H2336" s="21">
        <f>IF(ISNUMBER($B2336),INT($B2336)-WEEKDAY($B2336,2)+1,"")</f>
        <v/>
      </c>
      <c r="I2336" s="24" t="n"/>
      <c r="J2336" s="22">
        <f t="array" ref="J2336">IF($D2336="","",IF($I2336="","(trống REF)",IFERROR(INDEX(MASTER_SOURCE!$B$2:$B$495,MATCH($I2336,MASTER_SOURCE!$A$2:$A$495,0)),"(REF không có trong MASTER_SOURCE)")))</f>
        <v/>
      </c>
      <c r="K2336" s="22">
        <f t="array" ref="K2336">IF($D2336="","",IFERROR(INDEX(MASTER_SOURCE!$C$2:$C$495,MATCH($I2336,MASTER_SOURCE!$A$2:$A$495,0)),""))</f>
        <v/>
      </c>
      <c r="L2336" s="22">
        <f t="array" ref="L2336">IF($D2336="","",IFERROR(INDEX(MASTER_SOURCE!$D$2:$D$495,MATCH($I2336,MASTER_SOURCE!$A$2:$A$495,0)),""))</f>
        <v/>
      </c>
      <c r="M2336" s="24" t="n"/>
      <c r="N2336" s="24" t="n"/>
      <c r="O2336" s="24" t="n"/>
      <c r="P2336" s="24" t="n"/>
      <c r="Q2336" s="22">
        <f>IF($D2336="","",IF(AND(OR(DANH_MUC!$L$5&lt;&gt;"Có",M2336="Có"),OR(DANH_MUC!$L$6&lt;&gt;"Có",N2336="Có"),OR(DANH_MUC!$L$7&lt;&gt;"Có",O2336="Có"),OR(DANH_MUC!$L$8&lt;&gt;"Có",P2336="Có")),"Có","Không"))</f>
        <v/>
      </c>
      <c r="R2336" s="22">
        <f>IF($D2336="","",IF(COUNTIF($D$2:$D2336,$D2336)&gt;1,"Trùng",""))</f>
        <v/>
      </c>
      <c r="S2336" s="22">
        <f>IF($D2336="","",IF(AND(LEN($D2336)=10,LEFT($D2336,1)="0",ISNUMBER(--$D2336)),"Có","Không"))</f>
        <v/>
      </c>
      <c r="T2336" s="22">
        <f>IF($D2336="","",IF(AND($C2336&lt;&gt;"",$Q2336="Có",$R2336="",$S2336="Có",AND($L2336&lt;&gt;"",OR($L2336&lt;&gt;"Chưa xác định",DANH_MUC!$L$9="Có"))),"Có","Không"))</f>
        <v/>
      </c>
      <c r="U2336" s="22">
        <f>IF(OR($D2336="",$T2336="Có"),"",IF($C2336="","Thiếu họ tên; ","")&amp;IF($S2336&lt;&gt;"Có","SĐT sai định dạng; ","")&amp;IF($R2336="Trùng","Trùng SĐT; ","")&amp;IF($Q2336&lt;&gt;"Có","Thiếu đồng ý bắt buộc; ","")&amp;IF($L2336="","Thiếu/sai Mã REF; ",IF(AND($L2336="Chưa xác định",DANH_MUC!$L$9&lt;&gt;"Có"),"Nguồn chưa xác định; ","")))</f>
        <v/>
      </c>
      <c r="V2336" s="22">
        <f>IF(OR($D2336="",$R2336="Trùng"),"",IF(COUNTIF(ORDERS!$C$2:$C$4995,$D2336)&gt;0,"Có","Không"))</f>
        <v/>
      </c>
      <c r="W2336" s="22">
        <f>IF(OR($D2336="",$R2336="Trùng"),"",COUNTIFS(ORDERS!$C$2:$C$4995,$D2336,ORDERS!$L$2:$L$4995,"Đã chuyển khoản"))</f>
        <v/>
      </c>
      <c r="X2336" s="23">
        <f>IF(OR($D2336="",$R2336="Trùng"),"",SUMIFS(ORDERS!$J$2:$J$4995,ORDERS!$C$2:$C$4995,$D2336,ORDERS!$L$2:$L$4995,"Đã chuyển khoản"))</f>
        <v/>
      </c>
      <c r="Y2336" s="24" t="n"/>
    </row>
    <row r="2337" ht="14.25" customHeight="1" s="40">
      <c r="A2337" s="24" t="n"/>
      <c r="B2337" s="27" t="n"/>
      <c r="C2337" s="24" t="n"/>
      <c r="D2337" s="28" t="n"/>
      <c r="E2337" s="29" t="n"/>
      <c r="F2337" s="24" t="n"/>
      <c r="G2337" s="24" t="n"/>
      <c r="H2337" s="21">
        <f>IF(ISNUMBER($B2337),INT($B2337)-WEEKDAY($B2337,2)+1,"")</f>
        <v/>
      </c>
      <c r="I2337" s="24" t="n"/>
      <c r="J2337" s="22">
        <f t="array" ref="J2337">IF($D2337="","",IF($I2337="","(trống REF)",IFERROR(INDEX(MASTER_SOURCE!$B$2:$B$495,MATCH($I2337,MASTER_SOURCE!$A$2:$A$495,0)),"(REF không có trong MASTER_SOURCE)")))</f>
        <v/>
      </c>
      <c r="K2337" s="22">
        <f t="array" ref="K2337">IF($D2337="","",IFERROR(INDEX(MASTER_SOURCE!$C$2:$C$495,MATCH($I2337,MASTER_SOURCE!$A$2:$A$495,0)),""))</f>
        <v/>
      </c>
      <c r="L2337" s="22">
        <f t="array" ref="L2337">IF($D2337="","",IFERROR(INDEX(MASTER_SOURCE!$D$2:$D$495,MATCH($I2337,MASTER_SOURCE!$A$2:$A$495,0)),""))</f>
        <v/>
      </c>
      <c r="M2337" s="24" t="n"/>
      <c r="N2337" s="24" t="n"/>
      <c r="O2337" s="24" t="n"/>
      <c r="P2337" s="24" t="n"/>
      <c r="Q2337" s="22">
        <f>IF($D2337="","",IF(AND(OR(DANH_MUC!$L$5&lt;&gt;"Có",M2337="Có"),OR(DANH_MUC!$L$6&lt;&gt;"Có",N2337="Có"),OR(DANH_MUC!$L$7&lt;&gt;"Có",O2337="Có"),OR(DANH_MUC!$L$8&lt;&gt;"Có",P2337="Có")),"Có","Không"))</f>
        <v/>
      </c>
      <c r="R2337" s="22">
        <f>IF($D2337="","",IF(COUNTIF($D$2:$D2337,$D2337)&gt;1,"Trùng",""))</f>
        <v/>
      </c>
      <c r="S2337" s="22">
        <f>IF($D2337="","",IF(AND(LEN($D2337)=10,LEFT($D2337,1)="0",ISNUMBER(--$D2337)),"Có","Không"))</f>
        <v/>
      </c>
      <c r="T2337" s="22">
        <f>IF($D2337="","",IF(AND($C2337&lt;&gt;"",$Q2337="Có",$R2337="",$S2337="Có",AND($L2337&lt;&gt;"",OR($L2337&lt;&gt;"Chưa xác định",DANH_MUC!$L$9="Có"))),"Có","Không"))</f>
        <v/>
      </c>
      <c r="U2337" s="22">
        <f>IF(OR($D2337="",$T2337="Có"),"",IF($C2337="","Thiếu họ tên; ","")&amp;IF($S2337&lt;&gt;"Có","SĐT sai định dạng; ","")&amp;IF($R2337="Trùng","Trùng SĐT; ","")&amp;IF($Q2337&lt;&gt;"Có","Thiếu đồng ý bắt buộc; ","")&amp;IF($L2337="","Thiếu/sai Mã REF; ",IF(AND($L2337="Chưa xác định",DANH_MUC!$L$9&lt;&gt;"Có"),"Nguồn chưa xác định; ","")))</f>
        <v/>
      </c>
      <c r="V2337" s="22">
        <f>IF(OR($D2337="",$R2337="Trùng"),"",IF(COUNTIF(ORDERS!$C$2:$C$4995,$D2337)&gt;0,"Có","Không"))</f>
        <v/>
      </c>
      <c r="W2337" s="22">
        <f>IF(OR($D2337="",$R2337="Trùng"),"",COUNTIFS(ORDERS!$C$2:$C$4995,$D2337,ORDERS!$L$2:$L$4995,"Đã chuyển khoản"))</f>
        <v/>
      </c>
      <c r="X2337" s="23">
        <f>IF(OR($D2337="",$R2337="Trùng"),"",SUMIFS(ORDERS!$J$2:$J$4995,ORDERS!$C$2:$C$4995,$D2337,ORDERS!$L$2:$L$4995,"Đã chuyển khoản"))</f>
        <v/>
      </c>
      <c r="Y2337" s="24" t="n"/>
    </row>
    <row r="2338" ht="14.25" customHeight="1" s="40">
      <c r="A2338" s="24" t="n"/>
      <c r="B2338" s="27" t="n"/>
      <c r="C2338" s="24" t="n"/>
      <c r="D2338" s="28" t="n"/>
      <c r="E2338" s="29" t="n"/>
      <c r="F2338" s="24" t="n"/>
      <c r="G2338" s="24" t="n"/>
      <c r="H2338" s="21">
        <f>IF(ISNUMBER($B2338),INT($B2338)-WEEKDAY($B2338,2)+1,"")</f>
        <v/>
      </c>
      <c r="I2338" s="24" t="n"/>
      <c r="J2338" s="22">
        <f t="array" ref="J2338">IF($D2338="","",IF($I2338="","(trống REF)",IFERROR(INDEX(MASTER_SOURCE!$B$2:$B$495,MATCH($I2338,MASTER_SOURCE!$A$2:$A$495,0)),"(REF không có trong MASTER_SOURCE)")))</f>
        <v/>
      </c>
      <c r="K2338" s="22">
        <f t="array" ref="K2338">IF($D2338="","",IFERROR(INDEX(MASTER_SOURCE!$C$2:$C$495,MATCH($I2338,MASTER_SOURCE!$A$2:$A$495,0)),""))</f>
        <v/>
      </c>
      <c r="L2338" s="22">
        <f t="array" ref="L2338">IF($D2338="","",IFERROR(INDEX(MASTER_SOURCE!$D$2:$D$495,MATCH($I2338,MASTER_SOURCE!$A$2:$A$495,0)),""))</f>
        <v/>
      </c>
      <c r="M2338" s="24" t="n"/>
      <c r="N2338" s="24" t="n"/>
      <c r="O2338" s="24" t="n"/>
      <c r="P2338" s="24" t="n"/>
      <c r="Q2338" s="22">
        <f>IF($D2338="","",IF(AND(OR(DANH_MUC!$L$5&lt;&gt;"Có",M2338="Có"),OR(DANH_MUC!$L$6&lt;&gt;"Có",N2338="Có"),OR(DANH_MUC!$L$7&lt;&gt;"Có",O2338="Có"),OR(DANH_MUC!$L$8&lt;&gt;"Có",P2338="Có")),"Có","Không"))</f>
        <v/>
      </c>
      <c r="R2338" s="22">
        <f>IF($D2338="","",IF(COUNTIF($D$2:$D2338,$D2338)&gt;1,"Trùng",""))</f>
        <v/>
      </c>
      <c r="S2338" s="22">
        <f>IF($D2338="","",IF(AND(LEN($D2338)=10,LEFT($D2338,1)="0",ISNUMBER(--$D2338)),"Có","Không"))</f>
        <v/>
      </c>
      <c r="T2338" s="22">
        <f>IF($D2338="","",IF(AND($C2338&lt;&gt;"",$Q2338="Có",$R2338="",$S2338="Có",AND($L2338&lt;&gt;"",OR($L2338&lt;&gt;"Chưa xác định",DANH_MUC!$L$9="Có"))),"Có","Không"))</f>
        <v/>
      </c>
      <c r="U2338" s="22">
        <f>IF(OR($D2338="",$T2338="Có"),"",IF($C2338="","Thiếu họ tên; ","")&amp;IF($S2338&lt;&gt;"Có","SĐT sai định dạng; ","")&amp;IF($R2338="Trùng","Trùng SĐT; ","")&amp;IF($Q2338&lt;&gt;"Có","Thiếu đồng ý bắt buộc; ","")&amp;IF($L2338="","Thiếu/sai Mã REF; ",IF(AND($L2338="Chưa xác định",DANH_MUC!$L$9&lt;&gt;"Có"),"Nguồn chưa xác định; ","")))</f>
        <v/>
      </c>
      <c r="V2338" s="22">
        <f>IF(OR($D2338="",$R2338="Trùng"),"",IF(COUNTIF(ORDERS!$C$2:$C$4995,$D2338)&gt;0,"Có","Không"))</f>
        <v/>
      </c>
      <c r="W2338" s="22">
        <f>IF(OR($D2338="",$R2338="Trùng"),"",COUNTIFS(ORDERS!$C$2:$C$4995,$D2338,ORDERS!$L$2:$L$4995,"Đã chuyển khoản"))</f>
        <v/>
      </c>
      <c r="X2338" s="23">
        <f>IF(OR($D2338="",$R2338="Trùng"),"",SUMIFS(ORDERS!$J$2:$J$4995,ORDERS!$C$2:$C$4995,$D2338,ORDERS!$L$2:$L$4995,"Đã chuyển khoản"))</f>
        <v/>
      </c>
      <c r="Y2338" s="24" t="n"/>
    </row>
    <row r="2339" ht="14.25" customHeight="1" s="40">
      <c r="A2339" s="24" t="n"/>
      <c r="B2339" s="27" t="n"/>
      <c r="C2339" s="24" t="n"/>
      <c r="D2339" s="28" t="n"/>
      <c r="E2339" s="29" t="n"/>
      <c r="F2339" s="24" t="n"/>
      <c r="G2339" s="24" t="n"/>
      <c r="H2339" s="21">
        <f>IF(ISNUMBER($B2339),INT($B2339)-WEEKDAY($B2339,2)+1,"")</f>
        <v/>
      </c>
      <c r="I2339" s="24" t="n"/>
      <c r="J2339" s="22">
        <f t="array" ref="J2339">IF($D2339="","",IF($I2339="","(trống REF)",IFERROR(INDEX(MASTER_SOURCE!$B$2:$B$495,MATCH($I2339,MASTER_SOURCE!$A$2:$A$495,0)),"(REF không có trong MASTER_SOURCE)")))</f>
        <v/>
      </c>
      <c r="K2339" s="22">
        <f t="array" ref="K2339">IF($D2339="","",IFERROR(INDEX(MASTER_SOURCE!$C$2:$C$495,MATCH($I2339,MASTER_SOURCE!$A$2:$A$495,0)),""))</f>
        <v/>
      </c>
      <c r="L2339" s="22">
        <f t="array" ref="L2339">IF($D2339="","",IFERROR(INDEX(MASTER_SOURCE!$D$2:$D$495,MATCH($I2339,MASTER_SOURCE!$A$2:$A$495,0)),""))</f>
        <v/>
      </c>
      <c r="M2339" s="24" t="n"/>
      <c r="N2339" s="24" t="n"/>
      <c r="O2339" s="24" t="n"/>
      <c r="P2339" s="24" t="n"/>
      <c r="Q2339" s="22">
        <f>IF($D2339="","",IF(AND(OR(DANH_MUC!$L$5&lt;&gt;"Có",M2339="Có"),OR(DANH_MUC!$L$6&lt;&gt;"Có",N2339="Có"),OR(DANH_MUC!$L$7&lt;&gt;"Có",O2339="Có"),OR(DANH_MUC!$L$8&lt;&gt;"Có",P2339="Có")),"Có","Không"))</f>
        <v/>
      </c>
      <c r="R2339" s="22">
        <f>IF($D2339="","",IF(COUNTIF($D$2:$D2339,$D2339)&gt;1,"Trùng",""))</f>
        <v/>
      </c>
      <c r="S2339" s="22">
        <f>IF($D2339="","",IF(AND(LEN($D2339)=10,LEFT($D2339,1)="0",ISNUMBER(--$D2339)),"Có","Không"))</f>
        <v/>
      </c>
      <c r="T2339" s="22">
        <f>IF($D2339="","",IF(AND($C2339&lt;&gt;"",$Q2339="Có",$R2339="",$S2339="Có",AND($L2339&lt;&gt;"",OR($L2339&lt;&gt;"Chưa xác định",DANH_MUC!$L$9="Có"))),"Có","Không"))</f>
        <v/>
      </c>
      <c r="U2339" s="22">
        <f>IF(OR($D2339="",$T2339="Có"),"",IF($C2339="","Thiếu họ tên; ","")&amp;IF($S2339&lt;&gt;"Có","SĐT sai định dạng; ","")&amp;IF($R2339="Trùng","Trùng SĐT; ","")&amp;IF($Q2339&lt;&gt;"Có","Thiếu đồng ý bắt buộc; ","")&amp;IF($L2339="","Thiếu/sai Mã REF; ",IF(AND($L2339="Chưa xác định",DANH_MUC!$L$9&lt;&gt;"Có"),"Nguồn chưa xác định; ","")))</f>
        <v/>
      </c>
      <c r="V2339" s="22">
        <f>IF(OR($D2339="",$R2339="Trùng"),"",IF(COUNTIF(ORDERS!$C$2:$C$4995,$D2339)&gt;0,"Có","Không"))</f>
        <v/>
      </c>
      <c r="W2339" s="22">
        <f>IF(OR($D2339="",$R2339="Trùng"),"",COUNTIFS(ORDERS!$C$2:$C$4995,$D2339,ORDERS!$L$2:$L$4995,"Đã chuyển khoản"))</f>
        <v/>
      </c>
      <c r="X2339" s="23">
        <f>IF(OR($D2339="",$R2339="Trùng"),"",SUMIFS(ORDERS!$J$2:$J$4995,ORDERS!$C$2:$C$4995,$D2339,ORDERS!$L$2:$L$4995,"Đã chuyển khoản"))</f>
        <v/>
      </c>
      <c r="Y2339" s="24" t="n"/>
    </row>
    <row r="2340" ht="14.25" customHeight="1" s="40">
      <c r="A2340" s="24" t="n"/>
      <c r="B2340" s="27" t="n"/>
      <c r="C2340" s="24" t="n"/>
      <c r="D2340" s="28" t="n"/>
      <c r="E2340" s="29" t="n"/>
      <c r="F2340" s="24" t="n"/>
      <c r="G2340" s="24" t="n"/>
      <c r="H2340" s="21">
        <f>IF(ISNUMBER($B2340),INT($B2340)-WEEKDAY($B2340,2)+1,"")</f>
        <v/>
      </c>
      <c r="I2340" s="24" t="n"/>
      <c r="J2340" s="22">
        <f t="array" ref="J2340">IF($D2340="","",IF($I2340="","(trống REF)",IFERROR(INDEX(MASTER_SOURCE!$B$2:$B$495,MATCH($I2340,MASTER_SOURCE!$A$2:$A$495,0)),"(REF không có trong MASTER_SOURCE)")))</f>
        <v/>
      </c>
      <c r="K2340" s="22">
        <f t="array" ref="K2340">IF($D2340="","",IFERROR(INDEX(MASTER_SOURCE!$C$2:$C$495,MATCH($I2340,MASTER_SOURCE!$A$2:$A$495,0)),""))</f>
        <v/>
      </c>
      <c r="L2340" s="22">
        <f t="array" ref="L2340">IF($D2340="","",IFERROR(INDEX(MASTER_SOURCE!$D$2:$D$495,MATCH($I2340,MASTER_SOURCE!$A$2:$A$495,0)),""))</f>
        <v/>
      </c>
      <c r="M2340" s="24" t="n"/>
      <c r="N2340" s="24" t="n"/>
      <c r="O2340" s="24" t="n"/>
      <c r="P2340" s="24" t="n"/>
      <c r="Q2340" s="22">
        <f>IF($D2340="","",IF(AND(OR(DANH_MUC!$L$5&lt;&gt;"Có",M2340="Có"),OR(DANH_MUC!$L$6&lt;&gt;"Có",N2340="Có"),OR(DANH_MUC!$L$7&lt;&gt;"Có",O2340="Có"),OR(DANH_MUC!$L$8&lt;&gt;"Có",P2340="Có")),"Có","Không"))</f>
        <v/>
      </c>
      <c r="R2340" s="22">
        <f>IF($D2340="","",IF(COUNTIF($D$2:$D2340,$D2340)&gt;1,"Trùng",""))</f>
        <v/>
      </c>
      <c r="S2340" s="22">
        <f>IF($D2340="","",IF(AND(LEN($D2340)=10,LEFT($D2340,1)="0",ISNUMBER(--$D2340)),"Có","Không"))</f>
        <v/>
      </c>
      <c r="T2340" s="22">
        <f>IF($D2340="","",IF(AND($C2340&lt;&gt;"",$Q2340="Có",$R2340="",$S2340="Có",AND($L2340&lt;&gt;"",OR($L2340&lt;&gt;"Chưa xác định",DANH_MUC!$L$9="Có"))),"Có","Không"))</f>
        <v/>
      </c>
      <c r="U2340" s="22">
        <f>IF(OR($D2340="",$T2340="Có"),"",IF($C2340="","Thiếu họ tên; ","")&amp;IF($S2340&lt;&gt;"Có","SĐT sai định dạng; ","")&amp;IF($R2340="Trùng","Trùng SĐT; ","")&amp;IF($Q2340&lt;&gt;"Có","Thiếu đồng ý bắt buộc; ","")&amp;IF($L2340="","Thiếu/sai Mã REF; ",IF(AND($L2340="Chưa xác định",DANH_MUC!$L$9&lt;&gt;"Có"),"Nguồn chưa xác định; ","")))</f>
        <v/>
      </c>
      <c r="V2340" s="22">
        <f>IF(OR($D2340="",$R2340="Trùng"),"",IF(COUNTIF(ORDERS!$C$2:$C$4995,$D2340)&gt;0,"Có","Không"))</f>
        <v/>
      </c>
      <c r="W2340" s="22">
        <f>IF(OR($D2340="",$R2340="Trùng"),"",COUNTIFS(ORDERS!$C$2:$C$4995,$D2340,ORDERS!$L$2:$L$4995,"Đã chuyển khoản"))</f>
        <v/>
      </c>
      <c r="X2340" s="23">
        <f>IF(OR($D2340="",$R2340="Trùng"),"",SUMIFS(ORDERS!$J$2:$J$4995,ORDERS!$C$2:$C$4995,$D2340,ORDERS!$L$2:$L$4995,"Đã chuyển khoản"))</f>
        <v/>
      </c>
      <c r="Y2340" s="24" t="n"/>
    </row>
    <row r="2341" ht="14.25" customHeight="1" s="40">
      <c r="A2341" s="24" t="n"/>
      <c r="B2341" s="27" t="n"/>
      <c r="C2341" s="24" t="n"/>
      <c r="D2341" s="28" t="n"/>
      <c r="E2341" s="29" t="n"/>
      <c r="F2341" s="24" t="n"/>
      <c r="G2341" s="24" t="n"/>
      <c r="H2341" s="21">
        <f>IF(ISNUMBER($B2341),INT($B2341)-WEEKDAY($B2341,2)+1,"")</f>
        <v/>
      </c>
      <c r="I2341" s="24" t="n"/>
      <c r="J2341" s="22">
        <f t="array" ref="J2341">IF($D2341="","",IF($I2341="","(trống REF)",IFERROR(INDEX(MASTER_SOURCE!$B$2:$B$495,MATCH($I2341,MASTER_SOURCE!$A$2:$A$495,0)),"(REF không có trong MASTER_SOURCE)")))</f>
        <v/>
      </c>
      <c r="K2341" s="22">
        <f t="array" ref="K2341">IF($D2341="","",IFERROR(INDEX(MASTER_SOURCE!$C$2:$C$495,MATCH($I2341,MASTER_SOURCE!$A$2:$A$495,0)),""))</f>
        <v/>
      </c>
      <c r="L2341" s="22">
        <f t="array" ref="L2341">IF($D2341="","",IFERROR(INDEX(MASTER_SOURCE!$D$2:$D$495,MATCH($I2341,MASTER_SOURCE!$A$2:$A$495,0)),""))</f>
        <v/>
      </c>
      <c r="M2341" s="24" t="n"/>
      <c r="N2341" s="24" t="n"/>
      <c r="O2341" s="24" t="n"/>
      <c r="P2341" s="24" t="n"/>
      <c r="Q2341" s="22">
        <f>IF($D2341="","",IF(AND(OR(DANH_MUC!$L$5&lt;&gt;"Có",M2341="Có"),OR(DANH_MUC!$L$6&lt;&gt;"Có",N2341="Có"),OR(DANH_MUC!$L$7&lt;&gt;"Có",O2341="Có"),OR(DANH_MUC!$L$8&lt;&gt;"Có",P2341="Có")),"Có","Không"))</f>
        <v/>
      </c>
      <c r="R2341" s="22">
        <f>IF($D2341="","",IF(COUNTIF($D$2:$D2341,$D2341)&gt;1,"Trùng",""))</f>
        <v/>
      </c>
      <c r="S2341" s="22">
        <f>IF($D2341="","",IF(AND(LEN($D2341)=10,LEFT($D2341,1)="0",ISNUMBER(--$D2341)),"Có","Không"))</f>
        <v/>
      </c>
      <c r="T2341" s="22">
        <f>IF($D2341="","",IF(AND($C2341&lt;&gt;"",$Q2341="Có",$R2341="",$S2341="Có",AND($L2341&lt;&gt;"",OR($L2341&lt;&gt;"Chưa xác định",DANH_MUC!$L$9="Có"))),"Có","Không"))</f>
        <v/>
      </c>
      <c r="U2341" s="22">
        <f>IF(OR($D2341="",$T2341="Có"),"",IF($C2341="","Thiếu họ tên; ","")&amp;IF($S2341&lt;&gt;"Có","SĐT sai định dạng; ","")&amp;IF($R2341="Trùng","Trùng SĐT; ","")&amp;IF($Q2341&lt;&gt;"Có","Thiếu đồng ý bắt buộc; ","")&amp;IF($L2341="","Thiếu/sai Mã REF; ",IF(AND($L2341="Chưa xác định",DANH_MUC!$L$9&lt;&gt;"Có"),"Nguồn chưa xác định; ","")))</f>
        <v/>
      </c>
      <c r="V2341" s="22">
        <f>IF(OR($D2341="",$R2341="Trùng"),"",IF(COUNTIF(ORDERS!$C$2:$C$4995,$D2341)&gt;0,"Có","Không"))</f>
        <v/>
      </c>
      <c r="W2341" s="22">
        <f>IF(OR($D2341="",$R2341="Trùng"),"",COUNTIFS(ORDERS!$C$2:$C$4995,$D2341,ORDERS!$L$2:$L$4995,"Đã chuyển khoản"))</f>
        <v/>
      </c>
      <c r="X2341" s="23">
        <f>IF(OR($D2341="",$R2341="Trùng"),"",SUMIFS(ORDERS!$J$2:$J$4995,ORDERS!$C$2:$C$4995,$D2341,ORDERS!$L$2:$L$4995,"Đã chuyển khoản"))</f>
        <v/>
      </c>
      <c r="Y2341" s="24" t="n"/>
    </row>
    <row r="2342" ht="14.25" customHeight="1" s="40">
      <c r="A2342" s="24" t="n"/>
      <c r="B2342" s="27" t="n"/>
      <c r="C2342" s="24" t="n"/>
      <c r="D2342" s="28" t="n"/>
      <c r="E2342" s="29" t="n"/>
      <c r="F2342" s="24" t="n"/>
      <c r="G2342" s="24" t="n"/>
      <c r="H2342" s="21">
        <f>IF(ISNUMBER($B2342),INT($B2342)-WEEKDAY($B2342,2)+1,"")</f>
        <v/>
      </c>
      <c r="I2342" s="24" t="n"/>
      <c r="J2342" s="22">
        <f t="array" ref="J2342">IF($D2342="","",IF($I2342="","(trống REF)",IFERROR(INDEX(MASTER_SOURCE!$B$2:$B$495,MATCH($I2342,MASTER_SOURCE!$A$2:$A$495,0)),"(REF không có trong MASTER_SOURCE)")))</f>
        <v/>
      </c>
      <c r="K2342" s="22">
        <f t="array" ref="K2342">IF($D2342="","",IFERROR(INDEX(MASTER_SOURCE!$C$2:$C$495,MATCH($I2342,MASTER_SOURCE!$A$2:$A$495,0)),""))</f>
        <v/>
      </c>
      <c r="L2342" s="22">
        <f t="array" ref="L2342">IF($D2342="","",IFERROR(INDEX(MASTER_SOURCE!$D$2:$D$495,MATCH($I2342,MASTER_SOURCE!$A$2:$A$495,0)),""))</f>
        <v/>
      </c>
      <c r="M2342" s="24" t="n"/>
      <c r="N2342" s="24" t="n"/>
      <c r="O2342" s="24" t="n"/>
      <c r="P2342" s="24" t="n"/>
      <c r="Q2342" s="22">
        <f>IF($D2342="","",IF(AND(OR(DANH_MUC!$L$5&lt;&gt;"Có",M2342="Có"),OR(DANH_MUC!$L$6&lt;&gt;"Có",N2342="Có"),OR(DANH_MUC!$L$7&lt;&gt;"Có",O2342="Có"),OR(DANH_MUC!$L$8&lt;&gt;"Có",P2342="Có")),"Có","Không"))</f>
        <v/>
      </c>
      <c r="R2342" s="22">
        <f>IF($D2342="","",IF(COUNTIF($D$2:$D2342,$D2342)&gt;1,"Trùng",""))</f>
        <v/>
      </c>
      <c r="S2342" s="22">
        <f>IF($D2342="","",IF(AND(LEN($D2342)=10,LEFT($D2342,1)="0",ISNUMBER(--$D2342)),"Có","Không"))</f>
        <v/>
      </c>
      <c r="T2342" s="22">
        <f>IF($D2342="","",IF(AND($C2342&lt;&gt;"",$Q2342="Có",$R2342="",$S2342="Có",AND($L2342&lt;&gt;"",OR($L2342&lt;&gt;"Chưa xác định",DANH_MUC!$L$9="Có"))),"Có","Không"))</f>
        <v/>
      </c>
      <c r="U2342" s="22">
        <f>IF(OR($D2342="",$T2342="Có"),"",IF($C2342="","Thiếu họ tên; ","")&amp;IF($S2342&lt;&gt;"Có","SĐT sai định dạng; ","")&amp;IF($R2342="Trùng","Trùng SĐT; ","")&amp;IF($Q2342&lt;&gt;"Có","Thiếu đồng ý bắt buộc; ","")&amp;IF($L2342="","Thiếu/sai Mã REF; ",IF(AND($L2342="Chưa xác định",DANH_MUC!$L$9&lt;&gt;"Có"),"Nguồn chưa xác định; ","")))</f>
        <v/>
      </c>
      <c r="V2342" s="22">
        <f>IF(OR($D2342="",$R2342="Trùng"),"",IF(COUNTIF(ORDERS!$C$2:$C$4995,$D2342)&gt;0,"Có","Không"))</f>
        <v/>
      </c>
      <c r="W2342" s="22">
        <f>IF(OR($D2342="",$R2342="Trùng"),"",COUNTIFS(ORDERS!$C$2:$C$4995,$D2342,ORDERS!$L$2:$L$4995,"Đã chuyển khoản"))</f>
        <v/>
      </c>
      <c r="X2342" s="23">
        <f>IF(OR($D2342="",$R2342="Trùng"),"",SUMIFS(ORDERS!$J$2:$J$4995,ORDERS!$C$2:$C$4995,$D2342,ORDERS!$L$2:$L$4995,"Đã chuyển khoản"))</f>
        <v/>
      </c>
      <c r="Y2342" s="24" t="n"/>
    </row>
    <row r="2343" ht="14.25" customHeight="1" s="40">
      <c r="A2343" s="24" t="n"/>
      <c r="B2343" s="27" t="n"/>
      <c r="C2343" s="24" t="n"/>
      <c r="D2343" s="28" t="n"/>
      <c r="E2343" s="29" t="n"/>
      <c r="F2343" s="24" t="n"/>
      <c r="G2343" s="24" t="n"/>
      <c r="H2343" s="21">
        <f>IF(ISNUMBER($B2343),INT($B2343)-WEEKDAY($B2343,2)+1,"")</f>
        <v/>
      </c>
      <c r="I2343" s="24" t="n"/>
      <c r="J2343" s="22">
        <f t="array" ref="J2343">IF($D2343="","",IF($I2343="","(trống REF)",IFERROR(INDEX(MASTER_SOURCE!$B$2:$B$495,MATCH($I2343,MASTER_SOURCE!$A$2:$A$495,0)),"(REF không có trong MASTER_SOURCE)")))</f>
        <v/>
      </c>
      <c r="K2343" s="22">
        <f t="array" ref="K2343">IF($D2343="","",IFERROR(INDEX(MASTER_SOURCE!$C$2:$C$495,MATCH($I2343,MASTER_SOURCE!$A$2:$A$495,0)),""))</f>
        <v/>
      </c>
      <c r="L2343" s="22">
        <f t="array" ref="L2343">IF($D2343="","",IFERROR(INDEX(MASTER_SOURCE!$D$2:$D$495,MATCH($I2343,MASTER_SOURCE!$A$2:$A$495,0)),""))</f>
        <v/>
      </c>
      <c r="M2343" s="24" t="n"/>
      <c r="N2343" s="24" t="n"/>
      <c r="O2343" s="24" t="n"/>
      <c r="P2343" s="24" t="n"/>
      <c r="Q2343" s="22">
        <f>IF($D2343="","",IF(AND(OR(DANH_MUC!$L$5&lt;&gt;"Có",M2343="Có"),OR(DANH_MUC!$L$6&lt;&gt;"Có",N2343="Có"),OR(DANH_MUC!$L$7&lt;&gt;"Có",O2343="Có"),OR(DANH_MUC!$L$8&lt;&gt;"Có",P2343="Có")),"Có","Không"))</f>
        <v/>
      </c>
      <c r="R2343" s="22">
        <f>IF($D2343="","",IF(COUNTIF($D$2:$D2343,$D2343)&gt;1,"Trùng",""))</f>
        <v/>
      </c>
      <c r="S2343" s="22">
        <f>IF($D2343="","",IF(AND(LEN($D2343)=10,LEFT($D2343,1)="0",ISNUMBER(--$D2343)),"Có","Không"))</f>
        <v/>
      </c>
      <c r="T2343" s="22">
        <f>IF($D2343="","",IF(AND($C2343&lt;&gt;"",$Q2343="Có",$R2343="",$S2343="Có",AND($L2343&lt;&gt;"",OR($L2343&lt;&gt;"Chưa xác định",DANH_MUC!$L$9="Có"))),"Có","Không"))</f>
        <v/>
      </c>
      <c r="U2343" s="22">
        <f>IF(OR($D2343="",$T2343="Có"),"",IF($C2343="","Thiếu họ tên; ","")&amp;IF($S2343&lt;&gt;"Có","SĐT sai định dạng; ","")&amp;IF($R2343="Trùng","Trùng SĐT; ","")&amp;IF($Q2343&lt;&gt;"Có","Thiếu đồng ý bắt buộc; ","")&amp;IF($L2343="","Thiếu/sai Mã REF; ",IF(AND($L2343="Chưa xác định",DANH_MUC!$L$9&lt;&gt;"Có"),"Nguồn chưa xác định; ","")))</f>
        <v/>
      </c>
      <c r="V2343" s="22">
        <f>IF(OR($D2343="",$R2343="Trùng"),"",IF(COUNTIF(ORDERS!$C$2:$C$4995,$D2343)&gt;0,"Có","Không"))</f>
        <v/>
      </c>
      <c r="W2343" s="22">
        <f>IF(OR($D2343="",$R2343="Trùng"),"",COUNTIFS(ORDERS!$C$2:$C$4995,$D2343,ORDERS!$L$2:$L$4995,"Đã chuyển khoản"))</f>
        <v/>
      </c>
      <c r="X2343" s="23">
        <f>IF(OR($D2343="",$R2343="Trùng"),"",SUMIFS(ORDERS!$J$2:$J$4995,ORDERS!$C$2:$C$4995,$D2343,ORDERS!$L$2:$L$4995,"Đã chuyển khoản"))</f>
        <v/>
      </c>
      <c r="Y2343" s="24" t="n"/>
    </row>
    <row r="2344" ht="14.25" customHeight="1" s="40">
      <c r="A2344" s="24" t="n"/>
      <c r="B2344" s="27" t="n"/>
      <c r="C2344" s="24" t="n"/>
      <c r="D2344" s="28" t="n"/>
      <c r="E2344" s="29" t="n"/>
      <c r="F2344" s="24" t="n"/>
      <c r="G2344" s="24" t="n"/>
      <c r="H2344" s="21">
        <f>IF(ISNUMBER($B2344),INT($B2344)-WEEKDAY($B2344,2)+1,"")</f>
        <v/>
      </c>
      <c r="I2344" s="24" t="n"/>
      <c r="J2344" s="22">
        <f t="array" ref="J2344">IF($D2344="","",IF($I2344="","(trống REF)",IFERROR(INDEX(MASTER_SOURCE!$B$2:$B$495,MATCH($I2344,MASTER_SOURCE!$A$2:$A$495,0)),"(REF không có trong MASTER_SOURCE)")))</f>
        <v/>
      </c>
      <c r="K2344" s="22">
        <f t="array" ref="K2344">IF($D2344="","",IFERROR(INDEX(MASTER_SOURCE!$C$2:$C$495,MATCH($I2344,MASTER_SOURCE!$A$2:$A$495,0)),""))</f>
        <v/>
      </c>
      <c r="L2344" s="22">
        <f t="array" ref="L2344">IF($D2344="","",IFERROR(INDEX(MASTER_SOURCE!$D$2:$D$495,MATCH($I2344,MASTER_SOURCE!$A$2:$A$495,0)),""))</f>
        <v/>
      </c>
      <c r="M2344" s="24" t="n"/>
      <c r="N2344" s="24" t="n"/>
      <c r="O2344" s="24" t="n"/>
      <c r="P2344" s="24" t="n"/>
      <c r="Q2344" s="22">
        <f>IF($D2344="","",IF(AND(OR(DANH_MUC!$L$5&lt;&gt;"Có",M2344="Có"),OR(DANH_MUC!$L$6&lt;&gt;"Có",N2344="Có"),OR(DANH_MUC!$L$7&lt;&gt;"Có",O2344="Có"),OR(DANH_MUC!$L$8&lt;&gt;"Có",P2344="Có")),"Có","Không"))</f>
        <v/>
      </c>
      <c r="R2344" s="22">
        <f>IF($D2344="","",IF(COUNTIF($D$2:$D2344,$D2344)&gt;1,"Trùng",""))</f>
        <v/>
      </c>
      <c r="S2344" s="22">
        <f>IF($D2344="","",IF(AND(LEN($D2344)=10,LEFT($D2344,1)="0",ISNUMBER(--$D2344)),"Có","Không"))</f>
        <v/>
      </c>
      <c r="T2344" s="22">
        <f>IF($D2344="","",IF(AND($C2344&lt;&gt;"",$Q2344="Có",$R2344="",$S2344="Có",AND($L2344&lt;&gt;"",OR($L2344&lt;&gt;"Chưa xác định",DANH_MUC!$L$9="Có"))),"Có","Không"))</f>
        <v/>
      </c>
      <c r="U2344" s="22">
        <f>IF(OR($D2344="",$T2344="Có"),"",IF($C2344="","Thiếu họ tên; ","")&amp;IF($S2344&lt;&gt;"Có","SĐT sai định dạng; ","")&amp;IF($R2344="Trùng","Trùng SĐT; ","")&amp;IF($Q2344&lt;&gt;"Có","Thiếu đồng ý bắt buộc; ","")&amp;IF($L2344="","Thiếu/sai Mã REF; ",IF(AND($L2344="Chưa xác định",DANH_MUC!$L$9&lt;&gt;"Có"),"Nguồn chưa xác định; ","")))</f>
        <v/>
      </c>
      <c r="V2344" s="22">
        <f>IF(OR($D2344="",$R2344="Trùng"),"",IF(COUNTIF(ORDERS!$C$2:$C$4995,$D2344)&gt;0,"Có","Không"))</f>
        <v/>
      </c>
      <c r="W2344" s="22">
        <f>IF(OR($D2344="",$R2344="Trùng"),"",COUNTIFS(ORDERS!$C$2:$C$4995,$D2344,ORDERS!$L$2:$L$4995,"Đã chuyển khoản"))</f>
        <v/>
      </c>
      <c r="X2344" s="23">
        <f>IF(OR($D2344="",$R2344="Trùng"),"",SUMIFS(ORDERS!$J$2:$J$4995,ORDERS!$C$2:$C$4995,$D2344,ORDERS!$L$2:$L$4995,"Đã chuyển khoản"))</f>
        <v/>
      </c>
      <c r="Y2344" s="24" t="n"/>
    </row>
    <row r="2345" ht="14.25" customHeight="1" s="40">
      <c r="A2345" s="24" t="n"/>
      <c r="B2345" s="27" t="n"/>
      <c r="C2345" s="24" t="n"/>
      <c r="D2345" s="28" t="n"/>
      <c r="E2345" s="29" t="n"/>
      <c r="F2345" s="24" t="n"/>
      <c r="G2345" s="24" t="n"/>
      <c r="H2345" s="21">
        <f>IF(ISNUMBER($B2345),INT($B2345)-WEEKDAY($B2345,2)+1,"")</f>
        <v/>
      </c>
      <c r="I2345" s="24" t="n"/>
      <c r="J2345" s="22">
        <f t="array" ref="J2345">IF($D2345="","",IF($I2345="","(trống REF)",IFERROR(INDEX(MASTER_SOURCE!$B$2:$B$495,MATCH($I2345,MASTER_SOURCE!$A$2:$A$495,0)),"(REF không có trong MASTER_SOURCE)")))</f>
        <v/>
      </c>
      <c r="K2345" s="22">
        <f t="array" ref="K2345">IF($D2345="","",IFERROR(INDEX(MASTER_SOURCE!$C$2:$C$495,MATCH($I2345,MASTER_SOURCE!$A$2:$A$495,0)),""))</f>
        <v/>
      </c>
      <c r="L2345" s="22">
        <f t="array" ref="L2345">IF($D2345="","",IFERROR(INDEX(MASTER_SOURCE!$D$2:$D$495,MATCH($I2345,MASTER_SOURCE!$A$2:$A$495,0)),""))</f>
        <v/>
      </c>
      <c r="M2345" s="24" t="n"/>
      <c r="N2345" s="24" t="n"/>
      <c r="O2345" s="24" t="n"/>
      <c r="P2345" s="24" t="n"/>
      <c r="Q2345" s="22">
        <f>IF($D2345="","",IF(AND(OR(DANH_MUC!$L$5&lt;&gt;"Có",M2345="Có"),OR(DANH_MUC!$L$6&lt;&gt;"Có",N2345="Có"),OR(DANH_MUC!$L$7&lt;&gt;"Có",O2345="Có"),OR(DANH_MUC!$L$8&lt;&gt;"Có",P2345="Có")),"Có","Không"))</f>
        <v/>
      </c>
      <c r="R2345" s="22">
        <f>IF($D2345="","",IF(COUNTIF($D$2:$D2345,$D2345)&gt;1,"Trùng",""))</f>
        <v/>
      </c>
      <c r="S2345" s="22">
        <f>IF($D2345="","",IF(AND(LEN($D2345)=10,LEFT($D2345,1)="0",ISNUMBER(--$D2345)),"Có","Không"))</f>
        <v/>
      </c>
      <c r="T2345" s="22">
        <f>IF($D2345="","",IF(AND($C2345&lt;&gt;"",$Q2345="Có",$R2345="",$S2345="Có",AND($L2345&lt;&gt;"",OR($L2345&lt;&gt;"Chưa xác định",DANH_MUC!$L$9="Có"))),"Có","Không"))</f>
        <v/>
      </c>
      <c r="U2345" s="22">
        <f>IF(OR($D2345="",$T2345="Có"),"",IF($C2345="","Thiếu họ tên; ","")&amp;IF($S2345&lt;&gt;"Có","SĐT sai định dạng; ","")&amp;IF($R2345="Trùng","Trùng SĐT; ","")&amp;IF($Q2345&lt;&gt;"Có","Thiếu đồng ý bắt buộc; ","")&amp;IF($L2345="","Thiếu/sai Mã REF; ",IF(AND($L2345="Chưa xác định",DANH_MUC!$L$9&lt;&gt;"Có"),"Nguồn chưa xác định; ","")))</f>
        <v/>
      </c>
      <c r="V2345" s="22">
        <f>IF(OR($D2345="",$R2345="Trùng"),"",IF(COUNTIF(ORDERS!$C$2:$C$4995,$D2345)&gt;0,"Có","Không"))</f>
        <v/>
      </c>
      <c r="W2345" s="22">
        <f>IF(OR($D2345="",$R2345="Trùng"),"",COUNTIFS(ORDERS!$C$2:$C$4995,$D2345,ORDERS!$L$2:$L$4995,"Đã chuyển khoản"))</f>
        <v/>
      </c>
      <c r="X2345" s="23">
        <f>IF(OR($D2345="",$R2345="Trùng"),"",SUMIFS(ORDERS!$J$2:$J$4995,ORDERS!$C$2:$C$4995,$D2345,ORDERS!$L$2:$L$4995,"Đã chuyển khoản"))</f>
        <v/>
      </c>
      <c r="Y2345" s="24" t="n"/>
    </row>
    <row r="2346" ht="14.25" customHeight="1" s="40">
      <c r="A2346" s="24" t="n"/>
      <c r="B2346" s="27" t="n"/>
      <c r="C2346" s="24" t="n"/>
      <c r="D2346" s="28" t="n"/>
      <c r="E2346" s="29" t="n"/>
      <c r="F2346" s="24" t="n"/>
      <c r="G2346" s="24" t="n"/>
      <c r="H2346" s="21">
        <f>IF(ISNUMBER($B2346),INT($B2346)-WEEKDAY($B2346,2)+1,"")</f>
        <v/>
      </c>
      <c r="I2346" s="24" t="n"/>
      <c r="J2346" s="22">
        <f t="array" ref="J2346">IF($D2346="","",IF($I2346="","(trống REF)",IFERROR(INDEX(MASTER_SOURCE!$B$2:$B$495,MATCH($I2346,MASTER_SOURCE!$A$2:$A$495,0)),"(REF không có trong MASTER_SOURCE)")))</f>
        <v/>
      </c>
      <c r="K2346" s="22">
        <f t="array" ref="K2346">IF($D2346="","",IFERROR(INDEX(MASTER_SOURCE!$C$2:$C$495,MATCH($I2346,MASTER_SOURCE!$A$2:$A$495,0)),""))</f>
        <v/>
      </c>
      <c r="L2346" s="22">
        <f t="array" ref="L2346">IF($D2346="","",IFERROR(INDEX(MASTER_SOURCE!$D$2:$D$495,MATCH($I2346,MASTER_SOURCE!$A$2:$A$495,0)),""))</f>
        <v/>
      </c>
      <c r="M2346" s="24" t="n"/>
      <c r="N2346" s="24" t="n"/>
      <c r="O2346" s="24" t="n"/>
      <c r="P2346" s="24" t="n"/>
      <c r="Q2346" s="22">
        <f>IF($D2346="","",IF(AND(OR(DANH_MUC!$L$5&lt;&gt;"Có",M2346="Có"),OR(DANH_MUC!$L$6&lt;&gt;"Có",N2346="Có"),OR(DANH_MUC!$L$7&lt;&gt;"Có",O2346="Có"),OR(DANH_MUC!$L$8&lt;&gt;"Có",P2346="Có")),"Có","Không"))</f>
        <v/>
      </c>
      <c r="R2346" s="22">
        <f>IF($D2346="","",IF(COUNTIF($D$2:$D2346,$D2346)&gt;1,"Trùng",""))</f>
        <v/>
      </c>
      <c r="S2346" s="22">
        <f>IF($D2346="","",IF(AND(LEN($D2346)=10,LEFT($D2346,1)="0",ISNUMBER(--$D2346)),"Có","Không"))</f>
        <v/>
      </c>
      <c r="T2346" s="22">
        <f>IF($D2346="","",IF(AND($C2346&lt;&gt;"",$Q2346="Có",$R2346="",$S2346="Có",AND($L2346&lt;&gt;"",OR($L2346&lt;&gt;"Chưa xác định",DANH_MUC!$L$9="Có"))),"Có","Không"))</f>
        <v/>
      </c>
      <c r="U2346" s="22">
        <f>IF(OR($D2346="",$T2346="Có"),"",IF($C2346="","Thiếu họ tên; ","")&amp;IF($S2346&lt;&gt;"Có","SĐT sai định dạng; ","")&amp;IF($R2346="Trùng","Trùng SĐT; ","")&amp;IF($Q2346&lt;&gt;"Có","Thiếu đồng ý bắt buộc; ","")&amp;IF($L2346="","Thiếu/sai Mã REF; ",IF(AND($L2346="Chưa xác định",DANH_MUC!$L$9&lt;&gt;"Có"),"Nguồn chưa xác định; ","")))</f>
        <v/>
      </c>
      <c r="V2346" s="22">
        <f>IF(OR($D2346="",$R2346="Trùng"),"",IF(COUNTIF(ORDERS!$C$2:$C$4995,$D2346)&gt;0,"Có","Không"))</f>
        <v/>
      </c>
      <c r="W2346" s="22">
        <f>IF(OR($D2346="",$R2346="Trùng"),"",COUNTIFS(ORDERS!$C$2:$C$4995,$D2346,ORDERS!$L$2:$L$4995,"Đã chuyển khoản"))</f>
        <v/>
      </c>
      <c r="X2346" s="23">
        <f>IF(OR($D2346="",$R2346="Trùng"),"",SUMIFS(ORDERS!$J$2:$J$4995,ORDERS!$C$2:$C$4995,$D2346,ORDERS!$L$2:$L$4995,"Đã chuyển khoản"))</f>
        <v/>
      </c>
      <c r="Y2346" s="24" t="n"/>
    </row>
    <row r="2347" ht="14.25" customHeight="1" s="40">
      <c r="A2347" s="24" t="n"/>
      <c r="B2347" s="27" t="n"/>
      <c r="C2347" s="24" t="n"/>
      <c r="D2347" s="28" t="n"/>
      <c r="E2347" s="29" t="n"/>
      <c r="F2347" s="24" t="n"/>
      <c r="G2347" s="24" t="n"/>
      <c r="H2347" s="21">
        <f>IF(ISNUMBER($B2347),INT($B2347)-WEEKDAY($B2347,2)+1,"")</f>
        <v/>
      </c>
      <c r="I2347" s="24" t="n"/>
      <c r="J2347" s="22">
        <f t="array" ref="J2347">IF($D2347="","",IF($I2347="","(trống REF)",IFERROR(INDEX(MASTER_SOURCE!$B$2:$B$495,MATCH($I2347,MASTER_SOURCE!$A$2:$A$495,0)),"(REF không có trong MASTER_SOURCE)")))</f>
        <v/>
      </c>
      <c r="K2347" s="22">
        <f t="array" ref="K2347">IF($D2347="","",IFERROR(INDEX(MASTER_SOURCE!$C$2:$C$495,MATCH($I2347,MASTER_SOURCE!$A$2:$A$495,0)),""))</f>
        <v/>
      </c>
      <c r="L2347" s="22">
        <f t="array" ref="L2347">IF($D2347="","",IFERROR(INDEX(MASTER_SOURCE!$D$2:$D$495,MATCH($I2347,MASTER_SOURCE!$A$2:$A$495,0)),""))</f>
        <v/>
      </c>
      <c r="M2347" s="24" t="n"/>
      <c r="N2347" s="24" t="n"/>
      <c r="O2347" s="24" t="n"/>
      <c r="P2347" s="24" t="n"/>
      <c r="Q2347" s="22">
        <f>IF($D2347="","",IF(AND(OR(DANH_MUC!$L$5&lt;&gt;"Có",M2347="Có"),OR(DANH_MUC!$L$6&lt;&gt;"Có",N2347="Có"),OR(DANH_MUC!$L$7&lt;&gt;"Có",O2347="Có"),OR(DANH_MUC!$L$8&lt;&gt;"Có",P2347="Có")),"Có","Không"))</f>
        <v/>
      </c>
      <c r="R2347" s="22">
        <f>IF($D2347="","",IF(COUNTIF($D$2:$D2347,$D2347)&gt;1,"Trùng",""))</f>
        <v/>
      </c>
      <c r="S2347" s="22">
        <f>IF($D2347="","",IF(AND(LEN($D2347)=10,LEFT($D2347,1)="0",ISNUMBER(--$D2347)),"Có","Không"))</f>
        <v/>
      </c>
      <c r="T2347" s="22">
        <f>IF($D2347="","",IF(AND($C2347&lt;&gt;"",$Q2347="Có",$R2347="",$S2347="Có",AND($L2347&lt;&gt;"",OR($L2347&lt;&gt;"Chưa xác định",DANH_MUC!$L$9="Có"))),"Có","Không"))</f>
        <v/>
      </c>
      <c r="U2347" s="22">
        <f>IF(OR($D2347="",$T2347="Có"),"",IF($C2347="","Thiếu họ tên; ","")&amp;IF($S2347&lt;&gt;"Có","SĐT sai định dạng; ","")&amp;IF($R2347="Trùng","Trùng SĐT; ","")&amp;IF($Q2347&lt;&gt;"Có","Thiếu đồng ý bắt buộc; ","")&amp;IF($L2347="","Thiếu/sai Mã REF; ",IF(AND($L2347="Chưa xác định",DANH_MUC!$L$9&lt;&gt;"Có"),"Nguồn chưa xác định; ","")))</f>
        <v/>
      </c>
      <c r="V2347" s="22">
        <f>IF(OR($D2347="",$R2347="Trùng"),"",IF(COUNTIF(ORDERS!$C$2:$C$4995,$D2347)&gt;0,"Có","Không"))</f>
        <v/>
      </c>
      <c r="W2347" s="22">
        <f>IF(OR($D2347="",$R2347="Trùng"),"",COUNTIFS(ORDERS!$C$2:$C$4995,$D2347,ORDERS!$L$2:$L$4995,"Đã chuyển khoản"))</f>
        <v/>
      </c>
      <c r="X2347" s="23">
        <f>IF(OR($D2347="",$R2347="Trùng"),"",SUMIFS(ORDERS!$J$2:$J$4995,ORDERS!$C$2:$C$4995,$D2347,ORDERS!$L$2:$L$4995,"Đã chuyển khoản"))</f>
        <v/>
      </c>
      <c r="Y2347" s="24" t="n"/>
    </row>
    <row r="2348" ht="14.25" customHeight="1" s="40">
      <c r="A2348" s="24" t="n"/>
      <c r="B2348" s="27" t="n"/>
      <c r="C2348" s="24" t="n"/>
      <c r="D2348" s="28" t="n"/>
      <c r="E2348" s="29" t="n"/>
      <c r="F2348" s="24" t="n"/>
      <c r="G2348" s="24" t="n"/>
      <c r="H2348" s="21">
        <f>IF(ISNUMBER($B2348),INT($B2348)-WEEKDAY($B2348,2)+1,"")</f>
        <v/>
      </c>
      <c r="I2348" s="24" t="n"/>
      <c r="J2348" s="22">
        <f t="array" ref="J2348">IF($D2348="","",IF($I2348="","(trống REF)",IFERROR(INDEX(MASTER_SOURCE!$B$2:$B$495,MATCH($I2348,MASTER_SOURCE!$A$2:$A$495,0)),"(REF không có trong MASTER_SOURCE)")))</f>
        <v/>
      </c>
      <c r="K2348" s="22">
        <f t="array" ref="K2348">IF($D2348="","",IFERROR(INDEX(MASTER_SOURCE!$C$2:$C$495,MATCH($I2348,MASTER_SOURCE!$A$2:$A$495,0)),""))</f>
        <v/>
      </c>
      <c r="L2348" s="22">
        <f t="array" ref="L2348">IF($D2348="","",IFERROR(INDEX(MASTER_SOURCE!$D$2:$D$495,MATCH($I2348,MASTER_SOURCE!$A$2:$A$495,0)),""))</f>
        <v/>
      </c>
      <c r="M2348" s="24" t="n"/>
      <c r="N2348" s="24" t="n"/>
      <c r="O2348" s="24" t="n"/>
      <c r="P2348" s="24" t="n"/>
      <c r="Q2348" s="22">
        <f>IF($D2348="","",IF(AND(OR(DANH_MUC!$L$5&lt;&gt;"Có",M2348="Có"),OR(DANH_MUC!$L$6&lt;&gt;"Có",N2348="Có"),OR(DANH_MUC!$L$7&lt;&gt;"Có",O2348="Có"),OR(DANH_MUC!$L$8&lt;&gt;"Có",P2348="Có")),"Có","Không"))</f>
        <v/>
      </c>
      <c r="R2348" s="22">
        <f>IF($D2348="","",IF(COUNTIF($D$2:$D2348,$D2348)&gt;1,"Trùng",""))</f>
        <v/>
      </c>
      <c r="S2348" s="22">
        <f>IF($D2348="","",IF(AND(LEN($D2348)=10,LEFT($D2348,1)="0",ISNUMBER(--$D2348)),"Có","Không"))</f>
        <v/>
      </c>
      <c r="T2348" s="22">
        <f>IF($D2348="","",IF(AND($C2348&lt;&gt;"",$Q2348="Có",$R2348="",$S2348="Có",AND($L2348&lt;&gt;"",OR($L2348&lt;&gt;"Chưa xác định",DANH_MUC!$L$9="Có"))),"Có","Không"))</f>
        <v/>
      </c>
      <c r="U2348" s="22">
        <f>IF(OR($D2348="",$T2348="Có"),"",IF($C2348="","Thiếu họ tên; ","")&amp;IF($S2348&lt;&gt;"Có","SĐT sai định dạng; ","")&amp;IF($R2348="Trùng","Trùng SĐT; ","")&amp;IF($Q2348&lt;&gt;"Có","Thiếu đồng ý bắt buộc; ","")&amp;IF($L2348="","Thiếu/sai Mã REF; ",IF(AND($L2348="Chưa xác định",DANH_MUC!$L$9&lt;&gt;"Có"),"Nguồn chưa xác định; ","")))</f>
        <v/>
      </c>
      <c r="V2348" s="22">
        <f>IF(OR($D2348="",$R2348="Trùng"),"",IF(COUNTIF(ORDERS!$C$2:$C$4995,$D2348)&gt;0,"Có","Không"))</f>
        <v/>
      </c>
      <c r="W2348" s="22">
        <f>IF(OR($D2348="",$R2348="Trùng"),"",COUNTIFS(ORDERS!$C$2:$C$4995,$D2348,ORDERS!$L$2:$L$4995,"Đã chuyển khoản"))</f>
        <v/>
      </c>
      <c r="X2348" s="23">
        <f>IF(OR($D2348="",$R2348="Trùng"),"",SUMIFS(ORDERS!$J$2:$J$4995,ORDERS!$C$2:$C$4995,$D2348,ORDERS!$L$2:$L$4995,"Đã chuyển khoản"))</f>
        <v/>
      </c>
      <c r="Y2348" s="24" t="n"/>
    </row>
    <row r="2349" ht="14.25" customHeight="1" s="40">
      <c r="A2349" s="24" t="n"/>
      <c r="B2349" s="27" t="n"/>
      <c r="C2349" s="24" t="n"/>
      <c r="D2349" s="28" t="n"/>
      <c r="E2349" s="29" t="n"/>
      <c r="F2349" s="24" t="n"/>
      <c r="G2349" s="24" t="n"/>
      <c r="H2349" s="21">
        <f>IF(ISNUMBER($B2349),INT($B2349)-WEEKDAY($B2349,2)+1,"")</f>
        <v/>
      </c>
      <c r="I2349" s="24" t="n"/>
      <c r="J2349" s="22">
        <f t="array" ref="J2349">IF($D2349="","",IF($I2349="","(trống REF)",IFERROR(INDEX(MASTER_SOURCE!$B$2:$B$495,MATCH($I2349,MASTER_SOURCE!$A$2:$A$495,0)),"(REF không có trong MASTER_SOURCE)")))</f>
        <v/>
      </c>
      <c r="K2349" s="22">
        <f t="array" ref="K2349">IF($D2349="","",IFERROR(INDEX(MASTER_SOURCE!$C$2:$C$495,MATCH($I2349,MASTER_SOURCE!$A$2:$A$495,0)),""))</f>
        <v/>
      </c>
      <c r="L2349" s="22">
        <f t="array" ref="L2349">IF($D2349="","",IFERROR(INDEX(MASTER_SOURCE!$D$2:$D$495,MATCH($I2349,MASTER_SOURCE!$A$2:$A$495,0)),""))</f>
        <v/>
      </c>
      <c r="M2349" s="24" t="n"/>
      <c r="N2349" s="24" t="n"/>
      <c r="O2349" s="24" t="n"/>
      <c r="P2349" s="24" t="n"/>
      <c r="Q2349" s="22">
        <f>IF($D2349="","",IF(AND(OR(DANH_MUC!$L$5&lt;&gt;"Có",M2349="Có"),OR(DANH_MUC!$L$6&lt;&gt;"Có",N2349="Có"),OR(DANH_MUC!$L$7&lt;&gt;"Có",O2349="Có"),OR(DANH_MUC!$L$8&lt;&gt;"Có",P2349="Có")),"Có","Không"))</f>
        <v/>
      </c>
      <c r="R2349" s="22">
        <f>IF($D2349="","",IF(COUNTIF($D$2:$D2349,$D2349)&gt;1,"Trùng",""))</f>
        <v/>
      </c>
      <c r="S2349" s="22">
        <f>IF($D2349="","",IF(AND(LEN($D2349)=10,LEFT($D2349,1)="0",ISNUMBER(--$D2349)),"Có","Không"))</f>
        <v/>
      </c>
      <c r="T2349" s="22">
        <f>IF($D2349="","",IF(AND($C2349&lt;&gt;"",$Q2349="Có",$R2349="",$S2349="Có",AND($L2349&lt;&gt;"",OR($L2349&lt;&gt;"Chưa xác định",DANH_MUC!$L$9="Có"))),"Có","Không"))</f>
        <v/>
      </c>
      <c r="U2349" s="22">
        <f>IF(OR($D2349="",$T2349="Có"),"",IF($C2349="","Thiếu họ tên; ","")&amp;IF($S2349&lt;&gt;"Có","SĐT sai định dạng; ","")&amp;IF($R2349="Trùng","Trùng SĐT; ","")&amp;IF($Q2349&lt;&gt;"Có","Thiếu đồng ý bắt buộc; ","")&amp;IF($L2349="","Thiếu/sai Mã REF; ",IF(AND($L2349="Chưa xác định",DANH_MUC!$L$9&lt;&gt;"Có"),"Nguồn chưa xác định; ","")))</f>
        <v/>
      </c>
      <c r="V2349" s="22">
        <f>IF(OR($D2349="",$R2349="Trùng"),"",IF(COUNTIF(ORDERS!$C$2:$C$4995,$D2349)&gt;0,"Có","Không"))</f>
        <v/>
      </c>
      <c r="W2349" s="22">
        <f>IF(OR($D2349="",$R2349="Trùng"),"",COUNTIFS(ORDERS!$C$2:$C$4995,$D2349,ORDERS!$L$2:$L$4995,"Đã chuyển khoản"))</f>
        <v/>
      </c>
      <c r="X2349" s="23">
        <f>IF(OR($D2349="",$R2349="Trùng"),"",SUMIFS(ORDERS!$J$2:$J$4995,ORDERS!$C$2:$C$4995,$D2349,ORDERS!$L$2:$L$4995,"Đã chuyển khoản"))</f>
        <v/>
      </c>
      <c r="Y2349" s="24" t="n"/>
    </row>
    <row r="2350" ht="14.25" customHeight="1" s="40">
      <c r="A2350" s="24" t="n"/>
      <c r="B2350" s="27" t="n"/>
      <c r="C2350" s="24" t="n"/>
      <c r="D2350" s="28" t="n"/>
      <c r="E2350" s="29" t="n"/>
      <c r="F2350" s="24" t="n"/>
      <c r="G2350" s="24" t="n"/>
      <c r="H2350" s="21">
        <f>IF(ISNUMBER($B2350),INT($B2350)-WEEKDAY($B2350,2)+1,"")</f>
        <v/>
      </c>
      <c r="I2350" s="24" t="n"/>
      <c r="J2350" s="22">
        <f t="array" ref="J2350">IF($D2350="","",IF($I2350="","(trống REF)",IFERROR(INDEX(MASTER_SOURCE!$B$2:$B$495,MATCH($I2350,MASTER_SOURCE!$A$2:$A$495,0)),"(REF không có trong MASTER_SOURCE)")))</f>
        <v/>
      </c>
      <c r="K2350" s="22">
        <f t="array" ref="K2350">IF($D2350="","",IFERROR(INDEX(MASTER_SOURCE!$C$2:$C$495,MATCH($I2350,MASTER_SOURCE!$A$2:$A$495,0)),""))</f>
        <v/>
      </c>
      <c r="L2350" s="22">
        <f t="array" ref="L2350">IF($D2350="","",IFERROR(INDEX(MASTER_SOURCE!$D$2:$D$495,MATCH($I2350,MASTER_SOURCE!$A$2:$A$495,0)),""))</f>
        <v/>
      </c>
      <c r="M2350" s="24" t="n"/>
      <c r="N2350" s="24" t="n"/>
      <c r="O2350" s="24" t="n"/>
      <c r="P2350" s="24" t="n"/>
      <c r="Q2350" s="22">
        <f>IF($D2350="","",IF(AND(OR(DANH_MUC!$L$5&lt;&gt;"Có",M2350="Có"),OR(DANH_MUC!$L$6&lt;&gt;"Có",N2350="Có"),OR(DANH_MUC!$L$7&lt;&gt;"Có",O2350="Có"),OR(DANH_MUC!$L$8&lt;&gt;"Có",P2350="Có")),"Có","Không"))</f>
        <v/>
      </c>
      <c r="R2350" s="22">
        <f>IF($D2350="","",IF(COUNTIF($D$2:$D2350,$D2350)&gt;1,"Trùng",""))</f>
        <v/>
      </c>
      <c r="S2350" s="22">
        <f>IF($D2350="","",IF(AND(LEN($D2350)=10,LEFT($D2350,1)="0",ISNUMBER(--$D2350)),"Có","Không"))</f>
        <v/>
      </c>
      <c r="T2350" s="22">
        <f>IF($D2350="","",IF(AND($C2350&lt;&gt;"",$Q2350="Có",$R2350="",$S2350="Có",AND($L2350&lt;&gt;"",OR($L2350&lt;&gt;"Chưa xác định",DANH_MUC!$L$9="Có"))),"Có","Không"))</f>
        <v/>
      </c>
      <c r="U2350" s="22">
        <f>IF(OR($D2350="",$T2350="Có"),"",IF($C2350="","Thiếu họ tên; ","")&amp;IF($S2350&lt;&gt;"Có","SĐT sai định dạng; ","")&amp;IF($R2350="Trùng","Trùng SĐT; ","")&amp;IF($Q2350&lt;&gt;"Có","Thiếu đồng ý bắt buộc; ","")&amp;IF($L2350="","Thiếu/sai Mã REF; ",IF(AND($L2350="Chưa xác định",DANH_MUC!$L$9&lt;&gt;"Có"),"Nguồn chưa xác định; ","")))</f>
        <v/>
      </c>
      <c r="V2350" s="22">
        <f>IF(OR($D2350="",$R2350="Trùng"),"",IF(COUNTIF(ORDERS!$C$2:$C$4995,$D2350)&gt;0,"Có","Không"))</f>
        <v/>
      </c>
      <c r="W2350" s="22">
        <f>IF(OR($D2350="",$R2350="Trùng"),"",COUNTIFS(ORDERS!$C$2:$C$4995,$D2350,ORDERS!$L$2:$L$4995,"Đã chuyển khoản"))</f>
        <v/>
      </c>
      <c r="X2350" s="23">
        <f>IF(OR($D2350="",$R2350="Trùng"),"",SUMIFS(ORDERS!$J$2:$J$4995,ORDERS!$C$2:$C$4995,$D2350,ORDERS!$L$2:$L$4995,"Đã chuyển khoản"))</f>
        <v/>
      </c>
      <c r="Y2350" s="24" t="n"/>
    </row>
    <row r="2351" ht="14.25" customHeight="1" s="40">
      <c r="A2351" s="24" t="n"/>
      <c r="B2351" s="27" t="n"/>
      <c r="C2351" s="24" t="n"/>
      <c r="D2351" s="28" t="n"/>
      <c r="E2351" s="29" t="n"/>
      <c r="F2351" s="24" t="n"/>
      <c r="G2351" s="24" t="n"/>
      <c r="H2351" s="21">
        <f>IF(ISNUMBER($B2351),INT($B2351)-WEEKDAY($B2351,2)+1,"")</f>
        <v/>
      </c>
      <c r="I2351" s="24" t="n"/>
      <c r="J2351" s="22">
        <f t="array" ref="J2351">IF($D2351="","",IF($I2351="","(trống REF)",IFERROR(INDEX(MASTER_SOURCE!$B$2:$B$495,MATCH($I2351,MASTER_SOURCE!$A$2:$A$495,0)),"(REF không có trong MASTER_SOURCE)")))</f>
        <v/>
      </c>
      <c r="K2351" s="22">
        <f t="array" ref="K2351">IF($D2351="","",IFERROR(INDEX(MASTER_SOURCE!$C$2:$C$495,MATCH($I2351,MASTER_SOURCE!$A$2:$A$495,0)),""))</f>
        <v/>
      </c>
      <c r="L2351" s="22">
        <f t="array" ref="L2351">IF($D2351="","",IFERROR(INDEX(MASTER_SOURCE!$D$2:$D$495,MATCH($I2351,MASTER_SOURCE!$A$2:$A$495,0)),""))</f>
        <v/>
      </c>
      <c r="M2351" s="24" t="n"/>
      <c r="N2351" s="24" t="n"/>
      <c r="O2351" s="24" t="n"/>
      <c r="P2351" s="24" t="n"/>
      <c r="Q2351" s="22">
        <f>IF($D2351="","",IF(AND(OR(DANH_MUC!$L$5&lt;&gt;"Có",M2351="Có"),OR(DANH_MUC!$L$6&lt;&gt;"Có",N2351="Có"),OR(DANH_MUC!$L$7&lt;&gt;"Có",O2351="Có"),OR(DANH_MUC!$L$8&lt;&gt;"Có",P2351="Có")),"Có","Không"))</f>
        <v/>
      </c>
      <c r="R2351" s="22">
        <f>IF($D2351="","",IF(COUNTIF($D$2:$D2351,$D2351)&gt;1,"Trùng",""))</f>
        <v/>
      </c>
      <c r="S2351" s="22">
        <f>IF($D2351="","",IF(AND(LEN($D2351)=10,LEFT($D2351,1)="0",ISNUMBER(--$D2351)),"Có","Không"))</f>
        <v/>
      </c>
      <c r="T2351" s="22">
        <f>IF($D2351="","",IF(AND($C2351&lt;&gt;"",$Q2351="Có",$R2351="",$S2351="Có",AND($L2351&lt;&gt;"",OR($L2351&lt;&gt;"Chưa xác định",DANH_MUC!$L$9="Có"))),"Có","Không"))</f>
        <v/>
      </c>
      <c r="U2351" s="22">
        <f>IF(OR($D2351="",$T2351="Có"),"",IF($C2351="","Thiếu họ tên; ","")&amp;IF($S2351&lt;&gt;"Có","SĐT sai định dạng; ","")&amp;IF($R2351="Trùng","Trùng SĐT; ","")&amp;IF($Q2351&lt;&gt;"Có","Thiếu đồng ý bắt buộc; ","")&amp;IF($L2351="","Thiếu/sai Mã REF; ",IF(AND($L2351="Chưa xác định",DANH_MUC!$L$9&lt;&gt;"Có"),"Nguồn chưa xác định; ","")))</f>
        <v/>
      </c>
      <c r="V2351" s="22">
        <f>IF(OR($D2351="",$R2351="Trùng"),"",IF(COUNTIF(ORDERS!$C$2:$C$4995,$D2351)&gt;0,"Có","Không"))</f>
        <v/>
      </c>
      <c r="W2351" s="22">
        <f>IF(OR($D2351="",$R2351="Trùng"),"",COUNTIFS(ORDERS!$C$2:$C$4995,$D2351,ORDERS!$L$2:$L$4995,"Đã chuyển khoản"))</f>
        <v/>
      </c>
      <c r="X2351" s="23">
        <f>IF(OR($D2351="",$R2351="Trùng"),"",SUMIFS(ORDERS!$J$2:$J$4995,ORDERS!$C$2:$C$4995,$D2351,ORDERS!$L$2:$L$4995,"Đã chuyển khoản"))</f>
        <v/>
      </c>
      <c r="Y2351" s="24" t="n"/>
    </row>
    <row r="2352" ht="14.25" customHeight="1" s="40">
      <c r="A2352" s="24" t="n"/>
      <c r="B2352" s="27" t="n"/>
      <c r="C2352" s="24" t="n"/>
      <c r="D2352" s="28" t="n"/>
      <c r="E2352" s="29" t="n"/>
      <c r="F2352" s="24" t="n"/>
      <c r="G2352" s="24" t="n"/>
      <c r="H2352" s="21">
        <f>IF(ISNUMBER($B2352),INT($B2352)-WEEKDAY($B2352,2)+1,"")</f>
        <v/>
      </c>
      <c r="I2352" s="24" t="n"/>
      <c r="J2352" s="22">
        <f t="array" ref="J2352">IF($D2352="","",IF($I2352="","(trống REF)",IFERROR(INDEX(MASTER_SOURCE!$B$2:$B$495,MATCH($I2352,MASTER_SOURCE!$A$2:$A$495,0)),"(REF không có trong MASTER_SOURCE)")))</f>
        <v/>
      </c>
      <c r="K2352" s="22">
        <f t="array" ref="K2352">IF($D2352="","",IFERROR(INDEX(MASTER_SOURCE!$C$2:$C$495,MATCH($I2352,MASTER_SOURCE!$A$2:$A$495,0)),""))</f>
        <v/>
      </c>
      <c r="L2352" s="22">
        <f t="array" ref="L2352">IF($D2352="","",IFERROR(INDEX(MASTER_SOURCE!$D$2:$D$495,MATCH($I2352,MASTER_SOURCE!$A$2:$A$495,0)),""))</f>
        <v/>
      </c>
      <c r="M2352" s="24" t="n"/>
      <c r="N2352" s="24" t="n"/>
      <c r="O2352" s="24" t="n"/>
      <c r="P2352" s="24" t="n"/>
      <c r="Q2352" s="22">
        <f>IF($D2352="","",IF(AND(OR(DANH_MUC!$L$5&lt;&gt;"Có",M2352="Có"),OR(DANH_MUC!$L$6&lt;&gt;"Có",N2352="Có"),OR(DANH_MUC!$L$7&lt;&gt;"Có",O2352="Có"),OR(DANH_MUC!$L$8&lt;&gt;"Có",P2352="Có")),"Có","Không"))</f>
        <v/>
      </c>
      <c r="R2352" s="22">
        <f>IF($D2352="","",IF(COUNTIF($D$2:$D2352,$D2352)&gt;1,"Trùng",""))</f>
        <v/>
      </c>
      <c r="S2352" s="22">
        <f>IF($D2352="","",IF(AND(LEN($D2352)=10,LEFT($D2352,1)="0",ISNUMBER(--$D2352)),"Có","Không"))</f>
        <v/>
      </c>
      <c r="T2352" s="22">
        <f>IF($D2352="","",IF(AND($C2352&lt;&gt;"",$Q2352="Có",$R2352="",$S2352="Có",AND($L2352&lt;&gt;"",OR($L2352&lt;&gt;"Chưa xác định",DANH_MUC!$L$9="Có"))),"Có","Không"))</f>
        <v/>
      </c>
      <c r="U2352" s="22">
        <f>IF(OR($D2352="",$T2352="Có"),"",IF($C2352="","Thiếu họ tên; ","")&amp;IF($S2352&lt;&gt;"Có","SĐT sai định dạng; ","")&amp;IF($R2352="Trùng","Trùng SĐT; ","")&amp;IF($Q2352&lt;&gt;"Có","Thiếu đồng ý bắt buộc; ","")&amp;IF($L2352="","Thiếu/sai Mã REF; ",IF(AND($L2352="Chưa xác định",DANH_MUC!$L$9&lt;&gt;"Có"),"Nguồn chưa xác định; ","")))</f>
        <v/>
      </c>
      <c r="V2352" s="22">
        <f>IF(OR($D2352="",$R2352="Trùng"),"",IF(COUNTIF(ORDERS!$C$2:$C$4995,$D2352)&gt;0,"Có","Không"))</f>
        <v/>
      </c>
      <c r="W2352" s="22">
        <f>IF(OR($D2352="",$R2352="Trùng"),"",COUNTIFS(ORDERS!$C$2:$C$4995,$D2352,ORDERS!$L$2:$L$4995,"Đã chuyển khoản"))</f>
        <v/>
      </c>
      <c r="X2352" s="23">
        <f>IF(OR($D2352="",$R2352="Trùng"),"",SUMIFS(ORDERS!$J$2:$J$4995,ORDERS!$C$2:$C$4995,$D2352,ORDERS!$L$2:$L$4995,"Đã chuyển khoản"))</f>
        <v/>
      </c>
      <c r="Y2352" s="24" t="n"/>
    </row>
    <row r="2353" ht="14.25" customHeight="1" s="40">
      <c r="A2353" s="24" t="n"/>
      <c r="B2353" s="27" t="n"/>
      <c r="C2353" s="24" t="n"/>
      <c r="D2353" s="28" t="n"/>
      <c r="E2353" s="29" t="n"/>
      <c r="F2353" s="24" t="n"/>
      <c r="G2353" s="24" t="n"/>
      <c r="H2353" s="21">
        <f>IF(ISNUMBER($B2353),INT($B2353)-WEEKDAY($B2353,2)+1,"")</f>
        <v/>
      </c>
      <c r="I2353" s="24" t="n"/>
      <c r="J2353" s="22">
        <f t="array" ref="J2353">IF($D2353="","",IF($I2353="","(trống REF)",IFERROR(INDEX(MASTER_SOURCE!$B$2:$B$495,MATCH($I2353,MASTER_SOURCE!$A$2:$A$495,0)),"(REF không có trong MASTER_SOURCE)")))</f>
        <v/>
      </c>
      <c r="K2353" s="22">
        <f t="array" ref="K2353">IF($D2353="","",IFERROR(INDEX(MASTER_SOURCE!$C$2:$C$495,MATCH($I2353,MASTER_SOURCE!$A$2:$A$495,0)),""))</f>
        <v/>
      </c>
      <c r="L2353" s="22">
        <f t="array" ref="L2353">IF($D2353="","",IFERROR(INDEX(MASTER_SOURCE!$D$2:$D$495,MATCH($I2353,MASTER_SOURCE!$A$2:$A$495,0)),""))</f>
        <v/>
      </c>
      <c r="M2353" s="24" t="n"/>
      <c r="N2353" s="24" t="n"/>
      <c r="O2353" s="24" t="n"/>
      <c r="P2353" s="24" t="n"/>
      <c r="Q2353" s="22">
        <f>IF($D2353="","",IF(AND(OR(DANH_MUC!$L$5&lt;&gt;"Có",M2353="Có"),OR(DANH_MUC!$L$6&lt;&gt;"Có",N2353="Có"),OR(DANH_MUC!$L$7&lt;&gt;"Có",O2353="Có"),OR(DANH_MUC!$L$8&lt;&gt;"Có",P2353="Có")),"Có","Không"))</f>
        <v/>
      </c>
      <c r="R2353" s="22">
        <f>IF($D2353="","",IF(COUNTIF($D$2:$D2353,$D2353)&gt;1,"Trùng",""))</f>
        <v/>
      </c>
      <c r="S2353" s="22">
        <f>IF($D2353="","",IF(AND(LEN($D2353)=10,LEFT($D2353,1)="0",ISNUMBER(--$D2353)),"Có","Không"))</f>
        <v/>
      </c>
      <c r="T2353" s="22">
        <f>IF($D2353="","",IF(AND($C2353&lt;&gt;"",$Q2353="Có",$R2353="",$S2353="Có",AND($L2353&lt;&gt;"",OR($L2353&lt;&gt;"Chưa xác định",DANH_MUC!$L$9="Có"))),"Có","Không"))</f>
        <v/>
      </c>
      <c r="U2353" s="22">
        <f>IF(OR($D2353="",$T2353="Có"),"",IF($C2353="","Thiếu họ tên; ","")&amp;IF($S2353&lt;&gt;"Có","SĐT sai định dạng; ","")&amp;IF($R2353="Trùng","Trùng SĐT; ","")&amp;IF($Q2353&lt;&gt;"Có","Thiếu đồng ý bắt buộc; ","")&amp;IF($L2353="","Thiếu/sai Mã REF; ",IF(AND($L2353="Chưa xác định",DANH_MUC!$L$9&lt;&gt;"Có"),"Nguồn chưa xác định; ","")))</f>
        <v/>
      </c>
      <c r="V2353" s="22">
        <f>IF(OR($D2353="",$R2353="Trùng"),"",IF(COUNTIF(ORDERS!$C$2:$C$4995,$D2353)&gt;0,"Có","Không"))</f>
        <v/>
      </c>
      <c r="W2353" s="22">
        <f>IF(OR($D2353="",$R2353="Trùng"),"",COUNTIFS(ORDERS!$C$2:$C$4995,$D2353,ORDERS!$L$2:$L$4995,"Đã chuyển khoản"))</f>
        <v/>
      </c>
      <c r="X2353" s="23">
        <f>IF(OR($D2353="",$R2353="Trùng"),"",SUMIFS(ORDERS!$J$2:$J$4995,ORDERS!$C$2:$C$4995,$D2353,ORDERS!$L$2:$L$4995,"Đã chuyển khoản"))</f>
        <v/>
      </c>
      <c r="Y2353" s="24" t="n"/>
    </row>
    <row r="2354" ht="14.25" customHeight="1" s="40">
      <c r="A2354" s="24" t="n"/>
      <c r="B2354" s="27" t="n"/>
      <c r="C2354" s="24" t="n"/>
      <c r="D2354" s="28" t="n"/>
      <c r="E2354" s="29" t="n"/>
      <c r="F2354" s="24" t="n"/>
      <c r="G2354" s="24" t="n"/>
      <c r="H2354" s="21">
        <f>IF(ISNUMBER($B2354),INT($B2354)-WEEKDAY($B2354,2)+1,"")</f>
        <v/>
      </c>
      <c r="I2354" s="24" t="n"/>
      <c r="J2354" s="22">
        <f t="array" ref="J2354">IF($D2354="","",IF($I2354="","(trống REF)",IFERROR(INDEX(MASTER_SOURCE!$B$2:$B$495,MATCH($I2354,MASTER_SOURCE!$A$2:$A$495,0)),"(REF không có trong MASTER_SOURCE)")))</f>
        <v/>
      </c>
      <c r="K2354" s="22">
        <f t="array" ref="K2354">IF($D2354="","",IFERROR(INDEX(MASTER_SOURCE!$C$2:$C$495,MATCH($I2354,MASTER_SOURCE!$A$2:$A$495,0)),""))</f>
        <v/>
      </c>
      <c r="L2354" s="22">
        <f t="array" ref="L2354">IF($D2354="","",IFERROR(INDEX(MASTER_SOURCE!$D$2:$D$495,MATCH($I2354,MASTER_SOURCE!$A$2:$A$495,0)),""))</f>
        <v/>
      </c>
      <c r="M2354" s="24" t="n"/>
      <c r="N2354" s="24" t="n"/>
      <c r="O2354" s="24" t="n"/>
      <c r="P2354" s="24" t="n"/>
      <c r="Q2354" s="22">
        <f>IF($D2354="","",IF(AND(OR(DANH_MUC!$L$5&lt;&gt;"Có",M2354="Có"),OR(DANH_MUC!$L$6&lt;&gt;"Có",N2354="Có"),OR(DANH_MUC!$L$7&lt;&gt;"Có",O2354="Có"),OR(DANH_MUC!$L$8&lt;&gt;"Có",P2354="Có")),"Có","Không"))</f>
        <v/>
      </c>
      <c r="R2354" s="22">
        <f>IF($D2354="","",IF(COUNTIF($D$2:$D2354,$D2354)&gt;1,"Trùng",""))</f>
        <v/>
      </c>
      <c r="S2354" s="22">
        <f>IF($D2354="","",IF(AND(LEN($D2354)=10,LEFT($D2354,1)="0",ISNUMBER(--$D2354)),"Có","Không"))</f>
        <v/>
      </c>
      <c r="T2354" s="22">
        <f>IF($D2354="","",IF(AND($C2354&lt;&gt;"",$Q2354="Có",$R2354="",$S2354="Có",AND($L2354&lt;&gt;"",OR($L2354&lt;&gt;"Chưa xác định",DANH_MUC!$L$9="Có"))),"Có","Không"))</f>
        <v/>
      </c>
      <c r="U2354" s="22">
        <f>IF(OR($D2354="",$T2354="Có"),"",IF($C2354="","Thiếu họ tên; ","")&amp;IF($S2354&lt;&gt;"Có","SĐT sai định dạng; ","")&amp;IF($R2354="Trùng","Trùng SĐT; ","")&amp;IF($Q2354&lt;&gt;"Có","Thiếu đồng ý bắt buộc; ","")&amp;IF($L2354="","Thiếu/sai Mã REF; ",IF(AND($L2354="Chưa xác định",DANH_MUC!$L$9&lt;&gt;"Có"),"Nguồn chưa xác định; ","")))</f>
        <v/>
      </c>
      <c r="V2354" s="22">
        <f>IF(OR($D2354="",$R2354="Trùng"),"",IF(COUNTIF(ORDERS!$C$2:$C$4995,$D2354)&gt;0,"Có","Không"))</f>
        <v/>
      </c>
      <c r="W2354" s="22">
        <f>IF(OR($D2354="",$R2354="Trùng"),"",COUNTIFS(ORDERS!$C$2:$C$4995,$D2354,ORDERS!$L$2:$L$4995,"Đã chuyển khoản"))</f>
        <v/>
      </c>
      <c r="X2354" s="23">
        <f>IF(OR($D2354="",$R2354="Trùng"),"",SUMIFS(ORDERS!$J$2:$J$4995,ORDERS!$C$2:$C$4995,$D2354,ORDERS!$L$2:$L$4995,"Đã chuyển khoản"))</f>
        <v/>
      </c>
      <c r="Y2354" s="24" t="n"/>
    </row>
    <row r="2355" ht="14.25" customHeight="1" s="40">
      <c r="A2355" s="24" t="n"/>
      <c r="B2355" s="27" t="n"/>
      <c r="C2355" s="24" t="n"/>
      <c r="D2355" s="28" t="n"/>
      <c r="E2355" s="29" t="n"/>
      <c r="F2355" s="24" t="n"/>
      <c r="G2355" s="24" t="n"/>
      <c r="H2355" s="21">
        <f>IF(ISNUMBER($B2355),INT($B2355)-WEEKDAY($B2355,2)+1,"")</f>
        <v/>
      </c>
      <c r="I2355" s="24" t="n"/>
      <c r="J2355" s="22">
        <f t="array" ref="J2355">IF($D2355="","",IF($I2355="","(trống REF)",IFERROR(INDEX(MASTER_SOURCE!$B$2:$B$495,MATCH($I2355,MASTER_SOURCE!$A$2:$A$495,0)),"(REF không có trong MASTER_SOURCE)")))</f>
        <v/>
      </c>
      <c r="K2355" s="22">
        <f t="array" ref="K2355">IF($D2355="","",IFERROR(INDEX(MASTER_SOURCE!$C$2:$C$495,MATCH($I2355,MASTER_SOURCE!$A$2:$A$495,0)),""))</f>
        <v/>
      </c>
      <c r="L2355" s="22">
        <f t="array" ref="L2355">IF($D2355="","",IFERROR(INDEX(MASTER_SOURCE!$D$2:$D$495,MATCH($I2355,MASTER_SOURCE!$A$2:$A$495,0)),""))</f>
        <v/>
      </c>
      <c r="M2355" s="24" t="n"/>
      <c r="N2355" s="24" t="n"/>
      <c r="O2355" s="24" t="n"/>
      <c r="P2355" s="24" t="n"/>
      <c r="Q2355" s="22">
        <f>IF($D2355="","",IF(AND(OR(DANH_MUC!$L$5&lt;&gt;"Có",M2355="Có"),OR(DANH_MUC!$L$6&lt;&gt;"Có",N2355="Có"),OR(DANH_MUC!$L$7&lt;&gt;"Có",O2355="Có"),OR(DANH_MUC!$L$8&lt;&gt;"Có",P2355="Có")),"Có","Không"))</f>
        <v/>
      </c>
      <c r="R2355" s="22">
        <f>IF($D2355="","",IF(COUNTIF($D$2:$D2355,$D2355)&gt;1,"Trùng",""))</f>
        <v/>
      </c>
      <c r="S2355" s="22">
        <f>IF($D2355="","",IF(AND(LEN($D2355)=10,LEFT($D2355,1)="0",ISNUMBER(--$D2355)),"Có","Không"))</f>
        <v/>
      </c>
      <c r="T2355" s="22">
        <f>IF($D2355="","",IF(AND($C2355&lt;&gt;"",$Q2355="Có",$R2355="",$S2355="Có",AND($L2355&lt;&gt;"",OR($L2355&lt;&gt;"Chưa xác định",DANH_MUC!$L$9="Có"))),"Có","Không"))</f>
        <v/>
      </c>
      <c r="U2355" s="22">
        <f>IF(OR($D2355="",$T2355="Có"),"",IF($C2355="","Thiếu họ tên; ","")&amp;IF($S2355&lt;&gt;"Có","SĐT sai định dạng; ","")&amp;IF($R2355="Trùng","Trùng SĐT; ","")&amp;IF($Q2355&lt;&gt;"Có","Thiếu đồng ý bắt buộc; ","")&amp;IF($L2355="","Thiếu/sai Mã REF; ",IF(AND($L2355="Chưa xác định",DANH_MUC!$L$9&lt;&gt;"Có"),"Nguồn chưa xác định; ","")))</f>
        <v/>
      </c>
      <c r="V2355" s="22">
        <f>IF(OR($D2355="",$R2355="Trùng"),"",IF(COUNTIF(ORDERS!$C$2:$C$4995,$D2355)&gt;0,"Có","Không"))</f>
        <v/>
      </c>
      <c r="W2355" s="22">
        <f>IF(OR($D2355="",$R2355="Trùng"),"",COUNTIFS(ORDERS!$C$2:$C$4995,$D2355,ORDERS!$L$2:$L$4995,"Đã chuyển khoản"))</f>
        <v/>
      </c>
      <c r="X2355" s="23">
        <f>IF(OR($D2355="",$R2355="Trùng"),"",SUMIFS(ORDERS!$J$2:$J$4995,ORDERS!$C$2:$C$4995,$D2355,ORDERS!$L$2:$L$4995,"Đã chuyển khoản"))</f>
        <v/>
      </c>
      <c r="Y2355" s="24" t="n"/>
    </row>
    <row r="2356" ht="14.25" customHeight="1" s="40">
      <c r="A2356" s="24" t="n"/>
      <c r="B2356" s="27" t="n"/>
      <c r="C2356" s="24" t="n"/>
      <c r="D2356" s="28" t="n"/>
      <c r="E2356" s="29" t="n"/>
      <c r="F2356" s="24" t="n"/>
      <c r="G2356" s="24" t="n"/>
      <c r="H2356" s="21">
        <f>IF(ISNUMBER($B2356),INT($B2356)-WEEKDAY($B2356,2)+1,"")</f>
        <v/>
      </c>
      <c r="I2356" s="24" t="n"/>
      <c r="J2356" s="22">
        <f t="array" ref="J2356">IF($D2356="","",IF($I2356="","(trống REF)",IFERROR(INDEX(MASTER_SOURCE!$B$2:$B$495,MATCH($I2356,MASTER_SOURCE!$A$2:$A$495,0)),"(REF không có trong MASTER_SOURCE)")))</f>
        <v/>
      </c>
      <c r="K2356" s="22">
        <f t="array" ref="K2356">IF($D2356="","",IFERROR(INDEX(MASTER_SOURCE!$C$2:$C$495,MATCH($I2356,MASTER_SOURCE!$A$2:$A$495,0)),""))</f>
        <v/>
      </c>
      <c r="L2356" s="22">
        <f t="array" ref="L2356">IF($D2356="","",IFERROR(INDEX(MASTER_SOURCE!$D$2:$D$495,MATCH($I2356,MASTER_SOURCE!$A$2:$A$495,0)),""))</f>
        <v/>
      </c>
      <c r="M2356" s="24" t="n"/>
      <c r="N2356" s="24" t="n"/>
      <c r="O2356" s="24" t="n"/>
      <c r="P2356" s="24" t="n"/>
      <c r="Q2356" s="22">
        <f>IF($D2356="","",IF(AND(OR(DANH_MUC!$L$5&lt;&gt;"Có",M2356="Có"),OR(DANH_MUC!$L$6&lt;&gt;"Có",N2356="Có"),OR(DANH_MUC!$L$7&lt;&gt;"Có",O2356="Có"),OR(DANH_MUC!$L$8&lt;&gt;"Có",P2356="Có")),"Có","Không"))</f>
        <v/>
      </c>
      <c r="R2356" s="22">
        <f>IF($D2356="","",IF(COUNTIF($D$2:$D2356,$D2356)&gt;1,"Trùng",""))</f>
        <v/>
      </c>
      <c r="S2356" s="22">
        <f>IF($D2356="","",IF(AND(LEN($D2356)=10,LEFT($D2356,1)="0",ISNUMBER(--$D2356)),"Có","Không"))</f>
        <v/>
      </c>
      <c r="T2356" s="22">
        <f>IF($D2356="","",IF(AND($C2356&lt;&gt;"",$Q2356="Có",$R2356="",$S2356="Có",AND($L2356&lt;&gt;"",OR($L2356&lt;&gt;"Chưa xác định",DANH_MUC!$L$9="Có"))),"Có","Không"))</f>
        <v/>
      </c>
      <c r="U2356" s="22">
        <f>IF(OR($D2356="",$T2356="Có"),"",IF($C2356="","Thiếu họ tên; ","")&amp;IF($S2356&lt;&gt;"Có","SĐT sai định dạng; ","")&amp;IF($R2356="Trùng","Trùng SĐT; ","")&amp;IF($Q2356&lt;&gt;"Có","Thiếu đồng ý bắt buộc; ","")&amp;IF($L2356="","Thiếu/sai Mã REF; ",IF(AND($L2356="Chưa xác định",DANH_MUC!$L$9&lt;&gt;"Có"),"Nguồn chưa xác định; ","")))</f>
        <v/>
      </c>
      <c r="V2356" s="22">
        <f>IF(OR($D2356="",$R2356="Trùng"),"",IF(COUNTIF(ORDERS!$C$2:$C$4995,$D2356)&gt;0,"Có","Không"))</f>
        <v/>
      </c>
      <c r="W2356" s="22">
        <f>IF(OR($D2356="",$R2356="Trùng"),"",COUNTIFS(ORDERS!$C$2:$C$4995,$D2356,ORDERS!$L$2:$L$4995,"Đã chuyển khoản"))</f>
        <v/>
      </c>
      <c r="X2356" s="23">
        <f>IF(OR($D2356="",$R2356="Trùng"),"",SUMIFS(ORDERS!$J$2:$J$4995,ORDERS!$C$2:$C$4995,$D2356,ORDERS!$L$2:$L$4995,"Đã chuyển khoản"))</f>
        <v/>
      </c>
      <c r="Y2356" s="24" t="n"/>
    </row>
    <row r="2357" ht="14.25" customHeight="1" s="40">
      <c r="A2357" s="24" t="n"/>
      <c r="B2357" s="27" t="n"/>
      <c r="C2357" s="24" t="n"/>
      <c r="D2357" s="28" t="n"/>
      <c r="E2357" s="29" t="n"/>
      <c r="F2357" s="24" t="n"/>
      <c r="G2357" s="24" t="n"/>
      <c r="H2357" s="21">
        <f>IF(ISNUMBER($B2357),INT($B2357)-WEEKDAY($B2357,2)+1,"")</f>
        <v/>
      </c>
      <c r="I2357" s="24" t="n"/>
      <c r="J2357" s="22">
        <f t="array" ref="J2357">IF($D2357="","",IF($I2357="","(trống REF)",IFERROR(INDEX(MASTER_SOURCE!$B$2:$B$495,MATCH($I2357,MASTER_SOURCE!$A$2:$A$495,0)),"(REF không có trong MASTER_SOURCE)")))</f>
        <v/>
      </c>
      <c r="K2357" s="22">
        <f t="array" ref="K2357">IF($D2357="","",IFERROR(INDEX(MASTER_SOURCE!$C$2:$C$495,MATCH($I2357,MASTER_SOURCE!$A$2:$A$495,0)),""))</f>
        <v/>
      </c>
      <c r="L2357" s="22">
        <f t="array" ref="L2357">IF($D2357="","",IFERROR(INDEX(MASTER_SOURCE!$D$2:$D$495,MATCH($I2357,MASTER_SOURCE!$A$2:$A$495,0)),""))</f>
        <v/>
      </c>
      <c r="M2357" s="24" t="n"/>
      <c r="N2357" s="24" t="n"/>
      <c r="O2357" s="24" t="n"/>
      <c r="P2357" s="24" t="n"/>
      <c r="Q2357" s="22">
        <f>IF($D2357="","",IF(AND(OR(DANH_MUC!$L$5&lt;&gt;"Có",M2357="Có"),OR(DANH_MUC!$L$6&lt;&gt;"Có",N2357="Có"),OR(DANH_MUC!$L$7&lt;&gt;"Có",O2357="Có"),OR(DANH_MUC!$L$8&lt;&gt;"Có",P2357="Có")),"Có","Không"))</f>
        <v/>
      </c>
      <c r="R2357" s="22">
        <f>IF($D2357="","",IF(COUNTIF($D$2:$D2357,$D2357)&gt;1,"Trùng",""))</f>
        <v/>
      </c>
      <c r="S2357" s="22">
        <f>IF($D2357="","",IF(AND(LEN($D2357)=10,LEFT($D2357,1)="0",ISNUMBER(--$D2357)),"Có","Không"))</f>
        <v/>
      </c>
      <c r="T2357" s="22">
        <f>IF($D2357="","",IF(AND($C2357&lt;&gt;"",$Q2357="Có",$R2357="",$S2357="Có",AND($L2357&lt;&gt;"",OR($L2357&lt;&gt;"Chưa xác định",DANH_MUC!$L$9="Có"))),"Có","Không"))</f>
        <v/>
      </c>
      <c r="U2357" s="22">
        <f>IF(OR($D2357="",$T2357="Có"),"",IF($C2357="","Thiếu họ tên; ","")&amp;IF($S2357&lt;&gt;"Có","SĐT sai định dạng; ","")&amp;IF($R2357="Trùng","Trùng SĐT; ","")&amp;IF($Q2357&lt;&gt;"Có","Thiếu đồng ý bắt buộc; ","")&amp;IF($L2357="","Thiếu/sai Mã REF; ",IF(AND($L2357="Chưa xác định",DANH_MUC!$L$9&lt;&gt;"Có"),"Nguồn chưa xác định; ","")))</f>
        <v/>
      </c>
      <c r="V2357" s="22">
        <f>IF(OR($D2357="",$R2357="Trùng"),"",IF(COUNTIF(ORDERS!$C$2:$C$4995,$D2357)&gt;0,"Có","Không"))</f>
        <v/>
      </c>
      <c r="W2357" s="22">
        <f>IF(OR($D2357="",$R2357="Trùng"),"",COUNTIFS(ORDERS!$C$2:$C$4995,$D2357,ORDERS!$L$2:$L$4995,"Đã chuyển khoản"))</f>
        <v/>
      </c>
      <c r="X2357" s="23">
        <f>IF(OR($D2357="",$R2357="Trùng"),"",SUMIFS(ORDERS!$J$2:$J$4995,ORDERS!$C$2:$C$4995,$D2357,ORDERS!$L$2:$L$4995,"Đã chuyển khoản"))</f>
        <v/>
      </c>
      <c r="Y2357" s="24" t="n"/>
    </row>
    <row r="2358" ht="14.25" customHeight="1" s="40">
      <c r="A2358" s="24" t="n"/>
      <c r="B2358" s="27" t="n"/>
      <c r="C2358" s="24" t="n"/>
      <c r="D2358" s="28" t="n"/>
      <c r="E2358" s="29" t="n"/>
      <c r="F2358" s="24" t="n"/>
      <c r="G2358" s="24" t="n"/>
      <c r="H2358" s="21">
        <f>IF(ISNUMBER($B2358),INT($B2358)-WEEKDAY($B2358,2)+1,"")</f>
        <v/>
      </c>
      <c r="I2358" s="24" t="n"/>
      <c r="J2358" s="22">
        <f t="array" ref="J2358">IF($D2358="","",IF($I2358="","(trống REF)",IFERROR(INDEX(MASTER_SOURCE!$B$2:$B$495,MATCH($I2358,MASTER_SOURCE!$A$2:$A$495,0)),"(REF không có trong MASTER_SOURCE)")))</f>
        <v/>
      </c>
      <c r="K2358" s="22">
        <f t="array" ref="K2358">IF($D2358="","",IFERROR(INDEX(MASTER_SOURCE!$C$2:$C$495,MATCH($I2358,MASTER_SOURCE!$A$2:$A$495,0)),""))</f>
        <v/>
      </c>
      <c r="L2358" s="22">
        <f t="array" ref="L2358">IF($D2358="","",IFERROR(INDEX(MASTER_SOURCE!$D$2:$D$495,MATCH($I2358,MASTER_SOURCE!$A$2:$A$495,0)),""))</f>
        <v/>
      </c>
      <c r="M2358" s="24" t="n"/>
      <c r="N2358" s="24" t="n"/>
      <c r="O2358" s="24" t="n"/>
      <c r="P2358" s="24" t="n"/>
      <c r="Q2358" s="22">
        <f>IF($D2358="","",IF(AND(OR(DANH_MUC!$L$5&lt;&gt;"Có",M2358="Có"),OR(DANH_MUC!$L$6&lt;&gt;"Có",N2358="Có"),OR(DANH_MUC!$L$7&lt;&gt;"Có",O2358="Có"),OR(DANH_MUC!$L$8&lt;&gt;"Có",P2358="Có")),"Có","Không"))</f>
        <v/>
      </c>
      <c r="R2358" s="22">
        <f>IF($D2358="","",IF(COUNTIF($D$2:$D2358,$D2358)&gt;1,"Trùng",""))</f>
        <v/>
      </c>
      <c r="S2358" s="22">
        <f>IF($D2358="","",IF(AND(LEN($D2358)=10,LEFT($D2358,1)="0",ISNUMBER(--$D2358)),"Có","Không"))</f>
        <v/>
      </c>
      <c r="T2358" s="22">
        <f>IF($D2358="","",IF(AND($C2358&lt;&gt;"",$Q2358="Có",$R2358="",$S2358="Có",AND($L2358&lt;&gt;"",OR($L2358&lt;&gt;"Chưa xác định",DANH_MUC!$L$9="Có"))),"Có","Không"))</f>
        <v/>
      </c>
      <c r="U2358" s="22">
        <f>IF(OR($D2358="",$T2358="Có"),"",IF($C2358="","Thiếu họ tên; ","")&amp;IF($S2358&lt;&gt;"Có","SĐT sai định dạng; ","")&amp;IF($R2358="Trùng","Trùng SĐT; ","")&amp;IF($Q2358&lt;&gt;"Có","Thiếu đồng ý bắt buộc; ","")&amp;IF($L2358="","Thiếu/sai Mã REF; ",IF(AND($L2358="Chưa xác định",DANH_MUC!$L$9&lt;&gt;"Có"),"Nguồn chưa xác định; ","")))</f>
        <v/>
      </c>
      <c r="V2358" s="22">
        <f>IF(OR($D2358="",$R2358="Trùng"),"",IF(COUNTIF(ORDERS!$C$2:$C$4995,$D2358)&gt;0,"Có","Không"))</f>
        <v/>
      </c>
      <c r="W2358" s="22">
        <f>IF(OR($D2358="",$R2358="Trùng"),"",COUNTIFS(ORDERS!$C$2:$C$4995,$D2358,ORDERS!$L$2:$L$4995,"Đã chuyển khoản"))</f>
        <v/>
      </c>
      <c r="X2358" s="23">
        <f>IF(OR($D2358="",$R2358="Trùng"),"",SUMIFS(ORDERS!$J$2:$J$4995,ORDERS!$C$2:$C$4995,$D2358,ORDERS!$L$2:$L$4995,"Đã chuyển khoản"))</f>
        <v/>
      </c>
      <c r="Y2358" s="24" t="n"/>
    </row>
    <row r="2359" ht="14.25" customHeight="1" s="40">
      <c r="A2359" s="24" t="n"/>
      <c r="B2359" s="27" t="n"/>
      <c r="C2359" s="24" t="n"/>
      <c r="D2359" s="28" t="n"/>
      <c r="E2359" s="29" t="n"/>
      <c r="F2359" s="24" t="n"/>
      <c r="G2359" s="24" t="n"/>
      <c r="H2359" s="21">
        <f>IF(ISNUMBER($B2359),INT($B2359)-WEEKDAY($B2359,2)+1,"")</f>
        <v/>
      </c>
      <c r="I2359" s="24" t="n"/>
      <c r="J2359" s="22">
        <f t="array" ref="J2359">IF($D2359="","",IF($I2359="","(trống REF)",IFERROR(INDEX(MASTER_SOURCE!$B$2:$B$495,MATCH($I2359,MASTER_SOURCE!$A$2:$A$495,0)),"(REF không có trong MASTER_SOURCE)")))</f>
        <v/>
      </c>
      <c r="K2359" s="22">
        <f t="array" ref="K2359">IF($D2359="","",IFERROR(INDEX(MASTER_SOURCE!$C$2:$C$495,MATCH($I2359,MASTER_SOURCE!$A$2:$A$495,0)),""))</f>
        <v/>
      </c>
      <c r="L2359" s="22">
        <f t="array" ref="L2359">IF($D2359="","",IFERROR(INDEX(MASTER_SOURCE!$D$2:$D$495,MATCH($I2359,MASTER_SOURCE!$A$2:$A$495,0)),""))</f>
        <v/>
      </c>
      <c r="M2359" s="24" t="n"/>
      <c r="N2359" s="24" t="n"/>
      <c r="O2359" s="24" t="n"/>
      <c r="P2359" s="24" t="n"/>
      <c r="Q2359" s="22">
        <f>IF($D2359="","",IF(AND(OR(DANH_MUC!$L$5&lt;&gt;"Có",M2359="Có"),OR(DANH_MUC!$L$6&lt;&gt;"Có",N2359="Có"),OR(DANH_MUC!$L$7&lt;&gt;"Có",O2359="Có"),OR(DANH_MUC!$L$8&lt;&gt;"Có",P2359="Có")),"Có","Không"))</f>
        <v/>
      </c>
      <c r="R2359" s="22">
        <f>IF($D2359="","",IF(COUNTIF($D$2:$D2359,$D2359)&gt;1,"Trùng",""))</f>
        <v/>
      </c>
      <c r="S2359" s="22">
        <f>IF($D2359="","",IF(AND(LEN($D2359)=10,LEFT($D2359,1)="0",ISNUMBER(--$D2359)),"Có","Không"))</f>
        <v/>
      </c>
      <c r="T2359" s="22">
        <f>IF($D2359="","",IF(AND($C2359&lt;&gt;"",$Q2359="Có",$R2359="",$S2359="Có",AND($L2359&lt;&gt;"",OR($L2359&lt;&gt;"Chưa xác định",DANH_MUC!$L$9="Có"))),"Có","Không"))</f>
        <v/>
      </c>
      <c r="U2359" s="22">
        <f>IF(OR($D2359="",$T2359="Có"),"",IF($C2359="","Thiếu họ tên; ","")&amp;IF($S2359&lt;&gt;"Có","SĐT sai định dạng; ","")&amp;IF($R2359="Trùng","Trùng SĐT; ","")&amp;IF($Q2359&lt;&gt;"Có","Thiếu đồng ý bắt buộc; ","")&amp;IF($L2359="","Thiếu/sai Mã REF; ",IF(AND($L2359="Chưa xác định",DANH_MUC!$L$9&lt;&gt;"Có"),"Nguồn chưa xác định; ","")))</f>
        <v/>
      </c>
      <c r="V2359" s="22">
        <f>IF(OR($D2359="",$R2359="Trùng"),"",IF(COUNTIF(ORDERS!$C$2:$C$4995,$D2359)&gt;0,"Có","Không"))</f>
        <v/>
      </c>
      <c r="W2359" s="22">
        <f>IF(OR($D2359="",$R2359="Trùng"),"",COUNTIFS(ORDERS!$C$2:$C$4995,$D2359,ORDERS!$L$2:$L$4995,"Đã chuyển khoản"))</f>
        <v/>
      </c>
      <c r="X2359" s="23">
        <f>IF(OR($D2359="",$R2359="Trùng"),"",SUMIFS(ORDERS!$J$2:$J$4995,ORDERS!$C$2:$C$4995,$D2359,ORDERS!$L$2:$L$4995,"Đã chuyển khoản"))</f>
        <v/>
      </c>
      <c r="Y2359" s="24" t="n"/>
    </row>
    <row r="2360" ht="14.25" customHeight="1" s="40">
      <c r="A2360" s="24" t="n"/>
      <c r="B2360" s="27" t="n"/>
      <c r="C2360" s="24" t="n"/>
      <c r="D2360" s="28" t="n"/>
      <c r="E2360" s="29" t="n"/>
      <c r="F2360" s="24" t="n"/>
      <c r="G2360" s="24" t="n"/>
      <c r="H2360" s="21">
        <f>IF(ISNUMBER($B2360),INT($B2360)-WEEKDAY($B2360,2)+1,"")</f>
        <v/>
      </c>
      <c r="I2360" s="24" t="n"/>
      <c r="J2360" s="22">
        <f t="array" ref="J2360">IF($D2360="","",IF($I2360="","(trống REF)",IFERROR(INDEX(MASTER_SOURCE!$B$2:$B$495,MATCH($I2360,MASTER_SOURCE!$A$2:$A$495,0)),"(REF không có trong MASTER_SOURCE)")))</f>
        <v/>
      </c>
      <c r="K2360" s="22">
        <f t="array" ref="K2360">IF($D2360="","",IFERROR(INDEX(MASTER_SOURCE!$C$2:$C$495,MATCH($I2360,MASTER_SOURCE!$A$2:$A$495,0)),""))</f>
        <v/>
      </c>
      <c r="L2360" s="22">
        <f t="array" ref="L2360">IF($D2360="","",IFERROR(INDEX(MASTER_SOURCE!$D$2:$D$495,MATCH($I2360,MASTER_SOURCE!$A$2:$A$495,0)),""))</f>
        <v/>
      </c>
      <c r="M2360" s="24" t="n"/>
      <c r="N2360" s="24" t="n"/>
      <c r="O2360" s="24" t="n"/>
      <c r="P2360" s="24" t="n"/>
      <c r="Q2360" s="22">
        <f>IF($D2360="","",IF(AND(OR(DANH_MUC!$L$5&lt;&gt;"Có",M2360="Có"),OR(DANH_MUC!$L$6&lt;&gt;"Có",N2360="Có"),OR(DANH_MUC!$L$7&lt;&gt;"Có",O2360="Có"),OR(DANH_MUC!$L$8&lt;&gt;"Có",P2360="Có")),"Có","Không"))</f>
        <v/>
      </c>
      <c r="R2360" s="22">
        <f>IF($D2360="","",IF(COUNTIF($D$2:$D2360,$D2360)&gt;1,"Trùng",""))</f>
        <v/>
      </c>
      <c r="S2360" s="22">
        <f>IF($D2360="","",IF(AND(LEN($D2360)=10,LEFT($D2360,1)="0",ISNUMBER(--$D2360)),"Có","Không"))</f>
        <v/>
      </c>
      <c r="T2360" s="22">
        <f>IF($D2360="","",IF(AND($C2360&lt;&gt;"",$Q2360="Có",$R2360="",$S2360="Có",AND($L2360&lt;&gt;"",OR($L2360&lt;&gt;"Chưa xác định",DANH_MUC!$L$9="Có"))),"Có","Không"))</f>
        <v/>
      </c>
      <c r="U2360" s="22">
        <f>IF(OR($D2360="",$T2360="Có"),"",IF($C2360="","Thiếu họ tên; ","")&amp;IF($S2360&lt;&gt;"Có","SĐT sai định dạng; ","")&amp;IF($R2360="Trùng","Trùng SĐT; ","")&amp;IF($Q2360&lt;&gt;"Có","Thiếu đồng ý bắt buộc; ","")&amp;IF($L2360="","Thiếu/sai Mã REF; ",IF(AND($L2360="Chưa xác định",DANH_MUC!$L$9&lt;&gt;"Có"),"Nguồn chưa xác định; ","")))</f>
        <v/>
      </c>
      <c r="V2360" s="22">
        <f>IF(OR($D2360="",$R2360="Trùng"),"",IF(COUNTIF(ORDERS!$C$2:$C$4995,$D2360)&gt;0,"Có","Không"))</f>
        <v/>
      </c>
      <c r="W2360" s="22">
        <f>IF(OR($D2360="",$R2360="Trùng"),"",COUNTIFS(ORDERS!$C$2:$C$4995,$D2360,ORDERS!$L$2:$L$4995,"Đã chuyển khoản"))</f>
        <v/>
      </c>
      <c r="X2360" s="23">
        <f>IF(OR($D2360="",$R2360="Trùng"),"",SUMIFS(ORDERS!$J$2:$J$4995,ORDERS!$C$2:$C$4995,$D2360,ORDERS!$L$2:$L$4995,"Đã chuyển khoản"))</f>
        <v/>
      </c>
      <c r="Y2360" s="24" t="n"/>
    </row>
    <row r="2361" ht="14.25" customHeight="1" s="40">
      <c r="A2361" s="24" t="n"/>
      <c r="B2361" s="27" t="n"/>
      <c r="C2361" s="24" t="n"/>
      <c r="D2361" s="28" t="n"/>
      <c r="E2361" s="29" t="n"/>
      <c r="F2361" s="24" t="n"/>
      <c r="G2361" s="24" t="n"/>
      <c r="H2361" s="21">
        <f>IF(ISNUMBER($B2361),INT($B2361)-WEEKDAY($B2361,2)+1,"")</f>
        <v/>
      </c>
      <c r="I2361" s="24" t="n"/>
      <c r="J2361" s="22">
        <f t="array" ref="J2361">IF($D2361="","",IF($I2361="","(trống REF)",IFERROR(INDEX(MASTER_SOURCE!$B$2:$B$495,MATCH($I2361,MASTER_SOURCE!$A$2:$A$495,0)),"(REF không có trong MASTER_SOURCE)")))</f>
        <v/>
      </c>
      <c r="K2361" s="22">
        <f t="array" ref="K2361">IF($D2361="","",IFERROR(INDEX(MASTER_SOURCE!$C$2:$C$495,MATCH($I2361,MASTER_SOURCE!$A$2:$A$495,0)),""))</f>
        <v/>
      </c>
      <c r="L2361" s="22">
        <f t="array" ref="L2361">IF($D2361="","",IFERROR(INDEX(MASTER_SOURCE!$D$2:$D$495,MATCH($I2361,MASTER_SOURCE!$A$2:$A$495,0)),""))</f>
        <v/>
      </c>
      <c r="M2361" s="24" t="n"/>
      <c r="N2361" s="24" t="n"/>
      <c r="O2361" s="24" t="n"/>
      <c r="P2361" s="24" t="n"/>
      <c r="Q2361" s="22">
        <f>IF($D2361="","",IF(AND(OR(DANH_MUC!$L$5&lt;&gt;"Có",M2361="Có"),OR(DANH_MUC!$L$6&lt;&gt;"Có",N2361="Có"),OR(DANH_MUC!$L$7&lt;&gt;"Có",O2361="Có"),OR(DANH_MUC!$L$8&lt;&gt;"Có",P2361="Có")),"Có","Không"))</f>
        <v/>
      </c>
      <c r="R2361" s="22">
        <f>IF($D2361="","",IF(COUNTIF($D$2:$D2361,$D2361)&gt;1,"Trùng",""))</f>
        <v/>
      </c>
      <c r="S2361" s="22">
        <f>IF($D2361="","",IF(AND(LEN($D2361)=10,LEFT($D2361,1)="0",ISNUMBER(--$D2361)),"Có","Không"))</f>
        <v/>
      </c>
      <c r="T2361" s="22">
        <f>IF($D2361="","",IF(AND($C2361&lt;&gt;"",$Q2361="Có",$R2361="",$S2361="Có",AND($L2361&lt;&gt;"",OR($L2361&lt;&gt;"Chưa xác định",DANH_MUC!$L$9="Có"))),"Có","Không"))</f>
        <v/>
      </c>
      <c r="U2361" s="22">
        <f>IF(OR($D2361="",$T2361="Có"),"",IF($C2361="","Thiếu họ tên; ","")&amp;IF($S2361&lt;&gt;"Có","SĐT sai định dạng; ","")&amp;IF($R2361="Trùng","Trùng SĐT; ","")&amp;IF($Q2361&lt;&gt;"Có","Thiếu đồng ý bắt buộc; ","")&amp;IF($L2361="","Thiếu/sai Mã REF; ",IF(AND($L2361="Chưa xác định",DANH_MUC!$L$9&lt;&gt;"Có"),"Nguồn chưa xác định; ","")))</f>
        <v/>
      </c>
      <c r="V2361" s="22">
        <f>IF(OR($D2361="",$R2361="Trùng"),"",IF(COUNTIF(ORDERS!$C$2:$C$4995,$D2361)&gt;0,"Có","Không"))</f>
        <v/>
      </c>
      <c r="W2361" s="22">
        <f>IF(OR($D2361="",$R2361="Trùng"),"",COUNTIFS(ORDERS!$C$2:$C$4995,$D2361,ORDERS!$L$2:$L$4995,"Đã chuyển khoản"))</f>
        <v/>
      </c>
      <c r="X2361" s="23">
        <f>IF(OR($D2361="",$R2361="Trùng"),"",SUMIFS(ORDERS!$J$2:$J$4995,ORDERS!$C$2:$C$4995,$D2361,ORDERS!$L$2:$L$4995,"Đã chuyển khoản"))</f>
        <v/>
      </c>
      <c r="Y2361" s="24" t="n"/>
    </row>
    <row r="2362" ht="14.25" customHeight="1" s="40">
      <c r="A2362" s="24" t="n"/>
      <c r="B2362" s="27" t="n"/>
      <c r="C2362" s="24" t="n"/>
      <c r="D2362" s="28" t="n"/>
      <c r="E2362" s="29" t="n"/>
      <c r="F2362" s="24" t="n"/>
      <c r="G2362" s="24" t="n"/>
      <c r="H2362" s="21">
        <f>IF(ISNUMBER($B2362),INT($B2362)-WEEKDAY($B2362,2)+1,"")</f>
        <v/>
      </c>
      <c r="I2362" s="24" t="n"/>
      <c r="J2362" s="22">
        <f t="array" ref="J2362">IF($D2362="","",IF($I2362="","(trống REF)",IFERROR(INDEX(MASTER_SOURCE!$B$2:$B$495,MATCH($I2362,MASTER_SOURCE!$A$2:$A$495,0)),"(REF không có trong MASTER_SOURCE)")))</f>
        <v/>
      </c>
      <c r="K2362" s="22">
        <f t="array" ref="K2362">IF($D2362="","",IFERROR(INDEX(MASTER_SOURCE!$C$2:$C$495,MATCH($I2362,MASTER_SOURCE!$A$2:$A$495,0)),""))</f>
        <v/>
      </c>
      <c r="L2362" s="22">
        <f t="array" ref="L2362">IF($D2362="","",IFERROR(INDEX(MASTER_SOURCE!$D$2:$D$495,MATCH($I2362,MASTER_SOURCE!$A$2:$A$495,0)),""))</f>
        <v/>
      </c>
      <c r="M2362" s="24" t="n"/>
      <c r="N2362" s="24" t="n"/>
      <c r="O2362" s="24" t="n"/>
      <c r="P2362" s="24" t="n"/>
      <c r="Q2362" s="22">
        <f>IF($D2362="","",IF(AND(OR(DANH_MUC!$L$5&lt;&gt;"Có",M2362="Có"),OR(DANH_MUC!$L$6&lt;&gt;"Có",N2362="Có"),OR(DANH_MUC!$L$7&lt;&gt;"Có",O2362="Có"),OR(DANH_MUC!$L$8&lt;&gt;"Có",P2362="Có")),"Có","Không"))</f>
        <v/>
      </c>
      <c r="R2362" s="22">
        <f>IF($D2362="","",IF(COUNTIF($D$2:$D2362,$D2362)&gt;1,"Trùng",""))</f>
        <v/>
      </c>
      <c r="S2362" s="22">
        <f>IF($D2362="","",IF(AND(LEN($D2362)=10,LEFT($D2362,1)="0",ISNUMBER(--$D2362)),"Có","Không"))</f>
        <v/>
      </c>
      <c r="T2362" s="22">
        <f>IF($D2362="","",IF(AND($C2362&lt;&gt;"",$Q2362="Có",$R2362="",$S2362="Có",AND($L2362&lt;&gt;"",OR($L2362&lt;&gt;"Chưa xác định",DANH_MUC!$L$9="Có"))),"Có","Không"))</f>
        <v/>
      </c>
      <c r="U2362" s="22">
        <f>IF(OR($D2362="",$T2362="Có"),"",IF($C2362="","Thiếu họ tên; ","")&amp;IF($S2362&lt;&gt;"Có","SĐT sai định dạng; ","")&amp;IF($R2362="Trùng","Trùng SĐT; ","")&amp;IF($Q2362&lt;&gt;"Có","Thiếu đồng ý bắt buộc; ","")&amp;IF($L2362="","Thiếu/sai Mã REF; ",IF(AND($L2362="Chưa xác định",DANH_MUC!$L$9&lt;&gt;"Có"),"Nguồn chưa xác định; ","")))</f>
        <v/>
      </c>
      <c r="V2362" s="22">
        <f>IF(OR($D2362="",$R2362="Trùng"),"",IF(COUNTIF(ORDERS!$C$2:$C$4995,$D2362)&gt;0,"Có","Không"))</f>
        <v/>
      </c>
      <c r="W2362" s="22">
        <f>IF(OR($D2362="",$R2362="Trùng"),"",COUNTIFS(ORDERS!$C$2:$C$4995,$D2362,ORDERS!$L$2:$L$4995,"Đã chuyển khoản"))</f>
        <v/>
      </c>
      <c r="X2362" s="23">
        <f>IF(OR($D2362="",$R2362="Trùng"),"",SUMIFS(ORDERS!$J$2:$J$4995,ORDERS!$C$2:$C$4995,$D2362,ORDERS!$L$2:$L$4995,"Đã chuyển khoản"))</f>
        <v/>
      </c>
      <c r="Y2362" s="24" t="n"/>
    </row>
    <row r="2363" ht="14.25" customHeight="1" s="40">
      <c r="A2363" s="24" t="n"/>
      <c r="B2363" s="27" t="n"/>
      <c r="C2363" s="24" t="n"/>
      <c r="D2363" s="28" t="n"/>
      <c r="E2363" s="29" t="n"/>
      <c r="F2363" s="24" t="n"/>
      <c r="G2363" s="24" t="n"/>
      <c r="H2363" s="21">
        <f>IF(ISNUMBER($B2363),INT($B2363)-WEEKDAY($B2363,2)+1,"")</f>
        <v/>
      </c>
      <c r="I2363" s="24" t="n"/>
      <c r="J2363" s="22">
        <f t="array" ref="J2363">IF($D2363="","",IF($I2363="","(trống REF)",IFERROR(INDEX(MASTER_SOURCE!$B$2:$B$495,MATCH($I2363,MASTER_SOURCE!$A$2:$A$495,0)),"(REF không có trong MASTER_SOURCE)")))</f>
        <v/>
      </c>
      <c r="K2363" s="22">
        <f t="array" ref="K2363">IF($D2363="","",IFERROR(INDEX(MASTER_SOURCE!$C$2:$C$495,MATCH($I2363,MASTER_SOURCE!$A$2:$A$495,0)),""))</f>
        <v/>
      </c>
      <c r="L2363" s="22">
        <f t="array" ref="L2363">IF($D2363="","",IFERROR(INDEX(MASTER_SOURCE!$D$2:$D$495,MATCH($I2363,MASTER_SOURCE!$A$2:$A$495,0)),""))</f>
        <v/>
      </c>
      <c r="M2363" s="24" t="n"/>
      <c r="N2363" s="24" t="n"/>
      <c r="O2363" s="24" t="n"/>
      <c r="P2363" s="24" t="n"/>
      <c r="Q2363" s="22">
        <f>IF($D2363="","",IF(AND(OR(DANH_MUC!$L$5&lt;&gt;"Có",M2363="Có"),OR(DANH_MUC!$L$6&lt;&gt;"Có",N2363="Có"),OR(DANH_MUC!$L$7&lt;&gt;"Có",O2363="Có"),OR(DANH_MUC!$L$8&lt;&gt;"Có",P2363="Có")),"Có","Không"))</f>
        <v/>
      </c>
      <c r="R2363" s="22">
        <f>IF($D2363="","",IF(COUNTIF($D$2:$D2363,$D2363)&gt;1,"Trùng",""))</f>
        <v/>
      </c>
      <c r="S2363" s="22">
        <f>IF($D2363="","",IF(AND(LEN($D2363)=10,LEFT($D2363,1)="0",ISNUMBER(--$D2363)),"Có","Không"))</f>
        <v/>
      </c>
      <c r="T2363" s="22">
        <f>IF($D2363="","",IF(AND($C2363&lt;&gt;"",$Q2363="Có",$R2363="",$S2363="Có",AND($L2363&lt;&gt;"",OR($L2363&lt;&gt;"Chưa xác định",DANH_MUC!$L$9="Có"))),"Có","Không"))</f>
        <v/>
      </c>
      <c r="U2363" s="22">
        <f>IF(OR($D2363="",$T2363="Có"),"",IF($C2363="","Thiếu họ tên; ","")&amp;IF($S2363&lt;&gt;"Có","SĐT sai định dạng; ","")&amp;IF($R2363="Trùng","Trùng SĐT; ","")&amp;IF($Q2363&lt;&gt;"Có","Thiếu đồng ý bắt buộc; ","")&amp;IF($L2363="","Thiếu/sai Mã REF; ",IF(AND($L2363="Chưa xác định",DANH_MUC!$L$9&lt;&gt;"Có"),"Nguồn chưa xác định; ","")))</f>
        <v/>
      </c>
      <c r="V2363" s="22">
        <f>IF(OR($D2363="",$R2363="Trùng"),"",IF(COUNTIF(ORDERS!$C$2:$C$4995,$D2363)&gt;0,"Có","Không"))</f>
        <v/>
      </c>
      <c r="W2363" s="22">
        <f>IF(OR($D2363="",$R2363="Trùng"),"",COUNTIFS(ORDERS!$C$2:$C$4995,$D2363,ORDERS!$L$2:$L$4995,"Đã chuyển khoản"))</f>
        <v/>
      </c>
      <c r="X2363" s="23">
        <f>IF(OR($D2363="",$R2363="Trùng"),"",SUMIFS(ORDERS!$J$2:$J$4995,ORDERS!$C$2:$C$4995,$D2363,ORDERS!$L$2:$L$4995,"Đã chuyển khoản"))</f>
        <v/>
      </c>
      <c r="Y2363" s="24" t="n"/>
    </row>
    <row r="2364" ht="14.25" customHeight="1" s="40">
      <c r="A2364" s="24" t="n"/>
      <c r="B2364" s="27" t="n"/>
      <c r="C2364" s="24" t="n"/>
      <c r="D2364" s="28" t="n"/>
      <c r="E2364" s="29" t="n"/>
      <c r="F2364" s="24" t="n"/>
      <c r="G2364" s="24" t="n"/>
      <c r="H2364" s="21">
        <f>IF(ISNUMBER($B2364),INT($B2364)-WEEKDAY($B2364,2)+1,"")</f>
        <v/>
      </c>
      <c r="I2364" s="24" t="n"/>
      <c r="J2364" s="22">
        <f t="array" ref="J2364">IF($D2364="","",IF($I2364="","(trống REF)",IFERROR(INDEX(MASTER_SOURCE!$B$2:$B$495,MATCH($I2364,MASTER_SOURCE!$A$2:$A$495,0)),"(REF không có trong MASTER_SOURCE)")))</f>
        <v/>
      </c>
      <c r="K2364" s="22">
        <f t="array" ref="K2364">IF($D2364="","",IFERROR(INDEX(MASTER_SOURCE!$C$2:$C$495,MATCH($I2364,MASTER_SOURCE!$A$2:$A$495,0)),""))</f>
        <v/>
      </c>
      <c r="L2364" s="22">
        <f t="array" ref="L2364">IF($D2364="","",IFERROR(INDEX(MASTER_SOURCE!$D$2:$D$495,MATCH($I2364,MASTER_SOURCE!$A$2:$A$495,0)),""))</f>
        <v/>
      </c>
      <c r="M2364" s="24" t="n"/>
      <c r="N2364" s="24" t="n"/>
      <c r="O2364" s="24" t="n"/>
      <c r="P2364" s="24" t="n"/>
      <c r="Q2364" s="22">
        <f>IF($D2364="","",IF(AND(OR(DANH_MUC!$L$5&lt;&gt;"Có",M2364="Có"),OR(DANH_MUC!$L$6&lt;&gt;"Có",N2364="Có"),OR(DANH_MUC!$L$7&lt;&gt;"Có",O2364="Có"),OR(DANH_MUC!$L$8&lt;&gt;"Có",P2364="Có")),"Có","Không"))</f>
        <v/>
      </c>
      <c r="R2364" s="22">
        <f>IF($D2364="","",IF(COUNTIF($D$2:$D2364,$D2364)&gt;1,"Trùng",""))</f>
        <v/>
      </c>
      <c r="S2364" s="22">
        <f>IF($D2364="","",IF(AND(LEN($D2364)=10,LEFT($D2364,1)="0",ISNUMBER(--$D2364)),"Có","Không"))</f>
        <v/>
      </c>
      <c r="T2364" s="22">
        <f>IF($D2364="","",IF(AND($C2364&lt;&gt;"",$Q2364="Có",$R2364="",$S2364="Có",AND($L2364&lt;&gt;"",OR($L2364&lt;&gt;"Chưa xác định",DANH_MUC!$L$9="Có"))),"Có","Không"))</f>
        <v/>
      </c>
      <c r="U2364" s="22">
        <f>IF(OR($D2364="",$T2364="Có"),"",IF($C2364="","Thiếu họ tên; ","")&amp;IF($S2364&lt;&gt;"Có","SĐT sai định dạng; ","")&amp;IF($R2364="Trùng","Trùng SĐT; ","")&amp;IF($Q2364&lt;&gt;"Có","Thiếu đồng ý bắt buộc; ","")&amp;IF($L2364="","Thiếu/sai Mã REF; ",IF(AND($L2364="Chưa xác định",DANH_MUC!$L$9&lt;&gt;"Có"),"Nguồn chưa xác định; ","")))</f>
        <v/>
      </c>
      <c r="V2364" s="22">
        <f>IF(OR($D2364="",$R2364="Trùng"),"",IF(COUNTIF(ORDERS!$C$2:$C$4995,$D2364)&gt;0,"Có","Không"))</f>
        <v/>
      </c>
      <c r="W2364" s="22">
        <f>IF(OR($D2364="",$R2364="Trùng"),"",COUNTIFS(ORDERS!$C$2:$C$4995,$D2364,ORDERS!$L$2:$L$4995,"Đã chuyển khoản"))</f>
        <v/>
      </c>
      <c r="X2364" s="23">
        <f>IF(OR($D2364="",$R2364="Trùng"),"",SUMIFS(ORDERS!$J$2:$J$4995,ORDERS!$C$2:$C$4995,$D2364,ORDERS!$L$2:$L$4995,"Đã chuyển khoản"))</f>
        <v/>
      </c>
      <c r="Y2364" s="24" t="n"/>
    </row>
    <row r="2365" ht="14.25" customHeight="1" s="40">
      <c r="A2365" s="24" t="n"/>
      <c r="B2365" s="27" t="n"/>
      <c r="C2365" s="24" t="n"/>
      <c r="D2365" s="28" t="n"/>
      <c r="E2365" s="29" t="n"/>
      <c r="F2365" s="24" t="n"/>
      <c r="G2365" s="24" t="n"/>
      <c r="H2365" s="21">
        <f>IF(ISNUMBER($B2365),INT($B2365)-WEEKDAY($B2365,2)+1,"")</f>
        <v/>
      </c>
      <c r="I2365" s="24" t="n"/>
      <c r="J2365" s="22">
        <f t="array" ref="J2365">IF($D2365="","",IF($I2365="","(trống REF)",IFERROR(INDEX(MASTER_SOURCE!$B$2:$B$495,MATCH($I2365,MASTER_SOURCE!$A$2:$A$495,0)),"(REF không có trong MASTER_SOURCE)")))</f>
        <v/>
      </c>
      <c r="K2365" s="22">
        <f t="array" ref="K2365">IF($D2365="","",IFERROR(INDEX(MASTER_SOURCE!$C$2:$C$495,MATCH($I2365,MASTER_SOURCE!$A$2:$A$495,0)),""))</f>
        <v/>
      </c>
      <c r="L2365" s="22">
        <f t="array" ref="L2365">IF($D2365="","",IFERROR(INDEX(MASTER_SOURCE!$D$2:$D$495,MATCH($I2365,MASTER_SOURCE!$A$2:$A$495,0)),""))</f>
        <v/>
      </c>
      <c r="M2365" s="24" t="n"/>
      <c r="N2365" s="24" t="n"/>
      <c r="O2365" s="24" t="n"/>
      <c r="P2365" s="24" t="n"/>
      <c r="Q2365" s="22">
        <f>IF($D2365="","",IF(AND(OR(DANH_MUC!$L$5&lt;&gt;"Có",M2365="Có"),OR(DANH_MUC!$L$6&lt;&gt;"Có",N2365="Có"),OR(DANH_MUC!$L$7&lt;&gt;"Có",O2365="Có"),OR(DANH_MUC!$L$8&lt;&gt;"Có",P2365="Có")),"Có","Không"))</f>
        <v/>
      </c>
      <c r="R2365" s="22">
        <f>IF($D2365="","",IF(COUNTIF($D$2:$D2365,$D2365)&gt;1,"Trùng",""))</f>
        <v/>
      </c>
      <c r="S2365" s="22">
        <f>IF($D2365="","",IF(AND(LEN($D2365)=10,LEFT($D2365,1)="0",ISNUMBER(--$D2365)),"Có","Không"))</f>
        <v/>
      </c>
      <c r="T2365" s="22">
        <f>IF($D2365="","",IF(AND($C2365&lt;&gt;"",$Q2365="Có",$R2365="",$S2365="Có",AND($L2365&lt;&gt;"",OR($L2365&lt;&gt;"Chưa xác định",DANH_MUC!$L$9="Có"))),"Có","Không"))</f>
        <v/>
      </c>
      <c r="U2365" s="22">
        <f>IF(OR($D2365="",$T2365="Có"),"",IF($C2365="","Thiếu họ tên; ","")&amp;IF($S2365&lt;&gt;"Có","SĐT sai định dạng; ","")&amp;IF($R2365="Trùng","Trùng SĐT; ","")&amp;IF($Q2365&lt;&gt;"Có","Thiếu đồng ý bắt buộc; ","")&amp;IF($L2365="","Thiếu/sai Mã REF; ",IF(AND($L2365="Chưa xác định",DANH_MUC!$L$9&lt;&gt;"Có"),"Nguồn chưa xác định; ","")))</f>
        <v/>
      </c>
      <c r="V2365" s="22">
        <f>IF(OR($D2365="",$R2365="Trùng"),"",IF(COUNTIF(ORDERS!$C$2:$C$4995,$D2365)&gt;0,"Có","Không"))</f>
        <v/>
      </c>
      <c r="W2365" s="22">
        <f>IF(OR($D2365="",$R2365="Trùng"),"",COUNTIFS(ORDERS!$C$2:$C$4995,$D2365,ORDERS!$L$2:$L$4995,"Đã chuyển khoản"))</f>
        <v/>
      </c>
      <c r="X2365" s="23">
        <f>IF(OR($D2365="",$R2365="Trùng"),"",SUMIFS(ORDERS!$J$2:$J$4995,ORDERS!$C$2:$C$4995,$D2365,ORDERS!$L$2:$L$4995,"Đã chuyển khoản"))</f>
        <v/>
      </c>
      <c r="Y2365" s="24" t="n"/>
    </row>
    <row r="2366" ht="14.25" customHeight="1" s="40">
      <c r="A2366" s="24" t="n"/>
      <c r="B2366" s="27" t="n"/>
      <c r="C2366" s="24" t="n"/>
      <c r="D2366" s="28" t="n"/>
      <c r="E2366" s="29" t="n"/>
      <c r="F2366" s="24" t="n"/>
      <c r="G2366" s="24" t="n"/>
      <c r="H2366" s="21">
        <f>IF(ISNUMBER($B2366),INT($B2366)-WEEKDAY($B2366,2)+1,"")</f>
        <v/>
      </c>
      <c r="I2366" s="24" t="n"/>
      <c r="J2366" s="22">
        <f t="array" ref="J2366">IF($D2366="","",IF($I2366="","(trống REF)",IFERROR(INDEX(MASTER_SOURCE!$B$2:$B$495,MATCH($I2366,MASTER_SOURCE!$A$2:$A$495,0)),"(REF không có trong MASTER_SOURCE)")))</f>
        <v/>
      </c>
      <c r="K2366" s="22">
        <f t="array" ref="K2366">IF($D2366="","",IFERROR(INDEX(MASTER_SOURCE!$C$2:$C$495,MATCH($I2366,MASTER_SOURCE!$A$2:$A$495,0)),""))</f>
        <v/>
      </c>
      <c r="L2366" s="22">
        <f t="array" ref="L2366">IF($D2366="","",IFERROR(INDEX(MASTER_SOURCE!$D$2:$D$495,MATCH($I2366,MASTER_SOURCE!$A$2:$A$495,0)),""))</f>
        <v/>
      </c>
      <c r="M2366" s="24" t="n"/>
      <c r="N2366" s="24" t="n"/>
      <c r="O2366" s="24" t="n"/>
      <c r="P2366" s="24" t="n"/>
      <c r="Q2366" s="22">
        <f>IF($D2366="","",IF(AND(OR(DANH_MUC!$L$5&lt;&gt;"Có",M2366="Có"),OR(DANH_MUC!$L$6&lt;&gt;"Có",N2366="Có"),OR(DANH_MUC!$L$7&lt;&gt;"Có",O2366="Có"),OR(DANH_MUC!$L$8&lt;&gt;"Có",P2366="Có")),"Có","Không"))</f>
        <v/>
      </c>
      <c r="R2366" s="22">
        <f>IF($D2366="","",IF(COUNTIF($D$2:$D2366,$D2366)&gt;1,"Trùng",""))</f>
        <v/>
      </c>
      <c r="S2366" s="22">
        <f>IF($D2366="","",IF(AND(LEN($D2366)=10,LEFT($D2366,1)="0",ISNUMBER(--$D2366)),"Có","Không"))</f>
        <v/>
      </c>
      <c r="T2366" s="22">
        <f>IF($D2366="","",IF(AND($C2366&lt;&gt;"",$Q2366="Có",$R2366="",$S2366="Có",AND($L2366&lt;&gt;"",OR($L2366&lt;&gt;"Chưa xác định",DANH_MUC!$L$9="Có"))),"Có","Không"))</f>
        <v/>
      </c>
      <c r="U2366" s="22">
        <f>IF(OR($D2366="",$T2366="Có"),"",IF($C2366="","Thiếu họ tên; ","")&amp;IF($S2366&lt;&gt;"Có","SĐT sai định dạng; ","")&amp;IF($R2366="Trùng","Trùng SĐT; ","")&amp;IF($Q2366&lt;&gt;"Có","Thiếu đồng ý bắt buộc; ","")&amp;IF($L2366="","Thiếu/sai Mã REF; ",IF(AND($L2366="Chưa xác định",DANH_MUC!$L$9&lt;&gt;"Có"),"Nguồn chưa xác định; ","")))</f>
        <v/>
      </c>
      <c r="V2366" s="22">
        <f>IF(OR($D2366="",$R2366="Trùng"),"",IF(COUNTIF(ORDERS!$C$2:$C$4995,$D2366)&gt;0,"Có","Không"))</f>
        <v/>
      </c>
      <c r="W2366" s="22">
        <f>IF(OR($D2366="",$R2366="Trùng"),"",COUNTIFS(ORDERS!$C$2:$C$4995,$D2366,ORDERS!$L$2:$L$4995,"Đã chuyển khoản"))</f>
        <v/>
      </c>
      <c r="X2366" s="23">
        <f>IF(OR($D2366="",$R2366="Trùng"),"",SUMIFS(ORDERS!$J$2:$J$4995,ORDERS!$C$2:$C$4995,$D2366,ORDERS!$L$2:$L$4995,"Đã chuyển khoản"))</f>
        <v/>
      </c>
      <c r="Y2366" s="24" t="n"/>
    </row>
    <row r="2367" ht="14.25" customHeight="1" s="40">
      <c r="A2367" s="24" t="n"/>
      <c r="B2367" s="27" t="n"/>
      <c r="C2367" s="24" t="n"/>
      <c r="D2367" s="28" t="n"/>
      <c r="E2367" s="29" t="n"/>
      <c r="F2367" s="24" t="n"/>
      <c r="G2367" s="24" t="n"/>
      <c r="H2367" s="21">
        <f>IF(ISNUMBER($B2367),INT($B2367)-WEEKDAY($B2367,2)+1,"")</f>
        <v/>
      </c>
      <c r="I2367" s="24" t="n"/>
      <c r="J2367" s="22">
        <f t="array" ref="J2367">IF($D2367="","",IF($I2367="","(trống REF)",IFERROR(INDEX(MASTER_SOURCE!$B$2:$B$495,MATCH($I2367,MASTER_SOURCE!$A$2:$A$495,0)),"(REF không có trong MASTER_SOURCE)")))</f>
        <v/>
      </c>
      <c r="K2367" s="22">
        <f t="array" ref="K2367">IF($D2367="","",IFERROR(INDEX(MASTER_SOURCE!$C$2:$C$495,MATCH($I2367,MASTER_SOURCE!$A$2:$A$495,0)),""))</f>
        <v/>
      </c>
      <c r="L2367" s="22">
        <f t="array" ref="L2367">IF($D2367="","",IFERROR(INDEX(MASTER_SOURCE!$D$2:$D$495,MATCH($I2367,MASTER_SOURCE!$A$2:$A$495,0)),""))</f>
        <v/>
      </c>
      <c r="M2367" s="24" t="n"/>
      <c r="N2367" s="24" t="n"/>
      <c r="O2367" s="24" t="n"/>
      <c r="P2367" s="24" t="n"/>
      <c r="Q2367" s="22">
        <f>IF($D2367="","",IF(AND(OR(DANH_MUC!$L$5&lt;&gt;"Có",M2367="Có"),OR(DANH_MUC!$L$6&lt;&gt;"Có",N2367="Có"),OR(DANH_MUC!$L$7&lt;&gt;"Có",O2367="Có"),OR(DANH_MUC!$L$8&lt;&gt;"Có",P2367="Có")),"Có","Không"))</f>
        <v/>
      </c>
      <c r="R2367" s="22">
        <f>IF($D2367="","",IF(COUNTIF($D$2:$D2367,$D2367)&gt;1,"Trùng",""))</f>
        <v/>
      </c>
      <c r="S2367" s="22">
        <f>IF($D2367="","",IF(AND(LEN($D2367)=10,LEFT($D2367,1)="0",ISNUMBER(--$D2367)),"Có","Không"))</f>
        <v/>
      </c>
      <c r="T2367" s="22">
        <f>IF($D2367="","",IF(AND($C2367&lt;&gt;"",$Q2367="Có",$R2367="",$S2367="Có",AND($L2367&lt;&gt;"",OR($L2367&lt;&gt;"Chưa xác định",DANH_MUC!$L$9="Có"))),"Có","Không"))</f>
        <v/>
      </c>
      <c r="U2367" s="22">
        <f>IF(OR($D2367="",$T2367="Có"),"",IF($C2367="","Thiếu họ tên; ","")&amp;IF($S2367&lt;&gt;"Có","SĐT sai định dạng; ","")&amp;IF($R2367="Trùng","Trùng SĐT; ","")&amp;IF($Q2367&lt;&gt;"Có","Thiếu đồng ý bắt buộc; ","")&amp;IF($L2367="","Thiếu/sai Mã REF; ",IF(AND($L2367="Chưa xác định",DANH_MUC!$L$9&lt;&gt;"Có"),"Nguồn chưa xác định; ","")))</f>
        <v/>
      </c>
      <c r="V2367" s="22">
        <f>IF(OR($D2367="",$R2367="Trùng"),"",IF(COUNTIF(ORDERS!$C$2:$C$4995,$D2367)&gt;0,"Có","Không"))</f>
        <v/>
      </c>
      <c r="W2367" s="22">
        <f>IF(OR($D2367="",$R2367="Trùng"),"",COUNTIFS(ORDERS!$C$2:$C$4995,$D2367,ORDERS!$L$2:$L$4995,"Đã chuyển khoản"))</f>
        <v/>
      </c>
      <c r="X2367" s="23">
        <f>IF(OR($D2367="",$R2367="Trùng"),"",SUMIFS(ORDERS!$J$2:$J$4995,ORDERS!$C$2:$C$4995,$D2367,ORDERS!$L$2:$L$4995,"Đã chuyển khoản"))</f>
        <v/>
      </c>
      <c r="Y2367" s="24" t="n"/>
    </row>
    <row r="2368" ht="14.25" customHeight="1" s="40">
      <c r="A2368" s="24" t="n"/>
      <c r="B2368" s="27" t="n"/>
      <c r="C2368" s="24" t="n"/>
      <c r="D2368" s="28" t="n"/>
      <c r="E2368" s="29" t="n"/>
      <c r="F2368" s="24" t="n"/>
      <c r="G2368" s="24" t="n"/>
      <c r="H2368" s="21">
        <f>IF(ISNUMBER($B2368),INT($B2368)-WEEKDAY($B2368,2)+1,"")</f>
        <v/>
      </c>
      <c r="I2368" s="24" t="n"/>
      <c r="J2368" s="22">
        <f t="array" ref="J2368">IF($D2368="","",IF($I2368="","(trống REF)",IFERROR(INDEX(MASTER_SOURCE!$B$2:$B$495,MATCH($I2368,MASTER_SOURCE!$A$2:$A$495,0)),"(REF không có trong MASTER_SOURCE)")))</f>
        <v/>
      </c>
      <c r="K2368" s="22">
        <f t="array" ref="K2368">IF($D2368="","",IFERROR(INDEX(MASTER_SOURCE!$C$2:$C$495,MATCH($I2368,MASTER_SOURCE!$A$2:$A$495,0)),""))</f>
        <v/>
      </c>
      <c r="L2368" s="22">
        <f t="array" ref="L2368">IF($D2368="","",IFERROR(INDEX(MASTER_SOURCE!$D$2:$D$495,MATCH($I2368,MASTER_SOURCE!$A$2:$A$495,0)),""))</f>
        <v/>
      </c>
      <c r="M2368" s="24" t="n"/>
      <c r="N2368" s="24" t="n"/>
      <c r="O2368" s="24" t="n"/>
      <c r="P2368" s="24" t="n"/>
      <c r="Q2368" s="22">
        <f>IF($D2368="","",IF(AND(OR(DANH_MUC!$L$5&lt;&gt;"Có",M2368="Có"),OR(DANH_MUC!$L$6&lt;&gt;"Có",N2368="Có"),OR(DANH_MUC!$L$7&lt;&gt;"Có",O2368="Có"),OR(DANH_MUC!$L$8&lt;&gt;"Có",P2368="Có")),"Có","Không"))</f>
        <v/>
      </c>
      <c r="R2368" s="22">
        <f>IF($D2368="","",IF(COUNTIF($D$2:$D2368,$D2368)&gt;1,"Trùng",""))</f>
        <v/>
      </c>
      <c r="S2368" s="22">
        <f>IF($D2368="","",IF(AND(LEN($D2368)=10,LEFT($D2368,1)="0",ISNUMBER(--$D2368)),"Có","Không"))</f>
        <v/>
      </c>
      <c r="T2368" s="22">
        <f>IF($D2368="","",IF(AND($C2368&lt;&gt;"",$Q2368="Có",$R2368="",$S2368="Có",AND($L2368&lt;&gt;"",OR($L2368&lt;&gt;"Chưa xác định",DANH_MUC!$L$9="Có"))),"Có","Không"))</f>
        <v/>
      </c>
      <c r="U2368" s="22">
        <f>IF(OR($D2368="",$T2368="Có"),"",IF($C2368="","Thiếu họ tên; ","")&amp;IF($S2368&lt;&gt;"Có","SĐT sai định dạng; ","")&amp;IF($R2368="Trùng","Trùng SĐT; ","")&amp;IF($Q2368&lt;&gt;"Có","Thiếu đồng ý bắt buộc; ","")&amp;IF($L2368="","Thiếu/sai Mã REF; ",IF(AND($L2368="Chưa xác định",DANH_MUC!$L$9&lt;&gt;"Có"),"Nguồn chưa xác định; ","")))</f>
        <v/>
      </c>
      <c r="V2368" s="22">
        <f>IF(OR($D2368="",$R2368="Trùng"),"",IF(COUNTIF(ORDERS!$C$2:$C$4995,$D2368)&gt;0,"Có","Không"))</f>
        <v/>
      </c>
      <c r="W2368" s="22">
        <f>IF(OR($D2368="",$R2368="Trùng"),"",COUNTIFS(ORDERS!$C$2:$C$4995,$D2368,ORDERS!$L$2:$L$4995,"Đã chuyển khoản"))</f>
        <v/>
      </c>
      <c r="X2368" s="23">
        <f>IF(OR($D2368="",$R2368="Trùng"),"",SUMIFS(ORDERS!$J$2:$J$4995,ORDERS!$C$2:$C$4995,$D2368,ORDERS!$L$2:$L$4995,"Đã chuyển khoản"))</f>
        <v/>
      </c>
      <c r="Y2368" s="24" t="n"/>
    </row>
    <row r="2369" ht="14.25" customHeight="1" s="40">
      <c r="A2369" s="24" t="n"/>
      <c r="B2369" s="27" t="n"/>
      <c r="C2369" s="24" t="n"/>
      <c r="D2369" s="28" t="n"/>
      <c r="E2369" s="29" t="n"/>
      <c r="F2369" s="24" t="n"/>
      <c r="G2369" s="24" t="n"/>
      <c r="H2369" s="21">
        <f>IF(ISNUMBER($B2369),INT($B2369)-WEEKDAY($B2369,2)+1,"")</f>
        <v/>
      </c>
      <c r="I2369" s="24" t="n"/>
      <c r="J2369" s="22">
        <f t="array" ref="J2369">IF($D2369="","",IF($I2369="","(trống REF)",IFERROR(INDEX(MASTER_SOURCE!$B$2:$B$495,MATCH($I2369,MASTER_SOURCE!$A$2:$A$495,0)),"(REF không có trong MASTER_SOURCE)")))</f>
        <v/>
      </c>
      <c r="K2369" s="22">
        <f t="array" ref="K2369">IF($D2369="","",IFERROR(INDEX(MASTER_SOURCE!$C$2:$C$495,MATCH($I2369,MASTER_SOURCE!$A$2:$A$495,0)),""))</f>
        <v/>
      </c>
      <c r="L2369" s="22">
        <f t="array" ref="L2369">IF($D2369="","",IFERROR(INDEX(MASTER_SOURCE!$D$2:$D$495,MATCH($I2369,MASTER_SOURCE!$A$2:$A$495,0)),""))</f>
        <v/>
      </c>
      <c r="M2369" s="24" t="n"/>
      <c r="N2369" s="24" t="n"/>
      <c r="O2369" s="24" t="n"/>
      <c r="P2369" s="24" t="n"/>
      <c r="Q2369" s="22">
        <f>IF($D2369="","",IF(AND(OR(DANH_MUC!$L$5&lt;&gt;"Có",M2369="Có"),OR(DANH_MUC!$L$6&lt;&gt;"Có",N2369="Có"),OR(DANH_MUC!$L$7&lt;&gt;"Có",O2369="Có"),OR(DANH_MUC!$L$8&lt;&gt;"Có",P2369="Có")),"Có","Không"))</f>
        <v/>
      </c>
      <c r="R2369" s="22">
        <f>IF($D2369="","",IF(COUNTIF($D$2:$D2369,$D2369)&gt;1,"Trùng",""))</f>
        <v/>
      </c>
      <c r="S2369" s="22">
        <f>IF($D2369="","",IF(AND(LEN($D2369)=10,LEFT($D2369,1)="0",ISNUMBER(--$D2369)),"Có","Không"))</f>
        <v/>
      </c>
      <c r="T2369" s="22">
        <f>IF($D2369="","",IF(AND($C2369&lt;&gt;"",$Q2369="Có",$R2369="",$S2369="Có",AND($L2369&lt;&gt;"",OR($L2369&lt;&gt;"Chưa xác định",DANH_MUC!$L$9="Có"))),"Có","Không"))</f>
        <v/>
      </c>
      <c r="U2369" s="22">
        <f>IF(OR($D2369="",$T2369="Có"),"",IF($C2369="","Thiếu họ tên; ","")&amp;IF($S2369&lt;&gt;"Có","SĐT sai định dạng; ","")&amp;IF($R2369="Trùng","Trùng SĐT; ","")&amp;IF($Q2369&lt;&gt;"Có","Thiếu đồng ý bắt buộc; ","")&amp;IF($L2369="","Thiếu/sai Mã REF; ",IF(AND($L2369="Chưa xác định",DANH_MUC!$L$9&lt;&gt;"Có"),"Nguồn chưa xác định; ","")))</f>
        <v/>
      </c>
      <c r="V2369" s="22">
        <f>IF(OR($D2369="",$R2369="Trùng"),"",IF(COUNTIF(ORDERS!$C$2:$C$4995,$D2369)&gt;0,"Có","Không"))</f>
        <v/>
      </c>
      <c r="W2369" s="22">
        <f>IF(OR($D2369="",$R2369="Trùng"),"",COUNTIFS(ORDERS!$C$2:$C$4995,$D2369,ORDERS!$L$2:$L$4995,"Đã chuyển khoản"))</f>
        <v/>
      </c>
      <c r="X2369" s="23">
        <f>IF(OR($D2369="",$R2369="Trùng"),"",SUMIFS(ORDERS!$J$2:$J$4995,ORDERS!$C$2:$C$4995,$D2369,ORDERS!$L$2:$L$4995,"Đã chuyển khoản"))</f>
        <v/>
      </c>
      <c r="Y2369" s="24" t="n"/>
    </row>
    <row r="2370" ht="14.25" customHeight="1" s="40">
      <c r="A2370" s="24" t="n"/>
      <c r="B2370" s="27" t="n"/>
      <c r="C2370" s="24" t="n"/>
      <c r="D2370" s="28" t="n"/>
      <c r="E2370" s="29" t="n"/>
      <c r="F2370" s="24" t="n"/>
      <c r="G2370" s="24" t="n"/>
      <c r="H2370" s="21">
        <f>IF(ISNUMBER($B2370),INT($B2370)-WEEKDAY($B2370,2)+1,"")</f>
        <v/>
      </c>
      <c r="I2370" s="24" t="n"/>
      <c r="J2370" s="22">
        <f t="array" ref="J2370">IF($D2370="","",IF($I2370="","(trống REF)",IFERROR(INDEX(MASTER_SOURCE!$B$2:$B$495,MATCH($I2370,MASTER_SOURCE!$A$2:$A$495,0)),"(REF không có trong MASTER_SOURCE)")))</f>
        <v/>
      </c>
      <c r="K2370" s="22">
        <f t="array" ref="K2370">IF($D2370="","",IFERROR(INDEX(MASTER_SOURCE!$C$2:$C$495,MATCH($I2370,MASTER_SOURCE!$A$2:$A$495,0)),""))</f>
        <v/>
      </c>
      <c r="L2370" s="22">
        <f t="array" ref="L2370">IF($D2370="","",IFERROR(INDEX(MASTER_SOURCE!$D$2:$D$495,MATCH($I2370,MASTER_SOURCE!$A$2:$A$495,0)),""))</f>
        <v/>
      </c>
      <c r="M2370" s="24" t="n"/>
      <c r="N2370" s="24" t="n"/>
      <c r="O2370" s="24" t="n"/>
      <c r="P2370" s="24" t="n"/>
      <c r="Q2370" s="22">
        <f>IF($D2370="","",IF(AND(OR(DANH_MUC!$L$5&lt;&gt;"Có",M2370="Có"),OR(DANH_MUC!$L$6&lt;&gt;"Có",N2370="Có"),OR(DANH_MUC!$L$7&lt;&gt;"Có",O2370="Có"),OR(DANH_MUC!$L$8&lt;&gt;"Có",P2370="Có")),"Có","Không"))</f>
        <v/>
      </c>
      <c r="R2370" s="22">
        <f>IF($D2370="","",IF(COUNTIF($D$2:$D2370,$D2370)&gt;1,"Trùng",""))</f>
        <v/>
      </c>
      <c r="S2370" s="22">
        <f>IF($D2370="","",IF(AND(LEN($D2370)=10,LEFT($D2370,1)="0",ISNUMBER(--$D2370)),"Có","Không"))</f>
        <v/>
      </c>
      <c r="T2370" s="22">
        <f>IF($D2370="","",IF(AND($C2370&lt;&gt;"",$Q2370="Có",$R2370="",$S2370="Có",AND($L2370&lt;&gt;"",OR($L2370&lt;&gt;"Chưa xác định",DANH_MUC!$L$9="Có"))),"Có","Không"))</f>
        <v/>
      </c>
      <c r="U2370" s="22">
        <f>IF(OR($D2370="",$T2370="Có"),"",IF($C2370="","Thiếu họ tên; ","")&amp;IF($S2370&lt;&gt;"Có","SĐT sai định dạng; ","")&amp;IF($R2370="Trùng","Trùng SĐT; ","")&amp;IF($Q2370&lt;&gt;"Có","Thiếu đồng ý bắt buộc; ","")&amp;IF($L2370="","Thiếu/sai Mã REF; ",IF(AND($L2370="Chưa xác định",DANH_MUC!$L$9&lt;&gt;"Có"),"Nguồn chưa xác định; ","")))</f>
        <v/>
      </c>
      <c r="V2370" s="22">
        <f>IF(OR($D2370="",$R2370="Trùng"),"",IF(COUNTIF(ORDERS!$C$2:$C$4995,$D2370)&gt;0,"Có","Không"))</f>
        <v/>
      </c>
      <c r="W2370" s="22">
        <f>IF(OR($D2370="",$R2370="Trùng"),"",COUNTIFS(ORDERS!$C$2:$C$4995,$D2370,ORDERS!$L$2:$L$4995,"Đã chuyển khoản"))</f>
        <v/>
      </c>
      <c r="X2370" s="23">
        <f>IF(OR($D2370="",$R2370="Trùng"),"",SUMIFS(ORDERS!$J$2:$J$4995,ORDERS!$C$2:$C$4995,$D2370,ORDERS!$L$2:$L$4995,"Đã chuyển khoản"))</f>
        <v/>
      </c>
      <c r="Y2370" s="24" t="n"/>
    </row>
    <row r="2371" ht="14.25" customHeight="1" s="40">
      <c r="A2371" s="24" t="n"/>
      <c r="B2371" s="27" t="n"/>
      <c r="C2371" s="24" t="n"/>
      <c r="D2371" s="28" t="n"/>
      <c r="E2371" s="29" t="n"/>
      <c r="F2371" s="24" t="n"/>
      <c r="G2371" s="24" t="n"/>
      <c r="H2371" s="21">
        <f>IF(ISNUMBER($B2371),INT($B2371)-WEEKDAY($B2371,2)+1,"")</f>
        <v/>
      </c>
      <c r="I2371" s="24" t="n"/>
      <c r="J2371" s="22">
        <f t="array" ref="J2371">IF($D2371="","",IF($I2371="","(trống REF)",IFERROR(INDEX(MASTER_SOURCE!$B$2:$B$495,MATCH($I2371,MASTER_SOURCE!$A$2:$A$495,0)),"(REF không có trong MASTER_SOURCE)")))</f>
        <v/>
      </c>
      <c r="K2371" s="22">
        <f t="array" ref="K2371">IF($D2371="","",IFERROR(INDEX(MASTER_SOURCE!$C$2:$C$495,MATCH($I2371,MASTER_SOURCE!$A$2:$A$495,0)),""))</f>
        <v/>
      </c>
      <c r="L2371" s="22">
        <f t="array" ref="L2371">IF($D2371="","",IFERROR(INDEX(MASTER_SOURCE!$D$2:$D$495,MATCH($I2371,MASTER_SOURCE!$A$2:$A$495,0)),""))</f>
        <v/>
      </c>
      <c r="M2371" s="24" t="n"/>
      <c r="N2371" s="24" t="n"/>
      <c r="O2371" s="24" t="n"/>
      <c r="P2371" s="24" t="n"/>
      <c r="Q2371" s="22">
        <f>IF($D2371="","",IF(AND(OR(DANH_MUC!$L$5&lt;&gt;"Có",M2371="Có"),OR(DANH_MUC!$L$6&lt;&gt;"Có",N2371="Có"),OR(DANH_MUC!$L$7&lt;&gt;"Có",O2371="Có"),OR(DANH_MUC!$L$8&lt;&gt;"Có",P2371="Có")),"Có","Không"))</f>
        <v/>
      </c>
      <c r="R2371" s="22">
        <f>IF($D2371="","",IF(COUNTIF($D$2:$D2371,$D2371)&gt;1,"Trùng",""))</f>
        <v/>
      </c>
      <c r="S2371" s="22">
        <f>IF($D2371="","",IF(AND(LEN($D2371)=10,LEFT($D2371,1)="0",ISNUMBER(--$D2371)),"Có","Không"))</f>
        <v/>
      </c>
      <c r="T2371" s="22">
        <f>IF($D2371="","",IF(AND($C2371&lt;&gt;"",$Q2371="Có",$R2371="",$S2371="Có",AND($L2371&lt;&gt;"",OR($L2371&lt;&gt;"Chưa xác định",DANH_MUC!$L$9="Có"))),"Có","Không"))</f>
        <v/>
      </c>
      <c r="U2371" s="22">
        <f>IF(OR($D2371="",$T2371="Có"),"",IF($C2371="","Thiếu họ tên; ","")&amp;IF($S2371&lt;&gt;"Có","SĐT sai định dạng; ","")&amp;IF($R2371="Trùng","Trùng SĐT; ","")&amp;IF($Q2371&lt;&gt;"Có","Thiếu đồng ý bắt buộc; ","")&amp;IF($L2371="","Thiếu/sai Mã REF; ",IF(AND($L2371="Chưa xác định",DANH_MUC!$L$9&lt;&gt;"Có"),"Nguồn chưa xác định; ","")))</f>
        <v/>
      </c>
      <c r="V2371" s="22">
        <f>IF(OR($D2371="",$R2371="Trùng"),"",IF(COUNTIF(ORDERS!$C$2:$C$4995,$D2371)&gt;0,"Có","Không"))</f>
        <v/>
      </c>
      <c r="W2371" s="22">
        <f>IF(OR($D2371="",$R2371="Trùng"),"",COUNTIFS(ORDERS!$C$2:$C$4995,$D2371,ORDERS!$L$2:$L$4995,"Đã chuyển khoản"))</f>
        <v/>
      </c>
      <c r="X2371" s="23">
        <f>IF(OR($D2371="",$R2371="Trùng"),"",SUMIFS(ORDERS!$J$2:$J$4995,ORDERS!$C$2:$C$4995,$D2371,ORDERS!$L$2:$L$4995,"Đã chuyển khoản"))</f>
        <v/>
      </c>
      <c r="Y2371" s="24" t="n"/>
    </row>
    <row r="2372" ht="14.25" customHeight="1" s="40">
      <c r="A2372" s="24" t="n"/>
      <c r="B2372" s="27" t="n"/>
      <c r="C2372" s="24" t="n"/>
      <c r="D2372" s="28" t="n"/>
      <c r="E2372" s="29" t="n"/>
      <c r="F2372" s="24" t="n"/>
      <c r="G2372" s="24" t="n"/>
      <c r="H2372" s="21">
        <f>IF(ISNUMBER($B2372),INT($B2372)-WEEKDAY($B2372,2)+1,"")</f>
        <v/>
      </c>
      <c r="I2372" s="24" t="n"/>
      <c r="J2372" s="22">
        <f t="array" ref="J2372">IF($D2372="","",IF($I2372="","(trống REF)",IFERROR(INDEX(MASTER_SOURCE!$B$2:$B$495,MATCH($I2372,MASTER_SOURCE!$A$2:$A$495,0)),"(REF không có trong MASTER_SOURCE)")))</f>
        <v/>
      </c>
      <c r="K2372" s="22">
        <f t="array" ref="K2372">IF($D2372="","",IFERROR(INDEX(MASTER_SOURCE!$C$2:$C$495,MATCH($I2372,MASTER_SOURCE!$A$2:$A$495,0)),""))</f>
        <v/>
      </c>
      <c r="L2372" s="22">
        <f t="array" ref="L2372">IF($D2372="","",IFERROR(INDEX(MASTER_SOURCE!$D$2:$D$495,MATCH($I2372,MASTER_SOURCE!$A$2:$A$495,0)),""))</f>
        <v/>
      </c>
      <c r="M2372" s="24" t="n"/>
      <c r="N2372" s="24" t="n"/>
      <c r="O2372" s="24" t="n"/>
      <c r="P2372" s="24" t="n"/>
      <c r="Q2372" s="22">
        <f>IF($D2372="","",IF(AND(OR(DANH_MUC!$L$5&lt;&gt;"Có",M2372="Có"),OR(DANH_MUC!$L$6&lt;&gt;"Có",N2372="Có"),OR(DANH_MUC!$L$7&lt;&gt;"Có",O2372="Có"),OR(DANH_MUC!$L$8&lt;&gt;"Có",P2372="Có")),"Có","Không"))</f>
        <v/>
      </c>
      <c r="R2372" s="22">
        <f>IF($D2372="","",IF(COUNTIF($D$2:$D2372,$D2372)&gt;1,"Trùng",""))</f>
        <v/>
      </c>
      <c r="S2372" s="22">
        <f>IF($D2372="","",IF(AND(LEN($D2372)=10,LEFT($D2372,1)="0",ISNUMBER(--$D2372)),"Có","Không"))</f>
        <v/>
      </c>
      <c r="T2372" s="22">
        <f>IF($D2372="","",IF(AND($C2372&lt;&gt;"",$Q2372="Có",$R2372="",$S2372="Có",AND($L2372&lt;&gt;"",OR($L2372&lt;&gt;"Chưa xác định",DANH_MUC!$L$9="Có"))),"Có","Không"))</f>
        <v/>
      </c>
      <c r="U2372" s="22">
        <f>IF(OR($D2372="",$T2372="Có"),"",IF($C2372="","Thiếu họ tên; ","")&amp;IF($S2372&lt;&gt;"Có","SĐT sai định dạng; ","")&amp;IF($R2372="Trùng","Trùng SĐT; ","")&amp;IF($Q2372&lt;&gt;"Có","Thiếu đồng ý bắt buộc; ","")&amp;IF($L2372="","Thiếu/sai Mã REF; ",IF(AND($L2372="Chưa xác định",DANH_MUC!$L$9&lt;&gt;"Có"),"Nguồn chưa xác định; ","")))</f>
        <v/>
      </c>
      <c r="V2372" s="22">
        <f>IF(OR($D2372="",$R2372="Trùng"),"",IF(COUNTIF(ORDERS!$C$2:$C$4995,$D2372)&gt;0,"Có","Không"))</f>
        <v/>
      </c>
      <c r="W2372" s="22">
        <f>IF(OR($D2372="",$R2372="Trùng"),"",COUNTIFS(ORDERS!$C$2:$C$4995,$D2372,ORDERS!$L$2:$L$4995,"Đã chuyển khoản"))</f>
        <v/>
      </c>
      <c r="X2372" s="23">
        <f>IF(OR($D2372="",$R2372="Trùng"),"",SUMIFS(ORDERS!$J$2:$J$4995,ORDERS!$C$2:$C$4995,$D2372,ORDERS!$L$2:$L$4995,"Đã chuyển khoản"))</f>
        <v/>
      </c>
      <c r="Y2372" s="24" t="n"/>
    </row>
    <row r="2373" ht="14.25" customHeight="1" s="40">
      <c r="A2373" s="24" t="n"/>
      <c r="B2373" s="27" t="n"/>
      <c r="C2373" s="24" t="n"/>
      <c r="D2373" s="28" t="n"/>
      <c r="E2373" s="29" t="n"/>
      <c r="F2373" s="24" t="n"/>
      <c r="G2373" s="24" t="n"/>
      <c r="H2373" s="21">
        <f>IF(ISNUMBER($B2373),INT($B2373)-WEEKDAY($B2373,2)+1,"")</f>
        <v/>
      </c>
      <c r="I2373" s="24" t="n"/>
      <c r="J2373" s="22">
        <f t="array" ref="J2373">IF($D2373="","",IF($I2373="","(trống REF)",IFERROR(INDEX(MASTER_SOURCE!$B$2:$B$495,MATCH($I2373,MASTER_SOURCE!$A$2:$A$495,0)),"(REF không có trong MASTER_SOURCE)")))</f>
        <v/>
      </c>
      <c r="K2373" s="22">
        <f t="array" ref="K2373">IF($D2373="","",IFERROR(INDEX(MASTER_SOURCE!$C$2:$C$495,MATCH($I2373,MASTER_SOURCE!$A$2:$A$495,0)),""))</f>
        <v/>
      </c>
      <c r="L2373" s="22">
        <f t="array" ref="L2373">IF($D2373="","",IFERROR(INDEX(MASTER_SOURCE!$D$2:$D$495,MATCH($I2373,MASTER_SOURCE!$A$2:$A$495,0)),""))</f>
        <v/>
      </c>
      <c r="M2373" s="24" t="n"/>
      <c r="N2373" s="24" t="n"/>
      <c r="O2373" s="24" t="n"/>
      <c r="P2373" s="24" t="n"/>
      <c r="Q2373" s="22">
        <f>IF($D2373="","",IF(AND(OR(DANH_MUC!$L$5&lt;&gt;"Có",M2373="Có"),OR(DANH_MUC!$L$6&lt;&gt;"Có",N2373="Có"),OR(DANH_MUC!$L$7&lt;&gt;"Có",O2373="Có"),OR(DANH_MUC!$L$8&lt;&gt;"Có",P2373="Có")),"Có","Không"))</f>
        <v/>
      </c>
      <c r="R2373" s="22">
        <f>IF($D2373="","",IF(COUNTIF($D$2:$D2373,$D2373)&gt;1,"Trùng",""))</f>
        <v/>
      </c>
      <c r="S2373" s="22">
        <f>IF($D2373="","",IF(AND(LEN($D2373)=10,LEFT($D2373,1)="0",ISNUMBER(--$D2373)),"Có","Không"))</f>
        <v/>
      </c>
      <c r="T2373" s="22">
        <f>IF($D2373="","",IF(AND($C2373&lt;&gt;"",$Q2373="Có",$R2373="",$S2373="Có",AND($L2373&lt;&gt;"",OR($L2373&lt;&gt;"Chưa xác định",DANH_MUC!$L$9="Có"))),"Có","Không"))</f>
        <v/>
      </c>
      <c r="U2373" s="22">
        <f>IF(OR($D2373="",$T2373="Có"),"",IF($C2373="","Thiếu họ tên; ","")&amp;IF($S2373&lt;&gt;"Có","SĐT sai định dạng; ","")&amp;IF($R2373="Trùng","Trùng SĐT; ","")&amp;IF($Q2373&lt;&gt;"Có","Thiếu đồng ý bắt buộc; ","")&amp;IF($L2373="","Thiếu/sai Mã REF; ",IF(AND($L2373="Chưa xác định",DANH_MUC!$L$9&lt;&gt;"Có"),"Nguồn chưa xác định; ","")))</f>
        <v/>
      </c>
      <c r="V2373" s="22">
        <f>IF(OR($D2373="",$R2373="Trùng"),"",IF(COUNTIF(ORDERS!$C$2:$C$4995,$D2373)&gt;0,"Có","Không"))</f>
        <v/>
      </c>
      <c r="W2373" s="22">
        <f>IF(OR($D2373="",$R2373="Trùng"),"",COUNTIFS(ORDERS!$C$2:$C$4995,$D2373,ORDERS!$L$2:$L$4995,"Đã chuyển khoản"))</f>
        <v/>
      </c>
      <c r="X2373" s="23">
        <f>IF(OR($D2373="",$R2373="Trùng"),"",SUMIFS(ORDERS!$J$2:$J$4995,ORDERS!$C$2:$C$4995,$D2373,ORDERS!$L$2:$L$4995,"Đã chuyển khoản"))</f>
        <v/>
      </c>
      <c r="Y2373" s="24" t="n"/>
    </row>
    <row r="2374" ht="14.25" customHeight="1" s="40">
      <c r="A2374" s="24" t="n"/>
      <c r="B2374" s="27" t="n"/>
      <c r="C2374" s="24" t="n"/>
      <c r="D2374" s="28" t="n"/>
      <c r="E2374" s="29" t="n"/>
      <c r="F2374" s="24" t="n"/>
      <c r="G2374" s="24" t="n"/>
      <c r="H2374" s="21">
        <f>IF(ISNUMBER($B2374),INT($B2374)-WEEKDAY($B2374,2)+1,"")</f>
        <v/>
      </c>
      <c r="I2374" s="24" t="n"/>
      <c r="J2374" s="22">
        <f t="array" ref="J2374">IF($D2374="","",IF($I2374="","(trống REF)",IFERROR(INDEX(MASTER_SOURCE!$B$2:$B$495,MATCH($I2374,MASTER_SOURCE!$A$2:$A$495,0)),"(REF không có trong MASTER_SOURCE)")))</f>
        <v/>
      </c>
      <c r="K2374" s="22">
        <f t="array" ref="K2374">IF($D2374="","",IFERROR(INDEX(MASTER_SOURCE!$C$2:$C$495,MATCH($I2374,MASTER_SOURCE!$A$2:$A$495,0)),""))</f>
        <v/>
      </c>
      <c r="L2374" s="22">
        <f t="array" ref="L2374">IF($D2374="","",IFERROR(INDEX(MASTER_SOURCE!$D$2:$D$495,MATCH($I2374,MASTER_SOURCE!$A$2:$A$495,0)),""))</f>
        <v/>
      </c>
      <c r="M2374" s="24" t="n"/>
      <c r="N2374" s="24" t="n"/>
      <c r="O2374" s="24" t="n"/>
      <c r="P2374" s="24" t="n"/>
      <c r="Q2374" s="22">
        <f>IF($D2374="","",IF(AND(OR(DANH_MUC!$L$5&lt;&gt;"Có",M2374="Có"),OR(DANH_MUC!$L$6&lt;&gt;"Có",N2374="Có"),OR(DANH_MUC!$L$7&lt;&gt;"Có",O2374="Có"),OR(DANH_MUC!$L$8&lt;&gt;"Có",P2374="Có")),"Có","Không"))</f>
        <v/>
      </c>
      <c r="R2374" s="22">
        <f>IF($D2374="","",IF(COUNTIF($D$2:$D2374,$D2374)&gt;1,"Trùng",""))</f>
        <v/>
      </c>
      <c r="S2374" s="22">
        <f>IF($D2374="","",IF(AND(LEN($D2374)=10,LEFT($D2374,1)="0",ISNUMBER(--$D2374)),"Có","Không"))</f>
        <v/>
      </c>
      <c r="T2374" s="22">
        <f>IF($D2374="","",IF(AND($C2374&lt;&gt;"",$Q2374="Có",$R2374="",$S2374="Có",AND($L2374&lt;&gt;"",OR($L2374&lt;&gt;"Chưa xác định",DANH_MUC!$L$9="Có"))),"Có","Không"))</f>
        <v/>
      </c>
      <c r="U2374" s="22">
        <f>IF(OR($D2374="",$T2374="Có"),"",IF($C2374="","Thiếu họ tên; ","")&amp;IF($S2374&lt;&gt;"Có","SĐT sai định dạng; ","")&amp;IF($R2374="Trùng","Trùng SĐT; ","")&amp;IF($Q2374&lt;&gt;"Có","Thiếu đồng ý bắt buộc; ","")&amp;IF($L2374="","Thiếu/sai Mã REF; ",IF(AND($L2374="Chưa xác định",DANH_MUC!$L$9&lt;&gt;"Có"),"Nguồn chưa xác định; ","")))</f>
        <v/>
      </c>
      <c r="V2374" s="22">
        <f>IF(OR($D2374="",$R2374="Trùng"),"",IF(COUNTIF(ORDERS!$C$2:$C$4995,$D2374)&gt;0,"Có","Không"))</f>
        <v/>
      </c>
      <c r="W2374" s="22">
        <f>IF(OR($D2374="",$R2374="Trùng"),"",COUNTIFS(ORDERS!$C$2:$C$4995,$D2374,ORDERS!$L$2:$L$4995,"Đã chuyển khoản"))</f>
        <v/>
      </c>
      <c r="X2374" s="23">
        <f>IF(OR($D2374="",$R2374="Trùng"),"",SUMIFS(ORDERS!$J$2:$J$4995,ORDERS!$C$2:$C$4995,$D2374,ORDERS!$L$2:$L$4995,"Đã chuyển khoản"))</f>
        <v/>
      </c>
      <c r="Y2374" s="24" t="n"/>
    </row>
    <row r="2375" ht="14.25" customHeight="1" s="40">
      <c r="A2375" s="24" t="n"/>
      <c r="B2375" s="27" t="n"/>
      <c r="C2375" s="24" t="n"/>
      <c r="D2375" s="28" t="n"/>
      <c r="E2375" s="29" t="n"/>
      <c r="F2375" s="24" t="n"/>
      <c r="G2375" s="24" t="n"/>
      <c r="H2375" s="21">
        <f>IF(ISNUMBER($B2375),INT($B2375)-WEEKDAY($B2375,2)+1,"")</f>
        <v/>
      </c>
      <c r="I2375" s="24" t="n"/>
      <c r="J2375" s="22">
        <f t="array" ref="J2375">IF($D2375="","",IF($I2375="","(trống REF)",IFERROR(INDEX(MASTER_SOURCE!$B$2:$B$495,MATCH($I2375,MASTER_SOURCE!$A$2:$A$495,0)),"(REF không có trong MASTER_SOURCE)")))</f>
        <v/>
      </c>
      <c r="K2375" s="22">
        <f t="array" ref="K2375">IF($D2375="","",IFERROR(INDEX(MASTER_SOURCE!$C$2:$C$495,MATCH($I2375,MASTER_SOURCE!$A$2:$A$495,0)),""))</f>
        <v/>
      </c>
      <c r="L2375" s="22">
        <f t="array" ref="L2375">IF($D2375="","",IFERROR(INDEX(MASTER_SOURCE!$D$2:$D$495,MATCH($I2375,MASTER_SOURCE!$A$2:$A$495,0)),""))</f>
        <v/>
      </c>
      <c r="M2375" s="24" t="n"/>
      <c r="N2375" s="24" t="n"/>
      <c r="O2375" s="24" t="n"/>
      <c r="P2375" s="24" t="n"/>
      <c r="Q2375" s="22">
        <f>IF($D2375="","",IF(AND(OR(DANH_MUC!$L$5&lt;&gt;"Có",M2375="Có"),OR(DANH_MUC!$L$6&lt;&gt;"Có",N2375="Có"),OR(DANH_MUC!$L$7&lt;&gt;"Có",O2375="Có"),OR(DANH_MUC!$L$8&lt;&gt;"Có",P2375="Có")),"Có","Không"))</f>
        <v/>
      </c>
      <c r="R2375" s="22">
        <f>IF($D2375="","",IF(COUNTIF($D$2:$D2375,$D2375)&gt;1,"Trùng",""))</f>
        <v/>
      </c>
      <c r="S2375" s="22">
        <f>IF($D2375="","",IF(AND(LEN($D2375)=10,LEFT($D2375,1)="0",ISNUMBER(--$D2375)),"Có","Không"))</f>
        <v/>
      </c>
      <c r="T2375" s="22">
        <f>IF($D2375="","",IF(AND($C2375&lt;&gt;"",$Q2375="Có",$R2375="",$S2375="Có",AND($L2375&lt;&gt;"",OR($L2375&lt;&gt;"Chưa xác định",DANH_MUC!$L$9="Có"))),"Có","Không"))</f>
        <v/>
      </c>
      <c r="U2375" s="22">
        <f>IF(OR($D2375="",$T2375="Có"),"",IF($C2375="","Thiếu họ tên; ","")&amp;IF($S2375&lt;&gt;"Có","SĐT sai định dạng; ","")&amp;IF($R2375="Trùng","Trùng SĐT; ","")&amp;IF($Q2375&lt;&gt;"Có","Thiếu đồng ý bắt buộc; ","")&amp;IF($L2375="","Thiếu/sai Mã REF; ",IF(AND($L2375="Chưa xác định",DANH_MUC!$L$9&lt;&gt;"Có"),"Nguồn chưa xác định; ","")))</f>
        <v/>
      </c>
      <c r="V2375" s="22">
        <f>IF(OR($D2375="",$R2375="Trùng"),"",IF(COUNTIF(ORDERS!$C$2:$C$4995,$D2375)&gt;0,"Có","Không"))</f>
        <v/>
      </c>
      <c r="W2375" s="22">
        <f>IF(OR($D2375="",$R2375="Trùng"),"",COUNTIFS(ORDERS!$C$2:$C$4995,$D2375,ORDERS!$L$2:$L$4995,"Đã chuyển khoản"))</f>
        <v/>
      </c>
      <c r="X2375" s="23">
        <f>IF(OR($D2375="",$R2375="Trùng"),"",SUMIFS(ORDERS!$J$2:$J$4995,ORDERS!$C$2:$C$4995,$D2375,ORDERS!$L$2:$L$4995,"Đã chuyển khoản"))</f>
        <v/>
      </c>
      <c r="Y2375" s="24" t="n"/>
    </row>
    <row r="2376" ht="14.25" customHeight="1" s="40">
      <c r="A2376" s="24" t="n"/>
      <c r="B2376" s="27" t="n"/>
      <c r="C2376" s="24" t="n"/>
      <c r="D2376" s="28" t="n"/>
      <c r="E2376" s="29" t="n"/>
      <c r="F2376" s="24" t="n"/>
      <c r="G2376" s="24" t="n"/>
      <c r="H2376" s="21">
        <f>IF(ISNUMBER($B2376),INT($B2376)-WEEKDAY($B2376,2)+1,"")</f>
        <v/>
      </c>
      <c r="I2376" s="24" t="n"/>
      <c r="J2376" s="22">
        <f t="array" ref="J2376">IF($D2376="","",IF($I2376="","(trống REF)",IFERROR(INDEX(MASTER_SOURCE!$B$2:$B$495,MATCH($I2376,MASTER_SOURCE!$A$2:$A$495,0)),"(REF không có trong MASTER_SOURCE)")))</f>
        <v/>
      </c>
      <c r="K2376" s="22">
        <f t="array" ref="K2376">IF($D2376="","",IFERROR(INDEX(MASTER_SOURCE!$C$2:$C$495,MATCH($I2376,MASTER_SOURCE!$A$2:$A$495,0)),""))</f>
        <v/>
      </c>
      <c r="L2376" s="22">
        <f t="array" ref="L2376">IF($D2376="","",IFERROR(INDEX(MASTER_SOURCE!$D$2:$D$495,MATCH($I2376,MASTER_SOURCE!$A$2:$A$495,0)),""))</f>
        <v/>
      </c>
      <c r="M2376" s="24" t="n"/>
      <c r="N2376" s="24" t="n"/>
      <c r="O2376" s="24" t="n"/>
      <c r="P2376" s="24" t="n"/>
      <c r="Q2376" s="22">
        <f>IF($D2376="","",IF(AND(OR(DANH_MUC!$L$5&lt;&gt;"Có",M2376="Có"),OR(DANH_MUC!$L$6&lt;&gt;"Có",N2376="Có"),OR(DANH_MUC!$L$7&lt;&gt;"Có",O2376="Có"),OR(DANH_MUC!$L$8&lt;&gt;"Có",P2376="Có")),"Có","Không"))</f>
        <v/>
      </c>
      <c r="R2376" s="22">
        <f>IF($D2376="","",IF(COUNTIF($D$2:$D2376,$D2376)&gt;1,"Trùng",""))</f>
        <v/>
      </c>
      <c r="S2376" s="22">
        <f>IF($D2376="","",IF(AND(LEN($D2376)=10,LEFT($D2376,1)="0",ISNUMBER(--$D2376)),"Có","Không"))</f>
        <v/>
      </c>
      <c r="T2376" s="22">
        <f>IF($D2376="","",IF(AND($C2376&lt;&gt;"",$Q2376="Có",$R2376="",$S2376="Có",AND($L2376&lt;&gt;"",OR($L2376&lt;&gt;"Chưa xác định",DANH_MUC!$L$9="Có"))),"Có","Không"))</f>
        <v/>
      </c>
      <c r="U2376" s="22">
        <f>IF(OR($D2376="",$T2376="Có"),"",IF($C2376="","Thiếu họ tên; ","")&amp;IF($S2376&lt;&gt;"Có","SĐT sai định dạng; ","")&amp;IF($R2376="Trùng","Trùng SĐT; ","")&amp;IF($Q2376&lt;&gt;"Có","Thiếu đồng ý bắt buộc; ","")&amp;IF($L2376="","Thiếu/sai Mã REF; ",IF(AND($L2376="Chưa xác định",DANH_MUC!$L$9&lt;&gt;"Có"),"Nguồn chưa xác định; ","")))</f>
        <v/>
      </c>
      <c r="V2376" s="22">
        <f>IF(OR($D2376="",$R2376="Trùng"),"",IF(COUNTIF(ORDERS!$C$2:$C$4995,$D2376)&gt;0,"Có","Không"))</f>
        <v/>
      </c>
      <c r="W2376" s="22">
        <f>IF(OR($D2376="",$R2376="Trùng"),"",COUNTIFS(ORDERS!$C$2:$C$4995,$D2376,ORDERS!$L$2:$L$4995,"Đã chuyển khoản"))</f>
        <v/>
      </c>
      <c r="X2376" s="23">
        <f>IF(OR($D2376="",$R2376="Trùng"),"",SUMIFS(ORDERS!$J$2:$J$4995,ORDERS!$C$2:$C$4995,$D2376,ORDERS!$L$2:$L$4995,"Đã chuyển khoản"))</f>
        <v/>
      </c>
      <c r="Y2376" s="24" t="n"/>
    </row>
    <row r="2377" ht="14.25" customHeight="1" s="40">
      <c r="A2377" s="24" t="n"/>
      <c r="B2377" s="27" t="n"/>
      <c r="C2377" s="24" t="n"/>
      <c r="D2377" s="28" t="n"/>
      <c r="E2377" s="29" t="n"/>
      <c r="F2377" s="24" t="n"/>
      <c r="G2377" s="24" t="n"/>
      <c r="H2377" s="21">
        <f>IF(ISNUMBER($B2377),INT($B2377)-WEEKDAY($B2377,2)+1,"")</f>
        <v/>
      </c>
      <c r="I2377" s="24" t="n"/>
      <c r="J2377" s="22">
        <f t="array" ref="J2377">IF($D2377="","",IF($I2377="","(trống REF)",IFERROR(INDEX(MASTER_SOURCE!$B$2:$B$495,MATCH($I2377,MASTER_SOURCE!$A$2:$A$495,0)),"(REF không có trong MASTER_SOURCE)")))</f>
        <v/>
      </c>
      <c r="K2377" s="22">
        <f t="array" ref="K2377">IF($D2377="","",IFERROR(INDEX(MASTER_SOURCE!$C$2:$C$495,MATCH($I2377,MASTER_SOURCE!$A$2:$A$495,0)),""))</f>
        <v/>
      </c>
      <c r="L2377" s="22">
        <f t="array" ref="L2377">IF($D2377="","",IFERROR(INDEX(MASTER_SOURCE!$D$2:$D$495,MATCH($I2377,MASTER_SOURCE!$A$2:$A$495,0)),""))</f>
        <v/>
      </c>
      <c r="M2377" s="24" t="n"/>
      <c r="N2377" s="24" t="n"/>
      <c r="O2377" s="24" t="n"/>
      <c r="P2377" s="24" t="n"/>
      <c r="Q2377" s="22">
        <f>IF($D2377="","",IF(AND(OR(DANH_MUC!$L$5&lt;&gt;"Có",M2377="Có"),OR(DANH_MUC!$L$6&lt;&gt;"Có",N2377="Có"),OR(DANH_MUC!$L$7&lt;&gt;"Có",O2377="Có"),OR(DANH_MUC!$L$8&lt;&gt;"Có",P2377="Có")),"Có","Không"))</f>
        <v/>
      </c>
      <c r="R2377" s="22">
        <f>IF($D2377="","",IF(COUNTIF($D$2:$D2377,$D2377)&gt;1,"Trùng",""))</f>
        <v/>
      </c>
      <c r="S2377" s="22">
        <f>IF($D2377="","",IF(AND(LEN($D2377)=10,LEFT($D2377,1)="0",ISNUMBER(--$D2377)),"Có","Không"))</f>
        <v/>
      </c>
      <c r="T2377" s="22">
        <f>IF($D2377="","",IF(AND($C2377&lt;&gt;"",$Q2377="Có",$R2377="",$S2377="Có",AND($L2377&lt;&gt;"",OR($L2377&lt;&gt;"Chưa xác định",DANH_MUC!$L$9="Có"))),"Có","Không"))</f>
        <v/>
      </c>
      <c r="U2377" s="22">
        <f>IF(OR($D2377="",$T2377="Có"),"",IF($C2377="","Thiếu họ tên; ","")&amp;IF($S2377&lt;&gt;"Có","SĐT sai định dạng; ","")&amp;IF($R2377="Trùng","Trùng SĐT; ","")&amp;IF($Q2377&lt;&gt;"Có","Thiếu đồng ý bắt buộc; ","")&amp;IF($L2377="","Thiếu/sai Mã REF; ",IF(AND($L2377="Chưa xác định",DANH_MUC!$L$9&lt;&gt;"Có"),"Nguồn chưa xác định; ","")))</f>
        <v/>
      </c>
      <c r="V2377" s="22">
        <f>IF(OR($D2377="",$R2377="Trùng"),"",IF(COUNTIF(ORDERS!$C$2:$C$4995,$D2377)&gt;0,"Có","Không"))</f>
        <v/>
      </c>
      <c r="W2377" s="22">
        <f>IF(OR($D2377="",$R2377="Trùng"),"",COUNTIFS(ORDERS!$C$2:$C$4995,$D2377,ORDERS!$L$2:$L$4995,"Đã chuyển khoản"))</f>
        <v/>
      </c>
      <c r="X2377" s="23">
        <f>IF(OR($D2377="",$R2377="Trùng"),"",SUMIFS(ORDERS!$J$2:$J$4995,ORDERS!$C$2:$C$4995,$D2377,ORDERS!$L$2:$L$4995,"Đã chuyển khoản"))</f>
        <v/>
      </c>
      <c r="Y2377" s="24" t="n"/>
    </row>
    <row r="2378" ht="14.25" customHeight="1" s="40">
      <c r="A2378" s="24" t="n"/>
      <c r="B2378" s="27" t="n"/>
      <c r="C2378" s="24" t="n"/>
      <c r="D2378" s="28" t="n"/>
      <c r="E2378" s="29" t="n"/>
      <c r="F2378" s="24" t="n"/>
      <c r="G2378" s="24" t="n"/>
      <c r="H2378" s="21">
        <f>IF(ISNUMBER($B2378),INT($B2378)-WEEKDAY($B2378,2)+1,"")</f>
        <v/>
      </c>
      <c r="I2378" s="24" t="n"/>
      <c r="J2378" s="22">
        <f t="array" ref="J2378">IF($D2378="","",IF($I2378="","(trống REF)",IFERROR(INDEX(MASTER_SOURCE!$B$2:$B$495,MATCH($I2378,MASTER_SOURCE!$A$2:$A$495,0)),"(REF không có trong MASTER_SOURCE)")))</f>
        <v/>
      </c>
      <c r="K2378" s="22">
        <f t="array" ref="K2378">IF($D2378="","",IFERROR(INDEX(MASTER_SOURCE!$C$2:$C$495,MATCH($I2378,MASTER_SOURCE!$A$2:$A$495,0)),""))</f>
        <v/>
      </c>
      <c r="L2378" s="22">
        <f t="array" ref="L2378">IF($D2378="","",IFERROR(INDEX(MASTER_SOURCE!$D$2:$D$495,MATCH($I2378,MASTER_SOURCE!$A$2:$A$495,0)),""))</f>
        <v/>
      </c>
      <c r="M2378" s="24" t="n"/>
      <c r="N2378" s="24" t="n"/>
      <c r="O2378" s="24" t="n"/>
      <c r="P2378" s="24" t="n"/>
      <c r="Q2378" s="22">
        <f>IF($D2378="","",IF(AND(OR(DANH_MUC!$L$5&lt;&gt;"Có",M2378="Có"),OR(DANH_MUC!$L$6&lt;&gt;"Có",N2378="Có"),OR(DANH_MUC!$L$7&lt;&gt;"Có",O2378="Có"),OR(DANH_MUC!$L$8&lt;&gt;"Có",P2378="Có")),"Có","Không"))</f>
        <v/>
      </c>
      <c r="R2378" s="22">
        <f>IF($D2378="","",IF(COUNTIF($D$2:$D2378,$D2378)&gt;1,"Trùng",""))</f>
        <v/>
      </c>
      <c r="S2378" s="22">
        <f>IF($D2378="","",IF(AND(LEN($D2378)=10,LEFT($D2378,1)="0",ISNUMBER(--$D2378)),"Có","Không"))</f>
        <v/>
      </c>
      <c r="T2378" s="22">
        <f>IF($D2378="","",IF(AND($C2378&lt;&gt;"",$Q2378="Có",$R2378="",$S2378="Có",AND($L2378&lt;&gt;"",OR($L2378&lt;&gt;"Chưa xác định",DANH_MUC!$L$9="Có"))),"Có","Không"))</f>
        <v/>
      </c>
      <c r="U2378" s="22">
        <f>IF(OR($D2378="",$T2378="Có"),"",IF($C2378="","Thiếu họ tên; ","")&amp;IF($S2378&lt;&gt;"Có","SĐT sai định dạng; ","")&amp;IF($R2378="Trùng","Trùng SĐT; ","")&amp;IF($Q2378&lt;&gt;"Có","Thiếu đồng ý bắt buộc; ","")&amp;IF($L2378="","Thiếu/sai Mã REF; ",IF(AND($L2378="Chưa xác định",DANH_MUC!$L$9&lt;&gt;"Có"),"Nguồn chưa xác định; ","")))</f>
        <v/>
      </c>
      <c r="V2378" s="22">
        <f>IF(OR($D2378="",$R2378="Trùng"),"",IF(COUNTIF(ORDERS!$C$2:$C$4995,$D2378)&gt;0,"Có","Không"))</f>
        <v/>
      </c>
      <c r="W2378" s="22">
        <f>IF(OR($D2378="",$R2378="Trùng"),"",COUNTIFS(ORDERS!$C$2:$C$4995,$D2378,ORDERS!$L$2:$L$4995,"Đã chuyển khoản"))</f>
        <v/>
      </c>
      <c r="X2378" s="23">
        <f>IF(OR($D2378="",$R2378="Trùng"),"",SUMIFS(ORDERS!$J$2:$J$4995,ORDERS!$C$2:$C$4995,$D2378,ORDERS!$L$2:$L$4995,"Đã chuyển khoản"))</f>
        <v/>
      </c>
      <c r="Y2378" s="24" t="n"/>
    </row>
    <row r="2379" ht="14.25" customHeight="1" s="40">
      <c r="A2379" s="24" t="n"/>
      <c r="B2379" s="27" t="n"/>
      <c r="C2379" s="24" t="n"/>
      <c r="D2379" s="28" t="n"/>
      <c r="E2379" s="29" t="n"/>
      <c r="F2379" s="24" t="n"/>
      <c r="G2379" s="24" t="n"/>
      <c r="H2379" s="21">
        <f>IF(ISNUMBER($B2379),INT($B2379)-WEEKDAY($B2379,2)+1,"")</f>
        <v/>
      </c>
      <c r="I2379" s="24" t="n"/>
      <c r="J2379" s="22">
        <f t="array" ref="J2379">IF($D2379="","",IF($I2379="","(trống REF)",IFERROR(INDEX(MASTER_SOURCE!$B$2:$B$495,MATCH($I2379,MASTER_SOURCE!$A$2:$A$495,0)),"(REF không có trong MASTER_SOURCE)")))</f>
        <v/>
      </c>
      <c r="K2379" s="22">
        <f t="array" ref="K2379">IF($D2379="","",IFERROR(INDEX(MASTER_SOURCE!$C$2:$C$495,MATCH($I2379,MASTER_SOURCE!$A$2:$A$495,0)),""))</f>
        <v/>
      </c>
      <c r="L2379" s="22">
        <f t="array" ref="L2379">IF($D2379="","",IFERROR(INDEX(MASTER_SOURCE!$D$2:$D$495,MATCH($I2379,MASTER_SOURCE!$A$2:$A$495,0)),""))</f>
        <v/>
      </c>
      <c r="M2379" s="24" t="n"/>
      <c r="N2379" s="24" t="n"/>
      <c r="O2379" s="24" t="n"/>
      <c r="P2379" s="24" t="n"/>
      <c r="Q2379" s="22">
        <f>IF($D2379="","",IF(AND(OR(DANH_MUC!$L$5&lt;&gt;"Có",M2379="Có"),OR(DANH_MUC!$L$6&lt;&gt;"Có",N2379="Có"),OR(DANH_MUC!$L$7&lt;&gt;"Có",O2379="Có"),OR(DANH_MUC!$L$8&lt;&gt;"Có",P2379="Có")),"Có","Không"))</f>
        <v/>
      </c>
      <c r="R2379" s="22">
        <f>IF($D2379="","",IF(COUNTIF($D$2:$D2379,$D2379)&gt;1,"Trùng",""))</f>
        <v/>
      </c>
      <c r="S2379" s="22">
        <f>IF($D2379="","",IF(AND(LEN($D2379)=10,LEFT($D2379,1)="0",ISNUMBER(--$D2379)),"Có","Không"))</f>
        <v/>
      </c>
      <c r="T2379" s="22">
        <f>IF($D2379="","",IF(AND($C2379&lt;&gt;"",$Q2379="Có",$R2379="",$S2379="Có",AND($L2379&lt;&gt;"",OR($L2379&lt;&gt;"Chưa xác định",DANH_MUC!$L$9="Có"))),"Có","Không"))</f>
        <v/>
      </c>
      <c r="U2379" s="22">
        <f>IF(OR($D2379="",$T2379="Có"),"",IF($C2379="","Thiếu họ tên; ","")&amp;IF($S2379&lt;&gt;"Có","SĐT sai định dạng; ","")&amp;IF($R2379="Trùng","Trùng SĐT; ","")&amp;IF($Q2379&lt;&gt;"Có","Thiếu đồng ý bắt buộc; ","")&amp;IF($L2379="","Thiếu/sai Mã REF; ",IF(AND($L2379="Chưa xác định",DANH_MUC!$L$9&lt;&gt;"Có"),"Nguồn chưa xác định; ","")))</f>
        <v/>
      </c>
      <c r="V2379" s="22">
        <f>IF(OR($D2379="",$R2379="Trùng"),"",IF(COUNTIF(ORDERS!$C$2:$C$4995,$D2379)&gt;0,"Có","Không"))</f>
        <v/>
      </c>
      <c r="W2379" s="22">
        <f>IF(OR($D2379="",$R2379="Trùng"),"",COUNTIFS(ORDERS!$C$2:$C$4995,$D2379,ORDERS!$L$2:$L$4995,"Đã chuyển khoản"))</f>
        <v/>
      </c>
      <c r="X2379" s="23">
        <f>IF(OR($D2379="",$R2379="Trùng"),"",SUMIFS(ORDERS!$J$2:$J$4995,ORDERS!$C$2:$C$4995,$D2379,ORDERS!$L$2:$L$4995,"Đã chuyển khoản"))</f>
        <v/>
      </c>
      <c r="Y2379" s="24" t="n"/>
    </row>
    <row r="2380" ht="14.25" customHeight="1" s="40">
      <c r="A2380" s="24" t="n"/>
      <c r="B2380" s="27" t="n"/>
      <c r="C2380" s="24" t="n"/>
      <c r="D2380" s="28" t="n"/>
      <c r="E2380" s="29" t="n"/>
      <c r="F2380" s="24" t="n"/>
      <c r="G2380" s="24" t="n"/>
      <c r="H2380" s="21">
        <f>IF(ISNUMBER($B2380),INT($B2380)-WEEKDAY($B2380,2)+1,"")</f>
        <v/>
      </c>
      <c r="I2380" s="24" t="n"/>
      <c r="J2380" s="22">
        <f t="array" ref="J2380">IF($D2380="","",IF($I2380="","(trống REF)",IFERROR(INDEX(MASTER_SOURCE!$B$2:$B$495,MATCH($I2380,MASTER_SOURCE!$A$2:$A$495,0)),"(REF không có trong MASTER_SOURCE)")))</f>
        <v/>
      </c>
      <c r="K2380" s="22">
        <f t="array" ref="K2380">IF($D2380="","",IFERROR(INDEX(MASTER_SOURCE!$C$2:$C$495,MATCH($I2380,MASTER_SOURCE!$A$2:$A$495,0)),""))</f>
        <v/>
      </c>
      <c r="L2380" s="22">
        <f t="array" ref="L2380">IF($D2380="","",IFERROR(INDEX(MASTER_SOURCE!$D$2:$D$495,MATCH($I2380,MASTER_SOURCE!$A$2:$A$495,0)),""))</f>
        <v/>
      </c>
      <c r="M2380" s="24" t="n"/>
      <c r="N2380" s="24" t="n"/>
      <c r="O2380" s="24" t="n"/>
      <c r="P2380" s="24" t="n"/>
      <c r="Q2380" s="22">
        <f>IF($D2380="","",IF(AND(OR(DANH_MUC!$L$5&lt;&gt;"Có",M2380="Có"),OR(DANH_MUC!$L$6&lt;&gt;"Có",N2380="Có"),OR(DANH_MUC!$L$7&lt;&gt;"Có",O2380="Có"),OR(DANH_MUC!$L$8&lt;&gt;"Có",P2380="Có")),"Có","Không"))</f>
        <v/>
      </c>
      <c r="R2380" s="22">
        <f>IF($D2380="","",IF(COUNTIF($D$2:$D2380,$D2380)&gt;1,"Trùng",""))</f>
        <v/>
      </c>
      <c r="S2380" s="22">
        <f>IF($D2380="","",IF(AND(LEN($D2380)=10,LEFT($D2380,1)="0",ISNUMBER(--$D2380)),"Có","Không"))</f>
        <v/>
      </c>
      <c r="T2380" s="22">
        <f>IF($D2380="","",IF(AND($C2380&lt;&gt;"",$Q2380="Có",$R2380="",$S2380="Có",AND($L2380&lt;&gt;"",OR($L2380&lt;&gt;"Chưa xác định",DANH_MUC!$L$9="Có"))),"Có","Không"))</f>
        <v/>
      </c>
      <c r="U2380" s="22">
        <f>IF(OR($D2380="",$T2380="Có"),"",IF($C2380="","Thiếu họ tên; ","")&amp;IF($S2380&lt;&gt;"Có","SĐT sai định dạng; ","")&amp;IF($R2380="Trùng","Trùng SĐT; ","")&amp;IF($Q2380&lt;&gt;"Có","Thiếu đồng ý bắt buộc; ","")&amp;IF($L2380="","Thiếu/sai Mã REF; ",IF(AND($L2380="Chưa xác định",DANH_MUC!$L$9&lt;&gt;"Có"),"Nguồn chưa xác định; ","")))</f>
        <v/>
      </c>
      <c r="V2380" s="22">
        <f>IF(OR($D2380="",$R2380="Trùng"),"",IF(COUNTIF(ORDERS!$C$2:$C$4995,$D2380)&gt;0,"Có","Không"))</f>
        <v/>
      </c>
      <c r="W2380" s="22">
        <f>IF(OR($D2380="",$R2380="Trùng"),"",COUNTIFS(ORDERS!$C$2:$C$4995,$D2380,ORDERS!$L$2:$L$4995,"Đã chuyển khoản"))</f>
        <v/>
      </c>
      <c r="X2380" s="23">
        <f>IF(OR($D2380="",$R2380="Trùng"),"",SUMIFS(ORDERS!$J$2:$J$4995,ORDERS!$C$2:$C$4995,$D2380,ORDERS!$L$2:$L$4995,"Đã chuyển khoản"))</f>
        <v/>
      </c>
      <c r="Y2380" s="24" t="n"/>
    </row>
    <row r="2381" ht="14.25" customHeight="1" s="40">
      <c r="A2381" s="24" t="n"/>
      <c r="B2381" s="27" t="n"/>
      <c r="C2381" s="24" t="n"/>
      <c r="D2381" s="28" t="n"/>
      <c r="E2381" s="29" t="n"/>
      <c r="F2381" s="24" t="n"/>
      <c r="G2381" s="24" t="n"/>
      <c r="H2381" s="21">
        <f>IF(ISNUMBER($B2381),INT($B2381)-WEEKDAY($B2381,2)+1,"")</f>
        <v/>
      </c>
      <c r="I2381" s="24" t="n"/>
      <c r="J2381" s="22">
        <f t="array" ref="J2381">IF($D2381="","",IF($I2381="","(trống REF)",IFERROR(INDEX(MASTER_SOURCE!$B$2:$B$495,MATCH($I2381,MASTER_SOURCE!$A$2:$A$495,0)),"(REF không có trong MASTER_SOURCE)")))</f>
        <v/>
      </c>
      <c r="K2381" s="22">
        <f t="array" ref="K2381">IF($D2381="","",IFERROR(INDEX(MASTER_SOURCE!$C$2:$C$495,MATCH($I2381,MASTER_SOURCE!$A$2:$A$495,0)),""))</f>
        <v/>
      </c>
      <c r="L2381" s="22">
        <f t="array" ref="L2381">IF($D2381="","",IFERROR(INDEX(MASTER_SOURCE!$D$2:$D$495,MATCH($I2381,MASTER_SOURCE!$A$2:$A$495,0)),""))</f>
        <v/>
      </c>
      <c r="M2381" s="24" t="n"/>
      <c r="N2381" s="24" t="n"/>
      <c r="O2381" s="24" t="n"/>
      <c r="P2381" s="24" t="n"/>
      <c r="Q2381" s="22">
        <f>IF($D2381="","",IF(AND(OR(DANH_MUC!$L$5&lt;&gt;"Có",M2381="Có"),OR(DANH_MUC!$L$6&lt;&gt;"Có",N2381="Có"),OR(DANH_MUC!$L$7&lt;&gt;"Có",O2381="Có"),OR(DANH_MUC!$L$8&lt;&gt;"Có",P2381="Có")),"Có","Không"))</f>
        <v/>
      </c>
      <c r="R2381" s="22">
        <f>IF($D2381="","",IF(COUNTIF($D$2:$D2381,$D2381)&gt;1,"Trùng",""))</f>
        <v/>
      </c>
      <c r="S2381" s="22">
        <f>IF($D2381="","",IF(AND(LEN($D2381)=10,LEFT($D2381,1)="0",ISNUMBER(--$D2381)),"Có","Không"))</f>
        <v/>
      </c>
      <c r="T2381" s="22">
        <f>IF($D2381="","",IF(AND($C2381&lt;&gt;"",$Q2381="Có",$R2381="",$S2381="Có",AND($L2381&lt;&gt;"",OR($L2381&lt;&gt;"Chưa xác định",DANH_MUC!$L$9="Có"))),"Có","Không"))</f>
        <v/>
      </c>
      <c r="U2381" s="22">
        <f>IF(OR($D2381="",$T2381="Có"),"",IF($C2381="","Thiếu họ tên; ","")&amp;IF($S2381&lt;&gt;"Có","SĐT sai định dạng; ","")&amp;IF($R2381="Trùng","Trùng SĐT; ","")&amp;IF($Q2381&lt;&gt;"Có","Thiếu đồng ý bắt buộc; ","")&amp;IF($L2381="","Thiếu/sai Mã REF; ",IF(AND($L2381="Chưa xác định",DANH_MUC!$L$9&lt;&gt;"Có"),"Nguồn chưa xác định; ","")))</f>
        <v/>
      </c>
      <c r="V2381" s="22">
        <f>IF(OR($D2381="",$R2381="Trùng"),"",IF(COUNTIF(ORDERS!$C$2:$C$4995,$D2381)&gt;0,"Có","Không"))</f>
        <v/>
      </c>
      <c r="W2381" s="22">
        <f>IF(OR($D2381="",$R2381="Trùng"),"",COUNTIFS(ORDERS!$C$2:$C$4995,$D2381,ORDERS!$L$2:$L$4995,"Đã chuyển khoản"))</f>
        <v/>
      </c>
      <c r="X2381" s="23">
        <f>IF(OR($D2381="",$R2381="Trùng"),"",SUMIFS(ORDERS!$J$2:$J$4995,ORDERS!$C$2:$C$4995,$D2381,ORDERS!$L$2:$L$4995,"Đã chuyển khoản"))</f>
        <v/>
      </c>
      <c r="Y2381" s="24" t="n"/>
    </row>
    <row r="2382" ht="14.25" customHeight="1" s="40">
      <c r="A2382" s="24" t="n"/>
      <c r="B2382" s="27" t="n"/>
      <c r="C2382" s="24" t="n"/>
      <c r="D2382" s="28" t="n"/>
      <c r="E2382" s="29" t="n"/>
      <c r="F2382" s="24" t="n"/>
      <c r="G2382" s="24" t="n"/>
      <c r="H2382" s="21">
        <f>IF(ISNUMBER($B2382),INT($B2382)-WEEKDAY($B2382,2)+1,"")</f>
        <v/>
      </c>
      <c r="I2382" s="24" t="n"/>
      <c r="J2382" s="22">
        <f t="array" ref="J2382">IF($D2382="","",IF($I2382="","(trống REF)",IFERROR(INDEX(MASTER_SOURCE!$B$2:$B$495,MATCH($I2382,MASTER_SOURCE!$A$2:$A$495,0)),"(REF không có trong MASTER_SOURCE)")))</f>
        <v/>
      </c>
      <c r="K2382" s="22">
        <f t="array" ref="K2382">IF($D2382="","",IFERROR(INDEX(MASTER_SOURCE!$C$2:$C$495,MATCH($I2382,MASTER_SOURCE!$A$2:$A$495,0)),""))</f>
        <v/>
      </c>
      <c r="L2382" s="22">
        <f t="array" ref="L2382">IF($D2382="","",IFERROR(INDEX(MASTER_SOURCE!$D$2:$D$495,MATCH($I2382,MASTER_SOURCE!$A$2:$A$495,0)),""))</f>
        <v/>
      </c>
      <c r="M2382" s="24" t="n"/>
      <c r="N2382" s="24" t="n"/>
      <c r="O2382" s="24" t="n"/>
      <c r="P2382" s="24" t="n"/>
      <c r="Q2382" s="22">
        <f>IF($D2382="","",IF(AND(OR(DANH_MUC!$L$5&lt;&gt;"Có",M2382="Có"),OR(DANH_MUC!$L$6&lt;&gt;"Có",N2382="Có"),OR(DANH_MUC!$L$7&lt;&gt;"Có",O2382="Có"),OR(DANH_MUC!$L$8&lt;&gt;"Có",P2382="Có")),"Có","Không"))</f>
        <v/>
      </c>
      <c r="R2382" s="22">
        <f>IF($D2382="","",IF(COUNTIF($D$2:$D2382,$D2382)&gt;1,"Trùng",""))</f>
        <v/>
      </c>
      <c r="S2382" s="22">
        <f>IF($D2382="","",IF(AND(LEN($D2382)=10,LEFT($D2382,1)="0",ISNUMBER(--$D2382)),"Có","Không"))</f>
        <v/>
      </c>
      <c r="T2382" s="22">
        <f>IF($D2382="","",IF(AND($C2382&lt;&gt;"",$Q2382="Có",$R2382="",$S2382="Có",AND($L2382&lt;&gt;"",OR($L2382&lt;&gt;"Chưa xác định",DANH_MUC!$L$9="Có"))),"Có","Không"))</f>
        <v/>
      </c>
      <c r="U2382" s="22">
        <f>IF(OR($D2382="",$T2382="Có"),"",IF($C2382="","Thiếu họ tên; ","")&amp;IF($S2382&lt;&gt;"Có","SĐT sai định dạng; ","")&amp;IF($R2382="Trùng","Trùng SĐT; ","")&amp;IF($Q2382&lt;&gt;"Có","Thiếu đồng ý bắt buộc; ","")&amp;IF($L2382="","Thiếu/sai Mã REF; ",IF(AND($L2382="Chưa xác định",DANH_MUC!$L$9&lt;&gt;"Có"),"Nguồn chưa xác định; ","")))</f>
        <v/>
      </c>
      <c r="V2382" s="22">
        <f>IF(OR($D2382="",$R2382="Trùng"),"",IF(COUNTIF(ORDERS!$C$2:$C$4995,$D2382)&gt;0,"Có","Không"))</f>
        <v/>
      </c>
      <c r="W2382" s="22">
        <f>IF(OR($D2382="",$R2382="Trùng"),"",COUNTIFS(ORDERS!$C$2:$C$4995,$D2382,ORDERS!$L$2:$L$4995,"Đã chuyển khoản"))</f>
        <v/>
      </c>
      <c r="X2382" s="23">
        <f>IF(OR($D2382="",$R2382="Trùng"),"",SUMIFS(ORDERS!$J$2:$J$4995,ORDERS!$C$2:$C$4995,$D2382,ORDERS!$L$2:$L$4995,"Đã chuyển khoản"))</f>
        <v/>
      </c>
      <c r="Y2382" s="24" t="n"/>
    </row>
    <row r="2383" ht="14.25" customHeight="1" s="40">
      <c r="A2383" s="24" t="n"/>
      <c r="B2383" s="27" t="n"/>
      <c r="C2383" s="24" t="n"/>
      <c r="D2383" s="28" t="n"/>
      <c r="E2383" s="29" t="n"/>
      <c r="F2383" s="24" t="n"/>
      <c r="G2383" s="24" t="n"/>
      <c r="H2383" s="21">
        <f>IF(ISNUMBER($B2383),INT($B2383)-WEEKDAY($B2383,2)+1,"")</f>
        <v/>
      </c>
      <c r="I2383" s="24" t="n"/>
      <c r="J2383" s="22">
        <f t="array" ref="J2383">IF($D2383="","",IF($I2383="","(trống REF)",IFERROR(INDEX(MASTER_SOURCE!$B$2:$B$495,MATCH($I2383,MASTER_SOURCE!$A$2:$A$495,0)),"(REF không có trong MASTER_SOURCE)")))</f>
        <v/>
      </c>
      <c r="K2383" s="22">
        <f t="array" ref="K2383">IF($D2383="","",IFERROR(INDEX(MASTER_SOURCE!$C$2:$C$495,MATCH($I2383,MASTER_SOURCE!$A$2:$A$495,0)),""))</f>
        <v/>
      </c>
      <c r="L2383" s="22">
        <f t="array" ref="L2383">IF($D2383="","",IFERROR(INDEX(MASTER_SOURCE!$D$2:$D$495,MATCH($I2383,MASTER_SOURCE!$A$2:$A$495,0)),""))</f>
        <v/>
      </c>
      <c r="M2383" s="24" t="n"/>
      <c r="N2383" s="24" t="n"/>
      <c r="O2383" s="24" t="n"/>
      <c r="P2383" s="24" t="n"/>
      <c r="Q2383" s="22">
        <f>IF($D2383="","",IF(AND(OR(DANH_MUC!$L$5&lt;&gt;"Có",M2383="Có"),OR(DANH_MUC!$L$6&lt;&gt;"Có",N2383="Có"),OR(DANH_MUC!$L$7&lt;&gt;"Có",O2383="Có"),OR(DANH_MUC!$L$8&lt;&gt;"Có",P2383="Có")),"Có","Không"))</f>
        <v/>
      </c>
      <c r="R2383" s="22">
        <f>IF($D2383="","",IF(COUNTIF($D$2:$D2383,$D2383)&gt;1,"Trùng",""))</f>
        <v/>
      </c>
      <c r="S2383" s="22">
        <f>IF($D2383="","",IF(AND(LEN($D2383)=10,LEFT($D2383,1)="0",ISNUMBER(--$D2383)),"Có","Không"))</f>
        <v/>
      </c>
      <c r="T2383" s="22">
        <f>IF($D2383="","",IF(AND($C2383&lt;&gt;"",$Q2383="Có",$R2383="",$S2383="Có",AND($L2383&lt;&gt;"",OR($L2383&lt;&gt;"Chưa xác định",DANH_MUC!$L$9="Có"))),"Có","Không"))</f>
        <v/>
      </c>
      <c r="U2383" s="22">
        <f>IF(OR($D2383="",$T2383="Có"),"",IF($C2383="","Thiếu họ tên; ","")&amp;IF($S2383&lt;&gt;"Có","SĐT sai định dạng; ","")&amp;IF($R2383="Trùng","Trùng SĐT; ","")&amp;IF($Q2383&lt;&gt;"Có","Thiếu đồng ý bắt buộc; ","")&amp;IF($L2383="","Thiếu/sai Mã REF; ",IF(AND($L2383="Chưa xác định",DANH_MUC!$L$9&lt;&gt;"Có"),"Nguồn chưa xác định; ","")))</f>
        <v/>
      </c>
      <c r="V2383" s="22">
        <f>IF(OR($D2383="",$R2383="Trùng"),"",IF(COUNTIF(ORDERS!$C$2:$C$4995,$D2383)&gt;0,"Có","Không"))</f>
        <v/>
      </c>
      <c r="W2383" s="22">
        <f>IF(OR($D2383="",$R2383="Trùng"),"",COUNTIFS(ORDERS!$C$2:$C$4995,$D2383,ORDERS!$L$2:$L$4995,"Đã chuyển khoản"))</f>
        <v/>
      </c>
      <c r="X2383" s="23">
        <f>IF(OR($D2383="",$R2383="Trùng"),"",SUMIFS(ORDERS!$J$2:$J$4995,ORDERS!$C$2:$C$4995,$D2383,ORDERS!$L$2:$L$4995,"Đã chuyển khoản"))</f>
        <v/>
      </c>
      <c r="Y2383" s="24" t="n"/>
    </row>
    <row r="2384" ht="14.25" customHeight="1" s="40">
      <c r="A2384" s="24" t="n"/>
      <c r="B2384" s="27" t="n"/>
      <c r="C2384" s="24" t="n"/>
      <c r="D2384" s="28" t="n"/>
      <c r="E2384" s="29" t="n"/>
      <c r="F2384" s="24" t="n"/>
      <c r="G2384" s="24" t="n"/>
      <c r="H2384" s="21">
        <f>IF(ISNUMBER($B2384),INT($B2384)-WEEKDAY($B2384,2)+1,"")</f>
        <v/>
      </c>
      <c r="I2384" s="24" t="n"/>
      <c r="J2384" s="22">
        <f t="array" ref="J2384">IF($D2384="","",IF($I2384="","(trống REF)",IFERROR(INDEX(MASTER_SOURCE!$B$2:$B$495,MATCH($I2384,MASTER_SOURCE!$A$2:$A$495,0)),"(REF không có trong MASTER_SOURCE)")))</f>
        <v/>
      </c>
      <c r="K2384" s="22">
        <f t="array" ref="K2384">IF($D2384="","",IFERROR(INDEX(MASTER_SOURCE!$C$2:$C$495,MATCH($I2384,MASTER_SOURCE!$A$2:$A$495,0)),""))</f>
        <v/>
      </c>
      <c r="L2384" s="22">
        <f t="array" ref="L2384">IF($D2384="","",IFERROR(INDEX(MASTER_SOURCE!$D$2:$D$495,MATCH($I2384,MASTER_SOURCE!$A$2:$A$495,0)),""))</f>
        <v/>
      </c>
      <c r="M2384" s="24" t="n"/>
      <c r="N2384" s="24" t="n"/>
      <c r="O2384" s="24" t="n"/>
      <c r="P2384" s="24" t="n"/>
      <c r="Q2384" s="22">
        <f>IF($D2384="","",IF(AND(OR(DANH_MUC!$L$5&lt;&gt;"Có",M2384="Có"),OR(DANH_MUC!$L$6&lt;&gt;"Có",N2384="Có"),OR(DANH_MUC!$L$7&lt;&gt;"Có",O2384="Có"),OR(DANH_MUC!$L$8&lt;&gt;"Có",P2384="Có")),"Có","Không"))</f>
        <v/>
      </c>
      <c r="R2384" s="22">
        <f>IF($D2384="","",IF(COUNTIF($D$2:$D2384,$D2384)&gt;1,"Trùng",""))</f>
        <v/>
      </c>
      <c r="S2384" s="22">
        <f>IF($D2384="","",IF(AND(LEN($D2384)=10,LEFT($D2384,1)="0",ISNUMBER(--$D2384)),"Có","Không"))</f>
        <v/>
      </c>
      <c r="T2384" s="22">
        <f>IF($D2384="","",IF(AND($C2384&lt;&gt;"",$Q2384="Có",$R2384="",$S2384="Có",AND($L2384&lt;&gt;"",OR($L2384&lt;&gt;"Chưa xác định",DANH_MUC!$L$9="Có"))),"Có","Không"))</f>
        <v/>
      </c>
      <c r="U2384" s="22">
        <f>IF(OR($D2384="",$T2384="Có"),"",IF($C2384="","Thiếu họ tên; ","")&amp;IF($S2384&lt;&gt;"Có","SĐT sai định dạng; ","")&amp;IF($R2384="Trùng","Trùng SĐT; ","")&amp;IF($Q2384&lt;&gt;"Có","Thiếu đồng ý bắt buộc; ","")&amp;IF($L2384="","Thiếu/sai Mã REF; ",IF(AND($L2384="Chưa xác định",DANH_MUC!$L$9&lt;&gt;"Có"),"Nguồn chưa xác định; ","")))</f>
        <v/>
      </c>
      <c r="V2384" s="22">
        <f>IF(OR($D2384="",$R2384="Trùng"),"",IF(COUNTIF(ORDERS!$C$2:$C$4995,$D2384)&gt;0,"Có","Không"))</f>
        <v/>
      </c>
      <c r="W2384" s="22">
        <f>IF(OR($D2384="",$R2384="Trùng"),"",COUNTIFS(ORDERS!$C$2:$C$4995,$D2384,ORDERS!$L$2:$L$4995,"Đã chuyển khoản"))</f>
        <v/>
      </c>
      <c r="X2384" s="23">
        <f>IF(OR($D2384="",$R2384="Trùng"),"",SUMIFS(ORDERS!$J$2:$J$4995,ORDERS!$C$2:$C$4995,$D2384,ORDERS!$L$2:$L$4995,"Đã chuyển khoản"))</f>
        <v/>
      </c>
      <c r="Y2384" s="24" t="n"/>
    </row>
    <row r="2385" ht="14.25" customHeight="1" s="40">
      <c r="A2385" s="24" t="n"/>
      <c r="B2385" s="27" t="n"/>
      <c r="C2385" s="24" t="n"/>
      <c r="D2385" s="28" t="n"/>
      <c r="E2385" s="29" t="n"/>
      <c r="F2385" s="24" t="n"/>
      <c r="G2385" s="24" t="n"/>
      <c r="H2385" s="21">
        <f>IF(ISNUMBER($B2385),INT($B2385)-WEEKDAY($B2385,2)+1,"")</f>
        <v/>
      </c>
      <c r="I2385" s="24" t="n"/>
      <c r="J2385" s="22">
        <f t="array" ref="J2385">IF($D2385="","",IF($I2385="","(trống REF)",IFERROR(INDEX(MASTER_SOURCE!$B$2:$B$495,MATCH($I2385,MASTER_SOURCE!$A$2:$A$495,0)),"(REF không có trong MASTER_SOURCE)")))</f>
        <v/>
      </c>
      <c r="K2385" s="22">
        <f t="array" ref="K2385">IF($D2385="","",IFERROR(INDEX(MASTER_SOURCE!$C$2:$C$495,MATCH($I2385,MASTER_SOURCE!$A$2:$A$495,0)),""))</f>
        <v/>
      </c>
      <c r="L2385" s="22">
        <f t="array" ref="L2385">IF($D2385="","",IFERROR(INDEX(MASTER_SOURCE!$D$2:$D$495,MATCH($I2385,MASTER_SOURCE!$A$2:$A$495,0)),""))</f>
        <v/>
      </c>
      <c r="M2385" s="24" t="n"/>
      <c r="N2385" s="24" t="n"/>
      <c r="O2385" s="24" t="n"/>
      <c r="P2385" s="24" t="n"/>
      <c r="Q2385" s="22">
        <f>IF($D2385="","",IF(AND(OR(DANH_MUC!$L$5&lt;&gt;"Có",M2385="Có"),OR(DANH_MUC!$L$6&lt;&gt;"Có",N2385="Có"),OR(DANH_MUC!$L$7&lt;&gt;"Có",O2385="Có"),OR(DANH_MUC!$L$8&lt;&gt;"Có",P2385="Có")),"Có","Không"))</f>
        <v/>
      </c>
      <c r="R2385" s="22">
        <f>IF($D2385="","",IF(COUNTIF($D$2:$D2385,$D2385)&gt;1,"Trùng",""))</f>
        <v/>
      </c>
      <c r="S2385" s="22">
        <f>IF($D2385="","",IF(AND(LEN($D2385)=10,LEFT($D2385,1)="0",ISNUMBER(--$D2385)),"Có","Không"))</f>
        <v/>
      </c>
      <c r="T2385" s="22">
        <f>IF($D2385="","",IF(AND($C2385&lt;&gt;"",$Q2385="Có",$R2385="",$S2385="Có",AND($L2385&lt;&gt;"",OR($L2385&lt;&gt;"Chưa xác định",DANH_MUC!$L$9="Có"))),"Có","Không"))</f>
        <v/>
      </c>
      <c r="U2385" s="22">
        <f>IF(OR($D2385="",$T2385="Có"),"",IF($C2385="","Thiếu họ tên; ","")&amp;IF($S2385&lt;&gt;"Có","SĐT sai định dạng; ","")&amp;IF($R2385="Trùng","Trùng SĐT; ","")&amp;IF($Q2385&lt;&gt;"Có","Thiếu đồng ý bắt buộc; ","")&amp;IF($L2385="","Thiếu/sai Mã REF; ",IF(AND($L2385="Chưa xác định",DANH_MUC!$L$9&lt;&gt;"Có"),"Nguồn chưa xác định; ","")))</f>
        <v/>
      </c>
      <c r="V2385" s="22">
        <f>IF(OR($D2385="",$R2385="Trùng"),"",IF(COUNTIF(ORDERS!$C$2:$C$4995,$D2385)&gt;0,"Có","Không"))</f>
        <v/>
      </c>
      <c r="W2385" s="22">
        <f>IF(OR($D2385="",$R2385="Trùng"),"",COUNTIFS(ORDERS!$C$2:$C$4995,$D2385,ORDERS!$L$2:$L$4995,"Đã chuyển khoản"))</f>
        <v/>
      </c>
      <c r="X2385" s="23">
        <f>IF(OR($D2385="",$R2385="Trùng"),"",SUMIFS(ORDERS!$J$2:$J$4995,ORDERS!$C$2:$C$4995,$D2385,ORDERS!$L$2:$L$4995,"Đã chuyển khoản"))</f>
        <v/>
      </c>
      <c r="Y2385" s="24" t="n"/>
    </row>
    <row r="2386" ht="14.25" customHeight="1" s="40">
      <c r="A2386" s="24" t="n"/>
      <c r="B2386" s="27" t="n"/>
      <c r="C2386" s="24" t="n"/>
      <c r="D2386" s="28" t="n"/>
      <c r="E2386" s="29" t="n"/>
      <c r="F2386" s="24" t="n"/>
      <c r="G2386" s="24" t="n"/>
      <c r="H2386" s="21">
        <f>IF(ISNUMBER($B2386),INT($B2386)-WEEKDAY($B2386,2)+1,"")</f>
        <v/>
      </c>
      <c r="I2386" s="24" t="n"/>
      <c r="J2386" s="22">
        <f t="array" ref="J2386">IF($D2386="","",IF($I2386="","(trống REF)",IFERROR(INDEX(MASTER_SOURCE!$B$2:$B$495,MATCH($I2386,MASTER_SOURCE!$A$2:$A$495,0)),"(REF không có trong MASTER_SOURCE)")))</f>
        <v/>
      </c>
      <c r="K2386" s="22">
        <f t="array" ref="K2386">IF($D2386="","",IFERROR(INDEX(MASTER_SOURCE!$C$2:$C$495,MATCH($I2386,MASTER_SOURCE!$A$2:$A$495,0)),""))</f>
        <v/>
      </c>
      <c r="L2386" s="22">
        <f t="array" ref="L2386">IF($D2386="","",IFERROR(INDEX(MASTER_SOURCE!$D$2:$D$495,MATCH($I2386,MASTER_SOURCE!$A$2:$A$495,0)),""))</f>
        <v/>
      </c>
      <c r="M2386" s="24" t="n"/>
      <c r="N2386" s="24" t="n"/>
      <c r="O2386" s="24" t="n"/>
      <c r="P2386" s="24" t="n"/>
      <c r="Q2386" s="22">
        <f>IF($D2386="","",IF(AND(OR(DANH_MUC!$L$5&lt;&gt;"Có",M2386="Có"),OR(DANH_MUC!$L$6&lt;&gt;"Có",N2386="Có"),OR(DANH_MUC!$L$7&lt;&gt;"Có",O2386="Có"),OR(DANH_MUC!$L$8&lt;&gt;"Có",P2386="Có")),"Có","Không"))</f>
        <v/>
      </c>
      <c r="R2386" s="22">
        <f>IF($D2386="","",IF(COUNTIF($D$2:$D2386,$D2386)&gt;1,"Trùng",""))</f>
        <v/>
      </c>
      <c r="S2386" s="22">
        <f>IF($D2386="","",IF(AND(LEN($D2386)=10,LEFT($D2386,1)="0",ISNUMBER(--$D2386)),"Có","Không"))</f>
        <v/>
      </c>
      <c r="T2386" s="22">
        <f>IF($D2386="","",IF(AND($C2386&lt;&gt;"",$Q2386="Có",$R2386="",$S2386="Có",AND($L2386&lt;&gt;"",OR($L2386&lt;&gt;"Chưa xác định",DANH_MUC!$L$9="Có"))),"Có","Không"))</f>
        <v/>
      </c>
      <c r="U2386" s="22">
        <f>IF(OR($D2386="",$T2386="Có"),"",IF($C2386="","Thiếu họ tên; ","")&amp;IF($S2386&lt;&gt;"Có","SĐT sai định dạng; ","")&amp;IF($R2386="Trùng","Trùng SĐT; ","")&amp;IF($Q2386&lt;&gt;"Có","Thiếu đồng ý bắt buộc; ","")&amp;IF($L2386="","Thiếu/sai Mã REF; ",IF(AND($L2386="Chưa xác định",DANH_MUC!$L$9&lt;&gt;"Có"),"Nguồn chưa xác định; ","")))</f>
        <v/>
      </c>
      <c r="V2386" s="22">
        <f>IF(OR($D2386="",$R2386="Trùng"),"",IF(COUNTIF(ORDERS!$C$2:$C$4995,$D2386)&gt;0,"Có","Không"))</f>
        <v/>
      </c>
      <c r="W2386" s="22">
        <f>IF(OR($D2386="",$R2386="Trùng"),"",COUNTIFS(ORDERS!$C$2:$C$4995,$D2386,ORDERS!$L$2:$L$4995,"Đã chuyển khoản"))</f>
        <v/>
      </c>
      <c r="X2386" s="23">
        <f>IF(OR($D2386="",$R2386="Trùng"),"",SUMIFS(ORDERS!$J$2:$J$4995,ORDERS!$C$2:$C$4995,$D2386,ORDERS!$L$2:$L$4995,"Đã chuyển khoản"))</f>
        <v/>
      </c>
      <c r="Y2386" s="24" t="n"/>
    </row>
    <row r="2387" ht="14.25" customHeight="1" s="40">
      <c r="A2387" s="24" t="n"/>
      <c r="B2387" s="27" t="n"/>
      <c r="C2387" s="24" t="n"/>
      <c r="D2387" s="28" t="n"/>
      <c r="E2387" s="29" t="n"/>
      <c r="F2387" s="24" t="n"/>
      <c r="G2387" s="24" t="n"/>
      <c r="H2387" s="21">
        <f>IF(ISNUMBER($B2387),INT($B2387)-WEEKDAY($B2387,2)+1,"")</f>
        <v/>
      </c>
      <c r="I2387" s="24" t="n"/>
      <c r="J2387" s="22">
        <f t="array" ref="J2387">IF($D2387="","",IF($I2387="","(trống REF)",IFERROR(INDEX(MASTER_SOURCE!$B$2:$B$495,MATCH($I2387,MASTER_SOURCE!$A$2:$A$495,0)),"(REF không có trong MASTER_SOURCE)")))</f>
        <v/>
      </c>
      <c r="K2387" s="22">
        <f t="array" ref="K2387">IF($D2387="","",IFERROR(INDEX(MASTER_SOURCE!$C$2:$C$495,MATCH($I2387,MASTER_SOURCE!$A$2:$A$495,0)),""))</f>
        <v/>
      </c>
      <c r="L2387" s="22">
        <f t="array" ref="L2387">IF($D2387="","",IFERROR(INDEX(MASTER_SOURCE!$D$2:$D$495,MATCH($I2387,MASTER_SOURCE!$A$2:$A$495,0)),""))</f>
        <v/>
      </c>
      <c r="M2387" s="24" t="n"/>
      <c r="N2387" s="24" t="n"/>
      <c r="O2387" s="24" t="n"/>
      <c r="P2387" s="24" t="n"/>
      <c r="Q2387" s="22">
        <f>IF($D2387="","",IF(AND(OR(DANH_MUC!$L$5&lt;&gt;"Có",M2387="Có"),OR(DANH_MUC!$L$6&lt;&gt;"Có",N2387="Có"),OR(DANH_MUC!$L$7&lt;&gt;"Có",O2387="Có"),OR(DANH_MUC!$L$8&lt;&gt;"Có",P2387="Có")),"Có","Không"))</f>
        <v/>
      </c>
      <c r="R2387" s="22">
        <f>IF($D2387="","",IF(COUNTIF($D$2:$D2387,$D2387)&gt;1,"Trùng",""))</f>
        <v/>
      </c>
      <c r="S2387" s="22">
        <f>IF($D2387="","",IF(AND(LEN($D2387)=10,LEFT($D2387,1)="0",ISNUMBER(--$D2387)),"Có","Không"))</f>
        <v/>
      </c>
      <c r="T2387" s="22">
        <f>IF($D2387="","",IF(AND($C2387&lt;&gt;"",$Q2387="Có",$R2387="",$S2387="Có",AND($L2387&lt;&gt;"",OR($L2387&lt;&gt;"Chưa xác định",DANH_MUC!$L$9="Có"))),"Có","Không"))</f>
        <v/>
      </c>
      <c r="U2387" s="22">
        <f>IF(OR($D2387="",$T2387="Có"),"",IF($C2387="","Thiếu họ tên; ","")&amp;IF($S2387&lt;&gt;"Có","SĐT sai định dạng; ","")&amp;IF($R2387="Trùng","Trùng SĐT; ","")&amp;IF($Q2387&lt;&gt;"Có","Thiếu đồng ý bắt buộc; ","")&amp;IF($L2387="","Thiếu/sai Mã REF; ",IF(AND($L2387="Chưa xác định",DANH_MUC!$L$9&lt;&gt;"Có"),"Nguồn chưa xác định; ","")))</f>
        <v/>
      </c>
      <c r="V2387" s="22">
        <f>IF(OR($D2387="",$R2387="Trùng"),"",IF(COUNTIF(ORDERS!$C$2:$C$4995,$D2387)&gt;0,"Có","Không"))</f>
        <v/>
      </c>
      <c r="W2387" s="22">
        <f>IF(OR($D2387="",$R2387="Trùng"),"",COUNTIFS(ORDERS!$C$2:$C$4995,$D2387,ORDERS!$L$2:$L$4995,"Đã chuyển khoản"))</f>
        <v/>
      </c>
      <c r="X2387" s="23">
        <f>IF(OR($D2387="",$R2387="Trùng"),"",SUMIFS(ORDERS!$J$2:$J$4995,ORDERS!$C$2:$C$4995,$D2387,ORDERS!$L$2:$L$4995,"Đã chuyển khoản"))</f>
        <v/>
      </c>
      <c r="Y2387" s="24" t="n"/>
    </row>
    <row r="2388" ht="14.25" customHeight="1" s="40">
      <c r="A2388" s="24" t="n"/>
      <c r="B2388" s="27" t="n"/>
      <c r="C2388" s="24" t="n"/>
      <c r="D2388" s="28" t="n"/>
      <c r="E2388" s="29" t="n"/>
      <c r="F2388" s="24" t="n"/>
      <c r="G2388" s="24" t="n"/>
      <c r="H2388" s="21">
        <f>IF(ISNUMBER($B2388),INT($B2388)-WEEKDAY($B2388,2)+1,"")</f>
        <v/>
      </c>
      <c r="I2388" s="24" t="n"/>
      <c r="J2388" s="22">
        <f t="array" ref="J2388">IF($D2388="","",IF($I2388="","(trống REF)",IFERROR(INDEX(MASTER_SOURCE!$B$2:$B$495,MATCH($I2388,MASTER_SOURCE!$A$2:$A$495,0)),"(REF không có trong MASTER_SOURCE)")))</f>
        <v/>
      </c>
      <c r="K2388" s="22">
        <f t="array" ref="K2388">IF($D2388="","",IFERROR(INDEX(MASTER_SOURCE!$C$2:$C$495,MATCH($I2388,MASTER_SOURCE!$A$2:$A$495,0)),""))</f>
        <v/>
      </c>
      <c r="L2388" s="22">
        <f t="array" ref="L2388">IF($D2388="","",IFERROR(INDEX(MASTER_SOURCE!$D$2:$D$495,MATCH($I2388,MASTER_SOURCE!$A$2:$A$495,0)),""))</f>
        <v/>
      </c>
      <c r="M2388" s="24" t="n"/>
      <c r="N2388" s="24" t="n"/>
      <c r="O2388" s="24" t="n"/>
      <c r="P2388" s="24" t="n"/>
      <c r="Q2388" s="22">
        <f>IF($D2388="","",IF(AND(OR(DANH_MUC!$L$5&lt;&gt;"Có",M2388="Có"),OR(DANH_MUC!$L$6&lt;&gt;"Có",N2388="Có"),OR(DANH_MUC!$L$7&lt;&gt;"Có",O2388="Có"),OR(DANH_MUC!$L$8&lt;&gt;"Có",P2388="Có")),"Có","Không"))</f>
        <v/>
      </c>
      <c r="R2388" s="22">
        <f>IF($D2388="","",IF(COUNTIF($D$2:$D2388,$D2388)&gt;1,"Trùng",""))</f>
        <v/>
      </c>
      <c r="S2388" s="22">
        <f>IF($D2388="","",IF(AND(LEN($D2388)=10,LEFT($D2388,1)="0",ISNUMBER(--$D2388)),"Có","Không"))</f>
        <v/>
      </c>
      <c r="T2388" s="22">
        <f>IF($D2388="","",IF(AND($C2388&lt;&gt;"",$Q2388="Có",$R2388="",$S2388="Có",AND($L2388&lt;&gt;"",OR($L2388&lt;&gt;"Chưa xác định",DANH_MUC!$L$9="Có"))),"Có","Không"))</f>
        <v/>
      </c>
      <c r="U2388" s="22">
        <f>IF(OR($D2388="",$T2388="Có"),"",IF($C2388="","Thiếu họ tên; ","")&amp;IF($S2388&lt;&gt;"Có","SĐT sai định dạng; ","")&amp;IF($R2388="Trùng","Trùng SĐT; ","")&amp;IF($Q2388&lt;&gt;"Có","Thiếu đồng ý bắt buộc; ","")&amp;IF($L2388="","Thiếu/sai Mã REF; ",IF(AND($L2388="Chưa xác định",DANH_MUC!$L$9&lt;&gt;"Có"),"Nguồn chưa xác định; ","")))</f>
        <v/>
      </c>
      <c r="V2388" s="22">
        <f>IF(OR($D2388="",$R2388="Trùng"),"",IF(COUNTIF(ORDERS!$C$2:$C$4995,$D2388)&gt;0,"Có","Không"))</f>
        <v/>
      </c>
      <c r="W2388" s="22">
        <f>IF(OR($D2388="",$R2388="Trùng"),"",COUNTIFS(ORDERS!$C$2:$C$4995,$D2388,ORDERS!$L$2:$L$4995,"Đã chuyển khoản"))</f>
        <v/>
      </c>
      <c r="X2388" s="23">
        <f>IF(OR($D2388="",$R2388="Trùng"),"",SUMIFS(ORDERS!$J$2:$J$4995,ORDERS!$C$2:$C$4995,$D2388,ORDERS!$L$2:$L$4995,"Đã chuyển khoản"))</f>
        <v/>
      </c>
      <c r="Y2388" s="24" t="n"/>
    </row>
    <row r="2389" ht="14.25" customHeight="1" s="40">
      <c r="A2389" s="24" t="n"/>
      <c r="B2389" s="27" t="n"/>
      <c r="C2389" s="24" t="n"/>
      <c r="D2389" s="28" t="n"/>
      <c r="E2389" s="29" t="n"/>
      <c r="F2389" s="24" t="n"/>
      <c r="G2389" s="24" t="n"/>
      <c r="H2389" s="21">
        <f>IF(ISNUMBER($B2389),INT($B2389)-WEEKDAY($B2389,2)+1,"")</f>
        <v/>
      </c>
      <c r="I2389" s="24" t="n"/>
      <c r="J2389" s="22">
        <f t="array" ref="J2389">IF($D2389="","",IF($I2389="","(trống REF)",IFERROR(INDEX(MASTER_SOURCE!$B$2:$B$495,MATCH($I2389,MASTER_SOURCE!$A$2:$A$495,0)),"(REF không có trong MASTER_SOURCE)")))</f>
        <v/>
      </c>
      <c r="K2389" s="22">
        <f t="array" ref="K2389">IF($D2389="","",IFERROR(INDEX(MASTER_SOURCE!$C$2:$C$495,MATCH($I2389,MASTER_SOURCE!$A$2:$A$495,0)),""))</f>
        <v/>
      </c>
      <c r="L2389" s="22">
        <f t="array" ref="L2389">IF($D2389="","",IFERROR(INDEX(MASTER_SOURCE!$D$2:$D$495,MATCH($I2389,MASTER_SOURCE!$A$2:$A$495,0)),""))</f>
        <v/>
      </c>
      <c r="M2389" s="24" t="n"/>
      <c r="N2389" s="24" t="n"/>
      <c r="O2389" s="24" t="n"/>
      <c r="P2389" s="24" t="n"/>
      <c r="Q2389" s="22">
        <f>IF($D2389="","",IF(AND(OR(DANH_MUC!$L$5&lt;&gt;"Có",M2389="Có"),OR(DANH_MUC!$L$6&lt;&gt;"Có",N2389="Có"),OR(DANH_MUC!$L$7&lt;&gt;"Có",O2389="Có"),OR(DANH_MUC!$L$8&lt;&gt;"Có",P2389="Có")),"Có","Không"))</f>
        <v/>
      </c>
      <c r="R2389" s="22">
        <f>IF($D2389="","",IF(COUNTIF($D$2:$D2389,$D2389)&gt;1,"Trùng",""))</f>
        <v/>
      </c>
      <c r="S2389" s="22">
        <f>IF($D2389="","",IF(AND(LEN($D2389)=10,LEFT($D2389,1)="0",ISNUMBER(--$D2389)),"Có","Không"))</f>
        <v/>
      </c>
      <c r="T2389" s="22">
        <f>IF($D2389="","",IF(AND($C2389&lt;&gt;"",$Q2389="Có",$R2389="",$S2389="Có",AND($L2389&lt;&gt;"",OR($L2389&lt;&gt;"Chưa xác định",DANH_MUC!$L$9="Có"))),"Có","Không"))</f>
        <v/>
      </c>
      <c r="U2389" s="22">
        <f>IF(OR($D2389="",$T2389="Có"),"",IF($C2389="","Thiếu họ tên; ","")&amp;IF($S2389&lt;&gt;"Có","SĐT sai định dạng; ","")&amp;IF($R2389="Trùng","Trùng SĐT; ","")&amp;IF($Q2389&lt;&gt;"Có","Thiếu đồng ý bắt buộc; ","")&amp;IF($L2389="","Thiếu/sai Mã REF; ",IF(AND($L2389="Chưa xác định",DANH_MUC!$L$9&lt;&gt;"Có"),"Nguồn chưa xác định; ","")))</f>
        <v/>
      </c>
      <c r="V2389" s="22">
        <f>IF(OR($D2389="",$R2389="Trùng"),"",IF(COUNTIF(ORDERS!$C$2:$C$4995,$D2389)&gt;0,"Có","Không"))</f>
        <v/>
      </c>
      <c r="W2389" s="22">
        <f>IF(OR($D2389="",$R2389="Trùng"),"",COUNTIFS(ORDERS!$C$2:$C$4995,$D2389,ORDERS!$L$2:$L$4995,"Đã chuyển khoản"))</f>
        <v/>
      </c>
      <c r="X2389" s="23">
        <f>IF(OR($D2389="",$R2389="Trùng"),"",SUMIFS(ORDERS!$J$2:$J$4995,ORDERS!$C$2:$C$4995,$D2389,ORDERS!$L$2:$L$4995,"Đã chuyển khoản"))</f>
        <v/>
      </c>
      <c r="Y2389" s="24" t="n"/>
    </row>
    <row r="2390" ht="14.25" customHeight="1" s="40">
      <c r="A2390" s="24" t="n"/>
      <c r="B2390" s="27" t="n"/>
      <c r="C2390" s="24" t="n"/>
      <c r="D2390" s="28" t="n"/>
      <c r="E2390" s="29" t="n"/>
      <c r="F2390" s="24" t="n"/>
      <c r="G2390" s="24" t="n"/>
      <c r="H2390" s="21">
        <f>IF(ISNUMBER($B2390),INT($B2390)-WEEKDAY($B2390,2)+1,"")</f>
        <v/>
      </c>
      <c r="I2390" s="24" t="n"/>
      <c r="J2390" s="22">
        <f t="array" ref="J2390">IF($D2390="","",IF($I2390="","(trống REF)",IFERROR(INDEX(MASTER_SOURCE!$B$2:$B$495,MATCH($I2390,MASTER_SOURCE!$A$2:$A$495,0)),"(REF không có trong MASTER_SOURCE)")))</f>
        <v/>
      </c>
      <c r="K2390" s="22">
        <f t="array" ref="K2390">IF($D2390="","",IFERROR(INDEX(MASTER_SOURCE!$C$2:$C$495,MATCH($I2390,MASTER_SOURCE!$A$2:$A$495,0)),""))</f>
        <v/>
      </c>
      <c r="L2390" s="22">
        <f t="array" ref="L2390">IF($D2390="","",IFERROR(INDEX(MASTER_SOURCE!$D$2:$D$495,MATCH($I2390,MASTER_SOURCE!$A$2:$A$495,0)),""))</f>
        <v/>
      </c>
      <c r="M2390" s="24" t="n"/>
      <c r="N2390" s="24" t="n"/>
      <c r="O2390" s="24" t="n"/>
      <c r="P2390" s="24" t="n"/>
      <c r="Q2390" s="22">
        <f>IF($D2390="","",IF(AND(OR(DANH_MUC!$L$5&lt;&gt;"Có",M2390="Có"),OR(DANH_MUC!$L$6&lt;&gt;"Có",N2390="Có"),OR(DANH_MUC!$L$7&lt;&gt;"Có",O2390="Có"),OR(DANH_MUC!$L$8&lt;&gt;"Có",P2390="Có")),"Có","Không"))</f>
        <v/>
      </c>
      <c r="R2390" s="22">
        <f>IF($D2390="","",IF(COUNTIF($D$2:$D2390,$D2390)&gt;1,"Trùng",""))</f>
        <v/>
      </c>
      <c r="S2390" s="22">
        <f>IF($D2390="","",IF(AND(LEN($D2390)=10,LEFT($D2390,1)="0",ISNUMBER(--$D2390)),"Có","Không"))</f>
        <v/>
      </c>
      <c r="T2390" s="22">
        <f>IF($D2390="","",IF(AND($C2390&lt;&gt;"",$Q2390="Có",$R2390="",$S2390="Có",AND($L2390&lt;&gt;"",OR($L2390&lt;&gt;"Chưa xác định",DANH_MUC!$L$9="Có"))),"Có","Không"))</f>
        <v/>
      </c>
      <c r="U2390" s="22">
        <f>IF(OR($D2390="",$T2390="Có"),"",IF($C2390="","Thiếu họ tên; ","")&amp;IF($S2390&lt;&gt;"Có","SĐT sai định dạng; ","")&amp;IF($R2390="Trùng","Trùng SĐT; ","")&amp;IF($Q2390&lt;&gt;"Có","Thiếu đồng ý bắt buộc; ","")&amp;IF($L2390="","Thiếu/sai Mã REF; ",IF(AND($L2390="Chưa xác định",DANH_MUC!$L$9&lt;&gt;"Có"),"Nguồn chưa xác định; ","")))</f>
        <v/>
      </c>
      <c r="V2390" s="22">
        <f>IF(OR($D2390="",$R2390="Trùng"),"",IF(COUNTIF(ORDERS!$C$2:$C$4995,$D2390)&gt;0,"Có","Không"))</f>
        <v/>
      </c>
      <c r="W2390" s="22">
        <f>IF(OR($D2390="",$R2390="Trùng"),"",COUNTIFS(ORDERS!$C$2:$C$4995,$D2390,ORDERS!$L$2:$L$4995,"Đã chuyển khoản"))</f>
        <v/>
      </c>
      <c r="X2390" s="23">
        <f>IF(OR($D2390="",$R2390="Trùng"),"",SUMIFS(ORDERS!$J$2:$J$4995,ORDERS!$C$2:$C$4995,$D2390,ORDERS!$L$2:$L$4995,"Đã chuyển khoản"))</f>
        <v/>
      </c>
      <c r="Y2390" s="24" t="n"/>
    </row>
    <row r="2391" ht="14.25" customHeight="1" s="40">
      <c r="A2391" s="24" t="n"/>
      <c r="B2391" s="27" t="n"/>
      <c r="C2391" s="24" t="n"/>
      <c r="D2391" s="28" t="n"/>
      <c r="E2391" s="29" t="n"/>
      <c r="F2391" s="24" t="n"/>
      <c r="G2391" s="24" t="n"/>
      <c r="H2391" s="21">
        <f>IF(ISNUMBER($B2391),INT($B2391)-WEEKDAY($B2391,2)+1,"")</f>
        <v/>
      </c>
      <c r="I2391" s="24" t="n"/>
      <c r="J2391" s="22">
        <f t="array" ref="J2391">IF($D2391="","",IF($I2391="","(trống REF)",IFERROR(INDEX(MASTER_SOURCE!$B$2:$B$495,MATCH($I2391,MASTER_SOURCE!$A$2:$A$495,0)),"(REF không có trong MASTER_SOURCE)")))</f>
        <v/>
      </c>
      <c r="K2391" s="22">
        <f t="array" ref="K2391">IF($D2391="","",IFERROR(INDEX(MASTER_SOURCE!$C$2:$C$495,MATCH($I2391,MASTER_SOURCE!$A$2:$A$495,0)),""))</f>
        <v/>
      </c>
      <c r="L2391" s="22">
        <f t="array" ref="L2391">IF($D2391="","",IFERROR(INDEX(MASTER_SOURCE!$D$2:$D$495,MATCH($I2391,MASTER_SOURCE!$A$2:$A$495,0)),""))</f>
        <v/>
      </c>
      <c r="M2391" s="24" t="n"/>
      <c r="N2391" s="24" t="n"/>
      <c r="O2391" s="24" t="n"/>
      <c r="P2391" s="24" t="n"/>
      <c r="Q2391" s="22">
        <f>IF($D2391="","",IF(AND(OR(DANH_MUC!$L$5&lt;&gt;"Có",M2391="Có"),OR(DANH_MUC!$L$6&lt;&gt;"Có",N2391="Có"),OR(DANH_MUC!$L$7&lt;&gt;"Có",O2391="Có"),OR(DANH_MUC!$L$8&lt;&gt;"Có",P2391="Có")),"Có","Không"))</f>
        <v/>
      </c>
      <c r="R2391" s="22">
        <f>IF($D2391="","",IF(COUNTIF($D$2:$D2391,$D2391)&gt;1,"Trùng",""))</f>
        <v/>
      </c>
      <c r="S2391" s="22">
        <f>IF($D2391="","",IF(AND(LEN($D2391)=10,LEFT($D2391,1)="0",ISNUMBER(--$D2391)),"Có","Không"))</f>
        <v/>
      </c>
      <c r="T2391" s="22">
        <f>IF($D2391="","",IF(AND($C2391&lt;&gt;"",$Q2391="Có",$R2391="",$S2391="Có",AND($L2391&lt;&gt;"",OR($L2391&lt;&gt;"Chưa xác định",DANH_MUC!$L$9="Có"))),"Có","Không"))</f>
        <v/>
      </c>
      <c r="U2391" s="22">
        <f>IF(OR($D2391="",$T2391="Có"),"",IF($C2391="","Thiếu họ tên; ","")&amp;IF($S2391&lt;&gt;"Có","SĐT sai định dạng; ","")&amp;IF($R2391="Trùng","Trùng SĐT; ","")&amp;IF($Q2391&lt;&gt;"Có","Thiếu đồng ý bắt buộc; ","")&amp;IF($L2391="","Thiếu/sai Mã REF; ",IF(AND($L2391="Chưa xác định",DANH_MUC!$L$9&lt;&gt;"Có"),"Nguồn chưa xác định; ","")))</f>
        <v/>
      </c>
      <c r="V2391" s="22">
        <f>IF(OR($D2391="",$R2391="Trùng"),"",IF(COUNTIF(ORDERS!$C$2:$C$4995,$D2391)&gt;0,"Có","Không"))</f>
        <v/>
      </c>
      <c r="W2391" s="22">
        <f>IF(OR($D2391="",$R2391="Trùng"),"",COUNTIFS(ORDERS!$C$2:$C$4995,$D2391,ORDERS!$L$2:$L$4995,"Đã chuyển khoản"))</f>
        <v/>
      </c>
      <c r="X2391" s="23">
        <f>IF(OR($D2391="",$R2391="Trùng"),"",SUMIFS(ORDERS!$J$2:$J$4995,ORDERS!$C$2:$C$4995,$D2391,ORDERS!$L$2:$L$4995,"Đã chuyển khoản"))</f>
        <v/>
      </c>
      <c r="Y2391" s="24" t="n"/>
    </row>
    <row r="2392" ht="14.25" customHeight="1" s="40">
      <c r="A2392" s="24" t="n"/>
      <c r="B2392" s="27" t="n"/>
      <c r="C2392" s="24" t="n"/>
      <c r="D2392" s="28" t="n"/>
      <c r="E2392" s="29" t="n"/>
      <c r="F2392" s="24" t="n"/>
      <c r="G2392" s="24" t="n"/>
      <c r="H2392" s="21">
        <f>IF(ISNUMBER($B2392),INT($B2392)-WEEKDAY($B2392,2)+1,"")</f>
        <v/>
      </c>
      <c r="I2392" s="24" t="n"/>
      <c r="J2392" s="22">
        <f t="array" ref="J2392">IF($D2392="","",IF($I2392="","(trống REF)",IFERROR(INDEX(MASTER_SOURCE!$B$2:$B$495,MATCH($I2392,MASTER_SOURCE!$A$2:$A$495,0)),"(REF không có trong MASTER_SOURCE)")))</f>
        <v/>
      </c>
      <c r="K2392" s="22">
        <f t="array" ref="K2392">IF($D2392="","",IFERROR(INDEX(MASTER_SOURCE!$C$2:$C$495,MATCH($I2392,MASTER_SOURCE!$A$2:$A$495,0)),""))</f>
        <v/>
      </c>
      <c r="L2392" s="22">
        <f t="array" ref="L2392">IF($D2392="","",IFERROR(INDEX(MASTER_SOURCE!$D$2:$D$495,MATCH($I2392,MASTER_SOURCE!$A$2:$A$495,0)),""))</f>
        <v/>
      </c>
      <c r="M2392" s="24" t="n"/>
      <c r="N2392" s="24" t="n"/>
      <c r="O2392" s="24" t="n"/>
      <c r="P2392" s="24" t="n"/>
      <c r="Q2392" s="22">
        <f>IF($D2392="","",IF(AND(OR(DANH_MUC!$L$5&lt;&gt;"Có",M2392="Có"),OR(DANH_MUC!$L$6&lt;&gt;"Có",N2392="Có"),OR(DANH_MUC!$L$7&lt;&gt;"Có",O2392="Có"),OR(DANH_MUC!$L$8&lt;&gt;"Có",P2392="Có")),"Có","Không"))</f>
        <v/>
      </c>
      <c r="R2392" s="22">
        <f>IF($D2392="","",IF(COUNTIF($D$2:$D2392,$D2392)&gt;1,"Trùng",""))</f>
        <v/>
      </c>
      <c r="S2392" s="22">
        <f>IF($D2392="","",IF(AND(LEN($D2392)=10,LEFT($D2392,1)="0",ISNUMBER(--$D2392)),"Có","Không"))</f>
        <v/>
      </c>
      <c r="T2392" s="22">
        <f>IF($D2392="","",IF(AND($C2392&lt;&gt;"",$Q2392="Có",$R2392="",$S2392="Có",AND($L2392&lt;&gt;"",OR($L2392&lt;&gt;"Chưa xác định",DANH_MUC!$L$9="Có"))),"Có","Không"))</f>
        <v/>
      </c>
      <c r="U2392" s="22">
        <f>IF(OR($D2392="",$T2392="Có"),"",IF($C2392="","Thiếu họ tên; ","")&amp;IF($S2392&lt;&gt;"Có","SĐT sai định dạng; ","")&amp;IF($R2392="Trùng","Trùng SĐT; ","")&amp;IF($Q2392&lt;&gt;"Có","Thiếu đồng ý bắt buộc; ","")&amp;IF($L2392="","Thiếu/sai Mã REF; ",IF(AND($L2392="Chưa xác định",DANH_MUC!$L$9&lt;&gt;"Có"),"Nguồn chưa xác định; ","")))</f>
        <v/>
      </c>
      <c r="V2392" s="22">
        <f>IF(OR($D2392="",$R2392="Trùng"),"",IF(COUNTIF(ORDERS!$C$2:$C$4995,$D2392)&gt;0,"Có","Không"))</f>
        <v/>
      </c>
      <c r="W2392" s="22">
        <f>IF(OR($D2392="",$R2392="Trùng"),"",COUNTIFS(ORDERS!$C$2:$C$4995,$D2392,ORDERS!$L$2:$L$4995,"Đã chuyển khoản"))</f>
        <v/>
      </c>
      <c r="X2392" s="23">
        <f>IF(OR($D2392="",$R2392="Trùng"),"",SUMIFS(ORDERS!$J$2:$J$4995,ORDERS!$C$2:$C$4995,$D2392,ORDERS!$L$2:$L$4995,"Đã chuyển khoản"))</f>
        <v/>
      </c>
      <c r="Y2392" s="24" t="n"/>
    </row>
    <row r="2393" ht="14.25" customHeight="1" s="40">
      <c r="A2393" s="24" t="n"/>
      <c r="B2393" s="27" t="n"/>
      <c r="C2393" s="24" t="n"/>
      <c r="D2393" s="28" t="n"/>
      <c r="E2393" s="29" t="n"/>
      <c r="F2393" s="24" t="n"/>
      <c r="G2393" s="24" t="n"/>
      <c r="H2393" s="21">
        <f>IF(ISNUMBER($B2393),INT($B2393)-WEEKDAY($B2393,2)+1,"")</f>
        <v/>
      </c>
      <c r="I2393" s="24" t="n"/>
      <c r="J2393" s="22">
        <f t="array" ref="J2393">IF($D2393="","",IF($I2393="","(trống REF)",IFERROR(INDEX(MASTER_SOURCE!$B$2:$B$495,MATCH($I2393,MASTER_SOURCE!$A$2:$A$495,0)),"(REF không có trong MASTER_SOURCE)")))</f>
        <v/>
      </c>
      <c r="K2393" s="22">
        <f t="array" ref="K2393">IF($D2393="","",IFERROR(INDEX(MASTER_SOURCE!$C$2:$C$495,MATCH($I2393,MASTER_SOURCE!$A$2:$A$495,0)),""))</f>
        <v/>
      </c>
      <c r="L2393" s="22">
        <f t="array" ref="L2393">IF($D2393="","",IFERROR(INDEX(MASTER_SOURCE!$D$2:$D$495,MATCH($I2393,MASTER_SOURCE!$A$2:$A$495,0)),""))</f>
        <v/>
      </c>
      <c r="M2393" s="24" t="n"/>
      <c r="N2393" s="24" t="n"/>
      <c r="O2393" s="24" t="n"/>
      <c r="P2393" s="24" t="n"/>
      <c r="Q2393" s="22">
        <f>IF($D2393="","",IF(AND(OR(DANH_MUC!$L$5&lt;&gt;"Có",M2393="Có"),OR(DANH_MUC!$L$6&lt;&gt;"Có",N2393="Có"),OR(DANH_MUC!$L$7&lt;&gt;"Có",O2393="Có"),OR(DANH_MUC!$L$8&lt;&gt;"Có",P2393="Có")),"Có","Không"))</f>
        <v/>
      </c>
      <c r="R2393" s="22">
        <f>IF($D2393="","",IF(COUNTIF($D$2:$D2393,$D2393)&gt;1,"Trùng",""))</f>
        <v/>
      </c>
      <c r="S2393" s="22">
        <f>IF($D2393="","",IF(AND(LEN($D2393)=10,LEFT($D2393,1)="0",ISNUMBER(--$D2393)),"Có","Không"))</f>
        <v/>
      </c>
      <c r="T2393" s="22">
        <f>IF($D2393="","",IF(AND($C2393&lt;&gt;"",$Q2393="Có",$R2393="",$S2393="Có",AND($L2393&lt;&gt;"",OR($L2393&lt;&gt;"Chưa xác định",DANH_MUC!$L$9="Có"))),"Có","Không"))</f>
        <v/>
      </c>
      <c r="U2393" s="22">
        <f>IF(OR($D2393="",$T2393="Có"),"",IF($C2393="","Thiếu họ tên; ","")&amp;IF($S2393&lt;&gt;"Có","SĐT sai định dạng; ","")&amp;IF($R2393="Trùng","Trùng SĐT; ","")&amp;IF($Q2393&lt;&gt;"Có","Thiếu đồng ý bắt buộc; ","")&amp;IF($L2393="","Thiếu/sai Mã REF; ",IF(AND($L2393="Chưa xác định",DANH_MUC!$L$9&lt;&gt;"Có"),"Nguồn chưa xác định; ","")))</f>
        <v/>
      </c>
      <c r="V2393" s="22">
        <f>IF(OR($D2393="",$R2393="Trùng"),"",IF(COUNTIF(ORDERS!$C$2:$C$4995,$D2393)&gt;0,"Có","Không"))</f>
        <v/>
      </c>
      <c r="W2393" s="22">
        <f>IF(OR($D2393="",$R2393="Trùng"),"",COUNTIFS(ORDERS!$C$2:$C$4995,$D2393,ORDERS!$L$2:$L$4995,"Đã chuyển khoản"))</f>
        <v/>
      </c>
      <c r="X2393" s="23">
        <f>IF(OR($D2393="",$R2393="Trùng"),"",SUMIFS(ORDERS!$J$2:$J$4995,ORDERS!$C$2:$C$4995,$D2393,ORDERS!$L$2:$L$4995,"Đã chuyển khoản"))</f>
        <v/>
      </c>
      <c r="Y2393" s="24" t="n"/>
    </row>
    <row r="2394" ht="14.25" customHeight="1" s="40">
      <c r="A2394" s="24" t="n"/>
      <c r="B2394" s="27" t="n"/>
      <c r="C2394" s="24" t="n"/>
      <c r="D2394" s="28" t="n"/>
      <c r="E2394" s="29" t="n"/>
      <c r="F2394" s="24" t="n"/>
      <c r="G2394" s="24" t="n"/>
      <c r="H2394" s="21">
        <f>IF(ISNUMBER($B2394),INT($B2394)-WEEKDAY($B2394,2)+1,"")</f>
        <v/>
      </c>
      <c r="I2394" s="24" t="n"/>
      <c r="J2394" s="22">
        <f t="array" ref="J2394">IF($D2394="","",IF($I2394="","(trống REF)",IFERROR(INDEX(MASTER_SOURCE!$B$2:$B$495,MATCH($I2394,MASTER_SOURCE!$A$2:$A$495,0)),"(REF không có trong MASTER_SOURCE)")))</f>
        <v/>
      </c>
      <c r="K2394" s="22">
        <f t="array" ref="K2394">IF($D2394="","",IFERROR(INDEX(MASTER_SOURCE!$C$2:$C$495,MATCH($I2394,MASTER_SOURCE!$A$2:$A$495,0)),""))</f>
        <v/>
      </c>
      <c r="L2394" s="22">
        <f t="array" ref="L2394">IF($D2394="","",IFERROR(INDEX(MASTER_SOURCE!$D$2:$D$495,MATCH($I2394,MASTER_SOURCE!$A$2:$A$495,0)),""))</f>
        <v/>
      </c>
      <c r="M2394" s="24" t="n"/>
      <c r="N2394" s="24" t="n"/>
      <c r="O2394" s="24" t="n"/>
      <c r="P2394" s="24" t="n"/>
      <c r="Q2394" s="22">
        <f>IF($D2394="","",IF(AND(OR(DANH_MUC!$L$5&lt;&gt;"Có",M2394="Có"),OR(DANH_MUC!$L$6&lt;&gt;"Có",N2394="Có"),OR(DANH_MUC!$L$7&lt;&gt;"Có",O2394="Có"),OR(DANH_MUC!$L$8&lt;&gt;"Có",P2394="Có")),"Có","Không"))</f>
        <v/>
      </c>
      <c r="R2394" s="22">
        <f>IF($D2394="","",IF(COUNTIF($D$2:$D2394,$D2394)&gt;1,"Trùng",""))</f>
        <v/>
      </c>
      <c r="S2394" s="22">
        <f>IF($D2394="","",IF(AND(LEN($D2394)=10,LEFT($D2394,1)="0",ISNUMBER(--$D2394)),"Có","Không"))</f>
        <v/>
      </c>
      <c r="T2394" s="22">
        <f>IF($D2394="","",IF(AND($C2394&lt;&gt;"",$Q2394="Có",$R2394="",$S2394="Có",AND($L2394&lt;&gt;"",OR($L2394&lt;&gt;"Chưa xác định",DANH_MUC!$L$9="Có"))),"Có","Không"))</f>
        <v/>
      </c>
      <c r="U2394" s="22">
        <f>IF(OR($D2394="",$T2394="Có"),"",IF($C2394="","Thiếu họ tên; ","")&amp;IF($S2394&lt;&gt;"Có","SĐT sai định dạng; ","")&amp;IF($R2394="Trùng","Trùng SĐT; ","")&amp;IF($Q2394&lt;&gt;"Có","Thiếu đồng ý bắt buộc; ","")&amp;IF($L2394="","Thiếu/sai Mã REF; ",IF(AND($L2394="Chưa xác định",DANH_MUC!$L$9&lt;&gt;"Có"),"Nguồn chưa xác định; ","")))</f>
        <v/>
      </c>
      <c r="V2394" s="22">
        <f>IF(OR($D2394="",$R2394="Trùng"),"",IF(COUNTIF(ORDERS!$C$2:$C$4995,$D2394)&gt;0,"Có","Không"))</f>
        <v/>
      </c>
      <c r="W2394" s="22">
        <f>IF(OR($D2394="",$R2394="Trùng"),"",COUNTIFS(ORDERS!$C$2:$C$4995,$D2394,ORDERS!$L$2:$L$4995,"Đã chuyển khoản"))</f>
        <v/>
      </c>
      <c r="X2394" s="23">
        <f>IF(OR($D2394="",$R2394="Trùng"),"",SUMIFS(ORDERS!$J$2:$J$4995,ORDERS!$C$2:$C$4995,$D2394,ORDERS!$L$2:$L$4995,"Đã chuyển khoản"))</f>
        <v/>
      </c>
      <c r="Y2394" s="24" t="n"/>
    </row>
    <row r="2395" ht="14.25" customHeight="1" s="40">
      <c r="A2395" s="24" t="n"/>
      <c r="B2395" s="27" t="n"/>
      <c r="C2395" s="24" t="n"/>
      <c r="D2395" s="28" t="n"/>
      <c r="E2395" s="29" t="n"/>
      <c r="F2395" s="24" t="n"/>
      <c r="G2395" s="24" t="n"/>
      <c r="H2395" s="21">
        <f>IF(ISNUMBER($B2395),INT($B2395)-WEEKDAY($B2395,2)+1,"")</f>
        <v/>
      </c>
      <c r="I2395" s="24" t="n"/>
      <c r="J2395" s="22">
        <f t="array" ref="J2395">IF($D2395="","",IF($I2395="","(trống REF)",IFERROR(INDEX(MASTER_SOURCE!$B$2:$B$495,MATCH($I2395,MASTER_SOURCE!$A$2:$A$495,0)),"(REF không có trong MASTER_SOURCE)")))</f>
        <v/>
      </c>
      <c r="K2395" s="22">
        <f t="array" ref="K2395">IF($D2395="","",IFERROR(INDEX(MASTER_SOURCE!$C$2:$C$495,MATCH($I2395,MASTER_SOURCE!$A$2:$A$495,0)),""))</f>
        <v/>
      </c>
      <c r="L2395" s="22">
        <f t="array" ref="L2395">IF($D2395="","",IFERROR(INDEX(MASTER_SOURCE!$D$2:$D$495,MATCH($I2395,MASTER_SOURCE!$A$2:$A$495,0)),""))</f>
        <v/>
      </c>
      <c r="M2395" s="24" t="n"/>
      <c r="N2395" s="24" t="n"/>
      <c r="O2395" s="24" t="n"/>
      <c r="P2395" s="24" t="n"/>
      <c r="Q2395" s="22">
        <f>IF($D2395="","",IF(AND(OR(DANH_MUC!$L$5&lt;&gt;"Có",M2395="Có"),OR(DANH_MUC!$L$6&lt;&gt;"Có",N2395="Có"),OR(DANH_MUC!$L$7&lt;&gt;"Có",O2395="Có"),OR(DANH_MUC!$L$8&lt;&gt;"Có",P2395="Có")),"Có","Không"))</f>
        <v/>
      </c>
      <c r="R2395" s="22">
        <f>IF($D2395="","",IF(COUNTIF($D$2:$D2395,$D2395)&gt;1,"Trùng",""))</f>
        <v/>
      </c>
      <c r="S2395" s="22">
        <f>IF($D2395="","",IF(AND(LEN($D2395)=10,LEFT($D2395,1)="0",ISNUMBER(--$D2395)),"Có","Không"))</f>
        <v/>
      </c>
      <c r="T2395" s="22">
        <f>IF($D2395="","",IF(AND($C2395&lt;&gt;"",$Q2395="Có",$R2395="",$S2395="Có",AND($L2395&lt;&gt;"",OR($L2395&lt;&gt;"Chưa xác định",DANH_MUC!$L$9="Có"))),"Có","Không"))</f>
        <v/>
      </c>
      <c r="U2395" s="22">
        <f>IF(OR($D2395="",$T2395="Có"),"",IF($C2395="","Thiếu họ tên; ","")&amp;IF($S2395&lt;&gt;"Có","SĐT sai định dạng; ","")&amp;IF($R2395="Trùng","Trùng SĐT; ","")&amp;IF($Q2395&lt;&gt;"Có","Thiếu đồng ý bắt buộc; ","")&amp;IF($L2395="","Thiếu/sai Mã REF; ",IF(AND($L2395="Chưa xác định",DANH_MUC!$L$9&lt;&gt;"Có"),"Nguồn chưa xác định; ","")))</f>
        <v/>
      </c>
      <c r="V2395" s="22">
        <f>IF(OR($D2395="",$R2395="Trùng"),"",IF(COUNTIF(ORDERS!$C$2:$C$4995,$D2395)&gt;0,"Có","Không"))</f>
        <v/>
      </c>
      <c r="W2395" s="22">
        <f>IF(OR($D2395="",$R2395="Trùng"),"",COUNTIFS(ORDERS!$C$2:$C$4995,$D2395,ORDERS!$L$2:$L$4995,"Đã chuyển khoản"))</f>
        <v/>
      </c>
      <c r="X2395" s="23">
        <f>IF(OR($D2395="",$R2395="Trùng"),"",SUMIFS(ORDERS!$J$2:$J$4995,ORDERS!$C$2:$C$4995,$D2395,ORDERS!$L$2:$L$4995,"Đã chuyển khoản"))</f>
        <v/>
      </c>
      <c r="Y2395" s="24" t="n"/>
    </row>
    <row r="2396" ht="14.25" customHeight="1" s="40">
      <c r="A2396" s="24" t="n"/>
      <c r="B2396" s="27" t="n"/>
      <c r="C2396" s="24" t="n"/>
      <c r="D2396" s="28" t="n"/>
      <c r="E2396" s="29" t="n"/>
      <c r="F2396" s="24" t="n"/>
      <c r="G2396" s="24" t="n"/>
      <c r="H2396" s="21">
        <f>IF(ISNUMBER($B2396),INT($B2396)-WEEKDAY($B2396,2)+1,"")</f>
        <v/>
      </c>
      <c r="I2396" s="24" t="n"/>
      <c r="J2396" s="22">
        <f t="array" ref="J2396">IF($D2396="","",IF($I2396="","(trống REF)",IFERROR(INDEX(MASTER_SOURCE!$B$2:$B$495,MATCH($I2396,MASTER_SOURCE!$A$2:$A$495,0)),"(REF không có trong MASTER_SOURCE)")))</f>
        <v/>
      </c>
      <c r="K2396" s="22">
        <f t="array" ref="K2396">IF($D2396="","",IFERROR(INDEX(MASTER_SOURCE!$C$2:$C$495,MATCH($I2396,MASTER_SOURCE!$A$2:$A$495,0)),""))</f>
        <v/>
      </c>
      <c r="L2396" s="22">
        <f t="array" ref="L2396">IF($D2396="","",IFERROR(INDEX(MASTER_SOURCE!$D$2:$D$495,MATCH($I2396,MASTER_SOURCE!$A$2:$A$495,0)),""))</f>
        <v/>
      </c>
      <c r="M2396" s="24" t="n"/>
      <c r="N2396" s="24" t="n"/>
      <c r="O2396" s="24" t="n"/>
      <c r="P2396" s="24" t="n"/>
      <c r="Q2396" s="22">
        <f>IF($D2396="","",IF(AND(OR(DANH_MUC!$L$5&lt;&gt;"Có",M2396="Có"),OR(DANH_MUC!$L$6&lt;&gt;"Có",N2396="Có"),OR(DANH_MUC!$L$7&lt;&gt;"Có",O2396="Có"),OR(DANH_MUC!$L$8&lt;&gt;"Có",P2396="Có")),"Có","Không"))</f>
        <v/>
      </c>
      <c r="R2396" s="22">
        <f>IF($D2396="","",IF(COUNTIF($D$2:$D2396,$D2396)&gt;1,"Trùng",""))</f>
        <v/>
      </c>
      <c r="S2396" s="22">
        <f>IF($D2396="","",IF(AND(LEN($D2396)=10,LEFT($D2396,1)="0",ISNUMBER(--$D2396)),"Có","Không"))</f>
        <v/>
      </c>
      <c r="T2396" s="22">
        <f>IF($D2396="","",IF(AND($C2396&lt;&gt;"",$Q2396="Có",$R2396="",$S2396="Có",AND($L2396&lt;&gt;"",OR($L2396&lt;&gt;"Chưa xác định",DANH_MUC!$L$9="Có"))),"Có","Không"))</f>
        <v/>
      </c>
      <c r="U2396" s="22">
        <f>IF(OR($D2396="",$T2396="Có"),"",IF($C2396="","Thiếu họ tên; ","")&amp;IF($S2396&lt;&gt;"Có","SĐT sai định dạng; ","")&amp;IF($R2396="Trùng","Trùng SĐT; ","")&amp;IF($Q2396&lt;&gt;"Có","Thiếu đồng ý bắt buộc; ","")&amp;IF($L2396="","Thiếu/sai Mã REF; ",IF(AND($L2396="Chưa xác định",DANH_MUC!$L$9&lt;&gt;"Có"),"Nguồn chưa xác định; ","")))</f>
        <v/>
      </c>
      <c r="V2396" s="22">
        <f>IF(OR($D2396="",$R2396="Trùng"),"",IF(COUNTIF(ORDERS!$C$2:$C$4995,$D2396)&gt;0,"Có","Không"))</f>
        <v/>
      </c>
      <c r="W2396" s="22">
        <f>IF(OR($D2396="",$R2396="Trùng"),"",COUNTIFS(ORDERS!$C$2:$C$4995,$D2396,ORDERS!$L$2:$L$4995,"Đã chuyển khoản"))</f>
        <v/>
      </c>
      <c r="X2396" s="23">
        <f>IF(OR($D2396="",$R2396="Trùng"),"",SUMIFS(ORDERS!$J$2:$J$4995,ORDERS!$C$2:$C$4995,$D2396,ORDERS!$L$2:$L$4995,"Đã chuyển khoản"))</f>
        <v/>
      </c>
      <c r="Y2396" s="24" t="n"/>
    </row>
    <row r="2397" ht="14.25" customHeight="1" s="40">
      <c r="A2397" s="24" t="n"/>
      <c r="B2397" s="27" t="n"/>
      <c r="C2397" s="24" t="n"/>
      <c r="D2397" s="28" t="n"/>
      <c r="E2397" s="29" t="n"/>
      <c r="F2397" s="24" t="n"/>
      <c r="G2397" s="24" t="n"/>
      <c r="H2397" s="21">
        <f>IF(ISNUMBER($B2397),INT($B2397)-WEEKDAY($B2397,2)+1,"")</f>
        <v/>
      </c>
      <c r="I2397" s="24" t="n"/>
      <c r="J2397" s="22">
        <f t="array" ref="J2397">IF($D2397="","",IF($I2397="","(trống REF)",IFERROR(INDEX(MASTER_SOURCE!$B$2:$B$495,MATCH($I2397,MASTER_SOURCE!$A$2:$A$495,0)),"(REF không có trong MASTER_SOURCE)")))</f>
        <v/>
      </c>
      <c r="K2397" s="22">
        <f t="array" ref="K2397">IF($D2397="","",IFERROR(INDEX(MASTER_SOURCE!$C$2:$C$495,MATCH($I2397,MASTER_SOURCE!$A$2:$A$495,0)),""))</f>
        <v/>
      </c>
      <c r="L2397" s="22">
        <f t="array" ref="L2397">IF($D2397="","",IFERROR(INDEX(MASTER_SOURCE!$D$2:$D$495,MATCH($I2397,MASTER_SOURCE!$A$2:$A$495,0)),""))</f>
        <v/>
      </c>
      <c r="M2397" s="24" t="n"/>
      <c r="N2397" s="24" t="n"/>
      <c r="O2397" s="24" t="n"/>
      <c r="P2397" s="24" t="n"/>
      <c r="Q2397" s="22">
        <f>IF($D2397="","",IF(AND(OR(DANH_MUC!$L$5&lt;&gt;"Có",M2397="Có"),OR(DANH_MUC!$L$6&lt;&gt;"Có",N2397="Có"),OR(DANH_MUC!$L$7&lt;&gt;"Có",O2397="Có"),OR(DANH_MUC!$L$8&lt;&gt;"Có",P2397="Có")),"Có","Không"))</f>
        <v/>
      </c>
      <c r="R2397" s="22">
        <f>IF($D2397="","",IF(COUNTIF($D$2:$D2397,$D2397)&gt;1,"Trùng",""))</f>
        <v/>
      </c>
      <c r="S2397" s="22">
        <f>IF($D2397="","",IF(AND(LEN($D2397)=10,LEFT($D2397,1)="0",ISNUMBER(--$D2397)),"Có","Không"))</f>
        <v/>
      </c>
      <c r="T2397" s="22">
        <f>IF($D2397="","",IF(AND($C2397&lt;&gt;"",$Q2397="Có",$R2397="",$S2397="Có",AND($L2397&lt;&gt;"",OR($L2397&lt;&gt;"Chưa xác định",DANH_MUC!$L$9="Có"))),"Có","Không"))</f>
        <v/>
      </c>
      <c r="U2397" s="22">
        <f>IF(OR($D2397="",$T2397="Có"),"",IF($C2397="","Thiếu họ tên; ","")&amp;IF($S2397&lt;&gt;"Có","SĐT sai định dạng; ","")&amp;IF($R2397="Trùng","Trùng SĐT; ","")&amp;IF($Q2397&lt;&gt;"Có","Thiếu đồng ý bắt buộc; ","")&amp;IF($L2397="","Thiếu/sai Mã REF; ",IF(AND($L2397="Chưa xác định",DANH_MUC!$L$9&lt;&gt;"Có"),"Nguồn chưa xác định; ","")))</f>
        <v/>
      </c>
      <c r="V2397" s="22">
        <f>IF(OR($D2397="",$R2397="Trùng"),"",IF(COUNTIF(ORDERS!$C$2:$C$4995,$D2397)&gt;0,"Có","Không"))</f>
        <v/>
      </c>
      <c r="W2397" s="22">
        <f>IF(OR($D2397="",$R2397="Trùng"),"",COUNTIFS(ORDERS!$C$2:$C$4995,$D2397,ORDERS!$L$2:$L$4995,"Đã chuyển khoản"))</f>
        <v/>
      </c>
      <c r="X2397" s="23">
        <f>IF(OR($D2397="",$R2397="Trùng"),"",SUMIFS(ORDERS!$J$2:$J$4995,ORDERS!$C$2:$C$4995,$D2397,ORDERS!$L$2:$L$4995,"Đã chuyển khoản"))</f>
        <v/>
      </c>
      <c r="Y2397" s="24" t="n"/>
    </row>
    <row r="2398" ht="14.25" customHeight="1" s="40">
      <c r="A2398" s="24" t="n"/>
      <c r="B2398" s="27" t="n"/>
      <c r="C2398" s="24" t="n"/>
      <c r="D2398" s="28" t="n"/>
      <c r="E2398" s="29" t="n"/>
      <c r="F2398" s="24" t="n"/>
      <c r="G2398" s="24" t="n"/>
      <c r="H2398" s="21">
        <f>IF(ISNUMBER($B2398),INT($B2398)-WEEKDAY($B2398,2)+1,"")</f>
        <v/>
      </c>
      <c r="I2398" s="24" t="n"/>
      <c r="J2398" s="22">
        <f t="array" ref="J2398">IF($D2398="","",IF($I2398="","(trống REF)",IFERROR(INDEX(MASTER_SOURCE!$B$2:$B$495,MATCH($I2398,MASTER_SOURCE!$A$2:$A$495,0)),"(REF không có trong MASTER_SOURCE)")))</f>
        <v/>
      </c>
      <c r="K2398" s="22">
        <f t="array" ref="K2398">IF($D2398="","",IFERROR(INDEX(MASTER_SOURCE!$C$2:$C$495,MATCH($I2398,MASTER_SOURCE!$A$2:$A$495,0)),""))</f>
        <v/>
      </c>
      <c r="L2398" s="22">
        <f t="array" ref="L2398">IF($D2398="","",IFERROR(INDEX(MASTER_SOURCE!$D$2:$D$495,MATCH($I2398,MASTER_SOURCE!$A$2:$A$495,0)),""))</f>
        <v/>
      </c>
      <c r="M2398" s="24" t="n"/>
      <c r="N2398" s="24" t="n"/>
      <c r="O2398" s="24" t="n"/>
      <c r="P2398" s="24" t="n"/>
      <c r="Q2398" s="22">
        <f>IF($D2398="","",IF(AND(OR(DANH_MUC!$L$5&lt;&gt;"Có",M2398="Có"),OR(DANH_MUC!$L$6&lt;&gt;"Có",N2398="Có"),OR(DANH_MUC!$L$7&lt;&gt;"Có",O2398="Có"),OR(DANH_MUC!$L$8&lt;&gt;"Có",P2398="Có")),"Có","Không"))</f>
        <v/>
      </c>
      <c r="R2398" s="22">
        <f>IF($D2398="","",IF(COUNTIF($D$2:$D2398,$D2398)&gt;1,"Trùng",""))</f>
        <v/>
      </c>
      <c r="S2398" s="22">
        <f>IF($D2398="","",IF(AND(LEN($D2398)=10,LEFT($D2398,1)="0",ISNUMBER(--$D2398)),"Có","Không"))</f>
        <v/>
      </c>
      <c r="T2398" s="22">
        <f>IF($D2398="","",IF(AND($C2398&lt;&gt;"",$Q2398="Có",$R2398="",$S2398="Có",AND($L2398&lt;&gt;"",OR($L2398&lt;&gt;"Chưa xác định",DANH_MUC!$L$9="Có"))),"Có","Không"))</f>
        <v/>
      </c>
      <c r="U2398" s="22">
        <f>IF(OR($D2398="",$T2398="Có"),"",IF($C2398="","Thiếu họ tên; ","")&amp;IF($S2398&lt;&gt;"Có","SĐT sai định dạng; ","")&amp;IF($R2398="Trùng","Trùng SĐT; ","")&amp;IF($Q2398&lt;&gt;"Có","Thiếu đồng ý bắt buộc; ","")&amp;IF($L2398="","Thiếu/sai Mã REF; ",IF(AND($L2398="Chưa xác định",DANH_MUC!$L$9&lt;&gt;"Có"),"Nguồn chưa xác định; ","")))</f>
        <v/>
      </c>
      <c r="V2398" s="22">
        <f>IF(OR($D2398="",$R2398="Trùng"),"",IF(COUNTIF(ORDERS!$C$2:$C$4995,$D2398)&gt;0,"Có","Không"))</f>
        <v/>
      </c>
      <c r="W2398" s="22">
        <f>IF(OR($D2398="",$R2398="Trùng"),"",COUNTIFS(ORDERS!$C$2:$C$4995,$D2398,ORDERS!$L$2:$L$4995,"Đã chuyển khoản"))</f>
        <v/>
      </c>
      <c r="X2398" s="23">
        <f>IF(OR($D2398="",$R2398="Trùng"),"",SUMIFS(ORDERS!$J$2:$J$4995,ORDERS!$C$2:$C$4995,$D2398,ORDERS!$L$2:$L$4995,"Đã chuyển khoản"))</f>
        <v/>
      </c>
      <c r="Y2398" s="24" t="n"/>
    </row>
    <row r="2399" ht="14.25" customHeight="1" s="40">
      <c r="A2399" s="24" t="n"/>
      <c r="B2399" s="27" t="n"/>
      <c r="C2399" s="24" t="n"/>
      <c r="D2399" s="28" t="n"/>
      <c r="E2399" s="29" t="n"/>
      <c r="F2399" s="24" t="n"/>
      <c r="G2399" s="24" t="n"/>
      <c r="H2399" s="21">
        <f>IF(ISNUMBER($B2399),INT($B2399)-WEEKDAY($B2399,2)+1,"")</f>
        <v/>
      </c>
      <c r="I2399" s="24" t="n"/>
      <c r="J2399" s="22">
        <f t="array" ref="J2399">IF($D2399="","",IF($I2399="","(trống REF)",IFERROR(INDEX(MASTER_SOURCE!$B$2:$B$495,MATCH($I2399,MASTER_SOURCE!$A$2:$A$495,0)),"(REF không có trong MASTER_SOURCE)")))</f>
        <v/>
      </c>
      <c r="K2399" s="22">
        <f t="array" ref="K2399">IF($D2399="","",IFERROR(INDEX(MASTER_SOURCE!$C$2:$C$495,MATCH($I2399,MASTER_SOURCE!$A$2:$A$495,0)),""))</f>
        <v/>
      </c>
      <c r="L2399" s="22">
        <f t="array" ref="L2399">IF($D2399="","",IFERROR(INDEX(MASTER_SOURCE!$D$2:$D$495,MATCH($I2399,MASTER_SOURCE!$A$2:$A$495,0)),""))</f>
        <v/>
      </c>
      <c r="M2399" s="24" t="n"/>
      <c r="N2399" s="24" t="n"/>
      <c r="O2399" s="24" t="n"/>
      <c r="P2399" s="24" t="n"/>
      <c r="Q2399" s="22">
        <f>IF($D2399="","",IF(AND(OR(DANH_MUC!$L$5&lt;&gt;"Có",M2399="Có"),OR(DANH_MUC!$L$6&lt;&gt;"Có",N2399="Có"),OR(DANH_MUC!$L$7&lt;&gt;"Có",O2399="Có"),OR(DANH_MUC!$L$8&lt;&gt;"Có",P2399="Có")),"Có","Không"))</f>
        <v/>
      </c>
      <c r="R2399" s="22">
        <f>IF($D2399="","",IF(COUNTIF($D$2:$D2399,$D2399)&gt;1,"Trùng",""))</f>
        <v/>
      </c>
      <c r="S2399" s="22">
        <f>IF($D2399="","",IF(AND(LEN($D2399)=10,LEFT($D2399,1)="0",ISNUMBER(--$D2399)),"Có","Không"))</f>
        <v/>
      </c>
      <c r="T2399" s="22">
        <f>IF($D2399="","",IF(AND($C2399&lt;&gt;"",$Q2399="Có",$R2399="",$S2399="Có",AND($L2399&lt;&gt;"",OR($L2399&lt;&gt;"Chưa xác định",DANH_MUC!$L$9="Có"))),"Có","Không"))</f>
        <v/>
      </c>
      <c r="U2399" s="22">
        <f>IF(OR($D2399="",$T2399="Có"),"",IF($C2399="","Thiếu họ tên; ","")&amp;IF($S2399&lt;&gt;"Có","SĐT sai định dạng; ","")&amp;IF($R2399="Trùng","Trùng SĐT; ","")&amp;IF($Q2399&lt;&gt;"Có","Thiếu đồng ý bắt buộc; ","")&amp;IF($L2399="","Thiếu/sai Mã REF; ",IF(AND($L2399="Chưa xác định",DANH_MUC!$L$9&lt;&gt;"Có"),"Nguồn chưa xác định; ","")))</f>
        <v/>
      </c>
      <c r="V2399" s="22">
        <f>IF(OR($D2399="",$R2399="Trùng"),"",IF(COUNTIF(ORDERS!$C$2:$C$4995,$D2399)&gt;0,"Có","Không"))</f>
        <v/>
      </c>
      <c r="W2399" s="22">
        <f>IF(OR($D2399="",$R2399="Trùng"),"",COUNTIFS(ORDERS!$C$2:$C$4995,$D2399,ORDERS!$L$2:$L$4995,"Đã chuyển khoản"))</f>
        <v/>
      </c>
      <c r="X2399" s="23">
        <f>IF(OR($D2399="",$R2399="Trùng"),"",SUMIFS(ORDERS!$J$2:$J$4995,ORDERS!$C$2:$C$4995,$D2399,ORDERS!$L$2:$L$4995,"Đã chuyển khoản"))</f>
        <v/>
      </c>
      <c r="Y2399" s="24" t="n"/>
    </row>
    <row r="2400" ht="14.25" customHeight="1" s="40">
      <c r="A2400" s="24" t="n"/>
      <c r="B2400" s="27" t="n"/>
      <c r="C2400" s="24" t="n"/>
      <c r="D2400" s="28" t="n"/>
      <c r="E2400" s="29" t="n"/>
      <c r="F2400" s="24" t="n"/>
      <c r="G2400" s="24" t="n"/>
      <c r="H2400" s="21">
        <f>IF(ISNUMBER($B2400),INT($B2400)-WEEKDAY($B2400,2)+1,"")</f>
        <v/>
      </c>
      <c r="I2400" s="24" t="n"/>
      <c r="J2400" s="22">
        <f t="array" ref="J2400">IF($D2400="","",IF($I2400="","(trống REF)",IFERROR(INDEX(MASTER_SOURCE!$B$2:$B$495,MATCH($I2400,MASTER_SOURCE!$A$2:$A$495,0)),"(REF không có trong MASTER_SOURCE)")))</f>
        <v/>
      </c>
      <c r="K2400" s="22">
        <f t="array" ref="K2400">IF($D2400="","",IFERROR(INDEX(MASTER_SOURCE!$C$2:$C$495,MATCH($I2400,MASTER_SOURCE!$A$2:$A$495,0)),""))</f>
        <v/>
      </c>
      <c r="L2400" s="22">
        <f t="array" ref="L2400">IF($D2400="","",IFERROR(INDEX(MASTER_SOURCE!$D$2:$D$495,MATCH($I2400,MASTER_SOURCE!$A$2:$A$495,0)),""))</f>
        <v/>
      </c>
      <c r="M2400" s="24" t="n"/>
      <c r="N2400" s="24" t="n"/>
      <c r="O2400" s="24" t="n"/>
      <c r="P2400" s="24" t="n"/>
      <c r="Q2400" s="22">
        <f>IF($D2400="","",IF(AND(OR(DANH_MUC!$L$5&lt;&gt;"Có",M2400="Có"),OR(DANH_MUC!$L$6&lt;&gt;"Có",N2400="Có"),OR(DANH_MUC!$L$7&lt;&gt;"Có",O2400="Có"),OR(DANH_MUC!$L$8&lt;&gt;"Có",P2400="Có")),"Có","Không"))</f>
        <v/>
      </c>
      <c r="R2400" s="22">
        <f>IF($D2400="","",IF(COUNTIF($D$2:$D2400,$D2400)&gt;1,"Trùng",""))</f>
        <v/>
      </c>
      <c r="S2400" s="22">
        <f>IF($D2400="","",IF(AND(LEN($D2400)=10,LEFT($D2400,1)="0",ISNUMBER(--$D2400)),"Có","Không"))</f>
        <v/>
      </c>
      <c r="T2400" s="22">
        <f>IF($D2400="","",IF(AND($C2400&lt;&gt;"",$Q2400="Có",$R2400="",$S2400="Có",AND($L2400&lt;&gt;"",OR($L2400&lt;&gt;"Chưa xác định",DANH_MUC!$L$9="Có"))),"Có","Không"))</f>
        <v/>
      </c>
      <c r="U2400" s="22">
        <f>IF(OR($D2400="",$T2400="Có"),"",IF($C2400="","Thiếu họ tên; ","")&amp;IF($S2400&lt;&gt;"Có","SĐT sai định dạng; ","")&amp;IF($R2400="Trùng","Trùng SĐT; ","")&amp;IF($Q2400&lt;&gt;"Có","Thiếu đồng ý bắt buộc; ","")&amp;IF($L2400="","Thiếu/sai Mã REF; ",IF(AND($L2400="Chưa xác định",DANH_MUC!$L$9&lt;&gt;"Có"),"Nguồn chưa xác định; ","")))</f>
        <v/>
      </c>
      <c r="V2400" s="22">
        <f>IF(OR($D2400="",$R2400="Trùng"),"",IF(COUNTIF(ORDERS!$C$2:$C$4995,$D2400)&gt;0,"Có","Không"))</f>
        <v/>
      </c>
      <c r="W2400" s="22">
        <f>IF(OR($D2400="",$R2400="Trùng"),"",COUNTIFS(ORDERS!$C$2:$C$4995,$D2400,ORDERS!$L$2:$L$4995,"Đã chuyển khoản"))</f>
        <v/>
      </c>
      <c r="X2400" s="23">
        <f>IF(OR($D2400="",$R2400="Trùng"),"",SUMIFS(ORDERS!$J$2:$J$4995,ORDERS!$C$2:$C$4995,$D2400,ORDERS!$L$2:$L$4995,"Đã chuyển khoản"))</f>
        <v/>
      </c>
      <c r="Y2400" s="24" t="n"/>
    </row>
    <row r="2401" ht="14.25" customHeight="1" s="40">
      <c r="A2401" s="24" t="n"/>
      <c r="B2401" s="27" t="n"/>
      <c r="C2401" s="24" t="n"/>
      <c r="D2401" s="28" t="n"/>
      <c r="E2401" s="29" t="n"/>
      <c r="F2401" s="24" t="n"/>
      <c r="G2401" s="24" t="n"/>
      <c r="H2401" s="21">
        <f>IF(ISNUMBER($B2401),INT($B2401)-WEEKDAY($B2401,2)+1,"")</f>
        <v/>
      </c>
      <c r="I2401" s="24" t="n"/>
      <c r="J2401" s="22">
        <f t="array" ref="J2401">IF($D2401="","",IF($I2401="","(trống REF)",IFERROR(INDEX(MASTER_SOURCE!$B$2:$B$495,MATCH($I2401,MASTER_SOURCE!$A$2:$A$495,0)),"(REF không có trong MASTER_SOURCE)")))</f>
        <v/>
      </c>
      <c r="K2401" s="22">
        <f t="array" ref="K2401">IF($D2401="","",IFERROR(INDEX(MASTER_SOURCE!$C$2:$C$495,MATCH($I2401,MASTER_SOURCE!$A$2:$A$495,0)),""))</f>
        <v/>
      </c>
      <c r="L2401" s="22">
        <f t="array" ref="L2401">IF($D2401="","",IFERROR(INDEX(MASTER_SOURCE!$D$2:$D$495,MATCH($I2401,MASTER_SOURCE!$A$2:$A$495,0)),""))</f>
        <v/>
      </c>
      <c r="M2401" s="24" t="n"/>
      <c r="N2401" s="24" t="n"/>
      <c r="O2401" s="24" t="n"/>
      <c r="P2401" s="24" t="n"/>
      <c r="Q2401" s="22">
        <f>IF($D2401="","",IF(AND(OR(DANH_MUC!$L$5&lt;&gt;"Có",M2401="Có"),OR(DANH_MUC!$L$6&lt;&gt;"Có",N2401="Có"),OR(DANH_MUC!$L$7&lt;&gt;"Có",O2401="Có"),OR(DANH_MUC!$L$8&lt;&gt;"Có",P2401="Có")),"Có","Không"))</f>
        <v/>
      </c>
      <c r="R2401" s="22">
        <f>IF($D2401="","",IF(COUNTIF($D$2:$D2401,$D2401)&gt;1,"Trùng",""))</f>
        <v/>
      </c>
      <c r="S2401" s="22">
        <f>IF($D2401="","",IF(AND(LEN($D2401)=10,LEFT($D2401,1)="0",ISNUMBER(--$D2401)),"Có","Không"))</f>
        <v/>
      </c>
      <c r="T2401" s="22">
        <f>IF($D2401="","",IF(AND($C2401&lt;&gt;"",$Q2401="Có",$R2401="",$S2401="Có",AND($L2401&lt;&gt;"",OR($L2401&lt;&gt;"Chưa xác định",DANH_MUC!$L$9="Có"))),"Có","Không"))</f>
        <v/>
      </c>
      <c r="U2401" s="22">
        <f>IF(OR($D2401="",$T2401="Có"),"",IF($C2401="","Thiếu họ tên; ","")&amp;IF($S2401&lt;&gt;"Có","SĐT sai định dạng; ","")&amp;IF($R2401="Trùng","Trùng SĐT; ","")&amp;IF($Q2401&lt;&gt;"Có","Thiếu đồng ý bắt buộc; ","")&amp;IF($L2401="","Thiếu/sai Mã REF; ",IF(AND($L2401="Chưa xác định",DANH_MUC!$L$9&lt;&gt;"Có"),"Nguồn chưa xác định; ","")))</f>
        <v/>
      </c>
      <c r="V2401" s="22">
        <f>IF(OR($D2401="",$R2401="Trùng"),"",IF(COUNTIF(ORDERS!$C$2:$C$4995,$D2401)&gt;0,"Có","Không"))</f>
        <v/>
      </c>
      <c r="W2401" s="22">
        <f>IF(OR($D2401="",$R2401="Trùng"),"",COUNTIFS(ORDERS!$C$2:$C$4995,$D2401,ORDERS!$L$2:$L$4995,"Đã chuyển khoản"))</f>
        <v/>
      </c>
      <c r="X2401" s="23">
        <f>IF(OR($D2401="",$R2401="Trùng"),"",SUMIFS(ORDERS!$J$2:$J$4995,ORDERS!$C$2:$C$4995,$D2401,ORDERS!$L$2:$L$4995,"Đã chuyển khoản"))</f>
        <v/>
      </c>
      <c r="Y2401" s="24" t="n"/>
    </row>
    <row r="2402" ht="14.25" customHeight="1" s="40">
      <c r="A2402" s="24" t="n"/>
      <c r="B2402" s="27" t="n"/>
      <c r="C2402" s="24" t="n"/>
      <c r="D2402" s="28" t="n"/>
      <c r="E2402" s="29" t="n"/>
      <c r="F2402" s="24" t="n"/>
      <c r="G2402" s="24" t="n"/>
      <c r="H2402" s="21">
        <f>IF(ISNUMBER($B2402),INT($B2402)-WEEKDAY($B2402,2)+1,"")</f>
        <v/>
      </c>
      <c r="I2402" s="24" t="n"/>
      <c r="J2402" s="22">
        <f t="array" ref="J2402">IF($D2402="","",IF($I2402="","(trống REF)",IFERROR(INDEX(MASTER_SOURCE!$B$2:$B$495,MATCH($I2402,MASTER_SOURCE!$A$2:$A$495,0)),"(REF không có trong MASTER_SOURCE)")))</f>
        <v/>
      </c>
      <c r="K2402" s="22">
        <f t="array" ref="K2402">IF($D2402="","",IFERROR(INDEX(MASTER_SOURCE!$C$2:$C$495,MATCH($I2402,MASTER_SOURCE!$A$2:$A$495,0)),""))</f>
        <v/>
      </c>
      <c r="L2402" s="22">
        <f t="array" ref="L2402">IF($D2402="","",IFERROR(INDEX(MASTER_SOURCE!$D$2:$D$495,MATCH($I2402,MASTER_SOURCE!$A$2:$A$495,0)),""))</f>
        <v/>
      </c>
      <c r="M2402" s="24" t="n"/>
      <c r="N2402" s="24" t="n"/>
      <c r="O2402" s="24" t="n"/>
      <c r="P2402" s="24" t="n"/>
      <c r="Q2402" s="22">
        <f>IF($D2402="","",IF(AND(OR(DANH_MUC!$L$5&lt;&gt;"Có",M2402="Có"),OR(DANH_MUC!$L$6&lt;&gt;"Có",N2402="Có"),OR(DANH_MUC!$L$7&lt;&gt;"Có",O2402="Có"),OR(DANH_MUC!$L$8&lt;&gt;"Có",P2402="Có")),"Có","Không"))</f>
        <v/>
      </c>
      <c r="R2402" s="22">
        <f>IF($D2402="","",IF(COUNTIF($D$2:$D2402,$D2402)&gt;1,"Trùng",""))</f>
        <v/>
      </c>
      <c r="S2402" s="22">
        <f>IF($D2402="","",IF(AND(LEN($D2402)=10,LEFT($D2402,1)="0",ISNUMBER(--$D2402)),"Có","Không"))</f>
        <v/>
      </c>
      <c r="T2402" s="22">
        <f>IF($D2402="","",IF(AND($C2402&lt;&gt;"",$Q2402="Có",$R2402="",$S2402="Có",AND($L2402&lt;&gt;"",OR($L2402&lt;&gt;"Chưa xác định",DANH_MUC!$L$9="Có"))),"Có","Không"))</f>
        <v/>
      </c>
      <c r="U2402" s="22">
        <f>IF(OR($D2402="",$T2402="Có"),"",IF($C2402="","Thiếu họ tên; ","")&amp;IF($S2402&lt;&gt;"Có","SĐT sai định dạng; ","")&amp;IF($R2402="Trùng","Trùng SĐT; ","")&amp;IF($Q2402&lt;&gt;"Có","Thiếu đồng ý bắt buộc; ","")&amp;IF($L2402="","Thiếu/sai Mã REF; ",IF(AND($L2402="Chưa xác định",DANH_MUC!$L$9&lt;&gt;"Có"),"Nguồn chưa xác định; ","")))</f>
        <v/>
      </c>
      <c r="V2402" s="22">
        <f>IF(OR($D2402="",$R2402="Trùng"),"",IF(COUNTIF(ORDERS!$C$2:$C$4995,$D2402)&gt;0,"Có","Không"))</f>
        <v/>
      </c>
      <c r="W2402" s="22">
        <f>IF(OR($D2402="",$R2402="Trùng"),"",COUNTIFS(ORDERS!$C$2:$C$4995,$D2402,ORDERS!$L$2:$L$4995,"Đã chuyển khoản"))</f>
        <v/>
      </c>
      <c r="X2402" s="23">
        <f>IF(OR($D2402="",$R2402="Trùng"),"",SUMIFS(ORDERS!$J$2:$J$4995,ORDERS!$C$2:$C$4995,$D2402,ORDERS!$L$2:$L$4995,"Đã chuyển khoản"))</f>
        <v/>
      </c>
      <c r="Y2402" s="24" t="n"/>
    </row>
    <row r="2403" ht="14.25" customHeight="1" s="40">
      <c r="A2403" s="24" t="n"/>
      <c r="B2403" s="27" t="n"/>
      <c r="C2403" s="24" t="n"/>
      <c r="D2403" s="28" t="n"/>
      <c r="E2403" s="29" t="n"/>
      <c r="F2403" s="24" t="n"/>
      <c r="G2403" s="24" t="n"/>
      <c r="H2403" s="21">
        <f>IF(ISNUMBER($B2403),INT($B2403)-WEEKDAY($B2403,2)+1,"")</f>
        <v/>
      </c>
      <c r="I2403" s="24" t="n"/>
      <c r="J2403" s="22">
        <f t="array" ref="J2403">IF($D2403="","",IF($I2403="","(trống REF)",IFERROR(INDEX(MASTER_SOURCE!$B$2:$B$495,MATCH($I2403,MASTER_SOURCE!$A$2:$A$495,0)),"(REF không có trong MASTER_SOURCE)")))</f>
        <v/>
      </c>
      <c r="K2403" s="22">
        <f t="array" ref="K2403">IF($D2403="","",IFERROR(INDEX(MASTER_SOURCE!$C$2:$C$495,MATCH($I2403,MASTER_SOURCE!$A$2:$A$495,0)),""))</f>
        <v/>
      </c>
      <c r="L2403" s="22">
        <f t="array" ref="L2403">IF($D2403="","",IFERROR(INDEX(MASTER_SOURCE!$D$2:$D$495,MATCH($I2403,MASTER_SOURCE!$A$2:$A$495,0)),""))</f>
        <v/>
      </c>
      <c r="M2403" s="24" t="n"/>
      <c r="N2403" s="24" t="n"/>
      <c r="O2403" s="24" t="n"/>
      <c r="P2403" s="24" t="n"/>
      <c r="Q2403" s="22">
        <f>IF($D2403="","",IF(AND(OR(DANH_MUC!$L$5&lt;&gt;"Có",M2403="Có"),OR(DANH_MUC!$L$6&lt;&gt;"Có",N2403="Có"),OR(DANH_MUC!$L$7&lt;&gt;"Có",O2403="Có"),OR(DANH_MUC!$L$8&lt;&gt;"Có",P2403="Có")),"Có","Không"))</f>
        <v/>
      </c>
      <c r="R2403" s="22">
        <f>IF($D2403="","",IF(COUNTIF($D$2:$D2403,$D2403)&gt;1,"Trùng",""))</f>
        <v/>
      </c>
      <c r="S2403" s="22">
        <f>IF($D2403="","",IF(AND(LEN($D2403)=10,LEFT($D2403,1)="0",ISNUMBER(--$D2403)),"Có","Không"))</f>
        <v/>
      </c>
      <c r="T2403" s="22">
        <f>IF($D2403="","",IF(AND($C2403&lt;&gt;"",$Q2403="Có",$R2403="",$S2403="Có",AND($L2403&lt;&gt;"",OR($L2403&lt;&gt;"Chưa xác định",DANH_MUC!$L$9="Có"))),"Có","Không"))</f>
        <v/>
      </c>
      <c r="U2403" s="22">
        <f>IF(OR($D2403="",$T2403="Có"),"",IF($C2403="","Thiếu họ tên; ","")&amp;IF($S2403&lt;&gt;"Có","SĐT sai định dạng; ","")&amp;IF($R2403="Trùng","Trùng SĐT; ","")&amp;IF($Q2403&lt;&gt;"Có","Thiếu đồng ý bắt buộc; ","")&amp;IF($L2403="","Thiếu/sai Mã REF; ",IF(AND($L2403="Chưa xác định",DANH_MUC!$L$9&lt;&gt;"Có"),"Nguồn chưa xác định; ","")))</f>
        <v/>
      </c>
      <c r="V2403" s="22">
        <f>IF(OR($D2403="",$R2403="Trùng"),"",IF(COUNTIF(ORDERS!$C$2:$C$4995,$D2403)&gt;0,"Có","Không"))</f>
        <v/>
      </c>
      <c r="W2403" s="22">
        <f>IF(OR($D2403="",$R2403="Trùng"),"",COUNTIFS(ORDERS!$C$2:$C$4995,$D2403,ORDERS!$L$2:$L$4995,"Đã chuyển khoản"))</f>
        <v/>
      </c>
      <c r="X2403" s="23">
        <f>IF(OR($D2403="",$R2403="Trùng"),"",SUMIFS(ORDERS!$J$2:$J$4995,ORDERS!$C$2:$C$4995,$D2403,ORDERS!$L$2:$L$4995,"Đã chuyển khoản"))</f>
        <v/>
      </c>
      <c r="Y2403" s="24" t="n"/>
    </row>
    <row r="2404" ht="14.25" customHeight="1" s="40">
      <c r="A2404" s="24" t="n"/>
      <c r="B2404" s="27" t="n"/>
      <c r="C2404" s="24" t="n"/>
      <c r="D2404" s="28" t="n"/>
      <c r="E2404" s="29" t="n"/>
      <c r="F2404" s="24" t="n"/>
      <c r="G2404" s="24" t="n"/>
      <c r="H2404" s="21">
        <f>IF(ISNUMBER($B2404),INT($B2404)-WEEKDAY($B2404,2)+1,"")</f>
        <v/>
      </c>
      <c r="I2404" s="24" t="n"/>
      <c r="J2404" s="22">
        <f t="array" ref="J2404">IF($D2404="","",IF($I2404="","(trống REF)",IFERROR(INDEX(MASTER_SOURCE!$B$2:$B$495,MATCH($I2404,MASTER_SOURCE!$A$2:$A$495,0)),"(REF không có trong MASTER_SOURCE)")))</f>
        <v/>
      </c>
      <c r="K2404" s="22">
        <f t="array" ref="K2404">IF($D2404="","",IFERROR(INDEX(MASTER_SOURCE!$C$2:$C$495,MATCH($I2404,MASTER_SOURCE!$A$2:$A$495,0)),""))</f>
        <v/>
      </c>
      <c r="L2404" s="22">
        <f t="array" ref="L2404">IF($D2404="","",IFERROR(INDEX(MASTER_SOURCE!$D$2:$D$495,MATCH($I2404,MASTER_SOURCE!$A$2:$A$495,0)),""))</f>
        <v/>
      </c>
      <c r="M2404" s="24" t="n"/>
      <c r="N2404" s="24" t="n"/>
      <c r="O2404" s="24" t="n"/>
      <c r="P2404" s="24" t="n"/>
      <c r="Q2404" s="22">
        <f>IF($D2404="","",IF(AND(OR(DANH_MUC!$L$5&lt;&gt;"Có",M2404="Có"),OR(DANH_MUC!$L$6&lt;&gt;"Có",N2404="Có"),OR(DANH_MUC!$L$7&lt;&gt;"Có",O2404="Có"),OR(DANH_MUC!$L$8&lt;&gt;"Có",P2404="Có")),"Có","Không"))</f>
        <v/>
      </c>
      <c r="R2404" s="22">
        <f>IF($D2404="","",IF(COUNTIF($D$2:$D2404,$D2404)&gt;1,"Trùng",""))</f>
        <v/>
      </c>
      <c r="S2404" s="22">
        <f>IF($D2404="","",IF(AND(LEN($D2404)=10,LEFT($D2404,1)="0",ISNUMBER(--$D2404)),"Có","Không"))</f>
        <v/>
      </c>
      <c r="T2404" s="22">
        <f>IF($D2404="","",IF(AND($C2404&lt;&gt;"",$Q2404="Có",$R2404="",$S2404="Có",AND($L2404&lt;&gt;"",OR($L2404&lt;&gt;"Chưa xác định",DANH_MUC!$L$9="Có"))),"Có","Không"))</f>
        <v/>
      </c>
      <c r="U2404" s="22">
        <f>IF(OR($D2404="",$T2404="Có"),"",IF($C2404="","Thiếu họ tên; ","")&amp;IF($S2404&lt;&gt;"Có","SĐT sai định dạng; ","")&amp;IF($R2404="Trùng","Trùng SĐT; ","")&amp;IF($Q2404&lt;&gt;"Có","Thiếu đồng ý bắt buộc; ","")&amp;IF($L2404="","Thiếu/sai Mã REF; ",IF(AND($L2404="Chưa xác định",DANH_MUC!$L$9&lt;&gt;"Có"),"Nguồn chưa xác định; ","")))</f>
        <v/>
      </c>
      <c r="V2404" s="22">
        <f>IF(OR($D2404="",$R2404="Trùng"),"",IF(COUNTIF(ORDERS!$C$2:$C$4995,$D2404)&gt;0,"Có","Không"))</f>
        <v/>
      </c>
      <c r="W2404" s="22">
        <f>IF(OR($D2404="",$R2404="Trùng"),"",COUNTIFS(ORDERS!$C$2:$C$4995,$D2404,ORDERS!$L$2:$L$4995,"Đã chuyển khoản"))</f>
        <v/>
      </c>
      <c r="X2404" s="23">
        <f>IF(OR($D2404="",$R2404="Trùng"),"",SUMIFS(ORDERS!$J$2:$J$4995,ORDERS!$C$2:$C$4995,$D2404,ORDERS!$L$2:$L$4995,"Đã chuyển khoản"))</f>
        <v/>
      </c>
      <c r="Y2404" s="24" t="n"/>
    </row>
    <row r="2405" ht="14.25" customHeight="1" s="40">
      <c r="A2405" s="24" t="n"/>
      <c r="B2405" s="27" t="n"/>
      <c r="C2405" s="24" t="n"/>
      <c r="D2405" s="28" t="n"/>
      <c r="E2405" s="29" t="n"/>
      <c r="F2405" s="24" t="n"/>
      <c r="G2405" s="24" t="n"/>
      <c r="H2405" s="21">
        <f>IF(ISNUMBER($B2405),INT($B2405)-WEEKDAY($B2405,2)+1,"")</f>
        <v/>
      </c>
      <c r="I2405" s="24" t="n"/>
      <c r="J2405" s="22">
        <f t="array" ref="J2405">IF($D2405="","",IF($I2405="","(trống REF)",IFERROR(INDEX(MASTER_SOURCE!$B$2:$B$495,MATCH($I2405,MASTER_SOURCE!$A$2:$A$495,0)),"(REF không có trong MASTER_SOURCE)")))</f>
        <v/>
      </c>
      <c r="K2405" s="22">
        <f t="array" ref="K2405">IF($D2405="","",IFERROR(INDEX(MASTER_SOURCE!$C$2:$C$495,MATCH($I2405,MASTER_SOURCE!$A$2:$A$495,0)),""))</f>
        <v/>
      </c>
      <c r="L2405" s="22">
        <f t="array" ref="L2405">IF($D2405="","",IFERROR(INDEX(MASTER_SOURCE!$D$2:$D$495,MATCH($I2405,MASTER_SOURCE!$A$2:$A$495,0)),""))</f>
        <v/>
      </c>
      <c r="M2405" s="24" t="n"/>
      <c r="N2405" s="24" t="n"/>
      <c r="O2405" s="24" t="n"/>
      <c r="P2405" s="24" t="n"/>
      <c r="Q2405" s="22">
        <f>IF($D2405="","",IF(AND(OR(DANH_MUC!$L$5&lt;&gt;"Có",M2405="Có"),OR(DANH_MUC!$L$6&lt;&gt;"Có",N2405="Có"),OR(DANH_MUC!$L$7&lt;&gt;"Có",O2405="Có"),OR(DANH_MUC!$L$8&lt;&gt;"Có",P2405="Có")),"Có","Không"))</f>
        <v/>
      </c>
      <c r="R2405" s="22">
        <f>IF($D2405="","",IF(COUNTIF($D$2:$D2405,$D2405)&gt;1,"Trùng",""))</f>
        <v/>
      </c>
      <c r="S2405" s="22">
        <f>IF($D2405="","",IF(AND(LEN($D2405)=10,LEFT($D2405,1)="0",ISNUMBER(--$D2405)),"Có","Không"))</f>
        <v/>
      </c>
      <c r="T2405" s="22">
        <f>IF($D2405="","",IF(AND($C2405&lt;&gt;"",$Q2405="Có",$R2405="",$S2405="Có",AND($L2405&lt;&gt;"",OR($L2405&lt;&gt;"Chưa xác định",DANH_MUC!$L$9="Có"))),"Có","Không"))</f>
        <v/>
      </c>
      <c r="U2405" s="22">
        <f>IF(OR($D2405="",$T2405="Có"),"",IF($C2405="","Thiếu họ tên; ","")&amp;IF($S2405&lt;&gt;"Có","SĐT sai định dạng; ","")&amp;IF($R2405="Trùng","Trùng SĐT; ","")&amp;IF($Q2405&lt;&gt;"Có","Thiếu đồng ý bắt buộc; ","")&amp;IF($L2405="","Thiếu/sai Mã REF; ",IF(AND($L2405="Chưa xác định",DANH_MUC!$L$9&lt;&gt;"Có"),"Nguồn chưa xác định; ","")))</f>
        <v/>
      </c>
      <c r="V2405" s="22">
        <f>IF(OR($D2405="",$R2405="Trùng"),"",IF(COUNTIF(ORDERS!$C$2:$C$4995,$D2405)&gt;0,"Có","Không"))</f>
        <v/>
      </c>
      <c r="W2405" s="22">
        <f>IF(OR($D2405="",$R2405="Trùng"),"",COUNTIFS(ORDERS!$C$2:$C$4995,$D2405,ORDERS!$L$2:$L$4995,"Đã chuyển khoản"))</f>
        <v/>
      </c>
      <c r="X2405" s="23">
        <f>IF(OR($D2405="",$R2405="Trùng"),"",SUMIFS(ORDERS!$J$2:$J$4995,ORDERS!$C$2:$C$4995,$D2405,ORDERS!$L$2:$L$4995,"Đã chuyển khoản"))</f>
        <v/>
      </c>
      <c r="Y2405" s="24" t="n"/>
    </row>
    <row r="2406" ht="14.25" customHeight="1" s="40">
      <c r="A2406" s="24" t="n"/>
      <c r="B2406" s="27" t="n"/>
      <c r="C2406" s="24" t="n"/>
      <c r="D2406" s="28" t="n"/>
      <c r="E2406" s="29" t="n"/>
      <c r="F2406" s="24" t="n"/>
      <c r="G2406" s="24" t="n"/>
      <c r="H2406" s="21">
        <f>IF(ISNUMBER($B2406),INT($B2406)-WEEKDAY($B2406,2)+1,"")</f>
        <v/>
      </c>
      <c r="I2406" s="24" t="n"/>
      <c r="J2406" s="22">
        <f t="array" ref="J2406">IF($D2406="","",IF($I2406="","(trống REF)",IFERROR(INDEX(MASTER_SOURCE!$B$2:$B$495,MATCH($I2406,MASTER_SOURCE!$A$2:$A$495,0)),"(REF không có trong MASTER_SOURCE)")))</f>
        <v/>
      </c>
      <c r="K2406" s="22">
        <f t="array" ref="K2406">IF($D2406="","",IFERROR(INDEX(MASTER_SOURCE!$C$2:$C$495,MATCH($I2406,MASTER_SOURCE!$A$2:$A$495,0)),""))</f>
        <v/>
      </c>
      <c r="L2406" s="22">
        <f t="array" ref="L2406">IF($D2406="","",IFERROR(INDEX(MASTER_SOURCE!$D$2:$D$495,MATCH($I2406,MASTER_SOURCE!$A$2:$A$495,0)),""))</f>
        <v/>
      </c>
      <c r="M2406" s="24" t="n"/>
      <c r="N2406" s="24" t="n"/>
      <c r="O2406" s="24" t="n"/>
      <c r="P2406" s="24" t="n"/>
      <c r="Q2406" s="22">
        <f>IF($D2406="","",IF(AND(OR(DANH_MUC!$L$5&lt;&gt;"Có",M2406="Có"),OR(DANH_MUC!$L$6&lt;&gt;"Có",N2406="Có"),OR(DANH_MUC!$L$7&lt;&gt;"Có",O2406="Có"),OR(DANH_MUC!$L$8&lt;&gt;"Có",P2406="Có")),"Có","Không"))</f>
        <v/>
      </c>
      <c r="R2406" s="22">
        <f>IF($D2406="","",IF(COUNTIF($D$2:$D2406,$D2406)&gt;1,"Trùng",""))</f>
        <v/>
      </c>
      <c r="S2406" s="22">
        <f>IF($D2406="","",IF(AND(LEN($D2406)=10,LEFT($D2406,1)="0",ISNUMBER(--$D2406)),"Có","Không"))</f>
        <v/>
      </c>
      <c r="T2406" s="22">
        <f>IF($D2406="","",IF(AND($C2406&lt;&gt;"",$Q2406="Có",$R2406="",$S2406="Có",AND($L2406&lt;&gt;"",OR($L2406&lt;&gt;"Chưa xác định",DANH_MUC!$L$9="Có"))),"Có","Không"))</f>
        <v/>
      </c>
      <c r="U2406" s="22">
        <f>IF(OR($D2406="",$T2406="Có"),"",IF($C2406="","Thiếu họ tên; ","")&amp;IF($S2406&lt;&gt;"Có","SĐT sai định dạng; ","")&amp;IF($R2406="Trùng","Trùng SĐT; ","")&amp;IF($Q2406&lt;&gt;"Có","Thiếu đồng ý bắt buộc; ","")&amp;IF($L2406="","Thiếu/sai Mã REF; ",IF(AND($L2406="Chưa xác định",DANH_MUC!$L$9&lt;&gt;"Có"),"Nguồn chưa xác định; ","")))</f>
        <v/>
      </c>
      <c r="V2406" s="22">
        <f>IF(OR($D2406="",$R2406="Trùng"),"",IF(COUNTIF(ORDERS!$C$2:$C$4995,$D2406)&gt;0,"Có","Không"))</f>
        <v/>
      </c>
      <c r="W2406" s="22">
        <f>IF(OR($D2406="",$R2406="Trùng"),"",COUNTIFS(ORDERS!$C$2:$C$4995,$D2406,ORDERS!$L$2:$L$4995,"Đã chuyển khoản"))</f>
        <v/>
      </c>
      <c r="X2406" s="23">
        <f>IF(OR($D2406="",$R2406="Trùng"),"",SUMIFS(ORDERS!$J$2:$J$4995,ORDERS!$C$2:$C$4995,$D2406,ORDERS!$L$2:$L$4995,"Đã chuyển khoản"))</f>
        <v/>
      </c>
      <c r="Y2406" s="24" t="n"/>
    </row>
    <row r="2407" ht="14.25" customHeight="1" s="40">
      <c r="A2407" s="24" t="n"/>
      <c r="B2407" s="27" t="n"/>
      <c r="C2407" s="24" t="n"/>
      <c r="D2407" s="28" t="n"/>
      <c r="E2407" s="29" t="n"/>
      <c r="F2407" s="24" t="n"/>
      <c r="G2407" s="24" t="n"/>
      <c r="H2407" s="21">
        <f>IF(ISNUMBER($B2407),INT($B2407)-WEEKDAY($B2407,2)+1,"")</f>
        <v/>
      </c>
      <c r="I2407" s="24" t="n"/>
      <c r="J2407" s="22">
        <f t="array" ref="J2407">IF($D2407="","",IF($I2407="","(trống REF)",IFERROR(INDEX(MASTER_SOURCE!$B$2:$B$495,MATCH($I2407,MASTER_SOURCE!$A$2:$A$495,0)),"(REF không có trong MASTER_SOURCE)")))</f>
        <v/>
      </c>
      <c r="K2407" s="22">
        <f t="array" ref="K2407">IF($D2407="","",IFERROR(INDEX(MASTER_SOURCE!$C$2:$C$495,MATCH($I2407,MASTER_SOURCE!$A$2:$A$495,0)),""))</f>
        <v/>
      </c>
      <c r="L2407" s="22">
        <f t="array" ref="L2407">IF($D2407="","",IFERROR(INDEX(MASTER_SOURCE!$D$2:$D$495,MATCH($I2407,MASTER_SOURCE!$A$2:$A$495,0)),""))</f>
        <v/>
      </c>
      <c r="M2407" s="24" t="n"/>
      <c r="N2407" s="24" t="n"/>
      <c r="O2407" s="24" t="n"/>
      <c r="P2407" s="24" t="n"/>
      <c r="Q2407" s="22">
        <f>IF($D2407="","",IF(AND(OR(DANH_MUC!$L$5&lt;&gt;"Có",M2407="Có"),OR(DANH_MUC!$L$6&lt;&gt;"Có",N2407="Có"),OR(DANH_MUC!$L$7&lt;&gt;"Có",O2407="Có"),OR(DANH_MUC!$L$8&lt;&gt;"Có",P2407="Có")),"Có","Không"))</f>
        <v/>
      </c>
      <c r="R2407" s="22">
        <f>IF($D2407="","",IF(COUNTIF($D$2:$D2407,$D2407)&gt;1,"Trùng",""))</f>
        <v/>
      </c>
      <c r="S2407" s="22">
        <f>IF($D2407="","",IF(AND(LEN($D2407)=10,LEFT($D2407,1)="0",ISNUMBER(--$D2407)),"Có","Không"))</f>
        <v/>
      </c>
      <c r="T2407" s="22">
        <f>IF($D2407="","",IF(AND($C2407&lt;&gt;"",$Q2407="Có",$R2407="",$S2407="Có",AND($L2407&lt;&gt;"",OR($L2407&lt;&gt;"Chưa xác định",DANH_MUC!$L$9="Có"))),"Có","Không"))</f>
        <v/>
      </c>
      <c r="U2407" s="22">
        <f>IF(OR($D2407="",$T2407="Có"),"",IF($C2407="","Thiếu họ tên; ","")&amp;IF($S2407&lt;&gt;"Có","SĐT sai định dạng; ","")&amp;IF($R2407="Trùng","Trùng SĐT; ","")&amp;IF($Q2407&lt;&gt;"Có","Thiếu đồng ý bắt buộc; ","")&amp;IF($L2407="","Thiếu/sai Mã REF; ",IF(AND($L2407="Chưa xác định",DANH_MUC!$L$9&lt;&gt;"Có"),"Nguồn chưa xác định; ","")))</f>
        <v/>
      </c>
      <c r="V2407" s="22">
        <f>IF(OR($D2407="",$R2407="Trùng"),"",IF(COUNTIF(ORDERS!$C$2:$C$4995,$D2407)&gt;0,"Có","Không"))</f>
        <v/>
      </c>
      <c r="W2407" s="22">
        <f>IF(OR($D2407="",$R2407="Trùng"),"",COUNTIFS(ORDERS!$C$2:$C$4995,$D2407,ORDERS!$L$2:$L$4995,"Đã chuyển khoản"))</f>
        <v/>
      </c>
      <c r="X2407" s="23">
        <f>IF(OR($D2407="",$R2407="Trùng"),"",SUMIFS(ORDERS!$J$2:$J$4995,ORDERS!$C$2:$C$4995,$D2407,ORDERS!$L$2:$L$4995,"Đã chuyển khoản"))</f>
        <v/>
      </c>
      <c r="Y2407" s="24" t="n"/>
    </row>
    <row r="2408" ht="14.25" customHeight="1" s="40">
      <c r="A2408" s="24" t="n"/>
      <c r="B2408" s="27" t="n"/>
      <c r="C2408" s="24" t="n"/>
      <c r="D2408" s="28" t="n"/>
      <c r="E2408" s="29" t="n"/>
      <c r="F2408" s="24" t="n"/>
      <c r="G2408" s="24" t="n"/>
      <c r="H2408" s="21">
        <f>IF(ISNUMBER($B2408),INT($B2408)-WEEKDAY($B2408,2)+1,"")</f>
        <v/>
      </c>
      <c r="I2408" s="24" t="n"/>
      <c r="J2408" s="22">
        <f t="array" ref="J2408">IF($D2408="","",IF($I2408="","(trống REF)",IFERROR(INDEX(MASTER_SOURCE!$B$2:$B$495,MATCH($I2408,MASTER_SOURCE!$A$2:$A$495,0)),"(REF không có trong MASTER_SOURCE)")))</f>
        <v/>
      </c>
      <c r="K2408" s="22">
        <f t="array" ref="K2408">IF($D2408="","",IFERROR(INDEX(MASTER_SOURCE!$C$2:$C$495,MATCH($I2408,MASTER_SOURCE!$A$2:$A$495,0)),""))</f>
        <v/>
      </c>
      <c r="L2408" s="22">
        <f t="array" ref="L2408">IF($D2408="","",IFERROR(INDEX(MASTER_SOURCE!$D$2:$D$495,MATCH($I2408,MASTER_SOURCE!$A$2:$A$495,0)),""))</f>
        <v/>
      </c>
      <c r="M2408" s="24" t="n"/>
      <c r="N2408" s="24" t="n"/>
      <c r="O2408" s="24" t="n"/>
      <c r="P2408" s="24" t="n"/>
      <c r="Q2408" s="22">
        <f>IF($D2408="","",IF(AND(OR(DANH_MUC!$L$5&lt;&gt;"Có",M2408="Có"),OR(DANH_MUC!$L$6&lt;&gt;"Có",N2408="Có"),OR(DANH_MUC!$L$7&lt;&gt;"Có",O2408="Có"),OR(DANH_MUC!$L$8&lt;&gt;"Có",P2408="Có")),"Có","Không"))</f>
        <v/>
      </c>
      <c r="R2408" s="22">
        <f>IF($D2408="","",IF(COUNTIF($D$2:$D2408,$D2408)&gt;1,"Trùng",""))</f>
        <v/>
      </c>
      <c r="S2408" s="22">
        <f>IF($D2408="","",IF(AND(LEN($D2408)=10,LEFT($D2408,1)="0",ISNUMBER(--$D2408)),"Có","Không"))</f>
        <v/>
      </c>
      <c r="T2408" s="22">
        <f>IF($D2408="","",IF(AND($C2408&lt;&gt;"",$Q2408="Có",$R2408="",$S2408="Có",AND($L2408&lt;&gt;"",OR($L2408&lt;&gt;"Chưa xác định",DANH_MUC!$L$9="Có"))),"Có","Không"))</f>
        <v/>
      </c>
      <c r="U2408" s="22">
        <f>IF(OR($D2408="",$T2408="Có"),"",IF($C2408="","Thiếu họ tên; ","")&amp;IF($S2408&lt;&gt;"Có","SĐT sai định dạng; ","")&amp;IF($R2408="Trùng","Trùng SĐT; ","")&amp;IF($Q2408&lt;&gt;"Có","Thiếu đồng ý bắt buộc; ","")&amp;IF($L2408="","Thiếu/sai Mã REF; ",IF(AND($L2408="Chưa xác định",DANH_MUC!$L$9&lt;&gt;"Có"),"Nguồn chưa xác định; ","")))</f>
        <v/>
      </c>
      <c r="V2408" s="22">
        <f>IF(OR($D2408="",$R2408="Trùng"),"",IF(COUNTIF(ORDERS!$C$2:$C$4995,$D2408)&gt;0,"Có","Không"))</f>
        <v/>
      </c>
      <c r="W2408" s="22">
        <f>IF(OR($D2408="",$R2408="Trùng"),"",COUNTIFS(ORDERS!$C$2:$C$4995,$D2408,ORDERS!$L$2:$L$4995,"Đã chuyển khoản"))</f>
        <v/>
      </c>
      <c r="X2408" s="23">
        <f>IF(OR($D2408="",$R2408="Trùng"),"",SUMIFS(ORDERS!$J$2:$J$4995,ORDERS!$C$2:$C$4995,$D2408,ORDERS!$L$2:$L$4995,"Đã chuyển khoản"))</f>
        <v/>
      </c>
      <c r="Y2408" s="24" t="n"/>
    </row>
    <row r="2409" ht="14.25" customHeight="1" s="40">
      <c r="A2409" s="24" t="n"/>
      <c r="B2409" s="27" t="n"/>
      <c r="C2409" s="24" t="n"/>
      <c r="D2409" s="28" t="n"/>
      <c r="E2409" s="29" t="n"/>
      <c r="F2409" s="24" t="n"/>
      <c r="G2409" s="24" t="n"/>
      <c r="H2409" s="21">
        <f>IF(ISNUMBER($B2409),INT($B2409)-WEEKDAY($B2409,2)+1,"")</f>
        <v/>
      </c>
      <c r="I2409" s="24" t="n"/>
      <c r="J2409" s="22">
        <f t="array" ref="J2409">IF($D2409="","",IF($I2409="","(trống REF)",IFERROR(INDEX(MASTER_SOURCE!$B$2:$B$495,MATCH($I2409,MASTER_SOURCE!$A$2:$A$495,0)),"(REF không có trong MASTER_SOURCE)")))</f>
        <v/>
      </c>
      <c r="K2409" s="22">
        <f t="array" ref="K2409">IF($D2409="","",IFERROR(INDEX(MASTER_SOURCE!$C$2:$C$495,MATCH($I2409,MASTER_SOURCE!$A$2:$A$495,0)),""))</f>
        <v/>
      </c>
      <c r="L2409" s="22">
        <f t="array" ref="L2409">IF($D2409="","",IFERROR(INDEX(MASTER_SOURCE!$D$2:$D$495,MATCH($I2409,MASTER_SOURCE!$A$2:$A$495,0)),""))</f>
        <v/>
      </c>
      <c r="M2409" s="24" t="n"/>
      <c r="N2409" s="24" t="n"/>
      <c r="O2409" s="24" t="n"/>
      <c r="P2409" s="24" t="n"/>
      <c r="Q2409" s="22">
        <f>IF($D2409="","",IF(AND(OR(DANH_MUC!$L$5&lt;&gt;"Có",M2409="Có"),OR(DANH_MUC!$L$6&lt;&gt;"Có",N2409="Có"),OR(DANH_MUC!$L$7&lt;&gt;"Có",O2409="Có"),OR(DANH_MUC!$L$8&lt;&gt;"Có",P2409="Có")),"Có","Không"))</f>
        <v/>
      </c>
      <c r="R2409" s="22">
        <f>IF($D2409="","",IF(COUNTIF($D$2:$D2409,$D2409)&gt;1,"Trùng",""))</f>
        <v/>
      </c>
      <c r="S2409" s="22">
        <f>IF($D2409="","",IF(AND(LEN($D2409)=10,LEFT($D2409,1)="0",ISNUMBER(--$D2409)),"Có","Không"))</f>
        <v/>
      </c>
      <c r="T2409" s="22">
        <f>IF($D2409="","",IF(AND($C2409&lt;&gt;"",$Q2409="Có",$R2409="",$S2409="Có",AND($L2409&lt;&gt;"",OR($L2409&lt;&gt;"Chưa xác định",DANH_MUC!$L$9="Có"))),"Có","Không"))</f>
        <v/>
      </c>
      <c r="U2409" s="22">
        <f>IF(OR($D2409="",$T2409="Có"),"",IF($C2409="","Thiếu họ tên; ","")&amp;IF($S2409&lt;&gt;"Có","SĐT sai định dạng; ","")&amp;IF($R2409="Trùng","Trùng SĐT; ","")&amp;IF($Q2409&lt;&gt;"Có","Thiếu đồng ý bắt buộc; ","")&amp;IF($L2409="","Thiếu/sai Mã REF; ",IF(AND($L2409="Chưa xác định",DANH_MUC!$L$9&lt;&gt;"Có"),"Nguồn chưa xác định; ","")))</f>
        <v/>
      </c>
      <c r="V2409" s="22">
        <f>IF(OR($D2409="",$R2409="Trùng"),"",IF(COUNTIF(ORDERS!$C$2:$C$4995,$D2409)&gt;0,"Có","Không"))</f>
        <v/>
      </c>
      <c r="W2409" s="22">
        <f>IF(OR($D2409="",$R2409="Trùng"),"",COUNTIFS(ORDERS!$C$2:$C$4995,$D2409,ORDERS!$L$2:$L$4995,"Đã chuyển khoản"))</f>
        <v/>
      </c>
      <c r="X2409" s="23">
        <f>IF(OR($D2409="",$R2409="Trùng"),"",SUMIFS(ORDERS!$J$2:$J$4995,ORDERS!$C$2:$C$4995,$D2409,ORDERS!$L$2:$L$4995,"Đã chuyển khoản"))</f>
        <v/>
      </c>
      <c r="Y2409" s="24" t="n"/>
    </row>
    <row r="2410" ht="14.25" customHeight="1" s="40">
      <c r="A2410" s="24" t="n"/>
      <c r="B2410" s="27" t="n"/>
      <c r="C2410" s="24" t="n"/>
      <c r="D2410" s="28" t="n"/>
      <c r="E2410" s="29" t="n"/>
      <c r="F2410" s="24" t="n"/>
      <c r="G2410" s="24" t="n"/>
      <c r="H2410" s="21">
        <f>IF(ISNUMBER($B2410),INT($B2410)-WEEKDAY($B2410,2)+1,"")</f>
        <v/>
      </c>
      <c r="I2410" s="24" t="n"/>
      <c r="J2410" s="22">
        <f t="array" ref="J2410">IF($D2410="","",IF($I2410="","(trống REF)",IFERROR(INDEX(MASTER_SOURCE!$B$2:$B$495,MATCH($I2410,MASTER_SOURCE!$A$2:$A$495,0)),"(REF không có trong MASTER_SOURCE)")))</f>
        <v/>
      </c>
      <c r="K2410" s="22">
        <f t="array" ref="K2410">IF($D2410="","",IFERROR(INDEX(MASTER_SOURCE!$C$2:$C$495,MATCH($I2410,MASTER_SOURCE!$A$2:$A$495,0)),""))</f>
        <v/>
      </c>
      <c r="L2410" s="22">
        <f t="array" ref="L2410">IF($D2410="","",IFERROR(INDEX(MASTER_SOURCE!$D$2:$D$495,MATCH($I2410,MASTER_SOURCE!$A$2:$A$495,0)),""))</f>
        <v/>
      </c>
      <c r="M2410" s="24" t="n"/>
      <c r="N2410" s="24" t="n"/>
      <c r="O2410" s="24" t="n"/>
      <c r="P2410" s="24" t="n"/>
      <c r="Q2410" s="22">
        <f>IF($D2410="","",IF(AND(OR(DANH_MUC!$L$5&lt;&gt;"Có",M2410="Có"),OR(DANH_MUC!$L$6&lt;&gt;"Có",N2410="Có"),OR(DANH_MUC!$L$7&lt;&gt;"Có",O2410="Có"),OR(DANH_MUC!$L$8&lt;&gt;"Có",P2410="Có")),"Có","Không"))</f>
        <v/>
      </c>
      <c r="R2410" s="22">
        <f>IF($D2410="","",IF(COUNTIF($D$2:$D2410,$D2410)&gt;1,"Trùng",""))</f>
        <v/>
      </c>
      <c r="S2410" s="22">
        <f>IF($D2410="","",IF(AND(LEN($D2410)=10,LEFT($D2410,1)="0",ISNUMBER(--$D2410)),"Có","Không"))</f>
        <v/>
      </c>
      <c r="T2410" s="22">
        <f>IF($D2410="","",IF(AND($C2410&lt;&gt;"",$Q2410="Có",$R2410="",$S2410="Có",AND($L2410&lt;&gt;"",OR($L2410&lt;&gt;"Chưa xác định",DANH_MUC!$L$9="Có"))),"Có","Không"))</f>
        <v/>
      </c>
      <c r="U2410" s="22">
        <f>IF(OR($D2410="",$T2410="Có"),"",IF($C2410="","Thiếu họ tên; ","")&amp;IF($S2410&lt;&gt;"Có","SĐT sai định dạng; ","")&amp;IF($R2410="Trùng","Trùng SĐT; ","")&amp;IF($Q2410&lt;&gt;"Có","Thiếu đồng ý bắt buộc; ","")&amp;IF($L2410="","Thiếu/sai Mã REF; ",IF(AND($L2410="Chưa xác định",DANH_MUC!$L$9&lt;&gt;"Có"),"Nguồn chưa xác định; ","")))</f>
        <v/>
      </c>
      <c r="V2410" s="22">
        <f>IF(OR($D2410="",$R2410="Trùng"),"",IF(COUNTIF(ORDERS!$C$2:$C$4995,$D2410)&gt;0,"Có","Không"))</f>
        <v/>
      </c>
      <c r="W2410" s="22">
        <f>IF(OR($D2410="",$R2410="Trùng"),"",COUNTIFS(ORDERS!$C$2:$C$4995,$D2410,ORDERS!$L$2:$L$4995,"Đã chuyển khoản"))</f>
        <v/>
      </c>
      <c r="X2410" s="23">
        <f>IF(OR($D2410="",$R2410="Trùng"),"",SUMIFS(ORDERS!$J$2:$J$4995,ORDERS!$C$2:$C$4995,$D2410,ORDERS!$L$2:$L$4995,"Đã chuyển khoản"))</f>
        <v/>
      </c>
      <c r="Y2410" s="24" t="n"/>
    </row>
    <row r="2411" ht="14.25" customHeight="1" s="40">
      <c r="A2411" s="24" t="n"/>
      <c r="B2411" s="27" t="n"/>
      <c r="C2411" s="24" t="n"/>
      <c r="D2411" s="28" t="n"/>
      <c r="E2411" s="29" t="n"/>
      <c r="F2411" s="24" t="n"/>
      <c r="G2411" s="24" t="n"/>
      <c r="H2411" s="21">
        <f>IF(ISNUMBER($B2411),INT($B2411)-WEEKDAY($B2411,2)+1,"")</f>
        <v/>
      </c>
      <c r="I2411" s="24" t="n"/>
      <c r="J2411" s="22">
        <f t="array" ref="J2411">IF($D2411="","",IF($I2411="","(trống REF)",IFERROR(INDEX(MASTER_SOURCE!$B$2:$B$495,MATCH($I2411,MASTER_SOURCE!$A$2:$A$495,0)),"(REF không có trong MASTER_SOURCE)")))</f>
        <v/>
      </c>
      <c r="K2411" s="22">
        <f t="array" ref="K2411">IF($D2411="","",IFERROR(INDEX(MASTER_SOURCE!$C$2:$C$495,MATCH($I2411,MASTER_SOURCE!$A$2:$A$495,0)),""))</f>
        <v/>
      </c>
      <c r="L2411" s="22">
        <f t="array" ref="L2411">IF($D2411="","",IFERROR(INDEX(MASTER_SOURCE!$D$2:$D$495,MATCH($I2411,MASTER_SOURCE!$A$2:$A$495,0)),""))</f>
        <v/>
      </c>
      <c r="M2411" s="24" t="n"/>
      <c r="N2411" s="24" t="n"/>
      <c r="O2411" s="24" t="n"/>
      <c r="P2411" s="24" t="n"/>
      <c r="Q2411" s="22">
        <f>IF($D2411="","",IF(AND(OR(DANH_MUC!$L$5&lt;&gt;"Có",M2411="Có"),OR(DANH_MUC!$L$6&lt;&gt;"Có",N2411="Có"),OR(DANH_MUC!$L$7&lt;&gt;"Có",O2411="Có"),OR(DANH_MUC!$L$8&lt;&gt;"Có",P2411="Có")),"Có","Không"))</f>
        <v/>
      </c>
      <c r="R2411" s="22">
        <f>IF($D2411="","",IF(COUNTIF($D$2:$D2411,$D2411)&gt;1,"Trùng",""))</f>
        <v/>
      </c>
      <c r="S2411" s="22">
        <f>IF($D2411="","",IF(AND(LEN($D2411)=10,LEFT($D2411,1)="0",ISNUMBER(--$D2411)),"Có","Không"))</f>
        <v/>
      </c>
      <c r="T2411" s="22">
        <f>IF($D2411="","",IF(AND($C2411&lt;&gt;"",$Q2411="Có",$R2411="",$S2411="Có",AND($L2411&lt;&gt;"",OR($L2411&lt;&gt;"Chưa xác định",DANH_MUC!$L$9="Có"))),"Có","Không"))</f>
        <v/>
      </c>
      <c r="U2411" s="22">
        <f>IF(OR($D2411="",$T2411="Có"),"",IF($C2411="","Thiếu họ tên; ","")&amp;IF($S2411&lt;&gt;"Có","SĐT sai định dạng; ","")&amp;IF($R2411="Trùng","Trùng SĐT; ","")&amp;IF($Q2411&lt;&gt;"Có","Thiếu đồng ý bắt buộc; ","")&amp;IF($L2411="","Thiếu/sai Mã REF; ",IF(AND($L2411="Chưa xác định",DANH_MUC!$L$9&lt;&gt;"Có"),"Nguồn chưa xác định; ","")))</f>
        <v/>
      </c>
      <c r="V2411" s="22">
        <f>IF(OR($D2411="",$R2411="Trùng"),"",IF(COUNTIF(ORDERS!$C$2:$C$4995,$D2411)&gt;0,"Có","Không"))</f>
        <v/>
      </c>
      <c r="W2411" s="22">
        <f>IF(OR($D2411="",$R2411="Trùng"),"",COUNTIFS(ORDERS!$C$2:$C$4995,$D2411,ORDERS!$L$2:$L$4995,"Đã chuyển khoản"))</f>
        <v/>
      </c>
      <c r="X2411" s="23">
        <f>IF(OR($D2411="",$R2411="Trùng"),"",SUMIFS(ORDERS!$J$2:$J$4995,ORDERS!$C$2:$C$4995,$D2411,ORDERS!$L$2:$L$4995,"Đã chuyển khoản"))</f>
        <v/>
      </c>
      <c r="Y2411" s="24" t="n"/>
    </row>
    <row r="2412" ht="14.25" customHeight="1" s="40">
      <c r="A2412" s="24" t="n"/>
      <c r="B2412" s="27" t="n"/>
      <c r="C2412" s="24" t="n"/>
      <c r="D2412" s="28" t="n"/>
      <c r="E2412" s="29" t="n"/>
      <c r="F2412" s="24" t="n"/>
      <c r="G2412" s="24" t="n"/>
      <c r="H2412" s="21">
        <f>IF(ISNUMBER($B2412),INT($B2412)-WEEKDAY($B2412,2)+1,"")</f>
        <v/>
      </c>
      <c r="I2412" s="24" t="n"/>
      <c r="J2412" s="22">
        <f t="array" ref="J2412">IF($D2412="","",IF($I2412="","(trống REF)",IFERROR(INDEX(MASTER_SOURCE!$B$2:$B$495,MATCH($I2412,MASTER_SOURCE!$A$2:$A$495,0)),"(REF không có trong MASTER_SOURCE)")))</f>
        <v/>
      </c>
      <c r="K2412" s="22">
        <f t="array" ref="K2412">IF($D2412="","",IFERROR(INDEX(MASTER_SOURCE!$C$2:$C$495,MATCH($I2412,MASTER_SOURCE!$A$2:$A$495,0)),""))</f>
        <v/>
      </c>
      <c r="L2412" s="22">
        <f t="array" ref="L2412">IF($D2412="","",IFERROR(INDEX(MASTER_SOURCE!$D$2:$D$495,MATCH($I2412,MASTER_SOURCE!$A$2:$A$495,0)),""))</f>
        <v/>
      </c>
      <c r="M2412" s="24" t="n"/>
      <c r="N2412" s="24" t="n"/>
      <c r="O2412" s="24" t="n"/>
      <c r="P2412" s="24" t="n"/>
      <c r="Q2412" s="22">
        <f>IF($D2412="","",IF(AND(OR(DANH_MUC!$L$5&lt;&gt;"Có",M2412="Có"),OR(DANH_MUC!$L$6&lt;&gt;"Có",N2412="Có"),OR(DANH_MUC!$L$7&lt;&gt;"Có",O2412="Có"),OR(DANH_MUC!$L$8&lt;&gt;"Có",P2412="Có")),"Có","Không"))</f>
        <v/>
      </c>
      <c r="R2412" s="22">
        <f>IF($D2412="","",IF(COUNTIF($D$2:$D2412,$D2412)&gt;1,"Trùng",""))</f>
        <v/>
      </c>
      <c r="S2412" s="22">
        <f>IF($D2412="","",IF(AND(LEN($D2412)=10,LEFT($D2412,1)="0",ISNUMBER(--$D2412)),"Có","Không"))</f>
        <v/>
      </c>
      <c r="T2412" s="22">
        <f>IF($D2412="","",IF(AND($C2412&lt;&gt;"",$Q2412="Có",$R2412="",$S2412="Có",AND($L2412&lt;&gt;"",OR($L2412&lt;&gt;"Chưa xác định",DANH_MUC!$L$9="Có"))),"Có","Không"))</f>
        <v/>
      </c>
      <c r="U2412" s="22">
        <f>IF(OR($D2412="",$T2412="Có"),"",IF($C2412="","Thiếu họ tên; ","")&amp;IF($S2412&lt;&gt;"Có","SĐT sai định dạng; ","")&amp;IF($R2412="Trùng","Trùng SĐT; ","")&amp;IF($Q2412&lt;&gt;"Có","Thiếu đồng ý bắt buộc; ","")&amp;IF($L2412="","Thiếu/sai Mã REF; ",IF(AND($L2412="Chưa xác định",DANH_MUC!$L$9&lt;&gt;"Có"),"Nguồn chưa xác định; ","")))</f>
        <v/>
      </c>
      <c r="V2412" s="22">
        <f>IF(OR($D2412="",$R2412="Trùng"),"",IF(COUNTIF(ORDERS!$C$2:$C$4995,$D2412)&gt;0,"Có","Không"))</f>
        <v/>
      </c>
      <c r="W2412" s="22">
        <f>IF(OR($D2412="",$R2412="Trùng"),"",COUNTIFS(ORDERS!$C$2:$C$4995,$D2412,ORDERS!$L$2:$L$4995,"Đã chuyển khoản"))</f>
        <v/>
      </c>
      <c r="X2412" s="23">
        <f>IF(OR($D2412="",$R2412="Trùng"),"",SUMIFS(ORDERS!$J$2:$J$4995,ORDERS!$C$2:$C$4995,$D2412,ORDERS!$L$2:$L$4995,"Đã chuyển khoản"))</f>
        <v/>
      </c>
      <c r="Y2412" s="24" t="n"/>
    </row>
    <row r="2413" ht="14.25" customHeight="1" s="40">
      <c r="A2413" s="24" t="n"/>
      <c r="B2413" s="27" t="n"/>
      <c r="C2413" s="24" t="n"/>
      <c r="D2413" s="28" t="n"/>
      <c r="E2413" s="29" t="n"/>
      <c r="F2413" s="24" t="n"/>
      <c r="G2413" s="24" t="n"/>
      <c r="H2413" s="21">
        <f>IF(ISNUMBER($B2413),INT($B2413)-WEEKDAY($B2413,2)+1,"")</f>
        <v/>
      </c>
      <c r="I2413" s="24" t="n"/>
      <c r="J2413" s="22">
        <f t="array" ref="J2413">IF($D2413="","",IF($I2413="","(trống REF)",IFERROR(INDEX(MASTER_SOURCE!$B$2:$B$495,MATCH($I2413,MASTER_SOURCE!$A$2:$A$495,0)),"(REF không có trong MASTER_SOURCE)")))</f>
        <v/>
      </c>
      <c r="K2413" s="22">
        <f t="array" ref="K2413">IF($D2413="","",IFERROR(INDEX(MASTER_SOURCE!$C$2:$C$495,MATCH($I2413,MASTER_SOURCE!$A$2:$A$495,0)),""))</f>
        <v/>
      </c>
      <c r="L2413" s="22">
        <f t="array" ref="L2413">IF($D2413="","",IFERROR(INDEX(MASTER_SOURCE!$D$2:$D$495,MATCH($I2413,MASTER_SOURCE!$A$2:$A$495,0)),""))</f>
        <v/>
      </c>
      <c r="M2413" s="24" t="n"/>
      <c r="N2413" s="24" t="n"/>
      <c r="O2413" s="24" t="n"/>
      <c r="P2413" s="24" t="n"/>
      <c r="Q2413" s="22">
        <f>IF($D2413="","",IF(AND(OR(DANH_MUC!$L$5&lt;&gt;"Có",M2413="Có"),OR(DANH_MUC!$L$6&lt;&gt;"Có",N2413="Có"),OR(DANH_MUC!$L$7&lt;&gt;"Có",O2413="Có"),OR(DANH_MUC!$L$8&lt;&gt;"Có",P2413="Có")),"Có","Không"))</f>
        <v/>
      </c>
      <c r="R2413" s="22">
        <f>IF($D2413="","",IF(COUNTIF($D$2:$D2413,$D2413)&gt;1,"Trùng",""))</f>
        <v/>
      </c>
      <c r="S2413" s="22">
        <f>IF($D2413="","",IF(AND(LEN($D2413)=10,LEFT($D2413,1)="0",ISNUMBER(--$D2413)),"Có","Không"))</f>
        <v/>
      </c>
      <c r="T2413" s="22">
        <f>IF($D2413="","",IF(AND($C2413&lt;&gt;"",$Q2413="Có",$R2413="",$S2413="Có",AND($L2413&lt;&gt;"",OR($L2413&lt;&gt;"Chưa xác định",DANH_MUC!$L$9="Có"))),"Có","Không"))</f>
        <v/>
      </c>
      <c r="U2413" s="22">
        <f>IF(OR($D2413="",$T2413="Có"),"",IF($C2413="","Thiếu họ tên; ","")&amp;IF($S2413&lt;&gt;"Có","SĐT sai định dạng; ","")&amp;IF($R2413="Trùng","Trùng SĐT; ","")&amp;IF($Q2413&lt;&gt;"Có","Thiếu đồng ý bắt buộc; ","")&amp;IF($L2413="","Thiếu/sai Mã REF; ",IF(AND($L2413="Chưa xác định",DANH_MUC!$L$9&lt;&gt;"Có"),"Nguồn chưa xác định; ","")))</f>
        <v/>
      </c>
      <c r="V2413" s="22">
        <f>IF(OR($D2413="",$R2413="Trùng"),"",IF(COUNTIF(ORDERS!$C$2:$C$4995,$D2413)&gt;0,"Có","Không"))</f>
        <v/>
      </c>
      <c r="W2413" s="22">
        <f>IF(OR($D2413="",$R2413="Trùng"),"",COUNTIFS(ORDERS!$C$2:$C$4995,$D2413,ORDERS!$L$2:$L$4995,"Đã chuyển khoản"))</f>
        <v/>
      </c>
      <c r="X2413" s="23">
        <f>IF(OR($D2413="",$R2413="Trùng"),"",SUMIFS(ORDERS!$J$2:$J$4995,ORDERS!$C$2:$C$4995,$D2413,ORDERS!$L$2:$L$4995,"Đã chuyển khoản"))</f>
        <v/>
      </c>
      <c r="Y2413" s="24" t="n"/>
    </row>
    <row r="2414" ht="14.25" customHeight="1" s="40">
      <c r="A2414" s="24" t="n"/>
      <c r="B2414" s="27" t="n"/>
      <c r="C2414" s="24" t="n"/>
      <c r="D2414" s="28" t="n"/>
      <c r="E2414" s="29" t="n"/>
      <c r="F2414" s="24" t="n"/>
      <c r="G2414" s="24" t="n"/>
      <c r="H2414" s="21">
        <f>IF(ISNUMBER($B2414),INT($B2414)-WEEKDAY($B2414,2)+1,"")</f>
        <v/>
      </c>
      <c r="I2414" s="24" t="n"/>
      <c r="J2414" s="22">
        <f t="array" ref="J2414">IF($D2414="","",IF($I2414="","(trống REF)",IFERROR(INDEX(MASTER_SOURCE!$B$2:$B$495,MATCH($I2414,MASTER_SOURCE!$A$2:$A$495,0)),"(REF không có trong MASTER_SOURCE)")))</f>
        <v/>
      </c>
      <c r="K2414" s="22">
        <f t="array" ref="K2414">IF($D2414="","",IFERROR(INDEX(MASTER_SOURCE!$C$2:$C$495,MATCH($I2414,MASTER_SOURCE!$A$2:$A$495,0)),""))</f>
        <v/>
      </c>
      <c r="L2414" s="22">
        <f t="array" ref="L2414">IF($D2414="","",IFERROR(INDEX(MASTER_SOURCE!$D$2:$D$495,MATCH($I2414,MASTER_SOURCE!$A$2:$A$495,0)),""))</f>
        <v/>
      </c>
      <c r="M2414" s="24" t="n"/>
      <c r="N2414" s="24" t="n"/>
      <c r="O2414" s="24" t="n"/>
      <c r="P2414" s="24" t="n"/>
      <c r="Q2414" s="22">
        <f>IF($D2414="","",IF(AND(OR(DANH_MUC!$L$5&lt;&gt;"Có",M2414="Có"),OR(DANH_MUC!$L$6&lt;&gt;"Có",N2414="Có"),OR(DANH_MUC!$L$7&lt;&gt;"Có",O2414="Có"),OR(DANH_MUC!$L$8&lt;&gt;"Có",P2414="Có")),"Có","Không"))</f>
        <v/>
      </c>
      <c r="R2414" s="22">
        <f>IF($D2414="","",IF(COUNTIF($D$2:$D2414,$D2414)&gt;1,"Trùng",""))</f>
        <v/>
      </c>
      <c r="S2414" s="22">
        <f>IF($D2414="","",IF(AND(LEN($D2414)=10,LEFT($D2414,1)="0",ISNUMBER(--$D2414)),"Có","Không"))</f>
        <v/>
      </c>
      <c r="T2414" s="22">
        <f>IF($D2414="","",IF(AND($C2414&lt;&gt;"",$Q2414="Có",$R2414="",$S2414="Có",AND($L2414&lt;&gt;"",OR($L2414&lt;&gt;"Chưa xác định",DANH_MUC!$L$9="Có"))),"Có","Không"))</f>
        <v/>
      </c>
      <c r="U2414" s="22">
        <f>IF(OR($D2414="",$T2414="Có"),"",IF($C2414="","Thiếu họ tên; ","")&amp;IF($S2414&lt;&gt;"Có","SĐT sai định dạng; ","")&amp;IF($R2414="Trùng","Trùng SĐT; ","")&amp;IF($Q2414&lt;&gt;"Có","Thiếu đồng ý bắt buộc; ","")&amp;IF($L2414="","Thiếu/sai Mã REF; ",IF(AND($L2414="Chưa xác định",DANH_MUC!$L$9&lt;&gt;"Có"),"Nguồn chưa xác định; ","")))</f>
        <v/>
      </c>
      <c r="V2414" s="22">
        <f>IF(OR($D2414="",$R2414="Trùng"),"",IF(COUNTIF(ORDERS!$C$2:$C$4995,$D2414)&gt;0,"Có","Không"))</f>
        <v/>
      </c>
      <c r="W2414" s="22">
        <f>IF(OR($D2414="",$R2414="Trùng"),"",COUNTIFS(ORDERS!$C$2:$C$4995,$D2414,ORDERS!$L$2:$L$4995,"Đã chuyển khoản"))</f>
        <v/>
      </c>
      <c r="X2414" s="23">
        <f>IF(OR($D2414="",$R2414="Trùng"),"",SUMIFS(ORDERS!$J$2:$J$4995,ORDERS!$C$2:$C$4995,$D2414,ORDERS!$L$2:$L$4995,"Đã chuyển khoản"))</f>
        <v/>
      </c>
      <c r="Y2414" s="24" t="n"/>
    </row>
    <row r="2415" ht="14.25" customHeight="1" s="40">
      <c r="A2415" s="24" t="n"/>
      <c r="B2415" s="27" t="n"/>
      <c r="C2415" s="24" t="n"/>
      <c r="D2415" s="28" t="n"/>
      <c r="E2415" s="29" t="n"/>
      <c r="F2415" s="24" t="n"/>
      <c r="G2415" s="24" t="n"/>
      <c r="H2415" s="21">
        <f>IF(ISNUMBER($B2415),INT($B2415)-WEEKDAY($B2415,2)+1,"")</f>
        <v/>
      </c>
      <c r="I2415" s="24" t="n"/>
      <c r="J2415" s="22">
        <f t="array" ref="J2415">IF($D2415="","",IF($I2415="","(trống REF)",IFERROR(INDEX(MASTER_SOURCE!$B$2:$B$495,MATCH($I2415,MASTER_SOURCE!$A$2:$A$495,0)),"(REF không có trong MASTER_SOURCE)")))</f>
        <v/>
      </c>
      <c r="K2415" s="22">
        <f t="array" ref="K2415">IF($D2415="","",IFERROR(INDEX(MASTER_SOURCE!$C$2:$C$495,MATCH($I2415,MASTER_SOURCE!$A$2:$A$495,0)),""))</f>
        <v/>
      </c>
      <c r="L2415" s="22">
        <f t="array" ref="L2415">IF($D2415="","",IFERROR(INDEX(MASTER_SOURCE!$D$2:$D$495,MATCH($I2415,MASTER_SOURCE!$A$2:$A$495,0)),""))</f>
        <v/>
      </c>
      <c r="M2415" s="24" t="n"/>
      <c r="N2415" s="24" t="n"/>
      <c r="O2415" s="24" t="n"/>
      <c r="P2415" s="24" t="n"/>
      <c r="Q2415" s="22">
        <f>IF($D2415="","",IF(AND(OR(DANH_MUC!$L$5&lt;&gt;"Có",M2415="Có"),OR(DANH_MUC!$L$6&lt;&gt;"Có",N2415="Có"),OR(DANH_MUC!$L$7&lt;&gt;"Có",O2415="Có"),OR(DANH_MUC!$L$8&lt;&gt;"Có",P2415="Có")),"Có","Không"))</f>
        <v/>
      </c>
      <c r="R2415" s="22">
        <f>IF($D2415="","",IF(COUNTIF($D$2:$D2415,$D2415)&gt;1,"Trùng",""))</f>
        <v/>
      </c>
      <c r="S2415" s="22">
        <f>IF($D2415="","",IF(AND(LEN($D2415)=10,LEFT($D2415,1)="0",ISNUMBER(--$D2415)),"Có","Không"))</f>
        <v/>
      </c>
      <c r="T2415" s="22">
        <f>IF($D2415="","",IF(AND($C2415&lt;&gt;"",$Q2415="Có",$R2415="",$S2415="Có",AND($L2415&lt;&gt;"",OR($L2415&lt;&gt;"Chưa xác định",DANH_MUC!$L$9="Có"))),"Có","Không"))</f>
        <v/>
      </c>
      <c r="U2415" s="22">
        <f>IF(OR($D2415="",$T2415="Có"),"",IF($C2415="","Thiếu họ tên; ","")&amp;IF($S2415&lt;&gt;"Có","SĐT sai định dạng; ","")&amp;IF($R2415="Trùng","Trùng SĐT; ","")&amp;IF($Q2415&lt;&gt;"Có","Thiếu đồng ý bắt buộc; ","")&amp;IF($L2415="","Thiếu/sai Mã REF; ",IF(AND($L2415="Chưa xác định",DANH_MUC!$L$9&lt;&gt;"Có"),"Nguồn chưa xác định; ","")))</f>
        <v/>
      </c>
      <c r="V2415" s="22">
        <f>IF(OR($D2415="",$R2415="Trùng"),"",IF(COUNTIF(ORDERS!$C$2:$C$4995,$D2415)&gt;0,"Có","Không"))</f>
        <v/>
      </c>
      <c r="W2415" s="22">
        <f>IF(OR($D2415="",$R2415="Trùng"),"",COUNTIFS(ORDERS!$C$2:$C$4995,$D2415,ORDERS!$L$2:$L$4995,"Đã chuyển khoản"))</f>
        <v/>
      </c>
      <c r="X2415" s="23">
        <f>IF(OR($D2415="",$R2415="Trùng"),"",SUMIFS(ORDERS!$J$2:$J$4995,ORDERS!$C$2:$C$4995,$D2415,ORDERS!$L$2:$L$4995,"Đã chuyển khoản"))</f>
        <v/>
      </c>
      <c r="Y2415" s="24" t="n"/>
    </row>
    <row r="2416" ht="14.25" customHeight="1" s="40">
      <c r="A2416" s="24" t="n"/>
      <c r="B2416" s="27" t="n"/>
      <c r="C2416" s="24" t="n"/>
      <c r="D2416" s="28" t="n"/>
      <c r="E2416" s="29" t="n"/>
      <c r="F2416" s="24" t="n"/>
      <c r="G2416" s="24" t="n"/>
      <c r="H2416" s="21">
        <f>IF(ISNUMBER($B2416),INT($B2416)-WEEKDAY($B2416,2)+1,"")</f>
        <v/>
      </c>
      <c r="I2416" s="24" t="n"/>
      <c r="J2416" s="22">
        <f t="array" ref="J2416">IF($D2416="","",IF($I2416="","(trống REF)",IFERROR(INDEX(MASTER_SOURCE!$B$2:$B$495,MATCH($I2416,MASTER_SOURCE!$A$2:$A$495,0)),"(REF không có trong MASTER_SOURCE)")))</f>
        <v/>
      </c>
      <c r="K2416" s="22">
        <f t="array" ref="K2416">IF($D2416="","",IFERROR(INDEX(MASTER_SOURCE!$C$2:$C$495,MATCH($I2416,MASTER_SOURCE!$A$2:$A$495,0)),""))</f>
        <v/>
      </c>
      <c r="L2416" s="22">
        <f t="array" ref="L2416">IF($D2416="","",IFERROR(INDEX(MASTER_SOURCE!$D$2:$D$495,MATCH($I2416,MASTER_SOURCE!$A$2:$A$495,0)),""))</f>
        <v/>
      </c>
      <c r="M2416" s="24" t="n"/>
      <c r="N2416" s="24" t="n"/>
      <c r="O2416" s="24" t="n"/>
      <c r="P2416" s="24" t="n"/>
      <c r="Q2416" s="22">
        <f>IF($D2416="","",IF(AND(OR(DANH_MUC!$L$5&lt;&gt;"Có",M2416="Có"),OR(DANH_MUC!$L$6&lt;&gt;"Có",N2416="Có"),OR(DANH_MUC!$L$7&lt;&gt;"Có",O2416="Có"),OR(DANH_MUC!$L$8&lt;&gt;"Có",P2416="Có")),"Có","Không"))</f>
        <v/>
      </c>
      <c r="R2416" s="22">
        <f>IF($D2416="","",IF(COUNTIF($D$2:$D2416,$D2416)&gt;1,"Trùng",""))</f>
        <v/>
      </c>
      <c r="S2416" s="22">
        <f>IF($D2416="","",IF(AND(LEN($D2416)=10,LEFT($D2416,1)="0",ISNUMBER(--$D2416)),"Có","Không"))</f>
        <v/>
      </c>
      <c r="T2416" s="22">
        <f>IF($D2416="","",IF(AND($C2416&lt;&gt;"",$Q2416="Có",$R2416="",$S2416="Có",AND($L2416&lt;&gt;"",OR($L2416&lt;&gt;"Chưa xác định",DANH_MUC!$L$9="Có"))),"Có","Không"))</f>
        <v/>
      </c>
      <c r="U2416" s="22">
        <f>IF(OR($D2416="",$T2416="Có"),"",IF($C2416="","Thiếu họ tên; ","")&amp;IF($S2416&lt;&gt;"Có","SĐT sai định dạng; ","")&amp;IF($R2416="Trùng","Trùng SĐT; ","")&amp;IF($Q2416&lt;&gt;"Có","Thiếu đồng ý bắt buộc; ","")&amp;IF($L2416="","Thiếu/sai Mã REF; ",IF(AND($L2416="Chưa xác định",DANH_MUC!$L$9&lt;&gt;"Có"),"Nguồn chưa xác định; ","")))</f>
        <v/>
      </c>
      <c r="V2416" s="22">
        <f>IF(OR($D2416="",$R2416="Trùng"),"",IF(COUNTIF(ORDERS!$C$2:$C$4995,$D2416)&gt;0,"Có","Không"))</f>
        <v/>
      </c>
      <c r="W2416" s="22">
        <f>IF(OR($D2416="",$R2416="Trùng"),"",COUNTIFS(ORDERS!$C$2:$C$4995,$D2416,ORDERS!$L$2:$L$4995,"Đã chuyển khoản"))</f>
        <v/>
      </c>
      <c r="X2416" s="23">
        <f>IF(OR($D2416="",$R2416="Trùng"),"",SUMIFS(ORDERS!$J$2:$J$4995,ORDERS!$C$2:$C$4995,$D2416,ORDERS!$L$2:$L$4995,"Đã chuyển khoản"))</f>
        <v/>
      </c>
      <c r="Y2416" s="24" t="n"/>
    </row>
    <row r="2417" ht="14.25" customHeight="1" s="40">
      <c r="A2417" s="24" t="n"/>
      <c r="B2417" s="27" t="n"/>
      <c r="C2417" s="24" t="n"/>
      <c r="D2417" s="28" t="n"/>
      <c r="E2417" s="29" t="n"/>
      <c r="F2417" s="24" t="n"/>
      <c r="G2417" s="24" t="n"/>
      <c r="H2417" s="21">
        <f>IF(ISNUMBER($B2417),INT($B2417)-WEEKDAY($B2417,2)+1,"")</f>
        <v/>
      </c>
      <c r="I2417" s="24" t="n"/>
      <c r="J2417" s="22">
        <f t="array" ref="J2417">IF($D2417="","",IF($I2417="","(trống REF)",IFERROR(INDEX(MASTER_SOURCE!$B$2:$B$495,MATCH($I2417,MASTER_SOURCE!$A$2:$A$495,0)),"(REF không có trong MASTER_SOURCE)")))</f>
        <v/>
      </c>
      <c r="K2417" s="22">
        <f t="array" ref="K2417">IF($D2417="","",IFERROR(INDEX(MASTER_SOURCE!$C$2:$C$495,MATCH($I2417,MASTER_SOURCE!$A$2:$A$495,0)),""))</f>
        <v/>
      </c>
      <c r="L2417" s="22">
        <f t="array" ref="L2417">IF($D2417="","",IFERROR(INDEX(MASTER_SOURCE!$D$2:$D$495,MATCH($I2417,MASTER_SOURCE!$A$2:$A$495,0)),""))</f>
        <v/>
      </c>
      <c r="M2417" s="24" t="n"/>
      <c r="N2417" s="24" t="n"/>
      <c r="O2417" s="24" t="n"/>
      <c r="P2417" s="24" t="n"/>
      <c r="Q2417" s="22">
        <f>IF($D2417="","",IF(AND(OR(DANH_MUC!$L$5&lt;&gt;"Có",M2417="Có"),OR(DANH_MUC!$L$6&lt;&gt;"Có",N2417="Có"),OR(DANH_MUC!$L$7&lt;&gt;"Có",O2417="Có"),OR(DANH_MUC!$L$8&lt;&gt;"Có",P2417="Có")),"Có","Không"))</f>
        <v/>
      </c>
      <c r="R2417" s="22">
        <f>IF($D2417="","",IF(COUNTIF($D$2:$D2417,$D2417)&gt;1,"Trùng",""))</f>
        <v/>
      </c>
      <c r="S2417" s="22">
        <f>IF($D2417="","",IF(AND(LEN($D2417)=10,LEFT($D2417,1)="0",ISNUMBER(--$D2417)),"Có","Không"))</f>
        <v/>
      </c>
      <c r="T2417" s="22">
        <f>IF($D2417="","",IF(AND($C2417&lt;&gt;"",$Q2417="Có",$R2417="",$S2417="Có",AND($L2417&lt;&gt;"",OR($L2417&lt;&gt;"Chưa xác định",DANH_MUC!$L$9="Có"))),"Có","Không"))</f>
        <v/>
      </c>
      <c r="U2417" s="22">
        <f>IF(OR($D2417="",$T2417="Có"),"",IF($C2417="","Thiếu họ tên; ","")&amp;IF($S2417&lt;&gt;"Có","SĐT sai định dạng; ","")&amp;IF($R2417="Trùng","Trùng SĐT; ","")&amp;IF($Q2417&lt;&gt;"Có","Thiếu đồng ý bắt buộc; ","")&amp;IF($L2417="","Thiếu/sai Mã REF; ",IF(AND($L2417="Chưa xác định",DANH_MUC!$L$9&lt;&gt;"Có"),"Nguồn chưa xác định; ","")))</f>
        <v/>
      </c>
      <c r="V2417" s="22">
        <f>IF(OR($D2417="",$R2417="Trùng"),"",IF(COUNTIF(ORDERS!$C$2:$C$4995,$D2417)&gt;0,"Có","Không"))</f>
        <v/>
      </c>
      <c r="W2417" s="22">
        <f>IF(OR($D2417="",$R2417="Trùng"),"",COUNTIFS(ORDERS!$C$2:$C$4995,$D2417,ORDERS!$L$2:$L$4995,"Đã chuyển khoản"))</f>
        <v/>
      </c>
      <c r="X2417" s="23">
        <f>IF(OR($D2417="",$R2417="Trùng"),"",SUMIFS(ORDERS!$J$2:$J$4995,ORDERS!$C$2:$C$4995,$D2417,ORDERS!$L$2:$L$4995,"Đã chuyển khoản"))</f>
        <v/>
      </c>
      <c r="Y2417" s="24" t="n"/>
    </row>
    <row r="2418" ht="14.25" customHeight="1" s="40">
      <c r="A2418" s="24" t="n"/>
      <c r="B2418" s="27" t="n"/>
      <c r="C2418" s="24" t="n"/>
      <c r="D2418" s="28" t="n"/>
      <c r="E2418" s="29" t="n"/>
      <c r="F2418" s="24" t="n"/>
      <c r="G2418" s="24" t="n"/>
      <c r="H2418" s="21">
        <f>IF(ISNUMBER($B2418),INT($B2418)-WEEKDAY($B2418,2)+1,"")</f>
        <v/>
      </c>
      <c r="I2418" s="24" t="n"/>
      <c r="J2418" s="22">
        <f t="array" ref="J2418">IF($D2418="","",IF($I2418="","(trống REF)",IFERROR(INDEX(MASTER_SOURCE!$B$2:$B$495,MATCH($I2418,MASTER_SOURCE!$A$2:$A$495,0)),"(REF không có trong MASTER_SOURCE)")))</f>
        <v/>
      </c>
      <c r="K2418" s="22">
        <f t="array" ref="K2418">IF($D2418="","",IFERROR(INDEX(MASTER_SOURCE!$C$2:$C$495,MATCH($I2418,MASTER_SOURCE!$A$2:$A$495,0)),""))</f>
        <v/>
      </c>
      <c r="L2418" s="22">
        <f t="array" ref="L2418">IF($D2418="","",IFERROR(INDEX(MASTER_SOURCE!$D$2:$D$495,MATCH($I2418,MASTER_SOURCE!$A$2:$A$495,0)),""))</f>
        <v/>
      </c>
      <c r="M2418" s="24" t="n"/>
      <c r="N2418" s="24" t="n"/>
      <c r="O2418" s="24" t="n"/>
      <c r="P2418" s="24" t="n"/>
      <c r="Q2418" s="22">
        <f>IF($D2418="","",IF(AND(OR(DANH_MUC!$L$5&lt;&gt;"Có",M2418="Có"),OR(DANH_MUC!$L$6&lt;&gt;"Có",N2418="Có"),OR(DANH_MUC!$L$7&lt;&gt;"Có",O2418="Có"),OR(DANH_MUC!$L$8&lt;&gt;"Có",P2418="Có")),"Có","Không"))</f>
        <v/>
      </c>
      <c r="R2418" s="22">
        <f>IF($D2418="","",IF(COUNTIF($D$2:$D2418,$D2418)&gt;1,"Trùng",""))</f>
        <v/>
      </c>
      <c r="S2418" s="22">
        <f>IF($D2418="","",IF(AND(LEN($D2418)=10,LEFT($D2418,1)="0",ISNUMBER(--$D2418)),"Có","Không"))</f>
        <v/>
      </c>
      <c r="T2418" s="22">
        <f>IF($D2418="","",IF(AND($C2418&lt;&gt;"",$Q2418="Có",$R2418="",$S2418="Có",AND($L2418&lt;&gt;"",OR($L2418&lt;&gt;"Chưa xác định",DANH_MUC!$L$9="Có"))),"Có","Không"))</f>
        <v/>
      </c>
      <c r="U2418" s="22">
        <f>IF(OR($D2418="",$T2418="Có"),"",IF($C2418="","Thiếu họ tên; ","")&amp;IF($S2418&lt;&gt;"Có","SĐT sai định dạng; ","")&amp;IF($R2418="Trùng","Trùng SĐT; ","")&amp;IF($Q2418&lt;&gt;"Có","Thiếu đồng ý bắt buộc; ","")&amp;IF($L2418="","Thiếu/sai Mã REF; ",IF(AND($L2418="Chưa xác định",DANH_MUC!$L$9&lt;&gt;"Có"),"Nguồn chưa xác định; ","")))</f>
        <v/>
      </c>
      <c r="V2418" s="22">
        <f>IF(OR($D2418="",$R2418="Trùng"),"",IF(COUNTIF(ORDERS!$C$2:$C$4995,$D2418)&gt;0,"Có","Không"))</f>
        <v/>
      </c>
      <c r="W2418" s="22">
        <f>IF(OR($D2418="",$R2418="Trùng"),"",COUNTIFS(ORDERS!$C$2:$C$4995,$D2418,ORDERS!$L$2:$L$4995,"Đã chuyển khoản"))</f>
        <v/>
      </c>
      <c r="X2418" s="23">
        <f>IF(OR($D2418="",$R2418="Trùng"),"",SUMIFS(ORDERS!$J$2:$J$4995,ORDERS!$C$2:$C$4995,$D2418,ORDERS!$L$2:$L$4995,"Đã chuyển khoản"))</f>
        <v/>
      </c>
      <c r="Y2418" s="24" t="n"/>
    </row>
    <row r="2419" ht="14.25" customHeight="1" s="40">
      <c r="A2419" s="24" t="n"/>
      <c r="B2419" s="27" t="n"/>
      <c r="C2419" s="24" t="n"/>
      <c r="D2419" s="28" t="n"/>
      <c r="E2419" s="29" t="n"/>
      <c r="F2419" s="24" t="n"/>
      <c r="G2419" s="24" t="n"/>
      <c r="H2419" s="21">
        <f>IF(ISNUMBER($B2419),INT($B2419)-WEEKDAY($B2419,2)+1,"")</f>
        <v/>
      </c>
      <c r="I2419" s="24" t="n"/>
      <c r="J2419" s="22">
        <f t="array" ref="J2419">IF($D2419="","",IF($I2419="","(trống REF)",IFERROR(INDEX(MASTER_SOURCE!$B$2:$B$495,MATCH($I2419,MASTER_SOURCE!$A$2:$A$495,0)),"(REF không có trong MASTER_SOURCE)")))</f>
        <v/>
      </c>
      <c r="K2419" s="22">
        <f t="array" ref="K2419">IF($D2419="","",IFERROR(INDEX(MASTER_SOURCE!$C$2:$C$495,MATCH($I2419,MASTER_SOURCE!$A$2:$A$495,0)),""))</f>
        <v/>
      </c>
      <c r="L2419" s="22">
        <f t="array" ref="L2419">IF($D2419="","",IFERROR(INDEX(MASTER_SOURCE!$D$2:$D$495,MATCH($I2419,MASTER_SOURCE!$A$2:$A$495,0)),""))</f>
        <v/>
      </c>
      <c r="M2419" s="24" t="n"/>
      <c r="N2419" s="24" t="n"/>
      <c r="O2419" s="24" t="n"/>
      <c r="P2419" s="24" t="n"/>
      <c r="Q2419" s="22">
        <f>IF($D2419="","",IF(AND(OR(DANH_MUC!$L$5&lt;&gt;"Có",M2419="Có"),OR(DANH_MUC!$L$6&lt;&gt;"Có",N2419="Có"),OR(DANH_MUC!$L$7&lt;&gt;"Có",O2419="Có"),OR(DANH_MUC!$L$8&lt;&gt;"Có",P2419="Có")),"Có","Không"))</f>
        <v/>
      </c>
      <c r="R2419" s="22">
        <f>IF($D2419="","",IF(COUNTIF($D$2:$D2419,$D2419)&gt;1,"Trùng",""))</f>
        <v/>
      </c>
      <c r="S2419" s="22">
        <f>IF($D2419="","",IF(AND(LEN($D2419)=10,LEFT($D2419,1)="0",ISNUMBER(--$D2419)),"Có","Không"))</f>
        <v/>
      </c>
      <c r="T2419" s="22">
        <f>IF($D2419="","",IF(AND($C2419&lt;&gt;"",$Q2419="Có",$R2419="",$S2419="Có",AND($L2419&lt;&gt;"",OR($L2419&lt;&gt;"Chưa xác định",DANH_MUC!$L$9="Có"))),"Có","Không"))</f>
        <v/>
      </c>
      <c r="U2419" s="22">
        <f>IF(OR($D2419="",$T2419="Có"),"",IF($C2419="","Thiếu họ tên; ","")&amp;IF($S2419&lt;&gt;"Có","SĐT sai định dạng; ","")&amp;IF($R2419="Trùng","Trùng SĐT; ","")&amp;IF($Q2419&lt;&gt;"Có","Thiếu đồng ý bắt buộc; ","")&amp;IF($L2419="","Thiếu/sai Mã REF; ",IF(AND($L2419="Chưa xác định",DANH_MUC!$L$9&lt;&gt;"Có"),"Nguồn chưa xác định; ","")))</f>
        <v/>
      </c>
      <c r="V2419" s="22">
        <f>IF(OR($D2419="",$R2419="Trùng"),"",IF(COUNTIF(ORDERS!$C$2:$C$4995,$D2419)&gt;0,"Có","Không"))</f>
        <v/>
      </c>
      <c r="W2419" s="22">
        <f>IF(OR($D2419="",$R2419="Trùng"),"",COUNTIFS(ORDERS!$C$2:$C$4995,$D2419,ORDERS!$L$2:$L$4995,"Đã chuyển khoản"))</f>
        <v/>
      </c>
      <c r="X2419" s="23">
        <f>IF(OR($D2419="",$R2419="Trùng"),"",SUMIFS(ORDERS!$J$2:$J$4995,ORDERS!$C$2:$C$4995,$D2419,ORDERS!$L$2:$L$4995,"Đã chuyển khoản"))</f>
        <v/>
      </c>
      <c r="Y2419" s="24" t="n"/>
    </row>
    <row r="2420" ht="14.25" customHeight="1" s="40">
      <c r="A2420" s="24" t="n"/>
      <c r="B2420" s="27" t="n"/>
      <c r="C2420" s="24" t="n"/>
      <c r="D2420" s="28" t="n"/>
      <c r="E2420" s="29" t="n"/>
      <c r="F2420" s="24" t="n"/>
      <c r="G2420" s="24" t="n"/>
      <c r="H2420" s="21">
        <f>IF(ISNUMBER($B2420),INT($B2420)-WEEKDAY($B2420,2)+1,"")</f>
        <v/>
      </c>
      <c r="I2420" s="24" t="n"/>
      <c r="J2420" s="22">
        <f t="array" ref="J2420">IF($D2420="","",IF($I2420="","(trống REF)",IFERROR(INDEX(MASTER_SOURCE!$B$2:$B$495,MATCH($I2420,MASTER_SOURCE!$A$2:$A$495,0)),"(REF không có trong MASTER_SOURCE)")))</f>
        <v/>
      </c>
      <c r="K2420" s="22">
        <f t="array" ref="K2420">IF($D2420="","",IFERROR(INDEX(MASTER_SOURCE!$C$2:$C$495,MATCH($I2420,MASTER_SOURCE!$A$2:$A$495,0)),""))</f>
        <v/>
      </c>
      <c r="L2420" s="22">
        <f t="array" ref="L2420">IF($D2420="","",IFERROR(INDEX(MASTER_SOURCE!$D$2:$D$495,MATCH($I2420,MASTER_SOURCE!$A$2:$A$495,0)),""))</f>
        <v/>
      </c>
      <c r="M2420" s="24" t="n"/>
      <c r="N2420" s="24" t="n"/>
      <c r="O2420" s="24" t="n"/>
      <c r="P2420" s="24" t="n"/>
      <c r="Q2420" s="22">
        <f>IF($D2420="","",IF(AND(OR(DANH_MUC!$L$5&lt;&gt;"Có",M2420="Có"),OR(DANH_MUC!$L$6&lt;&gt;"Có",N2420="Có"),OR(DANH_MUC!$L$7&lt;&gt;"Có",O2420="Có"),OR(DANH_MUC!$L$8&lt;&gt;"Có",P2420="Có")),"Có","Không"))</f>
        <v/>
      </c>
      <c r="R2420" s="22">
        <f>IF($D2420="","",IF(COUNTIF($D$2:$D2420,$D2420)&gt;1,"Trùng",""))</f>
        <v/>
      </c>
      <c r="S2420" s="22">
        <f>IF($D2420="","",IF(AND(LEN($D2420)=10,LEFT($D2420,1)="0",ISNUMBER(--$D2420)),"Có","Không"))</f>
        <v/>
      </c>
      <c r="T2420" s="22">
        <f>IF($D2420="","",IF(AND($C2420&lt;&gt;"",$Q2420="Có",$R2420="",$S2420="Có",AND($L2420&lt;&gt;"",OR($L2420&lt;&gt;"Chưa xác định",DANH_MUC!$L$9="Có"))),"Có","Không"))</f>
        <v/>
      </c>
      <c r="U2420" s="22">
        <f>IF(OR($D2420="",$T2420="Có"),"",IF($C2420="","Thiếu họ tên; ","")&amp;IF($S2420&lt;&gt;"Có","SĐT sai định dạng; ","")&amp;IF($R2420="Trùng","Trùng SĐT; ","")&amp;IF($Q2420&lt;&gt;"Có","Thiếu đồng ý bắt buộc; ","")&amp;IF($L2420="","Thiếu/sai Mã REF; ",IF(AND($L2420="Chưa xác định",DANH_MUC!$L$9&lt;&gt;"Có"),"Nguồn chưa xác định; ","")))</f>
        <v/>
      </c>
      <c r="V2420" s="22">
        <f>IF(OR($D2420="",$R2420="Trùng"),"",IF(COUNTIF(ORDERS!$C$2:$C$4995,$D2420)&gt;0,"Có","Không"))</f>
        <v/>
      </c>
      <c r="W2420" s="22">
        <f>IF(OR($D2420="",$R2420="Trùng"),"",COUNTIFS(ORDERS!$C$2:$C$4995,$D2420,ORDERS!$L$2:$L$4995,"Đã chuyển khoản"))</f>
        <v/>
      </c>
      <c r="X2420" s="23">
        <f>IF(OR($D2420="",$R2420="Trùng"),"",SUMIFS(ORDERS!$J$2:$J$4995,ORDERS!$C$2:$C$4995,$D2420,ORDERS!$L$2:$L$4995,"Đã chuyển khoản"))</f>
        <v/>
      </c>
      <c r="Y2420" s="24" t="n"/>
    </row>
    <row r="2421" ht="14.25" customHeight="1" s="40">
      <c r="A2421" s="24" t="n"/>
      <c r="B2421" s="27" t="n"/>
      <c r="C2421" s="24" t="n"/>
      <c r="D2421" s="28" t="n"/>
      <c r="E2421" s="29" t="n"/>
      <c r="F2421" s="24" t="n"/>
      <c r="G2421" s="24" t="n"/>
      <c r="H2421" s="21">
        <f>IF(ISNUMBER($B2421),INT($B2421)-WEEKDAY($B2421,2)+1,"")</f>
        <v/>
      </c>
      <c r="I2421" s="24" t="n"/>
      <c r="J2421" s="22">
        <f t="array" ref="J2421">IF($D2421="","",IF($I2421="","(trống REF)",IFERROR(INDEX(MASTER_SOURCE!$B$2:$B$495,MATCH($I2421,MASTER_SOURCE!$A$2:$A$495,0)),"(REF không có trong MASTER_SOURCE)")))</f>
        <v/>
      </c>
      <c r="K2421" s="22">
        <f t="array" ref="K2421">IF($D2421="","",IFERROR(INDEX(MASTER_SOURCE!$C$2:$C$495,MATCH($I2421,MASTER_SOURCE!$A$2:$A$495,0)),""))</f>
        <v/>
      </c>
      <c r="L2421" s="22">
        <f t="array" ref="L2421">IF($D2421="","",IFERROR(INDEX(MASTER_SOURCE!$D$2:$D$495,MATCH($I2421,MASTER_SOURCE!$A$2:$A$495,0)),""))</f>
        <v/>
      </c>
      <c r="M2421" s="24" t="n"/>
      <c r="N2421" s="24" t="n"/>
      <c r="O2421" s="24" t="n"/>
      <c r="P2421" s="24" t="n"/>
      <c r="Q2421" s="22">
        <f>IF($D2421="","",IF(AND(OR(DANH_MUC!$L$5&lt;&gt;"Có",M2421="Có"),OR(DANH_MUC!$L$6&lt;&gt;"Có",N2421="Có"),OR(DANH_MUC!$L$7&lt;&gt;"Có",O2421="Có"),OR(DANH_MUC!$L$8&lt;&gt;"Có",P2421="Có")),"Có","Không"))</f>
        <v/>
      </c>
      <c r="R2421" s="22">
        <f>IF($D2421="","",IF(COUNTIF($D$2:$D2421,$D2421)&gt;1,"Trùng",""))</f>
        <v/>
      </c>
      <c r="S2421" s="22">
        <f>IF($D2421="","",IF(AND(LEN($D2421)=10,LEFT($D2421,1)="0",ISNUMBER(--$D2421)),"Có","Không"))</f>
        <v/>
      </c>
      <c r="T2421" s="22">
        <f>IF($D2421="","",IF(AND($C2421&lt;&gt;"",$Q2421="Có",$R2421="",$S2421="Có",AND($L2421&lt;&gt;"",OR($L2421&lt;&gt;"Chưa xác định",DANH_MUC!$L$9="Có"))),"Có","Không"))</f>
        <v/>
      </c>
      <c r="U2421" s="22">
        <f>IF(OR($D2421="",$T2421="Có"),"",IF($C2421="","Thiếu họ tên; ","")&amp;IF($S2421&lt;&gt;"Có","SĐT sai định dạng; ","")&amp;IF($R2421="Trùng","Trùng SĐT; ","")&amp;IF($Q2421&lt;&gt;"Có","Thiếu đồng ý bắt buộc; ","")&amp;IF($L2421="","Thiếu/sai Mã REF; ",IF(AND($L2421="Chưa xác định",DANH_MUC!$L$9&lt;&gt;"Có"),"Nguồn chưa xác định; ","")))</f>
        <v/>
      </c>
      <c r="V2421" s="22">
        <f>IF(OR($D2421="",$R2421="Trùng"),"",IF(COUNTIF(ORDERS!$C$2:$C$4995,$D2421)&gt;0,"Có","Không"))</f>
        <v/>
      </c>
      <c r="W2421" s="22">
        <f>IF(OR($D2421="",$R2421="Trùng"),"",COUNTIFS(ORDERS!$C$2:$C$4995,$D2421,ORDERS!$L$2:$L$4995,"Đã chuyển khoản"))</f>
        <v/>
      </c>
      <c r="X2421" s="23">
        <f>IF(OR($D2421="",$R2421="Trùng"),"",SUMIFS(ORDERS!$J$2:$J$4995,ORDERS!$C$2:$C$4995,$D2421,ORDERS!$L$2:$L$4995,"Đã chuyển khoản"))</f>
        <v/>
      </c>
      <c r="Y2421" s="24" t="n"/>
    </row>
    <row r="2422" ht="14.25" customHeight="1" s="40">
      <c r="A2422" s="24" t="n"/>
      <c r="B2422" s="27" t="n"/>
      <c r="C2422" s="24" t="n"/>
      <c r="D2422" s="28" t="n"/>
      <c r="E2422" s="29" t="n"/>
      <c r="F2422" s="24" t="n"/>
      <c r="G2422" s="24" t="n"/>
      <c r="H2422" s="21">
        <f>IF(ISNUMBER($B2422),INT($B2422)-WEEKDAY($B2422,2)+1,"")</f>
        <v/>
      </c>
      <c r="I2422" s="24" t="n"/>
      <c r="J2422" s="22">
        <f t="array" ref="J2422">IF($D2422="","",IF($I2422="","(trống REF)",IFERROR(INDEX(MASTER_SOURCE!$B$2:$B$495,MATCH($I2422,MASTER_SOURCE!$A$2:$A$495,0)),"(REF không có trong MASTER_SOURCE)")))</f>
        <v/>
      </c>
      <c r="K2422" s="22">
        <f t="array" ref="K2422">IF($D2422="","",IFERROR(INDEX(MASTER_SOURCE!$C$2:$C$495,MATCH($I2422,MASTER_SOURCE!$A$2:$A$495,0)),""))</f>
        <v/>
      </c>
      <c r="L2422" s="22">
        <f t="array" ref="L2422">IF($D2422="","",IFERROR(INDEX(MASTER_SOURCE!$D$2:$D$495,MATCH($I2422,MASTER_SOURCE!$A$2:$A$495,0)),""))</f>
        <v/>
      </c>
      <c r="M2422" s="24" t="n"/>
      <c r="N2422" s="24" t="n"/>
      <c r="O2422" s="24" t="n"/>
      <c r="P2422" s="24" t="n"/>
      <c r="Q2422" s="22">
        <f>IF($D2422="","",IF(AND(OR(DANH_MUC!$L$5&lt;&gt;"Có",M2422="Có"),OR(DANH_MUC!$L$6&lt;&gt;"Có",N2422="Có"),OR(DANH_MUC!$L$7&lt;&gt;"Có",O2422="Có"),OR(DANH_MUC!$L$8&lt;&gt;"Có",P2422="Có")),"Có","Không"))</f>
        <v/>
      </c>
      <c r="R2422" s="22">
        <f>IF($D2422="","",IF(COUNTIF($D$2:$D2422,$D2422)&gt;1,"Trùng",""))</f>
        <v/>
      </c>
      <c r="S2422" s="22">
        <f>IF($D2422="","",IF(AND(LEN($D2422)=10,LEFT($D2422,1)="0",ISNUMBER(--$D2422)),"Có","Không"))</f>
        <v/>
      </c>
      <c r="T2422" s="22">
        <f>IF($D2422="","",IF(AND($C2422&lt;&gt;"",$Q2422="Có",$R2422="",$S2422="Có",AND($L2422&lt;&gt;"",OR($L2422&lt;&gt;"Chưa xác định",DANH_MUC!$L$9="Có"))),"Có","Không"))</f>
        <v/>
      </c>
      <c r="U2422" s="22">
        <f>IF(OR($D2422="",$T2422="Có"),"",IF($C2422="","Thiếu họ tên; ","")&amp;IF($S2422&lt;&gt;"Có","SĐT sai định dạng; ","")&amp;IF($R2422="Trùng","Trùng SĐT; ","")&amp;IF($Q2422&lt;&gt;"Có","Thiếu đồng ý bắt buộc; ","")&amp;IF($L2422="","Thiếu/sai Mã REF; ",IF(AND($L2422="Chưa xác định",DANH_MUC!$L$9&lt;&gt;"Có"),"Nguồn chưa xác định; ","")))</f>
        <v/>
      </c>
      <c r="V2422" s="22">
        <f>IF(OR($D2422="",$R2422="Trùng"),"",IF(COUNTIF(ORDERS!$C$2:$C$4995,$D2422)&gt;0,"Có","Không"))</f>
        <v/>
      </c>
      <c r="W2422" s="22">
        <f>IF(OR($D2422="",$R2422="Trùng"),"",COUNTIFS(ORDERS!$C$2:$C$4995,$D2422,ORDERS!$L$2:$L$4995,"Đã chuyển khoản"))</f>
        <v/>
      </c>
      <c r="X2422" s="23">
        <f>IF(OR($D2422="",$R2422="Trùng"),"",SUMIFS(ORDERS!$J$2:$J$4995,ORDERS!$C$2:$C$4995,$D2422,ORDERS!$L$2:$L$4995,"Đã chuyển khoản"))</f>
        <v/>
      </c>
      <c r="Y2422" s="24" t="n"/>
    </row>
    <row r="2423" ht="14.25" customHeight="1" s="40">
      <c r="A2423" s="24" t="n"/>
      <c r="B2423" s="27" t="n"/>
      <c r="C2423" s="24" t="n"/>
      <c r="D2423" s="28" t="n"/>
      <c r="E2423" s="29" t="n"/>
      <c r="F2423" s="24" t="n"/>
      <c r="G2423" s="24" t="n"/>
      <c r="H2423" s="21">
        <f>IF(ISNUMBER($B2423),INT($B2423)-WEEKDAY($B2423,2)+1,"")</f>
        <v/>
      </c>
      <c r="I2423" s="24" t="n"/>
      <c r="J2423" s="22">
        <f t="array" ref="J2423">IF($D2423="","",IF($I2423="","(trống REF)",IFERROR(INDEX(MASTER_SOURCE!$B$2:$B$495,MATCH($I2423,MASTER_SOURCE!$A$2:$A$495,0)),"(REF không có trong MASTER_SOURCE)")))</f>
        <v/>
      </c>
      <c r="K2423" s="22">
        <f t="array" ref="K2423">IF($D2423="","",IFERROR(INDEX(MASTER_SOURCE!$C$2:$C$495,MATCH($I2423,MASTER_SOURCE!$A$2:$A$495,0)),""))</f>
        <v/>
      </c>
      <c r="L2423" s="22">
        <f t="array" ref="L2423">IF($D2423="","",IFERROR(INDEX(MASTER_SOURCE!$D$2:$D$495,MATCH($I2423,MASTER_SOURCE!$A$2:$A$495,0)),""))</f>
        <v/>
      </c>
      <c r="M2423" s="24" t="n"/>
      <c r="N2423" s="24" t="n"/>
      <c r="O2423" s="24" t="n"/>
      <c r="P2423" s="24" t="n"/>
      <c r="Q2423" s="22">
        <f>IF($D2423="","",IF(AND(OR(DANH_MUC!$L$5&lt;&gt;"Có",M2423="Có"),OR(DANH_MUC!$L$6&lt;&gt;"Có",N2423="Có"),OR(DANH_MUC!$L$7&lt;&gt;"Có",O2423="Có"),OR(DANH_MUC!$L$8&lt;&gt;"Có",P2423="Có")),"Có","Không"))</f>
        <v/>
      </c>
      <c r="R2423" s="22">
        <f>IF($D2423="","",IF(COUNTIF($D$2:$D2423,$D2423)&gt;1,"Trùng",""))</f>
        <v/>
      </c>
      <c r="S2423" s="22">
        <f>IF($D2423="","",IF(AND(LEN($D2423)=10,LEFT($D2423,1)="0",ISNUMBER(--$D2423)),"Có","Không"))</f>
        <v/>
      </c>
      <c r="T2423" s="22">
        <f>IF($D2423="","",IF(AND($C2423&lt;&gt;"",$Q2423="Có",$R2423="",$S2423="Có",AND($L2423&lt;&gt;"",OR($L2423&lt;&gt;"Chưa xác định",DANH_MUC!$L$9="Có"))),"Có","Không"))</f>
        <v/>
      </c>
      <c r="U2423" s="22">
        <f>IF(OR($D2423="",$T2423="Có"),"",IF($C2423="","Thiếu họ tên; ","")&amp;IF($S2423&lt;&gt;"Có","SĐT sai định dạng; ","")&amp;IF($R2423="Trùng","Trùng SĐT; ","")&amp;IF($Q2423&lt;&gt;"Có","Thiếu đồng ý bắt buộc; ","")&amp;IF($L2423="","Thiếu/sai Mã REF; ",IF(AND($L2423="Chưa xác định",DANH_MUC!$L$9&lt;&gt;"Có"),"Nguồn chưa xác định; ","")))</f>
        <v/>
      </c>
      <c r="V2423" s="22">
        <f>IF(OR($D2423="",$R2423="Trùng"),"",IF(COUNTIF(ORDERS!$C$2:$C$4995,$D2423)&gt;0,"Có","Không"))</f>
        <v/>
      </c>
      <c r="W2423" s="22">
        <f>IF(OR($D2423="",$R2423="Trùng"),"",COUNTIFS(ORDERS!$C$2:$C$4995,$D2423,ORDERS!$L$2:$L$4995,"Đã chuyển khoản"))</f>
        <v/>
      </c>
      <c r="X2423" s="23">
        <f>IF(OR($D2423="",$R2423="Trùng"),"",SUMIFS(ORDERS!$J$2:$J$4995,ORDERS!$C$2:$C$4995,$D2423,ORDERS!$L$2:$L$4995,"Đã chuyển khoản"))</f>
        <v/>
      </c>
      <c r="Y2423" s="24" t="n"/>
    </row>
    <row r="2424" ht="14.25" customHeight="1" s="40">
      <c r="A2424" s="24" t="n"/>
      <c r="B2424" s="27" t="n"/>
      <c r="C2424" s="24" t="n"/>
      <c r="D2424" s="28" t="n"/>
      <c r="E2424" s="29" t="n"/>
      <c r="F2424" s="24" t="n"/>
      <c r="G2424" s="24" t="n"/>
      <c r="H2424" s="21">
        <f>IF(ISNUMBER($B2424),INT($B2424)-WEEKDAY($B2424,2)+1,"")</f>
        <v/>
      </c>
      <c r="I2424" s="24" t="n"/>
      <c r="J2424" s="22">
        <f t="array" ref="J2424">IF($D2424="","",IF($I2424="","(trống REF)",IFERROR(INDEX(MASTER_SOURCE!$B$2:$B$495,MATCH($I2424,MASTER_SOURCE!$A$2:$A$495,0)),"(REF không có trong MASTER_SOURCE)")))</f>
        <v/>
      </c>
      <c r="K2424" s="22">
        <f t="array" ref="K2424">IF($D2424="","",IFERROR(INDEX(MASTER_SOURCE!$C$2:$C$495,MATCH($I2424,MASTER_SOURCE!$A$2:$A$495,0)),""))</f>
        <v/>
      </c>
      <c r="L2424" s="22">
        <f t="array" ref="L2424">IF($D2424="","",IFERROR(INDEX(MASTER_SOURCE!$D$2:$D$495,MATCH($I2424,MASTER_SOURCE!$A$2:$A$495,0)),""))</f>
        <v/>
      </c>
      <c r="M2424" s="24" t="n"/>
      <c r="N2424" s="24" t="n"/>
      <c r="O2424" s="24" t="n"/>
      <c r="P2424" s="24" t="n"/>
      <c r="Q2424" s="22">
        <f>IF($D2424="","",IF(AND(OR(DANH_MUC!$L$5&lt;&gt;"Có",M2424="Có"),OR(DANH_MUC!$L$6&lt;&gt;"Có",N2424="Có"),OR(DANH_MUC!$L$7&lt;&gt;"Có",O2424="Có"),OR(DANH_MUC!$L$8&lt;&gt;"Có",P2424="Có")),"Có","Không"))</f>
        <v/>
      </c>
      <c r="R2424" s="22">
        <f>IF($D2424="","",IF(COUNTIF($D$2:$D2424,$D2424)&gt;1,"Trùng",""))</f>
        <v/>
      </c>
      <c r="S2424" s="22">
        <f>IF($D2424="","",IF(AND(LEN($D2424)=10,LEFT($D2424,1)="0",ISNUMBER(--$D2424)),"Có","Không"))</f>
        <v/>
      </c>
      <c r="T2424" s="22">
        <f>IF($D2424="","",IF(AND($C2424&lt;&gt;"",$Q2424="Có",$R2424="",$S2424="Có",AND($L2424&lt;&gt;"",OR($L2424&lt;&gt;"Chưa xác định",DANH_MUC!$L$9="Có"))),"Có","Không"))</f>
        <v/>
      </c>
      <c r="U2424" s="22">
        <f>IF(OR($D2424="",$T2424="Có"),"",IF($C2424="","Thiếu họ tên; ","")&amp;IF($S2424&lt;&gt;"Có","SĐT sai định dạng; ","")&amp;IF($R2424="Trùng","Trùng SĐT; ","")&amp;IF($Q2424&lt;&gt;"Có","Thiếu đồng ý bắt buộc; ","")&amp;IF($L2424="","Thiếu/sai Mã REF; ",IF(AND($L2424="Chưa xác định",DANH_MUC!$L$9&lt;&gt;"Có"),"Nguồn chưa xác định; ","")))</f>
        <v/>
      </c>
      <c r="V2424" s="22">
        <f>IF(OR($D2424="",$R2424="Trùng"),"",IF(COUNTIF(ORDERS!$C$2:$C$4995,$D2424)&gt;0,"Có","Không"))</f>
        <v/>
      </c>
      <c r="W2424" s="22">
        <f>IF(OR($D2424="",$R2424="Trùng"),"",COUNTIFS(ORDERS!$C$2:$C$4995,$D2424,ORDERS!$L$2:$L$4995,"Đã chuyển khoản"))</f>
        <v/>
      </c>
      <c r="X2424" s="23">
        <f>IF(OR($D2424="",$R2424="Trùng"),"",SUMIFS(ORDERS!$J$2:$J$4995,ORDERS!$C$2:$C$4995,$D2424,ORDERS!$L$2:$L$4995,"Đã chuyển khoản"))</f>
        <v/>
      </c>
      <c r="Y2424" s="24" t="n"/>
    </row>
    <row r="2425" ht="14.25" customHeight="1" s="40">
      <c r="A2425" s="24" t="n"/>
      <c r="B2425" s="27" t="n"/>
      <c r="C2425" s="24" t="n"/>
      <c r="D2425" s="28" t="n"/>
      <c r="E2425" s="29" t="n"/>
      <c r="F2425" s="24" t="n"/>
      <c r="G2425" s="24" t="n"/>
      <c r="H2425" s="21">
        <f>IF(ISNUMBER($B2425),INT($B2425)-WEEKDAY($B2425,2)+1,"")</f>
        <v/>
      </c>
      <c r="I2425" s="24" t="n"/>
      <c r="J2425" s="22">
        <f t="array" ref="J2425">IF($D2425="","",IF($I2425="","(trống REF)",IFERROR(INDEX(MASTER_SOURCE!$B$2:$B$495,MATCH($I2425,MASTER_SOURCE!$A$2:$A$495,0)),"(REF không có trong MASTER_SOURCE)")))</f>
        <v/>
      </c>
      <c r="K2425" s="22">
        <f t="array" ref="K2425">IF($D2425="","",IFERROR(INDEX(MASTER_SOURCE!$C$2:$C$495,MATCH($I2425,MASTER_SOURCE!$A$2:$A$495,0)),""))</f>
        <v/>
      </c>
      <c r="L2425" s="22">
        <f t="array" ref="L2425">IF($D2425="","",IFERROR(INDEX(MASTER_SOURCE!$D$2:$D$495,MATCH($I2425,MASTER_SOURCE!$A$2:$A$495,0)),""))</f>
        <v/>
      </c>
      <c r="M2425" s="24" t="n"/>
      <c r="N2425" s="24" t="n"/>
      <c r="O2425" s="24" t="n"/>
      <c r="P2425" s="24" t="n"/>
      <c r="Q2425" s="22">
        <f>IF($D2425="","",IF(AND(OR(DANH_MUC!$L$5&lt;&gt;"Có",M2425="Có"),OR(DANH_MUC!$L$6&lt;&gt;"Có",N2425="Có"),OR(DANH_MUC!$L$7&lt;&gt;"Có",O2425="Có"),OR(DANH_MUC!$L$8&lt;&gt;"Có",P2425="Có")),"Có","Không"))</f>
        <v/>
      </c>
      <c r="R2425" s="22">
        <f>IF($D2425="","",IF(COUNTIF($D$2:$D2425,$D2425)&gt;1,"Trùng",""))</f>
        <v/>
      </c>
      <c r="S2425" s="22">
        <f>IF($D2425="","",IF(AND(LEN($D2425)=10,LEFT($D2425,1)="0",ISNUMBER(--$D2425)),"Có","Không"))</f>
        <v/>
      </c>
      <c r="T2425" s="22">
        <f>IF($D2425="","",IF(AND($C2425&lt;&gt;"",$Q2425="Có",$R2425="",$S2425="Có",AND($L2425&lt;&gt;"",OR($L2425&lt;&gt;"Chưa xác định",DANH_MUC!$L$9="Có"))),"Có","Không"))</f>
        <v/>
      </c>
      <c r="U2425" s="22">
        <f>IF(OR($D2425="",$T2425="Có"),"",IF($C2425="","Thiếu họ tên; ","")&amp;IF($S2425&lt;&gt;"Có","SĐT sai định dạng; ","")&amp;IF($R2425="Trùng","Trùng SĐT; ","")&amp;IF($Q2425&lt;&gt;"Có","Thiếu đồng ý bắt buộc; ","")&amp;IF($L2425="","Thiếu/sai Mã REF; ",IF(AND($L2425="Chưa xác định",DANH_MUC!$L$9&lt;&gt;"Có"),"Nguồn chưa xác định; ","")))</f>
        <v/>
      </c>
      <c r="V2425" s="22">
        <f>IF(OR($D2425="",$R2425="Trùng"),"",IF(COUNTIF(ORDERS!$C$2:$C$4995,$D2425)&gt;0,"Có","Không"))</f>
        <v/>
      </c>
      <c r="W2425" s="22">
        <f>IF(OR($D2425="",$R2425="Trùng"),"",COUNTIFS(ORDERS!$C$2:$C$4995,$D2425,ORDERS!$L$2:$L$4995,"Đã chuyển khoản"))</f>
        <v/>
      </c>
      <c r="X2425" s="23">
        <f>IF(OR($D2425="",$R2425="Trùng"),"",SUMIFS(ORDERS!$J$2:$J$4995,ORDERS!$C$2:$C$4995,$D2425,ORDERS!$L$2:$L$4995,"Đã chuyển khoản"))</f>
        <v/>
      </c>
      <c r="Y2425" s="24" t="n"/>
    </row>
    <row r="2426" ht="14.25" customHeight="1" s="40">
      <c r="A2426" s="24" t="n"/>
      <c r="B2426" s="27" t="n"/>
      <c r="C2426" s="24" t="n"/>
      <c r="D2426" s="28" t="n"/>
      <c r="E2426" s="29" t="n"/>
      <c r="F2426" s="24" t="n"/>
      <c r="G2426" s="24" t="n"/>
      <c r="H2426" s="21">
        <f>IF(ISNUMBER($B2426),INT($B2426)-WEEKDAY($B2426,2)+1,"")</f>
        <v/>
      </c>
      <c r="I2426" s="24" t="n"/>
      <c r="J2426" s="22">
        <f t="array" ref="J2426">IF($D2426="","",IF($I2426="","(trống REF)",IFERROR(INDEX(MASTER_SOURCE!$B$2:$B$495,MATCH($I2426,MASTER_SOURCE!$A$2:$A$495,0)),"(REF không có trong MASTER_SOURCE)")))</f>
        <v/>
      </c>
      <c r="K2426" s="22">
        <f t="array" ref="K2426">IF($D2426="","",IFERROR(INDEX(MASTER_SOURCE!$C$2:$C$495,MATCH($I2426,MASTER_SOURCE!$A$2:$A$495,0)),""))</f>
        <v/>
      </c>
      <c r="L2426" s="22">
        <f t="array" ref="L2426">IF($D2426="","",IFERROR(INDEX(MASTER_SOURCE!$D$2:$D$495,MATCH($I2426,MASTER_SOURCE!$A$2:$A$495,0)),""))</f>
        <v/>
      </c>
      <c r="M2426" s="24" t="n"/>
      <c r="N2426" s="24" t="n"/>
      <c r="O2426" s="24" t="n"/>
      <c r="P2426" s="24" t="n"/>
      <c r="Q2426" s="22">
        <f>IF($D2426="","",IF(AND(OR(DANH_MUC!$L$5&lt;&gt;"Có",M2426="Có"),OR(DANH_MUC!$L$6&lt;&gt;"Có",N2426="Có"),OR(DANH_MUC!$L$7&lt;&gt;"Có",O2426="Có"),OR(DANH_MUC!$L$8&lt;&gt;"Có",P2426="Có")),"Có","Không"))</f>
        <v/>
      </c>
      <c r="R2426" s="22">
        <f>IF($D2426="","",IF(COUNTIF($D$2:$D2426,$D2426)&gt;1,"Trùng",""))</f>
        <v/>
      </c>
      <c r="S2426" s="22">
        <f>IF($D2426="","",IF(AND(LEN($D2426)=10,LEFT($D2426,1)="0",ISNUMBER(--$D2426)),"Có","Không"))</f>
        <v/>
      </c>
      <c r="T2426" s="22">
        <f>IF($D2426="","",IF(AND($C2426&lt;&gt;"",$Q2426="Có",$R2426="",$S2426="Có",AND($L2426&lt;&gt;"",OR($L2426&lt;&gt;"Chưa xác định",DANH_MUC!$L$9="Có"))),"Có","Không"))</f>
        <v/>
      </c>
      <c r="U2426" s="22">
        <f>IF(OR($D2426="",$T2426="Có"),"",IF($C2426="","Thiếu họ tên; ","")&amp;IF($S2426&lt;&gt;"Có","SĐT sai định dạng; ","")&amp;IF($R2426="Trùng","Trùng SĐT; ","")&amp;IF($Q2426&lt;&gt;"Có","Thiếu đồng ý bắt buộc; ","")&amp;IF($L2426="","Thiếu/sai Mã REF; ",IF(AND($L2426="Chưa xác định",DANH_MUC!$L$9&lt;&gt;"Có"),"Nguồn chưa xác định; ","")))</f>
        <v/>
      </c>
      <c r="V2426" s="22">
        <f>IF(OR($D2426="",$R2426="Trùng"),"",IF(COUNTIF(ORDERS!$C$2:$C$4995,$D2426)&gt;0,"Có","Không"))</f>
        <v/>
      </c>
      <c r="W2426" s="22">
        <f>IF(OR($D2426="",$R2426="Trùng"),"",COUNTIFS(ORDERS!$C$2:$C$4995,$D2426,ORDERS!$L$2:$L$4995,"Đã chuyển khoản"))</f>
        <v/>
      </c>
      <c r="X2426" s="23">
        <f>IF(OR($D2426="",$R2426="Trùng"),"",SUMIFS(ORDERS!$J$2:$J$4995,ORDERS!$C$2:$C$4995,$D2426,ORDERS!$L$2:$L$4995,"Đã chuyển khoản"))</f>
        <v/>
      </c>
      <c r="Y2426" s="24" t="n"/>
    </row>
    <row r="2427" ht="14.25" customHeight="1" s="40">
      <c r="A2427" s="24" t="n"/>
      <c r="B2427" s="27" t="n"/>
      <c r="C2427" s="24" t="n"/>
      <c r="D2427" s="28" t="n"/>
      <c r="E2427" s="29" t="n"/>
      <c r="F2427" s="24" t="n"/>
      <c r="G2427" s="24" t="n"/>
      <c r="H2427" s="21">
        <f>IF(ISNUMBER($B2427),INT($B2427)-WEEKDAY($B2427,2)+1,"")</f>
        <v/>
      </c>
      <c r="I2427" s="24" t="n"/>
      <c r="J2427" s="22">
        <f t="array" ref="J2427">IF($D2427="","",IF($I2427="","(trống REF)",IFERROR(INDEX(MASTER_SOURCE!$B$2:$B$495,MATCH($I2427,MASTER_SOURCE!$A$2:$A$495,0)),"(REF không có trong MASTER_SOURCE)")))</f>
        <v/>
      </c>
      <c r="K2427" s="22">
        <f t="array" ref="K2427">IF($D2427="","",IFERROR(INDEX(MASTER_SOURCE!$C$2:$C$495,MATCH($I2427,MASTER_SOURCE!$A$2:$A$495,0)),""))</f>
        <v/>
      </c>
      <c r="L2427" s="22">
        <f t="array" ref="L2427">IF($D2427="","",IFERROR(INDEX(MASTER_SOURCE!$D$2:$D$495,MATCH($I2427,MASTER_SOURCE!$A$2:$A$495,0)),""))</f>
        <v/>
      </c>
      <c r="M2427" s="24" t="n"/>
      <c r="N2427" s="24" t="n"/>
      <c r="O2427" s="24" t="n"/>
      <c r="P2427" s="24" t="n"/>
      <c r="Q2427" s="22">
        <f>IF($D2427="","",IF(AND(OR(DANH_MUC!$L$5&lt;&gt;"Có",M2427="Có"),OR(DANH_MUC!$L$6&lt;&gt;"Có",N2427="Có"),OR(DANH_MUC!$L$7&lt;&gt;"Có",O2427="Có"),OR(DANH_MUC!$L$8&lt;&gt;"Có",P2427="Có")),"Có","Không"))</f>
        <v/>
      </c>
      <c r="R2427" s="22">
        <f>IF($D2427="","",IF(COUNTIF($D$2:$D2427,$D2427)&gt;1,"Trùng",""))</f>
        <v/>
      </c>
      <c r="S2427" s="22">
        <f>IF($D2427="","",IF(AND(LEN($D2427)=10,LEFT($D2427,1)="0",ISNUMBER(--$D2427)),"Có","Không"))</f>
        <v/>
      </c>
      <c r="T2427" s="22">
        <f>IF($D2427="","",IF(AND($C2427&lt;&gt;"",$Q2427="Có",$R2427="",$S2427="Có",AND($L2427&lt;&gt;"",OR($L2427&lt;&gt;"Chưa xác định",DANH_MUC!$L$9="Có"))),"Có","Không"))</f>
        <v/>
      </c>
      <c r="U2427" s="22">
        <f>IF(OR($D2427="",$T2427="Có"),"",IF($C2427="","Thiếu họ tên; ","")&amp;IF($S2427&lt;&gt;"Có","SĐT sai định dạng; ","")&amp;IF($R2427="Trùng","Trùng SĐT; ","")&amp;IF($Q2427&lt;&gt;"Có","Thiếu đồng ý bắt buộc; ","")&amp;IF($L2427="","Thiếu/sai Mã REF; ",IF(AND($L2427="Chưa xác định",DANH_MUC!$L$9&lt;&gt;"Có"),"Nguồn chưa xác định; ","")))</f>
        <v/>
      </c>
      <c r="V2427" s="22">
        <f>IF(OR($D2427="",$R2427="Trùng"),"",IF(COUNTIF(ORDERS!$C$2:$C$4995,$D2427)&gt;0,"Có","Không"))</f>
        <v/>
      </c>
      <c r="W2427" s="22">
        <f>IF(OR($D2427="",$R2427="Trùng"),"",COUNTIFS(ORDERS!$C$2:$C$4995,$D2427,ORDERS!$L$2:$L$4995,"Đã chuyển khoản"))</f>
        <v/>
      </c>
      <c r="X2427" s="23">
        <f>IF(OR($D2427="",$R2427="Trùng"),"",SUMIFS(ORDERS!$J$2:$J$4995,ORDERS!$C$2:$C$4995,$D2427,ORDERS!$L$2:$L$4995,"Đã chuyển khoản"))</f>
        <v/>
      </c>
      <c r="Y2427" s="24" t="n"/>
    </row>
    <row r="2428" ht="14.25" customHeight="1" s="40">
      <c r="A2428" s="24" t="n"/>
      <c r="B2428" s="27" t="n"/>
      <c r="C2428" s="24" t="n"/>
      <c r="D2428" s="28" t="n"/>
      <c r="E2428" s="29" t="n"/>
      <c r="F2428" s="24" t="n"/>
      <c r="G2428" s="24" t="n"/>
      <c r="H2428" s="21">
        <f>IF(ISNUMBER($B2428),INT($B2428)-WEEKDAY($B2428,2)+1,"")</f>
        <v/>
      </c>
      <c r="I2428" s="24" t="n"/>
      <c r="J2428" s="22">
        <f t="array" ref="J2428">IF($D2428="","",IF($I2428="","(trống REF)",IFERROR(INDEX(MASTER_SOURCE!$B$2:$B$495,MATCH($I2428,MASTER_SOURCE!$A$2:$A$495,0)),"(REF không có trong MASTER_SOURCE)")))</f>
        <v/>
      </c>
      <c r="K2428" s="22">
        <f t="array" ref="K2428">IF($D2428="","",IFERROR(INDEX(MASTER_SOURCE!$C$2:$C$495,MATCH($I2428,MASTER_SOURCE!$A$2:$A$495,0)),""))</f>
        <v/>
      </c>
      <c r="L2428" s="22">
        <f t="array" ref="L2428">IF($D2428="","",IFERROR(INDEX(MASTER_SOURCE!$D$2:$D$495,MATCH($I2428,MASTER_SOURCE!$A$2:$A$495,0)),""))</f>
        <v/>
      </c>
      <c r="M2428" s="24" t="n"/>
      <c r="N2428" s="24" t="n"/>
      <c r="O2428" s="24" t="n"/>
      <c r="P2428" s="24" t="n"/>
      <c r="Q2428" s="22">
        <f>IF($D2428="","",IF(AND(OR(DANH_MUC!$L$5&lt;&gt;"Có",M2428="Có"),OR(DANH_MUC!$L$6&lt;&gt;"Có",N2428="Có"),OR(DANH_MUC!$L$7&lt;&gt;"Có",O2428="Có"),OR(DANH_MUC!$L$8&lt;&gt;"Có",P2428="Có")),"Có","Không"))</f>
        <v/>
      </c>
      <c r="R2428" s="22">
        <f>IF($D2428="","",IF(COUNTIF($D$2:$D2428,$D2428)&gt;1,"Trùng",""))</f>
        <v/>
      </c>
      <c r="S2428" s="22">
        <f>IF($D2428="","",IF(AND(LEN($D2428)=10,LEFT($D2428,1)="0",ISNUMBER(--$D2428)),"Có","Không"))</f>
        <v/>
      </c>
      <c r="T2428" s="22">
        <f>IF($D2428="","",IF(AND($C2428&lt;&gt;"",$Q2428="Có",$R2428="",$S2428="Có",AND($L2428&lt;&gt;"",OR($L2428&lt;&gt;"Chưa xác định",DANH_MUC!$L$9="Có"))),"Có","Không"))</f>
        <v/>
      </c>
      <c r="U2428" s="22">
        <f>IF(OR($D2428="",$T2428="Có"),"",IF($C2428="","Thiếu họ tên; ","")&amp;IF($S2428&lt;&gt;"Có","SĐT sai định dạng; ","")&amp;IF($R2428="Trùng","Trùng SĐT; ","")&amp;IF($Q2428&lt;&gt;"Có","Thiếu đồng ý bắt buộc; ","")&amp;IF($L2428="","Thiếu/sai Mã REF; ",IF(AND($L2428="Chưa xác định",DANH_MUC!$L$9&lt;&gt;"Có"),"Nguồn chưa xác định; ","")))</f>
        <v/>
      </c>
      <c r="V2428" s="22">
        <f>IF(OR($D2428="",$R2428="Trùng"),"",IF(COUNTIF(ORDERS!$C$2:$C$4995,$D2428)&gt;0,"Có","Không"))</f>
        <v/>
      </c>
      <c r="W2428" s="22">
        <f>IF(OR($D2428="",$R2428="Trùng"),"",COUNTIFS(ORDERS!$C$2:$C$4995,$D2428,ORDERS!$L$2:$L$4995,"Đã chuyển khoản"))</f>
        <v/>
      </c>
      <c r="X2428" s="23">
        <f>IF(OR($D2428="",$R2428="Trùng"),"",SUMIFS(ORDERS!$J$2:$J$4995,ORDERS!$C$2:$C$4995,$D2428,ORDERS!$L$2:$L$4995,"Đã chuyển khoản"))</f>
        <v/>
      </c>
      <c r="Y2428" s="24" t="n"/>
    </row>
    <row r="2429" ht="14.25" customHeight="1" s="40">
      <c r="A2429" s="24" t="n"/>
      <c r="B2429" s="27" t="n"/>
      <c r="C2429" s="24" t="n"/>
      <c r="D2429" s="28" t="n"/>
      <c r="E2429" s="29" t="n"/>
      <c r="F2429" s="24" t="n"/>
      <c r="G2429" s="24" t="n"/>
      <c r="H2429" s="21">
        <f>IF(ISNUMBER($B2429),INT($B2429)-WEEKDAY($B2429,2)+1,"")</f>
        <v/>
      </c>
      <c r="I2429" s="24" t="n"/>
      <c r="J2429" s="22">
        <f t="array" ref="J2429">IF($D2429="","",IF($I2429="","(trống REF)",IFERROR(INDEX(MASTER_SOURCE!$B$2:$B$495,MATCH($I2429,MASTER_SOURCE!$A$2:$A$495,0)),"(REF không có trong MASTER_SOURCE)")))</f>
        <v/>
      </c>
      <c r="K2429" s="22">
        <f t="array" ref="K2429">IF($D2429="","",IFERROR(INDEX(MASTER_SOURCE!$C$2:$C$495,MATCH($I2429,MASTER_SOURCE!$A$2:$A$495,0)),""))</f>
        <v/>
      </c>
      <c r="L2429" s="22">
        <f t="array" ref="L2429">IF($D2429="","",IFERROR(INDEX(MASTER_SOURCE!$D$2:$D$495,MATCH($I2429,MASTER_SOURCE!$A$2:$A$495,0)),""))</f>
        <v/>
      </c>
      <c r="M2429" s="24" t="n"/>
      <c r="N2429" s="24" t="n"/>
      <c r="O2429" s="24" t="n"/>
      <c r="P2429" s="24" t="n"/>
      <c r="Q2429" s="22">
        <f>IF($D2429="","",IF(AND(OR(DANH_MUC!$L$5&lt;&gt;"Có",M2429="Có"),OR(DANH_MUC!$L$6&lt;&gt;"Có",N2429="Có"),OR(DANH_MUC!$L$7&lt;&gt;"Có",O2429="Có"),OR(DANH_MUC!$L$8&lt;&gt;"Có",P2429="Có")),"Có","Không"))</f>
        <v/>
      </c>
      <c r="R2429" s="22">
        <f>IF($D2429="","",IF(COUNTIF($D$2:$D2429,$D2429)&gt;1,"Trùng",""))</f>
        <v/>
      </c>
      <c r="S2429" s="22">
        <f>IF($D2429="","",IF(AND(LEN($D2429)=10,LEFT($D2429,1)="0",ISNUMBER(--$D2429)),"Có","Không"))</f>
        <v/>
      </c>
      <c r="T2429" s="22">
        <f>IF($D2429="","",IF(AND($C2429&lt;&gt;"",$Q2429="Có",$R2429="",$S2429="Có",AND($L2429&lt;&gt;"",OR($L2429&lt;&gt;"Chưa xác định",DANH_MUC!$L$9="Có"))),"Có","Không"))</f>
        <v/>
      </c>
      <c r="U2429" s="22">
        <f>IF(OR($D2429="",$T2429="Có"),"",IF($C2429="","Thiếu họ tên; ","")&amp;IF($S2429&lt;&gt;"Có","SĐT sai định dạng; ","")&amp;IF($R2429="Trùng","Trùng SĐT; ","")&amp;IF($Q2429&lt;&gt;"Có","Thiếu đồng ý bắt buộc; ","")&amp;IF($L2429="","Thiếu/sai Mã REF; ",IF(AND($L2429="Chưa xác định",DANH_MUC!$L$9&lt;&gt;"Có"),"Nguồn chưa xác định; ","")))</f>
        <v/>
      </c>
      <c r="V2429" s="22">
        <f>IF(OR($D2429="",$R2429="Trùng"),"",IF(COUNTIF(ORDERS!$C$2:$C$4995,$D2429)&gt;0,"Có","Không"))</f>
        <v/>
      </c>
      <c r="W2429" s="22">
        <f>IF(OR($D2429="",$R2429="Trùng"),"",COUNTIFS(ORDERS!$C$2:$C$4995,$D2429,ORDERS!$L$2:$L$4995,"Đã chuyển khoản"))</f>
        <v/>
      </c>
      <c r="X2429" s="23">
        <f>IF(OR($D2429="",$R2429="Trùng"),"",SUMIFS(ORDERS!$J$2:$J$4995,ORDERS!$C$2:$C$4995,$D2429,ORDERS!$L$2:$L$4995,"Đã chuyển khoản"))</f>
        <v/>
      </c>
      <c r="Y2429" s="24" t="n"/>
    </row>
    <row r="2430" ht="14.25" customHeight="1" s="40">
      <c r="A2430" s="24" t="n"/>
      <c r="B2430" s="27" t="n"/>
      <c r="C2430" s="24" t="n"/>
      <c r="D2430" s="28" t="n"/>
      <c r="E2430" s="29" t="n"/>
      <c r="F2430" s="24" t="n"/>
      <c r="G2430" s="24" t="n"/>
      <c r="H2430" s="21">
        <f>IF(ISNUMBER($B2430),INT($B2430)-WEEKDAY($B2430,2)+1,"")</f>
        <v/>
      </c>
      <c r="I2430" s="24" t="n"/>
      <c r="J2430" s="22">
        <f t="array" ref="J2430">IF($D2430="","",IF($I2430="","(trống REF)",IFERROR(INDEX(MASTER_SOURCE!$B$2:$B$495,MATCH($I2430,MASTER_SOURCE!$A$2:$A$495,0)),"(REF không có trong MASTER_SOURCE)")))</f>
        <v/>
      </c>
      <c r="K2430" s="22">
        <f t="array" ref="K2430">IF($D2430="","",IFERROR(INDEX(MASTER_SOURCE!$C$2:$C$495,MATCH($I2430,MASTER_SOURCE!$A$2:$A$495,0)),""))</f>
        <v/>
      </c>
      <c r="L2430" s="22">
        <f t="array" ref="L2430">IF($D2430="","",IFERROR(INDEX(MASTER_SOURCE!$D$2:$D$495,MATCH($I2430,MASTER_SOURCE!$A$2:$A$495,0)),""))</f>
        <v/>
      </c>
      <c r="M2430" s="24" t="n"/>
      <c r="N2430" s="24" t="n"/>
      <c r="O2430" s="24" t="n"/>
      <c r="P2430" s="24" t="n"/>
      <c r="Q2430" s="22">
        <f>IF($D2430="","",IF(AND(OR(DANH_MUC!$L$5&lt;&gt;"Có",M2430="Có"),OR(DANH_MUC!$L$6&lt;&gt;"Có",N2430="Có"),OR(DANH_MUC!$L$7&lt;&gt;"Có",O2430="Có"),OR(DANH_MUC!$L$8&lt;&gt;"Có",P2430="Có")),"Có","Không"))</f>
        <v/>
      </c>
      <c r="R2430" s="22">
        <f>IF($D2430="","",IF(COUNTIF($D$2:$D2430,$D2430)&gt;1,"Trùng",""))</f>
        <v/>
      </c>
      <c r="S2430" s="22">
        <f>IF($D2430="","",IF(AND(LEN($D2430)=10,LEFT($D2430,1)="0",ISNUMBER(--$D2430)),"Có","Không"))</f>
        <v/>
      </c>
      <c r="T2430" s="22">
        <f>IF($D2430="","",IF(AND($C2430&lt;&gt;"",$Q2430="Có",$R2430="",$S2430="Có",AND($L2430&lt;&gt;"",OR($L2430&lt;&gt;"Chưa xác định",DANH_MUC!$L$9="Có"))),"Có","Không"))</f>
        <v/>
      </c>
      <c r="U2430" s="22">
        <f>IF(OR($D2430="",$T2430="Có"),"",IF($C2430="","Thiếu họ tên; ","")&amp;IF($S2430&lt;&gt;"Có","SĐT sai định dạng; ","")&amp;IF($R2430="Trùng","Trùng SĐT; ","")&amp;IF($Q2430&lt;&gt;"Có","Thiếu đồng ý bắt buộc; ","")&amp;IF($L2430="","Thiếu/sai Mã REF; ",IF(AND($L2430="Chưa xác định",DANH_MUC!$L$9&lt;&gt;"Có"),"Nguồn chưa xác định; ","")))</f>
        <v/>
      </c>
      <c r="V2430" s="22">
        <f>IF(OR($D2430="",$R2430="Trùng"),"",IF(COUNTIF(ORDERS!$C$2:$C$4995,$D2430)&gt;0,"Có","Không"))</f>
        <v/>
      </c>
      <c r="W2430" s="22">
        <f>IF(OR($D2430="",$R2430="Trùng"),"",COUNTIFS(ORDERS!$C$2:$C$4995,$D2430,ORDERS!$L$2:$L$4995,"Đã chuyển khoản"))</f>
        <v/>
      </c>
      <c r="X2430" s="23">
        <f>IF(OR($D2430="",$R2430="Trùng"),"",SUMIFS(ORDERS!$J$2:$J$4995,ORDERS!$C$2:$C$4995,$D2430,ORDERS!$L$2:$L$4995,"Đã chuyển khoản"))</f>
        <v/>
      </c>
      <c r="Y2430" s="24" t="n"/>
    </row>
    <row r="2431" ht="14.25" customHeight="1" s="40">
      <c r="A2431" s="24" t="n"/>
      <c r="B2431" s="27" t="n"/>
      <c r="C2431" s="24" t="n"/>
      <c r="D2431" s="28" t="n"/>
      <c r="E2431" s="29" t="n"/>
      <c r="F2431" s="24" t="n"/>
      <c r="G2431" s="24" t="n"/>
      <c r="H2431" s="21">
        <f>IF(ISNUMBER($B2431),INT($B2431)-WEEKDAY($B2431,2)+1,"")</f>
        <v/>
      </c>
      <c r="I2431" s="24" t="n"/>
      <c r="J2431" s="22">
        <f t="array" ref="J2431">IF($D2431="","",IF($I2431="","(trống REF)",IFERROR(INDEX(MASTER_SOURCE!$B$2:$B$495,MATCH($I2431,MASTER_SOURCE!$A$2:$A$495,0)),"(REF không có trong MASTER_SOURCE)")))</f>
        <v/>
      </c>
      <c r="K2431" s="22">
        <f t="array" ref="K2431">IF($D2431="","",IFERROR(INDEX(MASTER_SOURCE!$C$2:$C$495,MATCH($I2431,MASTER_SOURCE!$A$2:$A$495,0)),""))</f>
        <v/>
      </c>
      <c r="L2431" s="22">
        <f t="array" ref="L2431">IF($D2431="","",IFERROR(INDEX(MASTER_SOURCE!$D$2:$D$495,MATCH($I2431,MASTER_SOURCE!$A$2:$A$495,0)),""))</f>
        <v/>
      </c>
      <c r="M2431" s="24" t="n"/>
      <c r="N2431" s="24" t="n"/>
      <c r="O2431" s="24" t="n"/>
      <c r="P2431" s="24" t="n"/>
      <c r="Q2431" s="22">
        <f>IF($D2431="","",IF(AND(OR(DANH_MUC!$L$5&lt;&gt;"Có",M2431="Có"),OR(DANH_MUC!$L$6&lt;&gt;"Có",N2431="Có"),OR(DANH_MUC!$L$7&lt;&gt;"Có",O2431="Có"),OR(DANH_MUC!$L$8&lt;&gt;"Có",P2431="Có")),"Có","Không"))</f>
        <v/>
      </c>
      <c r="R2431" s="22">
        <f>IF($D2431="","",IF(COUNTIF($D$2:$D2431,$D2431)&gt;1,"Trùng",""))</f>
        <v/>
      </c>
      <c r="S2431" s="22">
        <f>IF($D2431="","",IF(AND(LEN($D2431)=10,LEFT($D2431,1)="0",ISNUMBER(--$D2431)),"Có","Không"))</f>
        <v/>
      </c>
      <c r="T2431" s="22">
        <f>IF($D2431="","",IF(AND($C2431&lt;&gt;"",$Q2431="Có",$R2431="",$S2431="Có",AND($L2431&lt;&gt;"",OR($L2431&lt;&gt;"Chưa xác định",DANH_MUC!$L$9="Có"))),"Có","Không"))</f>
        <v/>
      </c>
      <c r="U2431" s="22">
        <f>IF(OR($D2431="",$T2431="Có"),"",IF($C2431="","Thiếu họ tên; ","")&amp;IF($S2431&lt;&gt;"Có","SĐT sai định dạng; ","")&amp;IF($R2431="Trùng","Trùng SĐT; ","")&amp;IF($Q2431&lt;&gt;"Có","Thiếu đồng ý bắt buộc; ","")&amp;IF($L2431="","Thiếu/sai Mã REF; ",IF(AND($L2431="Chưa xác định",DANH_MUC!$L$9&lt;&gt;"Có"),"Nguồn chưa xác định; ","")))</f>
        <v/>
      </c>
      <c r="V2431" s="22">
        <f>IF(OR($D2431="",$R2431="Trùng"),"",IF(COUNTIF(ORDERS!$C$2:$C$4995,$D2431)&gt;0,"Có","Không"))</f>
        <v/>
      </c>
      <c r="W2431" s="22">
        <f>IF(OR($D2431="",$R2431="Trùng"),"",COUNTIFS(ORDERS!$C$2:$C$4995,$D2431,ORDERS!$L$2:$L$4995,"Đã chuyển khoản"))</f>
        <v/>
      </c>
      <c r="X2431" s="23">
        <f>IF(OR($D2431="",$R2431="Trùng"),"",SUMIFS(ORDERS!$J$2:$J$4995,ORDERS!$C$2:$C$4995,$D2431,ORDERS!$L$2:$L$4995,"Đã chuyển khoản"))</f>
        <v/>
      </c>
      <c r="Y2431" s="24" t="n"/>
    </row>
    <row r="2432" ht="14.25" customHeight="1" s="40">
      <c r="A2432" s="24" t="n"/>
      <c r="B2432" s="27" t="n"/>
      <c r="C2432" s="24" t="n"/>
      <c r="D2432" s="28" t="n"/>
      <c r="E2432" s="29" t="n"/>
      <c r="F2432" s="24" t="n"/>
      <c r="G2432" s="24" t="n"/>
      <c r="H2432" s="21">
        <f>IF(ISNUMBER($B2432),INT($B2432)-WEEKDAY($B2432,2)+1,"")</f>
        <v/>
      </c>
      <c r="I2432" s="24" t="n"/>
      <c r="J2432" s="22">
        <f t="array" ref="J2432">IF($D2432="","",IF($I2432="","(trống REF)",IFERROR(INDEX(MASTER_SOURCE!$B$2:$B$495,MATCH($I2432,MASTER_SOURCE!$A$2:$A$495,0)),"(REF không có trong MASTER_SOURCE)")))</f>
        <v/>
      </c>
      <c r="K2432" s="22">
        <f t="array" ref="K2432">IF($D2432="","",IFERROR(INDEX(MASTER_SOURCE!$C$2:$C$495,MATCH($I2432,MASTER_SOURCE!$A$2:$A$495,0)),""))</f>
        <v/>
      </c>
      <c r="L2432" s="22">
        <f t="array" ref="L2432">IF($D2432="","",IFERROR(INDEX(MASTER_SOURCE!$D$2:$D$495,MATCH($I2432,MASTER_SOURCE!$A$2:$A$495,0)),""))</f>
        <v/>
      </c>
      <c r="M2432" s="24" t="n"/>
      <c r="N2432" s="24" t="n"/>
      <c r="O2432" s="24" t="n"/>
      <c r="P2432" s="24" t="n"/>
      <c r="Q2432" s="22">
        <f>IF($D2432="","",IF(AND(OR(DANH_MUC!$L$5&lt;&gt;"Có",M2432="Có"),OR(DANH_MUC!$L$6&lt;&gt;"Có",N2432="Có"),OR(DANH_MUC!$L$7&lt;&gt;"Có",O2432="Có"),OR(DANH_MUC!$L$8&lt;&gt;"Có",P2432="Có")),"Có","Không"))</f>
        <v/>
      </c>
      <c r="R2432" s="22">
        <f>IF($D2432="","",IF(COUNTIF($D$2:$D2432,$D2432)&gt;1,"Trùng",""))</f>
        <v/>
      </c>
      <c r="S2432" s="22">
        <f>IF($D2432="","",IF(AND(LEN($D2432)=10,LEFT($D2432,1)="0",ISNUMBER(--$D2432)),"Có","Không"))</f>
        <v/>
      </c>
      <c r="T2432" s="22">
        <f>IF($D2432="","",IF(AND($C2432&lt;&gt;"",$Q2432="Có",$R2432="",$S2432="Có",AND($L2432&lt;&gt;"",OR($L2432&lt;&gt;"Chưa xác định",DANH_MUC!$L$9="Có"))),"Có","Không"))</f>
        <v/>
      </c>
      <c r="U2432" s="22">
        <f>IF(OR($D2432="",$T2432="Có"),"",IF($C2432="","Thiếu họ tên; ","")&amp;IF($S2432&lt;&gt;"Có","SĐT sai định dạng; ","")&amp;IF($R2432="Trùng","Trùng SĐT; ","")&amp;IF($Q2432&lt;&gt;"Có","Thiếu đồng ý bắt buộc; ","")&amp;IF($L2432="","Thiếu/sai Mã REF; ",IF(AND($L2432="Chưa xác định",DANH_MUC!$L$9&lt;&gt;"Có"),"Nguồn chưa xác định; ","")))</f>
        <v/>
      </c>
      <c r="V2432" s="22">
        <f>IF(OR($D2432="",$R2432="Trùng"),"",IF(COUNTIF(ORDERS!$C$2:$C$4995,$D2432)&gt;0,"Có","Không"))</f>
        <v/>
      </c>
      <c r="W2432" s="22">
        <f>IF(OR($D2432="",$R2432="Trùng"),"",COUNTIFS(ORDERS!$C$2:$C$4995,$D2432,ORDERS!$L$2:$L$4995,"Đã chuyển khoản"))</f>
        <v/>
      </c>
      <c r="X2432" s="23">
        <f>IF(OR($D2432="",$R2432="Trùng"),"",SUMIFS(ORDERS!$J$2:$J$4995,ORDERS!$C$2:$C$4995,$D2432,ORDERS!$L$2:$L$4995,"Đã chuyển khoản"))</f>
        <v/>
      </c>
      <c r="Y2432" s="24" t="n"/>
    </row>
    <row r="2433" ht="14.25" customHeight="1" s="40">
      <c r="A2433" s="24" t="n"/>
      <c r="B2433" s="27" t="n"/>
      <c r="C2433" s="24" t="n"/>
      <c r="D2433" s="28" t="n"/>
      <c r="E2433" s="29" t="n"/>
      <c r="F2433" s="24" t="n"/>
      <c r="G2433" s="24" t="n"/>
      <c r="H2433" s="21">
        <f>IF(ISNUMBER($B2433),INT($B2433)-WEEKDAY($B2433,2)+1,"")</f>
        <v/>
      </c>
      <c r="I2433" s="24" t="n"/>
      <c r="J2433" s="22">
        <f t="array" ref="J2433">IF($D2433="","",IF($I2433="","(trống REF)",IFERROR(INDEX(MASTER_SOURCE!$B$2:$B$495,MATCH($I2433,MASTER_SOURCE!$A$2:$A$495,0)),"(REF không có trong MASTER_SOURCE)")))</f>
        <v/>
      </c>
      <c r="K2433" s="22">
        <f t="array" ref="K2433">IF($D2433="","",IFERROR(INDEX(MASTER_SOURCE!$C$2:$C$495,MATCH($I2433,MASTER_SOURCE!$A$2:$A$495,0)),""))</f>
        <v/>
      </c>
      <c r="L2433" s="22">
        <f t="array" ref="L2433">IF($D2433="","",IFERROR(INDEX(MASTER_SOURCE!$D$2:$D$495,MATCH($I2433,MASTER_SOURCE!$A$2:$A$495,0)),""))</f>
        <v/>
      </c>
      <c r="M2433" s="24" t="n"/>
      <c r="N2433" s="24" t="n"/>
      <c r="O2433" s="24" t="n"/>
      <c r="P2433" s="24" t="n"/>
      <c r="Q2433" s="22">
        <f>IF($D2433="","",IF(AND(OR(DANH_MUC!$L$5&lt;&gt;"Có",M2433="Có"),OR(DANH_MUC!$L$6&lt;&gt;"Có",N2433="Có"),OR(DANH_MUC!$L$7&lt;&gt;"Có",O2433="Có"),OR(DANH_MUC!$L$8&lt;&gt;"Có",P2433="Có")),"Có","Không"))</f>
        <v/>
      </c>
      <c r="R2433" s="22">
        <f>IF($D2433="","",IF(COUNTIF($D$2:$D2433,$D2433)&gt;1,"Trùng",""))</f>
        <v/>
      </c>
      <c r="S2433" s="22">
        <f>IF($D2433="","",IF(AND(LEN($D2433)=10,LEFT($D2433,1)="0",ISNUMBER(--$D2433)),"Có","Không"))</f>
        <v/>
      </c>
      <c r="T2433" s="22">
        <f>IF($D2433="","",IF(AND($C2433&lt;&gt;"",$Q2433="Có",$R2433="",$S2433="Có",AND($L2433&lt;&gt;"",OR($L2433&lt;&gt;"Chưa xác định",DANH_MUC!$L$9="Có"))),"Có","Không"))</f>
        <v/>
      </c>
      <c r="U2433" s="22">
        <f>IF(OR($D2433="",$T2433="Có"),"",IF($C2433="","Thiếu họ tên; ","")&amp;IF($S2433&lt;&gt;"Có","SĐT sai định dạng; ","")&amp;IF($R2433="Trùng","Trùng SĐT; ","")&amp;IF($Q2433&lt;&gt;"Có","Thiếu đồng ý bắt buộc; ","")&amp;IF($L2433="","Thiếu/sai Mã REF; ",IF(AND($L2433="Chưa xác định",DANH_MUC!$L$9&lt;&gt;"Có"),"Nguồn chưa xác định; ","")))</f>
        <v/>
      </c>
      <c r="V2433" s="22">
        <f>IF(OR($D2433="",$R2433="Trùng"),"",IF(COUNTIF(ORDERS!$C$2:$C$4995,$D2433)&gt;0,"Có","Không"))</f>
        <v/>
      </c>
      <c r="W2433" s="22">
        <f>IF(OR($D2433="",$R2433="Trùng"),"",COUNTIFS(ORDERS!$C$2:$C$4995,$D2433,ORDERS!$L$2:$L$4995,"Đã chuyển khoản"))</f>
        <v/>
      </c>
      <c r="X2433" s="23">
        <f>IF(OR($D2433="",$R2433="Trùng"),"",SUMIFS(ORDERS!$J$2:$J$4995,ORDERS!$C$2:$C$4995,$D2433,ORDERS!$L$2:$L$4995,"Đã chuyển khoản"))</f>
        <v/>
      </c>
      <c r="Y2433" s="24" t="n"/>
    </row>
    <row r="2434" ht="14.25" customHeight="1" s="40">
      <c r="A2434" s="24" t="n"/>
      <c r="B2434" s="27" t="n"/>
      <c r="C2434" s="24" t="n"/>
      <c r="D2434" s="28" t="n"/>
      <c r="E2434" s="29" t="n"/>
      <c r="F2434" s="24" t="n"/>
      <c r="G2434" s="24" t="n"/>
      <c r="H2434" s="21">
        <f>IF(ISNUMBER($B2434),INT($B2434)-WEEKDAY($B2434,2)+1,"")</f>
        <v/>
      </c>
      <c r="I2434" s="24" t="n"/>
      <c r="J2434" s="22">
        <f t="array" ref="J2434">IF($D2434="","",IF($I2434="","(trống REF)",IFERROR(INDEX(MASTER_SOURCE!$B$2:$B$495,MATCH($I2434,MASTER_SOURCE!$A$2:$A$495,0)),"(REF không có trong MASTER_SOURCE)")))</f>
        <v/>
      </c>
      <c r="K2434" s="22">
        <f t="array" ref="K2434">IF($D2434="","",IFERROR(INDEX(MASTER_SOURCE!$C$2:$C$495,MATCH($I2434,MASTER_SOURCE!$A$2:$A$495,0)),""))</f>
        <v/>
      </c>
      <c r="L2434" s="22">
        <f t="array" ref="L2434">IF($D2434="","",IFERROR(INDEX(MASTER_SOURCE!$D$2:$D$495,MATCH($I2434,MASTER_SOURCE!$A$2:$A$495,0)),""))</f>
        <v/>
      </c>
      <c r="M2434" s="24" t="n"/>
      <c r="N2434" s="24" t="n"/>
      <c r="O2434" s="24" t="n"/>
      <c r="P2434" s="24" t="n"/>
      <c r="Q2434" s="22">
        <f>IF($D2434="","",IF(AND(OR(DANH_MUC!$L$5&lt;&gt;"Có",M2434="Có"),OR(DANH_MUC!$L$6&lt;&gt;"Có",N2434="Có"),OR(DANH_MUC!$L$7&lt;&gt;"Có",O2434="Có"),OR(DANH_MUC!$L$8&lt;&gt;"Có",P2434="Có")),"Có","Không"))</f>
        <v/>
      </c>
      <c r="R2434" s="22">
        <f>IF($D2434="","",IF(COUNTIF($D$2:$D2434,$D2434)&gt;1,"Trùng",""))</f>
        <v/>
      </c>
      <c r="S2434" s="22">
        <f>IF($D2434="","",IF(AND(LEN($D2434)=10,LEFT($D2434,1)="0",ISNUMBER(--$D2434)),"Có","Không"))</f>
        <v/>
      </c>
      <c r="T2434" s="22">
        <f>IF($D2434="","",IF(AND($C2434&lt;&gt;"",$Q2434="Có",$R2434="",$S2434="Có",AND($L2434&lt;&gt;"",OR($L2434&lt;&gt;"Chưa xác định",DANH_MUC!$L$9="Có"))),"Có","Không"))</f>
        <v/>
      </c>
      <c r="U2434" s="22">
        <f>IF(OR($D2434="",$T2434="Có"),"",IF($C2434="","Thiếu họ tên; ","")&amp;IF($S2434&lt;&gt;"Có","SĐT sai định dạng; ","")&amp;IF($R2434="Trùng","Trùng SĐT; ","")&amp;IF($Q2434&lt;&gt;"Có","Thiếu đồng ý bắt buộc; ","")&amp;IF($L2434="","Thiếu/sai Mã REF; ",IF(AND($L2434="Chưa xác định",DANH_MUC!$L$9&lt;&gt;"Có"),"Nguồn chưa xác định; ","")))</f>
        <v/>
      </c>
      <c r="V2434" s="22">
        <f>IF(OR($D2434="",$R2434="Trùng"),"",IF(COUNTIF(ORDERS!$C$2:$C$4995,$D2434)&gt;0,"Có","Không"))</f>
        <v/>
      </c>
      <c r="W2434" s="22">
        <f>IF(OR($D2434="",$R2434="Trùng"),"",COUNTIFS(ORDERS!$C$2:$C$4995,$D2434,ORDERS!$L$2:$L$4995,"Đã chuyển khoản"))</f>
        <v/>
      </c>
      <c r="X2434" s="23">
        <f>IF(OR($D2434="",$R2434="Trùng"),"",SUMIFS(ORDERS!$J$2:$J$4995,ORDERS!$C$2:$C$4995,$D2434,ORDERS!$L$2:$L$4995,"Đã chuyển khoản"))</f>
        <v/>
      </c>
      <c r="Y2434" s="24" t="n"/>
    </row>
    <row r="2435" ht="14.25" customHeight="1" s="40">
      <c r="A2435" s="24" t="n"/>
      <c r="B2435" s="27" t="n"/>
      <c r="C2435" s="24" t="n"/>
      <c r="D2435" s="28" t="n"/>
      <c r="E2435" s="29" t="n"/>
      <c r="F2435" s="24" t="n"/>
      <c r="G2435" s="24" t="n"/>
      <c r="H2435" s="21">
        <f>IF(ISNUMBER($B2435),INT($B2435)-WEEKDAY($B2435,2)+1,"")</f>
        <v/>
      </c>
      <c r="I2435" s="24" t="n"/>
      <c r="J2435" s="22">
        <f t="array" ref="J2435">IF($D2435="","",IF($I2435="","(trống REF)",IFERROR(INDEX(MASTER_SOURCE!$B$2:$B$495,MATCH($I2435,MASTER_SOURCE!$A$2:$A$495,0)),"(REF không có trong MASTER_SOURCE)")))</f>
        <v/>
      </c>
      <c r="K2435" s="22">
        <f t="array" ref="K2435">IF($D2435="","",IFERROR(INDEX(MASTER_SOURCE!$C$2:$C$495,MATCH($I2435,MASTER_SOURCE!$A$2:$A$495,0)),""))</f>
        <v/>
      </c>
      <c r="L2435" s="22">
        <f t="array" ref="L2435">IF($D2435="","",IFERROR(INDEX(MASTER_SOURCE!$D$2:$D$495,MATCH($I2435,MASTER_SOURCE!$A$2:$A$495,0)),""))</f>
        <v/>
      </c>
      <c r="M2435" s="24" t="n"/>
      <c r="N2435" s="24" t="n"/>
      <c r="O2435" s="24" t="n"/>
      <c r="P2435" s="24" t="n"/>
      <c r="Q2435" s="22">
        <f>IF($D2435="","",IF(AND(OR(DANH_MUC!$L$5&lt;&gt;"Có",M2435="Có"),OR(DANH_MUC!$L$6&lt;&gt;"Có",N2435="Có"),OR(DANH_MUC!$L$7&lt;&gt;"Có",O2435="Có"),OR(DANH_MUC!$L$8&lt;&gt;"Có",P2435="Có")),"Có","Không"))</f>
        <v/>
      </c>
      <c r="R2435" s="22">
        <f>IF($D2435="","",IF(COUNTIF($D$2:$D2435,$D2435)&gt;1,"Trùng",""))</f>
        <v/>
      </c>
      <c r="S2435" s="22">
        <f>IF($D2435="","",IF(AND(LEN($D2435)=10,LEFT($D2435,1)="0",ISNUMBER(--$D2435)),"Có","Không"))</f>
        <v/>
      </c>
      <c r="T2435" s="22">
        <f>IF($D2435="","",IF(AND($C2435&lt;&gt;"",$Q2435="Có",$R2435="",$S2435="Có",AND($L2435&lt;&gt;"",OR($L2435&lt;&gt;"Chưa xác định",DANH_MUC!$L$9="Có"))),"Có","Không"))</f>
        <v/>
      </c>
      <c r="U2435" s="22">
        <f>IF(OR($D2435="",$T2435="Có"),"",IF($C2435="","Thiếu họ tên; ","")&amp;IF($S2435&lt;&gt;"Có","SĐT sai định dạng; ","")&amp;IF($R2435="Trùng","Trùng SĐT; ","")&amp;IF($Q2435&lt;&gt;"Có","Thiếu đồng ý bắt buộc; ","")&amp;IF($L2435="","Thiếu/sai Mã REF; ",IF(AND($L2435="Chưa xác định",DANH_MUC!$L$9&lt;&gt;"Có"),"Nguồn chưa xác định; ","")))</f>
        <v/>
      </c>
      <c r="V2435" s="22">
        <f>IF(OR($D2435="",$R2435="Trùng"),"",IF(COUNTIF(ORDERS!$C$2:$C$4995,$D2435)&gt;0,"Có","Không"))</f>
        <v/>
      </c>
      <c r="W2435" s="22">
        <f>IF(OR($D2435="",$R2435="Trùng"),"",COUNTIFS(ORDERS!$C$2:$C$4995,$D2435,ORDERS!$L$2:$L$4995,"Đã chuyển khoản"))</f>
        <v/>
      </c>
      <c r="X2435" s="23">
        <f>IF(OR($D2435="",$R2435="Trùng"),"",SUMIFS(ORDERS!$J$2:$J$4995,ORDERS!$C$2:$C$4995,$D2435,ORDERS!$L$2:$L$4995,"Đã chuyển khoản"))</f>
        <v/>
      </c>
      <c r="Y2435" s="24" t="n"/>
    </row>
    <row r="2436" ht="14.25" customHeight="1" s="40">
      <c r="A2436" s="24" t="n"/>
      <c r="B2436" s="27" t="n"/>
      <c r="C2436" s="24" t="n"/>
      <c r="D2436" s="28" t="n"/>
      <c r="E2436" s="29" t="n"/>
      <c r="F2436" s="24" t="n"/>
      <c r="G2436" s="24" t="n"/>
      <c r="H2436" s="21">
        <f>IF(ISNUMBER($B2436),INT($B2436)-WEEKDAY($B2436,2)+1,"")</f>
        <v/>
      </c>
      <c r="I2436" s="24" t="n"/>
      <c r="J2436" s="22">
        <f t="array" ref="J2436">IF($D2436="","",IF($I2436="","(trống REF)",IFERROR(INDEX(MASTER_SOURCE!$B$2:$B$495,MATCH($I2436,MASTER_SOURCE!$A$2:$A$495,0)),"(REF không có trong MASTER_SOURCE)")))</f>
        <v/>
      </c>
      <c r="K2436" s="22">
        <f t="array" ref="K2436">IF($D2436="","",IFERROR(INDEX(MASTER_SOURCE!$C$2:$C$495,MATCH($I2436,MASTER_SOURCE!$A$2:$A$495,0)),""))</f>
        <v/>
      </c>
      <c r="L2436" s="22">
        <f t="array" ref="L2436">IF($D2436="","",IFERROR(INDEX(MASTER_SOURCE!$D$2:$D$495,MATCH($I2436,MASTER_SOURCE!$A$2:$A$495,0)),""))</f>
        <v/>
      </c>
      <c r="M2436" s="24" t="n"/>
      <c r="N2436" s="24" t="n"/>
      <c r="O2436" s="24" t="n"/>
      <c r="P2436" s="24" t="n"/>
      <c r="Q2436" s="22">
        <f>IF($D2436="","",IF(AND(OR(DANH_MUC!$L$5&lt;&gt;"Có",M2436="Có"),OR(DANH_MUC!$L$6&lt;&gt;"Có",N2436="Có"),OR(DANH_MUC!$L$7&lt;&gt;"Có",O2436="Có"),OR(DANH_MUC!$L$8&lt;&gt;"Có",P2436="Có")),"Có","Không"))</f>
        <v/>
      </c>
      <c r="R2436" s="22">
        <f>IF($D2436="","",IF(COUNTIF($D$2:$D2436,$D2436)&gt;1,"Trùng",""))</f>
        <v/>
      </c>
      <c r="S2436" s="22">
        <f>IF($D2436="","",IF(AND(LEN($D2436)=10,LEFT($D2436,1)="0",ISNUMBER(--$D2436)),"Có","Không"))</f>
        <v/>
      </c>
      <c r="T2436" s="22">
        <f>IF($D2436="","",IF(AND($C2436&lt;&gt;"",$Q2436="Có",$R2436="",$S2436="Có",AND($L2436&lt;&gt;"",OR($L2436&lt;&gt;"Chưa xác định",DANH_MUC!$L$9="Có"))),"Có","Không"))</f>
        <v/>
      </c>
      <c r="U2436" s="22">
        <f>IF(OR($D2436="",$T2436="Có"),"",IF($C2436="","Thiếu họ tên; ","")&amp;IF($S2436&lt;&gt;"Có","SĐT sai định dạng; ","")&amp;IF($R2436="Trùng","Trùng SĐT; ","")&amp;IF($Q2436&lt;&gt;"Có","Thiếu đồng ý bắt buộc; ","")&amp;IF($L2436="","Thiếu/sai Mã REF; ",IF(AND($L2436="Chưa xác định",DANH_MUC!$L$9&lt;&gt;"Có"),"Nguồn chưa xác định; ","")))</f>
        <v/>
      </c>
      <c r="V2436" s="22">
        <f>IF(OR($D2436="",$R2436="Trùng"),"",IF(COUNTIF(ORDERS!$C$2:$C$4995,$D2436)&gt;0,"Có","Không"))</f>
        <v/>
      </c>
      <c r="W2436" s="22">
        <f>IF(OR($D2436="",$R2436="Trùng"),"",COUNTIFS(ORDERS!$C$2:$C$4995,$D2436,ORDERS!$L$2:$L$4995,"Đã chuyển khoản"))</f>
        <v/>
      </c>
      <c r="X2436" s="23">
        <f>IF(OR($D2436="",$R2436="Trùng"),"",SUMIFS(ORDERS!$J$2:$J$4995,ORDERS!$C$2:$C$4995,$D2436,ORDERS!$L$2:$L$4995,"Đã chuyển khoản"))</f>
        <v/>
      </c>
      <c r="Y2436" s="24" t="n"/>
    </row>
    <row r="2437" ht="14.25" customHeight="1" s="40">
      <c r="A2437" s="24" t="n"/>
      <c r="B2437" s="27" t="n"/>
      <c r="C2437" s="24" t="n"/>
      <c r="D2437" s="28" t="n"/>
      <c r="E2437" s="29" t="n"/>
      <c r="F2437" s="24" t="n"/>
      <c r="G2437" s="24" t="n"/>
      <c r="H2437" s="21">
        <f>IF(ISNUMBER($B2437),INT($B2437)-WEEKDAY($B2437,2)+1,"")</f>
        <v/>
      </c>
      <c r="I2437" s="24" t="n"/>
      <c r="J2437" s="22">
        <f t="array" ref="J2437">IF($D2437="","",IF($I2437="","(trống REF)",IFERROR(INDEX(MASTER_SOURCE!$B$2:$B$495,MATCH($I2437,MASTER_SOURCE!$A$2:$A$495,0)),"(REF không có trong MASTER_SOURCE)")))</f>
        <v/>
      </c>
      <c r="K2437" s="22">
        <f t="array" ref="K2437">IF($D2437="","",IFERROR(INDEX(MASTER_SOURCE!$C$2:$C$495,MATCH($I2437,MASTER_SOURCE!$A$2:$A$495,0)),""))</f>
        <v/>
      </c>
      <c r="L2437" s="22">
        <f t="array" ref="L2437">IF($D2437="","",IFERROR(INDEX(MASTER_SOURCE!$D$2:$D$495,MATCH($I2437,MASTER_SOURCE!$A$2:$A$495,0)),""))</f>
        <v/>
      </c>
      <c r="M2437" s="24" t="n"/>
      <c r="N2437" s="24" t="n"/>
      <c r="O2437" s="24" t="n"/>
      <c r="P2437" s="24" t="n"/>
      <c r="Q2437" s="22">
        <f>IF($D2437="","",IF(AND(OR(DANH_MUC!$L$5&lt;&gt;"Có",M2437="Có"),OR(DANH_MUC!$L$6&lt;&gt;"Có",N2437="Có"),OR(DANH_MUC!$L$7&lt;&gt;"Có",O2437="Có"),OR(DANH_MUC!$L$8&lt;&gt;"Có",P2437="Có")),"Có","Không"))</f>
        <v/>
      </c>
      <c r="R2437" s="22">
        <f>IF($D2437="","",IF(COUNTIF($D$2:$D2437,$D2437)&gt;1,"Trùng",""))</f>
        <v/>
      </c>
      <c r="S2437" s="22">
        <f>IF($D2437="","",IF(AND(LEN($D2437)=10,LEFT($D2437,1)="0",ISNUMBER(--$D2437)),"Có","Không"))</f>
        <v/>
      </c>
      <c r="T2437" s="22">
        <f>IF($D2437="","",IF(AND($C2437&lt;&gt;"",$Q2437="Có",$R2437="",$S2437="Có",AND($L2437&lt;&gt;"",OR($L2437&lt;&gt;"Chưa xác định",DANH_MUC!$L$9="Có"))),"Có","Không"))</f>
        <v/>
      </c>
      <c r="U2437" s="22">
        <f>IF(OR($D2437="",$T2437="Có"),"",IF($C2437="","Thiếu họ tên; ","")&amp;IF($S2437&lt;&gt;"Có","SĐT sai định dạng; ","")&amp;IF($R2437="Trùng","Trùng SĐT; ","")&amp;IF($Q2437&lt;&gt;"Có","Thiếu đồng ý bắt buộc; ","")&amp;IF($L2437="","Thiếu/sai Mã REF; ",IF(AND($L2437="Chưa xác định",DANH_MUC!$L$9&lt;&gt;"Có"),"Nguồn chưa xác định; ","")))</f>
        <v/>
      </c>
      <c r="V2437" s="22">
        <f>IF(OR($D2437="",$R2437="Trùng"),"",IF(COUNTIF(ORDERS!$C$2:$C$4995,$D2437)&gt;0,"Có","Không"))</f>
        <v/>
      </c>
      <c r="W2437" s="22">
        <f>IF(OR($D2437="",$R2437="Trùng"),"",COUNTIFS(ORDERS!$C$2:$C$4995,$D2437,ORDERS!$L$2:$L$4995,"Đã chuyển khoản"))</f>
        <v/>
      </c>
      <c r="X2437" s="23">
        <f>IF(OR($D2437="",$R2437="Trùng"),"",SUMIFS(ORDERS!$J$2:$J$4995,ORDERS!$C$2:$C$4995,$D2437,ORDERS!$L$2:$L$4995,"Đã chuyển khoản"))</f>
        <v/>
      </c>
      <c r="Y2437" s="24" t="n"/>
    </row>
    <row r="2438" ht="14.25" customHeight="1" s="40">
      <c r="A2438" s="24" t="n"/>
      <c r="B2438" s="27" t="n"/>
      <c r="C2438" s="24" t="n"/>
      <c r="D2438" s="28" t="n"/>
      <c r="E2438" s="29" t="n"/>
      <c r="F2438" s="24" t="n"/>
      <c r="G2438" s="24" t="n"/>
      <c r="H2438" s="21">
        <f>IF(ISNUMBER($B2438),INT($B2438)-WEEKDAY($B2438,2)+1,"")</f>
        <v/>
      </c>
      <c r="I2438" s="24" t="n"/>
      <c r="J2438" s="22">
        <f t="array" ref="J2438">IF($D2438="","",IF($I2438="","(trống REF)",IFERROR(INDEX(MASTER_SOURCE!$B$2:$B$495,MATCH($I2438,MASTER_SOURCE!$A$2:$A$495,0)),"(REF không có trong MASTER_SOURCE)")))</f>
        <v/>
      </c>
      <c r="K2438" s="22">
        <f t="array" ref="K2438">IF($D2438="","",IFERROR(INDEX(MASTER_SOURCE!$C$2:$C$495,MATCH($I2438,MASTER_SOURCE!$A$2:$A$495,0)),""))</f>
        <v/>
      </c>
      <c r="L2438" s="22">
        <f t="array" ref="L2438">IF($D2438="","",IFERROR(INDEX(MASTER_SOURCE!$D$2:$D$495,MATCH($I2438,MASTER_SOURCE!$A$2:$A$495,0)),""))</f>
        <v/>
      </c>
      <c r="M2438" s="24" t="n"/>
      <c r="N2438" s="24" t="n"/>
      <c r="O2438" s="24" t="n"/>
      <c r="P2438" s="24" t="n"/>
      <c r="Q2438" s="22">
        <f>IF($D2438="","",IF(AND(OR(DANH_MUC!$L$5&lt;&gt;"Có",M2438="Có"),OR(DANH_MUC!$L$6&lt;&gt;"Có",N2438="Có"),OR(DANH_MUC!$L$7&lt;&gt;"Có",O2438="Có"),OR(DANH_MUC!$L$8&lt;&gt;"Có",P2438="Có")),"Có","Không"))</f>
        <v/>
      </c>
      <c r="R2438" s="22">
        <f>IF($D2438="","",IF(COUNTIF($D$2:$D2438,$D2438)&gt;1,"Trùng",""))</f>
        <v/>
      </c>
      <c r="S2438" s="22">
        <f>IF($D2438="","",IF(AND(LEN($D2438)=10,LEFT($D2438,1)="0",ISNUMBER(--$D2438)),"Có","Không"))</f>
        <v/>
      </c>
      <c r="T2438" s="22">
        <f>IF($D2438="","",IF(AND($C2438&lt;&gt;"",$Q2438="Có",$R2438="",$S2438="Có",AND($L2438&lt;&gt;"",OR($L2438&lt;&gt;"Chưa xác định",DANH_MUC!$L$9="Có"))),"Có","Không"))</f>
        <v/>
      </c>
      <c r="U2438" s="22">
        <f>IF(OR($D2438="",$T2438="Có"),"",IF($C2438="","Thiếu họ tên; ","")&amp;IF($S2438&lt;&gt;"Có","SĐT sai định dạng; ","")&amp;IF($R2438="Trùng","Trùng SĐT; ","")&amp;IF($Q2438&lt;&gt;"Có","Thiếu đồng ý bắt buộc; ","")&amp;IF($L2438="","Thiếu/sai Mã REF; ",IF(AND($L2438="Chưa xác định",DANH_MUC!$L$9&lt;&gt;"Có"),"Nguồn chưa xác định; ","")))</f>
        <v/>
      </c>
      <c r="V2438" s="22">
        <f>IF(OR($D2438="",$R2438="Trùng"),"",IF(COUNTIF(ORDERS!$C$2:$C$4995,$D2438)&gt;0,"Có","Không"))</f>
        <v/>
      </c>
      <c r="W2438" s="22">
        <f>IF(OR($D2438="",$R2438="Trùng"),"",COUNTIFS(ORDERS!$C$2:$C$4995,$D2438,ORDERS!$L$2:$L$4995,"Đã chuyển khoản"))</f>
        <v/>
      </c>
      <c r="X2438" s="23">
        <f>IF(OR($D2438="",$R2438="Trùng"),"",SUMIFS(ORDERS!$J$2:$J$4995,ORDERS!$C$2:$C$4995,$D2438,ORDERS!$L$2:$L$4995,"Đã chuyển khoản"))</f>
        <v/>
      </c>
      <c r="Y2438" s="24" t="n"/>
    </row>
    <row r="2439" ht="14.25" customHeight="1" s="40">
      <c r="A2439" s="24" t="n"/>
      <c r="B2439" s="27" t="n"/>
      <c r="C2439" s="24" t="n"/>
      <c r="D2439" s="28" t="n"/>
      <c r="E2439" s="29" t="n"/>
      <c r="F2439" s="24" t="n"/>
      <c r="G2439" s="24" t="n"/>
      <c r="H2439" s="21">
        <f>IF(ISNUMBER($B2439),INT($B2439)-WEEKDAY($B2439,2)+1,"")</f>
        <v/>
      </c>
      <c r="I2439" s="24" t="n"/>
      <c r="J2439" s="22">
        <f t="array" ref="J2439">IF($D2439="","",IF($I2439="","(trống REF)",IFERROR(INDEX(MASTER_SOURCE!$B$2:$B$495,MATCH($I2439,MASTER_SOURCE!$A$2:$A$495,0)),"(REF không có trong MASTER_SOURCE)")))</f>
        <v/>
      </c>
      <c r="K2439" s="22">
        <f t="array" ref="K2439">IF($D2439="","",IFERROR(INDEX(MASTER_SOURCE!$C$2:$C$495,MATCH($I2439,MASTER_SOURCE!$A$2:$A$495,0)),""))</f>
        <v/>
      </c>
      <c r="L2439" s="22">
        <f t="array" ref="L2439">IF($D2439="","",IFERROR(INDEX(MASTER_SOURCE!$D$2:$D$495,MATCH($I2439,MASTER_SOURCE!$A$2:$A$495,0)),""))</f>
        <v/>
      </c>
      <c r="M2439" s="24" t="n"/>
      <c r="N2439" s="24" t="n"/>
      <c r="O2439" s="24" t="n"/>
      <c r="P2439" s="24" t="n"/>
      <c r="Q2439" s="22">
        <f>IF($D2439="","",IF(AND(OR(DANH_MUC!$L$5&lt;&gt;"Có",M2439="Có"),OR(DANH_MUC!$L$6&lt;&gt;"Có",N2439="Có"),OR(DANH_MUC!$L$7&lt;&gt;"Có",O2439="Có"),OR(DANH_MUC!$L$8&lt;&gt;"Có",P2439="Có")),"Có","Không"))</f>
        <v/>
      </c>
      <c r="R2439" s="22">
        <f>IF($D2439="","",IF(COUNTIF($D$2:$D2439,$D2439)&gt;1,"Trùng",""))</f>
        <v/>
      </c>
      <c r="S2439" s="22">
        <f>IF($D2439="","",IF(AND(LEN($D2439)=10,LEFT($D2439,1)="0",ISNUMBER(--$D2439)),"Có","Không"))</f>
        <v/>
      </c>
      <c r="T2439" s="22">
        <f>IF($D2439="","",IF(AND($C2439&lt;&gt;"",$Q2439="Có",$R2439="",$S2439="Có",AND($L2439&lt;&gt;"",OR($L2439&lt;&gt;"Chưa xác định",DANH_MUC!$L$9="Có"))),"Có","Không"))</f>
        <v/>
      </c>
      <c r="U2439" s="22">
        <f>IF(OR($D2439="",$T2439="Có"),"",IF($C2439="","Thiếu họ tên; ","")&amp;IF($S2439&lt;&gt;"Có","SĐT sai định dạng; ","")&amp;IF($R2439="Trùng","Trùng SĐT; ","")&amp;IF($Q2439&lt;&gt;"Có","Thiếu đồng ý bắt buộc; ","")&amp;IF($L2439="","Thiếu/sai Mã REF; ",IF(AND($L2439="Chưa xác định",DANH_MUC!$L$9&lt;&gt;"Có"),"Nguồn chưa xác định; ","")))</f>
        <v/>
      </c>
      <c r="V2439" s="22">
        <f>IF(OR($D2439="",$R2439="Trùng"),"",IF(COUNTIF(ORDERS!$C$2:$C$4995,$D2439)&gt;0,"Có","Không"))</f>
        <v/>
      </c>
      <c r="W2439" s="22">
        <f>IF(OR($D2439="",$R2439="Trùng"),"",COUNTIFS(ORDERS!$C$2:$C$4995,$D2439,ORDERS!$L$2:$L$4995,"Đã chuyển khoản"))</f>
        <v/>
      </c>
      <c r="X2439" s="23">
        <f>IF(OR($D2439="",$R2439="Trùng"),"",SUMIFS(ORDERS!$J$2:$J$4995,ORDERS!$C$2:$C$4995,$D2439,ORDERS!$L$2:$L$4995,"Đã chuyển khoản"))</f>
        <v/>
      </c>
      <c r="Y2439" s="24" t="n"/>
    </row>
    <row r="2440" ht="14.25" customHeight="1" s="40">
      <c r="A2440" s="24" t="n"/>
      <c r="B2440" s="27" t="n"/>
      <c r="C2440" s="24" t="n"/>
      <c r="D2440" s="28" t="n"/>
      <c r="E2440" s="29" t="n"/>
      <c r="F2440" s="24" t="n"/>
      <c r="G2440" s="24" t="n"/>
      <c r="H2440" s="21">
        <f>IF(ISNUMBER($B2440),INT($B2440)-WEEKDAY($B2440,2)+1,"")</f>
        <v/>
      </c>
      <c r="I2440" s="24" t="n"/>
      <c r="J2440" s="22">
        <f t="array" ref="J2440">IF($D2440="","",IF($I2440="","(trống REF)",IFERROR(INDEX(MASTER_SOURCE!$B$2:$B$495,MATCH($I2440,MASTER_SOURCE!$A$2:$A$495,0)),"(REF không có trong MASTER_SOURCE)")))</f>
        <v/>
      </c>
      <c r="K2440" s="22">
        <f t="array" ref="K2440">IF($D2440="","",IFERROR(INDEX(MASTER_SOURCE!$C$2:$C$495,MATCH($I2440,MASTER_SOURCE!$A$2:$A$495,0)),""))</f>
        <v/>
      </c>
      <c r="L2440" s="22">
        <f t="array" ref="L2440">IF($D2440="","",IFERROR(INDEX(MASTER_SOURCE!$D$2:$D$495,MATCH($I2440,MASTER_SOURCE!$A$2:$A$495,0)),""))</f>
        <v/>
      </c>
      <c r="M2440" s="24" t="n"/>
      <c r="N2440" s="24" t="n"/>
      <c r="O2440" s="24" t="n"/>
      <c r="P2440" s="24" t="n"/>
      <c r="Q2440" s="22">
        <f>IF($D2440="","",IF(AND(OR(DANH_MUC!$L$5&lt;&gt;"Có",M2440="Có"),OR(DANH_MUC!$L$6&lt;&gt;"Có",N2440="Có"),OR(DANH_MUC!$L$7&lt;&gt;"Có",O2440="Có"),OR(DANH_MUC!$L$8&lt;&gt;"Có",P2440="Có")),"Có","Không"))</f>
        <v/>
      </c>
      <c r="R2440" s="22">
        <f>IF($D2440="","",IF(COUNTIF($D$2:$D2440,$D2440)&gt;1,"Trùng",""))</f>
        <v/>
      </c>
      <c r="S2440" s="22">
        <f>IF($D2440="","",IF(AND(LEN($D2440)=10,LEFT($D2440,1)="0",ISNUMBER(--$D2440)),"Có","Không"))</f>
        <v/>
      </c>
      <c r="T2440" s="22">
        <f>IF($D2440="","",IF(AND($C2440&lt;&gt;"",$Q2440="Có",$R2440="",$S2440="Có",AND($L2440&lt;&gt;"",OR($L2440&lt;&gt;"Chưa xác định",DANH_MUC!$L$9="Có"))),"Có","Không"))</f>
        <v/>
      </c>
      <c r="U2440" s="22">
        <f>IF(OR($D2440="",$T2440="Có"),"",IF($C2440="","Thiếu họ tên; ","")&amp;IF($S2440&lt;&gt;"Có","SĐT sai định dạng; ","")&amp;IF($R2440="Trùng","Trùng SĐT; ","")&amp;IF($Q2440&lt;&gt;"Có","Thiếu đồng ý bắt buộc; ","")&amp;IF($L2440="","Thiếu/sai Mã REF; ",IF(AND($L2440="Chưa xác định",DANH_MUC!$L$9&lt;&gt;"Có"),"Nguồn chưa xác định; ","")))</f>
        <v/>
      </c>
      <c r="V2440" s="22">
        <f>IF(OR($D2440="",$R2440="Trùng"),"",IF(COUNTIF(ORDERS!$C$2:$C$4995,$D2440)&gt;0,"Có","Không"))</f>
        <v/>
      </c>
      <c r="W2440" s="22">
        <f>IF(OR($D2440="",$R2440="Trùng"),"",COUNTIFS(ORDERS!$C$2:$C$4995,$D2440,ORDERS!$L$2:$L$4995,"Đã chuyển khoản"))</f>
        <v/>
      </c>
      <c r="X2440" s="23">
        <f>IF(OR($D2440="",$R2440="Trùng"),"",SUMIFS(ORDERS!$J$2:$J$4995,ORDERS!$C$2:$C$4995,$D2440,ORDERS!$L$2:$L$4995,"Đã chuyển khoản"))</f>
        <v/>
      </c>
      <c r="Y2440" s="24" t="n"/>
    </row>
    <row r="2441" ht="14.25" customHeight="1" s="40">
      <c r="A2441" s="24" t="n"/>
      <c r="B2441" s="27" t="n"/>
      <c r="C2441" s="24" t="n"/>
      <c r="D2441" s="28" t="n"/>
      <c r="E2441" s="29" t="n"/>
      <c r="F2441" s="24" t="n"/>
      <c r="G2441" s="24" t="n"/>
      <c r="H2441" s="21">
        <f>IF(ISNUMBER($B2441),INT($B2441)-WEEKDAY($B2441,2)+1,"")</f>
        <v/>
      </c>
      <c r="I2441" s="24" t="n"/>
      <c r="J2441" s="22">
        <f t="array" ref="J2441">IF($D2441="","",IF($I2441="","(trống REF)",IFERROR(INDEX(MASTER_SOURCE!$B$2:$B$495,MATCH($I2441,MASTER_SOURCE!$A$2:$A$495,0)),"(REF không có trong MASTER_SOURCE)")))</f>
        <v/>
      </c>
      <c r="K2441" s="22">
        <f t="array" ref="K2441">IF($D2441="","",IFERROR(INDEX(MASTER_SOURCE!$C$2:$C$495,MATCH($I2441,MASTER_SOURCE!$A$2:$A$495,0)),""))</f>
        <v/>
      </c>
      <c r="L2441" s="22">
        <f t="array" ref="L2441">IF($D2441="","",IFERROR(INDEX(MASTER_SOURCE!$D$2:$D$495,MATCH($I2441,MASTER_SOURCE!$A$2:$A$495,0)),""))</f>
        <v/>
      </c>
      <c r="M2441" s="24" t="n"/>
      <c r="N2441" s="24" t="n"/>
      <c r="O2441" s="24" t="n"/>
      <c r="P2441" s="24" t="n"/>
      <c r="Q2441" s="22">
        <f>IF($D2441="","",IF(AND(OR(DANH_MUC!$L$5&lt;&gt;"Có",M2441="Có"),OR(DANH_MUC!$L$6&lt;&gt;"Có",N2441="Có"),OR(DANH_MUC!$L$7&lt;&gt;"Có",O2441="Có"),OR(DANH_MUC!$L$8&lt;&gt;"Có",P2441="Có")),"Có","Không"))</f>
        <v/>
      </c>
      <c r="R2441" s="22">
        <f>IF($D2441="","",IF(COUNTIF($D$2:$D2441,$D2441)&gt;1,"Trùng",""))</f>
        <v/>
      </c>
      <c r="S2441" s="22">
        <f>IF($D2441="","",IF(AND(LEN($D2441)=10,LEFT($D2441,1)="0",ISNUMBER(--$D2441)),"Có","Không"))</f>
        <v/>
      </c>
      <c r="T2441" s="22">
        <f>IF($D2441="","",IF(AND($C2441&lt;&gt;"",$Q2441="Có",$R2441="",$S2441="Có",AND($L2441&lt;&gt;"",OR($L2441&lt;&gt;"Chưa xác định",DANH_MUC!$L$9="Có"))),"Có","Không"))</f>
        <v/>
      </c>
      <c r="U2441" s="22">
        <f>IF(OR($D2441="",$T2441="Có"),"",IF($C2441="","Thiếu họ tên; ","")&amp;IF($S2441&lt;&gt;"Có","SĐT sai định dạng; ","")&amp;IF($R2441="Trùng","Trùng SĐT; ","")&amp;IF($Q2441&lt;&gt;"Có","Thiếu đồng ý bắt buộc; ","")&amp;IF($L2441="","Thiếu/sai Mã REF; ",IF(AND($L2441="Chưa xác định",DANH_MUC!$L$9&lt;&gt;"Có"),"Nguồn chưa xác định; ","")))</f>
        <v/>
      </c>
      <c r="V2441" s="22">
        <f>IF(OR($D2441="",$R2441="Trùng"),"",IF(COUNTIF(ORDERS!$C$2:$C$4995,$D2441)&gt;0,"Có","Không"))</f>
        <v/>
      </c>
      <c r="W2441" s="22">
        <f>IF(OR($D2441="",$R2441="Trùng"),"",COUNTIFS(ORDERS!$C$2:$C$4995,$D2441,ORDERS!$L$2:$L$4995,"Đã chuyển khoản"))</f>
        <v/>
      </c>
      <c r="X2441" s="23">
        <f>IF(OR($D2441="",$R2441="Trùng"),"",SUMIFS(ORDERS!$J$2:$J$4995,ORDERS!$C$2:$C$4995,$D2441,ORDERS!$L$2:$L$4995,"Đã chuyển khoản"))</f>
        <v/>
      </c>
      <c r="Y2441" s="24" t="n"/>
    </row>
    <row r="2442" ht="14.25" customHeight="1" s="40">
      <c r="A2442" s="24" t="n"/>
      <c r="B2442" s="27" t="n"/>
      <c r="C2442" s="24" t="n"/>
      <c r="D2442" s="28" t="n"/>
      <c r="E2442" s="29" t="n"/>
      <c r="F2442" s="24" t="n"/>
      <c r="G2442" s="24" t="n"/>
      <c r="H2442" s="21">
        <f>IF(ISNUMBER($B2442),INT($B2442)-WEEKDAY($B2442,2)+1,"")</f>
        <v/>
      </c>
      <c r="I2442" s="24" t="n"/>
      <c r="J2442" s="22">
        <f t="array" ref="J2442">IF($D2442="","",IF($I2442="","(trống REF)",IFERROR(INDEX(MASTER_SOURCE!$B$2:$B$495,MATCH($I2442,MASTER_SOURCE!$A$2:$A$495,0)),"(REF không có trong MASTER_SOURCE)")))</f>
        <v/>
      </c>
      <c r="K2442" s="22">
        <f t="array" ref="K2442">IF($D2442="","",IFERROR(INDEX(MASTER_SOURCE!$C$2:$C$495,MATCH($I2442,MASTER_SOURCE!$A$2:$A$495,0)),""))</f>
        <v/>
      </c>
      <c r="L2442" s="22">
        <f t="array" ref="L2442">IF($D2442="","",IFERROR(INDEX(MASTER_SOURCE!$D$2:$D$495,MATCH($I2442,MASTER_SOURCE!$A$2:$A$495,0)),""))</f>
        <v/>
      </c>
      <c r="M2442" s="24" t="n"/>
      <c r="N2442" s="24" t="n"/>
      <c r="O2442" s="24" t="n"/>
      <c r="P2442" s="24" t="n"/>
      <c r="Q2442" s="22">
        <f>IF($D2442="","",IF(AND(OR(DANH_MUC!$L$5&lt;&gt;"Có",M2442="Có"),OR(DANH_MUC!$L$6&lt;&gt;"Có",N2442="Có"),OR(DANH_MUC!$L$7&lt;&gt;"Có",O2442="Có"),OR(DANH_MUC!$L$8&lt;&gt;"Có",P2442="Có")),"Có","Không"))</f>
        <v/>
      </c>
      <c r="R2442" s="22">
        <f>IF($D2442="","",IF(COUNTIF($D$2:$D2442,$D2442)&gt;1,"Trùng",""))</f>
        <v/>
      </c>
      <c r="S2442" s="22">
        <f>IF($D2442="","",IF(AND(LEN($D2442)=10,LEFT($D2442,1)="0",ISNUMBER(--$D2442)),"Có","Không"))</f>
        <v/>
      </c>
      <c r="T2442" s="22">
        <f>IF($D2442="","",IF(AND($C2442&lt;&gt;"",$Q2442="Có",$R2442="",$S2442="Có",AND($L2442&lt;&gt;"",OR($L2442&lt;&gt;"Chưa xác định",DANH_MUC!$L$9="Có"))),"Có","Không"))</f>
        <v/>
      </c>
      <c r="U2442" s="22">
        <f>IF(OR($D2442="",$T2442="Có"),"",IF($C2442="","Thiếu họ tên; ","")&amp;IF($S2442&lt;&gt;"Có","SĐT sai định dạng; ","")&amp;IF($R2442="Trùng","Trùng SĐT; ","")&amp;IF($Q2442&lt;&gt;"Có","Thiếu đồng ý bắt buộc; ","")&amp;IF($L2442="","Thiếu/sai Mã REF; ",IF(AND($L2442="Chưa xác định",DANH_MUC!$L$9&lt;&gt;"Có"),"Nguồn chưa xác định; ","")))</f>
        <v/>
      </c>
      <c r="V2442" s="22">
        <f>IF(OR($D2442="",$R2442="Trùng"),"",IF(COUNTIF(ORDERS!$C$2:$C$4995,$D2442)&gt;0,"Có","Không"))</f>
        <v/>
      </c>
      <c r="W2442" s="22">
        <f>IF(OR($D2442="",$R2442="Trùng"),"",COUNTIFS(ORDERS!$C$2:$C$4995,$D2442,ORDERS!$L$2:$L$4995,"Đã chuyển khoản"))</f>
        <v/>
      </c>
      <c r="X2442" s="23">
        <f>IF(OR($D2442="",$R2442="Trùng"),"",SUMIFS(ORDERS!$J$2:$J$4995,ORDERS!$C$2:$C$4995,$D2442,ORDERS!$L$2:$L$4995,"Đã chuyển khoản"))</f>
        <v/>
      </c>
      <c r="Y2442" s="24" t="n"/>
    </row>
    <row r="2443" ht="14.25" customHeight="1" s="40">
      <c r="A2443" s="24" t="n"/>
      <c r="B2443" s="27" t="n"/>
      <c r="C2443" s="24" t="n"/>
      <c r="D2443" s="28" t="n"/>
      <c r="E2443" s="29" t="n"/>
      <c r="F2443" s="24" t="n"/>
      <c r="G2443" s="24" t="n"/>
      <c r="H2443" s="21">
        <f>IF(ISNUMBER($B2443),INT($B2443)-WEEKDAY($B2443,2)+1,"")</f>
        <v/>
      </c>
      <c r="I2443" s="24" t="n"/>
      <c r="J2443" s="22">
        <f t="array" ref="J2443">IF($D2443="","",IF($I2443="","(trống REF)",IFERROR(INDEX(MASTER_SOURCE!$B$2:$B$495,MATCH($I2443,MASTER_SOURCE!$A$2:$A$495,0)),"(REF không có trong MASTER_SOURCE)")))</f>
        <v/>
      </c>
      <c r="K2443" s="22">
        <f t="array" ref="K2443">IF($D2443="","",IFERROR(INDEX(MASTER_SOURCE!$C$2:$C$495,MATCH($I2443,MASTER_SOURCE!$A$2:$A$495,0)),""))</f>
        <v/>
      </c>
      <c r="L2443" s="22">
        <f t="array" ref="L2443">IF($D2443="","",IFERROR(INDEX(MASTER_SOURCE!$D$2:$D$495,MATCH($I2443,MASTER_SOURCE!$A$2:$A$495,0)),""))</f>
        <v/>
      </c>
      <c r="M2443" s="24" t="n"/>
      <c r="N2443" s="24" t="n"/>
      <c r="O2443" s="24" t="n"/>
      <c r="P2443" s="24" t="n"/>
      <c r="Q2443" s="22">
        <f>IF($D2443="","",IF(AND(OR(DANH_MUC!$L$5&lt;&gt;"Có",M2443="Có"),OR(DANH_MUC!$L$6&lt;&gt;"Có",N2443="Có"),OR(DANH_MUC!$L$7&lt;&gt;"Có",O2443="Có"),OR(DANH_MUC!$L$8&lt;&gt;"Có",P2443="Có")),"Có","Không"))</f>
        <v/>
      </c>
      <c r="R2443" s="22">
        <f>IF($D2443="","",IF(COUNTIF($D$2:$D2443,$D2443)&gt;1,"Trùng",""))</f>
        <v/>
      </c>
      <c r="S2443" s="22">
        <f>IF($D2443="","",IF(AND(LEN($D2443)=10,LEFT($D2443,1)="0",ISNUMBER(--$D2443)),"Có","Không"))</f>
        <v/>
      </c>
      <c r="T2443" s="22">
        <f>IF($D2443="","",IF(AND($C2443&lt;&gt;"",$Q2443="Có",$R2443="",$S2443="Có",AND($L2443&lt;&gt;"",OR($L2443&lt;&gt;"Chưa xác định",DANH_MUC!$L$9="Có"))),"Có","Không"))</f>
        <v/>
      </c>
      <c r="U2443" s="22">
        <f>IF(OR($D2443="",$T2443="Có"),"",IF($C2443="","Thiếu họ tên; ","")&amp;IF($S2443&lt;&gt;"Có","SĐT sai định dạng; ","")&amp;IF($R2443="Trùng","Trùng SĐT; ","")&amp;IF($Q2443&lt;&gt;"Có","Thiếu đồng ý bắt buộc; ","")&amp;IF($L2443="","Thiếu/sai Mã REF; ",IF(AND($L2443="Chưa xác định",DANH_MUC!$L$9&lt;&gt;"Có"),"Nguồn chưa xác định; ","")))</f>
        <v/>
      </c>
      <c r="V2443" s="22">
        <f>IF(OR($D2443="",$R2443="Trùng"),"",IF(COUNTIF(ORDERS!$C$2:$C$4995,$D2443)&gt;0,"Có","Không"))</f>
        <v/>
      </c>
      <c r="W2443" s="22">
        <f>IF(OR($D2443="",$R2443="Trùng"),"",COUNTIFS(ORDERS!$C$2:$C$4995,$D2443,ORDERS!$L$2:$L$4995,"Đã chuyển khoản"))</f>
        <v/>
      </c>
      <c r="X2443" s="23">
        <f>IF(OR($D2443="",$R2443="Trùng"),"",SUMIFS(ORDERS!$J$2:$J$4995,ORDERS!$C$2:$C$4995,$D2443,ORDERS!$L$2:$L$4995,"Đã chuyển khoản"))</f>
        <v/>
      </c>
      <c r="Y2443" s="24" t="n"/>
    </row>
    <row r="2444" ht="14.25" customHeight="1" s="40">
      <c r="A2444" s="24" t="n"/>
      <c r="B2444" s="27" t="n"/>
      <c r="C2444" s="24" t="n"/>
      <c r="D2444" s="28" t="n"/>
      <c r="E2444" s="29" t="n"/>
      <c r="F2444" s="24" t="n"/>
      <c r="G2444" s="24" t="n"/>
      <c r="H2444" s="21">
        <f>IF(ISNUMBER($B2444),INT($B2444)-WEEKDAY($B2444,2)+1,"")</f>
        <v/>
      </c>
      <c r="I2444" s="24" t="n"/>
      <c r="J2444" s="22">
        <f t="array" ref="J2444">IF($D2444="","",IF($I2444="","(trống REF)",IFERROR(INDEX(MASTER_SOURCE!$B$2:$B$495,MATCH($I2444,MASTER_SOURCE!$A$2:$A$495,0)),"(REF không có trong MASTER_SOURCE)")))</f>
        <v/>
      </c>
      <c r="K2444" s="22">
        <f t="array" ref="K2444">IF($D2444="","",IFERROR(INDEX(MASTER_SOURCE!$C$2:$C$495,MATCH($I2444,MASTER_SOURCE!$A$2:$A$495,0)),""))</f>
        <v/>
      </c>
      <c r="L2444" s="22">
        <f t="array" ref="L2444">IF($D2444="","",IFERROR(INDEX(MASTER_SOURCE!$D$2:$D$495,MATCH($I2444,MASTER_SOURCE!$A$2:$A$495,0)),""))</f>
        <v/>
      </c>
      <c r="M2444" s="24" t="n"/>
      <c r="N2444" s="24" t="n"/>
      <c r="O2444" s="24" t="n"/>
      <c r="P2444" s="24" t="n"/>
      <c r="Q2444" s="22">
        <f>IF($D2444="","",IF(AND(OR(DANH_MUC!$L$5&lt;&gt;"Có",M2444="Có"),OR(DANH_MUC!$L$6&lt;&gt;"Có",N2444="Có"),OR(DANH_MUC!$L$7&lt;&gt;"Có",O2444="Có"),OR(DANH_MUC!$L$8&lt;&gt;"Có",P2444="Có")),"Có","Không"))</f>
        <v/>
      </c>
      <c r="R2444" s="22">
        <f>IF($D2444="","",IF(COUNTIF($D$2:$D2444,$D2444)&gt;1,"Trùng",""))</f>
        <v/>
      </c>
      <c r="S2444" s="22">
        <f>IF($D2444="","",IF(AND(LEN($D2444)=10,LEFT($D2444,1)="0",ISNUMBER(--$D2444)),"Có","Không"))</f>
        <v/>
      </c>
      <c r="T2444" s="22">
        <f>IF($D2444="","",IF(AND($C2444&lt;&gt;"",$Q2444="Có",$R2444="",$S2444="Có",AND($L2444&lt;&gt;"",OR($L2444&lt;&gt;"Chưa xác định",DANH_MUC!$L$9="Có"))),"Có","Không"))</f>
        <v/>
      </c>
      <c r="U2444" s="22">
        <f>IF(OR($D2444="",$T2444="Có"),"",IF($C2444="","Thiếu họ tên; ","")&amp;IF($S2444&lt;&gt;"Có","SĐT sai định dạng; ","")&amp;IF($R2444="Trùng","Trùng SĐT; ","")&amp;IF($Q2444&lt;&gt;"Có","Thiếu đồng ý bắt buộc; ","")&amp;IF($L2444="","Thiếu/sai Mã REF; ",IF(AND($L2444="Chưa xác định",DANH_MUC!$L$9&lt;&gt;"Có"),"Nguồn chưa xác định; ","")))</f>
        <v/>
      </c>
      <c r="V2444" s="22">
        <f>IF(OR($D2444="",$R2444="Trùng"),"",IF(COUNTIF(ORDERS!$C$2:$C$4995,$D2444)&gt;0,"Có","Không"))</f>
        <v/>
      </c>
      <c r="W2444" s="22">
        <f>IF(OR($D2444="",$R2444="Trùng"),"",COUNTIFS(ORDERS!$C$2:$C$4995,$D2444,ORDERS!$L$2:$L$4995,"Đã chuyển khoản"))</f>
        <v/>
      </c>
      <c r="X2444" s="23">
        <f>IF(OR($D2444="",$R2444="Trùng"),"",SUMIFS(ORDERS!$J$2:$J$4995,ORDERS!$C$2:$C$4995,$D2444,ORDERS!$L$2:$L$4995,"Đã chuyển khoản"))</f>
        <v/>
      </c>
      <c r="Y2444" s="24" t="n"/>
    </row>
    <row r="2445" ht="14.25" customHeight="1" s="40">
      <c r="A2445" s="24" t="n"/>
      <c r="B2445" s="27" t="n"/>
      <c r="C2445" s="24" t="n"/>
      <c r="D2445" s="28" t="n"/>
      <c r="E2445" s="29" t="n"/>
      <c r="F2445" s="24" t="n"/>
      <c r="G2445" s="24" t="n"/>
      <c r="H2445" s="21">
        <f>IF(ISNUMBER($B2445),INT($B2445)-WEEKDAY($B2445,2)+1,"")</f>
        <v/>
      </c>
      <c r="I2445" s="24" t="n"/>
      <c r="J2445" s="22">
        <f t="array" ref="J2445">IF($D2445="","",IF($I2445="","(trống REF)",IFERROR(INDEX(MASTER_SOURCE!$B$2:$B$495,MATCH($I2445,MASTER_SOURCE!$A$2:$A$495,0)),"(REF không có trong MASTER_SOURCE)")))</f>
        <v/>
      </c>
      <c r="K2445" s="22">
        <f t="array" ref="K2445">IF($D2445="","",IFERROR(INDEX(MASTER_SOURCE!$C$2:$C$495,MATCH($I2445,MASTER_SOURCE!$A$2:$A$495,0)),""))</f>
        <v/>
      </c>
      <c r="L2445" s="22">
        <f t="array" ref="L2445">IF($D2445="","",IFERROR(INDEX(MASTER_SOURCE!$D$2:$D$495,MATCH($I2445,MASTER_SOURCE!$A$2:$A$495,0)),""))</f>
        <v/>
      </c>
      <c r="M2445" s="24" t="n"/>
      <c r="N2445" s="24" t="n"/>
      <c r="O2445" s="24" t="n"/>
      <c r="P2445" s="24" t="n"/>
      <c r="Q2445" s="22">
        <f>IF($D2445="","",IF(AND(OR(DANH_MUC!$L$5&lt;&gt;"Có",M2445="Có"),OR(DANH_MUC!$L$6&lt;&gt;"Có",N2445="Có"),OR(DANH_MUC!$L$7&lt;&gt;"Có",O2445="Có"),OR(DANH_MUC!$L$8&lt;&gt;"Có",P2445="Có")),"Có","Không"))</f>
        <v/>
      </c>
      <c r="R2445" s="22">
        <f>IF($D2445="","",IF(COUNTIF($D$2:$D2445,$D2445)&gt;1,"Trùng",""))</f>
        <v/>
      </c>
      <c r="S2445" s="22">
        <f>IF($D2445="","",IF(AND(LEN($D2445)=10,LEFT($D2445,1)="0",ISNUMBER(--$D2445)),"Có","Không"))</f>
        <v/>
      </c>
      <c r="T2445" s="22">
        <f>IF($D2445="","",IF(AND($C2445&lt;&gt;"",$Q2445="Có",$R2445="",$S2445="Có",AND($L2445&lt;&gt;"",OR($L2445&lt;&gt;"Chưa xác định",DANH_MUC!$L$9="Có"))),"Có","Không"))</f>
        <v/>
      </c>
      <c r="U2445" s="22">
        <f>IF(OR($D2445="",$T2445="Có"),"",IF($C2445="","Thiếu họ tên; ","")&amp;IF($S2445&lt;&gt;"Có","SĐT sai định dạng; ","")&amp;IF($R2445="Trùng","Trùng SĐT; ","")&amp;IF($Q2445&lt;&gt;"Có","Thiếu đồng ý bắt buộc; ","")&amp;IF($L2445="","Thiếu/sai Mã REF; ",IF(AND($L2445="Chưa xác định",DANH_MUC!$L$9&lt;&gt;"Có"),"Nguồn chưa xác định; ","")))</f>
        <v/>
      </c>
      <c r="V2445" s="22">
        <f>IF(OR($D2445="",$R2445="Trùng"),"",IF(COUNTIF(ORDERS!$C$2:$C$4995,$D2445)&gt;0,"Có","Không"))</f>
        <v/>
      </c>
      <c r="W2445" s="22">
        <f>IF(OR($D2445="",$R2445="Trùng"),"",COUNTIFS(ORDERS!$C$2:$C$4995,$D2445,ORDERS!$L$2:$L$4995,"Đã chuyển khoản"))</f>
        <v/>
      </c>
      <c r="X2445" s="23">
        <f>IF(OR($D2445="",$R2445="Trùng"),"",SUMIFS(ORDERS!$J$2:$J$4995,ORDERS!$C$2:$C$4995,$D2445,ORDERS!$L$2:$L$4995,"Đã chuyển khoản"))</f>
        <v/>
      </c>
      <c r="Y2445" s="24" t="n"/>
    </row>
    <row r="2446" ht="14.25" customHeight="1" s="40">
      <c r="A2446" s="24" t="n"/>
      <c r="B2446" s="27" t="n"/>
      <c r="C2446" s="24" t="n"/>
      <c r="D2446" s="28" t="n"/>
      <c r="E2446" s="29" t="n"/>
      <c r="F2446" s="24" t="n"/>
      <c r="G2446" s="24" t="n"/>
      <c r="H2446" s="21">
        <f>IF(ISNUMBER($B2446),INT($B2446)-WEEKDAY($B2446,2)+1,"")</f>
        <v/>
      </c>
      <c r="I2446" s="24" t="n"/>
      <c r="J2446" s="22">
        <f t="array" ref="J2446">IF($D2446="","",IF($I2446="","(trống REF)",IFERROR(INDEX(MASTER_SOURCE!$B$2:$B$495,MATCH($I2446,MASTER_SOURCE!$A$2:$A$495,0)),"(REF không có trong MASTER_SOURCE)")))</f>
        <v/>
      </c>
      <c r="K2446" s="22">
        <f t="array" ref="K2446">IF($D2446="","",IFERROR(INDEX(MASTER_SOURCE!$C$2:$C$495,MATCH($I2446,MASTER_SOURCE!$A$2:$A$495,0)),""))</f>
        <v/>
      </c>
      <c r="L2446" s="22">
        <f t="array" ref="L2446">IF($D2446="","",IFERROR(INDEX(MASTER_SOURCE!$D$2:$D$495,MATCH($I2446,MASTER_SOURCE!$A$2:$A$495,0)),""))</f>
        <v/>
      </c>
      <c r="M2446" s="24" t="n"/>
      <c r="N2446" s="24" t="n"/>
      <c r="O2446" s="24" t="n"/>
      <c r="P2446" s="24" t="n"/>
      <c r="Q2446" s="22">
        <f>IF($D2446="","",IF(AND(OR(DANH_MUC!$L$5&lt;&gt;"Có",M2446="Có"),OR(DANH_MUC!$L$6&lt;&gt;"Có",N2446="Có"),OR(DANH_MUC!$L$7&lt;&gt;"Có",O2446="Có"),OR(DANH_MUC!$L$8&lt;&gt;"Có",P2446="Có")),"Có","Không"))</f>
        <v/>
      </c>
      <c r="R2446" s="22">
        <f>IF($D2446="","",IF(COUNTIF($D$2:$D2446,$D2446)&gt;1,"Trùng",""))</f>
        <v/>
      </c>
      <c r="S2446" s="22">
        <f>IF($D2446="","",IF(AND(LEN($D2446)=10,LEFT($D2446,1)="0",ISNUMBER(--$D2446)),"Có","Không"))</f>
        <v/>
      </c>
      <c r="T2446" s="22">
        <f>IF($D2446="","",IF(AND($C2446&lt;&gt;"",$Q2446="Có",$R2446="",$S2446="Có",AND($L2446&lt;&gt;"",OR($L2446&lt;&gt;"Chưa xác định",DANH_MUC!$L$9="Có"))),"Có","Không"))</f>
        <v/>
      </c>
      <c r="U2446" s="22">
        <f>IF(OR($D2446="",$T2446="Có"),"",IF($C2446="","Thiếu họ tên; ","")&amp;IF($S2446&lt;&gt;"Có","SĐT sai định dạng; ","")&amp;IF($R2446="Trùng","Trùng SĐT; ","")&amp;IF($Q2446&lt;&gt;"Có","Thiếu đồng ý bắt buộc; ","")&amp;IF($L2446="","Thiếu/sai Mã REF; ",IF(AND($L2446="Chưa xác định",DANH_MUC!$L$9&lt;&gt;"Có"),"Nguồn chưa xác định; ","")))</f>
        <v/>
      </c>
      <c r="V2446" s="22">
        <f>IF(OR($D2446="",$R2446="Trùng"),"",IF(COUNTIF(ORDERS!$C$2:$C$4995,$D2446)&gt;0,"Có","Không"))</f>
        <v/>
      </c>
      <c r="W2446" s="22">
        <f>IF(OR($D2446="",$R2446="Trùng"),"",COUNTIFS(ORDERS!$C$2:$C$4995,$D2446,ORDERS!$L$2:$L$4995,"Đã chuyển khoản"))</f>
        <v/>
      </c>
      <c r="X2446" s="23">
        <f>IF(OR($D2446="",$R2446="Trùng"),"",SUMIFS(ORDERS!$J$2:$J$4995,ORDERS!$C$2:$C$4995,$D2446,ORDERS!$L$2:$L$4995,"Đã chuyển khoản"))</f>
        <v/>
      </c>
      <c r="Y2446" s="24" t="n"/>
    </row>
    <row r="2447" ht="14.25" customHeight="1" s="40">
      <c r="A2447" s="24" t="n"/>
      <c r="B2447" s="27" t="n"/>
      <c r="C2447" s="24" t="n"/>
      <c r="D2447" s="28" t="n"/>
      <c r="E2447" s="29" t="n"/>
      <c r="F2447" s="24" t="n"/>
      <c r="G2447" s="24" t="n"/>
      <c r="H2447" s="21">
        <f>IF(ISNUMBER($B2447),INT($B2447)-WEEKDAY($B2447,2)+1,"")</f>
        <v/>
      </c>
      <c r="I2447" s="24" t="n"/>
      <c r="J2447" s="22">
        <f t="array" ref="J2447">IF($D2447="","",IF($I2447="","(trống REF)",IFERROR(INDEX(MASTER_SOURCE!$B$2:$B$495,MATCH($I2447,MASTER_SOURCE!$A$2:$A$495,0)),"(REF không có trong MASTER_SOURCE)")))</f>
        <v/>
      </c>
      <c r="K2447" s="22">
        <f t="array" ref="K2447">IF($D2447="","",IFERROR(INDEX(MASTER_SOURCE!$C$2:$C$495,MATCH($I2447,MASTER_SOURCE!$A$2:$A$495,0)),""))</f>
        <v/>
      </c>
      <c r="L2447" s="22">
        <f t="array" ref="L2447">IF($D2447="","",IFERROR(INDEX(MASTER_SOURCE!$D$2:$D$495,MATCH($I2447,MASTER_SOURCE!$A$2:$A$495,0)),""))</f>
        <v/>
      </c>
      <c r="M2447" s="24" t="n"/>
      <c r="N2447" s="24" t="n"/>
      <c r="O2447" s="24" t="n"/>
      <c r="P2447" s="24" t="n"/>
      <c r="Q2447" s="22">
        <f>IF($D2447="","",IF(AND(OR(DANH_MUC!$L$5&lt;&gt;"Có",M2447="Có"),OR(DANH_MUC!$L$6&lt;&gt;"Có",N2447="Có"),OR(DANH_MUC!$L$7&lt;&gt;"Có",O2447="Có"),OR(DANH_MUC!$L$8&lt;&gt;"Có",P2447="Có")),"Có","Không"))</f>
        <v/>
      </c>
      <c r="R2447" s="22">
        <f>IF($D2447="","",IF(COUNTIF($D$2:$D2447,$D2447)&gt;1,"Trùng",""))</f>
        <v/>
      </c>
      <c r="S2447" s="22">
        <f>IF($D2447="","",IF(AND(LEN($D2447)=10,LEFT($D2447,1)="0",ISNUMBER(--$D2447)),"Có","Không"))</f>
        <v/>
      </c>
      <c r="T2447" s="22">
        <f>IF($D2447="","",IF(AND($C2447&lt;&gt;"",$Q2447="Có",$R2447="",$S2447="Có",AND($L2447&lt;&gt;"",OR($L2447&lt;&gt;"Chưa xác định",DANH_MUC!$L$9="Có"))),"Có","Không"))</f>
        <v/>
      </c>
      <c r="U2447" s="22">
        <f>IF(OR($D2447="",$T2447="Có"),"",IF($C2447="","Thiếu họ tên; ","")&amp;IF($S2447&lt;&gt;"Có","SĐT sai định dạng; ","")&amp;IF($R2447="Trùng","Trùng SĐT; ","")&amp;IF($Q2447&lt;&gt;"Có","Thiếu đồng ý bắt buộc; ","")&amp;IF($L2447="","Thiếu/sai Mã REF; ",IF(AND($L2447="Chưa xác định",DANH_MUC!$L$9&lt;&gt;"Có"),"Nguồn chưa xác định; ","")))</f>
        <v/>
      </c>
      <c r="V2447" s="22">
        <f>IF(OR($D2447="",$R2447="Trùng"),"",IF(COUNTIF(ORDERS!$C$2:$C$4995,$D2447)&gt;0,"Có","Không"))</f>
        <v/>
      </c>
      <c r="W2447" s="22">
        <f>IF(OR($D2447="",$R2447="Trùng"),"",COUNTIFS(ORDERS!$C$2:$C$4995,$D2447,ORDERS!$L$2:$L$4995,"Đã chuyển khoản"))</f>
        <v/>
      </c>
      <c r="X2447" s="23">
        <f>IF(OR($D2447="",$R2447="Trùng"),"",SUMIFS(ORDERS!$J$2:$J$4995,ORDERS!$C$2:$C$4995,$D2447,ORDERS!$L$2:$L$4995,"Đã chuyển khoản"))</f>
        <v/>
      </c>
      <c r="Y2447" s="24" t="n"/>
    </row>
    <row r="2448" ht="14.25" customHeight="1" s="40">
      <c r="A2448" s="24" t="n"/>
      <c r="B2448" s="27" t="n"/>
      <c r="C2448" s="24" t="n"/>
      <c r="D2448" s="28" t="n"/>
      <c r="E2448" s="29" t="n"/>
      <c r="F2448" s="24" t="n"/>
      <c r="G2448" s="24" t="n"/>
      <c r="H2448" s="21">
        <f>IF(ISNUMBER($B2448),INT($B2448)-WEEKDAY($B2448,2)+1,"")</f>
        <v/>
      </c>
      <c r="I2448" s="24" t="n"/>
      <c r="J2448" s="22">
        <f t="array" ref="J2448">IF($D2448="","",IF($I2448="","(trống REF)",IFERROR(INDEX(MASTER_SOURCE!$B$2:$B$495,MATCH($I2448,MASTER_SOURCE!$A$2:$A$495,0)),"(REF không có trong MASTER_SOURCE)")))</f>
        <v/>
      </c>
      <c r="K2448" s="22">
        <f t="array" ref="K2448">IF($D2448="","",IFERROR(INDEX(MASTER_SOURCE!$C$2:$C$495,MATCH($I2448,MASTER_SOURCE!$A$2:$A$495,0)),""))</f>
        <v/>
      </c>
      <c r="L2448" s="22">
        <f t="array" ref="L2448">IF($D2448="","",IFERROR(INDEX(MASTER_SOURCE!$D$2:$D$495,MATCH($I2448,MASTER_SOURCE!$A$2:$A$495,0)),""))</f>
        <v/>
      </c>
      <c r="M2448" s="24" t="n"/>
      <c r="N2448" s="24" t="n"/>
      <c r="O2448" s="24" t="n"/>
      <c r="P2448" s="24" t="n"/>
      <c r="Q2448" s="22">
        <f>IF($D2448="","",IF(AND(OR(DANH_MUC!$L$5&lt;&gt;"Có",M2448="Có"),OR(DANH_MUC!$L$6&lt;&gt;"Có",N2448="Có"),OR(DANH_MUC!$L$7&lt;&gt;"Có",O2448="Có"),OR(DANH_MUC!$L$8&lt;&gt;"Có",P2448="Có")),"Có","Không"))</f>
        <v/>
      </c>
      <c r="R2448" s="22">
        <f>IF($D2448="","",IF(COUNTIF($D$2:$D2448,$D2448)&gt;1,"Trùng",""))</f>
        <v/>
      </c>
      <c r="S2448" s="22">
        <f>IF($D2448="","",IF(AND(LEN($D2448)=10,LEFT($D2448,1)="0",ISNUMBER(--$D2448)),"Có","Không"))</f>
        <v/>
      </c>
      <c r="T2448" s="22">
        <f>IF($D2448="","",IF(AND($C2448&lt;&gt;"",$Q2448="Có",$R2448="",$S2448="Có",AND($L2448&lt;&gt;"",OR($L2448&lt;&gt;"Chưa xác định",DANH_MUC!$L$9="Có"))),"Có","Không"))</f>
        <v/>
      </c>
      <c r="U2448" s="22">
        <f>IF(OR($D2448="",$T2448="Có"),"",IF($C2448="","Thiếu họ tên; ","")&amp;IF($S2448&lt;&gt;"Có","SĐT sai định dạng; ","")&amp;IF($R2448="Trùng","Trùng SĐT; ","")&amp;IF($Q2448&lt;&gt;"Có","Thiếu đồng ý bắt buộc; ","")&amp;IF($L2448="","Thiếu/sai Mã REF; ",IF(AND($L2448="Chưa xác định",DANH_MUC!$L$9&lt;&gt;"Có"),"Nguồn chưa xác định; ","")))</f>
        <v/>
      </c>
      <c r="V2448" s="22">
        <f>IF(OR($D2448="",$R2448="Trùng"),"",IF(COUNTIF(ORDERS!$C$2:$C$4995,$D2448)&gt;0,"Có","Không"))</f>
        <v/>
      </c>
      <c r="W2448" s="22">
        <f>IF(OR($D2448="",$R2448="Trùng"),"",COUNTIFS(ORDERS!$C$2:$C$4995,$D2448,ORDERS!$L$2:$L$4995,"Đã chuyển khoản"))</f>
        <v/>
      </c>
      <c r="X2448" s="23">
        <f>IF(OR($D2448="",$R2448="Trùng"),"",SUMIFS(ORDERS!$J$2:$J$4995,ORDERS!$C$2:$C$4995,$D2448,ORDERS!$L$2:$L$4995,"Đã chuyển khoản"))</f>
        <v/>
      </c>
      <c r="Y2448" s="24" t="n"/>
    </row>
    <row r="2449" ht="14.25" customHeight="1" s="40">
      <c r="A2449" s="24" t="n"/>
      <c r="B2449" s="27" t="n"/>
      <c r="C2449" s="24" t="n"/>
      <c r="D2449" s="28" t="n"/>
      <c r="E2449" s="29" t="n"/>
      <c r="F2449" s="24" t="n"/>
      <c r="G2449" s="24" t="n"/>
      <c r="H2449" s="21">
        <f>IF(ISNUMBER($B2449),INT($B2449)-WEEKDAY($B2449,2)+1,"")</f>
        <v/>
      </c>
      <c r="I2449" s="24" t="n"/>
      <c r="J2449" s="22">
        <f t="array" ref="J2449">IF($D2449="","",IF($I2449="","(trống REF)",IFERROR(INDEX(MASTER_SOURCE!$B$2:$B$495,MATCH($I2449,MASTER_SOURCE!$A$2:$A$495,0)),"(REF không có trong MASTER_SOURCE)")))</f>
        <v/>
      </c>
      <c r="K2449" s="22">
        <f t="array" ref="K2449">IF($D2449="","",IFERROR(INDEX(MASTER_SOURCE!$C$2:$C$495,MATCH($I2449,MASTER_SOURCE!$A$2:$A$495,0)),""))</f>
        <v/>
      </c>
      <c r="L2449" s="22">
        <f t="array" ref="L2449">IF($D2449="","",IFERROR(INDEX(MASTER_SOURCE!$D$2:$D$495,MATCH($I2449,MASTER_SOURCE!$A$2:$A$495,0)),""))</f>
        <v/>
      </c>
      <c r="M2449" s="24" t="n"/>
      <c r="N2449" s="24" t="n"/>
      <c r="O2449" s="24" t="n"/>
      <c r="P2449" s="24" t="n"/>
      <c r="Q2449" s="22">
        <f>IF($D2449="","",IF(AND(OR(DANH_MUC!$L$5&lt;&gt;"Có",M2449="Có"),OR(DANH_MUC!$L$6&lt;&gt;"Có",N2449="Có"),OR(DANH_MUC!$L$7&lt;&gt;"Có",O2449="Có"),OR(DANH_MUC!$L$8&lt;&gt;"Có",P2449="Có")),"Có","Không"))</f>
        <v/>
      </c>
      <c r="R2449" s="22">
        <f>IF($D2449="","",IF(COUNTIF($D$2:$D2449,$D2449)&gt;1,"Trùng",""))</f>
        <v/>
      </c>
      <c r="S2449" s="22">
        <f>IF($D2449="","",IF(AND(LEN($D2449)=10,LEFT($D2449,1)="0",ISNUMBER(--$D2449)),"Có","Không"))</f>
        <v/>
      </c>
      <c r="T2449" s="22">
        <f>IF($D2449="","",IF(AND($C2449&lt;&gt;"",$Q2449="Có",$R2449="",$S2449="Có",AND($L2449&lt;&gt;"",OR($L2449&lt;&gt;"Chưa xác định",DANH_MUC!$L$9="Có"))),"Có","Không"))</f>
        <v/>
      </c>
      <c r="U2449" s="22">
        <f>IF(OR($D2449="",$T2449="Có"),"",IF($C2449="","Thiếu họ tên; ","")&amp;IF($S2449&lt;&gt;"Có","SĐT sai định dạng; ","")&amp;IF($R2449="Trùng","Trùng SĐT; ","")&amp;IF($Q2449&lt;&gt;"Có","Thiếu đồng ý bắt buộc; ","")&amp;IF($L2449="","Thiếu/sai Mã REF; ",IF(AND($L2449="Chưa xác định",DANH_MUC!$L$9&lt;&gt;"Có"),"Nguồn chưa xác định; ","")))</f>
        <v/>
      </c>
      <c r="V2449" s="22">
        <f>IF(OR($D2449="",$R2449="Trùng"),"",IF(COUNTIF(ORDERS!$C$2:$C$4995,$D2449)&gt;0,"Có","Không"))</f>
        <v/>
      </c>
      <c r="W2449" s="22">
        <f>IF(OR($D2449="",$R2449="Trùng"),"",COUNTIFS(ORDERS!$C$2:$C$4995,$D2449,ORDERS!$L$2:$L$4995,"Đã chuyển khoản"))</f>
        <v/>
      </c>
      <c r="X2449" s="23">
        <f>IF(OR($D2449="",$R2449="Trùng"),"",SUMIFS(ORDERS!$J$2:$J$4995,ORDERS!$C$2:$C$4995,$D2449,ORDERS!$L$2:$L$4995,"Đã chuyển khoản"))</f>
        <v/>
      </c>
      <c r="Y2449" s="24" t="n"/>
    </row>
    <row r="2450" ht="14.25" customHeight="1" s="40">
      <c r="A2450" s="24" t="n"/>
      <c r="B2450" s="27" t="n"/>
      <c r="C2450" s="24" t="n"/>
      <c r="D2450" s="28" t="n"/>
      <c r="E2450" s="29" t="n"/>
      <c r="F2450" s="24" t="n"/>
      <c r="G2450" s="24" t="n"/>
      <c r="H2450" s="21">
        <f>IF(ISNUMBER($B2450),INT($B2450)-WEEKDAY($B2450,2)+1,"")</f>
        <v/>
      </c>
      <c r="I2450" s="24" t="n"/>
      <c r="J2450" s="22">
        <f t="array" ref="J2450">IF($D2450="","",IF($I2450="","(trống REF)",IFERROR(INDEX(MASTER_SOURCE!$B$2:$B$495,MATCH($I2450,MASTER_SOURCE!$A$2:$A$495,0)),"(REF không có trong MASTER_SOURCE)")))</f>
        <v/>
      </c>
      <c r="K2450" s="22">
        <f t="array" ref="K2450">IF($D2450="","",IFERROR(INDEX(MASTER_SOURCE!$C$2:$C$495,MATCH($I2450,MASTER_SOURCE!$A$2:$A$495,0)),""))</f>
        <v/>
      </c>
      <c r="L2450" s="22">
        <f t="array" ref="L2450">IF($D2450="","",IFERROR(INDEX(MASTER_SOURCE!$D$2:$D$495,MATCH($I2450,MASTER_SOURCE!$A$2:$A$495,0)),""))</f>
        <v/>
      </c>
      <c r="M2450" s="24" t="n"/>
      <c r="N2450" s="24" t="n"/>
      <c r="O2450" s="24" t="n"/>
      <c r="P2450" s="24" t="n"/>
      <c r="Q2450" s="22">
        <f>IF($D2450="","",IF(AND(OR(DANH_MUC!$L$5&lt;&gt;"Có",M2450="Có"),OR(DANH_MUC!$L$6&lt;&gt;"Có",N2450="Có"),OR(DANH_MUC!$L$7&lt;&gt;"Có",O2450="Có"),OR(DANH_MUC!$L$8&lt;&gt;"Có",P2450="Có")),"Có","Không"))</f>
        <v/>
      </c>
      <c r="R2450" s="22">
        <f>IF($D2450="","",IF(COUNTIF($D$2:$D2450,$D2450)&gt;1,"Trùng",""))</f>
        <v/>
      </c>
      <c r="S2450" s="22">
        <f>IF($D2450="","",IF(AND(LEN($D2450)=10,LEFT($D2450,1)="0",ISNUMBER(--$D2450)),"Có","Không"))</f>
        <v/>
      </c>
      <c r="T2450" s="22">
        <f>IF($D2450="","",IF(AND($C2450&lt;&gt;"",$Q2450="Có",$R2450="",$S2450="Có",AND($L2450&lt;&gt;"",OR($L2450&lt;&gt;"Chưa xác định",DANH_MUC!$L$9="Có"))),"Có","Không"))</f>
        <v/>
      </c>
      <c r="U2450" s="22">
        <f>IF(OR($D2450="",$T2450="Có"),"",IF($C2450="","Thiếu họ tên; ","")&amp;IF($S2450&lt;&gt;"Có","SĐT sai định dạng; ","")&amp;IF($R2450="Trùng","Trùng SĐT; ","")&amp;IF($Q2450&lt;&gt;"Có","Thiếu đồng ý bắt buộc; ","")&amp;IF($L2450="","Thiếu/sai Mã REF; ",IF(AND($L2450="Chưa xác định",DANH_MUC!$L$9&lt;&gt;"Có"),"Nguồn chưa xác định; ","")))</f>
        <v/>
      </c>
      <c r="V2450" s="22">
        <f>IF(OR($D2450="",$R2450="Trùng"),"",IF(COUNTIF(ORDERS!$C$2:$C$4995,$D2450)&gt;0,"Có","Không"))</f>
        <v/>
      </c>
      <c r="W2450" s="22">
        <f>IF(OR($D2450="",$R2450="Trùng"),"",COUNTIFS(ORDERS!$C$2:$C$4995,$D2450,ORDERS!$L$2:$L$4995,"Đã chuyển khoản"))</f>
        <v/>
      </c>
      <c r="X2450" s="23">
        <f>IF(OR($D2450="",$R2450="Trùng"),"",SUMIFS(ORDERS!$J$2:$J$4995,ORDERS!$C$2:$C$4995,$D2450,ORDERS!$L$2:$L$4995,"Đã chuyển khoản"))</f>
        <v/>
      </c>
      <c r="Y2450" s="24" t="n"/>
    </row>
    <row r="2451" ht="14.25" customHeight="1" s="40">
      <c r="A2451" s="24" t="n"/>
      <c r="B2451" s="27" t="n"/>
      <c r="C2451" s="24" t="n"/>
      <c r="D2451" s="28" t="n"/>
      <c r="E2451" s="29" t="n"/>
      <c r="F2451" s="24" t="n"/>
      <c r="G2451" s="24" t="n"/>
      <c r="H2451" s="21">
        <f>IF(ISNUMBER($B2451),INT($B2451)-WEEKDAY($B2451,2)+1,"")</f>
        <v/>
      </c>
      <c r="I2451" s="24" t="n"/>
      <c r="J2451" s="22">
        <f t="array" ref="J2451">IF($D2451="","",IF($I2451="","(trống REF)",IFERROR(INDEX(MASTER_SOURCE!$B$2:$B$495,MATCH($I2451,MASTER_SOURCE!$A$2:$A$495,0)),"(REF không có trong MASTER_SOURCE)")))</f>
        <v/>
      </c>
      <c r="K2451" s="22">
        <f t="array" ref="K2451">IF($D2451="","",IFERROR(INDEX(MASTER_SOURCE!$C$2:$C$495,MATCH($I2451,MASTER_SOURCE!$A$2:$A$495,0)),""))</f>
        <v/>
      </c>
      <c r="L2451" s="22">
        <f t="array" ref="L2451">IF($D2451="","",IFERROR(INDEX(MASTER_SOURCE!$D$2:$D$495,MATCH($I2451,MASTER_SOURCE!$A$2:$A$495,0)),""))</f>
        <v/>
      </c>
      <c r="M2451" s="24" t="n"/>
      <c r="N2451" s="24" t="n"/>
      <c r="O2451" s="24" t="n"/>
      <c r="P2451" s="24" t="n"/>
      <c r="Q2451" s="22">
        <f>IF($D2451="","",IF(AND(OR(DANH_MUC!$L$5&lt;&gt;"Có",M2451="Có"),OR(DANH_MUC!$L$6&lt;&gt;"Có",N2451="Có"),OR(DANH_MUC!$L$7&lt;&gt;"Có",O2451="Có"),OR(DANH_MUC!$L$8&lt;&gt;"Có",P2451="Có")),"Có","Không"))</f>
        <v/>
      </c>
      <c r="R2451" s="22">
        <f>IF($D2451="","",IF(COUNTIF($D$2:$D2451,$D2451)&gt;1,"Trùng",""))</f>
        <v/>
      </c>
      <c r="S2451" s="22">
        <f>IF($D2451="","",IF(AND(LEN($D2451)=10,LEFT($D2451,1)="0",ISNUMBER(--$D2451)),"Có","Không"))</f>
        <v/>
      </c>
      <c r="T2451" s="22">
        <f>IF($D2451="","",IF(AND($C2451&lt;&gt;"",$Q2451="Có",$R2451="",$S2451="Có",AND($L2451&lt;&gt;"",OR($L2451&lt;&gt;"Chưa xác định",DANH_MUC!$L$9="Có"))),"Có","Không"))</f>
        <v/>
      </c>
      <c r="U2451" s="22">
        <f>IF(OR($D2451="",$T2451="Có"),"",IF($C2451="","Thiếu họ tên; ","")&amp;IF($S2451&lt;&gt;"Có","SĐT sai định dạng; ","")&amp;IF($R2451="Trùng","Trùng SĐT; ","")&amp;IF($Q2451&lt;&gt;"Có","Thiếu đồng ý bắt buộc; ","")&amp;IF($L2451="","Thiếu/sai Mã REF; ",IF(AND($L2451="Chưa xác định",DANH_MUC!$L$9&lt;&gt;"Có"),"Nguồn chưa xác định; ","")))</f>
        <v/>
      </c>
      <c r="V2451" s="22">
        <f>IF(OR($D2451="",$R2451="Trùng"),"",IF(COUNTIF(ORDERS!$C$2:$C$4995,$D2451)&gt;0,"Có","Không"))</f>
        <v/>
      </c>
      <c r="W2451" s="22">
        <f>IF(OR($D2451="",$R2451="Trùng"),"",COUNTIFS(ORDERS!$C$2:$C$4995,$D2451,ORDERS!$L$2:$L$4995,"Đã chuyển khoản"))</f>
        <v/>
      </c>
      <c r="X2451" s="23">
        <f>IF(OR($D2451="",$R2451="Trùng"),"",SUMIFS(ORDERS!$J$2:$J$4995,ORDERS!$C$2:$C$4995,$D2451,ORDERS!$L$2:$L$4995,"Đã chuyển khoản"))</f>
        <v/>
      </c>
      <c r="Y2451" s="24" t="n"/>
    </row>
    <row r="2452" ht="14.25" customHeight="1" s="40">
      <c r="A2452" s="24" t="n"/>
      <c r="B2452" s="27" t="n"/>
      <c r="C2452" s="24" t="n"/>
      <c r="D2452" s="28" t="n"/>
      <c r="E2452" s="29" t="n"/>
      <c r="F2452" s="24" t="n"/>
      <c r="G2452" s="24" t="n"/>
      <c r="H2452" s="21">
        <f>IF(ISNUMBER($B2452),INT($B2452)-WEEKDAY($B2452,2)+1,"")</f>
        <v/>
      </c>
      <c r="I2452" s="24" t="n"/>
      <c r="J2452" s="22">
        <f t="array" ref="J2452">IF($D2452="","",IF($I2452="","(trống REF)",IFERROR(INDEX(MASTER_SOURCE!$B$2:$B$495,MATCH($I2452,MASTER_SOURCE!$A$2:$A$495,0)),"(REF không có trong MASTER_SOURCE)")))</f>
        <v/>
      </c>
      <c r="K2452" s="22">
        <f t="array" ref="K2452">IF($D2452="","",IFERROR(INDEX(MASTER_SOURCE!$C$2:$C$495,MATCH($I2452,MASTER_SOURCE!$A$2:$A$495,0)),""))</f>
        <v/>
      </c>
      <c r="L2452" s="22">
        <f t="array" ref="L2452">IF($D2452="","",IFERROR(INDEX(MASTER_SOURCE!$D$2:$D$495,MATCH($I2452,MASTER_SOURCE!$A$2:$A$495,0)),""))</f>
        <v/>
      </c>
      <c r="M2452" s="24" t="n"/>
      <c r="N2452" s="24" t="n"/>
      <c r="O2452" s="24" t="n"/>
      <c r="P2452" s="24" t="n"/>
      <c r="Q2452" s="22">
        <f>IF($D2452="","",IF(AND(OR(DANH_MUC!$L$5&lt;&gt;"Có",M2452="Có"),OR(DANH_MUC!$L$6&lt;&gt;"Có",N2452="Có"),OR(DANH_MUC!$L$7&lt;&gt;"Có",O2452="Có"),OR(DANH_MUC!$L$8&lt;&gt;"Có",P2452="Có")),"Có","Không"))</f>
        <v/>
      </c>
      <c r="R2452" s="22">
        <f>IF($D2452="","",IF(COUNTIF($D$2:$D2452,$D2452)&gt;1,"Trùng",""))</f>
        <v/>
      </c>
      <c r="S2452" s="22">
        <f>IF($D2452="","",IF(AND(LEN($D2452)=10,LEFT($D2452,1)="0",ISNUMBER(--$D2452)),"Có","Không"))</f>
        <v/>
      </c>
      <c r="T2452" s="22">
        <f>IF($D2452="","",IF(AND($C2452&lt;&gt;"",$Q2452="Có",$R2452="",$S2452="Có",AND($L2452&lt;&gt;"",OR($L2452&lt;&gt;"Chưa xác định",DANH_MUC!$L$9="Có"))),"Có","Không"))</f>
        <v/>
      </c>
      <c r="U2452" s="22">
        <f>IF(OR($D2452="",$T2452="Có"),"",IF($C2452="","Thiếu họ tên; ","")&amp;IF($S2452&lt;&gt;"Có","SĐT sai định dạng; ","")&amp;IF($R2452="Trùng","Trùng SĐT; ","")&amp;IF($Q2452&lt;&gt;"Có","Thiếu đồng ý bắt buộc; ","")&amp;IF($L2452="","Thiếu/sai Mã REF; ",IF(AND($L2452="Chưa xác định",DANH_MUC!$L$9&lt;&gt;"Có"),"Nguồn chưa xác định; ","")))</f>
        <v/>
      </c>
      <c r="V2452" s="22">
        <f>IF(OR($D2452="",$R2452="Trùng"),"",IF(COUNTIF(ORDERS!$C$2:$C$4995,$D2452)&gt;0,"Có","Không"))</f>
        <v/>
      </c>
      <c r="W2452" s="22">
        <f>IF(OR($D2452="",$R2452="Trùng"),"",COUNTIFS(ORDERS!$C$2:$C$4995,$D2452,ORDERS!$L$2:$L$4995,"Đã chuyển khoản"))</f>
        <v/>
      </c>
      <c r="X2452" s="23">
        <f>IF(OR($D2452="",$R2452="Trùng"),"",SUMIFS(ORDERS!$J$2:$J$4995,ORDERS!$C$2:$C$4995,$D2452,ORDERS!$L$2:$L$4995,"Đã chuyển khoản"))</f>
        <v/>
      </c>
      <c r="Y2452" s="24" t="n"/>
    </row>
    <row r="2453" ht="14.25" customHeight="1" s="40">
      <c r="A2453" s="24" t="n"/>
      <c r="B2453" s="27" t="n"/>
      <c r="C2453" s="24" t="n"/>
      <c r="D2453" s="28" t="n"/>
      <c r="E2453" s="29" t="n"/>
      <c r="F2453" s="24" t="n"/>
      <c r="G2453" s="24" t="n"/>
      <c r="H2453" s="21">
        <f>IF(ISNUMBER($B2453),INT($B2453)-WEEKDAY($B2453,2)+1,"")</f>
        <v/>
      </c>
      <c r="I2453" s="24" t="n"/>
      <c r="J2453" s="22">
        <f t="array" ref="J2453">IF($D2453="","",IF($I2453="","(trống REF)",IFERROR(INDEX(MASTER_SOURCE!$B$2:$B$495,MATCH($I2453,MASTER_SOURCE!$A$2:$A$495,0)),"(REF không có trong MASTER_SOURCE)")))</f>
        <v/>
      </c>
      <c r="K2453" s="22">
        <f t="array" ref="K2453">IF($D2453="","",IFERROR(INDEX(MASTER_SOURCE!$C$2:$C$495,MATCH($I2453,MASTER_SOURCE!$A$2:$A$495,0)),""))</f>
        <v/>
      </c>
      <c r="L2453" s="22">
        <f t="array" ref="L2453">IF($D2453="","",IFERROR(INDEX(MASTER_SOURCE!$D$2:$D$495,MATCH($I2453,MASTER_SOURCE!$A$2:$A$495,0)),""))</f>
        <v/>
      </c>
      <c r="M2453" s="24" t="n"/>
      <c r="N2453" s="24" t="n"/>
      <c r="O2453" s="24" t="n"/>
      <c r="P2453" s="24" t="n"/>
      <c r="Q2453" s="22">
        <f>IF($D2453="","",IF(AND(OR(DANH_MUC!$L$5&lt;&gt;"Có",M2453="Có"),OR(DANH_MUC!$L$6&lt;&gt;"Có",N2453="Có"),OR(DANH_MUC!$L$7&lt;&gt;"Có",O2453="Có"),OR(DANH_MUC!$L$8&lt;&gt;"Có",P2453="Có")),"Có","Không"))</f>
        <v/>
      </c>
      <c r="R2453" s="22">
        <f>IF($D2453="","",IF(COUNTIF($D$2:$D2453,$D2453)&gt;1,"Trùng",""))</f>
        <v/>
      </c>
      <c r="S2453" s="22">
        <f>IF($D2453="","",IF(AND(LEN($D2453)=10,LEFT($D2453,1)="0",ISNUMBER(--$D2453)),"Có","Không"))</f>
        <v/>
      </c>
      <c r="T2453" s="22">
        <f>IF($D2453="","",IF(AND($C2453&lt;&gt;"",$Q2453="Có",$R2453="",$S2453="Có",AND($L2453&lt;&gt;"",OR($L2453&lt;&gt;"Chưa xác định",DANH_MUC!$L$9="Có"))),"Có","Không"))</f>
        <v/>
      </c>
      <c r="U2453" s="22">
        <f>IF(OR($D2453="",$T2453="Có"),"",IF($C2453="","Thiếu họ tên; ","")&amp;IF($S2453&lt;&gt;"Có","SĐT sai định dạng; ","")&amp;IF($R2453="Trùng","Trùng SĐT; ","")&amp;IF($Q2453&lt;&gt;"Có","Thiếu đồng ý bắt buộc; ","")&amp;IF($L2453="","Thiếu/sai Mã REF; ",IF(AND($L2453="Chưa xác định",DANH_MUC!$L$9&lt;&gt;"Có"),"Nguồn chưa xác định; ","")))</f>
        <v/>
      </c>
      <c r="V2453" s="22">
        <f>IF(OR($D2453="",$R2453="Trùng"),"",IF(COUNTIF(ORDERS!$C$2:$C$4995,$D2453)&gt;0,"Có","Không"))</f>
        <v/>
      </c>
      <c r="W2453" s="22">
        <f>IF(OR($D2453="",$R2453="Trùng"),"",COUNTIFS(ORDERS!$C$2:$C$4995,$D2453,ORDERS!$L$2:$L$4995,"Đã chuyển khoản"))</f>
        <v/>
      </c>
      <c r="X2453" s="23">
        <f>IF(OR($D2453="",$R2453="Trùng"),"",SUMIFS(ORDERS!$J$2:$J$4995,ORDERS!$C$2:$C$4995,$D2453,ORDERS!$L$2:$L$4995,"Đã chuyển khoản"))</f>
        <v/>
      </c>
      <c r="Y2453" s="24" t="n"/>
    </row>
    <row r="2454" ht="14.25" customHeight="1" s="40">
      <c r="A2454" s="24" t="n"/>
      <c r="B2454" s="27" t="n"/>
      <c r="C2454" s="24" t="n"/>
      <c r="D2454" s="28" t="n"/>
      <c r="E2454" s="29" t="n"/>
      <c r="F2454" s="24" t="n"/>
      <c r="G2454" s="24" t="n"/>
      <c r="H2454" s="21">
        <f>IF(ISNUMBER($B2454),INT($B2454)-WEEKDAY($B2454,2)+1,"")</f>
        <v/>
      </c>
      <c r="I2454" s="24" t="n"/>
      <c r="J2454" s="22">
        <f t="array" ref="J2454">IF($D2454="","",IF($I2454="","(trống REF)",IFERROR(INDEX(MASTER_SOURCE!$B$2:$B$495,MATCH($I2454,MASTER_SOURCE!$A$2:$A$495,0)),"(REF không có trong MASTER_SOURCE)")))</f>
        <v/>
      </c>
      <c r="K2454" s="22">
        <f t="array" ref="K2454">IF($D2454="","",IFERROR(INDEX(MASTER_SOURCE!$C$2:$C$495,MATCH($I2454,MASTER_SOURCE!$A$2:$A$495,0)),""))</f>
        <v/>
      </c>
      <c r="L2454" s="22">
        <f t="array" ref="L2454">IF($D2454="","",IFERROR(INDEX(MASTER_SOURCE!$D$2:$D$495,MATCH($I2454,MASTER_SOURCE!$A$2:$A$495,0)),""))</f>
        <v/>
      </c>
      <c r="M2454" s="24" t="n"/>
      <c r="N2454" s="24" t="n"/>
      <c r="O2454" s="24" t="n"/>
      <c r="P2454" s="24" t="n"/>
      <c r="Q2454" s="22">
        <f>IF($D2454="","",IF(AND(OR(DANH_MUC!$L$5&lt;&gt;"Có",M2454="Có"),OR(DANH_MUC!$L$6&lt;&gt;"Có",N2454="Có"),OR(DANH_MUC!$L$7&lt;&gt;"Có",O2454="Có"),OR(DANH_MUC!$L$8&lt;&gt;"Có",P2454="Có")),"Có","Không"))</f>
        <v/>
      </c>
      <c r="R2454" s="22">
        <f>IF($D2454="","",IF(COUNTIF($D$2:$D2454,$D2454)&gt;1,"Trùng",""))</f>
        <v/>
      </c>
      <c r="S2454" s="22">
        <f>IF($D2454="","",IF(AND(LEN($D2454)=10,LEFT($D2454,1)="0",ISNUMBER(--$D2454)),"Có","Không"))</f>
        <v/>
      </c>
      <c r="T2454" s="22">
        <f>IF($D2454="","",IF(AND($C2454&lt;&gt;"",$Q2454="Có",$R2454="",$S2454="Có",AND($L2454&lt;&gt;"",OR($L2454&lt;&gt;"Chưa xác định",DANH_MUC!$L$9="Có"))),"Có","Không"))</f>
        <v/>
      </c>
      <c r="U2454" s="22">
        <f>IF(OR($D2454="",$T2454="Có"),"",IF($C2454="","Thiếu họ tên; ","")&amp;IF($S2454&lt;&gt;"Có","SĐT sai định dạng; ","")&amp;IF($R2454="Trùng","Trùng SĐT; ","")&amp;IF($Q2454&lt;&gt;"Có","Thiếu đồng ý bắt buộc; ","")&amp;IF($L2454="","Thiếu/sai Mã REF; ",IF(AND($L2454="Chưa xác định",DANH_MUC!$L$9&lt;&gt;"Có"),"Nguồn chưa xác định; ","")))</f>
        <v/>
      </c>
      <c r="V2454" s="22">
        <f>IF(OR($D2454="",$R2454="Trùng"),"",IF(COUNTIF(ORDERS!$C$2:$C$4995,$D2454)&gt;0,"Có","Không"))</f>
        <v/>
      </c>
      <c r="W2454" s="22">
        <f>IF(OR($D2454="",$R2454="Trùng"),"",COUNTIFS(ORDERS!$C$2:$C$4995,$D2454,ORDERS!$L$2:$L$4995,"Đã chuyển khoản"))</f>
        <v/>
      </c>
      <c r="X2454" s="23">
        <f>IF(OR($D2454="",$R2454="Trùng"),"",SUMIFS(ORDERS!$J$2:$J$4995,ORDERS!$C$2:$C$4995,$D2454,ORDERS!$L$2:$L$4995,"Đã chuyển khoản"))</f>
        <v/>
      </c>
      <c r="Y2454" s="24" t="n"/>
    </row>
    <row r="2455" ht="14.25" customHeight="1" s="40">
      <c r="A2455" s="24" t="n"/>
      <c r="B2455" s="27" t="n"/>
      <c r="C2455" s="24" t="n"/>
      <c r="D2455" s="28" t="n"/>
      <c r="E2455" s="29" t="n"/>
      <c r="F2455" s="24" t="n"/>
      <c r="G2455" s="24" t="n"/>
      <c r="H2455" s="21">
        <f>IF(ISNUMBER($B2455),INT($B2455)-WEEKDAY($B2455,2)+1,"")</f>
        <v/>
      </c>
      <c r="I2455" s="24" t="n"/>
      <c r="J2455" s="22">
        <f t="array" ref="J2455">IF($D2455="","",IF($I2455="","(trống REF)",IFERROR(INDEX(MASTER_SOURCE!$B$2:$B$495,MATCH($I2455,MASTER_SOURCE!$A$2:$A$495,0)),"(REF không có trong MASTER_SOURCE)")))</f>
        <v/>
      </c>
      <c r="K2455" s="22">
        <f t="array" ref="K2455">IF($D2455="","",IFERROR(INDEX(MASTER_SOURCE!$C$2:$C$495,MATCH($I2455,MASTER_SOURCE!$A$2:$A$495,0)),""))</f>
        <v/>
      </c>
      <c r="L2455" s="22">
        <f t="array" ref="L2455">IF($D2455="","",IFERROR(INDEX(MASTER_SOURCE!$D$2:$D$495,MATCH($I2455,MASTER_SOURCE!$A$2:$A$495,0)),""))</f>
        <v/>
      </c>
      <c r="M2455" s="24" t="n"/>
      <c r="N2455" s="24" t="n"/>
      <c r="O2455" s="24" t="n"/>
      <c r="P2455" s="24" t="n"/>
      <c r="Q2455" s="22">
        <f>IF($D2455="","",IF(AND(OR(DANH_MUC!$L$5&lt;&gt;"Có",M2455="Có"),OR(DANH_MUC!$L$6&lt;&gt;"Có",N2455="Có"),OR(DANH_MUC!$L$7&lt;&gt;"Có",O2455="Có"),OR(DANH_MUC!$L$8&lt;&gt;"Có",P2455="Có")),"Có","Không"))</f>
        <v/>
      </c>
      <c r="R2455" s="22">
        <f>IF($D2455="","",IF(COUNTIF($D$2:$D2455,$D2455)&gt;1,"Trùng",""))</f>
        <v/>
      </c>
      <c r="S2455" s="22">
        <f>IF($D2455="","",IF(AND(LEN($D2455)=10,LEFT($D2455,1)="0",ISNUMBER(--$D2455)),"Có","Không"))</f>
        <v/>
      </c>
      <c r="T2455" s="22">
        <f>IF($D2455="","",IF(AND($C2455&lt;&gt;"",$Q2455="Có",$R2455="",$S2455="Có",AND($L2455&lt;&gt;"",OR($L2455&lt;&gt;"Chưa xác định",DANH_MUC!$L$9="Có"))),"Có","Không"))</f>
        <v/>
      </c>
      <c r="U2455" s="22">
        <f>IF(OR($D2455="",$T2455="Có"),"",IF($C2455="","Thiếu họ tên; ","")&amp;IF($S2455&lt;&gt;"Có","SĐT sai định dạng; ","")&amp;IF($R2455="Trùng","Trùng SĐT; ","")&amp;IF($Q2455&lt;&gt;"Có","Thiếu đồng ý bắt buộc; ","")&amp;IF($L2455="","Thiếu/sai Mã REF; ",IF(AND($L2455="Chưa xác định",DANH_MUC!$L$9&lt;&gt;"Có"),"Nguồn chưa xác định; ","")))</f>
        <v/>
      </c>
      <c r="V2455" s="22">
        <f>IF(OR($D2455="",$R2455="Trùng"),"",IF(COUNTIF(ORDERS!$C$2:$C$4995,$D2455)&gt;0,"Có","Không"))</f>
        <v/>
      </c>
      <c r="W2455" s="22">
        <f>IF(OR($D2455="",$R2455="Trùng"),"",COUNTIFS(ORDERS!$C$2:$C$4995,$D2455,ORDERS!$L$2:$L$4995,"Đã chuyển khoản"))</f>
        <v/>
      </c>
      <c r="X2455" s="23">
        <f>IF(OR($D2455="",$R2455="Trùng"),"",SUMIFS(ORDERS!$J$2:$J$4995,ORDERS!$C$2:$C$4995,$D2455,ORDERS!$L$2:$L$4995,"Đã chuyển khoản"))</f>
        <v/>
      </c>
      <c r="Y2455" s="24" t="n"/>
    </row>
    <row r="2456" ht="14.25" customHeight="1" s="40">
      <c r="A2456" s="24" t="n"/>
      <c r="B2456" s="27" t="n"/>
      <c r="C2456" s="24" t="n"/>
      <c r="D2456" s="28" t="n"/>
      <c r="E2456" s="29" t="n"/>
      <c r="F2456" s="24" t="n"/>
      <c r="G2456" s="24" t="n"/>
      <c r="H2456" s="21">
        <f>IF(ISNUMBER($B2456),INT($B2456)-WEEKDAY($B2456,2)+1,"")</f>
        <v/>
      </c>
      <c r="I2456" s="24" t="n"/>
      <c r="J2456" s="22">
        <f t="array" ref="J2456">IF($D2456="","",IF($I2456="","(trống REF)",IFERROR(INDEX(MASTER_SOURCE!$B$2:$B$495,MATCH($I2456,MASTER_SOURCE!$A$2:$A$495,0)),"(REF không có trong MASTER_SOURCE)")))</f>
        <v/>
      </c>
      <c r="K2456" s="22">
        <f t="array" ref="K2456">IF($D2456="","",IFERROR(INDEX(MASTER_SOURCE!$C$2:$C$495,MATCH($I2456,MASTER_SOURCE!$A$2:$A$495,0)),""))</f>
        <v/>
      </c>
      <c r="L2456" s="22">
        <f t="array" ref="L2456">IF($D2456="","",IFERROR(INDEX(MASTER_SOURCE!$D$2:$D$495,MATCH($I2456,MASTER_SOURCE!$A$2:$A$495,0)),""))</f>
        <v/>
      </c>
      <c r="M2456" s="24" t="n"/>
      <c r="N2456" s="24" t="n"/>
      <c r="O2456" s="24" t="n"/>
      <c r="P2456" s="24" t="n"/>
      <c r="Q2456" s="22">
        <f>IF($D2456="","",IF(AND(OR(DANH_MUC!$L$5&lt;&gt;"Có",M2456="Có"),OR(DANH_MUC!$L$6&lt;&gt;"Có",N2456="Có"),OR(DANH_MUC!$L$7&lt;&gt;"Có",O2456="Có"),OR(DANH_MUC!$L$8&lt;&gt;"Có",P2456="Có")),"Có","Không"))</f>
        <v/>
      </c>
      <c r="R2456" s="22">
        <f>IF($D2456="","",IF(COUNTIF($D$2:$D2456,$D2456)&gt;1,"Trùng",""))</f>
        <v/>
      </c>
      <c r="S2456" s="22">
        <f>IF($D2456="","",IF(AND(LEN($D2456)=10,LEFT($D2456,1)="0",ISNUMBER(--$D2456)),"Có","Không"))</f>
        <v/>
      </c>
      <c r="T2456" s="22">
        <f>IF($D2456="","",IF(AND($C2456&lt;&gt;"",$Q2456="Có",$R2456="",$S2456="Có",AND($L2456&lt;&gt;"",OR($L2456&lt;&gt;"Chưa xác định",DANH_MUC!$L$9="Có"))),"Có","Không"))</f>
        <v/>
      </c>
      <c r="U2456" s="22">
        <f>IF(OR($D2456="",$T2456="Có"),"",IF($C2456="","Thiếu họ tên; ","")&amp;IF($S2456&lt;&gt;"Có","SĐT sai định dạng; ","")&amp;IF($R2456="Trùng","Trùng SĐT; ","")&amp;IF($Q2456&lt;&gt;"Có","Thiếu đồng ý bắt buộc; ","")&amp;IF($L2456="","Thiếu/sai Mã REF; ",IF(AND($L2456="Chưa xác định",DANH_MUC!$L$9&lt;&gt;"Có"),"Nguồn chưa xác định; ","")))</f>
        <v/>
      </c>
      <c r="V2456" s="22">
        <f>IF(OR($D2456="",$R2456="Trùng"),"",IF(COUNTIF(ORDERS!$C$2:$C$4995,$D2456)&gt;0,"Có","Không"))</f>
        <v/>
      </c>
      <c r="W2456" s="22">
        <f>IF(OR($D2456="",$R2456="Trùng"),"",COUNTIFS(ORDERS!$C$2:$C$4995,$D2456,ORDERS!$L$2:$L$4995,"Đã chuyển khoản"))</f>
        <v/>
      </c>
      <c r="X2456" s="23">
        <f>IF(OR($D2456="",$R2456="Trùng"),"",SUMIFS(ORDERS!$J$2:$J$4995,ORDERS!$C$2:$C$4995,$D2456,ORDERS!$L$2:$L$4995,"Đã chuyển khoản"))</f>
        <v/>
      </c>
      <c r="Y2456" s="24" t="n"/>
    </row>
    <row r="2457" ht="14.25" customHeight="1" s="40">
      <c r="A2457" s="24" t="n"/>
      <c r="B2457" s="27" t="n"/>
      <c r="C2457" s="24" t="n"/>
      <c r="D2457" s="28" t="n"/>
      <c r="E2457" s="29" t="n"/>
      <c r="F2457" s="24" t="n"/>
      <c r="G2457" s="24" t="n"/>
      <c r="H2457" s="21">
        <f>IF(ISNUMBER($B2457),INT($B2457)-WEEKDAY($B2457,2)+1,"")</f>
        <v/>
      </c>
      <c r="I2457" s="24" t="n"/>
      <c r="J2457" s="22">
        <f t="array" ref="J2457">IF($D2457="","",IF($I2457="","(trống REF)",IFERROR(INDEX(MASTER_SOURCE!$B$2:$B$495,MATCH($I2457,MASTER_SOURCE!$A$2:$A$495,0)),"(REF không có trong MASTER_SOURCE)")))</f>
        <v/>
      </c>
      <c r="K2457" s="22">
        <f t="array" ref="K2457">IF($D2457="","",IFERROR(INDEX(MASTER_SOURCE!$C$2:$C$495,MATCH($I2457,MASTER_SOURCE!$A$2:$A$495,0)),""))</f>
        <v/>
      </c>
      <c r="L2457" s="22">
        <f t="array" ref="L2457">IF($D2457="","",IFERROR(INDEX(MASTER_SOURCE!$D$2:$D$495,MATCH($I2457,MASTER_SOURCE!$A$2:$A$495,0)),""))</f>
        <v/>
      </c>
      <c r="M2457" s="24" t="n"/>
      <c r="N2457" s="24" t="n"/>
      <c r="O2457" s="24" t="n"/>
      <c r="P2457" s="24" t="n"/>
      <c r="Q2457" s="22">
        <f>IF($D2457="","",IF(AND(OR(DANH_MUC!$L$5&lt;&gt;"Có",M2457="Có"),OR(DANH_MUC!$L$6&lt;&gt;"Có",N2457="Có"),OR(DANH_MUC!$L$7&lt;&gt;"Có",O2457="Có"),OR(DANH_MUC!$L$8&lt;&gt;"Có",P2457="Có")),"Có","Không"))</f>
        <v/>
      </c>
      <c r="R2457" s="22">
        <f>IF($D2457="","",IF(COUNTIF($D$2:$D2457,$D2457)&gt;1,"Trùng",""))</f>
        <v/>
      </c>
      <c r="S2457" s="22">
        <f>IF($D2457="","",IF(AND(LEN($D2457)=10,LEFT($D2457,1)="0",ISNUMBER(--$D2457)),"Có","Không"))</f>
        <v/>
      </c>
      <c r="T2457" s="22">
        <f>IF($D2457="","",IF(AND($C2457&lt;&gt;"",$Q2457="Có",$R2457="",$S2457="Có",AND($L2457&lt;&gt;"",OR($L2457&lt;&gt;"Chưa xác định",DANH_MUC!$L$9="Có"))),"Có","Không"))</f>
        <v/>
      </c>
      <c r="U2457" s="22">
        <f>IF(OR($D2457="",$T2457="Có"),"",IF($C2457="","Thiếu họ tên; ","")&amp;IF($S2457&lt;&gt;"Có","SĐT sai định dạng; ","")&amp;IF($R2457="Trùng","Trùng SĐT; ","")&amp;IF($Q2457&lt;&gt;"Có","Thiếu đồng ý bắt buộc; ","")&amp;IF($L2457="","Thiếu/sai Mã REF; ",IF(AND($L2457="Chưa xác định",DANH_MUC!$L$9&lt;&gt;"Có"),"Nguồn chưa xác định; ","")))</f>
        <v/>
      </c>
      <c r="V2457" s="22">
        <f>IF(OR($D2457="",$R2457="Trùng"),"",IF(COUNTIF(ORDERS!$C$2:$C$4995,$D2457)&gt;0,"Có","Không"))</f>
        <v/>
      </c>
      <c r="W2457" s="22">
        <f>IF(OR($D2457="",$R2457="Trùng"),"",COUNTIFS(ORDERS!$C$2:$C$4995,$D2457,ORDERS!$L$2:$L$4995,"Đã chuyển khoản"))</f>
        <v/>
      </c>
      <c r="X2457" s="23">
        <f>IF(OR($D2457="",$R2457="Trùng"),"",SUMIFS(ORDERS!$J$2:$J$4995,ORDERS!$C$2:$C$4995,$D2457,ORDERS!$L$2:$L$4995,"Đã chuyển khoản"))</f>
        <v/>
      </c>
      <c r="Y2457" s="24" t="n"/>
    </row>
    <row r="2458" ht="14.25" customHeight="1" s="40">
      <c r="A2458" s="24" t="n"/>
      <c r="B2458" s="27" t="n"/>
      <c r="C2458" s="24" t="n"/>
      <c r="D2458" s="28" t="n"/>
      <c r="E2458" s="29" t="n"/>
      <c r="F2458" s="24" t="n"/>
      <c r="G2458" s="24" t="n"/>
      <c r="H2458" s="21">
        <f>IF(ISNUMBER($B2458),INT($B2458)-WEEKDAY($B2458,2)+1,"")</f>
        <v/>
      </c>
      <c r="I2458" s="24" t="n"/>
      <c r="J2458" s="22">
        <f t="array" ref="J2458">IF($D2458="","",IF($I2458="","(trống REF)",IFERROR(INDEX(MASTER_SOURCE!$B$2:$B$495,MATCH($I2458,MASTER_SOURCE!$A$2:$A$495,0)),"(REF không có trong MASTER_SOURCE)")))</f>
        <v/>
      </c>
      <c r="K2458" s="22">
        <f t="array" ref="K2458">IF($D2458="","",IFERROR(INDEX(MASTER_SOURCE!$C$2:$C$495,MATCH($I2458,MASTER_SOURCE!$A$2:$A$495,0)),""))</f>
        <v/>
      </c>
      <c r="L2458" s="22">
        <f t="array" ref="L2458">IF($D2458="","",IFERROR(INDEX(MASTER_SOURCE!$D$2:$D$495,MATCH($I2458,MASTER_SOURCE!$A$2:$A$495,0)),""))</f>
        <v/>
      </c>
      <c r="M2458" s="24" t="n"/>
      <c r="N2458" s="24" t="n"/>
      <c r="O2458" s="24" t="n"/>
      <c r="P2458" s="24" t="n"/>
      <c r="Q2458" s="22">
        <f>IF($D2458="","",IF(AND(OR(DANH_MUC!$L$5&lt;&gt;"Có",M2458="Có"),OR(DANH_MUC!$L$6&lt;&gt;"Có",N2458="Có"),OR(DANH_MUC!$L$7&lt;&gt;"Có",O2458="Có"),OR(DANH_MUC!$L$8&lt;&gt;"Có",P2458="Có")),"Có","Không"))</f>
        <v/>
      </c>
      <c r="R2458" s="22">
        <f>IF($D2458="","",IF(COUNTIF($D$2:$D2458,$D2458)&gt;1,"Trùng",""))</f>
        <v/>
      </c>
      <c r="S2458" s="22">
        <f>IF($D2458="","",IF(AND(LEN($D2458)=10,LEFT($D2458,1)="0",ISNUMBER(--$D2458)),"Có","Không"))</f>
        <v/>
      </c>
      <c r="T2458" s="22">
        <f>IF($D2458="","",IF(AND($C2458&lt;&gt;"",$Q2458="Có",$R2458="",$S2458="Có",AND($L2458&lt;&gt;"",OR($L2458&lt;&gt;"Chưa xác định",DANH_MUC!$L$9="Có"))),"Có","Không"))</f>
        <v/>
      </c>
      <c r="U2458" s="22">
        <f>IF(OR($D2458="",$T2458="Có"),"",IF($C2458="","Thiếu họ tên; ","")&amp;IF($S2458&lt;&gt;"Có","SĐT sai định dạng; ","")&amp;IF($R2458="Trùng","Trùng SĐT; ","")&amp;IF($Q2458&lt;&gt;"Có","Thiếu đồng ý bắt buộc; ","")&amp;IF($L2458="","Thiếu/sai Mã REF; ",IF(AND($L2458="Chưa xác định",DANH_MUC!$L$9&lt;&gt;"Có"),"Nguồn chưa xác định; ","")))</f>
        <v/>
      </c>
      <c r="V2458" s="22">
        <f>IF(OR($D2458="",$R2458="Trùng"),"",IF(COUNTIF(ORDERS!$C$2:$C$4995,$D2458)&gt;0,"Có","Không"))</f>
        <v/>
      </c>
      <c r="W2458" s="22">
        <f>IF(OR($D2458="",$R2458="Trùng"),"",COUNTIFS(ORDERS!$C$2:$C$4995,$D2458,ORDERS!$L$2:$L$4995,"Đã chuyển khoản"))</f>
        <v/>
      </c>
      <c r="X2458" s="23">
        <f>IF(OR($D2458="",$R2458="Trùng"),"",SUMIFS(ORDERS!$J$2:$J$4995,ORDERS!$C$2:$C$4995,$D2458,ORDERS!$L$2:$L$4995,"Đã chuyển khoản"))</f>
        <v/>
      </c>
      <c r="Y2458" s="24" t="n"/>
    </row>
    <row r="2459" ht="14.25" customHeight="1" s="40">
      <c r="A2459" s="24" t="n"/>
      <c r="B2459" s="27" t="n"/>
      <c r="C2459" s="24" t="n"/>
      <c r="D2459" s="28" t="n"/>
      <c r="E2459" s="29" t="n"/>
      <c r="F2459" s="24" t="n"/>
      <c r="G2459" s="24" t="n"/>
      <c r="H2459" s="21">
        <f>IF(ISNUMBER($B2459),INT($B2459)-WEEKDAY($B2459,2)+1,"")</f>
        <v/>
      </c>
      <c r="I2459" s="24" t="n"/>
      <c r="J2459" s="22">
        <f t="array" ref="J2459">IF($D2459="","",IF($I2459="","(trống REF)",IFERROR(INDEX(MASTER_SOURCE!$B$2:$B$495,MATCH($I2459,MASTER_SOURCE!$A$2:$A$495,0)),"(REF không có trong MASTER_SOURCE)")))</f>
        <v/>
      </c>
      <c r="K2459" s="22">
        <f t="array" ref="K2459">IF($D2459="","",IFERROR(INDEX(MASTER_SOURCE!$C$2:$C$495,MATCH($I2459,MASTER_SOURCE!$A$2:$A$495,0)),""))</f>
        <v/>
      </c>
      <c r="L2459" s="22">
        <f t="array" ref="L2459">IF($D2459="","",IFERROR(INDEX(MASTER_SOURCE!$D$2:$D$495,MATCH($I2459,MASTER_SOURCE!$A$2:$A$495,0)),""))</f>
        <v/>
      </c>
      <c r="M2459" s="24" t="n"/>
      <c r="N2459" s="24" t="n"/>
      <c r="O2459" s="24" t="n"/>
      <c r="P2459" s="24" t="n"/>
      <c r="Q2459" s="22">
        <f>IF($D2459="","",IF(AND(OR(DANH_MUC!$L$5&lt;&gt;"Có",M2459="Có"),OR(DANH_MUC!$L$6&lt;&gt;"Có",N2459="Có"),OR(DANH_MUC!$L$7&lt;&gt;"Có",O2459="Có"),OR(DANH_MUC!$L$8&lt;&gt;"Có",P2459="Có")),"Có","Không"))</f>
        <v/>
      </c>
      <c r="R2459" s="22">
        <f>IF($D2459="","",IF(COUNTIF($D$2:$D2459,$D2459)&gt;1,"Trùng",""))</f>
        <v/>
      </c>
      <c r="S2459" s="22">
        <f>IF($D2459="","",IF(AND(LEN($D2459)=10,LEFT($D2459,1)="0",ISNUMBER(--$D2459)),"Có","Không"))</f>
        <v/>
      </c>
      <c r="T2459" s="22">
        <f>IF($D2459="","",IF(AND($C2459&lt;&gt;"",$Q2459="Có",$R2459="",$S2459="Có",AND($L2459&lt;&gt;"",OR($L2459&lt;&gt;"Chưa xác định",DANH_MUC!$L$9="Có"))),"Có","Không"))</f>
        <v/>
      </c>
      <c r="U2459" s="22">
        <f>IF(OR($D2459="",$T2459="Có"),"",IF($C2459="","Thiếu họ tên; ","")&amp;IF($S2459&lt;&gt;"Có","SĐT sai định dạng; ","")&amp;IF($R2459="Trùng","Trùng SĐT; ","")&amp;IF($Q2459&lt;&gt;"Có","Thiếu đồng ý bắt buộc; ","")&amp;IF($L2459="","Thiếu/sai Mã REF; ",IF(AND($L2459="Chưa xác định",DANH_MUC!$L$9&lt;&gt;"Có"),"Nguồn chưa xác định; ","")))</f>
        <v/>
      </c>
      <c r="V2459" s="22">
        <f>IF(OR($D2459="",$R2459="Trùng"),"",IF(COUNTIF(ORDERS!$C$2:$C$4995,$D2459)&gt;0,"Có","Không"))</f>
        <v/>
      </c>
      <c r="W2459" s="22">
        <f>IF(OR($D2459="",$R2459="Trùng"),"",COUNTIFS(ORDERS!$C$2:$C$4995,$D2459,ORDERS!$L$2:$L$4995,"Đã chuyển khoản"))</f>
        <v/>
      </c>
      <c r="X2459" s="23">
        <f>IF(OR($D2459="",$R2459="Trùng"),"",SUMIFS(ORDERS!$J$2:$J$4995,ORDERS!$C$2:$C$4995,$D2459,ORDERS!$L$2:$L$4995,"Đã chuyển khoản"))</f>
        <v/>
      </c>
      <c r="Y2459" s="24" t="n"/>
    </row>
    <row r="2460" ht="14.25" customHeight="1" s="40">
      <c r="A2460" s="24" t="n"/>
      <c r="B2460" s="27" t="n"/>
      <c r="C2460" s="24" t="n"/>
      <c r="D2460" s="28" t="n"/>
      <c r="E2460" s="29" t="n"/>
      <c r="F2460" s="24" t="n"/>
      <c r="G2460" s="24" t="n"/>
      <c r="H2460" s="21">
        <f>IF(ISNUMBER($B2460),INT($B2460)-WEEKDAY($B2460,2)+1,"")</f>
        <v/>
      </c>
      <c r="I2460" s="24" t="n"/>
      <c r="J2460" s="22">
        <f t="array" ref="J2460">IF($D2460="","",IF($I2460="","(trống REF)",IFERROR(INDEX(MASTER_SOURCE!$B$2:$B$495,MATCH($I2460,MASTER_SOURCE!$A$2:$A$495,0)),"(REF không có trong MASTER_SOURCE)")))</f>
        <v/>
      </c>
      <c r="K2460" s="22">
        <f t="array" ref="K2460">IF($D2460="","",IFERROR(INDEX(MASTER_SOURCE!$C$2:$C$495,MATCH($I2460,MASTER_SOURCE!$A$2:$A$495,0)),""))</f>
        <v/>
      </c>
      <c r="L2460" s="22">
        <f t="array" ref="L2460">IF($D2460="","",IFERROR(INDEX(MASTER_SOURCE!$D$2:$D$495,MATCH($I2460,MASTER_SOURCE!$A$2:$A$495,0)),""))</f>
        <v/>
      </c>
      <c r="M2460" s="24" t="n"/>
      <c r="N2460" s="24" t="n"/>
      <c r="O2460" s="24" t="n"/>
      <c r="P2460" s="24" t="n"/>
      <c r="Q2460" s="22">
        <f>IF($D2460="","",IF(AND(OR(DANH_MUC!$L$5&lt;&gt;"Có",M2460="Có"),OR(DANH_MUC!$L$6&lt;&gt;"Có",N2460="Có"),OR(DANH_MUC!$L$7&lt;&gt;"Có",O2460="Có"),OR(DANH_MUC!$L$8&lt;&gt;"Có",P2460="Có")),"Có","Không"))</f>
        <v/>
      </c>
      <c r="R2460" s="22">
        <f>IF($D2460="","",IF(COUNTIF($D$2:$D2460,$D2460)&gt;1,"Trùng",""))</f>
        <v/>
      </c>
      <c r="S2460" s="22">
        <f>IF($D2460="","",IF(AND(LEN($D2460)=10,LEFT($D2460,1)="0",ISNUMBER(--$D2460)),"Có","Không"))</f>
        <v/>
      </c>
      <c r="T2460" s="22">
        <f>IF($D2460="","",IF(AND($C2460&lt;&gt;"",$Q2460="Có",$R2460="",$S2460="Có",AND($L2460&lt;&gt;"",OR($L2460&lt;&gt;"Chưa xác định",DANH_MUC!$L$9="Có"))),"Có","Không"))</f>
        <v/>
      </c>
      <c r="U2460" s="22">
        <f>IF(OR($D2460="",$T2460="Có"),"",IF($C2460="","Thiếu họ tên; ","")&amp;IF($S2460&lt;&gt;"Có","SĐT sai định dạng; ","")&amp;IF($R2460="Trùng","Trùng SĐT; ","")&amp;IF($Q2460&lt;&gt;"Có","Thiếu đồng ý bắt buộc; ","")&amp;IF($L2460="","Thiếu/sai Mã REF; ",IF(AND($L2460="Chưa xác định",DANH_MUC!$L$9&lt;&gt;"Có"),"Nguồn chưa xác định; ","")))</f>
        <v/>
      </c>
      <c r="V2460" s="22">
        <f>IF(OR($D2460="",$R2460="Trùng"),"",IF(COUNTIF(ORDERS!$C$2:$C$4995,$D2460)&gt;0,"Có","Không"))</f>
        <v/>
      </c>
      <c r="W2460" s="22">
        <f>IF(OR($D2460="",$R2460="Trùng"),"",COUNTIFS(ORDERS!$C$2:$C$4995,$D2460,ORDERS!$L$2:$L$4995,"Đã chuyển khoản"))</f>
        <v/>
      </c>
      <c r="X2460" s="23">
        <f>IF(OR($D2460="",$R2460="Trùng"),"",SUMIFS(ORDERS!$J$2:$J$4995,ORDERS!$C$2:$C$4995,$D2460,ORDERS!$L$2:$L$4995,"Đã chuyển khoản"))</f>
        <v/>
      </c>
      <c r="Y2460" s="24" t="n"/>
    </row>
    <row r="2461" ht="14.25" customHeight="1" s="40">
      <c r="A2461" s="24" t="n"/>
      <c r="B2461" s="27" t="n"/>
      <c r="C2461" s="24" t="n"/>
      <c r="D2461" s="28" t="n"/>
      <c r="E2461" s="29" t="n"/>
      <c r="F2461" s="24" t="n"/>
      <c r="G2461" s="24" t="n"/>
      <c r="H2461" s="21">
        <f>IF(ISNUMBER($B2461),INT($B2461)-WEEKDAY($B2461,2)+1,"")</f>
        <v/>
      </c>
      <c r="I2461" s="24" t="n"/>
      <c r="J2461" s="22">
        <f t="array" ref="J2461">IF($D2461="","",IF($I2461="","(trống REF)",IFERROR(INDEX(MASTER_SOURCE!$B$2:$B$495,MATCH($I2461,MASTER_SOURCE!$A$2:$A$495,0)),"(REF không có trong MASTER_SOURCE)")))</f>
        <v/>
      </c>
      <c r="K2461" s="22">
        <f t="array" ref="K2461">IF($D2461="","",IFERROR(INDEX(MASTER_SOURCE!$C$2:$C$495,MATCH($I2461,MASTER_SOURCE!$A$2:$A$495,0)),""))</f>
        <v/>
      </c>
      <c r="L2461" s="22">
        <f t="array" ref="L2461">IF($D2461="","",IFERROR(INDEX(MASTER_SOURCE!$D$2:$D$495,MATCH($I2461,MASTER_SOURCE!$A$2:$A$495,0)),""))</f>
        <v/>
      </c>
      <c r="M2461" s="24" t="n"/>
      <c r="N2461" s="24" t="n"/>
      <c r="O2461" s="24" t="n"/>
      <c r="P2461" s="24" t="n"/>
      <c r="Q2461" s="22">
        <f>IF($D2461="","",IF(AND(OR(DANH_MUC!$L$5&lt;&gt;"Có",M2461="Có"),OR(DANH_MUC!$L$6&lt;&gt;"Có",N2461="Có"),OR(DANH_MUC!$L$7&lt;&gt;"Có",O2461="Có"),OR(DANH_MUC!$L$8&lt;&gt;"Có",P2461="Có")),"Có","Không"))</f>
        <v/>
      </c>
      <c r="R2461" s="22">
        <f>IF($D2461="","",IF(COUNTIF($D$2:$D2461,$D2461)&gt;1,"Trùng",""))</f>
        <v/>
      </c>
      <c r="S2461" s="22">
        <f>IF($D2461="","",IF(AND(LEN($D2461)=10,LEFT($D2461,1)="0",ISNUMBER(--$D2461)),"Có","Không"))</f>
        <v/>
      </c>
      <c r="T2461" s="22">
        <f>IF($D2461="","",IF(AND($C2461&lt;&gt;"",$Q2461="Có",$R2461="",$S2461="Có",AND($L2461&lt;&gt;"",OR($L2461&lt;&gt;"Chưa xác định",DANH_MUC!$L$9="Có"))),"Có","Không"))</f>
        <v/>
      </c>
      <c r="U2461" s="22">
        <f>IF(OR($D2461="",$T2461="Có"),"",IF($C2461="","Thiếu họ tên; ","")&amp;IF($S2461&lt;&gt;"Có","SĐT sai định dạng; ","")&amp;IF($R2461="Trùng","Trùng SĐT; ","")&amp;IF($Q2461&lt;&gt;"Có","Thiếu đồng ý bắt buộc; ","")&amp;IF($L2461="","Thiếu/sai Mã REF; ",IF(AND($L2461="Chưa xác định",DANH_MUC!$L$9&lt;&gt;"Có"),"Nguồn chưa xác định; ","")))</f>
        <v/>
      </c>
      <c r="V2461" s="22">
        <f>IF(OR($D2461="",$R2461="Trùng"),"",IF(COUNTIF(ORDERS!$C$2:$C$4995,$D2461)&gt;0,"Có","Không"))</f>
        <v/>
      </c>
      <c r="W2461" s="22">
        <f>IF(OR($D2461="",$R2461="Trùng"),"",COUNTIFS(ORDERS!$C$2:$C$4995,$D2461,ORDERS!$L$2:$L$4995,"Đã chuyển khoản"))</f>
        <v/>
      </c>
      <c r="X2461" s="23">
        <f>IF(OR($D2461="",$R2461="Trùng"),"",SUMIFS(ORDERS!$J$2:$J$4995,ORDERS!$C$2:$C$4995,$D2461,ORDERS!$L$2:$L$4995,"Đã chuyển khoản"))</f>
        <v/>
      </c>
      <c r="Y2461" s="24" t="n"/>
    </row>
    <row r="2462" ht="14.25" customHeight="1" s="40">
      <c r="A2462" s="24" t="n"/>
      <c r="B2462" s="27" t="n"/>
      <c r="C2462" s="24" t="n"/>
      <c r="D2462" s="28" t="n"/>
      <c r="E2462" s="29" t="n"/>
      <c r="F2462" s="24" t="n"/>
      <c r="G2462" s="24" t="n"/>
      <c r="H2462" s="21">
        <f>IF(ISNUMBER($B2462),INT($B2462)-WEEKDAY($B2462,2)+1,"")</f>
        <v/>
      </c>
      <c r="I2462" s="24" t="n"/>
      <c r="J2462" s="22">
        <f t="array" ref="J2462">IF($D2462="","",IF($I2462="","(trống REF)",IFERROR(INDEX(MASTER_SOURCE!$B$2:$B$495,MATCH($I2462,MASTER_SOURCE!$A$2:$A$495,0)),"(REF không có trong MASTER_SOURCE)")))</f>
        <v/>
      </c>
      <c r="K2462" s="22">
        <f t="array" ref="K2462">IF($D2462="","",IFERROR(INDEX(MASTER_SOURCE!$C$2:$C$495,MATCH($I2462,MASTER_SOURCE!$A$2:$A$495,0)),""))</f>
        <v/>
      </c>
      <c r="L2462" s="22">
        <f t="array" ref="L2462">IF($D2462="","",IFERROR(INDEX(MASTER_SOURCE!$D$2:$D$495,MATCH($I2462,MASTER_SOURCE!$A$2:$A$495,0)),""))</f>
        <v/>
      </c>
      <c r="M2462" s="24" t="n"/>
      <c r="N2462" s="24" t="n"/>
      <c r="O2462" s="24" t="n"/>
      <c r="P2462" s="24" t="n"/>
      <c r="Q2462" s="22">
        <f>IF($D2462="","",IF(AND(OR(DANH_MUC!$L$5&lt;&gt;"Có",M2462="Có"),OR(DANH_MUC!$L$6&lt;&gt;"Có",N2462="Có"),OR(DANH_MUC!$L$7&lt;&gt;"Có",O2462="Có"),OR(DANH_MUC!$L$8&lt;&gt;"Có",P2462="Có")),"Có","Không"))</f>
        <v/>
      </c>
      <c r="R2462" s="22">
        <f>IF($D2462="","",IF(COUNTIF($D$2:$D2462,$D2462)&gt;1,"Trùng",""))</f>
        <v/>
      </c>
      <c r="S2462" s="22">
        <f>IF($D2462="","",IF(AND(LEN($D2462)=10,LEFT($D2462,1)="0",ISNUMBER(--$D2462)),"Có","Không"))</f>
        <v/>
      </c>
      <c r="T2462" s="22">
        <f>IF($D2462="","",IF(AND($C2462&lt;&gt;"",$Q2462="Có",$R2462="",$S2462="Có",AND($L2462&lt;&gt;"",OR($L2462&lt;&gt;"Chưa xác định",DANH_MUC!$L$9="Có"))),"Có","Không"))</f>
        <v/>
      </c>
      <c r="U2462" s="22">
        <f>IF(OR($D2462="",$T2462="Có"),"",IF($C2462="","Thiếu họ tên; ","")&amp;IF($S2462&lt;&gt;"Có","SĐT sai định dạng; ","")&amp;IF($R2462="Trùng","Trùng SĐT; ","")&amp;IF($Q2462&lt;&gt;"Có","Thiếu đồng ý bắt buộc; ","")&amp;IF($L2462="","Thiếu/sai Mã REF; ",IF(AND($L2462="Chưa xác định",DANH_MUC!$L$9&lt;&gt;"Có"),"Nguồn chưa xác định; ","")))</f>
        <v/>
      </c>
      <c r="V2462" s="22">
        <f>IF(OR($D2462="",$R2462="Trùng"),"",IF(COUNTIF(ORDERS!$C$2:$C$4995,$D2462)&gt;0,"Có","Không"))</f>
        <v/>
      </c>
      <c r="W2462" s="22">
        <f>IF(OR($D2462="",$R2462="Trùng"),"",COUNTIFS(ORDERS!$C$2:$C$4995,$D2462,ORDERS!$L$2:$L$4995,"Đã chuyển khoản"))</f>
        <v/>
      </c>
      <c r="X2462" s="23">
        <f>IF(OR($D2462="",$R2462="Trùng"),"",SUMIFS(ORDERS!$J$2:$J$4995,ORDERS!$C$2:$C$4995,$D2462,ORDERS!$L$2:$L$4995,"Đã chuyển khoản"))</f>
        <v/>
      </c>
      <c r="Y2462" s="24" t="n"/>
    </row>
    <row r="2463" ht="14.25" customHeight="1" s="40">
      <c r="A2463" s="24" t="n"/>
      <c r="B2463" s="27" t="n"/>
      <c r="C2463" s="24" t="n"/>
      <c r="D2463" s="28" t="n"/>
      <c r="E2463" s="29" t="n"/>
      <c r="F2463" s="24" t="n"/>
      <c r="G2463" s="24" t="n"/>
      <c r="H2463" s="21">
        <f>IF(ISNUMBER($B2463),INT($B2463)-WEEKDAY($B2463,2)+1,"")</f>
        <v/>
      </c>
      <c r="I2463" s="24" t="n"/>
      <c r="J2463" s="22">
        <f t="array" ref="J2463">IF($D2463="","",IF($I2463="","(trống REF)",IFERROR(INDEX(MASTER_SOURCE!$B$2:$B$495,MATCH($I2463,MASTER_SOURCE!$A$2:$A$495,0)),"(REF không có trong MASTER_SOURCE)")))</f>
        <v/>
      </c>
      <c r="K2463" s="22">
        <f t="array" ref="K2463">IF($D2463="","",IFERROR(INDEX(MASTER_SOURCE!$C$2:$C$495,MATCH($I2463,MASTER_SOURCE!$A$2:$A$495,0)),""))</f>
        <v/>
      </c>
      <c r="L2463" s="22">
        <f t="array" ref="L2463">IF($D2463="","",IFERROR(INDEX(MASTER_SOURCE!$D$2:$D$495,MATCH($I2463,MASTER_SOURCE!$A$2:$A$495,0)),""))</f>
        <v/>
      </c>
      <c r="M2463" s="24" t="n"/>
      <c r="N2463" s="24" t="n"/>
      <c r="O2463" s="24" t="n"/>
      <c r="P2463" s="24" t="n"/>
      <c r="Q2463" s="22">
        <f>IF($D2463="","",IF(AND(OR(DANH_MUC!$L$5&lt;&gt;"Có",M2463="Có"),OR(DANH_MUC!$L$6&lt;&gt;"Có",N2463="Có"),OR(DANH_MUC!$L$7&lt;&gt;"Có",O2463="Có"),OR(DANH_MUC!$L$8&lt;&gt;"Có",P2463="Có")),"Có","Không"))</f>
        <v/>
      </c>
      <c r="R2463" s="22">
        <f>IF($D2463="","",IF(COUNTIF($D$2:$D2463,$D2463)&gt;1,"Trùng",""))</f>
        <v/>
      </c>
      <c r="S2463" s="22">
        <f>IF($D2463="","",IF(AND(LEN($D2463)=10,LEFT($D2463,1)="0",ISNUMBER(--$D2463)),"Có","Không"))</f>
        <v/>
      </c>
      <c r="T2463" s="22">
        <f>IF($D2463="","",IF(AND($C2463&lt;&gt;"",$Q2463="Có",$R2463="",$S2463="Có",AND($L2463&lt;&gt;"",OR($L2463&lt;&gt;"Chưa xác định",DANH_MUC!$L$9="Có"))),"Có","Không"))</f>
        <v/>
      </c>
      <c r="U2463" s="22">
        <f>IF(OR($D2463="",$T2463="Có"),"",IF($C2463="","Thiếu họ tên; ","")&amp;IF($S2463&lt;&gt;"Có","SĐT sai định dạng; ","")&amp;IF($R2463="Trùng","Trùng SĐT; ","")&amp;IF($Q2463&lt;&gt;"Có","Thiếu đồng ý bắt buộc; ","")&amp;IF($L2463="","Thiếu/sai Mã REF; ",IF(AND($L2463="Chưa xác định",DANH_MUC!$L$9&lt;&gt;"Có"),"Nguồn chưa xác định; ","")))</f>
        <v/>
      </c>
      <c r="V2463" s="22">
        <f>IF(OR($D2463="",$R2463="Trùng"),"",IF(COUNTIF(ORDERS!$C$2:$C$4995,$D2463)&gt;0,"Có","Không"))</f>
        <v/>
      </c>
      <c r="W2463" s="22">
        <f>IF(OR($D2463="",$R2463="Trùng"),"",COUNTIFS(ORDERS!$C$2:$C$4995,$D2463,ORDERS!$L$2:$L$4995,"Đã chuyển khoản"))</f>
        <v/>
      </c>
      <c r="X2463" s="23">
        <f>IF(OR($D2463="",$R2463="Trùng"),"",SUMIFS(ORDERS!$J$2:$J$4995,ORDERS!$C$2:$C$4995,$D2463,ORDERS!$L$2:$L$4995,"Đã chuyển khoản"))</f>
        <v/>
      </c>
      <c r="Y2463" s="24" t="n"/>
    </row>
    <row r="2464" ht="14.25" customHeight="1" s="40">
      <c r="A2464" s="24" t="n"/>
      <c r="B2464" s="27" t="n"/>
      <c r="C2464" s="24" t="n"/>
      <c r="D2464" s="28" t="n"/>
      <c r="E2464" s="29" t="n"/>
      <c r="F2464" s="24" t="n"/>
      <c r="G2464" s="24" t="n"/>
      <c r="H2464" s="21">
        <f>IF(ISNUMBER($B2464),INT($B2464)-WEEKDAY($B2464,2)+1,"")</f>
        <v/>
      </c>
      <c r="I2464" s="24" t="n"/>
      <c r="J2464" s="22">
        <f t="array" ref="J2464">IF($D2464="","",IF($I2464="","(trống REF)",IFERROR(INDEX(MASTER_SOURCE!$B$2:$B$495,MATCH($I2464,MASTER_SOURCE!$A$2:$A$495,0)),"(REF không có trong MASTER_SOURCE)")))</f>
        <v/>
      </c>
      <c r="K2464" s="22">
        <f t="array" ref="K2464">IF($D2464="","",IFERROR(INDEX(MASTER_SOURCE!$C$2:$C$495,MATCH($I2464,MASTER_SOURCE!$A$2:$A$495,0)),""))</f>
        <v/>
      </c>
      <c r="L2464" s="22">
        <f t="array" ref="L2464">IF($D2464="","",IFERROR(INDEX(MASTER_SOURCE!$D$2:$D$495,MATCH($I2464,MASTER_SOURCE!$A$2:$A$495,0)),""))</f>
        <v/>
      </c>
      <c r="M2464" s="24" t="n"/>
      <c r="N2464" s="24" t="n"/>
      <c r="O2464" s="24" t="n"/>
      <c r="P2464" s="24" t="n"/>
      <c r="Q2464" s="22">
        <f>IF($D2464="","",IF(AND(OR(DANH_MUC!$L$5&lt;&gt;"Có",M2464="Có"),OR(DANH_MUC!$L$6&lt;&gt;"Có",N2464="Có"),OR(DANH_MUC!$L$7&lt;&gt;"Có",O2464="Có"),OR(DANH_MUC!$L$8&lt;&gt;"Có",P2464="Có")),"Có","Không"))</f>
        <v/>
      </c>
      <c r="R2464" s="22">
        <f>IF($D2464="","",IF(COUNTIF($D$2:$D2464,$D2464)&gt;1,"Trùng",""))</f>
        <v/>
      </c>
      <c r="S2464" s="22">
        <f>IF($D2464="","",IF(AND(LEN($D2464)=10,LEFT($D2464,1)="0",ISNUMBER(--$D2464)),"Có","Không"))</f>
        <v/>
      </c>
      <c r="T2464" s="22">
        <f>IF($D2464="","",IF(AND($C2464&lt;&gt;"",$Q2464="Có",$R2464="",$S2464="Có",AND($L2464&lt;&gt;"",OR($L2464&lt;&gt;"Chưa xác định",DANH_MUC!$L$9="Có"))),"Có","Không"))</f>
        <v/>
      </c>
      <c r="U2464" s="22">
        <f>IF(OR($D2464="",$T2464="Có"),"",IF($C2464="","Thiếu họ tên; ","")&amp;IF($S2464&lt;&gt;"Có","SĐT sai định dạng; ","")&amp;IF($R2464="Trùng","Trùng SĐT; ","")&amp;IF($Q2464&lt;&gt;"Có","Thiếu đồng ý bắt buộc; ","")&amp;IF($L2464="","Thiếu/sai Mã REF; ",IF(AND($L2464="Chưa xác định",DANH_MUC!$L$9&lt;&gt;"Có"),"Nguồn chưa xác định; ","")))</f>
        <v/>
      </c>
      <c r="V2464" s="22">
        <f>IF(OR($D2464="",$R2464="Trùng"),"",IF(COUNTIF(ORDERS!$C$2:$C$4995,$D2464)&gt;0,"Có","Không"))</f>
        <v/>
      </c>
      <c r="W2464" s="22">
        <f>IF(OR($D2464="",$R2464="Trùng"),"",COUNTIFS(ORDERS!$C$2:$C$4995,$D2464,ORDERS!$L$2:$L$4995,"Đã chuyển khoản"))</f>
        <v/>
      </c>
      <c r="X2464" s="23">
        <f>IF(OR($D2464="",$R2464="Trùng"),"",SUMIFS(ORDERS!$J$2:$J$4995,ORDERS!$C$2:$C$4995,$D2464,ORDERS!$L$2:$L$4995,"Đã chuyển khoản"))</f>
        <v/>
      </c>
      <c r="Y2464" s="24" t="n"/>
    </row>
    <row r="2465" ht="14.25" customHeight="1" s="40">
      <c r="A2465" s="24" t="n"/>
      <c r="B2465" s="27" t="n"/>
      <c r="C2465" s="24" t="n"/>
      <c r="D2465" s="28" t="n"/>
      <c r="E2465" s="29" t="n"/>
      <c r="F2465" s="24" t="n"/>
      <c r="G2465" s="24" t="n"/>
      <c r="H2465" s="21">
        <f>IF(ISNUMBER($B2465),INT($B2465)-WEEKDAY($B2465,2)+1,"")</f>
        <v/>
      </c>
      <c r="I2465" s="24" t="n"/>
      <c r="J2465" s="22">
        <f t="array" ref="J2465">IF($D2465="","",IF($I2465="","(trống REF)",IFERROR(INDEX(MASTER_SOURCE!$B$2:$B$495,MATCH($I2465,MASTER_SOURCE!$A$2:$A$495,0)),"(REF không có trong MASTER_SOURCE)")))</f>
        <v/>
      </c>
      <c r="K2465" s="22">
        <f t="array" ref="K2465">IF($D2465="","",IFERROR(INDEX(MASTER_SOURCE!$C$2:$C$495,MATCH($I2465,MASTER_SOURCE!$A$2:$A$495,0)),""))</f>
        <v/>
      </c>
      <c r="L2465" s="22">
        <f t="array" ref="L2465">IF($D2465="","",IFERROR(INDEX(MASTER_SOURCE!$D$2:$D$495,MATCH($I2465,MASTER_SOURCE!$A$2:$A$495,0)),""))</f>
        <v/>
      </c>
      <c r="M2465" s="24" t="n"/>
      <c r="N2465" s="24" t="n"/>
      <c r="O2465" s="24" t="n"/>
      <c r="P2465" s="24" t="n"/>
      <c r="Q2465" s="22">
        <f>IF($D2465="","",IF(AND(OR(DANH_MUC!$L$5&lt;&gt;"Có",M2465="Có"),OR(DANH_MUC!$L$6&lt;&gt;"Có",N2465="Có"),OR(DANH_MUC!$L$7&lt;&gt;"Có",O2465="Có"),OR(DANH_MUC!$L$8&lt;&gt;"Có",P2465="Có")),"Có","Không"))</f>
        <v/>
      </c>
      <c r="R2465" s="22">
        <f>IF($D2465="","",IF(COUNTIF($D$2:$D2465,$D2465)&gt;1,"Trùng",""))</f>
        <v/>
      </c>
      <c r="S2465" s="22">
        <f>IF($D2465="","",IF(AND(LEN($D2465)=10,LEFT($D2465,1)="0",ISNUMBER(--$D2465)),"Có","Không"))</f>
        <v/>
      </c>
      <c r="T2465" s="22">
        <f>IF($D2465="","",IF(AND($C2465&lt;&gt;"",$Q2465="Có",$R2465="",$S2465="Có",AND($L2465&lt;&gt;"",OR($L2465&lt;&gt;"Chưa xác định",DANH_MUC!$L$9="Có"))),"Có","Không"))</f>
        <v/>
      </c>
      <c r="U2465" s="22">
        <f>IF(OR($D2465="",$T2465="Có"),"",IF($C2465="","Thiếu họ tên; ","")&amp;IF($S2465&lt;&gt;"Có","SĐT sai định dạng; ","")&amp;IF($R2465="Trùng","Trùng SĐT; ","")&amp;IF($Q2465&lt;&gt;"Có","Thiếu đồng ý bắt buộc; ","")&amp;IF($L2465="","Thiếu/sai Mã REF; ",IF(AND($L2465="Chưa xác định",DANH_MUC!$L$9&lt;&gt;"Có"),"Nguồn chưa xác định; ","")))</f>
        <v/>
      </c>
      <c r="V2465" s="22">
        <f>IF(OR($D2465="",$R2465="Trùng"),"",IF(COUNTIF(ORDERS!$C$2:$C$4995,$D2465)&gt;0,"Có","Không"))</f>
        <v/>
      </c>
      <c r="W2465" s="22">
        <f>IF(OR($D2465="",$R2465="Trùng"),"",COUNTIFS(ORDERS!$C$2:$C$4995,$D2465,ORDERS!$L$2:$L$4995,"Đã chuyển khoản"))</f>
        <v/>
      </c>
      <c r="X2465" s="23">
        <f>IF(OR($D2465="",$R2465="Trùng"),"",SUMIFS(ORDERS!$J$2:$J$4995,ORDERS!$C$2:$C$4995,$D2465,ORDERS!$L$2:$L$4995,"Đã chuyển khoản"))</f>
        <v/>
      </c>
      <c r="Y2465" s="24" t="n"/>
    </row>
    <row r="2466" ht="14.25" customHeight="1" s="40">
      <c r="A2466" s="24" t="n"/>
      <c r="B2466" s="27" t="n"/>
      <c r="C2466" s="24" t="n"/>
      <c r="D2466" s="28" t="n"/>
      <c r="E2466" s="29" t="n"/>
      <c r="F2466" s="24" t="n"/>
      <c r="G2466" s="24" t="n"/>
      <c r="H2466" s="21">
        <f>IF(ISNUMBER($B2466),INT($B2466)-WEEKDAY($B2466,2)+1,"")</f>
        <v/>
      </c>
      <c r="I2466" s="24" t="n"/>
      <c r="J2466" s="22">
        <f t="array" ref="J2466">IF($D2466="","",IF($I2466="","(trống REF)",IFERROR(INDEX(MASTER_SOURCE!$B$2:$B$495,MATCH($I2466,MASTER_SOURCE!$A$2:$A$495,0)),"(REF không có trong MASTER_SOURCE)")))</f>
        <v/>
      </c>
      <c r="K2466" s="22">
        <f t="array" ref="K2466">IF($D2466="","",IFERROR(INDEX(MASTER_SOURCE!$C$2:$C$495,MATCH($I2466,MASTER_SOURCE!$A$2:$A$495,0)),""))</f>
        <v/>
      </c>
      <c r="L2466" s="22">
        <f t="array" ref="L2466">IF($D2466="","",IFERROR(INDEX(MASTER_SOURCE!$D$2:$D$495,MATCH($I2466,MASTER_SOURCE!$A$2:$A$495,0)),""))</f>
        <v/>
      </c>
      <c r="M2466" s="24" t="n"/>
      <c r="N2466" s="24" t="n"/>
      <c r="O2466" s="24" t="n"/>
      <c r="P2466" s="24" t="n"/>
      <c r="Q2466" s="22">
        <f>IF($D2466="","",IF(AND(OR(DANH_MUC!$L$5&lt;&gt;"Có",M2466="Có"),OR(DANH_MUC!$L$6&lt;&gt;"Có",N2466="Có"),OR(DANH_MUC!$L$7&lt;&gt;"Có",O2466="Có"),OR(DANH_MUC!$L$8&lt;&gt;"Có",P2466="Có")),"Có","Không"))</f>
        <v/>
      </c>
      <c r="R2466" s="22">
        <f>IF($D2466="","",IF(COUNTIF($D$2:$D2466,$D2466)&gt;1,"Trùng",""))</f>
        <v/>
      </c>
      <c r="S2466" s="22">
        <f>IF($D2466="","",IF(AND(LEN($D2466)=10,LEFT($D2466,1)="0",ISNUMBER(--$D2466)),"Có","Không"))</f>
        <v/>
      </c>
      <c r="T2466" s="22">
        <f>IF($D2466="","",IF(AND($C2466&lt;&gt;"",$Q2466="Có",$R2466="",$S2466="Có",AND($L2466&lt;&gt;"",OR($L2466&lt;&gt;"Chưa xác định",DANH_MUC!$L$9="Có"))),"Có","Không"))</f>
        <v/>
      </c>
      <c r="U2466" s="22">
        <f>IF(OR($D2466="",$T2466="Có"),"",IF($C2466="","Thiếu họ tên; ","")&amp;IF($S2466&lt;&gt;"Có","SĐT sai định dạng; ","")&amp;IF($R2466="Trùng","Trùng SĐT; ","")&amp;IF($Q2466&lt;&gt;"Có","Thiếu đồng ý bắt buộc; ","")&amp;IF($L2466="","Thiếu/sai Mã REF; ",IF(AND($L2466="Chưa xác định",DANH_MUC!$L$9&lt;&gt;"Có"),"Nguồn chưa xác định; ","")))</f>
        <v/>
      </c>
      <c r="V2466" s="22">
        <f>IF(OR($D2466="",$R2466="Trùng"),"",IF(COUNTIF(ORDERS!$C$2:$C$4995,$D2466)&gt;0,"Có","Không"))</f>
        <v/>
      </c>
      <c r="W2466" s="22">
        <f>IF(OR($D2466="",$R2466="Trùng"),"",COUNTIFS(ORDERS!$C$2:$C$4995,$D2466,ORDERS!$L$2:$L$4995,"Đã chuyển khoản"))</f>
        <v/>
      </c>
      <c r="X2466" s="23">
        <f>IF(OR($D2466="",$R2466="Trùng"),"",SUMIFS(ORDERS!$J$2:$J$4995,ORDERS!$C$2:$C$4995,$D2466,ORDERS!$L$2:$L$4995,"Đã chuyển khoản"))</f>
        <v/>
      </c>
      <c r="Y2466" s="24" t="n"/>
    </row>
    <row r="2467" ht="14.25" customHeight="1" s="40">
      <c r="A2467" s="24" t="n"/>
      <c r="B2467" s="27" t="n"/>
      <c r="C2467" s="24" t="n"/>
      <c r="D2467" s="28" t="n"/>
      <c r="E2467" s="29" t="n"/>
      <c r="F2467" s="24" t="n"/>
      <c r="G2467" s="24" t="n"/>
      <c r="H2467" s="21">
        <f>IF(ISNUMBER($B2467),INT($B2467)-WEEKDAY($B2467,2)+1,"")</f>
        <v/>
      </c>
      <c r="I2467" s="24" t="n"/>
      <c r="J2467" s="22">
        <f t="array" ref="J2467">IF($D2467="","",IF($I2467="","(trống REF)",IFERROR(INDEX(MASTER_SOURCE!$B$2:$B$495,MATCH($I2467,MASTER_SOURCE!$A$2:$A$495,0)),"(REF không có trong MASTER_SOURCE)")))</f>
        <v/>
      </c>
      <c r="K2467" s="22">
        <f t="array" ref="K2467">IF($D2467="","",IFERROR(INDEX(MASTER_SOURCE!$C$2:$C$495,MATCH($I2467,MASTER_SOURCE!$A$2:$A$495,0)),""))</f>
        <v/>
      </c>
      <c r="L2467" s="22">
        <f t="array" ref="L2467">IF($D2467="","",IFERROR(INDEX(MASTER_SOURCE!$D$2:$D$495,MATCH($I2467,MASTER_SOURCE!$A$2:$A$495,0)),""))</f>
        <v/>
      </c>
      <c r="M2467" s="24" t="n"/>
      <c r="N2467" s="24" t="n"/>
      <c r="O2467" s="24" t="n"/>
      <c r="P2467" s="24" t="n"/>
      <c r="Q2467" s="22">
        <f>IF($D2467="","",IF(AND(OR(DANH_MUC!$L$5&lt;&gt;"Có",M2467="Có"),OR(DANH_MUC!$L$6&lt;&gt;"Có",N2467="Có"),OR(DANH_MUC!$L$7&lt;&gt;"Có",O2467="Có"),OR(DANH_MUC!$L$8&lt;&gt;"Có",P2467="Có")),"Có","Không"))</f>
        <v/>
      </c>
      <c r="R2467" s="22">
        <f>IF($D2467="","",IF(COUNTIF($D$2:$D2467,$D2467)&gt;1,"Trùng",""))</f>
        <v/>
      </c>
      <c r="S2467" s="22">
        <f>IF($D2467="","",IF(AND(LEN($D2467)=10,LEFT($D2467,1)="0",ISNUMBER(--$D2467)),"Có","Không"))</f>
        <v/>
      </c>
      <c r="T2467" s="22">
        <f>IF($D2467="","",IF(AND($C2467&lt;&gt;"",$Q2467="Có",$R2467="",$S2467="Có",AND($L2467&lt;&gt;"",OR($L2467&lt;&gt;"Chưa xác định",DANH_MUC!$L$9="Có"))),"Có","Không"))</f>
        <v/>
      </c>
      <c r="U2467" s="22">
        <f>IF(OR($D2467="",$T2467="Có"),"",IF($C2467="","Thiếu họ tên; ","")&amp;IF($S2467&lt;&gt;"Có","SĐT sai định dạng; ","")&amp;IF($R2467="Trùng","Trùng SĐT; ","")&amp;IF($Q2467&lt;&gt;"Có","Thiếu đồng ý bắt buộc; ","")&amp;IF($L2467="","Thiếu/sai Mã REF; ",IF(AND($L2467="Chưa xác định",DANH_MUC!$L$9&lt;&gt;"Có"),"Nguồn chưa xác định; ","")))</f>
        <v/>
      </c>
      <c r="V2467" s="22">
        <f>IF(OR($D2467="",$R2467="Trùng"),"",IF(COUNTIF(ORDERS!$C$2:$C$4995,$D2467)&gt;0,"Có","Không"))</f>
        <v/>
      </c>
      <c r="W2467" s="22">
        <f>IF(OR($D2467="",$R2467="Trùng"),"",COUNTIFS(ORDERS!$C$2:$C$4995,$D2467,ORDERS!$L$2:$L$4995,"Đã chuyển khoản"))</f>
        <v/>
      </c>
      <c r="X2467" s="23">
        <f>IF(OR($D2467="",$R2467="Trùng"),"",SUMIFS(ORDERS!$J$2:$J$4995,ORDERS!$C$2:$C$4995,$D2467,ORDERS!$L$2:$L$4995,"Đã chuyển khoản"))</f>
        <v/>
      </c>
      <c r="Y2467" s="24" t="n"/>
    </row>
    <row r="2468" ht="14.25" customHeight="1" s="40">
      <c r="A2468" s="24" t="n"/>
      <c r="B2468" s="27" t="n"/>
      <c r="C2468" s="24" t="n"/>
      <c r="D2468" s="28" t="n"/>
      <c r="E2468" s="29" t="n"/>
      <c r="F2468" s="24" t="n"/>
      <c r="G2468" s="24" t="n"/>
      <c r="H2468" s="21">
        <f>IF(ISNUMBER($B2468),INT($B2468)-WEEKDAY($B2468,2)+1,"")</f>
        <v/>
      </c>
      <c r="I2468" s="24" t="n"/>
      <c r="J2468" s="22">
        <f t="array" ref="J2468">IF($D2468="","",IF($I2468="","(trống REF)",IFERROR(INDEX(MASTER_SOURCE!$B$2:$B$495,MATCH($I2468,MASTER_SOURCE!$A$2:$A$495,0)),"(REF không có trong MASTER_SOURCE)")))</f>
        <v/>
      </c>
      <c r="K2468" s="22">
        <f t="array" ref="K2468">IF($D2468="","",IFERROR(INDEX(MASTER_SOURCE!$C$2:$C$495,MATCH($I2468,MASTER_SOURCE!$A$2:$A$495,0)),""))</f>
        <v/>
      </c>
      <c r="L2468" s="22">
        <f t="array" ref="L2468">IF($D2468="","",IFERROR(INDEX(MASTER_SOURCE!$D$2:$D$495,MATCH($I2468,MASTER_SOURCE!$A$2:$A$495,0)),""))</f>
        <v/>
      </c>
      <c r="M2468" s="24" t="n"/>
      <c r="N2468" s="24" t="n"/>
      <c r="O2468" s="24" t="n"/>
      <c r="P2468" s="24" t="n"/>
      <c r="Q2468" s="22">
        <f>IF($D2468="","",IF(AND(OR(DANH_MUC!$L$5&lt;&gt;"Có",M2468="Có"),OR(DANH_MUC!$L$6&lt;&gt;"Có",N2468="Có"),OR(DANH_MUC!$L$7&lt;&gt;"Có",O2468="Có"),OR(DANH_MUC!$L$8&lt;&gt;"Có",P2468="Có")),"Có","Không"))</f>
        <v/>
      </c>
      <c r="R2468" s="22">
        <f>IF($D2468="","",IF(COUNTIF($D$2:$D2468,$D2468)&gt;1,"Trùng",""))</f>
        <v/>
      </c>
      <c r="S2468" s="22">
        <f>IF($D2468="","",IF(AND(LEN($D2468)=10,LEFT($D2468,1)="0",ISNUMBER(--$D2468)),"Có","Không"))</f>
        <v/>
      </c>
      <c r="T2468" s="22">
        <f>IF($D2468="","",IF(AND($C2468&lt;&gt;"",$Q2468="Có",$R2468="",$S2468="Có",AND($L2468&lt;&gt;"",OR($L2468&lt;&gt;"Chưa xác định",DANH_MUC!$L$9="Có"))),"Có","Không"))</f>
        <v/>
      </c>
      <c r="U2468" s="22">
        <f>IF(OR($D2468="",$T2468="Có"),"",IF($C2468="","Thiếu họ tên; ","")&amp;IF($S2468&lt;&gt;"Có","SĐT sai định dạng; ","")&amp;IF($R2468="Trùng","Trùng SĐT; ","")&amp;IF($Q2468&lt;&gt;"Có","Thiếu đồng ý bắt buộc; ","")&amp;IF($L2468="","Thiếu/sai Mã REF; ",IF(AND($L2468="Chưa xác định",DANH_MUC!$L$9&lt;&gt;"Có"),"Nguồn chưa xác định; ","")))</f>
        <v/>
      </c>
      <c r="V2468" s="22">
        <f>IF(OR($D2468="",$R2468="Trùng"),"",IF(COUNTIF(ORDERS!$C$2:$C$4995,$D2468)&gt;0,"Có","Không"))</f>
        <v/>
      </c>
      <c r="W2468" s="22">
        <f>IF(OR($D2468="",$R2468="Trùng"),"",COUNTIFS(ORDERS!$C$2:$C$4995,$D2468,ORDERS!$L$2:$L$4995,"Đã chuyển khoản"))</f>
        <v/>
      </c>
      <c r="X2468" s="23">
        <f>IF(OR($D2468="",$R2468="Trùng"),"",SUMIFS(ORDERS!$J$2:$J$4995,ORDERS!$C$2:$C$4995,$D2468,ORDERS!$L$2:$L$4995,"Đã chuyển khoản"))</f>
        <v/>
      </c>
      <c r="Y2468" s="24" t="n"/>
    </row>
    <row r="2469" ht="14.25" customHeight="1" s="40">
      <c r="A2469" s="24" t="n"/>
      <c r="B2469" s="27" t="n"/>
      <c r="C2469" s="24" t="n"/>
      <c r="D2469" s="28" t="n"/>
      <c r="E2469" s="29" t="n"/>
      <c r="F2469" s="24" t="n"/>
      <c r="G2469" s="24" t="n"/>
      <c r="H2469" s="21">
        <f>IF(ISNUMBER($B2469),INT($B2469)-WEEKDAY($B2469,2)+1,"")</f>
        <v/>
      </c>
      <c r="I2469" s="24" t="n"/>
      <c r="J2469" s="22">
        <f t="array" ref="J2469">IF($D2469="","",IF($I2469="","(trống REF)",IFERROR(INDEX(MASTER_SOURCE!$B$2:$B$495,MATCH($I2469,MASTER_SOURCE!$A$2:$A$495,0)),"(REF không có trong MASTER_SOURCE)")))</f>
        <v/>
      </c>
      <c r="K2469" s="22">
        <f t="array" ref="K2469">IF($D2469="","",IFERROR(INDEX(MASTER_SOURCE!$C$2:$C$495,MATCH($I2469,MASTER_SOURCE!$A$2:$A$495,0)),""))</f>
        <v/>
      </c>
      <c r="L2469" s="22">
        <f t="array" ref="L2469">IF($D2469="","",IFERROR(INDEX(MASTER_SOURCE!$D$2:$D$495,MATCH($I2469,MASTER_SOURCE!$A$2:$A$495,0)),""))</f>
        <v/>
      </c>
      <c r="M2469" s="24" t="n"/>
      <c r="N2469" s="24" t="n"/>
      <c r="O2469" s="24" t="n"/>
      <c r="P2469" s="24" t="n"/>
      <c r="Q2469" s="22">
        <f>IF($D2469="","",IF(AND(OR(DANH_MUC!$L$5&lt;&gt;"Có",M2469="Có"),OR(DANH_MUC!$L$6&lt;&gt;"Có",N2469="Có"),OR(DANH_MUC!$L$7&lt;&gt;"Có",O2469="Có"),OR(DANH_MUC!$L$8&lt;&gt;"Có",P2469="Có")),"Có","Không"))</f>
        <v/>
      </c>
      <c r="R2469" s="22">
        <f>IF($D2469="","",IF(COUNTIF($D$2:$D2469,$D2469)&gt;1,"Trùng",""))</f>
        <v/>
      </c>
      <c r="S2469" s="22">
        <f>IF($D2469="","",IF(AND(LEN($D2469)=10,LEFT($D2469,1)="0",ISNUMBER(--$D2469)),"Có","Không"))</f>
        <v/>
      </c>
      <c r="T2469" s="22">
        <f>IF($D2469="","",IF(AND($C2469&lt;&gt;"",$Q2469="Có",$R2469="",$S2469="Có",AND($L2469&lt;&gt;"",OR($L2469&lt;&gt;"Chưa xác định",DANH_MUC!$L$9="Có"))),"Có","Không"))</f>
        <v/>
      </c>
      <c r="U2469" s="22">
        <f>IF(OR($D2469="",$T2469="Có"),"",IF($C2469="","Thiếu họ tên; ","")&amp;IF($S2469&lt;&gt;"Có","SĐT sai định dạng; ","")&amp;IF($R2469="Trùng","Trùng SĐT; ","")&amp;IF($Q2469&lt;&gt;"Có","Thiếu đồng ý bắt buộc; ","")&amp;IF($L2469="","Thiếu/sai Mã REF; ",IF(AND($L2469="Chưa xác định",DANH_MUC!$L$9&lt;&gt;"Có"),"Nguồn chưa xác định; ","")))</f>
        <v/>
      </c>
      <c r="V2469" s="22">
        <f>IF(OR($D2469="",$R2469="Trùng"),"",IF(COUNTIF(ORDERS!$C$2:$C$4995,$D2469)&gt;0,"Có","Không"))</f>
        <v/>
      </c>
      <c r="W2469" s="22">
        <f>IF(OR($D2469="",$R2469="Trùng"),"",COUNTIFS(ORDERS!$C$2:$C$4995,$D2469,ORDERS!$L$2:$L$4995,"Đã chuyển khoản"))</f>
        <v/>
      </c>
      <c r="X2469" s="23">
        <f>IF(OR($D2469="",$R2469="Trùng"),"",SUMIFS(ORDERS!$J$2:$J$4995,ORDERS!$C$2:$C$4995,$D2469,ORDERS!$L$2:$L$4995,"Đã chuyển khoản"))</f>
        <v/>
      </c>
      <c r="Y2469" s="24" t="n"/>
    </row>
    <row r="2470" ht="14.25" customHeight="1" s="40">
      <c r="A2470" s="24" t="n"/>
      <c r="B2470" s="27" t="n"/>
      <c r="C2470" s="24" t="n"/>
      <c r="D2470" s="28" t="n"/>
      <c r="E2470" s="29" t="n"/>
      <c r="F2470" s="24" t="n"/>
      <c r="G2470" s="24" t="n"/>
      <c r="H2470" s="21">
        <f>IF(ISNUMBER($B2470),INT($B2470)-WEEKDAY($B2470,2)+1,"")</f>
        <v/>
      </c>
      <c r="I2470" s="24" t="n"/>
      <c r="J2470" s="22">
        <f t="array" ref="J2470">IF($D2470="","",IF($I2470="","(trống REF)",IFERROR(INDEX(MASTER_SOURCE!$B$2:$B$495,MATCH($I2470,MASTER_SOURCE!$A$2:$A$495,0)),"(REF không có trong MASTER_SOURCE)")))</f>
        <v/>
      </c>
      <c r="K2470" s="22">
        <f t="array" ref="K2470">IF($D2470="","",IFERROR(INDEX(MASTER_SOURCE!$C$2:$C$495,MATCH($I2470,MASTER_SOURCE!$A$2:$A$495,0)),""))</f>
        <v/>
      </c>
      <c r="L2470" s="22">
        <f t="array" ref="L2470">IF($D2470="","",IFERROR(INDEX(MASTER_SOURCE!$D$2:$D$495,MATCH($I2470,MASTER_SOURCE!$A$2:$A$495,0)),""))</f>
        <v/>
      </c>
      <c r="M2470" s="24" t="n"/>
      <c r="N2470" s="24" t="n"/>
      <c r="O2470" s="24" t="n"/>
      <c r="P2470" s="24" t="n"/>
      <c r="Q2470" s="22">
        <f>IF($D2470="","",IF(AND(OR(DANH_MUC!$L$5&lt;&gt;"Có",M2470="Có"),OR(DANH_MUC!$L$6&lt;&gt;"Có",N2470="Có"),OR(DANH_MUC!$L$7&lt;&gt;"Có",O2470="Có"),OR(DANH_MUC!$L$8&lt;&gt;"Có",P2470="Có")),"Có","Không"))</f>
        <v/>
      </c>
      <c r="R2470" s="22">
        <f>IF($D2470="","",IF(COUNTIF($D$2:$D2470,$D2470)&gt;1,"Trùng",""))</f>
        <v/>
      </c>
      <c r="S2470" s="22">
        <f>IF($D2470="","",IF(AND(LEN($D2470)=10,LEFT($D2470,1)="0",ISNUMBER(--$D2470)),"Có","Không"))</f>
        <v/>
      </c>
      <c r="T2470" s="22">
        <f>IF($D2470="","",IF(AND($C2470&lt;&gt;"",$Q2470="Có",$R2470="",$S2470="Có",AND($L2470&lt;&gt;"",OR($L2470&lt;&gt;"Chưa xác định",DANH_MUC!$L$9="Có"))),"Có","Không"))</f>
        <v/>
      </c>
      <c r="U2470" s="22">
        <f>IF(OR($D2470="",$T2470="Có"),"",IF($C2470="","Thiếu họ tên; ","")&amp;IF($S2470&lt;&gt;"Có","SĐT sai định dạng; ","")&amp;IF($R2470="Trùng","Trùng SĐT; ","")&amp;IF($Q2470&lt;&gt;"Có","Thiếu đồng ý bắt buộc; ","")&amp;IF($L2470="","Thiếu/sai Mã REF; ",IF(AND($L2470="Chưa xác định",DANH_MUC!$L$9&lt;&gt;"Có"),"Nguồn chưa xác định; ","")))</f>
        <v/>
      </c>
      <c r="V2470" s="22">
        <f>IF(OR($D2470="",$R2470="Trùng"),"",IF(COUNTIF(ORDERS!$C$2:$C$4995,$D2470)&gt;0,"Có","Không"))</f>
        <v/>
      </c>
      <c r="W2470" s="22">
        <f>IF(OR($D2470="",$R2470="Trùng"),"",COUNTIFS(ORDERS!$C$2:$C$4995,$D2470,ORDERS!$L$2:$L$4995,"Đã chuyển khoản"))</f>
        <v/>
      </c>
      <c r="X2470" s="23">
        <f>IF(OR($D2470="",$R2470="Trùng"),"",SUMIFS(ORDERS!$J$2:$J$4995,ORDERS!$C$2:$C$4995,$D2470,ORDERS!$L$2:$L$4995,"Đã chuyển khoản"))</f>
        <v/>
      </c>
      <c r="Y2470" s="24" t="n"/>
    </row>
    <row r="2471" ht="14.25" customHeight="1" s="40">
      <c r="A2471" s="24" t="n"/>
      <c r="B2471" s="27" t="n"/>
      <c r="C2471" s="24" t="n"/>
      <c r="D2471" s="28" t="n"/>
      <c r="E2471" s="29" t="n"/>
      <c r="F2471" s="24" t="n"/>
      <c r="G2471" s="24" t="n"/>
      <c r="H2471" s="21">
        <f>IF(ISNUMBER($B2471),INT($B2471)-WEEKDAY($B2471,2)+1,"")</f>
        <v/>
      </c>
      <c r="I2471" s="24" t="n"/>
      <c r="J2471" s="22">
        <f t="array" ref="J2471">IF($D2471="","",IF($I2471="","(trống REF)",IFERROR(INDEX(MASTER_SOURCE!$B$2:$B$495,MATCH($I2471,MASTER_SOURCE!$A$2:$A$495,0)),"(REF không có trong MASTER_SOURCE)")))</f>
        <v/>
      </c>
      <c r="K2471" s="22">
        <f t="array" ref="K2471">IF($D2471="","",IFERROR(INDEX(MASTER_SOURCE!$C$2:$C$495,MATCH($I2471,MASTER_SOURCE!$A$2:$A$495,0)),""))</f>
        <v/>
      </c>
      <c r="L2471" s="22">
        <f t="array" ref="L2471">IF($D2471="","",IFERROR(INDEX(MASTER_SOURCE!$D$2:$D$495,MATCH($I2471,MASTER_SOURCE!$A$2:$A$495,0)),""))</f>
        <v/>
      </c>
      <c r="M2471" s="24" t="n"/>
      <c r="N2471" s="24" t="n"/>
      <c r="O2471" s="24" t="n"/>
      <c r="P2471" s="24" t="n"/>
      <c r="Q2471" s="22">
        <f>IF($D2471="","",IF(AND(OR(DANH_MUC!$L$5&lt;&gt;"Có",M2471="Có"),OR(DANH_MUC!$L$6&lt;&gt;"Có",N2471="Có"),OR(DANH_MUC!$L$7&lt;&gt;"Có",O2471="Có"),OR(DANH_MUC!$L$8&lt;&gt;"Có",P2471="Có")),"Có","Không"))</f>
        <v/>
      </c>
      <c r="R2471" s="22">
        <f>IF($D2471="","",IF(COUNTIF($D$2:$D2471,$D2471)&gt;1,"Trùng",""))</f>
        <v/>
      </c>
      <c r="S2471" s="22">
        <f>IF($D2471="","",IF(AND(LEN($D2471)=10,LEFT($D2471,1)="0",ISNUMBER(--$D2471)),"Có","Không"))</f>
        <v/>
      </c>
      <c r="T2471" s="22">
        <f>IF($D2471="","",IF(AND($C2471&lt;&gt;"",$Q2471="Có",$R2471="",$S2471="Có",AND($L2471&lt;&gt;"",OR($L2471&lt;&gt;"Chưa xác định",DANH_MUC!$L$9="Có"))),"Có","Không"))</f>
        <v/>
      </c>
      <c r="U2471" s="22">
        <f>IF(OR($D2471="",$T2471="Có"),"",IF($C2471="","Thiếu họ tên; ","")&amp;IF($S2471&lt;&gt;"Có","SĐT sai định dạng; ","")&amp;IF($R2471="Trùng","Trùng SĐT; ","")&amp;IF($Q2471&lt;&gt;"Có","Thiếu đồng ý bắt buộc; ","")&amp;IF($L2471="","Thiếu/sai Mã REF; ",IF(AND($L2471="Chưa xác định",DANH_MUC!$L$9&lt;&gt;"Có"),"Nguồn chưa xác định; ","")))</f>
        <v/>
      </c>
      <c r="V2471" s="22">
        <f>IF(OR($D2471="",$R2471="Trùng"),"",IF(COUNTIF(ORDERS!$C$2:$C$4995,$D2471)&gt;0,"Có","Không"))</f>
        <v/>
      </c>
      <c r="W2471" s="22">
        <f>IF(OR($D2471="",$R2471="Trùng"),"",COUNTIFS(ORDERS!$C$2:$C$4995,$D2471,ORDERS!$L$2:$L$4995,"Đã chuyển khoản"))</f>
        <v/>
      </c>
      <c r="X2471" s="23">
        <f>IF(OR($D2471="",$R2471="Trùng"),"",SUMIFS(ORDERS!$J$2:$J$4995,ORDERS!$C$2:$C$4995,$D2471,ORDERS!$L$2:$L$4995,"Đã chuyển khoản"))</f>
        <v/>
      </c>
      <c r="Y2471" s="24" t="n"/>
    </row>
    <row r="2472" ht="14.25" customHeight="1" s="40">
      <c r="A2472" s="24" t="n"/>
      <c r="B2472" s="27" t="n"/>
      <c r="C2472" s="24" t="n"/>
      <c r="D2472" s="28" t="n"/>
      <c r="E2472" s="29" t="n"/>
      <c r="F2472" s="24" t="n"/>
      <c r="G2472" s="24" t="n"/>
      <c r="H2472" s="21">
        <f>IF(ISNUMBER($B2472),INT($B2472)-WEEKDAY($B2472,2)+1,"")</f>
        <v/>
      </c>
      <c r="I2472" s="24" t="n"/>
      <c r="J2472" s="22">
        <f t="array" ref="J2472">IF($D2472="","",IF($I2472="","(trống REF)",IFERROR(INDEX(MASTER_SOURCE!$B$2:$B$495,MATCH($I2472,MASTER_SOURCE!$A$2:$A$495,0)),"(REF không có trong MASTER_SOURCE)")))</f>
        <v/>
      </c>
      <c r="K2472" s="22">
        <f t="array" ref="K2472">IF($D2472="","",IFERROR(INDEX(MASTER_SOURCE!$C$2:$C$495,MATCH($I2472,MASTER_SOURCE!$A$2:$A$495,0)),""))</f>
        <v/>
      </c>
      <c r="L2472" s="22">
        <f t="array" ref="L2472">IF($D2472="","",IFERROR(INDEX(MASTER_SOURCE!$D$2:$D$495,MATCH($I2472,MASTER_SOURCE!$A$2:$A$495,0)),""))</f>
        <v/>
      </c>
      <c r="M2472" s="24" t="n"/>
      <c r="N2472" s="24" t="n"/>
      <c r="O2472" s="24" t="n"/>
      <c r="P2472" s="24" t="n"/>
      <c r="Q2472" s="22">
        <f>IF($D2472="","",IF(AND(OR(DANH_MUC!$L$5&lt;&gt;"Có",M2472="Có"),OR(DANH_MUC!$L$6&lt;&gt;"Có",N2472="Có"),OR(DANH_MUC!$L$7&lt;&gt;"Có",O2472="Có"),OR(DANH_MUC!$L$8&lt;&gt;"Có",P2472="Có")),"Có","Không"))</f>
        <v/>
      </c>
      <c r="R2472" s="22">
        <f>IF($D2472="","",IF(COUNTIF($D$2:$D2472,$D2472)&gt;1,"Trùng",""))</f>
        <v/>
      </c>
      <c r="S2472" s="22">
        <f>IF($D2472="","",IF(AND(LEN($D2472)=10,LEFT($D2472,1)="0",ISNUMBER(--$D2472)),"Có","Không"))</f>
        <v/>
      </c>
      <c r="T2472" s="22">
        <f>IF($D2472="","",IF(AND($C2472&lt;&gt;"",$Q2472="Có",$R2472="",$S2472="Có",AND($L2472&lt;&gt;"",OR($L2472&lt;&gt;"Chưa xác định",DANH_MUC!$L$9="Có"))),"Có","Không"))</f>
        <v/>
      </c>
      <c r="U2472" s="22">
        <f>IF(OR($D2472="",$T2472="Có"),"",IF($C2472="","Thiếu họ tên; ","")&amp;IF($S2472&lt;&gt;"Có","SĐT sai định dạng; ","")&amp;IF($R2472="Trùng","Trùng SĐT; ","")&amp;IF($Q2472&lt;&gt;"Có","Thiếu đồng ý bắt buộc; ","")&amp;IF($L2472="","Thiếu/sai Mã REF; ",IF(AND($L2472="Chưa xác định",DANH_MUC!$L$9&lt;&gt;"Có"),"Nguồn chưa xác định; ","")))</f>
        <v/>
      </c>
      <c r="V2472" s="22">
        <f>IF(OR($D2472="",$R2472="Trùng"),"",IF(COUNTIF(ORDERS!$C$2:$C$4995,$D2472)&gt;0,"Có","Không"))</f>
        <v/>
      </c>
      <c r="W2472" s="22">
        <f>IF(OR($D2472="",$R2472="Trùng"),"",COUNTIFS(ORDERS!$C$2:$C$4995,$D2472,ORDERS!$L$2:$L$4995,"Đã chuyển khoản"))</f>
        <v/>
      </c>
      <c r="X2472" s="23">
        <f>IF(OR($D2472="",$R2472="Trùng"),"",SUMIFS(ORDERS!$J$2:$J$4995,ORDERS!$C$2:$C$4995,$D2472,ORDERS!$L$2:$L$4995,"Đã chuyển khoản"))</f>
        <v/>
      </c>
      <c r="Y2472" s="24" t="n"/>
    </row>
    <row r="2473" ht="14.25" customHeight="1" s="40">
      <c r="A2473" s="24" t="n"/>
      <c r="B2473" s="27" t="n"/>
      <c r="C2473" s="24" t="n"/>
      <c r="D2473" s="28" t="n"/>
      <c r="E2473" s="29" t="n"/>
      <c r="F2473" s="24" t="n"/>
      <c r="G2473" s="24" t="n"/>
      <c r="H2473" s="21">
        <f>IF(ISNUMBER($B2473),INT($B2473)-WEEKDAY($B2473,2)+1,"")</f>
        <v/>
      </c>
      <c r="I2473" s="24" t="n"/>
      <c r="J2473" s="22">
        <f t="array" ref="J2473">IF($D2473="","",IF($I2473="","(trống REF)",IFERROR(INDEX(MASTER_SOURCE!$B$2:$B$495,MATCH($I2473,MASTER_SOURCE!$A$2:$A$495,0)),"(REF không có trong MASTER_SOURCE)")))</f>
        <v/>
      </c>
      <c r="K2473" s="22">
        <f t="array" ref="K2473">IF($D2473="","",IFERROR(INDEX(MASTER_SOURCE!$C$2:$C$495,MATCH($I2473,MASTER_SOURCE!$A$2:$A$495,0)),""))</f>
        <v/>
      </c>
      <c r="L2473" s="22">
        <f t="array" ref="L2473">IF($D2473="","",IFERROR(INDEX(MASTER_SOURCE!$D$2:$D$495,MATCH($I2473,MASTER_SOURCE!$A$2:$A$495,0)),""))</f>
        <v/>
      </c>
      <c r="M2473" s="24" t="n"/>
      <c r="N2473" s="24" t="n"/>
      <c r="O2473" s="24" t="n"/>
      <c r="P2473" s="24" t="n"/>
      <c r="Q2473" s="22">
        <f>IF($D2473="","",IF(AND(OR(DANH_MUC!$L$5&lt;&gt;"Có",M2473="Có"),OR(DANH_MUC!$L$6&lt;&gt;"Có",N2473="Có"),OR(DANH_MUC!$L$7&lt;&gt;"Có",O2473="Có"),OR(DANH_MUC!$L$8&lt;&gt;"Có",P2473="Có")),"Có","Không"))</f>
        <v/>
      </c>
      <c r="R2473" s="22">
        <f>IF($D2473="","",IF(COUNTIF($D$2:$D2473,$D2473)&gt;1,"Trùng",""))</f>
        <v/>
      </c>
      <c r="S2473" s="22">
        <f>IF($D2473="","",IF(AND(LEN($D2473)=10,LEFT($D2473,1)="0",ISNUMBER(--$D2473)),"Có","Không"))</f>
        <v/>
      </c>
      <c r="T2473" s="22">
        <f>IF($D2473="","",IF(AND($C2473&lt;&gt;"",$Q2473="Có",$R2473="",$S2473="Có",AND($L2473&lt;&gt;"",OR($L2473&lt;&gt;"Chưa xác định",DANH_MUC!$L$9="Có"))),"Có","Không"))</f>
        <v/>
      </c>
      <c r="U2473" s="22">
        <f>IF(OR($D2473="",$T2473="Có"),"",IF($C2473="","Thiếu họ tên; ","")&amp;IF($S2473&lt;&gt;"Có","SĐT sai định dạng; ","")&amp;IF($R2473="Trùng","Trùng SĐT; ","")&amp;IF($Q2473&lt;&gt;"Có","Thiếu đồng ý bắt buộc; ","")&amp;IF($L2473="","Thiếu/sai Mã REF; ",IF(AND($L2473="Chưa xác định",DANH_MUC!$L$9&lt;&gt;"Có"),"Nguồn chưa xác định; ","")))</f>
        <v/>
      </c>
      <c r="V2473" s="22">
        <f>IF(OR($D2473="",$R2473="Trùng"),"",IF(COUNTIF(ORDERS!$C$2:$C$4995,$D2473)&gt;0,"Có","Không"))</f>
        <v/>
      </c>
      <c r="W2473" s="22">
        <f>IF(OR($D2473="",$R2473="Trùng"),"",COUNTIFS(ORDERS!$C$2:$C$4995,$D2473,ORDERS!$L$2:$L$4995,"Đã chuyển khoản"))</f>
        <v/>
      </c>
      <c r="X2473" s="23">
        <f>IF(OR($D2473="",$R2473="Trùng"),"",SUMIFS(ORDERS!$J$2:$J$4995,ORDERS!$C$2:$C$4995,$D2473,ORDERS!$L$2:$L$4995,"Đã chuyển khoản"))</f>
        <v/>
      </c>
      <c r="Y2473" s="24" t="n"/>
    </row>
    <row r="2474" ht="14.25" customHeight="1" s="40">
      <c r="A2474" s="24" t="n"/>
      <c r="B2474" s="27" t="n"/>
      <c r="C2474" s="24" t="n"/>
      <c r="D2474" s="28" t="n"/>
      <c r="E2474" s="29" t="n"/>
      <c r="F2474" s="24" t="n"/>
      <c r="G2474" s="24" t="n"/>
      <c r="H2474" s="21">
        <f>IF(ISNUMBER($B2474),INT($B2474)-WEEKDAY($B2474,2)+1,"")</f>
        <v/>
      </c>
      <c r="I2474" s="24" t="n"/>
      <c r="J2474" s="22">
        <f t="array" ref="J2474">IF($D2474="","",IF($I2474="","(trống REF)",IFERROR(INDEX(MASTER_SOURCE!$B$2:$B$495,MATCH($I2474,MASTER_SOURCE!$A$2:$A$495,0)),"(REF không có trong MASTER_SOURCE)")))</f>
        <v/>
      </c>
      <c r="K2474" s="22">
        <f t="array" ref="K2474">IF($D2474="","",IFERROR(INDEX(MASTER_SOURCE!$C$2:$C$495,MATCH($I2474,MASTER_SOURCE!$A$2:$A$495,0)),""))</f>
        <v/>
      </c>
      <c r="L2474" s="22">
        <f t="array" ref="L2474">IF($D2474="","",IFERROR(INDEX(MASTER_SOURCE!$D$2:$D$495,MATCH($I2474,MASTER_SOURCE!$A$2:$A$495,0)),""))</f>
        <v/>
      </c>
      <c r="M2474" s="24" t="n"/>
      <c r="N2474" s="24" t="n"/>
      <c r="O2474" s="24" t="n"/>
      <c r="P2474" s="24" t="n"/>
      <c r="Q2474" s="22">
        <f>IF($D2474="","",IF(AND(OR(DANH_MUC!$L$5&lt;&gt;"Có",M2474="Có"),OR(DANH_MUC!$L$6&lt;&gt;"Có",N2474="Có"),OR(DANH_MUC!$L$7&lt;&gt;"Có",O2474="Có"),OR(DANH_MUC!$L$8&lt;&gt;"Có",P2474="Có")),"Có","Không"))</f>
        <v/>
      </c>
      <c r="R2474" s="22">
        <f>IF($D2474="","",IF(COUNTIF($D$2:$D2474,$D2474)&gt;1,"Trùng",""))</f>
        <v/>
      </c>
      <c r="S2474" s="22">
        <f>IF($D2474="","",IF(AND(LEN($D2474)=10,LEFT($D2474,1)="0",ISNUMBER(--$D2474)),"Có","Không"))</f>
        <v/>
      </c>
      <c r="T2474" s="22">
        <f>IF($D2474="","",IF(AND($C2474&lt;&gt;"",$Q2474="Có",$R2474="",$S2474="Có",AND($L2474&lt;&gt;"",OR($L2474&lt;&gt;"Chưa xác định",DANH_MUC!$L$9="Có"))),"Có","Không"))</f>
        <v/>
      </c>
      <c r="U2474" s="22">
        <f>IF(OR($D2474="",$T2474="Có"),"",IF($C2474="","Thiếu họ tên; ","")&amp;IF($S2474&lt;&gt;"Có","SĐT sai định dạng; ","")&amp;IF($R2474="Trùng","Trùng SĐT; ","")&amp;IF($Q2474&lt;&gt;"Có","Thiếu đồng ý bắt buộc; ","")&amp;IF($L2474="","Thiếu/sai Mã REF; ",IF(AND($L2474="Chưa xác định",DANH_MUC!$L$9&lt;&gt;"Có"),"Nguồn chưa xác định; ","")))</f>
        <v/>
      </c>
      <c r="V2474" s="22">
        <f>IF(OR($D2474="",$R2474="Trùng"),"",IF(COUNTIF(ORDERS!$C$2:$C$4995,$D2474)&gt;0,"Có","Không"))</f>
        <v/>
      </c>
      <c r="W2474" s="22">
        <f>IF(OR($D2474="",$R2474="Trùng"),"",COUNTIFS(ORDERS!$C$2:$C$4995,$D2474,ORDERS!$L$2:$L$4995,"Đã chuyển khoản"))</f>
        <v/>
      </c>
      <c r="X2474" s="23">
        <f>IF(OR($D2474="",$R2474="Trùng"),"",SUMIFS(ORDERS!$J$2:$J$4995,ORDERS!$C$2:$C$4995,$D2474,ORDERS!$L$2:$L$4995,"Đã chuyển khoản"))</f>
        <v/>
      </c>
      <c r="Y2474" s="24" t="n"/>
    </row>
    <row r="2475" ht="14.25" customHeight="1" s="40">
      <c r="A2475" s="24" t="n"/>
      <c r="B2475" s="27" t="n"/>
      <c r="C2475" s="24" t="n"/>
      <c r="D2475" s="28" t="n"/>
      <c r="E2475" s="29" t="n"/>
      <c r="F2475" s="24" t="n"/>
      <c r="G2475" s="24" t="n"/>
      <c r="H2475" s="21">
        <f>IF(ISNUMBER($B2475),INT($B2475)-WEEKDAY($B2475,2)+1,"")</f>
        <v/>
      </c>
      <c r="I2475" s="24" t="n"/>
      <c r="J2475" s="22">
        <f t="array" ref="J2475">IF($D2475="","",IF($I2475="","(trống REF)",IFERROR(INDEX(MASTER_SOURCE!$B$2:$B$495,MATCH($I2475,MASTER_SOURCE!$A$2:$A$495,0)),"(REF không có trong MASTER_SOURCE)")))</f>
        <v/>
      </c>
      <c r="K2475" s="22">
        <f t="array" ref="K2475">IF($D2475="","",IFERROR(INDEX(MASTER_SOURCE!$C$2:$C$495,MATCH($I2475,MASTER_SOURCE!$A$2:$A$495,0)),""))</f>
        <v/>
      </c>
      <c r="L2475" s="22">
        <f t="array" ref="L2475">IF($D2475="","",IFERROR(INDEX(MASTER_SOURCE!$D$2:$D$495,MATCH($I2475,MASTER_SOURCE!$A$2:$A$495,0)),""))</f>
        <v/>
      </c>
      <c r="M2475" s="24" t="n"/>
      <c r="N2475" s="24" t="n"/>
      <c r="O2475" s="24" t="n"/>
      <c r="P2475" s="24" t="n"/>
      <c r="Q2475" s="22">
        <f>IF($D2475="","",IF(AND(OR(DANH_MUC!$L$5&lt;&gt;"Có",M2475="Có"),OR(DANH_MUC!$L$6&lt;&gt;"Có",N2475="Có"),OR(DANH_MUC!$L$7&lt;&gt;"Có",O2475="Có"),OR(DANH_MUC!$L$8&lt;&gt;"Có",P2475="Có")),"Có","Không"))</f>
        <v/>
      </c>
      <c r="R2475" s="22">
        <f>IF($D2475="","",IF(COUNTIF($D$2:$D2475,$D2475)&gt;1,"Trùng",""))</f>
        <v/>
      </c>
      <c r="S2475" s="22">
        <f>IF($D2475="","",IF(AND(LEN($D2475)=10,LEFT($D2475,1)="0",ISNUMBER(--$D2475)),"Có","Không"))</f>
        <v/>
      </c>
      <c r="T2475" s="22">
        <f>IF($D2475="","",IF(AND($C2475&lt;&gt;"",$Q2475="Có",$R2475="",$S2475="Có",AND($L2475&lt;&gt;"",OR($L2475&lt;&gt;"Chưa xác định",DANH_MUC!$L$9="Có"))),"Có","Không"))</f>
        <v/>
      </c>
      <c r="U2475" s="22">
        <f>IF(OR($D2475="",$T2475="Có"),"",IF($C2475="","Thiếu họ tên; ","")&amp;IF($S2475&lt;&gt;"Có","SĐT sai định dạng; ","")&amp;IF($R2475="Trùng","Trùng SĐT; ","")&amp;IF($Q2475&lt;&gt;"Có","Thiếu đồng ý bắt buộc; ","")&amp;IF($L2475="","Thiếu/sai Mã REF; ",IF(AND($L2475="Chưa xác định",DANH_MUC!$L$9&lt;&gt;"Có"),"Nguồn chưa xác định; ","")))</f>
        <v/>
      </c>
      <c r="V2475" s="22">
        <f>IF(OR($D2475="",$R2475="Trùng"),"",IF(COUNTIF(ORDERS!$C$2:$C$4995,$D2475)&gt;0,"Có","Không"))</f>
        <v/>
      </c>
      <c r="W2475" s="22">
        <f>IF(OR($D2475="",$R2475="Trùng"),"",COUNTIFS(ORDERS!$C$2:$C$4995,$D2475,ORDERS!$L$2:$L$4995,"Đã chuyển khoản"))</f>
        <v/>
      </c>
      <c r="X2475" s="23">
        <f>IF(OR($D2475="",$R2475="Trùng"),"",SUMIFS(ORDERS!$J$2:$J$4995,ORDERS!$C$2:$C$4995,$D2475,ORDERS!$L$2:$L$4995,"Đã chuyển khoản"))</f>
        <v/>
      </c>
      <c r="Y2475" s="24" t="n"/>
    </row>
    <row r="2476" ht="14.25" customHeight="1" s="40">
      <c r="A2476" s="24" t="n"/>
      <c r="B2476" s="27" t="n"/>
      <c r="C2476" s="24" t="n"/>
      <c r="D2476" s="28" t="n"/>
      <c r="E2476" s="29" t="n"/>
      <c r="F2476" s="24" t="n"/>
      <c r="G2476" s="24" t="n"/>
      <c r="H2476" s="21">
        <f>IF(ISNUMBER($B2476),INT($B2476)-WEEKDAY($B2476,2)+1,"")</f>
        <v/>
      </c>
      <c r="I2476" s="24" t="n"/>
      <c r="J2476" s="22">
        <f t="array" ref="J2476">IF($D2476="","",IF($I2476="","(trống REF)",IFERROR(INDEX(MASTER_SOURCE!$B$2:$B$495,MATCH($I2476,MASTER_SOURCE!$A$2:$A$495,0)),"(REF không có trong MASTER_SOURCE)")))</f>
        <v/>
      </c>
      <c r="K2476" s="22">
        <f t="array" ref="K2476">IF($D2476="","",IFERROR(INDEX(MASTER_SOURCE!$C$2:$C$495,MATCH($I2476,MASTER_SOURCE!$A$2:$A$495,0)),""))</f>
        <v/>
      </c>
      <c r="L2476" s="22">
        <f t="array" ref="L2476">IF($D2476="","",IFERROR(INDEX(MASTER_SOURCE!$D$2:$D$495,MATCH($I2476,MASTER_SOURCE!$A$2:$A$495,0)),""))</f>
        <v/>
      </c>
      <c r="M2476" s="24" t="n"/>
      <c r="N2476" s="24" t="n"/>
      <c r="O2476" s="24" t="n"/>
      <c r="P2476" s="24" t="n"/>
      <c r="Q2476" s="22">
        <f>IF($D2476="","",IF(AND(OR(DANH_MUC!$L$5&lt;&gt;"Có",M2476="Có"),OR(DANH_MUC!$L$6&lt;&gt;"Có",N2476="Có"),OR(DANH_MUC!$L$7&lt;&gt;"Có",O2476="Có"),OR(DANH_MUC!$L$8&lt;&gt;"Có",P2476="Có")),"Có","Không"))</f>
        <v/>
      </c>
      <c r="R2476" s="22">
        <f>IF($D2476="","",IF(COUNTIF($D$2:$D2476,$D2476)&gt;1,"Trùng",""))</f>
        <v/>
      </c>
      <c r="S2476" s="22">
        <f>IF($D2476="","",IF(AND(LEN($D2476)=10,LEFT($D2476,1)="0",ISNUMBER(--$D2476)),"Có","Không"))</f>
        <v/>
      </c>
      <c r="T2476" s="22">
        <f>IF($D2476="","",IF(AND($C2476&lt;&gt;"",$Q2476="Có",$R2476="",$S2476="Có",AND($L2476&lt;&gt;"",OR($L2476&lt;&gt;"Chưa xác định",DANH_MUC!$L$9="Có"))),"Có","Không"))</f>
        <v/>
      </c>
      <c r="U2476" s="22">
        <f>IF(OR($D2476="",$T2476="Có"),"",IF($C2476="","Thiếu họ tên; ","")&amp;IF($S2476&lt;&gt;"Có","SĐT sai định dạng; ","")&amp;IF($R2476="Trùng","Trùng SĐT; ","")&amp;IF($Q2476&lt;&gt;"Có","Thiếu đồng ý bắt buộc; ","")&amp;IF($L2476="","Thiếu/sai Mã REF; ",IF(AND($L2476="Chưa xác định",DANH_MUC!$L$9&lt;&gt;"Có"),"Nguồn chưa xác định; ","")))</f>
        <v/>
      </c>
      <c r="V2476" s="22">
        <f>IF(OR($D2476="",$R2476="Trùng"),"",IF(COUNTIF(ORDERS!$C$2:$C$4995,$D2476)&gt;0,"Có","Không"))</f>
        <v/>
      </c>
      <c r="W2476" s="22">
        <f>IF(OR($D2476="",$R2476="Trùng"),"",COUNTIFS(ORDERS!$C$2:$C$4995,$D2476,ORDERS!$L$2:$L$4995,"Đã chuyển khoản"))</f>
        <v/>
      </c>
      <c r="X2476" s="23">
        <f>IF(OR($D2476="",$R2476="Trùng"),"",SUMIFS(ORDERS!$J$2:$J$4995,ORDERS!$C$2:$C$4995,$D2476,ORDERS!$L$2:$L$4995,"Đã chuyển khoản"))</f>
        <v/>
      </c>
      <c r="Y2476" s="24" t="n"/>
    </row>
    <row r="2477" ht="14.25" customHeight="1" s="40">
      <c r="A2477" s="24" t="n"/>
      <c r="B2477" s="27" t="n"/>
      <c r="C2477" s="24" t="n"/>
      <c r="D2477" s="28" t="n"/>
      <c r="E2477" s="29" t="n"/>
      <c r="F2477" s="24" t="n"/>
      <c r="G2477" s="24" t="n"/>
      <c r="H2477" s="21">
        <f>IF(ISNUMBER($B2477),INT($B2477)-WEEKDAY($B2477,2)+1,"")</f>
        <v/>
      </c>
      <c r="I2477" s="24" t="n"/>
      <c r="J2477" s="22">
        <f t="array" ref="J2477">IF($D2477="","",IF($I2477="","(trống REF)",IFERROR(INDEX(MASTER_SOURCE!$B$2:$B$495,MATCH($I2477,MASTER_SOURCE!$A$2:$A$495,0)),"(REF không có trong MASTER_SOURCE)")))</f>
        <v/>
      </c>
      <c r="K2477" s="22">
        <f t="array" ref="K2477">IF($D2477="","",IFERROR(INDEX(MASTER_SOURCE!$C$2:$C$495,MATCH($I2477,MASTER_SOURCE!$A$2:$A$495,0)),""))</f>
        <v/>
      </c>
      <c r="L2477" s="22">
        <f t="array" ref="L2477">IF($D2477="","",IFERROR(INDEX(MASTER_SOURCE!$D$2:$D$495,MATCH($I2477,MASTER_SOURCE!$A$2:$A$495,0)),""))</f>
        <v/>
      </c>
      <c r="M2477" s="24" t="n"/>
      <c r="N2477" s="24" t="n"/>
      <c r="O2477" s="24" t="n"/>
      <c r="P2477" s="24" t="n"/>
      <c r="Q2477" s="22">
        <f>IF($D2477="","",IF(AND(OR(DANH_MUC!$L$5&lt;&gt;"Có",M2477="Có"),OR(DANH_MUC!$L$6&lt;&gt;"Có",N2477="Có"),OR(DANH_MUC!$L$7&lt;&gt;"Có",O2477="Có"),OR(DANH_MUC!$L$8&lt;&gt;"Có",P2477="Có")),"Có","Không"))</f>
        <v/>
      </c>
      <c r="R2477" s="22">
        <f>IF($D2477="","",IF(COUNTIF($D$2:$D2477,$D2477)&gt;1,"Trùng",""))</f>
        <v/>
      </c>
      <c r="S2477" s="22">
        <f>IF($D2477="","",IF(AND(LEN($D2477)=10,LEFT($D2477,1)="0",ISNUMBER(--$D2477)),"Có","Không"))</f>
        <v/>
      </c>
      <c r="T2477" s="22">
        <f>IF($D2477="","",IF(AND($C2477&lt;&gt;"",$Q2477="Có",$R2477="",$S2477="Có",AND($L2477&lt;&gt;"",OR($L2477&lt;&gt;"Chưa xác định",DANH_MUC!$L$9="Có"))),"Có","Không"))</f>
        <v/>
      </c>
      <c r="U2477" s="22">
        <f>IF(OR($D2477="",$T2477="Có"),"",IF($C2477="","Thiếu họ tên; ","")&amp;IF($S2477&lt;&gt;"Có","SĐT sai định dạng; ","")&amp;IF($R2477="Trùng","Trùng SĐT; ","")&amp;IF($Q2477&lt;&gt;"Có","Thiếu đồng ý bắt buộc; ","")&amp;IF($L2477="","Thiếu/sai Mã REF; ",IF(AND($L2477="Chưa xác định",DANH_MUC!$L$9&lt;&gt;"Có"),"Nguồn chưa xác định; ","")))</f>
        <v/>
      </c>
      <c r="V2477" s="22">
        <f>IF(OR($D2477="",$R2477="Trùng"),"",IF(COUNTIF(ORDERS!$C$2:$C$4995,$D2477)&gt;0,"Có","Không"))</f>
        <v/>
      </c>
      <c r="W2477" s="22">
        <f>IF(OR($D2477="",$R2477="Trùng"),"",COUNTIFS(ORDERS!$C$2:$C$4995,$D2477,ORDERS!$L$2:$L$4995,"Đã chuyển khoản"))</f>
        <v/>
      </c>
      <c r="X2477" s="23">
        <f>IF(OR($D2477="",$R2477="Trùng"),"",SUMIFS(ORDERS!$J$2:$J$4995,ORDERS!$C$2:$C$4995,$D2477,ORDERS!$L$2:$L$4995,"Đã chuyển khoản"))</f>
        <v/>
      </c>
      <c r="Y2477" s="24" t="n"/>
    </row>
    <row r="2478" ht="14.25" customHeight="1" s="40">
      <c r="A2478" s="24" t="n"/>
      <c r="B2478" s="27" t="n"/>
      <c r="C2478" s="24" t="n"/>
      <c r="D2478" s="28" t="n"/>
      <c r="E2478" s="29" t="n"/>
      <c r="F2478" s="24" t="n"/>
      <c r="G2478" s="24" t="n"/>
      <c r="H2478" s="21">
        <f>IF(ISNUMBER($B2478),INT($B2478)-WEEKDAY($B2478,2)+1,"")</f>
        <v/>
      </c>
      <c r="I2478" s="24" t="n"/>
      <c r="J2478" s="22">
        <f t="array" ref="J2478">IF($D2478="","",IF($I2478="","(trống REF)",IFERROR(INDEX(MASTER_SOURCE!$B$2:$B$495,MATCH($I2478,MASTER_SOURCE!$A$2:$A$495,0)),"(REF không có trong MASTER_SOURCE)")))</f>
        <v/>
      </c>
      <c r="K2478" s="22">
        <f t="array" ref="K2478">IF($D2478="","",IFERROR(INDEX(MASTER_SOURCE!$C$2:$C$495,MATCH($I2478,MASTER_SOURCE!$A$2:$A$495,0)),""))</f>
        <v/>
      </c>
      <c r="L2478" s="22">
        <f t="array" ref="L2478">IF($D2478="","",IFERROR(INDEX(MASTER_SOURCE!$D$2:$D$495,MATCH($I2478,MASTER_SOURCE!$A$2:$A$495,0)),""))</f>
        <v/>
      </c>
      <c r="M2478" s="24" t="n"/>
      <c r="N2478" s="24" t="n"/>
      <c r="O2478" s="24" t="n"/>
      <c r="P2478" s="24" t="n"/>
      <c r="Q2478" s="22">
        <f>IF($D2478="","",IF(AND(OR(DANH_MUC!$L$5&lt;&gt;"Có",M2478="Có"),OR(DANH_MUC!$L$6&lt;&gt;"Có",N2478="Có"),OR(DANH_MUC!$L$7&lt;&gt;"Có",O2478="Có"),OR(DANH_MUC!$L$8&lt;&gt;"Có",P2478="Có")),"Có","Không"))</f>
        <v/>
      </c>
      <c r="R2478" s="22">
        <f>IF($D2478="","",IF(COUNTIF($D$2:$D2478,$D2478)&gt;1,"Trùng",""))</f>
        <v/>
      </c>
      <c r="S2478" s="22">
        <f>IF($D2478="","",IF(AND(LEN($D2478)=10,LEFT($D2478,1)="0",ISNUMBER(--$D2478)),"Có","Không"))</f>
        <v/>
      </c>
      <c r="T2478" s="22">
        <f>IF($D2478="","",IF(AND($C2478&lt;&gt;"",$Q2478="Có",$R2478="",$S2478="Có",AND($L2478&lt;&gt;"",OR($L2478&lt;&gt;"Chưa xác định",DANH_MUC!$L$9="Có"))),"Có","Không"))</f>
        <v/>
      </c>
      <c r="U2478" s="22">
        <f>IF(OR($D2478="",$T2478="Có"),"",IF($C2478="","Thiếu họ tên; ","")&amp;IF($S2478&lt;&gt;"Có","SĐT sai định dạng; ","")&amp;IF($R2478="Trùng","Trùng SĐT; ","")&amp;IF($Q2478&lt;&gt;"Có","Thiếu đồng ý bắt buộc; ","")&amp;IF($L2478="","Thiếu/sai Mã REF; ",IF(AND($L2478="Chưa xác định",DANH_MUC!$L$9&lt;&gt;"Có"),"Nguồn chưa xác định; ","")))</f>
        <v/>
      </c>
      <c r="V2478" s="22">
        <f>IF(OR($D2478="",$R2478="Trùng"),"",IF(COUNTIF(ORDERS!$C$2:$C$4995,$D2478)&gt;0,"Có","Không"))</f>
        <v/>
      </c>
      <c r="W2478" s="22">
        <f>IF(OR($D2478="",$R2478="Trùng"),"",COUNTIFS(ORDERS!$C$2:$C$4995,$D2478,ORDERS!$L$2:$L$4995,"Đã chuyển khoản"))</f>
        <v/>
      </c>
      <c r="X2478" s="23">
        <f>IF(OR($D2478="",$R2478="Trùng"),"",SUMIFS(ORDERS!$J$2:$J$4995,ORDERS!$C$2:$C$4995,$D2478,ORDERS!$L$2:$L$4995,"Đã chuyển khoản"))</f>
        <v/>
      </c>
      <c r="Y2478" s="24" t="n"/>
    </row>
    <row r="2479" ht="14.25" customHeight="1" s="40">
      <c r="A2479" s="24" t="n"/>
      <c r="B2479" s="27" t="n"/>
      <c r="C2479" s="24" t="n"/>
      <c r="D2479" s="28" t="n"/>
      <c r="E2479" s="29" t="n"/>
      <c r="F2479" s="24" t="n"/>
      <c r="G2479" s="24" t="n"/>
      <c r="H2479" s="21">
        <f>IF(ISNUMBER($B2479),INT($B2479)-WEEKDAY($B2479,2)+1,"")</f>
        <v/>
      </c>
      <c r="I2479" s="24" t="n"/>
      <c r="J2479" s="22">
        <f t="array" ref="J2479">IF($D2479="","",IF($I2479="","(trống REF)",IFERROR(INDEX(MASTER_SOURCE!$B$2:$B$495,MATCH($I2479,MASTER_SOURCE!$A$2:$A$495,0)),"(REF không có trong MASTER_SOURCE)")))</f>
        <v/>
      </c>
      <c r="K2479" s="22">
        <f t="array" ref="K2479">IF($D2479="","",IFERROR(INDEX(MASTER_SOURCE!$C$2:$C$495,MATCH($I2479,MASTER_SOURCE!$A$2:$A$495,0)),""))</f>
        <v/>
      </c>
      <c r="L2479" s="22">
        <f t="array" ref="L2479">IF($D2479="","",IFERROR(INDEX(MASTER_SOURCE!$D$2:$D$495,MATCH($I2479,MASTER_SOURCE!$A$2:$A$495,0)),""))</f>
        <v/>
      </c>
      <c r="M2479" s="24" t="n"/>
      <c r="N2479" s="24" t="n"/>
      <c r="O2479" s="24" t="n"/>
      <c r="P2479" s="24" t="n"/>
      <c r="Q2479" s="22">
        <f>IF($D2479="","",IF(AND(OR(DANH_MUC!$L$5&lt;&gt;"Có",M2479="Có"),OR(DANH_MUC!$L$6&lt;&gt;"Có",N2479="Có"),OR(DANH_MUC!$L$7&lt;&gt;"Có",O2479="Có"),OR(DANH_MUC!$L$8&lt;&gt;"Có",P2479="Có")),"Có","Không"))</f>
        <v/>
      </c>
      <c r="R2479" s="22">
        <f>IF($D2479="","",IF(COUNTIF($D$2:$D2479,$D2479)&gt;1,"Trùng",""))</f>
        <v/>
      </c>
      <c r="S2479" s="22">
        <f>IF($D2479="","",IF(AND(LEN($D2479)=10,LEFT($D2479,1)="0",ISNUMBER(--$D2479)),"Có","Không"))</f>
        <v/>
      </c>
      <c r="T2479" s="22">
        <f>IF($D2479="","",IF(AND($C2479&lt;&gt;"",$Q2479="Có",$R2479="",$S2479="Có",AND($L2479&lt;&gt;"",OR($L2479&lt;&gt;"Chưa xác định",DANH_MUC!$L$9="Có"))),"Có","Không"))</f>
        <v/>
      </c>
      <c r="U2479" s="22">
        <f>IF(OR($D2479="",$T2479="Có"),"",IF($C2479="","Thiếu họ tên; ","")&amp;IF($S2479&lt;&gt;"Có","SĐT sai định dạng; ","")&amp;IF($R2479="Trùng","Trùng SĐT; ","")&amp;IF($Q2479&lt;&gt;"Có","Thiếu đồng ý bắt buộc; ","")&amp;IF($L2479="","Thiếu/sai Mã REF; ",IF(AND($L2479="Chưa xác định",DANH_MUC!$L$9&lt;&gt;"Có"),"Nguồn chưa xác định; ","")))</f>
        <v/>
      </c>
      <c r="V2479" s="22">
        <f>IF(OR($D2479="",$R2479="Trùng"),"",IF(COUNTIF(ORDERS!$C$2:$C$4995,$D2479)&gt;0,"Có","Không"))</f>
        <v/>
      </c>
      <c r="W2479" s="22">
        <f>IF(OR($D2479="",$R2479="Trùng"),"",COUNTIFS(ORDERS!$C$2:$C$4995,$D2479,ORDERS!$L$2:$L$4995,"Đã chuyển khoản"))</f>
        <v/>
      </c>
      <c r="X2479" s="23">
        <f>IF(OR($D2479="",$R2479="Trùng"),"",SUMIFS(ORDERS!$J$2:$J$4995,ORDERS!$C$2:$C$4995,$D2479,ORDERS!$L$2:$L$4995,"Đã chuyển khoản"))</f>
        <v/>
      </c>
      <c r="Y2479" s="24" t="n"/>
    </row>
    <row r="2480" ht="14.25" customHeight="1" s="40">
      <c r="A2480" s="24" t="n"/>
      <c r="B2480" s="27" t="n"/>
      <c r="C2480" s="24" t="n"/>
      <c r="D2480" s="28" t="n"/>
      <c r="E2480" s="29" t="n"/>
      <c r="F2480" s="24" t="n"/>
      <c r="G2480" s="24" t="n"/>
      <c r="H2480" s="21">
        <f>IF(ISNUMBER($B2480),INT($B2480)-WEEKDAY($B2480,2)+1,"")</f>
        <v/>
      </c>
      <c r="I2480" s="24" t="n"/>
      <c r="J2480" s="22">
        <f t="array" ref="J2480">IF($D2480="","",IF($I2480="","(trống REF)",IFERROR(INDEX(MASTER_SOURCE!$B$2:$B$495,MATCH($I2480,MASTER_SOURCE!$A$2:$A$495,0)),"(REF không có trong MASTER_SOURCE)")))</f>
        <v/>
      </c>
      <c r="K2480" s="22">
        <f t="array" ref="K2480">IF($D2480="","",IFERROR(INDEX(MASTER_SOURCE!$C$2:$C$495,MATCH($I2480,MASTER_SOURCE!$A$2:$A$495,0)),""))</f>
        <v/>
      </c>
      <c r="L2480" s="22">
        <f t="array" ref="L2480">IF($D2480="","",IFERROR(INDEX(MASTER_SOURCE!$D$2:$D$495,MATCH($I2480,MASTER_SOURCE!$A$2:$A$495,0)),""))</f>
        <v/>
      </c>
      <c r="M2480" s="24" t="n"/>
      <c r="N2480" s="24" t="n"/>
      <c r="O2480" s="24" t="n"/>
      <c r="P2480" s="24" t="n"/>
      <c r="Q2480" s="22">
        <f>IF($D2480="","",IF(AND(OR(DANH_MUC!$L$5&lt;&gt;"Có",M2480="Có"),OR(DANH_MUC!$L$6&lt;&gt;"Có",N2480="Có"),OR(DANH_MUC!$L$7&lt;&gt;"Có",O2480="Có"),OR(DANH_MUC!$L$8&lt;&gt;"Có",P2480="Có")),"Có","Không"))</f>
        <v/>
      </c>
      <c r="R2480" s="22">
        <f>IF($D2480="","",IF(COUNTIF($D$2:$D2480,$D2480)&gt;1,"Trùng",""))</f>
        <v/>
      </c>
      <c r="S2480" s="22">
        <f>IF($D2480="","",IF(AND(LEN($D2480)=10,LEFT($D2480,1)="0",ISNUMBER(--$D2480)),"Có","Không"))</f>
        <v/>
      </c>
      <c r="T2480" s="22">
        <f>IF($D2480="","",IF(AND($C2480&lt;&gt;"",$Q2480="Có",$R2480="",$S2480="Có",AND($L2480&lt;&gt;"",OR($L2480&lt;&gt;"Chưa xác định",DANH_MUC!$L$9="Có"))),"Có","Không"))</f>
        <v/>
      </c>
      <c r="U2480" s="22">
        <f>IF(OR($D2480="",$T2480="Có"),"",IF($C2480="","Thiếu họ tên; ","")&amp;IF($S2480&lt;&gt;"Có","SĐT sai định dạng; ","")&amp;IF($R2480="Trùng","Trùng SĐT; ","")&amp;IF($Q2480&lt;&gt;"Có","Thiếu đồng ý bắt buộc; ","")&amp;IF($L2480="","Thiếu/sai Mã REF; ",IF(AND($L2480="Chưa xác định",DANH_MUC!$L$9&lt;&gt;"Có"),"Nguồn chưa xác định; ","")))</f>
        <v/>
      </c>
      <c r="V2480" s="22">
        <f>IF(OR($D2480="",$R2480="Trùng"),"",IF(COUNTIF(ORDERS!$C$2:$C$4995,$D2480)&gt;0,"Có","Không"))</f>
        <v/>
      </c>
      <c r="W2480" s="22">
        <f>IF(OR($D2480="",$R2480="Trùng"),"",COUNTIFS(ORDERS!$C$2:$C$4995,$D2480,ORDERS!$L$2:$L$4995,"Đã chuyển khoản"))</f>
        <v/>
      </c>
      <c r="X2480" s="23">
        <f>IF(OR($D2480="",$R2480="Trùng"),"",SUMIFS(ORDERS!$J$2:$J$4995,ORDERS!$C$2:$C$4995,$D2480,ORDERS!$L$2:$L$4995,"Đã chuyển khoản"))</f>
        <v/>
      </c>
      <c r="Y2480" s="24" t="n"/>
    </row>
    <row r="2481" ht="14.25" customHeight="1" s="40">
      <c r="A2481" s="24" t="n"/>
      <c r="B2481" s="27" t="n"/>
      <c r="C2481" s="24" t="n"/>
      <c r="D2481" s="28" t="n"/>
      <c r="E2481" s="29" t="n"/>
      <c r="F2481" s="24" t="n"/>
      <c r="G2481" s="24" t="n"/>
      <c r="H2481" s="21">
        <f>IF(ISNUMBER($B2481),INT($B2481)-WEEKDAY($B2481,2)+1,"")</f>
        <v/>
      </c>
      <c r="I2481" s="24" t="n"/>
      <c r="J2481" s="22">
        <f t="array" ref="J2481">IF($D2481="","",IF($I2481="","(trống REF)",IFERROR(INDEX(MASTER_SOURCE!$B$2:$B$495,MATCH($I2481,MASTER_SOURCE!$A$2:$A$495,0)),"(REF không có trong MASTER_SOURCE)")))</f>
        <v/>
      </c>
      <c r="K2481" s="22">
        <f t="array" ref="K2481">IF($D2481="","",IFERROR(INDEX(MASTER_SOURCE!$C$2:$C$495,MATCH($I2481,MASTER_SOURCE!$A$2:$A$495,0)),""))</f>
        <v/>
      </c>
      <c r="L2481" s="22">
        <f t="array" ref="L2481">IF($D2481="","",IFERROR(INDEX(MASTER_SOURCE!$D$2:$D$495,MATCH($I2481,MASTER_SOURCE!$A$2:$A$495,0)),""))</f>
        <v/>
      </c>
      <c r="M2481" s="24" t="n"/>
      <c r="N2481" s="24" t="n"/>
      <c r="O2481" s="24" t="n"/>
      <c r="P2481" s="24" t="n"/>
      <c r="Q2481" s="22">
        <f>IF($D2481="","",IF(AND(OR(DANH_MUC!$L$5&lt;&gt;"Có",M2481="Có"),OR(DANH_MUC!$L$6&lt;&gt;"Có",N2481="Có"),OR(DANH_MUC!$L$7&lt;&gt;"Có",O2481="Có"),OR(DANH_MUC!$L$8&lt;&gt;"Có",P2481="Có")),"Có","Không"))</f>
        <v/>
      </c>
      <c r="R2481" s="22">
        <f>IF($D2481="","",IF(COUNTIF($D$2:$D2481,$D2481)&gt;1,"Trùng",""))</f>
        <v/>
      </c>
      <c r="S2481" s="22">
        <f>IF($D2481="","",IF(AND(LEN($D2481)=10,LEFT($D2481,1)="0",ISNUMBER(--$D2481)),"Có","Không"))</f>
        <v/>
      </c>
      <c r="T2481" s="22">
        <f>IF($D2481="","",IF(AND($C2481&lt;&gt;"",$Q2481="Có",$R2481="",$S2481="Có",AND($L2481&lt;&gt;"",OR($L2481&lt;&gt;"Chưa xác định",DANH_MUC!$L$9="Có"))),"Có","Không"))</f>
        <v/>
      </c>
      <c r="U2481" s="22">
        <f>IF(OR($D2481="",$T2481="Có"),"",IF($C2481="","Thiếu họ tên; ","")&amp;IF($S2481&lt;&gt;"Có","SĐT sai định dạng; ","")&amp;IF($R2481="Trùng","Trùng SĐT; ","")&amp;IF($Q2481&lt;&gt;"Có","Thiếu đồng ý bắt buộc; ","")&amp;IF($L2481="","Thiếu/sai Mã REF; ",IF(AND($L2481="Chưa xác định",DANH_MUC!$L$9&lt;&gt;"Có"),"Nguồn chưa xác định; ","")))</f>
        <v/>
      </c>
      <c r="V2481" s="22">
        <f>IF(OR($D2481="",$R2481="Trùng"),"",IF(COUNTIF(ORDERS!$C$2:$C$4995,$D2481)&gt;0,"Có","Không"))</f>
        <v/>
      </c>
      <c r="W2481" s="22">
        <f>IF(OR($D2481="",$R2481="Trùng"),"",COUNTIFS(ORDERS!$C$2:$C$4995,$D2481,ORDERS!$L$2:$L$4995,"Đã chuyển khoản"))</f>
        <v/>
      </c>
      <c r="X2481" s="23">
        <f>IF(OR($D2481="",$R2481="Trùng"),"",SUMIFS(ORDERS!$J$2:$J$4995,ORDERS!$C$2:$C$4995,$D2481,ORDERS!$L$2:$L$4995,"Đã chuyển khoản"))</f>
        <v/>
      </c>
      <c r="Y2481" s="24" t="n"/>
    </row>
    <row r="2482" ht="14.25" customHeight="1" s="40">
      <c r="A2482" s="24" t="n"/>
      <c r="B2482" s="27" t="n"/>
      <c r="C2482" s="24" t="n"/>
      <c r="D2482" s="28" t="n"/>
      <c r="E2482" s="29" t="n"/>
      <c r="F2482" s="24" t="n"/>
      <c r="G2482" s="24" t="n"/>
      <c r="H2482" s="21">
        <f>IF(ISNUMBER($B2482),INT($B2482)-WEEKDAY($B2482,2)+1,"")</f>
        <v/>
      </c>
      <c r="I2482" s="24" t="n"/>
      <c r="J2482" s="22">
        <f t="array" ref="J2482">IF($D2482="","",IF($I2482="","(trống REF)",IFERROR(INDEX(MASTER_SOURCE!$B$2:$B$495,MATCH($I2482,MASTER_SOURCE!$A$2:$A$495,0)),"(REF không có trong MASTER_SOURCE)")))</f>
        <v/>
      </c>
      <c r="K2482" s="22">
        <f t="array" ref="K2482">IF($D2482="","",IFERROR(INDEX(MASTER_SOURCE!$C$2:$C$495,MATCH($I2482,MASTER_SOURCE!$A$2:$A$495,0)),""))</f>
        <v/>
      </c>
      <c r="L2482" s="22">
        <f t="array" ref="L2482">IF($D2482="","",IFERROR(INDEX(MASTER_SOURCE!$D$2:$D$495,MATCH($I2482,MASTER_SOURCE!$A$2:$A$495,0)),""))</f>
        <v/>
      </c>
      <c r="M2482" s="24" t="n"/>
      <c r="N2482" s="24" t="n"/>
      <c r="O2482" s="24" t="n"/>
      <c r="P2482" s="24" t="n"/>
      <c r="Q2482" s="22">
        <f>IF($D2482="","",IF(AND(OR(DANH_MUC!$L$5&lt;&gt;"Có",M2482="Có"),OR(DANH_MUC!$L$6&lt;&gt;"Có",N2482="Có"),OR(DANH_MUC!$L$7&lt;&gt;"Có",O2482="Có"),OR(DANH_MUC!$L$8&lt;&gt;"Có",P2482="Có")),"Có","Không"))</f>
        <v/>
      </c>
      <c r="R2482" s="22">
        <f>IF($D2482="","",IF(COUNTIF($D$2:$D2482,$D2482)&gt;1,"Trùng",""))</f>
        <v/>
      </c>
      <c r="S2482" s="22">
        <f>IF($D2482="","",IF(AND(LEN($D2482)=10,LEFT($D2482,1)="0",ISNUMBER(--$D2482)),"Có","Không"))</f>
        <v/>
      </c>
      <c r="T2482" s="22">
        <f>IF($D2482="","",IF(AND($C2482&lt;&gt;"",$Q2482="Có",$R2482="",$S2482="Có",AND($L2482&lt;&gt;"",OR($L2482&lt;&gt;"Chưa xác định",DANH_MUC!$L$9="Có"))),"Có","Không"))</f>
        <v/>
      </c>
      <c r="U2482" s="22">
        <f>IF(OR($D2482="",$T2482="Có"),"",IF($C2482="","Thiếu họ tên; ","")&amp;IF($S2482&lt;&gt;"Có","SĐT sai định dạng; ","")&amp;IF($R2482="Trùng","Trùng SĐT; ","")&amp;IF($Q2482&lt;&gt;"Có","Thiếu đồng ý bắt buộc; ","")&amp;IF($L2482="","Thiếu/sai Mã REF; ",IF(AND($L2482="Chưa xác định",DANH_MUC!$L$9&lt;&gt;"Có"),"Nguồn chưa xác định; ","")))</f>
        <v/>
      </c>
      <c r="V2482" s="22">
        <f>IF(OR($D2482="",$R2482="Trùng"),"",IF(COUNTIF(ORDERS!$C$2:$C$4995,$D2482)&gt;0,"Có","Không"))</f>
        <v/>
      </c>
      <c r="W2482" s="22">
        <f>IF(OR($D2482="",$R2482="Trùng"),"",COUNTIFS(ORDERS!$C$2:$C$4995,$D2482,ORDERS!$L$2:$L$4995,"Đã chuyển khoản"))</f>
        <v/>
      </c>
      <c r="X2482" s="23">
        <f>IF(OR($D2482="",$R2482="Trùng"),"",SUMIFS(ORDERS!$J$2:$J$4995,ORDERS!$C$2:$C$4995,$D2482,ORDERS!$L$2:$L$4995,"Đã chuyển khoản"))</f>
        <v/>
      </c>
      <c r="Y2482" s="24" t="n"/>
    </row>
    <row r="2483" ht="14.25" customHeight="1" s="40">
      <c r="A2483" s="24" t="n"/>
      <c r="B2483" s="27" t="n"/>
      <c r="C2483" s="24" t="n"/>
      <c r="D2483" s="28" t="n"/>
      <c r="E2483" s="29" t="n"/>
      <c r="F2483" s="24" t="n"/>
      <c r="G2483" s="24" t="n"/>
      <c r="H2483" s="21">
        <f>IF(ISNUMBER($B2483),INT($B2483)-WEEKDAY($B2483,2)+1,"")</f>
        <v/>
      </c>
      <c r="I2483" s="24" t="n"/>
      <c r="J2483" s="22">
        <f t="array" ref="J2483">IF($D2483="","",IF($I2483="","(trống REF)",IFERROR(INDEX(MASTER_SOURCE!$B$2:$B$495,MATCH($I2483,MASTER_SOURCE!$A$2:$A$495,0)),"(REF không có trong MASTER_SOURCE)")))</f>
        <v/>
      </c>
      <c r="K2483" s="22">
        <f t="array" ref="K2483">IF($D2483="","",IFERROR(INDEX(MASTER_SOURCE!$C$2:$C$495,MATCH($I2483,MASTER_SOURCE!$A$2:$A$495,0)),""))</f>
        <v/>
      </c>
      <c r="L2483" s="22">
        <f t="array" ref="L2483">IF($D2483="","",IFERROR(INDEX(MASTER_SOURCE!$D$2:$D$495,MATCH($I2483,MASTER_SOURCE!$A$2:$A$495,0)),""))</f>
        <v/>
      </c>
      <c r="M2483" s="24" t="n"/>
      <c r="N2483" s="24" t="n"/>
      <c r="O2483" s="24" t="n"/>
      <c r="P2483" s="24" t="n"/>
      <c r="Q2483" s="22">
        <f>IF($D2483="","",IF(AND(OR(DANH_MUC!$L$5&lt;&gt;"Có",M2483="Có"),OR(DANH_MUC!$L$6&lt;&gt;"Có",N2483="Có"),OR(DANH_MUC!$L$7&lt;&gt;"Có",O2483="Có"),OR(DANH_MUC!$L$8&lt;&gt;"Có",P2483="Có")),"Có","Không"))</f>
        <v/>
      </c>
      <c r="R2483" s="22">
        <f>IF($D2483="","",IF(COUNTIF($D$2:$D2483,$D2483)&gt;1,"Trùng",""))</f>
        <v/>
      </c>
      <c r="S2483" s="22">
        <f>IF($D2483="","",IF(AND(LEN($D2483)=10,LEFT($D2483,1)="0",ISNUMBER(--$D2483)),"Có","Không"))</f>
        <v/>
      </c>
      <c r="T2483" s="22">
        <f>IF($D2483="","",IF(AND($C2483&lt;&gt;"",$Q2483="Có",$R2483="",$S2483="Có",AND($L2483&lt;&gt;"",OR($L2483&lt;&gt;"Chưa xác định",DANH_MUC!$L$9="Có"))),"Có","Không"))</f>
        <v/>
      </c>
      <c r="U2483" s="22">
        <f>IF(OR($D2483="",$T2483="Có"),"",IF($C2483="","Thiếu họ tên; ","")&amp;IF($S2483&lt;&gt;"Có","SĐT sai định dạng; ","")&amp;IF($R2483="Trùng","Trùng SĐT; ","")&amp;IF($Q2483&lt;&gt;"Có","Thiếu đồng ý bắt buộc; ","")&amp;IF($L2483="","Thiếu/sai Mã REF; ",IF(AND($L2483="Chưa xác định",DANH_MUC!$L$9&lt;&gt;"Có"),"Nguồn chưa xác định; ","")))</f>
        <v/>
      </c>
      <c r="V2483" s="22">
        <f>IF(OR($D2483="",$R2483="Trùng"),"",IF(COUNTIF(ORDERS!$C$2:$C$4995,$D2483)&gt;0,"Có","Không"))</f>
        <v/>
      </c>
      <c r="W2483" s="22">
        <f>IF(OR($D2483="",$R2483="Trùng"),"",COUNTIFS(ORDERS!$C$2:$C$4995,$D2483,ORDERS!$L$2:$L$4995,"Đã chuyển khoản"))</f>
        <v/>
      </c>
      <c r="X2483" s="23">
        <f>IF(OR($D2483="",$R2483="Trùng"),"",SUMIFS(ORDERS!$J$2:$J$4995,ORDERS!$C$2:$C$4995,$D2483,ORDERS!$L$2:$L$4995,"Đã chuyển khoản"))</f>
        <v/>
      </c>
      <c r="Y2483" s="24" t="n"/>
    </row>
    <row r="2484" ht="14.25" customHeight="1" s="40">
      <c r="A2484" s="24" t="n"/>
      <c r="B2484" s="27" t="n"/>
      <c r="C2484" s="24" t="n"/>
      <c r="D2484" s="28" t="n"/>
      <c r="E2484" s="29" t="n"/>
      <c r="F2484" s="24" t="n"/>
      <c r="G2484" s="24" t="n"/>
      <c r="H2484" s="21">
        <f>IF(ISNUMBER($B2484),INT($B2484)-WEEKDAY($B2484,2)+1,"")</f>
        <v/>
      </c>
      <c r="I2484" s="24" t="n"/>
      <c r="J2484" s="22">
        <f t="array" ref="J2484">IF($D2484="","",IF($I2484="","(trống REF)",IFERROR(INDEX(MASTER_SOURCE!$B$2:$B$495,MATCH($I2484,MASTER_SOURCE!$A$2:$A$495,0)),"(REF không có trong MASTER_SOURCE)")))</f>
        <v/>
      </c>
      <c r="K2484" s="22">
        <f t="array" ref="K2484">IF($D2484="","",IFERROR(INDEX(MASTER_SOURCE!$C$2:$C$495,MATCH($I2484,MASTER_SOURCE!$A$2:$A$495,0)),""))</f>
        <v/>
      </c>
      <c r="L2484" s="22">
        <f t="array" ref="L2484">IF($D2484="","",IFERROR(INDEX(MASTER_SOURCE!$D$2:$D$495,MATCH($I2484,MASTER_SOURCE!$A$2:$A$495,0)),""))</f>
        <v/>
      </c>
      <c r="M2484" s="24" t="n"/>
      <c r="N2484" s="24" t="n"/>
      <c r="O2484" s="24" t="n"/>
      <c r="P2484" s="24" t="n"/>
      <c r="Q2484" s="22">
        <f>IF($D2484="","",IF(AND(OR(DANH_MUC!$L$5&lt;&gt;"Có",M2484="Có"),OR(DANH_MUC!$L$6&lt;&gt;"Có",N2484="Có"),OR(DANH_MUC!$L$7&lt;&gt;"Có",O2484="Có"),OR(DANH_MUC!$L$8&lt;&gt;"Có",P2484="Có")),"Có","Không"))</f>
        <v/>
      </c>
      <c r="R2484" s="22">
        <f>IF($D2484="","",IF(COUNTIF($D$2:$D2484,$D2484)&gt;1,"Trùng",""))</f>
        <v/>
      </c>
      <c r="S2484" s="22">
        <f>IF($D2484="","",IF(AND(LEN($D2484)=10,LEFT($D2484,1)="0",ISNUMBER(--$D2484)),"Có","Không"))</f>
        <v/>
      </c>
      <c r="T2484" s="22">
        <f>IF($D2484="","",IF(AND($C2484&lt;&gt;"",$Q2484="Có",$R2484="",$S2484="Có",AND($L2484&lt;&gt;"",OR($L2484&lt;&gt;"Chưa xác định",DANH_MUC!$L$9="Có"))),"Có","Không"))</f>
        <v/>
      </c>
      <c r="U2484" s="22">
        <f>IF(OR($D2484="",$T2484="Có"),"",IF($C2484="","Thiếu họ tên; ","")&amp;IF($S2484&lt;&gt;"Có","SĐT sai định dạng; ","")&amp;IF($R2484="Trùng","Trùng SĐT; ","")&amp;IF($Q2484&lt;&gt;"Có","Thiếu đồng ý bắt buộc; ","")&amp;IF($L2484="","Thiếu/sai Mã REF; ",IF(AND($L2484="Chưa xác định",DANH_MUC!$L$9&lt;&gt;"Có"),"Nguồn chưa xác định; ","")))</f>
        <v/>
      </c>
      <c r="V2484" s="22">
        <f>IF(OR($D2484="",$R2484="Trùng"),"",IF(COUNTIF(ORDERS!$C$2:$C$4995,$D2484)&gt;0,"Có","Không"))</f>
        <v/>
      </c>
      <c r="W2484" s="22">
        <f>IF(OR($D2484="",$R2484="Trùng"),"",COUNTIFS(ORDERS!$C$2:$C$4995,$D2484,ORDERS!$L$2:$L$4995,"Đã chuyển khoản"))</f>
        <v/>
      </c>
      <c r="X2484" s="23">
        <f>IF(OR($D2484="",$R2484="Trùng"),"",SUMIFS(ORDERS!$J$2:$J$4995,ORDERS!$C$2:$C$4995,$D2484,ORDERS!$L$2:$L$4995,"Đã chuyển khoản"))</f>
        <v/>
      </c>
      <c r="Y2484" s="24" t="n"/>
    </row>
    <row r="2485" ht="14.25" customHeight="1" s="40">
      <c r="A2485" s="24" t="n"/>
      <c r="B2485" s="27" t="n"/>
      <c r="C2485" s="24" t="n"/>
      <c r="D2485" s="28" t="n"/>
      <c r="E2485" s="29" t="n"/>
      <c r="F2485" s="24" t="n"/>
      <c r="G2485" s="24" t="n"/>
      <c r="H2485" s="21">
        <f>IF(ISNUMBER($B2485),INT($B2485)-WEEKDAY($B2485,2)+1,"")</f>
        <v/>
      </c>
      <c r="I2485" s="24" t="n"/>
      <c r="J2485" s="22">
        <f t="array" ref="J2485">IF($D2485="","",IF($I2485="","(trống REF)",IFERROR(INDEX(MASTER_SOURCE!$B$2:$B$495,MATCH($I2485,MASTER_SOURCE!$A$2:$A$495,0)),"(REF không có trong MASTER_SOURCE)")))</f>
        <v/>
      </c>
      <c r="K2485" s="22">
        <f t="array" ref="K2485">IF($D2485="","",IFERROR(INDEX(MASTER_SOURCE!$C$2:$C$495,MATCH($I2485,MASTER_SOURCE!$A$2:$A$495,0)),""))</f>
        <v/>
      </c>
      <c r="L2485" s="22">
        <f t="array" ref="L2485">IF($D2485="","",IFERROR(INDEX(MASTER_SOURCE!$D$2:$D$495,MATCH($I2485,MASTER_SOURCE!$A$2:$A$495,0)),""))</f>
        <v/>
      </c>
      <c r="M2485" s="24" t="n"/>
      <c r="N2485" s="24" t="n"/>
      <c r="O2485" s="24" t="n"/>
      <c r="P2485" s="24" t="n"/>
      <c r="Q2485" s="22">
        <f>IF($D2485="","",IF(AND(OR(DANH_MUC!$L$5&lt;&gt;"Có",M2485="Có"),OR(DANH_MUC!$L$6&lt;&gt;"Có",N2485="Có"),OR(DANH_MUC!$L$7&lt;&gt;"Có",O2485="Có"),OR(DANH_MUC!$L$8&lt;&gt;"Có",P2485="Có")),"Có","Không"))</f>
        <v/>
      </c>
      <c r="R2485" s="22">
        <f>IF($D2485="","",IF(COUNTIF($D$2:$D2485,$D2485)&gt;1,"Trùng",""))</f>
        <v/>
      </c>
      <c r="S2485" s="22">
        <f>IF($D2485="","",IF(AND(LEN($D2485)=10,LEFT($D2485,1)="0",ISNUMBER(--$D2485)),"Có","Không"))</f>
        <v/>
      </c>
      <c r="T2485" s="22">
        <f>IF($D2485="","",IF(AND($C2485&lt;&gt;"",$Q2485="Có",$R2485="",$S2485="Có",AND($L2485&lt;&gt;"",OR($L2485&lt;&gt;"Chưa xác định",DANH_MUC!$L$9="Có"))),"Có","Không"))</f>
        <v/>
      </c>
      <c r="U2485" s="22">
        <f>IF(OR($D2485="",$T2485="Có"),"",IF($C2485="","Thiếu họ tên; ","")&amp;IF($S2485&lt;&gt;"Có","SĐT sai định dạng; ","")&amp;IF($R2485="Trùng","Trùng SĐT; ","")&amp;IF($Q2485&lt;&gt;"Có","Thiếu đồng ý bắt buộc; ","")&amp;IF($L2485="","Thiếu/sai Mã REF; ",IF(AND($L2485="Chưa xác định",DANH_MUC!$L$9&lt;&gt;"Có"),"Nguồn chưa xác định; ","")))</f>
        <v/>
      </c>
      <c r="V2485" s="22">
        <f>IF(OR($D2485="",$R2485="Trùng"),"",IF(COUNTIF(ORDERS!$C$2:$C$4995,$D2485)&gt;0,"Có","Không"))</f>
        <v/>
      </c>
      <c r="W2485" s="22">
        <f>IF(OR($D2485="",$R2485="Trùng"),"",COUNTIFS(ORDERS!$C$2:$C$4995,$D2485,ORDERS!$L$2:$L$4995,"Đã chuyển khoản"))</f>
        <v/>
      </c>
      <c r="X2485" s="23">
        <f>IF(OR($D2485="",$R2485="Trùng"),"",SUMIFS(ORDERS!$J$2:$J$4995,ORDERS!$C$2:$C$4995,$D2485,ORDERS!$L$2:$L$4995,"Đã chuyển khoản"))</f>
        <v/>
      </c>
      <c r="Y2485" s="24" t="n"/>
    </row>
    <row r="2486" ht="14.25" customHeight="1" s="40">
      <c r="A2486" s="24" t="n"/>
      <c r="B2486" s="27" t="n"/>
      <c r="C2486" s="24" t="n"/>
      <c r="D2486" s="28" t="n"/>
      <c r="E2486" s="29" t="n"/>
      <c r="F2486" s="24" t="n"/>
      <c r="G2486" s="24" t="n"/>
      <c r="H2486" s="21">
        <f>IF(ISNUMBER($B2486),INT($B2486)-WEEKDAY($B2486,2)+1,"")</f>
        <v/>
      </c>
      <c r="I2486" s="24" t="n"/>
      <c r="J2486" s="22">
        <f t="array" ref="J2486">IF($D2486="","",IF($I2486="","(trống REF)",IFERROR(INDEX(MASTER_SOURCE!$B$2:$B$495,MATCH($I2486,MASTER_SOURCE!$A$2:$A$495,0)),"(REF không có trong MASTER_SOURCE)")))</f>
        <v/>
      </c>
      <c r="K2486" s="22">
        <f t="array" ref="K2486">IF($D2486="","",IFERROR(INDEX(MASTER_SOURCE!$C$2:$C$495,MATCH($I2486,MASTER_SOURCE!$A$2:$A$495,0)),""))</f>
        <v/>
      </c>
      <c r="L2486" s="22">
        <f t="array" ref="L2486">IF($D2486="","",IFERROR(INDEX(MASTER_SOURCE!$D$2:$D$495,MATCH($I2486,MASTER_SOURCE!$A$2:$A$495,0)),""))</f>
        <v/>
      </c>
      <c r="M2486" s="24" t="n"/>
      <c r="N2486" s="24" t="n"/>
      <c r="O2486" s="24" t="n"/>
      <c r="P2486" s="24" t="n"/>
      <c r="Q2486" s="22">
        <f>IF($D2486="","",IF(AND(OR(DANH_MUC!$L$5&lt;&gt;"Có",M2486="Có"),OR(DANH_MUC!$L$6&lt;&gt;"Có",N2486="Có"),OR(DANH_MUC!$L$7&lt;&gt;"Có",O2486="Có"),OR(DANH_MUC!$L$8&lt;&gt;"Có",P2486="Có")),"Có","Không"))</f>
        <v/>
      </c>
      <c r="R2486" s="22">
        <f>IF($D2486="","",IF(COUNTIF($D$2:$D2486,$D2486)&gt;1,"Trùng",""))</f>
        <v/>
      </c>
      <c r="S2486" s="22">
        <f>IF($D2486="","",IF(AND(LEN($D2486)=10,LEFT($D2486,1)="0",ISNUMBER(--$D2486)),"Có","Không"))</f>
        <v/>
      </c>
      <c r="T2486" s="22">
        <f>IF($D2486="","",IF(AND($C2486&lt;&gt;"",$Q2486="Có",$R2486="",$S2486="Có",AND($L2486&lt;&gt;"",OR($L2486&lt;&gt;"Chưa xác định",DANH_MUC!$L$9="Có"))),"Có","Không"))</f>
        <v/>
      </c>
      <c r="U2486" s="22">
        <f>IF(OR($D2486="",$T2486="Có"),"",IF($C2486="","Thiếu họ tên; ","")&amp;IF($S2486&lt;&gt;"Có","SĐT sai định dạng; ","")&amp;IF($R2486="Trùng","Trùng SĐT; ","")&amp;IF($Q2486&lt;&gt;"Có","Thiếu đồng ý bắt buộc; ","")&amp;IF($L2486="","Thiếu/sai Mã REF; ",IF(AND($L2486="Chưa xác định",DANH_MUC!$L$9&lt;&gt;"Có"),"Nguồn chưa xác định; ","")))</f>
        <v/>
      </c>
      <c r="V2486" s="22">
        <f>IF(OR($D2486="",$R2486="Trùng"),"",IF(COUNTIF(ORDERS!$C$2:$C$4995,$D2486)&gt;0,"Có","Không"))</f>
        <v/>
      </c>
      <c r="W2486" s="22">
        <f>IF(OR($D2486="",$R2486="Trùng"),"",COUNTIFS(ORDERS!$C$2:$C$4995,$D2486,ORDERS!$L$2:$L$4995,"Đã chuyển khoản"))</f>
        <v/>
      </c>
      <c r="X2486" s="23">
        <f>IF(OR($D2486="",$R2486="Trùng"),"",SUMIFS(ORDERS!$J$2:$J$4995,ORDERS!$C$2:$C$4995,$D2486,ORDERS!$L$2:$L$4995,"Đã chuyển khoản"))</f>
        <v/>
      </c>
      <c r="Y2486" s="24" t="n"/>
    </row>
    <row r="2487" ht="14.25" customHeight="1" s="40">
      <c r="A2487" s="24" t="n"/>
      <c r="B2487" s="27" t="n"/>
      <c r="C2487" s="24" t="n"/>
      <c r="D2487" s="28" t="n"/>
      <c r="E2487" s="29" t="n"/>
      <c r="F2487" s="24" t="n"/>
      <c r="G2487" s="24" t="n"/>
      <c r="H2487" s="21">
        <f>IF(ISNUMBER($B2487),INT($B2487)-WEEKDAY($B2487,2)+1,"")</f>
        <v/>
      </c>
      <c r="I2487" s="24" t="n"/>
      <c r="J2487" s="22">
        <f t="array" ref="J2487">IF($D2487="","",IF($I2487="","(trống REF)",IFERROR(INDEX(MASTER_SOURCE!$B$2:$B$495,MATCH($I2487,MASTER_SOURCE!$A$2:$A$495,0)),"(REF không có trong MASTER_SOURCE)")))</f>
        <v/>
      </c>
      <c r="K2487" s="22">
        <f t="array" ref="K2487">IF($D2487="","",IFERROR(INDEX(MASTER_SOURCE!$C$2:$C$495,MATCH($I2487,MASTER_SOURCE!$A$2:$A$495,0)),""))</f>
        <v/>
      </c>
      <c r="L2487" s="22">
        <f t="array" ref="L2487">IF($D2487="","",IFERROR(INDEX(MASTER_SOURCE!$D$2:$D$495,MATCH($I2487,MASTER_SOURCE!$A$2:$A$495,0)),""))</f>
        <v/>
      </c>
      <c r="M2487" s="24" t="n"/>
      <c r="N2487" s="24" t="n"/>
      <c r="O2487" s="24" t="n"/>
      <c r="P2487" s="24" t="n"/>
      <c r="Q2487" s="22">
        <f>IF($D2487="","",IF(AND(OR(DANH_MUC!$L$5&lt;&gt;"Có",M2487="Có"),OR(DANH_MUC!$L$6&lt;&gt;"Có",N2487="Có"),OR(DANH_MUC!$L$7&lt;&gt;"Có",O2487="Có"),OR(DANH_MUC!$L$8&lt;&gt;"Có",P2487="Có")),"Có","Không"))</f>
        <v/>
      </c>
      <c r="R2487" s="22">
        <f>IF($D2487="","",IF(COUNTIF($D$2:$D2487,$D2487)&gt;1,"Trùng",""))</f>
        <v/>
      </c>
      <c r="S2487" s="22">
        <f>IF($D2487="","",IF(AND(LEN($D2487)=10,LEFT($D2487,1)="0",ISNUMBER(--$D2487)),"Có","Không"))</f>
        <v/>
      </c>
      <c r="T2487" s="22">
        <f>IF($D2487="","",IF(AND($C2487&lt;&gt;"",$Q2487="Có",$R2487="",$S2487="Có",AND($L2487&lt;&gt;"",OR($L2487&lt;&gt;"Chưa xác định",DANH_MUC!$L$9="Có"))),"Có","Không"))</f>
        <v/>
      </c>
      <c r="U2487" s="22">
        <f>IF(OR($D2487="",$T2487="Có"),"",IF($C2487="","Thiếu họ tên; ","")&amp;IF($S2487&lt;&gt;"Có","SĐT sai định dạng; ","")&amp;IF($R2487="Trùng","Trùng SĐT; ","")&amp;IF($Q2487&lt;&gt;"Có","Thiếu đồng ý bắt buộc; ","")&amp;IF($L2487="","Thiếu/sai Mã REF; ",IF(AND($L2487="Chưa xác định",DANH_MUC!$L$9&lt;&gt;"Có"),"Nguồn chưa xác định; ","")))</f>
        <v/>
      </c>
      <c r="V2487" s="22">
        <f>IF(OR($D2487="",$R2487="Trùng"),"",IF(COUNTIF(ORDERS!$C$2:$C$4995,$D2487)&gt;0,"Có","Không"))</f>
        <v/>
      </c>
      <c r="W2487" s="22">
        <f>IF(OR($D2487="",$R2487="Trùng"),"",COUNTIFS(ORDERS!$C$2:$C$4995,$D2487,ORDERS!$L$2:$L$4995,"Đã chuyển khoản"))</f>
        <v/>
      </c>
      <c r="X2487" s="23">
        <f>IF(OR($D2487="",$R2487="Trùng"),"",SUMIFS(ORDERS!$J$2:$J$4995,ORDERS!$C$2:$C$4995,$D2487,ORDERS!$L$2:$L$4995,"Đã chuyển khoản"))</f>
        <v/>
      </c>
      <c r="Y2487" s="24" t="n"/>
    </row>
    <row r="2488" ht="14.25" customHeight="1" s="40">
      <c r="A2488" s="24" t="n"/>
      <c r="B2488" s="27" t="n"/>
      <c r="C2488" s="24" t="n"/>
      <c r="D2488" s="28" t="n"/>
      <c r="E2488" s="29" t="n"/>
      <c r="F2488" s="24" t="n"/>
      <c r="G2488" s="24" t="n"/>
      <c r="H2488" s="21">
        <f>IF(ISNUMBER($B2488),INT($B2488)-WEEKDAY($B2488,2)+1,"")</f>
        <v/>
      </c>
      <c r="I2488" s="24" t="n"/>
      <c r="J2488" s="22">
        <f t="array" ref="J2488">IF($D2488="","",IF($I2488="","(trống REF)",IFERROR(INDEX(MASTER_SOURCE!$B$2:$B$495,MATCH($I2488,MASTER_SOURCE!$A$2:$A$495,0)),"(REF không có trong MASTER_SOURCE)")))</f>
        <v/>
      </c>
      <c r="K2488" s="22">
        <f t="array" ref="K2488">IF($D2488="","",IFERROR(INDEX(MASTER_SOURCE!$C$2:$C$495,MATCH($I2488,MASTER_SOURCE!$A$2:$A$495,0)),""))</f>
        <v/>
      </c>
      <c r="L2488" s="22">
        <f t="array" ref="L2488">IF($D2488="","",IFERROR(INDEX(MASTER_SOURCE!$D$2:$D$495,MATCH($I2488,MASTER_SOURCE!$A$2:$A$495,0)),""))</f>
        <v/>
      </c>
      <c r="M2488" s="24" t="n"/>
      <c r="N2488" s="24" t="n"/>
      <c r="O2488" s="24" t="n"/>
      <c r="P2488" s="24" t="n"/>
      <c r="Q2488" s="22">
        <f>IF($D2488="","",IF(AND(OR(DANH_MUC!$L$5&lt;&gt;"Có",M2488="Có"),OR(DANH_MUC!$L$6&lt;&gt;"Có",N2488="Có"),OR(DANH_MUC!$L$7&lt;&gt;"Có",O2488="Có"),OR(DANH_MUC!$L$8&lt;&gt;"Có",P2488="Có")),"Có","Không"))</f>
        <v/>
      </c>
      <c r="R2488" s="22">
        <f>IF($D2488="","",IF(COUNTIF($D$2:$D2488,$D2488)&gt;1,"Trùng",""))</f>
        <v/>
      </c>
      <c r="S2488" s="22">
        <f>IF($D2488="","",IF(AND(LEN($D2488)=10,LEFT($D2488,1)="0",ISNUMBER(--$D2488)),"Có","Không"))</f>
        <v/>
      </c>
      <c r="T2488" s="22">
        <f>IF($D2488="","",IF(AND($C2488&lt;&gt;"",$Q2488="Có",$R2488="",$S2488="Có",AND($L2488&lt;&gt;"",OR($L2488&lt;&gt;"Chưa xác định",DANH_MUC!$L$9="Có"))),"Có","Không"))</f>
        <v/>
      </c>
      <c r="U2488" s="22">
        <f>IF(OR($D2488="",$T2488="Có"),"",IF($C2488="","Thiếu họ tên; ","")&amp;IF($S2488&lt;&gt;"Có","SĐT sai định dạng; ","")&amp;IF($R2488="Trùng","Trùng SĐT; ","")&amp;IF($Q2488&lt;&gt;"Có","Thiếu đồng ý bắt buộc; ","")&amp;IF($L2488="","Thiếu/sai Mã REF; ",IF(AND($L2488="Chưa xác định",DANH_MUC!$L$9&lt;&gt;"Có"),"Nguồn chưa xác định; ","")))</f>
        <v/>
      </c>
      <c r="V2488" s="22">
        <f>IF(OR($D2488="",$R2488="Trùng"),"",IF(COUNTIF(ORDERS!$C$2:$C$4995,$D2488)&gt;0,"Có","Không"))</f>
        <v/>
      </c>
      <c r="W2488" s="22">
        <f>IF(OR($D2488="",$R2488="Trùng"),"",COUNTIFS(ORDERS!$C$2:$C$4995,$D2488,ORDERS!$L$2:$L$4995,"Đã chuyển khoản"))</f>
        <v/>
      </c>
      <c r="X2488" s="23">
        <f>IF(OR($D2488="",$R2488="Trùng"),"",SUMIFS(ORDERS!$J$2:$J$4995,ORDERS!$C$2:$C$4995,$D2488,ORDERS!$L$2:$L$4995,"Đã chuyển khoản"))</f>
        <v/>
      </c>
      <c r="Y2488" s="24" t="n"/>
    </row>
    <row r="2489" ht="14.25" customHeight="1" s="40">
      <c r="A2489" s="24" t="n"/>
      <c r="B2489" s="27" t="n"/>
      <c r="C2489" s="24" t="n"/>
      <c r="D2489" s="28" t="n"/>
      <c r="E2489" s="29" t="n"/>
      <c r="F2489" s="24" t="n"/>
      <c r="G2489" s="24" t="n"/>
      <c r="H2489" s="21">
        <f>IF(ISNUMBER($B2489),INT($B2489)-WEEKDAY($B2489,2)+1,"")</f>
        <v/>
      </c>
      <c r="I2489" s="24" t="n"/>
      <c r="J2489" s="22">
        <f t="array" ref="J2489">IF($D2489="","",IF($I2489="","(trống REF)",IFERROR(INDEX(MASTER_SOURCE!$B$2:$B$495,MATCH($I2489,MASTER_SOURCE!$A$2:$A$495,0)),"(REF không có trong MASTER_SOURCE)")))</f>
        <v/>
      </c>
      <c r="K2489" s="22">
        <f t="array" ref="K2489">IF($D2489="","",IFERROR(INDEX(MASTER_SOURCE!$C$2:$C$495,MATCH($I2489,MASTER_SOURCE!$A$2:$A$495,0)),""))</f>
        <v/>
      </c>
      <c r="L2489" s="22">
        <f t="array" ref="L2489">IF($D2489="","",IFERROR(INDEX(MASTER_SOURCE!$D$2:$D$495,MATCH($I2489,MASTER_SOURCE!$A$2:$A$495,0)),""))</f>
        <v/>
      </c>
      <c r="M2489" s="24" t="n"/>
      <c r="N2489" s="24" t="n"/>
      <c r="O2489" s="24" t="n"/>
      <c r="P2489" s="24" t="n"/>
      <c r="Q2489" s="22">
        <f>IF($D2489="","",IF(AND(OR(DANH_MUC!$L$5&lt;&gt;"Có",M2489="Có"),OR(DANH_MUC!$L$6&lt;&gt;"Có",N2489="Có"),OR(DANH_MUC!$L$7&lt;&gt;"Có",O2489="Có"),OR(DANH_MUC!$L$8&lt;&gt;"Có",P2489="Có")),"Có","Không"))</f>
        <v/>
      </c>
      <c r="R2489" s="22">
        <f>IF($D2489="","",IF(COUNTIF($D$2:$D2489,$D2489)&gt;1,"Trùng",""))</f>
        <v/>
      </c>
      <c r="S2489" s="22">
        <f>IF($D2489="","",IF(AND(LEN($D2489)=10,LEFT($D2489,1)="0",ISNUMBER(--$D2489)),"Có","Không"))</f>
        <v/>
      </c>
      <c r="T2489" s="22">
        <f>IF($D2489="","",IF(AND($C2489&lt;&gt;"",$Q2489="Có",$R2489="",$S2489="Có",AND($L2489&lt;&gt;"",OR($L2489&lt;&gt;"Chưa xác định",DANH_MUC!$L$9="Có"))),"Có","Không"))</f>
        <v/>
      </c>
      <c r="U2489" s="22">
        <f>IF(OR($D2489="",$T2489="Có"),"",IF($C2489="","Thiếu họ tên; ","")&amp;IF($S2489&lt;&gt;"Có","SĐT sai định dạng; ","")&amp;IF($R2489="Trùng","Trùng SĐT; ","")&amp;IF($Q2489&lt;&gt;"Có","Thiếu đồng ý bắt buộc; ","")&amp;IF($L2489="","Thiếu/sai Mã REF; ",IF(AND($L2489="Chưa xác định",DANH_MUC!$L$9&lt;&gt;"Có"),"Nguồn chưa xác định; ","")))</f>
        <v/>
      </c>
      <c r="V2489" s="22">
        <f>IF(OR($D2489="",$R2489="Trùng"),"",IF(COUNTIF(ORDERS!$C$2:$C$4995,$D2489)&gt;0,"Có","Không"))</f>
        <v/>
      </c>
      <c r="W2489" s="22">
        <f>IF(OR($D2489="",$R2489="Trùng"),"",COUNTIFS(ORDERS!$C$2:$C$4995,$D2489,ORDERS!$L$2:$L$4995,"Đã chuyển khoản"))</f>
        <v/>
      </c>
      <c r="X2489" s="23">
        <f>IF(OR($D2489="",$R2489="Trùng"),"",SUMIFS(ORDERS!$J$2:$J$4995,ORDERS!$C$2:$C$4995,$D2489,ORDERS!$L$2:$L$4995,"Đã chuyển khoản"))</f>
        <v/>
      </c>
      <c r="Y2489" s="24" t="n"/>
    </row>
    <row r="2490" ht="14.25" customHeight="1" s="40">
      <c r="A2490" s="24" t="n"/>
      <c r="B2490" s="27" t="n"/>
      <c r="C2490" s="24" t="n"/>
      <c r="D2490" s="28" t="n"/>
      <c r="E2490" s="29" t="n"/>
      <c r="F2490" s="24" t="n"/>
      <c r="G2490" s="24" t="n"/>
      <c r="H2490" s="21">
        <f>IF(ISNUMBER($B2490),INT($B2490)-WEEKDAY($B2490,2)+1,"")</f>
        <v/>
      </c>
      <c r="I2490" s="24" t="n"/>
      <c r="J2490" s="22">
        <f t="array" ref="J2490">IF($D2490="","",IF($I2490="","(trống REF)",IFERROR(INDEX(MASTER_SOURCE!$B$2:$B$495,MATCH($I2490,MASTER_SOURCE!$A$2:$A$495,0)),"(REF không có trong MASTER_SOURCE)")))</f>
        <v/>
      </c>
      <c r="K2490" s="22">
        <f t="array" ref="K2490">IF($D2490="","",IFERROR(INDEX(MASTER_SOURCE!$C$2:$C$495,MATCH($I2490,MASTER_SOURCE!$A$2:$A$495,0)),""))</f>
        <v/>
      </c>
      <c r="L2490" s="22">
        <f t="array" ref="L2490">IF($D2490="","",IFERROR(INDEX(MASTER_SOURCE!$D$2:$D$495,MATCH($I2490,MASTER_SOURCE!$A$2:$A$495,0)),""))</f>
        <v/>
      </c>
      <c r="M2490" s="24" t="n"/>
      <c r="N2490" s="24" t="n"/>
      <c r="O2490" s="24" t="n"/>
      <c r="P2490" s="24" t="n"/>
      <c r="Q2490" s="22">
        <f>IF($D2490="","",IF(AND(OR(DANH_MUC!$L$5&lt;&gt;"Có",M2490="Có"),OR(DANH_MUC!$L$6&lt;&gt;"Có",N2490="Có"),OR(DANH_MUC!$L$7&lt;&gt;"Có",O2490="Có"),OR(DANH_MUC!$L$8&lt;&gt;"Có",P2490="Có")),"Có","Không"))</f>
        <v/>
      </c>
      <c r="R2490" s="22">
        <f>IF($D2490="","",IF(COUNTIF($D$2:$D2490,$D2490)&gt;1,"Trùng",""))</f>
        <v/>
      </c>
      <c r="S2490" s="22">
        <f>IF($D2490="","",IF(AND(LEN($D2490)=10,LEFT($D2490,1)="0",ISNUMBER(--$D2490)),"Có","Không"))</f>
        <v/>
      </c>
      <c r="T2490" s="22">
        <f>IF($D2490="","",IF(AND($C2490&lt;&gt;"",$Q2490="Có",$R2490="",$S2490="Có",AND($L2490&lt;&gt;"",OR($L2490&lt;&gt;"Chưa xác định",DANH_MUC!$L$9="Có"))),"Có","Không"))</f>
        <v/>
      </c>
      <c r="U2490" s="22">
        <f>IF(OR($D2490="",$T2490="Có"),"",IF($C2490="","Thiếu họ tên; ","")&amp;IF($S2490&lt;&gt;"Có","SĐT sai định dạng; ","")&amp;IF($R2490="Trùng","Trùng SĐT; ","")&amp;IF($Q2490&lt;&gt;"Có","Thiếu đồng ý bắt buộc; ","")&amp;IF($L2490="","Thiếu/sai Mã REF; ",IF(AND($L2490="Chưa xác định",DANH_MUC!$L$9&lt;&gt;"Có"),"Nguồn chưa xác định; ","")))</f>
        <v/>
      </c>
      <c r="V2490" s="22">
        <f>IF(OR($D2490="",$R2490="Trùng"),"",IF(COUNTIF(ORDERS!$C$2:$C$4995,$D2490)&gt;0,"Có","Không"))</f>
        <v/>
      </c>
      <c r="W2490" s="22">
        <f>IF(OR($D2490="",$R2490="Trùng"),"",COUNTIFS(ORDERS!$C$2:$C$4995,$D2490,ORDERS!$L$2:$L$4995,"Đã chuyển khoản"))</f>
        <v/>
      </c>
      <c r="X2490" s="23">
        <f>IF(OR($D2490="",$R2490="Trùng"),"",SUMIFS(ORDERS!$J$2:$J$4995,ORDERS!$C$2:$C$4995,$D2490,ORDERS!$L$2:$L$4995,"Đã chuyển khoản"))</f>
        <v/>
      </c>
      <c r="Y2490" s="24" t="n"/>
    </row>
    <row r="2491" ht="14.25" customHeight="1" s="40">
      <c r="A2491" s="24" t="n"/>
      <c r="B2491" s="27" t="n"/>
      <c r="C2491" s="24" t="n"/>
      <c r="D2491" s="28" t="n"/>
      <c r="E2491" s="29" t="n"/>
      <c r="F2491" s="24" t="n"/>
      <c r="G2491" s="24" t="n"/>
      <c r="H2491" s="21">
        <f>IF(ISNUMBER($B2491),INT($B2491)-WEEKDAY($B2491,2)+1,"")</f>
        <v/>
      </c>
      <c r="I2491" s="24" t="n"/>
      <c r="J2491" s="22">
        <f t="array" ref="J2491">IF($D2491="","",IF($I2491="","(trống REF)",IFERROR(INDEX(MASTER_SOURCE!$B$2:$B$495,MATCH($I2491,MASTER_SOURCE!$A$2:$A$495,0)),"(REF không có trong MASTER_SOURCE)")))</f>
        <v/>
      </c>
      <c r="K2491" s="22">
        <f t="array" ref="K2491">IF($D2491="","",IFERROR(INDEX(MASTER_SOURCE!$C$2:$C$495,MATCH($I2491,MASTER_SOURCE!$A$2:$A$495,0)),""))</f>
        <v/>
      </c>
      <c r="L2491" s="22">
        <f t="array" ref="L2491">IF($D2491="","",IFERROR(INDEX(MASTER_SOURCE!$D$2:$D$495,MATCH($I2491,MASTER_SOURCE!$A$2:$A$495,0)),""))</f>
        <v/>
      </c>
      <c r="M2491" s="24" t="n"/>
      <c r="N2491" s="24" t="n"/>
      <c r="O2491" s="24" t="n"/>
      <c r="P2491" s="24" t="n"/>
      <c r="Q2491" s="22">
        <f>IF($D2491="","",IF(AND(OR(DANH_MUC!$L$5&lt;&gt;"Có",M2491="Có"),OR(DANH_MUC!$L$6&lt;&gt;"Có",N2491="Có"),OR(DANH_MUC!$L$7&lt;&gt;"Có",O2491="Có"),OR(DANH_MUC!$L$8&lt;&gt;"Có",P2491="Có")),"Có","Không"))</f>
        <v/>
      </c>
      <c r="R2491" s="22">
        <f>IF($D2491="","",IF(COUNTIF($D$2:$D2491,$D2491)&gt;1,"Trùng",""))</f>
        <v/>
      </c>
      <c r="S2491" s="22">
        <f>IF($D2491="","",IF(AND(LEN($D2491)=10,LEFT($D2491,1)="0",ISNUMBER(--$D2491)),"Có","Không"))</f>
        <v/>
      </c>
      <c r="T2491" s="22">
        <f>IF($D2491="","",IF(AND($C2491&lt;&gt;"",$Q2491="Có",$R2491="",$S2491="Có",AND($L2491&lt;&gt;"",OR($L2491&lt;&gt;"Chưa xác định",DANH_MUC!$L$9="Có"))),"Có","Không"))</f>
        <v/>
      </c>
      <c r="U2491" s="22">
        <f>IF(OR($D2491="",$T2491="Có"),"",IF($C2491="","Thiếu họ tên; ","")&amp;IF($S2491&lt;&gt;"Có","SĐT sai định dạng; ","")&amp;IF($R2491="Trùng","Trùng SĐT; ","")&amp;IF($Q2491&lt;&gt;"Có","Thiếu đồng ý bắt buộc; ","")&amp;IF($L2491="","Thiếu/sai Mã REF; ",IF(AND($L2491="Chưa xác định",DANH_MUC!$L$9&lt;&gt;"Có"),"Nguồn chưa xác định; ","")))</f>
        <v/>
      </c>
      <c r="V2491" s="22">
        <f>IF(OR($D2491="",$R2491="Trùng"),"",IF(COUNTIF(ORDERS!$C$2:$C$4995,$D2491)&gt;0,"Có","Không"))</f>
        <v/>
      </c>
      <c r="W2491" s="22">
        <f>IF(OR($D2491="",$R2491="Trùng"),"",COUNTIFS(ORDERS!$C$2:$C$4995,$D2491,ORDERS!$L$2:$L$4995,"Đã chuyển khoản"))</f>
        <v/>
      </c>
      <c r="X2491" s="23">
        <f>IF(OR($D2491="",$R2491="Trùng"),"",SUMIFS(ORDERS!$J$2:$J$4995,ORDERS!$C$2:$C$4995,$D2491,ORDERS!$L$2:$L$4995,"Đã chuyển khoản"))</f>
        <v/>
      </c>
      <c r="Y2491" s="24" t="n"/>
    </row>
    <row r="2492" ht="14.25" customHeight="1" s="40">
      <c r="A2492" s="24" t="n"/>
      <c r="B2492" s="27" t="n"/>
      <c r="C2492" s="24" t="n"/>
      <c r="D2492" s="28" t="n"/>
      <c r="E2492" s="29" t="n"/>
      <c r="F2492" s="24" t="n"/>
      <c r="G2492" s="24" t="n"/>
      <c r="H2492" s="21">
        <f>IF(ISNUMBER($B2492),INT($B2492)-WEEKDAY($B2492,2)+1,"")</f>
        <v/>
      </c>
      <c r="I2492" s="24" t="n"/>
      <c r="J2492" s="22">
        <f t="array" ref="J2492">IF($D2492="","",IF($I2492="","(trống REF)",IFERROR(INDEX(MASTER_SOURCE!$B$2:$B$495,MATCH($I2492,MASTER_SOURCE!$A$2:$A$495,0)),"(REF không có trong MASTER_SOURCE)")))</f>
        <v/>
      </c>
      <c r="K2492" s="22">
        <f t="array" ref="K2492">IF($D2492="","",IFERROR(INDEX(MASTER_SOURCE!$C$2:$C$495,MATCH($I2492,MASTER_SOURCE!$A$2:$A$495,0)),""))</f>
        <v/>
      </c>
      <c r="L2492" s="22">
        <f t="array" ref="L2492">IF($D2492="","",IFERROR(INDEX(MASTER_SOURCE!$D$2:$D$495,MATCH($I2492,MASTER_SOURCE!$A$2:$A$495,0)),""))</f>
        <v/>
      </c>
      <c r="M2492" s="24" t="n"/>
      <c r="N2492" s="24" t="n"/>
      <c r="O2492" s="24" t="n"/>
      <c r="P2492" s="24" t="n"/>
      <c r="Q2492" s="22">
        <f>IF($D2492="","",IF(AND(OR(DANH_MUC!$L$5&lt;&gt;"Có",M2492="Có"),OR(DANH_MUC!$L$6&lt;&gt;"Có",N2492="Có"),OR(DANH_MUC!$L$7&lt;&gt;"Có",O2492="Có"),OR(DANH_MUC!$L$8&lt;&gt;"Có",P2492="Có")),"Có","Không"))</f>
        <v/>
      </c>
      <c r="R2492" s="22">
        <f>IF($D2492="","",IF(COUNTIF($D$2:$D2492,$D2492)&gt;1,"Trùng",""))</f>
        <v/>
      </c>
      <c r="S2492" s="22">
        <f>IF($D2492="","",IF(AND(LEN($D2492)=10,LEFT($D2492,1)="0",ISNUMBER(--$D2492)),"Có","Không"))</f>
        <v/>
      </c>
      <c r="T2492" s="22">
        <f>IF($D2492="","",IF(AND($C2492&lt;&gt;"",$Q2492="Có",$R2492="",$S2492="Có",AND($L2492&lt;&gt;"",OR($L2492&lt;&gt;"Chưa xác định",DANH_MUC!$L$9="Có"))),"Có","Không"))</f>
        <v/>
      </c>
      <c r="U2492" s="22">
        <f>IF(OR($D2492="",$T2492="Có"),"",IF($C2492="","Thiếu họ tên; ","")&amp;IF($S2492&lt;&gt;"Có","SĐT sai định dạng; ","")&amp;IF($R2492="Trùng","Trùng SĐT; ","")&amp;IF($Q2492&lt;&gt;"Có","Thiếu đồng ý bắt buộc; ","")&amp;IF($L2492="","Thiếu/sai Mã REF; ",IF(AND($L2492="Chưa xác định",DANH_MUC!$L$9&lt;&gt;"Có"),"Nguồn chưa xác định; ","")))</f>
        <v/>
      </c>
      <c r="V2492" s="22">
        <f>IF(OR($D2492="",$R2492="Trùng"),"",IF(COUNTIF(ORDERS!$C$2:$C$4995,$D2492)&gt;0,"Có","Không"))</f>
        <v/>
      </c>
      <c r="W2492" s="22">
        <f>IF(OR($D2492="",$R2492="Trùng"),"",COUNTIFS(ORDERS!$C$2:$C$4995,$D2492,ORDERS!$L$2:$L$4995,"Đã chuyển khoản"))</f>
        <v/>
      </c>
      <c r="X2492" s="23">
        <f>IF(OR($D2492="",$R2492="Trùng"),"",SUMIFS(ORDERS!$J$2:$J$4995,ORDERS!$C$2:$C$4995,$D2492,ORDERS!$L$2:$L$4995,"Đã chuyển khoản"))</f>
        <v/>
      </c>
      <c r="Y2492" s="24" t="n"/>
    </row>
    <row r="2493" ht="14.25" customHeight="1" s="40">
      <c r="A2493" s="24" t="n"/>
      <c r="B2493" s="27" t="n"/>
      <c r="C2493" s="24" t="n"/>
      <c r="D2493" s="28" t="n"/>
      <c r="E2493" s="29" t="n"/>
      <c r="F2493" s="24" t="n"/>
      <c r="G2493" s="24" t="n"/>
      <c r="H2493" s="21">
        <f>IF(ISNUMBER($B2493),INT($B2493)-WEEKDAY($B2493,2)+1,"")</f>
        <v/>
      </c>
      <c r="I2493" s="24" t="n"/>
      <c r="J2493" s="22">
        <f t="array" ref="J2493">IF($D2493="","",IF($I2493="","(trống REF)",IFERROR(INDEX(MASTER_SOURCE!$B$2:$B$495,MATCH($I2493,MASTER_SOURCE!$A$2:$A$495,0)),"(REF không có trong MASTER_SOURCE)")))</f>
        <v/>
      </c>
      <c r="K2493" s="22">
        <f t="array" ref="K2493">IF($D2493="","",IFERROR(INDEX(MASTER_SOURCE!$C$2:$C$495,MATCH($I2493,MASTER_SOURCE!$A$2:$A$495,0)),""))</f>
        <v/>
      </c>
      <c r="L2493" s="22">
        <f t="array" ref="L2493">IF($D2493="","",IFERROR(INDEX(MASTER_SOURCE!$D$2:$D$495,MATCH($I2493,MASTER_SOURCE!$A$2:$A$495,0)),""))</f>
        <v/>
      </c>
      <c r="M2493" s="24" t="n"/>
      <c r="N2493" s="24" t="n"/>
      <c r="O2493" s="24" t="n"/>
      <c r="P2493" s="24" t="n"/>
      <c r="Q2493" s="22">
        <f>IF($D2493="","",IF(AND(OR(DANH_MUC!$L$5&lt;&gt;"Có",M2493="Có"),OR(DANH_MUC!$L$6&lt;&gt;"Có",N2493="Có"),OR(DANH_MUC!$L$7&lt;&gt;"Có",O2493="Có"),OR(DANH_MUC!$L$8&lt;&gt;"Có",P2493="Có")),"Có","Không"))</f>
        <v/>
      </c>
      <c r="R2493" s="22">
        <f>IF($D2493="","",IF(COUNTIF($D$2:$D2493,$D2493)&gt;1,"Trùng",""))</f>
        <v/>
      </c>
      <c r="S2493" s="22">
        <f>IF($D2493="","",IF(AND(LEN($D2493)=10,LEFT($D2493,1)="0",ISNUMBER(--$D2493)),"Có","Không"))</f>
        <v/>
      </c>
      <c r="T2493" s="22">
        <f>IF($D2493="","",IF(AND($C2493&lt;&gt;"",$Q2493="Có",$R2493="",$S2493="Có",AND($L2493&lt;&gt;"",OR($L2493&lt;&gt;"Chưa xác định",DANH_MUC!$L$9="Có"))),"Có","Không"))</f>
        <v/>
      </c>
      <c r="U2493" s="22">
        <f>IF(OR($D2493="",$T2493="Có"),"",IF($C2493="","Thiếu họ tên; ","")&amp;IF($S2493&lt;&gt;"Có","SĐT sai định dạng; ","")&amp;IF($R2493="Trùng","Trùng SĐT; ","")&amp;IF($Q2493&lt;&gt;"Có","Thiếu đồng ý bắt buộc; ","")&amp;IF($L2493="","Thiếu/sai Mã REF; ",IF(AND($L2493="Chưa xác định",DANH_MUC!$L$9&lt;&gt;"Có"),"Nguồn chưa xác định; ","")))</f>
        <v/>
      </c>
      <c r="V2493" s="22">
        <f>IF(OR($D2493="",$R2493="Trùng"),"",IF(COUNTIF(ORDERS!$C$2:$C$4995,$D2493)&gt;0,"Có","Không"))</f>
        <v/>
      </c>
      <c r="W2493" s="22">
        <f>IF(OR($D2493="",$R2493="Trùng"),"",COUNTIFS(ORDERS!$C$2:$C$4995,$D2493,ORDERS!$L$2:$L$4995,"Đã chuyển khoản"))</f>
        <v/>
      </c>
      <c r="X2493" s="23">
        <f>IF(OR($D2493="",$R2493="Trùng"),"",SUMIFS(ORDERS!$J$2:$J$4995,ORDERS!$C$2:$C$4995,$D2493,ORDERS!$L$2:$L$4995,"Đã chuyển khoản"))</f>
        <v/>
      </c>
      <c r="Y2493" s="24" t="n"/>
    </row>
    <row r="2494" ht="14.25" customHeight="1" s="40">
      <c r="A2494" s="24" t="n"/>
      <c r="B2494" s="27" t="n"/>
      <c r="C2494" s="24" t="n"/>
      <c r="D2494" s="28" t="n"/>
      <c r="E2494" s="29" t="n"/>
      <c r="F2494" s="24" t="n"/>
      <c r="G2494" s="24" t="n"/>
      <c r="H2494" s="21">
        <f>IF(ISNUMBER($B2494),INT($B2494)-WEEKDAY($B2494,2)+1,"")</f>
        <v/>
      </c>
      <c r="I2494" s="24" t="n"/>
      <c r="J2494" s="22">
        <f t="array" ref="J2494">IF($D2494="","",IF($I2494="","(trống REF)",IFERROR(INDEX(MASTER_SOURCE!$B$2:$B$495,MATCH($I2494,MASTER_SOURCE!$A$2:$A$495,0)),"(REF không có trong MASTER_SOURCE)")))</f>
        <v/>
      </c>
      <c r="K2494" s="22">
        <f t="array" ref="K2494">IF($D2494="","",IFERROR(INDEX(MASTER_SOURCE!$C$2:$C$495,MATCH($I2494,MASTER_SOURCE!$A$2:$A$495,0)),""))</f>
        <v/>
      </c>
      <c r="L2494" s="22">
        <f t="array" ref="L2494">IF($D2494="","",IFERROR(INDEX(MASTER_SOURCE!$D$2:$D$495,MATCH($I2494,MASTER_SOURCE!$A$2:$A$495,0)),""))</f>
        <v/>
      </c>
      <c r="M2494" s="24" t="n"/>
      <c r="N2494" s="24" t="n"/>
      <c r="O2494" s="24" t="n"/>
      <c r="P2494" s="24" t="n"/>
      <c r="Q2494" s="22">
        <f>IF($D2494="","",IF(AND(OR(DANH_MUC!$L$5&lt;&gt;"Có",M2494="Có"),OR(DANH_MUC!$L$6&lt;&gt;"Có",N2494="Có"),OR(DANH_MUC!$L$7&lt;&gt;"Có",O2494="Có"),OR(DANH_MUC!$L$8&lt;&gt;"Có",P2494="Có")),"Có","Không"))</f>
        <v/>
      </c>
      <c r="R2494" s="22">
        <f>IF($D2494="","",IF(COUNTIF($D$2:$D2494,$D2494)&gt;1,"Trùng",""))</f>
        <v/>
      </c>
      <c r="S2494" s="22">
        <f>IF($D2494="","",IF(AND(LEN($D2494)=10,LEFT($D2494,1)="0",ISNUMBER(--$D2494)),"Có","Không"))</f>
        <v/>
      </c>
      <c r="T2494" s="22">
        <f>IF($D2494="","",IF(AND($C2494&lt;&gt;"",$Q2494="Có",$R2494="",$S2494="Có",AND($L2494&lt;&gt;"",OR($L2494&lt;&gt;"Chưa xác định",DANH_MUC!$L$9="Có"))),"Có","Không"))</f>
        <v/>
      </c>
      <c r="U2494" s="22">
        <f>IF(OR($D2494="",$T2494="Có"),"",IF($C2494="","Thiếu họ tên; ","")&amp;IF($S2494&lt;&gt;"Có","SĐT sai định dạng; ","")&amp;IF($R2494="Trùng","Trùng SĐT; ","")&amp;IF($Q2494&lt;&gt;"Có","Thiếu đồng ý bắt buộc; ","")&amp;IF($L2494="","Thiếu/sai Mã REF; ",IF(AND($L2494="Chưa xác định",DANH_MUC!$L$9&lt;&gt;"Có"),"Nguồn chưa xác định; ","")))</f>
        <v/>
      </c>
      <c r="V2494" s="22">
        <f>IF(OR($D2494="",$R2494="Trùng"),"",IF(COUNTIF(ORDERS!$C$2:$C$4995,$D2494)&gt;0,"Có","Không"))</f>
        <v/>
      </c>
      <c r="W2494" s="22">
        <f>IF(OR($D2494="",$R2494="Trùng"),"",COUNTIFS(ORDERS!$C$2:$C$4995,$D2494,ORDERS!$L$2:$L$4995,"Đã chuyển khoản"))</f>
        <v/>
      </c>
      <c r="X2494" s="23">
        <f>IF(OR($D2494="",$R2494="Trùng"),"",SUMIFS(ORDERS!$J$2:$J$4995,ORDERS!$C$2:$C$4995,$D2494,ORDERS!$L$2:$L$4995,"Đã chuyển khoản"))</f>
        <v/>
      </c>
      <c r="Y2494" s="24" t="n"/>
    </row>
    <row r="2495" ht="14.25" customHeight="1" s="40">
      <c r="A2495" s="24" t="n"/>
      <c r="B2495" s="27" t="n"/>
      <c r="C2495" s="24" t="n"/>
      <c r="D2495" s="28" t="n"/>
      <c r="E2495" s="29" t="n"/>
      <c r="F2495" s="24" t="n"/>
      <c r="G2495" s="24" t="n"/>
      <c r="H2495" s="21">
        <f>IF(ISNUMBER($B2495),INT($B2495)-WEEKDAY($B2495,2)+1,"")</f>
        <v/>
      </c>
      <c r="I2495" s="24" t="n"/>
      <c r="J2495" s="22">
        <f t="array" ref="J2495">IF($D2495="","",IF($I2495="","(trống REF)",IFERROR(INDEX(MASTER_SOURCE!$B$2:$B$495,MATCH($I2495,MASTER_SOURCE!$A$2:$A$495,0)),"(REF không có trong MASTER_SOURCE)")))</f>
        <v/>
      </c>
      <c r="K2495" s="22">
        <f t="array" ref="K2495">IF($D2495="","",IFERROR(INDEX(MASTER_SOURCE!$C$2:$C$495,MATCH($I2495,MASTER_SOURCE!$A$2:$A$495,0)),""))</f>
        <v/>
      </c>
      <c r="L2495" s="22">
        <f t="array" ref="L2495">IF($D2495="","",IFERROR(INDEX(MASTER_SOURCE!$D$2:$D$495,MATCH($I2495,MASTER_SOURCE!$A$2:$A$495,0)),""))</f>
        <v/>
      </c>
      <c r="M2495" s="24" t="n"/>
      <c r="N2495" s="24" t="n"/>
      <c r="O2495" s="24" t="n"/>
      <c r="P2495" s="24" t="n"/>
      <c r="Q2495" s="22">
        <f>IF($D2495="","",IF(AND(OR(DANH_MUC!$L$5&lt;&gt;"Có",M2495="Có"),OR(DANH_MUC!$L$6&lt;&gt;"Có",N2495="Có"),OR(DANH_MUC!$L$7&lt;&gt;"Có",O2495="Có"),OR(DANH_MUC!$L$8&lt;&gt;"Có",P2495="Có")),"Có","Không"))</f>
        <v/>
      </c>
      <c r="R2495" s="22">
        <f>IF($D2495="","",IF(COUNTIF($D$2:$D2495,$D2495)&gt;1,"Trùng",""))</f>
        <v/>
      </c>
      <c r="S2495" s="22">
        <f>IF($D2495="","",IF(AND(LEN($D2495)=10,LEFT($D2495,1)="0",ISNUMBER(--$D2495)),"Có","Không"))</f>
        <v/>
      </c>
      <c r="T2495" s="22">
        <f>IF($D2495="","",IF(AND($C2495&lt;&gt;"",$Q2495="Có",$R2495="",$S2495="Có",AND($L2495&lt;&gt;"",OR($L2495&lt;&gt;"Chưa xác định",DANH_MUC!$L$9="Có"))),"Có","Không"))</f>
        <v/>
      </c>
      <c r="U2495" s="22">
        <f>IF(OR($D2495="",$T2495="Có"),"",IF($C2495="","Thiếu họ tên; ","")&amp;IF($S2495&lt;&gt;"Có","SĐT sai định dạng; ","")&amp;IF($R2495="Trùng","Trùng SĐT; ","")&amp;IF($Q2495&lt;&gt;"Có","Thiếu đồng ý bắt buộc; ","")&amp;IF($L2495="","Thiếu/sai Mã REF; ",IF(AND($L2495="Chưa xác định",DANH_MUC!$L$9&lt;&gt;"Có"),"Nguồn chưa xác định; ","")))</f>
        <v/>
      </c>
      <c r="V2495" s="22">
        <f>IF(OR($D2495="",$R2495="Trùng"),"",IF(COUNTIF(ORDERS!$C$2:$C$4995,$D2495)&gt;0,"Có","Không"))</f>
        <v/>
      </c>
      <c r="W2495" s="22">
        <f>IF(OR($D2495="",$R2495="Trùng"),"",COUNTIFS(ORDERS!$C$2:$C$4995,$D2495,ORDERS!$L$2:$L$4995,"Đã chuyển khoản"))</f>
        <v/>
      </c>
      <c r="X2495" s="23">
        <f>IF(OR($D2495="",$R2495="Trùng"),"",SUMIFS(ORDERS!$J$2:$J$4995,ORDERS!$C$2:$C$4995,$D2495,ORDERS!$L$2:$L$4995,"Đã chuyển khoản"))</f>
        <v/>
      </c>
      <c r="Y2495" s="24" t="n"/>
    </row>
    <row r="2496" ht="14.25" customHeight="1" s="40">
      <c r="A2496" s="24" t="n"/>
      <c r="B2496" s="27" t="n"/>
      <c r="C2496" s="24" t="n"/>
      <c r="D2496" s="28" t="n"/>
      <c r="E2496" s="29" t="n"/>
      <c r="F2496" s="24" t="n"/>
      <c r="G2496" s="24" t="n"/>
      <c r="H2496" s="21">
        <f>IF(ISNUMBER($B2496),INT($B2496)-WEEKDAY($B2496,2)+1,"")</f>
        <v/>
      </c>
      <c r="I2496" s="24" t="n"/>
      <c r="J2496" s="22">
        <f t="array" ref="J2496">IF($D2496="","",IF($I2496="","(trống REF)",IFERROR(INDEX(MASTER_SOURCE!$B$2:$B$495,MATCH($I2496,MASTER_SOURCE!$A$2:$A$495,0)),"(REF không có trong MASTER_SOURCE)")))</f>
        <v/>
      </c>
      <c r="K2496" s="22">
        <f t="array" ref="K2496">IF($D2496="","",IFERROR(INDEX(MASTER_SOURCE!$C$2:$C$495,MATCH($I2496,MASTER_SOURCE!$A$2:$A$495,0)),""))</f>
        <v/>
      </c>
      <c r="L2496" s="22">
        <f t="array" ref="L2496">IF($D2496="","",IFERROR(INDEX(MASTER_SOURCE!$D$2:$D$495,MATCH($I2496,MASTER_SOURCE!$A$2:$A$495,0)),""))</f>
        <v/>
      </c>
      <c r="M2496" s="24" t="n"/>
      <c r="N2496" s="24" t="n"/>
      <c r="O2496" s="24" t="n"/>
      <c r="P2496" s="24" t="n"/>
      <c r="Q2496" s="22">
        <f>IF($D2496="","",IF(AND(OR(DANH_MUC!$L$5&lt;&gt;"Có",M2496="Có"),OR(DANH_MUC!$L$6&lt;&gt;"Có",N2496="Có"),OR(DANH_MUC!$L$7&lt;&gt;"Có",O2496="Có"),OR(DANH_MUC!$L$8&lt;&gt;"Có",P2496="Có")),"Có","Không"))</f>
        <v/>
      </c>
      <c r="R2496" s="22">
        <f>IF($D2496="","",IF(COUNTIF($D$2:$D2496,$D2496)&gt;1,"Trùng",""))</f>
        <v/>
      </c>
      <c r="S2496" s="22">
        <f>IF($D2496="","",IF(AND(LEN($D2496)=10,LEFT($D2496,1)="0",ISNUMBER(--$D2496)),"Có","Không"))</f>
        <v/>
      </c>
      <c r="T2496" s="22">
        <f>IF($D2496="","",IF(AND($C2496&lt;&gt;"",$Q2496="Có",$R2496="",$S2496="Có",AND($L2496&lt;&gt;"",OR($L2496&lt;&gt;"Chưa xác định",DANH_MUC!$L$9="Có"))),"Có","Không"))</f>
        <v/>
      </c>
      <c r="U2496" s="22">
        <f>IF(OR($D2496="",$T2496="Có"),"",IF($C2496="","Thiếu họ tên; ","")&amp;IF($S2496&lt;&gt;"Có","SĐT sai định dạng; ","")&amp;IF($R2496="Trùng","Trùng SĐT; ","")&amp;IF($Q2496&lt;&gt;"Có","Thiếu đồng ý bắt buộc; ","")&amp;IF($L2496="","Thiếu/sai Mã REF; ",IF(AND($L2496="Chưa xác định",DANH_MUC!$L$9&lt;&gt;"Có"),"Nguồn chưa xác định; ","")))</f>
        <v/>
      </c>
      <c r="V2496" s="22">
        <f>IF(OR($D2496="",$R2496="Trùng"),"",IF(COUNTIF(ORDERS!$C$2:$C$4995,$D2496)&gt;0,"Có","Không"))</f>
        <v/>
      </c>
      <c r="W2496" s="22">
        <f>IF(OR($D2496="",$R2496="Trùng"),"",COUNTIFS(ORDERS!$C$2:$C$4995,$D2496,ORDERS!$L$2:$L$4995,"Đã chuyển khoản"))</f>
        <v/>
      </c>
      <c r="X2496" s="23">
        <f>IF(OR($D2496="",$R2496="Trùng"),"",SUMIFS(ORDERS!$J$2:$J$4995,ORDERS!$C$2:$C$4995,$D2496,ORDERS!$L$2:$L$4995,"Đã chuyển khoản"))</f>
        <v/>
      </c>
      <c r="Y2496" s="24" t="n"/>
    </row>
    <row r="2497" ht="14.25" customHeight="1" s="40">
      <c r="A2497" s="24" t="n"/>
      <c r="B2497" s="27" t="n"/>
      <c r="C2497" s="24" t="n"/>
      <c r="D2497" s="28" t="n"/>
      <c r="E2497" s="29" t="n"/>
      <c r="F2497" s="24" t="n"/>
      <c r="G2497" s="24" t="n"/>
      <c r="H2497" s="21">
        <f>IF(ISNUMBER($B2497),INT($B2497)-WEEKDAY($B2497,2)+1,"")</f>
        <v/>
      </c>
      <c r="I2497" s="24" t="n"/>
      <c r="J2497" s="22">
        <f t="array" ref="J2497">IF($D2497="","",IF($I2497="","(trống REF)",IFERROR(INDEX(MASTER_SOURCE!$B$2:$B$495,MATCH($I2497,MASTER_SOURCE!$A$2:$A$495,0)),"(REF không có trong MASTER_SOURCE)")))</f>
        <v/>
      </c>
      <c r="K2497" s="22">
        <f t="array" ref="K2497">IF($D2497="","",IFERROR(INDEX(MASTER_SOURCE!$C$2:$C$495,MATCH($I2497,MASTER_SOURCE!$A$2:$A$495,0)),""))</f>
        <v/>
      </c>
      <c r="L2497" s="22">
        <f t="array" ref="L2497">IF($D2497="","",IFERROR(INDEX(MASTER_SOURCE!$D$2:$D$495,MATCH($I2497,MASTER_SOURCE!$A$2:$A$495,0)),""))</f>
        <v/>
      </c>
      <c r="M2497" s="24" t="n"/>
      <c r="N2497" s="24" t="n"/>
      <c r="O2497" s="24" t="n"/>
      <c r="P2497" s="24" t="n"/>
      <c r="Q2497" s="22">
        <f>IF($D2497="","",IF(AND(OR(DANH_MUC!$L$5&lt;&gt;"Có",M2497="Có"),OR(DANH_MUC!$L$6&lt;&gt;"Có",N2497="Có"),OR(DANH_MUC!$L$7&lt;&gt;"Có",O2497="Có"),OR(DANH_MUC!$L$8&lt;&gt;"Có",P2497="Có")),"Có","Không"))</f>
        <v/>
      </c>
      <c r="R2497" s="22">
        <f>IF($D2497="","",IF(COUNTIF($D$2:$D2497,$D2497)&gt;1,"Trùng",""))</f>
        <v/>
      </c>
      <c r="S2497" s="22">
        <f>IF($D2497="","",IF(AND(LEN($D2497)=10,LEFT($D2497,1)="0",ISNUMBER(--$D2497)),"Có","Không"))</f>
        <v/>
      </c>
      <c r="T2497" s="22">
        <f>IF($D2497="","",IF(AND($C2497&lt;&gt;"",$Q2497="Có",$R2497="",$S2497="Có",AND($L2497&lt;&gt;"",OR($L2497&lt;&gt;"Chưa xác định",DANH_MUC!$L$9="Có"))),"Có","Không"))</f>
        <v/>
      </c>
      <c r="U2497" s="22">
        <f>IF(OR($D2497="",$T2497="Có"),"",IF($C2497="","Thiếu họ tên; ","")&amp;IF($S2497&lt;&gt;"Có","SĐT sai định dạng; ","")&amp;IF($R2497="Trùng","Trùng SĐT; ","")&amp;IF($Q2497&lt;&gt;"Có","Thiếu đồng ý bắt buộc; ","")&amp;IF($L2497="","Thiếu/sai Mã REF; ",IF(AND($L2497="Chưa xác định",DANH_MUC!$L$9&lt;&gt;"Có"),"Nguồn chưa xác định; ","")))</f>
        <v/>
      </c>
      <c r="V2497" s="22">
        <f>IF(OR($D2497="",$R2497="Trùng"),"",IF(COUNTIF(ORDERS!$C$2:$C$4995,$D2497)&gt;0,"Có","Không"))</f>
        <v/>
      </c>
      <c r="W2497" s="22">
        <f>IF(OR($D2497="",$R2497="Trùng"),"",COUNTIFS(ORDERS!$C$2:$C$4995,$D2497,ORDERS!$L$2:$L$4995,"Đã chuyển khoản"))</f>
        <v/>
      </c>
      <c r="X2497" s="23">
        <f>IF(OR($D2497="",$R2497="Trùng"),"",SUMIFS(ORDERS!$J$2:$J$4995,ORDERS!$C$2:$C$4995,$D2497,ORDERS!$L$2:$L$4995,"Đã chuyển khoản"))</f>
        <v/>
      </c>
      <c r="Y2497" s="24" t="n"/>
    </row>
    <row r="2498" ht="14.25" customHeight="1" s="40">
      <c r="A2498" s="24" t="n"/>
      <c r="B2498" s="27" t="n"/>
      <c r="C2498" s="24" t="n"/>
      <c r="D2498" s="28" t="n"/>
      <c r="E2498" s="29" t="n"/>
      <c r="F2498" s="24" t="n"/>
      <c r="G2498" s="24" t="n"/>
      <c r="H2498" s="21">
        <f>IF(ISNUMBER($B2498),INT($B2498)-WEEKDAY($B2498,2)+1,"")</f>
        <v/>
      </c>
      <c r="I2498" s="24" t="n"/>
      <c r="J2498" s="22">
        <f t="array" ref="J2498">IF($D2498="","",IF($I2498="","(trống REF)",IFERROR(INDEX(MASTER_SOURCE!$B$2:$B$495,MATCH($I2498,MASTER_SOURCE!$A$2:$A$495,0)),"(REF không có trong MASTER_SOURCE)")))</f>
        <v/>
      </c>
      <c r="K2498" s="22">
        <f t="array" ref="K2498">IF($D2498="","",IFERROR(INDEX(MASTER_SOURCE!$C$2:$C$495,MATCH($I2498,MASTER_SOURCE!$A$2:$A$495,0)),""))</f>
        <v/>
      </c>
      <c r="L2498" s="22">
        <f t="array" ref="L2498">IF($D2498="","",IFERROR(INDEX(MASTER_SOURCE!$D$2:$D$495,MATCH($I2498,MASTER_SOURCE!$A$2:$A$495,0)),""))</f>
        <v/>
      </c>
      <c r="M2498" s="24" t="n"/>
      <c r="N2498" s="24" t="n"/>
      <c r="O2498" s="24" t="n"/>
      <c r="P2498" s="24" t="n"/>
      <c r="Q2498" s="22">
        <f>IF($D2498="","",IF(AND(OR(DANH_MUC!$L$5&lt;&gt;"Có",M2498="Có"),OR(DANH_MUC!$L$6&lt;&gt;"Có",N2498="Có"),OR(DANH_MUC!$L$7&lt;&gt;"Có",O2498="Có"),OR(DANH_MUC!$L$8&lt;&gt;"Có",P2498="Có")),"Có","Không"))</f>
        <v/>
      </c>
      <c r="R2498" s="22">
        <f>IF($D2498="","",IF(COUNTIF($D$2:$D2498,$D2498)&gt;1,"Trùng",""))</f>
        <v/>
      </c>
      <c r="S2498" s="22">
        <f>IF($D2498="","",IF(AND(LEN($D2498)=10,LEFT($D2498,1)="0",ISNUMBER(--$D2498)),"Có","Không"))</f>
        <v/>
      </c>
      <c r="T2498" s="22">
        <f>IF($D2498="","",IF(AND($C2498&lt;&gt;"",$Q2498="Có",$R2498="",$S2498="Có",AND($L2498&lt;&gt;"",OR($L2498&lt;&gt;"Chưa xác định",DANH_MUC!$L$9="Có"))),"Có","Không"))</f>
        <v/>
      </c>
      <c r="U2498" s="22">
        <f>IF(OR($D2498="",$T2498="Có"),"",IF($C2498="","Thiếu họ tên; ","")&amp;IF($S2498&lt;&gt;"Có","SĐT sai định dạng; ","")&amp;IF($R2498="Trùng","Trùng SĐT; ","")&amp;IF($Q2498&lt;&gt;"Có","Thiếu đồng ý bắt buộc; ","")&amp;IF($L2498="","Thiếu/sai Mã REF; ",IF(AND($L2498="Chưa xác định",DANH_MUC!$L$9&lt;&gt;"Có"),"Nguồn chưa xác định; ","")))</f>
        <v/>
      </c>
      <c r="V2498" s="22">
        <f>IF(OR($D2498="",$R2498="Trùng"),"",IF(COUNTIF(ORDERS!$C$2:$C$4995,$D2498)&gt;0,"Có","Không"))</f>
        <v/>
      </c>
      <c r="W2498" s="22">
        <f>IF(OR($D2498="",$R2498="Trùng"),"",COUNTIFS(ORDERS!$C$2:$C$4995,$D2498,ORDERS!$L$2:$L$4995,"Đã chuyển khoản"))</f>
        <v/>
      </c>
      <c r="X2498" s="23">
        <f>IF(OR($D2498="",$R2498="Trùng"),"",SUMIFS(ORDERS!$J$2:$J$4995,ORDERS!$C$2:$C$4995,$D2498,ORDERS!$L$2:$L$4995,"Đã chuyển khoản"))</f>
        <v/>
      </c>
      <c r="Y2498" s="24" t="n"/>
    </row>
    <row r="2499" ht="14.25" customHeight="1" s="40">
      <c r="A2499" s="24" t="n"/>
      <c r="B2499" s="27" t="n"/>
      <c r="C2499" s="24" t="n"/>
      <c r="D2499" s="28" t="n"/>
      <c r="E2499" s="29" t="n"/>
      <c r="F2499" s="24" t="n"/>
      <c r="G2499" s="24" t="n"/>
      <c r="H2499" s="21">
        <f>IF(ISNUMBER($B2499),INT($B2499)-WEEKDAY($B2499,2)+1,"")</f>
        <v/>
      </c>
      <c r="I2499" s="24" t="n"/>
      <c r="J2499" s="22">
        <f t="array" ref="J2499">IF($D2499="","",IF($I2499="","(trống REF)",IFERROR(INDEX(MASTER_SOURCE!$B$2:$B$495,MATCH($I2499,MASTER_SOURCE!$A$2:$A$495,0)),"(REF không có trong MASTER_SOURCE)")))</f>
        <v/>
      </c>
      <c r="K2499" s="22">
        <f t="array" ref="K2499">IF($D2499="","",IFERROR(INDEX(MASTER_SOURCE!$C$2:$C$495,MATCH($I2499,MASTER_SOURCE!$A$2:$A$495,0)),""))</f>
        <v/>
      </c>
      <c r="L2499" s="22">
        <f t="array" ref="L2499">IF($D2499="","",IFERROR(INDEX(MASTER_SOURCE!$D$2:$D$495,MATCH($I2499,MASTER_SOURCE!$A$2:$A$495,0)),""))</f>
        <v/>
      </c>
      <c r="M2499" s="24" t="n"/>
      <c r="N2499" s="24" t="n"/>
      <c r="O2499" s="24" t="n"/>
      <c r="P2499" s="24" t="n"/>
      <c r="Q2499" s="22">
        <f>IF($D2499="","",IF(AND(OR(DANH_MUC!$L$5&lt;&gt;"Có",M2499="Có"),OR(DANH_MUC!$L$6&lt;&gt;"Có",N2499="Có"),OR(DANH_MUC!$L$7&lt;&gt;"Có",O2499="Có"),OR(DANH_MUC!$L$8&lt;&gt;"Có",P2499="Có")),"Có","Không"))</f>
        <v/>
      </c>
      <c r="R2499" s="22">
        <f>IF($D2499="","",IF(COUNTIF($D$2:$D2499,$D2499)&gt;1,"Trùng",""))</f>
        <v/>
      </c>
      <c r="S2499" s="22">
        <f>IF($D2499="","",IF(AND(LEN($D2499)=10,LEFT($D2499,1)="0",ISNUMBER(--$D2499)),"Có","Không"))</f>
        <v/>
      </c>
      <c r="T2499" s="22">
        <f>IF($D2499="","",IF(AND($C2499&lt;&gt;"",$Q2499="Có",$R2499="",$S2499="Có",AND($L2499&lt;&gt;"",OR($L2499&lt;&gt;"Chưa xác định",DANH_MUC!$L$9="Có"))),"Có","Không"))</f>
        <v/>
      </c>
      <c r="U2499" s="22">
        <f>IF(OR($D2499="",$T2499="Có"),"",IF($C2499="","Thiếu họ tên; ","")&amp;IF($S2499&lt;&gt;"Có","SĐT sai định dạng; ","")&amp;IF($R2499="Trùng","Trùng SĐT; ","")&amp;IF($Q2499&lt;&gt;"Có","Thiếu đồng ý bắt buộc; ","")&amp;IF($L2499="","Thiếu/sai Mã REF; ",IF(AND($L2499="Chưa xác định",DANH_MUC!$L$9&lt;&gt;"Có"),"Nguồn chưa xác định; ","")))</f>
        <v/>
      </c>
      <c r="V2499" s="22">
        <f>IF(OR($D2499="",$R2499="Trùng"),"",IF(COUNTIF(ORDERS!$C$2:$C$4995,$D2499)&gt;0,"Có","Không"))</f>
        <v/>
      </c>
      <c r="W2499" s="22">
        <f>IF(OR($D2499="",$R2499="Trùng"),"",COUNTIFS(ORDERS!$C$2:$C$4995,$D2499,ORDERS!$L$2:$L$4995,"Đã chuyển khoản"))</f>
        <v/>
      </c>
      <c r="X2499" s="23">
        <f>IF(OR($D2499="",$R2499="Trùng"),"",SUMIFS(ORDERS!$J$2:$J$4995,ORDERS!$C$2:$C$4995,$D2499,ORDERS!$L$2:$L$4995,"Đã chuyển khoản"))</f>
        <v/>
      </c>
      <c r="Y2499" s="24" t="n"/>
    </row>
    <row r="2500" ht="14.25" customHeight="1" s="40">
      <c r="A2500" s="24" t="n"/>
      <c r="B2500" s="27" t="n"/>
      <c r="C2500" s="24" t="n"/>
      <c r="D2500" s="28" t="n"/>
      <c r="E2500" s="29" t="n"/>
      <c r="F2500" s="24" t="n"/>
      <c r="G2500" s="24" t="n"/>
      <c r="H2500" s="21">
        <f>IF(ISNUMBER($B2500),INT($B2500)-WEEKDAY($B2500,2)+1,"")</f>
        <v/>
      </c>
      <c r="I2500" s="24" t="n"/>
      <c r="J2500" s="22">
        <f t="array" ref="J2500">IF($D2500="","",IF($I2500="","(trống REF)",IFERROR(INDEX(MASTER_SOURCE!$B$2:$B$495,MATCH($I2500,MASTER_SOURCE!$A$2:$A$495,0)),"(REF không có trong MASTER_SOURCE)")))</f>
        <v/>
      </c>
      <c r="K2500" s="22">
        <f t="array" ref="K2500">IF($D2500="","",IFERROR(INDEX(MASTER_SOURCE!$C$2:$C$495,MATCH($I2500,MASTER_SOURCE!$A$2:$A$495,0)),""))</f>
        <v/>
      </c>
      <c r="L2500" s="22">
        <f t="array" ref="L2500">IF($D2500="","",IFERROR(INDEX(MASTER_SOURCE!$D$2:$D$495,MATCH($I2500,MASTER_SOURCE!$A$2:$A$495,0)),""))</f>
        <v/>
      </c>
      <c r="M2500" s="24" t="n"/>
      <c r="N2500" s="24" t="n"/>
      <c r="O2500" s="24" t="n"/>
      <c r="P2500" s="24" t="n"/>
      <c r="Q2500" s="22">
        <f>IF($D2500="","",IF(AND(OR(DANH_MUC!$L$5&lt;&gt;"Có",M2500="Có"),OR(DANH_MUC!$L$6&lt;&gt;"Có",N2500="Có"),OR(DANH_MUC!$L$7&lt;&gt;"Có",O2500="Có"),OR(DANH_MUC!$L$8&lt;&gt;"Có",P2500="Có")),"Có","Không"))</f>
        <v/>
      </c>
      <c r="R2500" s="22">
        <f>IF($D2500="","",IF(COUNTIF($D$2:$D2500,$D2500)&gt;1,"Trùng",""))</f>
        <v/>
      </c>
      <c r="S2500" s="22">
        <f>IF($D2500="","",IF(AND(LEN($D2500)=10,LEFT($D2500,1)="0",ISNUMBER(--$D2500)),"Có","Không"))</f>
        <v/>
      </c>
      <c r="T2500" s="22">
        <f>IF($D2500="","",IF(AND($C2500&lt;&gt;"",$Q2500="Có",$R2500="",$S2500="Có",AND($L2500&lt;&gt;"",OR($L2500&lt;&gt;"Chưa xác định",DANH_MUC!$L$9="Có"))),"Có","Không"))</f>
        <v/>
      </c>
      <c r="U2500" s="22">
        <f>IF(OR($D2500="",$T2500="Có"),"",IF($C2500="","Thiếu họ tên; ","")&amp;IF($S2500&lt;&gt;"Có","SĐT sai định dạng; ","")&amp;IF($R2500="Trùng","Trùng SĐT; ","")&amp;IF($Q2500&lt;&gt;"Có","Thiếu đồng ý bắt buộc; ","")&amp;IF($L2500="","Thiếu/sai Mã REF; ",IF(AND($L2500="Chưa xác định",DANH_MUC!$L$9&lt;&gt;"Có"),"Nguồn chưa xác định; ","")))</f>
        <v/>
      </c>
      <c r="V2500" s="22">
        <f>IF(OR($D2500="",$R2500="Trùng"),"",IF(COUNTIF(ORDERS!$C$2:$C$4995,$D2500)&gt;0,"Có","Không"))</f>
        <v/>
      </c>
      <c r="W2500" s="22">
        <f>IF(OR($D2500="",$R2500="Trùng"),"",COUNTIFS(ORDERS!$C$2:$C$4995,$D2500,ORDERS!$L$2:$L$4995,"Đã chuyển khoản"))</f>
        <v/>
      </c>
      <c r="X2500" s="23">
        <f>IF(OR($D2500="",$R2500="Trùng"),"",SUMIFS(ORDERS!$J$2:$J$4995,ORDERS!$C$2:$C$4995,$D2500,ORDERS!$L$2:$L$4995,"Đã chuyển khoản"))</f>
        <v/>
      </c>
      <c r="Y2500" s="24" t="n"/>
    </row>
    <row r="2501" ht="14.25" customHeight="1" s="40">
      <c r="A2501" s="24" t="n"/>
      <c r="B2501" s="27" t="n"/>
      <c r="C2501" s="24" t="n"/>
      <c r="D2501" s="28" t="n"/>
      <c r="E2501" s="29" t="n"/>
      <c r="F2501" s="24" t="n"/>
      <c r="G2501" s="24" t="n"/>
      <c r="H2501" s="21">
        <f>IF(ISNUMBER($B2501),INT($B2501)-WEEKDAY($B2501,2)+1,"")</f>
        <v/>
      </c>
      <c r="I2501" s="24" t="n"/>
      <c r="J2501" s="22">
        <f t="array" ref="J2501">IF($D2501="","",IF($I2501="","(trống REF)",IFERROR(INDEX(MASTER_SOURCE!$B$2:$B$495,MATCH($I2501,MASTER_SOURCE!$A$2:$A$495,0)),"(REF không có trong MASTER_SOURCE)")))</f>
        <v/>
      </c>
      <c r="K2501" s="22">
        <f t="array" ref="K2501">IF($D2501="","",IFERROR(INDEX(MASTER_SOURCE!$C$2:$C$495,MATCH($I2501,MASTER_SOURCE!$A$2:$A$495,0)),""))</f>
        <v/>
      </c>
      <c r="L2501" s="22">
        <f t="array" ref="L2501">IF($D2501="","",IFERROR(INDEX(MASTER_SOURCE!$D$2:$D$495,MATCH($I2501,MASTER_SOURCE!$A$2:$A$495,0)),""))</f>
        <v/>
      </c>
      <c r="M2501" s="24" t="n"/>
      <c r="N2501" s="24" t="n"/>
      <c r="O2501" s="24" t="n"/>
      <c r="P2501" s="24" t="n"/>
      <c r="Q2501" s="22">
        <f>IF($D2501="","",IF(AND(OR(DANH_MUC!$L$5&lt;&gt;"Có",M2501="Có"),OR(DANH_MUC!$L$6&lt;&gt;"Có",N2501="Có"),OR(DANH_MUC!$L$7&lt;&gt;"Có",O2501="Có"),OR(DANH_MUC!$L$8&lt;&gt;"Có",P2501="Có")),"Có","Không"))</f>
        <v/>
      </c>
      <c r="R2501" s="22">
        <f>IF($D2501="","",IF(COUNTIF($D$2:$D2501,$D2501)&gt;1,"Trùng",""))</f>
        <v/>
      </c>
      <c r="S2501" s="22">
        <f>IF($D2501="","",IF(AND(LEN($D2501)=10,LEFT($D2501,1)="0",ISNUMBER(--$D2501)),"Có","Không"))</f>
        <v/>
      </c>
      <c r="T2501" s="22">
        <f>IF($D2501="","",IF(AND($C2501&lt;&gt;"",$Q2501="Có",$R2501="",$S2501="Có",AND($L2501&lt;&gt;"",OR($L2501&lt;&gt;"Chưa xác định",DANH_MUC!$L$9="Có"))),"Có","Không"))</f>
        <v/>
      </c>
      <c r="U2501" s="22">
        <f>IF(OR($D2501="",$T2501="Có"),"",IF($C2501="","Thiếu họ tên; ","")&amp;IF($S2501&lt;&gt;"Có","SĐT sai định dạng; ","")&amp;IF($R2501="Trùng","Trùng SĐT; ","")&amp;IF($Q2501&lt;&gt;"Có","Thiếu đồng ý bắt buộc; ","")&amp;IF($L2501="","Thiếu/sai Mã REF; ",IF(AND($L2501="Chưa xác định",DANH_MUC!$L$9&lt;&gt;"Có"),"Nguồn chưa xác định; ","")))</f>
        <v/>
      </c>
      <c r="V2501" s="22">
        <f>IF(OR($D2501="",$R2501="Trùng"),"",IF(COUNTIF(ORDERS!$C$2:$C$4995,$D2501)&gt;0,"Có","Không"))</f>
        <v/>
      </c>
      <c r="W2501" s="22">
        <f>IF(OR($D2501="",$R2501="Trùng"),"",COUNTIFS(ORDERS!$C$2:$C$4995,$D2501,ORDERS!$L$2:$L$4995,"Đã chuyển khoản"))</f>
        <v/>
      </c>
      <c r="X2501" s="23">
        <f>IF(OR($D2501="",$R2501="Trùng"),"",SUMIFS(ORDERS!$J$2:$J$4995,ORDERS!$C$2:$C$4995,$D2501,ORDERS!$L$2:$L$4995,"Đã chuyển khoản"))</f>
        <v/>
      </c>
      <c r="Y2501" s="24" t="n"/>
    </row>
    <row r="2502" ht="14.25" customHeight="1" s="40">
      <c r="A2502" s="24" t="n"/>
      <c r="B2502" s="27" t="n"/>
      <c r="C2502" s="24" t="n"/>
      <c r="D2502" s="28" t="n"/>
      <c r="E2502" s="29" t="n"/>
      <c r="F2502" s="24" t="n"/>
      <c r="G2502" s="24" t="n"/>
      <c r="H2502" s="21">
        <f>IF(ISNUMBER($B2502),INT($B2502)-WEEKDAY($B2502,2)+1,"")</f>
        <v/>
      </c>
      <c r="I2502" s="24" t="n"/>
      <c r="J2502" s="22">
        <f t="array" ref="J2502">IF($D2502="","",IF($I2502="","(trống REF)",IFERROR(INDEX(MASTER_SOURCE!$B$2:$B$495,MATCH($I2502,MASTER_SOURCE!$A$2:$A$495,0)),"(REF không có trong MASTER_SOURCE)")))</f>
        <v/>
      </c>
      <c r="K2502" s="22">
        <f t="array" ref="K2502">IF($D2502="","",IFERROR(INDEX(MASTER_SOURCE!$C$2:$C$495,MATCH($I2502,MASTER_SOURCE!$A$2:$A$495,0)),""))</f>
        <v/>
      </c>
      <c r="L2502" s="22">
        <f t="array" ref="L2502">IF($D2502="","",IFERROR(INDEX(MASTER_SOURCE!$D$2:$D$495,MATCH($I2502,MASTER_SOURCE!$A$2:$A$495,0)),""))</f>
        <v/>
      </c>
      <c r="M2502" s="24" t="n"/>
      <c r="N2502" s="24" t="n"/>
      <c r="O2502" s="24" t="n"/>
      <c r="P2502" s="24" t="n"/>
      <c r="Q2502" s="22">
        <f>IF($D2502="","",IF(AND(OR(DANH_MUC!$L$5&lt;&gt;"Có",M2502="Có"),OR(DANH_MUC!$L$6&lt;&gt;"Có",N2502="Có"),OR(DANH_MUC!$L$7&lt;&gt;"Có",O2502="Có"),OR(DANH_MUC!$L$8&lt;&gt;"Có",P2502="Có")),"Có","Không"))</f>
        <v/>
      </c>
      <c r="R2502" s="22">
        <f>IF($D2502="","",IF(COUNTIF($D$2:$D2502,$D2502)&gt;1,"Trùng",""))</f>
        <v/>
      </c>
      <c r="S2502" s="22">
        <f>IF($D2502="","",IF(AND(LEN($D2502)=10,LEFT($D2502,1)="0",ISNUMBER(--$D2502)),"Có","Không"))</f>
        <v/>
      </c>
      <c r="T2502" s="22">
        <f>IF($D2502="","",IF(AND($C2502&lt;&gt;"",$Q2502="Có",$R2502="",$S2502="Có",AND($L2502&lt;&gt;"",OR($L2502&lt;&gt;"Chưa xác định",DANH_MUC!$L$9="Có"))),"Có","Không"))</f>
        <v/>
      </c>
      <c r="U2502" s="22">
        <f>IF(OR($D2502="",$T2502="Có"),"",IF($C2502="","Thiếu họ tên; ","")&amp;IF($S2502&lt;&gt;"Có","SĐT sai định dạng; ","")&amp;IF($R2502="Trùng","Trùng SĐT; ","")&amp;IF($Q2502&lt;&gt;"Có","Thiếu đồng ý bắt buộc; ","")&amp;IF($L2502="","Thiếu/sai Mã REF; ",IF(AND($L2502="Chưa xác định",DANH_MUC!$L$9&lt;&gt;"Có"),"Nguồn chưa xác định; ","")))</f>
        <v/>
      </c>
      <c r="V2502" s="22">
        <f>IF(OR($D2502="",$R2502="Trùng"),"",IF(COUNTIF(ORDERS!$C$2:$C$4995,$D2502)&gt;0,"Có","Không"))</f>
        <v/>
      </c>
      <c r="W2502" s="22">
        <f>IF(OR($D2502="",$R2502="Trùng"),"",COUNTIFS(ORDERS!$C$2:$C$4995,$D2502,ORDERS!$L$2:$L$4995,"Đã chuyển khoản"))</f>
        <v/>
      </c>
      <c r="X2502" s="23">
        <f>IF(OR($D2502="",$R2502="Trùng"),"",SUMIFS(ORDERS!$J$2:$J$4995,ORDERS!$C$2:$C$4995,$D2502,ORDERS!$L$2:$L$4995,"Đã chuyển khoản"))</f>
        <v/>
      </c>
      <c r="Y2502" s="24" t="n"/>
    </row>
    <row r="2503" ht="14.25" customHeight="1" s="40">
      <c r="A2503" s="24" t="n"/>
      <c r="B2503" s="27" t="n"/>
      <c r="C2503" s="24" t="n"/>
      <c r="D2503" s="28" t="n"/>
      <c r="E2503" s="29" t="n"/>
      <c r="F2503" s="24" t="n"/>
      <c r="G2503" s="24" t="n"/>
      <c r="H2503" s="21">
        <f>IF(ISNUMBER($B2503),INT($B2503)-WEEKDAY($B2503,2)+1,"")</f>
        <v/>
      </c>
      <c r="I2503" s="24" t="n"/>
      <c r="J2503" s="22">
        <f t="array" ref="J2503">IF($D2503="","",IF($I2503="","(trống REF)",IFERROR(INDEX(MASTER_SOURCE!$B$2:$B$495,MATCH($I2503,MASTER_SOURCE!$A$2:$A$495,0)),"(REF không có trong MASTER_SOURCE)")))</f>
        <v/>
      </c>
      <c r="K2503" s="22">
        <f t="array" ref="K2503">IF($D2503="","",IFERROR(INDEX(MASTER_SOURCE!$C$2:$C$495,MATCH($I2503,MASTER_SOURCE!$A$2:$A$495,0)),""))</f>
        <v/>
      </c>
      <c r="L2503" s="22">
        <f t="array" ref="L2503">IF($D2503="","",IFERROR(INDEX(MASTER_SOURCE!$D$2:$D$495,MATCH($I2503,MASTER_SOURCE!$A$2:$A$495,0)),""))</f>
        <v/>
      </c>
      <c r="M2503" s="24" t="n"/>
      <c r="N2503" s="24" t="n"/>
      <c r="O2503" s="24" t="n"/>
      <c r="P2503" s="24" t="n"/>
      <c r="Q2503" s="22">
        <f>IF($D2503="","",IF(AND(OR(DANH_MUC!$L$5&lt;&gt;"Có",M2503="Có"),OR(DANH_MUC!$L$6&lt;&gt;"Có",N2503="Có"),OR(DANH_MUC!$L$7&lt;&gt;"Có",O2503="Có"),OR(DANH_MUC!$L$8&lt;&gt;"Có",P2503="Có")),"Có","Không"))</f>
        <v/>
      </c>
      <c r="R2503" s="22">
        <f>IF($D2503="","",IF(COUNTIF($D$2:$D2503,$D2503)&gt;1,"Trùng",""))</f>
        <v/>
      </c>
      <c r="S2503" s="22">
        <f>IF($D2503="","",IF(AND(LEN($D2503)=10,LEFT($D2503,1)="0",ISNUMBER(--$D2503)),"Có","Không"))</f>
        <v/>
      </c>
      <c r="T2503" s="22">
        <f>IF($D2503="","",IF(AND($C2503&lt;&gt;"",$Q2503="Có",$R2503="",$S2503="Có",AND($L2503&lt;&gt;"",OR($L2503&lt;&gt;"Chưa xác định",DANH_MUC!$L$9="Có"))),"Có","Không"))</f>
        <v/>
      </c>
      <c r="U2503" s="22">
        <f>IF(OR($D2503="",$T2503="Có"),"",IF($C2503="","Thiếu họ tên; ","")&amp;IF($S2503&lt;&gt;"Có","SĐT sai định dạng; ","")&amp;IF($R2503="Trùng","Trùng SĐT; ","")&amp;IF($Q2503&lt;&gt;"Có","Thiếu đồng ý bắt buộc; ","")&amp;IF($L2503="","Thiếu/sai Mã REF; ",IF(AND($L2503="Chưa xác định",DANH_MUC!$L$9&lt;&gt;"Có"),"Nguồn chưa xác định; ","")))</f>
        <v/>
      </c>
      <c r="V2503" s="22">
        <f>IF(OR($D2503="",$R2503="Trùng"),"",IF(COUNTIF(ORDERS!$C$2:$C$4995,$D2503)&gt;0,"Có","Không"))</f>
        <v/>
      </c>
      <c r="W2503" s="22">
        <f>IF(OR($D2503="",$R2503="Trùng"),"",COUNTIFS(ORDERS!$C$2:$C$4995,$D2503,ORDERS!$L$2:$L$4995,"Đã chuyển khoản"))</f>
        <v/>
      </c>
      <c r="X2503" s="23">
        <f>IF(OR($D2503="",$R2503="Trùng"),"",SUMIFS(ORDERS!$J$2:$J$4995,ORDERS!$C$2:$C$4995,$D2503,ORDERS!$L$2:$L$4995,"Đã chuyển khoản"))</f>
        <v/>
      </c>
      <c r="Y2503" s="24" t="n"/>
    </row>
    <row r="2504" ht="14.25" customHeight="1" s="40">
      <c r="A2504" s="24" t="n"/>
      <c r="B2504" s="27" t="n"/>
      <c r="C2504" s="24" t="n"/>
      <c r="D2504" s="28" t="n"/>
      <c r="E2504" s="29" t="n"/>
      <c r="F2504" s="24" t="n"/>
      <c r="G2504" s="24" t="n"/>
      <c r="H2504" s="21">
        <f>IF(ISNUMBER($B2504),INT($B2504)-WEEKDAY($B2504,2)+1,"")</f>
        <v/>
      </c>
      <c r="I2504" s="24" t="n"/>
      <c r="J2504" s="22">
        <f t="array" ref="J2504">IF($D2504="","",IF($I2504="","(trống REF)",IFERROR(INDEX(MASTER_SOURCE!$B$2:$B$495,MATCH($I2504,MASTER_SOURCE!$A$2:$A$495,0)),"(REF không có trong MASTER_SOURCE)")))</f>
        <v/>
      </c>
      <c r="K2504" s="22">
        <f t="array" ref="K2504">IF($D2504="","",IFERROR(INDEX(MASTER_SOURCE!$C$2:$C$495,MATCH($I2504,MASTER_SOURCE!$A$2:$A$495,0)),""))</f>
        <v/>
      </c>
      <c r="L2504" s="22">
        <f t="array" ref="L2504">IF($D2504="","",IFERROR(INDEX(MASTER_SOURCE!$D$2:$D$495,MATCH($I2504,MASTER_SOURCE!$A$2:$A$495,0)),""))</f>
        <v/>
      </c>
      <c r="M2504" s="24" t="n"/>
      <c r="N2504" s="24" t="n"/>
      <c r="O2504" s="24" t="n"/>
      <c r="P2504" s="24" t="n"/>
      <c r="Q2504" s="22">
        <f>IF($D2504="","",IF(AND(OR(DANH_MUC!$L$5&lt;&gt;"Có",M2504="Có"),OR(DANH_MUC!$L$6&lt;&gt;"Có",N2504="Có"),OR(DANH_MUC!$L$7&lt;&gt;"Có",O2504="Có"),OR(DANH_MUC!$L$8&lt;&gt;"Có",P2504="Có")),"Có","Không"))</f>
        <v/>
      </c>
      <c r="R2504" s="22">
        <f>IF($D2504="","",IF(COUNTIF($D$2:$D2504,$D2504)&gt;1,"Trùng",""))</f>
        <v/>
      </c>
      <c r="S2504" s="22">
        <f>IF($D2504="","",IF(AND(LEN($D2504)=10,LEFT($D2504,1)="0",ISNUMBER(--$D2504)),"Có","Không"))</f>
        <v/>
      </c>
      <c r="T2504" s="22">
        <f>IF($D2504="","",IF(AND($C2504&lt;&gt;"",$Q2504="Có",$R2504="",$S2504="Có",AND($L2504&lt;&gt;"",OR($L2504&lt;&gt;"Chưa xác định",DANH_MUC!$L$9="Có"))),"Có","Không"))</f>
        <v/>
      </c>
      <c r="U2504" s="22">
        <f>IF(OR($D2504="",$T2504="Có"),"",IF($C2504="","Thiếu họ tên; ","")&amp;IF($S2504&lt;&gt;"Có","SĐT sai định dạng; ","")&amp;IF($R2504="Trùng","Trùng SĐT; ","")&amp;IF($Q2504&lt;&gt;"Có","Thiếu đồng ý bắt buộc; ","")&amp;IF($L2504="","Thiếu/sai Mã REF; ",IF(AND($L2504="Chưa xác định",DANH_MUC!$L$9&lt;&gt;"Có"),"Nguồn chưa xác định; ","")))</f>
        <v/>
      </c>
      <c r="V2504" s="22">
        <f>IF(OR($D2504="",$R2504="Trùng"),"",IF(COUNTIF(ORDERS!$C$2:$C$4995,$D2504)&gt;0,"Có","Không"))</f>
        <v/>
      </c>
      <c r="W2504" s="22">
        <f>IF(OR($D2504="",$R2504="Trùng"),"",COUNTIFS(ORDERS!$C$2:$C$4995,$D2504,ORDERS!$L$2:$L$4995,"Đã chuyển khoản"))</f>
        <v/>
      </c>
      <c r="X2504" s="23">
        <f>IF(OR($D2504="",$R2504="Trùng"),"",SUMIFS(ORDERS!$J$2:$J$4995,ORDERS!$C$2:$C$4995,$D2504,ORDERS!$L$2:$L$4995,"Đã chuyển khoản"))</f>
        <v/>
      </c>
      <c r="Y2504" s="24" t="n"/>
    </row>
    <row r="2505" ht="14.25" customHeight="1" s="40">
      <c r="A2505" s="24" t="n"/>
      <c r="B2505" s="27" t="n"/>
      <c r="C2505" s="24" t="n"/>
      <c r="D2505" s="28" t="n"/>
      <c r="E2505" s="29" t="n"/>
      <c r="F2505" s="24" t="n"/>
      <c r="G2505" s="24" t="n"/>
      <c r="H2505" s="21">
        <f>IF(ISNUMBER($B2505),INT($B2505)-WEEKDAY($B2505,2)+1,"")</f>
        <v/>
      </c>
      <c r="I2505" s="24" t="n"/>
      <c r="J2505" s="22">
        <f t="array" ref="J2505">IF($D2505="","",IF($I2505="","(trống REF)",IFERROR(INDEX(MASTER_SOURCE!$B$2:$B$495,MATCH($I2505,MASTER_SOURCE!$A$2:$A$495,0)),"(REF không có trong MASTER_SOURCE)")))</f>
        <v/>
      </c>
      <c r="K2505" s="22">
        <f t="array" ref="K2505">IF($D2505="","",IFERROR(INDEX(MASTER_SOURCE!$C$2:$C$495,MATCH($I2505,MASTER_SOURCE!$A$2:$A$495,0)),""))</f>
        <v/>
      </c>
      <c r="L2505" s="22">
        <f t="array" ref="L2505">IF($D2505="","",IFERROR(INDEX(MASTER_SOURCE!$D$2:$D$495,MATCH($I2505,MASTER_SOURCE!$A$2:$A$495,0)),""))</f>
        <v/>
      </c>
      <c r="M2505" s="24" t="n"/>
      <c r="N2505" s="24" t="n"/>
      <c r="O2505" s="24" t="n"/>
      <c r="P2505" s="24" t="n"/>
      <c r="Q2505" s="22">
        <f>IF($D2505="","",IF(AND(OR(DANH_MUC!$L$5&lt;&gt;"Có",M2505="Có"),OR(DANH_MUC!$L$6&lt;&gt;"Có",N2505="Có"),OR(DANH_MUC!$L$7&lt;&gt;"Có",O2505="Có"),OR(DANH_MUC!$L$8&lt;&gt;"Có",P2505="Có")),"Có","Không"))</f>
        <v/>
      </c>
      <c r="R2505" s="22">
        <f>IF($D2505="","",IF(COUNTIF($D$2:$D2505,$D2505)&gt;1,"Trùng",""))</f>
        <v/>
      </c>
      <c r="S2505" s="22">
        <f>IF($D2505="","",IF(AND(LEN($D2505)=10,LEFT($D2505,1)="0",ISNUMBER(--$D2505)),"Có","Không"))</f>
        <v/>
      </c>
      <c r="T2505" s="22">
        <f>IF($D2505="","",IF(AND($C2505&lt;&gt;"",$Q2505="Có",$R2505="",$S2505="Có",AND($L2505&lt;&gt;"",OR($L2505&lt;&gt;"Chưa xác định",DANH_MUC!$L$9="Có"))),"Có","Không"))</f>
        <v/>
      </c>
      <c r="U2505" s="22">
        <f>IF(OR($D2505="",$T2505="Có"),"",IF($C2505="","Thiếu họ tên; ","")&amp;IF($S2505&lt;&gt;"Có","SĐT sai định dạng; ","")&amp;IF($R2505="Trùng","Trùng SĐT; ","")&amp;IF($Q2505&lt;&gt;"Có","Thiếu đồng ý bắt buộc; ","")&amp;IF($L2505="","Thiếu/sai Mã REF; ",IF(AND($L2505="Chưa xác định",DANH_MUC!$L$9&lt;&gt;"Có"),"Nguồn chưa xác định; ","")))</f>
        <v/>
      </c>
      <c r="V2505" s="22">
        <f>IF(OR($D2505="",$R2505="Trùng"),"",IF(COUNTIF(ORDERS!$C$2:$C$4995,$D2505)&gt;0,"Có","Không"))</f>
        <v/>
      </c>
      <c r="W2505" s="22">
        <f>IF(OR($D2505="",$R2505="Trùng"),"",COUNTIFS(ORDERS!$C$2:$C$4995,$D2505,ORDERS!$L$2:$L$4995,"Đã chuyển khoản"))</f>
        <v/>
      </c>
      <c r="X2505" s="23">
        <f>IF(OR($D2505="",$R2505="Trùng"),"",SUMIFS(ORDERS!$J$2:$J$4995,ORDERS!$C$2:$C$4995,$D2505,ORDERS!$L$2:$L$4995,"Đã chuyển khoản"))</f>
        <v/>
      </c>
      <c r="Y2505" s="24" t="n"/>
    </row>
    <row r="2506" ht="14.25" customHeight="1" s="40">
      <c r="A2506" s="24" t="n"/>
      <c r="B2506" s="27" t="n"/>
      <c r="C2506" s="24" t="n"/>
      <c r="D2506" s="28" t="n"/>
      <c r="E2506" s="29" t="n"/>
      <c r="F2506" s="24" t="n"/>
      <c r="G2506" s="24" t="n"/>
      <c r="H2506" s="21">
        <f>IF(ISNUMBER($B2506),INT($B2506)-WEEKDAY($B2506,2)+1,"")</f>
        <v/>
      </c>
      <c r="I2506" s="24" t="n"/>
      <c r="J2506" s="22">
        <f t="array" ref="J2506">IF($D2506="","",IF($I2506="","(trống REF)",IFERROR(INDEX(MASTER_SOURCE!$B$2:$B$495,MATCH($I2506,MASTER_SOURCE!$A$2:$A$495,0)),"(REF không có trong MASTER_SOURCE)")))</f>
        <v/>
      </c>
      <c r="K2506" s="22">
        <f t="array" ref="K2506">IF($D2506="","",IFERROR(INDEX(MASTER_SOURCE!$C$2:$C$495,MATCH($I2506,MASTER_SOURCE!$A$2:$A$495,0)),""))</f>
        <v/>
      </c>
      <c r="L2506" s="22">
        <f t="array" ref="L2506">IF($D2506="","",IFERROR(INDEX(MASTER_SOURCE!$D$2:$D$495,MATCH($I2506,MASTER_SOURCE!$A$2:$A$495,0)),""))</f>
        <v/>
      </c>
      <c r="M2506" s="24" t="n"/>
      <c r="N2506" s="24" t="n"/>
      <c r="O2506" s="24" t="n"/>
      <c r="P2506" s="24" t="n"/>
      <c r="Q2506" s="22">
        <f>IF($D2506="","",IF(AND(OR(DANH_MUC!$L$5&lt;&gt;"Có",M2506="Có"),OR(DANH_MUC!$L$6&lt;&gt;"Có",N2506="Có"),OR(DANH_MUC!$L$7&lt;&gt;"Có",O2506="Có"),OR(DANH_MUC!$L$8&lt;&gt;"Có",P2506="Có")),"Có","Không"))</f>
        <v/>
      </c>
      <c r="R2506" s="22">
        <f>IF($D2506="","",IF(COUNTIF($D$2:$D2506,$D2506)&gt;1,"Trùng",""))</f>
        <v/>
      </c>
      <c r="S2506" s="22">
        <f>IF($D2506="","",IF(AND(LEN($D2506)=10,LEFT($D2506,1)="0",ISNUMBER(--$D2506)),"Có","Không"))</f>
        <v/>
      </c>
      <c r="T2506" s="22">
        <f>IF($D2506="","",IF(AND($C2506&lt;&gt;"",$Q2506="Có",$R2506="",$S2506="Có",AND($L2506&lt;&gt;"",OR($L2506&lt;&gt;"Chưa xác định",DANH_MUC!$L$9="Có"))),"Có","Không"))</f>
        <v/>
      </c>
      <c r="U2506" s="22">
        <f>IF(OR($D2506="",$T2506="Có"),"",IF($C2506="","Thiếu họ tên; ","")&amp;IF($S2506&lt;&gt;"Có","SĐT sai định dạng; ","")&amp;IF($R2506="Trùng","Trùng SĐT; ","")&amp;IF($Q2506&lt;&gt;"Có","Thiếu đồng ý bắt buộc; ","")&amp;IF($L2506="","Thiếu/sai Mã REF; ",IF(AND($L2506="Chưa xác định",DANH_MUC!$L$9&lt;&gt;"Có"),"Nguồn chưa xác định; ","")))</f>
        <v/>
      </c>
      <c r="V2506" s="22">
        <f>IF(OR($D2506="",$R2506="Trùng"),"",IF(COUNTIF(ORDERS!$C$2:$C$4995,$D2506)&gt;0,"Có","Không"))</f>
        <v/>
      </c>
      <c r="W2506" s="22">
        <f>IF(OR($D2506="",$R2506="Trùng"),"",COUNTIFS(ORDERS!$C$2:$C$4995,$D2506,ORDERS!$L$2:$L$4995,"Đã chuyển khoản"))</f>
        <v/>
      </c>
      <c r="X2506" s="23">
        <f>IF(OR($D2506="",$R2506="Trùng"),"",SUMIFS(ORDERS!$J$2:$J$4995,ORDERS!$C$2:$C$4995,$D2506,ORDERS!$L$2:$L$4995,"Đã chuyển khoản"))</f>
        <v/>
      </c>
      <c r="Y2506" s="24" t="n"/>
    </row>
    <row r="2507" ht="14.25" customHeight="1" s="40">
      <c r="A2507" s="24" t="n"/>
      <c r="B2507" s="27" t="n"/>
      <c r="C2507" s="24" t="n"/>
      <c r="D2507" s="28" t="n"/>
      <c r="E2507" s="29" t="n"/>
      <c r="F2507" s="24" t="n"/>
      <c r="G2507" s="24" t="n"/>
      <c r="H2507" s="21">
        <f>IF(ISNUMBER($B2507),INT($B2507)-WEEKDAY($B2507,2)+1,"")</f>
        <v/>
      </c>
      <c r="I2507" s="24" t="n"/>
      <c r="J2507" s="22">
        <f t="array" ref="J2507">IF($D2507="","",IF($I2507="","(trống REF)",IFERROR(INDEX(MASTER_SOURCE!$B$2:$B$495,MATCH($I2507,MASTER_SOURCE!$A$2:$A$495,0)),"(REF không có trong MASTER_SOURCE)")))</f>
        <v/>
      </c>
      <c r="K2507" s="22">
        <f t="array" ref="K2507">IF($D2507="","",IFERROR(INDEX(MASTER_SOURCE!$C$2:$C$495,MATCH($I2507,MASTER_SOURCE!$A$2:$A$495,0)),""))</f>
        <v/>
      </c>
      <c r="L2507" s="22">
        <f t="array" ref="L2507">IF($D2507="","",IFERROR(INDEX(MASTER_SOURCE!$D$2:$D$495,MATCH($I2507,MASTER_SOURCE!$A$2:$A$495,0)),""))</f>
        <v/>
      </c>
      <c r="M2507" s="24" t="n"/>
      <c r="N2507" s="24" t="n"/>
      <c r="O2507" s="24" t="n"/>
      <c r="P2507" s="24" t="n"/>
      <c r="Q2507" s="22">
        <f>IF($D2507="","",IF(AND(OR(DANH_MUC!$L$5&lt;&gt;"Có",M2507="Có"),OR(DANH_MUC!$L$6&lt;&gt;"Có",N2507="Có"),OR(DANH_MUC!$L$7&lt;&gt;"Có",O2507="Có"),OR(DANH_MUC!$L$8&lt;&gt;"Có",P2507="Có")),"Có","Không"))</f>
        <v/>
      </c>
      <c r="R2507" s="22">
        <f>IF($D2507="","",IF(COUNTIF($D$2:$D2507,$D2507)&gt;1,"Trùng",""))</f>
        <v/>
      </c>
      <c r="S2507" s="22">
        <f>IF($D2507="","",IF(AND(LEN($D2507)=10,LEFT($D2507,1)="0",ISNUMBER(--$D2507)),"Có","Không"))</f>
        <v/>
      </c>
      <c r="T2507" s="22">
        <f>IF($D2507="","",IF(AND($C2507&lt;&gt;"",$Q2507="Có",$R2507="",$S2507="Có",AND($L2507&lt;&gt;"",OR($L2507&lt;&gt;"Chưa xác định",DANH_MUC!$L$9="Có"))),"Có","Không"))</f>
        <v/>
      </c>
      <c r="U2507" s="22">
        <f>IF(OR($D2507="",$T2507="Có"),"",IF($C2507="","Thiếu họ tên; ","")&amp;IF($S2507&lt;&gt;"Có","SĐT sai định dạng; ","")&amp;IF($R2507="Trùng","Trùng SĐT; ","")&amp;IF($Q2507&lt;&gt;"Có","Thiếu đồng ý bắt buộc; ","")&amp;IF($L2507="","Thiếu/sai Mã REF; ",IF(AND($L2507="Chưa xác định",DANH_MUC!$L$9&lt;&gt;"Có"),"Nguồn chưa xác định; ","")))</f>
        <v/>
      </c>
      <c r="V2507" s="22">
        <f>IF(OR($D2507="",$R2507="Trùng"),"",IF(COUNTIF(ORDERS!$C$2:$C$4995,$D2507)&gt;0,"Có","Không"))</f>
        <v/>
      </c>
      <c r="W2507" s="22">
        <f>IF(OR($D2507="",$R2507="Trùng"),"",COUNTIFS(ORDERS!$C$2:$C$4995,$D2507,ORDERS!$L$2:$L$4995,"Đã chuyển khoản"))</f>
        <v/>
      </c>
      <c r="X2507" s="23">
        <f>IF(OR($D2507="",$R2507="Trùng"),"",SUMIFS(ORDERS!$J$2:$J$4995,ORDERS!$C$2:$C$4995,$D2507,ORDERS!$L$2:$L$4995,"Đã chuyển khoản"))</f>
        <v/>
      </c>
      <c r="Y2507" s="24" t="n"/>
    </row>
    <row r="2508" ht="14.25" customHeight="1" s="40">
      <c r="A2508" s="24" t="n"/>
      <c r="B2508" s="27" t="n"/>
      <c r="C2508" s="24" t="n"/>
      <c r="D2508" s="28" t="n"/>
      <c r="E2508" s="29" t="n"/>
      <c r="F2508" s="24" t="n"/>
      <c r="G2508" s="24" t="n"/>
      <c r="H2508" s="21">
        <f>IF(ISNUMBER($B2508),INT($B2508)-WEEKDAY($B2508,2)+1,"")</f>
        <v/>
      </c>
      <c r="I2508" s="24" t="n"/>
      <c r="J2508" s="22">
        <f t="array" ref="J2508">IF($D2508="","",IF($I2508="","(trống REF)",IFERROR(INDEX(MASTER_SOURCE!$B$2:$B$495,MATCH($I2508,MASTER_SOURCE!$A$2:$A$495,0)),"(REF không có trong MASTER_SOURCE)")))</f>
        <v/>
      </c>
      <c r="K2508" s="22">
        <f t="array" ref="K2508">IF($D2508="","",IFERROR(INDEX(MASTER_SOURCE!$C$2:$C$495,MATCH($I2508,MASTER_SOURCE!$A$2:$A$495,0)),""))</f>
        <v/>
      </c>
      <c r="L2508" s="22">
        <f t="array" ref="L2508">IF($D2508="","",IFERROR(INDEX(MASTER_SOURCE!$D$2:$D$495,MATCH($I2508,MASTER_SOURCE!$A$2:$A$495,0)),""))</f>
        <v/>
      </c>
      <c r="M2508" s="24" t="n"/>
      <c r="N2508" s="24" t="n"/>
      <c r="O2508" s="24" t="n"/>
      <c r="P2508" s="24" t="n"/>
      <c r="Q2508" s="22">
        <f>IF($D2508="","",IF(AND(OR(DANH_MUC!$L$5&lt;&gt;"Có",M2508="Có"),OR(DANH_MUC!$L$6&lt;&gt;"Có",N2508="Có"),OR(DANH_MUC!$L$7&lt;&gt;"Có",O2508="Có"),OR(DANH_MUC!$L$8&lt;&gt;"Có",P2508="Có")),"Có","Không"))</f>
        <v/>
      </c>
      <c r="R2508" s="22">
        <f>IF($D2508="","",IF(COUNTIF($D$2:$D2508,$D2508)&gt;1,"Trùng",""))</f>
        <v/>
      </c>
      <c r="S2508" s="22">
        <f>IF($D2508="","",IF(AND(LEN($D2508)=10,LEFT($D2508,1)="0",ISNUMBER(--$D2508)),"Có","Không"))</f>
        <v/>
      </c>
      <c r="T2508" s="22">
        <f>IF($D2508="","",IF(AND($C2508&lt;&gt;"",$Q2508="Có",$R2508="",$S2508="Có",AND($L2508&lt;&gt;"",OR($L2508&lt;&gt;"Chưa xác định",DANH_MUC!$L$9="Có"))),"Có","Không"))</f>
        <v/>
      </c>
      <c r="U2508" s="22">
        <f>IF(OR($D2508="",$T2508="Có"),"",IF($C2508="","Thiếu họ tên; ","")&amp;IF($S2508&lt;&gt;"Có","SĐT sai định dạng; ","")&amp;IF($R2508="Trùng","Trùng SĐT; ","")&amp;IF($Q2508&lt;&gt;"Có","Thiếu đồng ý bắt buộc; ","")&amp;IF($L2508="","Thiếu/sai Mã REF; ",IF(AND($L2508="Chưa xác định",DANH_MUC!$L$9&lt;&gt;"Có"),"Nguồn chưa xác định; ","")))</f>
        <v/>
      </c>
      <c r="V2508" s="22">
        <f>IF(OR($D2508="",$R2508="Trùng"),"",IF(COUNTIF(ORDERS!$C$2:$C$4995,$D2508)&gt;0,"Có","Không"))</f>
        <v/>
      </c>
      <c r="W2508" s="22">
        <f>IF(OR($D2508="",$R2508="Trùng"),"",COUNTIFS(ORDERS!$C$2:$C$4995,$D2508,ORDERS!$L$2:$L$4995,"Đã chuyển khoản"))</f>
        <v/>
      </c>
      <c r="X2508" s="23">
        <f>IF(OR($D2508="",$R2508="Trùng"),"",SUMIFS(ORDERS!$J$2:$J$4995,ORDERS!$C$2:$C$4995,$D2508,ORDERS!$L$2:$L$4995,"Đã chuyển khoản"))</f>
        <v/>
      </c>
      <c r="Y2508" s="24" t="n"/>
    </row>
    <row r="2509" ht="14.25" customHeight="1" s="40">
      <c r="A2509" s="24" t="n"/>
      <c r="B2509" s="27" t="n"/>
      <c r="C2509" s="24" t="n"/>
      <c r="D2509" s="28" t="n"/>
      <c r="E2509" s="29" t="n"/>
      <c r="F2509" s="24" t="n"/>
      <c r="G2509" s="24" t="n"/>
      <c r="H2509" s="21">
        <f>IF(ISNUMBER($B2509),INT($B2509)-WEEKDAY($B2509,2)+1,"")</f>
        <v/>
      </c>
      <c r="I2509" s="24" t="n"/>
      <c r="J2509" s="22">
        <f t="array" ref="J2509">IF($D2509="","",IF($I2509="","(trống REF)",IFERROR(INDEX(MASTER_SOURCE!$B$2:$B$495,MATCH($I2509,MASTER_SOURCE!$A$2:$A$495,0)),"(REF không có trong MASTER_SOURCE)")))</f>
        <v/>
      </c>
      <c r="K2509" s="22">
        <f t="array" ref="K2509">IF($D2509="","",IFERROR(INDEX(MASTER_SOURCE!$C$2:$C$495,MATCH($I2509,MASTER_SOURCE!$A$2:$A$495,0)),""))</f>
        <v/>
      </c>
      <c r="L2509" s="22">
        <f t="array" ref="L2509">IF($D2509="","",IFERROR(INDEX(MASTER_SOURCE!$D$2:$D$495,MATCH($I2509,MASTER_SOURCE!$A$2:$A$495,0)),""))</f>
        <v/>
      </c>
      <c r="M2509" s="24" t="n"/>
      <c r="N2509" s="24" t="n"/>
      <c r="O2509" s="24" t="n"/>
      <c r="P2509" s="24" t="n"/>
      <c r="Q2509" s="22">
        <f>IF($D2509="","",IF(AND(OR(DANH_MUC!$L$5&lt;&gt;"Có",M2509="Có"),OR(DANH_MUC!$L$6&lt;&gt;"Có",N2509="Có"),OR(DANH_MUC!$L$7&lt;&gt;"Có",O2509="Có"),OR(DANH_MUC!$L$8&lt;&gt;"Có",P2509="Có")),"Có","Không"))</f>
        <v/>
      </c>
      <c r="R2509" s="22">
        <f>IF($D2509="","",IF(COUNTIF($D$2:$D2509,$D2509)&gt;1,"Trùng",""))</f>
        <v/>
      </c>
      <c r="S2509" s="22">
        <f>IF($D2509="","",IF(AND(LEN($D2509)=10,LEFT($D2509,1)="0",ISNUMBER(--$D2509)),"Có","Không"))</f>
        <v/>
      </c>
      <c r="T2509" s="22">
        <f>IF($D2509="","",IF(AND($C2509&lt;&gt;"",$Q2509="Có",$R2509="",$S2509="Có",AND($L2509&lt;&gt;"",OR($L2509&lt;&gt;"Chưa xác định",DANH_MUC!$L$9="Có"))),"Có","Không"))</f>
        <v/>
      </c>
      <c r="U2509" s="22">
        <f>IF(OR($D2509="",$T2509="Có"),"",IF($C2509="","Thiếu họ tên; ","")&amp;IF($S2509&lt;&gt;"Có","SĐT sai định dạng; ","")&amp;IF($R2509="Trùng","Trùng SĐT; ","")&amp;IF($Q2509&lt;&gt;"Có","Thiếu đồng ý bắt buộc; ","")&amp;IF($L2509="","Thiếu/sai Mã REF; ",IF(AND($L2509="Chưa xác định",DANH_MUC!$L$9&lt;&gt;"Có"),"Nguồn chưa xác định; ","")))</f>
        <v/>
      </c>
      <c r="V2509" s="22">
        <f>IF(OR($D2509="",$R2509="Trùng"),"",IF(COUNTIF(ORDERS!$C$2:$C$4995,$D2509)&gt;0,"Có","Không"))</f>
        <v/>
      </c>
      <c r="W2509" s="22">
        <f>IF(OR($D2509="",$R2509="Trùng"),"",COUNTIFS(ORDERS!$C$2:$C$4995,$D2509,ORDERS!$L$2:$L$4995,"Đã chuyển khoản"))</f>
        <v/>
      </c>
      <c r="X2509" s="23">
        <f>IF(OR($D2509="",$R2509="Trùng"),"",SUMIFS(ORDERS!$J$2:$J$4995,ORDERS!$C$2:$C$4995,$D2509,ORDERS!$L$2:$L$4995,"Đã chuyển khoản"))</f>
        <v/>
      </c>
      <c r="Y2509" s="24" t="n"/>
    </row>
    <row r="2510" ht="14.25" customHeight="1" s="40">
      <c r="A2510" s="24" t="n"/>
      <c r="B2510" s="27" t="n"/>
      <c r="C2510" s="24" t="n"/>
      <c r="D2510" s="28" t="n"/>
      <c r="E2510" s="29" t="n"/>
      <c r="F2510" s="24" t="n"/>
      <c r="G2510" s="24" t="n"/>
      <c r="H2510" s="21">
        <f>IF(ISNUMBER($B2510),INT($B2510)-WEEKDAY($B2510,2)+1,"")</f>
        <v/>
      </c>
      <c r="I2510" s="24" t="n"/>
      <c r="J2510" s="22">
        <f t="array" ref="J2510">IF($D2510="","",IF($I2510="","(trống REF)",IFERROR(INDEX(MASTER_SOURCE!$B$2:$B$495,MATCH($I2510,MASTER_SOURCE!$A$2:$A$495,0)),"(REF không có trong MASTER_SOURCE)")))</f>
        <v/>
      </c>
      <c r="K2510" s="22">
        <f t="array" ref="K2510">IF($D2510="","",IFERROR(INDEX(MASTER_SOURCE!$C$2:$C$495,MATCH($I2510,MASTER_SOURCE!$A$2:$A$495,0)),""))</f>
        <v/>
      </c>
      <c r="L2510" s="22">
        <f t="array" ref="L2510">IF($D2510="","",IFERROR(INDEX(MASTER_SOURCE!$D$2:$D$495,MATCH($I2510,MASTER_SOURCE!$A$2:$A$495,0)),""))</f>
        <v/>
      </c>
      <c r="M2510" s="24" t="n"/>
      <c r="N2510" s="24" t="n"/>
      <c r="O2510" s="24" t="n"/>
      <c r="P2510" s="24" t="n"/>
      <c r="Q2510" s="22">
        <f>IF($D2510="","",IF(AND(OR(DANH_MUC!$L$5&lt;&gt;"Có",M2510="Có"),OR(DANH_MUC!$L$6&lt;&gt;"Có",N2510="Có"),OR(DANH_MUC!$L$7&lt;&gt;"Có",O2510="Có"),OR(DANH_MUC!$L$8&lt;&gt;"Có",P2510="Có")),"Có","Không"))</f>
        <v/>
      </c>
      <c r="R2510" s="22">
        <f>IF($D2510="","",IF(COUNTIF($D$2:$D2510,$D2510)&gt;1,"Trùng",""))</f>
        <v/>
      </c>
      <c r="S2510" s="22">
        <f>IF($D2510="","",IF(AND(LEN($D2510)=10,LEFT($D2510,1)="0",ISNUMBER(--$D2510)),"Có","Không"))</f>
        <v/>
      </c>
      <c r="T2510" s="22">
        <f>IF($D2510="","",IF(AND($C2510&lt;&gt;"",$Q2510="Có",$R2510="",$S2510="Có",AND($L2510&lt;&gt;"",OR($L2510&lt;&gt;"Chưa xác định",DANH_MUC!$L$9="Có"))),"Có","Không"))</f>
        <v/>
      </c>
      <c r="U2510" s="22">
        <f>IF(OR($D2510="",$T2510="Có"),"",IF($C2510="","Thiếu họ tên; ","")&amp;IF($S2510&lt;&gt;"Có","SĐT sai định dạng; ","")&amp;IF($R2510="Trùng","Trùng SĐT; ","")&amp;IF($Q2510&lt;&gt;"Có","Thiếu đồng ý bắt buộc; ","")&amp;IF($L2510="","Thiếu/sai Mã REF; ",IF(AND($L2510="Chưa xác định",DANH_MUC!$L$9&lt;&gt;"Có"),"Nguồn chưa xác định; ","")))</f>
        <v/>
      </c>
      <c r="V2510" s="22">
        <f>IF(OR($D2510="",$R2510="Trùng"),"",IF(COUNTIF(ORDERS!$C$2:$C$4995,$D2510)&gt;0,"Có","Không"))</f>
        <v/>
      </c>
      <c r="W2510" s="22">
        <f>IF(OR($D2510="",$R2510="Trùng"),"",COUNTIFS(ORDERS!$C$2:$C$4995,$D2510,ORDERS!$L$2:$L$4995,"Đã chuyển khoản"))</f>
        <v/>
      </c>
      <c r="X2510" s="23">
        <f>IF(OR($D2510="",$R2510="Trùng"),"",SUMIFS(ORDERS!$J$2:$J$4995,ORDERS!$C$2:$C$4995,$D2510,ORDERS!$L$2:$L$4995,"Đã chuyển khoản"))</f>
        <v/>
      </c>
      <c r="Y2510" s="24" t="n"/>
    </row>
    <row r="2511" ht="14.25" customHeight="1" s="40">
      <c r="A2511" s="24" t="n"/>
      <c r="B2511" s="27" t="n"/>
      <c r="C2511" s="24" t="n"/>
      <c r="D2511" s="28" t="n"/>
      <c r="E2511" s="29" t="n"/>
      <c r="F2511" s="24" t="n"/>
      <c r="G2511" s="24" t="n"/>
      <c r="H2511" s="21">
        <f>IF(ISNUMBER($B2511),INT($B2511)-WEEKDAY($B2511,2)+1,"")</f>
        <v/>
      </c>
      <c r="I2511" s="24" t="n"/>
      <c r="J2511" s="22">
        <f t="array" ref="J2511">IF($D2511="","",IF($I2511="","(trống REF)",IFERROR(INDEX(MASTER_SOURCE!$B$2:$B$495,MATCH($I2511,MASTER_SOURCE!$A$2:$A$495,0)),"(REF không có trong MASTER_SOURCE)")))</f>
        <v/>
      </c>
      <c r="K2511" s="22">
        <f t="array" ref="K2511">IF($D2511="","",IFERROR(INDEX(MASTER_SOURCE!$C$2:$C$495,MATCH($I2511,MASTER_SOURCE!$A$2:$A$495,0)),""))</f>
        <v/>
      </c>
      <c r="L2511" s="22">
        <f t="array" ref="L2511">IF($D2511="","",IFERROR(INDEX(MASTER_SOURCE!$D$2:$D$495,MATCH($I2511,MASTER_SOURCE!$A$2:$A$495,0)),""))</f>
        <v/>
      </c>
      <c r="M2511" s="24" t="n"/>
      <c r="N2511" s="24" t="n"/>
      <c r="O2511" s="24" t="n"/>
      <c r="P2511" s="24" t="n"/>
      <c r="Q2511" s="22">
        <f>IF($D2511="","",IF(AND(OR(DANH_MUC!$L$5&lt;&gt;"Có",M2511="Có"),OR(DANH_MUC!$L$6&lt;&gt;"Có",N2511="Có"),OR(DANH_MUC!$L$7&lt;&gt;"Có",O2511="Có"),OR(DANH_MUC!$L$8&lt;&gt;"Có",P2511="Có")),"Có","Không"))</f>
        <v/>
      </c>
      <c r="R2511" s="22">
        <f>IF($D2511="","",IF(COUNTIF($D$2:$D2511,$D2511)&gt;1,"Trùng",""))</f>
        <v/>
      </c>
      <c r="S2511" s="22">
        <f>IF($D2511="","",IF(AND(LEN($D2511)=10,LEFT($D2511,1)="0",ISNUMBER(--$D2511)),"Có","Không"))</f>
        <v/>
      </c>
      <c r="T2511" s="22">
        <f>IF($D2511="","",IF(AND($C2511&lt;&gt;"",$Q2511="Có",$R2511="",$S2511="Có",AND($L2511&lt;&gt;"",OR($L2511&lt;&gt;"Chưa xác định",DANH_MUC!$L$9="Có"))),"Có","Không"))</f>
        <v/>
      </c>
      <c r="U2511" s="22">
        <f>IF(OR($D2511="",$T2511="Có"),"",IF($C2511="","Thiếu họ tên; ","")&amp;IF($S2511&lt;&gt;"Có","SĐT sai định dạng; ","")&amp;IF($R2511="Trùng","Trùng SĐT; ","")&amp;IF($Q2511&lt;&gt;"Có","Thiếu đồng ý bắt buộc; ","")&amp;IF($L2511="","Thiếu/sai Mã REF; ",IF(AND($L2511="Chưa xác định",DANH_MUC!$L$9&lt;&gt;"Có"),"Nguồn chưa xác định; ","")))</f>
        <v/>
      </c>
      <c r="V2511" s="22">
        <f>IF(OR($D2511="",$R2511="Trùng"),"",IF(COUNTIF(ORDERS!$C$2:$C$4995,$D2511)&gt;0,"Có","Không"))</f>
        <v/>
      </c>
      <c r="W2511" s="22">
        <f>IF(OR($D2511="",$R2511="Trùng"),"",COUNTIFS(ORDERS!$C$2:$C$4995,$D2511,ORDERS!$L$2:$L$4995,"Đã chuyển khoản"))</f>
        <v/>
      </c>
      <c r="X2511" s="23">
        <f>IF(OR($D2511="",$R2511="Trùng"),"",SUMIFS(ORDERS!$J$2:$J$4995,ORDERS!$C$2:$C$4995,$D2511,ORDERS!$L$2:$L$4995,"Đã chuyển khoản"))</f>
        <v/>
      </c>
      <c r="Y2511" s="24" t="n"/>
    </row>
    <row r="2512" ht="14.25" customHeight="1" s="40">
      <c r="A2512" s="24" t="n"/>
      <c r="B2512" s="27" t="n"/>
      <c r="C2512" s="24" t="n"/>
      <c r="D2512" s="28" t="n"/>
      <c r="E2512" s="29" t="n"/>
      <c r="F2512" s="24" t="n"/>
      <c r="G2512" s="24" t="n"/>
      <c r="H2512" s="21">
        <f>IF(ISNUMBER($B2512),INT($B2512)-WEEKDAY($B2512,2)+1,"")</f>
        <v/>
      </c>
      <c r="I2512" s="24" t="n"/>
      <c r="J2512" s="22">
        <f t="array" ref="J2512">IF($D2512="","",IF($I2512="","(trống REF)",IFERROR(INDEX(MASTER_SOURCE!$B$2:$B$495,MATCH($I2512,MASTER_SOURCE!$A$2:$A$495,0)),"(REF không có trong MASTER_SOURCE)")))</f>
        <v/>
      </c>
      <c r="K2512" s="22">
        <f t="array" ref="K2512">IF($D2512="","",IFERROR(INDEX(MASTER_SOURCE!$C$2:$C$495,MATCH($I2512,MASTER_SOURCE!$A$2:$A$495,0)),""))</f>
        <v/>
      </c>
      <c r="L2512" s="22">
        <f t="array" ref="L2512">IF($D2512="","",IFERROR(INDEX(MASTER_SOURCE!$D$2:$D$495,MATCH($I2512,MASTER_SOURCE!$A$2:$A$495,0)),""))</f>
        <v/>
      </c>
      <c r="M2512" s="24" t="n"/>
      <c r="N2512" s="24" t="n"/>
      <c r="O2512" s="24" t="n"/>
      <c r="P2512" s="24" t="n"/>
      <c r="Q2512" s="22">
        <f>IF($D2512="","",IF(AND(OR(DANH_MUC!$L$5&lt;&gt;"Có",M2512="Có"),OR(DANH_MUC!$L$6&lt;&gt;"Có",N2512="Có"),OR(DANH_MUC!$L$7&lt;&gt;"Có",O2512="Có"),OR(DANH_MUC!$L$8&lt;&gt;"Có",P2512="Có")),"Có","Không"))</f>
        <v/>
      </c>
      <c r="R2512" s="22">
        <f>IF($D2512="","",IF(COUNTIF($D$2:$D2512,$D2512)&gt;1,"Trùng",""))</f>
        <v/>
      </c>
      <c r="S2512" s="22">
        <f>IF($D2512="","",IF(AND(LEN($D2512)=10,LEFT($D2512,1)="0",ISNUMBER(--$D2512)),"Có","Không"))</f>
        <v/>
      </c>
      <c r="T2512" s="22">
        <f>IF($D2512="","",IF(AND($C2512&lt;&gt;"",$Q2512="Có",$R2512="",$S2512="Có",AND($L2512&lt;&gt;"",OR($L2512&lt;&gt;"Chưa xác định",DANH_MUC!$L$9="Có"))),"Có","Không"))</f>
        <v/>
      </c>
      <c r="U2512" s="22">
        <f>IF(OR($D2512="",$T2512="Có"),"",IF($C2512="","Thiếu họ tên; ","")&amp;IF($S2512&lt;&gt;"Có","SĐT sai định dạng; ","")&amp;IF($R2512="Trùng","Trùng SĐT; ","")&amp;IF($Q2512&lt;&gt;"Có","Thiếu đồng ý bắt buộc; ","")&amp;IF($L2512="","Thiếu/sai Mã REF; ",IF(AND($L2512="Chưa xác định",DANH_MUC!$L$9&lt;&gt;"Có"),"Nguồn chưa xác định; ","")))</f>
        <v/>
      </c>
      <c r="V2512" s="22">
        <f>IF(OR($D2512="",$R2512="Trùng"),"",IF(COUNTIF(ORDERS!$C$2:$C$4995,$D2512)&gt;0,"Có","Không"))</f>
        <v/>
      </c>
      <c r="W2512" s="22">
        <f>IF(OR($D2512="",$R2512="Trùng"),"",COUNTIFS(ORDERS!$C$2:$C$4995,$D2512,ORDERS!$L$2:$L$4995,"Đã chuyển khoản"))</f>
        <v/>
      </c>
      <c r="X2512" s="23">
        <f>IF(OR($D2512="",$R2512="Trùng"),"",SUMIFS(ORDERS!$J$2:$J$4995,ORDERS!$C$2:$C$4995,$D2512,ORDERS!$L$2:$L$4995,"Đã chuyển khoản"))</f>
        <v/>
      </c>
      <c r="Y2512" s="24" t="n"/>
    </row>
    <row r="2513" ht="14.25" customHeight="1" s="40">
      <c r="A2513" s="24" t="n"/>
      <c r="B2513" s="27" t="n"/>
      <c r="C2513" s="24" t="n"/>
      <c r="D2513" s="28" t="n"/>
      <c r="E2513" s="29" t="n"/>
      <c r="F2513" s="24" t="n"/>
      <c r="G2513" s="24" t="n"/>
      <c r="H2513" s="21">
        <f>IF(ISNUMBER($B2513),INT($B2513)-WEEKDAY($B2513,2)+1,"")</f>
        <v/>
      </c>
      <c r="I2513" s="24" t="n"/>
      <c r="J2513" s="22">
        <f t="array" ref="J2513">IF($D2513="","",IF($I2513="","(trống REF)",IFERROR(INDEX(MASTER_SOURCE!$B$2:$B$495,MATCH($I2513,MASTER_SOURCE!$A$2:$A$495,0)),"(REF không có trong MASTER_SOURCE)")))</f>
        <v/>
      </c>
      <c r="K2513" s="22">
        <f t="array" ref="K2513">IF($D2513="","",IFERROR(INDEX(MASTER_SOURCE!$C$2:$C$495,MATCH($I2513,MASTER_SOURCE!$A$2:$A$495,0)),""))</f>
        <v/>
      </c>
      <c r="L2513" s="22">
        <f t="array" ref="L2513">IF($D2513="","",IFERROR(INDEX(MASTER_SOURCE!$D$2:$D$495,MATCH($I2513,MASTER_SOURCE!$A$2:$A$495,0)),""))</f>
        <v/>
      </c>
      <c r="M2513" s="24" t="n"/>
      <c r="N2513" s="24" t="n"/>
      <c r="O2513" s="24" t="n"/>
      <c r="P2513" s="24" t="n"/>
      <c r="Q2513" s="22">
        <f>IF($D2513="","",IF(AND(OR(DANH_MUC!$L$5&lt;&gt;"Có",M2513="Có"),OR(DANH_MUC!$L$6&lt;&gt;"Có",N2513="Có"),OR(DANH_MUC!$L$7&lt;&gt;"Có",O2513="Có"),OR(DANH_MUC!$L$8&lt;&gt;"Có",P2513="Có")),"Có","Không"))</f>
        <v/>
      </c>
      <c r="R2513" s="22">
        <f>IF($D2513="","",IF(COUNTIF($D$2:$D2513,$D2513)&gt;1,"Trùng",""))</f>
        <v/>
      </c>
      <c r="S2513" s="22">
        <f>IF($D2513="","",IF(AND(LEN($D2513)=10,LEFT($D2513,1)="0",ISNUMBER(--$D2513)),"Có","Không"))</f>
        <v/>
      </c>
      <c r="T2513" s="22">
        <f>IF($D2513="","",IF(AND($C2513&lt;&gt;"",$Q2513="Có",$R2513="",$S2513="Có",AND($L2513&lt;&gt;"",OR($L2513&lt;&gt;"Chưa xác định",DANH_MUC!$L$9="Có"))),"Có","Không"))</f>
        <v/>
      </c>
      <c r="U2513" s="22">
        <f>IF(OR($D2513="",$T2513="Có"),"",IF($C2513="","Thiếu họ tên; ","")&amp;IF($S2513&lt;&gt;"Có","SĐT sai định dạng; ","")&amp;IF($R2513="Trùng","Trùng SĐT; ","")&amp;IF($Q2513&lt;&gt;"Có","Thiếu đồng ý bắt buộc; ","")&amp;IF($L2513="","Thiếu/sai Mã REF; ",IF(AND($L2513="Chưa xác định",DANH_MUC!$L$9&lt;&gt;"Có"),"Nguồn chưa xác định; ","")))</f>
        <v/>
      </c>
      <c r="V2513" s="22">
        <f>IF(OR($D2513="",$R2513="Trùng"),"",IF(COUNTIF(ORDERS!$C$2:$C$4995,$D2513)&gt;0,"Có","Không"))</f>
        <v/>
      </c>
      <c r="W2513" s="22">
        <f>IF(OR($D2513="",$R2513="Trùng"),"",COUNTIFS(ORDERS!$C$2:$C$4995,$D2513,ORDERS!$L$2:$L$4995,"Đã chuyển khoản"))</f>
        <v/>
      </c>
      <c r="X2513" s="23">
        <f>IF(OR($D2513="",$R2513="Trùng"),"",SUMIFS(ORDERS!$J$2:$J$4995,ORDERS!$C$2:$C$4995,$D2513,ORDERS!$L$2:$L$4995,"Đã chuyển khoản"))</f>
        <v/>
      </c>
      <c r="Y2513" s="24" t="n"/>
    </row>
    <row r="2514" ht="14.25" customHeight="1" s="40">
      <c r="A2514" s="24" t="n"/>
      <c r="B2514" s="27" t="n"/>
      <c r="C2514" s="24" t="n"/>
      <c r="D2514" s="28" t="n"/>
      <c r="E2514" s="29" t="n"/>
      <c r="F2514" s="24" t="n"/>
      <c r="G2514" s="24" t="n"/>
      <c r="H2514" s="21">
        <f>IF(ISNUMBER($B2514),INT($B2514)-WEEKDAY($B2514,2)+1,"")</f>
        <v/>
      </c>
      <c r="I2514" s="24" t="n"/>
      <c r="J2514" s="22">
        <f t="array" ref="J2514">IF($D2514="","",IF($I2514="","(trống REF)",IFERROR(INDEX(MASTER_SOURCE!$B$2:$B$495,MATCH($I2514,MASTER_SOURCE!$A$2:$A$495,0)),"(REF không có trong MASTER_SOURCE)")))</f>
        <v/>
      </c>
      <c r="K2514" s="22">
        <f t="array" ref="K2514">IF($D2514="","",IFERROR(INDEX(MASTER_SOURCE!$C$2:$C$495,MATCH($I2514,MASTER_SOURCE!$A$2:$A$495,0)),""))</f>
        <v/>
      </c>
      <c r="L2514" s="22">
        <f t="array" ref="L2514">IF($D2514="","",IFERROR(INDEX(MASTER_SOURCE!$D$2:$D$495,MATCH($I2514,MASTER_SOURCE!$A$2:$A$495,0)),""))</f>
        <v/>
      </c>
      <c r="M2514" s="24" t="n"/>
      <c r="N2514" s="24" t="n"/>
      <c r="O2514" s="24" t="n"/>
      <c r="P2514" s="24" t="n"/>
      <c r="Q2514" s="22">
        <f>IF($D2514="","",IF(AND(OR(DANH_MUC!$L$5&lt;&gt;"Có",M2514="Có"),OR(DANH_MUC!$L$6&lt;&gt;"Có",N2514="Có"),OR(DANH_MUC!$L$7&lt;&gt;"Có",O2514="Có"),OR(DANH_MUC!$L$8&lt;&gt;"Có",P2514="Có")),"Có","Không"))</f>
        <v/>
      </c>
      <c r="R2514" s="22">
        <f>IF($D2514="","",IF(COUNTIF($D$2:$D2514,$D2514)&gt;1,"Trùng",""))</f>
        <v/>
      </c>
      <c r="S2514" s="22">
        <f>IF($D2514="","",IF(AND(LEN($D2514)=10,LEFT($D2514,1)="0",ISNUMBER(--$D2514)),"Có","Không"))</f>
        <v/>
      </c>
      <c r="T2514" s="22">
        <f>IF($D2514="","",IF(AND($C2514&lt;&gt;"",$Q2514="Có",$R2514="",$S2514="Có",AND($L2514&lt;&gt;"",OR($L2514&lt;&gt;"Chưa xác định",DANH_MUC!$L$9="Có"))),"Có","Không"))</f>
        <v/>
      </c>
      <c r="U2514" s="22">
        <f>IF(OR($D2514="",$T2514="Có"),"",IF($C2514="","Thiếu họ tên; ","")&amp;IF($S2514&lt;&gt;"Có","SĐT sai định dạng; ","")&amp;IF($R2514="Trùng","Trùng SĐT; ","")&amp;IF($Q2514&lt;&gt;"Có","Thiếu đồng ý bắt buộc; ","")&amp;IF($L2514="","Thiếu/sai Mã REF; ",IF(AND($L2514="Chưa xác định",DANH_MUC!$L$9&lt;&gt;"Có"),"Nguồn chưa xác định; ","")))</f>
        <v/>
      </c>
      <c r="V2514" s="22">
        <f>IF(OR($D2514="",$R2514="Trùng"),"",IF(COUNTIF(ORDERS!$C$2:$C$4995,$D2514)&gt;0,"Có","Không"))</f>
        <v/>
      </c>
      <c r="W2514" s="22">
        <f>IF(OR($D2514="",$R2514="Trùng"),"",COUNTIFS(ORDERS!$C$2:$C$4995,$D2514,ORDERS!$L$2:$L$4995,"Đã chuyển khoản"))</f>
        <v/>
      </c>
      <c r="X2514" s="23">
        <f>IF(OR($D2514="",$R2514="Trùng"),"",SUMIFS(ORDERS!$J$2:$J$4995,ORDERS!$C$2:$C$4995,$D2514,ORDERS!$L$2:$L$4995,"Đã chuyển khoản"))</f>
        <v/>
      </c>
      <c r="Y2514" s="24" t="n"/>
    </row>
    <row r="2515" ht="14.25" customHeight="1" s="40">
      <c r="A2515" s="24" t="n"/>
      <c r="B2515" s="27" t="n"/>
      <c r="C2515" s="24" t="n"/>
      <c r="D2515" s="28" t="n"/>
      <c r="E2515" s="29" t="n"/>
      <c r="F2515" s="24" t="n"/>
      <c r="G2515" s="24" t="n"/>
      <c r="H2515" s="21">
        <f>IF(ISNUMBER($B2515),INT($B2515)-WEEKDAY($B2515,2)+1,"")</f>
        <v/>
      </c>
      <c r="I2515" s="24" t="n"/>
      <c r="J2515" s="22">
        <f t="array" ref="J2515">IF($D2515="","",IF($I2515="","(trống REF)",IFERROR(INDEX(MASTER_SOURCE!$B$2:$B$495,MATCH($I2515,MASTER_SOURCE!$A$2:$A$495,0)),"(REF không có trong MASTER_SOURCE)")))</f>
        <v/>
      </c>
      <c r="K2515" s="22">
        <f t="array" ref="K2515">IF($D2515="","",IFERROR(INDEX(MASTER_SOURCE!$C$2:$C$495,MATCH($I2515,MASTER_SOURCE!$A$2:$A$495,0)),""))</f>
        <v/>
      </c>
      <c r="L2515" s="22">
        <f t="array" ref="L2515">IF($D2515="","",IFERROR(INDEX(MASTER_SOURCE!$D$2:$D$495,MATCH($I2515,MASTER_SOURCE!$A$2:$A$495,0)),""))</f>
        <v/>
      </c>
      <c r="M2515" s="24" t="n"/>
      <c r="N2515" s="24" t="n"/>
      <c r="O2515" s="24" t="n"/>
      <c r="P2515" s="24" t="n"/>
      <c r="Q2515" s="22">
        <f>IF($D2515="","",IF(AND(OR(DANH_MUC!$L$5&lt;&gt;"Có",M2515="Có"),OR(DANH_MUC!$L$6&lt;&gt;"Có",N2515="Có"),OR(DANH_MUC!$L$7&lt;&gt;"Có",O2515="Có"),OR(DANH_MUC!$L$8&lt;&gt;"Có",P2515="Có")),"Có","Không"))</f>
        <v/>
      </c>
      <c r="R2515" s="22">
        <f>IF($D2515="","",IF(COUNTIF($D$2:$D2515,$D2515)&gt;1,"Trùng",""))</f>
        <v/>
      </c>
      <c r="S2515" s="22">
        <f>IF($D2515="","",IF(AND(LEN($D2515)=10,LEFT($D2515,1)="0",ISNUMBER(--$D2515)),"Có","Không"))</f>
        <v/>
      </c>
      <c r="T2515" s="22">
        <f>IF($D2515="","",IF(AND($C2515&lt;&gt;"",$Q2515="Có",$R2515="",$S2515="Có",AND($L2515&lt;&gt;"",OR($L2515&lt;&gt;"Chưa xác định",DANH_MUC!$L$9="Có"))),"Có","Không"))</f>
        <v/>
      </c>
      <c r="U2515" s="22">
        <f>IF(OR($D2515="",$T2515="Có"),"",IF($C2515="","Thiếu họ tên; ","")&amp;IF($S2515&lt;&gt;"Có","SĐT sai định dạng; ","")&amp;IF($R2515="Trùng","Trùng SĐT; ","")&amp;IF($Q2515&lt;&gt;"Có","Thiếu đồng ý bắt buộc; ","")&amp;IF($L2515="","Thiếu/sai Mã REF; ",IF(AND($L2515="Chưa xác định",DANH_MUC!$L$9&lt;&gt;"Có"),"Nguồn chưa xác định; ","")))</f>
        <v/>
      </c>
      <c r="V2515" s="22">
        <f>IF(OR($D2515="",$R2515="Trùng"),"",IF(COUNTIF(ORDERS!$C$2:$C$4995,$D2515)&gt;0,"Có","Không"))</f>
        <v/>
      </c>
      <c r="W2515" s="22">
        <f>IF(OR($D2515="",$R2515="Trùng"),"",COUNTIFS(ORDERS!$C$2:$C$4995,$D2515,ORDERS!$L$2:$L$4995,"Đã chuyển khoản"))</f>
        <v/>
      </c>
      <c r="X2515" s="23">
        <f>IF(OR($D2515="",$R2515="Trùng"),"",SUMIFS(ORDERS!$J$2:$J$4995,ORDERS!$C$2:$C$4995,$D2515,ORDERS!$L$2:$L$4995,"Đã chuyển khoản"))</f>
        <v/>
      </c>
      <c r="Y2515" s="24" t="n"/>
    </row>
    <row r="2516" ht="14.25" customHeight="1" s="40">
      <c r="A2516" s="24" t="n"/>
      <c r="B2516" s="27" t="n"/>
      <c r="C2516" s="24" t="n"/>
      <c r="D2516" s="28" t="n"/>
      <c r="E2516" s="29" t="n"/>
      <c r="F2516" s="24" t="n"/>
      <c r="G2516" s="24" t="n"/>
      <c r="H2516" s="21">
        <f>IF(ISNUMBER($B2516),INT($B2516)-WEEKDAY($B2516,2)+1,"")</f>
        <v/>
      </c>
      <c r="I2516" s="24" t="n"/>
      <c r="J2516" s="22">
        <f t="array" ref="J2516">IF($D2516="","",IF($I2516="","(trống REF)",IFERROR(INDEX(MASTER_SOURCE!$B$2:$B$495,MATCH($I2516,MASTER_SOURCE!$A$2:$A$495,0)),"(REF không có trong MASTER_SOURCE)")))</f>
        <v/>
      </c>
      <c r="K2516" s="22">
        <f t="array" ref="K2516">IF($D2516="","",IFERROR(INDEX(MASTER_SOURCE!$C$2:$C$495,MATCH($I2516,MASTER_SOURCE!$A$2:$A$495,0)),""))</f>
        <v/>
      </c>
      <c r="L2516" s="22">
        <f t="array" ref="L2516">IF($D2516="","",IFERROR(INDEX(MASTER_SOURCE!$D$2:$D$495,MATCH($I2516,MASTER_SOURCE!$A$2:$A$495,0)),""))</f>
        <v/>
      </c>
      <c r="M2516" s="24" t="n"/>
      <c r="N2516" s="24" t="n"/>
      <c r="O2516" s="24" t="n"/>
      <c r="P2516" s="24" t="n"/>
      <c r="Q2516" s="22">
        <f>IF($D2516="","",IF(AND(OR(DANH_MUC!$L$5&lt;&gt;"Có",M2516="Có"),OR(DANH_MUC!$L$6&lt;&gt;"Có",N2516="Có"),OR(DANH_MUC!$L$7&lt;&gt;"Có",O2516="Có"),OR(DANH_MUC!$L$8&lt;&gt;"Có",P2516="Có")),"Có","Không"))</f>
        <v/>
      </c>
      <c r="R2516" s="22">
        <f>IF($D2516="","",IF(COUNTIF($D$2:$D2516,$D2516)&gt;1,"Trùng",""))</f>
        <v/>
      </c>
      <c r="S2516" s="22">
        <f>IF($D2516="","",IF(AND(LEN($D2516)=10,LEFT($D2516,1)="0",ISNUMBER(--$D2516)),"Có","Không"))</f>
        <v/>
      </c>
      <c r="T2516" s="22">
        <f>IF($D2516="","",IF(AND($C2516&lt;&gt;"",$Q2516="Có",$R2516="",$S2516="Có",AND($L2516&lt;&gt;"",OR($L2516&lt;&gt;"Chưa xác định",DANH_MUC!$L$9="Có"))),"Có","Không"))</f>
        <v/>
      </c>
      <c r="U2516" s="22">
        <f>IF(OR($D2516="",$T2516="Có"),"",IF($C2516="","Thiếu họ tên; ","")&amp;IF($S2516&lt;&gt;"Có","SĐT sai định dạng; ","")&amp;IF($R2516="Trùng","Trùng SĐT; ","")&amp;IF($Q2516&lt;&gt;"Có","Thiếu đồng ý bắt buộc; ","")&amp;IF($L2516="","Thiếu/sai Mã REF; ",IF(AND($L2516="Chưa xác định",DANH_MUC!$L$9&lt;&gt;"Có"),"Nguồn chưa xác định; ","")))</f>
        <v/>
      </c>
      <c r="V2516" s="22">
        <f>IF(OR($D2516="",$R2516="Trùng"),"",IF(COUNTIF(ORDERS!$C$2:$C$4995,$D2516)&gt;0,"Có","Không"))</f>
        <v/>
      </c>
      <c r="W2516" s="22">
        <f>IF(OR($D2516="",$R2516="Trùng"),"",COUNTIFS(ORDERS!$C$2:$C$4995,$D2516,ORDERS!$L$2:$L$4995,"Đã chuyển khoản"))</f>
        <v/>
      </c>
      <c r="X2516" s="23">
        <f>IF(OR($D2516="",$R2516="Trùng"),"",SUMIFS(ORDERS!$J$2:$J$4995,ORDERS!$C$2:$C$4995,$D2516,ORDERS!$L$2:$L$4995,"Đã chuyển khoản"))</f>
        <v/>
      </c>
      <c r="Y2516" s="24" t="n"/>
    </row>
    <row r="2517" ht="14.25" customHeight="1" s="40">
      <c r="A2517" s="24" t="n"/>
      <c r="B2517" s="27" t="n"/>
      <c r="C2517" s="24" t="n"/>
      <c r="D2517" s="28" t="n"/>
      <c r="E2517" s="29" t="n"/>
      <c r="F2517" s="24" t="n"/>
      <c r="G2517" s="24" t="n"/>
      <c r="H2517" s="21">
        <f>IF(ISNUMBER($B2517),INT($B2517)-WEEKDAY($B2517,2)+1,"")</f>
        <v/>
      </c>
      <c r="I2517" s="24" t="n"/>
      <c r="J2517" s="22">
        <f t="array" ref="J2517">IF($D2517="","",IF($I2517="","(trống REF)",IFERROR(INDEX(MASTER_SOURCE!$B$2:$B$495,MATCH($I2517,MASTER_SOURCE!$A$2:$A$495,0)),"(REF không có trong MASTER_SOURCE)")))</f>
        <v/>
      </c>
      <c r="K2517" s="22">
        <f t="array" ref="K2517">IF($D2517="","",IFERROR(INDEX(MASTER_SOURCE!$C$2:$C$495,MATCH($I2517,MASTER_SOURCE!$A$2:$A$495,0)),""))</f>
        <v/>
      </c>
      <c r="L2517" s="22">
        <f t="array" ref="L2517">IF($D2517="","",IFERROR(INDEX(MASTER_SOURCE!$D$2:$D$495,MATCH($I2517,MASTER_SOURCE!$A$2:$A$495,0)),""))</f>
        <v/>
      </c>
      <c r="M2517" s="24" t="n"/>
      <c r="N2517" s="24" t="n"/>
      <c r="O2517" s="24" t="n"/>
      <c r="P2517" s="24" t="n"/>
      <c r="Q2517" s="22">
        <f>IF($D2517="","",IF(AND(OR(DANH_MUC!$L$5&lt;&gt;"Có",M2517="Có"),OR(DANH_MUC!$L$6&lt;&gt;"Có",N2517="Có"),OR(DANH_MUC!$L$7&lt;&gt;"Có",O2517="Có"),OR(DANH_MUC!$L$8&lt;&gt;"Có",P2517="Có")),"Có","Không"))</f>
        <v/>
      </c>
      <c r="R2517" s="22">
        <f>IF($D2517="","",IF(COUNTIF($D$2:$D2517,$D2517)&gt;1,"Trùng",""))</f>
        <v/>
      </c>
      <c r="S2517" s="22">
        <f>IF($D2517="","",IF(AND(LEN($D2517)=10,LEFT($D2517,1)="0",ISNUMBER(--$D2517)),"Có","Không"))</f>
        <v/>
      </c>
      <c r="T2517" s="22">
        <f>IF($D2517="","",IF(AND($C2517&lt;&gt;"",$Q2517="Có",$R2517="",$S2517="Có",AND($L2517&lt;&gt;"",OR($L2517&lt;&gt;"Chưa xác định",DANH_MUC!$L$9="Có"))),"Có","Không"))</f>
        <v/>
      </c>
      <c r="U2517" s="22">
        <f>IF(OR($D2517="",$T2517="Có"),"",IF($C2517="","Thiếu họ tên; ","")&amp;IF($S2517&lt;&gt;"Có","SĐT sai định dạng; ","")&amp;IF($R2517="Trùng","Trùng SĐT; ","")&amp;IF($Q2517&lt;&gt;"Có","Thiếu đồng ý bắt buộc; ","")&amp;IF($L2517="","Thiếu/sai Mã REF; ",IF(AND($L2517="Chưa xác định",DANH_MUC!$L$9&lt;&gt;"Có"),"Nguồn chưa xác định; ","")))</f>
        <v/>
      </c>
      <c r="V2517" s="22">
        <f>IF(OR($D2517="",$R2517="Trùng"),"",IF(COUNTIF(ORDERS!$C$2:$C$4995,$D2517)&gt;0,"Có","Không"))</f>
        <v/>
      </c>
      <c r="W2517" s="22">
        <f>IF(OR($D2517="",$R2517="Trùng"),"",COUNTIFS(ORDERS!$C$2:$C$4995,$D2517,ORDERS!$L$2:$L$4995,"Đã chuyển khoản"))</f>
        <v/>
      </c>
      <c r="X2517" s="23">
        <f>IF(OR($D2517="",$R2517="Trùng"),"",SUMIFS(ORDERS!$J$2:$J$4995,ORDERS!$C$2:$C$4995,$D2517,ORDERS!$L$2:$L$4995,"Đã chuyển khoản"))</f>
        <v/>
      </c>
      <c r="Y2517" s="24" t="n"/>
    </row>
    <row r="2518" ht="14.25" customHeight="1" s="40">
      <c r="A2518" s="24" t="n"/>
      <c r="B2518" s="27" t="n"/>
      <c r="C2518" s="24" t="n"/>
      <c r="D2518" s="28" t="n"/>
      <c r="E2518" s="29" t="n"/>
      <c r="F2518" s="24" t="n"/>
      <c r="G2518" s="24" t="n"/>
      <c r="H2518" s="21">
        <f>IF(ISNUMBER($B2518),INT($B2518)-WEEKDAY($B2518,2)+1,"")</f>
        <v/>
      </c>
      <c r="I2518" s="24" t="n"/>
      <c r="J2518" s="22">
        <f t="array" ref="J2518">IF($D2518="","",IF($I2518="","(trống REF)",IFERROR(INDEX(MASTER_SOURCE!$B$2:$B$495,MATCH($I2518,MASTER_SOURCE!$A$2:$A$495,0)),"(REF không có trong MASTER_SOURCE)")))</f>
        <v/>
      </c>
      <c r="K2518" s="22">
        <f t="array" ref="K2518">IF($D2518="","",IFERROR(INDEX(MASTER_SOURCE!$C$2:$C$495,MATCH($I2518,MASTER_SOURCE!$A$2:$A$495,0)),""))</f>
        <v/>
      </c>
      <c r="L2518" s="22">
        <f t="array" ref="L2518">IF($D2518="","",IFERROR(INDEX(MASTER_SOURCE!$D$2:$D$495,MATCH($I2518,MASTER_SOURCE!$A$2:$A$495,0)),""))</f>
        <v/>
      </c>
      <c r="M2518" s="24" t="n"/>
      <c r="N2518" s="24" t="n"/>
      <c r="O2518" s="24" t="n"/>
      <c r="P2518" s="24" t="n"/>
      <c r="Q2518" s="22">
        <f>IF($D2518="","",IF(AND(OR(DANH_MUC!$L$5&lt;&gt;"Có",M2518="Có"),OR(DANH_MUC!$L$6&lt;&gt;"Có",N2518="Có"),OR(DANH_MUC!$L$7&lt;&gt;"Có",O2518="Có"),OR(DANH_MUC!$L$8&lt;&gt;"Có",P2518="Có")),"Có","Không"))</f>
        <v/>
      </c>
      <c r="R2518" s="22">
        <f>IF($D2518="","",IF(COUNTIF($D$2:$D2518,$D2518)&gt;1,"Trùng",""))</f>
        <v/>
      </c>
      <c r="S2518" s="22">
        <f>IF($D2518="","",IF(AND(LEN($D2518)=10,LEFT($D2518,1)="0",ISNUMBER(--$D2518)),"Có","Không"))</f>
        <v/>
      </c>
      <c r="T2518" s="22">
        <f>IF($D2518="","",IF(AND($C2518&lt;&gt;"",$Q2518="Có",$R2518="",$S2518="Có",AND($L2518&lt;&gt;"",OR($L2518&lt;&gt;"Chưa xác định",DANH_MUC!$L$9="Có"))),"Có","Không"))</f>
        <v/>
      </c>
      <c r="U2518" s="22">
        <f>IF(OR($D2518="",$T2518="Có"),"",IF($C2518="","Thiếu họ tên; ","")&amp;IF($S2518&lt;&gt;"Có","SĐT sai định dạng; ","")&amp;IF($R2518="Trùng","Trùng SĐT; ","")&amp;IF($Q2518&lt;&gt;"Có","Thiếu đồng ý bắt buộc; ","")&amp;IF($L2518="","Thiếu/sai Mã REF; ",IF(AND($L2518="Chưa xác định",DANH_MUC!$L$9&lt;&gt;"Có"),"Nguồn chưa xác định; ","")))</f>
        <v/>
      </c>
      <c r="V2518" s="22">
        <f>IF(OR($D2518="",$R2518="Trùng"),"",IF(COUNTIF(ORDERS!$C$2:$C$4995,$D2518)&gt;0,"Có","Không"))</f>
        <v/>
      </c>
      <c r="W2518" s="22">
        <f>IF(OR($D2518="",$R2518="Trùng"),"",COUNTIFS(ORDERS!$C$2:$C$4995,$D2518,ORDERS!$L$2:$L$4995,"Đã chuyển khoản"))</f>
        <v/>
      </c>
      <c r="X2518" s="23">
        <f>IF(OR($D2518="",$R2518="Trùng"),"",SUMIFS(ORDERS!$J$2:$J$4995,ORDERS!$C$2:$C$4995,$D2518,ORDERS!$L$2:$L$4995,"Đã chuyển khoản"))</f>
        <v/>
      </c>
      <c r="Y2518" s="24" t="n"/>
    </row>
    <row r="2519" ht="14.25" customHeight="1" s="40">
      <c r="A2519" s="24" t="n"/>
      <c r="B2519" s="27" t="n"/>
      <c r="C2519" s="24" t="n"/>
      <c r="D2519" s="28" t="n"/>
      <c r="E2519" s="29" t="n"/>
      <c r="F2519" s="24" t="n"/>
      <c r="G2519" s="24" t="n"/>
      <c r="H2519" s="21">
        <f>IF(ISNUMBER($B2519),INT($B2519)-WEEKDAY($B2519,2)+1,"")</f>
        <v/>
      </c>
      <c r="I2519" s="24" t="n"/>
      <c r="J2519" s="22">
        <f t="array" ref="J2519">IF($D2519="","",IF($I2519="","(trống REF)",IFERROR(INDEX(MASTER_SOURCE!$B$2:$B$495,MATCH($I2519,MASTER_SOURCE!$A$2:$A$495,0)),"(REF không có trong MASTER_SOURCE)")))</f>
        <v/>
      </c>
      <c r="K2519" s="22">
        <f t="array" ref="K2519">IF($D2519="","",IFERROR(INDEX(MASTER_SOURCE!$C$2:$C$495,MATCH($I2519,MASTER_SOURCE!$A$2:$A$495,0)),""))</f>
        <v/>
      </c>
      <c r="L2519" s="22">
        <f t="array" ref="L2519">IF($D2519="","",IFERROR(INDEX(MASTER_SOURCE!$D$2:$D$495,MATCH($I2519,MASTER_SOURCE!$A$2:$A$495,0)),""))</f>
        <v/>
      </c>
      <c r="M2519" s="24" t="n"/>
      <c r="N2519" s="24" t="n"/>
      <c r="O2519" s="24" t="n"/>
      <c r="P2519" s="24" t="n"/>
      <c r="Q2519" s="22">
        <f>IF($D2519="","",IF(AND(OR(DANH_MUC!$L$5&lt;&gt;"Có",M2519="Có"),OR(DANH_MUC!$L$6&lt;&gt;"Có",N2519="Có"),OR(DANH_MUC!$L$7&lt;&gt;"Có",O2519="Có"),OR(DANH_MUC!$L$8&lt;&gt;"Có",P2519="Có")),"Có","Không"))</f>
        <v/>
      </c>
      <c r="R2519" s="22">
        <f>IF($D2519="","",IF(COUNTIF($D$2:$D2519,$D2519)&gt;1,"Trùng",""))</f>
        <v/>
      </c>
      <c r="S2519" s="22">
        <f>IF($D2519="","",IF(AND(LEN($D2519)=10,LEFT($D2519,1)="0",ISNUMBER(--$D2519)),"Có","Không"))</f>
        <v/>
      </c>
      <c r="T2519" s="22">
        <f>IF($D2519="","",IF(AND($C2519&lt;&gt;"",$Q2519="Có",$R2519="",$S2519="Có",AND($L2519&lt;&gt;"",OR($L2519&lt;&gt;"Chưa xác định",DANH_MUC!$L$9="Có"))),"Có","Không"))</f>
        <v/>
      </c>
      <c r="U2519" s="22">
        <f>IF(OR($D2519="",$T2519="Có"),"",IF($C2519="","Thiếu họ tên; ","")&amp;IF($S2519&lt;&gt;"Có","SĐT sai định dạng; ","")&amp;IF($R2519="Trùng","Trùng SĐT; ","")&amp;IF($Q2519&lt;&gt;"Có","Thiếu đồng ý bắt buộc; ","")&amp;IF($L2519="","Thiếu/sai Mã REF; ",IF(AND($L2519="Chưa xác định",DANH_MUC!$L$9&lt;&gt;"Có"),"Nguồn chưa xác định; ","")))</f>
        <v/>
      </c>
      <c r="V2519" s="22">
        <f>IF(OR($D2519="",$R2519="Trùng"),"",IF(COUNTIF(ORDERS!$C$2:$C$4995,$D2519)&gt;0,"Có","Không"))</f>
        <v/>
      </c>
      <c r="W2519" s="22">
        <f>IF(OR($D2519="",$R2519="Trùng"),"",COUNTIFS(ORDERS!$C$2:$C$4995,$D2519,ORDERS!$L$2:$L$4995,"Đã chuyển khoản"))</f>
        <v/>
      </c>
      <c r="X2519" s="23">
        <f>IF(OR($D2519="",$R2519="Trùng"),"",SUMIFS(ORDERS!$J$2:$J$4995,ORDERS!$C$2:$C$4995,$D2519,ORDERS!$L$2:$L$4995,"Đã chuyển khoản"))</f>
        <v/>
      </c>
      <c r="Y2519" s="24" t="n"/>
    </row>
    <row r="2520" ht="14.25" customHeight="1" s="40">
      <c r="A2520" s="24" t="n"/>
      <c r="B2520" s="27" t="n"/>
      <c r="C2520" s="24" t="n"/>
      <c r="D2520" s="28" t="n"/>
      <c r="E2520" s="29" t="n"/>
      <c r="F2520" s="24" t="n"/>
      <c r="G2520" s="24" t="n"/>
      <c r="H2520" s="21">
        <f>IF(ISNUMBER($B2520),INT($B2520)-WEEKDAY($B2520,2)+1,"")</f>
        <v/>
      </c>
      <c r="I2520" s="24" t="n"/>
      <c r="J2520" s="22">
        <f t="array" ref="J2520">IF($D2520="","",IF($I2520="","(trống REF)",IFERROR(INDEX(MASTER_SOURCE!$B$2:$B$495,MATCH($I2520,MASTER_SOURCE!$A$2:$A$495,0)),"(REF không có trong MASTER_SOURCE)")))</f>
        <v/>
      </c>
      <c r="K2520" s="22">
        <f t="array" ref="K2520">IF($D2520="","",IFERROR(INDEX(MASTER_SOURCE!$C$2:$C$495,MATCH($I2520,MASTER_SOURCE!$A$2:$A$495,0)),""))</f>
        <v/>
      </c>
      <c r="L2520" s="22">
        <f t="array" ref="L2520">IF($D2520="","",IFERROR(INDEX(MASTER_SOURCE!$D$2:$D$495,MATCH($I2520,MASTER_SOURCE!$A$2:$A$495,0)),""))</f>
        <v/>
      </c>
      <c r="M2520" s="24" t="n"/>
      <c r="N2520" s="24" t="n"/>
      <c r="O2520" s="24" t="n"/>
      <c r="P2520" s="24" t="n"/>
      <c r="Q2520" s="22">
        <f>IF($D2520="","",IF(AND(OR(DANH_MUC!$L$5&lt;&gt;"Có",M2520="Có"),OR(DANH_MUC!$L$6&lt;&gt;"Có",N2520="Có"),OR(DANH_MUC!$L$7&lt;&gt;"Có",O2520="Có"),OR(DANH_MUC!$L$8&lt;&gt;"Có",P2520="Có")),"Có","Không"))</f>
        <v/>
      </c>
      <c r="R2520" s="22">
        <f>IF($D2520="","",IF(COUNTIF($D$2:$D2520,$D2520)&gt;1,"Trùng",""))</f>
        <v/>
      </c>
      <c r="S2520" s="22">
        <f>IF($D2520="","",IF(AND(LEN($D2520)=10,LEFT($D2520,1)="0",ISNUMBER(--$D2520)),"Có","Không"))</f>
        <v/>
      </c>
      <c r="T2520" s="22">
        <f>IF($D2520="","",IF(AND($C2520&lt;&gt;"",$Q2520="Có",$R2520="",$S2520="Có",AND($L2520&lt;&gt;"",OR($L2520&lt;&gt;"Chưa xác định",DANH_MUC!$L$9="Có"))),"Có","Không"))</f>
        <v/>
      </c>
      <c r="U2520" s="22">
        <f>IF(OR($D2520="",$T2520="Có"),"",IF($C2520="","Thiếu họ tên; ","")&amp;IF($S2520&lt;&gt;"Có","SĐT sai định dạng; ","")&amp;IF($R2520="Trùng","Trùng SĐT; ","")&amp;IF($Q2520&lt;&gt;"Có","Thiếu đồng ý bắt buộc; ","")&amp;IF($L2520="","Thiếu/sai Mã REF; ",IF(AND($L2520="Chưa xác định",DANH_MUC!$L$9&lt;&gt;"Có"),"Nguồn chưa xác định; ","")))</f>
        <v/>
      </c>
      <c r="V2520" s="22">
        <f>IF(OR($D2520="",$R2520="Trùng"),"",IF(COUNTIF(ORDERS!$C$2:$C$4995,$D2520)&gt;0,"Có","Không"))</f>
        <v/>
      </c>
      <c r="W2520" s="22">
        <f>IF(OR($D2520="",$R2520="Trùng"),"",COUNTIFS(ORDERS!$C$2:$C$4995,$D2520,ORDERS!$L$2:$L$4995,"Đã chuyển khoản"))</f>
        <v/>
      </c>
      <c r="X2520" s="23">
        <f>IF(OR($D2520="",$R2520="Trùng"),"",SUMIFS(ORDERS!$J$2:$J$4995,ORDERS!$C$2:$C$4995,$D2520,ORDERS!$L$2:$L$4995,"Đã chuyển khoản"))</f>
        <v/>
      </c>
      <c r="Y2520" s="24" t="n"/>
    </row>
    <row r="2521" ht="14.25" customHeight="1" s="40">
      <c r="A2521" s="24" t="n"/>
      <c r="B2521" s="27" t="n"/>
      <c r="C2521" s="24" t="n"/>
      <c r="D2521" s="28" t="n"/>
      <c r="E2521" s="29" t="n"/>
      <c r="F2521" s="24" t="n"/>
      <c r="G2521" s="24" t="n"/>
      <c r="H2521" s="21">
        <f>IF(ISNUMBER($B2521),INT($B2521)-WEEKDAY($B2521,2)+1,"")</f>
        <v/>
      </c>
      <c r="I2521" s="24" t="n"/>
      <c r="J2521" s="22">
        <f t="array" ref="J2521">IF($D2521="","",IF($I2521="","(trống REF)",IFERROR(INDEX(MASTER_SOURCE!$B$2:$B$495,MATCH($I2521,MASTER_SOURCE!$A$2:$A$495,0)),"(REF không có trong MASTER_SOURCE)")))</f>
        <v/>
      </c>
      <c r="K2521" s="22">
        <f t="array" ref="K2521">IF($D2521="","",IFERROR(INDEX(MASTER_SOURCE!$C$2:$C$495,MATCH($I2521,MASTER_SOURCE!$A$2:$A$495,0)),""))</f>
        <v/>
      </c>
      <c r="L2521" s="22">
        <f t="array" ref="L2521">IF($D2521="","",IFERROR(INDEX(MASTER_SOURCE!$D$2:$D$495,MATCH($I2521,MASTER_SOURCE!$A$2:$A$495,0)),""))</f>
        <v/>
      </c>
      <c r="M2521" s="24" t="n"/>
      <c r="N2521" s="24" t="n"/>
      <c r="O2521" s="24" t="n"/>
      <c r="P2521" s="24" t="n"/>
      <c r="Q2521" s="22">
        <f>IF($D2521="","",IF(AND(OR(DANH_MUC!$L$5&lt;&gt;"Có",M2521="Có"),OR(DANH_MUC!$L$6&lt;&gt;"Có",N2521="Có"),OR(DANH_MUC!$L$7&lt;&gt;"Có",O2521="Có"),OR(DANH_MUC!$L$8&lt;&gt;"Có",P2521="Có")),"Có","Không"))</f>
        <v/>
      </c>
      <c r="R2521" s="22">
        <f>IF($D2521="","",IF(COUNTIF($D$2:$D2521,$D2521)&gt;1,"Trùng",""))</f>
        <v/>
      </c>
      <c r="S2521" s="22">
        <f>IF($D2521="","",IF(AND(LEN($D2521)=10,LEFT($D2521,1)="0",ISNUMBER(--$D2521)),"Có","Không"))</f>
        <v/>
      </c>
      <c r="T2521" s="22">
        <f>IF($D2521="","",IF(AND($C2521&lt;&gt;"",$Q2521="Có",$R2521="",$S2521="Có",AND($L2521&lt;&gt;"",OR($L2521&lt;&gt;"Chưa xác định",DANH_MUC!$L$9="Có"))),"Có","Không"))</f>
        <v/>
      </c>
      <c r="U2521" s="22">
        <f>IF(OR($D2521="",$T2521="Có"),"",IF($C2521="","Thiếu họ tên; ","")&amp;IF($S2521&lt;&gt;"Có","SĐT sai định dạng; ","")&amp;IF($R2521="Trùng","Trùng SĐT; ","")&amp;IF($Q2521&lt;&gt;"Có","Thiếu đồng ý bắt buộc; ","")&amp;IF($L2521="","Thiếu/sai Mã REF; ",IF(AND($L2521="Chưa xác định",DANH_MUC!$L$9&lt;&gt;"Có"),"Nguồn chưa xác định; ","")))</f>
        <v/>
      </c>
      <c r="V2521" s="22">
        <f>IF(OR($D2521="",$R2521="Trùng"),"",IF(COUNTIF(ORDERS!$C$2:$C$4995,$D2521)&gt;0,"Có","Không"))</f>
        <v/>
      </c>
      <c r="W2521" s="22">
        <f>IF(OR($D2521="",$R2521="Trùng"),"",COUNTIFS(ORDERS!$C$2:$C$4995,$D2521,ORDERS!$L$2:$L$4995,"Đã chuyển khoản"))</f>
        <v/>
      </c>
      <c r="X2521" s="23">
        <f>IF(OR($D2521="",$R2521="Trùng"),"",SUMIFS(ORDERS!$J$2:$J$4995,ORDERS!$C$2:$C$4995,$D2521,ORDERS!$L$2:$L$4995,"Đã chuyển khoản"))</f>
        <v/>
      </c>
      <c r="Y2521" s="24" t="n"/>
    </row>
    <row r="2522" ht="14.25" customHeight="1" s="40">
      <c r="A2522" s="24" t="n"/>
      <c r="B2522" s="27" t="n"/>
      <c r="C2522" s="24" t="n"/>
      <c r="D2522" s="28" t="n"/>
      <c r="E2522" s="29" t="n"/>
      <c r="F2522" s="24" t="n"/>
      <c r="G2522" s="24" t="n"/>
      <c r="H2522" s="21">
        <f>IF(ISNUMBER($B2522),INT($B2522)-WEEKDAY($B2522,2)+1,"")</f>
        <v/>
      </c>
      <c r="I2522" s="24" t="n"/>
      <c r="J2522" s="22">
        <f t="array" ref="J2522">IF($D2522="","",IF($I2522="","(trống REF)",IFERROR(INDEX(MASTER_SOURCE!$B$2:$B$495,MATCH($I2522,MASTER_SOURCE!$A$2:$A$495,0)),"(REF không có trong MASTER_SOURCE)")))</f>
        <v/>
      </c>
      <c r="K2522" s="22">
        <f t="array" ref="K2522">IF($D2522="","",IFERROR(INDEX(MASTER_SOURCE!$C$2:$C$495,MATCH($I2522,MASTER_SOURCE!$A$2:$A$495,0)),""))</f>
        <v/>
      </c>
      <c r="L2522" s="22">
        <f t="array" ref="L2522">IF($D2522="","",IFERROR(INDEX(MASTER_SOURCE!$D$2:$D$495,MATCH($I2522,MASTER_SOURCE!$A$2:$A$495,0)),""))</f>
        <v/>
      </c>
      <c r="M2522" s="24" t="n"/>
      <c r="N2522" s="24" t="n"/>
      <c r="O2522" s="24" t="n"/>
      <c r="P2522" s="24" t="n"/>
      <c r="Q2522" s="22">
        <f>IF($D2522="","",IF(AND(OR(DANH_MUC!$L$5&lt;&gt;"Có",M2522="Có"),OR(DANH_MUC!$L$6&lt;&gt;"Có",N2522="Có"),OR(DANH_MUC!$L$7&lt;&gt;"Có",O2522="Có"),OR(DANH_MUC!$L$8&lt;&gt;"Có",P2522="Có")),"Có","Không"))</f>
        <v/>
      </c>
      <c r="R2522" s="22">
        <f>IF($D2522="","",IF(COUNTIF($D$2:$D2522,$D2522)&gt;1,"Trùng",""))</f>
        <v/>
      </c>
      <c r="S2522" s="22">
        <f>IF($D2522="","",IF(AND(LEN($D2522)=10,LEFT($D2522,1)="0",ISNUMBER(--$D2522)),"Có","Không"))</f>
        <v/>
      </c>
      <c r="T2522" s="22">
        <f>IF($D2522="","",IF(AND($C2522&lt;&gt;"",$Q2522="Có",$R2522="",$S2522="Có",AND($L2522&lt;&gt;"",OR($L2522&lt;&gt;"Chưa xác định",DANH_MUC!$L$9="Có"))),"Có","Không"))</f>
        <v/>
      </c>
      <c r="U2522" s="22">
        <f>IF(OR($D2522="",$T2522="Có"),"",IF($C2522="","Thiếu họ tên; ","")&amp;IF($S2522&lt;&gt;"Có","SĐT sai định dạng; ","")&amp;IF($R2522="Trùng","Trùng SĐT; ","")&amp;IF($Q2522&lt;&gt;"Có","Thiếu đồng ý bắt buộc; ","")&amp;IF($L2522="","Thiếu/sai Mã REF; ",IF(AND($L2522="Chưa xác định",DANH_MUC!$L$9&lt;&gt;"Có"),"Nguồn chưa xác định; ","")))</f>
        <v/>
      </c>
      <c r="V2522" s="22">
        <f>IF(OR($D2522="",$R2522="Trùng"),"",IF(COUNTIF(ORDERS!$C$2:$C$4995,$D2522)&gt;0,"Có","Không"))</f>
        <v/>
      </c>
      <c r="W2522" s="22">
        <f>IF(OR($D2522="",$R2522="Trùng"),"",COUNTIFS(ORDERS!$C$2:$C$4995,$D2522,ORDERS!$L$2:$L$4995,"Đã chuyển khoản"))</f>
        <v/>
      </c>
      <c r="X2522" s="23">
        <f>IF(OR($D2522="",$R2522="Trùng"),"",SUMIFS(ORDERS!$J$2:$J$4995,ORDERS!$C$2:$C$4995,$D2522,ORDERS!$L$2:$L$4995,"Đã chuyển khoản"))</f>
        <v/>
      </c>
      <c r="Y2522" s="24" t="n"/>
    </row>
    <row r="2523" ht="14.25" customHeight="1" s="40">
      <c r="A2523" s="24" t="n"/>
      <c r="B2523" s="27" t="n"/>
      <c r="C2523" s="24" t="n"/>
      <c r="D2523" s="28" t="n"/>
      <c r="E2523" s="29" t="n"/>
      <c r="F2523" s="24" t="n"/>
      <c r="G2523" s="24" t="n"/>
      <c r="H2523" s="21">
        <f>IF(ISNUMBER($B2523),INT($B2523)-WEEKDAY($B2523,2)+1,"")</f>
        <v/>
      </c>
      <c r="I2523" s="24" t="n"/>
      <c r="J2523" s="22">
        <f t="array" ref="J2523">IF($D2523="","",IF($I2523="","(trống REF)",IFERROR(INDEX(MASTER_SOURCE!$B$2:$B$495,MATCH($I2523,MASTER_SOURCE!$A$2:$A$495,0)),"(REF không có trong MASTER_SOURCE)")))</f>
        <v/>
      </c>
      <c r="K2523" s="22">
        <f t="array" ref="K2523">IF($D2523="","",IFERROR(INDEX(MASTER_SOURCE!$C$2:$C$495,MATCH($I2523,MASTER_SOURCE!$A$2:$A$495,0)),""))</f>
        <v/>
      </c>
      <c r="L2523" s="22">
        <f t="array" ref="L2523">IF($D2523="","",IFERROR(INDEX(MASTER_SOURCE!$D$2:$D$495,MATCH($I2523,MASTER_SOURCE!$A$2:$A$495,0)),""))</f>
        <v/>
      </c>
      <c r="M2523" s="24" t="n"/>
      <c r="N2523" s="24" t="n"/>
      <c r="O2523" s="24" t="n"/>
      <c r="P2523" s="24" t="n"/>
      <c r="Q2523" s="22">
        <f>IF($D2523="","",IF(AND(OR(DANH_MUC!$L$5&lt;&gt;"Có",M2523="Có"),OR(DANH_MUC!$L$6&lt;&gt;"Có",N2523="Có"),OR(DANH_MUC!$L$7&lt;&gt;"Có",O2523="Có"),OR(DANH_MUC!$L$8&lt;&gt;"Có",P2523="Có")),"Có","Không"))</f>
        <v/>
      </c>
      <c r="R2523" s="22">
        <f>IF($D2523="","",IF(COUNTIF($D$2:$D2523,$D2523)&gt;1,"Trùng",""))</f>
        <v/>
      </c>
      <c r="S2523" s="22">
        <f>IF($D2523="","",IF(AND(LEN($D2523)=10,LEFT($D2523,1)="0",ISNUMBER(--$D2523)),"Có","Không"))</f>
        <v/>
      </c>
      <c r="T2523" s="22">
        <f>IF($D2523="","",IF(AND($C2523&lt;&gt;"",$Q2523="Có",$R2523="",$S2523="Có",AND($L2523&lt;&gt;"",OR($L2523&lt;&gt;"Chưa xác định",DANH_MUC!$L$9="Có"))),"Có","Không"))</f>
        <v/>
      </c>
      <c r="U2523" s="22">
        <f>IF(OR($D2523="",$T2523="Có"),"",IF($C2523="","Thiếu họ tên; ","")&amp;IF($S2523&lt;&gt;"Có","SĐT sai định dạng; ","")&amp;IF($R2523="Trùng","Trùng SĐT; ","")&amp;IF($Q2523&lt;&gt;"Có","Thiếu đồng ý bắt buộc; ","")&amp;IF($L2523="","Thiếu/sai Mã REF; ",IF(AND($L2523="Chưa xác định",DANH_MUC!$L$9&lt;&gt;"Có"),"Nguồn chưa xác định; ","")))</f>
        <v/>
      </c>
      <c r="V2523" s="22">
        <f>IF(OR($D2523="",$R2523="Trùng"),"",IF(COUNTIF(ORDERS!$C$2:$C$4995,$D2523)&gt;0,"Có","Không"))</f>
        <v/>
      </c>
      <c r="W2523" s="22">
        <f>IF(OR($D2523="",$R2523="Trùng"),"",COUNTIFS(ORDERS!$C$2:$C$4995,$D2523,ORDERS!$L$2:$L$4995,"Đã chuyển khoản"))</f>
        <v/>
      </c>
      <c r="X2523" s="23">
        <f>IF(OR($D2523="",$R2523="Trùng"),"",SUMIFS(ORDERS!$J$2:$J$4995,ORDERS!$C$2:$C$4995,$D2523,ORDERS!$L$2:$L$4995,"Đã chuyển khoản"))</f>
        <v/>
      </c>
      <c r="Y2523" s="24" t="n"/>
    </row>
    <row r="2524" ht="14.25" customHeight="1" s="40">
      <c r="A2524" s="24" t="n"/>
      <c r="B2524" s="27" t="n"/>
      <c r="C2524" s="24" t="n"/>
      <c r="D2524" s="28" t="n"/>
      <c r="E2524" s="29" t="n"/>
      <c r="F2524" s="24" t="n"/>
      <c r="G2524" s="24" t="n"/>
      <c r="H2524" s="21">
        <f>IF(ISNUMBER($B2524),INT($B2524)-WEEKDAY($B2524,2)+1,"")</f>
        <v/>
      </c>
      <c r="I2524" s="24" t="n"/>
      <c r="J2524" s="22">
        <f t="array" ref="J2524">IF($D2524="","",IF($I2524="","(trống REF)",IFERROR(INDEX(MASTER_SOURCE!$B$2:$B$495,MATCH($I2524,MASTER_SOURCE!$A$2:$A$495,0)),"(REF không có trong MASTER_SOURCE)")))</f>
        <v/>
      </c>
      <c r="K2524" s="22">
        <f t="array" ref="K2524">IF($D2524="","",IFERROR(INDEX(MASTER_SOURCE!$C$2:$C$495,MATCH($I2524,MASTER_SOURCE!$A$2:$A$495,0)),""))</f>
        <v/>
      </c>
      <c r="L2524" s="22">
        <f t="array" ref="L2524">IF($D2524="","",IFERROR(INDEX(MASTER_SOURCE!$D$2:$D$495,MATCH($I2524,MASTER_SOURCE!$A$2:$A$495,0)),""))</f>
        <v/>
      </c>
      <c r="M2524" s="24" t="n"/>
      <c r="N2524" s="24" t="n"/>
      <c r="O2524" s="24" t="n"/>
      <c r="P2524" s="24" t="n"/>
      <c r="Q2524" s="22">
        <f>IF($D2524="","",IF(AND(OR(DANH_MUC!$L$5&lt;&gt;"Có",M2524="Có"),OR(DANH_MUC!$L$6&lt;&gt;"Có",N2524="Có"),OR(DANH_MUC!$L$7&lt;&gt;"Có",O2524="Có"),OR(DANH_MUC!$L$8&lt;&gt;"Có",P2524="Có")),"Có","Không"))</f>
        <v/>
      </c>
      <c r="R2524" s="22">
        <f>IF($D2524="","",IF(COUNTIF($D$2:$D2524,$D2524)&gt;1,"Trùng",""))</f>
        <v/>
      </c>
      <c r="S2524" s="22">
        <f>IF($D2524="","",IF(AND(LEN($D2524)=10,LEFT($D2524,1)="0",ISNUMBER(--$D2524)),"Có","Không"))</f>
        <v/>
      </c>
      <c r="T2524" s="22">
        <f>IF($D2524="","",IF(AND($C2524&lt;&gt;"",$Q2524="Có",$R2524="",$S2524="Có",AND($L2524&lt;&gt;"",OR($L2524&lt;&gt;"Chưa xác định",DANH_MUC!$L$9="Có"))),"Có","Không"))</f>
        <v/>
      </c>
      <c r="U2524" s="22">
        <f>IF(OR($D2524="",$T2524="Có"),"",IF($C2524="","Thiếu họ tên; ","")&amp;IF($S2524&lt;&gt;"Có","SĐT sai định dạng; ","")&amp;IF($R2524="Trùng","Trùng SĐT; ","")&amp;IF($Q2524&lt;&gt;"Có","Thiếu đồng ý bắt buộc; ","")&amp;IF($L2524="","Thiếu/sai Mã REF; ",IF(AND($L2524="Chưa xác định",DANH_MUC!$L$9&lt;&gt;"Có"),"Nguồn chưa xác định; ","")))</f>
        <v/>
      </c>
      <c r="V2524" s="22">
        <f>IF(OR($D2524="",$R2524="Trùng"),"",IF(COUNTIF(ORDERS!$C$2:$C$4995,$D2524)&gt;0,"Có","Không"))</f>
        <v/>
      </c>
      <c r="W2524" s="22">
        <f>IF(OR($D2524="",$R2524="Trùng"),"",COUNTIFS(ORDERS!$C$2:$C$4995,$D2524,ORDERS!$L$2:$L$4995,"Đã chuyển khoản"))</f>
        <v/>
      </c>
      <c r="X2524" s="23">
        <f>IF(OR($D2524="",$R2524="Trùng"),"",SUMIFS(ORDERS!$J$2:$J$4995,ORDERS!$C$2:$C$4995,$D2524,ORDERS!$L$2:$L$4995,"Đã chuyển khoản"))</f>
        <v/>
      </c>
      <c r="Y2524" s="24" t="n"/>
    </row>
    <row r="2525" ht="14.25" customHeight="1" s="40">
      <c r="A2525" s="24" t="n"/>
      <c r="B2525" s="27" t="n"/>
      <c r="C2525" s="24" t="n"/>
      <c r="D2525" s="28" t="n"/>
      <c r="E2525" s="29" t="n"/>
      <c r="F2525" s="24" t="n"/>
      <c r="G2525" s="24" t="n"/>
      <c r="H2525" s="21">
        <f>IF(ISNUMBER($B2525),INT($B2525)-WEEKDAY($B2525,2)+1,"")</f>
        <v/>
      </c>
      <c r="I2525" s="24" t="n"/>
      <c r="J2525" s="22">
        <f t="array" ref="J2525">IF($D2525="","",IF($I2525="","(trống REF)",IFERROR(INDEX(MASTER_SOURCE!$B$2:$B$495,MATCH($I2525,MASTER_SOURCE!$A$2:$A$495,0)),"(REF không có trong MASTER_SOURCE)")))</f>
        <v/>
      </c>
      <c r="K2525" s="22">
        <f t="array" ref="K2525">IF($D2525="","",IFERROR(INDEX(MASTER_SOURCE!$C$2:$C$495,MATCH($I2525,MASTER_SOURCE!$A$2:$A$495,0)),""))</f>
        <v/>
      </c>
      <c r="L2525" s="22">
        <f t="array" ref="L2525">IF($D2525="","",IFERROR(INDEX(MASTER_SOURCE!$D$2:$D$495,MATCH($I2525,MASTER_SOURCE!$A$2:$A$495,0)),""))</f>
        <v/>
      </c>
      <c r="M2525" s="24" t="n"/>
      <c r="N2525" s="24" t="n"/>
      <c r="O2525" s="24" t="n"/>
      <c r="P2525" s="24" t="n"/>
      <c r="Q2525" s="22">
        <f>IF($D2525="","",IF(AND(OR(DANH_MUC!$L$5&lt;&gt;"Có",M2525="Có"),OR(DANH_MUC!$L$6&lt;&gt;"Có",N2525="Có"),OR(DANH_MUC!$L$7&lt;&gt;"Có",O2525="Có"),OR(DANH_MUC!$L$8&lt;&gt;"Có",P2525="Có")),"Có","Không"))</f>
        <v/>
      </c>
      <c r="R2525" s="22">
        <f>IF($D2525="","",IF(COUNTIF($D$2:$D2525,$D2525)&gt;1,"Trùng",""))</f>
        <v/>
      </c>
      <c r="S2525" s="22">
        <f>IF($D2525="","",IF(AND(LEN($D2525)=10,LEFT($D2525,1)="0",ISNUMBER(--$D2525)),"Có","Không"))</f>
        <v/>
      </c>
      <c r="T2525" s="22">
        <f>IF($D2525="","",IF(AND($C2525&lt;&gt;"",$Q2525="Có",$R2525="",$S2525="Có",AND($L2525&lt;&gt;"",OR($L2525&lt;&gt;"Chưa xác định",DANH_MUC!$L$9="Có"))),"Có","Không"))</f>
        <v/>
      </c>
      <c r="U2525" s="22">
        <f>IF(OR($D2525="",$T2525="Có"),"",IF($C2525="","Thiếu họ tên; ","")&amp;IF($S2525&lt;&gt;"Có","SĐT sai định dạng; ","")&amp;IF($R2525="Trùng","Trùng SĐT; ","")&amp;IF($Q2525&lt;&gt;"Có","Thiếu đồng ý bắt buộc; ","")&amp;IF($L2525="","Thiếu/sai Mã REF; ",IF(AND($L2525="Chưa xác định",DANH_MUC!$L$9&lt;&gt;"Có"),"Nguồn chưa xác định; ","")))</f>
        <v/>
      </c>
      <c r="V2525" s="22">
        <f>IF(OR($D2525="",$R2525="Trùng"),"",IF(COUNTIF(ORDERS!$C$2:$C$4995,$D2525)&gt;0,"Có","Không"))</f>
        <v/>
      </c>
      <c r="W2525" s="22">
        <f>IF(OR($D2525="",$R2525="Trùng"),"",COUNTIFS(ORDERS!$C$2:$C$4995,$D2525,ORDERS!$L$2:$L$4995,"Đã chuyển khoản"))</f>
        <v/>
      </c>
      <c r="X2525" s="23">
        <f>IF(OR($D2525="",$R2525="Trùng"),"",SUMIFS(ORDERS!$J$2:$J$4995,ORDERS!$C$2:$C$4995,$D2525,ORDERS!$L$2:$L$4995,"Đã chuyển khoản"))</f>
        <v/>
      </c>
      <c r="Y2525" s="24" t="n"/>
    </row>
    <row r="2526" ht="14.25" customHeight="1" s="40">
      <c r="A2526" s="24" t="n"/>
      <c r="B2526" s="27" t="n"/>
      <c r="C2526" s="24" t="n"/>
      <c r="D2526" s="28" t="n"/>
      <c r="E2526" s="29" t="n"/>
      <c r="F2526" s="24" t="n"/>
      <c r="G2526" s="24" t="n"/>
      <c r="H2526" s="21">
        <f>IF(ISNUMBER($B2526),INT($B2526)-WEEKDAY($B2526,2)+1,"")</f>
        <v/>
      </c>
      <c r="I2526" s="24" t="n"/>
      <c r="J2526" s="22">
        <f t="array" ref="J2526">IF($D2526="","",IF($I2526="","(trống REF)",IFERROR(INDEX(MASTER_SOURCE!$B$2:$B$495,MATCH($I2526,MASTER_SOURCE!$A$2:$A$495,0)),"(REF không có trong MASTER_SOURCE)")))</f>
        <v/>
      </c>
      <c r="K2526" s="22">
        <f t="array" ref="K2526">IF($D2526="","",IFERROR(INDEX(MASTER_SOURCE!$C$2:$C$495,MATCH($I2526,MASTER_SOURCE!$A$2:$A$495,0)),""))</f>
        <v/>
      </c>
      <c r="L2526" s="22">
        <f t="array" ref="L2526">IF($D2526="","",IFERROR(INDEX(MASTER_SOURCE!$D$2:$D$495,MATCH($I2526,MASTER_SOURCE!$A$2:$A$495,0)),""))</f>
        <v/>
      </c>
      <c r="M2526" s="24" t="n"/>
      <c r="N2526" s="24" t="n"/>
      <c r="O2526" s="24" t="n"/>
      <c r="P2526" s="24" t="n"/>
      <c r="Q2526" s="22">
        <f>IF($D2526="","",IF(AND(OR(DANH_MUC!$L$5&lt;&gt;"Có",M2526="Có"),OR(DANH_MUC!$L$6&lt;&gt;"Có",N2526="Có"),OR(DANH_MUC!$L$7&lt;&gt;"Có",O2526="Có"),OR(DANH_MUC!$L$8&lt;&gt;"Có",P2526="Có")),"Có","Không"))</f>
        <v/>
      </c>
      <c r="R2526" s="22">
        <f>IF($D2526="","",IF(COUNTIF($D$2:$D2526,$D2526)&gt;1,"Trùng",""))</f>
        <v/>
      </c>
      <c r="S2526" s="22">
        <f>IF($D2526="","",IF(AND(LEN($D2526)=10,LEFT($D2526,1)="0",ISNUMBER(--$D2526)),"Có","Không"))</f>
        <v/>
      </c>
      <c r="T2526" s="22">
        <f>IF($D2526="","",IF(AND($C2526&lt;&gt;"",$Q2526="Có",$R2526="",$S2526="Có",AND($L2526&lt;&gt;"",OR($L2526&lt;&gt;"Chưa xác định",DANH_MUC!$L$9="Có"))),"Có","Không"))</f>
        <v/>
      </c>
      <c r="U2526" s="22">
        <f>IF(OR($D2526="",$T2526="Có"),"",IF($C2526="","Thiếu họ tên; ","")&amp;IF($S2526&lt;&gt;"Có","SĐT sai định dạng; ","")&amp;IF($R2526="Trùng","Trùng SĐT; ","")&amp;IF($Q2526&lt;&gt;"Có","Thiếu đồng ý bắt buộc; ","")&amp;IF($L2526="","Thiếu/sai Mã REF; ",IF(AND($L2526="Chưa xác định",DANH_MUC!$L$9&lt;&gt;"Có"),"Nguồn chưa xác định; ","")))</f>
        <v/>
      </c>
      <c r="V2526" s="22">
        <f>IF(OR($D2526="",$R2526="Trùng"),"",IF(COUNTIF(ORDERS!$C$2:$C$4995,$D2526)&gt;0,"Có","Không"))</f>
        <v/>
      </c>
      <c r="W2526" s="22">
        <f>IF(OR($D2526="",$R2526="Trùng"),"",COUNTIFS(ORDERS!$C$2:$C$4995,$D2526,ORDERS!$L$2:$L$4995,"Đã chuyển khoản"))</f>
        <v/>
      </c>
      <c r="X2526" s="23">
        <f>IF(OR($D2526="",$R2526="Trùng"),"",SUMIFS(ORDERS!$J$2:$J$4995,ORDERS!$C$2:$C$4995,$D2526,ORDERS!$L$2:$L$4995,"Đã chuyển khoản"))</f>
        <v/>
      </c>
      <c r="Y2526" s="24" t="n"/>
    </row>
    <row r="2527" ht="14.25" customHeight="1" s="40">
      <c r="A2527" s="24" t="n"/>
      <c r="B2527" s="27" t="n"/>
      <c r="C2527" s="24" t="n"/>
      <c r="D2527" s="28" t="n"/>
      <c r="E2527" s="29" t="n"/>
      <c r="F2527" s="24" t="n"/>
      <c r="G2527" s="24" t="n"/>
      <c r="H2527" s="21">
        <f>IF(ISNUMBER($B2527),INT($B2527)-WEEKDAY($B2527,2)+1,"")</f>
        <v/>
      </c>
      <c r="I2527" s="24" t="n"/>
      <c r="J2527" s="22">
        <f t="array" ref="J2527">IF($D2527="","",IF($I2527="","(trống REF)",IFERROR(INDEX(MASTER_SOURCE!$B$2:$B$495,MATCH($I2527,MASTER_SOURCE!$A$2:$A$495,0)),"(REF không có trong MASTER_SOURCE)")))</f>
        <v/>
      </c>
      <c r="K2527" s="22">
        <f t="array" ref="K2527">IF($D2527="","",IFERROR(INDEX(MASTER_SOURCE!$C$2:$C$495,MATCH($I2527,MASTER_SOURCE!$A$2:$A$495,0)),""))</f>
        <v/>
      </c>
      <c r="L2527" s="22">
        <f t="array" ref="L2527">IF($D2527="","",IFERROR(INDEX(MASTER_SOURCE!$D$2:$D$495,MATCH($I2527,MASTER_SOURCE!$A$2:$A$495,0)),""))</f>
        <v/>
      </c>
      <c r="M2527" s="24" t="n"/>
      <c r="N2527" s="24" t="n"/>
      <c r="O2527" s="24" t="n"/>
      <c r="P2527" s="24" t="n"/>
      <c r="Q2527" s="22">
        <f>IF($D2527="","",IF(AND(OR(DANH_MUC!$L$5&lt;&gt;"Có",M2527="Có"),OR(DANH_MUC!$L$6&lt;&gt;"Có",N2527="Có"),OR(DANH_MUC!$L$7&lt;&gt;"Có",O2527="Có"),OR(DANH_MUC!$L$8&lt;&gt;"Có",P2527="Có")),"Có","Không"))</f>
        <v/>
      </c>
      <c r="R2527" s="22">
        <f>IF($D2527="","",IF(COUNTIF($D$2:$D2527,$D2527)&gt;1,"Trùng",""))</f>
        <v/>
      </c>
      <c r="S2527" s="22">
        <f>IF($D2527="","",IF(AND(LEN($D2527)=10,LEFT($D2527,1)="0",ISNUMBER(--$D2527)),"Có","Không"))</f>
        <v/>
      </c>
      <c r="T2527" s="22">
        <f>IF($D2527="","",IF(AND($C2527&lt;&gt;"",$Q2527="Có",$R2527="",$S2527="Có",AND($L2527&lt;&gt;"",OR($L2527&lt;&gt;"Chưa xác định",DANH_MUC!$L$9="Có"))),"Có","Không"))</f>
        <v/>
      </c>
      <c r="U2527" s="22">
        <f>IF(OR($D2527="",$T2527="Có"),"",IF($C2527="","Thiếu họ tên; ","")&amp;IF($S2527&lt;&gt;"Có","SĐT sai định dạng; ","")&amp;IF($R2527="Trùng","Trùng SĐT; ","")&amp;IF($Q2527&lt;&gt;"Có","Thiếu đồng ý bắt buộc; ","")&amp;IF($L2527="","Thiếu/sai Mã REF; ",IF(AND($L2527="Chưa xác định",DANH_MUC!$L$9&lt;&gt;"Có"),"Nguồn chưa xác định; ","")))</f>
        <v/>
      </c>
      <c r="V2527" s="22">
        <f>IF(OR($D2527="",$R2527="Trùng"),"",IF(COUNTIF(ORDERS!$C$2:$C$4995,$D2527)&gt;0,"Có","Không"))</f>
        <v/>
      </c>
      <c r="W2527" s="22">
        <f>IF(OR($D2527="",$R2527="Trùng"),"",COUNTIFS(ORDERS!$C$2:$C$4995,$D2527,ORDERS!$L$2:$L$4995,"Đã chuyển khoản"))</f>
        <v/>
      </c>
      <c r="X2527" s="23">
        <f>IF(OR($D2527="",$R2527="Trùng"),"",SUMIFS(ORDERS!$J$2:$J$4995,ORDERS!$C$2:$C$4995,$D2527,ORDERS!$L$2:$L$4995,"Đã chuyển khoản"))</f>
        <v/>
      </c>
      <c r="Y2527" s="24" t="n"/>
    </row>
    <row r="2528" ht="14.25" customHeight="1" s="40">
      <c r="A2528" s="24" t="n"/>
      <c r="B2528" s="27" t="n"/>
      <c r="C2528" s="24" t="n"/>
      <c r="D2528" s="28" t="n"/>
      <c r="E2528" s="29" t="n"/>
      <c r="F2528" s="24" t="n"/>
      <c r="G2528" s="24" t="n"/>
      <c r="H2528" s="21">
        <f>IF(ISNUMBER($B2528),INT($B2528)-WEEKDAY($B2528,2)+1,"")</f>
        <v/>
      </c>
      <c r="I2528" s="24" t="n"/>
      <c r="J2528" s="22">
        <f t="array" ref="J2528">IF($D2528="","",IF($I2528="","(trống REF)",IFERROR(INDEX(MASTER_SOURCE!$B$2:$B$495,MATCH($I2528,MASTER_SOURCE!$A$2:$A$495,0)),"(REF không có trong MASTER_SOURCE)")))</f>
        <v/>
      </c>
      <c r="K2528" s="22">
        <f t="array" ref="K2528">IF($D2528="","",IFERROR(INDEX(MASTER_SOURCE!$C$2:$C$495,MATCH($I2528,MASTER_SOURCE!$A$2:$A$495,0)),""))</f>
        <v/>
      </c>
      <c r="L2528" s="22">
        <f t="array" ref="L2528">IF($D2528="","",IFERROR(INDEX(MASTER_SOURCE!$D$2:$D$495,MATCH($I2528,MASTER_SOURCE!$A$2:$A$495,0)),""))</f>
        <v/>
      </c>
      <c r="M2528" s="24" t="n"/>
      <c r="N2528" s="24" t="n"/>
      <c r="O2528" s="24" t="n"/>
      <c r="P2528" s="24" t="n"/>
      <c r="Q2528" s="22">
        <f>IF($D2528="","",IF(AND(OR(DANH_MUC!$L$5&lt;&gt;"Có",M2528="Có"),OR(DANH_MUC!$L$6&lt;&gt;"Có",N2528="Có"),OR(DANH_MUC!$L$7&lt;&gt;"Có",O2528="Có"),OR(DANH_MUC!$L$8&lt;&gt;"Có",P2528="Có")),"Có","Không"))</f>
        <v/>
      </c>
      <c r="R2528" s="22">
        <f>IF($D2528="","",IF(COUNTIF($D$2:$D2528,$D2528)&gt;1,"Trùng",""))</f>
        <v/>
      </c>
      <c r="S2528" s="22">
        <f>IF($D2528="","",IF(AND(LEN($D2528)=10,LEFT($D2528,1)="0",ISNUMBER(--$D2528)),"Có","Không"))</f>
        <v/>
      </c>
      <c r="T2528" s="22">
        <f>IF($D2528="","",IF(AND($C2528&lt;&gt;"",$Q2528="Có",$R2528="",$S2528="Có",AND($L2528&lt;&gt;"",OR($L2528&lt;&gt;"Chưa xác định",DANH_MUC!$L$9="Có"))),"Có","Không"))</f>
        <v/>
      </c>
      <c r="U2528" s="22">
        <f>IF(OR($D2528="",$T2528="Có"),"",IF($C2528="","Thiếu họ tên; ","")&amp;IF($S2528&lt;&gt;"Có","SĐT sai định dạng; ","")&amp;IF($R2528="Trùng","Trùng SĐT; ","")&amp;IF($Q2528&lt;&gt;"Có","Thiếu đồng ý bắt buộc; ","")&amp;IF($L2528="","Thiếu/sai Mã REF; ",IF(AND($L2528="Chưa xác định",DANH_MUC!$L$9&lt;&gt;"Có"),"Nguồn chưa xác định; ","")))</f>
        <v/>
      </c>
      <c r="V2528" s="22">
        <f>IF(OR($D2528="",$R2528="Trùng"),"",IF(COUNTIF(ORDERS!$C$2:$C$4995,$D2528)&gt;0,"Có","Không"))</f>
        <v/>
      </c>
      <c r="W2528" s="22">
        <f>IF(OR($D2528="",$R2528="Trùng"),"",COUNTIFS(ORDERS!$C$2:$C$4995,$D2528,ORDERS!$L$2:$L$4995,"Đã chuyển khoản"))</f>
        <v/>
      </c>
      <c r="X2528" s="23">
        <f>IF(OR($D2528="",$R2528="Trùng"),"",SUMIFS(ORDERS!$J$2:$J$4995,ORDERS!$C$2:$C$4995,$D2528,ORDERS!$L$2:$L$4995,"Đã chuyển khoản"))</f>
        <v/>
      </c>
      <c r="Y2528" s="24" t="n"/>
    </row>
    <row r="2529" ht="14.25" customHeight="1" s="40">
      <c r="A2529" s="24" t="n"/>
      <c r="B2529" s="27" t="n"/>
      <c r="C2529" s="24" t="n"/>
      <c r="D2529" s="28" t="n"/>
      <c r="E2529" s="29" t="n"/>
      <c r="F2529" s="24" t="n"/>
      <c r="G2529" s="24" t="n"/>
      <c r="H2529" s="21">
        <f>IF(ISNUMBER($B2529),INT($B2529)-WEEKDAY($B2529,2)+1,"")</f>
        <v/>
      </c>
      <c r="I2529" s="24" t="n"/>
      <c r="J2529" s="22">
        <f t="array" ref="J2529">IF($D2529="","",IF($I2529="","(trống REF)",IFERROR(INDEX(MASTER_SOURCE!$B$2:$B$495,MATCH($I2529,MASTER_SOURCE!$A$2:$A$495,0)),"(REF không có trong MASTER_SOURCE)")))</f>
        <v/>
      </c>
      <c r="K2529" s="22">
        <f t="array" ref="K2529">IF($D2529="","",IFERROR(INDEX(MASTER_SOURCE!$C$2:$C$495,MATCH($I2529,MASTER_SOURCE!$A$2:$A$495,0)),""))</f>
        <v/>
      </c>
      <c r="L2529" s="22">
        <f t="array" ref="L2529">IF($D2529="","",IFERROR(INDEX(MASTER_SOURCE!$D$2:$D$495,MATCH($I2529,MASTER_SOURCE!$A$2:$A$495,0)),""))</f>
        <v/>
      </c>
      <c r="M2529" s="24" t="n"/>
      <c r="N2529" s="24" t="n"/>
      <c r="O2529" s="24" t="n"/>
      <c r="P2529" s="24" t="n"/>
      <c r="Q2529" s="22">
        <f>IF($D2529="","",IF(AND(OR(DANH_MUC!$L$5&lt;&gt;"Có",M2529="Có"),OR(DANH_MUC!$L$6&lt;&gt;"Có",N2529="Có"),OR(DANH_MUC!$L$7&lt;&gt;"Có",O2529="Có"),OR(DANH_MUC!$L$8&lt;&gt;"Có",P2529="Có")),"Có","Không"))</f>
        <v/>
      </c>
      <c r="R2529" s="22">
        <f>IF($D2529="","",IF(COUNTIF($D$2:$D2529,$D2529)&gt;1,"Trùng",""))</f>
        <v/>
      </c>
      <c r="S2529" s="22">
        <f>IF($D2529="","",IF(AND(LEN($D2529)=10,LEFT($D2529,1)="0",ISNUMBER(--$D2529)),"Có","Không"))</f>
        <v/>
      </c>
      <c r="T2529" s="22">
        <f>IF($D2529="","",IF(AND($C2529&lt;&gt;"",$Q2529="Có",$R2529="",$S2529="Có",AND($L2529&lt;&gt;"",OR($L2529&lt;&gt;"Chưa xác định",DANH_MUC!$L$9="Có"))),"Có","Không"))</f>
        <v/>
      </c>
      <c r="U2529" s="22">
        <f>IF(OR($D2529="",$T2529="Có"),"",IF($C2529="","Thiếu họ tên; ","")&amp;IF($S2529&lt;&gt;"Có","SĐT sai định dạng; ","")&amp;IF($R2529="Trùng","Trùng SĐT; ","")&amp;IF($Q2529&lt;&gt;"Có","Thiếu đồng ý bắt buộc; ","")&amp;IF($L2529="","Thiếu/sai Mã REF; ",IF(AND($L2529="Chưa xác định",DANH_MUC!$L$9&lt;&gt;"Có"),"Nguồn chưa xác định; ","")))</f>
        <v/>
      </c>
      <c r="V2529" s="22">
        <f>IF(OR($D2529="",$R2529="Trùng"),"",IF(COUNTIF(ORDERS!$C$2:$C$4995,$D2529)&gt;0,"Có","Không"))</f>
        <v/>
      </c>
      <c r="W2529" s="22">
        <f>IF(OR($D2529="",$R2529="Trùng"),"",COUNTIFS(ORDERS!$C$2:$C$4995,$D2529,ORDERS!$L$2:$L$4995,"Đã chuyển khoản"))</f>
        <v/>
      </c>
      <c r="X2529" s="23">
        <f>IF(OR($D2529="",$R2529="Trùng"),"",SUMIFS(ORDERS!$J$2:$J$4995,ORDERS!$C$2:$C$4995,$D2529,ORDERS!$L$2:$L$4995,"Đã chuyển khoản"))</f>
        <v/>
      </c>
      <c r="Y2529" s="24" t="n"/>
    </row>
    <row r="2530" ht="14.25" customHeight="1" s="40">
      <c r="A2530" s="24" t="n"/>
      <c r="B2530" s="27" t="n"/>
      <c r="C2530" s="24" t="n"/>
      <c r="D2530" s="28" t="n"/>
      <c r="E2530" s="29" t="n"/>
      <c r="F2530" s="24" t="n"/>
      <c r="G2530" s="24" t="n"/>
      <c r="H2530" s="21">
        <f>IF(ISNUMBER($B2530),INT($B2530)-WEEKDAY($B2530,2)+1,"")</f>
        <v/>
      </c>
      <c r="I2530" s="24" t="n"/>
      <c r="J2530" s="22">
        <f t="array" ref="J2530">IF($D2530="","",IF($I2530="","(trống REF)",IFERROR(INDEX(MASTER_SOURCE!$B$2:$B$495,MATCH($I2530,MASTER_SOURCE!$A$2:$A$495,0)),"(REF không có trong MASTER_SOURCE)")))</f>
        <v/>
      </c>
      <c r="K2530" s="22">
        <f t="array" ref="K2530">IF($D2530="","",IFERROR(INDEX(MASTER_SOURCE!$C$2:$C$495,MATCH($I2530,MASTER_SOURCE!$A$2:$A$495,0)),""))</f>
        <v/>
      </c>
      <c r="L2530" s="22">
        <f t="array" ref="L2530">IF($D2530="","",IFERROR(INDEX(MASTER_SOURCE!$D$2:$D$495,MATCH($I2530,MASTER_SOURCE!$A$2:$A$495,0)),""))</f>
        <v/>
      </c>
      <c r="M2530" s="24" t="n"/>
      <c r="N2530" s="24" t="n"/>
      <c r="O2530" s="24" t="n"/>
      <c r="P2530" s="24" t="n"/>
      <c r="Q2530" s="22">
        <f>IF($D2530="","",IF(AND(OR(DANH_MUC!$L$5&lt;&gt;"Có",M2530="Có"),OR(DANH_MUC!$L$6&lt;&gt;"Có",N2530="Có"),OR(DANH_MUC!$L$7&lt;&gt;"Có",O2530="Có"),OR(DANH_MUC!$L$8&lt;&gt;"Có",P2530="Có")),"Có","Không"))</f>
        <v/>
      </c>
      <c r="R2530" s="22">
        <f>IF($D2530="","",IF(COUNTIF($D$2:$D2530,$D2530)&gt;1,"Trùng",""))</f>
        <v/>
      </c>
      <c r="S2530" s="22">
        <f>IF($D2530="","",IF(AND(LEN($D2530)=10,LEFT($D2530,1)="0",ISNUMBER(--$D2530)),"Có","Không"))</f>
        <v/>
      </c>
      <c r="T2530" s="22">
        <f>IF($D2530="","",IF(AND($C2530&lt;&gt;"",$Q2530="Có",$R2530="",$S2530="Có",AND($L2530&lt;&gt;"",OR($L2530&lt;&gt;"Chưa xác định",DANH_MUC!$L$9="Có"))),"Có","Không"))</f>
        <v/>
      </c>
      <c r="U2530" s="22">
        <f>IF(OR($D2530="",$T2530="Có"),"",IF($C2530="","Thiếu họ tên; ","")&amp;IF($S2530&lt;&gt;"Có","SĐT sai định dạng; ","")&amp;IF($R2530="Trùng","Trùng SĐT; ","")&amp;IF($Q2530&lt;&gt;"Có","Thiếu đồng ý bắt buộc; ","")&amp;IF($L2530="","Thiếu/sai Mã REF; ",IF(AND($L2530="Chưa xác định",DANH_MUC!$L$9&lt;&gt;"Có"),"Nguồn chưa xác định; ","")))</f>
        <v/>
      </c>
      <c r="V2530" s="22">
        <f>IF(OR($D2530="",$R2530="Trùng"),"",IF(COUNTIF(ORDERS!$C$2:$C$4995,$D2530)&gt;0,"Có","Không"))</f>
        <v/>
      </c>
      <c r="W2530" s="22">
        <f>IF(OR($D2530="",$R2530="Trùng"),"",COUNTIFS(ORDERS!$C$2:$C$4995,$D2530,ORDERS!$L$2:$L$4995,"Đã chuyển khoản"))</f>
        <v/>
      </c>
      <c r="X2530" s="23">
        <f>IF(OR($D2530="",$R2530="Trùng"),"",SUMIFS(ORDERS!$J$2:$J$4995,ORDERS!$C$2:$C$4995,$D2530,ORDERS!$L$2:$L$4995,"Đã chuyển khoản"))</f>
        <v/>
      </c>
      <c r="Y2530" s="24" t="n"/>
    </row>
    <row r="2531" ht="14.25" customHeight="1" s="40">
      <c r="A2531" s="24" t="n"/>
      <c r="B2531" s="27" t="n"/>
      <c r="C2531" s="24" t="n"/>
      <c r="D2531" s="28" t="n"/>
      <c r="E2531" s="29" t="n"/>
      <c r="F2531" s="24" t="n"/>
      <c r="G2531" s="24" t="n"/>
      <c r="H2531" s="21">
        <f>IF(ISNUMBER($B2531),INT($B2531)-WEEKDAY($B2531,2)+1,"")</f>
        <v/>
      </c>
      <c r="I2531" s="24" t="n"/>
      <c r="J2531" s="22">
        <f t="array" ref="J2531">IF($D2531="","",IF($I2531="","(trống REF)",IFERROR(INDEX(MASTER_SOURCE!$B$2:$B$495,MATCH($I2531,MASTER_SOURCE!$A$2:$A$495,0)),"(REF không có trong MASTER_SOURCE)")))</f>
        <v/>
      </c>
      <c r="K2531" s="22">
        <f t="array" ref="K2531">IF($D2531="","",IFERROR(INDEX(MASTER_SOURCE!$C$2:$C$495,MATCH($I2531,MASTER_SOURCE!$A$2:$A$495,0)),""))</f>
        <v/>
      </c>
      <c r="L2531" s="22">
        <f t="array" ref="L2531">IF($D2531="","",IFERROR(INDEX(MASTER_SOURCE!$D$2:$D$495,MATCH($I2531,MASTER_SOURCE!$A$2:$A$495,0)),""))</f>
        <v/>
      </c>
      <c r="M2531" s="24" t="n"/>
      <c r="N2531" s="24" t="n"/>
      <c r="O2531" s="24" t="n"/>
      <c r="P2531" s="24" t="n"/>
      <c r="Q2531" s="22">
        <f>IF($D2531="","",IF(AND(OR(DANH_MUC!$L$5&lt;&gt;"Có",M2531="Có"),OR(DANH_MUC!$L$6&lt;&gt;"Có",N2531="Có"),OR(DANH_MUC!$L$7&lt;&gt;"Có",O2531="Có"),OR(DANH_MUC!$L$8&lt;&gt;"Có",P2531="Có")),"Có","Không"))</f>
        <v/>
      </c>
      <c r="R2531" s="22">
        <f>IF($D2531="","",IF(COUNTIF($D$2:$D2531,$D2531)&gt;1,"Trùng",""))</f>
        <v/>
      </c>
      <c r="S2531" s="22">
        <f>IF($D2531="","",IF(AND(LEN($D2531)=10,LEFT($D2531,1)="0",ISNUMBER(--$D2531)),"Có","Không"))</f>
        <v/>
      </c>
      <c r="T2531" s="22">
        <f>IF($D2531="","",IF(AND($C2531&lt;&gt;"",$Q2531="Có",$R2531="",$S2531="Có",AND($L2531&lt;&gt;"",OR($L2531&lt;&gt;"Chưa xác định",DANH_MUC!$L$9="Có"))),"Có","Không"))</f>
        <v/>
      </c>
      <c r="U2531" s="22">
        <f>IF(OR($D2531="",$T2531="Có"),"",IF($C2531="","Thiếu họ tên; ","")&amp;IF($S2531&lt;&gt;"Có","SĐT sai định dạng; ","")&amp;IF($R2531="Trùng","Trùng SĐT; ","")&amp;IF($Q2531&lt;&gt;"Có","Thiếu đồng ý bắt buộc; ","")&amp;IF($L2531="","Thiếu/sai Mã REF; ",IF(AND($L2531="Chưa xác định",DANH_MUC!$L$9&lt;&gt;"Có"),"Nguồn chưa xác định; ","")))</f>
        <v/>
      </c>
      <c r="V2531" s="22">
        <f>IF(OR($D2531="",$R2531="Trùng"),"",IF(COUNTIF(ORDERS!$C$2:$C$4995,$D2531)&gt;0,"Có","Không"))</f>
        <v/>
      </c>
      <c r="W2531" s="22">
        <f>IF(OR($D2531="",$R2531="Trùng"),"",COUNTIFS(ORDERS!$C$2:$C$4995,$D2531,ORDERS!$L$2:$L$4995,"Đã chuyển khoản"))</f>
        <v/>
      </c>
      <c r="X2531" s="23">
        <f>IF(OR($D2531="",$R2531="Trùng"),"",SUMIFS(ORDERS!$J$2:$J$4995,ORDERS!$C$2:$C$4995,$D2531,ORDERS!$L$2:$L$4995,"Đã chuyển khoản"))</f>
        <v/>
      </c>
      <c r="Y2531" s="24" t="n"/>
    </row>
    <row r="2532" ht="14.25" customHeight="1" s="40">
      <c r="A2532" s="24" t="n"/>
      <c r="B2532" s="27" t="n"/>
      <c r="C2532" s="24" t="n"/>
      <c r="D2532" s="28" t="n"/>
      <c r="E2532" s="29" t="n"/>
      <c r="F2532" s="24" t="n"/>
      <c r="G2532" s="24" t="n"/>
      <c r="H2532" s="21">
        <f>IF(ISNUMBER($B2532),INT($B2532)-WEEKDAY($B2532,2)+1,"")</f>
        <v/>
      </c>
      <c r="I2532" s="24" t="n"/>
      <c r="J2532" s="22">
        <f t="array" ref="J2532">IF($D2532="","",IF($I2532="","(trống REF)",IFERROR(INDEX(MASTER_SOURCE!$B$2:$B$495,MATCH($I2532,MASTER_SOURCE!$A$2:$A$495,0)),"(REF không có trong MASTER_SOURCE)")))</f>
        <v/>
      </c>
      <c r="K2532" s="22">
        <f t="array" ref="K2532">IF($D2532="","",IFERROR(INDEX(MASTER_SOURCE!$C$2:$C$495,MATCH($I2532,MASTER_SOURCE!$A$2:$A$495,0)),""))</f>
        <v/>
      </c>
      <c r="L2532" s="22">
        <f t="array" ref="L2532">IF($D2532="","",IFERROR(INDEX(MASTER_SOURCE!$D$2:$D$495,MATCH($I2532,MASTER_SOURCE!$A$2:$A$495,0)),""))</f>
        <v/>
      </c>
      <c r="M2532" s="24" t="n"/>
      <c r="N2532" s="24" t="n"/>
      <c r="O2532" s="24" t="n"/>
      <c r="P2532" s="24" t="n"/>
      <c r="Q2532" s="22">
        <f>IF($D2532="","",IF(AND(OR(DANH_MUC!$L$5&lt;&gt;"Có",M2532="Có"),OR(DANH_MUC!$L$6&lt;&gt;"Có",N2532="Có"),OR(DANH_MUC!$L$7&lt;&gt;"Có",O2532="Có"),OR(DANH_MUC!$L$8&lt;&gt;"Có",P2532="Có")),"Có","Không"))</f>
        <v/>
      </c>
      <c r="R2532" s="22">
        <f>IF($D2532="","",IF(COUNTIF($D$2:$D2532,$D2532)&gt;1,"Trùng",""))</f>
        <v/>
      </c>
      <c r="S2532" s="22">
        <f>IF($D2532="","",IF(AND(LEN($D2532)=10,LEFT($D2532,1)="0",ISNUMBER(--$D2532)),"Có","Không"))</f>
        <v/>
      </c>
      <c r="T2532" s="22">
        <f>IF($D2532="","",IF(AND($C2532&lt;&gt;"",$Q2532="Có",$R2532="",$S2532="Có",AND($L2532&lt;&gt;"",OR($L2532&lt;&gt;"Chưa xác định",DANH_MUC!$L$9="Có"))),"Có","Không"))</f>
        <v/>
      </c>
      <c r="U2532" s="22">
        <f>IF(OR($D2532="",$T2532="Có"),"",IF($C2532="","Thiếu họ tên; ","")&amp;IF($S2532&lt;&gt;"Có","SĐT sai định dạng; ","")&amp;IF($R2532="Trùng","Trùng SĐT; ","")&amp;IF($Q2532&lt;&gt;"Có","Thiếu đồng ý bắt buộc; ","")&amp;IF($L2532="","Thiếu/sai Mã REF; ",IF(AND($L2532="Chưa xác định",DANH_MUC!$L$9&lt;&gt;"Có"),"Nguồn chưa xác định; ","")))</f>
        <v/>
      </c>
      <c r="V2532" s="22">
        <f>IF(OR($D2532="",$R2532="Trùng"),"",IF(COUNTIF(ORDERS!$C$2:$C$4995,$D2532)&gt;0,"Có","Không"))</f>
        <v/>
      </c>
      <c r="W2532" s="22">
        <f>IF(OR($D2532="",$R2532="Trùng"),"",COUNTIFS(ORDERS!$C$2:$C$4995,$D2532,ORDERS!$L$2:$L$4995,"Đã chuyển khoản"))</f>
        <v/>
      </c>
      <c r="X2532" s="23">
        <f>IF(OR($D2532="",$R2532="Trùng"),"",SUMIFS(ORDERS!$J$2:$J$4995,ORDERS!$C$2:$C$4995,$D2532,ORDERS!$L$2:$L$4995,"Đã chuyển khoản"))</f>
        <v/>
      </c>
      <c r="Y2532" s="24" t="n"/>
    </row>
    <row r="2533" ht="14.25" customHeight="1" s="40">
      <c r="A2533" s="24" t="n"/>
      <c r="B2533" s="27" t="n"/>
      <c r="C2533" s="24" t="n"/>
      <c r="D2533" s="28" t="n"/>
      <c r="E2533" s="29" t="n"/>
      <c r="F2533" s="24" t="n"/>
      <c r="G2533" s="24" t="n"/>
      <c r="H2533" s="21">
        <f>IF(ISNUMBER($B2533),INT($B2533)-WEEKDAY($B2533,2)+1,"")</f>
        <v/>
      </c>
      <c r="I2533" s="24" t="n"/>
      <c r="J2533" s="22">
        <f t="array" ref="J2533">IF($D2533="","",IF($I2533="","(trống REF)",IFERROR(INDEX(MASTER_SOURCE!$B$2:$B$495,MATCH($I2533,MASTER_SOURCE!$A$2:$A$495,0)),"(REF không có trong MASTER_SOURCE)")))</f>
        <v/>
      </c>
      <c r="K2533" s="22">
        <f t="array" ref="K2533">IF($D2533="","",IFERROR(INDEX(MASTER_SOURCE!$C$2:$C$495,MATCH($I2533,MASTER_SOURCE!$A$2:$A$495,0)),""))</f>
        <v/>
      </c>
      <c r="L2533" s="22">
        <f t="array" ref="L2533">IF($D2533="","",IFERROR(INDEX(MASTER_SOURCE!$D$2:$D$495,MATCH($I2533,MASTER_SOURCE!$A$2:$A$495,0)),""))</f>
        <v/>
      </c>
      <c r="M2533" s="24" t="n"/>
      <c r="N2533" s="24" t="n"/>
      <c r="O2533" s="24" t="n"/>
      <c r="P2533" s="24" t="n"/>
      <c r="Q2533" s="22">
        <f>IF($D2533="","",IF(AND(OR(DANH_MUC!$L$5&lt;&gt;"Có",M2533="Có"),OR(DANH_MUC!$L$6&lt;&gt;"Có",N2533="Có"),OR(DANH_MUC!$L$7&lt;&gt;"Có",O2533="Có"),OR(DANH_MUC!$L$8&lt;&gt;"Có",P2533="Có")),"Có","Không"))</f>
        <v/>
      </c>
      <c r="R2533" s="22">
        <f>IF($D2533="","",IF(COUNTIF($D$2:$D2533,$D2533)&gt;1,"Trùng",""))</f>
        <v/>
      </c>
      <c r="S2533" s="22">
        <f>IF($D2533="","",IF(AND(LEN($D2533)=10,LEFT($D2533,1)="0",ISNUMBER(--$D2533)),"Có","Không"))</f>
        <v/>
      </c>
      <c r="T2533" s="22">
        <f>IF($D2533="","",IF(AND($C2533&lt;&gt;"",$Q2533="Có",$R2533="",$S2533="Có",AND($L2533&lt;&gt;"",OR($L2533&lt;&gt;"Chưa xác định",DANH_MUC!$L$9="Có"))),"Có","Không"))</f>
        <v/>
      </c>
      <c r="U2533" s="22">
        <f>IF(OR($D2533="",$T2533="Có"),"",IF($C2533="","Thiếu họ tên; ","")&amp;IF($S2533&lt;&gt;"Có","SĐT sai định dạng; ","")&amp;IF($R2533="Trùng","Trùng SĐT; ","")&amp;IF($Q2533&lt;&gt;"Có","Thiếu đồng ý bắt buộc; ","")&amp;IF($L2533="","Thiếu/sai Mã REF; ",IF(AND($L2533="Chưa xác định",DANH_MUC!$L$9&lt;&gt;"Có"),"Nguồn chưa xác định; ","")))</f>
        <v/>
      </c>
      <c r="V2533" s="22">
        <f>IF(OR($D2533="",$R2533="Trùng"),"",IF(COUNTIF(ORDERS!$C$2:$C$4995,$D2533)&gt;0,"Có","Không"))</f>
        <v/>
      </c>
      <c r="W2533" s="22">
        <f>IF(OR($D2533="",$R2533="Trùng"),"",COUNTIFS(ORDERS!$C$2:$C$4995,$D2533,ORDERS!$L$2:$L$4995,"Đã chuyển khoản"))</f>
        <v/>
      </c>
      <c r="X2533" s="23">
        <f>IF(OR($D2533="",$R2533="Trùng"),"",SUMIFS(ORDERS!$J$2:$J$4995,ORDERS!$C$2:$C$4995,$D2533,ORDERS!$L$2:$L$4995,"Đã chuyển khoản"))</f>
        <v/>
      </c>
      <c r="Y2533" s="24" t="n"/>
    </row>
    <row r="2534" ht="14.25" customHeight="1" s="40">
      <c r="A2534" s="24" t="n"/>
      <c r="B2534" s="27" t="n"/>
      <c r="C2534" s="24" t="n"/>
      <c r="D2534" s="28" t="n"/>
      <c r="E2534" s="29" t="n"/>
      <c r="F2534" s="24" t="n"/>
      <c r="G2534" s="24" t="n"/>
      <c r="H2534" s="21">
        <f>IF(ISNUMBER($B2534),INT($B2534)-WEEKDAY($B2534,2)+1,"")</f>
        <v/>
      </c>
      <c r="I2534" s="24" t="n"/>
      <c r="J2534" s="22">
        <f t="array" ref="J2534">IF($D2534="","",IF($I2534="","(trống REF)",IFERROR(INDEX(MASTER_SOURCE!$B$2:$B$495,MATCH($I2534,MASTER_SOURCE!$A$2:$A$495,0)),"(REF không có trong MASTER_SOURCE)")))</f>
        <v/>
      </c>
      <c r="K2534" s="22">
        <f t="array" ref="K2534">IF($D2534="","",IFERROR(INDEX(MASTER_SOURCE!$C$2:$C$495,MATCH($I2534,MASTER_SOURCE!$A$2:$A$495,0)),""))</f>
        <v/>
      </c>
      <c r="L2534" s="22">
        <f t="array" ref="L2534">IF($D2534="","",IFERROR(INDEX(MASTER_SOURCE!$D$2:$D$495,MATCH($I2534,MASTER_SOURCE!$A$2:$A$495,0)),""))</f>
        <v/>
      </c>
      <c r="M2534" s="24" t="n"/>
      <c r="N2534" s="24" t="n"/>
      <c r="O2534" s="24" t="n"/>
      <c r="P2534" s="24" t="n"/>
      <c r="Q2534" s="22">
        <f>IF($D2534="","",IF(AND(OR(DANH_MUC!$L$5&lt;&gt;"Có",M2534="Có"),OR(DANH_MUC!$L$6&lt;&gt;"Có",N2534="Có"),OR(DANH_MUC!$L$7&lt;&gt;"Có",O2534="Có"),OR(DANH_MUC!$L$8&lt;&gt;"Có",P2534="Có")),"Có","Không"))</f>
        <v/>
      </c>
      <c r="R2534" s="22">
        <f>IF($D2534="","",IF(COUNTIF($D$2:$D2534,$D2534)&gt;1,"Trùng",""))</f>
        <v/>
      </c>
      <c r="S2534" s="22">
        <f>IF($D2534="","",IF(AND(LEN($D2534)=10,LEFT($D2534,1)="0",ISNUMBER(--$D2534)),"Có","Không"))</f>
        <v/>
      </c>
      <c r="T2534" s="22">
        <f>IF($D2534="","",IF(AND($C2534&lt;&gt;"",$Q2534="Có",$R2534="",$S2534="Có",AND($L2534&lt;&gt;"",OR($L2534&lt;&gt;"Chưa xác định",DANH_MUC!$L$9="Có"))),"Có","Không"))</f>
        <v/>
      </c>
      <c r="U2534" s="22">
        <f>IF(OR($D2534="",$T2534="Có"),"",IF($C2534="","Thiếu họ tên; ","")&amp;IF($S2534&lt;&gt;"Có","SĐT sai định dạng; ","")&amp;IF($R2534="Trùng","Trùng SĐT; ","")&amp;IF($Q2534&lt;&gt;"Có","Thiếu đồng ý bắt buộc; ","")&amp;IF($L2534="","Thiếu/sai Mã REF; ",IF(AND($L2534="Chưa xác định",DANH_MUC!$L$9&lt;&gt;"Có"),"Nguồn chưa xác định; ","")))</f>
        <v/>
      </c>
      <c r="V2534" s="22">
        <f>IF(OR($D2534="",$R2534="Trùng"),"",IF(COUNTIF(ORDERS!$C$2:$C$4995,$D2534)&gt;0,"Có","Không"))</f>
        <v/>
      </c>
      <c r="W2534" s="22">
        <f>IF(OR($D2534="",$R2534="Trùng"),"",COUNTIFS(ORDERS!$C$2:$C$4995,$D2534,ORDERS!$L$2:$L$4995,"Đã chuyển khoản"))</f>
        <v/>
      </c>
      <c r="X2534" s="23">
        <f>IF(OR($D2534="",$R2534="Trùng"),"",SUMIFS(ORDERS!$J$2:$J$4995,ORDERS!$C$2:$C$4995,$D2534,ORDERS!$L$2:$L$4995,"Đã chuyển khoản"))</f>
        <v/>
      </c>
      <c r="Y2534" s="24" t="n"/>
    </row>
    <row r="2535" ht="14.25" customHeight="1" s="40">
      <c r="A2535" s="24" t="n"/>
      <c r="B2535" s="27" t="n"/>
      <c r="C2535" s="24" t="n"/>
      <c r="D2535" s="28" t="n"/>
      <c r="E2535" s="29" t="n"/>
      <c r="F2535" s="24" t="n"/>
      <c r="G2535" s="24" t="n"/>
      <c r="H2535" s="21">
        <f>IF(ISNUMBER($B2535),INT($B2535)-WEEKDAY($B2535,2)+1,"")</f>
        <v/>
      </c>
      <c r="I2535" s="24" t="n"/>
      <c r="J2535" s="22">
        <f t="array" ref="J2535">IF($D2535="","",IF($I2535="","(trống REF)",IFERROR(INDEX(MASTER_SOURCE!$B$2:$B$495,MATCH($I2535,MASTER_SOURCE!$A$2:$A$495,0)),"(REF không có trong MASTER_SOURCE)")))</f>
        <v/>
      </c>
      <c r="K2535" s="22">
        <f t="array" ref="K2535">IF($D2535="","",IFERROR(INDEX(MASTER_SOURCE!$C$2:$C$495,MATCH($I2535,MASTER_SOURCE!$A$2:$A$495,0)),""))</f>
        <v/>
      </c>
      <c r="L2535" s="22">
        <f t="array" ref="L2535">IF($D2535="","",IFERROR(INDEX(MASTER_SOURCE!$D$2:$D$495,MATCH($I2535,MASTER_SOURCE!$A$2:$A$495,0)),""))</f>
        <v/>
      </c>
      <c r="M2535" s="24" t="n"/>
      <c r="N2535" s="24" t="n"/>
      <c r="O2535" s="24" t="n"/>
      <c r="P2535" s="24" t="n"/>
      <c r="Q2535" s="22">
        <f>IF($D2535="","",IF(AND(OR(DANH_MUC!$L$5&lt;&gt;"Có",M2535="Có"),OR(DANH_MUC!$L$6&lt;&gt;"Có",N2535="Có"),OR(DANH_MUC!$L$7&lt;&gt;"Có",O2535="Có"),OR(DANH_MUC!$L$8&lt;&gt;"Có",P2535="Có")),"Có","Không"))</f>
        <v/>
      </c>
      <c r="R2535" s="22">
        <f>IF($D2535="","",IF(COUNTIF($D$2:$D2535,$D2535)&gt;1,"Trùng",""))</f>
        <v/>
      </c>
      <c r="S2535" s="22">
        <f>IF($D2535="","",IF(AND(LEN($D2535)=10,LEFT($D2535,1)="0",ISNUMBER(--$D2535)),"Có","Không"))</f>
        <v/>
      </c>
      <c r="T2535" s="22">
        <f>IF($D2535="","",IF(AND($C2535&lt;&gt;"",$Q2535="Có",$R2535="",$S2535="Có",AND($L2535&lt;&gt;"",OR($L2535&lt;&gt;"Chưa xác định",DANH_MUC!$L$9="Có"))),"Có","Không"))</f>
        <v/>
      </c>
      <c r="U2535" s="22">
        <f>IF(OR($D2535="",$T2535="Có"),"",IF($C2535="","Thiếu họ tên; ","")&amp;IF($S2535&lt;&gt;"Có","SĐT sai định dạng; ","")&amp;IF($R2535="Trùng","Trùng SĐT; ","")&amp;IF($Q2535&lt;&gt;"Có","Thiếu đồng ý bắt buộc; ","")&amp;IF($L2535="","Thiếu/sai Mã REF; ",IF(AND($L2535="Chưa xác định",DANH_MUC!$L$9&lt;&gt;"Có"),"Nguồn chưa xác định; ","")))</f>
        <v/>
      </c>
      <c r="V2535" s="22">
        <f>IF(OR($D2535="",$R2535="Trùng"),"",IF(COUNTIF(ORDERS!$C$2:$C$4995,$D2535)&gt;0,"Có","Không"))</f>
        <v/>
      </c>
      <c r="W2535" s="22">
        <f>IF(OR($D2535="",$R2535="Trùng"),"",COUNTIFS(ORDERS!$C$2:$C$4995,$D2535,ORDERS!$L$2:$L$4995,"Đã chuyển khoản"))</f>
        <v/>
      </c>
      <c r="X2535" s="23">
        <f>IF(OR($D2535="",$R2535="Trùng"),"",SUMIFS(ORDERS!$J$2:$J$4995,ORDERS!$C$2:$C$4995,$D2535,ORDERS!$L$2:$L$4995,"Đã chuyển khoản"))</f>
        <v/>
      </c>
      <c r="Y2535" s="24" t="n"/>
    </row>
    <row r="2536" ht="14.25" customHeight="1" s="40">
      <c r="A2536" s="24" t="n"/>
      <c r="B2536" s="27" t="n"/>
      <c r="C2536" s="24" t="n"/>
      <c r="D2536" s="28" t="n"/>
      <c r="E2536" s="29" t="n"/>
      <c r="F2536" s="24" t="n"/>
      <c r="G2536" s="24" t="n"/>
      <c r="H2536" s="21">
        <f>IF(ISNUMBER($B2536),INT($B2536)-WEEKDAY($B2536,2)+1,"")</f>
        <v/>
      </c>
      <c r="I2536" s="24" t="n"/>
      <c r="J2536" s="22">
        <f t="array" ref="J2536">IF($D2536="","",IF($I2536="","(trống REF)",IFERROR(INDEX(MASTER_SOURCE!$B$2:$B$495,MATCH($I2536,MASTER_SOURCE!$A$2:$A$495,0)),"(REF không có trong MASTER_SOURCE)")))</f>
        <v/>
      </c>
      <c r="K2536" s="22">
        <f t="array" ref="K2536">IF($D2536="","",IFERROR(INDEX(MASTER_SOURCE!$C$2:$C$495,MATCH($I2536,MASTER_SOURCE!$A$2:$A$495,0)),""))</f>
        <v/>
      </c>
      <c r="L2536" s="22">
        <f t="array" ref="L2536">IF($D2536="","",IFERROR(INDEX(MASTER_SOURCE!$D$2:$D$495,MATCH($I2536,MASTER_SOURCE!$A$2:$A$495,0)),""))</f>
        <v/>
      </c>
      <c r="M2536" s="24" t="n"/>
      <c r="N2536" s="24" t="n"/>
      <c r="O2536" s="24" t="n"/>
      <c r="P2536" s="24" t="n"/>
      <c r="Q2536" s="22">
        <f>IF($D2536="","",IF(AND(OR(DANH_MUC!$L$5&lt;&gt;"Có",M2536="Có"),OR(DANH_MUC!$L$6&lt;&gt;"Có",N2536="Có"),OR(DANH_MUC!$L$7&lt;&gt;"Có",O2536="Có"),OR(DANH_MUC!$L$8&lt;&gt;"Có",P2536="Có")),"Có","Không"))</f>
        <v/>
      </c>
      <c r="R2536" s="22">
        <f>IF($D2536="","",IF(COUNTIF($D$2:$D2536,$D2536)&gt;1,"Trùng",""))</f>
        <v/>
      </c>
      <c r="S2536" s="22">
        <f>IF($D2536="","",IF(AND(LEN($D2536)=10,LEFT($D2536,1)="0",ISNUMBER(--$D2536)),"Có","Không"))</f>
        <v/>
      </c>
      <c r="T2536" s="22">
        <f>IF($D2536="","",IF(AND($C2536&lt;&gt;"",$Q2536="Có",$R2536="",$S2536="Có",AND($L2536&lt;&gt;"",OR($L2536&lt;&gt;"Chưa xác định",DANH_MUC!$L$9="Có"))),"Có","Không"))</f>
        <v/>
      </c>
      <c r="U2536" s="22">
        <f>IF(OR($D2536="",$T2536="Có"),"",IF($C2536="","Thiếu họ tên; ","")&amp;IF($S2536&lt;&gt;"Có","SĐT sai định dạng; ","")&amp;IF($R2536="Trùng","Trùng SĐT; ","")&amp;IF($Q2536&lt;&gt;"Có","Thiếu đồng ý bắt buộc; ","")&amp;IF($L2536="","Thiếu/sai Mã REF; ",IF(AND($L2536="Chưa xác định",DANH_MUC!$L$9&lt;&gt;"Có"),"Nguồn chưa xác định; ","")))</f>
        <v/>
      </c>
      <c r="V2536" s="22">
        <f>IF(OR($D2536="",$R2536="Trùng"),"",IF(COUNTIF(ORDERS!$C$2:$C$4995,$D2536)&gt;0,"Có","Không"))</f>
        <v/>
      </c>
      <c r="W2536" s="22">
        <f>IF(OR($D2536="",$R2536="Trùng"),"",COUNTIFS(ORDERS!$C$2:$C$4995,$D2536,ORDERS!$L$2:$L$4995,"Đã chuyển khoản"))</f>
        <v/>
      </c>
      <c r="X2536" s="23">
        <f>IF(OR($D2536="",$R2536="Trùng"),"",SUMIFS(ORDERS!$J$2:$J$4995,ORDERS!$C$2:$C$4995,$D2536,ORDERS!$L$2:$L$4995,"Đã chuyển khoản"))</f>
        <v/>
      </c>
      <c r="Y2536" s="24" t="n"/>
    </row>
    <row r="2537" ht="14.25" customHeight="1" s="40">
      <c r="A2537" s="24" t="n"/>
      <c r="B2537" s="27" t="n"/>
      <c r="C2537" s="24" t="n"/>
      <c r="D2537" s="28" t="n"/>
      <c r="E2537" s="29" t="n"/>
      <c r="F2537" s="24" t="n"/>
      <c r="G2537" s="24" t="n"/>
      <c r="H2537" s="21">
        <f>IF(ISNUMBER($B2537),INT($B2537)-WEEKDAY($B2537,2)+1,"")</f>
        <v/>
      </c>
      <c r="I2537" s="24" t="n"/>
      <c r="J2537" s="22">
        <f t="array" ref="J2537">IF($D2537="","",IF($I2537="","(trống REF)",IFERROR(INDEX(MASTER_SOURCE!$B$2:$B$495,MATCH($I2537,MASTER_SOURCE!$A$2:$A$495,0)),"(REF không có trong MASTER_SOURCE)")))</f>
        <v/>
      </c>
      <c r="K2537" s="22">
        <f t="array" ref="K2537">IF($D2537="","",IFERROR(INDEX(MASTER_SOURCE!$C$2:$C$495,MATCH($I2537,MASTER_SOURCE!$A$2:$A$495,0)),""))</f>
        <v/>
      </c>
      <c r="L2537" s="22">
        <f t="array" ref="L2537">IF($D2537="","",IFERROR(INDEX(MASTER_SOURCE!$D$2:$D$495,MATCH($I2537,MASTER_SOURCE!$A$2:$A$495,0)),""))</f>
        <v/>
      </c>
      <c r="M2537" s="24" t="n"/>
      <c r="N2537" s="24" t="n"/>
      <c r="O2537" s="24" t="n"/>
      <c r="P2537" s="24" t="n"/>
      <c r="Q2537" s="22">
        <f>IF($D2537="","",IF(AND(OR(DANH_MUC!$L$5&lt;&gt;"Có",M2537="Có"),OR(DANH_MUC!$L$6&lt;&gt;"Có",N2537="Có"),OR(DANH_MUC!$L$7&lt;&gt;"Có",O2537="Có"),OR(DANH_MUC!$L$8&lt;&gt;"Có",P2537="Có")),"Có","Không"))</f>
        <v/>
      </c>
      <c r="R2537" s="22">
        <f>IF($D2537="","",IF(COUNTIF($D$2:$D2537,$D2537)&gt;1,"Trùng",""))</f>
        <v/>
      </c>
      <c r="S2537" s="22">
        <f>IF($D2537="","",IF(AND(LEN($D2537)=10,LEFT($D2537,1)="0",ISNUMBER(--$D2537)),"Có","Không"))</f>
        <v/>
      </c>
      <c r="T2537" s="22">
        <f>IF($D2537="","",IF(AND($C2537&lt;&gt;"",$Q2537="Có",$R2537="",$S2537="Có",AND($L2537&lt;&gt;"",OR($L2537&lt;&gt;"Chưa xác định",DANH_MUC!$L$9="Có"))),"Có","Không"))</f>
        <v/>
      </c>
      <c r="U2537" s="22">
        <f>IF(OR($D2537="",$T2537="Có"),"",IF($C2537="","Thiếu họ tên; ","")&amp;IF($S2537&lt;&gt;"Có","SĐT sai định dạng; ","")&amp;IF($R2537="Trùng","Trùng SĐT; ","")&amp;IF($Q2537&lt;&gt;"Có","Thiếu đồng ý bắt buộc; ","")&amp;IF($L2537="","Thiếu/sai Mã REF; ",IF(AND($L2537="Chưa xác định",DANH_MUC!$L$9&lt;&gt;"Có"),"Nguồn chưa xác định; ","")))</f>
        <v/>
      </c>
      <c r="V2537" s="22">
        <f>IF(OR($D2537="",$R2537="Trùng"),"",IF(COUNTIF(ORDERS!$C$2:$C$4995,$D2537)&gt;0,"Có","Không"))</f>
        <v/>
      </c>
      <c r="W2537" s="22">
        <f>IF(OR($D2537="",$R2537="Trùng"),"",COUNTIFS(ORDERS!$C$2:$C$4995,$D2537,ORDERS!$L$2:$L$4995,"Đã chuyển khoản"))</f>
        <v/>
      </c>
      <c r="X2537" s="23">
        <f>IF(OR($D2537="",$R2537="Trùng"),"",SUMIFS(ORDERS!$J$2:$J$4995,ORDERS!$C$2:$C$4995,$D2537,ORDERS!$L$2:$L$4995,"Đã chuyển khoản"))</f>
        <v/>
      </c>
      <c r="Y2537" s="24" t="n"/>
    </row>
    <row r="2538" ht="14.25" customHeight="1" s="40">
      <c r="A2538" s="24" t="n"/>
      <c r="B2538" s="27" t="n"/>
      <c r="C2538" s="24" t="n"/>
      <c r="D2538" s="28" t="n"/>
      <c r="E2538" s="29" t="n"/>
      <c r="F2538" s="24" t="n"/>
      <c r="G2538" s="24" t="n"/>
      <c r="H2538" s="21">
        <f>IF(ISNUMBER($B2538),INT($B2538)-WEEKDAY($B2538,2)+1,"")</f>
        <v/>
      </c>
      <c r="I2538" s="24" t="n"/>
      <c r="J2538" s="22">
        <f t="array" ref="J2538">IF($D2538="","",IF($I2538="","(trống REF)",IFERROR(INDEX(MASTER_SOURCE!$B$2:$B$495,MATCH($I2538,MASTER_SOURCE!$A$2:$A$495,0)),"(REF không có trong MASTER_SOURCE)")))</f>
        <v/>
      </c>
      <c r="K2538" s="22">
        <f t="array" ref="K2538">IF($D2538="","",IFERROR(INDEX(MASTER_SOURCE!$C$2:$C$495,MATCH($I2538,MASTER_SOURCE!$A$2:$A$495,0)),""))</f>
        <v/>
      </c>
      <c r="L2538" s="22">
        <f t="array" ref="L2538">IF($D2538="","",IFERROR(INDEX(MASTER_SOURCE!$D$2:$D$495,MATCH($I2538,MASTER_SOURCE!$A$2:$A$495,0)),""))</f>
        <v/>
      </c>
      <c r="M2538" s="24" t="n"/>
      <c r="N2538" s="24" t="n"/>
      <c r="O2538" s="24" t="n"/>
      <c r="P2538" s="24" t="n"/>
      <c r="Q2538" s="22">
        <f>IF($D2538="","",IF(AND(OR(DANH_MUC!$L$5&lt;&gt;"Có",M2538="Có"),OR(DANH_MUC!$L$6&lt;&gt;"Có",N2538="Có"),OR(DANH_MUC!$L$7&lt;&gt;"Có",O2538="Có"),OR(DANH_MUC!$L$8&lt;&gt;"Có",P2538="Có")),"Có","Không"))</f>
        <v/>
      </c>
      <c r="R2538" s="22">
        <f>IF($D2538="","",IF(COUNTIF($D$2:$D2538,$D2538)&gt;1,"Trùng",""))</f>
        <v/>
      </c>
      <c r="S2538" s="22">
        <f>IF($D2538="","",IF(AND(LEN($D2538)=10,LEFT($D2538,1)="0",ISNUMBER(--$D2538)),"Có","Không"))</f>
        <v/>
      </c>
      <c r="T2538" s="22">
        <f>IF($D2538="","",IF(AND($C2538&lt;&gt;"",$Q2538="Có",$R2538="",$S2538="Có",AND($L2538&lt;&gt;"",OR($L2538&lt;&gt;"Chưa xác định",DANH_MUC!$L$9="Có"))),"Có","Không"))</f>
        <v/>
      </c>
      <c r="U2538" s="22">
        <f>IF(OR($D2538="",$T2538="Có"),"",IF($C2538="","Thiếu họ tên; ","")&amp;IF($S2538&lt;&gt;"Có","SĐT sai định dạng; ","")&amp;IF($R2538="Trùng","Trùng SĐT; ","")&amp;IF($Q2538&lt;&gt;"Có","Thiếu đồng ý bắt buộc; ","")&amp;IF($L2538="","Thiếu/sai Mã REF; ",IF(AND($L2538="Chưa xác định",DANH_MUC!$L$9&lt;&gt;"Có"),"Nguồn chưa xác định; ","")))</f>
        <v/>
      </c>
      <c r="V2538" s="22">
        <f>IF(OR($D2538="",$R2538="Trùng"),"",IF(COUNTIF(ORDERS!$C$2:$C$4995,$D2538)&gt;0,"Có","Không"))</f>
        <v/>
      </c>
      <c r="W2538" s="22">
        <f>IF(OR($D2538="",$R2538="Trùng"),"",COUNTIFS(ORDERS!$C$2:$C$4995,$D2538,ORDERS!$L$2:$L$4995,"Đã chuyển khoản"))</f>
        <v/>
      </c>
      <c r="X2538" s="23">
        <f>IF(OR($D2538="",$R2538="Trùng"),"",SUMIFS(ORDERS!$J$2:$J$4995,ORDERS!$C$2:$C$4995,$D2538,ORDERS!$L$2:$L$4995,"Đã chuyển khoản"))</f>
        <v/>
      </c>
      <c r="Y2538" s="24" t="n"/>
    </row>
    <row r="2539" ht="14.25" customHeight="1" s="40">
      <c r="A2539" s="24" t="n"/>
      <c r="B2539" s="27" t="n"/>
      <c r="C2539" s="24" t="n"/>
      <c r="D2539" s="28" t="n"/>
      <c r="E2539" s="29" t="n"/>
      <c r="F2539" s="24" t="n"/>
      <c r="G2539" s="24" t="n"/>
      <c r="H2539" s="21">
        <f>IF(ISNUMBER($B2539),INT($B2539)-WEEKDAY($B2539,2)+1,"")</f>
        <v/>
      </c>
      <c r="I2539" s="24" t="n"/>
      <c r="J2539" s="22">
        <f t="array" ref="J2539">IF($D2539="","",IF($I2539="","(trống REF)",IFERROR(INDEX(MASTER_SOURCE!$B$2:$B$495,MATCH($I2539,MASTER_SOURCE!$A$2:$A$495,0)),"(REF không có trong MASTER_SOURCE)")))</f>
        <v/>
      </c>
      <c r="K2539" s="22">
        <f t="array" ref="K2539">IF($D2539="","",IFERROR(INDEX(MASTER_SOURCE!$C$2:$C$495,MATCH($I2539,MASTER_SOURCE!$A$2:$A$495,0)),""))</f>
        <v/>
      </c>
      <c r="L2539" s="22">
        <f t="array" ref="L2539">IF($D2539="","",IFERROR(INDEX(MASTER_SOURCE!$D$2:$D$495,MATCH($I2539,MASTER_SOURCE!$A$2:$A$495,0)),""))</f>
        <v/>
      </c>
      <c r="M2539" s="24" t="n"/>
      <c r="N2539" s="24" t="n"/>
      <c r="O2539" s="24" t="n"/>
      <c r="P2539" s="24" t="n"/>
      <c r="Q2539" s="22">
        <f>IF($D2539="","",IF(AND(OR(DANH_MUC!$L$5&lt;&gt;"Có",M2539="Có"),OR(DANH_MUC!$L$6&lt;&gt;"Có",N2539="Có"),OR(DANH_MUC!$L$7&lt;&gt;"Có",O2539="Có"),OR(DANH_MUC!$L$8&lt;&gt;"Có",P2539="Có")),"Có","Không"))</f>
        <v/>
      </c>
      <c r="R2539" s="22">
        <f>IF($D2539="","",IF(COUNTIF($D$2:$D2539,$D2539)&gt;1,"Trùng",""))</f>
        <v/>
      </c>
      <c r="S2539" s="22">
        <f>IF($D2539="","",IF(AND(LEN($D2539)=10,LEFT($D2539,1)="0",ISNUMBER(--$D2539)),"Có","Không"))</f>
        <v/>
      </c>
      <c r="T2539" s="22">
        <f>IF($D2539="","",IF(AND($C2539&lt;&gt;"",$Q2539="Có",$R2539="",$S2539="Có",AND($L2539&lt;&gt;"",OR($L2539&lt;&gt;"Chưa xác định",DANH_MUC!$L$9="Có"))),"Có","Không"))</f>
        <v/>
      </c>
      <c r="U2539" s="22">
        <f>IF(OR($D2539="",$T2539="Có"),"",IF($C2539="","Thiếu họ tên; ","")&amp;IF($S2539&lt;&gt;"Có","SĐT sai định dạng; ","")&amp;IF($R2539="Trùng","Trùng SĐT; ","")&amp;IF($Q2539&lt;&gt;"Có","Thiếu đồng ý bắt buộc; ","")&amp;IF($L2539="","Thiếu/sai Mã REF; ",IF(AND($L2539="Chưa xác định",DANH_MUC!$L$9&lt;&gt;"Có"),"Nguồn chưa xác định; ","")))</f>
        <v/>
      </c>
      <c r="V2539" s="22">
        <f>IF(OR($D2539="",$R2539="Trùng"),"",IF(COUNTIF(ORDERS!$C$2:$C$4995,$D2539)&gt;0,"Có","Không"))</f>
        <v/>
      </c>
      <c r="W2539" s="22">
        <f>IF(OR($D2539="",$R2539="Trùng"),"",COUNTIFS(ORDERS!$C$2:$C$4995,$D2539,ORDERS!$L$2:$L$4995,"Đã chuyển khoản"))</f>
        <v/>
      </c>
      <c r="X2539" s="23">
        <f>IF(OR($D2539="",$R2539="Trùng"),"",SUMIFS(ORDERS!$J$2:$J$4995,ORDERS!$C$2:$C$4995,$D2539,ORDERS!$L$2:$L$4995,"Đã chuyển khoản"))</f>
        <v/>
      </c>
      <c r="Y2539" s="24" t="n"/>
    </row>
    <row r="2540" ht="14.25" customHeight="1" s="40">
      <c r="A2540" s="24" t="n"/>
      <c r="B2540" s="27" t="n"/>
      <c r="C2540" s="24" t="n"/>
      <c r="D2540" s="28" t="n"/>
      <c r="E2540" s="29" t="n"/>
      <c r="F2540" s="24" t="n"/>
      <c r="G2540" s="24" t="n"/>
      <c r="H2540" s="21">
        <f>IF(ISNUMBER($B2540),INT($B2540)-WEEKDAY($B2540,2)+1,"")</f>
        <v/>
      </c>
      <c r="I2540" s="24" t="n"/>
      <c r="J2540" s="22">
        <f t="array" ref="J2540">IF($D2540="","",IF($I2540="","(trống REF)",IFERROR(INDEX(MASTER_SOURCE!$B$2:$B$495,MATCH($I2540,MASTER_SOURCE!$A$2:$A$495,0)),"(REF không có trong MASTER_SOURCE)")))</f>
        <v/>
      </c>
      <c r="K2540" s="22">
        <f t="array" ref="K2540">IF($D2540="","",IFERROR(INDEX(MASTER_SOURCE!$C$2:$C$495,MATCH($I2540,MASTER_SOURCE!$A$2:$A$495,0)),""))</f>
        <v/>
      </c>
      <c r="L2540" s="22">
        <f t="array" ref="L2540">IF($D2540="","",IFERROR(INDEX(MASTER_SOURCE!$D$2:$D$495,MATCH($I2540,MASTER_SOURCE!$A$2:$A$495,0)),""))</f>
        <v/>
      </c>
      <c r="M2540" s="24" t="n"/>
      <c r="N2540" s="24" t="n"/>
      <c r="O2540" s="24" t="n"/>
      <c r="P2540" s="24" t="n"/>
      <c r="Q2540" s="22">
        <f>IF($D2540="","",IF(AND(OR(DANH_MUC!$L$5&lt;&gt;"Có",M2540="Có"),OR(DANH_MUC!$L$6&lt;&gt;"Có",N2540="Có"),OR(DANH_MUC!$L$7&lt;&gt;"Có",O2540="Có"),OR(DANH_MUC!$L$8&lt;&gt;"Có",P2540="Có")),"Có","Không"))</f>
        <v/>
      </c>
      <c r="R2540" s="22">
        <f>IF($D2540="","",IF(COUNTIF($D$2:$D2540,$D2540)&gt;1,"Trùng",""))</f>
        <v/>
      </c>
      <c r="S2540" s="22">
        <f>IF($D2540="","",IF(AND(LEN($D2540)=10,LEFT($D2540,1)="0",ISNUMBER(--$D2540)),"Có","Không"))</f>
        <v/>
      </c>
      <c r="T2540" s="22">
        <f>IF($D2540="","",IF(AND($C2540&lt;&gt;"",$Q2540="Có",$R2540="",$S2540="Có",AND($L2540&lt;&gt;"",OR($L2540&lt;&gt;"Chưa xác định",DANH_MUC!$L$9="Có"))),"Có","Không"))</f>
        <v/>
      </c>
      <c r="U2540" s="22">
        <f>IF(OR($D2540="",$T2540="Có"),"",IF($C2540="","Thiếu họ tên; ","")&amp;IF($S2540&lt;&gt;"Có","SĐT sai định dạng; ","")&amp;IF($R2540="Trùng","Trùng SĐT; ","")&amp;IF($Q2540&lt;&gt;"Có","Thiếu đồng ý bắt buộc; ","")&amp;IF($L2540="","Thiếu/sai Mã REF; ",IF(AND($L2540="Chưa xác định",DANH_MUC!$L$9&lt;&gt;"Có"),"Nguồn chưa xác định; ","")))</f>
        <v/>
      </c>
      <c r="V2540" s="22">
        <f>IF(OR($D2540="",$R2540="Trùng"),"",IF(COUNTIF(ORDERS!$C$2:$C$4995,$D2540)&gt;0,"Có","Không"))</f>
        <v/>
      </c>
      <c r="W2540" s="22">
        <f>IF(OR($D2540="",$R2540="Trùng"),"",COUNTIFS(ORDERS!$C$2:$C$4995,$D2540,ORDERS!$L$2:$L$4995,"Đã chuyển khoản"))</f>
        <v/>
      </c>
      <c r="X2540" s="23">
        <f>IF(OR($D2540="",$R2540="Trùng"),"",SUMIFS(ORDERS!$J$2:$J$4995,ORDERS!$C$2:$C$4995,$D2540,ORDERS!$L$2:$L$4995,"Đã chuyển khoản"))</f>
        <v/>
      </c>
      <c r="Y2540" s="24" t="n"/>
    </row>
    <row r="2541" ht="14.25" customHeight="1" s="40">
      <c r="A2541" s="24" t="n"/>
      <c r="B2541" s="27" t="n"/>
      <c r="C2541" s="24" t="n"/>
      <c r="D2541" s="28" t="n"/>
      <c r="E2541" s="29" t="n"/>
      <c r="F2541" s="24" t="n"/>
      <c r="G2541" s="24" t="n"/>
      <c r="H2541" s="21">
        <f>IF(ISNUMBER($B2541),INT($B2541)-WEEKDAY($B2541,2)+1,"")</f>
        <v/>
      </c>
      <c r="I2541" s="24" t="n"/>
      <c r="J2541" s="22">
        <f t="array" ref="J2541">IF($D2541="","",IF($I2541="","(trống REF)",IFERROR(INDEX(MASTER_SOURCE!$B$2:$B$495,MATCH($I2541,MASTER_SOURCE!$A$2:$A$495,0)),"(REF không có trong MASTER_SOURCE)")))</f>
        <v/>
      </c>
      <c r="K2541" s="22">
        <f t="array" ref="K2541">IF($D2541="","",IFERROR(INDEX(MASTER_SOURCE!$C$2:$C$495,MATCH($I2541,MASTER_SOURCE!$A$2:$A$495,0)),""))</f>
        <v/>
      </c>
      <c r="L2541" s="22">
        <f t="array" ref="L2541">IF($D2541="","",IFERROR(INDEX(MASTER_SOURCE!$D$2:$D$495,MATCH($I2541,MASTER_SOURCE!$A$2:$A$495,0)),""))</f>
        <v/>
      </c>
      <c r="M2541" s="24" t="n"/>
      <c r="N2541" s="24" t="n"/>
      <c r="O2541" s="24" t="n"/>
      <c r="P2541" s="24" t="n"/>
      <c r="Q2541" s="22">
        <f>IF($D2541="","",IF(AND(OR(DANH_MUC!$L$5&lt;&gt;"Có",M2541="Có"),OR(DANH_MUC!$L$6&lt;&gt;"Có",N2541="Có"),OR(DANH_MUC!$L$7&lt;&gt;"Có",O2541="Có"),OR(DANH_MUC!$L$8&lt;&gt;"Có",P2541="Có")),"Có","Không"))</f>
        <v/>
      </c>
      <c r="R2541" s="22">
        <f>IF($D2541="","",IF(COUNTIF($D$2:$D2541,$D2541)&gt;1,"Trùng",""))</f>
        <v/>
      </c>
      <c r="S2541" s="22">
        <f>IF($D2541="","",IF(AND(LEN($D2541)=10,LEFT($D2541,1)="0",ISNUMBER(--$D2541)),"Có","Không"))</f>
        <v/>
      </c>
      <c r="T2541" s="22">
        <f>IF($D2541="","",IF(AND($C2541&lt;&gt;"",$Q2541="Có",$R2541="",$S2541="Có",AND($L2541&lt;&gt;"",OR($L2541&lt;&gt;"Chưa xác định",DANH_MUC!$L$9="Có"))),"Có","Không"))</f>
        <v/>
      </c>
      <c r="U2541" s="22">
        <f>IF(OR($D2541="",$T2541="Có"),"",IF($C2541="","Thiếu họ tên; ","")&amp;IF($S2541&lt;&gt;"Có","SĐT sai định dạng; ","")&amp;IF($R2541="Trùng","Trùng SĐT; ","")&amp;IF($Q2541&lt;&gt;"Có","Thiếu đồng ý bắt buộc; ","")&amp;IF($L2541="","Thiếu/sai Mã REF; ",IF(AND($L2541="Chưa xác định",DANH_MUC!$L$9&lt;&gt;"Có"),"Nguồn chưa xác định; ","")))</f>
        <v/>
      </c>
      <c r="V2541" s="22">
        <f>IF(OR($D2541="",$R2541="Trùng"),"",IF(COUNTIF(ORDERS!$C$2:$C$4995,$D2541)&gt;0,"Có","Không"))</f>
        <v/>
      </c>
      <c r="W2541" s="22">
        <f>IF(OR($D2541="",$R2541="Trùng"),"",COUNTIFS(ORDERS!$C$2:$C$4995,$D2541,ORDERS!$L$2:$L$4995,"Đã chuyển khoản"))</f>
        <v/>
      </c>
      <c r="X2541" s="23">
        <f>IF(OR($D2541="",$R2541="Trùng"),"",SUMIFS(ORDERS!$J$2:$J$4995,ORDERS!$C$2:$C$4995,$D2541,ORDERS!$L$2:$L$4995,"Đã chuyển khoản"))</f>
        <v/>
      </c>
      <c r="Y2541" s="24" t="n"/>
    </row>
    <row r="2542" ht="14.25" customHeight="1" s="40">
      <c r="A2542" s="24" t="n"/>
      <c r="B2542" s="27" t="n"/>
      <c r="C2542" s="24" t="n"/>
      <c r="D2542" s="28" t="n"/>
      <c r="E2542" s="29" t="n"/>
      <c r="F2542" s="24" t="n"/>
      <c r="G2542" s="24" t="n"/>
      <c r="H2542" s="21">
        <f>IF(ISNUMBER($B2542),INT($B2542)-WEEKDAY($B2542,2)+1,"")</f>
        <v/>
      </c>
      <c r="I2542" s="24" t="n"/>
      <c r="J2542" s="22">
        <f t="array" ref="J2542">IF($D2542="","",IF($I2542="","(trống REF)",IFERROR(INDEX(MASTER_SOURCE!$B$2:$B$495,MATCH($I2542,MASTER_SOURCE!$A$2:$A$495,0)),"(REF không có trong MASTER_SOURCE)")))</f>
        <v/>
      </c>
      <c r="K2542" s="22">
        <f t="array" ref="K2542">IF($D2542="","",IFERROR(INDEX(MASTER_SOURCE!$C$2:$C$495,MATCH($I2542,MASTER_SOURCE!$A$2:$A$495,0)),""))</f>
        <v/>
      </c>
      <c r="L2542" s="22">
        <f t="array" ref="L2542">IF($D2542="","",IFERROR(INDEX(MASTER_SOURCE!$D$2:$D$495,MATCH($I2542,MASTER_SOURCE!$A$2:$A$495,0)),""))</f>
        <v/>
      </c>
      <c r="M2542" s="24" t="n"/>
      <c r="N2542" s="24" t="n"/>
      <c r="O2542" s="24" t="n"/>
      <c r="P2542" s="24" t="n"/>
      <c r="Q2542" s="22">
        <f>IF($D2542="","",IF(AND(OR(DANH_MUC!$L$5&lt;&gt;"Có",M2542="Có"),OR(DANH_MUC!$L$6&lt;&gt;"Có",N2542="Có"),OR(DANH_MUC!$L$7&lt;&gt;"Có",O2542="Có"),OR(DANH_MUC!$L$8&lt;&gt;"Có",P2542="Có")),"Có","Không"))</f>
        <v/>
      </c>
      <c r="R2542" s="22">
        <f>IF($D2542="","",IF(COUNTIF($D$2:$D2542,$D2542)&gt;1,"Trùng",""))</f>
        <v/>
      </c>
      <c r="S2542" s="22">
        <f>IF($D2542="","",IF(AND(LEN($D2542)=10,LEFT($D2542,1)="0",ISNUMBER(--$D2542)),"Có","Không"))</f>
        <v/>
      </c>
      <c r="T2542" s="22">
        <f>IF($D2542="","",IF(AND($C2542&lt;&gt;"",$Q2542="Có",$R2542="",$S2542="Có",AND($L2542&lt;&gt;"",OR($L2542&lt;&gt;"Chưa xác định",DANH_MUC!$L$9="Có"))),"Có","Không"))</f>
        <v/>
      </c>
      <c r="U2542" s="22">
        <f>IF(OR($D2542="",$T2542="Có"),"",IF($C2542="","Thiếu họ tên; ","")&amp;IF($S2542&lt;&gt;"Có","SĐT sai định dạng; ","")&amp;IF($R2542="Trùng","Trùng SĐT; ","")&amp;IF($Q2542&lt;&gt;"Có","Thiếu đồng ý bắt buộc; ","")&amp;IF($L2542="","Thiếu/sai Mã REF; ",IF(AND($L2542="Chưa xác định",DANH_MUC!$L$9&lt;&gt;"Có"),"Nguồn chưa xác định; ","")))</f>
        <v/>
      </c>
      <c r="V2542" s="22">
        <f>IF(OR($D2542="",$R2542="Trùng"),"",IF(COUNTIF(ORDERS!$C$2:$C$4995,$D2542)&gt;0,"Có","Không"))</f>
        <v/>
      </c>
      <c r="W2542" s="22">
        <f>IF(OR($D2542="",$R2542="Trùng"),"",COUNTIFS(ORDERS!$C$2:$C$4995,$D2542,ORDERS!$L$2:$L$4995,"Đã chuyển khoản"))</f>
        <v/>
      </c>
      <c r="X2542" s="23">
        <f>IF(OR($D2542="",$R2542="Trùng"),"",SUMIFS(ORDERS!$J$2:$J$4995,ORDERS!$C$2:$C$4995,$D2542,ORDERS!$L$2:$L$4995,"Đã chuyển khoản"))</f>
        <v/>
      </c>
      <c r="Y2542" s="24" t="n"/>
    </row>
    <row r="2543" ht="14.25" customHeight="1" s="40">
      <c r="A2543" s="24" t="n"/>
      <c r="B2543" s="27" t="n"/>
      <c r="C2543" s="24" t="n"/>
      <c r="D2543" s="28" t="n"/>
      <c r="E2543" s="29" t="n"/>
      <c r="F2543" s="24" t="n"/>
      <c r="G2543" s="24" t="n"/>
      <c r="H2543" s="21">
        <f>IF(ISNUMBER($B2543),INT($B2543)-WEEKDAY($B2543,2)+1,"")</f>
        <v/>
      </c>
      <c r="I2543" s="24" t="n"/>
      <c r="J2543" s="22">
        <f t="array" ref="J2543">IF($D2543="","",IF($I2543="","(trống REF)",IFERROR(INDEX(MASTER_SOURCE!$B$2:$B$495,MATCH($I2543,MASTER_SOURCE!$A$2:$A$495,0)),"(REF không có trong MASTER_SOURCE)")))</f>
        <v/>
      </c>
      <c r="K2543" s="22">
        <f t="array" ref="K2543">IF($D2543="","",IFERROR(INDEX(MASTER_SOURCE!$C$2:$C$495,MATCH($I2543,MASTER_SOURCE!$A$2:$A$495,0)),""))</f>
        <v/>
      </c>
      <c r="L2543" s="22">
        <f t="array" ref="L2543">IF($D2543="","",IFERROR(INDEX(MASTER_SOURCE!$D$2:$D$495,MATCH($I2543,MASTER_SOURCE!$A$2:$A$495,0)),""))</f>
        <v/>
      </c>
      <c r="M2543" s="24" t="n"/>
      <c r="N2543" s="24" t="n"/>
      <c r="O2543" s="24" t="n"/>
      <c r="P2543" s="24" t="n"/>
      <c r="Q2543" s="22">
        <f>IF($D2543="","",IF(AND(OR(DANH_MUC!$L$5&lt;&gt;"Có",M2543="Có"),OR(DANH_MUC!$L$6&lt;&gt;"Có",N2543="Có"),OR(DANH_MUC!$L$7&lt;&gt;"Có",O2543="Có"),OR(DANH_MUC!$L$8&lt;&gt;"Có",P2543="Có")),"Có","Không"))</f>
        <v/>
      </c>
      <c r="R2543" s="22">
        <f>IF($D2543="","",IF(COUNTIF($D$2:$D2543,$D2543)&gt;1,"Trùng",""))</f>
        <v/>
      </c>
      <c r="S2543" s="22">
        <f>IF($D2543="","",IF(AND(LEN($D2543)=10,LEFT($D2543,1)="0",ISNUMBER(--$D2543)),"Có","Không"))</f>
        <v/>
      </c>
      <c r="T2543" s="22">
        <f>IF($D2543="","",IF(AND($C2543&lt;&gt;"",$Q2543="Có",$R2543="",$S2543="Có",AND($L2543&lt;&gt;"",OR($L2543&lt;&gt;"Chưa xác định",DANH_MUC!$L$9="Có"))),"Có","Không"))</f>
        <v/>
      </c>
      <c r="U2543" s="22">
        <f>IF(OR($D2543="",$T2543="Có"),"",IF($C2543="","Thiếu họ tên; ","")&amp;IF($S2543&lt;&gt;"Có","SĐT sai định dạng; ","")&amp;IF($R2543="Trùng","Trùng SĐT; ","")&amp;IF($Q2543&lt;&gt;"Có","Thiếu đồng ý bắt buộc; ","")&amp;IF($L2543="","Thiếu/sai Mã REF; ",IF(AND($L2543="Chưa xác định",DANH_MUC!$L$9&lt;&gt;"Có"),"Nguồn chưa xác định; ","")))</f>
        <v/>
      </c>
      <c r="V2543" s="22">
        <f>IF(OR($D2543="",$R2543="Trùng"),"",IF(COUNTIF(ORDERS!$C$2:$C$4995,$D2543)&gt;0,"Có","Không"))</f>
        <v/>
      </c>
      <c r="W2543" s="22">
        <f>IF(OR($D2543="",$R2543="Trùng"),"",COUNTIFS(ORDERS!$C$2:$C$4995,$D2543,ORDERS!$L$2:$L$4995,"Đã chuyển khoản"))</f>
        <v/>
      </c>
      <c r="X2543" s="23">
        <f>IF(OR($D2543="",$R2543="Trùng"),"",SUMIFS(ORDERS!$J$2:$J$4995,ORDERS!$C$2:$C$4995,$D2543,ORDERS!$L$2:$L$4995,"Đã chuyển khoản"))</f>
        <v/>
      </c>
      <c r="Y2543" s="24" t="n"/>
    </row>
    <row r="2544" ht="14.25" customHeight="1" s="40">
      <c r="A2544" s="24" t="n"/>
      <c r="B2544" s="27" t="n"/>
      <c r="C2544" s="24" t="n"/>
      <c r="D2544" s="28" t="n"/>
      <c r="E2544" s="29" t="n"/>
      <c r="F2544" s="24" t="n"/>
      <c r="G2544" s="24" t="n"/>
      <c r="H2544" s="21">
        <f>IF(ISNUMBER($B2544),INT($B2544)-WEEKDAY($B2544,2)+1,"")</f>
        <v/>
      </c>
      <c r="I2544" s="24" t="n"/>
      <c r="J2544" s="22">
        <f t="array" ref="J2544">IF($D2544="","",IF($I2544="","(trống REF)",IFERROR(INDEX(MASTER_SOURCE!$B$2:$B$495,MATCH($I2544,MASTER_SOURCE!$A$2:$A$495,0)),"(REF không có trong MASTER_SOURCE)")))</f>
        <v/>
      </c>
      <c r="K2544" s="22">
        <f t="array" ref="K2544">IF($D2544="","",IFERROR(INDEX(MASTER_SOURCE!$C$2:$C$495,MATCH($I2544,MASTER_SOURCE!$A$2:$A$495,0)),""))</f>
        <v/>
      </c>
      <c r="L2544" s="22">
        <f t="array" ref="L2544">IF($D2544="","",IFERROR(INDEX(MASTER_SOURCE!$D$2:$D$495,MATCH($I2544,MASTER_SOURCE!$A$2:$A$495,0)),""))</f>
        <v/>
      </c>
      <c r="M2544" s="24" t="n"/>
      <c r="N2544" s="24" t="n"/>
      <c r="O2544" s="24" t="n"/>
      <c r="P2544" s="24" t="n"/>
      <c r="Q2544" s="22">
        <f>IF($D2544="","",IF(AND(OR(DANH_MUC!$L$5&lt;&gt;"Có",M2544="Có"),OR(DANH_MUC!$L$6&lt;&gt;"Có",N2544="Có"),OR(DANH_MUC!$L$7&lt;&gt;"Có",O2544="Có"),OR(DANH_MUC!$L$8&lt;&gt;"Có",P2544="Có")),"Có","Không"))</f>
        <v/>
      </c>
      <c r="R2544" s="22">
        <f>IF($D2544="","",IF(COUNTIF($D$2:$D2544,$D2544)&gt;1,"Trùng",""))</f>
        <v/>
      </c>
      <c r="S2544" s="22">
        <f>IF($D2544="","",IF(AND(LEN($D2544)=10,LEFT($D2544,1)="0",ISNUMBER(--$D2544)),"Có","Không"))</f>
        <v/>
      </c>
      <c r="T2544" s="22">
        <f>IF($D2544="","",IF(AND($C2544&lt;&gt;"",$Q2544="Có",$R2544="",$S2544="Có",AND($L2544&lt;&gt;"",OR($L2544&lt;&gt;"Chưa xác định",DANH_MUC!$L$9="Có"))),"Có","Không"))</f>
        <v/>
      </c>
      <c r="U2544" s="22">
        <f>IF(OR($D2544="",$T2544="Có"),"",IF($C2544="","Thiếu họ tên; ","")&amp;IF($S2544&lt;&gt;"Có","SĐT sai định dạng; ","")&amp;IF($R2544="Trùng","Trùng SĐT; ","")&amp;IF($Q2544&lt;&gt;"Có","Thiếu đồng ý bắt buộc; ","")&amp;IF($L2544="","Thiếu/sai Mã REF; ",IF(AND($L2544="Chưa xác định",DANH_MUC!$L$9&lt;&gt;"Có"),"Nguồn chưa xác định; ","")))</f>
        <v/>
      </c>
      <c r="V2544" s="22">
        <f>IF(OR($D2544="",$R2544="Trùng"),"",IF(COUNTIF(ORDERS!$C$2:$C$4995,$D2544)&gt;0,"Có","Không"))</f>
        <v/>
      </c>
      <c r="W2544" s="22">
        <f>IF(OR($D2544="",$R2544="Trùng"),"",COUNTIFS(ORDERS!$C$2:$C$4995,$D2544,ORDERS!$L$2:$L$4995,"Đã chuyển khoản"))</f>
        <v/>
      </c>
      <c r="X2544" s="23">
        <f>IF(OR($D2544="",$R2544="Trùng"),"",SUMIFS(ORDERS!$J$2:$J$4995,ORDERS!$C$2:$C$4995,$D2544,ORDERS!$L$2:$L$4995,"Đã chuyển khoản"))</f>
        <v/>
      </c>
      <c r="Y2544" s="24" t="n"/>
    </row>
    <row r="2545" ht="14.25" customHeight="1" s="40">
      <c r="A2545" s="24" t="n"/>
      <c r="B2545" s="27" t="n"/>
      <c r="C2545" s="24" t="n"/>
      <c r="D2545" s="28" t="n"/>
      <c r="E2545" s="29" t="n"/>
      <c r="F2545" s="24" t="n"/>
      <c r="G2545" s="24" t="n"/>
      <c r="H2545" s="21">
        <f>IF(ISNUMBER($B2545),INT($B2545)-WEEKDAY($B2545,2)+1,"")</f>
        <v/>
      </c>
      <c r="I2545" s="24" t="n"/>
      <c r="J2545" s="22">
        <f t="array" ref="J2545">IF($D2545="","",IF($I2545="","(trống REF)",IFERROR(INDEX(MASTER_SOURCE!$B$2:$B$495,MATCH($I2545,MASTER_SOURCE!$A$2:$A$495,0)),"(REF không có trong MASTER_SOURCE)")))</f>
        <v/>
      </c>
      <c r="K2545" s="22">
        <f t="array" ref="K2545">IF($D2545="","",IFERROR(INDEX(MASTER_SOURCE!$C$2:$C$495,MATCH($I2545,MASTER_SOURCE!$A$2:$A$495,0)),""))</f>
        <v/>
      </c>
      <c r="L2545" s="22">
        <f t="array" ref="L2545">IF($D2545="","",IFERROR(INDEX(MASTER_SOURCE!$D$2:$D$495,MATCH($I2545,MASTER_SOURCE!$A$2:$A$495,0)),""))</f>
        <v/>
      </c>
      <c r="M2545" s="24" t="n"/>
      <c r="N2545" s="24" t="n"/>
      <c r="O2545" s="24" t="n"/>
      <c r="P2545" s="24" t="n"/>
      <c r="Q2545" s="22">
        <f>IF($D2545="","",IF(AND(OR(DANH_MUC!$L$5&lt;&gt;"Có",M2545="Có"),OR(DANH_MUC!$L$6&lt;&gt;"Có",N2545="Có"),OR(DANH_MUC!$L$7&lt;&gt;"Có",O2545="Có"),OR(DANH_MUC!$L$8&lt;&gt;"Có",P2545="Có")),"Có","Không"))</f>
        <v/>
      </c>
      <c r="R2545" s="22">
        <f>IF($D2545="","",IF(COUNTIF($D$2:$D2545,$D2545)&gt;1,"Trùng",""))</f>
        <v/>
      </c>
      <c r="S2545" s="22">
        <f>IF($D2545="","",IF(AND(LEN($D2545)=10,LEFT($D2545,1)="0",ISNUMBER(--$D2545)),"Có","Không"))</f>
        <v/>
      </c>
      <c r="T2545" s="22">
        <f>IF($D2545="","",IF(AND($C2545&lt;&gt;"",$Q2545="Có",$R2545="",$S2545="Có",AND($L2545&lt;&gt;"",OR($L2545&lt;&gt;"Chưa xác định",DANH_MUC!$L$9="Có"))),"Có","Không"))</f>
        <v/>
      </c>
      <c r="U2545" s="22">
        <f>IF(OR($D2545="",$T2545="Có"),"",IF($C2545="","Thiếu họ tên; ","")&amp;IF($S2545&lt;&gt;"Có","SĐT sai định dạng; ","")&amp;IF($R2545="Trùng","Trùng SĐT; ","")&amp;IF($Q2545&lt;&gt;"Có","Thiếu đồng ý bắt buộc; ","")&amp;IF($L2545="","Thiếu/sai Mã REF; ",IF(AND($L2545="Chưa xác định",DANH_MUC!$L$9&lt;&gt;"Có"),"Nguồn chưa xác định; ","")))</f>
        <v/>
      </c>
      <c r="V2545" s="22">
        <f>IF(OR($D2545="",$R2545="Trùng"),"",IF(COUNTIF(ORDERS!$C$2:$C$4995,$D2545)&gt;0,"Có","Không"))</f>
        <v/>
      </c>
      <c r="W2545" s="22">
        <f>IF(OR($D2545="",$R2545="Trùng"),"",COUNTIFS(ORDERS!$C$2:$C$4995,$D2545,ORDERS!$L$2:$L$4995,"Đã chuyển khoản"))</f>
        <v/>
      </c>
      <c r="X2545" s="23">
        <f>IF(OR($D2545="",$R2545="Trùng"),"",SUMIFS(ORDERS!$J$2:$J$4995,ORDERS!$C$2:$C$4995,$D2545,ORDERS!$L$2:$L$4995,"Đã chuyển khoản"))</f>
        <v/>
      </c>
      <c r="Y2545" s="24" t="n"/>
    </row>
    <row r="2546" ht="14.25" customHeight="1" s="40">
      <c r="A2546" s="24" t="n"/>
      <c r="B2546" s="27" t="n"/>
      <c r="C2546" s="24" t="n"/>
      <c r="D2546" s="28" t="n"/>
      <c r="E2546" s="29" t="n"/>
      <c r="F2546" s="24" t="n"/>
      <c r="G2546" s="24" t="n"/>
      <c r="H2546" s="21">
        <f>IF(ISNUMBER($B2546),INT($B2546)-WEEKDAY($B2546,2)+1,"")</f>
        <v/>
      </c>
      <c r="I2546" s="24" t="n"/>
      <c r="J2546" s="22">
        <f t="array" ref="J2546">IF($D2546="","",IF($I2546="","(trống REF)",IFERROR(INDEX(MASTER_SOURCE!$B$2:$B$495,MATCH($I2546,MASTER_SOURCE!$A$2:$A$495,0)),"(REF không có trong MASTER_SOURCE)")))</f>
        <v/>
      </c>
      <c r="K2546" s="22">
        <f t="array" ref="K2546">IF($D2546="","",IFERROR(INDEX(MASTER_SOURCE!$C$2:$C$495,MATCH($I2546,MASTER_SOURCE!$A$2:$A$495,0)),""))</f>
        <v/>
      </c>
      <c r="L2546" s="22">
        <f t="array" ref="L2546">IF($D2546="","",IFERROR(INDEX(MASTER_SOURCE!$D$2:$D$495,MATCH($I2546,MASTER_SOURCE!$A$2:$A$495,0)),""))</f>
        <v/>
      </c>
      <c r="M2546" s="24" t="n"/>
      <c r="N2546" s="24" t="n"/>
      <c r="O2546" s="24" t="n"/>
      <c r="P2546" s="24" t="n"/>
      <c r="Q2546" s="22">
        <f>IF($D2546="","",IF(AND(OR(DANH_MUC!$L$5&lt;&gt;"Có",M2546="Có"),OR(DANH_MUC!$L$6&lt;&gt;"Có",N2546="Có"),OR(DANH_MUC!$L$7&lt;&gt;"Có",O2546="Có"),OR(DANH_MUC!$L$8&lt;&gt;"Có",P2546="Có")),"Có","Không"))</f>
        <v/>
      </c>
      <c r="R2546" s="22">
        <f>IF($D2546="","",IF(COUNTIF($D$2:$D2546,$D2546)&gt;1,"Trùng",""))</f>
        <v/>
      </c>
      <c r="S2546" s="22">
        <f>IF($D2546="","",IF(AND(LEN($D2546)=10,LEFT($D2546,1)="0",ISNUMBER(--$D2546)),"Có","Không"))</f>
        <v/>
      </c>
      <c r="T2546" s="22">
        <f>IF($D2546="","",IF(AND($C2546&lt;&gt;"",$Q2546="Có",$R2546="",$S2546="Có",AND($L2546&lt;&gt;"",OR($L2546&lt;&gt;"Chưa xác định",DANH_MUC!$L$9="Có"))),"Có","Không"))</f>
        <v/>
      </c>
      <c r="U2546" s="22">
        <f>IF(OR($D2546="",$T2546="Có"),"",IF($C2546="","Thiếu họ tên; ","")&amp;IF($S2546&lt;&gt;"Có","SĐT sai định dạng; ","")&amp;IF($R2546="Trùng","Trùng SĐT; ","")&amp;IF($Q2546&lt;&gt;"Có","Thiếu đồng ý bắt buộc; ","")&amp;IF($L2546="","Thiếu/sai Mã REF; ",IF(AND($L2546="Chưa xác định",DANH_MUC!$L$9&lt;&gt;"Có"),"Nguồn chưa xác định; ","")))</f>
        <v/>
      </c>
      <c r="V2546" s="22">
        <f>IF(OR($D2546="",$R2546="Trùng"),"",IF(COUNTIF(ORDERS!$C$2:$C$4995,$D2546)&gt;0,"Có","Không"))</f>
        <v/>
      </c>
      <c r="W2546" s="22">
        <f>IF(OR($D2546="",$R2546="Trùng"),"",COUNTIFS(ORDERS!$C$2:$C$4995,$D2546,ORDERS!$L$2:$L$4995,"Đã chuyển khoản"))</f>
        <v/>
      </c>
      <c r="X2546" s="23">
        <f>IF(OR($D2546="",$R2546="Trùng"),"",SUMIFS(ORDERS!$J$2:$J$4995,ORDERS!$C$2:$C$4995,$D2546,ORDERS!$L$2:$L$4995,"Đã chuyển khoản"))</f>
        <v/>
      </c>
      <c r="Y2546" s="24" t="n"/>
    </row>
    <row r="2547" ht="14.25" customHeight="1" s="40">
      <c r="A2547" s="24" t="n"/>
      <c r="B2547" s="27" t="n"/>
      <c r="C2547" s="24" t="n"/>
      <c r="D2547" s="28" t="n"/>
      <c r="E2547" s="29" t="n"/>
      <c r="F2547" s="24" t="n"/>
      <c r="G2547" s="24" t="n"/>
      <c r="H2547" s="21">
        <f>IF(ISNUMBER($B2547),INT($B2547)-WEEKDAY($B2547,2)+1,"")</f>
        <v/>
      </c>
      <c r="I2547" s="24" t="n"/>
      <c r="J2547" s="22">
        <f t="array" ref="J2547">IF($D2547="","",IF($I2547="","(trống REF)",IFERROR(INDEX(MASTER_SOURCE!$B$2:$B$495,MATCH($I2547,MASTER_SOURCE!$A$2:$A$495,0)),"(REF không có trong MASTER_SOURCE)")))</f>
        <v/>
      </c>
      <c r="K2547" s="22">
        <f t="array" ref="K2547">IF($D2547="","",IFERROR(INDEX(MASTER_SOURCE!$C$2:$C$495,MATCH($I2547,MASTER_SOURCE!$A$2:$A$495,0)),""))</f>
        <v/>
      </c>
      <c r="L2547" s="22">
        <f t="array" ref="L2547">IF($D2547="","",IFERROR(INDEX(MASTER_SOURCE!$D$2:$D$495,MATCH($I2547,MASTER_SOURCE!$A$2:$A$495,0)),""))</f>
        <v/>
      </c>
      <c r="M2547" s="24" t="n"/>
      <c r="N2547" s="24" t="n"/>
      <c r="O2547" s="24" t="n"/>
      <c r="P2547" s="24" t="n"/>
      <c r="Q2547" s="22">
        <f>IF($D2547="","",IF(AND(OR(DANH_MUC!$L$5&lt;&gt;"Có",M2547="Có"),OR(DANH_MUC!$L$6&lt;&gt;"Có",N2547="Có"),OR(DANH_MUC!$L$7&lt;&gt;"Có",O2547="Có"),OR(DANH_MUC!$L$8&lt;&gt;"Có",P2547="Có")),"Có","Không"))</f>
        <v/>
      </c>
      <c r="R2547" s="22">
        <f>IF($D2547="","",IF(COUNTIF($D$2:$D2547,$D2547)&gt;1,"Trùng",""))</f>
        <v/>
      </c>
      <c r="S2547" s="22">
        <f>IF($D2547="","",IF(AND(LEN($D2547)=10,LEFT($D2547,1)="0",ISNUMBER(--$D2547)),"Có","Không"))</f>
        <v/>
      </c>
      <c r="T2547" s="22">
        <f>IF($D2547="","",IF(AND($C2547&lt;&gt;"",$Q2547="Có",$R2547="",$S2547="Có",AND($L2547&lt;&gt;"",OR($L2547&lt;&gt;"Chưa xác định",DANH_MUC!$L$9="Có"))),"Có","Không"))</f>
        <v/>
      </c>
      <c r="U2547" s="22">
        <f>IF(OR($D2547="",$T2547="Có"),"",IF($C2547="","Thiếu họ tên; ","")&amp;IF($S2547&lt;&gt;"Có","SĐT sai định dạng; ","")&amp;IF($R2547="Trùng","Trùng SĐT; ","")&amp;IF($Q2547&lt;&gt;"Có","Thiếu đồng ý bắt buộc; ","")&amp;IF($L2547="","Thiếu/sai Mã REF; ",IF(AND($L2547="Chưa xác định",DANH_MUC!$L$9&lt;&gt;"Có"),"Nguồn chưa xác định; ","")))</f>
        <v/>
      </c>
      <c r="V2547" s="22">
        <f>IF(OR($D2547="",$R2547="Trùng"),"",IF(COUNTIF(ORDERS!$C$2:$C$4995,$D2547)&gt;0,"Có","Không"))</f>
        <v/>
      </c>
      <c r="W2547" s="22">
        <f>IF(OR($D2547="",$R2547="Trùng"),"",COUNTIFS(ORDERS!$C$2:$C$4995,$D2547,ORDERS!$L$2:$L$4995,"Đã chuyển khoản"))</f>
        <v/>
      </c>
      <c r="X2547" s="23">
        <f>IF(OR($D2547="",$R2547="Trùng"),"",SUMIFS(ORDERS!$J$2:$J$4995,ORDERS!$C$2:$C$4995,$D2547,ORDERS!$L$2:$L$4995,"Đã chuyển khoản"))</f>
        <v/>
      </c>
      <c r="Y2547" s="24" t="n"/>
    </row>
    <row r="2548" ht="14.25" customHeight="1" s="40">
      <c r="A2548" s="24" t="n"/>
      <c r="B2548" s="27" t="n"/>
      <c r="C2548" s="24" t="n"/>
      <c r="D2548" s="28" t="n"/>
      <c r="E2548" s="29" t="n"/>
      <c r="F2548" s="24" t="n"/>
      <c r="G2548" s="24" t="n"/>
      <c r="H2548" s="21">
        <f>IF(ISNUMBER($B2548),INT($B2548)-WEEKDAY($B2548,2)+1,"")</f>
        <v/>
      </c>
      <c r="I2548" s="24" t="n"/>
      <c r="J2548" s="22">
        <f t="array" ref="J2548">IF($D2548="","",IF($I2548="","(trống REF)",IFERROR(INDEX(MASTER_SOURCE!$B$2:$B$495,MATCH($I2548,MASTER_SOURCE!$A$2:$A$495,0)),"(REF không có trong MASTER_SOURCE)")))</f>
        <v/>
      </c>
      <c r="K2548" s="22">
        <f t="array" ref="K2548">IF($D2548="","",IFERROR(INDEX(MASTER_SOURCE!$C$2:$C$495,MATCH($I2548,MASTER_SOURCE!$A$2:$A$495,0)),""))</f>
        <v/>
      </c>
      <c r="L2548" s="22">
        <f t="array" ref="L2548">IF($D2548="","",IFERROR(INDEX(MASTER_SOURCE!$D$2:$D$495,MATCH($I2548,MASTER_SOURCE!$A$2:$A$495,0)),""))</f>
        <v/>
      </c>
      <c r="M2548" s="24" t="n"/>
      <c r="N2548" s="24" t="n"/>
      <c r="O2548" s="24" t="n"/>
      <c r="P2548" s="24" t="n"/>
      <c r="Q2548" s="22">
        <f>IF($D2548="","",IF(AND(OR(DANH_MUC!$L$5&lt;&gt;"Có",M2548="Có"),OR(DANH_MUC!$L$6&lt;&gt;"Có",N2548="Có"),OR(DANH_MUC!$L$7&lt;&gt;"Có",O2548="Có"),OR(DANH_MUC!$L$8&lt;&gt;"Có",P2548="Có")),"Có","Không"))</f>
        <v/>
      </c>
      <c r="R2548" s="22">
        <f>IF($D2548="","",IF(COUNTIF($D$2:$D2548,$D2548)&gt;1,"Trùng",""))</f>
        <v/>
      </c>
      <c r="S2548" s="22">
        <f>IF($D2548="","",IF(AND(LEN($D2548)=10,LEFT($D2548,1)="0",ISNUMBER(--$D2548)),"Có","Không"))</f>
        <v/>
      </c>
      <c r="T2548" s="22">
        <f>IF($D2548="","",IF(AND($C2548&lt;&gt;"",$Q2548="Có",$R2548="",$S2548="Có",AND($L2548&lt;&gt;"",OR($L2548&lt;&gt;"Chưa xác định",DANH_MUC!$L$9="Có"))),"Có","Không"))</f>
        <v/>
      </c>
      <c r="U2548" s="22">
        <f>IF(OR($D2548="",$T2548="Có"),"",IF($C2548="","Thiếu họ tên; ","")&amp;IF($S2548&lt;&gt;"Có","SĐT sai định dạng; ","")&amp;IF($R2548="Trùng","Trùng SĐT; ","")&amp;IF($Q2548&lt;&gt;"Có","Thiếu đồng ý bắt buộc; ","")&amp;IF($L2548="","Thiếu/sai Mã REF; ",IF(AND($L2548="Chưa xác định",DANH_MUC!$L$9&lt;&gt;"Có"),"Nguồn chưa xác định; ","")))</f>
        <v/>
      </c>
      <c r="V2548" s="22">
        <f>IF(OR($D2548="",$R2548="Trùng"),"",IF(COUNTIF(ORDERS!$C$2:$C$4995,$D2548)&gt;0,"Có","Không"))</f>
        <v/>
      </c>
      <c r="W2548" s="22">
        <f>IF(OR($D2548="",$R2548="Trùng"),"",COUNTIFS(ORDERS!$C$2:$C$4995,$D2548,ORDERS!$L$2:$L$4995,"Đã chuyển khoản"))</f>
        <v/>
      </c>
      <c r="X2548" s="23">
        <f>IF(OR($D2548="",$R2548="Trùng"),"",SUMIFS(ORDERS!$J$2:$J$4995,ORDERS!$C$2:$C$4995,$D2548,ORDERS!$L$2:$L$4995,"Đã chuyển khoản"))</f>
        <v/>
      </c>
      <c r="Y2548" s="24" t="n"/>
    </row>
    <row r="2549" ht="14.25" customHeight="1" s="40">
      <c r="A2549" s="24" t="n"/>
      <c r="B2549" s="27" t="n"/>
      <c r="C2549" s="24" t="n"/>
      <c r="D2549" s="28" t="n"/>
      <c r="E2549" s="29" t="n"/>
      <c r="F2549" s="24" t="n"/>
      <c r="G2549" s="24" t="n"/>
      <c r="H2549" s="21">
        <f>IF(ISNUMBER($B2549),INT($B2549)-WEEKDAY($B2549,2)+1,"")</f>
        <v/>
      </c>
      <c r="I2549" s="24" t="n"/>
      <c r="J2549" s="22">
        <f t="array" ref="J2549">IF($D2549="","",IF($I2549="","(trống REF)",IFERROR(INDEX(MASTER_SOURCE!$B$2:$B$495,MATCH($I2549,MASTER_SOURCE!$A$2:$A$495,0)),"(REF không có trong MASTER_SOURCE)")))</f>
        <v/>
      </c>
      <c r="K2549" s="22">
        <f t="array" ref="K2549">IF($D2549="","",IFERROR(INDEX(MASTER_SOURCE!$C$2:$C$495,MATCH($I2549,MASTER_SOURCE!$A$2:$A$495,0)),""))</f>
        <v/>
      </c>
      <c r="L2549" s="22">
        <f t="array" ref="L2549">IF($D2549="","",IFERROR(INDEX(MASTER_SOURCE!$D$2:$D$495,MATCH($I2549,MASTER_SOURCE!$A$2:$A$495,0)),""))</f>
        <v/>
      </c>
      <c r="M2549" s="24" t="n"/>
      <c r="N2549" s="24" t="n"/>
      <c r="O2549" s="24" t="n"/>
      <c r="P2549" s="24" t="n"/>
      <c r="Q2549" s="22">
        <f>IF($D2549="","",IF(AND(OR(DANH_MUC!$L$5&lt;&gt;"Có",M2549="Có"),OR(DANH_MUC!$L$6&lt;&gt;"Có",N2549="Có"),OR(DANH_MUC!$L$7&lt;&gt;"Có",O2549="Có"),OR(DANH_MUC!$L$8&lt;&gt;"Có",P2549="Có")),"Có","Không"))</f>
        <v/>
      </c>
      <c r="R2549" s="22">
        <f>IF($D2549="","",IF(COUNTIF($D$2:$D2549,$D2549)&gt;1,"Trùng",""))</f>
        <v/>
      </c>
      <c r="S2549" s="22">
        <f>IF($D2549="","",IF(AND(LEN($D2549)=10,LEFT($D2549,1)="0",ISNUMBER(--$D2549)),"Có","Không"))</f>
        <v/>
      </c>
      <c r="T2549" s="22">
        <f>IF($D2549="","",IF(AND($C2549&lt;&gt;"",$Q2549="Có",$R2549="",$S2549="Có",AND($L2549&lt;&gt;"",OR($L2549&lt;&gt;"Chưa xác định",DANH_MUC!$L$9="Có"))),"Có","Không"))</f>
        <v/>
      </c>
      <c r="U2549" s="22">
        <f>IF(OR($D2549="",$T2549="Có"),"",IF($C2549="","Thiếu họ tên; ","")&amp;IF($S2549&lt;&gt;"Có","SĐT sai định dạng; ","")&amp;IF($R2549="Trùng","Trùng SĐT; ","")&amp;IF($Q2549&lt;&gt;"Có","Thiếu đồng ý bắt buộc; ","")&amp;IF($L2549="","Thiếu/sai Mã REF; ",IF(AND($L2549="Chưa xác định",DANH_MUC!$L$9&lt;&gt;"Có"),"Nguồn chưa xác định; ","")))</f>
        <v/>
      </c>
      <c r="V2549" s="22">
        <f>IF(OR($D2549="",$R2549="Trùng"),"",IF(COUNTIF(ORDERS!$C$2:$C$4995,$D2549)&gt;0,"Có","Không"))</f>
        <v/>
      </c>
      <c r="W2549" s="22">
        <f>IF(OR($D2549="",$R2549="Trùng"),"",COUNTIFS(ORDERS!$C$2:$C$4995,$D2549,ORDERS!$L$2:$L$4995,"Đã chuyển khoản"))</f>
        <v/>
      </c>
      <c r="X2549" s="23">
        <f>IF(OR($D2549="",$R2549="Trùng"),"",SUMIFS(ORDERS!$J$2:$J$4995,ORDERS!$C$2:$C$4995,$D2549,ORDERS!$L$2:$L$4995,"Đã chuyển khoản"))</f>
        <v/>
      </c>
      <c r="Y2549" s="24" t="n"/>
    </row>
    <row r="2550" ht="14.25" customHeight="1" s="40">
      <c r="A2550" s="24" t="n"/>
      <c r="B2550" s="27" t="n"/>
      <c r="C2550" s="24" t="n"/>
      <c r="D2550" s="28" t="n"/>
      <c r="E2550" s="29" t="n"/>
      <c r="F2550" s="24" t="n"/>
      <c r="G2550" s="24" t="n"/>
      <c r="H2550" s="21">
        <f>IF(ISNUMBER($B2550),INT($B2550)-WEEKDAY($B2550,2)+1,"")</f>
        <v/>
      </c>
      <c r="I2550" s="24" t="n"/>
      <c r="J2550" s="22">
        <f t="array" ref="J2550">IF($D2550="","",IF($I2550="","(trống REF)",IFERROR(INDEX(MASTER_SOURCE!$B$2:$B$495,MATCH($I2550,MASTER_SOURCE!$A$2:$A$495,0)),"(REF không có trong MASTER_SOURCE)")))</f>
        <v/>
      </c>
      <c r="K2550" s="22">
        <f t="array" ref="K2550">IF($D2550="","",IFERROR(INDEX(MASTER_SOURCE!$C$2:$C$495,MATCH($I2550,MASTER_SOURCE!$A$2:$A$495,0)),""))</f>
        <v/>
      </c>
      <c r="L2550" s="22">
        <f t="array" ref="L2550">IF($D2550="","",IFERROR(INDEX(MASTER_SOURCE!$D$2:$D$495,MATCH($I2550,MASTER_SOURCE!$A$2:$A$495,0)),""))</f>
        <v/>
      </c>
      <c r="M2550" s="24" t="n"/>
      <c r="N2550" s="24" t="n"/>
      <c r="O2550" s="24" t="n"/>
      <c r="P2550" s="24" t="n"/>
      <c r="Q2550" s="22">
        <f>IF($D2550="","",IF(AND(OR(DANH_MUC!$L$5&lt;&gt;"Có",M2550="Có"),OR(DANH_MUC!$L$6&lt;&gt;"Có",N2550="Có"),OR(DANH_MUC!$L$7&lt;&gt;"Có",O2550="Có"),OR(DANH_MUC!$L$8&lt;&gt;"Có",P2550="Có")),"Có","Không"))</f>
        <v/>
      </c>
      <c r="R2550" s="22">
        <f>IF($D2550="","",IF(COUNTIF($D$2:$D2550,$D2550)&gt;1,"Trùng",""))</f>
        <v/>
      </c>
      <c r="S2550" s="22">
        <f>IF($D2550="","",IF(AND(LEN($D2550)=10,LEFT($D2550,1)="0",ISNUMBER(--$D2550)),"Có","Không"))</f>
        <v/>
      </c>
      <c r="T2550" s="22">
        <f>IF($D2550="","",IF(AND($C2550&lt;&gt;"",$Q2550="Có",$R2550="",$S2550="Có",AND($L2550&lt;&gt;"",OR($L2550&lt;&gt;"Chưa xác định",DANH_MUC!$L$9="Có"))),"Có","Không"))</f>
        <v/>
      </c>
      <c r="U2550" s="22">
        <f>IF(OR($D2550="",$T2550="Có"),"",IF($C2550="","Thiếu họ tên; ","")&amp;IF($S2550&lt;&gt;"Có","SĐT sai định dạng; ","")&amp;IF($R2550="Trùng","Trùng SĐT; ","")&amp;IF($Q2550&lt;&gt;"Có","Thiếu đồng ý bắt buộc; ","")&amp;IF($L2550="","Thiếu/sai Mã REF; ",IF(AND($L2550="Chưa xác định",DANH_MUC!$L$9&lt;&gt;"Có"),"Nguồn chưa xác định; ","")))</f>
        <v/>
      </c>
      <c r="V2550" s="22">
        <f>IF(OR($D2550="",$R2550="Trùng"),"",IF(COUNTIF(ORDERS!$C$2:$C$4995,$D2550)&gt;0,"Có","Không"))</f>
        <v/>
      </c>
      <c r="W2550" s="22">
        <f>IF(OR($D2550="",$R2550="Trùng"),"",COUNTIFS(ORDERS!$C$2:$C$4995,$D2550,ORDERS!$L$2:$L$4995,"Đã chuyển khoản"))</f>
        <v/>
      </c>
      <c r="X2550" s="23">
        <f>IF(OR($D2550="",$R2550="Trùng"),"",SUMIFS(ORDERS!$J$2:$J$4995,ORDERS!$C$2:$C$4995,$D2550,ORDERS!$L$2:$L$4995,"Đã chuyển khoản"))</f>
        <v/>
      </c>
      <c r="Y2550" s="24" t="n"/>
    </row>
    <row r="2551" ht="14.25" customHeight="1" s="40">
      <c r="A2551" s="24" t="n"/>
      <c r="B2551" s="27" t="n"/>
      <c r="C2551" s="24" t="n"/>
      <c r="D2551" s="28" t="n"/>
      <c r="E2551" s="29" t="n"/>
      <c r="F2551" s="24" t="n"/>
      <c r="G2551" s="24" t="n"/>
      <c r="H2551" s="21">
        <f>IF(ISNUMBER($B2551),INT($B2551)-WEEKDAY($B2551,2)+1,"")</f>
        <v/>
      </c>
      <c r="I2551" s="24" t="n"/>
      <c r="J2551" s="22">
        <f t="array" ref="J2551">IF($D2551="","",IF($I2551="","(trống REF)",IFERROR(INDEX(MASTER_SOURCE!$B$2:$B$495,MATCH($I2551,MASTER_SOURCE!$A$2:$A$495,0)),"(REF không có trong MASTER_SOURCE)")))</f>
        <v/>
      </c>
      <c r="K2551" s="22">
        <f t="array" ref="K2551">IF($D2551="","",IFERROR(INDEX(MASTER_SOURCE!$C$2:$C$495,MATCH($I2551,MASTER_SOURCE!$A$2:$A$495,0)),""))</f>
        <v/>
      </c>
      <c r="L2551" s="22">
        <f t="array" ref="L2551">IF($D2551="","",IFERROR(INDEX(MASTER_SOURCE!$D$2:$D$495,MATCH($I2551,MASTER_SOURCE!$A$2:$A$495,0)),""))</f>
        <v/>
      </c>
      <c r="M2551" s="24" t="n"/>
      <c r="N2551" s="24" t="n"/>
      <c r="O2551" s="24" t="n"/>
      <c r="P2551" s="24" t="n"/>
      <c r="Q2551" s="22">
        <f>IF($D2551="","",IF(AND(OR(DANH_MUC!$L$5&lt;&gt;"Có",M2551="Có"),OR(DANH_MUC!$L$6&lt;&gt;"Có",N2551="Có"),OR(DANH_MUC!$L$7&lt;&gt;"Có",O2551="Có"),OR(DANH_MUC!$L$8&lt;&gt;"Có",P2551="Có")),"Có","Không"))</f>
        <v/>
      </c>
      <c r="R2551" s="22">
        <f>IF($D2551="","",IF(COUNTIF($D$2:$D2551,$D2551)&gt;1,"Trùng",""))</f>
        <v/>
      </c>
      <c r="S2551" s="22">
        <f>IF($D2551="","",IF(AND(LEN($D2551)=10,LEFT($D2551,1)="0",ISNUMBER(--$D2551)),"Có","Không"))</f>
        <v/>
      </c>
      <c r="T2551" s="22">
        <f>IF($D2551="","",IF(AND($C2551&lt;&gt;"",$Q2551="Có",$R2551="",$S2551="Có",AND($L2551&lt;&gt;"",OR($L2551&lt;&gt;"Chưa xác định",DANH_MUC!$L$9="Có"))),"Có","Không"))</f>
        <v/>
      </c>
      <c r="U2551" s="22">
        <f>IF(OR($D2551="",$T2551="Có"),"",IF($C2551="","Thiếu họ tên; ","")&amp;IF($S2551&lt;&gt;"Có","SĐT sai định dạng; ","")&amp;IF($R2551="Trùng","Trùng SĐT; ","")&amp;IF($Q2551&lt;&gt;"Có","Thiếu đồng ý bắt buộc; ","")&amp;IF($L2551="","Thiếu/sai Mã REF; ",IF(AND($L2551="Chưa xác định",DANH_MUC!$L$9&lt;&gt;"Có"),"Nguồn chưa xác định; ","")))</f>
        <v/>
      </c>
      <c r="V2551" s="22">
        <f>IF(OR($D2551="",$R2551="Trùng"),"",IF(COUNTIF(ORDERS!$C$2:$C$4995,$D2551)&gt;0,"Có","Không"))</f>
        <v/>
      </c>
      <c r="W2551" s="22">
        <f>IF(OR($D2551="",$R2551="Trùng"),"",COUNTIFS(ORDERS!$C$2:$C$4995,$D2551,ORDERS!$L$2:$L$4995,"Đã chuyển khoản"))</f>
        <v/>
      </c>
      <c r="X2551" s="23">
        <f>IF(OR($D2551="",$R2551="Trùng"),"",SUMIFS(ORDERS!$J$2:$J$4995,ORDERS!$C$2:$C$4995,$D2551,ORDERS!$L$2:$L$4995,"Đã chuyển khoản"))</f>
        <v/>
      </c>
      <c r="Y2551" s="24" t="n"/>
    </row>
    <row r="2552" ht="14.25" customHeight="1" s="40">
      <c r="A2552" s="24" t="n"/>
      <c r="B2552" s="27" t="n"/>
      <c r="C2552" s="24" t="n"/>
      <c r="D2552" s="28" t="n"/>
      <c r="E2552" s="29" t="n"/>
      <c r="F2552" s="24" t="n"/>
      <c r="G2552" s="24" t="n"/>
      <c r="H2552" s="21">
        <f>IF(ISNUMBER($B2552),INT($B2552)-WEEKDAY($B2552,2)+1,"")</f>
        <v/>
      </c>
      <c r="I2552" s="24" t="n"/>
      <c r="J2552" s="22">
        <f t="array" ref="J2552">IF($D2552="","",IF($I2552="","(trống REF)",IFERROR(INDEX(MASTER_SOURCE!$B$2:$B$495,MATCH($I2552,MASTER_SOURCE!$A$2:$A$495,0)),"(REF không có trong MASTER_SOURCE)")))</f>
        <v/>
      </c>
      <c r="K2552" s="22">
        <f t="array" ref="K2552">IF($D2552="","",IFERROR(INDEX(MASTER_SOURCE!$C$2:$C$495,MATCH($I2552,MASTER_SOURCE!$A$2:$A$495,0)),""))</f>
        <v/>
      </c>
      <c r="L2552" s="22">
        <f t="array" ref="L2552">IF($D2552="","",IFERROR(INDEX(MASTER_SOURCE!$D$2:$D$495,MATCH($I2552,MASTER_SOURCE!$A$2:$A$495,0)),""))</f>
        <v/>
      </c>
      <c r="M2552" s="24" t="n"/>
      <c r="N2552" s="24" t="n"/>
      <c r="O2552" s="24" t="n"/>
      <c r="P2552" s="24" t="n"/>
      <c r="Q2552" s="22">
        <f>IF($D2552="","",IF(AND(OR(DANH_MUC!$L$5&lt;&gt;"Có",M2552="Có"),OR(DANH_MUC!$L$6&lt;&gt;"Có",N2552="Có"),OR(DANH_MUC!$L$7&lt;&gt;"Có",O2552="Có"),OR(DANH_MUC!$L$8&lt;&gt;"Có",P2552="Có")),"Có","Không"))</f>
        <v/>
      </c>
      <c r="R2552" s="22">
        <f>IF($D2552="","",IF(COUNTIF($D$2:$D2552,$D2552)&gt;1,"Trùng",""))</f>
        <v/>
      </c>
      <c r="S2552" s="22">
        <f>IF($D2552="","",IF(AND(LEN($D2552)=10,LEFT($D2552,1)="0",ISNUMBER(--$D2552)),"Có","Không"))</f>
        <v/>
      </c>
      <c r="T2552" s="22">
        <f>IF($D2552="","",IF(AND($C2552&lt;&gt;"",$Q2552="Có",$R2552="",$S2552="Có",AND($L2552&lt;&gt;"",OR($L2552&lt;&gt;"Chưa xác định",DANH_MUC!$L$9="Có"))),"Có","Không"))</f>
        <v/>
      </c>
      <c r="U2552" s="22">
        <f>IF(OR($D2552="",$T2552="Có"),"",IF($C2552="","Thiếu họ tên; ","")&amp;IF($S2552&lt;&gt;"Có","SĐT sai định dạng; ","")&amp;IF($R2552="Trùng","Trùng SĐT; ","")&amp;IF($Q2552&lt;&gt;"Có","Thiếu đồng ý bắt buộc; ","")&amp;IF($L2552="","Thiếu/sai Mã REF; ",IF(AND($L2552="Chưa xác định",DANH_MUC!$L$9&lt;&gt;"Có"),"Nguồn chưa xác định; ","")))</f>
        <v/>
      </c>
      <c r="V2552" s="22">
        <f>IF(OR($D2552="",$R2552="Trùng"),"",IF(COUNTIF(ORDERS!$C$2:$C$4995,$D2552)&gt;0,"Có","Không"))</f>
        <v/>
      </c>
      <c r="W2552" s="22">
        <f>IF(OR($D2552="",$R2552="Trùng"),"",COUNTIFS(ORDERS!$C$2:$C$4995,$D2552,ORDERS!$L$2:$L$4995,"Đã chuyển khoản"))</f>
        <v/>
      </c>
      <c r="X2552" s="23">
        <f>IF(OR($D2552="",$R2552="Trùng"),"",SUMIFS(ORDERS!$J$2:$J$4995,ORDERS!$C$2:$C$4995,$D2552,ORDERS!$L$2:$L$4995,"Đã chuyển khoản"))</f>
        <v/>
      </c>
      <c r="Y2552" s="24" t="n"/>
    </row>
    <row r="2553" ht="14.25" customHeight="1" s="40">
      <c r="A2553" s="24" t="n"/>
      <c r="B2553" s="27" t="n"/>
      <c r="C2553" s="24" t="n"/>
      <c r="D2553" s="28" t="n"/>
      <c r="E2553" s="29" t="n"/>
      <c r="F2553" s="24" t="n"/>
      <c r="G2553" s="24" t="n"/>
      <c r="H2553" s="21">
        <f>IF(ISNUMBER($B2553),INT($B2553)-WEEKDAY($B2553,2)+1,"")</f>
        <v/>
      </c>
      <c r="I2553" s="24" t="n"/>
      <c r="J2553" s="22">
        <f t="array" ref="J2553">IF($D2553="","",IF($I2553="","(trống REF)",IFERROR(INDEX(MASTER_SOURCE!$B$2:$B$495,MATCH($I2553,MASTER_SOURCE!$A$2:$A$495,0)),"(REF không có trong MASTER_SOURCE)")))</f>
        <v/>
      </c>
      <c r="K2553" s="22">
        <f t="array" ref="K2553">IF($D2553="","",IFERROR(INDEX(MASTER_SOURCE!$C$2:$C$495,MATCH($I2553,MASTER_SOURCE!$A$2:$A$495,0)),""))</f>
        <v/>
      </c>
      <c r="L2553" s="22">
        <f t="array" ref="L2553">IF($D2553="","",IFERROR(INDEX(MASTER_SOURCE!$D$2:$D$495,MATCH($I2553,MASTER_SOURCE!$A$2:$A$495,0)),""))</f>
        <v/>
      </c>
      <c r="M2553" s="24" t="n"/>
      <c r="N2553" s="24" t="n"/>
      <c r="O2553" s="24" t="n"/>
      <c r="P2553" s="24" t="n"/>
      <c r="Q2553" s="22">
        <f>IF($D2553="","",IF(AND(OR(DANH_MUC!$L$5&lt;&gt;"Có",M2553="Có"),OR(DANH_MUC!$L$6&lt;&gt;"Có",N2553="Có"),OR(DANH_MUC!$L$7&lt;&gt;"Có",O2553="Có"),OR(DANH_MUC!$L$8&lt;&gt;"Có",P2553="Có")),"Có","Không"))</f>
        <v/>
      </c>
      <c r="R2553" s="22">
        <f>IF($D2553="","",IF(COUNTIF($D$2:$D2553,$D2553)&gt;1,"Trùng",""))</f>
        <v/>
      </c>
      <c r="S2553" s="22">
        <f>IF($D2553="","",IF(AND(LEN($D2553)=10,LEFT($D2553,1)="0",ISNUMBER(--$D2553)),"Có","Không"))</f>
        <v/>
      </c>
      <c r="T2553" s="22">
        <f>IF($D2553="","",IF(AND($C2553&lt;&gt;"",$Q2553="Có",$R2553="",$S2553="Có",AND($L2553&lt;&gt;"",OR($L2553&lt;&gt;"Chưa xác định",DANH_MUC!$L$9="Có"))),"Có","Không"))</f>
        <v/>
      </c>
      <c r="U2553" s="22">
        <f>IF(OR($D2553="",$T2553="Có"),"",IF($C2553="","Thiếu họ tên; ","")&amp;IF($S2553&lt;&gt;"Có","SĐT sai định dạng; ","")&amp;IF($R2553="Trùng","Trùng SĐT; ","")&amp;IF($Q2553&lt;&gt;"Có","Thiếu đồng ý bắt buộc; ","")&amp;IF($L2553="","Thiếu/sai Mã REF; ",IF(AND($L2553="Chưa xác định",DANH_MUC!$L$9&lt;&gt;"Có"),"Nguồn chưa xác định; ","")))</f>
        <v/>
      </c>
      <c r="V2553" s="22">
        <f>IF(OR($D2553="",$R2553="Trùng"),"",IF(COUNTIF(ORDERS!$C$2:$C$4995,$D2553)&gt;0,"Có","Không"))</f>
        <v/>
      </c>
      <c r="W2553" s="22">
        <f>IF(OR($D2553="",$R2553="Trùng"),"",COUNTIFS(ORDERS!$C$2:$C$4995,$D2553,ORDERS!$L$2:$L$4995,"Đã chuyển khoản"))</f>
        <v/>
      </c>
      <c r="X2553" s="23">
        <f>IF(OR($D2553="",$R2553="Trùng"),"",SUMIFS(ORDERS!$J$2:$J$4995,ORDERS!$C$2:$C$4995,$D2553,ORDERS!$L$2:$L$4995,"Đã chuyển khoản"))</f>
        <v/>
      </c>
      <c r="Y2553" s="24" t="n"/>
    </row>
    <row r="2554" ht="14.25" customHeight="1" s="40">
      <c r="A2554" s="24" t="n"/>
      <c r="B2554" s="27" t="n"/>
      <c r="C2554" s="24" t="n"/>
      <c r="D2554" s="28" t="n"/>
      <c r="E2554" s="29" t="n"/>
      <c r="F2554" s="24" t="n"/>
      <c r="G2554" s="24" t="n"/>
      <c r="H2554" s="21">
        <f>IF(ISNUMBER($B2554),INT($B2554)-WEEKDAY($B2554,2)+1,"")</f>
        <v/>
      </c>
      <c r="I2554" s="24" t="n"/>
      <c r="J2554" s="22">
        <f t="array" ref="J2554">IF($D2554="","",IF($I2554="","(trống REF)",IFERROR(INDEX(MASTER_SOURCE!$B$2:$B$495,MATCH($I2554,MASTER_SOURCE!$A$2:$A$495,0)),"(REF không có trong MASTER_SOURCE)")))</f>
        <v/>
      </c>
      <c r="K2554" s="22">
        <f t="array" ref="K2554">IF($D2554="","",IFERROR(INDEX(MASTER_SOURCE!$C$2:$C$495,MATCH($I2554,MASTER_SOURCE!$A$2:$A$495,0)),""))</f>
        <v/>
      </c>
      <c r="L2554" s="22">
        <f t="array" ref="L2554">IF($D2554="","",IFERROR(INDEX(MASTER_SOURCE!$D$2:$D$495,MATCH($I2554,MASTER_SOURCE!$A$2:$A$495,0)),""))</f>
        <v/>
      </c>
      <c r="M2554" s="24" t="n"/>
      <c r="N2554" s="24" t="n"/>
      <c r="O2554" s="24" t="n"/>
      <c r="P2554" s="24" t="n"/>
      <c r="Q2554" s="22">
        <f>IF($D2554="","",IF(AND(OR(DANH_MUC!$L$5&lt;&gt;"Có",M2554="Có"),OR(DANH_MUC!$L$6&lt;&gt;"Có",N2554="Có"),OR(DANH_MUC!$L$7&lt;&gt;"Có",O2554="Có"),OR(DANH_MUC!$L$8&lt;&gt;"Có",P2554="Có")),"Có","Không"))</f>
        <v/>
      </c>
      <c r="R2554" s="22">
        <f>IF($D2554="","",IF(COUNTIF($D$2:$D2554,$D2554)&gt;1,"Trùng",""))</f>
        <v/>
      </c>
      <c r="S2554" s="22">
        <f>IF($D2554="","",IF(AND(LEN($D2554)=10,LEFT($D2554,1)="0",ISNUMBER(--$D2554)),"Có","Không"))</f>
        <v/>
      </c>
      <c r="T2554" s="22">
        <f>IF($D2554="","",IF(AND($C2554&lt;&gt;"",$Q2554="Có",$R2554="",$S2554="Có",AND($L2554&lt;&gt;"",OR($L2554&lt;&gt;"Chưa xác định",DANH_MUC!$L$9="Có"))),"Có","Không"))</f>
        <v/>
      </c>
      <c r="U2554" s="22">
        <f>IF(OR($D2554="",$T2554="Có"),"",IF($C2554="","Thiếu họ tên; ","")&amp;IF($S2554&lt;&gt;"Có","SĐT sai định dạng; ","")&amp;IF($R2554="Trùng","Trùng SĐT; ","")&amp;IF($Q2554&lt;&gt;"Có","Thiếu đồng ý bắt buộc; ","")&amp;IF($L2554="","Thiếu/sai Mã REF; ",IF(AND($L2554="Chưa xác định",DANH_MUC!$L$9&lt;&gt;"Có"),"Nguồn chưa xác định; ","")))</f>
        <v/>
      </c>
      <c r="V2554" s="22">
        <f>IF(OR($D2554="",$R2554="Trùng"),"",IF(COUNTIF(ORDERS!$C$2:$C$4995,$D2554)&gt;0,"Có","Không"))</f>
        <v/>
      </c>
      <c r="W2554" s="22">
        <f>IF(OR($D2554="",$R2554="Trùng"),"",COUNTIFS(ORDERS!$C$2:$C$4995,$D2554,ORDERS!$L$2:$L$4995,"Đã chuyển khoản"))</f>
        <v/>
      </c>
      <c r="X2554" s="23">
        <f>IF(OR($D2554="",$R2554="Trùng"),"",SUMIFS(ORDERS!$J$2:$J$4995,ORDERS!$C$2:$C$4995,$D2554,ORDERS!$L$2:$L$4995,"Đã chuyển khoản"))</f>
        <v/>
      </c>
      <c r="Y2554" s="24" t="n"/>
    </row>
    <row r="2555" ht="14.25" customHeight="1" s="40">
      <c r="A2555" s="24" t="n"/>
      <c r="B2555" s="27" t="n"/>
      <c r="C2555" s="24" t="n"/>
      <c r="D2555" s="28" t="n"/>
      <c r="E2555" s="29" t="n"/>
      <c r="F2555" s="24" t="n"/>
      <c r="G2555" s="24" t="n"/>
      <c r="H2555" s="21">
        <f>IF(ISNUMBER($B2555),INT($B2555)-WEEKDAY($B2555,2)+1,"")</f>
        <v/>
      </c>
      <c r="I2555" s="24" t="n"/>
      <c r="J2555" s="22">
        <f t="array" ref="J2555">IF($D2555="","",IF($I2555="","(trống REF)",IFERROR(INDEX(MASTER_SOURCE!$B$2:$B$495,MATCH($I2555,MASTER_SOURCE!$A$2:$A$495,0)),"(REF không có trong MASTER_SOURCE)")))</f>
        <v/>
      </c>
      <c r="K2555" s="22">
        <f t="array" ref="K2555">IF($D2555="","",IFERROR(INDEX(MASTER_SOURCE!$C$2:$C$495,MATCH($I2555,MASTER_SOURCE!$A$2:$A$495,0)),""))</f>
        <v/>
      </c>
      <c r="L2555" s="22">
        <f t="array" ref="L2555">IF($D2555="","",IFERROR(INDEX(MASTER_SOURCE!$D$2:$D$495,MATCH($I2555,MASTER_SOURCE!$A$2:$A$495,0)),""))</f>
        <v/>
      </c>
      <c r="M2555" s="24" t="n"/>
      <c r="N2555" s="24" t="n"/>
      <c r="O2555" s="24" t="n"/>
      <c r="P2555" s="24" t="n"/>
      <c r="Q2555" s="22">
        <f>IF($D2555="","",IF(AND(OR(DANH_MUC!$L$5&lt;&gt;"Có",M2555="Có"),OR(DANH_MUC!$L$6&lt;&gt;"Có",N2555="Có"),OR(DANH_MUC!$L$7&lt;&gt;"Có",O2555="Có"),OR(DANH_MUC!$L$8&lt;&gt;"Có",P2555="Có")),"Có","Không"))</f>
        <v/>
      </c>
      <c r="R2555" s="22">
        <f>IF($D2555="","",IF(COUNTIF($D$2:$D2555,$D2555)&gt;1,"Trùng",""))</f>
        <v/>
      </c>
      <c r="S2555" s="22">
        <f>IF($D2555="","",IF(AND(LEN($D2555)=10,LEFT($D2555,1)="0",ISNUMBER(--$D2555)),"Có","Không"))</f>
        <v/>
      </c>
      <c r="T2555" s="22">
        <f>IF($D2555="","",IF(AND($C2555&lt;&gt;"",$Q2555="Có",$R2555="",$S2555="Có",AND($L2555&lt;&gt;"",OR($L2555&lt;&gt;"Chưa xác định",DANH_MUC!$L$9="Có"))),"Có","Không"))</f>
        <v/>
      </c>
      <c r="U2555" s="22">
        <f>IF(OR($D2555="",$T2555="Có"),"",IF($C2555="","Thiếu họ tên; ","")&amp;IF($S2555&lt;&gt;"Có","SĐT sai định dạng; ","")&amp;IF($R2555="Trùng","Trùng SĐT; ","")&amp;IF($Q2555&lt;&gt;"Có","Thiếu đồng ý bắt buộc; ","")&amp;IF($L2555="","Thiếu/sai Mã REF; ",IF(AND($L2555="Chưa xác định",DANH_MUC!$L$9&lt;&gt;"Có"),"Nguồn chưa xác định; ","")))</f>
        <v/>
      </c>
      <c r="V2555" s="22">
        <f>IF(OR($D2555="",$R2555="Trùng"),"",IF(COUNTIF(ORDERS!$C$2:$C$4995,$D2555)&gt;0,"Có","Không"))</f>
        <v/>
      </c>
      <c r="W2555" s="22">
        <f>IF(OR($D2555="",$R2555="Trùng"),"",COUNTIFS(ORDERS!$C$2:$C$4995,$D2555,ORDERS!$L$2:$L$4995,"Đã chuyển khoản"))</f>
        <v/>
      </c>
      <c r="X2555" s="23">
        <f>IF(OR($D2555="",$R2555="Trùng"),"",SUMIFS(ORDERS!$J$2:$J$4995,ORDERS!$C$2:$C$4995,$D2555,ORDERS!$L$2:$L$4995,"Đã chuyển khoản"))</f>
        <v/>
      </c>
      <c r="Y2555" s="24" t="n"/>
    </row>
    <row r="2556" ht="14.25" customHeight="1" s="40">
      <c r="A2556" s="24" t="n"/>
      <c r="B2556" s="27" t="n"/>
      <c r="C2556" s="24" t="n"/>
      <c r="D2556" s="28" t="n"/>
      <c r="E2556" s="29" t="n"/>
      <c r="F2556" s="24" t="n"/>
      <c r="G2556" s="24" t="n"/>
      <c r="H2556" s="21">
        <f>IF(ISNUMBER($B2556),INT($B2556)-WEEKDAY($B2556,2)+1,"")</f>
        <v/>
      </c>
      <c r="I2556" s="24" t="n"/>
      <c r="J2556" s="22">
        <f t="array" ref="J2556">IF($D2556="","",IF($I2556="","(trống REF)",IFERROR(INDEX(MASTER_SOURCE!$B$2:$B$495,MATCH($I2556,MASTER_SOURCE!$A$2:$A$495,0)),"(REF không có trong MASTER_SOURCE)")))</f>
        <v/>
      </c>
      <c r="K2556" s="22">
        <f t="array" ref="K2556">IF($D2556="","",IFERROR(INDEX(MASTER_SOURCE!$C$2:$C$495,MATCH($I2556,MASTER_SOURCE!$A$2:$A$495,0)),""))</f>
        <v/>
      </c>
      <c r="L2556" s="22">
        <f t="array" ref="L2556">IF($D2556="","",IFERROR(INDEX(MASTER_SOURCE!$D$2:$D$495,MATCH($I2556,MASTER_SOURCE!$A$2:$A$495,0)),""))</f>
        <v/>
      </c>
      <c r="M2556" s="24" t="n"/>
      <c r="N2556" s="24" t="n"/>
      <c r="O2556" s="24" t="n"/>
      <c r="P2556" s="24" t="n"/>
      <c r="Q2556" s="22">
        <f>IF($D2556="","",IF(AND(OR(DANH_MUC!$L$5&lt;&gt;"Có",M2556="Có"),OR(DANH_MUC!$L$6&lt;&gt;"Có",N2556="Có"),OR(DANH_MUC!$L$7&lt;&gt;"Có",O2556="Có"),OR(DANH_MUC!$L$8&lt;&gt;"Có",P2556="Có")),"Có","Không"))</f>
        <v/>
      </c>
      <c r="R2556" s="22">
        <f>IF($D2556="","",IF(COUNTIF($D$2:$D2556,$D2556)&gt;1,"Trùng",""))</f>
        <v/>
      </c>
      <c r="S2556" s="22">
        <f>IF($D2556="","",IF(AND(LEN($D2556)=10,LEFT($D2556,1)="0",ISNUMBER(--$D2556)),"Có","Không"))</f>
        <v/>
      </c>
      <c r="T2556" s="22">
        <f>IF($D2556="","",IF(AND($C2556&lt;&gt;"",$Q2556="Có",$R2556="",$S2556="Có",AND($L2556&lt;&gt;"",OR($L2556&lt;&gt;"Chưa xác định",DANH_MUC!$L$9="Có"))),"Có","Không"))</f>
        <v/>
      </c>
      <c r="U2556" s="22">
        <f>IF(OR($D2556="",$T2556="Có"),"",IF($C2556="","Thiếu họ tên; ","")&amp;IF($S2556&lt;&gt;"Có","SĐT sai định dạng; ","")&amp;IF($R2556="Trùng","Trùng SĐT; ","")&amp;IF($Q2556&lt;&gt;"Có","Thiếu đồng ý bắt buộc; ","")&amp;IF($L2556="","Thiếu/sai Mã REF; ",IF(AND($L2556="Chưa xác định",DANH_MUC!$L$9&lt;&gt;"Có"),"Nguồn chưa xác định; ","")))</f>
        <v/>
      </c>
      <c r="V2556" s="22">
        <f>IF(OR($D2556="",$R2556="Trùng"),"",IF(COUNTIF(ORDERS!$C$2:$C$4995,$D2556)&gt;0,"Có","Không"))</f>
        <v/>
      </c>
      <c r="W2556" s="22">
        <f>IF(OR($D2556="",$R2556="Trùng"),"",COUNTIFS(ORDERS!$C$2:$C$4995,$D2556,ORDERS!$L$2:$L$4995,"Đã chuyển khoản"))</f>
        <v/>
      </c>
      <c r="X2556" s="23">
        <f>IF(OR($D2556="",$R2556="Trùng"),"",SUMIFS(ORDERS!$J$2:$J$4995,ORDERS!$C$2:$C$4995,$D2556,ORDERS!$L$2:$L$4995,"Đã chuyển khoản"))</f>
        <v/>
      </c>
      <c r="Y2556" s="24" t="n"/>
    </row>
    <row r="2557" ht="14.25" customHeight="1" s="40">
      <c r="A2557" s="24" t="n"/>
      <c r="B2557" s="27" t="n"/>
      <c r="C2557" s="24" t="n"/>
      <c r="D2557" s="28" t="n"/>
      <c r="E2557" s="29" t="n"/>
      <c r="F2557" s="24" t="n"/>
      <c r="G2557" s="24" t="n"/>
      <c r="H2557" s="21">
        <f>IF(ISNUMBER($B2557),INT($B2557)-WEEKDAY($B2557,2)+1,"")</f>
        <v/>
      </c>
      <c r="I2557" s="24" t="n"/>
      <c r="J2557" s="22">
        <f t="array" ref="J2557">IF($D2557="","",IF($I2557="","(trống REF)",IFERROR(INDEX(MASTER_SOURCE!$B$2:$B$495,MATCH($I2557,MASTER_SOURCE!$A$2:$A$495,0)),"(REF không có trong MASTER_SOURCE)")))</f>
        <v/>
      </c>
      <c r="K2557" s="22">
        <f t="array" ref="K2557">IF($D2557="","",IFERROR(INDEX(MASTER_SOURCE!$C$2:$C$495,MATCH($I2557,MASTER_SOURCE!$A$2:$A$495,0)),""))</f>
        <v/>
      </c>
      <c r="L2557" s="22">
        <f t="array" ref="L2557">IF($D2557="","",IFERROR(INDEX(MASTER_SOURCE!$D$2:$D$495,MATCH($I2557,MASTER_SOURCE!$A$2:$A$495,0)),""))</f>
        <v/>
      </c>
      <c r="M2557" s="24" t="n"/>
      <c r="N2557" s="24" t="n"/>
      <c r="O2557" s="24" t="n"/>
      <c r="P2557" s="24" t="n"/>
      <c r="Q2557" s="22">
        <f>IF($D2557="","",IF(AND(OR(DANH_MUC!$L$5&lt;&gt;"Có",M2557="Có"),OR(DANH_MUC!$L$6&lt;&gt;"Có",N2557="Có"),OR(DANH_MUC!$L$7&lt;&gt;"Có",O2557="Có"),OR(DANH_MUC!$L$8&lt;&gt;"Có",P2557="Có")),"Có","Không"))</f>
        <v/>
      </c>
      <c r="R2557" s="22">
        <f>IF($D2557="","",IF(COUNTIF($D$2:$D2557,$D2557)&gt;1,"Trùng",""))</f>
        <v/>
      </c>
      <c r="S2557" s="22">
        <f>IF($D2557="","",IF(AND(LEN($D2557)=10,LEFT($D2557,1)="0",ISNUMBER(--$D2557)),"Có","Không"))</f>
        <v/>
      </c>
      <c r="T2557" s="22">
        <f>IF($D2557="","",IF(AND($C2557&lt;&gt;"",$Q2557="Có",$R2557="",$S2557="Có",AND($L2557&lt;&gt;"",OR($L2557&lt;&gt;"Chưa xác định",DANH_MUC!$L$9="Có"))),"Có","Không"))</f>
        <v/>
      </c>
      <c r="U2557" s="22">
        <f>IF(OR($D2557="",$T2557="Có"),"",IF($C2557="","Thiếu họ tên; ","")&amp;IF($S2557&lt;&gt;"Có","SĐT sai định dạng; ","")&amp;IF($R2557="Trùng","Trùng SĐT; ","")&amp;IF($Q2557&lt;&gt;"Có","Thiếu đồng ý bắt buộc; ","")&amp;IF($L2557="","Thiếu/sai Mã REF; ",IF(AND($L2557="Chưa xác định",DANH_MUC!$L$9&lt;&gt;"Có"),"Nguồn chưa xác định; ","")))</f>
        <v/>
      </c>
      <c r="V2557" s="22">
        <f>IF(OR($D2557="",$R2557="Trùng"),"",IF(COUNTIF(ORDERS!$C$2:$C$4995,$D2557)&gt;0,"Có","Không"))</f>
        <v/>
      </c>
      <c r="W2557" s="22">
        <f>IF(OR($D2557="",$R2557="Trùng"),"",COUNTIFS(ORDERS!$C$2:$C$4995,$D2557,ORDERS!$L$2:$L$4995,"Đã chuyển khoản"))</f>
        <v/>
      </c>
      <c r="X2557" s="23">
        <f>IF(OR($D2557="",$R2557="Trùng"),"",SUMIFS(ORDERS!$J$2:$J$4995,ORDERS!$C$2:$C$4995,$D2557,ORDERS!$L$2:$L$4995,"Đã chuyển khoản"))</f>
        <v/>
      </c>
      <c r="Y2557" s="24" t="n"/>
    </row>
    <row r="2558" ht="14.25" customHeight="1" s="40">
      <c r="A2558" s="24" t="n"/>
      <c r="B2558" s="27" t="n"/>
      <c r="C2558" s="24" t="n"/>
      <c r="D2558" s="28" t="n"/>
      <c r="E2558" s="29" t="n"/>
      <c r="F2558" s="24" t="n"/>
      <c r="G2558" s="24" t="n"/>
      <c r="H2558" s="21">
        <f>IF(ISNUMBER($B2558),INT($B2558)-WEEKDAY($B2558,2)+1,"")</f>
        <v/>
      </c>
      <c r="I2558" s="24" t="n"/>
      <c r="J2558" s="22">
        <f t="array" ref="J2558">IF($D2558="","",IF($I2558="","(trống REF)",IFERROR(INDEX(MASTER_SOURCE!$B$2:$B$495,MATCH($I2558,MASTER_SOURCE!$A$2:$A$495,0)),"(REF không có trong MASTER_SOURCE)")))</f>
        <v/>
      </c>
      <c r="K2558" s="22">
        <f t="array" ref="K2558">IF($D2558="","",IFERROR(INDEX(MASTER_SOURCE!$C$2:$C$495,MATCH($I2558,MASTER_SOURCE!$A$2:$A$495,0)),""))</f>
        <v/>
      </c>
      <c r="L2558" s="22">
        <f t="array" ref="L2558">IF($D2558="","",IFERROR(INDEX(MASTER_SOURCE!$D$2:$D$495,MATCH($I2558,MASTER_SOURCE!$A$2:$A$495,0)),""))</f>
        <v/>
      </c>
      <c r="M2558" s="24" t="n"/>
      <c r="N2558" s="24" t="n"/>
      <c r="O2558" s="24" t="n"/>
      <c r="P2558" s="24" t="n"/>
      <c r="Q2558" s="22">
        <f>IF($D2558="","",IF(AND(OR(DANH_MUC!$L$5&lt;&gt;"Có",M2558="Có"),OR(DANH_MUC!$L$6&lt;&gt;"Có",N2558="Có"),OR(DANH_MUC!$L$7&lt;&gt;"Có",O2558="Có"),OR(DANH_MUC!$L$8&lt;&gt;"Có",P2558="Có")),"Có","Không"))</f>
        <v/>
      </c>
      <c r="R2558" s="22">
        <f>IF($D2558="","",IF(COUNTIF($D$2:$D2558,$D2558)&gt;1,"Trùng",""))</f>
        <v/>
      </c>
      <c r="S2558" s="22">
        <f>IF($D2558="","",IF(AND(LEN($D2558)=10,LEFT($D2558,1)="0",ISNUMBER(--$D2558)),"Có","Không"))</f>
        <v/>
      </c>
      <c r="T2558" s="22">
        <f>IF($D2558="","",IF(AND($C2558&lt;&gt;"",$Q2558="Có",$R2558="",$S2558="Có",AND($L2558&lt;&gt;"",OR($L2558&lt;&gt;"Chưa xác định",DANH_MUC!$L$9="Có"))),"Có","Không"))</f>
        <v/>
      </c>
      <c r="U2558" s="22">
        <f>IF(OR($D2558="",$T2558="Có"),"",IF($C2558="","Thiếu họ tên; ","")&amp;IF($S2558&lt;&gt;"Có","SĐT sai định dạng; ","")&amp;IF($R2558="Trùng","Trùng SĐT; ","")&amp;IF($Q2558&lt;&gt;"Có","Thiếu đồng ý bắt buộc; ","")&amp;IF($L2558="","Thiếu/sai Mã REF; ",IF(AND($L2558="Chưa xác định",DANH_MUC!$L$9&lt;&gt;"Có"),"Nguồn chưa xác định; ","")))</f>
        <v/>
      </c>
      <c r="V2558" s="22">
        <f>IF(OR($D2558="",$R2558="Trùng"),"",IF(COUNTIF(ORDERS!$C$2:$C$4995,$D2558)&gt;0,"Có","Không"))</f>
        <v/>
      </c>
      <c r="W2558" s="22">
        <f>IF(OR($D2558="",$R2558="Trùng"),"",COUNTIFS(ORDERS!$C$2:$C$4995,$D2558,ORDERS!$L$2:$L$4995,"Đã chuyển khoản"))</f>
        <v/>
      </c>
      <c r="X2558" s="23">
        <f>IF(OR($D2558="",$R2558="Trùng"),"",SUMIFS(ORDERS!$J$2:$J$4995,ORDERS!$C$2:$C$4995,$D2558,ORDERS!$L$2:$L$4995,"Đã chuyển khoản"))</f>
        <v/>
      </c>
      <c r="Y2558" s="24" t="n"/>
    </row>
    <row r="2559" ht="14.25" customHeight="1" s="40">
      <c r="A2559" s="24" t="n"/>
      <c r="B2559" s="27" t="n"/>
      <c r="C2559" s="24" t="n"/>
      <c r="D2559" s="28" t="n"/>
      <c r="E2559" s="29" t="n"/>
      <c r="F2559" s="24" t="n"/>
      <c r="G2559" s="24" t="n"/>
      <c r="H2559" s="21">
        <f>IF(ISNUMBER($B2559),INT($B2559)-WEEKDAY($B2559,2)+1,"")</f>
        <v/>
      </c>
      <c r="I2559" s="24" t="n"/>
      <c r="J2559" s="22">
        <f t="array" ref="J2559">IF($D2559="","",IF($I2559="","(trống REF)",IFERROR(INDEX(MASTER_SOURCE!$B$2:$B$495,MATCH($I2559,MASTER_SOURCE!$A$2:$A$495,0)),"(REF không có trong MASTER_SOURCE)")))</f>
        <v/>
      </c>
      <c r="K2559" s="22">
        <f t="array" ref="K2559">IF($D2559="","",IFERROR(INDEX(MASTER_SOURCE!$C$2:$C$495,MATCH($I2559,MASTER_SOURCE!$A$2:$A$495,0)),""))</f>
        <v/>
      </c>
      <c r="L2559" s="22">
        <f t="array" ref="L2559">IF($D2559="","",IFERROR(INDEX(MASTER_SOURCE!$D$2:$D$495,MATCH($I2559,MASTER_SOURCE!$A$2:$A$495,0)),""))</f>
        <v/>
      </c>
      <c r="M2559" s="24" t="n"/>
      <c r="N2559" s="24" t="n"/>
      <c r="O2559" s="24" t="n"/>
      <c r="P2559" s="24" t="n"/>
      <c r="Q2559" s="22">
        <f>IF($D2559="","",IF(AND(OR(DANH_MUC!$L$5&lt;&gt;"Có",M2559="Có"),OR(DANH_MUC!$L$6&lt;&gt;"Có",N2559="Có"),OR(DANH_MUC!$L$7&lt;&gt;"Có",O2559="Có"),OR(DANH_MUC!$L$8&lt;&gt;"Có",P2559="Có")),"Có","Không"))</f>
        <v/>
      </c>
      <c r="R2559" s="22">
        <f>IF($D2559="","",IF(COUNTIF($D$2:$D2559,$D2559)&gt;1,"Trùng",""))</f>
        <v/>
      </c>
      <c r="S2559" s="22">
        <f>IF($D2559="","",IF(AND(LEN($D2559)=10,LEFT($D2559,1)="0",ISNUMBER(--$D2559)),"Có","Không"))</f>
        <v/>
      </c>
      <c r="T2559" s="22">
        <f>IF($D2559="","",IF(AND($C2559&lt;&gt;"",$Q2559="Có",$R2559="",$S2559="Có",AND($L2559&lt;&gt;"",OR($L2559&lt;&gt;"Chưa xác định",DANH_MUC!$L$9="Có"))),"Có","Không"))</f>
        <v/>
      </c>
      <c r="U2559" s="22">
        <f>IF(OR($D2559="",$T2559="Có"),"",IF($C2559="","Thiếu họ tên; ","")&amp;IF($S2559&lt;&gt;"Có","SĐT sai định dạng; ","")&amp;IF($R2559="Trùng","Trùng SĐT; ","")&amp;IF($Q2559&lt;&gt;"Có","Thiếu đồng ý bắt buộc; ","")&amp;IF($L2559="","Thiếu/sai Mã REF; ",IF(AND($L2559="Chưa xác định",DANH_MUC!$L$9&lt;&gt;"Có"),"Nguồn chưa xác định; ","")))</f>
        <v/>
      </c>
      <c r="V2559" s="22">
        <f>IF(OR($D2559="",$R2559="Trùng"),"",IF(COUNTIF(ORDERS!$C$2:$C$4995,$D2559)&gt;0,"Có","Không"))</f>
        <v/>
      </c>
      <c r="W2559" s="22">
        <f>IF(OR($D2559="",$R2559="Trùng"),"",COUNTIFS(ORDERS!$C$2:$C$4995,$D2559,ORDERS!$L$2:$L$4995,"Đã chuyển khoản"))</f>
        <v/>
      </c>
      <c r="X2559" s="23">
        <f>IF(OR($D2559="",$R2559="Trùng"),"",SUMIFS(ORDERS!$J$2:$J$4995,ORDERS!$C$2:$C$4995,$D2559,ORDERS!$L$2:$L$4995,"Đã chuyển khoản"))</f>
        <v/>
      </c>
      <c r="Y2559" s="24" t="n"/>
    </row>
    <row r="2560" ht="14.25" customHeight="1" s="40">
      <c r="A2560" s="24" t="n"/>
      <c r="B2560" s="27" t="n"/>
      <c r="C2560" s="24" t="n"/>
      <c r="D2560" s="28" t="n"/>
      <c r="E2560" s="29" t="n"/>
      <c r="F2560" s="24" t="n"/>
      <c r="G2560" s="24" t="n"/>
      <c r="H2560" s="21">
        <f>IF(ISNUMBER($B2560),INT($B2560)-WEEKDAY($B2560,2)+1,"")</f>
        <v/>
      </c>
      <c r="I2560" s="24" t="n"/>
      <c r="J2560" s="22">
        <f t="array" ref="J2560">IF($D2560="","",IF($I2560="","(trống REF)",IFERROR(INDEX(MASTER_SOURCE!$B$2:$B$495,MATCH($I2560,MASTER_SOURCE!$A$2:$A$495,0)),"(REF không có trong MASTER_SOURCE)")))</f>
        <v/>
      </c>
      <c r="K2560" s="22">
        <f t="array" ref="K2560">IF($D2560="","",IFERROR(INDEX(MASTER_SOURCE!$C$2:$C$495,MATCH($I2560,MASTER_SOURCE!$A$2:$A$495,0)),""))</f>
        <v/>
      </c>
      <c r="L2560" s="22">
        <f t="array" ref="L2560">IF($D2560="","",IFERROR(INDEX(MASTER_SOURCE!$D$2:$D$495,MATCH($I2560,MASTER_SOURCE!$A$2:$A$495,0)),""))</f>
        <v/>
      </c>
      <c r="M2560" s="24" t="n"/>
      <c r="N2560" s="24" t="n"/>
      <c r="O2560" s="24" t="n"/>
      <c r="P2560" s="24" t="n"/>
      <c r="Q2560" s="22">
        <f>IF($D2560="","",IF(AND(OR(DANH_MUC!$L$5&lt;&gt;"Có",M2560="Có"),OR(DANH_MUC!$L$6&lt;&gt;"Có",N2560="Có"),OR(DANH_MUC!$L$7&lt;&gt;"Có",O2560="Có"),OR(DANH_MUC!$L$8&lt;&gt;"Có",P2560="Có")),"Có","Không"))</f>
        <v/>
      </c>
      <c r="R2560" s="22">
        <f>IF($D2560="","",IF(COUNTIF($D$2:$D2560,$D2560)&gt;1,"Trùng",""))</f>
        <v/>
      </c>
      <c r="S2560" s="22">
        <f>IF($D2560="","",IF(AND(LEN($D2560)=10,LEFT($D2560,1)="0",ISNUMBER(--$D2560)),"Có","Không"))</f>
        <v/>
      </c>
      <c r="T2560" s="22">
        <f>IF($D2560="","",IF(AND($C2560&lt;&gt;"",$Q2560="Có",$R2560="",$S2560="Có",AND($L2560&lt;&gt;"",OR($L2560&lt;&gt;"Chưa xác định",DANH_MUC!$L$9="Có"))),"Có","Không"))</f>
        <v/>
      </c>
      <c r="U2560" s="22">
        <f>IF(OR($D2560="",$T2560="Có"),"",IF($C2560="","Thiếu họ tên; ","")&amp;IF($S2560&lt;&gt;"Có","SĐT sai định dạng; ","")&amp;IF($R2560="Trùng","Trùng SĐT; ","")&amp;IF($Q2560&lt;&gt;"Có","Thiếu đồng ý bắt buộc; ","")&amp;IF($L2560="","Thiếu/sai Mã REF; ",IF(AND($L2560="Chưa xác định",DANH_MUC!$L$9&lt;&gt;"Có"),"Nguồn chưa xác định; ","")))</f>
        <v/>
      </c>
      <c r="V2560" s="22">
        <f>IF(OR($D2560="",$R2560="Trùng"),"",IF(COUNTIF(ORDERS!$C$2:$C$4995,$D2560)&gt;0,"Có","Không"))</f>
        <v/>
      </c>
      <c r="W2560" s="22">
        <f>IF(OR($D2560="",$R2560="Trùng"),"",COUNTIFS(ORDERS!$C$2:$C$4995,$D2560,ORDERS!$L$2:$L$4995,"Đã chuyển khoản"))</f>
        <v/>
      </c>
      <c r="X2560" s="23">
        <f>IF(OR($D2560="",$R2560="Trùng"),"",SUMIFS(ORDERS!$J$2:$J$4995,ORDERS!$C$2:$C$4995,$D2560,ORDERS!$L$2:$L$4995,"Đã chuyển khoản"))</f>
        <v/>
      </c>
      <c r="Y2560" s="24" t="n"/>
    </row>
    <row r="2561" ht="14.25" customHeight="1" s="40">
      <c r="A2561" s="24" t="n"/>
      <c r="B2561" s="27" t="n"/>
      <c r="C2561" s="24" t="n"/>
      <c r="D2561" s="28" t="n"/>
      <c r="E2561" s="29" t="n"/>
      <c r="F2561" s="24" t="n"/>
      <c r="G2561" s="24" t="n"/>
      <c r="H2561" s="21">
        <f>IF(ISNUMBER($B2561),INT($B2561)-WEEKDAY($B2561,2)+1,"")</f>
        <v/>
      </c>
      <c r="I2561" s="24" t="n"/>
      <c r="J2561" s="22">
        <f t="array" ref="J2561">IF($D2561="","",IF($I2561="","(trống REF)",IFERROR(INDEX(MASTER_SOURCE!$B$2:$B$495,MATCH($I2561,MASTER_SOURCE!$A$2:$A$495,0)),"(REF không có trong MASTER_SOURCE)")))</f>
        <v/>
      </c>
      <c r="K2561" s="22">
        <f t="array" ref="K2561">IF($D2561="","",IFERROR(INDEX(MASTER_SOURCE!$C$2:$C$495,MATCH($I2561,MASTER_SOURCE!$A$2:$A$495,0)),""))</f>
        <v/>
      </c>
      <c r="L2561" s="22">
        <f t="array" ref="L2561">IF($D2561="","",IFERROR(INDEX(MASTER_SOURCE!$D$2:$D$495,MATCH($I2561,MASTER_SOURCE!$A$2:$A$495,0)),""))</f>
        <v/>
      </c>
      <c r="M2561" s="24" t="n"/>
      <c r="N2561" s="24" t="n"/>
      <c r="O2561" s="24" t="n"/>
      <c r="P2561" s="24" t="n"/>
      <c r="Q2561" s="22">
        <f>IF($D2561="","",IF(AND(OR(DANH_MUC!$L$5&lt;&gt;"Có",M2561="Có"),OR(DANH_MUC!$L$6&lt;&gt;"Có",N2561="Có"),OR(DANH_MUC!$L$7&lt;&gt;"Có",O2561="Có"),OR(DANH_MUC!$L$8&lt;&gt;"Có",P2561="Có")),"Có","Không"))</f>
        <v/>
      </c>
      <c r="R2561" s="22">
        <f>IF($D2561="","",IF(COUNTIF($D$2:$D2561,$D2561)&gt;1,"Trùng",""))</f>
        <v/>
      </c>
      <c r="S2561" s="22">
        <f>IF($D2561="","",IF(AND(LEN($D2561)=10,LEFT($D2561,1)="0",ISNUMBER(--$D2561)),"Có","Không"))</f>
        <v/>
      </c>
      <c r="T2561" s="22">
        <f>IF($D2561="","",IF(AND($C2561&lt;&gt;"",$Q2561="Có",$R2561="",$S2561="Có",AND($L2561&lt;&gt;"",OR($L2561&lt;&gt;"Chưa xác định",DANH_MUC!$L$9="Có"))),"Có","Không"))</f>
        <v/>
      </c>
      <c r="U2561" s="22">
        <f>IF(OR($D2561="",$T2561="Có"),"",IF($C2561="","Thiếu họ tên; ","")&amp;IF($S2561&lt;&gt;"Có","SĐT sai định dạng; ","")&amp;IF($R2561="Trùng","Trùng SĐT; ","")&amp;IF($Q2561&lt;&gt;"Có","Thiếu đồng ý bắt buộc; ","")&amp;IF($L2561="","Thiếu/sai Mã REF; ",IF(AND($L2561="Chưa xác định",DANH_MUC!$L$9&lt;&gt;"Có"),"Nguồn chưa xác định; ","")))</f>
        <v/>
      </c>
      <c r="V2561" s="22">
        <f>IF(OR($D2561="",$R2561="Trùng"),"",IF(COUNTIF(ORDERS!$C$2:$C$4995,$D2561)&gt;0,"Có","Không"))</f>
        <v/>
      </c>
      <c r="W2561" s="22">
        <f>IF(OR($D2561="",$R2561="Trùng"),"",COUNTIFS(ORDERS!$C$2:$C$4995,$D2561,ORDERS!$L$2:$L$4995,"Đã chuyển khoản"))</f>
        <v/>
      </c>
      <c r="X2561" s="23">
        <f>IF(OR($D2561="",$R2561="Trùng"),"",SUMIFS(ORDERS!$J$2:$J$4995,ORDERS!$C$2:$C$4995,$D2561,ORDERS!$L$2:$L$4995,"Đã chuyển khoản"))</f>
        <v/>
      </c>
      <c r="Y2561" s="24" t="n"/>
    </row>
    <row r="2562" ht="14.25" customHeight="1" s="40">
      <c r="A2562" s="24" t="n"/>
      <c r="B2562" s="27" t="n"/>
      <c r="C2562" s="24" t="n"/>
      <c r="D2562" s="28" t="n"/>
      <c r="E2562" s="29" t="n"/>
      <c r="F2562" s="24" t="n"/>
      <c r="G2562" s="24" t="n"/>
      <c r="H2562" s="21">
        <f>IF(ISNUMBER($B2562),INT($B2562)-WEEKDAY($B2562,2)+1,"")</f>
        <v/>
      </c>
      <c r="I2562" s="24" t="n"/>
      <c r="J2562" s="22">
        <f t="array" ref="J2562">IF($D2562="","",IF($I2562="","(trống REF)",IFERROR(INDEX(MASTER_SOURCE!$B$2:$B$495,MATCH($I2562,MASTER_SOURCE!$A$2:$A$495,0)),"(REF không có trong MASTER_SOURCE)")))</f>
        <v/>
      </c>
      <c r="K2562" s="22">
        <f t="array" ref="K2562">IF($D2562="","",IFERROR(INDEX(MASTER_SOURCE!$C$2:$C$495,MATCH($I2562,MASTER_SOURCE!$A$2:$A$495,0)),""))</f>
        <v/>
      </c>
      <c r="L2562" s="22">
        <f t="array" ref="L2562">IF($D2562="","",IFERROR(INDEX(MASTER_SOURCE!$D$2:$D$495,MATCH($I2562,MASTER_SOURCE!$A$2:$A$495,0)),""))</f>
        <v/>
      </c>
      <c r="M2562" s="24" t="n"/>
      <c r="N2562" s="24" t="n"/>
      <c r="O2562" s="24" t="n"/>
      <c r="P2562" s="24" t="n"/>
      <c r="Q2562" s="22">
        <f>IF($D2562="","",IF(AND(OR(DANH_MUC!$L$5&lt;&gt;"Có",M2562="Có"),OR(DANH_MUC!$L$6&lt;&gt;"Có",N2562="Có"),OR(DANH_MUC!$L$7&lt;&gt;"Có",O2562="Có"),OR(DANH_MUC!$L$8&lt;&gt;"Có",P2562="Có")),"Có","Không"))</f>
        <v/>
      </c>
      <c r="R2562" s="22">
        <f>IF($D2562="","",IF(COUNTIF($D$2:$D2562,$D2562)&gt;1,"Trùng",""))</f>
        <v/>
      </c>
      <c r="S2562" s="22">
        <f>IF($D2562="","",IF(AND(LEN($D2562)=10,LEFT($D2562,1)="0",ISNUMBER(--$D2562)),"Có","Không"))</f>
        <v/>
      </c>
      <c r="T2562" s="22">
        <f>IF($D2562="","",IF(AND($C2562&lt;&gt;"",$Q2562="Có",$R2562="",$S2562="Có",AND($L2562&lt;&gt;"",OR($L2562&lt;&gt;"Chưa xác định",DANH_MUC!$L$9="Có"))),"Có","Không"))</f>
        <v/>
      </c>
      <c r="U2562" s="22">
        <f>IF(OR($D2562="",$T2562="Có"),"",IF($C2562="","Thiếu họ tên; ","")&amp;IF($S2562&lt;&gt;"Có","SĐT sai định dạng; ","")&amp;IF($R2562="Trùng","Trùng SĐT; ","")&amp;IF($Q2562&lt;&gt;"Có","Thiếu đồng ý bắt buộc; ","")&amp;IF($L2562="","Thiếu/sai Mã REF; ",IF(AND($L2562="Chưa xác định",DANH_MUC!$L$9&lt;&gt;"Có"),"Nguồn chưa xác định; ","")))</f>
        <v/>
      </c>
      <c r="V2562" s="22">
        <f>IF(OR($D2562="",$R2562="Trùng"),"",IF(COUNTIF(ORDERS!$C$2:$C$4995,$D2562)&gt;0,"Có","Không"))</f>
        <v/>
      </c>
      <c r="W2562" s="22">
        <f>IF(OR($D2562="",$R2562="Trùng"),"",COUNTIFS(ORDERS!$C$2:$C$4995,$D2562,ORDERS!$L$2:$L$4995,"Đã chuyển khoản"))</f>
        <v/>
      </c>
      <c r="X2562" s="23">
        <f>IF(OR($D2562="",$R2562="Trùng"),"",SUMIFS(ORDERS!$J$2:$J$4995,ORDERS!$C$2:$C$4995,$D2562,ORDERS!$L$2:$L$4995,"Đã chuyển khoản"))</f>
        <v/>
      </c>
      <c r="Y2562" s="24" t="n"/>
    </row>
    <row r="2563" ht="14.25" customHeight="1" s="40">
      <c r="A2563" s="24" t="n"/>
      <c r="B2563" s="27" t="n"/>
      <c r="C2563" s="24" t="n"/>
      <c r="D2563" s="28" t="n"/>
      <c r="E2563" s="29" t="n"/>
      <c r="F2563" s="24" t="n"/>
      <c r="G2563" s="24" t="n"/>
      <c r="H2563" s="21">
        <f>IF(ISNUMBER($B2563),INT($B2563)-WEEKDAY($B2563,2)+1,"")</f>
        <v/>
      </c>
      <c r="I2563" s="24" t="n"/>
      <c r="J2563" s="22">
        <f t="array" ref="J2563">IF($D2563="","",IF($I2563="","(trống REF)",IFERROR(INDEX(MASTER_SOURCE!$B$2:$B$495,MATCH($I2563,MASTER_SOURCE!$A$2:$A$495,0)),"(REF không có trong MASTER_SOURCE)")))</f>
        <v/>
      </c>
      <c r="K2563" s="22">
        <f t="array" ref="K2563">IF($D2563="","",IFERROR(INDEX(MASTER_SOURCE!$C$2:$C$495,MATCH($I2563,MASTER_SOURCE!$A$2:$A$495,0)),""))</f>
        <v/>
      </c>
      <c r="L2563" s="22">
        <f t="array" ref="L2563">IF($D2563="","",IFERROR(INDEX(MASTER_SOURCE!$D$2:$D$495,MATCH($I2563,MASTER_SOURCE!$A$2:$A$495,0)),""))</f>
        <v/>
      </c>
      <c r="M2563" s="24" t="n"/>
      <c r="N2563" s="24" t="n"/>
      <c r="O2563" s="24" t="n"/>
      <c r="P2563" s="24" t="n"/>
      <c r="Q2563" s="22">
        <f>IF($D2563="","",IF(AND(OR(DANH_MUC!$L$5&lt;&gt;"Có",M2563="Có"),OR(DANH_MUC!$L$6&lt;&gt;"Có",N2563="Có"),OR(DANH_MUC!$L$7&lt;&gt;"Có",O2563="Có"),OR(DANH_MUC!$L$8&lt;&gt;"Có",P2563="Có")),"Có","Không"))</f>
        <v/>
      </c>
      <c r="R2563" s="22">
        <f>IF($D2563="","",IF(COUNTIF($D$2:$D2563,$D2563)&gt;1,"Trùng",""))</f>
        <v/>
      </c>
      <c r="S2563" s="22">
        <f>IF($D2563="","",IF(AND(LEN($D2563)=10,LEFT($D2563,1)="0",ISNUMBER(--$D2563)),"Có","Không"))</f>
        <v/>
      </c>
      <c r="T2563" s="22">
        <f>IF($D2563="","",IF(AND($C2563&lt;&gt;"",$Q2563="Có",$R2563="",$S2563="Có",AND($L2563&lt;&gt;"",OR($L2563&lt;&gt;"Chưa xác định",DANH_MUC!$L$9="Có"))),"Có","Không"))</f>
        <v/>
      </c>
      <c r="U2563" s="22">
        <f>IF(OR($D2563="",$T2563="Có"),"",IF($C2563="","Thiếu họ tên; ","")&amp;IF($S2563&lt;&gt;"Có","SĐT sai định dạng; ","")&amp;IF($R2563="Trùng","Trùng SĐT; ","")&amp;IF($Q2563&lt;&gt;"Có","Thiếu đồng ý bắt buộc; ","")&amp;IF($L2563="","Thiếu/sai Mã REF; ",IF(AND($L2563="Chưa xác định",DANH_MUC!$L$9&lt;&gt;"Có"),"Nguồn chưa xác định; ","")))</f>
        <v/>
      </c>
      <c r="V2563" s="22">
        <f>IF(OR($D2563="",$R2563="Trùng"),"",IF(COUNTIF(ORDERS!$C$2:$C$4995,$D2563)&gt;0,"Có","Không"))</f>
        <v/>
      </c>
      <c r="W2563" s="22">
        <f>IF(OR($D2563="",$R2563="Trùng"),"",COUNTIFS(ORDERS!$C$2:$C$4995,$D2563,ORDERS!$L$2:$L$4995,"Đã chuyển khoản"))</f>
        <v/>
      </c>
      <c r="X2563" s="23">
        <f>IF(OR($D2563="",$R2563="Trùng"),"",SUMIFS(ORDERS!$J$2:$J$4995,ORDERS!$C$2:$C$4995,$D2563,ORDERS!$L$2:$L$4995,"Đã chuyển khoản"))</f>
        <v/>
      </c>
      <c r="Y2563" s="24" t="n"/>
    </row>
    <row r="2564" ht="14.25" customHeight="1" s="40">
      <c r="A2564" s="24" t="n"/>
      <c r="B2564" s="27" t="n"/>
      <c r="C2564" s="24" t="n"/>
      <c r="D2564" s="28" t="n"/>
      <c r="E2564" s="29" t="n"/>
      <c r="F2564" s="24" t="n"/>
      <c r="G2564" s="24" t="n"/>
      <c r="H2564" s="21">
        <f>IF(ISNUMBER($B2564),INT($B2564)-WEEKDAY($B2564,2)+1,"")</f>
        <v/>
      </c>
      <c r="I2564" s="24" t="n"/>
      <c r="J2564" s="22">
        <f t="array" ref="J2564">IF($D2564="","",IF($I2564="","(trống REF)",IFERROR(INDEX(MASTER_SOURCE!$B$2:$B$495,MATCH($I2564,MASTER_SOURCE!$A$2:$A$495,0)),"(REF không có trong MASTER_SOURCE)")))</f>
        <v/>
      </c>
      <c r="K2564" s="22">
        <f t="array" ref="K2564">IF($D2564="","",IFERROR(INDEX(MASTER_SOURCE!$C$2:$C$495,MATCH($I2564,MASTER_SOURCE!$A$2:$A$495,0)),""))</f>
        <v/>
      </c>
      <c r="L2564" s="22">
        <f t="array" ref="L2564">IF($D2564="","",IFERROR(INDEX(MASTER_SOURCE!$D$2:$D$495,MATCH($I2564,MASTER_SOURCE!$A$2:$A$495,0)),""))</f>
        <v/>
      </c>
      <c r="M2564" s="24" t="n"/>
      <c r="N2564" s="24" t="n"/>
      <c r="O2564" s="24" t="n"/>
      <c r="P2564" s="24" t="n"/>
      <c r="Q2564" s="22">
        <f>IF($D2564="","",IF(AND(OR(DANH_MUC!$L$5&lt;&gt;"Có",M2564="Có"),OR(DANH_MUC!$L$6&lt;&gt;"Có",N2564="Có"),OR(DANH_MUC!$L$7&lt;&gt;"Có",O2564="Có"),OR(DANH_MUC!$L$8&lt;&gt;"Có",P2564="Có")),"Có","Không"))</f>
        <v/>
      </c>
      <c r="R2564" s="22">
        <f>IF($D2564="","",IF(COUNTIF($D$2:$D2564,$D2564)&gt;1,"Trùng",""))</f>
        <v/>
      </c>
      <c r="S2564" s="22">
        <f>IF($D2564="","",IF(AND(LEN($D2564)=10,LEFT($D2564,1)="0",ISNUMBER(--$D2564)),"Có","Không"))</f>
        <v/>
      </c>
      <c r="T2564" s="22">
        <f>IF($D2564="","",IF(AND($C2564&lt;&gt;"",$Q2564="Có",$R2564="",$S2564="Có",AND($L2564&lt;&gt;"",OR($L2564&lt;&gt;"Chưa xác định",DANH_MUC!$L$9="Có"))),"Có","Không"))</f>
        <v/>
      </c>
      <c r="U2564" s="22">
        <f>IF(OR($D2564="",$T2564="Có"),"",IF($C2564="","Thiếu họ tên; ","")&amp;IF($S2564&lt;&gt;"Có","SĐT sai định dạng; ","")&amp;IF($R2564="Trùng","Trùng SĐT; ","")&amp;IF($Q2564&lt;&gt;"Có","Thiếu đồng ý bắt buộc; ","")&amp;IF($L2564="","Thiếu/sai Mã REF; ",IF(AND($L2564="Chưa xác định",DANH_MUC!$L$9&lt;&gt;"Có"),"Nguồn chưa xác định; ","")))</f>
        <v/>
      </c>
      <c r="V2564" s="22">
        <f>IF(OR($D2564="",$R2564="Trùng"),"",IF(COUNTIF(ORDERS!$C$2:$C$4995,$D2564)&gt;0,"Có","Không"))</f>
        <v/>
      </c>
      <c r="W2564" s="22">
        <f>IF(OR($D2564="",$R2564="Trùng"),"",COUNTIFS(ORDERS!$C$2:$C$4995,$D2564,ORDERS!$L$2:$L$4995,"Đã chuyển khoản"))</f>
        <v/>
      </c>
      <c r="X2564" s="23">
        <f>IF(OR($D2564="",$R2564="Trùng"),"",SUMIFS(ORDERS!$J$2:$J$4995,ORDERS!$C$2:$C$4995,$D2564,ORDERS!$L$2:$L$4995,"Đã chuyển khoản"))</f>
        <v/>
      </c>
      <c r="Y2564" s="24" t="n"/>
    </row>
    <row r="2565" ht="14.25" customHeight="1" s="40">
      <c r="A2565" s="24" t="n"/>
      <c r="B2565" s="27" t="n"/>
      <c r="C2565" s="24" t="n"/>
      <c r="D2565" s="28" t="n"/>
      <c r="E2565" s="29" t="n"/>
      <c r="F2565" s="24" t="n"/>
      <c r="G2565" s="24" t="n"/>
      <c r="H2565" s="21">
        <f>IF(ISNUMBER($B2565),INT($B2565)-WEEKDAY($B2565,2)+1,"")</f>
        <v/>
      </c>
      <c r="I2565" s="24" t="n"/>
      <c r="J2565" s="22">
        <f t="array" ref="J2565">IF($D2565="","",IF($I2565="","(trống REF)",IFERROR(INDEX(MASTER_SOURCE!$B$2:$B$495,MATCH($I2565,MASTER_SOURCE!$A$2:$A$495,0)),"(REF không có trong MASTER_SOURCE)")))</f>
        <v/>
      </c>
      <c r="K2565" s="22">
        <f t="array" ref="K2565">IF($D2565="","",IFERROR(INDEX(MASTER_SOURCE!$C$2:$C$495,MATCH($I2565,MASTER_SOURCE!$A$2:$A$495,0)),""))</f>
        <v/>
      </c>
      <c r="L2565" s="22">
        <f t="array" ref="L2565">IF($D2565="","",IFERROR(INDEX(MASTER_SOURCE!$D$2:$D$495,MATCH($I2565,MASTER_SOURCE!$A$2:$A$495,0)),""))</f>
        <v/>
      </c>
      <c r="M2565" s="24" t="n"/>
      <c r="N2565" s="24" t="n"/>
      <c r="O2565" s="24" t="n"/>
      <c r="P2565" s="24" t="n"/>
      <c r="Q2565" s="22">
        <f>IF($D2565="","",IF(AND(OR(DANH_MUC!$L$5&lt;&gt;"Có",M2565="Có"),OR(DANH_MUC!$L$6&lt;&gt;"Có",N2565="Có"),OR(DANH_MUC!$L$7&lt;&gt;"Có",O2565="Có"),OR(DANH_MUC!$L$8&lt;&gt;"Có",P2565="Có")),"Có","Không"))</f>
        <v/>
      </c>
      <c r="R2565" s="22">
        <f>IF($D2565="","",IF(COUNTIF($D$2:$D2565,$D2565)&gt;1,"Trùng",""))</f>
        <v/>
      </c>
      <c r="S2565" s="22">
        <f>IF($D2565="","",IF(AND(LEN($D2565)=10,LEFT($D2565,1)="0",ISNUMBER(--$D2565)),"Có","Không"))</f>
        <v/>
      </c>
      <c r="T2565" s="22">
        <f>IF($D2565="","",IF(AND($C2565&lt;&gt;"",$Q2565="Có",$R2565="",$S2565="Có",AND($L2565&lt;&gt;"",OR($L2565&lt;&gt;"Chưa xác định",DANH_MUC!$L$9="Có"))),"Có","Không"))</f>
        <v/>
      </c>
      <c r="U2565" s="22">
        <f>IF(OR($D2565="",$T2565="Có"),"",IF($C2565="","Thiếu họ tên; ","")&amp;IF($S2565&lt;&gt;"Có","SĐT sai định dạng; ","")&amp;IF($R2565="Trùng","Trùng SĐT; ","")&amp;IF($Q2565&lt;&gt;"Có","Thiếu đồng ý bắt buộc; ","")&amp;IF($L2565="","Thiếu/sai Mã REF; ",IF(AND($L2565="Chưa xác định",DANH_MUC!$L$9&lt;&gt;"Có"),"Nguồn chưa xác định; ","")))</f>
        <v/>
      </c>
      <c r="V2565" s="22">
        <f>IF(OR($D2565="",$R2565="Trùng"),"",IF(COUNTIF(ORDERS!$C$2:$C$4995,$D2565)&gt;0,"Có","Không"))</f>
        <v/>
      </c>
      <c r="W2565" s="22">
        <f>IF(OR($D2565="",$R2565="Trùng"),"",COUNTIFS(ORDERS!$C$2:$C$4995,$D2565,ORDERS!$L$2:$L$4995,"Đã chuyển khoản"))</f>
        <v/>
      </c>
      <c r="X2565" s="23">
        <f>IF(OR($D2565="",$R2565="Trùng"),"",SUMIFS(ORDERS!$J$2:$J$4995,ORDERS!$C$2:$C$4995,$D2565,ORDERS!$L$2:$L$4995,"Đã chuyển khoản"))</f>
        <v/>
      </c>
      <c r="Y2565" s="24" t="n"/>
    </row>
    <row r="2566" ht="14.25" customHeight="1" s="40">
      <c r="A2566" s="24" t="n"/>
      <c r="B2566" s="27" t="n"/>
      <c r="C2566" s="24" t="n"/>
      <c r="D2566" s="28" t="n"/>
      <c r="E2566" s="29" t="n"/>
      <c r="F2566" s="24" t="n"/>
      <c r="G2566" s="24" t="n"/>
      <c r="H2566" s="21">
        <f>IF(ISNUMBER($B2566),INT($B2566)-WEEKDAY($B2566,2)+1,"")</f>
        <v/>
      </c>
      <c r="I2566" s="24" t="n"/>
      <c r="J2566" s="22">
        <f t="array" ref="J2566">IF($D2566="","",IF($I2566="","(trống REF)",IFERROR(INDEX(MASTER_SOURCE!$B$2:$B$495,MATCH($I2566,MASTER_SOURCE!$A$2:$A$495,0)),"(REF không có trong MASTER_SOURCE)")))</f>
        <v/>
      </c>
      <c r="K2566" s="22">
        <f t="array" ref="K2566">IF($D2566="","",IFERROR(INDEX(MASTER_SOURCE!$C$2:$C$495,MATCH($I2566,MASTER_SOURCE!$A$2:$A$495,0)),""))</f>
        <v/>
      </c>
      <c r="L2566" s="22">
        <f t="array" ref="L2566">IF($D2566="","",IFERROR(INDEX(MASTER_SOURCE!$D$2:$D$495,MATCH($I2566,MASTER_SOURCE!$A$2:$A$495,0)),""))</f>
        <v/>
      </c>
      <c r="M2566" s="24" t="n"/>
      <c r="N2566" s="24" t="n"/>
      <c r="O2566" s="24" t="n"/>
      <c r="P2566" s="24" t="n"/>
      <c r="Q2566" s="22">
        <f>IF($D2566="","",IF(AND(OR(DANH_MUC!$L$5&lt;&gt;"Có",M2566="Có"),OR(DANH_MUC!$L$6&lt;&gt;"Có",N2566="Có"),OR(DANH_MUC!$L$7&lt;&gt;"Có",O2566="Có"),OR(DANH_MUC!$L$8&lt;&gt;"Có",P2566="Có")),"Có","Không"))</f>
        <v/>
      </c>
      <c r="R2566" s="22">
        <f>IF($D2566="","",IF(COUNTIF($D$2:$D2566,$D2566)&gt;1,"Trùng",""))</f>
        <v/>
      </c>
      <c r="S2566" s="22">
        <f>IF($D2566="","",IF(AND(LEN($D2566)=10,LEFT($D2566,1)="0",ISNUMBER(--$D2566)),"Có","Không"))</f>
        <v/>
      </c>
      <c r="T2566" s="22">
        <f>IF($D2566="","",IF(AND($C2566&lt;&gt;"",$Q2566="Có",$R2566="",$S2566="Có",AND($L2566&lt;&gt;"",OR($L2566&lt;&gt;"Chưa xác định",DANH_MUC!$L$9="Có"))),"Có","Không"))</f>
        <v/>
      </c>
      <c r="U2566" s="22">
        <f>IF(OR($D2566="",$T2566="Có"),"",IF($C2566="","Thiếu họ tên; ","")&amp;IF($S2566&lt;&gt;"Có","SĐT sai định dạng; ","")&amp;IF($R2566="Trùng","Trùng SĐT; ","")&amp;IF($Q2566&lt;&gt;"Có","Thiếu đồng ý bắt buộc; ","")&amp;IF($L2566="","Thiếu/sai Mã REF; ",IF(AND($L2566="Chưa xác định",DANH_MUC!$L$9&lt;&gt;"Có"),"Nguồn chưa xác định; ","")))</f>
        <v/>
      </c>
      <c r="V2566" s="22">
        <f>IF(OR($D2566="",$R2566="Trùng"),"",IF(COUNTIF(ORDERS!$C$2:$C$4995,$D2566)&gt;0,"Có","Không"))</f>
        <v/>
      </c>
      <c r="W2566" s="22">
        <f>IF(OR($D2566="",$R2566="Trùng"),"",COUNTIFS(ORDERS!$C$2:$C$4995,$D2566,ORDERS!$L$2:$L$4995,"Đã chuyển khoản"))</f>
        <v/>
      </c>
      <c r="X2566" s="23">
        <f>IF(OR($D2566="",$R2566="Trùng"),"",SUMIFS(ORDERS!$J$2:$J$4995,ORDERS!$C$2:$C$4995,$D2566,ORDERS!$L$2:$L$4995,"Đã chuyển khoản"))</f>
        <v/>
      </c>
      <c r="Y2566" s="24" t="n"/>
    </row>
    <row r="2567" ht="14.25" customHeight="1" s="40">
      <c r="A2567" s="24" t="n"/>
      <c r="B2567" s="27" t="n"/>
      <c r="C2567" s="24" t="n"/>
      <c r="D2567" s="28" t="n"/>
      <c r="E2567" s="29" t="n"/>
      <c r="F2567" s="24" t="n"/>
      <c r="G2567" s="24" t="n"/>
      <c r="H2567" s="21">
        <f>IF(ISNUMBER($B2567),INT($B2567)-WEEKDAY($B2567,2)+1,"")</f>
        <v/>
      </c>
      <c r="I2567" s="24" t="n"/>
      <c r="J2567" s="22">
        <f t="array" ref="J2567">IF($D2567="","",IF($I2567="","(trống REF)",IFERROR(INDEX(MASTER_SOURCE!$B$2:$B$495,MATCH($I2567,MASTER_SOURCE!$A$2:$A$495,0)),"(REF không có trong MASTER_SOURCE)")))</f>
        <v/>
      </c>
      <c r="K2567" s="22">
        <f t="array" ref="K2567">IF($D2567="","",IFERROR(INDEX(MASTER_SOURCE!$C$2:$C$495,MATCH($I2567,MASTER_SOURCE!$A$2:$A$495,0)),""))</f>
        <v/>
      </c>
      <c r="L2567" s="22">
        <f t="array" ref="L2567">IF($D2567="","",IFERROR(INDEX(MASTER_SOURCE!$D$2:$D$495,MATCH($I2567,MASTER_SOURCE!$A$2:$A$495,0)),""))</f>
        <v/>
      </c>
      <c r="M2567" s="24" t="n"/>
      <c r="N2567" s="24" t="n"/>
      <c r="O2567" s="24" t="n"/>
      <c r="P2567" s="24" t="n"/>
      <c r="Q2567" s="22">
        <f>IF($D2567="","",IF(AND(OR(DANH_MUC!$L$5&lt;&gt;"Có",M2567="Có"),OR(DANH_MUC!$L$6&lt;&gt;"Có",N2567="Có"),OR(DANH_MUC!$L$7&lt;&gt;"Có",O2567="Có"),OR(DANH_MUC!$L$8&lt;&gt;"Có",P2567="Có")),"Có","Không"))</f>
        <v/>
      </c>
      <c r="R2567" s="22">
        <f>IF($D2567="","",IF(COUNTIF($D$2:$D2567,$D2567)&gt;1,"Trùng",""))</f>
        <v/>
      </c>
      <c r="S2567" s="22">
        <f>IF($D2567="","",IF(AND(LEN($D2567)=10,LEFT($D2567,1)="0",ISNUMBER(--$D2567)),"Có","Không"))</f>
        <v/>
      </c>
      <c r="T2567" s="22">
        <f>IF($D2567="","",IF(AND($C2567&lt;&gt;"",$Q2567="Có",$R2567="",$S2567="Có",AND($L2567&lt;&gt;"",OR($L2567&lt;&gt;"Chưa xác định",DANH_MUC!$L$9="Có"))),"Có","Không"))</f>
        <v/>
      </c>
      <c r="U2567" s="22">
        <f>IF(OR($D2567="",$T2567="Có"),"",IF($C2567="","Thiếu họ tên; ","")&amp;IF($S2567&lt;&gt;"Có","SĐT sai định dạng; ","")&amp;IF($R2567="Trùng","Trùng SĐT; ","")&amp;IF($Q2567&lt;&gt;"Có","Thiếu đồng ý bắt buộc; ","")&amp;IF($L2567="","Thiếu/sai Mã REF; ",IF(AND($L2567="Chưa xác định",DANH_MUC!$L$9&lt;&gt;"Có"),"Nguồn chưa xác định; ","")))</f>
        <v/>
      </c>
      <c r="V2567" s="22">
        <f>IF(OR($D2567="",$R2567="Trùng"),"",IF(COUNTIF(ORDERS!$C$2:$C$4995,$D2567)&gt;0,"Có","Không"))</f>
        <v/>
      </c>
      <c r="W2567" s="22">
        <f>IF(OR($D2567="",$R2567="Trùng"),"",COUNTIFS(ORDERS!$C$2:$C$4995,$D2567,ORDERS!$L$2:$L$4995,"Đã chuyển khoản"))</f>
        <v/>
      </c>
      <c r="X2567" s="23">
        <f>IF(OR($D2567="",$R2567="Trùng"),"",SUMIFS(ORDERS!$J$2:$J$4995,ORDERS!$C$2:$C$4995,$D2567,ORDERS!$L$2:$L$4995,"Đã chuyển khoản"))</f>
        <v/>
      </c>
      <c r="Y2567" s="24" t="n"/>
    </row>
    <row r="2568" ht="14.25" customHeight="1" s="40">
      <c r="A2568" s="24" t="n"/>
      <c r="B2568" s="27" t="n"/>
      <c r="C2568" s="24" t="n"/>
      <c r="D2568" s="28" t="n"/>
      <c r="E2568" s="29" t="n"/>
      <c r="F2568" s="24" t="n"/>
      <c r="G2568" s="24" t="n"/>
      <c r="H2568" s="21">
        <f>IF(ISNUMBER($B2568),INT($B2568)-WEEKDAY($B2568,2)+1,"")</f>
        <v/>
      </c>
      <c r="I2568" s="24" t="n"/>
      <c r="J2568" s="22">
        <f t="array" ref="J2568">IF($D2568="","",IF($I2568="","(trống REF)",IFERROR(INDEX(MASTER_SOURCE!$B$2:$B$495,MATCH($I2568,MASTER_SOURCE!$A$2:$A$495,0)),"(REF không có trong MASTER_SOURCE)")))</f>
        <v/>
      </c>
      <c r="K2568" s="22">
        <f t="array" ref="K2568">IF($D2568="","",IFERROR(INDEX(MASTER_SOURCE!$C$2:$C$495,MATCH($I2568,MASTER_SOURCE!$A$2:$A$495,0)),""))</f>
        <v/>
      </c>
      <c r="L2568" s="22">
        <f t="array" ref="L2568">IF($D2568="","",IFERROR(INDEX(MASTER_SOURCE!$D$2:$D$495,MATCH($I2568,MASTER_SOURCE!$A$2:$A$495,0)),""))</f>
        <v/>
      </c>
      <c r="M2568" s="24" t="n"/>
      <c r="N2568" s="24" t="n"/>
      <c r="O2568" s="24" t="n"/>
      <c r="P2568" s="24" t="n"/>
      <c r="Q2568" s="22">
        <f>IF($D2568="","",IF(AND(OR(DANH_MUC!$L$5&lt;&gt;"Có",M2568="Có"),OR(DANH_MUC!$L$6&lt;&gt;"Có",N2568="Có"),OR(DANH_MUC!$L$7&lt;&gt;"Có",O2568="Có"),OR(DANH_MUC!$L$8&lt;&gt;"Có",P2568="Có")),"Có","Không"))</f>
        <v/>
      </c>
      <c r="R2568" s="22">
        <f>IF($D2568="","",IF(COUNTIF($D$2:$D2568,$D2568)&gt;1,"Trùng",""))</f>
        <v/>
      </c>
      <c r="S2568" s="22">
        <f>IF($D2568="","",IF(AND(LEN($D2568)=10,LEFT($D2568,1)="0",ISNUMBER(--$D2568)),"Có","Không"))</f>
        <v/>
      </c>
      <c r="T2568" s="22">
        <f>IF($D2568="","",IF(AND($C2568&lt;&gt;"",$Q2568="Có",$R2568="",$S2568="Có",AND($L2568&lt;&gt;"",OR($L2568&lt;&gt;"Chưa xác định",DANH_MUC!$L$9="Có"))),"Có","Không"))</f>
        <v/>
      </c>
      <c r="U2568" s="22">
        <f>IF(OR($D2568="",$T2568="Có"),"",IF($C2568="","Thiếu họ tên; ","")&amp;IF($S2568&lt;&gt;"Có","SĐT sai định dạng; ","")&amp;IF($R2568="Trùng","Trùng SĐT; ","")&amp;IF($Q2568&lt;&gt;"Có","Thiếu đồng ý bắt buộc; ","")&amp;IF($L2568="","Thiếu/sai Mã REF; ",IF(AND($L2568="Chưa xác định",DANH_MUC!$L$9&lt;&gt;"Có"),"Nguồn chưa xác định; ","")))</f>
        <v/>
      </c>
      <c r="V2568" s="22">
        <f>IF(OR($D2568="",$R2568="Trùng"),"",IF(COUNTIF(ORDERS!$C$2:$C$4995,$D2568)&gt;0,"Có","Không"))</f>
        <v/>
      </c>
      <c r="W2568" s="22">
        <f>IF(OR($D2568="",$R2568="Trùng"),"",COUNTIFS(ORDERS!$C$2:$C$4995,$D2568,ORDERS!$L$2:$L$4995,"Đã chuyển khoản"))</f>
        <v/>
      </c>
      <c r="X2568" s="23">
        <f>IF(OR($D2568="",$R2568="Trùng"),"",SUMIFS(ORDERS!$J$2:$J$4995,ORDERS!$C$2:$C$4995,$D2568,ORDERS!$L$2:$L$4995,"Đã chuyển khoản"))</f>
        <v/>
      </c>
      <c r="Y2568" s="24" t="n"/>
    </row>
    <row r="2569" ht="14.25" customHeight="1" s="40">
      <c r="A2569" s="24" t="n"/>
      <c r="B2569" s="27" t="n"/>
      <c r="C2569" s="24" t="n"/>
      <c r="D2569" s="28" t="n"/>
      <c r="E2569" s="29" t="n"/>
      <c r="F2569" s="24" t="n"/>
      <c r="G2569" s="24" t="n"/>
      <c r="H2569" s="21">
        <f>IF(ISNUMBER($B2569),INT($B2569)-WEEKDAY($B2569,2)+1,"")</f>
        <v/>
      </c>
      <c r="I2569" s="24" t="n"/>
      <c r="J2569" s="22">
        <f t="array" ref="J2569">IF($D2569="","",IF($I2569="","(trống REF)",IFERROR(INDEX(MASTER_SOURCE!$B$2:$B$495,MATCH($I2569,MASTER_SOURCE!$A$2:$A$495,0)),"(REF không có trong MASTER_SOURCE)")))</f>
        <v/>
      </c>
      <c r="K2569" s="22">
        <f t="array" ref="K2569">IF($D2569="","",IFERROR(INDEX(MASTER_SOURCE!$C$2:$C$495,MATCH($I2569,MASTER_SOURCE!$A$2:$A$495,0)),""))</f>
        <v/>
      </c>
      <c r="L2569" s="22">
        <f t="array" ref="L2569">IF($D2569="","",IFERROR(INDEX(MASTER_SOURCE!$D$2:$D$495,MATCH($I2569,MASTER_SOURCE!$A$2:$A$495,0)),""))</f>
        <v/>
      </c>
      <c r="M2569" s="24" t="n"/>
      <c r="N2569" s="24" t="n"/>
      <c r="O2569" s="24" t="n"/>
      <c r="P2569" s="24" t="n"/>
      <c r="Q2569" s="22">
        <f>IF($D2569="","",IF(AND(OR(DANH_MUC!$L$5&lt;&gt;"Có",M2569="Có"),OR(DANH_MUC!$L$6&lt;&gt;"Có",N2569="Có"),OR(DANH_MUC!$L$7&lt;&gt;"Có",O2569="Có"),OR(DANH_MUC!$L$8&lt;&gt;"Có",P2569="Có")),"Có","Không"))</f>
        <v/>
      </c>
      <c r="R2569" s="22">
        <f>IF($D2569="","",IF(COUNTIF($D$2:$D2569,$D2569)&gt;1,"Trùng",""))</f>
        <v/>
      </c>
      <c r="S2569" s="22">
        <f>IF($D2569="","",IF(AND(LEN($D2569)=10,LEFT($D2569,1)="0",ISNUMBER(--$D2569)),"Có","Không"))</f>
        <v/>
      </c>
      <c r="T2569" s="22">
        <f>IF($D2569="","",IF(AND($C2569&lt;&gt;"",$Q2569="Có",$R2569="",$S2569="Có",AND($L2569&lt;&gt;"",OR($L2569&lt;&gt;"Chưa xác định",DANH_MUC!$L$9="Có"))),"Có","Không"))</f>
        <v/>
      </c>
      <c r="U2569" s="22">
        <f>IF(OR($D2569="",$T2569="Có"),"",IF($C2569="","Thiếu họ tên; ","")&amp;IF($S2569&lt;&gt;"Có","SĐT sai định dạng; ","")&amp;IF($R2569="Trùng","Trùng SĐT; ","")&amp;IF($Q2569&lt;&gt;"Có","Thiếu đồng ý bắt buộc; ","")&amp;IF($L2569="","Thiếu/sai Mã REF; ",IF(AND($L2569="Chưa xác định",DANH_MUC!$L$9&lt;&gt;"Có"),"Nguồn chưa xác định; ","")))</f>
        <v/>
      </c>
      <c r="V2569" s="22">
        <f>IF(OR($D2569="",$R2569="Trùng"),"",IF(COUNTIF(ORDERS!$C$2:$C$4995,$D2569)&gt;0,"Có","Không"))</f>
        <v/>
      </c>
      <c r="W2569" s="22">
        <f>IF(OR($D2569="",$R2569="Trùng"),"",COUNTIFS(ORDERS!$C$2:$C$4995,$D2569,ORDERS!$L$2:$L$4995,"Đã chuyển khoản"))</f>
        <v/>
      </c>
      <c r="X2569" s="23">
        <f>IF(OR($D2569="",$R2569="Trùng"),"",SUMIFS(ORDERS!$J$2:$J$4995,ORDERS!$C$2:$C$4995,$D2569,ORDERS!$L$2:$L$4995,"Đã chuyển khoản"))</f>
        <v/>
      </c>
      <c r="Y2569" s="24" t="n"/>
    </row>
    <row r="2570" ht="14.25" customHeight="1" s="40">
      <c r="A2570" s="24" t="n"/>
      <c r="B2570" s="27" t="n"/>
      <c r="C2570" s="24" t="n"/>
      <c r="D2570" s="28" t="n"/>
      <c r="E2570" s="29" t="n"/>
      <c r="F2570" s="24" t="n"/>
      <c r="G2570" s="24" t="n"/>
      <c r="H2570" s="21">
        <f>IF(ISNUMBER($B2570),INT($B2570)-WEEKDAY($B2570,2)+1,"")</f>
        <v/>
      </c>
      <c r="I2570" s="24" t="n"/>
      <c r="J2570" s="22">
        <f t="array" ref="J2570">IF($D2570="","",IF($I2570="","(trống REF)",IFERROR(INDEX(MASTER_SOURCE!$B$2:$B$495,MATCH($I2570,MASTER_SOURCE!$A$2:$A$495,0)),"(REF không có trong MASTER_SOURCE)")))</f>
        <v/>
      </c>
      <c r="K2570" s="22">
        <f t="array" ref="K2570">IF($D2570="","",IFERROR(INDEX(MASTER_SOURCE!$C$2:$C$495,MATCH($I2570,MASTER_SOURCE!$A$2:$A$495,0)),""))</f>
        <v/>
      </c>
      <c r="L2570" s="22">
        <f t="array" ref="L2570">IF($D2570="","",IFERROR(INDEX(MASTER_SOURCE!$D$2:$D$495,MATCH($I2570,MASTER_SOURCE!$A$2:$A$495,0)),""))</f>
        <v/>
      </c>
      <c r="M2570" s="24" t="n"/>
      <c r="N2570" s="24" t="n"/>
      <c r="O2570" s="24" t="n"/>
      <c r="P2570" s="24" t="n"/>
      <c r="Q2570" s="22">
        <f>IF($D2570="","",IF(AND(OR(DANH_MUC!$L$5&lt;&gt;"Có",M2570="Có"),OR(DANH_MUC!$L$6&lt;&gt;"Có",N2570="Có"),OR(DANH_MUC!$L$7&lt;&gt;"Có",O2570="Có"),OR(DANH_MUC!$L$8&lt;&gt;"Có",P2570="Có")),"Có","Không"))</f>
        <v/>
      </c>
      <c r="R2570" s="22">
        <f>IF($D2570="","",IF(COUNTIF($D$2:$D2570,$D2570)&gt;1,"Trùng",""))</f>
        <v/>
      </c>
      <c r="S2570" s="22">
        <f>IF($D2570="","",IF(AND(LEN($D2570)=10,LEFT($D2570,1)="0",ISNUMBER(--$D2570)),"Có","Không"))</f>
        <v/>
      </c>
      <c r="T2570" s="22">
        <f>IF($D2570="","",IF(AND($C2570&lt;&gt;"",$Q2570="Có",$R2570="",$S2570="Có",AND($L2570&lt;&gt;"",OR($L2570&lt;&gt;"Chưa xác định",DANH_MUC!$L$9="Có"))),"Có","Không"))</f>
        <v/>
      </c>
      <c r="U2570" s="22">
        <f>IF(OR($D2570="",$T2570="Có"),"",IF($C2570="","Thiếu họ tên; ","")&amp;IF($S2570&lt;&gt;"Có","SĐT sai định dạng; ","")&amp;IF($R2570="Trùng","Trùng SĐT; ","")&amp;IF($Q2570&lt;&gt;"Có","Thiếu đồng ý bắt buộc; ","")&amp;IF($L2570="","Thiếu/sai Mã REF; ",IF(AND($L2570="Chưa xác định",DANH_MUC!$L$9&lt;&gt;"Có"),"Nguồn chưa xác định; ","")))</f>
        <v/>
      </c>
      <c r="V2570" s="22">
        <f>IF(OR($D2570="",$R2570="Trùng"),"",IF(COUNTIF(ORDERS!$C$2:$C$4995,$D2570)&gt;0,"Có","Không"))</f>
        <v/>
      </c>
      <c r="W2570" s="22">
        <f>IF(OR($D2570="",$R2570="Trùng"),"",COUNTIFS(ORDERS!$C$2:$C$4995,$D2570,ORDERS!$L$2:$L$4995,"Đã chuyển khoản"))</f>
        <v/>
      </c>
      <c r="X2570" s="23">
        <f>IF(OR($D2570="",$R2570="Trùng"),"",SUMIFS(ORDERS!$J$2:$J$4995,ORDERS!$C$2:$C$4995,$D2570,ORDERS!$L$2:$L$4995,"Đã chuyển khoản"))</f>
        <v/>
      </c>
      <c r="Y2570" s="24" t="n"/>
    </row>
    <row r="2571" ht="14.25" customHeight="1" s="40">
      <c r="A2571" s="24" t="n"/>
      <c r="B2571" s="27" t="n"/>
      <c r="C2571" s="24" t="n"/>
      <c r="D2571" s="28" t="n"/>
      <c r="E2571" s="29" t="n"/>
      <c r="F2571" s="24" t="n"/>
      <c r="G2571" s="24" t="n"/>
      <c r="H2571" s="21">
        <f>IF(ISNUMBER($B2571),INT($B2571)-WEEKDAY($B2571,2)+1,"")</f>
        <v/>
      </c>
      <c r="I2571" s="24" t="n"/>
      <c r="J2571" s="22">
        <f t="array" ref="J2571">IF($D2571="","",IF($I2571="","(trống REF)",IFERROR(INDEX(MASTER_SOURCE!$B$2:$B$495,MATCH($I2571,MASTER_SOURCE!$A$2:$A$495,0)),"(REF không có trong MASTER_SOURCE)")))</f>
        <v/>
      </c>
      <c r="K2571" s="22">
        <f t="array" ref="K2571">IF($D2571="","",IFERROR(INDEX(MASTER_SOURCE!$C$2:$C$495,MATCH($I2571,MASTER_SOURCE!$A$2:$A$495,0)),""))</f>
        <v/>
      </c>
      <c r="L2571" s="22">
        <f t="array" ref="L2571">IF($D2571="","",IFERROR(INDEX(MASTER_SOURCE!$D$2:$D$495,MATCH($I2571,MASTER_SOURCE!$A$2:$A$495,0)),""))</f>
        <v/>
      </c>
      <c r="M2571" s="24" t="n"/>
      <c r="N2571" s="24" t="n"/>
      <c r="O2571" s="24" t="n"/>
      <c r="P2571" s="24" t="n"/>
      <c r="Q2571" s="22">
        <f>IF($D2571="","",IF(AND(OR(DANH_MUC!$L$5&lt;&gt;"Có",M2571="Có"),OR(DANH_MUC!$L$6&lt;&gt;"Có",N2571="Có"),OR(DANH_MUC!$L$7&lt;&gt;"Có",O2571="Có"),OR(DANH_MUC!$L$8&lt;&gt;"Có",P2571="Có")),"Có","Không"))</f>
        <v/>
      </c>
      <c r="R2571" s="22">
        <f>IF($D2571="","",IF(COUNTIF($D$2:$D2571,$D2571)&gt;1,"Trùng",""))</f>
        <v/>
      </c>
      <c r="S2571" s="22">
        <f>IF($D2571="","",IF(AND(LEN($D2571)=10,LEFT($D2571,1)="0",ISNUMBER(--$D2571)),"Có","Không"))</f>
        <v/>
      </c>
      <c r="T2571" s="22">
        <f>IF($D2571="","",IF(AND($C2571&lt;&gt;"",$Q2571="Có",$R2571="",$S2571="Có",AND($L2571&lt;&gt;"",OR($L2571&lt;&gt;"Chưa xác định",DANH_MUC!$L$9="Có"))),"Có","Không"))</f>
        <v/>
      </c>
      <c r="U2571" s="22">
        <f>IF(OR($D2571="",$T2571="Có"),"",IF($C2571="","Thiếu họ tên; ","")&amp;IF($S2571&lt;&gt;"Có","SĐT sai định dạng; ","")&amp;IF($R2571="Trùng","Trùng SĐT; ","")&amp;IF($Q2571&lt;&gt;"Có","Thiếu đồng ý bắt buộc; ","")&amp;IF($L2571="","Thiếu/sai Mã REF; ",IF(AND($L2571="Chưa xác định",DANH_MUC!$L$9&lt;&gt;"Có"),"Nguồn chưa xác định; ","")))</f>
        <v/>
      </c>
      <c r="V2571" s="22">
        <f>IF(OR($D2571="",$R2571="Trùng"),"",IF(COUNTIF(ORDERS!$C$2:$C$4995,$D2571)&gt;0,"Có","Không"))</f>
        <v/>
      </c>
      <c r="W2571" s="22">
        <f>IF(OR($D2571="",$R2571="Trùng"),"",COUNTIFS(ORDERS!$C$2:$C$4995,$D2571,ORDERS!$L$2:$L$4995,"Đã chuyển khoản"))</f>
        <v/>
      </c>
      <c r="X2571" s="23">
        <f>IF(OR($D2571="",$R2571="Trùng"),"",SUMIFS(ORDERS!$J$2:$J$4995,ORDERS!$C$2:$C$4995,$D2571,ORDERS!$L$2:$L$4995,"Đã chuyển khoản"))</f>
        <v/>
      </c>
      <c r="Y2571" s="24" t="n"/>
    </row>
    <row r="2572" ht="14.25" customHeight="1" s="40">
      <c r="A2572" s="24" t="n"/>
      <c r="B2572" s="27" t="n"/>
      <c r="C2572" s="24" t="n"/>
      <c r="D2572" s="28" t="n"/>
      <c r="E2572" s="29" t="n"/>
      <c r="F2572" s="24" t="n"/>
      <c r="G2572" s="24" t="n"/>
      <c r="H2572" s="21">
        <f>IF(ISNUMBER($B2572),INT($B2572)-WEEKDAY($B2572,2)+1,"")</f>
        <v/>
      </c>
      <c r="I2572" s="24" t="n"/>
      <c r="J2572" s="22">
        <f t="array" ref="J2572">IF($D2572="","",IF($I2572="","(trống REF)",IFERROR(INDEX(MASTER_SOURCE!$B$2:$B$495,MATCH($I2572,MASTER_SOURCE!$A$2:$A$495,0)),"(REF không có trong MASTER_SOURCE)")))</f>
        <v/>
      </c>
      <c r="K2572" s="22">
        <f t="array" ref="K2572">IF($D2572="","",IFERROR(INDEX(MASTER_SOURCE!$C$2:$C$495,MATCH($I2572,MASTER_SOURCE!$A$2:$A$495,0)),""))</f>
        <v/>
      </c>
      <c r="L2572" s="22">
        <f t="array" ref="L2572">IF($D2572="","",IFERROR(INDEX(MASTER_SOURCE!$D$2:$D$495,MATCH($I2572,MASTER_SOURCE!$A$2:$A$495,0)),""))</f>
        <v/>
      </c>
      <c r="M2572" s="24" t="n"/>
      <c r="N2572" s="24" t="n"/>
      <c r="O2572" s="24" t="n"/>
      <c r="P2572" s="24" t="n"/>
      <c r="Q2572" s="22">
        <f>IF($D2572="","",IF(AND(OR(DANH_MUC!$L$5&lt;&gt;"Có",M2572="Có"),OR(DANH_MUC!$L$6&lt;&gt;"Có",N2572="Có"),OR(DANH_MUC!$L$7&lt;&gt;"Có",O2572="Có"),OR(DANH_MUC!$L$8&lt;&gt;"Có",P2572="Có")),"Có","Không"))</f>
        <v/>
      </c>
      <c r="R2572" s="22">
        <f>IF($D2572="","",IF(COUNTIF($D$2:$D2572,$D2572)&gt;1,"Trùng",""))</f>
        <v/>
      </c>
      <c r="S2572" s="22">
        <f>IF($D2572="","",IF(AND(LEN($D2572)=10,LEFT($D2572,1)="0",ISNUMBER(--$D2572)),"Có","Không"))</f>
        <v/>
      </c>
      <c r="T2572" s="22">
        <f>IF($D2572="","",IF(AND($C2572&lt;&gt;"",$Q2572="Có",$R2572="",$S2572="Có",AND($L2572&lt;&gt;"",OR($L2572&lt;&gt;"Chưa xác định",DANH_MUC!$L$9="Có"))),"Có","Không"))</f>
        <v/>
      </c>
      <c r="U2572" s="22">
        <f>IF(OR($D2572="",$T2572="Có"),"",IF($C2572="","Thiếu họ tên; ","")&amp;IF($S2572&lt;&gt;"Có","SĐT sai định dạng; ","")&amp;IF($R2572="Trùng","Trùng SĐT; ","")&amp;IF($Q2572&lt;&gt;"Có","Thiếu đồng ý bắt buộc; ","")&amp;IF($L2572="","Thiếu/sai Mã REF; ",IF(AND($L2572="Chưa xác định",DANH_MUC!$L$9&lt;&gt;"Có"),"Nguồn chưa xác định; ","")))</f>
        <v/>
      </c>
      <c r="V2572" s="22">
        <f>IF(OR($D2572="",$R2572="Trùng"),"",IF(COUNTIF(ORDERS!$C$2:$C$4995,$D2572)&gt;0,"Có","Không"))</f>
        <v/>
      </c>
      <c r="W2572" s="22">
        <f>IF(OR($D2572="",$R2572="Trùng"),"",COUNTIFS(ORDERS!$C$2:$C$4995,$D2572,ORDERS!$L$2:$L$4995,"Đã chuyển khoản"))</f>
        <v/>
      </c>
      <c r="X2572" s="23">
        <f>IF(OR($D2572="",$R2572="Trùng"),"",SUMIFS(ORDERS!$J$2:$J$4995,ORDERS!$C$2:$C$4995,$D2572,ORDERS!$L$2:$L$4995,"Đã chuyển khoản"))</f>
        <v/>
      </c>
      <c r="Y2572" s="24" t="n"/>
    </row>
    <row r="2573" ht="14.25" customHeight="1" s="40">
      <c r="A2573" s="24" t="n"/>
      <c r="B2573" s="27" t="n"/>
      <c r="C2573" s="24" t="n"/>
      <c r="D2573" s="28" t="n"/>
      <c r="E2573" s="29" t="n"/>
      <c r="F2573" s="24" t="n"/>
      <c r="G2573" s="24" t="n"/>
      <c r="H2573" s="21">
        <f>IF(ISNUMBER($B2573),INT($B2573)-WEEKDAY($B2573,2)+1,"")</f>
        <v/>
      </c>
      <c r="I2573" s="24" t="n"/>
      <c r="J2573" s="22">
        <f t="array" ref="J2573">IF($D2573="","",IF($I2573="","(trống REF)",IFERROR(INDEX(MASTER_SOURCE!$B$2:$B$495,MATCH($I2573,MASTER_SOURCE!$A$2:$A$495,0)),"(REF không có trong MASTER_SOURCE)")))</f>
        <v/>
      </c>
      <c r="K2573" s="22">
        <f t="array" ref="K2573">IF($D2573="","",IFERROR(INDEX(MASTER_SOURCE!$C$2:$C$495,MATCH($I2573,MASTER_SOURCE!$A$2:$A$495,0)),""))</f>
        <v/>
      </c>
      <c r="L2573" s="22">
        <f t="array" ref="L2573">IF($D2573="","",IFERROR(INDEX(MASTER_SOURCE!$D$2:$D$495,MATCH($I2573,MASTER_SOURCE!$A$2:$A$495,0)),""))</f>
        <v/>
      </c>
      <c r="M2573" s="24" t="n"/>
      <c r="N2573" s="24" t="n"/>
      <c r="O2573" s="24" t="n"/>
      <c r="P2573" s="24" t="n"/>
      <c r="Q2573" s="22">
        <f>IF($D2573="","",IF(AND(OR(DANH_MUC!$L$5&lt;&gt;"Có",M2573="Có"),OR(DANH_MUC!$L$6&lt;&gt;"Có",N2573="Có"),OR(DANH_MUC!$L$7&lt;&gt;"Có",O2573="Có"),OR(DANH_MUC!$L$8&lt;&gt;"Có",P2573="Có")),"Có","Không"))</f>
        <v/>
      </c>
      <c r="R2573" s="22">
        <f>IF($D2573="","",IF(COUNTIF($D$2:$D2573,$D2573)&gt;1,"Trùng",""))</f>
        <v/>
      </c>
      <c r="S2573" s="22">
        <f>IF($D2573="","",IF(AND(LEN($D2573)=10,LEFT($D2573,1)="0",ISNUMBER(--$D2573)),"Có","Không"))</f>
        <v/>
      </c>
      <c r="T2573" s="22">
        <f>IF($D2573="","",IF(AND($C2573&lt;&gt;"",$Q2573="Có",$R2573="",$S2573="Có",AND($L2573&lt;&gt;"",OR($L2573&lt;&gt;"Chưa xác định",DANH_MUC!$L$9="Có"))),"Có","Không"))</f>
        <v/>
      </c>
      <c r="U2573" s="22">
        <f>IF(OR($D2573="",$T2573="Có"),"",IF($C2573="","Thiếu họ tên; ","")&amp;IF($S2573&lt;&gt;"Có","SĐT sai định dạng; ","")&amp;IF($R2573="Trùng","Trùng SĐT; ","")&amp;IF($Q2573&lt;&gt;"Có","Thiếu đồng ý bắt buộc; ","")&amp;IF($L2573="","Thiếu/sai Mã REF; ",IF(AND($L2573="Chưa xác định",DANH_MUC!$L$9&lt;&gt;"Có"),"Nguồn chưa xác định; ","")))</f>
        <v/>
      </c>
      <c r="V2573" s="22">
        <f>IF(OR($D2573="",$R2573="Trùng"),"",IF(COUNTIF(ORDERS!$C$2:$C$4995,$D2573)&gt;0,"Có","Không"))</f>
        <v/>
      </c>
      <c r="W2573" s="22">
        <f>IF(OR($D2573="",$R2573="Trùng"),"",COUNTIFS(ORDERS!$C$2:$C$4995,$D2573,ORDERS!$L$2:$L$4995,"Đã chuyển khoản"))</f>
        <v/>
      </c>
      <c r="X2573" s="23">
        <f>IF(OR($D2573="",$R2573="Trùng"),"",SUMIFS(ORDERS!$J$2:$J$4995,ORDERS!$C$2:$C$4995,$D2573,ORDERS!$L$2:$L$4995,"Đã chuyển khoản"))</f>
        <v/>
      </c>
      <c r="Y2573" s="24" t="n"/>
    </row>
    <row r="2574" ht="14.25" customHeight="1" s="40">
      <c r="A2574" s="24" t="n"/>
      <c r="B2574" s="27" t="n"/>
      <c r="C2574" s="24" t="n"/>
      <c r="D2574" s="28" t="n"/>
      <c r="E2574" s="29" t="n"/>
      <c r="F2574" s="24" t="n"/>
      <c r="G2574" s="24" t="n"/>
      <c r="H2574" s="21">
        <f>IF(ISNUMBER($B2574),INT($B2574)-WEEKDAY($B2574,2)+1,"")</f>
        <v/>
      </c>
      <c r="I2574" s="24" t="n"/>
      <c r="J2574" s="22">
        <f t="array" ref="J2574">IF($D2574="","",IF($I2574="","(trống REF)",IFERROR(INDEX(MASTER_SOURCE!$B$2:$B$495,MATCH($I2574,MASTER_SOURCE!$A$2:$A$495,0)),"(REF không có trong MASTER_SOURCE)")))</f>
        <v/>
      </c>
      <c r="K2574" s="22">
        <f t="array" ref="K2574">IF($D2574="","",IFERROR(INDEX(MASTER_SOURCE!$C$2:$C$495,MATCH($I2574,MASTER_SOURCE!$A$2:$A$495,0)),""))</f>
        <v/>
      </c>
      <c r="L2574" s="22">
        <f t="array" ref="L2574">IF($D2574="","",IFERROR(INDEX(MASTER_SOURCE!$D$2:$D$495,MATCH($I2574,MASTER_SOURCE!$A$2:$A$495,0)),""))</f>
        <v/>
      </c>
      <c r="M2574" s="24" t="n"/>
      <c r="N2574" s="24" t="n"/>
      <c r="O2574" s="24" t="n"/>
      <c r="P2574" s="24" t="n"/>
      <c r="Q2574" s="22">
        <f>IF($D2574="","",IF(AND(OR(DANH_MUC!$L$5&lt;&gt;"Có",M2574="Có"),OR(DANH_MUC!$L$6&lt;&gt;"Có",N2574="Có"),OR(DANH_MUC!$L$7&lt;&gt;"Có",O2574="Có"),OR(DANH_MUC!$L$8&lt;&gt;"Có",P2574="Có")),"Có","Không"))</f>
        <v/>
      </c>
      <c r="R2574" s="22">
        <f>IF($D2574="","",IF(COUNTIF($D$2:$D2574,$D2574)&gt;1,"Trùng",""))</f>
        <v/>
      </c>
      <c r="S2574" s="22">
        <f>IF($D2574="","",IF(AND(LEN($D2574)=10,LEFT($D2574,1)="0",ISNUMBER(--$D2574)),"Có","Không"))</f>
        <v/>
      </c>
      <c r="T2574" s="22">
        <f>IF($D2574="","",IF(AND($C2574&lt;&gt;"",$Q2574="Có",$R2574="",$S2574="Có",AND($L2574&lt;&gt;"",OR($L2574&lt;&gt;"Chưa xác định",DANH_MUC!$L$9="Có"))),"Có","Không"))</f>
        <v/>
      </c>
      <c r="U2574" s="22">
        <f>IF(OR($D2574="",$T2574="Có"),"",IF($C2574="","Thiếu họ tên; ","")&amp;IF($S2574&lt;&gt;"Có","SĐT sai định dạng; ","")&amp;IF($R2574="Trùng","Trùng SĐT; ","")&amp;IF($Q2574&lt;&gt;"Có","Thiếu đồng ý bắt buộc; ","")&amp;IF($L2574="","Thiếu/sai Mã REF; ",IF(AND($L2574="Chưa xác định",DANH_MUC!$L$9&lt;&gt;"Có"),"Nguồn chưa xác định; ","")))</f>
        <v/>
      </c>
      <c r="V2574" s="22">
        <f>IF(OR($D2574="",$R2574="Trùng"),"",IF(COUNTIF(ORDERS!$C$2:$C$4995,$D2574)&gt;0,"Có","Không"))</f>
        <v/>
      </c>
      <c r="W2574" s="22">
        <f>IF(OR($D2574="",$R2574="Trùng"),"",COUNTIFS(ORDERS!$C$2:$C$4995,$D2574,ORDERS!$L$2:$L$4995,"Đã chuyển khoản"))</f>
        <v/>
      </c>
      <c r="X2574" s="23">
        <f>IF(OR($D2574="",$R2574="Trùng"),"",SUMIFS(ORDERS!$J$2:$J$4995,ORDERS!$C$2:$C$4995,$D2574,ORDERS!$L$2:$L$4995,"Đã chuyển khoản"))</f>
        <v/>
      </c>
      <c r="Y2574" s="24" t="n"/>
    </row>
    <row r="2575" ht="14.25" customHeight="1" s="40">
      <c r="A2575" s="24" t="n"/>
      <c r="B2575" s="27" t="n"/>
      <c r="C2575" s="24" t="n"/>
      <c r="D2575" s="28" t="n"/>
      <c r="E2575" s="29" t="n"/>
      <c r="F2575" s="24" t="n"/>
      <c r="G2575" s="24" t="n"/>
      <c r="H2575" s="21">
        <f>IF(ISNUMBER($B2575),INT($B2575)-WEEKDAY($B2575,2)+1,"")</f>
        <v/>
      </c>
      <c r="I2575" s="24" t="n"/>
      <c r="J2575" s="22">
        <f t="array" ref="J2575">IF($D2575="","",IF($I2575="","(trống REF)",IFERROR(INDEX(MASTER_SOURCE!$B$2:$B$495,MATCH($I2575,MASTER_SOURCE!$A$2:$A$495,0)),"(REF không có trong MASTER_SOURCE)")))</f>
        <v/>
      </c>
      <c r="K2575" s="22">
        <f t="array" ref="K2575">IF($D2575="","",IFERROR(INDEX(MASTER_SOURCE!$C$2:$C$495,MATCH($I2575,MASTER_SOURCE!$A$2:$A$495,0)),""))</f>
        <v/>
      </c>
      <c r="L2575" s="22">
        <f t="array" ref="L2575">IF($D2575="","",IFERROR(INDEX(MASTER_SOURCE!$D$2:$D$495,MATCH($I2575,MASTER_SOURCE!$A$2:$A$495,0)),""))</f>
        <v/>
      </c>
      <c r="M2575" s="24" t="n"/>
      <c r="N2575" s="24" t="n"/>
      <c r="O2575" s="24" t="n"/>
      <c r="P2575" s="24" t="n"/>
      <c r="Q2575" s="22">
        <f>IF($D2575="","",IF(AND(OR(DANH_MUC!$L$5&lt;&gt;"Có",M2575="Có"),OR(DANH_MUC!$L$6&lt;&gt;"Có",N2575="Có"),OR(DANH_MUC!$L$7&lt;&gt;"Có",O2575="Có"),OR(DANH_MUC!$L$8&lt;&gt;"Có",P2575="Có")),"Có","Không"))</f>
        <v/>
      </c>
      <c r="R2575" s="22">
        <f>IF($D2575="","",IF(COUNTIF($D$2:$D2575,$D2575)&gt;1,"Trùng",""))</f>
        <v/>
      </c>
      <c r="S2575" s="22">
        <f>IF($D2575="","",IF(AND(LEN($D2575)=10,LEFT($D2575,1)="0",ISNUMBER(--$D2575)),"Có","Không"))</f>
        <v/>
      </c>
      <c r="T2575" s="22">
        <f>IF($D2575="","",IF(AND($C2575&lt;&gt;"",$Q2575="Có",$R2575="",$S2575="Có",AND($L2575&lt;&gt;"",OR($L2575&lt;&gt;"Chưa xác định",DANH_MUC!$L$9="Có"))),"Có","Không"))</f>
        <v/>
      </c>
      <c r="U2575" s="22">
        <f>IF(OR($D2575="",$T2575="Có"),"",IF($C2575="","Thiếu họ tên; ","")&amp;IF($S2575&lt;&gt;"Có","SĐT sai định dạng; ","")&amp;IF($R2575="Trùng","Trùng SĐT; ","")&amp;IF($Q2575&lt;&gt;"Có","Thiếu đồng ý bắt buộc; ","")&amp;IF($L2575="","Thiếu/sai Mã REF; ",IF(AND($L2575="Chưa xác định",DANH_MUC!$L$9&lt;&gt;"Có"),"Nguồn chưa xác định; ","")))</f>
        <v/>
      </c>
      <c r="V2575" s="22">
        <f>IF(OR($D2575="",$R2575="Trùng"),"",IF(COUNTIF(ORDERS!$C$2:$C$4995,$D2575)&gt;0,"Có","Không"))</f>
        <v/>
      </c>
      <c r="W2575" s="22">
        <f>IF(OR($D2575="",$R2575="Trùng"),"",COUNTIFS(ORDERS!$C$2:$C$4995,$D2575,ORDERS!$L$2:$L$4995,"Đã chuyển khoản"))</f>
        <v/>
      </c>
      <c r="X2575" s="23">
        <f>IF(OR($D2575="",$R2575="Trùng"),"",SUMIFS(ORDERS!$J$2:$J$4995,ORDERS!$C$2:$C$4995,$D2575,ORDERS!$L$2:$L$4995,"Đã chuyển khoản"))</f>
        <v/>
      </c>
      <c r="Y2575" s="24" t="n"/>
    </row>
    <row r="2576" ht="14.25" customHeight="1" s="40">
      <c r="A2576" s="24" t="n"/>
      <c r="B2576" s="27" t="n"/>
      <c r="C2576" s="24" t="n"/>
      <c r="D2576" s="28" t="n"/>
      <c r="E2576" s="29" t="n"/>
      <c r="F2576" s="24" t="n"/>
      <c r="G2576" s="24" t="n"/>
      <c r="H2576" s="21">
        <f>IF(ISNUMBER($B2576),INT($B2576)-WEEKDAY($B2576,2)+1,"")</f>
        <v/>
      </c>
      <c r="I2576" s="24" t="n"/>
      <c r="J2576" s="22">
        <f t="array" ref="J2576">IF($D2576="","",IF($I2576="","(trống REF)",IFERROR(INDEX(MASTER_SOURCE!$B$2:$B$495,MATCH($I2576,MASTER_SOURCE!$A$2:$A$495,0)),"(REF không có trong MASTER_SOURCE)")))</f>
        <v/>
      </c>
      <c r="K2576" s="22">
        <f t="array" ref="K2576">IF($D2576="","",IFERROR(INDEX(MASTER_SOURCE!$C$2:$C$495,MATCH($I2576,MASTER_SOURCE!$A$2:$A$495,0)),""))</f>
        <v/>
      </c>
      <c r="L2576" s="22">
        <f t="array" ref="L2576">IF($D2576="","",IFERROR(INDEX(MASTER_SOURCE!$D$2:$D$495,MATCH($I2576,MASTER_SOURCE!$A$2:$A$495,0)),""))</f>
        <v/>
      </c>
      <c r="M2576" s="24" t="n"/>
      <c r="N2576" s="24" t="n"/>
      <c r="O2576" s="24" t="n"/>
      <c r="P2576" s="24" t="n"/>
      <c r="Q2576" s="22">
        <f>IF($D2576="","",IF(AND(OR(DANH_MUC!$L$5&lt;&gt;"Có",M2576="Có"),OR(DANH_MUC!$L$6&lt;&gt;"Có",N2576="Có"),OR(DANH_MUC!$L$7&lt;&gt;"Có",O2576="Có"),OR(DANH_MUC!$L$8&lt;&gt;"Có",P2576="Có")),"Có","Không"))</f>
        <v/>
      </c>
      <c r="R2576" s="22">
        <f>IF($D2576="","",IF(COUNTIF($D$2:$D2576,$D2576)&gt;1,"Trùng",""))</f>
        <v/>
      </c>
      <c r="S2576" s="22">
        <f>IF($D2576="","",IF(AND(LEN($D2576)=10,LEFT($D2576,1)="0",ISNUMBER(--$D2576)),"Có","Không"))</f>
        <v/>
      </c>
      <c r="T2576" s="22">
        <f>IF($D2576="","",IF(AND($C2576&lt;&gt;"",$Q2576="Có",$R2576="",$S2576="Có",AND($L2576&lt;&gt;"",OR($L2576&lt;&gt;"Chưa xác định",DANH_MUC!$L$9="Có"))),"Có","Không"))</f>
        <v/>
      </c>
      <c r="U2576" s="22">
        <f>IF(OR($D2576="",$T2576="Có"),"",IF($C2576="","Thiếu họ tên; ","")&amp;IF($S2576&lt;&gt;"Có","SĐT sai định dạng; ","")&amp;IF($R2576="Trùng","Trùng SĐT; ","")&amp;IF($Q2576&lt;&gt;"Có","Thiếu đồng ý bắt buộc; ","")&amp;IF($L2576="","Thiếu/sai Mã REF; ",IF(AND($L2576="Chưa xác định",DANH_MUC!$L$9&lt;&gt;"Có"),"Nguồn chưa xác định; ","")))</f>
        <v/>
      </c>
      <c r="V2576" s="22">
        <f>IF(OR($D2576="",$R2576="Trùng"),"",IF(COUNTIF(ORDERS!$C$2:$C$4995,$D2576)&gt;0,"Có","Không"))</f>
        <v/>
      </c>
      <c r="W2576" s="22">
        <f>IF(OR($D2576="",$R2576="Trùng"),"",COUNTIFS(ORDERS!$C$2:$C$4995,$D2576,ORDERS!$L$2:$L$4995,"Đã chuyển khoản"))</f>
        <v/>
      </c>
      <c r="X2576" s="23">
        <f>IF(OR($D2576="",$R2576="Trùng"),"",SUMIFS(ORDERS!$J$2:$J$4995,ORDERS!$C$2:$C$4995,$D2576,ORDERS!$L$2:$L$4995,"Đã chuyển khoản"))</f>
        <v/>
      </c>
      <c r="Y2576" s="24" t="n"/>
    </row>
    <row r="2577" ht="14.25" customHeight="1" s="40">
      <c r="A2577" s="24" t="n"/>
      <c r="B2577" s="27" t="n"/>
      <c r="C2577" s="24" t="n"/>
      <c r="D2577" s="28" t="n"/>
      <c r="E2577" s="29" t="n"/>
      <c r="F2577" s="24" t="n"/>
      <c r="G2577" s="24" t="n"/>
      <c r="H2577" s="21">
        <f>IF(ISNUMBER($B2577),INT($B2577)-WEEKDAY($B2577,2)+1,"")</f>
        <v/>
      </c>
      <c r="I2577" s="24" t="n"/>
      <c r="J2577" s="22">
        <f t="array" ref="J2577">IF($D2577="","",IF($I2577="","(trống REF)",IFERROR(INDEX(MASTER_SOURCE!$B$2:$B$495,MATCH($I2577,MASTER_SOURCE!$A$2:$A$495,0)),"(REF không có trong MASTER_SOURCE)")))</f>
        <v/>
      </c>
      <c r="K2577" s="22">
        <f t="array" ref="K2577">IF($D2577="","",IFERROR(INDEX(MASTER_SOURCE!$C$2:$C$495,MATCH($I2577,MASTER_SOURCE!$A$2:$A$495,0)),""))</f>
        <v/>
      </c>
      <c r="L2577" s="22">
        <f t="array" ref="L2577">IF($D2577="","",IFERROR(INDEX(MASTER_SOURCE!$D$2:$D$495,MATCH($I2577,MASTER_SOURCE!$A$2:$A$495,0)),""))</f>
        <v/>
      </c>
      <c r="M2577" s="24" t="n"/>
      <c r="N2577" s="24" t="n"/>
      <c r="O2577" s="24" t="n"/>
      <c r="P2577" s="24" t="n"/>
      <c r="Q2577" s="22">
        <f>IF($D2577="","",IF(AND(OR(DANH_MUC!$L$5&lt;&gt;"Có",M2577="Có"),OR(DANH_MUC!$L$6&lt;&gt;"Có",N2577="Có"),OR(DANH_MUC!$L$7&lt;&gt;"Có",O2577="Có"),OR(DANH_MUC!$L$8&lt;&gt;"Có",P2577="Có")),"Có","Không"))</f>
        <v/>
      </c>
      <c r="R2577" s="22">
        <f>IF($D2577="","",IF(COUNTIF($D$2:$D2577,$D2577)&gt;1,"Trùng",""))</f>
        <v/>
      </c>
      <c r="S2577" s="22">
        <f>IF($D2577="","",IF(AND(LEN($D2577)=10,LEFT($D2577,1)="0",ISNUMBER(--$D2577)),"Có","Không"))</f>
        <v/>
      </c>
      <c r="T2577" s="22">
        <f>IF($D2577="","",IF(AND($C2577&lt;&gt;"",$Q2577="Có",$R2577="",$S2577="Có",AND($L2577&lt;&gt;"",OR($L2577&lt;&gt;"Chưa xác định",DANH_MUC!$L$9="Có"))),"Có","Không"))</f>
        <v/>
      </c>
      <c r="U2577" s="22">
        <f>IF(OR($D2577="",$T2577="Có"),"",IF($C2577="","Thiếu họ tên; ","")&amp;IF($S2577&lt;&gt;"Có","SĐT sai định dạng; ","")&amp;IF($R2577="Trùng","Trùng SĐT; ","")&amp;IF($Q2577&lt;&gt;"Có","Thiếu đồng ý bắt buộc; ","")&amp;IF($L2577="","Thiếu/sai Mã REF; ",IF(AND($L2577="Chưa xác định",DANH_MUC!$L$9&lt;&gt;"Có"),"Nguồn chưa xác định; ","")))</f>
        <v/>
      </c>
      <c r="V2577" s="22">
        <f>IF(OR($D2577="",$R2577="Trùng"),"",IF(COUNTIF(ORDERS!$C$2:$C$4995,$D2577)&gt;0,"Có","Không"))</f>
        <v/>
      </c>
      <c r="W2577" s="22">
        <f>IF(OR($D2577="",$R2577="Trùng"),"",COUNTIFS(ORDERS!$C$2:$C$4995,$D2577,ORDERS!$L$2:$L$4995,"Đã chuyển khoản"))</f>
        <v/>
      </c>
      <c r="X2577" s="23">
        <f>IF(OR($D2577="",$R2577="Trùng"),"",SUMIFS(ORDERS!$J$2:$J$4995,ORDERS!$C$2:$C$4995,$D2577,ORDERS!$L$2:$L$4995,"Đã chuyển khoản"))</f>
        <v/>
      </c>
      <c r="Y2577" s="24" t="n"/>
    </row>
    <row r="2578" ht="14.25" customHeight="1" s="40">
      <c r="A2578" s="24" t="n"/>
      <c r="B2578" s="27" t="n"/>
      <c r="C2578" s="24" t="n"/>
      <c r="D2578" s="28" t="n"/>
      <c r="E2578" s="29" t="n"/>
      <c r="F2578" s="24" t="n"/>
      <c r="G2578" s="24" t="n"/>
      <c r="H2578" s="21">
        <f>IF(ISNUMBER($B2578),INT($B2578)-WEEKDAY($B2578,2)+1,"")</f>
        <v/>
      </c>
      <c r="I2578" s="24" t="n"/>
      <c r="J2578" s="22">
        <f t="array" ref="J2578">IF($D2578="","",IF($I2578="","(trống REF)",IFERROR(INDEX(MASTER_SOURCE!$B$2:$B$495,MATCH($I2578,MASTER_SOURCE!$A$2:$A$495,0)),"(REF không có trong MASTER_SOURCE)")))</f>
        <v/>
      </c>
      <c r="K2578" s="22">
        <f t="array" ref="K2578">IF($D2578="","",IFERROR(INDEX(MASTER_SOURCE!$C$2:$C$495,MATCH($I2578,MASTER_SOURCE!$A$2:$A$495,0)),""))</f>
        <v/>
      </c>
      <c r="L2578" s="22">
        <f t="array" ref="L2578">IF($D2578="","",IFERROR(INDEX(MASTER_SOURCE!$D$2:$D$495,MATCH($I2578,MASTER_SOURCE!$A$2:$A$495,0)),""))</f>
        <v/>
      </c>
      <c r="M2578" s="24" t="n"/>
      <c r="N2578" s="24" t="n"/>
      <c r="O2578" s="24" t="n"/>
      <c r="P2578" s="24" t="n"/>
      <c r="Q2578" s="22">
        <f>IF($D2578="","",IF(AND(OR(DANH_MUC!$L$5&lt;&gt;"Có",M2578="Có"),OR(DANH_MUC!$L$6&lt;&gt;"Có",N2578="Có"),OR(DANH_MUC!$L$7&lt;&gt;"Có",O2578="Có"),OR(DANH_MUC!$L$8&lt;&gt;"Có",P2578="Có")),"Có","Không"))</f>
        <v/>
      </c>
      <c r="R2578" s="22">
        <f>IF($D2578="","",IF(COUNTIF($D$2:$D2578,$D2578)&gt;1,"Trùng",""))</f>
        <v/>
      </c>
      <c r="S2578" s="22">
        <f>IF($D2578="","",IF(AND(LEN($D2578)=10,LEFT($D2578,1)="0",ISNUMBER(--$D2578)),"Có","Không"))</f>
        <v/>
      </c>
      <c r="T2578" s="22">
        <f>IF($D2578="","",IF(AND($C2578&lt;&gt;"",$Q2578="Có",$R2578="",$S2578="Có",AND($L2578&lt;&gt;"",OR($L2578&lt;&gt;"Chưa xác định",DANH_MUC!$L$9="Có"))),"Có","Không"))</f>
        <v/>
      </c>
      <c r="U2578" s="22">
        <f>IF(OR($D2578="",$T2578="Có"),"",IF($C2578="","Thiếu họ tên; ","")&amp;IF($S2578&lt;&gt;"Có","SĐT sai định dạng; ","")&amp;IF($R2578="Trùng","Trùng SĐT; ","")&amp;IF($Q2578&lt;&gt;"Có","Thiếu đồng ý bắt buộc; ","")&amp;IF($L2578="","Thiếu/sai Mã REF; ",IF(AND($L2578="Chưa xác định",DANH_MUC!$L$9&lt;&gt;"Có"),"Nguồn chưa xác định; ","")))</f>
        <v/>
      </c>
      <c r="V2578" s="22">
        <f>IF(OR($D2578="",$R2578="Trùng"),"",IF(COUNTIF(ORDERS!$C$2:$C$4995,$D2578)&gt;0,"Có","Không"))</f>
        <v/>
      </c>
      <c r="W2578" s="22">
        <f>IF(OR($D2578="",$R2578="Trùng"),"",COUNTIFS(ORDERS!$C$2:$C$4995,$D2578,ORDERS!$L$2:$L$4995,"Đã chuyển khoản"))</f>
        <v/>
      </c>
      <c r="X2578" s="23">
        <f>IF(OR($D2578="",$R2578="Trùng"),"",SUMIFS(ORDERS!$J$2:$J$4995,ORDERS!$C$2:$C$4995,$D2578,ORDERS!$L$2:$L$4995,"Đã chuyển khoản"))</f>
        <v/>
      </c>
      <c r="Y2578" s="24" t="n"/>
    </row>
    <row r="2579" ht="14.25" customHeight="1" s="40">
      <c r="A2579" s="24" t="n"/>
      <c r="B2579" s="27" t="n"/>
      <c r="C2579" s="24" t="n"/>
      <c r="D2579" s="28" t="n"/>
      <c r="E2579" s="29" t="n"/>
      <c r="F2579" s="24" t="n"/>
      <c r="G2579" s="24" t="n"/>
      <c r="H2579" s="21">
        <f>IF(ISNUMBER($B2579),INT($B2579)-WEEKDAY($B2579,2)+1,"")</f>
        <v/>
      </c>
      <c r="I2579" s="24" t="n"/>
      <c r="J2579" s="22">
        <f t="array" ref="J2579">IF($D2579="","",IF($I2579="","(trống REF)",IFERROR(INDEX(MASTER_SOURCE!$B$2:$B$495,MATCH($I2579,MASTER_SOURCE!$A$2:$A$495,0)),"(REF không có trong MASTER_SOURCE)")))</f>
        <v/>
      </c>
      <c r="K2579" s="22">
        <f t="array" ref="K2579">IF($D2579="","",IFERROR(INDEX(MASTER_SOURCE!$C$2:$C$495,MATCH($I2579,MASTER_SOURCE!$A$2:$A$495,0)),""))</f>
        <v/>
      </c>
      <c r="L2579" s="22">
        <f t="array" ref="L2579">IF($D2579="","",IFERROR(INDEX(MASTER_SOURCE!$D$2:$D$495,MATCH($I2579,MASTER_SOURCE!$A$2:$A$495,0)),""))</f>
        <v/>
      </c>
      <c r="M2579" s="24" t="n"/>
      <c r="N2579" s="24" t="n"/>
      <c r="O2579" s="24" t="n"/>
      <c r="P2579" s="24" t="n"/>
      <c r="Q2579" s="22">
        <f>IF($D2579="","",IF(AND(OR(DANH_MUC!$L$5&lt;&gt;"Có",M2579="Có"),OR(DANH_MUC!$L$6&lt;&gt;"Có",N2579="Có"),OR(DANH_MUC!$L$7&lt;&gt;"Có",O2579="Có"),OR(DANH_MUC!$L$8&lt;&gt;"Có",P2579="Có")),"Có","Không"))</f>
        <v/>
      </c>
      <c r="R2579" s="22">
        <f>IF($D2579="","",IF(COUNTIF($D$2:$D2579,$D2579)&gt;1,"Trùng",""))</f>
        <v/>
      </c>
      <c r="S2579" s="22">
        <f>IF($D2579="","",IF(AND(LEN($D2579)=10,LEFT($D2579,1)="0",ISNUMBER(--$D2579)),"Có","Không"))</f>
        <v/>
      </c>
      <c r="T2579" s="22">
        <f>IF($D2579="","",IF(AND($C2579&lt;&gt;"",$Q2579="Có",$R2579="",$S2579="Có",AND($L2579&lt;&gt;"",OR($L2579&lt;&gt;"Chưa xác định",DANH_MUC!$L$9="Có"))),"Có","Không"))</f>
        <v/>
      </c>
      <c r="U2579" s="22">
        <f>IF(OR($D2579="",$T2579="Có"),"",IF($C2579="","Thiếu họ tên; ","")&amp;IF($S2579&lt;&gt;"Có","SĐT sai định dạng; ","")&amp;IF($R2579="Trùng","Trùng SĐT; ","")&amp;IF($Q2579&lt;&gt;"Có","Thiếu đồng ý bắt buộc; ","")&amp;IF($L2579="","Thiếu/sai Mã REF; ",IF(AND($L2579="Chưa xác định",DANH_MUC!$L$9&lt;&gt;"Có"),"Nguồn chưa xác định; ","")))</f>
        <v/>
      </c>
      <c r="V2579" s="22">
        <f>IF(OR($D2579="",$R2579="Trùng"),"",IF(COUNTIF(ORDERS!$C$2:$C$4995,$D2579)&gt;0,"Có","Không"))</f>
        <v/>
      </c>
      <c r="W2579" s="22">
        <f>IF(OR($D2579="",$R2579="Trùng"),"",COUNTIFS(ORDERS!$C$2:$C$4995,$D2579,ORDERS!$L$2:$L$4995,"Đã chuyển khoản"))</f>
        <v/>
      </c>
      <c r="X2579" s="23">
        <f>IF(OR($D2579="",$R2579="Trùng"),"",SUMIFS(ORDERS!$J$2:$J$4995,ORDERS!$C$2:$C$4995,$D2579,ORDERS!$L$2:$L$4995,"Đã chuyển khoản"))</f>
        <v/>
      </c>
      <c r="Y2579" s="24" t="n"/>
    </row>
    <row r="2580" ht="14.25" customHeight="1" s="40">
      <c r="A2580" s="24" t="n"/>
      <c r="B2580" s="27" t="n"/>
      <c r="C2580" s="24" t="n"/>
      <c r="D2580" s="28" t="n"/>
      <c r="E2580" s="29" t="n"/>
      <c r="F2580" s="24" t="n"/>
      <c r="G2580" s="24" t="n"/>
      <c r="H2580" s="21">
        <f>IF(ISNUMBER($B2580),INT($B2580)-WEEKDAY($B2580,2)+1,"")</f>
        <v/>
      </c>
      <c r="I2580" s="24" t="n"/>
      <c r="J2580" s="22">
        <f t="array" ref="J2580">IF($D2580="","",IF($I2580="","(trống REF)",IFERROR(INDEX(MASTER_SOURCE!$B$2:$B$495,MATCH($I2580,MASTER_SOURCE!$A$2:$A$495,0)),"(REF không có trong MASTER_SOURCE)")))</f>
        <v/>
      </c>
      <c r="K2580" s="22">
        <f t="array" ref="K2580">IF($D2580="","",IFERROR(INDEX(MASTER_SOURCE!$C$2:$C$495,MATCH($I2580,MASTER_SOURCE!$A$2:$A$495,0)),""))</f>
        <v/>
      </c>
      <c r="L2580" s="22">
        <f t="array" ref="L2580">IF($D2580="","",IFERROR(INDEX(MASTER_SOURCE!$D$2:$D$495,MATCH($I2580,MASTER_SOURCE!$A$2:$A$495,0)),""))</f>
        <v/>
      </c>
      <c r="M2580" s="24" t="n"/>
      <c r="N2580" s="24" t="n"/>
      <c r="O2580" s="24" t="n"/>
      <c r="P2580" s="24" t="n"/>
      <c r="Q2580" s="22">
        <f>IF($D2580="","",IF(AND(OR(DANH_MUC!$L$5&lt;&gt;"Có",M2580="Có"),OR(DANH_MUC!$L$6&lt;&gt;"Có",N2580="Có"),OR(DANH_MUC!$L$7&lt;&gt;"Có",O2580="Có"),OR(DANH_MUC!$L$8&lt;&gt;"Có",P2580="Có")),"Có","Không"))</f>
        <v/>
      </c>
      <c r="R2580" s="22">
        <f>IF($D2580="","",IF(COUNTIF($D$2:$D2580,$D2580)&gt;1,"Trùng",""))</f>
        <v/>
      </c>
      <c r="S2580" s="22">
        <f>IF($D2580="","",IF(AND(LEN($D2580)=10,LEFT($D2580,1)="0",ISNUMBER(--$D2580)),"Có","Không"))</f>
        <v/>
      </c>
      <c r="T2580" s="22">
        <f>IF($D2580="","",IF(AND($C2580&lt;&gt;"",$Q2580="Có",$R2580="",$S2580="Có",AND($L2580&lt;&gt;"",OR($L2580&lt;&gt;"Chưa xác định",DANH_MUC!$L$9="Có"))),"Có","Không"))</f>
        <v/>
      </c>
      <c r="U2580" s="22">
        <f>IF(OR($D2580="",$T2580="Có"),"",IF($C2580="","Thiếu họ tên; ","")&amp;IF($S2580&lt;&gt;"Có","SĐT sai định dạng; ","")&amp;IF($R2580="Trùng","Trùng SĐT; ","")&amp;IF($Q2580&lt;&gt;"Có","Thiếu đồng ý bắt buộc; ","")&amp;IF($L2580="","Thiếu/sai Mã REF; ",IF(AND($L2580="Chưa xác định",DANH_MUC!$L$9&lt;&gt;"Có"),"Nguồn chưa xác định; ","")))</f>
        <v/>
      </c>
      <c r="V2580" s="22">
        <f>IF(OR($D2580="",$R2580="Trùng"),"",IF(COUNTIF(ORDERS!$C$2:$C$4995,$D2580)&gt;0,"Có","Không"))</f>
        <v/>
      </c>
      <c r="W2580" s="22">
        <f>IF(OR($D2580="",$R2580="Trùng"),"",COUNTIFS(ORDERS!$C$2:$C$4995,$D2580,ORDERS!$L$2:$L$4995,"Đã chuyển khoản"))</f>
        <v/>
      </c>
      <c r="X2580" s="23">
        <f>IF(OR($D2580="",$R2580="Trùng"),"",SUMIFS(ORDERS!$J$2:$J$4995,ORDERS!$C$2:$C$4995,$D2580,ORDERS!$L$2:$L$4995,"Đã chuyển khoản"))</f>
        <v/>
      </c>
      <c r="Y2580" s="24" t="n"/>
    </row>
    <row r="2581" ht="14.25" customHeight="1" s="40">
      <c r="A2581" s="24" t="n"/>
      <c r="B2581" s="27" t="n"/>
      <c r="C2581" s="24" t="n"/>
      <c r="D2581" s="28" t="n"/>
      <c r="E2581" s="29" t="n"/>
      <c r="F2581" s="24" t="n"/>
      <c r="G2581" s="24" t="n"/>
      <c r="H2581" s="21">
        <f>IF(ISNUMBER($B2581),INT($B2581)-WEEKDAY($B2581,2)+1,"")</f>
        <v/>
      </c>
      <c r="I2581" s="24" t="n"/>
      <c r="J2581" s="22">
        <f t="array" ref="J2581">IF($D2581="","",IF($I2581="","(trống REF)",IFERROR(INDEX(MASTER_SOURCE!$B$2:$B$495,MATCH($I2581,MASTER_SOURCE!$A$2:$A$495,0)),"(REF không có trong MASTER_SOURCE)")))</f>
        <v/>
      </c>
      <c r="K2581" s="22">
        <f t="array" ref="K2581">IF($D2581="","",IFERROR(INDEX(MASTER_SOURCE!$C$2:$C$495,MATCH($I2581,MASTER_SOURCE!$A$2:$A$495,0)),""))</f>
        <v/>
      </c>
      <c r="L2581" s="22">
        <f t="array" ref="L2581">IF($D2581="","",IFERROR(INDEX(MASTER_SOURCE!$D$2:$D$495,MATCH($I2581,MASTER_SOURCE!$A$2:$A$495,0)),""))</f>
        <v/>
      </c>
      <c r="M2581" s="24" t="n"/>
      <c r="N2581" s="24" t="n"/>
      <c r="O2581" s="24" t="n"/>
      <c r="P2581" s="24" t="n"/>
      <c r="Q2581" s="22">
        <f>IF($D2581="","",IF(AND(OR(DANH_MUC!$L$5&lt;&gt;"Có",M2581="Có"),OR(DANH_MUC!$L$6&lt;&gt;"Có",N2581="Có"),OR(DANH_MUC!$L$7&lt;&gt;"Có",O2581="Có"),OR(DANH_MUC!$L$8&lt;&gt;"Có",P2581="Có")),"Có","Không"))</f>
        <v/>
      </c>
      <c r="R2581" s="22">
        <f>IF($D2581="","",IF(COUNTIF($D$2:$D2581,$D2581)&gt;1,"Trùng",""))</f>
        <v/>
      </c>
      <c r="S2581" s="22">
        <f>IF($D2581="","",IF(AND(LEN($D2581)=10,LEFT($D2581,1)="0",ISNUMBER(--$D2581)),"Có","Không"))</f>
        <v/>
      </c>
      <c r="T2581" s="22">
        <f>IF($D2581="","",IF(AND($C2581&lt;&gt;"",$Q2581="Có",$R2581="",$S2581="Có",AND($L2581&lt;&gt;"",OR($L2581&lt;&gt;"Chưa xác định",DANH_MUC!$L$9="Có"))),"Có","Không"))</f>
        <v/>
      </c>
      <c r="U2581" s="22">
        <f>IF(OR($D2581="",$T2581="Có"),"",IF($C2581="","Thiếu họ tên; ","")&amp;IF($S2581&lt;&gt;"Có","SĐT sai định dạng; ","")&amp;IF($R2581="Trùng","Trùng SĐT; ","")&amp;IF($Q2581&lt;&gt;"Có","Thiếu đồng ý bắt buộc; ","")&amp;IF($L2581="","Thiếu/sai Mã REF; ",IF(AND($L2581="Chưa xác định",DANH_MUC!$L$9&lt;&gt;"Có"),"Nguồn chưa xác định; ","")))</f>
        <v/>
      </c>
      <c r="V2581" s="22">
        <f>IF(OR($D2581="",$R2581="Trùng"),"",IF(COUNTIF(ORDERS!$C$2:$C$4995,$D2581)&gt;0,"Có","Không"))</f>
        <v/>
      </c>
      <c r="W2581" s="22">
        <f>IF(OR($D2581="",$R2581="Trùng"),"",COUNTIFS(ORDERS!$C$2:$C$4995,$D2581,ORDERS!$L$2:$L$4995,"Đã chuyển khoản"))</f>
        <v/>
      </c>
      <c r="X2581" s="23">
        <f>IF(OR($D2581="",$R2581="Trùng"),"",SUMIFS(ORDERS!$J$2:$J$4995,ORDERS!$C$2:$C$4995,$D2581,ORDERS!$L$2:$L$4995,"Đã chuyển khoản"))</f>
        <v/>
      </c>
      <c r="Y2581" s="24" t="n"/>
    </row>
    <row r="2582" ht="14.25" customHeight="1" s="40">
      <c r="A2582" s="24" t="n"/>
      <c r="B2582" s="27" t="n"/>
      <c r="C2582" s="24" t="n"/>
      <c r="D2582" s="28" t="n"/>
      <c r="E2582" s="29" t="n"/>
      <c r="F2582" s="24" t="n"/>
      <c r="G2582" s="24" t="n"/>
      <c r="H2582" s="21">
        <f>IF(ISNUMBER($B2582),INT($B2582)-WEEKDAY($B2582,2)+1,"")</f>
        <v/>
      </c>
      <c r="I2582" s="24" t="n"/>
      <c r="J2582" s="22">
        <f t="array" ref="J2582">IF($D2582="","",IF($I2582="","(trống REF)",IFERROR(INDEX(MASTER_SOURCE!$B$2:$B$495,MATCH($I2582,MASTER_SOURCE!$A$2:$A$495,0)),"(REF không có trong MASTER_SOURCE)")))</f>
        <v/>
      </c>
      <c r="K2582" s="22">
        <f t="array" ref="K2582">IF($D2582="","",IFERROR(INDEX(MASTER_SOURCE!$C$2:$C$495,MATCH($I2582,MASTER_SOURCE!$A$2:$A$495,0)),""))</f>
        <v/>
      </c>
      <c r="L2582" s="22">
        <f t="array" ref="L2582">IF($D2582="","",IFERROR(INDEX(MASTER_SOURCE!$D$2:$D$495,MATCH($I2582,MASTER_SOURCE!$A$2:$A$495,0)),""))</f>
        <v/>
      </c>
      <c r="M2582" s="24" t="n"/>
      <c r="N2582" s="24" t="n"/>
      <c r="O2582" s="24" t="n"/>
      <c r="P2582" s="24" t="n"/>
      <c r="Q2582" s="22">
        <f>IF($D2582="","",IF(AND(OR(DANH_MUC!$L$5&lt;&gt;"Có",M2582="Có"),OR(DANH_MUC!$L$6&lt;&gt;"Có",N2582="Có"),OR(DANH_MUC!$L$7&lt;&gt;"Có",O2582="Có"),OR(DANH_MUC!$L$8&lt;&gt;"Có",P2582="Có")),"Có","Không"))</f>
        <v/>
      </c>
      <c r="R2582" s="22">
        <f>IF($D2582="","",IF(COUNTIF($D$2:$D2582,$D2582)&gt;1,"Trùng",""))</f>
        <v/>
      </c>
      <c r="S2582" s="22">
        <f>IF($D2582="","",IF(AND(LEN($D2582)=10,LEFT($D2582,1)="0",ISNUMBER(--$D2582)),"Có","Không"))</f>
        <v/>
      </c>
      <c r="T2582" s="22">
        <f>IF($D2582="","",IF(AND($C2582&lt;&gt;"",$Q2582="Có",$R2582="",$S2582="Có",AND($L2582&lt;&gt;"",OR($L2582&lt;&gt;"Chưa xác định",DANH_MUC!$L$9="Có"))),"Có","Không"))</f>
        <v/>
      </c>
      <c r="U2582" s="22">
        <f>IF(OR($D2582="",$T2582="Có"),"",IF($C2582="","Thiếu họ tên; ","")&amp;IF($S2582&lt;&gt;"Có","SĐT sai định dạng; ","")&amp;IF($R2582="Trùng","Trùng SĐT; ","")&amp;IF($Q2582&lt;&gt;"Có","Thiếu đồng ý bắt buộc; ","")&amp;IF($L2582="","Thiếu/sai Mã REF; ",IF(AND($L2582="Chưa xác định",DANH_MUC!$L$9&lt;&gt;"Có"),"Nguồn chưa xác định; ","")))</f>
        <v/>
      </c>
      <c r="V2582" s="22">
        <f>IF(OR($D2582="",$R2582="Trùng"),"",IF(COUNTIF(ORDERS!$C$2:$C$4995,$D2582)&gt;0,"Có","Không"))</f>
        <v/>
      </c>
      <c r="W2582" s="22">
        <f>IF(OR($D2582="",$R2582="Trùng"),"",COUNTIFS(ORDERS!$C$2:$C$4995,$D2582,ORDERS!$L$2:$L$4995,"Đã chuyển khoản"))</f>
        <v/>
      </c>
      <c r="X2582" s="23">
        <f>IF(OR($D2582="",$R2582="Trùng"),"",SUMIFS(ORDERS!$J$2:$J$4995,ORDERS!$C$2:$C$4995,$D2582,ORDERS!$L$2:$L$4995,"Đã chuyển khoản"))</f>
        <v/>
      </c>
      <c r="Y2582" s="24" t="n"/>
    </row>
    <row r="2583" ht="14.25" customHeight="1" s="40">
      <c r="A2583" s="24" t="n"/>
      <c r="B2583" s="27" t="n"/>
      <c r="C2583" s="24" t="n"/>
      <c r="D2583" s="28" t="n"/>
      <c r="E2583" s="29" t="n"/>
      <c r="F2583" s="24" t="n"/>
      <c r="G2583" s="24" t="n"/>
      <c r="H2583" s="21">
        <f>IF(ISNUMBER($B2583),INT($B2583)-WEEKDAY($B2583,2)+1,"")</f>
        <v/>
      </c>
      <c r="I2583" s="24" t="n"/>
      <c r="J2583" s="22">
        <f t="array" ref="J2583">IF($D2583="","",IF($I2583="","(trống REF)",IFERROR(INDEX(MASTER_SOURCE!$B$2:$B$495,MATCH($I2583,MASTER_SOURCE!$A$2:$A$495,0)),"(REF không có trong MASTER_SOURCE)")))</f>
        <v/>
      </c>
      <c r="K2583" s="22">
        <f t="array" ref="K2583">IF($D2583="","",IFERROR(INDEX(MASTER_SOURCE!$C$2:$C$495,MATCH($I2583,MASTER_SOURCE!$A$2:$A$495,0)),""))</f>
        <v/>
      </c>
      <c r="L2583" s="22">
        <f t="array" ref="L2583">IF($D2583="","",IFERROR(INDEX(MASTER_SOURCE!$D$2:$D$495,MATCH($I2583,MASTER_SOURCE!$A$2:$A$495,0)),""))</f>
        <v/>
      </c>
      <c r="M2583" s="24" t="n"/>
      <c r="N2583" s="24" t="n"/>
      <c r="O2583" s="24" t="n"/>
      <c r="P2583" s="24" t="n"/>
      <c r="Q2583" s="22">
        <f>IF($D2583="","",IF(AND(OR(DANH_MUC!$L$5&lt;&gt;"Có",M2583="Có"),OR(DANH_MUC!$L$6&lt;&gt;"Có",N2583="Có"),OR(DANH_MUC!$L$7&lt;&gt;"Có",O2583="Có"),OR(DANH_MUC!$L$8&lt;&gt;"Có",P2583="Có")),"Có","Không"))</f>
        <v/>
      </c>
      <c r="R2583" s="22">
        <f>IF($D2583="","",IF(COUNTIF($D$2:$D2583,$D2583)&gt;1,"Trùng",""))</f>
        <v/>
      </c>
      <c r="S2583" s="22">
        <f>IF($D2583="","",IF(AND(LEN($D2583)=10,LEFT($D2583,1)="0",ISNUMBER(--$D2583)),"Có","Không"))</f>
        <v/>
      </c>
      <c r="T2583" s="22">
        <f>IF($D2583="","",IF(AND($C2583&lt;&gt;"",$Q2583="Có",$R2583="",$S2583="Có",AND($L2583&lt;&gt;"",OR($L2583&lt;&gt;"Chưa xác định",DANH_MUC!$L$9="Có"))),"Có","Không"))</f>
        <v/>
      </c>
      <c r="U2583" s="22">
        <f>IF(OR($D2583="",$T2583="Có"),"",IF($C2583="","Thiếu họ tên; ","")&amp;IF($S2583&lt;&gt;"Có","SĐT sai định dạng; ","")&amp;IF($R2583="Trùng","Trùng SĐT; ","")&amp;IF($Q2583&lt;&gt;"Có","Thiếu đồng ý bắt buộc; ","")&amp;IF($L2583="","Thiếu/sai Mã REF; ",IF(AND($L2583="Chưa xác định",DANH_MUC!$L$9&lt;&gt;"Có"),"Nguồn chưa xác định; ","")))</f>
        <v/>
      </c>
      <c r="V2583" s="22">
        <f>IF(OR($D2583="",$R2583="Trùng"),"",IF(COUNTIF(ORDERS!$C$2:$C$4995,$D2583)&gt;0,"Có","Không"))</f>
        <v/>
      </c>
      <c r="W2583" s="22">
        <f>IF(OR($D2583="",$R2583="Trùng"),"",COUNTIFS(ORDERS!$C$2:$C$4995,$D2583,ORDERS!$L$2:$L$4995,"Đã chuyển khoản"))</f>
        <v/>
      </c>
      <c r="X2583" s="23">
        <f>IF(OR($D2583="",$R2583="Trùng"),"",SUMIFS(ORDERS!$J$2:$J$4995,ORDERS!$C$2:$C$4995,$D2583,ORDERS!$L$2:$L$4995,"Đã chuyển khoản"))</f>
        <v/>
      </c>
      <c r="Y2583" s="24" t="n"/>
    </row>
    <row r="2584" ht="14.25" customHeight="1" s="40">
      <c r="A2584" s="24" t="n"/>
      <c r="B2584" s="27" t="n"/>
      <c r="C2584" s="24" t="n"/>
      <c r="D2584" s="28" t="n"/>
      <c r="E2584" s="29" t="n"/>
      <c r="F2584" s="24" t="n"/>
      <c r="G2584" s="24" t="n"/>
      <c r="H2584" s="21">
        <f>IF(ISNUMBER($B2584),INT($B2584)-WEEKDAY($B2584,2)+1,"")</f>
        <v/>
      </c>
      <c r="I2584" s="24" t="n"/>
      <c r="J2584" s="22">
        <f t="array" ref="J2584">IF($D2584="","",IF($I2584="","(trống REF)",IFERROR(INDEX(MASTER_SOURCE!$B$2:$B$495,MATCH($I2584,MASTER_SOURCE!$A$2:$A$495,0)),"(REF không có trong MASTER_SOURCE)")))</f>
        <v/>
      </c>
      <c r="K2584" s="22">
        <f t="array" ref="K2584">IF($D2584="","",IFERROR(INDEX(MASTER_SOURCE!$C$2:$C$495,MATCH($I2584,MASTER_SOURCE!$A$2:$A$495,0)),""))</f>
        <v/>
      </c>
      <c r="L2584" s="22">
        <f t="array" ref="L2584">IF($D2584="","",IFERROR(INDEX(MASTER_SOURCE!$D$2:$D$495,MATCH($I2584,MASTER_SOURCE!$A$2:$A$495,0)),""))</f>
        <v/>
      </c>
      <c r="M2584" s="24" t="n"/>
      <c r="N2584" s="24" t="n"/>
      <c r="O2584" s="24" t="n"/>
      <c r="P2584" s="24" t="n"/>
      <c r="Q2584" s="22">
        <f>IF($D2584="","",IF(AND(OR(DANH_MUC!$L$5&lt;&gt;"Có",M2584="Có"),OR(DANH_MUC!$L$6&lt;&gt;"Có",N2584="Có"),OR(DANH_MUC!$L$7&lt;&gt;"Có",O2584="Có"),OR(DANH_MUC!$L$8&lt;&gt;"Có",P2584="Có")),"Có","Không"))</f>
        <v/>
      </c>
      <c r="R2584" s="22">
        <f>IF($D2584="","",IF(COUNTIF($D$2:$D2584,$D2584)&gt;1,"Trùng",""))</f>
        <v/>
      </c>
      <c r="S2584" s="22">
        <f>IF($D2584="","",IF(AND(LEN($D2584)=10,LEFT($D2584,1)="0",ISNUMBER(--$D2584)),"Có","Không"))</f>
        <v/>
      </c>
      <c r="T2584" s="22">
        <f>IF($D2584="","",IF(AND($C2584&lt;&gt;"",$Q2584="Có",$R2584="",$S2584="Có",AND($L2584&lt;&gt;"",OR($L2584&lt;&gt;"Chưa xác định",DANH_MUC!$L$9="Có"))),"Có","Không"))</f>
        <v/>
      </c>
      <c r="U2584" s="22">
        <f>IF(OR($D2584="",$T2584="Có"),"",IF($C2584="","Thiếu họ tên; ","")&amp;IF($S2584&lt;&gt;"Có","SĐT sai định dạng; ","")&amp;IF($R2584="Trùng","Trùng SĐT; ","")&amp;IF($Q2584&lt;&gt;"Có","Thiếu đồng ý bắt buộc; ","")&amp;IF($L2584="","Thiếu/sai Mã REF; ",IF(AND($L2584="Chưa xác định",DANH_MUC!$L$9&lt;&gt;"Có"),"Nguồn chưa xác định; ","")))</f>
        <v/>
      </c>
      <c r="V2584" s="22">
        <f>IF(OR($D2584="",$R2584="Trùng"),"",IF(COUNTIF(ORDERS!$C$2:$C$4995,$D2584)&gt;0,"Có","Không"))</f>
        <v/>
      </c>
      <c r="W2584" s="22">
        <f>IF(OR($D2584="",$R2584="Trùng"),"",COUNTIFS(ORDERS!$C$2:$C$4995,$D2584,ORDERS!$L$2:$L$4995,"Đã chuyển khoản"))</f>
        <v/>
      </c>
      <c r="X2584" s="23">
        <f>IF(OR($D2584="",$R2584="Trùng"),"",SUMIFS(ORDERS!$J$2:$J$4995,ORDERS!$C$2:$C$4995,$D2584,ORDERS!$L$2:$L$4995,"Đã chuyển khoản"))</f>
        <v/>
      </c>
      <c r="Y2584" s="24" t="n"/>
    </row>
    <row r="2585" ht="14.25" customHeight="1" s="40">
      <c r="A2585" s="24" t="n"/>
      <c r="B2585" s="27" t="n"/>
      <c r="C2585" s="24" t="n"/>
      <c r="D2585" s="28" t="n"/>
      <c r="E2585" s="29" t="n"/>
      <c r="F2585" s="24" t="n"/>
      <c r="G2585" s="24" t="n"/>
      <c r="H2585" s="21">
        <f>IF(ISNUMBER($B2585),INT($B2585)-WEEKDAY($B2585,2)+1,"")</f>
        <v/>
      </c>
      <c r="I2585" s="24" t="n"/>
      <c r="J2585" s="22">
        <f t="array" ref="J2585">IF($D2585="","",IF($I2585="","(trống REF)",IFERROR(INDEX(MASTER_SOURCE!$B$2:$B$495,MATCH($I2585,MASTER_SOURCE!$A$2:$A$495,0)),"(REF không có trong MASTER_SOURCE)")))</f>
        <v/>
      </c>
      <c r="K2585" s="22">
        <f t="array" ref="K2585">IF($D2585="","",IFERROR(INDEX(MASTER_SOURCE!$C$2:$C$495,MATCH($I2585,MASTER_SOURCE!$A$2:$A$495,0)),""))</f>
        <v/>
      </c>
      <c r="L2585" s="22">
        <f t="array" ref="L2585">IF($D2585="","",IFERROR(INDEX(MASTER_SOURCE!$D$2:$D$495,MATCH($I2585,MASTER_SOURCE!$A$2:$A$495,0)),""))</f>
        <v/>
      </c>
      <c r="M2585" s="24" t="n"/>
      <c r="N2585" s="24" t="n"/>
      <c r="O2585" s="24" t="n"/>
      <c r="P2585" s="24" t="n"/>
      <c r="Q2585" s="22">
        <f>IF($D2585="","",IF(AND(OR(DANH_MUC!$L$5&lt;&gt;"Có",M2585="Có"),OR(DANH_MUC!$L$6&lt;&gt;"Có",N2585="Có"),OR(DANH_MUC!$L$7&lt;&gt;"Có",O2585="Có"),OR(DANH_MUC!$L$8&lt;&gt;"Có",P2585="Có")),"Có","Không"))</f>
        <v/>
      </c>
      <c r="R2585" s="22">
        <f>IF($D2585="","",IF(COUNTIF($D$2:$D2585,$D2585)&gt;1,"Trùng",""))</f>
        <v/>
      </c>
      <c r="S2585" s="22">
        <f>IF($D2585="","",IF(AND(LEN($D2585)=10,LEFT($D2585,1)="0",ISNUMBER(--$D2585)),"Có","Không"))</f>
        <v/>
      </c>
      <c r="T2585" s="22">
        <f>IF($D2585="","",IF(AND($C2585&lt;&gt;"",$Q2585="Có",$R2585="",$S2585="Có",AND($L2585&lt;&gt;"",OR($L2585&lt;&gt;"Chưa xác định",DANH_MUC!$L$9="Có"))),"Có","Không"))</f>
        <v/>
      </c>
      <c r="U2585" s="22">
        <f>IF(OR($D2585="",$T2585="Có"),"",IF($C2585="","Thiếu họ tên; ","")&amp;IF($S2585&lt;&gt;"Có","SĐT sai định dạng; ","")&amp;IF($R2585="Trùng","Trùng SĐT; ","")&amp;IF($Q2585&lt;&gt;"Có","Thiếu đồng ý bắt buộc; ","")&amp;IF($L2585="","Thiếu/sai Mã REF; ",IF(AND($L2585="Chưa xác định",DANH_MUC!$L$9&lt;&gt;"Có"),"Nguồn chưa xác định; ","")))</f>
        <v/>
      </c>
      <c r="V2585" s="22">
        <f>IF(OR($D2585="",$R2585="Trùng"),"",IF(COUNTIF(ORDERS!$C$2:$C$4995,$D2585)&gt;0,"Có","Không"))</f>
        <v/>
      </c>
      <c r="W2585" s="22">
        <f>IF(OR($D2585="",$R2585="Trùng"),"",COUNTIFS(ORDERS!$C$2:$C$4995,$D2585,ORDERS!$L$2:$L$4995,"Đã chuyển khoản"))</f>
        <v/>
      </c>
      <c r="X2585" s="23">
        <f>IF(OR($D2585="",$R2585="Trùng"),"",SUMIFS(ORDERS!$J$2:$J$4995,ORDERS!$C$2:$C$4995,$D2585,ORDERS!$L$2:$L$4995,"Đã chuyển khoản"))</f>
        <v/>
      </c>
      <c r="Y2585" s="24" t="n"/>
    </row>
    <row r="2586" ht="14.25" customHeight="1" s="40">
      <c r="A2586" s="24" t="n"/>
      <c r="B2586" s="27" t="n"/>
      <c r="C2586" s="24" t="n"/>
      <c r="D2586" s="28" t="n"/>
      <c r="E2586" s="29" t="n"/>
      <c r="F2586" s="24" t="n"/>
      <c r="G2586" s="24" t="n"/>
      <c r="H2586" s="21">
        <f>IF(ISNUMBER($B2586),INT($B2586)-WEEKDAY($B2586,2)+1,"")</f>
        <v/>
      </c>
      <c r="I2586" s="24" t="n"/>
      <c r="J2586" s="22">
        <f t="array" ref="J2586">IF($D2586="","",IF($I2586="","(trống REF)",IFERROR(INDEX(MASTER_SOURCE!$B$2:$B$495,MATCH($I2586,MASTER_SOURCE!$A$2:$A$495,0)),"(REF không có trong MASTER_SOURCE)")))</f>
        <v/>
      </c>
      <c r="K2586" s="22">
        <f t="array" ref="K2586">IF($D2586="","",IFERROR(INDEX(MASTER_SOURCE!$C$2:$C$495,MATCH($I2586,MASTER_SOURCE!$A$2:$A$495,0)),""))</f>
        <v/>
      </c>
      <c r="L2586" s="22">
        <f t="array" ref="L2586">IF($D2586="","",IFERROR(INDEX(MASTER_SOURCE!$D$2:$D$495,MATCH($I2586,MASTER_SOURCE!$A$2:$A$495,0)),""))</f>
        <v/>
      </c>
      <c r="M2586" s="24" t="n"/>
      <c r="N2586" s="24" t="n"/>
      <c r="O2586" s="24" t="n"/>
      <c r="P2586" s="24" t="n"/>
      <c r="Q2586" s="22">
        <f>IF($D2586="","",IF(AND(OR(DANH_MUC!$L$5&lt;&gt;"Có",M2586="Có"),OR(DANH_MUC!$L$6&lt;&gt;"Có",N2586="Có"),OR(DANH_MUC!$L$7&lt;&gt;"Có",O2586="Có"),OR(DANH_MUC!$L$8&lt;&gt;"Có",P2586="Có")),"Có","Không"))</f>
        <v/>
      </c>
      <c r="R2586" s="22">
        <f>IF($D2586="","",IF(COUNTIF($D$2:$D2586,$D2586)&gt;1,"Trùng",""))</f>
        <v/>
      </c>
      <c r="S2586" s="22">
        <f>IF($D2586="","",IF(AND(LEN($D2586)=10,LEFT($D2586,1)="0",ISNUMBER(--$D2586)),"Có","Không"))</f>
        <v/>
      </c>
      <c r="T2586" s="22">
        <f>IF($D2586="","",IF(AND($C2586&lt;&gt;"",$Q2586="Có",$R2586="",$S2586="Có",AND($L2586&lt;&gt;"",OR($L2586&lt;&gt;"Chưa xác định",DANH_MUC!$L$9="Có"))),"Có","Không"))</f>
        <v/>
      </c>
      <c r="U2586" s="22">
        <f>IF(OR($D2586="",$T2586="Có"),"",IF($C2586="","Thiếu họ tên; ","")&amp;IF($S2586&lt;&gt;"Có","SĐT sai định dạng; ","")&amp;IF($R2586="Trùng","Trùng SĐT; ","")&amp;IF($Q2586&lt;&gt;"Có","Thiếu đồng ý bắt buộc; ","")&amp;IF($L2586="","Thiếu/sai Mã REF; ",IF(AND($L2586="Chưa xác định",DANH_MUC!$L$9&lt;&gt;"Có"),"Nguồn chưa xác định; ","")))</f>
        <v/>
      </c>
      <c r="V2586" s="22">
        <f>IF(OR($D2586="",$R2586="Trùng"),"",IF(COUNTIF(ORDERS!$C$2:$C$4995,$D2586)&gt;0,"Có","Không"))</f>
        <v/>
      </c>
      <c r="W2586" s="22">
        <f>IF(OR($D2586="",$R2586="Trùng"),"",COUNTIFS(ORDERS!$C$2:$C$4995,$D2586,ORDERS!$L$2:$L$4995,"Đã chuyển khoản"))</f>
        <v/>
      </c>
      <c r="X2586" s="23">
        <f>IF(OR($D2586="",$R2586="Trùng"),"",SUMIFS(ORDERS!$J$2:$J$4995,ORDERS!$C$2:$C$4995,$D2586,ORDERS!$L$2:$L$4995,"Đã chuyển khoản"))</f>
        <v/>
      </c>
      <c r="Y2586" s="24" t="n"/>
    </row>
    <row r="2587" ht="14.25" customHeight="1" s="40">
      <c r="A2587" s="24" t="n"/>
      <c r="B2587" s="27" t="n"/>
      <c r="C2587" s="24" t="n"/>
      <c r="D2587" s="28" t="n"/>
      <c r="E2587" s="29" t="n"/>
      <c r="F2587" s="24" t="n"/>
      <c r="G2587" s="24" t="n"/>
      <c r="H2587" s="21">
        <f>IF(ISNUMBER($B2587),INT($B2587)-WEEKDAY($B2587,2)+1,"")</f>
        <v/>
      </c>
      <c r="I2587" s="24" t="n"/>
      <c r="J2587" s="22">
        <f t="array" ref="J2587">IF($D2587="","",IF($I2587="","(trống REF)",IFERROR(INDEX(MASTER_SOURCE!$B$2:$B$495,MATCH($I2587,MASTER_SOURCE!$A$2:$A$495,0)),"(REF không có trong MASTER_SOURCE)")))</f>
        <v/>
      </c>
      <c r="K2587" s="22">
        <f t="array" ref="K2587">IF($D2587="","",IFERROR(INDEX(MASTER_SOURCE!$C$2:$C$495,MATCH($I2587,MASTER_SOURCE!$A$2:$A$495,0)),""))</f>
        <v/>
      </c>
      <c r="L2587" s="22">
        <f t="array" ref="L2587">IF($D2587="","",IFERROR(INDEX(MASTER_SOURCE!$D$2:$D$495,MATCH($I2587,MASTER_SOURCE!$A$2:$A$495,0)),""))</f>
        <v/>
      </c>
      <c r="M2587" s="24" t="n"/>
      <c r="N2587" s="24" t="n"/>
      <c r="O2587" s="24" t="n"/>
      <c r="P2587" s="24" t="n"/>
      <c r="Q2587" s="22">
        <f>IF($D2587="","",IF(AND(OR(DANH_MUC!$L$5&lt;&gt;"Có",M2587="Có"),OR(DANH_MUC!$L$6&lt;&gt;"Có",N2587="Có"),OR(DANH_MUC!$L$7&lt;&gt;"Có",O2587="Có"),OR(DANH_MUC!$L$8&lt;&gt;"Có",P2587="Có")),"Có","Không"))</f>
        <v/>
      </c>
      <c r="R2587" s="22">
        <f>IF($D2587="","",IF(COUNTIF($D$2:$D2587,$D2587)&gt;1,"Trùng",""))</f>
        <v/>
      </c>
      <c r="S2587" s="22">
        <f>IF($D2587="","",IF(AND(LEN($D2587)=10,LEFT($D2587,1)="0",ISNUMBER(--$D2587)),"Có","Không"))</f>
        <v/>
      </c>
      <c r="T2587" s="22">
        <f>IF($D2587="","",IF(AND($C2587&lt;&gt;"",$Q2587="Có",$R2587="",$S2587="Có",AND($L2587&lt;&gt;"",OR($L2587&lt;&gt;"Chưa xác định",DANH_MUC!$L$9="Có"))),"Có","Không"))</f>
        <v/>
      </c>
      <c r="U2587" s="22">
        <f>IF(OR($D2587="",$T2587="Có"),"",IF($C2587="","Thiếu họ tên; ","")&amp;IF($S2587&lt;&gt;"Có","SĐT sai định dạng; ","")&amp;IF($R2587="Trùng","Trùng SĐT; ","")&amp;IF($Q2587&lt;&gt;"Có","Thiếu đồng ý bắt buộc; ","")&amp;IF($L2587="","Thiếu/sai Mã REF; ",IF(AND($L2587="Chưa xác định",DANH_MUC!$L$9&lt;&gt;"Có"),"Nguồn chưa xác định; ","")))</f>
        <v/>
      </c>
      <c r="V2587" s="22">
        <f>IF(OR($D2587="",$R2587="Trùng"),"",IF(COUNTIF(ORDERS!$C$2:$C$4995,$D2587)&gt;0,"Có","Không"))</f>
        <v/>
      </c>
      <c r="W2587" s="22">
        <f>IF(OR($D2587="",$R2587="Trùng"),"",COUNTIFS(ORDERS!$C$2:$C$4995,$D2587,ORDERS!$L$2:$L$4995,"Đã chuyển khoản"))</f>
        <v/>
      </c>
      <c r="X2587" s="23">
        <f>IF(OR($D2587="",$R2587="Trùng"),"",SUMIFS(ORDERS!$J$2:$J$4995,ORDERS!$C$2:$C$4995,$D2587,ORDERS!$L$2:$L$4995,"Đã chuyển khoản"))</f>
        <v/>
      </c>
      <c r="Y2587" s="24" t="n"/>
    </row>
    <row r="2588" ht="14.25" customHeight="1" s="40">
      <c r="A2588" s="24" t="n"/>
      <c r="B2588" s="27" t="n"/>
      <c r="C2588" s="24" t="n"/>
      <c r="D2588" s="28" t="n"/>
      <c r="E2588" s="29" t="n"/>
      <c r="F2588" s="24" t="n"/>
      <c r="G2588" s="24" t="n"/>
      <c r="H2588" s="21">
        <f>IF(ISNUMBER($B2588),INT($B2588)-WEEKDAY($B2588,2)+1,"")</f>
        <v/>
      </c>
      <c r="I2588" s="24" t="n"/>
      <c r="J2588" s="22">
        <f t="array" ref="J2588">IF($D2588="","",IF($I2588="","(trống REF)",IFERROR(INDEX(MASTER_SOURCE!$B$2:$B$495,MATCH($I2588,MASTER_SOURCE!$A$2:$A$495,0)),"(REF không có trong MASTER_SOURCE)")))</f>
        <v/>
      </c>
      <c r="K2588" s="22">
        <f t="array" ref="K2588">IF($D2588="","",IFERROR(INDEX(MASTER_SOURCE!$C$2:$C$495,MATCH($I2588,MASTER_SOURCE!$A$2:$A$495,0)),""))</f>
        <v/>
      </c>
      <c r="L2588" s="22">
        <f t="array" ref="L2588">IF($D2588="","",IFERROR(INDEX(MASTER_SOURCE!$D$2:$D$495,MATCH($I2588,MASTER_SOURCE!$A$2:$A$495,0)),""))</f>
        <v/>
      </c>
      <c r="M2588" s="24" t="n"/>
      <c r="N2588" s="24" t="n"/>
      <c r="O2588" s="24" t="n"/>
      <c r="P2588" s="24" t="n"/>
      <c r="Q2588" s="22">
        <f>IF($D2588="","",IF(AND(OR(DANH_MUC!$L$5&lt;&gt;"Có",M2588="Có"),OR(DANH_MUC!$L$6&lt;&gt;"Có",N2588="Có"),OR(DANH_MUC!$L$7&lt;&gt;"Có",O2588="Có"),OR(DANH_MUC!$L$8&lt;&gt;"Có",P2588="Có")),"Có","Không"))</f>
        <v/>
      </c>
      <c r="R2588" s="22">
        <f>IF($D2588="","",IF(COUNTIF($D$2:$D2588,$D2588)&gt;1,"Trùng",""))</f>
        <v/>
      </c>
      <c r="S2588" s="22">
        <f>IF($D2588="","",IF(AND(LEN($D2588)=10,LEFT($D2588,1)="0",ISNUMBER(--$D2588)),"Có","Không"))</f>
        <v/>
      </c>
      <c r="T2588" s="22">
        <f>IF($D2588="","",IF(AND($C2588&lt;&gt;"",$Q2588="Có",$R2588="",$S2588="Có",AND($L2588&lt;&gt;"",OR($L2588&lt;&gt;"Chưa xác định",DANH_MUC!$L$9="Có"))),"Có","Không"))</f>
        <v/>
      </c>
      <c r="U2588" s="22">
        <f>IF(OR($D2588="",$T2588="Có"),"",IF($C2588="","Thiếu họ tên; ","")&amp;IF($S2588&lt;&gt;"Có","SĐT sai định dạng; ","")&amp;IF($R2588="Trùng","Trùng SĐT; ","")&amp;IF($Q2588&lt;&gt;"Có","Thiếu đồng ý bắt buộc; ","")&amp;IF($L2588="","Thiếu/sai Mã REF; ",IF(AND($L2588="Chưa xác định",DANH_MUC!$L$9&lt;&gt;"Có"),"Nguồn chưa xác định; ","")))</f>
        <v/>
      </c>
      <c r="V2588" s="22">
        <f>IF(OR($D2588="",$R2588="Trùng"),"",IF(COUNTIF(ORDERS!$C$2:$C$4995,$D2588)&gt;0,"Có","Không"))</f>
        <v/>
      </c>
      <c r="W2588" s="22">
        <f>IF(OR($D2588="",$R2588="Trùng"),"",COUNTIFS(ORDERS!$C$2:$C$4995,$D2588,ORDERS!$L$2:$L$4995,"Đã chuyển khoản"))</f>
        <v/>
      </c>
      <c r="X2588" s="23">
        <f>IF(OR($D2588="",$R2588="Trùng"),"",SUMIFS(ORDERS!$J$2:$J$4995,ORDERS!$C$2:$C$4995,$D2588,ORDERS!$L$2:$L$4995,"Đã chuyển khoản"))</f>
        <v/>
      </c>
      <c r="Y2588" s="24" t="n"/>
    </row>
    <row r="2589" ht="14.25" customHeight="1" s="40">
      <c r="A2589" s="24" t="n"/>
      <c r="B2589" s="27" t="n"/>
      <c r="C2589" s="24" t="n"/>
      <c r="D2589" s="28" t="n"/>
      <c r="E2589" s="29" t="n"/>
      <c r="F2589" s="24" t="n"/>
      <c r="G2589" s="24" t="n"/>
      <c r="H2589" s="21">
        <f>IF(ISNUMBER($B2589),INT($B2589)-WEEKDAY($B2589,2)+1,"")</f>
        <v/>
      </c>
      <c r="I2589" s="24" t="n"/>
      <c r="J2589" s="22">
        <f t="array" ref="J2589">IF($D2589="","",IF($I2589="","(trống REF)",IFERROR(INDEX(MASTER_SOURCE!$B$2:$B$495,MATCH($I2589,MASTER_SOURCE!$A$2:$A$495,0)),"(REF không có trong MASTER_SOURCE)")))</f>
        <v/>
      </c>
      <c r="K2589" s="22">
        <f t="array" ref="K2589">IF($D2589="","",IFERROR(INDEX(MASTER_SOURCE!$C$2:$C$495,MATCH($I2589,MASTER_SOURCE!$A$2:$A$495,0)),""))</f>
        <v/>
      </c>
      <c r="L2589" s="22">
        <f t="array" ref="L2589">IF($D2589="","",IFERROR(INDEX(MASTER_SOURCE!$D$2:$D$495,MATCH($I2589,MASTER_SOURCE!$A$2:$A$495,0)),""))</f>
        <v/>
      </c>
      <c r="M2589" s="24" t="n"/>
      <c r="N2589" s="24" t="n"/>
      <c r="O2589" s="24" t="n"/>
      <c r="P2589" s="24" t="n"/>
      <c r="Q2589" s="22">
        <f>IF($D2589="","",IF(AND(OR(DANH_MUC!$L$5&lt;&gt;"Có",M2589="Có"),OR(DANH_MUC!$L$6&lt;&gt;"Có",N2589="Có"),OR(DANH_MUC!$L$7&lt;&gt;"Có",O2589="Có"),OR(DANH_MUC!$L$8&lt;&gt;"Có",P2589="Có")),"Có","Không"))</f>
        <v/>
      </c>
      <c r="R2589" s="22">
        <f>IF($D2589="","",IF(COUNTIF($D$2:$D2589,$D2589)&gt;1,"Trùng",""))</f>
        <v/>
      </c>
      <c r="S2589" s="22">
        <f>IF($D2589="","",IF(AND(LEN($D2589)=10,LEFT($D2589,1)="0",ISNUMBER(--$D2589)),"Có","Không"))</f>
        <v/>
      </c>
      <c r="T2589" s="22">
        <f>IF($D2589="","",IF(AND($C2589&lt;&gt;"",$Q2589="Có",$R2589="",$S2589="Có",AND($L2589&lt;&gt;"",OR($L2589&lt;&gt;"Chưa xác định",DANH_MUC!$L$9="Có"))),"Có","Không"))</f>
        <v/>
      </c>
      <c r="U2589" s="22">
        <f>IF(OR($D2589="",$T2589="Có"),"",IF($C2589="","Thiếu họ tên; ","")&amp;IF($S2589&lt;&gt;"Có","SĐT sai định dạng; ","")&amp;IF($R2589="Trùng","Trùng SĐT; ","")&amp;IF($Q2589&lt;&gt;"Có","Thiếu đồng ý bắt buộc; ","")&amp;IF($L2589="","Thiếu/sai Mã REF; ",IF(AND($L2589="Chưa xác định",DANH_MUC!$L$9&lt;&gt;"Có"),"Nguồn chưa xác định; ","")))</f>
        <v/>
      </c>
      <c r="V2589" s="22">
        <f>IF(OR($D2589="",$R2589="Trùng"),"",IF(COUNTIF(ORDERS!$C$2:$C$4995,$D2589)&gt;0,"Có","Không"))</f>
        <v/>
      </c>
      <c r="W2589" s="22">
        <f>IF(OR($D2589="",$R2589="Trùng"),"",COUNTIFS(ORDERS!$C$2:$C$4995,$D2589,ORDERS!$L$2:$L$4995,"Đã chuyển khoản"))</f>
        <v/>
      </c>
      <c r="X2589" s="23">
        <f>IF(OR($D2589="",$R2589="Trùng"),"",SUMIFS(ORDERS!$J$2:$J$4995,ORDERS!$C$2:$C$4995,$D2589,ORDERS!$L$2:$L$4995,"Đã chuyển khoản"))</f>
        <v/>
      </c>
      <c r="Y2589" s="24" t="n"/>
    </row>
    <row r="2590" ht="14.25" customHeight="1" s="40">
      <c r="A2590" s="24" t="n"/>
      <c r="B2590" s="27" t="n"/>
      <c r="C2590" s="24" t="n"/>
      <c r="D2590" s="28" t="n"/>
      <c r="E2590" s="29" t="n"/>
      <c r="F2590" s="24" t="n"/>
      <c r="G2590" s="24" t="n"/>
      <c r="H2590" s="21">
        <f>IF(ISNUMBER($B2590),INT($B2590)-WEEKDAY($B2590,2)+1,"")</f>
        <v/>
      </c>
      <c r="I2590" s="24" t="n"/>
      <c r="J2590" s="22">
        <f t="array" ref="J2590">IF($D2590="","",IF($I2590="","(trống REF)",IFERROR(INDEX(MASTER_SOURCE!$B$2:$B$495,MATCH($I2590,MASTER_SOURCE!$A$2:$A$495,0)),"(REF không có trong MASTER_SOURCE)")))</f>
        <v/>
      </c>
      <c r="K2590" s="22">
        <f t="array" ref="K2590">IF($D2590="","",IFERROR(INDEX(MASTER_SOURCE!$C$2:$C$495,MATCH($I2590,MASTER_SOURCE!$A$2:$A$495,0)),""))</f>
        <v/>
      </c>
      <c r="L2590" s="22">
        <f t="array" ref="L2590">IF($D2590="","",IFERROR(INDEX(MASTER_SOURCE!$D$2:$D$495,MATCH($I2590,MASTER_SOURCE!$A$2:$A$495,0)),""))</f>
        <v/>
      </c>
      <c r="M2590" s="24" t="n"/>
      <c r="N2590" s="24" t="n"/>
      <c r="O2590" s="24" t="n"/>
      <c r="P2590" s="24" t="n"/>
      <c r="Q2590" s="22">
        <f>IF($D2590="","",IF(AND(OR(DANH_MUC!$L$5&lt;&gt;"Có",M2590="Có"),OR(DANH_MUC!$L$6&lt;&gt;"Có",N2590="Có"),OR(DANH_MUC!$L$7&lt;&gt;"Có",O2590="Có"),OR(DANH_MUC!$L$8&lt;&gt;"Có",P2590="Có")),"Có","Không"))</f>
        <v/>
      </c>
      <c r="R2590" s="22">
        <f>IF($D2590="","",IF(COUNTIF($D$2:$D2590,$D2590)&gt;1,"Trùng",""))</f>
        <v/>
      </c>
      <c r="S2590" s="22">
        <f>IF($D2590="","",IF(AND(LEN($D2590)=10,LEFT($D2590,1)="0",ISNUMBER(--$D2590)),"Có","Không"))</f>
        <v/>
      </c>
      <c r="T2590" s="22">
        <f>IF($D2590="","",IF(AND($C2590&lt;&gt;"",$Q2590="Có",$R2590="",$S2590="Có",AND($L2590&lt;&gt;"",OR($L2590&lt;&gt;"Chưa xác định",DANH_MUC!$L$9="Có"))),"Có","Không"))</f>
        <v/>
      </c>
      <c r="U2590" s="22">
        <f>IF(OR($D2590="",$T2590="Có"),"",IF($C2590="","Thiếu họ tên; ","")&amp;IF($S2590&lt;&gt;"Có","SĐT sai định dạng; ","")&amp;IF($R2590="Trùng","Trùng SĐT; ","")&amp;IF($Q2590&lt;&gt;"Có","Thiếu đồng ý bắt buộc; ","")&amp;IF($L2590="","Thiếu/sai Mã REF; ",IF(AND($L2590="Chưa xác định",DANH_MUC!$L$9&lt;&gt;"Có"),"Nguồn chưa xác định; ","")))</f>
        <v/>
      </c>
      <c r="V2590" s="22">
        <f>IF(OR($D2590="",$R2590="Trùng"),"",IF(COUNTIF(ORDERS!$C$2:$C$4995,$D2590)&gt;0,"Có","Không"))</f>
        <v/>
      </c>
      <c r="W2590" s="22">
        <f>IF(OR($D2590="",$R2590="Trùng"),"",COUNTIFS(ORDERS!$C$2:$C$4995,$D2590,ORDERS!$L$2:$L$4995,"Đã chuyển khoản"))</f>
        <v/>
      </c>
      <c r="X2590" s="23">
        <f>IF(OR($D2590="",$R2590="Trùng"),"",SUMIFS(ORDERS!$J$2:$J$4995,ORDERS!$C$2:$C$4995,$D2590,ORDERS!$L$2:$L$4995,"Đã chuyển khoản"))</f>
        <v/>
      </c>
      <c r="Y2590" s="24" t="n"/>
    </row>
    <row r="2591" ht="14.25" customHeight="1" s="40">
      <c r="A2591" s="24" t="n"/>
      <c r="B2591" s="27" t="n"/>
      <c r="C2591" s="24" t="n"/>
      <c r="D2591" s="28" t="n"/>
      <c r="E2591" s="29" t="n"/>
      <c r="F2591" s="24" t="n"/>
      <c r="G2591" s="24" t="n"/>
      <c r="H2591" s="21">
        <f>IF(ISNUMBER($B2591),INT($B2591)-WEEKDAY($B2591,2)+1,"")</f>
        <v/>
      </c>
      <c r="I2591" s="24" t="n"/>
      <c r="J2591" s="22">
        <f t="array" ref="J2591">IF($D2591="","",IF($I2591="","(trống REF)",IFERROR(INDEX(MASTER_SOURCE!$B$2:$B$495,MATCH($I2591,MASTER_SOURCE!$A$2:$A$495,0)),"(REF không có trong MASTER_SOURCE)")))</f>
        <v/>
      </c>
      <c r="K2591" s="22">
        <f t="array" ref="K2591">IF($D2591="","",IFERROR(INDEX(MASTER_SOURCE!$C$2:$C$495,MATCH($I2591,MASTER_SOURCE!$A$2:$A$495,0)),""))</f>
        <v/>
      </c>
      <c r="L2591" s="22">
        <f t="array" ref="L2591">IF($D2591="","",IFERROR(INDEX(MASTER_SOURCE!$D$2:$D$495,MATCH($I2591,MASTER_SOURCE!$A$2:$A$495,0)),""))</f>
        <v/>
      </c>
      <c r="M2591" s="24" t="n"/>
      <c r="N2591" s="24" t="n"/>
      <c r="O2591" s="24" t="n"/>
      <c r="P2591" s="24" t="n"/>
      <c r="Q2591" s="22">
        <f>IF($D2591="","",IF(AND(OR(DANH_MUC!$L$5&lt;&gt;"Có",M2591="Có"),OR(DANH_MUC!$L$6&lt;&gt;"Có",N2591="Có"),OR(DANH_MUC!$L$7&lt;&gt;"Có",O2591="Có"),OR(DANH_MUC!$L$8&lt;&gt;"Có",P2591="Có")),"Có","Không"))</f>
        <v/>
      </c>
      <c r="R2591" s="22">
        <f>IF($D2591="","",IF(COUNTIF($D$2:$D2591,$D2591)&gt;1,"Trùng",""))</f>
        <v/>
      </c>
      <c r="S2591" s="22">
        <f>IF($D2591="","",IF(AND(LEN($D2591)=10,LEFT($D2591,1)="0",ISNUMBER(--$D2591)),"Có","Không"))</f>
        <v/>
      </c>
      <c r="T2591" s="22">
        <f>IF($D2591="","",IF(AND($C2591&lt;&gt;"",$Q2591="Có",$R2591="",$S2591="Có",AND($L2591&lt;&gt;"",OR($L2591&lt;&gt;"Chưa xác định",DANH_MUC!$L$9="Có"))),"Có","Không"))</f>
        <v/>
      </c>
      <c r="U2591" s="22">
        <f>IF(OR($D2591="",$T2591="Có"),"",IF($C2591="","Thiếu họ tên; ","")&amp;IF($S2591&lt;&gt;"Có","SĐT sai định dạng; ","")&amp;IF($R2591="Trùng","Trùng SĐT; ","")&amp;IF($Q2591&lt;&gt;"Có","Thiếu đồng ý bắt buộc; ","")&amp;IF($L2591="","Thiếu/sai Mã REF; ",IF(AND($L2591="Chưa xác định",DANH_MUC!$L$9&lt;&gt;"Có"),"Nguồn chưa xác định; ","")))</f>
        <v/>
      </c>
      <c r="V2591" s="22">
        <f>IF(OR($D2591="",$R2591="Trùng"),"",IF(COUNTIF(ORDERS!$C$2:$C$4995,$D2591)&gt;0,"Có","Không"))</f>
        <v/>
      </c>
      <c r="W2591" s="22">
        <f>IF(OR($D2591="",$R2591="Trùng"),"",COUNTIFS(ORDERS!$C$2:$C$4995,$D2591,ORDERS!$L$2:$L$4995,"Đã chuyển khoản"))</f>
        <v/>
      </c>
      <c r="X2591" s="23">
        <f>IF(OR($D2591="",$R2591="Trùng"),"",SUMIFS(ORDERS!$J$2:$J$4995,ORDERS!$C$2:$C$4995,$D2591,ORDERS!$L$2:$L$4995,"Đã chuyển khoản"))</f>
        <v/>
      </c>
      <c r="Y2591" s="24" t="n"/>
    </row>
    <row r="2592" ht="14.25" customHeight="1" s="40">
      <c r="A2592" s="24" t="n"/>
      <c r="B2592" s="27" t="n"/>
      <c r="C2592" s="24" t="n"/>
      <c r="D2592" s="28" t="n"/>
      <c r="E2592" s="29" t="n"/>
      <c r="F2592" s="24" t="n"/>
      <c r="G2592" s="24" t="n"/>
      <c r="H2592" s="21">
        <f>IF(ISNUMBER($B2592),INT($B2592)-WEEKDAY($B2592,2)+1,"")</f>
        <v/>
      </c>
      <c r="I2592" s="24" t="n"/>
      <c r="J2592" s="22">
        <f t="array" ref="J2592">IF($D2592="","",IF($I2592="","(trống REF)",IFERROR(INDEX(MASTER_SOURCE!$B$2:$B$495,MATCH($I2592,MASTER_SOURCE!$A$2:$A$495,0)),"(REF không có trong MASTER_SOURCE)")))</f>
        <v/>
      </c>
      <c r="K2592" s="22">
        <f t="array" ref="K2592">IF($D2592="","",IFERROR(INDEX(MASTER_SOURCE!$C$2:$C$495,MATCH($I2592,MASTER_SOURCE!$A$2:$A$495,0)),""))</f>
        <v/>
      </c>
      <c r="L2592" s="22">
        <f t="array" ref="L2592">IF($D2592="","",IFERROR(INDEX(MASTER_SOURCE!$D$2:$D$495,MATCH($I2592,MASTER_SOURCE!$A$2:$A$495,0)),""))</f>
        <v/>
      </c>
      <c r="M2592" s="24" t="n"/>
      <c r="N2592" s="24" t="n"/>
      <c r="O2592" s="24" t="n"/>
      <c r="P2592" s="24" t="n"/>
      <c r="Q2592" s="22">
        <f>IF($D2592="","",IF(AND(OR(DANH_MUC!$L$5&lt;&gt;"Có",M2592="Có"),OR(DANH_MUC!$L$6&lt;&gt;"Có",N2592="Có"),OR(DANH_MUC!$L$7&lt;&gt;"Có",O2592="Có"),OR(DANH_MUC!$L$8&lt;&gt;"Có",P2592="Có")),"Có","Không"))</f>
        <v/>
      </c>
      <c r="R2592" s="22">
        <f>IF($D2592="","",IF(COUNTIF($D$2:$D2592,$D2592)&gt;1,"Trùng",""))</f>
        <v/>
      </c>
      <c r="S2592" s="22">
        <f>IF($D2592="","",IF(AND(LEN($D2592)=10,LEFT($D2592,1)="0",ISNUMBER(--$D2592)),"Có","Không"))</f>
        <v/>
      </c>
      <c r="T2592" s="22">
        <f>IF($D2592="","",IF(AND($C2592&lt;&gt;"",$Q2592="Có",$R2592="",$S2592="Có",AND($L2592&lt;&gt;"",OR($L2592&lt;&gt;"Chưa xác định",DANH_MUC!$L$9="Có"))),"Có","Không"))</f>
        <v/>
      </c>
      <c r="U2592" s="22">
        <f>IF(OR($D2592="",$T2592="Có"),"",IF($C2592="","Thiếu họ tên; ","")&amp;IF($S2592&lt;&gt;"Có","SĐT sai định dạng; ","")&amp;IF($R2592="Trùng","Trùng SĐT; ","")&amp;IF($Q2592&lt;&gt;"Có","Thiếu đồng ý bắt buộc; ","")&amp;IF($L2592="","Thiếu/sai Mã REF; ",IF(AND($L2592="Chưa xác định",DANH_MUC!$L$9&lt;&gt;"Có"),"Nguồn chưa xác định; ","")))</f>
        <v/>
      </c>
      <c r="V2592" s="22">
        <f>IF(OR($D2592="",$R2592="Trùng"),"",IF(COUNTIF(ORDERS!$C$2:$C$4995,$D2592)&gt;0,"Có","Không"))</f>
        <v/>
      </c>
      <c r="W2592" s="22">
        <f>IF(OR($D2592="",$R2592="Trùng"),"",COUNTIFS(ORDERS!$C$2:$C$4995,$D2592,ORDERS!$L$2:$L$4995,"Đã chuyển khoản"))</f>
        <v/>
      </c>
      <c r="X2592" s="23">
        <f>IF(OR($D2592="",$R2592="Trùng"),"",SUMIFS(ORDERS!$J$2:$J$4995,ORDERS!$C$2:$C$4995,$D2592,ORDERS!$L$2:$L$4995,"Đã chuyển khoản"))</f>
        <v/>
      </c>
      <c r="Y2592" s="24" t="n"/>
    </row>
    <row r="2593" ht="14.25" customHeight="1" s="40">
      <c r="A2593" s="24" t="n"/>
      <c r="B2593" s="27" t="n"/>
      <c r="C2593" s="24" t="n"/>
      <c r="D2593" s="28" t="n"/>
      <c r="E2593" s="29" t="n"/>
      <c r="F2593" s="24" t="n"/>
      <c r="G2593" s="24" t="n"/>
      <c r="H2593" s="21">
        <f>IF(ISNUMBER($B2593),INT($B2593)-WEEKDAY($B2593,2)+1,"")</f>
        <v/>
      </c>
      <c r="I2593" s="24" t="n"/>
      <c r="J2593" s="22">
        <f t="array" ref="J2593">IF($D2593="","",IF($I2593="","(trống REF)",IFERROR(INDEX(MASTER_SOURCE!$B$2:$B$495,MATCH($I2593,MASTER_SOURCE!$A$2:$A$495,0)),"(REF không có trong MASTER_SOURCE)")))</f>
        <v/>
      </c>
      <c r="K2593" s="22">
        <f t="array" ref="K2593">IF($D2593="","",IFERROR(INDEX(MASTER_SOURCE!$C$2:$C$495,MATCH($I2593,MASTER_SOURCE!$A$2:$A$495,0)),""))</f>
        <v/>
      </c>
      <c r="L2593" s="22">
        <f t="array" ref="L2593">IF($D2593="","",IFERROR(INDEX(MASTER_SOURCE!$D$2:$D$495,MATCH($I2593,MASTER_SOURCE!$A$2:$A$495,0)),""))</f>
        <v/>
      </c>
      <c r="M2593" s="24" t="n"/>
      <c r="N2593" s="24" t="n"/>
      <c r="O2593" s="24" t="n"/>
      <c r="P2593" s="24" t="n"/>
      <c r="Q2593" s="22">
        <f>IF($D2593="","",IF(AND(OR(DANH_MUC!$L$5&lt;&gt;"Có",M2593="Có"),OR(DANH_MUC!$L$6&lt;&gt;"Có",N2593="Có"),OR(DANH_MUC!$L$7&lt;&gt;"Có",O2593="Có"),OR(DANH_MUC!$L$8&lt;&gt;"Có",P2593="Có")),"Có","Không"))</f>
        <v/>
      </c>
      <c r="R2593" s="22">
        <f>IF($D2593="","",IF(COUNTIF($D$2:$D2593,$D2593)&gt;1,"Trùng",""))</f>
        <v/>
      </c>
      <c r="S2593" s="22">
        <f>IF($D2593="","",IF(AND(LEN($D2593)=10,LEFT($D2593,1)="0",ISNUMBER(--$D2593)),"Có","Không"))</f>
        <v/>
      </c>
      <c r="T2593" s="22">
        <f>IF($D2593="","",IF(AND($C2593&lt;&gt;"",$Q2593="Có",$R2593="",$S2593="Có",AND($L2593&lt;&gt;"",OR($L2593&lt;&gt;"Chưa xác định",DANH_MUC!$L$9="Có"))),"Có","Không"))</f>
        <v/>
      </c>
      <c r="U2593" s="22">
        <f>IF(OR($D2593="",$T2593="Có"),"",IF($C2593="","Thiếu họ tên; ","")&amp;IF($S2593&lt;&gt;"Có","SĐT sai định dạng; ","")&amp;IF($R2593="Trùng","Trùng SĐT; ","")&amp;IF($Q2593&lt;&gt;"Có","Thiếu đồng ý bắt buộc; ","")&amp;IF($L2593="","Thiếu/sai Mã REF; ",IF(AND($L2593="Chưa xác định",DANH_MUC!$L$9&lt;&gt;"Có"),"Nguồn chưa xác định; ","")))</f>
        <v/>
      </c>
      <c r="V2593" s="22">
        <f>IF(OR($D2593="",$R2593="Trùng"),"",IF(COUNTIF(ORDERS!$C$2:$C$4995,$D2593)&gt;0,"Có","Không"))</f>
        <v/>
      </c>
      <c r="W2593" s="22">
        <f>IF(OR($D2593="",$R2593="Trùng"),"",COUNTIFS(ORDERS!$C$2:$C$4995,$D2593,ORDERS!$L$2:$L$4995,"Đã chuyển khoản"))</f>
        <v/>
      </c>
      <c r="X2593" s="23">
        <f>IF(OR($D2593="",$R2593="Trùng"),"",SUMIFS(ORDERS!$J$2:$J$4995,ORDERS!$C$2:$C$4995,$D2593,ORDERS!$L$2:$L$4995,"Đã chuyển khoản"))</f>
        <v/>
      </c>
      <c r="Y2593" s="24" t="n"/>
    </row>
    <row r="2594" ht="14.25" customHeight="1" s="40">
      <c r="A2594" s="24" t="n"/>
      <c r="B2594" s="27" t="n"/>
      <c r="C2594" s="24" t="n"/>
      <c r="D2594" s="28" t="n"/>
      <c r="E2594" s="29" t="n"/>
      <c r="F2594" s="24" t="n"/>
      <c r="G2594" s="24" t="n"/>
      <c r="H2594" s="21">
        <f>IF(ISNUMBER($B2594),INT($B2594)-WEEKDAY($B2594,2)+1,"")</f>
        <v/>
      </c>
      <c r="I2594" s="24" t="n"/>
      <c r="J2594" s="22">
        <f t="array" ref="J2594">IF($D2594="","",IF($I2594="","(trống REF)",IFERROR(INDEX(MASTER_SOURCE!$B$2:$B$495,MATCH($I2594,MASTER_SOURCE!$A$2:$A$495,0)),"(REF không có trong MASTER_SOURCE)")))</f>
        <v/>
      </c>
      <c r="K2594" s="22">
        <f t="array" ref="K2594">IF($D2594="","",IFERROR(INDEX(MASTER_SOURCE!$C$2:$C$495,MATCH($I2594,MASTER_SOURCE!$A$2:$A$495,0)),""))</f>
        <v/>
      </c>
      <c r="L2594" s="22">
        <f t="array" ref="L2594">IF($D2594="","",IFERROR(INDEX(MASTER_SOURCE!$D$2:$D$495,MATCH($I2594,MASTER_SOURCE!$A$2:$A$495,0)),""))</f>
        <v/>
      </c>
      <c r="M2594" s="24" t="n"/>
      <c r="N2594" s="24" t="n"/>
      <c r="O2594" s="24" t="n"/>
      <c r="P2594" s="24" t="n"/>
      <c r="Q2594" s="22">
        <f>IF($D2594="","",IF(AND(OR(DANH_MUC!$L$5&lt;&gt;"Có",M2594="Có"),OR(DANH_MUC!$L$6&lt;&gt;"Có",N2594="Có"),OR(DANH_MUC!$L$7&lt;&gt;"Có",O2594="Có"),OR(DANH_MUC!$L$8&lt;&gt;"Có",P2594="Có")),"Có","Không"))</f>
        <v/>
      </c>
      <c r="R2594" s="22">
        <f>IF($D2594="","",IF(COUNTIF($D$2:$D2594,$D2594)&gt;1,"Trùng",""))</f>
        <v/>
      </c>
      <c r="S2594" s="22">
        <f>IF($D2594="","",IF(AND(LEN($D2594)=10,LEFT($D2594,1)="0",ISNUMBER(--$D2594)),"Có","Không"))</f>
        <v/>
      </c>
      <c r="T2594" s="22">
        <f>IF($D2594="","",IF(AND($C2594&lt;&gt;"",$Q2594="Có",$R2594="",$S2594="Có",AND($L2594&lt;&gt;"",OR($L2594&lt;&gt;"Chưa xác định",DANH_MUC!$L$9="Có"))),"Có","Không"))</f>
        <v/>
      </c>
      <c r="U2594" s="22">
        <f>IF(OR($D2594="",$T2594="Có"),"",IF($C2594="","Thiếu họ tên; ","")&amp;IF($S2594&lt;&gt;"Có","SĐT sai định dạng; ","")&amp;IF($R2594="Trùng","Trùng SĐT; ","")&amp;IF($Q2594&lt;&gt;"Có","Thiếu đồng ý bắt buộc; ","")&amp;IF($L2594="","Thiếu/sai Mã REF; ",IF(AND($L2594="Chưa xác định",DANH_MUC!$L$9&lt;&gt;"Có"),"Nguồn chưa xác định; ","")))</f>
        <v/>
      </c>
      <c r="V2594" s="22">
        <f>IF(OR($D2594="",$R2594="Trùng"),"",IF(COUNTIF(ORDERS!$C$2:$C$4995,$D2594)&gt;0,"Có","Không"))</f>
        <v/>
      </c>
      <c r="W2594" s="22">
        <f>IF(OR($D2594="",$R2594="Trùng"),"",COUNTIFS(ORDERS!$C$2:$C$4995,$D2594,ORDERS!$L$2:$L$4995,"Đã chuyển khoản"))</f>
        <v/>
      </c>
      <c r="X2594" s="23">
        <f>IF(OR($D2594="",$R2594="Trùng"),"",SUMIFS(ORDERS!$J$2:$J$4995,ORDERS!$C$2:$C$4995,$D2594,ORDERS!$L$2:$L$4995,"Đã chuyển khoản"))</f>
        <v/>
      </c>
      <c r="Y2594" s="24" t="n"/>
    </row>
    <row r="2595" ht="14.25" customHeight="1" s="40">
      <c r="A2595" s="24" t="n"/>
      <c r="B2595" s="27" t="n"/>
      <c r="C2595" s="24" t="n"/>
      <c r="D2595" s="28" t="n"/>
      <c r="E2595" s="29" t="n"/>
      <c r="F2595" s="24" t="n"/>
      <c r="G2595" s="24" t="n"/>
      <c r="H2595" s="21">
        <f>IF(ISNUMBER($B2595),INT($B2595)-WEEKDAY($B2595,2)+1,"")</f>
        <v/>
      </c>
      <c r="I2595" s="24" t="n"/>
      <c r="J2595" s="22">
        <f t="array" ref="J2595">IF($D2595="","",IF($I2595="","(trống REF)",IFERROR(INDEX(MASTER_SOURCE!$B$2:$B$495,MATCH($I2595,MASTER_SOURCE!$A$2:$A$495,0)),"(REF không có trong MASTER_SOURCE)")))</f>
        <v/>
      </c>
      <c r="K2595" s="22">
        <f t="array" ref="K2595">IF($D2595="","",IFERROR(INDEX(MASTER_SOURCE!$C$2:$C$495,MATCH($I2595,MASTER_SOURCE!$A$2:$A$495,0)),""))</f>
        <v/>
      </c>
      <c r="L2595" s="22">
        <f t="array" ref="L2595">IF($D2595="","",IFERROR(INDEX(MASTER_SOURCE!$D$2:$D$495,MATCH($I2595,MASTER_SOURCE!$A$2:$A$495,0)),""))</f>
        <v/>
      </c>
      <c r="M2595" s="24" t="n"/>
      <c r="N2595" s="24" t="n"/>
      <c r="O2595" s="24" t="n"/>
      <c r="P2595" s="24" t="n"/>
      <c r="Q2595" s="22">
        <f>IF($D2595="","",IF(AND(OR(DANH_MUC!$L$5&lt;&gt;"Có",M2595="Có"),OR(DANH_MUC!$L$6&lt;&gt;"Có",N2595="Có"),OR(DANH_MUC!$L$7&lt;&gt;"Có",O2595="Có"),OR(DANH_MUC!$L$8&lt;&gt;"Có",P2595="Có")),"Có","Không"))</f>
        <v/>
      </c>
      <c r="R2595" s="22">
        <f>IF($D2595="","",IF(COUNTIF($D$2:$D2595,$D2595)&gt;1,"Trùng",""))</f>
        <v/>
      </c>
      <c r="S2595" s="22">
        <f>IF($D2595="","",IF(AND(LEN($D2595)=10,LEFT($D2595,1)="0",ISNUMBER(--$D2595)),"Có","Không"))</f>
        <v/>
      </c>
      <c r="T2595" s="22">
        <f>IF($D2595="","",IF(AND($C2595&lt;&gt;"",$Q2595="Có",$R2595="",$S2595="Có",AND($L2595&lt;&gt;"",OR($L2595&lt;&gt;"Chưa xác định",DANH_MUC!$L$9="Có"))),"Có","Không"))</f>
        <v/>
      </c>
      <c r="U2595" s="22">
        <f>IF(OR($D2595="",$T2595="Có"),"",IF($C2595="","Thiếu họ tên; ","")&amp;IF($S2595&lt;&gt;"Có","SĐT sai định dạng; ","")&amp;IF($R2595="Trùng","Trùng SĐT; ","")&amp;IF($Q2595&lt;&gt;"Có","Thiếu đồng ý bắt buộc; ","")&amp;IF($L2595="","Thiếu/sai Mã REF; ",IF(AND($L2595="Chưa xác định",DANH_MUC!$L$9&lt;&gt;"Có"),"Nguồn chưa xác định; ","")))</f>
        <v/>
      </c>
      <c r="V2595" s="22">
        <f>IF(OR($D2595="",$R2595="Trùng"),"",IF(COUNTIF(ORDERS!$C$2:$C$4995,$D2595)&gt;0,"Có","Không"))</f>
        <v/>
      </c>
      <c r="W2595" s="22">
        <f>IF(OR($D2595="",$R2595="Trùng"),"",COUNTIFS(ORDERS!$C$2:$C$4995,$D2595,ORDERS!$L$2:$L$4995,"Đã chuyển khoản"))</f>
        <v/>
      </c>
      <c r="X2595" s="23">
        <f>IF(OR($D2595="",$R2595="Trùng"),"",SUMIFS(ORDERS!$J$2:$J$4995,ORDERS!$C$2:$C$4995,$D2595,ORDERS!$L$2:$L$4995,"Đã chuyển khoản"))</f>
        <v/>
      </c>
      <c r="Y2595" s="24" t="n"/>
    </row>
    <row r="2596" ht="14.25" customHeight="1" s="40">
      <c r="A2596" s="24" t="n"/>
      <c r="B2596" s="27" t="n"/>
      <c r="C2596" s="24" t="n"/>
      <c r="D2596" s="28" t="n"/>
      <c r="E2596" s="29" t="n"/>
      <c r="F2596" s="24" t="n"/>
      <c r="G2596" s="24" t="n"/>
      <c r="H2596" s="21">
        <f>IF(ISNUMBER($B2596),INT($B2596)-WEEKDAY($B2596,2)+1,"")</f>
        <v/>
      </c>
      <c r="I2596" s="24" t="n"/>
      <c r="J2596" s="22">
        <f t="array" ref="J2596">IF($D2596="","",IF($I2596="","(trống REF)",IFERROR(INDEX(MASTER_SOURCE!$B$2:$B$495,MATCH($I2596,MASTER_SOURCE!$A$2:$A$495,0)),"(REF không có trong MASTER_SOURCE)")))</f>
        <v/>
      </c>
      <c r="K2596" s="22">
        <f t="array" ref="K2596">IF($D2596="","",IFERROR(INDEX(MASTER_SOURCE!$C$2:$C$495,MATCH($I2596,MASTER_SOURCE!$A$2:$A$495,0)),""))</f>
        <v/>
      </c>
      <c r="L2596" s="22">
        <f t="array" ref="L2596">IF($D2596="","",IFERROR(INDEX(MASTER_SOURCE!$D$2:$D$495,MATCH($I2596,MASTER_SOURCE!$A$2:$A$495,0)),""))</f>
        <v/>
      </c>
      <c r="M2596" s="24" t="n"/>
      <c r="N2596" s="24" t="n"/>
      <c r="O2596" s="24" t="n"/>
      <c r="P2596" s="24" t="n"/>
      <c r="Q2596" s="22">
        <f>IF($D2596="","",IF(AND(OR(DANH_MUC!$L$5&lt;&gt;"Có",M2596="Có"),OR(DANH_MUC!$L$6&lt;&gt;"Có",N2596="Có"),OR(DANH_MUC!$L$7&lt;&gt;"Có",O2596="Có"),OR(DANH_MUC!$L$8&lt;&gt;"Có",P2596="Có")),"Có","Không"))</f>
        <v/>
      </c>
      <c r="R2596" s="22">
        <f>IF($D2596="","",IF(COUNTIF($D$2:$D2596,$D2596)&gt;1,"Trùng",""))</f>
        <v/>
      </c>
      <c r="S2596" s="22">
        <f>IF($D2596="","",IF(AND(LEN($D2596)=10,LEFT($D2596,1)="0",ISNUMBER(--$D2596)),"Có","Không"))</f>
        <v/>
      </c>
      <c r="T2596" s="22">
        <f>IF($D2596="","",IF(AND($C2596&lt;&gt;"",$Q2596="Có",$R2596="",$S2596="Có",AND($L2596&lt;&gt;"",OR($L2596&lt;&gt;"Chưa xác định",DANH_MUC!$L$9="Có"))),"Có","Không"))</f>
        <v/>
      </c>
      <c r="U2596" s="22">
        <f>IF(OR($D2596="",$T2596="Có"),"",IF($C2596="","Thiếu họ tên; ","")&amp;IF($S2596&lt;&gt;"Có","SĐT sai định dạng; ","")&amp;IF($R2596="Trùng","Trùng SĐT; ","")&amp;IF($Q2596&lt;&gt;"Có","Thiếu đồng ý bắt buộc; ","")&amp;IF($L2596="","Thiếu/sai Mã REF; ",IF(AND($L2596="Chưa xác định",DANH_MUC!$L$9&lt;&gt;"Có"),"Nguồn chưa xác định; ","")))</f>
        <v/>
      </c>
      <c r="V2596" s="22">
        <f>IF(OR($D2596="",$R2596="Trùng"),"",IF(COUNTIF(ORDERS!$C$2:$C$4995,$D2596)&gt;0,"Có","Không"))</f>
        <v/>
      </c>
      <c r="W2596" s="22">
        <f>IF(OR($D2596="",$R2596="Trùng"),"",COUNTIFS(ORDERS!$C$2:$C$4995,$D2596,ORDERS!$L$2:$L$4995,"Đã chuyển khoản"))</f>
        <v/>
      </c>
      <c r="X2596" s="23">
        <f>IF(OR($D2596="",$R2596="Trùng"),"",SUMIFS(ORDERS!$J$2:$J$4995,ORDERS!$C$2:$C$4995,$D2596,ORDERS!$L$2:$L$4995,"Đã chuyển khoản"))</f>
        <v/>
      </c>
      <c r="Y2596" s="24" t="n"/>
    </row>
    <row r="2597" ht="14.25" customHeight="1" s="40">
      <c r="A2597" s="24" t="n"/>
      <c r="B2597" s="27" t="n"/>
      <c r="C2597" s="24" t="n"/>
      <c r="D2597" s="28" t="n"/>
      <c r="E2597" s="29" t="n"/>
      <c r="F2597" s="24" t="n"/>
      <c r="G2597" s="24" t="n"/>
      <c r="H2597" s="21">
        <f>IF(ISNUMBER($B2597),INT($B2597)-WEEKDAY($B2597,2)+1,"")</f>
        <v/>
      </c>
      <c r="I2597" s="24" t="n"/>
      <c r="J2597" s="22">
        <f t="array" ref="J2597">IF($D2597="","",IF($I2597="","(trống REF)",IFERROR(INDEX(MASTER_SOURCE!$B$2:$B$495,MATCH($I2597,MASTER_SOURCE!$A$2:$A$495,0)),"(REF không có trong MASTER_SOURCE)")))</f>
        <v/>
      </c>
      <c r="K2597" s="22">
        <f t="array" ref="K2597">IF($D2597="","",IFERROR(INDEX(MASTER_SOURCE!$C$2:$C$495,MATCH($I2597,MASTER_SOURCE!$A$2:$A$495,0)),""))</f>
        <v/>
      </c>
      <c r="L2597" s="22">
        <f t="array" ref="L2597">IF($D2597="","",IFERROR(INDEX(MASTER_SOURCE!$D$2:$D$495,MATCH($I2597,MASTER_SOURCE!$A$2:$A$495,0)),""))</f>
        <v/>
      </c>
      <c r="M2597" s="24" t="n"/>
      <c r="N2597" s="24" t="n"/>
      <c r="O2597" s="24" t="n"/>
      <c r="P2597" s="24" t="n"/>
      <c r="Q2597" s="22">
        <f>IF($D2597="","",IF(AND(OR(DANH_MUC!$L$5&lt;&gt;"Có",M2597="Có"),OR(DANH_MUC!$L$6&lt;&gt;"Có",N2597="Có"),OR(DANH_MUC!$L$7&lt;&gt;"Có",O2597="Có"),OR(DANH_MUC!$L$8&lt;&gt;"Có",P2597="Có")),"Có","Không"))</f>
        <v/>
      </c>
      <c r="R2597" s="22">
        <f>IF($D2597="","",IF(COUNTIF($D$2:$D2597,$D2597)&gt;1,"Trùng",""))</f>
        <v/>
      </c>
      <c r="S2597" s="22">
        <f>IF($D2597="","",IF(AND(LEN($D2597)=10,LEFT($D2597,1)="0",ISNUMBER(--$D2597)),"Có","Không"))</f>
        <v/>
      </c>
      <c r="T2597" s="22">
        <f>IF($D2597="","",IF(AND($C2597&lt;&gt;"",$Q2597="Có",$R2597="",$S2597="Có",AND($L2597&lt;&gt;"",OR($L2597&lt;&gt;"Chưa xác định",DANH_MUC!$L$9="Có"))),"Có","Không"))</f>
        <v/>
      </c>
      <c r="U2597" s="22">
        <f>IF(OR($D2597="",$T2597="Có"),"",IF($C2597="","Thiếu họ tên; ","")&amp;IF($S2597&lt;&gt;"Có","SĐT sai định dạng; ","")&amp;IF($R2597="Trùng","Trùng SĐT; ","")&amp;IF($Q2597&lt;&gt;"Có","Thiếu đồng ý bắt buộc; ","")&amp;IF($L2597="","Thiếu/sai Mã REF; ",IF(AND($L2597="Chưa xác định",DANH_MUC!$L$9&lt;&gt;"Có"),"Nguồn chưa xác định; ","")))</f>
        <v/>
      </c>
      <c r="V2597" s="22">
        <f>IF(OR($D2597="",$R2597="Trùng"),"",IF(COUNTIF(ORDERS!$C$2:$C$4995,$D2597)&gt;0,"Có","Không"))</f>
        <v/>
      </c>
      <c r="W2597" s="22">
        <f>IF(OR($D2597="",$R2597="Trùng"),"",COUNTIFS(ORDERS!$C$2:$C$4995,$D2597,ORDERS!$L$2:$L$4995,"Đã chuyển khoản"))</f>
        <v/>
      </c>
      <c r="X2597" s="23">
        <f>IF(OR($D2597="",$R2597="Trùng"),"",SUMIFS(ORDERS!$J$2:$J$4995,ORDERS!$C$2:$C$4995,$D2597,ORDERS!$L$2:$L$4995,"Đã chuyển khoản"))</f>
        <v/>
      </c>
      <c r="Y2597" s="24" t="n"/>
    </row>
    <row r="2598" ht="14.25" customHeight="1" s="40">
      <c r="A2598" s="24" t="n"/>
      <c r="B2598" s="27" t="n"/>
      <c r="C2598" s="24" t="n"/>
      <c r="D2598" s="28" t="n"/>
      <c r="E2598" s="29" t="n"/>
      <c r="F2598" s="24" t="n"/>
      <c r="G2598" s="24" t="n"/>
      <c r="H2598" s="21">
        <f>IF(ISNUMBER($B2598),INT($B2598)-WEEKDAY($B2598,2)+1,"")</f>
        <v/>
      </c>
      <c r="I2598" s="24" t="n"/>
      <c r="J2598" s="22">
        <f t="array" ref="J2598">IF($D2598="","",IF($I2598="","(trống REF)",IFERROR(INDEX(MASTER_SOURCE!$B$2:$B$495,MATCH($I2598,MASTER_SOURCE!$A$2:$A$495,0)),"(REF không có trong MASTER_SOURCE)")))</f>
        <v/>
      </c>
      <c r="K2598" s="22">
        <f t="array" ref="K2598">IF($D2598="","",IFERROR(INDEX(MASTER_SOURCE!$C$2:$C$495,MATCH($I2598,MASTER_SOURCE!$A$2:$A$495,0)),""))</f>
        <v/>
      </c>
      <c r="L2598" s="22">
        <f t="array" ref="L2598">IF($D2598="","",IFERROR(INDEX(MASTER_SOURCE!$D$2:$D$495,MATCH($I2598,MASTER_SOURCE!$A$2:$A$495,0)),""))</f>
        <v/>
      </c>
      <c r="M2598" s="24" t="n"/>
      <c r="N2598" s="24" t="n"/>
      <c r="O2598" s="24" t="n"/>
      <c r="P2598" s="24" t="n"/>
      <c r="Q2598" s="22">
        <f>IF($D2598="","",IF(AND(OR(DANH_MUC!$L$5&lt;&gt;"Có",M2598="Có"),OR(DANH_MUC!$L$6&lt;&gt;"Có",N2598="Có"),OR(DANH_MUC!$L$7&lt;&gt;"Có",O2598="Có"),OR(DANH_MUC!$L$8&lt;&gt;"Có",P2598="Có")),"Có","Không"))</f>
        <v/>
      </c>
      <c r="R2598" s="22">
        <f>IF($D2598="","",IF(COUNTIF($D$2:$D2598,$D2598)&gt;1,"Trùng",""))</f>
        <v/>
      </c>
      <c r="S2598" s="22">
        <f>IF($D2598="","",IF(AND(LEN($D2598)=10,LEFT($D2598,1)="0",ISNUMBER(--$D2598)),"Có","Không"))</f>
        <v/>
      </c>
      <c r="T2598" s="22">
        <f>IF($D2598="","",IF(AND($C2598&lt;&gt;"",$Q2598="Có",$R2598="",$S2598="Có",AND($L2598&lt;&gt;"",OR($L2598&lt;&gt;"Chưa xác định",DANH_MUC!$L$9="Có"))),"Có","Không"))</f>
        <v/>
      </c>
      <c r="U2598" s="22">
        <f>IF(OR($D2598="",$T2598="Có"),"",IF($C2598="","Thiếu họ tên; ","")&amp;IF($S2598&lt;&gt;"Có","SĐT sai định dạng; ","")&amp;IF($R2598="Trùng","Trùng SĐT; ","")&amp;IF($Q2598&lt;&gt;"Có","Thiếu đồng ý bắt buộc; ","")&amp;IF($L2598="","Thiếu/sai Mã REF; ",IF(AND($L2598="Chưa xác định",DANH_MUC!$L$9&lt;&gt;"Có"),"Nguồn chưa xác định; ","")))</f>
        <v/>
      </c>
      <c r="V2598" s="22">
        <f>IF(OR($D2598="",$R2598="Trùng"),"",IF(COUNTIF(ORDERS!$C$2:$C$4995,$D2598)&gt;0,"Có","Không"))</f>
        <v/>
      </c>
      <c r="W2598" s="22">
        <f>IF(OR($D2598="",$R2598="Trùng"),"",COUNTIFS(ORDERS!$C$2:$C$4995,$D2598,ORDERS!$L$2:$L$4995,"Đã chuyển khoản"))</f>
        <v/>
      </c>
      <c r="X2598" s="23">
        <f>IF(OR($D2598="",$R2598="Trùng"),"",SUMIFS(ORDERS!$J$2:$J$4995,ORDERS!$C$2:$C$4995,$D2598,ORDERS!$L$2:$L$4995,"Đã chuyển khoản"))</f>
        <v/>
      </c>
      <c r="Y2598" s="24" t="n"/>
    </row>
    <row r="2599" ht="14.25" customHeight="1" s="40">
      <c r="A2599" s="24" t="n"/>
      <c r="B2599" s="27" t="n"/>
      <c r="C2599" s="24" t="n"/>
      <c r="D2599" s="28" t="n"/>
      <c r="E2599" s="29" t="n"/>
      <c r="F2599" s="24" t="n"/>
      <c r="G2599" s="24" t="n"/>
      <c r="H2599" s="21">
        <f>IF(ISNUMBER($B2599),INT($B2599)-WEEKDAY($B2599,2)+1,"")</f>
        <v/>
      </c>
      <c r="I2599" s="24" t="n"/>
      <c r="J2599" s="22">
        <f t="array" ref="J2599">IF($D2599="","",IF($I2599="","(trống REF)",IFERROR(INDEX(MASTER_SOURCE!$B$2:$B$495,MATCH($I2599,MASTER_SOURCE!$A$2:$A$495,0)),"(REF không có trong MASTER_SOURCE)")))</f>
        <v/>
      </c>
      <c r="K2599" s="22">
        <f t="array" ref="K2599">IF($D2599="","",IFERROR(INDEX(MASTER_SOURCE!$C$2:$C$495,MATCH($I2599,MASTER_SOURCE!$A$2:$A$495,0)),""))</f>
        <v/>
      </c>
      <c r="L2599" s="22">
        <f t="array" ref="L2599">IF($D2599="","",IFERROR(INDEX(MASTER_SOURCE!$D$2:$D$495,MATCH($I2599,MASTER_SOURCE!$A$2:$A$495,0)),""))</f>
        <v/>
      </c>
      <c r="M2599" s="24" t="n"/>
      <c r="N2599" s="24" t="n"/>
      <c r="O2599" s="24" t="n"/>
      <c r="P2599" s="24" t="n"/>
      <c r="Q2599" s="22">
        <f>IF($D2599="","",IF(AND(OR(DANH_MUC!$L$5&lt;&gt;"Có",M2599="Có"),OR(DANH_MUC!$L$6&lt;&gt;"Có",N2599="Có"),OR(DANH_MUC!$L$7&lt;&gt;"Có",O2599="Có"),OR(DANH_MUC!$L$8&lt;&gt;"Có",P2599="Có")),"Có","Không"))</f>
        <v/>
      </c>
      <c r="R2599" s="22">
        <f>IF($D2599="","",IF(COUNTIF($D$2:$D2599,$D2599)&gt;1,"Trùng",""))</f>
        <v/>
      </c>
      <c r="S2599" s="22">
        <f>IF($D2599="","",IF(AND(LEN($D2599)=10,LEFT($D2599,1)="0",ISNUMBER(--$D2599)),"Có","Không"))</f>
        <v/>
      </c>
      <c r="T2599" s="22">
        <f>IF($D2599="","",IF(AND($C2599&lt;&gt;"",$Q2599="Có",$R2599="",$S2599="Có",AND($L2599&lt;&gt;"",OR($L2599&lt;&gt;"Chưa xác định",DANH_MUC!$L$9="Có"))),"Có","Không"))</f>
        <v/>
      </c>
      <c r="U2599" s="22">
        <f>IF(OR($D2599="",$T2599="Có"),"",IF($C2599="","Thiếu họ tên; ","")&amp;IF($S2599&lt;&gt;"Có","SĐT sai định dạng; ","")&amp;IF($R2599="Trùng","Trùng SĐT; ","")&amp;IF($Q2599&lt;&gt;"Có","Thiếu đồng ý bắt buộc; ","")&amp;IF($L2599="","Thiếu/sai Mã REF; ",IF(AND($L2599="Chưa xác định",DANH_MUC!$L$9&lt;&gt;"Có"),"Nguồn chưa xác định; ","")))</f>
        <v/>
      </c>
      <c r="V2599" s="22">
        <f>IF(OR($D2599="",$R2599="Trùng"),"",IF(COUNTIF(ORDERS!$C$2:$C$4995,$D2599)&gt;0,"Có","Không"))</f>
        <v/>
      </c>
      <c r="W2599" s="22">
        <f>IF(OR($D2599="",$R2599="Trùng"),"",COUNTIFS(ORDERS!$C$2:$C$4995,$D2599,ORDERS!$L$2:$L$4995,"Đã chuyển khoản"))</f>
        <v/>
      </c>
      <c r="X2599" s="23">
        <f>IF(OR($D2599="",$R2599="Trùng"),"",SUMIFS(ORDERS!$J$2:$J$4995,ORDERS!$C$2:$C$4995,$D2599,ORDERS!$L$2:$L$4995,"Đã chuyển khoản"))</f>
        <v/>
      </c>
      <c r="Y2599" s="24" t="n"/>
    </row>
    <row r="2600" ht="14.25" customHeight="1" s="40">
      <c r="A2600" s="24" t="n"/>
      <c r="B2600" s="27" t="n"/>
      <c r="C2600" s="24" t="n"/>
      <c r="D2600" s="28" t="n"/>
      <c r="E2600" s="29" t="n"/>
      <c r="F2600" s="24" t="n"/>
      <c r="G2600" s="24" t="n"/>
      <c r="H2600" s="21">
        <f>IF(ISNUMBER($B2600),INT($B2600)-WEEKDAY($B2600,2)+1,"")</f>
        <v/>
      </c>
      <c r="I2600" s="24" t="n"/>
      <c r="J2600" s="22">
        <f t="array" ref="J2600">IF($D2600="","",IF($I2600="","(trống REF)",IFERROR(INDEX(MASTER_SOURCE!$B$2:$B$495,MATCH($I2600,MASTER_SOURCE!$A$2:$A$495,0)),"(REF không có trong MASTER_SOURCE)")))</f>
        <v/>
      </c>
      <c r="K2600" s="22">
        <f t="array" ref="K2600">IF($D2600="","",IFERROR(INDEX(MASTER_SOURCE!$C$2:$C$495,MATCH($I2600,MASTER_SOURCE!$A$2:$A$495,0)),""))</f>
        <v/>
      </c>
      <c r="L2600" s="22">
        <f t="array" ref="L2600">IF($D2600="","",IFERROR(INDEX(MASTER_SOURCE!$D$2:$D$495,MATCH($I2600,MASTER_SOURCE!$A$2:$A$495,0)),""))</f>
        <v/>
      </c>
      <c r="M2600" s="24" t="n"/>
      <c r="N2600" s="24" t="n"/>
      <c r="O2600" s="24" t="n"/>
      <c r="P2600" s="24" t="n"/>
      <c r="Q2600" s="22">
        <f>IF($D2600="","",IF(AND(OR(DANH_MUC!$L$5&lt;&gt;"Có",M2600="Có"),OR(DANH_MUC!$L$6&lt;&gt;"Có",N2600="Có"),OR(DANH_MUC!$L$7&lt;&gt;"Có",O2600="Có"),OR(DANH_MUC!$L$8&lt;&gt;"Có",P2600="Có")),"Có","Không"))</f>
        <v/>
      </c>
      <c r="R2600" s="22">
        <f>IF($D2600="","",IF(COUNTIF($D$2:$D2600,$D2600)&gt;1,"Trùng",""))</f>
        <v/>
      </c>
      <c r="S2600" s="22">
        <f>IF($D2600="","",IF(AND(LEN($D2600)=10,LEFT($D2600,1)="0",ISNUMBER(--$D2600)),"Có","Không"))</f>
        <v/>
      </c>
      <c r="T2600" s="22">
        <f>IF($D2600="","",IF(AND($C2600&lt;&gt;"",$Q2600="Có",$R2600="",$S2600="Có",AND($L2600&lt;&gt;"",OR($L2600&lt;&gt;"Chưa xác định",DANH_MUC!$L$9="Có"))),"Có","Không"))</f>
        <v/>
      </c>
      <c r="U2600" s="22">
        <f>IF(OR($D2600="",$T2600="Có"),"",IF($C2600="","Thiếu họ tên; ","")&amp;IF($S2600&lt;&gt;"Có","SĐT sai định dạng; ","")&amp;IF($R2600="Trùng","Trùng SĐT; ","")&amp;IF($Q2600&lt;&gt;"Có","Thiếu đồng ý bắt buộc; ","")&amp;IF($L2600="","Thiếu/sai Mã REF; ",IF(AND($L2600="Chưa xác định",DANH_MUC!$L$9&lt;&gt;"Có"),"Nguồn chưa xác định; ","")))</f>
        <v/>
      </c>
      <c r="V2600" s="22">
        <f>IF(OR($D2600="",$R2600="Trùng"),"",IF(COUNTIF(ORDERS!$C$2:$C$4995,$D2600)&gt;0,"Có","Không"))</f>
        <v/>
      </c>
      <c r="W2600" s="22">
        <f>IF(OR($D2600="",$R2600="Trùng"),"",COUNTIFS(ORDERS!$C$2:$C$4995,$D2600,ORDERS!$L$2:$L$4995,"Đã chuyển khoản"))</f>
        <v/>
      </c>
      <c r="X2600" s="23">
        <f>IF(OR($D2600="",$R2600="Trùng"),"",SUMIFS(ORDERS!$J$2:$J$4995,ORDERS!$C$2:$C$4995,$D2600,ORDERS!$L$2:$L$4995,"Đã chuyển khoản"))</f>
        <v/>
      </c>
      <c r="Y2600" s="24" t="n"/>
    </row>
    <row r="2601" ht="14.25" customHeight="1" s="40">
      <c r="A2601" s="24" t="n"/>
      <c r="B2601" s="27" t="n"/>
      <c r="C2601" s="24" t="n"/>
      <c r="D2601" s="28" t="n"/>
      <c r="E2601" s="29" t="n"/>
      <c r="F2601" s="24" t="n"/>
      <c r="G2601" s="24" t="n"/>
      <c r="H2601" s="21">
        <f>IF(ISNUMBER($B2601),INT($B2601)-WEEKDAY($B2601,2)+1,"")</f>
        <v/>
      </c>
      <c r="I2601" s="24" t="n"/>
      <c r="J2601" s="22">
        <f t="array" ref="J2601">IF($D2601="","",IF($I2601="","(trống REF)",IFERROR(INDEX(MASTER_SOURCE!$B$2:$B$495,MATCH($I2601,MASTER_SOURCE!$A$2:$A$495,0)),"(REF không có trong MASTER_SOURCE)")))</f>
        <v/>
      </c>
      <c r="K2601" s="22">
        <f t="array" ref="K2601">IF($D2601="","",IFERROR(INDEX(MASTER_SOURCE!$C$2:$C$495,MATCH($I2601,MASTER_SOURCE!$A$2:$A$495,0)),""))</f>
        <v/>
      </c>
      <c r="L2601" s="22">
        <f t="array" ref="L2601">IF($D2601="","",IFERROR(INDEX(MASTER_SOURCE!$D$2:$D$495,MATCH($I2601,MASTER_SOURCE!$A$2:$A$495,0)),""))</f>
        <v/>
      </c>
      <c r="M2601" s="24" t="n"/>
      <c r="N2601" s="24" t="n"/>
      <c r="O2601" s="24" t="n"/>
      <c r="P2601" s="24" t="n"/>
      <c r="Q2601" s="22">
        <f>IF($D2601="","",IF(AND(OR(DANH_MUC!$L$5&lt;&gt;"Có",M2601="Có"),OR(DANH_MUC!$L$6&lt;&gt;"Có",N2601="Có"),OR(DANH_MUC!$L$7&lt;&gt;"Có",O2601="Có"),OR(DANH_MUC!$L$8&lt;&gt;"Có",P2601="Có")),"Có","Không"))</f>
        <v/>
      </c>
      <c r="R2601" s="22">
        <f>IF($D2601="","",IF(COUNTIF($D$2:$D2601,$D2601)&gt;1,"Trùng",""))</f>
        <v/>
      </c>
      <c r="S2601" s="22">
        <f>IF($D2601="","",IF(AND(LEN($D2601)=10,LEFT($D2601,1)="0",ISNUMBER(--$D2601)),"Có","Không"))</f>
        <v/>
      </c>
      <c r="T2601" s="22">
        <f>IF($D2601="","",IF(AND($C2601&lt;&gt;"",$Q2601="Có",$R2601="",$S2601="Có",AND($L2601&lt;&gt;"",OR($L2601&lt;&gt;"Chưa xác định",DANH_MUC!$L$9="Có"))),"Có","Không"))</f>
        <v/>
      </c>
      <c r="U2601" s="22">
        <f>IF(OR($D2601="",$T2601="Có"),"",IF($C2601="","Thiếu họ tên; ","")&amp;IF($S2601&lt;&gt;"Có","SĐT sai định dạng; ","")&amp;IF($R2601="Trùng","Trùng SĐT; ","")&amp;IF($Q2601&lt;&gt;"Có","Thiếu đồng ý bắt buộc; ","")&amp;IF($L2601="","Thiếu/sai Mã REF; ",IF(AND($L2601="Chưa xác định",DANH_MUC!$L$9&lt;&gt;"Có"),"Nguồn chưa xác định; ","")))</f>
        <v/>
      </c>
      <c r="V2601" s="22">
        <f>IF(OR($D2601="",$R2601="Trùng"),"",IF(COUNTIF(ORDERS!$C$2:$C$4995,$D2601)&gt;0,"Có","Không"))</f>
        <v/>
      </c>
      <c r="W2601" s="22">
        <f>IF(OR($D2601="",$R2601="Trùng"),"",COUNTIFS(ORDERS!$C$2:$C$4995,$D2601,ORDERS!$L$2:$L$4995,"Đã chuyển khoản"))</f>
        <v/>
      </c>
      <c r="X2601" s="23">
        <f>IF(OR($D2601="",$R2601="Trùng"),"",SUMIFS(ORDERS!$J$2:$J$4995,ORDERS!$C$2:$C$4995,$D2601,ORDERS!$L$2:$L$4995,"Đã chuyển khoản"))</f>
        <v/>
      </c>
      <c r="Y2601" s="24" t="n"/>
    </row>
    <row r="2602" ht="14.25" customHeight="1" s="40">
      <c r="A2602" s="24" t="n"/>
      <c r="B2602" s="27" t="n"/>
      <c r="C2602" s="24" t="n"/>
      <c r="D2602" s="28" t="n"/>
      <c r="E2602" s="29" t="n"/>
      <c r="F2602" s="24" t="n"/>
      <c r="G2602" s="24" t="n"/>
      <c r="H2602" s="21">
        <f>IF(ISNUMBER($B2602),INT($B2602)-WEEKDAY($B2602,2)+1,"")</f>
        <v/>
      </c>
      <c r="I2602" s="24" t="n"/>
      <c r="J2602" s="22">
        <f t="array" ref="J2602">IF($D2602="","",IF($I2602="","(trống REF)",IFERROR(INDEX(MASTER_SOURCE!$B$2:$B$495,MATCH($I2602,MASTER_SOURCE!$A$2:$A$495,0)),"(REF không có trong MASTER_SOURCE)")))</f>
        <v/>
      </c>
      <c r="K2602" s="22">
        <f t="array" ref="K2602">IF($D2602="","",IFERROR(INDEX(MASTER_SOURCE!$C$2:$C$495,MATCH($I2602,MASTER_SOURCE!$A$2:$A$495,0)),""))</f>
        <v/>
      </c>
      <c r="L2602" s="22">
        <f t="array" ref="L2602">IF($D2602="","",IFERROR(INDEX(MASTER_SOURCE!$D$2:$D$495,MATCH($I2602,MASTER_SOURCE!$A$2:$A$495,0)),""))</f>
        <v/>
      </c>
      <c r="M2602" s="24" t="n"/>
      <c r="N2602" s="24" t="n"/>
      <c r="O2602" s="24" t="n"/>
      <c r="P2602" s="24" t="n"/>
      <c r="Q2602" s="22">
        <f>IF($D2602="","",IF(AND(OR(DANH_MUC!$L$5&lt;&gt;"Có",M2602="Có"),OR(DANH_MUC!$L$6&lt;&gt;"Có",N2602="Có"),OR(DANH_MUC!$L$7&lt;&gt;"Có",O2602="Có"),OR(DANH_MUC!$L$8&lt;&gt;"Có",P2602="Có")),"Có","Không"))</f>
        <v/>
      </c>
      <c r="R2602" s="22">
        <f>IF($D2602="","",IF(COUNTIF($D$2:$D2602,$D2602)&gt;1,"Trùng",""))</f>
        <v/>
      </c>
      <c r="S2602" s="22">
        <f>IF($D2602="","",IF(AND(LEN($D2602)=10,LEFT($D2602,1)="0",ISNUMBER(--$D2602)),"Có","Không"))</f>
        <v/>
      </c>
      <c r="T2602" s="22">
        <f>IF($D2602="","",IF(AND($C2602&lt;&gt;"",$Q2602="Có",$R2602="",$S2602="Có",AND($L2602&lt;&gt;"",OR($L2602&lt;&gt;"Chưa xác định",DANH_MUC!$L$9="Có"))),"Có","Không"))</f>
        <v/>
      </c>
      <c r="U2602" s="22">
        <f>IF(OR($D2602="",$T2602="Có"),"",IF($C2602="","Thiếu họ tên; ","")&amp;IF($S2602&lt;&gt;"Có","SĐT sai định dạng; ","")&amp;IF($R2602="Trùng","Trùng SĐT; ","")&amp;IF($Q2602&lt;&gt;"Có","Thiếu đồng ý bắt buộc; ","")&amp;IF($L2602="","Thiếu/sai Mã REF; ",IF(AND($L2602="Chưa xác định",DANH_MUC!$L$9&lt;&gt;"Có"),"Nguồn chưa xác định; ","")))</f>
        <v/>
      </c>
      <c r="V2602" s="22">
        <f>IF(OR($D2602="",$R2602="Trùng"),"",IF(COUNTIF(ORDERS!$C$2:$C$4995,$D2602)&gt;0,"Có","Không"))</f>
        <v/>
      </c>
      <c r="W2602" s="22">
        <f>IF(OR($D2602="",$R2602="Trùng"),"",COUNTIFS(ORDERS!$C$2:$C$4995,$D2602,ORDERS!$L$2:$L$4995,"Đã chuyển khoản"))</f>
        <v/>
      </c>
      <c r="X2602" s="23">
        <f>IF(OR($D2602="",$R2602="Trùng"),"",SUMIFS(ORDERS!$J$2:$J$4995,ORDERS!$C$2:$C$4995,$D2602,ORDERS!$L$2:$L$4995,"Đã chuyển khoản"))</f>
        <v/>
      </c>
      <c r="Y2602" s="24" t="n"/>
    </row>
    <row r="2603" ht="14.25" customHeight="1" s="40">
      <c r="A2603" s="24" t="n"/>
      <c r="B2603" s="27" t="n"/>
      <c r="C2603" s="24" t="n"/>
      <c r="D2603" s="28" t="n"/>
      <c r="E2603" s="29" t="n"/>
      <c r="F2603" s="24" t="n"/>
      <c r="G2603" s="24" t="n"/>
      <c r="H2603" s="21">
        <f>IF(ISNUMBER($B2603),INT($B2603)-WEEKDAY($B2603,2)+1,"")</f>
        <v/>
      </c>
      <c r="I2603" s="24" t="n"/>
      <c r="J2603" s="22">
        <f t="array" ref="J2603">IF($D2603="","",IF($I2603="","(trống REF)",IFERROR(INDEX(MASTER_SOURCE!$B$2:$B$495,MATCH($I2603,MASTER_SOURCE!$A$2:$A$495,0)),"(REF không có trong MASTER_SOURCE)")))</f>
        <v/>
      </c>
      <c r="K2603" s="22">
        <f t="array" ref="K2603">IF($D2603="","",IFERROR(INDEX(MASTER_SOURCE!$C$2:$C$495,MATCH($I2603,MASTER_SOURCE!$A$2:$A$495,0)),""))</f>
        <v/>
      </c>
      <c r="L2603" s="22">
        <f t="array" ref="L2603">IF($D2603="","",IFERROR(INDEX(MASTER_SOURCE!$D$2:$D$495,MATCH($I2603,MASTER_SOURCE!$A$2:$A$495,0)),""))</f>
        <v/>
      </c>
      <c r="M2603" s="24" t="n"/>
      <c r="N2603" s="24" t="n"/>
      <c r="O2603" s="24" t="n"/>
      <c r="P2603" s="24" t="n"/>
      <c r="Q2603" s="22">
        <f>IF($D2603="","",IF(AND(OR(DANH_MUC!$L$5&lt;&gt;"Có",M2603="Có"),OR(DANH_MUC!$L$6&lt;&gt;"Có",N2603="Có"),OR(DANH_MUC!$L$7&lt;&gt;"Có",O2603="Có"),OR(DANH_MUC!$L$8&lt;&gt;"Có",P2603="Có")),"Có","Không"))</f>
        <v/>
      </c>
      <c r="R2603" s="22">
        <f>IF($D2603="","",IF(COUNTIF($D$2:$D2603,$D2603)&gt;1,"Trùng",""))</f>
        <v/>
      </c>
      <c r="S2603" s="22">
        <f>IF($D2603="","",IF(AND(LEN($D2603)=10,LEFT($D2603,1)="0",ISNUMBER(--$D2603)),"Có","Không"))</f>
        <v/>
      </c>
      <c r="T2603" s="22">
        <f>IF($D2603="","",IF(AND($C2603&lt;&gt;"",$Q2603="Có",$R2603="",$S2603="Có",AND($L2603&lt;&gt;"",OR($L2603&lt;&gt;"Chưa xác định",DANH_MUC!$L$9="Có"))),"Có","Không"))</f>
        <v/>
      </c>
      <c r="U2603" s="22">
        <f>IF(OR($D2603="",$T2603="Có"),"",IF($C2603="","Thiếu họ tên; ","")&amp;IF($S2603&lt;&gt;"Có","SĐT sai định dạng; ","")&amp;IF($R2603="Trùng","Trùng SĐT; ","")&amp;IF($Q2603&lt;&gt;"Có","Thiếu đồng ý bắt buộc; ","")&amp;IF($L2603="","Thiếu/sai Mã REF; ",IF(AND($L2603="Chưa xác định",DANH_MUC!$L$9&lt;&gt;"Có"),"Nguồn chưa xác định; ","")))</f>
        <v/>
      </c>
      <c r="V2603" s="22">
        <f>IF(OR($D2603="",$R2603="Trùng"),"",IF(COUNTIF(ORDERS!$C$2:$C$4995,$D2603)&gt;0,"Có","Không"))</f>
        <v/>
      </c>
      <c r="W2603" s="22">
        <f>IF(OR($D2603="",$R2603="Trùng"),"",COUNTIFS(ORDERS!$C$2:$C$4995,$D2603,ORDERS!$L$2:$L$4995,"Đã chuyển khoản"))</f>
        <v/>
      </c>
      <c r="X2603" s="23">
        <f>IF(OR($D2603="",$R2603="Trùng"),"",SUMIFS(ORDERS!$J$2:$J$4995,ORDERS!$C$2:$C$4995,$D2603,ORDERS!$L$2:$L$4995,"Đã chuyển khoản"))</f>
        <v/>
      </c>
      <c r="Y2603" s="24" t="n"/>
    </row>
    <row r="2604" ht="14.25" customHeight="1" s="40">
      <c r="A2604" s="24" t="n"/>
      <c r="B2604" s="27" t="n"/>
      <c r="C2604" s="24" t="n"/>
      <c r="D2604" s="28" t="n"/>
      <c r="E2604" s="29" t="n"/>
      <c r="F2604" s="24" t="n"/>
      <c r="G2604" s="24" t="n"/>
      <c r="H2604" s="21">
        <f>IF(ISNUMBER($B2604),INT($B2604)-WEEKDAY($B2604,2)+1,"")</f>
        <v/>
      </c>
      <c r="I2604" s="24" t="n"/>
      <c r="J2604" s="22">
        <f t="array" ref="J2604">IF($D2604="","",IF($I2604="","(trống REF)",IFERROR(INDEX(MASTER_SOURCE!$B$2:$B$495,MATCH($I2604,MASTER_SOURCE!$A$2:$A$495,0)),"(REF không có trong MASTER_SOURCE)")))</f>
        <v/>
      </c>
      <c r="K2604" s="22">
        <f t="array" ref="K2604">IF($D2604="","",IFERROR(INDEX(MASTER_SOURCE!$C$2:$C$495,MATCH($I2604,MASTER_SOURCE!$A$2:$A$495,0)),""))</f>
        <v/>
      </c>
      <c r="L2604" s="22">
        <f t="array" ref="L2604">IF($D2604="","",IFERROR(INDEX(MASTER_SOURCE!$D$2:$D$495,MATCH($I2604,MASTER_SOURCE!$A$2:$A$495,0)),""))</f>
        <v/>
      </c>
      <c r="M2604" s="24" t="n"/>
      <c r="N2604" s="24" t="n"/>
      <c r="O2604" s="24" t="n"/>
      <c r="P2604" s="24" t="n"/>
      <c r="Q2604" s="22">
        <f>IF($D2604="","",IF(AND(OR(DANH_MUC!$L$5&lt;&gt;"Có",M2604="Có"),OR(DANH_MUC!$L$6&lt;&gt;"Có",N2604="Có"),OR(DANH_MUC!$L$7&lt;&gt;"Có",O2604="Có"),OR(DANH_MUC!$L$8&lt;&gt;"Có",P2604="Có")),"Có","Không"))</f>
        <v/>
      </c>
      <c r="R2604" s="22">
        <f>IF($D2604="","",IF(COUNTIF($D$2:$D2604,$D2604)&gt;1,"Trùng",""))</f>
        <v/>
      </c>
      <c r="S2604" s="22">
        <f>IF($D2604="","",IF(AND(LEN($D2604)=10,LEFT($D2604,1)="0",ISNUMBER(--$D2604)),"Có","Không"))</f>
        <v/>
      </c>
      <c r="T2604" s="22">
        <f>IF($D2604="","",IF(AND($C2604&lt;&gt;"",$Q2604="Có",$R2604="",$S2604="Có",AND($L2604&lt;&gt;"",OR($L2604&lt;&gt;"Chưa xác định",DANH_MUC!$L$9="Có"))),"Có","Không"))</f>
        <v/>
      </c>
      <c r="U2604" s="22">
        <f>IF(OR($D2604="",$T2604="Có"),"",IF($C2604="","Thiếu họ tên; ","")&amp;IF($S2604&lt;&gt;"Có","SĐT sai định dạng; ","")&amp;IF($R2604="Trùng","Trùng SĐT; ","")&amp;IF($Q2604&lt;&gt;"Có","Thiếu đồng ý bắt buộc; ","")&amp;IF($L2604="","Thiếu/sai Mã REF; ",IF(AND($L2604="Chưa xác định",DANH_MUC!$L$9&lt;&gt;"Có"),"Nguồn chưa xác định; ","")))</f>
        <v/>
      </c>
      <c r="V2604" s="22">
        <f>IF(OR($D2604="",$R2604="Trùng"),"",IF(COUNTIF(ORDERS!$C$2:$C$4995,$D2604)&gt;0,"Có","Không"))</f>
        <v/>
      </c>
      <c r="W2604" s="22">
        <f>IF(OR($D2604="",$R2604="Trùng"),"",COUNTIFS(ORDERS!$C$2:$C$4995,$D2604,ORDERS!$L$2:$L$4995,"Đã chuyển khoản"))</f>
        <v/>
      </c>
      <c r="X2604" s="23">
        <f>IF(OR($D2604="",$R2604="Trùng"),"",SUMIFS(ORDERS!$J$2:$J$4995,ORDERS!$C$2:$C$4995,$D2604,ORDERS!$L$2:$L$4995,"Đã chuyển khoản"))</f>
        <v/>
      </c>
      <c r="Y2604" s="24" t="n"/>
    </row>
    <row r="2605" ht="14.25" customHeight="1" s="40">
      <c r="A2605" s="24" t="n"/>
      <c r="B2605" s="27" t="n"/>
      <c r="C2605" s="24" t="n"/>
      <c r="D2605" s="28" t="n"/>
      <c r="E2605" s="29" t="n"/>
      <c r="F2605" s="24" t="n"/>
      <c r="G2605" s="24" t="n"/>
      <c r="H2605" s="21">
        <f>IF(ISNUMBER($B2605),INT($B2605)-WEEKDAY($B2605,2)+1,"")</f>
        <v/>
      </c>
      <c r="I2605" s="24" t="n"/>
      <c r="J2605" s="22">
        <f t="array" ref="J2605">IF($D2605="","",IF($I2605="","(trống REF)",IFERROR(INDEX(MASTER_SOURCE!$B$2:$B$495,MATCH($I2605,MASTER_SOURCE!$A$2:$A$495,0)),"(REF không có trong MASTER_SOURCE)")))</f>
        <v/>
      </c>
      <c r="K2605" s="22">
        <f t="array" ref="K2605">IF($D2605="","",IFERROR(INDEX(MASTER_SOURCE!$C$2:$C$495,MATCH($I2605,MASTER_SOURCE!$A$2:$A$495,0)),""))</f>
        <v/>
      </c>
      <c r="L2605" s="22">
        <f t="array" ref="L2605">IF($D2605="","",IFERROR(INDEX(MASTER_SOURCE!$D$2:$D$495,MATCH($I2605,MASTER_SOURCE!$A$2:$A$495,0)),""))</f>
        <v/>
      </c>
      <c r="M2605" s="24" t="n"/>
      <c r="N2605" s="24" t="n"/>
      <c r="O2605" s="24" t="n"/>
      <c r="P2605" s="24" t="n"/>
      <c r="Q2605" s="22">
        <f>IF($D2605="","",IF(AND(OR(DANH_MUC!$L$5&lt;&gt;"Có",M2605="Có"),OR(DANH_MUC!$L$6&lt;&gt;"Có",N2605="Có"),OR(DANH_MUC!$L$7&lt;&gt;"Có",O2605="Có"),OR(DANH_MUC!$L$8&lt;&gt;"Có",P2605="Có")),"Có","Không"))</f>
        <v/>
      </c>
      <c r="R2605" s="22">
        <f>IF($D2605="","",IF(COUNTIF($D$2:$D2605,$D2605)&gt;1,"Trùng",""))</f>
        <v/>
      </c>
      <c r="S2605" s="22">
        <f>IF($D2605="","",IF(AND(LEN($D2605)=10,LEFT($D2605,1)="0",ISNUMBER(--$D2605)),"Có","Không"))</f>
        <v/>
      </c>
      <c r="T2605" s="22">
        <f>IF($D2605="","",IF(AND($C2605&lt;&gt;"",$Q2605="Có",$R2605="",$S2605="Có",AND($L2605&lt;&gt;"",OR($L2605&lt;&gt;"Chưa xác định",DANH_MUC!$L$9="Có"))),"Có","Không"))</f>
        <v/>
      </c>
      <c r="U2605" s="22">
        <f>IF(OR($D2605="",$T2605="Có"),"",IF($C2605="","Thiếu họ tên; ","")&amp;IF($S2605&lt;&gt;"Có","SĐT sai định dạng; ","")&amp;IF($R2605="Trùng","Trùng SĐT; ","")&amp;IF($Q2605&lt;&gt;"Có","Thiếu đồng ý bắt buộc; ","")&amp;IF($L2605="","Thiếu/sai Mã REF; ",IF(AND($L2605="Chưa xác định",DANH_MUC!$L$9&lt;&gt;"Có"),"Nguồn chưa xác định; ","")))</f>
        <v/>
      </c>
      <c r="V2605" s="22">
        <f>IF(OR($D2605="",$R2605="Trùng"),"",IF(COUNTIF(ORDERS!$C$2:$C$4995,$D2605)&gt;0,"Có","Không"))</f>
        <v/>
      </c>
      <c r="W2605" s="22">
        <f>IF(OR($D2605="",$R2605="Trùng"),"",COUNTIFS(ORDERS!$C$2:$C$4995,$D2605,ORDERS!$L$2:$L$4995,"Đã chuyển khoản"))</f>
        <v/>
      </c>
      <c r="X2605" s="23">
        <f>IF(OR($D2605="",$R2605="Trùng"),"",SUMIFS(ORDERS!$J$2:$J$4995,ORDERS!$C$2:$C$4995,$D2605,ORDERS!$L$2:$L$4995,"Đã chuyển khoản"))</f>
        <v/>
      </c>
      <c r="Y2605" s="24" t="n"/>
    </row>
    <row r="2606" ht="14.25" customHeight="1" s="40">
      <c r="A2606" s="24" t="n"/>
      <c r="B2606" s="27" t="n"/>
      <c r="C2606" s="24" t="n"/>
      <c r="D2606" s="28" t="n"/>
      <c r="E2606" s="29" t="n"/>
      <c r="F2606" s="24" t="n"/>
      <c r="G2606" s="24" t="n"/>
      <c r="H2606" s="21">
        <f>IF(ISNUMBER($B2606),INT($B2606)-WEEKDAY($B2606,2)+1,"")</f>
        <v/>
      </c>
      <c r="I2606" s="24" t="n"/>
      <c r="J2606" s="22">
        <f t="array" ref="J2606">IF($D2606="","",IF($I2606="","(trống REF)",IFERROR(INDEX(MASTER_SOURCE!$B$2:$B$495,MATCH($I2606,MASTER_SOURCE!$A$2:$A$495,0)),"(REF không có trong MASTER_SOURCE)")))</f>
        <v/>
      </c>
      <c r="K2606" s="22">
        <f t="array" ref="K2606">IF($D2606="","",IFERROR(INDEX(MASTER_SOURCE!$C$2:$C$495,MATCH($I2606,MASTER_SOURCE!$A$2:$A$495,0)),""))</f>
        <v/>
      </c>
      <c r="L2606" s="22">
        <f t="array" ref="L2606">IF($D2606="","",IFERROR(INDEX(MASTER_SOURCE!$D$2:$D$495,MATCH($I2606,MASTER_SOURCE!$A$2:$A$495,0)),""))</f>
        <v/>
      </c>
      <c r="M2606" s="24" t="n"/>
      <c r="N2606" s="24" t="n"/>
      <c r="O2606" s="24" t="n"/>
      <c r="P2606" s="24" t="n"/>
      <c r="Q2606" s="22">
        <f>IF($D2606="","",IF(AND(OR(DANH_MUC!$L$5&lt;&gt;"Có",M2606="Có"),OR(DANH_MUC!$L$6&lt;&gt;"Có",N2606="Có"),OR(DANH_MUC!$L$7&lt;&gt;"Có",O2606="Có"),OR(DANH_MUC!$L$8&lt;&gt;"Có",P2606="Có")),"Có","Không"))</f>
        <v/>
      </c>
      <c r="R2606" s="22">
        <f>IF($D2606="","",IF(COUNTIF($D$2:$D2606,$D2606)&gt;1,"Trùng",""))</f>
        <v/>
      </c>
      <c r="S2606" s="22">
        <f>IF($D2606="","",IF(AND(LEN($D2606)=10,LEFT($D2606,1)="0",ISNUMBER(--$D2606)),"Có","Không"))</f>
        <v/>
      </c>
      <c r="T2606" s="22">
        <f>IF($D2606="","",IF(AND($C2606&lt;&gt;"",$Q2606="Có",$R2606="",$S2606="Có",AND($L2606&lt;&gt;"",OR($L2606&lt;&gt;"Chưa xác định",DANH_MUC!$L$9="Có"))),"Có","Không"))</f>
        <v/>
      </c>
      <c r="U2606" s="22">
        <f>IF(OR($D2606="",$T2606="Có"),"",IF($C2606="","Thiếu họ tên; ","")&amp;IF($S2606&lt;&gt;"Có","SĐT sai định dạng; ","")&amp;IF($R2606="Trùng","Trùng SĐT; ","")&amp;IF($Q2606&lt;&gt;"Có","Thiếu đồng ý bắt buộc; ","")&amp;IF($L2606="","Thiếu/sai Mã REF; ",IF(AND($L2606="Chưa xác định",DANH_MUC!$L$9&lt;&gt;"Có"),"Nguồn chưa xác định; ","")))</f>
        <v/>
      </c>
      <c r="V2606" s="22">
        <f>IF(OR($D2606="",$R2606="Trùng"),"",IF(COUNTIF(ORDERS!$C$2:$C$4995,$D2606)&gt;0,"Có","Không"))</f>
        <v/>
      </c>
      <c r="W2606" s="22">
        <f>IF(OR($D2606="",$R2606="Trùng"),"",COUNTIFS(ORDERS!$C$2:$C$4995,$D2606,ORDERS!$L$2:$L$4995,"Đã chuyển khoản"))</f>
        <v/>
      </c>
      <c r="X2606" s="23">
        <f>IF(OR($D2606="",$R2606="Trùng"),"",SUMIFS(ORDERS!$J$2:$J$4995,ORDERS!$C$2:$C$4995,$D2606,ORDERS!$L$2:$L$4995,"Đã chuyển khoản"))</f>
        <v/>
      </c>
      <c r="Y2606" s="24" t="n"/>
    </row>
    <row r="2607" ht="14.25" customHeight="1" s="40">
      <c r="A2607" s="24" t="n"/>
      <c r="B2607" s="27" t="n"/>
      <c r="C2607" s="24" t="n"/>
      <c r="D2607" s="28" t="n"/>
      <c r="E2607" s="29" t="n"/>
      <c r="F2607" s="24" t="n"/>
      <c r="G2607" s="24" t="n"/>
      <c r="H2607" s="21">
        <f>IF(ISNUMBER($B2607),INT($B2607)-WEEKDAY($B2607,2)+1,"")</f>
        <v/>
      </c>
      <c r="I2607" s="24" t="n"/>
      <c r="J2607" s="22">
        <f t="array" ref="J2607">IF($D2607="","",IF($I2607="","(trống REF)",IFERROR(INDEX(MASTER_SOURCE!$B$2:$B$495,MATCH($I2607,MASTER_SOURCE!$A$2:$A$495,0)),"(REF không có trong MASTER_SOURCE)")))</f>
        <v/>
      </c>
      <c r="K2607" s="22">
        <f t="array" ref="K2607">IF($D2607="","",IFERROR(INDEX(MASTER_SOURCE!$C$2:$C$495,MATCH($I2607,MASTER_SOURCE!$A$2:$A$495,0)),""))</f>
        <v/>
      </c>
      <c r="L2607" s="22">
        <f t="array" ref="L2607">IF($D2607="","",IFERROR(INDEX(MASTER_SOURCE!$D$2:$D$495,MATCH($I2607,MASTER_SOURCE!$A$2:$A$495,0)),""))</f>
        <v/>
      </c>
      <c r="M2607" s="24" t="n"/>
      <c r="N2607" s="24" t="n"/>
      <c r="O2607" s="24" t="n"/>
      <c r="P2607" s="24" t="n"/>
      <c r="Q2607" s="22">
        <f>IF($D2607="","",IF(AND(OR(DANH_MUC!$L$5&lt;&gt;"Có",M2607="Có"),OR(DANH_MUC!$L$6&lt;&gt;"Có",N2607="Có"),OR(DANH_MUC!$L$7&lt;&gt;"Có",O2607="Có"),OR(DANH_MUC!$L$8&lt;&gt;"Có",P2607="Có")),"Có","Không"))</f>
        <v/>
      </c>
      <c r="R2607" s="22">
        <f>IF($D2607="","",IF(COUNTIF($D$2:$D2607,$D2607)&gt;1,"Trùng",""))</f>
        <v/>
      </c>
      <c r="S2607" s="22">
        <f>IF($D2607="","",IF(AND(LEN($D2607)=10,LEFT($D2607,1)="0",ISNUMBER(--$D2607)),"Có","Không"))</f>
        <v/>
      </c>
      <c r="T2607" s="22">
        <f>IF($D2607="","",IF(AND($C2607&lt;&gt;"",$Q2607="Có",$R2607="",$S2607="Có",AND($L2607&lt;&gt;"",OR($L2607&lt;&gt;"Chưa xác định",DANH_MUC!$L$9="Có"))),"Có","Không"))</f>
        <v/>
      </c>
      <c r="U2607" s="22">
        <f>IF(OR($D2607="",$T2607="Có"),"",IF($C2607="","Thiếu họ tên; ","")&amp;IF($S2607&lt;&gt;"Có","SĐT sai định dạng; ","")&amp;IF($R2607="Trùng","Trùng SĐT; ","")&amp;IF($Q2607&lt;&gt;"Có","Thiếu đồng ý bắt buộc; ","")&amp;IF($L2607="","Thiếu/sai Mã REF; ",IF(AND($L2607="Chưa xác định",DANH_MUC!$L$9&lt;&gt;"Có"),"Nguồn chưa xác định; ","")))</f>
        <v/>
      </c>
      <c r="V2607" s="22">
        <f>IF(OR($D2607="",$R2607="Trùng"),"",IF(COUNTIF(ORDERS!$C$2:$C$4995,$D2607)&gt;0,"Có","Không"))</f>
        <v/>
      </c>
      <c r="W2607" s="22">
        <f>IF(OR($D2607="",$R2607="Trùng"),"",COUNTIFS(ORDERS!$C$2:$C$4995,$D2607,ORDERS!$L$2:$L$4995,"Đã chuyển khoản"))</f>
        <v/>
      </c>
      <c r="X2607" s="23">
        <f>IF(OR($D2607="",$R2607="Trùng"),"",SUMIFS(ORDERS!$J$2:$J$4995,ORDERS!$C$2:$C$4995,$D2607,ORDERS!$L$2:$L$4995,"Đã chuyển khoản"))</f>
        <v/>
      </c>
      <c r="Y2607" s="24" t="n"/>
    </row>
    <row r="2608" ht="14.25" customHeight="1" s="40">
      <c r="A2608" s="24" t="n"/>
      <c r="B2608" s="27" t="n"/>
      <c r="C2608" s="24" t="n"/>
      <c r="D2608" s="28" t="n"/>
      <c r="E2608" s="29" t="n"/>
      <c r="F2608" s="24" t="n"/>
      <c r="G2608" s="24" t="n"/>
      <c r="H2608" s="21">
        <f>IF(ISNUMBER($B2608),INT($B2608)-WEEKDAY($B2608,2)+1,"")</f>
        <v/>
      </c>
      <c r="I2608" s="24" t="n"/>
      <c r="J2608" s="22">
        <f t="array" ref="J2608">IF($D2608="","",IF($I2608="","(trống REF)",IFERROR(INDEX(MASTER_SOURCE!$B$2:$B$495,MATCH($I2608,MASTER_SOURCE!$A$2:$A$495,0)),"(REF không có trong MASTER_SOURCE)")))</f>
        <v/>
      </c>
      <c r="K2608" s="22">
        <f t="array" ref="K2608">IF($D2608="","",IFERROR(INDEX(MASTER_SOURCE!$C$2:$C$495,MATCH($I2608,MASTER_SOURCE!$A$2:$A$495,0)),""))</f>
        <v/>
      </c>
      <c r="L2608" s="22">
        <f t="array" ref="L2608">IF($D2608="","",IFERROR(INDEX(MASTER_SOURCE!$D$2:$D$495,MATCH($I2608,MASTER_SOURCE!$A$2:$A$495,0)),""))</f>
        <v/>
      </c>
      <c r="M2608" s="24" t="n"/>
      <c r="N2608" s="24" t="n"/>
      <c r="O2608" s="24" t="n"/>
      <c r="P2608" s="24" t="n"/>
      <c r="Q2608" s="22">
        <f>IF($D2608="","",IF(AND(OR(DANH_MUC!$L$5&lt;&gt;"Có",M2608="Có"),OR(DANH_MUC!$L$6&lt;&gt;"Có",N2608="Có"),OR(DANH_MUC!$L$7&lt;&gt;"Có",O2608="Có"),OR(DANH_MUC!$L$8&lt;&gt;"Có",P2608="Có")),"Có","Không"))</f>
        <v/>
      </c>
      <c r="R2608" s="22">
        <f>IF($D2608="","",IF(COUNTIF($D$2:$D2608,$D2608)&gt;1,"Trùng",""))</f>
        <v/>
      </c>
      <c r="S2608" s="22">
        <f>IF($D2608="","",IF(AND(LEN($D2608)=10,LEFT($D2608,1)="0",ISNUMBER(--$D2608)),"Có","Không"))</f>
        <v/>
      </c>
      <c r="T2608" s="22">
        <f>IF($D2608="","",IF(AND($C2608&lt;&gt;"",$Q2608="Có",$R2608="",$S2608="Có",AND($L2608&lt;&gt;"",OR($L2608&lt;&gt;"Chưa xác định",DANH_MUC!$L$9="Có"))),"Có","Không"))</f>
        <v/>
      </c>
      <c r="U2608" s="22">
        <f>IF(OR($D2608="",$T2608="Có"),"",IF($C2608="","Thiếu họ tên; ","")&amp;IF($S2608&lt;&gt;"Có","SĐT sai định dạng; ","")&amp;IF($R2608="Trùng","Trùng SĐT; ","")&amp;IF($Q2608&lt;&gt;"Có","Thiếu đồng ý bắt buộc; ","")&amp;IF($L2608="","Thiếu/sai Mã REF; ",IF(AND($L2608="Chưa xác định",DANH_MUC!$L$9&lt;&gt;"Có"),"Nguồn chưa xác định; ","")))</f>
        <v/>
      </c>
      <c r="V2608" s="22">
        <f>IF(OR($D2608="",$R2608="Trùng"),"",IF(COUNTIF(ORDERS!$C$2:$C$4995,$D2608)&gt;0,"Có","Không"))</f>
        <v/>
      </c>
      <c r="W2608" s="22">
        <f>IF(OR($D2608="",$R2608="Trùng"),"",COUNTIFS(ORDERS!$C$2:$C$4995,$D2608,ORDERS!$L$2:$L$4995,"Đã chuyển khoản"))</f>
        <v/>
      </c>
      <c r="X2608" s="23">
        <f>IF(OR($D2608="",$R2608="Trùng"),"",SUMIFS(ORDERS!$J$2:$J$4995,ORDERS!$C$2:$C$4995,$D2608,ORDERS!$L$2:$L$4995,"Đã chuyển khoản"))</f>
        <v/>
      </c>
      <c r="Y2608" s="24" t="n"/>
    </row>
    <row r="2609" ht="14.25" customHeight="1" s="40">
      <c r="A2609" s="24" t="n"/>
      <c r="B2609" s="27" t="n"/>
      <c r="C2609" s="24" t="n"/>
      <c r="D2609" s="28" t="n"/>
      <c r="E2609" s="29" t="n"/>
      <c r="F2609" s="24" t="n"/>
      <c r="G2609" s="24" t="n"/>
      <c r="H2609" s="21">
        <f>IF(ISNUMBER($B2609),INT($B2609)-WEEKDAY($B2609,2)+1,"")</f>
        <v/>
      </c>
      <c r="I2609" s="24" t="n"/>
      <c r="J2609" s="22">
        <f t="array" ref="J2609">IF($D2609="","",IF($I2609="","(trống REF)",IFERROR(INDEX(MASTER_SOURCE!$B$2:$B$495,MATCH($I2609,MASTER_SOURCE!$A$2:$A$495,0)),"(REF không có trong MASTER_SOURCE)")))</f>
        <v/>
      </c>
      <c r="K2609" s="22">
        <f t="array" ref="K2609">IF($D2609="","",IFERROR(INDEX(MASTER_SOURCE!$C$2:$C$495,MATCH($I2609,MASTER_SOURCE!$A$2:$A$495,0)),""))</f>
        <v/>
      </c>
      <c r="L2609" s="22">
        <f t="array" ref="L2609">IF($D2609="","",IFERROR(INDEX(MASTER_SOURCE!$D$2:$D$495,MATCH($I2609,MASTER_SOURCE!$A$2:$A$495,0)),""))</f>
        <v/>
      </c>
      <c r="M2609" s="24" t="n"/>
      <c r="N2609" s="24" t="n"/>
      <c r="O2609" s="24" t="n"/>
      <c r="P2609" s="24" t="n"/>
      <c r="Q2609" s="22">
        <f>IF($D2609="","",IF(AND(OR(DANH_MUC!$L$5&lt;&gt;"Có",M2609="Có"),OR(DANH_MUC!$L$6&lt;&gt;"Có",N2609="Có"),OR(DANH_MUC!$L$7&lt;&gt;"Có",O2609="Có"),OR(DANH_MUC!$L$8&lt;&gt;"Có",P2609="Có")),"Có","Không"))</f>
        <v/>
      </c>
      <c r="R2609" s="22">
        <f>IF($D2609="","",IF(COUNTIF($D$2:$D2609,$D2609)&gt;1,"Trùng",""))</f>
        <v/>
      </c>
      <c r="S2609" s="22">
        <f>IF($D2609="","",IF(AND(LEN($D2609)=10,LEFT($D2609,1)="0",ISNUMBER(--$D2609)),"Có","Không"))</f>
        <v/>
      </c>
      <c r="T2609" s="22">
        <f>IF($D2609="","",IF(AND($C2609&lt;&gt;"",$Q2609="Có",$R2609="",$S2609="Có",AND($L2609&lt;&gt;"",OR($L2609&lt;&gt;"Chưa xác định",DANH_MUC!$L$9="Có"))),"Có","Không"))</f>
        <v/>
      </c>
      <c r="U2609" s="22">
        <f>IF(OR($D2609="",$T2609="Có"),"",IF($C2609="","Thiếu họ tên; ","")&amp;IF($S2609&lt;&gt;"Có","SĐT sai định dạng; ","")&amp;IF($R2609="Trùng","Trùng SĐT; ","")&amp;IF($Q2609&lt;&gt;"Có","Thiếu đồng ý bắt buộc; ","")&amp;IF($L2609="","Thiếu/sai Mã REF; ",IF(AND($L2609="Chưa xác định",DANH_MUC!$L$9&lt;&gt;"Có"),"Nguồn chưa xác định; ","")))</f>
        <v/>
      </c>
      <c r="V2609" s="22">
        <f>IF(OR($D2609="",$R2609="Trùng"),"",IF(COUNTIF(ORDERS!$C$2:$C$4995,$D2609)&gt;0,"Có","Không"))</f>
        <v/>
      </c>
      <c r="W2609" s="22">
        <f>IF(OR($D2609="",$R2609="Trùng"),"",COUNTIFS(ORDERS!$C$2:$C$4995,$D2609,ORDERS!$L$2:$L$4995,"Đã chuyển khoản"))</f>
        <v/>
      </c>
      <c r="X2609" s="23">
        <f>IF(OR($D2609="",$R2609="Trùng"),"",SUMIFS(ORDERS!$J$2:$J$4995,ORDERS!$C$2:$C$4995,$D2609,ORDERS!$L$2:$L$4995,"Đã chuyển khoản"))</f>
        <v/>
      </c>
      <c r="Y2609" s="24" t="n"/>
    </row>
    <row r="2610" ht="14.25" customHeight="1" s="40">
      <c r="A2610" s="24" t="n"/>
      <c r="B2610" s="27" t="n"/>
      <c r="C2610" s="24" t="n"/>
      <c r="D2610" s="28" t="n"/>
      <c r="E2610" s="29" t="n"/>
      <c r="F2610" s="24" t="n"/>
      <c r="G2610" s="24" t="n"/>
      <c r="H2610" s="21">
        <f>IF(ISNUMBER($B2610),INT($B2610)-WEEKDAY($B2610,2)+1,"")</f>
        <v/>
      </c>
      <c r="I2610" s="24" t="n"/>
      <c r="J2610" s="22">
        <f t="array" ref="J2610">IF($D2610="","",IF($I2610="","(trống REF)",IFERROR(INDEX(MASTER_SOURCE!$B$2:$B$495,MATCH($I2610,MASTER_SOURCE!$A$2:$A$495,0)),"(REF không có trong MASTER_SOURCE)")))</f>
        <v/>
      </c>
      <c r="K2610" s="22">
        <f t="array" ref="K2610">IF($D2610="","",IFERROR(INDEX(MASTER_SOURCE!$C$2:$C$495,MATCH($I2610,MASTER_SOURCE!$A$2:$A$495,0)),""))</f>
        <v/>
      </c>
      <c r="L2610" s="22">
        <f t="array" ref="L2610">IF($D2610="","",IFERROR(INDEX(MASTER_SOURCE!$D$2:$D$495,MATCH($I2610,MASTER_SOURCE!$A$2:$A$495,0)),""))</f>
        <v/>
      </c>
      <c r="M2610" s="24" t="n"/>
      <c r="N2610" s="24" t="n"/>
      <c r="O2610" s="24" t="n"/>
      <c r="P2610" s="24" t="n"/>
      <c r="Q2610" s="22">
        <f>IF($D2610="","",IF(AND(OR(DANH_MUC!$L$5&lt;&gt;"Có",M2610="Có"),OR(DANH_MUC!$L$6&lt;&gt;"Có",N2610="Có"),OR(DANH_MUC!$L$7&lt;&gt;"Có",O2610="Có"),OR(DANH_MUC!$L$8&lt;&gt;"Có",P2610="Có")),"Có","Không"))</f>
        <v/>
      </c>
      <c r="R2610" s="22">
        <f>IF($D2610="","",IF(COUNTIF($D$2:$D2610,$D2610)&gt;1,"Trùng",""))</f>
        <v/>
      </c>
      <c r="S2610" s="22">
        <f>IF($D2610="","",IF(AND(LEN($D2610)=10,LEFT($D2610,1)="0",ISNUMBER(--$D2610)),"Có","Không"))</f>
        <v/>
      </c>
      <c r="T2610" s="22">
        <f>IF($D2610="","",IF(AND($C2610&lt;&gt;"",$Q2610="Có",$R2610="",$S2610="Có",AND($L2610&lt;&gt;"",OR($L2610&lt;&gt;"Chưa xác định",DANH_MUC!$L$9="Có"))),"Có","Không"))</f>
        <v/>
      </c>
      <c r="U2610" s="22">
        <f>IF(OR($D2610="",$T2610="Có"),"",IF($C2610="","Thiếu họ tên; ","")&amp;IF($S2610&lt;&gt;"Có","SĐT sai định dạng; ","")&amp;IF($R2610="Trùng","Trùng SĐT; ","")&amp;IF($Q2610&lt;&gt;"Có","Thiếu đồng ý bắt buộc; ","")&amp;IF($L2610="","Thiếu/sai Mã REF; ",IF(AND($L2610="Chưa xác định",DANH_MUC!$L$9&lt;&gt;"Có"),"Nguồn chưa xác định; ","")))</f>
        <v/>
      </c>
      <c r="V2610" s="22">
        <f>IF(OR($D2610="",$R2610="Trùng"),"",IF(COUNTIF(ORDERS!$C$2:$C$4995,$D2610)&gt;0,"Có","Không"))</f>
        <v/>
      </c>
      <c r="W2610" s="22">
        <f>IF(OR($D2610="",$R2610="Trùng"),"",COUNTIFS(ORDERS!$C$2:$C$4995,$D2610,ORDERS!$L$2:$L$4995,"Đã chuyển khoản"))</f>
        <v/>
      </c>
      <c r="X2610" s="23">
        <f>IF(OR($D2610="",$R2610="Trùng"),"",SUMIFS(ORDERS!$J$2:$J$4995,ORDERS!$C$2:$C$4995,$D2610,ORDERS!$L$2:$L$4995,"Đã chuyển khoản"))</f>
        <v/>
      </c>
      <c r="Y2610" s="24" t="n"/>
    </row>
    <row r="2611" ht="14.25" customHeight="1" s="40">
      <c r="A2611" s="24" t="n"/>
      <c r="B2611" s="27" t="n"/>
      <c r="C2611" s="24" t="n"/>
      <c r="D2611" s="28" t="n"/>
      <c r="E2611" s="29" t="n"/>
      <c r="F2611" s="24" t="n"/>
      <c r="G2611" s="24" t="n"/>
      <c r="H2611" s="21">
        <f>IF(ISNUMBER($B2611),INT($B2611)-WEEKDAY($B2611,2)+1,"")</f>
        <v/>
      </c>
      <c r="I2611" s="24" t="n"/>
      <c r="J2611" s="22">
        <f t="array" ref="J2611">IF($D2611="","",IF($I2611="","(trống REF)",IFERROR(INDEX(MASTER_SOURCE!$B$2:$B$495,MATCH($I2611,MASTER_SOURCE!$A$2:$A$495,0)),"(REF không có trong MASTER_SOURCE)")))</f>
        <v/>
      </c>
      <c r="K2611" s="22">
        <f t="array" ref="K2611">IF($D2611="","",IFERROR(INDEX(MASTER_SOURCE!$C$2:$C$495,MATCH($I2611,MASTER_SOURCE!$A$2:$A$495,0)),""))</f>
        <v/>
      </c>
      <c r="L2611" s="22">
        <f t="array" ref="L2611">IF($D2611="","",IFERROR(INDEX(MASTER_SOURCE!$D$2:$D$495,MATCH($I2611,MASTER_SOURCE!$A$2:$A$495,0)),""))</f>
        <v/>
      </c>
      <c r="M2611" s="24" t="n"/>
      <c r="N2611" s="24" t="n"/>
      <c r="O2611" s="24" t="n"/>
      <c r="P2611" s="24" t="n"/>
      <c r="Q2611" s="22">
        <f>IF($D2611="","",IF(AND(OR(DANH_MUC!$L$5&lt;&gt;"Có",M2611="Có"),OR(DANH_MUC!$L$6&lt;&gt;"Có",N2611="Có"),OR(DANH_MUC!$L$7&lt;&gt;"Có",O2611="Có"),OR(DANH_MUC!$L$8&lt;&gt;"Có",P2611="Có")),"Có","Không"))</f>
        <v/>
      </c>
      <c r="R2611" s="22">
        <f>IF($D2611="","",IF(COUNTIF($D$2:$D2611,$D2611)&gt;1,"Trùng",""))</f>
        <v/>
      </c>
      <c r="S2611" s="22">
        <f>IF($D2611="","",IF(AND(LEN($D2611)=10,LEFT($D2611,1)="0",ISNUMBER(--$D2611)),"Có","Không"))</f>
        <v/>
      </c>
      <c r="T2611" s="22">
        <f>IF($D2611="","",IF(AND($C2611&lt;&gt;"",$Q2611="Có",$R2611="",$S2611="Có",AND($L2611&lt;&gt;"",OR($L2611&lt;&gt;"Chưa xác định",DANH_MUC!$L$9="Có"))),"Có","Không"))</f>
        <v/>
      </c>
      <c r="U2611" s="22">
        <f>IF(OR($D2611="",$T2611="Có"),"",IF($C2611="","Thiếu họ tên; ","")&amp;IF($S2611&lt;&gt;"Có","SĐT sai định dạng; ","")&amp;IF($R2611="Trùng","Trùng SĐT; ","")&amp;IF($Q2611&lt;&gt;"Có","Thiếu đồng ý bắt buộc; ","")&amp;IF($L2611="","Thiếu/sai Mã REF; ",IF(AND($L2611="Chưa xác định",DANH_MUC!$L$9&lt;&gt;"Có"),"Nguồn chưa xác định; ","")))</f>
        <v/>
      </c>
      <c r="V2611" s="22">
        <f>IF(OR($D2611="",$R2611="Trùng"),"",IF(COUNTIF(ORDERS!$C$2:$C$4995,$D2611)&gt;0,"Có","Không"))</f>
        <v/>
      </c>
      <c r="W2611" s="22">
        <f>IF(OR($D2611="",$R2611="Trùng"),"",COUNTIFS(ORDERS!$C$2:$C$4995,$D2611,ORDERS!$L$2:$L$4995,"Đã chuyển khoản"))</f>
        <v/>
      </c>
      <c r="X2611" s="23">
        <f>IF(OR($D2611="",$R2611="Trùng"),"",SUMIFS(ORDERS!$J$2:$J$4995,ORDERS!$C$2:$C$4995,$D2611,ORDERS!$L$2:$L$4995,"Đã chuyển khoản"))</f>
        <v/>
      </c>
      <c r="Y2611" s="24" t="n"/>
    </row>
    <row r="2612" ht="14.25" customHeight="1" s="40">
      <c r="A2612" s="24" t="n"/>
      <c r="B2612" s="27" t="n"/>
      <c r="C2612" s="24" t="n"/>
      <c r="D2612" s="28" t="n"/>
      <c r="E2612" s="29" t="n"/>
      <c r="F2612" s="24" t="n"/>
      <c r="G2612" s="24" t="n"/>
      <c r="H2612" s="21">
        <f>IF(ISNUMBER($B2612),INT($B2612)-WEEKDAY($B2612,2)+1,"")</f>
        <v/>
      </c>
      <c r="I2612" s="24" t="n"/>
      <c r="J2612" s="22">
        <f t="array" ref="J2612">IF($D2612="","",IF($I2612="","(trống REF)",IFERROR(INDEX(MASTER_SOURCE!$B$2:$B$495,MATCH($I2612,MASTER_SOURCE!$A$2:$A$495,0)),"(REF không có trong MASTER_SOURCE)")))</f>
        <v/>
      </c>
      <c r="K2612" s="22">
        <f t="array" ref="K2612">IF($D2612="","",IFERROR(INDEX(MASTER_SOURCE!$C$2:$C$495,MATCH($I2612,MASTER_SOURCE!$A$2:$A$495,0)),""))</f>
        <v/>
      </c>
      <c r="L2612" s="22">
        <f t="array" ref="L2612">IF($D2612="","",IFERROR(INDEX(MASTER_SOURCE!$D$2:$D$495,MATCH($I2612,MASTER_SOURCE!$A$2:$A$495,0)),""))</f>
        <v/>
      </c>
      <c r="M2612" s="24" t="n"/>
      <c r="N2612" s="24" t="n"/>
      <c r="O2612" s="24" t="n"/>
      <c r="P2612" s="24" t="n"/>
      <c r="Q2612" s="22">
        <f>IF($D2612="","",IF(AND(OR(DANH_MUC!$L$5&lt;&gt;"Có",M2612="Có"),OR(DANH_MUC!$L$6&lt;&gt;"Có",N2612="Có"),OR(DANH_MUC!$L$7&lt;&gt;"Có",O2612="Có"),OR(DANH_MUC!$L$8&lt;&gt;"Có",P2612="Có")),"Có","Không"))</f>
        <v/>
      </c>
      <c r="R2612" s="22">
        <f>IF($D2612="","",IF(COUNTIF($D$2:$D2612,$D2612)&gt;1,"Trùng",""))</f>
        <v/>
      </c>
      <c r="S2612" s="22">
        <f>IF($D2612="","",IF(AND(LEN($D2612)=10,LEFT($D2612,1)="0",ISNUMBER(--$D2612)),"Có","Không"))</f>
        <v/>
      </c>
      <c r="T2612" s="22">
        <f>IF($D2612="","",IF(AND($C2612&lt;&gt;"",$Q2612="Có",$R2612="",$S2612="Có",AND($L2612&lt;&gt;"",OR($L2612&lt;&gt;"Chưa xác định",DANH_MUC!$L$9="Có"))),"Có","Không"))</f>
        <v/>
      </c>
      <c r="U2612" s="22">
        <f>IF(OR($D2612="",$T2612="Có"),"",IF($C2612="","Thiếu họ tên; ","")&amp;IF($S2612&lt;&gt;"Có","SĐT sai định dạng; ","")&amp;IF($R2612="Trùng","Trùng SĐT; ","")&amp;IF($Q2612&lt;&gt;"Có","Thiếu đồng ý bắt buộc; ","")&amp;IF($L2612="","Thiếu/sai Mã REF; ",IF(AND($L2612="Chưa xác định",DANH_MUC!$L$9&lt;&gt;"Có"),"Nguồn chưa xác định; ","")))</f>
        <v/>
      </c>
      <c r="V2612" s="22">
        <f>IF(OR($D2612="",$R2612="Trùng"),"",IF(COUNTIF(ORDERS!$C$2:$C$4995,$D2612)&gt;0,"Có","Không"))</f>
        <v/>
      </c>
      <c r="W2612" s="22">
        <f>IF(OR($D2612="",$R2612="Trùng"),"",COUNTIFS(ORDERS!$C$2:$C$4995,$D2612,ORDERS!$L$2:$L$4995,"Đã chuyển khoản"))</f>
        <v/>
      </c>
      <c r="X2612" s="23">
        <f>IF(OR($D2612="",$R2612="Trùng"),"",SUMIFS(ORDERS!$J$2:$J$4995,ORDERS!$C$2:$C$4995,$D2612,ORDERS!$L$2:$L$4995,"Đã chuyển khoản"))</f>
        <v/>
      </c>
      <c r="Y2612" s="24" t="n"/>
    </row>
    <row r="2613" ht="14.25" customHeight="1" s="40">
      <c r="A2613" s="24" t="n"/>
      <c r="B2613" s="27" t="n"/>
      <c r="C2613" s="24" t="n"/>
      <c r="D2613" s="28" t="n"/>
      <c r="E2613" s="29" t="n"/>
      <c r="F2613" s="24" t="n"/>
      <c r="G2613" s="24" t="n"/>
      <c r="H2613" s="21">
        <f>IF(ISNUMBER($B2613),INT($B2613)-WEEKDAY($B2613,2)+1,"")</f>
        <v/>
      </c>
      <c r="I2613" s="24" t="n"/>
      <c r="J2613" s="22">
        <f t="array" ref="J2613">IF($D2613="","",IF($I2613="","(trống REF)",IFERROR(INDEX(MASTER_SOURCE!$B$2:$B$495,MATCH($I2613,MASTER_SOURCE!$A$2:$A$495,0)),"(REF không có trong MASTER_SOURCE)")))</f>
        <v/>
      </c>
      <c r="K2613" s="22">
        <f t="array" ref="K2613">IF($D2613="","",IFERROR(INDEX(MASTER_SOURCE!$C$2:$C$495,MATCH($I2613,MASTER_SOURCE!$A$2:$A$495,0)),""))</f>
        <v/>
      </c>
      <c r="L2613" s="22">
        <f t="array" ref="L2613">IF($D2613="","",IFERROR(INDEX(MASTER_SOURCE!$D$2:$D$495,MATCH($I2613,MASTER_SOURCE!$A$2:$A$495,0)),""))</f>
        <v/>
      </c>
      <c r="M2613" s="24" t="n"/>
      <c r="N2613" s="24" t="n"/>
      <c r="O2613" s="24" t="n"/>
      <c r="P2613" s="24" t="n"/>
      <c r="Q2613" s="22">
        <f>IF($D2613="","",IF(AND(OR(DANH_MUC!$L$5&lt;&gt;"Có",M2613="Có"),OR(DANH_MUC!$L$6&lt;&gt;"Có",N2613="Có"),OR(DANH_MUC!$L$7&lt;&gt;"Có",O2613="Có"),OR(DANH_MUC!$L$8&lt;&gt;"Có",P2613="Có")),"Có","Không"))</f>
        <v/>
      </c>
      <c r="R2613" s="22">
        <f>IF($D2613="","",IF(COUNTIF($D$2:$D2613,$D2613)&gt;1,"Trùng",""))</f>
        <v/>
      </c>
      <c r="S2613" s="22">
        <f>IF($D2613="","",IF(AND(LEN($D2613)=10,LEFT($D2613,1)="0",ISNUMBER(--$D2613)),"Có","Không"))</f>
        <v/>
      </c>
      <c r="T2613" s="22">
        <f>IF($D2613="","",IF(AND($C2613&lt;&gt;"",$Q2613="Có",$R2613="",$S2613="Có",AND($L2613&lt;&gt;"",OR($L2613&lt;&gt;"Chưa xác định",DANH_MUC!$L$9="Có"))),"Có","Không"))</f>
        <v/>
      </c>
      <c r="U2613" s="22">
        <f>IF(OR($D2613="",$T2613="Có"),"",IF($C2613="","Thiếu họ tên; ","")&amp;IF($S2613&lt;&gt;"Có","SĐT sai định dạng; ","")&amp;IF($R2613="Trùng","Trùng SĐT; ","")&amp;IF($Q2613&lt;&gt;"Có","Thiếu đồng ý bắt buộc; ","")&amp;IF($L2613="","Thiếu/sai Mã REF; ",IF(AND($L2613="Chưa xác định",DANH_MUC!$L$9&lt;&gt;"Có"),"Nguồn chưa xác định; ","")))</f>
        <v/>
      </c>
      <c r="V2613" s="22">
        <f>IF(OR($D2613="",$R2613="Trùng"),"",IF(COUNTIF(ORDERS!$C$2:$C$4995,$D2613)&gt;0,"Có","Không"))</f>
        <v/>
      </c>
      <c r="W2613" s="22">
        <f>IF(OR($D2613="",$R2613="Trùng"),"",COUNTIFS(ORDERS!$C$2:$C$4995,$D2613,ORDERS!$L$2:$L$4995,"Đã chuyển khoản"))</f>
        <v/>
      </c>
      <c r="X2613" s="23">
        <f>IF(OR($D2613="",$R2613="Trùng"),"",SUMIFS(ORDERS!$J$2:$J$4995,ORDERS!$C$2:$C$4995,$D2613,ORDERS!$L$2:$L$4995,"Đã chuyển khoản"))</f>
        <v/>
      </c>
      <c r="Y2613" s="24" t="n"/>
    </row>
    <row r="2614" ht="14.25" customHeight="1" s="40">
      <c r="A2614" s="24" t="n"/>
      <c r="B2614" s="27" t="n"/>
      <c r="C2614" s="24" t="n"/>
      <c r="D2614" s="28" t="n"/>
      <c r="E2614" s="29" t="n"/>
      <c r="F2614" s="24" t="n"/>
      <c r="G2614" s="24" t="n"/>
      <c r="H2614" s="21">
        <f>IF(ISNUMBER($B2614),INT($B2614)-WEEKDAY($B2614,2)+1,"")</f>
        <v/>
      </c>
      <c r="I2614" s="24" t="n"/>
      <c r="J2614" s="22">
        <f t="array" ref="J2614">IF($D2614="","",IF($I2614="","(trống REF)",IFERROR(INDEX(MASTER_SOURCE!$B$2:$B$495,MATCH($I2614,MASTER_SOURCE!$A$2:$A$495,0)),"(REF không có trong MASTER_SOURCE)")))</f>
        <v/>
      </c>
      <c r="K2614" s="22">
        <f t="array" ref="K2614">IF($D2614="","",IFERROR(INDEX(MASTER_SOURCE!$C$2:$C$495,MATCH($I2614,MASTER_SOURCE!$A$2:$A$495,0)),""))</f>
        <v/>
      </c>
      <c r="L2614" s="22">
        <f t="array" ref="L2614">IF($D2614="","",IFERROR(INDEX(MASTER_SOURCE!$D$2:$D$495,MATCH($I2614,MASTER_SOURCE!$A$2:$A$495,0)),""))</f>
        <v/>
      </c>
      <c r="M2614" s="24" t="n"/>
      <c r="N2614" s="24" t="n"/>
      <c r="O2614" s="24" t="n"/>
      <c r="P2614" s="24" t="n"/>
      <c r="Q2614" s="22">
        <f>IF($D2614="","",IF(AND(OR(DANH_MUC!$L$5&lt;&gt;"Có",M2614="Có"),OR(DANH_MUC!$L$6&lt;&gt;"Có",N2614="Có"),OR(DANH_MUC!$L$7&lt;&gt;"Có",O2614="Có"),OR(DANH_MUC!$L$8&lt;&gt;"Có",P2614="Có")),"Có","Không"))</f>
        <v/>
      </c>
      <c r="R2614" s="22">
        <f>IF($D2614="","",IF(COUNTIF($D$2:$D2614,$D2614)&gt;1,"Trùng",""))</f>
        <v/>
      </c>
      <c r="S2614" s="22">
        <f>IF($D2614="","",IF(AND(LEN($D2614)=10,LEFT($D2614,1)="0",ISNUMBER(--$D2614)),"Có","Không"))</f>
        <v/>
      </c>
      <c r="T2614" s="22">
        <f>IF($D2614="","",IF(AND($C2614&lt;&gt;"",$Q2614="Có",$R2614="",$S2614="Có",AND($L2614&lt;&gt;"",OR($L2614&lt;&gt;"Chưa xác định",DANH_MUC!$L$9="Có"))),"Có","Không"))</f>
        <v/>
      </c>
      <c r="U2614" s="22">
        <f>IF(OR($D2614="",$T2614="Có"),"",IF($C2614="","Thiếu họ tên; ","")&amp;IF($S2614&lt;&gt;"Có","SĐT sai định dạng; ","")&amp;IF($R2614="Trùng","Trùng SĐT; ","")&amp;IF($Q2614&lt;&gt;"Có","Thiếu đồng ý bắt buộc; ","")&amp;IF($L2614="","Thiếu/sai Mã REF; ",IF(AND($L2614="Chưa xác định",DANH_MUC!$L$9&lt;&gt;"Có"),"Nguồn chưa xác định; ","")))</f>
        <v/>
      </c>
      <c r="V2614" s="22">
        <f>IF(OR($D2614="",$R2614="Trùng"),"",IF(COUNTIF(ORDERS!$C$2:$C$4995,$D2614)&gt;0,"Có","Không"))</f>
        <v/>
      </c>
      <c r="W2614" s="22">
        <f>IF(OR($D2614="",$R2614="Trùng"),"",COUNTIFS(ORDERS!$C$2:$C$4995,$D2614,ORDERS!$L$2:$L$4995,"Đã chuyển khoản"))</f>
        <v/>
      </c>
      <c r="X2614" s="23">
        <f>IF(OR($D2614="",$R2614="Trùng"),"",SUMIFS(ORDERS!$J$2:$J$4995,ORDERS!$C$2:$C$4995,$D2614,ORDERS!$L$2:$L$4995,"Đã chuyển khoản"))</f>
        <v/>
      </c>
      <c r="Y2614" s="24" t="n"/>
    </row>
    <row r="2615" ht="14.25" customHeight="1" s="40">
      <c r="A2615" s="24" t="n"/>
      <c r="B2615" s="27" t="n"/>
      <c r="C2615" s="24" t="n"/>
      <c r="D2615" s="28" t="n"/>
      <c r="E2615" s="29" t="n"/>
      <c r="F2615" s="24" t="n"/>
      <c r="G2615" s="24" t="n"/>
      <c r="H2615" s="21">
        <f>IF(ISNUMBER($B2615),INT($B2615)-WEEKDAY($B2615,2)+1,"")</f>
        <v/>
      </c>
      <c r="I2615" s="24" t="n"/>
      <c r="J2615" s="22">
        <f t="array" ref="J2615">IF($D2615="","",IF($I2615="","(trống REF)",IFERROR(INDEX(MASTER_SOURCE!$B$2:$B$495,MATCH($I2615,MASTER_SOURCE!$A$2:$A$495,0)),"(REF không có trong MASTER_SOURCE)")))</f>
        <v/>
      </c>
      <c r="K2615" s="22">
        <f t="array" ref="K2615">IF($D2615="","",IFERROR(INDEX(MASTER_SOURCE!$C$2:$C$495,MATCH($I2615,MASTER_SOURCE!$A$2:$A$495,0)),""))</f>
        <v/>
      </c>
      <c r="L2615" s="22">
        <f t="array" ref="L2615">IF($D2615="","",IFERROR(INDEX(MASTER_SOURCE!$D$2:$D$495,MATCH($I2615,MASTER_SOURCE!$A$2:$A$495,0)),""))</f>
        <v/>
      </c>
      <c r="M2615" s="24" t="n"/>
      <c r="N2615" s="24" t="n"/>
      <c r="O2615" s="24" t="n"/>
      <c r="P2615" s="24" t="n"/>
      <c r="Q2615" s="22">
        <f>IF($D2615="","",IF(AND(OR(DANH_MUC!$L$5&lt;&gt;"Có",M2615="Có"),OR(DANH_MUC!$L$6&lt;&gt;"Có",N2615="Có"),OR(DANH_MUC!$L$7&lt;&gt;"Có",O2615="Có"),OR(DANH_MUC!$L$8&lt;&gt;"Có",P2615="Có")),"Có","Không"))</f>
        <v/>
      </c>
      <c r="R2615" s="22">
        <f>IF($D2615="","",IF(COUNTIF($D$2:$D2615,$D2615)&gt;1,"Trùng",""))</f>
        <v/>
      </c>
      <c r="S2615" s="22">
        <f>IF($D2615="","",IF(AND(LEN($D2615)=10,LEFT($D2615,1)="0",ISNUMBER(--$D2615)),"Có","Không"))</f>
        <v/>
      </c>
      <c r="T2615" s="22">
        <f>IF($D2615="","",IF(AND($C2615&lt;&gt;"",$Q2615="Có",$R2615="",$S2615="Có",AND($L2615&lt;&gt;"",OR($L2615&lt;&gt;"Chưa xác định",DANH_MUC!$L$9="Có"))),"Có","Không"))</f>
        <v/>
      </c>
      <c r="U2615" s="22">
        <f>IF(OR($D2615="",$T2615="Có"),"",IF($C2615="","Thiếu họ tên; ","")&amp;IF($S2615&lt;&gt;"Có","SĐT sai định dạng; ","")&amp;IF($R2615="Trùng","Trùng SĐT; ","")&amp;IF($Q2615&lt;&gt;"Có","Thiếu đồng ý bắt buộc; ","")&amp;IF($L2615="","Thiếu/sai Mã REF; ",IF(AND($L2615="Chưa xác định",DANH_MUC!$L$9&lt;&gt;"Có"),"Nguồn chưa xác định; ","")))</f>
        <v/>
      </c>
      <c r="V2615" s="22">
        <f>IF(OR($D2615="",$R2615="Trùng"),"",IF(COUNTIF(ORDERS!$C$2:$C$4995,$D2615)&gt;0,"Có","Không"))</f>
        <v/>
      </c>
      <c r="W2615" s="22">
        <f>IF(OR($D2615="",$R2615="Trùng"),"",COUNTIFS(ORDERS!$C$2:$C$4995,$D2615,ORDERS!$L$2:$L$4995,"Đã chuyển khoản"))</f>
        <v/>
      </c>
      <c r="X2615" s="23">
        <f>IF(OR($D2615="",$R2615="Trùng"),"",SUMIFS(ORDERS!$J$2:$J$4995,ORDERS!$C$2:$C$4995,$D2615,ORDERS!$L$2:$L$4995,"Đã chuyển khoản"))</f>
        <v/>
      </c>
      <c r="Y2615" s="24" t="n"/>
    </row>
    <row r="2616" ht="14.25" customHeight="1" s="40">
      <c r="A2616" s="24" t="n"/>
      <c r="B2616" s="27" t="n"/>
      <c r="C2616" s="24" t="n"/>
      <c r="D2616" s="28" t="n"/>
      <c r="E2616" s="29" t="n"/>
      <c r="F2616" s="24" t="n"/>
      <c r="G2616" s="24" t="n"/>
      <c r="H2616" s="21">
        <f>IF(ISNUMBER($B2616),INT($B2616)-WEEKDAY($B2616,2)+1,"")</f>
        <v/>
      </c>
      <c r="I2616" s="24" t="n"/>
      <c r="J2616" s="22">
        <f t="array" ref="J2616">IF($D2616="","",IF($I2616="","(trống REF)",IFERROR(INDEX(MASTER_SOURCE!$B$2:$B$495,MATCH($I2616,MASTER_SOURCE!$A$2:$A$495,0)),"(REF không có trong MASTER_SOURCE)")))</f>
        <v/>
      </c>
      <c r="K2616" s="22">
        <f t="array" ref="K2616">IF($D2616="","",IFERROR(INDEX(MASTER_SOURCE!$C$2:$C$495,MATCH($I2616,MASTER_SOURCE!$A$2:$A$495,0)),""))</f>
        <v/>
      </c>
      <c r="L2616" s="22">
        <f t="array" ref="L2616">IF($D2616="","",IFERROR(INDEX(MASTER_SOURCE!$D$2:$D$495,MATCH($I2616,MASTER_SOURCE!$A$2:$A$495,0)),""))</f>
        <v/>
      </c>
      <c r="M2616" s="24" t="n"/>
      <c r="N2616" s="24" t="n"/>
      <c r="O2616" s="24" t="n"/>
      <c r="P2616" s="24" t="n"/>
      <c r="Q2616" s="22">
        <f>IF($D2616="","",IF(AND(OR(DANH_MUC!$L$5&lt;&gt;"Có",M2616="Có"),OR(DANH_MUC!$L$6&lt;&gt;"Có",N2616="Có"),OR(DANH_MUC!$L$7&lt;&gt;"Có",O2616="Có"),OR(DANH_MUC!$L$8&lt;&gt;"Có",P2616="Có")),"Có","Không"))</f>
        <v/>
      </c>
      <c r="R2616" s="22">
        <f>IF($D2616="","",IF(COUNTIF($D$2:$D2616,$D2616)&gt;1,"Trùng",""))</f>
        <v/>
      </c>
      <c r="S2616" s="22">
        <f>IF($D2616="","",IF(AND(LEN($D2616)=10,LEFT($D2616,1)="0",ISNUMBER(--$D2616)),"Có","Không"))</f>
        <v/>
      </c>
      <c r="T2616" s="22">
        <f>IF($D2616="","",IF(AND($C2616&lt;&gt;"",$Q2616="Có",$R2616="",$S2616="Có",AND($L2616&lt;&gt;"",OR($L2616&lt;&gt;"Chưa xác định",DANH_MUC!$L$9="Có"))),"Có","Không"))</f>
        <v/>
      </c>
      <c r="U2616" s="22">
        <f>IF(OR($D2616="",$T2616="Có"),"",IF($C2616="","Thiếu họ tên; ","")&amp;IF($S2616&lt;&gt;"Có","SĐT sai định dạng; ","")&amp;IF($R2616="Trùng","Trùng SĐT; ","")&amp;IF($Q2616&lt;&gt;"Có","Thiếu đồng ý bắt buộc; ","")&amp;IF($L2616="","Thiếu/sai Mã REF; ",IF(AND($L2616="Chưa xác định",DANH_MUC!$L$9&lt;&gt;"Có"),"Nguồn chưa xác định; ","")))</f>
        <v/>
      </c>
      <c r="V2616" s="22">
        <f>IF(OR($D2616="",$R2616="Trùng"),"",IF(COUNTIF(ORDERS!$C$2:$C$4995,$D2616)&gt;0,"Có","Không"))</f>
        <v/>
      </c>
      <c r="W2616" s="22">
        <f>IF(OR($D2616="",$R2616="Trùng"),"",COUNTIFS(ORDERS!$C$2:$C$4995,$D2616,ORDERS!$L$2:$L$4995,"Đã chuyển khoản"))</f>
        <v/>
      </c>
      <c r="X2616" s="23">
        <f>IF(OR($D2616="",$R2616="Trùng"),"",SUMIFS(ORDERS!$J$2:$J$4995,ORDERS!$C$2:$C$4995,$D2616,ORDERS!$L$2:$L$4995,"Đã chuyển khoản"))</f>
        <v/>
      </c>
      <c r="Y2616" s="24" t="n"/>
    </row>
    <row r="2617" ht="14.25" customHeight="1" s="40">
      <c r="A2617" s="24" t="n"/>
      <c r="B2617" s="27" t="n"/>
      <c r="C2617" s="24" t="n"/>
      <c r="D2617" s="28" t="n"/>
      <c r="E2617" s="29" t="n"/>
      <c r="F2617" s="24" t="n"/>
      <c r="G2617" s="24" t="n"/>
      <c r="H2617" s="21">
        <f>IF(ISNUMBER($B2617),INT($B2617)-WEEKDAY($B2617,2)+1,"")</f>
        <v/>
      </c>
      <c r="I2617" s="24" t="n"/>
      <c r="J2617" s="22">
        <f t="array" ref="J2617">IF($D2617="","",IF($I2617="","(trống REF)",IFERROR(INDEX(MASTER_SOURCE!$B$2:$B$495,MATCH($I2617,MASTER_SOURCE!$A$2:$A$495,0)),"(REF không có trong MASTER_SOURCE)")))</f>
        <v/>
      </c>
      <c r="K2617" s="22">
        <f t="array" ref="K2617">IF($D2617="","",IFERROR(INDEX(MASTER_SOURCE!$C$2:$C$495,MATCH($I2617,MASTER_SOURCE!$A$2:$A$495,0)),""))</f>
        <v/>
      </c>
      <c r="L2617" s="22">
        <f t="array" ref="L2617">IF($D2617="","",IFERROR(INDEX(MASTER_SOURCE!$D$2:$D$495,MATCH($I2617,MASTER_SOURCE!$A$2:$A$495,0)),""))</f>
        <v/>
      </c>
      <c r="M2617" s="24" t="n"/>
      <c r="N2617" s="24" t="n"/>
      <c r="O2617" s="24" t="n"/>
      <c r="P2617" s="24" t="n"/>
      <c r="Q2617" s="22">
        <f>IF($D2617="","",IF(AND(OR(DANH_MUC!$L$5&lt;&gt;"Có",M2617="Có"),OR(DANH_MUC!$L$6&lt;&gt;"Có",N2617="Có"),OR(DANH_MUC!$L$7&lt;&gt;"Có",O2617="Có"),OR(DANH_MUC!$L$8&lt;&gt;"Có",P2617="Có")),"Có","Không"))</f>
        <v/>
      </c>
      <c r="R2617" s="22">
        <f>IF($D2617="","",IF(COUNTIF($D$2:$D2617,$D2617)&gt;1,"Trùng",""))</f>
        <v/>
      </c>
      <c r="S2617" s="22">
        <f>IF($D2617="","",IF(AND(LEN($D2617)=10,LEFT($D2617,1)="0",ISNUMBER(--$D2617)),"Có","Không"))</f>
        <v/>
      </c>
      <c r="T2617" s="22">
        <f>IF($D2617="","",IF(AND($C2617&lt;&gt;"",$Q2617="Có",$R2617="",$S2617="Có",AND($L2617&lt;&gt;"",OR($L2617&lt;&gt;"Chưa xác định",DANH_MUC!$L$9="Có"))),"Có","Không"))</f>
        <v/>
      </c>
      <c r="U2617" s="22">
        <f>IF(OR($D2617="",$T2617="Có"),"",IF($C2617="","Thiếu họ tên; ","")&amp;IF($S2617&lt;&gt;"Có","SĐT sai định dạng; ","")&amp;IF($R2617="Trùng","Trùng SĐT; ","")&amp;IF($Q2617&lt;&gt;"Có","Thiếu đồng ý bắt buộc; ","")&amp;IF($L2617="","Thiếu/sai Mã REF; ",IF(AND($L2617="Chưa xác định",DANH_MUC!$L$9&lt;&gt;"Có"),"Nguồn chưa xác định; ","")))</f>
        <v/>
      </c>
      <c r="V2617" s="22">
        <f>IF(OR($D2617="",$R2617="Trùng"),"",IF(COUNTIF(ORDERS!$C$2:$C$4995,$D2617)&gt;0,"Có","Không"))</f>
        <v/>
      </c>
      <c r="W2617" s="22">
        <f>IF(OR($D2617="",$R2617="Trùng"),"",COUNTIFS(ORDERS!$C$2:$C$4995,$D2617,ORDERS!$L$2:$L$4995,"Đã chuyển khoản"))</f>
        <v/>
      </c>
      <c r="X2617" s="23">
        <f>IF(OR($D2617="",$R2617="Trùng"),"",SUMIFS(ORDERS!$J$2:$J$4995,ORDERS!$C$2:$C$4995,$D2617,ORDERS!$L$2:$L$4995,"Đã chuyển khoản"))</f>
        <v/>
      </c>
      <c r="Y2617" s="24" t="n"/>
    </row>
    <row r="2618" ht="14.25" customHeight="1" s="40">
      <c r="A2618" s="24" t="n"/>
      <c r="B2618" s="27" t="n"/>
      <c r="C2618" s="24" t="n"/>
      <c r="D2618" s="28" t="n"/>
      <c r="E2618" s="29" t="n"/>
      <c r="F2618" s="24" t="n"/>
      <c r="G2618" s="24" t="n"/>
      <c r="H2618" s="21">
        <f>IF(ISNUMBER($B2618),INT($B2618)-WEEKDAY($B2618,2)+1,"")</f>
        <v/>
      </c>
      <c r="I2618" s="24" t="n"/>
      <c r="J2618" s="22">
        <f t="array" ref="J2618">IF($D2618="","",IF($I2618="","(trống REF)",IFERROR(INDEX(MASTER_SOURCE!$B$2:$B$495,MATCH($I2618,MASTER_SOURCE!$A$2:$A$495,0)),"(REF không có trong MASTER_SOURCE)")))</f>
        <v/>
      </c>
      <c r="K2618" s="22">
        <f t="array" ref="K2618">IF($D2618="","",IFERROR(INDEX(MASTER_SOURCE!$C$2:$C$495,MATCH($I2618,MASTER_SOURCE!$A$2:$A$495,0)),""))</f>
        <v/>
      </c>
      <c r="L2618" s="22">
        <f t="array" ref="L2618">IF($D2618="","",IFERROR(INDEX(MASTER_SOURCE!$D$2:$D$495,MATCH($I2618,MASTER_SOURCE!$A$2:$A$495,0)),""))</f>
        <v/>
      </c>
      <c r="M2618" s="24" t="n"/>
      <c r="N2618" s="24" t="n"/>
      <c r="O2618" s="24" t="n"/>
      <c r="P2618" s="24" t="n"/>
      <c r="Q2618" s="22">
        <f>IF($D2618="","",IF(AND(OR(DANH_MUC!$L$5&lt;&gt;"Có",M2618="Có"),OR(DANH_MUC!$L$6&lt;&gt;"Có",N2618="Có"),OR(DANH_MUC!$L$7&lt;&gt;"Có",O2618="Có"),OR(DANH_MUC!$L$8&lt;&gt;"Có",P2618="Có")),"Có","Không"))</f>
        <v/>
      </c>
      <c r="R2618" s="22">
        <f>IF($D2618="","",IF(COUNTIF($D$2:$D2618,$D2618)&gt;1,"Trùng",""))</f>
        <v/>
      </c>
      <c r="S2618" s="22">
        <f>IF($D2618="","",IF(AND(LEN($D2618)=10,LEFT($D2618,1)="0",ISNUMBER(--$D2618)),"Có","Không"))</f>
        <v/>
      </c>
      <c r="T2618" s="22">
        <f>IF($D2618="","",IF(AND($C2618&lt;&gt;"",$Q2618="Có",$R2618="",$S2618="Có",AND($L2618&lt;&gt;"",OR($L2618&lt;&gt;"Chưa xác định",DANH_MUC!$L$9="Có"))),"Có","Không"))</f>
        <v/>
      </c>
      <c r="U2618" s="22">
        <f>IF(OR($D2618="",$T2618="Có"),"",IF($C2618="","Thiếu họ tên; ","")&amp;IF($S2618&lt;&gt;"Có","SĐT sai định dạng; ","")&amp;IF($R2618="Trùng","Trùng SĐT; ","")&amp;IF($Q2618&lt;&gt;"Có","Thiếu đồng ý bắt buộc; ","")&amp;IF($L2618="","Thiếu/sai Mã REF; ",IF(AND($L2618="Chưa xác định",DANH_MUC!$L$9&lt;&gt;"Có"),"Nguồn chưa xác định; ","")))</f>
        <v/>
      </c>
      <c r="V2618" s="22">
        <f>IF(OR($D2618="",$R2618="Trùng"),"",IF(COUNTIF(ORDERS!$C$2:$C$4995,$D2618)&gt;0,"Có","Không"))</f>
        <v/>
      </c>
      <c r="W2618" s="22">
        <f>IF(OR($D2618="",$R2618="Trùng"),"",COUNTIFS(ORDERS!$C$2:$C$4995,$D2618,ORDERS!$L$2:$L$4995,"Đã chuyển khoản"))</f>
        <v/>
      </c>
      <c r="X2618" s="23">
        <f>IF(OR($D2618="",$R2618="Trùng"),"",SUMIFS(ORDERS!$J$2:$J$4995,ORDERS!$C$2:$C$4995,$D2618,ORDERS!$L$2:$L$4995,"Đã chuyển khoản"))</f>
        <v/>
      </c>
      <c r="Y2618" s="24" t="n"/>
    </row>
    <row r="2619" ht="14.25" customHeight="1" s="40">
      <c r="A2619" s="24" t="n"/>
      <c r="B2619" s="27" t="n"/>
      <c r="C2619" s="24" t="n"/>
      <c r="D2619" s="28" t="n"/>
      <c r="E2619" s="29" t="n"/>
      <c r="F2619" s="24" t="n"/>
      <c r="G2619" s="24" t="n"/>
      <c r="H2619" s="21">
        <f>IF(ISNUMBER($B2619),INT($B2619)-WEEKDAY($B2619,2)+1,"")</f>
        <v/>
      </c>
      <c r="I2619" s="24" t="n"/>
      <c r="J2619" s="22">
        <f t="array" ref="J2619">IF($D2619="","",IF($I2619="","(trống REF)",IFERROR(INDEX(MASTER_SOURCE!$B$2:$B$495,MATCH($I2619,MASTER_SOURCE!$A$2:$A$495,0)),"(REF không có trong MASTER_SOURCE)")))</f>
        <v/>
      </c>
      <c r="K2619" s="22">
        <f t="array" ref="K2619">IF($D2619="","",IFERROR(INDEX(MASTER_SOURCE!$C$2:$C$495,MATCH($I2619,MASTER_SOURCE!$A$2:$A$495,0)),""))</f>
        <v/>
      </c>
      <c r="L2619" s="22">
        <f t="array" ref="L2619">IF($D2619="","",IFERROR(INDEX(MASTER_SOURCE!$D$2:$D$495,MATCH($I2619,MASTER_SOURCE!$A$2:$A$495,0)),""))</f>
        <v/>
      </c>
      <c r="M2619" s="24" t="n"/>
      <c r="N2619" s="24" t="n"/>
      <c r="O2619" s="24" t="n"/>
      <c r="P2619" s="24" t="n"/>
      <c r="Q2619" s="22">
        <f>IF($D2619="","",IF(AND(OR(DANH_MUC!$L$5&lt;&gt;"Có",M2619="Có"),OR(DANH_MUC!$L$6&lt;&gt;"Có",N2619="Có"),OR(DANH_MUC!$L$7&lt;&gt;"Có",O2619="Có"),OR(DANH_MUC!$L$8&lt;&gt;"Có",P2619="Có")),"Có","Không"))</f>
        <v/>
      </c>
      <c r="R2619" s="22">
        <f>IF($D2619="","",IF(COUNTIF($D$2:$D2619,$D2619)&gt;1,"Trùng",""))</f>
        <v/>
      </c>
      <c r="S2619" s="22">
        <f>IF($D2619="","",IF(AND(LEN($D2619)=10,LEFT($D2619,1)="0",ISNUMBER(--$D2619)),"Có","Không"))</f>
        <v/>
      </c>
      <c r="T2619" s="22">
        <f>IF($D2619="","",IF(AND($C2619&lt;&gt;"",$Q2619="Có",$R2619="",$S2619="Có",AND($L2619&lt;&gt;"",OR($L2619&lt;&gt;"Chưa xác định",DANH_MUC!$L$9="Có"))),"Có","Không"))</f>
        <v/>
      </c>
      <c r="U2619" s="22">
        <f>IF(OR($D2619="",$T2619="Có"),"",IF($C2619="","Thiếu họ tên; ","")&amp;IF($S2619&lt;&gt;"Có","SĐT sai định dạng; ","")&amp;IF($R2619="Trùng","Trùng SĐT; ","")&amp;IF($Q2619&lt;&gt;"Có","Thiếu đồng ý bắt buộc; ","")&amp;IF($L2619="","Thiếu/sai Mã REF; ",IF(AND($L2619="Chưa xác định",DANH_MUC!$L$9&lt;&gt;"Có"),"Nguồn chưa xác định; ","")))</f>
        <v/>
      </c>
      <c r="V2619" s="22">
        <f>IF(OR($D2619="",$R2619="Trùng"),"",IF(COUNTIF(ORDERS!$C$2:$C$4995,$D2619)&gt;0,"Có","Không"))</f>
        <v/>
      </c>
      <c r="W2619" s="22">
        <f>IF(OR($D2619="",$R2619="Trùng"),"",COUNTIFS(ORDERS!$C$2:$C$4995,$D2619,ORDERS!$L$2:$L$4995,"Đã chuyển khoản"))</f>
        <v/>
      </c>
      <c r="X2619" s="23">
        <f>IF(OR($D2619="",$R2619="Trùng"),"",SUMIFS(ORDERS!$J$2:$J$4995,ORDERS!$C$2:$C$4995,$D2619,ORDERS!$L$2:$L$4995,"Đã chuyển khoản"))</f>
        <v/>
      </c>
      <c r="Y2619" s="24" t="n"/>
    </row>
    <row r="2620" ht="14.25" customHeight="1" s="40">
      <c r="A2620" s="24" t="n"/>
      <c r="B2620" s="27" t="n"/>
      <c r="C2620" s="24" t="n"/>
      <c r="D2620" s="28" t="n"/>
      <c r="E2620" s="29" t="n"/>
      <c r="F2620" s="24" t="n"/>
      <c r="G2620" s="24" t="n"/>
      <c r="H2620" s="21">
        <f>IF(ISNUMBER($B2620),INT($B2620)-WEEKDAY($B2620,2)+1,"")</f>
        <v/>
      </c>
      <c r="I2620" s="24" t="n"/>
      <c r="J2620" s="22">
        <f t="array" ref="J2620">IF($D2620="","",IF($I2620="","(trống REF)",IFERROR(INDEX(MASTER_SOURCE!$B$2:$B$495,MATCH($I2620,MASTER_SOURCE!$A$2:$A$495,0)),"(REF không có trong MASTER_SOURCE)")))</f>
        <v/>
      </c>
      <c r="K2620" s="22">
        <f t="array" ref="K2620">IF($D2620="","",IFERROR(INDEX(MASTER_SOURCE!$C$2:$C$495,MATCH($I2620,MASTER_SOURCE!$A$2:$A$495,0)),""))</f>
        <v/>
      </c>
      <c r="L2620" s="22">
        <f t="array" ref="L2620">IF($D2620="","",IFERROR(INDEX(MASTER_SOURCE!$D$2:$D$495,MATCH($I2620,MASTER_SOURCE!$A$2:$A$495,0)),""))</f>
        <v/>
      </c>
      <c r="M2620" s="24" t="n"/>
      <c r="N2620" s="24" t="n"/>
      <c r="O2620" s="24" t="n"/>
      <c r="P2620" s="24" t="n"/>
      <c r="Q2620" s="22">
        <f>IF($D2620="","",IF(AND(OR(DANH_MUC!$L$5&lt;&gt;"Có",M2620="Có"),OR(DANH_MUC!$L$6&lt;&gt;"Có",N2620="Có"),OR(DANH_MUC!$L$7&lt;&gt;"Có",O2620="Có"),OR(DANH_MUC!$L$8&lt;&gt;"Có",P2620="Có")),"Có","Không"))</f>
        <v/>
      </c>
      <c r="R2620" s="22">
        <f>IF($D2620="","",IF(COUNTIF($D$2:$D2620,$D2620)&gt;1,"Trùng",""))</f>
        <v/>
      </c>
      <c r="S2620" s="22">
        <f>IF($D2620="","",IF(AND(LEN($D2620)=10,LEFT($D2620,1)="0",ISNUMBER(--$D2620)),"Có","Không"))</f>
        <v/>
      </c>
      <c r="T2620" s="22">
        <f>IF($D2620="","",IF(AND($C2620&lt;&gt;"",$Q2620="Có",$R2620="",$S2620="Có",AND($L2620&lt;&gt;"",OR($L2620&lt;&gt;"Chưa xác định",DANH_MUC!$L$9="Có"))),"Có","Không"))</f>
        <v/>
      </c>
      <c r="U2620" s="22">
        <f>IF(OR($D2620="",$T2620="Có"),"",IF($C2620="","Thiếu họ tên; ","")&amp;IF($S2620&lt;&gt;"Có","SĐT sai định dạng; ","")&amp;IF($R2620="Trùng","Trùng SĐT; ","")&amp;IF($Q2620&lt;&gt;"Có","Thiếu đồng ý bắt buộc; ","")&amp;IF($L2620="","Thiếu/sai Mã REF; ",IF(AND($L2620="Chưa xác định",DANH_MUC!$L$9&lt;&gt;"Có"),"Nguồn chưa xác định; ","")))</f>
        <v/>
      </c>
      <c r="V2620" s="22">
        <f>IF(OR($D2620="",$R2620="Trùng"),"",IF(COUNTIF(ORDERS!$C$2:$C$4995,$D2620)&gt;0,"Có","Không"))</f>
        <v/>
      </c>
      <c r="W2620" s="22">
        <f>IF(OR($D2620="",$R2620="Trùng"),"",COUNTIFS(ORDERS!$C$2:$C$4995,$D2620,ORDERS!$L$2:$L$4995,"Đã chuyển khoản"))</f>
        <v/>
      </c>
      <c r="X2620" s="23">
        <f>IF(OR($D2620="",$R2620="Trùng"),"",SUMIFS(ORDERS!$J$2:$J$4995,ORDERS!$C$2:$C$4995,$D2620,ORDERS!$L$2:$L$4995,"Đã chuyển khoản"))</f>
        <v/>
      </c>
      <c r="Y2620" s="24" t="n"/>
    </row>
    <row r="2621" ht="14.25" customHeight="1" s="40">
      <c r="A2621" s="24" t="n"/>
      <c r="B2621" s="27" t="n"/>
      <c r="C2621" s="24" t="n"/>
      <c r="D2621" s="28" t="n"/>
      <c r="E2621" s="29" t="n"/>
      <c r="F2621" s="24" t="n"/>
      <c r="G2621" s="24" t="n"/>
      <c r="H2621" s="21">
        <f>IF(ISNUMBER($B2621),INT($B2621)-WEEKDAY($B2621,2)+1,"")</f>
        <v/>
      </c>
      <c r="I2621" s="24" t="n"/>
      <c r="J2621" s="22">
        <f t="array" ref="J2621">IF($D2621="","",IF($I2621="","(trống REF)",IFERROR(INDEX(MASTER_SOURCE!$B$2:$B$495,MATCH($I2621,MASTER_SOURCE!$A$2:$A$495,0)),"(REF không có trong MASTER_SOURCE)")))</f>
        <v/>
      </c>
      <c r="K2621" s="22">
        <f t="array" ref="K2621">IF($D2621="","",IFERROR(INDEX(MASTER_SOURCE!$C$2:$C$495,MATCH($I2621,MASTER_SOURCE!$A$2:$A$495,0)),""))</f>
        <v/>
      </c>
      <c r="L2621" s="22">
        <f t="array" ref="L2621">IF($D2621="","",IFERROR(INDEX(MASTER_SOURCE!$D$2:$D$495,MATCH($I2621,MASTER_SOURCE!$A$2:$A$495,0)),""))</f>
        <v/>
      </c>
      <c r="M2621" s="24" t="n"/>
      <c r="N2621" s="24" t="n"/>
      <c r="O2621" s="24" t="n"/>
      <c r="P2621" s="24" t="n"/>
      <c r="Q2621" s="22">
        <f>IF($D2621="","",IF(AND(OR(DANH_MUC!$L$5&lt;&gt;"Có",M2621="Có"),OR(DANH_MUC!$L$6&lt;&gt;"Có",N2621="Có"),OR(DANH_MUC!$L$7&lt;&gt;"Có",O2621="Có"),OR(DANH_MUC!$L$8&lt;&gt;"Có",P2621="Có")),"Có","Không"))</f>
        <v/>
      </c>
      <c r="R2621" s="22">
        <f>IF($D2621="","",IF(COUNTIF($D$2:$D2621,$D2621)&gt;1,"Trùng",""))</f>
        <v/>
      </c>
      <c r="S2621" s="22">
        <f>IF($D2621="","",IF(AND(LEN($D2621)=10,LEFT($D2621,1)="0",ISNUMBER(--$D2621)),"Có","Không"))</f>
        <v/>
      </c>
      <c r="T2621" s="22">
        <f>IF($D2621="","",IF(AND($C2621&lt;&gt;"",$Q2621="Có",$R2621="",$S2621="Có",AND($L2621&lt;&gt;"",OR($L2621&lt;&gt;"Chưa xác định",DANH_MUC!$L$9="Có"))),"Có","Không"))</f>
        <v/>
      </c>
      <c r="U2621" s="22">
        <f>IF(OR($D2621="",$T2621="Có"),"",IF($C2621="","Thiếu họ tên; ","")&amp;IF($S2621&lt;&gt;"Có","SĐT sai định dạng; ","")&amp;IF($R2621="Trùng","Trùng SĐT; ","")&amp;IF($Q2621&lt;&gt;"Có","Thiếu đồng ý bắt buộc; ","")&amp;IF($L2621="","Thiếu/sai Mã REF; ",IF(AND($L2621="Chưa xác định",DANH_MUC!$L$9&lt;&gt;"Có"),"Nguồn chưa xác định; ","")))</f>
        <v/>
      </c>
      <c r="V2621" s="22">
        <f>IF(OR($D2621="",$R2621="Trùng"),"",IF(COUNTIF(ORDERS!$C$2:$C$4995,$D2621)&gt;0,"Có","Không"))</f>
        <v/>
      </c>
      <c r="W2621" s="22">
        <f>IF(OR($D2621="",$R2621="Trùng"),"",COUNTIFS(ORDERS!$C$2:$C$4995,$D2621,ORDERS!$L$2:$L$4995,"Đã chuyển khoản"))</f>
        <v/>
      </c>
      <c r="X2621" s="23">
        <f>IF(OR($D2621="",$R2621="Trùng"),"",SUMIFS(ORDERS!$J$2:$J$4995,ORDERS!$C$2:$C$4995,$D2621,ORDERS!$L$2:$L$4995,"Đã chuyển khoản"))</f>
        <v/>
      </c>
      <c r="Y2621" s="24" t="n"/>
    </row>
    <row r="2622" ht="14.25" customHeight="1" s="40">
      <c r="A2622" s="24" t="n"/>
      <c r="B2622" s="27" t="n"/>
      <c r="C2622" s="24" t="n"/>
      <c r="D2622" s="28" t="n"/>
      <c r="E2622" s="29" t="n"/>
      <c r="F2622" s="24" t="n"/>
      <c r="G2622" s="24" t="n"/>
      <c r="H2622" s="21">
        <f>IF(ISNUMBER($B2622),INT($B2622)-WEEKDAY($B2622,2)+1,"")</f>
        <v/>
      </c>
      <c r="I2622" s="24" t="n"/>
      <c r="J2622" s="22">
        <f t="array" ref="J2622">IF($D2622="","",IF($I2622="","(trống REF)",IFERROR(INDEX(MASTER_SOURCE!$B$2:$B$495,MATCH($I2622,MASTER_SOURCE!$A$2:$A$495,0)),"(REF không có trong MASTER_SOURCE)")))</f>
        <v/>
      </c>
      <c r="K2622" s="22">
        <f t="array" ref="K2622">IF($D2622="","",IFERROR(INDEX(MASTER_SOURCE!$C$2:$C$495,MATCH($I2622,MASTER_SOURCE!$A$2:$A$495,0)),""))</f>
        <v/>
      </c>
      <c r="L2622" s="22">
        <f t="array" ref="L2622">IF($D2622="","",IFERROR(INDEX(MASTER_SOURCE!$D$2:$D$495,MATCH($I2622,MASTER_SOURCE!$A$2:$A$495,0)),""))</f>
        <v/>
      </c>
      <c r="M2622" s="24" t="n"/>
      <c r="N2622" s="24" t="n"/>
      <c r="O2622" s="24" t="n"/>
      <c r="P2622" s="24" t="n"/>
      <c r="Q2622" s="22">
        <f>IF($D2622="","",IF(AND(OR(DANH_MUC!$L$5&lt;&gt;"Có",M2622="Có"),OR(DANH_MUC!$L$6&lt;&gt;"Có",N2622="Có"),OR(DANH_MUC!$L$7&lt;&gt;"Có",O2622="Có"),OR(DANH_MUC!$L$8&lt;&gt;"Có",P2622="Có")),"Có","Không"))</f>
        <v/>
      </c>
      <c r="R2622" s="22">
        <f>IF($D2622="","",IF(COUNTIF($D$2:$D2622,$D2622)&gt;1,"Trùng",""))</f>
        <v/>
      </c>
      <c r="S2622" s="22">
        <f>IF($D2622="","",IF(AND(LEN($D2622)=10,LEFT($D2622,1)="0",ISNUMBER(--$D2622)),"Có","Không"))</f>
        <v/>
      </c>
      <c r="T2622" s="22">
        <f>IF($D2622="","",IF(AND($C2622&lt;&gt;"",$Q2622="Có",$R2622="",$S2622="Có",AND($L2622&lt;&gt;"",OR($L2622&lt;&gt;"Chưa xác định",DANH_MUC!$L$9="Có"))),"Có","Không"))</f>
        <v/>
      </c>
      <c r="U2622" s="22">
        <f>IF(OR($D2622="",$T2622="Có"),"",IF($C2622="","Thiếu họ tên; ","")&amp;IF($S2622&lt;&gt;"Có","SĐT sai định dạng; ","")&amp;IF($R2622="Trùng","Trùng SĐT; ","")&amp;IF($Q2622&lt;&gt;"Có","Thiếu đồng ý bắt buộc; ","")&amp;IF($L2622="","Thiếu/sai Mã REF; ",IF(AND($L2622="Chưa xác định",DANH_MUC!$L$9&lt;&gt;"Có"),"Nguồn chưa xác định; ","")))</f>
        <v/>
      </c>
      <c r="V2622" s="22">
        <f>IF(OR($D2622="",$R2622="Trùng"),"",IF(COUNTIF(ORDERS!$C$2:$C$4995,$D2622)&gt;0,"Có","Không"))</f>
        <v/>
      </c>
      <c r="W2622" s="22">
        <f>IF(OR($D2622="",$R2622="Trùng"),"",COUNTIFS(ORDERS!$C$2:$C$4995,$D2622,ORDERS!$L$2:$L$4995,"Đã chuyển khoản"))</f>
        <v/>
      </c>
      <c r="X2622" s="23">
        <f>IF(OR($D2622="",$R2622="Trùng"),"",SUMIFS(ORDERS!$J$2:$J$4995,ORDERS!$C$2:$C$4995,$D2622,ORDERS!$L$2:$L$4995,"Đã chuyển khoản"))</f>
        <v/>
      </c>
      <c r="Y2622" s="24" t="n"/>
    </row>
    <row r="2623" ht="14.25" customHeight="1" s="40">
      <c r="A2623" s="24" t="n"/>
      <c r="B2623" s="27" t="n"/>
      <c r="C2623" s="24" t="n"/>
      <c r="D2623" s="28" t="n"/>
      <c r="E2623" s="29" t="n"/>
      <c r="F2623" s="24" t="n"/>
      <c r="G2623" s="24" t="n"/>
      <c r="H2623" s="21">
        <f>IF(ISNUMBER($B2623),INT($B2623)-WEEKDAY($B2623,2)+1,"")</f>
        <v/>
      </c>
      <c r="I2623" s="24" t="n"/>
      <c r="J2623" s="22">
        <f t="array" ref="J2623">IF($D2623="","",IF($I2623="","(trống REF)",IFERROR(INDEX(MASTER_SOURCE!$B$2:$B$495,MATCH($I2623,MASTER_SOURCE!$A$2:$A$495,0)),"(REF không có trong MASTER_SOURCE)")))</f>
        <v/>
      </c>
      <c r="K2623" s="22">
        <f t="array" ref="K2623">IF($D2623="","",IFERROR(INDEX(MASTER_SOURCE!$C$2:$C$495,MATCH($I2623,MASTER_SOURCE!$A$2:$A$495,0)),""))</f>
        <v/>
      </c>
      <c r="L2623" s="22">
        <f t="array" ref="L2623">IF($D2623="","",IFERROR(INDEX(MASTER_SOURCE!$D$2:$D$495,MATCH($I2623,MASTER_SOURCE!$A$2:$A$495,0)),""))</f>
        <v/>
      </c>
      <c r="M2623" s="24" t="n"/>
      <c r="N2623" s="24" t="n"/>
      <c r="O2623" s="24" t="n"/>
      <c r="P2623" s="24" t="n"/>
      <c r="Q2623" s="22">
        <f>IF($D2623="","",IF(AND(OR(DANH_MUC!$L$5&lt;&gt;"Có",M2623="Có"),OR(DANH_MUC!$L$6&lt;&gt;"Có",N2623="Có"),OR(DANH_MUC!$L$7&lt;&gt;"Có",O2623="Có"),OR(DANH_MUC!$L$8&lt;&gt;"Có",P2623="Có")),"Có","Không"))</f>
        <v/>
      </c>
      <c r="R2623" s="22">
        <f>IF($D2623="","",IF(COUNTIF($D$2:$D2623,$D2623)&gt;1,"Trùng",""))</f>
        <v/>
      </c>
      <c r="S2623" s="22">
        <f>IF($D2623="","",IF(AND(LEN($D2623)=10,LEFT($D2623,1)="0",ISNUMBER(--$D2623)),"Có","Không"))</f>
        <v/>
      </c>
      <c r="T2623" s="22">
        <f>IF($D2623="","",IF(AND($C2623&lt;&gt;"",$Q2623="Có",$R2623="",$S2623="Có",AND($L2623&lt;&gt;"",OR($L2623&lt;&gt;"Chưa xác định",DANH_MUC!$L$9="Có"))),"Có","Không"))</f>
        <v/>
      </c>
      <c r="U2623" s="22">
        <f>IF(OR($D2623="",$T2623="Có"),"",IF($C2623="","Thiếu họ tên; ","")&amp;IF($S2623&lt;&gt;"Có","SĐT sai định dạng; ","")&amp;IF($R2623="Trùng","Trùng SĐT; ","")&amp;IF($Q2623&lt;&gt;"Có","Thiếu đồng ý bắt buộc; ","")&amp;IF($L2623="","Thiếu/sai Mã REF; ",IF(AND($L2623="Chưa xác định",DANH_MUC!$L$9&lt;&gt;"Có"),"Nguồn chưa xác định; ","")))</f>
        <v/>
      </c>
      <c r="V2623" s="22">
        <f>IF(OR($D2623="",$R2623="Trùng"),"",IF(COUNTIF(ORDERS!$C$2:$C$4995,$D2623)&gt;0,"Có","Không"))</f>
        <v/>
      </c>
      <c r="W2623" s="22">
        <f>IF(OR($D2623="",$R2623="Trùng"),"",COUNTIFS(ORDERS!$C$2:$C$4995,$D2623,ORDERS!$L$2:$L$4995,"Đã chuyển khoản"))</f>
        <v/>
      </c>
      <c r="X2623" s="23">
        <f>IF(OR($D2623="",$R2623="Trùng"),"",SUMIFS(ORDERS!$J$2:$J$4995,ORDERS!$C$2:$C$4995,$D2623,ORDERS!$L$2:$L$4995,"Đã chuyển khoản"))</f>
        <v/>
      </c>
      <c r="Y2623" s="24" t="n"/>
    </row>
    <row r="2624" ht="14.25" customHeight="1" s="40">
      <c r="A2624" s="24" t="n"/>
      <c r="B2624" s="27" t="n"/>
      <c r="C2624" s="24" t="n"/>
      <c r="D2624" s="28" t="n"/>
      <c r="E2624" s="29" t="n"/>
      <c r="F2624" s="24" t="n"/>
      <c r="G2624" s="24" t="n"/>
      <c r="H2624" s="21">
        <f>IF(ISNUMBER($B2624),INT($B2624)-WEEKDAY($B2624,2)+1,"")</f>
        <v/>
      </c>
      <c r="I2624" s="24" t="n"/>
      <c r="J2624" s="22">
        <f t="array" ref="J2624">IF($D2624="","",IF($I2624="","(trống REF)",IFERROR(INDEX(MASTER_SOURCE!$B$2:$B$495,MATCH($I2624,MASTER_SOURCE!$A$2:$A$495,0)),"(REF không có trong MASTER_SOURCE)")))</f>
        <v/>
      </c>
      <c r="K2624" s="22">
        <f t="array" ref="K2624">IF($D2624="","",IFERROR(INDEX(MASTER_SOURCE!$C$2:$C$495,MATCH($I2624,MASTER_SOURCE!$A$2:$A$495,0)),""))</f>
        <v/>
      </c>
      <c r="L2624" s="22">
        <f t="array" ref="L2624">IF($D2624="","",IFERROR(INDEX(MASTER_SOURCE!$D$2:$D$495,MATCH($I2624,MASTER_SOURCE!$A$2:$A$495,0)),""))</f>
        <v/>
      </c>
      <c r="M2624" s="24" t="n"/>
      <c r="N2624" s="24" t="n"/>
      <c r="O2624" s="24" t="n"/>
      <c r="P2624" s="24" t="n"/>
      <c r="Q2624" s="22">
        <f>IF($D2624="","",IF(AND(OR(DANH_MUC!$L$5&lt;&gt;"Có",M2624="Có"),OR(DANH_MUC!$L$6&lt;&gt;"Có",N2624="Có"),OR(DANH_MUC!$L$7&lt;&gt;"Có",O2624="Có"),OR(DANH_MUC!$L$8&lt;&gt;"Có",P2624="Có")),"Có","Không"))</f>
        <v/>
      </c>
      <c r="R2624" s="22">
        <f>IF($D2624="","",IF(COUNTIF($D$2:$D2624,$D2624)&gt;1,"Trùng",""))</f>
        <v/>
      </c>
      <c r="S2624" s="22">
        <f>IF($D2624="","",IF(AND(LEN($D2624)=10,LEFT($D2624,1)="0",ISNUMBER(--$D2624)),"Có","Không"))</f>
        <v/>
      </c>
      <c r="T2624" s="22">
        <f>IF($D2624="","",IF(AND($C2624&lt;&gt;"",$Q2624="Có",$R2624="",$S2624="Có",AND($L2624&lt;&gt;"",OR($L2624&lt;&gt;"Chưa xác định",DANH_MUC!$L$9="Có"))),"Có","Không"))</f>
        <v/>
      </c>
      <c r="U2624" s="22">
        <f>IF(OR($D2624="",$T2624="Có"),"",IF($C2624="","Thiếu họ tên; ","")&amp;IF($S2624&lt;&gt;"Có","SĐT sai định dạng; ","")&amp;IF($R2624="Trùng","Trùng SĐT; ","")&amp;IF($Q2624&lt;&gt;"Có","Thiếu đồng ý bắt buộc; ","")&amp;IF($L2624="","Thiếu/sai Mã REF; ",IF(AND($L2624="Chưa xác định",DANH_MUC!$L$9&lt;&gt;"Có"),"Nguồn chưa xác định; ","")))</f>
        <v/>
      </c>
      <c r="V2624" s="22">
        <f>IF(OR($D2624="",$R2624="Trùng"),"",IF(COUNTIF(ORDERS!$C$2:$C$4995,$D2624)&gt;0,"Có","Không"))</f>
        <v/>
      </c>
      <c r="W2624" s="22">
        <f>IF(OR($D2624="",$R2624="Trùng"),"",COUNTIFS(ORDERS!$C$2:$C$4995,$D2624,ORDERS!$L$2:$L$4995,"Đã chuyển khoản"))</f>
        <v/>
      </c>
      <c r="X2624" s="23">
        <f>IF(OR($D2624="",$R2624="Trùng"),"",SUMIFS(ORDERS!$J$2:$J$4995,ORDERS!$C$2:$C$4995,$D2624,ORDERS!$L$2:$L$4995,"Đã chuyển khoản"))</f>
        <v/>
      </c>
      <c r="Y2624" s="24" t="n"/>
    </row>
    <row r="2625" ht="14.25" customHeight="1" s="40">
      <c r="A2625" s="24" t="n"/>
      <c r="B2625" s="27" t="n"/>
      <c r="C2625" s="24" t="n"/>
      <c r="D2625" s="28" t="n"/>
      <c r="E2625" s="29" t="n"/>
      <c r="F2625" s="24" t="n"/>
      <c r="G2625" s="24" t="n"/>
      <c r="H2625" s="21">
        <f>IF(ISNUMBER($B2625),INT($B2625)-WEEKDAY($B2625,2)+1,"")</f>
        <v/>
      </c>
      <c r="I2625" s="24" t="n"/>
      <c r="J2625" s="22">
        <f t="array" ref="J2625">IF($D2625="","",IF($I2625="","(trống REF)",IFERROR(INDEX(MASTER_SOURCE!$B$2:$B$495,MATCH($I2625,MASTER_SOURCE!$A$2:$A$495,0)),"(REF không có trong MASTER_SOURCE)")))</f>
        <v/>
      </c>
      <c r="K2625" s="22">
        <f t="array" ref="K2625">IF($D2625="","",IFERROR(INDEX(MASTER_SOURCE!$C$2:$C$495,MATCH($I2625,MASTER_SOURCE!$A$2:$A$495,0)),""))</f>
        <v/>
      </c>
      <c r="L2625" s="22">
        <f t="array" ref="L2625">IF($D2625="","",IFERROR(INDEX(MASTER_SOURCE!$D$2:$D$495,MATCH($I2625,MASTER_SOURCE!$A$2:$A$495,0)),""))</f>
        <v/>
      </c>
      <c r="M2625" s="24" t="n"/>
      <c r="N2625" s="24" t="n"/>
      <c r="O2625" s="24" t="n"/>
      <c r="P2625" s="24" t="n"/>
      <c r="Q2625" s="22">
        <f>IF($D2625="","",IF(AND(OR(DANH_MUC!$L$5&lt;&gt;"Có",M2625="Có"),OR(DANH_MUC!$L$6&lt;&gt;"Có",N2625="Có"),OR(DANH_MUC!$L$7&lt;&gt;"Có",O2625="Có"),OR(DANH_MUC!$L$8&lt;&gt;"Có",P2625="Có")),"Có","Không"))</f>
        <v/>
      </c>
      <c r="R2625" s="22">
        <f>IF($D2625="","",IF(COUNTIF($D$2:$D2625,$D2625)&gt;1,"Trùng",""))</f>
        <v/>
      </c>
      <c r="S2625" s="22">
        <f>IF($D2625="","",IF(AND(LEN($D2625)=10,LEFT($D2625,1)="0",ISNUMBER(--$D2625)),"Có","Không"))</f>
        <v/>
      </c>
      <c r="T2625" s="22">
        <f>IF($D2625="","",IF(AND($C2625&lt;&gt;"",$Q2625="Có",$R2625="",$S2625="Có",AND($L2625&lt;&gt;"",OR($L2625&lt;&gt;"Chưa xác định",DANH_MUC!$L$9="Có"))),"Có","Không"))</f>
        <v/>
      </c>
      <c r="U2625" s="22">
        <f>IF(OR($D2625="",$T2625="Có"),"",IF($C2625="","Thiếu họ tên; ","")&amp;IF($S2625&lt;&gt;"Có","SĐT sai định dạng; ","")&amp;IF($R2625="Trùng","Trùng SĐT; ","")&amp;IF($Q2625&lt;&gt;"Có","Thiếu đồng ý bắt buộc; ","")&amp;IF($L2625="","Thiếu/sai Mã REF; ",IF(AND($L2625="Chưa xác định",DANH_MUC!$L$9&lt;&gt;"Có"),"Nguồn chưa xác định; ","")))</f>
        <v/>
      </c>
      <c r="V2625" s="22">
        <f>IF(OR($D2625="",$R2625="Trùng"),"",IF(COUNTIF(ORDERS!$C$2:$C$4995,$D2625)&gt;0,"Có","Không"))</f>
        <v/>
      </c>
      <c r="W2625" s="22">
        <f>IF(OR($D2625="",$R2625="Trùng"),"",COUNTIFS(ORDERS!$C$2:$C$4995,$D2625,ORDERS!$L$2:$L$4995,"Đã chuyển khoản"))</f>
        <v/>
      </c>
      <c r="X2625" s="23">
        <f>IF(OR($D2625="",$R2625="Trùng"),"",SUMIFS(ORDERS!$J$2:$J$4995,ORDERS!$C$2:$C$4995,$D2625,ORDERS!$L$2:$L$4995,"Đã chuyển khoản"))</f>
        <v/>
      </c>
      <c r="Y2625" s="24" t="n"/>
    </row>
    <row r="2626" ht="14.25" customHeight="1" s="40">
      <c r="A2626" s="24" t="n"/>
      <c r="B2626" s="27" t="n"/>
      <c r="C2626" s="24" t="n"/>
      <c r="D2626" s="28" t="n"/>
      <c r="E2626" s="29" t="n"/>
      <c r="F2626" s="24" t="n"/>
      <c r="G2626" s="24" t="n"/>
      <c r="H2626" s="21">
        <f>IF(ISNUMBER($B2626),INT($B2626)-WEEKDAY($B2626,2)+1,"")</f>
        <v/>
      </c>
      <c r="I2626" s="24" t="n"/>
      <c r="J2626" s="22">
        <f t="array" ref="J2626">IF($D2626="","",IF($I2626="","(trống REF)",IFERROR(INDEX(MASTER_SOURCE!$B$2:$B$495,MATCH($I2626,MASTER_SOURCE!$A$2:$A$495,0)),"(REF không có trong MASTER_SOURCE)")))</f>
        <v/>
      </c>
      <c r="K2626" s="22">
        <f t="array" ref="K2626">IF($D2626="","",IFERROR(INDEX(MASTER_SOURCE!$C$2:$C$495,MATCH($I2626,MASTER_SOURCE!$A$2:$A$495,0)),""))</f>
        <v/>
      </c>
      <c r="L2626" s="22">
        <f t="array" ref="L2626">IF($D2626="","",IFERROR(INDEX(MASTER_SOURCE!$D$2:$D$495,MATCH($I2626,MASTER_SOURCE!$A$2:$A$495,0)),""))</f>
        <v/>
      </c>
      <c r="M2626" s="24" t="n"/>
      <c r="N2626" s="24" t="n"/>
      <c r="O2626" s="24" t="n"/>
      <c r="P2626" s="24" t="n"/>
      <c r="Q2626" s="22">
        <f>IF($D2626="","",IF(AND(OR(DANH_MUC!$L$5&lt;&gt;"Có",M2626="Có"),OR(DANH_MUC!$L$6&lt;&gt;"Có",N2626="Có"),OR(DANH_MUC!$L$7&lt;&gt;"Có",O2626="Có"),OR(DANH_MUC!$L$8&lt;&gt;"Có",P2626="Có")),"Có","Không"))</f>
        <v/>
      </c>
      <c r="R2626" s="22">
        <f>IF($D2626="","",IF(COUNTIF($D$2:$D2626,$D2626)&gt;1,"Trùng",""))</f>
        <v/>
      </c>
      <c r="S2626" s="22">
        <f>IF($D2626="","",IF(AND(LEN($D2626)=10,LEFT($D2626,1)="0",ISNUMBER(--$D2626)),"Có","Không"))</f>
        <v/>
      </c>
      <c r="T2626" s="22">
        <f>IF($D2626="","",IF(AND($C2626&lt;&gt;"",$Q2626="Có",$R2626="",$S2626="Có",AND($L2626&lt;&gt;"",OR($L2626&lt;&gt;"Chưa xác định",DANH_MUC!$L$9="Có"))),"Có","Không"))</f>
        <v/>
      </c>
      <c r="U2626" s="22">
        <f>IF(OR($D2626="",$T2626="Có"),"",IF($C2626="","Thiếu họ tên; ","")&amp;IF($S2626&lt;&gt;"Có","SĐT sai định dạng; ","")&amp;IF($R2626="Trùng","Trùng SĐT; ","")&amp;IF($Q2626&lt;&gt;"Có","Thiếu đồng ý bắt buộc; ","")&amp;IF($L2626="","Thiếu/sai Mã REF; ",IF(AND($L2626="Chưa xác định",DANH_MUC!$L$9&lt;&gt;"Có"),"Nguồn chưa xác định; ","")))</f>
        <v/>
      </c>
      <c r="V2626" s="22">
        <f>IF(OR($D2626="",$R2626="Trùng"),"",IF(COUNTIF(ORDERS!$C$2:$C$4995,$D2626)&gt;0,"Có","Không"))</f>
        <v/>
      </c>
      <c r="W2626" s="22">
        <f>IF(OR($D2626="",$R2626="Trùng"),"",COUNTIFS(ORDERS!$C$2:$C$4995,$D2626,ORDERS!$L$2:$L$4995,"Đã chuyển khoản"))</f>
        <v/>
      </c>
      <c r="X2626" s="23">
        <f>IF(OR($D2626="",$R2626="Trùng"),"",SUMIFS(ORDERS!$J$2:$J$4995,ORDERS!$C$2:$C$4995,$D2626,ORDERS!$L$2:$L$4995,"Đã chuyển khoản"))</f>
        <v/>
      </c>
      <c r="Y2626" s="24" t="n"/>
    </row>
    <row r="2627" ht="14.25" customHeight="1" s="40">
      <c r="A2627" s="24" t="n"/>
      <c r="B2627" s="27" t="n"/>
      <c r="C2627" s="24" t="n"/>
      <c r="D2627" s="28" t="n"/>
      <c r="E2627" s="29" t="n"/>
      <c r="F2627" s="24" t="n"/>
      <c r="G2627" s="24" t="n"/>
      <c r="H2627" s="21">
        <f>IF(ISNUMBER($B2627),INT($B2627)-WEEKDAY($B2627,2)+1,"")</f>
        <v/>
      </c>
      <c r="I2627" s="24" t="n"/>
      <c r="J2627" s="22">
        <f t="array" ref="J2627">IF($D2627="","",IF($I2627="","(trống REF)",IFERROR(INDEX(MASTER_SOURCE!$B$2:$B$495,MATCH($I2627,MASTER_SOURCE!$A$2:$A$495,0)),"(REF không có trong MASTER_SOURCE)")))</f>
        <v/>
      </c>
      <c r="K2627" s="22">
        <f t="array" ref="K2627">IF($D2627="","",IFERROR(INDEX(MASTER_SOURCE!$C$2:$C$495,MATCH($I2627,MASTER_SOURCE!$A$2:$A$495,0)),""))</f>
        <v/>
      </c>
      <c r="L2627" s="22">
        <f t="array" ref="L2627">IF($D2627="","",IFERROR(INDEX(MASTER_SOURCE!$D$2:$D$495,MATCH($I2627,MASTER_SOURCE!$A$2:$A$495,0)),""))</f>
        <v/>
      </c>
      <c r="M2627" s="24" t="n"/>
      <c r="N2627" s="24" t="n"/>
      <c r="O2627" s="24" t="n"/>
      <c r="P2627" s="24" t="n"/>
      <c r="Q2627" s="22">
        <f>IF($D2627="","",IF(AND(OR(DANH_MUC!$L$5&lt;&gt;"Có",M2627="Có"),OR(DANH_MUC!$L$6&lt;&gt;"Có",N2627="Có"),OR(DANH_MUC!$L$7&lt;&gt;"Có",O2627="Có"),OR(DANH_MUC!$L$8&lt;&gt;"Có",P2627="Có")),"Có","Không"))</f>
        <v/>
      </c>
      <c r="R2627" s="22">
        <f>IF($D2627="","",IF(COUNTIF($D$2:$D2627,$D2627)&gt;1,"Trùng",""))</f>
        <v/>
      </c>
      <c r="S2627" s="22">
        <f>IF($D2627="","",IF(AND(LEN($D2627)=10,LEFT($D2627,1)="0",ISNUMBER(--$D2627)),"Có","Không"))</f>
        <v/>
      </c>
      <c r="T2627" s="22">
        <f>IF($D2627="","",IF(AND($C2627&lt;&gt;"",$Q2627="Có",$R2627="",$S2627="Có",AND($L2627&lt;&gt;"",OR($L2627&lt;&gt;"Chưa xác định",DANH_MUC!$L$9="Có"))),"Có","Không"))</f>
        <v/>
      </c>
      <c r="U2627" s="22">
        <f>IF(OR($D2627="",$T2627="Có"),"",IF($C2627="","Thiếu họ tên; ","")&amp;IF($S2627&lt;&gt;"Có","SĐT sai định dạng; ","")&amp;IF($R2627="Trùng","Trùng SĐT; ","")&amp;IF($Q2627&lt;&gt;"Có","Thiếu đồng ý bắt buộc; ","")&amp;IF($L2627="","Thiếu/sai Mã REF; ",IF(AND($L2627="Chưa xác định",DANH_MUC!$L$9&lt;&gt;"Có"),"Nguồn chưa xác định; ","")))</f>
        <v/>
      </c>
      <c r="V2627" s="22">
        <f>IF(OR($D2627="",$R2627="Trùng"),"",IF(COUNTIF(ORDERS!$C$2:$C$4995,$D2627)&gt;0,"Có","Không"))</f>
        <v/>
      </c>
      <c r="W2627" s="22">
        <f>IF(OR($D2627="",$R2627="Trùng"),"",COUNTIFS(ORDERS!$C$2:$C$4995,$D2627,ORDERS!$L$2:$L$4995,"Đã chuyển khoản"))</f>
        <v/>
      </c>
      <c r="X2627" s="23">
        <f>IF(OR($D2627="",$R2627="Trùng"),"",SUMIFS(ORDERS!$J$2:$J$4995,ORDERS!$C$2:$C$4995,$D2627,ORDERS!$L$2:$L$4995,"Đã chuyển khoản"))</f>
        <v/>
      </c>
      <c r="Y2627" s="24" t="n"/>
    </row>
    <row r="2628" ht="14.25" customHeight="1" s="40">
      <c r="A2628" s="24" t="n"/>
      <c r="B2628" s="27" t="n"/>
      <c r="C2628" s="24" t="n"/>
      <c r="D2628" s="28" t="n"/>
      <c r="E2628" s="29" t="n"/>
      <c r="F2628" s="24" t="n"/>
      <c r="G2628" s="24" t="n"/>
      <c r="H2628" s="21">
        <f>IF(ISNUMBER($B2628),INT($B2628)-WEEKDAY($B2628,2)+1,"")</f>
        <v/>
      </c>
      <c r="I2628" s="24" t="n"/>
      <c r="J2628" s="22">
        <f t="array" ref="J2628">IF($D2628="","",IF($I2628="","(trống REF)",IFERROR(INDEX(MASTER_SOURCE!$B$2:$B$495,MATCH($I2628,MASTER_SOURCE!$A$2:$A$495,0)),"(REF không có trong MASTER_SOURCE)")))</f>
        <v/>
      </c>
      <c r="K2628" s="22">
        <f t="array" ref="K2628">IF($D2628="","",IFERROR(INDEX(MASTER_SOURCE!$C$2:$C$495,MATCH($I2628,MASTER_SOURCE!$A$2:$A$495,0)),""))</f>
        <v/>
      </c>
      <c r="L2628" s="22">
        <f t="array" ref="L2628">IF($D2628="","",IFERROR(INDEX(MASTER_SOURCE!$D$2:$D$495,MATCH($I2628,MASTER_SOURCE!$A$2:$A$495,0)),""))</f>
        <v/>
      </c>
      <c r="M2628" s="24" t="n"/>
      <c r="N2628" s="24" t="n"/>
      <c r="O2628" s="24" t="n"/>
      <c r="P2628" s="24" t="n"/>
      <c r="Q2628" s="22">
        <f>IF($D2628="","",IF(AND(OR(DANH_MUC!$L$5&lt;&gt;"Có",M2628="Có"),OR(DANH_MUC!$L$6&lt;&gt;"Có",N2628="Có"),OR(DANH_MUC!$L$7&lt;&gt;"Có",O2628="Có"),OR(DANH_MUC!$L$8&lt;&gt;"Có",P2628="Có")),"Có","Không"))</f>
        <v/>
      </c>
      <c r="R2628" s="22">
        <f>IF($D2628="","",IF(COUNTIF($D$2:$D2628,$D2628)&gt;1,"Trùng",""))</f>
        <v/>
      </c>
      <c r="S2628" s="22">
        <f>IF($D2628="","",IF(AND(LEN($D2628)=10,LEFT($D2628,1)="0",ISNUMBER(--$D2628)),"Có","Không"))</f>
        <v/>
      </c>
      <c r="T2628" s="22">
        <f>IF($D2628="","",IF(AND($C2628&lt;&gt;"",$Q2628="Có",$R2628="",$S2628="Có",AND($L2628&lt;&gt;"",OR($L2628&lt;&gt;"Chưa xác định",DANH_MUC!$L$9="Có"))),"Có","Không"))</f>
        <v/>
      </c>
      <c r="U2628" s="22">
        <f>IF(OR($D2628="",$T2628="Có"),"",IF($C2628="","Thiếu họ tên; ","")&amp;IF($S2628&lt;&gt;"Có","SĐT sai định dạng; ","")&amp;IF($R2628="Trùng","Trùng SĐT; ","")&amp;IF($Q2628&lt;&gt;"Có","Thiếu đồng ý bắt buộc; ","")&amp;IF($L2628="","Thiếu/sai Mã REF; ",IF(AND($L2628="Chưa xác định",DANH_MUC!$L$9&lt;&gt;"Có"),"Nguồn chưa xác định; ","")))</f>
        <v/>
      </c>
      <c r="V2628" s="22">
        <f>IF(OR($D2628="",$R2628="Trùng"),"",IF(COUNTIF(ORDERS!$C$2:$C$4995,$D2628)&gt;0,"Có","Không"))</f>
        <v/>
      </c>
      <c r="W2628" s="22">
        <f>IF(OR($D2628="",$R2628="Trùng"),"",COUNTIFS(ORDERS!$C$2:$C$4995,$D2628,ORDERS!$L$2:$L$4995,"Đã chuyển khoản"))</f>
        <v/>
      </c>
      <c r="X2628" s="23">
        <f>IF(OR($D2628="",$R2628="Trùng"),"",SUMIFS(ORDERS!$J$2:$J$4995,ORDERS!$C$2:$C$4995,$D2628,ORDERS!$L$2:$L$4995,"Đã chuyển khoản"))</f>
        <v/>
      </c>
      <c r="Y2628" s="24" t="n"/>
    </row>
    <row r="2629" ht="14.25" customHeight="1" s="40">
      <c r="A2629" s="24" t="n"/>
      <c r="B2629" s="27" t="n"/>
      <c r="C2629" s="24" t="n"/>
      <c r="D2629" s="28" t="n"/>
      <c r="E2629" s="29" t="n"/>
      <c r="F2629" s="24" t="n"/>
      <c r="G2629" s="24" t="n"/>
      <c r="H2629" s="21">
        <f>IF(ISNUMBER($B2629),INT($B2629)-WEEKDAY($B2629,2)+1,"")</f>
        <v/>
      </c>
      <c r="I2629" s="24" t="n"/>
      <c r="J2629" s="22">
        <f t="array" ref="J2629">IF($D2629="","",IF($I2629="","(trống REF)",IFERROR(INDEX(MASTER_SOURCE!$B$2:$B$495,MATCH($I2629,MASTER_SOURCE!$A$2:$A$495,0)),"(REF không có trong MASTER_SOURCE)")))</f>
        <v/>
      </c>
      <c r="K2629" s="22">
        <f t="array" ref="K2629">IF($D2629="","",IFERROR(INDEX(MASTER_SOURCE!$C$2:$C$495,MATCH($I2629,MASTER_SOURCE!$A$2:$A$495,0)),""))</f>
        <v/>
      </c>
      <c r="L2629" s="22">
        <f t="array" ref="L2629">IF($D2629="","",IFERROR(INDEX(MASTER_SOURCE!$D$2:$D$495,MATCH($I2629,MASTER_SOURCE!$A$2:$A$495,0)),""))</f>
        <v/>
      </c>
      <c r="M2629" s="24" t="n"/>
      <c r="N2629" s="24" t="n"/>
      <c r="O2629" s="24" t="n"/>
      <c r="P2629" s="24" t="n"/>
      <c r="Q2629" s="22">
        <f>IF($D2629="","",IF(AND(OR(DANH_MUC!$L$5&lt;&gt;"Có",M2629="Có"),OR(DANH_MUC!$L$6&lt;&gt;"Có",N2629="Có"),OR(DANH_MUC!$L$7&lt;&gt;"Có",O2629="Có"),OR(DANH_MUC!$L$8&lt;&gt;"Có",P2629="Có")),"Có","Không"))</f>
        <v/>
      </c>
      <c r="R2629" s="22">
        <f>IF($D2629="","",IF(COUNTIF($D$2:$D2629,$D2629)&gt;1,"Trùng",""))</f>
        <v/>
      </c>
      <c r="S2629" s="22">
        <f>IF($D2629="","",IF(AND(LEN($D2629)=10,LEFT($D2629,1)="0",ISNUMBER(--$D2629)),"Có","Không"))</f>
        <v/>
      </c>
      <c r="T2629" s="22">
        <f>IF($D2629="","",IF(AND($C2629&lt;&gt;"",$Q2629="Có",$R2629="",$S2629="Có",AND($L2629&lt;&gt;"",OR($L2629&lt;&gt;"Chưa xác định",DANH_MUC!$L$9="Có"))),"Có","Không"))</f>
        <v/>
      </c>
      <c r="U2629" s="22">
        <f>IF(OR($D2629="",$T2629="Có"),"",IF($C2629="","Thiếu họ tên; ","")&amp;IF($S2629&lt;&gt;"Có","SĐT sai định dạng; ","")&amp;IF($R2629="Trùng","Trùng SĐT; ","")&amp;IF($Q2629&lt;&gt;"Có","Thiếu đồng ý bắt buộc; ","")&amp;IF($L2629="","Thiếu/sai Mã REF; ",IF(AND($L2629="Chưa xác định",DANH_MUC!$L$9&lt;&gt;"Có"),"Nguồn chưa xác định; ","")))</f>
        <v/>
      </c>
      <c r="V2629" s="22">
        <f>IF(OR($D2629="",$R2629="Trùng"),"",IF(COUNTIF(ORDERS!$C$2:$C$4995,$D2629)&gt;0,"Có","Không"))</f>
        <v/>
      </c>
      <c r="W2629" s="22">
        <f>IF(OR($D2629="",$R2629="Trùng"),"",COUNTIFS(ORDERS!$C$2:$C$4995,$D2629,ORDERS!$L$2:$L$4995,"Đã chuyển khoản"))</f>
        <v/>
      </c>
      <c r="X2629" s="23">
        <f>IF(OR($D2629="",$R2629="Trùng"),"",SUMIFS(ORDERS!$J$2:$J$4995,ORDERS!$C$2:$C$4995,$D2629,ORDERS!$L$2:$L$4995,"Đã chuyển khoản"))</f>
        <v/>
      </c>
      <c r="Y2629" s="24" t="n"/>
    </row>
    <row r="2630" ht="14.25" customHeight="1" s="40">
      <c r="A2630" s="24" t="n"/>
      <c r="B2630" s="27" t="n"/>
      <c r="C2630" s="24" t="n"/>
      <c r="D2630" s="28" t="n"/>
      <c r="E2630" s="29" t="n"/>
      <c r="F2630" s="24" t="n"/>
      <c r="G2630" s="24" t="n"/>
      <c r="H2630" s="21">
        <f>IF(ISNUMBER($B2630),INT($B2630)-WEEKDAY($B2630,2)+1,"")</f>
        <v/>
      </c>
      <c r="I2630" s="24" t="n"/>
      <c r="J2630" s="22">
        <f t="array" ref="J2630">IF($D2630="","",IF($I2630="","(trống REF)",IFERROR(INDEX(MASTER_SOURCE!$B$2:$B$495,MATCH($I2630,MASTER_SOURCE!$A$2:$A$495,0)),"(REF không có trong MASTER_SOURCE)")))</f>
        <v/>
      </c>
      <c r="K2630" s="22">
        <f t="array" ref="K2630">IF($D2630="","",IFERROR(INDEX(MASTER_SOURCE!$C$2:$C$495,MATCH($I2630,MASTER_SOURCE!$A$2:$A$495,0)),""))</f>
        <v/>
      </c>
      <c r="L2630" s="22">
        <f t="array" ref="L2630">IF($D2630="","",IFERROR(INDEX(MASTER_SOURCE!$D$2:$D$495,MATCH($I2630,MASTER_SOURCE!$A$2:$A$495,0)),""))</f>
        <v/>
      </c>
      <c r="M2630" s="24" t="n"/>
      <c r="N2630" s="24" t="n"/>
      <c r="O2630" s="24" t="n"/>
      <c r="P2630" s="24" t="n"/>
      <c r="Q2630" s="22">
        <f>IF($D2630="","",IF(AND(OR(DANH_MUC!$L$5&lt;&gt;"Có",M2630="Có"),OR(DANH_MUC!$L$6&lt;&gt;"Có",N2630="Có"),OR(DANH_MUC!$L$7&lt;&gt;"Có",O2630="Có"),OR(DANH_MUC!$L$8&lt;&gt;"Có",P2630="Có")),"Có","Không"))</f>
        <v/>
      </c>
      <c r="R2630" s="22">
        <f>IF($D2630="","",IF(COUNTIF($D$2:$D2630,$D2630)&gt;1,"Trùng",""))</f>
        <v/>
      </c>
      <c r="S2630" s="22">
        <f>IF($D2630="","",IF(AND(LEN($D2630)=10,LEFT($D2630,1)="0",ISNUMBER(--$D2630)),"Có","Không"))</f>
        <v/>
      </c>
      <c r="T2630" s="22">
        <f>IF($D2630="","",IF(AND($C2630&lt;&gt;"",$Q2630="Có",$R2630="",$S2630="Có",AND($L2630&lt;&gt;"",OR($L2630&lt;&gt;"Chưa xác định",DANH_MUC!$L$9="Có"))),"Có","Không"))</f>
        <v/>
      </c>
      <c r="U2630" s="22">
        <f>IF(OR($D2630="",$T2630="Có"),"",IF($C2630="","Thiếu họ tên; ","")&amp;IF($S2630&lt;&gt;"Có","SĐT sai định dạng; ","")&amp;IF($R2630="Trùng","Trùng SĐT; ","")&amp;IF($Q2630&lt;&gt;"Có","Thiếu đồng ý bắt buộc; ","")&amp;IF($L2630="","Thiếu/sai Mã REF; ",IF(AND($L2630="Chưa xác định",DANH_MUC!$L$9&lt;&gt;"Có"),"Nguồn chưa xác định; ","")))</f>
        <v/>
      </c>
      <c r="V2630" s="22">
        <f>IF(OR($D2630="",$R2630="Trùng"),"",IF(COUNTIF(ORDERS!$C$2:$C$4995,$D2630)&gt;0,"Có","Không"))</f>
        <v/>
      </c>
      <c r="W2630" s="22">
        <f>IF(OR($D2630="",$R2630="Trùng"),"",COUNTIFS(ORDERS!$C$2:$C$4995,$D2630,ORDERS!$L$2:$L$4995,"Đã chuyển khoản"))</f>
        <v/>
      </c>
      <c r="X2630" s="23">
        <f>IF(OR($D2630="",$R2630="Trùng"),"",SUMIFS(ORDERS!$J$2:$J$4995,ORDERS!$C$2:$C$4995,$D2630,ORDERS!$L$2:$L$4995,"Đã chuyển khoản"))</f>
        <v/>
      </c>
      <c r="Y2630" s="24" t="n"/>
    </row>
    <row r="2631" ht="14.25" customHeight="1" s="40">
      <c r="A2631" s="24" t="n"/>
      <c r="B2631" s="27" t="n"/>
      <c r="C2631" s="24" t="n"/>
      <c r="D2631" s="28" t="n"/>
      <c r="E2631" s="29" t="n"/>
      <c r="F2631" s="24" t="n"/>
      <c r="G2631" s="24" t="n"/>
      <c r="H2631" s="21">
        <f>IF(ISNUMBER($B2631),INT($B2631)-WEEKDAY($B2631,2)+1,"")</f>
        <v/>
      </c>
      <c r="I2631" s="24" t="n"/>
      <c r="J2631" s="22">
        <f t="array" ref="J2631">IF($D2631="","",IF($I2631="","(trống REF)",IFERROR(INDEX(MASTER_SOURCE!$B$2:$B$495,MATCH($I2631,MASTER_SOURCE!$A$2:$A$495,0)),"(REF không có trong MASTER_SOURCE)")))</f>
        <v/>
      </c>
      <c r="K2631" s="22">
        <f t="array" ref="K2631">IF($D2631="","",IFERROR(INDEX(MASTER_SOURCE!$C$2:$C$495,MATCH($I2631,MASTER_SOURCE!$A$2:$A$495,0)),""))</f>
        <v/>
      </c>
      <c r="L2631" s="22">
        <f t="array" ref="L2631">IF($D2631="","",IFERROR(INDEX(MASTER_SOURCE!$D$2:$D$495,MATCH($I2631,MASTER_SOURCE!$A$2:$A$495,0)),""))</f>
        <v/>
      </c>
      <c r="M2631" s="24" t="n"/>
      <c r="N2631" s="24" t="n"/>
      <c r="O2631" s="24" t="n"/>
      <c r="P2631" s="24" t="n"/>
      <c r="Q2631" s="22">
        <f>IF($D2631="","",IF(AND(OR(DANH_MUC!$L$5&lt;&gt;"Có",M2631="Có"),OR(DANH_MUC!$L$6&lt;&gt;"Có",N2631="Có"),OR(DANH_MUC!$L$7&lt;&gt;"Có",O2631="Có"),OR(DANH_MUC!$L$8&lt;&gt;"Có",P2631="Có")),"Có","Không"))</f>
        <v/>
      </c>
      <c r="R2631" s="22">
        <f>IF($D2631="","",IF(COUNTIF($D$2:$D2631,$D2631)&gt;1,"Trùng",""))</f>
        <v/>
      </c>
      <c r="S2631" s="22">
        <f>IF($D2631="","",IF(AND(LEN($D2631)=10,LEFT($D2631,1)="0",ISNUMBER(--$D2631)),"Có","Không"))</f>
        <v/>
      </c>
      <c r="T2631" s="22">
        <f>IF($D2631="","",IF(AND($C2631&lt;&gt;"",$Q2631="Có",$R2631="",$S2631="Có",AND($L2631&lt;&gt;"",OR($L2631&lt;&gt;"Chưa xác định",DANH_MUC!$L$9="Có"))),"Có","Không"))</f>
        <v/>
      </c>
      <c r="U2631" s="22">
        <f>IF(OR($D2631="",$T2631="Có"),"",IF($C2631="","Thiếu họ tên; ","")&amp;IF($S2631&lt;&gt;"Có","SĐT sai định dạng; ","")&amp;IF($R2631="Trùng","Trùng SĐT; ","")&amp;IF($Q2631&lt;&gt;"Có","Thiếu đồng ý bắt buộc; ","")&amp;IF($L2631="","Thiếu/sai Mã REF; ",IF(AND($L2631="Chưa xác định",DANH_MUC!$L$9&lt;&gt;"Có"),"Nguồn chưa xác định; ","")))</f>
        <v/>
      </c>
      <c r="V2631" s="22">
        <f>IF(OR($D2631="",$R2631="Trùng"),"",IF(COUNTIF(ORDERS!$C$2:$C$4995,$D2631)&gt;0,"Có","Không"))</f>
        <v/>
      </c>
      <c r="W2631" s="22">
        <f>IF(OR($D2631="",$R2631="Trùng"),"",COUNTIFS(ORDERS!$C$2:$C$4995,$D2631,ORDERS!$L$2:$L$4995,"Đã chuyển khoản"))</f>
        <v/>
      </c>
      <c r="X2631" s="23">
        <f>IF(OR($D2631="",$R2631="Trùng"),"",SUMIFS(ORDERS!$J$2:$J$4995,ORDERS!$C$2:$C$4995,$D2631,ORDERS!$L$2:$L$4995,"Đã chuyển khoản"))</f>
        <v/>
      </c>
      <c r="Y2631" s="24" t="n"/>
    </row>
    <row r="2632" ht="14.25" customHeight="1" s="40">
      <c r="A2632" s="24" t="n"/>
      <c r="B2632" s="27" t="n"/>
      <c r="C2632" s="24" t="n"/>
      <c r="D2632" s="28" t="n"/>
      <c r="E2632" s="29" t="n"/>
      <c r="F2632" s="24" t="n"/>
      <c r="G2632" s="24" t="n"/>
      <c r="H2632" s="21">
        <f>IF(ISNUMBER($B2632),INT($B2632)-WEEKDAY($B2632,2)+1,"")</f>
        <v/>
      </c>
      <c r="I2632" s="24" t="n"/>
      <c r="J2632" s="22">
        <f t="array" ref="J2632">IF($D2632="","",IF($I2632="","(trống REF)",IFERROR(INDEX(MASTER_SOURCE!$B$2:$B$495,MATCH($I2632,MASTER_SOURCE!$A$2:$A$495,0)),"(REF không có trong MASTER_SOURCE)")))</f>
        <v/>
      </c>
      <c r="K2632" s="22">
        <f t="array" ref="K2632">IF($D2632="","",IFERROR(INDEX(MASTER_SOURCE!$C$2:$C$495,MATCH($I2632,MASTER_SOURCE!$A$2:$A$495,0)),""))</f>
        <v/>
      </c>
      <c r="L2632" s="22">
        <f t="array" ref="L2632">IF($D2632="","",IFERROR(INDEX(MASTER_SOURCE!$D$2:$D$495,MATCH($I2632,MASTER_SOURCE!$A$2:$A$495,0)),""))</f>
        <v/>
      </c>
      <c r="M2632" s="24" t="n"/>
      <c r="N2632" s="24" t="n"/>
      <c r="O2632" s="24" t="n"/>
      <c r="P2632" s="24" t="n"/>
      <c r="Q2632" s="22">
        <f>IF($D2632="","",IF(AND(OR(DANH_MUC!$L$5&lt;&gt;"Có",M2632="Có"),OR(DANH_MUC!$L$6&lt;&gt;"Có",N2632="Có"),OR(DANH_MUC!$L$7&lt;&gt;"Có",O2632="Có"),OR(DANH_MUC!$L$8&lt;&gt;"Có",P2632="Có")),"Có","Không"))</f>
        <v/>
      </c>
      <c r="R2632" s="22">
        <f>IF($D2632="","",IF(COUNTIF($D$2:$D2632,$D2632)&gt;1,"Trùng",""))</f>
        <v/>
      </c>
      <c r="S2632" s="22">
        <f>IF($D2632="","",IF(AND(LEN($D2632)=10,LEFT($D2632,1)="0",ISNUMBER(--$D2632)),"Có","Không"))</f>
        <v/>
      </c>
      <c r="T2632" s="22">
        <f>IF($D2632="","",IF(AND($C2632&lt;&gt;"",$Q2632="Có",$R2632="",$S2632="Có",AND($L2632&lt;&gt;"",OR($L2632&lt;&gt;"Chưa xác định",DANH_MUC!$L$9="Có"))),"Có","Không"))</f>
        <v/>
      </c>
      <c r="U2632" s="22">
        <f>IF(OR($D2632="",$T2632="Có"),"",IF($C2632="","Thiếu họ tên; ","")&amp;IF($S2632&lt;&gt;"Có","SĐT sai định dạng; ","")&amp;IF($R2632="Trùng","Trùng SĐT; ","")&amp;IF($Q2632&lt;&gt;"Có","Thiếu đồng ý bắt buộc; ","")&amp;IF($L2632="","Thiếu/sai Mã REF; ",IF(AND($L2632="Chưa xác định",DANH_MUC!$L$9&lt;&gt;"Có"),"Nguồn chưa xác định; ","")))</f>
        <v/>
      </c>
      <c r="V2632" s="22">
        <f>IF(OR($D2632="",$R2632="Trùng"),"",IF(COUNTIF(ORDERS!$C$2:$C$4995,$D2632)&gt;0,"Có","Không"))</f>
        <v/>
      </c>
      <c r="W2632" s="22">
        <f>IF(OR($D2632="",$R2632="Trùng"),"",COUNTIFS(ORDERS!$C$2:$C$4995,$D2632,ORDERS!$L$2:$L$4995,"Đã chuyển khoản"))</f>
        <v/>
      </c>
      <c r="X2632" s="23">
        <f>IF(OR($D2632="",$R2632="Trùng"),"",SUMIFS(ORDERS!$J$2:$J$4995,ORDERS!$C$2:$C$4995,$D2632,ORDERS!$L$2:$L$4995,"Đã chuyển khoản"))</f>
        <v/>
      </c>
      <c r="Y2632" s="24" t="n"/>
    </row>
    <row r="2633" ht="14.25" customHeight="1" s="40">
      <c r="A2633" s="24" t="n"/>
      <c r="B2633" s="27" t="n"/>
      <c r="C2633" s="24" t="n"/>
      <c r="D2633" s="28" t="n"/>
      <c r="E2633" s="29" t="n"/>
      <c r="F2633" s="24" t="n"/>
      <c r="G2633" s="24" t="n"/>
      <c r="H2633" s="21">
        <f>IF(ISNUMBER($B2633),INT($B2633)-WEEKDAY($B2633,2)+1,"")</f>
        <v/>
      </c>
      <c r="I2633" s="24" t="n"/>
      <c r="J2633" s="22">
        <f t="array" ref="J2633">IF($D2633="","",IF($I2633="","(trống REF)",IFERROR(INDEX(MASTER_SOURCE!$B$2:$B$495,MATCH($I2633,MASTER_SOURCE!$A$2:$A$495,0)),"(REF không có trong MASTER_SOURCE)")))</f>
        <v/>
      </c>
      <c r="K2633" s="22">
        <f t="array" ref="K2633">IF($D2633="","",IFERROR(INDEX(MASTER_SOURCE!$C$2:$C$495,MATCH($I2633,MASTER_SOURCE!$A$2:$A$495,0)),""))</f>
        <v/>
      </c>
      <c r="L2633" s="22">
        <f t="array" ref="L2633">IF($D2633="","",IFERROR(INDEX(MASTER_SOURCE!$D$2:$D$495,MATCH($I2633,MASTER_SOURCE!$A$2:$A$495,0)),""))</f>
        <v/>
      </c>
      <c r="M2633" s="24" t="n"/>
      <c r="N2633" s="24" t="n"/>
      <c r="O2633" s="24" t="n"/>
      <c r="P2633" s="24" t="n"/>
      <c r="Q2633" s="22">
        <f>IF($D2633="","",IF(AND(OR(DANH_MUC!$L$5&lt;&gt;"Có",M2633="Có"),OR(DANH_MUC!$L$6&lt;&gt;"Có",N2633="Có"),OR(DANH_MUC!$L$7&lt;&gt;"Có",O2633="Có"),OR(DANH_MUC!$L$8&lt;&gt;"Có",P2633="Có")),"Có","Không"))</f>
        <v/>
      </c>
      <c r="R2633" s="22">
        <f>IF($D2633="","",IF(COUNTIF($D$2:$D2633,$D2633)&gt;1,"Trùng",""))</f>
        <v/>
      </c>
      <c r="S2633" s="22">
        <f>IF($D2633="","",IF(AND(LEN($D2633)=10,LEFT($D2633,1)="0",ISNUMBER(--$D2633)),"Có","Không"))</f>
        <v/>
      </c>
      <c r="T2633" s="22">
        <f>IF($D2633="","",IF(AND($C2633&lt;&gt;"",$Q2633="Có",$R2633="",$S2633="Có",AND($L2633&lt;&gt;"",OR($L2633&lt;&gt;"Chưa xác định",DANH_MUC!$L$9="Có"))),"Có","Không"))</f>
        <v/>
      </c>
      <c r="U2633" s="22">
        <f>IF(OR($D2633="",$T2633="Có"),"",IF($C2633="","Thiếu họ tên; ","")&amp;IF($S2633&lt;&gt;"Có","SĐT sai định dạng; ","")&amp;IF($R2633="Trùng","Trùng SĐT; ","")&amp;IF($Q2633&lt;&gt;"Có","Thiếu đồng ý bắt buộc; ","")&amp;IF($L2633="","Thiếu/sai Mã REF; ",IF(AND($L2633="Chưa xác định",DANH_MUC!$L$9&lt;&gt;"Có"),"Nguồn chưa xác định; ","")))</f>
        <v/>
      </c>
      <c r="V2633" s="22">
        <f>IF(OR($D2633="",$R2633="Trùng"),"",IF(COUNTIF(ORDERS!$C$2:$C$4995,$D2633)&gt;0,"Có","Không"))</f>
        <v/>
      </c>
      <c r="W2633" s="22">
        <f>IF(OR($D2633="",$R2633="Trùng"),"",COUNTIFS(ORDERS!$C$2:$C$4995,$D2633,ORDERS!$L$2:$L$4995,"Đã chuyển khoản"))</f>
        <v/>
      </c>
      <c r="X2633" s="23">
        <f>IF(OR($D2633="",$R2633="Trùng"),"",SUMIFS(ORDERS!$J$2:$J$4995,ORDERS!$C$2:$C$4995,$D2633,ORDERS!$L$2:$L$4995,"Đã chuyển khoản"))</f>
        <v/>
      </c>
      <c r="Y2633" s="24" t="n"/>
    </row>
    <row r="2634" ht="14.25" customHeight="1" s="40">
      <c r="A2634" s="24" t="n"/>
      <c r="B2634" s="27" t="n"/>
      <c r="C2634" s="24" t="n"/>
      <c r="D2634" s="28" t="n"/>
      <c r="E2634" s="29" t="n"/>
      <c r="F2634" s="24" t="n"/>
      <c r="G2634" s="24" t="n"/>
      <c r="H2634" s="21">
        <f>IF(ISNUMBER($B2634),INT($B2634)-WEEKDAY($B2634,2)+1,"")</f>
        <v/>
      </c>
      <c r="I2634" s="24" t="n"/>
      <c r="J2634" s="22">
        <f t="array" ref="J2634">IF($D2634="","",IF($I2634="","(trống REF)",IFERROR(INDEX(MASTER_SOURCE!$B$2:$B$495,MATCH($I2634,MASTER_SOURCE!$A$2:$A$495,0)),"(REF không có trong MASTER_SOURCE)")))</f>
        <v/>
      </c>
      <c r="K2634" s="22">
        <f t="array" ref="K2634">IF($D2634="","",IFERROR(INDEX(MASTER_SOURCE!$C$2:$C$495,MATCH($I2634,MASTER_SOURCE!$A$2:$A$495,0)),""))</f>
        <v/>
      </c>
      <c r="L2634" s="22">
        <f t="array" ref="L2634">IF($D2634="","",IFERROR(INDEX(MASTER_SOURCE!$D$2:$D$495,MATCH($I2634,MASTER_SOURCE!$A$2:$A$495,0)),""))</f>
        <v/>
      </c>
      <c r="M2634" s="24" t="n"/>
      <c r="N2634" s="24" t="n"/>
      <c r="O2634" s="24" t="n"/>
      <c r="P2634" s="24" t="n"/>
      <c r="Q2634" s="22">
        <f>IF($D2634="","",IF(AND(OR(DANH_MUC!$L$5&lt;&gt;"Có",M2634="Có"),OR(DANH_MUC!$L$6&lt;&gt;"Có",N2634="Có"),OR(DANH_MUC!$L$7&lt;&gt;"Có",O2634="Có"),OR(DANH_MUC!$L$8&lt;&gt;"Có",P2634="Có")),"Có","Không"))</f>
        <v/>
      </c>
      <c r="R2634" s="22">
        <f>IF($D2634="","",IF(COUNTIF($D$2:$D2634,$D2634)&gt;1,"Trùng",""))</f>
        <v/>
      </c>
      <c r="S2634" s="22">
        <f>IF($D2634="","",IF(AND(LEN($D2634)=10,LEFT($D2634,1)="0",ISNUMBER(--$D2634)),"Có","Không"))</f>
        <v/>
      </c>
      <c r="T2634" s="22">
        <f>IF($D2634="","",IF(AND($C2634&lt;&gt;"",$Q2634="Có",$R2634="",$S2634="Có",AND($L2634&lt;&gt;"",OR($L2634&lt;&gt;"Chưa xác định",DANH_MUC!$L$9="Có"))),"Có","Không"))</f>
        <v/>
      </c>
      <c r="U2634" s="22">
        <f>IF(OR($D2634="",$T2634="Có"),"",IF($C2634="","Thiếu họ tên; ","")&amp;IF($S2634&lt;&gt;"Có","SĐT sai định dạng; ","")&amp;IF($R2634="Trùng","Trùng SĐT; ","")&amp;IF($Q2634&lt;&gt;"Có","Thiếu đồng ý bắt buộc; ","")&amp;IF($L2634="","Thiếu/sai Mã REF; ",IF(AND($L2634="Chưa xác định",DANH_MUC!$L$9&lt;&gt;"Có"),"Nguồn chưa xác định; ","")))</f>
        <v/>
      </c>
      <c r="V2634" s="22">
        <f>IF(OR($D2634="",$R2634="Trùng"),"",IF(COUNTIF(ORDERS!$C$2:$C$4995,$D2634)&gt;0,"Có","Không"))</f>
        <v/>
      </c>
      <c r="W2634" s="22">
        <f>IF(OR($D2634="",$R2634="Trùng"),"",COUNTIFS(ORDERS!$C$2:$C$4995,$D2634,ORDERS!$L$2:$L$4995,"Đã chuyển khoản"))</f>
        <v/>
      </c>
      <c r="X2634" s="23">
        <f>IF(OR($D2634="",$R2634="Trùng"),"",SUMIFS(ORDERS!$J$2:$J$4995,ORDERS!$C$2:$C$4995,$D2634,ORDERS!$L$2:$L$4995,"Đã chuyển khoản"))</f>
        <v/>
      </c>
      <c r="Y2634" s="24" t="n"/>
    </row>
    <row r="2635" ht="14.25" customHeight="1" s="40">
      <c r="A2635" s="24" t="n"/>
      <c r="B2635" s="27" t="n"/>
      <c r="C2635" s="24" t="n"/>
      <c r="D2635" s="28" t="n"/>
      <c r="E2635" s="29" t="n"/>
      <c r="F2635" s="24" t="n"/>
      <c r="G2635" s="24" t="n"/>
      <c r="H2635" s="21">
        <f>IF(ISNUMBER($B2635),INT($B2635)-WEEKDAY($B2635,2)+1,"")</f>
        <v/>
      </c>
      <c r="I2635" s="24" t="n"/>
      <c r="J2635" s="22">
        <f t="array" ref="J2635">IF($D2635="","",IF($I2635="","(trống REF)",IFERROR(INDEX(MASTER_SOURCE!$B$2:$B$495,MATCH($I2635,MASTER_SOURCE!$A$2:$A$495,0)),"(REF không có trong MASTER_SOURCE)")))</f>
        <v/>
      </c>
      <c r="K2635" s="22">
        <f t="array" ref="K2635">IF($D2635="","",IFERROR(INDEX(MASTER_SOURCE!$C$2:$C$495,MATCH($I2635,MASTER_SOURCE!$A$2:$A$495,0)),""))</f>
        <v/>
      </c>
      <c r="L2635" s="22">
        <f t="array" ref="L2635">IF($D2635="","",IFERROR(INDEX(MASTER_SOURCE!$D$2:$D$495,MATCH($I2635,MASTER_SOURCE!$A$2:$A$495,0)),""))</f>
        <v/>
      </c>
      <c r="M2635" s="24" t="n"/>
      <c r="N2635" s="24" t="n"/>
      <c r="O2635" s="24" t="n"/>
      <c r="P2635" s="24" t="n"/>
      <c r="Q2635" s="22">
        <f>IF($D2635="","",IF(AND(OR(DANH_MUC!$L$5&lt;&gt;"Có",M2635="Có"),OR(DANH_MUC!$L$6&lt;&gt;"Có",N2635="Có"),OR(DANH_MUC!$L$7&lt;&gt;"Có",O2635="Có"),OR(DANH_MUC!$L$8&lt;&gt;"Có",P2635="Có")),"Có","Không"))</f>
        <v/>
      </c>
      <c r="R2635" s="22">
        <f>IF($D2635="","",IF(COUNTIF($D$2:$D2635,$D2635)&gt;1,"Trùng",""))</f>
        <v/>
      </c>
      <c r="S2635" s="22">
        <f>IF($D2635="","",IF(AND(LEN($D2635)=10,LEFT($D2635,1)="0",ISNUMBER(--$D2635)),"Có","Không"))</f>
        <v/>
      </c>
      <c r="T2635" s="22">
        <f>IF($D2635="","",IF(AND($C2635&lt;&gt;"",$Q2635="Có",$R2635="",$S2635="Có",AND($L2635&lt;&gt;"",OR($L2635&lt;&gt;"Chưa xác định",DANH_MUC!$L$9="Có"))),"Có","Không"))</f>
        <v/>
      </c>
      <c r="U2635" s="22">
        <f>IF(OR($D2635="",$T2635="Có"),"",IF($C2635="","Thiếu họ tên; ","")&amp;IF($S2635&lt;&gt;"Có","SĐT sai định dạng; ","")&amp;IF($R2635="Trùng","Trùng SĐT; ","")&amp;IF($Q2635&lt;&gt;"Có","Thiếu đồng ý bắt buộc; ","")&amp;IF($L2635="","Thiếu/sai Mã REF; ",IF(AND($L2635="Chưa xác định",DANH_MUC!$L$9&lt;&gt;"Có"),"Nguồn chưa xác định; ","")))</f>
        <v/>
      </c>
      <c r="V2635" s="22">
        <f>IF(OR($D2635="",$R2635="Trùng"),"",IF(COUNTIF(ORDERS!$C$2:$C$4995,$D2635)&gt;0,"Có","Không"))</f>
        <v/>
      </c>
      <c r="W2635" s="22">
        <f>IF(OR($D2635="",$R2635="Trùng"),"",COUNTIFS(ORDERS!$C$2:$C$4995,$D2635,ORDERS!$L$2:$L$4995,"Đã chuyển khoản"))</f>
        <v/>
      </c>
      <c r="X2635" s="23">
        <f>IF(OR($D2635="",$R2635="Trùng"),"",SUMIFS(ORDERS!$J$2:$J$4995,ORDERS!$C$2:$C$4995,$D2635,ORDERS!$L$2:$L$4995,"Đã chuyển khoản"))</f>
        <v/>
      </c>
      <c r="Y2635" s="24" t="n"/>
    </row>
    <row r="2636" ht="14.25" customHeight="1" s="40">
      <c r="A2636" s="24" t="n"/>
      <c r="B2636" s="27" t="n"/>
      <c r="C2636" s="24" t="n"/>
      <c r="D2636" s="28" t="n"/>
      <c r="E2636" s="29" t="n"/>
      <c r="F2636" s="24" t="n"/>
      <c r="G2636" s="24" t="n"/>
      <c r="H2636" s="21">
        <f>IF(ISNUMBER($B2636),INT($B2636)-WEEKDAY($B2636,2)+1,"")</f>
        <v/>
      </c>
      <c r="I2636" s="24" t="n"/>
      <c r="J2636" s="22">
        <f t="array" ref="J2636">IF($D2636="","",IF($I2636="","(trống REF)",IFERROR(INDEX(MASTER_SOURCE!$B$2:$B$495,MATCH($I2636,MASTER_SOURCE!$A$2:$A$495,0)),"(REF không có trong MASTER_SOURCE)")))</f>
        <v/>
      </c>
      <c r="K2636" s="22">
        <f t="array" ref="K2636">IF($D2636="","",IFERROR(INDEX(MASTER_SOURCE!$C$2:$C$495,MATCH($I2636,MASTER_SOURCE!$A$2:$A$495,0)),""))</f>
        <v/>
      </c>
      <c r="L2636" s="22">
        <f t="array" ref="L2636">IF($D2636="","",IFERROR(INDEX(MASTER_SOURCE!$D$2:$D$495,MATCH($I2636,MASTER_SOURCE!$A$2:$A$495,0)),""))</f>
        <v/>
      </c>
      <c r="M2636" s="24" t="n"/>
      <c r="N2636" s="24" t="n"/>
      <c r="O2636" s="24" t="n"/>
      <c r="P2636" s="24" t="n"/>
      <c r="Q2636" s="22">
        <f>IF($D2636="","",IF(AND(OR(DANH_MUC!$L$5&lt;&gt;"Có",M2636="Có"),OR(DANH_MUC!$L$6&lt;&gt;"Có",N2636="Có"),OR(DANH_MUC!$L$7&lt;&gt;"Có",O2636="Có"),OR(DANH_MUC!$L$8&lt;&gt;"Có",P2636="Có")),"Có","Không"))</f>
        <v/>
      </c>
      <c r="R2636" s="22">
        <f>IF($D2636="","",IF(COUNTIF($D$2:$D2636,$D2636)&gt;1,"Trùng",""))</f>
        <v/>
      </c>
      <c r="S2636" s="22">
        <f>IF($D2636="","",IF(AND(LEN($D2636)=10,LEFT($D2636,1)="0",ISNUMBER(--$D2636)),"Có","Không"))</f>
        <v/>
      </c>
      <c r="T2636" s="22">
        <f>IF($D2636="","",IF(AND($C2636&lt;&gt;"",$Q2636="Có",$R2636="",$S2636="Có",AND($L2636&lt;&gt;"",OR($L2636&lt;&gt;"Chưa xác định",DANH_MUC!$L$9="Có"))),"Có","Không"))</f>
        <v/>
      </c>
      <c r="U2636" s="22">
        <f>IF(OR($D2636="",$T2636="Có"),"",IF($C2636="","Thiếu họ tên; ","")&amp;IF($S2636&lt;&gt;"Có","SĐT sai định dạng; ","")&amp;IF($R2636="Trùng","Trùng SĐT; ","")&amp;IF($Q2636&lt;&gt;"Có","Thiếu đồng ý bắt buộc; ","")&amp;IF($L2636="","Thiếu/sai Mã REF; ",IF(AND($L2636="Chưa xác định",DANH_MUC!$L$9&lt;&gt;"Có"),"Nguồn chưa xác định; ","")))</f>
        <v/>
      </c>
      <c r="V2636" s="22">
        <f>IF(OR($D2636="",$R2636="Trùng"),"",IF(COUNTIF(ORDERS!$C$2:$C$4995,$D2636)&gt;0,"Có","Không"))</f>
        <v/>
      </c>
      <c r="W2636" s="22">
        <f>IF(OR($D2636="",$R2636="Trùng"),"",COUNTIFS(ORDERS!$C$2:$C$4995,$D2636,ORDERS!$L$2:$L$4995,"Đã chuyển khoản"))</f>
        <v/>
      </c>
      <c r="X2636" s="23">
        <f>IF(OR($D2636="",$R2636="Trùng"),"",SUMIFS(ORDERS!$J$2:$J$4995,ORDERS!$C$2:$C$4995,$D2636,ORDERS!$L$2:$L$4995,"Đã chuyển khoản"))</f>
        <v/>
      </c>
      <c r="Y2636" s="24" t="n"/>
    </row>
    <row r="2637" ht="14.25" customHeight="1" s="40">
      <c r="A2637" s="24" t="n"/>
      <c r="B2637" s="27" t="n"/>
      <c r="C2637" s="24" t="n"/>
      <c r="D2637" s="28" t="n"/>
      <c r="E2637" s="29" t="n"/>
      <c r="F2637" s="24" t="n"/>
      <c r="G2637" s="24" t="n"/>
      <c r="H2637" s="21">
        <f>IF(ISNUMBER($B2637),INT($B2637)-WEEKDAY($B2637,2)+1,"")</f>
        <v/>
      </c>
      <c r="I2637" s="24" t="n"/>
      <c r="J2637" s="22">
        <f t="array" ref="J2637">IF($D2637="","",IF($I2637="","(trống REF)",IFERROR(INDEX(MASTER_SOURCE!$B$2:$B$495,MATCH($I2637,MASTER_SOURCE!$A$2:$A$495,0)),"(REF không có trong MASTER_SOURCE)")))</f>
        <v/>
      </c>
      <c r="K2637" s="22">
        <f t="array" ref="K2637">IF($D2637="","",IFERROR(INDEX(MASTER_SOURCE!$C$2:$C$495,MATCH($I2637,MASTER_SOURCE!$A$2:$A$495,0)),""))</f>
        <v/>
      </c>
      <c r="L2637" s="22">
        <f t="array" ref="L2637">IF($D2637="","",IFERROR(INDEX(MASTER_SOURCE!$D$2:$D$495,MATCH($I2637,MASTER_SOURCE!$A$2:$A$495,0)),""))</f>
        <v/>
      </c>
      <c r="M2637" s="24" t="n"/>
      <c r="N2637" s="24" t="n"/>
      <c r="O2637" s="24" t="n"/>
      <c r="P2637" s="24" t="n"/>
      <c r="Q2637" s="22">
        <f>IF($D2637="","",IF(AND(OR(DANH_MUC!$L$5&lt;&gt;"Có",M2637="Có"),OR(DANH_MUC!$L$6&lt;&gt;"Có",N2637="Có"),OR(DANH_MUC!$L$7&lt;&gt;"Có",O2637="Có"),OR(DANH_MUC!$L$8&lt;&gt;"Có",P2637="Có")),"Có","Không"))</f>
        <v/>
      </c>
      <c r="R2637" s="22">
        <f>IF($D2637="","",IF(COUNTIF($D$2:$D2637,$D2637)&gt;1,"Trùng",""))</f>
        <v/>
      </c>
      <c r="S2637" s="22">
        <f>IF($D2637="","",IF(AND(LEN($D2637)=10,LEFT($D2637,1)="0",ISNUMBER(--$D2637)),"Có","Không"))</f>
        <v/>
      </c>
      <c r="T2637" s="22">
        <f>IF($D2637="","",IF(AND($C2637&lt;&gt;"",$Q2637="Có",$R2637="",$S2637="Có",AND($L2637&lt;&gt;"",OR($L2637&lt;&gt;"Chưa xác định",DANH_MUC!$L$9="Có"))),"Có","Không"))</f>
        <v/>
      </c>
      <c r="U2637" s="22">
        <f>IF(OR($D2637="",$T2637="Có"),"",IF($C2637="","Thiếu họ tên; ","")&amp;IF($S2637&lt;&gt;"Có","SĐT sai định dạng; ","")&amp;IF($R2637="Trùng","Trùng SĐT; ","")&amp;IF($Q2637&lt;&gt;"Có","Thiếu đồng ý bắt buộc; ","")&amp;IF($L2637="","Thiếu/sai Mã REF; ",IF(AND($L2637="Chưa xác định",DANH_MUC!$L$9&lt;&gt;"Có"),"Nguồn chưa xác định; ","")))</f>
        <v/>
      </c>
      <c r="V2637" s="22">
        <f>IF(OR($D2637="",$R2637="Trùng"),"",IF(COUNTIF(ORDERS!$C$2:$C$4995,$D2637)&gt;0,"Có","Không"))</f>
        <v/>
      </c>
      <c r="W2637" s="22">
        <f>IF(OR($D2637="",$R2637="Trùng"),"",COUNTIFS(ORDERS!$C$2:$C$4995,$D2637,ORDERS!$L$2:$L$4995,"Đã chuyển khoản"))</f>
        <v/>
      </c>
      <c r="X2637" s="23">
        <f>IF(OR($D2637="",$R2637="Trùng"),"",SUMIFS(ORDERS!$J$2:$J$4995,ORDERS!$C$2:$C$4995,$D2637,ORDERS!$L$2:$L$4995,"Đã chuyển khoản"))</f>
        <v/>
      </c>
      <c r="Y2637" s="24" t="n"/>
    </row>
    <row r="2638" ht="14.25" customHeight="1" s="40">
      <c r="A2638" s="24" t="n"/>
      <c r="B2638" s="27" t="n"/>
      <c r="C2638" s="24" t="n"/>
      <c r="D2638" s="28" t="n"/>
      <c r="E2638" s="29" t="n"/>
      <c r="F2638" s="24" t="n"/>
      <c r="G2638" s="24" t="n"/>
      <c r="H2638" s="21">
        <f>IF(ISNUMBER($B2638),INT($B2638)-WEEKDAY($B2638,2)+1,"")</f>
        <v/>
      </c>
      <c r="I2638" s="24" t="n"/>
      <c r="J2638" s="22">
        <f t="array" ref="J2638">IF($D2638="","",IF($I2638="","(trống REF)",IFERROR(INDEX(MASTER_SOURCE!$B$2:$B$495,MATCH($I2638,MASTER_SOURCE!$A$2:$A$495,0)),"(REF không có trong MASTER_SOURCE)")))</f>
        <v/>
      </c>
      <c r="K2638" s="22">
        <f t="array" ref="K2638">IF($D2638="","",IFERROR(INDEX(MASTER_SOURCE!$C$2:$C$495,MATCH($I2638,MASTER_SOURCE!$A$2:$A$495,0)),""))</f>
        <v/>
      </c>
      <c r="L2638" s="22">
        <f t="array" ref="L2638">IF($D2638="","",IFERROR(INDEX(MASTER_SOURCE!$D$2:$D$495,MATCH($I2638,MASTER_SOURCE!$A$2:$A$495,0)),""))</f>
        <v/>
      </c>
      <c r="M2638" s="24" t="n"/>
      <c r="N2638" s="24" t="n"/>
      <c r="O2638" s="24" t="n"/>
      <c r="P2638" s="24" t="n"/>
      <c r="Q2638" s="22">
        <f>IF($D2638="","",IF(AND(OR(DANH_MUC!$L$5&lt;&gt;"Có",M2638="Có"),OR(DANH_MUC!$L$6&lt;&gt;"Có",N2638="Có"),OR(DANH_MUC!$L$7&lt;&gt;"Có",O2638="Có"),OR(DANH_MUC!$L$8&lt;&gt;"Có",P2638="Có")),"Có","Không"))</f>
        <v/>
      </c>
      <c r="R2638" s="22">
        <f>IF($D2638="","",IF(COUNTIF($D$2:$D2638,$D2638)&gt;1,"Trùng",""))</f>
        <v/>
      </c>
      <c r="S2638" s="22">
        <f>IF($D2638="","",IF(AND(LEN($D2638)=10,LEFT($D2638,1)="0",ISNUMBER(--$D2638)),"Có","Không"))</f>
        <v/>
      </c>
      <c r="T2638" s="22">
        <f>IF($D2638="","",IF(AND($C2638&lt;&gt;"",$Q2638="Có",$R2638="",$S2638="Có",AND($L2638&lt;&gt;"",OR($L2638&lt;&gt;"Chưa xác định",DANH_MUC!$L$9="Có"))),"Có","Không"))</f>
        <v/>
      </c>
      <c r="U2638" s="22">
        <f>IF(OR($D2638="",$T2638="Có"),"",IF($C2638="","Thiếu họ tên; ","")&amp;IF($S2638&lt;&gt;"Có","SĐT sai định dạng; ","")&amp;IF($R2638="Trùng","Trùng SĐT; ","")&amp;IF($Q2638&lt;&gt;"Có","Thiếu đồng ý bắt buộc; ","")&amp;IF($L2638="","Thiếu/sai Mã REF; ",IF(AND($L2638="Chưa xác định",DANH_MUC!$L$9&lt;&gt;"Có"),"Nguồn chưa xác định; ","")))</f>
        <v/>
      </c>
      <c r="V2638" s="22">
        <f>IF(OR($D2638="",$R2638="Trùng"),"",IF(COUNTIF(ORDERS!$C$2:$C$4995,$D2638)&gt;0,"Có","Không"))</f>
        <v/>
      </c>
      <c r="W2638" s="22">
        <f>IF(OR($D2638="",$R2638="Trùng"),"",COUNTIFS(ORDERS!$C$2:$C$4995,$D2638,ORDERS!$L$2:$L$4995,"Đã chuyển khoản"))</f>
        <v/>
      </c>
      <c r="X2638" s="23">
        <f>IF(OR($D2638="",$R2638="Trùng"),"",SUMIFS(ORDERS!$J$2:$J$4995,ORDERS!$C$2:$C$4995,$D2638,ORDERS!$L$2:$L$4995,"Đã chuyển khoản"))</f>
        <v/>
      </c>
      <c r="Y2638" s="24" t="n"/>
    </row>
    <row r="2639" ht="14.25" customHeight="1" s="40">
      <c r="A2639" s="24" t="n"/>
      <c r="B2639" s="27" t="n"/>
      <c r="C2639" s="24" t="n"/>
      <c r="D2639" s="28" t="n"/>
      <c r="E2639" s="29" t="n"/>
      <c r="F2639" s="24" t="n"/>
      <c r="G2639" s="24" t="n"/>
      <c r="H2639" s="21">
        <f>IF(ISNUMBER($B2639),INT($B2639)-WEEKDAY($B2639,2)+1,"")</f>
        <v/>
      </c>
      <c r="I2639" s="24" t="n"/>
      <c r="J2639" s="22">
        <f t="array" ref="J2639">IF($D2639="","",IF($I2639="","(trống REF)",IFERROR(INDEX(MASTER_SOURCE!$B$2:$B$495,MATCH($I2639,MASTER_SOURCE!$A$2:$A$495,0)),"(REF không có trong MASTER_SOURCE)")))</f>
        <v/>
      </c>
      <c r="K2639" s="22">
        <f t="array" ref="K2639">IF($D2639="","",IFERROR(INDEX(MASTER_SOURCE!$C$2:$C$495,MATCH($I2639,MASTER_SOURCE!$A$2:$A$495,0)),""))</f>
        <v/>
      </c>
      <c r="L2639" s="22">
        <f t="array" ref="L2639">IF($D2639="","",IFERROR(INDEX(MASTER_SOURCE!$D$2:$D$495,MATCH($I2639,MASTER_SOURCE!$A$2:$A$495,0)),""))</f>
        <v/>
      </c>
      <c r="M2639" s="24" t="n"/>
      <c r="N2639" s="24" t="n"/>
      <c r="O2639" s="24" t="n"/>
      <c r="P2639" s="24" t="n"/>
      <c r="Q2639" s="22">
        <f>IF($D2639="","",IF(AND(OR(DANH_MUC!$L$5&lt;&gt;"Có",M2639="Có"),OR(DANH_MUC!$L$6&lt;&gt;"Có",N2639="Có"),OR(DANH_MUC!$L$7&lt;&gt;"Có",O2639="Có"),OR(DANH_MUC!$L$8&lt;&gt;"Có",P2639="Có")),"Có","Không"))</f>
        <v/>
      </c>
      <c r="R2639" s="22">
        <f>IF($D2639="","",IF(COUNTIF($D$2:$D2639,$D2639)&gt;1,"Trùng",""))</f>
        <v/>
      </c>
      <c r="S2639" s="22">
        <f>IF($D2639="","",IF(AND(LEN($D2639)=10,LEFT($D2639,1)="0",ISNUMBER(--$D2639)),"Có","Không"))</f>
        <v/>
      </c>
      <c r="T2639" s="22">
        <f>IF($D2639="","",IF(AND($C2639&lt;&gt;"",$Q2639="Có",$R2639="",$S2639="Có",AND($L2639&lt;&gt;"",OR($L2639&lt;&gt;"Chưa xác định",DANH_MUC!$L$9="Có"))),"Có","Không"))</f>
        <v/>
      </c>
      <c r="U2639" s="22">
        <f>IF(OR($D2639="",$T2639="Có"),"",IF($C2639="","Thiếu họ tên; ","")&amp;IF($S2639&lt;&gt;"Có","SĐT sai định dạng; ","")&amp;IF($R2639="Trùng","Trùng SĐT; ","")&amp;IF($Q2639&lt;&gt;"Có","Thiếu đồng ý bắt buộc; ","")&amp;IF($L2639="","Thiếu/sai Mã REF; ",IF(AND($L2639="Chưa xác định",DANH_MUC!$L$9&lt;&gt;"Có"),"Nguồn chưa xác định; ","")))</f>
        <v/>
      </c>
      <c r="V2639" s="22">
        <f>IF(OR($D2639="",$R2639="Trùng"),"",IF(COUNTIF(ORDERS!$C$2:$C$4995,$D2639)&gt;0,"Có","Không"))</f>
        <v/>
      </c>
      <c r="W2639" s="22">
        <f>IF(OR($D2639="",$R2639="Trùng"),"",COUNTIFS(ORDERS!$C$2:$C$4995,$D2639,ORDERS!$L$2:$L$4995,"Đã chuyển khoản"))</f>
        <v/>
      </c>
      <c r="X2639" s="23">
        <f>IF(OR($D2639="",$R2639="Trùng"),"",SUMIFS(ORDERS!$J$2:$J$4995,ORDERS!$C$2:$C$4995,$D2639,ORDERS!$L$2:$L$4995,"Đã chuyển khoản"))</f>
        <v/>
      </c>
      <c r="Y2639" s="24" t="n"/>
    </row>
    <row r="2640" ht="14.25" customHeight="1" s="40">
      <c r="A2640" s="24" t="n"/>
      <c r="B2640" s="27" t="n"/>
      <c r="C2640" s="24" t="n"/>
      <c r="D2640" s="28" t="n"/>
      <c r="E2640" s="29" t="n"/>
      <c r="F2640" s="24" t="n"/>
      <c r="G2640" s="24" t="n"/>
      <c r="H2640" s="21">
        <f>IF(ISNUMBER($B2640),INT($B2640)-WEEKDAY($B2640,2)+1,"")</f>
        <v/>
      </c>
      <c r="I2640" s="24" t="n"/>
      <c r="J2640" s="22">
        <f t="array" ref="J2640">IF($D2640="","",IF($I2640="","(trống REF)",IFERROR(INDEX(MASTER_SOURCE!$B$2:$B$495,MATCH($I2640,MASTER_SOURCE!$A$2:$A$495,0)),"(REF không có trong MASTER_SOURCE)")))</f>
        <v/>
      </c>
      <c r="K2640" s="22">
        <f t="array" ref="K2640">IF($D2640="","",IFERROR(INDEX(MASTER_SOURCE!$C$2:$C$495,MATCH($I2640,MASTER_SOURCE!$A$2:$A$495,0)),""))</f>
        <v/>
      </c>
      <c r="L2640" s="22">
        <f t="array" ref="L2640">IF($D2640="","",IFERROR(INDEX(MASTER_SOURCE!$D$2:$D$495,MATCH($I2640,MASTER_SOURCE!$A$2:$A$495,0)),""))</f>
        <v/>
      </c>
      <c r="M2640" s="24" t="n"/>
      <c r="N2640" s="24" t="n"/>
      <c r="O2640" s="24" t="n"/>
      <c r="P2640" s="24" t="n"/>
      <c r="Q2640" s="22">
        <f>IF($D2640="","",IF(AND(OR(DANH_MUC!$L$5&lt;&gt;"Có",M2640="Có"),OR(DANH_MUC!$L$6&lt;&gt;"Có",N2640="Có"),OR(DANH_MUC!$L$7&lt;&gt;"Có",O2640="Có"),OR(DANH_MUC!$L$8&lt;&gt;"Có",P2640="Có")),"Có","Không"))</f>
        <v/>
      </c>
      <c r="R2640" s="22">
        <f>IF($D2640="","",IF(COUNTIF($D$2:$D2640,$D2640)&gt;1,"Trùng",""))</f>
        <v/>
      </c>
      <c r="S2640" s="22">
        <f>IF($D2640="","",IF(AND(LEN($D2640)=10,LEFT($D2640,1)="0",ISNUMBER(--$D2640)),"Có","Không"))</f>
        <v/>
      </c>
      <c r="T2640" s="22">
        <f>IF($D2640="","",IF(AND($C2640&lt;&gt;"",$Q2640="Có",$R2640="",$S2640="Có",AND($L2640&lt;&gt;"",OR($L2640&lt;&gt;"Chưa xác định",DANH_MUC!$L$9="Có"))),"Có","Không"))</f>
        <v/>
      </c>
      <c r="U2640" s="22">
        <f>IF(OR($D2640="",$T2640="Có"),"",IF($C2640="","Thiếu họ tên; ","")&amp;IF($S2640&lt;&gt;"Có","SĐT sai định dạng; ","")&amp;IF($R2640="Trùng","Trùng SĐT; ","")&amp;IF($Q2640&lt;&gt;"Có","Thiếu đồng ý bắt buộc; ","")&amp;IF($L2640="","Thiếu/sai Mã REF; ",IF(AND($L2640="Chưa xác định",DANH_MUC!$L$9&lt;&gt;"Có"),"Nguồn chưa xác định; ","")))</f>
        <v/>
      </c>
      <c r="V2640" s="22">
        <f>IF(OR($D2640="",$R2640="Trùng"),"",IF(COUNTIF(ORDERS!$C$2:$C$4995,$D2640)&gt;0,"Có","Không"))</f>
        <v/>
      </c>
      <c r="W2640" s="22">
        <f>IF(OR($D2640="",$R2640="Trùng"),"",COUNTIFS(ORDERS!$C$2:$C$4995,$D2640,ORDERS!$L$2:$L$4995,"Đã chuyển khoản"))</f>
        <v/>
      </c>
      <c r="X2640" s="23">
        <f>IF(OR($D2640="",$R2640="Trùng"),"",SUMIFS(ORDERS!$J$2:$J$4995,ORDERS!$C$2:$C$4995,$D2640,ORDERS!$L$2:$L$4995,"Đã chuyển khoản"))</f>
        <v/>
      </c>
      <c r="Y2640" s="24" t="n"/>
    </row>
    <row r="2641" ht="14.25" customHeight="1" s="40">
      <c r="A2641" s="24" t="n"/>
      <c r="B2641" s="27" t="n"/>
      <c r="C2641" s="24" t="n"/>
      <c r="D2641" s="28" t="n"/>
      <c r="E2641" s="29" t="n"/>
      <c r="F2641" s="24" t="n"/>
      <c r="G2641" s="24" t="n"/>
      <c r="H2641" s="21">
        <f>IF(ISNUMBER($B2641),INT($B2641)-WEEKDAY($B2641,2)+1,"")</f>
        <v/>
      </c>
      <c r="I2641" s="24" t="n"/>
      <c r="J2641" s="22">
        <f t="array" ref="J2641">IF($D2641="","",IF($I2641="","(trống REF)",IFERROR(INDEX(MASTER_SOURCE!$B$2:$B$495,MATCH($I2641,MASTER_SOURCE!$A$2:$A$495,0)),"(REF không có trong MASTER_SOURCE)")))</f>
        <v/>
      </c>
      <c r="K2641" s="22">
        <f t="array" ref="K2641">IF($D2641="","",IFERROR(INDEX(MASTER_SOURCE!$C$2:$C$495,MATCH($I2641,MASTER_SOURCE!$A$2:$A$495,0)),""))</f>
        <v/>
      </c>
      <c r="L2641" s="22">
        <f t="array" ref="L2641">IF($D2641="","",IFERROR(INDEX(MASTER_SOURCE!$D$2:$D$495,MATCH($I2641,MASTER_SOURCE!$A$2:$A$495,0)),""))</f>
        <v/>
      </c>
      <c r="M2641" s="24" t="n"/>
      <c r="N2641" s="24" t="n"/>
      <c r="O2641" s="24" t="n"/>
      <c r="P2641" s="24" t="n"/>
      <c r="Q2641" s="22">
        <f>IF($D2641="","",IF(AND(OR(DANH_MUC!$L$5&lt;&gt;"Có",M2641="Có"),OR(DANH_MUC!$L$6&lt;&gt;"Có",N2641="Có"),OR(DANH_MUC!$L$7&lt;&gt;"Có",O2641="Có"),OR(DANH_MUC!$L$8&lt;&gt;"Có",P2641="Có")),"Có","Không"))</f>
        <v/>
      </c>
      <c r="R2641" s="22">
        <f>IF($D2641="","",IF(COUNTIF($D$2:$D2641,$D2641)&gt;1,"Trùng",""))</f>
        <v/>
      </c>
      <c r="S2641" s="22">
        <f>IF($D2641="","",IF(AND(LEN($D2641)=10,LEFT($D2641,1)="0",ISNUMBER(--$D2641)),"Có","Không"))</f>
        <v/>
      </c>
      <c r="T2641" s="22">
        <f>IF($D2641="","",IF(AND($C2641&lt;&gt;"",$Q2641="Có",$R2641="",$S2641="Có",AND($L2641&lt;&gt;"",OR($L2641&lt;&gt;"Chưa xác định",DANH_MUC!$L$9="Có"))),"Có","Không"))</f>
        <v/>
      </c>
      <c r="U2641" s="22">
        <f>IF(OR($D2641="",$T2641="Có"),"",IF($C2641="","Thiếu họ tên; ","")&amp;IF($S2641&lt;&gt;"Có","SĐT sai định dạng; ","")&amp;IF($R2641="Trùng","Trùng SĐT; ","")&amp;IF($Q2641&lt;&gt;"Có","Thiếu đồng ý bắt buộc; ","")&amp;IF($L2641="","Thiếu/sai Mã REF; ",IF(AND($L2641="Chưa xác định",DANH_MUC!$L$9&lt;&gt;"Có"),"Nguồn chưa xác định; ","")))</f>
        <v/>
      </c>
      <c r="V2641" s="22">
        <f>IF(OR($D2641="",$R2641="Trùng"),"",IF(COUNTIF(ORDERS!$C$2:$C$4995,$D2641)&gt;0,"Có","Không"))</f>
        <v/>
      </c>
      <c r="W2641" s="22">
        <f>IF(OR($D2641="",$R2641="Trùng"),"",COUNTIFS(ORDERS!$C$2:$C$4995,$D2641,ORDERS!$L$2:$L$4995,"Đã chuyển khoản"))</f>
        <v/>
      </c>
      <c r="X2641" s="23">
        <f>IF(OR($D2641="",$R2641="Trùng"),"",SUMIFS(ORDERS!$J$2:$J$4995,ORDERS!$C$2:$C$4995,$D2641,ORDERS!$L$2:$L$4995,"Đã chuyển khoản"))</f>
        <v/>
      </c>
      <c r="Y2641" s="24" t="n"/>
    </row>
    <row r="2642" ht="14.25" customHeight="1" s="40">
      <c r="A2642" s="24" t="n"/>
      <c r="B2642" s="27" t="n"/>
      <c r="C2642" s="24" t="n"/>
      <c r="D2642" s="28" t="n"/>
      <c r="E2642" s="29" t="n"/>
      <c r="F2642" s="24" t="n"/>
      <c r="G2642" s="24" t="n"/>
      <c r="H2642" s="21">
        <f>IF(ISNUMBER($B2642),INT($B2642)-WEEKDAY($B2642,2)+1,"")</f>
        <v/>
      </c>
      <c r="I2642" s="24" t="n"/>
      <c r="J2642" s="22">
        <f t="array" ref="J2642">IF($D2642="","",IF($I2642="","(trống REF)",IFERROR(INDEX(MASTER_SOURCE!$B$2:$B$495,MATCH($I2642,MASTER_SOURCE!$A$2:$A$495,0)),"(REF không có trong MASTER_SOURCE)")))</f>
        <v/>
      </c>
      <c r="K2642" s="22">
        <f t="array" ref="K2642">IF($D2642="","",IFERROR(INDEX(MASTER_SOURCE!$C$2:$C$495,MATCH($I2642,MASTER_SOURCE!$A$2:$A$495,0)),""))</f>
        <v/>
      </c>
      <c r="L2642" s="22">
        <f t="array" ref="L2642">IF($D2642="","",IFERROR(INDEX(MASTER_SOURCE!$D$2:$D$495,MATCH($I2642,MASTER_SOURCE!$A$2:$A$495,0)),""))</f>
        <v/>
      </c>
      <c r="M2642" s="24" t="n"/>
      <c r="N2642" s="24" t="n"/>
      <c r="O2642" s="24" t="n"/>
      <c r="P2642" s="24" t="n"/>
      <c r="Q2642" s="22">
        <f>IF($D2642="","",IF(AND(OR(DANH_MUC!$L$5&lt;&gt;"Có",M2642="Có"),OR(DANH_MUC!$L$6&lt;&gt;"Có",N2642="Có"),OR(DANH_MUC!$L$7&lt;&gt;"Có",O2642="Có"),OR(DANH_MUC!$L$8&lt;&gt;"Có",P2642="Có")),"Có","Không"))</f>
        <v/>
      </c>
      <c r="R2642" s="22">
        <f>IF($D2642="","",IF(COUNTIF($D$2:$D2642,$D2642)&gt;1,"Trùng",""))</f>
        <v/>
      </c>
      <c r="S2642" s="22">
        <f>IF($D2642="","",IF(AND(LEN($D2642)=10,LEFT($D2642,1)="0",ISNUMBER(--$D2642)),"Có","Không"))</f>
        <v/>
      </c>
      <c r="T2642" s="22">
        <f>IF($D2642="","",IF(AND($C2642&lt;&gt;"",$Q2642="Có",$R2642="",$S2642="Có",AND($L2642&lt;&gt;"",OR($L2642&lt;&gt;"Chưa xác định",DANH_MUC!$L$9="Có"))),"Có","Không"))</f>
        <v/>
      </c>
      <c r="U2642" s="22">
        <f>IF(OR($D2642="",$T2642="Có"),"",IF($C2642="","Thiếu họ tên; ","")&amp;IF($S2642&lt;&gt;"Có","SĐT sai định dạng; ","")&amp;IF($R2642="Trùng","Trùng SĐT; ","")&amp;IF($Q2642&lt;&gt;"Có","Thiếu đồng ý bắt buộc; ","")&amp;IF($L2642="","Thiếu/sai Mã REF; ",IF(AND($L2642="Chưa xác định",DANH_MUC!$L$9&lt;&gt;"Có"),"Nguồn chưa xác định; ","")))</f>
        <v/>
      </c>
      <c r="V2642" s="22">
        <f>IF(OR($D2642="",$R2642="Trùng"),"",IF(COUNTIF(ORDERS!$C$2:$C$4995,$D2642)&gt;0,"Có","Không"))</f>
        <v/>
      </c>
      <c r="W2642" s="22">
        <f>IF(OR($D2642="",$R2642="Trùng"),"",COUNTIFS(ORDERS!$C$2:$C$4995,$D2642,ORDERS!$L$2:$L$4995,"Đã chuyển khoản"))</f>
        <v/>
      </c>
      <c r="X2642" s="23">
        <f>IF(OR($D2642="",$R2642="Trùng"),"",SUMIFS(ORDERS!$J$2:$J$4995,ORDERS!$C$2:$C$4995,$D2642,ORDERS!$L$2:$L$4995,"Đã chuyển khoản"))</f>
        <v/>
      </c>
      <c r="Y2642" s="24" t="n"/>
    </row>
    <row r="2643" ht="14.25" customHeight="1" s="40">
      <c r="A2643" s="24" t="n"/>
      <c r="B2643" s="27" t="n"/>
      <c r="C2643" s="24" t="n"/>
      <c r="D2643" s="28" t="n"/>
      <c r="E2643" s="29" t="n"/>
      <c r="F2643" s="24" t="n"/>
      <c r="G2643" s="24" t="n"/>
      <c r="H2643" s="21">
        <f>IF(ISNUMBER($B2643),INT($B2643)-WEEKDAY($B2643,2)+1,"")</f>
        <v/>
      </c>
      <c r="I2643" s="24" t="n"/>
      <c r="J2643" s="22">
        <f t="array" ref="J2643">IF($D2643="","",IF($I2643="","(trống REF)",IFERROR(INDEX(MASTER_SOURCE!$B$2:$B$495,MATCH($I2643,MASTER_SOURCE!$A$2:$A$495,0)),"(REF không có trong MASTER_SOURCE)")))</f>
        <v/>
      </c>
      <c r="K2643" s="22">
        <f t="array" ref="K2643">IF($D2643="","",IFERROR(INDEX(MASTER_SOURCE!$C$2:$C$495,MATCH($I2643,MASTER_SOURCE!$A$2:$A$495,0)),""))</f>
        <v/>
      </c>
      <c r="L2643" s="22">
        <f t="array" ref="L2643">IF($D2643="","",IFERROR(INDEX(MASTER_SOURCE!$D$2:$D$495,MATCH($I2643,MASTER_SOURCE!$A$2:$A$495,0)),""))</f>
        <v/>
      </c>
      <c r="M2643" s="24" t="n"/>
      <c r="N2643" s="24" t="n"/>
      <c r="O2643" s="24" t="n"/>
      <c r="P2643" s="24" t="n"/>
      <c r="Q2643" s="22">
        <f>IF($D2643="","",IF(AND(OR(DANH_MUC!$L$5&lt;&gt;"Có",M2643="Có"),OR(DANH_MUC!$L$6&lt;&gt;"Có",N2643="Có"),OR(DANH_MUC!$L$7&lt;&gt;"Có",O2643="Có"),OR(DANH_MUC!$L$8&lt;&gt;"Có",P2643="Có")),"Có","Không"))</f>
        <v/>
      </c>
      <c r="R2643" s="22">
        <f>IF($D2643="","",IF(COUNTIF($D$2:$D2643,$D2643)&gt;1,"Trùng",""))</f>
        <v/>
      </c>
      <c r="S2643" s="22">
        <f>IF($D2643="","",IF(AND(LEN($D2643)=10,LEFT($D2643,1)="0",ISNUMBER(--$D2643)),"Có","Không"))</f>
        <v/>
      </c>
      <c r="T2643" s="22">
        <f>IF($D2643="","",IF(AND($C2643&lt;&gt;"",$Q2643="Có",$R2643="",$S2643="Có",AND($L2643&lt;&gt;"",OR($L2643&lt;&gt;"Chưa xác định",DANH_MUC!$L$9="Có"))),"Có","Không"))</f>
        <v/>
      </c>
      <c r="U2643" s="22">
        <f>IF(OR($D2643="",$T2643="Có"),"",IF($C2643="","Thiếu họ tên; ","")&amp;IF($S2643&lt;&gt;"Có","SĐT sai định dạng; ","")&amp;IF($R2643="Trùng","Trùng SĐT; ","")&amp;IF($Q2643&lt;&gt;"Có","Thiếu đồng ý bắt buộc; ","")&amp;IF($L2643="","Thiếu/sai Mã REF; ",IF(AND($L2643="Chưa xác định",DANH_MUC!$L$9&lt;&gt;"Có"),"Nguồn chưa xác định; ","")))</f>
        <v/>
      </c>
      <c r="V2643" s="22">
        <f>IF(OR($D2643="",$R2643="Trùng"),"",IF(COUNTIF(ORDERS!$C$2:$C$4995,$D2643)&gt;0,"Có","Không"))</f>
        <v/>
      </c>
      <c r="W2643" s="22">
        <f>IF(OR($D2643="",$R2643="Trùng"),"",COUNTIFS(ORDERS!$C$2:$C$4995,$D2643,ORDERS!$L$2:$L$4995,"Đã chuyển khoản"))</f>
        <v/>
      </c>
      <c r="X2643" s="23">
        <f>IF(OR($D2643="",$R2643="Trùng"),"",SUMIFS(ORDERS!$J$2:$J$4995,ORDERS!$C$2:$C$4995,$D2643,ORDERS!$L$2:$L$4995,"Đã chuyển khoản"))</f>
        <v/>
      </c>
      <c r="Y2643" s="24" t="n"/>
    </row>
    <row r="2644" ht="14.25" customHeight="1" s="40">
      <c r="A2644" s="24" t="n"/>
      <c r="B2644" s="27" t="n"/>
      <c r="C2644" s="24" t="n"/>
      <c r="D2644" s="28" t="n"/>
      <c r="E2644" s="29" t="n"/>
      <c r="F2644" s="24" t="n"/>
      <c r="G2644" s="24" t="n"/>
      <c r="H2644" s="21">
        <f>IF(ISNUMBER($B2644),INT($B2644)-WEEKDAY($B2644,2)+1,"")</f>
        <v/>
      </c>
      <c r="I2644" s="24" t="n"/>
      <c r="J2644" s="22">
        <f t="array" ref="J2644">IF($D2644="","",IF($I2644="","(trống REF)",IFERROR(INDEX(MASTER_SOURCE!$B$2:$B$495,MATCH($I2644,MASTER_SOURCE!$A$2:$A$495,0)),"(REF không có trong MASTER_SOURCE)")))</f>
        <v/>
      </c>
      <c r="K2644" s="22">
        <f t="array" ref="K2644">IF($D2644="","",IFERROR(INDEX(MASTER_SOURCE!$C$2:$C$495,MATCH($I2644,MASTER_SOURCE!$A$2:$A$495,0)),""))</f>
        <v/>
      </c>
      <c r="L2644" s="22">
        <f t="array" ref="L2644">IF($D2644="","",IFERROR(INDEX(MASTER_SOURCE!$D$2:$D$495,MATCH($I2644,MASTER_SOURCE!$A$2:$A$495,0)),""))</f>
        <v/>
      </c>
      <c r="M2644" s="24" t="n"/>
      <c r="N2644" s="24" t="n"/>
      <c r="O2644" s="24" t="n"/>
      <c r="P2644" s="24" t="n"/>
      <c r="Q2644" s="22">
        <f>IF($D2644="","",IF(AND(OR(DANH_MUC!$L$5&lt;&gt;"Có",M2644="Có"),OR(DANH_MUC!$L$6&lt;&gt;"Có",N2644="Có"),OR(DANH_MUC!$L$7&lt;&gt;"Có",O2644="Có"),OR(DANH_MUC!$L$8&lt;&gt;"Có",P2644="Có")),"Có","Không"))</f>
        <v/>
      </c>
      <c r="R2644" s="22">
        <f>IF($D2644="","",IF(COUNTIF($D$2:$D2644,$D2644)&gt;1,"Trùng",""))</f>
        <v/>
      </c>
      <c r="S2644" s="22">
        <f>IF($D2644="","",IF(AND(LEN($D2644)=10,LEFT($D2644,1)="0",ISNUMBER(--$D2644)),"Có","Không"))</f>
        <v/>
      </c>
      <c r="T2644" s="22">
        <f>IF($D2644="","",IF(AND($C2644&lt;&gt;"",$Q2644="Có",$R2644="",$S2644="Có",AND($L2644&lt;&gt;"",OR($L2644&lt;&gt;"Chưa xác định",DANH_MUC!$L$9="Có"))),"Có","Không"))</f>
        <v/>
      </c>
      <c r="U2644" s="22">
        <f>IF(OR($D2644="",$T2644="Có"),"",IF($C2644="","Thiếu họ tên; ","")&amp;IF($S2644&lt;&gt;"Có","SĐT sai định dạng; ","")&amp;IF($R2644="Trùng","Trùng SĐT; ","")&amp;IF($Q2644&lt;&gt;"Có","Thiếu đồng ý bắt buộc; ","")&amp;IF($L2644="","Thiếu/sai Mã REF; ",IF(AND($L2644="Chưa xác định",DANH_MUC!$L$9&lt;&gt;"Có"),"Nguồn chưa xác định; ","")))</f>
        <v/>
      </c>
      <c r="V2644" s="22">
        <f>IF(OR($D2644="",$R2644="Trùng"),"",IF(COUNTIF(ORDERS!$C$2:$C$4995,$D2644)&gt;0,"Có","Không"))</f>
        <v/>
      </c>
      <c r="W2644" s="22">
        <f>IF(OR($D2644="",$R2644="Trùng"),"",COUNTIFS(ORDERS!$C$2:$C$4995,$D2644,ORDERS!$L$2:$L$4995,"Đã chuyển khoản"))</f>
        <v/>
      </c>
      <c r="X2644" s="23">
        <f>IF(OR($D2644="",$R2644="Trùng"),"",SUMIFS(ORDERS!$J$2:$J$4995,ORDERS!$C$2:$C$4995,$D2644,ORDERS!$L$2:$L$4995,"Đã chuyển khoản"))</f>
        <v/>
      </c>
      <c r="Y2644" s="24" t="n"/>
    </row>
    <row r="2645" ht="14.25" customHeight="1" s="40">
      <c r="A2645" s="24" t="n"/>
      <c r="B2645" s="27" t="n"/>
      <c r="C2645" s="24" t="n"/>
      <c r="D2645" s="28" t="n"/>
      <c r="E2645" s="29" t="n"/>
      <c r="F2645" s="24" t="n"/>
      <c r="G2645" s="24" t="n"/>
      <c r="H2645" s="21">
        <f>IF(ISNUMBER($B2645),INT($B2645)-WEEKDAY($B2645,2)+1,"")</f>
        <v/>
      </c>
      <c r="I2645" s="24" t="n"/>
      <c r="J2645" s="22">
        <f t="array" ref="J2645">IF($D2645="","",IF($I2645="","(trống REF)",IFERROR(INDEX(MASTER_SOURCE!$B$2:$B$495,MATCH($I2645,MASTER_SOURCE!$A$2:$A$495,0)),"(REF không có trong MASTER_SOURCE)")))</f>
        <v/>
      </c>
      <c r="K2645" s="22">
        <f t="array" ref="K2645">IF($D2645="","",IFERROR(INDEX(MASTER_SOURCE!$C$2:$C$495,MATCH($I2645,MASTER_SOURCE!$A$2:$A$495,0)),""))</f>
        <v/>
      </c>
      <c r="L2645" s="22">
        <f t="array" ref="L2645">IF($D2645="","",IFERROR(INDEX(MASTER_SOURCE!$D$2:$D$495,MATCH($I2645,MASTER_SOURCE!$A$2:$A$495,0)),""))</f>
        <v/>
      </c>
      <c r="M2645" s="24" t="n"/>
      <c r="N2645" s="24" t="n"/>
      <c r="O2645" s="24" t="n"/>
      <c r="P2645" s="24" t="n"/>
      <c r="Q2645" s="22">
        <f>IF($D2645="","",IF(AND(OR(DANH_MUC!$L$5&lt;&gt;"Có",M2645="Có"),OR(DANH_MUC!$L$6&lt;&gt;"Có",N2645="Có"),OR(DANH_MUC!$L$7&lt;&gt;"Có",O2645="Có"),OR(DANH_MUC!$L$8&lt;&gt;"Có",P2645="Có")),"Có","Không"))</f>
        <v/>
      </c>
      <c r="R2645" s="22">
        <f>IF($D2645="","",IF(COUNTIF($D$2:$D2645,$D2645)&gt;1,"Trùng",""))</f>
        <v/>
      </c>
      <c r="S2645" s="22">
        <f>IF($D2645="","",IF(AND(LEN($D2645)=10,LEFT($D2645,1)="0",ISNUMBER(--$D2645)),"Có","Không"))</f>
        <v/>
      </c>
      <c r="T2645" s="22">
        <f>IF($D2645="","",IF(AND($C2645&lt;&gt;"",$Q2645="Có",$R2645="",$S2645="Có",AND($L2645&lt;&gt;"",OR($L2645&lt;&gt;"Chưa xác định",DANH_MUC!$L$9="Có"))),"Có","Không"))</f>
        <v/>
      </c>
      <c r="U2645" s="22">
        <f>IF(OR($D2645="",$T2645="Có"),"",IF($C2645="","Thiếu họ tên; ","")&amp;IF($S2645&lt;&gt;"Có","SĐT sai định dạng; ","")&amp;IF($R2645="Trùng","Trùng SĐT; ","")&amp;IF($Q2645&lt;&gt;"Có","Thiếu đồng ý bắt buộc; ","")&amp;IF($L2645="","Thiếu/sai Mã REF; ",IF(AND($L2645="Chưa xác định",DANH_MUC!$L$9&lt;&gt;"Có"),"Nguồn chưa xác định; ","")))</f>
        <v/>
      </c>
      <c r="V2645" s="22">
        <f>IF(OR($D2645="",$R2645="Trùng"),"",IF(COUNTIF(ORDERS!$C$2:$C$4995,$D2645)&gt;0,"Có","Không"))</f>
        <v/>
      </c>
      <c r="W2645" s="22">
        <f>IF(OR($D2645="",$R2645="Trùng"),"",COUNTIFS(ORDERS!$C$2:$C$4995,$D2645,ORDERS!$L$2:$L$4995,"Đã chuyển khoản"))</f>
        <v/>
      </c>
      <c r="X2645" s="23">
        <f>IF(OR($D2645="",$R2645="Trùng"),"",SUMIFS(ORDERS!$J$2:$J$4995,ORDERS!$C$2:$C$4995,$D2645,ORDERS!$L$2:$L$4995,"Đã chuyển khoản"))</f>
        <v/>
      </c>
      <c r="Y2645" s="24" t="n"/>
    </row>
    <row r="2646" ht="14.25" customHeight="1" s="40">
      <c r="A2646" s="24" t="n"/>
      <c r="B2646" s="27" t="n"/>
      <c r="C2646" s="24" t="n"/>
      <c r="D2646" s="28" t="n"/>
      <c r="E2646" s="29" t="n"/>
      <c r="F2646" s="24" t="n"/>
      <c r="G2646" s="24" t="n"/>
      <c r="H2646" s="21">
        <f>IF(ISNUMBER($B2646),INT($B2646)-WEEKDAY($B2646,2)+1,"")</f>
        <v/>
      </c>
      <c r="I2646" s="24" t="n"/>
      <c r="J2646" s="22">
        <f t="array" ref="J2646">IF($D2646="","",IF($I2646="","(trống REF)",IFERROR(INDEX(MASTER_SOURCE!$B$2:$B$495,MATCH($I2646,MASTER_SOURCE!$A$2:$A$495,0)),"(REF không có trong MASTER_SOURCE)")))</f>
        <v/>
      </c>
      <c r="K2646" s="22">
        <f t="array" ref="K2646">IF($D2646="","",IFERROR(INDEX(MASTER_SOURCE!$C$2:$C$495,MATCH($I2646,MASTER_SOURCE!$A$2:$A$495,0)),""))</f>
        <v/>
      </c>
      <c r="L2646" s="22">
        <f t="array" ref="L2646">IF($D2646="","",IFERROR(INDEX(MASTER_SOURCE!$D$2:$D$495,MATCH($I2646,MASTER_SOURCE!$A$2:$A$495,0)),""))</f>
        <v/>
      </c>
      <c r="M2646" s="24" t="n"/>
      <c r="N2646" s="24" t="n"/>
      <c r="O2646" s="24" t="n"/>
      <c r="P2646" s="24" t="n"/>
      <c r="Q2646" s="22">
        <f>IF($D2646="","",IF(AND(OR(DANH_MUC!$L$5&lt;&gt;"Có",M2646="Có"),OR(DANH_MUC!$L$6&lt;&gt;"Có",N2646="Có"),OR(DANH_MUC!$L$7&lt;&gt;"Có",O2646="Có"),OR(DANH_MUC!$L$8&lt;&gt;"Có",P2646="Có")),"Có","Không"))</f>
        <v/>
      </c>
      <c r="R2646" s="22">
        <f>IF($D2646="","",IF(COUNTIF($D$2:$D2646,$D2646)&gt;1,"Trùng",""))</f>
        <v/>
      </c>
      <c r="S2646" s="22">
        <f>IF($D2646="","",IF(AND(LEN($D2646)=10,LEFT($D2646,1)="0",ISNUMBER(--$D2646)),"Có","Không"))</f>
        <v/>
      </c>
      <c r="T2646" s="22">
        <f>IF($D2646="","",IF(AND($C2646&lt;&gt;"",$Q2646="Có",$R2646="",$S2646="Có",AND($L2646&lt;&gt;"",OR($L2646&lt;&gt;"Chưa xác định",DANH_MUC!$L$9="Có"))),"Có","Không"))</f>
        <v/>
      </c>
      <c r="U2646" s="22">
        <f>IF(OR($D2646="",$T2646="Có"),"",IF($C2646="","Thiếu họ tên; ","")&amp;IF($S2646&lt;&gt;"Có","SĐT sai định dạng; ","")&amp;IF($R2646="Trùng","Trùng SĐT; ","")&amp;IF($Q2646&lt;&gt;"Có","Thiếu đồng ý bắt buộc; ","")&amp;IF($L2646="","Thiếu/sai Mã REF; ",IF(AND($L2646="Chưa xác định",DANH_MUC!$L$9&lt;&gt;"Có"),"Nguồn chưa xác định; ","")))</f>
        <v/>
      </c>
      <c r="V2646" s="22">
        <f>IF(OR($D2646="",$R2646="Trùng"),"",IF(COUNTIF(ORDERS!$C$2:$C$4995,$D2646)&gt;0,"Có","Không"))</f>
        <v/>
      </c>
      <c r="W2646" s="22">
        <f>IF(OR($D2646="",$R2646="Trùng"),"",COUNTIFS(ORDERS!$C$2:$C$4995,$D2646,ORDERS!$L$2:$L$4995,"Đã chuyển khoản"))</f>
        <v/>
      </c>
      <c r="X2646" s="23">
        <f>IF(OR($D2646="",$R2646="Trùng"),"",SUMIFS(ORDERS!$J$2:$J$4995,ORDERS!$C$2:$C$4995,$D2646,ORDERS!$L$2:$L$4995,"Đã chuyển khoản"))</f>
        <v/>
      </c>
      <c r="Y2646" s="24" t="n"/>
    </row>
    <row r="2647" ht="14.25" customHeight="1" s="40">
      <c r="A2647" s="24" t="n"/>
      <c r="B2647" s="27" t="n"/>
      <c r="C2647" s="24" t="n"/>
      <c r="D2647" s="28" t="n"/>
      <c r="E2647" s="29" t="n"/>
      <c r="F2647" s="24" t="n"/>
      <c r="G2647" s="24" t="n"/>
      <c r="H2647" s="21">
        <f>IF(ISNUMBER($B2647),INT($B2647)-WEEKDAY($B2647,2)+1,"")</f>
        <v/>
      </c>
      <c r="I2647" s="24" t="n"/>
      <c r="J2647" s="22">
        <f t="array" ref="J2647">IF($D2647="","",IF($I2647="","(trống REF)",IFERROR(INDEX(MASTER_SOURCE!$B$2:$B$495,MATCH($I2647,MASTER_SOURCE!$A$2:$A$495,0)),"(REF không có trong MASTER_SOURCE)")))</f>
        <v/>
      </c>
      <c r="K2647" s="22">
        <f t="array" ref="K2647">IF($D2647="","",IFERROR(INDEX(MASTER_SOURCE!$C$2:$C$495,MATCH($I2647,MASTER_SOURCE!$A$2:$A$495,0)),""))</f>
        <v/>
      </c>
      <c r="L2647" s="22">
        <f t="array" ref="L2647">IF($D2647="","",IFERROR(INDEX(MASTER_SOURCE!$D$2:$D$495,MATCH($I2647,MASTER_SOURCE!$A$2:$A$495,0)),""))</f>
        <v/>
      </c>
      <c r="M2647" s="24" t="n"/>
      <c r="N2647" s="24" t="n"/>
      <c r="O2647" s="24" t="n"/>
      <c r="P2647" s="24" t="n"/>
      <c r="Q2647" s="22">
        <f>IF($D2647="","",IF(AND(OR(DANH_MUC!$L$5&lt;&gt;"Có",M2647="Có"),OR(DANH_MUC!$L$6&lt;&gt;"Có",N2647="Có"),OR(DANH_MUC!$L$7&lt;&gt;"Có",O2647="Có"),OR(DANH_MUC!$L$8&lt;&gt;"Có",P2647="Có")),"Có","Không"))</f>
        <v/>
      </c>
      <c r="R2647" s="22">
        <f>IF($D2647="","",IF(COUNTIF($D$2:$D2647,$D2647)&gt;1,"Trùng",""))</f>
        <v/>
      </c>
      <c r="S2647" s="22">
        <f>IF($D2647="","",IF(AND(LEN($D2647)=10,LEFT($D2647,1)="0",ISNUMBER(--$D2647)),"Có","Không"))</f>
        <v/>
      </c>
      <c r="T2647" s="22">
        <f>IF($D2647="","",IF(AND($C2647&lt;&gt;"",$Q2647="Có",$R2647="",$S2647="Có",AND($L2647&lt;&gt;"",OR($L2647&lt;&gt;"Chưa xác định",DANH_MUC!$L$9="Có"))),"Có","Không"))</f>
        <v/>
      </c>
      <c r="U2647" s="22">
        <f>IF(OR($D2647="",$T2647="Có"),"",IF($C2647="","Thiếu họ tên; ","")&amp;IF($S2647&lt;&gt;"Có","SĐT sai định dạng; ","")&amp;IF($R2647="Trùng","Trùng SĐT; ","")&amp;IF($Q2647&lt;&gt;"Có","Thiếu đồng ý bắt buộc; ","")&amp;IF($L2647="","Thiếu/sai Mã REF; ",IF(AND($L2647="Chưa xác định",DANH_MUC!$L$9&lt;&gt;"Có"),"Nguồn chưa xác định; ","")))</f>
        <v/>
      </c>
      <c r="V2647" s="22">
        <f>IF(OR($D2647="",$R2647="Trùng"),"",IF(COUNTIF(ORDERS!$C$2:$C$4995,$D2647)&gt;0,"Có","Không"))</f>
        <v/>
      </c>
      <c r="W2647" s="22">
        <f>IF(OR($D2647="",$R2647="Trùng"),"",COUNTIFS(ORDERS!$C$2:$C$4995,$D2647,ORDERS!$L$2:$L$4995,"Đã chuyển khoản"))</f>
        <v/>
      </c>
      <c r="X2647" s="23">
        <f>IF(OR($D2647="",$R2647="Trùng"),"",SUMIFS(ORDERS!$J$2:$J$4995,ORDERS!$C$2:$C$4995,$D2647,ORDERS!$L$2:$L$4995,"Đã chuyển khoản"))</f>
        <v/>
      </c>
      <c r="Y2647" s="24" t="n"/>
    </row>
    <row r="2648" ht="14.25" customHeight="1" s="40">
      <c r="A2648" s="24" t="n"/>
      <c r="B2648" s="27" t="n"/>
      <c r="C2648" s="24" t="n"/>
      <c r="D2648" s="28" t="n"/>
      <c r="E2648" s="29" t="n"/>
      <c r="F2648" s="24" t="n"/>
      <c r="G2648" s="24" t="n"/>
      <c r="H2648" s="21">
        <f>IF(ISNUMBER($B2648),INT($B2648)-WEEKDAY($B2648,2)+1,"")</f>
        <v/>
      </c>
      <c r="I2648" s="24" t="n"/>
      <c r="J2648" s="22">
        <f t="array" ref="J2648">IF($D2648="","",IF($I2648="","(trống REF)",IFERROR(INDEX(MASTER_SOURCE!$B$2:$B$495,MATCH($I2648,MASTER_SOURCE!$A$2:$A$495,0)),"(REF không có trong MASTER_SOURCE)")))</f>
        <v/>
      </c>
      <c r="K2648" s="22">
        <f t="array" ref="K2648">IF($D2648="","",IFERROR(INDEX(MASTER_SOURCE!$C$2:$C$495,MATCH($I2648,MASTER_SOURCE!$A$2:$A$495,0)),""))</f>
        <v/>
      </c>
      <c r="L2648" s="22">
        <f t="array" ref="L2648">IF($D2648="","",IFERROR(INDEX(MASTER_SOURCE!$D$2:$D$495,MATCH($I2648,MASTER_SOURCE!$A$2:$A$495,0)),""))</f>
        <v/>
      </c>
      <c r="M2648" s="24" t="n"/>
      <c r="N2648" s="24" t="n"/>
      <c r="O2648" s="24" t="n"/>
      <c r="P2648" s="24" t="n"/>
      <c r="Q2648" s="22">
        <f>IF($D2648="","",IF(AND(OR(DANH_MUC!$L$5&lt;&gt;"Có",M2648="Có"),OR(DANH_MUC!$L$6&lt;&gt;"Có",N2648="Có"),OR(DANH_MUC!$L$7&lt;&gt;"Có",O2648="Có"),OR(DANH_MUC!$L$8&lt;&gt;"Có",P2648="Có")),"Có","Không"))</f>
        <v/>
      </c>
      <c r="R2648" s="22">
        <f>IF($D2648="","",IF(COUNTIF($D$2:$D2648,$D2648)&gt;1,"Trùng",""))</f>
        <v/>
      </c>
      <c r="S2648" s="22">
        <f>IF($D2648="","",IF(AND(LEN($D2648)=10,LEFT($D2648,1)="0",ISNUMBER(--$D2648)),"Có","Không"))</f>
        <v/>
      </c>
      <c r="T2648" s="22">
        <f>IF($D2648="","",IF(AND($C2648&lt;&gt;"",$Q2648="Có",$R2648="",$S2648="Có",AND($L2648&lt;&gt;"",OR($L2648&lt;&gt;"Chưa xác định",DANH_MUC!$L$9="Có"))),"Có","Không"))</f>
        <v/>
      </c>
      <c r="U2648" s="22">
        <f>IF(OR($D2648="",$T2648="Có"),"",IF($C2648="","Thiếu họ tên; ","")&amp;IF($S2648&lt;&gt;"Có","SĐT sai định dạng; ","")&amp;IF($R2648="Trùng","Trùng SĐT; ","")&amp;IF($Q2648&lt;&gt;"Có","Thiếu đồng ý bắt buộc; ","")&amp;IF($L2648="","Thiếu/sai Mã REF; ",IF(AND($L2648="Chưa xác định",DANH_MUC!$L$9&lt;&gt;"Có"),"Nguồn chưa xác định; ","")))</f>
        <v/>
      </c>
      <c r="V2648" s="22">
        <f>IF(OR($D2648="",$R2648="Trùng"),"",IF(COUNTIF(ORDERS!$C$2:$C$4995,$D2648)&gt;0,"Có","Không"))</f>
        <v/>
      </c>
      <c r="W2648" s="22">
        <f>IF(OR($D2648="",$R2648="Trùng"),"",COUNTIFS(ORDERS!$C$2:$C$4995,$D2648,ORDERS!$L$2:$L$4995,"Đã chuyển khoản"))</f>
        <v/>
      </c>
      <c r="X2648" s="23">
        <f>IF(OR($D2648="",$R2648="Trùng"),"",SUMIFS(ORDERS!$J$2:$J$4995,ORDERS!$C$2:$C$4995,$D2648,ORDERS!$L$2:$L$4995,"Đã chuyển khoản"))</f>
        <v/>
      </c>
      <c r="Y2648" s="24" t="n"/>
    </row>
    <row r="2649" ht="14.25" customHeight="1" s="40">
      <c r="A2649" s="24" t="n"/>
      <c r="B2649" s="27" t="n"/>
      <c r="C2649" s="24" t="n"/>
      <c r="D2649" s="28" t="n"/>
      <c r="E2649" s="29" t="n"/>
      <c r="F2649" s="24" t="n"/>
      <c r="G2649" s="24" t="n"/>
      <c r="H2649" s="21">
        <f>IF(ISNUMBER($B2649),INT($B2649)-WEEKDAY($B2649,2)+1,"")</f>
        <v/>
      </c>
      <c r="I2649" s="24" t="n"/>
      <c r="J2649" s="22">
        <f t="array" ref="J2649">IF($D2649="","",IF($I2649="","(trống REF)",IFERROR(INDEX(MASTER_SOURCE!$B$2:$B$495,MATCH($I2649,MASTER_SOURCE!$A$2:$A$495,0)),"(REF không có trong MASTER_SOURCE)")))</f>
        <v/>
      </c>
      <c r="K2649" s="22">
        <f t="array" ref="K2649">IF($D2649="","",IFERROR(INDEX(MASTER_SOURCE!$C$2:$C$495,MATCH($I2649,MASTER_SOURCE!$A$2:$A$495,0)),""))</f>
        <v/>
      </c>
      <c r="L2649" s="22">
        <f t="array" ref="L2649">IF($D2649="","",IFERROR(INDEX(MASTER_SOURCE!$D$2:$D$495,MATCH($I2649,MASTER_SOURCE!$A$2:$A$495,0)),""))</f>
        <v/>
      </c>
      <c r="M2649" s="24" t="n"/>
      <c r="N2649" s="24" t="n"/>
      <c r="O2649" s="24" t="n"/>
      <c r="P2649" s="24" t="n"/>
      <c r="Q2649" s="22">
        <f>IF($D2649="","",IF(AND(OR(DANH_MUC!$L$5&lt;&gt;"Có",M2649="Có"),OR(DANH_MUC!$L$6&lt;&gt;"Có",N2649="Có"),OR(DANH_MUC!$L$7&lt;&gt;"Có",O2649="Có"),OR(DANH_MUC!$L$8&lt;&gt;"Có",P2649="Có")),"Có","Không"))</f>
        <v/>
      </c>
      <c r="R2649" s="22">
        <f>IF($D2649="","",IF(COUNTIF($D$2:$D2649,$D2649)&gt;1,"Trùng",""))</f>
        <v/>
      </c>
      <c r="S2649" s="22">
        <f>IF($D2649="","",IF(AND(LEN($D2649)=10,LEFT($D2649,1)="0",ISNUMBER(--$D2649)),"Có","Không"))</f>
        <v/>
      </c>
      <c r="T2649" s="22">
        <f>IF($D2649="","",IF(AND($C2649&lt;&gt;"",$Q2649="Có",$R2649="",$S2649="Có",AND($L2649&lt;&gt;"",OR($L2649&lt;&gt;"Chưa xác định",DANH_MUC!$L$9="Có"))),"Có","Không"))</f>
        <v/>
      </c>
      <c r="U2649" s="22">
        <f>IF(OR($D2649="",$T2649="Có"),"",IF($C2649="","Thiếu họ tên; ","")&amp;IF($S2649&lt;&gt;"Có","SĐT sai định dạng; ","")&amp;IF($R2649="Trùng","Trùng SĐT; ","")&amp;IF($Q2649&lt;&gt;"Có","Thiếu đồng ý bắt buộc; ","")&amp;IF($L2649="","Thiếu/sai Mã REF; ",IF(AND($L2649="Chưa xác định",DANH_MUC!$L$9&lt;&gt;"Có"),"Nguồn chưa xác định; ","")))</f>
        <v/>
      </c>
      <c r="V2649" s="22">
        <f>IF(OR($D2649="",$R2649="Trùng"),"",IF(COUNTIF(ORDERS!$C$2:$C$4995,$D2649)&gt;0,"Có","Không"))</f>
        <v/>
      </c>
      <c r="W2649" s="22">
        <f>IF(OR($D2649="",$R2649="Trùng"),"",COUNTIFS(ORDERS!$C$2:$C$4995,$D2649,ORDERS!$L$2:$L$4995,"Đã chuyển khoản"))</f>
        <v/>
      </c>
      <c r="X2649" s="23">
        <f>IF(OR($D2649="",$R2649="Trùng"),"",SUMIFS(ORDERS!$J$2:$J$4995,ORDERS!$C$2:$C$4995,$D2649,ORDERS!$L$2:$L$4995,"Đã chuyển khoản"))</f>
        <v/>
      </c>
      <c r="Y2649" s="24" t="n"/>
    </row>
    <row r="2650" ht="14.25" customHeight="1" s="40">
      <c r="A2650" s="24" t="n"/>
      <c r="B2650" s="27" t="n"/>
      <c r="C2650" s="24" t="n"/>
      <c r="D2650" s="28" t="n"/>
      <c r="E2650" s="29" t="n"/>
      <c r="F2650" s="24" t="n"/>
      <c r="G2650" s="24" t="n"/>
      <c r="H2650" s="21">
        <f>IF(ISNUMBER($B2650),INT($B2650)-WEEKDAY($B2650,2)+1,"")</f>
        <v/>
      </c>
      <c r="I2650" s="24" t="n"/>
      <c r="J2650" s="22">
        <f t="array" ref="J2650">IF($D2650="","",IF($I2650="","(trống REF)",IFERROR(INDEX(MASTER_SOURCE!$B$2:$B$495,MATCH($I2650,MASTER_SOURCE!$A$2:$A$495,0)),"(REF không có trong MASTER_SOURCE)")))</f>
        <v/>
      </c>
      <c r="K2650" s="22">
        <f t="array" ref="K2650">IF($D2650="","",IFERROR(INDEX(MASTER_SOURCE!$C$2:$C$495,MATCH($I2650,MASTER_SOURCE!$A$2:$A$495,0)),""))</f>
        <v/>
      </c>
      <c r="L2650" s="22">
        <f t="array" ref="L2650">IF($D2650="","",IFERROR(INDEX(MASTER_SOURCE!$D$2:$D$495,MATCH($I2650,MASTER_SOURCE!$A$2:$A$495,0)),""))</f>
        <v/>
      </c>
      <c r="M2650" s="24" t="n"/>
      <c r="N2650" s="24" t="n"/>
      <c r="O2650" s="24" t="n"/>
      <c r="P2650" s="24" t="n"/>
      <c r="Q2650" s="22">
        <f>IF($D2650="","",IF(AND(OR(DANH_MUC!$L$5&lt;&gt;"Có",M2650="Có"),OR(DANH_MUC!$L$6&lt;&gt;"Có",N2650="Có"),OR(DANH_MUC!$L$7&lt;&gt;"Có",O2650="Có"),OR(DANH_MUC!$L$8&lt;&gt;"Có",P2650="Có")),"Có","Không"))</f>
        <v/>
      </c>
      <c r="R2650" s="22">
        <f>IF($D2650="","",IF(COUNTIF($D$2:$D2650,$D2650)&gt;1,"Trùng",""))</f>
        <v/>
      </c>
      <c r="S2650" s="22">
        <f>IF($D2650="","",IF(AND(LEN($D2650)=10,LEFT($D2650,1)="0",ISNUMBER(--$D2650)),"Có","Không"))</f>
        <v/>
      </c>
      <c r="T2650" s="22">
        <f>IF($D2650="","",IF(AND($C2650&lt;&gt;"",$Q2650="Có",$R2650="",$S2650="Có",AND($L2650&lt;&gt;"",OR($L2650&lt;&gt;"Chưa xác định",DANH_MUC!$L$9="Có"))),"Có","Không"))</f>
        <v/>
      </c>
      <c r="U2650" s="22">
        <f>IF(OR($D2650="",$T2650="Có"),"",IF($C2650="","Thiếu họ tên; ","")&amp;IF($S2650&lt;&gt;"Có","SĐT sai định dạng; ","")&amp;IF($R2650="Trùng","Trùng SĐT; ","")&amp;IF($Q2650&lt;&gt;"Có","Thiếu đồng ý bắt buộc; ","")&amp;IF($L2650="","Thiếu/sai Mã REF; ",IF(AND($L2650="Chưa xác định",DANH_MUC!$L$9&lt;&gt;"Có"),"Nguồn chưa xác định; ","")))</f>
        <v/>
      </c>
      <c r="V2650" s="22">
        <f>IF(OR($D2650="",$R2650="Trùng"),"",IF(COUNTIF(ORDERS!$C$2:$C$4995,$D2650)&gt;0,"Có","Không"))</f>
        <v/>
      </c>
      <c r="W2650" s="22">
        <f>IF(OR($D2650="",$R2650="Trùng"),"",COUNTIFS(ORDERS!$C$2:$C$4995,$D2650,ORDERS!$L$2:$L$4995,"Đã chuyển khoản"))</f>
        <v/>
      </c>
      <c r="X2650" s="23">
        <f>IF(OR($D2650="",$R2650="Trùng"),"",SUMIFS(ORDERS!$J$2:$J$4995,ORDERS!$C$2:$C$4995,$D2650,ORDERS!$L$2:$L$4995,"Đã chuyển khoản"))</f>
        <v/>
      </c>
      <c r="Y2650" s="24" t="n"/>
    </row>
    <row r="2651" ht="14.25" customHeight="1" s="40">
      <c r="A2651" s="24" t="n"/>
      <c r="B2651" s="27" t="n"/>
      <c r="C2651" s="24" t="n"/>
      <c r="D2651" s="28" t="n"/>
      <c r="E2651" s="29" t="n"/>
      <c r="F2651" s="24" t="n"/>
      <c r="G2651" s="24" t="n"/>
      <c r="H2651" s="21">
        <f>IF(ISNUMBER($B2651),INT($B2651)-WEEKDAY($B2651,2)+1,"")</f>
        <v/>
      </c>
      <c r="I2651" s="24" t="n"/>
      <c r="J2651" s="22">
        <f t="array" ref="J2651">IF($D2651="","",IF($I2651="","(trống REF)",IFERROR(INDEX(MASTER_SOURCE!$B$2:$B$495,MATCH($I2651,MASTER_SOURCE!$A$2:$A$495,0)),"(REF không có trong MASTER_SOURCE)")))</f>
        <v/>
      </c>
      <c r="K2651" s="22">
        <f t="array" ref="K2651">IF($D2651="","",IFERROR(INDEX(MASTER_SOURCE!$C$2:$C$495,MATCH($I2651,MASTER_SOURCE!$A$2:$A$495,0)),""))</f>
        <v/>
      </c>
      <c r="L2651" s="22">
        <f t="array" ref="L2651">IF($D2651="","",IFERROR(INDEX(MASTER_SOURCE!$D$2:$D$495,MATCH($I2651,MASTER_SOURCE!$A$2:$A$495,0)),""))</f>
        <v/>
      </c>
      <c r="M2651" s="24" t="n"/>
      <c r="N2651" s="24" t="n"/>
      <c r="O2651" s="24" t="n"/>
      <c r="P2651" s="24" t="n"/>
      <c r="Q2651" s="22">
        <f>IF($D2651="","",IF(AND(OR(DANH_MUC!$L$5&lt;&gt;"Có",M2651="Có"),OR(DANH_MUC!$L$6&lt;&gt;"Có",N2651="Có"),OR(DANH_MUC!$L$7&lt;&gt;"Có",O2651="Có"),OR(DANH_MUC!$L$8&lt;&gt;"Có",P2651="Có")),"Có","Không"))</f>
        <v/>
      </c>
      <c r="R2651" s="22">
        <f>IF($D2651="","",IF(COUNTIF($D$2:$D2651,$D2651)&gt;1,"Trùng",""))</f>
        <v/>
      </c>
      <c r="S2651" s="22">
        <f>IF($D2651="","",IF(AND(LEN($D2651)=10,LEFT($D2651,1)="0",ISNUMBER(--$D2651)),"Có","Không"))</f>
        <v/>
      </c>
      <c r="T2651" s="22">
        <f>IF($D2651="","",IF(AND($C2651&lt;&gt;"",$Q2651="Có",$R2651="",$S2651="Có",AND($L2651&lt;&gt;"",OR($L2651&lt;&gt;"Chưa xác định",DANH_MUC!$L$9="Có"))),"Có","Không"))</f>
        <v/>
      </c>
      <c r="U2651" s="22">
        <f>IF(OR($D2651="",$T2651="Có"),"",IF($C2651="","Thiếu họ tên; ","")&amp;IF($S2651&lt;&gt;"Có","SĐT sai định dạng; ","")&amp;IF($R2651="Trùng","Trùng SĐT; ","")&amp;IF($Q2651&lt;&gt;"Có","Thiếu đồng ý bắt buộc; ","")&amp;IF($L2651="","Thiếu/sai Mã REF; ",IF(AND($L2651="Chưa xác định",DANH_MUC!$L$9&lt;&gt;"Có"),"Nguồn chưa xác định; ","")))</f>
        <v/>
      </c>
      <c r="V2651" s="22">
        <f>IF(OR($D2651="",$R2651="Trùng"),"",IF(COUNTIF(ORDERS!$C$2:$C$4995,$D2651)&gt;0,"Có","Không"))</f>
        <v/>
      </c>
      <c r="W2651" s="22">
        <f>IF(OR($D2651="",$R2651="Trùng"),"",COUNTIFS(ORDERS!$C$2:$C$4995,$D2651,ORDERS!$L$2:$L$4995,"Đã chuyển khoản"))</f>
        <v/>
      </c>
      <c r="X2651" s="23">
        <f>IF(OR($D2651="",$R2651="Trùng"),"",SUMIFS(ORDERS!$J$2:$J$4995,ORDERS!$C$2:$C$4995,$D2651,ORDERS!$L$2:$L$4995,"Đã chuyển khoản"))</f>
        <v/>
      </c>
      <c r="Y2651" s="24" t="n"/>
    </row>
    <row r="2652" ht="14.25" customHeight="1" s="40">
      <c r="A2652" s="24" t="n"/>
      <c r="B2652" s="27" t="n"/>
      <c r="C2652" s="24" t="n"/>
      <c r="D2652" s="28" t="n"/>
      <c r="E2652" s="29" t="n"/>
      <c r="F2652" s="24" t="n"/>
      <c r="G2652" s="24" t="n"/>
      <c r="H2652" s="21">
        <f>IF(ISNUMBER($B2652),INT($B2652)-WEEKDAY($B2652,2)+1,"")</f>
        <v/>
      </c>
      <c r="I2652" s="24" t="n"/>
      <c r="J2652" s="22">
        <f t="array" ref="J2652">IF($D2652="","",IF($I2652="","(trống REF)",IFERROR(INDEX(MASTER_SOURCE!$B$2:$B$495,MATCH($I2652,MASTER_SOURCE!$A$2:$A$495,0)),"(REF không có trong MASTER_SOURCE)")))</f>
        <v/>
      </c>
      <c r="K2652" s="22">
        <f t="array" ref="K2652">IF($D2652="","",IFERROR(INDEX(MASTER_SOURCE!$C$2:$C$495,MATCH($I2652,MASTER_SOURCE!$A$2:$A$495,0)),""))</f>
        <v/>
      </c>
      <c r="L2652" s="22">
        <f t="array" ref="L2652">IF($D2652="","",IFERROR(INDEX(MASTER_SOURCE!$D$2:$D$495,MATCH($I2652,MASTER_SOURCE!$A$2:$A$495,0)),""))</f>
        <v/>
      </c>
      <c r="M2652" s="24" t="n"/>
      <c r="N2652" s="24" t="n"/>
      <c r="O2652" s="24" t="n"/>
      <c r="P2652" s="24" t="n"/>
      <c r="Q2652" s="22">
        <f>IF($D2652="","",IF(AND(OR(DANH_MUC!$L$5&lt;&gt;"Có",M2652="Có"),OR(DANH_MUC!$L$6&lt;&gt;"Có",N2652="Có"),OR(DANH_MUC!$L$7&lt;&gt;"Có",O2652="Có"),OR(DANH_MUC!$L$8&lt;&gt;"Có",P2652="Có")),"Có","Không"))</f>
        <v/>
      </c>
      <c r="R2652" s="22">
        <f>IF($D2652="","",IF(COUNTIF($D$2:$D2652,$D2652)&gt;1,"Trùng",""))</f>
        <v/>
      </c>
      <c r="S2652" s="22">
        <f>IF($D2652="","",IF(AND(LEN($D2652)=10,LEFT($D2652,1)="0",ISNUMBER(--$D2652)),"Có","Không"))</f>
        <v/>
      </c>
      <c r="T2652" s="22">
        <f>IF($D2652="","",IF(AND($C2652&lt;&gt;"",$Q2652="Có",$R2652="",$S2652="Có",AND($L2652&lt;&gt;"",OR($L2652&lt;&gt;"Chưa xác định",DANH_MUC!$L$9="Có"))),"Có","Không"))</f>
        <v/>
      </c>
      <c r="U2652" s="22">
        <f>IF(OR($D2652="",$T2652="Có"),"",IF($C2652="","Thiếu họ tên; ","")&amp;IF($S2652&lt;&gt;"Có","SĐT sai định dạng; ","")&amp;IF($R2652="Trùng","Trùng SĐT; ","")&amp;IF($Q2652&lt;&gt;"Có","Thiếu đồng ý bắt buộc; ","")&amp;IF($L2652="","Thiếu/sai Mã REF; ",IF(AND($L2652="Chưa xác định",DANH_MUC!$L$9&lt;&gt;"Có"),"Nguồn chưa xác định; ","")))</f>
        <v/>
      </c>
      <c r="V2652" s="22">
        <f>IF(OR($D2652="",$R2652="Trùng"),"",IF(COUNTIF(ORDERS!$C$2:$C$4995,$D2652)&gt;0,"Có","Không"))</f>
        <v/>
      </c>
      <c r="W2652" s="22">
        <f>IF(OR($D2652="",$R2652="Trùng"),"",COUNTIFS(ORDERS!$C$2:$C$4995,$D2652,ORDERS!$L$2:$L$4995,"Đã chuyển khoản"))</f>
        <v/>
      </c>
      <c r="X2652" s="23">
        <f>IF(OR($D2652="",$R2652="Trùng"),"",SUMIFS(ORDERS!$J$2:$J$4995,ORDERS!$C$2:$C$4995,$D2652,ORDERS!$L$2:$L$4995,"Đã chuyển khoản"))</f>
        <v/>
      </c>
      <c r="Y2652" s="24" t="n"/>
    </row>
    <row r="2653" ht="14.25" customHeight="1" s="40">
      <c r="A2653" s="24" t="n"/>
      <c r="B2653" s="27" t="n"/>
      <c r="C2653" s="24" t="n"/>
      <c r="D2653" s="28" t="n"/>
      <c r="E2653" s="29" t="n"/>
      <c r="F2653" s="24" t="n"/>
      <c r="G2653" s="24" t="n"/>
      <c r="H2653" s="21">
        <f>IF(ISNUMBER($B2653),INT($B2653)-WEEKDAY($B2653,2)+1,"")</f>
        <v/>
      </c>
      <c r="I2653" s="24" t="n"/>
      <c r="J2653" s="22">
        <f t="array" ref="J2653">IF($D2653="","",IF($I2653="","(trống REF)",IFERROR(INDEX(MASTER_SOURCE!$B$2:$B$495,MATCH($I2653,MASTER_SOURCE!$A$2:$A$495,0)),"(REF không có trong MASTER_SOURCE)")))</f>
        <v/>
      </c>
      <c r="K2653" s="22">
        <f t="array" ref="K2653">IF($D2653="","",IFERROR(INDEX(MASTER_SOURCE!$C$2:$C$495,MATCH($I2653,MASTER_SOURCE!$A$2:$A$495,0)),""))</f>
        <v/>
      </c>
      <c r="L2653" s="22">
        <f t="array" ref="L2653">IF($D2653="","",IFERROR(INDEX(MASTER_SOURCE!$D$2:$D$495,MATCH($I2653,MASTER_SOURCE!$A$2:$A$495,0)),""))</f>
        <v/>
      </c>
      <c r="M2653" s="24" t="n"/>
      <c r="N2653" s="24" t="n"/>
      <c r="O2653" s="24" t="n"/>
      <c r="P2653" s="24" t="n"/>
      <c r="Q2653" s="22">
        <f>IF($D2653="","",IF(AND(OR(DANH_MUC!$L$5&lt;&gt;"Có",M2653="Có"),OR(DANH_MUC!$L$6&lt;&gt;"Có",N2653="Có"),OR(DANH_MUC!$L$7&lt;&gt;"Có",O2653="Có"),OR(DANH_MUC!$L$8&lt;&gt;"Có",P2653="Có")),"Có","Không"))</f>
        <v/>
      </c>
      <c r="R2653" s="22">
        <f>IF($D2653="","",IF(COUNTIF($D$2:$D2653,$D2653)&gt;1,"Trùng",""))</f>
        <v/>
      </c>
      <c r="S2653" s="22">
        <f>IF($D2653="","",IF(AND(LEN($D2653)=10,LEFT($D2653,1)="0",ISNUMBER(--$D2653)),"Có","Không"))</f>
        <v/>
      </c>
      <c r="T2653" s="22">
        <f>IF($D2653="","",IF(AND($C2653&lt;&gt;"",$Q2653="Có",$R2653="",$S2653="Có",AND($L2653&lt;&gt;"",OR($L2653&lt;&gt;"Chưa xác định",DANH_MUC!$L$9="Có"))),"Có","Không"))</f>
        <v/>
      </c>
      <c r="U2653" s="22">
        <f>IF(OR($D2653="",$T2653="Có"),"",IF($C2653="","Thiếu họ tên; ","")&amp;IF($S2653&lt;&gt;"Có","SĐT sai định dạng; ","")&amp;IF($R2653="Trùng","Trùng SĐT; ","")&amp;IF($Q2653&lt;&gt;"Có","Thiếu đồng ý bắt buộc; ","")&amp;IF($L2653="","Thiếu/sai Mã REF; ",IF(AND($L2653="Chưa xác định",DANH_MUC!$L$9&lt;&gt;"Có"),"Nguồn chưa xác định; ","")))</f>
        <v/>
      </c>
      <c r="V2653" s="22">
        <f>IF(OR($D2653="",$R2653="Trùng"),"",IF(COUNTIF(ORDERS!$C$2:$C$4995,$D2653)&gt;0,"Có","Không"))</f>
        <v/>
      </c>
      <c r="W2653" s="22">
        <f>IF(OR($D2653="",$R2653="Trùng"),"",COUNTIFS(ORDERS!$C$2:$C$4995,$D2653,ORDERS!$L$2:$L$4995,"Đã chuyển khoản"))</f>
        <v/>
      </c>
      <c r="X2653" s="23">
        <f>IF(OR($D2653="",$R2653="Trùng"),"",SUMIFS(ORDERS!$J$2:$J$4995,ORDERS!$C$2:$C$4995,$D2653,ORDERS!$L$2:$L$4995,"Đã chuyển khoản"))</f>
        <v/>
      </c>
      <c r="Y2653" s="24" t="n"/>
    </row>
    <row r="2654" ht="14.25" customHeight="1" s="40">
      <c r="A2654" s="24" t="n"/>
      <c r="B2654" s="27" t="n"/>
      <c r="C2654" s="24" t="n"/>
      <c r="D2654" s="28" t="n"/>
      <c r="E2654" s="29" t="n"/>
      <c r="F2654" s="24" t="n"/>
      <c r="G2654" s="24" t="n"/>
      <c r="H2654" s="21">
        <f>IF(ISNUMBER($B2654),INT($B2654)-WEEKDAY($B2654,2)+1,"")</f>
        <v/>
      </c>
      <c r="I2654" s="24" t="n"/>
      <c r="J2654" s="22">
        <f t="array" ref="J2654">IF($D2654="","",IF($I2654="","(trống REF)",IFERROR(INDEX(MASTER_SOURCE!$B$2:$B$495,MATCH($I2654,MASTER_SOURCE!$A$2:$A$495,0)),"(REF không có trong MASTER_SOURCE)")))</f>
        <v/>
      </c>
      <c r="K2654" s="22">
        <f t="array" ref="K2654">IF($D2654="","",IFERROR(INDEX(MASTER_SOURCE!$C$2:$C$495,MATCH($I2654,MASTER_SOURCE!$A$2:$A$495,0)),""))</f>
        <v/>
      </c>
      <c r="L2654" s="22">
        <f t="array" ref="L2654">IF($D2654="","",IFERROR(INDEX(MASTER_SOURCE!$D$2:$D$495,MATCH($I2654,MASTER_SOURCE!$A$2:$A$495,0)),""))</f>
        <v/>
      </c>
      <c r="M2654" s="24" t="n"/>
      <c r="N2654" s="24" t="n"/>
      <c r="O2654" s="24" t="n"/>
      <c r="P2654" s="24" t="n"/>
      <c r="Q2654" s="22">
        <f>IF($D2654="","",IF(AND(OR(DANH_MUC!$L$5&lt;&gt;"Có",M2654="Có"),OR(DANH_MUC!$L$6&lt;&gt;"Có",N2654="Có"),OR(DANH_MUC!$L$7&lt;&gt;"Có",O2654="Có"),OR(DANH_MUC!$L$8&lt;&gt;"Có",P2654="Có")),"Có","Không"))</f>
        <v/>
      </c>
      <c r="R2654" s="22">
        <f>IF($D2654="","",IF(COUNTIF($D$2:$D2654,$D2654)&gt;1,"Trùng",""))</f>
        <v/>
      </c>
      <c r="S2654" s="22">
        <f>IF($D2654="","",IF(AND(LEN($D2654)=10,LEFT($D2654,1)="0",ISNUMBER(--$D2654)),"Có","Không"))</f>
        <v/>
      </c>
      <c r="T2654" s="22">
        <f>IF($D2654="","",IF(AND($C2654&lt;&gt;"",$Q2654="Có",$R2654="",$S2654="Có",AND($L2654&lt;&gt;"",OR($L2654&lt;&gt;"Chưa xác định",DANH_MUC!$L$9="Có"))),"Có","Không"))</f>
        <v/>
      </c>
      <c r="U2654" s="22">
        <f>IF(OR($D2654="",$T2654="Có"),"",IF($C2654="","Thiếu họ tên; ","")&amp;IF($S2654&lt;&gt;"Có","SĐT sai định dạng; ","")&amp;IF($R2654="Trùng","Trùng SĐT; ","")&amp;IF($Q2654&lt;&gt;"Có","Thiếu đồng ý bắt buộc; ","")&amp;IF($L2654="","Thiếu/sai Mã REF; ",IF(AND($L2654="Chưa xác định",DANH_MUC!$L$9&lt;&gt;"Có"),"Nguồn chưa xác định; ","")))</f>
        <v/>
      </c>
      <c r="V2654" s="22">
        <f>IF(OR($D2654="",$R2654="Trùng"),"",IF(COUNTIF(ORDERS!$C$2:$C$4995,$D2654)&gt;0,"Có","Không"))</f>
        <v/>
      </c>
      <c r="W2654" s="22">
        <f>IF(OR($D2654="",$R2654="Trùng"),"",COUNTIFS(ORDERS!$C$2:$C$4995,$D2654,ORDERS!$L$2:$L$4995,"Đã chuyển khoản"))</f>
        <v/>
      </c>
      <c r="X2654" s="23">
        <f>IF(OR($D2654="",$R2654="Trùng"),"",SUMIFS(ORDERS!$J$2:$J$4995,ORDERS!$C$2:$C$4995,$D2654,ORDERS!$L$2:$L$4995,"Đã chuyển khoản"))</f>
        <v/>
      </c>
      <c r="Y2654" s="24" t="n"/>
    </row>
    <row r="2655" ht="14.25" customHeight="1" s="40">
      <c r="A2655" s="24" t="n"/>
      <c r="B2655" s="27" t="n"/>
      <c r="C2655" s="24" t="n"/>
      <c r="D2655" s="28" t="n"/>
      <c r="E2655" s="29" t="n"/>
      <c r="F2655" s="24" t="n"/>
      <c r="G2655" s="24" t="n"/>
      <c r="H2655" s="21">
        <f>IF(ISNUMBER($B2655),INT($B2655)-WEEKDAY($B2655,2)+1,"")</f>
        <v/>
      </c>
      <c r="I2655" s="24" t="n"/>
      <c r="J2655" s="22">
        <f t="array" ref="J2655">IF($D2655="","",IF($I2655="","(trống REF)",IFERROR(INDEX(MASTER_SOURCE!$B$2:$B$495,MATCH($I2655,MASTER_SOURCE!$A$2:$A$495,0)),"(REF không có trong MASTER_SOURCE)")))</f>
        <v/>
      </c>
      <c r="K2655" s="22">
        <f t="array" ref="K2655">IF($D2655="","",IFERROR(INDEX(MASTER_SOURCE!$C$2:$C$495,MATCH($I2655,MASTER_SOURCE!$A$2:$A$495,0)),""))</f>
        <v/>
      </c>
      <c r="L2655" s="22">
        <f t="array" ref="L2655">IF($D2655="","",IFERROR(INDEX(MASTER_SOURCE!$D$2:$D$495,MATCH($I2655,MASTER_SOURCE!$A$2:$A$495,0)),""))</f>
        <v/>
      </c>
      <c r="M2655" s="24" t="n"/>
      <c r="N2655" s="24" t="n"/>
      <c r="O2655" s="24" t="n"/>
      <c r="P2655" s="24" t="n"/>
      <c r="Q2655" s="22">
        <f>IF($D2655="","",IF(AND(OR(DANH_MUC!$L$5&lt;&gt;"Có",M2655="Có"),OR(DANH_MUC!$L$6&lt;&gt;"Có",N2655="Có"),OR(DANH_MUC!$L$7&lt;&gt;"Có",O2655="Có"),OR(DANH_MUC!$L$8&lt;&gt;"Có",P2655="Có")),"Có","Không"))</f>
        <v/>
      </c>
      <c r="R2655" s="22">
        <f>IF($D2655="","",IF(COUNTIF($D$2:$D2655,$D2655)&gt;1,"Trùng",""))</f>
        <v/>
      </c>
      <c r="S2655" s="22">
        <f>IF($D2655="","",IF(AND(LEN($D2655)=10,LEFT($D2655,1)="0",ISNUMBER(--$D2655)),"Có","Không"))</f>
        <v/>
      </c>
      <c r="T2655" s="22">
        <f>IF($D2655="","",IF(AND($C2655&lt;&gt;"",$Q2655="Có",$R2655="",$S2655="Có",AND($L2655&lt;&gt;"",OR($L2655&lt;&gt;"Chưa xác định",DANH_MUC!$L$9="Có"))),"Có","Không"))</f>
        <v/>
      </c>
      <c r="U2655" s="22">
        <f>IF(OR($D2655="",$T2655="Có"),"",IF($C2655="","Thiếu họ tên; ","")&amp;IF($S2655&lt;&gt;"Có","SĐT sai định dạng; ","")&amp;IF($R2655="Trùng","Trùng SĐT; ","")&amp;IF($Q2655&lt;&gt;"Có","Thiếu đồng ý bắt buộc; ","")&amp;IF($L2655="","Thiếu/sai Mã REF; ",IF(AND($L2655="Chưa xác định",DANH_MUC!$L$9&lt;&gt;"Có"),"Nguồn chưa xác định; ","")))</f>
        <v/>
      </c>
      <c r="V2655" s="22">
        <f>IF(OR($D2655="",$R2655="Trùng"),"",IF(COUNTIF(ORDERS!$C$2:$C$4995,$D2655)&gt;0,"Có","Không"))</f>
        <v/>
      </c>
      <c r="W2655" s="22">
        <f>IF(OR($D2655="",$R2655="Trùng"),"",COUNTIFS(ORDERS!$C$2:$C$4995,$D2655,ORDERS!$L$2:$L$4995,"Đã chuyển khoản"))</f>
        <v/>
      </c>
      <c r="X2655" s="23">
        <f>IF(OR($D2655="",$R2655="Trùng"),"",SUMIFS(ORDERS!$J$2:$J$4995,ORDERS!$C$2:$C$4995,$D2655,ORDERS!$L$2:$L$4995,"Đã chuyển khoản"))</f>
        <v/>
      </c>
      <c r="Y2655" s="24" t="n"/>
    </row>
    <row r="2656" ht="14.25" customHeight="1" s="40">
      <c r="A2656" s="24" t="n"/>
      <c r="B2656" s="27" t="n"/>
      <c r="C2656" s="24" t="n"/>
      <c r="D2656" s="28" t="n"/>
      <c r="E2656" s="29" t="n"/>
      <c r="F2656" s="24" t="n"/>
      <c r="G2656" s="24" t="n"/>
      <c r="H2656" s="21">
        <f>IF(ISNUMBER($B2656),INT($B2656)-WEEKDAY($B2656,2)+1,"")</f>
        <v/>
      </c>
      <c r="I2656" s="24" t="n"/>
      <c r="J2656" s="22">
        <f t="array" ref="J2656">IF($D2656="","",IF($I2656="","(trống REF)",IFERROR(INDEX(MASTER_SOURCE!$B$2:$B$495,MATCH($I2656,MASTER_SOURCE!$A$2:$A$495,0)),"(REF không có trong MASTER_SOURCE)")))</f>
        <v/>
      </c>
      <c r="K2656" s="22">
        <f t="array" ref="K2656">IF($D2656="","",IFERROR(INDEX(MASTER_SOURCE!$C$2:$C$495,MATCH($I2656,MASTER_SOURCE!$A$2:$A$495,0)),""))</f>
        <v/>
      </c>
      <c r="L2656" s="22">
        <f t="array" ref="L2656">IF($D2656="","",IFERROR(INDEX(MASTER_SOURCE!$D$2:$D$495,MATCH($I2656,MASTER_SOURCE!$A$2:$A$495,0)),""))</f>
        <v/>
      </c>
      <c r="M2656" s="24" t="n"/>
      <c r="N2656" s="24" t="n"/>
      <c r="O2656" s="24" t="n"/>
      <c r="P2656" s="24" t="n"/>
      <c r="Q2656" s="22">
        <f>IF($D2656="","",IF(AND(OR(DANH_MUC!$L$5&lt;&gt;"Có",M2656="Có"),OR(DANH_MUC!$L$6&lt;&gt;"Có",N2656="Có"),OR(DANH_MUC!$L$7&lt;&gt;"Có",O2656="Có"),OR(DANH_MUC!$L$8&lt;&gt;"Có",P2656="Có")),"Có","Không"))</f>
        <v/>
      </c>
      <c r="R2656" s="22">
        <f>IF($D2656="","",IF(COUNTIF($D$2:$D2656,$D2656)&gt;1,"Trùng",""))</f>
        <v/>
      </c>
      <c r="S2656" s="22">
        <f>IF($D2656="","",IF(AND(LEN($D2656)=10,LEFT($D2656,1)="0",ISNUMBER(--$D2656)),"Có","Không"))</f>
        <v/>
      </c>
      <c r="T2656" s="22">
        <f>IF($D2656="","",IF(AND($C2656&lt;&gt;"",$Q2656="Có",$R2656="",$S2656="Có",AND($L2656&lt;&gt;"",OR($L2656&lt;&gt;"Chưa xác định",DANH_MUC!$L$9="Có"))),"Có","Không"))</f>
        <v/>
      </c>
      <c r="U2656" s="22">
        <f>IF(OR($D2656="",$T2656="Có"),"",IF($C2656="","Thiếu họ tên; ","")&amp;IF($S2656&lt;&gt;"Có","SĐT sai định dạng; ","")&amp;IF($R2656="Trùng","Trùng SĐT; ","")&amp;IF($Q2656&lt;&gt;"Có","Thiếu đồng ý bắt buộc; ","")&amp;IF($L2656="","Thiếu/sai Mã REF; ",IF(AND($L2656="Chưa xác định",DANH_MUC!$L$9&lt;&gt;"Có"),"Nguồn chưa xác định; ","")))</f>
        <v/>
      </c>
      <c r="V2656" s="22">
        <f>IF(OR($D2656="",$R2656="Trùng"),"",IF(COUNTIF(ORDERS!$C$2:$C$4995,$D2656)&gt;0,"Có","Không"))</f>
        <v/>
      </c>
      <c r="W2656" s="22">
        <f>IF(OR($D2656="",$R2656="Trùng"),"",COUNTIFS(ORDERS!$C$2:$C$4995,$D2656,ORDERS!$L$2:$L$4995,"Đã chuyển khoản"))</f>
        <v/>
      </c>
      <c r="X2656" s="23">
        <f>IF(OR($D2656="",$R2656="Trùng"),"",SUMIFS(ORDERS!$J$2:$J$4995,ORDERS!$C$2:$C$4995,$D2656,ORDERS!$L$2:$L$4995,"Đã chuyển khoản"))</f>
        <v/>
      </c>
      <c r="Y2656" s="24" t="n"/>
    </row>
    <row r="2657" ht="14.25" customHeight="1" s="40">
      <c r="A2657" s="24" t="n"/>
      <c r="B2657" s="27" t="n"/>
      <c r="C2657" s="24" t="n"/>
      <c r="D2657" s="28" t="n"/>
      <c r="E2657" s="29" t="n"/>
      <c r="F2657" s="24" t="n"/>
      <c r="G2657" s="24" t="n"/>
      <c r="H2657" s="21">
        <f>IF(ISNUMBER($B2657),INT($B2657)-WEEKDAY($B2657,2)+1,"")</f>
        <v/>
      </c>
      <c r="I2657" s="24" t="n"/>
      <c r="J2657" s="22">
        <f t="array" ref="J2657">IF($D2657="","",IF($I2657="","(trống REF)",IFERROR(INDEX(MASTER_SOURCE!$B$2:$B$495,MATCH($I2657,MASTER_SOURCE!$A$2:$A$495,0)),"(REF không có trong MASTER_SOURCE)")))</f>
        <v/>
      </c>
      <c r="K2657" s="22">
        <f t="array" ref="K2657">IF($D2657="","",IFERROR(INDEX(MASTER_SOURCE!$C$2:$C$495,MATCH($I2657,MASTER_SOURCE!$A$2:$A$495,0)),""))</f>
        <v/>
      </c>
      <c r="L2657" s="22">
        <f t="array" ref="L2657">IF($D2657="","",IFERROR(INDEX(MASTER_SOURCE!$D$2:$D$495,MATCH($I2657,MASTER_SOURCE!$A$2:$A$495,0)),""))</f>
        <v/>
      </c>
      <c r="M2657" s="24" t="n"/>
      <c r="N2657" s="24" t="n"/>
      <c r="O2657" s="24" t="n"/>
      <c r="P2657" s="24" t="n"/>
      <c r="Q2657" s="22">
        <f>IF($D2657="","",IF(AND(OR(DANH_MUC!$L$5&lt;&gt;"Có",M2657="Có"),OR(DANH_MUC!$L$6&lt;&gt;"Có",N2657="Có"),OR(DANH_MUC!$L$7&lt;&gt;"Có",O2657="Có"),OR(DANH_MUC!$L$8&lt;&gt;"Có",P2657="Có")),"Có","Không"))</f>
        <v/>
      </c>
      <c r="R2657" s="22">
        <f>IF($D2657="","",IF(COUNTIF($D$2:$D2657,$D2657)&gt;1,"Trùng",""))</f>
        <v/>
      </c>
      <c r="S2657" s="22">
        <f>IF($D2657="","",IF(AND(LEN($D2657)=10,LEFT($D2657,1)="0",ISNUMBER(--$D2657)),"Có","Không"))</f>
        <v/>
      </c>
      <c r="T2657" s="22">
        <f>IF($D2657="","",IF(AND($C2657&lt;&gt;"",$Q2657="Có",$R2657="",$S2657="Có",AND($L2657&lt;&gt;"",OR($L2657&lt;&gt;"Chưa xác định",DANH_MUC!$L$9="Có"))),"Có","Không"))</f>
        <v/>
      </c>
      <c r="U2657" s="22">
        <f>IF(OR($D2657="",$T2657="Có"),"",IF($C2657="","Thiếu họ tên; ","")&amp;IF($S2657&lt;&gt;"Có","SĐT sai định dạng; ","")&amp;IF($R2657="Trùng","Trùng SĐT; ","")&amp;IF($Q2657&lt;&gt;"Có","Thiếu đồng ý bắt buộc; ","")&amp;IF($L2657="","Thiếu/sai Mã REF; ",IF(AND($L2657="Chưa xác định",DANH_MUC!$L$9&lt;&gt;"Có"),"Nguồn chưa xác định; ","")))</f>
        <v/>
      </c>
      <c r="V2657" s="22">
        <f>IF(OR($D2657="",$R2657="Trùng"),"",IF(COUNTIF(ORDERS!$C$2:$C$4995,$D2657)&gt;0,"Có","Không"))</f>
        <v/>
      </c>
      <c r="W2657" s="22">
        <f>IF(OR($D2657="",$R2657="Trùng"),"",COUNTIFS(ORDERS!$C$2:$C$4995,$D2657,ORDERS!$L$2:$L$4995,"Đã chuyển khoản"))</f>
        <v/>
      </c>
      <c r="X2657" s="23">
        <f>IF(OR($D2657="",$R2657="Trùng"),"",SUMIFS(ORDERS!$J$2:$J$4995,ORDERS!$C$2:$C$4995,$D2657,ORDERS!$L$2:$L$4995,"Đã chuyển khoản"))</f>
        <v/>
      </c>
      <c r="Y2657" s="24" t="n"/>
    </row>
    <row r="2658" ht="14.25" customHeight="1" s="40">
      <c r="A2658" s="24" t="n"/>
      <c r="B2658" s="27" t="n"/>
      <c r="C2658" s="24" t="n"/>
      <c r="D2658" s="28" t="n"/>
      <c r="E2658" s="29" t="n"/>
      <c r="F2658" s="24" t="n"/>
      <c r="G2658" s="24" t="n"/>
      <c r="H2658" s="21">
        <f>IF(ISNUMBER($B2658),INT($B2658)-WEEKDAY($B2658,2)+1,"")</f>
        <v/>
      </c>
      <c r="I2658" s="24" t="n"/>
      <c r="J2658" s="22">
        <f t="array" ref="J2658">IF($D2658="","",IF($I2658="","(trống REF)",IFERROR(INDEX(MASTER_SOURCE!$B$2:$B$495,MATCH($I2658,MASTER_SOURCE!$A$2:$A$495,0)),"(REF không có trong MASTER_SOURCE)")))</f>
        <v/>
      </c>
      <c r="K2658" s="22">
        <f t="array" ref="K2658">IF($D2658="","",IFERROR(INDEX(MASTER_SOURCE!$C$2:$C$495,MATCH($I2658,MASTER_SOURCE!$A$2:$A$495,0)),""))</f>
        <v/>
      </c>
      <c r="L2658" s="22">
        <f t="array" ref="L2658">IF($D2658="","",IFERROR(INDEX(MASTER_SOURCE!$D$2:$D$495,MATCH($I2658,MASTER_SOURCE!$A$2:$A$495,0)),""))</f>
        <v/>
      </c>
      <c r="M2658" s="24" t="n"/>
      <c r="N2658" s="24" t="n"/>
      <c r="O2658" s="24" t="n"/>
      <c r="P2658" s="24" t="n"/>
      <c r="Q2658" s="22">
        <f>IF($D2658="","",IF(AND(OR(DANH_MUC!$L$5&lt;&gt;"Có",M2658="Có"),OR(DANH_MUC!$L$6&lt;&gt;"Có",N2658="Có"),OR(DANH_MUC!$L$7&lt;&gt;"Có",O2658="Có"),OR(DANH_MUC!$L$8&lt;&gt;"Có",P2658="Có")),"Có","Không"))</f>
        <v/>
      </c>
      <c r="R2658" s="22">
        <f>IF($D2658="","",IF(COUNTIF($D$2:$D2658,$D2658)&gt;1,"Trùng",""))</f>
        <v/>
      </c>
      <c r="S2658" s="22">
        <f>IF($D2658="","",IF(AND(LEN($D2658)=10,LEFT($D2658,1)="0",ISNUMBER(--$D2658)),"Có","Không"))</f>
        <v/>
      </c>
      <c r="T2658" s="22">
        <f>IF($D2658="","",IF(AND($C2658&lt;&gt;"",$Q2658="Có",$R2658="",$S2658="Có",AND($L2658&lt;&gt;"",OR($L2658&lt;&gt;"Chưa xác định",DANH_MUC!$L$9="Có"))),"Có","Không"))</f>
        <v/>
      </c>
      <c r="U2658" s="22">
        <f>IF(OR($D2658="",$T2658="Có"),"",IF($C2658="","Thiếu họ tên; ","")&amp;IF($S2658&lt;&gt;"Có","SĐT sai định dạng; ","")&amp;IF($R2658="Trùng","Trùng SĐT; ","")&amp;IF($Q2658&lt;&gt;"Có","Thiếu đồng ý bắt buộc; ","")&amp;IF($L2658="","Thiếu/sai Mã REF; ",IF(AND($L2658="Chưa xác định",DANH_MUC!$L$9&lt;&gt;"Có"),"Nguồn chưa xác định; ","")))</f>
        <v/>
      </c>
      <c r="V2658" s="22">
        <f>IF(OR($D2658="",$R2658="Trùng"),"",IF(COUNTIF(ORDERS!$C$2:$C$4995,$D2658)&gt;0,"Có","Không"))</f>
        <v/>
      </c>
      <c r="W2658" s="22">
        <f>IF(OR($D2658="",$R2658="Trùng"),"",COUNTIFS(ORDERS!$C$2:$C$4995,$D2658,ORDERS!$L$2:$L$4995,"Đã chuyển khoản"))</f>
        <v/>
      </c>
      <c r="X2658" s="23">
        <f>IF(OR($D2658="",$R2658="Trùng"),"",SUMIFS(ORDERS!$J$2:$J$4995,ORDERS!$C$2:$C$4995,$D2658,ORDERS!$L$2:$L$4995,"Đã chuyển khoản"))</f>
        <v/>
      </c>
      <c r="Y2658" s="24" t="n"/>
    </row>
    <row r="2659" ht="14.25" customHeight="1" s="40">
      <c r="A2659" s="24" t="n"/>
      <c r="B2659" s="27" t="n"/>
      <c r="C2659" s="24" t="n"/>
      <c r="D2659" s="28" t="n"/>
      <c r="E2659" s="29" t="n"/>
      <c r="F2659" s="24" t="n"/>
      <c r="G2659" s="24" t="n"/>
      <c r="H2659" s="21">
        <f>IF(ISNUMBER($B2659),INT($B2659)-WEEKDAY($B2659,2)+1,"")</f>
        <v/>
      </c>
      <c r="I2659" s="24" t="n"/>
      <c r="J2659" s="22">
        <f t="array" ref="J2659">IF($D2659="","",IF($I2659="","(trống REF)",IFERROR(INDEX(MASTER_SOURCE!$B$2:$B$495,MATCH($I2659,MASTER_SOURCE!$A$2:$A$495,0)),"(REF không có trong MASTER_SOURCE)")))</f>
        <v/>
      </c>
      <c r="K2659" s="22">
        <f t="array" ref="K2659">IF($D2659="","",IFERROR(INDEX(MASTER_SOURCE!$C$2:$C$495,MATCH($I2659,MASTER_SOURCE!$A$2:$A$495,0)),""))</f>
        <v/>
      </c>
      <c r="L2659" s="22">
        <f t="array" ref="L2659">IF($D2659="","",IFERROR(INDEX(MASTER_SOURCE!$D$2:$D$495,MATCH($I2659,MASTER_SOURCE!$A$2:$A$495,0)),""))</f>
        <v/>
      </c>
      <c r="M2659" s="24" t="n"/>
      <c r="N2659" s="24" t="n"/>
      <c r="O2659" s="24" t="n"/>
      <c r="P2659" s="24" t="n"/>
      <c r="Q2659" s="22">
        <f>IF($D2659="","",IF(AND(OR(DANH_MUC!$L$5&lt;&gt;"Có",M2659="Có"),OR(DANH_MUC!$L$6&lt;&gt;"Có",N2659="Có"),OR(DANH_MUC!$L$7&lt;&gt;"Có",O2659="Có"),OR(DANH_MUC!$L$8&lt;&gt;"Có",P2659="Có")),"Có","Không"))</f>
        <v/>
      </c>
      <c r="R2659" s="22">
        <f>IF($D2659="","",IF(COUNTIF($D$2:$D2659,$D2659)&gt;1,"Trùng",""))</f>
        <v/>
      </c>
      <c r="S2659" s="22">
        <f>IF($D2659="","",IF(AND(LEN($D2659)=10,LEFT($D2659,1)="0",ISNUMBER(--$D2659)),"Có","Không"))</f>
        <v/>
      </c>
      <c r="T2659" s="22">
        <f>IF($D2659="","",IF(AND($C2659&lt;&gt;"",$Q2659="Có",$R2659="",$S2659="Có",AND($L2659&lt;&gt;"",OR($L2659&lt;&gt;"Chưa xác định",DANH_MUC!$L$9="Có"))),"Có","Không"))</f>
        <v/>
      </c>
      <c r="U2659" s="22">
        <f>IF(OR($D2659="",$T2659="Có"),"",IF($C2659="","Thiếu họ tên; ","")&amp;IF($S2659&lt;&gt;"Có","SĐT sai định dạng; ","")&amp;IF($R2659="Trùng","Trùng SĐT; ","")&amp;IF($Q2659&lt;&gt;"Có","Thiếu đồng ý bắt buộc; ","")&amp;IF($L2659="","Thiếu/sai Mã REF; ",IF(AND($L2659="Chưa xác định",DANH_MUC!$L$9&lt;&gt;"Có"),"Nguồn chưa xác định; ","")))</f>
        <v/>
      </c>
      <c r="V2659" s="22">
        <f>IF(OR($D2659="",$R2659="Trùng"),"",IF(COUNTIF(ORDERS!$C$2:$C$4995,$D2659)&gt;0,"Có","Không"))</f>
        <v/>
      </c>
      <c r="W2659" s="22">
        <f>IF(OR($D2659="",$R2659="Trùng"),"",COUNTIFS(ORDERS!$C$2:$C$4995,$D2659,ORDERS!$L$2:$L$4995,"Đã chuyển khoản"))</f>
        <v/>
      </c>
      <c r="X2659" s="23">
        <f>IF(OR($D2659="",$R2659="Trùng"),"",SUMIFS(ORDERS!$J$2:$J$4995,ORDERS!$C$2:$C$4995,$D2659,ORDERS!$L$2:$L$4995,"Đã chuyển khoản"))</f>
        <v/>
      </c>
      <c r="Y2659" s="24" t="n"/>
    </row>
    <row r="2660" ht="14.25" customHeight="1" s="40">
      <c r="A2660" s="24" t="n"/>
      <c r="B2660" s="27" t="n"/>
      <c r="C2660" s="24" t="n"/>
      <c r="D2660" s="28" t="n"/>
      <c r="E2660" s="29" t="n"/>
      <c r="F2660" s="24" t="n"/>
      <c r="G2660" s="24" t="n"/>
      <c r="H2660" s="21">
        <f>IF(ISNUMBER($B2660),INT($B2660)-WEEKDAY($B2660,2)+1,"")</f>
        <v/>
      </c>
      <c r="I2660" s="24" t="n"/>
      <c r="J2660" s="22">
        <f t="array" ref="J2660">IF($D2660="","",IF($I2660="","(trống REF)",IFERROR(INDEX(MASTER_SOURCE!$B$2:$B$495,MATCH($I2660,MASTER_SOURCE!$A$2:$A$495,0)),"(REF không có trong MASTER_SOURCE)")))</f>
        <v/>
      </c>
      <c r="K2660" s="22">
        <f t="array" ref="K2660">IF($D2660="","",IFERROR(INDEX(MASTER_SOURCE!$C$2:$C$495,MATCH($I2660,MASTER_SOURCE!$A$2:$A$495,0)),""))</f>
        <v/>
      </c>
      <c r="L2660" s="22">
        <f t="array" ref="L2660">IF($D2660="","",IFERROR(INDEX(MASTER_SOURCE!$D$2:$D$495,MATCH($I2660,MASTER_SOURCE!$A$2:$A$495,0)),""))</f>
        <v/>
      </c>
      <c r="M2660" s="24" t="n"/>
      <c r="N2660" s="24" t="n"/>
      <c r="O2660" s="24" t="n"/>
      <c r="P2660" s="24" t="n"/>
      <c r="Q2660" s="22">
        <f>IF($D2660="","",IF(AND(OR(DANH_MUC!$L$5&lt;&gt;"Có",M2660="Có"),OR(DANH_MUC!$L$6&lt;&gt;"Có",N2660="Có"),OR(DANH_MUC!$L$7&lt;&gt;"Có",O2660="Có"),OR(DANH_MUC!$L$8&lt;&gt;"Có",P2660="Có")),"Có","Không"))</f>
        <v/>
      </c>
      <c r="R2660" s="22">
        <f>IF($D2660="","",IF(COUNTIF($D$2:$D2660,$D2660)&gt;1,"Trùng",""))</f>
        <v/>
      </c>
      <c r="S2660" s="22">
        <f>IF($D2660="","",IF(AND(LEN($D2660)=10,LEFT($D2660,1)="0",ISNUMBER(--$D2660)),"Có","Không"))</f>
        <v/>
      </c>
      <c r="T2660" s="22">
        <f>IF($D2660="","",IF(AND($C2660&lt;&gt;"",$Q2660="Có",$R2660="",$S2660="Có",AND($L2660&lt;&gt;"",OR($L2660&lt;&gt;"Chưa xác định",DANH_MUC!$L$9="Có"))),"Có","Không"))</f>
        <v/>
      </c>
      <c r="U2660" s="22">
        <f>IF(OR($D2660="",$T2660="Có"),"",IF($C2660="","Thiếu họ tên; ","")&amp;IF($S2660&lt;&gt;"Có","SĐT sai định dạng; ","")&amp;IF($R2660="Trùng","Trùng SĐT; ","")&amp;IF($Q2660&lt;&gt;"Có","Thiếu đồng ý bắt buộc; ","")&amp;IF($L2660="","Thiếu/sai Mã REF; ",IF(AND($L2660="Chưa xác định",DANH_MUC!$L$9&lt;&gt;"Có"),"Nguồn chưa xác định; ","")))</f>
        <v/>
      </c>
      <c r="V2660" s="22">
        <f>IF(OR($D2660="",$R2660="Trùng"),"",IF(COUNTIF(ORDERS!$C$2:$C$4995,$D2660)&gt;0,"Có","Không"))</f>
        <v/>
      </c>
      <c r="W2660" s="22">
        <f>IF(OR($D2660="",$R2660="Trùng"),"",COUNTIFS(ORDERS!$C$2:$C$4995,$D2660,ORDERS!$L$2:$L$4995,"Đã chuyển khoản"))</f>
        <v/>
      </c>
      <c r="X2660" s="23">
        <f>IF(OR($D2660="",$R2660="Trùng"),"",SUMIFS(ORDERS!$J$2:$J$4995,ORDERS!$C$2:$C$4995,$D2660,ORDERS!$L$2:$L$4995,"Đã chuyển khoản"))</f>
        <v/>
      </c>
      <c r="Y2660" s="24" t="n"/>
    </row>
    <row r="2661" ht="14.25" customHeight="1" s="40">
      <c r="A2661" s="24" t="n"/>
      <c r="B2661" s="27" t="n"/>
      <c r="C2661" s="24" t="n"/>
      <c r="D2661" s="28" t="n"/>
      <c r="E2661" s="29" t="n"/>
      <c r="F2661" s="24" t="n"/>
      <c r="G2661" s="24" t="n"/>
      <c r="H2661" s="21">
        <f>IF(ISNUMBER($B2661),INT($B2661)-WEEKDAY($B2661,2)+1,"")</f>
        <v/>
      </c>
      <c r="I2661" s="24" t="n"/>
      <c r="J2661" s="22">
        <f t="array" ref="J2661">IF($D2661="","",IF($I2661="","(trống REF)",IFERROR(INDEX(MASTER_SOURCE!$B$2:$B$495,MATCH($I2661,MASTER_SOURCE!$A$2:$A$495,0)),"(REF không có trong MASTER_SOURCE)")))</f>
        <v/>
      </c>
      <c r="K2661" s="22">
        <f t="array" ref="K2661">IF($D2661="","",IFERROR(INDEX(MASTER_SOURCE!$C$2:$C$495,MATCH($I2661,MASTER_SOURCE!$A$2:$A$495,0)),""))</f>
        <v/>
      </c>
      <c r="L2661" s="22">
        <f t="array" ref="L2661">IF($D2661="","",IFERROR(INDEX(MASTER_SOURCE!$D$2:$D$495,MATCH($I2661,MASTER_SOURCE!$A$2:$A$495,0)),""))</f>
        <v/>
      </c>
      <c r="M2661" s="24" t="n"/>
      <c r="N2661" s="24" t="n"/>
      <c r="O2661" s="24" t="n"/>
      <c r="P2661" s="24" t="n"/>
      <c r="Q2661" s="22">
        <f>IF($D2661="","",IF(AND(OR(DANH_MUC!$L$5&lt;&gt;"Có",M2661="Có"),OR(DANH_MUC!$L$6&lt;&gt;"Có",N2661="Có"),OR(DANH_MUC!$L$7&lt;&gt;"Có",O2661="Có"),OR(DANH_MUC!$L$8&lt;&gt;"Có",P2661="Có")),"Có","Không"))</f>
        <v/>
      </c>
      <c r="R2661" s="22">
        <f>IF($D2661="","",IF(COUNTIF($D$2:$D2661,$D2661)&gt;1,"Trùng",""))</f>
        <v/>
      </c>
      <c r="S2661" s="22">
        <f>IF($D2661="","",IF(AND(LEN($D2661)=10,LEFT($D2661,1)="0",ISNUMBER(--$D2661)),"Có","Không"))</f>
        <v/>
      </c>
      <c r="T2661" s="22">
        <f>IF($D2661="","",IF(AND($C2661&lt;&gt;"",$Q2661="Có",$R2661="",$S2661="Có",AND($L2661&lt;&gt;"",OR($L2661&lt;&gt;"Chưa xác định",DANH_MUC!$L$9="Có"))),"Có","Không"))</f>
        <v/>
      </c>
      <c r="U2661" s="22">
        <f>IF(OR($D2661="",$T2661="Có"),"",IF($C2661="","Thiếu họ tên; ","")&amp;IF($S2661&lt;&gt;"Có","SĐT sai định dạng; ","")&amp;IF($R2661="Trùng","Trùng SĐT; ","")&amp;IF($Q2661&lt;&gt;"Có","Thiếu đồng ý bắt buộc; ","")&amp;IF($L2661="","Thiếu/sai Mã REF; ",IF(AND($L2661="Chưa xác định",DANH_MUC!$L$9&lt;&gt;"Có"),"Nguồn chưa xác định; ","")))</f>
        <v/>
      </c>
      <c r="V2661" s="22">
        <f>IF(OR($D2661="",$R2661="Trùng"),"",IF(COUNTIF(ORDERS!$C$2:$C$4995,$D2661)&gt;0,"Có","Không"))</f>
        <v/>
      </c>
      <c r="W2661" s="22">
        <f>IF(OR($D2661="",$R2661="Trùng"),"",COUNTIFS(ORDERS!$C$2:$C$4995,$D2661,ORDERS!$L$2:$L$4995,"Đã chuyển khoản"))</f>
        <v/>
      </c>
      <c r="X2661" s="23">
        <f>IF(OR($D2661="",$R2661="Trùng"),"",SUMIFS(ORDERS!$J$2:$J$4995,ORDERS!$C$2:$C$4995,$D2661,ORDERS!$L$2:$L$4995,"Đã chuyển khoản"))</f>
        <v/>
      </c>
      <c r="Y2661" s="24" t="n"/>
    </row>
    <row r="2662" ht="14.25" customHeight="1" s="40">
      <c r="A2662" s="24" t="n"/>
      <c r="B2662" s="27" t="n"/>
      <c r="C2662" s="24" t="n"/>
      <c r="D2662" s="28" t="n"/>
      <c r="E2662" s="29" t="n"/>
      <c r="F2662" s="24" t="n"/>
      <c r="G2662" s="24" t="n"/>
      <c r="H2662" s="21">
        <f>IF(ISNUMBER($B2662),INT($B2662)-WEEKDAY($B2662,2)+1,"")</f>
        <v/>
      </c>
      <c r="I2662" s="24" t="n"/>
      <c r="J2662" s="22">
        <f t="array" ref="J2662">IF($D2662="","",IF($I2662="","(trống REF)",IFERROR(INDEX(MASTER_SOURCE!$B$2:$B$495,MATCH($I2662,MASTER_SOURCE!$A$2:$A$495,0)),"(REF không có trong MASTER_SOURCE)")))</f>
        <v/>
      </c>
      <c r="K2662" s="22">
        <f t="array" ref="K2662">IF($D2662="","",IFERROR(INDEX(MASTER_SOURCE!$C$2:$C$495,MATCH($I2662,MASTER_SOURCE!$A$2:$A$495,0)),""))</f>
        <v/>
      </c>
      <c r="L2662" s="22">
        <f t="array" ref="L2662">IF($D2662="","",IFERROR(INDEX(MASTER_SOURCE!$D$2:$D$495,MATCH($I2662,MASTER_SOURCE!$A$2:$A$495,0)),""))</f>
        <v/>
      </c>
      <c r="M2662" s="24" t="n"/>
      <c r="N2662" s="24" t="n"/>
      <c r="O2662" s="24" t="n"/>
      <c r="P2662" s="24" t="n"/>
      <c r="Q2662" s="22">
        <f>IF($D2662="","",IF(AND(OR(DANH_MUC!$L$5&lt;&gt;"Có",M2662="Có"),OR(DANH_MUC!$L$6&lt;&gt;"Có",N2662="Có"),OR(DANH_MUC!$L$7&lt;&gt;"Có",O2662="Có"),OR(DANH_MUC!$L$8&lt;&gt;"Có",P2662="Có")),"Có","Không"))</f>
        <v/>
      </c>
      <c r="R2662" s="22">
        <f>IF($D2662="","",IF(COUNTIF($D$2:$D2662,$D2662)&gt;1,"Trùng",""))</f>
        <v/>
      </c>
      <c r="S2662" s="22">
        <f>IF($D2662="","",IF(AND(LEN($D2662)=10,LEFT($D2662,1)="0",ISNUMBER(--$D2662)),"Có","Không"))</f>
        <v/>
      </c>
      <c r="T2662" s="22">
        <f>IF($D2662="","",IF(AND($C2662&lt;&gt;"",$Q2662="Có",$R2662="",$S2662="Có",AND($L2662&lt;&gt;"",OR($L2662&lt;&gt;"Chưa xác định",DANH_MUC!$L$9="Có"))),"Có","Không"))</f>
        <v/>
      </c>
      <c r="U2662" s="22">
        <f>IF(OR($D2662="",$T2662="Có"),"",IF($C2662="","Thiếu họ tên; ","")&amp;IF($S2662&lt;&gt;"Có","SĐT sai định dạng; ","")&amp;IF($R2662="Trùng","Trùng SĐT; ","")&amp;IF($Q2662&lt;&gt;"Có","Thiếu đồng ý bắt buộc; ","")&amp;IF($L2662="","Thiếu/sai Mã REF; ",IF(AND($L2662="Chưa xác định",DANH_MUC!$L$9&lt;&gt;"Có"),"Nguồn chưa xác định; ","")))</f>
        <v/>
      </c>
      <c r="V2662" s="22">
        <f>IF(OR($D2662="",$R2662="Trùng"),"",IF(COUNTIF(ORDERS!$C$2:$C$4995,$D2662)&gt;0,"Có","Không"))</f>
        <v/>
      </c>
      <c r="W2662" s="22">
        <f>IF(OR($D2662="",$R2662="Trùng"),"",COUNTIFS(ORDERS!$C$2:$C$4995,$D2662,ORDERS!$L$2:$L$4995,"Đã chuyển khoản"))</f>
        <v/>
      </c>
      <c r="X2662" s="23">
        <f>IF(OR($D2662="",$R2662="Trùng"),"",SUMIFS(ORDERS!$J$2:$J$4995,ORDERS!$C$2:$C$4995,$D2662,ORDERS!$L$2:$L$4995,"Đã chuyển khoản"))</f>
        <v/>
      </c>
      <c r="Y2662" s="24" t="n"/>
    </row>
    <row r="2663" ht="14.25" customHeight="1" s="40">
      <c r="A2663" s="24" t="n"/>
      <c r="B2663" s="27" t="n"/>
      <c r="C2663" s="24" t="n"/>
      <c r="D2663" s="28" t="n"/>
      <c r="E2663" s="29" t="n"/>
      <c r="F2663" s="24" t="n"/>
      <c r="G2663" s="24" t="n"/>
      <c r="H2663" s="21">
        <f>IF(ISNUMBER($B2663),INT($B2663)-WEEKDAY($B2663,2)+1,"")</f>
        <v/>
      </c>
      <c r="I2663" s="24" t="n"/>
      <c r="J2663" s="22">
        <f t="array" ref="J2663">IF($D2663="","",IF($I2663="","(trống REF)",IFERROR(INDEX(MASTER_SOURCE!$B$2:$B$495,MATCH($I2663,MASTER_SOURCE!$A$2:$A$495,0)),"(REF không có trong MASTER_SOURCE)")))</f>
        <v/>
      </c>
      <c r="K2663" s="22">
        <f t="array" ref="K2663">IF($D2663="","",IFERROR(INDEX(MASTER_SOURCE!$C$2:$C$495,MATCH($I2663,MASTER_SOURCE!$A$2:$A$495,0)),""))</f>
        <v/>
      </c>
      <c r="L2663" s="22">
        <f t="array" ref="L2663">IF($D2663="","",IFERROR(INDEX(MASTER_SOURCE!$D$2:$D$495,MATCH($I2663,MASTER_SOURCE!$A$2:$A$495,0)),""))</f>
        <v/>
      </c>
      <c r="M2663" s="24" t="n"/>
      <c r="N2663" s="24" t="n"/>
      <c r="O2663" s="24" t="n"/>
      <c r="P2663" s="24" t="n"/>
      <c r="Q2663" s="22">
        <f>IF($D2663="","",IF(AND(OR(DANH_MUC!$L$5&lt;&gt;"Có",M2663="Có"),OR(DANH_MUC!$L$6&lt;&gt;"Có",N2663="Có"),OR(DANH_MUC!$L$7&lt;&gt;"Có",O2663="Có"),OR(DANH_MUC!$L$8&lt;&gt;"Có",P2663="Có")),"Có","Không"))</f>
        <v/>
      </c>
      <c r="R2663" s="22">
        <f>IF($D2663="","",IF(COUNTIF($D$2:$D2663,$D2663)&gt;1,"Trùng",""))</f>
        <v/>
      </c>
      <c r="S2663" s="22">
        <f>IF($D2663="","",IF(AND(LEN($D2663)=10,LEFT($D2663,1)="0",ISNUMBER(--$D2663)),"Có","Không"))</f>
        <v/>
      </c>
      <c r="T2663" s="22">
        <f>IF($D2663="","",IF(AND($C2663&lt;&gt;"",$Q2663="Có",$R2663="",$S2663="Có",AND($L2663&lt;&gt;"",OR($L2663&lt;&gt;"Chưa xác định",DANH_MUC!$L$9="Có"))),"Có","Không"))</f>
        <v/>
      </c>
      <c r="U2663" s="22">
        <f>IF(OR($D2663="",$T2663="Có"),"",IF($C2663="","Thiếu họ tên; ","")&amp;IF($S2663&lt;&gt;"Có","SĐT sai định dạng; ","")&amp;IF($R2663="Trùng","Trùng SĐT; ","")&amp;IF($Q2663&lt;&gt;"Có","Thiếu đồng ý bắt buộc; ","")&amp;IF($L2663="","Thiếu/sai Mã REF; ",IF(AND($L2663="Chưa xác định",DANH_MUC!$L$9&lt;&gt;"Có"),"Nguồn chưa xác định; ","")))</f>
        <v/>
      </c>
      <c r="V2663" s="22">
        <f>IF(OR($D2663="",$R2663="Trùng"),"",IF(COUNTIF(ORDERS!$C$2:$C$4995,$D2663)&gt;0,"Có","Không"))</f>
        <v/>
      </c>
      <c r="W2663" s="22">
        <f>IF(OR($D2663="",$R2663="Trùng"),"",COUNTIFS(ORDERS!$C$2:$C$4995,$D2663,ORDERS!$L$2:$L$4995,"Đã chuyển khoản"))</f>
        <v/>
      </c>
      <c r="X2663" s="23">
        <f>IF(OR($D2663="",$R2663="Trùng"),"",SUMIFS(ORDERS!$J$2:$J$4995,ORDERS!$C$2:$C$4995,$D2663,ORDERS!$L$2:$L$4995,"Đã chuyển khoản"))</f>
        <v/>
      </c>
      <c r="Y2663" s="24" t="n"/>
    </row>
    <row r="2664" ht="14.25" customHeight="1" s="40">
      <c r="A2664" s="24" t="n"/>
      <c r="B2664" s="27" t="n"/>
      <c r="C2664" s="24" t="n"/>
      <c r="D2664" s="28" t="n"/>
      <c r="E2664" s="29" t="n"/>
      <c r="F2664" s="24" t="n"/>
      <c r="G2664" s="24" t="n"/>
      <c r="H2664" s="21">
        <f>IF(ISNUMBER($B2664),INT($B2664)-WEEKDAY($B2664,2)+1,"")</f>
        <v/>
      </c>
      <c r="I2664" s="24" t="n"/>
      <c r="J2664" s="22">
        <f t="array" ref="J2664">IF($D2664="","",IF($I2664="","(trống REF)",IFERROR(INDEX(MASTER_SOURCE!$B$2:$B$495,MATCH($I2664,MASTER_SOURCE!$A$2:$A$495,0)),"(REF không có trong MASTER_SOURCE)")))</f>
        <v/>
      </c>
      <c r="K2664" s="22">
        <f t="array" ref="K2664">IF($D2664="","",IFERROR(INDEX(MASTER_SOURCE!$C$2:$C$495,MATCH($I2664,MASTER_SOURCE!$A$2:$A$495,0)),""))</f>
        <v/>
      </c>
      <c r="L2664" s="22">
        <f t="array" ref="L2664">IF($D2664="","",IFERROR(INDEX(MASTER_SOURCE!$D$2:$D$495,MATCH($I2664,MASTER_SOURCE!$A$2:$A$495,0)),""))</f>
        <v/>
      </c>
      <c r="M2664" s="24" t="n"/>
      <c r="N2664" s="24" t="n"/>
      <c r="O2664" s="24" t="n"/>
      <c r="P2664" s="24" t="n"/>
      <c r="Q2664" s="22">
        <f>IF($D2664="","",IF(AND(OR(DANH_MUC!$L$5&lt;&gt;"Có",M2664="Có"),OR(DANH_MUC!$L$6&lt;&gt;"Có",N2664="Có"),OR(DANH_MUC!$L$7&lt;&gt;"Có",O2664="Có"),OR(DANH_MUC!$L$8&lt;&gt;"Có",P2664="Có")),"Có","Không"))</f>
        <v/>
      </c>
      <c r="R2664" s="22">
        <f>IF($D2664="","",IF(COUNTIF($D$2:$D2664,$D2664)&gt;1,"Trùng",""))</f>
        <v/>
      </c>
      <c r="S2664" s="22">
        <f>IF($D2664="","",IF(AND(LEN($D2664)=10,LEFT($D2664,1)="0",ISNUMBER(--$D2664)),"Có","Không"))</f>
        <v/>
      </c>
      <c r="T2664" s="22">
        <f>IF($D2664="","",IF(AND($C2664&lt;&gt;"",$Q2664="Có",$R2664="",$S2664="Có",AND($L2664&lt;&gt;"",OR($L2664&lt;&gt;"Chưa xác định",DANH_MUC!$L$9="Có"))),"Có","Không"))</f>
        <v/>
      </c>
      <c r="U2664" s="22">
        <f>IF(OR($D2664="",$T2664="Có"),"",IF($C2664="","Thiếu họ tên; ","")&amp;IF($S2664&lt;&gt;"Có","SĐT sai định dạng; ","")&amp;IF($R2664="Trùng","Trùng SĐT; ","")&amp;IF($Q2664&lt;&gt;"Có","Thiếu đồng ý bắt buộc; ","")&amp;IF($L2664="","Thiếu/sai Mã REF; ",IF(AND($L2664="Chưa xác định",DANH_MUC!$L$9&lt;&gt;"Có"),"Nguồn chưa xác định; ","")))</f>
        <v/>
      </c>
      <c r="V2664" s="22">
        <f>IF(OR($D2664="",$R2664="Trùng"),"",IF(COUNTIF(ORDERS!$C$2:$C$4995,$D2664)&gt;0,"Có","Không"))</f>
        <v/>
      </c>
      <c r="W2664" s="22">
        <f>IF(OR($D2664="",$R2664="Trùng"),"",COUNTIFS(ORDERS!$C$2:$C$4995,$D2664,ORDERS!$L$2:$L$4995,"Đã chuyển khoản"))</f>
        <v/>
      </c>
      <c r="X2664" s="23">
        <f>IF(OR($D2664="",$R2664="Trùng"),"",SUMIFS(ORDERS!$J$2:$J$4995,ORDERS!$C$2:$C$4995,$D2664,ORDERS!$L$2:$L$4995,"Đã chuyển khoản"))</f>
        <v/>
      </c>
      <c r="Y2664" s="24" t="n"/>
    </row>
    <row r="2665" ht="14.25" customHeight="1" s="40">
      <c r="A2665" s="24" t="n"/>
      <c r="B2665" s="27" t="n"/>
      <c r="C2665" s="24" t="n"/>
      <c r="D2665" s="28" t="n"/>
      <c r="E2665" s="29" t="n"/>
      <c r="F2665" s="24" t="n"/>
      <c r="G2665" s="24" t="n"/>
      <c r="H2665" s="21">
        <f>IF(ISNUMBER($B2665),INT($B2665)-WEEKDAY($B2665,2)+1,"")</f>
        <v/>
      </c>
      <c r="I2665" s="24" t="n"/>
      <c r="J2665" s="22">
        <f t="array" ref="J2665">IF($D2665="","",IF($I2665="","(trống REF)",IFERROR(INDEX(MASTER_SOURCE!$B$2:$B$495,MATCH($I2665,MASTER_SOURCE!$A$2:$A$495,0)),"(REF không có trong MASTER_SOURCE)")))</f>
        <v/>
      </c>
      <c r="K2665" s="22">
        <f t="array" ref="K2665">IF($D2665="","",IFERROR(INDEX(MASTER_SOURCE!$C$2:$C$495,MATCH($I2665,MASTER_SOURCE!$A$2:$A$495,0)),""))</f>
        <v/>
      </c>
      <c r="L2665" s="22">
        <f t="array" ref="L2665">IF($D2665="","",IFERROR(INDEX(MASTER_SOURCE!$D$2:$D$495,MATCH($I2665,MASTER_SOURCE!$A$2:$A$495,0)),""))</f>
        <v/>
      </c>
      <c r="M2665" s="24" t="n"/>
      <c r="N2665" s="24" t="n"/>
      <c r="O2665" s="24" t="n"/>
      <c r="P2665" s="24" t="n"/>
      <c r="Q2665" s="22">
        <f>IF($D2665="","",IF(AND(OR(DANH_MUC!$L$5&lt;&gt;"Có",M2665="Có"),OR(DANH_MUC!$L$6&lt;&gt;"Có",N2665="Có"),OR(DANH_MUC!$L$7&lt;&gt;"Có",O2665="Có"),OR(DANH_MUC!$L$8&lt;&gt;"Có",P2665="Có")),"Có","Không"))</f>
        <v/>
      </c>
      <c r="R2665" s="22">
        <f>IF($D2665="","",IF(COUNTIF($D$2:$D2665,$D2665)&gt;1,"Trùng",""))</f>
        <v/>
      </c>
      <c r="S2665" s="22">
        <f>IF($D2665="","",IF(AND(LEN($D2665)=10,LEFT($D2665,1)="0",ISNUMBER(--$D2665)),"Có","Không"))</f>
        <v/>
      </c>
      <c r="T2665" s="22">
        <f>IF($D2665="","",IF(AND($C2665&lt;&gt;"",$Q2665="Có",$R2665="",$S2665="Có",AND($L2665&lt;&gt;"",OR($L2665&lt;&gt;"Chưa xác định",DANH_MUC!$L$9="Có"))),"Có","Không"))</f>
        <v/>
      </c>
      <c r="U2665" s="22">
        <f>IF(OR($D2665="",$T2665="Có"),"",IF($C2665="","Thiếu họ tên; ","")&amp;IF($S2665&lt;&gt;"Có","SĐT sai định dạng; ","")&amp;IF($R2665="Trùng","Trùng SĐT; ","")&amp;IF($Q2665&lt;&gt;"Có","Thiếu đồng ý bắt buộc; ","")&amp;IF($L2665="","Thiếu/sai Mã REF; ",IF(AND($L2665="Chưa xác định",DANH_MUC!$L$9&lt;&gt;"Có"),"Nguồn chưa xác định; ","")))</f>
        <v/>
      </c>
      <c r="V2665" s="22">
        <f>IF(OR($D2665="",$R2665="Trùng"),"",IF(COUNTIF(ORDERS!$C$2:$C$4995,$D2665)&gt;0,"Có","Không"))</f>
        <v/>
      </c>
      <c r="W2665" s="22">
        <f>IF(OR($D2665="",$R2665="Trùng"),"",COUNTIFS(ORDERS!$C$2:$C$4995,$D2665,ORDERS!$L$2:$L$4995,"Đã chuyển khoản"))</f>
        <v/>
      </c>
      <c r="X2665" s="23">
        <f>IF(OR($D2665="",$R2665="Trùng"),"",SUMIFS(ORDERS!$J$2:$J$4995,ORDERS!$C$2:$C$4995,$D2665,ORDERS!$L$2:$L$4995,"Đã chuyển khoản"))</f>
        <v/>
      </c>
      <c r="Y2665" s="24" t="n"/>
    </row>
    <row r="2666" ht="14.25" customHeight="1" s="40">
      <c r="A2666" s="24" t="n"/>
      <c r="B2666" s="27" t="n"/>
      <c r="C2666" s="24" t="n"/>
      <c r="D2666" s="28" t="n"/>
      <c r="E2666" s="29" t="n"/>
      <c r="F2666" s="24" t="n"/>
      <c r="G2666" s="24" t="n"/>
      <c r="H2666" s="21">
        <f>IF(ISNUMBER($B2666),INT($B2666)-WEEKDAY($B2666,2)+1,"")</f>
        <v/>
      </c>
      <c r="I2666" s="24" t="n"/>
      <c r="J2666" s="22">
        <f t="array" ref="J2666">IF($D2666="","",IF($I2666="","(trống REF)",IFERROR(INDEX(MASTER_SOURCE!$B$2:$B$495,MATCH($I2666,MASTER_SOURCE!$A$2:$A$495,0)),"(REF không có trong MASTER_SOURCE)")))</f>
        <v/>
      </c>
      <c r="K2666" s="22">
        <f t="array" ref="K2666">IF($D2666="","",IFERROR(INDEX(MASTER_SOURCE!$C$2:$C$495,MATCH($I2666,MASTER_SOURCE!$A$2:$A$495,0)),""))</f>
        <v/>
      </c>
      <c r="L2666" s="22">
        <f t="array" ref="L2666">IF($D2666="","",IFERROR(INDEX(MASTER_SOURCE!$D$2:$D$495,MATCH($I2666,MASTER_SOURCE!$A$2:$A$495,0)),""))</f>
        <v/>
      </c>
      <c r="M2666" s="24" t="n"/>
      <c r="N2666" s="24" t="n"/>
      <c r="O2666" s="24" t="n"/>
      <c r="P2666" s="24" t="n"/>
      <c r="Q2666" s="22">
        <f>IF($D2666="","",IF(AND(OR(DANH_MUC!$L$5&lt;&gt;"Có",M2666="Có"),OR(DANH_MUC!$L$6&lt;&gt;"Có",N2666="Có"),OR(DANH_MUC!$L$7&lt;&gt;"Có",O2666="Có"),OR(DANH_MUC!$L$8&lt;&gt;"Có",P2666="Có")),"Có","Không"))</f>
        <v/>
      </c>
      <c r="R2666" s="22">
        <f>IF($D2666="","",IF(COUNTIF($D$2:$D2666,$D2666)&gt;1,"Trùng",""))</f>
        <v/>
      </c>
      <c r="S2666" s="22">
        <f>IF($D2666="","",IF(AND(LEN($D2666)=10,LEFT($D2666,1)="0",ISNUMBER(--$D2666)),"Có","Không"))</f>
        <v/>
      </c>
      <c r="T2666" s="22">
        <f>IF($D2666="","",IF(AND($C2666&lt;&gt;"",$Q2666="Có",$R2666="",$S2666="Có",AND($L2666&lt;&gt;"",OR($L2666&lt;&gt;"Chưa xác định",DANH_MUC!$L$9="Có"))),"Có","Không"))</f>
        <v/>
      </c>
      <c r="U2666" s="22">
        <f>IF(OR($D2666="",$T2666="Có"),"",IF($C2666="","Thiếu họ tên; ","")&amp;IF($S2666&lt;&gt;"Có","SĐT sai định dạng; ","")&amp;IF($R2666="Trùng","Trùng SĐT; ","")&amp;IF($Q2666&lt;&gt;"Có","Thiếu đồng ý bắt buộc; ","")&amp;IF($L2666="","Thiếu/sai Mã REF; ",IF(AND($L2666="Chưa xác định",DANH_MUC!$L$9&lt;&gt;"Có"),"Nguồn chưa xác định; ","")))</f>
        <v/>
      </c>
      <c r="V2666" s="22">
        <f>IF(OR($D2666="",$R2666="Trùng"),"",IF(COUNTIF(ORDERS!$C$2:$C$4995,$D2666)&gt;0,"Có","Không"))</f>
        <v/>
      </c>
      <c r="W2666" s="22">
        <f>IF(OR($D2666="",$R2666="Trùng"),"",COUNTIFS(ORDERS!$C$2:$C$4995,$D2666,ORDERS!$L$2:$L$4995,"Đã chuyển khoản"))</f>
        <v/>
      </c>
      <c r="X2666" s="23">
        <f>IF(OR($D2666="",$R2666="Trùng"),"",SUMIFS(ORDERS!$J$2:$J$4995,ORDERS!$C$2:$C$4995,$D2666,ORDERS!$L$2:$L$4995,"Đã chuyển khoản"))</f>
        <v/>
      </c>
      <c r="Y2666" s="24" t="n"/>
    </row>
    <row r="2667" ht="14.25" customHeight="1" s="40">
      <c r="A2667" s="24" t="n"/>
      <c r="B2667" s="27" t="n"/>
      <c r="C2667" s="24" t="n"/>
      <c r="D2667" s="28" t="n"/>
      <c r="E2667" s="29" t="n"/>
      <c r="F2667" s="24" t="n"/>
      <c r="G2667" s="24" t="n"/>
      <c r="H2667" s="21">
        <f>IF(ISNUMBER($B2667),INT($B2667)-WEEKDAY($B2667,2)+1,"")</f>
        <v/>
      </c>
      <c r="I2667" s="24" t="n"/>
      <c r="J2667" s="22">
        <f t="array" ref="J2667">IF($D2667="","",IF($I2667="","(trống REF)",IFERROR(INDEX(MASTER_SOURCE!$B$2:$B$495,MATCH($I2667,MASTER_SOURCE!$A$2:$A$495,0)),"(REF không có trong MASTER_SOURCE)")))</f>
        <v/>
      </c>
      <c r="K2667" s="22">
        <f t="array" ref="K2667">IF($D2667="","",IFERROR(INDEX(MASTER_SOURCE!$C$2:$C$495,MATCH($I2667,MASTER_SOURCE!$A$2:$A$495,0)),""))</f>
        <v/>
      </c>
      <c r="L2667" s="22">
        <f t="array" ref="L2667">IF($D2667="","",IFERROR(INDEX(MASTER_SOURCE!$D$2:$D$495,MATCH($I2667,MASTER_SOURCE!$A$2:$A$495,0)),""))</f>
        <v/>
      </c>
      <c r="M2667" s="24" t="n"/>
      <c r="N2667" s="24" t="n"/>
      <c r="O2667" s="24" t="n"/>
      <c r="P2667" s="24" t="n"/>
      <c r="Q2667" s="22">
        <f>IF($D2667="","",IF(AND(OR(DANH_MUC!$L$5&lt;&gt;"Có",M2667="Có"),OR(DANH_MUC!$L$6&lt;&gt;"Có",N2667="Có"),OR(DANH_MUC!$L$7&lt;&gt;"Có",O2667="Có"),OR(DANH_MUC!$L$8&lt;&gt;"Có",P2667="Có")),"Có","Không"))</f>
        <v/>
      </c>
      <c r="R2667" s="22">
        <f>IF($D2667="","",IF(COUNTIF($D$2:$D2667,$D2667)&gt;1,"Trùng",""))</f>
        <v/>
      </c>
      <c r="S2667" s="22">
        <f>IF($D2667="","",IF(AND(LEN($D2667)=10,LEFT($D2667,1)="0",ISNUMBER(--$D2667)),"Có","Không"))</f>
        <v/>
      </c>
      <c r="T2667" s="22">
        <f>IF($D2667="","",IF(AND($C2667&lt;&gt;"",$Q2667="Có",$R2667="",$S2667="Có",AND($L2667&lt;&gt;"",OR($L2667&lt;&gt;"Chưa xác định",DANH_MUC!$L$9="Có"))),"Có","Không"))</f>
        <v/>
      </c>
      <c r="U2667" s="22">
        <f>IF(OR($D2667="",$T2667="Có"),"",IF($C2667="","Thiếu họ tên; ","")&amp;IF($S2667&lt;&gt;"Có","SĐT sai định dạng; ","")&amp;IF($R2667="Trùng","Trùng SĐT; ","")&amp;IF($Q2667&lt;&gt;"Có","Thiếu đồng ý bắt buộc; ","")&amp;IF($L2667="","Thiếu/sai Mã REF; ",IF(AND($L2667="Chưa xác định",DANH_MUC!$L$9&lt;&gt;"Có"),"Nguồn chưa xác định; ","")))</f>
        <v/>
      </c>
      <c r="V2667" s="22">
        <f>IF(OR($D2667="",$R2667="Trùng"),"",IF(COUNTIF(ORDERS!$C$2:$C$4995,$D2667)&gt;0,"Có","Không"))</f>
        <v/>
      </c>
      <c r="W2667" s="22">
        <f>IF(OR($D2667="",$R2667="Trùng"),"",COUNTIFS(ORDERS!$C$2:$C$4995,$D2667,ORDERS!$L$2:$L$4995,"Đã chuyển khoản"))</f>
        <v/>
      </c>
      <c r="X2667" s="23">
        <f>IF(OR($D2667="",$R2667="Trùng"),"",SUMIFS(ORDERS!$J$2:$J$4995,ORDERS!$C$2:$C$4995,$D2667,ORDERS!$L$2:$L$4995,"Đã chuyển khoản"))</f>
        <v/>
      </c>
      <c r="Y2667" s="24" t="n"/>
    </row>
    <row r="2668" ht="14.25" customHeight="1" s="40">
      <c r="A2668" s="24" t="n"/>
      <c r="B2668" s="27" t="n"/>
      <c r="C2668" s="24" t="n"/>
      <c r="D2668" s="28" t="n"/>
      <c r="E2668" s="29" t="n"/>
      <c r="F2668" s="24" t="n"/>
      <c r="G2668" s="24" t="n"/>
      <c r="H2668" s="21">
        <f>IF(ISNUMBER($B2668),INT($B2668)-WEEKDAY($B2668,2)+1,"")</f>
        <v/>
      </c>
      <c r="I2668" s="24" t="n"/>
      <c r="J2668" s="22">
        <f t="array" ref="J2668">IF($D2668="","",IF($I2668="","(trống REF)",IFERROR(INDEX(MASTER_SOURCE!$B$2:$B$495,MATCH($I2668,MASTER_SOURCE!$A$2:$A$495,0)),"(REF không có trong MASTER_SOURCE)")))</f>
        <v/>
      </c>
      <c r="K2668" s="22">
        <f t="array" ref="K2668">IF($D2668="","",IFERROR(INDEX(MASTER_SOURCE!$C$2:$C$495,MATCH($I2668,MASTER_SOURCE!$A$2:$A$495,0)),""))</f>
        <v/>
      </c>
      <c r="L2668" s="22">
        <f t="array" ref="L2668">IF($D2668="","",IFERROR(INDEX(MASTER_SOURCE!$D$2:$D$495,MATCH($I2668,MASTER_SOURCE!$A$2:$A$495,0)),""))</f>
        <v/>
      </c>
      <c r="M2668" s="24" t="n"/>
      <c r="N2668" s="24" t="n"/>
      <c r="O2668" s="24" t="n"/>
      <c r="P2668" s="24" t="n"/>
      <c r="Q2668" s="22">
        <f>IF($D2668="","",IF(AND(OR(DANH_MUC!$L$5&lt;&gt;"Có",M2668="Có"),OR(DANH_MUC!$L$6&lt;&gt;"Có",N2668="Có"),OR(DANH_MUC!$L$7&lt;&gt;"Có",O2668="Có"),OR(DANH_MUC!$L$8&lt;&gt;"Có",P2668="Có")),"Có","Không"))</f>
        <v/>
      </c>
      <c r="R2668" s="22">
        <f>IF($D2668="","",IF(COUNTIF($D$2:$D2668,$D2668)&gt;1,"Trùng",""))</f>
        <v/>
      </c>
      <c r="S2668" s="22">
        <f>IF($D2668="","",IF(AND(LEN($D2668)=10,LEFT($D2668,1)="0",ISNUMBER(--$D2668)),"Có","Không"))</f>
        <v/>
      </c>
      <c r="T2668" s="22">
        <f>IF($D2668="","",IF(AND($C2668&lt;&gt;"",$Q2668="Có",$R2668="",$S2668="Có",AND($L2668&lt;&gt;"",OR($L2668&lt;&gt;"Chưa xác định",DANH_MUC!$L$9="Có"))),"Có","Không"))</f>
        <v/>
      </c>
      <c r="U2668" s="22">
        <f>IF(OR($D2668="",$T2668="Có"),"",IF($C2668="","Thiếu họ tên; ","")&amp;IF($S2668&lt;&gt;"Có","SĐT sai định dạng; ","")&amp;IF($R2668="Trùng","Trùng SĐT; ","")&amp;IF($Q2668&lt;&gt;"Có","Thiếu đồng ý bắt buộc; ","")&amp;IF($L2668="","Thiếu/sai Mã REF; ",IF(AND($L2668="Chưa xác định",DANH_MUC!$L$9&lt;&gt;"Có"),"Nguồn chưa xác định; ","")))</f>
        <v/>
      </c>
      <c r="V2668" s="22">
        <f>IF(OR($D2668="",$R2668="Trùng"),"",IF(COUNTIF(ORDERS!$C$2:$C$4995,$D2668)&gt;0,"Có","Không"))</f>
        <v/>
      </c>
      <c r="W2668" s="22">
        <f>IF(OR($D2668="",$R2668="Trùng"),"",COUNTIFS(ORDERS!$C$2:$C$4995,$D2668,ORDERS!$L$2:$L$4995,"Đã chuyển khoản"))</f>
        <v/>
      </c>
      <c r="X2668" s="23">
        <f>IF(OR($D2668="",$R2668="Trùng"),"",SUMIFS(ORDERS!$J$2:$J$4995,ORDERS!$C$2:$C$4995,$D2668,ORDERS!$L$2:$L$4995,"Đã chuyển khoản"))</f>
        <v/>
      </c>
      <c r="Y2668" s="24" t="n"/>
    </row>
    <row r="2669" ht="14.25" customHeight="1" s="40">
      <c r="A2669" s="24" t="n"/>
      <c r="B2669" s="27" t="n"/>
      <c r="C2669" s="24" t="n"/>
      <c r="D2669" s="28" t="n"/>
      <c r="E2669" s="29" t="n"/>
      <c r="F2669" s="24" t="n"/>
      <c r="G2669" s="24" t="n"/>
      <c r="H2669" s="21">
        <f>IF(ISNUMBER($B2669),INT($B2669)-WEEKDAY($B2669,2)+1,"")</f>
        <v/>
      </c>
      <c r="I2669" s="24" t="n"/>
      <c r="J2669" s="22">
        <f t="array" ref="J2669">IF($D2669="","",IF($I2669="","(trống REF)",IFERROR(INDEX(MASTER_SOURCE!$B$2:$B$495,MATCH($I2669,MASTER_SOURCE!$A$2:$A$495,0)),"(REF không có trong MASTER_SOURCE)")))</f>
        <v/>
      </c>
      <c r="K2669" s="22">
        <f t="array" ref="K2669">IF($D2669="","",IFERROR(INDEX(MASTER_SOURCE!$C$2:$C$495,MATCH($I2669,MASTER_SOURCE!$A$2:$A$495,0)),""))</f>
        <v/>
      </c>
      <c r="L2669" s="22">
        <f t="array" ref="L2669">IF($D2669="","",IFERROR(INDEX(MASTER_SOURCE!$D$2:$D$495,MATCH($I2669,MASTER_SOURCE!$A$2:$A$495,0)),""))</f>
        <v/>
      </c>
      <c r="M2669" s="24" t="n"/>
      <c r="N2669" s="24" t="n"/>
      <c r="O2669" s="24" t="n"/>
      <c r="P2669" s="24" t="n"/>
      <c r="Q2669" s="22">
        <f>IF($D2669="","",IF(AND(OR(DANH_MUC!$L$5&lt;&gt;"Có",M2669="Có"),OR(DANH_MUC!$L$6&lt;&gt;"Có",N2669="Có"),OR(DANH_MUC!$L$7&lt;&gt;"Có",O2669="Có"),OR(DANH_MUC!$L$8&lt;&gt;"Có",P2669="Có")),"Có","Không"))</f>
        <v/>
      </c>
      <c r="R2669" s="22">
        <f>IF($D2669="","",IF(COUNTIF($D$2:$D2669,$D2669)&gt;1,"Trùng",""))</f>
        <v/>
      </c>
      <c r="S2669" s="22">
        <f>IF($D2669="","",IF(AND(LEN($D2669)=10,LEFT($D2669,1)="0",ISNUMBER(--$D2669)),"Có","Không"))</f>
        <v/>
      </c>
      <c r="T2669" s="22">
        <f>IF($D2669="","",IF(AND($C2669&lt;&gt;"",$Q2669="Có",$R2669="",$S2669="Có",AND($L2669&lt;&gt;"",OR($L2669&lt;&gt;"Chưa xác định",DANH_MUC!$L$9="Có"))),"Có","Không"))</f>
        <v/>
      </c>
      <c r="U2669" s="22">
        <f>IF(OR($D2669="",$T2669="Có"),"",IF($C2669="","Thiếu họ tên; ","")&amp;IF($S2669&lt;&gt;"Có","SĐT sai định dạng; ","")&amp;IF($R2669="Trùng","Trùng SĐT; ","")&amp;IF($Q2669&lt;&gt;"Có","Thiếu đồng ý bắt buộc; ","")&amp;IF($L2669="","Thiếu/sai Mã REF; ",IF(AND($L2669="Chưa xác định",DANH_MUC!$L$9&lt;&gt;"Có"),"Nguồn chưa xác định; ","")))</f>
        <v/>
      </c>
      <c r="V2669" s="22">
        <f>IF(OR($D2669="",$R2669="Trùng"),"",IF(COUNTIF(ORDERS!$C$2:$C$4995,$D2669)&gt;0,"Có","Không"))</f>
        <v/>
      </c>
      <c r="W2669" s="22">
        <f>IF(OR($D2669="",$R2669="Trùng"),"",COUNTIFS(ORDERS!$C$2:$C$4995,$D2669,ORDERS!$L$2:$L$4995,"Đã chuyển khoản"))</f>
        <v/>
      </c>
      <c r="X2669" s="23">
        <f>IF(OR($D2669="",$R2669="Trùng"),"",SUMIFS(ORDERS!$J$2:$J$4995,ORDERS!$C$2:$C$4995,$D2669,ORDERS!$L$2:$L$4995,"Đã chuyển khoản"))</f>
        <v/>
      </c>
      <c r="Y2669" s="24" t="n"/>
    </row>
    <row r="2670" ht="14.25" customHeight="1" s="40">
      <c r="A2670" s="24" t="n"/>
      <c r="B2670" s="27" t="n"/>
      <c r="C2670" s="24" t="n"/>
      <c r="D2670" s="28" t="n"/>
      <c r="E2670" s="29" t="n"/>
      <c r="F2670" s="24" t="n"/>
      <c r="G2670" s="24" t="n"/>
      <c r="H2670" s="21">
        <f>IF(ISNUMBER($B2670),INT($B2670)-WEEKDAY($B2670,2)+1,"")</f>
        <v/>
      </c>
      <c r="I2670" s="24" t="n"/>
      <c r="J2670" s="22">
        <f t="array" ref="J2670">IF($D2670="","",IF($I2670="","(trống REF)",IFERROR(INDEX(MASTER_SOURCE!$B$2:$B$495,MATCH($I2670,MASTER_SOURCE!$A$2:$A$495,0)),"(REF không có trong MASTER_SOURCE)")))</f>
        <v/>
      </c>
      <c r="K2670" s="22">
        <f t="array" ref="K2670">IF($D2670="","",IFERROR(INDEX(MASTER_SOURCE!$C$2:$C$495,MATCH($I2670,MASTER_SOURCE!$A$2:$A$495,0)),""))</f>
        <v/>
      </c>
      <c r="L2670" s="22">
        <f t="array" ref="L2670">IF($D2670="","",IFERROR(INDEX(MASTER_SOURCE!$D$2:$D$495,MATCH($I2670,MASTER_SOURCE!$A$2:$A$495,0)),""))</f>
        <v/>
      </c>
      <c r="M2670" s="24" t="n"/>
      <c r="N2670" s="24" t="n"/>
      <c r="O2670" s="24" t="n"/>
      <c r="P2670" s="24" t="n"/>
      <c r="Q2670" s="22">
        <f>IF($D2670="","",IF(AND(OR(DANH_MUC!$L$5&lt;&gt;"Có",M2670="Có"),OR(DANH_MUC!$L$6&lt;&gt;"Có",N2670="Có"),OR(DANH_MUC!$L$7&lt;&gt;"Có",O2670="Có"),OR(DANH_MUC!$L$8&lt;&gt;"Có",P2670="Có")),"Có","Không"))</f>
        <v/>
      </c>
      <c r="R2670" s="22">
        <f>IF($D2670="","",IF(COUNTIF($D$2:$D2670,$D2670)&gt;1,"Trùng",""))</f>
        <v/>
      </c>
      <c r="S2670" s="22">
        <f>IF($D2670="","",IF(AND(LEN($D2670)=10,LEFT($D2670,1)="0",ISNUMBER(--$D2670)),"Có","Không"))</f>
        <v/>
      </c>
      <c r="T2670" s="22">
        <f>IF($D2670="","",IF(AND($C2670&lt;&gt;"",$Q2670="Có",$R2670="",$S2670="Có",AND($L2670&lt;&gt;"",OR($L2670&lt;&gt;"Chưa xác định",DANH_MUC!$L$9="Có"))),"Có","Không"))</f>
        <v/>
      </c>
      <c r="U2670" s="22">
        <f>IF(OR($D2670="",$T2670="Có"),"",IF($C2670="","Thiếu họ tên; ","")&amp;IF($S2670&lt;&gt;"Có","SĐT sai định dạng; ","")&amp;IF($R2670="Trùng","Trùng SĐT; ","")&amp;IF($Q2670&lt;&gt;"Có","Thiếu đồng ý bắt buộc; ","")&amp;IF($L2670="","Thiếu/sai Mã REF; ",IF(AND($L2670="Chưa xác định",DANH_MUC!$L$9&lt;&gt;"Có"),"Nguồn chưa xác định; ","")))</f>
        <v/>
      </c>
      <c r="V2670" s="22">
        <f>IF(OR($D2670="",$R2670="Trùng"),"",IF(COUNTIF(ORDERS!$C$2:$C$4995,$D2670)&gt;0,"Có","Không"))</f>
        <v/>
      </c>
      <c r="W2670" s="22">
        <f>IF(OR($D2670="",$R2670="Trùng"),"",COUNTIFS(ORDERS!$C$2:$C$4995,$D2670,ORDERS!$L$2:$L$4995,"Đã chuyển khoản"))</f>
        <v/>
      </c>
      <c r="X2670" s="23">
        <f>IF(OR($D2670="",$R2670="Trùng"),"",SUMIFS(ORDERS!$J$2:$J$4995,ORDERS!$C$2:$C$4995,$D2670,ORDERS!$L$2:$L$4995,"Đã chuyển khoản"))</f>
        <v/>
      </c>
      <c r="Y2670" s="24" t="n"/>
    </row>
    <row r="2671" ht="14.25" customHeight="1" s="40">
      <c r="A2671" s="24" t="n"/>
      <c r="B2671" s="27" t="n"/>
      <c r="C2671" s="24" t="n"/>
      <c r="D2671" s="28" t="n"/>
      <c r="E2671" s="29" t="n"/>
      <c r="F2671" s="24" t="n"/>
      <c r="G2671" s="24" t="n"/>
      <c r="H2671" s="21">
        <f>IF(ISNUMBER($B2671),INT($B2671)-WEEKDAY($B2671,2)+1,"")</f>
        <v/>
      </c>
      <c r="I2671" s="24" t="n"/>
      <c r="J2671" s="22">
        <f t="array" ref="J2671">IF($D2671="","",IF($I2671="","(trống REF)",IFERROR(INDEX(MASTER_SOURCE!$B$2:$B$495,MATCH($I2671,MASTER_SOURCE!$A$2:$A$495,0)),"(REF không có trong MASTER_SOURCE)")))</f>
        <v/>
      </c>
      <c r="K2671" s="22">
        <f t="array" ref="K2671">IF($D2671="","",IFERROR(INDEX(MASTER_SOURCE!$C$2:$C$495,MATCH($I2671,MASTER_SOURCE!$A$2:$A$495,0)),""))</f>
        <v/>
      </c>
      <c r="L2671" s="22">
        <f t="array" ref="L2671">IF($D2671="","",IFERROR(INDEX(MASTER_SOURCE!$D$2:$D$495,MATCH($I2671,MASTER_SOURCE!$A$2:$A$495,0)),""))</f>
        <v/>
      </c>
      <c r="M2671" s="24" t="n"/>
      <c r="N2671" s="24" t="n"/>
      <c r="O2671" s="24" t="n"/>
      <c r="P2671" s="24" t="n"/>
      <c r="Q2671" s="22">
        <f>IF($D2671="","",IF(AND(OR(DANH_MUC!$L$5&lt;&gt;"Có",M2671="Có"),OR(DANH_MUC!$L$6&lt;&gt;"Có",N2671="Có"),OR(DANH_MUC!$L$7&lt;&gt;"Có",O2671="Có"),OR(DANH_MUC!$L$8&lt;&gt;"Có",P2671="Có")),"Có","Không"))</f>
        <v/>
      </c>
      <c r="R2671" s="22">
        <f>IF($D2671="","",IF(COUNTIF($D$2:$D2671,$D2671)&gt;1,"Trùng",""))</f>
        <v/>
      </c>
      <c r="S2671" s="22">
        <f>IF($D2671="","",IF(AND(LEN($D2671)=10,LEFT($D2671,1)="0",ISNUMBER(--$D2671)),"Có","Không"))</f>
        <v/>
      </c>
      <c r="T2671" s="22">
        <f>IF($D2671="","",IF(AND($C2671&lt;&gt;"",$Q2671="Có",$R2671="",$S2671="Có",AND($L2671&lt;&gt;"",OR($L2671&lt;&gt;"Chưa xác định",DANH_MUC!$L$9="Có"))),"Có","Không"))</f>
        <v/>
      </c>
      <c r="U2671" s="22">
        <f>IF(OR($D2671="",$T2671="Có"),"",IF($C2671="","Thiếu họ tên; ","")&amp;IF($S2671&lt;&gt;"Có","SĐT sai định dạng; ","")&amp;IF($R2671="Trùng","Trùng SĐT; ","")&amp;IF($Q2671&lt;&gt;"Có","Thiếu đồng ý bắt buộc; ","")&amp;IF($L2671="","Thiếu/sai Mã REF; ",IF(AND($L2671="Chưa xác định",DANH_MUC!$L$9&lt;&gt;"Có"),"Nguồn chưa xác định; ","")))</f>
        <v/>
      </c>
      <c r="V2671" s="22">
        <f>IF(OR($D2671="",$R2671="Trùng"),"",IF(COUNTIF(ORDERS!$C$2:$C$4995,$D2671)&gt;0,"Có","Không"))</f>
        <v/>
      </c>
      <c r="W2671" s="22">
        <f>IF(OR($D2671="",$R2671="Trùng"),"",COUNTIFS(ORDERS!$C$2:$C$4995,$D2671,ORDERS!$L$2:$L$4995,"Đã chuyển khoản"))</f>
        <v/>
      </c>
      <c r="X2671" s="23">
        <f>IF(OR($D2671="",$R2671="Trùng"),"",SUMIFS(ORDERS!$J$2:$J$4995,ORDERS!$C$2:$C$4995,$D2671,ORDERS!$L$2:$L$4995,"Đã chuyển khoản"))</f>
        <v/>
      </c>
      <c r="Y2671" s="24" t="n"/>
    </row>
    <row r="2672" ht="14.25" customHeight="1" s="40">
      <c r="A2672" s="24" t="n"/>
      <c r="B2672" s="27" t="n"/>
      <c r="C2672" s="24" t="n"/>
      <c r="D2672" s="28" t="n"/>
      <c r="E2672" s="29" t="n"/>
      <c r="F2672" s="24" t="n"/>
      <c r="G2672" s="24" t="n"/>
      <c r="H2672" s="21">
        <f>IF(ISNUMBER($B2672),INT($B2672)-WEEKDAY($B2672,2)+1,"")</f>
        <v/>
      </c>
      <c r="I2672" s="24" t="n"/>
      <c r="J2672" s="22">
        <f t="array" ref="J2672">IF($D2672="","",IF($I2672="","(trống REF)",IFERROR(INDEX(MASTER_SOURCE!$B$2:$B$495,MATCH($I2672,MASTER_SOURCE!$A$2:$A$495,0)),"(REF không có trong MASTER_SOURCE)")))</f>
        <v/>
      </c>
      <c r="K2672" s="22">
        <f t="array" ref="K2672">IF($D2672="","",IFERROR(INDEX(MASTER_SOURCE!$C$2:$C$495,MATCH($I2672,MASTER_SOURCE!$A$2:$A$495,0)),""))</f>
        <v/>
      </c>
      <c r="L2672" s="22">
        <f t="array" ref="L2672">IF($D2672="","",IFERROR(INDEX(MASTER_SOURCE!$D$2:$D$495,MATCH($I2672,MASTER_SOURCE!$A$2:$A$495,0)),""))</f>
        <v/>
      </c>
      <c r="M2672" s="24" t="n"/>
      <c r="N2672" s="24" t="n"/>
      <c r="O2672" s="24" t="n"/>
      <c r="P2672" s="24" t="n"/>
      <c r="Q2672" s="22">
        <f>IF($D2672="","",IF(AND(OR(DANH_MUC!$L$5&lt;&gt;"Có",M2672="Có"),OR(DANH_MUC!$L$6&lt;&gt;"Có",N2672="Có"),OR(DANH_MUC!$L$7&lt;&gt;"Có",O2672="Có"),OR(DANH_MUC!$L$8&lt;&gt;"Có",P2672="Có")),"Có","Không"))</f>
        <v/>
      </c>
      <c r="R2672" s="22">
        <f>IF($D2672="","",IF(COUNTIF($D$2:$D2672,$D2672)&gt;1,"Trùng",""))</f>
        <v/>
      </c>
      <c r="S2672" s="22">
        <f>IF($D2672="","",IF(AND(LEN($D2672)=10,LEFT($D2672,1)="0",ISNUMBER(--$D2672)),"Có","Không"))</f>
        <v/>
      </c>
      <c r="T2672" s="22">
        <f>IF($D2672="","",IF(AND($C2672&lt;&gt;"",$Q2672="Có",$R2672="",$S2672="Có",AND($L2672&lt;&gt;"",OR($L2672&lt;&gt;"Chưa xác định",DANH_MUC!$L$9="Có"))),"Có","Không"))</f>
        <v/>
      </c>
      <c r="U2672" s="22">
        <f>IF(OR($D2672="",$T2672="Có"),"",IF($C2672="","Thiếu họ tên; ","")&amp;IF($S2672&lt;&gt;"Có","SĐT sai định dạng; ","")&amp;IF($R2672="Trùng","Trùng SĐT; ","")&amp;IF($Q2672&lt;&gt;"Có","Thiếu đồng ý bắt buộc; ","")&amp;IF($L2672="","Thiếu/sai Mã REF; ",IF(AND($L2672="Chưa xác định",DANH_MUC!$L$9&lt;&gt;"Có"),"Nguồn chưa xác định; ","")))</f>
        <v/>
      </c>
      <c r="V2672" s="22">
        <f>IF(OR($D2672="",$R2672="Trùng"),"",IF(COUNTIF(ORDERS!$C$2:$C$4995,$D2672)&gt;0,"Có","Không"))</f>
        <v/>
      </c>
      <c r="W2672" s="22">
        <f>IF(OR($D2672="",$R2672="Trùng"),"",COUNTIFS(ORDERS!$C$2:$C$4995,$D2672,ORDERS!$L$2:$L$4995,"Đã chuyển khoản"))</f>
        <v/>
      </c>
      <c r="X2672" s="23">
        <f>IF(OR($D2672="",$R2672="Trùng"),"",SUMIFS(ORDERS!$J$2:$J$4995,ORDERS!$C$2:$C$4995,$D2672,ORDERS!$L$2:$L$4995,"Đã chuyển khoản"))</f>
        <v/>
      </c>
      <c r="Y2672" s="24" t="n"/>
    </row>
    <row r="2673" ht="14.25" customHeight="1" s="40">
      <c r="A2673" s="24" t="n"/>
      <c r="B2673" s="27" t="n"/>
      <c r="C2673" s="24" t="n"/>
      <c r="D2673" s="28" t="n"/>
      <c r="E2673" s="29" t="n"/>
      <c r="F2673" s="24" t="n"/>
      <c r="G2673" s="24" t="n"/>
      <c r="H2673" s="21">
        <f>IF(ISNUMBER($B2673),INT($B2673)-WEEKDAY($B2673,2)+1,"")</f>
        <v/>
      </c>
      <c r="I2673" s="24" t="n"/>
      <c r="J2673" s="22">
        <f t="array" ref="J2673">IF($D2673="","",IF($I2673="","(trống REF)",IFERROR(INDEX(MASTER_SOURCE!$B$2:$B$495,MATCH($I2673,MASTER_SOURCE!$A$2:$A$495,0)),"(REF không có trong MASTER_SOURCE)")))</f>
        <v/>
      </c>
      <c r="K2673" s="22">
        <f t="array" ref="K2673">IF($D2673="","",IFERROR(INDEX(MASTER_SOURCE!$C$2:$C$495,MATCH($I2673,MASTER_SOURCE!$A$2:$A$495,0)),""))</f>
        <v/>
      </c>
      <c r="L2673" s="22">
        <f t="array" ref="L2673">IF($D2673="","",IFERROR(INDEX(MASTER_SOURCE!$D$2:$D$495,MATCH($I2673,MASTER_SOURCE!$A$2:$A$495,0)),""))</f>
        <v/>
      </c>
      <c r="M2673" s="24" t="n"/>
      <c r="N2673" s="24" t="n"/>
      <c r="O2673" s="24" t="n"/>
      <c r="P2673" s="24" t="n"/>
      <c r="Q2673" s="22">
        <f>IF($D2673="","",IF(AND(OR(DANH_MUC!$L$5&lt;&gt;"Có",M2673="Có"),OR(DANH_MUC!$L$6&lt;&gt;"Có",N2673="Có"),OR(DANH_MUC!$L$7&lt;&gt;"Có",O2673="Có"),OR(DANH_MUC!$L$8&lt;&gt;"Có",P2673="Có")),"Có","Không"))</f>
        <v/>
      </c>
      <c r="R2673" s="22">
        <f>IF($D2673="","",IF(COUNTIF($D$2:$D2673,$D2673)&gt;1,"Trùng",""))</f>
        <v/>
      </c>
      <c r="S2673" s="22">
        <f>IF($D2673="","",IF(AND(LEN($D2673)=10,LEFT($D2673,1)="0",ISNUMBER(--$D2673)),"Có","Không"))</f>
        <v/>
      </c>
      <c r="T2673" s="22">
        <f>IF($D2673="","",IF(AND($C2673&lt;&gt;"",$Q2673="Có",$R2673="",$S2673="Có",AND($L2673&lt;&gt;"",OR($L2673&lt;&gt;"Chưa xác định",DANH_MUC!$L$9="Có"))),"Có","Không"))</f>
        <v/>
      </c>
      <c r="U2673" s="22">
        <f>IF(OR($D2673="",$T2673="Có"),"",IF($C2673="","Thiếu họ tên; ","")&amp;IF($S2673&lt;&gt;"Có","SĐT sai định dạng; ","")&amp;IF($R2673="Trùng","Trùng SĐT; ","")&amp;IF($Q2673&lt;&gt;"Có","Thiếu đồng ý bắt buộc; ","")&amp;IF($L2673="","Thiếu/sai Mã REF; ",IF(AND($L2673="Chưa xác định",DANH_MUC!$L$9&lt;&gt;"Có"),"Nguồn chưa xác định; ","")))</f>
        <v/>
      </c>
      <c r="V2673" s="22">
        <f>IF(OR($D2673="",$R2673="Trùng"),"",IF(COUNTIF(ORDERS!$C$2:$C$4995,$D2673)&gt;0,"Có","Không"))</f>
        <v/>
      </c>
      <c r="W2673" s="22">
        <f>IF(OR($D2673="",$R2673="Trùng"),"",COUNTIFS(ORDERS!$C$2:$C$4995,$D2673,ORDERS!$L$2:$L$4995,"Đã chuyển khoản"))</f>
        <v/>
      </c>
      <c r="X2673" s="23">
        <f>IF(OR($D2673="",$R2673="Trùng"),"",SUMIFS(ORDERS!$J$2:$J$4995,ORDERS!$C$2:$C$4995,$D2673,ORDERS!$L$2:$L$4995,"Đã chuyển khoản"))</f>
        <v/>
      </c>
      <c r="Y2673" s="24" t="n"/>
    </row>
    <row r="2674" ht="14.25" customHeight="1" s="40">
      <c r="A2674" s="24" t="n"/>
      <c r="B2674" s="27" t="n"/>
      <c r="C2674" s="24" t="n"/>
      <c r="D2674" s="28" t="n"/>
      <c r="E2674" s="29" t="n"/>
      <c r="F2674" s="24" t="n"/>
      <c r="G2674" s="24" t="n"/>
      <c r="H2674" s="21">
        <f>IF(ISNUMBER($B2674),INT($B2674)-WEEKDAY($B2674,2)+1,"")</f>
        <v/>
      </c>
      <c r="I2674" s="24" t="n"/>
      <c r="J2674" s="22">
        <f t="array" ref="J2674">IF($D2674="","",IF($I2674="","(trống REF)",IFERROR(INDEX(MASTER_SOURCE!$B$2:$B$495,MATCH($I2674,MASTER_SOURCE!$A$2:$A$495,0)),"(REF không có trong MASTER_SOURCE)")))</f>
        <v/>
      </c>
      <c r="K2674" s="22">
        <f t="array" ref="K2674">IF($D2674="","",IFERROR(INDEX(MASTER_SOURCE!$C$2:$C$495,MATCH($I2674,MASTER_SOURCE!$A$2:$A$495,0)),""))</f>
        <v/>
      </c>
      <c r="L2674" s="22">
        <f t="array" ref="L2674">IF($D2674="","",IFERROR(INDEX(MASTER_SOURCE!$D$2:$D$495,MATCH($I2674,MASTER_SOURCE!$A$2:$A$495,0)),""))</f>
        <v/>
      </c>
      <c r="M2674" s="24" t="n"/>
      <c r="N2674" s="24" t="n"/>
      <c r="O2674" s="24" t="n"/>
      <c r="P2674" s="24" t="n"/>
      <c r="Q2674" s="22">
        <f>IF($D2674="","",IF(AND(OR(DANH_MUC!$L$5&lt;&gt;"Có",M2674="Có"),OR(DANH_MUC!$L$6&lt;&gt;"Có",N2674="Có"),OR(DANH_MUC!$L$7&lt;&gt;"Có",O2674="Có"),OR(DANH_MUC!$L$8&lt;&gt;"Có",P2674="Có")),"Có","Không"))</f>
        <v/>
      </c>
      <c r="R2674" s="22">
        <f>IF($D2674="","",IF(COUNTIF($D$2:$D2674,$D2674)&gt;1,"Trùng",""))</f>
        <v/>
      </c>
      <c r="S2674" s="22">
        <f>IF($D2674="","",IF(AND(LEN($D2674)=10,LEFT($D2674,1)="0",ISNUMBER(--$D2674)),"Có","Không"))</f>
        <v/>
      </c>
      <c r="T2674" s="22">
        <f>IF($D2674="","",IF(AND($C2674&lt;&gt;"",$Q2674="Có",$R2674="",$S2674="Có",AND($L2674&lt;&gt;"",OR($L2674&lt;&gt;"Chưa xác định",DANH_MUC!$L$9="Có"))),"Có","Không"))</f>
        <v/>
      </c>
      <c r="U2674" s="22">
        <f>IF(OR($D2674="",$T2674="Có"),"",IF($C2674="","Thiếu họ tên; ","")&amp;IF($S2674&lt;&gt;"Có","SĐT sai định dạng; ","")&amp;IF($R2674="Trùng","Trùng SĐT; ","")&amp;IF($Q2674&lt;&gt;"Có","Thiếu đồng ý bắt buộc; ","")&amp;IF($L2674="","Thiếu/sai Mã REF; ",IF(AND($L2674="Chưa xác định",DANH_MUC!$L$9&lt;&gt;"Có"),"Nguồn chưa xác định; ","")))</f>
        <v/>
      </c>
      <c r="V2674" s="22">
        <f>IF(OR($D2674="",$R2674="Trùng"),"",IF(COUNTIF(ORDERS!$C$2:$C$4995,$D2674)&gt;0,"Có","Không"))</f>
        <v/>
      </c>
      <c r="W2674" s="22">
        <f>IF(OR($D2674="",$R2674="Trùng"),"",COUNTIFS(ORDERS!$C$2:$C$4995,$D2674,ORDERS!$L$2:$L$4995,"Đã chuyển khoản"))</f>
        <v/>
      </c>
      <c r="X2674" s="23">
        <f>IF(OR($D2674="",$R2674="Trùng"),"",SUMIFS(ORDERS!$J$2:$J$4995,ORDERS!$C$2:$C$4995,$D2674,ORDERS!$L$2:$L$4995,"Đã chuyển khoản"))</f>
        <v/>
      </c>
      <c r="Y2674" s="24" t="n"/>
    </row>
    <row r="2675" ht="14.25" customHeight="1" s="40">
      <c r="A2675" s="24" t="n"/>
      <c r="B2675" s="27" t="n"/>
      <c r="C2675" s="24" t="n"/>
      <c r="D2675" s="28" t="n"/>
      <c r="E2675" s="29" t="n"/>
      <c r="F2675" s="24" t="n"/>
      <c r="G2675" s="24" t="n"/>
      <c r="H2675" s="21">
        <f>IF(ISNUMBER($B2675),INT($B2675)-WEEKDAY($B2675,2)+1,"")</f>
        <v/>
      </c>
      <c r="I2675" s="24" t="n"/>
      <c r="J2675" s="22">
        <f t="array" ref="J2675">IF($D2675="","",IF($I2675="","(trống REF)",IFERROR(INDEX(MASTER_SOURCE!$B$2:$B$495,MATCH($I2675,MASTER_SOURCE!$A$2:$A$495,0)),"(REF không có trong MASTER_SOURCE)")))</f>
        <v/>
      </c>
      <c r="K2675" s="22">
        <f t="array" ref="K2675">IF($D2675="","",IFERROR(INDEX(MASTER_SOURCE!$C$2:$C$495,MATCH($I2675,MASTER_SOURCE!$A$2:$A$495,0)),""))</f>
        <v/>
      </c>
      <c r="L2675" s="22">
        <f t="array" ref="L2675">IF($D2675="","",IFERROR(INDEX(MASTER_SOURCE!$D$2:$D$495,MATCH($I2675,MASTER_SOURCE!$A$2:$A$495,0)),""))</f>
        <v/>
      </c>
      <c r="M2675" s="24" t="n"/>
      <c r="N2675" s="24" t="n"/>
      <c r="O2675" s="24" t="n"/>
      <c r="P2675" s="24" t="n"/>
      <c r="Q2675" s="22">
        <f>IF($D2675="","",IF(AND(OR(DANH_MUC!$L$5&lt;&gt;"Có",M2675="Có"),OR(DANH_MUC!$L$6&lt;&gt;"Có",N2675="Có"),OR(DANH_MUC!$L$7&lt;&gt;"Có",O2675="Có"),OR(DANH_MUC!$L$8&lt;&gt;"Có",P2675="Có")),"Có","Không"))</f>
        <v/>
      </c>
      <c r="R2675" s="22">
        <f>IF($D2675="","",IF(COUNTIF($D$2:$D2675,$D2675)&gt;1,"Trùng",""))</f>
        <v/>
      </c>
      <c r="S2675" s="22">
        <f>IF($D2675="","",IF(AND(LEN($D2675)=10,LEFT($D2675,1)="0",ISNUMBER(--$D2675)),"Có","Không"))</f>
        <v/>
      </c>
      <c r="T2675" s="22">
        <f>IF($D2675="","",IF(AND($C2675&lt;&gt;"",$Q2675="Có",$R2675="",$S2675="Có",AND($L2675&lt;&gt;"",OR($L2675&lt;&gt;"Chưa xác định",DANH_MUC!$L$9="Có"))),"Có","Không"))</f>
        <v/>
      </c>
      <c r="U2675" s="22">
        <f>IF(OR($D2675="",$T2675="Có"),"",IF($C2675="","Thiếu họ tên; ","")&amp;IF($S2675&lt;&gt;"Có","SĐT sai định dạng; ","")&amp;IF($R2675="Trùng","Trùng SĐT; ","")&amp;IF($Q2675&lt;&gt;"Có","Thiếu đồng ý bắt buộc; ","")&amp;IF($L2675="","Thiếu/sai Mã REF; ",IF(AND($L2675="Chưa xác định",DANH_MUC!$L$9&lt;&gt;"Có"),"Nguồn chưa xác định; ","")))</f>
        <v/>
      </c>
      <c r="V2675" s="22">
        <f>IF(OR($D2675="",$R2675="Trùng"),"",IF(COUNTIF(ORDERS!$C$2:$C$4995,$D2675)&gt;0,"Có","Không"))</f>
        <v/>
      </c>
      <c r="W2675" s="22">
        <f>IF(OR($D2675="",$R2675="Trùng"),"",COUNTIFS(ORDERS!$C$2:$C$4995,$D2675,ORDERS!$L$2:$L$4995,"Đã chuyển khoản"))</f>
        <v/>
      </c>
      <c r="X2675" s="23">
        <f>IF(OR($D2675="",$R2675="Trùng"),"",SUMIFS(ORDERS!$J$2:$J$4995,ORDERS!$C$2:$C$4995,$D2675,ORDERS!$L$2:$L$4995,"Đã chuyển khoản"))</f>
        <v/>
      </c>
      <c r="Y2675" s="24" t="n"/>
    </row>
    <row r="2676" ht="14.25" customHeight="1" s="40">
      <c r="A2676" s="24" t="n"/>
      <c r="B2676" s="27" t="n"/>
      <c r="C2676" s="24" t="n"/>
      <c r="D2676" s="28" t="n"/>
      <c r="E2676" s="29" t="n"/>
      <c r="F2676" s="24" t="n"/>
      <c r="G2676" s="24" t="n"/>
      <c r="H2676" s="21">
        <f>IF(ISNUMBER($B2676),INT($B2676)-WEEKDAY($B2676,2)+1,"")</f>
        <v/>
      </c>
      <c r="I2676" s="24" t="n"/>
      <c r="J2676" s="22">
        <f t="array" ref="J2676">IF($D2676="","",IF($I2676="","(trống REF)",IFERROR(INDEX(MASTER_SOURCE!$B$2:$B$495,MATCH($I2676,MASTER_SOURCE!$A$2:$A$495,0)),"(REF không có trong MASTER_SOURCE)")))</f>
        <v/>
      </c>
      <c r="K2676" s="22">
        <f t="array" ref="K2676">IF($D2676="","",IFERROR(INDEX(MASTER_SOURCE!$C$2:$C$495,MATCH($I2676,MASTER_SOURCE!$A$2:$A$495,0)),""))</f>
        <v/>
      </c>
      <c r="L2676" s="22">
        <f t="array" ref="L2676">IF($D2676="","",IFERROR(INDEX(MASTER_SOURCE!$D$2:$D$495,MATCH($I2676,MASTER_SOURCE!$A$2:$A$495,0)),""))</f>
        <v/>
      </c>
      <c r="M2676" s="24" t="n"/>
      <c r="N2676" s="24" t="n"/>
      <c r="O2676" s="24" t="n"/>
      <c r="P2676" s="24" t="n"/>
      <c r="Q2676" s="22">
        <f>IF($D2676="","",IF(AND(OR(DANH_MUC!$L$5&lt;&gt;"Có",M2676="Có"),OR(DANH_MUC!$L$6&lt;&gt;"Có",N2676="Có"),OR(DANH_MUC!$L$7&lt;&gt;"Có",O2676="Có"),OR(DANH_MUC!$L$8&lt;&gt;"Có",P2676="Có")),"Có","Không"))</f>
        <v/>
      </c>
      <c r="R2676" s="22">
        <f>IF($D2676="","",IF(COUNTIF($D$2:$D2676,$D2676)&gt;1,"Trùng",""))</f>
        <v/>
      </c>
      <c r="S2676" s="22">
        <f>IF($D2676="","",IF(AND(LEN($D2676)=10,LEFT($D2676,1)="0",ISNUMBER(--$D2676)),"Có","Không"))</f>
        <v/>
      </c>
      <c r="T2676" s="22">
        <f>IF($D2676="","",IF(AND($C2676&lt;&gt;"",$Q2676="Có",$R2676="",$S2676="Có",AND($L2676&lt;&gt;"",OR($L2676&lt;&gt;"Chưa xác định",DANH_MUC!$L$9="Có"))),"Có","Không"))</f>
        <v/>
      </c>
      <c r="U2676" s="22">
        <f>IF(OR($D2676="",$T2676="Có"),"",IF($C2676="","Thiếu họ tên; ","")&amp;IF($S2676&lt;&gt;"Có","SĐT sai định dạng; ","")&amp;IF($R2676="Trùng","Trùng SĐT; ","")&amp;IF($Q2676&lt;&gt;"Có","Thiếu đồng ý bắt buộc; ","")&amp;IF($L2676="","Thiếu/sai Mã REF; ",IF(AND($L2676="Chưa xác định",DANH_MUC!$L$9&lt;&gt;"Có"),"Nguồn chưa xác định; ","")))</f>
        <v/>
      </c>
      <c r="V2676" s="22">
        <f>IF(OR($D2676="",$R2676="Trùng"),"",IF(COUNTIF(ORDERS!$C$2:$C$4995,$D2676)&gt;0,"Có","Không"))</f>
        <v/>
      </c>
      <c r="W2676" s="22">
        <f>IF(OR($D2676="",$R2676="Trùng"),"",COUNTIFS(ORDERS!$C$2:$C$4995,$D2676,ORDERS!$L$2:$L$4995,"Đã chuyển khoản"))</f>
        <v/>
      </c>
      <c r="X2676" s="23">
        <f>IF(OR($D2676="",$R2676="Trùng"),"",SUMIFS(ORDERS!$J$2:$J$4995,ORDERS!$C$2:$C$4995,$D2676,ORDERS!$L$2:$L$4995,"Đã chuyển khoản"))</f>
        <v/>
      </c>
      <c r="Y2676" s="24" t="n"/>
    </row>
    <row r="2677" ht="14.25" customHeight="1" s="40">
      <c r="A2677" s="24" t="n"/>
      <c r="B2677" s="27" t="n"/>
      <c r="C2677" s="24" t="n"/>
      <c r="D2677" s="28" t="n"/>
      <c r="E2677" s="29" t="n"/>
      <c r="F2677" s="24" t="n"/>
      <c r="G2677" s="24" t="n"/>
      <c r="H2677" s="21">
        <f>IF(ISNUMBER($B2677),INT($B2677)-WEEKDAY($B2677,2)+1,"")</f>
        <v/>
      </c>
      <c r="I2677" s="24" t="n"/>
      <c r="J2677" s="22">
        <f t="array" ref="J2677">IF($D2677="","",IF($I2677="","(trống REF)",IFERROR(INDEX(MASTER_SOURCE!$B$2:$B$495,MATCH($I2677,MASTER_SOURCE!$A$2:$A$495,0)),"(REF không có trong MASTER_SOURCE)")))</f>
        <v/>
      </c>
      <c r="K2677" s="22">
        <f t="array" ref="K2677">IF($D2677="","",IFERROR(INDEX(MASTER_SOURCE!$C$2:$C$495,MATCH($I2677,MASTER_SOURCE!$A$2:$A$495,0)),""))</f>
        <v/>
      </c>
      <c r="L2677" s="22">
        <f t="array" ref="L2677">IF($D2677="","",IFERROR(INDEX(MASTER_SOURCE!$D$2:$D$495,MATCH($I2677,MASTER_SOURCE!$A$2:$A$495,0)),""))</f>
        <v/>
      </c>
      <c r="M2677" s="24" t="n"/>
      <c r="N2677" s="24" t="n"/>
      <c r="O2677" s="24" t="n"/>
      <c r="P2677" s="24" t="n"/>
      <c r="Q2677" s="22">
        <f>IF($D2677="","",IF(AND(OR(DANH_MUC!$L$5&lt;&gt;"Có",M2677="Có"),OR(DANH_MUC!$L$6&lt;&gt;"Có",N2677="Có"),OR(DANH_MUC!$L$7&lt;&gt;"Có",O2677="Có"),OR(DANH_MUC!$L$8&lt;&gt;"Có",P2677="Có")),"Có","Không"))</f>
        <v/>
      </c>
      <c r="R2677" s="22">
        <f>IF($D2677="","",IF(COUNTIF($D$2:$D2677,$D2677)&gt;1,"Trùng",""))</f>
        <v/>
      </c>
      <c r="S2677" s="22">
        <f>IF($D2677="","",IF(AND(LEN($D2677)=10,LEFT($D2677,1)="0",ISNUMBER(--$D2677)),"Có","Không"))</f>
        <v/>
      </c>
      <c r="T2677" s="22">
        <f>IF($D2677="","",IF(AND($C2677&lt;&gt;"",$Q2677="Có",$R2677="",$S2677="Có",AND($L2677&lt;&gt;"",OR($L2677&lt;&gt;"Chưa xác định",DANH_MUC!$L$9="Có"))),"Có","Không"))</f>
        <v/>
      </c>
      <c r="U2677" s="22">
        <f>IF(OR($D2677="",$T2677="Có"),"",IF($C2677="","Thiếu họ tên; ","")&amp;IF($S2677&lt;&gt;"Có","SĐT sai định dạng; ","")&amp;IF($R2677="Trùng","Trùng SĐT; ","")&amp;IF($Q2677&lt;&gt;"Có","Thiếu đồng ý bắt buộc; ","")&amp;IF($L2677="","Thiếu/sai Mã REF; ",IF(AND($L2677="Chưa xác định",DANH_MUC!$L$9&lt;&gt;"Có"),"Nguồn chưa xác định; ","")))</f>
        <v/>
      </c>
      <c r="V2677" s="22">
        <f>IF(OR($D2677="",$R2677="Trùng"),"",IF(COUNTIF(ORDERS!$C$2:$C$4995,$D2677)&gt;0,"Có","Không"))</f>
        <v/>
      </c>
      <c r="W2677" s="22">
        <f>IF(OR($D2677="",$R2677="Trùng"),"",COUNTIFS(ORDERS!$C$2:$C$4995,$D2677,ORDERS!$L$2:$L$4995,"Đã chuyển khoản"))</f>
        <v/>
      </c>
      <c r="X2677" s="23">
        <f>IF(OR($D2677="",$R2677="Trùng"),"",SUMIFS(ORDERS!$J$2:$J$4995,ORDERS!$C$2:$C$4995,$D2677,ORDERS!$L$2:$L$4995,"Đã chuyển khoản"))</f>
        <v/>
      </c>
      <c r="Y2677" s="24" t="n"/>
    </row>
    <row r="2678" ht="14.25" customHeight="1" s="40">
      <c r="A2678" s="24" t="n"/>
      <c r="B2678" s="27" t="n"/>
      <c r="C2678" s="24" t="n"/>
      <c r="D2678" s="28" t="n"/>
      <c r="E2678" s="29" t="n"/>
      <c r="F2678" s="24" t="n"/>
      <c r="G2678" s="24" t="n"/>
      <c r="H2678" s="21">
        <f>IF(ISNUMBER($B2678),INT($B2678)-WEEKDAY($B2678,2)+1,"")</f>
        <v/>
      </c>
      <c r="I2678" s="24" t="n"/>
      <c r="J2678" s="22">
        <f t="array" ref="J2678">IF($D2678="","",IF($I2678="","(trống REF)",IFERROR(INDEX(MASTER_SOURCE!$B$2:$B$495,MATCH($I2678,MASTER_SOURCE!$A$2:$A$495,0)),"(REF không có trong MASTER_SOURCE)")))</f>
        <v/>
      </c>
      <c r="K2678" s="22">
        <f t="array" ref="K2678">IF($D2678="","",IFERROR(INDEX(MASTER_SOURCE!$C$2:$C$495,MATCH($I2678,MASTER_SOURCE!$A$2:$A$495,0)),""))</f>
        <v/>
      </c>
      <c r="L2678" s="22">
        <f t="array" ref="L2678">IF($D2678="","",IFERROR(INDEX(MASTER_SOURCE!$D$2:$D$495,MATCH($I2678,MASTER_SOURCE!$A$2:$A$495,0)),""))</f>
        <v/>
      </c>
      <c r="M2678" s="24" t="n"/>
      <c r="N2678" s="24" t="n"/>
      <c r="O2678" s="24" t="n"/>
      <c r="P2678" s="24" t="n"/>
      <c r="Q2678" s="22">
        <f>IF($D2678="","",IF(AND(OR(DANH_MUC!$L$5&lt;&gt;"Có",M2678="Có"),OR(DANH_MUC!$L$6&lt;&gt;"Có",N2678="Có"),OR(DANH_MUC!$L$7&lt;&gt;"Có",O2678="Có"),OR(DANH_MUC!$L$8&lt;&gt;"Có",P2678="Có")),"Có","Không"))</f>
        <v/>
      </c>
      <c r="R2678" s="22">
        <f>IF($D2678="","",IF(COUNTIF($D$2:$D2678,$D2678)&gt;1,"Trùng",""))</f>
        <v/>
      </c>
      <c r="S2678" s="22">
        <f>IF($D2678="","",IF(AND(LEN($D2678)=10,LEFT($D2678,1)="0",ISNUMBER(--$D2678)),"Có","Không"))</f>
        <v/>
      </c>
      <c r="T2678" s="22">
        <f>IF($D2678="","",IF(AND($C2678&lt;&gt;"",$Q2678="Có",$R2678="",$S2678="Có",AND($L2678&lt;&gt;"",OR($L2678&lt;&gt;"Chưa xác định",DANH_MUC!$L$9="Có"))),"Có","Không"))</f>
        <v/>
      </c>
      <c r="U2678" s="22">
        <f>IF(OR($D2678="",$T2678="Có"),"",IF($C2678="","Thiếu họ tên; ","")&amp;IF($S2678&lt;&gt;"Có","SĐT sai định dạng; ","")&amp;IF($R2678="Trùng","Trùng SĐT; ","")&amp;IF($Q2678&lt;&gt;"Có","Thiếu đồng ý bắt buộc; ","")&amp;IF($L2678="","Thiếu/sai Mã REF; ",IF(AND($L2678="Chưa xác định",DANH_MUC!$L$9&lt;&gt;"Có"),"Nguồn chưa xác định; ","")))</f>
        <v/>
      </c>
      <c r="V2678" s="22">
        <f>IF(OR($D2678="",$R2678="Trùng"),"",IF(COUNTIF(ORDERS!$C$2:$C$4995,$D2678)&gt;0,"Có","Không"))</f>
        <v/>
      </c>
      <c r="W2678" s="22">
        <f>IF(OR($D2678="",$R2678="Trùng"),"",COUNTIFS(ORDERS!$C$2:$C$4995,$D2678,ORDERS!$L$2:$L$4995,"Đã chuyển khoản"))</f>
        <v/>
      </c>
      <c r="X2678" s="23">
        <f>IF(OR($D2678="",$R2678="Trùng"),"",SUMIFS(ORDERS!$J$2:$J$4995,ORDERS!$C$2:$C$4995,$D2678,ORDERS!$L$2:$L$4995,"Đã chuyển khoản"))</f>
        <v/>
      </c>
      <c r="Y2678" s="24" t="n"/>
    </row>
    <row r="2679" ht="14.25" customHeight="1" s="40">
      <c r="A2679" s="24" t="n"/>
      <c r="B2679" s="27" t="n"/>
      <c r="C2679" s="24" t="n"/>
      <c r="D2679" s="28" t="n"/>
      <c r="E2679" s="29" t="n"/>
      <c r="F2679" s="24" t="n"/>
      <c r="G2679" s="24" t="n"/>
      <c r="H2679" s="21">
        <f>IF(ISNUMBER($B2679),INT($B2679)-WEEKDAY($B2679,2)+1,"")</f>
        <v/>
      </c>
      <c r="I2679" s="24" t="n"/>
      <c r="J2679" s="22">
        <f t="array" ref="J2679">IF($D2679="","",IF($I2679="","(trống REF)",IFERROR(INDEX(MASTER_SOURCE!$B$2:$B$495,MATCH($I2679,MASTER_SOURCE!$A$2:$A$495,0)),"(REF không có trong MASTER_SOURCE)")))</f>
        <v/>
      </c>
      <c r="K2679" s="22">
        <f t="array" ref="K2679">IF($D2679="","",IFERROR(INDEX(MASTER_SOURCE!$C$2:$C$495,MATCH($I2679,MASTER_SOURCE!$A$2:$A$495,0)),""))</f>
        <v/>
      </c>
      <c r="L2679" s="22">
        <f t="array" ref="L2679">IF($D2679="","",IFERROR(INDEX(MASTER_SOURCE!$D$2:$D$495,MATCH($I2679,MASTER_SOURCE!$A$2:$A$495,0)),""))</f>
        <v/>
      </c>
      <c r="M2679" s="24" t="n"/>
      <c r="N2679" s="24" t="n"/>
      <c r="O2679" s="24" t="n"/>
      <c r="P2679" s="24" t="n"/>
      <c r="Q2679" s="22">
        <f>IF($D2679="","",IF(AND(OR(DANH_MUC!$L$5&lt;&gt;"Có",M2679="Có"),OR(DANH_MUC!$L$6&lt;&gt;"Có",N2679="Có"),OR(DANH_MUC!$L$7&lt;&gt;"Có",O2679="Có"),OR(DANH_MUC!$L$8&lt;&gt;"Có",P2679="Có")),"Có","Không"))</f>
        <v/>
      </c>
      <c r="R2679" s="22">
        <f>IF($D2679="","",IF(COUNTIF($D$2:$D2679,$D2679)&gt;1,"Trùng",""))</f>
        <v/>
      </c>
      <c r="S2679" s="22">
        <f>IF($D2679="","",IF(AND(LEN($D2679)=10,LEFT($D2679,1)="0",ISNUMBER(--$D2679)),"Có","Không"))</f>
        <v/>
      </c>
      <c r="T2679" s="22">
        <f>IF($D2679="","",IF(AND($C2679&lt;&gt;"",$Q2679="Có",$R2679="",$S2679="Có",AND($L2679&lt;&gt;"",OR($L2679&lt;&gt;"Chưa xác định",DANH_MUC!$L$9="Có"))),"Có","Không"))</f>
        <v/>
      </c>
      <c r="U2679" s="22">
        <f>IF(OR($D2679="",$T2679="Có"),"",IF($C2679="","Thiếu họ tên; ","")&amp;IF($S2679&lt;&gt;"Có","SĐT sai định dạng; ","")&amp;IF($R2679="Trùng","Trùng SĐT; ","")&amp;IF($Q2679&lt;&gt;"Có","Thiếu đồng ý bắt buộc; ","")&amp;IF($L2679="","Thiếu/sai Mã REF; ",IF(AND($L2679="Chưa xác định",DANH_MUC!$L$9&lt;&gt;"Có"),"Nguồn chưa xác định; ","")))</f>
        <v/>
      </c>
      <c r="V2679" s="22">
        <f>IF(OR($D2679="",$R2679="Trùng"),"",IF(COUNTIF(ORDERS!$C$2:$C$4995,$D2679)&gt;0,"Có","Không"))</f>
        <v/>
      </c>
      <c r="W2679" s="22">
        <f>IF(OR($D2679="",$R2679="Trùng"),"",COUNTIFS(ORDERS!$C$2:$C$4995,$D2679,ORDERS!$L$2:$L$4995,"Đã chuyển khoản"))</f>
        <v/>
      </c>
      <c r="X2679" s="23">
        <f>IF(OR($D2679="",$R2679="Trùng"),"",SUMIFS(ORDERS!$J$2:$J$4995,ORDERS!$C$2:$C$4995,$D2679,ORDERS!$L$2:$L$4995,"Đã chuyển khoản"))</f>
        <v/>
      </c>
      <c r="Y2679" s="24" t="n"/>
    </row>
    <row r="2680" ht="14.25" customHeight="1" s="40">
      <c r="A2680" s="24" t="n"/>
      <c r="B2680" s="27" t="n"/>
      <c r="C2680" s="24" t="n"/>
      <c r="D2680" s="28" t="n"/>
      <c r="E2680" s="29" t="n"/>
      <c r="F2680" s="24" t="n"/>
      <c r="G2680" s="24" t="n"/>
      <c r="H2680" s="21">
        <f>IF(ISNUMBER($B2680),INT($B2680)-WEEKDAY($B2680,2)+1,"")</f>
        <v/>
      </c>
      <c r="I2680" s="24" t="n"/>
      <c r="J2680" s="22">
        <f t="array" ref="J2680">IF($D2680="","",IF($I2680="","(trống REF)",IFERROR(INDEX(MASTER_SOURCE!$B$2:$B$495,MATCH($I2680,MASTER_SOURCE!$A$2:$A$495,0)),"(REF không có trong MASTER_SOURCE)")))</f>
        <v/>
      </c>
      <c r="K2680" s="22">
        <f t="array" ref="K2680">IF($D2680="","",IFERROR(INDEX(MASTER_SOURCE!$C$2:$C$495,MATCH($I2680,MASTER_SOURCE!$A$2:$A$495,0)),""))</f>
        <v/>
      </c>
      <c r="L2680" s="22">
        <f t="array" ref="L2680">IF($D2680="","",IFERROR(INDEX(MASTER_SOURCE!$D$2:$D$495,MATCH($I2680,MASTER_SOURCE!$A$2:$A$495,0)),""))</f>
        <v/>
      </c>
      <c r="M2680" s="24" t="n"/>
      <c r="N2680" s="24" t="n"/>
      <c r="O2680" s="24" t="n"/>
      <c r="P2680" s="24" t="n"/>
      <c r="Q2680" s="22">
        <f>IF($D2680="","",IF(AND(OR(DANH_MUC!$L$5&lt;&gt;"Có",M2680="Có"),OR(DANH_MUC!$L$6&lt;&gt;"Có",N2680="Có"),OR(DANH_MUC!$L$7&lt;&gt;"Có",O2680="Có"),OR(DANH_MUC!$L$8&lt;&gt;"Có",P2680="Có")),"Có","Không"))</f>
        <v/>
      </c>
      <c r="R2680" s="22">
        <f>IF($D2680="","",IF(COUNTIF($D$2:$D2680,$D2680)&gt;1,"Trùng",""))</f>
        <v/>
      </c>
      <c r="S2680" s="22">
        <f>IF($D2680="","",IF(AND(LEN($D2680)=10,LEFT($D2680,1)="0",ISNUMBER(--$D2680)),"Có","Không"))</f>
        <v/>
      </c>
      <c r="T2680" s="22">
        <f>IF($D2680="","",IF(AND($C2680&lt;&gt;"",$Q2680="Có",$R2680="",$S2680="Có",AND($L2680&lt;&gt;"",OR($L2680&lt;&gt;"Chưa xác định",DANH_MUC!$L$9="Có"))),"Có","Không"))</f>
        <v/>
      </c>
      <c r="U2680" s="22">
        <f>IF(OR($D2680="",$T2680="Có"),"",IF($C2680="","Thiếu họ tên; ","")&amp;IF($S2680&lt;&gt;"Có","SĐT sai định dạng; ","")&amp;IF($R2680="Trùng","Trùng SĐT; ","")&amp;IF($Q2680&lt;&gt;"Có","Thiếu đồng ý bắt buộc; ","")&amp;IF($L2680="","Thiếu/sai Mã REF; ",IF(AND($L2680="Chưa xác định",DANH_MUC!$L$9&lt;&gt;"Có"),"Nguồn chưa xác định; ","")))</f>
        <v/>
      </c>
      <c r="V2680" s="22">
        <f>IF(OR($D2680="",$R2680="Trùng"),"",IF(COUNTIF(ORDERS!$C$2:$C$4995,$D2680)&gt;0,"Có","Không"))</f>
        <v/>
      </c>
      <c r="W2680" s="22">
        <f>IF(OR($D2680="",$R2680="Trùng"),"",COUNTIFS(ORDERS!$C$2:$C$4995,$D2680,ORDERS!$L$2:$L$4995,"Đã chuyển khoản"))</f>
        <v/>
      </c>
      <c r="X2680" s="23">
        <f>IF(OR($D2680="",$R2680="Trùng"),"",SUMIFS(ORDERS!$J$2:$J$4995,ORDERS!$C$2:$C$4995,$D2680,ORDERS!$L$2:$L$4995,"Đã chuyển khoản"))</f>
        <v/>
      </c>
      <c r="Y2680" s="24" t="n"/>
    </row>
    <row r="2681" ht="14.25" customHeight="1" s="40">
      <c r="A2681" s="24" t="n"/>
      <c r="B2681" s="27" t="n"/>
      <c r="C2681" s="24" t="n"/>
      <c r="D2681" s="28" t="n"/>
      <c r="E2681" s="29" t="n"/>
      <c r="F2681" s="24" t="n"/>
      <c r="G2681" s="24" t="n"/>
      <c r="H2681" s="21">
        <f>IF(ISNUMBER($B2681),INT($B2681)-WEEKDAY($B2681,2)+1,"")</f>
        <v/>
      </c>
      <c r="I2681" s="24" t="n"/>
      <c r="J2681" s="22">
        <f t="array" ref="J2681">IF($D2681="","",IF($I2681="","(trống REF)",IFERROR(INDEX(MASTER_SOURCE!$B$2:$B$495,MATCH($I2681,MASTER_SOURCE!$A$2:$A$495,0)),"(REF không có trong MASTER_SOURCE)")))</f>
        <v/>
      </c>
      <c r="K2681" s="22">
        <f t="array" ref="K2681">IF($D2681="","",IFERROR(INDEX(MASTER_SOURCE!$C$2:$C$495,MATCH($I2681,MASTER_SOURCE!$A$2:$A$495,0)),""))</f>
        <v/>
      </c>
      <c r="L2681" s="22">
        <f t="array" ref="L2681">IF($D2681="","",IFERROR(INDEX(MASTER_SOURCE!$D$2:$D$495,MATCH($I2681,MASTER_SOURCE!$A$2:$A$495,0)),""))</f>
        <v/>
      </c>
      <c r="M2681" s="24" t="n"/>
      <c r="N2681" s="24" t="n"/>
      <c r="O2681" s="24" t="n"/>
      <c r="P2681" s="24" t="n"/>
      <c r="Q2681" s="22">
        <f>IF($D2681="","",IF(AND(OR(DANH_MUC!$L$5&lt;&gt;"Có",M2681="Có"),OR(DANH_MUC!$L$6&lt;&gt;"Có",N2681="Có"),OR(DANH_MUC!$L$7&lt;&gt;"Có",O2681="Có"),OR(DANH_MUC!$L$8&lt;&gt;"Có",P2681="Có")),"Có","Không"))</f>
        <v/>
      </c>
      <c r="R2681" s="22">
        <f>IF($D2681="","",IF(COUNTIF($D$2:$D2681,$D2681)&gt;1,"Trùng",""))</f>
        <v/>
      </c>
      <c r="S2681" s="22">
        <f>IF($D2681="","",IF(AND(LEN($D2681)=10,LEFT($D2681,1)="0",ISNUMBER(--$D2681)),"Có","Không"))</f>
        <v/>
      </c>
      <c r="T2681" s="22">
        <f>IF($D2681="","",IF(AND($C2681&lt;&gt;"",$Q2681="Có",$R2681="",$S2681="Có",AND($L2681&lt;&gt;"",OR($L2681&lt;&gt;"Chưa xác định",DANH_MUC!$L$9="Có"))),"Có","Không"))</f>
        <v/>
      </c>
      <c r="U2681" s="22">
        <f>IF(OR($D2681="",$T2681="Có"),"",IF($C2681="","Thiếu họ tên; ","")&amp;IF($S2681&lt;&gt;"Có","SĐT sai định dạng; ","")&amp;IF($R2681="Trùng","Trùng SĐT; ","")&amp;IF($Q2681&lt;&gt;"Có","Thiếu đồng ý bắt buộc; ","")&amp;IF($L2681="","Thiếu/sai Mã REF; ",IF(AND($L2681="Chưa xác định",DANH_MUC!$L$9&lt;&gt;"Có"),"Nguồn chưa xác định; ","")))</f>
        <v/>
      </c>
      <c r="V2681" s="22">
        <f>IF(OR($D2681="",$R2681="Trùng"),"",IF(COUNTIF(ORDERS!$C$2:$C$4995,$D2681)&gt;0,"Có","Không"))</f>
        <v/>
      </c>
      <c r="W2681" s="22">
        <f>IF(OR($D2681="",$R2681="Trùng"),"",COUNTIFS(ORDERS!$C$2:$C$4995,$D2681,ORDERS!$L$2:$L$4995,"Đã chuyển khoản"))</f>
        <v/>
      </c>
      <c r="X2681" s="23">
        <f>IF(OR($D2681="",$R2681="Trùng"),"",SUMIFS(ORDERS!$J$2:$J$4995,ORDERS!$C$2:$C$4995,$D2681,ORDERS!$L$2:$L$4995,"Đã chuyển khoản"))</f>
        <v/>
      </c>
      <c r="Y2681" s="24" t="n"/>
    </row>
    <row r="2682" ht="14.25" customHeight="1" s="40">
      <c r="A2682" s="24" t="n"/>
      <c r="B2682" s="27" t="n"/>
      <c r="C2682" s="24" t="n"/>
      <c r="D2682" s="28" t="n"/>
      <c r="E2682" s="29" t="n"/>
      <c r="F2682" s="24" t="n"/>
      <c r="G2682" s="24" t="n"/>
      <c r="H2682" s="21">
        <f>IF(ISNUMBER($B2682),INT($B2682)-WEEKDAY($B2682,2)+1,"")</f>
        <v/>
      </c>
      <c r="I2682" s="24" t="n"/>
      <c r="J2682" s="22">
        <f t="array" ref="J2682">IF($D2682="","",IF($I2682="","(trống REF)",IFERROR(INDEX(MASTER_SOURCE!$B$2:$B$495,MATCH($I2682,MASTER_SOURCE!$A$2:$A$495,0)),"(REF không có trong MASTER_SOURCE)")))</f>
        <v/>
      </c>
      <c r="K2682" s="22">
        <f t="array" ref="K2682">IF($D2682="","",IFERROR(INDEX(MASTER_SOURCE!$C$2:$C$495,MATCH($I2682,MASTER_SOURCE!$A$2:$A$495,0)),""))</f>
        <v/>
      </c>
      <c r="L2682" s="22">
        <f t="array" ref="L2682">IF($D2682="","",IFERROR(INDEX(MASTER_SOURCE!$D$2:$D$495,MATCH($I2682,MASTER_SOURCE!$A$2:$A$495,0)),""))</f>
        <v/>
      </c>
      <c r="M2682" s="24" t="n"/>
      <c r="N2682" s="24" t="n"/>
      <c r="O2682" s="24" t="n"/>
      <c r="P2682" s="24" t="n"/>
      <c r="Q2682" s="22">
        <f>IF($D2682="","",IF(AND(OR(DANH_MUC!$L$5&lt;&gt;"Có",M2682="Có"),OR(DANH_MUC!$L$6&lt;&gt;"Có",N2682="Có"),OR(DANH_MUC!$L$7&lt;&gt;"Có",O2682="Có"),OR(DANH_MUC!$L$8&lt;&gt;"Có",P2682="Có")),"Có","Không"))</f>
        <v/>
      </c>
      <c r="R2682" s="22">
        <f>IF($D2682="","",IF(COUNTIF($D$2:$D2682,$D2682)&gt;1,"Trùng",""))</f>
        <v/>
      </c>
      <c r="S2682" s="22">
        <f>IF($D2682="","",IF(AND(LEN($D2682)=10,LEFT($D2682,1)="0",ISNUMBER(--$D2682)),"Có","Không"))</f>
        <v/>
      </c>
      <c r="T2682" s="22">
        <f>IF($D2682="","",IF(AND($C2682&lt;&gt;"",$Q2682="Có",$R2682="",$S2682="Có",AND($L2682&lt;&gt;"",OR($L2682&lt;&gt;"Chưa xác định",DANH_MUC!$L$9="Có"))),"Có","Không"))</f>
        <v/>
      </c>
      <c r="U2682" s="22">
        <f>IF(OR($D2682="",$T2682="Có"),"",IF($C2682="","Thiếu họ tên; ","")&amp;IF($S2682&lt;&gt;"Có","SĐT sai định dạng; ","")&amp;IF($R2682="Trùng","Trùng SĐT; ","")&amp;IF($Q2682&lt;&gt;"Có","Thiếu đồng ý bắt buộc; ","")&amp;IF($L2682="","Thiếu/sai Mã REF; ",IF(AND($L2682="Chưa xác định",DANH_MUC!$L$9&lt;&gt;"Có"),"Nguồn chưa xác định; ","")))</f>
        <v/>
      </c>
      <c r="V2682" s="22">
        <f>IF(OR($D2682="",$R2682="Trùng"),"",IF(COUNTIF(ORDERS!$C$2:$C$4995,$D2682)&gt;0,"Có","Không"))</f>
        <v/>
      </c>
      <c r="W2682" s="22">
        <f>IF(OR($D2682="",$R2682="Trùng"),"",COUNTIFS(ORDERS!$C$2:$C$4995,$D2682,ORDERS!$L$2:$L$4995,"Đã chuyển khoản"))</f>
        <v/>
      </c>
      <c r="X2682" s="23">
        <f>IF(OR($D2682="",$R2682="Trùng"),"",SUMIFS(ORDERS!$J$2:$J$4995,ORDERS!$C$2:$C$4995,$D2682,ORDERS!$L$2:$L$4995,"Đã chuyển khoản"))</f>
        <v/>
      </c>
      <c r="Y2682" s="24" t="n"/>
    </row>
    <row r="2683" ht="14.25" customHeight="1" s="40">
      <c r="A2683" s="24" t="n"/>
      <c r="B2683" s="27" t="n"/>
      <c r="C2683" s="24" t="n"/>
      <c r="D2683" s="28" t="n"/>
      <c r="E2683" s="29" t="n"/>
      <c r="F2683" s="24" t="n"/>
      <c r="G2683" s="24" t="n"/>
      <c r="H2683" s="21">
        <f>IF(ISNUMBER($B2683),INT($B2683)-WEEKDAY($B2683,2)+1,"")</f>
        <v/>
      </c>
      <c r="I2683" s="24" t="n"/>
      <c r="J2683" s="22">
        <f t="array" ref="J2683">IF($D2683="","",IF($I2683="","(trống REF)",IFERROR(INDEX(MASTER_SOURCE!$B$2:$B$495,MATCH($I2683,MASTER_SOURCE!$A$2:$A$495,0)),"(REF không có trong MASTER_SOURCE)")))</f>
        <v/>
      </c>
      <c r="K2683" s="22">
        <f t="array" ref="K2683">IF($D2683="","",IFERROR(INDEX(MASTER_SOURCE!$C$2:$C$495,MATCH($I2683,MASTER_SOURCE!$A$2:$A$495,0)),""))</f>
        <v/>
      </c>
      <c r="L2683" s="22">
        <f t="array" ref="L2683">IF($D2683="","",IFERROR(INDEX(MASTER_SOURCE!$D$2:$D$495,MATCH($I2683,MASTER_SOURCE!$A$2:$A$495,0)),""))</f>
        <v/>
      </c>
      <c r="M2683" s="24" t="n"/>
      <c r="N2683" s="24" t="n"/>
      <c r="O2683" s="24" t="n"/>
      <c r="P2683" s="24" t="n"/>
      <c r="Q2683" s="22">
        <f>IF($D2683="","",IF(AND(OR(DANH_MUC!$L$5&lt;&gt;"Có",M2683="Có"),OR(DANH_MUC!$L$6&lt;&gt;"Có",N2683="Có"),OR(DANH_MUC!$L$7&lt;&gt;"Có",O2683="Có"),OR(DANH_MUC!$L$8&lt;&gt;"Có",P2683="Có")),"Có","Không"))</f>
        <v/>
      </c>
      <c r="R2683" s="22">
        <f>IF($D2683="","",IF(COUNTIF($D$2:$D2683,$D2683)&gt;1,"Trùng",""))</f>
        <v/>
      </c>
      <c r="S2683" s="22">
        <f>IF($D2683="","",IF(AND(LEN($D2683)=10,LEFT($D2683,1)="0",ISNUMBER(--$D2683)),"Có","Không"))</f>
        <v/>
      </c>
      <c r="T2683" s="22">
        <f>IF($D2683="","",IF(AND($C2683&lt;&gt;"",$Q2683="Có",$R2683="",$S2683="Có",AND($L2683&lt;&gt;"",OR($L2683&lt;&gt;"Chưa xác định",DANH_MUC!$L$9="Có"))),"Có","Không"))</f>
        <v/>
      </c>
      <c r="U2683" s="22">
        <f>IF(OR($D2683="",$T2683="Có"),"",IF($C2683="","Thiếu họ tên; ","")&amp;IF($S2683&lt;&gt;"Có","SĐT sai định dạng; ","")&amp;IF($R2683="Trùng","Trùng SĐT; ","")&amp;IF($Q2683&lt;&gt;"Có","Thiếu đồng ý bắt buộc; ","")&amp;IF($L2683="","Thiếu/sai Mã REF; ",IF(AND($L2683="Chưa xác định",DANH_MUC!$L$9&lt;&gt;"Có"),"Nguồn chưa xác định; ","")))</f>
        <v/>
      </c>
      <c r="V2683" s="22">
        <f>IF(OR($D2683="",$R2683="Trùng"),"",IF(COUNTIF(ORDERS!$C$2:$C$4995,$D2683)&gt;0,"Có","Không"))</f>
        <v/>
      </c>
      <c r="W2683" s="22">
        <f>IF(OR($D2683="",$R2683="Trùng"),"",COUNTIFS(ORDERS!$C$2:$C$4995,$D2683,ORDERS!$L$2:$L$4995,"Đã chuyển khoản"))</f>
        <v/>
      </c>
      <c r="X2683" s="23">
        <f>IF(OR($D2683="",$R2683="Trùng"),"",SUMIFS(ORDERS!$J$2:$J$4995,ORDERS!$C$2:$C$4995,$D2683,ORDERS!$L$2:$L$4995,"Đã chuyển khoản"))</f>
        <v/>
      </c>
      <c r="Y2683" s="24" t="n"/>
    </row>
    <row r="2684" ht="14.25" customHeight="1" s="40">
      <c r="A2684" s="24" t="n"/>
      <c r="B2684" s="27" t="n"/>
      <c r="C2684" s="24" t="n"/>
      <c r="D2684" s="28" t="n"/>
      <c r="E2684" s="29" t="n"/>
      <c r="F2684" s="24" t="n"/>
      <c r="G2684" s="24" t="n"/>
      <c r="H2684" s="21">
        <f>IF(ISNUMBER($B2684),INT($B2684)-WEEKDAY($B2684,2)+1,"")</f>
        <v/>
      </c>
      <c r="I2684" s="24" t="n"/>
      <c r="J2684" s="22">
        <f t="array" ref="J2684">IF($D2684="","",IF($I2684="","(trống REF)",IFERROR(INDEX(MASTER_SOURCE!$B$2:$B$495,MATCH($I2684,MASTER_SOURCE!$A$2:$A$495,0)),"(REF không có trong MASTER_SOURCE)")))</f>
        <v/>
      </c>
      <c r="K2684" s="22">
        <f t="array" ref="K2684">IF($D2684="","",IFERROR(INDEX(MASTER_SOURCE!$C$2:$C$495,MATCH($I2684,MASTER_SOURCE!$A$2:$A$495,0)),""))</f>
        <v/>
      </c>
      <c r="L2684" s="22">
        <f t="array" ref="L2684">IF($D2684="","",IFERROR(INDEX(MASTER_SOURCE!$D$2:$D$495,MATCH($I2684,MASTER_SOURCE!$A$2:$A$495,0)),""))</f>
        <v/>
      </c>
      <c r="M2684" s="24" t="n"/>
      <c r="N2684" s="24" t="n"/>
      <c r="O2684" s="24" t="n"/>
      <c r="P2684" s="24" t="n"/>
      <c r="Q2684" s="22">
        <f>IF($D2684="","",IF(AND(OR(DANH_MUC!$L$5&lt;&gt;"Có",M2684="Có"),OR(DANH_MUC!$L$6&lt;&gt;"Có",N2684="Có"),OR(DANH_MUC!$L$7&lt;&gt;"Có",O2684="Có"),OR(DANH_MUC!$L$8&lt;&gt;"Có",P2684="Có")),"Có","Không"))</f>
        <v/>
      </c>
      <c r="R2684" s="22">
        <f>IF($D2684="","",IF(COUNTIF($D$2:$D2684,$D2684)&gt;1,"Trùng",""))</f>
        <v/>
      </c>
      <c r="S2684" s="22">
        <f>IF($D2684="","",IF(AND(LEN($D2684)=10,LEFT($D2684,1)="0",ISNUMBER(--$D2684)),"Có","Không"))</f>
        <v/>
      </c>
      <c r="T2684" s="22">
        <f>IF($D2684="","",IF(AND($C2684&lt;&gt;"",$Q2684="Có",$R2684="",$S2684="Có",AND($L2684&lt;&gt;"",OR($L2684&lt;&gt;"Chưa xác định",DANH_MUC!$L$9="Có"))),"Có","Không"))</f>
        <v/>
      </c>
      <c r="U2684" s="22">
        <f>IF(OR($D2684="",$T2684="Có"),"",IF($C2684="","Thiếu họ tên; ","")&amp;IF($S2684&lt;&gt;"Có","SĐT sai định dạng; ","")&amp;IF($R2684="Trùng","Trùng SĐT; ","")&amp;IF($Q2684&lt;&gt;"Có","Thiếu đồng ý bắt buộc; ","")&amp;IF($L2684="","Thiếu/sai Mã REF; ",IF(AND($L2684="Chưa xác định",DANH_MUC!$L$9&lt;&gt;"Có"),"Nguồn chưa xác định; ","")))</f>
        <v/>
      </c>
      <c r="V2684" s="22">
        <f>IF(OR($D2684="",$R2684="Trùng"),"",IF(COUNTIF(ORDERS!$C$2:$C$4995,$D2684)&gt;0,"Có","Không"))</f>
        <v/>
      </c>
      <c r="W2684" s="22">
        <f>IF(OR($D2684="",$R2684="Trùng"),"",COUNTIFS(ORDERS!$C$2:$C$4995,$D2684,ORDERS!$L$2:$L$4995,"Đã chuyển khoản"))</f>
        <v/>
      </c>
      <c r="X2684" s="23">
        <f>IF(OR($D2684="",$R2684="Trùng"),"",SUMIFS(ORDERS!$J$2:$J$4995,ORDERS!$C$2:$C$4995,$D2684,ORDERS!$L$2:$L$4995,"Đã chuyển khoản"))</f>
        <v/>
      </c>
      <c r="Y2684" s="24" t="n"/>
    </row>
    <row r="2685" ht="14.25" customHeight="1" s="40">
      <c r="A2685" s="24" t="n"/>
      <c r="B2685" s="27" t="n"/>
      <c r="C2685" s="24" t="n"/>
      <c r="D2685" s="28" t="n"/>
      <c r="E2685" s="29" t="n"/>
      <c r="F2685" s="24" t="n"/>
      <c r="G2685" s="24" t="n"/>
      <c r="H2685" s="21">
        <f>IF(ISNUMBER($B2685),INT($B2685)-WEEKDAY($B2685,2)+1,"")</f>
        <v/>
      </c>
      <c r="I2685" s="24" t="n"/>
      <c r="J2685" s="22">
        <f t="array" ref="J2685">IF($D2685="","",IF($I2685="","(trống REF)",IFERROR(INDEX(MASTER_SOURCE!$B$2:$B$495,MATCH($I2685,MASTER_SOURCE!$A$2:$A$495,0)),"(REF không có trong MASTER_SOURCE)")))</f>
        <v/>
      </c>
      <c r="K2685" s="22">
        <f t="array" ref="K2685">IF($D2685="","",IFERROR(INDEX(MASTER_SOURCE!$C$2:$C$495,MATCH($I2685,MASTER_SOURCE!$A$2:$A$495,0)),""))</f>
        <v/>
      </c>
      <c r="L2685" s="22">
        <f t="array" ref="L2685">IF($D2685="","",IFERROR(INDEX(MASTER_SOURCE!$D$2:$D$495,MATCH($I2685,MASTER_SOURCE!$A$2:$A$495,0)),""))</f>
        <v/>
      </c>
      <c r="M2685" s="24" t="n"/>
      <c r="N2685" s="24" t="n"/>
      <c r="O2685" s="24" t="n"/>
      <c r="P2685" s="24" t="n"/>
      <c r="Q2685" s="22">
        <f>IF($D2685="","",IF(AND(OR(DANH_MUC!$L$5&lt;&gt;"Có",M2685="Có"),OR(DANH_MUC!$L$6&lt;&gt;"Có",N2685="Có"),OR(DANH_MUC!$L$7&lt;&gt;"Có",O2685="Có"),OR(DANH_MUC!$L$8&lt;&gt;"Có",P2685="Có")),"Có","Không"))</f>
        <v/>
      </c>
      <c r="R2685" s="22">
        <f>IF($D2685="","",IF(COUNTIF($D$2:$D2685,$D2685)&gt;1,"Trùng",""))</f>
        <v/>
      </c>
      <c r="S2685" s="22">
        <f>IF($D2685="","",IF(AND(LEN($D2685)=10,LEFT($D2685,1)="0",ISNUMBER(--$D2685)),"Có","Không"))</f>
        <v/>
      </c>
      <c r="T2685" s="22">
        <f>IF($D2685="","",IF(AND($C2685&lt;&gt;"",$Q2685="Có",$R2685="",$S2685="Có",AND($L2685&lt;&gt;"",OR($L2685&lt;&gt;"Chưa xác định",DANH_MUC!$L$9="Có"))),"Có","Không"))</f>
        <v/>
      </c>
      <c r="U2685" s="22">
        <f>IF(OR($D2685="",$T2685="Có"),"",IF($C2685="","Thiếu họ tên; ","")&amp;IF($S2685&lt;&gt;"Có","SĐT sai định dạng; ","")&amp;IF($R2685="Trùng","Trùng SĐT; ","")&amp;IF($Q2685&lt;&gt;"Có","Thiếu đồng ý bắt buộc; ","")&amp;IF($L2685="","Thiếu/sai Mã REF; ",IF(AND($L2685="Chưa xác định",DANH_MUC!$L$9&lt;&gt;"Có"),"Nguồn chưa xác định; ","")))</f>
        <v/>
      </c>
      <c r="V2685" s="22">
        <f>IF(OR($D2685="",$R2685="Trùng"),"",IF(COUNTIF(ORDERS!$C$2:$C$4995,$D2685)&gt;0,"Có","Không"))</f>
        <v/>
      </c>
      <c r="W2685" s="22">
        <f>IF(OR($D2685="",$R2685="Trùng"),"",COUNTIFS(ORDERS!$C$2:$C$4995,$D2685,ORDERS!$L$2:$L$4995,"Đã chuyển khoản"))</f>
        <v/>
      </c>
      <c r="X2685" s="23">
        <f>IF(OR($D2685="",$R2685="Trùng"),"",SUMIFS(ORDERS!$J$2:$J$4995,ORDERS!$C$2:$C$4995,$D2685,ORDERS!$L$2:$L$4995,"Đã chuyển khoản"))</f>
        <v/>
      </c>
      <c r="Y2685" s="24" t="n"/>
    </row>
    <row r="2686" ht="14.25" customHeight="1" s="40">
      <c r="A2686" s="24" t="n"/>
      <c r="B2686" s="27" t="n"/>
      <c r="C2686" s="24" t="n"/>
      <c r="D2686" s="28" t="n"/>
      <c r="E2686" s="29" t="n"/>
      <c r="F2686" s="24" t="n"/>
      <c r="G2686" s="24" t="n"/>
      <c r="H2686" s="21">
        <f>IF(ISNUMBER($B2686),INT($B2686)-WEEKDAY($B2686,2)+1,"")</f>
        <v/>
      </c>
      <c r="I2686" s="24" t="n"/>
      <c r="J2686" s="22">
        <f t="array" ref="J2686">IF($D2686="","",IF($I2686="","(trống REF)",IFERROR(INDEX(MASTER_SOURCE!$B$2:$B$495,MATCH($I2686,MASTER_SOURCE!$A$2:$A$495,0)),"(REF không có trong MASTER_SOURCE)")))</f>
        <v/>
      </c>
      <c r="K2686" s="22">
        <f t="array" ref="K2686">IF($D2686="","",IFERROR(INDEX(MASTER_SOURCE!$C$2:$C$495,MATCH($I2686,MASTER_SOURCE!$A$2:$A$495,0)),""))</f>
        <v/>
      </c>
      <c r="L2686" s="22">
        <f t="array" ref="L2686">IF($D2686="","",IFERROR(INDEX(MASTER_SOURCE!$D$2:$D$495,MATCH($I2686,MASTER_SOURCE!$A$2:$A$495,0)),""))</f>
        <v/>
      </c>
      <c r="M2686" s="24" t="n"/>
      <c r="N2686" s="24" t="n"/>
      <c r="O2686" s="24" t="n"/>
      <c r="P2686" s="24" t="n"/>
      <c r="Q2686" s="22">
        <f>IF($D2686="","",IF(AND(OR(DANH_MUC!$L$5&lt;&gt;"Có",M2686="Có"),OR(DANH_MUC!$L$6&lt;&gt;"Có",N2686="Có"),OR(DANH_MUC!$L$7&lt;&gt;"Có",O2686="Có"),OR(DANH_MUC!$L$8&lt;&gt;"Có",P2686="Có")),"Có","Không"))</f>
        <v/>
      </c>
      <c r="R2686" s="22">
        <f>IF($D2686="","",IF(COUNTIF($D$2:$D2686,$D2686)&gt;1,"Trùng",""))</f>
        <v/>
      </c>
      <c r="S2686" s="22">
        <f>IF($D2686="","",IF(AND(LEN($D2686)=10,LEFT($D2686,1)="0",ISNUMBER(--$D2686)),"Có","Không"))</f>
        <v/>
      </c>
      <c r="T2686" s="22">
        <f>IF($D2686="","",IF(AND($C2686&lt;&gt;"",$Q2686="Có",$R2686="",$S2686="Có",AND($L2686&lt;&gt;"",OR($L2686&lt;&gt;"Chưa xác định",DANH_MUC!$L$9="Có"))),"Có","Không"))</f>
        <v/>
      </c>
      <c r="U2686" s="22">
        <f>IF(OR($D2686="",$T2686="Có"),"",IF($C2686="","Thiếu họ tên; ","")&amp;IF($S2686&lt;&gt;"Có","SĐT sai định dạng; ","")&amp;IF($R2686="Trùng","Trùng SĐT; ","")&amp;IF($Q2686&lt;&gt;"Có","Thiếu đồng ý bắt buộc; ","")&amp;IF($L2686="","Thiếu/sai Mã REF; ",IF(AND($L2686="Chưa xác định",DANH_MUC!$L$9&lt;&gt;"Có"),"Nguồn chưa xác định; ","")))</f>
        <v/>
      </c>
      <c r="V2686" s="22">
        <f>IF(OR($D2686="",$R2686="Trùng"),"",IF(COUNTIF(ORDERS!$C$2:$C$4995,$D2686)&gt;0,"Có","Không"))</f>
        <v/>
      </c>
      <c r="W2686" s="22">
        <f>IF(OR($D2686="",$R2686="Trùng"),"",COUNTIFS(ORDERS!$C$2:$C$4995,$D2686,ORDERS!$L$2:$L$4995,"Đã chuyển khoản"))</f>
        <v/>
      </c>
      <c r="X2686" s="23">
        <f>IF(OR($D2686="",$R2686="Trùng"),"",SUMIFS(ORDERS!$J$2:$J$4995,ORDERS!$C$2:$C$4995,$D2686,ORDERS!$L$2:$L$4995,"Đã chuyển khoản"))</f>
        <v/>
      </c>
      <c r="Y2686" s="24" t="n"/>
    </row>
    <row r="2687" ht="14.25" customHeight="1" s="40">
      <c r="A2687" s="24" t="n"/>
      <c r="B2687" s="27" t="n"/>
      <c r="C2687" s="24" t="n"/>
      <c r="D2687" s="28" t="n"/>
      <c r="E2687" s="29" t="n"/>
      <c r="F2687" s="24" t="n"/>
      <c r="G2687" s="24" t="n"/>
      <c r="H2687" s="21">
        <f>IF(ISNUMBER($B2687),INT($B2687)-WEEKDAY($B2687,2)+1,"")</f>
        <v/>
      </c>
      <c r="I2687" s="24" t="n"/>
      <c r="J2687" s="22">
        <f t="array" ref="J2687">IF($D2687="","",IF($I2687="","(trống REF)",IFERROR(INDEX(MASTER_SOURCE!$B$2:$B$495,MATCH($I2687,MASTER_SOURCE!$A$2:$A$495,0)),"(REF không có trong MASTER_SOURCE)")))</f>
        <v/>
      </c>
      <c r="K2687" s="22">
        <f t="array" ref="K2687">IF($D2687="","",IFERROR(INDEX(MASTER_SOURCE!$C$2:$C$495,MATCH($I2687,MASTER_SOURCE!$A$2:$A$495,0)),""))</f>
        <v/>
      </c>
      <c r="L2687" s="22">
        <f t="array" ref="L2687">IF($D2687="","",IFERROR(INDEX(MASTER_SOURCE!$D$2:$D$495,MATCH($I2687,MASTER_SOURCE!$A$2:$A$495,0)),""))</f>
        <v/>
      </c>
      <c r="M2687" s="24" t="n"/>
      <c r="N2687" s="24" t="n"/>
      <c r="O2687" s="24" t="n"/>
      <c r="P2687" s="24" t="n"/>
      <c r="Q2687" s="22">
        <f>IF($D2687="","",IF(AND(OR(DANH_MUC!$L$5&lt;&gt;"Có",M2687="Có"),OR(DANH_MUC!$L$6&lt;&gt;"Có",N2687="Có"),OR(DANH_MUC!$L$7&lt;&gt;"Có",O2687="Có"),OR(DANH_MUC!$L$8&lt;&gt;"Có",P2687="Có")),"Có","Không"))</f>
        <v/>
      </c>
      <c r="R2687" s="22">
        <f>IF($D2687="","",IF(COUNTIF($D$2:$D2687,$D2687)&gt;1,"Trùng",""))</f>
        <v/>
      </c>
      <c r="S2687" s="22">
        <f>IF($D2687="","",IF(AND(LEN($D2687)=10,LEFT($D2687,1)="0",ISNUMBER(--$D2687)),"Có","Không"))</f>
        <v/>
      </c>
      <c r="T2687" s="22">
        <f>IF($D2687="","",IF(AND($C2687&lt;&gt;"",$Q2687="Có",$R2687="",$S2687="Có",AND($L2687&lt;&gt;"",OR($L2687&lt;&gt;"Chưa xác định",DANH_MUC!$L$9="Có"))),"Có","Không"))</f>
        <v/>
      </c>
      <c r="U2687" s="22">
        <f>IF(OR($D2687="",$T2687="Có"),"",IF($C2687="","Thiếu họ tên; ","")&amp;IF($S2687&lt;&gt;"Có","SĐT sai định dạng; ","")&amp;IF($R2687="Trùng","Trùng SĐT; ","")&amp;IF($Q2687&lt;&gt;"Có","Thiếu đồng ý bắt buộc; ","")&amp;IF($L2687="","Thiếu/sai Mã REF; ",IF(AND($L2687="Chưa xác định",DANH_MUC!$L$9&lt;&gt;"Có"),"Nguồn chưa xác định; ","")))</f>
        <v/>
      </c>
      <c r="V2687" s="22">
        <f>IF(OR($D2687="",$R2687="Trùng"),"",IF(COUNTIF(ORDERS!$C$2:$C$4995,$D2687)&gt;0,"Có","Không"))</f>
        <v/>
      </c>
      <c r="W2687" s="22">
        <f>IF(OR($D2687="",$R2687="Trùng"),"",COUNTIFS(ORDERS!$C$2:$C$4995,$D2687,ORDERS!$L$2:$L$4995,"Đã chuyển khoản"))</f>
        <v/>
      </c>
      <c r="X2687" s="23">
        <f>IF(OR($D2687="",$R2687="Trùng"),"",SUMIFS(ORDERS!$J$2:$J$4995,ORDERS!$C$2:$C$4995,$D2687,ORDERS!$L$2:$L$4995,"Đã chuyển khoản"))</f>
        <v/>
      </c>
      <c r="Y2687" s="24" t="n"/>
    </row>
    <row r="2688" ht="14.25" customHeight="1" s="40">
      <c r="A2688" s="24" t="n"/>
      <c r="B2688" s="27" t="n"/>
      <c r="C2688" s="24" t="n"/>
      <c r="D2688" s="28" t="n"/>
      <c r="E2688" s="29" t="n"/>
      <c r="F2688" s="24" t="n"/>
      <c r="G2688" s="24" t="n"/>
      <c r="H2688" s="21">
        <f>IF(ISNUMBER($B2688),INT($B2688)-WEEKDAY($B2688,2)+1,"")</f>
        <v/>
      </c>
      <c r="I2688" s="24" t="n"/>
      <c r="J2688" s="22">
        <f t="array" ref="J2688">IF($D2688="","",IF($I2688="","(trống REF)",IFERROR(INDEX(MASTER_SOURCE!$B$2:$B$495,MATCH($I2688,MASTER_SOURCE!$A$2:$A$495,0)),"(REF không có trong MASTER_SOURCE)")))</f>
        <v/>
      </c>
      <c r="K2688" s="22">
        <f t="array" ref="K2688">IF($D2688="","",IFERROR(INDEX(MASTER_SOURCE!$C$2:$C$495,MATCH($I2688,MASTER_SOURCE!$A$2:$A$495,0)),""))</f>
        <v/>
      </c>
      <c r="L2688" s="22">
        <f t="array" ref="L2688">IF($D2688="","",IFERROR(INDEX(MASTER_SOURCE!$D$2:$D$495,MATCH($I2688,MASTER_SOURCE!$A$2:$A$495,0)),""))</f>
        <v/>
      </c>
      <c r="M2688" s="24" t="n"/>
      <c r="N2688" s="24" t="n"/>
      <c r="O2688" s="24" t="n"/>
      <c r="P2688" s="24" t="n"/>
      <c r="Q2688" s="22">
        <f>IF($D2688="","",IF(AND(OR(DANH_MUC!$L$5&lt;&gt;"Có",M2688="Có"),OR(DANH_MUC!$L$6&lt;&gt;"Có",N2688="Có"),OR(DANH_MUC!$L$7&lt;&gt;"Có",O2688="Có"),OR(DANH_MUC!$L$8&lt;&gt;"Có",P2688="Có")),"Có","Không"))</f>
        <v/>
      </c>
      <c r="R2688" s="22">
        <f>IF($D2688="","",IF(COUNTIF($D$2:$D2688,$D2688)&gt;1,"Trùng",""))</f>
        <v/>
      </c>
      <c r="S2688" s="22">
        <f>IF($D2688="","",IF(AND(LEN($D2688)=10,LEFT($D2688,1)="0",ISNUMBER(--$D2688)),"Có","Không"))</f>
        <v/>
      </c>
      <c r="T2688" s="22">
        <f>IF($D2688="","",IF(AND($C2688&lt;&gt;"",$Q2688="Có",$R2688="",$S2688="Có",AND($L2688&lt;&gt;"",OR($L2688&lt;&gt;"Chưa xác định",DANH_MUC!$L$9="Có"))),"Có","Không"))</f>
        <v/>
      </c>
      <c r="U2688" s="22">
        <f>IF(OR($D2688="",$T2688="Có"),"",IF($C2688="","Thiếu họ tên; ","")&amp;IF($S2688&lt;&gt;"Có","SĐT sai định dạng; ","")&amp;IF($R2688="Trùng","Trùng SĐT; ","")&amp;IF($Q2688&lt;&gt;"Có","Thiếu đồng ý bắt buộc; ","")&amp;IF($L2688="","Thiếu/sai Mã REF; ",IF(AND($L2688="Chưa xác định",DANH_MUC!$L$9&lt;&gt;"Có"),"Nguồn chưa xác định; ","")))</f>
        <v/>
      </c>
      <c r="V2688" s="22">
        <f>IF(OR($D2688="",$R2688="Trùng"),"",IF(COUNTIF(ORDERS!$C$2:$C$4995,$D2688)&gt;0,"Có","Không"))</f>
        <v/>
      </c>
      <c r="W2688" s="22">
        <f>IF(OR($D2688="",$R2688="Trùng"),"",COUNTIFS(ORDERS!$C$2:$C$4995,$D2688,ORDERS!$L$2:$L$4995,"Đã chuyển khoản"))</f>
        <v/>
      </c>
      <c r="X2688" s="23">
        <f>IF(OR($D2688="",$R2688="Trùng"),"",SUMIFS(ORDERS!$J$2:$J$4995,ORDERS!$C$2:$C$4995,$D2688,ORDERS!$L$2:$L$4995,"Đã chuyển khoản"))</f>
        <v/>
      </c>
      <c r="Y2688" s="24" t="n"/>
    </row>
    <row r="2689" ht="14.25" customHeight="1" s="40">
      <c r="A2689" s="24" t="n"/>
      <c r="B2689" s="27" t="n"/>
      <c r="C2689" s="24" t="n"/>
      <c r="D2689" s="28" t="n"/>
      <c r="E2689" s="29" t="n"/>
      <c r="F2689" s="24" t="n"/>
      <c r="G2689" s="24" t="n"/>
      <c r="H2689" s="21">
        <f>IF(ISNUMBER($B2689),INT($B2689)-WEEKDAY($B2689,2)+1,"")</f>
        <v/>
      </c>
      <c r="I2689" s="24" t="n"/>
      <c r="J2689" s="22">
        <f t="array" ref="J2689">IF($D2689="","",IF($I2689="","(trống REF)",IFERROR(INDEX(MASTER_SOURCE!$B$2:$B$495,MATCH($I2689,MASTER_SOURCE!$A$2:$A$495,0)),"(REF không có trong MASTER_SOURCE)")))</f>
        <v/>
      </c>
      <c r="K2689" s="22">
        <f t="array" ref="K2689">IF($D2689="","",IFERROR(INDEX(MASTER_SOURCE!$C$2:$C$495,MATCH($I2689,MASTER_SOURCE!$A$2:$A$495,0)),""))</f>
        <v/>
      </c>
      <c r="L2689" s="22">
        <f t="array" ref="L2689">IF($D2689="","",IFERROR(INDEX(MASTER_SOURCE!$D$2:$D$495,MATCH($I2689,MASTER_SOURCE!$A$2:$A$495,0)),""))</f>
        <v/>
      </c>
      <c r="M2689" s="24" t="n"/>
      <c r="N2689" s="24" t="n"/>
      <c r="O2689" s="24" t="n"/>
      <c r="P2689" s="24" t="n"/>
      <c r="Q2689" s="22">
        <f>IF($D2689="","",IF(AND(OR(DANH_MUC!$L$5&lt;&gt;"Có",M2689="Có"),OR(DANH_MUC!$L$6&lt;&gt;"Có",N2689="Có"),OR(DANH_MUC!$L$7&lt;&gt;"Có",O2689="Có"),OR(DANH_MUC!$L$8&lt;&gt;"Có",P2689="Có")),"Có","Không"))</f>
        <v/>
      </c>
      <c r="R2689" s="22">
        <f>IF($D2689="","",IF(COUNTIF($D$2:$D2689,$D2689)&gt;1,"Trùng",""))</f>
        <v/>
      </c>
      <c r="S2689" s="22">
        <f>IF($D2689="","",IF(AND(LEN($D2689)=10,LEFT($D2689,1)="0",ISNUMBER(--$D2689)),"Có","Không"))</f>
        <v/>
      </c>
      <c r="T2689" s="22">
        <f>IF($D2689="","",IF(AND($C2689&lt;&gt;"",$Q2689="Có",$R2689="",$S2689="Có",AND($L2689&lt;&gt;"",OR($L2689&lt;&gt;"Chưa xác định",DANH_MUC!$L$9="Có"))),"Có","Không"))</f>
        <v/>
      </c>
      <c r="U2689" s="22">
        <f>IF(OR($D2689="",$T2689="Có"),"",IF($C2689="","Thiếu họ tên; ","")&amp;IF($S2689&lt;&gt;"Có","SĐT sai định dạng; ","")&amp;IF($R2689="Trùng","Trùng SĐT; ","")&amp;IF($Q2689&lt;&gt;"Có","Thiếu đồng ý bắt buộc; ","")&amp;IF($L2689="","Thiếu/sai Mã REF; ",IF(AND($L2689="Chưa xác định",DANH_MUC!$L$9&lt;&gt;"Có"),"Nguồn chưa xác định; ","")))</f>
        <v/>
      </c>
      <c r="V2689" s="22">
        <f>IF(OR($D2689="",$R2689="Trùng"),"",IF(COUNTIF(ORDERS!$C$2:$C$4995,$D2689)&gt;0,"Có","Không"))</f>
        <v/>
      </c>
      <c r="W2689" s="22">
        <f>IF(OR($D2689="",$R2689="Trùng"),"",COUNTIFS(ORDERS!$C$2:$C$4995,$D2689,ORDERS!$L$2:$L$4995,"Đã chuyển khoản"))</f>
        <v/>
      </c>
      <c r="X2689" s="23">
        <f>IF(OR($D2689="",$R2689="Trùng"),"",SUMIFS(ORDERS!$J$2:$J$4995,ORDERS!$C$2:$C$4995,$D2689,ORDERS!$L$2:$L$4995,"Đã chuyển khoản"))</f>
        <v/>
      </c>
      <c r="Y2689" s="24" t="n"/>
    </row>
    <row r="2690" ht="14.25" customHeight="1" s="40">
      <c r="A2690" s="24" t="n"/>
      <c r="B2690" s="27" t="n"/>
      <c r="C2690" s="24" t="n"/>
      <c r="D2690" s="28" t="n"/>
      <c r="E2690" s="29" t="n"/>
      <c r="F2690" s="24" t="n"/>
      <c r="G2690" s="24" t="n"/>
      <c r="H2690" s="21">
        <f>IF(ISNUMBER($B2690),INT($B2690)-WEEKDAY($B2690,2)+1,"")</f>
        <v/>
      </c>
      <c r="I2690" s="24" t="n"/>
      <c r="J2690" s="22">
        <f t="array" ref="J2690">IF($D2690="","",IF($I2690="","(trống REF)",IFERROR(INDEX(MASTER_SOURCE!$B$2:$B$495,MATCH($I2690,MASTER_SOURCE!$A$2:$A$495,0)),"(REF không có trong MASTER_SOURCE)")))</f>
        <v/>
      </c>
      <c r="K2690" s="22">
        <f t="array" ref="K2690">IF($D2690="","",IFERROR(INDEX(MASTER_SOURCE!$C$2:$C$495,MATCH($I2690,MASTER_SOURCE!$A$2:$A$495,0)),""))</f>
        <v/>
      </c>
      <c r="L2690" s="22">
        <f t="array" ref="L2690">IF($D2690="","",IFERROR(INDEX(MASTER_SOURCE!$D$2:$D$495,MATCH($I2690,MASTER_SOURCE!$A$2:$A$495,0)),""))</f>
        <v/>
      </c>
      <c r="M2690" s="24" t="n"/>
      <c r="N2690" s="24" t="n"/>
      <c r="O2690" s="24" t="n"/>
      <c r="P2690" s="24" t="n"/>
      <c r="Q2690" s="22">
        <f>IF($D2690="","",IF(AND(OR(DANH_MUC!$L$5&lt;&gt;"Có",M2690="Có"),OR(DANH_MUC!$L$6&lt;&gt;"Có",N2690="Có"),OR(DANH_MUC!$L$7&lt;&gt;"Có",O2690="Có"),OR(DANH_MUC!$L$8&lt;&gt;"Có",P2690="Có")),"Có","Không"))</f>
        <v/>
      </c>
      <c r="R2690" s="22">
        <f>IF($D2690="","",IF(COUNTIF($D$2:$D2690,$D2690)&gt;1,"Trùng",""))</f>
        <v/>
      </c>
      <c r="S2690" s="22">
        <f>IF($D2690="","",IF(AND(LEN($D2690)=10,LEFT($D2690,1)="0",ISNUMBER(--$D2690)),"Có","Không"))</f>
        <v/>
      </c>
      <c r="T2690" s="22">
        <f>IF($D2690="","",IF(AND($C2690&lt;&gt;"",$Q2690="Có",$R2690="",$S2690="Có",AND($L2690&lt;&gt;"",OR($L2690&lt;&gt;"Chưa xác định",DANH_MUC!$L$9="Có"))),"Có","Không"))</f>
        <v/>
      </c>
      <c r="U2690" s="22">
        <f>IF(OR($D2690="",$T2690="Có"),"",IF($C2690="","Thiếu họ tên; ","")&amp;IF($S2690&lt;&gt;"Có","SĐT sai định dạng; ","")&amp;IF($R2690="Trùng","Trùng SĐT; ","")&amp;IF($Q2690&lt;&gt;"Có","Thiếu đồng ý bắt buộc; ","")&amp;IF($L2690="","Thiếu/sai Mã REF; ",IF(AND($L2690="Chưa xác định",DANH_MUC!$L$9&lt;&gt;"Có"),"Nguồn chưa xác định; ","")))</f>
        <v/>
      </c>
      <c r="V2690" s="22">
        <f>IF(OR($D2690="",$R2690="Trùng"),"",IF(COUNTIF(ORDERS!$C$2:$C$4995,$D2690)&gt;0,"Có","Không"))</f>
        <v/>
      </c>
      <c r="W2690" s="22">
        <f>IF(OR($D2690="",$R2690="Trùng"),"",COUNTIFS(ORDERS!$C$2:$C$4995,$D2690,ORDERS!$L$2:$L$4995,"Đã chuyển khoản"))</f>
        <v/>
      </c>
      <c r="X2690" s="23">
        <f>IF(OR($D2690="",$R2690="Trùng"),"",SUMIFS(ORDERS!$J$2:$J$4995,ORDERS!$C$2:$C$4995,$D2690,ORDERS!$L$2:$L$4995,"Đã chuyển khoản"))</f>
        <v/>
      </c>
      <c r="Y2690" s="24" t="n"/>
    </row>
    <row r="2691" ht="14.25" customHeight="1" s="40">
      <c r="A2691" s="24" t="n"/>
      <c r="B2691" s="27" t="n"/>
      <c r="C2691" s="24" t="n"/>
      <c r="D2691" s="28" t="n"/>
      <c r="E2691" s="29" t="n"/>
      <c r="F2691" s="24" t="n"/>
      <c r="G2691" s="24" t="n"/>
      <c r="H2691" s="21">
        <f>IF(ISNUMBER($B2691),INT($B2691)-WEEKDAY($B2691,2)+1,"")</f>
        <v/>
      </c>
      <c r="I2691" s="24" t="n"/>
      <c r="J2691" s="22">
        <f t="array" ref="J2691">IF($D2691="","",IF($I2691="","(trống REF)",IFERROR(INDEX(MASTER_SOURCE!$B$2:$B$495,MATCH($I2691,MASTER_SOURCE!$A$2:$A$495,0)),"(REF không có trong MASTER_SOURCE)")))</f>
        <v/>
      </c>
      <c r="K2691" s="22">
        <f t="array" ref="K2691">IF($D2691="","",IFERROR(INDEX(MASTER_SOURCE!$C$2:$C$495,MATCH($I2691,MASTER_SOURCE!$A$2:$A$495,0)),""))</f>
        <v/>
      </c>
      <c r="L2691" s="22">
        <f t="array" ref="L2691">IF($D2691="","",IFERROR(INDEX(MASTER_SOURCE!$D$2:$D$495,MATCH($I2691,MASTER_SOURCE!$A$2:$A$495,0)),""))</f>
        <v/>
      </c>
      <c r="M2691" s="24" t="n"/>
      <c r="N2691" s="24" t="n"/>
      <c r="O2691" s="24" t="n"/>
      <c r="P2691" s="24" t="n"/>
      <c r="Q2691" s="22">
        <f>IF($D2691="","",IF(AND(OR(DANH_MUC!$L$5&lt;&gt;"Có",M2691="Có"),OR(DANH_MUC!$L$6&lt;&gt;"Có",N2691="Có"),OR(DANH_MUC!$L$7&lt;&gt;"Có",O2691="Có"),OR(DANH_MUC!$L$8&lt;&gt;"Có",P2691="Có")),"Có","Không"))</f>
        <v/>
      </c>
      <c r="R2691" s="22">
        <f>IF($D2691="","",IF(COUNTIF($D$2:$D2691,$D2691)&gt;1,"Trùng",""))</f>
        <v/>
      </c>
      <c r="S2691" s="22">
        <f>IF($D2691="","",IF(AND(LEN($D2691)=10,LEFT($D2691,1)="0",ISNUMBER(--$D2691)),"Có","Không"))</f>
        <v/>
      </c>
      <c r="T2691" s="22">
        <f>IF($D2691="","",IF(AND($C2691&lt;&gt;"",$Q2691="Có",$R2691="",$S2691="Có",AND($L2691&lt;&gt;"",OR($L2691&lt;&gt;"Chưa xác định",DANH_MUC!$L$9="Có"))),"Có","Không"))</f>
        <v/>
      </c>
      <c r="U2691" s="22">
        <f>IF(OR($D2691="",$T2691="Có"),"",IF($C2691="","Thiếu họ tên; ","")&amp;IF($S2691&lt;&gt;"Có","SĐT sai định dạng; ","")&amp;IF($R2691="Trùng","Trùng SĐT; ","")&amp;IF($Q2691&lt;&gt;"Có","Thiếu đồng ý bắt buộc; ","")&amp;IF($L2691="","Thiếu/sai Mã REF; ",IF(AND($L2691="Chưa xác định",DANH_MUC!$L$9&lt;&gt;"Có"),"Nguồn chưa xác định; ","")))</f>
        <v/>
      </c>
      <c r="V2691" s="22">
        <f>IF(OR($D2691="",$R2691="Trùng"),"",IF(COUNTIF(ORDERS!$C$2:$C$4995,$D2691)&gt;0,"Có","Không"))</f>
        <v/>
      </c>
      <c r="W2691" s="22">
        <f>IF(OR($D2691="",$R2691="Trùng"),"",COUNTIFS(ORDERS!$C$2:$C$4995,$D2691,ORDERS!$L$2:$L$4995,"Đã chuyển khoản"))</f>
        <v/>
      </c>
      <c r="X2691" s="23">
        <f>IF(OR($D2691="",$R2691="Trùng"),"",SUMIFS(ORDERS!$J$2:$J$4995,ORDERS!$C$2:$C$4995,$D2691,ORDERS!$L$2:$L$4995,"Đã chuyển khoản"))</f>
        <v/>
      </c>
      <c r="Y2691" s="24" t="n"/>
    </row>
    <row r="2692" ht="14.25" customHeight="1" s="40">
      <c r="A2692" s="24" t="n"/>
      <c r="B2692" s="27" t="n"/>
      <c r="C2692" s="24" t="n"/>
      <c r="D2692" s="28" t="n"/>
      <c r="E2692" s="29" t="n"/>
      <c r="F2692" s="24" t="n"/>
      <c r="G2692" s="24" t="n"/>
      <c r="H2692" s="21">
        <f>IF(ISNUMBER($B2692),INT($B2692)-WEEKDAY($B2692,2)+1,"")</f>
        <v/>
      </c>
      <c r="I2692" s="24" t="n"/>
      <c r="J2692" s="22">
        <f t="array" ref="J2692">IF($D2692="","",IF($I2692="","(trống REF)",IFERROR(INDEX(MASTER_SOURCE!$B$2:$B$495,MATCH($I2692,MASTER_SOURCE!$A$2:$A$495,0)),"(REF không có trong MASTER_SOURCE)")))</f>
        <v/>
      </c>
      <c r="K2692" s="22">
        <f t="array" ref="K2692">IF($D2692="","",IFERROR(INDEX(MASTER_SOURCE!$C$2:$C$495,MATCH($I2692,MASTER_SOURCE!$A$2:$A$495,0)),""))</f>
        <v/>
      </c>
      <c r="L2692" s="22">
        <f t="array" ref="L2692">IF($D2692="","",IFERROR(INDEX(MASTER_SOURCE!$D$2:$D$495,MATCH($I2692,MASTER_SOURCE!$A$2:$A$495,0)),""))</f>
        <v/>
      </c>
      <c r="M2692" s="24" t="n"/>
      <c r="N2692" s="24" t="n"/>
      <c r="O2692" s="24" t="n"/>
      <c r="P2692" s="24" t="n"/>
      <c r="Q2692" s="22">
        <f>IF($D2692="","",IF(AND(OR(DANH_MUC!$L$5&lt;&gt;"Có",M2692="Có"),OR(DANH_MUC!$L$6&lt;&gt;"Có",N2692="Có"),OR(DANH_MUC!$L$7&lt;&gt;"Có",O2692="Có"),OR(DANH_MUC!$L$8&lt;&gt;"Có",P2692="Có")),"Có","Không"))</f>
        <v/>
      </c>
      <c r="R2692" s="22">
        <f>IF($D2692="","",IF(COUNTIF($D$2:$D2692,$D2692)&gt;1,"Trùng",""))</f>
        <v/>
      </c>
      <c r="S2692" s="22">
        <f>IF($D2692="","",IF(AND(LEN($D2692)=10,LEFT($D2692,1)="0",ISNUMBER(--$D2692)),"Có","Không"))</f>
        <v/>
      </c>
      <c r="T2692" s="22">
        <f>IF($D2692="","",IF(AND($C2692&lt;&gt;"",$Q2692="Có",$R2692="",$S2692="Có",AND($L2692&lt;&gt;"",OR($L2692&lt;&gt;"Chưa xác định",DANH_MUC!$L$9="Có"))),"Có","Không"))</f>
        <v/>
      </c>
      <c r="U2692" s="22">
        <f>IF(OR($D2692="",$T2692="Có"),"",IF($C2692="","Thiếu họ tên; ","")&amp;IF($S2692&lt;&gt;"Có","SĐT sai định dạng; ","")&amp;IF($R2692="Trùng","Trùng SĐT; ","")&amp;IF($Q2692&lt;&gt;"Có","Thiếu đồng ý bắt buộc; ","")&amp;IF($L2692="","Thiếu/sai Mã REF; ",IF(AND($L2692="Chưa xác định",DANH_MUC!$L$9&lt;&gt;"Có"),"Nguồn chưa xác định; ","")))</f>
        <v/>
      </c>
      <c r="V2692" s="22">
        <f>IF(OR($D2692="",$R2692="Trùng"),"",IF(COUNTIF(ORDERS!$C$2:$C$4995,$D2692)&gt;0,"Có","Không"))</f>
        <v/>
      </c>
      <c r="W2692" s="22">
        <f>IF(OR($D2692="",$R2692="Trùng"),"",COUNTIFS(ORDERS!$C$2:$C$4995,$D2692,ORDERS!$L$2:$L$4995,"Đã chuyển khoản"))</f>
        <v/>
      </c>
      <c r="X2692" s="23">
        <f>IF(OR($D2692="",$R2692="Trùng"),"",SUMIFS(ORDERS!$J$2:$J$4995,ORDERS!$C$2:$C$4995,$D2692,ORDERS!$L$2:$L$4995,"Đã chuyển khoản"))</f>
        <v/>
      </c>
      <c r="Y2692" s="24" t="n"/>
    </row>
    <row r="2693" ht="14.25" customHeight="1" s="40">
      <c r="A2693" s="24" t="n"/>
      <c r="B2693" s="27" t="n"/>
      <c r="C2693" s="24" t="n"/>
      <c r="D2693" s="28" t="n"/>
      <c r="E2693" s="29" t="n"/>
      <c r="F2693" s="24" t="n"/>
      <c r="G2693" s="24" t="n"/>
      <c r="H2693" s="21">
        <f>IF(ISNUMBER($B2693),INT($B2693)-WEEKDAY($B2693,2)+1,"")</f>
        <v/>
      </c>
      <c r="I2693" s="24" t="n"/>
      <c r="J2693" s="22">
        <f t="array" ref="J2693">IF($D2693="","",IF($I2693="","(trống REF)",IFERROR(INDEX(MASTER_SOURCE!$B$2:$B$495,MATCH($I2693,MASTER_SOURCE!$A$2:$A$495,0)),"(REF không có trong MASTER_SOURCE)")))</f>
        <v/>
      </c>
      <c r="K2693" s="22">
        <f t="array" ref="K2693">IF($D2693="","",IFERROR(INDEX(MASTER_SOURCE!$C$2:$C$495,MATCH($I2693,MASTER_SOURCE!$A$2:$A$495,0)),""))</f>
        <v/>
      </c>
      <c r="L2693" s="22">
        <f t="array" ref="L2693">IF($D2693="","",IFERROR(INDEX(MASTER_SOURCE!$D$2:$D$495,MATCH($I2693,MASTER_SOURCE!$A$2:$A$495,0)),""))</f>
        <v/>
      </c>
      <c r="M2693" s="24" t="n"/>
      <c r="N2693" s="24" t="n"/>
      <c r="O2693" s="24" t="n"/>
      <c r="P2693" s="24" t="n"/>
      <c r="Q2693" s="22">
        <f>IF($D2693="","",IF(AND(OR(DANH_MUC!$L$5&lt;&gt;"Có",M2693="Có"),OR(DANH_MUC!$L$6&lt;&gt;"Có",N2693="Có"),OR(DANH_MUC!$L$7&lt;&gt;"Có",O2693="Có"),OR(DANH_MUC!$L$8&lt;&gt;"Có",P2693="Có")),"Có","Không"))</f>
        <v/>
      </c>
      <c r="R2693" s="22">
        <f>IF($D2693="","",IF(COUNTIF($D$2:$D2693,$D2693)&gt;1,"Trùng",""))</f>
        <v/>
      </c>
      <c r="S2693" s="22">
        <f>IF($D2693="","",IF(AND(LEN($D2693)=10,LEFT($D2693,1)="0",ISNUMBER(--$D2693)),"Có","Không"))</f>
        <v/>
      </c>
      <c r="T2693" s="22">
        <f>IF($D2693="","",IF(AND($C2693&lt;&gt;"",$Q2693="Có",$R2693="",$S2693="Có",AND($L2693&lt;&gt;"",OR($L2693&lt;&gt;"Chưa xác định",DANH_MUC!$L$9="Có"))),"Có","Không"))</f>
        <v/>
      </c>
      <c r="U2693" s="22">
        <f>IF(OR($D2693="",$T2693="Có"),"",IF($C2693="","Thiếu họ tên; ","")&amp;IF($S2693&lt;&gt;"Có","SĐT sai định dạng; ","")&amp;IF($R2693="Trùng","Trùng SĐT; ","")&amp;IF($Q2693&lt;&gt;"Có","Thiếu đồng ý bắt buộc; ","")&amp;IF($L2693="","Thiếu/sai Mã REF; ",IF(AND($L2693="Chưa xác định",DANH_MUC!$L$9&lt;&gt;"Có"),"Nguồn chưa xác định; ","")))</f>
        <v/>
      </c>
      <c r="V2693" s="22">
        <f>IF(OR($D2693="",$R2693="Trùng"),"",IF(COUNTIF(ORDERS!$C$2:$C$4995,$D2693)&gt;0,"Có","Không"))</f>
        <v/>
      </c>
      <c r="W2693" s="22">
        <f>IF(OR($D2693="",$R2693="Trùng"),"",COUNTIFS(ORDERS!$C$2:$C$4995,$D2693,ORDERS!$L$2:$L$4995,"Đã chuyển khoản"))</f>
        <v/>
      </c>
      <c r="X2693" s="23">
        <f>IF(OR($D2693="",$R2693="Trùng"),"",SUMIFS(ORDERS!$J$2:$J$4995,ORDERS!$C$2:$C$4995,$D2693,ORDERS!$L$2:$L$4995,"Đã chuyển khoản"))</f>
        <v/>
      </c>
      <c r="Y2693" s="24" t="n"/>
    </row>
    <row r="2694" ht="14.25" customHeight="1" s="40">
      <c r="A2694" s="24" t="n"/>
      <c r="B2694" s="27" t="n"/>
      <c r="C2694" s="24" t="n"/>
      <c r="D2694" s="28" t="n"/>
      <c r="E2694" s="29" t="n"/>
      <c r="F2694" s="24" t="n"/>
      <c r="G2694" s="24" t="n"/>
      <c r="H2694" s="21">
        <f>IF(ISNUMBER($B2694),INT($B2694)-WEEKDAY($B2694,2)+1,"")</f>
        <v/>
      </c>
      <c r="I2694" s="24" t="n"/>
      <c r="J2694" s="22">
        <f t="array" ref="J2694">IF($D2694="","",IF($I2694="","(trống REF)",IFERROR(INDEX(MASTER_SOURCE!$B$2:$B$495,MATCH($I2694,MASTER_SOURCE!$A$2:$A$495,0)),"(REF không có trong MASTER_SOURCE)")))</f>
        <v/>
      </c>
      <c r="K2694" s="22">
        <f t="array" ref="K2694">IF($D2694="","",IFERROR(INDEX(MASTER_SOURCE!$C$2:$C$495,MATCH($I2694,MASTER_SOURCE!$A$2:$A$495,0)),""))</f>
        <v/>
      </c>
      <c r="L2694" s="22">
        <f t="array" ref="L2694">IF($D2694="","",IFERROR(INDEX(MASTER_SOURCE!$D$2:$D$495,MATCH($I2694,MASTER_SOURCE!$A$2:$A$495,0)),""))</f>
        <v/>
      </c>
      <c r="M2694" s="24" t="n"/>
      <c r="N2694" s="24" t="n"/>
      <c r="O2694" s="24" t="n"/>
      <c r="P2694" s="24" t="n"/>
      <c r="Q2694" s="22">
        <f>IF($D2694="","",IF(AND(OR(DANH_MUC!$L$5&lt;&gt;"Có",M2694="Có"),OR(DANH_MUC!$L$6&lt;&gt;"Có",N2694="Có"),OR(DANH_MUC!$L$7&lt;&gt;"Có",O2694="Có"),OR(DANH_MUC!$L$8&lt;&gt;"Có",P2694="Có")),"Có","Không"))</f>
        <v/>
      </c>
      <c r="R2694" s="22">
        <f>IF($D2694="","",IF(COUNTIF($D$2:$D2694,$D2694)&gt;1,"Trùng",""))</f>
        <v/>
      </c>
      <c r="S2694" s="22">
        <f>IF($D2694="","",IF(AND(LEN($D2694)=10,LEFT($D2694,1)="0",ISNUMBER(--$D2694)),"Có","Không"))</f>
        <v/>
      </c>
      <c r="T2694" s="22">
        <f>IF($D2694="","",IF(AND($C2694&lt;&gt;"",$Q2694="Có",$R2694="",$S2694="Có",AND($L2694&lt;&gt;"",OR($L2694&lt;&gt;"Chưa xác định",DANH_MUC!$L$9="Có"))),"Có","Không"))</f>
        <v/>
      </c>
      <c r="U2694" s="22">
        <f>IF(OR($D2694="",$T2694="Có"),"",IF($C2694="","Thiếu họ tên; ","")&amp;IF($S2694&lt;&gt;"Có","SĐT sai định dạng; ","")&amp;IF($R2694="Trùng","Trùng SĐT; ","")&amp;IF($Q2694&lt;&gt;"Có","Thiếu đồng ý bắt buộc; ","")&amp;IF($L2694="","Thiếu/sai Mã REF; ",IF(AND($L2694="Chưa xác định",DANH_MUC!$L$9&lt;&gt;"Có"),"Nguồn chưa xác định; ","")))</f>
        <v/>
      </c>
      <c r="V2694" s="22">
        <f>IF(OR($D2694="",$R2694="Trùng"),"",IF(COUNTIF(ORDERS!$C$2:$C$4995,$D2694)&gt;0,"Có","Không"))</f>
        <v/>
      </c>
      <c r="W2694" s="22">
        <f>IF(OR($D2694="",$R2694="Trùng"),"",COUNTIFS(ORDERS!$C$2:$C$4995,$D2694,ORDERS!$L$2:$L$4995,"Đã chuyển khoản"))</f>
        <v/>
      </c>
      <c r="X2694" s="23">
        <f>IF(OR($D2694="",$R2694="Trùng"),"",SUMIFS(ORDERS!$J$2:$J$4995,ORDERS!$C$2:$C$4995,$D2694,ORDERS!$L$2:$L$4995,"Đã chuyển khoản"))</f>
        <v/>
      </c>
      <c r="Y2694" s="24" t="n"/>
    </row>
    <row r="2695" ht="14.25" customHeight="1" s="40">
      <c r="A2695" s="24" t="n"/>
      <c r="B2695" s="27" t="n"/>
      <c r="C2695" s="24" t="n"/>
      <c r="D2695" s="28" t="n"/>
      <c r="E2695" s="29" t="n"/>
      <c r="F2695" s="24" t="n"/>
      <c r="G2695" s="24" t="n"/>
      <c r="H2695" s="21">
        <f>IF(ISNUMBER($B2695),INT($B2695)-WEEKDAY($B2695,2)+1,"")</f>
        <v/>
      </c>
      <c r="I2695" s="24" t="n"/>
      <c r="J2695" s="22">
        <f t="array" ref="J2695">IF($D2695="","",IF($I2695="","(trống REF)",IFERROR(INDEX(MASTER_SOURCE!$B$2:$B$495,MATCH($I2695,MASTER_SOURCE!$A$2:$A$495,0)),"(REF không có trong MASTER_SOURCE)")))</f>
        <v/>
      </c>
      <c r="K2695" s="22">
        <f t="array" ref="K2695">IF($D2695="","",IFERROR(INDEX(MASTER_SOURCE!$C$2:$C$495,MATCH($I2695,MASTER_SOURCE!$A$2:$A$495,0)),""))</f>
        <v/>
      </c>
      <c r="L2695" s="22">
        <f t="array" ref="L2695">IF($D2695="","",IFERROR(INDEX(MASTER_SOURCE!$D$2:$D$495,MATCH($I2695,MASTER_SOURCE!$A$2:$A$495,0)),""))</f>
        <v/>
      </c>
      <c r="M2695" s="24" t="n"/>
      <c r="N2695" s="24" t="n"/>
      <c r="O2695" s="24" t="n"/>
      <c r="P2695" s="24" t="n"/>
      <c r="Q2695" s="22">
        <f>IF($D2695="","",IF(AND(OR(DANH_MUC!$L$5&lt;&gt;"Có",M2695="Có"),OR(DANH_MUC!$L$6&lt;&gt;"Có",N2695="Có"),OR(DANH_MUC!$L$7&lt;&gt;"Có",O2695="Có"),OR(DANH_MUC!$L$8&lt;&gt;"Có",P2695="Có")),"Có","Không"))</f>
        <v/>
      </c>
      <c r="R2695" s="22">
        <f>IF($D2695="","",IF(COUNTIF($D$2:$D2695,$D2695)&gt;1,"Trùng",""))</f>
        <v/>
      </c>
      <c r="S2695" s="22">
        <f>IF($D2695="","",IF(AND(LEN($D2695)=10,LEFT($D2695,1)="0",ISNUMBER(--$D2695)),"Có","Không"))</f>
        <v/>
      </c>
      <c r="T2695" s="22">
        <f>IF($D2695="","",IF(AND($C2695&lt;&gt;"",$Q2695="Có",$R2695="",$S2695="Có",AND($L2695&lt;&gt;"",OR($L2695&lt;&gt;"Chưa xác định",DANH_MUC!$L$9="Có"))),"Có","Không"))</f>
        <v/>
      </c>
      <c r="U2695" s="22">
        <f>IF(OR($D2695="",$T2695="Có"),"",IF($C2695="","Thiếu họ tên; ","")&amp;IF($S2695&lt;&gt;"Có","SĐT sai định dạng; ","")&amp;IF($R2695="Trùng","Trùng SĐT; ","")&amp;IF($Q2695&lt;&gt;"Có","Thiếu đồng ý bắt buộc; ","")&amp;IF($L2695="","Thiếu/sai Mã REF; ",IF(AND($L2695="Chưa xác định",DANH_MUC!$L$9&lt;&gt;"Có"),"Nguồn chưa xác định; ","")))</f>
        <v/>
      </c>
      <c r="V2695" s="22">
        <f>IF(OR($D2695="",$R2695="Trùng"),"",IF(COUNTIF(ORDERS!$C$2:$C$4995,$D2695)&gt;0,"Có","Không"))</f>
        <v/>
      </c>
      <c r="W2695" s="22">
        <f>IF(OR($D2695="",$R2695="Trùng"),"",COUNTIFS(ORDERS!$C$2:$C$4995,$D2695,ORDERS!$L$2:$L$4995,"Đã chuyển khoản"))</f>
        <v/>
      </c>
      <c r="X2695" s="23">
        <f>IF(OR($D2695="",$R2695="Trùng"),"",SUMIFS(ORDERS!$J$2:$J$4995,ORDERS!$C$2:$C$4995,$D2695,ORDERS!$L$2:$L$4995,"Đã chuyển khoản"))</f>
        <v/>
      </c>
      <c r="Y2695" s="24" t="n"/>
    </row>
    <row r="2696" ht="14.25" customHeight="1" s="40">
      <c r="A2696" s="24" t="n"/>
      <c r="B2696" s="27" t="n"/>
      <c r="C2696" s="24" t="n"/>
      <c r="D2696" s="28" t="n"/>
      <c r="E2696" s="29" t="n"/>
      <c r="F2696" s="24" t="n"/>
      <c r="G2696" s="24" t="n"/>
      <c r="H2696" s="21">
        <f>IF(ISNUMBER($B2696),INT($B2696)-WEEKDAY($B2696,2)+1,"")</f>
        <v/>
      </c>
      <c r="I2696" s="24" t="n"/>
      <c r="J2696" s="22">
        <f t="array" ref="J2696">IF($D2696="","",IF($I2696="","(trống REF)",IFERROR(INDEX(MASTER_SOURCE!$B$2:$B$495,MATCH($I2696,MASTER_SOURCE!$A$2:$A$495,0)),"(REF không có trong MASTER_SOURCE)")))</f>
        <v/>
      </c>
      <c r="K2696" s="22">
        <f t="array" ref="K2696">IF($D2696="","",IFERROR(INDEX(MASTER_SOURCE!$C$2:$C$495,MATCH($I2696,MASTER_SOURCE!$A$2:$A$495,0)),""))</f>
        <v/>
      </c>
      <c r="L2696" s="22">
        <f t="array" ref="L2696">IF($D2696="","",IFERROR(INDEX(MASTER_SOURCE!$D$2:$D$495,MATCH($I2696,MASTER_SOURCE!$A$2:$A$495,0)),""))</f>
        <v/>
      </c>
      <c r="M2696" s="24" t="n"/>
      <c r="N2696" s="24" t="n"/>
      <c r="O2696" s="24" t="n"/>
      <c r="P2696" s="24" t="n"/>
      <c r="Q2696" s="22">
        <f>IF($D2696="","",IF(AND(OR(DANH_MUC!$L$5&lt;&gt;"Có",M2696="Có"),OR(DANH_MUC!$L$6&lt;&gt;"Có",N2696="Có"),OR(DANH_MUC!$L$7&lt;&gt;"Có",O2696="Có"),OR(DANH_MUC!$L$8&lt;&gt;"Có",P2696="Có")),"Có","Không"))</f>
        <v/>
      </c>
      <c r="R2696" s="22">
        <f>IF($D2696="","",IF(COUNTIF($D$2:$D2696,$D2696)&gt;1,"Trùng",""))</f>
        <v/>
      </c>
      <c r="S2696" s="22">
        <f>IF($D2696="","",IF(AND(LEN($D2696)=10,LEFT($D2696,1)="0",ISNUMBER(--$D2696)),"Có","Không"))</f>
        <v/>
      </c>
      <c r="T2696" s="22">
        <f>IF($D2696="","",IF(AND($C2696&lt;&gt;"",$Q2696="Có",$R2696="",$S2696="Có",AND($L2696&lt;&gt;"",OR($L2696&lt;&gt;"Chưa xác định",DANH_MUC!$L$9="Có"))),"Có","Không"))</f>
        <v/>
      </c>
      <c r="U2696" s="22">
        <f>IF(OR($D2696="",$T2696="Có"),"",IF($C2696="","Thiếu họ tên; ","")&amp;IF($S2696&lt;&gt;"Có","SĐT sai định dạng; ","")&amp;IF($R2696="Trùng","Trùng SĐT; ","")&amp;IF($Q2696&lt;&gt;"Có","Thiếu đồng ý bắt buộc; ","")&amp;IF($L2696="","Thiếu/sai Mã REF; ",IF(AND($L2696="Chưa xác định",DANH_MUC!$L$9&lt;&gt;"Có"),"Nguồn chưa xác định; ","")))</f>
        <v/>
      </c>
      <c r="V2696" s="22">
        <f>IF(OR($D2696="",$R2696="Trùng"),"",IF(COUNTIF(ORDERS!$C$2:$C$4995,$D2696)&gt;0,"Có","Không"))</f>
        <v/>
      </c>
      <c r="W2696" s="22">
        <f>IF(OR($D2696="",$R2696="Trùng"),"",COUNTIFS(ORDERS!$C$2:$C$4995,$D2696,ORDERS!$L$2:$L$4995,"Đã chuyển khoản"))</f>
        <v/>
      </c>
      <c r="X2696" s="23">
        <f>IF(OR($D2696="",$R2696="Trùng"),"",SUMIFS(ORDERS!$J$2:$J$4995,ORDERS!$C$2:$C$4995,$D2696,ORDERS!$L$2:$L$4995,"Đã chuyển khoản"))</f>
        <v/>
      </c>
      <c r="Y2696" s="24" t="n"/>
    </row>
    <row r="2697" ht="14.25" customHeight="1" s="40">
      <c r="A2697" s="24" t="n"/>
      <c r="B2697" s="27" t="n"/>
      <c r="C2697" s="24" t="n"/>
      <c r="D2697" s="28" t="n"/>
      <c r="E2697" s="29" t="n"/>
      <c r="F2697" s="24" t="n"/>
      <c r="G2697" s="24" t="n"/>
      <c r="H2697" s="21">
        <f>IF(ISNUMBER($B2697),INT($B2697)-WEEKDAY($B2697,2)+1,"")</f>
        <v/>
      </c>
      <c r="I2697" s="24" t="n"/>
      <c r="J2697" s="22">
        <f t="array" ref="J2697">IF($D2697="","",IF($I2697="","(trống REF)",IFERROR(INDEX(MASTER_SOURCE!$B$2:$B$495,MATCH($I2697,MASTER_SOURCE!$A$2:$A$495,0)),"(REF không có trong MASTER_SOURCE)")))</f>
        <v/>
      </c>
      <c r="K2697" s="22">
        <f t="array" ref="K2697">IF($D2697="","",IFERROR(INDEX(MASTER_SOURCE!$C$2:$C$495,MATCH($I2697,MASTER_SOURCE!$A$2:$A$495,0)),""))</f>
        <v/>
      </c>
      <c r="L2697" s="22">
        <f t="array" ref="L2697">IF($D2697="","",IFERROR(INDEX(MASTER_SOURCE!$D$2:$D$495,MATCH($I2697,MASTER_SOURCE!$A$2:$A$495,0)),""))</f>
        <v/>
      </c>
      <c r="M2697" s="24" t="n"/>
      <c r="N2697" s="24" t="n"/>
      <c r="O2697" s="24" t="n"/>
      <c r="P2697" s="24" t="n"/>
      <c r="Q2697" s="22">
        <f>IF($D2697="","",IF(AND(OR(DANH_MUC!$L$5&lt;&gt;"Có",M2697="Có"),OR(DANH_MUC!$L$6&lt;&gt;"Có",N2697="Có"),OR(DANH_MUC!$L$7&lt;&gt;"Có",O2697="Có"),OR(DANH_MUC!$L$8&lt;&gt;"Có",P2697="Có")),"Có","Không"))</f>
        <v/>
      </c>
      <c r="R2697" s="22">
        <f>IF($D2697="","",IF(COUNTIF($D$2:$D2697,$D2697)&gt;1,"Trùng",""))</f>
        <v/>
      </c>
      <c r="S2697" s="22">
        <f>IF($D2697="","",IF(AND(LEN($D2697)=10,LEFT($D2697,1)="0",ISNUMBER(--$D2697)),"Có","Không"))</f>
        <v/>
      </c>
      <c r="T2697" s="22">
        <f>IF($D2697="","",IF(AND($C2697&lt;&gt;"",$Q2697="Có",$R2697="",$S2697="Có",AND($L2697&lt;&gt;"",OR($L2697&lt;&gt;"Chưa xác định",DANH_MUC!$L$9="Có"))),"Có","Không"))</f>
        <v/>
      </c>
      <c r="U2697" s="22">
        <f>IF(OR($D2697="",$T2697="Có"),"",IF($C2697="","Thiếu họ tên; ","")&amp;IF($S2697&lt;&gt;"Có","SĐT sai định dạng; ","")&amp;IF($R2697="Trùng","Trùng SĐT; ","")&amp;IF($Q2697&lt;&gt;"Có","Thiếu đồng ý bắt buộc; ","")&amp;IF($L2697="","Thiếu/sai Mã REF; ",IF(AND($L2697="Chưa xác định",DANH_MUC!$L$9&lt;&gt;"Có"),"Nguồn chưa xác định; ","")))</f>
        <v/>
      </c>
      <c r="V2697" s="22">
        <f>IF(OR($D2697="",$R2697="Trùng"),"",IF(COUNTIF(ORDERS!$C$2:$C$4995,$D2697)&gt;0,"Có","Không"))</f>
        <v/>
      </c>
      <c r="W2697" s="22">
        <f>IF(OR($D2697="",$R2697="Trùng"),"",COUNTIFS(ORDERS!$C$2:$C$4995,$D2697,ORDERS!$L$2:$L$4995,"Đã chuyển khoản"))</f>
        <v/>
      </c>
      <c r="X2697" s="23">
        <f>IF(OR($D2697="",$R2697="Trùng"),"",SUMIFS(ORDERS!$J$2:$J$4995,ORDERS!$C$2:$C$4995,$D2697,ORDERS!$L$2:$L$4995,"Đã chuyển khoản"))</f>
        <v/>
      </c>
      <c r="Y2697" s="24" t="n"/>
    </row>
    <row r="2698" ht="14.25" customHeight="1" s="40">
      <c r="A2698" s="24" t="n"/>
      <c r="B2698" s="27" t="n"/>
      <c r="C2698" s="24" t="n"/>
      <c r="D2698" s="28" t="n"/>
      <c r="E2698" s="29" t="n"/>
      <c r="F2698" s="24" t="n"/>
      <c r="G2698" s="24" t="n"/>
      <c r="H2698" s="21">
        <f>IF(ISNUMBER($B2698),INT($B2698)-WEEKDAY($B2698,2)+1,"")</f>
        <v/>
      </c>
      <c r="I2698" s="24" t="n"/>
      <c r="J2698" s="22">
        <f t="array" ref="J2698">IF($D2698="","",IF($I2698="","(trống REF)",IFERROR(INDEX(MASTER_SOURCE!$B$2:$B$495,MATCH($I2698,MASTER_SOURCE!$A$2:$A$495,0)),"(REF không có trong MASTER_SOURCE)")))</f>
        <v/>
      </c>
      <c r="K2698" s="22">
        <f t="array" ref="K2698">IF($D2698="","",IFERROR(INDEX(MASTER_SOURCE!$C$2:$C$495,MATCH($I2698,MASTER_SOURCE!$A$2:$A$495,0)),""))</f>
        <v/>
      </c>
      <c r="L2698" s="22">
        <f t="array" ref="L2698">IF($D2698="","",IFERROR(INDEX(MASTER_SOURCE!$D$2:$D$495,MATCH($I2698,MASTER_SOURCE!$A$2:$A$495,0)),""))</f>
        <v/>
      </c>
      <c r="M2698" s="24" t="n"/>
      <c r="N2698" s="24" t="n"/>
      <c r="O2698" s="24" t="n"/>
      <c r="P2698" s="24" t="n"/>
      <c r="Q2698" s="22">
        <f>IF($D2698="","",IF(AND(OR(DANH_MUC!$L$5&lt;&gt;"Có",M2698="Có"),OR(DANH_MUC!$L$6&lt;&gt;"Có",N2698="Có"),OR(DANH_MUC!$L$7&lt;&gt;"Có",O2698="Có"),OR(DANH_MUC!$L$8&lt;&gt;"Có",P2698="Có")),"Có","Không"))</f>
        <v/>
      </c>
      <c r="R2698" s="22">
        <f>IF($D2698="","",IF(COUNTIF($D$2:$D2698,$D2698)&gt;1,"Trùng",""))</f>
        <v/>
      </c>
      <c r="S2698" s="22">
        <f>IF($D2698="","",IF(AND(LEN($D2698)=10,LEFT($D2698,1)="0",ISNUMBER(--$D2698)),"Có","Không"))</f>
        <v/>
      </c>
      <c r="T2698" s="22">
        <f>IF($D2698="","",IF(AND($C2698&lt;&gt;"",$Q2698="Có",$R2698="",$S2698="Có",AND($L2698&lt;&gt;"",OR($L2698&lt;&gt;"Chưa xác định",DANH_MUC!$L$9="Có"))),"Có","Không"))</f>
        <v/>
      </c>
      <c r="U2698" s="22">
        <f>IF(OR($D2698="",$T2698="Có"),"",IF($C2698="","Thiếu họ tên; ","")&amp;IF($S2698&lt;&gt;"Có","SĐT sai định dạng; ","")&amp;IF($R2698="Trùng","Trùng SĐT; ","")&amp;IF($Q2698&lt;&gt;"Có","Thiếu đồng ý bắt buộc; ","")&amp;IF($L2698="","Thiếu/sai Mã REF; ",IF(AND($L2698="Chưa xác định",DANH_MUC!$L$9&lt;&gt;"Có"),"Nguồn chưa xác định; ","")))</f>
        <v/>
      </c>
      <c r="V2698" s="22">
        <f>IF(OR($D2698="",$R2698="Trùng"),"",IF(COUNTIF(ORDERS!$C$2:$C$4995,$D2698)&gt;0,"Có","Không"))</f>
        <v/>
      </c>
      <c r="W2698" s="22">
        <f>IF(OR($D2698="",$R2698="Trùng"),"",COUNTIFS(ORDERS!$C$2:$C$4995,$D2698,ORDERS!$L$2:$L$4995,"Đã chuyển khoản"))</f>
        <v/>
      </c>
      <c r="X2698" s="23">
        <f>IF(OR($D2698="",$R2698="Trùng"),"",SUMIFS(ORDERS!$J$2:$J$4995,ORDERS!$C$2:$C$4995,$D2698,ORDERS!$L$2:$L$4995,"Đã chuyển khoản"))</f>
        <v/>
      </c>
      <c r="Y2698" s="24" t="n"/>
    </row>
    <row r="2699" ht="14.25" customHeight="1" s="40">
      <c r="A2699" s="24" t="n"/>
      <c r="B2699" s="27" t="n"/>
      <c r="C2699" s="24" t="n"/>
      <c r="D2699" s="28" t="n"/>
      <c r="E2699" s="29" t="n"/>
      <c r="F2699" s="24" t="n"/>
      <c r="G2699" s="24" t="n"/>
      <c r="H2699" s="21">
        <f>IF(ISNUMBER($B2699),INT($B2699)-WEEKDAY($B2699,2)+1,"")</f>
        <v/>
      </c>
      <c r="I2699" s="24" t="n"/>
      <c r="J2699" s="22">
        <f t="array" ref="J2699">IF($D2699="","",IF($I2699="","(trống REF)",IFERROR(INDEX(MASTER_SOURCE!$B$2:$B$495,MATCH($I2699,MASTER_SOURCE!$A$2:$A$495,0)),"(REF không có trong MASTER_SOURCE)")))</f>
        <v/>
      </c>
      <c r="K2699" s="22">
        <f t="array" ref="K2699">IF($D2699="","",IFERROR(INDEX(MASTER_SOURCE!$C$2:$C$495,MATCH($I2699,MASTER_SOURCE!$A$2:$A$495,0)),""))</f>
        <v/>
      </c>
      <c r="L2699" s="22">
        <f t="array" ref="L2699">IF($D2699="","",IFERROR(INDEX(MASTER_SOURCE!$D$2:$D$495,MATCH($I2699,MASTER_SOURCE!$A$2:$A$495,0)),""))</f>
        <v/>
      </c>
      <c r="M2699" s="24" t="n"/>
      <c r="N2699" s="24" t="n"/>
      <c r="O2699" s="24" t="n"/>
      <c r="P2699" s="24" t="n"/>
      <c r="Q2699" s="22">
        <f>IF($D2699="","",IF(AND(OR(DANH_MUC!$L$5&lt;&gt;"Có",M2699="Có"),OR(DANH_MUC!$L$6&lt;&gt;"Có",N2699="Có"),OR(DANH_MUC!$L$7&lt;&gt;"Có",O2699="Có"),OR(DANH_MUC!$L$8&lt;&gt;"Có",P2699="Có")),"Có","Không"))</f>
        <v/>
      </c>
      <c r="R2699" s="22">
        <f>IF($D2699="","",IF(COUNTIF($D$2:$D2699,$D2699)&gt;1,"Trùng",""))</f>
        <v/>
      </c>
      <c r="S2699" s="22">
        <f>IF($D2699="","",IF(AND(LEN($D2699)=10,LEFT($D2699,1)="0",ISNUMBER(--$D2699)),"Có","Không"))</f>
        <v/>
      </c>
      <c r="T2699" s="22">
        <f>IF($D2699="","",IF(AND($C2699&lt;&gt;"",$Q2699="Có",$R2699="",$S2699="Có",AND($L2699&lt;&gt;"",OR($L2699&lt;&gt;"Chưa xác định",DANH_MUC!$L$9="Có"))),"Có","Không"))</f>
        <v/>
      </c>
      <c r="U2699" s="22">
        <f>IF(OR($D2699="",$T2699="Có"),"",IF($C2699="","Thiếu họ tên; ","")&amp;IF($S2699&lt;&gt;"Có","SĐT sai định dạng; ","")&amp;IF($R2699="Trùng","Trùng SĐT; ","")&amp;IF($Q2699&lt;&gt;"Có","Thiếu đồng ý bắt buộc; ","")&amp;IF($L2699="","Thiếu/sai Mã REF; ",IF(AND($L2699="Chưa xác định",DANH_MUC!$L$9&lt;&gt;"Có"),"Nguồn chưa xác định; ","")))</f>
        <v/>
      </c>
      <c r="V2699" s="22">
        <f>IF(OR($D2699="",$R2699="Trùng"),"",IF(COUNTIF(ORDERS!$C$2:$C$4995,$D2699)&gt;0,"Có","Không"))</f>
        <v/>
      </c>
      <c r="W2699" s="22">
        <f>IF(OR($D2699="",$R2699="Trùng"),"",COUNTIFS(ORDERS!$C$2:$C$4995,$D2699,ORDERS!$L$2:$L$4995,"Đã chuyển khoản"))</f>
        <v/>
      </c>
      <c r="X2699" s="23">
        <f>IF(OR($D2699="",$R2699="Trùng"),"",SUMIFS(ORDERS!$J$2:$J$4995,ORDERS!$C$2:$C$4995,$D2699,ORDERS!$L$2:$L$4995,"Đã chuyển khoản"))</f>
        <v/>
      </c>
      <c r="Y2699" s="24" t="n"/>
    </row>
    <row r="2700" ht="14.25" customHeight="1" s="40">
      <c r="A2700" s="24" t="n"/>
      <c r="B2700" s="27" t="n"/>
      <c r="C2700" s="24" t="n"/>
      <c r="D2700" s="28" t="n"/>
      <c r="E2700" s="29" t="n"/>
      <c r="F2700" s="24" t="n"/>
      <c r="G2700" s="24" t="n"/>
      <c r="H2700" s="21">
        <f>IF(ISNUMBER($B2700),INT($B2700)-WEEKDAY($B2700,2)+1,"")</f>
        <v/>
      </c>
      <c r="I2700" s="24" t="n"/>
      <c r="J2700" s="22">
        <f t="array" ref="J2700">IF($D2700="","",IF($I2700="","(trống REF)",IFERROR(INDEX(MASTER_SOURCE!$B$2:$B$495,MATCH($I2700,MASTER_SOURCE!$A$2:$A$495,0)),"(REF không có trong MASTER_SOURCE)")))</f>
        <v/>
      </c>
      <c r="K2700" s="22">
        <f t="array" ref="K2700">IF($D2700="","",IFERROR(INDEX(MASTER_SOURCE!$C$2:$C$495,MATCH($I2700,MASTER_SOURCE!$A$2:$A$495,0)),""))</f>
        <v/>
      </c>
      <c r="L2700" s="22">
        <f t="array" ref="L2700">IF($D2700="","",IFERROR(INDEX(MASTER_SOURCE!$D$2:$D$495,MATCH($I2700,MASTER_SOURCE!$A$2:$A$495,0)),""))</f>
        <v/>
      </c>
      <c r="M2700" s="24" t="n"/>
      <c r="N2700" s="24" t="n"/>
      <c r="O2700" s="24" t="n"/>
      <c r="P2700" s="24" t="n"/>
      <c r="Q2700" s="22">
        <f>IF($D2700="","",IF(AND(OR(DANH_MUC!$L$5&lt;&gt;"Có",M2700="Có"),OR(DANH_MUC!$L$6&lt;&gt;"Có",N2700="Có"),OR(DANH_MUC!$L$7&lt;&gt;"Có",O2700="Có"),OR(DANH_MUC!$L$8&lt;&gt;"Có",P2700="Có")),"Có","Không"))</f>
        <v/>
      </c>
      <c r="R2700" s="22">
        <f>IF($D2700="","",IF(COUNTIF($D$2:$D2700,$D2700)&gt;1,"Trùng",""))</f>
        <v/>
      </c>
      <c r="S2700" s="22">
        <f>IF($D2700="","",IF(AND(LEN($D2700)=10,LEFT($D2700,1)="0",ISNUMBER(--$D2700)),"Có","Không"))</f>
        <v/>
      </c>
      <c r="T2700" s="22">
        <f>IF($D2700="","",IF(AND($C2700&lt;&gt;"",$Q2700="Có",$R2700="",$S2700="Có",AND($L2700&lt;&gt;"",OR($L2700&lt;&gt;"Chưa xác định",DANH_MUC!$L$9="Có"))),"Có","Không"))</f>
        <v/>
      </c>
      <c r="U2700" s="22">
        <f>IF(OR($D2700="",$T2700="Có"),"",IF($C2700="","Thiếu họ tên; ","")&amp;IF($S2700&lt;&gt;"Có","SĐT sai định dạng; ","")&amp;IF($R2700="Trùng","Trùng SĐT; ","")&amp;IF($Q2700&lt;&gt;"Có","Thiếu đồng ý bắt buộc; ","")&amp;IF($L2700="","Thiếu/sai Mã REF; ",IF(AND($L2700="Chưa xác định",DANH_MUC!$L$9&lt;&gt;"Có"),"Nguồn chưa xác định; ","")))</f>
        <v/>
      </c>
      <c r="V2700" s="22">
        <f>IF(OR($D2700="",$R2700="Trùng"),"",IF(COUNTIF(ORDERS!$C$2:$C$4995,$D2700)&gt;0,"Có","Không"))</f>
        <v/>
      </c>
      <c r="W2700" s="22">
        <f>IF(OR($D2700="",$R2700="Trùng"),"",COUNTIFS(ORDERS!$C$2:$C$4995,$D2700,ORDERS!$L$2:$L$4995,"Đã chuyển khoản"))</f>
        <v/>
      </c>
      <c r="X2700" s="23">
        <f>IF(OR($D2700="",$R2700="Trùng"),"",SUMIFS(ORDERS!$J$2:$J$4995,ORDERS!$C$2:$C$4995,$D2700,ORDERS!$L$2:$L$4995,"Đã chuyển khoản"))</f>
        <v/>
      </c>
      <c r="Y2700" s="24" t="n"/>
    </row>
    <row r="2701" ht="14.25" customHeight="1" s="40">
      <c r="A2701" s="24" t="n"/>
      <c r="B2701" s="27" t="n"/>
      <c r="C2701" s="24" t="n"/>
      <c r="D2701" s="28" t="n"/>
      <c r="E2701" s="29" t="n"/>
      <c r="F2701" s="24" t="n"/>
      <c r="G2701" s="24" t="n"/>
      <c r="H2701" s="21">
        <f>IF(ISNUMBER($B2701),INT($B2701)-WEEKDAY($B2701,2)+1,"")</f>
        <v/>
      </c>
      <c r="I2701" s="24" t="n"/>
      <c r="J2701" s="22">
        <f t="array" ref="J2701">IF($D2701="","",IF($I2701="","(trống REF)",IFERROR(INDEX(MASTER_SOURCE!$B$2:$B$495,MATCH($I2701,MASTER_SOURCE!$A$2:$A$495,0)),"(REF không có trong MASTER_SOURCE)")))</f>
        <v/>
      </c>
      <c r="K2701" s="22">
        <f t="array" ref="K2701">IF($D2701="","",IFERROR(INDEX(MASTER_SOURCE!$C$2:$C$495,MATCH($I2701,MASTER_SOURCE!$A$2:$A$495,0)),""))</f>
        <v/>
      </c>
      <c r="L2701" s="22">
        <f t="array" ref="L2701">IF($D2701="","",IFERROR(INDEX(MASTER_SOURCE!$D$2:$D$495,MATCH($I2701,MASTER_SOURCE!$A$2:$A$495,0)),""))</f>
        <v/>
      </c>
      <c r="M2701" s="24" t="n"/>
      <c r="N2701" s="24" t="n"/>
      <c r="O2701" s="24" t="n"/>
      <c r="P2701" s="24" t="n"/>
      <c r="Q2701" s="22">
        <f>IF($D2701="","",IF(AND(OR(DANH_MUC!$L$5&lt;&gt;"Có",M2701="Có"),OR(DANH_MUC!$L$6&lt;&gt;"Có",N2701="Có"),OR(DANH_MUC!$L$7&lt;&gt;"Có",O2701="Có"),OR(DANH_MUC!$L$8&lt;&gt;"Có",P2701="Có")),"Có","Không"))</f>
        <v/>
      </c>
      <c r="R2701" s="22">
        <f>IF($D2701="","",IF(COUNTIF($D$2:$D2701,$D2701)&gt;1,"Trùng",""))</f>
        <v/>
      </c>
      <c r="S2701" s="22">
        <f>IF($D2701="","",IF(AND(LEN($D2701)=10,LEFT($D2701,1)="0",ISNUMBER(--$D2701)),"Có","Không"))</f>
        <v/>
      </c>
      <c r="T2701" s="22">
        <f>IF($D2701="","",IF(AND($C2701&lt;&gt;"",$Q2701="Có",$R2701="",$S2701="Có",AND($L2701&lt;&gt;"",OR($L2701&lt;&gt;"Chưa xác định",DANH_MUC!$L$9="Có"))),"Có","Không"))</f>
        <v/>
      </c>
      <c r="U2701" s="22">
        <f>IF(OR($D2701="",$T2701="Có"),"",IF($C2701="","Thiếu họ tên; ","")&amp;IF($S2701&lt;&gt;"Có","SĐT sai định dạng; ","")&amp;IF($R2701="Trùng","Trùng SĐT; ","")&amp;IF($Q2701&lt;&gt;"Có","Thiếu đồng ý bắt buộc; ","")&amp;IF($L2701="","Thiếu/sai Mã REF; ",IF(AND($L2701="Chưa xác định",DANH_MUC!$L$9&lt;&gt;"Có"),"Nguồn chưa xác định; ","")))</f>
        <v/>
      </c>
      <c r="V2701" s="22">
        <f>IF(OR($D2701="",$R2701="Trùng"),"",IF(COUNTIF(ORDERS!$C$2:$C$4995,$D2701)&gt;0,"Có","Không"))</f>
        <v/>
      </c>
      <c r="W2701" s="22">
        <f>IF(OR($D2701="",$R2701="Trùng"),"",COUNTIFS(ORDERS!$C$2:$C$4995,$D2701,ORDERS!$L$2:$L$4995,"Đã chuyển khoản"))</f>
        <v/>
      </c>
      <c r="X2701" s="23">
        <f>IF(OR($D2701="",$R2701="Trùng"),"",SUMIFS(ORDERS!$J$2:$J$4995,ORDERS!$C$2:$C$4995,$D2701,ORDERS!$L$2:$L$4995,"Đã chuyển khoản"))</f>
        <v/>
      </c>
      <c r="Y2701" s="24" t="n"/>
    </row>
    <row r="2702" ht="14.25" customHeight="1" s="40">
      <c r="A2702" s="24" t="n"/>
      <c r="B2702" s="27" t="n"/>
      <c r="C2702" s="24" t="n"/>
      <c r="D2702" s="28" t="n"/>
      <c r="E2702" s="29" t="n"/>
      <c r="F2702" s="24" t="n"/>
      <c r="G2702" s="24" t="n"/>
      <c r="H2702" s="21">
        <f>IF(ISNUMBER($B2702),INT($B2702)-WEEKDAY($B2702,2)+1,"")</f>
        <v/>
      </c>
      <c r="I2702" s="24" t="n"/>
      <c r="J2702" s="22">
        <f t="array" ref="J2702">IF($D2702="","",IF($I2702="","(trống REF)",IFERROR(INDEX(MASTER_SOURCE!$B$2:$B$495,MATCH($I2702,MASTER_SOURCE!$A$2:$A$495,0)),"(REF không có trong MASTER_SOURCE)")))</f>
        <v/>
      </c>
      <c r="K2702" s="22">
        <f t="array" ref="K2702">IF($D2702="","",IFERROR(INDEX(MASTER_SOURCE!$C$2:$C$495,MATCH($I2702,MASTER_SOURCE!$A$2:$A$495,0)),""))</f>
        <v/>
      </c>
      <c r="L2702" s="22">
        <f t="array" ref="L2702">IF($D2702="","",IFERROR(INDEX(MASTER_SOURCE!$D$2:$D$495,MATCH($I2702,MASTER_SOURCE!$A$2:$A$495,0)),""))</f>
        <v/>
      </c>
      <c r="M2702" s="24" t="n"/>
      <c r="N2702" s="24" t="n"/>
      <c r="O2702" s="24" t="n"/>
      <c r="P2702" s="24" t="n"/>
      <c r="Q2702" s="22">
        <f>IF($D2702="","",IF(AND(OR(DANH_MUC!$L$5&lt;&gt;"Có",M2702="Có"),OR(DANH_MUC!$L$6&lt;&gt;"Có",N2702="Có"),OR(DANH_MUC!$L$7&lt;&gt;"Có",O2702="Có"),OR(DANH_MUC!$L$8&lt;&gt;"Có",P2702="Có")),"Có","Không"))</f>
        <v/>
      </c>
      <c r="R2702" s="22">
        <f>IF($D2702="","",IF(COUNTIF($D$2:$D2702,$D2702)&gt;1,"Trùng",""))</f>
        <v/>
      </c>
      <c r="S2702" s="22">
        <f>IF($D2702="","",IF(AND(LEN($D2702)=10,LEFT($D2702,1)="0",ISNUMBER(--$D2702)),"Có","Không"))</f>
        <v/>
      </c>
      <c r="T2702" s="22">
        <f>IF($D2702="","",IF(AND($C2702&lt;&gt;"",$Q2702="Có",$R2702="",$S2702="Có",AND($L2702&lt;&gt;"",OR($L2702&lt;&gt;"Chưa xác định",DANH_MUC!$L$9="Có"))),"Có","Không"))</f>
        <v/>
      </c>
      <c r="U2702" s="22">
        <f>IF(OR($D2702="",$T2702="Có"),"",IF($C2702="","Thiếu họ tên; ","")&amp;IF($S2702&lt;&gt;"Có","SĐT sai định dạng; ","")&amp;IF($R2702="Trùng","Trùng SĐT; ","")&amp;IF($Q2702&lt;&gt;"Có","Thiếu đồng ý bắt buộc; ","")&amp;IF($L2702="","Thiếu/sai Mã REF; ",IF(AND($L2702="Chưa xác định",DANH_MUC!$L$9&lt;&gt;"Có"),"Nguồn chưa xác định; ","")))</f>
        <v/>
      </c>
      <c r="V2702" s="22">
        <f>IF(OR($D2702="",$R2702="Trùng"),"",IF(COUNTIF(ORDERS!$C$2:$C$4995,$D2702)&gt;0,"Có","Không"))</f>
        <v/>
      </c>
      <c r="W2702" s="22">
        <f>IF(OR($D2702="",$R2702="Trùng"),"",COUNTIFS(ORDERS!$C$2:$C$4995,$D2702,ORDERS!$L$2:$L$4995,"Đã chuyển khoản"))</f>
        <v/>
      </c>
      <c r="X2702" s="23">
        <f>IF(OR($D2702="",$R2702="Trùng"),"",SUMIFS(ORDERS!$J$2:$J$4995,ORDERS!$C$2:$C$4995,$D2702,ORDERS!$L$2:$L$4995,"Đã chuyển khoản"))</f>
        <v/>
      </c>
      <c r="Y2702" s="24" t="n"/>
    </row>
    <row r="2703" ht="14.25" customHeight="1" s="40">
      <c r="A2703" s="24" t="n"/>
      <c r="B2703" s="27" t="n"/>
      <c r="C2703" s="24" t="n"/>
      <c r="D2703" s="28" t="n"/>
      <c r="E2703" s="29" t="n"/>
      <c r="F2703" s="24" t="n"/>
      <c r="G2703" s="24" t="n"/>
      <c r="H2703" s="21">
        <f>IF(ISNUMBER($B2703),INT($B2703)-WEEKDAY($B2703,2)+1,"")</f>
        <v/>
      </c>
      <c r="I2703" s="24" t="n"/>
      <c r="J2703" s="22">
        <f t="array" ref="J2703">IF($D2703="","",IF($I2703="","(trống REF)",IFERROR(INDEX(MASTER_SOURCE!$B$2:$B$495,MATCH($I2703,MASTER_SOURCE!$A$2:$A$495,0)),"(REF không có trong MASTER_SOURCE)")))</f>
        <v/>
      </c>
      <c r="K2703" s="22">
        <f t="array" ref="K2703">IF($D2703="","",IFERROR(INDEX(MASTER_SOURCE!$C$2:$C$495,MATCH($I2703,MASTER_SOURCE!$A$2:$A$495,0)),""))</f>
        <v/>
      </c>
      <c r="L2703" s="22">
        <f t="array" ref="L2703">IF($D2703="","",IFERROR(INDEX(MASTER_SOURCE!$D$2:$D$495,MATCH($I2703,MASTER_SOURCE!$A$2:$A$495,0)),""))</f>
        <v/>
      </c>
      <c r="M2703" s="24" t="n"/>
      <c r="N2703" s="24" t="n"/>
      <c r="O2703" s="24" t="n"/>
      <c r="P2703" s="24" t="n"/>
      <c r="Q2703" s="22">
        <f>IF($D2703="","",IF(AND(OR(DANH_MUC!$L$5&lt;&gt;"Có",M2703="Có"),OR(DANH_MUC!$L$6&lt;&gt;"Có",N2703="Có"),OR(DANH_MUC!$L$7&lt;&gt;"Có",O2703="Có"),OR(DANH_MUC!$L$8&lt;&gt;"Có",P2703="Có")),"Có","Không"))</f>
        <v/>
      </c>
      <c r="R2703" s="22">
        <f>IF($D2703="","",IF(COUNTIF($D$2:$D2703,$D2703)&gt;1,"Trùng",""))</f>
        <v/>
      </c>
      <c r="S2703" s="22">
        <f>IF($D2703="","",IF(AND(LEN($D2703)=10,LEFT($D2703,1)="0",ISNUMBER(--$D2703)),"Có","Không"))</f>
        <v/>
      </c>
      <c r="T2703" s="22">
        <f>IF($D2703="","",IF(AND($C2703&lt;&gt;"",$Q2703="Có",$R2703="",$S2703="Có",AND($L2703&lt;&gt;"",OR($L2703&lt;&gt;"Chưa xác định",DANH_MUC!$L$9="Có"))),"Có","Không"))</f>
        <v/>
      </c>
      <c r="U2703" s="22">
        <f>IF(OR($D2703="",$T2703="Có"),"",IF($C2703="","Thiếu họ tên; ","")&amp;IF($S2703&lt;&gt;"Có","SĐT sai định dạng; ","")&amp;IF($R2703="Trùng","Trùng SĐT; ","")&amp;IF($Q2703&lt;&gt;"Có","Thiếu đồng ý bắt buộc; ","")&amp;IF($L2703="","Thiếu/sai Mã REF; ",IF(AND($L2703="Chưa xác định",DANH_MUC!$L$9&lt;&gt;"Có"),"Nguồn chưa xác định; ","")))</f>
        <v/>
      </c>
      <c r="V2703" s="22">
        <f>IF(OR($D2703="",$R2703="Trùng"),"",IF(COUNTIF(ORDERS!$C$2:$C$4995,$D2703)&gt;0,"Có","Không"))</f>
        <v/>
      </c>
      <c r="W2703" s="22">
        <f>IF(OR($D2703="",$R2703="Trùng"),"",COUNTIFS(ORDERS!$C$2:$C$4995,$D2703,ORDERS!$L$2:$L$4995,"Đã chuyển khoản"))</f>
        <v/>
      </c>
      <c r="X2703" s="23">
        <f>IF(OR($D2703="",$R2703="Trùng"),"",SUMIFS(ORDERS!$J$2:$J$4995,ORDERS!$C$2:$C$4995,$D2703,ORDERS!$L$2:$L$4995,"Đã chuyển khoản"))</f>
        <v/>
      </c>
      <c r="Y2703" s="24" t="n"/>
    </row>
    <row r="2704" ht="14.25" customHeight="1" s="40">
      <c r="A2704" s="24" t="n"/>
      <c r="B2704" s="27" t="n"/>
      <c r="C2704" s="24" t="n"/>
      <c r="D2704" s="28" t="n"/>
      <c r="E2704" s="29" t="n"/>
      <c r="F2704" s="24" t="n"/>
      <c r="G2704" s="24" t="n"/>
      <c r="H2704" s="21">
        <f>IF(ISNUMBER($B2704),INT($B2704)-WEEKDAY($B2704,2)+1,"")</f>
        <v/>
      </c>
      <c r="I2704" s="24" t="n"/>
      <c r="J2704" s="22">
        <f t="array" ref="J2704">IF($D2704="","",IF($I2704="","(trống REF)",IFERROR(INDEX(MASTER_SOURCE!$B$2:$B$495,MATCH($I2704,MASTER_SOURCE!$A$2:$A$495,0)),"(REF không có trong MASTER_SOURCE)")))</f>
        <v/>
      </c>
      <c r="K2704" s="22">
        <f t="array" ref="K2704">IF($D2704="","",IFERROR(INDEX(MASTER_SOURCE!$C$2:$C$495,MATCH($I2704,MASTER_SOURCE!$A$2:$A$495,0)),""))</f>
        <v/>
      </c>
      <c r="L2704" s="22">
        <f t="array" ref="L2704">IF($D2704="","",IFERROR(INDEX(MASTER_SOURCE!$D$2:$D$495,MATCH($I2704,MASTER_SOURCE!$A$2:$A$495,0)),""))</f>
        <v/>
      </c>
      <c r="M2704" s="24" t="n"/>
      <c r="N2704" s="24" t="n"/>
      <c r="O2704" s="24" t="n"/>
      <c r="P2704" s="24" t="n"/>
      <c r="Q2704" s="22">
        <f>IF($D2704="","",IF(AND(OR(DANH_MUC!$L$5&lt;&gt;"Có",M2704="Có"),OR(DANH_MUC!$L$6&lt;&gt;"Có",N2704="Có"),OR(DANH_MUC!$L$7&lt;&gt;"Có",O2704="Có"),OR(DANH_MUC!$L$8&lt;&gt;"Có",P2704="Có")),"Có","Không"))</f>
        <v/>
      </c>
      <c r="R2704" s="22">
        <f>IF($D2704="","",IF(COUNTIF($D$2:$D2704,$D2704)&gt;1,"Trùng",""))</f>
        <v/>
      </c>
      <c r="S2704" s="22">
        <f>IF($D2704="","",IF(AND(LEN($D2704)=10,LEFT($D2704,1)="0",ISNUMBER(--$D2704)),"Có","Không"))</f>
        <v/>
      </c>
      <c r="T2704" s="22">
        <f>IF($D2704="","",IF(AND($C2704&lt;&gt;"",$Q2704="Có",$R2704="",$S2704="Có",AND($L2704&lt;&gt;"",OR($L2704&lt;&gt;"Chưa xác định",DANH_MUC!$L$9="Có"))),"Có","Không"))</f>
        <v/>
      </c>
      <c r="U2704" s="22">
        <f>IF(OR($D2704="",$T2704="Có"),"",IF($C2704="","Thiếu họ tên; ","")&amp;IF($S2704&lt;&gt;"Có","SĐT sai định dạng; ","")&amp;IF($R2704="Trùng","Trùng SĐT; ","")&amp;IF($Q2704&lt;&gt;"Có","Thiếu đồng ý bắt buộc; ","")&amp;IF($L2704="","Thiếu/sai Mã REF; ",IF(AND($L2704="Chưa xác định",DANH_MUC!$L$9&lt;&gt;"Có"),"Nguồn chưa xác định; ","")))</f>
        <v/>
      </c>
      <c r="V2704" s="22">
        <f>IF(OR($D2704="",$R2704="Trùng"),"",IF(COUNTIF(ORDERS!$C$2:$C$4995,$D2704)&gt;0,"Có","Không"))</f>
        <v/>
      </c>
      <c r="W2704" s="22">
        <f>IF(OR($D2704="",$R2704="Trùng"),"",COUNTIFS(ORDERS!$C$2:$C$4995,$D2704,ORDERS!$L$2:$L$4995,"Đã chuyển khoản"))</f>
        <v/>
      </c>
      <c r="X2704" s="23">
        <f>IF(OR($D2704="",$R2704="Trùng"),"",SUMIFS(ORDERS!$J$2:$J$4995,ORDERS!$C$2:$C$4995,$D2704,ORDERS!$L$2:$L$4995,"Đã chuyển khoản"))</f>
        <v/>
      </c>
      <c r="Y2704" s="24" t="n"/>
    </row>
    <row r="2705" ht="14.25" customHeight="1" s="40">
      <c r="A2705" s="24" t="n"/>
      <c r="B2705" s="27" t="n"/>
      <c r="C2705" s="24" t="n"/>
      <c r="D2705" s="28" t="n"/>
      <c r="E2705" s="29" t="n"/>
      <c r="F2705" s="24" t="n"/>
      <c r="G2705" s="24" t="n"/>
      <c r="H2705" s="21">
        <f>IF(ISNUMBER($B2705),INT($B2705)-WEEKDAY($B2705,2)+1,"")</f>
        <v/>
      </c>
      <c r="I2705" s="24" t="n"/>
      <c r="J2705" s="22">
        <f t="array" ref="J2705">IF($D2705="","",IF($I2705="","(trống REF)",IFERROR(INDEX(MASTER_SOURCE!$B$2:$B$495,MATCH($I2705,MASTER_SOURCE!$A$2:$A$495,0)),"(REF không có trong MASTER_SOURCE)")))</f>
        <v/>
      </c>
      <c r="K2705" s="22">
        <f t="array" ref="K2705">IF($D2705="","",IFERROR(INDEX(MASTER_SOURCE!$C$2:$C$495,MATCH($I2705,MASTER_SOURCE!$A$2:$A$495,0)),""))</f>
        <v/>
      </c>
      <c r="L2705" s="22">
        <f t="array" ref="L2705">IF($D2705="","",IFERROR(INDEX(MASTER_SOURCE!$D$2:$D$495,MATCH($I2705,MASTER_SOURCE!$A$2:$A$495,0)),""))</f>
        <v/>
      </c>
      <c r="M2705" s="24" t="n"/>
      <c r="N2705" s="24" t="n"/>
      <c r="O2705" s="24" t="n"/>
      <c r="P2705" s="24" t="n"/>
      <c r="Q2705" s="22">
        <f>IF($D2705="","",IF(AND(OR(DANH_MUC!$L$5&lt;&gt;"Có",M2705="Có"),OR(DANH_MUC!$L$6&lt;&gt;"Có",N2705="Có"),OR(DANH_MUC!$L$7&lt;&gt;"Có",O2705="Có"),OR(DANH_MUC!$L$8&lt;&gt;"Có",P2705="Có")),"Có","Không"))</f>
        <v/>
      </c>
      <c r="R2705" s="22">
        <f>IF($D2705="","",IF(COUNTIF($D$2:$D2705,$D2705)&gt;1,"Trùng",""))</f>
        <v/>
      </c>
      <c r="S2705" s="22">
        <f>IF($D2705="","",IF(AND(LEN($D2705)=10,LEFT($D2705,1)="0",ISNUMBER(--$D2705)),"Có","Không"))</f>
        <v/>
      </c>
      <c r="T2705" s="22">
        <f>IF($D2705="","",IF(AND($C2705&lt;&gt;"",$Q2705="Có",$R2705="",$S2705="Có",AND($L2705&lt;&gt;"",OR($L2705&lt;&gt;"Chưa xác định",DANH_MUC!$L$9="Có"))),"Có","Không"))</f>
        <v/>
      </c>
      <c r="U2705" s="22">
        <f>IF(OR($D2705="",$T2705="Có"),"",IF($C2705="","Thiếu họ tên; ","")&amp;IF($S2705&lt;&gt;"Có","SĐT sai định dạng; ","")&amp;IF($R2705="Trùng","Trùng SĐT; ","")&amp;IF($Q2705&lt;&gt;"Có","Thiếu đồng ý bắt buộc; ","")&amp;IF($L2705="","Thiếu/sai Mã REF; ",IF(AND($L2705="Chưa xác định",DANH_MUC!$L$9&lt;&gt;"Có"),"Nguồn chưa xác định; ","")))</f>
        <v/>
      </c>
      <c r="V2705" s="22">
        <f>IF(OR($D2705="",$R2705="Trùng"),"",IF(COUNTIF(ORDERS!$C$2:$C$4995,$D2705)&gt;0,"Có","Không"))</f>
        <v/>
      </c>
      <c r="W2705" s="22">
        <f>IF(OR($D2705="",$R2705="Trùng"),"",COUNTIFS(ORDERS!$C$2:$C$4995,$D2705,ORDERS!$L$2:$L$4995,"Đã chuyển khoản"))</f>
        <v/>
      </c>
      <c r="X2705" s="23">
        <f>IF(OR($D2705="",$R2705="Trùng"),"",SUMIFS(ORDERS!$J$2:$J$4995,ORDERS!$C$2:$C$4995,$D2705,ORDERS!$L$2:$L$4995,"Đã chuyển khoản"))</f>
        <v/>
      </c>
      <c r="Y2705" s="24" t="n"/>
    </row>
    <row r="2706" ht="14.25" customHeight="1" s="40">
      <c r="A2706" s="24" t="n"/>
      <c r="B2706" s="27" t="n"/>
      <c r="C2706" s="24" t="n"/>
      <c r="D2706" s="28" t="n"/>
      <c r="E2706" s="29" t="n"/>
      <c r="F2706" s="24" t="n"/>
      <c r="G2706" s="24" t="n"/>
      <c r="H2706" s="21">
        <f>IF(ISNUMBER($B2706),INT($B2706)-WEEKDAY($B2706,2)+1,"")</f>
        <v/>
      </c>
      <c r="I2706" s="24" t="n"/>
      <c r="J2706" s="22">
        <f t="array" ref="J2706">IF($D2706="","",IF($I2706="","(trống REF)",IFERROR(INDEX(MASTER_SOURCE!$B$2:$B$495,MATCH($I2706,MASTER_SOURCE!$A$2:$A$495,0)),"(REF không có trong MASTER_SOURCE)")))</f>
        <v/>
      </c>
      <c r="K2706" s="22">
        <f t="array" ref="K2706">IF($D2706="","",IFERROR(INDEX(MASTER_SOURCE!$C$2:$C$495,MATCH($I2706,MASTER_SOURCE!$A$2:$A$495,0)),""))</f>
        <v/>
      </c>
      <c r="L2706" s="22">
        <f t="array" ref="L2706">IF($D2706="","",IFERROR(INDEX(MASTER_SOURCE!$D$2:$D$495,MATCH($I2706,MASTER_SOURCE!$A$2:$A$495,0)),""))</f>
        <v/>
      </c>
      <c r="M2706" s="24" t="n"/>
      <c r="N2706" s="24" t="n"/>
      <c r="O2706" s="24" t="n"/>
      <c r="P2706" s="24" t="n"/>
      <c r="Q2706" s="22">
        <f>IF($D2706="","",IF(AND(OR(DANH_MUC!$L$5&lt;&gt;"Có",M2706="Có"),OR(DANH_MUC!$L$6&lt;&gt;"Có",N2706="Có"),OR(DANH_MUC!$L$7&lt;&gt;"Có",O2706="Có"),OR(DANH_MUC!$L$8&lt;&gt;"Có",P2706="Có")),"Có","Không"))</f>
        <v/>
      </c>
      <c r="R2706" s="22">
        <f>IF($D2706="","",IF(COUNTIF($D$2:$D2706,$D2706)&gt;1,"Trùng",""))</f>
        <v/>
      </c>
      <c r="S2706" s="22">
        <f>IF($D2706="","",IF(AND(LEN($D2706)=10,LEFT($D2706,1)="0",ISNUMBER(--$D2706)),"Có","Không"))</f>
        <v/>
      </c>
      <c r="T2706" s="22">
        <f>IF($D2706="","",IF(AND($C2706&lt;&gt;"",$Q2706="Có",$R2706="",$S2706="Có",AND($L2706&lt;&gt;"",OR($L2706&lt;&gt;"Chưa xác định",DANH_MUC!$L$9="Có"))),"Có","Không"))</f>
        <v/>
      </c>
      <c r="U2706" s="22">
        <f>IF(OR($D2706="",$T2706="Có"),"",IF($C2706="","Thiếu họ tên; ","")&amp;IF($S2706&lt;&gt;"Có","SĐT sai định dạng; ","")&amp;IF($R2706="Trùng","Trùng SĐT; ","")&amp;IF($Q2706&lt;&gt;"Có","Thiếu đồng ý bắt buộc; ","")&amp;IF($L2706="","Thiếu/sai Mã REF; ",IF(AND($L2706="Chưa xác định",DANH_MUC!$L$9&lt;&gt;"Có"),"Nguồn chưa xác định; ","")))</f>
        <v/>
      </c>
      <c r="V2706" s="22">
        <f>IF(OR($D2706="",$R2706="Trùng"),"",IF(COUNTIF(ORDERS!$C$2:$C$4995,$D2706)&gt;0,"Có","Không"))</f>
        <v/>
      </c>
      <c r="W2706" s="22">
        <f>IF(OR($D2706="",$R2706="Trùng"),"",COUNTIFS(ORDERS!$C$2:$C$4995,$D2706,ORDERS!$L$2:$L$4995,"Đã chuyển khoản"))</f>
        <v/>
      </c>
      <c r="X2706" s="23">
        <f>IF(OR($D2706="",$R2706="Trùng"),"",SUMIFS(ORDERS!$J$2:$J$4995,ORDERS!$C$2:$C$4995,$D2706,ORDERS!$L$2:$L$4995,"Đã chuyển khoản"))</f>
        <v/>
      </c>
      <c r="Y2706" s="24" t="n"/>
    </row>
    <row r="2707" ht="14.25" customHeight="1" s="40">
      <c r="A2707" s="24" t="n"/>
      <c r="B2707" s="27" t="n"/>
      <c r="C2707" s="24" t="n"/>
      <c r="D2707" s="28" t="n"/>
      <c r="E2707" s="29" t="n"/>
      <c r="F2707" s="24" t="n"/>
      <c r="G2707" s="24" t="n"/>
      <c r="H2707" s="21">
        <f>IF(ISNUMBER($B2707),INT($B2707)-WEEKDAY($B2707,2)+1,"")</f>
        <v/>
      </c>
      <c r="I2707" s="24" t="n"/>
      <c r="J2707" s="22">
        <f t="array" ref="J2707">IF($D2707="","",IF($I2707="","(trống REF)",IFERROR(INDEX(MASTER_SOURCE!$B$2:$B$495,MATCH($I2707,MASTER_SOURCE!$A$2:$A$495,0)),"(REF không có trong MASTER_SOURCE)")))</f>
        <v/>
      </c>
      <c r="K2707" s="22">
        <f t="array" ref="K2707">IF($D2707="","",IFERROR(INDEX(MASTER_SOURCE!$C$2:$C$495,MATCH($I2707,MASTER_SOURCE!$A$2:$A$495,0)),""))</f>
        <v/>
      </c>
      <c r="L2707" s="22">
        <f t="array" ref="L2707">IF($D2707="","",IFERROR(INDEX(MASTER_SOURCE!$D$2:$D$495,MATCH($I2707,MASTER_SOURCE!$A$2:$A$495,0)),""))</f>
        <v/>
      </c>
      <c r="M2707" s="24" t="n"/>
      <c r="N2707" s="24" t="n"/>
      <c r="O2707" s="24" t="n"/>
      <c r="P2707" s="24" t="n"/>
      <c r="Q2707" s="22">
        <f>IF($D2707="","",IF(AND(OR(DANH_MUC!$L$5&lt;&gt;"Có",M2707="Có"),OR(DANH_MUC!$L$6&lt;&gt;"Có",N2707="Có"),OR(DANH_MUC!$L$7&lt;&gt;"Có",O2707="Có"),OR(DANH_MUC!$L$8&lt;&gt;"Có",P2707="Có")),"Có","Không"))</f>
        <v/>
      </c>
      <c r="R2707" s="22">
        <f>IF($D2707="","",IF(COUNTIF($D$2:$D2707,$D2707)&gt;1,"Trùng",""))</f>
        <v/>
      </c>
      <c r="S2707" s="22">
        <f>IF($D2707="","",IF(AND(LEN($D2707)=10,LEFT($D2707,1)="0",ISNUMBER(--$D2707)),"Có","Không"))</f>
        <v/>
      </c>
      <c r="T2707" s="22">
        <f>IF($D2707="","",IF(AND($C2707&lt;&gt;"",$Q2707="Có",$R2707="",$S2707="Có",AND($L2707&lt;&gt;"",OR($L2707&lt;&gt;"Chưa xác định",DANH_MUC!$L$9="Có"))),"Có","Không"))</f>
        <v/>
      </c>
      <c r="U2707" s="22">
        <f>IF(OR($D2707="",$T2707="Có"),"",IF($C2707="","Thiếu họ tên; ","")&amp;IF($S2707&lt;&gt;"Có","SĐT sai định dạng; ","")&amp;IF($R2707="Trùng","Trùng SĐT; ","")&amp;IF($Q2707&lt;&gt;"Có","Thiếu đồng ý bắt buộc; ","")&amp;IF($L2707="","Thiếu/sai Mã REF; ",IF(AND($L2707="Chưa xác định",DANH_MUC!$L$9&lt;&gt;"Có"),"Nguồn chưa xác định; ","")))</f>
        <v/>
      </c>
      <c r="V2707" s="22">
        <f>IF(OR($D2707="",$R2707="Trùng"),"",IF(COUNTIF(ORDERS!$C$2:$C$4995,$D2707)&gt;0,"Có","Không"))</f>
        <v/>
      </c>
      <c r="W2707" s="22">
        <f>IF(OR($D2707="",$R2707="Trùng"),"",COUNTIFS(ORDERS!$C$2:$C$4995,$D2707,ORDERS!$L$2:$L$4995,"Đã chuyển khoản"))</f>
        <v/>
      </c>
      <c r="X2707" s="23">
        <f>IF(OR($D2707="",$R2707="Trùng"),"",SUMIFS(ORDERS!$J$2:$J$4995,ORDERS!$C$2:$C$4995,$D2707,ORDERS!$L$2:$L$4995,"Đã chuyển khoản"))</f>
        <v/>
      </c>
      <c r="Y2707" s="24" t="n"/>
    </row>
    <row r="2708" ht="14.25" customHeight="1" s="40">
      <c r="A2708" s="24" t="n"/>
      <c r="B2708" s="27" t="n"/>
      <c r="C2708" s="24" t="n"/>
      <c r="D2708" s="28" t="n"/>
      <c r="E2708" s="29" t="n"/>
      <c r="F2708" s="24" t="n"/>
      <c r="G2708" s="24" t="n"/>
      <c r="H2708" s="21">
        <f>IF(ISNUMBER($B2708),INT($B2708)-WEEKDAY($B2708,2)+1,"")</f>
        <v/>
      </c>
      <c r="I2708" s="24" t="n"/>
      <c r="J2708" s="22">
        <f t="array" ref="J2708">IF($D2708="","",IF($I2708="","(trống REF)",IFERROR(INDEX(MASTER_SOURCE!$B$2:$B$495,MATCH($I2708,MASTER_SOURCE!$A$2:$A$495,0)),"(REF không có trong MASTER_SOURCE)")))</f>
        <v/>
      </c>
      <c r="K2708" s="22">
        <f t="array" ref="K2708">IF($D2708="","",IFERROR(INDEX(MASTER_SOURCE!$C$2:$C$495,MATCH($I2708,MASTER_SOURCE!$A$2:$A$495,0)),""))</f>
        <v/>
      </c>
      <c r="L2708" s="22">
        <f t="array" ref="L2708">IF($D2708="","",IFERROR(INDEX(MASTER_SOURCE!$D$2:$D$495,MATCH($I2708,MASTER_SOURCE!$A$2:$A$495,0)),""))</f>
        <v/>
      </c>
      <c r="M2708" s="24" t="n"/>
      <c r="N2708" s="24" t="n"/>
      <c r="O2708" s="24" t="n"/>
      <c r="P2708" s="24" t="n"/>
      <c r="Q2708" s="22">
        <f>IF($D2708="","",IF(AND(OR(DANH_MUC!$L$5&lt;&gt;"Có",M2708="Có"),OR(DANH_MUC!$L$6&lt;&gt;"Có",N2708="Có"),OR(DANH_MUC!$L$7&lt;&gt;"Có",O2708="Có"),OR(DANH_MUC!$L$8&lt;&gt;"Có",P2708="Có")),"Có","Không"))</f>
        <v/>
      </c>
      <c r="R2708" s="22">
        <f>IF($D2708="","",IF(COUNTIF($D$2:$D2708,$D2708)&gt;1,"Trùng",""))</f>
        <v/>
      </c>
      <c r="S2708" s="22">
        <f>IF($D2708="","",IF(AND(LEN($D2708)=10,LEFT($D2708,1)="0",ISNUMBER(--$D2708)),"Có","Không"))</f>
        <v/>
      </c>
      <c r="T2708" s="22">
        <f>IF($D2708="","",IF(AND($C2708&lt;&gt;"",$Q2708="Có",$R2708="",$S2708="Có",AND($L2708&lt;&gt;"",OR($L2708&lt;&gt;"Chưa xác định",DANH_MUC!$L$9="Có"))),"Có","Không"))</f>
        <v/>
      </c>
      <c r="U2708" s="22">
        <f>IF(OR($D2708="",$T2708="Có"),"",IF($C2708="","Thiếu họ tên; ","")&amp;IF($S2708&lt;&gt;"Có","SĐT sai định dạng; ","")&amp;IF($R2708="Trùng","Trùng SĐT; ","")&amp;IF($Q2708&lt;&gt;"Có","Thiếu đồng ý bắt buộc; ","")&amp;IF($L2708="","Thiếu/sai Mã REF; ",IF(AND($L2708="Chưa xác định",DANH_MUC!$L$9&lt;&gt;"Có"),"Nguồn chưa xác định; ","")))</f>
        <v/>
      </c>
      <c r="V2708" s="22">
        <f>IF(OR($D2708="",$R2708="Trùng"),"",IF(COUNTIF(ORDERS!$C$2:$C$4995,$D2708)&gt;0,"Có","Không"))</f>
        <v/>
      </c>
      <c r="W2708" s="22">
        <f>IF(OR($D2708="",$R2708="Trùng"),"",COUNTIFS(ORDERS!$C$2:$C$4995,$D2708,ORDERS!$L$2:$L$4995,"Đã chuyển khoản"))</f>
        <v/>
      </c>
      <c r="X2708" s="23">
        <f>IF(OR($D2708="",$R2708="Trùng"),"",SUMIFS(ORDERS!$J$2:$J$4995,ORDERS!$C$2:$C$4995,$D2708,ORDERS!$L$2:$L$4995,"Đã chuyển khoản"))</f>
        <v/>
      </c>
      <c r="Y2708" s="24" t="n"/>
    </row>
    <row r="2709" ht="14.25" customHeight="1" s="40">
      <c r="A2709" s="24" t="n"/>
      <c r="B2709" s="27" t="n"/>
      <c r="C2709" s="24" t="n"/>
      <c r="D2709" s="28" t="n"/>
      <c r="E2709" s="29" t="n"/>
      <c r="F2709" s="24" t="n"/>
      <c r="G2709" s="24" t="n"/>
      <c r="H2709" s="21">
        <f>IF(ISNUMBER($B2709),INT($B2709)-WEEKDAY($B2709,2)+1,"")</f>
        <v/>
      </c>
      <c r="I2709" s="24" t="n"/>
      <c r="J2709" s="22">
        <f t="array" ref="J2709">IF($D2709="","",IF($I2709="","(trống REF)",IFERROR(INDEX(MASTER_SOURCE!$B$2:$B$495,MATCH($I2709,MASTER_SOURCE!$A$2:$A$495,0)),"(REF không có trong MASTER_SOURCE)")))</f>
        <v/>
      </c>
      <c r="K2709" s="22">
        <f t="array" ref="K2709">IF($D2709="","",IFERROR(INDEX(MASTER_SOURCE!$C$2:$C$495,MATCH($I2709,MASTER_SOURCE!$A$2:$A$495,0)),""))</f>
        <v/>
      </c>
      <c r="L2709" s="22">
        <f t="array" ref="L2709">IF($D2709="","",IFERROR(INDEX(MASTER_SOURCE!$D$2:$D$495,MATCH($I2709,MASTER_SOURCE!$A$2:$A$495,0)),""))</f>
        <v/>
      </c>
      <c r="M2709" s="24" t="n"/>
      <c r="N2709" s="24" t="n"/>
      <c r="O2709" s="24" t="n"/>
      <c r="P2709" s="24" t="n"/>
      <c r="Q2709" s="22">
        <f>IF($D2709="","",IF(AND(OR(DANH_MUC!$L$5&lt;&gt;"Có",M2709="Có"),OR(DANH_MUC!$L$6&lt;&gt;"Có",N2709="Có"),OR(DANH_MUC!$L$7&lt;&gt;"Có",O2709="Có"),OR(DANH_MUC!$L$8&lt;&gt;"Có",P2709="Có")),"Có","Không"))</f>
        <v/>
      </c>
      <c r="R2709" s="22">
        <f>IF($D2709="","",IF(COUNTIF($D$2:$D2709,$D2709)&gt;1,"Trùng",""))</f>
        <v/>
      </c>
      <c r="S2709" s="22">
        <f>IF($D2709="","",IF(AND(LEN($D2709)=10,LEFT($D2709,1)="0",ISNUMBER(--$D2709)),"Có","Không"))</f>
        <v/>
      </c>
      <c r="T2709" s="22">
        <f>IF($D2709="","",IF(AND($C2709&lt;&gt;"",$Q2709="Có",$R2709="",$S2709="Có",AND($L2709&lt;&gt;"",OR($L2709&lt;&gt;"Chưa xác định",DANH_MUC!$L$9="Có"))),"Có","Không"))</f>
        <v/>
      </c>
      <c r="U2709" s="22">
        <f>IF(OR($D2709="",$T2709="Có"),"",IF($C2709="","Thiếu họ tên; ","")&amp;IF($S2709&lt;&gt;"Có","SĐT sai định dạng; ","")&amp;IF($R2709="Trùng","Trùng SĐT; ","")&amp;IF($Q2709&lt;&gt;"Có","Thiếu đồng ý bắt buộc; ","")&amp;IF($L2709="","Thiếu/sai Mã REF; ",IF(AND($L2709="Chưa xác định",DANH_MUC!$L$9&lt;&gt;"Có"),"Nguồn chưa xác định; ","")))</f>
        <v/>
      </c>
      <c r="V2709" s="22">
        <f>IF(OR($D2709="",$R2709="Trùng"),"",IF(COUNTIF(ORDERS!$C$2:$C$4995,$D2709)&gt;0,"Có","Không"))</f>
        <v/>
      </c>
      <c r="W2709" s="22">
        <f>IF(OR($D2709="",$R2709="Trùng"),"",COUNTIFS(ORDERS!$C$2:$C$4995,$D2709,ORDERS!$L$2:$L$4995,"Đã chuyển khoản"))</f>
        <v/>
      </c>
      <c r="X2709" s="23">
        <f>IF(OR($D2709="",$R2709="Trùng"),"",SUMIFS(ORDERS!$J$2:$J$4995,ORDERS!$C$2:$C$4995,$D2709,ORDERS!$L$2:$L$4995,"Đã chuyển khoản"))</f>
        <v/>
      </c>
      <c r="Y2709" s="24" t="n"/>
    </row>
    <row r="2710" ht="14.25" customHeight="1" s="40">
      <c r="A2710" s="24" t="n"/>
      <c r="B2710" s="27" t="n"/>
      <c r="C2710" s="24" t="n"/>
      <c r="D2710" s="28" t="n"/>
      <c r="E2710" s="29" t="n"/>
      <c r="F2710" s="24" t="n"/>
      <c r="G2710" s="24" t="n"/>
      <c r="H2710" s="21">
        <f>IF(ISNUMBER($B2710),INT($B2710)-WEEKDAY($B2710,2)+1,"")</f>
        <v/>
      </c>
      <c r="I2710" s="24" t="n"/>
      <c r="J2710" s="22">
        <f t="array" ref="J2710">IF($D2710="","",IF($I2710="","(trống REF)",IFERROR(INDEX(MASTER_SOURCE!$B$2:$B$495,MATCH($I2710,MASTER_SOURCE!$A$2:$A$495,0)),"(REF không có trong MASTER_SOURCE)")))</f>
        <v/>
      </c>
      <c r="K2710" s="22">
        <f t="array" ref="K2710">IF($D2710="","",IFERROR(INDEX(MASTER_SOURCE!$C$2:$C$495,MATCH($I2710,MASTER_SOURCE!$A$2:$A$495,0)),""))</f>
        <v/>
      </c>
      <c r="L2710" s="22">
        <f t="array" ref="L2710">IF($D2710="","",IFERROR(INDEX(MASTER_SOURCE!$D$2:$D$495,MATCH($I2710,MASTER_SOURCE!$A$2:$A$495,0)),""))</f>
        <v/>
      </c>
      <c r="M2710" s="24" t="n"/>
      <c r="N2710" s="24" t="n"/>
      <c r="O2710" s="24" t="n"/>
      <c r="P2710" s="24" t="n"/>
      <c r="Q2710" s="22">
        <f>IF($D2710="","",IF(AND(OR(DANH_MUC!$L$5&lt;&gt;"Có",M2710="Có"),OR(DANH_MUC!$L$6&lt;&gt;"Có",N2710="Có"),OR(DANH_MUC!$L$7&lt;&gt;"Có",O2710="Có"),OR(DANH_MUC!$L$8&lt;&gt;"Có",P2710="Có")),"Có","Không"))</f>
        <v/>
      </c>
      <c r="R2710" s="22">
        <f>IF($D2710="","",IF(COUNTIF($D$2:$D2710,$D2710)&gt;1,"Trùng",""))</f>
        <v/>
      </c>
      <c r="S2710" s="22">
        <f>IF($D2710="","",IF(AND(LEN($D2710)=10,LEFT($D2710,1)="0",ISNUMBER(--$D2710)),"Có","Không"))</f>
        <v/>
      </c>
      <c r="T2710" s="22">
        <f>IF($D2710="","",IF(AND($C2710&lt;&gt;"",$Q2710="Có",$R2710="",$S2710="Có",AND($L2710&lt;&gt;"",OR($L2710&lt;&gt;"Chưa xác định",DANH_MUC!$L$9="Có"))),"Có","Không"))</f>
        <v/>
      </c>
      <c r="U2710" s="22">
        <f>IF(OR($D2710="",$T2710="Có"),"",IF($C2710="","Thiếu họ tên; ","")&amp;IF($S2710&lt;&gt;"Có","SĐT sai định dạng; ","")&amp;IF($R2710="Trùng","Trùng SĐT; ","")&amp;IF($Q2710&lt;&gt;"Có","Thiếu đồng ý bắt buộc; ","")&amp;IF($L2710="","Thiếu/sai Mã REF; ",IF(AND($L2710="Chưa xác định",DANH_MUC!$L$9&lt;&gt;"Có"),"Nguồn chưa xác định; ","")))</f>
        <v/>
      </c>
      <c r="V2710" s="22">
        <f>IF(OR($D2710="",$R2710="Trùng"),"",IF(COUNTIF(ORDERS!$C$2:$C$4995,$D2710)&gt;0,"Có","Không"))</f>
        <v/>
      </c>
      <c r="W2710" s="22">
        <f>IF(OR($D2710="",$R2710="Trùng"),"",COUNTIFS(ORDERS!$C$2:$C$4995,$D2710,ORDERS!$L$2:$L$4995,"Đã chuyển khoản"))</f>
        <v/>
      </c>
      <c r="X2710" s="23">
        <f>IF(OR($D2710="",$R2710="Trùng"),"",SUMIFS(ORDERS!$J$2:$J$4995,ORDERS!$C$2:$C$4995,$D2710,ORDERS!$L$2:$L$4995,"Đã chuyển khoản"))</f>
        <v/>
      </c>
      <c r="Y2710" s="24" t="n"/>
    </row>
    <row r="2711" ht="14.25" customHeight="1" s="40">
      <c r="A2711" s="24" t="n"/>
      <c r="B2711" s="27" t="n"/>
      <c r="C2711" s="24" t="n"/>
      <c r="D2711" s="28" t="n"/>
      <c r="E2711" s="29" t="n"/>
      <c r="F2711" s="24" t="n"/>
      <c r="G2711" s="24" t="n"/>
      <c r="H2711" s="21">
        <f>IF(ISNUMBER($B2711),INT($B2711)-WEEKDAY($B2711,2)+1,"")</f>
        <v/>
      </c>
      <c r="I2711" s="24" t="n"/>
      <c r="J2711" s="22">
        <f t="array" ref="J2711">IF($D2711="","",IF($I2711="","(trống REF)",IFERROR(INDEX(MASTER_SOURCE!$B$2:$B$495,MATCH($I2711,MASTER_SOURCE!$A$2:$A$495,0)),"(REF không có trong MASTER_SOURCE)")))</f>
        <v/>
      </c>
      <c r="K2711" s="22">
        <f t="array" ref="K2711">IF($D2711="","",IFERROR(INDEX(MASTER_SOURCE!$C$2:$C$495,MATCH($I2711,MASTER_SOURCE!$A$2:$A$495,0)),""))</f>
        <v/>
      </c>
      <c r="L2711" s="22">
        <f t="array" ref="L2711">IF($D2711="","",IFERROR(INDEX(MASTER_SOURCE!$D$2:$D$495,MATCH($I2711,MASTER_SOURCE!$A$2:$A$495,0)),""))</f>
        <v/>
      </c>
      <c r="M2711" s="24" t="n"/>
      <c r="N2711" s="24" t="n"/>
      <c r="O2711" s="24" t="n"/>
      <c r="P2711" s="24" t="n"/>
      <c r="Q2711" s="22">
        <f>IF($D2711="","",IF(AND(OR(DANH_MUC!$L$5&lt;&gt;"Có",M2711="Có"),OR(DANH_MUC!$L$6&lt;&gt;"Có",N2711="Có"),OR(DANH_MUC!$L$7&lt;&gt;"Có",O2711="Có"),OR(DANH_MUC!$L$8&lt;&gt;"Có",P2711="Có")),"Có","Không"))</f>
        <v/>
      </c>
      <c r="R2711" s="22">
        <f>IF($D2711="","",IF(COUNTIF($D$2:$D2711,$D2711)&gt;1,"Trùng",""))</f>
        <v/>
      </c>
      <c r="S2711" s="22">
        <f>IF($D2711="","",IF(AND(LEN($D2711)=10,LEFT($D2711,1)="0",ISNUMBER(--$D2711)),"Có","Không"))</f>
        <v/>
      </c>
      <c r="T2711" s="22">
        <f>IF($D2711="","",IF(AND($C2711&lt;&gt;"",$Q2711="Có",$R2711="",$S2711="Có",AND($L2711&lt;&gt;"",OR($L2711&lt;&gt;"Chưa xác định",DANH_MUC!$L$9="Có"))),"Có","Không"))</f>
        <v/>
      </c>
      <c r="U2711" s="22">
        <f>IF(OR($D2711="",$T2711="Có"),"",IF($C2711="","Thiếu họ tên; ","")&amp;IF($S2711&lt;&gt;"Có","SĐT sai định dạng; ","")&amp;IF($R2711="Trùng","Trùng SĐT; ","")&amp;IF($Q2711&lt;&gt;"Có","Thiếu đồng ý bắt buộc; ","")&amp;IF($L2711="","Thiếu/sai Mã REF; ",IF(AND($L2711="Chưa xác định",DANH_MUC!$L$9&lt;&gt;"Có"),"Nguồn chưa xác định; ","")))</f>
        <v/>
      </c>
      <c r="V2711" s="22">
        <f>IF(OR($D2711="",$R2711="Trùng"),"",IF(COUNTIF(ORDERS!$C$2:$C$4995,$D2711)&gt;0,"Có","Không"))</f>
        <v/>
      </c>
      <c r="W2711" s="22">
        <f>IF(OR($D2711="",$R2711="Trùng"),"",COUNTIFS(ORDERS!$C$2:$C$4995,$D2711,ORDERS!$L$2:$L$4995,"Đã chuyển khoản"))</f>
        <v/>
      </c>
      <c r="X2711" s="23">
        <f>IF(OR($D2711="",$R2711="Trùng"),"",SUMIFS(ORDERS!$J$2:$J$4995,ORDERS!$C$2:$C$4995,$D2711,ORDERS!$L$2:$L$4995,"Đã chuyển khoản"))</f>
        <v/>
      </c>
      <c r="Y2711" s="24" t="n"/>
    </row>
    <row r="2712" ht="14.25" customHeight="1" s="40">
      <c r="A2712" s="24" t="n"/>
      <c r="B2712" s="27" t="n"/>
      <c r="C2712" s="24" t="n"/>
      <c r="D2712" s="28" t="n"/>
      <c r="E2712" s="29" t="n"/>
      <c r="F2712" s="24" t="n"/>
      <c r="G2712" s="24" t="n"/>
      <c r="H2712" s="21">
        <f>IF(ISNUMBER($B2712),INT($B2712)-WEEKDAY($B2712,2)+1,"")</f>
        <v/>
      </c>
      <c r="I2712" s="24" t="n"/>
      <c r="J2712" s="22">
        <f t="array" ref="J2712">IF($D2712="","",IF($I2712="","(trống REF)",IFERROR(INDEX(MASTER_SOURCE!$B$2:$B$495,MATCH($I2712,MASTER_SOURCE!$A$2:$A$495,0)),"(REF không có trong MASTER_SOURCE)")))</f>
        <v/>
      </c>
      <c r="K2712" s="22">
        <f t="array" ref="K2712">IF($D2712="","",IFERROR(INDEX(MASTER_SOURCE!$C$2:$C$495,MATCH($I2712,MASTER_SOURCE!$A$2:$A$495,0)),""))</f>
        <v/>
      </c>
      <c r="L2712" s="22">
        <f t="array" ref="L2712">IF($D2712="","",IFERROR(INDEX(MASTER_SOURCE!$D$2:$D$495,MATCH($I2712,MASTER_SOURCE!$A$2:$A$495,0)),""))</f>
        <v/>
      </c>
      <c r="M2712" s="24" t="n"/>
      <c r="N2712" s="24" t="n"/>
      <c r="O2712" s="24" t="n"/>
      <c r="P2712" s="24" t="n"/>
      <c r="Q2712" s="22">
        <f>IF($D2712="","",IF(AND(OR(DANH_MUC!$L$5&lt;&gt;"Có",M2712="Có"),OR(DANH_MUC!$L$6&lt;&gt;"Có",N2712="Có"),OR(DANH_MUC!$L$7&lt;&gt;"Có",O2712="Có"),OR(DANH_MUC!$L$8&lt;&gt;"Có",P2712="Có")),"Có","Không"))</f>
        <v/>
      </c>
      <c r="R2712" s="22">
        <f>IF($D2712="","",IF(COUNTIF($D$2:$D2712,$D2712)&gt;1,"Trùng",""))</f>
        <v/>
      </c>
      <c r="S2712" s="22">
        <f>IF($D2712="","",IF(AND(LEN($D2712)=10,LEFT($D2712,1)="0",ISNUMBER(--$D2712)),"Có","Không"))</f>
        <v/>
      </c>
      <c r="T2712" s="22">
        <f>IF($D2712="","",IF(AND($C2712&lt;&gt;"",$Q2712="Có",$R2712="",$S2712="Có",AND($L2712&lt;&gt;"",OR($L2712&lt;&gt;"Chưa xác định",DANH_MUC!$L$9="Có"))),"Có","Không"))</f>
        <v/>
      </c>
      <c r="U2712" s="22">
        <f>IF(OR($D2712="",$T2712="Có"),"",IF($C2712="","Thiếu họ tên; ","")&amp;IF($S2712&lt;&gt;"Có","SĐT sai định dạng; ","")&amp;IF($R2712="Trùng","Trùng SĐT; ","")&amp;IF($Q2712&lt;&gt;"Có","Thiếu đồng ý bắt buộc; ","")&amp;IF($L2712="","Thiếu/sai Mã REF; ",IF(AND($L2712="Chưa xác định",DANH_MUC!$L$9&lt;&gt;"Có"),"Nguồn chưa xác định; ","")))</f>
        <v/>
      </c>
      <c r="V2712" s="22">
        <f>IF(OR($D2712="",$R2712="Trùng"),"",IF(COUNTIF(ORDERS!$C$2:$C$4995,$D2712)&gt;0,"Có","Không"))</f>
        <v/>
      </c>
      <c r="W2712" s="22">
        <f>IF(OR($D2712="",$R2712="Trùng"),"",COUNTIFS(ORDERS!$C$2:$C$4995,$D2712,ORDERS!$L$2:$L$4995,"Đã chuyển khoản"))</f>
        <v/>
      </c>
      <c r="X2712" s="23">
        <f>IF(OR($D2712="",$R2712="Trùng"),"",SUMIFS(ORDERS!$J$2:$J$4995,ORDERS!$C$2:$C$4995,$D2712,ORDERS!$L$2:$L$4995,"Đã chuyển khoản"))</f>
        <v/>
      </c>
      <c r="Y2712" s="24" t="n"/>
    </row>
    <row r="2713" ht="14.25" customHeight="1" s="40">
      <c r="A2713" s="24" t="n"/>
      <c r="B2713" s="27" t="n"/>
      <c r="C2713" s="24" t="n"/>
      <c r="D2713" s="28" t="n"/>
      <c r="E2713" s="29" t="n"/>
      <c r="F2713" s="24" t="n"/>
      <c r="G2713" s="24" t="n"/>
      <c r="H2713" s="21">
        <f>IF(ISNUMBER($B2713),INT($B2713)-WEEKDAY($B2713,2)+1,"")</f>
        <v/>
      </c>
      <c r="I2713" s="24" t="n"/>
      <c r="J2713" s="22">
        <f t="array" ref="J2713">IF($D2713="","",IF($I2713="","(trống REF)",IFERROR(INDEX(MASTER_SOURCE!$B$2:$B$495,MATCH($I2713,MASTER_SOURCE!$A$2:$A$495,0)),"(REF không có trong MASTER_SOURCE)")))</f>
        <v/>
      </c>
      <c r="K2713" s="22">
        <f t="array" ref="K2713">IF($D2713="","",IFERROR(INDEX(MASTER_SOURCE!$C$2:$C$495,MATCH($I2713,MASTER_SOURCE!$A$2:$A$495,0)),""))</f>
        <v/>
      </c>
      <c r="L2713" s="22">
        <f t="array" ref="L2713">IF($D2713="","",IFERROR(INDEX(MASTER_SOURCE!$D$2:$D$495,MATCH($I2713,MASTER_SOURCE!$A$2:$A$495,0)),""))</f>
        <v/>
      </c>
      <c r="M2713" s="24" t="n"/>
      <c r="N2713" s="24" t="n"/>
      <c r="O2713" s="24" t="n"/>
      <c r="P2713" s="24" t="n"/>
      <c r="Q2713" s="22">
        <f>IF($D2713="","",IF(AND(OR(DANH_MUC!$L$5&lt;&gt;"Có",M2713="Có"),OR(DANH_MUC!$L$6&lt;&gt;"Có",N2713="Có"),OR(DANH_MUC!$L$7&lt;&gt;"Có",O2713="Có"),OR(DANH_MUC!$L$8&lt;&gt;"Có",P2713="Có")),"Có","Không"))</f>
        <v/>
      </c>
      <c r="R2713" s="22">
        <f>IF($D2713="","",IF(COUNTIF($D$2:$D2713,$D2713)&gt;1,"Trùng",""))</f>
        <v/>
      </c>
      <c r="S2713" s="22">
        <f>IF($D2713="","",IF(AND(LEN($D2713)=10,LEFT($D2713,1)="0",ISNUMBER(--$D2713)),"Có","Không"))</f>
        <v/>
      </c>
      <c r="T2713" s="22">
        <f>IF($D2713="","",IF(AND($C2713&lt;&gt;"",$Q2713="Có",$R2713="",$S2713="Có",AND($L2713&lt;&gt;"",OR($L2713&lt;&gt;"Chưa xác định",DANH_MUC!$L$9="Có"))),"Có","Không"))</f>
        <v/>
      </c>
      <c r="U2713" s="22">
        <f>IF(OR($D2713="",$T2713="Có"),"",IF($C2713="","Thiếu họ tên; ","")&amp;IF($S2713&lt;&gt;"Có","SĐT sai định dạng; ","")&amp;IF($R2713="Trùng","Trùng SĐT; ","")&amp;IF($Q2713&lt;&gt;"Có","Thiếu đồng ý bắt buộc; ","")&amp;IF($L2713="","Thiếu/sai Mã REF; ",IF(AND($L2713="Chưa xác định",DANH_MUC!$L$9&lt;&gt;"Có"),"Nguồn chưa xác định; ","")))</f>
        <v/>
      </c>
      <c r="V2713" s="22">
        <f>IF(OR($D2713="",$R2713="Trùng"),"",IF(COUNTIF(ORDERS!$C$2:$C$4995,$D2713)&gt;0,"Có","Không"))</f>
        <v/>
      </c>
      <c r="W2713" s="22">
        <f>IF(OR($D2713="",$R2713="Trùng"),"",COUNTIFS(ORDERS!$C$2:$C$4995,$D2713,ORDERS!$L$2:$L$4995,"Đã chuyển khoản"))</f>
        <v/>
      </c>
      <c r="X2713" s="23">
        <f>IF(OR($D2713="",$R2713="Trùng"),"",SUMIFS(ORDERS!$J$2:$J$4995,ORDERS!$C$2:$C$4995,$D2713,ORDERS!$L$2:$L$4995,"Đã chuyển khoản"))</f>
        <v/>
      </c>
      <c r="Y2713" s="24" t="n"/>
    </row>
    <row r="2714" ht="14.25" customHeight="1" s="40">
      <c r="A2714" s="24" t="n"/>
      <c r="B2714" s="27" t="n"/>
      <c r="C2714" s="24" t="n"/>
      <c r="D2714" s="28" t="n"/>
      <c r="E2714" s="29" t="n"/>
      <c r="F2714" s="24" t="n"/>
      <c r="G2714" s="24" t="n"/>
      <c r="H2714" s="21">
        <f>IF(ISNUMBER($B2714),INT($B2714)-WEEKDAY($B2714,2)+1,"")</f>
        <v/>
      </c>
      <c r="I2714" s="24" t="n"/>
      <c r="J2714" s="22">
        <f t="array" ref="J2714">IF($D2714="","",IF($I2714="","(trống REF)",IFERROR(INDEX(MASTER_SOURCE!$B$2:$B$495,MATCH($I2714,MASTER_SOURCE!$A$2:$A$495,0)),"(REF không có trong MASTER_SOURCE)")))</f>
        <v/>
      </c>
      <c r="K2714" s="22">
        <f t="array" ref="K2714">IF($D2714="","",IFERROR(INDEX(MASTER_SOURCE!$C$2:$C$495,MATCH($I2714,MASTER_SOURCE!$A$2:$A$495,0)),""))</f>
        <v/>
      </c>
      <c r="L2714" s="22">
        <f t="array" ref="L2714">IF($D2714="","",IFERROR(INDEX(MASTER_SOURCE!$D$2:$D$495,MATCH($I2714,MASTER_SOURCE!$A$2:$A$495,0)),""))</f>
        <v/>
      </c>
      <c r="M2714" s="24" t="n"/>
      <c r="N2714" s="24" t="n"/>
      <c r="O2714" s="24" t="n"/>
      <c r="P2714" s="24" t="n"/>
      <c r="Q2714" s="22">
        <f>IF($D2714="","",IF(AND(OR(DANH_MUC!$L$5&lt;&gt;"Có",M2714="Có"),OR(DANH_MUC!$L$6&lt;&gt;"Có",N2714="Có"),OR(DANH_MUC!$L$7&lt;&gt;"Có",O2714="Có"),OR(DANH_MUC!$L$8&lt;&gt;"Có",P2714="Có")),"Có","Không"))</f>
        <v/>
      </c>
      <c r="R2714" s="22">
        <f>IF($D2714="","",IF(COUNTIF($D$2:$D2714,$D2714)&gt;1,"Trùng",""))</f>
        <v/>
      </c>
      <c r="S2714" s="22">
        <f>IF($D2714="","",IF(AND(LEN($D2714)=10,LEFT($D2714,1)="0",ISNUMBER(--$D2714)),"Có","Không"))</f>
        <v/>
      </c>
      <c r="T2714" s="22">
        <f>IF($D2714="","",IF(AND($C2714&lt;&gt;"",$Q2714="Có",$R2714="",$S2714="Có",AND($L2714&lt;&gt;"",OR($L2714&lt;&gt;"Chưa xác định",DANH_MUC!$L$9="Có"))),"Có","Không"))</f>
        <v/>
      </c>
      <c r="U2714" s="22">
        <f>IF(OR($D2714="",$T2714="Có"),"",IF($C2714="","Thiếu họ tên; ","")&amp;IF($S2714&lt;&gt;"Có","SĐT sai định dạng; ","")&amp;IF($R2714="Trùng","Trùng SĐT; ","")&amp;IF($Q2714&lt;&gt;"Có","Thiếu đồng ý bắt buộc; ","")&amp;IF($L2714="","Thiếu/sai Mã REF; ",IF(AND($L2714="Chưa xác định",DANH_MUC!$L$9&lt;&gt;"Có"),"Nguồn chưa xác định; ","")))</f>
        <v/>
      </c>
      <c r="V2714" s="22">
        <f>IF(OR($D2714="",$R2714="Trùng"),"",IF(COUNTIF(ORDERS!$C$2:$C$4995,$D2714)&gt;0,"Có","Không"))</f>
        <v/>
      </c>
      <c r="W2714" s="22">
        <f>IF(OR($D2714="",$R2714="Trùng"),"",COUNTIFS(ORDERS!$C$2:$C$4995,$D2714,ORDERS!$L$2:$L$4995,"Đã chuyển khoản"))</f>
        <v/>
      </c>
      <c r="X2714" s="23">
        <f>IF(OR($D2714="",$R2714="Trùng"),"",SUMIFS(ORDERS!$J$2:$J$4995,ORDERS!$C$2:$C$4995,$D2714,ORDERS!$L$2:$L$4995,"Đã chuyển khoản"))</f>
        <v/>
      </c>
      <c r="Y2714" s="24" t="n"/>
    </row>
    <row r="2715" ht="14.25" customHeight="1" s="40">
      <c r="A2715" s="24" t="n"/>
      <c r="B2715" s="27" t="n"/>
      <c r="C2715" s="24" t="n"/>
      <c r="D2715" s="28" t="n"/>
      <c r="E2715" s="29" t="n"/>
      <c r="F2715" s="24" t="n"/>
      <c r="G2715" s="24" t="n"/>
      <c r="H2715" s="21">
        <f>IF(ISNUMBER($B2715),INT($B2715)-WEEKDAY($B2715,2)+1,"")</f>
        <v/>
      </c>
      <c r="I2715" s="24" t="n"/>
      <c r="J2715" s="22">
        <f t="array" ref="J2715">IF($D2715="","",IF($I2715="","(trống REF)",IFERROR(INDEX(MASTER_SOURCE!$B$2:$B$495,MATCH($I2715,MASTER_SOURCE!$A$2:$A$495,0)),"(REF không có trong MASTER_SOURCE)")))</f>
        <v/>
      </c>
      <c r="K2715" s="22">
        <f t="array" ref="K2715">IF($D2715="","",IFERROR(INDEX(MASTER_SOURCE!$C$2:$C$495,MATCH($I2715,MASTER_SOURCE!$A$2:$A$495,0)),""))</f>
        <v/>
      </c>
      <c r="L2715" s="22">
        <f t="array" ref="L2715">IF($D2715="","",IFERROR(INDEX(MASTER_SOURCE!$D$2:$D$495,MATCH($I2715,MASTER_SOURCE!$A$2:$A$495,0)),""))</f>
        <v/>
      </c>
      <c r="M2715" s="24" t="n"/>
      <c r="N2715" s="24" t="n"/>
      <c r="O2715" s="24" t="n"/>
      <c r="P2715" s="24" t="n"/>
      <c r="Q2715" s="22">
        <f>IF($D2715="","",IF(AND(OR(DANH_MUC!$L$5&lt;&gt;"Có",M2715="Có"),OR(DANH_MUC!$L$6&lt;&gt;"Có",N2715="Có"),OR(DANH_MUC!$L$7&lt;&gt;"Có",O2715="Có"),OR(DANH_MUC!$L$8&lt;&gt;"Có",P2715="Có")),"Có","Không"))</f>
        <v/>
      </c>
      <c r="R2715" s="22">
        <f>IF($D2715="","",IF(COUNTIF($D$2:$D2715,$D2715)&gt;1,"Trùng",""))</f>
        <v/>
      </c>
      <c r="S2715" s="22">
        <f>IF($D2715="","",IF(AND(LEN($D2715)=10,LEFT($D2715,1)="0",ISNUMBER(--$D2715)),"Có","Không"))</f>
        <v/>
      </c>
      <c r="T2715" s="22">
        <f>IF($D2715="","",IF(AND($C2715&lt;&gt;"",$Q2715="Có",$R2715="",$S2715="Có",AND($L2715&lt;&gt;"",OR($L2715&lt;&gt;"Chưa xác định",DANH_MUC!$L$9="Có"))),"Có","Không"))</f>
        <v/>
      </c>
      <c r="U2715" s="22">
        <f>IF(OR($D2715="",$T2715="Có"),"",IF($C2715="","Thiếu họ tên; ","")&amp;IF($S2715&lt;&gt;"Có","SĐT sai định dạng; ","")&amp;IF($R2715="Trùng","Trùng SĐT; ","")&amp;IF($Q2715&lt;&gt;"Có","Thiếu đồng ý bắt buộc; ","")&amp;IF($L2715="","Thiếu/sai Mã REF; ",IF(AND($L2715="Chưa xác định",DANH_MUC!$L$9&lt;&gt;"Có"),"Nguồn chưa xác định; ","")))</f>
        <v/>
      </c>
      <c r="V2715" s="22">
        <f>IF(OR($D2715="",$R2715="Trùng"),"",IF(COUNTIF(ORDERS!$C$2:$C$4995,$D2715)&gt;0,"Có","Không"))</f>
        <v/>
      </c>
      <c r="W2715" s="22">
        <f>IF(OR($D2715="",$R2715="Trùng"),"",COUNTIFS(ORDERS!$C$2:$C$4995,$D2715,ORDERS!$L$2:$L$4995,"Đã chuyển khoản"))</f>
        <v/>
      </c>
      <c r="X2715" s="23">
        <f>IF(OR($D2715="",$R2715="Trùng"),"",SUMIFS(ORDERS!$J$2:$J$4995,ORDERS!$C$2:$C$4995,$D2715,ORDERS!$L$2:$L$4995,"Đã chuyển khoản"))</f>
        <v/>
      </c>
      <c r="Y2715" s="24" t="n"/>
    </row>
    <row r="2716" ht="14.25" customHeight="1" s="40">
      <c r="A2716" s="24" t="n"/>
      <c r="B2716" s="27" t="n"/>
      <c r="C2716" s="24" t="n"/>
      <c r="D2716" s="28" t="n"/>
      <c r="E2716" s="29" t="n"/>
      <c r="F2716" s="24" t="n"/>
      <c r="G2716" s="24" t="n"/>
      <c r="H2716" s="21">
        <f>IF(ISNUMBER($B2716),INT($B2716)-WEEKDAY($B2716,2)+1,"")</f>
        <v/>
      </c>
      <c r="I2716" s="24" t="n"/>
      <c r="J2716" s="22">
        <f t="array" ref="J2716">IF($D2716="","",IF($I2716="","(trống REF)",IFERROR(INDEX(MASTER_SOURCE!$B$2:$B$495,MATCH($I2716,MASTER_SOURCE!$A$2:$A$495,0)),"(REF không có trong MASTER_SOURCE)")))</f>
        <v/>
      </c>
      <c r="K2716" s="22">
        <f t="array" ref="K2716">IF($D2716="","",IFERROR(INDEX(MASTER_SOURCE!$C$2:$C$495,MATCH($I2716,MASTER_SOURCE!$A$2:$A$495,0)),""))</f>
        <v/>
      </c>
      <c r="L2716" s="22">
        <f t="array" ref="L2716">IF($D2716="","",IFERROR(INDEX(MASTER_SOURCE!$D$2:$D$495,MATCH($I2716,MASTER_SOURCE!$A$2:$A$495,0)),""))</f>
        <v/>
      </c>
      <c r="M2716" s="24" t="n"/>
      <c r="N2716" s="24" t="n"/>
      <c r="O2716" s="24" t="n"/>
      <c r="P2716" s="24" t="n"/>
      <c r="Q2716" s="22">
        <f>IF($D2716="","",IF(AND(OR(DANH_MUC!$L$5&lt;&gt;"Có",M2716="Có"),OR(DANH_MUC!$L$6&lt;&gt;"Có",N2716="Có"),OR(DANH_MUC!$L$7&lt;&gt;"Có",O2716="Có"),OR(DANH_MUC!$L$8&lt;&gt;"Có",P2716="Có")),"Có","Không"))</f>
        <v/>
      </c>
      <c r="R2716" s="22">
        <f>IF($D2716="","",IF(COUNTIF($D$2:$D2716,$D2716)&gt;1,"Trùng",""))</f>
        <v/>
      </c>
      <c r="S2716" s="22">
        <f>IF($D2716="","",IF(AND(LEN($D2716)=10,LEFT($D2716,1)="0",ISNUMBER(--$D2716)),"Có","Không"))</f>
        <v/>
      </c>
      <c r="T2716" s="22">
        <f>IF($D2716="","",IF(AND($C2716&lt;&gt;"",$Q2716="Có",$R2716="",$S2716="Có",AND($L2716&lt;&gt;"",OR($L2716&lt;&gt;"Chưa xác định",DANH_MUC!$L$9="Có"))),"Có","Không"))</f>
        <v/>
      </c>
      <c r="U2716" s="22">
        <f>IF(OR($D2716="",$T2716="Có"),"",IF($C2716="","Thiếu họ tên; ","")&amp;IF($S2716&lt;&gt;"Có","SĐT sai định dạng; ","")&amp;IF($R2716="Trùng","Trùng SĐT; ","")&amp;IF($Q2716&lt;&gt;"Có","Thiếu đồng ý bắt buộc; ","")&amp;IF($L2716="","Thiếu/sai Mã REF; ",IF(AND($L2716="Chưa xác định",DANH_MUC!$L$9&lt;&gt;"Có"),"Nguồn chưa xác định; ","")))</f>
        <v/>
      </c>
      <c r="V2716" s="22">
        <f>IF(OR($D2716="",$R2716="Trùng"),"",IF(COUNTIF(ORDERS!$C$2:$C$4995,$D2716)&gt;0,"Có","Không"))</f>
        <v/>
      </c>
      <c r="W2716" s="22">
        <f>IF(OR($D2716="",$R2716="Trùng"),"",COUNTIFS(ORDERS!$C$2:$C$4995,$D2716,ORDERS!$L$2:$L$4995,"Đã chuyển khoản"))</f>
        <v/>
      </c>
      <c r="X2716" s="23">
        <f>IF(OR($D2716="",$R2716="Trùng"),"",SUMIFS(ORDERS!$J$2:$J$4995,ORDERS!$C$2:$C$4995,$D2716,ORDERS!$L$2:$L$4995,"Đã chuyển khoản"))</f>
        <v/>
      </c>
      <c r="Y2716" s="24" t="n"/>
    </row>
    <row r="2717" ht="14.25" customHeight="1" s="40">
      <c r="A2717" s="24" t="n"/>
      <c r="B2717" s="27" t="n"/>
      <c r="C2717" s="24" t="n"/>
      <c r="D2717" s="28" t="n"/>
      <c r="E2717" s="29" t="n"/>
      <c r="F2717" s="24" t="n"/>
      <c r="G2717" s="24" t="n"/>
      <c r="H2717" s="21">
        <f>IF(ISNUMBER($B2717),INT($B2717)-WEEKDAY($B2717,2)+1,"")</f>
        <v/>
      </c>
      <c r="I2717" s="24" t="n"/>
      <c r="J2717" s="22">
        <f t="array" ref="J2717">IF($D2717="","",IF($I2717="","(trống REF)",IFERROR(INDEX(MASTER_SOURCE!$B$2:$B$495,MATCH($I2717,MASTER_SOURCE!$A$2:$A$495,0)),"(REF không có trong MASTER_SOURCE)")))</f>
        <v/>
      </c>
      <c r="K2717" s="22">
        <f t="array" ref="K2717">IF($D2717="","",IFERROR(INDEX(MASTER_SOURCE!$C$2:$C$495,MATCH($I2717,MASTER_SOURCE!$A$2:$A$495,0)),""))</f>
        <v/>
      </c>
      <c r="L2717" s="22">
        <f t="array" ref="L2717">IF($D2717="","",IFERROR(INDEX(MASTER_SOURCE!$D$2:$D$495,MATCH($I2717,MASTER_SOURCE!$A$2:$A$495,0)),""))</f>
        <v/>
      </c>
      <c r="M2717" s="24" t="n"/>
      <c r="N2717" s="24" t="n"/>
      <c r="O2717" s="24" t="n"/>
      <c r="P2717" s="24" t="n"/>
      <c r="Q2717" s="22">
        <f>IF($D2717="","",IF(AND(OR(DANH_MUC!$L$5&lt;&gt;"Có",M2717="Có"),OR(DANH_MUC!$L$6&lt;&gt;"Có",N2717="Có"),OR(DANH_MUC!$L$7&lt;&gt;"Có",O2717="Có"),OR(DANH_MUC!$L$8&lt;&gt;"Có",P2717="Có")),"Có","Không"))</f>
        <v/>
      </c>
      <c r="R2717" s="22">
        <f>IF($D2717="","",IF(COUNTIF($D$2:$D2717,$D2717)&gt;1,"Trùng",""))</f>
        <v/>
      </c>
      <c r="S2717" s="22">
        <f>IF($D2717="","",IF(AND(LEN($D2717)=10,LEFT($D2717,1)="0",ISNUMBER(--$D2717)),"Có","Không"))</f>
        <v/>
      </c>
      <c r="T2717" s="22">
        <f>IF($D2717="","",IF(AND($C2717&lt;&gt;"",$Q2717="Có",$R2717="",$S2717="Có",AND($L2717&lt;&gt;"",OR($L2717&lt;&gt;"Chưa xác định",DANH_MUC!$L$9="Có"))),"Có","Không"))</f>
        <v/>
      </c>
      <c r="U2717" s="22">
        <f>IF(OR($D2717="",$T2717="Có"),"",IF($C2717="","Thiếu họ tên; ","")&amp;IF($S2717&lt;&gt;"Có","SĐT sai định dạng; ","")&amp;IF($R2717="Trùng","Trùng SĐT; ","")&amp;IF($Q2717&lt;&gt;"Có","Thiếu đồng ý bắt buộc; ","")&amp;IF($L2717="","Thiếu/sai Mã REF; ",IF(AND($L2717="Chưa xác định",DANH_MUC!$L$9&lt;&gt;"Có"),"Nguồn chưa xác định; ","")))</f>
        <v/>
      </c>
      <c r="V2717" s="22">
        <f>IF(OR($D2717="",$R2717="Trùng"),"",IF(COUNTIF(ORDERS!$C$2:$C$4995,$D2717)&gt;0,"Có","Không"))</f>
        <v/>
      </c>
      <c r="W2717" s="22">
        <f>IF(OR($D2717="",$R2717="Trùng"),"",COUNTIFS(ORDERS!$C$2:$C$4995,$D2717,ORDERS!$L$2:$L$4995,"Đã chuyển khoản"))</f>
        <v/>
      </c>
      <c r="X2717" s="23">
        <f>IF(OR($D2717="",$R2717="Trùng"),"",SUMIFS(ORDERS!$J$2:$J$4995,ORDERS!$C$2:$C$4995,$D2717,ORDERS!$L$2:$L$4995,"Đã chuyển khoản"))</f>
        <v/>
      </c>
      <c r="Y2717" s="24" t="n"/>
    </row>
    <row r="2718" ht="14.25" customHeight="1" s="40">
      <c r="A2718" s="24" t="n"/>
      <c r="B2718" s="27" t="n"/>
      <c r="C2718" s="24" t="n"/>
      <c r="D2718" s="28" t="n"/>
      <c r="E2718" s="29" t="n"/>
      <c r="F2718" s="24" t="n"/>
      <c r="G2718" s="24" t="n"/>
      <c r="H2718" s="21">
        <f>IF(ISNUMBER($B2718),INT($B2718)-WEEKDAY($B2718,2)+1,"")</f>
        <v/>
      </c>
      <c r="I2718" s="24" t="n"/>
      <c r="J2718" s="22">
        <f t="array" ref="J2718">IF($D2718="","",IF($I2718="","(trống REF)",IFERROR(INDEX(MASTER_SOURCE!$B$2:$B$495,MATCH($I2718,MASTER_SOURCE!$A$2:$A$495,0)),"(REF không có trong MASTER_SOURCE)")))</f>
        <v/>
      </c>
      <c r="K2718" s="22">
        <f t="array" ref="K2718">IF($D2718="","",IFERROR(INDEX(MASTER_SOURCE!$C$2:$C$495,MATCH($I2718,MASTER_SOURCE!$A$2:$A$495,0)),""))</f>
        <v/>
      </c>
      <c r="L2718" s="22">
        <f t="array" ref="L2718">IF($D2718="","",IFERROR(INDEX(MASTER_SOURCE!$D$2:$D$495,MATCH($I2718,MASTER_SOURCE!$A$2:$A$495,0)),""))</f>
        <v/>
      </c>
      <c r="M2718" s="24" t="n"/>
      <c r="N2718" s="24" t="n"/>
      <c r="O2718" s="24" t="n"/>
      <c r="P2718" s="24" t="n"/>
      <c r="Q2718" s="22">
        <f>IF($D2718="","",IF(AND(OR(DANH_MUC!$L$5&lt;&gt;"Có",M2718="Có"),OR(DANH_MUC!$L$6&lt;&gt;"Có",N2718="Có"),OR(DANH_MUC!$L$7&lt;&gt;"Có",O2718="Có"),OR(DANH_MUC!$L$8&lt;&gt;"Có",P2718="Có")),"Có","Không"))</f>
        <v/>
      </c>
      <c r="R2718" s="22">
        <f>IF($D2718="","",IF(COUNTIF($D$2:$D2718,$D2718)&gt;1,"Trùng",""))</f>
        <v/>
      </c>
      <c r="S2718" s="22">
        <f>IF($D2718="","",IF(AND(LEN($D2718)=10,LEFT($D2718,1)="0",ISNUMBER(--$D2718)),"Có","Không"))</f>
        <v/>
      </c>
      <c r="T2718" s="22">
        <f>IF($D2718="","",IF(AND($C2718&lt;&gt;"",$Q2718="Có",$R2718="",$S2718="Có",AND($L2718&lt;&gt;"",OR($L2718&lt;&gt;"Chưa xác định",DANH_MUC!$L$9="Có"))),"Có","Không"))</f>
        <v/>
      </c>
      <c r="U2718" s="22">
        <f>IF(OR($D2718="",$T2718="Có"),"",IF($C2718="","Thiếu họ tên; ","")&amp;IF($S2718&lt;&gt;"Có","SĐT sai định dạng; ","")&amp;IF($R2718="Trùng","Trùng SĐT; ","")&amp;IF($Q2718&lt;&gt;"Có","Thiếu đồng ý bắt buộc; ","")&amp;IF($L2718="","Thiếu/sai Mã REF; ",IF(AND($L2718="Chưa xác định",DANH_MUC!$L$9&lt;&gt;"Có"),"Nguồn chưa xác định; ","")))</f>
        <v/>
      </c>
      <c r="V2718" s="22">
        <f>IF(OR($D2718="",$R2718="Trùng"),"",IF(COUNTIF(ORDERS!$C$2:$C$4995,$D2718)&gt;0,"Có","Không"))</f>
        <v/>
      </c>
      <c r="W2718" s="22">
        <f>IF(OR($D2718="",$R2718="Trùng"),"",COUNTIFS(ORDERS!$C$2:$C$4995,$D2718,ORDERS!$L$2:$L$4995,"Đã chuyển khoản"))</f>
        <v/>
      </c>
      <c r="X2718" s="23">
        <f>IF(OR($D2718="",$R2718="Trùng"),"",SUMIFS(ORDERS!$J$2:$J$4995,ORDERS!$C$2:$C$4995,$D2718,ORDERS!$L$2:$L$4995,"Đã chuyển khoản"))</f>
        <v/>
      </c>
      <c r="Y2718" s="24" t="n"/>
    </row>
    <row r="2719" ht="14.25" customHeight="1" s="40">
      <c r="A2719" s="24" t="n"/>
      <c r="B2719" s="27" t="n"/>
      <c r="C2719" s="24" t="n"/>
      <c r="D2719" s="28" t="n"/>
      <c r="E2719" s="29" t="n"/>
      <c r="F2719" s="24" t="n"/>
      <c r="G2719" s="24" t="n"/>
      <c r="H2719" s="21">
        <f>IF(ISNUMBER($B2719),INT($B2719)-WEEKDAY($B2719,2)+1,"")</f>
        <v/>
      </c>
      <c r="I2719" s="24" t="n"/>
      <c r="J2719" s="22">
        <f t="array" ref="J2719">IF($D2719="","",IF($I2719="","(trống REF)",IFERROR(INDEX(MASTER_SOURCE!$B$2:$B$495,MATCH($I2719,MASTER_SOURCE!$A$2:$A$495,0)),"(REF không có trong MASTER_SOURCE)")))</f>
        <v/>
      </c>
      <c r="K2719" s="22">
        <f t="array" ref="K2719">IF($D2719="","",IFERROR(INDEX(MASTER_SOURCE!$C$2:$C$495,MATCH($I2719,MASTER_SOURCE!$A$2:$A$495,0)),""))</f>
        <v/>
      </c>
      <c r="L2719" s="22">
        <f t="array" ref="L2719">IF($D2719="","",IFERROR(INDEX(MASTER_SOURCE!$D$2:$D$495,MATCH($I2719,MASTER_SOURCE!$A$2:$A$495,0)),""))</f>
        <v/>
      </c>
      <c r="M2719" s="24" t="n"/>
      <c r="N2719" s="24" t="n"/>
      <c r="O2719" s="24" t="n"/>
      <c r="P2719" s="24" t="n"/>
      <c r="Q2719" s="22">
        <f>IF($D2719="","",IF(AND(OR(DANH_MUC!$L$5&lt;&gt;"Có",M2719="Có"),OR(DANH_MUC!$L$6&lt;&gt;"Có",N2719="Có"),OR(DANH_MUC!$L$7&lt;&gt;"Có",O2719="Có"),OR(DANH_MUC!$L$8&lt;&gt;"Có",P2719="Có")),"Có","Không"))</f>
        <v/>
      </c>
      <c r="R2719" s="22">
        <f>IF($D2719="","",IF(COUNTIF($D$2:$D2719,$D2719)&gt;1,"Trùng",""))</f>
        <v/>
      </c>
      <c r="S2719" s="22">
        <f>IF($D2719="","",IF(AND(LEN($D2719)=10,LEFT($D2719,1)="0",ISNUMBER(--$D2719)),"Có","Không"))</f>
        <v/>
      </c>
      <c r="T2719" s="22">
        <f>IF($D2719="","",IF(AND($C2719&lt;&gt;"",$Q2719="Có",$R2719="",$S2719="Có",AND($L2719&lt;&gt;"",OR($L2719&lt;&gt;"Chưa xác định",DANH_MUC!$L$9="Có"))),"Có","Không"))</f>
        <v/>
      </c>
      <c r="U2719" s="22">
        <f>IF(OR($D2719="",$T2719="Có"),"",IF($C2719="","Thiếu họ tên; ","")&amp;IF($S2719&lt;&gt;"Có","SĐT sai định dạng; ","")&amp;IF($R2719="Trùng","Trùng SĐT; ","")&amp;IF($Q2719&lt;&gt;"Có","Thiếu đồng ý bắt buộc; ","")&amp;IF($L2719="","Thiếu/sai Mã REF; ",IF(AND($L2719="Chưa xác định",DANH_MUC!$L$9&lt;&gt;"Có"),"Nguồn chưa xác định; ","")))</f>
        <v/>
      </c>
      <c r="V2719" s="22">
        <f>IF(OR($D2719="",$R2719="Trùng"),"",IF(COUNTIF(ORDERS!$C$2:$C$4995,$D2719)&gt;0,"Có","Không"))</f>
        <v/>
      </c>
      <c r="W2719" s="22">
        <f>IF(OR($D2719="",$R2719="Trùng"),"",COUNTIFS(ORDERS!$C$2:$C$4995,$D2719,ORDERS!$L$2:$L$4995,"Đã chuyển khoản"))</f>
        <v/>
      </c>
      <c r="X2719" s="23">
        <f>IF(OR($D2719="",$R2719="Trùng"),"",SUMIFS(ORDERS!$J$2:$J$4995,ORDERS!$C$2:$C$4995,$D2719,ORDERS!$L$2:$L$4995,"Đã chuyển khoản"))</f>
        <v/>
      </c>
      <c r="Y2719" s="24" t="n"/>
    </row>
    <row r="2720" ht="14.25" customHeight="1" s="40">
      <c r="A2720" s="24" t="n"/>
      <c r="B2720" s="27" t="n"/>
      <c r="C2720" s="24" t="n"/>
      <c r="D2720" s="28" t="n"/>
      <c r="E2720" s="29" t="n"/>
      <c r="F2720" s="24" t="n"/>
      <c r="G2720" s="24" t="n"/>
      <c r="H2720" s="21">
        <f>IF(ISNUMBER($B2720),INT($B2720)-WEEKDAY($B2720,2)+1,"")</f>
        <v/>
      </c>
      <c r="I2720" s="24" t="n"/>
      <c r="J2720" s="22">
        <f t="array" ref="J2720">IF($D2720="","",IF($I2720="","(trống REF)",IFERROR(INDEX(MASTER_SOURCE!$B$2:$B$495,MATCH($I2720,MASTER_SOURCE!$A$2:$A$495,0)),"(REF không có trong MASTER_SOURCE)")))</f>
        <v/>
      </c>
      <c r="K2720" s="22">
        <f t="array" ref="K2720">IF($D2720="","",IFERROR(INDEX(MASTER_SOURCE!$C$2:$C$495,MATCH($I2720,MASTER_SOURCE!$A$2:$A$495,0)),""))</f>
        <v/>
      </c>
      <c r="L2720" s="22">
        <f t="array" ref="L2720">IF($D2720="","",IFERROR(INDEX(MASTER_SOURCE!$D$2:$D$495,MATCH($I2720,MASTER_SOURCE!$A$2:$A$495,0)),""))</f>
        <v/>
      </c>
      <c r="M2720" s="24" t="n"/>
      <c r="N2720" s="24" t="n"/>
      <c r="O2720" s="24" t="n"/>
      <c r="P2720" s="24" t="n"/>
      <c r="Q2720" s="22">
        <f>IF($D2720="","",IF(AND(OR(DANH_MUC!$L$5&lt;&gt;"Có",M2720="Có"),OR(DANH_MUC!$L$6&lt;&gt;"Có",N2720="Có"),OR(DANH_MUC!$L$7&lt;&gt;"Có",O2720="Có"),OR(DANH_MUC!$L$8&lt;&gt;"Có",P2720="Có")),"Có","Không"))</f>
        <v/>
      </c>
      <c r="R2720" s="22">
        <f>IF($D2720="","",IF(COUNTIF($D$2:$D2720,$D2720)&gt;1,"Trùng",""))</f>
        <v/>
      </c>
      <c r="S2720" s="22">
        <f>IF($D2720="","",IF(AND(LEN($D2720)=10,LEFT($D2720,1)="0",ISNUMBER(--$D2720)),"Có","Không"))</f>
        <v/>
      </c>
      <c r="T2720" s="22">
        <f>IF($D2720="","",IF(AND($C2720&lt;&gt;"",$Q2720="Có",$R2720="",$S2720="Có",AND($L2720&lt;&gt;"",OR($L2720&lt;&gt;"Chưa xác định",DANH_MUC!$L$9="Có"))),"Có","Không"))</f>
        <v/>
      </c>
      <c r="U2720" s="22">
        <f>IF(OR($D2720="",$T2720="Có"),"",IF($C2720="","Thiếu họ tên; ","")&amp;IF($S2720&lt;&gt;"Có","SĐT sai định dạng; ","")&amp;IF($R2720="Trùng","Trùng SĐT; ","")&amp;IF($Q2720&lt;&gt;"Có","Thiếu đồng ý bắt buộc; ","")&amp;IF($L2720="","Thiếu/sai Mã REF; ",IF(AND($L2720="Chưa xác định",DANH_MUC!$L$9&lt;&gt;"Có"),"Nguồn chưa xác định; ","")))</f>
        <v/>
      </c>
      <c r="V2720" s="22">
        <f>IF(OR($D2720="",$R2720="Trùng"),"",IF(COUNTIF(ORDERS!$C$2:$C$4995,$D2720)&gt;0,"Có","Không"))</f>
        <v/>
      </c>
      <c r="W2720" s="22">
        <f>IF(OR($D2720="",$R2720="Trùng"),"",COUNTIFS(ORDERS!$C$2:$C$4995,$D2720,ORDERS!$L$2:$L$4995,"Đã chuyển khoản"))</f>
        <v/>
      </c>
      <c r="X2720" s="23">
        <f>IF(OR($D2720="",$R2720="Trùng"),"",SUMIFS(ORDERS!$J$2:$J$4995,ORDERS!$C$2:$C$4995,$D2720,ORDERS!$L$2:$L$4995,"Đã chuyển khoản"))</f>
        <v/>
      </c>
      <c r="Y2720" s="24" t="n"/>
    </row>
    <row r="2721" ht="14.25" customHeight="1" s="40">
      <c r="A2721" s="24" t="n"/>
      <c r="B2721" s="27" t="n"/>
      <c r="C2721" s="24" t="n"/>
      <c r="D2721" s="28" t="n"/>
      <c r="E2721" s="29" t="n"/>
      <c r="F2721" s="24" t="n"/>
      <c r="G2721" s="24" t="n"/>
      <c r="H2721" s="21">
        <f>IF(ISNUMBER($B2721),INT($B2721)-WEEKDAY($B2721,2)+1,"")</f>
        <v/>
      </c>
      <c r="I2721" s="24" t="n"/>
      <c r="J2721" s="22">
        <f t="array" ref="J2721">IF($D2721="","",IF($I2721="","(trống REF)",IFERROR(INDEX(MASTER_SOURCE!$B$2:$B$495,MATCH($I2721,MASTER_SOURCE!$A$2:$A$495,0)),"(REF không có trong MASTER_SOURCE)")))</f>
        <v/>
      </c>
      <c r="K2721" s="22">
        <f t="array" ref="K2721">IF($D2721="","",IFERROR(INDEX(MASTER_SOURCE!$C$2:$C$495,MATCH($I2721,MASTER_SOURCE!$A$2:$A$495,0)),""))</f>
        <v/>
      </c>
      <c r="L2721" s="22">
        <f t="array" ref="L2721">IF($D2721="","",IFERROR(INDEX(MASTER_SOURCE!$D$2:$D$495,MATCH($I2721,MASTER_SOURCE!$A$2:$A$495,0)),""))</f>
        <v/>
      </c>
      <c r="M2721" s="24" t="n"/>
      <c r="N2721" s="24" t="n"/>
      <c r="O2721" s="24" t="n"/>
      <c r="P2721" s="24" t="n"/>
      <c r="Q2721" s="22">
        <f>IF($D2721="","",IF(AND(OR(DANH_MUC!$L$5&lt;&gt;"Có",M2721="Có"),OR(DANH_MUC!$L$6&lt;&gt;"Có",N2721="Có"),OR(DANH_MUC!$L$7&lt;&gt;"Có",O2721="Có"),OR(DANH_MUC!$L$8&lt;&gt;"Có",P2721="Có")),"Có","Không"))</f>
        <v/>
      </c>
      <c r="R2721" s="22">
        <f>IF($D2721="","",IF(COUNTIF($D$2:$D2721,$D2721)&gt;1,"Trùng",""))</f>
        <v/>
      </c>
      <c r="S2721" s="22">
        <f>IF($D2721="","",IF(AND(LEN($D2721)=10,LEFT($D2721,1)="0",ISNUMBER(--$D2721)),"Có","Không"))</f>
        <v/>
      </c>
      <c r="T2721" s="22">
        <f>IF($D2721="","",IF(AND($C2721&lt;&gt;"",$Q2721="Có",$R2721="",$S2721="Có",AND($L2721&lt;&gt;"",OR($L2721&lt;&gt;"Chưa xác định",DANH_MUC!$L$9="Có"))),"Có","Không"))</f>
        <v/>
      </c>
      <c r="U2721" s="22">
        <f>IF(OR($D2721="",$T2721="Có"),"",IF($C2721="","Thiếu họ tên; ","")&amp;IF($S2721&lt;&gt;"Có","SĐT sai định dạng; ","")&amp;IF($R2721="Trùng","Trùng SĐT; ","")&amp;IF($Q2721&lt;&gt;"Có","Thiếu đồng ý bắt buộc; ","")&amp;IF($L2721="","Thiếu/sai Mã REF; ",IF(AND($L2721="Chưa xác định",DANH_MUC!$L$9&lt;&gt;"Có"),"Nguồn chưa xác định; ","")))</f>
        <v/>
      </c>
      <c r="V2721" s="22">
        <f>IF(OR($D2721="",$R2721="Trùng"),"",IF(COUNTIF(ORDERS!$C$2:$C$4995,$D2721)&gt;0,"Có","Không"))</f>
        <v/>
      </c>
      <c r="W2721" s="22">
        <f>IF(OR($D2721="",$R2721="Trùng"),"",COUNTIFS(ORDERS!$C$2:$C$4995,$D2721,ORDERS!$L$2:$L$4995,"Đã chuyển khoản"))</f>
        <v/>
      </c>
      <c r="X2721" s="23">
        <f>IF(OR($D2721="",$R2721="Trùng"),"",SUMIFS(ORDERS!$J$2:$J$4995,ORDERS!$C$2:$C$4995,$D2721,ORDERS!$L$2:$L$4995,"Đã chuyển khoản"))</f>
        <v/>
      </c>
      <c r="Y2721" s="24" t="n"/>
    </row>
    <row r="2722" ht="14.25" customHeight="1" s="40">
      <c r="A2722" s="24" t="n"/>
      <c r="B2722" s="27" t="n"/>
      <c r="C2722" s="24" t="n"/>
      <c r="D2722" s="28" t="n"/>
      <c r="E2722" s="29" t="n"/>
      <c r="F2722" s="24" t="n"/>
      <c r="G2722" s="24" t="n"/>
      <c r="H2722" s="21">
        <f>IF(ISNUMBER($B2722),INT($B2722)-WEEKDAY($B2722,2)+1,"")</f>
        <v/>
      </c>
      <c r="I2722" s="24" t="n"/>
      <c r="J2722" s="22">
        <f t="array" ref="J2722">IF($D2722="","",IF($I2722="","(trống REF)",IFERROR(INDEX(MASTER_SOURCE!$B$2:$B$495,MATCH($I2722,MASTER_SOURCE!$A$2:$A$495,0)),"(REF không có trong MASTER_SOURCE)")))</f>
        <v/>
      </c>
      <c r="K2722" s="22">
        <f t="array" ref="K2722">IF($D2722="","",IFERROR(INDEX(MASTER_SOURCE!$C$2:$C$495,MATCH($I2722,MASTER_SOURCE!$A$2:$A$495,0)),""))</f>
        <v/>
      </c>
      <c r="L2722" s="22">
        <f t="array" ref="L2722">IF($D2722="","",IFERROR(INDEX(MASTER_SOURCE!$D$2:$D$495,MATCH($I2722,MASTER_SOURCE!$A$2:$A$495,0)),""))</f>
        <v/>
      </c>
      <c r="M2722" s="24" t="n"/>
      <c r="N2722" s="24" t="n"/>
      <c r="O2722" s="24" t="n"/>
      <c r="P2722" s="24" t="n"/>
      <c r="Q2722" s="22">
        <f>IF($D2722="","",IF(AND(OR(DANH_MUC!$L$5&lt;&gt;"Có",M2722="Có"),OR(DANH_MUC!$L$6&lt;&gt;"Có",N2722="Có"),OR(DANH_MUC!$L$7&lt;&gt;"Có",O2722="Có"),OR(DANH_MUC!$L$8&lt;&gt;"Có",P2722="Có")),"Có","Không"))</f>
        <v/>
      </c>
      <c r="R2722" s="22">
        <f>IF($D2722="","",IF(COUNTIF($D$2:$D2722,$D2722)&gt;1,"Trùng",""))</f>
        <v/>
      </c>
      <c r="S2722" s="22">
        <f>IF($D2722="","",IF(AND(LEN($D2722)=10,LEFT($D2722,1)="0",ISNUMBER(--$D2722)),"Có","Không"))</f>
        <v/>
      </c>
      <c r="T2722" s="22">
        <f>IF($D2722="","",IF(AND($C2722&lt;&gt;"",$Q2722="Có",$R2722="",$S2722="Có",AND($L2722&lt;&gt;"",OR($L2722&lt;&gt;"Chưa xác định",DANH_MUC!$L$9="Có"))),"Có","Không"))</f>
        <v/>
      </c>
      <c r="U2722" s="22">
        <f>IF(OR($D2722="",$T2722="Có"),"",IF($C2722="","Thiếu họ tên; ","")&amp;IF($S2722&lt;&gt;"Có","SĐT sai định dạng; ","")&amp;IF($R2722="Trùng","Trùng SĐT; ","")&amp;IF($Q2722&lt;&gt;"Có","Thiếu đồng ý bắt buộc; ","")&amp;IF($L2722="","Thiếu/sai Mã REF; ",IF(AND($L2722="Chưa xác định",DANH_MUC!$L$9&lt;&gt;"Có"),"Nguồn chưa xác định; ","")))</f>
        <v/>
      </c>
      <c r="V2722" s="22">
        <f>IF(OR($D2722="",$R2722="Trùng"),"",IF(COUNTIF(ORDERS!$C$2:$C$4995,$D2722)&gt;0,"Có","Không"))</f>
        <v/>
      </c>
      <c r="W2722" s="22">
        <f>IF(OR($D2722="",$R2722="Trùng"),"",COUNTIFS(ORDERS!$C$2:$C$4995,$D2722,ORDERS!$L$2:$L$4995,"Đã chuyển khoản"))</f>
        <v/>
      </c>
      <c r="X2722" s="23">
        <f>IF(OR($D2722="",$R2722="Trùng"),"",SUMIFS(ORDERS!$J$2:$J$4995,ORDERS!$C$2:$C$4995,$D2722,ORDERS!$L$2:$L$4995,"Đã chuyển khoản"))</f>
        <v/>
      </c>
      <c r="Y2722" s="24" t="n"/>
    </row>
    <row r="2723" ht="14.25" customHeight="1" s="40">
      <c r="A2723" s="24" t="n"/>
      <c r="B2723" s="27" t="n"/>
      <c r="C2723" s="24" t="n"/>
      <c r="D2723" s="28" t="n"/>
      <c r="E2723" s="29" t="n"/>
      <c r="F2723" s="24" t="n"/>
      <c r="G2723" s="24" t="n"/>
      <c r="H2723" s="21">
        <f>IF(ISNUMBER($B2723),INT($B2723)-WEEKDAY($B2723,2)+1,"")</f>
        <v/>
      </c>
      <c r="I2723" s="24" t="n"/>
      <c r="J2723" s="22">
        <f t="array" ref="J2723">IF($D2723="","",IF($I2723="","(trống REF)",IFERROR(INDEX(MASTER_SOURCE!$B$2:$B$495,MATCH($I2723,MASTER_SOURCE!$A$2:$A$495,0)),"(REF không có trong MASTER_SOURCE)")))</f>
        <v/>
      </c>
      <c r="K2723" s="22">
        <f t="array" ref="K2723">IF($D2723="","",IFERROR(INDEX(MASTER_SOURCE!$C$2:$C$495,MATCH($I2723,MASTER_SOURCE!$A$2:$A$495,0)),""))</f>
        <v/>
      </c>
      <c r="L2723" s="22">
        <f t="array" ref="L2723">IF($D2723="","",IFERROR(INDEX(MASTER_SOURCE!$D$2:$D$495,MATCH($I2723,MASTER_SOURCE!$A$2:$A$495,0)),""))</f>
        <v/>
      </c>
      <c r="M2723" s="24" t="n"/>
      <c r="N2723" s="24" t="n"/>
      <c r="O2723" s="24" t="n"/>
      <c r="P2723" s="24" t="n"/>
      <c r="Q2723" s="22">
        <f>IF($D2723="","",IF(AND(OR(DANH_MUC!$L$5&lt;&gt;"Có",M2723="Có"),OR(DANH_MUC!$L$6&lt;&gt;"Có",N2723="Có"),OR(DANH_MUC!$L$7&lt;&gt;"Có",O2723="Có"),OR(DANH_MUC!$L$8&lt;&gt;"Có",P2723="Có")),"Có","Không"))</f>
        <v/>
      </c>
      <c r="R2723" s="22">
        <f>IF($D2723="","",IF(COUNTIF($D$2:$D2723,$D2723)&gt;1,"Trùng",""))</f>
        <v/>
      </c>
      <c r="S2723" s="22">
        <f>IF($D2723="","",IF(AND(LEN($D2723)=10,LEFT($D2723,1)="0",ISNUMBER(--$D2723)),"Có","Không"))</f>
        <v/>
      </c>
      <c r="T2723" s="22">
        <f>IF($D2723="","",IF(AND($C2723&lt;&gt;"",$Q2723="Có",$R2723="",$S2723="Có",AND($L2723&lt;&gt;"",OR($L2723&lt;&gt;"Chưa xác định",DANH_MUC!$L$9="Có"))),"Có","Không"))</f>
        <v/>
      </c>
      <c r="U2723" s="22">
        <f>IF(OR($D2723="",$T2723="Có"),"",IF($C2723="","Thiếu họ tên; ","")&amp;IF($S2723&lt;&gt;"Có","SĐT sai định dạng; ","")&amp;IF($R2723="Trùng","Trùng SĐT; ","")&amp;IF($Q2723&lt;&gt;"Có","Thiếu đồng ý bắt buộc; ","")&amp;IF($L2723="","Thiếu/sai Mã REF; ",IF(AND($L2723="Chưa xác định",DANH_MUC!$L$9&lt;&gt;"Có"),"Nguồn chưa xác định; ","")))</f>
        <v/>
      </c>
      <c r="V2723" s="22">
        <f>IF(OR($D2723="",$R2723="Trùng"),"",IF(COUNTIF(ORDERS!$C$2:$C$4995,$D2723)&gt;0,"Có","Không"))</f>
        <v/>
      </c>
      <c r="W2723" s="22">
        <f>IF(OR($D2723="",$R2723="Trùng"),"",COUNTIFS(ORDERS!$C$2:$C$4995,$D2723,ORDERS!$L$2:$L$4995,"Đã chuyển khoản"))</f>
        <v/>
      </c>
      <c r="X2723" s="23">
        <f>IF(OR($D2723="",$R2723="Trùng"),"",SUMIFS(ORDERS!$J$2:$J$4995,ORDERS!$C$2:$C$4995,$D2723,ORDERS!$L$2:$L$4995,"Đã chuyển khoản"))</f>
        <v/>
      </c>
      <c r="Y2723" s="24" t="n"/>
    </row>
    <row r="2724" ht="14.25" customHeight="1" s="40">
      <c r="A2724" s="24" t="n"/>
      <c r="B2724" s="27" t="n"/>
      <c r="C2724" s="24" t="n"/>
      <c r="D2724" s="28" t="n"/>
      <c r="E2724" s="29" t="n"/>
      <c r="F2724" s="24" t="n"/>
      <c r="G2724" s="24" t="n"/>
      <c r="H2724" s="21">
        <f>IF(ISNUMBER($B2724),INT($B2724)-WEEKDAY($B2724,2)+1,"")</f>
        <v/>
      </c>
      <c r="I2724" s="24" t="n"/>
      <c r="J2724" s="22">
        <f t="array" ref="J2724">IF($D2724="","",IF($I2724="","(trống REF)",IFERROR(INDEX(MASTER_SOURCE!$B$2:$B$495,MATCH($I2724,MASTER_SOURCE!$A$2:$A$495,0)),"(REF không có trong MASTER_SOURCE)")))</f>
        <v/>
      </c>
      <c r="K2724" s="22">
        <f t="array" ref="K2724">IF($D2724="","",IFERROR(INDEX(MASTER_SOURCE!$C$2:$C$495,MATCH($I2724,MASTER_SOURCE!$A$2:$A$495,0)),""))</f>
        <v/>
      </c>
      <c r="L2724" s="22">
        <f t="array" ref="L2724">IF($D2724="","",IFERROR(INDEX(MASTER_SOURCE!$D$2:$D$495,MATCH($I2724,MASTER_SOURCE!$A$2:$A$495,0)),""))</f>
        <v/>
      </c>
      <c r="M2724" s="24" t="n"/>
      <c r="N2724" s="24" t="n"/>
      <c r="O2724" s="24" t="n"/>
      <c r="P2724" s="24" t="n"/>
      <c r="Q2724" s="22">
        <f>IF($D2724="","",IF(AND(OR(DANH_MUC!$L$5&lt;&gt;"Có",M2724="Có"),OR(DANH_MUC!$L$6&lt;&gt;"Có",N2724="Có"),OR(DANH_MUC!$L$7&lt;&gt;"Có",O2724="Có"),OR(DANH_MUC!$L$8&lt;&gt;"Có",P2724="Có")),"Có","Không"))</f>
        <v/>
      </c>
      <c r="R2724" s="22">
        <f>IF($D2724="","",IF(COUNTIF($D$2:$D2724,$D2724)&gt;1,"Trùng",""))</f>
        <v/>
      </c>
      <c r="S2724" s="22">
        <f>IF($D2724="","",IF(AND(LEN($D2724)=10,LEFT($D2724,1)="0",ISNUMBER(--$D2724)),"Có","Không"))</f>
        <v/>
      </c>
      <c r="T2724" s="22">
        <f>IF($D2724="","",IF(AND($C2724&lt;&gt;"",$Q2724="Có",$R2724="",$S2724="Có",AND($L2724&lt;&gt;"",OR($L2724&lt;&gt;"Chưa xác định",DANH_MUC!$L$9="Có"))),"Có","Không"))</f>
        <v/>
      </c>
      <c r="U2724" s="22">
        <f>IF(OR($D2724="",$T2724="Có"),"",IF($C2724="","Thiếu họ tên; ","")&amp;IF($S2724&lt;&gt;"Có","SĐT sai định dạng; ","")&amp;IF($R2724="Trùng","Trùng SĐT; ","")&amp;IF($Q2724&lt;&gt;"Có","Thiếu đồng ý bắt buộc; ","")&amp;IF($L2724="","Thiếu/sai Mã REF; ",IF(AND($L2724="Chưa xác định",DANH_MUC!$L$9&lt;&gt;"Có"),"Nguồn chưa xác định; ","")))</f>
        <v/>
      </c>
      <c r="V2724" s="22">
        <f>IF(OR($D2724="",$R2724="Trùng"),"",IF(COUNTIF(ORDERS!$C$2:$C$4995,$D2724)&gt;0,"Có","Không"))</f>
        <v/>
      </c>
      <c r="W2724" s="22">
        <f>IF(OR($D2724="",$R2724="Trùng"),"",COUNTIFS(ORDERS!$C$2:$C$4995,$D2724,ORDERS!$L$2:$L$4995,"Đã chuyển khoản"))</f>
        <v/>
      </c>
      <c r="X2724" s="23">
        <f>IF(OR($D2724="",$R2724="Trùng"),"",SUMIFS(ORDERS!$J$2:$J$4995,ORDERS!$C$2:$C$4995,$D2724,ORDERS!$L$2:$L$4995,"Đã chuyển khoản"))</f>
        <v/>
      </c>
      <c r="Y2724" s="24" t="n"/>
    </row>
    <row r="2725" ht="14.25" customHeight="1" s="40">
      <c r="A2725" s="24" t="n"/>
      <c r="B2725" s="27" t="n"/>
      <c r="C2725" s="24" t="n"/>
      <c r="D2725" s="28" t="n"/>
      <c r="E2725" s="29" t="n"/>
      <c r="F2725" s="24" t="n"/>
      <c r="G2725" s="24" t="n"/>
      <c r="H2725" s="21">
        <f>IF(ISNUMBER($B2725),INT($B2725)-WEEKDAY($B2725,2)+1,"")</f>
        <v/>
      </c>
      <c r="I2725" s="24" t="n"/>
      <c r="J2725" s="22">
        <f t="array" ref="J2725">IF($D2725="","",IF($I2725="","(trống REF)",IFERROR(INDEX(MASTER_SOURCE!$B$2:$B$495,MATCH($I2725,MASTER_SOURCE!$A$2:$A$495,0)),"(REF không có trong MASTER_SOURCE)")))</f>
        <v/>
      </c>
      <c r="K2725" s="22">
        <f t="array" ref="K2725">IF($D2725="","",IFERROR(INDEX(MASTER_SOURCE!$C$2:$C$495,MATCH($I2725,MASTER_SOURCE!$A$2:$A$495,0)),""))</f>
        <v/>
      </c>
      <c r="L2725" s="22">
        <f t="array" ref="L2725">IF($D2725="","",IFERROR(INDEX(MASTER_SOURCE!$D$2:$D$495,MATCH($I2725,MASTER_SOURCE!$A$2:$A$495,0)),""))</f>
        <v/>
      </c>
      <c r="M2725" s="24" t="n"/>
      <c r="N2725" s="24" t="n"/>
      <c r="O2725" s="24" t="n"/>
      <c r="P2725" s="24" t="n"/>
      <c r="Q2725" s="22">
        <f>IF($D2725="","",IF(AND(OR(DANH_MUC!$L$5&lt;&gt;"Có",M2725="Có"),OR(DANH_MUC!$L$6&lt;&gt;"Có",N2725="Có"),OR(DANH_MUC!$L$7&lt;&gt;"Có",O2725="Có"),OR(DANH_MUC!$L$8&lt;&gt;"Có",P2725="Có")),"Có","Không"))</f>
        <v/>
      </c>
      <c r="R2725" s="22">
        <f>IF($D2725="","",IF(COUNTIF($D$2:$D2725,$D2725)&gt;1,"Trùng",""))</f>
        <v/>
      </c>
      <c r="S2725" s="22">
        <f>IF($D2725="","",IF(AND(LEN($D2725)=10,LEFT($D2725,1)="0",ISNUMBER(--$D2725)),"Có","Không"))</f>
        <v/>
      </c>
      <c r="T2725" s="22">
        <f>IF($D2725="","",IF(AND($C2725&lt;&gt;"",$Q2725="Có",$R2725="",$S2725="Có",AND($L2725&lt;&gt;"",OR($L2725&lt;&gt;"Chưa xác định",DANH_MUC!$L$9="Có"))),"Có","Không"))</f>
        <v/>
      </c>
      <c r="U2725" s="22">
        <f>IF(OR($D2725="",$T2725="Có"),"",IF($C2725="","Thiếu họ tên; ","")&amp;IF($S2725&lt;&gt;"Có","SĐT sai định dạng; ","")&amp;IF($R2725="Trùng","Trùng SĐT; ","")&amp;IF($Q2725&lt;&gt;"Có","Thiếu đồng ý bắt buộc; ","")&amp;IF($L2725="","Thiếu/sai Mã REF; ",IF(AND($L2725="Chưa xác định",DANH_MUC!$L$9&lt;&gt;"Có"),"Nguồn chưa xác định; ","")))</f>
        <v/>
      </c>
      <c r="V2725" s="22">
        <f>IF(OR($D2725="",$R2725="Trùng"),"",IF(COUNTIF(ORDERS!$C$2:$C$4995,$D2725)&gt;0,"Có","Không"))</f>
        <v/>
      </c>
      <c r="W2725" s="22">
        <f>IF(OR($D2725="",$R2725="Trùng"),"",COUNTIFS(ORDERS!$C$2:$C$4995,$D2725,ORDERS!$L$2:$L$4995,"Đã chuyển khoản"))</f>
        <v/>
      </c>
      <c r="X2725" s="23">
        <f>IF(OR($D2725="",$R2725="Trùng"),"",SUMIFS(ORDERS!$J$2:$J$4995,ORDERS!$C$2:$C$4995,$D2725,ORDERS!$L$2:$L$4995,"Đã chuyển khoản"))</f>
        <v/>
      </c>
      <c r="Y2725" s="24" t="n"/>
    </row>
    <row r="2726" ht="14.25" customHeight="1" s="40">
      <c r="A2726" s="24" t="n"/>
      <c r="B2726" s="27" t="n"/>
      <c r="C2726" s="24" t="n"/>
      <c r="D2726" s="28" t="n"/>
      <c r="E2726" s="29" t="n"/>
      <c r="F2726" s="24" t="n"/>
      <c r="G2726" s="24" t="n"/>
      <c r="H2726" s="21">
        <f>IF(ISNUMBER($B2726),INT($B2726)-WEEKDAY($B2726,2)+1,"")</f>
        <v/>
      </c>
      <c r="I2726" s="24" t="n"/>
      <c r="J2726" s="22">
        <f t="array" ref="J2726">IF($D2726="","",IF($I2726="","(trống REF)",IFERROR(INDEX(MASTER_SOURCE!$B$2:$B$495,MATCH($I2726,MASTER_SOURCE!$A$2:$A$495,0)),"(REF không có trong MASTER_SOURCE)")))</f>
        <v/>
      </c>
      <c r="K2726" s="22">
        <f t="array" ref="K2726">IF($D2726="","",IFERROR(INDEX(MASTER_SOURCE!$C$2:$C$495,MATCH($I2726,MASTER_SOURCE!$A$2:$A$495,0)),""))</f>
        <v/>
      </c>
      <c r="L2726" s="22">
        <f t="array" ref="L2726">IF($D2726="","",IFERROR(INDEX(MASTER_SOURCE!$D$2:$D$495,MATCH($I2726,MASTER_SOURCE!$A$2:$A$495,0)),""))</f>
        <v/>
      </c>
      <c r="M2726" s="24" t="n"/>
      <c r="N2726" s="24" t="n"/>
      <c r="O2726" s="24" t="n"/>
      <c r="P2726" s="24" t="n"/>
      <c r="Q2726" s="22">
        <f>IF($D2726="","",IF(AND(OR(DANH_MUC!$L$5&lt;&gt;"Có",M2726="Có"),OR(DANH_MUC!$L$6&lt;&gt;"Có",N2726="Có"),OR(DANH_MUC!$L$7&lt;&gt;"Có",O2726="Có"),OR(DANH_MUC!$L$8&lt;&gt;"Có",P2726="Có")),"Có","Không"))</f>
        <v/>
      </c>
      <c r="R2726" s="22">
        <f>IF($D2726="","",IF(COUNTIF($D$2:$D2726,$D2726)&gt;1,"Trùng",""))</f>
        <v/>
      </c>
      <c r="S2726" s="22">
        <f>IF($D2726="","",IF(AND(LEN($D2726)=10,LEFT($D2726,1)="0",ISNUMBER(--$D2726)),"Có","Không"))</f>
        <v/>
      </c>
      <c r="T2726" s="22">
        <f>IF($D2726="","",IF(AND($C2726&lt;&gt;"",$Q2726="Có",$R2726="",$S2726="Có",AND($L2726&lt;&gt;"",OR($L2726&lt;&gt;"Chưa xác định",DANH_MUC!$L$9="Có"))),"Có","Không"))</f>
        <v/>
      </c>
      <c r="U2726" s="22">
        <f>IF(OR($D2726="",$T2726="Có"),"",IF($C2726="","Thiếu họ tên; ","")&amp;IF($S2726&lt;&gt;"Có","SĐT sai định dạng; ","")&amp;IF($R2726="Trùng","Trùng SĐT; ","")&amp;IF($Q2726&lt;&gt;"Có","Thiếu đồng ý bắt buộc; ","")&amp;IF($L2726="","Thiếu/sai Mã REF; ",IF(AND($L2726="Chưa xác định",DANH_MUC!$L$9&lt;&gt;"Có"),"Nguồn chưa xác định; ","")))</f>
        <v/>
      </c>
      <c r="V2726" s="22">
        <f>IF(OR($D2726="",$R2726="Trùng"),"",IF(COUNTIF(ORDERS!$C$2:$C$4995,$D2726)&gt;0,"Có","Không"))</f>
        <v/>
      </c>
      <c r="W2726" s="22">
        <f>IF(OR($D2726="",$R2726="Trùng"),"",COUNTIFS(ORDERS!$C$2:$C$4995,$D2726,ORDERS!$L$2:$L$4995,"Đã chuyển khoản"))</f>
        <v/>
      </c>
      <c r="X2726" s="23">
        <f>IF(OR($D2726="",$R2726="Trùng"),"",SUMIFS(ORDERS!$J$2:$J$4995,ORDERS!$C$2:$C$4995,$D2726,ORDERS!$L$2:$L$4995,"Đã chuyển khoản"))</f>
        <v/>
      </c>
      <c r="Y2726" s="24" t="n"/>
    </row>
    <row r="2727" ht="14.25" customHeight="1" s="40">
      <c r="A2727" s="24" t="n"/>
      <c r="B2727" s="27" t="n"/>
      <c r="C2727" s="24" t="n"/>
      <c r="D2727" s="28" t="n"/>
      <c r="E2727" s="29" t="n"/>
      <c r="F2727" s="24" t="n"/>
      <c r="G2727" s="24" t="n"/>
      <c r="H2727" s="21">
        <f>IF(ISNUMBER($B2727),INT($B2727)-WEEKDAY($B2727,2)+1,"")</f>
        <v/>
      </c>
      <c r="I2727" s="24" t="n"/>
      <c r="J2727" s="22">
        <f t="array" ref="J2727">IF($D2727="","",IF($I2727="","(trống REF)",IFERROR(INDEX(MASTER_SOURCE!$B$2:$B$495,MATCH($I2727,MASTER_SOURCE!$A$2:$A$495,0)),"(REF không có trong MASTER_SOURCE)")))</f>
        <v/>
      </c>
      <c r="K2727" s="22">
        <f t="array" ref="K2727">IF($D2727="","",IFERROR(INDEX(MASTER_SOURCE!$C$2:$C$495,MATCH($I2727,MASTER_SOURCE!$A$2:$A$495,0)),""))</f>
        <v/>
      </c>
      <c r="L2727" s="22">
        <f t="array" ref="L2727">IF($D2727="","",IFERROR(INDEX(MASTER_SOURCE!$D$2:$D$495,MATCH($I2727,MASTER_SOURCE!$A$2:$A$495,0)),""))</f>
        <v/>
      </c>
      <c r="M2727" s="24" t="n"/>
      <c r="N2727" s="24" t="n"/>
      <c r="O2727" s="24" t="n"/>
      <c r="P2727" s="24" t="n"/>
      <c r="Q2727" s="22">
        <f>IF($D2727="","",IF(AND(OR(DANH_MUC!$L$5&lt;&gt;"Có",M2727="Có"),OR(DANH_MUC!$L$6&lt;&gt;"Có",N2727="Có"),OR(DANH_MUC!$L$7&lt;&gt;"Có",O2727="Có"),OR(DANH_MUC!$L$8&lt;&gt;"Có",P2727="Có")),"Có","Không"))</f>
        <v/>
      </c>
      <c r="R2727" s="22">
        <f>IF($D2727="","",IF(COUNTIF($D$2:$D2727,$D2727)&gt;1,"Trùng",""))</f>
        <v/>
      </c>
      <c r="S2727" s="22">
        <f>IF($D2727="","",IF(AND(LEN($D2727)=10,LEFT($D2727,1)="0",ISNUMBER(--$D2727)),"Có","Không"))</f>
        <v/>
      </c>
      <c r="T2727" s="22">
        <f>IF($D2727="","",IF(AND($C2727&lt;&gt;"",$Q2727="Có",$R2727="",$S2727="Có",AND($L2727&lt;&gt;"",OR($L2727&lt;&gt;"Chưa xác định",DANH_MUC!$L$9="Có"))),"Có","Không"))</f>
        <v/>
      </c>
      <c r="U2727" s="22">
        <f>IF(OR($D2727="",$T2727="Có"),"",IF($C2727="","Thiếu họ tên; ","")&amp;IF($S2727&lt;&gt;"Có","SĐT sai định dạng; ","")&amp;IF($R2727="Trùng","Trùng SĐT; ","")&amp;IF($Q2727&lt;&gt;"Có","Thiếu đồng ý bắt buộc; ","")&amp;IF($L2727="","Thiếu/sai Mã REF; ",IF(AND($L2727="Chưa xác định",DANH_MUC!$L$9&lt;&gt;"Có"),"Nguồn chưa xác định; ","")))</f>
        <v/>
      </c>
      <c r="V2727" s="22">
        <f>IF(OR($D2727="",$R2727="Trùng"),"",IF(COUNTIF(ORDERS!$C$2:$C$4995,$D2727)&gt;0,"Có","Không"))</f>
        <v/>
      </c>
      <c r="W2727" s="22">
        <f>IF(OR($D2727="",$R2727="Trùng"),"",COUNTIFS(ORDERS!$C$2:$C$4995,$D2727,ORDERS!$L$2:$L$4995,"Đã chuyển khoản"))</f>
        <v/>
      </c>
      <c r="X2727" s="23">
        <f>IF(OR($D2727="",$R2727="Trùng"),"",SUMIFS(ORDERS!$J$2:$J$4995,ORDERS!$C$2:$C$4995,$D2727,ORDERS!$L$2:$L$4995,"Đã chuyển khoản"))</f>
        <v/>
      </c>
      <c r="Y2727" s="24" t="n"/>
    </row>
    <row r="2728" ht="14.25" customHeight="1" s="40">
      <c r="A2728" s="24" t="n"/>
      <c r="B2728" s="27" t="n"/>
      <c r="C2728" s="24" t="n"/>
      <c r="D2728" s="28" t="n"/>
      <c r="E2728" s="29" t="n"/>
      <c r="F2728" s="24" t="n"/>
      <c r="G2728" s="24" t="n"/>
      <c r="H2728" s="21">
        <f>IF(ISNUMBER($B2728),INT($B2728)-WEEKDAY($B2728,2)+1,"")</f>
        <v/>
      </c>
      <c r="I2728" s="24" t="n"/>
      <c r="J2728" s="22">
        <f t="array" ref="J2728">IF($D2728="","",IF($I2728="","(trống REF)",IFERROR(INDEX(MASTER_SOURCE!$B$2:$B$495,MATCH($I2728,MASTER_SOURCE!$A$2:$A$495,0)),"(REF không có trong MASTER_SOURCE)")))</f>
        <v/>
      </c>
      <c r="K2728" s="22">
        <f t="array" ref="K2728">IF($D2728="","",IFERROR(INDEX(MASTER_SOURCE!$C$2:$C$495,MATCH($I2728,MASTER_SOURCE!$A$2:$A$495,0)),""))</f>
        <v/>
      </c>
      <c r="L2728" s="22">
        <f t="array" ref="L2728">IF($D2728="","",IFERROR(INDEX(MASTER_SOURCE!$D$2:$D$495,MATCH($I2728,MASTER_SOURCE!$A$2:$A$495,0)),""))</f>
        <v/>
      </c>
      <c r="M2728" s="24" t="n"/>
      <c r="N2728" s="24" t="n"/>
      <c r="O2728" s="24" t="n"/>
      <c r="P2728" s="24" t="n"/>
      <c r="Q2728" s="22">
        <f>IF($D2728="","",IF(AND(OR(DANH_MUC!$L$5&lt;&gt;"Có",M2728="Có"),OR(DANH_MUC!$L$6&lt;&gt;"Có",N2728="Có"),OR(DANH_MUC!$L$7&lt;&gt;"Có",O2728="Có"),OR(DANH_MUC!$L$8&lt;&gt;"Có",P2728="Có")),"Có","Không"))</f>
        <v/>
      </c>
      <c r="R2728" s="22">
        <f>IF($D2728="","",IF(COUNTIF($D$2:$D2728,$D2728)&gt;1,"Trùng",""))</f>
        <v/>
      </c>
      <c r="S2728" s="22">
        <f>IF($D2728="","",IF(AND(LEN($D2728)=10,LEFT($D2728,1)="0",ISNUMBER(--$D2728)),"Có","Không"))</f>
        <v/>
      </c>
      <c r="T2728" s="22">
        <f>IF($D2728="","",IF(AND($C2728&lt;&gt;"",$Q2728="Có",$R2728="",$S2728="Có",AND($L2728&lt;&gt;"",OR($L2728&lt;&gt;"Chưa xác định",DANH_MUC!$L$9="Có"))),"Có","Không"))</f>
        <v/>
      </c>
      <c r="U2728" s="22">
        <f>IF(OR($D2728="",$T2728="Có"),"",IF($C2728="","Thiếu họ tên; ","")&amp;IF($S2728&lt;&gt;"Có","SĐT sai định dạng; ","")&amp;IF($R2728="Trùng","Trùng SĐT; ","")&amp;IF($Q2728&lt;&gt;"Có","Thiếu đồng ý bắt buộc; ","")&amp;IF($L2728="","Thiếu/sai Mã REF; ",IF(AND($L2728="Chưa xác định",DANH_MUC!$L$9&lt;&gt;"Có"),"Nguồn chưa xác định; ","")))</f>
        <v/>
      </c>
      <c r="V2728" s="22">
        <f>IF(OR($D2728="",$R2728="Trùng"),"",IF(COUNTIF(ORDERS!$C$2:$C$4995,$D2728)&gt;0,"Có","Không"))</f>
        <v/>
      </c>
      <c r="W2728" s="22">
        <f>IF(OR($D2728="",$R2728="Trùng"),"",COUNTIFS(ORDERS!$C$2:$C$4995,$D2728,ORDERS!$L$2:$L$4995,"Đã chuyển khoản"))</f>
        <v/>
      </c>
      <c r="X2728" s="23">
        <f>IF(OR($D2728="",$R2728="Trùng"),"",SUMIFS(ORDERS!$J$2:$J$4995,ORDERS!$C$2:$C$4995,$D2728,ORDERS!$L$2:$L$4995,"Đã chuyển khoản"))</f>
        <v/>
      </c>
      <c r="Y2728" s="24" t="n"/>
    </row>
    <row r="2729" ht="14.25" customHeight="1" s="40">
      <c r="A2729" s="24" t="n"/>
      <c r="B2729" s="27" t="n"/>
      <c r="C2729" s="24" t="n"/>
      <c r="D2729" s="28" t="n"/>
      <c r="E2729" s="29" t="n"/>
      <c r="F2729" s="24" t="n"/>
      <c r="G2729" s="24" t="n"/>
      <c r="H2729" s="21">
        <f>IF(ISNUMBER($B2729),INT($B2729)-WEEKDAY($B2729,2)+1,"")</f>
        <v/>
      </c>
      <c r="I2729" s="24" t="n"/>
      <c r="J2729" s="22">
        <f t="array" ref="J2729">IF($D2729="","",IF($I2729="","(trống REF)",IFERROR(INDEX(MASTER_SOURCE!$B$2:$B$495,MATCH($I2729,MASTER_SOURCE!$A$2:$A$495,0)),"(REF không có trong MASTER_SOURCE)")))</f>
        <v/>
      </c>
      <c r="K2729" s="22">
        <f t="array" ref="K2729">IF($D2729="","",IFERROR(INDEX(MASTER_SOURCE!$C$2:$C$495,MATCH($I2729,MASTER_SOURCE!$A$2:$A$495,0)),""))</f>
        <v/>
      </c>
      <c r="L2729" s="22">
        <f t="array" ref="L2729">IF($D2729="","",IFERROR(INDEX(MASTER_SOURCE!$D$2:$D$495,MATCH($I2729,MASTER_SOURCE!$A$2:$A$495,0)),""))</f>
        <v/>
      </c>
      <c r="M2729" s="24" t="n"/>
      <c r="N2729" s="24" t="n"/>
      <c r="O2729" s="24" t="n"/>
      <c r="P2729" s="24" t="n"/>
      <c r="Q2729" s="22">
        <f>IF($D2729="","",IF(AND(OR(DANH_MUC!$L$5&lt;&gt;"Có",M2729="Có"),OR(DANH_MUC!$L$6&lt;&gt;"Có",N2729="Có"),OR(DANH_MUC!$L$7&lt;&gt;"Có",O2729="Có"),OR(DANH_MUC!$L$8&lt;&gt;"Có",P2729="Có")),"Có","Không"))</f>
        <v/>
      </c>
      <c r="R2729" s="22">
        <f>IF($D2729="","",IF(COUNTIF($D$2:$D2729,$D2729)&gt;1,"Trùng",""))</f>
        <v/>
      </c>
      <c r="S2729" s="22">
        <f>IF($D2729="","",IF(AND(LEN($D2729)=10,LEFT($D2729,1)="0",ISNUMBER(--$D2729)),"Có","Không"))</f>
        <v/>
      </c>
      <c r="T2729" s="22">
        <f>IF($D2729="","",IF(AND($C2729&lt;&gt;"",$Q2729="Có",$R2729="",$S2729="Có",AND($L2729&lt;&gt;"",OR($L2729&lt;&gt;"Chưa xác định",DANH_MUC!$L$9="Có"))),"Có","Không"))</f>
        <v/>
      </c>
      <c r="U2729" s="22">
        <f>IF(OR($D2729="",$T2729="Có"),"",IF($C2729="","Thiếu họ tên; ","")&amp;IF($S2729&lt;&gt;"Có","SĐT sai định dạng; ","")&amp;IF($R2729="Trùng","Trùng SĐT; ","")&amp;IF($Q2729&lt;&gt;"Có","Thiếu đồng ý bắt buộc; ","")&amp;IF($L2729="","Thiếu/sai Mã REF; ",IF(AND($L2729="Chưa xác định",DANH_MUC!$L$9&lt;&gt;"Có"),"Nguồn chưa xác định; ","")))</f>
        <v/>
      </c>
      <c r="V2729" s="22">
        <f>IF(OR($D2729="",$R2729="Trùng"),"",IF(COUNTIF(ORDERS!$C$2:$C$4995,$D2729)&gt;0,"Có","Không"))</f>
        <v/>
      </c>
      <c r="W2729" s="22">
        <f>IF(OR($D2729="",$R2729="Trùng"),"",COUNTIFS(ORDERS!$C$2:$C$4995,$D2729,ORDERS!$L$2:$L$4995,"Đã chuyển khoản"))</f>
        <v/>
      </c>
      <c r="X2729" s="23">
        <f>IF(OR($D2729="",$R2729="Trùng"),"",SUMIFS(ORDERS!$J$2:$J$4995,ORDERS!$C$2:$C$4995,$D2729,ORDERS!$L$2:$L$4995,"Đã chuyển khoản"))</f>
        <v/>
      </c>
      <c r="Y2729" s="24" t="n"/>
    </row>
    <row r="2730" ht="14.25" customHeight="1" s="40">
      <c r="A2730" s="24" t="n"/>
      <c r="B2730" s="27" t="n"/>
      <c r="C2730" s="24" t="n"/>
      <c r="D2730" s="28" t="n"/>
      <c r="E2730" s="29" t="n"/>
      <c r="F2730" s="24" t="n"/>
      <c r="G2730" s="24" t="n"/>
      <c r="H2730" s="21">
        <f>IF(ISNUMBER($B2730),INT($B2730)-WEEKDAY($B2730,2)+1,"")</f>
        <v/>
      </c>
      <c r="I2730" s="24" t="n"/>
      <c r="J2730" s="22">
        <f t="array" ref="J2730">IF($D2730="","",IF($I2730="","(trống REF)",IFERROR(INDEX(MASTER_SOURCE!$B$2:$B$495,MATCH($I2730,MASTER_SOURCE!$A$2:$A$495,0)),"(REF không có trong MASTER_SOURCE)")))</f>
        <v/>
      </c>
      <c r="K2730" s="22">
        <f t="array" ref="K2730">IF($D2730="","",IFERROR(INDEX(MASTER_SOURCE!$C$2:$C$495,MATCH($I2730,MASTER_SOURCE!$A$2:$A$495,0)),""))</f>
        <v/>
      </c>
      <c r="L2730" s="22">
        <f t="array" ref="L2730">IF($D2730="","",IFERROR(INDEX(MASTER_SOURCE!$D$2:$D$495,MATCH($I2730,MASTER_SOURCE!$A$2:$A$495,0)),""))</f>
        <v/>
      </c>
      <c r="M2730" s="24" t="n"/>
      <c r="N2730" s="24" t="n"/>
      <c r="O2730" s="24" t="n"/>
      <c r="P2730" s="24" t="n"/>
      <c r="Q2730" s="22">
        <f>IF($D2730="","",IF(AND(OR(DANH_MUC!$L$5&lt;&gt;"Có",M2730="Có"),OR(DANH_MUC!$L$6&lt;&gt;"Có",N2730="Có"),OR(DANH_MUC!$L$7&lt;&gt;"Có",O2730="Có"),OR(DANH_MUC!$L$8&lt;&gt;"Có",P2730="Có")),"Có","Không"))</f>
        <v/>
      </c>
      <c r="R2730" s="22">
        <f>IF($D2730="","",IF(COUNTIF($D$2:$D2730,$D2730)&gt;1,"Trùng",""))</f>
        <v/>
      </c>
      <c r="S2730" s="22">
        <f>IF($D2730="","",IF(AND(LEN($D2730)=10,LEFT($D2730,1)="0",ISNUMBER(--$D2730)),"Có","Không"))</f>
        <v/>
      </c>
      <c r="T2730" s="22">
        <f>IF($D2730="","",IF(AND($C2730&lt;&gt;"",$Q2730="Có",$R2730="",$S2730="Có",AND($L2730&lt;&gt;"",OR($L2730&lt;&gt;"Chưa xác định",DANH_MUC!$L$9="Có"))),"Có","Không"))</f>
        <v/>
      </c>
      <c r="U2730" s="22">
        <f>IF(OR($D2730="",$T2730="Có"),"",IF($C2730="","Thiếu họ tên; ","")&amp;IF($S2730&lt;&gt;"Có","SĐT sai định dạng; ","")&amp;IF($R2730="Trùng","Trùng SĐT; ","")&amp;IF($Q2730&lt;&gt;"Có","Thiếu đồng ý bắt buộc; ","")&amp;IF($L2730="","Thiếu/sai Mã REF; ",IF(AND($L2730="Chưa xác định",DANH_MUC!$L$9&lt;&gt;"Có"),"Nguồn chưa xác định; ","")))</f>
        <v/>
      </c>
      <c r="V2730" s="22">
        <f>IF(OR($D2730="",$R2730="Trùng"),"",IF(COUNTIF(ORDERS!$C$2:$C$4995,$D2730)&gt;0,"Có","Không"))</f>
        <v/>
      </c>
      <c r="W2730" s="22">
        <f>IF(OR($D2730="",$R2730="Trùng"),"",COUNTIFS(ORDERS!$C$2:$C$4995,$D2730,ORDERS!$L$2:$L$4995,"Đã chuyển khoản"))</f>
        <v/>
      </c>
      <c r="X2730" s="23">
        <f>IF(OR($D2730="",$R2730="Trùng"),"",SUMIFS(ORDERS!$J$2:$J$4995,ORDERS!$C$2:$C$4995,$D2730,ORDERS!$L$2:$L$4995,"Đã chuyển khoản"))</f>
        <v/>
      </c>
      <c r="Y2730" s="24" t="n"/>
    </row>
    <row r="2731" ht="14.25" customHeight="1" s="40">
      <c r="A2731" s="24" t="n"/>
      <c r="B2731" s="27" t="n"/>
      <c r="C2731" s="24" t="n"/>
      <c r="D2731" s="28" t="n"/>
      <c r="E2731" s="29" t="n"/>
      <c r="F2731" s="24" t="n"/>
      <c r="G2731" s="24" t="n"/>
      <c r="H2731" s="21">
        <f>IF(ISNUMBER($B2731),INT($B2731)-WEEKDAY($B2731,2)+1,"")</f>
        <v/>
      </c>
      <c r="I2731" s="24" t="n"/>
      <c r="J2731" s="22">
        <f t="array" ref="J2731">IF($D2731="","",IF($I2731="","(trống REF)",IFERROR(INDEX(MASTER_SOURCE!$B$2:$B$495,MATCH($I2731,MASTER_SOURCE!$A$2:$A$495,0)),"(REF không có trong MASTER_SOURCE)")))</f>
        <v/>
      </c>
      <c r="K2731" s="22">
        <f t="array" ref="K2731">IF($D2731="","",IFERROR(INDEX(MASTER_SOURCE!$C$2:$C$495,MATCH($I2731,MASTER_SOURCE!$A$2:$A$495,0)),""))</f>
        <v/>
      </c>
      <c r="L2731" s="22">
        <f t="array" ref="L2731">IF($D2731="","",IFERROR(INDEX(MASTER_SOURCE!$D$2:$D$495,MATCH($I2731,MASTER_SOURCE!$A$2:$A$495,0)),""))</f>
        <v/>
      </c>
      <c r="M2731" s="24" t="n"/>
      <c r="N2731" s="24" t="n"/>
      <c r="O2731" s="24" t="n"/>
      <c r="P2731" s="24" t="n"/>
      <c r="Q2731" s="22">
        <f>IF($D2731="","",IF(AND(OR(DANH_MUC!$L$5&lt;&gt;"Có",M2731="Có"),OR(DANH_MUC!$L$6&lt;&gt;"Có",N2731="Có"),OR(DANH_MUC!$L$7&lt;&gt;"Có",O2731="Có"),OR(DANH_MUC!$L$8&lt;&gt;"Có",P2731="Có")),"Có","Không"))</f>
        <v/>
      </c>
      <c r="R2731" s="22">
        <f>IF($D2731="","",IF(COUNTIF($D$2:$D2731,$D2731)&gt;1,"Trùng",""))</f>
        <v/>
      </c>
      <c r="S2731" s="22">
        <f>IF($D2731="","",IF(AND(LEN($D2731)=10,LEFT($D2731,1)="0",ISNUMBER(--$D2731)),"Có","Không"))</f>
        <v/>
      </c>
      <c r="T2731" s="22">
        <f>IF($D2731="","",IF(AND($C2731&lt;&gt;"",$Q2731="Có",$R2731="",$S2731="Có",AND($L2731&lt;&gt;"",OR($L2731&lt;&gt;"Chưa xác định",DANH_MUC!$L$9="Có"))),"Có","Không"))</f>
        <v/>
      </c>
      <c r="U2731" s="22">
        <f>IF(OR($D2731="",$T2731="Có"),"",IF($C2731="","Thiếu họ tên; ","")&amp;IF($S2731&lt;&gt;"Có","SĐT sai định dạng; ","")&amp;IF($R2731="Trùng","Trùng SĐT; ","")&amp;IF($Q2731&lt;&gt;"Có","Thiếu đồng ý bắt buộc; ","")&amp;IF($L2731="","Thiếu/sai Mã REF; ",IF(AND($L2731="Chưa xác định",DANH_MUC!$L$9&lt;&gt;"Có"),"Nguồn chưa xác định; ","")))</f>
        <v/>
      </c>
      <c r="V2731" s="22">
        <f>IF(OR($D2731="",$R2731="Trùng"),"",IF(COUNTIF(ORDERS!$C$2:$C$4995,$D2731)&gt;0,"Có","Không"))</f>
        <v/>
      </c>
      <c r="W2731" s="22">
        <f>IF(OR($D2731="",$R2731="Trùng"),"",COUNTIFS(ORDERS!$C$2:$C$4995,$D2731,ORDERS!$L$2:$L$4995,"Đã chuyển khoản"))</f>
        <v/>
      </c>
      <c r="X2731" s="23">
        <f>IF(OR($D2731="",$R2731="Trùng"),"",SUMIFS(ORDERS!$J$2:$J$4995,ORDERS!$C$2:$C$4995,$D2731,ORDERS!$L$2:$L$4995,"Đã chuyển khoản"))</f>
        <v/>
      </c>
      <c r="Y2731" s="24" t="n"/>
    </row>
    <row r="2732" ht="14.25" customHeight="1" s="40">
      <c r="A2732" s="24" t="n"/>
      <c r="B2732" s="27" t="n"/>
      <c r="C2732" s="24" t="n"/>
      <c r="D2732" s="28" t="n"/>
      <c r="E2732" s="29" t="n"/>
      <c r="F2732" s="24" t="n"/>
      <c r="G2732" s="24" t="n"/>
      <c r="H2732" s="21">
        <f>IF(ISNUMBER($B2732),INT($B2732)-WEEKDAY($B2732,2)+1,"")</f>
        <v/>
      </c>
      <c r="I2732" s="24" t="n"/>
      <c r="J2732" s="22">
        <f t="array" ref="J2732">IF($D2732="","",IF($I2732="","(trống REF)",IFERROR(INDEX(MASTER_SOURCE!$B$2:$B$495,MATCH($I2732,MASTER_SOURCE!$A$2:$A$495,0)),"(REF không có trong MASTER_SOURCE)")))</f>
        <v/>
      </c>
      <c r="K2732" s="22">
        <f t="array" ref="K2732">IF($D2732="","",IFERROR(INDEX(MASTER_SOURCE!$C$2:$C$495,MATCH($I2732,MASTER_SOURCE!$A$2:$A$495,0)),""))</f>
        <v/>
      </c>
      <c r="L2732" s="22">
        <f t="array" ref="L2732">IF($D2732="","",IFERROR(INDEX(MASTER_SOURCE!$D$2:$D$495,MATCH($I2732,MASTER_SOURCE!$A$2:$A$495,0)),""))</f>
        <v/>
      </c>
      <c r="M2732" s="24" t="n"/>
      <c r="N2732" s="24" t="n"/>
      <c r="O2732" s="24" t="n"/>
      <c r="P2732" s="24" t="n"/>
      <c r="Q2732" s="22">
        <f>IF($D2732="","",IF(AND(OR(DANH_MUC!$L$5&lt;&gt;"Có",M2732="Có"),OR(DANH_MUC!$L$6&lt;&gt;"Có",N2732="Có"),OR(DANH_MUC!$L$7&lt;&gt;"Có",O2732="Có"),OR(DANH_MUC!$L$8&lt;&gt;"Có",P2732="Có")),"Có","Không"))</f>
        <v/>
      </c>
      <c r="R2732" s="22">
        <f>IF($D2732="","",IF(COUNTIF($D$2:$D2732,$D2732)&gt;1,"Trùng",""))</f>
        <v/>
      </c>
      <c r="S2732" s="22">
        <f>IF($D2732="","",IF(AND(LEN($D2732)=10,LEFT($D2732,1)="0",ISNUMBER(--$D2732)),"Có","Không"))</f>
        <v/>
      </c>
      <c r="T2732" s="22">
        <f>IF($D2732="","",IF(AND($C2732&lt;&gt;"",$Q2732="Có",$R2732="",$S2732="Có",AND($L2732&lt;&gt;"",OR($L2732&lt;&gt;"Chưa xác định",DANH_MUC!$L$9="Có"))),"Có","Không"))</f>
        <v/>
      </c>
      <c r="U2732" s="22">
        <f>IF(OR($D2732="",$T2732="Có"),"",IF($C2732="","Thiếu họ tên; ","")&amp;IF($S2732&lt;&gt;"Có","SĐT sai định dạng; ","")&amp;IF($R2732="Trùng","Trùng SĐT; ","")&amp;IF($Q2732&lt;&gt;"Có","Thiếu đồng ý bắt buộc; ","")&amp;IF($L2732="","Thiếu/sai Mã REF; ",IF(AND($L2732="Chưa xác định",DANH_MUC!$L$9&lt;&gt;"Có"),"Nguồn chưa xác định; ","")))</f>
        <v/>
      </c>
      <c r="V2732" s="22">
        <f>IF(OR($D2732="",$R2732="Trùng"),"",IF(COUNTIF(ORDERS!$C$2:$C$4995,$D2732)&gt;0,"Có","Không"))</f>
        <v/>
      </c>
      <c r="W2732" s="22">
        <f>IF(OR($D2732="",$R2732="Trùng"),"",COUNTIFS(ORDERS!$C$2:$C$4995,$D2732,ORDERS!$L$2:$L$4995,"Đã chuyển khoản"))</f>
        <v/>
      </c>
      <c r="X2732" s="23">
        <f>IF(OR($D2732="",$R2732="Trùng"),"",SUMIFS(ORDERS!$J$2:$J$4995,ORDERS!$C$2:$C$4995,$D2732,ORDERS!$L$2:$L$4995,"Đã chuyển khoản"))</f>
        <v/>
      </c>
      <c r="Y2732" s="24" t="n"/>
    </row>
    <row r="2733" ht="14.25" customHeight="1" s="40">
      <c r="A2733" s="24" t="n"/>
      <c r="B2733" s="27" t="n"/>
      <c r="C2733" s="24" t="n"/>
      <c r="D2733" s="28" t="n"/>
      <c r="E2733" s="29" t="n"/>
      <c r="F2733" s="24" t="n"/>
      <c r="G2733" s="24" t="n"/>
      <c r="H2733" s="21">
        <f>IF(ISNUMBER($B2733),INT($B2733)-WEEKDAY($B2733,2)+1,"")</f>
        <v/>
      </c>
      <c r="I2733" s="24" t="n"/>
      <c r="J2733" s="22">
        <f t="array" ref="J2733">IF($D2733="","",IF($I2733="","(trống REF)",IFERROR(INDEX(MASTER_SOURCE!$B$2:$B$495,MATCH($I2733,MASTER_SOURCE!$A$2:$A$495,0)),"(REF không có trong MASTER_SOURCE)")))</f>
        <v/>
      </c>
      <c r="K2733" s="22">
        <f t="array" ref="K2733">IF($D2733="","",IFERROR(INDEX(MASTER_SOURCE!$C$2:$C$495,MATCH($I2733,MASTER_SOURCE!$A$2:$A$495,0)),""))</f>
        <v/>
      </c>
      <c r="L2733" s="22">
        <f t="array" ref="L2733">IF($D2733="","",IFERROR(INDEX(MASTER_SOURCE!$D$2:$D$495,MATCH($I2733,MASTER_SOURCE!$A$2:$A$495,0)),""))</f>
        <v/>
      </c>
      <c r="M2733" s="24" t="n"/>
      <c r="N2733" s="24" t="n"/>
      <c r="O2733" s="24" t="n"/>
      <c r="P2733" s="24" t="n"/>
      <c r="Q2733" s="22">
        <f>IF($D2733="","",IF(AND(OR(DANH_MUC!$L$5&lt;&gt;"Có",M2733="Có"),OR(DANH_MUC!$L$6&lt;&gt;"Có",N2733="Có"),OR(DANH_MUC!$L$7&lt;&gt;"Có",O2733="Có"),OR(DANH_MUC!$L$8&lt;&gt;"Có",P2733="Có")),"Có","Không"))</f>
        <v/>
      </c>
      <c r="R2733" s="22">
        <f>IF($D2733="","",IF(COUNTIF($D$2:$D2733,$D2733)&gt;1,"Trùng",""))</f>
        <v/>
      </c>
      <c r="S2733" s="22">
        <f>IF($D2733="","",IF(AND(LEN($D2733)=10,LEFT($D2733,1)="0",ISNUMBER(--$D2733)),"Có","Không"))</f>
        <v/>
      </c>
      <c r="T2733" s="22">
        <f>IF($D2733="","",IF(AND($C2733&lt;&gt;"",$Q2733="Có",$R2733="",$S2733="Có",AND($L2733&lt;&gt;"",OR($L2733&lt;&gt;"Chưa xác định",DANH_MUC!$L$9="Có"))),"Có","Không"))</f>
        <v/>
      </c>
      <c r="U2733" s="22">
        <f>IF(OR($D2733="",$T2733="Có"),"",IF($C2733="","Thiếu họ tên; ","")&amp;IF($S2733&lt;&gt;"Có","SĐT sai định dạng; ","")&amp;IF($R2733="Trùng","Trùng SĐT; ","")&amp;IF($Q2733&lt;&gt;"Có","Thiếu đồng ý bắt buộc; ","")&amp;IF($L2733="","Thiếu/sai Mã REF; ",IF(AND($L2733="Chưa xác định",DANH_MUC!$L$9&lt;&gt;"Có"),"Nguồn chưa xác định; ","")))</f>
        <v/>
      </c>
      <c r="V2733" s="22">
        <f>IF(OR($D2733="",$R2733="Trùng"),"",IF(COUNTIF(ORDERS!$C$2:$C$4995,$D2733)&gt;0,"Có","Không"))</f>
        <v/>
      </c>
      <c r="W2733" s="22">
        <f>IF(OR($D2733="",$R2733="Trùng"),"",COUNTIFS(ORDERS!$C$2:$C$4995,$D2733,ORDERS!$L$2:$L$4995,"Đã chuyển khoản"))</f>
        <v/>
      </c>
      <c r="X2733" s="23">
        <f>IF(OR($D2733="",$R2733="Trùng"),"",SUMIFS(ORDERS!$J$2:$J$4995,ORDERS!$C$2:$C$4995,$D2733,ORDERS!$L$2:$L$4995,"Đã chuyển khoản"))</f>
        <v/>
      </c>
      <c r="Y2733" s="24" t="n"/>
    </row>
    <row r="2734" ht="14.25" customHeight="1" s="40">
      <c r="A2734" s="24" t="n"/>
      <c r="B2734" s="27" t="n"/>
      <c r="C2734" s="24" t="n"/>
      <c r="D2734" s="28" t="n"/>
      <c r="E2734" s="29" t="n"/>
      <c r="F2734" s="24" t="n"/>
      <c r="G2734" s="24" t="n"/>
      <c r="H2734" s="21">
        <f>IF(ISNUMBER($B2734),INT($B2734)-WEEKDAY($B2734,2)+1,"")</f>
        <v/>
      </c>
      <c r="I2734" s="24" t="n"/>
      <c r="J2734" s="22">
        <f t="array" ref="J2734">IF($D2734="","",IF($I2734="","(trống REF)",IFERROR(INDEX(MASTER_SOURCE!$B$2:$B$495,MATCH($I2734,MASTER_SOURCE!$A$2:$A$495,0)),"(REF không có trong MASTER_SOURCE)")))</f>
        <v/>
      </c>
      <c r="K2734" s="22">
        <f t="array" ref="K2734">IF($D2734="","",IFERROR(INDEX(MASTER_SOURCE!$C$2:$C$495,MATCH($I2734,MASTER_SOURCE!$A$2:$A$495,0)),""))</f>
        <v/>
      </c>
      <c r="L2734" s="22">
        <f t="array" ref="L2734">IF($D2734="","",IFERROR(INDEX(MASTER_SOURCE!$D$2:$D$495,MATCH($I2734,MASTER_SOURCE!$A$2:$A$495,0)),""))</f>
        <v/>
      </c>
      <c r="M2734" s="24" t="n"/>
      <c r="N2734" s="24" t="n"/>
      <c r="O2734" s="24" t="n"/>
      <c r="P2734" s="24" t="n"/>
      <c r="Q2734" s="22">
        <f>IF($D2734="","",IF(AND(OR(DANH_MUC!$L$5&lt;&gt;"Có",M2734="Có"),OR(DANH_MUC!$L$6&lt;&gt;"Có",N2734="Có"),OR(DANH_MUC!$L$7&lt;&gt;"Có",O2734="Có"),OR(DANH_MUC!$L$8&lt;&gt;"Có",P2734="Có")),"Có","Không"))</f>
        <v/>
      </c>
      <c r="R2734" s="22">
        <f>IF($D2734="","",IF(COUNTIF($D$2:$D2734,$D2734)&gt;1,"Trùng",""))</f>
        <v/>
      </c>
      <c r="S2734" s="22">
        <f>IF($D2734="","",IF(AND(LEN($D2734)=10,LEFT($D2734,1)="0",ISNUMBER(--$D2734)),"Có","Không"))</f>
        <v/>
      </c>
      <c r="T2734" s="22">
        <f>IF($D2734="","",IF(AND($C2734&lt;&gt;"",$Q2734="Có",$R2734="",$S2734="Có",AND($L2734&lt;&gt;"",OR($L2734&lt;&gt;"Chưa xác định",DANH_MUC!$L$9="Có"))),"Có","Không"))</f>
        <v/>
      </c>
      <c r="U2734" s="22">
        <f>IF(OR($D2734="",$T2734="Có"),"",IF($C2734="","Thiếu họ tên; ","")&amp;IF($S2734&lt;&gt;"Có","SĐT sai định dạng; ","")&amp;IF($R2734="Trùng","Trùng SĐT; ","")&amp;IF($Q2734&lt;&gt;"Có","Thiếu đồng ý bắt buộc; ","")&amp;IF($L2734="","Thiếu/sai Mã REF; ",IF(AND($L2734="Chưa xác định",DANH_MUC!$L$9&lt;&gt;"Có"),"Nguồn chưa xác định; ","")))</f>
        <v/>
      </c>
      <c r="V2734" s="22">
        <f>IF(OR($D2734="",$R2734="Trùng"),"",IF(COUNTIF(ORDERS!$C$2:$C$4995,$D2734)&gt;0,"Có","Không"))</f>
        <v/>
      </c>
      <c r="W2734" s="22">
        <f>IF(OR($D2734="",$R2734="Trùng"),"",COUNTIFS(ORDERS!$C$2:$C$4995,$D2734,ORDERS!$L$2:$L$4995,"Đã chuyển khoản"))</f>
        <v/>
      </c>
      <c r="X2734" s="23">
        <f>IF(OR($D2734="",$R2734="Trùng"),"",SUMIFS(ORDERS!$J$2:$J$4995,ORDERS!$C$2:$C$4995,$D2734,ORDERS!$L$2:$L$4995,"Đã chuyển khoản"))</f>
        <v/>
      </c>
      <c r="Y2734" s="24" t="n"/>
    </row>
    <row r="2735" ht="14.25" customHeight="1" s="40">
      <c r="A2735" s="24" t="n"/>
      <c r="B2735" s="27" t="n"/>
      <c r="C2735" s="24" t="n"/>
      <c r="D2735" s="28" t="n"/>
      <c r="E2735" s="29" t="n"/>
      <c r="F2735" s="24" t="n"/>
      <c r="G2735" s="24" t="n"/>
      <c r="H2735" s="21">
        <f>IF(ISNUMBER($B2735),INT($B2735)-WEEKDAY($B2735,2)+1,"")</f>
        <v/>
      </c>
      <c r="I2735" s="24" t="n"/>
      <c r="J2735" s="22">
        <f t="array" ref="J2735">IF($D2735="","",IF($I2735="","(trống REF)",IFERROR(INDEX(MASTER_SOURCE!$B$2:$B$495,MATCH($I2735,MASTER_SOURCE!$A$2:$A$495,0)),"(REF không có trong MASTER_SOURCE)")))</f>
        <v/>
      </c>
      <c r="K2735" s="22">
        <f t="array" ref="K2735">IF($D2735="","",IFERROR(INDEX(MASTER_SOURCE!$C$2:$C$495,MATCH($I2735,MASTER_SOURCE!$A$2:$A$495,0)),""))</f>
        <v/>
      </c>
      <c r="L2735" s="22">
        <f t="array" ref="L2735">IF($D2735="","",IFERROR(INDEX(MASTER_SOURCE!$D$2:$D$495,MATCH($I2735,MASTER_SOURCE!$A$2:$A$495,0)),""))</f>
        <v/>
      </c>
      <c r="M2735" s="24" t="n"/>
      <c r="N2735" s="24" t="n"/>
      <c r="O2735" s="24" t="n"/>
      <c r="P2735" s="24" t="n"/>
      <c r="Q2735" s="22">
        <f>IF($D2735="","",IF(AND(OR(DANH_MUC!$L$5&lt;&gt;"Có",M2735="Có"),OR(DANH_MUC!$L$6&lt;&gt;"Có",N2735="Có"),OR(DANH_MUC!$L$7&lt;&gt;"Có",O2735="Có"),OR(DANH_MUC!$L$8&lt;&gt;"Có",P2735="Có")),"Có","Không"))</f>
        <v/>
      </c>
      <c r="R2735" s="22">
        <f>IF($D2735="","",IF(COUNTIF($D$2:$D2735,$D2735)&gt;1,"Trùng",""))</f>
        <v/>
      </c>
      <c r="S2735" s="22">
        <f>IF($D2735="","",IF(AND(LEN($D2735)=10,LEFT($D2735,1)="0",ISNUMBER(--$D2735)),"Có","Không"))</f>
        <v/>
      </c>
      <c r="T2735" s="22">
        <f>IF($D2735="","",IF(AND($C2735&lt;&gt;"",$Q2735="Có",$R2735="",$S2735="Có",AND($L2735&lt;&gt;"",OR($L2735&lt;&gt;"Chưa xác định",DANH_MUC!$L$9="Có"))),"Có","Không"))</f>
        <v/>
      </c>
      <c r="U2735" s="22">
        <f>IF(OR($D2735="",$T2735="Có"),"",IF($C2735="","Thiếu họ tên; ","")&amp;IF($S2735&lt;&gt;"Có","SĐT sai định dạng; ","")&amp;IF($R2735="Trùng","Trùng SĐT; ","")&amp;IF($Q2735&lt;&gt;"Có","Thiếu đồng ý bắt buộc; ","")&amp;IF($L2735="","Thiếu/sai Mã REF; ",IF(AND($L2735="Chưa xác định",DANH_MUC!$L$9&lt;&gt;"Có"),"Nguồn chưa xác định; ","")))</f>
        <v/>
      </c>
      <c r="V2735" s="22">
        <f>IF(OR($D2735="",$R2735="Trùng"),"",IF(COUNTIF(ORDERS!$C$2:$C$4995,$D2735)&gt;0,"Có","Không"))</f>
        <v/>
      </c>
      <c r="W2735" s="22">
        <f>IF(OR($D2735="",$R2735="Trùng"),"",COUNTIFS(ORDERS!$C$2:$C$4995,$D2735,ORDERS!$L$2:$L$4995,"Đã chuyển khoản"))</f>
        <v/>
      </c>
      <c r="X2735" s="23">
        <f>IF(OR($D2735="",$R2735="Trùng"),"",SUMIFS(ORDERS!$J$2:$J$4995,ORDERS!$C$2:$C$4995,$D2735,ORDERS!$L$2:$L$4995,"Đã chuyển khoản"))</f>
        <v/>
      </c>
      <c r="Y2735" s="24" t="n"/>
    </row>
    <row r="2736" ht="14.25" customHeight="1" s="40">
      <c r="A2736" s="24" t="n"/>
      <c r="B2736" s="27" t="n"/>
      <c r="C2736" s="24" t="n"/>
      <c r="D2736" s="28" t="n"/>
      <c r="E2736" s="29" t="n"/>
      <c r="F2736" s="24" t="n"/>
      <c r="G2736" s="24" t="n"/>
      <c r="H2736" s="21">
        <f>IF(ISNUMBER($B2736),INT($B2736)-WEEKDAY($B2736,2)+1,"")</f>
        <v/>
      </c>
      <c r="I2736" s="24" t="n"/>
      <c r="J2736" s="22">
        <f t="array" ref="J2736">IF($D2736="","",IF($I2736="","(trống REF)",IFERROR(INDEX(MASTER_SOURCE!$B$2:$B$495,MATCH($I2736,MASTER_SOURCE!$A$2:$A$495,0)),"(REF không có trong MASTER_SOURCE)")))</f>
        <v/>
      </c>
      <c r="K2736" s="22">
        <f t="array" ref="K2736">IF($D2736="","",IFERROR(INDEX(MASTER_SOURCE!$C$2:$C$495,MATCH($I2736,MASTER_SOURCE!$A$2:$A$495,0)),""))</f>
        <v/>
      </c>
      <c r="L2736" s="22">
        <f t="array" ref="L2736">IF($D2736="","",IFERROR(INDEX(MASTER_SOURCE!$D$2:$D$495,MATCH($I2736,MASTER_SOURCE!$A$2:$A$495,0)),""))</f>
        <v/>
      </c>
      <c r="M2736" s="24" t="n"/>
      <c r="N2736" s="24" t="n"/>
      <c r="O2736" s="24" t="n"/>
      <c r="P2736" s="24" t="n"/>
      <c r="Q2736" s="22">
        <f>IF($D2736="","",IF(AND(OR(DANH_MUC!$L$5&lt;&gt;"Có",M2736="Có"),OR(DANH_MUC!$L$6&lt;&gt;"Có",N2736="Có"),OR(DANH_MUC!$L$7&lt;&gt;"Có",O2736="Có"),OR(DANH_MUC!$L$8&lt;&gt;"Có",P2736="Có")),"Có","Không"))</f>
        <v/>
      </c>
      <c r="R2736" s="22">
        <f>IF($D2736="","",IF(COUNTIF($D$2:$D2736,$D2736)&gt;1,"Trùng",""))</f>
        <v/>
      </c>
      <c r="S2736" s="22">
        <f>IF($D2736="","",IF(AND(LEN($D2736)=10,LEFT($D2736,1)="0",ISNUMBER(--$D2736)),"Có","Không"))</f>
        <v/>
      </c>
      <c r="T2736" s="22">
        <f>IF($D2736="","",IF(AND($C2736&lt;&gt;"",$Q2736="Có",$R2736="",$S2736="Có",AND($L2736&lt;&gt;"",OR($L2736&lt;&gt;"Chưa xác định",DANH_MUC!$L$9="Có"))),"Có","Không"))</f>
        <v/>
      </c>
      <c r="U2736" s="22">
        <f>IF(OR($D2736="",$T2736="Có"),"",IF($C2736="","Thiếu họ tên; ","")&amp;IF($S2736&lt;&gt;"Có","SĐT sai định dạng; ","")&amp;IF($R2736="Trùng","Trùng SĐT; ","")&amp;IF($Q2736&lt;&gt;"Có","Thiếu đồng ý bắt buộc; ","")&amp;IF($L2736="","Thiếu/sai Mã REF; ",IF(AND($L2736="Chưa xác định",DANH_MUC!$L$9&lt;&gt;"Có"),"Nguồn chưa xác định; ","")))</f>
        <v/>
      </c>
      <c r="V2736" s="22">
        <f>IF(OR($D2736="",$R2736="Trùng"),"",IF(COUNTIF(ORDERS!$C$2:$C$4995,$D2736)&gt;0,"Có","Không"))</f>
        <v/>
      </c>
      <c r="W2736" s="22">
        <f>IF(OR($D2736="",$R2736="Trùng"),"",COUNTIFS(ORDERS!$C$2:$C$4995,$D2736,ORDERS!$L$2:$L$4995,"Đã chuyển khoản"))</f>
        <v/>
      </c>
      <c r="X2736" s="23">
        <f>IF(OR($D2736="",$R2736="Trùng"),"",SUMIFS(ORDERS!$J$2:$J$4995,ORDERS!$C$2:$C$4995,$D2736,ORDERS!$L$2:$L$4995,"Đã chuyển khoản"))</f>
        <v/>
      </c>
      <c r="Y2736" s="24" t="n"/>
    </row>
    <row r="2737" ht="14.25" customHeight="1" s="40">
      <c r="A2737" s="24" t="n"/>
      <c r="B2737" s="27" t="n"/>
      <c r="C2737" s="24" t="n"/>
      <c r="D2737" s="28" t="n"/>
      <c r="E2737" s="29" t="n"/>
      <c r="F2737" s="24" t="n"/>
      <c r="G2737" s="24" t="n"/>
      <c r="H2737" s="21">
        <f>IF(ISNUMBER($B2737),INT($B2737)-WEEKDAY($B2737,2)+1,"")</f>
        <v/>
      </c>
      <c r="I2737" s="24" t="n"/>
      <c r="J2737" s="22">
        <f t="array" ref="J2737">IF($D2737="","",IF($I2737="","(trống REF)",IFERROR(INDEX(MASTER_SOURCE!$B$2:$B$495,MATCH($I2737,MASTER_SOURCE!$A$2:$A$495,0)),"(REF không có trong MASTER_SOURCE)")))</f>
        <v/>
      </c>
      <c r="K2737" s="22">
        <f t="array" ref="K2737">IF($D2737="","",IFERROR(INDEX(MASTER_SOURCE!$C$2:$C$495,MATCH($I2737,MASTER_SOURCE!$A$2:$A$495,0)),""))</f>
        <v/>
      </c>
      <c r="L2737" s="22">
        <f t="array" ref="L2737">IF($D2737="","",IFERROR(INDEX(MASTER_SOURCE!$D$2:$D$495,MATCH($I2737,MASTER_SOURCE!$A$2:$A$495,0)),""))</f>
        <v/>
      </c>
      <c r="M2737" s="24" t="n"/>
      <c r="N2737" s="24" t="n"/>
      <c r="O2737" s="24" t="n"/>
      <c r="P2737" s="24" t="n"/>
      <c r="Q2737" s="22">
        <f>IF($D2737="","",IF(AND(OR(DANH_MUC!$L$5&lt;&gt;"Có",M2737="Có"),OR(DANH_MUC!$L$6&lt;&gt;"Có",N2737="Có"),OR(DANH_MUC!$L$7&lt;&gt;"Có",O2737="Có"),OR(DANH_MUC!$L$8&lt;&gt;"Có",P2737="Có")),"Có","Không"))</f>
        <v/>
      </c>
      <c r="R2737" s="22">
        <f>IF($D2737="","",IF(COUNTIF($D$2:$D2737,$D2737)&gt;1,"Trùng",""))</f>
        <v/>
      </c>
      <c r="S2737" s="22">
        <f>IF($D2737="","",IF(AND(LEN($D2737)=10,LEFT($D2737,1)="0",ISNUMBER(--$D2737)),"Có","Không"))</f>
        <v/>
      </c>
      <c r="T2737" s="22">
        <f>IF($D2737="","",IF(AND($C2737&lt;&gt;"",$Q2737="Có",$R2737="",$S2737="Có",AND($L2737&lt;&gt;"",OR($L2737&lt;&gt;"Chưa xác định",DANH_MUC!$L$9="Có"))),"Có","Không"))</f>
        <v/>
      </c>
      <c r="U2737" s="22">
        <f>IF(OR($D2737="",$T2737="Có"),"",IF($C2737="","Thiếu họ tên; ","")&amp;IF($S2737&lt;&gt;"Có","SĐT sai định dạng; ","")&amp;IF($R2737="Trùng","Trùng SĐT; ","")&amp;IF($Q2737&lt;&gt;"Có","Thiếu đồng ý bắt buộc; ","")&amp;IF($L2737="","Thiếu/sai Mã REF; ",IF(AND($L2737="Chưa xác định",DANH_MUC!$L$9&lt;&gt;"Có"),"Nguồn chưa xác định; ","")))</f>
        <v/>
      </c>
      <c r="V2737" s="22">
        <f>IF(OR($D2737="",$R2737="Trùng"),"",IF(COUNTIF(ORDERS!$C$2:$C$4995,$D2737)&gt;0,"Có","Không"))</f>
        <v/>
      </c>
      <c r="W2737" s="22">
        <f>IF(OR($D2737="",$R2737="Trùng"),"",COUNTIFS(ORDERS!$C$2:$C$4995,$D2737,ORDERS!$L$2:$L$4995,"Đã chuyển khoản"))</f>
        <v/>
      </c>
      <c r="X2737" s="23">
        <f>IF(OR($D2737="",$R2737="Trùng"),"",SUMIFS(ORDERS!$J$2:$J$4995,ORDERS!$C$2:$C$4995,$D2737,ORDERS!$L$2:$L$4995,"Đã chuyển khoản"))</f>
        <v/>
      </c>
      <c r="Y2737" s="24" t="n"/>
    </row>
    <row r="2738" ht="14.25" customHeight="1" s="40">
      <c r="A2738" s="24" t="n"/>
      <c r="B2738" s="27" t="n"/>
      <c r="C2738" s="24" t="n"/>
      <c r="D2738" s="28" t="n"/>
      <c r="E2738" s="29" t="n"/>
      <c r="F2738" s="24" t="n"/>
      <c r="G2738" s="24" t="n"/>
      <c r="H2738" s="21">
        <f>IF(ISNUMBER($B2738),INT($B2738)-WEEKDAY($B2738,2)+1,"")</f>
        <v/>
      </c>
      <c r="I2738" s="24" t="n"/>
      <c r="J2738" s="22">
        <f t="array" ref="J2738">IF($D2738="","",IF($I2738="","(trống REF)",IFERROR(INDEX(MASTER_SOURCE!$B$2:$B$495,MATCH($I2738,MASTER_SOURCE!$A$2:$A$495,0)),"(REF không có trong MASTER_SOURCE)")))</f>
        <v/>
      </c>
      <c r="K2738" s="22">
        <f t="array" ref="K2738">IF($D2738="","",IFERROR(INDEX(MASTER_SOURCE!$C$2:$C$495,MATCH($I2738,MASTER_SOURCE!$A$2:$A$495,0)),""))</f>
        <v/>
      </c>
      <c r="L2738" s="22">
        <f t="array" ref="L2738">IF($D2738="","",IFERROR(INDEX(MASTER_SOURCE!$D$2:$D$495,MATCH($I2738,MASTER_SOURCE!$A$2:$A$495,0)),""))</f>
        <v/>
      </c>
      <c r="M2738" s="24" t="n"/>
      <c r="N2738" s="24" t="n"/>
      <c r="O2738" s="24" t="n"/>
      <c r="P2738" s="24" t="n"/>
      <c r="Q2738" s="22">
        <f>IF($D2738="","",IF(AND(OR(DANH_MUC!$L$5&lt;&gt;"Có",M2738="Có"),OR(DANH_MUC!$L$6&lt;&gt;"Có",N2738="Có"),OR(DANH_MUC!$L$7&lt;&gt;"Có",O2738="Có"),OR(DANH_MUC!$L$8&lt;&gt;"Có",P2738="Có")),"Có","Không"))</f>
        <v/>
      </c>
      <c r="R2738" s="22">
        <f>IF($D2738="","",IF(COUNTIF($D$2:$D2738,$D2738)&gt;1,"Trùng",""))</f>
        <v/>
      </c>
      <c r="S2738" s="22">
        <f>IF($D2738="","",IF(AND(LEN($D2738)=10,LEFT($D2738,1)="0",ISNUMBER(--$D2738)),"Có","Không"))</f>
        <v/>
      </c>
      <c r="T2738" s="22">
        <f>IF($D2738="","",IF(AND($C2738&lt;&gt;"",$Q2738="Có",$R2738="",$S2738="Có",AND($L2738&lt;&gt;"",OR($L2738&lt;&gt;"Chưa xác định",DANH_MUC!$L$9="Có"))),"Có","Không"))</f>
        <v/>
      </c>
      <c r="U2738" s="22">
        <f>IF(OR($D2738="",$T2738="Có"),"",IF($C2738="","Thiếu họ tên; ","")&amp;IF($S2738&lt;&gt;"Có","SĐT sai định dạng; ","")&amp;IF($R2738="Trùng","Trùng SĐT; ","")&amp;IF($Q2738&lt;&gt;"Có","Thiếu đồng ý bắt buộc; ","")&amp;IF($L2738="","Thiếu/sai Mã REF; ",IF(AND($L2738="Chưa xác định",DANH_MUC!$L$9&lt;&gt;"Có"),"Nguồn chưa xác định; ","")))</f>
        <v/>
      </c>
      <c r="V2738" s="22">
        <f>IF(OR($D2738="",$R2738="Trùng"),"",IF(COUNTIF(ORDERS!$C$2:$C$4995,$D2738)&gt;0,"Có","Không"))</f>
        <v/>
      </c>
      <c r="W2738" s="22">
        <f>IF(OR($D2738="",$R2738="Trùng"),"",COUNTIFS(ORDERS!$C$2:$C$4995,$D2738,ORDERS!$L$2:$L$4995,"Đã chuyển khoản"))</f>
        <v/>
      </c>
      <c r="X2738" s="23">
        <f>IF(OR($D2738="",$R2738="Trùng"),"",SUMIFS(ORDERS!$J$2:$J$4995,ORDERS!$C$2:$C$4995,$D2738,ORDERS!$L$2:$L$4995,"Đã chuyển khoản"))</f>
        <v/>
      </c>
      <c r="Y2738" s="24" t="n"/>
    </row>
    <row r="2739" ht="14.25" customHeight="1" s="40">
      <c r="A2739" s="24" t="n"/>
      <c r="B2739" s="27" t="n"/>
      <c r="C2739" s="24" t="n"/>
      <c r="D2739" s="28" t="n"/>
      <c r="E2739" s="29" t="n"/>
      <c r="F2739" s="24" t="n"/>
      <c r="G2739" s="24" t="n"/>
      <c r="H2739" s="21">
        <f>IF(ISNUMBER($B2739),INT($B2739)-WEEKDAY($B2739,2)+1,"")</f>
        <v/>
      </c>
      <c r="I2739" s="24" t="n"/>
      <c r="J2739" s="22">
        <f t="array" ref="J2739">IF($D2739="","",IF($I2739="","(trống REF)",IFERROR(INDEX(MASTER_SOURCE!$B$2:$B$495,MATCH($I2739,MASTER_SOURCE!$A$2:$A$495,0)),"(REF không có trong MASTER_SOURCE)")))</f>
        <v/>
      </c>
      <c r="K2739" s="22">
        <f t="array" ref="K2739">IF($D2739="","",IFERROR(INDEX(MASTER_SOURCE!$C$2:$C$495,MATCH($I2739,MASTER_SOURCE!$A$2:$A$495,0)),""))</f>
        <v/>
      </c>
      <c r="L2739" s="22">
        <f t="array" ref="L2739">IF($D2739="","",IFERROR(INDEX(MASTER_SOURCE!$D$2:$D$495,MATCH($I2739,MASTER_SOURCE!$A$2:$A$495,0)),""))</f>
        <v/>
      </c>
      <c r="M2739" s="24" t="n"/>
      <c r="N2739" s="24" t="n"/>
      <c r="O2739" s="24" t="n"/>
      <c r="P2739" s="24" t="n"/>
      <c r="Q2739" s="22">
        <f>IF($D2739="","",IF(AND(OR(DANH_MUC!$L$5&lt;&gt;"Có",M2739="Có"),OR(DANH_MUC!$L$6&lt;&gt;"Có",N2739="Có"),OR(DANH_MUC!$L$7&lt;&gt;"Có",O2739="Có"),OR(DANH_MUC!$L$8&lt;&gt;"Có",P2739="Có")),"Có","Không"))</f>
        <v/>
      </c>
      <c r="R2739" s="22">
        <f>IF($D2739="","",IF(COUNTIF($D$2:$D2739,$D2739)&gt;1,"Trùng",""))</f>
        <v/>
      </c>
      <c r="S2739" s="22">
        <f>IF($D2739="","",IF(AND(LEN($D2739)=10,LEFT($D2739,1)="0",ISNUMBER(--$D2739)),"Có","Không"))</f>
        <v/>
      </c>
      <c r="T2739" s="22">
        <f>IF($D2739="","",IF(AND($C2739&lt;&gt;"",$Q2739="Có",$R2739="",$S2739="Có",AND($L2739&lt;&gt;"",OR($L2739&lt;&gt;"Chưa xác định",DANH_MUC!$L$9="Có"))),"Có","Không"))</f>
        <v/>
      </c>
      <c r="U2739" s="22">
        <f>IF(OR($D2739="",$T2739="Có"),"",IF($C2739="","Thiếu họ tên; ","")&amp;IF($S2739&lt;&gt;"Có","SĐT sai định dạng; ","")&amp;IF($R2739="Trùng","Trùng SĐT; ","")&amp;IF($Q2739&lt;&gt;"Có","Thiếu đồng ý bắt buộc; ","")&amp;IF($L2739="","Thiếu/sai Mã REF; ",IF(AND($L2739="Chưa xác định",DANH_MUC!$L$9&lt;&gt;"Có"),"Nguồn chưa xác định; ","")))</f>
        <v/>
      </c>
      <c r="V2739" s="22">
        <f>IF(OR($D2739="",$R2739="Trùng"),"",IF(COUNTIF(ORDERS!$C$2:$C$4995,$D2739)&gt;0,"Có","Không"))</f>
        <v/>
      </c>
      <c r="W2739" s="22">
        <f>IF(OR($D2739="",$R2739="Trùng"),"",COUNTIFS(ORDERS!$C$2:$C$4995,$D2739,ORDERS!$L$2:$L$4995,"Đã chuyển khoản"))</f>
        <v/>
      </c>
      <c r="X2739" s="23">
        <f>IF(OR($D2739="",$R2739="Trùng"),"",SUMIFS(ORDERS!$J$2:$J$4995,ORDERS!$C$2:$C$4995,$D2739,ORDERS!$L$2:$L$4995,"Đã chuyển khoản"))</f>
        <v/>
      </c>
      <c r="Y2739" s="24" t="n"/>
    </row>
    <row r="2740" ht="14.25" customHeight="1" s="40">
      <c r="A2740" s="24" t="n"/>
      <c r="B2740" s="27" t="n"/>
      <c r="C2740" s="24" t="n"/>
      <c r="D2740" s="28" t="n"/>
      <c r="E2740" s="29" t="n"/>
      <c r="F2740" s="24" t="n"/>
      <c r="G2740" s="24" t="n"/>
      <c r="H2740" s="21">
        <f>IF(ISNUMBER($B2740),INT($B2740)-WEEKDAY($B2740,2)+1,"")</f>
        <v/>
      </c>
      <c r="I2740" s="24" t="n"/>
      <c r="J2740" s="22">
        <f t="array" ref="J2740">IF($D2740="","",IF($I2740="","(trống REF)",IFERROR(INDEX(MASTER_SOURCE!$B$2:$B$495,MATCH($I2740,MASTER_SOURCE!$A$2:$A$495,0)),"(REF không có trong MASTER_SOURCE)")))</f>
        <v/>
      </c>
      <c r="K2740" s="22">
        <f t="array" ref="K2740">IF($D2740="","",IFERROR(INDEX(MASTER_SOURCE!$C$2:$C$495,MATCH($I2740,MASTER_SOURCE!$A$2:$A$495,0)),""))</f>
        <v/>
      </c>
      <c r="L2740" s="22">
        <f t="array" ref="L2740">IF($D2740="","",IFERROR(INDEX(MASTER_SOURCE!$D$2:$D$495,MATCH($I2740,MASTER_SOURCE!$A$2:$A$495,0)),""))</f>
        <v/>
      </c>
      <c r="M2740" s="24" t="n"/>
      <c r="N2740" s="24" t="n"/>
      <c r="O2740" s="24" t="n"/>
      <c r="P2740" s="24" t="n"/>
      <c r="Q2740" s="22">
        <f>IF($D2740="","",IF(AND(OR(DANH_MUC!$L$5&lt;&gt;"Có",M2740="Có"),OR(DANH_MUC!$L$6&lt;&gt;"Có",N2740="Có"),OR(DANH_MUC!$L$7&lt;&gt;"Có",O2740="Có"),OR(DANH_MUC!$L$8&lt;&gt;"Có",P2740="Có")),"Có","Không"))</f>
        <v/>
      </c>
      <c r="R2740" s="22">
        <f>IF($D2740="","",IF(COUNTIF($D$2:$D2740,$D2740)&gt;1,"Trùng",""))</f>
        <v/>
      </c>
      <c r="S2740" s="22">
        <f>IF($D2740="","",IF(AND(LEN($D2740)=10,LEFT($D2740,1)="0",ISNUMBER(--$D2740)),"Có","Không"))</f>
        <v/>
      </c>
      <c r="T2740" s="22">
        <f>IF($D2740="","",IF(AND($C2740&lt;&gt;"",$Q2740="Có",$R2740="",$S2740="Có",AND($L2740&lt;&gt;"",OR($L2740&lt;&gt;"Chưa xác định",DANH_MUC!$L$9="Có"))),"Có","Không"))</f>
        <v/>
      </c>
      <c r="U2740" s="22">
        <f>IF(OR($D2740="",$T2740="Có"),"",IF($C2740="","Thiếu họ tên; ","")&amp;IF($S2740&lt;&gt;"Có","SĐT sai định dạng; ","")&amp;IF($R2740="Trùng","Trùng SĐT; ","")&amp;IF($Q2740&lt;&gt;"Có","Thiếu đồng ý bắt buộc; ","")&amp;IF($L2740="","Thiếu/sai Mã REF; ",IF(AND($L2740="Chưa xác định",DANH_MUC!$L$9&lt;&gt;"Có"),"Nguồn chưa xác định; ","")))</f>
        <v/>
      </c>
      <c r="V2740" s="22">
        <f>IF(OR($D2740="",$R2740="Trùng"),"",IF(COUNTIF(ORDERS!$C$2:$C$4995,$D2740)&gt;0,"Có","Không"))</f>
        <v/>
      </c>
      <c r="W2740" s="22">
        <f>IF(OR($D2740="",$R2740="Trùng"),"",COUNTIFS(ORDERS!$C$2:$C$4995,$D2740,ORDERS!$L$2:$L$4995,"Đã chuyển khoản"))</f>
        <v/>
      </c>
      <c r="X2740" s="23">
        <f>IF(OR($D2740="",$R2740="Trùng"),"",SUMIFS(ORDERS!$J$2:$J$4995,ORDERS!$C$2:$C$4995,$D2740,ORDERS!$L$2:$L$4995,"Đã chuyển khoản"))</f>
        <v/>
      </c>
      <c r="Y2740" s="24" t="n"/>
    </row>
    <row r="2741" ht="14.25" customHeight="1" s="40">
      <c r="A2741" s="24" t="n"/>
      <c r="B2741" s="27" t="n"/>
      <c r="C2741" s="24" t="n"/>
      <c r="D2741" s="28" t="n"/>
      <c r="E2741" s="29" t="n"/>
      <c r="F2741" s="24" t="n"/>
      <c r="G2741" s="24" t="n"/>
      <c r="H2741" s="21">
        <f>IF(ISNUMBER($B2741),INT($B2741)-WEEKDAY($B2741,2)+1,"")</f>
        <v/>
      </c>
      <c r="I2741" s="24" t="n"/>
      <c r="J2741" s="22">
        <f t="array" ref="J2741">IF($D2741="","",IF($I2741="","(trống REF)",IFERROR(INDEX(MASTER_SOURCE!$B$2:$B$495,MATCH($I2741,MASTER_SOURCE!$A$2:$A$495,0)),"(REF không có trong MASTER_SOURCE)")))</f>
        <v/>
      </c>
      <c r="K2741" s="22">
        <f t="array" ref="K2741">IF($D2741="","",IFERROR(INDEX(MASTER_SOURCE!$C$2:$C$495,MATCH($I2741,MASTER_SOURCE!$A$2:$A$495,0)),""))</f>
        <v/>
      </c>
      <c r="L2741" s="22">
        <f t="array" ref="L2741">IF($D2741="","",IFERROR(INDEX(MASTER_SOURCE!$D$2:$D$495,MATCH($I2741,MASTER_SOURCE!$A$2:$A$495,0)),""))</f>
        <v/>
      </c>
      <c r="M2741" s="24" t="n"/>
      <c r="N2741" s="24" t="n"/>
      <c r="O2741" s="24" t="n"/>
      <c r="P2741" s="24" t="n"/>
      <c r="Q2741" s="22">
        <f>IF($D2741="","",IF(AND(OR(DANH_MUC!$L$5&lt;&gt;"Có",M2741="Có"),OR(DANH_MUC!$L$6&lt;&gt;"Có",N2741="Có"),OR(DANH_MUC!$L$7&lt;&gt;"Có",O2741="Có"),OR(DANH_MUC!$L$8&lt;&gt;"Có",P2741="Có")),"Có","Không"))</f>
        <v/>
      </c>
      <c r="R2741" s="22">
        <f>IF($D2741="","",IF(COUNTIF($D$2:$D2741,$D2741)&gt;1,"Trùng",""))</f>
        <v/>
      </c>
      <c r="S2741" s="22">
        <f>IF($D2741="","",IF(AND(LEN($D2741)=10,LEFT($D2741,1)="0",ISNUMBER(--$D2741)),"Có","Không"))</f>
        <v/>
      </c>
      <c r="T2741" s="22">
        <f>IF($D2741="","",IF(AND($C2741&lt;&gt;"",$Q2741="Có",$R2741="",$S2741="Có",AND($L2741&lt;&gt;"",OR($L2741&lt;&gt;"Chưa xác định",DANH_MUC!$L$9="Có"))),"Có","Không"))</f>
        <v/>
      </c>
      <c r="U2741" s="22">
        <f>IF(OR($D2741="",$T2741="Có"),"",IF($C2741="","Thiếu họ tên; ","")&amp;IF($S2741&lt;&gt;"Có","SĐT sai định dạng; ","")&amp;IF($R2741="Trùng","Trùng SĐT; ","")&amp;IF($Q2741&lt;&gt;"Có","Thiếu đồng ý bắt buộc; ","")&amp;IF($L2741="","Thiếu/sai Mã REF; ",IF(AND($L2741="Chưa xác định",DANH_MUC!$L$9&lt;&gt;"Có"),"Nguồn chưa xác định; ","")))</f>
        <v/>
      </c>
      <c r="V2741" s="22">
        <f>IF(OR($D2741="",$R2741="Trùng"),"",IF(COUNTIF(ORDERS!$C$2:$C$4995,$D2741)&gt;0,"Có","Không"))</f>
        <v/>
      </c>
      <c r="W2741" s="22">
        <f>IF(OR($D2741="",$R2741="Trùng"),"",COUNTIFS(ORDERS!$C$2:$C$4995,$D2741,ORDERS!$L$2:$L$4995,"Đã chuyển khoản"))</f>
        <v/>
      </c>
      <c r="X2741" s="23">
        <f>IF(OR($D2741="",$R2741="Trùng"),"",SUMIFS(ORDERS!$J$2:$J$4995,ORDERS!$C$2:$C$4995,$D2741,ORDERS!$L$2:$L$4995,"Đã chuyển khoản"))</f>
        <v/>
      </c>
      <c r="Y2741" s="24" t="n"/>
    </row>
    <row r="2742" ht="14.25" customHeight="1" s="40">
      <c r="A2742" s="24" t="n"/>
      <c r="B2742" s="27" t="n"/>
      <c r="C2742" s="24" t="n"/>
      <c r="D2742" s="28" t="n"/>
      <c r="E2742" s="29" t="n"/>
      <c r="F2742" s="24" t="n"/>
      <c r="G2742" s="24" t="n"/>
      <c r="H2742" s="21">
        <f>IF(ISNUMBER($B2742),INT($B2742)-WEEKDAY($B2742,2)+1,"")</f>
        <v/>
      </c>
      <c r="I2742" s="24" t="n"/>
      <c r="J2742" s="22">
        <f t="array" ref="J2742">IF($D2742="","",IF($I2742="","(trống REF)",IFERROR(INDEX(MASTER_SOURCE!$B$2:$B$495,MATCH($I2742,MASTER_SOURCE!$A$2:$A$495,0)),"(REF không có trong MASTER_SOURCE)")))</f>
        <v/>
      </c>
      <c r="K2742" s="22">
        <f t="array" ref="K2742">IF($D2742="","",IFERROR(INDEX(MASTER_SOURCE!$C$2:$C$495,MATCH($I2742,MASTER_SOURCE!$A$2:$A$495,0)),""))</f>
        <v/>
      </c>
      <c r="L2742" s="22">
        <f t="array" ref="L2742">IF($D2742="","",IFERROR(INDEX(MASTER_SOURCE!$D$2:$D$495,MATCH($I2742,MASTER_SOURCE!$A$2:$A$495,0)),""))</f>
        <v/>
      </c>
      <c r="M2742" s="24" t="n"/>
      <c r="N2742" s="24" t="n"/>
      <c r="O2742" s="24" t="n"/>
      <c r="P2742" s="24" t="n"/>
      <c r="Q2742" s="22">
        <f>IF($D2742="","",IF(AND(OR(DANH_MUC!$L$5&lt;&gt;"Có",M2742="Có"),OR(DANH_MUC!$L$6&lt;&gt;"Có",N2742="Có"),OR(DANH_MUC!$L$7&lt;&gt;"Có",O2742="Có"),OR(DANH_MUC!$L$8&lt;&gt;"Có",P2742="Có")),"Có","Không"))</f>
        <v/>
      </c>
      <c r="R2742" s="22">
        <f>IF($D2742="","",IF(COUNTIF($D$2:$D2742,$D2742)&gt;1,"Trùng",""))</f>
        <v/>
      </c>
      <c r="S2742" s="22">
        <f>IF($D2742="","",IF(AND(LEN($D2742)=10,LEFT($D2742,1)="0",ISNUMBER(--$D2742)),"Có","Không"))</f>
        <v/>
      </c>
      <c r="T2742" s="22">
        <f>IF($D2742="","",IF(AND($C2742&lt;&gt;"",$Q2742="Có",$R2742="",$S2742="Có",AND($L2742&lt;&gt;"",OR($L2742&lt;&gt;"Chưa xác định",DANH_MUC!$L$9="Có"))),"Có","Không"))</f>
        <v/>
      </c>
      <c r="U2742" s="22">
        <f>IF(OR($D2742="",$T2742="Có"),"",IF($C2742="","Thiếu họ tên; ","")&amp;IF($S2742&lt;&gt;"Có","SĐT sai định dạng; ","")&amp;IF($R2742="Trùng","Trùng SĐT; ","")&amp;IF($Q2742&lt;&gt;"Có","Thiếu đồng ý bắt buộc; ","")&amp;IF($L2742="","Thiếu/sai Mã REF; ",IF(AND($L2742="Chưa xác định",DANH_MUC!$L$9&lt;&gt;"Có"),"Nguồn chưa xác định; ","")))</f>
        <v/>
      </c>
      <c r="V2742" s="22">
        <f>IF(OR($D2742="",$R2742="Trùng"),"",IF(COUNTIF(ORDERS!$C$2:$C$4995,$D2742)&gt;0,"Có","Không"))</f>
        <v/>
      </c>
      <c r="W2742" s="22">
        <f>IF(OR($D2742="",$R2742="Trùng"),"",COUNTIFS(ORDERS!$C$2:$C$4995,$D2742,ORDERS!$L$2:$L$4995,"Đã chuyển khoản"))</f>
        <v/>
      </c>
      <c r="X2742" s="23">
        <f>IF(OR($D2742="",$R2742="Trùng"),"",SUMIFS(ORDERS!$J$2:$J$4995,ORDERS!$C$2:$C$4995,$D2742,ORDERS!$L$2:$L$4995,"Đã chuyển khoản"))</f>
        <v/>
      </c>
      <c r="Y2742" s="24" t="n"/>
    </row>
    <row r="2743" ht="14.25" customHeight="1" s="40">
      <c r="A2743" s="24" t="n"/>
      <c r="B2743" s="27" t="n"/>
      <c r="C2743" s="24" t="n"/>
      <c r="D2743" s="28" t="n"/>
      <c r="E2743" s="29" t="n"/>
      <c r="F2743" s="24" t="n"/>
      <c r="G2743" s="24" t="n"/>
      <c r="H2743" s="21">
        <f>IF(ISNUMBER($B2743),INT($B2743)-WEEKDAY($B2743,2)+1,"")</f>
        <v/>
      </c>
      <c r="I2743" s="24" t="n"/>
      <c r="J2743" s="22">
        <f t="array" ref="J2743">IF($D2743="","",IF($I2743="","(trống REF)",IFERROR(INDEX(MASTER_SOURCE!$B$2:$B$495,MATCH($I2743,MASTER_SOURCE!$A$2:$A$495,0)),"(REF không có trong MASTER_SOURCE)")))</f>
        <v/>
      </c>
      <c r="K2743" s="22">
        <f t="array" ref="K2743">IF($D2743="","",IFERROR(INDEX(MASTER_SOURCE!$C$2:$C$495,MATCH($I2743,MASTER_SOURCE!$A$2:$A$495,0)),""))</f>
        <v/>
      </c>
      <c r="L2743" s="22">
        <f t="array" ref="L2743">IF($D2743="","",IFERROR(INDEX(MASTER_SOURCE!$D$2:$D$495,MATCH($I2743,MASTER_SOURCE!$A$2:$A$495,0)),""))</f>
        <v/>
      </c>
      <c r="M2743" s="24" t="n"/>
      <c r="N2743" s="24" t="n"/>
      <c r="O2743" s="24" t="n"/>
      <c r="P2743" s="24" t="n"/>
      <c r="Q2743" s="22">
        <f>IF($D2743="","",IF(AND(OR(DANH_MUC!$L$5&lt;&gt;"Có",M2743="Có"),OR(DANH_MUC!$L$6&lt;&gt;"Có",N2743="Có"),OR(DANH_MUC!$L$7&lt;&gt;"Có",O2743="Có"),OR(DANH_MUC!$L$8&lt;&gt;"Có",P2743="Có")),"Có","Không"))</f>
        <v/>
      </c>
      <c r="R2743" s="22">
        <f>IF($D2743="","",IF(COUNTIF($D$2:$D2743,$D2743)&gt;1,"Trùng",""))</f>
        <v/>
      </c>
      <c r="S2743" s="22">
        <f>IF($D2743="","",IF(AND(LEN($D2743)=10,LEFT($D2743,1)="0",ISNUMBER(--$D2743)),"Có","Không"))</f>
        <v/>
      </c>
      <c r="T2743" s="22">
        <f>IF($D2743="","",IF(AND($C2743&lt;&gt;"",$Q2743="Có",$R2743="",$S2743="Có",AND($L2743&lt;&gt;"",OR($L2743&lt;&gt;"Chưa xác định",DANH_MUC!$L$9="Có"))),"Có","Không"))</f>
        <v/>
      </c>
      <c r="U2743" s="22">
        <f>IF(OR($D2743="",$T2743="Có"),"",IF($C2743="","Thiếu họ tên; ","")&amp;IF($S2743&lt;&gt;"Có","SĐT sai định dạng; ","")&amp;IF($R2743="Trùng","Trùng SĐT; ","")&amp;IF($Q2743&lt;&gt;"Có","Thiếu đồng ý bắt buộc; ","")&amp;IF($L2743="","Thiếu/sai Mã REF; ",IF(AND($L2743="Chưa xác định",DANH_MUC!$L$9&lt;&gt;"Có"),"Nguồn chưa xác định; ","")))</f>
        <v/>
      </c>
      <c r="V2743" s="22">
        <f>IF(OR($D2743="",$R2743="Trùng"),"",IF(COUNTIF(ORDERS!$C$2:$C$4995,$D2743)&gt;0,"Có","Không"))</f>
        <v/>
      </c>
      <c r="W2743" s="22">
        <f>IF(OR($D2743="",$R2743="Trùng"),"",COUNTIFS(ORDERS!$C$2:$C$4995,$D2743,ORDERS!$L$2:$L$4995,"Đã chuyển khoản"))</f>
        <v/>
      </c>
      <c r="X2743" s="23">
        <f>IF(OR($D2743="",$R2743="Trùng"),"",SUMIFS(ORDERS!$J$2:$J$4995,ORDERS!$C$2:$C$4995,$D2743,ORDERS!$L$2:$L$4995,"Đã chuyển khoản"))</f>
        <v/>
      </c>
      <c r="Y2743" s="24" t="n"/>
    </row>
    <row r="2744" ht="14.25" customHeight="1" s="40">
      <c r="A2744" s="24" t="n"/>
      <c r="B2744" s="27" t="n"/>
      <c r="C2744" s="24" t="n"/>
      <c r="D2744" s="28" t="n"/>
      <c r="E2744" s="29" t="n"/>
      <c r="F2744" s="24" t="n"/>
      <c r="G2744" s="24" t="n"/>
      <c r="H2744" s="21">
        <f>IF(ISNUMBER($B2744),INT($B2744)-WEEKDAY($B2744,2)+1,"")</f>
        <v/>
      </c>
      <c r="I2744" s="24" t="n"/>
      <c r="J2744" s="22">
        <f t="array" ref="J2744">IF($D2744="","",IF($I2744="","(trống REF)",IFERROR(INDEX(MASTER_SOURCE!$B$2:$B$495,MATCH($I2744,MASTER_SOURCE!$A$2:$A$495,0)),"(REF không có trong MASTER_SOURCE)")))</f>
        <v/>
      </c>
      <c r="K2744" s="22">
        <f t="array" ref="K2744">IF($D2744="","",IFERROR(INDEX(MASTER_SOURCE!$C$2:$C$495,MATCH($I2744,MASTER_SOURCE!$A$2:$A$495,0)),""))</f>
        <v/>
      </c>
      <c r="L2744" s="22">
        <f t="array" ref="L2744">IF($D2744="","",IFERROR(INDEX(MASTER_SOURCE!$D$2:$D$495,MATCH($I2744,MASTER_SOURCE!$A$2:$A$495,0)),""))</f>
        <v/>
      </c>
      <c r="M2744" s="24" t="n"/>
      <c r="N2744" s="24" t="n"/>
      <c r="O2744" s="24" t="n"/>
      <c r="P2744" s="24" t="n"/>
      <c r="Q2744" s="22">
        <f>IF($D2744="","",IF(AND(OR(DANH_MUC!$L$5&lt;&gt;"Có",M2744="Có"),OR(DANH_MUC!$L$6&lt;&gt;"Có",N2744="Có"),OR(DANH_MUC!$L$7&lt;&gt;"Có",O2744="Có"),OR(DANH_MUC!$L$8&lt;&gt;"Có",P2744="Có")),"Có","Không"))</f>
        <v/>
      </c>
      <c r="R2744" s="22">
        <f>IF($D2744="","",IF(COUNTIF($D$2:$D2744,$D2744)&gt;1,"Trùng",""))</f>
        <v/>
      </c>
      <c r="S2744" s="22">
        <f>IF($D2744="","",IF(AND(LEN($D2744)=10,LEFT($D2744,1)="0",ISNUMBER(--$D2744)),"Có","Không"))</f>
        <v/>
      </c>
      <c r="T2744" s="22">
        <f>IF($D2744="","",IF(AND($C2744&lt;&gt;"",$Q2744="Có",$R2744="",$S2744="Có",AND($L2744&lt;&gt;"",OR($L2744&lt;&gt;"Chưa xác định",DANH_MUC!$L$9="Có"))),"Có","Không"))</f>
        <v/>
      </c>
      <c r="U2744" s="22">
        <f>IF(OR($D2744="",$T2744="Có"),"",IF($C2744="","Thiếu họ tên; ","")&amp;IF($S2744&lt;&gt;"Có","SĐT sai định dạng; ","")&amp;IF($R2744="Trùng","Trùng SĐT; ","")&amp;IF($Q2744&lt;&gt;"Có","Thiếu đồng ý bắt buộc; ","")&amp;IF($L2744="","Thiếu/sai Mã REF; ",IF(AND($L2744="Chưa xác định",DANH_MUC!$L$9&lt;&gt;"Có"),"Nguồn chưa xác định; ","")))</f>
        <v/>
      </c>
      <c r="V2744" s="22">
        <f>IF(OR($D2744="",$R2744="Trùng"),"",IF(COUNTIF(ORDERS!$C$2:$C$4995,$D2744)&gt;0,"Có","Không"))</f>
        <v/>
      </c>
      <c r="W2744" s="22">
        <f>IF(OR($D2744="",$R2744="Trùng"),"",COUNTIFS(ORDERS!$C$2:$C$4995,$D2744,ORDERS!$L$2:$L$4995,"Đã chuyển khoản"))</f>
        <v/>
      </c>
      <c r="X2744" s="23">
        <f>IF(OR($D2744="",$R2744="Trùng"),"",SUMIFS(ORDERS!$J$2:$J$4995,ORDERS!$C$2:$C$4995,$D2744,ORDERS!$L$2:$L$4995,"Đã chuyển khoản"))</f>
        <v/>
      </c>
      <c r="Y2744" s="24" t="n"/>
    </row>
    <row r="2745" ht="14.25" customHeight="1" s="40">
      <c r="A2745" s="24" t="n"/>
      <c r="B2745" s="27" t="n"/>
      <c r="C2745" s="24" t="n"/>
      <c r="D2745" s="28" t="n"/>
      <c r="E2745" s="29" t="n"/>
      <c r="F2745" s="24" t="n"/>
      <c r="G2745" s="24" t="n"/>
      <c r="H2745" s="21">
        <f>IF(ISNUMBER($B2745),INT($B2745)-WEEKDAY($B2745,2)+1,"")</f>
        <v/>
      </c>
      <c r="I2745" s="24" t="n"/>
      <c r="J2745" s="22">
        <f t="array" ref="J2745">IF($D2745="","",IF($I2745="","(trống REF)",IFERROR(INDEX(MASTER_SOURCE!$B$2:$B$495,MATCH($I2745,MASTER_SOURCE!$A$2:$A$495,0)),"(REF không có trong MASTER_SOURCE)")))</f>
        <v/>
      </c>
      <c r="K2745" s="22">
        <f t="array" ref="K2745">IF($D2745="","",IFERROR(INDEX(MASTER_SOURCE!$C$2:$C$495,MATCH($I2745,MASTER_SOURCE!$A$2:$A$495,0)),""))</f>
        <v/>
      </c>
      <c r="L2745" s="22">
        <f t="array" ref="L2745">IF($D2745="","",IFERROR(INDEX(MASTER_SOURCE!$D$2:$D$495,MATCH($I2745,MASTER_SOURCE!$A$2:$A$495,0)),""))</f>
        <v/>
      </c>
      <c r="M2745" s="24" t="n"/>
      <c r="N2745" s="24" t="n"/>
      <c r="O2745" s="24" t="n"/>
      <c r="P2745" s="24" t="n"/>
      <c r="Q2745" s="22">
        <f>IF($D2745="","",IF(AND(OR(DANH_MUC!$L$5&lt;&gt;"Có",M2745="Có"),OR(DANH_MUC!$L$6&lt;&gt;"Có",N2745="Có"),OR(DANH_MUC!$L$7&lt;&gt;"Có",O2745="Có"),OR(DANH_MUC!$L$8&lt;&gt;"Có",P2745="Có")),"Có","Không"))</f>
        <v/>
      </c>
      <c r="R2745" s="22">
        <f>IF($D2745="","",IF(COUNTIF($D$2:$D2745,$D2745)&gt;1,"Trùng",""))</f>
        <v/>
      </c>
      <c r="S2745" s="22">
        <f>IF($D2745="","",IF(AND(LEN($D2745)=10,LEFT($D2745,1)="0",ISNUMBER(--$D2745)),"Có","Không"))</f>
        <v/>
      </c>
      <c r="T2745" s="22">
        <f>IF($D2745="","",IF(AND($C2745&lt;&gt;"",$Q2745="Có",$R2745="",$S2745="Có",AND($L2745&lt;&gt;"",OR($L2745&lt;&gt;"Chưa xác định",DANH_MUC!$L$9="Có"))),"Có","Không"))</f>
        <v/>
      </c>
      <c r="U2745" s="22">
        <f>IF(OR($D2745="",$T2745="Có"),"",IF($C2745="","Thiếu họ tên; ","")&amp;IF($S2745&lt;&gt;"Có","SĐT sai định dạng; ","")&amp;IF($R2745="Trùng","Trùng SĐT; ","")&amp;IF($Q2745&lt;&gt;"Có","Thiếu đồng ý bắt buộc; ","")&amp;IF($L2745="","Thiếu/sai Mã REF; ",IF(AND($L2745="Chưa xác định",DANH_MUC!$L$9&lt;&gt;"Có"),"Nguồn chưa xác định; ","")))</f>
        <v/>
      </c>
      <c r="V2745" s="22">
        <f>IF(OR($D2745="",$R2745="Trùng"),"",IF(COUNTIF(ORDERS!$C$2:$C$4995,$D2745)&gt;0,"Có","Không"))</f>
        <v/>
      </c>
      <c r="W2745" s="22">
        <f>IF(OR($D2745="",$R2745="Trùng"),"",COUNTIFS(ORDERS!$C$2:$C$4995,$D2745,ORDERS!$L$2:$L$4995,"Đã chuyển khoản"))</f>
        <v/>
      </c>
      <c r="X2745" s="23">
        <f>IF(OR($D2745="",$R2745="Trùng"),"",SUMIFS(ORDERS!$J$2:$J$4995,ORDERS!$C$2:$C$4995,$D2745,ORDERS!$L$2:$L$4995,"Đã chuyển khoản"))</f>
        <v/>
      </c>
      <c r="Y2745" s="24" t="n"/>
    </row>
    <row r="2746" ht="14.25" customHeight="1" s="40">
      <c r="A2746" s="24" t="n"/>
      <c r="B2746" s="27" t="n"/>
      <c r="C2746" s="24" t="n"/>
      <c r="D2746" s="28" t="n"/>
      <c r="E2746" s="29" t="n"/>
      <c r="F2746" s="24" t="n"/>
      <c r="G2746" s="24" t="n"/>
      <c r="H2746" s="21">
        <f>IF(ISNUMBER($B2746),INT($B2746)-WEEKDAY($B2746,2)+1,"")</f>
        <v/>
      </c>
      <c r="I2746" s="24" t="n"/>
      <c r="J2746" s="22">
        <f t="array" ref="J2746">IF($D2746="","",IF($I2746="","(trống REF)",IFERROR(INDEX(MASTER_SOURCE!$B$2:$B$495,MATCH($I2746,MASTER_SOURCE!$A$2:$A$495,0)),"(REF không có trong MASTER_SOURCE)")))</f>
        <v/>
      </c>
      <c r="K2746" s="22">
        <f t="array" ref="K2746">IF($D2746="","",IFERROR(INDEX(MASTER_SOURCE!$C$2:$C$495,MATCH($I2746,MASTER_SOURCE!$A$2:$A$495,0)),""))</f>
        <v/>
      </c>
      <c r="L2746" s="22">
        <f t="array" ref="L2746">IF($D2746="","",IFERROR(INDEX(MASTER_SOURCE!$D$2:$D$495,MATCH($I2746,MASTER_SOURCE!$A$2:$A$495,0)),""))</f>
        <v/>
      </c>
      <c r="M2746" s="24" t="n"/>
      <c r="N2746" s="24" t="n"/>
      <c r="O2746" s="24" t="n"/>
      <c r="P2746" s="24" t="n"/>
      <c r="Q2746" s="22">
        <f>IF($D2746="","",IF(AND(OR(DANH_MUC!$L$5&lt;&gt;"Có",M2746="Có"),OR(DANH_MUC!$L$6&lt;&gt;"Có",N2746="Có"),OR(DANH_MUC!$L$7&lt;&gt;"Có",O2746="Có"),OR(DANH_MUC!$L$8&lt;&gt;"Có",P2746="Có")),"Có","Không"))</f>
        <v/>
      </c>
      <c r="R2746" s="22">
        <f>IF($D2746="","",IF(COUNTIF($D$2:$D2746,$D2746)&gt;1,"Trùng",""))</f>
        <v/>
      </c>
      <c r="S2746" s="22">
        <f>IF($D2746="","",IF(AND(LEN($D2746)=10,LEFT($D2746,1)="0",ISNUMBER(--$D2746)),"Có","Không"))</f>
        <v/>
      </c>
      <c r="T2746" s="22">
        <f>IF($D2746="","",IF(AND($C2746&lt;&gt;"",$Q2746="Có",$R2746="",$S2746="Có",AND($L2746&lt;&gt;"",OR($L2746&lt;&gt;"Chưa xác định",DANH_MUC!$L$9="Có"))),"Có","Không"))</f>
        <v/>
      </c>
      <c r="U2746" s="22">
        <f>IF(OR($D2746="",$T2746="Có"),"",IF($C2746="","Thiếu họ tên; ","")&amp;IF($S2746&lt;&gt;"Có","SĐT sai định dạng; ","")&amp;IF($R2746="Trùng","Trùng SĐT; ","")&amp;IF($Q2746&lt;&gt;"Có","Thiếu đồng ý bắt buộc; ","")&amp;IF($L2746="","Thiếu/sai Mã REF; ",IF(AND($L2746="Chưa xác định",DANH_MUC!$L$9&lt;&gt;"Có"),"Nguồn chưa xác định; ","")))</f>
        <v/>
      </c>
      <c r="V2746" s="22">
        <f>IF(OR($D2746="",$R2746="Trùng"),"",IF(COUNTIF(ORDERS!$C$2:$C$4995,$D2746)&gt;0,"Có","Không"))</f>
        <v/>
      </c>
      <c r="W2746" s="22">
        <f>IF(OR($D2746="",$R2746="Trùng"),"",COUNTIFS(ORDERS!$C$2:$C$4995,$D2746,ORDERS!$L$2:$L$4995,"Đã chuyển khoản"))</f>
        <v/>
      </c>
      <c r="X2746" s="23">
        <f>IF(OR($D2746="",$R2746="Trùng"),"",SUMIFS(ORDERS!$J$2:$J$4995,ORDERS!$C$2:$C$4995,$D2746,ORDERS!$L$2:$L$4995,"Đã chuyển khoản"))</f>
        <v/>
      </c>
      <c r="Y2746" s="24" t="n"/>
    </row>
    <row r="2747" ht="14.25" customHeight="1" s="40">
      <c r="A2747" s="24" t="n"/>
      <c r="B2747" s="27" t="n"/>
      <c r="C2747" s="24" t="n"/>
      <c r="D2747" s="28" t="n"/>
      <c r="E2747" s="29" t="n"/>
      <c r="F2747" s="24" t="n"/>
      <c r="G2747" s="24" t="n"/>
      <c r="H2747" s="21">
        <f>IF(ISNUMBER($B2747),INT($B2747)-WEEKDAY($B2747,2)+1,"")</f>
        <v/>
      </c>
      <c r="I2747" s="24" t="n"/>
      <c r="J2747" s="22">
        <f t="array" ref="J2747">IF($D2747="","",IF($I2747="","(trống REF)",IFERROR(INDEX(MASTER_SOURCE!$B$2:$B$495,MATCH($I2747,MASTER_SOURCE!$A$2:$A$495,0)),"(REF không có trong MASTER_SOURCE)")))</f>
        <v/>
      </c>
      <c r="K2747" s="22">
        <f t="array" ref="K2747">IF($D2747="","",IFERROR(INDEX(MASTER_SOURCE!$C$2:$C$495,MATCH($I2747,MASTER_SOURCE!$A$2:$A$495,0)),""))</f>
        <v/>
      </c>
      <c r="L2747" s="22">
        <f t="array" ref="L2747">IF($D2747="","",IFERROR(INDEX(MASTER_SOURCE!$D$2:$D$495,MATCH($I2747,MASTER_SOURCE!$A$2:$A$495,0)),""))</f>
        <v/>
      </c>
      <c r="M2747" s="24" t="n"/>
      <c r="N2747" s="24" t="n"/>
      <c r="O2747" s="24" t="n"/>
      <c r="P2747" s="24" t="n"/>
      <c r="Q2747" s="22">
        <f>IF($D2747="","",IF(AND(OR(DANH_MUC!$L$5&lt;&gt;"Có",M2747="Có"),OR(DANH_MUC!$L$6&lt;&gt;"Có",N2747="Có"),OR(DANH_MUC!$L$7&lt;&gt;"Có",O2747="Có"),OR(DANH_MUC!$L$8&lt;&gt;"Có",P2747="Có")),"Có","Không"))</f>
        <v/>
      </c>
      <c r="R2747" s="22">
        <f>IF($D2747="","",IF(COUNTIF($D$2:$D2747,$D2747)&gt;1,"Trùng",""))</f>
        <v/>
      </c>
      <c r="S2747" s="22">
        <f>IF($D2747="","",IF(AND(LEN($D2747)=10,LEFT($D2747,1)="0",ISNUMBER(--$D2747)),"Có","Không"))</f>
        <v/>
      </c>
      <c r="T2747" s="22">
        <f>IF($D2747="","",IF(AND($C2747&lt;&gt;"",$Q2747="Có",$R2747="",$S2747="Có",AND($L2747&lt;&gt;"",OR($L2747&lt;&gt;"Chưa xác định",DANH_MUC!$L$9="Có"))),"Có","Không"))</f>
        <v/>
      </c>
      <c r="U2747" s="22">
        <f>IF(OR($D2747="",$T2747="Có"),"",IF($C2747="","Thiếu họ tên; ","")&amp;IF($S2747&lt;&gt;"Có","SĐT sai định dạng; ","")&amp;IF($R2747="Trùng","Trùng SĐT; ","")&amp;IF($Q2747&lt;&gt;"Có","Thiếu đồng ý bắt buộc; ","")&amp;IF($L2747="","Thiếu/sai Mã REF; ",IF(AND($L2747="Chưa xác định",DANH_MUC!$L$9&lt;&gt;"Có"),"Nguồn chưa xác định; ","")))</f>
        <v/>
      </c>
      <c r="V2747" s="22">
        <f>IF(OR($D2747="",$R2747="Trùng"),"",IF(COUNTIF(ORDERS!$C$2:$C$4995,$D2747)&gt;0,"Có","Không"))</f>
        <v/>
      </c>
      <c r="W2747" s="22">
        <f>IF(OR($D2747="",$R2747="Trùng"),"",COUNTIFS(ORDERS!$C$2:$C$4995,$D2747,ORDERS!$L$2:$L$4995,"Đã chuyển khoản"))</f>
        <v/>
      </c>
      <c r="X2747" s="23">
        <f>IF(OR($D2747="",$R2747="Trùng"),"",SUMIFS(ORDERS!$J$2:$J$4995,ORDERS!$C$2:$C$4995,$D2747,ORDERS!$L$2:$L$4995,"Đã chuyển khoản"))</f>
        <v/>
      </c>
      <c r="Y2747" s="24" t="n"/>
    </row>
    <row r="2748" ht="14.25" customHeight="1" s="40">
      <c r="A2748" s="24" t="n"/>
      <c r="B2748" s="27" t="n"/>
      <c r="C2748" s="24" t="n"/>
      <c r="D2748" s="28" t="n"/>
      <c r="E2748" s="29" t="n"/>
      <c r="F2748" s="24" t="n"/>
      <c r="G2748" s="24" t="n"/>
      <c r="H2748" s="21">
        <f>IF(ISNUMBER($B2748),INT($B2748)-WEEKDAY($B2748,2)+1,"")</f>
        <v/>
      </c>
      <c r="I2748" s="24" t="n"/>
      <c r="J2748" s="22">
        <f t="array" ref="J2748">IF($D2748="","",IF($I2748="","(trống REF)",IFERROR(INDEX(MASTER_SOURCE!$B$2:$B$495,MATCH($I2748,MASTER_SOURCE!$A$2:$A$495,0)),"(REF không có trong MASTER_SOURCE)")))</f>
        <v/>
      </c>
      <c r="K2748" s="22">
        <f t="array" ref="K2748">IF($D2748="","",IFERROR(INDEX(MASTER_SOURCE!$C$2:$C$495,MATCH($I2748,MASTER_SOURCE!$A$2:$A$495,0)),""))</f>
        <v/>
      </c>
      <c r="L2748" s="22">
        <f t="array" ref="L2748">IF($D2748="","",IFERROR(INDEX(MASTER_SOURCE!$D$2:$D$495,MATCH($I2748,MASTER_SOURCE!$A$2:$A$495,0)),""))</f>
        <v/>
      </c>
      <c r="M2748" s="24" t="n"/>
      <c r="N2748" s="24" t="n"/>
      <c r="O2748" s="24" t="n"/>
      <c r="P2748" s="24" t="n"/>
      <c r="Q2748" s="22">
        <f>IF($D2748="","",IF(AND(OR(DANH_MUC!$L$5&lt;&gt;"Có",M2748="Có"),OR(DANH_MUC!$L$6&lt;&gt;"Có",N2748="Có"),OR(DANH_MUC!$L$7&lt;&gt;"Có",O2748="Có"),OR(DANH_MUC!$L$8&lt;&gt;"Có",P2748="Có")),"Có","Không"))</f>
        <v/>
      </c>
      <c r="R2748" s="22">
        <f>IF($D2748="","",IF(COUNTIF($D$2:$D2748,$D2748)&gt;1,"Trùng",""))</f>
        <v/>
      </c>
      <c r="S2748" s="22">
        <f>IF($D2748="","",IF(AND(LEN($D2748)=10,LEFT($D2748,1)="0",ISNUMBER(--$D2748)),"Có","Không"))</f>
        <v/>
      </c>
      <c r="T2748" s="22">
        <f>IF($D2748="","",IF(AND($C2748&lt;&gt;"",$Q2748="Có",$R2748="",$S2748="Có",AND($L2748&lt;&gt;"",OR($L2748&lt;&gt;"Chưa xác định",DANH_MUC!$L$9="Có"))),"Có","Không"))</f>
        <v/>
      </c>
      <c r="U2748" s="22">
        <f>IF(OR($D2748="",$T2748="Có"),"",IF($C2748="","Thiếu họ tên; ","")&amp;IF($S2748&lt;&gt;"Có","SĐT sai định dạng; ","")&amp;IF($R2748="Trùng","Trùng SĐT; ","")&amp;IF($Q2748&lt;&gt;"Có","Thiếu đồng ý bắt buộc; ","")&amp;IF($L2748="","Thiếu/sai Mã REF; ",IF(AND($L2748="Chưa xác định",DANH_MUC!$L$9&lt;&gt;"Có"),"Nguồn chưa xác định; ","")))</f>
        <v/>
      </c>
      <c r="V2748" s="22">
        <f>IF(OR($D2748="",$R2748="Trùng"),"",IF(COUNTIF(ORDERS!$C$2:$C$4995,$D2748)&gt;0,"Có","Không"))</f>
        <v/>
      </c>
      <c r="W2748" s="22">
        <f>IF(OR($D2748="",$R2748="Trùng"),"",COUNTIFS(ORDERS!$C$2:$C$4995,$D2748,ORDERS!$L$2:$L$4995,"Đã chuyển khoản"))</f>
        <v/>
      </c>
      <c r="X2748" s="23">
        <f>IF(OR($D2748="",$R2748="Trùng"),"",SUMIFS(ORDERS!$J$2:$J$4995,ORDERS!$C$2:$C$4995,$D2748,ORDERS!$L$2:$L$4995,"Đã chuyển khoản"))</f>
        <v/>
      </c>
      <c r="Y2748" s="24" t="n"/>
    </row>
    <row r="2749" ht="14.25" customHeight="1" s="40">
      <c r="A2749" s="24" t="n"/>
      <c r="B2749" s="27" t="n"/>
      <c r="C2749" s="24" t="n"/>
      <c r="D2749" s="28" t="n"/>
      <c r="E2749" s="29" t="n"/>
      <c r="F2749" s="24" t="n"/>
      <c r="G2749" s="24" t="n"/>
      <c r="H2749" s="21">
        <f>IF(ISNUMBER($B2749),INT($B2749)-WEEKDAY($B2749,2)+1,"")</f>
        <v/>
      </c>
      <c r="I2749" s="24" t="n"/>
      <c r="J2749" s="22">
        <f t="array" ref="J2749">IF($D2749="","",IF($I2749="","(trống REF)",IFERROR(INDEX(MASTER_SOURCE!$B$2:$B$495,MATCH($I2749,MASTER_SOURCE!$A$2:$A$495,0)),"(REF không có trong MASTER_SOURCE)")))</f>
        <v/>
      </c>
      <c r="K2749" s="22">
        <f t="array" ref="K2749">IF($D2749="","",IFERROR(INDEX(MASTER_SOURCE!$C$2:$C$495,MATCH($I2749,MASTER_SOURCE!$A$2:$A$495,0)),""))</f>
        <v/>
      </c>
      <c r="L2749" s="22">
        <f t="array" ref="L2749">IF($D2749="","",IFERROR(INDEX(MASTER_SOURCE!$D$2:$D$495,MATCH($I2749,MASTER_SOURCE!$A$2:$A$495,0)),""))</f>
        <v/>
      </c>
      <c r="M2749" s="24" t="n"/>
      <c r="N2749" s="24" t="n"/>
      <c r="O2749" s="24" t="n"/>
      <c r="P2749" s="24" t="n"/>
      <c r="Q2749" s="22">
        <f>IF($D2749="","",IF(AND(OR(DANH_MUC!$L$5&lt;&gt;"Có",M2749="Có"),OR(DANH_MUC!$L$6&lt;&gt;"Có",N2749="Có"),OR(DANH_MUC!$L$7&lt;&gt;"Có",O2749="Có"),OR(DANH_MUC!$L$8&lt;&gt;"Có",P2749="Có")),"Có","Không"))</f>
        <v/>
      </c>
      <c r="R2749" s="22">
        <f>IF($D2749="","",IF(COUNTIF($D$2:$D2749,$D2749)&gt;1,"Trùng",""))</f>
        <v/>
      </c>
      <c r="S2749" s="22">
        <f>IF($D2749="","",IF(AND(LEN($D2749)=10,LEFT($D2749,1)="0",ISNUMBER(--$D2749)),"Có","Không"))</f>
        <v/>
      </c>
      <c r="T2749" s="22">
        <f>IF($D2749="","",IF(AND($C2749&lt;&gt;"",$Q2749="Có",$R2749="",$S2749="Có",AND($L2749&lt;&gt;"",OR($L2749&lt;&gt;"Chưa xác định",DANH_MUC!$L$9="Có"))),"Có","Không"))</f>
        <v/>
      </c>
      <c r="U2749" s="22">
        <f>IF(OR($D2749="",$T2749="Có"),"",IF($C2749="","Thiếu họ tên; ","")&amp;IF($S2749&lt;&gt;"Có","SĐT sai định dạng; ","")&amp;IF($R2749="Trùng","Trùng SĐT; ","")&amp;IF($Q2749&lt;&gt;"Có","Thiếu đồng ý bắt buộc; ","")&amp;IF($L2749="","Thiếu/sai Mã REF; ",IF(AND($L2749="Chưa xác định",DANH_MUC!$L$9&lt;&gt;"Có"),"Nguồn chưa xác định; ","")))</f>
        <v/>
      </c>
      <c r="V2749" s="22">
        <f>IF(OR($D2749="",$R2749="Trùng"),"",IF(COUNTIF(ORDERS!$C$2:$C$4995,$D2749)&gt;0,"Có","Không"))</f>
        <v/>
      </c>
      <c r="W2749" s="22">
        <f>IF(OR($D2749="",$R2749="Trùng"),"",COUNTIFS(ORDERS!$C$2:$C$4995,$D2749,ORDERS!$L$2:$L$4995,"Đã chuyển khoản"))</f>
        <v/>
      </c>
      <c r="X2749" s="23">
        <f>IF(OR($D2749="",$R2749="Trùng"),"",SUMIFS(ORDERS!$J$2:$J$4995,ORDERS!$C$2:$C$4995,$D2749,ORDERS!$L$2:$L$4995,"Đã chuyển khoản"))</f>
        <v/>
      </c>
      <c r="Y2749" s="24" t="n"/>
    </row>
    <row r="2750" ht="14.25" customHeight="1" s="40">
      <c r="A2750" s="24" t="n"/>
      <c r="B2750" s="27" t="n"/>
      <c r="C2750" s="24" t="n"/>
      <c r="D2750" s="28" t="n"/>
      <c r="E2750" s="29" t="n"/>
      <c r="F2750" s="24" t="n"/>
      <c r="G2750" s="24" t="n"/>
      <c r="H2750" s="21">
        <f>IF(ISNUMBER($B2750),INT($B2750)-WEEKDAY($B2750,2)+1,"")</f>
        <v/>
      </c>
      <c r="I2750" s="24" t="n"/>
      <c r="J2750" s="22">
        <f t="array" ref="J2750">IF($D2750="","",IF($I2750="","(trống REF)",IFERROR(INDEX(MASTER_SOURCE!$B$2:$B$495,MATCH($I2750,MASTER_SOURCE!$A$2:$A$495,0)),"(REF không có trong MASTER_SOURCE)")))</f>
        <v/>
      </c>
      <c r="K2750" s="22">
        <f t="array" ref="K2750">IF($D2750="","",IFERROR(INDEX(MASTER_SOURCE!$C$2:$C$495,MATCH($I2750,MASTER_SOURCE!$A$2:$A$495,0)),""))</f>
        <v/>
      </c>
      <c r="L2750" s="22">
        <f t="array" ref="L2750">IF($D2750="","",IFERROR(INDEX(MASTER_SOURCE!$D$2:$D$495,MATCH($I2750,MASTER_SOURCE!$A$2:$A$495,0)),""))</f>
        <v/>
      </c>
      <c r="M2750" s="24" t="n"/>
      <c r="N2750" s="24" t="n"/>
      <c r="O2750" s="24" t="n"/>
      <c r="P2750" s="24" t="n"/>
      <c r="Q2750" s="22">
        <f>IF($D2750="","",IF(AND(OR(DANH_MUC!$L$5&lt;&gt;"Có",M2750="Có"),OR(DANH_MUC!$L$6&lt;&gt;"Có",N2750="Có"),OR(DANH_MUC!$L$7&lt;&gt;"Có",O2750="Có"),OR(DANH_MUC!$L$8&lt;&gt;"Có",P2750="Có")),"Có","Không"))</f>
        <v/>
      </c>
      <c r="R2750" s="22">
        <f>IF($D2750="","",IF(COUNTIF($D$2:$D2750,$D2750)&gt;1,"Trùng",""))</f>
        <v/>
      </c>
      <c r="S2750" s="22">
        <f>IF($D2750="","",IF(AND(LEN($D2750)=10,LEFT($D2750,1)="0",ISNUMBER(--$D2750)),"Có","Không"))</f>
        <v/>
      </c>
      <c r="T2750" s="22">
        <f>IF($D2750="","",IF(AND($C2750&lt;&gt;"",$Q2750="Có",$R2750="",$S2750="Có",AND($L2750&lt;&gt;"",OR($L2750&lt;&gt;"Chưa xác định",DANH_MUC!$L$9="Có"))),"Có","Không"))</f>
        <v/>
      </c>
      <c r="U2750" s="22">
        <f>IF(OR($D2750="",$T2750="Có"),"",IF($C2750="","Thiếu họ tên; ","")&amp;IF($S2750&lt;&gt;"Có","SĐT sai định dạng; ","")&amp;IF($R2750="Trùng","Trùng SĐT; ","")&amp;IF($Q2750&lt;&gt;"Có","Thiếu đồng ý bắt buộc; ","")&amp;IF($L2750="","Thiếu/sai Mã REF; ",IF(AND($L2750="Chưa xác định",DANH_MUC!$L$9&lt;&gt;"Có"),"Nguồn chưa xác định; ","")))</f>
        <v/>
      </c>
      <c r="V2750" s="22">
        <f>IF(OR($D2750="",$R2750="Trùng"),"",IF(COUNTIF(ORDERS!$C$2:$C$4995,$D2750)&gt;0,"Có","Không"))</f>
        <v/>
      </c>
      <c r="W2750" s="22">
        <f>IF(OR($D2750="",$R2750="Trùng"),"",COUNTIFS(ORDERS!$C$2:$C$4995,$D2750,ORDERS!$L$2:$L$4995,"Đã chuyển khoản"))</f>
        <v/>
      </c>
      <c r="X2750" s="23">
        <f>IF(OR($D2750="",$R2750="Trùng"),"",SUMIFS(ORDERS!$J$2:$J$4995,ORDERS!$C$2:$C$4995,$D2750,ORDERS!$L$2:$L$4995,"Đã chuyển khoản"))</f>
        <v/>
      </c>
      <c r="Y2750" s="24" t="n"/>
    </row>
    <row r="2751" ht="14.25" customHeight="1" s="40">
      <c r="A2751" s="24" t="n"/>
      <c r="B2751" s="27" t="n"/>
      <c r="C2751" s="24" t="n"/>
      <c r="D2751" s="28" t="n"/>
      <c r="E2751" s="29" t="n"/>
      <c r="F2751" s="24" t="n"/>
      <c r="G2751" s="24" t="n"/>
      <c r="H2751" s="21">
        <f>IF(ISNUMBER($B2751),INT($B2751)-WEEKDAY($B2751,2)+1,"")</f>
        <v/>
      </c>
      <c r="I2751" s="24" t="n"/>
      <c r="J2751" s="22">
        <f t="array" ref="J2751">IF($D2751="","",IF($I2751="","(trống REF)",IFERROR(INDEX(MASTER_SOURCE!$B$2:$B$495,MATCH($I2751,MASTER_SOURCE!$A$2:$A$495,0)),"(REF không có trong MASTER_SOURCE)")))</f>
        <v/>
      </c>
      <c r="K2751" s="22">
        <f t="array" ref="K2751">IF($D2751="","",IFERROR(INDEX(MASTER_SOURCE!$C$2:$C$495,MATCH($I2751,MASTER_SOURCE!$A$2:$A$495,0)),""))</f>
        <v/>
      </c>
      <c r="L2751" s="22">
        <f t="array" ref="L2751">IF($D2751="","",IFERROR(INDEX(MASTER_SOURCE!$D$2:$D$495,MATCH($I2751,MASTER_SOURCE!$A$2:$A$495,0)),""))</f>
        <v/>
      </c>
      <c r="M2751" s="24" t="n"/>
      <c r="N2751" s="24" t="n"/>
      <c r="O2751" s="24" t="n"/>
      <c r="P2751" s="24" t="n"/>
      <c r="Q2751" s="22">
        <f>IF($D2751="","",IF(AND(OR(DANH_MUC!$L$5&lt;&gt;"Có",M2751="Có"),OR(DANH_MUC!$L$6&lt;&gt;"Có",N2751="Có"),OR(DANH_MUC!$L$7&lt;&gt;"Có",O2751="Có"),OR(DANH_MUC!$L$8&lt;&gt;"Có",P2751="Có")),"Có","Không"))</f>
        <v/>
      </c>
      <c r="R2751" s="22">
        <f>IF($D2751="","",IF(COUNTIF($D$2:$D2751,$D2751)&gt;1,"Trùng",""))</f>
        <v/>
      </c>
      <c r="S2751" s="22">
        <f>IF($D2751="","",IF(AND(LEN($D2751)=10,LEFT($D2751,1)="0",ISNUMBER(--$D2751)),"Có","Không"))</f>
        <v/>
      </c>
      <c r="T2751" s="22">
        <f>IF($D2751="","",IF(AND($C2751&lt;&gt;"",$Q2751="Có",$R2751="",$S2751="Có",AND($L2751&lt;&gt;"",OR($L2751&lt;&gt;"Chưa xác định",DANH_MUC!$L$9="Có"))),"Có","Không"))</f>
        <v/>
      </c>
      <c r="U2751" s="22">
        <f>IF(OR($D2751="",$T2751="Có"),"",IF($C2751="","Thiếu họ tên; ","")&amp;IF($S2751&lt;&gt;"Có","SĐT sai định dạng; ","")&amp;IF($R2751="Trùng","Trùng SĐT; ","")&amp;IF($Q2751&lt;&gt;"Có","Thiếu đồng ý bắt buộc; ","")&amp;IF($L2751="","Thiếu/sai Mã REF; ",IF(AND($L2751="Chưa xác định",DANH_MUC!$L$9&lt;&gt;"Có"),"Nguồn chưa xác định; ","")))</f>
        <v/>
      </c>
      <c r="V2751" s="22">
        <f>IF(OR($D2751="",$R2751="Trùng"),"",IF(COUNTIF(ORDERS!$C$2:$C$4995,$D2751)&gt;0,"Có","Không"))</f>
        <v/>
      </c>
      <c r="W2751" s="22">
        <f>IF(OR($D2751="",$R2751="Trùng"),"",COUNTIFS(ORDERS!$C$2:$C$4995,$D2751,ORDERS!$L$2:$L$4995,"Đã chuyển khoản"))</f>
        <v/>
      </c>
      <c r="X2751" s="23">
        <f>IF(OR($D2751="",$R2751="Trùng"),"",SUMIFS(ORDERS!$J$2:$J$4995,ORDERS!$C$2:$C$4995,$D2751,ORDERS!$L$2:$L$4995,"Đã chuyển khoản"))</f>
        <v/>
      </c>
      <c r="Y2751" s="24" t="n"/>
    </row>
    <row r="2752" ht="14.25" customHeight="1" s="40">
      <c r="A2752" s="24" t="n"/>
      <c r="B2752" s="27" t="n"/>
      <c r="C2752" s="24" t="n"/>
      <c r="D2752" s="28" t="n"/>
      <c r="E2752" s="29" t="n"/>
      <c r="F2752" s="24" t="n"/>
      <c r="G2752" s="24" t="n"/>
      <c r="H2752" s="21">
        <f>IF(ISNUMBER($B2752),INT($B2752)-WEEKDAY($B2752,2)+1,"")</f>
        <v/>
      </c>
      <c r="I2752" s="24" t="n"/>
      <c r="J2752" s="22">
        <f t="array" ref="J2752">IF($D2752="","",IF($I2752="","(trống REF)",IFERROR(INDEX(MASTER_SOURCE!$B$2:$B$495,MATCH($I2752,MASTER_SOURCE!$A$2:$A$495,0)),"(REF không có trong MASTER_SOURCE)")))</f>
        <v/>
      </c>
      <c r="K2752" s="22">
        <f t="array" ref="K2752">IF($D2752="","",IFERROR(INDEX(MASTER_SOURCE!$C$2:$C$495,MATCH($I2752,MASTER_SOURCE!$A$2:$A$495,0)),""))</f>
        <v/>
      </c>
      <c r="L2752" s="22">
        <f t="array" ref="L2752">IF($D2752="","",IFERROR(INDEX(MASTER_SOURCE!$D$2:$D$495,MATCH($I2752,MASTER_SOURCE!$A$2:$A$495,0)),""))</f>
        <v/>
      </c>
      <c r="M2752" s="24" t="n"/>
      <c r="N2752" s="24" t="n"/>
      <c r="O2752" s="24" t="n"/>
      <c r="P2752" s="24" t="n"/>
      <c r="Q2752" s="22">
        <f>IF($D2752="","",IF(AND(OR(DANH_MUC!$L$5&lt;&gt;"Có",M2752="Có"),OR(DANH_MUC!$L$6&lt;&gt;"Có",N2752="Có"),OR(DANH_MUC!$L$7&lt;&gt;"Có",O2752="Có"),OR(DANH_MUC!$L$8&lt;&gt;"Có",P2752="Có")),"Có","Không"))</f>
        <v/>
      </c>
      <c r="R2752" s="22">
        <f>IF($D2752="","",IF(COUNTIF($D$2:$D2752,$D2752)&gt;1,"Trùng",""))</f>
        <v/>
      </c>
      <c r="S2752" s="22">
        <f>IF($D2752="","",IF(AND(LEN($D2752)=10,LEFT($D2752,1)="0",ISNUMBER(--$D2752)),"Có","Không"))</f>
        <v/>
      </c>
      <c r="T2752" s="22">
        <f>IF($D2752="","",IF(AND($C2752&lt;&gt;"",$Q2752="Có",$R2752="",$S2752="Có",AND($L2752&lt;&gt;"",OR($L2752&lt;&gt;"Chưa xác định",DANH_MUC!$L$9="Có"))),"Có","Không"))</f>
        <v/>
      </c>
      <c r="U2752" s="22">
        <f>IF(OR($D2752="",$T2752="Có"),"",IF($C2752="","Thiếu họ tên; ","")&amp;IF($S2752&lt;&gt;"Có","SĐT sai định dạng; ","")&amp;IF($R2752="Trùng","Trùng SĐT; ","")&amp;IF($Q2752&lt;&gt;"Có","Thiếu đồng ý bắt buộc; ","")&amp;IF($L2752="","Thiếu/sai Mã REF; ",IF(AND($L2752="Chưa xác định",DANH_MUC!$L$9&lt;&gt;"Có"),"Nguồn chưa xác định; ","")))</f>
        <v/>
      </c>
      <c r="V2752" s="22">
        <f>IF(OR($D2752="",$R2752="Trùng"),"",IF(COUNTIF(ORDERS!$C$2:$C$4995,$D2752)&gt;0,"Có","Không"))</f>
        <v/>
      </c>
      <c r="W2752" s="22">
        <f>IF(OR($D2752="",$R2752="Trùng"),"",COUNTIFS(ORDERS!$C$2:$C$4995,$D2752,ORDERS!$L$2:$L$4995,"Đã chuyển khoản"))</f>
        <v/>
      </c>
      <c r="X2752" s="23">
        <f>IF(OR($D2752="",$R2752="Trùng"),"",SUMIFS(ORDERS!$J$2:$J$4995,ORDERS!$C$2:$C$4995,$D2752,ORDERS!$L$2:$L$4995,"Đã chuyển khoản"))</f>
        <v/>
      </c>
      <c r="Y2752" s="24" t="n"/>
    </row>
    <row r="2753" ht="14.25" customHeight="1" s="40">
      <c r="A2753" s="24" t="n"/>
      <c r="B2753" s="27" t="n"/>
      <c r="C2753" s="24" t="n"/>
      <c r="D2753" s="28" t="n"/>
      <c r="E2753" s="29" t="n"/>
      <c r="F2753" s="24" t="n"/>
      <c r="G2753" s="24" t="n"/>
      <c r="H2753" s="21">
        <f>IF(ISNUMBER($B2753),INT($B2753)-WEEKDAY($B2753,2)+1,"")</f>
        <v/>
      </c>
      <c r="I2753" s="24" t="n"/>
      <c r="J2753" s="22">
        <f t="array" ref="J2753">IF($D2753="","",IF($I2753="","(trống REF)",IFERROR(INDEX(MASTER_SOURCE!$B$2:$B$495,MATCH($I2753,MASTER_SOURCE!$A$2:$A$495,0)),"(REF không có trong MASTER_SOURCE)")))</f>
        <v/>
      </c>
      <c r="K2753" s="22">
        <f t="array" ref="K2753">IF($D2753="","",IFERROR(INDEX(MASTER_SOURCE!$C$2:$C$495,MATCH($I2753,MASTER_SOURCE!$A$2:$A$495,0)),""))</f>
        <v/>
      </c>
      <c r="L2753" s="22">
        <f t="array" ref="L2753">IF($D2753="","",IFERROR(INDEX(MASTER_SOURCE!$D$2:$D$495,MATCH($I2753,MASTER_SOURCE!$A$2:$A$495,0)),""))</f>
        <v/>
      </c>
      <c r="M2753" s="24" t="n"/>
      <c r="N2753" s="24" t="n"/>
      <c r="O2753" s="24" t="n"/>
      <c r="P2753" s="24" t="n"/>
      <c r="Q2753" s="22">
        <f>IF($D2753="","",IF(AND(OR(DANH_MUC!$L$5&lt;&gt;"Có",M2753="Có"),OR(DANH_MUC!$L$6&lt;&gt;"Có",N2753="Có"),OR(DANH_MUC!$L$7&lt;&gt;"Có",O2753="Có"),OR(DANH_MUC!$L$8&lt;&gt;"Có",P2753="Có")),"Có","Không"))</f>
        <v/>
      </c>
      <c r="R2753" s="22">
        <f>IF($D2753="","",IF(COUNTIF($D$2:$D2753,$D2753)&gt;1,"Trùng",""))</f>
        <v/>
      </c>
      <c r="S2753" s="22">
        <f>IF($D2753="","",IF(AND(LEN($D2753)=10,LEFT($D2753,1)="0",ISNUMBER(--$D2753)),"Có","Không"))</f>
        <v/>
      </c>
      <c r="T2753" s="22">
        <f>IF($D2753="","",IF(AND($C2753&lt;&gt;"",$Q2753="Có",$R2753="",$S2753="Có",AND($L2753&lt;&gt;"",OR($L2753&lt;&gt;"Chưa xác định",DANH_MUC!$L$9="Có"))),"Có","Không"))</f>
        <v/>
      </c>
      <c r="U2753" s="22">
        <f>IF(OR($D2753="",$T2753="Có"),"",IF($C2753="","Thiếu họ tên; ","")&amp;IF($S2753&lt;&gt;"Có","SĐT sai định dạng; ","")&amp;IF($R2753="Trùng","Trùng SĐT; ","")&amp;IF($Q2753&lt;&gt;"Có","Thiếu đồng ý bắt buộc; ","")&amp;IF($L2753="","Thiếu/sai Mã REF; ",IF(AND($L2753="Chưa xác định",DANH_MUC!$L$9&lt;&gt;"Có"),"Nguồn chưa xác định; ","")))</f>
        <v/>
      </c>
      <c r="V2753" s="22">
        <f>IF(OR($D2753="",$R2753="Trùng"),"",IF(COUNTIF(ORDERS!$C$2:$C$4995,$D2753)&gt;0,"Có","Không"))</f>
        <v/>
      </c>
      <c r="W2753" s="22">
        <f>IF(OR($D2753="",$R2753="Trùng"),"",COUNTIFS(ORDERS!$C$2:$C$4995,$D2753,ORDERS!$L$2:$L$4995,"Đã chuyển khoản"))</f>
        <v/>
      </c>
      <c r="X2753" s="23">
        <f>IF(OR($D2753="",$R2753="Trùng"),"",SUMIFS(ORDERS!$J$2:$J$4995,ORDERS!$C$2:$C$4995,$D2753,ORDERS!$L$2:$L$4995,"Đã chuyển khoản"))</f>
        <v/>
      </c>
      <c r="Y2753" s="24" t="n"/>
    </row>
    <row r="2754" ht="14.25" customHeight="1" s="40">
      <c r="A2754" s="24" t="n"/>
      <c r="B2754" s="27" t="n"/>
      <c r="C2754" s="24" t="n"/>
      <c r="D2754" s="28" t="n"/>
      <c r="E2754" s="29" t="n"/>
      <c r="F2754" s="24" t="n"/>
      <c r="G2754" s="24" t="n"/>
      <c r="H2754" s="21">
        <f>IF(ISNUMBER($B2754),INT($B2754)-WEEKDAY($B2754,2)+1,"")</f>
        <v/>
      </c>
      <c r="I2754" s="24" t="n"/>
      <c r="J2754" s="22">
        <f t="array" ref="J2754">IF($D2754="","",IF($I2754="","(trống REF)",IFERROR(INDEX(MASTER_SOURCE!$B$2:$B$495,MATCH($I2754,MASTER_SOURCE!$A$2:$A$495,0)),"(REF không có trong MASTER_SOURCE)")))</f>
        <v/>
      </c>
      <c r="K2754" s="22">
        <f t="array" ref="K2754">IF($D2754="","",IFERROR(INDEX(MASTER_SOURCE!$C$2:$C$495,MATCH($I2754,MASTER_SOURCE!$A$2:$A$495,0)),""))</f>
        <v/>
      </c>
      <c r="L2754" s="22">
        <f t="array" ref="L2754">IF($D2754="","",IFERROR(INDEX(MASTER_SOURCE!$D$2:$D$495,MATCH($I2754,MASTER_SOURCE!$A$2:$A$495,0)),""))</f>
        <v/>
      </c>
      <c r="M2754" s="24" t="n"/>
      <c r="N2754" s="24" t="n"/>
      <c r="O2754" s="24" t="n"/>
      <c r="P2754" s="24" t="n"/>
      <c r="Q2754" s="22">
        <f>IF($D2754="","",IF(AND(OR(DANH_MUC!$L$5&lt;&gt;"Có",M2754="Có"),OR(DANH_MUC!$L$6&lt;&gt;"Có",N2754="Có"),OR(DANH_MUC!$L$7&lt;&gt;"Có",O2754="Có"),OR(DANH_MUC!$L$8&lt;&gt;"Có",P2754="Có")),"Có","Không"))</f>
        <v/>
      </c>
      <c r="R2754" s="22">
        <f>IF($D2754="","",IF(COUNTIF($D$2:$D2754,$D2754)&gt;1,"Trùng",""))</f>
        <v/>
      </c>
      <c r="S2754" s="22">
        <f>IF($D2754="","",IF(AND(LEN($D2754)=10,LEFT($D2754,1)="0",ISNUMBER(--$D2754)),"Có","Không"))</f>
        <v/>
      </c>
      <c r="T2754" s="22">
        <f>IF($D2754="","",IF(AND($C2754&lt;&gt;"",$Q2754="Có",$R2754="",$S2754="Có",AND($L2754&lt;&gt;"",OR($L2754&lt;&gt;"Chưa xác định",DANH_MUC!$L$9="Có"))),"Có","Không"))</f>
        <v/>
      </c>
      <c r="U2754" s="22">
        <f>IF(OR($D2754="",$T2754="Có"),"",IF($C2754="","Thiếu họ tên; ","")&amp;IF($S2754&lt;&gt;"Có","SĐT sai định dạng; ","")&amp;IF($R2754="Trùng","Trùng SĐT; ","")&amp;IF($Q2754&lt;&gt;"Có","Thiếu đồng ý bắt buộc; ","")&amp;IF($L2754="","Thiếu/sai Mã REF; ",IF(AND($L2754="Chưa xác định",DANH_MUC!$L$9&lt;&gt;"Có"),"Nguồn chưa xác định; ","")))</f>
        <v/>
      </c>
      <c r="V2754" s="22">
        <f>IF(OR($D2754="",$R2754="Trùng"),"",IF(COUNTIF(ORDERS!$C$2:$C$4995,$D2754)&gt;0,"Có","Không"))</f>
        <v/>
      </c>
      <c r="W2754" s="22">
        <f>IF(OR($D2754="",$R2754="Trùng"),"",COUNTIFS(ORDERS!$C$2:$C$4995,$D2754,ORDERS!$L$2:$L$4995,"Đã chuyển khoản"))</f>
        <v/>
      </c>
      <c r="X2754" s="23">
        <f>IF(OR($D2754="",$R2754="Trùng"),"",SUMIFS(ORDERS!$J$2:$J$4995,ORDERS!$C$2:$C$4995,$D2754,ORDERS!$L$2:$L$4995,"Đã chuyển khoản"))</f>
        <v/>
      </c>
      <c r="Y2754" s="24" t="n"/>
    </row>
    <row r="2755" ht="14.25" customHeight="1" s="40">
      <c r="A2755" s="24" t="n"/>
      <c r="B2755" s="27" t="n"/>
      <c r="C2755" s="24" t="n"/>
      <c r="D2755" s="28" t="n"/>
      <c r="E2755" s="29" t="n"/>
      <c r="F2755" s="24" t="n"/>
      <c r="G2755" s="24" t="n"/>
      <c r="H2755" s="21">
        <f>IF(ISNUMBER($B2755),INT($B2755)-WEEKDAY($B2755,2)+1,"")</f>
        <v/>
      </c>
      <c r="I2755" s="24" t="n"/>
      <c r="J2755" s="22">
        <f t="array" ref="J2755">IF($D2755="","",IF($I2755="","(trống REF)",IFERROR(INDEX(MASTER_SOURCE!$B$2:$B$495,MATCH($I2755,MASTER_SOURCE!$A$2:$A$495,0)),"(REF không có trong MASTER_SOURCE)")))</f>
        <v/>
      </c>
      <c r="K2755" s="22">
        <f t="array" ref="K2755">IF($D2755="","",IFERROR(INDEX(MASTER_SOURCE!$C$2:$C$495,MATCH($I2755,MASTER_SOURCE!$A$2:$A$495,0)),""))</f>
        <v/>
      </c>
      <c r="L2755" s="22">
        <f t="array" ref="L2755">IF($D2755="","",IFERROR(INDEX(MASTER_SOURCE!$D$2:$D$495,MATCH($I2755,MASTER_SOURCE!$A$2:$A$495,0)),""))</f>
        <v/>
      </c>
      <c r="M2755" s="24" t="n"/>
      <c r="N2755" s="24" t="n"/>
      <c r="O2755" s="24" t="n"/>
      <c r="P2755" s="24" t="n"/>
      <c r="Q2755" s="22">
        <f>IF($D2755="","",IF(AND(OR(DANH_MUC!$L$5&lt;&gt;"Có",M2755="Có"),OR(DANH_MUC!$L$6&lt;&gt;"Có",N2755="Có"),OR(DANH_MUC!$L$7&lt;&gt;"Có",O2755="Có"),OR(DANH_MUC!$L$8&lt;&gt;"Có",P2755="Có")),"Có","Không"))</f>
        <v/>
      </c>
      <c r="R2755" s="22">
        <f>IF($D2755="","",IF(COUNTIF($D$2:$D2755,$D2755)&gt;1,"Trùng",""))</f>
        <v/>
      </c>
      <c r="S2755" s="22">
        <f>IF($D2755="","",IF(AND(LEN($D2755)=10,LEFT($D2755,1)="0",ISNUMBER(--$D2755)),"Có","Không"))</f>
        <v/>
      </c>
      <c r="T2755" s="22">
        <f>IF($D2755="","",IF(AND($C2755&lt;&gt;"",$Q2755="Có",$R2755="",$S2755="Có",AND($L2755&lt;&gt;"",OR($L2755&lt;&gt;"Chưa xác định",DANH_MUC!$L$9="Có"))),"Có","Không"))</f>
        <v/>
      </c>
      <c r="U2755" s="22">
        <f>IF(OR($D2755="",$T2755="Có"),"",IF($C2755="","Thiếu họ tên; ","")&amp;IF($S2755&lt;&gt;"Có","SĐT sai định dạng; ","")&amp;IF($R2755="Trùng","Trùng SĐT; ","")&amp;IF($Q2755&lt;&gt;"Có","Thiếu đồng ý bắt buộc; ","")&amp;IF($L2755="","Thiếu/sai Mã REF; ",IF(AND($L2755="Chưa xác định",DANH_MUC!$L$9&lt;&gt;"Có"),"Nguồn chưa xác định; ","")))</f>
        <v/>
      </c>
      <c r="V2755" s="22">
        <f>IF(OR($D2755="",$R2755="Trùng"),"",IF(COUNTIF(ORDERS!$C$2:$C$4995,$D2755)&gt;0,"Có","Không"))</f>
        <v/>
      </c>
      <c r="W2755" s="22">
        <f>IF(OR($D2755="",$R2755="Trùng"),"",COUNTIFS(ORDERS!$C$2:$C$4995,$D2755,ORDERS!$L$2:$L$4995,"Đã chuyển khoản"))</f>
        <v/>
      </c>
      <c r="X2755" s="23">
        <f>IF(OR($D2755="",$R2755="Trùng"),"",SUMIFS(ORDERS!$J$2:$J$4995,ORDERS!$C$2:$C$4995,$D2755,ORDERS!$L$2:$L$4995,"Đã chuyển khoản"))</f>
        <v/>
      </c>
      <c r="Y2755" s="24" t="n"/>
    </row>
    <row r="2756" ht="14.25" customHeight="1" s="40">
      <c r="A2756" s="24" t="n"/>
      <c r="B2756" s="27" t="n"/>
      <c r="C2756" s="24" t="n"/>
      <c r="D2756" s="28" t="n"/>
      <c r="E2756" s="29" t="n"/>
      <c r="F2756" s="24" t="n"/>
      <c r="G2756" s="24" t="n"/>
      <c r="H2756" s="21">
        <f>IF(ISNUMBER($B2756),INT($B2756)-WEEKDAY($B2756,2)+1,"")</f>
        <v/>
      </c>
      <c r="I2756" s="24" t="n"/>
      <c r="J2756" s="22">
        <f t="array" ref="J2756">IF($D2756="","",IF($I2756="","(trống REF)",IFERROR(INDEX(MASTER_SOURCE!$B$2:$B$495,MATCH($I2756,MASTER_SOURCE!$A$2:$A$495,0)),"(REF không có trong MASTER_SOURCE)")))</f>
        <v/>
      </c>
      <c r="K2756" s="22">
        <f t="array" ref="K2756">IF($D2756="","",IFERROR(INDEX(MASTER_SOURCE!$C$2:$C$495,MATCH($I2756,MASTER_SOURCE!$A$2:$A$495,0)),""))</f>
        <v/>
      </c>
      <c r="L2756" s="22">
        <f t="array" ref="L2756">IF($D2756="","",IFERROR(INDEX(MASTER_SOURCE!$D$2:$D$495,MATCH($I2756,MASTER_SOURCE!$A$2:$A$495,0)),""))</f>
        <v/>
      </c>
      <c r="M2756" s="24" t="n"/>
      <c r="N2756" s="24" t="n"/>
      <c r="O2756" s="24" t="n"/>
      <c r="P2756" s="24" t="n"/>
      <c r="Q2756" s="22">
        <f>IF($D2756="","",IF(AND(OR(DANH_MUC!$L$5&lt;&gt;"Có",M2756="Có"),OR(DANH_MUC!$L$6&lt;&gt;"Có",N2756="Có"),OR(DANH_MUC!$L$7&lt;&gt;"Có",O2756="Có"),OR(DANH_MUC!$L$8&lt;&gt;"Có",P2756="Có")),"Có","Không"))</f>
        <v/>
      </c>
      <c r="R2756" s="22">
        <f>IF($D2756="","",IF(COUNTIF($D$2:$D2756,$D2756)&gt;1,"Trùng",""))</f>
        <v/>
      </c>
      <c r="S2756" s="22">
        <f>IF($D2756="","",IF(AND(LEN($D2756)=10,LEFT($D2756,1)="0",ISNUMBER(--$D2756)),"Có","Không"))</f>
        <v/>
      </c>
      <c r="T2756" s="22">
        <f>IF($D2756="","",IF(AND($C2756&lt;&gt;"",$Q2756="Có",$R2756="",$S2756="Có",AND($L2756&lt;&gt;"",OR($L2756&lt;&gt;"Chưa xác định",DANH_MUC!$L$9="Có"))),"Có","Không"))</f>
        <v/>
      </c>
      <c r="U2756" s="22">
        <f>IF(OR($D2756="",$T2756="Có"),"",IF($C2756="","Thiếu họ tên; ","")&amp;IF($S2756&lt;&gt;"Có","SĐT sai định dạng; ","")&amp;IF($R2756="Trùng","Trùng SĐT; ","")&amp;IF($Q2756&lt;&gt;"Có","Thiếu đồng ý bắt buộc; ","")&amp;IF($L2756="","Thiếu/sai Mã REF; ",IF(AND($L2756="Chưa xác định",DANH_MUC!$L$9&lt;&gt;"Có"),"Nguồn chưa xác định; ","")))</f>
        <v/>
      </c>
      <c r="V2756" s="22">
        <f>IF(OR($D2756="",$R2756="Trùng"),"",IF(COUNTIF(ORDERS!$C$2:$C$4995,$D2756)&gt;0,"Có","Không"))</f>
        <v/>
      </c>
      <c r="W2756" s="22">
        <f>IF(OR($D2756="",$R2756="Trùng"),"",COUNTIFS(ORDERS!$C$2:$C$4995,$D2756,ORDERS!$L$2:$L$4995,"Đã chuyển khoản"))</f>
        <v/>
      </c>
      <c r="X2756" s="23">
        <f>IF(OR($D2756="",$R2756="Trùng"),"",SUMIFS(ORDERS!$J$2:$J$4995,ORDERS!$C$2:$C$4995,$D2756,ORDERS!$L$2:$L$4995,"Đã chuyển khoản"))</f>
        <v/>
      </c>
      <c r="Y2756" s="24" t="n"/>
    </row>
    <row r="2757" ht="14.25" customHeight="1" s="40">
      <c r="A2757" s="24" t="n"/>
      <c r="B2757" s="27" t="n"/>
      <c r="C2757" s="24" t="n"/>
      <c r="D2757" s="28" t="n"/>
      <c r="E2757" s="29" t="n"/>
      <c r="F2757" s="24" t="n"/>
      <c r="G2757" s="24" t="n"/>
      <c r="H2757" s="21">
        <f>IF(ISNUMBER($B2757),INT($B2757)-WEEKDAY($B2757,2)+1,"")</f>
        <v/>
      </c>
      <c r="I2757" s="24" t="n"/>
      <c r="J2757" s="22">
        <f t="array" ref="J2757">IF($D2757="","",IF($I2757="","(trống REF)",IFERROR(INDEX(MASTER_SOURCE!$B$2:$B$495,MATCH($I2757,MASTER_SOURCE!$A$2:$A$495,0)),"(REF không có trong MASTER_SOURCE)")))</f>
        <v/>
      </c>
      <c r="K2757" s="22">
        <f t="array" ref="K2757">IF($D2757="","",IFERROR(INDEX(MASTER_SOURCE!$C$2:$C$495,MATCH($I2757,MASTER_SOURCE!$A$2:$A$495,0)),""))</f>
        <v/>
      </c>
      <c r="L2757" s="22">
        <f t="array" ref="L2757">IF($D2757="","",IFERROR(INDEX(MASTER_SOURCE!$D$2:$D$495,MATCH($I2757,MASTER_SOURCE!$A$2:$A$495,0)),""))</f>
        <v/>
      </c>
      <c r="M2757" s="24" t="n"/>
      <c r="N2757" s="24" t="n"/>
      <c r="O2757" s="24" t="n"/>
      <c r="P2757" s="24" t="n"/>
      <c r="Q2757" s="22">
        <f>IF($D2757="","",IF(AND(OR(DANH_MUC!$L$5&lt;&gt;"Có",M2757="Có"),OR(DANH_MUC!$L$6&lt;&gt;"Có",N2757="Có"),OR(DANH_MUC!$L$7&lt;&gt;"Có",O2757="Có"),OR(DANH_MUC!$L$8&lt;&gt;"Có",P2757="Có")),"Có","Không"))</f>
        <v/>
      </c>
      <c r="R2757" s="22">
        <f>IF($D2757="","",IF(COUNTIF($D$2:$D2757,$D2757)&gt;1,"Trùng",""))</f>
        <v/>
      </c>
      <c r="S2757" s="22">
        <f>IF($D2757="","",IF(AND(LEN($D2757)=10,LEFT($D2757,1)="0",ISNUMBER(--$D2757)),"Có","Không"))</f>
        <v/>
      </c>
      <c r="T2757" s="22">
        <f>IF($D2757="","",IF(AND($C2757&lt;&gt;"",$Q2757="Có",$R2757="",$S2757="Có",AND($L2757&lt;&gt;"",OR($L2757&lt;&gt;"Chưa xác định",DANH_MUC!$L$9="Có"))),"Có","Không"))</f>
        <v/>
      </c>
      <c r="U2757" s="22">
        <f>IF(OR($D2757="",$T2757="Có"),"",IF($C2757="","Thiếu họ tên; ","")&amp;IF($S2757&lt;&gt;"Có","SĐT sai định dạng; ","")&amp;IF($R2757="Trùng","Trùng SĐT; ","")&amp;IF($Q2757&lt;&gt;"Có","Thiếu đồng ý bắt buộc; ","")&amp;IF($L2757="","Thiếu/sai Mã REF; ",IF(AND($L2757="Chưa xác định",DANH_MUC!$L$9&lt;&gt;"Có"),"Nguồn chưa xác định; ","")))</f>
        <v/>
      </c>
      <c r="V2757" s="22">
        <f>IF(OR($D2757="",$R2757="Trùng"),"",IF(COUNTIF(ORDERS!$C$2:$C$4995,$D2757)&gt;0,"Có","Không"))</f>
        <v/>
      </c>
      <c r="W2757" s="22">
        <f>IF(OR($D2757="",$R2757="Trùng"),"",COUNTIFS(ORDERS!$C$2:$C$4995,$D2757,ORDERS!$L$2:$L$4995,"Đã chuyển khoản"))</f>
        <v/>
      </c>
      <c r="X2757" s="23">
        <f>IF(OR($D2757="",$R2757="Trùng"),"",SUMIFS(ORDERS!$J$2:$J$4995,ORDERS!$C$2:$C$4995,$D2757,ORDERS!$L$2:$L$4995,"Đã chuyển khoản"))</f>
        <v/>
      </c>
      <c r="Y2757" s="24" t="n"/>
    </row>
    <row r="2758" ht="14.25" customHeight="1" s="40">
      <c r="A2758" s="24" t="n"/>
      <c r="B2758" s="27" t="n"/>
      <c r="C2758" s="24" t="n"/>
      <c r="D2758" s="28" t="n"/>
      <c r="E2758" s="29" t="n"/>
      <c r="F2758" s="24" t="n"/>
      <c r="G2758" s="24" t="n"/>
      <c r="H2758" s="21">
        <f>IF(ISNUMBER($B2758),INT($B2758)-WEEKDAY($B2758,2)+1,"")</f>
        <v/>
      </c>
      <c r="I2758" s="24" t="n"/>
      <c r="J2758" s="22">
        <f t="array" ref="J2758">IF($D2758="","",IF($I2758="","(trống REF)",IFERROR(INDEX(MASTER_SOURCE!$B$2:$B$495,MATCH($I2758,MASTER_SOURCE!$A$2:$A$495,0)),"(REF không có trong MASTER_SOURCE)")))</f>
        <v/>
      </c>
      <c r="K2758" s="22">
        <f t="array" ref="K2758">IF($D2758="","",IFERROR(INDEX(MASTER_SOURCE!$C$2:$C$495,MATCH($I2758,MASTER_SOURCE!$A$2:$A$495,0)),""))</f>
        <v/>
      </c>
      <c r="L2758" s="22">
        <f t="array" ref="L2758">IF($D2758="","",IFERROR(INDEX(MASTER_SOURCE!$D$2:$D$495,MATCH($I2758,MASTER_SOURCE!$A$2:$A$495,0)),""))</f>
        <v/>
      </c>
      <c r="M2758" s="24" t="n"/>
      <c r="N2758" s="24" t="n"/>
      <c r="O2758" s="24" t="n"/>
      <c r="P2758" s="24" t="n"/>
      <c r="Q2758" s="22">
        <f>IF($D2758="","",IF(AND(OR(DANH_MUC!$L$5&lt;&gt;"Có",M2758="Có"),OR(DANH_MUC!$L$6&lt;&gt;"Có",N2758="Có"),OR(DANH_MUC!$L$7&lt;&gt;"Có",O2758="Có"),OR(DANH_MUC!$L$8&lt;&gt;"Có",P2758="Có")),"Có","Không"))</f>
        <v/>
      </c>
      <c r="R2758" s="22">
        <f>IF($D2758="","",IF(COUNTIF($D$2:$D2758,$D2758)&gt;1,"Trùng",""))</f>
        <v/>
      </c>
      <c r="S2758" s="22">
        <f>IF($D2758="","",IF(AND(LEN($D2758)=10,LEFT($D2758,1)="0",ISNUMBER(--$D2758)),"Có","Không"))</f>
        <v/>
      </c>
      <c r="T2758" s="22">
        <f>IF($D2758="","",IF(AND($C2758&lt;&gt;"",$Q2758="Có",$R2758="",$S2758="Có",AND($L2758&lt;&gt;"",OR($L2758&lt;&gt;"Chưa xác định",DANH_MUC!$L$9="Có"))),"Có","Không"))</f>
        <v/>
      </c>
      <c r="U2758" s="22">
        <f>IF(OR($D2758="",$T2758="Có"),"",IF($C2758="","Thiếu họ tên; ","")&amp;IF($S2758&lt;&gt;"Có","SĐT sai định dạng; ","")&amp;IF($R2758="Trùng","Trùng SĐT; ","")&amp;IF($Q2758&lt;&gt;"Có","Thiếu đồng ý bắt buộc; ","")&amp;IF($L2758="","Thiếu/sai Mã REF; ",IF(AND($L2758="Chưa xác định",DANH_MUC!$L$9&lt;&gt;"Có"),"Nguồn chưa xác định; ","")))</f>
        <v/>
      </c>
      <c r="V2758" s="22">
        <f>IF(OR($D2758="",$R2758="Trùng"),"",IF(COUNTIF(ORDERS!$C$2:$C$4995,$D2758)&gt;0,"Có","Không"))</f>
        <v/>
      </c>
      <c r="W2758" s="22">
        <f>IF(OR($D2758="",$R2758="Trùng"),"",COUNTIFS(ORDERS!$C$2:$C$4995,$D2758,ORDERS!$L$2:$L$4995,"Đã chuyển khoản"))</f>
        <v/>
      </c>
      <c r="X2758" s="23">
        <f>IF(OR($D2758="",$R2758="Trùng"),"",SUMIFS(ORDERS!$J$2:$J$4995,ORDERS!$C$2:$C$4995,$D2758,ORDERS!$L$2:$L$4995,"Đã chuyển khoản"))</f>
        <v/>
      </c>
      <c r="Y2758" s="24" t="n"/>
    </row>
    <row r="2759" ht="14.25" customHeight="1" s="40">
      <c r="A2759" s="24" t="n"/>
      <c r="B2759" s="27" t="n"/>
      <c r="C2759" s="24" t="n"/>
      <c r="D2759" s="28" t="n"/>
      <c r="E2759" s="29" t="n"/>
      <c r="F2759" s="24" t="n"/>
      <c r="G2759" s="24" t="n"/>
      <c r="H2759" s="21">
        <f>IF(ISNUMBER($B2759),INT($B2759)-WEEKDAY($B2759,2)+1,"")</f>
        <v/>
      </c>
      <c r="I2759" s="24" t="n"/>
      <c r="J2759" s="22">
        <f t="array" ref="J2759">IF($D2759="","",IF($I2759="","(trống REF)",IFERROR(INDEX(MASTER_SOURCE!$B$2:$B$495,MATCH($I2759,MASTER_SOURCE!$A$2:$A$495,0)),"(REF không có trong MASTER_SOURCE)")))</f>
        <v/>
      </c>
      <c r="K2759" s="22">
        <f t="array" ref="K2759">IF($D2759="","",IFERROR(INDEX(MASTER_SOURCE!$C$2:$C$495,MATCH($I2759,MASTER_SOURCE!$A$2:$A$495,0)),""))</f>
        <v/>
      </c>
      <c r="L2759" s="22">
        <f t="array" ref="L2759">IF($D2759="","",IFERROR(INDEX(MASTER_SOURCE!$D$2:$D$495,MATCH($I2759,MASTER_SOURCE!$A$2:$A$495,0)),""))</f>
        <v/>
      </c>
      <c r="M2759" s="24" t="n"/>
      <c r="N2759" s="24" t="n"/>
      <c r="O2759" s="24" t="n"/>
      <c r="P2759" s="24" t="n"/>
      <c r="Q2759" s="22">
        <f>IF($D2759="","",IF(AND(OR(DANH_MUC!$L$5&lt;&gt;"Có",M2759="Có"),OR(DANH_MUC!$L$6&lt;&gt;"Có",N2759="Có"),OR(DANH_MUC!$L$7&lt;&gt;"Có",O2759="Có"),OR(DANH_MUC!$L$8&lt;&gt;"Có",P2759="Có")),"Có","Không"))</f>
        <v/>
      </c>
      <c r="R2759" s="22">
        <f>IF($D2759="","",IF(COUNTIF($D$2:$D2759,$D2759)&gt;1,"Trùng",""))</f>
        <v/>
      </c>
      <c r="S2759" s="22">
        <f>IF($D2759="","",IF(AND(LEN($D2759)=10,LEFT($D2759,1)="0",ISNUMBER(--$D2759)),"Có","Không"))</f>
        <v/>
      </c>
      <c r="T2759" s="22">
        <f>IF($D2759="","",IF(AND($C2759&lt;&gt;"",$Q2759="Có",$R2759="",$S2759="Có",AND($L2759&lt;&gt;"",OR($L2759&lt;&gt;"Chưa xác định",DANH_MUC!$L$9="Có"))),"Có","Không"))</f>
        <v/>
      </c>
      <c r="U2759" s="22">
        <f>IF(OR($D2759="",$T2759="Có"),"",IF($C2759="","Thiếu họ tên; ","")&amp;IF($S2759&lt;&gt;"Có","SĐT sai định dạng; ","")&amp;IF($R2759="Trùng","Trùng SĐT; ","")&amp;IF($Q2759&lt;&gt;"Có","Thiếu đồng ý bắt buộc; ","")&amp;IF($L2759="","Thiếu/sai Mã REF; ",IF(AND($L2759="Chưa xác định",DANH_MUC!$L$9&lt;&gt;"Có"),"Nguồn chưa xác định; ","")))</f>
        <v/>
      </c>
      <c r="V2759" s="22">
        <f>IF(OR($D2759="",$R2759="Trùng"),"",IF(COUNTIF(ORDERS!$C$2:$C$4995,$D2759)&gt;0,"Có","Không"))</f>
        <v/>
      </c>
      <c r="W2759" s="22">
        <f>IF(OR($D2759="",$R2759="Trùng"),"",COUNTIFS(ORDERS!$C$2:$C$4995,$D2759,ORDERS!$L$2:$L$4995,"Đã chuyển khoản"))</f>
        <v/>
      </c>
      <c r="X2759" s="23">
        <f>IF(OR($D2759="",$R2759="Trùng"),"",SUMIFS(ORDERS!$J$2:$J$4995,ORDERS!$C$2:$C$4995,$D2759,ORDERS!$L$2:$L$4995,"Đã chuyển khoản"))</f>
        <v/>
      </c>
      <c r="Y2759" s="24" t="n"/>
    </row>
    <row r="2760" ht="14.25" customHeight="1" s="40">
      <c r="A2760" s="24" t="n"/>
      <c r="B2760" s="27" t="n"/>
      <c r="C2760" s="24" t="n"/>
      <c r="D2760" s="28" t="n"/>
      <c r="E2760" s="29" t="n"/>
      <c r="F2760" s="24" t="n"/>
      <c r="G2760" s="24" t="n"/>
      <c r="H2760" s="21">
        <f>IF(ISNUMBER($B2760),INT($B2760)-WEEKDAY($B2760,2)+1,"")</f>
        <v/>
      </c>
      <c r="I2760" s="24" t="n"/>
      <c r="J2760" s="22">
        <f t="array" ref="J2760">IF($D2760="","",IF($I2760="","(trống REF)",IFERROR(INDEX(MASTER_SOURCE!$B$2:$B$495,MATCH($I2760,MASTER_SOURCE!$A$2:$A$495,0)),"(REF không có trong MASTER_SOURCE)")))</f>
        <v/>
      </c>
      <c r="K2760" s="22">
        <f t="array" ref="K2760">IF($D2760="","",IFERROR(INDEX(MASTER_SOURCE!$C$2:$C$495,MATCH($I2760,MASTER_SOURCE!$A$2:$A$495,0)),""))</f>
        <v/>
      </c>
      <c r="L2760" s="22">
        <f t="array" ref="L2760">IF($D2760="","",IFERROR(INDEX(MASTER_SOURCE!$D$2:$D$495,MATCH($I2760,MASTER_SOURCE!$A$2:$A$495,0)),""))</f>
        <v/>
      </c>
      <c r="M2760" s="24" t="n"/>
      <c r="N2760" s="24" t="n"/>
      <c r="O2760" s="24" t="n"/>
      <c r="P2760" s="24" t="n"/>
      <c r="Q2760" s="22">
        <f>IF($D2760="","",IF(AND(OR(DANH_MUC!$L$5&lt;&gt;"Có",M2760="Có"),OR(DANH_MUC!$L$6&lt;&gt;"Có",N2760="Có"),OR(DANH_MUC!$L$7&lt;&gt;"Có",O2760="Có"),OR(DANH_MUC!$L$8&lt;&gt;"Có",P2760="Có")),"Có","Không"))</f>
        <v/>
      </c>
      <c r="R2760" s="22">
        <f>IF($D2760="","",IF(COUNTIF($D$2:$D2760,$D2760)&gt;1,"Trùng",""))</f>
        <v/>
      </c>
      <c r="S2760" s="22">
        <f>IF($D2760="","",IF(AND(LEN($D2760)=10,LEFT($D2760,1)="0",ISNUMBER(--$D2760)),"Có","Không"))</f>
        <v/>
      </c>
      <c r="T2760" s="22">
        <f>IF($D2760="","",IF(AND($C2760&lt;&gt;"",$Q2760="Có",$R2760="",$S2760="Có",AND($L2760&lt;&gt;"",OR($L2760&lt;&gt;"Chưa xác định",DANH_MUC!$L$9="Có"))),"Có","Không"))</f>
        <v/>
      </c>
      <c r="U2760" s="22">
        <f>IF(OR($D2760="",$T2760="Có"),"",IF($C2760="","Thiếu họ tên; ","")&amp;IF($S2760&lt;&gt;"Có","SĐT sai định dạng; ","")&amp;IF($R2760="Trùng","Trùng SĐT; ","")&amp;IF($Q2760&lt;&gt;"Có","Thiếu đồng ý bắt buộc; ","")&amp;IF($L2760="","Thiếu/sai Mã REF; ",IF(AND($L2760="Chưa xác định",DANH_MUC!$L$9&lt;&gt;"Có"),"Nguồn chưa xác định; ","")))</f>
        <v/>
      </c>
      <c r="V2760" s="22">
        <f>IF(OR($D2760="",$R2760="Trùng"),"",IF(COUNTIF(ORDERS!$C$2:$C$4995,$D2760)&gt;0,"Có","Không"))</f>
        <v/>
      </c>
      <c r="W2760" s="22">
        <f>IF(OR($D2760="",$R2760="Trùng"),"",COUNTIFS(ORDERS!$C$2:$C$4995,$D2760,ORDERS!$L$2:$L$4995,"Đã chuyển khoản"))</f>
        <v/>
      </c>
      <c r="X2760" s="23">
        <f>IF(OR($D2760="",$R2760="Trùng"),"",SUMIFS(ORDERS!$J$2:$J$4995,ORDERS!$C$2:$C$4995,$D2760,ORDERS!$L$2:$L$4995,"Đã chuyển khoản"))</f>
        <v/>
      </c>
      <c r="Y2760" s="24" t="n"/>
    </row>
    <row r="2761" ht="14.25" customHeight="1" s="40">
      <c r="A2761" s="24" t="n"/>
      <c r="B2761" s="27" t="n"/>
      <c r="C2761" s="24" t="n"/>
      <c r="D2761" s="28" t="n"/>
      <c r="E2761" s="29" t="n"/>
      <c r="F2761" s="24" t="n"/>
      <c r="G2761" s="24" t="n"/>
      <c r="H2761" s="21">
        <f>IF(ISNUMBER($B2761),INT($B2761)-WEEKDAY($B2761,2)+1,"")</f>
        <v/>
      </c>
      <c r="I2761" s="24" t="n"/>
      <c r="J2761" s="22">
        <f t="array" ref="J2761">IF($D2761="","",IF($I2761="","(trống REF)",IFERROR(INDEX(MASTER_SOURCE!$B$2:$B$495,MATCH($I2761,MASTER_SOURCE!$A$2:$A$495,0)),"(REF không có trong MASTER_SOURCE)")))</f>
        <v/>
      </c>
      <c r="K2761" s="22">
        <f t="array" ref="K2761">IF($D2761="","",IFERROR(INDEX(MASTER_SOURCE!$C$2:$C$495,MATCH($I2761,MASTER_SOURCE!$A$2:$A$495,0)),""))</f>
        <v/>
      </c>
      <c r="L2761" s="22">
        <f t="array" ref="L2761">IF($D2761="","",IFERROR(INDEX(MASTER_SOURCE!$D$2:$D$495,MATCH($I2761,MASTER_SOURCE!$A$2:$A$495,0)),""))</f>
        <v/>
      </c>
      <c r="M2761" s="24" t="n"/>
      <c r="N2761" s="24" t="n"/>
      <c r="O2761" s="24" t="n"/>
      <c r="P2761" s="24" t="n"/>
      <c r="Q2761" s="22">
        <f>IF($D2761="","",IF(AND(OR(DANH_MUC!$L$5&lt;&gt;"Có",M2761="Có"),OR(DANH_MUC!$L$6&lt;&gt;"Có",N2761="Có"),OR(DANH_MUC!$L$7&lt;&gt;"Có",O2761="Có"),OR(DANH_MUC!$L$8&lt;&gt;"Có",P2761="Có")),"Có","Không"))</f>
        <v/>
      </c>
      <c r="R2761" s="22">
        <f>IF($D2761="","",IF(COUNTIF($D$2:$D2761,$D2761)&gt;1,"Trùng",""))</f>
        <v/>
      </c>
      <c r="S2761" s="22">
        <f>IF($D2761="","",IF(AND(LEN($D2761)=10,LEFT($D2761,1)="0",ISNUMBER(--$D2761)),"Có","Không"))</f>
        <v/>
      </c>
      <c r="T2761" s="22">
        <f>IF($D2761="","",IF(AND($C2761&lt;&gt;"",$Q2761="Có",$R2761="",$S2761="Có",AND($L2761&lt;&gt;"",OR($L2761&lt;&gt;"Chưa xác định",DANH_MUC!$L$9="Có"))),"Có","Không"))</f>
        <v/>
      </c>
      <c r="U2761" s="22">
        <f>IF(OR($D2761="",$T2761="Có"),"",IF($C2761="","Thiếu họ tên; ","")&amp;IF($S2761&lt;&gt;"Có","SĐT sai định dạng; ","")&amp;IF($R2761="Trùng","Trùng SĐT; ","")&amp;IF($Q2761&lt;&gt;"Có","Thiếu đồng ý bắt buộc; ","")&amp;IF($L2761="","Thiếu/sai Mã REF; ",IF(AND($L2761="Chưa xác định",DANH_MUC!$L$9&lt;&gt;"Có"),"Nguồn chưa xác định; ","")))</f>
        <v/>
      </c>
      <c r="V2761" s="22">
        <f>IF(OR($D2761="",$R2761="Trùng"),"",IF(COUNTIF(ORDERS!$C$2:$C$4995,$D2761)&gt;0,"Có","Không"))</f>
        <v/>
      </c>
      <c r="W2761" s="22">
        <f>IF(OR($D2761="",$R2761="Trùng"),"",COUNTIFS(ORDERS!$C$2:$C$4995,$D2761,ORDERS!$L$2:$L$4995,"Đã chuyển khoản"))</f>
        <v/>
      </c>
      <c r="X2761" s="23">
        <f>IF(OR($D2761="",$R2761="Trùng"),"",SUMIFS(ORDERS!$J$2:$J$4995,ORDERS!$C$2:$C$4995,$D2761,ORDERS!$L$2:$L$4995,"Đã chuyển khoản"))</f>
        <v/>
      </c>
      <c r="Y2761" s="24" t="n"/>
    </row>
    <row r="2762" ht="14.25" customHeight="1" s="40">
      <c r="A2762" s="24" t="n"/>
      <c r="B2762" s="27" t="n"/>
      <c r="C2762" s="24" t="n"/>
      <c r="D2762" s="28" t="n"/>
      <c r="E2762" s="29" t="n"/>
      <c r="F2762" s="24" t="n"/>
      <c r="G2762" s="24" t="n"/>
      <c r="H2762" s="21">
        <f>IF(ISNUMBER($B2762),INT($B2762)-WEEKDAY($B2762,2)+1,"")</f>
        <v/>
      </c>
      <c r="I2762" s="24" t="n"/>
      <c r="J2762" s="22">
        <f t="array" ref="J2762">IF($D2762="","",IF($I2762="","(trống REF)",IFERROR(INDEX(MASTER_SOURCE!$B$2:$B$495,MATCH($I2762,MASTER_SOURCE!$A$2:$A$495,0)),"(REF không có trong MASTER_SOURCE)")))</f>
        <v/>
      </c>
      <c r="K2762" s="22">
        <f t="array" ref="K2762">IF($D2762="","",IFERROR(INDEX(MASTER_SOURCE!$C$2:$C$495,MATCH($I2762,MASTER_SOURCE!$A$2:$A$495,0)),""))</f>
        <v/>
      </c>
      <c r="L2762" s="22">
        <f t="array" ref="L2762">IF($D2762="","",IFERROR(INDEX(MASTER_SOURCE!$D$2:$D$495,MATCH($I2762,MASTER_SOURCE!$A$2:$A$495,0)),""))</f>
        <v/>
      </c>
      <c r="M2762" s="24" t="n"/>
      <c r="N2762" s="24" t="n"/>
      <c r="O2762" s="24" t="n"/>
      <c r="P2762" s="24" t="n"/>
      <c r="Q2762" s="22">
        <f>IF($D2762="","",IF(AND(OR(DANH_MUC!$L$5&lt;&gt;"Có",M2762="Có"),OR(DANH_MUC!$L$6&lt;&gt;"Có",N2762="Có"),OR(DANH_MUC!$L$7&lt;&gt;"Có",O2762="Có"),OR(DANH_MUC!$L$8&lt;&gt;"Có",P2762="Có")),"Có","Không"))</f>
        <v/>
      </c>
      <c r="R2762" s="22">
        <f>IF($D2762="","",IF(COUNTIF($D$2:$D2762,$D2762)&gt;1,"Trùng",""))</f>
        <v/>
      </c>
      <c r="S2762" s="22">
        <f>IF($D2762="","",IF(AND(LEN($D2762)=10,LEFT($D2762,1)="0",ISNUMBER(--$D2762)),"Có","Không"))</f>
        <v/>
      </c>
      <c r="T2762" s="22">
        <f>IF($D2762="","",IF(AND($C2762&lt;&gt;"",$Q2762="Có",$R2762="",$S2762="Có",AND($L2762&lt;&gt;"",OR($L2762&lt;&gt;"Chưa xác định",DANH_MUC!$L$9="Có"))),"Có","Không"))</f>
        <v/>
      </c>
      <c r="U2762" s="22">
        <f>IF(OR($D2762="",$T2762="Có"),"",IF($C2762="","Thiếu họ tên; ","")&amp;IF($S2762&lt;&gt;"Có","SĐT sai định dạng; ","")&amp;IF($R2762="Trùng","Trùng SĐT; ","")&amp;IF($Q2762&lt;&gt;"Có","Thiếu đồng ý bắt buộc; ","")&amp;IF($L2762="","Thiếu/sai Mã REF; ",IF(AND($L2762="Chưa xác định",DANH_MUC!$L$9&lt;&gt;"Có"),"Nguồn chưa xác định; ","")))</f>
        <v/>
      </c>
      <c r="V2762" s="22">
        <f>IF(OR($D2762="",$R2762="Trùng"),"",IF(COUNTIF(ORDERS!$C$2:$C$4995,$D2762)&gt;0,"Có","Không"))</f>
        <v/>
      </c>
      <c r="W2762" s="22">
        <f>IF(OR($D2762="",$R2762="Trùng"),"",COUNTIFS(ORDERS!$C$2:$C$4995,$D2762,ORDERS!$L$2:$L$4995,"Đã chuyển khoản"))</f>
        <v/>
      </c>
      <c r="X2762" s="23">
        <f>IF(OR($D2762="",$R2762="Trùng"),"",SUMIFS(ORDERS!$J$2:$J$4995,ORDERS!$C$2:$C$4995,$D2762,ORDERS!$L$2:$L$4995,"Đã chuyển khoản"))</f>
        <v/>
      </c>
      <c r="Y2762" s="24" t="n"/>
    </row>
    <row r="2763" ht="14.25" customHeight="1" s="40">
      <c r="A2763" s="24" t="n"/>
      <c r="B2763" s="27" t="n"/>
      <c r="C2763" s="24" t="n"/>
      <c r="D2763" s="28" t="n"/>
      <c r="E2763" s="29" t="n"/>
      <c r="F2763" s="24" t="n"/>
      <c r="G2763" s="24" t="n"/>
      <c r="H2763" s="21">
        <f>IF(ISNUMBER($B2763),INT($B2763)-WEEKDAY($B2763,2)+1,"")</f>
        <v/>
      </c>
      <c r="I2763" s="24" t="n"/>
      <c r="J2763" s="22">
        <f t="array" ref="J2763">IF($D2763="","",IF($I2763="","(trống REF)",IFERROR(INDEX(MASTER_SOURCE!$B$2:$B$495,MATCH($I2763,MASTER_SOURCE!$A$2:$A$495,0)),"(REF không có trong MASTER_SOURCE)")))</f>
        <v/>
      </c>
      <c r="K2763" s="22">
        <f t="array" ref="K2763">IF($D2763="","",IFERROR(INDEX(MASTER_SOURCE!$C$2:$C$495,MATCH($I2763,MASTER_SOURCE!$A$2:$A$495,0)),""))</f>
        <v/>
      </c>
      <c r="L2763" s="22">
        <f t="array" ref="L2763">IF($D2763="","",IFERROR(INDEX(MASTER_SOURCE!$D$2:$D$495,MATCH($I2763,MASTER_SOURCE!$A$2:$A$495,0)),""))</f>
        <v/>
      </c>
      <c r="M2763" s="24" t="n"/>
      <c r="N2763" s="24" t="n"/>
      <c r="O2763" s="24" t="n"/>
      <c r="P2763" s="24" t="n"/>
      <c r="Q2763" s="22">
        <f>IF($D2763="","",IF(AND(OR(DANH_MUC!$L$5&lt;&gt;"Có",M2763="Có"),OR(DANH_MUC!$L$6&lt;&gt;"Có",N2763="Có"),OR(DANH_MUC!$L$7&lt;&gt;"Có",O2763="Có"),OR(DANH_MUC!$L$8&lt;&gt;"Có",P2763="Có")),"Có","Không"))</f>
        <v/>
      </c>
      <c r="R2763" s="22">
        <f>IF($D2763="","",IF(COUNTIF($D$2:$D2763,$D2763)&gt;1,"Trùng",""))</f>
        <v/>
      </c>
      <c r="S2763" s="22">
        <f>IF($D2763="","",IF(AND(LEN($D2763)=10,LEFT($D2763,1)="0",ISNUMBER(--$D2763)),"Có","Không"))</f>
        <v/>
      </c>
      <c r="T2763" s="22">
        <f>IF($D2763="","",IF(AND($C2763&lt;&gt;"",$Q2763="Có",$R2763="",$S2763="Có",AND($L2763&lt;&gt;"",OR($L2763&lt;&gt;"Chưa xác định",DANH_MUC!$L$9="Có"))),"Có","Không"))</f>
        <v/>
      </c>
      <c r="U2763" s="22">
        <f>IF(OR($D2763="",$T2763="Có"),"",IF($C2763="","Thiếu họ tên; ","")&amp;IF($S2763&lt;&gt;"Có","SĐT sai định dạng; ","")&amp;IF($R2763="Trùng","Trùng SĐT; ","")&amp;IF($Q2763&lt;&gt;"Có","Thiếu đồng ý bắt buộc; ","")&amp;IF($L2763="","Thiếu/sai Mã REF; ",IF(AND($L2763="Chưa xác định",DANH_MUC!$L$9&lt;&gt;"Có"),"Nguồn chưa xác định; ","")))</f>
        <v/>
      </c>
      <c r="V2763" s="22">
        <f>IF(OR($D2763="",$R2763="Trùng"),"",IF(COUNTIF(ORDERS!$C$2:$C$4995,$D2763)&gt;0,"Có","Không"))</f>
        <v/>
      </c>
      <c r="W2763" s="22">
        <f>IF(OR($D2763="",$R2763="Trùng"),"",COUNTIFS(ORDERS!$C$2:$C$4995,$D2763,ORDERS!$L$2:$L$4995,"Đã chuyển khoản"))</f>
        <v/>
      </c>
      <c r="X2763" s="23">
        <f>IF(OR($D2763="",$R2763="Trùng"),"",SUMIFS(ORDERS!$J$2:$J$4995,ORDERS!$C$2:$C$4995,$D2763,ORDERS!$L$2:$L$4995,"Đã chuyển khoản"))</f>
        <v/>
      </c>
      <c r="Y2763" s="24" t="n"/>
    </row>
    <row r="2764" ht="14.25" customHeight="1" s="40">
      <c r="A2764" s="24" t="n"/>
      <c r="B2764" s="27" t="n"/>
      <c r="C2764" s="24" t="n"/>
      <c r="D2764" s="28" t="n"/>
      <c r="E2764" s="29" t="n"/>
      <c r="F2764" s="24" t="n"/>
      <c r="G2764" s="24" t="n"/>
      <c r="H2764" s="21">
        <f>IF(ISNUMBER($B2764),INT($B2764)-WEEKDAY($B2764,2)+1,"")</f>
        <v/>
      </c>
      <c r="I2764" s="24" t="n"/>
      <c r="J2764" s="22">
        <f t="array" ref="J2764">IF($D2764="","",IF($I2764="","(trống REF)",IFERROR(INDEX(MASTER_SOURCE!$B$2:$B$495,MATCH($I2764,MASTER_SOURCE!$A$2:$A$495,0)),"(REF không có trong MASTER_SOURCE)")))</f>
        <v/>
      </c>
      <c r="K2764" s="22">
        <f t="array" ref="K2764">IF($D2764="","",IFERROR(INDEX(MASTER_SOURCE!$C$2:$C$495,MATCH($I2764,MASTER_SOURCE!$A$2:$A$495,0)),""))</f>
        <v/>
      </c>
      <c r="L2764" s="22">
        <f t="array" ref="L2764">IF($D2764="","",IFERROR(INDEX(MASTER_SOURCE!$D$2:$D$495,MATCH($I2764,MASTER_SOURCE!$A$2:$A$495,0)),""))</f>
        <v/>
      </c>
      <c r="M2764" s="24" t="n"/>
      <c r="N2764" s="24" t="n"/>
      <c r="O2764" s="24" t="n"/>
      <c r="P2764" s="24" t="n"/>
      <c r="Q2764" s="22">
        <f>IF($D2764="","",IF(AND(OR(DANH_MUC!$L$5&lt;&gt;"Có",M2764="Có"),OR(DANH_MUC!$L$6&lt;&gt;"Có",N2764="Có"),OR(DANH_MUC!$L$7&lt;&gt;"Có",O2764="Có"),OR(DANH_MUC!$L$8&lt;&gt;"Có",P2764="Có")),"Có","Không"))</f>
        <v/>
      </c>
      <c r="R2764" s="22">
        <f>IF($D2764="","",IF(COUNTIF($D$2:$D2764,$D2764)&gt;1,"Trùng",""))</f>
        <v/>
      </c>
      <c r="S2764" s="22">
        <f>IF($D2764="","",IF(AND(LEN($D2764)=10,LEFT($D2764,1)="0",ISNUMBER(--$D2764)),"Có","Không"))</f>
        <v/>
      </c>
      <c r="T2764" s="22">
        <f>IF($D2764="","",IF(AND($C2764&lt;&gt;"",$Q2764="Có",$R2764="",$S2764="Có",AND($L2764&lt;&gt;"",OR($L2764&lt;&gt;"Chưa xác định",DANH_MUC!$L$9="Có"))),"Có","Không"))</f>
        <v/>
      </c>
      <c r="U2764" s="22">
        <f>IF(OR($D2764="",$T2764="Có"),"",IF($C2764="","Thiếu họ tên; ","")&amp;IF($S2764&lt;&gt;"Có","SĐT sai định dạng; ","")&amp;IF($R2764="Trùng","Trùng SĐT; ","")&amp;IF($Q2764&lt;&gt;"Có","Thiếu đồng ý bắt buộc; ","")&amp;IF($L2764="","Thiếu/sai Mã REF; ",IF(AND($L2764="Chưa xác định",DANH_MUC!$L$9&lt;&gt;"Có"),"Nguồn chưa xác định; ","")))</f>
        <v/>
      </c>
      <c r="V2764" s="22">
        <f>IF(OR($D2764="",$R2764="Trùng"),"",IF(COUNTIF(ORDERS!$C$2:$C$4995,$D2764)&gt;0,"Có","Không"))</f>
        <v/>
      </c>
      <c r="W2764" s="22">
        <f>IF(OR($D2764="",$R2764="Trùng"),"",COUNTIFS(ORDERS!$C$2:$C$4995,$D2764,ORDERS!$L$2:$L$4995,"Đã chuyển khoản"))</f>
        <v/>
      </c>
      <c r="X2764" s="23">
        <f>IF(OR($D2764="",$R2764="Trùng"),"",SUMIFS(ORDERS!$J$2:$J$4995,ORDERS!$C$2:$C$4995,$D2764,ORDERS!$L$2:$L$4995,"Đã chuyển khoản"))</f>
        <v/>
      </c>
      <c r="Y2764" s="24" t="n"/>
    </row>
    <row r="2765" ht="14.25" customHeight="1" s="40">
      <c r="A2765" s="24" t="n"/>
      <c r="B2765" s="27" t="n"/>
      <c r="C2765" s="24" t="n"/>
      <c r="D2765" s="28" t="n"/>
      <c r="E2765" s="29" t="n"/>
      <c r="F2765" s="24" t="n"/>
      <c r="G2765" s="24" t="n"/>
      <c r="H2765" s="21">
        <f>IF(ISNUMBER($B2765),INT($B2765)-WEEKDAY($B2765,2)+1,"")</f>
        <v/>
      </c>
      <c r="I2765" s="24" t="n"/>
      <c r="J2765" s="22">
        <f t="array" ref="J2765">IF($D2765="","",IF($I2765="","(trống REF)",IFERROR(INDEX(MASTER_SOURCE!$B$2:$B$495,MATCH($I2765,MASTER_SOURCE!$A$2:$A$495,0)),"(REF không có trong MASTER_SOURCE)")))</f>
        <v/>
      </c>
      <c r="K2765" s="22">
        <f t="array" ref="K2765">IF($D2765="","",IFERROR(INDEX(MASTER_SOURCE!$C$2:$C$495,MATCH($I2765,MASTER_SOURCE!$A$2:$A$495,0)),""))</f>
        <v/>
      </c>
      <c r="L2765" s="22">
        <f t="array" ref="L2765">IF($D2765="","",IFERROR(INDEX(MASTER_SOURCE!$D$2:$D$495,MATCH($I2765,MASTER_SOURCE!$A$2:$A$495,0)),""))</f>
        <v/>
      </c>
      <c r="M2765" s="24" t="n"/>
      <c r="N2765" s="24" t="n"/>
      <c r="O2765" s="24" t="n"/>
      <c r="P2765" s="24" t="n"/>
      <c r="Q2765" s="22">
        <f>IF($D2765="","",IF(AND(OR(DANH_MUC!$L$5&lt;&gt;"Có",M2765="Có"),OR(DANH_MUC!$L$6&lt;&gt;"Có",N2765="Có"),OR(DANH_MUC!$L$7&lt;&gt;"Có",O2765="Có"),OR(DANH_MUC!$L$8&lt;&gt;"Có",P2765="Có")),"Có","Không"))</f>
        <v/>
      </c>
      <c r="R2765" s="22">
        <f>IF($D2765="","",IF(COUNTIF($D$2:$D2765,$D2765)&gt;1,"Trùng",""))</f>
        <v/>
      </c>
      <c r="S2765" s="22">
        <f>IF($D2765="","",IF(AND(LEN($D2765)=10,LEFT($D2765,1)="0",ISNUMBER(--$D2765)),"Có","Không"))</f>
        <v/>
      </c>
      <c r="T2765" s="22">
        <f>IF($D2765="","",IF(AND($C2765&lt;&gt;"",$Q2765="Có",$R2765="",$S2765="Có",AND($L2765&lt;&gt;"",OR($L2765&lt;&gt;"Chưa xác định",DANH_MUC!$L$9="Có"))),"Có","Không"))</f>
        <v/>
      </c>
      <c r="U2765" s="22">
        <f>IF(OR($D2765="",$T2765="Có"),"",IF($C2765="","Thiếu họ tên; ","")&amp;IF($S2765&lt;&gt;"Có","SĐT sai định dạng; ","")&amp;IF($R2765="Trùng","Trùng SĐT; ","")&amp;IF($Q2765&lt;&gt;"Có","Thiếu đồng ý bắt buộc; ","")&amp;IF($L2765="","Thiếu/sai Mã REF; ",IF(AND($L2765="Chưa xác định",DANH_MUC!$L$9&lt;&gt;"Có"),"Nguồn chưa xác định; ","")))</f>
        <v/>
      </c>
      <c r="V2765" s="22">
        <f>IF(OR($D2765="",$R2765="Trùng"),"",IF(COUNTIF(ORDERS!$C$2:$C$4995,$D2765)&gt;0,"Có","Không"))</f>
        <v/>
      </c>
      <c r="W2765" s="22">
        <f>IF(OR($D2765="",$R2765="Trùng"),"",COUNTIFS(ORDERS!$C$2:$C$4995,$D2765,ORDERS!$L$2:$L$4995,"Đã chuyển khoản"))</f>
        <v/>
      </c>
      <c r="X2765" s="23">
        <f>IF(OR($D2765="",$R2765="Trùng"),"",SUMIFS(ORDERS!$J$2:$J$4995,ORDERS!$C$2:$C$4995,$D2765,ORDERS!$L$2:$L$4995,"Đã chuyển khoản"))</f>
        <v/>
      </c>
      <c r="Y2765" s="24" t="n"/>
    </row>
    <row r="2766" ht="14.25" customHeight="1" s="40">
      <c r="A2766" s="24" t="n"/>
      <c r="B2766" s="27" t="n"/>
      <c r="C2766" s="24" t="n"/>
      <c r="D2766" s="28" t="n"/>
      <c r="E2766" s="29" t="n"/>
      <c r="F2766" s="24" t="n"/>
      <c r="G2766" s="24" t="n"/>
      <c r="H2766" s="21">
        <f>IF(ISNUMBER($B2766),INT($B2766)-WEEKDAY($B2766,2)+1,"")</f>
        <v/>
      </c>
      <c r="I2766" s="24" t="n"/>
      <c r="J2766" s="22">
        <f t="array" ref="J2766">IF($D2766="","",IF($I2766="","(trống REF)",IFERROR(INDEX(MASTER_SOURCE!$B$2:$B$495,MATCH($I2766,MASTER_SOURCE!$A$2:$A$495,0)),"(REF không có trong MASTER_SOURCE)")))</f>
        <v/>
      </c>
      <c r="K2766" s="22">
        <f t="array" ref="K2766">IF($D2766="","",IFERROR(INDEX(MASTER_SOURCE!$C$2:$C$495,MATCH($I2766,MASTER_SOURCE!$A$2:$A$495,0)),""))</f>
        <v/>
      </c>
      <c r="L2766" s="22">
        <f t="array" ref="L2766">IF($D2766="","",IFERROR(INDEX(MASTER_SOURCE!$D$2:$D$495,MATCH($I2766,MASTER_SOURCE!$A$2:$A$495,0)),""))</f>
        <v/>
      </c>
      <c r="M2766" s="24" t="n"/>
      <c r="N2766" s="24" t="n"/>
      <c r="O2766" s="24" t="n"/>
      <c r="P2766" s="24" t="n"/>
      <c r="Q2766" s="22">
        <f>IF($D2766="","",IF(AND(OR(DANH_MUC!$L$5&lt;&gt;"Có",M2766="Có"),OR(DANH_MUC!$L$6&lt;&gt;"Có",N2766="Có"),OR(DANH_MUC!$L$7&lt;&gt;"Có",O2766="Có"),OR(DANH_MUC!$L$8&lt;&gt;"Có",P2766="Có")),"Có","Không"))</f>
        <v/>
      </c>
      <c r="R2766" s="22">
        <f>IF($D2766="","",IF(COUNTIF($D$2:$D2766,$D2766)&gt;1,"Trùng",""))</f>
        <v/>
      </c>
      <c r="S2766" s="22">
        <f>IF($D2766="","",IF(AND(LEN($D2766)=10,LEFT($D2766,1)="0",ISNUMBER(--$D2766)),"Có","Không"))</f>
        <v/>
      </c>
      <c r="T2766" s="22">
        <f>IF($D2766="","",IF(AND($C2766&lt;&gt;"",$Q2766="Có",$R2766="",$S2766="Có",AND($L2766&lt;&gt;"",OR($L2766&lt;&gt;"Chưa xác định",DANH_MUC!$L$9="Có"))),"Có","Không"))</f>
        <v/>
      </c>
      <c r="U2766" s="22">
        <f>IF(OR($D2766="",$T2766="Có"),"",IF($C2766="","Thiếu họ tên; ","")&amp;IF($S2766&lt;&gt;"Có","SĐT sai định dạng; ","")&amp;IF($R2766="Trùng","Trùng SĐT; ","")&amp;IF($Q2766&lt;&gt;"Có","Thiếu đồng ý bắt buộc; ","")&amp;IF($L2766="","Thiếu/sai Mã REF; ",IF(AND($L2766="Chưa xác định",DANH_MUC!$L$9&lt;&gt;"Có"),"Nguồn chưa xác định; ","")))</f>
        <v/>
      </c>
      <c r="V2766" s="22">
        <f>IF(OR($D2766="",$R2766="Trùng"),"",IF(COUNTIF(ORDERS!$C$2:$C$4995,$D2766)&gt;0,"Có","Không"))</f>
        <v/>
      </c>
      <c r="W2766" s="22">
        <f>IF(OR($D2766="",$R2766="Trùng"),"",COUNTIFS(ORDERS!$C$2:$C$4995,$D2766,ORDERS!$L$2:$L$4995,"Đã chuyển khoản"))</f>
        <v/>
      </c>
      <c r="X2766" s="23">
        <f>IF(OR($D2766="",$R2766="Trùng"),"",SUMIFS(ORDERS!$J$2:$J$4995,ORDERS!$C$2:$C$4995,$D2766,ORDERS!$L$2:$L$4995,"Đã chuyển khoản"))</f>
        <v/>
      </c>
      <c r="Y2766" s="24" t="n"/>
    </row>
    <row r="2767" ht="14.25" customHeight="1" s="40">
      <c r="A2767" s="24" t="n"/>
      <c r="B2767" s="27" t="n"/>
      <c r="C2767" s="24" t="n"/>
      <c r="D2767" s="28" t="n"/>
      <c r="E2767" s="29" t="n"/>
      <c r="F2767" s="24" t="n"/>
      <c r="G2767" s="24" t="n"/>
      <c r="H2767" s="21">
        <f>IF(ISNUMBER($B2767),INT($B2767)-WEEKDAY($B2767,2)+1,"")</f>
        <v/>
      </c>
      <c r="I2767" s="24" t="n"/>
      <c r="J2767" s="22">
        <f t="array" ref="J2767">IF($D2767="","",IF($I2767="","(trống REF)",IFERROR(INDEX(MASTER_SOURCE!$B$2:$B$495,MATCH($I2767,MASTER_SOURCE!$A$2:$A$495,0)),"(REF không có trong MASTER_SOURCE)")))</f>
        <v/>
      </c>
      <c r="K2767" s="22">
        <f t="array" ref="K2767">IF($D2767="","",IFERROR(INDEX(MASTER_SOURCE!$C$2:$C$495,MATCH($I2767,MASTER_SOURCE!$A$2:$A$495,0)),""))</f>
        <v/>
      </c>
      <c r="L2767" s="22">
        <f t="array" ref="L2767">IF($D2767="","",IFERROR(INDEX(MASTER_SOURCE!$D$2:$D$495,MATCH($I2767,MASTER_SOURCE!$A$2:$A$495,0)),""))</f>
        <v/>
      </c>
      <c r="M2767" s="24" t="n"/>
      <c r="N2767" s="24" t="n"/>
      <c r="O2767" s="24" t="n"/>
      <c r="P2767" s="24" t="n"/>
      <c r="Q2767" s="22">
        <f>IF($D2767="","",IF(AND(OR(DANH_MUC!$L$5&lt;&gt;"Có",M2767="Có"),OR(DANH_MUC!$L$6&lt;&gt;"Có",N2767="Có"),OR(DANH_MUC!$L$7&lt;&gt;"Có",O2767="Có"),OR(DANH_MUC!$L$8&lt;&gt;"Có",P2767="Có")),"Có","Không"))</f>
        <v/>
      </c>
      <c r="R2767" s="22">
        <f>IF($D2767="","",IF(COUNTIF($D$2:$D2767,$D2767)&gt;1,"Trùng",""))</f>
        <v/>
      </c>
      <c r="S2767" s="22">
        <f>IF($D2767="","",IF(AND(LEN($D2767)=10,LEFT($D2767,1)="0",ISNUMBER(--$D2767)),"Có","Không"))</f>
        <v/>
      </c>
      <c r="T2767" s="22">
        <f>IF($D2767="","",IF(AND($C2767&lt;&gt;"",$Q2767="Có",$R2767="",$S2767="Có",AND($L2767&lt;&gt;"",OR($L2767&lt;&gt;"Chưa xác định",DANH_MUC!$L$9="Có"))),"Có","Không"))</f>
        <v/>
      </c>
      <c r="U2767" s="22">
        <f>IF(OR($D2767="",$T2767="Có"),"",IF($C2767="","Thiếu họ tên; ","")&amp;IF($S2767&lt;&gt;"Có","SĐT sai định dạng; ","")&amp;IF($R2767="Trùng","Trùng SĐT; ","")&amp;IF($Q2767&lt;&gt;"Có","Thiếu đồng ý bắt buộc; ","")&amp;IF($L2767="","Thiếu/sai Mã REF; ",IF(AND($L2767="Chưa xác định",DANH_MUC!$L$9&lt;&gt;"Có"),"Nguồn chưa xác định; ","")))</f>
        <v/>
      </c>
      <c r="V2767" s="22">
        <f>IF(OR($D2767="",$R2767="Trùng"),"",IF(COUNTIF(ORDERS!$C$2:$C$4995,$D2767)&gt;0,"Có","Không"))</f>
        <v/>
      </c>
      <c r="W2767" s="22">
        <f>IF(OR($D2767="",$R2767="Trùng"),"",COUNTIFS(ORDERS!$C$2:$C$4995,$D2767,ORDERS!$L$2:$L$4995,"Đã chuyển khoản"))</f>
        <v/>
      </c>
      <c r="X2767" s="23">
        <f>IF(OR($D2767="",$R2767="Trùng"),"",SUMIFS(ORDERS!$J$2:$J$4995,ORDERS!$C$2:$C$4995,$D2767,ORDERS!$L$2:$L$4995,"Đã chuyển khoản"))</f>
        <v/>
      </c>
      <c r="Y2767" s="24" t="n"/>
    </row>
    <row r="2768" ht="14.25" customHeight="1" s="40">
      <c r="A2768" s="24" t="n"/>
      <c r="B2768" s="27" t="n"/>
      <c r="C2768" s="24" t="n"/>
      <c r="D2768" s="28" t="n"/>
      <c r="E2768" s="29" t="n"/>
      <c r="F2768" s="24" t="n"/>
      <c r="G2768" s="24" t="n"/>
      <c r="H2768" s="21">
        <f>IF(ISNUMBER($B2768),INT($B2768)-WEEKDAY($B2768,2)+1,"")</f>
        <v/>
      </c>
      <c r="I2768" s="24" t="n"/>
      <c r="J2768" s="22">
        <f t="array" ref="J2768">IF($D2768="","",IF($I2768="","(trống REF)",IFERROR(INDEX(MASTER_SOURCE!$B$2:$B$495,MATCH($I2768,MASTER_SOURCE!$A$2:$A$495,0)),"(REF không có trong MASTER_SOURCE)")))</f>
        <v/>
      </c>
      <c r="K2768" s="22">
        <f t="array" ref="K2768">IF($D2768="","",IFERROR(INDEX(MASTER_SOURCE!$C$2:$C$495,MATCH($I2768,MASTER_SOURCE!$A$2:$A$495,0)),""))</f>
        <v/>
      </c>
      <c r="L2768" s="22">
        <f t="array" ref="L2768">IF($D2768="","",IFERROR(INDEX(MASTER_SOURCE!$D$2:$D$495,MATCH($I2768,MASTER_SOURCE!$A$2:$A$495,0)),""))</f>
        <v/>
      </c>
      <c r="M2768" s="24" t="n"/>
      <c r="N2768" s="24" t="n"/>
      <c r="O2768" s="24" t="n"/>
      <c r="P2768" s="24" t="n"/>
      <c r="Q2768" s="22">
        <f>IF($D2768="","",IF(AND(OR(DANH_MUC!$L$5&lt;&gt;"Có",M2768="Có"),OR(DANH_MUC!$L$6&lt;&gt;"Có",N2768="Có"),OR(DANH_MUC!$L$7&lt;&gt;"Có",O2768="Có"),OR(DANH_MUC!$L$8&lt;&gt;"Có",P2768="Có")),"Có","Không"))</f>
        <v/>
      </c>
      <c r="R2768" s="22">
        <f>IF($D2768="","",IF(COUNTIF($D$2:$D2768,$D2768)&gt;1,"Trùng",""))</f>
        <v/>
      </c>
      <c r="S2768" s="22">
        <f>IF($D2768="","",IF(AND(LEN($D2768)=10,LEFT($D2768,1)="0",ISNUMBER(--$D2768)),"Có","Không"))</f>
        <v/>
      </c>
      <c r="T2768" s="22">
        <f>IF($D2768="","",IF(AND($C2768&lt;&gt;"",$Q2768="Có",$R2768="",$S2768="Có",AND($L2768&lt;&gt;"",OR($L2768&lt;&gt;"Chưa xác định",DANH_MUC!$L$9="Có"))),"Có","Không"))</f>
        <v/>
      </c>
      <c r="U2768" s="22">
        <f>IF(OR($D2768="",$T2768="Có"),"",IF($C2768="","Thiếu họ tên; ","")&amp;IF($S2768&lt;&gt;"Có","SĐT sai định dạng; ","")&amp;IF($R2768="Trùng","Trùng SĐT; ","")&amp;IF($Q2768&lt;&gt;"Có","Thiếu đồng ý bắt buộc; ","")&amp;IF($L2768="","Thiếu/sai Mã REF; ",IF(AND($L2768="Chưa xác định",DANH_MUC!$L$9&lt;&gt;"Có"),"Nguồn chưa xác định; ","")))</f>
        <v/>
      </c>
      <c r="V2768" s="22">
        <f>IF(OR($D2768="",$R2768="Trùng"),"",IF(COUNTIF(ORDERS!$C$2:$C$4995,$D2768)&gt;0,"Có","Không"))</f>
        <v/>
      </c>
      <c r="W2768" s="22">
        <f>IF(OR($D2768="",$R2768="Trùng"),"",COUNTIFS(ORDERS!$C$2:$C$4995,$D2768,ORDERS!$L$2:$L$4995,"Đã chuyển khoản"))</f>
        <v/>
      </c>
      <c r="X2768" s="23">
        <f>IF(OR($D2768="",$R2768="Trùng"),"",SUMIFS(ORDERS!$J$2:$J$4995,ORDERS!$C$2:$C$4995,$D2768,ORDERS!$L$2:$L$4995,"Đã chuyển khoản"))</f>
        <v/>
      </c>
      <c r="Y2768" s="24" t="n"/>
    </row>
    <row r="2769" ht="14.25" customHeight="1" s="40">
      <c r="A2769" s="24" t="n"/>
      <c r="B2769" s="27" t="n"/>
      <c r="C2769" s="24" t="n"/>
      <c r="D2769" s="28" t="n"/>
      <c r="E2769" s="29" t="n"/>
      <c r="F2769" s="24" t="n"/>
      <c r="G2769" s="24" t="n"/>
      <c r="H2769" s="21">
        <f>IF(ISNUMBER($B2769),INT($B2769)-WEEKDAY($B2769,2)+1,"")</f>
        <v/>
      </c>
      <c r="I2769" s="24" t="n"/>
      <c r="J2769" s="22">
        <f t="array" ref="J2769">IF($D2769="","",IF($I2769="","(trống REF)",IFERROR(INDEX(MASTER_SOURCE!$B$2:$B$495,MATCH($I2769,MASTER_SOURCE!$A$2:$A$495,0)),"(REF không có trong MASTER_SOURCE)")))</f>
        <v/>
      </c>
      <c r="K2769" s="22">
        <f t="array" ref="K2769">IF($D2769="","",IFERROR(INDEX(MASTER_SOURCE!$C$2:$C$495,MATCH($I2769,MASTER_SOURCE!$A$2:$A$495,0)),""))</f>
        <v/>
      </c>
      <c r="L2769" s="22">
        <f t="array" ref="L2769">IF($D2769="","",IFERROR(INDEX(MASTER_SOURCE!$D$2:$D$495,MATCH($I2769,MASTER_SOURCE!$A$2:$A$495,0)),""))</f>
        <v/>
      </c>
      <c r="M2769" s="24" t="n"/>
      <c r="N2769" s="24" t="n"/>
      <c r="O2769" s="24" t="n"/>
      <c r="P2769" s="24" t="n"/>
      <c r="Q2769" s="22">
        <f>IF($D2769="","",IF(AND(OR(DANH_MUC!$L$5&lt;&gt;"Có",M2769="Có"),OR(DANH_MUC!$L$6&lt;&gt;"Có",N2769="Có"),OR(DANH_MUC!$L$7&lt;&gt;"Có",O2769="Có"),OR(DANH_MUC!$L$8&lt;&gt;"Có",P2769="Có")),"Có","Không"))</f>
        <v/>
      </c>
      <c r="R2769" s="22">
        <f>IF($D2769="","",IF(COUNTIF($D$2:$D2769,$D2769)&gt;1,"Trùng",""))</f>
        <v/>
      </c>
      <c r="S2769" s="22">
        <f>IF($D2769="","",IF(AND(LEN($D2769)=10,LEFT($D2769,1)="0",ISNUMBER(--$D2769)),"Có","Không"))</f>
        <v/>
      </c>
      <c r="T2769" s="22">
        <f>IF($D2769="","",IF(AND($C2769&lt;&gt;"",$Q2769="Có",$R2769="",$S2769="Có",AND($L2769&lt;&gt;"",OR($L2769&lt;&gt;"Chưa xác định",DANH_MUC!$L$9="Có"))),"Có","Không"))</f>
        <v/>
      </c>
      <c r="U2769" s="22">
        <f>IF(OR($D2769="",$T2769="Có"),"",IF($C2769="","Thiếu họ tên; ","")&amp;IF($S2769&lt;&gt;"Có","SĐT sai định dạng; ","")&amp;IF($R2769="Trùng","Trùng SĐT; ","")&amp;IF($Q2769&lt;&gt;"Có","Thiếu đồng ý bắt buộc; ","")&amp;IF($L2769="","Thiếu/sai Mã REF; ",IF(AND($L2769="Chưa xác định",DANH_MUC!$L$9&lt;&gt;"Có"),"Nguồn chưa xác định; ","")))</f>
        <v/>
      </c>
      <c r="V2769" s="22">
        <f>IF(OR($D2769="",$R2769="Trùng"),"",IF(COUNTIF(ORDERS!$C$2:$C$4995,$D2769)&gt;0,"Có","Không"))</f>
        <v/>
      </c>
      <c r="W2769" s="22">
        <f>IF(OR($D2769="",$R2769="Trùng"),"",COUNTIFS(ORDERS!$C$2:$C$4995,$D2769,ORDERS!$L$2:$L$4995,"Đã chuyển khoản"))</f>
        <v/>
      </c>
      <c r="X2769" s="23">
        <f>IF(OR($D2769="",$R2769="Trùng"),"",SUMIFS(ORDERS!$J$2:$J$4995,ORDERS!$C$2:$C$4995,$D2769,ORDERS!$L$2:$L$4995,"Đã chuyển khoản"))</f>
        <v/>
      </c>
      <c r="Y2769" s="24" t="n"/>
    </row>
    <row r="2770" ht="14.25" customHeight="1" s="40">
      <c r="A2770" s="24" t="n"/>
      <c r="B2770" s="27" t="n"/>
      <c r="C2770" s="24" t="n"/>
      <c r="D2770" s="28" t="n"/>
      <c r="E2770" s="29" t="n"/>
      <c r="F2770" s="24" t="n"/>
      <c r="G2770" s="24" t="n"/>
      <c r="H2770" s="21">
        <f>IF(ISNUMBER($B2770),INT($B2770)-WEEKDAY($B2770,2)+1,"")</f>
        <v/>
      </c>
      <c r="I2770" s="24" t="n"/>
      <c r="J2770" s="22">
        <f t="array" ref="J2770">IF($D2770="","",IF($I2770="","(trống REF)",IFERROR(INDEX(MASTER_SOURCE!$B$2:$B$495,MATCH($I2770,MASTER_SOURCE!$A$2:$A$495,0)),"(REF không có trong MASTER_SOURCE)")))</f>
        <v/>
      </c>
      <c r="K2770" s="22">
        <f t="array" ref="K2770">IF($D2770="","",IFERROR(INDEX(MASTER_SOURCE!$C$2:$C$495,MATCH($I2770,MASTER_SOURCE!$A$2:$A$495,0)),""))</f>
        <v/>
      </c>
      <c r="L2770" s="22">
        <f t="array" ref="L2770">IF($D2770="","",IFERROR(INDEX(MASTER_SOURCE!$D$2:$D$495,MATCH($I2770,MASTER_SOURCE!$A$2:$A$495,0)),""))</f>
        <v/>
      </c>
      <c r="M2770" s="24" t="n"/>
      <c r="N2770" s="24" t="n"/>
      <c r="O2770" s="24" t="n"/>
      <c r="P2770" s="24" t="n"/>
      <c r="Q2770" s="22">
        <f>IF($D2770="","",IF(AND(OR(DANH_MUC!$L$5&lt;&gt;"Có",M2770="Có"),OR(DANH_MUC!$L$6&lt;&gt;"Có",N2770="Có"),OR(DANH_MUC!$L$7&lt;&gt;"Có",O2770="Có"),OR(DANH_MUC!$L$8&lt;&gt;"Có",P2770="Có")),"Có","Không"))</f>
        <v/>
      </c>
      <c r="R2770" s="22">
        <f>IF($D2770="","",IF(COUNTIF($D$2:$D2770,$D2770)&gt;1,"Trùng",""))</f>
        <v/>
      </c>
      <c r="S2770" s="22">
        <f>IF($D2770="","",IF(AND(LEN($D2770)=10,LEFT($D2770,1)="0",ISNUMBER(--$D2770)),"Có","Không"))</f>
        <v/>
      </c>
      <c r="T2770" s="22">
        <f>IF($D2770="","",IF(AND($C2770&lt;&gt;"",$Q2770="Có",$R2770="",$S2770="Có",AND($L2770&lt;&gt;"",OR($L2770&lt;&gt;"Chưa xác định",DANH_MUC!$L$9="Có"))),"Có","Không"))</f>
        <v/>
      </c>
      <c r="U2770" s="22">
        <f>IF(OR($D2770="",$T2770="Có"),"",IF($C2770="","Thiếu họ tên; ","")&amp;IF($S2770&lt;&gt;"Có","SĐT sai định dạng; ","")&amp;IF($R2770="Trùng","Trùng SĐT; ","")&amp;IF($Q2770&lt;&gt;"Có","Thiếu đồng ý bắt buộc; ","")&amp;IF($L2770="","Thiếu/sai Mã REF; ",IF(AND($L2770="Chưa xác định",DANH_MUC!$L$9&lt;&gt;"Có"),"Nguồn chưa xác định; ","")))</f>
        <v/>
      </c>
      <c r="V2770" s="22">
        <f>IF(OR($D2770="",$R2770="Trùng"),"",IF(COUNTIF(ORDERS!$C$2:$C$4995,$D2770)&gt;0,"Có","Không"))</f>
        <v/>
      </c>
      <c r="W2770" s="22">
        <f>IF(OR($D2770="",$R2770="Trùng"),"",COUNTIFS(ORDERS!$C$2:$C$4995,$D2770,ORDERS!$L$2:$L$4995,"Đã chuyển khoản"))</f>
        <v/>
      </c>
      <c r="X2770" s="23">
        <f>IF(OR($D2770="",$R2770="Trùng"),"",SUMIFS(ORDERS!$J$2:$J$4995,ORDERS!$C$2:$C$4995,$D2770,ORDERS!$L$2:$L$4995,"Đã chuyển khoản"))</f>
        <v/>
      </c>
      <c r="Y2770" s="24" t="n"/>
    </row>
    <row r="2771" ht="14.25" customHeight="1" s="40">
      <c r="A2771" s="24" t="n"/>
      <c r="B2771" s="27" t="n"/>
      <c r="C2771" s="24" t="n"/>
      <c r="D2771" s="28" t="n"/>
      <c r="E2771" s="29" t="n"/>
      <c r="F2771" s="24" t="n"/>
      <c r="G2771" s="24" t="n"/>
      <c r="H2771" s="21">
        <f>IF(ISNUMBER($B2771),INT($B2771)-WEEKDAY($B2771,2)+1,"")</f>
        <v/>
      </c>
      <c r="I2771" s="24" t="n"/>
      <c r="J2771" s="22">
        <f t="array" ref="J2771">IF($D2771="","",IF($I2771="","(trống REF)",IFERROR(INDEX(MASTER_SOURCE!$B$2:$B$495,MATCH($I2771,MASTER_SOURCE!$A$2:$A$495,0)),"(REF không có trong MASTER_SOURCE)")))</f>
        <v/>
      </c>
      <c r="K2771" s="22">
        <f t="array" ref="K2771">IF($D2771="","",IFERROR(INDEX(MASTER_SOURCE!$C$2:$C$495,MATCH($I2771,MASTER_SOURCE!$A$2:$A$495,0)),""))</f>
        <v/>
      </c>
      <c r="L2771" s="22">
        <f t="array" ref="L2771">IF($D2771="","",IFERROR(INDEX(MASTER_SOURCE!$D$2:$D$495,MATCH($I2771,MASTER_SOURCE!$A$2:$A$495,0)),""))</f>
        <v/>
      </c>
      <c r="M2771" s="24" t="n"/>
      <c r="N2771" s="24" t="n"/>
      <c r="O2771" s="24" t="n"/>
      <c r="P2771" s="24" t="n"/>
      <c r="Q2771" s="22">
        <f>IF($D2771="","",IF(AND(OR(DANH_MUC!$L$5&lt;&gt;"Có",M2771="Có"),OR(DANH_MUC!$L$6&lt;&gt;"Có",N2771="Có"),OR(DANH_MUC!$L$7&lt;&gt;"Có",O2771="Có"),OR(DANH_MUC!$L$8&lt;&gt;"Có",P2771="Có")),"Có","Không"))</f>
        <v/>
      </c>
      <c r="R2771" s="22">
        <f>IF($D2771="","",IF(COUNTIF($D$2:$D2771,$D2771)&gt;1,"Trùng",""))</f>
        <v/>
      </c>
      <c r="S2771" s="22">
        <f>IF($D2771="","",IF(AND(LEN($D2771)=10,LEFT($D2771,1)="0",ISNUMBER(--$D2771)),"Có","Không"))</f>
        <v/>
      </c>
      <c r="T2771" s="22">
        <f>IF($D2771="","",IF(AND($C2771&lt;&gt;"",$Q2771="Có",$R2771="",$S2771="Có",AND($L2771&lt;&gt;"",OR($L2771&lt;&gt;"Chưa xác định",DANH_MUC!$L$9="Có"))),"Có","Không"))</f>
        <v/>
      </c>
      <c r="U2771" s="22">
        <f>IF(OR($D2771="",$T2771="Có"),"",IF($C2771="","Thiếu họ tên; ","")&amp;IF($S2771&lt;&gt;"Có","SĐT sai định dạng; ","")&amp;IF($R2771="Trùng","Trùng SĐT; ","")&amp;IF($Q2771&lt;&gt;"Có","Thiếu đồng ý bắt buộc; ","")&amp;IF($L2771="","Thiếu/sai Mã REF; ",IF(AND($L2771="Chưa xác định",DANH_MUC!$L$9&lt;&gt;"Có"),"Nguồn chưa xác định; ","")))</f>
        <v/>
      </c>
      <c r="V2771" s="22">
        <f>IF(OR($D2771="",$R2771="Trùng"),"",IF(COUNTIF(ORDERS!$C$2:$C$4995,$D2771)&gt;0,"Có","Không"))</f>
        <v/>
      </c>
      <c r="W2771" s="22">
        <f>IF(OR($D2771="",$R2771="Trùng"),"",COUNTIFS(ORDERS!$C$2:$C$4995,$D2771,ORDERS!$L$2:$L$4995,"Đã chuyển khoản"))</f>
        <v/>
      </c>
      <c r="X2771" s="23">
        <f>IF(OR($D2771="",$R2771="Trùng"),"",SUMIFS(ORDERS!$J$2:$J$4995,ORDERS!$C$2:$C$4995,$D2771,ORDERS!$L$2:$L$4995,"Đã chuyển khoản"))</f>
        <v/>
      </c>
      <c r="Y2771" s="24" t="n"/>
    </row>
    <row r="2772" ht="14.25" customHeight="1" s="40">
      <c r="A2772" s="24" t="n"/>
      <c r="B2772" s="27" t="n"/>
      <c r="C2772" s="24" t="n"/>
      <c r="D2772" s="28" t="n"/>
      <c r="E2772" s="29" t="n"/>
      <c r="F2772" s="24" t="n"/>
      <c r="G2772" s="24" t="n"/>
      <c r="H2772" s="21">
        <f>IF(ISNUMBER($B2772),INT($B2772)-WEEKDAY($B2772,2)+1,"")</f>
        <v/>
      </c>
      <c r="I2772" s="24" t="n"/>
      <c r="J2772" s="22">
        <f t="array" ref="J2772">IF($D2772="","",IF($I2772="","(trống REF)",IFERROR(INDEX(MASTER_SOURCE!$B$2:$B$495,MATCH($I2772,MASTER_SOURCE!$A$2:$A$495,0)),"(REF không có trong MASTER_SOURCE)")))</f>
        <v/>
      </c>
      <c r="K2772" s="22">
        <f t="array" ref="K2772">IF($D2772="","",IFERROR(INDEX(MASTER_SOURCE!$C$2:$C$495,MATCH($I2772,MASTER_SOURCE!$A$2:$A$495,0)),""))</f>
        <v/>
      </c>
      <c r="L2772" s="22">
        <f t="array" ref="L2772">IF($D2772="","",IFERROR(INDEX(MASTER_SOURCE!$D$2:$D$495,MATCH($I2772,MASTER_SOURCE!$A$2:$A$495,0)),""))</f>
        <v/>
      </c>
      <c r="M2772" s="24" t="n"/>
      <c r="N2772" s="24" t="n"/>
      <c r="O2772" s="24" t="n"/>
      <c r="P2772" s="24" t="n"/>
      <c r="Q2772" s="22">
        <f>IF($D2772="","",IF(AND(OR(DANH_MUC!$L$5&lt;&gt;"Có",M2772="Có"),OR(DANH_MUC!$L$6&lt;&gt;"Có",N2772="Có"),OR(DANH_MUC!$L$7&lt;&gt;"Có",O2772="Có"),OR(DANH_MUC!$L$8&lt;&gt;"Có",P2772="Có")),"Có","Không"))</f>
        <v/>
      </c>
      <c r="R2772" s="22">
        <f>IF($D2772="","",IF(COUNTIF($D$2:$D2772,$D2772)&gt;1,"Trùng",""))</f>
        <v/>
      </c>
      <c r="S2772" s="22">
        <f>IF($D2772="","",IF(AND(LEN($D2772)=10,LEFT($D2772,1)="0",ISNUMBER(--$D2772)),"Có","Không"))</f>
        <v/>
      </c>
      <c r="T2772" s="22">
        <f>IF($D2772="","",IF(AND($C2772&lt;&gt;"",$Q2772="Có",$R2772="",$S2772="Có",AND($L2772&lt;&gt;"",OR($L2772&lt;&gt;"Chưa xác định",DANH_MUC!$L$9="Có"))),"Có","Không"))</f>
        <v/>
      </c>
      <c r="U2772" s="22">
        <f>IF(OR($D2772="",$T2772="Có"),"",IF($C2772="","Thiếu họ tên; ","")&amp;IF($S2772&lt;&gt;"Có","SĐT sai định dạng; ","")&amp;IF($R2772="Trùng","Trùng SĐT; ","")&amp;IF($Q2772&lt;&gt;"Có","Thiếu đồng ý bắt buộc; ","")&amp;IF($L2772="","Thiếu/sai Mã REF; ",IF(AND($L2772="Chưa xác định",DANH_MUC!$L$9&lt;&gt;"Có"),"Nguồn chưa xác định; ","")))</f>
        <v/>
      </c>
      <c r="V2772" s="22">
        <f>IF(OR($D2772="",$R2772="Trùng"),"",IF(COUNTIF(ORDERS!$C$2:$C$4995,$D2772)&gt;0,"Có","Không"))</f>
        <v/>
      </c>
      <c r="W2772" s="22">
        <f>IF(OR($D2772="",$R2772="Trùng"),"",COUNTIFS(ORDERS!$C$2:$C$4995,$D2772,ORDERS!$L$2:$L$4995,"Đã chuyển khoản"))</f>
        <v/>
      </c>
      <c r="X2772" s="23">
        <f>IF(OR($D2772="",$R2772="Trùng"),"",SUMIFS(ORDERS!$J$2:$J$4995,ORDERS!$C$2:$C$4995,$D2772,ORDERS!$L$2:$L$4995,"Đã chuyển khoản"))</f>
        <v/>
      </c>
      <c r="Y2772" s="24" t="n"/>
    </row>
    <row r="2773" ht="14.25" customHeight="1" s="40">
      <c r="A2773" s="24" t="n"/>
      <c r="B2773" s="27" t="n"/>
      <c r="C2773" s="24" t="n"/>
      <c r="D2773" s="28" t="n"/>
      <c r="E2773" s="29" t="n"/>
      <c r="F2773" s="24" t="n"/>
      <c r="G2773" s="24" t="n"/>
      <c r="H2773" s="21">
        <f>IF(ISNUMBER($B2773),INT($B2773)-WEEKDAY($B2773,2)+1,"")</f>
        <v/>
      </c>
      <c r="I2773" s="24" t="n"/>
      <c r="J2773" s="22">
        <f t="array" ref="J2773">IF($D2773="","",IF($I2773="","(trống REF)",IFERROR(INDEX(MASTER_SOURCE!$B$2:$B$495,MATCH($I2773,MASTER_SOURCE!$A$2:$A$495,0)),"(REF không có trong MASTER_SOURCE)")))</f>
        <v/>
      </c>
      <c r="K2773" s="22">
        <f t="array" ref="K2773">IF($D2773="","",IFERROR(INDEX(MASTER_SOURCE!$C$2:$C$495,MATCH($I2773,MASTER_SOURCE!$A$2:$A$495,0)),""))</f>
        <v/>
      </c>
      <c r="L2773" s="22">
        <f t="array" ref="L2773">IF($D2773="","",IFERROR(INDEX(MASTER_SOURCE!$D$2:$D$495,MATCH($I2773,MASTER_SOURCE!$A$2:$A$495,0)),""))</f>
        <v/>
      </c>
      <c r="M2773" s="24" t="n"/>
      <c r="N2773" s="24" t="n"/>
      <c r="O2773" s="24" t="n"/>
      <c r="P2773" s="24" t="n"/>
      <c r="Q2773" s="22">
        <f>IF($D2773="","",IF(AND(OR(DANH_MUC!$L$5&lt;&gt;"Có",M2773="Có"),OR(DANH_MUC!$L$6&lt;&gt;"Có",N2773="Có"),OR(DANH_MUC!$L$7&lt;&gt;"Có",O2773="Có"),OR(DANH_MUC!$L$8&lt;&gt;"Có",P2773="Có")),"Có","Không"))</f>
        <v/>
      </c>
      <c r="R2773" s="22">
        <f>IF($D2773="","",IF(COUNTIF($D$2:$D2773,$D2773)&gt;1,"Trùng",""))</f>
        <v/>
      </c>
      <c r="S2773" s="22">
        <f>IF($D2773="","",IF(AND(LEN($D2773)=10,LEFT($D2773,1)="0",ISNUMBER(--$D2773)),"Có","Không"))</f>
        <v/>
      </c>
      <c r="T2773" s="22">
        <f>IF($D2773="","",IF(AND($C2773&lt;&gt;"",$Q2773="Có",$R2773="",$S2773="Có",AND($L2773&lt;&gt;"",OR($L2773&lt;&gt;"Chưa xác định",DANH_MUC!$L$9="Có"))),"Có","Không"))</f>
        <v/>
      </c>
      <c r="U2773" s="22">
        <f>IF(OR($D2773="",$T2773="Có"),"",IF($C2773="","Thiếu họ tên; ","")&amp;IF($S2773&lt;&gt;"Có","SĐT sai định dạng; ","")&amp;IF($R2773="Trùng","Trùng SĐT; ","")&amp;IF($Q2773&lt;&gt;"Có","Thiếu đồng ý bắt buộc; ","")&amp;IF($L2773="","Thiếu/sai Mã REF; ",IF(AND($L2773="Chưa xác định",DANH_MUC!$L$9&lt;&gt;"Có"),"Nguồn chưa xác định; ","")))</f>
        <v/>
      </c>
      <c r="V2773" s="22">
        <f>IF(OR($D2773="",$R2773="Trùng"),"",IF(COUNTIF(ORDERS!$C$2:$C$4995,$D2773)&gt;0,"Có","Không"))</f>
        <v/>
      </c>
      <c r="W2773" s="22">
        <f>IF(OR($D2773="",$R2773="Trùng"),"",COUNTIFS(ORDERS!$C$2:$C$4995,$D2773,ORDERS!$L$2:$L$4995,"Đã chuyển khoản"))</f>
        <v/>
      </c>
      <c r="X2773" s="23">
        <f>IF(OR($D2773="",$R2773="Trùng"),"",SUMIFS(ORDERS!$J$2:$J$4995,ORDERS!$C$2:$C$4995,$D2773,ORDERS!$L$2:$L$4995,"Đã chuyển khoản"))</f>
        <v/>
      </c>
      <c r="Y2773" s="24" t="n"/>
    </row>
    <row r="2774" ht="14.25" customHeight="1" s="40">
      <c r="A2774" s="24" t="n"/>
      <c r="B2774" s="27" t="n"/>
      <c r="C2774" s="24" t="n"/>
      <c r="D2774" s="28" t="n"/>
      <c r="E2774" s="29" t="n"/>
      <c r="F2774" s="24" t="n"/>
      <c r="G2774" s="24" t="n"/>
      <c r="H2774" s="21">
        <f>IF(ISNUMBER($B2774),INT($B2774)-WEEKDAY($B2774,2)+1,"")</f>
        <v/>
      </c>
      <c r="I2774" s="24" t="n"/>
      <c r="J2774" s="22">
        <f t="array" ref="J2774">IF($D2774="","",IF($I2774="","(trống REF)",IFERROR(INDEX(MASTER_SOURCE!$B$2:$B$495,MATCH($I2774,MASTER_SOURCE!$A$2:$A$495,0)),"(REF không có trong MASTER_SOURCE)")))</f>
        <v/>
      </c>
      <c r="K2774" s="22">
        <f t="array" ref="K2774">IF($D2774="","",IFERROR(INDEX(MASTER_SOURCE!$C$2:$C$495,MATCH($I2774,MASTER_SOURCE!$A$2:$A$495,0)),""))</f>
        <v/>
      </c>
      <c r="L2774" s="22">
        <f t="array" ref="L2774">IF($D2774="","",IFERROR(INDEX(MASTER_SOURCE!$D$2:$D$495,MATCH($I2774,MASTER_SOURCE!$A$2:$A$495,0)),""))</f>
        <v/>
      </c>
      <c r="M2774" s="24" t="n"/>
      <c r="N2774" s="24" t="n"/>
      <c r="O2774" s="24" t="n"/>
      <c r="P2774" s="24" t="n"/>
      <c r="Q2774" s="22">
        <f>IF($D2774="","",IF(AND(OR(DANH_MUC!$L$5&lt;&gt;"Có",M2774="Có"),OR(DANH_MUC!$L$6&lt;&gt;"Có",N2774="Có"),OR(DANH_MUC!$L$7&lt;&gt;"Có",O2774="Có"),OR(DANH_MUC!$L$8&lt;&gt;"Có",P2774="Có")),"Có","Không"))</f>
        <v/>
      </c>
      <c r="R2774" s="22">
        <f>IF($D2774="","",IF(COUNTIF($D$2:$D2774,$D2774)&gt;1,"Trùng",""))</f>
        <v/>
      </c>
      <c r="S2774" s="22">
        <f>IF($D2774="","",IF(AND(LEN($D2774)=10,LEFT($D2774,1)="0",ISNUMBER(--$D2774)),"Có","Không"))</f>
        <v/>
      </c>
      <c r="T2774" s="22">
        <f>IF($D2774="","",IF(AND($C2774&lt;&gt;"",$Q2774="Có",$R2774="",$S2774="Có",AND($L2774&lt;&gt;"",OR($L2774&lt;&gt;"Chưa xác định",DANH_MUC!$L$9="Có"))),"Có","Không"))</f>
        <v/>
      </c>
      <c r="U2774" s="22">
        <f>IF(OR($D2774="",$T2774="Có"),"",IF($C2774="","Thiếu họ tên; ","")&amp;IF($S2774&lt;&gt;"Có","SĐT sai định dạng; ","")&amp;IF($R2774="Trùng","Trùng SĐT; ","")&amp;IF($Q2774&lt;&gt;"Có","Thiếu đồng ý bắt buộc; ","")&amp;IF($L2774="","Thiếu/sai Mã REF; ",IF(AND($L2774="Chưa xác định",DANH_MUC!$L$9&lt;&gt;"Có"),"Nguồn chưa xác định; ","")))</f>
        <v/>
      </c>
      <c r="V2774" s="22">
        <f>IF(OR($D2774="",$R2774="Trùng"),"",IF(COUNTIF(ORDERS!$C$2:$C$4995,$D2774)&gt;0,"Có","Không"))</f>
        <v/>
      </c>
      <c r="W2774" s="22">
        <f>IF(OR($D2774="",$R2774="Trùng"),"",COUNTIFS(ORDERS!$C$2:$C$4995,$D2774,ORDERS!$L$2:$L$4995,"Đã chuyển khoản"))</f>
        <v/>
      </c>
      <c r="X2774" s="23">
        <f>IF(OR($D2774="",$R2774="Trùng"),"",SUMIFS(ORDERS!$J$2:$J$4995,ORDERS!$C$2:$C$4995,$D2774,ORDERS!$L$2:$L$4995,"Đã chuyển khoản"))</f>
        <v/>
      </c>
      <c r="Y2774" s="24" t="n"/>
    </row>
    <row r="2775" ht="14.25" customHeight="1" s="40">
      <c r="A2775" s="24" t="n"/>
      <c r="B2775" s="27" t="n"/>
      <c r="C2775" s="24" t="n"/>
      <c r="D2775" s="28" t="n"/>
      <c r="E2775" s="29" t="n"/>
      <c r="F2775" s="24" t="n"/>
      <c r="G2775" s="24" t="n"/>
      <c r="H2775" s="21">
        <f>IF(ISNUMBER($B2775),INT($B2775)-WEEKDAY($B2775,2)+1,"")</f>
        <v/>
      </c>
      <c r="I2775" s="24" t="n"/>
      <c r="J2775" s="22">
        <f t="array" ref="J2775">IF($D2775="","",IF($I2775="","(trống REF)",IFERROR(INDEX(MASTER_SOURCE!$B$2:$B$495,MATCH($I2775,MASTER_SOURCE!$A$2:$A$495,0)),"(REF không có trong MASTER_SOURCE)")))</f>
        <v/>
      </c>
      <c r="K2775" s="22">
        <f t="array" ref="K2775">IF($D2775="","",IFERROR(INDEX(MASTER_SOURCE!$C$2:$C$495,MATCH($I2775,MASTER_SOURCE!$A$2:$A$495,0)),""))</f>
        <v/>
      </c>
      <c r="L2775" s="22">
        <f t="array" ref="L2775">IF($D2775="","",IFERROR(INDEX(MASTER_SOURCE!$D$2:$D$495,MATCH($I2775,MASTER_SOURCE!$A$2:$A$495,0)),""))</f>
        <v/>
      </c>
      <c r="M2775" s="24" t="n"/>
      <c r="N2775" s="24" t="n"/>
      <c r="O2775" s="24" t="n"/>
      <c r="P2775" s="24" t="n"/>
      <c r="Q2775" s="22">
        <f>IF($D2775="","",IF(AND(OR(DANH_MUC!$L$5&lt;&gt;"Có",M2775="Có"),OR(DANH_MUC!$L$6&lt;&gt;"Có",N2775="Có"),OR(DANH_MUC!$L$7&lt;&gt;"Có",O2775="Có"),OR(DANH_MUC!$L$8&lt;&gt;"Có",P2775="Có")),"Có","Không"))</f>
        <v/>
      </c>
      <c r="R2775" s="22">
        <f>IF($D2775="","",IF(COUNTIF($D$2:$D2775,$D2775)&gt;1,"Trùng",""))</f>
        <v/>
      </c>
      <c r="S2775" s="22">
        <f>IF($D2775="","",IF(AND(LEN($D2775)=10,LEFT($D2775,1)="0",ISNUMBER(--$D2775)),"Có","Không"))</f>
        <v/>
      </c>
      <c r="T2775" s="22">
        <f>IF($D2775="","",IF(AND($C2775&lt;&gt;"",$Q2775="Có",$R2775="",$S2775="Có",AND($L2775&lt;&gt;"",OR($L2775&lt;&gt;"Chưa xác định",DANH_MUC!$L$9="Có"))),"Có","Không"))</f>
        <v/>
      </c>
      <c r="U2775" s="22">
        <f>IF(OR($D2775="",$T2775="Có"),"",IF($C2775="","Thiếu họ tên; ","")&amp;IF($S2775&lt;&gt;"Có","SĐT sai định dạng; ","")&amp;IF($R2775="Trùng","Trùng SĐT; ","")&amp;IF($Q2775&lt;&gt;"Có","Thiếu đồng ý bắt buộc; ","")&amp;IF($L2775="","Thiếu/sai Mã REF; ",IF(AND($L2775="Chưa xác định",DANH_MUC!$L$9&lt;&gt;"Có"),"Nguồn chưa xác định; ","")))</f>
        <v/>
      </c>
      <c r="V2775" s="22">
        <f>IF(OR($D2775="",$R2775="Trùng"),"",IF(COUNTIF(ORDERS!$C$2:$C$4995,$D2775)&gt;0,"Có","Không"))</f>
        <v/>
      </c>
      <c r="W2775" s="22">
        <f>IF(OR($D2775="",$R2775="Trùng"),"",COUNTIFS(ORDERS!$C$2:$C$4995,$D2775,ORDERS!$L$2:$L$4995,"Đã chuyển khoản"))</f>
        <v/>
      </c>
      <c r="X2775" s="23">
        <f>IF(OR($D2775="",$R2775="Trùng"),"",SUMIFS(ORDERS!$J$2:$J$4995,ORDERS!$C$2:$C$4995,$D2775,ORDERS!$L$2:$L$4995,"Đã chuyển khoản"))</f>
        <v/>
      </c>
      <c r="Y2775" s="24" t="n"/>
    </row>
    <row r="2776" ht="14.25" customHeight="1" s="40">
      <c r="A2776" s="24" t="n"/>
      <c r="B2776" s="27" t="n"/>
      <c r="C2776" s="24" t="n"/>
      <c r="D2776" s="28" t="n"/>
      <c r="E2776" s="29" t="n"/>
      <c r="F2776" s="24" t="n"/>
      <c r="G2776" s="24" t="n"/>
      <c r="H2776" s="21">
        <f>IF(ISNUMBER($B2776),INT($B2776)-WEEKDAY($B2776,2)+1,"")</f>
        <v/>
      </c>
      <c r="I2776" s="24" t="n"/>
      <c r="J2776" s="22">
        <f t="array" ref="J2776">IF($D2776="","",IF($I2776="","(trống REF)",IFERROR(INDEX(MASTER_SOURCE!$B$2:$B$495,MATCH($I2776,MASTER_SOURCE!$A$2:$A$495,0)),"(REF không có trong MASTER_SOURCE)")))</f>
        <v/>
      </c>
      <c r="K2776" s="22">
        <f t="array" ref="K2776">IF($D2776="","",IFERROR(INDEX(MASTER_SOURCE!$C$2:$C$495,MATCH($I2776,MASTER_SOURCE!$A$2:$A$495,0)),""))</f>
        <v/>
      </c>
      <c r="L2776" s="22">
        <f t="array" ref="L2776">IF($D2776="","",IFERROR(INDEX(MASTER_SOURCE!$D$2:$D$495,MATCH($I2776,MASTER_SOURCE!$A$2:$A$495,0)),""))</f>
        <v/>
      </c>
      <c r="M2776" s="24" t="n"/>
      <c r="N2776" s="24" t="n"/>
      <c r="O2776" s="24" t="n"/>
      <c r="P2776" s="24" t="n"/>
      <c r="Q2776" s="22">
        <f>IF($D2776="","",IF(AND(OR(DANH_MUC!$L$5&lt;&gt;"Có",M2776="Có"),OR(DANH_MUC!$L$6&lt;&gt;"Có",N2776="Có"),OR(DANH_MUC!$L$7&lt;&gt;"Có",O2776="Có"),OR(DANH_MUC!$L$8&lt;&gt;"Có",P2776="Có")),"Có","Không"))</f>
        <v/>
      </c>
      <c r="R2776" s="22">
        <f>IF($D2776="","",IF(COUNTIF($D$2:$D2776,$D2776)&gt;1,"Trùng",""))</f>
        <v/>
      </c>
      <c r="S2776" s="22">
        <f>IF($D2776="","",IF(AND(LEN($D2776)=10,LEFT($D2776,1)="0",ISNUMBER(--$D2776)),"Có","Không"))</f>
        <v/>
      </c>
      <c r="T2776" s="22">
        <f>IF($D2776="","",IF(AND($C2776&lt;&gt;"",$Q2776="Có",$R2776="",$S2776="Có",AND($L2776&lt;&gt;"",OR($L2776&lt;&gt;"Chưa xác định",DANH_MUC!$L$9="Có"))),"Có","Không"))</f>
        <v/>
      </c>
      <c r="U2776" s="22">
        <f>IF(OR($D2776="",$T2776="Có"),"",IF($C2776="","Thiếu họ tên; ","")&amp;IF($S2776&lt;&gt;"Có","SĐT sai định dạng; ","")&amp;IF($R2776="Trùng","Trùng SĐT; ","")&amp;IF($Q2776&lt;&gt;"Có","Thiếu đồng ý bắt buộc; ","")&amp;IF($L2776="","Thiếu/sai Mã REF; ",IF(AND($L2776="Chưa xác định",DANH_MUC!$L$9&lt;&gt;"Có"),"Nguồn chưa xác định; ","")))</f>
        <v/>
      </c>
      <c r="V2776" s="22">
        <f>IF(OR($D2776="",$R2776="Trùng"),"",IF(COUNTIF(ORDERS!$C$2:$C$4995,$D2776)&gt;0,"Có","Không"))</f>
        <v/>
      </c>
      <c r="W2776" s="22">
        <f>IF(OR($D2776="",$R2776="Trùng"),"",COUNTIFS(ORDERS!$C$2:$C$4995,$D2776,ORDERS!$L$2:$L$4995,"Đã chuyển khoản"))</f>
        <v/>
      </c>
      <c r="X2776" s="23">
        <f>IF(OR($D2776="",$R2776="Trùng"),"",SUMIFS(ORDERS!$J$2:$J$4995,ORDERS!$C$2:$C$4995,$D2776,ORDERS!$L$2:$L$4995,"Đã chuyển khoản"))</f>
        <v/>
      </c>
      <c r="Y2776" s="24" t="n"/>
    </row>
    <row r="2777" ht="14.25" customHeight="1" s="40">
      <c r="A2777" s="24" t="n"/>
      <c r="B2777" s="27" t="n"/>
      <c r="C2777" s="24" t="n"/>
      <c r="D2777" s="28" t="n"/>
      <c r="E2777" s="29" t="n"/>
      <c r="F2777" s="24" t="n"/>
      <c r="G2777" s="24" t="n"/>
      <c r="H2777" s="21">
        <f>IF(ISNUMBER($B2777),INT($B2777)-WEEKDAY($B2777,2)+1,"")</f>
        <v/>
      </c>
      <c r="I2777" s="24" t="n"/>
      <c r="J2777" s="22">
        <f t="array" ref="J2777">IF($D2777="","",IF($I2777="","(trống REF)",IFERROR(INDEX(MASTER_SOURCE!$B$2:$B$495,MATCH($I2777,MASTER_SOURCE!$A$2:$A$495,0)),"(REF không có trong MASTER_SOURCE)")))</f>
        <v/>
      </c>
      <c r="K2777" s="22">
        <f t="array" ref="K2777">IF($D2777="","",IFERROR(INDEX(MASTER_SOURCE!$C$2:$C$495,MATCH($I2777,MASTER_SOURCE!$A$2:$A$495,0)),""))</f>
        <v/>
      </c>
      <c r="L2777" s="22">
        <f t="array" ref="L2777">IF($D2777="","",IFERROR(INDEX(MASTER_SOURCE!$D$2:$D$495,MATCH($I2777,MASTER_SOURCE!$A$2:$A$495,0)),""))</f>
        <v/>
      </c>
      <c r="M2777" s="24" t="n"/>
      <c r="N2777" s="24" t="n"/>
      <c r="O2777" s="24" t="n"/>
      <c r="P2777" s="24" t="n"/>
      <c r="Q2777" s="22">
        <f>IF($D2777="","",IF(AND(OR(DANH_MUC!$L$5&lt;&gt;"Có",M2777="Có"),OR(DANH_MUC!$L$6&lt;&gt;"Có",N2777="Có"),OR(DANH_MUC!$L$7&lt;&gt;"Có",O2777="Có"),OR(DANH_MUC!$L$8&lt;&gt;"Có",P2777="Có")),"Có","Không"))</f>
        <v/>
      </c>
      <c r="R2777" s="22">
        <f>IF($D2777="","",IF(COUNTIF($D$2:$D2777,$D2777)&gt;1,"Trùng",""))</f>
        <v/>
      </c>
      <c r="S2777" s="22">
        <f>IF($D2777="","",IF(AND(LEN($D2777)=10,LEFT($D2777,1)="0",ISNUMBER(--$D2777)),"Có","Không"))</f>
        <v/>
      </c>
      <c r="T2777" s="22">
        <f>IF($D2777="","",IF(AND($C2777&lt;&gt;"",$Q2777="Có",$R2777="",$S2777="Có",AND($L2777&lt;&gt;"",OR($L2777&lt;&gt;"Chưa xác định",DANH_MUC!$L$9="Có"))),"Có","Không"))</f>
        <v/>
      </c>
      <c r="U2777" s="22">
        <f>IF(OR($D2777="",$T2777="Có"),"",IF($C2777="","Thiếu họ tên; ","")&amp;IF($S2777&lt;&gt;"Có","SĐT sai định dạng; ","")&amp;IF($R2777="Trùng","Trùng SĐT; ","")&amp;IF($Q2777&lt;&gt;"Có","Thiếu đồng ý bắt buộc; ","")&amp;IF($L2777="","Thiếu/sai Mã REF; ",IF(AND($L2777="Chưa xác định",DANH_MUC!$L$9&lt;&gt;"Có"),"Nguồn chưa xác định; ","")))</f>
        <v/>
      </c>
      <c r="V2777" s="22">
        <f>IF(OR($D2777="",$R2777="Trùng"),"",IF(COUNTIF(ORDERS!$C$2:$C$4995,$D2777)&gt;0,"Có","Không"))</f>
        <v/>
      </c>
      <c r="W2777" s="22">
        <f>IF(OR($D2777="",$R2777="Trùng"),"",COUNTIFS(ORDERS!$C$2:$C$4995,$D2777,ORDERS!$L$2:$L$4995,"Đã chuyển khoản"))</f>
        <v/>
      </c>
      <c r="X2777" s="23">
        <f>IF(OR($D2777="",$R2777="Trùng"),"",SUMIFS(ORDERS!$J$2:$J$4995,ORDERS!$C$2:$C$4995,$D2777,ORDERS!$L$2:$L$4995,"Đã chuyển khoản"))</f>
        <v/>
      </c>
      <c r="Y2777" s="24" t="n"/>
    </row>
    <row r="2778" ht="14.25" customHeight="1" s="40">
      <c r="A2778" s="24" t="n"/>
      <c r="B2778" s="27" t="n"/>
      <c r="C2778" s="24" t="n"/>
      <c r="D2778" s="28" t="n"/>
      <c r="E2778" s="29" t="n"/>
      <c r="F2778" s="24" t="n"/>
      <c r="G2778" s="24" t="n"/>
      <c r="H2778" s="21">
        <f>IF(ISNUMBER($B2778),INT($B2778)-WEEKDAY($B2778,2)+1,"")</f>
        <v/>
      </c>
      <c r="I2778" s="24" t="n"/>
      <c r="J2778" s="22">
        <f t="array" ref="J2778">IF($D2778="","",IF($I2778="","(trống REF)",IFERROR(INDEX(MASTER_SOURCE!$B$2:$B$495,MATCH($I2778,MASTER_SOURCE!$A$2:$A$495,0)),"(REF không có trong MASTER_SOURCE)")))</f>
        <v/>
      </c>
      <c r="K2778" s="22">
        <f t="array" ref="K2778">IF($D2778="","",IFERROR(INDEX(MASTER_SOURCE!$C$2:$C$495,MATCH($I2778,MASTER_SOURCE!$A$2:$A$495,0)),""))</f>
        <v/>
      </c>
      <c r="L2778" s="22">
        <f t="array" ref="L2778">IF($D2778="","",IFERROR(INDEX(MASTER_SOURCE!$D$2:$D$495,MATCH($I2778,MASTER_SOURCE!$A$2:$A$495,0)),""))</f>
        <v/>
      </c>
      <c r="M2778" s="24" t="n"/>
      <c r="N2778" s="24" t="n"/>
      <c r="O2778" s="24" t="n"/>
      <c r="P2778" s="24" t="n"/>
      <c r="Q2778" s="22">
        <f>IF($D2778="","",IF(AND(OR(DANH_MUC!$L$5&lt;&gt;"Có",M2778="Có"),OR(DANH_MUC!$L$6&lt;&gt;"Có",N2778="Có"),OR(DANH_MUC!$L$7&lt;&gt;"Có",O2778="Có"),OR(DANH_MUC!$L$8&lt;&gt;"Có",P2778="Có")),"Có","Không"))</f>
        <v/>
      </c>
      <c r="R2778" s="22">
        <f>IF($D2778="","",IF(COUNTIF($D$2:$D2778,$D2778)&gt;1,"Trùng",""))</f>
        <v/>
      </c>
      <c r="S2778" s="22">
        <f>IF($D2778="","",IF(AND(LEN($D2778)=10,LEFT($D2778,1)="0",ISNUMBER(--$D2778)),"Có","Không"))</f>
        <v/>
      </c>
      <c r="T2778" s="22">
        <f>IF($D2778="","",IF(AND($C2778&lt;&gt;"",$Q2778="Có",$R2778="",$S2778="Có",AND($L2778&lt;&gt;"",OR($L2778&lt;&gt;"Chưa xác định",DANH_MUC!$L$9="Có"))),"Có","Không"))</f>
        <v/>
      </c>
      <c r="U2778" s="22">
        <f>IF(OR($D2778="",$T2778="Có"),"",IF($C2778="","Thiếu họ tên; ","")&amp;IF($S2778&lt;&gt;"Có","SĐT sai định dạng; ","")&amp;IF($R2778="Trùng","Trùng SĐT; ","")&amp;IF($Q2778&lt;&gt;"Có","Thiếu đồng ý bắt buộc; ","")&amp;IF($L2778="","Thiếu/sai Mã REF; ",IF(AND($L2778="Chưa xác định",DANH_MUC!$L$9&lt;&gt;"Có"),"Nguồn chưa xác định; ","")))</f>
        <v/>
      </c>
      <c r="V2778" s="22">
        <f>IF(OR($D2778="",$R2778="Trùng"),"",IF(COUNTIF(ORDERS!$C$2:$C$4995,$D2778)&gt;0,"Có","Không"))</f>
        <v/>
      </c>
      <c r="W2778" s="22">
        <f>IF(OR($D2778="",$R2778="Trùng"),"",COUNTIFS(ORDERS!$C$2:$C$4995,$D2778,ORDERS!$L$2:$L$4995,"Đã chuyển khoản"))</f>
        <v/>
      </c>
      <c r="X2778" s="23">
        <f>IF(OR($D2778="",$R2778="Trùng"),"",SUMIFS(ORDERS!$J$2:$J$4995,ORDERS!$C$2:$C$4995,$D2778,ORDERS!$L$2:$L$4995,"Đã chuyển khoản"))</f>
        <v/>
      </c>
      <c r="Y2778" s="24" t="n"/>
    </row>
    <row r="2779" ht="14.25" customHeight="1" s="40">
      <c r="A2779" s="24" t="n"/>
      <c r="B2779" s="27" t="n"/>
      <c r="C2779" s="24" t="n"/>
      <c r="D2779" s="28" t="n"/>
      <c r="E2779" s="29" t="n"/>
      <c r="F2779" s="24" t="n"/>
      <c r="G2779" s="24" t="n"/>
      <c r="H2779" s="21">
        <f>IF(ISNUMBER($B2779),INT($B2779)-WEEKDAY($B2779,2)+1,"")</f>
        <v/>
      </c>
      <c r="I2779" s="24" t="n"/>
      <c r="J2779" s="22">
        <f t="array" ref="J2779">IF($D2779="","",IF($I2779="","(trống REF)",IFERROR(INDEX(MASTER_SOURCE!$B$2:$B$495,MATCH($I2779,MASTER_SOURCE!$A$2:$A$495,0)),"(REF không có trong MASTER_SOURCE)")))</f>
        <v/>
      </c>
      <c r="K2779" s="22">
        <f t="array" ref="K2779">IF($D2779="","",IFERROR(INDEX(MASTER_SOURCE!$C$2:$C$495,MATCH($I2779,MASTER_SOURCE!$A$2:$A$495,0)),""))</f>
        <v/>
      </c>
      <c r="L2779" s="22">
        <f t="array" ref="L2779">IF($D2779="","",IFERROR(INDEX(MASTER_SOURCE!$D$2:$D$495,MATCH($I2779,MASTER_SOURCE!$A$2:$A$495,0)),""))</f>
        <v/>
      </c>
      <c r="M2779" s="24" t="n"/>
      <c r="N2779" s="24" t="n"/>
      <c r="O2779" s="24" t="n"/>
      <c r="P2779" s="24" t="n"/>
      <c r="Q2779" s="22">
        <f>IF($D2779="","",IF(AND(OR(DANH_MUC!$L$5&lt;&gt;"Có",M2779="Có"),OR(DANH_MUC!$L$6&lt;&gt;"Có",N2779="Có"),OR(DANH_MUC!$L$7&lt;&gt;"Có",O2779="Có"),OR(DANH_MUC!$L$8&lt;&gt;"Có",P2779="Có")),"Có","Không"))</f>
        <v/>
      </c>
      <c r="R2779" s="22">
        <f>IF($D2779="","",IF(COUNTIF($D$2:$D2779,$D2779)&gt;1,"Trùng",""))</f>
        <v/>
      </c>
      <c r="S2779" s="22">
        <f>IF($D2779="","",IF(AND(LEN($D2779)=10,LEFT($D2779,1)="0",ISNUMBER(--$D2779)),"Có","Không"))</f>
        <v/>
      </c>
      <c r="T2779" s="22">
        <f>IF($D2779="","",IF(AND($C2779&lt;&gt;"",$Q2779="Có",$R2779="",$S2779="Có",AND($L2779&lt;&gt;"",OR($L2779&lt;&gt;"Chưa xác định",DANH_MUC!$L$9="Có"))),"Có","Không"))</f>
        <v/>
      </c>
      <c r="U2779" s="22">
        <f>IF(OR($D2779="",$T2779="Có"),"",IF($C2779="","Thiếu họ tên; ","")&amp;IF($S2779&lt;&gt;"Có","SĐT sai định dạng; ","")&amp;IF($R2779="Trùng","Trùng SĐT; ","")&amp;IF($Q2779&lt;&gt;"Có","Thiếu đồng ý bắt buộc; ","")&amp;IF($L2779="","Thiếu/sai Mã REF; ",IF(AND($L2779="Chưa xác định",DANH_MUC!$L$9&lt;&gt;"Có"),"Nguồn chưa xác định; ","")))</f>
        <v/>
      </c>
      <c r="V2779" s="22">
        <f>IF(OR($D2779="",$R2779="Trùng"),"",IF(COUNTIF(ORDERS!$C$2:$C$4995,$D2779)&gt;0,"Có","Không"))</f>
        <v/>
      </c>
      <c r="W2779" s="22">
        <f>IF(OR($D2779="",$R2779="Trùng"),"",COUNTIFS(ORDERS!$C$2:$C$4995,$D2779,ORDERS!$L$2:$L$4995,"Đã chuyển khoản"))</f>
        <v/>
      </c>
      <c r="X2779" s="23">
        <f>IF(OR($D2779="",$R2779="Trùng"),"",SUMIFS(ORDERS!$J$2:$J$4995,ORDERS!$C$2:$C$4995,$D2779,ORDERS!$L$2:$L$4995,"Đã chuyển khoản"))</f>
        <v/>
      </c>
      <c r="Y2779" s="24" t="n"/>
    </row>
    <row r="2780" ht="14.25" customHeight="1" s="40">
      <c r="A2780" s="24" t="n"/>
      <c r="B2780" s="27" t="n"/>
      <c r="C2780" s="24" t="n"/>
      <c r="D2780" s="28" t="n"/>
      <c r="E2780" s="29" t="n"/>
      <c r="F2780" s="24" t="n"/>
      <c r="G2780" s="24" t="n"/>
      <c r="H2780" s="21">
        <f>IF(ISNUMBER($B2780),INT($B2780)-WEEKDAY($B2780,2)+1,"")</f>
        <v/>
      </c>
      <c r="I2780" s="24" t="n"/>
      <c r="J2780" s="22">
        <f t="array" ref="J2780">IF($D2780="","",IF($I2780="","(trống REF)",IFERROR(INDEX(MASTER_SOURCE!$B$2:$B$495,MATCH($I2780,MASTER_SOURCE!$A$2:$A$495,0)),"(REF không có trong MASTER_SOURCE)")))</f>
        <v/>
      </c>
      <c r="K2780" s="22">
        <f t="array" ref="K2780">IF($D2780="","",IFERROR(INDEX(MASTER_SOURCE!$C$2:$C$495,MATCH($I2780,MASTER_SOURCE!$A$2:$A$495,0)),""))</f>
        <v/>
      </c>
      <c r="L2780" s="22">
        <f t="array" ref="L2780">IF($D2780="","",IFERROR(INDEX(MASTER_SOURCE!$D$2:$D$495,MATCH($I2780,MASTER_SOURCE!$A$2:$A$495,0)),""))</f>
        <v/>
      </c>
      <c r="M2780" s="24" t="n"/>
      <c r="N2780" s="24" t="n"/>
      <c r="O2780" s="24" t="n"/>
      <c r="P2780" s="24" t="n"/>
      <c r="Q2780" s="22">
        <f>IF($D2780="","",IF(AND(OR(DANH_MUC!$L$5&lt;&gt;"Có",M2780="Có"),OR(DANH_MUC!$L$6&lt;&gt;"Có",N2780="Có"),OR(DANH_MUC!$L$7&lt;&gt;"Có",O2780="Có"),OR(DANH_MUC!$L$8&lt;&gt;"Có",P2780="Có")),"Có","Không"))</f>
        <v/>
      </c>
      <c r="R2780" s="22">
        <f>IF($D2780="","",IF(COUNTIF($D$2:$D2780,$D2780)&gt;1,"Trùng",""))</f>
        <v/>
      </c>
      <c r="S2780" s="22">
        <f>IF($D2780="","",IF(AND(LEN($D2780)=10,LEFT($D2780,1)="0",ISNUMBER(--$D2780)),"Có","Không"))</f>
        <v/>
      </c>
      <c r="T2780" s="22">
        <f>IF($D2780="","",IF(AND($C2780&lt;&gt;"",$Q2780="Có",$R2780="",$S2780="Có",AND($L2780&lt;&gt;"",OR($L2780&lt;&gt;"Chưa xác định",DANH_MUC!$L$9="Có"))),"Có","Không"))</f>
        <v/>
      </c>
      <c r="U2780" s="22">
        <f>IF(OR($D2780="",$T2780="Có"),"",IF($C2780="","Thiếu họ tên; ","")&amp;IF($S2780&lt;&gt;"Có","SĐT sai định dạng; ","")&amp;IF($R2780="Trùng","Trùng SĐT; ","")&amp;IF($Q2780&lt;&gt;"Có","Thiếu đồng ý bắt buộc; ","")&amp;IF($L2780="","Thiếu/sai Mã REF; ",IF(AND($L2780="Chưa xác định",DANH_MUC!$L$9&lt;&gt;"Có"),"Nguồn chưa xác định; ","")))</f>
        <v/>
      </c>
      <c r="V2780" s="22">
        <f>IF(OR($D2780="",$R2780="Trùng"),"",IF(COUNTIF(ORDERS!$C$2:$C$4995,$D2780)&gt;0,"Có","Không"))</f>
        <v/>
      </c>
      <c r="W2780" s="22">
        <f>IF(OR($D2780="",$R2780="Trùng"),"",COUNTIFS(ORDERS!$C$2:$C$4995,$D2780,ORDERS!$L$2:$L$4995,"Đã chuyển khoản"))</f>
        <v/>
      </c>
      <c r="X2780" s="23">
        <f>IF(OR($D2780="",$R2780="Trùng"),"",SUMIFS(ORDERS!$J$2:$J$4995,ORDERS!$C$2:$C$4995,$D2780,ORDERS!$L$2:$L$4995,"Đã chuyển khoản"))</f>
        <v/>
      </c>
      <c r="Y2780" s="24" t="n"/>
    </row>
    <row r="2781" ht="14.25" customHeight="1" s="40">
      <c r="A2781" s="24" t="n"/>
      <c r="B2781" s="27" t="n"/>
      <c r="C2781" s="24" t="n"/>
      <c r="D2781" s="28" t="n"/>
      <c r="E2781" s="29" t="n"/>
      <c r="F2781" s="24" t="n"/>
      <c r="G2781" s="24" t="n"/>
      <c r="H2781" s="21">
        <f>IF(ISNUMBER($B2781),INT($B2781)-WEEKDAY($B2781,2)+1,"")</f>
        <v/>
      </c>
      <c r="I2781" s="24" t="n"/>
      <c r="J2781" s="22">
        <f t="array" ref="J2781">IF($D2781="","",IF($I2781="","(trống REF)",IFERROR(INDEX(MASTER_SOURCE!$B$2:$B$495,MATCH($I2781,MASTER_SOURCE!$A$2:$A$495,0)),"(REF không có trong MASTER_SOURCE)")))</f>
        <v/>
      </c>
      <c r="K2781" s="22">
        <f t="array" ref="K2781">IF($D2781="","",IFERROR(INDEX(MASTER_SOURCE!$C$2:$C$495,MATCH($I2781,MASTER_SOURCE!$A$2:$A$495,0)),""))</f>
        <v/>
      </c>
      <c r="L2781" s="22">
        <f t="array" ref="L2781">IF($D2781="","",IFERROR(INDEX(MASTER_SOURCE!$D$2:$D$495,MATCH($I2781,MASTER_SOURCE!$A$2:$A$495,0)),""))</f>
        <v/>
      </c>
      <c r="M2781" s="24" t="n"/>
      <c r="N2781" s="24" t="n"/>
      <c r="O2781" s="24" t="n"/>
      <c r="P2781" s="24" t="n"/>
      <c r="Q2781" s="22">
        <f>IF($D2781="","",IF(AND(OR(DANH_MUC!$L$5&lt;&gt;"Có",M2781="Có"),OR(DANH_MUC!$L$6&lt;&gt;"Có",N2781="Có"),OR(DANH_MUC!$L$7&lt;&gt;"Có",O2781="Có"),OR(DANH_MUC!$L$8&lt;&gt;"Có",P2781="Có")),"Có","Không"))</f>
        <v/>
      </c>
      <c r="R2781" s="22">
        <f>IF($D2781="","",IF(COUNTIF($D$2:$D2781,$D2781)&gt;1,"Trùng",""))</f>
        <v/>
      </c>
      <c r="S2781" s="22">
        <f>IF($D2781="","",IF(AND(LEN($D2781)=10,LEFT($D2781,1)="0",ISNUMBER(--$D2781)),"Có","Không"))</f>
        <v/>
      </c>
      <c r="T2781" s="22">
        <f>IF($D2781="","",IF(AND($C2781&lt;&gt;"",$Q2781="Có",$R2781="",$S2781="Có",AND($L2781&lt;&gt;"",OR($L2781&lt;&gt;"Chưa xác định",DANH_MUC!$L$9="Có"))),"Có","Không"))</f>
        <v/>
      </c>
      <c r="U2781" s="22">
        <f>IF(OR($D2781="",$T2781="Có"),"",IF($C2781="","Thiếu họ tên; ","")&amp;IF($S2781&lt;&gt;"Có","SĐT sai định dạng; ","")&amp;IF($R2781="Trùng","Trùng SĐT; ","")&amp;IF($Q2781&lt;&gt;"Có","Thiếu đồng ý bắt buộc; ","")&amp;IF($L2781="","Thiếu/sai Mã REF; ",IF(AND($L2781="Chưa xác định",DANH_MUC!$L$9&lt;&gt;"Có"),"Nguồn chưa xác định; ","")))</f>
        <v/>
      </c>
      <c r="V2781" s="22">
        <f>IF(OR($D2781="",$R2781="Trùng"),"",IF(COUNTIF(ORDERS!$C$2:$C$4995,$D2781)&gt;0,"Có","Không"))</f>
        <v/>
      </c>
      <c r="W2781" s="22">
        <f>IF(OR($D2781="",$R2781="Trùng"),"",COUNTIFS(ORDERS!$C$2:$C$4995,$D2781,ORDERS!$L$2:$L$4995,"Đã chuyển khoản"))</f>
        <v/>
      </c>
      <c r="X2781" s="23">
        <f>IF(OR($D2781="",$R2781="Trùng"),"",SUMIFS(ORDERS!$J$2:$J$4995,ORDERS!$C$2:$C$4995,$D2781,ORDERS!$L$2:$L$4995,"Đã chuyển khoản"))</f>
        <v/>
      </c>
      <c r="Y2781" s="24" t="n"/>
    </row>
    <row r="2782" ht="14.25" customHeight="1" s="40">
      <c r="A2782" s="24" t="n"/>
      <c r="B2782" s="27" t="n"/>
      <c r="C2782" s="24" t="n"/>
      <c r="D2782" s="28" t="n"/>
      <c r="E2782" s="29" t="n"/>
      <c r="F2782" s="24" t="n"/>
      <c r="G2782" s="24" t="n"/>
      <c r="H2782" s="21">
        <f>IF(ISNUMBER($B2782),INT($B2782)-WEEKDAY($B2782,2)+1,"")</f>
        <v/>
      </c>
      <c r="I2782" s="24" t="n"/>
      <c r="J2782" s="22">
        <f t="array" ref="J2782">IF($D2782="","",IF($I2782="","(trống REF)",IFERROR(INDEX(MASTER_SOURCE!$B$2:$B$495,MATCH($I2782,MASTER_SOURCE!$A$2:$A$495,0)),"(REF không có trong MASTER_SOURCE)")))</f>
        <v/>
      </c>
      <c r="K2782" s="22">
        <f t="array" ref="K2782">IF($D2782="","",IFERROR(INDEX(MASTER_SOURCE!$C$2:$C$495,MATCH($I2782,MASTER_SOURCE!$A$2:$A$495,0)),""))</f>
        <v/>
      </c>
      <c r="L2782" s="22">
        <f t="array" ref="L2782">IF($D2782="","",IFERROR(INDEX(MASTER_SOURCE!$D$2:$D$495,MATCH($I2782,MASTER_SOURCE!$A$2:$A$495,0)),""))</f>
        <v/>
      </c>
      <c r="M2782" s="24" t="n"/>
      <c r="N2782" s="24" t="n"/>
      <c r="O2782" s="24" t="n"/>
      <c r="P2782" s="24" t="n"/>
      <c r="Q2782" s="22">
        <f>IF($D2782="","",IF(AND(OR(DANH_MUC!$L$5&lt;&gt;"Có",M2782="Có"),OR(DANH_MUC!$L$6&lt;&gt;"Có",N2782="Có"),OR(DANH_MUC!$L$7&lt;&gt;"Có",O2782="Có"),OR(DANH_MUC!$L$8&lt;&gt;"Có",P2782="Có")),"Có","Không"))</f>
        <v/>
      </c>
      <c r="R2782" s="22">
        <f>IF($D2782="","",IF(COUNTIF($D$2:$D2782,$D2782)&gt;1,"Trùng",""))</f>
        <v/>
      </c>
      <c r="S2782" s="22">
        <f>IF($D2782="","",IF(AND(LEN($D2782)=10,LEFT($D2782,1)="0",ISNUMBER(--$D2782)),"Có","Không"))</f>
        <v/>
      </c>
      <c r="T2782" s="22">
        <f>IF($D2782="","",IF(AND($C2782&lt;&gt;"",$Q2782="Có",$R2782="",$S2782="Có",AND($L2782&lt;&gt;"",OR($L2782&lt;&gt;"Chưa xác định",DANH_MUC!$L$9="Có"))),"Có","Không"))</f>
        <v/>
      </c>
      <c r="U2782" s="22">
        <f>IF(OR($D2782="",$T2782="Có"),"",IF($C2782="","Thiếu họ tên; ","")&amp;IF($S2782&lt;&gt;"Có","SĐT sai định dạng; ","")&amp;IF($R2782="Trùng","Trùng SĐT; ","")&amp;IF($Q2782&lt;&gt;"Có","Thiếu đồng ý bắt buộc; ","")&amp;IF($L2782="","Thiếu/sai Mã REF; ",IF(AND($L2782="Chưa xác định",DANH_MUC!$L$9&lt;&gt;"Có"),"Nguồn chưa xác định; ","")))</f>
        <v/>
      </c>
      <c r="V2782" s="22">
        <f>IF(OR($D2782="",$R2782="Trùng"),"",IF(COUNTIF(ORDERS!$C$2:$C$4995,$D2782)&gt;0,"Có","Không"))</f>
        <v/>
      </c>
      <c r="W2782" s="22">
        <f>IF(OR($D2782="",$R2782="Trùng"),"",COUNTIFS(ORDERS!$C$2:$C$4995,$D2782,ORDERS!$L$2:$L$4995,"Đã chuyển khoản"))</f>
        <v/>
      </c>
      <c r="X2782" s="23">
        <f>IF(OR($D2782="",$R2782="Trùng"),"",SUMIFS(ORDERS!$J$2:$J$4995,ORDERS!$C$2:$C$4995,$D2782,ORDERS!$L$2:$L$4995,"Đã chuyển khoản"))</f>
        <v/>
      </c>
      <c r="Y2782" s="24" t="n"/>
    </row>
    <row r="2783" ht="14.25" customHeight="1" s="40">
      <c r="A2783" s="24" t="n"/>
      <c r="B2783" s="27" t="n"/>
      <c r="C2783" s="24" t="n"/>
      <c r="D2783" s="28" t="n"/>
      <c r="E2783" s="29" t="n"/>
      <c r="F2783" s="24" t="n"/>
      <c r="G2783" s="24" t="n"/>
      <c r="H2783" s="21">
        <f>IF(ISNUMBER($B2783),INT($B2783)-WEEKDAY($B2783,2)+1,"")</f>
        <v/>
      </c>
      <c r="I2783" s="24" t="n"/>
      <c r="J2783" s="22">
        <f t="array" ref="J2783">IF($D2783="","",IF($I2783="","(trống REF)",IFERROR(INDEX(MASTER_SOURCE!$B$2:$B$495,MATCH($I2783,MASTER_SOURCE!$A$2:$A$495,0)),"(REF không có trong MASTER_SOURCE)")))</f>
        <v/>
      </c>
      <c r="K2783" s="22">
        <f t="array" ref="K2783">IF($D2783="","",IFERROR(INDEX(MASTER_SOURCE!$C$2:$C$495,MATCH($I2783,MASTER_SOURCE!$A$2:$A$495,0)),""))</f>
        <v/>
      </c>
      <c r="L2783" s="22">
        <f t="array" ref="L2783">IF($D2783="","",IFERROR(INDEX(MASTER_SOURCE!$D$2:$D$495,MATCH($I2783,MASTER_SOURCE!$A$2:$A$495,0)),""))</f>
        <v/>
      </c>
      <c r="M2783" s="24" t="n"/>
      <c r="N2783" s="24" t="n"/>
      <c r="O2783" s="24" t="n"/>
      <c r="P2783" s="24" t="n"/>
      <c r="Q2783" s="22">
        <f>IF($D2783="","",IF(AND(OR(DANH_MUC!$L$5&lt;&gt;"Có",M2783="Có"),OR(DANH_MUC!$L$6&lt;&gt;"Có",N2783="Có"),OR(DANH_MUC!$L$7&lt;&gt;"Có",O2783="Có"),OR(DANH_MUC!$L$8&lt;&gt;"Có",P2783="Có")),"Có","Không"))</f>
        <v/>
      </c>
      <c r="R2783" s="22">
        <f>IF($D2783="","",IF(COUNTIF($D$2:$D2783,$D2783)&gt;1,"Trùng",""))</f>
        <v/>
      </c>
      <c r="S2783" s="22">
        <f>IF($D2783="","",IF(AND(LEN($D2783)=10,LEFT($D2783,1)="0",ISNUMBER(--$D2783)),"Có","Không"))</f>
        <v/>
      </c>
      <c r="T2783" s="22">
        <f>IF($D2783="","",IF(AND($C2783&lt;&gt;"",$Q2783="Có",$R2783="",$S2783="Có",AND($L2783&lt;&gt;"",OR($L2783&lt;&gt;"Chưa xác định",DANH_MUC!$L$9="Có"))),"Có","Không"))</f>
        <v/>
      </c>
      <c r="U2783" s="22">
        <f>IF(OR($D2783="",$T2783="Có"),"",IF($C2783="","Thiếu họ tên; ","")&amp;IF($S2783&lt;&gt;"Có","SĐT sai định dạng; ","")&amp;IF($R2783="Trùng","Trùng SĐT; ","")&amp;IF($Q2783&lt;&gt;"Có","Thiếu đồng ý bắt buộc; ","")&amp;IF($L2783="","Thiếu/sai Mã REF; ",IF(AND($L2783="Chưa xác định",DANH_MUC!$L$9&lt;&gt;"Có"),"Nguồn chưa xác định; ","")))</f>
        <v/>
      </c>
      <c r="V2783" s="22">
        <f>IF(OR($D2783="",$R2783="Trùng"),"",IF(COUNTIF(ORDERS!$C$2:$C$4995,$D2783)&gt;0,"Có","Không"))</f>
        <v/>
      </c>
      <c r="W2783" s="22">
        <f>IF(OR($D2783="",$R2783="Trùng"),"",COUNTIFS(ORDERS!$C$2:$C$4995,$D2783,ORDERS!$L$2:$L$4995,"Đã chuyển khoản"))</f>
        <v/>
      </c>
      <c r="X2783" s="23">
        <f>IF(OR($D2783="",$R2783="Trùng"),"",SUMIFS(ORDERS!$J$2:$J$4995,ORDERS!$C$2:$C$4995,$D2783,ORDERS!$L$2:$L$4995,"Đã chuyển khoản"))</f>
        <v/>
      </c>
      <c r="Y2783" s="24" t="n"/>
    </row>
    <row r="2784" ht="14.25" customHeight="1" s="40">
      <c r="A2784" s="24" t="n"/>
      <c r="B2784" s="27" t="n"/>
      <c r="C2784" s="24" t="n"/>
      <c r="D2784" s="28" t="n"/>
      <c r="E2784" s="29" t="n"/>
      <c r="F2784" s="24" t="n"/>
      <c r="G2784" s="24" t="n"/>
      <c r="H2784" s="21">
        <f>IF(ISNUMBER($B2784),INT($B2784)-WEEKDAY($B2784,2)+1,"")</f>
        <v/>
      </c>
      <c r="I2784" s="24" t="n"/>
      <c r="J2784" s="22">
        <f t="array" ref="J2784">IF($D2784="","",IF($I2784="","(trống REF)",IFERROR(INDEX(MASTER_SOURCE!$B$2:$B$495,MATCH($I2784,MASTER_SOURCE!$A$2:$A$495,0)),"(REF không có trong MASTER_SOURCE)")))</f>
        <v/>
      </c>
      <c r="K2784" s="22">
        <f t="array" ref="K2784">IF($D2784="","",IFERROR(INDEX(MASTER_SOURCE!$C$2:$C$495,MATCH($I2784,MASTER_SOURCE!$A$2:$A$495,0)),""))</f>
        <v/>
      </c>
      <c r="L2784" s="22">
        <f t="array" ref="L2784">IF($D2784="","",IFERROR(INDEX(MASTER_SOURCE!$D$2:$D$495,MATCH($I2784,MASTER_SOURCE!$A$2:$A$495,0)),""))</f>
        <v/>
      </c>
      <c r="M2784" s="24" t="n"/>
      <c r="N2784" s="24" t="n"/>
      <c r="O2784" s="24" t="n"/>
      <c r="P2784" s="24" t="n"/>
      <c r="Q2784" s="22">
        <f>IF($D2784="","",IF(AND(OR(DANH_MUC!$L$5&lt;&gt;"Có",M2784="Có"),OR(DANH_MUC!$L$6&lt;&gt;"Có",N2784="Có"),OR(DANH_MUC!$L$7&lt;&gt;"Có",O2784="Có"),OR(DANH_MUC!$L$8&lt;&gt;"Có",P2784="Có")),"Có","Không"))</f>
        <v/>
      </c>
      <c r="R2784" s="22">
        <f>IF($D2784="","",IF(COUNTIF($D$2:$D2784,$D2784)&gt;1,"Trùng",""))</f>
        <v/>
      </c>
      <c r="S2784" s="22">
        <f>IF($D2784="","",IF(AND(LEN($D2784)=10,LEFT($D2784,1)="0",ISNUMBER(--$D2784)),"Có","Không"))</f>
        <v/>
      </c>
      <c r="T2784" s="22">
        <f>IF($D2784="","",IF(AND($C2784&lt;&gt;"",$Q2784="Có",$R2784="",$S2784="Có",AND($L2784&lt;&gt;"",OR($L2784&lt;&gt;"Chưa xác định",DANH_MUC!$L$9="Có"))),"Có","Không"))</f>
        <v/>
      </c>
      <c r="U2784" s="22">
        <f>IF(OR($D2784="",$T2784="Có"),"",IF($C2784="","Thiếu họ tên; ","")&amp;IF($S2784&lt;&gt;"Có","SĐT sai định dạng; ","")&amp;IF($R2784="Trùng","Trùng SĐT; ","")&amp;IF($Q2784&lt;&gt;"Có","Thiếu đồng ý bắt buộc; ","")&amp;IF($L2784="","Thiếu/sai Mã REF; ",IF(AND($L2784="Chưa xác định",DANH_MUC!$L$9&lt;&gt;"Có"),"Nguồn chưa xác định; ","")))</f>
        <v/>
      </c>
      <c r="V2784" s="22">
        <f>IF(OR($D2784="",$R2784="Trùng"),"",IF(COUNTIF(ORDERS!$C$2:$C$4995,$D2784)&gt;0,"Có","Không"))</f>
        <v/>
      </c>
      <c r="W2784" s="22">
        <f>IF(OR($D2784="",$R2784="Trùng"),"",COUNTIFS(ORDERS!$C$2:$C$4995,$D2784,ORDERS!$L$2:$L$4995,"Đã chuyển khoản"))</f>
        <v/>
      </c>
      <c r="X2784" s="23">
        <f>IF(OR($D2784="",$R2784="Trùng"),"",SUMIFS(ORDERS!$J$2:$J$4995,ORDERS!$C$2:$C$4995,$D2784,ORDERS!$L$2:$L$4995,"Đã chuyển khoản"))</f>
        <v/>
      </c>
      <c r="Y2784" s="24" t="n"/>
    </row>
    <row r="2785" ht="14.25" customHeight="1" s="40">
      <c r="A2785" s="24" t="n"/>
      <c r="B2785" s="27" t="n"/>
      <c r="C2785" s="24" t="n"/>
      <c r="D2785" s="28" t="n"/>
      <c r="E2785" s="29" t="n"/>
      <c r="F2785" s="24" t="n"/>
      <c r="G2785" s="24" t="n"/>
      <c r="H2785" s="21">
        <f>IF(ISNUMBER($B2785),INT($B2785)-WEEKDAY($B2785,2)+1,"")</f>
        <v/>
      </c>
      <c r="I2785" s="24" t="n"/>
      <c r="J2785" s="22">
        <f t="array" ref="J2785">IF($D2785="","",IF($I2785="","(trống REF)",IFERROR(INDEX(MASTER_SOURCE!$B$2:$B$495,MATCH($I2785,MASTER_SOURCE!$A$2:$A$495,0)),"(REF không có trong MASTER_SOURCE)")))</f>
        <v/>
      </c>
      <c r="K2785" s="22">
        <f t="array" ref="K2785">IF($D2785="","",IFERROR(INDEX(MASTER_SOURCE!$C$2:$C$495,MATCH($I2785,MASTER_SOURCE!$A$2:$A$495,0)),""))</f>
        <v/>
      </c>
      <c r="L2785" s="22">
        <f t="array" ref="L2785">IF($D2785="","",IFERROR(INDEX(MASTER_SOURCE!$D$2:$D$495,MATCH($I2785,MASTER_SOURCE!$A$2:$A$495,0)),""))</f>
        <v/>
      </c>
      <c r="M2785" s="24" t="n"/>
      <c r="N2785" s="24" t="n"/>
      <c r="O2785" s="24" t="n"/>
      <c r="P2785" s="24" t="n"/>
      <c r="Q2785" s="22">
        <f>IF($D2785="","",IF(AND(OR(DANH_MUC!$L$5&lt;&gt;"Có",M2785="Có"),OR(DANH_MUC!$L$6&lt;&gt;"Có",N2785="Có"),OR(DANH_MUC!$L$7&lt;&gt;"Có",O2785="Có"),OR(DANH_MUC!$L$8&lt;&gt;"Có",P2785="Có")),"Có","Không"))</f>
        <v/>
      </c>
      <c r="R2785" s="22">
        <f>IF($D2785="","",IF(COUNTIF($D$2:$D2785,$D2785)&gt;1,"Trùng",""))</f>
        <v/>
      </c>
      <c r="S2785" s="22">
        <f>IF($D2785="","",IF(AND(LEN($D2785)=10,LEFT($D2785,1)="0",ISNUMBER(--$D2785)),"Có","Không"))</f>
        <v/>
      </c>
      <c r="T2785" s="22">
        <f>IF($D2785="","",IF(AND($C2785&lt;&gt;"",$Q2785="Có",$R2785="",$S2785="Có",AND($L2785&lt;&gt;"",OR($L2785&lt;&gt;"Chưa xác định",DANH_MUC!$L$9="Có"))),"Có","Không"))</f>
        <v/>
      </c>
      <c r="U2785" s="22">
        <f>IF(OR($D2785="",$T2785="Có"),"",IF($C2785="","Thiếu họ tên; ","")&amp;IF($S2785&lt;&gt;"Có","SĐT sai định dạng; ","")&amp;IF($R2785="Trùng","Trùng SĐT; ","")&amp;IF($Q2785&lt;&gt;"Có","Thiếu đồng ý bắt buộc; ","")&amp;IF($L2785="","Thiếu/sai Mã REF; ",IF(AND($L2785="Chưa xác định",DANH_MUC!$L$9&lt;&gt;"Có"),"Nguồn chưa xác định; ","")))</f>
        <v/>
      </c>
      <c r="V2785" s="22">
        <f>IF(OR($D2785="",$R2785="Trùng"),"",IF(COUNTIF(ORDERS!$C$2:$C$4995,$D2785)&gt;0,"Có","Không"))</f>
        <v/>
      </c>
      <c r="W2785" s="22">
        <f>IF(OR($D2785="",$R2785="Trùng"),"",COUNTIFS(ORDERS!$C$2:$C$4995,$D2785,ORDERS!$L$2:$L$4995,"Đã chuyển khoản"))</f>
        <v/>
      </c>
      <c r="X2785" s="23">
        <f>IF(OR($D2785="",$R2785="Trùng"),"",SUMIFS(ORDERS!$J$2:$J$4995,ORDERS!$C$2:$C$4995,$D2785,ORDERS!$L$2:$L$4995,"Đã chuyển khoản"))</f>
        <v/>
      </c>
      <c r="Y2785" s="24" t="n"/>
    </row>
    <row r="2786" ht="14.25" customHeight="1" s="40">
      <c r="A2786" s="24" t="n"/>
      <c r="B2786" s="27" t="n"/>
      <c r="C2786" s="24" t="n"/>
      <c r="D2786" s="28" t="n"/>
      <c r="E2786" s="29" t="n"/>
      <c r="F2786" s="24" t="n"/>
      <c r="G2786" s="24" t="n"/>
      <c r="H2786" s="21">
        <f>IF(ISNUMBER($B2786),INT($B2786)-WEEKDAY($B2786,2)+1,"")</f>
        <v/>
      </c>
      <c r="I2786" s="24" t="n"/>
      <c r="J2786" s="22">
        <f t="array" ref="J2786">IF($D2786="","",IF($I2786="","(trống REF)",IFERROR(INDEX(MASTER_SOURCE!$B$2:$B$495,MATCH($I2786,MASTER_SOURCE!$A$2:$A$495,0)),"(REF không có trong MASTER_SOURCE)")))</f>
        <v/>
      </c>
      <c r="K2786" s="22">
        <f t="array" ref="K2786">IF($D2786="","",IFERROR(INDEX(MASTER_SOURCE!$C$2:$C$495,MATCH($I2786,MASTER_SOURCE!$A$2:$A$495,0)),""))</f>
        <v/>
      </c>
      <c r="L2786" s="22">
        <f t="array" ref="L2786">IF($D2786="","",IFERROR(INDEX(MASTER_SOURCE!$D$2:$D$495,MATCH($I2786,MASTER_SOURCE!$A$2:$A$495,0)),""))</f>
        <v/>
      </c>
      <c r="M2786" s="24" t="n"/>
      <c r="N2786" s="24" t="n"/>
      <c r="O2786" s="24" t="n"/>
      <c r="P2786" s="24" t="n"/>
      <c r="Q2786" s="22">
        <f>IF($D2786="","",IF(AND(OR(DANH_MUC!$L$5&lt;&gt;"Có",M2786="Có"),OR(DANH_MUC!$L$6&lt;&gt;"Có",N2786="Có"),OR(DANH_MUC!$L$7&lt;&gt;"Có",O2786="Có"),OR(DANH_MUC!$L$8&lt;&gt;"Có",P2786="Có")),"Có","Không"))</f>
        <v/>
      </c>
      <c r="R2786" s="22">
        <f>IF($D2786="","",IF(COUNTIF($D$2:$D2786,$D2786)&gt;1,"Trùng",""))</f>
        <v/>
      </c>
      <c r="S2786" s="22">
        <f>IF($D2786="","",IF(AND(LEN($D2786)=10,LEFT($D2786,1)="0",ISNUMBER(--$D2786)),"Có","Không"))</f>
        <v/>
      </c>
      <c r="T2786" s="22">
        <f>IF($D2786="","",IF(AND($C2786&lt;&gt;"",$Q2786="Có",$R2786="",$S2786="Có",AND($L2786&lt;&gt;"",OR($L2786&lt;&gt;"Chưa xác định",DANH_MUC!$L$9="Có"))),"Có","Không"))</f>
        <v/>
      </c>
      <c r="U2786" s="22">
        <f>IF(OR($D2786="",$T2786="Có"),"",IF($C2786="","Thiếu họ tên; ","")&amp;IF($S2786&lt;&gt;"Có","SĐT sai định dạng; ","")&amp;IF($R2786="Trùng","Trùng SĐT; ","")&amp;IF($Q2786&lt;&gt;"Có","Thiếu đồng ý bắt buộc; ","")&amp;IF($L2786="","Thiếu/sai Mã REF; ",IF(AND($L2786="Chưa xác định",DANH_MUC!$L$9&lt;&gt;"Có"),"Nguồn chưa xác định; ","")))</f>
        <v/>
      </c>
      <c r="V2786" s="22">
        <f>IF(OR($D2786="",$R2786="Trùng"),"",IF(COUNTIF(ORDERS!$C$2:$C$4995,$D2786)&gt;0,"Có","Không"))</f>
        <v/>
      </c>
      <c r="W2786" s="22">
        <f>IF(OR($D2786="",$R2786="Trùng"),"",COUNTIFS(ORDERS!$C$2:$C$4995,$D2786,ORDERS!$L$2:$L$4995,"Đã chuyển khoản"))</f>
        <v/>
      </c>
      <c r="X2786" s="23">
        <f>IF(OR($D2786="",$R2786="Trùng"),"",SUMIFS(ORDERS!$J$2:$J$4995,ORDERS!$C$2:$C$4995,$D2786,ORDERS!$L$2:$L$4995,"Đã chuyển khoản"))</f>
        <v/>
      </c>
      <c r="Y2786" s="24" t="n"/>
    </row>
    <row r="2787" ht="14.25" customHeight="1" s="40">
      <c r="A2787" s="24" t="n"/>
      <c r="B2787" s="27" t="n"/>
      <c r="C2787" s="24" t="n"/>
      <c r="D2787" s="28" t="n"/>
      <c r="E2787" s="29" t="n"/>
      <c r="F2787" s="24" t="n"/>
      <c r="G2787" s="24" t="n"/>
      <c r="H2787" s="21">
        <f>IF(ISNUMBER($B2787),INT($B2787)-WEEKDAY($B2787,2)+1,"")</f>
        <v/>
      </c>
      <c r="I2787" s="24" t="n"/>
      <c r="J2787" s="22">
        <f t="array" ref="J2787">IF($D2787="","",IF($I2787="","(trống REF)",IFERROR(INDEX(MASTER_SOURCE!$B$2:$B$495,MATCH($I2787,MASTER_SOURCE!$A$2:$A$495,0)),"(REF không có trong MASTER_SOURCE)")))</f>
        <v/>
      </c>
      <c r="K2787" s="22">
        <f t="array" ref="K2787">IF($D2787="","",IFERROR(INDEX(MASTER_SOURCE!$C$2:$C$495,MATCH($I2787,MASTER_SOURCE!$A$2:$A$495,0)),""))</f>
        <v/>
      </c>
      <c r="L2787" s="22">
        <f t="array" ref="L2787">IF($D2787="","",IFERROR(INDEX(MASTER_SOURCE!$D$2:$D$495,MATCH($I2787,MASTER_SOURCE!$A$2:$A$495,0)),""))</f>
        <v/>
      </c>
      <c r="M2787" s="24" t="n"/>
      <c r="N2787" s="24" t="n"/>
      <c r="O2787" s="24" t="n"/>
      <c r="P2787" s="24" t="n"/>
      <c r="Q2787" s="22">
        <f>IF($D2787="","",IF(AND(OR(DANH_MUC!$L$5&lt;&gt;"Có",M2787="Có"),OR(DANH_MUC!$L$6&lt;&gt;"Có",N2787="Có"),OR(DANH_MUC!$L$7&lt;&gt;"Có",O2787="Có"),OR(DANH_MUC!$L$8&lt;&gt;"Có",P2787="Có")),"Có","Không"))</f>
        <v/>
      </c>
      <c r="R2787" s="22">
        <f>IF($D2787="","",IF(COUNTIF($D$2:$D2787,$D2787)&gt;1,"Trùng",""))</f>
        <v/>
      </c>
      <c r="S2787" s="22">
        <f>IF($D2787="","",IF(AND(LEN($D2787)=10,LEFT($D2787,1)="0",ISNUMBER(--$D2787)),"Có","Không"))</f>
        <v/>
      </c>
      <c r="T2787" s="22">
        <f>IF($D2787="","",IF(AND($C2787&lt;&gt;"",$Q2787="Có",$R2787="",$S2787="Có",AND($L2787&lt;&gt;"",OR($L2787&lt;&gt;"Chưa xác định",DANH_MUC!$L$9="Có"))),"Có","Không"))</f>
        <v/>
      </c>
      <c r="U2787" s="22">
        <f>IF(OR($D2787="",$T2787="Có"),"",IF($C2787="","Thiếu họ tên; ","")&amp;IF($S2787&lt;&gt;"Có","SĐT sai định dạng; ","")&amp;IF($R2787="Trùng","Trùng SĐT; ","")&amp;IF($Q2787&lt;&gt;"Có","Thiếu đồng ý bắt buộc; ","")&amp;IF($L2787="","Thiếu/sai Mã REF; ",IF(AND($L2787="Chưa xác định",DANH_MUC!$L$9&lt;&gt;"Có"),"Nguồn chưa xác định; ","")))</f>
        <v/>
      </c>
      <c r="V2787" s="22">
        <f>IF(OR($D2787="",$R2787="Trùng"),"",IF(COUNTIF(ORDERS!$C$2:$C$4995,$D2787)&gt;0,"Có","Không"))</f>
        <v/>
      </c>
      <c r="W2787" s="22">
        <f>IF(OR($D2787="",$R2787="Trùng"),"",COUNTIFS(ORDERS!$C$2:$C$4995,$D2787,ORDERS!$L$2:$L$4995,"Đã chuyển khoản"))</f>
        <v/>
      </c>
      <c r="X2787" s="23">
        <f>IF(OR($D2787="",$R2787="Trùng"),"",SUMIFS(ORDERS!$J$2:$J$4995,ORDERS!$C$2:$C$4995,$D2787,ORDERS!$L$2:$L$4995,"Đã chuyển khoản"))</f>
        <v/>
      </c>
      <c r="Y2787" s="24" t="n"/>
    </row>
    <row r="2788" ht="14.25" customHeight="1" s="40">
      <c r="A2788" s="24" t="n"/>
      <c r="B2788" s="27" t="n"/>
      <c r="C2788" s="24" t="n"/>
      <c r="D2788" s="28" t="n"/>
      <c r="E2788" s="29" t="n"/>
      <c r="F2788" s="24" t="n"/>
      <c r="G2788" s="24" t="n"/>
      <c r="H2788" s="21">
        <f>IF(ISNUMBER($B2788),INT($B2788)-WEEKDAY($B2788,2)+1,"")</f>
        <v/>
      </c>
      <c r="I2788" s="24" t="n"/>
      <c r="J2788" s="22">
        <f t="array" ref="J2788">IF($D2788="","",IF($I2788="","(trống REF)",IFERROR(INDEX(MASTER_SOURCE!$B$2:$B$495,MATCH($I2788,MASTER_SOURCE!$A$2:$A$495,0)),"(REF không có trong MASTER_SOURCE)")))</f>
        <v/>
      </c>
      <c r="K2788" s="22">
        <f t="array" ref="K2788">IF($D2788="","",IFERROR(INDEX(MASTER_SOURCE!$C$2:$C$495,MATCH($I2788,MASTER_SOURCE!$A$2:$A$495,0)),""))</f>
        <v/>
      </c>
      <c r="L2788" s="22">
        <f t="array" ref="L2788">IF($D2788="","",IFERROR(INDEX(MASTER_SOURCE!$D$2:$D$495,MATCH($I2788,MASTER_SOURCE!$A$2:$A$495,0)),""))</f>
        <v/>
      </c>
      <c r="M2788" s="24" t="n"/>
      <c r="N2788" s="24" t="n"/>
      <c r="O2788" s="24" t="n"/>
      <c r="P2788" s="24" t="n"/>
      <c r="Q2788" s="22">
        <f>IF($D2788="","",IF(AND(OR(DANH_MUC!$L$5&lt;&gt;"Có",M2788="Có"),OR(DANH_MUC!$L$6&lt;&gt;"Có",N2788="Có"),OR(DANH_MUC!$L$7&lt;&gt;"Có",O2788="Có"),OR(DANH_MUC!$L$8&lt;&gt;"Có",P2788="Có")),"Có","Không"))</f>
        <v/>
      </c>
      <c r="R2788" s="22">
        <f>IF($D2788="","",IF(COUNTIF($D$2:$D2788,$D2788)&gt;1,"Trùng",""))</f>
        <v/>
      </c>
      <c r="S2788" s="22">
        <f>IF($D2788="","",IF(AND(LEN($D2788)=10,LEFT($D2788,1)="0",ISNUMBER(--$D2788)),"Có","Không"))</f>
        <v/>
      </c>
      <c r="T2788" s="22">
        <f>IF($D2788="","",IF(AND($C2788&lt;&gt;"",$Q2788="Có",$R2788="",$S2788="Có",AND($L2788&lt;&gt;"",OR($L2788&lt;&gt;"Chưa xác định",DANH_MUC!$L$9="Có"))),"Có","Không"))</f>
        <v/>
      </c>
      <c r="U2788" s="22">
        <f>IF(OR($D2788="",$T2788="Có"),"",IF($C2788="","Thiếu họ tên; ","")&amp;IF($S2788&lt;&gt;"Có","SĐT sai định dạng; ","")&amp;IF($R2788="Trùng","Trùng SĐT; ","")&amp;IF($Q2788&lt;&gt;"Có","Thiếu đồng ý bắt buộc; ","")&amp;IF($L2788="","Thiếu/sai Mã REF; ",IF(AND($L2788="Chưa xác định",DANH_MUC!$L$9&lt;&gt;"Có"),"Nguồn chưa xác định; ","")))</f>
        <v/>
      </c>
      <c r="V2788" s="22">
        <f>IF(OR($D2788="",$R2788="Trùng"),"",IF(COUNTIF(ORDERS!$C$2:$C$4995,$D2788)&gt;0,"Có","Không"))</f>
        <v/>
      </c>
      <c r="W2788" s="22">
        <f>IF(OR($D2788="",$R2788="Trùng"),"",COUNTIFS(ORDERS!$C$2:$C$4995,$D2788,ORDERS!$L$2:$L$4995,"Đã chuyển khoản"))</f>
        <v/>
      </c>
      <c r="X2788" s="23">
        <f>IF(OR($D2788="",$R2788="Trùng"),"",SUMIFS(ORDERS!$J$2:$J$4995,ORDERS!$C$2:$C$4995,$D2788,ORDERS!$L$2:$L$4995,"Đã chuyển khoản"))</f>
        <v/>
      </c>
      <c r="Y2788" s="24" t="n"/>
    </row>
    <row r="2789" ht="14.25" customHeight="1" s="40">
      <c r="A2789" s="24" t="n"/>
      <c r="B2789" s="27" t="n"/>
      <c r="C2789" s="24" t="n"/>
      <c r="D2789" s="28" t="n"/>
      <c r="E2789" s="29" t="n"/>
      <c r="F2789" s="24" t="n"/>
      <c r="G2789" s="24" t="n"/>
      <c r="H2789" s="21">
        <f>IF(ISNUMBER($B2789),INT($B2789)-WEEKDAY($B2789,2)+1,"")</f>
        <v/>
      </c>
      <c r="I2789" s="24" t="n"/>
      <c r="J2789" s="22">
        <f t="array" ref="J2789">IF($D2789="","",IF($I2789="","(trống REF)",IFERROR(INDEX(MASTER_SOURCE!$B$2:$B$495,MATCH($I2789,MASTER_SOURCE!$A$2:$A$495,0)),"(REF không có trong MASTER_SOURCE)")))</f>
        <v/>
      </c>
      <c r="K2789" s="22">
        <f t="array" ref="K2789">IF($D2789="","",IFERROR(INDEX(MASTER_SOURCE!$C$2:$C$495,MATCH($I2789,MASTER_SOURCE!$A$2:$A$495,0)),""))</f>
        <v/>
      </c>
      <c r="L2789" s="22">
        <f t="array" ref="L2789">IF($D2789="","",IFERROR(INDEX(MASTER_SOURCE!$D$2:$D$495,MATCH($I2789,MASTER_SOURCE!$A$2:$A$495,0)),""))</f>
        <v/>
      </c>
      <c r="M2789" s="24" t="n"/>
      <c r="N2789" s="24" t="n"/>
      <c r="O2789" s="24" t="n"/>
      <c r="P2789" s="24" t="n"/>
      <c r="Q2789" s="22">
        <f>IF($D2789="","",IF(AND(OR(DANH_MUC!$L$5&lt;&gt;"Có",M2789="Có"),OR(DANH_MUC!$L$6&lt;&gt;"Có",N2789="Có"),OR(DANH_MUC!$L$7&lt;&gt;"Có",O2789="Có"),OR(DANH_MUC!$L$8&lt;&gt;"Có",P2789="Có")),"Có","Không"))</f>
        <v/>
      </c>
      <c r="R2789" s="22">
        <f>IF($D2789="","",IF(COUNTIF($D$2:$D2789,$D2789)&gt;1,"Trùng",""))</f>
        <v/>
      </c>
      <c r="S2789" s="22">
        <f>IF($D2789="","",IF(AND(LEN($D2789)=10,LEFT($D2789,1)="0",ISNUMBER(--$D2789)),"Có","Không"))</f>
        <v/>
      </c>
      <c r="T2789" s="22">
        <f>IF($D2789="","",IF(AND($C2789&lt;&gt;"",$Q2789="Có",$R2789="",$S2789="Có",AND($L2789&lt;&gt;"",OR($L2789&lt;&gt;"Chưa xác định",DANH_MUC!$L$9="Có"))),"Có","Không"))</f>
        <v/>
      </c>
      <c r="U2789" s="22">
        <f>IF(OR($D2789="",$T2789="Có"),"",IF($C2789="","Thiếu họ tên; ","")&amp;IF($S2789&lt;&gt;"Có","SĐT sai định dạng; ","")&amp;IF($R2789="Trùng","Trùng SĐT; ","")&amp;IF($Q2789&lt;&gt;"Có","Thiếu đồng ý bắt buộc; ","")&amp;IF($L2789="","Thiếu/sai Mã REF; ",IF(AND($L2789="Chưa xác định",DANH_MUC!$L$9&lt;&gt;"Có"),"Nguồn chưa xác định; ","")))</f>
        <v/>
      </c>
      <c r="V2789" s="22">
        <f>IF(OR($D2789="",$R2789="Trùng"),"",IF(COUNTIF(ORDERS!$C$2:$C$4995,$D2789)&gt;0,"Có","Không"))</f>
        <v/>
      </c>
      <c r="W2789" s="22">
        <f>IF(OR($D2789="",$R2789="Trùng"),"",COUNTIFS(ORDERS!$C$2:$C$4995,$D2789,ORDERS!$L$2:$L$4995,"Đã chuyển khoản"))</f>
        <v/>
      </c>
      <c r="X2789" s="23">
        <f>IF(OR($D2789="",$R2789="Trùng"),"",SUMIFS(ORDERS!$J$2:$J$4995,ORDERS!$C$2:$C$4995,$D2789,ORDERS!$L$2:$L$4995,"Đã chuyển khoản"))</f>
        <v/>
      </c>
      <c r="Y2789" s="24" t="n"/>
    </row>
    <row r="2790" ht="14.25" customHeight="1" s="40">
      <c r="A2790" s="24" t="n"/>
      <c r="B2790" s="27" t="n"/>
      <c r="C2790" s="24" t="n"/>
      <c r="D2790" s="28" t="n"/>
      <c r="E2790" s="29" t="n"/>
      <c r="F2790" s="24" t="n"/>
      <c r="G2790" s="24" t="n"/>
      <c r="H2790" s="21">
        <f>IF(ISNUMBER($B2790),INT($B2790)-WEEKDAY($B2790,2)+1,"")</f>
        <v/>
      </c>
      <c r="I2790" s="24" t="n"/>
      <c r="J2790" s="22">
        <f t="array" ref="J2790">IF($D2790="","",IF($I2790="","(trống REF)",IFERROR(INDEX(MASTER_SOURCE!$B$2:$B$495,MATCH($I2790,MASTER_SOURCE!$A$2:$A$495,0)),"(REF không có trong MASTER_SOURCE)")))</f>
        <v/>
      </c>
      <c r="K2790" s="22">
        <f t="array" ref="K2790">IF($D2790="","",IFERROR(INDEX(MASTER_SOURCE!$C$2:$C$495,MATCH($I2790,MASTER_SOURCE!$A$2:$A$495,0)),""))</f>
        <v/>
      </c>
      <c r="L2790" s="22">
        <f t="array" ref="L2790">IF($D2790="","",IFERROR(INDEX(MASTER_SOURCE!$D$2:$D$495,MATCH($I2790,MASTER_SOURCE!$A$2:$A$495,0)),""))</f>
        <v/>
      </c>
      <c r="M2790" s="24" t="n"/>
      <c r="N2790" s="24" t="n"/>
      <c r="O2790" s="24" t="n"/>
      <c r="P2790" s="24" t="n"/>
      <c r="Q2790" s="22">
        <f>IF($D2790="","",IF(AND(OR(DANH_MUC!$L$5&lt;&gt;"Có",M2790="Có"),OR(DANH_MUC!$L$6&lt;&gt;"Có",N2790="Có"),OR(DANH_MUC!$L$7&lt;&gt;"Có",O2790="Có"),OR(DANH_MUC!$L$8&lt;&gt;"Có",P2790="Có")),"Có","Không"))</f>
        <v/>
      </c>
      <c r="R2790" s="22">
        <f>IF($D2790="","",IF(COUNTIF($D$2:$D2790,$D2790)&gt;1,"Trùng",""))</f>
        <v/>
      </c>
      <c r="S2790" s="22">
        <f>IF($D2790="","",IF(AND(LEN($D2790)=10,LEFT($D2790,1)="0",ISNUMBER(--$D2790)),"Có","Không"))</f>
        <v/>
      </c>
      <c r="T2790" s="22">
        <f>IF($D2790="","",IF(AND($C2790&lt;&gt;"",$Q2790="Có",$R2790="",$S2790="Có",AND($L2790&lt;&gt;"",OR($L2790&lt;&gt;"Chưa xác định",DANH_MUC!$L$9="Có"))),"Có","Không"))</f>
        <v/>
      </c>
      <c r="U2790" s="22">
        <f>IF(OR($D2790="",$T2790="Có"),"",IF($C2790="","Thiếu họ tên; ","")&amp;IF($S2790&lt;&gt;"Có","SĐT sai định dạng; ","")&amp;IF($R2790="Trùng","Trùng SĐT; ","")&amp;IF($Q2790&lt;&gt;"Có","Thiếu đồng ý bắt buộc; ","")&amp;IF($L2790="","Thiếu/sai Mã REF; ",IF(AND($L2790="Chưa xác định",DANH_MUC!$L$9&lt;&gt;"Có"),"Nguồn chưa xác định; ","")))</f>
        <v/>
      </c>
      <c r="V2790" s="22">
        <f>IF(OR($D2790="",$R2790="Trùng"),"",IF(COUNTIF(ORDERS!$C$2:$C$4995,$D2790)&gt;0,"Có","Không"))</f>
        <v/>
      </c>
      <c r="W2790" s="22">
        <f>IF(OR($D2790="",$R2790="Trùng"),"",COUNTIFS(ORDERS!$C$2:$C$4995,$D2790,ORDERS!$L$2:$L$4995,"Đã chuyển khoản"))</f>
        <v/>
      </c>
      <c r="X2790" s="23">
        <f>IF(OR($D2790="",$R2790="Trùng"),"",SUMIFS(ORDERS!$J$2:$J$4995,ORDERS!$C$2:$C$4995,$D2790,ORDERS!$L$2:$L$4995,"Đã chuyển khoản"))</f>
        <v/>
      </c>
      <c r="Y2790" s="24" t="n"/>
    </row>
    <row r="2791" ht="14.25" customHeight="1" s="40">
      <c r="A2791" s="24" t="n"/>
      <c r="B2791" s="27" t="n"/>
      <c r="C2791" s="24" t="n"/>
      <c r="D2791" s="28" t="n"/>
      <c r="E2791" s="29" t="n"/>
      <c r="F2791" s="24" t="n"/>
      <c r="G2791" s="24" t="n"/>
      <c r="H2791" s="21">
        <f>IF(ISNUMBER($B2791),INT($B2791)-WEEKDAY($B2791,2)+1,"")</f>
        <v/>
      </c>
      <c r="I2791" s="24" t="n"/>
      <c r="J2791" s="22">
        <f t="array" ref="J2791">IF($D2791="","",IF($I2791="","(trống REF)",IFERROR(INDEX(MASTER_SOURCE!$B$2:$B$495,MATCH($I2791,MASTER_SOURCE!$A$2:$A$495,0)),"(REF không có trong MASTER_SOURCE)")))</f>
        <v/>
      </c>
      <c r="K2791" s="22">
        <f t="array" ref="K2791">IF($D2791="","",IFERROR(INDEX(MASTER_SOURCE!$C$2:$C$495,MATCH($I2791,MASTER_SOURCE!$A$2:$A$495,0)),""))</f>
        <v/>
      </c>
      <c r="L2791" s="22">
        <f t="array" ref="L2791">IF($D2791="","",IFERROR(INDEX(MASTER_SOURCE!$D$2:$D$495,MATCH($I2791,MASTER_SOURCE!$A$2:$A$495,0)),""))</f>
        <v/>
      </c>
      <c r="M2791" s="24" t="n"/>
      <c r="N2791" s="24" t="n"/>
      <c r="O2791" s="24" t="n"/>
      <c r="P2791" s="24" t="n"/>
      <c r="Q2791" s="22">
        <f>IF($D2791="","",IF(AND(OR(DANH_MUC!$L$5&lt;&gt;"Có",M2791="Có"),OR(DANH_MUC!$L$6&lt;&gt;"Có",N2791="Có"),OR(DANH_MUC!$L$7&lt;&gt;"Có",O2791="Có"),OR(DANH_MUC!$L$8&lt;&gt;"Có",P2791="Có")),"Có","Không"))</f>
        <v/>
      </c>
      <c r="R2791" s="22">
        <f>IF($D2791="","",IF(COUNTIF($D$2:$D2791,$D2791)&gt;1,"Trùng",""))</f>
        <v/>
      </c>
      <c r="S2791" s="22">
        <f>IF($D2791="","",IF(AND(LEN($D2791)=10,LEFT($D2791,1)="0",ISNUMBER(--$D2791)),"Có","Không"))</f>
        <v/>
      </c>
      <c r="T2791" s="22">
        <f>IF($D2791="","",IF(AND($C2791&lt;&gt;"",$Q2791="Có",$R2791="",$S2791="Có",AND($L2791&lt;&gt;"",OR($L2791&lt;&gt;"Chưa xác định",DANH_MUC!$L$9="Có"))),"Có","Không"))</f>
        <v/>
      </c>
      <c r="U2791" s="22">
        <f>IF(OR($D2791="",$T2791="Có"),"",IF($C2791="","Thiếu họ tên; ","")&amp;IF($S2791&lt;&gt;"Có","SĐT sai định dạng; ","")&amp;IF($R2791="Trùng","Trùng SĐT; ","")&amp;IF($Q2791&lt;&gt;"Có","Thiếu đồng ý bắt buộc; ","")&amp;IF($L2791="","Thiếu/sai Mã REF; ",IF(AND($L2791="Chưa xác định",DANH_MUC!$L$9&lt;&gt;"Có"),"Nguồn chưa xác định; ","")))</f>
        <v/>
      </c>
      <c r="V2791" s="22">
        <f>IF(OR($D2791="",$R2791="Trùng"),"",IF(COUNTIF(ORDERS!$C$2:$C$4995,$D2791)&gt;0,"Có","Không"))</f>
        <v/>
      </c>
      <c r="W2791" s="22">
        <f>IF(OR($D2791="",$R2791="Trùng"),"",COUNTIFS(ORDERS!$C$2:$C$4995,$D2791,ORDERS!$L$2:$L$4995,"Đã chuyển khoản"))</f>
        <v/>
      </c>
      <c r="X2791" s="23">
        <f>IF(OR($D2791="",$R2791="Trùng"),"",SUMIFS(ORDERS!$J$2:$J$4995,ORDERS!$C$2:$C$4995,$D2791,ORDERS!$L$2:$L$4995,"Đã chuyển khoản"))</f>
        <v/>
      </c>
      <c r="Y2791" s="24" t="n"/>
    </row>
    <row r="2792" ht="14.25" customHeight="1" s="40">
      <c r="A2792" s="24" t="n"/>
      <c r="B2792" s="27" t="n"/>
      <c r="C2792" s="24" t="n"/>
      <c r="D2792" s="28" t="n"/>
      <c r="E2792" s="29" t="n"/>
      <c r="F2792" s="24" t="n"/>
      <c r="G2792" s="24" t="n"/>
      <c r="H2792" s="21">
        <f>IF(ISNUMBER($B2792),INT($B2792)-WEEKDAY($B2792,2)+1,"")</f>
        <v/>
      </c>
      <c r="I2792" s="24" t="n"/>
      <c r="J2792" s="22">
        <f t="array" ref="J2792">IF($D2792="","",IF($I2792="","(trống REF)",IFERROR(INDEX(MASTER_SOURCE!$B$2:$B$495,MATCH($I2792,MASTER_SOURCE!$A$2:$A$495,0)),"(REF không có trong MASTER_SOURCE)")))</f>
        <v/>
      </c>
      <c r="K2792" s="22">
        <f t="array" ref="K2792">IF($D2792="","",IFERROR(INDEX(MASTER_SOURCE!$C$2:$C$495,MATCH($I2792,MASTER_SOURCE!$A$2:$A$495,0)),""))</f>
        <v/>
      </c>
      <c r="L2792" s="22">
        <f t="array" ref="L2792">IF($D2792="","",IFERROR(INDEX(MASTER_SOURCE!$D$2:$D$495,MATCH($I2792,MASTER_SOURCE!$A$2:$A$495,0)),""))</f>
        <v/>
      </c>
      <c r="M2792" s="24" t="n"/>
      <c r="N2792" s="24" t="n"/>
      <c r="O2792" s="24" t="n"/>
      <c r="P2792" s="24" t="n"/>
      <c r="Q2792" s="22">
        <f>IF($D2792="","",IF(AND(OR(DANH_MUC!$L$5&lt;&gt;"Có",M2792="Có"),OR(DANH_MUC!$L$6&lt;&gt;"Có",N2792="Có"),OR(DANH_MUC!$L$7&lt;&gt;"Có",O2792="Có"),OR(DANH_MUC!$L$8&lt;&gt;"Có",P2792="Có")),"Có","Không"))</f>
        <v/>
      </c>
      <c r="R2792" s="22">
        <f>IF($D2792="","",IF(COUNTIF($D$2:$D2792,$D2792)&gt;1,"Trùng",""))</f>
        <v/>
      </c>
      <c r="S2792" s="22">
        <f>IF($D2792="","",IF(AND(LEN($D2792)=10,LEFT($D2792,1)="0",ISNUMBER(--$D2792)),"Có","Không"))</f>
        <v/>
      </c>
      <c r="T2792" s="22">
        <f>IF($D2792="","",IF(AND($C2792&lt;&gt;"",$Q2792="Có",$R2792="",$S2792="Có",AND($L2792&lt;&gt;"",OR($L2792&lt;&gt;"Chưa xác định",DANH_MUC!$L$9="Có"))),"Có","Không"))</f>
        <v/>
      </c>
      <c r="U2792" s="22">
        <f>IF(OR($D2792="",$T2792="Có"),"",IF($C2792="","Thiếu họ tên; ","")&amp;IF($S2792&lt;&gt;"Có","SĐT sai định dạng; ","")&amp;IF($R2792="Trùng","Trùng SĐT; ","")&amp;IF($Q2792&lt;&gt;"Có","Thiếu đồng ý bắt buộc; ","")&amp;IF($L2792="","Thiếu/sai Mã REF; ",IF(AND($L2792="Chưa xác định",DANH_MUC!$L$9&lt;&gt;"Có"),"Nguồn chưa xác định; ","")))</f>
        <v/>
      </c>
      <c r="V2792" s="22">
        <f>IF(OR($D2792="",$R2792="Trùng"),"",IF(COUNTIF(ORDERS!$C$2:$C$4995,$D2792)&gt;0,"Có","Không"))</f>
        <v/>
      </c>
      <c r="W2792" s="22">
        <f>IF(OR($D2792="",$R2792="Trùng"),"",COUNTIFS(ORDERS!$C$2:$C$4995,$D2792,ORDERS!$L$2:$L$4995,"Đã chuyển khoản"))</f>
        <v/>
      </c>
      <c r="X2792" s="23">
        <f>IF(OR($D2792="",$R2792="Trùng"),"",SUMIFS(ORDERS!$J$2:$J$4995,ORDERS!$C$2:$C$4995,$D2792,ORDERS!$L$2:$L$4995,"Đã chuyển khoản"))</f>
        <v/>
      </c>
      <c r="Y2792" s="24" t="n"/>
    </row>
    <row r="2793" ht="14.25" customHeight="1" s="40">
      <c r="A2793" s="24" t="n"/>
      <c r="B2793" s="27" t="n"/>
      <c r="C2793" s="24" t="n"/>
      <c r="D2793" s="28" t="n"/>
      <c r="E2793" s="29" t="n"/>
      <c r="F2793" s="24" t="n"/>
      <c r="G2793" s="24" t="n"/>
      <c r="H2793" s="21">
        <f>IF(ISNUMBER($B2793),INT($B2793)-WEEKDAY($B2793,2)+1,"")</f>
        <v/>
      </c>
      <c r="I2793" s="24" t="n"/>
      <c r="J2793" s="22">
        <f t="array" ref="J2793">IF($D2793="","",IF($I2793="","(trống REF)",IFERROR(INDEX(MASTER_SOURCE!$B$2:$B$495,MATCH($I2793,MASTER_SOURCE!$A$2:$A$495,0)),"(REF không có trong MASTER_SOURCE)")))</f>
        <v/>
      </c>
      <c r="K2793" s="22">
        <f t="array" ref="K2793">IF($D2793="","",IFERROR(INDEX(MASTER_SOURCE!$C$2:$C$495,MATCH($I2793,MASTER_SOURCE!$A$2:$A$495,0)),""))</f>
        <v/>
      </c>
      <c r="L2793" s="22">
        <f t="array" ref="L2793">IF($D2793="","",IFERROR(INDEX(MASTER_SOURCE!$D$2:$D$495,MATCH($I2793,MASTER_SOURCE!$A$2:$A$495,0)),""))</f>
        <v/>
      </c>
      <c r="M2793" s="24" t="n"/>
      <c r="N2793" s="24" t="n"/>
      <c r="O2793" s="24" t="n"/>
      <c r="P2793" s="24" t="n"/>
      <c r="Q2793" s="22">
        <f>IF($D2793="","",IF(AND(OR(DANH_MUC!$L$5&lt;&gt;"Có",M2793="Có"),OR(DANH_MUC!$L$6&lt;&gt;"Có",N2793="Có"),OR(DANH_MUC!$L$7&lt;&gt;"Có",O2793="Có"),OR(DANH_MUC!$L$8&lt;&gt;"Có",P2793="Có")),"Có","Không"))</f>
        <v/>
      </c>
      <c r="R2793" s="22">
        <f>IF($D2793="","",IF(COUNTIF($D$2:$D2793,$D2793)&gt;1,"Trùng",""))</f>
        <v/>
      </c>
      <c r="S2793" s="22">
        <f>IF($D2793="","",IF(AND(LEN($D2793)=10,LEFT($D2793,1)="0",ISNUMBER(--$D2793)),"Có","Không"))</f>
        <v/>
      </c>
      <c r="T2793" s="22">
        <f>IF($D2793="","",IF(AND($C2793&lt;&gt;"",$Q2793="Có",$R2793="",$S2793="Có",AND($L2793&lt;&gt;"",OR($L2793&lt;&gt;"Chưa xác định",DANH_MUC!$L$9="Có"))),"Có","Không"))</f>
        <v/>
      </c>
      <c r="U2793" s="22">
        <f>IF(OR($D2793="",$T2793="Có"),"",IF($C2793="","Thiếu họ tên; ","")&amp;IF($S2793&lt;&gt;"Có","SĐT sai định dạng; ","")&amp;IF($R2793="Trùng","Trùng SĐT; ","")&amp;IF($Q2793&lt;&gt;"Có","Thiếu đồng ý bắt buộc; ","")&amp;IF($L2793="","Thiếu/sai Mã REF; ",IF(AND($L2793="Chưa xác định",DANH_MUC!$L$9&lt;&gt;"Có"),"Nguồn chưa xác định; ","")))</f>
        <v/>
      </c>
      <c r="V2793" s="22">
        <f>IF(OR($D2793="",$R2793="Trùng"),"",IF(COUNTIF(ORDERS!$C$2:$C$4995,$D2793)&gt;0,"Có","Không"))</f>
        <v/>
      </c>
      <c r="W2793" s="22">
        <f>IF(OR($D2793="",$R2793="Trùng"),"",COUNTIFS(ORDERS!$C$2:$C$4995,$D2793,ORDERS!$L$2:$L$4995,"Đã chuyển khoản"))</f>
        <v/>
      </c>
      <c r="X2793" s="23">
        <f>IF(OR($D2793="",$R2793="Trùng"),"",SUMIFS(ORDERS!$J$2:$J$4995,ORDERS!$C$2:$C$4995,$D2793,ORDERS!$L$2:$L$4995,"Đã chuyển khoản"))</f>
        <v/>
      </c>
      <c r="Y2793" s="24" t="n"/>
    </row>
    <row r="2794" ht="14.25" customHeight="1" s="40">
      <c r="A2794" s="24" t="n"/>
      <c r="B2794" s="27" t="n"/>
      <c r="C2794" s="24" t="n"/>
      <c r="D2794" s="28" t="n"/>
      <c r="E2794" s="29" t="n"/>
      <c r="F2794" s="24" t="n"/>
      <c r="G2794" s="24" t="n"/>
      <c r="H2794" s="21">
        <f>IF(ISNUMBER($B2794),INT($B2794)-WEEKDAY($B2794,2)+1,"")</f>
        <v/>
      </c>
      <c r="I2794" s="24" t="n"/>
      <c r="J2794" s="22">
        <f t="array" ref="J2794">IF($D2794="","",IF($I2794="","(trống REF)",IFERROR(INDEX(MASTER_SOURCE!$B$2:$B$495,MATCH($I2794,MASTER_SOURCE!$A$2:$A$495,0)),"(REF không có trong MASTER_SOURCE)")))</f>
        <v/>
      </c>
      <c r="K2794" s="22">
        <f t="array" ref="K2794">IF($D2794="","",IFERROR(INDEX(MASTER_SOURCE!$C$2:$C$495,MATCH($I2794,MASTER_SOURCE!$A$2:$A$495,0)),""))</f>
        <v/>
      </c>
      <c r="L2794" s="22">
        <f t="array" ref="L2794">IF($D2794="","",IFERROR(INDEX(MASTER_SOURCE!$D$2:$D$495,MATCH($I2794,MASTER_SOURCE!$A$2:$A$495,0)),""))</f>
        <v/>
      </c>
      <c r="M2794" s="24" t="n"/>
      <c r="N2794" s="24" t="n"/>
      <c r="O2794" s="24" t="n"/>
      <c r="P2794" s="24" t="n"/>
      <c r="Q2794" s="22">
        <f>IF($D2794="","",IF(AND(OR(DANH_MUC!$L$5&lt;&gt;"Có",M2794="Có"),OR(DANH_MUC!$L$6&lt;&gt;"Có",N2794="Có"),OR(DANH_MUC!$L$7&lt;&gt;"Có",O2794="Có"),OR(DANH_MUC!$L$8&lt;&gt;"Có",P2794="Có")),"Có","Không"))</f>
        <v/>
      </c>
      <c r="R2794" s="22">
        <f>IF($D2794="","",IF(COUNTIF($D$2:$D2794,$D2794)&gt;1,"Trùng",""))</f>
        <v/>
      </c>
      <c r="S2794" s="22">
        <f>IF($D2794="","",IF(AND(LEN($D2794)=10,LEFT($D2794,1)="0",ISNUMBER(--$D2794)),"Có","Không"))</f>
        <v/>
      </c>
      <c r="T2794" s="22">
        <f>IF($D2794="","",IF(AND($C2794&lt;&gt;"",$Q2794="Có",$R2794="",$S2794="Có",AND($L2794&lt;&gt;"",OR($L2794&lt;&gt;"Chưa xác định",DANH_MUC!$L$9="Có"))),"Có","Không"))</f>
        <v/>
      </c>
      <c r="U2794" s="22">
        <f>IF(OR($D2794="",$T2794="Có"),"",IF($C2794="","Thiếu họ tên; ","")&amp;IF($S2794&lt;&gt;"Có","SĐT sai định dạng; ","")&amp;IF($R2794="Trùng","Trùng SĐT; ","")&amp;IF($Q2794&lt;&gt;"Có","Thiếu đồng ý bắt buộc; ","")&amp;IF($L2794="","Thiếu/sai Mã REF; ",IF(AND($L2794="Chưa xác định",DANH_MUC!$L$9&lt;&gt;"Có"),"Nguồn chưa xác định; ","")))</f>
        <v/>
      </c>
      <c r="V2794" s="22">
        <f>IF(OR($D2794="",$R2794="Trùng"),"",IF(COUNTIF(ORDERS!$C$2:$C$4995,$D2794)&gt;0,"Có","Không"))</f>
        <v/>
      </c>
      <c r="W2794" s="22">
        <f>IF(OR($D2794="",$R2794="Trùng"),"",COUNTIFS(ORDERS!$C$2:$C$4995,$D2794,ORDERS!$L$2:$L$4995,"Đã chuyển khoản"))</f>
        <v/>
      </c>
      <c r="X2794" s="23">
        <f>IF(OR($D2794="",$R2794="Trùng"),"",SUMIFS(ORDERS!$J$2:$J$4995,ORDERS!$C$2:$C$4995,$D2794,ORDERS!$L$2:$L$4995,"Đã chuyển khoản"))</f>
        <v/>
      </c>
      <c r="Y2794" s="24" t="n"/>
    </row>
    <row r="2795" ht="14.25" customHeight="1" s="40">
      <c r="A2795" s="24" t="n"/>
      <c r="B2795" s="27" t="n"/>
      <c r="C2795" s="24" t="n"/>
      <c r="D2795" s="28" t="n"/>
      <c r="E2795" s="29" t="n"/>
      <c r="F2795" s="24" t="n"/>
      <c r="G2795" s="24" t="n"/>
      <c r="H2795" s="21">
        <f>IF(ISNUMBER($B2795),INT($B2795)-WEEKDAY($B2795,2)+1,"")</f>
        <v/>
      </c>
      <c r="I2795" s="24" t="n"/>
      <c r="J2795" s="22">
        <f t="array" ref="J2795">IF($D2795="","",IF($I2795="","(trống REF)",IFERROR(INDEX(MASTER_SOURCE!$B$2:$B$495,MATCH($I2795,MASTER_SOURCE!$A$2:$A$495,0)),"(REF không có trong MASTER_SOURCE)")))</f>
        <v/>
      </c>
      <c r="K2795" s="22">
        <f t="array" ref="K2795">IF($D2795="","",IFERROR(INDEX(MASTER_SOURCE!$C$2:$C$495,MATCH($I2795,MASTER_SOURCE!$A$2:$A$495,0)),""))</f>
        <v/>
      </c>
      <c r="L2795" s="22">
        <f t="array" ref="L2795">IF($D2795="","",IFERROR(INDEX(MASTER_SOURCE!$D$2:$D$495,MATCH($I2795,MASTER_SOURCE!$A$2:$A$495,0)),""))</f>
        <v/>
      </c>
      <c r="M2795" s="24" t="n"/>
      <c r="N2795" s="24" t="n"/>
      <c r="O2795" s="24" t="n"/>
      <c r="P2795" s="24" t="n"/>
      <c r="Q2795" s="22">
        <f>IF($D2795="","",IF(AND(OR(DANH_MUC!$L$5&lt;&gt;"Có",M2795="Có"),OR(DANH_MUC!$L$6&lt;&gt;"Có",N2795="Có"),OR(DANH_MUC!$L$7&lt;&gt;"Có",O2795="Có"),OR(DANH_MUC!$L$8&lt;&gt;"Có",P2795="Có")),"Có","Không"))</f>
        <v/>
      </c>
      <c r="R2795" s="22">
        <f>IF($D2795="","",IF(COUNTIF($D$2:$D2795,$D2795)&gt;1,"Trùng",""))</f>
        <v/>
      </c>
      <c r="S2795" s="22">
        <f>IF($D2795="","",IF(AND(LEN($D2795)=10,LEFT($D2795,1)="0",ISNUMBER(--$D2795)),"Có","Không"))</f>
        <v/>
      </c>
      <c r="T2795" s="22">
        <f>IF($D2795="","",IF(AND($C2795&lt;&gt;"",$Q2795="Có",$R2795="",$S2795="Có",AND($L2795&lt;&gt;"",OR($L2795&lt;&gt;"Chưa xác định",DANH_MUC!$L$9="Có"))),"Có","Không"))</f>
        <v/>
      </c>
      <c r="U2795" s="22">
        <f>IF(OR($D2795="",$T2795="Có"),"",IF($C2795="","Thiếu họ tên; ","")&amp;IF($S2795&lt;&gt;"Có","SĐT sai định dạng; ","")&amp;IF($R2795="Trùng","Trùng SĐT; ","")&amp;IF($Q2795&lt;&gt;"Có","Thiếu đồng ý bắt buộc; ","")&amp;IF($L2795="","Thiếu/sai Mã REF; ",IF(AND($L2795="Chưa xác định",DANH_MUC!$L$9&lt;&gt;"Có"),"Nguồn chưa xác định; ","")))</f>
        <v/>
      </c>
      <c r="V2795" s="22">
        <f>IF(OR($D2795="",$R2795="Trùng"),"",IF(COUNTIF(ORDERS!$C$2:$C$4995,$D2795)&gt;0,"Có","Không"))</f>
        <v/>
      </c>
      <c r="W2795" s="22">
        <f>IF(OR($D2795="",$R2795="Trùng"),"",COUNTIFS(ORDERS!$C$2:$C$4995,$D2795,ORDERS!$L$2:$L$4995,"Đã chuyển khoản"))</f>
        <v/>
      </c>
      <c r="X2795" s="23">
        <f>IF(OR($D2795="",$R2795="Trùng"),"",SUMIFS(ORDERS!$J$2:$J$4995,ORDERS!$C$2:$C$4995,$D2795,ORDERS!$L$2:$L$4995,"Đã chuyển khoản"))</f>
        <v/>
      </c>
      <c r="Y2795" s="24" t="n"/>
    </row>
    <row r="2796" ht="14.25" customHeight="1" s="40">
      <c r="A2796" s="24" t="n"/>
      <c r="B2796" s="27" t="n"/>
      <c r="C2796" s="24" t="n"/>
      <c r="D2796" s="28" t="n"/>
      <c r="E2796" s="29" t="n"/>
      <c r="F2796" s="24" t="n"/>
      <c r="G2796" s="24" t="n"/>
      <c r="H2796" s="21">
        <f>IF(ISNUMBER($B2796),INT($B2796)-WEEKDAY($B2796,2)+1,"")</f>
        <v/>
      </c>
      <c r="I2796" s="24" t="n"/>
      <c r="J2796" s="22">
        <f t="array" ref="J2796">IF($D2796="","",IF($I2796="","(trống REF)",IFERROR(INDEX(MASTER_SOURCE!$B$2:$B$495,MATCH($I2796,MASTER_SOURCE!$A$2:$A$495,0)),"(REF không có trong MASTER_SOURCE)")))</f>
        <v/>
      </c>
      <c r="K2796" s="22">
        <f t="array" ref="K2796">IF($D2796="","",IFERROR(INDEX(MASTER_SOURCE!$C$2:$C$495,MATCH($I2796,MASTER_SOURCE!$A$2:$A$495,0)),""))</f>
        <v/>
      </c>
      <c r="L2796" s="22">
        <f t="array" ref="L2796">IF($D2796="","",IFERROR(INDEX(MASTER_SOURCE!$D$2:$D$495,MATCH($I2796,MASTER_SOURCE!$A$2:$A$495,0)),""))</f>
        <v/>
      </c>
      <c r="M2796" s="24" t="n"/>
      <c r="N2796" s="24" t="n"/>
      <c r="O2796" s="24" t="n"/>
      <c r="P2796" s="24" t="n"/>
      <c r="Q2796" s="22">
        <f>IF($D2796="","",IF(AND(OR(DANH_MUC!$L$5&lt;&gt;"Có",M2796="Có"),OR(DANH_MUC!$L$6&lt;&gt;"Có",N2796="Có"),OR(DANH_MUC!$L$7&lt;&gt;"Có",O2796="Có"),OR(DANH_MUC!$L$8&lt;&gt;"Có",P2796="Có")),"Có","Không"))</f>
        <v/>
      </c>
      <c r="R2796" s="22">
        <f>IF($D2796="","",IF(COUNTIF($D$2:$D2796,$D2796)&gt;1,"Trùng",""))</f>
        <v/>
      </c>
      <c r="S2796" s="22">
        <f>IF($D2796="","",IF(AND(LEN($D2796)=10,LEFT($D2796,1)="0",ISNUMBER(--$D2796)),"Có","Không"))</f>
        <v/>
      </c>
      <c r="T2796" s="22">
        <f>IF($D2796="","",IF(AND($C2796&lt;&gt;"",$Q2796="Có",$R2796="",$S2796="Có",AND($L2796&lt;&gt;"",OR($L2796&lt;&gt;"Chưa xác định",DANH_MUC!$L$9="Có"))),"Có","Không"))</f>
        <v/>
      </c>
      <c r="U2796" s="22">
        <f>IF(OR($D2796="",$T2796="Có"),"",IF($C2796="","Thiếu họ tên; ","")&amp;IF($S2796&lt;&gt;"Có","SĐT sai định dạng; ","")&amp;IF($R2796="Trùng","Trùng SĐT; ","")&amp;IF($Q2796&lt;&gt;"Có","Thiếu đồng ý bắt buộc; ","")&amp;IF($L2796="","Thiếu/sai Mã REF; ",IF(AND($L2796="Chưa xác định",DANH_MUC!$L$9&lt;&gt;"Có"),"Nguồn chưa xác định; ","")))</f>
        <v/>
      </c>
      <c r="V2796" s="22">
        <f>IF(OR($D2796="",$R2796="Trùng"),"",IF(COUNTIF(ORDERS!$C$2:$C$4995,$D2796)&gt;0,"Có","Không"))</f>
        <v/>
      </c>
      <c r="W2796" s="22">
        <f>IF(OR($D2796="",$R2796="Trùng"),"",COUNTIFS(ORDERS!$C$2:$C$4995,$D2796,ORDERS!$L$2:$L$4995,"Đã chuyển khoản"))</f>
        <v/>
      </c>
      <c r="X2796" s="23">
        <f>IF(OR($D2796="",$R2796="Trùng"),"",SUMIFS(ORDERS!$J$2:$J$4995,ORDERS!$C$2:$C$4995,$D2796,ORDERS!$L$2:$L$4995,"Đã chuyển khoản"))</f>
        <v/>
      </c>
      <c r="Y2796" s="24" t="n"/>
    </row>
    <row r="2797" ht="14.25" customHeight="1" s="40">
      <c r="A2797" s="24" t="n"/>
      <c r="B2797" s="27" t="n"/>
      <c r="C2797" s="24" t="n"/>
      <c r="D2797" s="28" t="n"/>
      <c r="E2797" s="29" t="n"/>
      <c r="F2797" s="24" t="n"/>
      <c r="G2797" s="24" t="n"/>
      <c r="H2797" s="21">
        <f>IF(ISNUMBER($B2797),INT($B2797)-WEEKDAY($B2797,2)+1,"")</f>
        <v/>
      </c>
      <c r="I2797" s="24" t="n"/>
      <c r="J2797" s="22">
        <f t="array" ref="J2797">IF($D2797="","",IF($I2797="","(trống REF)",IFERROR(INDEX(MASTER_SOURCE!$B$2:$B$495,MATCH($I2797,MASTER_SOURCE!$A$2:$A$495,0)),"(REF không có trong MASTER_SOURCE)")))</f>
        <v/>
      </c>
      <c r="K2797" s="22">
        <f t="array" ref="K2797">IF($D2797="","",IFERROR(INDEX(MASTER_SOURCE!$C$2:$C$495,MATCH($I2797,MASTER_SOURCE!$A$2:$A$495,0)),""))</f>
        <v/>
      </c>
      <c r="L2797" s="22">
        <f t="array" ref="L2797">IF($D2797="","",IFERROR(INDEX(MASTER_SOURCE!$D$2:$D$495,MATCH($I2797,MASTER_SOURCE!$A$2:$A$495,0)),""))</f>
        <v/>
      </c>
      <c r="M2797" s="24" t="n"/>
      <c r="N2797" s="24" t="n"/>
      <c r="O2797" s="24" t="n"/>
      <c r="P2797" s="24" t="n"/>
      <c r="Q2797" s="22">
        <f>IF($D2797="","",IF(AND(OR(DANH_MUC!$L$5&lt;&gt;"Có",M2797="Có"),OR(DANH_MUC!$L$6&lt;&gt;"Có",N2797="Có"),OR(DANH_MUC!$L$7&lt;&gt;"Có",O2797="Có"),OR(DANH_MUC!$L$8&lt;&gt;"Có",P2797="Có")),"Có","Không"))</f>
        <v/>
      </c>
      <c r="R2797" s="22">
        <f>IF($D2797="","",IF(COUNTIF($D$2:$D2797,$D2797)&gt;1,"Trùng",""))</f>
        <v/>
      </c>
      <c r="S2797" s="22">
        <f>IF($D2797="","",IF(AND(LEN($D2797)=10,LEFT($D2797,1)="0",ISNUMBER(--$D2797)),"Có","Không"))</f>
        <v/>
      </c>
      <c r="T2797" s="22">
        <f>IF($D2797="","",IF(AND($C2797&lt;&gt;"",$Q2797="Có",$R2797="",$S2797="Có",AND($L2797&lt;&gt;"",OR($L2797&lt;&gt;"Chưa xác định",DANH_MUC!$L$9="Có"))),"Có","Không"))</f>
        <v/>
      </c>
      <c r="U2797" s="22">
        <f>IF(OR($D2797="",$T2797="Có"),"",IF($C2797="","Thiếu họ tên; ","")&amp;IF($S2797&lt;&gt;"Có","SĐT sai định dạng; ","")&amp;IF($R2797="Trùng","Trùng SĐT; ","")&amp;IF($Q2797&lt;&gt;"Có","Thiếu đồng ý bắt buộc; ","")&amp;IF($L2797="","Thiếu/sai Mã REF; ",IF(AND($L2797="Chưa xác định",DANH_MUC!$L$9&lt;&gt;"Có"),"Nguồn chưa xác định; ","")))</f>
        <v/>
      </c>
      <c r="V2797" s="22">
        <f>IF(OR($D2797="",$R2797="Trùng"),"",IF(COUNTIF(ORDERS!$C$2:$C$4995,$D2797)&gt;0,"Có","Không"))</f>
        <v/>
      </c>
      <c r="W2797" s="22">
        <f>IF(OR($D2797="",$R2797="Trùng"),"",COUNTIFS(ORDERS!$C$2:$C$4995,$D2797,ORDERS!$L$2:$L$4995,"Đã chuyển khoản"))</f>
        <v/>
      </c>
      <c r="X2797" s="23">
        <f>IF(OR($D2797="",$R2797="Trùng"),"",SUMIFS(ORDERS!$J$2:$J$4995,ORDERS!$C$2:$C$4995,$D2797,ORDERS!$L$2:$L$4995,"Đã chuyển khoản"))</f>
        <v/>
      </c>
      <c r="Y2797" s="24" t="n"/>
    </row>
    <row r="2798" ht="14.25" customHeight="1" s="40">
      <c r="A2798" s="24" t="n"/>
      <c r="B2798" s="27" t="n"/>
      <c r="C2798" s="24" t="n"/>
      <c r="D2798" s="28" t="n"/>
      <c r="E2798" s="29" t="n"/>
      <c r="F2798" s="24" t="n"/>
      <c r="G2798" s="24" t="n"/>
      <c r="H2798" s="21">
        <f>IF(ISNUMBER($B2798),INT($B2798)-WEEKDAY($B2798,2)+1,"")</f>
        <v/>
      </c>
      <c r="I2798" s="24" t="n"/>
      <c r="J2798" s="22">
        <f t="array" ref="J2798">IF($D2798="","",IF($I2798="","(trống REF)",IFERROR(INDEX(MASTER_SOURCE!$B$2:$B$495,MATCH($I2798,MASTER_SOURCE!$A$2:$A$495,0)),"(REF không có trong MASTER_SOURCE)")))</f>
        <v/>
      </c>
      <c r="K2798" s="22">
        <f t="array" ref="K2798">IF($D2798="","",IFERROR(INDEX(MASTER_SOURCE!$C$2:$C$495,MATCH($I2798,MASTER_SOURCE!$A$2:$A$495,0)),""))</f>
        <v/>
      </c>
      <c r="L2798" s="22">
        <f t="array" ref="L2798">IF($D2798="","",IFERROR(INDEX(MASTER_SOURCE!$D$2:$D$495,MATCH($I2798,MASTER_SOURCE!$A$2:$A$495,0)),""))</f>
        <v/>
      </c>
      <c r="M2798" s="24" t="n"/>
      <c r="N2798" s="24" t="n"/>
      <c r="O2798" s="24" t="n"/>
      <c r="P2798" s="24" t="n"/>
      <c r="Q2798" s="22">
        <f>IF($D2798="","",IF(AND(OR(DANH_MUC!$L$5&lt;&gt;"Có",M2798="Có"),OR(DANH_MUC!$L$6&lt;&gt;"Có",N2798="Có"),OR(DANH_MUC!$L$7&lt;&gt;"Có",O2798="Có"),OR(DANH_MUC!$L$8&lt;&gt;"Có",P2798="Có")),"Có","Không"))</f>
        <v/>
      </c>
      <c r="R2798" s="22">
        <f>IF($D2798="","",IF(COUNTIF($D$2:$D2798,$D2798)&gt;1,"Trùng",""))</f>
        <v/>
      </c>
      <c r="S2798" s="22">
        <f>IF($D2798="","",IF(AND(LEN($D2798)=10,LEFT($D2798,1)="0",ISNUMBER(--$D2798)),"Có","Không"))</f>
        <v/>
      </c>
      <c r="T2798" s="22">
        <f>IF($D2798="","",IF(AND($C2798&lt;&gt;"",$Q2798="Có",$R2798="",$S2798="Có",AND($L2798&lt;&gt;"",OR($L2798&lt;&gt;"Chưa xác định",DANH_MUC!$L$9="Có"))),"Có","Không"))</f>
        <v/>
      </c>
      <c r="U2798" s="22">
        <f>IF(OR($D2798="",$T2798="Có"),"",IF($C2798="","Thiếu họ tên; ","")&amp;IF($S2798&lt;&gt;"Có","SĐT sai định dạng; ","")&amp;IF($R2798="Trùng","Trùng SĐT; ","")&amp;IF($Q2798&lt;&gt;"Có","Thiếu đồng ý bắt buộc; ","")&amp;IF($L2798="","Thiếu/sai Mã REF; ",IF(AND($L2798="Chưa xác định",DANH_MUC!$L$9&lt;&gt;"Có"),"Nguồn chưa xác định; ","")))</f>
        <v/>
      </c>
      <c r="V2798" s="22">
        <f>IF(OR($D2798="",$R2798="Trùng"),"",IF(COUNTIF(ORDERS!$C$2:$C$4995,$D2798)&gt;0,"Có","Không"))</f>
        <v/>
      </c>
      <c r="W2798" s="22">
        <f>IF(OR($D2798="",$R2798="Trùng"),"",COUNTIFS(ORDERS!$C$2:$C$4995,$D2798,ORDERS!$L$2:$L$4995,"Đã chuyển khoản"))</f>
        <v/>
      </c>
      <c r="X2798" s="23">
        <f>IF(OR($D2798="",$R2798="Trùng"),"",SUMIFS(ORDERS!$J$2:$J$4995,ORDERS!$C$2:$C$4995,$D2798,ORDERS!$L$2:$L$4995,"Đã chuyển khoản"))</f>
        <v/>
      </c>
      <c r="Y2798" s="24" t="n"/>
    </row>
    <row r="2799" ht="14.25" customHeight="1" s="40">
      <c r="A2799" s="24" t="n"/>
      <c r="B2799" s="27" t="n"/>
      <c r="C2799" s="24" t="n"/>
      <c r="D2799" s="28" t="n"/>
      <c r="E2799" s="29" t="n"/>
      <c r="F2799" s="24" t="n"/>
      <c r="G2799" s="24" t="n"/>
      <c r="H2799" s="21">
        <f>IF(ISNUMBER($B2799),INT($B2799)-WEEKDAY($B2799,2)+1,"")</f>
        <v/>
      </c>
      <c r="I2799" s="24" t="n"/>
      <c r="J2799" s="22">
        <f t="array" ref="J2799">IF($D2799="","",IF($I2799="","(trống REF)",IFERROR(INDEX(MASTER_SOURCE!$B$2:$B$495,MATCH($I2799,MASTER_SOURCE!$A$2:$A$495,0)),"(REF không có trong MASTER_SOURCE)")))</f>
        <v/>
      </c>
      <c r="K2799" s="22">
        <f t="array" ref="K2799">IF($D2799="","",IFERROR(INDEX(MASTER_SOURCE!$C$2:$C$495,MATCH($I2799,MASTER_SOURCE!$A$2:$A$495,0)),""))</f>
        <v/>
      </c>
      <c r="L2799" s="22">
        <f t="array" ref="L2799">IF($D2799="","",IFERROR(INDEX(MASTER_SOURCE!$D$2:$D$495,MATCH($I2799,MASTER_SOURCE!$A$2:$A$495,0)),""))</f>
        <v/>
      </c>
      <c r="M2799" s="24" t="n"/>
      <c r="N2799" s="24" t="n"/>
      <c r="O2799" s="24" t="n"/>
      <c r="P2799" s="24" t="n"/>
      <c r="Q2799" s="22">
        <f>IF($D2799="","",IF(AND(OR(DANH_MUC!$L$5&lt;&gt;"Có",M2799="Có"),OR(DANH_MUC!$L$6&lt;&gt;"Có",N2799="Có"),OR(DANH_MUC!$L$7&lt;&gt;"Có",O2799="Có"),OR(DANH_MUC!$L$8&lt;&gt;"Có",P2799="Có")),"Có","Không"))</f>
        <v/>
      </c>
      <c r="R2799" s="22">
        <f>IF($D2799="","",IF(COUNTIF($D$2:$D2799,$D2799)&gt;1,"Trùng",""))</f>
        <v/>
      </c>
      <c r="S2799" s="22">
        <f>IF($D2799="","",IF(AND(LEN($D2799)=10,LEFT($D2799,1)="0",ISNUMBER(--$D2799)),"Có","Không"))</f>
        <v/>
      </c>
      <c r="T2799" s="22">
        <f>IF($D2799="","",IF(AND($C2799&lt;&gt;"",$Q2799="Có",$R2799="",$S2799="Có",AND($L2799&lt;&gt;"",OR($L2799&lt;&gt;"Chưa xác định",DANH_MUC!$L$9="Có"))),"Có","Không"))</f>
        <v/>
      </c>
      <c r="U2799" s="22">
        <f>IF(OR($D2799="",$T2799="Có"),"",IF($C2799="","Thiếu họ tên; ","")&amp;IF($S2799&lt;&gt;"Có","SĐT sai định dạng; ","")&amp;IF($R2799="Trùng","Trùng SĐT; ","")&amp;IF($Q2799&lt;&gt;"Có","Thiếu đồng ý bắt buộc; ","")&amp;IF($L2799="","Thiếu/sai Mã REF; ",IF(AND($L2799="Chưa xác định",DANH_MUC!$L$9&lt;&gt;"Có"),"Nguồn chưa xác định; ","")))</f>
        <v/>
      </c>
      <c r="V2799" s="22">
        <f>IF(OR($D2799="",$R2799="Trùng"),"",IF(COUNTIF(ORDERS!$C$2:$C$4995,$D2799)&gt;0,"Có","Không"))</f>
        <v/>
      </c>
      <c r="W2799" s="22">
        <f>IF(OR($D2799="",$R2799="Trùng"),"",COUNTIFS(ORDERS!$C$2:$C$4995,$D2799,ORDERS!$L$2:$L$4995,"Đã chuyển khoản"))</f>
        <v/>
      </c>
      <c r="X2799" s="23">
        <f>IF(OR($D2799="",$R2799="Trùng"),"",SUMIFS(ORDERS!$J$2:$J$4995,ORDERS!$C$2:$C$4995,$D2799,ORDERS!$L$2:$L$4995,"Đã chuyển khoản"))</f>
        <v/>
      </c>
      <c r="Y2799" s="24" t="n"/>
    </row>
    <row r="2800" ht="14.25" customHeight="1" s="40">
      <c r="A2800" s="24" t="n"/>
      <c r="B2800" s="27" t="n"/>
      <c r="C2800" s="24" t="n"/>
      <c r="D2800" s="28" t="n"/>
      <c r="E2800" s="29" t="n"/>
      <c r="F2800" s="24" t="n"/>
      <c r="G2800" s="24" t="n"/>
      <c r="H2800" s="21">
        <f>IF(ISNUMBER($B2800),INT($B2800)-WEEKDAY($B2800,2)+1,"")</f>
        <v/>
      </c>
      <c r="I2800" s="24" t="n"/>
      <c r="J2800" s="22">
        <f t="array" ref="J2800">IF($D2800="","",IF($I2800="","(trống REF)",IFERROR(INDEX(MASTER_SOURCE!$B$2:$B$495,MATCH($I2800,MASTER_SOURCE!$A$2:$A$495,0)),"(REF không có trong MASTER_SOURCE)")))</f>
        <v/>
      </c>
      <c r="K2800" s="22">
        <f t="array" ref="K2800">IF($D2800="","",IFERROR(INDEX(MASTER_SOURCE!$C$2:$C$495,MATCH($I2800,MASTER_SOURCE!$A$2:$A$495,0)),""))</f>
        <v/>
      </c>
      <c r="L2800" s="22">
        <f t="array" ref="L2800">IF($D2800="","",IFERROR(INDEX(MASTER_SOURCE!$D$2:$D$495,MATCH($I2800,MASTER_SOURCE!$A$2:$A$495,0)),""))</f>
        <v/>
      </c>
      <c r="M2800" s="24" t="n"/>
      <c r="N2800" s="24" t="n"/>
      <c r="O2800" s="24" t="n"/>
      <c r="P2800" s="24" t="n"/>
      <c r="Q2800" s="22">
        <f>IF($D2800="","",IF(AND(OR(DANH_MUC!$L$5&lt;&gt;"Có",M2800="Có"),OR(DANH_MUC!$L$6&lt;&gt;"Có",N2800="Có"),OR(DANH_MUC!$L$7&lt;&gt;"Có",O2800="Có"),OR(DANH_MUC!$L$8&lt;&gt;"Có",P2800="Có")),"Có","Không"))</f>
        <v/>
      </c>
      <c r="R2800" s="22">
        <f>IF($D2800="","",IF(COUNTIF($D$2:$D2800,$D2800)&gt;1,"Trùng",""))</f>
        <v/>
      </c>
      <c r="S2800" s="22">
        <f>IF($D2800="","",IF(AND(LEN($D2800)=10,LEFT($D2800,1)="0",ISNUMBER(--$D2800)),"Có","Không"))</f>
        <v/>
      </c>
      <c r="T2800" s="22">
        <f>IF($D2800="","",IF(AND($C2800&lt;&gt;"",$Q2800="Có",$R2800="",$S2800="Có",AND($L2800&lt;&gt;"",OR($L2800&lt;&gt;"Chưa xác định",DANH_MUC!$L$9="Có"))),"Có","Không"))</f>
        <v/>
      </c>
      <c r="U2800" s="22">
        <f>IF(OR($D2800="",$T2800="Có"),"",IF($C2800="","Thiếu họ tên; ","")&amp;IF($S2800&lt;&gt;"Có","SĐT sai định dạng; ","")&amp;IF($R2800="Trùng","Trùng SĐT; ","")&amp;IF($Q2800&lt;&gt;"Có","Thiếu đồng ý bắt buộc; ","")&amp;IF($L2800="","Thiếu/sai Mã REF; ",IF(AND($L2800="Chưa xác định",DANH_MUC!$L$9&lt;&gt;"Có"),"Nguồn chưa xác định; ","")))</f>
        <v/>
      </c>
      <c r="V2800" s="22">
        <f>IF(OR($D2800="",$R2800="Trùng"),"",IF(COUNTIF(ORDERS!$C$2:$C$4995,$D2800)&gt;0,"Có","Không"))</f>
        <v/>
      </c>
      <c r="W2800" s="22">
        <f>IF(OR($D2800="",$R2800="Trùng"),"",COUNTIFS(ORDERS!$C$2:$C$4995,$D2800,ORDERS!$L$2:$L$4995,"Đã chuyển khoản"))</f>
        <v/>
      </c>
      <c r="X2800" s="23">
        <f>IF(OR($D2800="",$R2800="Trùng"),"",SUMIFS(ORDERS!$J$2:$J$4995,ORDERS!$C$2:$C$4995,$D2800,ORDERS!$L$2:$L$4995,"Đã chuyển khoản"))</f>
        <v/>
      </c>
      <c r="Y2800" s="24" t="n"/>
    </row>
    <row r="2801" ht="14.25" customHeight="1" s="40">
      <c r="A2801" s="24" t="n"/>
      <c r="B2801" s="27" t="n"/>
      <c r="C2801" s="24" t="n"/>
      <c r="D2801" s="28" t="n"/>
      <c r="E2801" s="29" t="n"/>
      <c r="F2801" s="24" t="n"/>
      <c r="G2801" s="24" t="n"/>
      <c r="H2801" s="21">
        <f>IF(ISNUMBER($B2801),INT($B2801)-WEEKDAY($B2801,2)+1,"")</f>
        <v/>
      </c>
      <c r="I2801" s="24" t="n"/>
      <c r="J2801" s="22">
        <f t="array" ref="J2801">IF($D2801="","",IF($I2801="","(trống REF)",IFERROR(INDEX(MASTER_SOURCE!$B$2:$B$495,MATCH($I2801,MASTER_SOURCE!$A$2:$A$495,0)),"(REF không có trong MASTER_SOURCE)")))</f>
        <v/>
      </c>
      <c r="K2801" s="22">
        <f t="array" ref="K2801">IF($D2801="","",IFERROR(INDEX(MASTER_SOURCE!$C$2:$C$495,MATCH($I2801,MASTER_SOURCE!$A$2:$A$495,0)),""))</f>
        <v/>
      </c>
      <c r="L2801" s="22">
        <f t="array" ref="L2801">IF($D2801="","",IFERROR(INDEX(MASTER_SOURCE!$D$2:$D$495,MATCH($I2801,MASTER_SOURCE!$A$2:$A$495,0)),""))</f>
        <v/>
      </c>
      <c r="M2801" s="24" t="n"/>
      <c r="N2801" s="24" t="n"/>
      <c r="O2801" s="24" t="n"/>
      <c r="P2801" s="24" t="n"/>
      <c r="Q2801" s="22">
        <f>IF($D2801="","",IF(AND(OR(DANH_MUC!$L$5&lt;&gt;"Có",M2801="Có"),OR(DANH_MUC!$L$6&lt;&gt;"Có",N2801="Có"),OR(DANH_MUC!$L$7&lt;&gt;"Có",O2801="Có"),OR(DANH_MUC!$L$8&lt;&gt;"Có",P2801="Có")),"Có","Không"))</f>
        <v/>
      </c>
      <c r="R2801" s="22">
        <f>IF($D2801="","",IF(COUNTIF($D$2:$D2801,$D2801)&gt;1,"Trùng",""))</f>
        <v/>
      </c>
      <c r="S2801" s="22">
        <f>IF($D2801="","",IF(AND(LEN($D2801)=10,LEFT($D2801,1)="0",ISNUMBER(--$D2801)),"Có","Không"))</f>
        <v/>
      </c>
      <c r="T2801" s="22">
        <f>IF($D2801="","",IF(AND($C2801&lt;&gt;"",$Q2801="Có",$R2801="",$S2801="Có",AND($L2801&lt;&gt;"",OR($L2801&lt;&gt;"Chưa xác định",DANH_MUC!$L$9="Có"))),"Có","Không"))</f>
        <v/>
      </c>
      <c r="U2801" s="22">
        <f>IF(OR($D2801="",$T2801="Có"),"",IF($C2801="","Thiếu họ tên; ","")&amp;IF($S2801&lt;&gt;"Có","SĐT sai định dạng; ","")&amp;IF($R2801="Trùng","Trùng SĐT; ","")&amp;IF($Q2801&lt;&gt;"Có","Thiếu đồng ý bắt buộc; ","")&amp;IF($L2801="","Thiếu/sai Mã REF; ",IF(AND($L2801="Chưa xác định",DANH_MUC!$L$9&lt;&gt;"Có"),"Nguồn chưa xác định; ","")))</f>
        <v/>
      </c>
      <c r="V2801" s="22">
        <f>IF(OR($D2801="",$R2801="Trùng"),"",IF(COUNTIF(ORDERS!$C$2:$C$4995,$D2801)&gt;0,"Có","Không"))</f>
        <v/>
      </c>
      <c r="W2801" s="22">
        <f>IF(OR($D2801="",$R2801="Trùng"),"",COUNTIFS(ORDERS!$C$2:$C$4995,$D2801,ORDERS!$L$2:$L$4995,"Đã chuyển khoản"))</f>
        <v/>
      </c>
      <c r="X2801" s="23">
        <f>IF(OR($D2801="",$R2801="Trùng"),"",SUMIFS(ORDERS!$J$2:$J$4995,ORDERS!$C$2:$C$4995,$D2801,ORDERS!$L$2:$L$4995,"Đã chuyển khoản"))</f>
        <v/>
      </c>
      <c r="Y2801" s="24" t="n"/>
    </row>
    <row r="2802" ht="14.25" customHeight="1" s="40">
      <c r="A2802" s="24" t="n"/>
      <c r="B2802" s="27" t="n"/>
      <c r="C2802" s="24" t="n"/>
      <c r="D2802" s="28" t="n"/>
      <c r="E2802" s="29" t="n"/>
      <c r="F2802" s="24" t="n"/>
      <c r="G2802" s="24" t="n"/>
      <c r="H2802" s="21">
        <f>IF(ISNUMBER($B2802),INT($B2802)-WEEKDAY($B2802,2)+1,"")</f>
        <v/>
      </c>
      <c r="I2802" s="24" t="n"/>
      <c r="J2802" s="22">
        <f t="array" ref="J2802">IF($D2802="","",IF($I2802="","(trống REF)",IFERROR(INDEX(MASTER_SOURCE!$B$2:$B$495,MATCH($I2802,MASTER_SOURCE!$A$2:$A$495,0)),"(REF không có trong MASTER_SOURCE)")))</f>
        <v/>
      </c>
      <c r="K2802" s="22">
        <f t="array" ref="K2802">IF($D2802="","",IFERROR(INDEX(MASTER_SOURCE!$C$2:$C$495,MATCH($I2802,MASTER_SOURCE!$A$2:$A$495,0)),""))</f>
        <v/>
      </c>
      <c r="L2802" s="22">
        <f t="array" ref="L2802">IF($D2802="","",IFERROR(INDEX(MASTER_SOURCE!$D$2:$D$495,MATCH($I2802,MASTER_SOURCE!$A$2:$A$495,0)),""))</f>
        <v/>
      </c>
      <c r="M2802" s="24" t="n"/>
      <c r="N2802" s="24" t="n"/>
      <c r="O2802" s="24" t="n"/>
      <c r="P2802" s="24" t="n"/>
      <c r="Q2802" s="22">
        <f>IF($D2802="","",IF(AND(OR(DANH_MUC!$L$5&lt;&gt;"Có",M2802="Có"),OR(DANH_MUC!$L$6&lt;&gt;"Có",N2802="Có"),OR(DANH_MUC!$L$7&lt;&gt;"Có",O2802="Có"),OR(DANH_MUC!$L$8&lt;&gt;"Có",P2802="Có")),"Có","Không"))</f>
        <v/>
      </c>
      <c r="R2802" s="22">
        <f>IF($D2802="","",IF(COUNTIF($D$2:$D2802,$D2802)&gt;1,"Trùng",""))</f>
        <v/>
      </c>
      <c r="S2802" s="22">
        <f>IF($D2802="","",IF(AND(LEN($D2802)=10,LEFT($D2802,1)="0",ISNUMBER(--$D2802)),"Có","Không"))</f>
        <v/>
      </c>
      <c r="T2802" s="22">
        <f>IF($D2802="","",IF(AND($C2802&lt;&gt;"",$Q2802="Có",$R2802="",$S2802="Có",AND($L2802&lt;&gt;"",OR($L2802&lt;&gt;"Chưa xác định",DANH_MUC!$L$9="Có"))),"Có","Không"))</f>
        <v/>
      </c>
      <c r="U2802" s="22">
        <f>IF(OR($D2802="",$T2802="Có"),"",IF($C2802="","Thiếu họ tên; ","")&amp;IF($S2802&lt;&gt;"Có","SĐT sai định dạng; ","")&amp;IF($R2802="Trùng","Trùng SĐT; ","")&amp;IF($Q2802&lt;&gt;"Có","Thiếu đồng ý bắt buộc; ","")&amp;IF($L2802="","Thiếu/sai Mã REF; ",IF(AND($L2802="Chưa xác định",DANH_MUC!$L$9&lt;&gt;"Có"),"Nguồn chưa xác định; ","")))</f>
        <v/>
      </c>
      <c r="V2802" s="22">
        <f>IF(OR($D2802="",$R2802="Trùng"),"",IF(COUNTIF(ORDERS!$C$2:$C$4995,$D2802)&gt;0,"Có","Không"))</f>
        <v/>
      </c>
      <c r="W2802" s="22">
        <f>IF(OR($D2802="",$R2802="Trùng"),"",COUNTIFS(ORDERS!$C$2:$C$4995,$D2802,ORDERS!$L$2:$L$4995,"Đã chuyển khoản"))</f>
        <v/>
      </c>
      <c r="X2802" s="23">
        <f>IF(OR($D2802="",$R2802="Trùng"),"",SUMIFS(ORDERS!$J$2:$J$4995,ORDERS!$C$2:$C$4995,$D2802,ORDERS!$L$2:$L$4995,"Đã chuyển khoản"))</f>
        <v/>
      </c>
      <c r="Y2802" s="24" t="n"/>
    </row>
    <row r="2803" ht="14.25" customHeight="1" s="40">
      <c r="A2803" s="24" t="n"/>
      <c r="B2803" s="27" t="n"/>
      <c r="C2803" s="24" t="n"/>
      <c r="D2803" s="28" t="n"/>
      <c r="E2803" s="29" t="n"/>
      <c r="F2803" s="24" t="n"/>
      <c r="G2803" s="24" t="n"/>
      <c r="H2803" s="21">
        <f>IF(ISNUMBER($B2803),INT($B2803)-WEEKDAY($B2803,2)+1,"")</f>
        <v/>
      </c>
      <c r="I2803" s="24" t="n"/>
      <c r="J2803" s="22">
        <f t="array" ref="J2803">IF($D2803="","",IF($I2803="","(trống REF)",IFERROR(INDEX(MASTER_SOURCE!$B$2:$B$495,MATCH($I2803,MASTER_SOURCE!$A$2:$A$495,0)),"(REF không có trong MASTER_SOURCE)")))</f>
        <v/>
      </c>
      <c r="K2803" s="22">
        <f t="array" ref="K2803">IF($D2803="","",IFERROR(INDEX(MASTER_SOURCE!$C$2:$C$495,MATCH($I2803,MASTER_SOURCE!$A$2:$A$495,0)),""))</f>
        <v/>
      </c>
      <c r="L2803" s="22">
        <f t="array" ref="L2803">IF($D2803="","",IFERROR(INDEX(MASTER_SOURCE!$D$2:$D$495,MATCH($I2803,MASTER_SOURCE!$A$2:$A$495,0)),""))</f>
        <v/>
      </c>
      <c r="M2803" s="24" t="n"/>
      <c r="N2803" s="24" t="n"/>
      <c r="O2803" s="24" t="n"/>
      <c r="P2803" s="24" t="n"/>
      <c r="Q2803" s="22">
        <f>IF($D2803="","",IF(AND(OR(DANH_MUC!$L$5&lt;&gt;"Có",M2803="Có"),OR(DANH_MUC!$L$6&lt;&gt;"Có",N2803="Có"),OR(DANH_MUC!$L$7&lt;&gt;"Có",O2803="Có"),OR(DANH_MUC!$L$8&lt;&gt;"Có",P2803="Có")),"Có","Không"))</f>
        <v/>
      </c>
      <c r="R2803" s="22">
        <f>IF($D2803="","",IF(COUNTIF($D$2:$D2803,$D2803)&gt;1,"Trùng",""))</f>
        <v/>
      </c>
      <c r="S2803" s="22">
        <f>IF($D2803="","",IF(AND(LEN($D2803)=10,LEFT($D2803,1)="0",ISNUMBER(--$D2803)),"Có","Không"))</f>
        <v/>
      </c>
      <c r="T2803" s="22">
        <f>IF($D2803="","",IF(AND($C2803&lt;&gt;"",$Q2803="Có",$R2803="",$S2803="Có",AND($L2803&lt;&gt;"",OR($L2803&lt;&gt;"Chưa xác định",DANH_MUC!$L$9="Có"))),"Có","Không"))</f>
        <v/>
      </c>
      <c r="U2803" s="22">
        <f>IF(OR($D2803="",$T2803="Có"),"",IF($C2803="","Thiếu họ tên; ","")&amp;IF($S2803&lt;&gt;"Có","SĐT sai định dạng; ","")&amp;IF($R2803="Trùng","Trùng SĐT; ","")&amp;IF($Q2803&lt;&gt;"Có","Thiếu đồng ý bắt buộc; ","")&amp;IF($L2803="","Thiếu/sai Mã REF; ",IF(AND($L2803="Chưa xác định",DANH_MUC!$L$9&lt;&gt;"Có"),"Nguồn chưa xác định; ","")))</f>
        <v/>
      </c>
      <c r="V2803" s="22">
        <f>IF(OR($D2803="",$R2803="Trùng"),"",IF(COUNTIF(ORDERS!$C$2:$C$4995,$D2803)&gt;0,"Có","Không"))</f>
        <v/>
      </c>
      <c r="W2803" s="22">
        <f>IF(OR($D2803="",$R2803="Trùng"),"",COUNTIFS(ORDERS!$C$2:$C$4995,$D2803,ORDERS!$L$2:$L$4995,"Đã chuyển khoản"))</f>
        <v/>
      </c>
      <c r="X2803" s="23">
        <f>IF(OR($D2803="",$R2803="Trùng"),"",SUMIFS(ORDERS!$J$2:$J$4995,ORDERS!$C$2:$C$4995,$D2803,ORDERS!$L$2:$L$4995,"Đã chuyển khoản"))</f>
        <v/>
      </c>
      <c r="Y2803" s="24" t="n"/>
    </row>
    <row r="2804" ht="14.25" customHeight="1" s="40">
      <c r="A2804" s="24" t="n"/>
      <c r="B2804" s="27" t="n"/>
      <c r="C2804" s="24" t="n"/>
      <c r="D2804" s="28" t="n"/>
      <c r="E2804" s="29" t="n"/>
      <c r="F2804" s="24" t="n"/>
      <c r="G2804" s="24" t="n"/>
      <c r="H2804" s="21">
        <f>IF(ISNUMBER($B2804),INT($B2804)-WEEKDAY($B2804,2)+1,"")</f>
        <v/>
      </c>
      <c r="I2804" s="24" t="n"/>
      <c r="J2804" s="22">
        <f t="array" ref="J2804">IF($D2804="","",IF($I2804="","(trống REF)",IFERROR(INDEX(MASTER_SOURCE!$B$2:$B$495,MATCH($I2804,MASTER_SOURCE!$A$2:$A$495,0)),"(REF không có trong MASTER_SOURCE)")))</f>
        <v/>
      </c>
      <c r="K2804" s="22">
        <f t="array" ref="K2804">IF($D2804="","",IFERROR(INDEX(MASTER_SOURCE!$C$2:$C$495,MATCH($I2804,MASTER_SOURCE!$A$2:$A$495,0)),""))</f>
        <v/>
      </c>
      <c r="L2804" s="22">
        <f t="array" ref="L2804">IF($D2804="","",IFERROR(INDEX(MASTER_SOURCE!$D$2:$D$495,MATCH($I2804,MASTER_SOURCE!$A$2:$A$495,0)),""))</f>
        <v/>
      </c>
      <c r="M2804" s="24" t="n"/>
      <c r="N2804" s="24" t="n"/>
      <c r="O2804" s="24" t="n"/>
      <c r="P2804" s="24" t="n"/>
      <c r="Q2804" s="22">
        <f>IF($D2804="","",IF(AND(OR(DANH_MUC!$L$5&lt;&gt;"Có",M2804="Có"),OR(DANH_MUC!$L$6&lt;&gt;"Có",N2804="Có"),OR(DANH_MUC!$L$7&lt;&gt;"Có",O2804="Có"),OR(DANH_MUC!$L$8&lt;&gt;"Có",P2804="Có")),"Có","Không"))</f>
        <v/>
      </c>
      <c r="R2804" s="22">
        <f>IF($D2804="","",IF(COUNTIF($D$2:$D2804,$D2804)&gt;1,"Trùng",""))</f>
        <v/>
      </c>
      <c r="S2804" s="22">
        <f>IF($D2804="","",IF(AND(LEN($D2804)=10,LEFT($D2804,1)="0",ISNUMBER(--$D2804)),"Có","Không"))</f>
        <v/>
      </c>
      <c r="T2804" s="22">
        <f>IF($D2804="","",IF(AND($C2804&lt;&gt;"",$Q2804="Có",$R2804="",$S2804="Có",AND($L2804&lt;&gt;"",OR($L2804&lt;&gt;"Chưa xác định",DANH_MUC!$L$9="Có"))),"Có","Không"))</f>
        <v/>
      </c>
      <c r="U2804" s="22">
        <f>IF(OR($D2804="",$T2804="Có"),"",IF($C2804="","Thiếu họ tên; ","")&amp;IF($S2804&lt;&gt;"Có","SĐT sai định dạng; ","")&amp;IF($R2804="Trùng","Trùng SĐT; ","")&amp;IF($Q2804&lt;&gt;"Có","Thiếu đồng ý bắt buộc; ","")&amp;IF($L2804="","Thiếu/sai Mã REF; ",IF(AND($L2804="Chưa xác định",DANH_MUC!$L$9&lt;&gt;"Có"),"Nguồn chưa xác định; ","")))</f>
        <v/>
      </c>
      <c r="V2804" s="22">
        <f>IF(OR($D2804="",$R2804="Trùng"),"",IF(COUNTIF(ORDERS!$C$2:$C$4995,$D2804)&gt;0,"Có","Không"))</f>
        <v/>
      </c>
      <c r="W2804" s="22">
        <f>IF(OR($D2804="",$R2804="Trùng"),"",COUNTIFS(ORDERS!$C$2:$C$4995,$D2804,ORDERS!$L$2:$L$4995,"Đã chuyển khoản"))</f>
        <v/>
      </c>
      <c r="X2804" s="23">
        <f>IF(OR($D2804="",$R2804="Trùng"),"",SUMIFS(ORDERS!$J$2:$J$4995,ORDERS!$C$2:$C$4995,$D2804,ORDERS!$L$2:$L$4995,"Đã chuyển khoản"))</f>
        <v/>
      </c>
      <c r="Y2804" s="24" t="n"/>
    </row>
    <row r="2805" ht="14.25" customHeight="1" s="40">
      <c r="A2805" s="24" t="n"/>
      <c r="B2805" s="27" t="n"/>
      <c r="C2805" s="24" t="n"/>
      <c r="D2805" s="28" t="n"/>
      <c r="E2805" s="29" t="n"/>
      <c r="F2805" s="24" t="n"/>
      <c r="G2805" s="24" t="n"/>
      <c r="H2805" s="21">
        <f>IF(ISNUMBER($B2805),INT($B2805)-WEEKDAY($B2805,2)+1,"")</f>
        <v/>
      </c>
      <c r="I2805" s="24" t="n"/>
      <c r="J2805" s="22">
        <f t="array" ref="J2805">IF($D2805="","",IF($I2805="","(trống REF)",IFERROR(INDEX(MASTER_SOURCE!$B$2:$B$495,MATCH($I2805,MASTER_SOURCE!$A$2:$A$495,0)),"(REF không có trong MASTER_SOURCE)")))</f>
        <v/>
      </c>
      <c r="K2805" s="22">
        <f t="array" ref="K2805">IF($D2805="","",IFERROR(INDEX(MASTER_SOURCE!$C$2:$C$495,MATCH($I2805,MASTER_SOURCE!$A$2:$A$495,0)),""))</f>
        <v/>
      </c>
      <c r="L2805" s="22">
        <f t="array" ref="L2805">IF($D2805="","",IFERROR(INDEX(MASTER_SOURCE!$D$2:$D$495,MATCH($I2805,MASTER_SOURCE!$A$2:$A$495,0)),""))</f>
        <v/>
      </c>
      <c r="M2805" s="24" t="n"/>
      <c r="N2805" s="24" t="n"/>
      <c r="O2805" s="24" t="n"/>
      <c r="P2805" s="24" t="n"/>
      <c r="Q2805" s="22">
        <f>IF($D2805="","",IF(AND(OR(DANH_MUC!$L$5&lt;&gt;"Có",M2805="Có"),OR(DANH_MUC!$L$6&lt;&gt;"Có",N2805="Có"),OR(DANH_MUC!$L$7&lt;&gt;"Có",O2805="Có"),OR(DANH_MUC!$L$8&lt;&gt;"Có",P2805="Có")),"Có","Không"))</f>
        <v/>
      </c>
      <c r="R2805" s="22">
        <f>IF($D2805="","",IF(COUNTIF($D$2:$D2805,$D2805)&gt;1,"Trùng",""))</f>
        <v/>
      </c>
      <c r="S2805" s="22">
        <f>IF($D2805="","",IF(AND(LEN($D2805)=10,LEFT($D2805,1)="0",ISNUMBER(--$D2805)),"Có","Không"))</f>
        <v/>
      </c>
      <c r="T2805" s="22">
        <f>IF($D2805="","",IF(AND($C2805&lt;&gt;"",$Q2805="Có",$R2805="",$S2805="Có",AND($L2805&lt;&gt;"",OR($L2805&lt;&gt;"Chưa xác định",DANH_MUC!$L$9="Có"))),"Có","Không"))</f>
        <v/>
      </c>
      <c r="U2805" s="22">
        <f>IF(OR($D2805="",$T2805="Có"),"",IF($C2805="","Thiếu họ tên; ","")&amp;IF($S2805&lt;&gt;"Có","SĐT sai định dạng; ","")&amp;IF($R2805="Trùng","Trùng SĐT; ","")&amp;IF($Q2805&lt;&gt;"Có","Thiếu đồng ý bắt buộc; ","")&amp;IF($L2805="","Thiếu/sai Mã REF; ",IF(AND($L2805="Chưa xác định",DANH_MUC!$L$9&lt;&gt;"Có"),"Nguồn chưa xác định; ","")))</f>
        <v/>
      </c>
      <c r="V2805" s="22">
        <f>IF(OR($D2805="",$R2805="Trùng"),"",IF(COUNTIF(ORDERS!$C$2:$C$4995,$D2805)&gt;0,"Có","Không"))</f>
        <v/>
      </c>
      <c r="W2805" s="22">
        <f>IF(OR($D2805="",$R2805="Trùng"),"",COUNTIFS(ORDERS!$C$2:$C$4995,$D2805,ORDERS!$L$2:$L$4995,"Đã chuyển khoản"))</f>
        <v/>
      </c>
      <c r="X2805" s="23">
        <f>IF(OR($D2805="",$R2805="Trùng"),"",SUMIFS(ORDERS!$J$2:$J$4995,ORDERS!$C$2:$C$4995,$D2805,ORDERS!$L$2:$L$4995,"Đã chuyển khoản"))</f>
        <v/>
      </c>
      <c r="Y2805" s="24" t="n"/>
    </row>
    <row r="2806" ht="14.25" customHeight="1" s="40">
      <c r="A2806" s="24" t="n"/>
      <c r="B2806" s="27" t="n"/>
      <c r="C2806" s="24" t="n"/>
      <c r="D2806" s="28" t="n"/>
      <c r="E2806" s="29" t="n"/>
      <c r="F2806" s="24" t="n"/>
      <c r="G2806" s="24" t="n"/>
      <c r="H2806" s="21">
        <f>IF(ISNUMBER($B2806),INT($B2806)-WEEKDAY($B2806,2)+1,"")</f>
        <v/>
      </c>
      <c r="I2806" s="24" t="n"/>
      <c r="J2806" s="22">
        <f t="array" ref="J2806">IF($D2806="","",IF($I2806="","(trống REF)",IFERROR(INDEX(MASTER_SOURCE!$B$2:$B$495,MATCH($I2806,MASTER_SOURCE!$A$2:$A$495,0)),"(REF không có trong MASTER_SOURCE)")))</f>
        <v/>
      </c>
      <c r="K2806" s="22">
        <f t="array" ref="K2806">IF($D2806="","",IFERROR(INDEX(MASTER_SOURCE!$C$2:$C$495,MATCH($I2806,MASTER_SOURCE!$A$2:$A$495,0)),""))</f>
        <v/>
      </c>
      <c r="L2806" s="22">
        <f t="array" ref="L2806">IF($D2806="","",IFERROR(INDEX(MASTER_SOURCE!$D$2:$D$495,MATCH($I2806,MASTER_SOURCE!$A$2:$A$495,0)),""))</f>
        <v/>
      </c>
      <c r="M2806" s="24" t="n"/>
      <c r="N2806" s="24" t="n"/>
      <c r="O2806" s="24" t="n"/>
      <c r="P2806" s="24" t="n"/>
      <c r="Q2806" s="22">
        <f>IF($D2806="","",IF(AND(OR(DANH_MUC!$L$5&lt;&gt;"Có",M2806="Có"),OR(DANH_MUC!$L$6&lt;&gt;"Có",N2806="Có"),OR(DANH_MUC!$L$7&lt;&gt;"Có",O2806="Có"),OR(DANH_MUC!$L$8&lt;&gt;"Có",P2806="Có")),"Có","Không"))</f>
        <v/>
      </c>
      <c r="R2806" s="22">
        <f>IF($D2806="","",IF(COUNTIF($D$2:$D2806,$D2806)&gt;1,"Trùng",""))</f>
        <v/>
      </c>
      <c r="S2806" s="22">
        <f>IF($D2806="","",IF(AND(LEN($D2806)=10,LEFT($D2806,1)="0",ISNUMBER(--$D2806)),"Có","Không"))</f>
        <v/>
      </c>
      <c r="T2806" s="22">
        <f>IF($D2806="","",IF(AND($C2806&lt;&gt;"",$Q2806="Có",$R2806="",$S2806="Có",AND($L2806&lt;&gt;"",OR($L2806&lt;&gt;"Chưa xác định",DANH_MUC!$L$9="Có"))),"Có","Không"))</f>
        <v/>
      </c>
      <c r="U2806" s="22">
        <f>IF(OR($D2806="",$T2806="Có"),"",IF($C2806="","Thiếu họ tên; ","")&amp;IF($S2806&lt;&gt;"Có","SĐT sai định dạng; ","")&amp;IF($R2806="Trùng","Trùng SĐT; ","")&amp;IF($Q2806&lt;&gt;"Có","Thiếu đồng ý bắt buộc; ","")&amp;IF($L2806="","Thiếu/sai Mã REF; ",IF(AND($L2806="Chưa xác định",DANH_MUC!$L$9&lt;&gt;"Có"),"Nguồn chưa xác định; ","")))</f>
        <v/>
      </c>
      <c r="V2806" s="22">
        <f>IF(OR($D2806="",$R2806="Trùng"),"",IF(COUNTIF(ORDERS!$C$2:$C$4995,$D2806)&gt;0,"Có","Không"))</f>
        <v/>
      </c>
      <c r="W2806" s="22">
        <f>IF(OR($D2806="",$R2806="Trùng"),"",COUNTIFS(ORDERS!$C$2:$C$4995,$D2806,ORDERS!$L$2:$L$4995,"Đã chuyển khoản"))</f>
        <v/>
      </c>
      <c r="X2806" s="23">
        <f>IF(OR($D2806="",$R2806="Trùng"),"",SUMIFS(ORDERS!$J$2:$J$4995,ORDERS!$C$2:$C$4995,$D2806,ORDERS!$L$2:$L$4995,"Đã chuyển khoản"))</f>
        <v/>
      </c>
      <c r="Y2806" s="24" t="n"/>
    </row>
    <row r="2807" ht="14.25" customHeight="1" s="40">
      <c r="A2807" s="24" t="n"/>
      <c r="B2807" s="27" t="n"/>
      <c r="C2807" s="24" t="n"/>
      <c r="D2807" s="28" t="n"/>
      <c r="E2807" s="29" t="n"/>
      <c r="F2807" s="24" t="n"/>
      <c r="G2807" s="24" t="n"/>
      <c r="H2807" s="21">
        <f>IF(ISNUMBER($B2807),INT($B2807)-WEEKDAY($B2807,2)+1,"")</f>
        <v/>
      </c>
      <c r="I2807" s="24" t="n"/>
      <c r="J2807" s="22">
        <f t="array" ref="J2807">IF($D2807="","",IF($I2807="","(trống REF)",IFERROR(INDEX(MASTER_SOURCE!$B$2:$B$495,MATCH($I2807,MASTER_SOURCE!$A$2:$A$495,0)),"(REF không có trong MASTER_SOURCE)")))</f>
        <v/>
      </c>
      <c r="K2807" s="22">
        <f t="array" ref="K2807">IF($D2807="","",IFERROR(INDEX(MASTER_SOURCE!$C$2:$C$495,MATCH($I2807,MASTER_SOURCE!$A$2:$A$495,0)),""))</f>
        <v/>
      </c>
      <c r="L2807" s="22">
        <f t="array" ref="L2807">IF($D2807="","",IFERROR(INDEX(MASTER_SOURCE!$D$2:$D$495,MATCH($I2807,MASTER_SOURCE!$A$2:$A$495,0)),""))</f>
        <v/>
      </c>
      <c r="M2807" s="24" t="n"/>
      <c r="N2807" s="24" t="n"/>
      <c r="O2807" s="24" t="n"/>
      <c r="P2807" s="24" t="n"/>
      <c r="Q2807" s="22">
        <f>IF($D2807="","",IF(AND(OR(DANH_MUC!$L$5&lt;&gt;"Có",M2807="Có"),OR(DANH_MUC!$L$6&lt;&gt;"Có",N2807="Có"),OR(DANH_MUC!$L$7&lt;&gt;"Có",O2807="Có"),OR(DANH_MUC!$L$8&lt;&gt;"Có",P2807="Có")),"Có","Không"))</f>
        <v/>
      </c>
      <c r="R2807" s="22">
        <f>IF($D2807="","",IF(COUNTIF($D$2:$D2807,$D2807)&gt;1,"Trùng",""))</f>
        <v/>
      </c>
      <c r="S2807" s="22">
        <f>IF($D2807="","",IF(AND(LEN($D2807)=10,LEFT($D2807,1)="0",ISNUMBER(--$D2807)),"Có","Không"))</f>
        <v/>
      </c>
      <c r="T2807" s="22">
        <f>IF($D2807="","",IF(AND($C2807&lt;&gt;"",$Q2807="Có",$R2807="",$S2807="Có",AND($L2807&lt;&gt;"",OR($L2807&lt;&gt;"Chưa xác định",DANH_MUC!$L$9="Có"))),"Có","Không"))</f>
        <v/>
      </c>
      <c r="U2807" s="22">
        <f>IF(OR($D2807="",$T2807="Có"),"",IF($C2807="","Thiếu họ tên; ","")&amp;IF($S2807&lt;&gt;"Có","SĐT sai định dạng; ","")&amp;IF($R2807="Trùng","Trùng SĐT; ","")&amp;IF($Q2807&lt;&gt;"Có","Thiếu đồng ý bắt buộc; ","")&amp;IF($L2807="","Thiếu/sai Mã REF; ",IF(AND($L2807="Chưa xác định",DANH_MUC!$L$9&lt;&gt;"Có"),"Nguồn chưa xác định; ","")))</f>
        <v/>
      </c>
      <c r="V2807" s="22">
        <f>IF(OR($D2807="",$R2807="Trùng"),"",IF(COUNTIF(ORDERS!$C$2:$C$4995,$D2807)&gt;0,"Có","Không"))</f>
        <v/>
      </c>
      <c r="W2807" s="22">
        <f>IF(OR($D2807="",$R2807="Trùng"),"",COUNTIFS(ORDERS!$C$2:$C$4995,$D2807,ORDERS!$L$2:$L$4995,"Đã chuyển khoản"))</f>
        <v/>
      </c>
      <c r="X2807" s="23">
        <f>IF(OR($D2807="",$R2807="Trùng"),"",SUMIFS(ORDERS!$J$2:$J$4995,ORDERS!$C$2:$C$4995,$D2807,ORDERS!$L$2:$L$4995,"Đã chuyển khoản"))</f>
        <v/>
      </c>
      <c r="Y2807" s="24" t="n"/>
    </row>
    <row r="2808" ht="14.25" customHeight="1" s="40">
      <c r="A2808" s="24" t="n"/>
      <c r="B2808" s="27" t="n"/>
      <c r="C2808" s="24" t="n"/>
      <c r="D2808" s="28" t="n"/>
      <c r="E2808" s="29" t="n"/>
      <c r="F2808" s="24" t="n"/>
      <c r="G2808" s="24" t="n"/>
      <c r="H2808" s="21">
        <f>IF(ISNUMBER($B2808),INT($B2808)-WEEKDAY($B2808,2)+1,"")</f>
        <v/>
      </c>
      <c r="I2808" s="24" t="n"/>
      <c r="J2808" s="22">
        <f t="array" ref="J2808">IF($D2808="","",IF($I2808="","(trống REF)",IFERROR(INDEX(MASTER_SOURCE!$B$2:$B$495,MATCH($I2808,MASTER_SOURCE!$A$2:$A$495,0)),"(REF không có trong MASTER_SOURCE)")))</f>
        <v/>
      </c>
      <c r="K2808" s="22">
        <f t="array" ref="K2808">IF($D2808="","",IFERROR(INDEX(MASTER_SOURCE!$C$2:$C$495,MATCH($I2808,MASTER_SOURCE!$A$2:$A$495,0)),""))</f>
        <v/>
      </c>
      <c r="L2808" s="22">
        <f t="array" ref="L2808">IF($D2808="","",IFERROR(INDEX(MASTER_SOURCE!$D$2:$D$495,MATCH($I2808,MASTER_SOURCE!$A$2:$A$495,0)),""))</f>
        <v/>
      </c>
      <c r="M2808" s="24" t="n"/>
      <c r="N2808" s="24" t="n"/>
      <c r="O2808" s="24" t="n"/>
      <c r="P2808" s="24" t="n"/>
      <c r="Q2808" s="22">
        <f>IF($D2808="","",IF(AND(OR(DANH_MUC!$L$5&lt;&gt;"Có",M2808="Có"),OR(DANH_MUC!$L$6&lt;&gt;"Có",N2808="Có"),OR(DANH_MUC!$L$7&lt;&gt;"Có",O2808="Có"),OR(DANH_MUC!$L$8&lt;&gt;"Có",P2808="Có")),"Có","Không"))</f>
        <v/>
      </c>
      <c r="R2808" s="22">
        <f>IF($D2808="","",IF(COUNTIF($D$2:$D2808,$D2808)&gt;1,"Trùng",""))</f>
        <v/>
      </c>
      <c r="S2808" s="22">
        <f>IF($D2808="","",IF(AND(LEN($D2808)=10,LEFT($D2808,1)="0",ISNUMBER(--$D2808)),"Có","Không"))</f>
        <v/>
      </c>
      <c r="T2808" s="22">
        <f>IF($D2808="","",IF(AND($C2808&lt;&gt;"",$Q2808="Có",$R2808="",$S2808="Có",AND($L2808&lt;&gt;"",OR($L2808&lt;&gt;"Chưa xác định",DANH_MUC!$L$9="Có"))),"Có","Không"))</f>
        <v/>
      </c>
      <c r="U2808" s="22">
        <f>IF(OR($D2808="",$T2808="Có"),"",IF($C2808="","Thiếu họ tên; ","")&amp;IF($S2808&lt;&gt;"Có","SĐT sai định dạng; ","")&amp;IF($R2808="Trùng","Trùng SĐT; ","")&amp;IF($Q2808&lt;&gt;"Có","Thiếu đồng ý bắt buộc; ","")&amp;IF($L2808="","Thiếu/sai Mã REF; ",IF(AND($L2808="Chưa xác định",DANH_MUC!$L$9&lt;&gt;"Có"),"Nguồn chưa xác định; ","")))</f>
        <v/>
      </c>
      <c r="V2808" s="22">
        <f>IF(OR($D2808="",$R2808="Trùng"),"",IF(COUNTIF(ORDERS!$C$2:$C$4995,$D2808)&gt;0,"Có","Không"))</f>
        <v/>
      </c>
      <c r="W2808" s="22">
        <f>IF(OR($D2808="",$R2808="Trùng"),"",COUNTIFS(ORDERS!$C$2:$C$4995,$D2808,ORDERS!$L$2:$L$4995,"Đã chuyển khoản"))</f>
        <v/>
      </c>
      <c r="X2808" s="23">
        <f>IF(OR($D2808="",$R2808="Trùng"),"",SUMIFS(ORDERS!$J$2:$J$4995,ORDERS!$C$2:$C$4995,$D2808,ORDERS!$L$2:$L$4995,"Đã chuyển khoản"))</f>
        <v/>
      </c>
      <c r="Y2808" s="24" t="n"/>
    </row>
    <row r="2809" ht="14.25" customHeight="1" s="40">
      <c r="A2809" s="24" t="n"/>
      <c r="B2809" s="27" t="n"/>
      <c r="C2809" s="24" t="n"/>
      <c r="D2809" s="28" t="n"/>
      <c r="E2809" s="29" t="n"/>
      <c r="F2809" s="24" t="n"/>
      <c r="G2809" s="24" t="n"/>
      <c r="H2809" s="21">
        <f>IF(ISNUMBER($B2809),INT($B2809)-WEEKDAY($B2809,2)+1,"")</f>
        <v/>
      </c>
      <c r="I2809" s="24" t="n"/>
      <c r="J2809" s="22">
        <f t="array" ref="J2809">IF($D2809="","",IF($I2809="","(trống REF)",IFERROR(INDEX(MASTER_SOURCE!$B$2:$B$495,MATCH($I2809,MASTER_SOURCE!$A$2:$A$495,0)),"(REF không có trong MASTER_SOURCE)")))</f>
        <v/>
      </c>
      <c r="K2809" s="22">
        <f t="array" ref="K2809">IF($D2809="","",IFERROR(INDEX(MASTER_SOURCE!$C$2:$C$495,MATCH($I2809,MASTER_SOURCE!$A$2:$A$495,0)),""))</f>
        <v/>
      </c>
      <c r="L2809" s="22">
        <f t="array" ref="L2809">IF($D2809="","",IFERROR(INDEX(MASTER_SOURCE!$D$2:$D$495,MATCH($I2809,MASTER_SOURCE!$A$2:$A$495,0)),""))</f>
        <v/>
      </c>
      <c r="M2809" s="24" t="n"/>
      <c r="N2809" s="24" t="n"/>
      <c r="O2809" s="24" t="n"/>
      <c r="P2809" s="24" t="n"/>
      <c r="Q2809" s="22">
        <f>IF($D2809="","",IF(AND(OR(DANH_MUC!$L$5&lt;&gt;"Có",M2809="Có"),OR(DANH_MUC!$L$6&lt;&gt;"Có",N2809="Có"),OR(DANH_MUC!$L$7&lt;&gt;"Có",O2809="Có"),OR(DANH_MUC!$L$8&lt;&gt;"Có",P2809="Có")),"Có","Không"))</f>
        <v/>
      </c>
      <c r="R2809" s="22">
        <f>IF($D2809="","",IF(COUNTIF($D$2:$D2809,$D2809)&gt;1,"Trùng",""))</f>
        <v/>
      </c>
      <c r="S2809" s="22">
        <f>IF($D2809="","",IF(AND(LEN($D2809)=10,LEFT($D2809,1)="0",ISNUMBER(--$D2809)),"Có","Không"))</f>
        <v/>
      </c>
      <c r="T2809" s="22">
        <f>IF($D2809="","",IF(AND($C2809&lt;&gt;"",$Q2809="Có",$R2809="",$S2809="Có",AND($L2809&lt;&gt;"",OR($L2809&lt;&gt;"Chưa xác định",DANH_MUC!$L$9="Có"))),"Có","Không"))</f>
        <v/>
      </c>
      <c r="U2809" s="22">
        <f>IF(OR($D2809="",$T2809="Có"),"",IF($C2809="","Thiếu họ tên; ","")&amp;IF($S2809&lt;&gt;"Có","SĐT sai định dạng; ","")&amp;IF($R2809="Trùng","Trùng SĐT; ","")&amp;IF($Q2809&lt;&gt;"Có","Thiếu đồng ý bắt buộc; ","")&amp;IF($L2809="","Thiếu/sai Mã REF; ",IF(AND($L2809="Chưa xác định",DANH_MUC!$L$9&lt;&gt;"Có"),"Nguồn chưa xác định; ","")))</f>
        <v/>
      </c>
      <c r="V2809" s="22">
        <f>IF(OR($D2809="",$R2809="Trùng"),"",IF(COUNTIF(ORDERS!$C$2:$C$4995,$D2809)&gt;0,"Có","Không"))</f>
        <v/>
      </c>
      <c r="W2809" s="22">
        <f>IF(OR($D2809="",$R2809="Trùng"),"",COUNTIFS(ORDERS!$C$2:$C$4995,$D2809,ORDERS!$L$2:$L$4995,"Đã chuyển khoản"))</f>
        <v/>
      </c>
      <c r="X2809" s="23">
        <f>IF(OR($D2809="",$R2809="Trùng"),"",SUMIFS(ORDERS!$J$2:$J$4995,ORDERS!$C$2:$C$4995,$D2809,ORDERS!$L$2:$L$4995,"Đã chuyển khoản"))</f>
        <v/>
      </c>
      <c r="Y2809" s="24" t="n"/>
    </row>
    <row r="2810" ht="14.25" customHeight="1" s="40">
      <c r="A2810" s="24" t="n"/>
      <c r="B2810" s="27" t="n"/>
      <c r="C2810" s="24" t="n"/>
      <c r="D2810" s="28" t="n"/>
      <c r="E2810" s="29" t="n"/>
      <c r="F2810" s="24" t="n"/>
      <c r="G2810" s="24" t="n"/>
      <c r="H2810" s="21">
        <f>IF(ISNUMBER($B2810),INT($B2810)-WEEKDAY($B2810,2)+1,"")</f>
        <v/>
      </c>
      <c r="I2810" s="24" t="n"/>
      <c r="J2810" s="22">
        <f t="array" ref="J2810">IF($D2810="","",IF($I2810="","(trống REF)",IFERROR(INDEX(MASTER_SOURCE!$B$2:$B$495,MATCH($I2810,MASTER_SOURCE!$A$2:$A$495,0)),"(REF không có trong MASTER_SOURCE)")))</f>
        <v/>
      </c>
      <c r="K2810" s="22">
        <f t="array" ref="K2810">IF($D2810="","",IFERROR(INDEX(MASTER_SOURCE!$C$2:$C$495,MATCH($I2810,MASTER_SOURCE!$A$2:$A$495,0)),""))</f>
        <v/>
      </c>
      <c r="L2810" s="22">
        <f t="array" ref="L2810">IF($D2810="","",IFERROR(INDEX(MASTER_SOURCE!$D$2:$D$495,MATCH($I2810,MASTER_SOURCE!$A$2:$A$495,0)),""))</f>
        <v/>
      </c>
      <c r="M2810" s="24" t="n"/>
      <c r="N2810" s="24" t="n"/>
      <c r="O2810" s="24" t="n"/>
      <c r="P2810" s="24" t="n"/>
      <c r="Q2810" s="22">
        <f>IF($D2810="","",IF(AND(OR(DANH_MUC!$L$5&lt;&gt;"Có",M2810="Có"),OR(DANH_MUC!$L$6&lt;&gt;"Có",N2810="Có"),OR(DANH_MUC!$L$7&lt;&gt;"Có",O2810="Có"),OR(DANH_MUC!$L$8&lt;&gt;"Có",P2810="Có")),"Có","Không"))</f>
        <v/>
      </c>
      <c r="R2810" s="22">
        <f>IF($D2810="","",IF(COUNTIF($D$2:$D2810,$D2810)&gt;1,"Trùng",""))</f>
        <v/>
      </c>
      <c r="S2810" s="22">
        <f>IF($D2810="","",IF(AND(LEN($D2810)=10,LEFT($D2810,1)="0",ISNUMBER(--$D2810)),"Có","Không"))</f>
        <v/>
      </c>
      <c r="T2810" s="22">
        <f>IF($D2810="","",IF(AND($C2810&lt;&gt;"",$Q2810="Có",$R2810="",$S2810="Có",AND($L2810&lt;&gt;"",OR($L2810&lt;&gt;"Chưa xác định",DANH_MUC!$L$9="Có"))),"Có","Không"))</f>
        <v/>
      </c>
      <c r="U2810" s="22">
        <f>IF(OR($D2810="",$T2810="Có"),"",IF($C2810="","Thiếu họ tên; ","")&amp;IF($S2810&lt;&gt;"Có","SĐT sai định dạng; ","")&amp;IF($R2810="Trùng","Trùng SĐT; ","")&amp;IF($Q2810&lt;&gt;"Có","Thiếu đồng ý bắt buộc; ","")&amp;IF($L2810="","Thiếu/sai Mã REF; ",IF(AND($L2810="Chưa xác định",DANH_MUC!$L$9&lt;&gt;"Có"),"Nguồn chưa xác định; ","")))</f>
        <v/>
      </c>
      <c r="V2810" s="22">
        <f>IF(OR($D2810="",$R2810="Trùng"),"",IF(COUNTIF(ORDERS!$C$2:$C$4995,$D2810)&gt;0,"Có","Không"))</f>
        <v/>
      </c>
      <c r="W2810" s="22">
        <f>IF(OR($D2810="",$R2810="Trùng"),"",COUNTIFS(ORDERS!$C$2:$C$4995,$D2810,ORDERS!$L$2:$L$4995,"Đã chuyển khoản"))</f>
        <v/>
      </c>
      <c r="X2810" s="23">
        <f>IF(OR($D2810="",$R2810="Trùng"),"",SUMIFS(ORDERS!$J$2:$J$4995,ORDERS!$C$2:$C$4995,$D2810,ORDERS!$L$2:$L$4995,"Đã chuyển khoản"))</f>
        <v/>
      </c>
      <c r="Y2810" s="24" t="n"/>
    </row>
    <row r="2811" ht="14.25" customHeight="1" s="40">
      <c r="A2811" s="24" t="n"/>
      <c r="B2811" s="27" t="n"/>
      <c r="C2811" s="24" t="n"/>
      <c r="D2811" s="28" t="n"/>
      <c r="E2811" s="29" t="n"/>
      <c r="F2811" s="24" t="n"/>
      <c r="G2811" s="24" t="n"/>
      <c r="H2811" s="21">
        <f>IF(ISNUMBER($B2811),INT($B2811)-WEEKDAY($B2811,2)+1,"")</f>
        <v/>
      </c>
      <c r="I2811" s="24" t="n"/>
      <c r="J2811" s="22">
        <f t="array" ref="J2811">IF($D2811="","",IF($I2811="","(trống REF)",IFERROR(INDEX(MASTER_SOURCE!$B$2:$B$495,MATCH($I2811,MASTER_SOURCE!$A$2:$A$495,0)),"(REF không có trong MASTER_SOURCE)")))</f>
        <v/>
      </c>
      <c r="K2811" s="22">
        <f t="array" ref="K2811">IF($D2811="","",IFERROR(INDEX(MASTER_SOURCE!$C$2:$C$495,MATCH($I2811,MASTER_SOURCE!$A$2:$A$495,0)),""))</f>
        <v/>
      </c>
      <c r="L2811" s="22">
        <f t="array" ref="L2811">IF($D2811="","",IFERROR(INDEX(MASTER_SOURCE!$D$2:$D$495,MATCH($I2811,MASTER_SOURCE!$A$2:$A$495,0)),""))</f>
        <v/>
      </c>
      <c r="M2811" s="24" t="n"/>
      <c r="N2811" s="24" t="n"/>
      <c r="O2811" s="24" t="n"/>
      <c r="P2811" s="24" t="n"/>
      <c r="Q2811" s="22">
        <f>IF($D2811="","",IF(AND(OR(DANH_MUC!$L$5&lt;&gt;"Có",M2811="Có"),OR(DANH_MUC!$L$6&lt;&gt;"Có",N2811="Có"),OR(DANH_MUC!$L$7&lt;&gt;"Có",O2811="Có"),OR(DANH_MUC!$L$8&lt;&gt;"Có",P2811="Có")),"Có","Không"))</f>
        <v/>
      </c>
      <c r="R2811" s="22">
        <f>IF($D2811="","",IF(COUNTIF($D$2:$D2811,$D2811)&gt;1,"Trùng",""))</f>
        <v/>
      </c>
      <c r="S2811" s="22">
        <f>IF($D2811="","",IF(AND(LEN($D2811)=10,LEFT($D2811,1)="0",ISNUMBER(--$D2811)),"Có","Không"))</f>
        <v/>
      </c>
      <c r="T2811" s="22">
        <f>IF($D2811="","",IF(AND($C2811&lt;&gt;"",$Q2811="Có",$R2811="",$S2811="Có",AND($L2811&lt;&gt;"",OR($L2811&lt;&gt;"Chưa xác định",DANH_MUC!$L$9="Có"))),"Có","Không"))</f>
        <v/>
      </c>
      <c r="U2811" s="22">
        <f>IF(OR($D2811="",$T2811="Có"),"",IF($C2811="","Thiếu họ tên; ","")&amp;IF($S2811&lt;&gt;"Có","SĐT sai định dạng; ","")&amp;IF($R2811="Trùng","Trùng SĐT; ","")&amp;IF($Q2811&lt;&gt;"Có","Thiếu đồng ý bắt buộc; ","")&amp;IF($L2811="","Thiếu/sai Mã REF; ",IF(AND($L2811="Chưa xác định",DANH_MUC!$L$9&lt;&gt;"Có"),"Nguồn chưa xác định; ","")))</f>
        <v/>
      </c>
      <c r="V2811" s="22">
        <f>IF(OR($D2811="",$R2811="Trùng"),"",IF(COUNTIF(ORDERS!$C$2:$C$4995,$D2811)&gt;0,"Có","Không"))</f>
        <v/>
      </c>
      <c r="W2811" s="22">
        <f>IF(OR($D2811="",$R2811="Trùng"),"",COUNTIFS(ORDERS!$C$2:$C$4995,$D2811,ORDERS!$L$2:$L$4995,"Đã chuyển khoản"))</f>
        <v/>
      </c>
      <c r="X2811" s="23">
        <f>IF(OR($D2811="",$R2811="Trùng"),"",SUMIFS(ORDERS!$J$2:$J$4995,ORDERS!$C$2:$C$4995,$D2811,ORDERS!$L$2:$L$4995,"Đã chuyển khoản"))</f>
        <v/>
      </c>
      <c r="Y2811" s="24" t="n"/>
    </row>
    <row r="2812" ht="14.25" customHeight="1" s="40">
      <c r="A2812" s="24" t="n"/>
      <c r="B2812" s="27" t="n"/>
      <c r="C2812" s="24" t="n"/>
      <c r="D2812" s="28" t="n"/>
      <c r="E2812" s="29" t="n"/>
      <c r="F2812" s="24" t="n"/>
      <c r="G2812" s="24" t="n"/>
      <c r="H2812" s="21">
        <f>IF(ISNUMBER($B2812),INT($B2812)-WEEKDAY($B2812,2)+1,"")</f>
        <v/>
      </c>
      <c r="I2812" s="24" t="n"/>
      <c r="J2812" s="22">
        <f t="array" ref="J2812">IF($D2812="","",IF($I2812="","(trống REF)",IFERROR(INDEX(MASTER_SOURCE!$B$2:$B$495,MATCH($I2812,MASTER_SOURCE!$A$2:$A$495,0)),"(REF không có trong MASTER_SOURCE)")))</f>
        <v/>
      </c>
      <c r="K2812" s="22">
        <f t="array" ref="K2812">IF($D2812="","",IFERROR(INDEX(MASTER_SOURCE!$C$2:$C$495,MATCH($I2812,MASTER_SOURCE!$A$2:$A$495,0)),""))</f>
        <v/>
      </c>
      <c r="L2812" s="22">
        <f t="array" ref="L2812">IF($D2812="","",IFERROR(INDEX(MASTER_SOURCE!$D$2:$D$495,MATCH($I2812,MASTER_SOURCE!$A$2:$A$495,0)),""))</f>
        <v/>
      </c>
      <c r="M2812" s="24" t="n"/>
      <c r="N2812" s="24" t="n"/>
      <c r="O2812" s="24" t="n"/>
      <c r="P2812" s="24" t="n"/>
      <c r="Q2812" s="22">
        <f>IF($D2812="","",IF(AND(OR(DANH_MUC!$L$5&lt;&gt;"Có",M2812="Có"),OR(DANH_MUC!$L$6&lt;&gt;"Có",N2812="Có"),OR(DANH_MUC!$L$7&lt;&gt;"Có",O2812="Có"),OR(DANH_MUC!$L$8&lt;&gt;"Có",P2812="Có")),"Có","Không"))</f>
        <v/>
      </c>
      <c r="R2812" s="22">
        <f>IF($D2812="","",IF(COUNTIF($D$2:$D2812,$D2812)&gt;1,"Trùng",""))</f>
        <v/>
      </c>
      <c r="S2812" s="22">
        <f>IF($D2812="","",IF(AND(LEN($D2812)=10,LEFT($D2812,1)="0",ISNUMBER(--$D2812)),"Có","Không"))</f>
        <v/>
      </c>
      <c r="T2812" s="22">
        <f>IF($D2812="","",IF(AND($C2812&lt;&gt;"",$Q2812="Có",$R2812="",$S2812="Có",AND($L2812&lt;&gt;"",OR($L2812&lt;&gt;"Chưa xác định",DANH_MUC!$L$9="Có"))),"Có","Không"))</f>
        <v/>
      </c>
      <c r="U2812" s="22">
        <f>IF(OR($D2812="",$T2812="Có"),"",IF($C2812="","Thiếu họ tên; ","")&amp;IF($S2812&lt;&gt;"Có","SĐT sai định dạng; ","")&amp;IF($R2812="Trùng","Trùng SĐT; ","")&amp;IF($Q2812&lt;&gt;"Có","Thiếu đồng ý bắt buộc; ","")&amp;IF($L2812="","Thiếu/sai Mã REF; ",IF(AND($L2812="Chưa xác định",DANH_MUC!$L$9&lt;&gt;"Có"),"Nguồn chưa xác định; ","")))</f>
        <v/>
      </c>
      <c r="V2812" s="22">
        <f>IF(OR($D2812="",$R2812="Trùng"),"",IF(COUNTIF(ORDERS!$C$2:$C$4995,$D2812)&gt;0,"Có","Không"))</f>
        <v/>
      </c>
      <c r="W2812" s="22">
        <f>IF(OR($D2812="",$R2812="Trùng"),"",COUNTIFS(ORDERS!$C$2:$C$4995,$D2812,ORDERS!$L$2:$L$4995,"Đã chuyển khoản"))</f>
        <v/>
      </c>
      <c r="X2812" s="23">
        <f>IF(OR($D2812="",$R2812="Trùng"),"",SUMIFS(ORDERS!$J$2:$J$4995,ORDERS!$C$2:$C$4995,$D2812,ORDERS!$L$2:$L$4995,"Đã chuyển khoản"))</f>
        <v/>
      </c>
      <c r="Y2812" s="24" t="n"/>
    </row>
    <row r="2813" ht="14.25" customHeight="1" s="40">
      <c r="A2813" s="24" t="n"/>
      <c r="B2813" s="27" t="n"/>
      <c r="C2813" s="24" t="n"/>
      <c r="D2813" s="28" t="n"/>
      <c r="E2813" s="29" t="n"/>
      <c r="F2813" s="24" t="n"/>
      <c r="G2813" s="24" t="n"/>
      <c r="H2813" s="21">
        <f>IF(ISNUMBER($B2813),INT($B2813)-WEEKDAY($B2813,2)+1,"")</f>
        <v/>
      </c>
      <c r="I2813" s="24" t="n"/>
      <c r="J2813" s="22">
        <f t="array" ref="J2813">IF($D2813="","",IF($I2813="","(trống REF)",IFERROR(INDEX(MASTER_SOURCE!$B$2:$B$495,MATCH($I2813,MASTER_SOURCE!$A$2:$A$495,0)),"(REF không có trong MASTER_SOURCE)")))</f>
        <v/>
      </c>
      <c r="K2813" s="22">
        <f t="array" ref="K2813">IF($D2813="","",IFERROR(INDEX(MASTER_SOURCE!$C$2:$C$495,MATCH($I2813,MASTER_SOURCE!$A$2:$A$495,0)),""))</f>
        <v/>
      </c>
      <c r="L2813" s="22">
        <f t="array" ref="L2813">IF($D2813="","",IFERROR(INDEX(MASTER_SOURCE!$D$2:$D$495,MATCH($I2813,MASTER_SOURCE!$A$2:$A$495,0)),""))</f>
        <v/>
      </c>
      <c r="M2813" s="24" t="n"/>
      <c r="N2813" s="24" t="n"/>
      <c r="O2813" s="24" t="n"/>
      <c r="P2813" s="24" t="n"/>
      <c r="Q2813" s="22">
        <f>IF($D2813="","",IF(AND(OR(DANH_MUC!$L$5&lt;&gt;"Có",M2813="Có"),OR(DANH_MUC!$L$6&lt;&gt;"Có",N2813="Có"),OR(DANH_MUC!$L$7&lt;&gt;"Có",O2813="Có"),OR(DANH_MUC!$L$8&lt;&gt;"Có",P2813="Có")),"Có","Không"))</f>
        <v/>
      </c>
      <c r="R2813" s="22">
        <f>IF($D2813="","",IF(COUNTIF($D$2:$D2813,$D2813)&gt;1,"Trùng",""))</f>
        <v/>
      </c>
      <c r="S2813" s="22">
        <f>IF($D2813="","",IF(AND(LEN($D2813)=10,LEFT($D2813,1)="0",ISNUMBER(--$D2813)),"Có","Không"))</f>
        <v/>
      </c>
      <c r="T2813" s="22">
        <f>IF($D2813="","",IF(AND($C2813&lt;&gt;"",$Q2813="Có",$R2813="",$S2813="Có",AND($L2813&lt;&gt;"",OR($L2813&lt;&gt;"Chưa xác định",DANH_MUC!$L$9="Có"))),"Có","Không"))</f>
        <v/>
      </c>
      <c r="U2813" s="22">
        <f>IF(OR($D2813="",$T2813="Có"),"",IF($C2813="","Thiếu họ tên; ","")&amp;IF($S2813&lt;&gt;"Có","SĐT sai định dạng; ","")&amp;IF($R2813="Trùng","Trùng SĐT; ","")&amp;IF($Q2813&lt;&gt;"Có","Thiếu đồng ý bắt buộc; ","")&amp;IF($L2813="","Thiếu/sai Mã REF; ",IF(AND($L2813="Chưa xác định",DANH_MUC!$L$9&lt;&gt;"Có"),"Nguồn chưa xác định; ","")))</f>
        <v/>
      </c>
      <c r="V2813" s="22">
        <f>IF(OR($D2813="",$R2813="Trùng"),"",IF(COUNTIF(ORDERS!$C$2:$C$4995,$D2813)&gt;0,"Có","Không"))</f>
        <v/>
      </c>
      <c r="W2813" s="22">
        <f>IF(OR($D2813="",$R2813="Trùng"),"",COUNTIFS(ORDERS!$C$2:$C$4995,$D2813,ORDERS!$L$2:$L$4995,"Đã chuyển khoản"))</f>
        <v/>
      </c>
      <c r="X2813" s="23">
        <f>IF(OR($D2813="",$R2813="Trùng"),"",SUMIFS(ORDERS!$J$2:$J$4995,ORDERS!$C$2:$C$4995,$D2813,ORDERS!$L$2:$L$4995,"Đã chuyển khoản"))</f>
        <v/>
      </c>
      <c r="Y2813" s="24" t="n"/>
    </row>
    <row r="2814" ht="14.25" customHeight="1" s="40">
      <c r="A2814" s="24" t="n"/>
      <c r="B2814" s="27" t="n"/>
      <c r="C2814" s="24" t="n"/>
      <c r="D2814" s="28" t="n"/>
      <c r="E2814" s="29" t="n"/>
      <c r="F2814" s="24" t="n"/>
      <c r="G2814" s="24" t="n"/>
      <c r="H2814" s="21">
        <f>IF(ISNUMBER($B2814),INT($B2814)-WEEKDAY($B2814,2)+1,"")</f>
        <v/>
      </c>
      <c r="I2814" s="24" t="n"/>
      <c r="J2814" s="22">
        <f t="array" ref="J2814">IF($D2814="","",IF($I2814="","(trống REF)",IFERROR(INDEX(MASTER_SOURCE!$B$2:$B$495,MATCH($I2814,MASTER_SOURCE!$A$2:$A$495,0)),"(REF không có trong MASTER_SOURCE)")))</f>
        <v/>
      </c>
      <c r="K2814" s="22">
        <f t="array" ref="K2814">IF($D2814="","",IFERROR(INDEX(MASTER_SOURCE!$C$2:$C$495,MATCH($I2814,MASTER_SOURCE!$A$2:$A$495,0)),""))</f>
        <v/>
      </c>
      <c r="L2814" s="22">
        <f t="array" ref="L2814">IF($D2814="","",IFERROR(INDEX(MASTER_SOURCE!$D$2:$D$495,MATCH($I2814,MASTER_SOURCE!$A$2:$A$495,0)),""))</f>
        <v/>
      </c>
      <c r="M2814" s="24" t="n"/>
      <c r="N2814" s="24" t="n"/>
      <c r="O2814" s="24" t="n"/>
      <c r="P2814" s="24" t="n"/>
      <c r="Q2814" s="22">
        <f>IF($D2814="","",IF(AND(OR(DANH_MUC!$L$5&lt;&gt;"Có",M2814="Có"),OR(DANH_MUC!$L$6&lt;&gt;"Có",N2814="Có"),OR(DANH_MUC!$L$7&lt;&gt;"Có",O2814="Có"),OR(DANH_MUC!$L$8&lt;&gt;"Có",P2814="Có")),"Có","Không"))</f>
        <v/>
      </c>
      <c r="R2814" s="22">
        <f>IF($D2814="","",IF(COUNTIF($D$2:$D2814,$D2814)&gt;1,"Trùng",""))</f>
        <v/>
      </c>
      <c r="S2814" s="22">
        <f>IF($D2814="","",IF(AND(LEN($D2814)=10,LEFT($D2814,1)="0",ISNUMBER(--$D2814)),"Có","Không"))</f>
        <v/>
      </c>
      <c r="T2814" s="22">
        <f>IF($D2814="","",IF(AND($C2814&lt;&gt;"",$Q2814="Có",$R2814="",$S2814="Có",AND($L2814&lt;&gt;"",OR($L2814&lt;&gt;"Chưa xác định",DANH_MUC!$L$9="Có"))),"Có","Không"))</f>
        <v/>
      </c>
      <c r="U2814" s="22">
        <f>IF(OR($D2814="",$T2814="Có"),"",IF($C2814="","Thiếu họ tên; ","")&amp;IF($S2814&lt;&gt;"Có","SĐT sai định dạng; ","")&amp;IF($R2814="Trùng","Trùng SĐT; ","")&amp;IF($Q2814&lt;&gt;"Có","Thiếu đồng ý bắt buộc; ","")&amp;IF($L2814="","Thiếu/sai Mã REF; ",IF(AND($L2814="Chưa xác định",DANH_MUC!$L$9&lt;&gt;"Có"),"Nguồn chưa xác định; ","")))</f>
        <v/>
      </c>
      <c r="V2814" s="22">
        <f>IF(OR($D2814="",$R2814="Trùng"),"",IF(COUNTIF(ORDERS!$C$2:$C$4995,$D2814)&gt;0,"Có","Không"))</f>
        <v/>
      </c>
      <c r="W2814" s="22">
        <f>IF(OR($D2814="",$R2814="Trùng"),"",COUNTIFS(ORDERS!$C$2:$C$4995,$D2814,ORDERS!$L$2:$L$4995,"Đã chuyển khoản"))</f>
        <v/>
      </c>
      <c r="X2814" s="23">
        <f>IF(OR($D2814="",$R2814="Trùng"),"",SUMIFS(ORDERS!$J$2:$J$4995,ORDERS!$C$2:$C$4995,$D2814,ORDERS!$L$2:$L$4995,"Đã chuyển khoản"))</f>
        <v/>
      </c>
      <c r="Y2814" s="24" t="n"/>
    </row>
    <row r="2815" ht="14.25" customHeight="1" s="40">
      <c r="A2815" s="24" t="n"/>
      <c r="B2815" s="27" t="n"/>
      <c r="C2815" s="24" t="n"/>
      <c r="D2815" s="28" t="n"/>
      <c r="E2815" s="29" t="n"/>
      <c r="F2815" s="24" t="n"/>
      <c r="G2815" s="24" t="n"/>
      <c r="H2815" s="21">
        <f>IF(ISNUMBER($B2815),INT($B2815)-WEEKDAY($B2815,2)+1,"")</f>
        <v/>
      </c>
      <c r="I2815" s="24" t="n"/>
      <c r="J2815" s="22">
        <f t="array" ref="J2815">IF($D2815="","",IF($I2815="","(trống REF)",IFERROR(INDEX(MASTER_SOURCE!$B$2:$B$495,MATCH($I2815,MASTER_SOURCE!$A$2:$A$495,0)),"(REF không có trong MASTER_SOURCE)")))</f>
        <v/>
      </c>
      <c r="K2815" s="22">
        <f t="array" ref="K2815">IF($D2815="","",IFERROR(INDEX(MASTER_SOURCE!$C$2:$C$495,MATCH($I2815,MASTER_SOURCE!$A$2:$A$495,0)),""))</f>
        <v/>
      </c>
      <c r="L2815" s="22">
        <f t="array" ref="L2815">IF($D2815="","",IFERROR(INDEX(MASTER_SOURCE!$D$2:$D$495,MATCH($I2815,MASTER_SOURCE!$A$2:$A$495,0)),""))</f>
        <v/>
      </c>
      <c r="M2815" s="24" t="n"/>
      <c r="N2815" s="24" t="n"/>
      <c r="O2815" s="24" t="n"/>
      <c r="P2815" s="24" t="n"/>
      <c r="Q2815" s="22">
        <f>IF($D2815="","",IF(AND(OR(DANH_MUC!$L$5&lt;&gt;"Có",M2815="Có"),OR(DANH_MUC!$L$6&lt;&gt;"Có",N2815="Có"),OR(DANH_MUC!$L$7&lt;&gt;"Có",O2815="Có"),OR(DANH_MUC!$L$8&lt;&gt;"Có",P2815="Có")),"Có","Không"))</f>
        <v/>
      </c>
      <c r="R2815" s="22">
        <f>IF($D2815="","",IF(COUNTIF($D$2:$D2815,$D2815)&gt;1,"Trùng",""))</f>
        <v/>
      </c>
      <c r="S2815" s="22">
        <f>IF($D2815="","",IF(AND(LEN($D2815)=10,LEFT($D2815,1)="0",ISNUMBER(--$D2815)),"Có","Không"))</f>
        <v/>
      </c>
      <c r="T2815" s="22">
        <f>IF($D2815="","",IF(AND($C2815&lt;&gt;"",$Q2815="Có",$R2815="",$S2815="Có",AND($L2815&lt;&gt;"",OR($L2815&lt;&gt;"Chưa xác định",DANH_MUC!$L$9="Có"))),"Có","Không"))</f>
        <v/>
      </c>
      <c r="U2815" s="22">
        <f>IF(OR($D2815="",$T2815="Có"),"",IF($C2815="","Thiếu họ tên; ","")&amp;IF($S2815&lt;&gt;"Có","SĐT sai định dạng; ","")&amp;IF($R2815="Trùng","Trùng SĐT; ","")&amp;IF($Q2815&lt;&gt;"Có","Thiếu đồng ý bắt buộc; ","")&amp;IF($L2815="","Thiếu/sai Mã REF; ",IF(AND($L2815="Chưa xác định",DANH_MUC!$L$9&lt;&gt;"Có"),"Nguồn chưa xác định; ","")))</f>
        <v/>
      </c>
      <c r="V2815" s="22">
        <f>IF(OR($D2815="",$R2815="Trùng"),"",IF(COUNTIF(ORDERS!$C$2:$C$4995,$D2815)&gt;0,"Có","Không"))</f>
        <v/>
      </c>
      <c r="W2815" s="22">
        <f>IF(OR($D2815="",$R2815="Trùng"),"",COUNTIFS(ORDERS!$C$2:$C$4995,$D2815,ORDERS!$L$2:$L$4995,"Đã chuyển khoản"))</f>
        <v/>
      </c>
      <c r="X2815" s="23">
        <f>IF(OR($D2815="",$R2815="Trùng"),"",SUMIFS(ORDERS!$J$2:$J$4995,ORDERS!$C$2:$C$4995,$D2815,ORDERS!$L$2:$L$4995,"Đã chuyển khoản"))</f>
        <v/>
      </c>
      <c r="Y2815" s="24" t="n"/>
    </row>
    <row r="2816" ht="14.25" customHeight="1" s="40">
      <c r="A2816" s="24" t="n"/>
      <c r="B2816" s="27" t="n"/>
      <c r="C2816" s="24" t="n"/>
      <c r="D2816" s="28" t="n"/>
      <c r="E2816" s="29" t="n"/>
      <c r="F2816" s="24" t="n"/>
      <c r="G2816" s="24" t="n"/>
      <c r="H2816" s="21">
        <f>IF(ISNUMBER($B2816),INT($B2816)-WEEKDAY($B2816,2)+1,"")</f>
        <v/>
      </c>
      <c r="I2816" s="24" t="n"/>
      <c r="J2816" s="22">
        <f t="array" ref="J2816">IF($D2816="","",IF($I2816="","(trống REF)",IFERROR(INDEX(MASTER_SOURCE!$B$2:$B$495,MATCH($I2816,MASTER_SOURCE!$A$2:$A$495,0)),"(REF không có trong MASTER_SOURCE)")))</f>
        <v/>
      </c>
      <c r="K2816" s="22">
        <f t="array" ref="K2816">IF($D2816="","",IFERROR(INDEX(MASTER_SOURCE!$C$2:$C$495,MATCH($I2816,MASTER_SOURCE!$A$2:$A$495,0)),""))</f>
        <v/>
      </c>
      <c r="L2816" s="22">
        <f t="array" ref="L2816">IF($D2816="","",IFERROR(INDEX(MASTER_SOURCE!$D$2:$D$495,MATCH($I2816,MASTER_SOURCE!$A$2:$A$495,0)),""))</f>
        <v/>
      </c>
      <c r="M2816" s="24" t="n"/>
      <c r="N2816" s="24" t="n"/>
      <c r="O2816" s="24" t="n"/>
      <c r="P2816" s="24" t="n"/>
      <c r="Q2816" s="22">
        <f>IF($D2816="","",IF(AND(OR(DANH_MUC!$L$5&lt;&gt;"Có",M2816="Có"),OR(DANH_MUC!$L$6&lt;&gt;"Có",N2816="Có"),OR(DANH_MUC!$L$7&lt;&gt;"Có",O2816="Có"),OR(DANH_MUC!$L$8&lt;&gt;"Có",P2816="Có")),"Có","Không"))</f>
        <v/>
      </c>
      <c r="R2816" s="22">
        <f>IF($D2816="","",IF(COUNTIF($D$2:$D2816,$D2816)&gt;1,"Trùng",""))</f>
        <v/>
      </c>
      <c r="S2816" s="22">
        <f>IF($D2816="","",IF(AND(LEN($D2816)=10,LEFT($D2816,1)="0",ISNUMBER(--$D2816)),"Có","Không"))</f>
        <v/>
      </c>
      <c r="T2816" s="22">
        <f>IF($D2816="","",IF(AND($C2816&lt;&gt;"",$Q2816="Có",$R2816="",$S2816="Có",AND($L2816&lt;&gt;"",OR($L2816&lt;&gt;"Chưa xác định",DANH_MUC!$L$9="Có"))),"Có","Không"))</f>
        <v/>
      </c>
      <c r="U2816" s="22">
        <f>IF(OR($D2816="",$T2816="Có"),"",IF($C2816="","Thiếu họ tên; ","")&amp;IF($S2816&lt;&gt;"Có","SĐT sai định dạng; ","")&amp;IF($R2816="Trùng","Trùng SĐT; ","")&amp;IF($Q2816&lt;&gt;"Có","Thiếu đồng ý bắt buộc; ","")&amp;IF($L2816="","Thiếu/sai Mã REF; ",IF(AND($L2816="Chưa xác định",DANH_MUC!$L$9&lt;&gt;"Có"),"Nguồn chưa xác định; ","")))</f>
        <v/>
      </c>
      <c r="V2816" s="22">
        <f>IF(OR($D2816="",$R2816="Trùng"),"",IF(COUNTIF(ORDERS!$C$2:$C$4995,$D2816)&gt;0,"Có","Không"))</f>
        <v/>
      </c>
      <c r="W2816" s="22">
        <f>IF(OR($D2816="",$R2816="Trùng"),"",COUNTIFS(ORDERS!$C$2:$C$4995,$D2816,ORDERS!$L$2:$L$4995,"Đã chuyển khoản"))</f>
        <v/>
      </c>
      <c r="X2816" s="23">
        <f>IF(OR($D2816="",$R2816="Trùng"),"",SUMIFS(ORDERS!$J$2:$J$4995,ORDERS!$C$2:$C$4995,$D2816,ORDERS!$L$2:$L$4995,"Đã chuyển khoản"))</f>
        <v/>
      </c>
      <c r="Y2816" s="24" t="n"/>
    </row>
    <row r="2817" ht="14.25" customHeight="1" s="40">
      <c r="A2817" s="24" t="n"/>
      <c r="B2817" s="27" t="n"/>
      <c r="C2817" s="24" t="n"/>
      <c r="D2817" s="28" t="n"/>
      <c r="E2817" s="29" t="n"/>
      <c r="F2817" s="24" t="n"/>
      <c r="G2817" s="24" t="n"/>
      <c r="H2817" s="21">
        <f>IF(ISNUMBER($B2817),INT($B2817)-WEEKDAY($B2817,2)+1,"")</f>
        <v/>
      </c>
      <c r="I2817" s="24" t="n"/>
      <c r="J2817" s="22">
        <f t="array" ref="J2817">IF($D2817="","",IF($I2817="","(trống REF)",IFERROR(INDEX(MASTER_SOURCE!$B$2:$B$495,MATCH($I2817,MASTER_SOURCE!$A$2:$A$495,0)),"(REF không có trong MASTER_SOURCE)")))</f>
        <v/>
      </c>
      <c r="K2817" s="22">
        <f t="array" ref="K2817">IF($D2817="","",IFERROR(INDEX(MASTER_SOURCE!$C$2:$C$495,MATCH($I2817,MASTER_SOURCE!$A$2:$A$495,0)),""))</f>
        <v/>
      </c>
      <c r="L2817" s="22">
        <f t="array" ref="L2817">IF($D2817="","",IFERROR(INDEX(MASTER_SOURCE!$D$2:$D$495,MATCH($I2817,MASTER_SOURCE!$A$2:$A$495,0)),""))</f>
        <v/>
      </c>
      <c r="M2817" s="24" t="n"/>
      <c r="N2817" s="24" t="n"/>
      <c r="O2817" s="24" t="n"/>
      <c r="P2817" s="24" t="n"/>
      <c r="Q2817" s="22">
        <f>IF($D2817="","",IF(AND(OR(DANH_MUC!$L$5&lt;&gt;"Có",M2817="Có"),OR(DANH_MUC!$L$6&lt;&gt;"Có",N2817="Có"),OR(DANH_MUC!$L$7&lt;&gt;"Có",O2817="Có"),OR(DANH_MUC!$L$8&lt;&gt;"Có",P2817="Có")),"Có","Không"))</f>
        <v/>
      </c>
      <c r="R2817" s="22">
        <f>IF($D2817="","",IF(COUNTIF($D$2:$D2817,$D2817)&gt;1,"Trùng",""))</f>
        <v/>
      </c>
      <c r="S2817" s="22">
        <f>IF($D2817="","",IF(AND(LEN($D2817)=10,LEFT($D2817,1)="0",ISNUMBER(--$D2817)),"Có","Không"))</f>
        <v/>
      </c>
      <c r="T2817" s="22">
        <f>IF($D2817="","",IF(AND($C2817&lt;&gt;"",$Q2817="Có",$R2817="",$S2817="Có",AND($L2817&lt;&gt;"",OR($L2817&lt;&gt;"Chưa xác định",DANH_MUC!$L$9="Có"))),"Có","Không"))</f>
        <v/>
      </c>
      <c r="U2817" s="22">
        <f>IF(OR($D2817="",$T2817="Có"),"",IF($C2817="","Thiếu họ tên; ","")&amp;IF($S2817&lt;&gt;"Có","SĐT sai định dạng; ","")&amp;IF($R2817="Trùng","Trùng SĐT; ","")&amp;IF($Q2817&lt;&gt;"Có","Thiếu đồng ý bắt buộc; ","")&amp;IF($L2817="","Thiếu/sai Mã REF; ",IF(AND($L2817="Chưa xác định",DANH_MUC!$L$9&lt;&gt;"Có"),"Nguồn chưa xác định; ","")))</f>
        <v/>
      </c>
      <c r="V2817" s="22">
        <f>IF(OR($D2817="",$R2817="Trùng"),"",IF(COUNTIF(ORDERS!$C$2:$C$4995,$D2817)&gt;0,"Có","Không"))</f>
        <v/>
      </c>
      <c r="W2817" s="22">
        <f>IF(OR($D2817="",$R2817="Trùng"),"",COUNTIFS(ORDERS!$C$2:$C$4995,$D2817,ORDERS!$L$2:$L$4995,"Đã chuyển khoản"))</f>
        <v/>
      </c>
      <c r="X2817" s="23">
        <f>IF(OR($D2817="",$R2817="Trùng"),"",SUMIFS(ORDERS!$J$2:$J$4995,ORDERS!$C$2:$C$4995,$D2817,ORDERS!$L$2:$L$4995,"Đã chuyển khoản"))</f>
        <v/>
      </c>
      <c r="Y2817" s="24" t="n"/>
    </row>
    <row r="2818" ht="14.25" customHeight="1" s="40">
      <c r="A2818" s="24" t="n"/>
      <c r="B2818" s="27" t="n"/>
      <c r="C2818" s="24" t="n"/>
      <c r="D2818" s="28" t="n"/>
      <c r="E2818" s="29" t="n"/>
      <c r="F2818" s="24" t="n"/>
      <c r="G2818" s="24" t="n"/>
      <c r="H2818" s="21">
        <f>IF(ISNUMBER($B2818),INT($B2818)-WEEKDAY($B2818,2)+1,"")</f>
        <v/>
      </c>
      <c r="I2818" s="24" t="n"/>
      <c r="J2818" s="22">
        <f t="array" ref="J2818">IF($D2818="","",IF($I2818="","(trống REF)",IFERROR(INDEX(MASTER_SOURCE!$B$2:$B$495,MATCH($I2818,MASTER_SOURCE!$A$2:$A$495,0)),"(REF không có trong MASTER_SOURCE)")))</f>
        <v/>
      </c>
      <c r="K2818" s="22">
        <f t="array" ref="K2818">IF($D2818="","",IFERROR(INDEX(MASTER_SOURCE!$C$2:$C$495,MATCH($I2818,MASTER_SOURCE!$A$2:$A$495,0)),""))</f>
        <v/>
      </c>
      <c r="L2818" s="22">
        <f t="array" ref="L2818">IF($D2818="","",IFERROR(INDEX(MASTER_SOURCE!$D$2:$D$495,MATCH($I2818,MASTER_SOURCE!$A$2:$A$495,0)),""))</f>
        <v/>
      </c>
      <c r="M2818" s="24" t="n"/>
      <c r="N2818" s="24" t="n"/>
      <c r="O2818" s="24" t="n"/>
      <c r="P2818" s="24" t="n"/>
      <c r="Q2818" s="22">
        <f>IF($D2818="","",IF(AND(OR(DANH_MUC!$L$5&lt;&gt;"Có",M2818="Có"),OR(DANH_MUC!$L$6&lt;&gt;"Có",N2818="Có"),OR(DANH_MUC!$L$7&lt;&gt;"Có",O2818="Có"),OR(DANH_MUC!$L$8&lt;&gt;"Có",P2818="Có")),"Có","Không"))</f>
        <v/>
      </c>
      <c r="R2818" s="22">
        <f>IF($D2818="","",IF(COUNTIF($D$2:$D2818,$D2818)&gt;1,"Trùng",""))</f>
        <v/>
      </c>
      <c r="S2818" s="22">
        <f>IF($D2818="","",IF(AND(LEN($D2818)=10,LEFT($D2818,1)="0",ISNUMBER(--$D2818)),"Có","Không"))</f>
        <v/>
      </c>
      <c r="T2818" s="22">
        <f>IF($D2818="","",IF(AND($C2818&lt;&gt;"",$Q2818="Có",$R2818="",$S2818="Có",AND($L2818&lt;&gt;"",OR($L2818&lt;&gt;"Chưa xác định",DANH_MUC!$L$9="Có"))),"Có","Không"))</f>
        <v/>
      </c>
      <c r="U2818" s="22">
        <f>IF(OR($D2818="",$T2818="Có"),"",IF($C2818="","Thiếu họ tên; ","")&amp;IF($S2818&lt;&gt;"Có","SĐT sai định dạng; ","")&amp;IF($R2818="Trùng","Trùng SĐT; ","")&amp;IF($Q2818&lt;&gt;"Có","Thiếu đồng ý bắt buộc; ","")&amp;IF($L2818="","Thiếu/sai Mã REF; ",IF(AND($L2818="Chưa xác định",DANH_MUC!$L$9&lt;&gt;"Có"),"Nguồn chưa xác định; ","")))</f>
        <v/>
      </c>
      <c r="V2818" s="22">
        <f>IF(OR($D2818="",$R2818="Trùng"),"",IF(COUNTIF(ORDERS!$C$2:$C$4995,$D2818)&gt;0,"Có","Không"))</f>
        <v/>
      </c>
      <c r="W2818" s="22">
        <f>IF(OR($D2818="",$R2818="Trùng"),"",COUNTIFS(ORDERS!$C$2:$C$4995,$D2818,ORDERS!$L$2:$L$4995,"Đã chuyển khoản"))</f>
        <v/>
      </c>
      <c r="X2818" s="23">
        <f>IF(OR($D2818="",$R2818="Trùng"),"",SUMIFS(ORDERS!$J$2:$J$4995,ORDERS!$C$2:$C$4995,$D2818,ORDERS!$L$2:$L$4995,"Đã chuyển khoản"))</f>
        <v/>
      </c>
      <c r="Y2818" s="24" t="n"/>
    </row>
    <row r="2819" ht="14.25" customHeight="1" s="40">
      <c r="A2819" s="24" t="n"/>
      <c r="B2819" s="27" t="n"/>
      <c r="C2819" s="24" t="n"/>
      <c r="D2819" s="28" t="n"/>
      <c r="E2819" s="29" t="n"/>
      <c r="F2819" s="24" t="n"/>
      <c r="G2819" s="24" t="n"/>
      <c r="H2819" s="21">
        <f>IF(ISNUMBER($B2819),INT($B2819)-WEEKDAY($B2819,2)+1,"")</f>
        <v/>
      </c>
      <c r="I2819" s="24" t="n"/>
      <c r="J2819" s="22">
        <f t="array" ref="J2819">IF($D2819="","",IF($I2819="","(trống REF)",IFERROR(INDEX(MASTER_SOURCE!$B$2:$B$495,MATCH($I2819,MASTER_SOURCE!$A$2:$A$495,0)),"(REF không có trong MASTER_SOURCE)")))</f>
        <v/>
      </c>
      <c r="K2819" s="22">
        <f t="array" ref="K2819">IF($D2819="","",IFERROR(INDEX(MASTER_SOURCE!$C$2:$C$495,MATCH($I2819,MASTER_SOURCE!$A$2:$A$495,0)),""))</f>
        <v/>
      </c>
      <c r="L2819" s="22">
        <f t="array" ref="L2819">IF($D2819="","",IFERROR(INDEX(MASTER_SOURCE!$D$2:$D$495,MATCH($I2819,MASTER_SOURCE!$A$2:$A$495,0)),""))</f>
        <v/>
      </c>
      <c r="M2819" s="24" t="n"/>
      <c r="N2819" s="24" t="n"/>
      <c r="O2819" s="24" t="n"/>
      <c r="P2819" s="24" t="n"/>
      <c r="Q2819" s="22">
        <f>IF($D2819="","",IF(AND(OR(DANH_MUC!$L$5&lt;&gt;"Có",M2819="Có"),OR(DANH_MUC!$L$6&lt;&gt;"Có",N2819="Có"),OR(DANH_MUC!$L$7&lt;&gt;"Có",O2819="Có"),OR(DANH_MUC!$L$8&lt;&gt;"Có",P2819="Có")),"Có","Không"))</f>
        <v/>
      </c>
      <c r="R2819" s="22">
        <f>IF($D2819="","",IF(COUNTIF($D$2:$D2819,$D2819)&gt;1,"Trùng",""))</f>
        <v/>
      </c>
      <c r="S2819" s="22">
        <f>IF($D2819="","",IF(AND(LEN($D2819)=10,LEFT($D2819,1)="0",ISNUMBER(--$D2819)),"Có","Không"))</f>
        <v/>
      </c>
      <c r="T2819" s="22">
        <f>IF($D2819="","",IF(AND($C2819&lt;&gt;"",$Q2819="Có",$R2819="",$S2819="Có",AND($L2819&lt;&gt;"",OR($L2819&lt;&gt;"Chưa xác định",DANH_MUC!$L$9="Có"))),"Có","Không"))</f>
        <v/>
      </c>
      <c r="U2819" s="22">
        <f>IF(OR($D2819="",$T2819="Có"),"",IF($C2819="","Thiếu họ tên; ","")&amp;IF($S2819&lt;&gt;"Có","SĐT sai định dạng; ","")&amp;IF($R2819="Trùng","Trùng SĐT; ","")&amp;IF($Q2819&lt;&gt;"Có","Thiếu đồng ý bắt buộc; ","")&amp;IF($L2819="","Thiếu/sai Mã REF; ",IF(AND($L2819="Chưa xác định",DANH_MUC!$L$9&lt;&gt;"Có"),"Nguồn chưa xác định; ","")))</f>
        <v/>
      </c>
      <c r="V2819" s="22">
        <f>IF(OR($D2819="",$R2819="Trùng"),"",IF(COUNTIF(ORDERS!$C$2:$C$4995,$D2819)&gt;0,"Có","Không"))</f>
        <v/>
      </c>
      <c r="W2819" s="22">
        <f>IF(OR($D2819="",$R2819="Trùng"),"",COUNTIFS(ORDERS!$C$2:$C$4995,$D2819,ORDERS!$L$2:$L$4995,"Đã chuyển khoản"))</f>
        <v/>
      </c>
      <c r="X2819" s="23">
        <f>IF(OR($D2819="",$R2819="Trùng"),"",SUMIFS(ORDERS!$J$2:$J$4995,ORDERS!$C$2:$C$4995,$D2819,ORDERS!$L$2:$L$4995,"Đã chuyển khoản"))</f>
        <v/>
      </c>
      <c r="Y2819" s="24" t="n"/>
    </row>
    <row r="2820" ht="14.25" customHeight="1" s="40">
      <c r="A2820" s="24" t="n"/>
      <c r="B2820" s="27" t="n"/>
      <c r="C2820" s="24" t="n"/>
      <c r="D2820" s="28" t="n"/>
      <c r="E2820" s="29" t="n"/>
      <c r="F2820" s="24" t="n"/>
      <c r="G2820" s="24" t="n"/>
      <c r="H2820" s="21">
        <f>IF(ISNUMBER($B2820),INT($B2820)-WEEKDAY($B2820,2)+1,"")</f>
        <v/>
      </c>
      <c r="I2820" s="24" t="n"/>
      <c r="J2820" s="22">
        <f t="array" ref="J2820">IF($D2820="","",IF($I2820="","(trống REF)",IFERROR(INDEX(MASTER_SOURCE!$B$2:$B$495,MATCH($I2820,MASTER_SOURCE!$A$2:$A$495,0)),"(REF không có trong MASTER_SOURCE)")))</f>
        <v/>
      </c>
      <c r="K2820" s="22">
        <f t="array" ref="K2820">IF($D2820="","",IFERROR(INDEX(MASTER_SOURCE!$C$2:$C$495,MATCH($I2820,MASTER_SOURCE!$A$2:$A$495,0)),""))</f>
        <v/>
      </c>
      <c r="L2820" s="22">
        <f t="array" ref="L2820">IF($D2820="","",IFERROR(INDEX(MASTER_SOURCE!$D$2:$D$495,MATCH($I2820,MASTER_SOURCE!$A$2:$A$495,0)),""))</f>
        <v/>
      </c>
      <c r="M2820" s="24" t="n"/>
      <c r="N2820" s="24" t="n"/>
      <c r="O2820" s="24" t="n"/>
      <c r="P2820" s="24" t="n"/>
      <c r="Q2820" s="22">
        <f>IF($D2820="","",IF(AND(OR(DANH_MUC!$L$5&lt;&gt;"Có",M2820="Có"),OR(DANH_MUC!$L$6&lt;&gt;"Có",N2820="Có"),OR(DANH_MUC!$L$7&lt;&gt;"Có",O2820="Có"),OR(DANH_MUC!$L$8&lt;&gt;"Có",P2820="Có")),"Có","Không"))</f>
        <v/>
      </c>
      <c r="R2820" s="22">
        <f>IF($D2820="","",IF(COUNTIF($D$2:$D2820,$D2820)&gt;1,"Trùng",""))</f>
        <v/>
      </c>
      <c r="S2820" s="22">
        <f>IF($D2820="","",IF(AND(LEN($D2820)=10,LEFT($D2820,1)="0",ISNUMBER(--$D2820)),"Có","Không"))</f>
        <v/>
      </c>
      <c r="T2820" s="22">
        <f>IF($D2820="","",IF(AND($C2820&lt;&gt;"",$Q2820="Có",$R2820="",$S2820="Có",AND($L2820&lt;&gt;"",OR($L2820&lt;&gt;"Chưa xác định",DANH_MUC!$L$9="Có"))),"Có","Không"))</f>
        <v/>
      </c>
      <c r="U2820" s="22">
        <f>IF(OR($D2820="",$T2820="Có"),"",IF($C2820="","Thiếu họ tên; ","")&amp;IF($S2820&lt;&gt;"Có","SĐT sai định dạng; ","")&amp;IF($R2820="Trùng","Trùng SĐT; ","")&amp;IF($Q2820&lt;&gt;"Có","Thiếu đồng ý bắt buộc; ","")&amp;IF($L2820="","Thiếu/sai Mã REF; ",IF(AND($L2820="Chưa xác định",DANH_MUC!$L$9&lt;&gt;"Có"),"Nguồn chưa xác định; ","")))</f>
        <v/>
      </c>
      <c r="V2820" s="22">
        <f>IF(OR($D2820="",$R2820="Trùng"),"",IF(COUNTIF(ORDERS!$C$2:$C$4995,$D2820)&gt;0,"Có","Không"))</f>
        <v/>
      </c>
      <c r="W2820" s="22">
        <f>IF(OR($D2820="",$R2820="Trùng"),"",COUNTIFS(ORDERS!$C$2:$C$4995,$D2820,ORDERS!$L$2:$L$4995,"Đã chuyển khoản"))</f>
        <v/>
      </c>
      <c r="X2820" s="23">
        <f>IF(OR($D2820="",$R2820="Trùng"),"",SUMIFS(ORDERS!$J$2:$J$4995,ORDERS!$C$2:$C$4995,$D2820,ORDERS!$L$2:$L$4995,"Đã chuyển khoản"))</f>
        <v/>
      </c>
      <c r="Y2820" s="24" t="n"/>
    </row>
    <row r="2821" ht="14.25" customHeight="1" s="40">
      <c r="A2821" s="24" t="n"/>
      <c r="B2821" s="27" t="n"/>
      <c r="C2821" s="24" t="n"/>
      <c r="D2821" s="28" t="n"/>
      <c r="E2821" s="29" t="n"/>
      <c r="F2821" s="24" t="n"/>
      <c r="G2821" s="24" t="n"/>
      <c r="H2821" s="21">
        <f>IF(ISNUMBER($B2821),INT($B2821)-WEEKDAY($B2821,2)+1,"")</f>
        <v/>
      </c>
      <c r="I2821" s="24" t="n"/>
      <c r="J2821" s="22">
        <f t="array" ref="J2821">IF($D2821="","",IF($I2821="","(trống REF)",IFERROR(INDEX(MASTER_SOURCE!$B$2:$B$495,MATCH($I2821,MASTER_SOURCE!$A$2:$A$495,0)),"(REF không có trong MASTER_SOURCE)")))</f>
        <v/>
      </c>
      <c r="K2821" s="22">
        <f t="array" ref="K2821">IF($D2821="","",IFERROR(INDEX(MASTER_SOURCE!$C$2:$C$495,MATCH($I2821,MASTER_SOURCE!$A$2:$A$495,0)),""))</f>
        <v/>
      </c>
      <c r="L2821" s="22">
        <f t="array" ref="L2821">IF($D2821="","",IFERROR(INDEX(MASTER_SOURCE!$D$2:$D$495,MATCH($I2821,MASTER_SOURCE!$A$2:$A$495,0)),""))</f>
        <v/>
      </c>
      <c r="M2821" s="24" t="n"/>
      <c r="N2821" s="24" t="n"/>
      <c r="O2821" s="24" t="n"/>
      <c r="P2821" s="24" t="n"/>
      <c r="Q2821" s="22">
        <f>IF($D2821="","",IF(AND(OR(DANH_MUC!$L$5&lt;&gt;"Có",M2821="Có"),OR(DANH_MUC!$L$6&lt;&gt;"Có",N2821="Có"),OR(DANH_MUC!$L$7&lt;&gt;"Có",O2821="Có"),OR(DANH_MUC!$L$8&lt;&gt;"Có",P2821="Có")),"Có","Không"))</f>
        <v/>
      </c>
      <c r="R2821" s="22">
        <f>IF($D2821="","",IF(COUNTIF($D$2:$D2821,$D2821)&gt;1,"Trùng",""))</f>
        <v/>
      </c>
      <c r="S2821" s="22">
        <f>IF($D2821="","",IF(AND(LEN($D2821)=10,LEFT($D2821,1)="0",ISNUMBER(--$D2821)),"Có","Không"))</f>
        <v/>
      </c>
      <c r="T2821" s="22">
        <f>IF($D2821="","",IF(AND($C2821&lt;&gt;"",$Q2821="Có",$R2821="",$S2821="Có",AND($L2821&lt;&gt;"",OR($L2821&lt;&gt;"Chưa xác định",DANH_MUC!$L$9="Có"))),"Có","Không"))</f>
        <v/>
      </c>
      <c r="U2821" s="22">
        <f>IF(OR($D2821="",$T2821="Có"),"",IF($C2821="","Thiếu họ tên; ","")&amp;IF($S2821&lt;&gt;"Có","SĐT sai định dạng; ","")&amp;IF($R2821="Trùng","Trùng SĐT; ","")&amp;IF($Q2821&lt;&gt;"Có","Thiếu đồng ý bắt buộc; ","")&amp;IF($L2821="","Thiếu/sai Mã REF; ",IF(AND($L2821="Chưa xác định",DANH_MUC!$L$9&lt;&gt;"Có"),"Nguồn chưa xác định; ","")))</f>
        <v/>
      </c>
      <c r="V2821" s="22">
        <f>IF(OR($D2821="",$R2821="Trùng"),"",IF(COUNTIF(ORDERS!$C$2:$C$4995,$D2821)&gt;0,"Có","Không"))</f>
        <v/>
      </c>
      <c r="W2821" s="22">
        <f>IF(OR($D2821="",$R2821="Trùng"),"",COUNTIFS(ORDERS!$C$2:$C$4995,$D2821,ORDERS!$L$2:$L$4995,"Đã chuyển khoản"))</f>
        <v/>
      </c>
      <c r="X2821" s="23">
        <f>IF(OR($D2821="",$R2821="Trùng"),"",SUMIFS(ORDERS!$J$2:$J$4995,ORDERS!$C$2:$C$4995,$D2821,ORDERS!$L$2:$L$4995,"Đã chuyển khoản"))</f>
        <v/>
      </c>
      <c r="Y2821" s="24" t="n"/>
    </row>
    <row r="2822" ht="14.25" customHeight="1" s="40">
      <c r="A2822" s="24" t="n"/>
      <c r="B2822" s="27" t="n"/>
      <c r="C2822" s="24" t="n"/>
      <c r="D2822" s="28" t="n"/>
      <c r="E2822" s="29" t="n"/>
      <c r="F2822" s="24" t="n"/>
      <c r="G2822" s="24" t="n"/>
      <c r="H2822" s="21">
        <f>IF(ISNUMBER($B2822),INT($B2822)-WEEKDAY($B2822,2)+1,"")</f>
        <v/>
      </c>
      <c r="I2822" s="24" t="n"/>
      <c r="J2822" s="22">
        <f t="array" ref="J2822">IF($D2822="","",IF($I2822="","(trống REF)",IFERROR(INDEX(MASTER_SOURCE!$B$2:$B$495,MATCH($I2822,MASTER_SOURCE!$A$2:$A$495,0)),"(REF không có trong MASTER_SOURCE)")))</f>
        <v/>
      </c>
      <c r="K2822" s="22">
        <f t="array" ref="K2822">IF($D2822="","",IFERROR(INDEX(MASTER_SOURCE!$C$2:$C$495,MATCH($I2822,MASTER_SOURCE!$A$2:$A$495,0)),""))</f>
        <v/>
      </c>
      <c r="L2822" s="22">
        <f t="array" ref="L2822">IF($D2822="","",IFERROR(INDEX(MASTER_SOURCE!$D$2:$D$495,MATCH($I2822,MASTER_SOURCE!$A$2:$A$495,0)),""))</f>
        <v/>
      </c>
      <c r="M2822" s="24" t="n"/>
      <c r="N2822" s="24" t="n"/>
      <c r="O2822" s="24" t="n"/>
      <c r="P2822" s="24" t="n"/>
      <c r="Q2822" s="22">
        <f>IF($D2822="","",IF(AND(OR(DANH_MUC!$L$5&lt;&gt;"Có",M2822="Có"),OR(DANH_MUC!$L$6&lt;&gt;"Có",N2822="Có"),OR(DANH_MUC!$L$7&lt;&gt;"Có",O2822="Có"),OR(DANH_MUC!$L$8&lt;&gt;"Có",P2822="Có")),"Có","Không"))</f>
        <v/>
      </c>
      <c r="R2822" s="22">
        <f>IF($D2822="","",IF(COUNTIF($D$2:$D2822,$D2822)&gt;1,"Trùng",""))</f>
        <v/>
      </c>
      <c r="S2822" s="22">
        <f>IF($D2822="","",IF(AND(LEN($D2822)=10,LEFT($D2822,1)="0",ISNUMBER(--$D2822)),"Có","Không"))</f>
        <v/>
      </c>
      <c r="T2822" s="22">
        <f>IF($D2822="","",IF(AND($C2822&lt;&gt;"",$Q2822="Có",$R2822="",$S2822="Có",AND($L2822&lt;&gt;"",OR($L2822&lt;&gt;"Chưa xác định",DANH_MUC!$L$9="Có"))),"Có","Không"))</f>
        <v/>
      </c>
      <c r="U2822" s="22">
        <f>IF(OR($D2822="",$T2822="Có"),"",IF($C2822="","Thiếu họ tên; ","")&amp;IF($S2822&lt;&gt;"Có","SĐT sai định dạng; ","")&amp;IF($R2822="Trùng","Trùng SĐT; ","")&amp;IF($Q2822&lt;&gt;"Có","Thiếu đồng ý bắt buộc; ","")&amp;IF($L2822="","Thiếu/sai Mã REF; ",IF(AND($L2822="Chưa xác định",DANH_MUC!$L$9&lt;&gt;"Có"),"Nguồn chưa xác định; ","")))</f>
        <v/>
      </c>
      <c r="V2822" s="22">
        <f>IF(OR($D2822="",$R2822="Trùng"),"",IF(COUNTIF(ORDERS!$C$2:$C$4995,$D2822)&gt;0,"Có","Không"))</f>
        <v/>
      </c>
      <c r="W2822" s="22">
        <f>IF(OR($D2822="",$R2822="Trùng"),"",COUNTIFS(ORDERS!$C$2:$C$4995,$D2822,ORDERS!$L$2:$L$4995,"Đã chuyển khoản"))</f>
        <v/>
      </c>
      <c r="X2822" s="23">
        <f>IF(OR($D2822="",$R2822="Trùng"),"",SUMIFS(ORDERS!$J$2:$J$4995,ORDERS!$C$2:$C$4995,$D2822,ORDERS!$L$2:$L$4995,"Đã chuyển khoản"))</f>
        <v/>
      </c>
      <c r="Y2822" s="24" t="n"/>
    </row>
    <row r="2823" ht="14.25" customHeight="1" s="40">
      <c r="A2823" s="24" t="n"/>
      <c r="B2823" s="27" t="n"/>
      <c r="C2823" s="24" t="n"/>
      <c r="D2823" s="28" t="n"/>
      <c r="E2823" s="29" t="n"/>
      <c r="F2823" s="24" t="n"/>
      <c r="G2823" s="24" t="n"/>
      <c r="H2823" s="21">
        <f>IF(ISNUMBER($B2823),INT($B2823)-WEEKDAY($B2823,2)+1,"")</f>
        <v/>
      </c>
      <c r="I2823" s="24" t="n"/>
      <c r="J2823" s="22">
        <f t="array" ref="J2823">IF($D2823="","",IF($I2823="","(trống REF)",IFERROR(INDEX(MASTER_SOURCE!$B$2:$B$495,MATCH($I2823,MASTER_SOURCE!$A$2:$A$495,0)),"(REF không có trong MASTER_SOURCE)")))</f>
        <v/>
      </c>
      <c r="K2823" s="22">
        <f t="array" ref="K2823">IF($D2823="","",IFERROR(INDEX(MASTER_SOURCE!$C$2:$C$495,MATCH($I2823,MASTER_SOURCE!$A$2:$A$495,0)),""))</f>
        <v/>
      </c>
      <c r="L2823" s="22">
        <f t="array" ref="L2823">IF($D2823="","",IFERROR(INDEX(MASTER_SOURCE!$D$2:$D$495,MATCH($I2823,MASTER_SOURCE!$A$2:$A$495,0)),""))</f>
        <v/>
      </c>
      <c r="M2823" s="24" t="n"/>
      <c r="N2823" s="24" t="n"/>
      <c r="O2823" s="24" t="n"/>
      <c r="P2823" s="24" t="n"/>
      <c r="Q2823" s="22">
        <f>IF($D2823="","",IF(AND(OR(DANH_MUC!$L$5&lt;&gt;"Có",M2823="Có"),OR(DANH_MUC!$L$6&lt;&gt;"Có",N2823="Có"),OR(DANH_MUC!$L$7&lt;&gt;"Có",O2823="Có"),OR(DANH_MUC!$L$8&lt;&gt;"Có",P2823="Có")),"Có","Không"))</f>
        <v/>
      </c>
      <c r="R2823" s="22">
        <f>IF($D2823="","",IF(COUNTIF($D$2:$D2823,$D2823)&gt;1,"Trùng",""))</f>
        <v/>
      </c>
      <c r="S2823" s="22">
        <f>IF($D2823="","",IF(AND(LEN($D2823)=10,LEFT($D2823,1)="0",ISNUMBER(--$D2823)),"Có","Không"))</f>
        <v/>
      </c>
      <c r="T2823" s="22">
        <f>IF($D2823="","",IF(AND($C2823&lt;&gt;"",$Q2823="Có",$R2823="",$S2823="Có",AND($L2823&lt;&gt;"",OR($L2823&lt;&gt;"Chưa xác định",DANH_MUC!$L$9="Có"))),"Có","Không"))</f>
        <v/>
      </c>
      <c r="U2823" s="22">
        <f>IF(OR($D2823="",$T2823="Có"),"",IF($C2823="","Thiếu họ tên; ","")&amp;IF($S2823&lt;&gt;"Có","SĐT sai định dạng; ","")&amp;IF($R2823="Trùng","Trùng SĐT; ","")&amp;IF($Q2823&lt;&gt;"Có","Thiếu đồng ý bắt buộc; ","")&amp;IF($L2823="","Thiếu/sai Mã REF; ",IF(AND($L2823="Chưa xác định",DANH_MUC!$L$9&lt;&gt;"Có"),"Nguồn chưa xác định; ","")))</f>
        <v/>
      </c>
      <c r="V2823" s="22">
        <f>IF(OR($D2823="",$R2823="Trùng"),"",IF(COUNTIF(ORDERS!$C$2:$C$4995,$D2823)&gt;0,"Có","Không"))</f>
        <v/>
      </c>
      <c r="W2823" s="22">
        <f>IF(OR($D2823="",$R2823="Trùng"),"",COUNTIFS(ORDERS!$C$2:$C$4995,$D2823,ORDERS!$L$2:$L$4995,"Đã chuyển khoản"))</f>
        <v/>
      </c>
      <c r="X2823" s="23">
        <f>IF(OR($D2823="",$R2823="Trùng"),"",SUMIFS(ORDERS!$J$2:$J$4995,ORDERS!$C$2:$C$4995,$D2823,ORDERS!$L$2:$L$4995,"Đã chuyển khoản"))</f>
        <v/>
      </c>
      <c r="Y2823" s="24" t="n"/>
    </row>
    <row r="2824" ht="14.25" customHeight="1" s="40">
      <c r="A2824" s="24" t="n"/>
      <c r="B2824" s="27" t="n"/>
      <c r="C2824" s="24" t="n"/>
      <c r="D2824" s="28" t="n"/>
      <c r="E2824" s="29" t="n"/>
      <c r="F2824" s="24" t="n"/>
      <c r="G2824" s="24" t="n"/>
      <c r="H2824" s="21">
        <f>IF(ISNUMBER($B2824),INT($B2824)-WEEKDAY($B2824,2)+1,"")</f>
        <v/>
      </c>
      <c r="I2824" s="24" t="n"/>
      <c r="J2824" s="22">
        <f t="array" ref="J2824">IF($D2824="","",IF($I2824="","(trống REF)",IFERROR(INDEX(MASTER_SOURCE!$B$2:$B$495,MATCH($I2824,MASTER_SOURCE!$A$2:$A$495,0)),"(REF không có trong MASTER_SOURCE)")))</f>
        <v/>
      </c>
      <c r="K2824" s="22">
        <f t="array" ref="K2824">IF($D2824="","",IFERROR(INDEX(MASTER_SOURCE!$C$2:$C$495,MATCH($I2824,MASTER_SOURCE!$A$2:$A$495,0)),""))</f>
        <v/>
      </c>
      <c r="L2824" s="22">
        <f t="array" ref="L2824">IF($D2824="","",IFERROR(INDEX(MASTER_SOURCE!$D$2:$D$495,MATCH($I2824,MASTER_SOURCE!$A$2:$A$495,0)),""))</f>
        <v/>
      </c>
      <c r="M2824" s="24" t="n"/>
      <c r="N2824" s="24" t="n"/>
      <c r="O2824" s="24" t="n"/>
      <c r="P2824" s="24" t="n"/>
      <c r="Q2824" s="22">
        <f>IF($D2824="","",IF(AND(OR(DANH_MUC!$L$5&lt;&gt;"Có",M2824="Có"),OR(DANH_MUC!$L$6&lt;&gt;"Có",N2824="Có"),OR(DANH_MUC!$L$7&lt;&gt;"Có",O2824="Có"),OR(DANH_MUC!$L$8&lt;&gt;"Có",P2824="Có")),"Có","Không"))</f>
        <v/>
      </c>
      <c r="R2824" s="22">
        <f>IF($D2824="","",IF(COUNTIF($D$2:$D2824,$D2824)&gt;1,"Trùng",""))</f>
        <v/>
      </c>
      <c r="S2824" s="22">
        <f>IF($D2824="","",IF(AND(LEN($D2824)=10,LEFT($D2824,1)="0",ISNUMBER(--$D2824)),"Có","Không"))</f>
        <v/>
      </c>
      <c r="T2824" s="22">
        <f>IF($D2824="","",IF(AND($C2824&lt;&gt;"",$Q2824="Có",$R2824="",$S2824="Có",AND($L2824&lt;&gt;"",OR($L2824&lt;&gt;"Chưa xác định",DANH_MUC!$L$9="Có"))),"Có","Không"))</f>
        <v/>
      </c>
      <c r="U2824" s="22">
        <f>IF(OR($D2824="",$T2824="Có"),"",IF($C2824="","Thiếu họ tên; ","")&amp;IF($S2824&lt;&gt;"Có","SĐT sai định dạng; ","")&amp;IF($R2824="Trùng","Trùng SĐT; ","")&amp;IF($Q2824&lt;&gt;"Có","Thiếu đồng ý bắt buộc; ","")&amp;IF($L2824="","Thiếu/sai Mã REF; ",IF(AND($L2824="Chưa xác định",DANH_MUC!$L$9&lt;&gt;"Có"),"Nguồn chưa xác định; ","")))</f>
        <v/>
      </c>
      <c r="V2824" s="22">
        <f>IF(OR($D2824="",$R2824="Trùng"),"",IF(COUNTIF(ORDERS!$C$2:$C$4995,$D2824)&gt;0,"Có","Không"))</f>
        <v/>
      </c>
      <c r="W2824" s="22">
        <f>IF(OR($D2824="",$R2824="Trùng"),"",COUNTIFS(ORDERS!$C$2:$C$4995,$D2824,ORDERS!$L$2:$L$4995,"Đã chuyển khoản"))</f>
        <v/>
      </c>
      <c r="X2824" s="23">
        <f>IF(OR($D2824="",$R2824="Trùng"),"",SUMIFS(ORDERS!$J$2:$J$4995,ORDERS!$C$2:$C$4995,$D2824,ORDERS!$L$2:$L$4995,"Đã chuyển khoản"))</f>
        <v/>
      </c>
      <c r="Y2824" s="24" t="n"/>
    </row>
    <row r="2825" ht="14.25" customHeight="1" s="40">
      <c r="A2825" s="24" t="n"/>
      <c r="B2825" s="27" t="n"/>
      <c r="C2825" s="24" t="n"/>
      <c r="D2825" s="28" t="n"/>
      <c r="E2825" s="29" t="n"/>
      <c r="F2825" s="24" t="n"/>
      <c r="G2825" s="24" t="n"/>
      <c r="H2825" s="21">
        <f>IF(ISNUMBER($B2825),INT($B2825)-WEEKDAY($B2825,2)+1,"")</f>
        <v/>
      </c>
      <c r="I2825" s="24" t="n"/>
      <c r="J2825" s="22">
        <f t="array" ref="J2825">IF($D2825="","",IF($I2825="","(trống REF)",IFERROR(INDEX(MASTER_SOURCE!$B$2:$B$495,MATCH($I2825,MASTER_SOURCE!$A$2:$A$495,0)),"(REF không có trong MASTER_SOURCE)")))</f>
        <v/>
      </c>
      <c r="K2825" s="22">
        <f t="array" ref="K2825">IF($D2825="","",IFERROR(INDEX(MASTER_SOURCE!$C$2:$C$495,MATCH($I2825,MASTER_SOURCE!$A$2:$A$495,0)),""))</f>
        <v/>
      </c>
      <c r="L2825" s="22">
        <f t="array" ref="L2825">IF($D2825="","",IFERROR(INDEX(MASTER_SOURCE!$D$2:$D$495,MATCH($I2825,MASTER_SOURCE!$A$2:$A$495,0)),""))</f>
        <v/>
      </c>
      <c r="M2825" s="24" t="n"/>
      <c r="N2825" s="24" t="n"/>
      <c r="O2825" s="24" t="n"/>
      <c r="P2825" s="24" t="n"/>
      <c r="Q2825" s="22">
        <f>IF($D2825="","",IF(AND(OR(DANH_MUC!$L$5&lt;&gt;"Có",M2825="Có"),OR(DANH_MUC!$L$6&lt;&gt;"Có",N2825="Có"),OR(DANH_MUC!$L$7&lt;&gt;"Có",O2825="Có"),OR(DANH_MUC!$L$8&lt;&gt;"Có",P2825="Có")),"Có","Không"))</f>
        <v/>
      </c>
      <c r="R2825" s="22">
        <f>IF($D2825="","",IF(COUNTIF($D$2:$D2825,$D2825)&gt;1,"Trùng",""))</f>
        <v/>
      </c>
      <c r="S2825" s="22">
        <f>IF($D2825="","",IF(AND(LEN($D2825)=10,LEFT($D2825,1)="0",ISNUMBER(--$D2825)),"Có","Không"))</f>
        <v/>
      </c>
      <c r="T2825" s="22">
        <f>IF($D2825="","",IF(AND($C2825&lt;&gt;"",$Q2825="Có",$R2825="",$S2825="Có",AND($L2825&lt;&gt;"",OR($L2825&lt;&gt;"Chưa xác định",DANH_MUC!$L$9="Có"))),"Có","Không"))</f>
        <v/>
      </c>
      <c r="U2825" s="22">
        <f>IF(OR($D2825="",$T2825="Có"),"",IF($C2825="","Thiếu họ tên; ","")&amp;IF($S2825&lt;&gt;"Có","SĐT sai định dạng; ","")&amp;IF($R2825="Trùng","Trùng SĐT; ","")&amp;IF($Q2825&lt;&gt;"Có","Thiếu đồng ý bắt buộc; ","")&amp;IF($L2825="","Thiếu/sai Mã REF; ",IF(AND($L2825="Chưa xác định",DANH_MUC!$L$9&lt;&gt;"Có"),"Nguồn chưa xác định; ","")))</f>
        <v/>
      </c>
      <c r="V2825" s="22">
        <f>IF(OR($D2825="",$R2825="Trùng"),"",IF(COUNTIF(ORDERS!$C$2:$C$4995,$D2825)&gt;0,"Có","Không"))</f>
        <v/>
      </c>
      <c r="W2825" s="22">
        <f>IF(OR($D2825="",$R2825="Trùng"),"",COUNTIFS(ORDERS!$C$2:$C$4995,$D2825,ORDERS!$L$2:$L$4995,"Đã chuyển khoản"))</f>
        <v/>
      </c>
      <c r="X2825" s="23">
        <f>IF(OR($D2825="",$R2825="Trùng"),"",SUMIFS(ORDERS!$J$2:$J$4995,ORDERS!$C$2:$C$4995,$D2825,ORDERS!$L$2:$L$4995,"Đã chuyển khoản"))</f>
        <v/>
      </c>
      <c r="Y2825" s="24" t="n"/>
    </row>
    <row r="2826" ht="14.25" customHeight="1" s="40">
      <c r="A2826" s="24" t="n"/>
      <c r="B2826" s="27" t="n"/>
      <c r="C2826" s="24" t="n"/>
      <c r="D2826" s="28" t="n"/>
      <c r="E2826" s="29" t="n"/>
      <c r="F2826" s="24" t="n"/>
      <c r="G2826" s="24" t="n"/>
      <c r="H2826" s="21">
        <f>IF(ISNUMBER($B2826),INT($B2826)-WEEKDAY($B2826,2)+1,"")</f>
        <v/>
      </c>
      <c r="I2826" s="24" t="n"/>
      <c r="J2826" s="22">
        <f t="array" ref="J2826">IF($D2826="","",IF($I2826="","(trống REF)",IFERROR(INDEX(MASTER_SOURCE!$B$2:$B$495,MATCH($I2826,MASTER_SOURCE!$A$2:$A$495,0)),"(REF không có trong MASTER_SOURCE)")))</f>
        <v/>
      </c>
      <c r="K2826" s="22">
        <f t="array" ref="K2826">IF($D2826="","",IFERROR(INDEX(MASTER_SOURCE!$C$2:$C$495,MATCH($I2826,MASTER_SOURCE!$A$2:$A$495,0)),""))</f>
        <v/>
      </c>
      <c r="L2826" s="22">
        <f t="array" ref="L2826">IF($D2826="","",IFERROR(INDEX(MASTER_SOURCE!$D$2:$D$495,MATCH($I2826,MASTER_SOURCE!$A$2:$A$495,0)),""))</f>
        <v/>
      </c>
      <c r="M2826" s="24" t="n"/>
      <c r="N2826" s="24" t="n"/>
      <c r="O2826" s="24" t="n"/>
      <c r="P2826" s="24" t="n"/>
      <c r="Q2826" s="22">
        <f>IF($D2826="","",IF(AND(OR(DANH_MUC!$L$5&lt;&gt;"Có",M2826="Có"),OR(DANH_MUC!$L$6&lt;&gt;"Có",N2826="Có"),OR(DANH_MUC!$L$7&lt;&gt;"Có",O2826="Có"),OR(DANH_MUC!$L$8&lt;&gt;"Có",P2826="Có")),"Có","Không"))</f>
        <v/>
      </c>
      <c r="R2826" s="22">
        <f>IF($D2826="","",IF(COUNTIF($D$2:$D2826,$D2826)&gt;1,"Trùng",""))</f>
        <v/>
      </c>
      <c r="S2826" s="22">
        <f>IF($D2826="","",IF(AND(LEN($D2826)=10,LEFT($D2826,1)="0",ISNUMBER(--$D2826)),"Có","Không"))</f>
        <v/>
      </c>
      <c r="T2826" s="22">
        <f>IF($D2826="","",IF(AND($C2826&lt;&gt;"",$Q2826="Có",$R2826="",$S2826="Có",AND($L2826&lt;&gt;"",OR($L2826&lt;&gt;"Chưa xác định",DANH_MUC!$L$9="Có"))),"Có","Không"))</f>
        <v/>
      </c>
      <c r="U2826" s="22">
        <f>IF(OR($D2826="",$T2826="Có"),"",IF($C2826="","Thiếu họ tên; ","")&amp;IF($S2826&lt;&gt;"Có","SĐT sai định dạng; ","")&amp;IF($R2826="Trùng","Trùng SĐT; ","")&amp;IF($Q2826&lt;&gt;"Có","Thiếu đồng ý bắt buộc; ","")&amp;IF($L2826="","Thiếu/sai Mã REF; ",IF(AND($L2826="Chưa xác định",DANH_MUC!$L$9&lt;&gt;"Có"),"Nguồn chưa xác định; ","")))</f>
        <v/>
      </c>
      <c r="V2826" s="22">
        <f>IF(OR($D2826="",$R2826="Trùng"),"",IF(COUNTIF(ORDERS!$C$2:$C$4995,$D2826)&gt;0,"Có","Không"))</f>
        <v/>
      </c>
      <c r="W2826" s="22">
        <f>IF(OR($D2826="",$R2826="Trùng"),"",COUNTIFS(ORDERS!$C$2:$C$4995,$D2826,ORDERS!$L$2:$L$4995,"Đã chuyển khoản"))</f>
        <v/>
      </c>
      <c r="X2826" s="23">
        <f>IF(OR($D2826="",$R2826="Trùng"),"",SUMIFS(ORDERS!$J$2:$J$4995,ORDERS!$C$2:$C$4995,$D2826,ORDERS!$L$2:$L$4995,"Đã chuyển khoản"))</f>
        <v/>
      </c>
      <c r="Y2826" s="24" t="n"/>
    </row>
    <row r="2827" ht="14.25" customHeight="1" s="40">
      <c r="A2827" s="24" t="n"/>
      <c r="B2827" s="27" t="n"/>
      <c r="C2827" s="24" t="n"/>
      <c r="D2827" s="28" t="n"/>
      <c r="E2827" s="29" t="n"/>
      <c r="F2827" s="24" t="n"/>
      <c r="G2827" s="24" t="n"/>
      <c r="H2827" s="21">
        <f>IF(ISNUMBER($B2827),INT($B2827)-WEEKDAY($B2827,2)+1,"")</f>
        <v/>
      </c>
      <c r="I2827" s="24" t="n"/>
      <c r="J2827" s="22">
        <f t="array" ref="J2827">IF($D2827="","",IF($I2827="","(trống REF)",IFERROR(INDEX(MASTER_SOURCE!$B$2:$B$495,MATCH($I2827,MASTER_SOURCE!$A$2:$A$495,0)),"(REF không có trong MASTER_SOURCE)")))</f>
        <v/>
      </c>
      <c r="K2827" s="22">
        <f t="array" ref="K2827">IF($D2827="","",IFERROR(INDEX(MASTER_SOURCE!$C$2:$C$495,MATCH($I2827,MASTER_SOURCE!$A$2:$A$495,0)),""))</f>
        <v/>
      </c>
      <c r="L2827" s="22">
        <f t="array" ref="L2827">IF($D2827="","",IFERROR(INDEX(MASTER_SOURCE!$D$2:$D$495,MATCH($I2827,MASTER_SOURCE!$A$2:$A$495,0)),""))</f>
        <v/>
      </c>
      <c r="M2827" s="24" t="n"/>
      <c r="N2827" s="24" t="n"/>
      <c r="O2827" s="24" t="n"/>
      <c r="P2827" s="24" t="n"/>
      <c r="Q2827" s="22">
        <f>IF($D2827="","",IF(AND(OR(DANH_MUC!$L$5&lt;&gt;"Có",M2827="Có"),OR(DANH_MUC!$L$6&lt;&gt;"Có",N2827="Có"),OR(DANH_MUC!$L$7&lt;&gt;"Có",O2827="Có"),OR(DANH_MUC!$L$8&lt;&gt;"Có",P2827="Có")),"Có","Không"))</f>
        <v/>
      </c>
      <c r="R2827" s="22">
        <f>IF($D2827="","",IF(COUNTIF($D$2:$D2827,$D2827)&gt;1,"Trùng",""))</f>
        <v/>
      </c>
      <c r="S2827" s="22">
        <f>IF($D2827="","",IF(AND(LEN($D2827)=10,LEFT($D2827,1)="0",ISNUMBER(--$D2827)),"Có","Không"))</f>
        <v/>
      </c>
      <c r="T2827" s="22">
        <f>IF($D2827="","",IF(AND($C2827&lt;&gt;"",$Q2827="Có",$R2827="",$S2827="Có",AND($L2827&lt;&gt;"",OR($L2827&lt;&gt;"Chưa xác định",DANH_MUC!$L$9="Có"))),"Có","Không"))</f>
        <v/>
      </c>
      <c r="U2827" s="22">
        <f>IF(OR($D2827="",$T2827="Có"),"",IF($C2827="","Thiếu họ tên; ","")&amp;IF($S2827&lt;&gt;"Có","SĐT sai định dạng; ","")&amp;IF($R2827="Trùng","Trùng SĐT; ","")&amp;IF($Q2827&lt;&gt;"Có","Thiếu đồng ý bắt buộc; ","")&amp;IF($L2827="","Thiếu/sai Mã REF; ",IF(AND($L2827="Chưa xác định",DANH_MUC!$L$9&lt;&gt;"Có"),"Nguồn chưa xác định; ","")))</f>
        <v/>
      </c>
      <c r="V2827" s="22">
        <f>IF(OR($D2827="",$R2827="Trùng"),"",IF(COUNTIF(ORDERS!$C$2:$C$4995,$D2827)&gt;0,"Có","Không"))</f>
        <v/>
      </c>
      <c r="W2827" s="22">
        <f>IF(OR($D2827="",$R2827="Trùng"),"",COUNTIFS(ORDERS!$C$2:$C$4995,$D2827,ORDERS!$L$2:$L$4995,"Đã chuyển khoản"))</f>
        <v/>
      </c>
      <c r="X2827" s="23">
        <f>IF(OR($D2827="",$R2827="Trùng"),"",SUMIFS(ORDERS!$J$2:$J$4995,ORDERS!$C$2:$C$4995,$D2827,ORDERS!$L$2:$L$4995,"Đã chuyển khoản"))</f>
        <v/>
      </c>
      <c r="Y2827" s="24" t="n"/>
    </row>
    <row r="2828" ht="14.25" customHeight="1" s="40">
      <c r="A2828" s="24" t="n"/>
      <c r="B2828" s="27" t="n"/>
      <c r="C2828" s="24" t="n"/>
      <c r="D2828" s="28" t="n"/>
      <c r="E2828" s="29" t="n"/>
      <c r="F2828" s="24" t="n"/>
      <c r="G2828" s="24" t="n"/>
      <c r="H2828" s="21">
        <f>IF(ISNUMBER($B2828),INT($B2828)-WEEKDAY($B2828,2)+1,"")</f>
        <v/>
      </c>
      <c r="I2828" s="24" t="n"/>
      <c r="J2828" s="22">
        <f t="array" ref="J2828">IF($D2828="","",IF($I2828="","(trống REF)",IFERROR(INDEX(MASTER_SOURCE!$B$2:$B$495,MATCH($I2828,MASTER_SOURCE!$A$2:$A$495,0)),"(REF không có trong MASTER_SOURCE)")))</f>
        <v/>
      </c>
      <c r="K2828" s="22">
        <f t="array" ref="K2828">IF($D2828="","",IFERROR(INDEX(MASTER_SOURCE!$C$2:$C$495,MATCH($I2828,MASTER_SOURCE!$A$2:$A$495,0)),""))</f>
        <v/>
      </c>
      <c r="L2828" s="22">
        <f t="array" ref="L2828">IF($D2828="","",IFERROR(INDEX(MASTER_SOURCE!$D$2:$D$495,MATCH($I2828,MASTER_SOURCE!$A$2:$A$495,0)),""))</f>
        <v/>
      </c>
      <c r="M2828" s="24" t="n"/>
      <c r="N2828" s="24" t="n"/>
      <c r="O2828" s="24" t="n"/>
      <c r="P2828" s="24" t="n"/>
      <c r="Q2828" s="22">
        <f>IF($D2828="","",IF(AND(OR(DANH_MUC!$L$5&lt;&gt;"Có",M2828="Có"),OR(DANH_MUC!$L$6&lt;&gt;"Có",N2828="Có"),OR(DANH_MUC!$L$7&lt;&gt;"Có",O2828="Có"),OR(DANH_MUC!$L$8&lt;&gt;"Có",P2828="Có")),"Có","Không"))</f>
        <v/>
      </c>
      <c r="R2828" s="22">
        <f>IF($D2828="","",IF(COUNTIF($D$2:$D2828,$D2828)&gt;1,"Trùng",""))</f>
        <v/>
      </c>
      <c r="S2828" s="22">
        <f>IF($D2828="","",IF(AND(LEN($D2828)=10,LEFT($D2828,1)="0",ISNUMBER(--$D2828)),"Có","Không"))</f>
        <v/>
      </c>
      <c r="T2828" s="22">
        <f>IF($D2828="","",IF(AND($C2828&lt;&gt;"",$Q2828="Có",$R2828="",$S2828="Có",AND($L2828&lt;&gt;"",OR($L2828&lt;&gt;"Chưa xác định",DANH_MUC!$L$9="Có"))),"Có","Không"))</f>
        <v/>
      </c>
      <c r="U2828" s="22">
        <f>IF(OR($D2828="",$T2828="Có"),"",IF($C2828="","Thiếu họ tên; ","")&amp;IF($S2828&lt;&gt;"Có","SĐT sai định dạng; ","")&amp;IF($R2828="Trùng","Trùng SĐT; ","")&amp;IF($Q2828&lt;&gt;"Có","Thiếu đồng ý bắt buộc; ","")&amp;IF($L2828="","Thiếu/sai Mã REF; ",IF(AND($L2828="Chưa xác định",DANH_MUC!$L$9&lt;&gt;"Có"),"Nguồn chưa xác định; ","")))</f>
        <v/>
      </c>
      <c r="V2828" s="22">
        <f>IF(OR($D2828="",$R2828="Trùng"),"",IF(COUNTIF(ORDERS!$C$2:$C$4995,$D2828)&gt;0,"Có","Không"))</f>
        <v/>
      </c>
      <c r="W2828" s="22">
        <f>IF(OR($D2828="",$R2828="Trùng"),"",COUNTIFS(ORDERS!$C$2:$C$4995,$D2828,ORDERS!$L$2:$L$4995,"Đã chuyển khoản"))</f>
        <v/>
      </c>
      <c r="X2828" s="23">
        <f>IF(OR($D2828="",$R2828="Trùng"),"",SUMIFS(ORDERS!$J$2:$J$4995,ORDERS!$C$2:$C$4995,$D2828,ORDERS!$L$2:$L$4995,"Đã chuyển khoản"))</f>
        <v/>
      </c>
      <c r="Y2828" s="24" t="n"/>
    </row>
    <row r="2829" ht="14.25" customHeight="1" s="40">
      <c r="A2829" s="24" t="n"/>
      <c r="B2829" s="27" t="n"/>
      <c r="C2829" s="24" t="n"/>
      <c r="D2829" s="28" t="n"/>
      <c r="E2829" s="29" t="n"/>
      <c r="F2829" s="24" t="n"/>
      <c r="G2829" s="24" t="n"/>
      <c r="H2829" s="21">
        <f>IF(ISNUMBER($B2829),INT($B2829)-WEEKDAY($B2829,2)+1,"")</f>
        <v/>
      </c>
      <c r="I2829" s="24" t="n"/>
      <c r="J2829" s="22">
        <f t="array" ref="J2829">IF($D2829="","",IF($I2829="","(trống REF)",IFERROR(INDEX(MASTER_SOURCE!$B$2:$B$495,MATCH($I2829,MASTER_SOURCE!$A$2:$A$495,0)),"(REF không có trong MASTER_SOURCE)")))</f>
        <v/>
      </c>
      <c r="K2829" s="22">
        <f t="array" ref="K2829">IF($D2829="","",IFERROR(INDEX(MASTER_SOURCE!$C$2:$C$495,MATCH($I2829,MASTER_SOURCE!$A$2:$A$495,0)),""))</f>
        <v/>
      </c>
      <c r="L2829" s="22">
        <f t="array" ref="L2829">IF($D2829="","",IFERROR(INDEX(MASTER_SOURCE!$D$2:$D$495,MATCH($I2829,MASTER_SOURCE!$A$2:$A$495,0)),""))</f>
        <v/>
      </c>
      <c r="M2829" s="24" t="n"/>
      <c r="N2829" s="24" t="n"/>
      <c r="O2829" s="24" t="n"/>
      <c r="P2829" s="24" t="n"/>
      <c r="Q2829" s="22">
        <f>IF($D2829="","",IF(AND(OR(DANH_MUC!$L$5&lt;&gt;"Có",M2829="Có"),OR(DANH_MUC!$L$6&lt;&gt;"Có",N2829="Có"),OR(DANH_MUC!$L$7&lt;&gt;"Có",O2829="Có"),OR(DANH_MUC!$L$8&lt;&gt;"Có",P2829="Có")),"Có","Không"))</f>
        <v/>
      </c>
      <c r="R2829" s="22">
        <f>IF($D2829="","",IF(COUNTIF($D$2:$D2829,$D2829)&gt;1,"Trùng",""))</f>
        <v/>
      </c>
      <c r="S2829" s="22">
        <f>IF($D2829="","",IF(AND(LEN($D2829)=10,LEFT($D2829,1)="0",ISNUMBER(--$D2829)),"Có","Không"))</f>
        <v/>
      </c>
      <c r="T2829" s="22">
        <f>IF($D2829="","",IF(AND($C2829&lt;&gt;"",$Q2829="Có",$R2829="",$S2829="Có",AND($L2829&lt;&gt;"",OR($L2829&lt;&gt;"Chưa xác định",DANH_MUC!$L$9="Có"))),"Có","Không"))</f>
        <v/>
      </c>
      <c r="U2829" s="22">
        <f>IF(OR($D2829="",$T2829="Có"),"",IF($C2829="","Thiếu họ tên; ","")&amp;IF($S2829&lt;&gt;"Có","SĐT sai định dạng; ","")&amp;IF($R2829="Trùng","Trùng SĐT; ","")&amp;IF($Q2829&lt;&gt;"Có","Thiếu đồng ý bắt buộc; ","")&amp;IF($L2829="","Thiếu/sai Mã REF; ",IF(AND($L2829="Chưa xác định",DANH_MUC!$L$9&lt;&gt;"Có"),"Nguồn chưa xác định; ","")))</f>
        <v/>
      </c>
      <c r="V2829" s="22">
        <f>IF(OR($D2829="",$R2829="Trùng"),"",IF(COUNTIF(ORDERS!$C$2:$C$4995,$D2829)&gt;0,"Có","Không"))</f>
        <v/>
      </c>
      <c r="W2829" s="22">
        <f>IF(OR($D2829="",$R2829="Trùng"),"",COUNTIFS(ORDERS!$C$2:$C$4995,$D2829,ORDERS!$L$2:$L$4995,"Đã chuyển khoản"))</f>
        <v/>
      </c>
      <c r="X2829" s="23">
        <f>IF(OR($D2829="",$R2829="Trùng"),"",SUMIFS(ORDERS!$J$2:$J$4995,ORDERS!$C$2:$C$4995,$D2829,ORDERS!$L$2:$L$4995,"Đã chuyển khoản"))</f>
        <v/>
      </c>
      <c r="Y2829" s="24" t="n"/>
    </row>
    <row r="2830" ht="14.25" customHeight="1" s="40">
      <c r="A2830" s="24" t="n"/>
      <c r="B2830" s="27" t="n"/>
      <c r="C2830" s="24" t="n"/>
      <c r="D2830" s="28" t="n"/>
      <c r="E2830" s="29" t="n"/>
      <c r="F2830" s="24" t="n"/>
      <c r="G2830" s="24" t="n"/>
      <c r="H2830" s="21">
        <f>IF(ISNUMBER($B2830),INT($B2830)-WEEKDAY($B2830,2)+1,"")</f>
        <v/>
      </c>
      <c r="I2830" s="24" t="n"/>
      <c r="J2830" s="22">
        <f t="array" ref="J2830">IF($D2830="","",IF($I2830="","(trống REF)",IFERROR(INDEX(MASTER_SOURCE!$B$2:$B$495,MATCH($I2830,MASTER_SOURCE!$A$2:$A$495,0)),"(REF không có trong MASTER_SOURCE)")))</f>
        <v/>
      </c>
      <c r="K2830" s="22">
        <f t="array" ref="K2830">IF($D2830="","",IFERROR(INDEX(MASTER_SOURCE!$C$2:$C$495,MATCH($I2830,MASTER_SOURCE!$A$2:$A$495,0)),""))</f>
        <v/>
      </c>
      <c r="L2830" s="22">
        <f t="array" ref="L2830">IF($D2830="","",IFERROR(INDEX(MASTER_SOURCE!$D$2:$D$495,MATCH($I2830,MASTER_SOURCE!$A$2:$A$495,0)),""))</f>
        <v/>
      </c>
      <c r="M2830" s="24" t="n"/>
      <c r="N2830" s="24" t="n"/>
      <c r="O2830" s="24" t="n"/>
      <c r="P2830" s="24" t="n"/>
      <c r="Q2830" s="22">
        <f>IF($D2830="","",IF(AND(OR(DANH_MUC!$L$5&lt;&gt;"Có",M2830="Có"),OR(DANH_MUC!$L$6&lt;&gt;"Có",N2830="Có"),OR(DANH_MUC!$L$7&lt;&gt;"Có",O2830="Có"),OR(DANH_MUC!$L$8&lt;&gt;"Có",P2830="Có")),"Có","Không"))</f>
        <v/>
      </c>
      <c r="R2830" s="22">
        <f>IF($D2830="","",IF(COUNTIF($D$2:$D2830,$D2830)&gt;1,"Trùng",""))</f>
        <v/>
      </c>
      <c r="S2830" s="22">
        <f>IF($D2830="","",IF(AND(LEN($D2830)=10,LEFT($D2830,1)="0",ISNUMBER(--$D2830)),"Có","Không"))</f>
        <v/>
      </c>
      <c r="T2830" s="22">
        <f>IF($D2830="","",IF(AND($C2830&lt;&gt;"",$Q2830="Có",$R2830="",$S2830="Có",AND($L2830&lt;&gt;"",OR($L2830&lt;&gt;"Chưa xác định",DANH_MUC!$L$9="Có"))),"Có","Không"))</f>
        <v/>
      </c>
      <c r="U2830" s="22">
        <f>IF(OR($D2830="",$T2830="Có"),"",IF($C2830="","Thiếu họ tên; ","")&amp;IF($S2830&lt;&gt;"Có","SĐT sai định dạng; ","")&amp;IF($R2830="Trùng","Trùng SĐT; ","")&amp;IF($Q2830&lt;&gt;"Có","Thiếu đồng ý bắt buộc; ","")&amp;IF($L2830="","Thiếu/sai Mã REF; ",IF(AND($L2830="Chưa xác định",DANH_MUC!$L$9&lt;&gt;"Có"),"Nguồn chưa xác định; ","")))</f>
        <v/>
      </c>
      <c r="V2830" s="22">
        <f>IF(OR($D2830="",$R2830="Trùng"),"",IF(COUNTIF(ORDERS!$C$2:$C$4995,$D2830)&gt;0,"Có","Không"))</f>
        <v/>
      </c>
      <c r="W2830" s="22">
        <f>IF(OR($D2830="",$R2830="Trùng"),"",COUNTIFS(ORDERS!$C$2:$C$4995,$D2830,ORDERS!$L$2:$L$4995,"Đã chuyển khoản"))</f>
        <v/>
      </c>
      <c r="X2830" s="23">
        <f>IF(OR($D2830="",$R2830="Trùng"),"",SUMIFS(ORDERS!$J$2:$J$4995,ORDERS!$C$2:$C$4995,$D2830,ORDERS!$L$2:$L$4995,"Đã chuyển khoản"))</f>
        <v/>
      </c>
      <c r="Y2830" s="24" t="n"/>
    </row>
    <row r="2831" ht="14.25" customHeight="1" s="40">
      <c r="A2831" s="24" t="n"/>
      <c r="B2831" s="27" t="n"/>
      <c r="C2831" s="24" t="n"/>
      <c r="D2831" s="28" t="n"/>
      <c r="E2831" s="29" t="n"/>
      <c r="F2831" s="24" t="n"/>
      <c r="G2831" s="24" t="n"/>
      <c r="H2831" s="21">
        <f>IF(ISNUMBER($B2831),INT($B2831)-WEEKDAY($B2831,2)+1,"")</f>
        <v/>
      </c>
      <c r="I2831" s="24" t="n"/>
      <c r="J2831" s="22">
        <f t="array" ref="J2831">IF($D2831="","",IF($I2831="","(trống REF)",IFERROR(INDEX(MASTER_SOURCE!$B$2:$B$495,MATCH($I2831,MASTER_SOURCE!$A$2:$A$495,0)),"(REF không có trong MASTER_SOURCE)")))</f>
        <v/>
      </c>
      <c r="K2831" s="22">
        <f t="array" ref="K2831">IF($D2831="","",IFERROR(INDEX(MASTER_SOURCE!$C$2:$C$495,MATCH($I2831,MASTER_SOURCE!$A$2:$A$495,0)),""))</f>
        <v/>
      </c>
      <c r="L2831" s="22">
        <f t="array" ref="L2831">IF($D2831="","",IFERROR(INDEX(MASTER_SOURCE!$D$2:$D$495,MATCH($I2831,MASTER_SOURCE!$A$2:$A$495,0)),""))</f>
        <v/>
      </c>
      <c r="M2831" s="24" t="n"/>
      <c r="N2831" s="24" t="n"/>
      <c r="O2831" s="24" t="n"/>
      <c r="P2831" s="24" t="n"/>
      <c r="Q2831" s="22">
        <f>IF($D2831="","",IF(AND(OR(DANH_MUC!$L$5&lt;&gt;"Có",M2831="Có"),OR(DANH_MUC!$L$6&lt;&gt;"Có",N2831="Có"),OR(DANH_MUC!$L$7&lt;&gt;"Có",O2831="Có"),OR(DANH_MUC!$L$8&lt;&gt;"Có",P2831="Có")),"Có","Không"))</f>
        <v/>
      </c>
      <c r="R2831" s="22">
        <f>IF($D2831="","",IF(COUNTIF($D$2:$D2831,$D2831)&gt;1,"Trùng",""))</f>
        <v/>
      </c>
      <c r="S2831" s="22">
        <f>IF($D2831="","",IF(AND(LEN($D2831)=10,LEFT($D2831,1)="0",ISNUMBER(--$D2831)),"Có","Không"))</f>
        <v/>
      </c>
      <c r="T2831" s="22">
        <f>IF($D2831="","",IF(AND($C2831&lt;&gt;"",$Q2831="Có",$R2831="",$S2831="Có",AND($L2831&lt;&gt;"",OR($L2831&lt;&gt;"Chưa xác định",DANH_MUC!$L$9="Có"))),"Có","Không"))</f>
        <v/>
      </c>
      <c r="U2831" s="22">
        <f>IF(OR($D2831="",$T2831="Có"),"",IF($C2831="","Thiếu họ tên; ","")&amp;IF($S2831&lt;&gt;"Có","SĐT sai định dạng; ","")&amp;IF($R2831="Trùng","Trùng SĐT; ","")&amp;IF($Q2831&lt;&gt;"Có","Thiếu đồng ý bắt buộc; ","")&amp;IF($L2831="","Thiếu/sai Mã REF; ",IF(AND($L2831="Chưa xác định",DANH_MUC!$L$9&lt;&gt;"Có"),"Nguồn chưa xác định; ","")))</f>
        <v/>
      </c>
      <c r="V2831" s="22">
        <f>IF(OR($D2831="",$R2831="Trùng"),"",IF(COUNTIF(ORDERS!$C$2:$C$4995,$D2831)&gt;0,"Có","Không"))</f>
        <v/>
      </c>
      <c r="W2831" s="22">
        <f>IF(OR($D2831="",$R2831="Trùng"),"",COUNTIFS(ORDERS!$C$2:$C$4995,$D2831,ORDERS!$L$2:$L$4995,"Đã chuyển khoản"))</f>
        <v/>
      </c>
      <c r="X2831" s="23">
        <f>IF(OR($D2831="",$R2831="Trùng"),"",SUMIFS(ORDERS!$J$2:$J$4995,ORDERS!$C$2:$C$4995,$D2831,ORDERS!$L$2:$L$4995,"Đã chuyển khoản"))</f>
        <v/>
      </c>
      <c r="Y2831" s="24" t="n"/>
    </row>
    <row r="2832" ht="14.25" customHeight="1" s="40">
      <c r="A2832" s="24" t="n"/>
      <c r="B2832" s="27" t="n"/>
      <c r="C2832" s="24" t="n"/>
      <c r="D2832" s="28" t="n"/>
      <c r="E2832" s="29" t="n"/>
      <c r="F2832" s="24" t="n"/>
      <c r="G2832" s="24" t="n"/>
      <c r="H2832" s="21">
        <f>IF(ISNUMBER($B2832),INT($B2832)-WEEKDAY($B2832,2)+1,"")</f>
        <v/>
      </c>
      <c r="I2832" s="24" t="n"/>
      <c r="J2832" s="22">
        <f t="array" ref="J2832">IF($D2832="","",IF($I2832="","(trống REF)",IFERROR(INDEX(MASTER_SOURCE!$B$2:$B$495,MATCH($I2832,MASTER_SOURCE!$A$2:$A$495,0)),"(REF không có trong MASTER_SOURCE)")))</f>
        <v/>
      </c>
      <c r="K2832" s="22">
        <f t="array" ref="K2832">IF($D2832="","",IFERROR(INDEX(MASTER_SOURCE!$C$2:$C$495,MATCH($I2832,MASTER_SOURCE!$A$2:$A$495,0)),""))</f>
        <v/>
      </c>
      <c r="L2832" s="22">
        <f t="array" ref="L2832">IF($D2832="","",IFERROR(INDEX(MASTER_SOURCE!$D$2:$D$495,MATCH($I2832,MASTER_SOURCE!$A$2:$A$495,0)),""))</f>
        <v/>
      </c>
      <c r="M2832" s="24" t="n"/>
      <c r="N2832" s="24" t="n"/>
      <c r="O2832" s="24" t="n"/>
      <c r="P2832" s="24" t="n"/>
      <c r="Q2832" s="22">
        <f>IF($D2832="","",IF(AND(OR(DANH_MUC!$L$5&lt;&gt;"Có",M2832="Có"),OR(DANH_MUC!$L$6&lt;&gt;"Có",N2832="Có"),OR(DANH_MUC!$L$7&lt;&gt;"Có",O2832="Có"),OR(DANH_MUC!$L$8&lt;&gt;"Có",P2832="Có")),"Có","Không"))</f>
        <v/>
      </c>
      <c r="R2832" s="22">
        <f>IF($D2832="","",IF(COUNTIF($D$2:$D2832,$D2832)&gt;1,"Trùng",""))</f>
        <v/>
      </c>
      <c r="S2832" s="22">
        <f>IF($D2832="","",IF(AND(LEN($D2832)=10,LEFT($D2832,1)="0",ISNUMBER(--$D2832)),"Có","Không"))</f>
        <v/>
      </c>
      <c r="T2832" s="22">
        <f>IF($D2832="","",IF(AND($C2832&lt;&gt;"",$Q2832="Có",$R2832="",$S2832="Có",AND($L2832&lt;&gt;"",OR($L2832&lt;&gt;"Chưa xác định",DANH_MUC!$L$9="Có"))),"Có","Không"))</f>
        <v/>
      </c>
      <c r="U2832" s="22">
        <f>IF(OR($D2832="",$T2832="Có"),"",IF($C2832="","Thiếu họ tên; ","")&amp;IF($S2832&lt;&gt;"Có","SĐT sai định dạng; ","")&amp;IF($R2832="Trùng","Trùng SĐT; ","")&amp;IF($Q2832&lt;&gt;"Có","Thiếu đồng ý bắt buộc; ","")&amp;IF($L2832="","Thiếu/sai Mã REF; ",IF(AND($L2832="Chưa xác định",DANH_MUC!$L$9&lt;&gt;"Có"),"Nguồn chưa xác định; ","")))</f>
        <v/>
      </c>
      <c r="V2832" s="22">
        <f>IF(OR($D2832="",$R2832="Trùng"),"",IF(COUNTIF(ORDERS!$C$2:$C$4995,$D2832)&gt;0,"Có","Không"))</f>
        <v/>
      </c>
      <c r="W2832" s="22">
        <f>IF(OR($D2832="",$R2832="Trùng"),"",COUNTIFS(ORDERS!$C$2:$C$4995,$D2832,ORDERS!$L$2:$L$4995,"Đã chuyển khoản"))</f>
        <v/>
      </c>
      <c r="X2832" s="23">
        <f>IF(OR($D2832="",$R2832="Trùng"),"",SUMIFS(ORDERS!$J$2:$J$4995,ORDERS!$C$2:$C$4995,$D2832,ORDERS!$L$2:$L$4995,"Đã chuyển khoản"))</f>
        <v/>
      </c>
      <c r="Y2832" s="24" t="n"/>
    </row>
    <row r="2833" ht="14.25" customHeight="1" s="40">
      <c r="A2833" s="24" t="n"/>
      <c r="B2833" s="27" t="n"/>
      <c r="C2833" s="24" t="n"/>
      <c r="D2833" s="28" t="n"/>
      <c r="E2833" s="29" t="n"/>
      <c r="F2833" s="24" t="n"/>
      <c r="G2833" s="24" t="n"/>
      <c r="H2833" s="21">
        <f>IF(ISNUMBER($B2833),INT($B2833)-WEEKDAY($B2833,2)+1,"")</f>
        <v/>
      </c>
      <c r="I2833" s="24" t="n"/>
      <c r="J2833" s="22">
        <f t="array" ref="J2833">IF($D2833="","",IF($I2833="","(trống REF)",IFERROR(INDEX(MASTER_SOURCE!$B$2:$B$495,MATCH($I2833,MASTER_SOURCE!$A$2:$A$495,0)),"(REF không có trong MASTER_SOURCE)")))</f>
        <v/>
      </c>
      <c r="K2833" s="22">
        <f t="array" ref="K2833">IF($D2833="","",IFERROR(INDEX(MASTER_SOURCE!$C$2:$C$495,MATCH($I2833,MASTER_SOURCE!$A$2:$A$495,0)),""))</f>
        <v/>
      </c>
      <c r="L2833" s="22">
        <f t="array" ref="L2833">IF($D2833="","",IFERROR(INDEX(MASTER_SOURCE!$D$2:$D$495,MATCH($I2833,MASTER_SOURCE!$A$2:$A$495,0)),""))</f>
        <v/>
      </c>
      <c r="M2833" s="24" t="n"/>
      <c r="N2833" s="24" t="n"/>
      <c r="O2833" s="24" t="n"/>
      <c r="P2833" s="24" t="n"/>
      <c r="Q2833" s="22">
        <f>IF($D2833="","",IF(AND(OR(DANH_MUC!$L$5&lt;&gt;"Có",M2833="Có"),OR(DANH_MUC!$L$6&lt;&gt;"Có",N2833="Có"),OR(DANH_MUC!$L$7&lt;&gt;"Có",O2833="Có"),OR(DANH_MUC!$L$8&lt;&gt;"Có",P2833="Có")),"Có","Không"))</f>
        <v/>
      </c>
      <c r="R2833" s="22">
        <f>IF($D2833="","",IF(COUNTIF($D$2:$D2833,$D2833)&gt;1,"Trùng",""))</f>
        <v/>
      </c>
      <c r="S2833" s="22">
        <f>IF($D2833="","",IF(AND(LEN($D2833)=10,LEFT($D2833,1)="0",ISNUMBER(--$D2833)),"Có","Không"))</f>
        <v/>
      </c>
      <c r="T2833" s="22">
        <f>IF($D2833="","",IF(AND($C2833&lt;&gt;"",$Q2833="Có",$R2833="",$S2833="Có",AND($L2833&lt;&gt;"",OR($L2833&lt;&gt;"Chưa xác định",DANH_MUC!$L$9="Có"))),"Có","Không"))</f>
        <v/>
      </c>
      <c r="U2833" s="22">
        <f>IF(OR($D2833="",$T2833="Có"),"",IF($C2833="","Thiếu họ tên; ","")&amp;IF($S2833&lt;&gt;"Có","SĐT sai định dạng; ","")&amp;IF($R2833="Trùng","Trùng SĐT; ","")&amp;IF($Q2833&lt;&gt;"Có","Thiếu đồng ý bắt buộc; ","")&amp;IF($L2833="","Thiếu/sai Mã REF; ",IF(AND($L2833="Chưa xác định",DANH_MUC!$L$9&lt;&gt;"Có"),"Nguồn chưa xác định; ","")))</f>
        <v/>
      </c>
      <c r="V2833" s="22">
        <f>IF(OR($D2833="",$R2833="Trùng"),"",IF(COUNTIF(ORDERS!$C$2:$C$4995,$D2833)&gt;0,"Có","Không"))</f>
        <v/>
      </c>
      <c r="W2833" s="22">
        <f>IF(OR($D2833="",$R2833="Trùng"),"",COUNTIFS(ORDERS!$C$2:$C$4995,$D2833,ORDERS!$L$2:$L$4995,"Đã chuyển khoản"))</f>
        <v/>
      </c>
      <c r="X2833" s="23">
        <f>IF(OR($D2833="",$R2833="Trùng"),"",SUMIFS(ORDERS!$J$2:$J$4995,ORDERS!$C$2:$C$4995,$D2833,ORDERS!$L$2:$L$4995,"Đã chuyển khoản"))</f>
        <v/>
      </c>
      <c r="Y2833" s="24" t="n"/>
    </row>
    <row r="2834" ht="14.25" customHeight="1" s="40">
      <c r="A2834" s="24" t="n"/>
      <c r="B2834" s="27" t="n"/>
      <c r="C2834" s="24" t="n"/>
      <c r="D2834" s="28" t="n"/>
      <c r="E2834" s="29" t="n"/>
      <c r="F2834" s="24" t="n"/>
      <c r="G2834" s="24" t="n"/>
      <c r="H2834" s="21">
        <f>IF(ISNUMBER($B2834),INT($B2834)-WEEKDAY($B2834,2)+1,"")</f>
        <v/>
      </c>
      <c r="I2834" s="24" t="n"/>
      <c r="J2834" s="22">
        <f t="array" ref="J2834">IF($D2834="","",IF($I2834="","(trống REF)",IFERROR(INDEX(MASTER_SOURCE!$B$2:$B$495,MATCH($I2834,MASTER_SOURCE!$A$2:$A$495,0)),"(REF không có trong MASTER_SOURCE)")))</f>
        <v/>
      </c>
      <c r="K2834" s="22">
        <f t="array" ref="K2834">IF($D2834="","",IFERROR(INDEX(MASTER_SOURCE!$C$2:$C$495,MATCH($I2834,MASTER_SOURCE!$A$2:$A$495,0)),""))</f>
        <v/>
      </c>
      <c r="L2834" s="22">
        <f t="array" ref="L2834">IF($D2834="","",IFERROR(INDEX(MASTER_SOURCE!$D$2:$D$495,MATCH($I2834,MASTER_SOURCE!$A$2:$A$495,0)),""))</f>
        <v/>
      </c>
      <c r="M2834" s="24" t="n"/>
      <c r="N2834" s="24" t="n"/>
      <c r="O2834" s="24" t="n"/>
      <c r="P2834" s="24" t="n"/>
      <c r="Q2834" s="22">
        <f>IF($D2834="","",IF(AND(OR(DANH_MUC!$L$5&lt;&gt;"Có",M2834="Có"),OR(DANH_MUC!$L$6&lt;&gt;"Có",N2834="Có"),OR(DANH_MUC!$L$7&lt;&gt;"Có",O2834="Có"),OR(DANH_MUC!$L$8&lt;&gt;"Có",P2834="Có")),"Có","Không"))</f>
        <v/>
      </c>
      <c r="R2834" s="22">
        <f>IF($D2834="","",IF(COUNTIF($D$2:$D2834,$D2834)&gt;1,"Trùng",""))</f>
        <v/>
      </c>
      <c r="S2834" s="22">
        <f>IF($D2834="","",IF(AND(LEN($D2834)=10,LEFT($D2834,1)="0",ISNUMBER(--$D2834)),"Có","Không"))</f>
        <v/>
      </c>
      <c r="T2834" s="22">
        <f>IF($D2834="","",IF(AND($C2834&lt;&gt;"",$Q2834="Có",$R2834="",$S2834="Có",AND($L2834&lt;&gt;"",OR($L2834&lt;&gt;"Chưa xác định",DANH_MUC!$L$9="Có"))),"Có","Không"))</f>
        <v/>
      </c>
      <c r="U2834" s="22">
        <f>IF(OR($D2834="",$T2834="Có"),"",IF($C2834="","Thiếu họ tên; ","")&amp;IF($S2834&lt;&gt;"Có","SĐT sai định dạng; ","")&amp;IF($R2834="Trùng","Trùng SĐT; ","")&amp;IF($Q2834&lt;&gt;"Có","Thiếu đồng ý bắt buộc; ","")&amp;IF($L2834="","Thiếu/sai Mã REF; ",IF(AND($L2834="Chưa xác định",DANH_MUC!$L$9&lt;&gt;"Có"),"Nguồn chưa xác định; ","")))</f>
        <v/>
      </c>
      <c r="V2834" s="22">
        <f>IF(OR($D2834="",$R2834="Trùng"),"",IF(COUNTIF(ORDERS!$C$2:$C$4995,$D2834)&gt;0,"Có","Không"))</f>
        <v/>
      </c>
      <c r="W2834" s="22">
        <f>IF(OR($D2834="",$R2834="Trùng"),"",COUNTIFS(ORDERS!$C$2:$C$4995,$D2834,ORDERS!$L$2:$L$4995,"Đã chuyển khoản"))</f>
        <v/>
      </c>
      <c r="X2834" s="23">
        <f>IF(OR($D2834="",$R2834="Trùng"),"",SUMIFS(ORDERS!$J$2:$J$4995,ORDERS!$C$2:$C$4995,$D2834,ORDERS!$L$2:$L$4995,"Đã chuyển khoản"))</f>
        <v/>
      </c>
      <c r="Y2834" s="24" t="n"/>
    </row>
    <row r="2835" ht="14.25" customHeight="1" s="40">
      <c r="A2835" s="24" t="n"/>
      <c r="B2835" s="27" t="n"/>
      <c r="C2835" s="24" t="n"/>
      <c r="D2835" s="28" t="n"/>
      <c r="E2835" s="29" t="n"/>
      <c r="F2835" s="24" t="n"/>
      <c r="G2835" s="24" t="n"/>
      <c r="H2835" s="21">
        <f>IF(ISNUMBER($B2835),INT($B2835)-WEEKDAY($B2835,2)+1,"")</f>
        <v/>
      </c>
      <c r="I2835" s="24" t="n"/>
      <c r="J2835" s="22">
        <f t="array" ref="J2835">IF($D2835="","",IF($I2835="","(trống REF)",IFERROR(INDEX(MASTER_SOURCE!$B$2:$B$495,MATCH($I2835,MASTER_SOURCE!$A$2:$A$495,0)),"(REF không có trong MASTER_SOURCE)")))</f>
        <v/>
      </c>
      <c r="K2835" s="22">
        <f t="array" ref="K2835">IF($D2835="","",IFERROR(INDEX(MASTER_SOURCE!$C$2:$C$495,MATCH($I2835,MASTER_SOURCE!$A$2:$A$495,0)),""))</f>
        <v/>
      </c>
      <c r="L2835" s="22">
        <f t="array" ref="L2835">IF($D2835="","",IFERROR(INDEX(MASTER_SOURCE!$D$2:$D$495,MATCH($I2835,MASTER_SOURCE!$A$2:$A$495,0)),""))</f>
        <v/>
      </c>
      <c r="M2835" s="24" t="n"/>
      <c r="N2835" s="24" t="n"/>
      <c r="O2835" s="24" t="n"/>
      <c r="P2835" s="24" t="n"/>
      <c r="Q2835" s="22">
        <f>IF($D2835="","",IF(AND(OR(DANH_MUC!$L$5&lt;&gt;"Có",M2835="Có"),OR(DANH_MUC!$L$6&lt;&gt;"Có",N2835="Có"),OR(DANH_MUC!$L$7&lt;&gt;"Có",O2835="Có"),OR(DANH_MUC!$L$8&lt;&gt;"Có",P2835="Có")),"Có","Không"))</f>
        <v/>
      </c>
      <c r="R2835" s="22">
        <f>IF($D2835="","",IF(COUNTIF($D$2:$D2835,$D2835)&gt;1,"Trùng",""))</f>
        <v/>
      </c>
      <c r="S2835" s="22">
        <f>IF($D2835="","",IF(AND(LEN($D2835)=10,LEFT($D2835,1)="0",ISNUMBER(--$D2835)),"Có","Không"))</f>
        <v/>
      </c>
      <c r="T2835" s="22">
        <f>IF($D2835="","",IF(AND($C2835&lt;&gt;"",$Q2835="Có",$R2835="",$S2835="Có",AND($L2835&lt;&gt;"",OR($L2835&lt;&gt;"Chưa xác định",DANH_MUC!$L$9="Có"))),"Có","Không"))</f>
        <v/>
      </c>
      <c r="U2835" s="22">
        <f>IF(OR($D2835="",$T2835="Có"),"",IF($C2835="","Thiếu họ tên; ","")&amp;IF($S2835&lt;&gt;"Có","SĐT sai định dạng; ","")&amp;IF($R2835="Trùng","Trùng SĐT; ","")&amp;IF($Q2835&lt;&gt;"Có","Thiếu đồng ý bắt buộc; ","")&amp;IF($L2835="","Thiếu/sai Mã REF; ",IF(AND($L2835="Chưa xác định",DANH_MUC!$L$9&lt;&gt;"Có"),"Nguồn chưa xác định; ","")))</f>
        <v/>
      </c>
      <c r="V2835" s="22">
        <f>IF(OR($D2835="",$R2835="Trùng"),"",IF(COUNTIF(ORDERS!$C$2:$C$4995,$D2835)&gt;0,"Có","Không"))</f>
        <v/>
      </c>
      <c r="W2835" s="22">
        <f>IF(OR($D2835="",$R2835="Trùng"),"",COUNTIFS(ORDERS!$C$2:$C$4995,$D2835,ORDERS!$L$2:$L$4995,"Đã chuyển khoản"))</f>
        <v/>
      </c>
      <c r="X2835" s="23">
        <f>IF(OR($D2835="",$R2835="Trùng"),"",SUMIFS(ORDERS!$J$2:$J$4995,ORDERS!$C$2:$C$4995,$D2835,ORDERS!$L$2:$L$4995,"Đã chuyển khoản"))</f>
        <v/>
      </c>
      <c r="Y2835" s="24" t="n"/>
    </row>
    <row r="2836" ht="14.25" customHeight="1" s="40">
      <c r="A2836" s="24" t="n"/>
      <c r="B2836" s="27" t="n"/>
      <c r="C2836" s="24" t="n"/>
      <c r="D2836" s="28" t="n"/>
      <c r="E2836" s="29" t="n"/>
      <c r="F2836" s="24" t="n"/>
      <c r="G2836" s="24" t="n"/>
      <c r="H2836" s="21">
        <f>IF(ISNUMBER($B2836),INT($B2836)-WEEKDAY($B2836,2)+1,"")</f>
        <v/>
      </c>
      <c r="I2836" s="24" t="n"/>
      <c r="J2836" s="22">
        <f t="array" ref="J2836">IF($D2836="","",IF($I2836="","(trống REF)",IFERROR(INDEX(MASTER_SOURCE!$B$2:$B$495,MATCH($I2836,MASTER_SOURCE!$A$2:$A$495,0)),"(REF không có trong MASTER_SOURCE)")))</f>
        <v/>
      </c>
      <c r="K2836" s="22">
        <f t="array" ref="K2836">IF($D2836="","",IFERROR(INDEX(MASTER_SOURCE!$C$2:$C$495,MATCH($I2836,MASTER_SOURCE!$A$2:$A$495,0)),""))</f>
        <v/>
      </c>
      <c r="L2836" s="22">
        <f t="array" ref="L2836">IF($D2836="","",IFERROR(INDEX(MASTER_SOURCE!$D$2:$D$495,MATCH($I2836,MASTER_SOURCE!$A$2:$A$495,0)),""))</f>
        <v/>
      </c>
      <c r="M2836" s="24" t="n"/>
      <c r="N2836" s="24" t="n"/>
      <c r="O2836" s="24" t="n"/>
      <c r="P2836" s="24" t="n"/>
      <c r="Q2836" s="22">
        <f>IF($D2836="","",IF(AND(OR(DANH_MUC!$L$5&lt;&gt;"Có",M2836="Có"),OR(DANH_MUC!$L$6&lt;&gt;"Có",N2836="Có"),OR(DANH_MUC!$L$7&lt;&gt;"Có",O2836="Có"),OR(DANH_MUC!$L$8&lt;&gt;"Có",P2836="Có")),"Có","Không"))</f>
        <v/>
      </c>
      <c r="R2836" s="22">
        <f>IF($D2836="","",IF(COUNTIF($D$2:$D2836,$D2836)&gt;1,"Trùng",""))</f>
        <v/>
      </c>
      <c r="S2836" s="22">
        <f>IF($D2836="","",IF(AND(LEN($D2836)=10,LEFT($D2836,1)="0",ISNUMBER(--$D2836)),"Có","Không"))</f>
        <v/>
      </c>
      <c r="T2836" s="22">
        <f>IF($D2836="","",IF(AND($C2836&lt;&gt;"",$Q2836="Có",$R2836="",$S2836="Có",AND($L2836&lt;&gt;"",OR($L2836&lt;&gt;"Chưa xác định",DANH_MUC!$L$9="Có"))),"Có","Không"))</f>
        <v/>
      </c>
      <c r="U2836" s="22">
        <f>IF(OR($D2836="",$T2836="Có"),"",IF($C2836="","Thiếu họ tên; ","")&amp;IF($S2836&lt;&gt;"Có","SĐT sai định dạng; ","")&amp;IF($R2836="Trùng","Trùng SĐT; ","")&amp;IF($Q2836&lt;&gt;"Có","Thiếu đồng ý bắt buộc; ","")&amp;IF($L2836="","Thiếu/sai Mã REF; ",IF(AND($L2836="Chưa xác định",DANH_MUC!$L$9&lt;&gt;"Có"),"Nguồn chưa xác định; ","")))</f>
        <v/>
      </c>
      <c r="V2836" s="22">
        <f>IF(OR($D2836="",$R2836="Trùng"),"",IF(COUNTIF(ORDERS!$C$2:$C$4995,$D2836)&gt;0,"Có","Không"))</f>
        <v/>
      </c>
      <c r="W2836" s="22">
        <f>IF(OR($D2836="",$R2836="Trùng"),"",COUNTIFS(ORDERS!$C$2:$C$4995,$D2836,ORDERS!$L$2:$L$4995,"Đã chuyển khoản"))</f>
        <v/>
      </c>
      <c r="X2836" s="23">
        <f>IF(OR($D2836="",$R2836="Trùng"),"",SUMIFS(ORDERS!$J$2:$J$4995,ORDERS!$C$2:$C$4995,$D2836,ORDERS!$L$2:$L$4995,"Đã chuyển khoản"))</f>
        <v/>
      </c>
      <c r="Y2836" s="24" t="n"/>
    </row>
    <row r="2837" ht="14.25" customHeight="1" s="40">
      <c r="A2837" s="24" t="n"/>
      <c r="B2837" s="27" t="n"/>
      <c r="C2837" s="24" t="n"/>
      <c r="D2837" s="28" t="n"/>
      <c r="E2837" s="29" t="n"/>
      <c r="F2837" s="24" t="n"/>
      <c r="G2837" s="24" t="n"/>
      <c r="H2837" s="21">
        <f>IF(ISNUMBER($B2837),INT($B2837)-WEEKDAY($B2837,2)+1,"")</f>
        <v/>
      </c>
      <c r="I2837" s="24" t="n"/>
      <c r="J2837" s="22">
        <f t="array" ref="J2837">IF($D2837="","",IF($I2837="","(trống REF)",IFERROR(INDEX(MASTER_SOURCE!$B$2:$B$495,MATCH($I2837,MASTER_SOURCE!$A$2:$A$495,0)),"(REF không có trong MASTER_SOURCE)")))</f>
        <v/>
      </c>
      <c r="K2837" s="22">
        <f t="array" ref="K2837">IF($D2837="","",IFERROR(INDEX(MASTER_SOURCE!$C$2:$C$495,MATCH($I2837,MASTER_SOURCE!$A$2:$A$495,0)),""))</f>
        <v/>
      </c>
      <c r="L2837" s="22">
        <f t="array" ref="L2837">IF($D2837="","",IFERROR(INDEX(MASTER_SOURCE!$D$2:$D$495,MATCH($I2837,MASTER_SOURCE!$A$2:$A$495,0)),""))</f>
        <v/>
      </c>
      <c r="M2837" s="24" t="n"/>
      <c r="N2837" s="24" t="n"/>
      <c r="O2837" s="24" t="n"/>
      <c r="P2837" s="24" t="n"/>
      <c r="Q2837" s="22">
        <f>IF($D2837="","",IF(AND(OR(DANH_MUC!$L$5&lt;&gt;"Có",M2837="Có"),OR(DANH_MUC!$L$6&lt;&gt;"Có",N2837="Có"),OR(DANH_MUC!$L$7&lt;&gt;"Có",O2837="Có"),OR(DANH_MUC!$L$8&lt;&gt;"Có",P2837="Có")),"Có","Không"))</f>
        <v/>
      </c>
      <c r="R2837" s="22">
        <f>IF($D2837="","",IF(COUNTIF($D$2:$D2837,$D2837)&gt;1,"Trùng",""))</f>
        <v/>
      </c>
      <c r="S2837" s="22">
        <f>IF($D2837="","",IF(AND(LEN($D2837)=10,LEFT($D2837,1)="0",ISNUMBER(--$D2837)),"Có","Không"))</f>
        <v/>
      </c>
      <c r="T2837" s="22">
        <f>IF($D2837="","",IF(AND($C2837&lt;&gt;"",$Q2837="Có",$R2837="",$S2837="Có",AND($L2837&lt;&gt;"",OR($L2837&lt;&gt;"Chưa xác định",DANH_MUC!$L$9="Có"))),"Có","Không"))</f>
        <v/>
      </c>
      <c r="U2837" s="22">
        <f>IF(OR($D2837="",$T2837="Có"),"",IF($C2837="","Thiếu họ tên; ","")&amp;IF($S2837&lt;&gt;"Có","SĐT sai định dạng; ","")&amp;IF($R2837="Trùng","Trùng SĐT; ","")&amp;IF($Q2837&lt;&gt;"Có","Thiếu đồng ý bắt buộc; ","")&amp;IF($L2837="","Thiếu/sai Mã REF; ",IF(AND($L2837="Chưa xác định",DANH_MUC!$L$9&lt;&gt;"Có"),"Nguồn chưa xác định; ","")))</f>
        <v/>
      </c>
      <c r="V2837" s="22">
        <f>IF(OR($D2837="",$R2837="Trùng"),"",IF(COUNTIF(ORDERS!$C$2:$C$4995,$D2837)&gt;0,"Có","Không"))</f>
        <v/>
      </c>
      <c r="W2837" s="22">
        <f>IF(OR($D2837="",$R2837="Trùng"),"",COUNTIFS(ORDERS!$C$2:$C$4995,$D2837,ORDERS!$L$2:$L$4995,"Đã chuyển khoản"))</f>
        <v/>
      </c>
      <c r="X2837" s="23">
        <f>IF(OR($D2837="",$R2837="Trùng"),"",SUMIFS(ORDERS!$J$2:$J$4995,ORDERS!$C$2:$C$4995,$D2837,ORDERS!$L$2:$L$4995,"Đã chuyển khoản"))</f>
        <v/>
      </c>
      <c r="Y2837" s="24" t="n"/>
    </row>
    <row r="2838" ht="14.25" customHeight="1" s="40">
      <c r="A2838" s="24" t="n"/>
      <c r="B2838" s="27" t="n"/>
      <c r="C2838" s="24" t="n"/>
      <c r="D2838" s="28" t="n"/>
      <c r="E2838" s="29" t="n"/>
      <c r="F2838" s="24" t="n"/>
      <c r="G2838" s="24" t="n"/>
      <c r="H2838" s="21">
        <f>IF(ISNUMBER($B2838),INT($B2838)-WEEKDAY($B2838,2)+1,"")</f>
        <v/>
      </c>
      <c r="I2838" s="24" t="n"/>
      <c r="J2838" s="22">
        <f t="array" ref="J2838">IF($D2838="","",IF($I2838="","(trống REF)",IFERROR(INDEX(MASTER_SOURCE!$B$2:$B$495,MATCH($I2838,MASTER_SOURCE!$A$2:$A$495,0)),"(REF không có trong MASTER_SOURCE)")))</f>
        <v/>
      </c>
      <c r="K2838" s="22">
        <f t="array" ref="K2838">IF($D2838="","",IFERROR(INDEX(MASTER_SOURCE!$C$2:$C$495,MATCH($I2838,MASTER_SOURCE!$A$2:$A$495,0)),""))</f>
        <v/>
      </c>
      <c r="L2838" s="22">
        <f t="array" ref="L2838">IF($D2838="","",IFERROR(INDEX(MASTER_SOURCE!$D$2:$D$495,MATCH($I2838,MASTER_SOURCE!$A$2:$A$495,0)),""))</f>
        <v/>
      </c>
      <c r="M2838" s="24" t="n"/>
      <c r="N2838" s="24" t="n"/>
      <c r="O2838" s="24" t="n"/>
      <c r="P2838" s="24" t="n"/>
      <c r="Q2838" s="22">
        <f>IF($D2838="","",IF(AND(OR(DANH_MUC!$L$5&lt;&gt;"Có",M2838="Có"),OR(DANH_MUC!$L$6&lt;&gt;"Có",N2838="Có"),OR(DANH_MUC!$L$7&lt;&gt;"Có",O2838="Có"),OR(DANH_MUC!$L$8&lt;&gt;"Có",P2838="Có")),"Có","Không"))</f>
        <v/>
      </c>
      <c r="R2838" s="22">
        <f>IF($D2838="","",IF(COUNTIF($D$2:$D2838,$D2838)&gt;1,"Trùng",""))</f>
        <v/>
      </c>
      <c r="S2838" s="22">
        <f>IF($D2838="","",IF(AND(LEN($D2838)=10,LEFT($D2838,1)="0",ISNUMBER(--$D2838)),"Có","Không"))</f>
        <v/>
      </c>
      <c r="T2838" s="22">
        <f>IF($D2838="","",IF(AND($C2838&lt;&gt;"",$Q2838="Có",$R2838="",$S2838="Có",AND($L2838&lt;&gt;"",OR($L2838&lt;&gt;"Chưa xác định",DANH_MUC!$L$9="Có"))),"Có","Không"))</f>
        <v/>
      </c>
      <c r="U2838" s="22">
        <f>IF(OR($D2838="",$T2838="Có"),"",IF($C2838="","Thiếu họ tên; ","")&amp;IF($S2838&lt;&gt;"Có","SĐT sai định dạng; ","")&amp;IF($R2838="Trùng","Trùng SĐT; ","")&amp;IF($Q2838&lt;&gt;"Có","Thiếu đồng ý bắt buộc; ","")&amp;IF($L2838="","Thiếu/sai Mã REF; ",IF(AND($L2838="Chưa xác định",DANH_MUC!$L$9&lt;&gt;"Có"),"Nguồn chưa xác định; ","")))</f>
        <v/>
      </c>
      <c r="V2838" s="22">
        <f>IF(OR($D2838="",$R2838="Trùng"),"",IF(COUNTIF(ORDERS!$C$2:$C$4995,$D2838)&gt;0,"Có","Không"))</f>
        <v/>
      </c>
      <c r="W2838" s="22">
        <f>IF(OR($D2838="",$R2838="Trùng"),"",COUNTIFS(ORDERS!$C$2:$C$4995,$D2838,ORDERS!$L$2:$L$4995,"Đã chuyển khoản"))</f>
        <v/>
      </c>
      <c r="X2838" s="23">
        <f>IF(OR($D2838="",$R2838="Trùng"),"",SUMIFS(ORDERS!$J$2:$J$4995,ORDERS!$C$2:$C$4995,$D2838,ORDERS!$L$2:$L$4995,"Đã chuyển khoản"))</f>
        <v/>
      </c>
      <c r="Y2838" s="24" t="n"/>
    </row>
    <row r="2839" ht="14.25" customHeight="1" s="40">
      <c r="A2839" s="24" t="n"/>
      <c r="B2839" s="27" t="n"/>
      <c r="C2839" s="24" t="n"/>
      <c r="D2839" s="28" t="n"/>
      <c r="E2839" s="29" t="n"/>
      <c r="F2839" s="24" t="n"/>
      <c r="G2839" s="24" t="n"/>
      <c r="H2839" s="21">
        <f>IF(ISNUMBER($B2839),INT($B2839)-WEEKDAY($B2839,2)+1,"")</f>
        <v/>
      </c>
      <c r="I2839" s="24" t="n"/>
      <c r="J2839" s="22">
        <f t="array" ref="J2839">IF($D2839="","",IF($I2839="","(trống REF)",IFERROR(INDEX(MASTER_SOURCE!$B$2:$B$495,MATCH($I2839,MASTER_SOURCE!$A$2:$A$495,0)),"(REF không có trong MASTER_SOURCE)")))</f>
        <v/>
      </c>
      <c r="K2839" s="22">
        <f t="array" ref="K2839">IF($D2839="","",IFERROR(INDEX(MASTER_SOURCE!$C$2:$C$495,MATCH($I2839,MASTER_SOURCE!$A$2:$A$495,0)),""))</f>
        <v/>
      </c>
      <c r="L2839" s="22">
        <f t="array" ref="L2839">IF($D2839="","",IFERROR(INDEX(MASTER_SOURCE!$D$2:$D$495,MATCH($I2839,MASTER_SOURCE!$A$2:$A$495,0)),""))</f>
        <v/>
      </c>
      <c r="M2839" s="24" t="n"/>
      <c r="N2839" s="24" t="n"/>
      <c r="O2839" s="24" t="n"/>
      <c r="P2839" s="24" t="n"/>
      <c r="Q2839" s="22">
        <f>IF($D2839="","",IF(AND(OR(DANH_MUC!$L$5&lt;&gt;"Có",M2839="Có"),OR(DANH_MUC!$L$6&lt;&gt;"Có",N2839="Có"),OR(DANH_MUC!$L$7&lt;&gt;"Có",O2839="Có"),OR(DANH_MUC!$L$8&lt;&gt;"Có",P2839="Có")),"Có","Không"))</f>
        <v/>
      </c>
      <c r="R2839" s="22">
        <f>IF($D2839="","",IF(COUNTIF($D$2:$D2839,$D2839)&gt;1,"Trùng",""))</f>
        <v/>
      </c>
      <c r="S2839" s="22">
        <f>IF($D2839="","",IF(AND(LEN($D2839)=10,LEFT($D2839,1)="0",ISNUMBER(--$D2839)),"Có","Không"))</f>
        <v/>
      </c>
      <c r="T2839" s="22">
        <f>IF($D2839="","",IF(AND($C2839&lt;&gt;"",$Q2839="Có",$R2839="",$S2839="Có",AND($L2839&lt;&gt;"",OR($L2839&lt;&gt;"Chưa xác định",DANH_MUC!$L$9="Có"))),"Có","Không"))</f>
        <v/>
      </c>
      <c r="U2839" s="22">
        <f>IF(OR($D2839="",$T2839="Có"),"",IF($C2839="","Thiếu họ tên; ","")&amp;IF($S2839&lt;&gt;"Có","SĐT sai định dạng; ","")&amp;IF($R2839="Trùng","Trùng SĐT; ","")&amp;IF($Q2839&lt;&gt;"Có","Thiếu đồng ý bắt buộc; ","")&amp;IF($L2839="","Thiếu/sai Mã REF; ",IF(AND($L2839="Chưa xác định",DANH_MUC!$L$9&lt;&gt;"Có"),"Nguồn chưa xác định; ","")))</f>
        <v/>
      </c>
      <c r="V2839" s="22">
        <f>IF(OR($D2839="",$R2839="Trùng"),"",IF(COUNTIF(ORDERS!$C$2:$C$4995,$D2839)&gt;0,"Có","Không"))</f>
        <v/>
      </c>
      <c r="W2839" s="22">
        <f>IF(OR($D2839="",$R2839="Trùng"),"",COUNTIFS(ORDERS!$C$2:$C$4995,$D2839,ORDERS!$L$2:$L$4995,"Đã chuyển khoản"))</f>
        <v/>
      </c>
      <c r="X2839" s="23">
        <f>IF(OR($D2839="",$R2839="Trùng"),"",SUMIFS(ORDERS!$J$2:$J$4995,ORDERS!$C$2:$C$4995,$D2839,ORDERS!$L$2:$L$4995,"Đã chuyển khoản"))</f>
        <v/>
      </c>
      <c r="Y2839" s="24" t="n"/>
    </row>
    <row r="2840" ht="14.25" customHeight="1" s="40">
      <c r="A2840" s="24" t="n"/>
      <c r="B2840" s="27" t="n"/>
      <c r="C2840" s="24" t="n"/>
      <c r="D2840" s="28" t="n"/>
      <c r="E2840" s="29" t="n"/>
      <c r="F2840" s="24" t="n"/>
      <c r="G2840" s="24" t="n"/>
      <c r="H2840" s="21">
        <f>IF(ISNUMBER($B2840),INT($B2840)-WEEKDAY($B2840,2)+1,"")</f>
        <v/>
      </c>
      <c r="I2840" s="24" t="n"/>
      <c r="J2840" s="22">
        <f t="array" ref="J2840">IF($D2840="","",IF($I2840="","(trống REF)",IFERROR(INDEX(MASTER_SOURCE!$B$2:$B$495,MATCH($I2840,MASTER_SOURCE!$A$2:$A$495,0)),"(REF không có trong MASTER_SOURCE)")))</f>
        <v/>
      </c>
      <c r="K2840" s="22">
        <f t="array" ref="K2840">IF($D2840="","",IFERROR(INDEX(MASTER_SOURCE!$C$2:$C$495,MATCH($I2840,MASTER_SOURCE!$A$2:$A$495,0)),""))</f>
        <v/>
      </c>
      <c r="L2840" s="22">
        <f t="array" ref="L2840">IF($D2840="","",IFERROR(INDEX(MASTER_SOURCE!$D$2:$D$495,MATCH($I2840,MASTER_SOURCE!$A$2:$A$495,0)),""))</f>
        <v/>
      </c>
      <c r="M2840" s="24" t="n"/>
      <c r="N2840" s="24" t="n"/>
      <c r="O2840" s="24" t="n"/>
      <c r="P2840" s="24" t="n"/>
      <c r="Q2840" s="22">
        <f>IF($D2840="","",IF(AND(OR(DANH_MUC!$L$5&lt;&gt;"Có",M2840="Có"),OR(DANH_MUC!$L$6&lt;&gt;"Có",N2840="Có"),OR(DANH_MUC!$L$7&lt;&gt;"Có",O2840="Có"),OR(DANH_MUC!$L$8&lt;&gt;"Có",P2840="Có")),"Có","Không"))</f>
        <v/>
      </c>
      <c r="R2840" s="22">
        <f>IF($D2840="","",IF(COUNTIF($D$2:$D2840,$D2840)&gt;1,"Trùng",""))</f>
        <v/>
      </c>
      <c r="S2840" s="22">
        <f>IF($D2840="","",IF(AND(LEN($D2840)=10,LEFT($D2840,1)="0",ISNUMBER(--$D2840)),"Có","Không"))</f>
        <v/>
      </c>
      <c r="T2840" s="22">
        <f>IF($D2840="","",IF(AND($C2840&lt;&gt;"",$Q2840="Có",$R2840="",$S2840="Có",AND($L2840&lt;&gt;"",OR($L2840&lt;&gt;"Chưa xác định",DANH_MUC!$L$9="Có"))),"Có","Không"))</f>
        <v/>
      </c>
      <c r="U2840" s="22">
        <f>IF(OR($D2840="",$T2840="Có"),"",IF($C2840="","Thiếu họ tên; ","")&amp;IF($S2840&lt;&gt;"Có","SĐT sai định dạng; ","")&amp;IF($R2840="Trùng","Trùng SĐT; ","")&amp;IF($Q2840&lt;&gt;"Có","Thiếu đồng ý bắt buộc; ","")&amp;IF($L2840="","Thiếu/sai Mã REF; ",IF(AND($L2840="Chưa xác định",DANH_MUC!$L$9&lt;&gt;"Có"),"Nguồn chưa xác định; ","")))</f>
        <v/>
      </c>
      <c r="V2840" s="22">
        <f>IF(OR($D2840="",$R2840="Trùng"),"",IF(COUNTIF(ORDERS!$C$2:$C$4995,$D2840)&gt;0,"Có","Không"))</f>
        <v/>
      </c>
      <c r="W2840" s="22">
        <f>IF(OR($D2840="",$R2840="Trùng"),"",COUNTIFS(ORDERS!$C$2:$C$4995,$D2840,ORDERS!$L$2:$L$4995,"Đã chuyển khoản"))</f>
        <v/>
      </c>
      <c r="X2840" s="23">
        <f>IF(OR($D2840="",$R2840="Trùng"),"",SUMIFS(ORDERS!$J$2:$J$4995,ORDERS!$C$2:$C$4995,$D2840,ORDERS!$L$2:$L$4995,"Đã chuyển khoản"))</f>
        <v/>
      </c>
      <c r="Y2840" s="24" t="n"/>
    </row>
    <row r="2841" ht="14.25" customHeight="1" s="40">
      <c r="A2841" s="24" t="n"/>
      <c r="B2841" s="27" t="n"/>
      <c r="C2841" s="24" t="n"/>
      <c r="D2841" s="28" t="n"/>
      <c r="E2841" s="29" t="n"/>
      <c r="F2841" s="24" t="n"/>
      <c r="G2841" s="24" t="n"/>
      <c r="H2841" s="21">
        <f>IF(ISNUMBER($B2841),INT($B2841)-WEEKDAY($B2841,2)+1,"")</f>
        <v/>
      </c>
      <c r="I2841" s="24" t="n"/>
      <c r="J2841" s="22">
        <f t="array" ref="J2841">IF($D2841="","",IF($I2841="","(trống REF)",IFERROR(INDEX(MASTER_SOURCE!$B$2:$B$495,MATCH($I2841,MASTER_SOURCE!$A$2:$A$495,0)),"(REF không có trong MASTER_SOURCE)")))</f>
        <v/>
      </c>
      <c r="K2841" s="22">
        <f t="array" ref="K2841">IF($D2841="","",IFERROR(INDEX(MASTER_SOURCE!$C$2:$C$495,MATCH($I2841,MASTER_SOURCE!$A$2:$A$495,0)),""))</f>
        <v/>
      </c>
      <c r="L2841" s="22">
        <f t="array" ref="L2841">IF($D2841="","",IFERROR(INDEX(MASTER_SOURCE!$D$2:$D$495,MATCH($I2841,MASTER_SOURCE!$A$2:$A$495,0)),""))</f>
        <v/>
      </c>
      <c r="M2841" s="24" t="n"/>
      <c r="N2841" s="24" t="n"/>
      <c r="O2841" s="24" t="n"/>
      <c r="P2841" s="24" t="n"/>
      <c r="Q2841" s="22">
        <f>IF($D2841="","",IF(AND(OR(DANH_MUC!$L$5&lt;&gt;"Có",M2841="Có"),OR(DANH_MUC!$L$6&lt;&gt;"Có",N2841="Có"),OR(DANH_MUC!$L$7&lt;&gt;"Có",O2841="Có"),OR(DANH_MUC!$L$8&lt;&gt;"Có",P2841="Có")),"Có","Không"))</f>
        <v/>
      </c>
      <c r="R2841" s="22">
        <f>IF($D2841="","",IF(COUNTIF($D$2:$D2841,$D2841)&gt;1,"Trùng",""))</f>
        <v/>
      </c>
      <c r="S2841" s="22">
        <f>IF($D2841="","",IF(AND(LEN($D2841)=10,LEFT($D2841,1)="0",ISNUMBER(--$D2841)),"Có","Không"))</f>
        <v/>
      </c>
      <c r="T2841" s="22">
        <f>IF($D2841="","",IF(AND($C2841&lt;&gt;"",$Q2841="Có",$R2841="",$S2841="Có",AND($L2841&lt;&gt;"",OR($L2841&lt;&gt;"Chưa xác định",DANH_MUC!$L$9="Có"))),"Có","Không"))</f>
        <v/>
      </c>
      <c r="U2841" s="22">
        <f>IF(OR($D2841="",$T2841="Có"),"",IF($C2841="","Thiếu họ tên; ","")&amp;IF($S2841&lt;&gt;"Có","SĐT sai định dạng; ","")&amp;IF($R2841="Trùng","Trùng SĐT; ","")&amp;IF($Q2841&lt;&gt;"Có","Thiếu đồng ý bắt buộc; ","")&amp;IF($L2841="","Thiếu/sai Mã REF; ",IF(AND($L2841="Chưa xác định",DANH_MUC!$L$9&lt;&gt;"Có"),"Nguồn chưa xác định; ","")))</f>
        <v/>
      </c>
      <c r="V2841" s="22">
        <f>IF(OR($D2841="",$R2841="Trùng"),"",IF(COUNTIF(ORDERS!$C$2:$C$4995,$D2841)&gt;0,"Có","Không"))</f>
        <v/>
      </c>
      <c r="W2841" s="22">
        <f>IF(OR($D2841="",$R2841="Trùng"),"",COUNTIFS(ORDERS!$C$2:$C$4995,$D2841,ORDERS!$L$2:$L$4995,"Đã chuyển khoản"))</f>
        <v/>
      </c>
      <c r="X2841" s="23">
        <f>IF(OR($D2841="",$R2841="Trùng"),"",SUMIFS(ORDERS!$J$2:$J$4995,ORDERS!$C$2:$C$4995,$D2841,ORDERS!$L$2:$L$4995,"Đã chuyển khoản"))</f>
        <v/>
      </c>
      <c r="Y2841" s="24" t="n"/>
    </row>
    <row r="2842" ht="14.25" customHeight="1" s="40">
      <c r="A2842" s="24" t="n"/>
      <c r="B2842" s="27" t="n"/>
      <c r="C2842" s="24" t="n"/>
      <c r="D2842" s="28" t="n"/>
      <c r="E2842" s="29" t="n"/>
      <c r="F2842" s="24" t="n"/>
      <c r="G2842" s="24" t="n"/>
      <c r="H2842" s="21">
        <f>IF(ISNUMBER($B2842),INT($B2842)-WEEKDAY($B2842,2)+1,"")</f>
        <v/>
      </c>
      <c r="I2842" s="24" t="n"/>
      <c r="J2842" s="22">
        <f t="array" ref="J2842">IF($D2842="","",IF($I2842="","(trống REF)",IFERROR(INDEX(MASTER_SOURCE!$B$2:$B$495,MATCH($I2842,MASTER_SOURCE!$A$2:$A$495,0)),"(REF không có trong MASTER_SOURCE)")))</f>
        <v/>
      </c>
      <c r="K2842" s="22">
        <f t="array" ref="K2842">IF($D2842="","",IFERROR(INDEX(MASTER_SOURCE!$C$2:$C$495,MATCH($I2842,MASTER_SOURCE!$A$2:$A$495,0)),""))</f>
        <v/>
      </c>
      <c r="L2842" s="22">
        <f t="array" ref="L2842">IF($D2842="","",IFERROR(INDEX(MASTER_SOURCE!$D$2:$D$495,MATCH($I2842,MASTER_SOURCE!$A$2:$A$495,0)),""))</f>
        <v/>
      </c>
      <c r="M2842" s="24" t="n"/>
      <c r="N2842" s="24" t="n"/>
      <c r="O2842" s="24" t="n"/>
      <c r="P2842" s="24" t="n"/>
      <c r="Q2842" s="22">
        <f>IF($D2842="","",IF(AND(OR(DANH_MUC!$L$5&lt;&gt;"Có",M2842="Có"),OR(DANH_MUC!$L$6&lt;&gt;"Có",N2842="Có"),OR(DANH_MUC!$L$7&lt;&gt;"Có",O2842="Có"),OR(DANH_MUC!$L$8&lt;&gt;"Có",P2842="Có")),"Có","Không"))</f>
        <v/>
      </c>
      <c r="R2842" s="22">
        <f>IF($D2842="","",IF(COUNTIF($D$2:$D2842,$D2842)&gt;1,"Trùng",""))</f>
        <v/>
      </c>
      <c r="S2842" s="22">
        <f>IF($D2842="","",IF(AND(LEN($D2842)=10,LEFT($D2842,1)="0",ISNUMBER(--$D2842)),"Có","Không"))</f>
        <v/>
      </c>
      <c r="T2842" s="22">
        <f>IF($D2842="","",IF(AND($C2842&lt;&gt;"",$Q2842="Có",$R2842="",$S2842="Có",AND($L2842&lt;&gt;"",OR($L2842&lt;&gt;"Chưa xác định",DANH_MUC!$L$9="Có"))),"Có","Không"))</f>
        <v/>
      </c>
      <c r="U2842" s="22">
        <f>IF(OR($D2842="",$T2842="Có"),"",IF($C2842="","Thiếu họ tên; ","")&amp;IF($S2842&lt;&gt;"Có","SĐT sai định dạng; ","")&amp;IF($R2842="Trùng","Trùng SĐT; ","")&amp;IF($Q2842&lt;&gt;"Có","Thiếu đồng ý bắt buộc; ","")&amp;IF($L2842="","Thiếu/sai Mã REF; ",IF(AND($L2842="Chưa xác định",DANH_MUC!$L$9&lt;&gt;"Có"),"Nguồn chưa xác định; ","")))</f>
        <v/>
      </c>
      <c r="V2842" s="22">
        <f>IF(OR($D2842="",$R2842="Trùng"),"",IF(COUNTIF(ORDERS!$C$2:$C$4995,$D2842)&gt;0,"Có","Không"))</f>
        <v/>
      </c>
      <c r="W2842" s="22">
        <f>IF(OR($D2842="",$R2842="Trùng"),"",COUNTIFS(ORDERS!$C$2:$C$4995,$D2842,ORDERS!$L$2:$L$4995,"Đã chuyển khoản"))</f>
        <v/>
      </c>
      <c r="X2842" s="23">
        <f>IF(OR($D2842="",$R2842="Trùng"),"",SUMIFS(ORDERS!$J$2:$J$4995,ORDERS!$C$2:$C$4995,$D2842,ORDERS!$L$2:$L$4995,"Đã chuyển khoản"))</f>
        <v/>
      </c>
      <c r="Y2842" s="24" t="n"/>
    </row>
    <row r="2843" ht="14.25" customHeight="1" s="40">
      <c r="A2843" s="24" t="n"/>
      <c r="B2843" s="27" t="n"/>
      <c r="C2843" s="24" t="n"/>
      <c r="D2843" s="28" t="n"/>
      <c r="E2843" s="29" t="n"/>
      <c r="F2843" s="24" t="n"/>
      <c r="G2843" s="24" t="n"/>
      <c r="H2843" s="21">
        <f>IF(ISNUMBER($B2843),INT($B2843)-WEEKDAY($B2843,2)+1,"")</f>
        <v/>
      </c>
      <c r="I2843" s="24" t="n"/>
      <c r="J2843" s="22">
        <f t="array" ref="J2843">IF($D2843="","",IF($I2843="","(trống REF)",IFERROR(INDEX(MASTER_SOURCE!$B$2:$B$495,MATCH($I2843,MASTER_SOURCE!$A$2:$A$495,0)),"(REF không có trong MASTER_SOURCE)")))</f>
        <v/>
      </c>
      <c r="K2843" s="22">
        <f t="array" ref="K2843">IF($D2843="","",IFERROR(INDEX(MASTER_SOURCE!$C$2:$C$495,MATCH($I2843,MASTER_SOURCE!$A$2:$A$495,0)),""))</f>
        <v/>
      </c>
      <c r="L2843" s="22">
        <f t="array" ref="L2843">IF($D2843="","",IFERROR(INDEX(MASTER_SOURCE!$D$2:$D$495,MATCH($I2843,MASTER_SOURCE!$A$2:$A$495,0)),""))</f>
        <v/>
      </c>
      <c r="M2843" s="24" t="n"/>
      <c r="N2843" s="24" t="n"/>
      <c r="O2843" s="24" t="n"/>
      <c r="P2843" s="24" t="n"/>
      <c r="Q2843" s="22">
        <f>IF($D2843="","",IF(AND(OR(DANH_MUC!$L$5&lt;&gt;"Có",M2843="Có"),OR(DANH_MUC!$L$6&lt;&gt;"Có",N2843="Có"),OR(DANH_MUC!$L$7&lt;&gt;"Có",O2843="Có"),OR(DANH_MUC!$L$8&lt;&gt;"Có",P2843="Có")),"Có","Không"))</f>
        <v/>
      </c>
      <c r="R2843" s="22">
        <f>IF($D2843="","",IF(COUNTIF($D$2:$D2843,$D2843)&gt;1,"Trùng",""))</f>
        <v/>
      </c>
      <c r="S2843" s="22">
        <f>IF($D2843="","",IF(AND(LEN($D2843)=10,LEFT($D2843,1)="0",ISNUMBER(--$D2843)),"Có","Không"))</f>
        <v/>
      </c>
      <c r="T2843" s="22">
        <f>IF($D2843="","",IF(AND($C2843&lt;&gt;"",$Q2843="Có",$R2843="",$S2843="Có",AND($L2843&lt;&gt;"",OR($L2843&lt;&gt;"Chưa xác định",DANH_MUC!$L$9="Có"))),"Có","Không"))</f>
        <v/>
      </c>
      <c r="U2843" s="22">
        <f>IF(OR($D2843="",$T2843="Có"),"",IF($C2843="","Thiếu họ tên; ","")&amp;IF($S2843&lt;&gt;"Có","SĐT sai định dạng; ","")&amp;IF($R2843="Trùng","Trùng SĐT; ","")&amp;IF($Q2843&lt;&gt;"Có","Thiếu đồng ý bắt buộc; ","")&amp;IF($L2843="","Thiếu/sai Mã REF; ",IF(AND($L2843="Chưa xác định",DANH_MUC!$L$9&lt;&gt;"Có"),"Nguồn chưa xác định; ","")))</f>
        <v/>
      </c>
      <c r="V2843" s="22">
        <f>IF(OR($D2843="",$R2843="Trùng"),"",IF(COUNTIF(ORDERS!$C$2:$C$4995,$D2843)&gt;0,"Có","Không"))</f>
        <v/>
      </c>
      <c r="W2843" s="22">
        <f>IF(OR($D2843="",$R2843="Trùng"),"",COUNTIFS(ORDERS!$C$2:$C$4995,$D2843,ORDERS!$L$2:$L$4995,"Đã chuyển khoản"))</f>
        <v/>
      </c>
      <c r="X2843" s="23">
        <f>IF(OR($D2843="",$R2843="Trùng"),"",SUMIFS(ORDERS!$J$2:$J$4995,ORDERS!$C$2:$C$4995,$D2843,ORDERS!$L$2:$L$4995,"Đã chuyển khoản"))</f>
        <v/>
      </c>
      <c r="Y2843" s="24" t="n"/>
    </row>
    <row r="2844" ht="14.25" customHeight="1" s="40">
      <c r="A2844" s="24" t="n"/>
      <c r="B2844" s="27" t="n"/>
      <c r="C2844" s="24" t="n"/>
      <c r="D2844" s="28" t="n"/>
      <c r="E2844" s="29" t="n"/>
      <c r="F2844" s="24" t="n"/>
      <c r="G2844" s="24" t="n"/>
      <c r="H2844" s="21">
        <f>IF(ISNUMBER($B2844),INT($B2844)-WEEKDAY($B2844,2)+1,"")</f>
        <v/>
      </c>
      <c r="I2844" s="24" t="n"/>
      <c r="J2844" s="22">
        <f t="array" ref="J2844">IF($D2844="","",IF($I2844="","(trống REF)",IFERROR(INDEX(MASTER_SOURCE!$B$2:$B$495,MATCH($I2844,MASTER_SOURCE!$A$2:$A$495,0)),"(REF không có trong MASTER_SOURCE)")))</f>
        <v/>
      </c>
      <c r="K2844" s="22">
        <f t="array" ref="K2844">IF($D2844="","",IFERROR(INDEX(MASTER_SOURCE!$C$2:$C$495,MATCH($I2844,MASTER_SOURCE!$A$2:$A$495,0)),""))</f>
        <v/>
      </c>
      <c r="L2844" s="22">
        <f t="array" ref="L2844">IF($D2844="","",IFERROR(INDEX(MASTER_SOURCE!$D$2:$D$495,MATCH($I2844,MASTER_SOURCE!$A$2:$A$495,0)),""))</f>
        <v/>
      </c>
      <c r="M2844" s="24" t="n"/>
      <c r="N2844" s="24" t="n"/>
      <c r="O2844" s="24" t="n"/>
      <c r="P2844" s="24" t="n"/>
      <c r="Q2844" s="22">
        <f>IF($D2844="","",IF(AND(OR(DANH_MUC!$L$5&lt;&gt;"Có",M2844="Có"),OR(DANH_MUC!$L$6&lt;&gt;"Có",N2844="Có"),OR(DANH_MUC!$L$7&lt;&gt;"Có",O2844="Có"),OR(DANH_MUC!$L$8&lt;&gt;"Có",P2844="Có")),"Có","Không"))</f>
        <v/>
      </c>
      <c r="R2844" s="22">
        <f>IF($D2844="","",IF(COUNTIF($D$2:$D2844,$D2844)&gt;1,"Trùng",""))</f>
        <v/>
      </c>
      <c r="S2844" s="22">
        <f>IF($D2844="","",IF(AND(LEN($D2844)=10,LEFT($D2844,1)="0",ISNUMBER(--$D2844)),"Có","Không"))</f>
        <v/>
      </c>
      <c r="T2844" s="22">
        <f>IF($D2844="","",IF(AND($C2844&lt;&gt;"",$Q2844="Có",$R2844="",$S2844="Có",AND($L2844&lt;&gt;"",OR($L2844&lt;&gt;"Chưa xác định",DANH_MUC!$L$9="Có"))),"Có","Không"))</f>
        <v/>
      </c>
      <c r="U2844" s="22">
        <f>IF(OR($D2844="",$T2844="Có"),"",IF($C2844="","Thiếu họ tên; ","")&amp;IF($S2844&lt;&gt;"Có","SĐT sai định dạng; ","")&amp;IF($R2844="Trùng","Trùng SĐT; ","")&amp;IF($Q2844&lt;&gt;"Có","Thiếu đồng ý bắt buộc; ","")&amp;IF($L2844="","Thiếu/sai Mã REF; ",IF(AND($L2844="Chưa xác định",DANH_MUC!$L$9&lt;&gt;"Có"),"Nguồn chưa xác định; ","")))</f>
        <v/>
      </c>
      <c r="V2844" s="22">
        <f>IF(OR($D2844="",$R2844="Trùng"),"",IF(COUNTIF(ORDERS!$C$2:$C$4995,$D2844)&gt;0,"Có","Không"))</f>
        <v/>
      </c>
      <c r="W2844" s="22">
        <f>IF(OR($D2844="",$R2844="Trùng"),"",COUNTIFS(ORDERS!$C$2:$C$4995,$D2844,ORDERS!$L$2:$L$4995,"Đã chuyển khoản"))</f>
        <v/>
      </c>
      <c r="X2844" s="23">
        <f>IF(OR($D2844="",$R2844="Trùng"),"",SUMIFS(ORDERS!$J$2:$J$4995,ORDERS!$C$2:$C$4995,$D2844,ORDERS!$L$2:$L$4995,"Đã chuyển khoản"))</f>
        <v/>
      </c>
      <c r="Y2844" s="24" t="n"/>
    </row>
    <row r="2845" ht="14.25" customHeight="1" s="40">
      <c r="A2845" s="24" t="n"/>
      <c r="B2845" s="27" t="n"/>
      <c r="C2845" s="24" t="n"/>
      <c r="D2845" s="28" t="n"/>
      <c r="E2845" s="29" t="n"/>
      <c r="F2845" s="24" t="n"/>
      <c r="G2845" s="24" t="n"/>
      <c r="H2845" s="21">
        <f>IF(ISNUMBER($B2845),INT($B2845)-WEEKDAY($B2845,2)+1,"")</f>
        <v/>
      </c>
      <c r="I2845" s="24" t="n"/>
      <c r="J2845" s="22">
        <f t="array" ref="J2845">IF($D2845="","",IF($I2845="","(trống REF)",IFERROR(INDEX(MASTER_SOURCE!$B$2:$B$495,MATCH($I2845,MASTER_SOURCE!$A$2:$A$495,0)),"(REF không có trong MASTER_SOURCE)")))</f>
        <v/>
      </c>
      <c r="K2845" s="22">
        <f t="array" ref="K2845">IF($D2845="","",IFERROR(INDEX(MASTER_SOURCE!$C$2:$C$495,MATCH($I2845,MASTER_SOURCE!$A$2:$A$495,0)),""))</f>
        <v/>
      </c>
      <c r="L2845" s="22">
        <f t="array" ref="L2845">IF($D2845="","",IFERROR(INDEX(MASTER_SOURCE!$D$2:$D$495,MATCH($I2845,MASTER_SOURCE!$A$2:$A$495,0)),""))</f>
        <v/>
      </c>
      <c r="M2845" s="24" t="n"/>
      <c r="N2845" s="24" t="n"/>
      <c r="O2845" s="24" t="n"/>
      <c r="P2845" s="24" t="n"/>
      <c r="Q2845" s="22">
        <f>IF($D2845="","",IF(AND(OR(DANH_MUC!$L$5&lt;&gt;"Có",M2845="Có"),OR(DANH_MUC!$L$6&lt;&gt;"Có",N2845="Có"),OR(DANH_MUC!$L$7&lt;&gt;"Có",O2845="Có"),OR(DANH_MUC!$L$8&lt;&gt;"Có",P2845="Có")),"Có","Không"))</f>
        <v/>
      </c>
      <c r="R2845" s="22">
        <f>IF($D2845="","",IF(COUNTIF($D$2:$D2845,$D2845)&gt;1,"Trùng",""))</f>
        <v/>
      </c>
      <c r="S2845" s="22">
        <f>IF($D2845="","",IF(AND(LEN($D2845)=10,LEFT($D2845,1)="0",ISNUMBER(--$D2845)),"Có","Không"))</f>
        <v/>
      </c>
      <c r="T2845" s="22">
        <f>IF($D2845="","",IF(AND($C2845&lt;&gt;"",$Q2845="Có",$R2845="",$S2845="Có",AND($L2845&lt;&gt;"",OR($L2845&lt;&gt;"Chưa xác định",DANH_MUC!$L$9="Có"))),"Có","Không"))</f>
        <v/>
      </c>
      <c r="U2845" s="22">
        <f>IF(OR($D2845="",$T2845="Có"),"",IF($C2845="","Thiếu họ tên; ","")&amp;IF($S2845&lt;&gt;"Có","SĐT sai định dạng; ","")&amp;IF($R2845="Trùng","Trùng SĐT; ","")&amp;IF($Q2845&lt;&gt;"Có","Thiếu đồng ý bắt buộc; ","")&amp;IF($L2845="","Thiếu/sai Mã REF; ",IF(AND($L2845="Chưa xác định",DANH_MUC!$L$9&lt;&gt;"Có"),"Nguồn chưa xác định; ","")))</f>
        <v/>
      </c>
      <c r="V2845" s="22">
        <f>IF(OR($D2845="",$R2845="Trùng"),"",IF(COUNTIF(ORDERS!$C$2:$C$4995,$D2845)&gt;0,"Có","Không"))</f>
        <v/>
      </c>
      <c r="W2845" s="22">
        <f>IF(OR($D2845="",$R2845="Trùng"),"",COUNTIFS(ORDERS!$C$2:$C$4995,$D2845,ORDERS!$L$2:$L$4995,"Đã chuyển khoản"))</f>
        <v/>
      </c>
      <c r="X2845" s="23">
        <f>IF(OR($D2845="",$R2845="Trùng"),"",SUMIFS(ORDERS!$J$2:$J$4995,ORDERS!$C$2:$C$4995,$D2845,ORDERS!$L$2:$L$4995,"Đã chuyển khoản"))</f>
        <v/>
      </c>
      <c r="Y2845" s="24" t="n"/>
    </row>
    <row r="2846" ht="14.25" customHeight="1" s="40">
      <c r="A2846" s="24" t="n"/>
      <c r="B2846" s="27" t="n"/>
      <c r="C2846" s="24" t="n"/>
      <c r="D2846" s="28" t="n"/>
      <c r="E2846" s="29" t="n"/>
      <c r="F2846" s="24" t="n"/>
      <c r="G2846" s="24" t="n"/>
      <c r="H2846" s="21">
        <f>IF(ISNUMBER($B2846),INT($B2846)-WEEKDAY($B2846,2)+1,"")</f>
        <v/>
      </c>
      <c r="I2846" s="24" t="n"/>
      <c r="J2846" s="22">
        <f t="array" ref="J2846">IF($D2846="","",IF($I2846="","(trống REF)",IFERROR(INDEX(MASTER_SOURCE!$B$2:$B$495,MATCH($I2846,MASTER_SOURCE!$A$2:$A$495,0)),"(REF không có trong MASTER_SOURCE)")))</f>
        <v/>
      </c>
      <c r="K2846" s="22">
        <f t="array" ref="K2846">IF($D2846="","",IFERROR(INDEX(MASTER_SOURCE!$C$2:$C$495,MATCH($I2846,MASTER_SOURCE!$A$2:$A$495,0)),""))</f>
        <v/>
      </c>
      <c r="L2846" s="22">
        <f t="array" ref="L2846">IF($D2846="","",IFERROR(INDEX(MASTER_SOURCE!$D$2:$D$495,MATCH($I2846,MASTER_SOURCE!$A$2:$A$495,0)),""))</f>
        <v/>
      </c>
      <c r="M2846" s="24" t="n"/>
      <c r="N2846" s="24" t="n"/>
      <c r="O2846" s="24" t="n"/>
      <c r="P2846" s="24" t="n"/>
      <c r="Q2846" s="22">
        <f>IF($D2846="","",IF(AND(OR(DANH_MUC!$L$5&lt;&gt;"Có",M2846="Có"),OR(DANH_MUC!$L$6&lt;&gt;"Có",N2846="Có"),OR(DANH_MUC!$L$7&lt;&gt;"Có",O2846="Có"),OR(DANH_MUC!$L$8&lt;&gt;"Có",P2846="Có")),"Có","Không"))</f>
        <v/>
      </c>
      <c r="R2846" s="22">
        <f>IF($D2846="","",IF(COUNTIF($D$2:$D2846,$D2846)&gt;1,"Trùng",""))</f>
        <v/>
      </c>
      <c r="S2846" s="22">
        <f>IF($D2846="","",IF(AND(LEN($D2846)=10,LEFT($D2846,1)="0",ISNUMBER(--$D2846)),"Có","Không"))</f>
        <v/>
      </c>
      <c r="T2846" s="22">
        <f>IF($D2846="","",IF(AND($C2846&lt;&gt;"",$Q2846="Có",$R2846="",$S2846="Có",AND($L2846&lt;&gt;"",OR($L2846&lt;&gt;"Chưa xác định",DANH_MUC!$L$9="Có"))),"Có","Không"))</f>
        <v/>
      </c>
      <c r="U2846" s="22">
        <f>IF(OR($D2846="",$T2846="Có"),"",IF($C2846="","Thiếu họ tên; ","")&amp;IF($S2846&lt;&gt;"Có","SĐT sai định dạng; ","")&amp;IF($R2846="Trùng","Trùng SĐT; ","")&amp;IF($Q2846&lt;&gt;"Có","Thiếu đồng ý bắt buộc; ","")&amp;IF($L2846="","Thiếu/sai Mã REF; ",IF(AND($L2846="Chưa xác định",DANH_MUC!$L$9&lt;&gt;"Có"),"Nguồn chưa xác định; ","")))</f>
        <v/>
      </c>
      <c r="V2846" s="22">
        <f>IF(OR($D2846="",$R2846="Trùng"),"",IF(COUNTIF(ORDERS!$C$2:$C$4995,$D2846)&gt;0,"Có","Không"))</f>
        <v/>
      </c>
      <c r="W2846" s="22">
        <f>IF(OR($D2846="",$R2846="Trùng"),"",COUNTIFS(ORDERS!$C$2:$C$4995,$D2846,ORDERS!$L$2:$L$4995,"Đã chuyển khoản"))</f>
        <v/>
      </c>
      <c r="X2846" s="23">
        <f>IF(OR($D2846="",$R2846="Trùng"),"",SUMIFS(ORDERS!$J$2:$J$4995,ORDERS!$C$2:$C$4995,$D2846,ORDERS!$L$2:$L$4995,"Đã chuyển khoản"))</f>
        <v/>
      </c>
      <c r="Y2846" s="24" t="n"/>
    </row>
    <row r="2847" ht="14.25" customHeight="1" s="40">
      <c r="A2847" s="24" t="n"/>
      <c r="B2847" s="27" t="n"/>
      <c r="C2847" s="24" t="n"/>
      <c r="D2847" s="28" t="n"/>
      <c r="E2847" s="29" t="n"/>
      <c r="F2847" s="24" t="n"/>
      <c r="G2847" s="24" t="n"/>
      <c r="H2847" s="21">
        <f>IF(ISNUMBER($B2847),INT($B2847)-WEEKDAY($B2847,2)+1,"")</f>
        <v/>
      </c>
      <c r="I2847" s="24" t="n"/>
      <c r="J2847" s="22">
        <f t="array" ref="J2847">IF($D2847="","",IF($I2847="","(trống REF)",IFERROR(INDEX(MASTER_SOURCE!$B$2:$B$495,MATCH($I2847,MASTER_SOURCE!$A$2:$A$495,0)),"(REF không có trong MASTER_SOURCE)")))</f>
        <v/>
      </c>
      <c r="K2847" s="22">
        <f t="array" ref="K2847">IF($D2847="","",IFERROR(INDEX(MASTER_SOURCE!$C$2:$C$495,MATCH($I2847,MASTER_SOURCE!$A$2:$A$495,0)),""))</f>
        <v/>
      </c>
      <c r="L2847" s="22">
        <f t="array" ref="L2847">IF($D2847="","",IFERROR(INDEX(MASTER_SOURCE!$D$2:$D$495,MATCH($I2847,MASTER_SOURCE!$A$2:$A$495,0)),""))</f>
        <v/>
      </c>
      <c r="M2847" s="24" t="n"/>
      <c r="N2847" s="24" t="n"/>
      <c r="O2847" s="24" t="n"/>
      <c r="P2847" s="24" t="n"/>
      <c r="Q2847" s="22">
        <f>IF($D2847="","",IF(AND(OR(DANH_MUC!$L$5&lt;&gt;"Có",M2847="Có"),OR(DANH_MUC!$L$6&lt;&gt;"Có",N2847="Có"),OR(DANH_MUC!$L$7&lt;&gt;"Có",O2847="Có"),OR(DANH_MUC!$L$8&lt;&gt;"Có",P2847="Có")),"Có","Không"))</f>
        <v/>
      </c>
      <c r="R2847" s="22">
        <f>IF($D2847="","",IF(COUNTIF($D$2:$D2847,$D2847)&gt;1,"Trùng",""))</f>
        <v/>
      </c>
      <c r="S2847" s="22">
        <f>IF($D2847="","",IF(AND(LEN($D2847)=10,LEFT($D2847,1)="0",ISNUMBER(--$D2847)),"Có","Không"))</f>
        <v/>
      </c>
      <c r="T2847" s="22">
        <f>IF($D2847="","",IF(AND($C2847&lt;&gt;"",$Q2847="Có",$R2847="",$S2847="Có",AND($L2847&lt;&gt;"",OR($L2847&lt;&gt;"Chưa xác định",DANH_MUC!$L$9="Có"))),"Có","Không"))</f>
        <v/>
      </c>
      <c r="U2847" s="22">
        <f>IF(OR($D2847="",$T2847="Có"),"",IF($C2847="","Thiếu họ tên; ","")&amp;IF($S2847&lt;&gt;"Có","SĐT sai định dạng; ","")&amp;IF($R2847="Trùng","Trùng SĐT; ","")&amp;IF($Q2847&lt;&gt;"Có","Thiếu đồng ý bắt buộc; ","")&amp;IF($L2847="","Thiếu/sai Mã REF; ",IF(AND($L2847="Chưa xác định",DANH_MUC!$L$9&lt;&gt;"Có"),"Nguồn chưa xác định; ","")))</f>
        <v/>
      </c>
      <c r="V2847" s="22">
        <f>IF(OR($D2847="",$R2847="Trùng"),"",IF(COUNTIF(ORDERS!$C$2:$C$4995,$D2847)&gt;0,"Có","Không"))</f>
        <v/>
      </c>
      <c r="W2847" s="22">
        <f>IF(OR($D2847="",$R2847="Trùng"),"",COUNTIFS(ORDERS!$C$2:$C$4995,$D2847,ORDERS!$L$2:$L$4995,"Đã chuyển khoản"))</f>
        <v/>
      </c>
      <c r="X2847" s="23">
        <f>IF(OR($D2847="",$R2847="Trùng"),"",SUMIFS(ORDERS!$J$2:$J$4995,ORDERS!$C$2:$C$4995,$D2847,ORDERS!$L$2:$L$4995,"Đã chuyển khoản"))</f>
        <v/>
      </c>
      <c r="Y2847" s="24" t="n"/>
    </row>
    <row r="2848" ht="14.25" customHeight="1" s="40">
      <c r="A2848" s="24" t="n"/>
      <c r="B2848" s="27" t="n"/>
      <c r="C2848" s="24" t="n"/>
      <c r="D2848" s="28" t="n"/>
      <c r="E2848" s="29" t="n"/>
      <c r="F2848" s="24" t="n"/>
      <c r="G2848" s="24" t="n"/>
      <c r="H2848" s="21">
        <f>IF(ISNUMBER($B2848),INT($B2848)-WEEKDAY($B2848,2)+1,"")</f>
        <v/>
      </c>
      <c r="I2848" s="24" t="n"/>
      <c r="J2848" s="22">
        <f t="array" ref="J2848">IF($D2848="","",IF($I2848="","(trống REF)",IFERROR(INDEX(MASTER_SOURCE!$B$2:$B$495,MATCH($I2848,MASTER_SOURCE!$A$2:$A$495,0)),"(REF không có trong MASTER_SOURCE)")))</f>
        <v/>
      </c>
      <c r="K2848" s="22">
        <f t="array" ref="K2848">IF($D2848="","",IFERROR(INDEX(MASTER_SOURCE!$C$2:$C$495,MATCH($I2848,MASTER_SOURCE!$A$2:$A$495,0)),""))</f>
        <v/>
      </c>
      <c r="L2848" s="22">
        <f t="array" ref="L2848">IF($D2848="","",IFERROR(INDEX(MASTER_SOURCE!$D$2:$D$495,MATCH($I2848,MASTER_SOURCE!$A$2:$A$495,0)),""))</f>
        <v/>
      </c>
      <c r="M2848" s="24" t="n"/>
      <c r="N2848" s="24" t="n"/>
      <c r="O2848" s="24" t="n"/>
      <c r="P2848" s="24" t="n"/>
      <c r="Q2848" s="22">
        <f>IF($D2848="","",IF(AND(OR(DANH_MUC!$L$5&lt;&gt;"Có",M2848="Có"),OR(DANH_MUC!$L$6&lt;&gt;"Có",N2848="Có"),OR(DANH_MUC!$L$7&lt;&gt;"Có",O2848="Có"),OR(DANH_MUC!$L$8&lt;&gt;"Có",P2848="Có")),"Có","Không"))</f>
        <v/>
      </c>
      <c r="R2848" s="22">
        <f>IF($D2848="","",IF(COUNTIF($D$2:$D2848,$D2848)&gt;1,"Trùng",""))</f>
        <v/>
      </c>
      <c r="S2848" s="22">
        <f>IF($D2848="","",IF(AND(LEN($D2848)=10,LEFT($D2848,1)="0",ISNUMBER(--$D2848)),"Có","Không"))</f>
        <v/>
      </c>
      <c r="T2848" s="22">
        <f>IF($D2848="","",IF(AND($C2848&lt;&gt;"",$Q2848="Có",$R2848="",$S2848="Có",AND($L2848&lt;&gt;"",OR($L2848&lt;&gt;"Chưa xác định",DANH_MUC!$L$9="Có"))),"Có","Không"))</f>
        <v/>
      </c>
      <c r="U2848" s="22">
        <f>IF(OR($D2848="",$T2848="Có"),"",IF($C2848="","Thiếu họ tên; ","")&amp;IF($S2848&lt;&gt;"Có","SĐT sai định dạng; ","")&amp;IF($R2848="Trùng","Trùng SĐT; ","")&amp;IF($Q2848&lt;&gt;"Có","Thiếu đồng ý bắt buộc; ","")&amp;IF($L2848="","Thiếu/sai Mã REF; ",IF(AND($L2848="Chưa xác định",DANH_MUC!$L$9&lt;&gt;"Có"),"Nguồn chưa xác định; ","")))</f>
        <v/>
      </c>
      <c r="V2848" s="22">
        <f>IF(OR($D2848="",$R2848="Trùng"),"",IF(COUNTIF(ORDERS!$C$2:$C$4995,$D2848)&gt;0,"Có","Không"))</f>
        <v/>
      </c>
      <c r="W2848" s="22">
        <f>IF(OR($D2848="",$R2848="Trùng"),"",COUNTIFS(ORDERS!$C$2:$C$4995,$D2848,ORDERS!$L$2:$L$4995,"Đã chuyển khoản"))</f>
        <v/>
      </c>
      <c r="X2848" s="23">
        <f>IF(OR($D2848="",$R2848="Trùng"),"",SUMIFS(ORDERS!$J$2:$J$4995,ORDERS!$C$2:$C$4995,$D2848,ORDERS!$L$2:$L$4995,"Đã chuyển khoản"))</f>
        <v/>
      </c>
      <c r="Y2848" s="24" t="n"/>
    </row>
    <row r="2849" ht="14.25" customHeight="1" s="40">
      <c r="A2849" s="24" t="n"/>
      <c r="B2849" s="27" t="n"/>
      <c r="C2849" s="24" t="n"/>
      <c r="D2849" s="28" t="n"/>
      <c r="E2849" s="29" t="n"/>
      <c r="F2849" s="24" t="n"/>
      <c r="G2849" s="24" t="n"/>
      <c r="H2849" s="21">
        <f>IF(ISNUMBER($B2849),INT($B2849)-WEEKDAY($B2849,2)+1,"")</f>
        <v/>
      </c>
      <c r="I2849" s="24" t="n"/>
      <c r="J2849" s="22">
        <f t="array" ref="J2849">IF($D2849="","",IF($I2849="","(trống REF)",IFERROR(INDEX(MASTER_SOURCE!$B$2:$B$495,MATCH($I2849,MASTER_SOURCE!$A$2:$A$495,0)),"(REF không có trong MASTER_SOURCE)")))</f>
        <v/>
      </c>
      <c r="K2849" s="22">
        <f t="array" ref="K2849">IF($D2849="","",IFERROR(INDEX(MASTER_SOURCE!$C$2:$C$495,MATCH($I2849,MASTER_SOURCE!$A$2:$A$495,0)),""))</f>
        <v/>
      </c>
      <c r="L2849" s="22">
        <f t="array" ref="L2849">IF($D2849="","",IFERROR(INDEX(MASTER_SOURCE!$D$2:$D$495,MATCH($I2849,MASTER_SOURCE!$A$2:$A$495,0)),""))</f>
        <v/>
      </c>
      <c r="M2849" s="24" t="n"/>
      <c r="N2849" s="24" t="n"/>
      <c r="O2849" s="24" t="n"/>
      <c r="P2849" s="24" t="n"/>
      <c r="Q2849" s="22">
        <f>IF($D2849="","",IF(AND(OR(DANH_MUC!$L$5&lt;&gt;"Có",M2849="Có"),OR(DANH_MUC!$L$6&lt;&gt;"Có",N2849="Có"),OR(DANH_MUC!$L$7&lt;&gt;"Có",O2849="Có"),OR(DANH_MUC!$L$8&lt;&gt;"Có",P2849="Có")),"Có","Không"))</f>
        <v/>
      </c>
      <c r="R2849" s="22">
        <f>IF($D2849="","",IF(COUNTIF($D$2:$D2849,$D2849)&gt;1,"Trùng",""))</f>
        <v/>
      </c>
      <c r="S2849" s="22">
        <f>IF($D2849="","",IF(AND(LEN($D2849)=10,LEFT($D2849,1)="0",ISNUMBER(--$D2849)),"Có","Không"))</f>
        <v/>
      </c>
      <c r="T2849" s="22">
        <f>IF($D2849="","",IF(AND($C2849&lt;&gt;"",$Q2849="Có",$R2849="",$S2849="Có",AND($L2849&lt;&gt;"",OR($L2849&lt;&gt;"Chưa xác định",DANH_MUC!$L$9="Có"))),"Có","Không"))</f>
        <v/>
      </c>
      <c r="U2849" s="22">
        <f>IF(OR($D2849="",$T2849="Có"),"",IF($C2849="","Thiếu họ tên; ","")&amp;IF($S2849&lt;&gt;"Có","SĐT sai định dạng; ","")&amp;IF($R2849="Trùng","Trùng SĐT; ","")&amp;IF($Q2849&lt;&gt;"Có","Thiếu đồng ý bắt buộc; ","")&amp;IF($L2849="","Thiếu/sai Mã REF; ",IF(AND($L2849="Chưa xác định",DANH_MUC!$L$9&lt;&gt;"Có"),"Nguồn chưa xác định; ","")))</f>
        <v/>
      </c>
      <c r="V2849" s="22">
        <f>IF(OR($D2849="",$R2849="Trùng"),"",IF(COUNTIF(ORDERS!$C$2:$C$4995,$D2849)&gt;0,"Có","Không"))</f>
        <v/>
      </c>
      <c r="W2849" s="22">
        <f>IF(OR($D2849="",$R2849="Trùng"),"",COUNTIFS(ORDERS!$C$2:$C$4995,$D2849,ORDERS!$L$2:$L$4995,"Đã chuyển khoản"))</f>
        <v/>
      </c>
      <c r="X2849" s="23">
        <f>IF(OR($D2849="",$R2849="Trùng"),"",SUMIFS(ORDERS!$J$2:$J$4995,ORDERS!$C$2:$C$4995,$D2849,ORDERS!$L$2:$L$4995,"Đã chuyển khoản"))</f>
        <v/>
      </c>
      <c r="Y2849" s="24" t="n"/>
    </row>
    <row r="2850" ht="14.25" customHeight="1" s="40">
      <c r="A2850" s="24" t="n"/>
      <c r="B2850" s="27" t="n"/>
      <c r="C2850" s="24" t="n"/>
      <c r="D2850" s="28" t="n"/>
      <c r="E2850" s="29" t="n"/>
      <c r="F2850" s="24" t="n"/>
      <c r="G2850" s="24" t="n"/>
      <c r="H2850" s="21">
        <f>IF(ISNUMBER($B2850),INT($B2850)-WEEKDAY($B2850,2)+1,"")</f>
        <v/>
      </c>
      <c r="I2850" s="24" t="n"/>
      <c r="J2850" s="22">
        <f t="array" ref="J2850">IF($D2850="","",IF($I2850="","(trống REF)",IFERROR(INDEX(MASTER_SOURCE!$B$2:$B$495,MATCH($I2850,MASTER_SOURCE!$A$2:$A$495,0)),"(REF không có trong MASTER_SOURCE)")))</f>
        <v/>
      </c>
      <c r="K2850" s="22">
        <f t="array" ref="K2850">IF($D2850="","",IFERROR(INDEX(MASTER_SOURCE!$C$2:$C$495,MATCH($I2850,MASTER_SOURCE!$A$2:$A$495,0)),""))</f>
        <v/>
      </c>
      <c r="L2850" s="22">
        <f t="array" ref="L2850">IF($D2850="","",IFERROR(INDEX(MASTER_SOURCE!$D$2:$D$495,MATCH($I2850,MASTER_SOURCE!$A$2:$A$495,0)),""))</f>
        <v/>
      </c>
      <c r="M2850" s="24" t="n"/>
      <c r="N2850" s="24" t="n"/>
      <c r="O2850" s="24" t="n"/>
      <c r="P2850" s="24" t="n"/>
      <c r="Q2850" s="22">
        <f>IF($D2850="","",IF(AND(OR(DANH_MUC!$L$5&lt;&gt;"Có",M2850="Có"),OR(DANH_MUC!$L$6&lt;&gt;"Có",N2850="Có"),OR(DANH_MUC!$L$7&lt;&gt;"Có",O2850="Có"),OR(DANH_MUC!$L$8&lt;&gt;"Có",P2850="Có")),"Có","Không"))</f>
        <v/>
      </c>
      <c r="R2850" s="22">
        <f>IF($D2850="","",IF(COUNTIF($D$2:$D2850,$D2850)&gt;1,"Trùng",""))</f>
        <v/>
      </c>
      <c r="S2850" s="22">
        <f>IF($D2850="","",IF(AND(LEN($D2850)=10,LEFT($D2850,1)="0",ISNUMBER(--$D2850)),"Có","Không"))</f>
        <v/>
      </c>
      <c r="T2850" s="22">
        <f>IF($D2850="","",IF(AND($C2850&lt;&gt;"",$Q2850="Có",$R2850="",$S2850="Có",AND($L2850&lt;&gt;"",OR($L2850&lt;&gt;"Chưa xác định",DANH_MUC!$L$9="Có"))),"Có","Không"))</f>
        <v/>
      </c>
      <c r="U2850" s="22">
        <f>IF(OR($D2850="",$T2850="Có"),"",IF($C2850="","Thiếu họ tên; ","")&amp;IF($S2850&lt;&gt;"Có","SĐT sai định dạng; ","")&amp;IF($R2850="Trùng","Trùng SĐT; ","")&amp;IF($Q2850&lt;&gt;"Có","Thiếu đồng ý bắt buộc; ","")&amp;IF($L2850="","Thiếu/sai Mã REF; ",IF(AND($L2850="Chưa xác định",DANH_MUC!$L$9&lt;&gt;"Có"),"Nguồn chưa xác định; ","")))</f>
        <v/>
      </c>
      <c r="V2850" s="22">
        <f>IF(OR($D2850="",$R2850="Trùng"),"",IF(COUNTIF(ORDERS!$C$2:$C$4995,$D2850)&gt;0,"Có","Không"))</f>
        <v/>
      </c>
      <c r="W2850" s="22">
        <f>IF(OR($D2850="",$R2850="Trùng"),"",COUNTIFS(ORDERS!$C$2:$C$4995,$D2850,ORDERS!$L$2:$L$4995,"Đã chuyển khoản"))</f>
        <v/>
      </c>
      <c r="X2850" s="23">
        <f>IF(OR($D2850="",$R2850="Trùng"),"",SUMIFS(ORDERS!$J$2:$J$4995,ORDERS!$C$2:$C$4995,$D2850,ORDERS!$L$2:$L$4995,"Đã chuyển khoản"))</f>
        <v/>
      </c>
      <c r="Y2850" s="24" t="n"/>
    </row>
    <row r="2851" ht="14.25" customHeight="1" s="40">
      <c r="A2851" s="24" t="n"/>
      <c r="B2851" s="27" t="n"/>
      <c r="C2851" s="24" t="n"/>
      <c r="D2851" s="28" t="n"/>
      <c r="E2851" s="29" t="n"/>
      <c r="F2851" s="24" t="n"/>
      <c r="G2851" s="24" t="n"/>
      <c r="H2851" s="21">
        <f>IF(ISNUMBER($B2851),INT($B2851)-WEEKDAY($B2851,2)+1,"")</f>
        <v/>
      </c>
      <c r="I2851" s="24" t="n"/>
      <c r="J2851" s="22">
        <f t="array" ref="J2851">IF($D2851="","",IF($I2851="","(trống REF)",IFERROR(INDEX(MASTER_SOURCE!$B$2:$B$495,MATCH($I2851,MASTER_SOURCE!$A$2:$A$495,0)),"(REF không có trong MASTER_SOURCE)")))</f>
        <v/>
      </c>
      <c r="K2851" s="22">
        <f t="array" ref="K2851">IF($D2851="","",IFERROR(INDEX(MASTER_SOURCE!$C$2:$C$495,MATCH($I2851,MASTER_SOURCE!$A$2:$A$495,0)),""))</f>
        <v/>
      </c>
      <c r="L2851" s="22">
        <f t="array" ref="L2851">IF($D2851="","",IFERROR(INDEX(MASTER_SOURCE!$D$2:$D$495,MATCH($I2851,MASTER_SOURCE!$A$2:$A$495,0)),""))</f>
        <v/>
      </c>
      <c r="M2851" s="24" t="n"/>
      <c r="N2851" s="24" t="n"/>
      <c r="O2851" s="24" t="n"/>
      <c r="P2851" s="24" t="n"/>
      <c r="Q2851" s="22">
        <f>IF($D2851="","",IF(AND(OR(DANH_MUC!$L$5&lt;&gt;"Có",M2851="Có"),OR(DANH_MUC!$L$6&lt;&gt;"Có",N2851="Có"),OR(DANH_MUC!$L$7&lt;&gt;"Có",O2851="Có"),OR(DANH_MUC!$L$8&lt;&gt;"Có",P2851="Có")),"Có","Không"))</f>
        <v/>
      </c>
      <c r="R2851" s="22">
        <f>IF($D2851="","",IF(COUNTIF($D$2:$D2851,$D2851)&gt;1,"Trùng",""))</f>
        <v/>
      </c>
      <c r="S2851" s="22">
        <f>IF($D2851="","",IF(AND(LEN($D2851)=10,LEFT($D2851,1)="0",ISNUMBER(--$D2851)),"Có","Không"))</f>
        <v/>
      </c>
      <c r="T2851" s="22">
        <f>IF($D2851="","",IF(AND($C2851&lt;&gt;"",$Q2851="Có",$R2851="",$S2851="Có",AND($L2851&lt;&gt;"",OR($L2851&lt;&gt;"Chưa xác định",DANH_MUC!$L$9="Có"))),"Có","Không"))</f>
        <v/>
      </c>
      <c r="U2851" s="22">
        <f>IF(OR($D2851="",$T2851="Có"),"",IF($C2851="","Thiếu họ tên; ","")&amp;IF($S2851&lt;&gt;"Có","SĐT sai định dạng; ","")&amp;IF($R2851="Trùng","Trùng SĐT; ","")&amp;IF($Q2851&lt;&gt;"Có","Thiếu đồng ý bắt buộc; ","")&amp;IF($L2851="","Thiếu/sai Mã REF; ",IF(AND($L2851="Chưa xác định",DANH_MUC!$L$9&lt;&gt;"Có"),"Nguồn chưa xác định; ","")))</f>
        <v/>
      </c>
      <c r="V2851" s="22">
        <f>IF(OR($D2851="",$R2851="Trùng"),"",IF(COUNTIF(ORDERS!$C$2:$C$4995,$D2851)&gt;0,"Có","Không"))</f>
        <v/>
      </c>
      <c r="W2851" s="22">
        <f>IF(OR($D2851="",$R2851="Trùng"),"",COUNTIFS(ORDERS!$C$2:$C$4995,$D2851,ORDERS!$L$2:$L$4995,"Đã chuyển khoản"))</f>
        <v/>
      </c>
      <c r="X2851" s="23">
        <f>IF(OR($D2851="",$R2851="Trùng"),"",SUMIFS(ORDERS!$J$2:$J$4995,ORDERS!$C$2:$C$4995,$D2851,ORDERS!$L$2:$L$4995,"Đã chuyển khoản"))</f>
        <v/>
      </c>
      <c r="Y2851" s="24" t="n"/>
    </row>
    <row r="2852" ht="14.25" customHeight="1" s="40">
      <c r="A2852" s="24" t="n"/>
      <c r="B2852" s="27" t="n"/>
      <c r="C2852" s="24" t="n"/>
      <c r="D2852" s="28" t="n"/>
      <c r="E2852" s="29" t="n"/>
      <c r="F2852" s="24" t="n"/>
      <c r="G2852" s="24" t="n"/>
      <c r="H2852" s="21">
        <f>IF(ISNUMBER($B2852),INT($B2852)-WEEKDAY($B2852,2)+1,"")</f>
        <v/>
      </c>
      <c r="I2852" s="24" t="n"/>
      <c r="J2852" s="22">
        <f t="array" ref="J2852">IF($D2852="","",IF($I2852="","(trống REF)",IFERROR(INDEX(MASTER_SOURCE!$B$2:$B$495,MATCH($I2852,MASTER_SOURCE!$A$2:$A$495,0)),"(REF không có trong MASTER_SOURCE)")))</f>
        <v/>
      </c>
      <c r="K2852" s="22">
        <f t="array" ref="K2852">IF($D2852="","",IFERROR(INDEX(MASTER_SOURCE!$C$2:$C$495,MATCH($I2852,MASTER_SOURCE!$A$2:$A$495,0)),""))</f>
        <v/>
      </c>
      <c r="L2852" s="22">
        <f t="array" ref="L2852">IF($D2852="","",IFERROR(INDEX(MASTER_SOURCE!$D$2:$D$495,MATCH($I2852,MASTER_SOURCE!$A$2:$A$495,0)),""))</f>
        <v/>
      </c>
      <c r="M2852" s="24" t="n"/>
      <c r="N2852" s="24" t="n"/>
      <c r="O2852" s="24" t="n"/>
      <c r="P2852" s="24" t="n"/>
      <c r="Q2852" s="22">
        <f>IF($D2852="","",IF(AND(OR(DANH_MUC!$L$5&lt;&gt;"Có",M2852="Có"),OR(DANH_MUC!$L$6&lt;&gt;"Có",N2852="Có"),OR(DANH_MUC!$L$7&lt;&gt;"Có",O2852="Có"),OR(DANH_MUC!$L$8&lt;&gt;"Có",P2852="Có")),"Có","Không"))</f>
        <v/>
      </c>
      <c r="R2852" s="22">
        <f>IF($D2852="","",IF(COUNTIF($D$2:$D2852,$D2852)&gt;1,"Trùng",""))</f>
        <v/>
      </c>
      <c r="S2852" s="22">
        <f>IF($D2852="","",IF(AND(LEN($D2852)=10,LEFT($D2852,1)="0",ISNUMBER(--$D2852)),"Có","Không"))</f>
        <v/>
      </c>
      <c r="T2852" s="22">
        <f>IF($D2852="","",IF(AND($C2852&lt;&gt;"",$Q2852="Có",$R2852="",$S2852="Có",AND($L2852&lt;&gt;"",OR($L2852&lt;&gt;"Chưa xác định",DANH_MUC!$L$9="Có"))),"Có","Không"))</f>
        <v/>
      </c>
      <c r="U2852" s="22">
        <f>IF(OR($D2852="",$T2852="Có"),"",IF($C2852="","Thiếu họ tên; ","")&amp;IF($S2852&lt;&gt;"Có","SĐT sai định dạng; ","")&amp;IF($R2852="Trùng","Trùng SĐT; ","")&amp;IF($Q2852&lt;&gt;"Có","Thiếu đồng ý bắt buộc; ","")&amp;IF($L2852="","Thiếu/sai Mã REF; ",IF(AND($L2852="Chưa xác định",DANH_MUC!$L$9&lt;&gt;"Có"),"Nguồn chưa xác định; ","")))</f>
        <v/>
      </c>
      <c r="V2852" s="22">
        <f>IF(OR($D2852="",$R2852="Trùng"),"",IF(COUNTIF(ORDERS!$C$2:$C$4995,$D2852)&gt;0,"Có","Không"))</f>
        <v/>
      </c>
      <c r="W2852" s="22">
        <f>IF(OR($D2852="",$R2852="Trùng"),"",COUNTIFS(ORDERS!$C$2:$C$4995,$D2852,ORDERS!$L$2:$L$4995,"Đã chuyển khoản"))</f>
        <v/>
      </c>
      <c r="X2852" s="23">
        <f>IF(OR($D2852="",$R2852="Trùng"),"",SUMIFS(ORDERS!$J$2:$J$4995,ORDERS!$C$2:$C$4995,$D2852,ORDERS!$L$2:$L$4995,"Đã chuyển khoản"))</f>
        <v/>
      </c>
      <c r="Y2852" s="24" t="n"/>
    </row>
    <row r="2853" ht="14.25" customHeight="1" s="40">
      <c r="A2853" s="24" t="n"/>
      <c r="B2853" s="27" t="n"/>
      <c r="C2853" s="24" t="n"/>
      <c r="D2853" s="28" t="n"/>
      <c r="E2853" s="29" t="n"/>
      <c r="F2853" s="24" t="n"/>
      <c r="G2853" s="24" t="n"/>
      <c r="H2853" s="21">
        <f>IF(ISNUMBER($B2853),INT($B2853)-WEEKDAY($B2853,2)+1,"")</f>
        <v/>
      </c>
      <c r="I2853" s="24" t="n"/>
      <c r="J2853" s="22">
        <f t="array" ref="J2853">IF($D2853="","",IF($I2853="","(trống REF)",IFERROR(INDEX(MASTER_SOURCE!$B$2:$B$495,MATCH($I2853,MASTER_SOURCE!$A$2:$A$495,0)),"(REF không có trong MASTER_SOURCE)")))</f>
        <v/>
      </c>
      <c r="K2853" s="22">
        <f t="array" ref="K2853">IF($D2853="","",IFERROR(INDEX(MASTER_SOURCE!$C$2:$C$495,MATCH($I2853,MASTER_SOURCE!$A$2:$A$495,0)),""))</f>
        <v/>
      </c>
      <c r="L2853" s="22">
        <f t="array" ref="L2853">IF($D2853="","",IFERROR(INDEX(MASTER_SOURCE!$D$2:$D$495,MATCH($I2853,MASTER_SOURCE!$A$2:$A$495,0)),""))</f>
        <v/>
      </c>
      <c r="M2853" s="24" t="n"/>
      <c r="N2853" s="24" t="n"/>
      <c r="O2853" s="24" t="n"/>
      <c r="P2853" s="24" t="n"/>
      <c r="Q2853" s="22">
        <f>IF($D2853="","",IF(AND(OR(DANH_MUC!$L$5&lt;&gt;"Có",M2853="Có"),OR(DANH_MUC!$L$6&lt;&gt;"Có",N2853="Có"),OR(DANH_MUC!$L$7&lt;&gt;"Có",O2853="Có"),OR(DANH_MUC!$L$8&lt;&gt;"Có",P2853="Có")),"Có","Không"))</f>
        <v/>
      </c>
      <c r="R2853" s="22">
        <f>IF($D2853="","",IF(COUNTIF($D$2:$D2853,$D2853)&gt;1,"Trùng",""))</f>
        <v/>
      </c>
      <c r="S2853" s="22">
        <f>IF($D2853="","",IF(AND(LEN($D2853)=10,LEFT($D2853,1)="0",ISNUMBER(--$D2853)),"Có","Không"))</f>
        <v/>
      </c>
      <c r="T2853" s="22">
        <f>IF($D2853="","",IF(AND($C2853&lt;&gt;"",$Q2853="Có",$R2853="",$S2853="Có",AND($L2853&lt;&gt;"",OR($L2853&lt;&gt;"Chưa xác định",DANH_MUC!$L$9="Có"))),"Có","Không"))</f>
        <v/>
      </c>
      <c r="U2853" s="22">
        <f>IF(OR($D2853="",$T2853="Có"),"",IF($C2853="","Thiếu họ tên; ","")&amp;IF($S2853&lt;&gt;"Có","SĐT sai định dạng; ","")&amp;IF($R2853="Trùng","Trùng SĐT; ","")&amp;IF($Q2853&lt;&gt;"Có","Thiếu đồng ý bắt buộc; ","")&amp;IF($L2853="","Thiếu/sai Mã REF; ",IF(AND($L2853="Chưa xác định",DANH_MUC!$L$9&lt;&gt;"Có"),"Nguồn chưa xác định; ","")))</f>
        <v/>
      </c>
      <c r="V2853" s="22">
        <f>IF(OR($D2853="",$R2853="Trùng"),"",IF(COUNTIF(ORDERS!$C$2:$C$4995,$D2853)&gt;0,"Có","Không"))</f>
        <v/>
      </c>
      <c r="W2853" s="22">
        <f>IF(OR($D2853="",$R2853="Trùng"),"",COUNTIFS(ORDERS!$C$2:$C$4995,$D2853,ORDERS!$L$2:$L$4995,"Đã chuyển khoản"))</f>
        <v/>
      </c>
      <c r="X2853" s="23">
        <f>IF(OR($D2853="",$R2853="Trùng"),"",SUMIFS(ORDERS!$J$2:$J$4995,ORDERS!$C$2:$C$4995,$D2853,ORDERS!$L$2:$L$4995,"Đã chuyển khoản"))</f>
        <v/>
      </c>
      <c r="Y2853" s="24" t="n"/>
    </row>
    <row r="2854" ht="14.25" customHeight="1" s="40">
      <c r="A2854" s="24" t="n"/>
      <c r="B2854" s="27" t="n"/>
      <c r="C2854" s="24" t="n"/>
      <c r="D2854" s="28" t="n"/>
      <c r="E2854" s="29" t="n"/>
      <c r="F2854" s="24" t="n"/>
      <c r="G2854" s="24" t="n"/>
      <c r="H2854" s="21">
        <f>IF(ISNUMBER($B2854),INT($B2854)-WEEKDAY($B2854,2)+1,"")</f>
        <v/>
      </c>
      <c r="I2854" s="24" t="n"/>
      <c r="J2854" s="22">
        <f t="array" ref="J2854">IF($D2854="","",IF($I2854="","(trống REF)",IFERROR(INDEX(MASTER_SOURCE!$B$2:$B$495,MATCH($I2854,MASTER_SOURCE!$A$2:$A$495,0)),"(REF không có trong MASTER_SOURCE)")))</f>
        <v/>
      </c>
      <c r="K2854" s="22">
        <f t="array" ref="K2854">IF($D2854="","",IFERROR(INDEX(MASTER_SOURCE!$C$2:$C$495,MATCH($I2854,MASTER_SOURCE!$A$2:$A$495,0)),""))</f>
        <v/>
      </c>
      <c r="L2854" s="22">
        <f t="array" ref="L2854">IF($D2854="","",IFERROR(INDEX(MASTER_SOURCE!$D$2:$D$495,MATCH($I2854,MASTER_SOURCE!$A$2:$A$495,0)),""))</f>
        <v/>
      </c>
      <c r="M2854" s="24" t="n"/>
      <c r="N2854" s="24" t="n"/>
      <c r="O2854" s="24" t="n"/>
      <c r="P2854" s="24" t="n"/>
      <c r="Q2854" s="22">
        <f>IF($D2854="","",IF(AND(OR(DANH_MUC!$L$5&lt;&gt;"Có",M2854="Có"),OR(DANH_MUC!$L$6&lt;&gt;"Có",N2854="Có"),OR(DANH_MUC!$L$7&lt;&gt;"Có",O2854="Có"),OR(DANH_MUC!$L$8&lt;&gt;"Có",P2854="Có")),"Có","Không"))</f>
        <v/>
      </c>
      <c r="R2854" s="22">
        <f>IF($D2854="","",IF(COUNTIF($D$2:$D2854,$D2854)&gt;1,"Trùng",""))</f>
        <v/>
      </c>
      <c r="S2854" s="22">
        <f>IF($D2854="","",IF(AND(LEN($D2854)=10,LEFT($D2854,1)="0",ISNUMBER(--$D2854)),"Có","Không"))</f>
        <v/>
      </c>
      <c r="T2854" s="22">
        <f>IF($D2854="","",IF(AND($C2854&lt;&gt;"",$Q2854="Có",$R2854="",$S2854="Có",AND($L2854&lt;&gt;"",OR($L2854&lt;&gt;"Chưa xác định",DANH_MUC!$L$9="Có"))),"Có","Không"))</f>
        <v/>
      </c>
      <c r="U2854" s="22">
        <f>IF(OR($D2854="",$T2854="Có"),"",IF($C2854="","Thiếu họ tên; ","")&amp;IF($S2854&lt;&gt;"Có","SĐT sai định dạng; ","")&amp;IF($R2854="Trùng","Trùng SĐT; ","")&amp;IF($Q2854&lt;&gt;"Có","Thiếu đồng ý bắt buộc; ","")&amp;IF($L2854="","Thiếu/sai Mã REF; ",IF(AND($L2854="Chưa xác định",DANH_MUC!$L$9&lt;&gt;"Có"),"Nguồn chưa xác định; ","")))</f>
        <v/>
      </c>
      <c r="V2854" s="22">
        <f>IF(OR($D2854="",$R2854="Trùng"),"",IF(COUNTIF(ORDERS!$C$2:$C$4995,$D2854)&gt;0,"Có","Không"))</f>
        <v/>
      </c>
      <c r="W2854" s="22">
        <f>IF(OR($D2854="",$R2854="Trùng"),"",COUNTIFS(ORDERS!$C$2:$C$4995,$D2854,ORDERS!$L$2:$L$4995,"Đã chuyển khoản"))</f>
        <v/>
      </c>
      <c r="X2854" s="23">
        <f>IF(OR($D2854="",$R2854="Trùng"),"",SUMIFS(ORDERS!$J$2:$J$4995,ORDERS!$C$2:$C$4995,$D2854,ORDERS!$L$2:$L$4995,"Đã chuyển khoản"))</f>
        <v/>
      </c>
      <c r="Y2854" s="24" t="n"/>
    </row>
    <row r="2855" ht="14.25" customHeight="1" s="40">
      <c r="A2855" s="24" t="n"/>
      <c r="B2855" s="27" t="n"/>
      <c r="C2855" s="24" t="n"/>
      <c r="D2855" s="28" t="n"/>
      <c r="E2855" s="29" t="n"/>
      <c r="F2855" s="24" t="n"/>
      <c r="G2855" s="24" t="n"/>
      <c r="H2855" s="21">
        <f>IF(ISNUMBER($B2855),INT($B2855)-WEEKDAY($B2855,2)+1,"")</f>
        <v/>
      </c>
      <c r="I2855" s="24" t="n"/>
      <c r="J2855" s="22">
        <f t="array" ref="J2855">IF($D2855="","",IF($I2855="","(trống REF)",IFERROR(INDEX(MASTER_SOURCE!$B$2:$B$495,MATCH($I2855,MASTER_SOURCE!$A$2:$A$495,0)),"(REF không có trong MASTER_SOURCE)")))</f>
        <v/>
      </c>
      <c r="K2855" s="22">
        <f t="array" ref="K2855">IF($D2855="","",IFERROR(INDEX(MASTER_SOURCE!$C$2:$C$495,MATCH($I2855,MASTER_SOURCE!$A$2:$A$495,0)),""))</f>
        <v/>
      </c>
      <c r="L2855" s="22">
        <f t="array" ref="L2855">IF($D2855="","",IFERROR(INDEX(MASTER_SOURCE!$D$2:$D$495,MATCH($I2855,MASTER_SOURCE!$A$2:$A$495,0)),""))</f>
        <v/>
      </c>
      <c r="M2855" s="24" t="n"/>
      <c r="N2855" s="24" t="n"/>
      <c r="O2855" s="24" t="n"/>
      <c r="P2855" s="24" t="n"/>
      <c r="Q2855" s="22">
        <f>IF($D2855="","",IF(AND(OR(DANH_MUC!$L$5&lt;&gt;"Có",M2855="Có"),OR(DANH_MUC!$L$6&lt;&gt;"Có",N2855="Có"),OR(DANH_MUC!$L$7&lt;&gt;"Có",O2855="Có"),OR(DANH_MUC!$L$8&lt;&gt;"Có",P2855="Có")),"Có","Không"))</f>
        <v/>
      </c>
      <c r="R2855" s="22">
        <f>IF($D2855="","",IF(COUNTIF($D$2:$D2855,$D2855)&gt;1,"Trùng",""))</f>
        <v/>
      </c>
      <c r="S2855" s="22">
        <f>IF($D2855="","",IF(AND(LEN($D2855)=10,LEFT($D2855,1)="0",ISNUMBER(--$D2855)),"Có","Không"))</f>
        <v/>
      </c>
      <c r="T2855" s="22">
        <f>IF($D2855="","",IF(AND($C2855&lt;&gt;"",$Q2855="Có",$R2855="",$S2855="Có",AND($L2855&lt;&gt;"",OR($L2855&lt;&gt;"Chưa xác định",DANH_MUC!$L$9="Có"))),"Có","Không"))</f>
        <v/>
      </c>
      <c r="U2855" s="22">
        <f>IF(OR($D2855="",$T2855="Có"),"",IF($C2855="","Thiếu họ tên; ","")&amp;IF($S2855&lt;&gt;"Có","SĐT sai định dạng; ","")&amp;IF($R2855="Trùng","Trùng SĐT; ","")&amp;IF($Q2855&lt;&gt;"Có","Thiếu đồng ý bắt buộc; ","")&amp;IF($L2855="","Thiếu/sai Mã REF; ",IF(AND($L2855="Chưa xác định",DANH_MUC!$L$9&lt;&gt;"Có"),"Nguồn chưa xác định; ","")))</f>
        <v/>
      </c>
      <c r="V2855" s="22">
        <f>IF(OR($D2855="",$R2855="Trùng"),"",IF(COUNTIF(ORDERS!$C$2:$C$4995,$D2855)&gt;0,"Có","Không"))</f>
        <v/>
      </c>
      <c r="W2855" s="22">
        <f>IF(OR($D2855="",$R2855="Trùng"),"",COUNTIFS(ORDERS!$C$2:$C$4995,$D2855,ORDERS!$L$2:$L$4995,"Đã chuyển khoản"))</f>
        <v/>
      </c>
      <c r="X2855" s="23">
        <f>IF(OR($D2855="",$R2855="Trùng"),"",SUMIFS(ORDERS!$J$2:$J$4995,ORDERS!$C$2:$C$4995,$D2855,ORDERS!$L$2:$L$4995,"Đã chuyển khoản"))</f>
        <v/>
      </c>
      <c r="Y2855" s="24" t="n"/>
    </row>
    <row r="2856" ht="14.25" customHeight="1" s="40">
      <c r="A2856" s="24" t="n"/>
      <c r="B2856" s="27" t="n"/>
      <c r="C2856" s="24" t="n"/>
      <c r="D2856" s="28" t="n"/>
      <c r="E2856" s="29" t="n"/>
      <c r="F2856" s="24" t="n"/>
      <c r="G2856" s="24" t="n"/>
      <c r="H2856" s="21">
        <f>IF(ISNUMBER($B2856),INT($B2856)-WEEKDAY($B2856,2)+1,"")</f>
        <v/>
      </c>
      <c r="I2856" s="24" t="n"/>
      <c r="J2856" s="22">
        <f t="array" ref="J2856">IF($D2856="","",IF($I2856="","(trống REF)",IFERROR(INDEX(MASTER_SOURCE!$B$2:$B$495,MATCH($I2856,MASTER_SOURCE!$A$2:$A$495,0)),"(REF không có trong MASTER_SOURCE)")))</f>
        <v/>
      </c>
      <c r="K2856" s="22">
        <f t="array" ref="K2856">IF($D2856="","",IFERROR(INDEX(MASTER_SOURCE!$C$2:$C$495,MATCH($I2856,MASTER_SOURCE!$A$2:$A$495,0)),""))</f>
        <v/>
      </c>
      <c r="L2856" s="22">
        <f t="array" ref="L2856">IF($D2856="","",IFERROR(INDEX(MASTER_SOURCE!$D$2:$D$495,MATCH($I2856,MASTER_SOURCE!$A$2:$A$495,0)),""))</f>
        <v/>
      </c>
      <c r="M2856" s="24" t="n"/>
      <c r="N2856" s="24" t="n"/>
      <c r="O2856" s="24" t="n"/>
      <c r="P2856" s="24" t="n"/>
      <c r="Q2856" s="22">
        <f>IF($D2856="","",IF(AND(OR(DANH_MUC!$L$5&lt;&gt;"Có",M2856="Có"),OR(DANH_MUC!$L$6&lt;&gt;"Có",N2856="Có"),OR(DANH_MUC!$L$7&lt;&gt;"Có",O2856="Có"),OR(DANH_MUC!$L$8&lt;&gt;"Có",P2856="Có")),"Có","Không"))</f>
        <v/>
      </c>
      <c r="R2856" s="22">
        <f>IF($D2856="","",IF(COUNTIF($D$2:$D2856,$D2856)&gt;1,"Trùng",""))</f>
        <v/>
      </c>
      <c r="S2856" s="22">
        <f>IF($D2856="","",IF(AND(LEN($D2856)=10,LEFT($D2856,1)="0",ISNUMBER(--$D2856)),"Có","Không"))</f>
        <v/>
      </c>
      <c r="T2856" s="22">
        <f>IF($D2856="","",IF(AND($C2856&lt;&gt;"",$Q2856="Có",$R2856="",$S2856="Có",AND($L2856&lt;&gt;"",OR($L2856&lt;&gt;"Chưa xác định",DANH_MUC!$L$9="Có"))),"Có","Không"))</f>
        <v/>
      </c>
      <c r="U2856" s="22">
        <f>IF(OR($D2856="",$T2856="Có"),"",IF($C2856="","Thiếu họ tên; ","")&amp;IF($S2856&lt;&gt;"Có","SĐT sai định dạng; ","")&amp;IF($R2856="Trùng","Trùng SĐT; ","")&amp;IF($Q2856&lt;&gt;"Có","Thiếu đồng ý bắt buộc; ","")&amp;IF($L2856="","Thiếu/sai Mã REF; ",IF(AND($L2856="Chưa xác định",DANH_MUC!$L$9&lt;&gt;"Có"),"Nguồn chưa xác định; ","")))</f>
        <v/>
      </c>
      <c r="V2856" s="22">
        <f>IF(OR($D2856="",$R2856="Trùng"),"",IF(COUNTIF(ORDERS!$C$2:$C$4995,$D2856)&gt;0,"Có","Không"))</f>
        <v/>
      </c>
      <c r="W2856" s="22">
        <f>IF(OR($D2856="",$R2856="Trùng"),"",COUNTIFS(ORDERS!$C$2:$C$4995,$D2856,ORDERS!$L$2:$L$4995,"Đã chuyển khoản"))</f>
        <v/>
      </c>
      <c r="X2856" s="23">
        <f>IF(OR($D2856="",$R2856="Trùng"),"",SUMIFS(ORDERS!$J$2:$J$4995,ORDERS!$C$2:$C$4995,$D2856,ORDERS!$L$2:$L$4995,"Đã chuyển khoản"))</f>
        <v/>
      </c>
      <c r="Y2856" s="24" t="n"/>
    </row>
    <row r="2857" ht="14.25" customHeight="1" s="40">
      <c r="A2857" s="24" t="n"/>
      <c r="B2857" s="27" t="n"/>
      <c r="C2857" s="24" t="n"/>
      <c r="D2857" s="28" t="n"/>
      <c r="E2857" s="29" t="n"/>
      <c r="F2857" s="24" t="n"/>
      <c r="G2857" s="24" t="n"/>
      <c r="H2857" s="21">
        <f>IF(ISNUMBER($B2857),INT($B2857)-WEEKDAY($B2857,2)+1,"")</f>
        <v/>
      </c>
      <c r="I2857" s="24" t="n"/>
      <c r="J2857" s="22">
        <f t="array" ref="J2857">IF($D2857="","",IF($I2857="","(trống REF)",IFERROR(INDEX(MASTER_SOURCE!$B$2:$B$495,MATCH($I2857,MASTER_SOURCE!$A$2:$A$495,0)),"(REF không có trong MASTER_SOURCE)")))</f>
        <v/>
      </c>
      <c r="K2857" s="22">
        <f t="array" ref="K2857">IF($D2857="","",IFERROR(INDEX(MASTER_SOURCE!$C$2:$C$495,MATCH($I2857,MASTER_SOURCE!$A$2:$A$495,0)),""))</f>
        <v/>
      </c>
      <c r="L2857" s="22">
        <f t="array" ref="L2857">IF($D2857="","",IFERROR(INDEX(MASTER_SOURCE!$D$2:$D$495,MATCH($I2857,MASTER_SOURCE!$A$2:$A$495,0)),""))</f>
        <v/>
      </c>
      <c r="M2857" s="24" t="n"/>
      <c r="N2857" s="24" t="n"/>
      <c r="O2857" s="24" t="n"/>
      <c r="P2857" s="24" t="n"/>
      <c r="Q2857" s="22">
        <f>IF($D2857="","",IF(AND(OR(DANH_MUC!$L$5&lt;&gt;"Có",M2857="Có"),OR(DANH_MUC!$L$6&lt;&gt;"Có",N2857="Có"),OR(DANH_MUC!$L$7&lt;&gt;"Có",O2857="Có"),OR(DANH_MUC!$L$8&lt;&gt;"Có",P2857="Có")),"Có","Không"))</f>
        <v/>
      </c>
      <c r="R2857" s="22">
        <f>IF($D2857="","",IF(COUNTIF($D$2:$D2857,$D2857)&gt;1,"Trùng",""))</f>
        <v/>
      </c>
      <c r="S2857" s="22">
        <f>IF($D2857="","",IF(AND(LEN($D2857)=10,LEFT($D2857,1)="0",ISNUMBER(--$D2857)),"Có","Không"))</f>
        <v/>
      </c>
      <c r="T2857" s="22">
        <f>IF($D2857="","",IF(AND($C2857&lt;&gt;"",$Q2857="Có",$R2857="",$S2857="Có",AND($L2857&lt;&gt;"",OR($L2857&lt;&gt;"Chưa xác định",DANH_MUC!$L$9="Có"))),"Có","Không"))</f>
        <v/>
      </c>
      <c r="U2857" s="22">
        <f>IF(OR($D2857="",$T2857="Có"),"",IF($C2857="","Thiếu họ tên; ","")&amp;IF($S2857&lt;&gt;"Có","SĐT sai định dạng; ","")&amp;IF($R2857="Trùng","Trùng SĐT; ","")&amp;IF($Q2857&lt;&gt;"Có","Thiếu đồng ý bắt buộc; ","")&amp;IF($L2857="","Thiếu/sai Mã REF; ",IF(AND($L2857="Chưa xác định",DANH_MUC!$L$9&lt;&gt;"Có"),"Nguồn chưa xác định; ","")))</f>
        <v/>
      </c>
      <c r="V2857" s="22">
        <f>IF(OR($D2857="",$R2857="Trùng"),"",IF(COUNTIF(ORDERS!$C$2:$C$4995,$D2857)&gt;0,"Có","Không"))</f>
        <v/>
      </c>
      <c r="W2857" s="22">
        <f>IF(OR($D2857="",$R2857="Trùng"),"",COUNTIFS(ORDERS!$C$2:$C$4995,$D2857,ORDERS!$L$2:$L$4995,"Đã chuyển khoản"))</f>
        <v/>
      </c>
      <c r="X2857" s="23">
        <f>IF(OR($D2857="",$R2857="Trùng"),"",SUMIFS(ORDERS!$J$2:$J$4995,ORDERS!$C$2:$C$4995,$D2857,ORDERS!$L$2:$L$4995,"Đã chuyển khoản"))</f>
        <v/>
      </c>
      <c r="Y2857" s="24" t="n"/>
    </row>
    <row r="2858" ht="14.25" customHeight="1" s="40">
      <c r="A2858" s="24" t="n"/>
      <c r="B2858" s="27" t="n"/>
      <c r="C2858" s="24" t="n"/>
      <c r="D2858" s="28" t="n"/>
      <c r="E2858" s="29" t="n"/>
      <c r="F2858" s="24" t="n"/>
      <c r="G2858" s="24" t="n"/>
      <c r="H2858" s="21">
        <f>IF(ISNUMBER($B2858),INT($B2858)-WEEKDAY($B2858,2)+1,"")</f>
        <v/>
      </c>
      <c r="I2858" s="24" t="n"/>
      <c r="J2858" s="22">
        <f t="array" ref="J2858">IF($D2858="","",IF($I2858="","(trống REF)",IFERROR(INDEX(MASTER_SOURCE!$B$2:$B$495,MATCH($I2858,MASTER_SOURCE!$A$2:$A$495,0)),"(REF không có trong MASTER_SOURCE)")))</f>
        <v/>
      </c>
      <c r="K2858" s="22">
        <f t="array" ref="K2858">IF($D2858="","",IFERROR(INDEX(MASTER_SOURCE!$C$2:$C$495,MATCH($I2858,MASTER_SOURCE!$A$2:$A$495,0)),""))</f>
        <v/>
      </c>
      <c r="L2858" s="22">
        <f t="array" ref="L2858">IF($D2858="","",IFERROR(INDEX(MASTER_SOURCE!$D$2:$D$495,MATCH($I2858,MASTER_SOURCE!$A$2:$A$495,0)),""))</f>
        <v/>
      </c>
      <c r="M2858" s="24" t="n"/>
      <c r="N2858" s="24" t="n"/>
      <c r="O2858" s="24" t="n"/>
      <c r="P2858" s="24" t="n"/>
      <c r="Q2858" s="22">
        <f>IF($D2858="","",IF(AND(OR(DANH_MUC!$L$5&lt;&gt;"Có",M2858="Có"),OR(DANH_MUC!$L$6&lt;&gt;"Có",N2858="Có"),OR(DANH_MUC!$L$7&lt;&gt;"Có",O2858="Có"),OR(DANH_MUC!$L$8&lt;&gt;"Có",P2858="Có")),"Có","Không"))</f>
        <v/>
      </c>
      <c r="R2858" s="22">
        <f>IF($D2858="","",IF(COUNTIF($D$2:$D2858,$D2858)&gt;1,"Trùng",""))</f>
        <v/>
      </c>
      <c r="S2858" s="22">
        <f>IF($D2858="","",IF(AND(LEN($D2858)=10,LEFT($D2858,1)="0",ISNUMBER(--$D2858)),"Có","Không"))</f>
        <v/>
      </c>
      <c r="T2858" s="22">
        <f>IF($D2858="","",IF(AND($C2858&lt;&gt;"",$Q2858="Có",$R2858="",$S2858="Có",AND($L2858&lt;&gt;"",OR($L2858&lt;&gt;"Chưa xác định",DANH_MUC!$L$9="Có"))),"Có","Không"))</f>
        <v/>
      </c>
      <c r="U2858" s="22">
        <f>IF(OR($D2858="",$T2858="Có"),"",IF($C2858="","Thiếu họ tên; ","")&amp;IF($S2858&lt;&gt;"Có","SĐT sai định dạng; ","")&amp;IF($R2858="Trùng","Trùng SĐT; ","")&amp;IF($Q2858&lt;&gt;"Có","Thiếu đồng ý bắt buộc; ","")&amp;IF($L2858="","Thiếu/sai Mã REF; ",IF(AND($L2858="Chưa xác định",DANH_MUC!$L$9&lt;&gt;"Có"),"Nguồn chưa xác định; ","")))</f>
        <v/>
      </c>
      <c r="V2858" s="22">
        <f>IF(OR($D2858="",$R2858="Trùng"),"",IF(COUNTIF(ORDERS!$C$2:$C$4995,$D2858)&gt;0,"Có","Không"))</f>
        <v/>
      </c>
      <c r="W2858" s="22">
        <f>IF(OR($D2858="",$R2858="Trùng"),"",COUNTIFS(ORDERS!$C$2:$C$4995,$D2858,ORDERS!$L$2:$L$4995,"Đã chuyển khoản"))</f>
        <v/>
      </c>
      <c r="X2858" s="23">
        <f>IF(OR($D2858="",$R2858="Trùng"),"",SUMIFS(ORDERS!$J$2:$J$4995,ORDERS!$C$2:$C$4995,$D2858,ORDERS!$L$2:$L$4995,"Đã chuyển khoản"))</f>
        <v/>
      </c>
      <c r="Y2858" s="24" t="n"/>
    </row>
    <row r="2859" ht="14.25" customHeight="1" s="40">
      <c r="A2859" s="24" t="n"/>
      <c r="B2859" s="27" t="n"/>
      <c r="C2859" s="24" t="n"/>
      <c r="D2859" s="28" t="n"/>
      <c r="E2859" s="29" t="n"/>
      <c r="F2859" s="24" t="n"/>
      <c r="G2859" s="24" t="n"/>
      <c r="H2859" s="21">
        <f>IF(ISNUMBER($B2859),INT($B2859)-WEEKDAY($B2859,2)+1,"")</f>
        <v/>
      </c>
      <c r="I2859" s="24" t="n"/>
      <c r="J2859" s="22">
        <f t="array" ref="J2859">IF($D2859="","",IF($I2859="","(trống REF)",IFERROR(INDEX(MASTER_SOURCE!$B$2:$B$495,MATCH($I2859,MASTER_SOURCE!$A$2:$A$495,0)),"(REF không có trong MASTER_SOURCE)")))</f>
        <v/>
      </c>
      <c r="K2859" s="22">
        <f t="array" ref="K2859">IF($D2859="","",IFERROR(INDEX(MASTER_SOURCE!$C$2:$C$495,MATCH($I2859,MASTER_SOURCE!$A$2:$A$495,0)),""))</f>
        <v/>
      </c>
      <c r="L2859" s="22">
        <f t="array" ref="L2859">IF($D2859="","",IFERROR(INDEX(MASTER_SOURCE!$D$2:$D$495,MATCH($I2859,MASTER_SOURCE!$A$2:$A$495,0)),""))</f>
        <v/>
      </c>
      <c r="M2859" s="24" t="n"/>
      <c r="N2859" s="24" t="n"/>
      <c r="O2859" s="24" t="n"/>
      <c r="P2859" s="24" t="n"/>
      <c r="Q2859" s="22">
        <f>IF($D2859="","",IF(AND(OR(DANH_MUC!$L$5&lt;&gt;"Có",M2859="Có"),OR(DANH_MUC!$L$6&lt;&gt;"Có",N2859="Có"),OR(DANH_MUC!$L$7&lt;&gt;"Có",O2859="Có"),OR(DANH_MUC!$L$8&lt;&gt;"Có",P2859="Có")),"Có","Không"))</f>
        <v/>
      </c>
      <c r="R2859" s="22">
        <f>IF($D2859="","",IF(COUNTIF($D$2:$D2859,$D2859)&gt;1,"Trùng",""))</f>
        <v/>
      </c>
      <c r="S2859" s="22">
        <f>IF($D2859="","",IF(AND(LEN($D2859)=10,LEFT($D2859,1)="0",ISNUMBER(--$D2859)),"Có","Không"))</f>
        <v/>
      </c>
      <c r="T2859" s="22">
        <f>IF($D2859="","",IF(AND($C2859&lt;&gt;"",$Q2859="Có",$R2859="",$S2859="Có",AND($L2859&lt;&gt;"",OR($L2859&lt;&gt;"Chưa xác định",DANH_MUC!$L$9="Có"))),"Có","Không"))</f>
        <v/>
      </c>
      <c r="U2859" s="22">
        <f>IF(OR($D2859="",$T2859="Có"),"",IF($C2859="","Thiếu họ tên; ","")&amp;IF($S2859&lt;&gt;"Có","SĐT sai định dạng; ","")&amp;IF($R2859="Trùng","Trùng SĐT; ","")&amp;IF($Q2859&lt;&gt;"Có","Thiếu đồng ý bắt buộc; ","")&amp;IF($L2859="","Thiếu/sai Mã REF; ",IF(AND($L2859="Chưa xác định",DANH_MUC!$L$9&lt;&gt;"Có"),"Nguồn chưa xác định; ","")))</f>
        <v/>
      </c>
      <c r="V2859" s="22">
        <f>IF(OR($D2859="",$R2859="Trùng"),"",IF(COUNTIF(ORDERS!$C$2:$C$4995,$D2859)&gt;0,"Có","Không"))</f>
        <v/>
      </c>
      <c r="W2859" s="22">
        <f>IF(OR($D2859="",$R2859="Trùng"),"",COUNTIFS(ORDERS!$C$2:$C$4995,$D2859,ORDERS!$L$2:$L$4995,"Đã chuyển khoản"))</f>
        <v/>
      </c>
      <c r="X2859" s="23">
        <f>IF(OR($D2859="",$R2859="Trùng"),"",SUMIFS(ORDERS!$J$2:$J$4995,ORDERS!$C$2:$C$4995,$D2859,ORDERS!$L$2:$L$4995,"Đã chuyển khoản"))</f>
        <v/>
      </c>
      <c r="Y2859" s="24" t="n"/>
    </row>
    <row r="2860" ht="14.25" customHeight="1" s="40">
      <c r="A2860" s="24" t="n"/>
      <c r="B2860" s="27" t="n"/>
      <c r="C2860" s="24" t="n"/>
      <c r="D2860" s="28" t="n"/>
      <c r="E2860" s="29" t="n"/>
      <c r="F2860" s="24" t="n"/>
      <c r="G2860" s="24" t="n"/>
      <c r="H2860" s="21">
        <f>IF(ISNUMBER($B2860),INT($B2860)-WEEKDAY($B2860,2)+1,"")</f>
        <v/>
      </c>
      <c r="I2860" s="24" t="n"/>
      <c r="J2860" s="22">
        <f t="array" ref="J2860">IF($D2860="","",IF($I2860="","(trống REF)",IFERROR(INDEX(MASTER_SOURCE!$B$2:$B$495,MATCH($I2860,MASTER_SOURCE!$A$2:$A$495,0)),"(REF không có trong MASTER_SOURCE)")))</f>
        <v/>
      </c>
      <c r="K2860" s="22">
        <f t="array" ref="K2860">IF($D2860="","",IFERROR(INDEX(MASTER_SOURCE!$C$2:$C$495,MATCH($I2860,MASTER_SOURCE!$A$2:$A$495,0)),""))</f>
        <v/>
      </c>
      <c r="L2860" s="22">
        <f t="array" ref="L2860">IF($D2860="","",IFERROR(INDEX(MASTER_SOURCE!$D$2:$D$495,MATCH($I2860,MASTER_SOURCE!$A$2:$A$495,0)),""))</f>
        <v/>
      </c>
      <c r="M2860" s="24" t="n"/>
      <c r="N2860" s="24" t="n"/>
      <c r="O2860" s="24" t="n"/>
      <c r="P2860" s="24" t="n"/>
      <c r="Q2860" s="22">
        <f>IF($D2860="","",IF(AND(OR(DANH_MUC!$L$5&lt;&gt;"Có",M2860="Có"),OR(DANH_MUC!$L$6&lt;&gt;"Có",N2860="Có"),OR(DANH_MUC!$L$7&lt;&gt;"Có",O2860="Có"),OR(DANH_MUC!$L$8&lt;&gt;"Có",P2860="Có")),"Có","Không"))</f>
        <v/>
      </c>
      <c r="R2860" s="22">
        <f>IF($D2860="","",IF(COUNTIF($D$2:$D2860,$D2860)&gt;1,"Trùng",""))</f>
        <v/>
      </c>
      <c r="S2860" s="22">
        <f>IF($D2860="","",IF(AND(LEN($D2860)=10,LEFT($D2860,1)="0",ISNUMBER(--$D2860)),"Có","Không"))</f>
        <v/>
      </c>
      <c r="T2860" s="22">
        <f>IF($D2860="","",IF(AND($C2860&lt;&gt;"",$Q2860="Có",$R2860="",$S2860="Có",AND($L2860&lt;&gt;"",OR($L2860&lt;&gt;"Chưa xác định",DANH_MUC!$L$9="Có"))),"Có","Không"))</f>
        <v/>
      </c>
      <c r="U2860" s="22">
        <f>IF(OR($D2860="",$T2860="Có"),"",IF($C2860="","Thiếu họ tên; ","")&amp;IF($S2860&lt;&gt;"Có","SĐT sai định dạng; ","")&amp;IF($R2860="Trùng","Trùng SĐT; ","")&amp;IF($Q2860&lt;&gt;"Có","Thiếu đồng ý bắt buộc; ","")&amp;IF($L2860="","Thiếu/sai Mã REF; ",IF(AND($L2860="Chưa xác định",DANH_MUC!$L$9&lt;&gt;"Có"),"Nguồn chưa xác định; ","")))</f>
        <v/>
      </c>
      <c r="V2860" s="22">
        <f>IF(OR($D2860="",$R2860="Trùng"),"",IF(COUNTIF(ORDERS!$C$2:$C$4995,$D2860)&gt;0,"Có","Không"))</f>
        <v/>
      </c>
      <c r="W2860" s="22">
        <f>IF(OR($D2860="",$R2860="Trùng"),"",COUNTIFS(ORDERS!$C$2:$C$4995,$D2860,ORDERS!$L$2:$L$4995,"Đã chuyển khoản"))</f>
        <v/>
      </c>
      <c r="X2860" s="23">
        <f>IF(OR($D2860="",$R2860="Trùng"),"",SUMIFS(ORDERS!$J$2:$J$4995,ORDERS!$C$2:$C$4995,$D2860,ORDERS!$L$2:$L$4995,"Đã chuyển khoản"))</f>
        <v/>
      </c>
      <c r="Y2860" s="24" t="n"/>
    </row>
    <row r="2861" ht="14.25" customHeight="1" s="40">
      <c r="A2861" s="24" t="n"/>
      <c r="B2861" s="27" t="n"/>
      <c r="C2861" s="24" t="n"/>
      <c r="D2861" s="28" t="n"/>
      <c r="E2861" s="29" t="n"/>
      <c r="F2861" s="24" t="n"/>
      <c r="G2861" s="24" t="n"/>
      <c r="H2861" s="21">
        <f>IF(ISNUMBER($B2861),INT($B2861)-WEEKDAY($B2861,2)+1,"")</f>
        <v/>
      </c>
      <c r="I2861" s="24" t="n"/>
      <c r="J2861" s="22">
        <f t="array" ref="J2861">IF($D2861="","",IF($I2861="","(trống REF)",IFERROR(INDEX(MASTER_SOURCE!$B$2:$B$495,MATCH($I2861,MASTER_SOURCE!$A$2:$A$495,0)),"(REF không có trong MASTER_SOURCE)")))</f>
        <v/>
      </c>
      <c r="K2861" s="22">
        <f t="array" ref="K2861">IF($D2861="","",IFERROR(INDEX(MASTER_SOURCE!$C$2:$C$495,MATCH($I2861,MASTER_SOURCE!$A$2:$A$495,0)),""))</f>
        <v/>
      </c>
      <c r="L2861" s="22">
        <f t="array" ref="L2861">IF($D2861="","",IFERROR(INDEX(MASTER_SOURCE!$D$2:$D$495,MATCH($I2861,MASTER_SOURCE!$A$2:$A$495,0)),""))</f>
        <v/>
      </c>
      <c r="M2861" s="24" t="n"/>
      <c r="N2861" s="24" t="n"/>
      <c r="O2861" s="24" t="n"/>
      <c r="P2861" s="24" t="n"/>
      <c r="Q2861" s="22">
        <f>IF($D2861="","",IF(AND(OR(DANH_MUC!$L$5&lt;&gt;"Có",M2861="Có"),OR(DANH_MUC!$L$6&lt;&gt;"Có",N2861="Có"),OR(DANH_MUC!$L$7&lt;&gt;"Có",O2861="Có"),OR(DANH_MUC!$L$8&lt;&gt;"Có",P2861="Có")),"Có","Không"))</f>
        <v/>
      </c>
      <c r="R2861" s="22">
        <f>IF($D2861="","",IF(COUNTIF($D$2:$D2861,$D2861)&gt;1,"Trùng",""))</f>
        <v/>
      </c>
      <c r="S2861" s="22">
        <f>IF($D2861="","",IF(AND(LEN($D2861)=10,LEFT($D2861,1)="0",ISNUMBER(--$D2861)),"Có","Không"))</f>
        <v/>
      </c>
      <c r="T2861" s="22">
        <f>IF($D2861="","",IF(AND($C2861&lt;&gt;"",$Q2861="Có",$R2861="",$S2861="Có",AND($L2861&lt;&gt;"",OR($L2861&lt;&gt;"Chưa xác định",DANH_MUC!$L$9="Có"))),"Có","Không"))</f>
        <v/>
      </c>
      <c r="U2861" s="22">
        <f>IF(OR($D2861="",$T2861="Có"),"",IF($C2861="","Thiếu họ tên; ","")&amp;IF($S2861&lt;&gt;"Có","SĐT sai định dạng; ","")&amp;IF($R2861="Trùng","Trùng SĐT; ","")&amp;IF($Q2861&lt;&gt;"Có","Thiếu đồng ý bắt buộc; ","")&amp;IF($L2861="","Thiếu/sai Mã REF; ",IF(AND($L2861="Chưa xác định",DANH_MUC!$L$9&lt;&gt;"Có"),"Nguồn chưa xác định; ","")))</f>
        <v/>
      </c>
      <c r="V2861" s="22">
        <f>IF(OR($D2861="",$R2861="Trùng"),"",IF(COUNTIF(ORDERS!$C$2:$C$4995,$D2861)&gt;0,"Có","Không"))</f>
        <v/>
      </c>
      <c r="W2861" s="22">
        <f>IF(OR($D2861="",$R2861="Trùng"),"",COUNTIFS(ORDERS!$C$2:$C$4995,$D2861,ORDERS!$L$2:$L$4995,"Đã chuyển khoản"))</f>
        <v/>
      </c>
      <c r="X2861" s="23">
        <f>IF(OR($D2861="",$R2861="Trùng"),"",SUMIFS(ORDERS!$J$2:$J$4995,ORDERS!$C$2:$C$4995,$D2861,ORDERS!$L$2:$L$4995,"Đã chuyển khoản"))</f>
        <v/>
      </c>
      <c r="Y2861" s="24" t="n"/>
    </row>
    <row r="2862" ht="14.25" customHeight="1" s="40">
      <c r="A2862" s="24" t="n"/>
      <c r="B2862" s="27" t="n"/>
      <c r="C2862" s="24" t="n"/>
      <c r="D2862" s="28" t="n"/>
      <c r="E2862" s="29" t="n"/>
      <c r="F2862" s="24" t="n"/>
      <c r="G2862" s="24" t="n"/>
      <c r="H2862" s="21">
        <f>IF(ISNUMBER($B2862),INT($B2862)-WEEKDAY($B2862,2)+1,"")</f>
        <v/>
      </c>
      <c r="I2862" s="24" t="n"/>
      <c r="J2862" s="22">
        <f t="array" ref="J2862">IF($D2862="","",IF($I2862="","(trống REF)",IFERROR(INDEX(MASTER_SOURCE!$B$2:$B$495,MATCH($I2862,MASTER_SOURCE!$A$2:$A$495,0)),"(REF không có trong MASTER_SOURCE)")))</f>
        <v/>
      </c>
      <c r="K2862" s="22">
        <f t="array" ref="K2862">IF($D2862="","",IFERROR(INDEX(MASTER_SOURCE!$C$2:$C$495,MATCH($I2862,MASTER_SOURCE!$A$2:$A$495,0)),""))</f>
        <v/>
      </c>
      <c r="L2862" s="22">
        <f t="array" ref="L2862">IF($D2862="","",IFERROR(INDEX(MASTER_SOURCE!$D$2:$D$495,MATCH($I2862,MASTER_SOURCE!$A$2:$A$495,0)),""))</f>
        <v/>
      </c>
      <c r="M2862" s="24" t="n"/>
      <c r="N2862" s="24" t="n"/>
      <c r="O2862" s="24" t="n"/>
      <c r="P2862" s="24" t="n"/>
      <c r="Q2862" s="22">
        <f>IF($D2862="","",IF(AND(OR(DANH_MUC!$L$5&lt;&gt;"Có",M2862="Có"),OR(DANH_MUC!$L$6&lt;&gt;"Có",N2862="Có"),OR(DANH_MUC!$L$7&lt;&gt;"Có",O2862="Có"),OR(DANH_MUC!$L$8&lt;&gt;"Có",P2862="Có")),"Có","Không"))</f>
        <v/>
      </c>
      <c r="R2862" s="22">
        <f>IF($D2862="","",IF(COUNTIF($D$2:$D2862,$D2862)&gt;1,"Trùng",""))</f>
        <v/>
      </c>
      <c r="S2862" s="22">
        <f>IF($D2862="","",IF(AND(LEN($D2862)=10,LEFT($D2862,1)="0",ISNUMBER(--$D2862)),"Có","Không"))</f>
        <v/>
      </c>
      <c r="T2862" s="22">
        <f>IF($D2862="","",IF(AND($C2862&lt;&gt;"",$Q2862="Có",$R2862="",$S2862="Có",AND($L2862&lt;&gt;"",OR($L2862&lt;&gt;"Chưa xác định",DANH_MUC!$L$9="Có"))),"Có","Không"))</f>
        <v/>
      </c>
      <c r="U2862" s="22">
        <f>IF(OR($D2862="",$T2862="Có"),"",IF($C2862="","Thiếu họ tên; ","")&amp;IF($S2862&lt;&gt;"Có","SĐT sai định dạng; ","")&amp;IF($R2862="Trùng","Trùng SĐT; ","")&amp;IF($Q2862&lt;&gt;"Có","Thiếu đồng ý bắt buộc; ","")&amp;IF($L2862="","Thiếu/sai Mã REF; ",IF(AND($L2862="Chưa xác định",DANH_MUC!$L$9&lt;&gt;"Có"),"Nguồn chưa xác định; ","")))</f>
        <v/>
      </c>
      <c r="V2862" s="22">
        <f>IF(OR($D2862="",$R2862="Trùng"),"",IF(COUNTIF(ORDERS!$C$2:$C$4995,$D2862)&gt;0,"Có","Không"))</f>
        <v/>
      </c>
      <c r="W2862" s="22">
        <f>IF(OR($D2862="",$R2862="Trùng"),"",COUNTIFS(ORDERS!$C$2:$C$4995,$D2862,ORDERS!$L$2:$L$4995,"Đã chuyển khoản"))</f>
        <v/>
      </c>
      <c r="X2862" s="23">
        <f>IF(OR($D2862="",$R2862="Trùng"),"",SUMIFS(ORDERS!$J$2:$J$4995,ORDERS!$C$2:$C$4995,$D2862,ORDERS!$L$2:$L$4995,"Đã chuyển khoản"))</f>
        <v/>
      </c>
      <c r="Y2862" s="24" t="n"/>
    </row>
    <row r="2863" ht="14.25" customHeight="1" s="40">
      <c r="A2863" s="24" t="n"/>
      <c r="B2863" s="27" t="n"/>
      <c r="C2863" s="24" t="n"/>
      <c r="D2863" s="28" t="n"/>
      <c r="E2863" s="29" t="n"/>
      <c r="F2863" s="24" t="n"/>
      <c r="G2863" s="24" t="n"/>
      <c r="H2863" s="21">
        <f>IF(ISNUMBER($B2863),INT($B2863)-WEEKDAY($B2863,2)+1,"")</f>
        <v/>
      </c>
      <c r="I2863" s="24" t="n"/>
      <c r="J2863" s="22">
        <f t="array" ref="J2863">IF($D2863="","",IF($I2863="","(trống REF)",IFERROR(INDEX(MASTER_SOURCE!$B$2:$B$495,MATCH($I2863,MASTER_SOURCE!$A$2:$A$495,0)),"(REF không có trong MASTER_SOURCE)")))</f>
        <v/>
      </c>
      <c r="K2863" s="22">
        <f t="array" ref="K2863">IF($D2863="","",IFERROR(INDEX(MASTER_SOURCE!$C$2:$C$495,MATCH($I2863,MASTER_SOURCE!$A$2:$A$495,0)),""))</f>
        <v/>
      </c>
      <c r="L2863" s="22">
        <f t="array" ref="L2863">IF($D2863="","",IFERROR(INDEX(MASTER_SOURCE!$D$2:$D$495,MATCH($I2863,MASTER_SOURCE!$A$2:$A$495,0)),""))</f>
        <v/>
      </c>
      <c r="M2863" s="24" t="n"/>
      <c r="N2863" s="24" t="n"/>
      <c r="O2863" s="24" t="n"/>
      <c r="P2863" s="24" t="n"/>
      <c r="Q2863" s="22">
        <f>IF($D2863="","",IF(AND(OR(DANH_MUC!$L$5&lt;&gt;"Có",M2863="Có"),OR(DANH_MUC!$L$6&lt;&gt;"Có",N2863="Có"),OR(DANH_MUC!$L$7&lt;&gt;"Có",O2863="Có"),OR(DANH_MUC!$L$8&lt;&gt;"Có",P2863="Có")),"Có","Không"))</f>
        <v/>
      </c>
      <c r="R2863" s="22">
        <f>IF($D2863="","",IF(COUNTIF($D$2:$D2863,$D2863)&gt;1,"Trùng",""))</f>
        <v/>
      </c>
      <c r="S2863" s="22">
        <f>IF($D2863="","",IF(AND(LEN($D2863)=10,LEFT($D2863,1)="0",ISNUMBER(--$D2863)),"Có","Không"))</f>
        <v/>
      </c>
      <c r="T2863" s="22">
        <f>IF($D2863="","",IF(AND($C2863&lt;&gt;"",$Q2863="Có",$R2863="",$S2863="Có",AND($L2863&lt;&gt;"",OR($L2863&lt;&gt;"Chưa xác định",DANH_MUC!$L$9="Có"))),"Có","Không"))</f>
        <v/>
      </c>
      <c r="U2863" s="22">
        <f>IF(OR($D2863="",$T2863="Có"),"",IF($C2863="","Thiếu họ tên; ","")&amp;IF($S2863&lt;&gt;"Có","SĐT sai định dạng; ","")&amp;IF($R2863="Trùng","Trùng SĐT; ","")&amp;IF($Q2863&lt;&gt;"Có","Thiếu đồng ý bắt buộc; ","")&amp;IF($L2863="","Thiếu/sai Mã REF; ",IF(AND($L2863="Chưa xác định",DANH_MUC!$L$9&lt;&gt;"Có"),"Nguồn chưa xác định; ","")))</f>
        <v/>
      </c>
      <c r="V2863" s="22">
        <f>IF(OR($D2863="",$R2863="Trùng"),"",IF(COUNTIF(ORDERS!$C$2:$C$4995,$D2863)&gt;0,"Có","Không"))</f>
        <v/>
      </c>
      <c r="W2863" s="22">
        <f>IF(OR($D2863="",$R2863="Trùng"),"",COUNTIFS(ORDERS!$C$2:$C$4995,$D2863,ORDERS!$L$2:$L$4995,"Đã chuyển khoản"))</f>
        <v/>
      </c>
      <c r="X2863" s="23">
        <f>IF(OR($D2863="",$R2863="Trùng"),"",SUMIFS(ORDERS!$J$2:$J$4995,ORDERS!$C$2:$C$4995,$D2863,ORDERS!$L$2:$L$4995,"Đã chuyển khoản"))</f>
        <v/>
      </c>
      <c r="Y2863" s="24" t="n"/>
    </row>
    <row r="2864" ht="14.25" customHeight="1" s="40">
      <c r="A2864" s="24" t="n"/>
      <c r="B2864" s="27" t="n"/>
      <c r="C2864" s="24" t="n"/>
      <c r="D2864" s="28" t="n"/>
      <c r="E2864" s="29" t="n"/>
      <c r="F2864" s="24" t="n"/>
      <c r="G2864" s="24" t="n"/>
      <c r="H2864" s="21">
        <f>IF(ISNUMBER($B2864),INT($B2864)-WEEKDAY($B2864,2)+1,"")</f>
        <v/>
      </c>
      <c r="I2864" s="24" t="n"/>
      <c r="J2864" s="22">
        <f t="array" ref="J2864">IF($D2864="","",IF($I2864="","(trống REF)",IFERROR(INDEX(MASTER_SOURCE!$B$2:$B$495,MATCH($I2864,MASTER_SOURCE!$A$2:$A$495,0)),"(REF không có trong MASTER_SOURCE)")))</f>
        <v/>
      </c>
      <c r="K2864" s="22">
        <f t="array" ref="K2864">IF($D2864="","",IFERROR(INDEX(MASTER_SOURCE!$C$2:$C$495,MATCH($I2864,MASTER_SOURCE!$A$2:$A$495,0)),""))</f>
        <v/>
      </c>
      <c r="L2864" s="22">
        <f t="array" ref="L2864">IF($D2864="","",IFERROR(INDEX(MASTER_SOURCE!$D$2:$D$495,MATCH($I2864,MASTER_SOURCE!$A$2:$A$495,0)),""))</f>
        <v/>
      </c>
      <c r="M2864" s="24" t="n"/>
      <c r="N2864" s="24" t="n"/>
      <c r="O2864" s="24" t="n"/>
      <c r="P2864" s="24" t="n"/>
      <c r="Q2864" s="22">
        <f>IF($D2864="","",IF(AND(OR(DANH_MUC!$L$5&lt;&gt;"Có",M2864="Có"),OR(DANH_MUC!$L$6&lt;&gt;"Có",N2864="Có"),OR(DANH_MUC!$L$7&lt;&gt;"Có",O2864="Có"),OR(DANH_MUC!$L$8&lt;&gt;"Có",P2864="Có")),"Có","Không"))</f>
        <v/>
      </c>
      <c r="R2864" s="22">
        <f>IF($D2864="","",IF(COUNTIF($D$2:$D2864,$D2864)&gt;1,"Trùng",""))</f>
        <v/>
      </c>
      <c r="S2864" s="22">
        <f>IF($D2864="","",IF(AND(LEN($D2864)=10,LEFT($D2864,1)="0",ISNUMBER(--$D2864)),"Có","Không"))</f>
        <v/>
      </c>
      <c r="T2864" s="22">
        <f>IF($D2864="","",IF(AND($C2864&lt;&gt;"",$Q2864="Có",$R2864="",$S2864="Có",AND($L2864&lt;&gt;"",OR($L2864&lt;&gt;"Chưa xác định",DANH_MUC!$L$9="Có"))),"Có","Không"))</f>
        <v/>
      </c>
      <c r="U2864" s="22">
        <f>IF(OR($D2864="",$T2864="Có"),"",IF($C2864="","Thiếu họ tên; ","")&amp;IF($S2864&lt;&gt;"Có","SĐT sai định dạng; ","")&amp;IF($R2864="Trùng","Trùng SĐT; ","")&amp;IF($Q2864&lt;&gt;"Có","Thiếu đồng ý bắt buộc; ","")&amp;IF($L2864="","Thiếu/sai Mã REF; ",IF(AND($L2864="Chưa xác định",DANH_MUC!$L$9&lt;&gt;"Có"),"Nguồn chưa xác định; ","")))</f>
        <v/>
      </c>
      <c r="V2864" s="22">
        <f>IF(OR($D2864="",$R2864="Trùng"),"",IF(COUNTIF(ORDERS!$C$2:$C$4995,$D2864)&gt;0,"Có","Không"))</f>
        <v/>
      </c>
      <c r="W2864" s="22">
        <f>IF(OR($D2864="",$R2864="Trùng"),"",COUNTIFS(ORDERS!$C$2:$C$4995,$D2864,ORDERS!$L$2:$L$4995,"Đã chuyển khoản"))</f>
        <v/>
      </c>
      <c r="X2864" s="23">
        <f>IF(OR($D2864="",$R2864="Trùng"),"",SUMIFS(ORDERS!$J$2:$J$4995,ORDERS!$C$2:$C$4995,$D2864,ORDERS!$L$2:$L$4995,"Đã chuyển khoản"))</f>
        <v/>
      </c>
      <c r="Y2864" s="24" t="n"/>
    </row>
    <row r="2865" ht="14.25" customHeight="1" s="40">
      <c r="A2865" s="24" t="n"/>
      <c r="B2865" s="27" t="n"/>
      <c r="C2865" s="24" t="n"/>
      <c r="D2865" s="28" t="n"/>
      <c r="E2865" s="29" t="n"/>
      <c r="F2865" s="24" t="n"/>
      <c r="G2865" s="24" t="n"/>
      <c r="H2865" s="21">
        <f>IF(ISNUMBER($B2865),INT($B2865)-WEEKDAY($B2865,2)+1,"")</f>
        <v/>
      </c>
      <c r="I2865" s="24" t="n"/>
      <c r="J2865" s="22">
        <f t="array" ref="J2865">IF($D2865="","",IF($I2865="","(trống REF)",IFERROR(INDEX(MASTER_SOURCE!$B$2:$B$495,MATCH($I2865,MASTER_SOURCE!$A$2:$A$495,0)),"(REF không có trong MASTER_SOURCE)")))</f>
        <v/>
      </c>
      <c r="K2865" s="22">
        <f t="array" ref="K2865">IF($D2865="","",IFERROR(INDEX(MASTER_SOURCE!$C$2:$C$495,MATCH($I2865,MASTER_SOURCE!$A$2:$A$495,0)),""))</f>
        <v/>
      </c>
      <c r="L2865" s="22">
        <f t="array" ref="L2865">IF($D2865="","",IFERROR(INDEX(MASTER_SOURCE!$D$2:$D$495,MATCH($I2865,MASTER_SOURCE!$A$2:$A$495,0)),""))</f>
        <v/>
      </c>
      <c r="M2865" s="24" t="n"/>
      <c r="N2865" s="24" t="n"/>
      <c r="O2865" s="24" t="n"/>
      <c r="P2865" s="24" t="n"/>
      <c r="Q2865" s="22">
        <f>IF($D2865="","",IF(AND(OR(DANH_MUC!$L$5&lt;&gt;"Có",M2865="Có"),OR(DANH_MUC!$L$6&lt;&gt;"Có",N2865="Có"),OR(DANH_MUC!$L$7&lt;&gt;"Có",O2865="Có"),OR(DANH_MUC!$L$8&lt;&gt;"Có",P2865="Có")),"Có","Không"))</f>
        <v/>
      </c>
      <c r="R2865" s="22">
        <f>IF($D2865="","",IF(COUNTIF($D$2:$D2865,$D2865)&gt;1,"Trùng",""))</f>
        <v/>
      </c>
      <c r="S2865" s="22">
        <f>IF($D2865="","",IF(AND(LEN($D2865)=10,LEFT($D2865,1)="0",ISNUMBER(--$D2865)),"Có","Không"))</f>
        <v/>
      </c>
      <c r="T2865" s="22">
        <f>IF($D2865="","",IF(AND($C2865&lt;&gt;"",$Q2865="Có",$R2865="",$S2865="Có",AND($L2865&lt;&gt;"",OR($L2865&lt;&gt;"Chưa xác định",DANH_MUC!$L$9="Có"))),"Có","Không"))</f>
        <v/>
      </c>
      <c r="U2865" s="22">
        <f>IF(OR($D2865="",$T2865="Có"),"",IF($C2865="","Thiếu họ tên; ","")&amp;IF($S2865&lt;&gt;"Có","SĐT sai định dạng; ","")&amp;IF($R2865="Trùng","Trùng SĐT; ","")&amp;IF($Q2865&lt;&gt;"Có","Thiếu đồng ý bắt buộc; ","")&amp;IF($L2865="","Thiếu/sai Mã REF; ",IF(AND($L2865="Chưa xác định",DANH_MUC!$L$9&lt;&gt;"Có"),"Nguồn chưa xác định; ","")))</f>
        <v/>
      </c>
      <c r="V2865" s="22">
        <f>IF(OR($D2865="",$R2865="Trùng"),"",IF(COUNTIF(ORDERS!$C$2:$C$4995,$D2865)&gt;0,"Có","Không"))</f>
        <v/>
      </c>
      <c r="W2865" s="22">
        <f>IF(OR($D2865="",$R2865="Trùng"),"",COUNTIFS(ORDERS!$C$2:$C$4995,$D2865,ORDERS!$L$2:$L$4995,"Đã chuyển khoản"))</f>
        <v/>
      </c>
      <c r="X2865" s="23">
        <f>IF(OR($D2865="",$R2865="Trùng"),"",SUMIFS(ORDERS!$J$2:$J$4995,ORDERS!$C$2:$C$4995,$D2865,ORDERS!$L$2:$L$4995,"Đã chuyển khoản"))</f>
        <v/>
      </c>
      <c r="Y2865" s="24" t="n"/>
    </row>
    <row r="2866" ht="14.25" customHeight="1" s="40">
      <c r="A2866" s="24" t="n"/>
      <c r="B2866" s="27" t="n"/>
      <c r="C2866" s="24" t="n"/>
      <c r="D2866" s="28" t="n"/>
      <c r="E2866" s="29" t="n"/>
      <c r="F2866" s="24" t="n"/>
      <c r="G2866" s="24" t="n"/>
      <c r="H2866" s="21">
        <f>IF(ISNUMBER($B2866),INT($B2866)-WEEKDAY($B2866,2)+1,"")</f>
        <v/>
      </c>
      <c r="I2866" s="24" t="n"/>
      <c r="J2866" s="22">
        <f t="array" ref="J2866">IF($D2866="","",IF($I2866="","(trống REF)",IFERROR(INDEX(MASTER_SOURCE!$B$2:$B$495,MATCH($I2866,MASTER_SOURCE!$A$2:$A$495,0)),"(REF không có trong MASTER_SOURCE)")))</f>
        <v/>
      </c>
      <c r="K2866" s="22">
        <f t="array" ref="K2866">IF($D2866="","",IFERROR(INDEX(MASTER_SOURCE!$C$2:$C$495,MATCH($I2866,MASTER_SOURCE!$A$2:$A$495,0)),""))</f>
        <v/>
      </c>
      <c r="L2866" s="22">
        <f t="array" ref="L2866">IF($D2866="","",IFERROR(INDEX(MASTER_SOURCE!$D$2:$D$495,MATCH($I2866,MASTER_SOURCE!$A$2:$A$495,0)),""))</f>
        <v/>
      </c>
      <c r="M2866" s="24" t="n"/>
      <c r="N2866" s="24" t="n"/>
      <c r="O2866" s="24" t="n"/>
      <c r="P2866" s="24" t="n"/>
      <c r="Q2866" s="22">
        <f>IF($D2866="","",IF(AND(OR(DANH_MUC!$L$5&lt;&gt;"Có",M2866="Có"),OR(DANH_MUC!$L$6&lt;&gt;"Có",N2866="Có"),OR(DANH_MUC!$L$7&lt;&gt;"Có",O2866="Có"),OR(DANH_MUC!$L$8&lt;&gt;"Có",P2866="Có")),"Có","Không"))</f>
        <v/>
      </c>
      <c r="R2866" s="22">
        <f>IF($D2866="","",IF(COUNTIF($D$2:$D2866,$D2866)&gt;1,"Trùng",""))</f>
        <v/>
      </c>
      <c r="S2866" s="22">
        <f>IF($D2866="","",IF(AND(LEN($D2866)=10,LEFT($D2866,1)="0",ISNUMBER(--$D2866)),"Có","Không"))</f>
        <v/>
      </c>
      <c r="T2866" s="22">
        <f>IF($D2866="","",IF(AND($C2866&lt;&gt;"",$Q2866="Có",$R2866="",$S2866="Có",AND($L2866&lt;&gt;"",OR($L2866&lt;&gt;"Chưa xác định",DANH_MUC!$L$9="Có"))),"Có","Không"))</f>
        <v/>
      </c>
      <c r="U2866" s="22">
        <f>IF(OR($D2866="",$T2866="Có"),"",IF($C2866="","Thiếu họ tên; ","")&amp;IF($S2866&lt;&gt;"Có","SĐT sai định dạng; ","")&amp;IF($R2866="Trùng","Trùng SĐT; ","")&amp;IF($Q2866&lt;&gt;"Có","Thiếu đồng ý bắt buộc; ","")&amp;IF($L2866="","Thiếu/sai Mã REF; ",IF(AND($L2866="Chưa xác định",DANH_MUC!$L$9&lt;&gt;"Có"),"Nguồn chưa xác định; ","")))</f>
        <v/>
      </c>
      <c r="V2866" s="22">
        <f>IF(OR($D2866="",$R2866="Trùng"),"",IF(COUNTIF(ORDERS!$C$2:$C$4995,$D2866)&gt;0,"Có","Không"))</f>
        <v/>
      </c>
      <c r="W2866" s="22">
        <f>IF(OR($D2866="",$R2866="Trùng"),"",COUNTIFS(ORDERS!$C$2:$C$4995,$D2866,ORDERS!$L$2:$L$4995,"Đã chuyển khoản"))</f>
        <v/>
      </c>
      <c r="X2866" s="23">
        <f>IF(OR($D2866="",$R2866="Trùng"),"",SUMIFS(ORDERS!$J$2:$J$4995,ORDERS!$C$2:$C$4995,$D2866,ORDERS!$L$2:$L$4995,"Đã chuyển khoản"))</f>
        <v/>
      </c>
      <c r="Y2866" s="24" t="n"/>
    </row>
    <row r="2867" ht="14.25" customHeight="1" s="40">
      <c r="A2867" s="24" t="n"/>
      <c r="B2867" s="27" t="n"/>
      <c r="C2867" s="24" t="n"/>
      <c r="D2867" s="28" t="n"/>
      <c r="E2867" s="29" t="n"/>
      <c r="F2867" s="24" t="n"/>
      <c r="G2867" s="24" t="n"/>
      <c r="H2867" s="21">
        <f>IF(ISNUMBER($B2867),INT($B2867)-WEEKDAY($B2867,2)+1,"")</f>
        <v/>
      </c>
      <c r="I2867" s="24" t="n"/>
      <c r="J2867" s="22">
        <f t="array" ref="J2867">IF($D2867="","",IF($I2867="","(trống REF)",IFERROR(INDEX(MASTER_SOURCE!$B$2:$B$495,MATCH($I2867,MASTER_SOURCE!$A$2:$A$495,0)),"(REF không có trong MASTER_SOURCE)")))</f>
        <v/>
      </c>
      <c r="K2867" s="22">
        <f t="array" ref="K2867">IF($D2867="","",IFERROR(INDEX(MASTER_SOURCE!$C$2:$C$495,MATCH($I2867,MASTER_SOURCE!$A$2:$A$495,0)),""))</f>
        <v/>
      </c>
      <c r="L2867" s="22">
        <f t="array" ref="L2867">IF($D2867="","",IFERROR(INDEX(MASTER_SOURCE!$D$2:$D$495,MATCH($I2867,MASTER_SOURCE!$A$2:$A$495,0)),""))</f>
        <v/>
      </c>
      <c r="M2867" s="24" t="n"/>
      <c r="N2867" s="24" t="n"/>
      <c r="O2867" s="24" t="n"/>
      <c r="P2867" s="24" t="n"/>
      <c r="Q2867" s="22">
        <f>IF($D2867="","",IF(AND(OR(DANH_MUC!$L$5&lt;&gt;"Có",M2867="Có"),OR(DANH_MUC!$L$6&lt;&gt;"Có",N2867="Có"),OR(DANH_MUC!$L$7&lt;&gt;"Có",O2867="Có"),OR(DANH_MUC!$L$8&lt;&gt;"Có",P2867="Có")),"Có","Không"))</f>
        <v/>
      </c>
      <c r="R2867" s="22">
        <f>IF($D2867="","",IF(COUNTIF($D$2:$D2867,$D2867)&gt;1,"Trùng",""))</f>
        <v/>
      </c>
      <c r="S2867" s="22">
        <f>IF($D2867="","",IF(AND(LEN($D2867)=10,LEFT($D2867,1)="0",ISNUMBER(--$D2867)),"Có","Không"))</f>
        <v/>
      </c>
      <c r="T2867" s="22">
        <f>IF($D2867="","",IF(AND($C2867&lt;&gt;"",$Q2867="Có",$R2867="",$S2867="Có",AND($L2867&lt;&gt;"",OR($L2867&lt;&gt;"Chưa xác định",DANH_MUC!$L$9="Có"))),"Có","Không"))</f>
        <v/>
      </c>
      <c r="U2867" s="22">
        <f>IF(OR($D2867="",$T2867="Có"),"",IF($C2867="","Thiếu họ tên; ","")&amp;IF($S2867&lt;&gt;"Có","SĐT sai định dạng; ","")&amp;IF($R2867="Trùng","Trùng SĐT; ","")&amp;IF($Q2867&lt;&gt;"Có","Thiếu đồng ý bắt buộc; ","")&amp;IF($L2867="","Thiếu/sai Mã REF; ",IF(AND($L2867="Chưa xác định",DANH_MUC!$L$9&lt;&gt;"Có"),"Nguồn chưa xác định; ","")))</f>
        <v/>
      </c>
      <c r="V2867" s="22">
        <f>IF(OR($D2867="",$R2867="Trùng"),"",IF(COUNTIF(ORDERS!$C$2:$C$4995,$D2867)&gt;0,"Có","Không"))</f>
        <v/>
      </c>
      <c r="W2867" s="22">
        <f>IF(OR($D2867="",$R2867="Trùng"),"",COUNTIFS(ORDERS!$C$2:$C$4995,$D2867,ORDERS!$L$2:$L$4995,"Đã chuyển khoản"))</f>
        <v/>
      </c>
      <c r="X2867" s="23">
        <f>IF(OR($D2867="",$R2867="Trùng"),"",SUMIFS(ORDERS!$J$2:$J$4995,ORDERS!$C$2:$C$4995,$D2867,ORDERS!$L$2:$L$4995,"Đã chuyển khoản"))</f>
        <v/>
      </c>
      <c r="Y2867" s="24" t="n"/>
    </row>
    <row r="2868" ht="14.25" customHeight="1" s="40">
      <c r="A2868" s="24" t="n"/>
      <c r="B2868" s="27" t="n"/>
      <c r="C2868" s="24" t="n"/>
      <c r="D2868" s="28" t="n"/>
      <c r="E2868" s="29" t="n"/>
      <c r="F2868" s="24" t="n"/>
      <c r="G2868" s="24" t="n"/>
      <c r="H2868" s="21">
        <f>IF(ISNUMBER($B2868),INT($B2868)-WEEKDAY($B2868,2)+1,"")</f>
        <v/>
      </c>
      <c r="I2868" s="24" t="n"/>
      <c r="J2868" s="22">
        <f t="array" ref="J2868">IF($D2868="","",IF($I2868="","(trống REF)",IFERROR(INDEX(MASTER_SOURCE!$B$2:$B$495,MATCH($I2868,MASTER_SOURCE!$A$2:$A$495,0)),"(REF không có trong MASTER_SOURCE)")))</f>
        <v/>
      </c>
      <c r="K2868" s="22">
        <f t="array" ref="K2868">IF($D2868="","",IFERROR(INDEX(MASTER_SOURCE!$C$2:$C$495,MATCH($I2868,MASTER_SOURCE!$A$2:$A$495,0)),""))</f>
        <v/>
      </c>
      <c r="L2868" s="22">
        <f t="array" ref="L2868">IF($D2868="","",IFERROR(INDEX(MASTER_SOURCE!$D$2:$D$495,MATCH($I2868,MASTER_SOURCE!$A$2:$A$495,0)),""))</f>
        <v/>
      </c>
      <c r="M2868" s="24" t="n"/>
      <c r="N2868" s="24" t="n"/>
      <c r="O2868" s="24" t="n"/>
      <c r="P2868" s="24" t="n"/>
      <c r="Q2868" s="22">
        <f>IF($D2868="","",IF(AND(OR(DANH_MUC!$L$5&lt;&gt;"Có",M2868="Có"),OR(DANH_MUC!$L$6&lt;&gt;"Có",N2868="Có"),OR(DANH_MUC!$L$7&lt;&gt;"Có",O2868="Có"),OR(DANH_MUC!$L$8&lt;&gt;"Có",P2868="Có")),"Có","Không"))</f>
        <v/>
      </c>
      <c r="R2868" s="22">
        <f>IF($D2868="","",IF(COUNTIF($D$2:$D2868,$D2868)&gt;1,"Trùng",""))</f>
        <v/>
      </c>
      <c r="S2868" s="22">
        <f>IF($D2868="","",IF(AND(LEN($D2868)=10,LEFT($D2868,1)="0",ISNUMBER(--$D2868)),"Có","Không"))</f>
        <v/>
      </c>
      <c r="T2868" s="22">
        <f>IF($D2868="","",IF(AND($C2868&lt;&gt;"",$Q2868="Có",$R2868="",$S2868="Có",AND($L2868&lt;&gt;"",OR($L2868&lt;&gt;"Chưa xác định",DANH_MUC!$L$9="Có"))),"Có","Không"))</f>
        <v/>
      </c>
      <c r="U2868" s="22">
        <f>IF(OR($D2868="",$T2868="Có"),"",IF($C2868="","Thiếu họ tên; ","")&amp;IF($S2868&lt;&gt;"Có","SĐT sai định dạng; ","")&amp;IF($R2868="Trùng","Trùng SĐT; ","")&amp;IF($Q2868&lt;&gt;"Có","Thiếu đồng ý bắt buộc; ","")&amp;IF($L2868="","Thiếu/sai Mã REF; ",IF(AND($L2868="Chưa xác định",DANH_MUC!$L$9&lt;&gt;"Có"),"Nguồn chưa xác định; ","")))</f>
        <v/>
      </c>
      <c r="V2868" s="22">
        <f>IF(OR($D2868="",$R2868="Trùng"),"",IF(COUNTIF(ORDERS!$C$2:$C$4995,$D2868)&gt;0,"Có","Không"))</f>
        <v/>
      </c>
      <c r="W2868" s="22">
        <f>IF(OR($D2868="",$R2868="Trùng"),"",COUNTIFS(ORDERS!$C$2:$C$4995,$D2868,ORDERS!$L$2:$L$4995,"Đã chuyển khoản"))</f>
        <v/>
      </c>
      <c r="X2868" s="23">
        <f>IF(OR($D2868="",$R2868="Trùng"),"",SUMIFS(ORDERS!$J$2:$J$4995,ORDERS!$C$2:$C$4995,$D2868,ORDERS!$L$2:$L$4995,"Đã chuyển khoản"))</f>
        <v/>
      </c>
      <c r="Y2868" s="24" t="n"/>
    </row>
    <row r="2869" ht="14.25" customHeight="1" s="40">
      <c r="A2869" s="24" t="n"/>
      <c r="B2869" s="27" t="n"/>
      <c r="C2869" s="24" t="n"/>
      <c r="D2869" s="28" t="n"/>
      <c r="E2869" s="29" t="n"/>
      <c r="F2869" s="24" t="n"/>
      <c r="G2869" s="24" t="n"/>
      <c r="H2869" s="21">
        <f>IF(ISNUMBER($B2869),INT($B2869)-WEEKDAY($B2869,2)+1,"")</f>
        <v/>
      </c>
      <c r="I2869" s="24" t="n"/>
      <c r="J2869" s="22">
        <f t="array" ref="J2869">IF($D2869="","",IF($I2869="","(trống REF)",IFERROR(INDEX(MASTER_SOURCE!$B$2:$B$495,MATCH($I2869,MASTER_SOURCE!$A$2:$A$495,0)),"(REF không có trong MASTER_SOURCE)")))</f>
        <v/>
      </c>
      <c r="K2869" s="22">
        <f t="array" ref="K2869">IF($D2869="","",IFERROR(INDEX(MASTER_SOURCE!$C$2:$C$495,MATCH($I2869,MASTER_SOURCE!$A$2:$A$495,0)),""))</f>
        <v/>
      </c>
      <c r="L2869" s="22">
        <f t="array" ref="L2869">IF($D2869="","",IFERROR(INDEX(MASTER_SOURCE!$D$2:$D$495,MATCH($I2869,MASTER_SOURCE!$A$2:$A$495,0)),""))</f>
        <v/>
      </c>
      <c r="M2869" s="24" t="n"/>
      <c r="N2869" s="24" t="n"/>
      <c r="O2869" s="24" t="n"/>
      <c r="P2869" s="24" t="n"/>
      <c r="Q2869" s="22">
        <f>IF($D2869="","",IF(AND(OR(DANH_MUC!$L$5&lt;&gt;"Có",M2869="Có"),OR(DANH_MUC!$L$6&lt;&gt;"Có",N2869="Có"),OR(DANH_MUC!$L$7&lt;&gt;"Có",O2869="Có"),OR(DANH_MUC!$L$8&lt;&gt;"Có",P2869="Có")),"Có","Không"))</f>
        <v/>
      </c>
      <c r="R2869" s="22">
        <f>IF($D2869="","",IF(COUNTIF($D$2:$D2869,$D2869)&gt;1,"Trùng",""))</f>
        <v/>
      </c>
      <c r="S2869" s="22">
        <f>IF($D2869="","",IF(AND(LEN($D2869)=10,LEFT($D2869,1)="0",ISNUMBER(--$D2869)),"Có","Không"))</f>
        <v/>
      </c>
      <c r="T2869" s="22">
        <f>IF($D2869="","",IF(AND($C2869&lt;&gt;"",$Q2869="Có",$R2869="",$S2869="Có",AND($L2869&lt;&gt;"",OR($L2869&lt;&gt;"Chưa xác định",DANH_MUC!$L$9="Có"))),"Có","Không"))</f>
        <v/>
      </c>
      <c r="U2869" s="22">
        <f>IF(OR($D2869="",$T2869="Có"),"",IF($C2869="","Thiếu họ tên; ","")&amp;IF($S2869&lt;&gt;"Có","SĐT sai định dạng; ","")&amp;IF($R2869="Trùng","Trùng SĐT; ","")&amp;IF($Q2869&lt;&gt;"Có","Thiếu đồng ý bắt buộc; ","")&amp;IF($L2869="","Thiếu/sai Mã REF; ",IF(AND($L2869="Chưa xác định",DANH_MUC!$L$9&lt;&gt;"Có"),"Nguồn chưa xác định; ","")))</f>
        <v/>
      </c>
      <c r="V2869" s="22">
        <f>IF(OR($D2869="",$R2869="Trùng"),"",IF(COUNTIF(ORDERS!$C$2:$C$4995,$D2869)&gt;0,"Có","Không"))</f>
        <v/>
      </c>
      <c r="W2869" s="22">
        <f>IF(OR($D2869="",$R2869="Trùng"),"",COUNTIFS(ORDERS!$C$2:$C$4995,$D2869,ORDERS!$L$2:$L$4995,"Đã chuyển khoản"))</f>
        <v/>
      </c>
      <c r="X2869" s="23">
        <f>IF(OR($D2869="",$R2869="Trùng"),"",SUMIFS(ORDERS!$J$2:$J$4995,ORDERS!$C$2:$C$4995,$D2869,ORDERS!$L$2:$L$4995,"Đã chuyển khoản"))</f>
        <v/>
      </c>
      <c r="Y2869" s="24" t="n"/>
    </row>
    <row r="2870" ht="14.25" customHeight="1" s="40">
      <c r="A2870" s="24" t="n"/>
      <c r="B2870" s="27" t="n"/>
      <c r="C2870" s="24" t="n"/>
      <c r="D2870" s="28" t="n"/>
      <c r="E2870" s="29" t="n"/>
      <c r="F2870" s="24" t="n"/>
      <c r="G2870" s="24" t="n"/>
      <c r="H2870" s="21">
        <f>IF(ISNUMBER($B2870),INT($B2870)-WEEKDAY($B2870,2)+1,"")</f>
        <v/>
      </c>
      <c r="I2870" s="24" t="n"/>
      <c r="J2870" s="22">
        <f t="array" ref="J2870">IF($D2870="","",IF($I2870="","(trống REF)",IFERROR(INDEX(MASTER_SOURCE!$B$2:$B$495,MATCH($I2870,MASTER_SOURCE!$A$2:$A$495,0)),"(REF không có trong MASTER_SOURCE)")))</f>
        <v/>
      </c>
      <c r="K2870" s="22">
        <f t="array" ref="K2870">IF($D2870="","",IFERROR(INDEX(MASTER_SOURCE!$C$2:$C$495,MATCH($I2870,MASTER_SOURCE!$A$2:$A$495,0)),""))</f>
        <v/>
      </c>
      <c r="L2870" s="22">
        <f t="array" ref="L2870">IF($D2870="","",IFERROR(INDEX(MASTER_SOURCE!$D$2:$D$495,MATCH($I2870,MASTER_SOURCE!$A$2:$A$495,0)),""))</f>
        <v/>
      </c>
      <c r="M2870" s="24" t="n"/>
      <c r="N2870" s="24" t="n"/>
      <c r="O2870" s="24" t="n"/>
      <c r="P2870" s="24" t="n"/>
      <c r="Q2870" s="22">
        <f>IF($D2870="","",IF(AND(OR(DANH_MUC!$L$5&lt;&gt;"Có",M2870="Có"),OR(DANH_MUC!$L$6&lt;&gt;"Có",N2870="Có"),OR(DANH_MUC!$L$7&lt;&gt;"Có",O2870="Có"),OR(DANH_MUC!$L$8&lt;&gt;"Có",P2870="Có")),"Có","Không"))</f>
        <v/>
      </c>
      <c r="R2870" s="22">
        <f>IF($D2870="","",IF(COUNTIF($D$2:$D2870,$D2870)&gt;1,"Trùng",""))</f>
        <v/>
      </c>
      <c r="S2870" s="22">
        <f>IF($D2870="","",IF(AND(LEN($D2870)=10,LEFT($D2870,1)="0",ISNUMBER(--$D2870)),"Có","Không"))</f>
        <v/>
      </c>
      <c r="T2870" s="22">
        <f>IF($D2870="","",IF(AND($C2870&lt;&gt;"",$Q2870="Có",$R2870="",$S2870="Có",AND($L2870&lt;&gt;"",OR($L2870&lt;&gt;"Chưa xác định",DANH_MUC!$L$9="Có"))),"Có","Không"))</f>
        <v/>
      </c>
      <c r="U2870" s="22">
        <f>IF(OR($D2870="",$T2870="Có"),"",IF($C2870="","Thiếu họ tên; ","")&amp;IF($S2870&lt;&gt;"Có","SĐT sai định dạng; ","")&amp;IF($R2870="Trùng","Trùng SĐT; ","")&amp;IF($Q2870&lt;&gt;"Có","Thiếu đồng ý bắt buộc; ","")&amp;IF($L2870="","Thiếu/sai Mã REF; ",IF(AND($L2870="Chưa xác định",DANH_MUC!$L$9&lt;&gt;"Có"),"Nguồn chưa xác định; ","")))</f>
        <v/>
      </c>
      <c r="V2870" s="22">
        <f>IF(OR($D2870="",$R2870="Trùng"),"",IF(COUNTIF(ORDERS!$C$2:$C$4995,$D2870)&gt;0,"Có","Không"))</f>
        <v/>
      </c>
      <c r="W2870" s="22">
        <f>IF(OR($D2870="",$R2870="Trùng"),"",COUNTIFS(ORDERS!$C$2:$C$4995,$D2870,ORDERS!$L$2:$L$4995,"Đã chuyển khoản"))</f>
        <v/>
      </c>
      <c r="X2870" s="23">
        <f>IF(OR($D2870="",$R2870="Trùng"),"",SUMIFS(ORDERS!$J$2:$J$4995,ORDERS!$C$2:$C$4995,$D2870,ORDERS!$L$2:$L$4995,"Đã chuyển khoản"))</f>
        <v/>
      </c>
      <c r="Y2870" s="24" t="n"/>
    </row>
    <row r="2871" ht="14.25" customHeight="1" s="40">
      <c r="A2871" s="24" t="n"/>
      <c r="B2871" s="27" t="n"/>
      <c r="C2871" s="24" t="n"/>
      <c r="D2871" s="28" t="n"/>
      <c r="E2871" s="29" t="n"/>
      <c r="F2871" s="24" t="n"/>
      <c r="G2871" s="24" t="n"/>
      <c r="H2871" s="21">
        <f>IF(ISNUMBER($B2871),INT($B2871)-WEEKDAY($B2871,2)+1,"")</f>
        <v/>
      </c>
      <c r="I2871" s="24" t="n"/>
      <c r="J2871" s="22">
        <f t="array" ref="J2871">IF($D2871="","",IF($I2871="","(trống REF)",IFERROR(INDEX(MASTER_SOURCE!$B$2:$B$495,MATCH($I2871,MASTER_SOURCE!$A$2:$A$495,0)),"(REF không có trong MASTER_SOURCE)")))</f>
        <v/>
      </c>
      <c r="K2871" s="22">
        <f t="array" ref="K2871">IF($D2871="","",IFERROR(INDEX(MASTER_SOURCE!$C$2:$C$495,MATCH($I2871,MASTER_SOURCE!$A$2:$A$495,0)),""))</f>
        <v/>
      </c>
      <c r="L2871" s="22">
        <f t="array" ref="L2871">IF($D2871="","",IFERROR(INDEX(MASTER_SOURCE!$D$2:$D$495,MATCH($I2871,MASTER_SOURCE!$A$2:$A$495,0)),""))</f>
        <v/>
      </c>
      <c r="M2871" s="24" t="n"/>
      <c r="N2871" s="24" t="n"/>
      <c r="O2871" s="24" t="n"/>
      <c r="P2871" s="24" t="n"/>
      <c r="Q2871" s="22">
        <f>IF($D2871="","",IF(AND(OR(DANH_MUC!$L$5&lt;&gt;"Có",M2871="Có"),OR(DANH_MUC!$L$6&lt;&gt;"Có",N2871="Có"),OR(DANH_MUC!$L$7&lt;&gt;"Có",O2871="Có"),OR(DANH_MUC!$L$8&lt;&gt;"Có",P2871="Có")),"Có","Không"))</f>
        <v/>
      </c>
      <c r="R2871" s="22">
        <f>IF($D2871="","",IF(COUNTIF($D$2:$D2871,$D2871)&gt;1,"Trùng",""))</f>
        <v/>
      </c>
      <c r="S2871" s="22">
        <f>IF($D2871="","",IF(AND(LEN($D2871)=10,LEFT($D2871,1)="0",ISNUMBER(--$D2871)),"Có","Không"))</f>
        <v/>
      </c>
      <c r="T2871" s="22">
        <f>IF($D2871="","",IF(AND($C2871&lt;&gt;"",$Q2871="Có",$R2871="",$S2871="Có",AND($L2871&lt;&gt;"",OR($L2871&lt;&gt;"Chưa xác định",DANH_MUC!$L$9="Có"))),"Có","Không"))</f>
        <v/>
      </c>
      <c r="U2871" s="22">
        <f>IF(OR($D2871="",$T2871="Có"),"",IF($C2871="","Thiếu họ tên; ","")&amp;IF($S2871&lt;&gt;"Có","SĐT sai định dạng; ","")&amp;IF($R2871="Trùng","Trùng SĐT; ","")&amp;IF($Q2871&lt;&gt;"Có","Thiếu đồng ý bắt buộc; ","")&amp;IF($L2871="","Thiếu/sai Mã REF; ",IF(AND($L2871="Chưa xác định",DANH_MUC!$L$9&lt;&gt;"Có"),"Nguồn chưa xác định; ","")))</f>
        <v/>
      </c>
      <c r="V2871" s="22">
        <f>IF(OR($D2871="",$R2871="Trùng"),"",IF(COUNTIF(ORDERS!$C$2:$C$4995,$D2871)&gt;0,"Có","Không"))</f>
        <v/>
      </c>
      <c r="W2871" s="22">
        <f>IF(OR($D2871="",$R2871="Trùng"),"",COUNTIFS(ORDERS!$C$2:$C$4995,$D2871,ORDERS!$L$2:$L$4995,"Đã chuyển khoản"))</f>
        <v/>
      </c>
      <c r="X2871" s="23">
        <f>IF(OR($D2871="",$R2871="Trùng"),"",SUMIFS(ORDERS!$J$2:$J$4995,ORDERS!$C$2:$C$4995,$D2871,ORDERS!$L$2:$L$4995,"Đã chuyển khoản"))</f>
        <v/>
      </c>
      <c r="Y2871" s="24" t="n"/>
    </row>
    <row r="2872" ht="14.25" customHeight="1" s="40">
      <c r="A2872" s="24" t="n"/>
      <c r="B2872" s="27" t="n"/>
      <c r="C2872" s="24" t="n"/>
      <c r="D2872" s="28" t="n"/>
      <c r="E2872" s="29" t="n"/>
      <c r="F2872" s="24" t="n"/>
      <c r="G2872" s="24" t="n"/>
      <c r="H2872" s="21">
        <f>IF(ISNUMBER($B2872),INT($B2872)-WEEKDAY($B2872,2)+1,"")</f>
        <v/>
      </c>
      <c r="I2872" s="24" t="n"/>
      <c r="J2872" s="22">
        <f t="array" ref="J2872">IF($D2872="","",IF($I2872="","(trống REF)",IFERROR(INDEX(MASTER_SOURCE!$B$2:$B$495,MATCH($I2872,MASTER_SOURCE!$A$2:$A$495,0)),"(REF không có trong MASTER_SOURCE)")))</f>
        <v/>
      </c>
      <c r="K2872" s="22">
        <f t="array" ref="K2872">IF($D2872="","",IFERROR(INDEX(MASTER_SOURCE!$C$2:$C$495,MATCH($I2872,MASTER_SOURCE!$A$2:$A$495,0)),""))</f>
        <v/>
      </c>
      <c r="L2872" s="22">
        <f t="array" ref="L2872">IF($D2872="","",IFERROR(INDEX(MASTER_SOURCE!$D$2:$D$495,MATCH($I2872,MASTER_SOURCE!$A$2:$A$495,0)),""))</f>
        <v/>
      </c>
      <c r="M2872" s="24" t="n"/>
      <c r="N2872" s="24" t="n"/>
      <c r="O2872" s="24" t="n"/>
      <c r="P2872" s="24" t="n"/>
      <c r="Q2872" s="22">
        <f>IF($D2872="","",IF(AND(OR(DANH_MUC!$L$5&lt;&gt;"Có",M2872="Có"),OR(DANH_MUC!$L$6&lt;&gt;"Có",N2872="Có"),OR(DANH_MUC!$L$7&lt;&gt;"Có",O2872="Có"),OR(DANH_MUC!$L$8&lt;&gt;"Có",P2872="Có")),"Có","Không"))</f>
        <v/>
      </c>
      <c r="R2872" s="22">
        <f>IF($D2872="","",IF(COUNTIF($D$2:$D2872,$D2872)&gt;1,"Trùng",""))</f>
        <v/>
      </c>
      <c r="S2872" s="22">
        <f>IF($D2872="","",IF(AND(LEN($D2872)=10,LEFT($D2872,1)="0",ISNUMBER(--$D2872)),"Có","Không"))</f>
        <v/>
      </c>
      <c r="T2872" s="22">
        <f>IF($D2872="","",IF(AND($C2872&lt;&gt;"",$Q2872="Có",$R2872="",$S2872="Có",AND($L2872&lt;&gt;"",OR($L2872&lt;&gt;"Chưa xác định",DANH_MUC!$L$9="Có"))),"Có","Không"))</f>
        <v/>
      </c>
      <c r="U2872" s="22">
        <f>IF(OR($D2872="",$T2872="Có"),"",IF($C2872="","Thiếu họ tên; ","")&amp;IF($S2872&lt;&gt;"Có","SĐT sai định dạng; ","")&amp;IF($R2872="Trùng","Trùng SĐT; ","")&amp;IF($Q2872&lt;&gt;"Có","Thiếu đồng ý bắt buộc; ","")&amp;IF($L2872="","Thiếu/sai Mã REF; ",IF(AND($L2872="Chưa xác định",DANH_MUC!$L$9&lt;&gt;"Có"),"Nguồn chưa xác định; ","")))</f>
        <v/>
      </c>
      <c r="V2872" s="22">
        <f>IF(OR($D2872="",$R2872="Trùng"),"",IF(COUNTIF(ORDERS!$C$2:$C$4995,$D2872)&gt;0,"Có","Không"))</f>
        <v/>
      </c>
      <c r="W2872" s="22">
        <f>IF(OR($D2872="",$R2872="Trùng"),"",COUNTIFS(ORDERS!$C$2:$C$4995,$D2872,ORDERS!$L$2:$L$4995,"Đã chuyển khoản"))</f>
        <v/>
      </c>
      <c r="X2872" s="23">
        <f>IF(OR($D2872="",$R2872="Trùng"),"",SUMIFS(ORDERS!$J$2:$J$4995,ORDERS!$C$2:$C$4995,$D2872,ORDERS!$L$2:$L$4995,"Đã chuyển khoản"))</f>
        <v/>
      </c>
      <c r="Y2872" s="24" t="n"/>
    </row>
    <row r="2873" ht="14.25" customHeight="1" s="40">
      <c r="A2873" s="24" t="n"/>
      <c r="B2873" s="27" t="n"/>
      <c r="C2873" s="24" t="n"/>
      <c r="D2873" s="28" t="n"/>
      <c r="E2873" s="29" t="n"/>
      <c r="F2873" s="24" t="n"/>
      <c r="G2873" s="24" t="n"/>
      <c r="H2873" s="21">
        <f>IF(ISNUMBER($B2873),INT($B2873)-WEEKDAY($B2873,2)+1,"")</f>
        <v/>
      </c>
      <c r="I2873" s="24" t="n"/>
      <c r="J2873" s="22">
        <f t="array" ref="J2873">IF($D2873="","",IF($I2873="","(trống REF)",IFERROR(INDEX(MASTER_SOURCE!$B$2:$B$495,MATCH($I2873,MASTER_SOURCE!$A$2:$A$495,0)),"(REF không có trong MASTER_SOURCE)")))</f>
        <v/>
      </c>
      <c r="K2873" s="22">
        <f t="array" ref="K2873">IF($D2873="","",IFERROR(INDEX(MASTER_SOURCE!$C$2:$C$495,MATCH($I2873,MASTER_SOURCE!$A$2:$A$495,0)),""))</f>
        <v/>
      </c>
      <c r="L2873" s="22">
        <f t="array" ref="L2873">IF($D2873="","",IFERROR(INDEX(MASTER_SOURCE!$D$2:$D$495,MATCH($I2873,MASTER_SOURCE!$A$2:$A$495,0)),""))</f>
        <v/>
      </c>
      <c r="M2873" s="24" t="n"/>
      <c r="N2873" s="24" t="n"/>
      <c r="O2873" s="24" t="n"/>
      <c r="P2873" s="24" t="n"/>
      <c r="Q2873" s="22">
        <f>IF($D2873="","",IF(AND(OR(DANH_MUC!$L$5&lt;&gt;"Có",M2873="Có"),OR(DANH_MUC!$L$6&lt;&gt;"Có",N2873="Có"),OR(DANH_MUC!$L$7&lt;&gt;"Có",O2873="Có"),OR(DANH_MUC!$L$8&lt;&gt;"Có",P2873="Có")),"Có","Không"))</f>
        <v/>
      </c>
      <c r="R2873" s="22">
        <f>IF($D2873="","",IF(COUNTIF($D$2:$D2873,$D2873)&gt;1,"Trùng",""))</f>
        <v/>
      </c>
      <c r="S2873" s="22">
        <f>IF($D2873="","",IF(AND(LEN($D2873)=10,LEFT($D2873,1)="0",ISNUMBER(--$D2873)),"Có","Không"))</f>
        <v/>
      </c>
      <c r="T2873" s="22">
        <f>IF($D2873="","",IF(AND($C2873&lt;&gt;"",$Q2873="Có",$R2873="",$S2873="Có",AND($L2873&lt;&gt;"",OR($L2873&lt;&gt;"Chưa xác định",DANH_MUC!$L$9="Có"))),"Có","Không"))</f>
        <v/>
      </c>
      <c r="U2873" s="22">
        <f>IF(OR($D2873="",$T2873="Có"),"",IF($C2873="","Thiếu họ tên; ","")&amp;IF($S2873&lt;&gt;"Có","SĐT sai định dạng; ","")&amp;IF($R2873="Trùng","Trùng SĐT; ","")&amp;IF($Q2873&lt;&gt;"Có","Thiếu đồng ý bắt buộc; ","")&amp;IF($L2873="","Thiếu/sai Mã REF; ",IF(AND($L2873="Chưa xác định",DANH_MUC!$L$9&lt;&gt;"Có"),"Nguồn chưa xác định; ","")))</f>
        <v/>
      </c>
      <c r="V2873" s="22">
        <f>IF(OR($D2873="",$R2873="Trùng"),"",IF(COUNTIF(ORDERS!$C$2:$C$4995,$D2873)&gt;0,"Có","Không"))</f>
        <v/>
      </c>
      <c r="W2873" s="22">
        <f>IF(OR($D2873="",$R2873="Trùng"),"",COUNTIFS(ORDERS!$C$2:$C$4995,$D2873,ORDERS!$L$2:$L$4995,"Đã chuyển khoản"))</f>
        <v/>
      </c>
      <c r="X2873" s="23">
        <f>IF(OR($D2873="",$R2873="Trùng"),"",SUMIFS(ORDERS!$J$2:$J$4995,ORDERS!$C$2:$C$4995,$D2873,ORDERS!$L$2:$L$4995,"Đã chuyển khoản"))</f>
        <v/>
      </c>
      <c r="Y2873" s="24" t="n"/>
    </row>
    <row r="2874" ht="14.25" customHeight="1" s="40">
      <c r="A2874" s="24" t="n"/>
      <c r="B2874" s="27" t="n"/>
      <c r="C2874" s="24" t="n"/>
      <c r="D2874" s="28" t="n"/>
      <c r="E2874" s="29" t="n"/>
      <c r="F2874" s="24" t="n"/>
      <c r="G2874" s="24" t="n"/>
      <c r="H2874" s="21">
        <f>IF(ISNUMBER($B2874),INT($B2874)-WEEKDAY($B2874,2)+1,"")</f>
        <v/>
      </c>
      <c r="I2874" s="24" t="n"/>
      <c r="J2874" s="22">
        <f t="array" ref="J2874">IF($D2874="","",IF($I2874="","(trống REF)",IFERROR(INDEX(MASTER_SOURCE!$B$2:$B$495,MATCH($I2874,MASTER_SOURCE!$A$2:$A$495,0)),"(REF không có trong MASTER_SOURCE)")))</f>
        <v/>
      </c>
      <c r="K2874" s="22">
        <f t="array" ref="K2874">IF($D2874="","",IFERROR(INDEX(MASTER_SOURCE!$C$2:$C$495,MATCH($I2874,MASTER_SOURCE!$A$2:$A$495,0)),""))</f>
        <v/>
      </c>
      <c r="L2874" s="22">
        <f t="array" ref="L2874">IF($D2874="","",IFERROR(INDEX(MASTER_SOURCE!$D$2:$D$495,MATCH($I2874,MASTER_SOURCE!$A$2:$A$495,0)),""))</f>
        <v/>
      </c>
      <c r="M2874" s="24" t="n"/>
      <c r="N2874" s="24" t="n"/>
      <c r="O2874" s="24" t="n"/>
      <c r="P2874" s="24" t="n"/>
      <c r="Q2874" s="22">
        <f>IF($D2874="","",IF(AND(OR(DANH_MUC!$L$5&lt;&gt;"Có",M2874="Có"),OR(DANH_MUC!$L$6&lt;&gt;"Có",N2874="Có"),OR(DANH_MUC!$L$7&lt;&gt;"Có",O2874="Có"),OR(DANH_MUC!$L$8&lt;&gt;"Có",P2874="Có")),"Có","Không"))</f>
        <v/>
      </c>
      <c r="R2874" s="22">
        <f>IF($D2874="","",IF(COUNTIF($D$2:$D2874,$D2874)&gt;1,"Trùng",""))</f>
        <v/>
      </c>
      <c r="S2874" s="22">
        <f>IF($D2874="","",IF(AND(LEN($D2874)=10,LEFT($D2874,1)="0",ISNUMBER(--$D2874)),"Có","Không"))</f>
        <v/>
      </c>
      <c r="T2874" s="22">
        <f>IF($D2874="","",IF(AND($C2874&lt;&gt;"",$Q2874="Có",$R2874="",$S2874="Có",AND($L2874&lt;&gt;"",OR($L2874&lt;&gt;"Chưa xác định",DANH_MUC!$L$9="Có"))),"Có","Không"))</f>
        <v/>
      </c>
      <c r="U2874" s="22">
        <f>IF(OR($D2874="",$T2874="Có"),"",IF($C2874="","Thiếu họ tên; ","")&amp;IF($S2874&lt;&gt;"Có","SĐT sai định dạng; ","")&amp;IF($R2874="Trùng","Trùng SĐT; ","")&amp;IF($Q2874&lt;&gt;"Có","Thiếu đồng ý bắt buộc; ","")&amp;IF($L2874="","Thiếu/sai Mã REF; ",IF(AND($L2874="Chưa xác định",DANH_MUC!$L$9&lt;&gt;"Có"),"Nguồn chưa xác định; ","")))</f>
        <v/>
      </c>
      <c r="V2874" s="22">
        <f>IF(OR($D2874="",$R2874="Trùng"),"",IF(COUNTIF(ORDERS!$C$2:$C$4995,$D2874)&gt;0,"Có","Không"))</f>
        <v/>
      </c>
      <c r="W2874" s="22">
        <f>IF(OR($D2874="",$R2874="Trùng"),"",COUNTIFS(ORDERS!$C$2:$C$4995,$D2874,ORDERS!$L$2:$L$4995,"Đã chuyển khoản"))</f>
        <v/>
      </c>
      <c r="X2874" s="23">
        <f>IF(OR($D2874="",$R2874="Trùng"),"",SUMIFS(ORDERS!$J$2:$J$4995,ORDERS!$C$2:$C$4995,$D2874,ORDERS!$L$2:$L$4995,"Đã chuyển khoản"))</f>
        <v/>
      </c>
      <c r="Y2874" s="24" t="n"/>
    </row>
    <row r="2875" ht="14.25" customHeight="1" s="40">
      <c r="A2875" s="24" t="n"/>
      <c r="B2875" s="27" t="n"/>
      <c r="C2875" s="24" t="n"/>
      <c r="D2875" s="28" t="n"/>
      <c r="E2875" s="29" t="n"/>
      <c r="F2875" s="24" t="n"/>
      <c r="G2875" s="24" t="n"/>
      <c r="H2875" s="21">
        <f>IF(ISNUMBER($B2875),INT($B2875)-WEEKDAY($B2875,2)+1,"")</f>
        <v/>
      </c>
      <c r="I2875" s="24" t="n"/>
      <c r="J2875" s="22">
        <f t="array" ref="J2875">IF($D2875="","",IF($I2875="","(trống REF)",IFERROR(INDEX(MASTER_SOURCE!$B$2:$B$495,MATCH($I2875,MASTER_SOURCE!$A$2:$A$495,0)),"(REF không có trong MASTER_SOURCE)")))</f>
        <v/>
      </c>
      <c r="K2875" s="22">
        <f t="array" ref="K2875">IF($D2875="","",IFERROR(INDEX(MASTER_SOURCE!$C$2:$C$495,MATCH($I2875,MASTER_SOURCE!$A$2:$A$495,0)),""))</f>
        <v/>
      </c>
      <c r="L2875" s="22">
        <f t="array" ref="L2875">IF($D2875="","",IFERROR(INDEX(MASTER_SOURCE!$D$2:$D$495,MATCH($I2875,MASTER_SOURCE!$A$2:$A$495,0)),""))</f>
        <v/>
      </c>
      <c r="M2875" s="24" t="n"/>
      <c r="N2875" s="24" t="n"/>
      <c r="O2875" s="24" t="n"/>
      <c r="P2875" s="24" t="n"/>
      <c r="Q2875" s="22">
        <f>IF($D2875="","",IF(AND(OR(DANH_MUC!$L$5&lt;&gt;"Có",M2875="Có"),OR(DANH_MUC!$L$6&lt;&gt;"Có",N2875="Có"),OR(DANH_MUC!$L$7&lt;&gt;"Có",O2875="Có"),OR(DANH_MUC!$L$8&lt;&gt;"Có",P2875="Có")),"Có","Không"))</f>
        <v/>
      </c>
      <c r="R2875" s="22">
        <f>IF($D2875="","",IF(COUNTIF($D$2:$D2875,$D2875)&gt;1,"Trùng",""))</f>
        <v/>
      </c>
      <c r="S2875" s="22">
        <f>IF($D2875="","",IF(AND(LEN($D2875)=10,LEFT($D2875,1)="0",ISNUMBER(--$D2875)),"Có","Không"))</f>
        <v/>
      </c>
      <c r="T2875" s="22">
        <f>IF($D2875="","",IF(AND($C2875&lt;&gt;"",$Q2875="Có",$R2875="",$S2875="Có",AND($L2875&lt;&gt;"",OR($L2875&lt;&gt;"Chưa xác định",DANH_MUC!$L$9="Có"))),"Có","Không"))</f>
        <v/>
      </c>
      <c r="U2875" s="22">
        <f>IF(OR($D2875="",$T2875="Có"),"",IF($C2875="","Thiếu họ tên; ","")&amp;IF($S2875&lt;&gt;"Có","SĐT sai định dạng; ","")&amp;IF($R2875="Trùng","Trùng SĐT; ","")&amp;IF($Q2875&lt;&gt;"Có","Thiếu đồng ý bắt buộc; ","")&amp;IF($L2875="","Thiếu/sai Mã REF; ",IF(AND($L2875="Chưa xác định",DANH_MUC!$L$9&lt;&gt;"Có"),"Nguồn chưa xác định; ","")))</f>
        <v/>
      </c>
      <c r="V2875" s="22">
        <f>IF(OR($D2875="",$R2875="Trùng"),"",IF(COUNTIF(ORDERS!$C$2:$C$4995,$D2875)&gt;0,"Có","Không"))</f>
        <v/>
      </c>
      <c r="W2875" s="22">
        <f>IF(OR($D2875="",$R2875="Trùng"),"",COUNTIFS(ORDERS!$C$2:$C$4995,$D2875,ORDERS!$L$2:$L$4995,"Đã chuyển khoản"))</f>
        <v/>
      </c>
      <c r="X2875" s="23">
        <f>IF(OR($D2875="",$R2875="Trùng"),"",SUMIFS(ORDERS!$J$2:$J$4995,ORDERS!$C$2:$C$4995,$D2875,ORDERS!$L$2:$L$4995,"Đã chuyển khoản"))</f>
        <v/>
      </c>
      <c r="Y2875" s="24" t="n"/>
    </row>
    <row r="2876" ht="14.25" customHeight="1" s="40">
      <c r="A2876" s="24" t="n"/>
      <c r="B2876" s="27" t="n"/>
      <c r="C2876" s="24" t="n"/>
      <c r="D2876" s="28" t="n"/>
      <c r="E2876" s="29" t="n"/>
      <c r="F2876" s="24" t="n"/>
      <c r="G2876" s="24" t="n"/>
      <c r="H2876" s="21">
        <f>IF(ISNUMBER($B2876),INT($B2876)-WEEKDAY($B2876,2)+1,"")</f>
        <v/>
      </c>
      <c r="I2876" s="24" t="n"/>
      <c r="J2876" s="22">
        <f t="array" ref="J2876">IF($D2876="","",IF($I2876="","(trống REF)",IFERROR(INDEX(MASTER_SOURCE!$B$2:$B$495,MATCH($I2876,MASTER_SOURCE!$A$2:$A$495,0)),"(REF không có trong MASTER_SOURCE)")))</f>
        <v/>
      </c>
      <c r="K2876" s="22">
        <f t="array" ref="K2876">IF($D2876="","",IFERROR(INDEX(MASTER_SOURCE!$C$2:$C$495,MATCH($I2876,MASTER_SOURCE!$A$2:$A$495,0)),""))</f>
        <v/>
      </c>
      <c r="L2876" s="22">
        <f t="array" ref="L2876">IF($D2876="","",IFERROR(INDEX(MASTER_SOURCE!$D$2:$D$495,MATCH($I2876,MASTER_SOURCE!$A$2:$A$495,0)),""))</f>
        <v/>
      </c>
      <c r="M2876" s="24" t="n"/>
      <c r="N2876" s="24" t="n"/>
      <c r="O2876" s="24" t="n"/>
      <c r="P2876" s="24" t="n"/>
      <c r="Q2876" s="22">
        <f>IF($D2876="","",IF(AND(OR(DANH_MUC!$L$5&lt;&gt;"Có",M2876="Có"),OR(DANH_MUC!$L$6&lt;&gt;"Có",N2876="Có"),OR(DANH_MUC!$L$7&lt;&gt;"Có",O2876="Có"),OR(DANH_MUC!$L$8&lt;&gt;"Có",P2876="Có")),"Có","Không"))</f>
        <v/>
      </c>
      <c r="R2876" s="22">
        <f>IF($D2876="","",IF(COUNTIF($D$2:$D2876,$D2876)&gt;1,"Trùng",""))</f>
        <v/>
      </c>
      <c r="S2876" s="22">
        <f>IF($D2876="","",IF(AND(LEN($D2876)=10,LEFT($D2876,1)="0",ISNUMBER(--$D2876)),"Có","Không"))</f>
        <v/>
      </c>
      <c r="T2876" s="22">
        <f>IF($D2876="","",IF(AND($C2876&lt;&gt;"",$Q2876="Có",$R2876="",$S2876="Có",AND($L2876&lt;&gt;"",OR($L2876&lt;&gt;"Chưa xác định",DANH_MUC!$L$9="Có"))),"Có","Không"))</f>
        <v/>
      </c>
      <c r="U2876" s="22">
        <f>IF(OR($D2876="",$T2876="Có"),"",IF($C2876="","Thiếu họ tên; ","")&amp;IF($S2876&lt;&gt;"Có","SĐT sai định dạng; ","")&amp;IF($R2876="Trùng","Trùng SĐT; ","")&amp;IF($Q2876&lt;&gt;"Có","Thiếu đồng ý bắt buộc; ","")&amp;IF($L2876="","Thiếu/sai Mã REF; ",IF(AND($L2876="Chưa xác định",DANH_MUC!$L$9&lt;&gt;"Có"),"Nguồn chưa xác định; ","")))</f>
        <v/>
      </c>
      <c r="V2876" s="22">
        <f>IF(OR($D2876="",$R2876="Trùng"),"",IF(COUNTIF(ORDERS!$C$2:$C$4995,$D2876)&gt;0,"Có","Không"))</f>
        <v/>
      </c>
      <c r="W2876" s="22">
        <f>IF(OR($D2876="",$R2876="Trùng"),"",COUNTIFS(ORDERS!$C$2:$C$4995,$D2876,ORDERS!$L$2:$L$4995,"Đã chuyển khoản"))</f>
        <v/>
      </c>
      <c r="X2876" s="23">
        <f>IF(OR($D2876="",$R2876="Trùng"),"",SUMIFS(ORDERS!$J$2:$J$4995,ORDERS!$C$2:$C$4995,$D2876,ORDERS!$L$2:$L$4995,"Đã chuyển khoản"))</f>
        <v/>
      </c>
      <c r="Y2876" s="24" t="n"/>
    </row>
    <row r="2877" ht="14.25" customHeight="1" s="40">
      <c r="A2877" s="24" t="n"/>
      <c r="B2877" s="27" t="n"/>
      <c r="C2877" s="24" t="n"/>
      <c r="D2877" s="28" t="n"/>
      <c r="E2877" s="29" t="n"/>
      <c r="F2877" s="24" t="n"/>
      <c r="G2877" s="24" t="n"/>
      <c r="H2877" s="21">
        <f>IF(ISNUMBER($B2877),INT($B2877)-WEEKDAY($B2877,2)+1,"")</f>
        <v/>
      </c>
      <c r="I2877" s="24" t="n"/>
      <c r="J2877" s="22">
        <f t="array" ref="J2877">IF($D2877="","",IF($I2877="","(trống REF)",IFERROR(INDEX(MASTER_SOURCE!$B$2:$B$495,MATCH($I2877,MASTER_SOURCE!$A$2:$A$495,0)),"(REF không có trong MASTER_SOURCE)")))</f>
        <v/>
      </c>
      <c r="K2877" s="22">
        <f t="array" ref="K2877">IF($D2877="","",IFERROR(INDEX(MASTER_SOURCE!$C$2:$C$495,MATCH($I2877,MASTER_SOURCE!$A$2:$A$495,0)),""))</f>
        <v/>
      </c>
      <c r="L2877" s="22">
        <f t="array" ref="L2877">IF($D2877="","",IFERROR(INDEX(MASTER_SOURCE!$D$2:$D$495,MATCH($I2877,MASTER_SOURCE!$A$2:$A$495,0)),""))</f>
        <v/>
      </c>
      <c r="M2877" s="24" t="n"/>
      <c r="N2877" s="24" t="n"/>
      <c r="O2877" s="24" t="n"/>
      <c r="P2877" s="24" t="n"/>
      <c r="Q2877" s="22">
        <f>IF($D2877="","",IF(AND(OR(DANH_MUC!$L$5&lt;&gt;"Có",M2877="Có"),OR(DANH_MUC!$L$6&lt;&gt;"Có",N2877="Có"),OR(DANH_MUC!$L$7&lt;&gt;"Có",O2877="Có"),OR(DANH_MUC!$L$8&lt;&gt;"Có",P2877="Có")),"Có","Không"))</f>
        <v/>
      </c>
      <c r="R2877" s="22">
        <f>IF($D2877="","",IF(COUNTIF($D$2:$D2877,$D2877)&gt;1,"Trùng",""))</f>
        <v/>
      </c>
      <c r="S2877" s="22">
        <f>IF($D2877="","",IF(AND(LEN($D2877)=10,LEFT($D2877,1)="0",ISNUMBER(--$D2877)),"Có","Không"))</f>
        <v/>
      </c>
      <c r="T2877" s="22">
        <f>IF($D2877="","",IF(AND($C2877&lt;&gt;"",$Q2877="Có",$R2877="",$S2877="Có",AND($L2877&lt;&gt;"",OR($L2877&lt;&gt;"Chưa xác định",DANH_MUC!$L$9="Có"))),"Có","Không"))</f>
        <v/>
      </c>
      <c r="U2877" s="22">
        <f>IF(OR($D2877="",$T2877="Có"),"",IF($C2877="","Thiếu họ tên; ","")&amp;IF($S2877&lt;&gt;"Có","SĐT sai định dạng; ","")&amp;IF($R2877="Trùng","Trùng SĐT; ","")&amp;IF($Q2877&lt;&gt;"Có","Thiếu đồng ý bắt buộc; ","")&amp;IF($L2877="","Thiếu/sai Mã REF; ",IF(AND($L2877="Chưa xác định",DANH_MUC!$L$9&lt;&gt;"Có"),"Nguồn chưa xác định; ","")))</f>
        <v/>
      </c>
      <c r="V2877" s="22">
        <f>IF(OR($D2877="",$R2877="Trùng"),"",IF(COUNTIF(ORDERS!$C$2:$C$4995,$D2877)&gt;0,"Có","Không"))</f>
        <v/>
      </c>
      <c r="W2877" s="22">
        <f>IF(OR($D2877="",$R2877="Trùng"),"",COUNTIFS(ORDERS!$C$2:$C$4995,$D2877,ORDERS!$L$2:$L$4995,"Đã chuyển khoản"))</f>
        <v/>
      </c>
      <c r="X2877" s="23">
        <f>IF(OR($D2877="",$R2877="Trùng"),"",SUMIFS(ORDERS!$J$2:$J$4995,ORDERS!$C$2:$C$4995,$D2877,ORDERS!$L$2:$L$4995,"Đã chuyển khoản"))</f>
        <v/>
      </c>
      <c r="Y2877" s="24" t="n"/>
    </row>
    <row r="2878" ht="14.25" customHeight="1" s="40">
      <c r="A2878" s="24" t="n"/>
      <c r="B2878" s="27" t="n"/>
      <c r="C2878" s="24" t="n"/>
      <c r="D2878" s="28" t="n"/>
      <c r="E2878" s="29" t="n"/>
      <c r="F2878" s="24" t="n"/>
      <c r="G2878" s="24" t="n"/>
      <c r="H2878" s="21">
        <f>IF(ISNUMBER($B2878),INT($B2878)-WEEKDAY($B2878,2)+1,"")</f>
        <v/>
      </c>
      <c r="I2878" s="24" t="n"/>
      <c r="J2878" s="22">
        <f t="array" ref="J2878">IF($D2878="","",IF($I2878="","(trống REF)",IFERROR(INDEX(MASTER_SOURCE!$B$2:$B$495,MATCH($I2878,MASTER_SOURCE!$A$2:$A$495,0)),"(REF không có trong MASTER_SOURCE)")))</f>
        <v/>
      </c>
      <c r="K2878" s="22">
        <f t="array" ref="K2878">IF($D2878="","",IFERROR(INDEX(MASTER_SOURCE!$C$2:$C$495,MATCH($I2878,MASTER_SOURCE!$A$2:$A$495,0)),""))</f>
        <v/>
      </c>
      <c r="L2878" s="22">
        <f t="array" ref="L2878">IF($D2878="","",IFERROR(INDEX(MASTER_SOURCE!$D$2:$D$495,MATCH($I2878,MASTER_SOURCE!$A$2:$A$495,0)),""))</f>
        <v/>
      </c>
      <c r="M2878" s="24" t="n"/>
      <c r="N2878" s="24" t="n"/>
      <c r="O2878" s="24" t="n"/>
      <c r="P2878" s="24" t="n"/>
      <c r="Q2878" s="22">
        <f>IF($D2878="","",IF(AND(OR(DANH_MUC!$L$5&lt;&gt;"Có",M2878="Có"),OR(DANH_MUC!$L$6&lt;&gt;"Có",N2878="Có"),OR(DANH_MUC!$L$7&lt;&gt;"Có",O2878="Có"),OR(DANH_MUC!$L$8&lt;&gt;"Có",P2878="Có")),"Có","Không"))</f>
        <v/>
      </c>
      <c r="R2878" s="22">
        <f>IF($D2878="","",IF(COUNTIF($D$2:$D2878,$D2878)&gt;1,"Trùng",""))</f>
        <v/>
      </c>
      <c r="S2878" s="22">
        <f>IF($D2878="","",IF(AND(LEN($D2878)=10,LEFT($D2878,1)="0",ISNUMBER(--$D2878)),"Có","Không"))</f>
        <v/>
      </c>
      <c r="T2878" s="22">
        <f>IF($D2878="","",IF(AND($C2878&lt;&gt;"",$Q2878="Có",$R2878="",$S2878="Có",AND($L2878&lt;&gt;"",OR($L2878&lt;&gt;"Chưa xác định",DANH_MUC!$L$9="Có"))),"Có","Không"))</f>
        <v/>
      </c>
      <c r="U2878" s="22">
        <f>IF(OR($D2878="",$T2878="Có"),"",IF($C2878="","Thiếu họ tên; ","")&amp;IF($S2878&lt;&gt;"Có","SĐT sai định dạng; ","")&amp;IF($R2878="Trùng","Trùng SĐT; ","")&amp;IF($Q2878&lt;&gt;"Có","Thiếu đồng ý bắt buộc; ","")&amp;IF($L2878="","Thiếu/sai Mã REF; ",IF(AND($L2878="Chưa xác định",DANH_MUC!$L$9&lt;&gt;"Có"),"Nguồn chưa xác định; ","")))</f>
        <v/>
      </c>
      <c r="V2878" s="22">
        <f>IF(OR($D2878="",$R2878="Trùng"),"",IF(COUNTIF(ORDERS!$C$2:$C$4995,$D2878)&gt;0,"Có","Không"))</f>
        <v/>
      </c>
      <c r="W2878" s="22">
        <f>IF(OR($D2878="",$R2878="Trùng"),"",COUNTIFS(ORDERS!$C$2:$C$4995,$D2878,ORDERS!$L$2:$L$4995,"Đã chuyển khoản"))</f>
        <v/>
      </c>
      <c r="X2878" s="23">
        <f>IF(OR($D2878="",$R2878="Trùng"),"",SUMIFS(ORDERS!$J$2:$J$4995,ORDERS!$C$2:$C$4995,$D2878,ORDERS!$L$2:$L$4995,"Đã chuyển khoản"))</f>
        <v/>
      </c>
      <c r="Y2878" s="24" t="n"/>
    </row>
    <row r="2879" ht="14.25" customHeight="1" s="40">
      <c r="A2879" s="24" t="n"/>
      <c r="B2879" s="27" t="n"/>
      <c r="C2879" s="24" t="n"/>
      <c r="D2879" s="28" t="n"/>
      <c r="E2879" s="29" t="n"/>
      <c r="F2879" s="24" t="n"/>
      <c r="G2879" s="24" t="n"/>
      <c r="H2879" s="21">
        <f>IF(ISNUMBER($B2879),INT($B2879)-WEEKDAY($B2879,2)+1,"")</f>
        <v/>
      </c>
      <c r="I2879" s="24" t="n"/>
      <c r="J2879" s="22">
        <f t="array" ref="J2879">IF($D2879="","",IF($I2879="","(trống REF)",IFERROR(INDEX(MASTER_SOURCE!$B$2:$B$495,MATCH($I2879,MASTER_SOURCE!$A$2:$A$495,0)),"(REF không có trong MASTER_SOURCE)")))</f>
        <v/>
      </c>
      <c r="K2879" s="22">
        <f t="array" ref="K2879">IF($D2879="","",IFERROR(INDEX(MASTER_SOURCE!$C$2:$C$495,MATCH($I2879,MASTER_SOURCE!$A$2:$A$495,0)),""))</f>
        <v/>
      </c>
      <c r="L2879" s="22">
        <f t="array" ref="L2879">IF($D2879="","",IFERROR(INDEX(MASTER_SOURCE!$D$2:$D$495,MATCH($I2879,MASTER_SOURCE!$A$2:$A$495,0)),""))</f>
        <v/>
      </c>
      <c r="M2879" s="24" t="n"/>
      <c r="N2879" s="24" t="n"/>
      <c r="O2879" s="24" t="n"/>
      <c r="P2879" s="24" t="n"/>
      <c r="Q2879" s="22">
        <f>IF($D2879="","",IF(AND(OR(DANH_MUC!$L$5&lt;&gt;"Có",M2879="Có"),OR(DANH_MUC!$L$6&lt;&gt;"Có",N2879="Có"),OR(DANH_MUC!$L$7&lt;&gt;"Có",O2879="Có"),OR(DANH_MUC!$L$8&lt;&gt;"Có",P2879="Có")),"Có","Không"))</f>
        <v/>
      </c>
      <c r="R2879" s="22">
        <f>IF($D2879="","",IF(COUNTIF($D$2:$D2879,$D2879)&gt;1,"Trùng",""))</f>
        <v/>
      </c>
      <c r="S2879" s="22">
        <f>IF($D2879="","",IF(AND(LEN($D2879)=10,LEFT($D2879,1)="0",ISNUMBER(--$D2879)),"Có","Không"))</f>
        <v/>
      </c>
      <c r="T2879" s="22">
        <f>IF($D2879="","",IF(AND($C2879&lt;&gt;"",$Q2879="Có",$R2879="",$S2879="Có",AND($L2879&lt;&gt;"",OR($L2879&lt;&gt;"Chưa xác định",DANH_MUC!$L$9="Có"))),"Có","Không"))</f>
        <v/>
      </c>
      <c r="U2879" s="22">
        <f>IF(OR($D2879="",$T2879="Có"),"",IF($C2879="","Thiếu họ tên; ","")&amp;IF($S2879&lt;&gt;"Có","SĐT sai định dạng; ","")&amp;IF($R2879="Trùng","Trùng SĐT; ","")&amp;IF($Q2879&lt;&gt;"Có","Thiếu đồng ý bắt buộc; ","")&amp;IF($L2879="","Thiếu/sai Mã REF; ",IF(AND($L2879="Chưa xác định",DANH_MUC!$L$9&lt;&gt;"Có"),"Nguồn chưa xác định; ","")))</f>
        <v/>
      </c>
      <c r="V2879" s="22">
        <f>IF(OR($D2879="",$R2879="Trùng"),"",IF(COUNTIF(ORDERS!$C$2:$C$4995,$D2879)&gt;0,"Có","Không"))</f>
        <v/>
      </c>
      <c r="W2879" s="22">
        <f>IF(OR($D2879="",$R2879="Trùng"),"",COUNTIFS(ORDERS!$C$2:$C$4995,$D2879,ORDERS!$L$2:$L$4995,"Đã chuyển khoản"))</f>
        <v/>
      </c>
      <c r="X2879" s="23">
        <f>IF(OR($D2879="",$R2879="Trùng"),"",SUMIFS(ORDERS!$J$2:$J$4995,ORDERS!$C$2:$C$4995,$D2879,ORDERS!$L$2:$L$4995,"Đã chuyển khoản"))</f>
        <v/>
      </c>
      <c r="Y2879" s="24" t="n"/>
    </row>
    <row r="2880" ht="14.25" customHeight="1" s="40">
      <c r="A2880" s="24" t="n"/>
      <c r="B2880" s="27" t="n"/>
      <c r="C2880" s="24" t="n"/>
      <c r="D2880" s="28" t="n"/>
      <c r="E2880" s="29" t="n"/>
      <c r="F2880" s="24" t="n"/>
      <c r="G2880" s="24" t="n"/>
      <c r="H2880" s="21">
        <f>IF(ISNUMBER($B2880),INT($B2880)-WEEKDAY($B2880,2)+1,"")</f>
        <v/>
      </c>
      <c r="I2880" s="24" t="n"/>
      <c r="J2880" s="22">
        <f t="array" ref="J2880">IF($D2880="","",IF($I2880="","(trống REF)",IFERROR(INDEX(MASTER_SOURCE!$B$2:$B$495,MATCH($I2880,MASTER_SOURCE!$A$2:$A$495,0)),"(REF không có trong MASTER_SOURCE)")))</f>
        <v/>
      </c>
      <c r="K2880" s="22">
        <f t="array" ref="K2880">IF($D2880="","",IFERROR(INDEX(MASTER_SOURCE!$C$2:$C$495,MATCH($I2880,MASTER_SOURCE!$A$2:$A$495,0)),""))</f>
        <v/>
      </c>
      <c r="L2880" s="22">
        <f t="array" ref="L2880">IF($D2880="","",IFERROR(INDEX(MASTER_SOURCE!$D$2:$D$495,MATCH($I2880,MASTER_SOURCE!$A$2:$A$495,0)),""))</f>
        <v/>
      </c>
      <c r="M2880" s="24" t="n"/>
      <c r="N2880" s="24" t="n"/>
      <c r="O2880" s="24" t="n"/>
      <c r="P2880" s="24" t="n"/>
      <c r="Q2880" s="22">
        <f>IF($D2880="","",IF(AND(OR(DANH_MUC!$L$5&lt;&gt;"Có",M2880="Có"),OR(DANH_MUC!$L$6&lt;&gt;"Có",N2880="Có"),OR(DANH_MUC!$L$7&lt;&gt;"Có",O2880="Có"),OR(DANH_MUC!$L$8&lt;&gt;"Có",P2880="Có")),"Có","Không"))</f>
        <v/>
      </c>
      <c r="R2880" s="22">
        <f>IF($D2880="","",IF(COUNTIF($D$2:$D2880,$D2880)&gt;1,"Trùng",""))</f>
        <v/>
      </c>
      <c r="S2880" s="22">
        <f>IF($D2880="","",IF(AND(LEN($D2880)=10,LEFT($D2880,1)="0",ISNUMBER(--$D2880)),"Có","Không"))</f>
        <v/>
      </c>
      <c r="T2880" s="22">
        <f>IF($D2880="","",IF(AND($C2880&lt;&gt;"",$Q2880="Có",$R2880="",$S2880="Có",AND($L2880&lt;&gt;"",OR($L2880&lt;&gt;"Chưa xác định",DANH_MUC!$L$9="Có"))),"Có","Không"))</f>
        <v/>
      </c>
      <c r="U2880" s="22">
        <f>IF(OR($D2880="",$T2880="Có"),"",IF($C2880="","Thiếu họ tên; ","")&amp;IF($S2880&lt;&gt;"Có","SĐT sai định dạng; ","")&amp;IF($R2880="Trùng","Trùng SĐT; ","")&amp;IF($Q2880&lt;&gt;"Có","Thiếu đồng ý bắt buộc; ","")&amp;IF($L2880="","Thiếu/sai Mã REF; ",IF(AND($L2880="Chưa xác định",DANH_MUC!$L$9&lt;&gt;"Có"),"Nguồn chưa xác định; ","")))</f>
        <v/>
      </c>
      <c r="V2880" s="22">
        <f>IF(OR($D2880="",$R2880="Trùng"),"",IF(COUNTIF(ORDERS!$C$2:$C$4995,$D2880)&gt;0,"Có","Không"))</f>
        <v/>
      </c>
      <c r="W2880" s="22">
        <f>IF(OR($D2880="",$R2880="Trùng"),"",COUNTIFS(ORDERS!$C$2:$C$4995,$D2880,ORDERS!$L$2:$L$4995,"Đã chuyển khoản"))</f>
        <v/>
      </c>
      <c r="X2880" s="23">
        <f>IF(OR($D2880="",$R2880="Trùng"),"",SUMIFS(ORDERS!$J$2:$J$4995,ORDERS!$C$2:$C$4995,$D2880,ORDERS!$L$2:$L$4995,"Đã chuyển khoản"))</f>
        <v/>
      </c>
      <c r="Y2880" s="24" t="n"/>
    </row>
    <row r="2881" ht="14.25" customHeight="1" s="40">
      <c r="A2881" s="24" t="n"/>
      <c r="B2881" s="27" t="n"/>
      <c r="C2881" s="24" t="n"/>
      <c r="D2881" s="28" t="n"/>
      <c r="E2881" s="29" t="n"/>
      <c r="F2881" s="24" t="n"/>
      <c r="G2881" s="24" t="n"/>
      <c r="H2881" s="21">
        <f>IF(ISNUMBER($B2881),INT($B2881)-WEEKDAY($B2881,2)+1,"")</f>
        <v/>
      </c>
      <c r="I2881" s="24" t="n"/>
      <c r="J2881" s="22">
        <f t="array" ref="J2881">IF($D2881="","",IF($I2881="","(trống REF)",IFERROR(INDEX(MASTER_SOURCE!$B$2:$B$495,MATCH($I2881,MASTER_SOURCE!$A$2:$A$495,0)),"(REF không có trong MASTER_SOURCE)")))</f>
        <v/>
      </c>
      <c r="K2881" s="22">
        <f t="array" ref="K2881">IF($D2881="","",IFERROR(INDEX(MASTER_SOURCE!$C$2:$C$495,MATCH($I2881,MASTER_SOURCE!$A$2:$A$495,0)),""))</f>
        <v/>
      </c>
      <c r="L2881" s="22">
        <f t="array" ref="L2881">IF($D2881="","",IFERROR(INDEX(MASTER_SOURCE!$D$2:$D$495,MATCH($I2881,MASTER_SOURCE!$A$2:$A$495,0)),""))</f>
        <v/>
      </c>
      <c r="M2881" s="24" t="n"/>
      <c r="N2881" s="24" t="n"/>
      <c r="O2881" s="24" t="n"/>
      <c r="P2881" s="24" t="n"/>
      <c r="Q2881" s="22">
        <f>IF($D2881="","",IF(AND(OR(DANH_MUC!$L$5&lt;&gt;"Có",M2881="Có"),OR(DANH_MUC!$L$6&lt;&gt;"Có",N2881="Có"),OR(DANH_MUC!$L$7&lt;&gt;"Có",O2881="Có"),OR(DANH_MUC!$L$8&lt;&gt;"Có",P2881="Có")),"Có","Không"))</f>
        <v/>
      </c>
      <c r="R2881" s="22">
        <f>IF($D2881="","",IF(COUNTIF($D$2:$D2881,$D2881)&gt;1,"Trùng",""))</f>
        <v/>
      </c>
      <c r="S2881" s="22">
        <f>IF($D2881="","",IF(AND(LEN($D2881)=10,LEFT($D2881,1)="0",ISNUMBER(--$D2881)),"Có","Không"))</f>
        <v/>
      </c>
      <c r="T2881" s="22">
        <f>IF($D2881="","",IF(AND($C2881&lt;&gt;"",$Q2881="Có",$R2881="",$S2881="Có",AND($L2881&lt;&gt;"",OR($L2881&lt;&gt;"Chưa xác định",DANH_MUC!$L$9="Có"))),"Có","Không"))</f>
        <v/>
      </c>
      <c r="U2881" s="22">
        <f>IF(OR($D2881="",$T2881="Có"),"",IF($C2881="","Thiếu họ tên; ","")&amp;IF($S2881&lt;&gt;"Có","SĐT sai định dạng; ","")&amp;IF($R2881="Trùng","Trùng SĐT; ","")&amp;IF($Q2881&lt;&gt;"Có","Thiếu đồng ý bắt buộc; ","")&amp;IF($L2881="","Thiếu/sai Mã REF; ",IF(AND($L2881="Chưa xác định",DANH_MUC!$L$9&lt;&gt;"Có"),"Nguồn chưa xác định; ","")))</f>
        <v/>
      </c>
      <c r="V2881" s="22">
        <f>IF(OR($D2881="",$R2881="Trùng"),"",IF(COUNTIF(ORDERS!$C$2:$C$4995,$D2881)&gt;0,"Có","Không"))</f>
        <v/>
      </c>
      <c r="W2881" s="22">
        <f>IF(OR($D2881="",$R2881="Trùng"),"",COUNTIFS(ORDERS!$C$2:$C$4995,$D2881,ORDERS!$L$2:$L$4995,"Đã chuyển khoản"))</f>
        <v/>
      </c>
      <c r="X2881" s="23">
        <f>IF(OR($D2881="",$R2881="Trùng"),"",SUMIFS(ORDERS!$J$2:$J$4995,ORDERS!$C$2:$C$4995,$D2881,ORDERS!$L$2:$L$4995,"Đã chuyển khoản"))</f>
        <v/>
      </c>
      <c r="Y2881" s="24" t="n"/>
    </row>
    <row r="2882" ht="14.25" customHeight="1" s="40">
      <c r="A2882" s="24" t="n"/>
      <c r="B2882" s="27" t="n"/>
      <c r="C2882" s="24" t="n"/>
      <c r="D2882" s="28" t="n"/>
      <c r="E2882" s="29" t="n"/>
      <c r="F2882" s="24" t="n"/>
      <c r="G2882" s="24" t="n"/>
      <c r="H2882" s="21">
        <f>IF(ISNUMBER($B2882),INT($B2882)-WEEKDAY($B2882,2)+1,"")</f>
        <v/>
      </c>
      <c r="I2882" s="24" t="n"/>
      <c r="J2882" s="22">
        <f t="array" ref="J2882">IF($D2882="","",IF($I2882="","(trống REF)",IFERROR(INDEX(MASTER_SOURCE!$B$2:$B$495,MATCH($I2882,MASTER_SOURCE!$A$2:$A$495,0)),"(REF không có trong MASTER_SOURCE)")))</f>
        <v/>
      </c>
      <c r="K2882" s="22">
        <f t="array" ref="K2882">IF($D2882="","",IFERROR(INDEX(MASTER_SOURCE!$C$2:$C$495,MATCH($I2882,MASTER_SOURCE!$A$2:$A$495,0)),""))</f>
        <v/>
      </c>
      <c r="L2882" s="22">
        <f t="array" ref="L2882">IF($D2882="","",IFERROR(INDEX(MASTER_SOURCE!$D$2:$D$495,MATCH($I2882,MASTER_SOURCE!$A$2:$A$495,0)),""))</f>
        <v/>
      </c>
      <c r="M2882" s="24" t="n"/>
      <c r="N2882" s="24" t="n"/>
      <c r="O2882" s="24" t="n"/>
      <c r="P2882" s="24" t="n"/>
      <c r="Q2882" s="22">
        <f>IF($D2882="","",IF(AND(OR(DANH_MUC!$L$5&lt;&gt;"Có",M2882="Có"),OR(DANH_MUC!$L$6&lt;&gt;"Có",N2882="Có"),OR(DANH_MUC!$L$7&lt;&gt;"Có",O2882="Có"),OR(DANH_MUC!$L$8&lt;&gt;"Có",P2882="Có")),"Có","Không"))</f>
        <v/>
      </c>
      <c r="R2882" s="22">
        <f>IF($D2882="","",IF(COUNTIF($D$2:$D2882,$D2882)&gt;1,"Trùng",""))</f>
        <v/>
      </c>
      <c r="S2882" s="22">
        <f>IF($D2882="","",IF(AND(LEN($D2882)=10,LEFT($D2882,1)="0",ISNUMBER(--$D2882)),"Có","Không"))</f>
        <v/>
      </c>
      <c r="T2882" s="22">
        <f>IF($D2882="","",IF(AND($C2882&lt;&gt;"",$Q2882="Có",$R2882="",$S2882="Có",AND($L2882&lt;&gt;"",OR($L2882&lt;&gt;"Chưa xác định",DANH_MUC!$L$9="Có"))),"Có","Không"))</f>
        <v/>
      </c>
      <c r="U2882" s="22">
        <f>IF(OR($D2882="",$T2882="Có"),"",IF($C2882="","Thiếu họ tên; ","")&amp;IF($S2882&lt;&gt;"Có","SĐT sai định dạng; ","")&amp;IF($R2882="Trùng","Trùng SĐT; ","")&amp;IF($Q2882&lt;&gt;"Có","Thiếu đồng ý bắt buộc; ","")&amp;IF($L2882="","Thiếu/sai Mã REF; ",IF(AND($L2882="Chưa xác định",DANH_MUC!$L$9&lt;&gt;"Có"),"Nguồn chưa xác định; ","")))</f>
        <v/>
      </c>
      <c r="V2882" s="22">
        <f>IF(OR($D2882="",$R2882="Trùng"),"",IF(COUNTIF(ORDERS!$C$2:$C$4995,$D2882)&gt;0,"Có","Không"))</f>
        <v/>
      </c>
      <c r="W2882" s="22">
        <f>IF(OR($D2882="",$R2882="Trùng"),"",COUNTIFS(ORDERS!$C$2:$C$4995,$D2882,ORDERS!$L$2:$L$4995,"Đã chuyển khoản"))</f>
        <v/>
      </c>
      <c r="X2882" s="23">
        <f>IF(OR($D2882="",$R2882="Trùng"),"",SUMIFS(ORDERS!$J$2:$J$4995,ORDERS!$C$2:$C$4995,$D2882,ORDERS!$L$2:$L$4995,"Đã chuyển khoản"))</f>
        <v/>
      </c>
      <c r="Y2882" s="24" t="n"/>
    </row>
    <row r="2883" ht="14.25" customHeight="1" s="40">
      <c r="A2883" s="24" t="n"/>
      <c r="B2883" s="27" t="n"/>
      <c r="C2883" s="24" t="n"/>
      <c r="D2883" s="28" t="n"/>
      <c r="E2883" s="29" t="n"/>
      <c r="F2883" s="24" t="n"/>
      <c r="G2883" s="24" t="n"/>
      <c r="H2883" s="21">
        <f>IF(ISNUMBER($B2883),INT($B2883)-WEEKDAY($B2883,2)+1,"")</f>
        <v/>
      </c>
      <c r="I2883" s="24" t="n"/>
      <c r="J2883" s="22">
        <f t="array" ref="J2883">IF($D2883="","",IF($I2883="","(trống REF)",IFERROR(INDEX(MASTER_SOURCE!$B$2:$B$495,MATCH($I2883,MASTER_SOURCE!$A$2:$A$495,0)),"(REF không có trong MASTER_SOURCE)")))</f>
        <v/>
      </c>
      <c r="K2883" s="22">
        <f t="array" ref="K2883">IF($D2883="","",IFERROR(INDEX(MASTER_SOURCE!$C$2:$C$495,MATCH($I2883,MASTER_SOURCE!$A$2:$A$495,0)),""))</f>
        <v/>
      </c>
      <c r="L2883" s="22">
        <f t="array" ref="L2883">IF($D2883="","",IFERROR(INDEX(MASTER_SOURCE!$D$2:$D$495,MATCH($I2883,MASTER_SOURCE!$A$2:$A$495,0)),""))</f>
        <v/>
      </c>
      <c r="M2883" s="24" t="n"/>
      <c r="N2883" s="24" t="n"/>
      <c r="O2883" s="24" t="n"/>
      <c r="P2883" s="24" t="n"/>
      <c r="Q2883" s="22">
        <f>IF($D2883="","",IF(AND(OR(DANH_MUC!$L$5&lt;&gt;"Có",M2883="Có"),OR(DANH_MUC!$L$6&lt;&gt;"Có",N2883="Có"),OR(DANH_MUC!$L$7&lt;&gt;"Có",O2883="Có"),OR(DANH_MUC!$L$8&lt;&gt;"Có",P2883="Có")),"Có","Không"))</f>
        <v/>
      </c>
      <c r="R2883" s="22">
        <f>IF($D2883="","",IF(COUNTIF($D$2:$D2883,$D2883)&gt;1,"Trùng",""))</f>
        <v/>
      </c>
      <c r="S2883" s="22">
        <f>IF($D2883="","",IF(AND(LEN($D2883)=10,LEFT($D2883,1)="0",ISNUMBER(--$D2883)),"Có","Không"))</f>
        <v/>
      </c>
      <c r="T2883" s="22">
        <f>IF($D2883="","",IF(AND($C2883&lt;&gt;"",$Q2883="Có",$R2883="",$S2883="Có",AND($L2883&lt;&gt;"",OR($L2883&lt;&gt;"Chưa xác định",DANH_MUC!$L$9="Có"))),"Có","Không"))</f>
        <v/>
      </c>
      <c r="U2883" s="22">
        <f>IF(OR($D2883="",$T2883="Có"),"",IF($C2883="","Thiếu họ tên; ","")&amp;IF($S2883&lt;&gt;"Có","SĐT sai định dạng; ","")&amp;IF($R2883="Trùng","Trùng SĐT; ","")&amp;IF($Q2883&lt;&gt;"Có","Thiếu đồng ý bắt buộc; ","")&amp;IF($L2883="","Thiếu/sai Mã REF; ",IF(AND($L2883="Chưa xác định",DANH_MUC!$L$9&lt;&gt;"Có"),"Nguồn chưa xác định; ","")))</f>
        <v/>
      </c>
      <c r="V2883" s="22">
        <f>IF(OR($D2883="",$R2883="Trùng"),"",IF(COUNTIF(ORDERS!$C$2:$C$4995,$D2883)&gt;0,"Có","Không"))</f>
        <v/>
      </c>
      <c r="W2883" s="22">
        <f>IF(OR($D2883="",$R2883="Trùng"),"",COUNTIFS(ORDERS!$C$2:$C$4995,$D2883,ORDERS!$L$2:$L$4995,"Đã chuyển khoản"))</f>
        <v/>
      </c>
      <c r="X2883" s="23">
        <f>IF(OR($D2883="",$R2883="Trùng"),"",SUMIFS(ORDERS!$J$2:$J$4995,ORDERS!$C$2:$C$4995,$D2883,ORDERS!$L$2:$L$4995,"Đã chuyển khoản"))</f>
        <v/>
      </c>
      <c r="Y2883" s="24" t="n"/>
    </row>
    <row r="2884" ht="14.25" customHeight="1" s="40">
      <c r="A2884" s="24" t="n"/>
      <c r="B2884" s="27" t="n"/>
      <c r="C2884" s="24" t="n"/>
      <c r="D2884" s="28" t="n"/>
      <c r="E2884" s="29" t="n"/>
      <c r="F2884" s="24" t="n"/>
      <c r="G2884" s="24" t="n"/>
      <c r="H2884" s="21">
        <f>IF(ISNUMBER($B2884),INT($B2884)-WEEKDAY($B2884,2)+1,"")</f>
        <v/>
      </c>
      <c r="I2884" s="24" t="n"/>
      <c r="J2884" s="22">
        <f t="array" ref="J2884">IF($D2884="","",IF($I2884="","(trống REF)",IFERROR(INDEX(MASTER_SOURCE!$B$2:$B$495,MATCH($I2884,MASTER_SOURCE!$A$2:$A$495,0)),"(REF không có trong MASTER_SOURCE)")))</f>
        <v/>
      </c>
      <c r="K2884" s="22">
        <f t="array" ref="K2884">IF($D2884="","",IFERROR(INDEX(MASTER_SOURCE!$C$2:$C$495,MATCH($I2884,MASTER_SOURCE!$A$2:$A$495,0)),""))</f>
        <v/>
      </c>
      <c r="L2884" s="22">
        <f t="array" ref="L2884">IF($D2884="","",IFERROR(INDEX(MASTER_SOURCE!$D$2:$D$495,MATCH($I2884,MASTER_SOURCE!$A$2:$A$495,0)),""))</f>
        <v/>
      </c>
      <c r="M2884" s="24" t="n"/>
      <c r="N2884" s="24" t="n"/>
      <c r="O2884" s="24" t="n"/>
      <c r="P2884" s="24" t="n"/>
      <c r="Q2884" s="22">
        <f>IF($D2884="","",IF(AND(OR(DANH_MUC!$L$5&lt;&gt;"Có",M2884="Có"),OR(DANH_MUC!$L$6&lt;&gt;"Có",N2884="Có"),OR(DANH_MUC!$L$7&lt;&gt;"Có",O2884="Có"),OR(DANH_MUC!$L$8&lt;&gt;"Có",P2884="Có")),"Có","Không"))</f>
        <v/>
      </c>
      <c r="R2884" s="22">
        <f>IF($D2884="","",IF(COUNTIF($D$2:$D2884,$D2884)&gt;1,"Trùng",""))</f>
        <v/>
      </c>
      <c r="S2884" s="22">
        <f>IF($D2884="","",IF(AND(LEN($D2884)=10,LEFT($D2884,1)="0",ISNUMBER(--$D2884)),"Có","Không"))</f>
        <v/>
      </c>
      <c r="T2884" s="22">
        <f>IF($D2884="","",IF(AND($C2884&lt;&gt;"",$Q2884="Có",$R2884="",$S2884="Có",AND($L2884&lt;&gt;"",OR($L2884&lt;&gt;"Chưa xác định",DANH_MUC!$L$9="Có"))),"Có","Không"))</f>
        <v/>
      </c>
      <c r="U2884" s="22">
        <f>IF(OR($D2884="",$T2884="Có"),"",IF($C2884="","Thiếu họ tên; ","")&amp;IF($S2884&lt;&gt;"Có","SĐT sai định dạng; ","")&amp;IF($R2884="Trùng","Trùng SĐT; ","")&amp;IF($Q2884&lt;&gt;"Có","Thiếu đồng ý bắt buộc; ","")&amp;IF($L2884="","Thiếu/sai Mã REF; ",IF(AND($L2884="Chưa xác định",DANH_MUC!$L$9&lt;&gt;"Có"),"Nguồn chưa xác định; ","")))</f>
        <v/>
      </c>
      <c r="V2884" s="22">
        <f>IF(OR($D2884="",$R2884="Trùng"),"",IF(COUNTIF(ORDERS!$C$2:$C$4995,$D2884)&gt;0,"Có","Không"))</f>
        <v/>
      </c>
      <c r="W2884" s="22">
        <f>IF(OR($D2884="",$R2884="Trùng"),"",COUNTIFS(ORDERS!$C$2:$C$4995,$D2884,ORDERS!$L$2:$L$4995,"Đã chuyển khoản"))</f>
        <v/>
      </c>
      <c r="X2884" s="23">
        <f>IF(OR($D2884="",$R2884="Trùng"),"",SUMIFS(ORDERS!$J$2:$J$4995,ORDERS!$C$2:$C$4995,$D2884,ORDERS!$L$2:$L$4995,"Đã chuyển khoản"))</f>
        <v/>
      </c>
      <c r="Y2884" s="24" t="n"/>
    </row>
    <row r="2885" ht="14.25" customHeight="1" s="40">
      <c r="A2885" s="24" t="n"/>
      <c r="B2885" s="27" t="n"/>
      <c r="C2885" s="24" t="n"/>
      <c r="D2885" s="28" t="n"/>
      <c r="E2885" s="29" t="n"/>
      <c r="F2885" s="24" t="n"/>
      <c r="G2885" s="24" t="n"/>
      <c r="H2885" s="21">
        <f>IF(ISNUMBER($B2885),INT($B2885)-WEEKDAY($B2885,2)+1,"")</f>
        <v/>
      </c>
      <c r="I2885" s="24" t="n"/>
      <c r="J2885" s="22">
        <f t="array" ref="J2885">IF($D2885="","",IF($I2885="","(trống REF)",IFERROR(INDEX(MASTER_SOURCE!$B$2:$B$495,MATCH($I2885,MASTER_SOURCE!$A$2:$A$495,0)),"(REF không có trong MASTER_SOURCE)")))</f>
        <v/>
      </c>
      <c r="K2885" s="22">
        <f t="array" ref="K2885">IF($D2885="","",IFERROR(INDEX(MASTER_SOURCE!$C$2:$C$495,MATCH($I2885,MASTER_SOURCE!$A$2:$A$495,0)),""))</f>
        <v/>
      </c>
      <c r="L2885" s="22">
        <f t="array" ref="L2885">IF($D2885="","",IFERROR(INDEX(MASTER_SOURCE!$D$2:$D$495,MATCH($I2885,MASTER_SOURCE!$A$2:$A$495,0)),""))</f>
        <v/>
      </c>
      <c r="M2885" s="24" t="n"/>
      <c r="N2885" s="24" t="n"/>
      <c r="O2885" s="24" t="n"/>
      <c r="P2885" s="24" t="n"/>
      <c r="Q2885" s="22">
        <f>IF($D2885="","",IF(AND(OR(DANH_MUC!$L$5&lt;&gt;"Có",M2885="Có"),OR(DANH_MUC!$L$6&lt;&gt;"Có",N2885="Có"),OR(DANH_MUC!$L$7&lt;&gt;"Có",O2885="Có"),OR(DANH_MUC!$L$8&lt;&gt;"Có",P2885="Có")),"Có","Không"))</f>
        <v/>
      </c>
      <c r="R2885" s="22">
        <f>IF($D2885="","",IF(COUNTIF($D$2:$D2885,$D2885)&gt;1,"Trùng",""))</f>
        <v/>
      </c>
      <c r="S2885" s="22">
        <f>IF($D2885="","",IF(AND(LEN($D2885)=10,LEFT($D2885,1)="0",ISNUMBER(--$D2885)),"Có","Không"))</f>
        <v/>
      </c>
      <c r="T2885" s="22">
        <f>IF($D2885="","",IF(AND($C2885&lt;&gt;"",$Q2885="Có",$R2885="",$S2885="Có",AND($L2885&lt;&gt;"",OR($L2885&lt;&gt;"Chưa xác định",DANH_MUC!$L$9="Có"))),"Có","Không"))</f>
        <v/>
      </c>
      <c r="U2885" s="22">
        <f>IF(OR($D2885="",$T2885="Có"),"",IF($C2885="","Thiếu họ tên; ","")&amp;IF($S2885&lt;&gt;"Có","SĐT sai định dạng; ","")&amp;IF($R2885="Trùng","Trùng SĐT; ","")&amp;IF($Q2885&lt;&gt;"Có","Thiếu đồng ý bắt buộc; ","")&amp;IF($L2885="","Thiếu/sai Mã REF; ",IF(AND($L2885="Chưa xác định",DANH_MUC!$L$9&lt;&gt;"Có"),"Nguồn chưa xác định; ","")))</f>
        <v/>
      </c>
      <c r="V2885" s="22">
        <f>IF(OR($D2885="",$R2885="Trùng"),"",IF(COUNTIF(ORDERS!$C$2:$C$4995,$D2885)&gt;0,"Có","Không"))</f>
        <v/>
      </c>
      <c r="W2885" s="22">
        <f>IF(OR($D2885="",$R2885="Trùng"),"",COUNTIFS(ORDERS!$C$2:$C$4995,$D2885,ORDERS!$L$2:$L$4995,"Đã chuyển khoản"))</f>
        <v/>
      </c>
      <c r="X2885" s="23">
        <f>IF(OR($D2885="",$R2885="Trùng"),"",SUMIFS(ORDERS!$J$2:$J$4995,ORDERS!$C$2:$C$4995,$D2885,ORDERS!$L$2:$L$4995,"Đã chuyển khoản"))</f>
        <v/>
      </c>
      <c r="Y2885" s="24" t="n"/>
    </row>
    <row r="2886" ht="14.25" customHeight="1" s="40">
      <c r="A2886" s="24" t="n"/>
      <c r="B2886" s="27" t="n"/>
      <c r="C2886" s="24" t="n"/>
      <c r="D2886" s="28" t="n"/>
      <c r="E2886" s="29" t="n"/>
      <c r="F2886" s="24" t="n"/>
      <c r="G2886" s="24" t="n"/>
      <c r="H2886" s="21">
        <f>IF(ISNUMBER($B2886),INT($B2886)-WEEKDAY($B2886,2)+1,"")</f>
        <v/>
      </c>
      <c r="I2886" s="24" t="n"/>
      <c r="J2886" s="22">
        <f t="array" ref="J2886">IF($D2886="","",IF($I2886="","(trống REF)",IFERROR(INDEX(MASTER_SOURCE!$B$2:$B$495,MATCH($I2886,MASTER_SOURCE!$A$2:$A$495,0)),"(REF không có trong MASTER_SOURCE)")))</f>
        <v/>
      </c>
      <c r="K2886" s="22">
        <f t="array" ref="K2886">IF($D2886="","",IFERROR(INDEX(MASTER_SOURCE!$C$2:$C$495,MATCH($I2886,MASTER_SOURCE!$A$2:$A$495,0)),""))</f>
        <v/>
      </c>
      <c r="L2886" s="22">
        <f t="array" ref="L2886">IF($D2886="","",IFERROR(INDEX(MASTER_SOURCE!$D$2:$D$495,MATCH($I2886,MASTER_SOURCE!$A$2:$A$495,0)),""))</f>
        <v/>
      </c>
      <c r="M2886" s="24" t="n"/>
      <c r="N2886" s="24" t="n"/>
      <c r="O2886" s="24" t="n"/>
      <c r="P2886" s="24" t="n"/>
      <c r="Q2886" s="22">
        <f>IF($D2886="","",IF(AND(OR(DANH_MUC!$L$5&lt;&gt;"Có",M2886="Có"),OR(DANH_MUC!$L$6&lt;&gt;"Có",N2886="Có"),OR(DANH_MUC!$L$7&lt;&gt;"Có",O2886="Có"),OR(DANH_MUC!$L$8&lt;&gt;"Có",P2886="Có")),"Có","Không"))</f>
        <v/>
      </c>
      <c r="R2886" s="22">
        <f>IF($D2886="","",IF(COUNTIF($D$2:$D2886,$D2886)&gt;1,"Trùng",""))</f>
        <v/>
      </c>
      <c r="S2886" s="22">
        <f>IF($D2886="","",IF(AND(LEN($D2886)=10,LEFT($D2886,1)="0",ISNUMBER(--$D2886)),"Có","Không"))</f>
        <v/>
      </c>
      <c r="T2886" s="22">
        <f>IF($D2886="","",IF(AND($C2886&lt;&gt;"",$Q2886="Có",$R2886="",$S2886="Có",AND($L2886&lt;&gt;"",OR($L2886&lt;&gt;"Chưa xác định",DANH_MUC!$L$9="Có"))),"Có","Không"))</f>
        <v/>
      </c>
      <c r="U2886" s="22">
        <f>IF(OR($D2886="",$T2886="Có"),"",IF($C2886="","Thiếu họ tên; ","")&amp;IF($S2886&lt;&gt;"Có","SĐT sai định dạng; ","")&amp;IF($R2886="Trùng","Trùng SĐT; ","")&amp;IF($Q2886&lt;&gt;"Có","Thiếu đồng ý bắt buộc; ","")&amp;IF($L2886="","Thiếu/sai Mã REF; ",IF(AND($L2886="Chưa xác định",DANH_MUC!$L$9&lt;&gt;"Có"),"Nguồn chưa xác định; ","")))</f>
        <v/>
      </c>
      <c r="V2886" s="22">
        <f>IF(OR($D2886="",$R2886="Trùng"),"",IF(COUNTIF(ORDERS!$C$2:$C$4995,$D2886)&gt;0,"Có","Không"))</f>
        <v/>
      </c>
      <c r="W2886" s="22">
        <f>IF(OR($D2886="",$R2886="Trùng"),"",COUNTIFS(ORDERS!$C$2:$C$4995,$D2886,ORDERS!$L$2:$L$4995,"Đã chuyển khoản"))</f>
        <v/>
      </c>
      <c r="X2886" s="23">
        <f>IF(OR($D2886="",$R2886="Trùng"),"",SUMIFS(ORDERS!$J$2:$J$4995,ORDERS!$C$2:$C$4995,$D2886,ORDERS!$L$2:$L$4995,"Đã chuyển khoản"))</f>
        <v/>
      </c>
      <c r="Y2886" s="24" t="n"/>
    </row>
    <row r="2887" ht="14.25" customHeight="1" s="40">
      <c r="A2887" s="24" t="n"/>
      <c r="B2887" s="27" t="n"/>
      <c r="C2887" s="24" t="n"/>
      <c r="D2887" s="28" t="n"/>
      <c r="E2887" s="29" t="n"/>
      <c r="F2887" s="24" t="n"/>
      <c r="G2887" s="24" t="n"/>
      <c r="H2887" s="21">
        <f>IF(ISNUMBER($B2887),INT($B2887)-WEEKDAY($B2887,2)+1,"")</f>
        <v/>
      </c>
      <c r="I2887" s="24" t="n"/>
      <c r="J2887" s="22">
        <f t="array" ref="J2887">IF($D2887="","",IF($I2887="","(trống REF)",IFERROR(INDEX(MASTER_SOURCE!$B$2:$B$495,MATCH($I2887,MASTER_SOURCE!$A$2:$A$495,0)),"(REF không có trong MASTER_SOURCE)")))</f>
        <v/>
      </c>
      <c r="K2887" s="22">
        <f t="array" ref="K2887">IF($D2887="","",IFERROR(INDEX(MASTER_SOURCE!$C$2:$C$495,MATCH($I2887,MASTER_SOURCE!$A$2:$A$495,0)),""))</f>
        <v/>
      </c>
      <c r="L2887" s="22">
        <f t="array" ref="L2887">IF($D2887="","",IFERROR(INDEX(MASTER_SOURCE!$D$2:$D$495,MATCH($I2887,MASTER_SOURCE!$A$2:$A$495,0)),""))</f>
        <v/>
      </c>
      <c r="M2887" s="24" t="n"/>
      <c r="N2887" s="24" t="n"/>
      <c r="O2887" s="24" t="n"/>
      <c r="P2887" s="24" t="n"/>
      <c r="Q2887" s="22">
        <f>IF($D2887="","",IF(AND(OR(DANH_MUC!$L$5&lt;&gt;"Có",M2887="Có"),OR(DANH_MUC!$L$6&lt;&gt;"Có",N2887="Có"),OR(DANH_MUC!$L$7&lt;&gt;"Có",O2887="Có"),OR(DANH_MUC!$L$8&lt;&gt;"Có",P2887="Có")),"Có","Không"))</f>
        <v/>
      </c>
      <c r="R2887" s="22">
        <f>IF($D2887="","",IF(COUNTIF($D$2:$D2887,$D2887)&gt;1,"Trùng",""))</f>
        <v/>
      </c>
      <c r="S2887" s="22">
        <f>IF($D2887="","",IF(AND(LEN($D2887)=10,LEFT($D2887,1)="0",ISNUMBER(--$D2887)),"Có","Không"))</f>
        <v/>
      </c>
      <c r="T2887" s="22">
        <f>IF($D2887="","",IF(AND($C2887&lt;&gt;"",$Q2887="Có",$R2887="",$S2887="Có",AND($L2887&lt;&gt;"",OR($L2887&lt;&gt;"Chưa xác định",DANH_MUC!$L$9="Có"))),"Có","Không"))</f>
        <v/>
      </c>
      <c r="U2887" s="22">
        <f>IF(OR($D2887="",$T2887="Có"),"",IF($C2887="","Thiếu họ tên; ","")&amp;IF($S2887&lt;&gt;"Có","SĐT sai định dạng; ","")&amp;IF($R2887="Trùng","Trùng SĐT; ","")&amp;IF($Q2887&lt;&gt;"Có","Thiếu đồng ý bắt buộc; ","")&amp;IF($L2887="","Thiếu/sai Mã REF; ",IF(AND($L2887="Chưa xác định",DANH_MUC!$L$9&lt;&gt;"Có"),"Nguồn chưa xác định; ","")))</f>
        <v/>
      </c>
      <c r="V2887" s="22">
        <f>IF(OR($D2887="",$R2887="Trùng"),"",IF(COUNTIF(ORDERS!$C$2:$C$4995,$D2887)&gt;0,"Có","Không"))</f>
        <v/>
      </c>
      <c r="W2887" s="22">
        <f>IF(OR($D2887="",$R2887="Trùng"),"",COUNTIFS(ORDERS!$C$2:$C$4995,$D2887,ORDERS!$L$2:$L$4995,"Đã chuyển khoản"))</f>
        <v/>
      </c>
      <c r="X2887" s="23">
        <f>IF(OR($D2887="",$R2887="Trùng"),"",SUMIFS(ORDERS!$J$2:$J$4995,ORDERS!$C$2:$C$4995,$D2887,ORDERS!$L$2:$L$4995,"Đã chuyển khoản"))</f>
        <v/>
      </c>
      <c r="Y2887" s="24" t="n"/>
    </row>
    <row r="2888" ht="14.25" customHeight="1" s="40">
      <c r="A2888" s="24" t="n"/>
      <c r="B2888" s="27" t="n"/>
      <c r="C2888" s="24" t="n"/>
      <c r="D2888" s="28" t="n"/>
      <c r="E2888" s="29" t="n"/>
      <c r="F2888" s="24" t="n"/>
      <c r="G2888" s="24" t="n"/>
      <c r="H2888" s="21">
        <f>IF(ISNUMBER($B2888),INT($B2888)-WEEKDAY($B2888,2)+1,"")</f>
        <v/>
      </c>
      <c r="I2888" s="24" t="n"/>
      <c r="J2888" s="22">
        <f t="array" ref="J2888">IF($D2888="","",IF($I2888="","(trống REF)",IFERROR(INDEX(MASTER_SOURCE!$B$2:$B$495,MATCH($I2888,MASTER_SOURCE!$A$2:$A$495,0)),"(REF không có trong MASTER_SOURCE)")))</f>
        <v/>
      </c>
      <c r="K2888" s="22">
        <f t="array" ref="K2888">IF($D2888="","",IFERROR(INDEX(MASTER_SOURCE!$C$2:$C$495,MATCH($I2888,MASTER_SOURCE!$A$2:$A$495,0)),""))</f>
        <v/>
      </c>
      <c r="L2888" s="22">
        <f t="array" ref="L2888">IF($D2888="","",IFERROR(INDEX(MASTER_SOURCE!$D$2:$D$495,MATCH($I2888,MASTER_SOURCE!$A$2:$A$495,0)),""))</f>
        <v/>
      </c>
      <c r="M2888" s="24" t="n"/>
      <c r="N2888" s="24" t="n"/>
      <c r="O2888" s="24" t="n"/>
      <c r="P2888" s="24" t="n"/>
      <c r="Q2888" s="22">
        <f>IF($D2888="","",IF(AND(OR(DANH_MUC!$L$5&lt;&gt;"Có",M2888="Có"),OR(DANH_MUC!$L$6&lt;&gt;"Có",N2888="Có"),OR(DANH_MUC!$L$7&lt;&gt;"Có",O2888="Có"),OR(DANH_MUC!$L$8&lt;&gt;"Có",P2888="Có")),"Có","Không"))</f>
        <v/>
      </c>
      <c r="R2888" s="22">
        <f>IF($D2888="","",IF(COUNTIF($D$2:$D2888,$D2888)&gt;1,"Trùng",""))</f>
        <v/>
      </c>
      <c r="S2888" s="22">
        <f>IF($D2888="","",IF(AND(LEN($D2888)=10,LEFT($D2888,1)="0",ISNUMBER(--$D2888)),"Có","Không"))</f>
        <v/>
      </c>
      <c r="T2888" s="22">
        <f>IF($D2888="","",IF(AND($C2888&lt;&gt;"",$Q2888="Có",$R2888="",$S2888="Có",AND($L2888&lt;&gt;"",OR($L2888&lt;&gt;"Chưa xác định",DANH_MUC!$L$9="Có"))),"Có","Không"))</f>
        <v/>
      </c>
      <c r="U2888" s="22">
        <f>IF(OR($D2888="",$T2888="Có"),"",IF($C2888="","Thiếu họ tên; ","")&amp;IF($S2888&lt;&gt;"Có","SĐT sai định dạng; ","")&amp;IF($R2888="Trùng","Trùng SĐT; ","")&amp;IF($Q2888&lt;&gt;"Có","Thiếu đồng ý bắt buộc; ","")&amp;IF($L2888="","Thiếu/sai Mã REF; ",IF(AND($L2888="Chưa xác định",DANH_MUC!$L$9&lt;&gt;"Có"),"Nguồn chưa xác định; ","")))</f>
        <v/>
      </c>
      <c r="V2888" s="22">
        <f>IF(OR($D2888="",$R2888="Trùng"),"",IF(COUNTIF(ORDERS!$C$2:$C$4995,$D2888)&gt;0,"Có","Không"))</f>
        <v/>
      </c>
      <c r="W2888" s="22">
        <f>IF(OR($D2888="",$R2888="Trùng"),"",COUNTIFS(ORDERS!$C$2:$C$4995,$D2888,ORDERS!$L$2:$L$4995,"Đã chuyển khoản"))</f>
        <v/>
      </c>
      <c r="X2888" s="23">
        <f>IF(OR($D2888="",$R2888="Trùng"),"",SUMIFS(ORDERS!$J$2:$J$4995,ORDERS!$C$2:$C$4995,$D2888,ORDERS!$L$2:$L$4995,"Đã chuyển khoản"))</f>
        <v/>
      </c>
      <c r="Y2888" s="24" t="n"/>
    </row>
    <row r="2889" ht="14.25" customHeight="1" s="40">
      <c r="A2889" s="24" t="n"/>
      <c r="B2889" s="27" t="n"/>
      <c r="C2889" s="24" t="n"/>
      <c r="D2889" s="28" t="n"/>
      <c r="E2889" s="29" t="n"/>
      <c r="F2889" s="24" t="n"/>
      <c r="G2889" s="24" t="n"/>
      <c r="H2889" s="21">
        <f>IF(ISNUMBER($B2889),INT($B2889)-WEEKDAY($B2889,2)+1,"")</f>
        <v/>
      </c>
      <c r="I2889" s="24" t="n"/>
      <c r="J2889" s="22">
        <f t="array" ref="J2889">IF($D2889="","",IF($I2889="","(trống REF)",IFERROR(INDEX(MASTER_SOURCE!$B$2:$B$495,MATCH($I2889,MASTER_SOURCE!$A$2:$A$495,0)),"(REF không có trong MASTER_SOURCE)")))</f>
        <v/>
      </c>
      <c r="K2889" s="22">
        <f t="array" ref="K2889">IF($D2889="","",IFERROR(INDEX(MASTER_SOURCE!$C$2:$C$495,MATCH($I2889,MASTER_SOURCE!$A$2:$A$495,0)),""))</f>
        <v/>
      </c>
      <c r="L2889" s="22">
        <f t="array" ref="L2889">IF($D2889="","",IFERROR(INDEX(MASTER_SOURCE!$D$2:$D$495,MATCH($I2889,MASTER_SOURCE!$A$2:$A$495,0)),""))</f>
        <v/>
      </c>
      <c r="M2889" s="24" t="n"/>
      <c r="N2889" s="24" t="n"/>
      <c r="O2889" s="24" t="n"/>
      <c r="P2889" s="24" t="n"/>
      <c r="Q2889" s="22">
        <f>IF($D2889="","",IF(AND(OR(DANH_MUC!$L$5&lt;&gt;"Có",M2889="Có"),OR(DANH_MUC!$L$6&lt;&gt;"Có",N2889="Có"),OR(DANH_MUC!$L$7&lt;&gt;"Có",O2889="Có"),OR(DANH_MUC!$L$8&lt;&gt;"Có",P2889="Có")),"Có","Không"))</f>
        <v/>
      </c>
      <c r="R2889" s="22">
        <f>IF($D2889="","",IF(COUNTIF($D$2:$D2889,$D2889)&gt;1,"Trùng",""))</f>
        <v/>
      </c>
      <c r="S2889" s="22">
        <f>IF($D2889="","",IF(AND(LEN($D2889)=10,LEFT($D2889,1)="0",ISNUMBER(--$D2889)),"Có","Không"))</f>
        <v/>
      </c>
      <c r="T2889" s="22">
        <f>IF($D2889="","",IF(AND($C2889&lt;&gt;"",$Q2889="Có",$R2889="",$S2889="Có",AND($L2889&lt;&gt;"",OR($L2889&lt;&gt;"Chưa xác định",DANH_MUC!$L$9="Có"))),"Có","Không"))</f>
        <v/>
      </c>
      <c r="U2889" s="22">
        <f>IF(OR($D2889="",$T2889="Có"),"",IF($C2889="","Thiếu họ tên; ","")&amp;IF($S2889&lt;&gt;"Có","SĐT sai định dạng; ","")&amp;IF($R2889="Trùng","Trùng SĐT; ","")&amp;IF($Q2889&lt;&gt;"Có","Thiếu đồng ý bắt buộc; ","")&amp;IF($L2889="","Thiếu/sai Mã REF; ",IF(AND($L2889="Chưa xác định",DANH_MUC!$L$9&lt;&gt;"Có"),"Nguồn chưa xác định; ","")))</f>
        <v/>
      </c>
      <c r="V2889" s="22">
        <f>IF(OR($D2889="",$R2889="Trùng"),"",IF(COUNTIF(ORDERS!$C$2:$C$4995,$D2889)&gt;0,"Có","Không"))</f>
        <v/>
      </c>
      <c r="W2889" s="22">
        <f>IF(OR($D2889="",$R2889="Trùng"),"",COUNTIFS(ORDERS!$C$2:$C$4995,$D2889,ORDERS!$L$2:$L$4995,"Đã chuyển khoản"))</f>
        <v/>
      </c>
      <c r="X2889" s="23">
        <f>IF(OR($D2889="",$R2889="Trùng"),"",SUMIFS(ORDERS!$J$2:$J$4995,ORDERS!$C$2:$C$4995,$D2889,ORDERS!$L$2:$L$4995,"Đã chuyển khoản"))</f>
        <v/>
      </c>
      <c r="Y2889" s="24" t="n"/>
    </row>
    <row r="2890" ht="14.25" customHeight="1" s="40">
      <c r="A2890" s="24" t="n"/>
      <c r="B2890" s="27" t="n"/>
      <c r="C2890" s="24" t="n"/>
      <c r="D2890" s="28" t="n"/>
      <c r="E2890" s="29" t="n"/>
      <c r="F2890" s="24" t="n"/>
      <c r="G2890" s="24" t="n"/>
      <c r="H2890" s="21">
        <f>IF(ISNUMBER($B2890),INT($B2890)-WEEKDAY($B2890,2)+1,"")</f>
        <v/>
      </c>
      <c r="I2890" s="24" t="n"/>
      <c r="J2890" s="22">
        <f t="array" ref="J2890">IF($D2890="","",IF($I2890="","(trống REF)",IFERROR(INDEX(MASTER_SOURCE!$B$2:$B$495,MATCH($I2890,MASTER_SOURCE!$A$2:$A$495,0)),"(REF không có trong MASTER_SOURCE)")))</f>
        <v/>
      </c>
      <c r="K2890" s="22">
        <f t="array" ref="K2890">IF($D2890="","",IFERROR(INDEX(MASTER_SOURCE!$C$2:$C$495,MATCH($I2890,MASTER_SOURCE!$A$2:$A$495,0)),""))</f>
        <v/>
      </c>
      <c r="L2890" s="22">
        <f t="array" ref="L2890">IF($D2890="","",IFERROR(INDEX(MASTER_SOURCE!$D$2:$D$495,MATCH($I2890,MASTER_SOURCE!$A$2:$A$495,0)),""))</f>
        <v/>
      </c>
      <c r="M2890" s="24" t="n"/>
      <c r="N2890" s="24" t="n"/>
      <c r="O2890" s="24" t="n"/>
      <c r="P2890" s="24" t="n"/>
      <c r="Q2890" s="22">
        <f>IF($D2890="","",IF(AND(OR(DANH_MUC!$L$5&lt;&gt;"Có",M2890="Có"),OR(DANH_MUC!$L$6&lt;&gt;"Có",N2890="Có"),OR(DANH_MUC!$L$7&lt;&gt;"Có",O2890="Có"),OR(DANH_MUC!$L$8&lt;&gt;"Có",P2890="Có")),"Có","Không"))</f>
        <v/>
      </c>
      <c r="R2890" s="22">
        <f>IF($D2890="","",IF(COUNTIF($D$2:$D2890,$D2890)&gt;1,"Trùng",""))</f>
        <v/>
      </c>
      <c r="S2890" s="22">
        <f>IF($D2890="","",IF(AND(LEN($D2890)=10,LEFT($D2890,1)="0",ISNUMBER(--$D2890)),"Có","Không"))</f>
        <v/>
      </c>
      <c r="T2890" s="22">
        <f>IF($D2890="","",IF(AND($C2890&lt;&gt;"",$Q2890="Có",$R2890="",$S2890="Có",AND($L2890&lt;&gt;"",OR($L2890&lt;&gt;"Chưa xác định",DANH_MUC!$L$9="Có"))),"Có","Không"))</f>
        <v/>
      </c>
      <c r="U2890" s="22">
        <f>IF(OR($D2890="",$T2890="Có"),"",IF($C2890="","Thiếu họ tên; ","")&amp;IF($S2890&lt;&gt;"Có","SĐT sai định dạng; ","")&amp;IF($R2890="Trùng","Trùng SĐT; ","")&amp;IF($Q2890&lt;&gt;"Có","Thiếu đồng ý bắt buộc; ","")&amp;IF($L2890="","Thiếu/sai Mã REF; ",IF(AND($L2890="Chưa xác định",DANH_MUC!$L$9&lt;&gt;"Có"),"Nguồn chưa xác định; ","")))</f>
        <v/>
      </c>
      <c r="V2890" s="22">
        <f>IF(OR($D2890="",$R2890="Trùng"),"",IF(COUNTIF(ORDERS!$C$2:$C$4995,$D2890)&gt;0,"Có","Không"))</f>
        <v/>
      </c>
      <c r="W2890" s="22">
        <f>IF(OR($D2890="",$R2890="Trùng"),"",COUNTIFS(ORDERS!$C$2:$C$4995,$D2890,ORDERS!$L$2:$L$4995,"Đã chuyển khoản"))</f>
        <v/>
      </c>
      <c r="X2890" s="23">
        <f>IF(OR($D2890="",$R2890="Trùng"),"",SUMIFS(ORDERS!$J$2:$J$4995,ORDERS!$C$2:$C$4995,$D2890,ORDERS!$L$2:$L$4995,"Đã chuyển khoản"))</f>
        <v/>
      </c>
      <c r="Y2890" s="24" t="n"/>
    </row>
    <row r="2891" ht="14.25" customHeight="1" s="40">
      <c r="A2891" s="24" t="n"/>
      <c r="B2891" s="27" t="n"/>
      <c r="C2891" s="24" t="n"/>
      <c r="D2891" s="28" t="n"/>
      <c r="E2891" s="29" t="n"/>
      <c r="F2891" s="24" t="n"/>
      <c r="G2891" s="24" t="n"/>
      <c r="H2891" s="21">
        <f>IF(ISNUMBER($B2891),INT($B2891)-WEEKDAY($B2891,2)+1,"")</f>
        <v/>
      </c>
      <c r="I2891" s="24" t="n"/>
      <c r="J2891" s="22">
        <f t="array" ref="J2891">IF($D2891="","",IF($I2891="","(trống REF)",IFERROR(INDEX(MASTER_SOURCE!$B$2:$B$495,MATCH($I2891,MASTER_SOURCE!$A$2:$A$495,0)),"(REF không có trong MASTER_SOURCE)")))</f>
        <v/>
      </c>
      <c r="K2891" s="22">
        <f t="array" ref="K2891">IF($D2891="","",IFERROR(INDEX(MASTER_SOURCE!$C$2:$C$495,MATCH($I2891,MASTER_SOURCE!$A$2:$A$495,0)),""))</f>
        <v/>
      </c>
      <c r="L2891" s="22">
        <f t="array" ref="L2891">IF($D2891="","",IFERROR(INDEX(MASTER_SOURCE!$D$2:$D$495,MATCH($I2891,MASTER_SOURCE!$A$2:$A$495,0)),""))</f>
        <v/>
      </c>
      <c r="M2891" s="24" t="n"/>
      <c r="N2891" s="24" t="n"/>
      <c r="O2891" s="24" t="n"/>
      <c r="P2891" s="24" t="n"/>
      <c r="Q2891" s="22">
        <f>IF($D2891="","",IF(AND(OR(DANH_MUC!$L$5&lt;&gt;"Có",M2891="Có"),OR(DANH_MUC!$L$6&lt;&gt;"Có",N2891="Có"),OR(DANH_MUC!$L$7&lt;&gt;"Có",O2891="Có"),OR(DANH_MUC!$L$8&lt;&gt;"Có",P2891="Có")),"Có","Không"))</f>
        <v/>
      </c>
      <c r="R2891" s="22">
        <f>IF($D2891="","",IF(COUNTIF($D$2:$D2891,$D2891)&gt;1,"Trùng",""))</f>
        <v/>
      </c>
      <c r="S2891" s="22">
        <f>IF($D2891="","",IF(AND(LEN($D2891)=10,LEFT($D2891,1)="0",ISNUMBER(--$D2891)),"Có","Không"))</f>
        <v/>
      </c>
      <c r="T2891" s="22">
        <f>IF($D2891="","",IF(AND($C2891&lt;&gt;"",$Q2891="Có",$R2891="",$S2891="Có",AND($L2891&lt;&gt;"",OR($L2891&lt;&gt;"Chưa xác định",DANH_MUC!$L$9="Có"))),"Có","Không"))</f>
        <v/>
      </c>
      <c r="U2891" s="22">
        <f>IF(OR($D2891="",$T2891="Có"),"",IF($C2891="","Thiếu họ tên; ","")&amp;IF($S2891&lt;&gt;"Có","SĐT sai định dạng; ","")&amp;IF($R2891="Trùng","Trùng SĐT; ","")&amp;IF($Q2891&lt;&gt;"Có","Thiếu đồng ý bắt buộc; ","")&amp;IF($L2891="","Thiếu/sai Mã REF; ",IF(AND($L2891="Chưa xác định",DANH_MUC!$L$9&lt;&gt;"Có"),"Nguồn chưa xác định; ","")))</f>
        <v/>
      </c>
      <c r="V2891" s="22">
        <f>IF(OR($D2891="",$R2891="Trùng"),"",IF(COUNTIF(ORDERS!$C$2:$C$4995,$D2891)&gt;0,"Có","Không"))</f>
        <v/>
      </c>
      <c r="W2891" s="22">
        <f>IF(OR($D2891="",$R2891="Trùng"),"",COUNTIFS(ORDERS!$C$2:$C$4995,$D2891,ORDERS!$L$2:$L$4995,"Đã chuyển khoản"))</f>
        <v/>
      </c>
      <c r="X2891" s="23">
        <f>IF(OR($D2891="",$R2891="Trùng"),"",SUMIFS(ORDERS!$J$2:$J$4995,ORDERS!$C$2:$C$4995,$D2891,ORDERS!$L$2:$L$4995,"Đã chuyển khoản"))</f>
        <v/>
      </c>
      <c r="Y2891" s="24" t="n"/>
    </row>
    <row r="2892" ht="14.25" customHeight="1" s="40">
      <c r="A2892" s="24" t="n"/>
      <c r="B2892" s="27" t="n"/>
      <c r="C2892" s="24" t="n"/>
      <c r="D2892" s="28" t="n"/>
      <c r="E2892" s="29" t="n"/>
      <c r="F2892" s="24" t="n"/>
      <c r="G2892" s="24" t="n"/>
      <c r="H2892" s="21">
        <f>IF(ISNUMBER($B2892),INT($B2892)-WEEKDAY($B2892,2)+1,"")</f>
        <v/>
      </c>
      <c r="I2892" s="24" t="n"/>
      <c r="J2892" s="22">
        <f t="array" ref="J2892">IF($D2892="","",IF($I2892="","(trống REF)",IFERROR(INDEX(MASTER_SOURCE!$B$2:$B$495,MATCH($I2892,MASTER_SOURCE!$A$2:$A$495,0)),"(REF không có trong MASTER_SOURCE)")))</f>
        <v/>
      </c>
      <c r="K2892" s="22">
        <f t="array" ref="K2892">IF($D2892="","",IFERROR(INDEX(MASTER_SOURCE!$C$2:$C$495,MATCH($I2892,MASTER_SOURCE!$A$2:$A$495,0)),""))</f>
        <v/>
      </c>
      <c r="L2892" s="22">
        <f t="array" ref="L2892">IF($D2892="","",IFERROR(INDEX(MASTER_SOURCE!$D$2:$D$495,MATCH($I2892,MASTER_SOURCE!$A$2:$A$495,0)),""))</f>
        <v/>
      </c>
      <c r="M2892" s="24" t="n"/>
      <c r="N2892" s="24" t="n"/>
      <c r="O2892" s="24" t="n"/>
      <c r="P2892" s="24" t="n"/>
      <c r="Q2892" s="22">
        <f>IF($D2892="","",IF(AND(OR(DANH_MUC!$L$5&lt;&gt;"Có",M2892="Có"),OR(DANH_MUC!$L$6&lt;&gt;"Có",N2892="Có"),OR(DANH_MUC!$L$7&lt;&gt;"Có",O2892="Có"),OR(DANH_MUC!$L$8&lt;&gt;"Có",P2892="Có")),"Có","Không"))</f>
        <v/>
      </c>
      <c r="R2892" s="22">
        <f>IF($D2892="","",IF(COUNTIF($D$2:$D2892,$D2892)&gt;1,"Trùng",""))</f>
        <v/>
      </c>
      <c r="S2892" s="22">
        <f>IF($D2892="","",IF(AND(LEN($D2892)=10,LEFT($D2892,1)="0",ISNUMBER(--$D2892)),"Có","Không"))</f>
        <v/>
      </c>
      <c r="T2892" s="22">
        <f>IF($D2892="","",IF(AND($C2892&lt;&gt;"",$Q2892="Có",$R2892="",$S2892="Có",AND($L2892&lt;&gt;"",OR($L2892&lt;&gt;"Chưa xác định",DANH_MUC!$L$9="Có"))),"Có","Không"))</f>
        <v/>
      </c>
      <c r="U2892" s="22">
        <f>IF(OR($D2892="",$T2892="Có"),"",IF($C2892="","Thiếu họ tên; ","")&amp;IF($S2892&lt;&gt;"Có","SĐT sai định dạng; ","")&amp;IF($R2892="Trùng","Trùng SĐT; ","")&amp;IF($Q2892&lt;&gt;"Có","Thiếu đồng ý bắt buộc; ","")&amp;IF($L2892="","Thiếu/sai Mã REF; ",IF(AND($L2892="Chưa xác định",DANH_MUC!$L$9&lt;&gt;"Có"),"Nguồn chưa xác định; ","")))</f>
        <v/>
      </c>
      <c r="V2892" s="22">
        <f>IF(OR($D2892="",$R2892="Trùng"),"",IF(COUNTIF(ORDERS!$C$2:$C$4995,$D2892)&gt;0,"Có","Không"))</f>
        <v/>
      </c>
      <c r="W2892" s="22">
        <f>IF(OR($D2892="",$R2892="Trùng"),"",COUNTIFS(ORDERS!$C$2:$C$4995,$D2892,ORDERS!$L$2:$L$4995,"Đã chuyển khoản"))</f>
        <v/>
      </c>
      <c r="X2892" s="23">
        <f>IF(OR($D2892="",$R2892="Trùng"),"",SUMIFS(ORDERS!$J$2:$J$4995,ORDERS!$C$2:$C$4995,$D2892,ORDERS!$L$2:$L$4995,"Đã chuyển khoản"))</f>
        <v/>
      </c>
      <c r="Y2892" s="24" t="n"/>
    </row>
    <row r="2893" ht="14.25" customHeight="1" s="40">
      <c r="A2893" s="24" t="n"/>
      <c r="B2893" s="27" t="n"/>
      <c r="C2893" s="24" t="n"/>
      <c r="D2893" s="28" t="n"/>
      <c r="E2893" s="29" t="n"/>
      <c r="F2893" s="24" t="n"/>
      <c r="G2893" s="24" t="n"/>
      <c r="H2893" s="21">
        <f>IF(ISNUMBER($B2893),INT($B2893)-WEEKDAY($B2893,2)+1,"")</f>
        <v/>
      </c>
      <c r="I2893" s="24" t="n"/>
      <c r="J2893" s="22">
        <f t="array" ref="J2893">IF($D2893="","",IF($I2893="","(trống REF)",IFERROR(INDEX(MASTER_SOURCE!$B$2:$B$495,MATCH($I2893,MASTER_SOURCE!$A$2:$A$495,0)),"(REF không có trong MASTER_SOURCE)")))</f>
        <v/>
      </c>
      <c r="K2893" s="22">
        <f t="array" ref="K2893">IF($D2893="","",IFERROR(INDEX(MASTER_SOURCE!$C$2:$C$495,MATCH($I2893,MASTER_SOURCE!$A$2:$A$495,0)),""))</f>
        <v/>
      </c>
      <c r="L2893" s="22">
        <f t="array" ref="L2893">IF($D2893="","",IFERROR(INDEX(MASTER_SOURCE!$D$2:$D$495,MATCH($I2893,MASTER_SOURCE!$A$2:$A$495,0)),""))</f>
        <v/>
      </c>
      <c r="M2893" s="24" t="n"/>
      <c r="N2893" s="24" t="n"/>
      <c r="O2893" s="24" t="n"/>
      <c r="P2893" s="24" t="n"/>
      <c r="Q2893" s="22">
        <f>IF($D2893="","",IF(AND(OR(DANH_MUC!$L$5&lt;&gt;"Có",M2893="Có"),OR(DANH_MUC!$L$6&lt;&gt;"Có",N2893="Có"),OR(DANH_MUC!$L$7&lt;&gt;"Có",O2893="Có"),OR(DANH_MUC!$L$8&lt;&gt;"Có",P2893="Có")),"Có","Không"))</f>
        <v/>
      </c>
      <c r="R2893" s="22">
        <f>IF($D2893="","",IF(COUNTIF($D$2:$D2893,$D2893)&gt;1,"Trùng",""))</f>
        <v/>
      </c>
      <c r="S2893" s="22">
        <f>IF($D2893="","",IF(AND(LEN($D2893)=10,LEFT($D2893,1)="0",ISNUMBER(--$D2893)),"Có","Không"))</f>
        <v/>
      </c>
      <c r="T2893" s="22">
        <f>IF($D2893="","",IF(AND($C2893&lt;&gt;"",$Q2893="Có",$R2893="",$S2893="Có",AND($L2893&lt;&gt;"",OR($L2893&lt;&gt;"Chưa xác định",DANH_MUC!$L$9="Có"))),"Có","Không"))</f>
        <v/>
      </c>
      <c r="U2893" s="22">
        <f>IF(OR($D2893="",$T2893="Có"),"",IF($C2893="","Thiếu họ tên; ","")&amp;IF($S2893&lt;&gt;"Có","SĐT sai định dạng; ","")&amp;IF($R2893="Trùng","Trùng SĐT; ","")&amp;IF($Q2893&lt;&gt;"Có","Thiếu đồng ý bắt buộc; ","")&amp;IF($L2893="","Thiếu/sai Mã REF; ",IF(AND($L2893="Chưa xác định",DANH_MUC!$L$9&lt;&gt;"Có"),"Nguồn chưa xác định; ","")))</f>
        <v/>
      </c>
      <c r="V2893" s="22">
        <f>IF(OR($D2893="",$R2893="Trùng"),"",IF(COUNTIF(ORDERS!$C$2:$C$4995,$D2893)&gt;0,"Có","Không"))</f>
        <v/>
      </c>
      <c r="W2893" s="22">
        <f>IF(OR($D2893="",$R2893="Trùng"),"",COUNTIFS(ORDERS!$C$2:$C$4995,$D2893,ORDERS!$L$2:$L$4995,"Đã chuyển khoản"))</f>
        <v/>
      </c>
      <c r="X2893" s="23">
        <f>IF(OR($D2893="",$R2893="Trùng"),"",SUMIFS(ORDERS!$J$2:$J$4995,ORDERS!$C$2:$C$4995,$D2893,ORDERS!$L$2:$L$4995,"Đã chuyển khoản"))</f>
        <v/>
      </c>
      <c r="Y2893" s="24" t="n"/>
    </row>
    <row r="2894" ht="14.25" customHeight="1" s="40">
      <c r="A2894" s="24" t="n"/>
      <c r="B2894" s="27" t="n"/>
      <c r="C2894" s="24" t="n"/>
      <c r="D2894" s="28" t="n"/>
      <c r="E2894" s="29" t="n"/>
      <c r="F2894" s="24" t="n"/>
      <c r="G2894" s="24" t="n"/>
      <c r="H2894" s="21">
        <f>IF(ISNUMBER($B2894),INT($B2894)-WEEKDAY($B2894,2)+1,"")</f>
        <v/>
      </c>
      <c r="I2894" s="24" t="n"/>
      <c r="J2894" s="22">
        <f t="array" ref="J2894">IF($D2894="","",IF($I2894="","(trống REF)",IFERROR(INDEX(MASTER_SOURCE!$B$2:$B$495,MATCH($I2894,MASTER_SOURCE!$A$2:$A$495,0)),"(REF không có trong MASTER_SOURCE)")))</f>
        <v/>
      </c>
      <c r="K2894" s="22">
        <f t="array" ref="K2894">IF($D2894="","",IFERROR(INDEX(MASTER_SOURCE!$C$2:$C$495,MATCH($I2894,MASTER_SOURCE!$A$2:$A$495,0)),""))</f>
        <v/>
      </c>
      <c r="L2894" s="22">
        <f t="array" ref="L2894">IF($D2894="","",IFERROR(INDEX(MASTER_SOURCE!$D$2:$D$495,MATCH($I2894,MASTER_SOURCE!$A$2:$A$495,0)),""))</f>
        <v/>
      </c>
      <c r="M2894" s="24" t="n"/>
      <c r="N2894" s="24" t="n"/>
      <c r="O2894" s="24" t="n"/>
      <c r="P2894" s="24" t="n"/>
      <c r="Q2894" s="22">
        <f>IF($D2894="","",IF(AND(OR(DANH_MUC!$L$5&lt;&gt;"Có",M2894="Có"),OR(DANH_MUC!$L$6&lt;&gt;"Có",N2894="Có"),OR(DANH_MUC!$L$7&lt;&gt;"Có",O2894="Có"),OR(DANH_MUC!$L$8&lt;&gt;"Có",P2894="Có")),"Có","Không"))</f>
        <v/>
      </c>
      <c r="R2894" s="22">
        <f>IF($D2894="","",IF(COUNTIF($D$2:$D2894,$D2894)&gt;1,"Trùng",""))</f>
        <v/>
      </c>
      <c r="S2894" s="22">
        <f>IF($D2894="","",IF(AND(LEN($D2894)=10,LEFT($D2894,1)="0",ISNUMBER(--$D2894)),"Có","Không"))</f>
        <v/>
      </c>
      <c r="T2894" s="22">
        <f>IF($D2894="","",IF(AND($C2894&lt;&gt;"",$Q2894="Có",$R2894="",$S2894="Có",AND($L2894&lt;&gt;"",OR($L2894&lt;&gt;"Chưa xác định",DANH_MUC!$L$9="Có"))),"Có","Không"))</f>
        <v/>
      </c>
      <c r="U2894" s="22">
        <f>IF(OR($D2894="",$T2894="Có"),"",IF($C2894="","Thiếu họ tên; ","")&amp;IF($S2894&lt;&gt;"Có","SĐT sai định dạng; ","")&amp;IF($R2894="Trùng","Trùng SĐT; ","")&amp;IF($Q2894&lt;&gt;"Có","Thiếu đồng ý bắt buộc; ","")&amp;IF($L2894="","Thiếu/sai Mã REF; ",IF(AND($L2894="Chưa xác định",DANH_MUC!$L$9&lt;&gt;"Có"),"Nguồn chưa xác định; ","")))</f>
        <v/>
      </c>
      <c r="V2894" s="22">
        <f>IF(OR($D2894="",$R2894="Trùng"),"",IF(COUNTIF(ORDERS!$C$2:$C$4995,$D2894)&gt;0,"Có","Không"))</f>
        <v/>
      </c>
      <c r="W2894" s="22">
        <f>IF(OR($D2894="",$R2894="Trùng"),"",COUNTIFS(ORDERS!$C$2:$C$4995,$D2894,ORDERS!$L$2:$L$4995,"Đã chuyển khoản"))</f>
        <v/>
      </c>
      <c r="X2894" s="23">
        <f>IF(OR($D2894="",$R2894="Trùng"),"",SUMIFS(ORDERS!$J$2:$J$4995,ORDERS!$C$2:$C$4995,$D2894,ORDERS!$L$2:$L$4995,"Đã chuyển khoản"))</f>
        <v/>
      </c>
      <c r="Y2894" s="24" t="n"/>
    </row>
    <row r="2895" ht="14.25" customHeight="1" s="40">
      <c r="A2895" s="24" t="n"/>
      <c r="B2895" s="27" t="n"/>
      <c r="C2895" s="24" t="n"/>
      <c r="D2895" s="28" t="n"/>
      <c r="E2895" s="29" t="n"/>
      <c r="F2895" s="24" t="n"/>
      <c r="G2895" s="24" t="n"/>
      <c r="H2895" s="21">
        <f>IF(ISNUMBER($B2895),INT($B2895)-WEEKDAY($B2895,2)+1,"")</f>
        <v/>
      </c>
      <c r="I2895" s="24" t="n"/>
      <c r="J2895" s="22">
        <f t="array" ref="J2895">IF($D2895="","",IF($I2895="","(trống REF)",IFERROR(INDEX(MASTER_SOURCE!$B$2:$B$495,MATCH($I2895,MASTER_SOURCE!$A$2:$A$495,0)),"(REF không có trong MASTER_SOURCE)")))</f>
        <v/>
      </c>
      <c r="K2895" s="22">
        <f t="array" ref="K2895">IF($D2895="","",IFERROR(INDEX(MASTER_SOURCE!$C$2:$C$495,MATCH($I2895,MASTER_SOURCE!$A$2:$A$495,0)),""))</f>
        <v/>
      </c>
      <c r="L2895" s="22">
        <f t="array" ref="L2895">IF($D2895="","",IFERROR(INDEX(MASTER_SOURCE!$D$2:$D$495,MATCH($I2895,MASTER_SOURCE!$A$2:$A$495,0)),""))</f>
        <v/>
      </c>
      <c r="M2895" s="24" t="n"/>
      <c r="N2895" s="24" t="n"/>
      <c r="O2895" s="24" t="n"/>
      <c r="P2895" s="24" t="n"/>
      <c r="Q2895" s="22">
        <f>IF($D2895="","",IF(AND(OR(DANH_MUC!$L$5&lt;&gt;"Có",M2895="Có"),OR(DANH_MUC!$L$6&lt;&gt;"Có",N2895="Có"),OR(DANH_MUC!$L$7&lt;&gt;"Có",O2895="Có"),OR(DANH_MUC!$L$8&lt;&gt;"Có",P2895="Có")),"Có","Không"))</f>
        <v/>
      </c>
      <c r="R2895" s="22">
        <f>IF($D2895="","",IF(COUNTIF($D$2:$D2895,$D2895)&gt;1,"Trùng",""))</f>
        <v/>
      </c>
      <c r="S2895" s="22">
        <f>IF($D2895="","",IF(AND(LEN($D2895)=10,LEFT($D2895,1)="0",ISNUMBER(--$D2895)),"Có","Không"))</f>
        <v/>
      </c>
      <c r="T2895" s="22">
        <f>IF($D2895="","",IF(AND($C2895&lt;&gt;"",$Q2895="Có",$R2895="",$S2895="Có",AND($L2895&lt;&gt;"",OR($L2895&lt;&gt;"Chưa xác định",DANH_MUC!$L$9="Có"))),"Có","Không"))</f>
        <v/>
      </c>
      <c r="U2895" s="22">
        <f>IF(OR($D2895="",$T2895="Có"),"",IF($C2895="","Thiếu họ tên; ","")&amp;IF($S2895&lt;&gt;"Có","SĐT sai định dạng; ","")&amp;IF($R2895="Trùng","Trùng SĐT; ","")&amp;IF($Q2895&lt;&gt;"Có","Thiếu đồng ý bắt buộc; ","")&amp;IF($L2895="","Thiếu/sai Mã REF; ",IF(AND($L2895="Chưa xác định",DANH_MUC!$L$9&lt;&gt;"Có"),"Nguồn chưa xác định; ","")))</f>
        <v/>
      </c>
      <c r="V2895" s="22">
        <f>IF(OR($D2895="",$R2895="Trùng"),"",IF(COUNTIF(ORDERS!$C$2:$C$4995,$D2895)&gt;0,"Có","Không"))</f>
        <v/>
      </c>
      <c r="W2895" s="22">
        <f>IF(OR($D2895="",$R2895="Trùng"),"",COUNTIFS(ORDERS!$C$2:$C$4995,$D2895,ORDERS!$L$2:$L$4995,"Đã chuyển khoản"))</f>
        <v/>
      </c>
      <c r="X2895" s="23">
        <f>IF(OR($D2895="",$R2895="Trùng"),"",SUMIFS(ORDERS!$J$2:$J$4995,ORDERS!$C$2:$C$4995,$D2895,ORDERS!$L$2:$L$4995,"Đã chuyển khoản"))</f>
        <v/>
      </c>
      <c r="Y2895" s="24" t="n"/>
    </row>
    <row r="2896" ht="14.25" customHeight="1" s="40">
      <c r="A2896" s="24" t="n"/>
      <c r="B2896" s="27" t="n"/>
      <c r="C2896" s="24" t="n"/>
      <c r="D2896" s="28" t="n"/>
      <c r="E2896" s="29" t="n"/>
      <c r="F2896" s="24" t="n"/>
      <c r="G2896" s="24" t="n"/>
      <c r="H2896" s="21">
        <f>IF(ISNUMBER($B2896),INT($B2896)-WEEKDAY($B2896,2)+1,"")</f>
        <v/>
      </c>
      <c r="I2896" s="24" t="n"/>
      <c r="J2896" s="22">
        <f t="array" ref="J2896">IF($D2896="","",IF($I2896="","(trống REF)",IFERROR(INDEX(MASTER_SOURCE!$B$2:$B$495,MATCH($I2896,MASTER_SOURCE!$A$2:$A$495,0)),"(REF không có trong MASTER_SOURCE)")))</f>
        <v/>
      </c>
      <c r="K2896" s="22">
        <f t="array" ref="K2896">IF($D2896="","",IFERROR(INDEX(MASTER_SOURCE!$C$2:$C$495,MATCH($I2896,MASTER_SOURCE!$A$2:$A$495,0)),""))</f>
        <v/>
      </c>
      <c r="L2896" s="22">
        <f t="array" ref="L2896">IF($D2896="","",IFERROR(INDEX(MASTER_SOURCE!$D$2:$D$495,MATCH($I2896,MASTER_SOURCE!$A$2:$A$495,0)),""))</f>
        <v/>
      </c>
      <c r="M2896" s="24" t="n"/>
      <c r="N2896" s="24" t="n"/>
      <c r="O2896" s="24" t="n"/>
      <c r="P2896" s="24" t="n"/>
      <c r="Q2896" s="22">
        <f>IF($D2896="","",IF(AND(OR(DANH_MUC!$L$5&lt;&gt;"Có",M2896="Có"),OR(DANH_MUC!$L$6&lt;&gt;"Có",N2896="Có"),OR(DANH_MUC!$L$7&lt;&gt;"Có",O2896="Có"),OR(DANH_MUC!$L$8&lt;&gt;"Có",P2896="Có")),"Có","Không"))</f>
        <v/>
      </c>
      <c r="R2896" s="22">
        <f>IF($D2896="","",IF(COUNTIF($D$2:$D2896,$D2896)&gt;1,"Trùng",""))</f>
        <v/>
      </c>
      <c r="S2896" s="22">
        <f>IF($D2896="","",IF(AND(LEN($D2896)=10,LEFT($D2896,1)="0",ISNUMBER(--$D2896)),"Có","Không"))</f>
        <v/>
      </c>
      <c r="T2896" s="22">
        <f>IF($D2896="","",IF(AND($C2896&lt;&gt;"",$Q2896="Có",$R2896="",$S2896="Có",AND($L2896&lt;&gt;"",OR($L2896&lt;&gt;"Chưa xác định",DANH_MUC!$L$9="Có"))),"Có","Không"))</f>
        <v/>
      </c>
      <c r="U2896" s="22">
        <f>IF(OR($D2896="",$T2896="Có"),"",IF($C2896="","Thiếu họ tên; ","")&amp;IF($S2896&lt;&gt;"Có","SĐT sai định dạng; ","")&amp;IF($R2896="Trùng","Trùng SĐT; ","")&amp;IF($Q2896&lt;&gt;"Có","Thiếu đồng ý bắt buộc; ","")&amp;IF($L2896="","Thiếu/sai Mã REF; ",IF(AND($L2896="Chưa xác định",DANH_MUC!$L$9&lt;&gt;"Có"),"Nguồn chưa xác định; ","")))</f>
        <v/>
      </c>
      <c r="V2896" s="22">
        <f>IF(OR($D2896="",$R2896="Trùng"),"",IF(COUNTIF(ORDERS!$C$2:$C$4995,$D2896)&gt;0,"Có","Không"))</f>
        <v/>
      </c>
      <c r="W2896" s="22">
        <f>IF(OR($D2896="",$R2896="Trùng"),"",COUNTIFS(ORDERS!$C$2:$C$4995,$D2896,ORDERS!$L$2:$L$4995,"Đã chuyển khoản"))</f>
        <v/>
      </c>
      <c r="X2896" s="23">
        <f>IF(OR($D2896="",$R2896="Trùng"),"",SUMIFS(ORDERS!$J$2:$J$4995,ORDERS!$C$2:$C$4995,$D2896,ORDERS!$L$2:$L$4995,"Đã chuyển khoản"))</f>
        <v/>
      </c>
      <c r="Y2896" s="24" t="n"/>
    </row>
    <row r="2897" ht="14.25" customHeight="1" s="40">
      <c r="A2897" s="24" t="n"/>
      <c r="B2897" s="27" t="n"/>
      <c r="C2897" s="24" t="n"/>
      <c r="D2897" s="28" t="n"/>
      <c r="E2897" s="29" t="n"/>
      <c r="F2897" s="24" t="n"/>
      <c r="G2897" s="24" t="n"/>
      <c r="H2897" s="21">
        <f>IF(ISNUMBER($B2897),INT($B2897)-WEEKDAY($B2897,2)+1,"")</f>
        <v/>
      </c>
      <c r="I2897" s="24" t="n"/>
      <c r="J2897" s="22">
        <f t="array" ref="J2897">IF($D2897="","",IF($I2897="","(trống REF)",IFERROR(INDEX(MASTER_SOURCE!$B$2:$B$495,MATCH($I2897,MASTER_SOURCE!$A$2:$A$495,0)),"(REF không có trong MASTER_SOURCE)")))</f>
        <v/>
      </c>
      <c r="K2897" s="22">
        <f t="array" ref="K2897">IF($D2897="","",IFERROR(INDEX(MASTER_SOURCE!$C$2:$C$495,MATCH($I2897,MASTER_SOURCE!$A$2:$A$495,0)),""))</f>
        <v/>
      </c>
      <c r="L2897" s="22">
        <f t="array" ref="L2897">IF($D2897="","",IFERROR(INDEX(MASTER_SOURCE!$D$2:$D$495,MATCH($I2897,MASTER_SOURCE!$A$2:$A$495,0)),""))</f>
        <v/>
      </c>
      <c r="M2897" s="24" t="n"/>
      <c r="N2897" s="24" t="n"/>
      <c r="O2897" s="24" t="n"/>
      <c r="P2897" s="24" t="n"/>
      <c r="Q2897" s="22">
        <f>IF($D2897="","",IF(AND(OR(DANH_MUC!$L$5&lt;&gt;"Có",M2897="Có"),OR(DANH_MUC!$L$6&lt;&gt;"Có",N2897="Có"),OR(DANH_MUC!$L$7&lt;&gt;"Có",O2897="Có"),OR(DANH_MUC!$L$8&lt;&gt;"Có",P2897="Có")),"Có","Không"))</f>
        <v/>
      </c>
      <c r="R2897" s="22">
        <f>IF($D2897="","",IF(COUNTIF($D$2:$D2897,$D2897)&gt;1,"Trùng",""))</f>
        <v/>
      </c>
      <c r="S2897" s="22">
        <f>IF($D2897="","",IF(AND(LEN($D2897)=10,LEFT($D2897,1)="0",ISNUMBER(--$D2897)),"Có","Không"))</f>
        <v/>
      </c>
      <c r="T2897" s="22">
        <f>IF($D2897="","",IF(AND($C2897&lt;&gt;"",$Q2897="Có",$R2897="",$S2897="Có",AND($L2897&lt;&gt;"",OR($L2897&lt;&gt;"Chưa xác định",DANH_MUC!$L$9="Có"))),"Có","Không"))</f>
        <v/>
      </c>
      <c r="U2897" s="22">
        <f>IF(OR($D2897="",$T2897="Có"),"",IF($C2897="","Thiếu họ tên; ","")&amp;IF($S2897&lt;&gt;"Có","SĐT sai định dạng; ","")&amp;IF($R2897="Trùng","Trùng SĐT; ","")&amp;IF($Q2897&lt;&gt;"Có","Thiếu đồng ý bắt buộc; ","")&amp;IF($L2897="","Thiếu/sai Mã REF; ",IF(AND($L2897="Chưa xác định",DANH_MUC!$L$9&lt;&gt;"Có"),"Nguồn chưa xác định; ","")))</f>
        <v/>
      </c>
      <c r="V2897" s="22">
        <f>IF(OR($D2897="",$R2897="Trùng"),"",IF(COUNTIF(ORDERS!$C$2:$C$4995,$D2897)&gt;0,"Có","Không"))</f>
        <v/>
      </c>
      <c r="W2897" s="22">
        <f>IF(OR($D2897="",$R2897="Trùng"),"",COUNTIFS(ORDERS!$C$2:$C$4995,$D2897,ORDERS!$L$2:$L$4995,"Đã chuyển khoản"))</f>
        <v/>
      </c>
      <c r="X2897" s="23">
        <f>IF(OR($D2897="",$R2897="Trùng"),"",SUMIFS(ORDERS!$J$2:$J$4995,ORDERS!$C$2:$C$4995,$D2897,ORDERS!$L$2:$L$4995,"Đã chuyển khoản"))</f>
        <v/>
      </c>
      <c r="Y2897" s="24" t="n"/>
    </row>
    <row r="2898" ht="14.25" customHeight="1" s="40">
      <c r="A2898" s="24" t="n"/>
      <c r="B2898" s="27" t="n"/>
      <c r="C2898" s="24" t="n"/>
      <c r="D2898" s="28" t="n"/>
      <c r="E2898" s="29" t="n"/>
      <c r="F2898" s="24" t="n"/>
      <c r="G2898" s="24" t="n"/>
      <c r="H2898" s="21">
        <f>IF(ISNUMBER($B2898),INT($B2898)-WEEKDAY($B2898,2)+1,"")</f>
        <v/>
      </c>
      <c r="I2898" s="24" t="n"/>
      <c r="J2898" s="22">
        <f t="array" ref="J2898">IF($D2898="","",IF($I2898="","(trống REF)",IFERROR(INDEX(MASTER_SOURCE!$B$2:$B$495,MATCH($I2898,MASTER_SOURCE!$A$2:$A$495,0)),"(REF không có trong MASTER_SOURCE)")))</f>
        <v/>
      </c>
      <c r="K2898" s="22">
        <f t="array" ref="K2898">IF($D2898="","",IFERROR(INDEX(MASTER_SOURCE!$C$2:$C$495,MATCH($I2898,MASTER_SOURCE!$A$2:$A$495,0)),""))</f>
        <v/>
      </c>
      <c r="L2898" s="22">
        <f t="array" ref="L2898">IF($D2898="","",IFERROR(INDEX(MASTER_SOURCE!$D$2:$D$495,MATCH($I2898,MASTER_SOURCE!$A$2:$A$495,0)),""))</f>
        <v/>
      </c>
      <c r="M2898" s="24" t="n"/>
      <c r="N2898" s="24" t="n"/>
      <c r="O2898" s="24" t="n"/>
      <c r="P2898" s="24" t="n"/>
      <c r="Q2898" s="22">
        <f>IF($D2898="","",IF(AND(OR(DANH_MUC!$L$5&lt;&gt;"Có",M2898="Có"),OR(DANH_MUC!$L$6&lt;&gt;"Có",N2898="Có"),OR(DANH_MUC!$L$7&lt;&gt;"Có",O2898="Có"),OR(DANH_MUC!$L$8&lt;&gt;"Có",P2898="Có")),"Có","Không"))</f>
        <v/>
      </c>
      <c r="R2898" s="22">
        <f>IF($D2898="","",IF(COUNTIF($D$2:$D2898,$D2898)&gt;1,"Trùng",""))</f>
        <v/>
      </c>
      <c r="S2898" s="22">
        <f>IF($D2898="","",IF(AND(LEN($D2898)=10,LEFT($D2898,1)="0",ISNUMBER(--$D2898)),"Có","Không"))</f>
        <v/>
      </c>
      <c r="T2898" s="22">
        <f>IF($D2898="","",IF(AND($C2898&lt;&gt;"",$Q2898="Có",$R2898="",$S2898="Có",AND($L2898&lt;&gt;"",OR($L2898&lt;&gt;"Chưa xác định",DANH_MUC!$L$9="Có"))),"Có","Không"))</f>
        <v/>
      </c>
      <c r="U2898" s="22">
        <f>IF(OR($D2898="",$T2898="Có"),"",IF($C2898="","Thiếu họ tên; ","")&amp;IF($S2898&lt;&gt;"Có","SĐT sai định dạng; ","")&amp;IF($R2898="Trùng","Trùng SĐT; ","")&amp;IF($Q2898&lt;&gt;"Có","Thiếu đồng ý bắt buộc; ","")&amp;IF($L2898="","Thiếu/sai Mã REF; ",IF(AND($L2898="Chưa xác định",DANH_MUC!$L$9&lt;&gt;"Có"),"Nguồn chưa xác định; ","")))</f>
        <v/>
      </c>
      <c r="V2898" s="22">
        <f>IF(OR($D2898="",$R2898="Trùng"),"",IF(COUNTIF(ORDERS!$C$2:$C$4995,$D2898)&gt;0,"Có","Không"))</f>
        <v/>
      </c>
      <c r="W2898" s="22">
        <f>IF(OR($D2898="",$R2898="Trùng"),"",COUNTIFS(ORDERS!$C$2:$C$4995,$D2898,ORDERS!$L$2:$L$4995,"Đã chuyển khoản"))</f>
        <v/>
      </c>
      <c r="X2898" s="23">
        <f>IF(OR($D2898="",$R2898="Trùng"),"",SUMIFS(ORDERS!$J$2:$J$4995,ORDERS!$C$2:$C$4995,$D2898,ORDERS!$L$2:$L$4995,"Đã chuyển khoản"))</f>
        <v/>
      </c>
      <c r="Y2898" s="24" t="n"/>
    </row>
    <row r="2899" ht="14.25" customHeight="1" s="40">
      <c r="A2899" s="24" t="n"/>
      <c r="B2899" s="27" t="n"/>
      <c r="C2899" s="24" t="n"/>
      <c r="D2899" s="28" t="n"/>
      <c r="E2899" s="29" t="n"/>
      <c r="F2899" s="24" t="n"/>
      <c r="G2899" s="24" t="n"/>
      <c r="H2899" s="21">
        <f>IF(ISNUMBER($B2899),INT($B2899)-WEEKDAY($B2899,2)+1,"")</f>
        <v/>
      </c>
      <c r="I2899" s="24" t="n"/>
      <c r="J2899" s="22">
        <f t="array" ref="J2899">IF($D2899="","",IF($I2899="","(trống REF)",IFERROR(INDEX(MASTER_SOURCE!$B$2:$B$495,MATCH($I2899,MASTER_SOURCE!$A$2:$A$495,0)),"(REF không có trong MASTER_SOURCE)")))</f>
        <v/>
      </c>
      <c r="K2899" s="22">
        <f t="array" ref="K2899">IF($D2899="","",IFERROR(INDEX(MASTER_SOURCE!$C$2:$C$495,MATCH($I2899,MASTER_SOURCE!$A$2:$A$495,0)),""))</f>
        <v/>
      </c>
      <c r="L2899" s="22">
        <f t="array" ref="L2899">IF($D2899="","",IFERROR(INDEX(MASTER_SOURCE!$D$2:$D$495,MATCH($I2899,MASTER_SOURCE!$A$2:$A$495,0)),""))</f>
        <v/>
      </c>
      <c r="M2899" s="24" t="n"/>
      <c r="N2899" s="24" t="n"/>
      <c r="O2899" s="24" t="n"/>
      <c r="P2899" s="24" t="n"/>
      <c r="Q2899" s="22">
        <f>IF($D2899="","",IF(AND(OR(DANH_MUC!$L$5&lt;&gt;"Có",M2899="Có"),OR(DANH_MUC!$L$6&lt;&gt;"Có",N2899="Có"),OR(DANH_MUC!$L$7&lt;&gt;"Có",O2899="Có"),OR(DANH_MUC!$L$8&lt;&gt;"Có",P2899="Có")),"Có","Không"))</f>
        <v/>
      </c>
      <c r="R2899" s="22">
        <f>IF($D2899="","",IF(COUNTIF($D$2:$D2899,$D2899)&gt;1,"Trùng",""))</f>
        <v/>
      </c>
      <c r="S2899" s="22">
        <f>IF($D2899="","",IF(AND(LEN($D2899)=10,LEFT($D2899,1)="0",ISNUMBER(--$D2899)),"Có","Không"))</f>
        <v/>
      </c>
      <c r="T2899" s="22">
        <f>IF($D2899="","",IF(AND($C2899&lt;&gt;"",$Q2899="Có",$R2899="",$S2899="Có",AND($L2899&lt;&gt;"",OR($L2899&lt;&gt;"Chưa xác định",DANH_MUC!$L$9="Có"))),"Có","Không"))</f>
        <v/>
      </c>
      <c r="U2899" s="22">
        <f>IF(OR($D2899="",$T2899="Có"),"",IF($C2899="","Thiếu họ tên; ","")&amp;IF($S2899&lt;&gt;"Có","SĐT sai định dạng; ","")&amp;IF($R2899="Trùng","Trùng SĐT; ","")&amp;IF($Q2899&lt;&gt;"Có","Thiếu đồng ý bắt buộc; ","")&amp;IF($L2899="","Thiếu/sai Mã REF; ",IF(AND($L2899="Chưa xác định",DANH_MUC!$L$9&lt;&gt;"Có"),"Nguồn chưa xác định; ","")))</f>
        <v/>
      </c>
      <c r="V2899" s="22">
        <f>IF(OR($D2899="",$R2899="Trùng"),"",IF(COUNTIF(ORDERS!$C$2:$C$4995,$D2899)&gt;0,"Có","Không"))</f>
        <v/>
      </c>
      <c r="W2899" s="22">
        <f>IF(OR($D2899="",$R2899="Trùng"),"",COUNTIFS(ORDERS!$C$2:$C$4995,$D2899,ORDERS!$L$2:$L$4995,"Đã chuyển khoản"))</f>
        <v/>
      </c>
      <c r="X2899" s="23">
        <f>IF(OR($D2899="",$R2899="Trùng"),"",SUMIFS(ORDERS!$J$2:$J$4995,ORDERS!$C$2:$C$4995,$D2899,ORDERS!$L$2:$L$4995,"Đã chuyển khoản"))</f>
        <v/>
      </c>
      <c r="Y2899" s="24" t="n"/>
    </row>
    <row r="2900" ht="14.25" customHeight="1" s="40">
      <c r="A2900" s="24" t="n"/>
      <c r="B2900" s="27" t="n"/>
      <c r="C2900" s="24" t="n"/>
      <c r="D2900" s="28" t="n"/>
      <c r="E2900" s="29" t="n"/>
      <c r="F2900" s="24" t="n"/>
      <c r="G2900" s="24" t="n"/>
      <c r="H2900" s="21">
        <f>IF(ISNUMBER($B2900),INT($B2900)-WEEKDAY($B2900,2)+1,"")</f>
        <v/>
      </c>
      <c r="I2900" s="24" t="n"/>
      <c r="J2900" s="22">
        <f t="array" ref="J2900">IF($D2900="","",IF($I2900="","(trống REF)",IFERROR(INDEX(MASTER_SOURCE!$B$2:$B$495,MATCH($I2900,MASTER_SOURCE!$A$2:$A$495,0)),"(REF không có trong MASTER_SOURCE)")))</f>
        <v/>
      </c>
      <c r="K2900" s="22">
        <f t="array" ref="K2900">IF($D2900="","",IFERROR(INDEX(MASTER_SOURCE!$C$2:$C$495,MATCH($I2900,MASTER_SOURCE!$A$2:$A$495,0)),""))</f>
        <v/>
      </c>
      <c r="L2900" s="22">
        <f t="array" ref="L2900">IF($D2900="","",IFERROR(INDEX(MASTER_SOURCE!$D$2:$D$495,MATCH($I2900,MASTER_SOURCE!$A$2:$A$495,0)),""))</f>
        <v/>
      </c>
      <c r="M2900" s="24" t="n"/>
      <c r="N2900" s="24" t="n"/>
      <c r="O2900" s="24" t="n"/>
      <c r="P2900" s="24" t="n"/>
      <c r="Q2900" s="22">
        <f>IF($D2900="","",IF(AND(OR(DANH_MUC!$L$5&lt;&gt;"Có",M2900="Có"),OR(DANH_MUC!$L$6&lt;&gt;"Có",N2900="Có"),OR(DANH_MUC!$L$7&lt;&gt;"Có",O2900="Có"),OR(DANH_MUC!$L$8&lt;&gt;"Có",P2900="Có")),"Có","Không"))</f>
        <v/>
      </c>
      <c r="R2900" s="22">
        <f>IF($D2900="","",IF(COUNTIF($D$2:$D2900,$D2900)&gt;1,"Trùng",""))</f>
        <v/>
      </c>
      <c r="S2900" s="22">
        <f>IF($D2900="","",IF(AND(LEN($D2900)=10,LEFT($D2900,1)="0",ISNUMBER(--$D2900)),"Có","Không"))</f>
        <v/>
      </c>
      <c r="T2900" s="22">
        <f>IF($D2900="","",IF(AND($C2900&lt;&gt;"",$Q2900="Có",$R2900="",$S2900="Có",AND($L2900&lt;&gt;"",OR($L2900&lt;&gt;"Chưa xác định",DANH_MUC!$L$9="Có"))),"Có","Không"))</f>
        <v/>
      </c>
      <c r="U2900" s="22">
        <f>IF(OR($D2900="",$T2900="Có"),"",IF($C2900="","Thiếu họ tên; ","")&amp;IF($S2900&lt;&gt;"Có","SĐT sai định dạng; ","")&amp;IF($R2900="Trùng","Trùng SĐT; ","")&amp;IF($Q2900&lt;&gt;"Có","Thiếu đồng ý bắt buộc; ","")&amp;IF($L2900="","Thiếu/sai Mã REF; ",IF(AND($L2900="Chưa xác định",DANH_MUC!$L$9&lt;&gt;"Có"),"Nguồn chưa xác định; ","")))</f>
        <v/>
      </c>
      <c r="V2900" s="22">
        <f>IF(OR($D2900="",$R2900="Trùng"),"",IF(COUNTIF(ORDERS!$C$2:$C$4995,$D2900)&gt;0,"Có","Không"))</f>
        <v/>
      </c>
      <c r="W2900" s="22">
        <f>IF(OR($D2900="",$R2900="Trùng"),"",COUNTIFS(ORDERS!$C$2:$C$4995,$D2900,ORDERS!$L$2:$L$4995,"Đã chuyển khoản"))</f>
        <v/>
      </c>
      <c r="X2900" s="23">
        <f>IF(OR($D2900="",$R2900="Trùng"),"",SUMIFS(ORDERS!$J$2:$J$4995,ORDERS!$C$2:$C$4995,$D2900,ORDERS!$L$2:$L$4995,"Đã chuyển khoản"))</f>
        <v/>
      </c>
      <c r="Y2900" s="24" t="n"/>
    </row>
    <row r="2901" ht="14.25" customHeight="1" s="40">
      <c r="A2901" s="24" t="n"/>
      <c r="B2901" s="27" t="n"/>
      <c r="C2901" s="24" t="n"/>
      <c r="D2901" s="28" t="n"/>
      <c r="E2901" s="29" t="n"/>
      <c r="F2901" s="24" t="n"/>
      <c r="G2901" s="24" t="n"/>
      <c r="H2901" s="21">
        <f>IF(ISNUMBER($B2901),INT($B2901)-WEEKDAY($B2901,2)+1,"")</f>
        <v/>
      </c>
      <c r="I2901" s="24" t="n"/>
      <c r="J2901" s="22">
        <f t="array" ref="J2901">IF($D2901="","",IF($I2901="","(trống REF)",IFERROR(INDEX(MASTER_SOURCE!$B$2:$B$495,MATCH($I2901,MASTER_SOURCE!$A$2:$A$495,0)),"(REF không có trong MASTER_SOURCE)")))</f>
        <v/>
      </c>
      <c r="K2901" s="22">
        <f t="array" ref="K2901">IF($D2901="","",IFERROR(INDEX(MASTER_SOURCE!$C$2:$C$495,MATCH($I2901,MASTER_SOURCE!$A$2:$A$495,0)),""))</f>
        <v/>
      </c>
      <c r="L2901" s="22">
        <f t="array" ref="L2901">IF($D2901="","",IFERROR(INDEX(MASTER_SOURCE!$D$2:$D$495,MATCH($I2901,MASTER_SOURCE!$A$2:$A$495,0)),""))</f>
        <v/>
      </c>
      <c r="M2901" s="24" t="n"/>
      <c r="N2901" s="24" t="n"/>
      <c r="O2901" s="24" t="n"/>
      <c r="P2901" s="24" t="n"/>
      <c r="Q2901" s="22">
        <f>IF($D2901="","",IF(AND(OR(DANH_MUC!$L$5&lt;&gt;"Có",M2901="Có"),OR(DANH_MUC!$L$6&lt;&gt;"Có",N2901="Có"),OR(DANH_MUC!$L$7&lt;&gt;"Có",O2901="Có"),OR(DANH_MUC!$L$8&lt;&gt;"Có",P2901="Có")),"Có","Không"))</f>
        <v/>
      </c>
      <c r="R2901" s="22">
        <f>IF($D2901="","",IF(COUNTIF($D$2:$D2901,$D2901)&gt;1,"Trùng",""))</f>
        <v/>
      </c>
      <c r="S2901" s="22">
        <f>IF($D2901="","",IF(AND(LEN($D2901)=10,LEFT($D2901,1)="0",ISNUMBER(--$D2901)),"Có","Không"))</f>
        <v/>
      </c>
      <c r="T2901" s="22">
        <f>IF($D2901="","",IF(AND($C2901&lt;&gt;"",$Q2901="Có",$R2901="",$S2901="Có",AND($L2901&lt;&gt;"",OR($L2901&lt;&gt;"Chưa xác định",DANH_MUC!$L$9="Có"))),"Có","Không"))</f>
        <v/>
      </c>
      <c r="U2901" s="22">
        <f>IF(OR($D2901="",$T2901="Có"),"",IF($C2901="","Thiếu họ tên; ","")&amp;IF($S2901&lt;&gt;"Có","SĐT sai định dạng; ","")&amp;IF($R2901="Trùng","Trùng SĐT; ","")&amp;IF($Q2901&lt;&gt;"Có","Thiếu đồng ý bắt buộc; ","")&amp;IF($L2901="","Thiếu/sai Mã REF; ",IF(AND($L2901="Chưa xác định",DANH_MUC!$L$9&lt;&gt;"Có"),"Nguồn chưa xác định; ","")))</f>
        <v/>
      </c>
      <c r="V2901" s="22">
        <f>IF(OR($D2901="",$R2901="Trùng"),"",IF(COUNTIF(ORDERS!$C$2:$C$4995,$D2901)&gt;0,"Có","Không"))</f>
        <v/>
      </c>
      <c r="W2901" s="22">
        <f>IF(OR($D2901="",$R2901="Trùng"),"",COUNTIFS(ORDERS!$C$2:$C$4995,$D2901,ORDERS!$L$2:$L$4995,"Đã chuyển khoản"))</f>
        <v/>
      </c>
      <c r="X2901" s="23">
        <f>IF(OR($D2901="",$R2901="Trùng"),"",SUMIFS(ORDERS!$J$2:$J$4995,ORDERS!$C$2:$C$4995,$D2901,ORDERS!$L$2:$L$4995,"Đã chuyển khoản"))</f>
        <v/>
      </c>
      <c r="Y2901" s="24" t="n"/>
    </row>
    <row r="2902" ht="14.25" customHeight="1" s="40">
      <c r="A2902" s="24" t="n"/>
      <c r="B2902" s="27" t="n"/>
      <c r="C2902" s="24" t="n"/>
      <c r="D2902" s="28" t="n"/>
      <c r="E2902" s="29" t="n"/>
      <c r="F2902" s="24" t="n"/>
      <c r="G2902" s="24" t="n"/>
      <c r="H2902" s="21">
        <f>IF(ISNUMBER($B2902),INT($B2902)-WEEKDAY($B2902,2)+1,"")</f>
        <v/>
      </c>
      <c r="I2902" s="24" t="n"/>
      <c r="J2902" s="22">
        <f t="array" ref="J2902">IF($D2902="","",IF($I2902="","(trống REF)",IFERROR(INDEX(MASTER_SOURCE!$B$2:$B$495,MATCH($I2902,MASTER_SOURCE!$A$2:$A$495,0)),"(REF không có trong MASTER_SOURCE)")))</f>
        <v/>
      </c>
      <c r="K2902" s="22">
        <f t="array" ref="K2902">IF($D2902="","",IFERROR(INDEX(MASTER_SOURCE!$C$2:$C$495,MATCH($I2902,MASTER_SOURCE!$A$2:$A$495,0)),""))</f>
        <v/>
      </c>
      <c r="L2902" s="22">
        <f t="array" ref="L2902">IF($D2902="","",IFERROR(INDEX(MASTER_SOURCE!$D$2:$D$495,MATCH($I2902,MASTER_SOURCE!$A$2:$A$495,0)),""))</f>
        <v/>
      </c>
      <c r="M2902" s="24" t="n"/>
      <c r="N2902" s="24" t="n"/>
      <c r="O2902" s="24" t="n"/>
      <c r="P2902" s="24" t="n"/>
      <c r="Q2902" s="22">
        <f>IF($D2902="","",IF(AND(OR(DANH_MUC!$L$5&lt;&gt;"Có",M2902="Có"),OR(DANH_MUC!$L$6&lt;&gt;"Có",N2902="Có"),OR(DANH_MUC!$L$7&lt;&gt;"Có",O2902="Có"),OR(DANH_MUC!$L$8&lt;&gt;"Có",P2902="Có")),"Có","Không"))</f>
        <v/>
      </c>
      <c r="R2902" s="22">
        <f>IF($D2902="","",IF(COUNTIF($D$2:$D2902,$D2902)&gt;1,"Trùng",""))</f>
        <v/>
      </c>
      <c r="S2902" s="22">
        <f>IF($D2902="","",IF(AND(LEN($D2902)=10,LEFT($D2902,1)="0",ISNUMBER(--$D2902)),"Có","Không"))</f>
        <v/>
      </c>
      <c r="T2902" s="22">
        <f>IF($D2902="","",IF(AND($C2902&lt;&gt;"",$Q2902="Có",$R2902="",$S2902="Có",AND($L2902&lt;&gt;"",OR($L2902&lt;&gt;"Chưa xác định",DANH_MUC!$L$9="Có"))),"Có","Không"))</f>
        <v/>
      </c>
      <c r="U2902" s="22">
        <f>IF(OR($D2902="",$T2902="Có"),"",IF($C2902="","Thiếu họ tên; ","")&amp;IF($S2902&lt;&gt;"Có","SĐT sai định dạng; ","")&amp;IF($R2902="Trùng","Trùng SĐT; ","")&amp;IF($Q2902&lt;&gt;"Có","Thiếu đồng ý bắt buộc; ","")&amp;IF($L2902="","Thiếu/sai Mã REF; ",IF(AND($L2902="Chưa xác định",DANH_MUC!$L$9&lt;&gt;"Có"),"Nguồn chưa xác định; ","")))</f>
        <v/>
      </c>
      <c r="V2902" s="22">
        <f>IF(OR($D2902="",$R2902="Trùng"),"",IF(COUNTIF(ORDERS!$C$2:$C$4995,$D2902)&gt;0,"Có","Không"))</f>
        <v/>
      </c>
      <c r="W2902" s="22">
        <f>IF(OR($D2902="",$R2902="Trùng"),"",COUNTIFS(ORDERS!$C$2:$C$4995,$D2902,ORDERS!$L$2:$L$4995,"Đã chuyển khoản"))</f>
        <v/>
      </c>
      <c r="X2902" s="23">
        <f>IF(OR($D2902="",$R2902="Trùng"),"",SUMIFS(ORDERS!$J$2:$J$4995,ORDERS!$C$2:$C$4995,$D2902,ORDERS!$L$2:$L$4995,"Đã chuyển khoản"))</f>
        <v/>
      </c>
      <c r="Y2902" s="24" t="n"/>
    </row>
    <row r="2903" ht="14.25" customHeight="1" s="40">
      <c r="A2903" s="24" t="n"/>
      <c r="B2903" s="27" t="n"/>
      <c r="C2903" s="24" t="n"/>
      <c r="D2903" s="28" t="n"/>
      <c r="E2903" s="29" t="n"/>
      <c r="F2903" s="24" t="n"/>
      <c r="G2903" s="24" t="n"/>
      <c r="H2903" s="21">
        <f>IF(ISNUMBER($B2903),INT($B2903)-WEEKDAY($B2903,2)+1,"")</f>
        <v/>
      </c>
      <c r="I2903" s="24" t="n"/>
      <c r="J2903" s="22">
        <f t="array" ref="J2903">IF($D2903="","",IF($I2903="","(trống REF)",IFERROR(INDEX(MASTER_SOURCE!$B$2:$B$495,MATCH($I2903,MASTER_SOURCE!$A$2:$A$495,0)),"(REF không có trong MASTER_SOURCE)")))</f>
        <v/>
      </c>
      <c r="K2903" s="22">
        <f t="array" ref="K2903">IF($D2903="","",IFERROR(INDEX(MASTER_SOURCE!$C$2:$C$495,MATCH($I2903,MASTER_SOURCE!$A$2:$A$495,0)),""))</f>
        <v/>
      </c>
      <c r="L2903" s="22">
        <f t="array" ref="L2903">IF($D2903="","",IFERROR(INDEX(MASTER_SOURCE!$D$2:$D$495,MATCH($I2903,MASTER_SOURCE!$A$2:$A$495,0)),""))</f>
        <v/>
      </c>
      <c r="M2903" s="24" t="n"/>
      <c r="N2903" s="24" t="n"/>
      <c r="O2903" s="24" t="n"/>
      <c r="P2903" s="24" t="n"/>
      <c r="Q2903" s="22">
        <f>IF($D2903="","",IF(AND(OR(DANH_MUC!$L$5&lt;&gt;"Có",M2903="Có"),OR(DANH_MUC!$L$6&lt;&gt;"Có",N2903="Có"),OR(DANH_MUC!$L$7&lt;&gt;"Có",O2903="Có"),OR(DANH_MUC!$L$8&lt;&gt;"Có",P2903="Có")),"Có","Không"))</f>
        <v/>
      </c>
      <c r="R2903" s="22">
        <f>IF($D2903="","",IF(COUNTIF($D$2:$D2903,$D2903)&gt;1,"Trùng",""))</f>
        <v/>
      </c>
      <c r="S2903" s="22">
        <f>IF($D2903="","",IF(AND(LEN($D2903)=10,LEFT($D2903,1)="0",ISNUMBER(--$D2903)),"Có","Không"))</f>
        <v/>
      </c>
      <c r="T2903" s="22">
        <f>IF($D2903="","",IF(AND($C2903&lt;&gt;"",$Q2903="Có",$R2903="",$S2903="Có",AND($L2903&lt;&gt;"",OR($L2903&lt;&gt;"Chưa xác định",DANH_MUC!$L$9="Có"))),"Có","Không"))</f>
        <v/>
      </c>
      <c r="U2903" s="22">
        <f>IF(OR($D2903="",$T2903="Có"),"",IF($C2903="","Thiếu họ tên; ","")&amp;IF($S2903&lt;&gt;"Có","SĐT sai định dạng; ","")&amp;IF($R2903="Trùng","Trùng SĐT; ","")&amp;IF($Q2903&lt;&gt;"Có","Thiếu đồng ý bắt buộc; ","")&amp;IF($L2903="","Thiếu/sai Mã REF; ",IF(AND($L2903="Chưa xác định",DANH_MUC!$L$9&lt;&gt;"Có"),"Nguồn chưa xác định; ","")))</f>
        <v/>
      </c>
      <c r="V2903" s="22">
        <f>IF(OR($D2903="",$R2903="Trùng"),"",IF(COUNTIF(ORDERS!$C$2:$C$4995,$D2903)&gt;0,"Có","Không"))</f>
        <v/>
      </c>
      <c r="W2903" s="22">
        <f>IF(OR($D2903="",$R2903="Trùng"),"",COUNTIFS(ORDERS!$C$2:$C$4995,$D2903,ORDERS!$L$2:$L$4995,"Đã chuyển khoản"))</f>
        <v/>
      </c>
      <c r="X2903" s="23">
        <f>IF(OR($D2903="",$R2903="Trùng"),"",SUMIFS(ORDERS!$J$2:$J$4995,ORDERS!$C$2:$C$4995,$D2903,ORDERS!$L$2:$L$4995,"Đã chuyển khoản"))</f>
        <v/>
      </c>
      <c r="Y2903" s="24" t="n"/>
    </row>
    <row r="2904" ht="14.25" customHeight="1" s="40">
      <c r="A2904" s="24" t="n"/>
      <c r="B2904" s="27" t="n"/>
      <c r="C2904" s="24" t="n"/>
      <c r="D2904" s="28" t="n"/>
      <c r="E2904" s="29" t="n"/>
      <c r="F2904" s="24" t="n"/>
      <c r="G2904" s="24" t="n"/>
      <c r="H2904" s="21">
        <f>IF(ISNUMBER($B2904),INT($B2904)-WEEKDAY($B2904,2)+1,"")</f>
        <v/>
      </c>
      <c r="I2904" s="24" t="n"/>
      <c r="J2904" s="22">
        <f t="array" ref="J2904">IF($D2904="","",IF($I2904="","(trống REF)",IFERROR(INDEX(MASTER_SOURCE!$B$2:$B$495,MATCH($I2904,MASTER_SOURCE!$A$2:$A$495,0)),"(REF không có trong MASTER_SOURCE)")))</f>
        <v/>
      </c>
      <c r="K2904" s="22">
        <f t="array" ref="K2904">IF($D2904="","",IFERROR(INDEX(MASTER_SOURCE!$C$2:$C$495,MATCH($I2904,MASTER_SOURCE!$A$2:$A$495,0)),""))</f>
        <v/>
      </c>
      <c r="L2904" s="22">
        <f t="array" ref="L2904">IF($D2904="","",IFERROR(INDEX(MASTER_SOURCE!$D$2:$D$495,MATCH($I2904,MASTER_SOURCE!$A$2:$A$495,0)),""))</f>
        <v/>
      </c>
      <c r="M2904" s="24" t="n"/>
      <c r="N2904" s="24" t="n"/>
      <c r="O2904" s="24" t="n"/>
      <c r="P2904" s="24" t="n"/>
      <c r="Q2904" s="22">
        <f>IF($D2904="","",IF(AND(OR(DANH_MUC!$L$5&lt;&gt;"Có",M2904="Có"),OR(DANH_MUC!$L$6&lt;&gt;"Có",N2904="Có"),OR(DANH_MUC!$L$7&lt;&gt;"Có",O2904="Có"),OR(DANH_MUC!$L$8&lt;&gt;"Có",P2904="Có")),"Có","Không"))</f>
        <v/>
      </c>
      <c r="R2904" s="22">
        <f>IF($D2904="","",IF(COUNTIF($D$2:$D2904,$D2904)&gt;1,"Trùng",""))</f>
        <v/>
      </c>
      <c r="S2904" s="22">
        <f>IF($D2904="","",IF(AND(LEN($D2904)=10,LEFT($D2904,1)="0",ISNUMBER(--$D2904)),"Có","Không"))</f>
        <v/>
      </c>
      <c r="T2904" s="22">
        <f>IF($D2904="","",IF(AND($C2904&lt;&gt;"",$Q2904="Có",$R2904="",$S2904="Có",AND($L2904&lt;&gt;"",OR($L2904&lt;&gt;"Chưa xác định",DANH_MUC!$L$9="Có"))),"Có","Không"))</f>
        <v/>
      </c>
      <c r="U2904" s="22">
        <f>IF(OR($D2904="",$T2904="Có"),"",IF($C2904="","Thiếu họ tên; ","")&amp;IF($S2904&lt;&gt;"Có","SĐT sai định dạng; ","")&amp;IF($R2904="Trùng","Trùng SĐT; ","")&amp;IF($Q2904&lt;&gt;"Có","Thiếu đồng ý bắt buộc; ","")&amp;IF($L2904="","Thiếu/sai Mã REF; ",IF(AND($L2904="Chưa xác định",DANH_MUC!$L$9&lt;&gt;"Có"),"Nguồn chưa xác định; ","")))</f>
        <v/>
      </c>
      <c r="V2904" s="22">
        <f>IF(OR($D2904="",$R2904="Trùng"),"",IF(COUNTIF(ORDERS!$C$2:$C$4995,$D2904)&gt;0,"Có","Không"))</f>
        <v/>
      </c>
      <c r="W2904" s="22">
        <f>IF(OR($D2904="",$R2904="Trùng"),"",COUNTIFS(ORDERS!$C$2:$C$4995,$D2904,ORDERS!$L$2:$L$4995,"Đã chuyển khoản"))</f>
        <v/>
      </c>
      <c r="X2904" s="23">
        <f>IF(OR($D2904="",$R2904="Trùng"),"",SUMIFS(ORDERS!$J$2:$J$4995,ORDERS!$C$2:$C$4995,$D2904,ORDERS!$L$2:$L$4995,"Đã chuyển khoản"))</f>
        <v/>
      </c>
      <c r="Y2904" s="24" t="n"/>
    </row>
    <row r="2905" ht="14.25" customHeight="1" s="40">
      <c r="A2905" s="24" t="n"/>
      <c r="B2905" s="27" t="n"/>
      <c r="C2905" s="24" t="n"/>
      <c r="D2905" s="28" t="n"/>
      <c r="E2905" s="29" t="n"/>
      <c r="F2905" s="24" t="n"/>
      <c r="G2905" s="24" t="n"/>
      <c r="H2905" s="21">
        <f>IF(ISNUMBER($B2905),INT($B2905)-WEEKDAY($B2905,2)+1,"")</f>
        <v/>
      </c>
      <c r="I2905" s="24" t="n"/>
      <c r="J2905" s="22">
        <f t="array" ref="J2905">IF($D2905="","",IF($I2905="","(trống REF)",IFERROR(INDEX(MASTER_SOURCE!$B$2:$B$495,MATCH($I2905,MASTER_SOURCE!$A$2:$A$495,0)),"(REF không có trong MASTER_SOURCE)")))</f>
        <v/>
      </c>
      <c r="K2905" s="22">
        <f t="array" ref="K2905">IF($D2905="","",IFERROR(INDEX(MASTER_SOURCE!$C$2:$C$495,MATCH($I2905,MASTER_SOURCE!$A$2:$A$495,0)),""))</f>
        <v/>
      </c>
      <c r="L2905" s="22">
        <f t="array" ref="L2905">IF($D2905="","",IFERROR(INDEX(MASTER_SOURCE!$D$2:$D$495,MATCH($I2905,MASTER_SOURCE!$A$2:$A$495,0)),""))</f>
        <v/>
      </c>
      <c r="M2905" s="24" t="n"/>
      <c r="N2905" s="24" t="n"/>
      <c r="O2905" s="24" t="n"/>
      <c r="P2905" s="24" t="n"/>
      <c r="Q2905" s="22">
        <f>IF($D2905="","",IF(AND(OR(DANH_MUC!$L$5&lt;&gt;"Có",M2905="Có"),OR(DANH_MUC!$L$6&lt;&gt;"Có",N2905="Có"),OR(DANH_MUC!$L$7&lt;&gt;"Có",O2905="Có"),OR(DANH_MUC!$L$8&lt;&gt;"Có",P2905="Có")),"Có","Không"))</f>
        <v/>
      </c>
      <c r="R2905" s="22">
        <f>IF($D2905="","",IF(COUNTIF($D$2:$D2905,$D2905)&gt;1,"Trùng",""))</f>
        <v/>
      </c>
      <c r="S2905" s="22">
        <f>IF($D2905="","",IF(AND(LEN($D2905)=10,LEFT($D2905,1)="0",ISNUMBER(--$D2905)),"Có","Không"))</f>
        <v/>
      </c>
      <c r="T2905" s="22">
        <f>IF($D2905="","",IF(AND($C2905&lt;&gt;"",$Q2905="Có",$R2905="",$S2905="Có",AND($L2905&lt;&gt;"",OR($L2905&lt;&gt;"Chưa xác định",DANH_MUC!$L$9="Có"))),"Có","Không"))</f>
        <v/>
      </c>
      <c r="U2905" s="22">
        <f>IF(OR($D2905="",$T2905="Có"),"",IF($C2905="","Thiếu họ tên; ","")&amp;IF($S2905&lt;&gt;"Có","SĐT sai định dạng; ","")&amp;IF($R2905="Trùng","Trùng SĐT; ","")&amp;IF($Q2905&lt;&gt;"Có","Thiếu đồng ý bắt buộc; ","")&amp;IF($L2905="","Thiếu/sai Mã REF; ",IF(AND($L2905="Chưa xác định",DANH_MUC!$L$9&lt;&gt;"Có"),"Nguồn chưa xác định; ","")))</f>
        <v/>
      </c>
      <c r="V2905" s="22">
        <f>IF(OR($D2905="",$R2905="Trùng"),"",IF(COUNTIF(ORDERS!$C$2:$C$4995,$D2905)&gt;0,"Có","Không"))</f>
        <v/>
      </c>
      <c r="W2905" s="22">
        <f>IF(OR($D2905="",$R2905="Trùng"),"",COUNTIFS(ORDERS!$C$2:$C$4995,$D2905,ORDERS!$L$2:$L$4995,"Đã chuyển khoản"))</f>
        <v/>
      </c>
      <c r="X2905" s="23">
        <f>IF(OR($D2905="",$R2905="Trùng"),"",SUMIFS(ORDERS!$J$2:$J$4995,ORDERS!$C$2:$C$4995,$D2905,ORDERS!$L$2:$L$4995,"Đã chuyển khoản"))</f>
        <v/>
      </c>
      <c r="Y2905" s="24" t="n"/>
    </row>
    <row r="2906" ht="14.25" customHeight="1" s="40">
      <c r="A2906" s="24" t="n"/>
      <c r="B2906" s="27" t="n"/>
      <c r="C2906" s="24" t="n"/>
      <c r="D2906" s="28" t="n"/>
      <c r="E2906" s="29" t="n"/>
      <c r="F2906" s="24" t="n"/>
      <c r="G2906" s="24" t="n"/>
      <c r="H2906" s="21">
        <f>IF(ISNUMBER($B2906),INT($B2906)-WEEKDAY($B2906,2)+1,"")</f>
        <v/>
      </c>
      <c r="I2906" s="24" t="n"/>
      <c r="J2906" s="22">
        <f t="array" ref="J2906">IF($D2906="","",IF($I2906="","(trống REF)",IFERROR(INDEX(MASTER_SOURCE!$B$2:$B$495,MATCH($I2906,MASTER_SOURCE!$A$2:$A$495,0)),"(REF không có trong MASTER_SOURCE)")))</f>
        <v/>
      </c>
      <c r="K2906" s="22">
        <f t="array" ref="K2906">IF($D2906="","",IFERROR(INDEX(MASTER_SOURCE!$C$2:$C$495,MATCH($I2906,MASTER_SOURCE!$A$2:$A$495,0)),""))</f>
        <v/>
      </c>
      <c r="L2906" s="22">
        <f t="array" ref="L2906">IF($D2906="","",IFERROR(INDEX(MASTER_SOURCE!$D$2:$D$495,MATCH($I2906,MASTER_SOURCE!$A$2:$A$495,0)),""))</f>
        <v/>
      </c>
      <c r="M2906" s="24" t="n"/>
      <c r="N2906" s="24" t="n"/>
      <c r="O2906" s="24" t="n"/>
      <c r="P2906" s="24" t="n"/>
      <c r="Q2906" s="22">
        <f>IF($D2906="","",IF(AND(OR(DANH_MUC!$L$5&lt;&gt;"Có",M2906="Có"),OR(DANH_MUC!$L$6&lt;&gt;"Có",N2906="Có"),OR(DANH_MUC!$L$7&lt;&gt;"Có",O2906="Có"),OR(DANH_MUC!$L$8&lt;&gt;"Có",P2906="Có")),"Có","Không"))</f>
        <v/>
      </c>
      <c r="R2906" s="22">
        <f>IF($D2906="","",IF(COUNTIF($D$2:$D2906,$D2906)&gt;1,"Trùng",""))</f>
        <v/>
      </c>
      <c r="S2906" s="22">
        <f>IF($D2906="","",IF(AND(LEN($D2906)=10,LEFT($D2906,1)="0",ISNUMBER(--$D2906)),"Có","Không"))</f>
        <v/>
      </c>
      <c r="T2906" s="22">
        <f>IF($D2906="","",IF(AND($C2906&lt;&gt;"",$Q2906="Có",$R2906="",$S2906="Có",AND($L2906&lt;&gt;"",OR($L2906&lt;&gt;"Chưa xác định",DANH_MUC!$L$9="Có"))),"Có","Không"))</f>
        <v/>
      </c>
      <c r="U2906" s="22">
        <f>IF(OR($D2906="",$T2906="Có"),"",IF($C2906="","Thiếu họ tên; ","")&amp;IF($S2906&lt;&gt;"Có","SĐT sai định dạng; ","")&amp;IF($R2906="Trùng","Trùng SĐT; ","")&amp;IF($Q2906&lt;&gt;"Có","Thiếu đồng ý bắt buộc; ","")&amp;IF($L2906="","Thiếu/sai Mã REF; ",IF(AND($L2906="Chưa xác định",DANH_MUC!$L$9&lt;&gt;"Có"),"Nguồn chưa xác định; ","")))</f>
        <v/>
      </c>
      <c r="V2906" s="22">
        <f>IF(OR($D2906="",$R2906="Trùng"),"",IF(COUNTIF(ORDERS!$C$2:$C$4995,$D2906)&gt;0,"Có","Không"))</f>
        <v/>
      </c>
      <c r="W2906" s="22">
        <f>IF(OR($D2906="",$R2906="Trùng"),"",COUNTIFS(ORDERS!$C$2:$C$4995,$D2906,ORDERS!$L$2:$L$4995,"Đã chuyển khoản"))</f>
        <v/>
      </c>
      <c r="X2906" s="23">
        <f>IF(OR($D2906="",$R2906="Trùng"),"",SUMIFS(ORDERS!$J$2:$J$4995,ORDERS!$C$2:$C$4995,$D2906,ORDERS!$L$2:$L$4995,"Đã chuyển khoản"))</f>
        <v/>
      </c>
      <c r="Y2906" s="24" t="n"/>
    </row>
    <row r="2907" ht="14.25" customHeight="1" s="40">
      <c r="A2907" s="24" t="n"/>
      <c r="B2907" s="27" t="n"/>
      <c r="C2907" s="24" t="n"/>
      <c r="D2907" s="28" t="n"/>
      <c r="E2907" s="29" t="n"/>
      <c r="F2907" s="24" t="n"/>
      <c r="G2907" s="24" t="n"/>
      <c r="H2907" s="21">
        <f>IF(ISNUMBER($B2907),INT($B2907)-WEEKDAY($B2907,2)+1,"")</f>
        <v/>
      </c>
      <c r="I2907" s="24" t="n"/>
      <c r="J2907" s="22">
        <f t="array" ref="J2907">IF($D2907="","",IF($I2907="","(trống REF)",IFERROR(INDEX(MASTER_SOURCE!$B$2:$B$495,MATCH($I2907,MASTER_SOURCE!$A$2:$A$495,0)),"(REF không có trong MASTER_SOURCE)")))</f>
        <v/>
      </c>
      <c r="K2907" s="22">
        <f t="array" ref="K2907">IF($D2907="","",IFERROR(INDEX(MASTER_SOURCE!$C$2:$C$495,MATCH($I2907,MASTER_SOURCE!$A$2:$A$495,0)),""))</f>
        <v/>
      </c>
      <c r="L2907" s="22">
        <f t="array" ref="L2907">IF($D2907="","",IFERROR(INDEX(MASTER_SOURCE!$D$2:$D$495,MATCH($I2907,MASTER_SOURCE!$A$2:$A$495,0)),""))</f>
        <v/>
      </c>
      <c r="M2907" s="24" t="n"/>
      <c r="N2907" s="24" t="n"/>
      <c r="O2907" s="24" t="n"/>
      <c r="P2907" s="24" t="n"/>
      <c r="Q2907" s="22">
        <f>IF($D2907="","",IF(AND(OR(DANH_MUC!$L$5&lt;&gt;"Có",M2907="Có"),OR(DANH_MUC!$L$6&lt;&gt;"Có",N2907="Có"),OR(DANH_MUC!$L$7&lt;&gt;"Có",O2907="Có"),OR(DANH_MUC!$L$8&lt;&gt;"Có",P2907="Có")),"Có","Không"))</f>
        <v/>
      </c>
      <c r="R2907" s="22">
        <f>IF($D2907="","",IF(COUNTIF($D$2:$D2907,$D2907)&gt;1,"Trùng",""))</f>
        <v/>
      </c>
      <c r="S2907" s="22">
        <f>IF($D2907="","",IF(AND(LEN($D2907)=10,LEFT($D2907,1)="0",ISNUMBER(--$D2907)),"Có","Không"))</f>
        <v/>
      </c>
      <c r="T2907" s="22">
        <f>IF($D2907="","",IF(AND($C2907&lt;&gt;"",$Q2907="Có",$R2907="",$S2907="Có",AND($L2907&lt;&gt;"",OR($L2907&lt;&gt;"Chưa xác định",DANH_MUC!$L$9="Có"))),"Có","Không"))</f>
        <v/>
      </c>
      <c r="U2907" s="22">
        <f>IF(OR($D2907="",$T2907="Có"),"",IF($C2907="","Thiếu họ tên; ","")&amp;IF($S2907&lt;&gt;"Có","SĐT sai định dạng; ","")&amp;IF($R2907="Trùng","Trùng SĐT; ","")&amp;IF($Q2907&lt;&gt;"Có","Thiếu đồng ý bắt buộc; ","")&amp;IF($L2907="","Thiếu/sai Mã REF; ",IF(AND($L2907="Chưa xác định",DANH_MUC!$L$9&lt;&gt;"Có"),"Nguồn chưa xác định; ","")))</f>
        <v/>
      </c>
      <c r="V2907" s="22">
        <f>IF(OR($D2907="",$R2907="Trùng"),"",IF(COUNTIF(ORDERS!$C$2:$C$4995,$D2907)&gt;0,"Có","Không"))</f>
        <v/>
      </c>
      <c r="W2907" s="22">
        <f>IF(OR($D2907="",$R2907="Trùng"),"",COUNTIFS(ORDERS!$C$2:$C$4995,$D2907,ORDERS!$L$2:$L$4995,"Đã chuyển khoản"))</f>
        <v/>
      </c>
      <c r="X2907" s="23">
        <f>IF(OR($D2907="",$R2907="Trùng"),"",SUMIFS(ORDERS!$J$2:$J$4995,ORDERS!$C$2:$C$4995,$D2907,ORDERS!$L$2:$L$4995,"Đã chuyển khoản"))</f>
        <v/>
      </c>
      <c r="Y2907" s="24" t="n"/>
    </row>
    <row r="2908" ht="14.25" customHeight="1" s="40">
      <c r="A2908" s="24" t="n"/>
      <c r="B2908" s="27" t="n"/>
      <c r="C2908" s="24" t="n"/>
      <c r="D2908" s="28" t="n"/>
      <c r="E2908" s="29" t="n"/>
      <c r="F2908" s="24" t="n"/>
      <c r="G2908" s="24" t="n"/>
      <c r="H2908" s="21">
        <f>IF(ISNUMBER($B2908),INT($B2908)-WEEKDAY($B2908,2)+1,"")</f>
        <v/>
      </c>
      <c r="I2908" s="24" t="n"/>
      <c r="J2908" s="22">
        <f t="array" ref="J2908">IF($D2908="","",IF($I2908="","(trống REF)",IFERROR(INDEX(MASTER_SOURCE!$B$2:$B$495,MATCH($I2908,MASTER_SOURCE!$A$2:$A$495,0)),"(REF không có trong MASTER_SOURCE)")))</f>
        <v/>
      </c>
      <c r="K2908" s="22">
        <f t="array" ref="K2908">IF($D2908="","",IFERROR(INDEX(MASTER_SOURCE!$C$2:$C$495,MATCH($I2908,MASTER_SOURCE!$A$2:$A$495,0)),""))</f>
        <v/>
      </c>
      <c r="L2908" s="22">
        <f t="array" ref="L2908">IF($D2908="","",IFERROR(INDEX(MASTER_SOURCE!$D$2:$D$495,MATCH($I2908,MASTER_SOURCE!$A$2:$A$495,0)),""))</f>
        <v/>
      </c>
      <c r="M2908" s="24" t="n"/>
      <c r="N2908" s="24" t="n"/>
      <c r="O2908" s="24" t="n"/>
      <c r="P2908" s="24" t="n"/>
      <c r="Q2908" s="22">
        <f>IF($D2908="","",IF(AND(OR(DANH_MUC!$L$5&lt;&gt;"Có",M2908="Có"),OR(DANH_MUC!$L$6&lt;&gt;"Có",N2908="Có"),OR(DANH_MUC!$L$7&lt;&gt;"Có",O2908="Có"),OR(DANH_MUC!$L$8&lt;&gt;"Có",P2908="Có")),"Có","Không"))</f>
        <v/>
      </c>
      <c r="R2908" s="22">
        <f>IF($D2908="","",IF(COUNTIF($D$2:$D2908,$D2908)&gt;1,"Trùng",""))</f>
        <v/>
      </c>
      <c r="S2908" s="22">
        <f>IF($D2908="","",IF(AND(LEN($D2908)=10,LEFT($D2908,1)="0",ISNUMBER(--$D2908)),"Có","Không"))</f>
        <v/>
      </c>
      <c r="T2908" s="22">
        <f>IF($D2908="","",IF(AND($C2908&lt;&gt;"",$Q2908="Có",$R2908="",$S2908="Có",AND($L2908&lt;&gt;"",OR($L2908&lt;&gt;"Chưa xác định",DANH_MUC!$L$9="Có"))),"Có","Không"))</f>
        <v/>
      </c>
      <c r="U2908" s="22">
        <f>IF(OR($D2908="",$T2908="Có"),"",IF($C2908="","Thiếu họ tên; ","")&amp;IF($S2908&lt;&gt;"Có","SĐT sai định dạng; ","")&amp;IF($R2908="Trùng","Trùng SĐT; ","")&amp;IF($Q2908&lt;&gt;"Có","Thiếu đồng ý bắt buộc; ","")&amp;IF($L2908="","Thiếu/sai Mã REF; ",IF(AND($L2908="Chưa xác định",DANH_MUC!$L$9&lt;&gt;"Có"),"Nguồn chưa xác định; ","")))</f>
        <v/>
      </c>
      <c r="V2908" s="22">
        <f>IF(OR($D2908="",$R2908="Trùng"),"",IF(COUNTIF(ORDERS!$C$2:$C$4995,$D2908)&gt;0,"Có","Không"))</f>
        <v/>
      </c>
      <c r="W2908" s="22">
        <f>IF(OR($D2908="",$R2908="Trùng"),"",COUNTIFS(ORDERS!$C$2:$C$4995,$D2908,ORDERS!$L$2:$L$4995,"Đã chuyển khoản"))</f>
        <v/>
      </c>
      <c r="X2908" s="23">
        <f>IF(OR($D2908="",$R2908="Trùng"),"",SUMIFS(ORDERS!$J$2:$J$4995,ORDERS!$C$2:$C$4995,$D2908,ORDERS!$L$2:$L$4995,"Đã chuyển khoản"))</f>
        <v/>
      </c>
      <c r="Y2908" s="24" t="n"/>
    </row>
    <row r="2909" ht="14.25" customHeight="1" s="40">
      <c r="A2909" s="24" t="n"/>
      <c r="B2909" s="27" t="n"/>
      <c r="C2909" s="24" t="n"/>
      <c r="D2909" s="28" t="n"/>
      <c r="E2909" s="29" t="n"/>
      <c r="F2909" s="24" t="n"/>
      <c r="G2909" s="24" t="n"/>
      <c r="H2909" s="21">
        <f>IF(ISNUMBER($B2909),INT($B2909)-WEEKDAY($B2909,2)+1,"")</f>
        <v/>
      </c>
      <c r="I2909" s="24" t="n"/>
      <c r="J2909" s="22">
        <f t="array" ref="J2909">IF($D2909="","",IF($I2909="","(trống REF)",IFERROR(INDEX(MASTER_SOURCE!$B$2:$B$495,MATCH($I2909,MASTER_SOURCE!$A$2:$A$495,0)),"(REF không có trong MASTER_SOURCE)")))</f>
        <v/>
      </c>
      <c r="K2909" s="22">
        <f t="array" ref="K2909">IF($D2909="","",IFERROR(INDEX(MASTER_SOURCE!$C$2:$C$495,MATCH($I2909,MASTER_SOURCE!$A$2:$A$495,0)),""))</f>
        <v/>
      </c>
      <c r="L2909" s="22">
        <f t="array" ref="L2909">IF($D2909="","",IFERROR(INDEX(MASTER_SOURCE!$D$2:$D$495,MATCH($I2909,MASTER_SOURCE!$A$2:$A$495,0)),""))</f>
        <v/>
      </c>
      <c r="M2909" s="24" t="n"/>
      <c r="N2909" s="24" t="n"/>
      <c r="O2909" s="24" t="n"/>
      <c r="P2909" s="24" t="n"/>
      <c r="Q2909" s="22">
        <f>IF($D2909="","",IF(AND(OR(DANH_MUC!$L$5&lt;&gt;"Có",M2909="Có"),OR(DANH_MUC!$L$6&lt;&gt;"Có",N2909="Có"),OR(DANH_MUC!$L$7&lt;&gt;"Có",O2909="Có"),OR(DANH_MUC!$L$8&lt;&gt;"Có",P2909="Có")),"Có","Không"))</f>
        <v/>
      </c>
      <c r="R2909" s="22">
        <f>IF($D2909="","",IF(COUNTIF($D$2:$D2909,$D2909)&gt;1,"Trùng",""))</f>
        <v/>
      </c>
      <c r="S2909" s="22">
        <f>IF($D2909="","",IF(AND(LEN($D2909)=10,LEFT($D2909,1)="0",ISNUMBER(--$D2909)),"Có","Không"))</f>
        <v/>
      </c>
      <c r="T2909" s="22">
        <f>IF($D2909="","",IF(AND($C2909&lt;&gt;"",$Q2909="Có",$R2909="",$S2909="Có",AND($L2909&lt;&gt;"",OR($L2909&lt;&gt;"Chưa xác định",DANH_MUC!$L$9="Có"))),"Có","Không"))</f>
        <v/>
      </c>
      <c r="U2909" s="22">
        <f>IF(OR($D2909="",$T2909="Có"),"",IF($C2909="","Thiếu họ tên; ","")&amp;IF($S2909&lt;&gt;"Có","SĐT sai định dạng; ","")&amp;IF($R2909="Trùng","Trùng SĐT; ","")&amp;IF($Q2909&lt;&gt;"Có","Thiếu đồng ý bắt buộc; ","")&amp;IF($L2909="","Thiếu/sai Mã REF; ",IF(AND($L2909="Chưa xác định",DANH_MUC!$L$9&lt;&gt;"Có"),"Nguồn chưa xác định; ","")))</f>
        <v/>
      </c>
      <c r="V2909" s="22">
        <f>IF(OR($D2909="",$R2909="Trùng"),"",IF(COUNTIF(ORDERS!$C$2:$C$4995,$D2909)&gt;0,"Có","Không"))</f>
        <v/>
      </c>
      <c r="W2909" s="22">
        <f>IF(OR($D2909="",$R2909="Trùng"),"",COUNTIFS(ORDERS!$C$2:$C$4995,$D2909,ORDERS!$L$2:$L$4995,"Đã chuyển khoản"))</f>
        <v/>
      </c>
      <c r="X2909" s="23">
        <f>IF(OR($D2909="",$R2909="Trùng"),"",SUMIFS(ORDERS!$J$2:$J$4995,ORDERS!$C$2:$C$4995,$D2909,ORDERS!$L$2:$L$4995,"Đã chuyển khoản"))</f>
        <v/>
      </c>
      <c r="Y2909" s="24" t="n"/>
    </row>
    <row r="2910" ht="14.25" customHeight="1" s="40">
      <c r="A2910" s="24" t="n"/>
      <c r="B2910" s="27" t="n"/>
      <c r="C2910" s="24" t="n"/>
      <c r="D2910" s="28" t="n"/>
      <c r="E2910" s="29" t="n"/>
      <c r="F2910" s="24" t="n"/>
      <c r="G2910" s="24" t="n"/>
      <c r="H2910" s="21">
        <f>IF(ISNUMBER($B2910),INT($B2910)-WEEKDAY($B2910,2)+1,"")</f>
        <v/>
      </c>
      <c r="I2910" s="24" t="n"/>
      <c r="J2910" s="22">
        <f t="array" ref="J2910">IF($D2910="","",IF($I2910="","(trống REF)",IFERROR(INDEX(MASTER_SOURCE!$B$2:$B$495,MATCH($I2910,MASTER_SOURCE!$A$2:$A$495,0)),"(REF không có trong MASTER_SOURCE)")))</f>
        <v/>
      </c>
      <c r="K2910" s="22">
        <f t="array" ref="K2910">IF($D2910="","",IFERROR(INDEX(MASTER_SOURCE!$C$2:$C$495,MATCH($I2910,MASTER_SOURCE!$A$2:$A$495,0)),""))</f>
        <v/>
      </c>
      <c r="L2910" s="22">
        <f t="array" ref="L2910">IF($D2910="","",IFERROR(INDEX(MASTER_SOURCE!$D$2:$D$495,MATCH($I2910,MASTER_SOURCE!$A$2:$A$495,0)),""))</f>
        <v/>
      </c>
      <c r="M2910" s="24" t="n"/>
      <c r="N2910" s="24" t="n"/>
      <c r="O2910" s="24" t="n"/>
      <c r="P2910" s="24" t="n"/>
      <c r="Q2910" s="22">
        <f>IF($D2910="","",IF(AND(OR(DANH_MUC!$L$5&lt;&gt;"Có",M2910="Có"),OR(DANH_MUC!$L$6&lt;&gt;"Có",N2910="Có"),OR(DANH_MUC!$L$7&lt;&gt;"Có",O2910="Có"),OR(DANH_MUC!$L$8&lt;&gt;"Có",P2910="Có")),"Có","Không"))</f>
        <v/>
      </c>
      <c r="R2910" s="22">
        <f>IF($D2910="","",IF(COUNTIF($D$2:$D2910,$D2910)&gt;1,"Trùng",""))</f>
        <v/>
      </c>
      <c r="S2910" s="22">
        <f>IF($D2910="","",IF(AND(LEN($D2910)=10,LEFT($D2910,1)="0",ISNUMBER(--$D2910)),"Có","Không"))</f>
        <v/>
      </c>
      <c r="T2910" s="22">
        <f>IF($D2910="","",IF(AND($C2910&lt;&gt;"",$Q2910="Có",$R2910="",$S2910="Có",AND($L2910&lt;&gt;"",OR($L2910&lt;&gt;"Chưa xác định",DANH_MUC!$L$9="Có"))),"Có","Không"))</f>
        <v/>
      </c>
      <c r="U2910" s="22">
        <f>IF(OR($D2910="",$T2910="Có"),"",IF($C2910="","Thiếu họ tên; ","")&amp;IF($S2910&lt;&gt;"Có","SĐT sai định dạng; ","")&amp;IF($R2910="Trùng","Trùng SĐT; ","")&amp;IF($Q2910&lt;&gt;"Có","Thiếu đồng ý bắt buộc; ","")&amp;IF($L2910="","Thiếu/sai Mã REF; ",IF(AND($L2910="Chưa xác định",DANH_MUC!$L$9&lt;&gt;"Có"),"Nguồn chưa xác định; ","")))</f>
        <v/>
      </c>
      <c r="V2910" s="22">
        <f>IF(OR($D2910="",$R2910="Trùng"),"",IF(COUNTIF(ORDERS!$C$2:$C$4995,$D2910)&gt;0,"Có","Không"))</f>
        <v/>
      </c>
      <c r="W2910" s="22">
        <f>IF(OR($D2910="",$R2910="Trùng"),"",COUNTIFS(ORDERS!$C$2:$C$4995,$D2910,ORDERS!$L$2:$L$4995,"Đã chuyển khoản"))</f>
        <v/>
      </c>
      <c r="X2910" s="23">
        <f>IF(OR($D2910="",$R2910="Trùng"),"",SUMIFS(ORDERS!$J$2:$J$4995,ORDERS!$C$2:$C$4995,$D2910,ORDERS!$L$2:$L$4995,"Đã chuyển khoản"))</f>
        <v/>
      </c>
      <c r="Y2910" s="24" t="n"/>
    </row>
    <row r="2911" ht="14.25" customHeight="1" s="40">
      <c r="A2911" s="24" t="n"/>
      <c r="B2911" s="27" t="n"/>
      <c r="C2911" s="24" t="n"/>
      <c r="D2911" s="28" t="n"/>
      <c r="E2911" s="29" t="n"/>
      <c r="F2911" s="24" t="n"/>
      <c r="G2911" s="24" t="n"/>
      <c r="H2911" s="21">
        <f>IF(ISNUMBER($B2911),INT($B2911)-WEEKDAY($B2911,2)+1,"")</f>
        <v/>
      </c>
      <c r="I2911" s="24" t="n"/>
      <c r="J2911" s="22">
        <f t="array" ref="J2911">IF($D2911="","",IF($I2911="","(trống REF)",IFERROR(INDEX(MASTER_SOURCE!$B$2:$B$495,MATCH($I2911,MASTER_SOURCE!$A$2:$A$495,0)),"(REF không có trong MASTER_SOURCE)")))</f>
        <v/>
      </c>
      <c r="K2911" s="22">
        <f t="array" ref="K2911">IF($D2911="","",IFERROR(INDEX(MASTER_SOURCE!$C$2:$C$495,MATCH($I2911,MASTER_SOURCE!$A$2:$A$495,0)),""))</f>
        <v/>
      </c>
      <c r="L2911" s="22">
        <f t="array" ref="L2911">IF($D2911="","",IFERROR(INDEX(MASTER_SOURCE!$D$2:$D$495,MATCH($I2911,MASTER_SOURCE!$A$2:$A$495,0)),""))</f>
        <v/>
      </c>
      <c r="M2911" s="24" t="n"/>
      <c r="N2911" s="24" t="n"/>
      <c r="O2911" s="24" t="n"/>
      <c r="P2911" s="24" t="n"/>
      <c r="Q2911" s="22">
        <f>IF($D2911="","",IF(AND(OR(DANH_MUC!$L$5&lt;&gt;"Có",M2911="Có"),OR(DANH_MUC!$L$6&lt;&gt;"Có",N2911="Có"),OR(DANH_MUC!$L$7&lt;&gt;"Có",O2911="Có"),OR(DANH_MUC!$L$8&lt;&gt;"Có",P2911="Có")),"Có","Không"))</f>
        <v/>
      </c>
      <c r="R2911" s="22">
        <f>IF($D2911="","",IF(COUNTIF($D$2:$D2911,$D2911)&gt;1,"Trùng",""))</f>
        <v/>
      </c>
      <c r="S2911" s="22">
        <f>IF($D2911="","",IF(AND(LEN($D2911)=10,LEFT($D2911,1)="0",ISNUMBER(--$D2911)),"Có","Không"))</f>
        <v/>
      </c>
      <c r="T2911" s="22">
        <f>IF($D2911="","",IF(AND($C2911&lt;&gt;"",$Q2911="Có",$R2911="",$S2911="Có",AND($L2911&lt;&gt;"",OR($L2911&lt;&gt;"Chưa xác định",DANH_MUC!$L$9="Có"))),"Có","Không"))</f>
        <v/>
      </c>
      <c r="U2911" s="22">
        <f>IF(OR($D2911="",$T2911="Có"),"",IF($C2911="","Thiếu họ tên; ","")&amp;IF($S2911&lt;&gt;"Có","SĐT sai định dạng; ","")&amp;IF($R2911="Trùng","Trùng SĐT; ","")&amp;IF($Q2911&lt;&gt;"Có","Thiếu đồng ý bắt buộc; ","")&amp;IF($L2911="","Thiếu/sai Mã REF; ",IF(AND($L2911="Chưa xác định",DANH_MUC!$L$9&lt;&gt;"Có"),"Nguồn chưa xác định; ","")))</f>
        <v/>
      </c>
      <c r="V2911" s="22">
        <f>IF(OR($D2911="",$R2911="Trùng"),"",IF(COUNTIF(ORDERS!$C$2:$C$4995,$D2911)&gt;0,"Có","Không"))</f>
        <v/>
      </c>
      <c r="W2911" s="22">
        <f>IF(OR($D2911="",$R2911="Trùng"),"",COUNTIFS(ORDERS!$C$2:$C$4995,$D2911,ORDERS!$L$2:$L$4995,"Đã chuyển khoản"))</f>
        <v/>
      </c>
      <c r="X2911" s="23">
        <f>IF(OR($D2911="",$R2911="Trùng"),"",SUMIFS(ORDERS!$J$2:$J$4995,ORDERS!$C$2:$C$4995,$D2911,ORDERS!$L$2:$L$4995,"Đã chuyển khoản"))</f>
        <v/>
      </c>
      <c r="Y2911" s="24" t="n"/>
    </row>
    <row r="2912" ht="14.25" customHeight="1" s="40">
      <c r="A2912" s="24" t="n"/>
      <c r="B2912" s="27" t="n"/>
      <c r="C2912" s="24" t="n"/>
      <c r="D2912" s="28" t="n"/>
      <c r="E2912" s="29" t="n"/>
      <c r="F2912" s="24" t="n"/>
      <c r="G2912" s="24" t="n"/>
      <c r="H2912" s="21">
        <f>IF(ISNUMBER($B2912),INT($B2912)-WEEKDAY($B2912,2)+1,"")</f>
        <v/>
      </c>
      <c r="I2912" s="24" t="n"/>
      <c r="J2912" s="22">
        <f t="array" ref="J2912">IF($D2912="","",IF($I2912="","(trống REF)",IFERROR(INDEX(MASTER_SOURCE!$B$2:$B$495,MATCH($I2912,MASTER_SOURCE!$A$2:$A$495,0)),"(REF không có trong MASTER_SOURCE)")))</f>
        <v/>
      </c>
      <c r="K2912" s="22">
        <f t="array" ref="K2912">IF($D2912="","",IFERROR(INDEX(MASTER_SOURCE!$C$2:$C$495,MATCH($I2912,MASTER_SOURCE!$A$2:$A$495,0)),""))</f>
        <v/>
      </c>
      <c r="L2912" s="22">
        <f t="array" ref="L2912">IF($D2912="","",IFERROR(INDEX(MASTER_SOURCE!$D$2:$D$495,MATCH($I2912,MASTER_SOURCE!$A$2:$A$495,0)),""))</f>
        <v/>
      </c>
      <c r="M2912" s="24" t="n"/>
      <c r="N2912" s="24" t="n"/>
      <c r="O2912" s="24" t="n"/>
      <c r="P2912" s="24" t="n"/>
      <c r="Q2912" s="22">
        <f>IF($D2912="","",IF(AND(OR(DANH_MUC!$L$5&lt;&gt;"Có",M2912="Có"),OR(DANH_MUC!$L$6&lt;&gt;"Có",N2912="Có"),OR(DANH_MUC!$L$7&lt;&gt;"Có",O2912="Có"),OR(DANH_MUC!$L$8&lt;&gt;"Có",P2912="Có")),"Có","Không"))</f>
        <v/>
      </c>
      <c r="R2912" s="22">
        <f>IF($D2912="","",IF(COUNTIF($D$2:$D2912,$D2912)&gt;1,"Trùng",""))</f>
        <v/>
      </c>
      <c r="S2912" s="22">
        <f>IF($D2912="","",IF(AND(LEN($D2912)=10,LEFT($D2912,1)="0",ISNUMBER(--$D2912)),"Có","Không"))</f>
        <v/>
      </c>
      <c r="T2912" s="22">
        <f>IF($D2912="","",IF(AND($C2912&lt;&gt;"",$Q2912="Có",$R2912="",$S2912="Có",AND($L2912&lt;&gt;"",OR($L2912&lt;&gt;"Chưa xác định",DANH_MUC!$L$9="Có"))),"Có","Không"))</f>
        <v/>
      </c>
      <c r="U2912" s="22">
        <f>IF(OR($D2912="",$T2912="Có"),"",IF($C2912="","Thiếu họ tên; ","")&amp;IF($S2912&lt;&gt;"Có","SĐT sai định dạng; ","")&amp;IF($R2912="Trùng","Trùng SĐT; ","")&amp;IF($Q2912&lt;&gt;"Có","Thiếu đồng ý bắt buộc; ","")&amp;IF($L2912="","Thiếu/sai Mã REF; ",IF(AND($L2912="Chưa xác định",DANH_MUC!$L$9&lt;&gt;"Có"),"Nguồn chưa xác định; ","")))</f>
        <v/>
      </c>
      <c r="V2912" s="22">
        <f>IF(OR($D2912="",$R2912="Trùng"),"",IF(COUNTIF(ORDERS!$C$2:$C$4995,$D2912)&gt;0,"Có","Không"))</f>
        <v/>
      </c>
      <c r="W2912" s="22">
        <f>IF(OR($D2912="",$R2912="Trùng"),"",COUNTIFS(ORDERS!$C$2:$C$4995,$D2912,ORDERS!$L$2:$L$4995,"Đã chuyển khoản"))</f>
        <v/>
      </c>
      <c r="X2912" s="23">
        <f>IF(OR($D2912="",$R2912="Trùng"),"",SUMIFS(ORDERS!$J$2:$J$4995,ORDERS!$C$2:$C$4995,$D2912,ORDERS!$L$2:$L$4995,"Đã chuyển khoản"))</f>
        <v/>
      </c>
      <c r="Y2912" s="24" t="n"/>
    </row>
    <row r="2913" ht="14.25" customHeight="1" s="40">
      <c r="A2913" s="24" t="n"/>
      <c r="B2913" s="27" t="n"/>
      <c r="C2913" s="24" t="n"/>
      <c r="D2913" s="28" t="n"/>
      <c r="E2913" s="29" t="n"/>
      <c r="F2913" s="24" t="n"/>
      <c r="G2913" s="24" t="n"/>
      <c r="H2913" s="21">
        <f>IF(ISNUMBER($B2913),INT($B2913)-WEEKDAY($B2913,2)+1,"")</f>
        <v/>
      </c>
      <c r="I2913" s="24" t="n"/>
      <c r="J2913" s="22">
        <f t="array" ref="J2913">IF($D2913="","",IF($I2913="","(trống REF)",IFERROR(INDEX(MASTER_SOURCE!$B$2:$B$495,MATCH($I2913,MASTER_SOURCE!$A$2:$A$495,0)),"(REF không có trong MASTER_SOURCE)")))</f>
        <v/>
      </c>
      <c r="K2913" s="22">
        <f t="array" ref="K2913">IF($D2913="","",IFERROR(INDEX(MASTER_SOURCE!$C$2:$C$495,MATCH($I2913,MASTER_SOURCE!$A$2:$A$495,0)),""))</f>
        <v/>
      </c>
      <c r="L2913" s="22">
        <f t="array" ref="L2913">IF($D2913="","",IFERROR(INDEX(MASTER_SOURCE!$D$2:$D$495,MATCH($I2913,MASTER_SOURCE!$A$2:$A$495,0)),""))</f>
        <v/>
      </c>
      <c r="M2913" s="24" t="n"/>
      <c r="N2913" s="24" t="n"/>
      <c r="O2913" s="24" t="n"/>
      <c r="P2913" s="24" t="n"/>
      <c r="Q2913" s="22">
        <f>IF($D2913="","",IF(AND(OR(DANH_MUC!$L$5&lt;&gt;"Có",M2913="Có"),OR(DANH_MUC!$L$6&lt;&gt;"Có",N2913="Có"),OR(DANH_MUC!$L$7&lt;&gt;"Có",O2913="Có"),OR(DANH_MUC!$L$8&lt;&gt;"Có",P2913="Có")),"Có","Không"))</f>
        <v/>
      </c>
      <c r="R2913" s="22">
        <f>IF($D2913="","",IF(COUNTIF($D$2:$D2913,$D2913)&gt;1,"Trùng",""))</f>
        <v/>
      </c>
      <c r="S2913" s="22">
        <f>IF($D2913="","",IF(AND(LEN($D2913)=10,LEFT($D2913,1)="0",ISNUMBER(--$D2913)),"Có","Không"))</f>
        <v/>
      </c>
      <c r="T2913" s="22">
        <f>IF($D2913="","",IF(AND($C2913&lt;&gt;"",$Q2913="Có",$R2913="",$S2913="Có",AND($L2913&lt;&gt;"",OR($L2913&lt;&gt;"Chưa xác định",DANH_MUC!$L$9="Có"))),"Có","Không"))</f>
        <v/>
      </c>
      <c r="U2913" s="22">
        <f>IF(OR($D2913="",$T2913="Có"),"",IF($C2913="","Thiếu họ tên; ","")&amp;IF($S2913&lt;&gt;"Có","SĐT sai định dạng; ","")&amp;IF($R2913="Trùng","Trùng SĐT; ","")&amp;IF($Q2913&lt;&gt;"Có","Thiếu đồng ý bắt buộc; ","")&amp;IF($L2913="","Thiếu/sai Mã REF; ",IF(AND($L2913="Chưa xác định",DANH_MUC!$L$9&lt;&gt;"Có"),"Nguồn chưa xác định; ","")))</f>
        <v/>
      </c>
      <c r="V2913" s="22">
        <f>IF(OR($D2913="",$R2913="Trùng"),"",IF(COUNTIF(ORDERS!$C$2:$C$4995,$D2913)&gt;0,"Có","Không"))</f>
        <v/>
      </c>
      <c r="W2913" s="22">
        <f>IF(OR($D2913="",$R2913="Trùng"),"",COUNTIFS(ORDERS!$C$2:$C$4995,$D2913,ORDERS!$L$2:$L$4995,"Đã chuyển khoản"))</f>
        <v/>
      </c>
      <c r="X2913" s="23">
        <f>IF(OR($D2913="",$R2913="Trùng"),"",SUMIFS(ORDERS!$J$2:$J$4995,ORDERS!$C$2:$C$4995,$D2913,ORDERS!$L$2:$L$4995,"Đã chuyển khoản"))</f>
        <v/>
      </c>
      <c r="Y2913" s="24" t="n"/>
    </row>
    <row r="2914" ht="14.25" customHeight="1" s="40">
      <c r="A2914" s="24" t="n"/>
      <c r="B2914" s="27" t="n"/>
      <c r="C2914" s="24" t="n"/>
      <c r="D2914" s="28" t="n"/>
      <c r="E2914" s="29" t="n"/>
      <c r="F2914" s="24" t="n"/>
      <c r="G2914" s="24" t="n"/>
      <c r="H2914" s="21">
        <f>IF(ISNUMBER($B2914),INT($B2914)-WEEKDAY($B2914,2)+1,"")</f>
        <v/>
      </c>
      <c r="I2914" s="24" t="n"/>
      <c r="J2914" s="22">
        <f t="array" ref="J2914">IF($D2914="","",IF($I2914="","(trống REF)",IFERROR(INDEX(MASTER_SOURCE!$B$2:$B$495,MATCH($I2914,MASTER_SOURCE!$A$2:$A$495,0)),"(REF không có trong MASTER_SOURCE)")))</f>
        <v/>
      </c>
      <c r="K2914" s="22">
        <f t="array" ref="K2914">IF($D2914="","",IFERROR(INDEX(MASTER_SOURCE!$C$2:$C$495,MATCH($I2914,MASTER_SOURCE!$A$2:$A$495,0)),""))</f>
        <v/>
      </c>
      <c r="L2914" s="22">
        <f t="array" ref="L2914">IF($D2914="","",IFERROR(INDEX(MASTER_SOURCE!$D$2:$D$495,MATCH($I2914,MASTER_SOURCE!$A$2:$A$495,0)),""))</f>
        <v/>
      </c>
      <c r="M2914" s="24" t="n"/>
      <c r="N2914" s="24" t="n"/>
      <c r="O2914" s="24" t="n"/>
      <c r="P2914" s="24" t="n"/>
      <c r="Q2914" s="22">
        <f>IF($D2914="","",IF(AND(OR(DANH_MUC!$L$5&lt;&gt;"Có",M2914="Có"),OR(DANH_MUC!$L$6&lt;&gt;"Có",N2914="Có"),OR(DANH_MUC!$L$7&lt;&gt;"Có",O2914="Có"),OR(DANH_MUC!$L$8&lt;&gt;"Có",P2914="Có")),"Có","Không"))</f>
        <v/>
      </c>
      <c r="R2914" s="22">
        <f>IF($D2914="","",IF(COUNTIF($D$2:$D2914,$D2914)&gt;1,"Trùng",""))</f>
        <v/>
      </c>
      <c r="S2914" s="22">
        <f>IF($D2914="","",IF(AND(LEN($D2914)=10,LEFT($D2914,1)="0",ISNUMBER(--$D2914)),"Có","Không"))</f>
        <v/>
      </c>
      <c r="T2914" s="22">
        <f>IF($D2914="","",IF(AND($C2914&lt;&gt;"",$Q2914="Có",$R2914="",$S2914="Có",AND($L2914&lt;&gt;"",OR($L2914&lt;&gt;"Chưa xác định",DANH_MUC!$L$9="Có"))),"Có","Không"))</f>
        <v/>
      </c>
      <c r="U2914" s="22">
        <f>IF(OR($D2914="",$T2914="Có"),"",IF($C2914="","Thiếu họ tên; ","")&amp;IF($S2914&lt;&gt;"Có","SĐT sai định dạng; ","")&amp;IF($R2914="Trùng","Trùng SĐT; ","")&amp;IF($Q2914&lt;&gt;"Có","Thiếu đồng ý bắt buộc; ","")&amp;IF($L2914="","Thiếu/sai Mã REF; ",IF(AND($L2914="Chưa xác định",DANH_MUC!$L$9&lt;&gt;"Có"),"Nguồn chưa xác định; ","")))</f>
        <v/>
      </c>
      <c r="V2914" s="22">
        <f>IF(OR($D2914="",$R2914="Trùng"),"",IF(COUNTIF(ORDERS!$C$2:$C$4995,$D2914)&gt;0,"Có","Không"))</f>
        <v/>
      </c>
      <c r="W2914" s="22">
        <f>IF(OR($D2914="",$R2914="Trùng"),"",COUNTIFS(ORDERS!$C$2:$C$4995,$D2914,ORDERS!$L$2:$L$4995,"Đã chuyển khoản"))</f>
        <v/>
      </c>
      <c r="X2914" s="23">
        <f>IF(OR($D2914="",$R2914="Trùng"),"",SUMIFS(ORDERS!$J$2:$J$4995,ORDERS!$C$2:$C$4995,$D2914,ORDERS!$L$2:$L$4995,"Đã chuyển khoản"))</f>
        <v/>
      </c>
      <c r="Y2914" s="24" t="n"/>
    </row>
    <row r="2915" ht="14.25" customHeight="1" s="40">
      <c r="A2915" s="24" t="n"/>
      <c r="B2915" s="27" t="n"/>
      <c r="C2915" s="24" t="n"/>
      <c r="D2915" s="28" t="n"/>
      <c r="E2915" s="29" t="n"/>
      <c r="F2915" s="24" t="n"/>
      <c r="G2915" s="24" t="n"/>
      <c r="H2915" s="21">
        <f>IF(ISNUMBER($B2915),INT($B2915)-WEEKDAY($B2915,2)+1,"")</f>
        <v/>
      </c>
      <c r="I2915" s="24" t="n"/>
      <c r="J2915" s="22">
        <f t="array" ref="J2915">IF($D2915="","",IF($I2915="","(trống REF)",IFERROR(INDEX(MASTER_SOURCE!$B$2:$B$495,MATCH($I2915,MASTER_SOURCE!$A$2:$A$495,0)),"(REF không có trong MASTER_SOURCE)")))</f>
        <v/>
      </c>
      <c r="K2915" s="22">
        <f t="array" ref="K2915">IF($D2915="","",IFERROR(INDEX(MASTER_SOURCE!$C$2:$C$495,MATCH($I2915,MASTER_SOURCE!$A$2:$A$495,0)),""))</f>
        <v/>
      </c>
      <c r="L2915" s="22">
        <f t="array" ref="L2915">IF($D2915="","",IFERROR(INDEX(MASTER_SOURCE!$D$2:$D$495,MATCH($I2915,MASTER_SOURCE!$A$2:$A$495,0)),""))</f>
        <v/>
      </c>
      <c r="M2915" s="24" t="n"/>
      <c r="N2915" s="24" t="n"/>
      <c r="O2915" s="24" t="n"/>
      <c r="P2915" s="24" t="n"/>
      <c r="Q2915" s="22">
        <f>IF($D2915="","",IF(AND(OR(DANH_MUC!$L$5&lt;&gt;"Có",M2915="Có"),OR(DANH_MUC!$L$6&lt;&gt;"Có",N2915="Có"),OR(DANH_MUC!$L$7&lt;&gt;"Có",O2915="Có"),OR(DANH_MUC!$L$8&lt;&gt;"Có",P2915="Có")),"Có","Không"))</f>
        <v/>
      </c>
      <c r="R2915" s="22">
        <f>IF($D2915="","",IF(COUNTIF($D$2:$D2915,$D2915)&gt;1,"Trùng",""))</f>
        <v/>
      </c>
      <c r="S2915" s="22">
        <f>IF($D2915="","",IF(AND(LEN($D2915)=10,LEFT($D2915,1)="0",ISNUMBER(--$D2915)),"Có","Không"))</f>
        <v/>
      </c>
      <c r="T2915" s="22">
        <f>IF($D2915="","",IF(AND($C2915&lt;&gt;"",$Q2915="Có",$R2915="",$S2915="Có",AND($L2915&lt;&gt;"",OR($L2915&lt;&gt;"Chưa xác định",DANH_MUC!$L$9="Có"))),"Có","Không"))</f>
        <v/>
      </c>
      <c r="U2915" s="22">
        <f>IF(OR($D2915="",$T2915="Có"),"",IF($C2915="","Thiếu họ tên; ","")&amp;IF($S2915&lt;&gt;"Có","SĐT sai định dạng; ","")&amp;IF($R2915="Trùng","Trùng SĐT; ","")&amp;IF($Q2915&lt;&gt;"Có","Thiếu đồng ý bắt buộc; ","")&amp;IF($L2915="","Thiếu/sai Mã REF; ",IF(AND($L2915="Chưa xác định",DANH_MUC!$L$9&lt;&gt;"Có"),"Nguồn chưa xác định; ","")))</f>
        <v/>
      </c>
      <c r="V2915" s="22">
        <f>IF(OR($D2915="",$R2915="Trùng"),"",IF(COUNTIF(ORDERS!$C$2:$C$4995,$D2915)&gt;0,"Có","Không"))</f>
        <v/>
      </c>
      <c r="W2915" s="22">
        <f>IF(OR($D2915="",$R2915="Trùng"),"",COUNTIFS(ORDERS!$C$2:$C$4995,$D2915,ORDERS!$L$2:$L$4995,"Đã chuyển khoản"))</f>
        <v/>
      </c>
      <c r="X2915" s="23">
        <f>IF(OR($D2915="",$R2915="Trùng"),"",SUMIFS(ORDERS!$J$2:$J$4995,ORDERS!$C$2:$C$4995,$D2915,ORDERS!$L$2:$L$4995,"Đã chuyển khoản"))</f>
        <v/>
      </c>
      <c r="Y2915" s="24" t="n"/>
    </row>
    <row r="2916" ht="14.25" customHeight="1" s="40">
      <c r="A2916" s="24" t="n"/>
      <c r="B2916" s="27" t="n"/>
      <c r="C2916" s="24" t="n"/>
      <c r="D2916" s="28" t="n"/>
      <c r="E2916" s="29" t="n"/>
      <c r="F2916" s="24" t="n"/>
      <c r="G2916" s="24" t="n"/>
      <c r="H2916" s="21">
        <f>IF(ISNUMBER($B2916),INT($B2916)-WEEKDAY($B2916,2)+1,"")</f>
        <v/>
      </c>
      <c r="I2916" s="24" t="n"/>
      <c r="J2916" s="22">
        <f t="array" ref="J2916">IF($D2916="","",IF($I2916="","(trống REF)",IFERROR(INDEX(MASTER_SOURCE!$B$2:$B$495,MATCH($I2916,MASTER_SOURCE!$A$2:$A$495,0)),"(REF không có trong MASTER_SOURCE)")))</f>
        <v/>
      </c>
      <c r="K2916" s="22">
        <f t="array" ref="K2916">IF($D2916="","",IFERROR(INDEX(MASTER_SOURCE!$C$2:$C$495,MATCH($I2916,MASTER_SOURCE!$A$2:$A$495,0)),""))</f>
        <v/>
      </c>
      <c r="L2916" s="22">
        <f t="array" ref="L2916">IF($D2916="","",IFERROR(INDEX(MASTER_SOURCE!$D$2:$D$495,MATCH($I2916,MASTER_SOURCE!$A$2:$A$495,0)),""))</f>
        <v/>
      </c>
      <c r="M2916" s="24" t="n"/>
      <c r="N2916" s="24" t="n"/>
      <c r="O2916" s="24" t="n"/>
      <c r="P2916" s="24" t="n"/>
      <c r="Q2916" s="22">
        <f>IF($D2916="","",IF(AND(OR(DANH_MUC!$L$5&lt;&gt;"Có",M2916="Có"),OR(DANH_MUC!$L$6&lt;&gt;"Có",N2916="Có"),OR(DANH_MUC!$L$7&lt;&gt;"Có",O2916="Có"),OR(DANH_MUC!$L$8&lt;&gt;"Có",P2916="Có")),"Có","Không"))</f>
        <v/>
      </c>
      <c r="R2916" s="22">
        <f>IF($D2916="","",IF(COUNTIF($D$2:$D2916,$D2916)&gt;1,"Trùng",""))</f>
        <v/>
      </c>
      <c r="S2916" s="22">
        <f>IF($D2916="","",IF(AND(LEN($D2916)=10,LEFT($D2916,1)="0",ISNUMBER(--$D2916)),"Có","Không"))</f>
        <v/>
      </c>
      <c r="T2916" s="22">
        <f>IF($D2916="","",IF(AND($C2916&lt;&gt;"",$Q2916="Có",$R2916="",$S2916="Có",AND($L2916&lt;&gt;"",OR($L2916&lt;&gt;"Chưa xác định",DANH_MUC!$L$9="Có"))),"Có","Không"))</f>
        <v/>
      </c>
      <c r="U2916" s="22">
        <f>IF(OR($D2916="",$T2916="Có"),"",IF($C2916="","Thiếu họ tên; ","")&amp;IF($S2916&lt;&gt;"Có","SĐT sai định dạng; ","")&amp;IF($R2916="Trùng","Trùng SĐT; ","")&amp;IF($Q2916&lt;&gt;"Có","Thiếu đồng ý bắt buộc; ","")&amp;IF($L2916="","Thiếu/sai Mã REF; ",IF(AND($L2916="Chưa xác định",DANH_MUC!$L$9&lt;&gt;"Có"),"Nguồn chưa xác định; ","")))</f>
        <v/>
      </c>
      <c r="V2916" s="22">
        <f>IF(OR($D2916="",$R2916="Trùng"),"",IF(COUNTIF(ORDERS!$C$2:$C$4995,$D2916)&gt;0,"Có","Không"))</f>
        <v/>
      </c>
      <c r="W2916" s="22">
        <f>IF(OR($D2916="",$R2916="Trùng"),"",COUNTIFS(ORDERS!$C$2:$C$4995,$D2916,ORDERS!$L$2:$L$4995,"Đã chuyển khoản"))</f>
        <v/>
      </c>
      <c r="X2916" s="23">
        <f>IF(OR($D2916="",$R2916="Trùng"),"",SUMIFS(ORDERS!$J$2:$J$4995,ORDERS!$C$2:$C$4995,$D2916,ORDERS!$L$2:$L$4995,"Đã chuyển khoản"))</f>
        <v/>
      </c>
      <c r="Y2916" s="24" t="n"/>
    </row>
    <row r="2917" ht="14.25" customHeight="1" s="40">
      <c r="A2917" s="24" t="n"/>
      <c r="B2917" s="27" t="n"/>
      <c r="C2917" s="24" t="n"/>
      <c r="D2917" s="28" t="n"/>
      <c r="E2917" s="29" t="n"/>
      <c r="F2917" s="24" t="n"/>
      <c r="G2917" s="24" t="n"/>
      <c r="H2917" s="21">
        <f>IF(ISNUMBER($B2917),INT($B2917)-WEEKDAY($B2917,2)+1,"")</f>
        <v/>
      </c>
      <c r="I2917" s="24" t="n"/>
      <c r="J2917" s="22">
        <f t="array" ref="J2917">IF($D2917="","",IF($I2917="","(trống REF)",IFERROR(INDEX(MASTER_SOURCE!$B$2:$B$495,MATCH($I2917,MASTER_SOURCE!$A$2:$A$495,0)),"(REF không có trong MASTER_SOURCE)")))</f>
        <v/>
      </c>
      <c r="K2917" s="22">
        <f t="array" ref="K2917">IF($D2917="","",IFERROR(INDEX(MASTER_SOURCE!$C$2:$C$495,MATCH($I2917,MASTER_SOURCE!$A$2:$A$495,0)),""))</f>
        <v/>
      </c>
      <c r="L2917" s="22">
        <f t="array" ref="L2917">IF($D2917="","",IFERROR(INDEX(MASTER_SOURCE!$D$2:$D$495,MATCH($I2917,MASTER_SOURCE!$A$2:$A$495,0)),""))</f>
        <v/>
      </c>
      <c r="M2917" s="24" t="n"/>
      <c r="N2917" s="24" t="n"/>
      <c r="O2917" s="24" t="n"/>
      <c r="P2917" s="24" t="n"/>
      <c r="Q2917" s="22">
        <f>IF($D2917="","",IF(AND(OR(DANH_MUC!$L$5&lt;&gt;"Có",M2917="Có"),OR(DANH_MUC!$L$6&lt;&gt;"Có",N2917="Có"),OR(DANH_MUC!$L$7&lt;&gt;"Có",O2917="Có"),OR(DANH_MUC!$L$8&lt;&gt;"Có",P2917="Có")),"Có","Không"))</f>
        <v/>
      </c>
      <c r="R2917" s="22">
        <f>IF($D2917="","",IF(COUNTIF($D$2:$D2917,$D2917)&gt;1,"Trùng",""))</f>
        <v/>
      </c>
      <c r="S2917" s="22">
        <f>IF($D2917="","",IF(AND(LEN($D2917)=10,LEFT($D2917,1)="0",ISNUMBER(--$D2917)),"Có","Không"))</f>
        <v/>
      </c>
      <c r="T2917" s="22">
        <f>IF($D2917="","",IF(AND($C2917&lt;&gt;"",$Q2917="Có",$R2917="",$S2917="Có",AND($L2917&lt;&gt;"",OR($L2917&lt;&gt;"Chưa xác định",DANH_MUC!$L$9="Có"))),"Có","Không"))</f>
        <v/>
      </c>
      <c r="U2917" s="22">
        <f>IF(OR($D2917="",$T2917="Có"),"",IF($C2917="","Thiếu họ tên; ","")&amp;IF($S2917&lt;&gt;"Có","SĐT sai định dạng; ","")&amp;IF($R2917="Trùng","Trùng SĐT; ","")&amp;IF($Q2917&lt;&gt;"Có","Thiếu đồng ý bắt buộc; ","")&amp;IF($L2917="","Thiếu/sai Mã REF; ",IF(AND($L2917="Chưa xác định",DANH_MUC!$L$9&lt;&gt;"Có"),"Nguồn chưa xác định; ","")))</f>
        <v/>
      </c>
      <c r="V2917" s="22">
        <f>IF(OR($D2917="",$R2917="Trùng"),"",IF(COUNTIF(ORDERS!$C$2:$C$4995,$D2917)&gt;0,"Có","Không"))</f>
        <v/>
      </c>
      <c r="W2917" s="22">
        <f>IF(OR($D2917="",$R2917="Trùng"),"",COUNTIFS(ORDERS!$C$2:$C$4995,$D2917,ORDERS!$L$2:$L$4995,"Đã chuyển khoản"))</f>
        <v/>
      </c>
      <c r="X2917" s="23">
        <f>IF(OR($D2917="",$R2917="Trùng"),"",SUMIFS(ORDERS!$J$2:$J$4995,ORDERS!$C$2:$C$4995,$D2917,ORDERS!$L$2:$L$4995,"Đã chuyển khoản"))</f>
        <v/>
      </c>
      <c r="Y2917" s="24" t="n"/>
    </row>
    <row r="2918" ht="14.25" customHeight="1" s="40">
      <c r="A2918" s="24" t="n"/>
      <c r="B2918" s="27" t="n"/>
      <c r="C2918" s="24" t="n"/>
      <c r="D2918" s="28" t="n"/>
      <c r="E2918" s="29" t="n"/>
      <c r="F2918" s="24" t="n"/>
      <c r="G2918" s="24" t="n"/>
      <c r="H2918" s="21">
        <f>IF(ISNUMBER($B2918),INT($B2918)-WEEKDAY($B2918,2)+1,"")</f>
        <v/>
      </c>
      <c r="I2918" s="24" t="n"/>
      <c r="J2918" s="22">
        <f t="array" ref="J2918">IF($D2918="","",IF($I2918="","(trống REF)",IFERROR(INDEX(MASTER_SOURCE!$B$2:$B$495,MATCH($I2918,MASTER_SOURCE!$A$2:$A$495,0)),"(REF không có trong MASTER_SOURCE)")))</f>
        <v/>
      </c>
      <c r="K2918" s="22">
        <f t="array" ref="K2918">IF($D2918="","",IFERROR(INDEX(MASTER_SOURCE!$C$2:$C$495,MATCH($I2918,MASTER_SOURCE!$A$2:$A$495,0)),""))</f>
        <v/>
      </c>
      <c r="L2918" s="22">
        <f t="array" ref="L2918">IF($D2918="","",IFERROR(INDEX(MASTER_SOURCE!$D$2:$D$495,MATCH($I2918,MASTER_SOURCE!$A$2:$A$495,0)),""))</f>
        <v/>
      </c>
      <c r="M2918" s="24" t="n"/>
      <c r="N2918" s="24" t="n"/>
      <c r="O2918" s="24" t="n"/>
      <c r="P2918" s="24" t="n"/>
      <c r="Q2918" s="22">
        <f>IF($D2918="","",IF(AND(OR(DANH_MUC!$L$5&lt;&gt;"Có",M2918="Có"),OR(DANH_MUC!$L$6&lt;&gt;"Có",N2918="Có"),OR(DANH_MUC!$L$7&lt;&gt;"Có",O2918="Có"),OR(DANH_MUC!$L$8&lt;&gt;"Có",P2918="Có")),"Có","Không"))</f>
        <v/>
      </c>
      <c r="R2918" s="22">
        <f>IF($D2918="","",IF(COUNTIF($D$2:$D2918,$D2918)&gt;1,"Trùng",""))</f>
        <v/>
      </c>
      <c r="S2918" s="22">
        <f>IF($D2918="","",IF(AND(LEN($D2918)=10,LEFT($D2918,1)="0",ISNUMBER(--$D2918)),"Có","Không"))</f>
        <v/>
      </c>
      <c r="T2918" s="22">
        <f>IF($D2918="","",IF(AND($C2918&lt;&gt;"",$Q2918="Có",$R2918="",$S2918="Có",AND($L2918&lt;&gt;"",OR($L2918&lt;&gt;"Chưa xác định",DANH_MUC!$L$9="Có"))),"Có","Không"))</f>
        <v/>
      </c>
      <c r="U2918" s="22">
        <f>IF(OR($D2918="",$T2918="Có"),"",IF($C2918="","Thiếu họ tên; ","")&amp;IF($S2918&lt;&gt;"Có","SĐT sai định dạng; ","")&amp;IF($R2918="Trùng","Trùng SĐT; ","")&amp;IF($Q2918&lt;&gt;"Có","Thiếu đồng ý bắt buộc; ","")&amp;IF($L2918="","Thiếu/sai Mã REF; ",IF(AND($L2918="Chưa xác định",DANH_MUC!$L$9&lt;&gt;"Có"),"Nguồn chưa xác định; ","")))</f>
        <v/>
      </c>
      <c r="V2918" s="22">
        <f>IF(OR($D2918="",$R2918="Trùng"),"",IF(COUNTIF(ORDERS!$C$2:$C$4995,$D2918)&gt;0,"Có","Không"))</f>
        <v/>
      </c>
      <c r="W2918" s="22">
        <f>IF(OR($D2918="",$R2918="Trùng"),"",COUNTIFS(ORDERS!$C$2:$C$4995,$D2918,ORDERS!$L$2:$L$4995,"Đã chuyển khoản"))</f>
        <v/>
      </c>
      <c r="X2918" s="23">
        <f>IF(OR($D2918="",$R2918="Trùng"),"",SUMIFS(ORDERS!$J$2:$J$4995,ORDERS!$C$2:$C$4995,$D2918,ORDERS!$L$2:$L$4995,"Đã chuyển khoản"))</f>
        <v/>
      </c>
      <c r="Y2918" s="24" t="n"/>
    </row>
    <row r="2919" ht="14.25" customHeight="1" s="40">
      <c r="A2919" s="24" t="n"/>
      <c r="B2919" s="27" t="n"/>
      <c r="C2919" s="24" t="n"/>
      <c r="D2919" s="28" t="n"/>
      <c r="E2919" s="29" t="n"/>
      <c r="F2919" s="24" t="n"/>
      <c r="G2919" s="24" t="n"/>
      <c r="H2919" s="21">
        <f>IF(ISNUMBER($B2919),INT($B2919)-WEEKDAY($B2919,2)+1,"")</f>
        <v/>
      </c>
      <c r="I2919" s="24" t="n"/>
      <c r="J2919" s="22">
        <f t="array" ref="J2919">IF($D2919="","",IF($I2919="","(trống REF)",IFERROR(INDEX(MASTER_SOURCE!$B$2:$B$495,MATCH($I2919,MASTER_SOURCE!$A$2:$A$495,0)),"(REF không có trong MASTER_SOURCE)")))</f>
        <v/>
      </c>
      <c r="K2919" s="22">
        <f t="array" ref="K2919">IF($D2919="","",IFERROR(INDEX(MASTER_SOURCE!$C$2:$C$495,MATCH($I2919,MASTER_SOURCE!$A$2:$A$495,0)),""))</f>
        <v/>
      </c>
      <c r="L2919" s="22">
        <f t="array" ref="L2919">IF($D2919="","",IFERROR(INDEX(MASTER_SOURCE!$D$2:$D$495,MATCH($I2919,MASTER_SOURCE!$A$2:$A$495,0)),""))</f>
        <v/>
      </c>
      <c r="M2919" s="24" t="n"/>
      <c r="N2919" s="24" t="n"/>
      <c r="O2919" s="24" t="n"/>
      <c r="P2919" s="24" t="n"/>
      <c r="Q2919" s="22">
        <f>IF($D2919="","",IF(AND(OR(DANH_MUC!$L$5&lt;&gt;"Có",M2919="Có"),OR(DANH_MUC!$L$6&lt;&gt;"Có",N2919="Có"),OR(DANH_MUC!$L$7&lt;&gt;"Có",O2919="Có"),OR(DANH_MUC!$L$8&lt;&gt;"Có",P2919="Có")),"Có","Không"))</f>
        <v/>
      </c>
      <c r="R2919" s="22">
        <f>IF($D2919="","",IF(COUNTIF($D$2:$D2919,$D2919)&gt;1,"Trùng",""))</f>
        <v/>
      </c>
      <c r="S2919" s="22">
        <f>IF($D2919="","",IF(AND(LEN($D2919)=10,LEFT($D2919,1)="0",ISNUMBER(--$D2919)),"Có","Không"))</f>
        <v/>
      </c>
      <c r="T2919" s="22">
        <f>IF($D2919="","",IF(AND($C2919&lt;&gt;"",$Q2919="Có",$R2919="",$S2919="Có",AND($L2919&lt;&gt;"",OR($L2919&lt;&gt;"Chưa xác định",DANH_MUC!$L$9="Có"))),"Có","Không"))</f>
        <v/>
      </c>
      <c r="U2919" s="22">
        <f>IF(OR($D2919="",$T2919="Có"),"",IF($C2919="","Thiếu họ tên; ","")&amp;IF($S2919&lt;&gt;"Có","SĐT sai định dạng; ","")&amp;IF($R2919="Trùng","Trùng SĐT; ","")&amp;IF($Q2919&lt;&gt;"Có","Thiếu đồng ý bắt buộc; ","")&amp;IF($L2919="","Thiếu/sai Mã REF; ",IF(AND($L2919="Chưa xác định",DANH_MUC!$L$9&lt;&gt;"Có"),"Nguồn chưa xác định; ","")))</f>
        <v/>
      </c>
      <c r="V2919" s="22">
        <f>IF(OR($D2919="",$R2919="Trùng"),"",IF(COUNTIF(ORDERS!$C$2:$C$4995,$D2919)&gt;0,"Có","Không"))</f>
        <v/>
      </c>
      <c r="W2919" s="22">
        <f>IF(OR($D2919="",$R2919="Trùng"),"",COUNTIFS(ORDERS!$C$2:$C$4995,$D2919,ORDERS!$L$2:$L$4995,"Đã chuyển khoản"))</f>
        <v/>
      </c>
      <c r="X2919" s="23">
        <f>IF(OR($D2919="",$R2919="Trùng"),"",SUMIFS(ORDERS!$J$2:$J$4995,ORDERS!$C$2:$C$4995,$D2919,ORDERS!$L$2:$L$4995,"Đã chuyển khoản"))</f>
        <v/>
      </c>
      <c r="Y2919" s="24" t="n"/>
    </row>
    <row r="2920" ht="14.25" customHeight="1" s="40">
      <c r="A2920" s="24" t="n"/>
      <c r="B2920" s="27" t="n"/>
      <c r="C2920" s="24" t="n"/>
      <c r="D2920" s="28" t="n"/>
      <c r="E2920" s="29" t="n"/>
      <c r="F2920" s="24" t="n"/>
      <c r="G2920" s="24" t="n"/>
      <c r="H2920" s="21">
        <f>IF(ISNUMBER($B2920),INT($B2920)-WEEKDAY($B2920,2)+1,"")</f>
        <v/>
      </c>
      <c r="I2920" s="24" t="n"/>
      <c r="J2920" s="22">
        <f t="array" ref="J2920">IF($D2920="","",IF($I2920="","(trống REF)",IFERROR(INDEX(MASTER_SOURCE!$B$2:$B$495,MATCH($I2920,MASTER_SOURCE!$A$2:$A$495,0)),"(REF không có trong MASTER_SOURCE)")))</f>
        <v/>
      </c>
      <c r="K2920" s="22">
        <f t="array" ref="K2920">IF($D2920="","",IFERROR(INDEX(MASTER_SOURCE!$C$2:$C$495,MATCH($I2920,MASTER_SOURCE!$A$2:$A$495,0)),""))</f>
        <v/>
      </c>
      <c r="L2920" s="22">
        <f t="array" ref="L2920">IF($D2920="","",IFERROR(INDEX(MASTER_SOURCE!$D$2:$D$495,MATCH($I2920,MASTER_SOURCE!$A$2:$A$495,0)),""))</f>
        <v/>
      </c>
      <c r="M2920" s="24" t="n"/>
      <c r="N2920" s="24" t="n"/>
      <c r="O2920" s="24" t="n"/>
      <c r="P2920" s="24" t="n"/>
      <c r="Q2920" s="22">
        <f>IF($D2920="","",IF(AND(OR(DANH_MUC!$L$5&lt;&gt;"Có",M2920="Có"),OR(DANH_MUC!$L$6&lt;&gt;"Có",N2920="Có"),OR(DANH_MUC!$L$7&lt;&gt;"Có",O2920="Có"),OR(DANH_MUC!$L$8&lt;&gt;"Có",P2920="Có")),"Có","Không"))</f>
        <v/>
      </c>
      <c r="R2920" s="22">
        <f>IF($D2920="","",IF(COUNTIF($D$2:$D2920,$D2920)&gt;1,"Trùng",""))</f>
        <v/>
      </c>
      <c r="S2920" s="22">
        <f>IF($D2920="","",IF(AND(LEN($D2920)=10,LEFT($D2920,1)="0",ISNUMBER(--$D2920)),"Có","Không"))</f>
        <v/>
      </c>
      <c r="T2920" s="22">
        <f>IF($D2920="","",IF(AND($C2920&lt;&gt;"",$Q2920="Có",$R2920="",$S2920="Có",AND($L2920&lt;&gt;"",OR($L2920&lt;&gt;"Chưa xác định",DANH_MUC!$L$9="Có"))),"Có","Không"))</f>
        <v/>
      </c>
      <c r="U2920" s="22">
        <f>IF(OR($D2920="",$T2920="Có"),"",IF($C2920="","Thiếu họ tên; ","")&amp;IF($S2920&lt;&gt;"Có","SĐT sai định dạng; ","")&amp;IF($R2920="Trùng","Trùng SĐT; ","")&amp;IF($Q2920&lt;&gt;"Có","Thiếu đồng ý bắt buộc; ","")&amp;IF($L2920="","Thiếu/sai Mã REF; ",IF(AND($L2920="Chưa xác định",DANH_MUC!$L$9&lt;&gt;"Có"),"Nguồn chưa xác định; ","")))</f>
        <v/>
      </c>
      <c r="V2920" s="22">
        <f>IF(OR($D2920="",$R2920="Trùng"),"",IF(COUNTIF(ORDERS!$C$2:$C$4995,$D2920)&gt;0,"Có","Không"))</f>
        <v/>
      </c>
      <c r="W2920" s="22">
        <f>IF(OR($D2920="",$R2920="Trùng"),"",COUNTIFS(ORDERS!$C$2:$C$4995,$D2920,ORDERS!$L$2:$L$4995,"Đã chuyển khoản"))</f>
        <v/>
      </c>
      <c r="X2920" s="23">
        <f>IF(OR($D2920="",$R2920="Trùng"),"",SUMIFS(ORDERS!$J$2:$J$4995,ORDERS!$C$2:$C$4995,$D2920,ORDERS!$L$2:$L$4995,"Đã chuyển khoản"))</f>
        <v/>
      </c>
      <c r="Y2920" s="24" t="n"/>
    </row>
    <row r="2921" ht="14.25" customHeight="1" s="40">
      <c r="A2921" s="24" t="n"/>
      <c r="B2921" s="27" t="n"/>
      <c r="C2921" s="24" t="n"/>
      <c r="D2921" s="28" t="n"/>
      <c r="E2921" s="29" t="n"/>
      <c r="F2921" s="24" t="n"/>
      <c r="G2921" s="24" t="n"/>
      <c r="H2921" s="21">
        <f>IF(ISNUMBER($B2921),INT($B2921)-WEEKDAY($B2921,2)+1,"")</f>
        <v/>
      </c>
      <c r="I2921" s="24" t="n"/>
      <c r="J2921" s="22">
        <f t="array" ref="J2921">IF($D2921="","",IF($I2921="","(trống REF)",IFERROR(INDEX(MASTER_SOURCE!$B$2:$B$495,MATCH($I2921,MASTER_SOURCE!$A$2:$A$495,0)),"(REF không có trong MASTER_SOURCE)")))</f>
        <v/>
      </c>
      <c r="K2921" s="22">
        <f t="array" ref="K2921">IF($D2921="","",IFERROR(INDEX(MASTER_SOURCE!$C$2:$C$495,MATCH($I2921,MASTER_SOURCE!$A$2:$A$495,0)),""))</f>
        <v/>
      </c>
      <c r="L2921" s="22">
        <f t="array" ref="L2921">IF($D2921="","",IFERROR(INDEX(MASTER_SOURCE!$D$2:$D$495,MATCH($I2921,MASTER_SOURCE!$A$2:$A$495,0)),""))</f>
        <v/>
      </c>
      <c r="M2921" s="24" t="n"/>
      <c r="N2921" s="24" t="n"/>
      <c r="O2921" s="24" t="n"/>
      <c r="P2921" s="24" t="n"/>
      <c r="Q2921" s="22">
        <f>IF($D2921="","",IF(AND(OR(DANH_MUC!$L$5&lt;&gt;"Có",M2921="Có"),OR(DANH_MUC!$L$6&lt;&gt;"Có",N2921="Có"),OR(DANH_MUC!$L$7&lt;&gt;"Có",O2921="Có"),OR(DANH_MUC!$L$8&lt;&gt;"Có",P2921="Có")),"Có","Không"))</f>
        <v/>
      </c>
      <c r="R2921" s="22">
        <f>IF($D2921="","",IF(COUNTIF($D$2:$D2921,$D2921)&gt;1,"Trùng",""))</f>
        <v/>
      </c>
      <c r="S2921" s="22">
        <f>IF($D2921="","",IF(AND(LEN($D2921)=10,LEFT($D2921,1)="0",ISNUMBER(--$D2921)),"Có","Không"))</f>
        <v/>
      </c>
      <c r="T2921" s="22">
        <f>IF($D2921="","",IF(AND($C2921&lt;&gt;"",$Q2921="Có",$R2921="",$S2921="Có",AND($L2921&lt;&gt;"",OR($L2921&lt;&gt;"Chưa xác định",DANH_MUC!$L$9="Có"))),"Có","Không"))</f>
        <v/>
      </c>
      <c r="U2921" s="22">
        <f>IF(OR($D2921="",$T2921="Có"),"",IF($C2921="","Thiếu họ tên; ","")&amp;IF($S2921&lt;&gt;"Có","SĐT sai định dạng; ","")&amp;IF($R2921="Trùng","Trùng SĐT; ","")&amp;IF($Q2921&lt;&gt;"Có","Thiếu đồng ý bắt buộc; ","")&amp;IF($L2921="","Thiếu/sai Mã REF; ",IF(AND($L2921="Chưa xác định",DANH_MUC!$L$9&lt;&gt;"Có"),"Nguồn chưa xác định; ","")))</f>
        <v/>
      </c>
      <c r="V2921" s="22">
        <f>IF(OR($D2921="",$R2921="Trùng"),"",IF(COUNTIF(ORDERS!$C$2:$C$4995,$D2921)&gt;0,"Có","Không"))</f>
        <v/>
      </c>
      <c r="W2921" s="22">
        <f>IF(OR($D2921="",$R2921="Trùng"),"",COUNTIFS(ORDERS!$C$2:$C$4995,$D2921,ORDERS!$L$2:$L$4995,"Đã chuyển khoản"))</f>
        <v/>
      </c>
      <c r="X2921" s="23">
        <f>IF(OR($D2921="",$R2921="Trùng"),"",SUMIFS(ORDERS!$J$2:$J$4995,ORDERS!$C$2:$C$4995,$D2921,ORDERS!$L$2:$L$4995,"Đã chuyển khoản"))</f>
        <v/>
      </c>
      <c r="Y2921" s="24" t="n"/>
    </row>
    <row r="2922" ht="14.25" customHeight="1" s="40">
      <c r="A2922" s="24" t="n"/>
      <c r="B2922" s="27" t="n"/>
      <c r="C2922" s="24" t="n"/>
      <c r="D2922" s="28" t="n"/>
      <c r="E2922" s="29" t="n"/>
      <c r="F2922" s="24" t="n"/>
      <c r="G2922" s="24" t="n"/>
      <c r="H2922" s="21">
        <f>IF(ISNUMBER($B2922),INT($B2922)-WEEKDAY($B2922,2)+1,"")</f>
        <v/>
      </c>
      <c r="I2922" s="24" t="n"/>
      <c r="J2922" s="22">
        <f t="array" ref="J2922">IF($D2922="","",IF($I2922="","(trống REF)",IFERROR(INDEX(MASTER_SOURCE!$B$2:$B$495,MATCH($I2922,MASTER_SOURCE!$A$2:$A$495,0)),"(REF không có trong MASTER_SOURCE)")))</f>
        <v/>
      </c>
      <c r="K2922" s="22">
        <f t="array" ref="K2922">IF($D2922="","",IFERROR(INDEX(MASTER_SOURCE!$C$2:$C$495,MATCH($I2922,MASTER_SOURCE!$A$2:$A$495,0)),""))</f>
        <v/>
      </c>
      <c r="L2922" s="22">
        <f t="array" ref="L2922">IF($D2922="","",IFERROR(INDEX(MASTER_SOURCE!$D$2:$D$495,MATCH($I2922,MASTER_SOURCE!$A$2:$A$495,0)),""))</f>
        <v/>
      </c>
      <c r="M2922" s="24" t="n"/>
      <c r="N2922" s="24" t="n"/>
      <c r="O2922" s="24" t="n"/>
      <c r="P2922" s="24" t="n"/>
      <c r="Q2922" s="22">
        <f>IF($D2922="","",IF(AND(OR(DANH_MUC!$L$5&lt;&gt;"Có",M2922="Có"),OR(DANH_MUC!$L$6&lt;&gt;"Có",N2922="Có"),OR(DANH_MUC!$L$7&lt;&gt;"Có",O2922="Có"),OR(DANH_MUC!$L$8&lt;&gt;"Có",P2922="Có")),"Có","Không"))</f>
        <v/>
      </c>
      <c r="R2922" s="22">
        <f>IF($D2922="","",IF(COUNTIF($D$2:$D2922,$D2922)&gt;1,"Trùng",""))</f>
        <v/>
      </c>
      <c r="S2922" s="22">
        <f>IF($D2922="","",IF(AND(LEN($D2922)=10,LEFT($D2922,1)="0",ISNUMBER(--$D2922)),"Có","Không"))</f>
        <v/>
      </c>
      <c r="T2922" s="22">
        <f>IF($D2922="","",IF(AND($C2922&lt;&gt;"",$Q2922="Có",$R2922="",$S2922="Có",AND($L2922&lt;&gt;"",OR($L2922&lt;&gt;"Chưa xác định",DANH_MUC!$L$9="Có"))),"Có","Không"))</f>
        <v/>
      </c>
      <c r="U2922" s="22">
        <f>IF(OR($D2922="",$T2922="Có"),"",IF($C2922="","Thiếu họ tên; ","")&amp;IF($S2922&lt;&gt;"Có","SĐT sai định dạng; ","")&amp;IF($R2922="Trùng","Trùng SĐT; ","")&amp;IF($Q2922&lt;&gt;"Có","Thiếu đồng ý bắt buộc; ","")&amp;IF($L2922="","Thiếu/sai Mã REF; ",IF(AND($L2922="Chưa xác định",DANH_MUC!$L$9&lt;&gt;"Có"),"Nguồn chưa xác định; ","")))</f>
        <v/>
      </c>
      <c r="V2922" s="22">
        <f>IF(OR($D2922="",$R2922="Trùng"),"",IF(COUNTIF(ORDERS!$C$2:$C$4995,$D2922)&gt;0,"Có","Không"))</f>
        <v/>
      </c>
      <c r="W2922" s="22">
        <f>IF(OR($D2922="",$R2922="Trùng"),"",COUNTIFS(ORDERS!$C$2:$C$4995,$D2922,ORDERS!$L$2:$L$4995,"Đã chuyển khoản"))</f>
        <v/>
      </c>
      <c r="X2922" s="23">
        <f>IF(OR($D2922="",$R2922="Trùng"),"",SUMIFS(ORDERS!$J$2:$J$4995,ORDERS!$C$2:$C$4995,$D2922,ORDERS!$L$2:$L$4995,"Đã chuyển khoản"))</f>
        <v/>
      </c>
      <c r="Y2922" s="24" t="n"/>
    </row>
    <row r="2923" ht="14.25" customHeight="1" s="40">
      <c r="A2923" s="24" t="n"/>
      <c r="B2923" s="27" t="n"/>
      <c r="C2923" s="24" t="n"/>
      <c r="D2923" s="28" t="n"/>
      <c r="E2923" s="29" t="n"/>
      <c r="F2923" s="24" t="n"/>
      <c r="G2923" s="24" t="n"/>
      <c r="H2923" s="21">
        <f>IF(ISNUMBER($B2923),INT($B2923)-WEEKDAY($B2923,2)+1,"")</f>
        <v/>
      </c>
      <c r="I2923" s="24" t="n"/>
      <c r="J2923" s="22">
        <f t="array" ref="J2923">IF($D2923="","",IF($I2923="","(trống REF)",IFERROR(INDEX(MASTER_SOURCE!$B$2:$B$495,MATCH($I2923,MASTER_SOURCE!$A$2:$A$495,0)),"(REF không có trong MASTER_SOURCE)")))</f>
        <v/>
      </c>
      <c r="K2923" s="22">
        <f t="array" ref="K2923">IF($D2923="","",IFERROR(INDEX(MASTER_SOURCE!$C$2:$C$495,MATCH($I2923,MASTER_SOURCE!$A$2:$A$495,0)),""))</f>
        <v/>
      </c>
      <c r="L2923" s="22">
        <f t="array" ref="L2923">IF($D2923="","",IFERROR(INDEX(MASTER_SOURCE!$D$2:$D$495,MATCH($I2923,MASTER_SOURCE!$A$2:$A$495,0)),""))</f>
        <v/>
      </c>
      <c r="M2923" s="24" t="n"/>
      <c r="N2923" s="24" t="n"/>
      <c r="O2923" s="24" t="n"/>
      <c r="P2923" s="24" t="n"/>
      <c r="Q2923" s="22">
        <f>IF($D2923="","",IF(AND(OR(DANH_MUC!$L$5&lt;&gt;"Có",M2923="Có"),OR(DANH_MUC!$L$6&lt;&gt;"Có",N2923="Có"),OR(DANH_MUC!$L$7&lt;&gt;"Có",O2923="Có"),OR(DANH_MUC!$L$8&lt;&gt;"Có",P2923="Có")),"Có","Không"))</f>
        <v/>
      </c>
      <c r="R2923" s="22">
        <f>IF($D2923="","",IF(COUNTIF($D$2:$D2923,$D2923)&gt;1,"Trùng",""))</f>
        <v/>
      </c>
      <c r="S2923" s="22">
        <f>IF($D2923="","",IF(AND(LEN($D2923)=10,LEFT($D2923,1)="0",ISNUMBER(--$D2923)),"Có","Không"))</f>
        <v/>
      </c>
      <c r="T2923" s="22">
        <f>IF($D2923="","",IF(AND($C2923&lt;&gt;"",$Q2923="Có",$R2923="",$S2923="Có",AND($L2923&lt;&gt;"",OR($L2923&lt;&gt;"Chưa xác định",DANH_MUC!$L$9="Có"))),"Có","Không"))</f>
        <v/>
      </c>
      <c r="U2923" s="22">
        <f>IF(OR($D2923="",$T2923="Có"),"",IF($C2923="","Thiếu họ tên; ","")&amp;IF($S2923&lt;&gt;"Có","SĐT sai định dạng; ","")&amp;IF($R2923="Trùng","Trùng SĐT; ","")&amp;IF($Q2923&lt;&gt;"Có","Thiếu đồng ý bắt buộc; ","")&amp;IF($L2923="","Thiếu/sai Mã REF; ",IF(AND($L2923="Chưa xác định",DANH_MUC!$L$9&lt;&gt;"Có"),"Nguồn chưa xác định; ","")))</f>
        <v/>
      </c>
      <c r="V2923" s="22">
        <f>IF(OR($D2923="",$R2923="Trùng"),"",IF(COUNTIF(ORDERS!$C$2:$C$4995,$D2923)&gt;0,"Có","Không"))</f>
        <v/>
      </c>
      <c r="W2923" s="22">
        <f>IF(OR($D2923="",$R2923="Trùng"),"",COUNTIFS(ORDERS!$C$2:$C$4995,$D2923,ORDERS!$L$2:$L$4995,"Đã chuyển khoản"))</f>
        <v/>
      </c>
      <c r="X2923" s="23">
        <f>IF(OR($D2923="",$R2923="Trùng"),"",SUMIFS(ORDERS!$J$2:$J$4995,ORDERS!$C$2:$C$4995,$D2923,ORDERS!$L$2:$L$4995,"Đã chuyển khoản"))</f>
        <v/>
      </c>
      <c r="Y2923" s="24" t="n"/>
    </row>
    <row r="2924" ht="14.25" customHeight="1" s="40">
      <c r="A2924" s="24" t="n"/>
      <c r="B2924" s="27" t="n"/>
      <c r="C2924" s="24" t="n"/>
      <c r="D2924" s="28" t="n"/>
      <c r="E2924" s="29" t="n"/>
      <c r="F2924" s="24" t="n"/>
      <c r="G2924" s="24" t="n"/>
      <c r="H2924" s="21">
        <f>IF(ISNUMBER($B2924),INT($B2924)-WEEKDAY($B2924,2)+1,"")</f>
        <v/>
      </c>
      <c r="I2924" s="24" t="n"/>
      <c r="J2924" s="22">
        <f t="array" ref="J2924">IF($D2924="","",IF($I2924="","(trống REF)",IFERROR(INDEX(MASTER_SOURCE!$B$2:$B$495,MATCH($I2924,MASTER_SOURCE!$A$2:$A$495,0)),"(REF không có trong MASTER_SOURCE)")))</f>
        <v/>
      </c>
      <c r="K2924" s="22">
        <f t="array" ref="K2924">IF($D2924="","",IFERROR(INDEX(MASTER_SOURCE!$C$2:$C$495,MATCH($I2924,MASTER_SOURCE!$A$2:$A$495,0)),""))</f>
        <v/>
      </c>
      <c r="L2924" s="22">
        <f t="array" ref="L2924">IF($D2924="","",IFERROR(INDEX(MASTER_SOURCE!$D$2:$D$495,MATCH($I2924,MASTER_SOURCE!$A$2:$A$495,0)),""))</f>
        <v/>
      </c>
      <c r="M2924" s="24" t="n"/>
      <c r="N2924" s="24" t="n"/>
      <c r="O2924" s="24" t="n"/>
      <c r="P2924" s="24" t="n"/>
      <c r="Q2924" s="22">
        <f>IF($D2924="","",IF(AND(OR(DANH_MUC!$L$5&lt;&gt;"Có",M2924="Có"),OR(DANH_MUC!$L$6&lt;&gt;"Có",N2924="Có"),OR(DANH_MUC!$L$7&lt;&gt;"Có",O2924="Có"),OR(DANH_MUC!$L$8&lt;&gt;"Có",P2924="Có")),"Có","Không"))</f>
        <v/>
      </c>
      <c r="R2924" s="22">
        <f>IF($D2924="","",IF(COUNTIF($D$2:$D2924,$D2924)&gt;1,"Trùng",""))</f>
        <v/>
      </c>
      <c r="S2924" s="22">
        <f>IF($D2924="","",IF(AND(LEN($D2924)=10,LEFT($D2924,1)="0",ISNUMBER(--$D2924)),"Có","Không"))</f>
        <v/>
      </c>
      <c r="T2924" s="22">
        <f>IF($D2924="","",IF(AND($C2924&lt;&gt;"",$Q2924="Có",$R2924="",$S2924="Có",AND($L2924&lt;&gt;"",OR($L2924&lt;&gt;"Chưa xác định",DANH_MUC!$L$9="Có"))),"Có","Không"))</f>
        <v/>
      </c>
      <c r="U2924" s="22">
        <f>IF(OR($D2924="",$T2924="Có"),"",IF($C2924="","Thiếu họ tên; ","")&amp;IF($S2924&lt;&gt;"Có","SĐT sai định dạng; ","")&amp;IF($R2924="Trùng","Trùng SĐT; ","")&amp;IF($Q2924&lt;&gt;"Có","Thiếu đồng ý bắt buộc; ","")&amp;IF($L2924="","Thiếu/sai Mã REF; ",IF(AND($L2924="Chưa xác định",DANH_MUC!$L$9&lt;&gt;"Có"),"Nguồn chưa xác định; ","")))</f>
        <v/>
      </c>
      <c r="V2924" s="22">
        <f>IF(OR($D2924="",$R2924="Trùng"),"",IF(COUNTIF(ORDERS!$C$2:$C$4995,$D2924)&gt;0,"Có","Không"))</f>
        <v/>
      </c>
      <c r="W2924" s="22">
        <f>IF(OR($D2924="",$R2924="Trùng"),"",COUNTIFS(ORDERS!$C$2:$C$4995,$D2924,ORDERS!$L$2:$L$4995,"Đã chuyển khoản"))</f>
        <v/>
      </c>
      <c r="X2924" s="23">
        <f>IF(OR($D2924="",$R2924="Trùng"),"",SUMIFS(ORDERS!$J$2:$J$4995,ORDERS!$C$2:$C$4995,$D2924,ORDERS!$L$2:$L$4995,"Đã chuyển khoản"))</f>
        <v/>
      </c>
      <c r="Y2924" s="24" t="n"/>
    </row>
    <row r="2925" ht="14.25" customHeight="1" s="40">
      <c r="A2925" s="24" t="n"/>
      <c r="B2925" s="27" t="n"/>
      <c r="C2925" s="24" t="n"/>
      <c r="D2925" s="28" t="n"/>
      <c r="E2925" s="29" t="n"/>
      <c r="F2925" s="24" t="n"/>
      <c r="G2925" s="24" t="n"/>
      <c r="H2925" s="21">
        <f>IF(ISNUMBER($B2925),INT($B2925)-WEEKDAY($B2925,2)+1,"")</f>
        <v/>
      </c>
      <c r="I2925" s="24" t="n"/>
      <c r="J2925" s="22">
        <f t="array" ref="J2925">IF($D2925="","",IF($I2925="","(trống REF)",IFERROR(INDEX(MASTER_SOURCE!$B$2:$B$495,MATCH($I2925,MASTER_SOURCE!$A$2:$A$495,0)),"(REF không có trong MASTER_SOURCE)")))</f>
        <v/>
      </c>
      <c r="K2925" s="22">
        <f t="array" ref="K2925">IF($D2925="","",IFERROR(INDEX(MASTER_SOURCE!$C$2:$C$495,MATCH($I2925,MASTER_SOURCE!$A$2:$A$495,0)),""))</f>
        <v/>
      </c>
      <c r="L2925" s="22">
        <f t="array" ref="L2925">IF($D2925="","",IFERROR(INDEX(MASTER_SOURCE!$D$2:$D$495,MATCH($I2925,MASTER_SOURCE!$A$2:$A$495,0)),""))</f>
        <v/>
      </c>
      <c r="M2925" s="24" t="n"/>
      <c r="N2925" s="24" t="n"/>
      <c r="O2925" s="24" t="n"/>
      <c r="P2925" s="24" t="n"/>
      <c r="Q2925" s="22">
        <f>IF($D2925="","",IF(AND(OR(DANH_MUC!$L$5&lt;&gt;"Có",M2925="Có"),OR(DANH_MUC!$L$6&lt;&gt;"Có",N2925="Có"),OR(DANH_MUC!$L$7&lt;&gt;"Có",O2925="Có"),OR(DANH_MUC!$L$8&lt;&gt;"Có",P2925="Có")),"Có","Không"))</f>
        <v/>
      </c>
      <c r="R2925" s="22">
        <f>IF($D2925="","",IF(COUNTIF($D$2:$D2925,$D2925)&gt;1,"Trùng",""))</f>
        <v/>
      </c>
      <c r="S2925" s="22">
        <f>IF($D2925="","",IF(AND(LEN($D2925)=10,LEFT($D2925,1)="0",ISNUMBER(--$D2925)),"Có","Không"))</f>
        <v/>
      </c>
      <c r="T2925" s="22">
        <f>IF($D2925="","",IF(AND($C2925&lt;&gt;"",$Q2925="Có",$R2925="",$S2925="Có",AND($L2925&lt;&gt;"",OR($L2925&lt;&gt;"Chưa xác định",DANH_MUC!$L$9="Có"))),"Có","Không"))</f>
        <v/>
      </c>
      <c r="U2925" s="22">
        <f>IF(OR($D2925="",$T2925="Có"),"",IF($C2925="","Thiếu họ tên; ","")&amp;IF($S2925&lt;&gt;"Có","SĐT sai định dạng; ","")&amp;IF($R2925="Trùng","Trùng SĐT; ","")&amp;IF($Q2925&lt;&gt;"Có","Thiếu đồng ý bắt buộc; ","")&amp;IF($L2925="","Thiếu/sai Mã REF; ",IF(AND($L2925="Chưa xác định",DANH_MUC!$L$9&lt;&gt;"Có"),"Nguồn chưa xác định; ","")))</f>
        <v/>
      </c>
      <c r="V2925" s="22">
        <f>IF(OR($D2925="",$R2925="Trùng"),"",IF(COUNTIF(ORDERS!$C$2:$C$4995,$D2925)&gt;0,"Có","Không"))</f>
        <v/>
      </c>
      <c r="W2925" s="22">
        <f>IF(OR($D2925="",$R2925="Trùng"),"",COUNTIFS(ORDERS!$C$2:$C$4995,$D2925,ORDERS!$L$2:$L$4995,"Đã chuyển khoản"))</f>
        <v/>
      </c>
      <c r="X2925" s="23">
        <f>IF(OR($D2925="",$R2925="Trùng"),"",SUMIFS(ORDERS!$J$2:$J$4995,ORDERS!$C$2:$C$4995,$D2925,ORDERS!$L$2:$L$4995,"Đã chuyển khoản"))</f>
        <v/>
      </c>
      <c r="Y2925" s="24" t="n"/>
    </row>
    <row r="2926" ht="14.25" customHeight="1" s="40">
      <c r="A2926" s="24" t="n"/>
      <c r="B2926" s="27" t="n"/>
      <c r="C2926" s="24" t="n"/>
      <c r="D2926" s="28" t="n"/>
      <c r="E2926" s="29" t="n"/>
      <c r="F2926" s="24" t="n"/>
      <c r="G2926" s="24" t="n"/>
      <c r="H2926" s="21">
        <f>IF(ISNUMBER($B2926),INT($B2926)-WEEKDAY($B2926,2)+1,"")</f>
        <v/>
      </c>
      <c r="I2926" s="24" t="n"/>
      <c r="J2926" s="22">
        <f t="array" ref="J2926">IF($D2926="","",IF($I2926="","(trống REF)",IFERROR(INDEX(MASTER_SOURCE!$B$2:$B$495,MATCH($I2926,MASTER_SOURCE!$A$2:$A$495,0)),"(REF không có trong MASTER_SOURCE)")))</f>
        <v/>
      </c>
      <c r="K2926" s="22">
        <f t="array" ref="K2926">IF($D2926="","",IFERROR(INDEX(MASTER_SOURCE!$C$2:$C$495,MATCH($I2926,MASTER_SOURCE!$A$2:$A$495,0)),""))</f>
        <v/>
      </c>
      <c r="L2926" s="22">
        <f t="array" ref="L2926">IF($D2926="","",IFERROR(INDEX(MASTER_SOURCE!$D$2:$D$495,MATCH($I2926,MASTER_SOURCE!$A$2:$A$495,0)),""))</f>
        <v/>
      </c>
      <c r="M2926" s="24" t="n"/>
      <c r="N2926" s="24" t="n"/>
      <c r="O2926" s="24" t="n"/>
      <c r="P2926" s="24" t="n"/>
      <c r="Q2926" s="22">
        <f>IF($D2926="","",IF(AND(OR(DANH_MUC!$L$5&lt;&gt;"Có",M2926="Có"),OR(DANH_MUC!$L$6&lt;&gt;"Có",N2926="Có"),OR(DANH_MUC!$L$7&lt;&gt;"Có",O2926="Có"),OR(DANH_MUC!$L$8&lt;&gt;"Có",P2926="Có")),"Có","Không"))</f>
        <v/>
      </c>
      <c r="R2926" s="22">
        <f>IF($D2926="","",IF(COUNTIF($D$2:$D2926,$D2926)&gt;1,"Trùng",""))</f>
        <v/>
      </c>
      <c r="S2926" s="22">
        <f>IF($D2926="","",IF(AND(LEN($D2926)=10,LEFT($D2926,1)="0",ISNUMBER(--$D2926)),"Có","Không"))</f>
        <v/>
      </c>
      <c r="T2926" s="22">
        <f>IF($D2926="","",IF(AND($C2926&lt;&gt;"",$Q2926="Có",$R2926="",$S2926="Có",AND($L2926&lt;&gt;"",OR($L2926&lt;&gt;"Chưa xác định",DANH_MUC!$L$9="Có"))),"Có","Không"))</f>
        <v/>
      </c>
      <c r="U2926" s="22">
        <f>IF(OR($D2926="",$T2926="Có"),"",IF($C2926="","Thiếu họ tên; ","")&amp;IF($S2926&lt;&gt;"Có","SĐT sai định dạng; ","")&amp;IF($R2926="Trùng","Trùng SĐT; ","")&amp;IF($Q2926&lt;&gt;"Có","Thiếu đồng ý bắt buộc; ","")&amp;IF($L2926="","Thiếu/sai Mã REF; ",IF(AND($L2926="Chưa xác định",DANH_MUC!$L$9&lt;&gt;"Có"),"Nguồn chưa xác định; ","")))</f>
        <v/>
      </c>
      <c r="V2926" s="22">
        <f>IF(OR($D2926="",$R2926="Trùng"),"",IF(COUNTIF(ORDERS!$C$2:$C$4995,$D2926)&gt;0,"Có","Không"))</f>
        <v/>
      </c>
      <c r="W2926" s="22">
        <f>IF(OR($D2926="",$R2926="Trùng"),"",COUNTIFS(ORDERS!$C$2:$C$4995,$D2926,ORDERS!$L$2:$L$4995,"Đã chuyển khoản"))</f>
        <v/>
      </c>
      <c r="X2926" s="23">
        <f>IF(OR($D2926="",$R2926="Trùng"),"",SUMIFS(ORDERS!$J$2:$J$4995,ORDERS!$C$2:$C$4995,$D2926,ORDERS!$L$2:$L$4995,"Đã chuyển khoản"))</f>
        <v/>
      </c>
      <c r="Y2926" s="24" t="n"/>
    </row>
    <row r="2927" ht="14.25" customHeight="1" s="40">
      <c r="A2927" s="24" t="n"/>
      <c r="B2927" s="27" t="n"/>
      <c r="C2927" s="24" t="n"/>
      <c r="D2927" s="28" t="n"/>
      <c r="E2927" s="29" t="n"/>
      <c r="F2927" s="24" t="n"/>
      <c r="G2927" s="24" t="n"/>
      <c r="H2927" s="21">
        <f>IF(ISNUMBER($B2927),INT($B2927)-WEEKDAY($B2927,2)+1,"")</f>
        <v/>
      </c>
      <c r="I2927" s="24" t="n"/>
      <c r="J2927" s="22">
        <f t="array" ref="J2927">IF($D2927="","",IF($I2927="","(trống REF)",IFERROR(INDEX(MASTER_SOURCE!$B$2:$B$495,MATCH($I2927,MASTER_SOURCE!$A$2:$A$495,0)),"(REF không có trong MASTER_SOURCE)")))</f>
        <v/>
      </c>
      <c r="K2927" s="22">
        <f t="array" ref="K2927">IF($D2927="","",IFERROR(INDEX(MASTER_SOURCE!$C$2:$C$495,MATCH($I2927,MASTER_SOURCE!$A$2:$A$495,0)),""))</f>
        <v/>
      </c>
      <c r="L2927" s="22">
        <f t="array" ref="L2927">IF($D2927="","",IFERROR(INDEX(MASTER_SOURCE!$D$2:$D$495,MATCH($I2927,MASTER_SOURCE!$A$2:$A$495,0)),""))</f>
        <v/>
      </c>
      <c r="M2927" s="24" t="n"/>
      <c r="N2927" s="24" t="n"/>
      <c r="O2927" s="24" t="n"/>
      <c r="P2927" s="24" t="n"/>
      <c r="Q2927" s="22">
        <f>IF($D2927="","",IF(AND(OR(DANH_MUC!$L$5&lt;&gt;"Có",M2927="Có"),OR(DANH_MUC!$L$6&lt;&gt;"Có",N2927="Có"),OR(DANH_MUC!$L$7&lt;&gt;"Có",O2927="Có"),OR(DANH_MUC!$L$8&lt;&gt;"Có",P2927="Có")),"Có","Không"))</f>
        <v/>
      </c>
      <c r="R2927" s="22">
        <f>IF($D2927="","",IF(COUNTIF($D$2:$D2927,$D2927)&gt;1,"Trùng",""))</f>
        <v/>
      </c>
      <c r="S2927" s="22">
        <f>IF($D2927="","",IF(AND(LEN($D2927)=10,LEFT($D2927,1)="0",ISNUMBER(--$D2927)),"Có","Không"))</f>
        <v/>
      </c>
      <c r="T2927" s="22">
        <f>IF($D2927="","",IF(AND($C2927&lt;&gt;"",$Q2927="Có",$R2927="",$S2927="Có",AND($L2927&lt;&gt;"",OR($L2927&lt;&gt;"Chưa xác định",DANH_MUC!$L$9="Có"))),"Có","Không"))</f>
        <v/>
      </c>
      <c r="U2927" s="22">
        <f>IF(OR($D2927="",$T2927="Có"),"",IF($C2927="","Thiếu họ tên; ","")&amp;IF($S2927&lt;&gt;"Có","SĐT sai định dạng; ","")&amp;IF($R2927="Trùng","Trùng SĐT; ","")&amp;IF($Q2927&lt;&gt;"Có","Thiếu đồng ý bắt buộc; ","")&amp;IF($L2927="","Thiếu/sai Mã REF; ",IF(AND($L2927="Chưa xác định",DANH_MUC!$L$9&lt;&gt;"Có"),"Nguồn chưa xác định; ","")))</f>
        <v/>
      </c>
      <c r="V2927" s="22">
        <f>IF(OR($D2927="",$R2927="Trùng"),"",IF(COUNTIF(ORDERS!$C$2:$C$4995,$D2927)&gt;0,"Có","Không"))</f>
        <v/>
      </c>
      <c r="W2927" s="22">
        <f>IF(OR($D2927="",$R2927="Trùng"),"",COUNTIFS(ORDERS!$C$2:$C$4995,$D2927,ORDERS!$L$2:$L$4995,"Đã chuyển khoản"))</f>
        <v/>
      </c>
      <c r="X2927" s="23">
        <f>IF(OR($D2927="",$R2927="Trùng"),"",SUMIFS(ORDERS!$J$2:$J$4995,ORDERS!$C$2:$C$4995,$D2927,ORDERS!$L$2:$L$4995,"Đã chuyển khoản"))</f>
        <v/>
      </c>
      <c r="Y2927" s="24" t="n"/>
    </row>
    <row r="2928" ht="14.25" customHeight="1" s="40">
      <c r="A2928" s="24" t="n"/>
      <c r="B2928" s="27" t="n"/>
      <c r="C2928" s="24" t="n"/>
      <c r="D2928" s="28" t="n"/>
      <c r="E2928" s="29" t="n"/>
      <c r="F2928" s="24" t="n"/>
      <c r="G2928" s="24" t="n"/>
      <c r="H2928" s="21">
        <f>IF(ISNUMBER($B2928),INT($B2928)-WEEKDAY($B2928,2)+1,"")</f>
        <v/>
      </c>
      <c r="I2928" s="24" t="n"/>
      <c r="J2928" s="22">
        <f t="array" ref="J2928">IF($D2928="","",IF($I2928="","(trống REF)",IFERROR(INDEX(MASTER_SOURCE!$B$2:$B$495,MATCH($I2928,MASTER_SOURCE!$A$2:$A$495,0)),"(REF không có trong MASTER_SOURCE)")))</f>
        <v/>
      </c>
      <c r="K2928" s="22">
        <f t="array" ref="K2928">IF($D2928="","",IFERROR(INDEX(MASTER_SOURCE!$C$2:$C$495,MATCH($I2928,MASTER_SOURCE!$A$2:$A$495,0)),""))</f>
        <v/>
      </c>
      <c r="L2928" s="22">
        <f t="array" ref="L2928">IF($D2928="","",IFERROR(INDEX(MASTER_SOURCE!$D$2:$D$495,MATCH($I2928,MASTER_SOURCE!$A$2:$A$495,0)),""))</f>
        <v/>
      </c>
      <c r="M2928" s="24" t="n"/>
      <c r="N2928" s="24" t="n"/>
      <c r="O2928" s="24" t="n"/>
      <c r="P2928" s="24" t="n"/>
      <c r="Q2928" s="22">
        <f>IF($D2928="","",IF(AND(OR(DANH_MUC!$L$5&lt;&gt;"Có",M2928="Có"),OR(DANH_MUC!$L$6&lt;&gt;"Có",N2928="Có"),OR(DANH_MUC!$L$7&lt;&gt;"Có",O2928="Có"),OR(DANH_MUC!$L$8&lt;&gt;"Có",P2928="Có")),"Có","Không"))</f>
        <v/>
      </c>
      <c r="R2928" s="22">
        <f>IF($D2928="","",IF(COUNTIF($D$2:$D2928,$D2928)&gt;1,"Trùng",""))</f>
        <v/>
      </c>
      <c r="S2928" s="22">
        <f>IF($D2928="","",IF(AND(LEN($D2928)=10,LEFT($D2928,1)="0",ISNUMBER(--$D2928)),"Có","Không"))</f>
        <v/>
      </c>
      <c r="T2928" s="22">
        <f>IF($D2928="","",IF(AND($C2928&lt;&gt;"",$Q2928="Có",$R2928="",$S2928="Có",AND($L2928&lt;&gt;"",OR($L2928&lt;&gt;"Chưa xác định",DANH_MUC!$L$9="Có"))),"Có","Không"))</f>
        <v/>
      </c>
      <c r="U2928" s="22">
        <f>IF(OR($D2928="",$T2928="Có"),"",IF($C2928="","Thiếu họ tên; ","")&amp;IF($S2928&lt;&gt;"Có","SĐT sai định dạng; ","")&amp;IF($R2928="Trùng","Trùng SĐT; ","")&amp;IF($Q2928&lt;&gt;"Có","Thiếu đồng ý bắt buộc; ","")&amp;IF($L2928="","Thiếu/sai Mã REF; ",IF(AND($L2928="Chưa xác định",DANH_MUC!$L$9&lt;&gt;"Có"),"Nguồn chưa xác định; ","")))</f>
        <v/>
      </c>
      <c r="V2928" s="22">
        <f>IF(OR($D2928="",$R2928="Trùng"),"",IF(COUNTIF(ORDERS!$C$2:$C$4995,$D2928)&gt;0,"Có","Không"))</f>
        <v/>
      </c>
      <c r="W2928" s="22">
        <f>IF(OR($D2928="",$R2928="Trùng"),"",COUNTIFS(ORDERS!$C$2:$C$4995,$D2928,ORDERS!$L$2:$L$4995,"Đã chuyển khoản"))</f>
        <v/>
      </c>
      <c r="X2928" s="23">
        <f>IF(OR($D2928="",$R2928="Trùng"),"",SUMIFS(ORDERS!$J$2:$J$4995,ORDERS!$C$2:$C$4995,$D2928,ORDERS!$L$2:$L$4995,"Đã chuyển khoản"))</f>
        <v/>
      </c>
      <c r="Y2928" s="24" t="n"/>
    </row>
    <row r="2929" ht="14.25" customHeight="1" s="40">
      <c r="A2929" s="24" t="n"/>
      <c r="B2929" s="27" t="n"/>
      <c r="C2929" s="24" t="n"/>
      <c r="D2929" s="28" t="n"/>
      <c r="E2929" s="29" t="n"/>
      <c r="F2929" s="24" t="n"/>
      <c r="G2929" s="24" t="n"/>
      <c r="H2929" s="21">
        <f>IF(ISNUMBER($B2929),INT($B2929)-WEEKDAY($B2929,2)+1,"")</f>
        <v/>
      </c>
      <c r="I2929" s="24" t="n"/>
      <c r="J2929" s="22">
        <f t="array" ref="J2929">IF($D2929="","",IF($I2929="","(trống REF)",IFERROR(INDEX(MASTER_SOURCE!$B$2:$B$495,MATCH($I2929,MASTER_SOURCE!$A$2:$A$495,0)),"(REF không có trong MASTER_SOURCE)")))</f>
        <v/>
      </c>
      <c r="K2929" s="22">
        <f t="array" ref="K2929">IF($D2929="","",IFERROR(INDEX(MASTER_SOURCE!$C$2:$C$495,MATCH($I2929,MASTER_SOURCE!$A$2:$A$495,0)),""))</f>
        <v/>
      </c>
      <c r="L2929" s="22">
        <f t="array" ref="L2929">IF($D2929="","",IFERROR(INDEX(MASTER_SOURCE!$D$2:$D$495,MATCH($I2929,MASTER_SOURCE!$A$2:$A$495,0)),""))</f>
        <v/>
      </c>
      <c r="M2929" s="24" t="n"/>
      <c r="N2929" s="24" t="n"/>
      <c r="O2929" s="24" t="n"/>
      <c r="P2929" s="24" t="n"/>
      <c r="Q2929" s="22">
        <f>IF($D2929="","",IF(AND(OR(DANH_MUC!$L$5&lt;&gt;"Có",M2929="Có"),OR(DANH_MUC!$L$6&lt;&gt;"Có",N2929="Có"),OR(DANH_MUC!$L$7&lt;&gt;"Có",O2929="Có"),OR(DANH_MUC!$L$8&lt;&gt;"Có",P2929="Có")),"Có","Không"))</f>
        <v/>
      </c>
      <c r="R2929" s="22">
        <f>IF($D2929="","",IF(COUNTIF($D$2:$D2929,$D2929)&gt;1,"Trùng",""))</f>
        <v/>
      </c>
      <c r="S2929" s="22">
        <f>IF($D2929="","",IF(AND(LEN($D2929)=10,LEFT($D2929,1)="0",ISNUMBER(--$D2929)),"Có","Không"))</f>
        <v/>
      </c>
      <c r="T2929" s="22">
        <f>IF($D2929="","",IF(AND($C2929&lt;&gt;"",$Q2929="Có",$R2929="",$S2929="Có",AND($L2929&lt;&gt;"",OR($L2929&lt;&gt;"Chưa xác định",DANH_MUC!$L$9="Có"))),"Có","Không"))</f>
        <v/>
      </c>
      <c r="U2929" s="22">
        <f>IF(OR($D2929="",$T2929="Có"),"",IF($C2929="","Thiếu họ tên; ","")&amp;IF($S2929&lt;&gt;"Có","SĐT sai định dạng; ","")&amp;IF($R2929="Trùng","Trùng SĐT; ","")&amp;IF($Q2929&lt;&gt;"Có","Thiếu đồng ý bắt buộc; ","")&amp;IF($L2929="","Thiếu/sai Mã REF; ",IF(AND($L2929="Chưa xác định",DANH_MUC!$L$9&lt;&gt;"Có"),"Nguồn chưa xác định; ","")))</f>
        <v/>
      </c>
      <c r="V2929" s="22">
        <f>IF(OR($D2929="",$R2929="Trùng"),"",IF(COUNTIF(ORDERS!$C$2:$C$4995,$D2929)&gt;0,"Có","Không"))</f>
        <v/>
      </c>
      <c r="W2929" s="22">
        <f>IF(OR($D2929="",$R2929="Trùng"),"",COUNTIFS(ORDERS!$C$2:$C$4995,$D2929,ORDERS!$L$2:$L$4995,"Đã chuyển khoản"))</f>
        <v/>
      </c>
      <c r="X2929" s="23">
        <f>IF(OR($D2929="",$R2929="Trùng"),"",SUMIFS(ORDERS!$J$2:$J$4995,ORDERS!$C$2:$C$4995,$D2929,ORDERS!$L$2:$L$4995,"Đã chuyển khoản"))</f>
        <v/>
      </c>
      <c r="Y2929" s="24" t="n"/>
    </row>
    <row r="2930" ht="14.25" customHeight="1" s="40">
      <c r="A2930" s="24" t="n"/>
      <c r="B2930" s="27" t="n"/>
      <c r="C2930" s="24" t="n"/>
      <c r="D2930" s="28" t="n"/>
      <c r="E2930" s="29" t="n"/>
      <c r="F2930" s="24" t="n"/>
      <c r="G2930" s="24" t="n"/>
      <c r="H2930" s="21">
        <f>IF(ISNUMBER($B2930),INT($B2930)-WEEKDAY($B2930,2)+1,"")</f>
        <v/>
      </c>
      <c r="I2930" s="24" t="n"/>
      <c r="J2930" s="22">
        <f t="array" ref="J2930">IF($D2930="","",IF($I2930="","(trống REF)",IFERROR(INDEX(MASTER_SOURCE!$B$2:$B$495,MATCH($I2930,MASTER_SOURCE!$A$2:$A$495,0)),"(REF không có trong MASTER_SOURCE)")))</f>
        <v/>
      </c>
      <c r="K2930" s="22">
        <f t="array" ref="K2930">IF($D2930="","",IFERROR(INDEX(MASTER_SOURCE!$C$2:$C$495,MATCH($I2930,MASTER_SOURCE!$A$2:$A$495,0)),""))</f>
        <v/>
      </c>
      <c r="L2930" s="22">
        <f t="array" ref="L2930">IF($D2930="","",IFERROR(INDEX(MASTER_SOURCE!$D$2:$D$495,MATCH($I2930,MASTER_SOURCE!$A$2:$A$495,0)),""))</f>
        <v/>
      </c>
      <c r="M2930" s="24" t="n"/>
      <c r="N2930" s="24" t="n"/>
      <c r="O2930" s="24" t="n"/>
      <c r="P2930" s="24" t="n"/>
      <c r="Q2930" s="22">
        <f>IF($D2930="","",IF(AND(OR(DANH_MUC!$L$5&lt;&gt;"Có",M2930="Có"),OR(DANH_MUC!$L$6&lt;&gt;"Có",N2930="Có"),OR(DANH_MUC!$L$7&lt;&gt;"Có",O2930="Có"),OR(DANH_MUC!$L$8&lt;&gt;"Có",P2930="Có")),"Có","Không"))</f>
        <v/>
      </c>
      <c r="R2930" s="22">
        <f>IF($D2930="","",IF(COUNTIF($D$2:$D2930,$D2930)&gt;1,"Trùng",""))</f>
        <v/>
      </c>
      <c r="S2930" s="22">
        <f>IF($D2930="","",IF(AND(LEN($D2930)=10,LEFT($D2930,1)="0",ISNUMBER(--$D2930)),"Có","Không"))</f>
        <v/>
      </c>
      <c r="T2930" s="22">
        <f>IF($D2930="","",IF(AND($C2930&lt;&gt;"",$Q2930="Có",$R2930="",$S2930="Có",AND($L2930&lt;&gt;"",OR($L2930&lt;&gt;"Chưa xác định",DANH_MUC!$L$9="Có"))),"Có","Không"))</f>
        <v/>
      </c>
      <c r="U2930" s="22">
        <f>IF(OR($D2930="",$T2930="Có"),"",IF($C2930="","Thiếu họ tên; ","")&amp;IF($S2930&lt;&gt;"Có","SĐT sai định dạng; ","")&amp;IF($R2930="Trùng","Trùng SĐT; ","")&amp;IF($Q2930&lt;&gt;"Có","Thiếu đồng ý bắt buộc; ","")&amp;IF($L2930="","Thiếu/sai Mã REF; ",IF(AND($L2930="Chưa xác định",DANH_MUC!$L$9&lt;&gt;"Có"),"Nguồn chưa xác định; ","")))</f>
        <v/>
      </c>
      <c r="V2930" s="22">
        <f>IF(OR($D2930="",$R2930="Trùng"),"",IF(COUNTIF(ORDERS!$C$2:$C$4995,$D2930)&gt;0,"Có","Không"))</f>
        <v/>
      </c>
      <c r="W2930" s="22">
        <f>IF(OR($D2930="",$R2930="Trùng"),"",COUNTIFS(ORDERS!$C$2:$C$4995,$D2930,ORDERS!$L$2:$L$4995,"Đã chuyển khoản"))</f>
        <v/>
      </c>
      <c r="X2930" s="23">
        <f>IF(OR($D2930="",$R2930="Trùng"),"",SUMIFS(ORDERS!$J$2:$J$4995,ORDERS!$C$2:$C$4995,$D2930,ORDERS!$L$2:$L$4995,"Đã chuyển khoản"))</f>
        <v/>
      </c>
      <c r="Y2930" s="24" t="n"/>
    </row>
    <row r="2931" ht="14.25" customHeight="1" s="40">
      <c r="A2931" s="24" t="n"/>
      <c r="B2931" s="27" t="n"/>
      <c r="C2931" s="24" t="n"/>
      <c r="D2931" s="28" t="n"/>
      <c r="E2931" s="29" t="n"/>
      <c r="F2931" s="24" t="n"/>
      <c r="G2931" s="24" t="n"/>
      <c r="H2931" s="21">
        <f>IF(ISNUMBER($B2931),INT($B2931)-WEEKDAY($B2931,2)+1,"")</f>
        <v/>
      </c>
      <c r="I2931" s="24" t="n"/>
      <c r="J2931" s="22">
        <f t="array" ref="J2931">IF($D2931="","",IF($I2931="","(trống REF)",IFERROR(INDEX(MASTER_SOURCE!$B$2:$B$495,MATCH($I2931,MASTER_SOURCE!$A$2:$A$495,0)),"(REF không có trong MASTER_SOURCE)")))</f>
        <v/>
      </c>
      <c r="K2931" s="22">
        <f t="array" ref="K2931">IF($D2931="","",IFERROR(INDEX(MASTER_SOURCE!$C$2:$C$495,MATCH($I2931,MASTER_SOURCE!$A$2:$A$495,0)),""))</f>
        <v/>
      </c>
      <c r="L2931" s="22">
        <f t="array" ref="L2931">IF($D2931="","",IFERROR(INDEX(MASTER_SOURCE!$D$2:$D$495,MATCH($I2931,MASTER_SOURCE!$A$2:$A$495,0)),""))</f>
        <v/>
      </c>
      <c r="M2931" s="24" t="n"/>
      <c r="N2931" s="24" t="n"/>
      <c r="O2931" s="24" t="n"/>
      <c r="P2931" s="24" t="n"/>
      <c r="Q2931" s="22">
        <f>IF($D2931="","",IF(AND(OR(DANH_MUC!$L$5&lt;&gt;"Có",M2931="Có"),OR(DANH_MUC!$L$6&lt;&gt;"Có",N2931="Có"),OR(DANH_MUC!$L$7&lt;&gt;"Có",O2931="Có"),OR(DANH_MUC!$L$8&lt;&gt;"Có",P2931="Có")),"Có","Không"))</f>
        <v/>
      </c>
      <c r="R2931" s="22">
        <f>IF($D2931="","",IF(COUNTIF($D$2:$D2931,$D2931)&gt;1,"Trùng",""))</f>
        <v/>
      </c>
      <c r="S2931" s="22">
        <f>IF($D2931="","",IF(AND(LEN($D2931)=10,LEFT($D2931,1)="0",ISNUMBER(--$D2931)),"Có","Không"))</f>
        <v/>
      </c>
      <c r="T2931" s="22">
        <f>IF($D2931="","",IF(AND($C2931&lt;&gt;"",$Q2931="Có",$R2931="",$S2931="Có",AND($L2931&lt;&gt;"",OR($L2931&lt;&gt;"Chưa xác định",DANH_MUC!$L$9="Có"))),"Có","Không"))</f>
        <v/>
      </c>
      <c r="U2931" s="22">
        <f>IF(OR($D2931="",$T2931="Có"),"",IF($C2931="","Thiếu họ tên; ","")&amp;IF($S2931&lt;&gt;"Có","SĐT sai định dạng; ","")&amp;IF($R2931="Trùng","Trùng SĐT; ","")&amp;IF($Q2931&lt;&gt;"Có","Thiếu đồng ý bắt buộc; ","")&amp;IF($L2931="","Thiếu/sai Mã REF; ",IF(AND($L2931="Chưa xác định",DANH_MUC!$L$9&lt;&gt;"Có"),"Nguồn chưa xác định; ","")))</f>
        <v/>
      </c>
      <c r="V2931" s="22">
        <f>IF(OR($D2931="",$R2931="Trùng"),"",IF(COUNTIF(ORDERS!$C$2:$C$4995,$D2931)&gt;0,"Có","Không"))</f>
        <v/>
      </c>
      <c r="W2931" s="22">
        <f>IF(OR($D2931="",$R2931="Trùng"),"",COUNTIFS(ORDERS!$C$2:$C$4995,$D2931,ORDERS!$L$2:$L$4995,"Đã chuyển khoản"))</f>
        <v/>
      </c>
      <c r="X2931" s="23">
        <f>IF(OR($D2931="",$R2931="Trùng"),"",SUMIFS(ORDERS!$J$2:$J$4995,ORDERS!$C$2:$C$4995,$D2931,ORDERS!$L$2:$L$4995,"Đã chuyển khoản"))</f>
        <v/>
      </c>
      <c r="Y2931" s="24" t="n"/>
    </row>
    <row r="2932" ht="14.25" customHeight="1" s="40">
      <c r="A2932" s="24" t="n"/>
      <c r="B2932" s="27" t="n"/>
      <c r="C2932" s="24" t="n"/>
      <c r="D2932" s="28" t="n"/>
      <c r="E2932" s="29" t="n"/>
      <c r="F2932" s="24" t="n"/>
      <c r="G2932" s="24" t="n"/>
      <c r="H2932" s="21">
        <f>IF(ISNUMBER($B2932),INT($B2932)-WEEKDAY($B2932,2)+1,"")</f>
        <v/>
      </c>
      <c r="I2932" s="24" t="n"/>
      <c r="J2932" s="22">
        <f t="array" ref="J2932">IF($D2932="","",IF($I2932="","(trống REF)",IFERROR(INDEX(MASTER_SOURCE!$B$2:$B$495,MATCH($I2932,MASTER_SOURCE!$A$2:$A$495,0)),"(REF không có trong MASTER_SOURCE)")))</f>
        <v/>
      </c>
      <c r="K2932" s="22">
        <f t="array" ref="K2932">IF($D2932="","",IFERROR(INDEX(MASTER_SOURCE!$C$2:$C$495,MATCH($I2932,MASTER_SOURCE!$A$2:$A$495,0)),""))</f>
        <v/>
      </c>
      <c r="L2932" s="22">
        <f t="array" ref="L2932">IF($D2932="","",IFERROR(INDEX(MASTER_SOURCE!$D$2:$D$495,MATCH($I2932,MASTER_SOURCE!$A$2:$A$495,0)),""))</f>
        <v/>
      </c>
      <c r="M2932" s="24" t="n"/>
      <c r="N2932" s="24" t="n"/>
      <c r="O2932" s="24" t="n"/>
      <c r="P2932" s="24" t="n"/>
      <c r="Q2932" s="22">
        <f>IF($D2932="","",IF(AND(OR(DANH_MUC!$L$5&lt;&gt;"Có",M2932="Có"),OR(DANH_MUC!$L$6&lt;&gt;"Có",N2932="Có"),OR(DANH_MUC!$L$7&lt;&gt;"Có",O2932="Có"),OR(DANH_MUC!$L$8&lt;&gt;"Có",P2932="Có")),"Có","Không"))</f>
        <v/>
      </c>
      <c r="R2932" s="22">
        <f>IF($D2932="","",IF(COUNTIF($D$2:$D2932,$D2932)&gt;1,"Trùng",""))</f>
        <v/>
      </c>
      <c r="S2932" s="22">
        <f>IF($D2932="","",IF(AND(LEN($D2932)=10,LEFT($D2932,1)="0",ISNUMBER(--$D2932)),"Có","Không"))</f>
        <v/>
      </c>
      <c r="T2932" s="22">
        <f>IF($D2932="","",IF(AND($C2932&lt;&gt;"",$Q2932="Có",$R2932="",$S2932="Có",AND($L2932&lt;&gt;"",OR($L2932&lt;&gt;"Chưa xác định",DANH_MUC!$L$9="Có"))),"Có","Không"))</f>
        <v/>
      </c>
      <c r="U2932" s="22">
        <f>IF(OR($D2932="",$T2932="Có"),"",IF($C2932="","Thiếu họ tên; ","")&amp;IF($S2932&lt;&gt;"Có","SĐT sai định dạng; ","")&amp;IF($R2932="Trùng","Trùng SĐT; ","")&amp;IF($Q2932&lt;&gt;"Có","Thiếu đồng ý bắt buộc; ","")&amp;IF($L2932="","Thiếu/sai Mã REF; ",IF(AND($L2932="Chưa xác định",DANH_MUC!$L$9&lt;&gt;"Có"),"Nguồn chưa xác định; ","")))</f>
        <v/>
      </c>
      <c r="V2932" s="22">
        <f>IF(OR($D2932="",$R2932="Trùng"),"",IF(COUNTIF(ORDERS!$C$2:$C$4995,$D2932)&gt;0,"Có","Không"))</f>
        <v/>
      </c>
      <c r="W2932" s="22">
        <f>IF(OR($D2932="",$R2932="Trùng"),"",COUNTIFS(ORDERS!$C$2:$C$4995,$D2932,ORDERS!$L$2:$L$4995,"Đã chuyển khoản"))</f>
        <v/>
      </c>
      <c r="X2932" s="23">
        <f>IF(OR($D2932="",$R2932="Trùng"),"",SUMIFS(ORDERS!$J$2:$J$4995,ORDERS!$C$2:$C$4995,$D2932,ORDERS!$L$2:$L$4995,"Đã chuyển khoản"))</f>
        <v/>
      </c>
      <c r="Y2932" s="24" t="n"/>
    </row>
    <row r="2933" ht="14.25" customHeight="1" s="40">
      <c r="A2933" s="24" t="n"/>
      <c r="B2933" s="27" t="n"/>
      <c r="C2933" s="24" t="n"/>
      <c r="D2933" s="28" t="n"/>
      <c r="E2933" s="29" t="n"/>
      <c r="F2933" s="24" t="n"/>
      <c r="G2933" s="24" t="n"/>
      <c r="H2933" s="21">
        <f>IF(ISNUMBER($B2933),INT($B2933)-WEEKDAY($B2933,2)+1,"")</f>
        <v/>
      </c>
      <c r="I2933" s="24" t="n"/>
      <c r="J2933" s="22">
        <f t="array" ref="J2933">IF($D2933="","",IF($I2933="","(trống REF)",IFERROR(INDEX(MASTER_SOURCE!$B$2:$B$495,MATCH($I2933,MASTER_SOURCE!$A$2:$A$495,0)),"(REF không có trong MASTER_SOURCE)")))</f>
        <v/>
      </c>
      <c r="K2933" s="22">
        <f t="array" ref="K2933">IF($D2933="","",IFERROR(INDEX(MASTER_SOURCE!$C$2:$C$495,MATCH($I2933,MASTER_SOURCE!$A$2:$A$495,0)),""))</f>
        <v/>
      </c>
      <c r="L2933" s="22">
        <f t="array" ref="L2933">IF($D2933="","",IFERROR(INDEX(MASTER_SOURCE!$D$2:$D$495,MATCH($I2933,MASTER_SOURCE!$A$2:$A$495,0)),""))</f>
        <v/>
      </c>
      <c r="M2933" s="24" t="n"/>
      <c r="N2933" s="24" t="n"/>
      <c r="O2933" s="24" t="n"/>
      <c r="P2933" s="24" t="n"/>
      <c r="Q2933" s="22">
        <f>IF($D2933="","",IF(AND(OR(DANH_MUC!$L$5&lt;&gt;"Có",M2933="Có"),OR(DANH_MUC!$L$6&lt;&gt;"Có",N2933="Có"),OR(DANH_MUC!$L$7&lt;&gt;"Có",O2933="Có"),OR(DANH_MUC!$L$8&lt;&gt;"Có",P2933="Có")),"Có","Không"))</f>
        <v/>
      </c>
      <c r="R2933" s="22">
        <f>IF($D2933="","",IF(COUNTIF($D$2:$D2933,$D2933)&gt;1,"Trùng",""))</f>
        <v/>
      </c>
      <c r="S2933" s="22">
        <f>IF($D2933="","",IF(AND(LEN($D2933)=10,LEFT($D2933,1)="0",ISNUMBER(--$D2933)),"Có","Không"))</f>
        <v/>
      </c>
      <c r="T2933" s="22">
        <f>IF($D2933="","",IF(AND($C2933&lt;&gt;"",$Q2933="Có",$R2933="",$S2933="Có",AND($L2933&lt;&gt;"",OR($L2933&lt;&gt;"Chưa xác định",DANH_MUC!$L$9="Có"))),"Có","Không"))</f>
        <v/>
      </c>
      <c r="U2933" s="22">
        <f>IF(OR($D2933="",$T2933="Có"),"",IF($C2933="","Thiếu họ tên; ","")&amp;IF($S2933&lt;&gt;"Có","SĐT sai định dạng; ","")&amp;IF($R2933="Trùng","Trùng SĐT; ","")&amp;IF($Q2933&lt;&gt;"Có","Thiếu đồng ý bắt buộc; ","")&amp;IF($L2933="","Thiếu/sai Mã REF; ",IF(AND($L2933="Chưa xác định",DANH_MUC!$L$9&lt;&gt;"Có"),"Nguồn chưa xác định; ","")))</f>
        <v/>
      </c>
      <c r="V2933" s="22">
        <f>IF(OR($D2933="",$R2933="Trùng"),"",IF(COUNTIF(ORDERS!$C$2:$C$4995,$D2933)&gt;0,"Có","Không"))</f>
        <v/>
      </c>
      <c r="W2933" s="22">
        <f>IF(OR($D2933="",$R2933="Trùng"),"",COUNTIFS(ORDERS!$C$2:$C$4995,$D2933,ORDERS!$L$2:$L$4995,"Đã chuyển khoản"))</f>
        <v/>
      </c>
      <c r="X2933" s="23">
        <f>IF(OR($D2933="",$R2933="Trùng"),"",SUMIFS(ORDERS!$J$2:$J$4995,ORDERS!$C$2:$C$4995,$D2933,ORDERS!$L$2:$L$4995,"Đã chuyển khoản"))</f>
        <v/>
      </c>
      <c r="Y2933" s="24" t="n"/>
    </row>
    <row r="2934" ht="14.25" customHeight="1" s="40">
      <c r="A2934" s="24" t="n"/>
      <c r="B2934" s="27" t="n"/>
      <c r="C2934" s="24" t="n"/>
      <c r="D2934" s="28" t="n"/>
      <c r="E2934" s="29" t="n"/>
      <c r="F2934" s="24" t="n"/>
      <c r="G2934" s="24" t="n"/>
      <c r="H2934" s="21">
        <f>IF(ISNUMBER($B2934),INT($B2934)-WEEKDAY($B2934,2)+1,"")</f>
        <v/>
      </c>
      <c r="I2934" s="24" t="n"/>
      <c r="J2934" s="22">
        <f t="array" ref="J2934">IF($D2934="","",IF($I2934="","(trống REF)",IFERROR(INDEX(MASTER_SOURCE!$B$2:$B$495,MATCH($I2934,MASTER_SOURCE!$A$2:$A$495,0)),"(REF không có trong MASTER_SOURCE)")))</f>
        <v/>
      </c>
      <c r="K2934" s="22">
        <f t="array" ref="K2934">IF($D2934="","",IFERROR(INDEX(MASTER_SOURCE!$C$2:$C$495,MATCH($I2934,MASTER_SOURCE!$A$2:$A$495,0)),""))</f>
        <v/>
      </c>
      <c r="L2934" s="22">
        <f t="array" ref="L2934">IF($D2934="","",IFERROR(INDEX(MASTER_SOURCE!$D$2:$D$495,MATCH($I2934,MASTER_SOURCE!$A$2:$A$495,0)),""))</f>
        <v/>
      </c>
      <c r="M2934" s="24" t="n"/>
      <c r="N2934" s="24" t="n"/>
      <c r="O2934" s="24" t="n"/>
      <c r="P2934" s="24" t="n"/>
      <c r="Q2934" s="22">
        <f>IF($D2934="","",IF(AND(OR(DANH_MUC!$L$5&lt;&gt;"Có",M2934="Có"),OR(DANH_MUC!$L$6&lt;&gt;"Có",N2934="Có"),OR(DANH_MUC!$L$7&lt;&gt;"Có",O2934="Có"),OR(DANH_MUC!$L$8&lt;&gt;"Có",P2934="Có")),"Có","Không"))</f>
        <v/>
      </c>
      <c r="R2934" s="22">
        <f>IF($D2934="","",IF(COUNTIF($D$2:$D2934,$D2934)&gt;1,"Trùng",""))</f>
        <v/>
      </c>
      <c r="S2934" s="22">
        <f>IF($D2934="","",IF(AND(LEN($D2934)=10,LEFT($D2934,1)="0",ISNUMBER(--$D2934)),"Có","Không"))</f>
        <v/>
      </c>
      <c r="T2934" s="22">
        <f>IF($D2934="","",IF(AND($C2934&lt;&gt;"",$Q2934="Có",$R2934="",$S2934="Có",AND($L2934&lt;&gt;"",OR($L2934&lt;&gt;"Chưa xác định",DANH_MUC!$L$9="Có"))),"Có","Không"))</f>
        <v/>
      </c>
      <c r="U2934" s="22">
        <f>IF(OR($D2934="",$T2934="Có"),"",IF($C2934="","Thiếu họ tên; ","")&amp;IF($S2934&lt;&gt;"Có","SĐT sai định dạng; ","")&amp;IF($R2934="Trùng","Trùng SĐT; ","")&amp;IF($Q2934&lt;&gt;"Có","Thiếu đồng ý bắt buộc; ","")&amp;IF($L2934="","Thiếu/sai Mã REF; ",IF(AND($L2934="Chưa xác định",DANH_MUC!$L$9&lt;&gt;"Có"),"Nguồn chưa xác định; ","")))</f>
        <v/>
      </c>
      <c r="V2934" s="22">
        <f>IF(OR($D2934="",$R2934="Trùng"),"",IF(COUNTIF(ORDERS!$C$2:$C$4995,$D2934)&gt;0,"Có","Không"))</f>
        <v/>
      </c>
      <c r="W2934" s="22">
        <f>IF(OR($D2934="",$R2934="Trùng"),"",COUNTIFS(ORDERS!$C$2:$C$4995,$D2934,ORDERS!$L$2:$L$4995,"Đã chuyển khoản"))</f>
        <v/>
      </c>
      <c r="X2934" s="23">
        <f>IF(OR($D2934="",$R2934="Trùng"),"",SUMIFS(ORDERS!$J$2:$J$4995,ORDERS!$C$2:$C$4995,$D2934,ORDERS!$L$2:$L$4995,"Đã chuyển khoản"))</f>
        <v/>
      </c>
      <c r="Y2934" s="24" t="n"/>
    </row>
    <row r="2935" ht="14.25" customHeight="1" s="40">
      <c r="A2935" s="24" t="n"/>
      <c r="B2935" s="27" t="n"/>
      <c r="C2935" s="24" t="n"/>
      <c r="D2935" s="28" t="n"/>
      <c r="E2935" s="29" t="n"/>
      <c r="F2935" s="24" t="n"/>
      <c r="G2935" s="24" t="n"/>
      <c r="H2935" s="21">
        <f>IF(ISNUMBER($B2935),INT($B2935)-WEEKDAY($B2935,2)+1,"")</f>
        <v/>
      </c>
      <c r="I2935" s="24" t="n"/>
      <c r="J2935" s="22">
        <f t="array" ref="J2935">IF($D2935="","",IF($I2935="","(trống REF)",IFERROR(INDEX(MASTER_SOURCE!$B$2:$B$495,MATCH($I2935,MASTER_SOURCE!$A$2:$A$495,0)),"(REF không có trong MASTER_SOURCE)")))</f>
        <v/>
      </c>
      <c r="K2935" s="22">
        <f t="array" ref="K2935">IF($D2935="","",IFERROR(INDEX(MASTER_SOURCE!$C$2:$C$495,MATCH($I2935,MASTER_SOURCE!$A$2:$A$495,0)),""))</f>
        <v/>
      </c>
      <c r="L2935" s="22">
        <f t="array" ref="L2935">IF($D2935="","",IFERROR(INDEX(MASTER_SOURCE!$D$2:$D$495,MATCH($I2935,MASTER_SOURCE!$A$2:$A$495,0)),""))</f>
        <v/>
      </c>
      <c r="M2935" s="24" t="n"/>
      <c r="N2935" s="24" t="n"/>
      <c r="O2935" s="24" t="n"/>
      <c r="P2935" s="24" t="n"/>
      <c r="Q2935" s="22">
        <f>IF($D2935="","",IF(AND(OR(DANH_MUC!$L$5&lt;&gt;"Có",M2935="Có"),OR(DANH_MUC!$L$6&lt;&gt;"Có",N2935="Có"),OR(DANH_MUC!$L$7&lt;&gt;"Có",O2935="Có"),OR(DANH_MUC!$L$8&lt;&gt;"Có",P2935="Có")),"Có","Không"))</f>
        <v/>
      </c>
      <c r="R2935" s="22">
        <f>IF($D2935="","",IF(COUNTIF($D$2:$D2935,$D2935)&gt;1,"Trùng",""))</f>
        <v/>
      </c>
      <c r="S2935" s="22">
        <f>IF($D2935="","",IF(AND(LEN($D2935)=10,LEFT($D2935,1)="0",ISNUMBER(--$D2935)),"Có","Không"))</f>
        <v/>
      </c>
      <c r="T2935" s="22">
        <f>IF($D2935="","",IF(AND($C2935&lt;&gt;"",$Q2935="Có",$R2935="",$S2935="Có",AND($L2935&lt;&gt;"",OR($L2935&lt;&gt;"Chưa xác định",DANH_MUC!$L$9="Có"))),"Có","Không"))</f>
        <v/>
      </c>
      <c r="U2935" s="22">
        <f>IF(OR($D2935="",$T2935="Có"),"",IF($C2935="","Thiếu họ tên; ","")&amp;IF($S2935&lt;&gt;"Có","SĐT sai định dạng; ","")&amp;IF($R2935="Trùng","Trùng SĐT; ","")&amp;IF($Q2935&lt;&gt;"Có","Thiếu đồng ý bắt buộc; ","")&amp;IF($L2935="","Thiếu/sai Mã REF; ",IF(AND($L2935="Chưa xác định",DANH_MUC!$L$9&lt;&gt;"Có"),"Nguồn chưa xác định; ","")))</f>
        <v/>
      </c>
      <c r="V2935" s="22">
        <f>IF(OR($D2935="",$R2935="Trùng"),"",IF(COUNTIF(ORDERS!$C$2:$C$4995,$D2935)&gt;0,"Có","Không"))</f>
        <v/>
      </c>
      <c r="W2935" s="22">
        <f>IF(OR($D2935="",$R2935="Trùng"),"",COUNTIFS(ORDERS!$C$2:$C$4995,$D2935,ORDERS!$L$2:$L$4995,"Đã chuyển khoản"))</f>
        <v/>
      </c>
      <c r="X2935" s="23">
        <f>IF(OR($D2935="",$R2935="Trùng"),"",SUMIFS(ORDERS!$J$2:$J$4995,ORDERS!$C$2:$C$4995,$D2935,ORDERS!$L$2:$L$4995,"Đã chuyển khoản"))</f>
        <v/>
      </c>
      <c r="Y2935" s="24" t="n"/>
    </row>
    <row r="2936" ht="14.25" customHeight="1" s="40">
      <c r="A2936" s="24" t="n"/>
      <c r="B2936" s="27" t="n"/>
      <c r="C2936" s="24" t="n"/>
      <c r="D2936" s="28" t="n"/>
      <c r="E2936" s="29" t="n"/>
      <c r="F2936" s="24" t="n"/>
      <c r="G2936" s="24" t="n"/>
      <c r="H2936" s="21">
        <f>IF(ISNUMBER($B2936),INT($B2936)-WEEKDAY($B2936,2)+1,"")</f>
        <v/>
      </c>
      <c r="I2936" s="24" t="n"/>
      <c r="J2936" s="22">
        <f t="array" ref="J2936">IF($D2936="","",IF($I2936="","(trống REF)",IFERROR(INDEX(MASTER_SOURCE!$B$2:$B$495,MATCH($I2936,MASTER_SOURCE!$A$2:$A$495,0)),"(REF không có trong MASTER_SOURCE)")))</f>
        <v/>
      </c>
      <c r="K2936" s="22">
        <f t="array" ref="K2936">IF($D2936="","",IFERROR(INDEX(MASTER_SOURCE!$C$2:$C$495,MATCH($I2936,MASTER_SOURCE!$A$2:$A$495,0)),""))</f>
        <v/>
      </c>
      <c r="L2936" s="22">
        <f t="array" ref="L2936">IF($D2936="","",IFERROR(INDEX(MASTER_SOURCE!$D$2:$D$495,MATCH($I2936,MASTER_SOURCE!$A$2:$A$495,0)),""))</f>
        <v/>
      </c>
      <c r="M2936" s="24" t="n"/>
      <c r="N2936" s="24" t="n"/>
      <c r="O2936" s="24" t="n"/>
      <c r="P2936" s="24" t="n"/>
      <c r="Q2936" s="22">
        <f>IF($D2936="","",IF(AND(OR(DANH_MUC!$L$5&lt;&gt;"Có",M2936="Có"),OR(DANH_MUC!$L$6&lt;&gt;"Có",N2936="Có"),OR(DANH_MUC!$L$7&lt;&gt;"Có",O2936="Có"),OR(DANH_MUC!$L$8&lt;&gt;"Có",P2936="Có")),"Có","Không"))</f>
        <v/>
      </c>
      <c r="R2936" s="22">
        <f>IF($D2936="","",IF(COUNTIF($D$2:$D2936,$D2936)&gt;1,"Trùng",""))</f>
        <v/>
      </c>
      <c r="S2936" s="22">
        <f>IF($D2936="","",IF(AND(LEN($D2936)=10,LEFT($D2936,1)="0",ISNUMBER(--$D2936)),"Có","Không"))</f>
        <v/>
      </c>
      <c r="T2936" s="22">
        <f>IF($D2936="","",IF(AND($C2936&lt;&gt;"",$Q2936="Có",$R2936="",$S2936="Có",AND($L2936&lt;&gt;"",OR($L2936&lt;&gt;"Chưa xác định",DANH_MUC!$L$9="Có"))),"Có","Không"))</f>
        <v/>
      </c>
      <c r="U2936" s="22">
        <f>IF(OR($D2936="",$T2936="Có"),"",IF($C2936="","Thiếu họ tên; ","")&amp;IF($S2936&lt;&gt;"Có","SĐT sai định dạng; ","")&amp;IF($R2936="Trùng","Trùng SĐT; ","")&amp;IF($Q2936&lt;&gt;"Có","Thiếu đồng ý bắt buộc; ","")&amp;IF($L2936="","Thiếu/sai Mã REF; ",IF(AND($L2936="Chưa xác định",DANH_MUC!$L$9&lt;&gt;"Có"),"Nguồn chưa xác định; ","")))</f>
        <v/>
      </c>
      <c r="V2936" s="22">
        <f>IF(OR($D2936="",$R2936="Trùng"),"",IF(COUNTIF(ORDERS!$C$2:$C$4995,$D2936)&gt;0,"Có","Không"))</f>
        <v/>
      </c>
      <c r="W2936" s="22">
        <f>IF(OR($D2936="",$R2936="Trùng"),"",COUNTIFS(ORDERS!$C$2:$C$4995,$D2936,ORDERS!$L$2:$L$4995,"Đã chuyển khoản"))</f>
        <v/>
      </c>
      <c r="X2936" s="23">
        <f>IF(OR($D2936="",$R2936="Trùng"),"",SUMIFS(ORDERS!$J$2:$J$4995,ORDERS!$C$2:$C$4995,$D2936,ORDERS!$L$2:$L$4995,"Đã chuyển khoản"))</f>
        <v/>
      </c>
      <c r="Y2936" s="24" t="n"/>
    </row>
    <row r="2937" ht="14.25" customHeight="1" s="40">
      <c r="A2937" s="24" t="n"/>
      <c r="B2937" s="27" t="n"/>
      <c r="C2937" s="24" t="n"/>
      <c r="D2937" s="28" t="n"/>
      <c r="E2937" s="29" t="n"/>
      <c r="F2937" s="24" t="n"/>
      <c r="G2937" s="24" t="n"/>
      <c r="H2937" s="21">
        <f>IF(ISNUMBER($B2937),INT($B2937)-WEEKDAY($B2937,2)+1,"")</f>
        <v/>
      </c>
      <c r="I2937" s="24" t="n"/>
      <c r="J2937" s="22">
        <f t="array" ref="J2937">IF($D2937="","",IF($I2937="","(trống REF)",IFERROR(INDEX(MASTER_SOURCE!$B$2:$B$495,MATCH($I2937,MASTER_SOURCE!$A$2:$A$495,0)),"(REF không có trong MASTER_SOURCE)")))</f>
        <v/>
      </c>
      <c r="K2937" s="22">
        <f t="array" ref="K2937">IF($D2937="","",IFERROR(INDEX(MASTER_SOURCE!$C$2:$C$495,MATCH($I2937,MASTER_SOURCE!$A$2:$A$495,0)),""))</f>
        <v/>
      </c>
      <c r="L2937" s="22">
        <f t="array" ref="L2937">IF($D2937="","",IFERROR(INDEX(MASTER_SOURCE!$D$2:$D$495,MATCH($I2937,MASTER_SOURCE!$A$2:$A$495,0)),""))</f>
        <v/>
      </c>
      <c r="M2937" s="24" t="n"/>
      <c r="N2937" s="24" t="n"/>
      <c r="O2937" s="24" t="n"/>
      <c r="P2937" s="24" t="n"/>
      <c r="Q2937" s="22">
        <f>IF($D2937="","",IF(AND(OR(DANH_MUC!$L$5&lt;&gt;"Có",M2937="Có"),OR(DANH_MUC!$L$6&lt;&gt;"Có",N2937="Có"),OR(DANH_MUC!$L$7&lt;&gt;"Có",O2937="Có"),OR(DANH_MUC!$L$8&lt;&gt;"Có",P2937="Có")),"Có","Không"))</f>
        <v/>
      </c>
      <c r="R2937" s="22">
        <f>IF($D2937="","",IF(COUNTIF($D$2:$D2937,$D2937)&gt;1,"Trùng",""))</f>
        <v/>
      </c>
      <c r="S2937" s="22">
        <f>IF($D2937="","",IF(AND(LEN($D2937)=10,LEFT($D2937,1)="0",ISNUMBER(--$D2937)),"Có","Không"))</f>
        <v/>
      </c>
      <c r="T2937" s="22">
        <f>IF($D2937="","",IF(AND($C2937&lt;&gt;"",$Q2937="Có",$R2937="",$S2937="Có",AND($L2937&lt;&gt;"",OR($L2937&lt;&gt;"Chưa xác định",DANH_MUC!$L$9="Có"))),"Có","Không"))</f>
        <v/>
      </c>
      <c r="U2937" s="22">
        <f>IF(OR($D2937="",$T2937="Có"),"",IF($C2937="","Thiếu họ tên; ","")&amp;IF($S2937&lt;&gt;"Có","SĐT sai định dạng; ","")&amp;IF($R2937="Trùng","Trùng SĐT; ","")&amp;IF($Q2937&lt;&gt;"Có","Thiếu đồng ý bắt buộc; ","")&amp;IF($L2937="","Thiếu/sai Mã REF; ",IF(AND($L2937="Chưa xác định",DANH_MUC!$L$9&lt;&gt;"Có"),"Nguồn chưa xác định; ","")))</f>
        <v/>
      </c>
      <c r="V2937" s="22">
        <f>IF(OR($D2937="",$R2937="Trùng"),"",IF(COUNTIF(ORDERS!$C$2:$C$4995,$D2937)&gt;0,"Có","Không"))</f>
        <v/>
      </c>
      <c r="W2937" s="22">
        <f>IF(OR($D2937="",$R2937="Trùng"),"",COUNTIFS(ORDERS!$C$2:$C$4995,$D2937,ORDERS!$L$2:$L$4995,"Đã chuyển khoản"))</f>
        <v/>
      </c>
      <c r="X2937" s="23">
        <f>IF(OR($D2937="",$R2937="Trùng"),"",SUMIFS(ORDERS!$J$2:$J$4995,ORDERS!$C$2:$C$4995,$D2937,ORDERS!$L$2:$L$4995,"Đã chuyển khoản"))</f>
        <v/>
      </c>
      <c r="Y2937" s="24" t="n"/>
    </row>
    <row r="2938" ht="14.25" customHeight="1" s="40">
      <c r="A2938" s="24" t="n"/>
      <c r="B2938" s="27" t="n"/>
      <c r="C2938" s="24" t="n"/>
      <c r="D2938" s="28" t="n"/>
      <c r="E2938" s="29" t="n"/>
      <c r="F2938" s="24" t="n"/>
      <c r="G2938" s="24" t="n"/>
      <c r="H2938" s="21">
        <f>IF(ISNUMBER($B2938),INT($B2938)-WEEKDAY($B2938,2)+1,"")</f>
        <v/>
      </c>
      <c r="I2938" s="24" t="n"/>
      <c r="J2938" s="22">
        <f t="array" ref="J2938">IF($D2938="","",IF($I2938="","(trống REF)",IFERROR(INDEX(MASTER_SOURCE!$B$2:$B$495,MATCH($I2938,MASTER_SOURCE!$A$2:$A$495,0)),"(REF không có trong MASTER_SOURCE)")))</f>
        <v/>
      </c>
      <c r="K2938" s="22">
        <f t="array" ref="K2938">IF($D2938="","",IFERROR(INDEX(MASTER_SOURCE!$C$2:$C$495,MATCH($I2938,MASTER_SOURCE!$A$2:$A$495,0)),""))</f>
        <v/>
      </c>
      <c r="L2938" s="22">
        <f t="array" ref="L2938">IF($D2938="","",IFERROR(INDEX(MASTER_SOURCE!$D$2:$D$495,MATCH($I2938,MASTER_SOURCE!$A$2:$A$495,0)),""))</f>
        <v/>
      </c>
      <c r="M2938" s="24" t="n"/>
      <c r="N2938" s="24" t="n"/>
      <c r="O2938" s="24" t="n"/>
      <c r="P2938" s="24" t="n"/>
      <c r="Q2938" s="22">
        <f>IF($D2938="","",IF(AND(OR(DANH_MUC!$L$5&lt;&gt;"Có",M2938="Có"),OR(DANH_MUC!$L$6&lt;&gt;"Có",N2938="Có"),OR(DANH_MUC!$L$7&lt;&gt;"Có",O2938="Có"),OR(DANH_MUC!$L$8&lt;&gt;"Có",P2938="Có")),"Có","Không"))</f>
        <v/>
      </c>
      <c r="R2938" s="22">
        <f>IF($D2938="","",IF(COUNTIF($D$2:$D2938,$D2938)&gt;1,"Trùng",""))</f>
        <v/>
      </c>
      <c r="S2938" s="22">
        <f>IF($D2938="","",IF(AND(LEN($D2938)=10,LEFT($D2938,1)="0",ISNUMBER(--$D2938)),"Có","Không"))</f>
        <v/>
      </c>
      <c r="T2938" s="22">
        <f>IF($D2938="","",IF(AND($C2938&lt;&gt;"",$Q2938="Có",$R2938="",$S2938="Có",AND($L2938&lt;&gt;"",OR($L2938&lt;&gt;"Chưa xác định",DANH_MUC!$L$9="Có"))),"Có","Không"))</f>
        <v/>
      </c>
      <c r="U2938" s="22">
        <f>IF(OR($D2938="",$T2938="Có"),"",IF($C2938="","Thiếu họ tên; ","")&amp;IF($S2938&lt;&gt;"Có","SĐT sai định dạng; ","")&amp;IF($R2938="Trùng","Trùng SĐT; ","")&amp;IF($Q2938&lt;&gt;"Có","Thiếu đồng ý bắt buộc; ","")&amp;IF($L2938="","Thiếu/sai Mã REF; ",IF(AND($L2938="Chưa xác định",DANH_MUC!$L$9&lt;&gt;"Có"),"Nguồn chưa xác định; ","")))</f>
        <v/>
      </c>
      <c r="V2938" s="22">
        <f>IF(OR($D2938="",$R2938="Trùng"),"",IF(COUNTIF(ORDERS!$C$2:$C$4995,$D2938)&gt;0,"Có","Không"))</f>
        <v/>
      </c>
      <c r="W2938" s="22">
        <f>IF(OR($D2938="",$R2938="Trùng"),"",COUNTIFS(ORDERS!$C$2:$C$4995,$D2938,ORDERS!$L$2:$L$4995,"Đã chuyển khoản"))</f>
        <v/>
      </c>
      <c r="X2938" s="23">
        <f>IF(OR($D2938="",$R2938="Trùng"),"",SUMIFS(ORDERS!$J$2:$J$4995,ORDERS!$C$2:$C$4995,$D2938,ORDERS!$L$2:$L$4995,"Đã chuyển khoản"))</f>
        <v/>
      </c>
      <c r="Y2938" s="24" t="n"/>
    </row>
    <row r="2939" ht="14.25" customHeight="1" s="40">
      <c r="A2939" s="24" t="n"/>
      <c r="B2939" s="27" t="n"/>
      <c r="C2939" s="24" t="n"/>
      <c r="D2939" s="28" t="n"/>
      <c r="E2939" s="29" t="n"/>
      <c r="F2939" s="24" t="n"/>
      <c r="G2939" s="24" t="n"/>
      <c r="H2939" s="21">
        <f>IF(ISNUMBER($B2939),INT($B2939)-WEEKDAY($B2939,2)+1,"")</f>
        <v/>
      </c>
      <c r="I2939" s="24" t="n"/>
      <c r="J2939" s="22">
        <f t="array" ref="J2939">IF($D2939="","",IF($I2939="","(trống REF)",IFERROR(INDEX(MASTER_SOURCE!$B$2:$B$495,MATCH($I2939,MASTER_SOURCE!$A$2:$A$495,0)),"(REF không có trong MASTER_SOURCE)")))</f>
        <v/>
      </c>
      <c r="K2939" s="22">
        <f t="array" ref="K2939">IF($D2939="","",IFERROR(INDEX(MASTER_SOURCE!$C$2:$C$495,MATCH($I2939,MASTER_SOURCE!$A$2:$A$495,0)),""))</f>
        <v/>
      </c>
      <c r="L2939" s="22">
        <f t="array" ref="L2939">IF($D2939="","",IFERROR(INDEX(MASTER_SOURCE!$D$2:$D$495,MATCH($I2939,MASTER_SOURCE!$A$2:$A$495,0)),""))</f>
        <v/>
      </c>
      <c r="M2939" s="24" t="n"/>
      <c r="N2939" s="24" t="n"/>
      <c r="O2939" s="24" t="n"/>
      <c r="P2939" s="24" t="n"/>
      <c r="Q2939" s="22">
        <f>IF($D2939="","",IF(AND(OR(DANH_MUC!$L$5&lt;&gt;"Có",M2939="Có"),OR(DANH_MUC!$L$6&lt;&gt;"Có",N2939="Có"),OR(DANH_MUC!$L$7&lt;&gt;"Có",O2939="Có"),OR(DANH_MUC!$L$8&lt;&gt;"Có",P2939="Có")),"Có","Không"))</f>
        <v/>
      </c>
      <c r="R2939" s="22">
        <f>IF($D2939="","",IF(COUNTIF($D$2:$D2939,$D2939)&gt;1,"Trùng",""))</f>
        <v/>
      </c>
      <c r="S2939" s="22">
        <f>IF($D2939="","",IF(AND(LEN($D2939)=10,LEFT($D2939,1)="0",ISNUMBER(--$D2939)),"Có","Không"))</f>
        <v/>
      </c>
      <c r="T2939" s="22">
        <f>IF($D2939="","",IF(AND($C2939&lt;&gt;"",$Q2939="Có",$R2939="",$S2939="Có",AND($L2939&lt;&gt;"",OR($L2939&lt;&gt;"Chưa xác định",DANH_MUC!$L$9="Có"))),"Có","Không"))</f>
        <v/>
      </c>
      <c r="U2939" s="22">
        <f>IF(OR($D2939="",$T2939="Có"),"",IF($C2939="","Thiếu họ tên; ","")&amp;IF($S2939&lt;&gt;"Có","SĐT sai định dạng; ","")&amp;IF($R2939="Trùng","Trùng SĐT; ","")&amp;IF($Q2939&lt;&gt;"Có","Thiếu đồng ý bắt buộc; ","")&amp;IF($L2939="","Thiếu/sai Mã REF; ",IF(AND($L2939="Chưa xác định",DANH_MUC!$L$9&lt;&gt;"Có"),"Nguồn chưa xác định; ","")))</f>
        <v/>
      </c>
      <c r="V2939" s="22">
        <f>IF(OR($D2939="",$R2939="Trùng"),"",IF(COUNTIF(ORDERS!$C$2:$C$4995,$D2939)&gt;0,"Có","Không"))</f>
        <v/>
      </c>
      <c r="W2939" s="22">
        <f>IF(OR($D2939="",$R2939="Trùng"),"",COUNTIFS(ORDERS!$C$2:$C$4995,$D2939,ORDERS!$L$2:$L$4995,"Đã chuyển khoản"))</f>
        <v/>
      </c>
      <c r="X2939" s="23">
        <f>IF(OR($D2939="",$R2939="Trùng"),"",SUMIFS(ORDERS!$J$2:$J$4995,ORDERS!$C$2:$C$4995,$D2939,ORDERS!$L$2:$L$4995,"Đã chuyển khoản"))</f>
        <v/>
      </c>
      <c r="Y2939" s="24" t="n"/>
    </row>
    <row r="2940" ht="14.25" customHeight="1" s="40">
      <c r="A2940" s="24" t="n"/>
      <c r="B2940" s="27" t="n"/>
      <c r="C2940" s="24" t="n"/>
      <c r="D2940" s="28" t="n"/>
      <c r="E2940" s="29" t="n"/>
      <c r="F2940" s="24" t="n"/>
      <c r="G2940" s="24" t="n"/>
      <c r="H2940" s="21">
        <f>IF(ISNUMBER($B2940),INT($B2940)-WEEKDAY($B2940,2)+1,"")</f>
        <v/>
      </c>
      <c r="I2940" s="24" t="n"/>
      <c r="J2940" s="22">
        <f t="array" ref="J2940">IF($D2940="","",IF($I2940="","(trống REF)",IFERROR(INDEX(MASTER_SOURCE!$B$2:$B$495,MATCH($I2940,MASTER_SOURCE!$A$2:$A$495,0)),"(REF không có trong MASTER_SOURCE)")))</f>
        <v/>
      </c>
      <c r="K2940" s="22">
        <f t="array" ref="K2940">IF($D2940="","",IFERROR(INDEX(MASTER_SOURCE!$C$2:$C$495,MATCH($I2940,MASTER_SOURCE!$A$2:$A$495,0)),""))</f>
        <v/>
      </c>
      <c r="L2940" s="22">
        <f t="array" ref="L2940">IF($D2940="","",IFERROR(INDEX(MASTER_SOURCE!$D$2:$D$495,MATCH($I2940,MASTER_SOURCE!$A$2:$A$495,0)),""))</f>
        <v/>
      </c>
      <c r="M2940" s="24" t="n"/>
      <c r="N2940" s="24" t="n"/>
      <c r="O2940" s="24" t="n"/>
      <c r="P2940" s="24" t="n"/>
      <c r="Q2940" s="22">
        <f>IF($D2940="","",IF(AND(OR(DANH_MUC!$L$5&lt;&gt;"Có",M2940="Có"),OR(DANH_MUC!$L$6&lt;&gt;"Có",N2940="Có"),OR(DANH_MUC!$L$7&lt;&gt;"Có",O2940="Có"),OR(DANH_MUC!$L$8&lt;&gt;"Có",P2940="Có")),"Có","Không"))</f>
        <v/>
      </c>
      <c r="R2940" s="22">
        <f>IF($D2940="","",IF(COUNTIF($D$2:$D2940,$D2940)&gt;1,"Trùng",""))</f>
        <v/>
      </c>
      <c r="S2940" s="22">
        <f>IF($D2940="","",IF(AND(LEN($D2940)=10,LEFT($D2940,1)="0",ISNUMBER(--$D2940)),"Có","Không"))</f>
        <v/>
      </c>
      <c r="T2940" s="22">
        <f>IF($D2940="","",IF(AND($C2940&lt;&gt;"",$Q2940="Có",$R2940="",$S2940="Có",AND($L2940&lt;&gt;"",OR($L2940&lt;&gt;"Chưa xác định",DANH_MUC!$L$9="Có"))),"Có","Không"))</f>
        <v/>
      </c>
      <c r="U2940" s="22">
        <f>IF(OR($D2940="",$T2940="Có"),"",IF($C2940="","Thiếu họ tên; ","")&amp;IF($S2940&lt;&gt;"Có","SĐT sai định dạng; ","")&amp;IF($R2940="Trùng","Trùng SĐT; ","")&amp;IF($Q2940&lt;&gt;"Có","Thiếu đồng ý bắt buộc; ","")&amp;IF($L2940="","Thiếu/sai Mã REF; ",IF(AND($L2940="Chưa xác định",DANH_MUC!$L$9&lt;&gt;"Có"),"Nguồn chưa xác định; ","")))</f>
        <v/>
      </c>
      <c r="V2940" s="22">
        <f>IF(OR($D2940="",$R2940="Trùng"),"",IF(COUNTIF(ORDERS!$C$2:$C$4995,$D2940)&gt;0,"Có","Không"))</f>
        <v/>
      </c>
      <c r="W2940" s="22">
        <f>IF(OR($D2940="",$R2940="Trùng"),"",COUNTIFS(ORDERS!$C$2:$C$4995,$D2940,ORDERS!$L$2:$L$4995,"Đã chuyển khoản"))</f>
        <v/>
      </c>
      <c r="X2940" s="23">
        <f>IF(OR($D2940="",$R2940="Trùng"),"",SUMIFS(ORDERS!$J$2:$J$4995,ORDERS!$C$2:$C$4995,$D2940,ORDERS!$L$2:$L$4995,"Đã chuyển khoản"))</f>
        <v/>
      </c>
      <c r="Y2940" s="24" t="n"/>
    </row>
    <row r="2941" ht="14.25" customHeight="1" s="40">
      <c r="A2941" s="24" t="n"/>
      <c r="B2941" s="27" t="n"/>
      <c r="C2941" s="24" t="n"/>
      <c r="D2941" s="28" t="n"/>
      <c r="E2941" s="29" t="n"/>
      <c r="F2941" s="24" t="n"/>
      <c r="G2941" s="24" t="n"/>
      <c r="H2941" s="21">
        <f>IF(ISNUMBER($B2941),INT($B2941)-WEEKDAY($B2941,2)+1,"")</f>
        <v/>
      </c>
      <c r="I2941" s="24" t="n"/>
      <c r="J2941" s="22">
        <f t="array" ref="J2941">IF($D2941="","",IF($I2941="","(trống REF)",IFERROR(INDEX(MASTER_SOURCE!$B$2:$B$495,MATCH($I2941,MASTER_SOURCE!$A$2:$A$495,0)),"(REF không có trong MASTER_SOURCE)")))</f>
        <v/>
      </c>
      <c r="K2941" s="22">
        <f t="array" ref="K2941">IF($D2941="","",IFERROR(INDEX(MASTER_SOURCE!$C$2:$C$495,MATCH($I2941,MASTER_SOURCE!$A$2:$A$495,0)),""))</f>
        <v/>
      </c>
      <c r="L2941" s="22">
        <f t="array" ref="L2941">IF($D2941="","",IFERROR(INDEX(MASTER_SOURCE!$D$2:$D$495,MATCH($I2941,MASTER_SOURCE!$A$2:$A$495,0)),""))</f>
        <v/>
      </c>
      <c r="M2941" s="24" t="n"/>
      <c r="N2941" s="24" t="n"/>
      <c r="O2941" s="24" t="n"/>
      <c r="P2941" s="24" t="n"/>
      <c r="Q2941" s="22">
        <f>IF($D2941="","",IF(AND(OR(DANH_MUC!$L$5&lt;&gt;"Có",M2941="Có"),OR(DANH_MUC!$L$6&lt;&gt;"Có",N2941="Có"),OR(DANH_MUC!$L$7&lt;&gt;"Có",O2941="Có"),OR(DANH_MUC!$L$8&lt;&gt;"Có",P2941="Có")),"Có","Không"))</f>
        <v/>
      </c>
      <c r="R2941" s="22">
        <f>IF($D2941="","",IF(COUNTIF($D$2:$D2941,$D2941)&gt;1,"Trùng",""))</f>
        <v/>
      </c>
      <c r="S2941" s="22">
        <f>IF($D2941="","",IF(AND(LEN($D2941)=10,LEFT($D2941,1)="0",ISNUMBER(--$D2941)),"Có","Không"))</f>
        <v/>
      </c>
      <c r="T2941" s="22">
        <f>IF($D2941="","",IF(AND($C2941&lt;&gt;"",$Q2941="Có",$R2941="",$S2941="Có",AND($L2941&lt;&gt;"",OR($L2941&lt;&gt;"Chưa xác định",DANH_MUC!$L$9="Có"))),"Có","Không"))</f>
        <v/>
      </c>
      <c r="U2941" s="22">
        <f>IF(OR($D2941="",$T2941="Có"),"",IF($C2941="","Thiếu họ tên; ","")&amp;IF($S2941&lt;&gt;"Có","SĐT sai định dạng; ","")&amp;IF($R2941="Trùng","Trùng SĐT; ","")&amp;IF($Q2941&lt;&gt;"Có","Thiếu đồng ý bắt buộc; ","")&amp;IF($L2941="","Thiếu/sai Mã REF; ",IF(AND($L2941="Chưa xác định",DANH_MUC!$L$9&lt;&gt;"Có"),"Nguồn chưa xác định; ","")))</f>
        <v/>
      </c>
      <c r="V2941" s="22">
        <f>IF(OR($D2941="",$R2941="Trùng"),"",IF(COUNTIF(ORDERS!$C$2:$C$4995,$D2941)&gt;0,"Có","Không"))</f>
        <v/>
      </c>
      <c r="W2941" s="22">
        <f>IF(OR($D2941="",$R2941="Trùng"),"",COUNTIFS(ORDERS!$C$2:$C$4995,$D2941,ORDERS!$L$2:$L$4995,"Đã chuyển khoản"))</f>
        <v/>
      </c>
      <c r="X2941" s="23">
        <f>IF(OR($D2941="",$R2941="Trùng"),"",SUMIFS(ORDERS!$J$2:$J$4995,ORDERS!$C$2:$C$4995,$D2941,ORDERS!$L$2:$L$4995,"Đã chuyển khoản"))</f>
        <v/>
      </c>
      <c r="Y2941" s="24" t="n"/>
    </row>
    <row r="2942" ht="14.25" customHeight="1" s="40">
      <c r="A2942" s="24" t="n"/>
      <c r="B2942" s="27" t="n"/>
      <c r="C2942" s="24" t="n"/>
      <c r="D2942" s="28" t="n"/>
      <c r="E2942" s="29" t="n"/>
      <c r="F2942" s="24" t="n"/>
      <c r="G2942" s="24" t="n"/>
      <c r="H2942" s="21">
        <f>IF(ISNUMBER($B2942),INT($B2942)-WEEKDAY($B2942,2)+1,"")</f>
        <v/>
      </c>
      <c r="I2942" s="24" t="n"/>
      <c r="J2942" s="22">
        <f t="array" ref="J2942">IF($D2942="","",IF($I2942="","(trống REF)",IFERROR(INDEX(MASTER_SOURCE!$B$2:$B$495,MATCH($I2942,MASTER_SOURCE!$A$2:$A$495,0)),"(REF không có trong MASTER_SOURCE)")))</f>
        <v/>
      </c>
      <c r="K2942" s="22">
        <f t="array" ref="K2942">IF($D2942="","",IFERROR(INDEX(MASTER_SOURCE!$C$2:$C$495,MATCH($I2942,MASTER_SOURCE!$A$2:$A$495,0)),""))</f>
        <v/>
      </c>
      <c r="L2942" s="22">
        <f t="array" ref="L2942">IF($D2942="","",IFERROR(INDEX(MASTER_SOURCE!$D$2:$D$495,MATCH($I2942,MASTER_SOURCE!$A$2:$A$495,0)),""))</f>
        <v/>
      </c>
      <c r="M2942" s="24" t="n"/>
      <c r="N2942" s="24" t="n"/>
      <c r="O2942" s="24" t="n"/>
      <c r="P2942" s="24" t="n"/>
      <c r="Q2942" s="22">
        <f>IF($D2942="","",IF(AND(OR(DANH_MUC!$L$5&lt;&gt;"Có",M2942="Có"),OR(DANH_MUC!$L$6&lt;&gt;"Có",N2942="Có"),OR(DANH_MUC!$L$7&lt;&gt;"Có",O2942="Có"),OR(DANH_MUC!$L$8&lt;&gt;"Có",P2942="Có")),"Có","Không"))</f>
        <v/>
      </c>
      <c r="R2942" s="22">
        <f>IF($D2942="","",IF(COUNTIF($D$2:$D2942,$D2942)&gt;1,"Trùng",""))</f>
        <v/>
      </c>
      <c r="S2942" s="22">
        <f>IF($D2942="","",IF(AND(LEN($D2942)=10,LEFT($D2942,1)="0",ISNUMBER(--$D2942)),"Có","Không"))</f>
        <v/>
      </c>
      <c r="T2942" s="22">
        <f>IF($D2942="","",IF(AND($C2942&lt;&gt;"",$Q2942="Có",$R2942="",$S2942="Có",AND($L2942&lt;&gt;"",OR($L2942&lt;&gt;"Chưa xác định",DANH_MUC!$L$9="Có"))),"Có","Không"))</f>
        <v/>
      </c>
      <c r="U2942" s="22">
        <f>IF(OR($D2942="",$T2942="Có"),"",IF($C2942="","Thiếu họ tên; ","")&amp;IF($S2942&lt;&gt;"Có","SĐT sai định dạng; ","")&amp;IF($R2942="Trùng","Trùng SĐT; ","")&amp;IF($Q2942&lt;&gt;"Có","Thiếu đồng ý bắt buộc; ","")&amp;IF($L2942="","Thiếu/sai Mã REF; ",IF(AND($L2942="Chưa xác định",DANH_MUC!$L$9&lt;&gt;"Có"),"Nguồn chưa xác định; ","")))</f>
        <v/>
      </c>
      <c r="V2942" s="22">
        <f>IF(OR($D2942="",$R2942="Trùng"),"",IF(COUNTIF(ORDERS!$C$2:$C$4995,$D2942)&gt;0,"Có","Không"))</f>
        <v/>
      </c>
      <c r="W2942" s="22">
        <f>IF(OR($D2942="",$R2942="Trùng"),"",COUNTIFS(ORDERS!$C$2:$C$4995,$D2942,ORDERS!$L$2:$L$4995,"Đã chuyển khoản"))</f>
        <v/>
      </c>
      <c r="X2942" s="23">
        <f>IF(OR($D2942="",$R2942="Trùng"),"",SUMIFS(ORDERS!$J$2:$J$4995,ORDERS!$C$2:$C$4995,$D2942,ORDERS!$L$2:$L$4995,"Đã chuyển khoản"))</f>
        <v/>
      </c>
      <c r="Y2942" s="24" t="n"/>
    </row>
    <row r="2943" ht="14.25" customHeight="1" s="40">
      <c r="A2943" s="24" t="n"/>
      <c r="B2943" s="27" t="n"/>
      <c r="C2943" s="24" t="n"/>
      <c r="D2943" s="28" t="n"/>
      <c r="E2943" s="29" t="n"/>
      <c r="F2943" s="24" t="n"/>
      <c r="G2943" s="24" t="n"/>
      <c r="H2943" s="21">
        <f>IF(ISNUMBER($B2943),INT($B2943)-WEEKDAY($B2943,2)+1,"")</f>
        <v/>
      </c>
      <c r="I2943" s="24" t="n"/>
      <c r="J2943" s="22">
        <f t="array" ref="J2943">IF($D2943="","",IF($I2943="","(trống REF)",IFERROR(INDEX(MASTER_SOURCE!$B$2:$B$495,MATCH($I2943,MASTER_SOURCE!$A$2:$A$495,0)),"(REF không có trong MASTER_SOURCE)")))</f>
        <v/>
      </c>
      <c r="K2943" s="22">
        <f t="array" ref="K2943">IF($D2943="","",IFERROR(INDEX(MASTER_SOURCE!$C$2:$C$495,MATCH($I2943,MASTER_SOURCE!$A$2:$A$495,0)),""))</f>
        <v/>
      </c>
      <c r="L2943" s="22">
        <f t="array" ref="L2943">IF($D2943="","",IFERROR(INDEX(MASTER_SOURCE!$D$2:$D$495,MATCH($I2943,MASTER_SOURCE!$A$2:$A$495,0)),""))</f>
        <v/>
      </c>
      <c r="M2943" s="24" t="n"/>
      <c r="N2943" s="24" t="n"/>
      <c r="O2943" s="24" t="n"/>
      <c r="P2943" s="24" t="n"/>
      <c r="Q2943" s="22">
        <f>IF($D2943="","",IF(AND(OR(DANH_MUC!$L$5&lt;&gt;"Có",M2943="Có"),OR(DANH_MUC!$L$6&lt;&gt;"Có",N2943="Có"),OR(DANH_MUC!$L$7&lt;&gt;"Có",O2943="Có"),OR(DANH_MUC!$L$8&lt;&gt;"Có",P2943="Có")),"Có","Không"))</f>
        <v/>
      </c>
      <c r="R2943" s="22">
        <f>IF($D2943="","",IF(COUNTIF($D$2:$D2943,$D2943)&gt;1,"Trùng",""))</f>
        <v/>
      </c>
      <c r="S2943" s="22">
        <f>IF($D2943="","",IF(AND(LEN($D2943)=10,LEFT($D2943,1)="0",ISNUMBER(--$D2943)),"Có","Không"))</f>
        <v/>
      </c>
      <c r="T2943" s="22">
        <f>IF($D2943="","",IF(AND($C2943&lt;&gt;"",$Q2943="Có",$R2943="",$S2943="Có",AND($L2943&lt;&gt;"",OR($L2943&lt;&gt;"Chưa xác định",DANH_MUC!$L$9="Có"))),"Có","Không"))</f>
        <v/>
      </c>
      <c r="U2943" s="22">
        <f>IF(OR($D2943="",$T2943="Có"),"",IF($C2943="","Thiếu họ tên; ","")&amp;IF($S2943&lt;&gt;"Có","SĐT sai định dạng; ","")&amp;IF($R2943="Trùng","Trùng SĐT; ","")&amp;IF($Q2943&lt;&gt;"Có","Thiếu đồng ý bắt buộc; ","")&amp;IF($L2943="","Thiếu/sai Mã REF; ",IF(AND($L2943="Chưa xác định",DANH_MUC!$L$9&lt;&gt;"Có"),"Nguồn chưa xác định; ","")))</f>
        <v/>
      </c>
      <c r="V2943" s="22">
        <f>IF(OR($D2943="",$R2943="Trùng"),"",IF(COUNTIF(ORDERS!$C$2:$C$4995,$D2943)&gt;0,"Có","Không"))</f>
        <v/>
      </c>
      <c r="W2943" s="22">
        <f>IF(OR($D2943="",$R2943="Trùng"),"",COUNTIFS(ORDERS!$C$2:$C$4995,$D2943,ORDERS!$L$2:$L$4995,"Đã chuyển khoản"))</f>
        <v/>
      </c>
      <c r="X2943" s="23">
        <f>IF(OR($D2943="",$R2943="Trùng"),"",SUMIFS(ORDERS!$J$2:$J$4995,ORDERS!$C$2:$C$4995,$D2943,ORDERS!$L$2:$L$4995,"Đã chuyển khoản"))</f>
        <v/>
      </c>
      <c r="Y2943" s="24" t="n"/>
    </row>
    <row r="2944" ht="14.25" customHeight="1" s="40">
      <c r="A2944" s="24" t="n"/>
      <c r="B2944" s="27" t="n"/>
      <c r="C2944" s="24" t="n"/>
      <c r="D2944" s="28" t="n"/>
      <c r="E2944" s="29" t="n"/>
      <c r="F2944" s="24" t="n"/>
      <c r="G2944" s="24" t="n"/>
      <c r="H2944" s="21">
        <f>IF(ISNUMBER($B2944),INT($B2944)-WEEKDAY($B2944,2)+1,"")</f>
        <v/>
      </c>
      <c r="I2944" s="24" t="n"/>
      <c r="J2944" s="22">
        <f t="array" ref="J2944">IF($D2944="","",IF($I2944="","(trống REF)",IFERROR(INDEX(MASTER_SOURCE!$B$2:$B$495,MATCH($I2944,MASTER_SOURCE!$A$2:$A$495,0)),"(REF không có trong MASTER_SOURCE)")))</f>
        <v/>
      </c>
      <c r="K2944" s="22">
        <f t="array" ref="K2944">IF($D2944="","",IFERROR(INDEX(MASTER_SOURCE!$C$2:$C$495,MATCH($I2944,MASTER_SOURCE!$A$2:$A$495,0)),""))</f>
        <v/>
      </c>
      <c r="L2944" s="22">
        <f t="array" ref="L2944">IF($D2944="","",IFERROR(INDEX(MASTER_SOURCE!$D$2:$D$495,MATCH($I2944,MASTER_SOURCE!$A$2:$A$495,0)),""))</f>
        <v/>
      </c>
      <c r="M2944" s="24" t="n"/>
      <c r="N2944" s="24" t="n"/>
      <c r="O2944" s="24" t="n"/>
      <c r="P2944" s="24" t="n"/>
      <c r="Q2944" s="22">
        <f>IF($D2944="","",IF(AND(OR(DANH_MUC!$L$5&lt;&gt;"Có",M2944="Có"),OR(DANH_MUC!$L$6&lt;&gt;"Có",N2944="Có"),OR(DANH_MUC!$L$7&lt;&gt;"Có",O2944="Có"),OR(DANH_MUC!$L$8&lt;&gt;"Có",P2944="Có")),"Có","Không"))</f>
        <v/>
      </c>
      <c r="R2944" s="22">
        <f>IF($D2944="","",IF(COUNTIF($D$2:$D2944,$D2944)&gt;1,"Trùng",""))</f>
        <v/>
      </c>
      <c r="S2944" s="22">
        <f>IF($D2944="","",IF(AND(LEN($D2944)=10,LEFT($D2944,1)="0",ISNUMBER(--$D2944)),"Có","Không"))</f>
        <v/>
      </c>
      <c r="T2944" s="22">
        <f>IF($D2944="","",IF(AND($C2944&lt;&gt;"",$Q2944="Có",$R2944="",$S2944="Có",AND($L2944&lt;&gt;"",OR($L2944&lt;&gt;"Chưa xác định",DANH_MUC!$L$9="Có"))),"Có","Không"))</f>
        <v/>
      </c>
      <c r="U2944" s="22">
        <f>IF(OR($D2944="",$T2944="Có"),"",IF($C2944="","Thiếu họ tên; ","")&amp;IF($S2944&lt;&gt;"Có","SĐT sai định dạng; ","")&amp;IF($R2944="Trùng","Trùng SĐT; ","")&amp;IF($Q2944&lt;&gt;"Có","Thiếu đồng ý bắt buộc; ","")&amp;IF($L2944="","Thiếu/sai Mã REF; ",IF(AND($L2944="Chưa xác định",DANH_MUC!$L$9&lt;&gt;"Có"),"Nguồn chưa xác định; ","")))</f>
        <v/>
      </c>
      <c r="V2944" s="22">
        <f>IF(OR($D2944="",$R2944="Trùng"),"",IF(COUNTIF(ORDERS!$C$2:$C$4995,$D2944)&gt;0,"Có","Không"))</f>
        <v/>
      </c>
      <c r="W2944" s="22">
        <f>IF(OR($D2944="",$R2944="Trùng"),"",COUNTIFS(ORDERS!$C$2:$C$4995,$D2944,ORDERS!$L$2:$L$4995,"Đã chuyển khoản"))</f>
        <v/>
      </c>
      <c r="X2944" s="23">
        <f>IF(OR($D2944="",$R2944="Trùng"),"",SUMIFS(ORDERS!$J$2:$J$4995,ORDERS!$C$2:$C$4995,$D2944,ORDERS!$L$2:$L$4995,"Đã chuyển khoản"))</f>
        <v/>
      </c>
      <c r="Y2944" s="24" t="n"/>
    </row>
    <row r="2945" ht="14.25" customHeight="1" s="40">
      <c r="A2945" s="24" t="n"/>
      <c r="B2945" s="27" t="n"/>
      <c r="C2945" s="24" t="n"/>
      <c r="D2945" s="28" t="n"/>
      <c r="E2945" s="29" t="n"/>
      <c r="F2945" s="24" t="n"/>
      <c r="G2945" s="24" t="n"/>
      <c r="H2945" s="21">
        <f>IF(ISNUMBER($B2945),INT($B2945)-WEEKDAY($B2945,2)+1,"")</f>
        <v/>
      </c>
      <c r="I2945" s="24" t="n"/>
      <c r="J2945" s="22">
        <f t="array" ref="J2945">IF($D2945="","",IF($I2945="","(trống REF)",IFERROR(INDEX(MASTER_SOURCE!$B$2:$B$495,MATCH($I2945,MASTER_SOURCE!$A$2:$A$495,0)),"(REF không có trong MASTER_SOURCE)")))</f>
        <v/>
      </c>
      <c r="K2945" s="22">
        <f t="array" ref="K2945">IF($D2945="","",IFERROR(INDEX(MASTER_SOURCE!$C$2:$C$495,MATCH($I2945,MASTER_SOURCE!$A$2:$A$495,0)),""))</f>
        <v/>
      </c>
      <c r="L2945" s="22">
        <f t="array" ref="L2945">IF($D2945="","",IFERROR(INDEX(MASTER_SOURCE!$D$2:$D$495,MATCH($I2945,MASTER_SOURCE!$A$2:$A$495,0)),""))</f>
        <v/>
      </c>
      <c r="M2945" s="24" t="n"/>
      <c r="N2945" s="24" t="n"/>
      <c r="O2945" s="24" t="n"/>
      <c r="P2945" s="24" t="n"/>
      <c r="Q2945" s="22">
        <f>IF($D2945="","",IF(AND(OR(DANH_MUC!$L$5&lt;&gt;"Có",M2945="Có"),OR(DANH_MUC!$L$6&lt;&gt;"Có",N2945="Có"),OR(DANH_MUC!$L$7&lt;&gt;"Có",O2945="Có"),OR(DANH_MUC!$L$8&lt;&gt;"Có",P2945="Có")),"Có","Không"))</f>
        <v/>
      </c>
      <c r="R2945" s="22">
        <f>IF($D2945="","",IF(COUNTIF($D$2:$D2945,$D2945)&gt;1,"Trùng",""))</f>
        <v/>
      </c>
      <c r="S2945" s="22">
        <f>IF($D2945="","",IF(AND(LEN($D2945)=10,LEFT($D2945,1)="0",ISNUMBER(--$D2945)),"Có","Không"))</f>
        <v/>
      </c>
      <c r="T2945" s="22">
        <f>IF($D2945="","",IF(AND($C2945&lt;&gt;"",$Q2945="Có",$R2945="",$S2945="Có",AND($L2945&lt;&gt;"",OR($L2945&lt;&gt;"Chưa xác định",DANH_MUC!$L$9="Có"))),"Có","Không"))</f>
        <v/>
      </c>
      <c r="U2945" s="22">
        <f>IF(OR($D2945="",$T2945="Có"),"",IF($C2945="","Thiếu họ tên; ","")&amp;IF($S2945&lt;&gt;"Có","SĐT sai định dạng; ","")&amp;IF($R2945="Trùng","Trùng SĐT; ","")&amp;IF($Q2945&lt;&gt;"Có","Thiếu đồng ý bắt buộc; ","")&amp;IF($L2945="","Thiếu/sai Mã REF; ",IF(AND($L2945="Chưa xác định",DANH_MUC!$L$9&lt;&gt;"Có"),"Nguồn chưa xác định; ","")))</f>
        <v/>
      </c>
      <c r="V2945" s="22">
        <f>IF(OR($D2945="",$R2945="Trùng"),"",IF(COUNTIF(ORDERS!$C$2:$C$4995,$D2945)&gt;0,"Có","Không"))</f>
        <v/>
      </c>
      <c r="W2945" s="22">
        <f>IF(OR($D2945="",$R2945="Trùng"),"",COUNTIFS(ORDERS!$C$2:$C$4995,$D2945,ORDERS!$L$2:$L$4995,"Đã chuyển khoản"))</f>
        <v/>
      </c>
      <c r="X2945" s="23">
        <f>IF(OR($D2945="",$R2945="Trùng"),"",SUMIFS(ORDERS!$J$2:$J$4995,ORDERS!$C$2:$C$4995,$D2945,ORDERS!$L$2:$L$4995,"Đã chuyển khoản"))</f>
        <v/>
      </c>
      <c r="Y2945" s="24" t="n"/>
    </row>
    <row r="2946" ht="14.25" customHeight="1" s="40">
      <c r="A2946" s="24" t="n"/>
      <c r="B2946" s="27" t="n"/>
      <c r="C2946" s="24" t="n"/>
      <c r="D2946" s="28" t="n"/>
      <c r="E2946" s="29" t="n"/>
      <c r="F2946" s="24" t="n"/>
      <c r="G2946" s="24" t="n"/>
      <c r="H2946" s="21">
        <f>IF(ISNUMBER($B2946),INT($B2946)-WEEKDAY($B2946,2)+1,"")</f>
        <v/>
      </c>
      <c r="I2946" s="24" t="n"/>
      <c r="J2946" s="22">
        <f t="array" ref="J2946">IF($D2946="","",IF($I2946="","(trống REF)",IFERROR(INDEX(MASTER_SOURCE!$B$2:$B$495,MATCH($I2946,MASTER_SOURCE!$A$2:$A$495,0)),"(REF không có trong MASTER_SOURCE)")))</f>
        <v/>
      </c>
      <c r="K2946" s="22">
        <f t="array" ref="K2946">IF($D2946="","",IFERROR(INDEX(MASTER_SOURCE!$C$2:$C$495,MATCH($I2946,MASTER_SOURCE!$A$2:$A$495,0)),""))</f>
        <v/>
      </c>
      <c r="L2946" s="22">
        <f t="array" ref="L2946">IF($D2946="","",IFERROR(INDEX(MASTER_SOURCE!$D$2:$D$495,MATCH($I2946,MASTER_SOURCE!$A$2:$A$495,0)),""))</f>
        <v/>
      </c>
      <c r="M2946" s="24" t="n"/>
      <c r="N2946" s="24" t="n"/>
      <c r="O2946" s="24" t="n"/>
      <c r="P2946" s="24" t="n"/>
      <c r="Q2946" s="22">
        <f>IF($D2946="","",IF(AND(OR(DANH_MUC!$L$5&lt;&gt;"Có",M2946="Có"),OR(DANH_MUC!$L$6&lt;&gt;"Có",N2946="Có"),OR(DANH_MUC!$L$7&lt;&gt;"Có",O2946="Có"),OR(DANH_MUC!$L$8&lt;&gt;"Có",P2946="Có")),"Có","Không"))</f>
        <v/>
      </c>
      <c r="R2946" s="22">
        <f>IF($D2946="","",IF(COUNTIF($D$2:$D2946,$D2946)&gt;1,"Trùng",""))</f>
        <v/>
      </c>
      <c r="S2946" s="22">
        <f>IF($D2946="","",IF(AND(LEN($D2946)=10,LEFT($D2946,1)="0",ISNUMBER(--$D2946)),"Có","Không"))</f>
        <v/>
      </c>
      <c r="T2946" s="22">
        <f>IF($D2946="","",IF(AND($C2946&lt;&gt;"",$Q2946="Có",$R2946="",$S2946="Có",AND($L2946&lt;&gt;"",OR($L2946&lt;&gt;"Chưa xác định",DANH_MUC!$L$9="Có"))),"Có","Không"))</f>
        <v/>
      </c>
      <c r="U2946" s="22">
        <f>IF(OR($D2946="",$T2946="Có"),"",IF($C2946="","Thiếu họ tên; ","")&amp;IF($S2946&lt;&gt;"Có","SĐT sai định dạng; ","")&amp;IF($R2946="Trùng","Trùng SĐT; ","")&amp;IF($Q2946&lt;&gt;"Có","Thiếu đồng ý bắt buộc; ","")&amp;IF($L2946="","Thiếu/sai Mã REF; ",IF(AND($L2946="Chưa xác định",DANH_MUC!$L$9&lt;&gt;"Có"),"Nguồn chưa xác định; ","")))</f>
        <v/>
      </c>
      <c r="V2946" s="22">
        <f>IF(OR($D2946="",$R2946="Trùng"),"",IF(COUNTIF(ORDERS!$C$2:$C$4995,$D2946)&gt;0,"Có","Không"))</f>
        <v/>
      </c>
      <c r="W2946" s="22">
        <f>IF(OR($D2946="",$R2946="Trùng"),"",COUNTIFS(ORDERS!$C$2:$C$4995,$D2946,ORDERS!$L$2:$L$4995,"Đã chuyển khoản"))</f>
        <v/>
      </c>
      <c r="X2946" s="23">
        <f>IF(OR($D2946="",$R2946="Trùng"),"",SUMIFS(ORDERS!$J$2:$J$4995,ORDERS!$C$2:$C$4995,$D2946,ORDERS!$L$2:$L$4995,"Đã chuyển khoản"))</f>
        <v/>
      </c>
      <c r="Y2946" s="24" t="n"/>
    </row>
    <row r="2947" ht="14.25" customHeight="1" s="40">
      <c r="A2947" s="24" t="n"/>
      <c r="B2947" s="27" t="n"/>
      <c r="C2947" s="24" t="n"/>
      <c r="D2947" s="28" t="n"/>
      <c r="E2947" s="29" t="n"/>
      <c r="F2947" s="24" t="n"/>
      <c r="G2947" s="24" t="n"/>
      <c r="H2947" s="21">
        <f>IF(ISNUMBER($B2947),INT($B2947)-WEEKDAY($B2947,2)+1,"")</f>
        <v/>
      </c>
      <c r="I2947" s="24" t="n"/>
      <c r="J2947" s="22">
        <f t="array" ref="J2947">IF($D2947="","",IF($I2947="","(trống REF)",IFERROR(INDEX(MASTER_SOURCE!$B$2:$B$495,MATCH($I2947,MASTER_SOURCE!$A$2:$A$495,0)),"(REF không có trong MASTER_SOURCE)")))</f>
        <v/>
      </c>
      <c r="K2947" s="22">
        <f t="array" ref="K2947">IF($D2947="","",IFERROR(INDEX(MASTER_SOURCE!$C$2:$C$495,MATCH($I2947,MASTER_SOURCE!$A$2:$A$495,0)),""))</f>
        <v/>
      </c>
      <c r="L2947" s="22">
        <f t="array" ref="L2947">IF($D2947="","",IFERROR(INDEX(MASTER_SOURCE!$D$2:$D$495,MATCH($I2947,MASTER_SOURCE!$A$2:$A$495,0)),""))</f>
        <v/>
      </c>
      <c r="M2947" s="24" t="n"/>
      <c r="N2947" s="24" t="n"/>
      <c r="O2947" s="24" t="n"/>
      <c r="P2947" s="24" t="n"/>
      <c r="Q2947" s="22">
        <f>IF($D2947="","",IF(AND(OR(DANH_MUC!$L$5&lt;&gt;"Có",M2947="Có"),OR(DANH_MUC!$L$6&lt;&gt;"Có",N2947="Có"),OR(DANH_MUC!$L$7&lt;&gt;"Có",O2947="Có"),OR(DANH_MUC!$L$8&lt;&gt;"Có",P2947="Có")),"Có","Không"))</f>
        <v/>
      </c>
      <c r="R2947" s="22">
        <f>IF($D2947="","",IF(COUNTIF($D$2:$D2947,$D2947)&gt;1,"Trùng",""))</f>
        <v/>
      </c>
      <c r="S2947" s="22">
        <f>IF($D2947="","",IF(AND(LEN($D2947)=10,LEFT($D2947,1)="0",ISNUMBER(--$D2947)),"Có","Không"))</f>
        <v/>
      </c>
      <c r="T2947" s="22">
        <f>IF($D2947="","",IF(AND($C2947&lt;&gt;"",$Q2947="Có",$R2947="",$S2947="Có",AND($L2947&lt;&gt;"",OR($L2947&lt;&gt;"Chưa xác định",DANH_MUC!$L$9="Có"))),"Có","Không"))</f>
        <v/>
      </c>
      <c r="U2947" s="22">
        <f>IF(OR($D2947="",$T2947="Có"),"",IF($C2947="","Thiếu họ tên; ","")&amp;IF($S2947&lt;&gt;"Có","SĐT sai định dạng; ","")&amp;IF($R2947="Trùng","Trùng SĐT; ","")&amp;IF($Q2947&lt;&gt;"Có","Thiếu đồng ý bắt buộc; ","")&amp;IF($L2947="","Thiếu/sai Mã REF; ",IF(AND($L2947="Chưa xác định",DANH_MUC!$L$9&lt;&gt;"Có"),"Nguồn chưa xác định; ","")))</f>
        <v/>
      </c>
      <c r="V2947" s="22">
        <f>IF(OR($D2947="",$R2947="Trùng"),"",IF(COUNTIF(ORDERS!$C$2:$C$4995,$D2947)&gt;0,"Có","Không"))</f>
        <v/>
      </c>
      <c r="W2947" s="22">
        <f>IF(OR($D2947="",$R2947="Trùng"),"",COUNTIFS(ORDERS!$C$2:$C$4995,$D2947,ORDERS!$L$2:$L$4995,"Đã chuyển khoản"))</f>
        <v/>
      </c>
      <c r="X2947" s="23">
        <f>IF(OR($D2947="",$R2947="Trùng"),"",SUMIFS(ORDERS!$J$2:$J$4995,ORDERS!$C$2:$C$4995,$D2947,ORDERS!$L$2:$L$4995,"Đã chuyển khoản"))</f>
        <v/>
      </c>
      <c r="Y2947" s="24" t="n"/>
    </row>
    <row r="2948" ht="14.25" customHeight="1" s="40">
      <c r="A2948" s="24" t="n"/>
      <c r="B2948" s="27" t="n"/>
      <c r="C2948" s="24" t="n"/>
      <c r="D2948" s="28" t="n"/>
      <c r="E2948" s="29" t="n"/>
      <c r="F2948" s="24" t="n"/>
      <c r="G2948" s="24" t="n"/>
      <c r="H2948" s="21">
        <f>IF(ISNUMBER($B2948),INT($B2948)-WEEKDAY($B2948,2)+1,"")</f>
        <v/>
      </c>
      <c r="I2948" s="24" t="n"/>
      <c r="J2948" s="22">
        <f t="array" ref="J2948">IF($D2948="","",IF($I2948="","(trống REF)",IFERROR(INDEX(MASTER_SOURCE!$B$2:$B$495,MATCH($I2948,MASTER_SOURCE!$A$2:$A$495,0)),"(REF không có trong MASTER_SOURCE)")))</f>
        <v/>
      </c>
      <c r="K2948" s="22">
        <f t="array" ref="K2948">IF($D2948="","",IFERROR(INDEX(MASTER_SOURCE!$C$2:$C$495,MATCH($I2948,MASTER_SOURCE!$A$2:$A$495,0)),""))</f>
        <v/>
      </c>
      <c r="L2948" s="22">
        <f t="array" ref="L2948">IF($D2948="","",IFERROR(INDEX(MASTER_SOURCE!$D$2:$D$495,MATCH($I2948,MASTER_SOURCE!$A$2:$A$495,0)),""))</f>
        <v/>
      </c>
      <c r="M2948" s="24" t="n"/>
      <c r="N2948" s="24" t="n"/>
      <c r="O2948" s="24" t="n"/>
      <c r="P2948" s="24" t="n"/>
      <c r="Q2948" s="22">
        <f>IF($D2948="","",IF(AND(OR(DANH_MUC!$L$5&lt;&gt;"Có",M2948="Có"),OR(DANH_MUC!$L$6&lt;&gt;"Có",N2948="Có"),OR(DANH_MUC!$L$7&lt;&gt;"Có",O2948="Có"),OR(DANH_MUC!$L$8&lt;&gt;"Có",P2948="Có")),"Có","Không"))</f>
        <v/>
      </c>
      <c r="R2948" s="22">
        <f>IF($D2948="","",IF(COUNTIF($D$2:$D2948,$D2948)&gt;1,"Trùng",""))</f>
        <v/>
      </c>
      <c r="S2948" s="22">
        <f>IF($D2948="","",IF(AND(LEN($D2948)=10,LEFT($D2948,1)="0",ISNUMBER(--$D2948)),"Có","Không"))</f>
        <v/>
      </c>
      <c r="T2948" s="22">
        <f>IF($D2948="","",IF(AND($C2948&lt;&gt;"",$Q2948="Có",$R2948="",$S2948="Có",AND($L2948&lt;&gt;"",OR($L2948&lt;&gt;"Chưa xác định",DANH_MUC!$L$9="Có"))),"Có","Không"))</f>
        <v/>
      </c>
      <c r="U2948" s="22">
        <f>IF(OR($D2948="",$T2948="Có"),"",IF($C2948="","Thiếu họ tên; ","")&amp;IF($S2948&lt;&gt;"Có","SĐT sai định dạng; ","")&amp;IF($R2948="Trùng","Trùng SĐT; ","")&amp;IF($Q2948&lt;&gt;"Có","Thiếu đồng ý bắt buộc; ","")&amp;IF($L2948="","Thiếu/sai Mã REF; ",IF(AND($L2948="Chưa xác định",DANH_MUC!$L$9&lt;&gt;"Có"),"Nguồn chưa xác định; ","")))</f>
        <v/>
      </c>
      <c r="V2948" s="22">
        <f>IF(OR($D2948="",$R2948="Trùng"),"",IF(COUNTIF(ORDERS!$C$2:$C$4995,$D2948)&gt;0,"Có","Không"))</f>
        <v/>
      </c>
      <c r="W2948" s="22">
        <f>IF(OR($D2948="",$R2948="Trùng"),"",COUNTIFS(ORDERS!$C$2:$C$4995,$D2948,ORDERS!$L$2:$L$4995,"Đã chuyển khoản"))</f>
        <v/>
      </c>
      <c r="X2948" s="23">
        <f>IF(OR($D2948="",$R2948="Trùng"),"",SUMIFS(ORDERS!$J$2:$J$4995,ORDERS!$C$2:$C$4995,$D2948,ORDERS!$L$2:$L$4995,"Đã chuyển khoản"))</f>
        <v/>
      </c>
      <c r="Y2948" s="24" t="n"/>
    </row>
    <row r="2949" ht="14.25" customHeight="1" s="40">
      <c r="A2949" s="24" t="n"/>
      <c r="B2949" s="27" t="n"/>
      <c r="C2949" s="24" t="n"/>
      <c r="D2949" s="28" t="n"/>
      <c r="E2949" s="29" t="n"/>
      <c r="F2949" s="24" t="n"/>
      <c r="G2949" s="24" t="n"/>
      <c r="H2949" s="21">
        <f>IF(ISNUMBER($B2949),INT($B2949)-WEEKDAY($B2949,2)+1,"")</f>
        <v/>
      </c>
      <c r="I2949" s="24" t="n"/>
      <c r="J2949" s="22">
        <f t="array" ref="J2949">IF($D2949="","",IF($I2949="","(trống REF)",IFERROR(INDEX(MASTER_SOURCE!$B$2:$B$495,MATCH($I2949,MASTER_SOURCE!$A$2:$A$495,0)),"(REF không có trong MASTER_SOURCE)")))</f>
        <v/>
      </c>
      <c r="K2949" s="22">
        <f t="array" ref="K2949">IF($D2949="","",IFERROR(INDEX(MASTER_SOURCE!$C$2:$C$495,MATCH($I2949,MASTER_SOURCE!$A$2:$A$495,0)),""))</f>
        <v/>
      </c>
      <c r="L2949" s="22">
        <f t="array" ref="L2949">IF($D2949="","",IFERROR(INDEX(MASTER_SOURCE!$D$2:$D$495,MATCH($I2949,MASTER_SOURCE!$A$2:$A$495,0)),""))</f>
        <v/>
      </c>
      <c r="M2949" s="24" t="n"/>
      <c r="N2949" s="24" t="n"/>
      <c r="O2949" s="24" t="n"/>
      <c r="P2949" s="24" t="n"/>
      <c r="Q2949" s="22">
        <f>IF($D2949="","",IF(AND(OR(DANH_MUC!$L$5&lt;&gt;"Có",M2949="Có"),OR(DANH_MUC!$L$6&lt;&gt;"Có",N2949="Có"),OR(DANH_MUC!$L$7&lt;&gt;"Có",O2949="Có"),OR(DANH_MUC!$L$8&lt;&gt;"Có",P2949="Có")),"Có","Không"))</f>
        <v/>
      </c>
      <c r="R2949" s="22">
        <f>IF($D2949="","",IF(COUNTIF($D$2:$D2949,$D2949)&gt;1,"Trùng",""))</f>
        <v/>
      </c>
      <c r="S2949" s="22">
        <f>IF($D2949="","",IF(AND(LEN($D2949)=10,LEFT($D2949,1)="0",ISNUMBER(--$D2949)),"Có","Không"))</f>
        <v/>
      </c>
      <c r="T2949" s="22">
        <f>IF($D2949="","",IF(AND($C2949&lt;&gt;"",$Q2949="Có",$R2949="",$S2949="Có",AND($L2949&lt;&gt;"",OR($L2949&lt;&gt;"Chưa xác định",DANH_MUC!$L$9="Có"))),"Có","Không"))</f>
        <v/>
      </c>
      <c r="U2949" s="22">
        <f>IF(OR($D2949="",$T2949="Có"),"",IF($C2949="","Thiếu họ tên; ","")&amp;IF($S2949&lt;&gt;"Có","SĐT sai định dạng; ","")&amp;IF($R2949="Trùng","Trùng SĐT; ","")&amp;IF($Q2949&lt;&gt;"Có","Thiếu đồng ý bắt buộc; ","")&amp;IF($L2949="","Thiếu/sai Mã REF; ",IF(AND($L2949="Chưa xác định",DANH_MUC!$L$9&lt;&gt;"Có"),"Nguồn chưa xác định; ","")))</f>
        <v/>
      </c>
      <c r="V2949" s="22">
        <f>IF(OR($D2949="",$R2949="Trùng"),"",IF(COUNTIF(ORDERS!$C$2:$C$4995,$D2949)&gt;0,"Có","Không"))</f>
        <v/>
      </c>
      <c r="W2949" s="22">
        <f>IF(OR($D2949="",$R2949="Trùng"),"",COUNTIFS(ORDERS!$C$2:$C$4995,$D2949,ORDERS!$L$2:$L$4995,"Đã chuyển khoản"))</f>
        <v/>
      </c>
      <c r="X2949" s="23">
        <f>IF(OR($D2949="",$R2949="Trùng"),"",SUMIFS(ORDERS!$J$2:$J$4995,ORDERS!$C$2:$C$4995,$D2949,ORDERS!$L$2:$L$4995,"Đã chuyển khoản"))</f>
        <v/>
      </c>
      <c r="Y2949" s="24" t="n"/>
    </row>
    <row r="2950" ht="14.25" customHeight="1" s="40">
      <c r="A2950" s="24" t="n"/>
      <c r="B2950" s="27" t="n"/>
      <c r="C2950" s="24" t="n"/>
      <c r="D2950" s="28" t="n"/>
      <c r="E2950" s="29" t="n"/>
      <c r="F2950" s="24" t="n"/>
      <c r="G2950" s="24" t="n"/>
      <c r="H2950" s="21">
        <f>IF(ISNUMBER($B2950),INT($B2950)-WEEKDAY($B2950,2)+1,"")</f>
        <v/>
      </c>
      <c r="I2950" s="24" t="n"/>
      <c r="J2950" s="22">
        <f t="array" ref="J2950">IF($D2950="","",IF($I2950="","(trống REF)",IFERROR(INDEX(MASTER_SOURCE!$B$2:$B$495,MATCH($I2950,MASTER_SOURCE!$A$2:$A$495,0)),"(REF không có trong MASTER_SOURCE)")))</f>
        <v/>
      </c>
      <c r="K2950" s="22">
        <f t="array" ref="K2950">IF($D2950="","",IFERROR(INDEX(MASTER_SOURCE!$C$2:$C$495,MATCH($I2950,MASTER_SOURCE!$A$2:$A$495,0)),""))</f>
        <v/>
      </c>
      <c r="L2950" s="22">
        <f t="array" ref="L2950">IF($D2950="","",IFERROR(INDEX(MASTER_SOURCE!$D$2:$D$495,MATCH($I2950,MASTER_SOURCE!$A$2:$A$495,0)),""))</f>
        <v/>
      </c>
      <c r="M2950" s="24" t="n"/>
      <c r="N2950" s="24" t="n"/>
      <c r="O2950" s="24" t="n"/>
      <c r="P2950" s="24" t="n"/>
      <c r="Q2950" s="22">
        <f>IF($D2950="","",IF(AND(OR(DANH_MUC!$L$5&lt;&gt;"Có",M2950="Có"),OR(DANH_MUC!$L$6&lt;&gt;"Có",N2950="Có"),OR(DANH_MUC!$L$7&lt;&gt;"Có",O2950="Có"),OR(DANH_MUC!$L$8&lt;&gt;"Có",P2950="Có")),"Có","Không"))</f>
        <v/>
      </c>
      <c r="R2950" s="22">
        <f>IF($D2950="","",IF(COUNTIF($D$2:$D2950,$D2950)&gt;1,"Trùng",""))</f>
        <v/>
      </c>
      <c r="S2950" s="22">
        <f>IF($D2950="","",IF(AND(LEN($D2950)=10,LEFT($D2950,1)="0",ISNUMBER(--$D2950)),"Có","Không"))</f>
        <v/>
      </c>
      <c r="T2950" s="22">
        <f>IF($D2950="","",IF(AND($C2950&lt;&gt;"",$Q2950="Có",$R2950="",$S2950="Có",AND($L2950&lt;&gt;"",OR($L2950&lt;&gt;"Chưa xác định",DANH_MUC!$L$9="Có"))),"Có","Không"))</f>
        <v/>
      </c>
      <c r="U2950" s="22">
        <f>IF(OR($D2950="",$T2950="Có"),"",IF($C2950="","Thiếu họ tên; ","")&amp;IF($S2950&lt;&gt;"Có","SĐT sai định dạng; ","")&amp;IF($R2950="Trùng","Trùng SĐT; ","")&amp;IF($Q2950&lt;&gt;"Có","Thiếu đồng ý bắt buộc; ","")&amp;IF($L2950="","Thiếu/sai Mã REF; ",IF(AND($L2950="Chưa xác định",DANH_MUC!$L$9&lt;&gt;"Có"),"Nguồn chưa xác định; ","")))</f>
        <v/>
      </c>
      <c r="V2950" s="22">
        <f>IF(OR($D2950="",$R2950="Trùng"),"",IF(COUNTIF(ORDERS!$C$2:$C$4995,$D2950)&gt;0,"Có","Không"))</f>
        <v/>
      </c>
      <c r="W2950" s="22">
        <f>IF(OR($D2950="",$R2950="Trùng"),"",COUNTIFS(ORDERS!$C$2:$C$4995,$D2950,ORDERS!$L$2:$L$4995,"Đã chuyển khoản"))</f>
        <v/>
      </c>
      <c r="X2950" s="23">
        <f>IF(OR($D2950="",$R2950="Trùng"),"",SUMIFS(ORDERS!$J$2:$J$4995,ORDERS!$C$2:$C$4995,$D2950,ORDERS!$L$2:$L$4995,"Đã chuyển khoản"))</f>
        <v/>
      </c>
      <c r="Y2950" s="24" t="n"/>
    </row>
    <row r="2951" ht="14.25" customHeight="1" s="40">
      <c r="A2951" s="24" t="n"/>
      <c r="B2951" s="27" t="n"/>
      <c r="C2951" s="24" t="n"/>
      <c r="D2951" s="28" t="n"/>
      <c r="E2951" s="29" t="n"/>
      <c r="F2951" s="24" t="n"/>
      <c r="G2951" s="24" t="n"/>
      <c r="H2951" s="21">
        <f>IF(ISNUMBER($B2951),INT($B2951)-WEEKDAY($B2951,2)+1,"")</f>
        <v/>
      </c>
      <c r="I2951" s="24" t="n"/>
      <c r="J2951" s="22">
        <f t="array" ref="J2951">IF($D2951="","",IF($I2951="","(trống REF)",IFERROR(INDEX(MASTER_SOURCE!$B$2:$B$495,MATCH($I2951,MASTER_SOURCE!$A$2:$A$495,0)),"(REF không có trong MASTER_SOURCE)")))</f>
        <v/>
      </c>
      <c r="K2951" s="22">
        <f t="array" ref="K2951">IF($D2951="","",IFERROR(INDEX(MASTER_SOURCE!$C$2:$C$495,MATCH($I2951,MASTER_SOURCE!$A$2:$A$495,0)),""))</f>
        <v/>
      </c>
      <c r="L2951" s="22">
        <f t="array" ref="L2951">IF($D2951="","",IFERROR(INDEX(MASTER_SOURCE!$D$2:$D$495,MATCH($I2951,MASTER_SOURCE!$A$2:$A$495,0)),""))</f>
        <v/>
      </c>
      <c r="M2951" s="24" t="n"/>
      <c r="N2951" s="24" t="n"/>
      <c r="O2951" s="24" t="n"/>
      <c r="P2951" s="24" t="n"/>
      <c r="Q2951" s="22">
        <f>IF($D2951="","",IF(AND(OR(DANH_MUC!$L$5&lt;&gt;"Có",M2951="Có"),OR(DANH_MUC!$L$6&lt;&gt;"Có",N2951="Có"),OR(DANH_MUC!$L$7&lt;&gt;"Có",O2951="Có"),OR(DANH_MUC!$L$8&lt;&gt;"Có",P2951="Có")),"Có","Không"))</f>
        <v/>
      </c>
      <c r="R2951" s="22">
        <f>IF($D2951="","",IF(COUNTIF($D$2:$D2951,$D2951)&gt;1,"Trùng",""))</f>
        <v/>
      </c>
      <c r="S2951" s="22">
        <f>IF($D2951="","",IF(AND(LEN($D2951)=10,LEFT($D2951,1)="0",ISNUMBER(--$D2951)),"Có","Không"))</f>
        <v/>
      </c>
      <c r="T2951" s="22">
        <f>IF($D2951="","",IF(AND($C2951&lt;&gt;"",$Q2951="Có",$R2951="",$S2951="Có",AND($L2951&lt;&gt;"",OR($L2951&lt;&gt;"Chưa xác định",DANH_MUC!$L$9="Có"))),"Có","Không"))</f>
        <v/>
      </c>
      <c r="U2951" s="22">
        <f>IF(OR($D2951="",$T2951="Có"),"",IF($C2951="","Thiếu họ tên; ","")&amp;IF($S2951&lt;&gt;"Có","SĐT sai định dạng; ","")&amp;IF($R2951="Trùng","Trùng SĐT; ","")&amp;IF($Q2951&lt;&gt;"Có","Thiếu đồng ý bắt buộc; ","")&amp;IF($L2951="","Thiếu/sai Mã REF; ",IF(AND($L2951="Chưa xác định",DANH_MUC!$L$9&lt;&gt;"Có"),"Nguồn chưa xác định; ","")))</f>
        <v/>
      </c>
      <c r="V2951" s="22">
        <f>IF(OR($D2951="",$R2951="Trùng"),"",IF(COUNTIF(ORDERS!$C$2:$C$4995,$D2951)&gt;0,"Có","Không"))</f>
        <v/>
      </c>
      <c r="W2951" s="22">
        <f>IF(OR($D2951="",$R2951="Trùng"),"",COUNTIFS(ORDERS!$C$2:$C$4995,$D2951,ORDERS!$L$2:$L$4995,"Đã chuyển khoản"))</f>
        <v/>
      </c>
      <c r="X2951" s="23">
        <f>IF(OR($D2951="",$R2951="Trùng"),"",SUMIFS(ORDERS!$J$2:$J$4995,ORDERS!$C$2:$C$4995,$D2951,ORDERS!$L$2:$L$4995,"Đã chuyển khoản"))</f>
        <v/>
      </c>
      <c r="Y2951" s="24" t="n"/>
    </row>
    <row r="2952" ht="14.25" customHeight="1" s="40">
      <c r="A2952" s="24" t="n"/>
      <c r="B2952" s="27" t="n"/>
      <c r="C2952" s="24" t="n"/>
      <c r="D2952" s="28" t="n"/>
      <c r="E2952" s="29" t="n"/>
      <c r="F2952" s="24" t="n"/>
      <c r="G2952" s="24" t="n"/>
      <c r="H2952" s="21">
        <f>IF(ISNUMBER($B2952),INT($B2952)-WEEKDAY($B2952,2)+1,"")</f>
        <v/>
      </c>
      <c r="I2952" s="24" t="n"/>
      <c r="J2952" s="22">
        <f t="array" ref="J2952">IF($D2952="","",IF($I2952="","(trống REF)",IFERROR(INDEX(MASTER_SOURCE!$B$2:$B$495,MATCH($I2952,MASTER_SOURCE!$A$2:$A$495,0)),"(REF không có trong MASTER_SOURCE)")))</f>
        <v/>
      </c>
      <c r="K2952" s="22">
        <f t="array" ref="K2952">IF($D2952="","",IFERROR(INDEX(MASTER_SOURCE!$C$2:$C$495,MATCH($I2952,MASTER_SOURCE!$A$2:$A$495,0)),""))</f>
        <v/>
      </c>
      <c r="L2952" s="22">
        <f t="array" ref="L2952">IF($D2952="","",IFERROR(INDEX(MASTER_SOURCE!$D$2:$D$495,MATCH($I2952,MASTER_SOURCE!$A$2:$A$495,0)),""))</f>
        <v/>
      </c>
      <c r="M2952" s="24" t="n"/>
      <c r="N2952" s="24" t="n"/>
      <c r="O2952" s="24" t="n"/>
      <c r="P2952" s="24" t="n"/>
      <c r="Q2952" s="22">
        <f>IF($D2952="","",IF(AND(OR(DANH_MUC!$L$5&lt;&gt;"Có",M2952="Có"),OR(DANH_MUC!$L$6&lt;&gt;"Có",N2952="Có"),OR(DANH_MUC!$L$7&lt;&gt;"Có",O2952="Có"),OR(DANH_MUC!$L$8&lt;&gt;"Có",P2952="Có")),"Có","Không"))</f>
        <v/>
      </c>
      <c r="R2952" s="22">
        <f>IF($D2952="","",IF(COUNTIF($D$2:$D2952,$D2952)&gt;1,"Trùng",""))</f>
        <v/>
      </c>
      <c r="S2952" s="22">
        <f>IF($D2952="","",IF(AND(LEN($D2952)=10,LEFT($D2952,1)="0",ISNUMBER(--$D2952)),"Có","Không"))</f>
        <v/>
      </c>
      <c r="T2952" s="22">
        <f>IF($D2952="","",IF(AND($C2952&lt;&gt;"",$Q2952="Có",$R2952="",$S2952="Có",AND($L2952&lt;&gt;"",OR($L2952&lt;&gt;"Chưa xác định",DANH_MUC!$L$9="Có"))),"Có","Không"))</f>
        <v/>
      </c>
      <c r="U2952" s="22">
        <f>IF(OR($D2952="",$T2952="Có"),"",IF($C2952="","Thiếu họ tên; ","")&amp;IF($S2952&lt;&gt;"Có","SĐT sai định dạng; ","")&amp;IF($R2952="Trùng","Trùng SĐT; ","")&amp;IF($Q2952&lt;&gt;"Có","Thiếu đồng ý bắt buộc; ","")&amp;IF($L2952="","Thiếu/sai Mã REF; ",IF(AND($L2952="Chưa xác định",DANH_MUC!$L$9&lt;&gt;"Có"),"Nguồn chưa xác định; ","")))</f>
        <v/>
      </c>
      <c r="V2952" s="22">
        <f>IF(OR($D2952="",$R2952="Trùng"),"",IF(COUNTIF(ORDERS!$C$2:$C$4995,$D2952)&gt;0,"Có","Không"))</f>
        <v/>
      </c>
      <c r="W2952" s="22">
        <f>IF(OR($D2952="",$R2952="Trùng"),"",COUNTIFS(ORDERS!$C$2:$C$4995,$D2952,ORDERS!$L$2:$L$4995,"Đã chuyển khoản"))</f>
        <v/>
      </c>
      <c r="X2952" s="23">
        <f>IF(OR($D2952="",$R2952="Trùng"),"",SUMIFS(ORDERS!$J$2:$J$4995,ORDERS!$C$2:$C$4995,$D2952,ORDERS!$L$2:$L$4995,"Đã chuyển khoản"))</f>
        <v/>
      </c>
      <c r="Y2952" s="24" t="n"/>
    </row>
    <row r="2953" ht="14.25" customHeight="1" s="40">
      <c r="A2953" s="24" t="n"/>
      <c r="B2953" s="27" t="n"/>
      <c r="C2953" s="24" t="n"/>
      <c r="D2953" s="28" t="n"/>
      <c r="E2953" s="29" t="n"/>
      <c r="F2953" s="24" t="n"/>
      <c r="G2953" s="24" t="n"/>
      <c r="H2953" s="21">
        <f>IF(ISNUMBER($B2953),INT($B2953)-WEEKDAY($B2953,2)+1,"")</f>
        <v/>
      </c>
      <c r="I2953" s="24" t="n"/>
      <c r="J2953" s="22">
        <f t="array" ref="J2953">IF($D2953="","",IF($I2953="","(trống REF)",IFERROR(INDEX(MASTER_SOURCE!$B$2:$B$495,MATCH($I2953,MASTER_SOURCE!$A$2:$A$495,0)),"(REF không có trong MASTER_SOURCE)")))</f>
        <v/>
      </c>
      <c r="K2953" s="22">
        <f t="array" ref="K2953">IF($D2953="","",IFERROR(INDEX(MASTER_SOURCE!$C$2:$C$495,MATCH($I2953,MASTER_SOURCE!$A$2:$A$495,0)),""))</f>
        <v/>
      </c>
      <c r="L2953" s="22">
        <f t="array" ref="L2953">IF($D2953="","",IFERROR(INDEX(MASTER_SOURCE!$D$2:$D$495,MATCH($I2953,MASTER_SOURCE!$A$2:$A$495,0)),""))</f>
        <v/>
      </c>
      <c r="M2953" s="24" t="n"/>
      <c r="N2953" s="24" t="n"/>
      <c r="O2953" s="24" t="n"/>
      <c r="P2953" s="24" t="n"/>
      <c r="Q2953" s="22">
        <f>IF($D2953="","",IF(AND(OR(DANH_MUC!$L$5&lt;&gt;"Có",M2953="Có"),OR(DANH_MUC!$L$6&lt;&gt;"Có",N2953="Có"),OR(DANH_MUC!$L$7&lt;&gt;"Có",O2953="Có"),OR(DANH_MUC!$L$8&lt;&gt;"Có",P2953="Có")),"Có","Không"))</f>
        <v/>
      </c>
      <c r="R2953" s="22">
        <f>IF($D2953="","",IF(COUNTIF($D$2:$D2953,$D2953)&gt;1,"Trùng",""))</f>
        <v/>
      </c>
      <c r="S2953" s="22">
        <f>IF($D2953="","",IF(AND(LEN($D2953)=10,LEFT($D2953,1)="0",ISNUMBER(--$D2953)),"Có","Không"))</f>
        <v/>
      </c>
      <c r="T2953" s="22">
        <f>IF($D2953="","",IF(AND($C2953&lt;&gt;"",$Q2953="Có",$R2953="",$S2953="Có",AND($L2953&lt;&gt;"",OR($L2953&lt;&gt;"Chưa xác định",DANH_MUC!$L$9="Có"))),"Có","Không"))</f>
        <v/>
      </c>
      <c r="U2953" s="22">
        <f>IF(OR($D2953="",$T2953="Có"),"",IF($C2953="","Thiếu họ tên; ","")&amp;IF($S2953&lt;&gt;"Có","SĐT sai định dạng; ","")&amp;IF($R2953="Trùng","Trùng SĐT; ","")&amp;IF($Q2953&lt;&gt;"Có","Thiếu đồng ý bắt buộc; ","")&amp;IF($L2953="","Thiếu/sai Mã REF; ",IF(AND($L2953="Chưa xác định",DANH_MUC!$L$9&lt;&gt;"Có"),"Nguồn chưa xác định; ","")))</f>
        <v/>
      </c>
      <c r="V2953" s="22">
        <f>IF(OR($D2953="",$R2953="Trùng"),"",IF(COUNTIF(ORDERS!$C$2:$C$4995,$D2953)&gt;0,"Có","Không"))</f>
        <v/>
      </c>
      <c r="W2953" s="22">
        <f>IF(OR($D2953="",$R2953="Trùng"),"",COUNTIFS(ORDERS!$C$2:$C$4995,$D2953,ORDERS!$L$2:$L$4995,"Đã chuyển khoản"))</f>
        <v/>
      </c>
      <c r="X2953" s="23">
        <f>IF(OR($D2953="",$R2953="Trùng"),"",SUMIFS(ORDERS!$J$2:$J$4995,ORDERS!$C$2:$C$4995,$D2953,ORDERS!$L$2:$L$4995,"Đã chuyển khoản"))</f>
        <v/>
      </c>
      <c r="Y2953" s="24" t="n"/>
    </row>
    <row r="2954" ht="14.25" customHeight="1" s="40">
      <c r="A2954" s="24" t="n"/>
      <c r="B2954" s="27" t="n"/>
      <c r="C2954" s="24" t="n"/>
      <c r="D2954" s="28" t="n"/>
      <c r="E2954" s="29" t="n"/>
      <c r="F2954" s="24" t="n"/>
      <c r="G2954" s="24" t="n"/>
      <c r="H2954" s="21">
        <f>IF(ISNUMBER($B2954),INT($B2954)-WEEKDAY($B2954,2)+1,"")</f>
        <v/>
      </c>
      <c r="I2954" s="24" t="n"/>
      <c r="J2954" s="22">
        <f t="array" ref="J2954">IF($D2954="","",IF($I2954="","(trống REF)",IFERROR(INDEX(MASTER_SOURCE!$B$2:$B$495,MATCH($I2954,MASTER_SOURCE!$A$2:$A$495,0)),"(REF không có trong MASTER_SOURCE)")))</f>
        <v/>
      </c>
      <c r="K2954" s="22">
        <f t="array" ref="K2954">IF($D2954="","",IFERROR(INDEX(MASTER_SOURCE!$C$2:$C$495,MATCH($I2954,MASTER_SOURCE!$A$2:$A$495,0)),""))</f>
        <v/>
      </c>
      <c r="L2954" s="22">
        <f t="array" ref="L2954">IF($D2954="","",IFERROR(INDEX(MASTER_SOURCE!$D$2:$D$495,MATCH($I2954,MASTER_SOURCE!$A$2:$A$495,0)),""))</f>
        <v/>
      </c>
      <c r="M2954" s="24" t="n"/>
      <c r="N2954" s="24" t="n"/>
      <c r="O2954" s="24" t="n"/>
      <c r="P2954" s="24" t="n"/>
      <c r="Q2954" s="22">
        <f>IF($D2954="","",IF(AND(OR(DANH_MUC!$L$5&lt;&gt;"Có",M2954="Có"),OR(DANH_MUC!$L$6&lt;&gt;"Có",N2954="Có"),OR(DANH_MUC!$L$7&lt;&gt;"Có",O2954="Có"),OR(DANH_MUC!$L$8&lt;&gt;"Có",P2954="Có")),"Có","Không"))</f>
        <v/>
      </c>
      <c r="R2954" s="22">
        <f>IF($D2954="","",IF(COUNTIF($D$2:$D2954,$D2954)&gt;1,"Trùng",""))</f>
        <v/>
      </c>
      <c r="S2954" s="22">
        <f>IF($D2954="","",IF(AND(LEN($D2954)=10,LEFT($D2954,1)="0",ISNUMBER(--$D2954)),"Có","Không"))</f>
        <v/>
      </c>
      <c r="T2954" s="22">
        <f>IF($D2954="","",IF(AND($C2954&lt;&gt;"",$Q2954="Có",$R2954="",$S2954="Có",AND($L2954&lt;&gt;"",OR($L2954&lt;&gt;"Chưa xác định",DANH_MUC!$L$9="Có"))),"Có","Không"))</f>
        <v/>
      </c>
      <c r="U2954" s="22">
        <f>IF(OR($D2954="",$T2954="Có"),"",IF($C2954="","Thiếu họ tên; ","")&amp;IF($S2954&lt;&gt;"Có","SĐT sai định dạng; ","")&amp;IF($R2954="Trùng","Trùng SĐT; ","")&amp;IF($Q2954&lt;&gt;"Có","Thiếu đồng ý bắt buộc; ","")&amp;IF($L2954="","Thiếu/sai Mã REF; ",IF(AND($L2954="Chưa xác định",DANH_MUC!$L$9&lt;&gt;"Có"),"Nguồn chưa xác định; ","")))</f>
        <v/>
      </c>
      <c r="V2954" s="22">
        <f>IF(OR($D2954="",$R2954="Trùng"),"",IF(COUNTIF(ORDERS!$C$2:$C$4995,$D2954)&gt;0,"Có","Không"))</f>
        <v/>
      </c>
      <c r="W2954" s="22">
        <f>IF(OR($D2954="",$R2954="Trùng"),"",COUNTIFS(ORDERS!$C$2:$C$4995,$D2954,ORDERS!$L$2:$L$4995,"Đã chuyển khoản"))</f>
        <v/>
      </c>
      <c r="X2954" s="23">
        <f>IF(OR($D2954="",$R2954="Trùng"),"",SUMIFS(ORDERS!$J$2:$J$4995,ORDERS!$C$2:$C$4995,$D2954,ORDERS!$L$2:$L$4995,"Đã chuyển khoản"))</f>
        <v/>
      </c>
      <c r="Y2954" s="24" t="n"/>
    </row>
    <row r="2955" ht="14.25" customHeight="1" s="40">
      <c r="A2955" s="24" t="n"/>
      <c r="B2955" s="27" t="n"/>
      <c r="C2955" s="24" t="n"/>
      <c r="D2955" s="28" t="n"/>
      <c r="E2955" s="29" t="n"/>
      <c r="F2955" s="24" t="n"/>
      <c r="G2955" s="24" t="n"/>
      <c r="H2955" s="21">
        <f>IF(ISNUMBER($B2955),INT($B2955)-WEEKDAY($B2955,2)+1,"")</f>
        <v/>
      </c>
      <c r="I2955" s="24" t="n"/>
      <c r="J2955" s="22">
        <f t="array" ref="J2955">IF($D2955="","",IF($I2955="","(trống REF)",IFERROR(INDEX(MASTER_SOURCE!$B$2:$B$495,MATCH($I2955,MASTER_SOURCE!$A$2:$A$495,0)),"(REF không có trong MASTER_SOURCE)")))</f>
        <v/>
      </c>
      <c r="K2955" s="22">
        <f t="array" ref="K2955">IF($D2955="","",IFERROR(INDEX(MASTER_SOURCE!$C$2:$C$495,MATCH($I2955,MASTER_SOURCE!$A$2:$A$495,0)),""))</f>
        <v/>
      </c>
      <c r="L2955" s="22">
        <f t="array" ref="L2955">IF($D2955="","",IFERROR(INDEX(MASTER_SOURCE!$D$2:$D$495,MATCH($I2955,MASTER_SOURCE!$A$2:$A$495,0)),""))</f>
        <v/>
      </c>
      <c r="M2955" s="24" t="n"/>
      <c r="N2955" s="24" t="n"/>
      <c r="O2955" s="24" t="n"/>
      <c r="P2955" s="24" t="n"/>
      <c r="Q2955" s="22">
        <f>IF($D2955="","",IF(AND(OR(DANH_MUC!$L$5&lt;&gt;"Có",M2955="Có"),OR(DANH_MUC!$L$6&lt;&gt;"Có",N2955="Có"),OR(DANH_MUC!$L$7&lt;&gt;"Có",O2955="Có"),OR(DANH_MUC!$L$8&lt;&gt;"Có",P2955="Có")),"Có","Không"))</f>
        <v/>
      </c>
      <c r="R2955" s="22">
        <f>IF($D2955="","",IF(COUNTIF($D$2:$D2955,$D2955)&gt;1,"Trùng",""))</f>
        <v/>
      </c>
      <c r="S2955" s="22">
        <f>IF($D2955="","",IF(AND(LEN($D2955)=10,LEFT($D2955,1)="0",ISNUMBER(--$D2955)),"Có","Không"))</f>
        <v/>
      </c>
      <c r="T2955" s="22">
        <f>IF($D2955="","",IF(AND($C2955&lt;&gt;"",$Q2955="Có",$R2955="",$S2955="Có",AND($L2955&lt;&gt;"",OR($L2955&lt;&gt;"Chưa xác định",DANH_MUC!$L$9="Có"))),"Có","Không"))</f>
        <v/>
      </c>
      <c r="U2955" s="22">
        <f>IF(OR($D2955="",$T2955="Có"),"",IF($C2955="","Thiếu họ tên; ","")&amp;IF($S2955&lt;&gt;"Có","SĐT sai định dạng; ","")&amp;IF($R2955="Trùng","Trùng SĐT; ","")&amp;IF($Q2955&lt;&gt;"Có","Thiếu đồng ý bắt buộc; ","")&amp;IF($L2955="","Thiếu/sai Mã REF; ",IF(AND($L2955="Chưa xác định",DANH_MUC!$L$9&lt;&gt;"Có"),"Nguồn chưa xác định; ","")))</f>
        <v/>
      </c>
      <c r="V2955" s="22">
        <f>IF(OR($D2955="",$R2955="Trùng"),"",IF(COUNTIF(ORDERS!$C$2:$C$4995,$D2955)&gt;0,"Có","Không"))</f>
        <v/>
      </c>
      <c r="W2955" s="22">
        <f>IF(OR($D2955="",$R2955="Trùng"),"",COUNTIFS(ORDERS!$C$2:$C$4995,$D2955,ORDERS!$L$2:$L$4995,"Đã chuyển khoản"))</f>
        <v/>
      </c>
      <c r="X2955" s="23">
        <f>IF(OR($D2955="",$R2955="Trùng"),"",SUMIFS(ORDERS!$J$2:$J$4995,ORDERS!$C$2:$C$4995,$D2955,ORDERS!$L$2:$L$4995,"Đã chuyển khoản"))</f>
        <v/>
      </c>
      <c r="Y2955" s="24" t="n"/>
    </row>
    <row r="2956" ht="14.25" customHeight="1" s="40">
      <c r="A2956" s="24" t="n"/>
      <c r="B2956" s="27" t="n"/>
      <c r="C2956" s="24" t="n"/>
      <c r="D2956" s="28" t="n"/>
      <c r="E2956" s="29" t="n"/>
      <c r="F2956" s="24" t="n"/>
      <c r="G2956" s="24" t="n"/>
      <c r="H2956" s="21">
        <f>IF(ISNUMBER($B2956),INT($B2956)-WEEKDAY($B2956,2)+1,"")</f>
        <v/>
      </c>
      <c r="I2956" s="24" t="n"/>
      <c r="J2956" s="22">
        <f t="array" ref="J2956">IF($D2956="","",IF($I2956="","(trống REF)",IFERROR(INDEX(MASTER_SOURCE!$B$2:$B$495,MATCH($I2956,MASTER_SOURCE!$A$2:$A$495,0)),"(REF không có trong MASTER_SOURCE)")))</f>
        <v/>
      </c>
      <c r="K2956" s="22">
        <f t="array" ref="K2956">IF($D2956="","",IFERROR(INDEX(MASTER_SOURCE!$C$2:$C$495,MATCH($I2956,MASTER_SOURCE!$A$2:$A$495,0)),""))</f>
        <v/>
      </c>
      <c r="L2956" s="22">
        <f t="array" ref="L2956">IF($D2956="","",IFERROR(INDEX(MASTER_SOURCE!$D$2:$D$495,MATCH($I2956,MASTER_SOURCE!$A$2:$A$495,0)),""))</f>
        <v/>
      </c>
      <c r="M2956" s="24" t="n"/>
      <c r="N2956" s="24" t="n"/>
      <c r="O2956" s="24" t="n"/>
      <c r="P2956" s="24" t="n"/>
      <c r="Q2956" s="22">
        <f>IF($D2956="","",IF(AND(OR(DANH_MUC!$L$5&lt;&gt;"Có",M2956="Có"),OR(DANH_MUC!$L$6&lt;&gt;"Có",N2956="Có"),OR(DANH_MUC!$L$7&lt;&gt;"Có",O2956="Có"),OR(DANH_MUC!$L$8&lt;&gt;"Có",P2956="Có")),"Có","Không"))</f>
        <v/>
      </c>
      <c r="R2956" s="22">
        <f>IF($D2956="","",IF(COUNTIF($D$2:$D2956,$D2956)&gt;1,"Trùng",""))</f>
        <v/>
      </c>
      <c r="S2956" s="22">
        <f>IF($D2956="","",IF(AND(LEN($D2956)=10,LEFT($D2956,1)="0",ISNUMBER(--$D2956)),"Có","Không"))</f>
        <v/>
      </c>
      <c r="T2956" s="22">
        <f>IF($D2956="","",IF(AND($C2956&lt;&gt;"",$Q2956="Có",$R2956="",$S2956="Có",AND($L2956&lt;&gt;"",OR($L2956&lt;&gt;"Chưa xác định",DANH_MUC!$L$9="Có"))),"Có","Không"))</f>
        <v/>
      </c>
      <c r="U2956" s="22">
        <f>IF(OR($D2956="",$T2956="Có"),"",IF($C2956="","Thiếu họ tên; ","")&amp;IF($S2956&lt;&gt;"Có","SĐT sai định dạng; ","")&amp;IF($R2956="Trùng","Trùng SĐT; ","")&amp;IF($Q2956&lt;&gt;"Có","Thiếu đồng ý bắt buộc; ","")&amp;IF($L2956="","Thiếu/sai Mã REF; ",IF(AND($L2956="Chưa xác định",DANH_MUC!$L$9&lt;&gt;"Có"),"Nguồn chưa xác định; ","")))</f>
        <v/>
      </c>
      <c r="V2956" s="22">
        <f>IF(OR($D2956="",$R2956="Trùng"),"",IF(COUNTIF(ORDERS!$C$2:$C$4995,$D2956)&gt;0,"Có","Không"))</f>
        <v/>
      </c>
      <c r="W2956" s="22">
        <f>IF(OR($D2956="",$R2956="Trùng"),"",COUNTIFS(ORDERS!$C$2:$C$4995,$D2956,ORDERS!$L$2:$L$4995,"Đã chuyển khoản"))</f>
        <v/>
      </c>
      <c r="X2956" s="23">
        <f>IF(OR($D2956="",$R2956="Trùng"),"",SUMIFS(ORDERS!$J$2:$J$4995,ORDERS!$C$2:$C$4995,$D2956,ORDERS!$L$2:$L$4995,"Đã chuyển khoản"))</f>
        <v/>
      </c>
      <c r="Y2956" s="24" t="n"/>
    </row>
    <row r="2957" ht="14.25" customHeight="1" s="40">
      <c r="A2957" s="24" t="n"/>
      <c r="B2957" s="27" t="n"/>
      <c r="C2957" s="24" t="n"/>
      <c r="D2957" s="28" t="n"/>
      <c r="E2957" s="29" t="n"/>
      <c r="F2957" s="24" t="n"/>
      <c r="G2957" s="24" t="n"/>
      <c r="H2957" s="21">
        <f>IF(ISNUMBER($B2957),INT($B2957)-WEEKDAY($B2957,2)+1,"")</f>
        <v/>
      </c>
      <c r="I2957" s="24" t="n"/>
      <c r="J2957" s="22">
        <f t="array" ref="J2957">IF($D2957="","",IF($I2957="","(trống REF)",IFERROR(INDEX(MASTER_SOURCE!$B$2:$B$495,MATCH($I2957,MASTER_SOURCE!$A$2:$A$495,0)),"(REF không có trong MASTER_SOURCE)")))</f>
        <v/>
      </c>
      <c r="K2957" s="22">
        <f t="array" ref="K2957">IF($D2957="","",IFERROR(INDEX(MASTER_SOURCE!$C$2:$C$495,MATCH($I2957,MASTER_SOURCE!$A$2:$A$495,0)),""))</f>
        <v/>
      </c>
      <c r="L2957" s="22">
        <f t="array" ref="L2957">IF($D2957="","",IFERROR(INDEX(MASTER_SOURCE!$D$2:$D$495,MATCH($I2957,MASTER_SOURCE!$A$2:$A$495,0)),""))</f>
        <v/>
      </c>
      <c r="M2957" s="24" t="n"/>
      <c r="N2957" s="24" t="n"/>
      <c r="O2957" s="24" t="n"/>
      <c r="P2957" s="24" t="n"/>
      <c r="Q2957" s="22">
        <f>IF($D2957="","",IF(AND(OR(DANH_MUC!$L$5&lt;&gt;"Có",M2957="Có"),OR(DANH_MUC!$L$6&lt;&gt;"Có",N2957="Có"),OR(DANH_MUC!$L$7&lt;&gt;"Có",O2957="Có"),OR(DANH_MUC!$L$8&lt;&gt;"Có",P2957="Có")),"Có","Không"))</f>
        <v/>
      </c>
      <c r="R2957" s="22">
        <f>IF($D2957="","",IF(COUNTIF($D$2:$D2957,$D2957)&gt;1,"Trùng",""))</f>
        <v/>
      </c>
      <c r="S2957" s="22">
        <f>IF($D2957="","",IF(AND(LEN($D2957)=10,LEFT($D2957,1)="0",ISNUMBER(--$D2957)),"Có","Không"))</f>
        <v/>
      </c>
      <c r="T2957" s="22">
        <f>IF($D2957="","",IF(AND($C2957&lt;&gt;"",$Q2957="Có",$R2957="",$S2957="Có",AND($L2957&lt;&gt;"",OR($L2957&lt;&gt;"Chưa xác định",DANH_MUC!$L$9="Có"))),"Có","Không"))</f>
        <v/>
      </c>
      <c r="U2957" s="22">
        <f>IF(OR($D2957="",$T2957="Có"),"",IF($C2957="","Thiếu họ tên; ","")&amp;IF($S2957&lt;&gt;"Có","SĐT sai định dạng; ","")&amp;IF($R2957="Trùng","Trùng SĐT; ","")&amp;IF($Q2957&lt;&gt;"Có","Thiếu đồng ý bắt buộc; ","")&amp;IF($L2957="","Thiếu/sai Mã REF; ",IF(AND($L2957="Chưa xác định",DANH_MUC!$L$9&lt;&gt;"Có"),"Nguồn chưa xác định; ","")))</f>
        <v/>
      </c>
      <c r="V2957" s="22">
        <f>IF(OR($D2957="",$R2957="Trùng"),"",IF(COUNTIF(ORDERS!$C$2:$C$4995,$D2957)&gt;0,"Có","Không"))</f>
        <v/>
      </c>
      <c r="W2957" s="22">
        <f>IF(OR($D2957="",$R2957="Trùng"),"",COUNTIFS(ORDERS!$C$2:$C$4995,$D2957,ORDERS!$L$2:$L$4995,"Đã chuyển khoản"))</f>
        <v/>
      </c>
      <c r="X2957" s="23">
        <f>IF(OR($D2957="",$R2957="Trùng"),"",SUMIFS(ORDERS!$J$2:$J$4995,ORDERS!$C$2:$C$4995,$D2957,ORDERS!$L$2:$L$4995,"Đã chuyển khoản"))</f>
        <v/>
      </c>
      <c r="Y2957" s="24" t="n"/>
    </row>
    <row r="2958" ht="14.25" customHeight="1" s="40">
      <c r="A2958" s="24" t="n"/>
      <c r="B2958" s="27" t="n"/>
      <c r="C2958" s="24" t="n"/>
      <c r="D2958" s="28" t="n"/>
      <c r="E2958" s="29" t="n"/>
      <c r="F2958" s="24" t="n"/>
      <c r="G2958" s="24" t="n"/>
      <c r="H2958" s="21">
        <f>IF(ISNUMBER($B2958),INT($B2958)-WEEKDAY($B2958,2)+1,"")</f>
        <v/>
      </c>
      <c r="I2958" s="24" t="n"/>
      <c r="J2958" s="22">
        <f t="array" ref="J2958">IF($D2958="","",IF($I2958="","(trống REF)",IFERROR(INDEX(MASTER_SOURCE!$B$2:$B$495,MATCH($I2958,MASTER_SOURCE!$A$2:$A$495,0)),"(REF không có trong MASTER_SOURCE)")))</f>
        <v/>
      </c>
      <c r="K2958" s="22">
        <f t="array" ref="K2958">IF($D2958="","",IFERROR(INDEX(MASTER_SOURCE!$C$2:$C$495,MATCH($I2958,MASTER_SOURCE!$A$2:$A$495,0)),""))</f>
        <v/>
      </c>
      <c r="L2958" s="22">
        <f t="array" ref="L2958">IF($D2958="","",IFERROR(INDEX(MASTER_SOURCE!$D$2:$D$495,MATCH($I2958,MASTER_SOURCE!$A$2:$A$495,0)),""))</f>
        <v/>
      </c>
      <c r="M2958" s="24" t="n"/>
      <c r="N2958" s="24" t="n"/>
      <c r="O2958" s="24" t="n"/>
      <c r="P2958" s="24" t="n"/>
      <c r="Q2958" s="22">
        <f>IF($D2958="","",IF(AND(OR(DANH_MUC!$L$5&lt;&gt;"Có",M2958="Có"),OR(DANH_MUC!$L$6&lt;&gt;"Có",N2958="Có"),OR(DANH_MUC!$L$7&lt;&gt;"Có",O2958="Có"),OR(DANH_MUC!$L$8&lt;&gt;"Có",P2958="Có")),"Có","Không"))</f>
        <v/>
      </c>
      <c r="R2958" s="22">
        <f>IF($D2958="","",IF(COUNTIF($D$2:$D2958,$D2958)&gt;1,"Trùng",""))</f>
        <v/>
      </c>
      <c r="S2958" s="22">
        <f>IF($D2958="","",IF(AND(LEN($D2958)=10,LEFT($D2958,1)="0",ISNUMBER(--$D2958)),"Có","Không"))</f>
        <v/>
      </c>
      <c r="T2958" s="22">
        <f>IF($D2958="","",IF(AND($C2958&lt;&gt;"",$Q2958="Có",$R2958="",$S2958="Có",AND($L2958&lt;&gt;"",OR($L2958&lt;&gt;"Chưa xác định",DANH_MUC!$L$9="Có"))),"Có","Không"))</f>
        <v/>
      </c>
      <c r="U2958" s="22">
        <f>IF(OR($D2958="",$T2958="Có"),"",IF($C2958="","Thiếu họ tên; ","")&amp;IF($S2958&lt;&gt;"Có","SĐT sai định dạng; ","")&amp;IF($R2958="Trùng","Trùng SĐT; ","")&amp;IF($Q2958&lt;&gt;"Có","Thiếu đồng ý bắt buộc; ","")&amp;IF($L2958="","Thiếu/sai Mã REF; ",IF(AND($L2958="Chưa xác định",DANH_MUC!$L$9&lt;&gt;"Có"),"Nguồn chưa xác định; ","")))</f>
        <v/>
      </c>
      <c r="V2958" s="22">
        <f>IF(OR($D2958="",$R2958="Trùng"),"",IF(COUNTIF(ORDERS!$C$2:$C$4995,$D2958)&gt;0,"Có","Không"))</f>
        <v/>
      </c>
      <c r="W2958" s="22">
        <f>IF(OR($D2958="",$R2958="Trùng"),"",COUNTIFS(ORDERS!$C$2:$C$4995,$D2958,ORDERS!$L$2:$L$4995,"Đã chuyển khoản"))</f>
        <v/>
      </c>
      <c r="X2958" s="23">
        <f>IF(OR($D2958="",$R2958="Trùng"),"",SUMIFS(ORDERS!$J$2:$J$4995,ORDERS!$C$2:$C$4995,$D2958,ORDERS!$L$2:$L$4995,"Đã chuyển khoản"))</f>
        <v/>
      </c>
      <c r="Y2958" s="24" t="n"/>
    </row>
    <row r="2959" ht="14.25" customHeight="1" s="40">
      <c r="A2959" s="24" t="n"/>
      <c r="B2959" s="27" t="n"/>
      <c r="C2959" s="24" t="n"/>
      <c r="D2959" s="28" t="n"/>
      <c r="E2959" s="29" t="n"/>
      <c r="F2959" s="24" t="n"/>
      <c r="G2959" s="24" t="n"/>
      <c r="H2959" s="21">
        <f>IF(ISNUMBER($B2959),INT($B2959)-WEEKDAY($B2959,2)+1,"")</f>
        <v/>
      </c>
      <c r="I2959" s="24" t="n"/>
      <c r="J2959" s="22">
        <f t="array" ref="J2959">IF($D2959="","",IF($I2959="","(trống REF)",IFERROR(INDEX(MASTER_SOURCE!$B$2:$B$495,MATCH($I2959,MASTER_SOURCE!$A$2:$A$495,0)),"(REF không có trong MASTER_SOURCE)")))</f>
        <v/>
      </c>
      <c r="K2959" s="22">
        <f t="array" ref="K2959">IF($D2959="","",IFERROR(INDEX(MASTER_SOURCE!$C$2:$C$495,MATCH($I2959,MASTER_SOURCE!$A$2:$A$495,0)),""))</f>
        <v/>
      </c>
      <c r="L2959" s="22">
        <f t="array" ref="L2959">IF($D2959="","",IFERROR(INDEX(MASTER_SOURCE!$D$2:$D$495,MATCH($I2959,MASTER_SOURCE!$A$2:$A$495,0)),""))</f>
        <v/>
      </c>
      <c r="M2959" s="24" t="n"/>
      <c r="N2959" s="24" t="n"/>
      <c r="O2959" s="24" t="n"/>
      <c r="P2959" s="24" t="n"/>
      <c r="Q2959" s="22">
        <f>IF($D2959="","",IF(AND(OR(DANH_MUC!$L$5&lt;&gt;"Có",M2959="Có"),OR(DANH_MUC!$L$6&lt;&gt;"Có",N2959="Có"),OR(DANH_MUC!$L$7&lt;&gt;"Có",O2959="Có"),OR(DANH_MUC!$L$8&lt;&gt;"Có",P2959="Có")),"Có","Không"))</f>
        <v/>
      </c>
      <c r="R2959" s="22">
        <f>IF($D2959="","",IF(COUNTIF($D$2:$D2959,$D2959)&gt;1,"Trùng",""))</f>
        <v/>
      </c>
      <c r="S2959" s="22">
        <f>IF($D2959="","",IF(AND(LEN($D2959)=10,LEFT($D2959,1)="0",ISNUMBER(--$D2959)),"Có","Không"))</f>
        <v/>
      </c>
      <c r="T2959" s="22">
        <f>IF($D2959="","",IF(AND($C2959&lt;&gt;"",$Q2959="Có",$R2959="",$S2959="Có",AND($L2959&lt;&gt;"",OR($L2959&lt;&gt;"Chưa xác định",DANH_MUC!$L$9="Có"))),"Có","Không"))</f>
        <v/>
      </c>
      <c r="U2959" s="22">
        <f>IF(OR($D2959="",$T2959="Có"),"",IF($C2959="","Thiếu họ tên; ","")&amp;IF($S2959&lt;&gt;"Có","SĐT sai định dạng; ","")&amp;IF($R2959="Trùng","Trùng SĐT; ","")&amp;IF($Q2959&lt;&gt;"Có","Thiếu đồng ý bắt buộc; ","")&amp;IF($L2959="","Thiếu/sai Mã REF; ",IF(AND($L2959="Chưa xác định",DANH_MUC!$L$9&lt;&gt;"Có"),"Nguồn chưa xác định; ","")))</f>
        <v/>
      </c>
      <c r="V2959" s="22">
        <f>IF(OR($D2959="",$R2959="Trùng"),"",IF(COUNTIF(ORDERS!$C$2:$C$4995,$D2959)&gt;0,"Có","Không"))</f>
        <v/>
      </c>
      <c r="W2959" s="22">
        <f>IF(OR($D2959="",$R2959="Trùng"),"",COUNTIFS(ORDERS!$C$2:$C$4995,$D2959,ORDERS!$L$2:$L$4995,"Đã chuyển khoản"))</f>
        <v/>
      </c>
      <c r="X2959" s="23">
        <f>IF(OR($D2959="",$R2959="Trùng"),"",SUMIFS(ORDERS!$J$2:$J$4995,ORDERS!$C$2:$C$4995,$D2959,ORDERS!$L$2:$L$4995,"Đã chuyển khoản"))</f>
        <v/>
      </c>
      <c r="Y2959" s="24" t="n"/>
    </row>
    <row r="2960" ht="14.25" customHeight="1" s="40">
      <c r="A2960" s="24" t="n"/>
      <c r="B2960" s="27" t="n"/>
      <c r="C2960" s="24" t="n"/>
      <c r="D2960" s="28" t="n"/>
      <c r="E2960" s="29" t="n"/>
      <c r="F2960" s="24" t="n"/>
      <c r="G2960" s="24" t="n"/>
      <c r="H2960" s="21">
        <f>IF(ISNUMBER($B2960),INT($B2960)-WEEKDAY($B2960,2)+1,"")</f>
        <v/>
      </c>
      <c r="I2960" s="24" t="n"/>
      <c r="J2960" s="22">
        <f t="array" ref="J2960">IF($D2960="","",IF($I2960="","(trống REF)",IFERROR(INDEX(MASTER_SOURCE!$B$2:$B$495,MATCH($I2960,MASTER_SOURCE!$A$2:$A$495,0)),"(REF không có trong MASTER_SOURCE)")))</f>
        <v/>
      </c>
      <c r="K2960" s="22">
        <f t="array" ref="K2960">IF($D2960="","",IFERROR(INDEX(MASTER_SOURCE!$C$2:$C$495,MATCH($I2960,MASTER_SOURCE!$A$2:$A$495,0)),""))</f>
        <v/>
      </c>
      <c r="L2960" s="22">
        <f t="array" ref="L2960">IF($D2960="","",IFERROR(INDEX(MASTER_SOURCE!$D$2:$D$495,MATCH($I2960,MASTER_SOURCE!$A$2:$A$495,0)),""))</f>
        <v/>
      </c>
      <c r="M2960" s="24" t="n"/>
      <c r="N2960" s="24" t="n"/>
      <c r="O2960" s="24" t="n"/>
      <c r="P2960" s="24" t="n"/>
      <c r="Q2960" s="22">
        <f>IF($D2960="","",IF(AND(OR(DANH_MUC!$L$5&lt;&gt;"Có",M2960="Có"),OR(DANH_MUC!$L$6&lt;&gt;"Có",N2960="Có"),OR(DANH_MUC!$L$7&lt;&gt;"Có",O2960="Có"),OR(DANH_MUC!$L$8&lt;&gt;"Có",P2960="Có")),"Có","Không"))</f>
        <v/>
      </c>
      <c r="R2960" s="22">
        <f>IF($D2960="","",IF(COUNTIF($D$2:$D2960,$D2960)&gt;1,"Trùng",""))</f>
        <v/>
      </c>
      <c r="S2960" s="22">
        <f>IF($D2960="","",IF(AND(LEN($D2960)=10,LEFT($D2960,1)="0",ISNUMBER(--$D2960)),"Có","Không"))</f>
        <v/>
      </c>
      <c r="T2960" s="22">
        <f>IF($D2960="","",IF(AND($C2960&lt;&gt;"",$Q2960="Có",$R2960="",$S2960="Có",AND($L2960&lt;&gt;"",OR($L2960&lt;&gt;"Chưa xác định",DANH_MUC!$L$9="Có"))),"Có","Không"))</f>
        <v/>
      </c>
      <c r="U2960" s="22">
        <f>IF(OR($D2960="",$T2960="Có"),"",IF($C2960="","Thiếu họ tên; ","")&amp;IF($S2960&lt;&gt;"Có","SĐT sai định dạng; ","")&amp;IF($R2960="Trùng","Trùng SĐT; ","")&amp;IF($Q2960&lt;&gt;"Có","Thiếu đồng ý bắt buộc; ","")&amp;IF($L2960="","Thiếu/sai Mã REF; ",IF(AND($L2960="Chưa xác định",DANH_MUC!$L$9&lt;&gt;"Có"),"Nguồn chưa xác định; ","")))</f>
        <v/>
      </c>
      <c r="V2960" s="22">
        <f>IF(OR($D2960="",$R2960="Trùng"),"",IF(COUNTIF(ORDERS!$C$2:$C$4995,$D2960)&gt;0,"Có","Không"))</f>
        <v/>
      </c>
      <c r="W2960" s="22">
        <f>IF(OR($D2960="",$R2960="Trùng"),"",COUNTIFS(ORDERS!$C$2:$C$4995,$D2960,ORDERS!$L$2:$L$4995,"Đã chuyển khoản"))</f>
        <v/>
      </c>
      <c r="X2960" s="23">
        <f>IF(OR($D2960="",$R2960="Trùng"),"",SUMIFS(ORDERS!$J$2:$J$4995,ORDERS!$C$2:$C$4995,$D2960,ORDERS!$L$2:$L$4995,"Đã chuyển khoản"))</f>
        <v/>
      </c>
      <c r="Y2960" s="24" t="n"/>
    </row>
    <row r="2961" ht="14.25" customHeight="1" s="40">
      <c r="A2961" s="24" t="n"/>
      <c r="B2961" s="27" t="n"/>
      <c r="C2961" s="24" t="n"/>
      <c r="D2961" s="28" t="n"/>
      <c r="E2961" s="29" t="n"/>
      <c r="F2961" s="24" t="n"/>
      <c r="G2961" s="24" t="n"/>
      <c r="H2961" s="21">
        <f>IF(ISNUMBER($B2961),INT($B2961)-WEEKDAY($B2961,2)+1,"")</f>
        <v/>
      </c>
      <c r="I2961" s="24" t="n"/>
      <c r="J2961" s="22">
        <f t="array" ref="J2961">IF($D2961="","",IF($I2961="","(trống REF)",IFERROR(INDEX(MASTER_SOURCE!$B$2:$B$495,MATCH($I2961,MASTER_SOURCE!$A$2:$A$495,0)),"(REF không có trong MASTER_SOURCE)")))</f>
        <v/>
      </c>
      <c r="K2961" s="22">
        <f t="array" ref="K2961">IF($D2961="","",IFERROR(INDEX(MASTER_SOURCE!$C$2:$C$495,MATCH($I2961,MASTER_SOURCE!$A$2:$A$495,0)),""))</f>
        <v/>
      </c>
      <c r="L2961" s="22">
        <f t="array" ref="L2961">IF($D2961="","",IFERROR(INDEX(MASTER_SOURCE!$D$2:$D$495,MATCH($I2961,MASTER_SOURCE!$A$2:$A$495,0)),""))</f>
        <v/>
      </c>
      <c r="M2961" s="24" t="n"/>
      <c r="N2961" s="24" t="n"/>
      <c r="O2961" s="24" t="n"/>
      <c r="P2961" s="24" t="n"/>
      <c r="Q2961" s="22">
        <f>IF($D2961="","",IF(AND(OR(DANH_MUC!$L$5&lt;&gt;"Có",M2961="Có"),OR(DANH_MUC!$L$6&lt;&gt;"Có",N2961="Có"),OR(DANH_MUC!$L$7&lt;&gt;"Có",O2961="Có"),OR(DANH_MUC!$L$8&lt;&gt;"Có",P2961="Có")),"Có","Không"))</f>
        <v/>
      </c>
      <c r="R2961" s="22">
        <f>IF($D2961="","",IF(COUNTIF($D$2:$D2961,$D2961)&gt;1,"Trùng",""))</f>
        <v/>
      </c>
      <c r="S2961" s="22">
        <f>IF($D2961="","",IF(AND(LEN($D2961)=10,LEFT($D2961,1)="0",ISNUMBER(--$D2961)),"Có","Không"))</f>
        <v/>
      </c>
      <c r="T2961" s="22">
        <f>IF($D2961="","",IF(AND($C2961&lt;&gt;"",$Q2961="Có",$R2961="",$S2961="Có",AND($L2961&lt;&gt;"",OR($L2961&lt;&gt;"Chưa xác định",DANH_MUC!$L$9="Có"))),"Có","Không"))</f>
        <v/>
      </c>
      <c r="U2961" s="22">
        <f>IF(OR($D2961="",$T2961="Có"),"",IF($C2961="","Thiếu họ tên; ","")&amp;IF($S2961&lt;&gt;"Có","SĐT sai định dạng; ","")&amp;IF($R2961="Trùng","Trùng SĐT; ","")&amp;IF($Q2961&lt;&gt;"Có","Thiếu đồng ý bắt buộc; ","")&amp;IF($L2961="","Thiếu/sai Mã REF; ",IF(AND($L2961="Chưa xác định",DANH_MUC!$L$9&lt;&gt;"Có"),"Nguồn chưa xác định; ","")))</f>
        <v/>
      </c>
      <c r="V2961" s="22">
        <f>IF(OR($D2961="",$R2961="Trùng"),"",IF(COUNTIF(ORDERS!$C$2:$C$4995,$D2961)&gt;0,"Có","Không"))</f>
        <v/>
      </c>
      <c r="W2961" s="22">
        <f>IF(OR($D2961="",$R2961="Trùng"),"",COUNTIFS(ORDERS!$C$2:$C$4995,$D2961,ORDERS!$L$2:$L$4995,"Đã chuyển khoản"))</f>
        <v/>
      </c>
      <c r="X2961" s="23">
        <f>IF(OR($D2961="",$R2961="Trùng"),"",SUMIFS(ORDERS!$J$2:$J$4995,ORDERS!$C$2:$C$4995,$D2961,ORDERS!$L$2:$L$4995,"Đã chuyển khoản"))</f>
        <v/>
      </c>
      <c r="Y2961" s="24" t="n"/>
    </row>
    <row r="2962" ht="14.25" customHeight="1" s="40">
      <c r="A2962" s="24" t="n"/>
      <c r="B2962" s="27" t="n"/>
      <c r="C2962" s="24" t="n"/>
      <c r="D2962" s="28" t="n"/>
      <c r="E2962" s="29" t="n"/>
      <c r="F2962" s="24" t="n"/>
      <c r="G2962" s="24" t="n"/>
      <c r="H2962" s="21">
        <f>IF(ISNUMBER($B2962),INT($B2962)-WEEKDAY($B2962,2)+1,"")</f>
        <v/>
      </c>
      <c r="I2962" s="24" t="n"/>
      <c r="J2962" s="22">
        <f t="array" ref="J2962">IF($D2962="","",IF($I2962="","(trống REF)",IFERROR(INDEX(MASTER_SOURCE!$B$2:$B$495,MATCH($I2962,MASTER_SOURCE!$A$2:$A$495,0)),"(REF không có trong MASTER_SOURCE)")))</f>
        <v/>
      </c>
      <c r="K2962" s="22">
        <f t="array" ref="K2962">IF($D2962="","",IFERROR(INDEX(MASTER_SOURCE!$C$2:$C$495,MATCH($I2962,MASTER_SOURCE!$A$2:$A$495,0)),""))</f>
        <v/>
      </c>
      <c r="L2962" s="22">
        <f t="array" ref="L2962">IF($D2962="","",IFERROR(INDEX(MASTER_SOURCE!$D$2:$D$495,MATCH($I2962,MASTER_SOURCE!$A$2:$A$495,0)),""))</f>
        <v/>
      </c>
      <c r="M2962" s="24" t="n"/>
      <c r="N2962" s="24" t="n"/>
      <c r="O2962" s="24" t="n"/>
      <c r="P2962" s="24" t="n"/>
      <c r="Q2962" s="22">
        <f>IF($D2962="","",IF(AND(OR(DANH_MUC!$L$5&lt;&gt;"Có",M2962="Có"),OR(DANH_MUC!$L$6&lt;&gt;"Có",N2962="Có"),OR(DANH_MUC!$L$7&lt;&gt;"Có",O2962="Có"),OR(DANH_MUC!$L$8&lt;&gt;"Có",P2962="Có")),"Có","Không"))</f>
        <v/>
      </c>
      <c r="R2962" s="22">
        <f>IF($D2962="","",IF(COUNTIF($D$2:$D2962,$D2962)&gt;1,"Trùng",""))</f>
        <v/>
      </c>
      <c r="S2962" s="22">
        <f>IF($D2962="","",IF(AND(LEN($D2962)=10,LEFT($D2962,1)="0",ISNUMBER(--$D2962)),"Có","Không"))</f>
        <v/>
      </c>
      <c r="T2962" s="22">
        <f>IF($D2962="","",IF(AND($C2962&lt;&gt;"",$Q2962="Có",$R2962="",$S2962="Có",AND($L2962&lt;&gt;"",OR($L2962&lt;&gt;"Chưa xác định",DANH_MUC!$L$9="Có"))),"Có","Không"))</f>
        <v/>
      </c>
      <c r="U2962" s="22">
        <f>IF(OR($D2962="",$T2962="Có"),"",IF($C2962="","Thiếu họ tên; ","")&amp;IF($S2962&lt;&gt;"Có","SĐT sai định dạng; ","")&amp;IF($R2962="Trùng","Trùng SĐT; ","")&amp;IF($Q2962&lt;&gt;"Có","Thiếu đồng ý bắt buộc; ","")&amp;IF($L2962="","Thiếu/sai Mã REF; ",IF(AND($L2962="Chưa xác định",DANH_MUC!$L$9&lt;&gt;"Có"),"Nguồn chưa xác định; ","")))</f>
        <v/>
      </c>
      <c r="V2962" s="22">
        <f>IF(OR($D2962="",$R2962="Trùng"),"",IF(COUNTIF(ORDERS!$C$2:$C$4995,$D2962)&gt;0,"Có","Không"))</f>
        <v/>
      </c>
      <c r="W2962" s="22">
        <f>IF(OR($D2962="",$R2962="Trùng"),"",COUNTIFS(ORDERS!$C$2:$C$4995,$D2962,ORDERS!$L$2:$L$4995,"Đã chuyển khoản"))</f>
        <v/>
      </c>
      <c r="X2962" s="23">
        <f>IF(OR($D2962="",$R2962="Trùng"),"",SUMIFS(ORDERS!$J$2:$J$4995,ORDERS!$C$2:$C$4995,$D2962,ORDERS!$L$2:$L$4995,"Đã chuyển khoản"))</f>
        <v/>
      </c>
      <c r="Y2962" s="24" t="n"/>
    </row>
    <row r="2963" ht="14.25" customHeight="1" s="40">
      <c r="A2963" s="24" t="n"/>
      <c r="B2963" s="27" t="n"/>
      <c r="C2963" s="24" t="n"/>
      <c r="D2963" s="28" t="n"/>
      <c r="E2963" s="29" t="n"/>
      <c r="F2963" s="24" t="n"/>
      <c r="G2963" s="24" t="n"/>
      <c r="H2963" s="21">
        <f>IF(ISNUMBER($B2963),INT($B2963)-WEEKDAY($B2963,2)+1,"")</f>
        <v/>
      </c>
      <c r="I2963" s="24" t="n"/>
      <c r="J2963" s="22">
        <f t="array" ref="J2963">IF($D2963="","",IF($I2963="","(trống REF)",IFERROR(INDEX(MASTER_SOURCE!$B$2:$B$495,MATCH($I2963,MASTER_SOURCE!$A$2:$A$495,0)),"(REF không có trong MASTER_SOURCE)")))</f>
        <v/>
      </c>
      <c r="K2963" s="22">
        <f t="array" ref="K2963">IF($D2963="","",IFERROR(INDEX(MASTER_SOURCE!$C$2:$C$495,MATCH($I2963,MASTER_SOURCE!$A$2:$A$495,0)),""))</f>
        <v/>
      </c>
      <c r="L2963" s="22">
        <f t="array" ref="L2963">IF($D2963="","",IFERROR(INDEX(MASTER_SOURCE!$D$2:$D$495,MATCH($I2963,MASTER_SOURCE!$A$2:$A$495,0)),""))</f>
        <v/>
      </c>
      <c r="M2963" s="24" t="n"/>
      <c r="N2963" s="24" t="n"/>
      <c r="O2963" s="24" t="n"/>
      <c r="P2963" s="24" t="n"/>
      <c r="Q2963" s="22">
        <f>IF($D2963="","",IF(AND(OR(DANH_MUC!$L$5&lt;&gt;"Có",M2963="Có"),OR(DANH_MUC!$L$6&lt;&gt;"Có",N2963="Có"),OR(DANH_MUC!$L$7&lt;&gt;"Có",O2963="Có"),OR(DANH_MUC!$L$8&lt;&gt;"Có",P2963="Có")),"Có","Không"))</f>
        <v/>
      </c>
      <c r="R2963" s="22">
        <f>IF($D2963="","",IF(COUNTIF($D$2:$D2963,$D2963)&gt;1,"Trùng",""))</f>
        <v/>
      </c>
      <c r="S2963" s="22">
        <f>IF($D2963="","",IF(AND(LEN($D2963)=10,LEFT($D2963,1)="0",ISNUMBER(--$D2963)),"Có","Không"))</f>
        <v/>
      </c>
      <c r="T2963" s="22">
        <f>IF($D2963="","",IF(AND($C2963&lt;&gt;"",$Q2963="Có",$R2963="",$S2963="Có",AND($L2963&lt;&gt;"",OR($L2963&lt;&gt;"Chưa xác định",DANH_MUC!$L$9="Có"))),"Có","Không"))</f>
        <v/>
      </c>
      <c r="U2963" s="22">
        <f>IF(OR($D2963="",$T2963="Có"),"",IF($C2963="","Thiếu họ tên; ","")&amp;IF($S2963&lt;&gt;"Có","SĐT sai định dạng; ","")&amp;IF($R2963="Trùng","Trùng SĐT; ","")&amp;IF($Q2963&lt;&gt;"Có","Thiếu đồng ý bắt buộc; ","")&amp;IF($L2963="","Thiếu/sai Mã REF; ",IF(AND($L2963="Chưa xác định",DANH_MUC!$L$9&lt;&gt;"Có"),"Nguồn chưa xác định; ","")))</f>
        <v/>
      </c>
      <c r="V2963" s="22">
        <f>IF(OR($D2963="",$R2963="Trùng"),"",IF(COUNTIF(ORDERS!$C$2:$C$4995,$D2963)&gt;0,"Có","Không"))</f>
        <v/>
      </c>
      <c r="W2963" s="22">
        <f>IF(OR($D2963="",$R2963="Trùng"),"",COUNTIFS(ORDERS!$C$2:$C$4995,$D2963,ORDERS!$L$2:$L$4995,"Đã chuyển khoản"))</f>
        <v/>
      </c>
      <c r="X2963" s="23">
        <f>IF(OR($D2963="",$R2963="Trùng"),"",SUMIFS(ORDERS!$J$2:$J$4995,ORDERS!$C$2:$C$4995,$D2963,ORDERS!$L$2:$L$4995,"Đã chuyển khoản"))</f>
        <v/>
      </c>
      <c r="Y2963" s="24" t="n"/>
    </row>
    <row r="2964" ht="14.25" customHeight="1" s="40">
      <c r="A2964" s="24" t="n"/>
      <c r="B2964" s="27" t="n"/>
      <c r="C2964" s="24" t="n"/>
      <c r="D2964" s="28" t="n"/>
      <c r="E2964" s="29" t="n"/>
      <c r="F2964" s="24" t="n"/>
      <c r="G2964" s="24" t="n"/>
      <c r="H2964" s="21">
        <f>IF(ISNUMBER($B2964),INT($B2964)-WEEKDAY($B2964,2)+1,"")</f>
        <v/>
      </c>
      <c r="I2964" s="24" t="n"/>
      <c r="J2964" s="22">
        <f t="array" ref="J2964">IF($D2964="","",IF($I2964="","(trống REF)",IFERROR(INDEX(MASTER_SOURCE!$B$2:$B$495,MATCH($I2964,MASTER_SOURCE!$A$2:$A$495,0)),"(REF không có trong MASTER_SOURCE)")))</f>
        <v/>
      </c>
      <c r="K2964" s="22">
        <f t="array" ref="K2964">IF($D2964="","",IFERROR(INDEX(MASTER_SOURCE!$C$2:$C$495,MATCH($I2964,MASTER_SOURCE!$A$2:$A$495,0)),""))</f>
        <v/>
      </c>
      <c r="L2964" s="22">
        <f t="array" ref="L2964">IF($D2964="","",IFERROR(INDEX(MASTER_SOURCE!$D$2:$D$495,MATCH($I2964,MASTER_SOURCE!$A$2:$A$495,0)),""))</f>
        <v/>
      </c>
      <c r="M2964" s="24" t="n"/>
      <c r="N2964" s="24" t="n"/>
      <c r="O2964" s="24" t="n"/>
      <c r="P2964" s="24" t="n"/>
      <c r="Q2964" s="22">
        <f>IF($D2964="","",IF(AND(OR(DANH_MUC!$L$5&lt;&gt;"Có",M2964="Có"),OR(DANH_MUC!$L$6&lt;&gt;"Có",N2964="Có"),OR(DANH_MUC!$L$7&lt;&gt;"Có",O2964="Có"),OR(DANH_MUC!$L$8&lt;&gt;"Có",P2964="Có")),"Có","Không"))</f>
        <v/>
      </c>
      <c r="R2964" s="22">
        <f>IF($D2964="","",IF(COUNTIF($D$2:$D2964,$D2964)&gt;1,"Trùng",""))</f>
        <v/>
      </c>
      <c r="S2964" s="22">
        <f>IF($D2964="","",IF(AND(LEN($D2964)=10,LEFT($D2964,1)="0",ISNUMBER(--$D2964)),"Có","Không"))</f>
        <v/>
      </c>
      <c r="T2964" s="22">
        <f>IF($D2964="","",IF(AND($C2964&lt;&gt;"",$Q2964="Có",$R2964="",$S2964="Có",AND($L2964&lt;&gt;"",OR($L2964&lt;&gt;"Chưa xác định",DANH_MUC!$L$9="Có"))),"Có","Không"))</f>
        <v/>
      </c>
      <c r="U2964" s="22">
        <f>IF(OR($D2964="",$T2964="Có"),"",IF($C2964="","Thiếu họ tên; ","")&amp;IF($S2964&lt;&gt;"Có","SĐT sai định dạng; ","")&amp;IF($R2964="Trùng","Trùng SĐT; ","")&amp;IF($Q2964&lt;&gt;"Có","Thiếu đồng ý bắt buộc; ","")&amp;IF($L2964="","Thiếu/sai Mã REF; ",IF(AND($L2964="Chưa xác định",DANH_MUC!$L$9&lt;&gt;"Có"),"Nguồn chưa xác định; ","")))</f>
        <v/>
      </c>
      <c r="V2964" s="22">
        <f>IF(OR($D2964="",$R2964="Trùng"),"",IF(COUNTIF(ORDERS!$C$2:$C$4995,$D2964)&gt;0,"Có","Không"))</f>
        <v/>
      </c>
      <c r="W2964" s="22">
        <f>IF(OR($D2964="",$R2964="Trùng"),"",COUNTIFS(ORDERS!$C$2:$C$4995,$D2964,ORDERS!$L$2:$L$4995,"Đã chuyển khoản"))</f>
        <v/>
      </c>
      <c r="X2964" s="23">
        <f>IF(OR($D2964="",$R2964="Trùng"),"",SUMIFS(ORDERS!$J$2:$J$4995,ORDERS!$C$2:$C$4995,$D2964,ORDERS!$L$2:$L$4995,"Đã chuyển khoản"))</f>
        <v/>
      </c>
      <c r="Y2964" s="24" t="n"/>
    </row>
    <row r="2965" ht="14.25" customHeight="1" s="40">
      <c r="A2965" s="24" t="n"/>
      <c r="B2965" s="27" t="n"/>
      <c r="C2965" s="24" t="n"/>
      <c r="D2965" s="28" t="n"/>
      <c r="E2965" s="29" t="n"/>
      <c r="F2965" s="24" t="n"/>
      <c r="G2965" s="24" t="n"/>
      <c r="H2965" s="21">
        <f>IF(ISNUMBER($B2965),INT($B2965)-WEEKDAY($B2965,2)+1,"")</f>
        <v/>
      </c>
      <c r="I2965" s="24" t="n"/>
      <c r="J2965" s="22">
        <f t="array" ref="J2965">IF($D2965="","",IF($I2965="","(trống REF)",IFERROR(INDEX(MASTER_SOURCE!$B$2:$B$495,MATCH($I2965,MASTER_SOURCE!$A$2:$A$495,0)),"(REF không có trong MASTER_SOURCE)")))</f>
        <v/>
      </c>
      <c r="K2965" s="22">
        <f t="array" ref="K2965">IF($D2965="","",IFERROR(INDEX(MASTER_SOURCE!$C$2:$C$495,MATCH($I2965,MASTER_SOURCE!$A$2:$A$495,0)),""))</f>
        <v/>
      </c>
      <c r="L2965" s="22">
        <f t="array" ref="L2965">IF($D2965="","",IFERROR(INDEX(MASTER_SOURCE!$D$2:$D$495,MATCH($I2965,MASTER_SOURCE!$A$2:$A$495,0)),""))</f>
        <v/>
      </c>
      <c r="M2965" s="24" t="n"/>
      <c r="N2965" s="24" t="n"/>
      <c r="O2965" s="24" t="n"/>
      <c r="P2965" s="24" t="n"/>
      <c r="Q2965" s="22">
        <f>IF($D2965="","",IF(AND(OR(DANH_MUC!$L$5&lt;&gt;"Có",M2965="Có"),OR(DANH_MUC!$L$6&lt;&gt;"Có",N2965="Có"),OR(DANH_MUC!$L$7&lt;&gt;"Có",O2965="Có"),OR(DANH_MUC!$L$8&lt;&gt;"Có",P2965="Có")),"Có","Không"))</f>
        <v/>
      </c>
      <c r="R2965" s="22">
        <f>IF($D2965="","",IF(COUNTIF($D$2:$D2965,$D2965)&gt;1,"Trùng",""))</f>
        <v/>
      </c>
      <c r="S2965" s="22">
        <f>IF($D2965="","",IF(AND(LEN($D2965)=10,LEFT($D2965,1)="0",ISNUMBER(--$D2965)),"Có","Không"))</f>
        <v/>
      </c>
      <c r="T2965" s="22">
        <f>IF($D2965="","",IF(AND($C2965&lt;&gt;"",$Q2965="Có",$R2965="",$S2965="Có",AND($L2965&lt;&gt;"",OR($L2965&lt;&gt;"Chưa xác định",DANH_MUC!$L$9="Có"))),"Có","Không"))</f>
        <v/>
      </c>
      <c r="U2965" s="22">
        <f>IF(OR($D2965="",$T2965="Có"),"",IF($C2965="","Thiếu họ tên; ","")&amp;IF($S2965&lt;&gt;"Có","SĐT sai định dạng; ","")&amp;IF($R2965="Trùng","Trùng SĐT; ","")&amp;IF($Q2965&lt;&gt;"Có","Thiếu đồng ý bắt buộc; ","")&amp;IF($L2965="","Thiếu/sai Mã REF; ",IF(AND($L2965="Chưa xác định",DANH_MUC!$L$9&lt;&gt;"Có"),"Nguồn chưa xác định; ","")))</f>
        <v/>
      </c>
      <c r="V2965" s="22">
        <f>IF(OR($D2965="",$R2965="Trùng"),"",IF(COUNTIF(ORDERS!$C$2:$C$4995,$D2965)&gt;0,"Có","Không"))</f>
        <v/>
      </c>
      <c r="W2965" s="22">
        <f>IF(OR($D2965="",$R2965="Trùng"),"",COUNTIFS(ORDERS!$C$2:$C$4995,$D2965,ORDERS!$L$2:$L$4995,"Đã chuyển khoản"))</f>
        <v/>
      </c>
      <c r="X2965" s="23">
        <f>IF(OR($D2965="",$R2965="Trùng"),"",SUMIFS(ORDERS!$J$2:$J$4995,ORDERS!$C$2:$C$4995,$D2965,ORDERS!$L$2:$L$4995,"Đã chuyển khoản"))</f>
        <v/>
      </c>
      <c r="Y2965" s="24" t="n"/>
    </row>
    <row r="2966" ht="14.25" customHeight="1" s="40">
      <c r="A2966" s="24" t="n"/>
      <c r="B2966" s="27" t="n"/>
      <c r="C2966" s="24" t="n"/>
      <c r="D2966" s="28" t="n"/>
      <c r="E2966" s="29" t="n"/>
      <c r="F2966" s="24" t="n"/>
      <c r="G2966" s="24" t="n"/>
      <c r="H2966" s="21">
        <f>IF(ISNUMBER($B2966),INT($B2966)-WEEKDAY($B2966,2)+1,"")</f>
        <v/>
      </c>
      <c r="I2966" s="24" t="n"/>
      <c r="J2966" s="22">
        <f t="array" ref="J2966">IF($D2966="","",IF($I2966="","(trống REF)",IFERROR(INDEX(MASTER_SOURCE!$B$2:$B$495,MATCH($I2966,MASTER_SOURCE!$A$2:$A$495,0)),"(REF không có trong MASTER_SOURCE)")))</f>
        <v/>
      </c>
      <c r="K2966" s="22">
        <f t="array" ref="K2966">IF($D2966="","",IFERROR(INDEX(MASTER_SOURCE!$C$2:$C$495,MATCH($I2966,MASTER_SOURCE!$A$2:$A$495,0)),""))</f>
        <v/>
      </c>
      <c r="L2966" s="22">
        <f t="array" ref="L2966">IF($D2966="","",IFERROR(INDEX(MASTER_SOURCE!$D$2:$D$495,MATCH($I2966,MASTER_SOURCE!$A$2:$A$495,0)),""))</f>
        <v/>
      </c>
      <c r="M2966" s="24" t="n"/>
      <c r="N2966" s="24" t="n"/>
      <c r="O2966" s="24" t="n"/>
      <c r="P2966" s="24" t="n"/>
      <c r="Q2966" s="22">
        <f>IF($D2966="","",IF(AND(OR(DANH_MUC!$L$5&lt;&gt;"Có",M2966="Có"),OR(DANH_MUC!$L$6&lt;&gt;"Có",N2966="Có"),OR(DANH_MUC!$L$7&lt;&gt;"Có",O2966="Có"),OR(DANH_MUC!$L$8&lt;&gt;"Có",P2966="Có")),"Có","Không"))</f>
        <v/>
      </c>
      <c r="R2966" s="22">
        <f>IF($D2966="","",IF(COUNTIF($D$2:$D2966,$D2966)&gt;1,"Trùng",""))</f>
        <v/>
      </c>
      <c r="S2966" s="22">
        <f>IF($D2966="","",IF(AND(LEN($D2966)=10,LEFT($D2966,1)="0",ISNUMBER(--$D2966)),"Có","Không"))</f>
        <v/>
      </c>
      <c r="T2966" s="22">
        <f>IF($D2966="","",IF(AND($C2966&lt;&gt;"",$Q2966="Có",$R2966="",$S2966="Có",AND($L2966&lt;&gt;"",OR($L2966&lt;&gt;"Chưa xác định",DANH_MUC!$L$9="Có"))),"Có","Không"))</f>
        <v/>
      </c>
      <c r="U2966" s="22">
        <f>IF(OR($D2966="",$T2966="Có"),"",IF($C2966="","Thiếu họ tên; ","")&amp;IF($S2966&lt;&gt;"Có","SĐT sai định dạng; ","")&amp;IF($R2966="Trùng","Trùng SĐT; ","")&amp;IF($Q2966&lt;&gt;"Có","Thiếu đồng ý bắt buộc; ","")&amp;IF($L2966="","Thiếu/sai Mã REF; ",IF(AND($L2966="Chưa xác định",DANH_MUC!$L$9&lt;&gt;"Có"),"Nguồn chưa xác định; ","")))</f>
        <v/>
      </c>
      <c r="V2966" s="22">
        <f>IF(OR($D2966="",$R2966="Trùng"),"",IF(COUNTIF(ORDERS!$C$2:$C$4995,$D2966)&gt;0,"Có","Không"))</f>
        <v/>
      </c>
      <c r="W2966" s="22">
        <f>IF(OR($D2966="",$R2966="Trùng"),"",COUNTIFS(ORDERS!$C$2:$C$4995,$D2966,ORDERS!$L$2:$L$4995,"Đã chuyển khoản"))</f>
        <v/>
      </c>
      <c r="X2966" s="23">
        <f>IF(OR($D2966="",$R2966="Trùng"),"",SUMIFS(ORDERS!$J$2:$J$4995,ORDERS!$C$2:$C$4995,$D2966,ORDERS!$L$2:$L$4995,"Đã chuyển khoản"))</f>
        <v/>
      </c>
      <c r="Y2966" s="24" t="n"/>
    </row>
    <row r="2967" ht="14.25" customHeight="1" s="40">
      <c r="A2967" s="24" t="n"/>
      <c r="B2967" s="27" t="n"/>
      <c r="C2967" s="24" t="n"/>
      <c r="D2967" s="28" t="n"/>
      <c r="E2967" s="29" t="n"/>
      <c r="F2967" s="24" t="n"/>
      <c r="G2967" s="24" t="n"/>
      <c r="H2967" s="21">
        <f>IF(ISNUMBER($B2967),INT($B2967)-WEEKDAY($B2967,2)+1,"")</f>
        <v/>
      </c>
      <c r="I2967" s="24" t="n"/>
      <c r="J2967" s="22">
        <f t="array" ref="J2967">IF($D2967="","",IF($I2967="","(trống REF)",IFERROR(INDEX(MASTER_SOURCE!$B$2:$B$495,MATCH($I2967,MASTER_SOURCE!$A$2:$A$495,0)),"(REF không có trong MASTER_SOURCE)")))</f>
        <v/>
      </c>
      <c r="K2967" s="22">
        <f t="array" ref="K2967">IF($D2967="","",IFERROR(INDEX(MASTER_SOURCE!$C$2:$C$495,MATCH($I2967,MASTER_SOURCE!$A$2:$A$495,0)),""))</f>
        <v/>
      </c>
      <c r="L2967" s="22">
        <f t="array" ref="L2967">IF($D2967="","",IFERROR(INDEX(MASTER_SOURCE!$D$2:$D$495,MATCH($I2967,MASTER_SOURCE!$A$2:$A$495,0)),""))</f>
        <v/>
      </c>
      <c r="M2967" s="24" t="n"/>
      <c r="N2967" s="24" t="n"/>
      <c r="O2967" s="24" t="n"/>
      <c r="P2967" s="24" t="n"/>
      <c r="Q2967" s="22">
        <f>IF($D2967="","",IF(AND(OR(DANH_MUC!$L$5&lt;&gt;"Có",M2967="Có"),OR(DANH_MUC!$L$6&lt;&gt;"Có",N2967="Có"),OR(DANH_MUC!$L$7&lt;&gt;"Có",O2967="Có"),OR(DANH_MUC!$L$8&lt;&gt;"Có",P2967="Có")),"Có","Không"))</f>
        <v/>
      </c>
      <c r="R2967" s="22">
        <f>IF($D2967="","",IF(COUNTIF($D$2:$D2967,$D2967)&gt;1,"Trùng",""))</f>
        <v/>
      </c>
      <c r="S2967" s="22">
        <f>IF($D2967="","",IF(AND(LEN($D2967)=10,LEFT($D2967,1)="0",ISNUMBER(--$D2967)),"Có","Không"))</f>
        <v/>
      </c>
      <c r="T2967" s="22">
        <f>IF($D2967="","",IF(AND($C2967&lt;&gt;"",$Q2967="Có",$R2967="",$S2967="Có",AND($L2967&lt;&gt;"",OR($L2967&lt;&gt;"Chưa xác định",DANH_MUC!$L$9="Có"))),"Có","Không"))</f>
        <v/>
      </c>
      <c r="U2967" s="22">
        <f>IF(OR($D2967="",$T2967="Có"),"",IF($C2967="","Thiếu họ tên; ","")&amp;IF($S2967&lt;&gt;"Có","SĐT sai định dạng; ","")&amp;IF($R2967="Trùng","Trùng SĐT; ","")&amp;IF($Q2967&lt;&gt;"Có","Thiếu đồng ý bắt buộc; ","")&amp;IF($L2967="","Thiếu/sai Mã REF; ",IF(AND($L2967="Chưa xác định",DANH_MUC!$L$9&lt;&gt;"Có"),"Nguồn chưa xác định; ","")))</f>
        <v/>
      </c>
      <c r="V2967" s="22">
        <f>IF(OR($D2967="",$R2967="Trùng"),"",IF(COUNTIF(ORDERS!$C$2:$C$4995,$D2967)&gt;0,"Có","Không"))</f>
        <v/>
      </c>
      <c r="W2967" s="22">
        <f>IF(OR($D2967="",$R2967="Trùng"),"",COUNTIFS(ORDERS!$C$2:$C$4995,$D2967,ORDERS!$L$2:$L$4995,"Đã chuyển khoản"))</f>
        <v/>
      </c>
      <c r="X2967" s="23">
        <f>IF(OR($D2967="",$R2967="Trùng"),"",SUMIFS(ORDERS!$J$2:$J$4995,ORDERS!$C$2:$C$4995,$D2967,ORDERS!$L$2:$L$4995,"Đã chuyển khoản"))</f>
        <v/>
      </c>
      <c r="Y2967" s="24" t="n"/>
    </row>
    <row r="2968" ht="14.25" customHeight="1" s="40">
      <c r="A2968" s="24" t="n"/>
      <c r="B2968" s="27" t="n"/>
      <c r="C2968" s="24" t="n"/>
      <c r="D2968" s="28" t="n"/>
      <c r="E2968" s="29" t="n"/>
      <c r="F2968" s="24" t="n"/>
      <c r="G2968" s="24" t="n"/>
      <c r="H2968" s="21">
        <f>IF(ISNUMBER($B2968),INT($B2968)-WEEKDAY($B2968,2)+1,"")</f>
        <v/>
      </c>
      <c r="I2968" s="24" t="n"/>
      <c r="J2968" s="22">
        <f t="array" ref="J2968">IF($D2968="","",IF($I2968="","(trống REF)",IFERROR(INDEX(MASTER_SOURCE!$B$2:$B$495,MATCH($I2968,MASTER_SOURCE!$A$2:$A$495,0)),"(REF không có trong MASTER_SOURCE)")))</f>
        <v/>
      </c>
      <c r="K2968" s="22">
        <f t="array" ref="K2968">IF($D2968="","",IFERROR(INDEX(MASTER_SOURCE!$C$2:$C$495,MATCH($I2968,MASTER_SOURCE!$A$2:$A$495,0)),""))</f>
        <v/>
      </c>
      <c r="L2968" s="22">
        <f t="array" ref="L2968">IF($D2968="","",IFERROR(INDEX(MASTER_SOURCE!$D$2:$D$495,MATCH($I2968,MASTER_SOURCE!$A$2:$A$495,0)),""))</f>
        <v/>
      </c>
      <c r="M2968" s="24" t="n"/>
      <c r="N2968" s="24" t="n"/>
      <c r="O2968" s="24" t="n"/>
      <c r="P2968" s="24" t="n"/>
      <c r="Q2968" s="22">
        <f>IF($D2968="","",IF(AND(OR(DANH_MUC!$L$5&lt;&gt;"Có",M2968="Có"),OR(DANH_MUC!$L$6&lt;&gt;"Có",N2968="Có"),OR(DANH_MUC!$L$7&lt;&gt;"Có",O2968="Có"),OR(DANH_MUC!$L$8&lt;&gt;"Có",P2968="Có")),"Có","Không"))</f>
        <v/>
      </c>
      <c r="R2968" s="22">
        <f>IF($D2968="","",IF(COUNTIF($D$2:$D2968,$D2968)&gt;1,"Trùng",""))</f>
        <v/>
      </c>
      <c r="S2968" s="22">
        <f>IF($D2968="","",IF(AND(LEN($D2968)=10,LEFT($D2968,1)="0",ISNUMBER(--$D2968)),"Có","Không"))</f>
        <v/>
      </c>
      <c r="T2968" s="22">
        <f>IF($D2968="","",IF(AND($C2968&lt;&gt;"",$Q2968="Có",$R2968="",$S2968="Có",AND($L2968&lt;&gt;"",OR($L2968&lt;&gt;"Chưa xác định",DANH_MUC!$L$9="Có"))),"Có","Không"))</f>
        <v/>
      </c>
      <c r="U2968" s="22">
        <f>IF(OR($D2968="",$T2968="Có"),"",IF($C2968="","Thiếu họ tên; ","")&amp;IF($S2968&lt;&gt;"Có","SĐT sai định dạng; ","")&amp;IF($R2968="Trùng","Trùng SĐT; ","")&amp;IF($Q2968&lt;&gt;"Có","Thiếu đồng ý bắt buộc; ","")&amp;IF($L2968="","Thiếu/sai Mã REF; ",IF(AND($L2968="Chưa xác định",DANH_MUC!$L$9&lt;&gt;"Có"),"Nguồn chưa xác định; ","")))</f>
        <v/>
      </c>
      <c r="V2968" s="22">
        <f>IF(OR($D2968="",$R2968="Trùng"),"",IF(COUNTIF(ORDERS!$C$2:$C$4995,$D2968)&gt;0,"Có","Không"))</f>
        <v/>
      </c>
      <c r="W2968" s="22">
        <f>IF(OR($D2968="",$R2968="Trùng"),"",COUNTIFS(ORDERS!$C$2:$C$4995,$D2968,ORDERS!$L$2:$L$4995,"Đã chuyển khoản"))</f>
        <v/>
      </c>
      <c r="X2968" s="23">
        <f>IF(OR($D2968="",$R2968="Trùng"),"",SUMIFS(ORDERS!$J$2:$J$4995,ORDERS!$C$2:$C$4995,$D2968,ORDERS!$L$2:$L$4995,"Đã chuyển khoản"))</f>
        <v/>
      </c>
      <c r="Y2968" s="24" t="n"/>
    </row>
    <row r="2969" ht="14.25" customHeight="1" s="40">
      <c r="A2969" s="24" t="n"/>
      <c r="B2969" s="27" t="n"/>
      <c r="C2969" s="24" t="n"/>
      <c r="D2969" s="28" t="n"/>
      <c r="E2969" s="29" t="n"/>
      <c r="F2969" s="24" t="n"/>
      <c r="G2969" s="24" t="n"/>
      <c r="H2969" s="21">
        <f>IF(ISNUMBER($B2969),INT($B2969)-WEEKDAY($B2969,2)+1,"")</f>
        <v/>
      </c>
      <c r="I2969" s="24" t="n"/>
      <c r="J2969" s="22">
        <f t="array" ref="J2969">IF($D2969="","",IF($I2969="","(trống REF)",IFERROR(INDEX(MASTER_SOURCE!$B$2:$B$495,MATCH($I2969,MASTER_SOURCE!$A$2:$A$495,0)),"(REF không có trong MASTER_SOURCE)")))</f>
        <v/>
      </c>
      <c r="K2969" s="22">
        <f t="array" ref="K2969">IF($D2969="","",IFERROR(INDEX(MASTER_SOURCE!$C$2:$C$495,MATCH($I2969,MASTER_SOURCE!$A$2:$A$495,0)),""))</f>
        <v/>
      </c>
      <c r="L2969" s="22">
        <f t="array" ref="L2969">IF($D2969="","",IFERROR(INDEX(MASTER_SOURCE!$D$2:$D$495,MATCH($I2969,MASTER_SOURCE!$A$2:$A$495,0)),""))</f>
        <v/>
      </c>
      <c r="M2969" s="24" t="n"/>
      <c r="N2969" s="24" t="n"/>
      <c r="O2969" s="24" t="n"/>
      <c r="P2969" s="24" t="n"/>
      <c r="Q2969" s="22">
        <f>IF($D2969="","",IF(AND(OR(DANH_MUC!$L$5&lt;&gt;"Có",M2969="Có"),OR(DANH_MUC!$L$6&lt;&gt;"Có",N2969="Có"),OR(DANH_MUC!$L$7&lt;&gt;"Có",O2969="Có"),OR(DANH_MUC!$L$8&lt;&gt;"Có",P2969="Có")),"Có","Không"))</f>
        <v/>
      </c>
      <c r="R2969" s="22">
        <f>IF($D2969="","",IF(COUNTIF($D$2:$D2969,$D2969)&gt;1,"Trùng",""))</f>
        <v/>
      </c>
      <c r="S2969" s="22">
        <f>IF($D2969="","",IF(AND(LEN($D2969)=10,LEFT($D2969,1)="0",ISNUMBER(--$D2969)),"Có","Không"))</f>
        <v/>
      </c>
      <c r="T2969" s="22">
        <f>IF($D2969="","",IF(AND($C2969&lt;&gt;"",$Q2969="Có",$R2969="",$S2969="Có",AND($L2969&lt;&gt;"",OR($L2969&lt;&gt;"Chưa xác định",DANH_MUC!$L$9="Có"))),"Có","Không"))</f>
        <v/>
      </c>
      <c r="U2969" s="22">
        <f>IF(OR($D2969="",$T2969="Có"),"",IF($C2969="","Thiếu họ tên; ","")&amp;IF($S2969&lt;&gt;"Có","SĐT sai định dạng; ","")&amp;IF($R2969="Trùng","Trùng SĐT; ","")&amp;IF($Q2969&lt;&gt;"Có","Thiếu đồng ý bắt buộc; ","")&amp;IF($L2969="","Thiếu/sai Mã REF; ",IF(AND($L2969="Chưa xác định",DANH_MUC!$L$9&lt;&gt;"Có"),"Nguồn chưa xác định; ","")))</f>
        <v/>
      </c>
      <c r="V2969" s="22">
        <f>IF(OR($D2969="",$R2969="Trùng"),"",IF(COUNTIF(ORDERS!$C$2:$C$4995,$D2969)&gt;0,"Có","Không"))</f>
        <v/>
      </c>
      <c r="W2969" s="22">
        <f>IF(OR($D2969="",$R2969="Trùng"),"",COUNTIFS(ORDERS!$C$2:$C$4995,$D2969,ORDERS!$L$2:$L$4995,"Đã chuyển khoản"))</f>
        <v/>
      </c>
      <c r="X2969" s="23">
        <f>IF(OR($D2969="",$R2969="Trùng"),"",SUMIFS(ORDERS!$J$2:$J$4995,ORDERS!$C$2:$C$4995,$D2969,ORDERS!$L$2:$L$4995,"Đã chuyển khoản"))</f>
        <v/>
      </c>
      <c r="Y2969" s="24" t="n"/>
    </row>
    <row r="2970" ht="14.25" customHeight="1" s="40">
      <c r="A2970" s="24" t="n"/>
      <c r="B2970" s="27" t="n"/>
      <c r="C2970" s="24" t="n"/>
      <c r="D2970" s="28" t="n"/>
      <c r="E2970" s="29" t="n"/>
      <c r="F2970" s="24" t="n"/>
      <c r="G2970" s="24" t="n"/>
      <c r="H2970" s="21">
        <f>IF(ISNUMBER($B2970),INT($B2970)-WEEKDAY($B2970,2)+1,"")</f>
        <v/>
      </c>
      <c r="I2970" s="24" t="n"/>
      <c r="J2970" s="22">
        <f t="array" ref="J2970">IF($D2970="","",IF($I2970="","(trống REF)",IFERROR(INDEX(MASTER_SOURCE!$B$2:$B$495,MATCH($I2970,MASTER_SOURCE!$A$2:$A$495,0)),"(REF không có trong MASTER_SOURCE)")))</f>
        <v/>
      </c>
      <c r="K2970" s="22">
        <f t="array" ref="K2970">IF($D2970="","",IFERROR(INDEX(MASTER_SOURCE!$C$2:$C$495,MATCH($I2970,MASTER_SOURCE!$A$2:$A$495,0)),""))</f>
        <v/>
      </c>
      <c r="L2970" s="22">
        <f t="array" ref="L2970">IF($D2970="","",IFERROR(INDEX(MASTER_SOURCE!$D$2:$D$495,MATCH($I2970,MASTER_SOURCE!$A$2:$A$495,0)),""))</f>
        <v/>
      </c>
      <c r="M2970" s="24" t="n"/>
      <c r="N2970" s="24" t="n"/>
      <c r="O2970" s="24" t="n"/>
      <c r="P2970" s="24" t="n"/>
      <c r="Q2970" s="22">
        <f>IF($D2970="","",IF(AND(OR(DANH_MUC!$L$5&lt;&gt;"Có",M2970="Có"),OR(DANH_MUC!$L$6&lt;&gt;"Có",N2970="Có"),OR(DANH_MUC!$L$7&lt;&gt;"Có",O2970="Có"),OR(DANH_MUC!$L$8&lt;&gt;"Có",P2970="Có")),"Có","Không"))</f>
        <v/>
      </c>
      <c r="R2970" s="22">
        <f>IF($D2970="","",IF(COUNTIF($D$2:$D2970,$D2970)&gt;1,"Trùng",""))</f>
        <v/>
      </c>
      <c r="S2970" s="22">
        <f>IF($D2970="","",IF(AND(LEN($D2970)=10,LEFT($D2970,1)="0",ISNUMBER(--$D2970)),"Có","Không"))</f>
        <v/>
      </c>
      <c r="T2970" s="22">
        <f>IF($D2970="","",IF(AND($C2970&lt;&gt;"",$Q2970="Có",$R2970="",$S2970="Có",AND($L2970&lt;&gt;"",OR($L2970&lt;&gt;"Chưa xác định",DANH_MUC!$L$9="Có"))),"Có","Không"))</f>
        <v/>
      </c>
      <c r="U2970" s="22">
        <f>IF(OR($D2970="",$T2970="Có"),"",IF($C2970="","Thiếu họ tên; ","")&amp;IF($S2970&lt;&gt;"Có","SĐT sai định dạng; ","")&amp;IF($R2970="Trùng","Trùng SĐT; ","")&amp;IF($Q2970&lt;&gt;"Có","Thiếu đồng ý bắt buộc; ","")&amp;IF($L2970="","Thiếu/sai Mã REF; ",IF(AND($L2970="Chưa xác định",DANH_MUC!$L$9&lt;&gt;"Có"),"Nguồn chưa xác định; ","")))</f>
        <v/>
      </c>
      <c r="V2970" s="22">
        <f>IF(OR($D2970="",$R2970="Trùng"),"",IF(COUNTIF(ORDERS!$C$2:$C$4995,$D2970)&gt;0,"Có","Không"))</f>
        <v/>
      </c>
      <c r="W2970" s="22">
        <f>IF(OR($D2970="",$R2970="Trùng"),"",COUNTIFS(ORDERS!$C$2:$C$4995,$D2970,ORDERS!$L$2:$L$4995,"Đã chuyển khoản"))</f>
        <v/>
      </c>
      <c r="X2970" s="23">
        <f>IF(OR($D2970="",$R2970="Trùng"),"",SUMIFS(ORDERS!$J$2:$J$4995,ORDERS!$C$2:$C$4995,$D2970,ORDERS!$L$2:$L$4995,"Đã chuyển khoản"))</f>
        <v/>
      </c>
      <c r="Y2970" s="24" t="n"/>
    </row>
    <row r="2971" ht="14.25" customHeight="1" s="40">
      <c r="A2971" s="24" t="n"/>
      <c r="B2971" s="27" t="n"/>
      <c r="C2971" s="24" t="n"/>
      <c r="D2971" s="28" t="n"/>
      <c r="E2971" s="29" t="n"/>
      <c r="F2971" s="24" t="n"/>
      <c r="G2971" s="24" t="n"/>
      <c r="H2971" s="21">
        <f>IF(ISNUMBER($B2971),INT($B2971)-WEEKDAY($B2971,2)+1,"")</f>
        <v/>
      </c>
      <c r="I2971" s="24" t="n"/>
      <c r="J2971" s="22">
        <f t="array" ref="J2971">IF($D2971="","",IF($I2971="","(trống REF)",IFERROR(INDEX(MASTER_SOURCE!$B$2:$B$495,MATCH($I2971,MASTER_SOURCE!$A$2:$A$495,0)),"(REF không có trong MASTER_SOURCE)")))</f>
        <v/>
      </c>
      <c r="K2971" s="22">
        <f t="array" ref="K2971">IF($D2971="","",IFERROR(INDEX(MASTER_SOURCE!$C$2:$C$495,MATCH($I2971,MASTER_SOURCE!$A$2:$A$495,0)),""))</f>
        <v/>
      </c>
      <c r="L2971" s="22">
        <f t="array" ref="L2971">IF($D2971="","",IFERROR(INDEX(MASTER_SOURCE!$D$2:$D$495,MATCH($I2971,MASTER_SOURCE!$A$2:$A$495,0)),""))</f>
        <v/>
      </c>
      <c r="M2971" s="24" t="n"/>
      <c r="N2971" s="24" t="n"/>
      <c r="O2971" s="24" t="n"/>
      <c r="P2971" s="24" t="n"/>
      <c r="Q2971" s="22">
        <f>IF($D2971="","",IF(AND(OR(DANH_MUC!$L$5&lt;&gt;"Có",M2971="Có"),OR(DANH_MUC!$L$6&lt;&gt;"Có",N2971="Có"),OR(DANH_MUC!$L$7&lt;&gt;"Có",O2971="Có"),OR(DANH_MUC!$L$8&lt;&gt;"Có",P2971="Có")),"Có","Không"))</f>
        <v/>
      </c>
      <c r="R2971" s="22">
        <f>IF($D2971="","",IF(COUNTIF($D$2:$D2971,$D2971)&gt;1,"Trùng",""))</f>
        <v/>
      </c>
      <c r="S2971" s="22">
        <f>IF($D2971="","",IF(AND(LEN($D2971)=10,LEFT($D2971,1)="0",ISNUMBER(--$D2971)),"Có","Không"))</f>
        <v/>
      </c>
      <c r="T2971" s="22">
        <f>IF($D2971="","",IF(AND($C2971&lt;&gt;"",$Q2971="Có",$R2971="",$S2971="Có",AND($L2971&lt;&gt;"",OR($L2971&lt;&gt;"Chưa xác định",DANH_MUC!$L$9="Có"))),"Có","Không"))</f>
        <v/>
      </c>
      <c r="U2971" s="22">
        <f>IF(OR($D2971="",$T2971="Có"),"",IF($C2971="","Thiếu họ tên; ","")&amp;IF($S2971&lt;&gt;"Có","SĐT sai định dạng; ","")&amp;IF($R2971="Trùng","Trùng SĐT; ","")&amp;IF($Q2971&lt;&gt;"Có","Thiếu đồng ý bắt buộc; ","")&amp;IF($L2971="","Thiếu/sai Mã REF; ",IF(AND($L2971="Chưa xác định",DANH_MUC!$L$9&lt;&gt;"Có"),"Nguồn chưa xác định; ","")))</f>
        <v/>
      </c>
      <c r="V2971" s="22">
        <f>IF(OR($D2971="",$R2971="Trùng"),"",IF(COUNTIF(ORDERS!$C$2:$C$4995,$D2971)&gt;0,"Có","Không"))</f>
        <v/>
      </c>
      <c r="W2971" s="22">
        <f>IF(OR($D2971="",$R2971="Trùng"),"",COUNTIFS(ORDERS!$C$2:$C$4995,$D2971,ORDERS!$L$2:$L$4995,"Đã chuyển khoản"))</f>
        <v/>
      </c>
      <c r="X2971" s="23">
        <f>IF(OR($D2971="",$R2971="Trùng"),"",SUMIFS(ORDERS!$J$2:$J$4995,ORDERS!$C$2:$C$4995,$D2971,ORDERS!$L$2:$L$4995,"Đã chuyển khoản"))</f>
        <v/>
      </c>
      <c r="Y2971" s="24" t="n"/>
    </row>
    <row r="2972" ht="14.25" customHeight="1" s="40">
      <c r="A2972" s="24" t="n"/>
      <c r="B2972" s="27" t="n"/>
      <c r="C2972" s="24" t="n"/>
      <c r="D2972" s="28" t="n"/>
      <c r="E2972" s="29" t="n"/>
      <c r="F2972" s="24" t="n"/>
      <c r="G2972" s="24" t="n"/>
      <c r="H2972" s="21">
        <f>IF(ISNUMBER($B2972),INT($B2972)-WEEKDAY($B2972,2)+1,"")</f>
        <v/>
      </c>
      <c r="I2972" s="24" t="n"/>
      <c r="J2972" s="22">
        <f t="array" ref="J2972">IF($D2972="","",IF($I2972="","(trống REF)",IFERROR(INDEX(MASTER_SOURCE!$B$2:$B$495,MATCH($I2972,MASTER_SOURCE!$A$2:$A$495,0)),"(REF không có trong MASTER_SOURCE)")))</f>
        <v/>
      </c>
      <c r="K2972" s="22">
        <f t="array" ref="K2972">IF($D2972="","",IFERROR(INDEX(MASTER_SOURCE!$C$2:$C$495,MATCH($I2972,MASTER_SOURCE!$A$2:$A$495,0)),""))</f>
        <v/>
      </c>
      <c r="L2972" s="22">
        <f t="array" ref="L2972">IF($D2972="","",IFERROR(INDEX(MASTER_SOURCE!$D$2:$D$495,MATCH($I2972,MASTER_SOURCE!$A$2:$A$495,0)),""))</f>
        <v/>
      </c>
      <c r="M2972" s="24" t="n"/>
      <c r="N2972" s="24" t="n"/>
      <c r="O2972" s="24" t="n"/>
      <c r="P2972" s="24" t="n"/>
      <c r="Q2972" s="22">
        <f>IF($D2972="","",IF(AND(OR(DANH_MUC!$L$5&lt;&gt;"Có",M2972="Có"),OR(DANH_MUC!$L$6&lt;&gt;"Có",N2972="Có"),OR(DANH_MUC!$L$7&lt;&gt;"Có",O2972="Có"),OR(DANH_MUC!$L$8&lt;&gt;"Có",P2972="Có")),"Có","Không"))</f>
        <v/>
      </c>
      <c r="R2972" s="22">
        <f>IF($D2972="","",IF(COUNTIF($D$2:$D2972,$D2972)&gt;1,"Trùng",""))</f>
        <v/>
      </c>
      <c r="S2972" s="22">
        <f>IF($D2972="","",IF(AND(LEN($D2972)=10,LEFT($D2972,1)="0",ISNUMBER(--$D2972)),"Có","Không"))</f>
        <v/>
      </c>
      <c r="T2972" s="22">
        <f>IF($D2972="","",IF(AND($C2972&lt;&gt;"",$Q2972="Có",$R2972="",$S2972="Có",AND($L2972&lt;&gt;"",OR($L2972&lt;&gt;"Chưa xác định",DANH_MUC!$L$9="Có"))),"Có","Không"))</f>
        <v/>
      </c>
      <c r="U2972" s="22">
        <f>IF(OR($D2972="",$T2972="Có"),"",IF($C2972="","Thiếu họ tên; ","")&amp;IF($S2972&lt;&gt;"Có","SĐT sai định dạng; ","")&amp;IF($R2972="Trùng","Trùng SĐT; ","")&amp;IF($Q2972&lt;&gt;"Có","Thiếu đồng ý bắt buộc; ","")&amp;IF($L2972="","Thiếu/sai Mã REF; ",IF(AND($L2972="Chưa xác định",DANH_MUC!$L$9&lt;&gt;"Có"),"Nguồn chưa xác định; ","")))</f>
        <v/>
      </c>
      <c r="V2972" s="22">
        <f>IF(OR($D2972="",$R2972="Trùng"),"",IF(COUNTIF(ORDERS!$C$2:$C$4995,$D2972)&gt;0,"Có","Không"))</f>
        <v/>
      </c>
      <c r="W2972" s="22">
        <f>IF(OR($D2972="",$R2972="Trùng"),"",COUNTIFS(ORDERS!$C$2:$C$4995,$D2972,ORDERS!$L$2:$L$4995,"Đã chuyển khoản"))</f>
        <v/>
      </c>
      <c r="X2972" s="23">
        <f>IF(OR($D2972="",$R2972="Trùng"),"",SUMIFS(ORDERS!$J$2:$J$4995,ORDERS!$C$2:$C$4995,$D2972,ORDERS!$L$2:$L$4995,"Đã chuyển khoản"))</f>
        <v/>
      </c>
      <c r="Y2972" s="24" t="n"/>
    </row>
    <row r="2973" ht="14.25" customHeight="1" s="40">
      <c r="A2973" s="24" t="n"/>
      <c r="B2973" s="27" t="n"/>
      <c r="C2973" s="24" t="n"/>
      <c r="D2973" s="28" t="n"/>
      <c r="E2973" s="29" t="n"/>
      <c r="F2973" s="24" t="n"/>
      <c r="G2973" s="24" t="n"/>
      <c r="H2973" s="21">
        <f>IF(ISNUMBER($B2973),INT($B2973)-WEEKDAY($B2973,2)+1,"")</f>
        <v/>
      </c>
      <c r="I2973" s="24" t="n"/>
      <c r="J2973" s="22">
        <f t="array" ref="J2973">IF($D2973="","",IF($I2973="","(trống REF)",IFERROR(INDEX(MASTER_SOURCE!$B$2:$B$495,MATCH($I2973,MASTER_SOURCE!$A$2:$A$495,0)),"(REF không có trong MASTER_SOURCE)")))</f>
        <v/>
      </c>
      <c r="K2973" s="22">
        <f t="array" ref="K2973">IF($D2973="","",IFERROR(INDEX(MASTER_SOURCE!$C$2:$C$495,MATCH($I2973,MASTER_SOURCE!$A$2:$A$495,0)),""))</f>
        <v/>
      </c>
      <c r="L2973" s="22">
        <f t="array" ref="L2973">IF($D2973="","",IFERROR(INDEX(MASTER_SOURCE!$D$2:$D$495,MATCH($I2973,MASTER_SOURCE!$A$2:$A$495,0)),""))</f>
        <v/>
      </c>
      <c r="M2973" s="24" t="n"/>
      <c r="N2973" s="24" t="n"/>
      <c r="O2973" s="24" t="n"/>
      <c r="P2973" s="24" t="n"/>
      <c r="Q2973" s="22">
        <f>IF($D2973="","",IF(AND(OR(DANH_MUC!$L$5&lt;&gt;"Có",M2973="Có"),OR(DANH_MUC!$L$6&lt;&gt;"Có",N2973="Có"),OR(DANH_MUC!$L$7&lt;&gt;"Có",O2973="Có"),OR(DANH_MUC!$L$8&lt;&gt;"Có",P2973="Có")),"Có","Không"))</f>
        <v/>
      </c>
      <c r="R2973" s="22">
        <f>IF($D2973="","",IF(COUNTIF($D$2:$D2973,$D2973)&gt;1,"Trùng",""))</f>
        <v/>
      </c>
      <c r="S2973" s="22">
        <f>IF($D2973="","",IF(AND(LEN($D2973)=10,LEFT($D2973,1)="0",ISNUMBER(--$D2973)),"Có","Không"))</f>
        <v/>
      </c>
      <c r="T2973" s="22">
        <f>IF($D2973="","",IF(AND($C2973&lt;&gt;"",$Q2973="Có",$R2973="",$S2973="Có",AND($L2973&lt;&gt;"",OR($L2973&lt;&gt;"Chưa xác định",DANH_MUC!$L$9="Có"))),"Có","Không"))</f>
        <v/>
      </c>
      <c r="U2973" s="22">
        <f>IF(OR($D2973="",$T2973="Có"),"",IF($C2973="","Thiếu họ tên; ","")&amp;IF($S2973&lt;&gt;"Có","SĐT sai định dạng; ","")&amp;IF($R2973="Trùng","Trùng SĐT; ","")&amp;IF($Q2973&lt;&gt;"Có","Thiếu đồng ý bắt buộc; ","")&amp;IF($L2973="","Thiếu/sai Mã REF; ",IF(AND($L2973="Chưa xác định",DANH_MUC!$L$9&lt;&gt;"Có"),"Nguồn chưa xác định; ","")))</f>
        <v/>
      </c>
      <c r="V2973" s="22">
        <f>IF(OR($D2973="",$R2973="Trùng"),"",IF(COUNTIF(ORDERS!$C$2:$C$4995,$D2973)&gt;0,"Có","Không"))</f>
        <v/>
      </c>
      <c r="W2973" s="22">
        <f>IF(OR($D2973="",$R2973="Trùng"),"",COUNTIFS(ORDERS!$C$2:$C$4995,$D2973,ORDERS!$L$2:$L$4995,"Đã chuyển khoản"))</f>
        <v/>
      </c>
      <c r="X2973" s="23">
        <f>IF(OR($D2973="",$R2973="Trùng"),"",SUMIFS(ORDERS!$J$2:$J$4995,ORDERS!$C$2:$C$4995,$D2973,ORDERS!$L$2:$L$4995,"Đã chuyển khoản"))</f>
        <v/>
      </c>
      <c r="Y2973" s="24" t="n"/>
    </row>
    <row r="2974" ht="14.25" customHeight="1" s="40">
      <c r="A2974" s="24" t="n"/>
      <c r="B2974" s="27" t="n"/>
      <c r="C2974" s="24" t="n"/>
      <c r="D2974" s="28" t="n"/>
      <c r="E2974" s="29" t="n"/>
      <c r="F2974" s="24" t="n"/>
      <c r="G2974" s="24" t="n"/>
      <c r="H2974" s="21">
        <f>IF(ISNUMBER($B2974),INT($B2974)-WEEKDAY($B2974,2)+1,"")</f>
        <v/>
      </c>
      <c r="I2974" s="24" t="n"/>
      <c r="J2974" s="22">
        <f t="array" ref="J2974">IF($D2974="","",IF($I2974="","(trống REF)",IFERROR(INDEX(MASTER_SOURCE!$B$2:$B$495,MATCH($I2974,MASTER_SOURCE!$A$2:$A$495,0)),"(REF không có trong MASTER_SOURCE)")))</f>
        <v/>
      </c>
      <c r="K2974" s="22">
        <f t="array" ref="K2974">IF($D2974="","",IFERROR(INDEX(MASTER_SOURCE!$C$2:$C$495,MATCH($I2974,MASTER_SOURCE!$A$2:$A$495,0)),""))</f>
        <v/>
      </c>
      <c r="L2974" s="22">
        <f t="array" ref="L2974">IF($D2974="","",IFERROR(INDEX(MASTER_SOURCE!$D$2:$D$495,MATCH($I2974,MASTER_SOURCE!$A$2:$A$495,0)),""))</f>
        <v/>
      </c>
      <c r="M2974" s="24" t="n"/>
      <c r="N2974" s="24" t="n"/>
      <c r="O2974" s="24" t="n"/>
      <c r="P2974" s="24" t="n"/>
      <c r="Q2974" s="22">
        <f>IF($D2974="","",IF(AND(OR(DANH_MUC!$L$5&lt;&gt;"Có",M2974="Có"),OR(DANH_MUC!$L$6&lt;&gt;"Có",N2974="Có"),OR(DANH_MUC!$L$7&lt;&gt;"Có",O2974="Có"),OR(DANH_MUC!$L$8&lt;&gt;"Có",P2974="Có")),"Có","Không"))</f>
        <v/>
      </c>
      <c r="R2974" s="22">
        <f>IF($D2974="","",IF(COUNTIF($D$2:$D2974,$D2974)&gt;1,"Trùng",""))</f>
        <v/>
      </c>
      <c r="S2974" s="22">
        <f>IF($D2974="","",IF(AND(LEN($D2974)=10,LEFT($D2974,1)="0",ISNUMBER(--$D2974)),"Có","Không"))</f>
        <v/>
      </c>
      <c r="T2974" s="22">
        <f>IF($D2974="","",IF(AND($C2974&lt;&gt;"",$Q2974="Có",$R2974="",$S2974="Có",AND($L2974&lt;&gt;"",OR($L2974&lt;&gt;"Chưa xác định",DANH_MUC!$L$9="Có"))),"Có","Không"))</f>
        <v/>
      </c>
      <c r="U2974" s="22">
        <f>IF(OR($D2974="",$T2974="Có"),"",IF($C2974="","Thiếu họ tên; ","")&amp;IF($S2974&lt;&gt;"Có","SĐT sai định dạng; ","")&amp;IF($R2974="Trùng","Trùng SĐT; ","")&amp;IF($Q2974&lt;&gt;"Có","Thiếu đồng ý bắt buộc; ","")&amp;IF($L2974="","Thiếu/sai Mã REF; ",IF(AND($L2974="Chưa xác định",DANH_MUC!$L$9&lt;&gt;"Có"),"Nguồn chưa xác định; ","")))</f>
        <v/>
      </c>
      <c r="V2974" s="22">
        <f>IF(OR($D2974="",$R2974="Trùng"),"",IF(COUNTIF(ORDERS!$C$2:$C$4995,$D2974)&gt;0,"Có","Không"))</f>
        <v/>
      </c>
      <c r="W2974" s="22">
        <f>IF(OR($D2974="",$R2974="Trùng"),"",COUNTIFS(ORDERS!$C$2:$C$4995,$D2974,ORDERS!$L$2:$L$4995,"Đã chuyển khoản"))</f>
        <v/>
      </c>
      <c r="X2974" s="23">
        <f>IF(OR($D2974="",$R2974="Trùng"),"",SUMIFS(ORDERS!$J$2:$J$4995,ORDERS!$C$2:$C$4995,$D2974,ORDERS!$L$2:$L$4995,"Đã chuyển khoản"))</f>
        <v/>
      </c>
      <c r="Y2974" s="24" t="n"/>
    </row>
    <row r="2975" ht="14.25" customHeight="1" s="40">
      <c r="A2975" s="24" t="n"/>
      <c r="B2975" s="27" t="n"/>
      <c r="C2975" s="24" t="n"/>
      <c r="D2975" s="28" t="n"/>
      <c r="E2975" s="29" t="n"/>
      <c r="F2975" s="24" t="n"/>
      <c r="G2975" s="24" t="n"/>
      <c r="H2975" s="21">
        <f>IF(ISNUMBER($B2975),INT($B2975)-WEEKDAY($B2975,2)+1,"")</f>
        <v/>
      </c>
      <c r="I2975" s="24" t="n"/>
      <c r="J2975" s="22">
        <f t="array" ref="J2975">IF($D2975="","",IF($I2975="","(trống REF)",IFERROR(INDEX(MASTER_SOURCE!$B$2:$B$495,MATCH($I2975,MASTER_SOURCE!$A$2:$A$495,0)),"(REF không có trong MASTER_SOURCE)")))</f>
        <v/>
      </c>
      <c r="K2975" s="22">
        <f t="array" ref="K2975">IF($D2975="","",IFERROR(INDEX(MASTER_SOURCE!$C$2:$C$495,MATCH($I2975,MASTER_SOURCE!$A$2:$A$495,0)),""))</f>
        <v/>
      </c>
      <c r="L2975" s="22">
        <f t="array" ref="L2975">IF($D2975="","",IFERROR(INDEX(MASTER_SOURCE!$D$2:$D$495,MATCH($I2975,MASTER_SOURCE!$A$2:$A$495,0)),""))</f>
        <v/>
      </c>
      <c r="M2975" s="24" t="n"/>
      <c r="N2975" s="24" t="n"/>
      <c r="O2975" s="24" t="n"/>
      <c r="P2975" s="24" t="n"/>
      <c r="Q2975" s="22">
        <f>IF($D2975="","",IF(AND(OR(DANH_MUC!$L$5&lt;&gt;"Có",M2975="Có"),OR(DANH_MUC!$L$6&lt;&gt;"Có",N2975="Có"),OR(DANH_MUC!$L$7&lt;&gt;"Có",O2975="Có"),OR(DANH_MUC!$L$8&lt;&gt;"Có",P2975="Có")),"Có","Không"))</f>
        <v/>
      </c>
      <c r="R2975" s="22">
        <f>IF($D2975="","",IF(COUNTIF($D$2:$D2975,$D2975)&gt;1,"Trùng",""))</f>
        <v/>
      </c>
      <c r="S2975" s="22">
        <f>IF($D2975="","",IF(AND(LEN($D2975)=10,LEFT($D2975,1)="0",ISNUMBER(--$D2975)),"Có","Không"))</f>
        <v/>
      </c>
      <c r="T2975" s="22">
        <f>IF($D2975="","",IF(AND($C2975&lt;&gt;"",$Q2975="Có",$R2975="",$S2975="Có",AND($L2975&lt;&gt;"",OR($L2975&lt;&gt;"Chưa xác định",DANH_MUC!$L$9="Có"))),"Có","Không"))</f>
        <v/>
      </c>
      <c r="U2975" s="22">
        <f>IF(OR($D2975="",$T2975="Có"),"",IF($C2975="","Thiếu họ tên; ","")&amp;IF($S2975&lt;&gt;"Có","SĐT sai định dạng; ","")&amp;IF($R2975="Trùng","Trùng SĐT; ","")&amp;IF($Q2975&lt;&gt;"Có","Thiếu đồng ý bắt buộc; ","")&amp;IF($L2975="","Thiếu/sai Mã REF; ",IF(AND($L2975="Chưa xác định",DANH_MUC!$L$9&lt;&gt;"Có"),"Nguồn chưa xác định; ","")))</f>
        <v/>
      </c>
      <c r="V2975" s="22">
        <f>IF(OR($D2975="",$R2975="Trùng"),"",IF(COUNTIF(ORDERS!$C$2:$C$4995,$D2975)&gt;0,"Có","Không"))</f>
        <v/>
      </c>
      <c r="W2975" s="22">
        <f>IF(OR($D2975="",$R2975="Trùng"),"",COUNTIFS(ORDERS!$C$2:$C$4995,$D2975,ORDERS!$L$2:$L$4995,"Đã chuyển khoản"))</f>
        <v/>
      </c>
      <c r="X2975" s="23">
        <f>IF(OR($D2975="",$R2975="Trùng"),"",SUMIFS(ORDERS!$J$2:$J$4995,ORDERS!$C$2:$C$4995,$D2975,ORDERS!$L$2:$L$4995,"Đã chuyển khoản"))</f>
        <v/>
      </c>
      <c r="Y2975" s="24" t="n"/>
    </row>
    <row r="2976" ht="14.25" customHeight="1" s="40">
      <c r="A2976" s="24" t="n"/>
      <c r="B2976" s="27" t="n"/>
      <c r="C2976" s="24" t="n"/>
      <c r="D2976" s="28" t="n"/>
      <c r="E2976" s="29" t="n"/>
      <c r="F2976" s="24" t="n"/>
      <c r="G2976" s="24" t="n"/>
      <c r="H2976" s="21">
        <f>IF(ISNUMBER($B2976),INT($B2976)-WEEKDAY($B2976,2)+1,"")</f>
        <v/>
      </c>
      <c r="I2976" s="24" t="n"/>
      <c r="J2976" s="22">
        <f t="array" ref="J2976">IF($D2976="","",IF($I2976="","(trống REF)",IFERROR(INDEX(MASTER_SOURCE!$B$2:$B$495,MATCH($I2976,MASTER_SOURCE!$A$2:$A$495,0)),"(REF không có trong MASTER_SOURCE)")))</f>
        <v/>
      </c>
      <c r="K2976" s="22">
        <f t="array" ref="K2976">IF($D2976="","",IFERROR(INDEX(MASTER_SOURCE!$C$2:$C$495,MATCH($I2976,MASTER_SOURCE!$A$2:$A$495,0)),""))</f>
        <v/>
      </c>
      <c r="L2976" s="22">
        <f t="array" ref="L2976">IF($D2976="","",IFERROR(INDEX(MASTER_SOURCE!$D$2:$D$495,MATCH($I2976,MASTER_SOURCE!$A$2:$A$495,0)),""))</f>
        <v/>
      </c>
      <c r="M2976" s="24" t="n"/>
      <c r="N2976" s="24" t="n"/>
      <c r="O2976" s="24" t="n"/>
      <c r="P2976" s="24" t="n"/>
      <c r="Q2976" s="22">
        <f>IF($D2976="","",IF(AND(OR(DANH_MUC!$L$5&lt;&gt;"Có",M2976="Có"),OR(DANH_MUC!$L$6&lt;&gt;"Có",N2976="Có"),OR(DANH_MUC!$L$7&lt;&gt;"Có",O2976="Có"),OR(DANH_MUC!$L$8&lt;&gt;"Có",P2976="Có")),"Có","Không"))</f>
        <v/>
      </c>
      <c r="R2976" s="22">
        <f>IF($D2976="","",IF(COUNTIF($D$2:$D2976,$D2976)&gt;1,"Trùng",""))</f>
        <v/>
      </c>
      <c r="S2976" s="22">
        <f>IF($D2976="","",IF(AND(LEN($D2976)=10,LEFT($D2976,1)="0",ISNUMBER(--$D2976)),"Có","Không"))</f>
        <v/>
      </c>
      <c r="T2976" s="22">
        <f>IF($D2976="","",IF(AND($C2976&lt;&gt;"",$Q2976="Có",$R2976="",$S2976="Có",AND($L2976&lt;&gt;"",OR($L2976&lt;&gt;"Chưa xác định",DANH_MUC!$L$9="Có"))),"Có","Không"))</f>
        <v/>
      </c>
      <c r="U2976" s="22">
        <f>IF(OR($D2976="",$T2976="Có"),"",IF($C2976="","Thiếu họ tên; ","")&amp;IF($S2976&lt;&gt;"Có","SĐT sai định dạng; ","")&amp;IF($R2976="Trùng","Trùng SĐT; ","")&amp;IF($Q2976&lt;&gt;"Có","Thiếu đồng ý bắt buộc; ","")&amp;IF($L2976="","Thiếu/sai Mã REF; ",IF(AND($L2976="Chưa xác định",DANH_MUC!$L$9&lt;&gt;"Có"),"Nguồn chưa xác định; ","")))</f>
        <v/>
      </c>
      <c r="V2976" s="22">
        <f>IF(OR($D2976="",$R2976="Trùng"),"",IF(COUNTIF(ORDERS!$C$2:$C$4995,$D2976)&gt;0,"Có","Không"))</f>
        <v/>
      </c>
      <c r="W2976" s="22">
        <f>IF(OR($D2976="",$R2976="Trùng"),"",COUNTIFS(ORDERS!$C$2:$C$4995,$D2976,ORDERS!$L$2:$L$4995,"Đã chuyển khoản"))</f>
        <v/>
      </c>
      <c r="X2976" s="23">
        <f>IF(OR($D2976="",$R2976="Trùng"),"",SUMIFS(ORDERS!$J$2:$J$4995,ORDERS!$C$2:$C$4995,$D2976,ORDERS!$L$2:$L$4995,"Đã chuyển khoản"))</f>
        <v/>
      </c>
      <c r="Y2976" s="24" t="n"/>
    </row>
    <row r="2977" ht="14.25" customHeight="1" s="40">
      <c r="A2977" s="24" t="n"/>
      <c r="B2977" s="27" t="n"/>
      <c r="C2977" s="24" t="n"/>
      <c r="D2977" s="28" t="n"/>
      <c r="E2977" s="29" t="n"/>
      <c r="F2977" s="24" t="n"/>
      <c r="G2977" s="24" t="n"/>
      <c r="H2977" s="21">
        <f>IF(ISNUMBER($B2977),INT($B2977)-WEEKDAY($B2977,2)+1,"")</f>
        <v/>
      </c>
      <c r="I2977" s="24" t="n"/>
      <c r="J2977" s="22">
        <f t="array" ref="J2977">IF($D2977="","",IF($I2977="","(trống REF)",IFERROR(INDEX(MASTER_SOURCE!$B$2:$B$495,MATCH($I2977,MASTER_SOURCE!$A$2:$A$495,0)),"(REF không có trong MASTER_SOURCE)")))</f>
        <v/>
      </c>
      <c r="K2977" s="22">
        <f t="array" ref="K2977">IF($D2977="","",IFERROR(INDEX(MASTER_SOURCE!$C$2:$C$495,MATCH($I2977,MASTER_SOURCE!$A$2:$A$495,0)),""))</f>
        <v/>
      </c>
      <c r="L2977" s="22">
        <f t="array" ref="L2977">IF($D2977="","",IFERROR(INDEX(MASTER_SOURCE!$D$2:$D$495,MATCH($I2977,MASTER_SOURCE!$A$2:$A$495,0)),""))</f>
        <v/>
      </c>
      <c r="M2977" s="24" t="n"/>
      <c r="N2977" s="24" t="n"/>
      <c r="O2977" s="24" t="n"/>
      <c r="P2977" s="24" t="n"/>
      <c r="Q2977" s="22">
        <f>IF($D2977="","",IF(AND(OR(DANH_MUC!$L$5&lt;&gt;"Có",M2977="Có"),OR(DANH_MUC!$L$6&lt;&gt;"Có",N2977="Có"),OR(DANH_MUC!$L$7&lt;&gt;"Có",O2977="Có"),OR(DANH_MUC!$L$8&lt;&gt;"Có",P2977="Có")),"Có","Không"))</f>
        <v/>
      </c>
      <c r="R2977" s="22">
        <f>IF($D2977="","",IF(COUNTIF($D$2:$D2977,$D2977)&gt;1,"Trùng",""))</f>
        <v/>
      </c>
      <c r="S2977" s="22">
        <f>IF($D2977="","",IF(AND(LEN($D2977)=10,LEFT($D2977,1)="0",ISNUMBER(--$D2977)),"Có","Không"))</f>
        <v/>
      </c>
      <c r="T2977" s="22">
        <f>IF($D2977="","",IF(AND($C2977&lt;&gt;"",$Q2977="Có",$R2977="",$S2977="Có",AND($L2977&lt;&gt;"",OR($L2977&lt;&gt;"Chưa xác định",DANH_MUC!$L$9="Có"))),"Có","Không"))</f>
        <v/>
      </c>
      <c r="U2977" s="22">
        <f>IF(OR($D2977="",$T2977="Có"),"",IF($C2977="","Thiếu họ tên; ","")&amp;IF($S2977&lt;&gt;"Có","SĐT sai định dạng; ","")&amp;IF($R2977="Trùng","Trùng SĐT; ","")&amp;IF($Q2977&lt;&gt;"Có","Thiếu đồng ý bắt buộc; ","")&amp;IF($L2977="","Thiếu/sai Mã REF; ",IF(AND($L2977="Chưa xác định",DANH_MUC!$L$9&lt;&gt;"Có"),"Nguồn chưa xác định; ","")))</f>
        <v/>
      </c>
      <c r="V2977" s="22">
        <f>IF(OR($D2977="",$R2977="Trùng"),"",IF(COUNTIF(ORDERS!$C$2:$C$4995,$D2977)&gt;0,"Có","Không"))</f>
        <v/>
      </c>
      <c r="W2977" s="22">
        <f>IF(OR($D2977="",$R2977="Trùng"),"",COUNTIFS(ORDERS!$C$2:$C$4995,$D2977,ORDERS!$L$2:$L$4995,"Đã chuyển khoản"))</f>
        <v/>
      </c>
      <c r="X2977" s="23">
        <f>IF(OR($D2977="",$R2977="Trùng"),"",SUMIFS(ORDERS!$J$2:$J$4995,ORDERS!$C$2:$C$4995,$D2977,ORDERS!$L$2:$L$4995,"Đã chuyển khoản"))</f>
        <v/>
      </c>
      <c r="Y2977" s="24" t="n"/>
    </row>
    <row r="2978" ht="14.25" customHeight="1" s="40">
      <c r="A2978" s="24" t="n"/>
      <c r="B2978" s="27" t="n"/>
      <c r="C2978" s="24" t="n"/>
      <c r="D2978" s="28" t="n"/>
      <c r="E2978" s="29" t="n"/>
      <c r="F2978" s="24" t="n"/>
      <c r="G2978" s="24" t="n"/>
      <c r="H2978" s="21">
        <f>IF(ISNUMBER($B2978),INT($B2978)-WEEKDAY($B2978,2)+1,"")</f>
        <v/>
      </c>
      <c r="I2978" s="24" t="n"/>
      <c r="J2978" s="22">
        <f t="array" ref="J2978">IF($D2978="","",IF($I2978="","(trống REF)",IFERROR(INDEX(MASTER_SOURCE!$B$2:$B$495,MATCH($I2978,MASTER_SOURCE!$A$2:$A$495,0)),"(REF không có trong MASTER_SOURCE)")))</f>
        <v/>
      </c>
      <c r="K2978" s="22">
        <f t="array" ref="K2978">IF($D2978="","",IFERROR(INDEX(MASTER_SOURCE!$C$2:$C$495,MATCH($I2978,MASTER_SOURCE!$A$2:$A$495,0)),""))</f>
        <v/>
      </c>
      <c r="L2978" s="22">
        <f t="array" ref="L2978">IF($D2978="","",IFERROR(INDEX(MASTER_SOURCE!$D$2:$D$495,MATCH($I2978,MASTER_SOURCE!$A$2:$A$495,0)),""))</f>
        <v/>
      </c>
      <c r="M2978" s="24" t="n"/>
      <c r="N2978" s="24" t="n"/>
      <c r="O2978" s="24" t="n"/>
      <c r="P2978" s="24" t="n"/>
      <c r="Q2978" s="22">
        <f>IF($D2978="","",IF(AND(OR(DANH_MUC!$L$5&lt;&gt;"Có",M2978="Có"),OR(DANH_MUC!$L$6&lt;&gt;"Có",N2978="Có"),OR(DANH_MUC!$L$7&lt;&gt;"Có",O2978="Có"),OR(DANH_MUC!$L$8&lt;&gt;"Có",P2978="Có")),"Có","Không"))</f>
        <v/>
      </c>
      <c r="R2978" s="22">
        <f>IF($D2978="","",IF(COUNTIF($D$2:$D2978,$D2978)&gt;1,"Trùng",""))</f>
        <v/>
      </c>
      <c r="S2978" s="22">
        <f>IF($D2978="","",IF(AND(LEN($D2978)=10,LEFT($D2978,1)="0",ISNUMBER(--$D2978)),"Có","Không"))</f>
        <v/>
      </c>
      <c r="T2978" s="22">
        <f>IF($D2978="","",IF(AND($C2978&lt;&gt;"",$Q2978="Có",$R2978="",$S2978="Có",AND($L2978&lt;&gt;"",OR($L2978&lt;&gt;"Chưa xác định",DANH_MUC!$L$9="Có"))),"Có","Không"))</f>
        <v/>
      </c>
      <c r="U2978" s="22">
        <f>IF(OR($D2978="",$T2978="Có"),"",IF($C2978="","Thiếu họ tên; ","")&amp;IF($S2978&lt;&gt;"Có","SĐT sai định dạng; ","")&amp;IF($R2978="Trùng","Trùng SĐT; ","")&amp;IF($Q2978&lt;&gt;"Có","Thiếu đồng ý bắt buộc; ","")&amp;IF($L2978="","Thiếu/sai Mã REF; ",IF(AND($L2978="Chưa xác định",DANH_MUC!$L$9&lt;&gt;"Có"),"Nguồn chưa xác định; ","")))</f>
        <v/>
      </c>
      <c r="V2978" s="22">
        <f>IF(OR($D2978="",$R2978="Trùng"),"",IF(COUNTIF(ORDERS!$C$2:$C$4995,$D2978)&gt;0,"Có","Không"))</f>
        <v/>
      </c>
      <c r="W2978" s="22">
        <f>IF(OR($D2978="",$R2978="Trùng"),"",COUNTIFS(ORDERS!$C$2:$C$4995,$D2978,ORDERS!$L$2:$L$4995,"Đã chuyển khoản"))</f>
        <v/>
      </c>
      <c r="X2978" s="23">
        <f>IF(OR($D2978="",$R2978="Trùng"),"",SUMIFS(ORDERS!$J$2:$J$4995,ORDERS!$C$2:$C$4995,$D2978,ORDERS!$L$2:$L$4995,"Đã chuyển khoản"))</f>
        <v/>
      </c>
      <c r="Y2978" s="24" t="n"/>
    </row>
    <row r="2979" ht="14.25" customHeight="1" s="40">
      <c r="A2979" s="24" t="n"/>
      <c r="B2979" s="27" t="n"/>
      <c r="C2979" s="24" t="n"/>
      <c r="D2979" s="28" t="n"/>
      <c r="E2979" s="29" t="n"/>
      <c r="F2979" s="24" t="n"/>
      <c r="G2979" s="24" t="n"/>
      <c r="H2979" s="21">
        <f>IF(ISNUMBER($B2979),INT($B2979)-WEEKDAY($B2979,2)+1,"")</f>
        <v/>
      </c>
      <c r="I2979" s="24" t="n"/>
      <c r="J2979" s="22">
        <f t="array" ref="J2979">IF($D2979="","",IF($I2979="","(trống REF)",IFERROR(INDEX(MASTER_SOURCE!$B$2:$B$495,MATCH($I2979,MASTER_SOURCE!$A$2:$A$495,0)),"(REF không có trong MASTER_SOURCE)")))</f>
        <v/>
      </c>
      <c r="K2979" s="22">
        <f t="array" ref="K2979">IF($D2979="","",IFERROR(INDEX(MASTER_SOURCE!$C$2:$C$495,MATCH($I2979,MASTER_SOURCE!$A$2:$A$495,0)),""))</f>
        <v/>
      </c>
      <c r="L2979" s="22">
        <f t="array" ref="L2979">IF($D2979="","",IFERROR(INDEX(MASTER_SOURCE!$D$2:$D$495,MATCH($I2979,MASTER_SOURCE!$A$2:$A$495,0)),""))</f>
        <v/>
      </c>
      <c r="M2979" s="24" t="n"/>
      <c r="N2979" s="24" t="n"/>
      <c r="O2979" s="24" t="n"/>
      <c r="P2979" s="24" t="n"/>
      <c r="Q2979" s="22">
        <f>IF($D2979="","",IF(AND(OR(DANH_MUC!$L$5&lt;&gt;"Có",M2979="Có"),OR(DANH_MUC!$L$6&lt;&gt;"Có",N2979="Có"),OR(DANH_MUC!$L$7&lt;&gt;"Có",O2979="Có"),OR(DANH_MUC!$L$8&lt;&gt;"Có",P2979="Có")),"Có","Không"))</f>
        <v/>
      </c>
      <c r="R2979" s="22">
        <f>IF($D2979="","",IF(COUNTIF($D$2:$D2979,$D2979)&gt;1,"Trùng",""))</f>
        <v/>
      </c>
      <c r="S2979" s="22">
        <f>IF($D2979="","",IF(AND(LEN($D2979)=10,LEFT($D2979,1)="0",ISNUMBER(--$D2979)),"Có","Không"))</f>
        <v/>
      </c>
      <c r="T2979" s="22">
        <f>IF($D2979="","",IF(AND($C2979&lt;&gt;"",$Q2979="Có",$R2979="",$S2979="Có",AND($L2979&lt;&gt;"",OR($L2979&lt;&gt;"Chưa xác định",DANH_MUC!$L$9="Có"))),"Có","Không"))</f>
        <v/>
      </c>
      <c r="U2979" s="22">
        <f>IF(OR($D2979="",$T2979="Có"),"",IF($C2979="","Thiếu họ tên; ","")&amp;IF($S2979&lt;&gt;"Có","SĐT sai định dạng; ","")&amp;IF($R2979="Trùng","Trùng SĐT; ","")&amp;IF($Q2979&lt;&gt;"Có","Thiếu đồng ý bắt buộc; ","")&amp;IF($L2979="","Thiếu/sai Mã REF; ",IF(AND($L2979="Chưa xác định",DANH_MUC!$L$9&lt;&gt;"Có"),"Nguồn chưa xác định; ","")))</f>
        <v/>
      </c>
      <c r="V2979" s="22">
        <f>IF(OR($D2979="",$R2979="Trùng"),"",IF(COUNTIF(ORDERS!$C$2:$C$4995,$D2979)&gt;0,"Có","Không"))</f>
        <v/>
      </c>
      <c r="W2979" s="22">
        <f>IF(OR($D2979="",$R2979="Trùng"),"",COUNTIFS(ORDERS!$C$2:$C$4995,$D2979,ORDERS!$L$2:$L$4995,"Đã chuyển khoản"))</f>
        <v/>
      </c>
      <c r="X2979" s="23">
        <f>IF(OR($D2979="",$R2979="Trùng"),"",SUMIFS(ORDERS!$J$2:$J$4995,ORDERS!$C$2:$C$4995,$D2979,ORDERS!$L$2:$L$4995,"Đã chuyển khoản"))</f>
        <v/>
      </c>
      <c r="Y2979" s="24" t="n"/>
    </row>
    <row r="2980" ht="14.25" customHeight="1" s="40">
      <c r="A2980" s="24" t="n"/>
      <c r="B2980" s="27" t="n"/>
      <c r="C2980" s="24" t="n"/>
      <c r="D2980" s="28" t="n"/>
      <c r="E2980" s="29" t="n"/>
      <c r="F2980" s="24" t="n"/>
      <c r="G2980" s="24" t="n"/>
      <c r="H2980" s="21">
        <f>IF(ISNUMBER($B2980),INT($B2980)-WEEKDAY($B2980,2)+1,"")</f>
        <v/>
      </c>
      <c r="I2980" s="24" t="n"/>
      <c r="J2980" s="22">
        <f t="array" ref="J2980">IF($D2980="","",IF($I2980="","(trống REF)",IFERROR(INDEX(MASTER_SOURCE!$B$2:$B$495,MATCH($I2980,MASTER_SOURCE!$A$2:$A$495,0)),"(REF không có trong MASTER_SOURCE)")))</f>
        <v/>
      </c>
      <c r="K2980" s="22">
        <f t="array" ref="K2980">IF($D2980="","",IFERROR(INDEX(MASTER_SOURCE!$C$2:$C$495,MATCH($I2980,MASTER_SOURCE!$A$2:$A$495,0)),""))</f>
        <v/>
      </c>
      <c r="L2980" s="22">
        <f t="array" ref="L2980">IF($D2980="","",IFERROR(INDEX(MASTER_SOURCE!$D$2:$D$495,MATCH($I2980,MASTER_SOURCE!$A$2:$A$495,0)),""))</f>
        <v/>
      </c>
      <c r="M2980" s="24" t="n"/>
      <c r="N2980" s="24" t="n"/>
      <c r="O2980" s="24" t="n"/>
      <c r="P2980" s="24" t="n"/>
      <c r="Q2980" s="22">
        <f>IF($D2980="","",IF(AND(OR(DANH_MUC!$L$5&lt;&gt;"Có",M2980="Có"),OR(DANH_MUC!$L$6&lt;&gt;"Có",N2980="Có"),OR(DANH_MUC!$L$7&lt;&gt;"Có",O2980="Có"),OR(DANH_MUC!$L$8&lt;&gt;"Có",P2980="Có")),"Có","Không"))</f>
        <v/>
      </c>
      <c r="R2980" s="22">
        <f>IF($D2980="","",IF(COUNTIF($D$2:$D2980,$D2980)&gt;1,"Trùng",""))</f>
        <v/>
      </c>
      <c r="S2980" s="22">
        <f>IF($D2980="","",IF(AND(LEN($D2980)=10,LEFT($D2980,1)="0",ISNUMBER(--$D2980)),"Có","Không"))</f>
        <v/>
      </c>
      <c r="T2980" s="22">
        <f>IF($D2980="","",IF(AND($C2980&lt;&gt;"",$Q2980="Có",$R2980="",$S2980="Có",AND($L2980&lt;&gt;"",OR($L2980&lt;&gt;"Chưa xác định",DANH_MUC!$L$9="Có"))),"Có","Không"))</f>
        <v/>
      </c>
      <c r="U2980" s="22">
        <f>IF(OR($D2980="",$T2980="Có"),"",IF($C2980="","Thiếu họ tên; ","")&amp;IF($S2980&lt;&gt;"Có","SĐT sai định dạng; ","")&amp;IF($R2980="Trùng","Trùng SĐT; ","")&amp;IF($Q2980&lt;&gt;"Có","Thiếu đồng ý bắt buộc; ","")&amp;IF($L2980="","Thiếu/sai Mã REF; ",IF(AND($L2980="Chưa xác định",DANH_MUC!$L$9&lt;&gt;"Có"),"Nguồn chưa xác định; ","")))</f>
        <v/>
      </c>
      <c r="V2980" s="22">
        <f>IF(OR($D2980="",$R2980="Trùng"),"",IF(COUNTIF(ORDERS!$C$2:$C$4995,$D2980)&gt;0,"Có","Không"))</f>
        <v/>
      </c>
      <c r="W2980" s="22">
        <f>IF(OR($D2980="",$R2980="Trùng"),"",COUNTIFS(ORDERS!$C$2:$C$4995,$D2980,ORDERS!$L$2:$L$4995,"Đã chuyển khoản"))</f>
        <v/>
      </c>
      <c r="X2980" s="23">
        <f>IF(OR($D2980="",$R2980="Trùng"),"",SUMIFS(ORDERS!$J$2:$J$4995,ORDERS!$C$2:$C$4995,$D2980,ORDERS!$L$2:$L$4995,"Đã chuyển khoản"))</f>
        <v/>
      </c>
      <c r="Y2980" s="24" t="n"/>
    </row>
    <row r="2981" ht="14.25" customHeight="1" s="40">
      <c r="A2981" s="24" t="n"/>
      <c r="B2981" s="27" t="n"/>
      <c r="C2981" s="24" t="n"/>
      <c r="D2981" s="28" t="n"/>
      <c r="E2981" s="29" t="n"/>
      <c r="F2981" s="24" t="n"/>
      <c r="G2981" s="24" t="n"/>
      <c r="H2981" s="21">
        <f>IF(ISNUMBER($B2981),INT($B2981)-WEEKDAY($B2981,2)+1,"")</f>
        <v/>
      </c>
      <c r="I2981" s="24" t="n"/>
      <c r="J2981" s="22">
        <f t="array" ref="J2981">IF($D2981="","",IF($I2981="","(trống REF)",IFERROR(INDEX(MASTER_SOURCE!$B$2:$B$495,MATCH($I2981,MASTER_SOURCE!$A$2:$A$495,0)),"(REF không có trong MASTER_SOURCE)")))</f>
        <v/>
      </c>
      <c r="K2981" s="22">
        <f t="array" ref="K2981">IF($D2981="","",IFERROR(INDEX(MASTER_SOURCE!$C$2:$C$495,MATCH($I2981,MASTER_SOURCE!$A$2:$A$495,0)),""))</f>
        <v/>
      </c>
      <c r="L2981" s="22">
        <f t="array" ref="L2981">IF($D2981="","",IFERROR(INDEX(MASTER_SOURCE!$D$2:$D$495,MATCH($I2981,MASTER_SOURCE!$A$2:$A$495,0)),""))</f>
        <v/>
      </c>
      <c r="M2981" s="24" t="n"/>
      <c r="N2981" s="24" t="n"/>
      <c r="O2981" s="24" t="n"/>
      <c r="P2981" s="24" t="n"/>
      <c r="Q2981" s="22">
        <f>IF($D2981="","",IF(AND(OR(DANH_MUC!$L$5&lt;&gt;"Có",M2981="Có"),OR(DANH_MUC!$L$6&lt;&gt;"Có",N2981="Có"),OR(DANH_MUC!$L$7&lt;&gt;"Có",O2981="Có"),OR(DANH_MUC!$L$8&lt;&gt;"Có",P2981="Có")),"Có","Không"))</f>
        <v/>
      </c>
      <c r="R2981" s="22">
        <f>IF($D2981="","",IF(COUNTIF($D$2:$D2981,$D2981)&gt;1,"Trùng",""))</f>
        <v/>
      </c>
      <c r="S2981" s="22">
        <f>IF($D2981="","",IF(AND(LEN($D2981)=10,LEFT($D2981,1)="0",ISNUMBER(--$D2981)),"Có","Không"))</f>
        <v/>
      </c>
      <c r="T2981" s="22">
        <f>IF($D2981="","",IF(AND($C2981&lt;&gt;"",$Q2981="Có",$R2981="",$S2981="Có",AND($L2981&lt;&gt;"",OR($L2981&lt;&gt;"Chưa xác định",DANH_MUC!$L$9="Có"))),"Có","Không"))</f>
        <v/>
      </c>
      <c r="U2981" s="22">
        <f>IF(OR($D2981="",$T2981="Có"),"",IF($C2981="","Thiếu họ tên; ","")&amp;IF($S2981&lt;&gt;"Có","SĐT sai định dạng; ","")&amp;IF($R2981="Trùng","Trùng SĐT; ","")&amp;IF($Q2981&lt;&gt;"Có","Thiếu đồng ý bắt buộc; ","")&amp;IF($L2981="","Thiếu/sai Mã REF; ",IF(AND($L2981="Chưa xác định",DANH_MUC!$L$9&lt;&gt;"Có"),"Nguồn chưa xác định; ","")))</f>
        <v/>
      </c>
      <c r="V2981" s="22">
        <f>IF(OR($D2981="",$R2981="Trùng"),"",IF(COUNTIF(ORDERS!$C$2:$C$4995,$D2981)&gt;0,"Có","Không"))</f>
        <v/>
      </c>
      <c r="W2981" s="22">
        <f>IF(OR($D2981="",$R2981="Trùng"),"",COUNTIFS(ORDERS!$C$2:$C$4995,$D2981,ORDERS!$L$2:$L$4995,"Đã chuyển khoản"))</f>
        <v/>
      </c>
      <c r="X2981" s="23">
        <f>IF(OR($D2981="",$R2981="Trùng"),"",SUMIFS(ORDERS!$J$2:$J$4995,ORDERS!$C$2:$C$4995,$D2981,ORDERS!$L$2:$L$4995,"Đã chuyển khoản"))</f>
        <v/>
      </c>
      <c r="Y2981" s="24" t="n"/>
    </row>
    <row r="2982" ht="14.25" customHeight="1" s="40">
      <c r="A2982" s="24" t="n"/>
      <c r="B2982" s="27" t="n"/>
      <c r="C2982" s="24" t="n"/>
      <c r="D2982" s="28" t="n"/>
      <c r="E2982" s="29" t="n"/>
      <c r="F2982" s="24" t="n"/>
      <c r="G2982" s="24" t="n"/>
      <c r="H2982" s="21">
        <f>IF(ISNUMBER($B2982),INT($B2982)-WEEKDAY($B2982,2)+1,"")</f>
        <v/>
      </c>
      <c r="I2982" s="24" t="n"/>
      <c r="J2982" s="22">
        <f t="array" ref="J2982">IF($D2982="","",IF($I2982="","(trống REF)",IFERROR(INDEX(MASTER_SOURCE!$B$2:$B$495,MATCH($I2982,MASTER_SOURCE!$A$2:$A$495,0)),"(REF không có trong MASTER_SOURCE)")))</f>
        <v/>
      </c>
      <c r="K2982" s="22">
        <f t="array" ref="K2982">IF($D2982="","",IFERROR(INDEX(MASTER_SOURCE!$C$2:$C$495,MATCH($I2982,MASTER_SOURCE!$A$2:$A$495,0)),""))</f>
        <v/>
      </c>
      <c r="L2982" s="22">
        <f t="array" ref="L2982">IF($D2982="","",IFERROR(INDEX(MASTER_SOURCE!$D$2:$D$495,MATCH($I2982,MASTER_SOURCE!$A$2:$A$495,0)),""))</f>
        <v/>
      </c>
      <c r="M2982" s="24" t="n"/>
      <c r="N2982" s="24" t="n"/>
      <c r="O2982" s="24" t="n"/>
      <c r="P2982" s="24" t="n"/>
      <c r="Q2982" s="22">
        <f>IF($D2982="","",IF(AND(OR(DANH_MUC!$L$5&lt;&gt;"Có",M2982="Có"),OR(DANH_MUC!$L$6&lt;&gt;"Có",N2982="Có"),OR(DANH_MUC!$L$7&lt;&gt;"Có",O2982="Có"),OR(DANH_MUC!$L$8&lt;&gt;"Có",P2982="Có")),"Có","Không"))</f>
        <v/>
      </c>
      <c r="R2982" s="22">
        <f>IF($D2982="","",IF(COUNTIF($D$2:$D2982,$D2982)&gt;1,"Trùng",""))</f>
        <v/>
      </c>
      <c r="S2982" s="22">
        <f>IF($D2982="","",IF(AND(LEN($D2982)=10,LEFT($D2982,1)="0",ISNUMBER(--$D2982)),"Có","Không"))</f>
        <v/>
      </c>
      <c r="T2982" s="22">
        <f>IF($D2982="","",IF(AND($C2982&lt;&gt;"",$Q2982="Có",$R2982="",$S2982="Có",AND($L2982&lt;&gt;"",OR($L2982&lt;&gt;"Chưa xác định",DANH_MUC!$L$9="Có"))),"Có","Không"))</f>
        <v/>
      </c>
      <c r="U2982" s="22">
        <f>IF(OR($D2982="",$T2982="Có"),"",IF($C2982="","Thiếu họ tên; ","")&amp;IF($S2982&lt;&gt;"Có","SĐT sai định dạng; ","")&amp;IF($R2982="Trùng","Trùng SĐT; ","")&amp;IF($Q2982&lt;&gt;"Có","Thiếu đồng ý bắt buộc; ","")&amp;IF($L2982="","Thiếu/sai Mã REF; ",IF(AND($L2982="Chưa xác định",DANH_MUC!$L$9&lt;&gt;"Có"),"Nguồn chưa xác định; ","")))</f>
        <v/>
      </c>
      <c r="V2982" s="22">
        <f>IF(OR($D2982="",$R2982="Trùng"),"",IF(COUNTIF(ORDERS!$C$2:$C$4995,$D2982)&gt;0,"Có","Không"))</f>
        <v/>
      </c>
      <c r="W2982" s="22">
        <f>IF(OR($D2982="",$R2982="Trùng"),"",COUNTIFS(ORDERS!$C$2:$C$4995,$D2982,ORDERS!$L$2:$L$4995,"Đã chuyển khoản"))</f>
        <v/>
      </c>
      <c r="X2982" s="23">
        <f>IF(OR($D2982="",$R2982="Trùng"),"",SUMIFS(ORDERS!$J$2:$J$4995,ORDERS!$C$2:$C$4995,$D2982,ORDERS!$L$2:$L$4995,"Đã chuyển khoản"))</f>
        <v/>
      </c>
      <c r="Y2982" s="24" t="n"/>
    </row>
    <row r="2983" ht="14.25" customHeight="1" s="40">
      <c r="A2983" s="24" t="n"/>
      <c r="B2983" s="27" t="n"/>
      <c r="C2983" s="24" t="n"/>
      <c r="D2983" s="28" t="n"/>
      <c r="E2983" s="29" t="n"/>
      <c r="F2983" s="24" t="n"/>
      <c r="G2983" s="24" t="n"/>
      <c r="H2983" s="21">
        <f>IF(ISNUMBER($B2983),INT($B2983)-WEEKDAY($B2983,2)+1,"")</f>
        <v/>
      </c>
      <c r="I2983" s="24" t="n"/>
      <c r="J2983" s="22">
        <f t="array" ref="J2983">IF($D2983="","",IF($I2983="","(trống REF)",IFERROR(INDEX(MASTER_SOURCE!$B$2:$B$495,MATCH($I2983,MASTER_SOURCE!$A$2:$A$495,0)),"(REF không có trong MASTER_SOURCE)")))</f>
        <v/>
      </c>
      <c r="K2983" s="22">
        <f t="array" ref="K2983">IF($D2983="","",IFERROR(INDEX(MASTER_SOURCE!$C$2:$C$495,MATCH($I2983,MASTER_SOURCE!$A$2:$A$495,0)),""))</f>
        <v/>
      </c>
      <c r="L2983" s="22">
        <f t="array" ref="L2983">IF($D2983="","",IFERROR(INDEX(MASTER_SOURCE!$D$2:$D$495,MATCH($I2983,MASTER_SOURCE!$A$2:$A$495,0)),""))</f>
        <v/>
      </c>
      <c r="M2983" s="24" t="n"/>
      <c r="N2983" s="24" t="n"/>
      <c r="O2983" s="24" t="n"/>
      <c r="P2983" s="24" t="n"/>
      <c r="Q2983" s="22">
        <f>IF($D2983="","",IF(AND(OR(DANH_MUC!$L$5&lt;&gt;"Có",M2983="Có"),OR(DANH_MUC!$L$6&lt;&gt;"Có",N2983="Có"),OR(DANH_MUC!$L$7&lt;&gt;"Có",O2983="Có"),OR(DANH_MUC!$L$8&lt;&gt;"Có",P2983="Có")),"Có","Không"))</f>
        <v/>
      </c>
      <c r="R2983" s="22">
        <f>IF($D2983="","",IF(COUNTIF($D$2:$D2983,$D2983)&gt;1,"Trùng",""))</f>
        <v/>
      </c>
      <c r="S2983" s="22">
        <f>IF($D2983="","",IF(AND(LEN($D2983)=10,LEFT($D2983,1)="0",ISNUMBER(--$D2983)),"Có","Không"))</f>
        <v/>
      </c>
      <c r="T2983" s="22">
        <f>IF($D2983="","",IF(AND($C2983&lt;&gt;"",$Q2983="Có",$R2983="",$S2983="Có",AND($L2983&lt;&gt;"",OR($L2983&lt;&gt;"Chưa xác định",DANH_MUC!$L$9="Có"))),"Có","Không"))</f>
        <v/>
      </c>
      <c r="U2983" s="22">
        <f>IF(OR($D2983="",$T2983="Có"),"",IF($C2983="","Thiếu họ tên; ","")&amp;IF($S2983&lt;&gt;"Có","SĐT sai định dạng; ","")&amp;IF($R2983="Trùng","Trùng SĐT; ","")&amp;IF($Q2983&lt;&gt;"Có","Thiếu đồng ý bắt buộc; ","")&amp;IF($L2983="","Thiếu/sai Mã REF; ",IF(AND($L2983="Chưa xác định",DANH_MUC!$L$9&lt;&gt;"Có"),"Nguồn chưa xác định; ","")))</f>
        <v/>
      </c>
      <c r="V2983" s="22">
        <f>IF(OR($D2983="",$R2983="Trùng"),"",IF(COUNTIF(ORDERS!$C$2:$C$4995,$D2983)&gt;0,"Có","Không"))</f>
        <v/>
      </c>
      <c r="W2983" s="22">
        <f>IF(OR($D2983="",$R2983="Trùng"),"",COUNTIFS(ORDERS!$C$2:$C$4995,$D2983,ORDERS!$L$2:$L$4995,"Đã chuyển khoản"))</f>
        <v/>
      </c>
      <c r="X2983" s="23">
        <f>IF(OR($D2983="",$R2983="Trùng"),"",SUMIFS(ORDERS!$J$2:$J$4995,ORDERS!$C$2:$C$4995,$D2983,ORDERS!$L$2:$L$4995,"Đã chuyển khoản"))</f>
        <v/>
      </c>
      <c r="Y2983" s="24" t="n"/>
    </row>
    <row r="2984" ht="14.25" customHeight="1" s="40">
      <c r="A2984" s="24" t="n"/>
      <c r="B2984" s="27" t="n"/>
      <c r="C2984" s="24" t="n"/>
      <c r="D2984" s="28" t="n"/>
      <c r="E2984" s="29" t="n"/>
      <c r="F2984" s="24" t="n"/>
      <c r="G2984" s="24" t="n"/>
      <c r="H2984" s="21">
        <f>IF(ISNUMBER($B2984),INT($B2984)-WEEKDAY($B2984,2)+1,"")</f>
        <v/>
      </c>
      <c r="I2984" s="24" t="n"/>
      <c r="J2984" s="22">
        <f t="array" ref="J2984">IF($D2984="","",IF($I2984="","(trống REF)",IFERROR(INDEX(MASTER_SOURCE!$B$2:$B$495,MATCH($I2984,MASTER_SOURCE!$A$2:$A$495,0)),"(REF không có trong MASTER_SOURCE)")))</f>
        <v/>
      </c>
      <c r="K2984" s="22">
        <f t="array" ref="K2984">IF($D2984="","",IFERROR(INDEX(MASTER_SOURCE!$C$2:$C$495,MATCH($I2984,MASTER_SOURCE!$A$2:$A$495,0)),""))</f>
        <v/>
      </c>
      <c r="L2984" s="22">
        <f t="array" ref="L2984">IF($D2984="","",IFERROR(INDEX(MASTER_SOURCE!$D$2:$D$495,MATCH($I2984,MASTER_SOURCE!$A$2:$A$495,0)),""))</f>
        <v/>
      </c>
      <c r="M2984" s="24" t="n"/>
      <c r="N2984" s="24" t="n"/>
      <c r="O2984" s="24" t="n"/>
      <c r="P2984" s="24" t="n"/>
      <c r="Q2984" s="22">
        <f>IF($D2984="","",IF(AND(OR(DANH_MUC!$L$5&lt;&gt;"Có",M2984="Có"),OR(DANH_MUC!$L$6&lt;&gt;"Có",N2984="Có"),OR(DANH_MUC!$L$7&lt;&gt;"Có",O2984="Có"),OR(DANH_MUC!$L$8&lt;&gt;"Có",P2984="Có")),"Có","Không"))</f>
        <v/>
      </c>
      <c r="R2984" s="22">
        <f>IF($D2984="","",IF(COUNTIF($D$2:$D2984,$D2984)&gt;1,"Trùng",""))</f>
        <v/>
      </c>
      <c r="S2984" s="22">
        <f>IF($D2984="","",IF(AND(LEN($D2984)=10,LEFT($D2984,1)="0",ISNUMBER(--$D2984)),"Có","Không"))</f>
        <v/>
      </c>
      <c r="T2984" s="22">
        <f>IF($D2984="","",IF(AND($C2984&lt;&gt;"",$Q2984="Có",$R2984="",$S2984="Có",AND($L2984&lt;&gt;"",OR($L2984&lt;&gt;"Chưa xác định",DANH_MUC!$L$9="Có"))),"Có","Không"))</f>
        <v/>
      </c>
      <c r="U2984" s="22">
        <f>IF(OR($D2984="",$T2984="Có"),"",IF($C2984="","Thiếu họ tên; ","")&amp;IF($S2984&lt;&gt;"Có","SĐT sai định dạng; ","")&amp;IF($R2984="Trùng","Trùng SĐT; ","")&amp;IF($Q2984&lt;&gt;"Có","Thiếu đồng ý bắt buộc; ","")&amp;IF($L2984="","Thiếu/sai Mã REF; ",IF(AND($L2984="Chưa xác định",DANH_MUC!$L$9&lt;&gt;"Có"),"Nguồn chưa xác định; ","")))</f>
        <v/>
      </c>
      <c r="V2984" s="22">
        <f>IF(OR($D2984="",$R2984="Trùng"),"",IF(COUNTIF(ORDERS!$C$2:$C$4995,$D2984)&gt;0,"Có","Không"))</f>
        <v/>
      </c>
      <c r="W2984" s="22">
        <f>IF(OR($D2984="",$R2984="Trùng"),"",COUNTIFS(ORDERS!$C$2:$C$4995,$D2984,ORDERS!$L$2:$L$4995,"Đã chuyển khoản"))</f>
        <v/>
      </c>
      <c r="X2984" s="23">
        <f>IF(OR($D2984="",$R2984="Trùng"),"",SUMIFS(ORDERS!$J$2:$J$4995,ORDERS!$C$2:$C$4995,$D2984,ORDERS!$L$2:$L$4995,"Đã chuyển khoản"))</f>
        <v/>
      </c>
      <c r="Y2984" s="24" t="n"/>
    </row>
    <row r="2985" ht="14.25" customHeight="1" s="40">
      <c r="A2985" s="24" t="n"/>
      <c r="B2985" s="27" t="n"/>
      <c r="C2985" s="24" t="n"/>
      <c r="D2985" s="28" t="n"/>
      <c r="E2985" s="29" t="n"/>
      <c r="F2985" s="24" t="n"/>
      <c r="G2985" s="24" t="n"/>
      <c r="H2985" s="21">
        <f>IF(ISNUMBER($B2985),INT($B2985)-WEEKDAY($B2985,2)+1,"")</f>
        <v/>
      </c>
      <c r="I2985" s="24" t="n"/>
      <c r="J2985" s="22">
        <f t="array" ref="J2985">IF($D2985="","",IF($I2985="","(trống REF)",IFERROR(INDEX(MASTER_SOURCE!$B$2:$B$495,MATCH($I2985,MASTER_SOURCE!$A$2:$A$495,0)),"(REF không có trong MASTER_SOURCE)")))</f>
        <v/>
      </c>
      <c r="K2985" s="22">
        <f t="array" ref="K2985">IF($D2985="","",IFERROR(INDEX(MASTER_SOURCE!$C$2:$C$495,MATCH($I2985,MASTER_SOURCE!$A$2:$A$495,0)),""))</f>
        <v/>
      </c>
      <c r="L2985" s="22">
        <f t="array" ref="L2985">IF($D2985="","",IFERROR(INDEX(MASTER_SOURCE!$D$2:$D$495,MATCH($I2985,MASTER_SOURCE!$A$2:$A$495,0)),""))</f>
        <v/>
      </c>
      <c r="M2985" s="24" t="n"/>
      <c r="N2985" s="24" t="n"/>
      <c r="O2985" s="24" t="n"/>
      <c r="P2985" s="24" t="n"/>
      <c r="Q2985" s="22">
        <f>IF($D2985="","",IF(AND(OR(DANH_MUC!$L$5&lt;&gt;"Có",M2985="Có"),OR(DANH_MUC!$L$6&lt;&gt;"Có",N2985="Có"),OR(DANH_MUC!$L$7&lt;&gt;"Có",O2985="Có"),OR(DANH_MUC!$L$8&lt;&gt;"Có",P2985="Có")),"Có","Không"))</f>
        <v/>
      </c>
      <c r="R2985" s="22">
        <f>IF($D2985="","",IF(COUNTIF($D$2:$D2985,$D2985)&gt;1,"Trùng",""))</f>
        <v/>
      </c>
      <c r="S2985" s="22">
        <f>IF($D2985="","",IF(AND(LEN($D2985)=10,LEFT($D2985,1)="0",ISNUMBER(--$D2985)),"Có","Không"))</f>
        <v/>
      </c>
      <c r="T2985" s="22">
        <f>IF($D2985="","",IF(AND($C2985&lt;&gt;"",$Q2985="Có",$R2985="",$S2985="Có",AND($L2985&lt;&gt;"",OR($L2985&lt;&gt;"Chưa xác định",DANH_MUC!$L$9="Có"))),"Có","Không"))</f>
        <v/>
      </c>
      <c r="U2985" s="22">
        <f>IF(OR($D2985="",$T2985="Có"),"",IF($C2985="","Thiếu họ tên; ","")&amp;IF($S2985&lt;&gt;"Có","SĐT sai định dạng; ","")&amp;IF($R2985="Trùng","Trùng SĐT; ","")&amp;IF($Q2985&lt;&gt;"Có","Thiếu đồng ý bắt buộc; ","")&amp;IF($L2985="","Thiếu/sai Mã REF; ",IF(AND($L2985="Chưa xác định",DANH_MUC!$L$9&lt;&gt;"Có"),"Nguồn chưa xác định; ","")))</f>
        <v/>
      </c>
      <c r="V2985" s="22">
        <f>IF(OR($D2985="",$R2985="Trùng"),"",IF(COUNTIF(ORDERS!$C$2:$C$4995,$D2985)&gt;0,"Có","Không"))</f>
        <v/>
      </c>
      <c r="W2985" s="22">
        <f>IF(OR($D2985="",$R2985="Trùng"),"",COUNTIFS(ORDERS!$C$2:$C$4995,$D2985,ORDERS!$L$2:$L$4995,"Đã chuyển khoản"))</f>
        <v/>
      </c>
      <c r="X2985" s="23">
        <f>IF(OR($D2985="",$R2985="Trùng"),"",SUMIFS(ORDERS!$J$2:$J$4995,ORDERS!$C$2:$C$4995,$D2985,ORDERS!$L$2:$L$4995,"Đã chuyển khoản"))</f>
        <v/>
      </c>
      <c r="Y2985" s="24" t="n"/>
    </row>
    <row r="2986" ht="14.25" customHeight="1" s="40">
      <c r="A2986" s="24" t="n"/>
      <c r="B2986" s="27" t="n"/>
      <c r="C2986" s="24" t="n"/>
      <c r="D2986" s="28" t="n"/>
      <c r="E2986" s="29" t="n"/>
      <c r="F2986" s="24" t="n"/>
      <c r="G2986" s="24" t="n"/>
      <c r="H2986" s="21">
        <f>IF(ISNUMBER($B2986),INT($B2986)-WEEKDAY($B2986,2)+1,"")</f>
        <v/>
      </c>
      <c r="I2986" s="24" t="n"/>
      <c r="J2986" s="22">
        <f t="array" ref="J2986">IF($D2986="","",IF($I2986="","(trống REF)",IFERROR(INDEX(MASTER_SOURCE!$B$2:$B$495,MATCH($I2986,MASTER_SOURCE!$A$2:$A$495,0)),"(REF không có trong MASTER_SOURCE)")))</f>
        <v/>
      </c>
      <c r="K2986" s="22">
        <f t="array" ref="K2986">IF($D2986="","",IFERROR(INDEX(MASTER_SOURCE!$C$2:$C$495,MATCH($I2986,MASTER_SOURCE!$A$2:$A$495,0)),""))</f>
        <v/>
      </c>
      <c r="L2986" s="22">
        <f t="array" ref="L2986">IF($D2986="","",IFERROR(INDEX(MASTER_SOURCE!$D$2:$D$495,MATCH($I2986,MASTER_SOURCE!$A$2:$A$495,0)),""))</f>
        <v/>
      </c>
      <c r="M2986" s="24" t="n"/>
      <c r="N2986" s="24" t="n"/>
      <c r="O2986" s="24" t="n"/>
      <c r="P2986" s="24" t="n"/>
      <c r="Q2986" s="22">
        <f>IF($D2986="","",IF(AND(OR(DANH_MUC!$L$5&lt;&gt;"Có",M2986="Có"),OR(DANH_MUC!$L$6&lt;&gt;"Có",N2986="Có"),OR(DANH_MUC!$L$7&lt;&gt;"Có",O2986="Có"),OR(DANH_MUC!$L$8&lt;&gt;"Có",P2986="Có")),"Có","Không"))</f>
        <v/>
      </c>
      <c r="R2986" s="22">
        <f>IF($D2986="","",IF(COUNTIF($D$2:$D2986,$D2986)&gt;1,"Trùng",""))</f>
        <v/>
      </c>
      <c r="S2986" s="22">
        <f>IF($D2986="","",IF(AND(LEN($D2986)=10,LEFT($D2986,1)="0",ISNUMBER(--$D2986)),"Có","Không"))</f>
        <v/>
      </c>
      <c r="T2986" s="22">
        <f>IF($D2986="","",IF(AND($C2986&lt;&gt;"",$Q2986="Có",$R2986="",$S2986="Có",AND($L2986&lt;&gt;"",OR($L2986&lt;&gt;"Chưa xác định",DANH_MUC!$L$9="Có"))),"Có","Không"))</f>
        <v/>
      </c>
      <c r="U2986" s="22">
        <f>IF(OR($D2986="",$T2986="Có"),"",IF($C2986="","Thiếu họ tên; ","")&amp;IF($S2986&lt;&gt;"Có","SĐT sai định dạng; ","")&amp;IF($R2986="Trùng","Trùng SĐT; ","")&amp;IF($Q2986&lt;&gt;"Có","Thiếu đồng ý bắt buộc; ","")&amp;IF($L2986="","Thiếu/sai Mã REF; ",IF(AND($L2986="Chưa xác định",DANH_MUC!$L$9&lt;&gt;"Có"),"Nguồn chưa xác định; ","")))</f>
        <v/>
      </c>
      <c r="V2986" s="22">
        <f>IF(OR($D2986="",$R2986="Trùng"),"",IF(COUNTIF(ORDERS!$C$2:$C$4995,$D2986)&gt;0,"Có","Không"))</f>
        <v/>
      </c>
      <c r="W2986" s="22">
        <f>IF(OR($D2986="",$R2986="Trùng"),"",COUNTIFS(ORDERS!$C$2:$C$4995,$D2986,ORDERS!$L$2:$L$4995,"Đã chuyển khoản"))</f>
        <v/>
      </c>
      <c r="X2986" s="23">
        <f>IF(OR($D2986="",$R2986="Trùng"),"",SUMIFS(ORDERS!$J$2:$J$4995,ORDERS!$C$2:$C$4995,$D2986,ORDERS!$L$2:$L$4995,"Đã chuyển khoản"))</f>
        <v/>
      </c>
      <c r="Y2986" s="24" t="n"/>
    </row>
    <row r="2987" ht="14.25" customHeight="1" s="40">
      <c r="A2987" s="24" t="n"/>
      <c r="B2987" s="27" t="n"/>
      <c r="C2987" s="24" t="n"/>
      <c r="D2987" s="28" t="n"/>
      <c r="E2987" s="29" t="n"/>
      <c r="F2987" s="24" t="n"/>
      <c r="G2987" s="24" t="n"/>
      <c r="H2987" s="21">
        <f>IF(ISNUMBER($B2987),INT($B2987)-WEEKDAY($B2987,2)+1,"")</f>
        <v/>
      </c>
      <c r="I2987" s="24" t="n"/>
      <c r="J2987" s="22">
        <f t="array" ref="J2987">IF($D2987="","",IF($I2987="","(trống REF)",IFERROR(INDEX(MASTER_SOURCE!$B$2:$B$495,MATCH($I2987,MASTER_SOURCE!$A$2:$A$495,0)),"(REF không có trong MASTER_SOURCE)")))</f>
        <v/>
      </c>
      <c r="K2987" s="22">
        <f t="array" ref="K2987">IF($D2987="","",IFERROR(INDEX(MASTER_SOURCE!$C$2:$C$495,MATCH($I2987,MASTER_SOURCE!$A$2:$A$495,0)),""))</f>
        <v/>
      </c>
      <c r="L2987" s="22">
        <f t="array" ref="L2987">IF($D2987="","",IFERROR(INDEX(MASTER_SOURCE!$D$2:$D$495,MATCH($I2987,MASTER_SOURCE!$A$2:$A$495,0)),""))</f>
        <v/>
      </c>
      <c r="M2987" s="24" t="n"/>
      <c r="N2987" s="24" t="n"/>
      <c r="O2987" s="24" t="n"/>
      <c r="P2987" s="24" t="n"/>
      <c r="Q2987" s="22">
        <f>IF($D2987="","",IF(AND(OR(DANH_MUC!$L$5&lt;&gt;"Có",M2987="Có"),OR(DANH_MUC!$L$6&lt;&gt;"Có",N2987="Có"),OR(DANH_MUC!$L$7&lt;&gt;"Có",O2987="Có"),OR(DANH_MUC!$L$8&lt;&gt;"Có",P2987="Có")),"Có","Không"))</f>
        <v/>
      </c>
      <c r="R2987" s="22">
        <f>IF($D2987="","",IF(COUNTIF($D$2:$D2987,$D2987)&gt;1,"Trùng",""))</f>
        <v/>
      </c>
      <c r="S2987" s="22">
        <f>IF($D2987="","",IF(AND(LEN($D2987)=10,LEFT($D2987,1)="0",ISNUMBER(--$D2987)),"Có","Không"))</f>
        <v/>
      </c>
      <c r="T2987" s="22">
        <f>IF($D2987="","",IF(AND($C2987&lt;&gt;"",$Q2987="Có",$R2987="",$S2987="Có",AND($L2987&lt;&gt;"",OR($L2987&lt;&gt;"Chưa xác định",DANH_MUC!$L$9="Có"))),"Có","Không"))</f>
        <v/>
      </c>
      <c r="U2987" s="22">
        <f>IF(OR($D2987="",$T2987="Có"),"",IF($C2987="","Thiếu họ tên; ","")&amp;IF($S2987&lt;&gt;"Có","SĐT sai định dạng; ","")&amp;IF($R2987="Trùng","Trùng SĐT; ","")&amp;IF($Q2987&lt;&gt;"Có","Thiếu đồng ý bắt buộc; ","")&amp;IF($L2987="","Thiếu/sai Mã REF; ",IF(AND($L2987="Chưa xác định",DANH_MUC!$L$9&lt;&gt;"Có"),"Nguồn chưa xác định; ","")))</f>
        <v/>
      </c>
      <c r="V2987" s="22">
        <f>IF(OR($D2987="",$R2987="Trùng"),"",IF(COUNTIF(ORDERS!$C$2:$C$4995,$D2987)&gt;0,"Có","Không"))</f>
        <v/>
      </c>
      <c r="W2987" s="22">
        <f>IF(OR($D2987="",$R2987="Trùng"),"",COUNTIFS(ORDERS!$C$2:$C$4995,$D2987,ORDERS!$L$2:$L$4995,"Đã chuyển khoản"))</f>
        <v/>
      </c>
      <c r="X2987" s="23">
        <f>IF(OR($D2987="",$R2987="Trùng"),"",SUMIFS(ORDERS!$J$2:$J$4995,ORDERS!$C$2:$C$4995,$D2987,ORDERS!$L$2:$L$4995,"Đã chuyển khoản"))</f>
        <v/>
      </c>
      <c r="Y2987" s="24" t="n"/>
    </row>
    <row r="2988" ht="14.25" customHeight="1" s="40">
      <c r="A2988" s="24" t="n"/>
      <c r="B2988" s="27" t="n"/>
      <c r="C2988" s="24" t="n"/>
      <c r="D2988" s="28" t="n"/>
      <c r="E2988" s="29" t="n"/>
      <c r="F2988" s="24" t="n"/>
      <c r="G2988" s="24" t="n"/>
      <c r="H2988" s="21">
        <f>IF(ISNUMBER($B2988),INT($B2988)-WEEKDAY($B2988,2)+1,"")</f>
        <v/>
      </c>
      <c r="I2988" s="24" t="n"/>
      <c r="J2988" s="22">
        <f t="array" ref="J2988">IF($D2988="","",IF($I2988="","(trống REF)",IFERROR(INDEX(MASTER_SOURCE!$B$2:$B$495,MATCH($I2988,MASTER_SOURCE!$A$2:$A$495,0)),"(REF không có trong MASTER_SOURCE)")))</f>
        <v/>
      </c>
      <c r="K2988" s="22">
        <f t="array" ref="K2988">IF($D2988="","",IFERROR(INDEX(MASTER_SOURCE!$C$2:$C$495,MATCH($I2988,MASTER_SOURCE!$A$2:$A$495,0)),""))</f>
        <v/>
      </c>
      <c r="L2988" s="22">
        <f t="array" ref="L2988">IF($D2988="","",IFERROR(INDEX(MASTER_SOURCE!$D$2:$D$495,MATCH($I2988,MASTER_SOURCE!$A$2:$A$495,0)),""))</f>
        <v/>
      </c>
      <c r="M2988" s="24" t="n"/>
      <c r="N2988" s="24" t="n"/>
      <c r="O2988" s="24" t="n"/>
      <c r="P2988" s="24" t="n"/>
      <c r="Q2988" s="22">
        <f>IF($D2988="","",IF(AND(OR(DANH_MUC!$L$5&lt;&gt;"Có",M2988="Có"),OR(DANH_MUC!$L$6&lt;&gt;"Có",N2988="Có"),OR(DANH_MUC!$L$7&lt;&gt;"Có",O2988="Có"),OR(DANH_MUC!$L$8&lt;&gt;"Có",P2988="Có")),"Có","Không"))</f>
        <v/>
      </c>
      <c r="R2988" s="22">
        <f>IF($D2988="","",IF(COUNTIF($D$2:$D2988,$D2988)&gt;1,"Trùng",""))</f>
        <v/>
      </c>
      <c r="S2988" s="22">
        <f>IF($D2988="","",IF(AND(LEN($D2988)=10,LEFT($D2988,1)="0",ISNUMBER(--$D2988)),"Có","Không"))</f>
        <v/>
      </c>
      <c r="T2988" s="22">
        <f>IF($D2988="","",IF(AND($C2988&lt;&gt;"",$Q2988="Có",$R2988="",$S2988="Có",AND($L2988&lt;&gt;"",OR($L2988&lt;&gt;"Chưa xác định",DANH_MUC!$L$9="Có"))),"Có","Không"))</f>
        <v/>
      </c>
      <c r="U2988" s="22">
        <f>IF(OR($D2988="",$T2988="Có"),"",IF($C2988="","Thiếu họ tên; ","")&amp;IF($S2988&lt;&gt;"Có","SĐT sai định dạng; ","")&amp;IF($R2988="Trùng","Trùng SĐT; ","")&amp;IF($Q2988&lt;&gt;"Có","Thiếu đồng ý bắt buộc; ","")&amp;IF($L2988="","Thiếu/sai Mã REF; ",IF(AND($L2988="Chưa xác định",DANH_MUC!$L$9&lt;&gt;"Có"),"Nguồn chưa xác định; ","")))</f>
        <v/>
      </c>
      <c r="V2988" s="22">
        <f>IF(OR($D2988="",$R2988="Trùng"),"",IF(COUNTIF(ORDERS!$C$2:$C$4995,$D2988)&gt;0,"Có","Không"))</f>
        <v/>
      </c>
      <c r="W2988" s="22">
        <f>IF(OR($D2988="",$R2988="Trùng"),"",COUNTIFS(ORDERS!$C$2:$C$4995,$D2988,ORDERS!$L$2:$L$4995,"Đã chuyển khoản"))</f>
        <v/>
      </c>
      <c r="X2988" s="23">
        <f>IF(OR($D2988="",$R2988="Trùng"),"",SUMIFS(ORDERS!$J$2:$J$4995,ORDERS!$C$2:$C$4995,$D2988,ORDERS!$L$2:$L$4995,"Đã chuyển khoản"))</f>
        <v/>
      </c>
      <c r="Y2988" s="24" t="n"/>
    </row>
    <row r="2989" ht="14.25" customHeight="1" s="40">
      <c r="A2989" s="24" t="n"/>
      <c r="B2989" s="27" t="n"/>
      <c r="C2989" s="24" t="n"/>
      <c r="D2989" s="28" t="n"/>
      <c r="E2989" s="29" t="n"/>
      <c r="F2989" s="24" t="n"/>
      <c r="G2989" s="24" t="n"/>
      <c r="H2989" s="21">
        <f>IF(ISNUMBER($B2989),INT($B2989)-WEEKDAY($B2989,2)+1,"")</f>
        <v/>
      </c>
      <c r="I2989" s="24" t="n"/>
      <c r="J2989" s="22">
        <f t="array" ref="J2989">IF($D2989="","",IF($I2989="","(trống REF)",IFERROR(INDEX(MASTER_SOURCE!$B$2:$B$495,MATCH($I2989,MASTER_SOURCE!$A$2:$A$495,0)),"(REF không có trong MASTER_SOURCE)")))</f>
        <v/>
      </c>
      <c r="K2989" s="22">
        <f t="array" ref="K2989">IF($D2989="","",IFERROR(INDEX(MASTER_SOURCE!$C$2:$C$495,MATCH($I2989,MASTER_SOURCE!$A$2:$A$495,0)),""))</f>
        <v/>
      </c>
      <c r="L2989" s="22">
        <f t="array" ref="L2989">IF($D2989="","",IFERROR(INDEX(MASTER_SOURCE!$D$2:$D$495,MATCH($I2989,MASTER_SOURCE!$A$2:$A$495,0)),""))</f>
        <v/>
      </c>
      <c r="M2989" s="24" t="n"/>
      <c r="N2989" s="24" t="n"/>
      <c r="O2989" s="24" t="n"/>
      <c r="P2989" s="24" t="n"/>
      <c r="Q2989" s="22">
        <f>IF($D2989="","",IF(AND(OR(DANH_MUC!$L$5&lt;&gt;"Có",M2989="Có"),OR(DANH_MUC!$L$6&lt;&gt;"Có",N2989="Có"),OR(DANH_MUC!$L$7&lt;&gt;"Có",O2989="Có"),OR(DANH_MUC!$L$8&lt;&gt;"Có",P2989="Có")),"Có","Không"))</f>
        <v/>
      </c>
      <c r="R2989" s="22">
        <f>IF($D2989="","",IF(COUNTIF($D$2:$D2989,$D2989)&gt;1,"Trùng",""))</f>
        <v/>
      </c>
      <c r="S2989" s="22">
        <f>IF($D2989="","",IF(AND(LEN($D2989)=10,LEFT($D2989,1)="0",ISNUMBER(--$D2989)),"Có","Không"))</f>
        <v/>
      </c>
      <c r="T2989" s="22">
        <f>IF($D2989="","",IF(AND($C2989&lt;&gt;"",$Q2989="Có",$R2989="",$S2989="Có",AND($L2989&lt;&gt;"",OR($L2989&lt;&gt;"Chưa xác định",DANH_MUC!$L$9="Có"))),"Có","Không"))</f>
        <v/>
      </c>
      <c r="U2989" s="22">
        <f>IF(OR($D2989="",$T2989="Có"),"",IF($C2989="","Thiếu họ tên; ","")&amp;IF($S2989&lt;&gt;"Có","SĐT sai định dạng; ","")&amp;IF($R2989="Trùng","Trùng SĐT; ","")&amp;IF($Q2989&lt;&gt;"Có","Thiếu đồng ý bắt buộc; ","")&amp;IF($L2989="","Thiếu/sai Mã REF; ",IF(AND($L2989="Chưa xác định",DANH_MUC!$L$9&lt;&gt;"Có"),"Nguồn chưa xác định; ","")))</f>
        <v/>
      </c>
      <c r="V2989" s="22">
        <f>IF(OR($D2989="",$R2989="Trùng"),"",IF(COUNTIF(ORDERS!$C$2:$C$4995,$D2989)&gt;0,"Có","Không"))</f>
        <v/>
      </c>
      <c r="W2989" s="22">
        <f>IF(OR($D2989="",$R2989="Trùng"),"",COUNTIFS(ORDERS!$C$2:$C$4995,$D2989,ORDERS!$L$2:$L$4995,"Đã chuyển khoản"))</f>
        <v/>
      </c>
      <c r="X2989" s="23">
        <f>IF(OR($D2989="",$R2989="Trùng"),"",SUMIFS(ORDERS!$J$2:$J$4995,ORDERS!$C$2:$C$4995,$D2989,ORDERS!$L$2:$L$4995,"Đã chuyển khoản"))</f>
        <v/>
      </c>
      <c r="Y2989" s="24" t="n"/>
    </row>
    <row r="2990" ht="14.25" customHeight="1" s="40">
      <c r="A2990" s="24" t="n"/>
      <c r="B2990" s="27" t="n"/>
      <c r="C2990" s="24" t="n"/>
      <c r="D2990" s="28" t="n"/>
      <c r="E2990" s="29" t="n"/>
      <c r="F2990" s="24" t="n"/>
      <c r="G2990" s="24" t="n"/>
      <c r="H2990" s="21">
        <f>IF(ISNUMBER($B2990),INT($B2990)-WEEKDAY($B2990,2)+1,"")</f>
        <v/>
      </c>
      <c r="I2990" s="24" t="n"/>
      <c r="J2990" s="22">
        <f t="array" ref="J2990">IF($D2990="","",IF($I2990="","(trống REF)",IFERROR(INDEX(MASTER_SOURCE!$B$2:$B$495,MATCH($I2990,MASTER_SOURCE!$A$2:$A$495,0)),"(REF không có trong MASTER_SOURCE)")))</f>
        <v/>
      </c>
      <c r="K2990" s="22">
        <f t="array" ref="K2990">IF($D2990="","",IFERROR(INDEX(MASTER_SOURCE!$C$2:$C$495,MATCH($I2990,MASTER_SOURCE!$A$2:$A$495,0)),""))</f>
        <v/>
      </c>
      <c r="L2990" s="22">
        <f t="array" ref="L2990">IF($D2990="","",IFERROR(INDEX(MASTER_SOURCE!$D$2:$D$495,MATCH($I2990,MASTER_SOURCE!$A$2:$A$495,0)),""))</f>
        <v/>
      </c>
      <c r="M2990" s="24" t="n"/>
      <c r="N2990" s="24" t="n"/>
      <c r="O2990" s="24" t="n"/>
      <c r="P2990" s="24" t="n"/>
      <c r="Q2990" s="22">
        <f>IF($D2990="","",IF(AND(OR(DANH_MUC!$L$5&lt;&gt;"Có",M2990="Có"),OR(DANH_MUC!$L$6&lt;&gt;"Có",N2990="Có"),OR(DANH_MUC!$L$7&lt;&gt;"Có",O2990="Có"),OR(DANH_MUC!$L$8&lt;&gt;"Có",P2990="Có")),"Có","Không"))</f>
        <v/>
      </c>
      <c r="R2990" s="22">
        <f>IF($D2990="","",IF(COUNTIF($D$2:$D2990,$D2990)&gt;1,"Trùng",""))</f>
        <v/>
      </c>
      <c r="S2990" s="22">
        <f>IF($D2990="","",IF(AND(LEN($D2990)=10,LEFT($D2990,1)="0",ISNUMBER(--$D2990)),"Có","Không"))</f>
        <v/>
      </c>
      <c r="T2990" s="22">
        <f>IF($D2990="","",IF(AND($C2990&lt;&gt;"",$Q2990="Có",$R2990="",$S2990="Có",AND($L2990&lt;&gt;"",OR($L2990&lt;&gt;"Chưa xác định",DANH_MUC!$L$9="Có"))),"Có","Không"))</f>
        <v/>
      </c>
      <c r="U2990" s="22">
        <f>IF(OR($D2990="",$T2990="Có"),"",IF($C2990="","Thiếu họ tên; ","")&amp;IF($S2990&lt;&gt;"Có","SĐT sai định dạng; ","")&amp;IF($R2990="Trùng","Trùng SĐT; ","")&amp;IF($Q2990&lt;&gt;"Có","Thiếu đồng ý bắt buộc; ","")&amp;IF($L2990="","Thiếu/sai Mã REF; ",IF(AND($L2990="Chưa xác định",DANH_MUC!$L$9&lt;&gt;"Có"),"Nguồn chưa xác định; ","")))</f>
        <v/>
      </c>
      <c r="V2990" s="22">
        <f>IF(OR($D2990="",$R2990="Trùng"),"",IF(COUNTIF(ORDERS!$C$2:$C$4995,$D2990)&gt;0,"Có","Không"))</f>
        <v/>
      </c>
      <c r="W2990" s="22">
        <f>IF(OR($D2990="",$R2990="Trùng"),"",COUNTIFS(ORDERS!$C$2:$C$4995,$D2990,ORDERS!$L$2:$L$4995,"Đã chuyển khoản"))</f>
        <v/>
      </c>
      <c r="X2990" s="23">
        <f>IF(OR($D2990="",$R2990="Trùng"),"",SUMIFS(ORDERS!$J$2:$J$4995,ORDERS!$C$2:$C$4995,$D2990,ORDERS!$L$2:$L$4995,"Đã chuyển khoản"))</f>
        <v/>
      </c>
      <c r="Y2990" s="24" t="n"/>
    </row>
    <row r="2991" ht="14.25" customHeight="1" s="40">
      <c r="A2991" s="24" t="n"/>
      <c r="B2991" s="27" t="n"/>
      <c r="C2991" s="24" t="n"/>
      <c r="D2991" s="28" t="n"/>
      <c r="E2991" s="29" t="n"/>
      <c r="F2991" s="24" t="n"/>
      <c r="G2991" s="24" t="n"/>
      <c r="H2991" s="21">
        <f>IF(ISNUMBER($B2991),INT($B2991)-WEEKDAY($B2991,2)+1,"")</f>
        <v/>
      </c>
      <c r="I2991" s="24" t="n"/>
      <c r="J2991" s="22">
        <f t="array" ref="J2991">IF($D2991="","",IF($I2991="","(trống REF)",IFERROR(INDEX(MASTER_SOURCE!$B$2:$B$495,MATCH($I2991,MASTER_SOURCE!$A$2:$A$495,0)),"(REF không có trong MASTER_SOURCE)")))</f>
        <v/>
      </c>
      <c r="K2991" s="22">
        <f t="array" ref="K2991">IF($D2991="","",IFERROR(INDEX(MASTER_SOURCE!$C$2:$C$495,MATCH($I2991,MASTER_SOURCE!$A$2:$A$495,0)),""))</f>
        <v/>
      </c>
      <c r="L2991" s="22">
        <f t="array" ref="L2991">IF($D2991="","",IFERROR(INDEX(MASTER_SOURCE!$D$2:$D$495,MATCH($I2991,MASTER_SOURCE!$A$2:$A$495,0)),""))</f>
        <v/>
      </c>
      <c r="M2991" s="24" t="n"/>
      <c r="N2991" s="24" t="n"/>
      <c r="O2991" s="24" t="n"/>
      <c r="P2991" s="24" t="n"/>
      <c r="Q2991" s="22">
        <f>IF($D2991="","",IF(AND(OR(DANH_MUC!$L$5&lt;&gt;"Có",M2991="Có"),OR(DANH_MUC!$L$6&lt;&gt;"Có",N2991="Có"),OR(DANH_MUC!$L$7&lt;&gt;"Có",O2991="Có"),OR(DANH_MUC!$L$8&lt;&gt;"Có",P2991="Có")),"Có","Không"))</f>
        <v/>
      </c>
      <c r="R2991" s="22">
        <f>IF($D2991="","",IF(COUNTIF($D$2:$D2991,$D2991)&gt;1,"Trùng",""))</f>
        <v/>
      </c>
      <c r="S2991" s="22">
        <f>IF($D2991="","",IF(AND(LEN($D2991)=10,LEFT($D2991,1)="0",ISNUMBER(--$D2991)),"Có","Không"))</f>
        <v/>
      </c>
      <c r="T2991" s="22">
        <f>IF($D2991="","",IF(AND($C2991&lt;&gt;"",$Q2991="Có",$R2991="",$S2991="Có",AND($L2991&lt;&gt;"",OR($L2991&lt;&gt;"Chưa xác định",DANH_MUC!$L$9="Có"))),"Có","Không"))</f>
        <v/>
      </c>
      <c r="U2991" s="22">
        <f>IF(OR($D2991="",$T2991="Có"),"",IF($C2991="","Thiếu họ tên; ","")&amp;IF($S2991&lt;&gt;"Có","SĐT sai định dạng; ","")&amp;IF($R2991="Trùng","Trùng SĐT; ","")&amp;IF($Q2991&lt;&gt;"Có","Thiếu đồng ý bắt buộc; ","")&amp;IF($L2991="","Thiếu/sai Mã REF; ",IF(AND($L2991="Chưa xác định",DANH_MUC!$L$9&lt;&gt;"Có"),"Nguồn chưa xác định; ","")))</f>
        <v/>
      </c>
      <c r="V2991" s="22">
        <f>IF(OR($D2991="",$R2991="Trùng"),"",IF(COUNTIF(ORDERS!$C$2:$C$4995,$D2991)&gt;0,"Có","Không"))</f>
        <v/>
      </c>
      <c r="W2991" s="22">
        <f>IF(OR($D2991="",$R2991="Trùng"),"",COUNTIFS(ORDERS!$C$2:$C$4995,$D2991,ORDERS!$L$2:$L$4995,"Đã chuyển khoản"))</f>
        <v/>
      </c>
      <c r="X2991" s="23">
        <f>IF(OR($D2991="",$R2991="Trùng"),"",SUMIFS(ORDERS!$J$2:$J$4995,ORDERS!$C$2:$C$4995,$D2991,ORDERS!$L$2:$L$4995,"Đã chuyển khoản"))</f>
        <v/>
      </c>
      <c r="Y2991" s="24" t="n"/>
    </row>
    <row r="2992" ht="14.25" customHeight="1" s="40">
      <c r="A2992" s="24" t="n"/>
      <c r="B2992" s="27" t="n"/>
      <c r="C2992" s="24" t="n"/>
      <c r="D2992" s="28" t="n"/>
      <c r="E2992" s="29" t="n"/>
      <c r="F2992" s="24" t="n"/>
      <c r="G2992" s="24" t="n"/>
      <c r="H2992" s="21">
        <f>IF(ISNUMBER($B2992),INT($B2992)-WEEKDAY($B2992,2)+1,"")</f>
        <v/>
      </c>
      <c r="I2992" s="24" t="n"/>
      <c r="J2992" s="22">
        <f t="array" ref="J2992">IF($D2992="","",IF($I2992="","(trống REF)",IFERROR(INDEX(MASTER_SOURCE!$B$2:$B$495,MATCH($I2992,MASTER_SOURCE!$A$2:$A$495,0)),"(REF không có trong MASTER_SOURCE)")))</f>
        <v/>
      </c>
      <c r="K2992" s="22">
        <f t="array" ref="K2992">IF($D2992="","",IFERROR(INDEX(MASTER_SOURCE!$C$2:$C$495,MATCH($I2992,MASTER_SOURCE!$A$2:$A$495,0)),""))</f>
        <v/>
      </c>
      <c r="L2992" s="22">
        <f t="array" ref="L2992">IF($D2992="","",IFERROR(INDEX(MASTER_SOURCE!$D$2:$D$495,MATCH($I2992,MASTER_SOURCE!$A$2:$A$495,0)),""))</f>
        <v/>
      </c>
      <c r="M2992" s="24" t="n"/>
      <c r="N2992" s="24" t="n"/>
      <c r="O2992" s="24" t="n"/>
      <c r="P2992" s="24" t="n"/>
      <c r="Q2992" s="22">
        <f>IF($D2992="","",IF(AND(OR(DANH_MUC!$L$5&lt;&gt;"Có",M2992="Có"),OR(DANH_MUC!$L$6&lt;&gt;"Có",N2992="Có"),OR(DANH_MUC!$L$7&lt;&gt;"Có",O2992="Có"),OR(DANH_MUC!$L$8&lt;&gt;"Có",P2992="Có")),"Có","Không"))</f>
        <v/>
      </c>
      <c r="R2992" s="22">
        <f>IF($D2992="","",IF(COUNTIF($D$2:$D2992,$D2992)&gt;1,"Trùng",""))</f>
        <v/>
      </c>
      <c r="S2992" s="22">
        <f>IF($D2992="","",IF(AND(LEN($D2992)=10,LEFT($D2992,1)="0",ISNUMBER(--$D2992)),"Có","Không"))</f>
        <v/>
      </c>
      <c r="T2992" s="22">
        <f>IF($D2992="","",IF(AND($C2992&lt;&gt;"",$Q2992="Có",$R2992="",$S2992="Có",AND($L2992&lt;&gt;"",OR($L2992&lt;&gt;"Chưa xác định",DANH_MUC!$L$9="Có"))),"Có","Không"))</f>
        <v/>
      </c>
      <c r="U2992" s="22">
        <f>IF(OR($D2992="",$T2992="Có"),"",IF($C2992="","Thiếu họ tên; ","")&amp;IF($S2992&lt;&gt;"Có","SĐT sai định dạng; ","")&amp;IF($R2992="Trùng","Trùng SĐT; ","")&amp;IF($Q2992&lt;&gt;"Có","Thiếu đồng ý bắt buộc; ","")&amp;IF($L2992="","Thiếu/sai Mã REF; ",IF(AND($L2992="Chưa xác định",DANH_MUC!$L$9&lt;&gt;"Có"),"Nguồn chưa xác định; ","")))</f>
        <v/>
      </c>
      <c r="V2992" s="22">
        <f>IF(OR($D2992="",$R2992="Trùng"),"",IF(COUNTIF(ORDERS!$C$2:$C$4995,$D2992)&gt;0,"Có","Không"))</f>
        <v/>
      </c>
      <c r="W2992" s="22">
        <f>IF(OR($D2992="",$R2992="Trùng"),"",COUNTIFS(ORDERS!$C$2:$C$4995,$D2992,ORDERS!$L$2:$L$4995,"Đã chuyển khoản"))</f>
        <v/>
      </c>
      <c r="X2992" s="23">
        <f>IF(OR($D2992="",$R2992="Trùng"),"",SUMIFS(ORDERS!$J$2:$J$4995,ORDERS!$C$2:$C$4995,$D2992,ORDERS!$L$2:$L$4995,"Đã chuyển khoản"))</f>
        <v/>
      </c>
      <c r="Y2992" s="24" t="n"/>
    </row>
    <row r="2993" ht="14.25" customHeight="1" s="40">
      <c r="A2993" s="24" t="n"/>
      <c r="B2993" s="27" t="n"/>
      <c r="C2993" s="24" t="n"/>
      <c r="D2993" s="28" t="n"/>
      <c r="E2993" s="29" t="n"/>
      <c r="F2993" s="24" t="n"/>
      <c r="G2993" s="24" t="n"/>
      <c r="H2993" s="21">
        <f>IF(ISNUMBER($B2993),INT($B2993)-WEEKDAY($B2993,2)+1,"")</f>
        <v/>
      </c>
      <c r="I2993" s="24" t="n"/>
      <c r="J2993" s="22">
        <f t="array" ref="J2993">IF($D2993="","",IF($I2993="","(trống REF)",IFERROR(INDEX(MASTER_SOURCE!$B$2:$B$495,MATCH($I2993,MASTER_SOURCE!$A$2:$A$495,0)),"(REF không có trong MASTER_SOURCE)")))</f>
        <v/>
      </c>
      <c r="K2993" s="22">
        <f t="array" ref="K2993">IF($D2993="","",IFERROR(INDEX(MASTER_SOURCE!$C$2:$C$495,MATCH($I2993,MASTER_SOURCE!$A$2:$A$495,0)),""))</f>
        <v/>
      </c>
      <c r="L2993" s="22">
        <f t="array" ref="L2993">IF($D2993="","",IFERROR(INDEX(MASTER_SOURCE!$D$2:$D$495,MATCH($I2993,MASTER_SOURCE!$A$2:$A$495,0)),""))</f>
        <v/>
      </c>
      <c r="M2993" s="24" t="n"/>
      <c r="N2993" s="24" t="n"/>
      <c r="O2993" s="24" t="n"/>
      <c r="P2993" s="24" t="n"/>
      <c r="Q2993" s="22">
        <f>IF($D2993="","",IF(AND(OR(DANH_MUC!$L$5&lt;&gt;"Có",M2993="Có"),OR(DANH_MUC!$L$6&lt;&gt;"Có",N2993="Có"),OR(DANH_MUC!$L$7&lt;&gt;"Có",O2993="Có"),OR(DANH_MUC!$L$8&lt;&gt;"Có",P2993="Có")),"Có","Không"))</f>
        <v/>
      </c>
      <c r="R2993" s="22">
        <f>IF($D2993="","",IF(COUNTIF($D$2:$D2993,$D2993)&gt;1,"Trùng",""))</f>
        <v/>
      </c>
      <c r="S2993" s="22">
        <f>IF($D2993="","",IF(AND(LEN($D2993)=10,LEFT($D2993,1)="0",ISNUMBER(--$D2993)),"Có","Không"))</f>
        <v/>
      </c>
      <c r="T2993" s="22">
        <f>IF($D2993="","",IF(AND($C2993&lt;&gt;"",$Q2993="Có",$R2993="",$S2993="Có",AND($L2993&lt;&gt;"",OR($L2993&lt;&gt;"Chưa xác định",DANH_MUC!$L$9="Có"))),"Có","Không"))</f>
        <v/>
      </c>
      <c r="U2993" s="22">
        <f>IF(OR($D2993="",$T2993="Có"),"",IF($C2993="","Thiếu họ tên; ","")&amp;IF($S2993&lt;&gt;"Có","SĐT sai định dạng; ","")&amp;IF($R2993="Trùng","Trùng SĐT; ","")&amp;IF($Q2993&lt;&gt;"Có","Thiếu đồng ý bắt buộc; ","")&amp;IF($L2993="","Thiếu/sai Mã REF; ",IF(AND($L2993="Chưa xác định",DANH_MUC!$L$9&lt;&gt;"Có"),"Nguồn chưa xác định; ","")))</f>
        <v/>
      </c>
      <c r="V2993" s="22">
        <f>IF(OR($D2993="",$R2993="Trùng"),"",IF(COUNTIF(ORDERS!$C$2:$C$4995,$D2993)&gt;0,"Có","Không"))</f>
        <v/>
      </c>
      <c r="W2993" s="22">
        <f>IF(OR($D2993="",$R2993="Trùng"),"",COUNTIFS(ORDERS!$C$2:$C$4995,$D2993,ORDERS!$L$2:$L$4995,"Đã chuyển khoản"))</f>
        <v/>
      </c>
      <c r="X2993" s="23">
        <f>IF(OR($D2993="",$R2993="Trùng"),"",SUMIFS(ORDERS!$J$2:$J$4995,ORDERS!$C$2:$C$4995,$D2993,ORDERS!$L$2:$L$4995,"Đã chuyển khoản"))</f>
        <v/>
      </c>
      <c r="Y2993" s="24" t="n"/>
    </row>
    <row r="2994" ht="14.25" customHeight="1" s="40">
      <c r="A2994" s="24" t="n"/>
      <c r="B2994" s="27" t="n"/>
      <c r="C2994" s="24" t="n"/>
      <c r="D2994" s="28" t="n"/>
      <c r="E2994" s="29" t="n"/>
      <c r="F2994" s="24" t="n"/>
      <c r="G2994" s="24" t="n"/>
      <c r="H2994" s="21">
        <f>IF(ISNUMBER($B2994),INT($B2994)-WEEKDAY($B2994,2)+1,"")</f>
        <v/>
      </c>
      <c r="I2994" s="24" t="n"/>
      <c r="J2994" s="22">
        <f t="array" ref="J2994">IF($D2994="","",IF($I2994="","(trống REF)",IFERROR(INDEX(MASTER_SOURCE!$B$2:$B$495,MATCH($I2994,MASTER_SOURCE!$A$2:$A$495,0)),"(REF không có trong MASTER_SOURCE)")))</f>
        <v/>
      </c>
      <c r="K2994" s="22">
        <f t="array" ref="K2994">IF($D2994="","",IFERROR(INDEX(MASTER_SOURCE!$C$2:$C$495,MATCH($I2994,MASTER_SOURCE!$A$2:$A$495,0)),""))</f>
        <v/>
      </c>
      <c r="L2994" s="22">
        <f t="array" ref="L2994">IF($D2994="","",IFERROR(INDEX(MASTER_SOURCE!$D$2:$D$495,MATCH($I2994,MASTER_SOURCE!$A$2:$A$495,0)),""))</f>
        <v/>
      </c>
      <c r="M2994" s="24" t="n"/>
      <c r="N2994" s="24" t="n"/>
      <c r="O2994" s="24" t="n"/>
      <c r="P2994" s="24" t="n"/>
      <c r="Q2994" s="22">
        <f>IF($D2994="","",IF(AND(OR(DANH_MUC!$L$5&lt;&gt;"Có",M2994="Có"),OR(DANH_MUC!$L$6&lt;&gt;"Có",N2994="Có"),OR(DANH_MUC!$L$7&lt;&gt;"Có",O2994="Có"),OR(DANH_MUC!$L$8&lt;&gt;"Có",P2994="Có")),"Có","Không"))</f>
        <v/>
      </c>
      <c r="R2994" s="22">
        <f>IF($D2994="","",IF(COUNTIF($D$2:$D2994,$D2994)&gt;1,"Trùng",""))</f>
        <v/>
      </c>
      <c r="S2994" s="22">
        <f>IF($D2994="","",IF(AND(LEN($D2994)=10,LEFT($D2994,1)="0",ISNUMBER(--$D2994)),"Có","Không"))</f>
        <v/>
      </c>
      <c r="T2994" s="22">
        <f>IF($D2994="","",IF(AND($C2994&lt;&gt;"",$Q2994="Có",$R2994="",$S2994="Có",AND($L2994&lt;&gt;"",OR($L2994&lt;&gt;"Chưa xác định",DANH_MUC!$L$9="Có"))),"Có","Không"))</f>
        <v/>
      </c>
      <c r="U2994" s="22">
        <f>IF(OR($D2994="",$T2994="Có"),"",IF($C2994="","Thiếu họ tên; ","")&amp;IF($S2994&lt;&gt;"Có","SĐT sai định dạng; ","")&amp;IF($R2994="Trùng","Trùng SĐT; ","")&amp;IF($Q2994&lt;&gt;"Có","Thiếu đồng ý bắt buộc; ","")&amp;IF($L2994="","Thiếu/sai Mã REF; ",IF(AND($L2994="Chưa xác định",DANH_MUC!$L$9&lt;&gt;"Có"),"Nguồn chưa xác định; ","")))</f>
        <v/>
      </c>
      <c r="V2994" s="22">
        <f>IF(OR($D2994="",$R2994="Trùng"),"",IF(COUNTIF(ORDERS!$C$2:$C$4995,$D2994)&gt;0,"Có","Không"))</f>
        <v/>
      </c>
      <c r="W2994" s="22">
        <f>IF(OR($D2994="",$R2994="Trùng"),"",COUNTIFS(ORDERS!$C$2:$C$4995,$D2994,ORDERS!$L$2:$L$4995,"Đã chuyển khoản"))</f>
        <v/>
      </c>
      <c r="X2994" s="23">
        <f>IF(OR($D2994="",$R2994="Trùng"),"",SUMIFS(ORDERS!$J$2:$J$4995,ORDERS!$C$2:$C$4995,$D2994,ORDERS!$L$2:$L$4995,"Đã chuyển khoản"))</f>
        <v/>
      </c>
      <c r="Y2994" s="24" t="n"/>
    </row>
    <row r="2995" ht="14.25" customHeight="1" s="40">
      <c r="A2995" s="24" t="n"/>
      <c r="B2995" s="27" t="n"/>
      <c r="C2995" s="24" t="n"/>
      <c r="D2995" s="28" t="n"/>
      <c r="E2995" s="29" t="n"/>
      <c r="F2995" s="24" t="n"/>
      <c r="G2995" s="24" t="n"/>
      <c r="H2995" s="21">
        <f>IF(ISNUMBER($B2995),INT($B2995)-WEEKDAY($B2995,2)+1,"")</f>
        <v/>
      </c>
      <c r="I2995" s="24" t="n"/>
      <c r="J2995" s="22">
        <f t="array" ref="J2995">IF($D2995="","",IF($I2995="","(trống REF)",IFERROR(INDEX(MASTER_SOURCE!$B$2:$B$495,MATCH($I2995,MASTER_SOURCE!$A$2:$A$495,0)),"(REF không có trong MASTER_SOURCE)")))</f>
        <v/>
      </c>
      <c r="K2995" s="22">
        <f t="array" ref="K2995">IF($D2995="","",IFERROR(INDEX(MASTER_SOURCE!$C$2:$C$495,MATCH($I2995,MASTER_SOURCE!$A$2:$A$495,0)),""))</f>
        <v/>
      </c>
      <c r="L2995" s="22">
        <f t="array" ref="L2995">IF($D2995="","",IFERROR(INDEX(MASTER_SOURCE!$D$2:$D$495,MATCH($I2995,MASTER_SOURCE!$A$2:$A$495,0)),""))</f>
        <v/>
      </c>
      <c r="M2995" s="24" t="n"/>
      <c r="N2995" s="24" t="n"/>
      <c r="O2995" s="24" t="n"/>
      <c r="P2995" s="24" t="n"/>
      <c r="Q2995" s="22">
        <f>IF($D2995="","",IF(AND(OR(DANH_MUC!$L$5&lt;&gt;"Có",M2995="Có"),OR(DANH_MUC!$L$6&lt;&gt;"Có",N2995="Có"),OR(DANH_MUC!$L$7&lt;&gt;"Có",O2995="Có"),OR(DANH_MUC!$L$8&lt;&gt;"Có",P2995="Có")),"Có","Không"))</f>
        <v/>
      </c>
      <c r="R2995" s="22">
        <f>IF($D2995="","",IF(COUNTIF($D$2:$D2995,$D2995)&gt;1,"Trùng",""))</f>
        <v/>
      </c>
      <c r="S2995" s="22">
        <f>IF($D2995="","",IF(AND(LEN($D2995)=10,LEFT($D2995,1)="0",ISNUMBER(--$D2995)),"Có","Không"))</f>
        <v/>
      </c>
      <c r="T2995" s="22">
        <f>IF($D2995="","",IF(AND($C2995&lt;&gt;"",$Q2995="Có",$R2995="",$S2995="Có",AND($L2995&lt;&gt;"",OR($L2995&lt;&gt;"Chưa xác định",DANH_MUC!$L$9="Có"))),"Có","Không"))</f>
        <v/>
      </c>
      <c r="U2995" s="22">
        <f>IF(OR($D2995="",$T2995="Có"),"",IF($C2995="","Thiếu họ tên; ","")&amp;IF($S2995&lt;&gt;"Có","SĐT sai định dạng; ","")&amp;IF($R2995="Trùng","Trùng SĐT; ","")&amp;IF($Q2995&lt;&gt;"Có","Thiếu đồng ý bắt buộc; ","")&amp;IF($L2995="","Thiếu/sai Mã REF; ",IF(AND($L2995="Chưa xác định",DANH_MUC!$L$9&lt;&gt;"Có"),"Nguồn chưa xác định; ","")))</f>
        <v/>
      </c>
      <c r="V2995" s="22">
        <f>IF(OR($D2995="",$R2995="Trùng"),"",IF(COUNTIF(ORDERS!$C$2:$C$4995,$D2995)&gt;0,"Có","Không"))</f>
        <v/>
      </c>
      <c r="W2995" s="22">
        <f>IF(OR($D2995="",$R2995="Trùng"),"",COUNTIFS(ORDERS!$C$2:$C$4995,$D2995,ORDERS!$L$2:$L$4995,"Đã chuyển khoản"))</f>
        <v/>
      </c>
      <c r="X2995" s="23">
        <f>IF(OR($D2995="",$R2995="Trùng"),"",SUMIFS(ORDERS!$J$2:$J$4995,ORDERS!$C$2:$C$4995,$D2995,ORDERS!$L$2:$L$4995,"Đã chuyển khoản"))</f>
        <v/>
      </c>
      <c r="Y2995" s="24" t="n"/>
    </row>
    <row r="2996" ht="14.25" customHeight="1" s="40">
      <c r="A2996" s="24" t="n"/>
      <c r="B2996" s="27" t="n"/>
      <c r="C2996" s="24" t="n"/>
      <c r="D2996" s="28" t="n"/>
      <c r="E2996" s="29" t="n"/>
      <c r="F2996" s="24" t="n"/>
      <c r="G2996" s="24" t="n"/>
      <c r="H2996" s="21">
        <f>IF(ISNUMBER($B2996),INT($B2996)-WEEKDAY($B2996,2)+1,"")</f>
        <v/>
      </c>
      <c r="I2996" s="24" t="n"/>
      <c r="J2996" s="22">
        <f t="array" ref="J2996">IF($D2996="","",IF($I2996="","(trống REF)",IFERROR(INDEX(MASTER_SOURCE!$B$2:$B$495,MATCH($I2996,MASTER_SOURCE!$A$2:$A$495,0)),"(REF không có trong MASTER_SOURCE)")))</f>
        <v/>
      </c>
      <c r="K2996" s="22">
        <f t="array" ref="K2996">IF($D2996="","",IFERROR(INDEX(MASTER_SOURCE!$C$2:$C$495,MATCH($I2996,MASTER_SOURCE!$A$2:$A$495,0)),""))</f>
        <v/>
      </c>
      <c r="L2996" s="22">
        <f t="array" ref="L2996">IF($D2996="","",IFERROR(INDEX(MASTER_SOURCE!$D$2:$D$495,MATCH($I2996,MASTER_SOURCE!$A$2:$A$495,0)),""))</f>
        <v/>
      </c>
      <c r="M2996" s="24" t="n"/>
      <c r="N2996" s="24" t="n"/>
      <c r="O2996" s="24" t="n"/>
      <c r="P2996" s="24" t="n"/>
      <c r="Q2996" s="22">
        <f>IF($D2996="","",IF(AND(OR(DANH_MUC!$L$5&lt;&gt;"Có",M2996="Có"),OR(DANH_MUC!$L$6&lt;&gt;"Có",N2996="Có"),OR(DANH_MUC!$L$7&lt;&gt;"Có",O2996="Có"),OR(DANH_MUC!$L$8&lt;&gt;"Có",P2996="Có")),"Có","Không"))</f>
        <v/>
      </c>
      <c r="R2996" s="22">
        <f>IF($D2996="","",IF(COUNTIF($D$2:$D2996,$D2996)&gt;1,"Trùng",""))</f>
        <v/>
      </c>
      <c r="S2996" s="22">
        <f>IF($D2996="","",IF(AND(LEN($D2996)=10,LEFT($D2996,1)="0",ISNUMBER(--$D2996)),"Có","Không"))</f>
        <v/>
      </c>
      <c r="T2996" s="22">
        <f>IF($D2996="","",IF(AND($C2996&lt;&gt;"",$Q2996="Có",$R2996="",$S2996="Có",AND($L2996&lt;&gt;"",OR($L2996&lt;&gt;"Chưa xác định",DANH_MUC!$L$9="Có"))),"Có","Không"))</f>
        <v/>
      </c>
      <c r="U2996" s="22">
        <f>IF(OR($D2996="",$T2996="Có"),"",IF($C2996="","Thiếu họ tên; ","")&amp;IF($S2996&lt;&gt;"Có","SĐT sai định dạng; ","")&amp;IF($R2996="Trùng","Trùng SĐT; ","")&amp;IF($Q2996&lt;&gt;"Có","Thiếu đồng ý bắt buộc; ","")&amp;IF($L2996="","Thiếu/sai Mã REF; ",IF(AND($L2996="Chưa xác định",DANH_MUC!$L$9&lt;&gt;"Có"),"Nguồn chưa xác định; ","")))</f>
        <v/>
      </c>
      <c r="V2996" s="22">
        <f>IF(OR($D2996="",$R2996="Trùng"),"",IF(COUNTIF(ORDERS!$C$2:$C$4995,$D2996)&gt;0,"Có","Không"))</f>
        <v/>
      </c>
      <c r="W2996" s="22">
        <f>IF(OR($D2996="",$R2996="Trùng"),"",COUNTIFS(ORDERS!$C$2:$C$4995,$D2996,ORDERS!$L$2:$L$4995,"Đã chuyển khoản"))</f>
        <v/>
      </c>
      <c r="X2996" s="23">
        <f>IF(OR($D2996="",$R2996="Trùng"),"",SUMIFS(ORDERS!$J$2:$J$4995,ORDERS!$C$2:$C$4995,$D2996,ORDERS!$L$2:$L$4995,"Đã chuyển khoản"))</f>
        <v/>
      </c>
      <c r="Y2996" s="24" t="n"/>
    </row>
    <row r="2997" ht="14.25" customHeight="1" s="40">
      <c r="A2997" s="24" t="n"/>
      <c r="B2997" s="27" t="n"/>
      <c r="C2997" s="24" t="n"/>
      <c r="D2997" s="28" t="n"/>
      <c r="E2997" s="29" t="n"/>
      <c r="F2997" s="24" t="n"/>
      <c r="G2997" s="24" t="n"/>
      <c r="H2997" s="21">
        <f>IF(ISNUMBER($B2997),INT($B2997)-WEEKDAY($B2997,2)+1,"")</f>
        <v/>
      </c>
      <c r="I2997" s="24" t="n"/>
      <c r="J2997" s="22">
        <f t="array" ref="J2997">IF($D2997="","",IF($I2997="","(trống REF)",IFERROR(INDEX(MASTER_SOURCE!$B$2:$B$495,MATCH($I2997,MASTER_SOURCE!$A$2:$A$495,0)),"(REF không có trong MASTER_SOURCE)")))</f>
        <v/>
      </c>
      <c r="K2997" s="22">
        <f t="array" ref="K2997">IF($D2997="","",IFERROR(INDEX(MASTER_SOURCE!$C$2:$C$495,MATCH($I2997,MASTER_SOURCE!$A$2:$A$495,0)),""))</f>
        <v/>
      </c>
      <c r="L2997" s="22">
        <f t="array" ref="L2997">IF($D2997="","",IFERROR(INDEX(MASTER_SOURCE!$D$2:$D$495,MATCH($I2997,MASTER_SOURCE!$A$2:$A$495,0)),""))</f>
        <v/>
      </c>
      <c r="M2997" s="24" t="n"/>
      <c r="N2997" s="24" t="n"/>
      <c r="O2997" s="24" t="n"/>
      <c r="P2997" s="24" t="n"/>
      <c r="Q2997" s="22">
        <f>IF($D2997="","",IF(AND(OR(DANH_MUC!$L$5&lt;&gt;"Có",M2997="Có"),OR(DANH_MUC!$L$6&lt;&gt;"Có",N2997="Có"),OR(DANH_MUC!$L$7&lt;&gt;"Có",O2997="Có"),OR(DANH_MUC!$L$8&lt;&gt;"Có",P2997="Có")),"Có","Không"))</f>
        <v/>
      </c>
      <c r="R2997" s="22">
        <f>IF($D2997="","",IF(COUNTIF($D$2:$D2997,$D2997)&gt;1,"Trùng",""))</f>
        <v/>
      </c>
      <c r="S2997" s="22">
        <f>IF($D2997="","",IF(AND(LEN($D2997)=10,LEFT($D2997,1)="0",ISNUMBER(--$D2997)),"Có","Không"))</f>
        <v/>
      </c>
      <c r="T2997" s="22">
        <f>IF($D2997="","",IF(AND($C2997&lt;&gt;"",$Q2997="Có",$R2997="",$S2997="Có",AND($L2997&lt;&gt;"",OR($L2997&lt;&gt;"Chưa xác định",DANH_MUC!$L$9="Có"))),"Có","Không"))</f>
        <v/>
      </c>
      <c r="U2997" s="22">
        <f>IF(OR($D2997="",$T2997="Có"),"",IF($C2997="","Thiếu họ tên; ","")&amp;IF($S2997&lt;&gt;"Có","SĐT sai định dạng; ","")&amp;IF($R2997="Trùng","Trùng SĐT; ","")&amp;IF($Q2997&lt;&gt;"Có","Thiếu đồng ý bắt buộc; ","")&amp;IF($L2997="","Thiếu/sai Mã REF; ",IF(AND($L2997="Chưa xác định",DANH_MUC!$L$9&lt;&gt;"Có"),"Nguồn chưa xác định; ","")))</f>
        <v/>
      </c>
      <c r="V2997" s="22">
        <f>IF(OR($D2997="",$R2997="Trùng"),"",IF(COUNTIF(ORDERS!$C$2:$C$4995,$D2997)&gt;0,"Có","Không"))</f>
        <v/>
      </c>
      <c r="W2997" s="22">
        <f>IF(OR($D2997="",$R2997="Trùng"),"",COUNTIFS(ORDERS!$C$2:$C$4995,$D2997,ORDERS!$L$2:$L$4995,"Đã chuyển khoản"))</f>
        <v/>
      </c>
      <c r="X2997" s="23">
        <f>IF(OR($D2997="",$R2997="Trùng"),"",SUMIFS(ORDERS!$J$2:$J$4995,ORDERS!$C$2:$C$4995,$D2997,ORDERS!$L$2:$L$4995,"Đã chuyển khoản"))</f>
        <v/>
      </c>
      <c r="Y2997" s="24" t="n"/>
    </row>
    <row r="2998" ht="14.25" customHeight="1" s="40">
      <c r="A2998" s="24" t="n"/>
      <c r="B2998" s="27" t="n"/>
      <c r="C2998" s="24" t="n"/>
      <c r="D2998" s="28" t="n"/>
      <c r="E2998" s="29" t="n"/>
      <c r="F2998" s="24" t="n"/>
      <c r="G2998" s="24" t="n"/>
      <c r="H2998" s="21">
        <f>IF(ISNUMBER($B2998),INT($B2998)-WEEKDAY($B2998,2)+1,"")</f>
        <v/>
      </c>
      <c r="I2998" s="24" t="n"/>
      <c r="J2998" s="22">
        <f t="array" ref="J2998">IF($D2998="","",IF($I2998="","(trống REF)",IFERROR(INDEX(MASTER_SOURCE!$B$2:$B$495,MATCH($I2998,MASTER_SOURCE!$A$2:$A$495,0)),"(REF không có trong MASTER_SOURCE)")))</f>
        <v/>
      </c>
      <c r="K2998" s="22">
        <f t="array" ref="K2998">IF($D2998="","",IFERROR(INDEX(MASTER_SOURCE!$C$2:$C$495,MATCH($I2998,MASTER_SOURCE!$A$2:$A$495,0)),""))</f>
        <v/>
      </c>
      <c r="L2998" s="22">
        <f t="array" ref="L2998">IF($D2998="","",IFERROR(INDEX(MASTER_SOURCE!$D$2:$D$495,MATCH($I2998,MASTER_SOURCE!$A$2:$A$495,0)),""))</f>
        <v/>
      </c>
      <c r="M2998" s="24" t="n"/>
      <c r="N2998" s="24" t="n"/>
      <c r="O2998" s="24" t="n"/>
      <c r="P2998" s="24" t="n"/>
      <c r="Q2998" s="22">
        <f>IF($D2998="","",IF(AND(OR(DANH_MUC!$L$5&lt;&gt;"Có",M2998="Có"),OR(DANH_MUC!$L$6&lt;&gt;"Có",N2998="Có"),OR(DANH_MUC!$L$7&lt;&gt;"Có",O2998="Có"),OR(DANH_MUC!$L$8&lt;&gt;"Có",P2998="Có")),"Có","Không"))</f>
        <v/>
      </c>
      <c r="R2998" s="22">
        <f>IF($D2998="","",IF(COUNTIF($D$2:$D2998,$D2998)&gt;1,"Trùng",""))</f>
        <v/>
      </c>
      <c r="S2998" s="22">
        <f>IF($D2998="","",IF(AND(LEN($D2998)=10,LEFT($D2998,1)="0",ISNUMBER(--$D2998)),"Có","Không"))</f>
        <v/>
      </c>
      <c r="T2998" s="22">
        <f>IF($D2998="","",IF(AND($C2998&lt;&gt;"",$Q2998="Có",$R2998="",$S2998="Có",AND($L2998&lt;&gt;"",OR($L2998&lt;&gt;"Chưa xác định",DANH_MUC!$L$9="Có"))),"Có","Không"))</f>
        <v/>
      </c>
      <c r="U2998" s="22">
        <f>IF(OR($D2998="",$T2998="Có"),"",IF($C2998="","Thiếu họ tên; ","")&amp;IF($S2998&lt;&gt;"Có","SĐT sai định dạng; ","")&amp;IF($R2998="Trùng","Trùng SĐT; ","")&amp;IF($Q2998&lt;&gt;"Có","Thiếu đồng ý bắt buộc; ","")&amp;IF($L2998="","Thiếu/sai Mã REF; ",IF(AND($L2998="Chưa xác định",DANH_MUC!$L$9&lt;&gt;"Có"),"Nguồn chưa xác định; ","")))</f>
        <v/>
      </c>
      <c r="V2998" s="22">
        <f>IF(OR($D2998="",$R2998="Trùng"),"",IF(COUNTIF(ORDERS!$C$2:$C$4995,$D2998)&gt;0,"Có","Không"))</f>
        <v/>
      </c>
      <c r="W2998" s="22">
        <f>IF(OR($D2998="",$R2998="Trùng"),"",COUNTIFS(ORDERS!$C$2:$C$4995,$D2998,ORDERS!$L$2:$L$4995,"Đã chuyển khoản"))</f>
        <v/>
      </c>
      <c r="X2998" s="23">
        <f>IF(OR($D2998="",$R2998="Trùng"),"",SUMIFS(ORDERS!$J$2:$J$4995,ORDERS!$C$2:$C$4995,$D2998,ORDERS!$L$2:$L$4995,"Đã chuyển khoản"))</f>
        <v/>
      </c>
      <c r="Y2998" s="24" t="n"/>
    </row>
    <row r="2999" ht="14.25" customHeight="1" s="40">
      <c r="A2999" s="24" t="n"/>
      <c r="B2999" s="27" t="n"/>
      <c r="C2999" s="24" t="n"/>
      <c r="D2999" s="28" t="n"/>
      <c r="E2999" s="29" t="n"/>
      <c r="F2999" s="24" t="n"/>
      <c r="G2999" s="24" t="n"/>
      <c r="H2999" s="21">
        <f>IF(ISNUMBER($B2999),INT($B2999)-WEEKDAY($B2999,2)+1,"")</f>
        <v/>
      </c>
      <c r="I2999" s="24" t="n"/>
      <c r="J2999" s="22">
        <f t="array" ref="J2999">IF($D2999="","",IF($I2999="","(trống REF)",IFERROR(INDEX(MASTER_SOURCE!$B$2:$B$495,MATCH($I2999,MASTER_SOURCE!$A$2:$A$495,0)),"(REF không có trong MASTER_SOURCE)")))</f>
        <v/>
      </c>
      <c r="K2999" s="22">
        <f t="array" ref="K2999">IF($D2999="","",IFERROR(INDEX(MASTER_SOURCE!$C$2:$C$495,MATCH($I2999,MASTER_SOURCE!$A$2:$A$495,0)),""))</f>
        <v/>
      </c>
      <c r="L2999" s="22">
        <f t="array" ref="L2999">IF($D2999="","",IFERROR(INDEX(MASTER_SOURCE!$D$2:$D$495,MATCH($I2999,MASTER_SOURCE!$A$2:$A$495,0)),""))</f>
        <v/>
      </c>
      <c r="M2999" s="24" t="n"/>
      <c r="N2999" s="24" t="n"/>
      <c r="O2999" s="24" t="n"/>
      <c r="P2999" s="24" t="n"/>
      <c r="Q2999" s="22">
        <f>IF($D2999="","",IF(AND(OR(DANH_MUC!$L$5&lt;&gt;"Có",M2999="Có"),OR(DANH_MUC!$L$6&lt;&gt;"Có",N2999="Có"),OR(DANH_MUC!$L$7&lt;&gt;"Có",O2999="Có"),OR(DANH_MUC!$L$8&lt;&gt;"Có",P2999="Có")),"Có","Không"))</f>
        <v/>
      </c>
      <c r="R2999" s="22">
        <f>IF($D2999="","",IF(COUNTIF($D$2:$D2999,$D2999)&gt;1,"Trùng",""))</f>
        <v/>
      </c>
      <c r="S2999" s="22">
        <f>IF($D2999="","",IF(AND(LEN($D2999)=10,LEFT($D2999,1)="0",ISNUMBER(--$D2999)),"Có","Không"))</f>
        <v/>
      </c>
      <c r="T2999" s="22">
        <f>IF($D2999="","",IF(AND($C2999&lt;&gt;"",$Q2999="Có",$R2999="",$S2999="Có",AND($L2999&lt;&gt;"",OR($L2999&lt;&gt;"Chưa xác định",DANH_MUC!$L$9="Có"))),"Có","Không"))</f>
        <v/>
      </c>
      <c r="U2999" s="22">
        <f>IF(OR($D2999="",$T2999="Có"),"",IF($C2999="","Thiếu họ tên; ","")&amp;IF($S2999&lt;&gt;"Có","SĐT sai định dạng; ","")&amp;IF($R2999="Trùng","Trùng SĐT; ","")&amp;IF($Q2999&lt;&gt;"Có","Thiếu đồng ý bắt buộc; ","")&amp;IF($L2999="","Thiếu/sai Mã REF; ",IF(AND($L2999="Chưa xác định",DANH_MUC!$L$9&lt;&gt;"Có"),"Nguồn chưa xác định; ","")))</f>
        <v/>
      </c>
      <c r="V2999" s="22">
        <f>IF(OR($D2999="",$R2999="Trùng"),"",IF(COUNTIF(ORDERS!$C$2:$C$4995,$D2999)&gt;0,"Có","Không"))</f>
        <v/>
      </c>
      <c r="W2999" s="22">
        <f>IF(OR($D2999="",$R2999="Trùng"),"",COUNTIFS(ORDERS!$C$2:$C$4995,$D2999,ORDERS!$L$2:$L$4995,"Đã chuyển khoản"))</f>
        <v/>
      </c>
      <c r="X2999" s="23">
        <f>IF(OR($D2999="",$R2999="Trùng"),"",SUMIFS(ORDERS!$J$2:$J$4995,ORDERS!$C$2:$C$4995,$D2999,ORDERS!$L$2:$L$4995,"Đã chuyển khoản"))</f>
        <v/>
      </c>
      <c r="Y2999" s="24" t="n"/>
    </row>
    <row r="3000" ht="14.25" customHeight="1" s="40">
      <c r="A3000" s="24" t="n"/>
      <c r="B3000" s="27" t="n"/>
      <c r="C3000" s="24" t="n"/>
      <c r="D3000" s="28" t="n"/>
      <c r="E3000" s="29" t="n"/>
      <c r="F3000" s="24" t="n"/>
      <c r="G3000" s="24" t="n"/>
      <c r="H3000" s="21">
        <f>IF(ISNUMBER($B3000),INT($B3000)-WEEKDAY($B3000,2)+1,"")</f>
        <v/>
      </c>
      <c r="I3000" s="24" t="n"/>
      <c r="J3000" s="22">
        <f t="array" ref="J3000">IF($D3000="","",IF($I3000="","(trống REF)",IFERROR(INDEX(MASTER_SOURCE!$B$2:$B$495,MATCH($I3000,MASTER_SOURCE!$A$2:$A$495,0)),"(REF không có trong MASTER_SOURCE)")))</f>
        <v/>
      </c>
      <c r="K3000" s="22">
        <f t="array" ref="K3000">IF($D3000="","",IFERROR(INDEX(MASTER_SOURCE!$C$2:$C$495,MATCH($I3000,MASTER_SOURCE!$A$2:$A$495,0)),""))</f>
        <v/>
      </c>
      <c r="L3000" s="22">
        <f t="array" ref="L3000">IF($D3000="","",IFERROR(INDEX(MASTER_SOURCE!$D$2:$D$495,MATCH($I3000,MASTER_SOURCE!$A$2:$A$495,0)),""))</f>
        <v/>
      </c>
      <c r="M3000" s="24" t="n"/>
      <c r="N3000" s="24" t="n"/>
      <c r="O3000" s="24" t="n"/>
      <c r="P3000" s="24" t="n"/>
      <c r="Q3000" s="22">
        <f>IF($D3000="","",IF(AND(OR(DANH_MUC!$L$5&lt;&gt;"Có",M3000="Có"),OR(DANH_MUC!$L$6&lt;&gt;"Có",N3000="Có"),OR(DANH_MUC!$L$7&lt;&gt;"Có",O3000="Có"),OR(DANH_MUC!$L$8&lt;&gt;"Có",P3000="Có")),"Có","Không"))</f>
        <v/>
      </c>
      <c r="R3000" s="22">
        <f>IF($D3000="","",IF(COUNTIF($D$2:$D3000,$D3000)&gt;1,"Trùng",""))</f>
        <v/>
      </c>
      <c r="S3000" s="22">
        <f>IF($D3000="","",IF(AND(LEN($D3000)=10,LEFT($D3000,1)="0",ISNUMBER(--$D3000)),"Có","Không"))</f>
        <v/>
      </c>
      <c r="T3000" s="22">
        <f>IF($D3000="","",IF(AND($C3000&lt;&gt;"",$Q3000="Có",$R3000="",$S3000="Có",AND($L3000&lt;&gt;"",OR($L3000&lt;&gt;"Chưa xác định",DANH_MUC!$L$9="Có"))),"Có","Không"))</f>
        <v/>
      </c>
      <c r="U3000" s="22">
        <f>IF(OR($D3000="",$T3000="Có"),"",IF($C3000="","Thiếu họ tên; ","")&amp;IF($S3000&lt;&gt;"Có","SĐT sai định dạng; ","")&amp;IF($R3000="Trùng","Trùng SĐT; ","")&amp;IF($Q3000&lt;&gt;"Có","Thiếu đồng ý bắt buộc; ","")&amp;IF($L3000="","Thiếu/sai Mã REF; ",IF(AND($L3000="Chưa xác định",DANH_MUC!$L$9&lt;&gt;"Có"),"Nguồn chưa xác định; ","")))</f>
        <v/>
      </c>
      <c r="V3000" s="22">
        <f>IF(OR($D3000="",$R3000="Trùng"),"",IF(COUNTIF(ORDERS!$C$2:$C$4995,$D3000)&gt;0,"Có","Không"))</f>
        <v/>
      </c>
      <c r="W3000" s="22">
        <f>IF(OR($D3000="",$R3000="Trùng"),"",COUNTIFS(ORDERS!$C$2:$C$4995,$D3000,ORDERS!$L$2:$L$4995,"Đã chuyển khoản"))</f>
        <v/>
      </c>
      <c r="X3000" s="23">
        <f>IF(OR($D3000="",$R3000="Trùng"),"",SUMIFS(ORDERS!$J$2:$J$4995,ORDERS!$C$2:$C$4995,$D3000,ORDERS!$L$2:$L$4995,"Đã chuyển khoản"))</f>
        <v/>
      </c>
      <c r="Y3000" s="24" t="n"/>
    </row>
    <row r="3001" ht="14.25" customHeight="1" s="40">
      <c r="A3001" s="24" t="n"/>
      <c r="B3001" s="27" t="n"/>
      <c r="C3001" s="24" t="n"/>
      <c r="D3001" s="28" t="n"/>
      <c r="E3001" s="29" t="n"/>
      <c r="F3001" s="24" t="n"/>
      <c r="G3001" s="24" t="n"/>
      <c r="H3001" s="21">
        <f>IF(ISNUMBER($B3001),INT($B3001)-WEEKDAY($B3001,2)+1,"")</f>
        <v/>
      </c>
      <c r="I3001" s="24" t="n"/>
      <c r="J3001" s="22">
        <f t="array" ref="J3001">IF($D3001="","",IF($I3001="","(trống REF)",IFERROR(INDEX(MASTER_SOURCE!$B$2:$B$495,MATCH($I3001,MASTER_SOURCE!$A$2:$A$495,0)),"(REF không có trong MASTER_SOURCE)")))</f>
        <v/>
      </c>
      <c r="K3001" s="22">
        <f t="array" ref="K3001">IF($D3001="","",IFERROR(INDEX(MASTER_SOURCE!$C$2:$C$495,MATCH($I3001,MASTER_SOURCE!$A$2:$A$495,0)),""))</f>
        <v/>
      </c>
      <c r="L3001" s="22">
        <f t="array" ref="L3001">IF($D3001="","",IFERROR(INDEX(MASTER_SOURCE!$D$2:$D$495,MATCH($I3001,MASTER_SOURCE!$A$2:$A$495,0)),""))</f>
        <v/>
      </c>
      <c r="M3001" s="24" t="n"/>
      <c r="N3001" s="24" t="n"/>
      <c r="O3001" s="24" t="n"/>
      <c r="P3001" s="24" t="n"/>
      <c r="Q3001" s="22">
        <f>IF($D3001="","",IF(AND(OR(DANH_MUC!$L$5&lt;&gt;"Có",M3001="Có"),OR(DANH_MUC!$L$6&lt;&gt;"Có",N3001="Có"),OR(DANH_MUC!$L$7&lt;&gt;"Có",O3001="Có"),OR(DANH_MUC!$L$8&lt;&gt;"Có",P3001="Có")),"Có","Không"))</f>
        <v/>
      </c>
      <c r="R3001" s="22">
        <f>IF($D3001="","",IF(COUNTIF($D$2:$D3001,$D3001)&gt;1,"Trùng",""))</f>
        <v/>
      </c>
      <c r="S3001" s="22">
        <f>IF($D3001="","",IF(AND(LEN($D3001)=10,LEFT($D3001,1)="0",ISNUMBER(--$D3001)),"Có","Không"))</f>
        <v/>
      </c>
      <c r="T3001" s="22">
        <f>IF($D3001="","",IF(AND($C3001&lt;&gt;"",$Q3001="Có",$R3001="",$S3001="Có",AND($L3001&lt;&gt;"",OR($L3001&lt;&gt;"Chưa xác định",DANH_MUC!$L$9="Có"))),"Có","Không"))</f>
        <v/>
      </c>
      <c r="U3001" s="22">
        <f>IF(OR($D3001="",$T3001="Có"),"",IF($C3001="","Thiếu họ tên; ","")&amp;IF($S3001&lt;&gt;"Có","SĐT sai định dạng; ","")&amp;IF($R3001="Trùng","Trùng SĐT; ","")&amp;IF($Q3001&lt;&gt;"Có","Thiếu đồng ý bắt buộc; ","")&amp;IF($L3001="","Thiếu/sai Mã REF; ",IF(AND($L3001="Chưa xác định",DANH_MUC!$L$9&lt;&gt;"Có"),"Nguồn chưa xác định; ","")))</f>
        <v/>
      </c>
      <c r="V3001" s="22">
        <f>IF(OR($D3001="",$R3001="Trùng"),"",IF(COUNTIF(ORDERS!$C$2:$C$4995,$D3001)&gt;0,"Có","Không"))</f>
        <v/>
      </c>
      <c r="W3001" s="22">
        <f>IF(OR($D3001="",$R3001="Trùng"),"",COUNTIFS(ORDERS!$C$2:$C$4995,$D3001,ORDERS!$L$2:$L$4995,"Đã chuyển khoản"))</f>
        <v/>
      </c>
      <c r="X3001" s="23">
        <f>IF(OR($D3001="",$R3001="Trùng"),"",SUMIFS(ORDERS!$J$2:$J$4995,ORDERS!$C$2:$C$4995,$D3001,ORDERS!$L$2:$L$4995,"Đã chuyển khoản"))</f>
        <v/>
      </c>
      <c r="Y3001" s="24" t="n"/>
    </row>
    <row r="3002" ht="14.25" customHeight="1" s="40">
      <c r="A3002" s="24" t="n"/>
      <c r="B3002" s="27" t="n"/>
      <c r="C3002" s="24" t="n"/>
      <c r="D3002" s="28" t="n"/>
      <c r="E3002" s="29" t="n"/>
      <c r="F3002" s="24" t="n"/>
      <c r="G3002" s="24" t="n"/>
      <c r="H3002" s="21">
        <f>IF(ISNUMBER($B3002),INT($B3002)-WEEKDAY($B3002,2)+1,"")</f>
        <v/>
      </c>
      <c r="I3002" s="24" t="n"/>
      <c r="J3002" s="22">
        <f t="array" ref="J3002">IF($D3002="","",IF($I3002="","(trống REF)",IFERROR(INDEX(MASTER_SOURCE!$B$2:$B$495,MATCH($I3002,MASTER_SOURCE!$A$2:$A$495,0)),"(REF không có trong MASTER_SOURCE)")))</f>
        <v/>
      </c>
      <c r="K3002" s="22">
        <f t="array" ref="K3002">IF($D3002="","",IFERROR(INDEX(MASTER_SOURCE!$C$2:$C$495,MATCH($I3002,MASTER_SOURCE!$A$2:$A$495,0)),""))</f>
        <v/>
      </c>
      <c r="L3002" s="22">
        <f t="array" ref="L3002">IF($D3002="","",IFERROR(INDEX(MASTER_SOURCE!$D$2:$D$495,MATCH($I3002,MASTER_SOURCE!$A$2:$A$495,0)),""))</f>
        <v/>
      </c>
      <c r="M3002" s="24" t="n"/>
      <c r="N3002" s="24" t="n"/>
      <c r="O3002" s="24" t="n"/>
      <c r="P3002" s="24" t="n"/>
      <c r="Q3002" s="22">
        <f>IF($D3002="","",IF(AND(OR(DANH_MUC!$L$5&lt;&gt;"Có",M3002="Có"),OR(DANH_MUC!$L$6&lt;&gt;"Có",N3002="Có"),OR(DANH_MUC!$L$7&lt;&gt;"Có",O3002="Có"),OR(DANH_MUC!$L$8&lt;&gt;"Có",P3002="Có")),"Có","Không"))</f>
        <v/>
      </c>
      <c r="R3002" s="22">
        <f>IF($D3002="","",IF(COUNTIF($D$2:$D3002,$D3002)&gt;1,"Trùng",""))</f>
        <v/>
      </c>
      <c r="S3002" s="22">
        <f>IF($D3002="","",IF(AND(LEN($D3002)=10,LEFT($D3002,1)="0",ISNUMBER(--$D3002)),"Có","Không"))</f>
        <v/>
      </c>
      <c r="T3002" s="22">
        <f>IF($D3002="","",IF(AND($C3002&lt;&gt;"",$Q3002="Có",$R3002="",$S3002="Có",AND($L3002&lt;&gt;"",OR($L3002&lt;&gt;"Chưa xác định",DANH_MUC!$L$9="Có"))),"Có","Không"))</f>
        <v/>
      </c>
      <c r="U3002" s="22">
        <f>IF(OR($D3002="",$T3002="Có"),"",IF($C3002="","Thiếu họ tên; ","")&amp;IF($S3002&lt;&gt;"Có","SĐT sai định dạng; ","")&amp;IF($R3002="Trùng","Trùng SĐT; ","")&amp;IF($Q3002&lt;&gt;"Có","Thiếu đồng ý bắt buộc; ","")&amp;IF($L3002="","Thiếu/sai Mã REF; ",IF(AND($L3002="Chưa xác định",DANH_MUC!$L$9&lt;&gt;"Có"),"Nguồn chưa xác định; ","")))</f>
        <v/>
      </c>
      <c r="V3002" s="22">
        <f>IF(OR($D3002="",$R3002="Trùng"),"",IF(COUNTIF(ORDERS!$C$2:$C$4995,$D3002)&gt;0,"Có","Không"))</f>
        <v/>
      </c>
      <c r="W3002" s="22">
        <f>IF(OR($D3002="",$R3002="Trùng"),"",COUNTIFS(ORDERS!$C$2:$C$4995,$D3002,ORDERS!$L$2:$L$4995,"Đã chuyển khoản"))</f>
        <v/>
      </c>
      <c r="X3002" s="23">
        <f>IF(OR($D3002="",$R3002="Trùng"),"",SUMIFS(ORDERS!$J$2:$J$4995,ORDERS!$C$2:$C$4995,$D3002,ORDERS!$L$2:$L$4995,"Đã chuyển khoản"))</f>
        <v/>
      </c>
      <c r="Y3002" s="24" t="n"/>
    </row>
    <row r="3003" ht="14.25" customHeight="1" s="40">
      <c r="A3003" s="24" t="n"/>
      <c r="B3003" s="27" t="n"/>
      <c r="C3003" s="24" t="n"/>
      <c r="D3003" s="28" t="n"/>
      <c r="E3003" s="29" t="n"/>
      <c r="F3003" s="24" t="n"/>
      <c r="G3003" s="24" t="n"/>
      <c r="H3003" s="21">
        <f>IF(ISNUMBER($B3003),INT($B3003)-WEEKDAY($B3003,2)+1,"")</f>
        <v/>
      </c>
      <c r="I3003" s="24" t="n"/>
      <c r="J3003" s="22">
        <f t="array" ref="J3003">IF($D3003="","",IF($I3003="","(trống REF)",IFERROR(INDEX(MASTER_SOURCE!$B$2:$B$495,MATCH($I3003,MASTER_SOURCE!$A$2:$A$495,0)),"(REF không có trong MASTER_SOURCE)")))</f>
        <v/>
      </c>
      <c r="K3003" s="22">
        <f t="array" ref="K3003">IF($D3003="","",IFERROR(INDEX(MASTER_SOURCE!$C$2:$C$495,MATCH($I3003,MASTER_SOURCE!$A$2:$A$495,0)),""))</f>
        <v/>
      </c>
      <c r="L3003" s="22">
        <f t="array" ref="L3003">IF($D3003="","",IFERROR(INDEX(MASTER_SOURCE!$D$2:$D$495,MATCH($I3003,MASTER_SOURCE!$A$2:$A$495,0)),""))</f>
        <v/>
      </c>
      <c r="M3003" s="24" t="n"/>
      <c r="N3003" s="24" t="n"/>
      <c r="O3003" s="24" t="n"/>
      <c r="P3003" s="24" t="n"/>
      <c r="Q3003" s="22">
        <f>IF($D3003="","",IF(AND(OR(DANH_MUC!$L$5&lt;&gt;"Có",M3003="Có"),OR(DANH_MUC!$L$6&lt;&gt;"Có",N3003="Có"),OR(DANH_MUC!$L$7&lt;&gt;"Có",O3003="Có"),OR(DANH_MUC!$L$8&lt;&gt;"Có",P3003="Có")),"Có","Không"))</f>
        <v/>
      </c>
      <c r="R3003" s="22">
        <f>IF($D3003="","",IF(COUNTIF($D$2:$D3003,$D3003)&gt;1,"Trùng",""))</f>
        <v/>
      </c>
      <c r="S3003" s="22">
        <f>IF($D3003="","",IF(AND(LEN($D3003)=10,LEFT($D3003,1)="0",ISNUMBER(--$D3003)),"Có","Không"))</f>
        <v/>
      </c>
      <c r="T3003" s="22">
        <f>IF($D3003="","",IF(AND($C3003&lt;&gt;"",$Q3003="Có",$R3003="",$S3003="Có",AND($L3003&lt;&gt;"",OR($L3003&lt;&gt;"Chưa xác định",DANH_MUC!$L$9="Có"))),"Có","Không"))</f>
        <v/>
      </c>
      <c r="U3003" s="22">
        <f>IF(OR($D3003="",$T3003="Có"),"",IF($C3003="","Thiếu họ tên; ","")&amp;IF($S3003&lt;&gt;"Có","SĐT sai định dạng; ","")&amp;IF($R3003="Trùng","Trùng SĐT; ","")&amp;IF($Q3003&lt;&gt;"Có","Thiếu đồng ý bắt buộc; ","")&amp;IF($L3003="","Thiếu/sai Mã REF; ",IF(AND($L3003="Chưa xác định",DANH_MUC!$L$9&lt;&gt;"Có"),"Nguồn chưa xác định; ","")))</f>
        <v/>
      </c>
      <c r="V3003" s="22">
        <f>IF(OR($D3003="",$R3003="Trùng"),"",IF(COUNTIF(ORDERS!$C$2:$C$4995,$D3003)&gt;0,"Có","Không"))</f>
        <v/>
      </c>
      <c r="W3003" s="22">
        <f>IF(OR($D3003="",$R3003="Trùng"),"",COUNTIFS(ORDERS!$C$2:$C$4995,$D3003,ORDERS!$L$2:$L$4995,"Đã chuyển khoản"))</f>
        <v/>
      </c>
      <c r="X3003" s="23">
        <f>IF(OR($D3003="",$R3003="Trùng"),"",SUMIFS(ORDERS!$J$2:$J$4995,ORDERS!$C$2:$C$4995,$D3003,ORDERS!$L$2:$L$4995,"Đã chuyển khoản"))</f>
        <v/>
      </c>
      <c r="Y3003" s="24" t="n"/>
    </row>
    <row r="3004" ht="14.25" customHeight="1" s="40">
      <c r="A3004" s="24" t="n"/>
      <c r="B3004" s="27" t="n"/>
      <c r="C3004" s="24" t="n"/>
      <c r="D3004" s="28" t="n"/>
      <c r="E3004" s="29" t="n"/>
      <c r="F3004" s="24" t="n"/>
      <c r="G3004" s="24" t="n"/>
      <c r="H3004" s="21">
        <f>IF(ISNUMBER($B3004),INT($B3004)-WEEKDAY($B3004,2)+1,"")</f>
        <v/>
      </c>
      <c r="I3004" s="24" t="n"/>
      <c r="J3004" s="22">
        <f t="array" ref="J3004">IF($D3004="","",IF($I3004="","(trống REF)",IFERROR(INDEX(MASTER_SOURCE!$B$2:$B$495,MATCH($I3004,MASTER_SOURCE!$A$2:$A$495,0)),"(REF không có trong MASTER_SOURCE)")))</f>
        <v/>
      </c>
      <c r="K3004" s="22">
        <f t="array" ref="K3004">IF($D3004="","",IFERROR(INDEX(MASTER_SOURCE!$C$2:$C$495,MATCH($I3004,MASTER_SOURCE!$A$2:$A$495,0)),""))</f>
        <v/>
      </c>
      <c r="L3004" s="22">
        <f t="array" ref="L3004">IF($D3004="","",IFERROR(INDEX(MASTER_SOURCE!$D$2:$D$495,MATCH($I3004,MASTER_SOURCE!$A$2:$A$495,0)),""))</f>
        <v/>
      </c>
      <c r="M3004" s="24" t="n"/>
      <c r="N3004" s="24" t="n"/>
      <c r="O3004" s="24" t="n"/>
      <c r="P3004" s="24" t="n"/>
      <c r="Q3004" s="22">
        <f>IF($D3004="","",IF(AND(OR(DANH_MUC!$L$5&lt;&gt;"Có",M3004="Có"),OR(DANH_MUC!$L$6&lt;&gt;"Có",N3004="Có"),OR(DANH_MUC!$L$7&lt;&gt;"Có",O3004="Có"),OR(DANH_MUC!$L$8&lt;&gt;"Có",P3004="Có")),"Có","Không"))</f>
        <v/>
      </c>
      <c r="R3004" s="22">
        <f>IF($D3004="","",IF(COUNTIF($D$2:$D3004,$D3004)&gt;1,"Trùng",""))</f>
        <v/>
      </c>
      <c r="S3004" s="22">
        <f>IF($D3004="","",IF(AND(LEN($D3004)=10,LEFT($D3004,1)="0",ISNUMBER(--$D3004)),"Có","Không"))</f>
        <v/>
      </c>
      <c r="T3004" s="22">
        <f>IF($D3004="","",IF(AND($C3004&lt;&gt;"",$Q3004="Có",$R3004="",$S3004="Có",AND($L3004&lt;&gt;"",OR($L3004&lt;&gt;"Chưa xác định",DANH_MUC!$L$9="Có"))),"Có","Không"))</f>
        <v/>
      </c>
      <c r="U3004" s="22">
        <f>IF(OR($D3004="",$T3004="Có"),"",IF($C3004="","Thiếu họ tên; ","")&amp;IF($S3004&lt;&gt;"Có","SĐT sai định dạng; ","")&amp;IF($R3004="Trùng","Trùng SĐT; ","")&amp;IF($Q3004&lt;&gt;"Có","Thiếu đồng ý bắt buộc; ","")&amp;IF($L3004="","Thiếu/sai Mã REF; ",IF(AND($L3004="Chưa xác định",DANH_MUC!$L$9&lt;&gt;"Có"),"Nguồn chưa xác định; ","")))</f>
        <v/>
      </c>
      <c r="V3004" s="22">
        <f>IF(OR($D3004="",$R3004="Trùng"),"",IF(COUNTIF(ORDERS!$C$2:$C$4995,$D3004)&gt;0,"Có","Không"))</f>
        <v/>
      </c>
      <c r="W3004" s="22">
        <f>IF(OR($D3004="",$R3004="Trùng"),"",COUNTIFS(ORDERS!$C$2:$C$4995,$D3004,ORDERS!$L$2:$L$4995,"Đã chuyển khoản"))</f>
        <v/>
      </c>
      <c r="X3004" s="23">
        <f>IF(OR($D3004="",$R3004="Trùng"),"",SUMIFS(ORDERS!$J$2:$J$4995,ORDERS!$C$2:$C$4995,$D3004,ORDERS!$L$2:$L$4995,"Đã chuyển khoản"))</f>
        <v/>
      </c>
      <c r="Y3004" s="24" t="n"/>
    </row>
    <row r="3005" ht="14.25" customHeight="1" s="40">
      <c r="A3005" s="24" t="n"/>
      <c r="B3005" s="27" t="n"/>
      <c r="C3005" s="24" t="n"/>
      <c r="D3005" s="28" t="n"/>
      <c r="E3005" s="29" t="n"/>
      <c r="F3005" s="24" t="n"/>
      <c r="G3005" s="24" t="n"/>
      <c r="H3005" s="21">
        <f>IF(ISNUMBER($B3005),INT($B3005)-WEEKDAY($B3005,2)+1,"")</f>
        <v/>
      </c>
      <c r="I3005" s="24" t="n"/>
      <c r="J3005" s="22">
        <f t="array" ref="J3005">IF($D3005="","",IF($I3005="","(trống REF)",IFERROR(INDEX(MASTER_SOURCE!$B$2:$B$495,MATCH($I3005,MASTER_SOURCE!$A$2:$A$495,0)),"(REF không có trong MASTER_SOURCE)")))</f>
        <v/>
      </c>
      <c r="K3005" s="22">
        <f t="array" ref="K3005">IF($D3005="","",IFERROR(INDEX(MASTER_SOURCE!$C$2:$C$495,MATCH($I3005,MASTER_SOURCE!$A$2:$A$495,0)),""))</f>
        <v/>
      </c>
      <c r="L3005" s="22">
        <f t="array" ref="L3005">IF($D3005="","",IFERROR(INDEX(MASTER_SOURCE!$D$2:$D$495,MATCH($I3005,MASTER_SOURCE!$A$2:$A$495,0)),""))</f>
        <v/>
      </c>
      <c r="M3005" s="24" t="n"/>
      <c r="N3005" s="24" t="n"/>
      <c r="O3005" s="24" t="n"/>
      <c r="P3005" s="24" t="n"/>
      <c r="Q3005" s="22">
        <f>IF($D3005="","",IF(AND(OR(DANH_MUC!$L$5&lt;&gt;"Có",M3005="Có"),OR(DANH_MUC!$L$6&lt;&gt;"Có",N3005="Có"),OR(DANH_MUC!$L$7&lt;&gt;"Có",O3005="Có"),OR(DANH_MUC!$L$8&lt;&gt;"Có",P3005="Có")),"Có","Không"))</f>
        <v/>
      </c>
      <c r="R3005" s="22">
        <f>IF($D3005="","",IF(COUNTIF($D$2:$D3005,$D3005)&gt;1,"Trùng",""))</f>
        <v/>
      </c>
      <c r="S3005" s="22">
        <f>IF($D3005="","",IF(AND(LEN($D3005)=10,LEFT($D3005,1)="0",ISNUMBER(--$D3005)),"Có","Không"))</f>
        <v/>
      </c>
      <c r="T3005" s="22">
        <f>IF($D3005="","",IF(AND($C3005&lt;&gt;"",$Q3005="Có",$R3005="",$S3005="Có",AND($L3005&lt;&gt;"",OR($L3005&lt;&gt;"Chưa xác định",DANH_MUC!$L$9="Có"))),"Có","Không"))</f>
        <v/>
      </c>
      <c r="U3005" s="22">
        <f>IF(OR($D3005="",$T3005="Có"),"",IF($C3005="","Thiếu họ tên; ","")&amp;IF($S3005&lt;&gt;"Có","SĐT sai định dạng; ","")&amp;IF($R3005="Trùng","Trùng SĐT; ","")&amp;IF($Q3005&lt;&gt;"Có","Thiếu đồng ý bắt buộc; ","")&amp;IF($L3005="","Thiếu/sai Mã REF; ",IF(AND($L3005="Chưa xác định",DANH_MUC!$L$9&lt;&gt;"Có"),"Nguồn chưa xác định; ","")))</f>
        <v/>
      </c>
      <c r="V3005" s="22">
        <f>IF(OR($D3005="",$R3005="Trùng"),"",IF(COUNTIF(ORDERS!$C$2:$C$4995,$D3005)&gt;0,"Có","Không"))</f>
        <v/>
      </c>
      <c r="W3005" s="22">
        <f>IF(OR($D3005="",$R3005="Trùng"),"",COUNTIFS(ORDERS!$C$2:$C$4995,$D3005,ORDERS!$L$2:$L$4995,"Đã chuyển khoản"))</f>
        <v/>
      </c>
      <c r="X3005" s="23">
        <f>IF(OR($D3005="",$R3005="Trùng"),"",SUMIFS(ORDERS!$J$2:$J$4995,ORDERS!$C$2:$C$4995,$D3005,ORDERS!$L$2:$L$4995,"Đã chuyển khoản"))</f>
        <v/>
      </c>
      <c r="Y3005" s="24" t="n"/>
    </row>
    <row r="3006" ht="14.25" customHeight="1" s="40">
      <c r="A3006" s="24" t="n"/>
      <c r="B3006" s="27" t="n"/>
      <c r="C3006" s="24" t="n"/>
      <c r="D3006" s="28" t="n"/>
      <c r="E3006" s="29" t="n"/>
      <c r="F3006" s="24" t="n"/>
      <c r="G3006" s="24" t="n"/>
      <c r="H3006" s="21">
        <f>IF(ISNUMBER($B3006),INT($B3006)-WEEKDAY($B3006,2)+1,"")</f>
        <v/>
      </c>
      <c r="I3006" s="24" t="n"/>
      <c r="J3006" s="22">
        <f t="array" ref="J3006">IF($D3006="","",IF($I3006="","(trống REF)",IFERROR(INDEX(MASTER_SOURCE!$B$2:$B$495,MATCH($I3006,MASTER_SOURCE!$A$2:$A$495,0)),"(REF không có trong MASTER_SOURCE)")))</f>
        <v/>
      </c>
      <c r="K3006" s="22">
        <f t="array" ref="K3006">IF($D3006="","",IFERROR(INDEX(MASTER_SOURCE!$C$2:$C$495,MATCH($I3006,MASTER_SOURCE!$A$2:$A$495,0)),""))</f>
        <v/>
      </c>
      <c r="L3006" s="22">
        <f t="array" ref="L3006">IF($D3006="","",IFERROR(INDEX(MASTER_SOURCE!$D$2:$D$495,MATCH($I3006,MASTER_SOURCE!$A$2:$A$495,0)),""))</f>
        <v/>
      </c>
      <c r="M3006" s="24" t="n"/>
      <c r="N3006" s="24" t="n"/>
      <c r="O3006" s="24" t="n"/>
      <c r="P3006" s="24" t="n"/>
      <c r="Q3006" s="22">
        <f>IF($D3006="","",IF(AND(OR(DANH_MUC!$L$5&lt;&gt;"Có",M3006="Có"),OR(DANH_MUC!$L$6&lt;&gt;"Có",N3006="Có"),OR(DANH_MUC!$L$7&lt;&gt;"Có",O3006="Có"),OR(DANH_MUC!$L$8&lt;&gt;"Có",P3006="Có")),"Có","Không"))</f>
        <v/>
      </c>
      <c r="R3006" s="22">
        <f>IF($D3006="","",IF(COUNTIF($D$2:$D3006,$D3006)&gt;1,"Trùng",""))</f>
        <v/>
      </c>
      <c r="S3006" s="22">
        <f>IF($D3006="","",IF(AND(LEN($D3006)=10,LEFT($D3006,1)="0",ISNUMBER(--$D3006)),"Có","Không"))</f>
        <v/>
      </c>
      <c r="T3006" s="22">
        <f>IF($D3006="","",IF(AND($C3006&lt;&gt;"",$Q3006="Có",$R3006="",$S3006="Có",AND($L3006&lt;&gt;"",OR($L3006&lt;&gt;"Chưa xác định",DANH_MUC!$L$9="Có"))),"Có","Không"))</f>
        <v/>
      </c>
      <c r="U3006" s="22">
        <f>IF(OR($D3006="",$T3006="Có"),"",IF($C3006="","Thiếu họ tên; ","")&amp;IF($S3006&lt;&gt;"Có","SĐT sai định dạng; ","")&amp;IF($R3006="Trùng","Trùng SĐT; ","")&amp;IF($Q3006&lt;&gt;"Có","Thiếu đồng ý bắt buộc; ","")&amp;IF($L3006="","Thiếu/sai Mã REF; ",IF(AND($L3006="Chưa xác định",DANH_MUC!$L$9&lt;&gt;"Có"),"Nguồn chưa xác định; ","")))</f>
        <v/>
      </c>
      <c r="V3006" s="22">
        <f>IF(OR($D3006="",$R3006="Trùng"),"",IF(COUNTIF(ORDERS!$C$2:$C$4995,$D3006)&gt;0,"Có","Không"))</f>
        <v/>
      </c>
      <c r="W3006" s="22">
        <f>IF(OR($D3006="",$R3006="Trùng"),"",COUNTIFS(ORDERS!$C$2:$C$4995,$D3006,ORDERS!$L$2:$L$4995,"Đã chuyển khoản"))</f>
        <v/>
      </c>
      <c r="X3006" s="23">
        <f>IF(OR($D3006="",$R3006="Trùng"),"",SUMIFS(ORDERS!$J$2:$J$4995,ORDERS!$C$2:$C$4995,$D3006,ORDERS!$L$2:$L$4995,"Đã chuyển khoản"))</f>
        <v/>
      </c>
      <c r="Y3006" s="24" t="n"/>
    </row>
    <row r="3007" ht="14.25" customHeight="1" s="40">
      <c r="A3007" s="24" t="n"/>
      <c r="B3007" s="27" t="n"/>
      <c r="C3007" s="24" t="n"/>
      <c r="D3007" s="28" t="n"/>
      <c r="E3007" s="29" t="n"/>
      <c r="F3007" s="24" t="n"/>
      <c r="G3007" s="24" t="n"/>
      <c r="H3007" s="21">
        <f>IF(ISNUMBER($B3007),INT($B3007)-WEEKDAY($B3007,2)+1,"")</f>
        <v/>
      </c>
      <c r="I3007" s="24" t="n"/>
      <c r="J3007" s="22">
        <f t="array" ref="J3007">IF($D3007="","",IF($I3007="","(trống REF)",IFERROR(INDEX(MASTER_SOURCE!$B$2:$B$495,MATCH($I3007,MASTER_SOURCE!$A$2:$A$495,0)),"(REF không có trong MASTER_SOURCE)")))</f>
        <v/>
      </c>
      <c r="K3007" s="22">
        <f t="array" ref="K3007">IF($D3007="","",IFERROR(INDEX(MASTER_SOURCE!$C$2:$C$495,MATCH($I3007,MASTER_SOURCE!$A$2:$A$495,0)),""))</f>
        <v/>
      </c>
      <c r="L3007" s="22">
        <f t="array" ref="L3007">IF($D3007="","",IFERROR(INDEX(MASTER_SOURCE!$D$2:$D$495,MATCH($I3007,MASTER_SOURCE!$A$2:$A$495,0)),""))</f>
        <v/>
      </c>
      <c r="M3007" s="24" t="n"/>
      <c r="N3007" s="24" t="n"/>
      <c r="O3007" s="24" t="n"/>
      <c r="P3007" s="24" t="n"/>
      <c r="Q3007" s="22">
        <f>IF($D3007="","",IF(AND(OR(DANH_MUC!$L$5&lt;&gt;"Có",M3007="Có"),OR(DANH_MUC!$L$6&lt;&gt;"Có",N3007="Có"),OR(DANH_MUC!$L$7&lt;&gt;"Có",O3007="Có"),OR(DANH_MUC!$L$8&lt;&gt;"Có",P3007="Có")),"Có","Không"))</f>
        <v/>
      </c>
      <c r="R3007" s="22">
        <f>IF($D3007="","",IF(COUNTIF($D$2:$D3007,$D3007)&gt;1,"Trùng",""))</f>
        <v/>
      </c>
      <c r="S3007" s="22">
        <f>IF($D3007="","",IF(AND(LEN($D3007)=10,LEFT($D3007,1)="0",ISNUMBER(--$D3007)),"Có","Không"))</f>
        <v/>
      </c>
      <c r="T3007" s="22">
        <f>IF($D3007="","",IF(AND($C3007&lt;&gt;"",$Q3007="Có",$R3007="",$S3007="Có",AND($L3007&lt;&gt;"",OR($L3007&lt;&gt;"Chưa xác định",DANH_MUC!$L$9="Có"))),"Có","Không"))</f>
        <v/>
      </c>
      <c r="U3007" s="22">
        <f>IF(OR($D3007="",$T3007="Có"),"",IF($C3007="","Thiếu họ tên; ","")&amp;IF($S3007&lt;&gt;"Có","SĐT sai định dạng; ","")&amp;IF($R3007="Trùng","Trùng SĐT; ","")&amp;IF($Q3007&lt;&gt;"Có","Thiếu đồng ý bắt buộc; ","")&amp;IF($L3007="","Thiếu/sai Mã REF; ",IF(AND($L3007="Chưa xác định",DANH_MUC!$L$9&lt;&gt;"Có"),"Nguồn chưa xác định; ","")))</f>
        <v/>
      </c>
      <c r="V3007" s="22">
        <f>IF(OR($D3007="",$R3007="Trùng"),"",IF(COUNTIF(ORDERS!$C$2:$C$4995,$D3007)&gt;0,"Có","Không"))</f>
        <v/>
      </c>
      <c r="W3007" s="22">
        <f>IF(OR($D3007="",$R3007="Trùng"),"",COUNTIFS(ORDERS!$C$2:$C$4995,$D3007,ORDERS!$L$2:$L$4995,"Đã chuyển khoản"))</f>
        <v/>
      </c>
      <c r="X3007" s="23">
        <f>IF(OR($D3007="",$R3007="Trùng"),"",SUMIFS(ORDERS!$J$2:$J$4995,ORDERS!$C$2:$C$4995,$D3007,ORDERS!$L$2:$L$4995,"Đã chuyển khoản"))</f>
        <v/>
      </c>
      <c r="Y3007" s="24" t="n"/>
    </row>
    <row r="3008" ht="14.25" customHeight="1" s="40">
      <c r="A3008" s="24" t="n"/>
      <c r="B3008" s="27" t="n"/>
      <c r="C3008" s="24" t="n"/>
      <c r="D3008" s="28" t="n"/>
      <c r="E3008" s="29" t="n"/>
      <c r="F3008" s="24" t="n"/>
      <c r="G3008" s="24" t="n"/>
      <c r="H3008" s="21">
        <f>IF(ISNUMBER($B3008),INT($B3008)-WEEKDAY($B3008,2)+1,"")</f>
        <v/>
      </c>
      <c r="I3008" s="24" t="n"/>
      <c r="J3008" s="22">
        <f t="array" ref="J3008">IF($D3008="","",IF($I3008="","(trống REF)",IFERROR(INDEX(MASTER_SOURCE!$B$2:$B$495,MATCH($I3008,MASTER_SOURCE!$A$2:$A$495,0)),"(REF không có trong MASTER_SOURCE)")))</f>
        <v/>
      </c>
      <c r="K3008" s="22">
        <f t="array" ref="K3008">IF($D3008="","",IFERROR(INDEX(MASTER_SOURCE!$C$2:$C$495,MATCH($I3008,MASTER_SOURCE!$A$2:$A$495,0)),""))</f>
        <v/>
      </c>
      <c r="L3008" s="22">
        <f t="array" ref="L3008">IF($D3008="","",IFERROR(INDEX(MASTER_SOURCE!$D$2:$D$495,MATCH($I3008,MASTER_SOURCE!$A$2:$A$495,0)),""))</f>
        <v/>
      </c>
      <c r="M3008" s="24" t="n"/>
      <c r="N3008" s="24" t="n"/>
      <c r="O3008" s="24" t="n"/>
      <c r="P3008" s="24" t="n"/>
      <c r="Q3008" s="22">
        <f>IF($D3008="","",IF(AND(OR(DANH_MUC!$L$5&lt;&gt;"Có",M3008="Có"),OR(DANH_MUC!$L$6&lt;&gt;"Có",N3008="Có"),OR(DANH_MUC!$L$7&lt;&gt;"Có",O3008="Có"),OR(DANH_MUC!$L$8&lt;&gt;"Có",P3008="Có")),"Có","Không"))</f>
        <v/>
      </c>
      <c r="R3008" s="22">
        <f>IF($D3008="","",IF(COUNTIF($D$2:$D3008,$D3008)&gt;1,"Trùng",""))</f>
        <v/>
      </c>
      <c r="S3008" s="22">
        <f>IF($D3008="","",IF(AND(LEN($D3008)=10,LEFT($D3008,1)="0",ISNUMBER(--$D3008)),"Có","Không"))</f>
        <v/>
      </c>
      <c r="T3008" s="22">
        <f>IF($D3008="","",IF(AND($C3008&lt;&gt;"",$Q3008="Có",$R3008="",$S3008="Có",AND($L3008&lt;&gt;"",OR($L3008&lt;&gt;"Chưa xác định",DANH_MUC!$L$9="Có"))),"Có","Không"))</f>
        <v/>
      </c>
      <c r="U3008" s="22">
        <f>IF(OR($D3008="",$T3008="Có"),"",IF($C3008="","Thiếu họ tên; ","")&amp;IF($S3008&lt;&gt;"Có","SĐT sai định dạng; ","")&amp;IF($R3008="Trùng","Trùng SĐT; ","")&amp;IF($Q3008&lt;&gt;"Có","Thiếu đồng ý bắt buộc; ","")&amp;IF($L3008="","Thiếu/sai Mã REF; ",IF(AND($L3008="Chưa xác định",DANH_MUC!$L$9&lt;&gt;"Có"),"Nguồn chưa xác định; ","")))</f>
        <v/>
      </c>
      <c r="V3008" s="22">
        <f>IF(OR($D3008="",$R3008="Trùng"),"",IF(COUNTIF(ORDERS!$C$2:$C$4995,$D3008)&gt;0,"Có","Không"))</f>
        <v/>
      </c>
      <c r="W3008" s="22">
        <f>IF(OR($D3008="",$R3008="Trùng"),"",COUNTIFS(ORDERS!$C$2:$C$4995,$D3008,ORDERS!$L$2:$L$4995,"Đã chuyển khoản"))</f>
        <v/>
      </c>
      <c r="X3008" s="23">
        <f>IF(OR($D3008="",$R3008="Trùng"),"",SUMIFS(ORDERS!$J$2:$J$4995,ORDERS!$C$2:$C$4995,$D3008,ORDERS!$L$2:$L$4995,"Đã chuyển khoản"))</f>
        <v/>
      </c>
      <c r="Y3008" s="24" t="n"/>
    </row>
    <row r="3009" ht="14.25" customHeight="1" s="40">
      <c r="A3009" s="24" t="n"/>
      <c r="B3009" s="27" t="n"/>
      <c r="C3009" s="24" t="n"/>
      <c r="D3009" s="28" t="n"/>
      <c r="E3009" s="29" t="n"/>
      <c r="F3009" s="24" t="n"/>
      <c r="G3009" s="24" t="n"/>
      <c r="H3009" s="21">
        <f>IF(ISNUMBER($B3009),INT($B3009)-WEEKDAY($B3009,2)+1,"")</f>
        <v/>
      </c>
      <c r="I3009" s="24" t="n"/>
      <c r="J3009" s="22">
        <f t="array" ref="J3009">IF($D3009="","",IF($I3009="","(trống REF)",IFERROR(INDEX(MASTER_SOURCE!$B$2:$B$495,MATCH($I3009,MASTER_SOURCE!$A$2:$A$495,0)),"(REF không có trong MASTER_SOURCE)")))</f>
        <v/>
      </c>
      <c r="K3009" s="22">
        <f t="array" ref="K3009">IF($D3009="","",IFERROR(INDEX(MASTER_SOURCE!$C$2:$C$495,MATCH($I3009,MASTER_SOURCE!$A$2:$A$495,0)),""))</f>
        <v/>
      </c>
      <c r="L3009" s="22">
        <f t="array" ref="L3009">IF($D3009="","",IFERROR(INDEX(MASTER_SOURCE!$D$2:$D$495,MATCH($I3009,MASTER_SOURCE!$A$2:$A$495,0)),""))</f>
        <v/>
      </c>
      <c r="M3009" s="24" t="n"/>
      <c r="N3009" s="24" t="n"/>
      <c r="O3009" s="24" t="n"/>
      <c r="P3009" s="24" t="n"/>
      <c r="Q3009" s="22">
        <f>IF($D3009="","",IF(AND(OR(DANH_MUC!$L$5&lt;&gt;"Có",M3009="Có"),OR(DANH_MUC!$L$6&lt;&gt;"Có",N3009="Có"),OR(DANH_MUC!$L$7&lt;&gt;"Có",O3009="Có"),OR(DANH_MUC!$L$8&lt;&gt;"Có",P3009="Có")),"Có","Không"))</f>
        <v/>
      </c>
      <c r="R3009" s="22">
        <f>IF($D3009="","",IF(COUNTIF($D$2:$D3009,$D3009)&gt;1,"Trùng",""))</f>
        <v/>
      </c>
      <c r="S3009" s="22">
        <f>IF($D3009="","",IF(AND(LEN($D3009)=10,LEFT($D3009,1)="0",ISNUMBER(--$D3009)),"Có","Không"))</f>
        <v/>
      </c>
      <c r="T3009" s="22">
        <f>IF($D3009="","",IF(AND($C3009&lt;&gt;"",$Q3009="Có",$R3009="",$S3009="Có",AND($L3009&lt;&gt;"",OR($L3009&lt;&gt;"Chưa xác định",DANH_MUC!$L$9="Có"))),"Có","Không"))</f>
        <v/>
      </c>
      <c r="U3009" s="22">
        <f>IF(OR($D3009="",$T3009="Có"),"",IF($C3009="","Thiếu họ tên; ","")&amp;IF($S3009&lt;&gt;"Có","SĐT sai định dạng; ","")&amp;IF($R3009="Trùng","Trùng SĐT; ","")&amp;IF($Q3009&lt;&gt;"Có","Thiếu đồng ý bắt buộc; ","")&amp;IF($L3009="","Thiếu/sai Mã REF; ",IF(AND($L3009="Chưa xác định",DANH_MUC!$L$9&lt;&gt;"Có"),"Nguồn chưa xác định; ","")))</f>
        <v/>
      </c>
      <c r="V3009" s="22">
        <f>IF(OR($D3009="",$R3009="Trùng"),"",IF(COUNTIF(ORDERS!$C$2:$C$4995,$D3009)&gt;0,"Có","Không"))</f>
        <v/>
      </c>
      <c r="W3009" s="22">
        <f>IF(OR($D3009="",$R3009="Trùng"),"",COUNTIFS(ORDERS!$C$2:$C$4995,$D3009,ORDERS!$L$2:$L$4995,"Đã chuyển khoản"))</f>
        <v/>
      </c>
      <c r="X3009" s="23">
        <f>IF(OR($D3009="",$R3009="Trùng"),"",SUMIFS(ORDERS!$J$2:$J$4995,ORDERS!$C$2:$C$4995,$D3009,ORDERS!$L$2:$L$4995,"Đã chuyển khoản"))</f>
        <v/>
      </c>
      <c r="Y3009" s="24" t="n"/>
    </row>
    <row r="3010" ht="14.25" customHeight="1" s="40">
      <c r="A3010" s="24" t="n"/>
      <c r="B3010" s="27" t="n"/>
      <c r="C3010" s="24" t="n"/>
      <c r="D3010" s="28" t="n"/>
      <c r="E3010" s="29" t="n"/>
      <c r="F3010" s="24" t="n"/>
      <c r="G3010" s="24" t="n"/>
      <c r="H3010" s="21">
        <f>IF(ISNUMBER($B3010),INT($B3010)-WEEKDAY($B3010,2)+1,"")</f>
        <v/>
      </c>
      <c r="I3010" s="24" t="n"/>
      <c r="J3010" s="22">
        <f t="array" ref="J3010">IF($D3010="","",IF($I3010="","(trống REF)",IFERROR(INDEX(MASTER_SOURCE!$B$2:$B$495,MATCH($I3010,MASTER_SOURCE!$A$2:$A$495,0)),"(REF không có trong MASTER_SOURCE)")))</f>
        <v/>
      </c>
      <c r="K3010" s="22">
        <f t="array" ref="K3010">IF($D3010="","",IFERROR(INDEX(MASTER_SOURCE!$C$2:$C$495,MATCH($I3010,MASTER_SOURCE!$A$2:$A$495,0)),""))</f>
        <v/>
      </c>
      <c r="L3010" s="22">
        <f t="array" ref="L3010">IF($D3010="","",IFERROR(INDEX(MASTER_SOURCE!$D$2:$D$495,MATCH($I3010,MASTER_SOURCE!$A$2:$A$495,0)),""))</f>
        <v/>
      </c>
      <c r="M3010" s="24" t="n"/>
      <c r="N3010" s="24" t="n"/>
      <c r="O3010" s="24" t="n"/>
      <c r="P3010" s="24" t="n"/>
      <c r="Q3010" s="22">
        <f>IF($D3010="","",IF(AND(OR(DANH_MUC!$L$5&lt;&gt;"Có",M3010="Có"),OR(DANH_MUC!$L$6&lt;&gt;"Có",N3010="Có"),OR(DANH_MUC!$L$7&lt;&gt;"Có",O3010="Có"),OR(DANH_MUC!$L$8&lt;&gt;"Có",P3010="Có")),"Có","Không"))</f>
        <v/>
      </c>
      <c r="R3010" s="22">
        <f>IF($D3010="","",IF(COUNTIF($D$2:$D3010,$D3010)&gt;1,"Trùng",""))</f>
        <v/>
      </c>
      <c r="S3010" s="22">
        <f>IF($D3010="","",IF(AND(LEN($D3010)=10,LEFT($D3010,1)="0",ISNUMBER(--$D3010)),"Có","Không"))</f>
        <v/>
      </c>
      <c r="T3010" s="22">
        <f>IF($D3010="","",IF(AND($C3010&lt;&gt;"",$Q3010="Có",$R3010="",$S3010="Có",AND($L3010&lt;&gt;"",OR($L3010&lt;&gt;"Chưa xác định",DANH_MUC!$L$9="Có"))),"Có","Không"))</f>
        <v/>
      </c>
      <c r="U3010" s="22">
        <f>IF(OR($D3010="",$T3010="Có"),"",IF($C3010="","Thiếu họ tên; ","")&amp;IF($S3010&lt;&gt;"Có","SĐT sai định dạng; ","")&amp;IF($R3010="Trùng","Trùng SĐT; ","")&amp;IF($Q3010&lt;&gt;"Có","Thiếu đồng ý bắt buộc; ","")&amp;IF($L3010="","Thiếu/sai Mã REF; ",IF(AND($L3010="Chưa xác định",DANH_MUC!$L$9&lt;&gt;"Có"),"Nguồn chưa xác định; ","")))</f>
        <v/>
      </c>
      <c r="V3010" s="22">
        <f>IF(OR($D3010="",$R3010="Trùng"),"",IF(COUNTIF(ORDERS!$C$2:$C$4995,$D3010)&gt;0,"Có","Không"))</f>
        <v/>
      </c>
      <c r="W3010" s="22">
        <f>IF(OR($D3010="",$R3010="Trùng"),"",COUNTIFS(ORDERS!$C$2:$C$4995,$D3010,ORDERS!$L$2:$L$4995,"Đã chuyển khoản"))</f>
        <v/>
      </c>
      <c r="X3010" s="23">
        <f>IF(OR($D3010="",$R3010="Trùng"),"",SUMIFS(ORDERS!$J$2:$J$4995,ORDERS!$C$2:$C$4995,$D3010,ORDERS!$L$2:$L$4995,"Đã chuyển khoản"))</f>
        <v/>
      </c>
      <c r="Y3010" s="24" t="n"/>
    </row>
    <row r="3011" ht="14.25" customHeight="1" s="40">
      <c r="A3011" s="24" t="n"/>
      <c r="B3011" s="27" t="n"/>
      <c r="C3011" s="24" t="n"/>
      <c r="D3011" s="28" t="n"/>
      <c r="E3011" s="29" t="n"/>
      <c r="F3011" s="24" t="n"/>
      <c r="G3011" s="24" t="n"/>
      <c r="H3011" s="21">
        <f>IF(ISNUMBER($B3011),INT($B3011)-WEEKDAY($B3011,2)+1,"")</f>
        <v/>
      </c>
      <c r="I3011" s="24" t="n"/>
      <c r="J3011" s="22">
        <f t="array" ref="J3011">IF($D3011="","",IF($I3011="","(trống REF)",IFERROR(INDEX(MASTER_SOURCE!$B$2:$B$495,MATCH($I3011,MASTER_SOURCE!$A$2:$A$495,0)),"(REF không có trong MASTER_SOURCE)")))</f>
        <v/>
      </c>
      <c r="K3011" s="22">
        <f t="array" ref="K3011">IF($D3011="","",IFERROR(INDEX(MASTER_SOURCE!$C$2:$C$495,MATCH($I3011,MASTER_SOURCE!$A$2:$A$495,0)),""))</f>
        <v/>
      </c>
      <c r="L3011" s="22">
        <f t="array" ref="L3011">IF($D3011="","",IFERROR(INDEX(MASTER_SOURCE!$D$2:$D$495,MATCH($I3011,MASTER_SOURCE!$A$2:$A$495,0)),""))</f>
        <v/>
      </c>
      <c r="M3011" s="24" t="n"/>
      <c r="N3011" s="24" t="n"/>
      <c r="O3011" s="24" t="n"/>
      <c r="P3011" s="24" t="n"/>
      <c r="Q3011" s="22">
        <f>IF($D3011="","",IF(AND(OR(DANH_MUC!$L$5&lt;&gt;"Có",M3011="Có"),OR(DANH_MUC!$L$6&lt;&gt;"Có",N3011="Có"),OR(DANH_MUC!$L$7&lt;&gt;"Có",O3011="Có"),OR(DANH_MUC!$L$8&lt;&gt;"Có",P3011="Có")),"Có","Không"))</f>
        <v/>
      </c>
      <c r="R3011" s="22">
        <f>IF($D3011="","",IF(COUNTIF($D$2:$D3011,$D3011)&gt;1,"Trùng",""))</f>
        <v/>
      </c>
      <c r="S3011" s="22">
        <f>IF($D3011="","",IF(AND(LEN($D3011)=10,LEFT($D3011,1)="0",ISNUMBER(--$D3011)),"Có","Không"))</f>
        <v/>
      </c>
      <c r="T3011" s="22">
        <f>IF($D3011="","",IF(AND($C3011&lt;&gt;"",$Q3011="Có",$R3011="",$S3011="Có",AND($L3011&lt;&gt;"",OR($L3011&lt;&gt;"Chưa xác định",DANH_MUC!$L$9="Có"))),"Có","Không"))</f>
        <v/>
      </c>
      <c r="U3011" s="22">
        <f>IF(OR($D3011="",$T3011="Có"),"",IF($C3011="","Thiếu họ tên; ","")&amp;IF($S3011&lt;&gt;"Có","SĐT sai định dạng; ","")&amp;IF($R3011="Trùng","Trùng SĐT; ","")&amp;IF($Q3011&lt;&gt;"Có","Thiếu đồng ý bắt buộc; ","")&amp;IF($L3011="","Thiếu/sai Mã REF; ",IF(AND($L3011="Chưa xác định",DANH_MUC!$L$9&lt;&gt;"Có"),"Nguồn chưa xác định; ","")))</f>
        <v/>
      </c>
      <c r="V3011" s="22">
        <f>IF(OR($D3011="",$R3011="Trùng"),"",IF(COUNTIF(ORDERS!$C$2:$C$4995,$D3011)&gt;0,"Có","Không"))</f>
        <v/>
      </c>
      <c r="W3011" s="22">
        <f>IF(OR($D3011="",$R3011="Trùng"),"",COUNTIFS(ORDERS!$C$2:$C$4995,$D3011,ORDERS!$L$2:$L$4995,"Đã chuyển khoản"))</f>
        <v/>
      </c>
      <c r="X3011" s="23">
        <f>IF(OR($D3011="",$R3011="Trùng"),"",SUMIFS(ORDERS!$J$2:$J$4995,ORDERS!$C$2:$C$4995,$D3011,ORDERS!$L$2:$L$4995,"Đã chuyển khoản"))</f>
        <v/>
      </c>
      <c r="Y3011" s="24" t="n"/>
    </row>
    <row r="3012" ht="14.25" customHeight="1" s="40">
      <c r="A3012" s="24" t="n"/>
      <c r="B3012" s="27" t="n"/>
      <c r="C3012" s="24" t="n"/>
      <c r="D3012" s="28" t="n"/>
      <c r="E3012" s="29" t="n"/>
      <c r="F3012" s="24" t="n"/>
      <c r="G3012" s="24" t="n"/>
      <c r="H3012" s="21">
        <f>IF(ISNUMBER($B3012),INT($B3012)-WEEKDAY($B3012,2)+1,"")</f>
        <v/>
      </c>
      <c r="I3012" s="24" t="n"/>
      <c r="J3012" s="22">
        <f t="array" ref="J3012">IF($D3012="","",IF($I3012="","(trống REF)",IFERROR(INDEX(MASTER_SOURCE!$B$2:$B$495,MATCH($I3012,MASTER_SOURCE!$A$2:$A$495,0)),"(REF không có trong MASTER_SOURCE)")))</f>
        <v/>
      </c>
      <c r="K3012" s="22">
        <f t="array" ref="K3012">IF($D3012="","",IFERROR(INDEX(MASTER_SOURCE!$C$2:$C$495,MATCH($I3012,MASTER_SOURCE!$A$2:$A$495,0)),""))</f>
        <v/>
      </c>
      <c r="L3012" s="22">
        <f t="array" ref="L3012">IF($D3012="","",IFERROR(INDEX(MASTER_SOURCE!$D$2:$D$495,MATCH($I3012,MASTER_SOURCE!$A$2:$A$495,0)),""))</f>
        <v/>
      </c>
      <c r="M3012" s="24" t="n"/>
      <c r="N3012" s="24" t="n"/>
      <c r="O3012" s="24" t="n"/>
      <c r="P3012" s="24" t="n"/>
      <c r="Q3012" s="22">
        <f>IF($D3012="","",IF(AND(OR(DANH_MUC!$L$5&lt;&gt;"Có",M3012="Có"),OR(DANH_MUC!$L$6&lt;&gt;"Có",N3012="Có"),OR(DANH_MUC!$L$7&lt;&gt;"Có",O3012="Có"),OR(DANH_MUC!$L$8&lt;&gt;"Có",P3012="Có")),"Có","Không"))</f>
        <v/>
      </c>
      <c r="R3012" s="22">
        <f>IF($D3012="","",IF(COUNTIF($D$2:$D3012,$D3012)&gt;1,"Trùng",""))</f>
        <v/>
      </c>
      <c r="S3012" s="22">
        <f>IF($D3012="","",IF(AND(LEN($D3012)=10,LEFT($D3012,1)="0",ISNUMBER(--$D3012)),"Có","Không"))</f>
        <v/>
      </c>
      <c r="T3012" s="22">
        <f>IF($D3012="","",IF(AND($C3012&lt;&gt;"",$Q3012="Có",$R3012="",$S3012="Có",AND($L3012&lt;&gt;"",OR($L3012&lt;&gt;"Chưa xác định",DANH_MUC!$L$9="Có"))),"Có","Không"))</f>
        <v/>
      </c>
      <c r="U3012" s="22">
        <f>IF(OR($D3012="",$T3012="Có"),"",IF($C3012="","Thiếu họ tên; ","")&amp;IF($S3012&lt;&gt;"Có","SĐT sai định dạng; ","")&amp;IF($R3012="Trùng","Trùng SĐT; ","")&amp;IF($Q3012&lt;&gt;"Có","Thiếu đồng ý bắt buộc; ","")&amp;IF($L3012="","Thiếu/sai Mã REF; ",IF(AND($L3012="Chưa xác định",DANH_MUC!$L$9&lt;&gt;"Có"),"Nguồn chưa xác định; ","")))</f>
        <v/>
      </c>
      <c r="V3012" s="22">
        <f>IF(OR($D3012="",$R3012="Trùng"),"",IF(COUNTIF(ORDERS!$C$2:$C$4995,$D3012)&gt;0,"Có","Không"))</f>
        <v/>
      </c>
      <c r="W3012" s="22">
        <f>IF(OR($D3012="",$R3012="Trùng"),"",COUNTIFS(ORDERS!$C$2:$C$4995,$D3012,ORDERS!$L$2:$L$4995,"Đã chuyển khoản"))</f>
        <v/>
      </c>
      <c r="X3012" s="23">
        <f>IF(OR($D3012="",$R3012="Trùng"),"",SUMIFS(ORDERS!$J$2:$J$4995,ORDERS!$C$2:$C$4995,$D3012,ORDERS!$L$2:$L$4995,"Đã chuyển khoản"))</f>
        <v/>
      </c>
      <c r="Y3012" s="24" t="n"/>
    </row>
    <row r="3013" ht="14.25" customHeight="1" s="40">
      <c r="A3013" s="24" t="n"/>
      <c r="B3013" s="27" t="n"/>
      <c r="C3013" s="24" t="n"/>
      <c r="D3013" s="28" t="n"/>
      <c r="E3013" s="29" t="n"/>
      <c r="F3013" s="24" t="n"/>
      <c r="G3013" s="24" t="n"/>
      <c r="H3013" s="21">
        <f>IF(ISNUMBER($B3013),INT($B3013)-WEEKDAY($B3013,2)+1,"")</f>
        <v/>
      </c>
      <c r="I3013" s="24" t="n"/>
      <c r="J3013" s="22">
        <f t="array" ref="J3013">IF($D3013="","",IF($I3013="","(trống REF)",IFERROR(INDEX(MASTER_SOURCE!$B$2:$B$495,MATCH($I3013,MASTER_SOURCE!$A$2:$A$495,0)),"(REF không có trong MASTER_SOURCE)")))</f>
        <v/>
      </c>
      <c r="K3013" s="22">
        <f t="array" ref="K3013">IF($D3013="","",IFERROR(INDEX(MASTER_SOURCE!$C$2:$C$495,MATCH($I3013,MASTER_SOURCE!$A$2:$A$495,0)),""))</f>
        <v/>
      </c>
      <c r="L3013" s="22">
        <f t="array" ref="L3013">IF($D3013="","",IFERROR(INDEX(MASTER_SOURCE!$D$2:$D$495,MATCH($I3013,MASTER_SOURCE!$A$2:$A$495,0)),""))</f>
        <v/>
      </c>
      <c r="M3013" s="24" t="n"/>
      <c r="N3013" s="24" t="n"/>
      <c r="O3013" s="24" t="n"/>
      <c r="P3013" s="24" t="n"/>
      <c r="Q3013" s="22">
        <f>IF($D3013="","",IF(AND(OR(DANH_MUC!$L$5&lt;&gt;"Có",M3013="Có"),OR(DANH_MUC!$L$6&lt;&gt;"Có",N3013="Có"),OR(DANH_MUC!$L$7&lt;&gt;"Có",O3013="Có"),OR(DANH_MUC!$L$8&lt;&gt;"Có",P3013="Có")),"Có","Không"))</f>
        <v/>
      </c>
      <c r="R3013" s="22">
        <f>IF($D3013="","",IF(COUNTIF($D$2:$D3013,$D3013)&gt;1,"Trùng",""))</f>
        <v/>
      </c>
      <c r="S3013" s="22">
        <f>IF($D3013="","",IF(AND(LEN($D3013)=10,LEFT($D3013,1)="0",ISNUMBER(--$D3013)),"Có","Không"))</f>
        <v/>
      </c>
      <c r="T3013" s="22">
        <f>IF($D3013="","",IF(AND($C3013&lt;&gt;"",$Q3013="Có",$R3013="",$S3013="Có",AND($L3013&lt;&gt;"",OR($L3013&lt;&gt;"Chưa xác định",DANH_MUC!$L$9="Có"))),"Có","Không"))</f>
        <v/>
      </c>
      <c r="U3013" s="22">
        <f>IF(OR($D3013="",$T3013="Có"),"",IF($C3013="","Thiếu họ tên; ","")&amp;IF($S3013&lt;&gt;"Có","SĐT sai định dạng; ","")&amp;IF($R3013="Trùng","Trùng SĐT; ","")&amp;IF($Q3013&lt;&gt;"Có","Thiếu đồng ý bắt buộc; ","")&amp;IF($L3013="","Thiếu/sai Mã REF; ",IF(AND($L3013="Chưa xác định",DANH_MUC!$L$9&lt;&gt;"Có"),"Nguồn chưa xác định; ","")))</f>
        <v/>
      </c>
      <c r="V3013" s="22">
        <f>IF(OR($D3013="",$R3013="Trùng"),"",IF(COUNTIF(ORDERS!$C$2:$C$4995,$D3013)&gt;0,"Có","Không"))</f>
        <v/>
      </c>
      <c r="W3013" s="22">
        <f>IF(OR($D3013="",$R3013="Trùng"),"",COUNTIFS(ORDERS!$C$2:$C$4995,$D3013,ORDERS!$L$2:$L$4995,"Đã chuyển khoản"))</f>
        <v/>
      </c>
      <c r="X3013" s="23">
        <f>IF(OR($D3013="",$R3013="Trùng"),"",SUMIFS(ORDERS!$J$2:$J$4995,ORDERS!$C$2:$C$4995,$D3013,ORDERS!$L$2:$L$4995,"Đã chuyển khoản"))</f>
        <v/>
      </c>
      <c r="Y3013" s="24" t="n"/>
    </row>
    <row r="3014" ht="14.25" customHeight="1" s="40">
      <c r="A3014" s="24" t="n"/>
      <c r="B3014" s="27" t="n"/>
      <c r="C3014" s="24" t="n"/>
      <c r="D3014" s="28" t="n"/>
      <c r="E3014" s="29" t="n"/>
      <c r="F3014" s="24" t="n"/>
      <c r="G3014" s="24" t="n"/>
      <c r="H3014" s="21">
        <f>IF(ISNUMBER($B3014),INT($B3014)-WEEKDAY($B3014,2)+1,"")</f>
        <v/>
      </c>
      <c r="I3014" s="24" t="n"/>
      <c r="J3014" s="22">
        <f t="array" ref="J3014">IF($D3014="","",IF($I3014="","(trống REF)",IFERROR(INDEX(MASTER_SOURCE!$B$2:$B$495,MATCH($I3014,MASTER_SOURCE!$A$2:$A$495,0)),"(REF không có trong MASTER_SOURCE)")))</f>
        <v/>
      </c>
      <c r="K3014" s="22">
        <f t="array" ref="K3014">IF($D3014="","",IFERROR(INDEX(MASTER_SOURCE!$C$2:$C$495,MATCH($I3014,MASTER_SOURCE!$A$2:$A$495,0)),""))</f>
        <v/>
      </c>
      <c r="L3014" s="22">
        <f t="array" ref="L3014">IF($D3014="","",IFERROR(INDEX(MASTER_SOURCE!$D$2:$D$495,MATCH($I3014,MASTER_SOURCE!$A$2:$A$495,0)),""))</f>
        <v/>
      </c>
      <c r="M3014" s="24" t="n"/>
      <c r="N3014" s="24" t="n"/>
      <c r="O3014" s="24" t="n"/>
      <c r="P3014" s="24" t="n"/>
      <c r="Q3014" s="22">
        <f>IF($D3014="","",IF(AND(OR(DANH_MUC!$L$5&lt;&gt;"Có",M3014="Có"),OR(DANH_MUC!$L$6&lt;&gt;"Có",N3014="Có"),OR(DANH_MUC!$L$7&lt;&gt;"Có",O3014="Có"),OR(DANH_MUC!$L$8&lt;&gt;"Có",P3014="Có")),"Có","Không"))</f>
        <v/>
      </c>
      <c r="R3014" s="22">
        <f>IF($D3014="","",IF(COUNTIF($D$2:$D3014,$D3014)&gt;1,"Trùng",""))</f>
        <v/>
      </c>
      <c r="S3014" s="22">
        <f>IF($D3014="","",IF(AND(LEN($D3014)=10,LEFT($D3014,1)="0",ISNUMBER(--$D3014)),"Có","Không"))</f>
        <v/>
      </c>
      <c r="T3014" s="22">
        <f>IF($D3014="","",IF(AND($C3014&lt;&gt;"",$Q3014="Có",$R3014="",$S3014="Có",AND($L3014&lt;&gt;"",OR($L3014&lt;&gt;"Chưa xác định",DANH_MUC!$L$9="Có"))),"Có","Không"))</f>
        <v/>
      </c>
      <c r="U3014" s="22">
        <f>IF(OR($D3014="",$T3014="Có"),"",IF($C3014="","Thiếu họ tên; ","")&amp;IF($S3014&lt;&gt;"Có","SĐT sai định dạng; ","")&amp;IF($R3014="Trùng","Trùng SĐT; ","")&amp;IF($Q3014&lt;&gt;"Có","Thiếu đồng ý bắt buộc; ","")&amp;IF($L3014="","Thiếu/sai Mã REF; ",IF(AND($L3014="Chưa xác định",DANH_MUC!$L$9&lt;&gt;"Có"),"Nguồn chưa xác định; ","")))</f>
        <v/>
      </c>
      <c r="V3014" s="22">
        <f>IF(OR($D3014="",$R3014="Trùng"),"",IF(COUNTIF(ORDERS!$C$2:$C$4995,$D3014)&gt;0,"Có","Không"))</f>
        <v/>
      </c>
      <c r="W3014" s="22">
        <f>IF(OR($D3014="",$R3014="Trùng"),"",COUNTIFS(ORDERS!$C$2:$C$4995,$D3014,ORDERS!$L$2:$L$4995,"Đã chuyển khoản"))</f>
        <v/>
      </c>
      <c r="X3014" s="23">
        <f>IF(OR($D3014="",$R3014="Trùng"),"",SUMIFS(ORDERS!$J$2:$J$4995,ORDERS!$C$2:$C$4995,$D3014,ORDERS!$L$2:$L$4995,"Đã chuyển khoản"))</f>
        <v/>
      </c>
      <c r="Y3014" s="24" t="n"/>
    </row>
    <row r="3015" ht="14.25" customHeight="1" s="40">
      <c r="A3015" s="24" t="n"/>
      <c r="B3015" s="27" t="n"/>
      <c r="C3015" s="24" t="n"/>
      <c r="D3015" s="28" t="n"/>
      <c r="E3015" s="29" t="n"/>
      <c r="F3015" s="24" t="n"/>
      <c r="G3015" s="24" t="n"/>
      <c r="H3015" s="21">
        <f>IF(ISNUMBER($B3015),INT($B3015)-WEEKDAY($B3015,2)+1,"")</f>
        <v/>
      </c>
      <c r="I3015" s="24" t="n"/>
      <c r="J3015" s="22">
        <f t="array" ref="J3015">IF($D3015="","",IF($I3015="","(trống REF)",IFERROR(INDEX(MASTER_SOURCE!$B$2:$B$495,MATCH($I3015,MASTER_SOURCE!$A$2:$A$495,0)),"(REF không có trong MASTER_SOURCE)")))</f>
        <v/>
      </c>
      <c r="K3015" s="22">
        <f t="array" ref="K3015">IF($D3015="","",IFERROR(INDEX(MASTER_SOURCE!$C$2:$C$495,MATCH($I3015,MASTER_SOURCE!$A$2:$A$495,0)),""))</f>
        <v/>
      </c>
      <c r="L3015" s="22">
        <f t="array" ref="L3015">IF($D3015="","",IFERROR(INDEX(MASTER_SOURCE!$D$2:$D$495,MATCH($I3015,MASTER_SOURCE!$A$2:$A$495,0)),""))</f>
        <v/>
      </c>
      <c r="M3015" s="24" t="n"/>
      <c r="N3015" s="24" t="n"/>
      <c r="O3015" s="24" t="n"/>
      <c r="P3015" s="24" t="n"/>
      <c r="Q3015" s="22">
        <f>IF($D3015="","",IF(AND(OR(DANH_MUC!$L$5&lt;&gt;"Có",M3015="Có"),OR(DANH_MUC!$L$6&lt;&gt;"Có",N3015="Có"),OR(DANH_MUC!$L$7&lt;&gt;"Có",O3015="Có"),OR(DANH_MUC!$L$8&lt;&gt;"Có",P3015="Có")),"Có","Không"))</f>
        <v/>
      </c>
      <c r="R3015" s="22">
        <f>IF($D3015="","",IF(COUNTIF($D$2:$D3015,$D3015)&gt;1,"Trùng",""))</f>
        <v/>
      </c>
      <c r="S3015" s="22">
        <f>IF($D3015="","",IF(AND(LEN($D3015)=10,LEFT($D3015,1)="0",ISNUMBER(--$D3015)),"Có","Không"))</f>
        <v/>
      </c>
      <c r="T3015" s="22">
        <f>IF($D3015="","",IF(AND($C3015&lt;&gt;"",$Q3015="Có",$R3015="",$S3015="Có",AND($L3015&lt;&gt;"",OR($L3015&lt;&gt;"Chưa xác định",DANH_MUC!$L$9="Có"))),"Có","Không"))</f>
        <v/>
      </c>
      <c r="U3015" s="22">
        <f>IF(OR($D3015="",$T3015="Có"),"",IF($C3015="","Thiếu họ tên; ","")&amp;IF($S3015&lt;&gt;"Có","SĐT sai định dạng; ","")&amp;IF($R3015="Trùng","Trùng SĐT; ","")&amp;IF($Q3015&lt;&gt;"Có","Thiếu đồng ý bắt buộc; ","")&amp;IF($L3015="","Thiếu/sai Mã REF; ",IF(AND($L3015="Chưa xác định",DANH_MUC!$L$9&lt;&gt;"Có"),"Nguồn chưa xác định; ","")))</f>
        <v/>
      </c>
      <c r="V3015" s="22">
        <f>IF(OR($D3015="",$R3015="Trùng"),"",IF(COUNTIF(ORDERS!$C$2:$C$4995,$D3015)&gt;0,"Có","Không"))</f>
        <v/>
      </c>
      <c r="W3015" s="22">
        <f>IF(OR($D3015="",$R3015="Trùng"),"",COUNTIFS(ORDERS!$C$2:$C$4995,$D3015,ORDERS!$L$2:$L$4995,"Đã chuyển khoản"))</f>
        <v/>
      </c>
      <c r="X3015" s="23">
        <f>IF(OR($D3015="",$R3015="Trùng"),"",SUMIFS(ORDERS!$J$2:$J$4995,ORDERS!$C$2:$C$4995,$D3015,ORDERS!$L$2:$L$4995,"Đã chuyển khoản"))</f>
        <v/>
      </c>
      <c r="Y3015" s="24" t="n"/>
    </row>
    <row r="3016" ht="14.25" customHeight="1" s="40">
      <c r="A3016" s="24" t="n"/>
      <c r="B3016" s="27" t="n"/>
      <c r="C3016" s="24" t="n"/>
      <c r="D3016" s="28" t="n"/>
      <c r="E3016" s="29" t="n"/>
      <c r="F3016" s="24" t="n"/>
      <c r="G3016" s="24" t="n"/>
      <c r="H3016" s="21">
        <f>IF(ISNUMBER($B3016),INT($B3016)-WEEKDAY($B3016,2)+1,"")</f>
        <v/>
      </c>
      <c r="I3016" s="24" t="n"/>
      <c r="J3016" s="22">
        <f t="array" ref="J3016">IF($D3016="","",IF($I3016="","(trống REF)",IFERROR(INDEX(MASTER_SOURCE!$B$2:$B$495,MATCH($I3016,MASTER_SOURCE!$A$2:$A$495,0)),"(REF không có trong MASTER_SOURCE)")))</f>
        <v/>
      </c>
      <c r="K3016" s="22">
        <f t="array" ref="K3016">IF($D3016="","",IFERROR(INDEX(MASTER_SOURCE!$C$2:$C$495,MATCH($I3016,MASTER_SOURCE!$A$2:$A$495,0)),""))</f>
        <v/>
      </c>
      <c r="L3016" s="22">
        <f t="array" ref="L3016">IF($D3016="","",IFERROR(INDEX(MASTER_SOURCE!$D$2:$D$495,MATCH($I3016,MASTER_SOURCE!$A$2:$A$495,0)),""))</f>
        <v/>
      </c>
      <c r="M3016" s="24" t="n"/>
      <c r="N3016" s="24" t="n"/>
      <c r="O3016" s="24" t="n"/>
      <c r="P3016" s="24" t="n"/>
      <c r="Q3016" s="22">
        <f>IF($D3016="","",IF(AND(OR(DANH_MUC!$L$5&lt;&gt;"Có",M3016="Có"),OR(DANH_MUC!$L$6&lt;&gt;"Có",N3016="Có"),OR(DANH_MUC!$L$7&lt;&gt;"Có",O3016="Có"),OR(DANH_MUC!$L$8&lt;&gt;"Có",P3016="Có")),"Có","Không"))</f>
        <v/>
      </c>
      <c r="R3016" s="22">
        <f>IF($D3016="","",IF(COUNTIF($D$2:$D3016,$D3016)&gt;1,"Trùng",""))</f>
        <v/>
      </c>
      <c r="S3016" s="22">
        <f>IF($D3016="","",IF(AND(LEN($D3016)=10,LEFT($D3016,1)="0",ISNUMBER(--$D3016)),"Có","Không"))</f>
        <v/>
      </c>
      <c r="T3016" s="22">
        <f>IF($D3016="","",IF(AND($C3016&lt;&gt;"",$Q3016="Có",$R3016="",$S3016="Có",AND($L3016&lt;&gt;"",OR($L3016&lt;&gt;"Chưa xác định",DANH_MUC!$L$9="Có"))),"Có","Không"))</f>
        <v/>
      </c>
      <c r="U3016" s="22">
        <f>IF(OR($D3016="",$T3016="Có"),"",IF($C3016="","Thiếu họ tên; ","")&amp;IF($S3016&lt;&gt;"Có","SĐT sai định dạng; ","")&amp;IF($R3016="Trùng","Trùng SĐT; ","")&amp;IF($Q3016&lt;&gt;"Có","Thiếu đồng ý bắt buộc; ","")&amp;IF($L3016="","Thiếu/sai Mã REF; ",IF(AND($L3016="Chưa xác định",DANH_MUC!$L$9&lt;&gt;"Có"),"Nguồn chưa xác định; ","")))</f>
        <v/>
      </c>
      <c r="V3016" s="22">
        <f>IF(OR($D3016="",$R3016="Trùng"),"",IF(COUNTIF(ORDERS!$C$2:$C$4995,$D3016)&gt;0,"Có","Không"))</f>
        <v/>
      </c>
      <c r="W3016" s="22">
        <f>IF(OR($D3016="",$R3016="Trùng"),"",COUNTIFS(ORDERS!$C$2:$C$4995,$D3016,ORDERS!$L$2:$L$4995,"Đã chuyển khoản"))</f>
        <v/>
      </c>
      <c r="X3016" s="23">
        <f>IF(OR($D3016="",$R3016="Trùng"),"",SUMIFS(ORDERS!$J$2:$J$4995,ORDERS!$C$2:$C$4995,$D3016,ORDERS!$L$2:$L$4995,"Đã chuyển khoản"))</f>
        <v/>
      </c>
      <c r="Y3016" s="24" t="n"/>
    </row>
    <row r="3017" ht="14.25" customHeight="1" s="40">
      <c r="A3017" s="24" t="n"/>
      <c r="B3017" s="27" t="n"/>
      <c r="C3017" s="24" t="n"/>
      <c r="D3017" s="28" t="n"/>
      <c r="E3017" s="29" t="n"/>
      <c r="F3017" s="24" t="n"/>
      <c r="G3017" s="24" t="n"/>
      <c r="H3017" s="21">
        <f>IF(ISNUMBER($B3017),INT($B3017)-WEEKDAY($B3017,2)+1,"")</f>
        <v/>
      </c>
      <c r="I3017" s="24" t="n"/>
      <c r="J3017" s="22">
        <f t="array" ref="J3017">IF($D3017="","",IF($I3017="","(trống REF)",IFERROR(INDEX(MASTER_SOURCE!$B$2:$B$495,MATCH($I3017,MASTER_SOURCE!$A$2:$A$495,0)),"(REF không có trong MASTER_SOURCE)")))</f>
        <v/>
      </c>
      <c r="K3017" s="22">
        <f t="array" ref="K3017">IF($D3017="","",IFERROR(INDEX(MASTER_SOURCE!$C$2:$C$495,MATCH($I3017,MASTER_SOURCE!$A$2:$A$495,0)),""))</f>
        <v/>
      </c>
      <c r="L3017" s="22">
        <f t="array" ref="L3017">IF($D3017="","",IFERROR(INDEX(MASTER_SOURCE!$D$2:$D$495,MATCH($I3017,MASTER_SOURCE!$A$2:$A$495,0)),""))</f>
        <v/>
      </c>
      <c r="M3017" s="24" t="n"/>
      <c r="N3017" s="24" t="n"/>
      <c r="O3017" s="24" t="n"/>
      <c r="P3017" s="24" t="n"/>
      <c r="Q3017" s="22">
        <f>IF($D3017="","",IF(AND(OR(DANH_MUC!$L$5&lt;&gt;"Có",M3017="Có"),OR(DANH_MUC!$L$6&lt;&gt;"Có",N3017="Có"),OR(DANH_MUC!$L$7&lt;&gt;"Có",O3017="Có"),OR(DANH_MUC!$L$8&lt;&gt;"Có",P3017="Có")),"Có","Không"))</f>
        <v/>
      </c>
      <c r="R3017" s="22">
        <f>IF($D3017="","",IF(COUNTIF($D$2:$D3017,$D3017)&gt;1,"Trùng",""))</f>
        <v/>
      </c>
      <c r="S3017" s="22">
        <f>IF($D3017="","",IF(AND(LEN($D3017)=10,LEFT($D3017,1)="0",ISNUMBER(--$D3017)),"Có","Không"))</f>
        <v/>
      </c>
      <c r="T3017" s="22">
        <f>IF($D3017="","",IF(AND($C3017&lt;&gt;"",$Q3017="Có",$R3017="",$S3017="Có",AND($L3017&lt;&gt;"",OR($L3017&lt;&gt;"Chưa xác định",DANH_MUC!$L$9="Có"))),"Có","Không"))</f>
        <v/>
      </c>
      <c r="U3017" s="22">
        <f>IF(OR($D3017="",$T3017="Có"),"",IF($C3017="","Thiếu họ tên; ","")&amp;IF($S3017&lt;&gt;"Có","SĐT sai định dạng; ","")&amp;IF($R3017="Trùng","Trùng SĐT; ","")&amp;IF($Q3017&lt;&gt;"Có","Thiếu đồng ý bắt buộc; ","")&amp;IF($L3017="","Thiếu/sai Mã REF; ",IF(AND($L3017="Chưa xác định",DANH_MUC!$L$9&lt;&gt;"Có"),"Nguồn chưa xác định; ","")))</f>
        <v/>
      </c>
      <c r="V3017" s="22">
        <f>IF(OR($D3017="",$R3017="Trùng"),"",IF(COUNTIF(ORDERS!$C$2:$C$4995,$D3017)&gt;0,"Có","Không"))</f>
        <v/>
      </c>
      <c r="W3017" s="22">
        <f>IF(OR($D3017="",$R3017="Trùng"),"",COUNTIFS(ORDERS!$C$2:$C$4995,$D3017,ORDERS!$L$2:$L$4995,"Đã chuyển khoản"))</f>
        <v/>
      </c>
      <c r="X3017" s="23">
        <f>IF(OR($D3017="",$R3017="Trùng"),"",SUMIFS(ORDERS!$J$2:$J$4995,ORDERS!$C$2:$C$4995,$D3017,ORDERS!$L$2:$L$4995,"Đã chuyển khoản"))</f>
        <v/>
      </c>
      <c r="Y3017" s="24" t="n"/>
    </row>
    <row r="3018" ht="14.25" customHeight="1" s="40">
      <c r="A3018" s="24" t="n"/>
      <c r="B3018" s="27" t="n"/>
      <c r="C3018" s="24" t="n"/>
      <c r="D3018" s="28" t="n"/>
      <c r="E3018" s="29" t="n"/>
      <c r="F3018" s="24" t="n"/>
      <c r="G3018" s="24" t="n"/>
      <c r="H3018" s="21">
        <f>IF(ISNUMBER($B3018),INT($B3018)-WEEKDAY($B3018,2)+1,"")</f>
        <v/>
      </c>
      <c r="I3018" s="24" t="n"/>
      <c r="J3018" s="22">
        <f t="array" ref="J3018">IF($D3018="","",IF($I3018="","(trống REF)",IFERROR(INDEX(MASTER_SOURCE!$B$2:$B$495,MATCH($I3018,MASTER_SOURCE!$A$2:$A$495,0)),"(REF không có trong MASTER_SOURCE)")))</f>
        <v/>
      </c>
      <c r="K3018" s="22">
        <f t="array" ref="K3018">IF($D3018="","",IFERROR(INDEX(MASTER_SOURCE!$C$2:$C$495,MATCH($I3018,MASTER_SOURCE!$A$2:$A$495,0)),""))</f>
        <v/>
      </c>
      <c r="L3018" s="22">
        <f t="array" ref="L3018">IF($D3018="","",IFERROR(INDEX(MASTER_SOURCE!$D$2:$D$495,MATCH($I3018,MASTER_SOURCE!$A$2:$A$495,0)),""))</f>
        <v/>
      </c>
      <c r="M3018" s="24" t="n"/>
      <c r="N3018" s="24" t="n"/>
      <c r="O3018" s="24" t="n"/>
      <c r="P3018" s="24" t="n"/>
      <c r="Q3018" s="22">
        <f>IF($D3018="","",IF(AND(OR(DANH_MUC!$L$5&lt;&gt;"Có",M3018="Có"),OR(DANH_MUC!$L$6&lt;&gt;"Có",N3018="Có"),OR(DANH_MUC!$L$7&lt;&gt;"Có",O3018="Có"),OR(DANH_MUC!$L$8&lt;&gt;"Có",P3018="Có")),"Có","Không"))</f>
        <v/>
      </c>
      <c r="R3018" s="22">
        <f>IF($D3018="","",IF(COUNTIF($D$2:$D3018,$D3018)&gt;1,"Trùng",""))</f>
        <v/>
      </c>
      <c r="S3018" s="22">
        <f>IF($D3018="","",IF(AND(LEN($D3018)=10,LEFT($D3018,1)="0",ISNUMBER(--$D3018)),"Có","Không"))</f>
        <v/>
      </c>
      <c r="T3018" s="22">
        <f>IF($D3018="","",IF(AND($C3018&lt;&gt;"",$Q3018="Có",$R3018="",$S3018="Có",AND($L3018&lt;&gt;"",OR($L3018&lt;&gt;"Chưa xác định",DANH_MUC!$L$9="Có"))),"Có","Không"))</f>
        <v/>
      </c>
      <c r="U3018" s="22">
        <f>IF(OR($D3018="",$T3018="Có"),"",IF($C3018="","Thiếu họ tên; ","")&amp;IF($S3018&lt;&gt;"Có","SĐT sai định dạng; ","")&amp;IF($R3018="Trùng","Trùng SĐT; ","")&amp;IF($Q3018&lt;&gt;"Có","Thiếu đồng ý bắt buộc; ","")&amp;IF($L3018="","Thiếu/sai Mã REF; ",IF(AND($L3018="Chưa xác định",DANH_MUC!$L$9&lt;&gt;"Có"),"Nguồn chưa xác định; ","")))</f>
        <v/>
      </c>
      <c r="V3018" s="22">
        <f>IF(OR($D3018="",$R3018="Trùng"),"",IF(COUNTIF(ORDERS!$C$2:$C$4995,$D3018)&gt;0,"Có","Không"))</f>
        <v/>
      </c>
      <c r="W3018" s="22">
        <f>IF(OR($D3018="",$R3018="Trùng"),"",COUNTIFS(ORDERS!$C$2:$C$4995,$D3018,ORDERS!$L$2:$L$4995,"Đã chuyển khoản"))</f>
        <v/>
      </c>
      <c r="X3018" s="23">
        <f>IF(OR($D3018="",$R3018="Trùng"),"",SUMIFS(ORDERS!$J$2:$J$4995,ORDERS!$C$2:$C$4995,$D3018,ORDERS!$L$2:$L$4995,"Đã chuyển khoản"))</f>
        <v/>
      </c>
      <c r="Y3018" s="24" t="n"/>
    </row>
    <row r="3019" ht="14.25" customHeight="1" s="40">
      <c r="A3019" s="24" t="n"/>
      <c r="B3019" s="27" t="n"/>
      <c r="C3019" s="24" t="n"/>
      <c r="D3019" s="28" t="n"/>
      <c r="E3019" s="29" t="n"/>
      <c r="F3019" s="24" t="n"/>
      <c r="G3019" s="24" t="n"/>
      <c r="H3019" s="21">
        <f>IF(ISNUMBER($B3019),INT($B3019)-WEEKDAY($B3019,2)+1,"")</f>
        <v/>
      </c>
      <c r="I3019" s="24" t="n"/>
      <c r="J3019" s="22">
        <f t="array" ref="J3019">IF($D3019="","",IF($I3019="","(trống REF)",IFERROR(INDEX(MASTER_SOURCE!$B$2:$B$495,MATCH($I3019,MASTER_SOURCE!$A$2:$A$495,0)),"(REF không có trong MASTER_SOURCE)")))</f>
        <v/>
      </c>
      <c r="K3019" s="22">
        <f t="array" ref="K3019">IF($D3019="","",IFERROR(INDEX(MASTER_SOURCE!$C$2:$C$495,MATCH($I3019,MASTER_SOURCE!$A$2:$A$495,0)),""))</f>
        <v/>
      </c>
      <c r="L3019" s="22">
        <f t="array" ref="L3019">IF($D3019="","",IFERROR(INDEX(MASTER_SOURCE!$D$2:$D$495,MATCH($I3019,MASTER_SOURCE!$A$2:$A$495,0)),""))</f>
        <v/>
      </c>
      <c r="M3019" s="24" t="n"/>
      <c r="N3019" s="24" t="n"/>
      <c r="O3019" s="24" t="n"/>
      <c r="P3019" s="24" t="n"/>
      <c r="Q3019" s="22">
        <f>IF($D3019="","",IF(AND(OR(DANH_MUC!$L$5&lt;&gt;"Có",M3019="Có"),OR(DANH_MUC!$L$6&lt;&gt;"Có",N3019="Có"),OR(DANH_MUC!$L$7&lt;&gt;"Có",O3019="Có"),OR(DANH_MUC!$L$8&lt;&gt;"Có",P3019="Có")),"Có","Không"))</f>
        <v/>
      </c>
      <c r="R3019" s="22">
        <f>IF($D3019="","",IF(COUNTIF($D$2:$D3019,$D3019)&gt;1,"Trùng",""))</f>
        <v/>
      </c>
      <c r="S3019" s="22">
        <f>IF($D3019="","",IF(AND(LEN($D3019)=10,LEFT($D3019,1)="0",ISNUMBER(--$D3019)),"Có","Không"))</f>
        <v/>
      </c>
      <c r="T3019" s="22">
        <f>IF($D3019="","",IF(AND($C3019&lt;&gt;"",$Q3019="Có",$R3019="",$S3019="Có",AND($L3019&lt;&gt;"",OR($L3019&lt;&gt;"Chưa xác định",DANH_MUC!$L$9="Có"))),"Có","Không"))</f>
        <v/>
      </c>
      <c r="U3019" s="22">
        <f>IF(OR($D3019="",$T3019="Có"),"",IF($C3019="","Thiếu họ tên; ","")&amp;IF($S3019&lt;&gt;"Có","SĐT sai định dạng; ","")&amp;IF($R3019="Trùng","Trùng SĐT; ","")&amp;IF($Q3019&lt;&gt;"Có","Thiếu đồng ý bắt buộc; ","")&amp;IF($L3019="","Thiếu/sai Mã REF; ",IF(AND($L3019="Chưa xác định",DANH_MUC!$L$9&lt;&gt;"Có"),"Nguồn chưa xác định; ","")))</f>
        <v/>
      </c>
      <c r="V3019" s="22">
        <f>IF(OR($D3019="",$R3019="Trùng"),"",IF(COUNTIF(ORDERS!$C$2:$C$4995,$D3019)&gt;0,"Có","Không"))</f>
        <v/>
      </c>
      <c r="W3019" s="22">
        <f>IF(OR($D3019="",$R3019="Trùng"),"",COUNTIFS(ORDERS!$C$2:$C$4995,$D3019,ORDERS!$L$2:$L$4995,"Đã chuyển khoản"))</f>
        <v/>
      </c>
      <c r="X3019" s="23">
        <f>IF(OR($D3019="",$R3019="Trùng"),"",SUMIFS(ORDERS!$J$2:$J$4995,ORDERS!$C$2:$C$4995,$D3019,ORDERS!$L$2:$L$4995,"Đã chuyển khoản"))</f>
        <v/>
      </c>
      <c r="Y3019" s="24" t="n"/>
    </row>
    <row r="3020" ht="14.25" customHeight="1" s="40">
      <c r="A3020" s="24" t="n"/>
      <c r="B3020" s="27" t="n"/>
      <c r="C3020" s="24" t="n"/>
      <c r="D3020" s="28" t="n"/>
      <c r="E3020" s="29" t="n"/>
      <c r="F3020" s="24" t="n"/>
      <c r="G3020" s="24" t="n"/>
      <c r="H3020" s="21">
        <f>IF(ISNUMBER($B3020),INT($B3020)-WEEKDAY($B3020,2)+1,"")</f>
        <v/>
      </c>
      <c r="I3020" s="24" t="n"/>
      <c r="J3020" s="22">
        <f t="array" ref="J3020">IF($D3020="","",IF($I3020="","(trống REF)",IFERROR(INDEX(MASTER_SOURCE!$B$2:$B$495,MATCH($I3020,MASTER_SOURCE!$A$2:$A$495,0)),"(REF không có trong MASTER_SOURCE)")))</f>
        <v/>
      </c>
      <c r="K3020" s="22">
        <f t="array" ref="K3020">IF($D3020="","",IFERROR(INDEX(MASTER_SOURCE!$C$2:$C$495,MATCH($I3020,MASTER_SOURCE!$A$2:$A$495,0)),""))</f>
        <v/>
      </c>
      <c r="L3020" s="22">
        <f t="array" ref="L3020">IF($D3020="","",IFERROR(INDEX(MASTER_SOURCE!$D$2:$D$495,MATCH($I3020,MASTER_SOURCE!$A$2:$A$495,0)),""))</f>
        <v/>
      </c>
      <c r="M3020" s="24" t="n"/>
      <c r="N3020" s="24" t="n"/>
      <c r="O3020" s="24" t="n"/>
      <c r="P3020" s="24" t="n"/>
      <c r="Q3020" s="22">
        <f>IF($D3020="","",IF(AND(OR(DANH_MUC!$L$5&lt;&gt;"Có",M3020="Có"),OR(DANH_MUC!$L$6&lt;&gt;"Có",N3020="Có"),OR(DANH_MUC!$L$7&lt;&gt;"Có",O3020="Có"),OR(DANH_MUC!$L$8&lt;&gt;"Có",P3020="Có")),"Có","Không"))</f>
        <v/>
      </c>
      <c r="R3020" s="22">
        <f>IF($D3020="","",IF(COUNTIF($D$2:$D3020,$D3020)&gt;1,"Trùng",""))</f>
        <v/>
      </c>
      <c r="S3020" s="22">
        <f>IF($D3020="","",IF(AND(LEN($D3020)=10,LEFT($D3020,1)="0",ISNUMBER(--$D3020)),"Có","Không"))</f>
        <v/>
      </c>
      <c r="T3020" s="22">
        <f>IF($D3020="","",IF(AND($C3020&lt;&gt;"",$Q3020="Có",$R3020="",$S3020="Có",AND($L3020&lt;&gt;"",OR($L3020&lt;&gt;"Chưa xác định",DANH_MUC!$L$9="Có"))),"Có","Không"))</f>
        <v/>
      </c>
      <c r="U3020" s="22">
        <f>IF(OR($D3020="",$T3020="Có"),"",IF($C3020="","Thiếu họ tên; ","")&amp;IF($S3020&lt;&gt;"Có","SĐT sai định dạng; ","")&amp;IF($R3020="Trùng","Trùng SĐT; ","")&amp;IF($Q3020&lt;&gt;"Có","Thiếu đồng ý bắt buộc; ","")&amp;IF($L3020="","Thiếu/sai Mã REF; ",IF(AND($L3020="Chưa xác định",DANH_MUC!$L$9&lt;&gt;"Có"),"Nguồn chưa xác định; ","")))</f>
        <v/>
      </c>
      <c r="V3020" s="22">
        <f>IF(OR($D3020="",$R3020="Trùng"),"",IF(COUNTIF(ORDERS!$C$2:$C$4995,$D3020)&gt;0,"Có","Không"))</f>
        <v/>
      </c>
      <c r="W3020" s="22">
        <f>IF(OR($D3020="",$R3020="Trùng"),"",COUNTIFS(ORDERS!$C$2:$C$4995,$D3020,ORDERS!$L$2:$L$4995,"Đã chuyển khoản"))</f>
        <v/>
      </c>
      <c r="X3020" s="23">
        <f>IF(OR($D3020="",$R3020="Trùng"),"",SUMIFS(ORDERS!$J$2:$J$4995,ORDERS!$C$2:$C$4995,$D3020,ORDERS!$L$2:$L$4995,"Đã chuyển khoản"))</f>
        <v/>
      </c>
      <c r="Y3020" s="24" t="n"/>
    </row>
    <row r="3021" ht="14.25" customHeight="1" s="40">
      <c r="A3021" s="24" t="n"/>
      <c r="B3021" s="27" t="n"/>
      <c r="C3021" s="24" t="n"/>
      <c r="D3021" s="28" t="n"/>
      <c r="E3021" s="29" t="n"/>
      <c r="F3021" s="24" t="n"/>
      <c r="G3021" s="24" t="n"/>
      <c r="H3021" s="21">
        <f>IF(ISNUMBER($B3021),INT($B3021)-WEEKDAY($B3021,2)+1,"")</f>
        <v/>
      </c>
      <c r="I3021" s="24" t="n"/>
      <c r="J3021" s="22">
        <f t="array" ref="J3021">IF($D3021="","",IF($I3021="","(trống REF)",IFERROR(INDEX(MASTER_SOURCE!$B$2:$B$495,MATCH($I3021,MASTER_SOURCE!$A$2:$A$495,0)),"(REF không có trong MASTER_SOURCE)")))</f>
        <v/>
      </c>
      <c r="K3021" s="22">
        <f t="array" ref="K3021">IF($D3021="","",IFERROR(INDEX(MASTER_SOURCE!$C$2:$C$495,MATCH($I3021,MASTER_SOURCE!$A$2:$A$495,0)),""))</f>
        <v/>
      </c>
      <c r="L3021" s="22">
        <f t="array" ref="L3021">IF($D3021="","",IFERROR(INDEX(MASTER_SOURCE!$D$2:$D$495,MATCH($I3021,MASTER_SOURCE!$A$2:$A$495,0)),""))</f>
        <v/>
      </c>
      <c r="M3021" s="24" t="n"/>
      <c r="N3021" s="24" t="n"/>
      <c r="O3021" s="24" t="n"/>
      <c r="P3021" s="24" t="n"/>
      <c r="Q3021" s="22">
        <f>IF($D3021="","",IF(AND(OR(DANH_MUC!$L$5&lt;&gt;"Có",M3021="Có"),OR(DANH_MUC!$L$6&lt;&gt;"Có",N3021="Có"),OR(DANH_MUC!$L$7&lt;&gt;"Có",O3021="Có"),OR(DANH_MUC!$L$8&lt;&gt;"Có",P3021="Có")),"Có","Không"))</f>
        <v/>
      </c>
      <c r="R3021" s="22">
        <f>IF($D3021="","",IF(COUNTIF($D$2:$D3021,$D3021)&gt;1,"Trùng",""))</f>
        <v/>
      </c>
      <c r="S3021" s="22">
        <f>IF($D3021="","",IF(AND(LEN($D3021)=10,LEFT($D3021,1)="0",ISNUMBER(--$D3021)),"Có","Không"))</f>
        <v/>
      </c>
      <c r="T3021" s="22">
        <f>IF($D3021="","",IF(AND($C3021&lt;&gt;"",$Q3021="Có",$R3021="",$S3021="Có",AND($L3021&lt;&gt;"",OR($L3021&lt;&gt;"Chưa xác định",DANH_MUC!$L$9="Có"))),"Có","Không"))</f>
        <v/>
      </c>
      <c r="U3021" s="22">
        <f>IF(OR($D3021="",$T3021="Có"),"",IF($C3021="","Thiếu họ tên; ","")&amp;IF($S3021&lt;&gt;"Có","SĐT sai định dạng; ","")&amp;IF($R3021="Trùng","Trùng SĐT; ","")&amp;IF($Q3021&lt;&gt;"Có","Thiếu đồng ý bắt buộc; ","")&amp;IF($L3021="","Thiếu/sai Mã REF; ",IF(AND($L3021="Chưa xác định",DANH_MUC!$L$9&lt;&gt;"Có"),"Nguồn chưa xác định; ","")))</f>
        <v/>
      </c>
      <c r="V3021" s="22">
        <f>IF(OR($D3021="",$R3021="Trùng"),"",IF(COUNTIF(ORDERS!$C$2:$C$4995,$D3021)&gt;0,"Có","Không"))</f>
        <v/>
      </c>
      <c r="W3021" s="22">
        <f>IF(OR($D3021="",$R3021="Trùng"),"",COUNTIFS(ORDERS!$C$2:$C$4995,$D3021,ORDERS!$L$2:$L$4995,"Đã chuyển khoản"))</f>
        <v/>
      </c>
      <c r="X3021" s="23">
        <f>IF(OR($D3021="",$R3021="Trùng"),"",SUMIFS(ORDERS!$J$2:$J$4995,ORDERS!$C$2:$C$4995,$D3021,ORDERS!$L$2:$L$4995,"Đã chuyển khoản"))</f>
        <v/>
      </c>
      <c r="Y3021" s="24" t="n"/>
    </row>
    <row r="3022" ht="14.25" customHeight="1" s="40">
      <c r="A3022" s="24" t="n"/>
      <c r="B3022" s="27" t="n"/>
      <c r="C3022" s="24" t="n"/>
      <c r="D3022" s="28" t="n"/>
      <c r="E3022" s="29" t="n"/>
      <c r="F3022" s="24" t="n"/>
      <c r="G3022" s="24" t="n"/>
      <c r="H3022" s="21">
        <f>IF(ISNUMBER($B3022),INT($B3022)-WEEKDAY($B3022,2)+1,"")</f>
        <v/>
      </c>
      <c r="I3022" s="24" t="n"/>
      <c r="J3022" s="22">
        <f t="array" ref="J3022">IF($D3022="","",IF($I3022="","(trống REF)",IFERROR(INDEX(MASTER_SOURCE!$B$2:$B$495,MATCH($I3022,MASTER_SOURCE!$A$2:$A$495,0)),"(REF không có trong MASTER_SOURCE)")))</f>
        <v/>
      </c>
      <c r="K3022" s="22">
        <f t="array" ref="K3022">IF($D3022="","",IFERROR(INDEX(MASTER_SOURCE!$C$2:$C$495,MATCH($I3022,MASTER_SOURCE!$A$2:$A$495,0)),""))</f>
        <v/>
      </c>
      <c r="L3022" s="22">
        <f t="array" ref="L3022">IF($D3022="","",IFERROR(INDEX(MASTER_SOURCE!$D$2:$D$495,MATCH($I3022,MASTER_SOURCE!$A$2:$A$495,0)),""))</f>
        <v/>
      </c>
      <c r="M3022" s="24" t="n"/>
      <c r="N3022" s="24" t="n"/>
      <c r="O3022" s="24" t="n"/>
      <c r="P3022" s="24" t="n"/>
      <c r="Q3022" s="22">
        <f>IF($D3022="","",IF(AND(OR(DANH_MUC!$L$5&lt;&gt;"Có",M3022="Có"),OR(DANH_MUC!$L$6&lt;&gt;"Có",N3022="Có"),OR(DANH_MUC!$L$7&lt;&gt;"Có",O3022="Có"),OR(DANH_MUC!$L$8&lt;&gt;"Có",P3022="Có")),"Có","Không"))</f>
        <v/>
      </c>
      <c r="R3022" s="22">
        <f>IF($D3022="","",IF(COUNTIF($D$2:$D3022,$D3022)&gt;1,"Trùng",""))</f>
        <v/>
      </c>
      <c r="S3022" s="22">
        <f>IF($D3022="","",IF(AND(LEN($D3022)=10,LEFT($D3022,1)="0",ISNUMBER(--$D3022)),"Có","Không"))</f>
        <v/>
      </c>
      <c r="T3022" s="22">
        <f>IF($D3022="","",IF(AND($C3022&lt;&gt;"",$Q3022="Có",$R3022="",$S3022="Có",AND($L3022&lt;&gt;"",OR($L3022&lt;&gt;"Chưa xác định",DANH_MUC!$L$9="Có"))),"Có","Không"))</f>
        <v/>
      </c>
      <c r="U3022" s="22">
        <f>IF(OR($D3022="",$T3022="Có"),"",IF($C3022="","Thiếu họ tên; ","")&amp;IF($S3022&lt;&gt;"Có","SĐT sai định dạng; ","")&amp;IF($R3022="Trùng","Trùng SĐT; ","")&amp;IF($Q3022&lt;&gt;"Có","Thiếu đồng ý bắt buộc; ","")&amp;IF($L3022="","Thiếu/sai Mã REF; ",IF(AND($L3022="Chưa xác định",DANH_MUC!$L$9&lt;&gt;"Có"),"Nguồn chưa xác định; ","")))</f>
        <v/>
      </c>
      <c r="V3022" s="22">
        <f>IF(OR($D3022="",$R3022="Trùng"),"",IF(COUNTIF(ORDERS!$C$2:$C$4995,$D3022)&gt;0,"Có","Không"))</f>
        <v/>
      </c>
      <c r="W3022" s="22">
        <f>IF(OR($D3022="",$R3022="Trùng"),"",COUNTIFS(ORDERS!$C$2:$C$4995,$D3022,ORDERS!$L$2:$L$4995,"Đã chuyển khoản"))</f>
        <v/>
      </c>
      <c r="X3022" s="23">
        <f>IF(OR($D3022="",$R3022="Trùng"),"",SUMIFS(ORDERS!$J$2:$J$4995,ORDERS!$C$2:$C$4995,$D3022,ORDERS!$L$2:$L$4995,"Đã chuyển khoản"))</f>
        <v/>
      </c>
      <c r="Y3022" s="24" t="n"/>
    </row>
    <row r="3023" ht="14.25" customHeight="1" s="40">
      <c r="A3023" s="24" t="n"/>
      <c r="B3023" s="27" t="n"/>
      <c r="C3023" s="24" t="n"/>
      <c r="D3023" s="28" t="n"/>
      <c r="E3023" s="29" t="n"/>
      <c r="F3023" s="24" t="n"/>
      <c r="G3023" s="24" t="n"/>
      <c r="H3023" s="21">
        <f>IF(ISNUMBER($B3023),INT($B3023)-WEEKDAY($B3023,2)+1,"")</f>
        <v/>
      </c>
      <c r="I3023" s="24" t="n"/>
      <c r="J3023" s="22">
        <f t="array" ref="J3023">IF($D3023="","",IF($I3023="","(trống REF)",IFERROR(INDEX(MASTER_SOURCE!$B$2:$B$495,MATCH($I3023,MASTER_SOURCE!$A$2:$A$495,0)),"(REF không có trong MASTER_SOURCE)")))</f>
        <v/>
      </c>
      <c r="K3023" s="22">
        <f t="array" ref="K3023">IF($D3023="","",IFERROR(INDEX(MASTER_SOURCE!$C$2:$C$495,MATCH($I3023,MASTER_SOURCE!$A$2:$A$495,0)),""))</f>
        <v/>
      </c>
      <c r="L3023" s="22">
        <f t="array" ref="L3023">IF($D3023="","",IFERROR(INDEX(MASTER_SOURCE!$D$2:$D$495,MATCH($I3023,MASTER_SOURCE!$A$2:$A$495,0)),""))</f>
        <v/>
      </c>
      <c r="M3023" s="24" t="n"/>
      <c r="N3023" s="24" t="n"/>
      <c r="O3023" s="24" t="n"/>
      <c r="P3023" s="24" t="n"/>
      <c r="Q3023" s="22">
        <f>IF($D3023="","",IF(AND(OR(DANH_MUC!$L$5&lt;&gt;"Có",M3023="Có"),OR(DANH_MUC!$L$6&lt;&gt;"Có",N3023="Có"),OR(DANH_MUC!$L$7&lt;&gt;"Có",O3023="Có"),OR(DANH_MUC!$L$8&lt;&gt;"Có",P3023="Có")),"Có","Không"))</f>
        <v/>
      </c>
      <c r="R3023" s="22">
        <f>IF($D3023="","",IF(COUNTIF($D$2:$D3023,$D3023)&gt;1,"Trùng",""))</f>
        <v/>
      </c>
      <c r="S3023" s="22">
        <f>IF($D3023="","",IF(AND(LEN($D3023)=10,LEFT($D3023,1)="0",ISNUMBER(--$D3023)),"Có","Không"))</f>
        <v/>
      </c>
      <c r="T3023" s="22">
        <f>IF($D3023="","",IF(AND($C3023&lt;&gt;"",$Q3023="Có",$R3023="",$S3023="Có",AND($L3023&lt;&gt;"",OR($L3023&lt;&gt;"Chưa xác định",DANH_MUC!$L$9="Có"))),"Có","Không"))</f>
        <v/>
      </c>
      <c r="U3023" s="22">
        <f>IF(OR($D3023="",$T3023="Có"),"",IF($C3023="","Thiếu họ tên; ","")&amp;IF($S3023&lt;&gt;"Có","SĐT sai định dạng; ","")&amp;IF($R3023="Trùng","Trùng SĐT; ","")&amp;IF($Q3023&lt;&gt;"Có","Thiếu đồng ý bắt buộc; ","")&amp;IF($L3023="","Thiếu/sai Mã REF; ",IF(AND($L3023="Chưa xác định",DANH_MUC!$L$9&lt;&gt;"Có"),"Nguồn chưa xác định; ","")))</f>
        <v/>
      </c>
      <c r="V3023" s="22">
        <f>IF(OR($D3023="",$R3023="Trùng"),"",IF(COUNTIF(ORDERS!$C$2:$C$4995,$D3023)&gt;0,"Có","Không"))</f>
        <v/>
      </c>
      <c r="W3023" s="22">
        <f>IF(OR($D3023="",$R3023="Trùng"),"",COUNTIFS(ORDERS!$C$2:$C$4995,$D3023,ORDERS!$L$2:$L$4995,"Đã chuyển khoản"))</f>
        <v/>
      </c>
      <c r="X3023" s="23">
        <f>IF(OR($D3023="",$R3023="Trùng"),"",SUMIFS(ORDERS!$J$2:$J$4995,ORDERS!$C$2:$C$4995,$D3023,ORDERS!$L$2:$L$4995,"Đã chuyển khoản"))</f>
        <v/>
      </c>
      <c r="Y3023" s="24" t="n"/>
    </row>
    <row r="3024" ht="14.25" customHeight="1" s="40">
      <c r="A3024" s="24" t="n"/>
      <c r="B3024" s="27" t="n"/>
      <c r="C3024" s="24" t="n"/>
      <c r="D3024" s="28" t="n"/>
      <c r="E3024" s="29" t="n"/>
      <c r="F3024" s="24" t="n"/>
      <c r="G3024" s="24" t="n"/>
      <c r="H3024" s="21">
        <f>IF(ISNUMBER($B3024),INT($B3024)-WEEKDAY($B3024,2)+1,"")</f>
        <v/>
      </c>
      <c r="I3024" s="24" t="n"/>
      <c r="J3024" s="22">
        <f t="array" ref="J3024">IF($D3024="","",IF($I3024="","(trống REF)",IFERROR(INDEX(MASTER_SOURCE!$B$2:$B$495,MATCH($I3024,MASTER_SOURCE!$A$2:$A$495,0)),"(REF không có trong MASTER_SOURCE)")))</f>
        <v/>
      </c>
      <c r="K3024" s="22">
        <f t="array" ref="K3024">IF($D3024="","",IFERROR(INDEX(MASTER_SOURCE!$C$2:$C$495,MATCH($I3024,MASTER_SOURCE!$A$2:$A$495,0)),""))</f>
        <v/>
      </c>
      <c r="L3024" s="22">
        <f t="array" ref="L3024">IF($D3024="","",IFERROR(INDEX(MASTER_SOURCE!$D$2:$D$495,MATCH($I3024,MASTER_SOURCE!$A$2:$A$495,0)),""))</f>
        <v/>
      </c>
      <c r="M3024" s="24" t="n"/>
      <c r="N3024" s="24" t="n"/>
      <c r="O3024" s="24" t="n"/>
      <c r="P3024" s="24" t="n"/>
      <c r="Q3024" s="22">
        <f>IF($D3024="","",IF(AND(OR(DANH_MUC!$L$5&lt;&gt;"Có",M3024="Có"),OR(DANH_MUC!$L$6&lt;&gt;"Có",N3024="Có"),OR(DANH_MUC!$L$7&lt;&gt;"Có",O3024="Có"),OR(DANH_MUC!$L$8&lt;&gt;"Có",P3024="Có")),"Có","Không"))</f>
        <v/>
      </c>
      <c r="R3024" s="22">
        <f>IF($D3024="","",IF(COUNTIF($D$2:$D3024,$D3024)&gt;1,"Trùng",""))</f>
        <v/>
      </c>
      <c r="S3024" s="22">
        <f>IF($D3024="","",IF(AND(LEN($D3024)=10,LEFT($D3024,1)="0",ISNUMBER(--$D3024)),"Có","Không"))</f>
        <v/>
      </c>
      <c r="T3024" s="22">
        <f>IF($D3024="","",IF(AND($C3024&lt;&gt;"",$Q3024="Có",$R3024="",$S3024="Có",AND($L3024&lt;&gt;"",OR($L3024&lt;&gt;"Chưa xác định",DANH_MUC!$L$9="Có"))),"Có","Không"))</f>
        <v/>
      </c>
      <c r="U3024" s="22">
        <f>IF(OR($D3024="",$T3024="Có"),"",IF($C3024="","Thiếu họ tên; ","")&amp;IF($S3024&lt;&gt;"Có","SĐT sai định dạng; ","")&amp;IF($R3024="Trùng","Trùng SĐT; ","")&amp;IF($Q3024&lt;&gt;"Có","Thiếu đồng ý bắt buộc; ","")&amp;IF($L3024="","Thiếu/sai Mã REF; ",IF(AND($L3024="Chưa xác định",DANH_MUC!$L$9&lt;&gt;"Có"),"Nguồn chưa xác định; ","")))</f>
        <v/>
      </c>
      <c r="V3024" s="22">
        <f>IF(OR($D3024="",$R3024="Trùng"),"",IF(COUNTIF(ORDERS!$C$2:$C$4995,$D3024)&gt;0,"Có","Không"))</f>
        <v/>
      </c>
      <c r="W3024" s="22">
        <f>IF(OR($D3024="",$R3024="Trùng"),"",COUNTIFS(ORDERS!$C$2:$C$4995,$D3024,ORDERS!$L$2:$L$4995,"Đã chuyển khoản"))</f>
        <v/>
      </c>
      <c r="X3024" s="23">
        <f>IF(OR($D3024="",$R3024="Trùng"),"",SUMIFS(ORDERS!$J$2:$J$4995,ORDERS!$C$2:$C$4995,$D3024,ORDERS!$L$2:$L$4995,"Đã chuyển khoản"))</f>
        <v/>
      </c>
      <c r="Y3024" s="24" t="n"/>
    </row>
    <row r="3025" ht="14.25" customHeight="1" s="40">
      <c r="A3025" s="24" t="n"/>
      <c r="B3025" s="27" t="n"/>
      <c r="C3025" s="24" t="n"/>
      <c r="D3025" s="28" t="n"/>
      <c r="E3025" s="29" t="n"/>
      <c r="F3025" s="24" t="n"/>
      <c r="G3025" s="24" t="n"/>
      <c r="H3025" s="21">
        <f>IF(ISNUMBER($B3025),INT($B3025)-WEEKDAY($B3025,2)+1,"")</f>
        <v/>
      </c>
      <c r="I3025" s="24" t="n"/>
      <c r="J3025" s="22">
        <f t="array" ref="J3025">IF($D3025="","",IF($I3025="","(trống REF)",IFERROR(INDEX(MASTER_SOURCE!$B$2:$B$495,MATCH($I3025,MASTER_SOURCE!$A$2:$A$495,0)),"(REF không có trong MASTER_SOURCE)")))</f>
        <v/>
      </c>
      <c r="K3025" s="22">
        <f t="array" ref="K3025">IF($D3025="","",IFERROR(INDEX(MASTER_SOURCE!$C$2:$C$495,MATCH($I3025,MASTER_SOURCE!$A$2:$A$495,0)),""))</f>
        <v/>
      </c>
      <c r="L3025" s="22">
        <f t="array" ref="L3025">IF($D3025="","",IFERROR(INDEX(MASTER_SOURCE!$D$2:$D$495,MATCH($I3025,MASTER_SOURCE!$A$2:$A$495,0)),""))</f>
        <v/>
      </c>
      <c r="M3025" s="24" t="n"/>
      <c r="N3025" s="24" t="n"/>
      <c r="O3025" s="24" t="n"/>
      <c r="P3025" s="24" t="n"/>
      <c r="Q3025" s="22">
        <f>IF($D3025="","",IF(AND(OR(DANH_MUC!$L$5&lt;&gt;"Có",M3025="Có"),OR(DANH_MUC!$L$6&lt;&gt;"Có",N3025="Có"),OR(DANH_MUC!$L$7&lt;&gt;"Có",O3025="Có"),OR(DANH_MUC!$L$8&lt;&gt;"Có",P3025="Có")),"Có","Không"))</f>
        <v/>
      </c>
      <c r="R3025" s="22">
        <f>IF($D3025="","",IF(COUNTIF($D$2:$D3025,$D3025)&gt;1,"Trùng",""))</f>
        <v/>
      </c>
      <c r="S3025" s="22">
        <f>IF($D3025="","",IF(AND(LEN($D3025)=10,LEFT($D3025,1)="0",ISNUMBER(--$D3025)),"Có","Không"))</f>
        <v/>
      </c>
      <c r="T3025" s="22">
        <f>IF($D3025="","",IF(AND($C3025&lt;&gt;"",$Q3025="Có",$R3025="",$S3025="Có",AND($L3025&lt;&gt;"",OR($L3025&lt;&gt;"Chưa xác định",DANH_MUC!$L$9="Có"))),"Có","Không"))</f>
        <v/>
      </c>
      <c r="U3025" s="22">
        <f>IF(OR($D3025="",$T3025="Có"),"",IF($C3025="","Thiếu họ tên; ","")&amp;IF($S3025&lt;&gt;"Có","SĐT sai định dạng; ","")&amp;IF($R3025="Trùng","Trùng SĐT; ","")&amp;IF($Q3025&lt;&gt;"Có","Thiếu đồng ý bắt buộc; ","")&amp;IF($L3025="","Thiếu/sai Mã REF; ",IF(AND($L3025="Chưa xác định",DANH_MUC!$L$9&lt;&gt;"Có"),"Nguồn chưa xác định; ","")))</f>
        <v/>
      </c>
      <c r="V3025" s="22">
        <f>IF(OR($D3025="",$R3025="Trùng"),"",IF(COUNTIF(ORDERS!$C$2:$C$4995,$D3025)&gt;0,"Có","Không"))</f>
        <v/>
      </c>
      <c r="W3025" s="22">
        <f>IF(OR($D3025="",$R3025="Trùng"),"",COUNTIFS(ORDERS!$C$2:$C$4995,$D3025,ORDERS!$L$2:$L$4995,"Đã chuyển khoản"))</f>
        <v/>
      </c>
      <c r="X3025" s="23">
        <f>IF(OR($D3025="",$R3025="Trùng"),"",SUMIFS(ORDERS!$J$2:$J$4995,ORDERS!$C$2:$C$4995,$D3025,ORDERS!$L$2:$L$4995,"Đã chuyển khoản"))</f>
        <v/>
      </c>
      <c r="Y3025" s="24" t="n"/>
    </row>
    <row r="3026" ht="14.25" customHeight="1" s="40">
      <c r="A3026" s="24" t="n"/>
      <c r="B3026" s="27" t="n"/>
      <c r="C3026" s="24" t="n"/>
      <c r="D3026" s="28" t="n"/>
      <c r="E3026" s="29" t="n"/>
      <c r="F3026" s="24" t="n"/>
      <c r="G3026" s="24" t="n"/>
      <c r="H3026" s="21">
        <f>IF(ISNUMBER($B3026),INT($B3026)-WEEKDAY($B3026,2)+1,"")</f>
        <v/>
      </c>
      <c r="I3026" s="24" t="n"/>
      <c r="J3026" s="22">
        <f t="array" ref="J3026">IF($D3026="","",IF($I3026="","(trống REF)",IFERROR(INDEX(MASTER_SOURCE!$B$2:$B$495,MATCH($I3026,MASTER_SOURCE!$A$2:$A$495,0)),"(REF không có trong MASTER_SOURCE)")))</f>
        <v/>
      </c>
      <c r="K3026" s="22">
        <f t="array" ref="K3026">IF($D3026="","",IFERROR(INDEX(MASTER_SOURCE!$C$2:$C$495,MATCH($I3026,MASTER_SOURCE!$A$2:$A$495,0)),""))</f>
        <v/>
      </c>
      <c r="L3026" s="22">
        <f t="array" ref="L3026">IF($D3026="","",IFERROR(INDEX(MASTER_SOURCE!$D$2:$D$495,MATCH($I3026,MASTER_SOURCE!$A$2:$A$495,0)),""))</f>
        <v/>
      </c>
      <c r="M3026" s="24" t="n"/>
      <c r="N3026" s="24" t="n"/>
      <c r="O3026" s="24" t="n"/>
      <c r="P3026" s="24" t="n"/>
      <c r="Q3026" s="22">
        <f>IF($D3026="","",IF(AND(OR(DANH_MUC!$L$5&lt;&gt;"Có",M3026="Có"),OR(DANH_MUC!$L$6&lt;&gt;"Có",N3026="Có"),OR(DANH_MUC!$L$7&lt;&gt;"Có",O3026="Có"),OR(DANH_MUC!$L$8&lt;&gt;"Có",P3026="Có")),"Có","Không"))</f>
        <v/>
      </c>
      <c r="R3026" s="22">
        <f>IF($D3026="","",IF(COUNTIF($D$2:$D3026,$D3026)&gt;1,"Trùng",""))</f>
        <v/>
      </c>
      <c r="S3026" s="22">
        <f>IF($D3026="","",IF(AND(LEN($D3026)=10,LEFT($D3026,1)="0",ISNUMBER(--$D3026)),"Có","Không"))</f>
        <v/>
      </c>
      <c r="T3026" s="22">
        <f>IF($D3026="","",IF(AND($C3026&lt;&gt;"",$Q3026="Có",$R3026="",$S3026="Có",AND($L3026&lt;&gt;"",OR($L3026&lt;&gt;"Chưa xác định",DANH_MUC!$L$9="Có"))),"Có","Không"))</f>
        <v/>
      </c>
      <c r="U3026" s="22">
        <f>IF(OR($D3026="",$T3026="Có"),"",IF($C3026="","Thiếu họ tên; ","")&amp;IF($S3026&lt;&gt;"Có","SĐT sai định dạng; ","")&amp;IF($R3026="Trùng","Trùng SĐT; ","")&amp;IF($Q3026&lt;&gt;"Có","Thiếu đồng ý bắt buộc; ","")&amp;IF($L3026="","Thiếu/sai Mã REF; ",IF(AND($L3026="Chưa xác định",DANH_MUC!$L$9&lt;&gt;"Có"),"Nguồn chưa xác định; ","")))</f>
        <v/>
      </c>
      <c r="V3026" s="22">
        <f>IF(OR($D3026="",$R3026="Trùng"),"",IF(COUNTIF(ORDERS!$C$2:$C$4995,$D3026)&gt;0,"Có","Không"))</f>
        <v/>
      </c>
      <c r="W3026" s="22">
        <f>IF(OR($D3026="",$R3026="Trùng"),"",COUNTIFS(ORDERS!$C$2:$C$4995,$D3026,ORDERS!$L$2:$L$4995,"Đã chuyển khoản"))</f>
        <v/>
      </c>
      <c r="X3026" s="23">
        <f>IF(OR($D3026="",$R3026="Trùng"),"",SUMIFS(ORDERS!$J$2:$J$4995,ORDERS!$C$2:$C$4995,$D3026,ORDERS!$L$2:$L$4995,"Đã chuyển khoản"))</f>
        <v/>
      </c>
      <c r="Y3026" s="24" t="n"/>
    </row>
    <row r="3027" ht="14.25" customHeight="1" s="40">
      <c r="A3027" s="24" t="n"/>
      <c r="B3027" s="27" t="n"/>
      <c r="C3027" s="24" t="n"/>
      <c r="D3027" s="28" t="n"/>
      <c r="E3027" s="29" t="n"/>
      <c r="F3027" s="24" t="n"/>
      <c r="G3027" s="24" t="n"/>
      <c r="H3027" s="21">
        <f>IF(ISNUMBER($B3027),INT($B3027)-WEEKDAY($B3027,2)+1,"")</f>
        <v/>
      </c>
      <c r="I3027" s="24" t="n"/>
      <c r="J3027" s="22">
        <f t="array" ref="J3027">IF($D3027="","",IF($I3027="","(trống REF)",IFERROR(INDEX(MASTER_SOURCE!$B$2:$B$495,MATCH($I3027,MASTER_SOURCE!$A$2:$A$495,0)),"(REF không có trong MASTER_SOURCE)")))</f>
        <v/>
      </c>
      <c r="K3027" s="22">
        <f t="array" ref="K3027">IF($D3027="","",IFERROR(INDEX(MASTER_SOURCE!$C$2:$C$495,MATCH($I3027,MASTER_SOURCE!$A$2:$A$495,0)),""))</f>
        <v/>
      </c>
      <c r="L3027" s="22">
        <f t="array" ref="L3027">IF($D3027="","",IFERROR(INDEX(MASTER_SOURCE!$D$2:$D$495,MATCH($I3027,MASTER_SOURCE!$A$2:$A$495,0)),""))</f>
        <v/>
      </c>
      <c r="M3027" s="24" t="n"/>
      <c r="N3027" s="24" t="n"/>
      <c r="O3027" s="24" t="n"/>
      <c r="P3027" s="24" t="n"/>
      <c r="Q3027" s="22">
        <f>IF($D3027="","",IF(AND(OR(DANH_MUC!$L$5&lt;&gt;"Có",M3027="Có"),OR(DANH_MUC!$L$6&lt;&gt;"Có",N3027="Có"),OR(DANH_MUC!$L$7&lt;&gt;"Có",O3027="Có"),OR(DANH_MUC!$L$8&lt;&gt;"Có",P3027="Có")),"Có","Không"))</f>
        <v/>
      </c>
      <c r="R3027" s="22">
        <f>IF($D3027="","",IF(COUNTIF($D$2:$D3027,$D3027)&gt;1,"Trùng",""))</f>
        <v/>
      </c>
      <c r="S3027" s="22">
        <f>IF($D3027="","",IF(AND(LEN($D3027)=10,LEFT($D3027,1)="0",ISNUMBER(--$D3027)),"Có","Không"))</f>
        <v/>
      </c>
      <c r="T3027" s="22">
        <f>IF($D3027="","",IF(AND($C3027&lt;&gt;"",$Q3027="Có",$R3027="",$S3027="Có",AND($L3027&lt;&gt;"",OR($L3027&lt;&gt;"Chưa xác định",DANH_MUC!$L$9="Có"))),"Có","Không"))</f>
        <v/>
      </c>
      <c r="U3027" s="22">
        <f>IF(OR($D3027="",$T3027="Có"),"",IF($C3027="","Thiếu họ tên; ","")&amp;IF($S3027&lt;&gt;"Có","SĐT sai định dạng; ","")&amp;IF($R3027="Trùng","Trùng SĐT; ","")&amp;IF($Q3027&lt;&gt;"Có","Thiếu đồng ý bắt buộc; ","")&amp;IF($L3027="","Thiếu/sai Mã REF; ",IF(AND($L3027="Chưa xác định",DANH_MUC!$L$9&lt;&gt;"Có"),"Nguồn chưa xác định; ","")))</f>
        <v/>
      </c>
      <c r="V3027" s="22">
        <f>IF(OR($D3027="",$R3027="Trùng"),"",IF(COUNTIF(ORDERS!$C$2:$C$4995,$D3027)&gt;0,"Có","Không"))</f>
        <v/>
      </c>
      <c r="W3027" s="22">
        <f>IF(OR($D3027="",$R3027="Trùng"),"",COUNTIFS(ORDERS!$C$2:$C$4995,$D3027,ORDERS!$L$2:$L$4995,"Đã chuyển khoản"))</f>
        <v/>
      </c>
      <c r="X3027" s="23">
        <f>IF(OR($D3027="",$R3027="Trùng"),"",SUMIFS(ORDERS!$J$2:$J$4995,ORDERS!$C$2:$C$4995,$D3027,ORDERS!$L$2:$L$4995,"Đã chuyển khoản"))</f>
        <v/>
      </c>
      <c r="Y3027" s="24" t="n"/>
    </row>
    <row r="3028" ht="14.25" customHeight="1" s="40">
      <c r="A3028" s="24" t="n"/>
      <c r="B3028" s="27" t="n"/>
      <c r="C3028" s="24" t="n"/>
      <c r="D3028" s="28" t="n"/>
      <c r="E3028" s="29" t="n"/>
      <c r="F3028" s="24" t="n"/>
      <c r="G3028" s="24" t="n"/>
      <c r="H3028" s="21">
        <f>IF(ISNUMBER($B3028),INT($B3028)-WEEKDAY($B3028,2)+1,"")</f>
        <v/>
      </c>
      <c r="I3028" s="24" t="n"/>
      <c r="J3028" s="22">
        <f t="array" ref="J3028">IF($D3028="","",IF($I3028="","(trống REF)",IFERROR(INDEX(MASTER_SOURCE!$B$2:$B$495,MATCH($I3028,MASTER_SOURCE!$A$2:$A$495,0)),"(REF không có trong MASTER_SOURCE)")))</f>
        <v/>
      </c>
      <c r="K3028" s="22">
        <f t="array" ref="K3028">IF($D3028="","",IFERROR(INDEX(MASTER_SOURCE!$C$2:$C$495,MATCH($I3028,MASTER_SOURCE!$A$2:$A$495,0)),""))</f>
        <v/>
      </c>
      <c r="L3028" s="22">
        <f t="array" ref="L3028">IF($D3028="","",IFERROR(INDEX(MASTER_SOURCE!$D$2:$D$495,MATCH($I3028,MASTER_SOURCE!$A$2:$A$495,0)),""))</f>
        <v/>
      </c>
      <c r="M3028" s="24" t="n"/>
      <c r="N3028" s="24" t="n"/>
      <c r="O3028" s="24" t="n"/>
      <c r="P3028" s="24" t="n"/>
      <c r="Q3028" s="22">
        <f>IF($D3028="","",IF(AND(OR(DANH_MUC!$L$5&lt;&gt;"Có",M3028="Có"),OR(DANH_MUC!$L$6&lt;&gt;"Có",N3028="Có"),OR(DANH_MUC!$L$7&lt;&gt;"Có",O3028="Có"),OR(DANH_MUC!$L$8&lt;&gt;"Có",P3028="Có")),"Có","Không"))</f>
        <v/>
      </c>
      <c r="R3028" s="22">
        <f>IF($D3028="","",IF(COUNTIF($D$2:$D3028,$D3028)&gt;1,"Trùng",""))</f>
        <v/>
      </c>
      <c r="S3028" s="22">
        <f>IF($D3028="","",IF(AND(LEN($D3028)=10,LEFT($D3028,1)="0",ISNUMBER(--$D3028)),"Có","Không"))</f>
        <v/>
      </c>
      <c r="T3028" s="22">
        <f>IF($D3028="","",IF(AND($C3028&lt;&gt;"",$Q3028="Có",$R3028="",$S3028="Có",AND($L3028&lt;&gt;"",OR($L3028&lt;&gt;"Chưa xác định",DANH_MUC!$L$9="Có"))),"Có","Không"))</f>
        <v/>
      </c>
      <c r="U3028" s="22">
        <f>IF(OR($D3028="",$T3028="Có"),"",IF($C3028="","Thiếu họ tên; ","")&amp;IF($S3028&lt;&gt;"Có","SĐT sai định dạng; ","")&amp;IF($R3028="Trùng","Trùng SĐT; ","")&amp;IF($Q3028&lt;&gt;"Có","Thiếu đồng ý bắt buộc; ","")&amp;IF($L3028="","Thiếu/sai Mã REF; ",IF(AND($L3028="Chưa xác định",DANH_MUC!$L$9&lt;&gt;"Có"),"Nguồn chưa xác định; ","")))</f>
        <v/>
      </c>
      <c r="V3028" s="22">
        <f>IF(OR($D3028="",$R3028="Trùng"),"",IF(COUNTIF(ORDERS!$C$2:$C$4995,$D3028)&gt;0,"Có","Không"))</f>
        <v/>
      </c>
      <c r="W3028" s="22">
        <f>IF(OR($D3028="",$R3028="Trùng"),"",COUNTIFS(ORDERS!$C$2:$C$4995,$D3028,ORDERS!$L$2:$L$4995,"Đã chuyển khoản"))</f>
        <v/>
      </c>
      <c r="X3028" s="23">
        <f>IF(OR($D3028="",$R3028="Trùng"),"",SUMIFS(ORDERS!$J$2:$J$4995,ORDERS!$C$2:$C$4995,$D3028,ORDERS!$L$2:$L$4995,"Đã chuyển khoản"))</f>
        <v/>
      </c>
      <c r="Y3028" s="24" t="n"/>
    </row>
    <row r="3029" ht="14.25" customHeight="1" s="40">
      <c r="A3029" s="24" t="n"/>
      <c r="B3029" s="27" t="n"/>
      <c r="C3029" s="24" t="n"/>
      <c r="D3029" s="28" t="n"/>
      <c r="E3029" s="29" t="n"/>
      <c r="F3029" s="24" t="n"/>
      <c r="G3029" s="24" t="n"/>
      <c r="H3029" s="21">
        <f>IF(ISNUMBER($B3029),INT($B3029)-WEEKDAY($B3029,2)+1,"")</f>
        <v/>
      </c>
      <c r="I3029" s="24" t="n"/>
      <c r="J3029" s="22">
        <f t="array" ref="J3029">IF($D3029="","",IF($I3029="","(trống REF)",IFERROR(INDEX(MASTER_SOURCE!$B$2:$B$495,MATCH($I3029,MASTER_SOURCE!$A$2:$A$495,0)),"(REF không có trong MASTER_SOURCE)")))</f>
        <v/>
      </c>
      <c r="K3029" s="22">
        <f t="array" ref="K3029">IF($D3029="","",IFERROR(INDEX(MASTER_SOURCE!$C$2:$C$495,MATCH($I3029,MASTER_SOURCE!$A$2:$A$495,0)),""))</f>
        <v/>
      </c>
      <c r="L3029" s="22">
        <f t="array" ref="L3029">IF($D3029="","",IFERROR(INDEX(MASTER_SOURCE!$D$2:$D$495,MATCH($I3029,MASTER_SOURCE!$A$2:$A$495,0)),""))</f>
        <v/>
      </c>
      <c r="M3029" s="24" t="n"/>
      <c r="N3029" s="24" t="n"/>
      <c r="O3029" s="24" t="n"/>
      <c r="P3029" s="24" t="n"/>
      <c r="Q3029" s="22">
        <f>IF($D3029="","",IF(AND(OR(DANH_MUC!$L$5&lt;&gt;"Có",M3029="Có"),OR(DANH_MUC!$L$6&lt;&gt;"Có",N3029="Có"),OR(DANH_MUC!$L$7&lt;&gt;"Có",O3029="Có"),OR(DANH_MUC!$L$8&lt;&gt;"Có",P3029="Có")),"Có","Không"))</f>
        <v/>
      </c>
      <c r="R3029" s="22">
        <f>IF($D3029="","",IF(COUNTIF($D$2:$D3029,$D3029)&gt;1,"Trùng",""))</f>
        <v/>
      </c>
      <c r="S3029" s="22">
        <f>IF($D3029="","",IF(AND(LEN($D3029)=10,LEFT($D3029,1)="0",ISNUMBER(--$D3029)),"Có","Không"))</f>
        <v/>
      </c>
      <c r="T3029" s="22">
        <f>IF($D3029="","",IF(AND($C3029&lt;&gt;"",$Q3029="Có",$R3029="",$S3029="Có",AND($L3029&lt;&gt;"",OR($L3029&lt;&gt;"Chưa xác định",DANH_MUC!$L$9="Có"))),"Có","Không"))</f>
        <v/>
      </c>
      <c r="U3029" s="22">
        <f>IF(OR($D3029="",$T3029="Có"),"",IF($C3029="","Thiếu họ tên; ","")&amp;IF($S3029&lt;&gt;"Có","SĐT sai định dạng; ","")&amp;IF($R3029="Trùng","Trùng SĐT; ","")&amp;IF($Q3029&lt;&gt;"Có","Thiếu đồng ý bắt buộc; ","")&amp;IF($L3029="","Thiếu/sai Mã REF; ",IF(AND($L3029="Chưa xác định",DANH_MUC!$L$9&lt;&gt;"Có"),"Nguồn chưa xác định; ","")))</f>
        <v/>
      </c>
      <c r="V3029" s="22">
        <f>IF(OR($D3029="",$R3029="Trùng"),"",IF(COUNTIF(ORDERS!$C$2:$C$4995,$D3029)&gt;0,"Có","Không"))</f>
        <v/>
      </c>
      <c r="W3029" s="22">
        <f>IF(OR($D3029="",$R3029="Trùng"),"",COUNTIFS(ORDERS!$C$2:$C$4995,$D3029,ORDERS!$L$2:$L$4995,"Đã chuyển khoản"))</f>
        <v/>
      </c>
      <c r="X3029" s="23">
        <f>IF(OR($D3029="",$R3029="Trùng"),"",SUMIFS(ORDERS!$J$2:$J$4995,ORDERS!$C$2:$C$4995,$D3029,ORDERS!$L$2:$L$4995,"Đã chuyển khoản"))</f>
        <v/>
      </c>
      <c r="Y3029" s="24" t="n"/>
    </row>
    <row r="3030" ht="14.25" customHeight="1" s="40">
      <c r="A3030" s="24" t="n"/>
      <c r="B3030" s="27" t="n"/>
      <c r="C3030" s="24" t="n"/>
      <c r="D3030" s="28" t="n"/>
      <c r="E3030" s="29" t="n"/>
      <c r="F3030" s="24" t="n"/>
      <c r="G3030" s="24" t="n"/>
      <c r="H3030" s="21">
        <f>IF(ISNUMBER($B3030),INT($B3030)-WEEKDAY($B3030,2)+1,"")</f>
        <v/>
      </c>
      <c r="I3030" s="24" t="n"/>
      <c r="J3030" s="22">
        <f t="array" ref="J3030">IF($D3030="","",IF($I3030="","(trống REF)",IFERROR(INDEX(MASTER_SOURCE!$B$2:$B$495,MATCH($I3030,MASTER_SOURCE!$A$2:$A$495,0)),"(REF không có trong MASTER_SOURCE)")))</f>
        <v/>
      </c>
      <c r="K3030" s="22">
        <f t="array" ref="K3030">IF($D3030="","",IFERROR(INDEX(MASTER_SOURCE!$C$2:$C$495,MATCH($I3030,MASTER_SOURCE!$A$2:$A$495,0)),""))</f>
        <v/>
      </c>
      <c r="L3030" s="22">
        <f t="array" ref="L3030">IF($D3030="","",IFERROR(INDEX(MASTER_SOURCE!$D$2:$D$495,MATCH($I3030,MASTER_SOURCE!$A$2:$A$495,0)),""))</f>
        <v/>
      </c>
      <c r="M3030" s="24" t="n"/>
      <c r="N3030" s="24" t="n"/>
      <c r="O3030" s="24" t="n"/>
      <c r="P3030" s="24" t="n"/>
      <c r="Q3030" s="22">
        <f>IF($D3030="","",IF(AND(OR(DANH_MUC!$L$5&lt;&gt;"Có",M3030="Có"),OR(DANH_MUC!$L$6&lt;&gt;"Có",N3030="Có"),OR(DANH_MUC!$L$7&lt;&gt;"Có",O3030="Có"),OR(DANH_MUC!$L$8&lt;&gt;"Có",P3030="Có")),"Có","Không"))</f>
        <v/>
      </c>
      <c r="R3030" s="22">
        <f>IF($D3030="","",IF(COUNTIF($D$2:$D3030,$D3030)&gt;1,"Trùng",""))</f>
        <v/>
      </c>
      <c r="S3030" s="22">
        <f>IF($D3030="","",IF(AND(LEN($D3030)=10,LEFT($D3030,1)="0",ISNUMBER(--$D3030)),"Có","Không"))</f>
        <v/>
      </c>
      <c r="T3030" s="22">
        <f>IF($D3030="","",IF(AND($C3030&lt;&gt;"",$Q3030="Có",$R3030="",$S3030="Có",AND($L3030&lt;&gt;"",OR($L3030&lt;&gt;"Chưa xác định",DANH_MUC!$L$9="Có"))),"Có","Không"))</f>
        <v/>
      </c>
      <c r="U3030" s="22">
        <f>IF(OR($D3030="",$T3030="Có"),"",IF($C3030="","Thiếu họ tên; ","")&amp;IF($S3030&lt;&gt;"Có","SĐT sai định dạng; ","")&amp;IF($R3030="Trùng","Trùng SĐT; ","")&amp;IF($Q3030&lt;&gt;"Có","Thiếu đồng ý bắt buộc; ","")&amp;IF($L3030="","Thiếu/sai Mã REF; ",IF(AND($L3030="Chưa xác định",DANH_MUC!$L$9&lt;&gt;"Có"),"Nguồn chưa xác định; ","")))</f>
        <v/>
      </c>
      <c r="V3030" s="22">
        <f>IF(OR($D3030="",$R3030="Trùng"),"",IF(COUNTIF(ORDERS!$C$2:$C$4995,$D3030)&gt;0,"Có","Không"))</f>
        <v/>
      </c>
      <c r="W3030" s="22">
        <f>IF(OR($D3030="",$R3030="Trùng"),"",COUNTIFS(ORDERS!$C$2:$C$4995,$D3030,ORDERS!$L$2:$L$4995,"Đã chuyển khoản"))</f>
        <v/>
      </c>
      <c r="X3030" s="23">
        <f>IF(OR($D3030="",$R3030="Trùng"),"",SUMIFS(ORDERS!$J$2:$J$4995,ORDERS!$C$2:$C$4995,$D3030,ORDERS!$L$2:$L$4995,"Đã chuyển khoản"))</f>
        <v/>
      </c>
      <c r="Y3030" s="24" t="n"/>
    </row>
    <row r="3031" ht="14.25" customHeight="1" s="40">
      <c r="A3031" s="24" t="n"/>
      <c r="B3031" s="27" t="n"/>
      <c r="C3031" s="24" t="n"/>
      <c r="D3031" s="28" t="n"/>
      <c r="E3031" s="29" t="n"/>
      <c r="F3031" s="24" t="n"/>
      <c r="G3031" s="24" t="n"/>
      <c r="H3031" s="21">
        <f>IF(ISNUMBER($B3031),INT($B3031)-WEEKDAY($B3031,2)+1,"")</f>
        <v/>
      </c>
      <c r="I3031" s="24" t="n"/>
      <c r="J3031" s="22">
        <f t="array" ref="J3031">IF($D3031="","",IF($I3031="","(trống REF)",IFERROR(INDEX(MASTER_SOURCE!$B$2:$B$495,MATCH($I3031,MASTER_SOURCE!$A$2:$A$495,0)),"(REF không có trong MASTER_SOURCE)")))</f>
        <v/>
      </c>
      <c r="K3031" s="22">
        <f t="array" ref="K3031">IF($D3031="","",IFERROR(INDEX(MASTER_SOURCE!$C$2:$C$495,MATCH($I3031,MASTER_SOURCE!$A$2:$A$495,0)),""))</f>
        <v/>
      </c>
      <c r="L3031" s="22">
        <f t="array" ref="L3031">IF($D3031="","",IFERROR(INDEX(MASTER_SOURCE!$D$2:$D$495,MATCH($I3031,MASTER_SOURCE!$A$2:$A$495,0)),""))</f>
        <v/>
      </c>
      <c r="M3031" s="24" t="n"/>
      <c r="N3031" s="24" t="n"/>
      <c r="O3031" s="24" t="n"/>
      <c r="P3031" s="24" t="n"/>
      <c r="Q3031" s="22">
        <f>IF($D3031="","",IF(AND(OR(DANH_MUC!$L$5&lt;&gt;"Có",M3031="Có"),OR(DANH_MUC!$L$6&lt;&gt;"Có",N3031="Có"),OR(DANH_MUC!$L$7&lt;&gt;"Có",O3031="Có"),OR(DANH_MUC!$L$8&lt;&gt;"Có",P3031="Có")),"Có","Không"))</f>
        <v/>
      </c>
      <c r="R3031" s="22">
        <f>IF($D3031="","",IF(COUNTIF($D$2:$D3031,$D3031)&gt;1,"Trùng",""))</f>
        <v/>
      </c>
      <c r="S3031" s="22">
        <f>IF($D3031="","",IF(AND(LEN($D3031)=10,LEFT($D3031,1)="0",ISNUMBER(--$D3031)),"Có","Không"))</f>
        <v/>
      </c>
      <c r="T3031" s="22">
        <f>IF($D3031="","",IF(AND($C3031&lt;&gt;"",$Q3031="Có",$R3031="",$S3031="Có",AND($L3031&lt;&gt;"",OR($L3031&lt;&gt;"Chưa xác định",DANH_MUC!$L$9="Có"))),"Có","Không"))</f>
        <v/>
      </c>
      <c r="U3031" s="22">
        <f>IF(OR($D3031="",$T3031="Có"),"",IF($C3031="","Thiếu họ tên; ","")&amp;IF($S3031&lt;&gt;"Có","SĐT sai định dạng; ","")&amp;IF($R3031="Trùng","Trùng SĐT; ","")&amp;IF($Q3031&lt;&gt;"Có","Thiếu đồng ý bắt buộc; ","")&amp;IF($L3031="","Thiếu/sai Mã REF; ",IF(AND($L3031="Chưa xác định",DANH_MUC!$L$9&lt;&gt;"Có"),"Nguồn chưa xác định; ","")))</f>
        <v/>
      </c>
      <c r="V3031" s="22">
        <f>IF(OR($D3031="",$R3031="Trùng"),"",IF(COUNTIF(ORDERS!$C$2:$C$4995,$D3031)&gt;0,"Có","Không"))</f>
        <v/>
      </c>
      <c r="W3031" s="22">
        <f>IF(OR($D3031="",$R3031="Trùng"),"",COUNTIFS(ORDERS!$C$2:$C$4995,$D3031,ORDERS!$L$2:$L$4995,"Đã chuyển khoản"))</f>
        <v/>
      </c>
      <c r="X3031" s="23">
        <f>IF(OR($D3031="",$R3031="Trùng"),"",SUMIFS(ORDERS!$J$2:$J$4995,ORDERS!$C$2:$C$4995,$D3031,ORDERS!$L$2:$L$4995,"Đã chuyển khoản"))</f>
        <v/>
      </c>
      <c r="Y3031" s="24" t="n"/>
    </row>
    <row r="3032" ht="14.25" customHeight="1" s="40">
      <c r="A3032" s="24" t="n"/>
      <c r="B3032" s="27" t="n"/>
      <c r="C3032" s="24" t="n"/>
      <c r="D3032" s="28" t="n"/>
      <c r="E3032" s="29" t="n"/>
      <c r="F3032" s="24" t="n"/>
      <c r="G3032" s="24" t="n"/>
      <c r="H3032" s="21">
        <f>IF(ISNUMBER($B3032),INT($B3032)-WEEKDAY($B3032,2)+1,"")</f>
        <v/>
      </c>
      <c r="I3032" s="24" t="n"/>
      <c r="J3032" s="22">
        <f t="array" ref="J3032">IF($D3032="","",IF($I3032="","(trống REF)",IFERROR(INDEX(MASTER_SOURCE!$B$2:$B$495,MATCH($I3032,MASTER_SOURCE!$A$2:$A$495,0)),"(REF không có trong MASTER_SOURCE)")))</f>
        <v/>
      </c>
      <c r="K3032" s="22">
        <f t="array" ref="K3032">IF($D3032="","",IFERROR(INDEX(MASTER_SOURCE!$C$2:$C$495,MATCH($I3032,MASTER_SOURCE!$A$2:$A$495,0)),""))</f>
        <v/>
      </c>
      <c r="L3032" s="22">
        <f t="array" ref="L3032">IF($D3032="","",IFERROR(INDEX(MASTER_SOURCE!$D$2:$D$495,MATCH($I3032,MASTER_SOURCE!$A$2:$A$495,0)),""))</f>
        <v/>
      </c>
      <c r="M3032" s="24" t="n"/>
      <c r="N3032" s="24" t="n"/>
      <c r="O3032" s="24" t="n"/>
      <c r="P3032" s="24" t="n"/>
      <c r="Q3032" s="22">
        <f>IF($D3032="","",IF(AND(OR(DANH_MUC!$L$5&lt;&gt;"Có",M3032="Có"),OR(DANH_MUC!$L$6&lt;&gt;"Có",N3032="Có"),OR(DANH_MUC!$L$7&lt;&gt;"Có",O3032="Có"),OR(DANH_MUC!$L$8&lt;&gt;"Có",P3032="Có")),"Có","Không"))</f>
        <v/>
      </c>
      <c r="R3032" s="22">
        <f>IF($D3032="","",IF(COUNTIF($D$2:$D3032,$D3032)&gt;1,"Trùng",""))</f>
        <v/>
      </c>
      <c r="S3032" s="22">
        <f>IF($D3032="","",IF(AND(LEN($D3032)=10,LEFT($D3032,1)="0",ISNUMBER(--$D3032)),"Có","Không"))</f>
        <v/>
      </c>
      <c r="T3032" s="22">
        <f>IF($D3032="","",IF(AND($C3032&lt;&gt;"",$Q3032="Có",$R3032="",$S3032="Có",AND($L3032&lt;&gt;"",OR($L3032&lt;&gt;"Chưa xác định",DANH_MUC!$L$9="Có"))),"Có","Không"))</f>
        <v/>
      </c>
      <c r="U3032" s="22">
        <f>IF(OR($D3032="",$T3032="Có"),"",IF($C3032="","Thiếu họ tên; ","")&amp;IF($S3032&lt;&gt;"Có","SĐT sai định dạng; ","")&amp;IF($R3032="Trùng","Trùng SĐT; ","")&amp;IF($Q3032&lt;&gt;"Có","Thiếu đồng ý bắt buộc; ","")&amp;IF($L3032="","Thiếu/sai Mã REF; ",IF(AND($L3032="Chưa xác định",DANH_MUC!$L$9&lt;&gt;"Có"),"Nguồn chưa xác định; ","")))</f>
        <v/>
      </c>
      <c r="V3032" s="22">
        <f>IF(OR($D3032="",$R3032="Trùng"),"",IF(COUNTIF(ORDERS!$C$2:$C$4995,$D3032)&gt;0,"Có","Không"))</f>
        <v/>
      </c>
      <c r="W3032" s="22">
        <f>IF(OR($D3032="",$R3032="Trùng"),"",COUNTIFS(ORDERS!$C$2:$C$4995,$D3032,ORDERS!$L$2:$L$4995,"Đã chuyển khoản"))</f>
        <v/>
      </c>
      <c r="X3032" s="23">
        <f>IF(OR($D3032="",$R3032="Trùng"),"",SUMIFS(ORDERS!$J$2:$J$4995,ORDERS!$C$2:$C$4995,$D3032,ORDERS!$L$2:$L$4995,"Đã chuyển khoản"))</f>
        <v/>
      </c>
      <c r="Y3032" s="24" t="n"/>
    </row>
    <row r="3033" ht="14.25" customHeight="1" s="40">
      <c r="A3033" s="24" t="n"/>
      <c r="B3033" s="27" t="n"/>
      <c r="C3033" s="24" t="n"/>
      <c r="D3033" s="28" t="n"/>
      <c r="E3033" s="29" t="n"/>
      <c r="F3033" s="24" t="n"/>
      <c r="G3033" s="24" t="n"/>
      <c r="H3033" s="21">
        <f>IF(ISNUMBER($B3033),INT($B3033)-WEEKDAY($B3033,2)+1,"")</f>
        <v/>
      </c>
      <c r="I3033" s="24" t="n"/>
      <c r="J3033" s="22">
        <f t="array" ref="J3033">IF($D3033="","",IF($I3033="","(trống REF)",IFERROR(INDEX(MASTER_SOURCE!$B$2:$B$495,MATCH($I3033,MASTER_SOURCE!$A$2:$A$495,0)),"(REF không có trong MASTER_SOURCE)")))</f>
        <v/>
      </c>
      <c r="K3033" s="22">
        <f t="array" ref="K3033">IF($D3033="","",IFERROR(INDEX(MASTER_SOURCE!$C$2:$C$495,MATCH($I3033,MASTER_SOURCE!$A$2:$A$495,0)),""))</f>
        <v/>
      </c>
      <c r="L3033" s="22">
        <f t="array" ref="L3033">IF($D3033="","",IFERROR(INDEX(MASTER_SOURCE!$D$2:$D$495,MATCH($I3033,MASTER_SOURCE!$A$2:$A$495,0)),""))</f>
        <v/>
      </c>
      <c r="M3033" s="24" t="n"/>
      <c r="N3033" s="24" t="n"/>
      <c r="O3033" s="24" t="n"/>
      <c r="P3033" s="24" t="n"/>
      <c r="Q3033" s="22">
        <f>IF($D3033="","",IF(AND(OR(DANH_MUC!$L$5&lt;&gt;"Có",M3033="Có"),OR(DANH_MUC!$L$6&lt;&gt;"Có",N3033="Có"),OR(DANH_MUC!$L$7&lt;&gt;"Có",O3033="Có"),OR(DANH_MUC!$L$8&lt;&gt;"Có",P3033="Có")),"Có","Không"))</f>
        <v/>
      </c>
      <c r="R3033" s="22">
        <f>IF($D3033="","",IF(COUNTIF($D$2:$D3033,$D3033)&gt;1,"Trùng",""))</f>
        <v/>
      </c>
      <c r="S3033" s="22">
        <f>IF($D3033="","",IF(AND(LEN($D3033)=10,LEFT($D3033,1)="0",ISNUMBER(--$D3033)),"Có","Không"))</f>
        <v/>
      </c>
      <c r="T3033" s="22">
        <f>IF($D3033="","",IF(AND($C3033&lt;&gt;"",$Q3033="Có",$R3033="",$S3033="Có",AND($L3033&lt;&gt;"",OR($L3033&lt;&gt;"Chưa xác định",DANH_MUC!$L$9="Có"))),"Có","Không"))</f>
        <v/>
      </c>
      <c r="U3033" s="22">
        <f>IF(OR($D3033="",$T3033="Có"),"",IF($C3033="","Thiếu họ tên; ","")&amp;IF($S3033&lt;&gt;"Có","SĐT sai định dạng; ","")&amp;IF($R3033="Trùng","Trùng SĐT; ","")&amp;IF($Q3033&lt;&gt;"Có","Thiếu đồng ý bắt buộc; ","")&amp;IF($L3033="","Thiếu/sai Mã REF; ",IF(AND($L3033="Chưa xác định",DANH_MUC!$L$9&lt;&gt;"Có"),"Nguồn chưa xác định; ","")))</f>
        <v/>
      </c>
      <c r="V3033" s="22">
        <f>IF(OR($D3033="",$R3033="Trùng"),"",IF(COUNTIF(ORDERS!$C$2:$C$4995,$D3033)&gt;0,"Có","Không"))</f>
        <v/>
      </c>
      <c r="W3033" s="22">
        <f>IF(OR($D3033="",$R3033="Trùng"),"",COUNTIFS(ORDERS!$C$2:$C$4995,$D3033,ORDERS!$L$2:$L$4995,"Đã chuyển khoản"))</f>
        <v/>
      </c>
      <c r="X3033" s="23">
        <f>IF(OR($D3033="",$R3033="Trùng"),"",SUMIFS(ORDERS!$J$2:$J$4995,ORDERS!$C$2:$C$4995,$D3033,ORDERS!$L$2:$L$4995,"Đã chuyển khoản"))</f>
        <v/>
      </c>
      <c r="Y3033" s="24" t="n"/>
    </row>
    <row r="3034" ht="14.25" customHeight="1" s="40">
      <c r="A3034" s="24" t="n"/>
      <c r="B3034" s="27" t="n"/>
      <c r="C3034" s="24" t="n"/>
      <c r="D3034" s="28" t="n"/>
      <c r="E3034" s="29" t="n"/>
      <c r="F3034" s="24" t="n"/>
      <c r="G3034" s="24" t="n"/>
      <c r="H3034" s="21">
        <f>IF(ISNUMBER($B3034),INT($B3034)-WEEKDAY($B3034,2)+1,"")</f>
        <v/>
      </c>
      <c r="I3034" s="24" t="n"/>
      <c r="J3034" s="22">
        <f t="array" ref="J3034">IF($D3034="","",IF($I3034="","(trống REF)",IFERROR(INDEX(MASTER_SOURCE!$B$2:$B$495,MATCH($I3034,MASTER_SOURCE!$A$2:$A$495,0)),"(REF không có trong MASTER_SOURCE)")))</f>
        <v/>
      </c>
      <c r="K3034" s="22">
        <f t="array" ref="K3034">IF($D3034="","",IFERROR(INDEX(MASTER_SOURCE!$C$2:$C$495,MATCH($I3034,MASTER_SOURCE!$A$2:$A$495,0)),""))</f>
        <v/>
      </c>
      <c r="L3034" s="22">
        <f t="array" ref="L3034">IF($D3034="","",IFERROR(INDEX(MASTER_SOURCE!$D$2:$D$495,MATCH($I3034,MASTER_SOURCE!$A$2:$A$495,0)),""))</f>
        <v/>
      </c>
      <c r="M3034" s="24" t="n"/>
      <c r="N3034" s="24" t="n"/>
      <c r="O3034" s="24" t="n"/>
      <c r="P3034" s="24" t="n"/>
      <c r="Q3034" s="22">
        <f>IF($D3034="","",IF(AND(OR(DANH_MUC!$L$5&lt;&gt;"Có",M3034="Có"),OR(DANH_MUC!$L$6&lt;&gt;"Có",N3034="Có"),OR(DANH_MUC!$L$7&lt;&gt;"Có",O3034="Có"),OR(DANH_MUC!$L$8&lt;&gt;"Có",P3034="Có")),"Có","Không"))</f>
        <v/>
      </c>
      <c r="R3034" s="22">
        <f>IF($D3034="","",IF(COUNTIF($D$2:$D3034,$D3034)&gt;1,"Trùng",""))</f>
        <v/>
      </c>
      <c r="S3034" s="22">
        <f>IF($D3034="","",IF(AND(LEN($D3034)=10,LEFT($D3034,1)="0",ISNUMBER(--$D3034)),"Có","Không"))</f>
        <v/>
      </c>
      <c r="T3034" s="22">
        <f>IF($D3034="","",IF(AND($C3034&lt;&gt;"",$Q3034="Có",$R3034="",$S3034="Có",AND($L3034&lt;&gt;"",OR($L3034&lt;&gt;"Chưa xác định",DANH_MUC!$L$9="Có"))),"Có","Không"))</f>
        <v/>
      </c>
      <c r="U3034" s="22">
        <f>IF(OR($D3034="",$T3034="Có"),"",IF($C3034="","Thiếu họ tên; ","")&amp;IF($S3034&lt;&gt;"Có","SĐT sai định dạng; ","")&amp;IF($R3034="Trùng","Trùng SĐT; ","")&amp;IF($Q3034&lt;&gt;"Có","Thiếu đồng ý bắt buộc; ","")&amp;IF($L3034="","Thiếu/sai Mã REF; ",IF(AND($L3034="Chưa xác định",DANH_MUC!$L$9&lt;&gt;"Có"),"Nguồn chưa xác định; ","")))</f>
        <v/>
      </c>
      <c r="V3034" s="22">
        <f>IF(OR($D3034="",$R3034="Trùng"),"",IF(COUNTIF(ORDERS!$C$2:$C$4995,$D3034)&gt;0,"Có","Không"))</f>
        <v/>
      </c>
      <c r="W3034" s="22">
        <f>IF(OR($D3034="",$R3034="Trùng"),"",COUNTIFS(ORDERS!$C$2:$C$4995,$D3034,ORDERS!$L$2:$L$4995,"Đã chuyển khoản"))</f>
        <v/>
      </c>
      <c r="X3034" s="23">
        <f>IF(OR($D3034="",$R3034="Trùng"),"",SUMIFS(ORDERS!$J$2:$J$4995,ORDERS!$C$2:$C$4995,$D3034,ORDERS!$L$2:$L$4995,"Đã chuyển khoản"))</f>
        <v/>
      </c>
      <c r="Y3034" s="24" t="n"/>
    </row>
    <row r="3035" ht="14.25" customHeight="1" s="40">
      <c r="A3035" s="24" t="n"/>
      <c r="B3035" s="27" t="n"/>
      <c r="C3035" s="24" t="n"/>
      <c r="D3035" s="28" t="n"/>
      <c r="E3035" s="29" t="n"/>
      <c r="F3035" s="24" t="n"/>
      <c r="G3035" s="24" t="n"/>
      <c r="H3035" s="21">
        <f>IF(ISNUMBER($B3035),INT($B3035)-WEEKDAY($B3035,2)+1,"")</f>
        <v/>
      </c>
      <c r="I3035" s="24" t="n"/>
      <c r="J3035" s="22">
        <f t="array" ref="J3035">IF($D3035="","",IF($I3035="","(trống REF)",IFERROR(INDEX(MASTER_SOURCE!$B$2:$B$495,MATCH($I3035,MASTER_SOURCE!$A$2:$A$495,0)),"(REF không có trong MASTER_SOURCE)")))</f>
        <v/>
      </c>
      <c r="K3035" s="22">
        <f t="array" ref="K3035">IF($D3035="","",IFERROR(INDEX(MASTER_SOURCE!$C$2:$C$495,MATCH($I3035,MASTER_SOURCE!$A$2:$A$495,0)),""))</f>
        <v/>
      </c>
      <c r="L3035" s="22">
        <f t="array" ref="L3035">IF($D3035="","",IFERROR(INDEX(MASTER_SOURCE!$D$2:$D$495,MATCH($I3035,MASTER_SOURCE!$A$2:$A$495,0)),""))</f>
        <v/>
      </c>
      <c r="M3035" s="24" t="n"/>
      <c r="N3035" s="24" t="n"/>
      <c r="O3035" s="24" t="n"/>
      <c r="P3035" s="24" t="n"/>
      <c r="Q3035" s="22">
        <f>IF($D3035="","",IF(AND(OR(DANH_MUC!$L$5&lt;&gt;"Có",M3035="Có"),OR(DANH_MUC!$L$6&lt;&gt;"Có",N3035="Có"),OR(DANH_MUC!$L$7&lt;&gt;"Có",O3035="Có"),OR(DANH_MUC!$L$8&lt;&gt;"Có",P3035="Có")),"Có","Không"))</f>
        <v/>
      </c>
      <c r="R3035" s="22">
        <f>IF($D3035="","",IF(COUNTIF($D$2:$D3035,$D3035)&gt;1,"Trùng",""))</f>
        <v/>
      </c>
      <c r="S3035" s="22">
        <f>IF($D3035="","",IF(AND(LEN($D3035)=10,LEFT($D3035,1)="0",ISNUMBER(--$D3035)),"Có","Không"))</f>
        <v/>
      </c>
      <c r="T3035" s="22">
        <f>IF($D3035="","",IF(AND($C3035&lt;&gt;"",$Q3035="Có",$R3035="",$S3035="Có",AND($L3035&lt;&gt;"",OR($L3035&lt;&gt;"Chưa xác định",DANH_MUC!$L$9="Có"))),"Có","Không"))</f>
        <v/>
      </c>
      <c r="U3035" s="22">
        <f>IF(OR($D3035="",$T3035="Có"),"",IF($C3035="","Thiếu họ tên; ","")&amp;IF($S3035&lt;&gt;"Có","SĐT sai định dạng; ","")&amp;IF($R3035="Trùng","Trùng SĐT; ","")&amp;IF($Q3035&lt;&gt;"Có","Thiếu đồng ý bắt buộc; ","")&amp;IF($L3035="","Thiếu/sai Mã REF; ",IF(AND($L3035="Chưa xác định",DANH_MUC!$L$9&lt;&gt;"Có"),"Nguồn chưa xác định; ","")))</f>
        <v/>
      </c>
      <c r="V3035" s="22">
        <f>IF(OR($D3035="",$R3035="Trùng"),"",IF(COUNTIF(ORDERS!$C$2:$C$4995,$D3035)&gt;0,"Có","Không"))</f>
        <v/>
      </c>
      <c r="W3035" s="22">
        <f>IF(OR($D3035="",$R3035="Trùng"),"",COUNTIFS(ORDERS!$C$2:$C$4995,$D3035,ORDERS!$L$2:$L$4995,"Đã chuyển khoản"))</f>
        <v/>
      </c>
      <c r="X3035" s="23">
        <f>IF(OR($D3035="",$R3035="Trùng"),"",SUMIFS(ORDERS!$J$2:$J$4995,ORDERS!$C$2:$C$4995,$D3035,ORDERS!$L$2:$L$4995,"Đã chuyển khoản"))</f>
        <v/>
      </c>
      <c r="Y3035" s="24" t="n"/>
    </row>
    <row r="3036" ht="14.25" customHeight="1" s="40">
      <c r="A3036" s="24" t="n"/>
      <c r="B3036" s="27" t="n"/>
      <c r="C3036" s="24" t="n"/>
      <c r="D3036" s="28" t="n"/>
      <c r="E3036" s="29" t="n"/>
      <c r="F3036" s="24" t="n"/>
      <c r="G3036" s="24" t="n"/>
      <c r="H3036" s="21">
        <f>IF(ISNUMBER($B3036),INT($B3036)-WEEKDAY($B3036,2)+1,"")</f>
        <v/>
      </c>
      <c r="I3036" s="24" t="n"/>
      <c r="J3036" s="22">
        <f t="array" ref="J3036">IF($D3036="","",IF($I3036="","(trống REF)",IFERROR(INDEX(MASTER_SOURCE!$B$2:$B$495,MATCH($I3036,MASTER_SOURCE!$A$2:$A$495,0)),"(REF không có trong MASTER_SOURCE)")))</f>
        <v/>
      </c>
      <c r="K3036" s="22">
        <f t="array" ref="K3036">IF($D3036="","",IFERROR(INDEX(MASTER_SOURCE!$C$2:$C$495,MATCH($I3036,MASTER_SOURCE!$A$2:$A$495,0)),""))</f>
        <v/>
      </c>
      <c r="L3036" s="22">
        <f t="array" ref="L3036">IF($D3036="","",IFERROR(INDEX(MASTER_SOURCE!$D$2:$D$495,MATCH($I3036,MASTER_SOURCE!$A$2:$A$495,0)),""))</f>
        <v/>
      </c>
      <c r="M3036" s="24" t="n"/>
      <c r="N3036" s="24" t="n"/>
      <c r="O3036" s="24" t="n"/>
      <c r="P3036" s="24" t="n"/>
      <c r="Q3036" s="22">
        <f>IF($D3036="","",IF(AND(OR(DANH_MUC!$L$5&lt;&gt;"Có",M3036="Có"),OR(DANH_MUC!$L$6&lt;&gt;"Có",N3036="Có"),OR(DANH_MUC!$L$7&lt;&gt;"Có",O3036="Có"),OR(DANH_MUC!$L$8&lt;&gt;"Có",P3036="Có")),"Có","Không"))</f>
        <v/>
      </c>
      <c r="R3036" s="22">
        <f>IF($D3036="","",IF(COUNTIF($D$2:$D3036,$D3036)&gt;1,"Trùng",""))</f>
        <v/>
      </c>
      <c r="S3036" s="22">
        <f>IF($D3036="","",IF(AND(LEN($D3036)=10,LEFT($D3036,1)="0",ISNUMBER(--$D3036)),"Có","Không"))</f>
        <v/>
      </c>
      <c r="T3036" s="22">
        <f>IF($D3036="","",IF(AND($C3036&lt;&gt;"",$Q3036="Có",$R3036="",$S3036="Có",AND($L3036&lt;&gt;"",OR($L3036&lt;&gt;"Chưa xác định",DANH_MUC!$L$9="Có"))),"Có","Không"))</f>
        <v/>
      </c>
      <c r="U3036" s="22">
        <f>IF(OR($D3036="",$T3036="Có"),"",IF($C3036="","Thiếu họ tên; ","")&amp;IF($S3036&lt;&gt;"Có","SĐT sai định dạng; ","")&amp;IF($R3036="Trùng","Trùng SĐT; ","")&amp;IF($Q3036&lt;&gt;"Có","Thiếu đồng ý bắt buộc; ","")&amp;IF($L3036="","Thiếu/sai Mã REF; ",IF(AND($L3036="Chưa xác định",DANH_MUC!$L$9&lt;&gt;"Có"),"Nguồn chưa xác định; ","")))</f>
        <v/>
      </c>
      <c r="V3036" s="22">
        <f>IF(OR($D3036="",$R3036="Trùng"),"",IF(COUNTIF(ORDERS!$C$2:$C$4995,$D3036)&gt;0,"Có","Không"))</f>
        <v/>
      </c>
      <c r="W3036" s="22">
        <f>IF(OR($D3036="",$R3036="Trùng"),"",COUNTIFS(ORDERS!$C$2:$C$4995,$D3036,ORDERS!$L$2:$L$4995,"Đã chuyển khoản"))</f>
        <v/>
      </c>
      <c r="X3036" s="23">
        <f>IF(OR($D3036="",$R3036="Trùng"),"",SUMIFS(ORDERS!$J$2:$J$4995,ORDERS!$C$2:$C$4995,$D3036,ORDERS!$L$2:$L$4995,"Đã chuyển khoản"))</f>
        <v/>
      </c>
      <c r="Y3036" s="24" t="n"/>
    </row>
    <row r="3037" ht="14.25" customHeight="1" s="40">
      <c r="A3037" s="24" t="n"/>
      <c r="B3037" s="27" t="n"/>
      <c r="C3037" s="24" t="n"/>
      <c r="D3037" s="28" t="n"/>
      <c r="E3037" s="29" t="n"/>
      <c r="F3037" s="24" t="n"/>
      <c r="G3037" s="24" t="n"/>
      <c r="H3037" s="21">
        <f>IF(ISNUMBER($B3037),INT($B3037)-WEEKDAY($B3037,2)+1,"")</f>
        <v/>
      </c>
      <c r="I3037" s="24" t="n"/>
      <c r="J3037" s="22">
        <f t="array" ref="J3037">IF($D3037="","",IF($I3037="","(trống REF)",IFERROR(INDEX(MASTER_SOURCE!$B$2:$B$495,MATCH($I3037,MASTER_SOURCE!$A$2:$A$495,0)),"(REF không có trong MASTER_SOURCE)")))</f>
        <v/>
      </c>
      <c r="K3037" s="22">
        <f t="array" ref="K3037">IF($D3037="","",IFERROR(INDEX(MASTER_SOURCE!$C$2:$C$495,MATCH($I3037,MASTER_SOURCE!$A$2:$A$495,0)),""))</f>
        <v/>
      </c>
      <c r="L3037" s="22">
        <f t="array" ref="L3037">IF($D3037="","",IFERROR(INDEX(MASTER_SOURCE!$D$2:$D$495,MATCH($I3037,MASTER_SOURCE!$A$2:$A$495,0)),""))</f>
        <v/>
      </c>
      <c r="M3037" s="24" t="n"/>
      <c r="N3037" s="24" t="n"/>
      <c r="O3037" s="24" t="n"/>
      <c r="P3037" s="24" t="n"/>
      <c r="Q3037" s="22">
        <f>IF($D3037="","",IF(AND(OR(DANH_MUC!$L$5&lt;&gt;"Có",M3037="Có"),OR(DANH_MUC!$L$6&lt;&gt;"Có",N3037="Có"),OR(DANH_MUC!$L$7&lt;&gt;"Có",O3037="Có"),OR(DANH_MUC!$L$8&lt;&gt;"Có",P3037="Có")),"Có","Không"))</f>
        <v/>
      </c>
      <c r="R3037" s="22">
        <f>IF($D3037="","",IF(COUNTIF($D$2:$D3037,$D3037)&gt;1,"Trùng",""))</f>
        <v/>
      </c>
      <c r="S3037" s="22">
        <f>IF($D3037="","",IF(AND(LEN($D3037)=10,LEFT($D3037,1)="0",ISNUMBER(--$D3037)),"Có","Không"))</f>
        <v/>
      </c>
      <c r="T3037" s="22">
        <f>IF($D3037="","",IF(AND($C3037&lt;&gt;"",$Q3037="Có",$R3037="",$S3037="Có",AND($L3037&lt;&gt;"",OR($L3037&lt;&gt;"Chưa xác định",DANH_MUC!$L$9="Có"))),"Có","Không"))</f>
        <v/>
      </c>
      <c r="U3037" s="22">
        <f>IF(OR($D3037="",$T3037="Có"),"",IF($C3037="","Thiếu họ tên; ","")&amp;IF($S3037&lt;&gt;"Có","SĐT sai định dạng; ","")&amp;IF($R3037="Trùng","Trùng SĐT; ","")&amp;IF($Q3037&lt;&gt;"Có","Thiếu đồng ý bắt buộc; ","")&amp;IF($L3037="","Thiếu/sai Mã REF; ",IF(AND($L3037="Chưa xác định",DANH_MUC!$L$9&lt;&gt;"Có"),"Nguồn chưa xác định; ","")))</f>
        <v/>
      </c>
      <c r="V3037" s="22">
        <f>IF(OR($D3037="",$R3037="Trùng"),"",IF(COUNTIF(ORDERS!$C$2:$C$4995,$D3037)&gt;0,"Có","Không"))</f>
        <v/>
      </c>
      <c r="W3037" s="22">
        <f>IF(OR($D3037="",$R3037="Trùng"),"",COUNTIFS(ORDERS!$C$2:$C$4995,$D3037,ORDERS!$L$2:$L$4995,"Đã chuyển khoản"))</f>
        <v/>
      </c>
      <c r="X3037" s="23">
        <f>IF(OR($D3037="",$R3037="Trùng"),"",SUMIFS(ORDERS!$J$2:$J$4995,ORDERS!$C$2:$C$4995,$D3037,ORDERS!$L$2:$L$4995,"Đã chuyển khoản"))</f>
        <v/>
      </c>
      <c r="Y3037" s="24" t="n"/>
    </row>
    <row r="3038" ht="14.25" customHeight="1" s="40">
      <c r="A3038" s="24" t="n"/>
      <c r="B3038" s="27" t="n"/>
      <c r="C3038" s="24" t="n"/>
      <c r="D3038" s="28" t="n"/>
      <c r="E3038" s="29" t="n"/>
      <c r="F3038" s="24" t="n"/>
      <c r="G3038" s="24" t="n"/>
      <c r="H3038" s="21">
        <f>IF(ISNUMBER($B3038),INT($B3038)-WEEKDAY($B3038,2)+1,"")</f>
        <v/>
      </c>
      <c r="I3038" s="24" t="n"/>
      <c r="J3038" s="22">
        <f t="array" ref="J3038">IF($D3038="","",IF($I3038="","(trống REF)",IFERROR(INDEX(MASTER_SOURCE!$B$2:$B$495,MATCH($I3038,MASTER_SOURCE!$A$2:$A$495,0)),"(REF không có trong MASTER_SOURCE)")))</f>
        <v/>
      </c>
      <c r="K3038" s="22">
        <f t="array" ref="K3038">IF($D3038="","",IFERROR(INDEX(MASTER_SOURCE!$C$2:$C$495,MATCH($I3038,MASTER_SOURCE!$A$2:$A$495,0)),""))</f>
        <v/>
      </c>
      <c r="L3038" s="22">
        <f t="array" ref="L3038">IF($D3038="","",IFERROR(INDEX(MASTER_SOURCE!$D$2:$D$495,MATCH($I3038,MASTER_SOURCE!$A$2:$A$495,0)),""))</f>
        <v/>
      </c>
      <c r="M3038" s="24" t="n"/>
      <c r="N3038" s="24" t="n"/>
      <c r="O3038" s="24" t="n"/>
      <c r="P3038" s="24" t="n"/>
      <c r="Q3038" s="22">
        <f>IF($D3038="","",IF(AND(OR(DANH_MUC!$L$5&lt;&gt;"Có",M3038="Có"),OR(DANH_MUC!$L$6&lt;&gt;"Có",N3038="Có"),OR(DANH_MUC!$L$7&lt;&gt;"Có",O3038="Có"),OR(DANH_MUC!$L$8&lt;&gt;"Có",P3038="Có")),"Có","Không"))</f>
        <v/>
      </c>
      <c r="R3038" s="22">
        <f>IF($D3038="","",IF(COUNTIF($D$2:$D3038,$D3038)&gt;1,"Trùng",""))</f>
        <v/>
      </c>
      <c r="S3038" s="22">
        <f>IF($D3038="","",IF(AND(LEN($D3038)=10,LEFT($D3038,1)="0",ISNUMBER(--$D3038)),"Có","Không"))</f>
        <v/>
      </c>
      <c r="T3038" s="22">
        <f>IF($D3038="","",IF(AND($C3038&lt;&gt;"",$Q3038="Có",$R3038="",$S3038="Có",AND($L3038&lt;&gt;"",OR($L3038&lt;&gt;"Chưa xác định",DANH_MUC!$L$9="Có"))),"Có","Không"))</f>
        <v/>
      </c>
      <c r="U3038" s="22">
        <f>IF(OR($D3038="",$T3038="Có"),"",IF($C3038="","Thiếu họ tên; ","")&amp;IF($S3038&lt;&gt;"Có","SĐT sai định dạng; ","")&amp;IF($R3038="Trùng","Trùng SĐT; ","")&amp;IF($Q3038&lt;&gt;"Có","Thiếu đồng ý bắt buộc; ","")&amp;IF($L3038="","Thiếu/sai Mã REF; ",IF(AND($L3038="Chưa xác định",DANH_MUC!$L$9&lt;&gt;"Có"),"Nguồn chưa xác định; ","")))</f>
        <v/>
      </c>
      <c r="V3038" s="22">
        <f>IF(OR($D3038="",$R3038="Trùng"),"",IF(COUNTIF(ORDERS!$C$2:$C$4995,$D3038)&gt;0,"Có","Không"))</f>
        <v/>
      </c>
      <c r="W3038" s="22">
        <f>IF(OR($D3038="",$R3038="Trùng"),"",COUNTIFS(ORDERS!$C$2:$C$4995,$D3038,ORDERS!$L$2:$L$4995,"Đã chuyển khoản"))</f>
        <v/>
      </c>
      <c r="X3038" s="23">
        <f>IF(OR($D3038="",$R3038="Trùng"),"",SUMIFS(ORDERS!$J$2:$J$4995,ORDERS!$C$2:$C$4995,$D3038,ORDERS!$L$2:$L$4995,"Đã chuyển khoản"))</f>
        <v/>
      </c>
      <c r="Y3038" s="24" t="n"/>
    </row>
    <row r="3039" ht="14.25" customHeight="1" s="40">
      <c r="A3039" s="24" t="n"/>
      <c r="B3039" s="27" t="n"/>
      <c r="C3039" s="24" t="n"/>
      <c r="D3039" s="28" t="n"/>
      <c r="E3039" s="29" t="n"/>
      <c r="F3039" s="24" t="n"/>
      <c r="G3039" s="24" t="n"/>
      <c r="H3039" s="21">
        <f>IF(ISNUMBER($B3039),INT($B3039)-WEEKDAY($B3039,2)+1,"")</f>
        <v/>
      </c>
      <c r="I3039" s="24" t="n"/>
      <c r="J3039" s="22">
        <f t="array" ref="J3039">IF($D3039="","",IF($I3039="","(trống REF)",IFERROR(INDEX(MASTER_SOURCE!$B$2:$B$495,MATCH($I3039,MASTER_SOURCE!$A$2:$A$495,0)),"(REF không có trong MASTER_SOURCE)")))</f>
        <v/>
      </c>
      <c r="K3039" s="22">
        <f t="array" ref="K3039">IF($D3039="","",IFERROR(INDEX(MASTER_SOURCE!$C$2:$C$495,MATCH($I3039,MASTER_SOURCE!$A$2:$A$495,0)),""))</f>
        <v/>
      </c>
      <c r="L3039" s="22">
        <f t="array" ref="L3039">IF($D3039="","",IFERROR(INDEX(MASTER_SOURCE!$D$2:$D$495,MATCH($I3039,MASTER_SOURCE!$A$2:$A$495,0)),""))</f>
        <v/>
      </c>
      <c r="M3039" s="24" t="n"/>
      <c r="N3039" s="24" t="n"/>
      <c r="O3039" s="24" t="n"/>
      <c r="P3039" s="24" t="n"/>
      <c r="Q3039" s="22">
        <f>IF($D3039="","",IF(AND(OR(DANH_MUC!$L$5&lt;&gt;"Có",M3039="Có"),OR(DANH_MUC!$L$6&lt;&gt;"Có",N3039="Có"),OR(DANH_MUC!$L$7&lt;&gt;"Có",O3039="Có"),OR(DANH_MUC!$L$8&lt;&gt;"Có",P3039="Có")),"Có","Không"))</f>
        <v/>
      </c>
      <c r="R3039" s="22">
        <f>IF($D3039="","",IF(COUNTIF($D$2:$D3039,$D3039)&gt;1,"Trùng",""))</f>
        <v/>
      </c>
      <c r="S3039" s="22">
        <f>IF($D3039="","",IF(AND(LEN($D3039)=10,LEFT($D3039,1)="0",ISNUMBER(--$D3039)),"Có","Không"))</f>
        <v/>
      </c>
      <c r="T3039" s="22">
        <f>IF($D3039="","",IF(AND($C3039&lt;&gt;"",$Q3039="Có",$R3039="",$S3039="Có",AND($L3039&lt;&gt;"",OR($L3039&lt;&gt;"Chưa xác định",DANH_MUC!$L$9="Có"))),"Có","Không"))</f>
        <v/>
      </c>
      <c r="U3039" s="22">
        <f>IF(OR($D3039="",$T3039="Có"),"",IF($C3039="","Thiếu họ tên; ","")&amp;IF($S3039&lt;&gt;"Có","SĐT sai định dạng; ","")&amp;IF($R3039="Trùng","Trùng SĐT; ","")&amp;IF($Q3039&lt;&gt;"Có","Thiếu đồng ý bắt buộc; ","")&amp;IF($L3039="","Thiếu/sai Mã REF; ",IF(AND($L3039="Chưa xác định",DANH_MUC!$L$9&lt;&gt;"Có"),"Nguồn chưa xác định; ","")))</f>
        <v/>
      </c>
      <c r="V3039" s="22">
        <f>IF(OR($D3039="",$R3039="Trùng"),"",IF(COUNTIF(ORDERS!$C$2:$C$4995,$D3039)&gt;0,"Có","Không"))</f>
        <v/>
      </c>
      <c r="W3039" s="22">
        <f>IF(OR($D3039="",$R3039="Trùng"),"",COUNTIFS(ORDERS!$C$2:$C$4995,$D3039,ORDERS!$L$2:$L$4995,"Đã chuyển khoản"))</f>
        <v/>
      </c>
      <c r="X3039" s="23">
        <f>IF(OR($D3039="",$R3039="Trùng"),"",SUMIFS(ORDERS!$J$2:$J$4995,ORDERS!$C$2:$C$4995,$D3039,ORDERS!$L$2:$L$4995,"Đã chuyển khoản"))</f>
        <v/>
      </c>
      <c r="Y3039" s="24" t="n"/>
    </row>
    <row r="3040" ht="14.25" customHeight="1" s="40">
      <c r="A3040" s="24" t="n"/>
      <c r="B3040" s="27" t="n"/>
      <c r="C3040" s="24" t="n"/>
      <c r="D3040" s="28" t="n"/>
      <c r="E3040" s="29" t="n"/>
      <c r="F3040" s="24" t="n"/>
      <c r="G3040" s="24" t="n"/>
      <c r="H3040" s="21">
        <f>IF(ISNUMBER($B3040),INT($B3040)-WEEKDAY($B3040,2)+1,"")</f>
        <v/>
      </c>
      <c r="I3040" s="24" t="n"/>
      <c r="J3040" s="22">
        <f t="array" ref="J3040">IF($D3040="","",IF($I3040="","(trống REF)",IFERROR(INDEX(MASTER_SOURCE!$B$2:$B$495,MATCH($I3040,MASTER_SOURCE!$A$2:$A$495,0)),"(REF không có trong MASTER_SOURCE)")))</f>
        <v/>
      </c>
      <c r="K3040" s="22">
        <f t="array" ref="K3040">IF($D3040="","",IFERROR(INDEX(MASTER_SOURCE!$C$2:$C$495,MATCH($I3040,MASTER_SOURCE!$A$2:$A$495,0)),""))</f>
        <v/>
      </c>
      <c r="L3040" s="22">
        <f t="array" ref="L3040">IF($D3040="","",IFERROR(INDEX(MASTER_SOURCE!$D$2:$D$495,MATCH($I3040,MASTER_SOURCE!$A$2:$A$495,0)),""))</f>
        <v/>
      </c>
      <c r="M3040" s="24" t="n"/>
      <c r="N3040" s="24" t="n"/>
      <c r="O3040" s="24" t="n"/>
      <c r="P3040" s="24" t="n"/>
      <c r="Q3040" s="22">
        <f>IF($D3040="","",IF(AND(OR(DANH_MUC!$L$5&lt;&gt;"Có",M3040="Có"),OR(DANH_MUC!$L$6&lt;&gt;"Có",N3040="Có"),OR(DANH_MUC!$L$7&lt;&gt;"Có",O3040="Có"),OR(DANH_MUC!$L$8&lt;&gt;"Có",P3040="Có")),"Có","Không"))</f>
        <v/>
      </c>
      <c r="R3040" s="22">
        <f>IF($D3040="","",IF(COUNTIF($D$2:$D3040,$D3040)&gt;1,"Trùng",""))</f>
        <v/>
      </c>
      <c r="S3040" s="22">
        <f>IF($D3040="","",IF(AND(LEN($D3040)=10,LEFT($D3040,1)="0",ISNUMBER(--$D3040)),"Có","Không"))</f>
        <v/>
      </c>
      <c r="T3040" s="22">
        <f>IF($D3040="","",IF(AND($C3040&lt;&gt;"",$Q3040="Có",$R3040="",$S3040="Có",AND($L3040&lt;&gt;"",OR($L3040&lt;&gt;"Chưa xác định",DANH_MUC!$L$9="Có"))),"Có","Không"))</f>
        <v/>
      </c>
      <c r="U3040" s="22">
        <f>IF(OR($D3040="",$T3040="Có"),"",IF($C3040="","Thiếu họ tên; ","")&amp;IF($S3040&lt;&gt;"Có","SĐT sai định dạng; ","")&amp;IF($R3040="Trùng","Trùng SĐT; ","")&amp;IF($Q3040&lt;&gt;"Có","Thiếu đồng ý bắt buộc; ","")&amp;IF($L3040="","Thiếu/sai Mã REF; ",IF(AND($L3040="Chưa xác định",DANH_MUC!$L$9&lt;&gt;"Có"),"Nguồn chưa xác định; ","")))</f>
        <v/>
      </c>
      <c r="V3040" s="22">
        <f>IF(OR($D3040="",$R3040="Trùng"),"",IF(COUNTIF(ORDERS!$C$2:$C$4995,$D3040)&gt;0,"Có","Không"))</f>
        <v/>
      </c>
      <c r="W3040" s="22">
        <f>IF(OR($D3040="",$R3040="Trùng"),"",COUNTIFS(ORDERS!$C$2:$C$4995,$D3040,ORDERS!$L$2:$L$4995,"Đã chuyển khoản"))</f>
        <v/>
      </c>
      <c r="X3040" s="23">
        <f>IF(OR($D3040="",$R3040="Trùng"),"",SUMIFS(ORDERS!$J$2:$J$4995,ORDERS!$C$2:$C$4995,$D3040,ORDERS!$L$2:$L$4995,"Đã chuyển khoản"))</f>
        <v/>
      </c>
      <c r="Y3040" s="24" t="n"/>
    </row>
    <row r="3041" ht="14.25" customHeight="1" s="40">
      <c r="A3041" s="24" t="n"/>
      <c r="B3041" s="27" t="n"/>
      <c r="C3041" s="24" t="n"/>
      <c r="D3041" s="28" t="n"/>
      <c r="E3041" s="29" t="n"/>
      <c r="F3041" s="24" t="n"/>
      <c r="G3041" s="24" t="n"/>
      <c r="H3041" s="21">
        <f>IF(ISNUMBER($B3041),INT($B3041)-WEEKDAY($B3041,2)+1,"")</f>
        <v/>
      </c>
      <c r="I3041" s="24" t="n"/>
      <c r="J3041" s="22">
        <f t="array" ref="J3041">IF($D3041="","",IF($I3041="","(trống REF)",IFERROR(INDEX(MASTER_SOURCE!$B$2:$B$495,MATCH($I3041,MASTER_SOURCE!$A$2:$A$495,0)),"(REF không có trong MASTER_SOURCE)")))</f>
        <v/>
      </c>
      <c r="K3041" s="22">
        <f t="array" ref="K3041">IF($D3041="","",IFERROR(INDEX(MASTER_SOURCE!$C$2:$C$495,MATCH($I3041,MASTER_SOURCE!$A$2:$A$495,0)),""))</f>
        <v/>
      </c>
      <c r="L3041" s="22">
        <f t="array" ref="L3041">IF($D3041="","",IFERROR(INDEX(MASTER_SOURCE!$D$2:$D$495,MATCH($I3041,MASTER_SOURCE!$A$2:$A$495,0)),""))</f>
        <v/>
      </c>
      <c r="M3041" s="24" t="n"/>
      <c r="N3041" s="24" t="n"/>
      <c r="O3041" s="24" t="n"/>
      <c r="P3041" s="24" t="n"/>
      <c r="Q3041" s="22">
        <f>IF($D3041="","",IF(AND(OR(DANH_MUC!$L$5&lt;&gt;"Có",M3041="Có"),OR(DANH_MUC!$L$6&lt;&gt;"Có",N3041="Có"),OR(DANH_MUC!$L$7&lt;&gt;"Có",O3041="Có"),OR(DANH_MUC!$L$8&lt;&gt;"Có",P3041="Có")),"Có","Không"))</f>
        <v/>
      </c>
      <c r="R3041" s="22">
        <f>IF($D3041="","",IF(COUNTIF($D$2:$D3041,$D3041)&gt;1,"Trùng",""))</f>
        <v/>
      </c>
      <c r="S3041" s="22">
        <f>IF($D3041="","",IF(AND(LEN($D3041)=10,LEFT($D3041,1)="0",ISNUMBER(--$D3041)),"Có","Không"))</f>
        <v/>
      </c>
      <c r="T3041" s="22">
        <f>IF($D3041="","",IF(AND($C3041&lt;&gt;"",$Q3041="Có",$R3041="",$S3041="Có",AND($L3041&lt;&gt;"",OR($L3041&lt;&gt;"Chưa xác định",DANH_MUC!$L$9="Có"))),"Có","Không"))</f>
        <v/>
      </c>
      <c r="U3041" s="22">
        <f>IF(OR($D3041="",$T3041="Có"),"",IF($C3041="","Thiếu họ tên; ","")&amp;IF($S3041&lt;&gt;"Có","SĐT sai định dạng; ","")&amp;IF($R3041="Trùng","Trùng SĐT; ","")&amp;IF($Q3041&lt;&gt;"Có","Thiếu đồng ý bắt buộc; ","")&amp;IF($L3041="","Thiếu/sai Mã REF; ",IF(AND($L3041="Chưa xác định",DANH_MUC!$L$9&lt;&gt;"Có"),"Nguồn chưa xác định; ","")))</f>
        <v/>
      </c>
      <c r="V3041" s="22">
        <f>IF(OR($D3041="",$R3041="Trùng"),"",IF(COUNTIF(ORDERS!$C$2:$C$4995,$D3041)&gt;0,"Có","Không"))</f>
        <v/>
      </c>
      <c r="W3041" s="22">
        <f>IF(OR($D3041="",$R3041="Trùng"),"",COUNTIFS(ORDERS!$C$2:$C$4995,$D3041,ORDERS!$L$2:$L$4995,"Đã chuyển khoản"))</f>
        <v/>
      </c>
      <c r="X3041" s="23">
        <f>IF(OR($D3041="",$R3041="Trùng"),"",SUMIFS(ORDERS!$J$2:$J$4995,ORDERS!$C$2:$C$4995,$D3041,ORDERS!$L$2:$L$4995,"Đã chuyển khoản"))</f>
        <v/>
      </c>
      <c r="Y3041" s="24" t="n"/>
    </row>
    <row r="3042" ht="14.25" customHeight="1" s="40">
      <c r="A3042" s="24" t="n"/>
      <c r="B3042" s="27" t="n"/>
      <c r="C3042" s="24" t="n"/>
      <c r="D3042" s="28" t="n"/>
      <c r="E3042" s="29" t="n"/>
      <c r="F3042" s="24" t="n"/>
      <c r="G3042" s="24" t="n"/>
      <c r="H3042" s="21">
        <f>IF(ISNUMBER($B3042),INT($B3042)-WEEKDAY($B3042,2)+1,"")</f>
        <v/>
      </c>
      <c r="I3042" s="24" t="n"/>
      <c r="J3042" s="22">
        <f t="array" ref="J3042">IF($D3042="","",IF($I3042="","(trống REF)",IFERROR(INDEX(MASTER_SOURCE!$B$2:$B$495,MATCH($I3042,MASTER_SOURCE!$A$2:$A$495,0)),"(REF không có trong MASTER_SOURCE)")))</f>
        <v/>
      </c>
      <c r="K3042" s="22">
        <f t="array" ref="K3042">IF($D3042="","",IFERROR(INDEX(MASTER_SOURCE!$C$2:$C$495,MATCH($I3042,MASTER_SOURCE!$A$2:$A$495,0)),""))</f>
        <v/>
      </c>
      <c r="L3042" s="22">
        <f t="array" ref="L3042">IF($D3042="","",IFERROR(INDEX(MASTER_SOURCE!$D$2:$D$495,MATCH($I3042,MASTER_SOURCE!$A$2:$A$495,0)),""))</f>
        <v/>
      </c>
      <c r="M3042" s="24" t="n"/>
      <c r="N3042" s="24" t="n"/>
      <c r="O3042" s="24" t="n"/>
      <c r="P3042" s="24" t="n"/>
      <c r="Q3042" s="22">
        <f>IF($D3042="","",IF(AND(OR(DANH_MUC!$L$5&lt;&gt;"Có",M3042="Có"),OR(DANH_MUC!$L$6&lt;&gt;"Có",N3042="Có"),OR(DANH_MUC!$L$7&lt;&gt;"Có",O3042="Có"),OR(DANH_MUC!$L$8&lt;&gt;"Có",P3042="Có")),"Có","Không"))</f>
        <v/>
      </c>
      <c r="R3042" s="22">
        <f>IF($D3042="","",IF(COUNTIF($D$2:$D3042,$D3042)&gt;1,"Trùng",""))</f>
        <v/>
      </c>
      <c r="S3042" s="22">
        <f>IF($D3042="","",IF(AND(LEN($D3042)=10,LEFT($D3042,1)="0",ISNUMBER(--$D3042)),"Có","Không"))</f>
        <v/>
      </c>
      <c r="T3042" s="22">
        <f>IF($D3042="","",IF(AND($C3042&lt;&gt;"",$Q3042="Có",$R3042="",$S3042="Có",AND($L3042&lt;&gt;"",OR($L3042&lt;&gt;"Chưa xác định",DANH_MUC!$L$9="Có"))),"Có","Không"))</f>
        <v/>
      </c>
      <c r="U3042" s="22">
        <f>IF(OR($D3042="",$T3042="Có"),"",IF($C3042="","Thiếu họ tên; ","")&amp;IF($S3042&lt;&gt;"Có","SĐT sai định dạng; ","")&amp;IF($R3042="Trùng","Trùng SĐT; ","")&amp;IF($Q3042&lt;&gt;"Có","Thiếu đồng ý bắt buộc; ","")&amp;IF($L3042="","Thiếu/sai Mã REF; ",IF(AND($L3042="Chưa xác định",DANH_MUC!$L$9&lt;&gt;"Có"),"Nguồn chưa xác định; ","")))</f>
        <v/>
      </c>
      <c r="V3042" s="22">
        <f>IF(OR($D3042="",$R3042="Trùng"),"",IF(COUNTIF(ORDERS!$C$2:$C$4995,$D3042)&gt;0,"Có","Không"))</f>
        <v/>
      </c>
      <c r="W3042" s="22">
        <f>IF(OR($D3042="",$R3042="Trùng"),"",COUNTIFS(ORDERS!$C$2:$C$4995,$D3042,ORDERS!$L$2:$L$4995,"Đã chuyển khoản"))</f>
        <v/>
      </c>
      <c r="X3042" s="23">
        <f>IF(OR($D3042="",$R3042="Trùng"),"",SUMIFS(ORDERS!$J$2:$J$4995,ORDERS!$C$2:$C$4995,$D3042,ORDERS!$L$2:$L$4995,"Đã chuyển khoản"))</f>
        <v/>
      </c>
      <c r="Y3042" s="24" t="n"/>
    </row>
    <row r="3043" ht="14.25" customHeight="1" s="40">
      <c r="A3043" s="24" t="n"/>
      <c r="B3043" s="27" t="n"/>
      <c r="C3043" s="24" t="n"/>
      <c r="D3043" s="28" t="n"/>
      <c r="E3043" s="29" t="n"/>
      <c r="F3043" s="24" t="n"/>
      <c r="G3043" s="24" t="n"/>
      <c r="H3043" s="21">
        <f>IF(ISNUMBER($B3043),INT($B3043)-WEEKDAY($B3043,2)+1,"")</f>
        <v/>
      </c>
      <c r="I3043" s="24" t="n"/>
      <c r="J3043" s="22">
        <f t="array" ref="J3043">IF($D3043="","",IF($I3043="","(trống REF)",IFERROR(INDEX(MASTER_SOURCE!$B$2:$B$495,MATCH($I3043,MASTER_SOURCE!$A$2:$A$495,0)),"(REF không có trong MASTER_SOURCE)")))</f>
        <v/>
      </c>
      <c r="K3043" s="22">
        <f t="array" ref="K3043">IF($D3043="","",IFERROR(INDEX(MASTER_SOURCE!$C$2:$C$495,MATCH($I3043,MASTER_SOURCE!$A$2:$A$495,0)),""))</f>
        <v/>
      </c>
      <c r="L3043" s="22">
        <f t="array" ref="L3043">IF($D3043="","",IFERROR(INDEX(MASTER_SOURCE!$D$2:$D$495,MATCH($I3043,MASTER_SOURCE!$A$2:$A$495,0)),""))</f>
        <v/>
      </c>
      <c r="M3043" s="24" t="n"/>
      <c r="N3043" s="24" t="n"/>
      <c r="O3043" s="24" t="n"/>
      <c r="P3043" s="24" t="n"/>
      <c r="Q3043" s="22">
        <f>IF($D3043="","",IF(AND(OR(DANH_MUC!$L$5&lt;&gt;"Có",M3043="Có"),OR(DANH_MUC!$L$6&lt;&gt;"Có",N3043="Có"),OR(DANH_MUC!$L$7&lt;&gt;"Có",O3043="Có"),OR(DANH_MUC!$L$8&lt;&gt;"Có",P3043="Có")),"Có","Không"))</f>
        <v/>
      </c>
      <c r="R3043" s="22">
        <f>IF($D3043="","",IF(COUNTIF($D$2:$D3043,$D3043)&gt;1,"Trùng",""))</f>
        <v/>
      </c>
      <c r="S3043" s="22">
        <f>IF($D3043="","",IF(AND(LEN($D3043)=10,LEFT($D3043,1)="0",ISNUMBER(--$D3043)),"Có","Không"))</f>
        <v/>
      </c>
      <c r="T3043" s="22">
        <f>IF($D3043="","",IF(AND($C3043&lt;&gt;"",$Q3043="Có",$R3043="",$S3043="Có",AND($L3043&lt;&gt;"",OR($L3043&lt;&gt;"Chưa xác định",DANH_MUC!$L$9="Có"))),"Có","Không"))</f>
        <v/>
      </c>
      <c r="U3043" s="22">
        <f>IF(OR($D3043="",$T3043="Có"),"",IF($C3043="","Thiếu họ tên; ","")&amp;IF($S3043&lt;&gt;"Có","SĐT sai định dạng; ","")&amp;IF($R3043="Trùng","Trùng SĐT; ","")&amp;IF($Q3043&lt;&gt;"Có","Thiếu đồng ý bắt buộc; ","")&amp;IF($L3043="","Thiếu/sai Mã REF; ",IF(AND($L3043="Chưa xác định",DANH_MUC!$L$9&lt;&gt;"Có"),"Nguồn chưa xác định; ","")))</f>
        <v/>
      </c>
      <c r="V3043" s="22">
        <f>IF(OR($D3043="",$R3043="Trùng"),"",IF(COUNTIF(ORDERS!$C$2:$C$4995,$D3043)&gt;0,"Có","Không"))</f>
        <v/>
      </c>
      <c r="W3043" s="22">
        <f>IF(OR($D3043="",$R3043="Trùng"),"",COUNTIFS(ORDERS!$C$2:$C$4995,$D3043,ORDERS!$L$2:$L$4995,"Đã chuyển khoản"))</f>
        <v/>
      </c>
      <c r="X3043" s="23">
        <f>IF(OR($D3043="",$R3043="Trùng"),"",SUMIFS(ORDERS!$J$2:$J$4995,ORDERS!$C$2:$C$4995,$D3043,ORDERS!$L$2:$L$4995,"Đã chuyển khoản"))</f>
        <v/>
      </c>
      <c r="Y3043" s="24" t="n"/>
    </row>
    <row r="3044" ht="14.25" customHeight="1" s="40">
      <c r="A3044" s="24" t="n"/>
      <c r="B3044" s="27" t="n"/>
      <c r="C3044" s="24" t="n"/>
      <c r="D3044" s="28" t="n"/>
      <c r="E3044" s="29" t="n"/>
      <c r="F3044" s="24" t="n"/>
      <c r="G3044" s="24" t="n"/>
      <c r="H3044" s="21">
        <f>IF(ISNUMBER($B3044),INT($B3044)-WEEKDAY($B3044,2)+1,"")</f>
        <v/>
      </c>
      <c r="I3044" s="24" t="n"/>
      <c r="J3044" s="22">
        <f t="array" ref="J3044">IF($D3044="","",IF($I3044="","(trống REF)",IFERROR(INDEX(MASTER_SOURCE!$B$2:$B$495,MATCH($I3044,MASTER_SOURCE!$A$2:$A$495,0)),"(REF không có trong MASTER_SOURCE)")))</f>
        <v/>
      </c>
      <c r="K3044" s="22">
        <f t="array" ref="K3044">IF($D3044="","",IFERROR(INDEX(MASTER_SOURCE!$C$2:$C$495,MATCH($I3044,MASTER_SOURCE!$A$2:$A$495,0)),""))</f>
        <v/>
      </c>
      <c r="L3044" s="22">
        <f t="array" ref="L3044">IF($D3044="","",IFERROR(INDEX(MASTER_SOURCE!$D$2:$D$495,MATCH($I3044,MASTER_SOURCE!$A$2:$A$495,0)),""))</f>
        <v/>
      </c>
      <c r="M3044" s="24" t="n"/>
      <c r="N3044" s="24" t="n"/>
      <c r="O3044" s="24" t="n"/>
      <c r="P3044" s="24" t="n"/>
      <c r="Q3044" s="22">
        <f>IF($D3044="","",IF(AND(OR(DANH_MUC!$L$5&lt;&gt;"Có",M3044="Có"),OR(DANH_MUC!$L$6&lt;&gt;"Có",N3044="Có"),OR(DANH_MUC!$L$7&lt;&gt;"Có",O3044="Có"),OR(DANH_MUC!$L$8&lt;&gt;"Có",P3044="Có")),"Có","Không"))</f>
        <v/>
      </c>
      <c r="R3044" s="22">
        <f>IF($D3044="","",IF(COUNTIF($D$2:$D3044,$D3044)&gt;1,"Trùng",""))</f>
        <v/>
      </c>
      <c r="S3044" s="22">
        <f>IF($D3044="","",IF(AND(LEN($D3044)=10,LEFT($D3044,1)="0",ISNUMBER(--$D3044)),"Có","Không"))</f>
        <v/>
      </c>
      <c r="T3044" s="22">
        <f>IF($D3044="","",IF(AND($C3044&lt;&gt;"",$Q3044="Có",$R3044="",$S3044="Có",AND($L3044&lt;&gt;"",OR($L3044&lt;&gt;"Chưa xác định",DANH_MUC!$L$9="Có"))),"Có","Không"))</f>
        <v/>
      </c>
      <c r="U3044" s="22">
        <f>IF(OR($D3044="",$T3044="Có"),"",IF($C3044="","Thiếu họ tên; ","")&amp;IF($S3044&lt;&gt;"Có","SĐT sai định dạng; ","")&amp;IF($R3044="Trùng","Trùng SĐT; ","")&amp;IF($Q3044&lt;&gt;"Có","Thiếu đồng ý bắt buộc; ","")&amp;IF($L3044="","Thiếu/sai Mã REF; ",IF(AND($L3044="Chưa xác định",DANH_MUC!$L$9&lt;&gt;"Có"),"Nguồn chưa xác định; ","")))</f>
        <v/>
      </c>
      <c r="V3044" s="22">
        <f>IF(OR($D3044="",$R3044="Trùng"),"",IF(COUNTIF(ORDERS!$C$2:$C$4995,$D3044)&gt;0,"Có","Không"))</f>
        <v/>
      </c>
      <c r="W3044" s="22">
        <f>IF(OR($D3044="",$R3044="Trùng"),"",COUNTIFS(ORDERS!$C$2:$C$4995,$D3044,ORDERS!$L$2:$L$4995,"Đã chuyển khoản"))</f>
        <v/>
      </c>
      <c r="X3044" s="23">
        <f>IF(OR($D3044="",$R3044="Trùng"),"",SUMIFS(ORDERS!$J$2:$J$4995,ORDERS!$C$2:$C$4995,$D3044,ORDERS!$L$2:$L$4995,"Đã chuyển khoản"))</f>
        <v/>
      </c>
      <c r="Y3044" s="24" t="n"/>
    </row>
    <row r="3045" ht="14.25" customHeight="1" s="40">
      <c r="A3045" s="24" t="n"/>
      <c r="B3045" s="27" t="n"/>
      <c r="C3045" s="24" t="n"/>
      <c r="D3045" s="28" t="n"/>
      <c r="E3045" s="29" t="n"/>
      <c r="F3045" s="24" t="n"/>
      <c r="G3045" s="24" t="n"/>
      <c r="H3045" s="21">
        <f>IF(ISNUMBER($B3045),INT($B3045)-WEEKDAY($B3045,2)+1,"")</f>
        <v/>
      </c>
      <c r="I3045" s="24" t="n"/>
      <c r="J3045" s="22">
        <f t="array" ref="J3045">IF($D3045="","",IF($I3045="","(trống REF)",IFERROR(INDEX(MASTER_SOURCE!$B$2:$B$495,MATCH($I3045,MASTER_SOURCE!$A$2:$A$495,0)),"(REF không có trong MASTER_SOURCE)")))</f>
        <v/>
      </c>
      <c r="K3045" s="22">
        <f t="array" ref="K3045">IF($D3045="","",IFERROR(INDEX(MASTER_SOURCE!$C$2:$C$495,MATCH($I3045,MASTER_SOURCE!$A$2:$A$495,0)),""))</f>
        <v/>
      </c>
      <c r="L3045" s="22">
        <f t="array" ref="L3045">IF($D3045="","",IFERROR(INDEX(MASTER_SOURCE!$D$2:$D$495,MATCH($I3045,MASTER_SOURCE!$A$2:$A$495,0)),""))</f>
        <v/>
      </c>
      <c r="M3045" s="24" t="n"/>
      <c r="N3045" s="24" t="n"/>
      <c r="O3045" s="24" t="n"/>
      <c r="P3045" s="24" t="n"/>
      <c r="Q3045" s="22">
        <f>IF($D3045="","",IF(AND(OR(DANH_MUC!$L$5&lt;&gt;"Có",M3045="Có"),OR(DANH_MUC!$L$6&lt;&gt;"Có",N3045="Có"),OR(DANH_MUC!$L$7&lt;&gt;"Có",O3045="Có"),OR(DANH_MUC!$L$8&lt;&gt;"Có",P3045="Có")),"Có","Không"))</f>
        <v/>
      </c>
      <c r="R3045" s="22">
        <f>IF($D3045="","",IF(COUNTIF($D$2:$D3045,$D3045)&gt;1,"Trùng",""))</f>
        <v/>
      </c>
      <c r="S3045" s="22">
        <f>IF($D3045="","",IF(AND(LEN($D3045)=10,LEFT($D3045,1)="0",ISNUMBER(--$D3045)),"Có","Không"))</f>
        <v/>
      </c>
      <c r="T3045" s="22">
        <f>IF($D3045="","",IF(AND($C3045&lt;&gt;"",$Q3045="Có",$R3045="",$S3045="Có",AND($L3045&lt;&gt;"",OR($L3045&lt;&gt;"Chưa xác định",DANH_MUC!$L$9="Có"))),"Có","Không"))</f>
        <v/>
      </c>
      <c r="U3045" s="22">
        <f>IF(OR($D3045="",$T3045="Có"),"",IF($C3045="","Thiếu họ tên; ","")&amp;IF($S3045&lt;&gt;"Có","SĐT sai định dạng; ","")&amp;IF($R3045="Trùng","Trùng SĐT; ","")&amp;IF($Q3045&lt;&gt;"Có","Thiếu đồng ý bắt buộc; ","")&amp;IF($L3045="","Thiếu/sai Mã REF; ",IF(AND($L3045="Chưa xác định",DANH_MUC!$L$9&lt;&gt;"Có"),"Nguồn chưa xác định; ","")))</f>
        <v/>
      </c>
      <c r="V3045" s="22">
        <f>IF(OR($D3045="",$R3045="Trùng"),"",IF(COUNTIF(ORDERS!$C$2:$C$4995,$D3045)&gt;0,"Có","Không"))</f>
        <v/>
      </c>
      <c r="W3045" s="22">
        <f>IF(OR($D3045="",$R3045="Trùng"),"",COUNTIFS(ORDERS!$C$2:$C$4995,$D3045,ORDERS!$L$2:$L$4995,"Đã chuyển khoản"))</f>
        <v/>
      </c>
      <c r="X3045" s="23">
        <f>IF(OR($D3045="",$R3045="Trùng"),"",SUMIFS(ORDERS!$J$2:$J$4995,ORDERS!$C$2:$C$4995,$D3045,ORDERS!$L$2:$L$4995,"Đã chuyển khoản"))</f>
        <v/>
      </c>
      <c r="Y3045" s="24" t="n"/>
    </row>
    <row r="3046" ht="14.25" customHeight="1" s="40">
      <c r="A3046" s="24" t="n"/>
      <c r="B3046" s="27" t="n"/>
      <c r="C3046" s="24" t="n"/>
      <c r="D3046" s="28" t="n"/>
      <c r="E3046" s="29" t="n"/>
      <c r="F3046" s="24" t="n"/>
      <c r="G3046" s="24" t="n"/>
      <c r="H3046" s="21">
        <f>IF(ISNUMBER($B3046),INT($B3046)-WEEKDAY($B3046,2)+1,"")</f>
        <v/>
      </c>
      <c r="I3046" s="24" t="n"/>
      <c r="J3046" s="22">
        <f t="array" ref="J3046">IF($D3046="","",IF($I3046="","(trống REF)",IFERROR(INDEX(MASTER_SOURCE!$B$2:$B$495,MATCH($I3046,MASTER_SOURCE!$A$2:$A$495,0)),"(REF không có trong MASTER_SOURCE)")))</f>
        <v/>
      </c>
      <c r="K3046" s="22">
        <f t="array" ref="K3046">IF($D3046="","",IFERROR(INDEX(MASTER_SOURCE!$C$2:$C$495,MATCH($I3046,MASTER_SOURCE!$A$2:$A$495,0)),""))</f>
        <v/>
      </c>
      <c r="L3046" s="22">
        <f t="array" ref="L3046">IF($D3046="","",IFERROR(INDEX(MASTER_SOURCE!$D$2:$D$495,MATCH($I3046,MASTER_SOURCE!$A$2:$A$495,0)),""))</f>
        <v/>
      </c>
      <c r="M3046" s="24" t="n"/>
      <c r="N3046" s="24" t="n"/>
      <c r="O3046" s="24" t="n"/>
      <c r="P3046" s="24" t="n"/>
      <c r="Q3046" s="22">
        <f>IF($D3046="","",IF(AND(OR(DANH_MUC!$L$5&lt;&gt;"Có",M3046="Có"),OR(DANH_MUC!$L$6&lt;&gt;"Có",N3046="Có"),OR(DANH_MUC!$L$7&lt;&gt;"Có",O3046="Có"),OR(DANH_MUC!$L$8&lt;&gt;"Có",P3046="Có")),"Có","Không"))</f>
        <v/>
      </c>
      <c r="R3046" s="22">
        <f>IF($D3046="","",IF(COUNTIF($D$2:$D3046,$D3046)&gt;1,"Trùng",""))</f>
        <v/>
      </c>
      <c r="S3046" s="22">
        <f>IF($D3046="","",IF(AND(LEN($D3046)=10,LEFT($D3046,1)="0",ISNUMBER(--$D3046)),"Có","Không"))</f>
        <v/>
      </c>
      <c r="T3046" s="22">
        <f>IF($D3046="","",IF(AND($C3046&lt;&gt;"",$Q3046="Có",$R3046="",$S3046="Có",AND($L3046&lt;&gt;"",OR($L3046&lt;&gt;"Chưa xác định",DANH_MUC!$L$9="Có"))),"Có","Không"))</f>
        <v/>
      </c>
      <c r="U3046" s="22">
        <f>IF(OR($D3046="",$T3046="Có"),"",IF($C3046="","Thiếu họ tên; ","")&amp;IF($S3046&lt;&gt;"Có","SĐT sai định dạng; ","")&amp;IF($R3046="Trùng","Trùng SĐT; ","")&amp;IF($Q3046&lt;&gt;"Có","Thiếu đồng ý bắt buộc; ","")&amp;IF($L3046="","Thiếu/sai Mã REF; ",IF(AND($L3046="Chưa xác định",DANH_MUC!$L$9&lt;&gt;"Có"),"Nguồn chưa xác định; ","")))</f>
        <v/>
      </c>
      <c r="V3046" s="22">
        <f>IF(OR($D3046="",$R3046="Trùng"),"",IF(COUNTIF(ORDERS!$C$2:$C$4995,$D3046)&gt;0,"Có","Không"))</f>
        <v/>
      </c>
      <c r="W3046" s="22">
        <f>IF(OR($D3046="",$R3046="Trùng"),"",COUNTIFS(ORDERS!$C$2:$C$4995,$D3046,ORDERS!$L$2:$L$4995,"Đã chuyển khoản"))</f>
        <v/>
      </c>
      <c r="X3046" s="23">
        <f>IF(OR($D3046="",$R3046="Trùng"),"",SUMIFS(ORDERS!$J$2:$J$4995,ORDERS!$C$2:$C$4995,$D3046,ORDERS!$L$2:$L$4995,"Đã chuyển khoản"))</f>
        <v/>
      </c>
      <c r="Y3046" s="24" t="n"/>
    </row>
    <row r="3047" ht="14.25" customHeight="1" s="40">
      <c r="A3047" s="24" t="n"/>
      <c r="B3047" s="27" t="n"/>
      <c r="C3047" s="24" t="n"/>
      <c r="D3047" s="28" t="n"/>
      <c r="E3047" s="29" t="n"/>
      <c r="F3047" s="24" t="n"/>
      <c r="G3047" s="24" t="n"/>
      <c r="H3047" s="21">
        <f>IF(ISNUMBER($B3047),INT($B3047)-WEEKDAY($B3047,2)+1,"")</f>
        <v/>
      </c>
      <c r="I3047" s="24" t="n"/>
      <c r="J3047" s="22">
        <f t="array" ref="J3047">IF($D3047="","",IF($I3047="","(trống REF)",IFERROR(INDEX(MASTER_SOURCE!$B$2:$B$495,MATCH($I3047,MASTER_SOURCE!$A$2:$A$495,0)),"(REF không có trong MASTER_SOURCE)")))</f>
        <v/>
      </c>
      <c r="K3047" s="22">
        <f t="array" ref="K3047">IF($D3047="","",IFERROR(INDEX(MASTER_SOURCE!$C$2:$C$495,MATCH($I3047,MASTER_SOURCE!$A$2:$A$495,0)),""))</f>
        <v/>
      </c>
      <c r="L3047" s="22">
        <f t="array" ref="L3047">IF($D3047="","",IFERROR(INDEX(MASTER_SOURCE!$D$2:$D$495,MATCH($I3047,MASTER_SOURCE!$A$2:$A$495,0)),""))</f>
        <v/>
      </c>
      <c r="M3047" s="24" t="n"/>
      <c r="N3047" s="24" t="n"/>
      <c r="O3047" s="24" t="n"/>
      <c r="P3047" s="24" t="n"/>
      <c r="Q3047" s="22">
        <f>IF($D3047="","",IF(AND(OR(DANH_MUC!$L$5&lt;&gt;"Có",M3047="Có"),OR(DANH_MUC!$L$6&lt;&gt;"Có",N3047="Có"),OR(DANH_MUC!$L$7&lt;&gt;"Có",O3047="Có"),OR(DANH_MUC!$L$8&lt;&gt;"Có",P3047="Có")),"Có","Không"))</f>
        <v/>
      </c>
      <c r="R3047" s="22">
        <f>IF($D3047="","",IF(COUNTIF($D$2:$D3047,$D3047)&gt;1,"Trùng",""))</f>
        <v/>
      </c>
      <c r="S3047" s="22">
        <f>IF($D3047="","",IF(AND(LEN($D3047)=10,LEFT($D3047,1)="0",ISNUMBER(--$D3047)),"Có","Không"))</f>
        <v/>
      </c>
      <c r="T3047" s="22">
        <f>IF($D3047="","",IF(AND($C3047&lt;&gt;"",$Q3047="Có",$R3047="",$S3047="Có",AND($L3047&lt;&gt;"",OR($L3047&lt;&gt;"Chưa xác định",DANH_MUC!$L$9="Có"))),"Có","Không"))</f>
        <v/>
      </c>
      <c r="U3047" s="22">
        <f>IF(OR($D3047="",$T3047="Có"),"",IF($C3047="","Thiếu họ tên; ","")&amp;IF($S3047&lt;&gt;"Có","SĐT sai định dạng; ","")&amp;IF($R3047="Trùng","Trùng SĐT; ","")&amp;IF($Q3047&lt;&gt;"Có","Thiếu đồng ý bắt buộc; ","")&amp;IF($L3047="","Thiếu/sai Mã REF; ",IF(AND($L3047="Chưa xác định",DANH_MUC!$L$9&lt;&gt;"Có"),"Nguồn chưa xác định; ","")))</f>
        <v/>
      </c>
      <c r="V3047" s="22">
        <f>IF(OR($D3047="",$R3047="Trùng"),"",IF(COUNTIF(ORDERS!$C$2:$C$4995,$D3047)&gt;0,"Có","Không"))</f>
        <v/>
      </c>
      <c r="W3047" s="22">
        <f>IF(OR($D3047="",$R3047="Trùng"),"",COUNTIFS(ORDERS!$C$2:$C$4995,$D3047,ORDERS!$L$2:$L$4995,"Đã chuyển khoản"))</f>
        <v/>
      </c>
      <c r="X3047" s="23">
        <f>IF(OR($D3047="",$R3047="Trùng"),"",SUMIFS(ORDERS!$J$2:$J$4995,ORDERS!$C$2:$C$4995,$D3047,ORDERS!$L$2:$L$4995,"Đã chuyển khoản"))</f>
        <v/>
      </c>
      <c r="Y3047" s="24" t="n"/>
    </row>
    <row r="3048" ht="14.25" customHeight="1" s="40">
      <c r="A3048" s="24" t="n"/>
      <c r="B3048" s="27" t="n"/>
      <c r="C3048" s="24" t="n"/>
      <c r="D3048" s="28" t="n"/>
      <c r="E3048" s="29" t="n"/>
      <c r="F3048" s="24" t="n"/>
      <c r="G3048" s="24" t="n"/>
      <c r="H3048" s="21">
        <f>IF(ISNUMBER($B3048),INT($B3048)-WEEKDAY($B3048,2)+1,"")</f>
        <v/>
      </c>
      <c r="I3048" s="24" t="n"/>
      <c r="J3048" s="22">
        <f t="array" ref="J3048">IF($D3048="","",IF($I3048="","(trống REF)",IFERROR(INDEX(MASTER_SOURCE!$B$2:$B$495,MATCH($I3048,MASTER_SOURCE!$A$2:$A$495,0)),"(REF không có trong MASTER_SOURCE)")))</f>
        <v/>
      </c>
      <c r="K3048" s="22">
        <f t="array" ref="K3048">IF($D3048="","",IFERROR(INDEX(MASTER_SOURCE!$C$2:$C$495,MATCH($I3048,MASTER_SOURCE!$A$2:$A$495,0)),""))</f>
        <v/>
      </c>
      <c r="L3048" s="22">
        <f t="array" ref="L3048">IF($D3048="","",IFERROR(INDEX(MASTER_SOURCE!$D$2:$D$495,MATCH($I3048,MASTER_SOURCE!$A$2:$A$495,0)),""))</f>
        <v/>
      </c>
      <c r="M3048" s="24" t="n"/>
      <c r="N3048" s="24" t="n"/>
      <c r="O3048" s="24" t="n"/>
      <c r="P3048" s="24" t="n"/>
      <c r="Q3048" s="22">
        <f>IF($D3048="","",IF(AND(OR(DANH_MUC!$L$5&lt;&gt;"Có",M3048="Có"),OR(DANH_MUC!$L$6&lt;&gt;"Có",N3048="Có"),OR(DANH_MUC!$L$7&lt;&gt;"Có",O3048="Có"),OR(DANH_MUC!$L$8&lt;&gt;"Có",P3048="Có")),"Có","Không"))</f>
        <v/>
      </c>
      <c r="R3048" s="22">
        <f>IF($D3048="","",IF(COUNTIF($D$2:$D3048,$D3048)&gt;1,"Trùng",""))</f>
        <v/>
      </c>
      <c r="S3048" s="22">
        <f>IF($D3048="","",IF(AND(LEN($D3048)=10,LEFT($D3048,1)="0",ISNUMBER(--$D3048)),"Có","Không"))</f>
        <v/>
      </c>
      <c r="T3048" s="22">
        <f>IF($D3048="","",IF(AND($C3048&lt;&gt;"",$Q3048="Có",$R3048="",$S3048="Có",AND($L3048&lt;&gt;"",OR($L3048&lt;&gt;"Chưa xác định",DANH_MUC!$L$9="Có"))),"Có","Không"))</f>
        <v/>
      </c>
      <c r="U3048" s="22">
        <f>IF(OR($D3048="",$T3048="Có"),"",IF($C3048="","Thiếu họ tên; ","")&amp;IF($S3048&lt;&gt;"Có","SĐT sai định dạng; ","")&amp;IF($R3048="Trùng","Trùng SĐT; ","")&amp;IF($Q3048&lt;&gt;"Có","Thiếu đồng ý bắt buộc; ","")&amp;IF($L3048="","Thiếu/sai Mã REF; ",IF(AND($L3048="Chưa xác định",DANH_MUC!$L$9&lt;&gt;"Có"),"Nguồn chưa xác định; ","")))</f>
        <v/>
      </c>
      <c r="V3048" s="22">
        <f>IF(OR($D3048="",$R3048="Trùng"),"",IF(COUNTIF(ORDERS!$C$2:$C$4995,$D3048)&gt;0,"Có","Không"))</f>
        <v/>
      </c>
      <c r="W3048" s="22">
        <f>IF(OR($D3048="",$R3048="Trùng"),"",COUNTIFS(ORDERS!$C$2:$C$4995,$D3048,ORDERS!$L$2:$L$4995,"Đã chuyển khoản"))</f>
        <v/>
      </c>
      <c r="X3048" s="23">
        <f>IF(OR($D3048="",$R3048="Trùng"),"",SUMIFS(ORDERS!$J$2:$J$4995,ORDERS!$C$2:$C$4995,$D3048,ORDERS!$L$2:$L$4995,"Đã chuyển khoản"))</f>
        <v/>
      </c>
      <c r="Y3048" s="24" t="n"/>
    </row>
    <row r="3049" ht="14.25" customHeight="1" s="40">
      <c r="A3049" s="24" t="n"/>
      <c r="B3049" s="27" t="n"/>
      <c r="C3049" s="24" t="n"/>
      <c r="D3049" s="28" t="n"/>
      <c r="E3049" s="29" t="n"/>
      <c r="F3049" s="24" t="n"/>
      <c r="G3049" s="24" t="n"/>
      <c r="H3049" s="21">
        <f>IF(ISNUMBER($B3049),INT($B3049)-WEEKDAY($B3049,2)+1,"")</f>
        <v/>
      </c>
      <c r="I3049" s="24" t="n"/>
      <c r="J3049" s="22">
        <f t="array" ref="J3049">IF($D3049="","",IF($I3049="","(trống REF)",IFERROR(INDEX(MASTER_SOURCE!$B$2:$B$495,MATCH($I3049,MASTER_SOURCE!$A$2:$A$495,0)),"(REF không có trong MASTER_SOURCE)")))</f>
        <v/>
      </c>
      <c r="K3049" s="22">
        <f t="array" ref="K3049">IF($D3049="","",IFERROR(INDEX(MASTER_SOURCE!$C$2:$C$495,MATCH($I3049,MASTER_SOURCE!$A$2:$A$495,0)),""))</f>
        <v/>
      </c>
      <c r="L3049" s="22">
        <f t="array" ref="L3049">IF($D3049="","",IFERROR(INDEX(MASTER_SOURCE!$D$2:$D$495,MATCH($I3049,MASTER_SOURCE!$A$2:$A$495,0)),""))</f>
        <v/>
      </c>
      <c r="M3049" s="24" t="n"/>
      <c r="N3049" s="24" t="n"/>
      <c r="O3049" s="24" t="n"/>
      <c r="P3049" s="24" t="n"/>
      <c r="Q3049" s="22">
        <f>IF($D3049="","",IF(AND(OR(DANH_MUC!$L$5&lt;&gt;"Có",M3049="Có"),OR(DANH_MUC!$L$6&lt;&gt;"Có",N3049="Có"),OR(DANH_MUC!$L$7&lt;&gt;"Có",O3049="Có"),OR(DANH_MUC!$L$8&lt;&gt;"Có",P3049="Có")),"Có","Không"))</f>
        <v/>
      </c>
      <c r="R3049" s="22">
        <f>IF($D3049="","",IF(COUNTIF($D$2:$D3049,$D3049)&gt;1,"Trùng",""))</f>
        <v/>
      </c>
      <c r="S3049" s="22">
        <f>IF($D3049="","",IF(AND(LEN($D3049)=10,LEFT($D3049,1)="0",ISNUMBER(--$D3049)),"Có","Không"))</f>
        <v/>
      </c>
      <c r="T3049" s="22">
        <f>IF($D3049="","",IF(AND($C3049&lt;&gt;"",$Q3049="Có",$R3049="",$S3049="Có",AND($L3049&lt;&gt;"",OR($L3049&lt;&gt;"Chưa xác định",DANH_MUC!$L$9="Có"))),"Có","Không"))</f>
        <v/>
      </c>
      <c r="U3049" s="22">
        <f>IF(OR($D3049="",$T3049="Có"),"",IF($C3049="","Thiếu họ tên; ","")&amp;IF($S3049&lt;&gt;"Có","SĐT sai định dạng; ","")&amp;IF($R3049="Trùng","Trùng SĐT; ","")&amp;IF($Q3049&lt;&gt;"Có","Thiếu đồng ý bắt buộc; ","")&amp;IF($L3049="","Thiếu/sai Mã REF; ",IF(AND($L3049="Chưa xác định",DANH_MUC!$L$9&lt;&gt;"Có"),"Nguồn chưa xác định; ","")))</f>
        <v/>
      </c>
      <c r="V3049" s="22">
        <f>IF(OR($D3049="",$R3049="Trùng"),"",IF(COUNTIF(ORDERS!$C$2:$C$4995,$D3049)&gt;0,"Có","Không"))</f>
        <v/>
      </c>
      <c r="W3049" s="22">
        <f>IF(OR($D3049="",$R3049="Trùng"),"",COUNTIFS(ORDERS!$C$2:$C$4995,$D3049,ORDERS!$L$2:$L$4995,"Đã chuyển khoản"))</f>
        <v/>
      </c>
      <c r="X3049" s="23">
        <f>IF(OR($D3049="",$R3049="Trùng"),"",SUMIFS(ORDERS!$J$2:$J$4995,ORDERS!$C$2:$C$4995,$D3049,ORDERS!$L$2:$L$4995,"Đã chuyển khoản"))</f>
        <v/>
      </c>
      <c r="Y3049" s="24" t="n"/>
    </row>
    <row r="3050" ht="14.25" customHeight="1" s="40">
      <c r="A3050" s="24" t="n"/>
      <c r="B3050" s="27" t="n"/>
      <c r="C3050" s="24" t="n"/>
      <c r="D3050" s="28" t="n"/>
      <c r="E3050" s="29" t="n"/>
      <c r="F3050" s="24" t="n"/>
      <c r="G3050" s="24" t="n"/>
      <c r="H3050" s="21">
        <f>IF(ISNUMBER($B3050),INT($B3050)-WEEKDAY($B3050,2)+1,"")</f>
        <v/>
      </c>
      <c r="I3050" s="24" t="n"/>
      <c r="J3050" s="22">
        <f t="array" ref="J3050">IF($D3050="","",IF($I3050="","(trống REF)",IFERROR(INDEX(MASTER_SOURCE!$B$2:$B$495,MATCH($I3050,MASTER_SOURCE!$A$2:$A$495,0)),"(REF không có trong MASTER_SOURCE)")))</f>
        <v/>
      </c>
      <c r="K3050" s="22">
        <f t="array" ref="K3050">IF($D3050="","",IFERROR(INDEX(MASTER_SOURCE!$C$2:$C$495,MATCH($I3050,MASTER_SOURCE!$A$2:$A$495,0)),""))</f>
        <v/>
      </c>
      <c r="L3050" s="22">
        <f t="array" ref="L3050">IF($D3050="","",IFERROR(INDEX(MASTER_SOURCE!$D$2:$D$495,MATCH($I3050,MASTER_SOURCE!$A$2:$A$495,0)),""))</f>
        <v/>
      </c>
      <c r="M3050" s="24" t="n"/>
      <c r="N3050" s="24" t="n"/>
      <c r="O3050" s="24" t="n"/>
      <c r="P3050" s="24" t="n"/>
      <c r="Q3050" s="22">
        <f>IF($D3050="","",IF(AND(OR(DANH_MUC!$L$5&lt;&gt;"Có",M3050="Có"),OR(DANH_MUC!$L$6&lt;&gt;"Có",N3050="Có"),OR(DANH_MUC!$L$7&lt;&gt;"Có",O3050="Có"),OR(DANH_MUC!$L$8&lt;&gt;"Có",P3050="Có")),"Có","Không"))</f>
        <v/>
      </c>
      <c r="R3050" s="22">
        <f>IF($D3050="","",IF(COUNTIF($D$2:$D3050,$D3050)&gt;1,"Trùng",""))</f>
        <v/>
      </c>
      <c r="S3050" s="22">
        <f>IF($D3050="","",IF(AND(LEN($D3050)=10,LEFT($D3050,1)="0",ISNUMBER(--$D3050)),"Có","Không"))</f>
        <v/>
      </c>
      <c r="T3050" s="22">
        <f>IF($D3050="","",IF(AND($C3050&lt;&gt;"",$Q3050="Có",$R3050="",$S3050="Có",AND($L3050&lt;&gt;"",OR($L3050&lt;&gt;"Chưa xác định",DANH_MUC!$L$9="Có"))),"Có","Không"))</f>
        <v/>
      </c>
      <c r="U3050" s="22">
        <f>IF(OR($D3050="",$T3050="Có"),"",IF($C3050="","Thiếu họ tên; ","")&amp;IF($S3050&lt;&gt;"Có","SĐT sai định dạng; ","")&amp;IF($R3050="Trùng","Trùng SĐT; ","")&amp;IF($Q3050&lt;&gt;"Có","Thiếu đồng ý bắt buộc; ","")&amp;IF($L3050="","Thiếu/sai Mã REF; ",IF(AND($L3050="Chưa xác định",DANH_MUC!$L$9&lt;&gt;"Có"),"Nguồn chưa xác định; ","")))</f>
        <v/>
      </c>
      <c r="V3050" s="22">
        <f>IF(OR($D3050="",$R3050="Trùng"),"",IF(COUNTIF(ORDERS!$C$2:$C$4995,$D3050)&gt;0,"Có","Không"))</f>
        <v/>
      </c>
      <c r="W3050" s="22">
        <f>IF(OR($D3050="",$R3050="Trùng"),"",COUNTIFS(ORDERS!$C$2:$C$4995,$D3050,ORDERS!$L$2:$L$4995,"Đã chuyển khoản"))</f>
        <v/>
      </c>
      <c r="X3050" s="23">
        <f>IF(OR($D3050="",$R3050="Trùng"),"",SUMIFS(ORDERS!$J$2:$J$4995,ORDERS!$C$2:$C$4995,$D3050,ORDERS!$L$2:$L$4995,"Đã chuyển khoản"))</f>
        <v/>
      </c>
      <c r="Y3050" s="24" t="n"/>
    </row>
    <row r="3051" ht="14.25" customHeight="1" s="40">
      <c r="A3051" s="24" t="n"/>
      <c r="B3051" s="27" t="n"/>
      <c r="C3051" s="24" t="n"/>
      <c r="D3051" s="28" t="n"/>
      <c r="E3051" s="29" t="n"/>
      <c r="F3051" s="24" t="n"/>
      <c r="G3051" s="24" t="n"/>
      <c r="H3051" s="21">
        <f>IF(ISNUMBER($B3051),INT($B3051)-WEEKDAY($B3051,2)+1,"")</f>
        <v/>
      </c>
      <c r="I3051" s="24" t="n"/>
      <c r="J3051" s="22">
        <f t="array" ref="J3051">IF($D3051="","",IF($I3051="","(trống REF)",IFERROR(INDEX(MASTER_SOURCE!$B$2:$B$495,MATCH($I3051,MASTER_SOURCE!$A$2:$A$495,0)),"(REF không có trong MASTER_SOURCE)")))</f>
        <v/>
      </c>
      <c r="K3051" s="22">
        <f t="array" ref="K3051">IF($D3051="","",IFERROR(INDEX(MASTER_SOURCE!$C$2:$C$495,MATCH($I3051,MASTER_SOURCE!$A$2:$A$495,0)),""))</f>
        <v/>
      </c>
      <c r="L3051" s="22">
        <f t="array" ref="L3051">IF($D3051="","",IFERROR(INDEX(MASTER_SOURCE!$D$2:$D$495,MATCH($I3051,MASTER_SOURCE!$A$2:$A$495,0)),""))</f>
        <v/>
      </c>
      <c r="M3051" s="24" t="n"/>
      <c r="N3051" s="24" t="n"/>
      <c r="O3051" s="24" t="n"/>
      <c r="P3051" s="24" t="n"/>
      <c r="Q3051" s="22">
        <f>IF($D3051="","",IF(AND(OR(DANH_MUC!$L$5&lt;&gt;"Có",M3051="Có"),OR(DANH_MUC!$L$6&lt;&gt;"Có",N3051="Có"),OR(DANH_MUC!$L$7&lt;&gt;"Có",O3051="Có"),OR(DANH_MUC!$L$8&lt;&gt;"Có",P3051="Có")),"Có","Không"))</f>
        <v/>
      </c>
      <c r="R3051" s="22">
        <f>IF($D3051="","",IF(COUNTIF($D$2:$D3051,$D3051)&gt;1,"Trùng",""))</f>
        <v/>
      </c>
      <c r="S3051" s="22">
        <f>IF($D3051="","",IF(AND(LEN($D3051)=10,LEFT($D3051,1)="0",ISNUMBER(--$D3051)),"Có","Không"))</f>
        <v/>
      </c>
      <c r="T3051" s="22">
        <f>IF($D3051="","",IF(AND($C3051&lt;&gt;"",$Q3051="Có",$R3051="",$S3051="Có",AND($L3051&lt;&gt;"",OR($L3051&lt;&gt;"Chưa xác định",DANH_MUC!$L$9="Có"))),"Có","Không"))</f>
        <v/>
      </c>
      <c r="U3051" s="22">
        <f>IF(OR($D3051="",$T3051="Có"),"",IF($C3051="","Thiếu họ tên; ","")&amp;IF($S3051&lt;&gt;"Có","SĐT sai định dạng; ","")&amp;IF($R3051="Trùng","Trùng SĐT; ","")&amp;IF($Q3051&lt;&gt;"Có","Thiếu đồng ý bắt buộc; ","")&amp;IF($L3051="","Thiếu/sai Mã REF; ",IF(AND($L3051="Chưa xác định",DANH_MUC!$L$9&lt;&gt;"Có"),"Nguồn chưa xác định; ","")))</f>
        <v/>
      </c>
      <c r="V3051" s="22">
        <f>IF(OR($D3051="",$R3051="Trùng"),"",IF(COUNTIF(ORDERS!$C$2:$C$4995,$D3051)&gt;0,"Có","Không"))</f>
        <v/>
      </c>
      <c r="W3051" s="22">
        <f>IF(OR($D3051="",$R3051="Trùng"),"",COUNTIFS(ORDERS!$C$2:$C$4995,$D3051,ORDERS!$L$2:$L$4995,"Đã chuyển khoản"))</f>
        <v/>
      </c>
      <c r="X3051" s="23">
        <f>IF(OR($D3051="",$R3051="Trùng"),"",SUMIFS(ORDERS!$J$2:$J$4995,ORDERS!$C$2:$C$4995,$D3051,ORDERS!$L$2:$L$4995,"Đã chuyển khoản"))</f>
        <v/>
      </c>
      <c r="Y3051" s="24" t="n"/>
    </row>
    <row r="3052" ht="14.25" customHeight="1" s="40">
      <c r="A3052" s="24" t="n"/>
      <c r="B3052" s="27" t="n"/>
      <c r="C3052" s="24" t="n"/>
      <c r="D3052" s="28" t="n"/>
      <c r="E3052" s="29" t="n"/>
      <c r="F3052" s="24" t="n"/>
      <c r="G3052" s="24" t="n"/>
      <c r="H3052" s="21">
        <f>IF(ISNUMBER($B3052),INT($B3052)-WEEKDAY($B3052,2)+1,"")</f>
        <v/>
      </c>
      <c r="I3052" s="24" t="n"/>
      <c r="J3052" s="22">
        <f t="array" ref="J3052">IF($D3052="","",IF($I3052="","(trống REF)",IFERROR(INDEX(MASTER_SOURCE!$B$2:$B$495,MATCH($I3052,MASTER_SOURCE!$A$2:$A$495,0)),"(REF không có trong MASTER_SOURCE)")))</f>
        <v/>
      </c>
      <c r="K3052" s="22">
        <f t="array" ref="K3052">IF($D3052="","",IFERROR(INDEX(MASTER_SOURCE!$C$2:$C$495,MATCH($I3052,MASTER_SOURCE!$A$2:$A$495,0)),""))</f>
        <v/>
      </c>
      <c r="L3052" s="22">
        <f t="array" ref="L3052">IF($D3052="","",IFERROR(INDEX(MASTER_SOURCE!$D$2:$D$495,MATCH($I3052,MASTER_SOURCE!$A$2:$A$495,0)),""))</f>
        <v/>
      </c>
      <c r="M3052" s="24" t="n"/>
      <c r="N3052" s="24" t="n"/>
      <c r="O3052" s="24" t="n"/>
      <c r="P3052" s="24" t="n"/>
      <c r="Q3052" s="22">
        <f>IF($D3052="","",IF(AND(OR(DANH_MUC!$L$5&lt;&gt;"Có",M3052="Có"),OR(DANH_MUC!$L$6&lt;&gt;"Có",N3052="Có"),OR(DANH_MUC!$L$7&lt;&gt;"Có",O3052="Có"),OR(DANH_MUC!$L$8&lt;&gt;"Có",P3052="Có")),"Có","Không"))</f>
        <v/>
      </c>
      <c r="R3052" s="22">
        <f>IF($D3052="","",IF(COUNTIF($D$2:$D3052,$D3052)&gt;1,"Trùng",""))</f>
        <v/>
      </c>
      <c r="S3052" s="22">
        <f>IF($D3052="","",IF(AND(LEN($D3052)=10,LEFT($D3052,1)="0",ISNUMBER(--$D3052)),"Có","Không"))</f>
        <v/>
      </c>
      <c r="T3052" s="22">
        <f>IF($D3052="","",IF(AND($C3052&lt;&gt;"",$Q3052="Có",$R3052="",$S3052="Có",AND($L3052&lt;&gt;"",OR($L3052&lt;&gt;"Chưa xác định",DANH_MUC!$L$9="Có"))),"Có","Không"))</f>
        <v/>
      </c>
      <c r="U3052" s="22">
        <f>IF(OR($D3052="",$T3052="Có"),"",IF($C3052="","Thiếu họ tên; ","")&amp;IF($S3052&lt;&gt;"Có","SĐT sai định dạng; ","")&amp;IF($R3052="Trùng","Trùng SĐT; ","")&amp;IF($Q3052&lt;&gt;"Có","Thiếu đồng ý bắt buộc; ","")&amp;IF($L3052="","Thiếu/sai Mã REF; ",IF(AND($L3052="Chưa xác định",DANH_MUC!$L$9&lt;&gt;"Có"),"Nguồn chưa xác định; ","")))</f>
        <v/>
      </c>
      <c r="V3052" s="22">
        <f>IF(OR($D3052="",$R3052="Trùng"),"",IF(COUNTIF(ORDERS!$C$2:$C$4995,$D3052)&gt;0,"Có","Không"))</f>
        <v/>
      </c>
      <c r="W3052" s="22">
        <f>IF(OR($D3052="",$R3052="Trùng"),"",COUNTIFS(ORDERS!$C$2:$C$4995,$D3052,ORDERS!$L$2:$L$4995,"Đã chuyển khoản"))</f>
        <v/>
      </c>
      <c r="X3052" s="23">
        <f>IF(OR($D3052="",$R3052="Trùng"),"",SUMIFS(ORDERS!$J$2:$J$4995,ORDERS!$C$2:$C$4995,$D3052,ORDERS!$L$2:$L$4995,"Đã chuyển khoản"))</f>
        <v/>
      </c>
      <c r="Y3052" s="24" t="n"/>
    </row>
    <row r="3053" ht="14.25" customHeight="1" s="40">
      <c r="A3053" s="24" t="n"/>
      <c r="B3053" s="27" t="n"/>
      <c r="C3053" s="24" t="n"/>
      <c r="D3053" s="28" t="n"/>
      <c r="E3053" s="29" t="n"/>
      <c r="F3053" s="24" t="n"/>
      <c r="G3053" s="24" t="n"/>
      <c r="H3053" s="21">
        <f>IF(ISNUMBER($B3053),INT($B3053)-WEEKDAY($B3053,2)+1,"")</f>
        <v/>
      </c>
      <c r="I3053" s="24" t="n"/>
      <c r="J3053" s="22">
        <f t="array" ref="J3053">IF($D3053="","",IF($I3053="","(trống REF)",IFERROR(INDEX(MASTER_SOURCE!$B$2:$B$495,MATCH($I3053,MASTER_SOURCE!$A$2:$A$495,0)),"(REF không có trong MASTER_SOURCE)")))</f>
        <v/>
      </c>
      <c r="K3053" s="22">
        <f t="array" ref="K3053">IF($D3053="","",IFERROR(INDEX(MASTER_SOURCE!$C$2:$C$495,MATCH($I3053,MASTER_SOURCE!$A$2:$A$495,0)),""))</f>
        <v/>
      </c>
      <c r="L3053" s="22">
        <f t="array" ref="L3053">IF($D3053="","",IFERROR(INDEX(MASTER_SOURCE!$D$2:$D$495,MATCH($I3053,MASTER_SOURCE!$A$2:$A$495,0)),""))</f>
        <v/>
      </c>
      <c r="M3053" s="24" t="n"/>
      <c r="N3053" s="24" t="n"/>
      <c r="O3053" s="24" t="n"/>
      <c r="P3053" s="24" t="n"/>
      <c r="Q3053" s="22">
        <f>IF($D3053="","",IF(AND(OR(DANH_MUC!$L$5&lt;&gt;"Có",M3053="Có"),OR(DANH_MUC!$L$6&lt;&gt;"Có",N3053="Có"),OR(DANH_MUC!$L$7&lt;&gt;"Có",O3053="Có"),OR(DANH_MUC!$L$8&lt;&gt;"Có",P3053="Có")),"Có","Không"))</f>
        <v/>
      </c>
      <c r="R3053" s="22">
        <f>IF($D3053="","",IF(COUNTIF($D$2:$D3053,$D3053)&gt;1,"Trùng",""))</f>
        <v/>
      </c>
      <c r="S3053" s="22">
        <f>IF($D3053="","",IF(AND(LEN($D3053)=10,LEFT($D3053,1)="0",ISNUMBER(--$D3053)),"Có","Không"))</f>
        <v/>
      </c>
      <c r="T3053" s="22">
        <f>IF($D3053="","",IF(AND($C3053&lt;&gt;"",$Q3053="Có",$R3053="",$S3053="Có",AND($L3053&lt;&gt;"",OR($L3053&lt;&gt;"Chưa xác định",DANH_MUC!$L$9="Có"))),"Có","Không"))</f>
        <v/>
      </c>
      <c r="U3053" s="22">
        <f>IF(OR($D3053="",$T3053="Có"),"",IF($C3053="","Thiếu họ tên; ","")&amp;IF($S3053&lt;&gt;"Có","SĐT sai định dạng; ","")&amp;IF($R3053="Trùng","Trùng SĐT; ","")&amp;IF($Q3053&lt;&gt;"Có","Thiếu đồng ý bắt buộc; ","")&amp;IF($L3053="","Thiếu/sai Mã REF; ",IF(AND($L3053="Chưa xác định",DANH_MUC!$L$9&lt;&gt;"Có"),"Nguồn chưa xác định; ","")))</f>
        <v/>
      </c>
      <c r="V3053" s="22">
        <f>IF(OR($D3053="",$R3053="Trùng"),"",IF(COUNTIF(ORDERS!$C$2:$C$4995,$D3053)&gt;0,"Có","Không"))</f>
        <v/>
      </c>
      <c r="W3053" s="22">
        <f>IF(OR($D3053="",$R3053="Trùng"),"",COUNTIFS(ORDERS!$C$2:$C$4995,$D3053,ORDERS!$L$2:$L$4995,"Đã chuyển khoản"))</f>
        <v/>
      </c>
      <c r="X3053" s="23">
        <f>IF(OR($D3053="",$R3053="Trùng"),"",SUMIFS(ORDERS!$J$2:$J$4995,ORDERS!$C$2:$C$4995,$D3053,ORDERS!$L$2:$L$4995,"Đã chuyển khoản"))</f>
        <v/>
      </c>
      <c r="Y3053" s="24" t="n"/>
    </row>
    <row r="3054" ht="14.25" customHeight="1" s="40">
      <c r="A3054" s="24" t="n"/>
      <c r="B3054" s="27" t="n"/>
      <c r="C3054" s="24" t="n"/>
      <c r="D3054" s="28" t="n"/>
      <c r="E3054" s="29" t="n"/>
      <c r="F3054" s="24" t="n"/>
      <c r="G3054" s="24" t="n"/>
      <c r="H3054" s="21">
        <f>IF(ISNUMBER($B3054),INT($B3054)-WEEKDAY($B3054,2)+1,"")</f>
        <v/>
      </c>
      <c r="I3054" s="24" t="n"/>
      <c r="J3054" s="22">
        <f t="array" ref="J3054">IF($D3054="","",IF($I3054="","(trống REF)",IFERROR(INDEX(MASTER_SOURCE!$B$2:$B$495,MATCH($I3054,MASTER_SOURCE!$A$2:$A$495,0)),"(REF không có trong MASTER_SOURCE)")))</f>
        <v/>
      </c>
      <c r="K3054" s="22">
        <f t="array" ref="K3054">IF($D3054="","",IFERROR(INDEX(MASTER_SOURCE!$C$2:$C$495,MATCH($I3054,MASTER_SOURCE!$A$2:$A$495,0)),""))</f>
        <v/>
      </c>
      <c r="L3054" s="22">
        <f t="array" ref="L3054">IF($D3054="","",IFERROR(INDEX(MASTER_SOURCE!$D$2:$D$495,MATCH($I3054,MASTER_SOURCE!$A$2:$A$495,0)),""))</f>
        <v/>
      </c>
      <c r="M3054" s="24" t="n"/>
      <c r="N3054" s="24" t="n"/>
      <c r="O3054" s="24" t="n"/>
      <c r="P3054" s="24" t="n"/>
      <c r="Q3054" s="22">
        <f>IF($D3054="","",IF(AND(OR(DANH_MUC!$L$5&lt;&gt;"Có",M3054="Có"),OR(DANH_MUC!$L$6&lt;&gt;"Có",N3054="Có"),OR(DANH_MUC!$L$7&lt;&gt;"Có",O3054="Có"),OR(DANH_MUC!$L$8&lt;&gt;"Có",P3054="Có")),"Có","Không"))</f>
        <v/>
      </c>
      <c r="R3054" s="22">
        <f>IF($D3054="","",IF(COUNTIF($D$2:$D3054,$D3054)&gt;1,"Trùng",""))</f>
        <v/>
      </c>
      <c r="S3054" s="22">
        <f>IF($D3054="","",IF(AND(LEN($D3054)=10,LEFT($D3054,1)="0",ISNUMBER(--$D3054)),"Có","Không"))</f>
        <v/>
      </c>
      <c r="T3054" s="22">
        <f>IF($D3054="","",IF(AND($C3054&lt;&gt;"",$Q3054="Có",$R3054="",$S3054="Có",AND($L3054&lt;&gt;"",OR($L3054&lt;&gt;"Chưa xác định",DANH_MUC!$L$9="Có"))),"Có","Không"))</f>
        <v/>
      </c>
      <c r="U3054" s="22">
        <f>IF(OR($D3054="",$T3054="Có"),"",IF($C3054="","Thiếu họ tên; ","")&amp;IF($S3054&lt;&gt;"Có","SĐT sai định dạng; ","")&amp;IF($R3054="Trùng","Trùng SĐT; ","")&amp;IF($Q3054&lt;&gt;"Có","Thiếu đồng ý bắt buộc; ","")&amp;IF($L3054="","Thiếu/sai Mã REF; ",IF(AND($L3054="Chưa xác định",DANH_MUC!$L$9&lt;&gt;"Có"),"Nguồn chưa xác định; ","")))</f>
        <v/>
      </c>
      <c r="V3054" s="22">
        <f>IF(OR($D3054="",$R3054="Trùng"),"",IF(COUNTIF(ORDERS!$C$2:$C$4995,$D3054)&gt;0,"Có","Không"))</f>
        <v/>
      </c>
      <c r="W3054" s="22">
        <f>IF(OR($D3054="",$R3054="Trùng"),"",COUNTIFS(ORDERS!$C$2:$C$4995,$D3054,ORDERS!$L$2:$L$4995,"Đã chuyển khoản"))</f>
        <v/>
      </c>
      <c r="X3054" s="23">
        <f>IF(OR($D3054="",$R3054="Trùng"),"",SUMIFS(ORDERS!$J$2:$J$4995,ORDERS!$C$2:$C$4995,$D3054,ORDERS!$L$2:$L$4995,"Đã chuyển khoản"))</f>
        <v/>
      </c>
      <c r="Y3054" s="24" t="n"/>
    </row>
    <row r="3055" ht="14.25" customHeight="1" s="40">
      <c r="A3055" s="24" t="n"/>
      <c r="B3055" s="27" t="n"/>
      <c r="C3055" s="24" t="n"/>
      <c r="D3055" s="28" t="n"/>
      <c r="E3055" s="29" t="n"/>
      <c r="F3055" s="24" t="n"/>
      <c r="G3055" s="24" t="n"/>
      <c r="H3055" s="21">
        <f>IF(ISNUMBER($B3055),INT($B3055)-WEEKDAY($B3055,2)+1,"")</f>
        <v/>
      </c>
      <c r="I3055" s="24" t="n"/>
      <c r="J3055" s="22">
        <f t="array" ref="J3055">IF($D3055="","",IF($I3055="","(trống REF)",IFERROR(INDEX(MASTER_SOURCE!$B$2:$B$495,MATCH($I3055,MASTER_SOURCE!$A$2:$A$495,0)),"(REF không có trong MASTER_SOURCE)")))</f>
        <v/>
      </c>
      <c r="K3055" s="22">
        <f t="array" ref="K3055">IF($D3055="","",IFERROR(INDEX(MASTER_SOURCE!$C$2:$C$495,MATCH($I3055,MASTER_SOURCE!$A$2:$A$495,0)),""))</f>
        <v/>
      </c>
      <c r="L3055" s="22">
        <f t="array" ref="L3055">IF($D3055="","",IFERROR(INDEX(MASTER_SOURCE!$D$2:$D$495,MATCH($I3055,MASTER_SOURCE!$A$2:$A$495,0)),""))</f>
        <v/>
      </c>
      <c r="M3055" s="24" t="n"/>
      <c r="N3055" s="24" t="n"/>
      <c r="O3055" s="24" t="n"/>
      <c r="P3055" s="24" t="n"/>
      <c r="Q3055" s="22">
        <f>IF($D3055="","",IF(AND(OR(DANH_MUC!$L$5&lt;&gt;"Có",M3055="Có"),OR(DANH_MUC!$L$6&lt;&gt;"Có",N3055="Có"),OR(DANH_MUC!$L$7&lt;&gt;"Có",O3055="Có"),OR(DANH_MUC!$L$8&lt;&gt;"Có",P3055="Có")),"Có","Không"))</f>
        <v/>
      </c>
      <c r="R3055" s="22">
        <f>IF($D3055="","",IF(COUNTIF($D$2:$D3055,$D3055)&gt;1,"Trùng",""))</f>
        <v/>
      </c>
      <c r="S3055" s="22">
        <f>IF($D3055="","",IF(AND(LEN($D3055)=10,LEFT($D3055,1)="0",ISNUMBER(--$D3055)),"Có","Không"))</f>
        <v/>
      </c>
      <c r="T3055" s="22">
        <f>IF($D3055="","",IF(AND($C3055&lt;&gt;"",$Q3055="Có",$R3055="",$S3055="Có",AND($L3055&lt;&gt;"",OR($L3055&lt;&gt;"Chưa xác định",DANH_MUC!$L$9="Có"))),"Có","Không"))</f>
        <v/>
      </c>
      <c r="U3055" s="22">
        <f>IF(OR($D3055="",$T3055="Có"),"",IF($C3055="","Thiếu họ tên; ","")&amp;IF($S3055&lt;&gt;"Có","SĐT sai định dạng; ","")&amp;IF($R3055="Trùng","Trùng SĐT; ","")&amp;IF($Q3055&lt;&gt;"Có","Thiếu đồng ý bắt buộc; ","")&amp;IF($L3055="","Thiếu/sai Mã REF; ",IF(AND($L3055="Chưa xác định",DANH_MUC!$L$9&lt;&gt;"Có"),"Nguồn chưa xác định; ","")))</f>
        <v/>
      </c>
      <c r="V3055" s="22">
        <f>IF(OR($D3055="",$R3055="Trùng"),"",IF(COUNTIF(ORDERS!$C$2:$C$4995,$D3055)&gt;0,"Có","Không"))</f>
        <v/>
      </c>
      <c r="W3055" s="22">
        <f>IF(OR($D3055="",$R3055="Trùng"),"",COUNTIFS(ORDERS!$C$2:$C$4995,$D3055,ORDERS!$L$2:$L$4995,"Đã chuyển khoản"))</f>
        <v/>
      </c>
      <c r="X3055" s="23">
        <f>IF(OR($D3055="",$R3055="Trùng"),"",SUMIFS(ORDERS!$J$2:$J$4995,ORDERS!$C$2:$C$4995,$D3055,ORDERS!$L$2:$L$4995,"Đã chuyển khoản"))</f>
        <v/>
      </c>
      <c r="Y3055" s="24" t="n"/>
    </row>
    <row r="3056" ht="14.25" customHeight="1" s="40">
      <c r="A3056" s="24" t="n"/>
      <c r="B3056" s="27" t="n"/>
      <c r="C3056" s="24" t="n"/>
      <c r="D3056" s="28" t="n"/>
      <c r="E3056" s="29" t="n"/>
      <c r="F3056" s="24" t="n"/>
      <c r="G3056" s="24" t="n"/>
      <c r="H3056" s="21">
        <f>IF(ISNUMBER($B3056),INT($B3056)-WEEKDAY($B3056,2)+1,"")</f>
        <v/>
      </c>
      <c r="I3056" s="24" t="n"/>
      <c r="J3056" s="22">
        <f t="array" ref="J3056">IF($D3056="","",IF($I3056="","(trống REF)",IFERROR(INDEX(MASTER_SOURCE!$B$2:$B$495,MATCH($I3056,MASTER_SOURCE!$A$2:$A$495,0)),"(REF không có trong MASTER_SOURCE)")))</f>
        <v/>
      </c>
      <c r="K3056" s="22">
        <f t="array" ref="K3056">IF($D3056="","",IFERROR(INDEX(MASTER_SOURCE!$C$2:$C$495,MATCH($I3056,MASTER_SOURCE!$A$2:$A$495,0)),""))</f>
        <v/>
      </c>
      <c r="L3056" s="22">
        <f t="array" ref="L3056">IF($D3056="","",IFERROR(INDEX(MASTER_SOURCE!$D$2:$D$495,MATCH($I3056,MASTER_SOURCE!$A$2:$A$495,0)),""))</f>
        <v/>
      </c>
      <c r="M3056" s="24" t="n"/>
      <c r="N3056" s="24" t="n"/>
      <c r="O3056" s="24" t="n"/>
      <c r="P3056" s="24" t="n"/>
      <c r="Q3056" s="22">
        <f>IF($D3056="","",IF(AND(OR(DANH_MUC!$L$5&lt;&gt;"Có",M3056="Có"),OR(DANH_MUC!$L$6&lt;&gt;"Có",N3056="Có"),OR(DANH_MUC!$L$7&lt;&gt;"Có",O3056="Có"),OR(DANH_MUC!$L$8&lt;&gt;"Có",P3056="Có")),"Có","Không"))</f>
        <v/>
      </c>
      <c r="R3056" s="22">
        <f>IF($D3056="","",IF(COUNTIF($D$2:$D3056,$D3056)&gt;1,"Trùng",""))</f>
        <v/>
      </c>
      <c r="S3056" s="22">
        <f>IF($D3056="","",IF(AND(LEN($D3056)=10,LEFT($D3056,1)="0",ISNUMBER(--$D3056)),"Có","Không"))</f>
        <v/>
      </c>
      <c r="T3056" s="22">
        <f>IF($D3056="","",IF(AND($C3056&lt;&gt;"",$Q3056="Có",$R3056="",$S3056="Có",AND($L3056&lt;&gt;"",OR($L3056&lt;&gt;"Chưa xác định",DANH_MUC!$L$9="Có"))),"Có","Không"))</f>
        <v/>
      </c>
      <c r="U3056" s="22">
        <f>IF(OR($D3056="",$T3056="Có"),"",IF($C3056="","Thiếu họ tên; ","")&amp;IF($S3056&lt;&gt;"Có","SĐT sai định dạng; ","")&amp;IF($R3056="Trùng","Trùng SĐT; ","")&amp;IF($Q3056&lt;&gt;"Có","Thiếu đồng ý bắt buộc; ","")&amp;IF($L3056="","Thiếu/sai Mã REF; ",IF(AND($L3056="Chưa xác định",DANH_MUC!$L$9&lt;&gt;"Có"),"Nguồn chưa xác định; ","")))</f>
        <v/>
      </c>
      <c r="V3056" s="22">
        <f>IF(OR($D3056="",$R3056="Trùng"),"",IF(COUNTIF(ORDERS!$C$2:$C$4995,$D3056)&gt;0,"Có","Không"))</f>
        <v/>
      </c>
      <c r="W3056" s="22">
        <f>IF(OR($D3056="",$R3056="Trùng"),"",COUNTIFS(ORDERS!$C$2:$C$4995,$D3056,ORDERS!$L$2:$L$4995,"Đã chuyển khoản"))</f>
        <v/>
      </c>
      <c r="X3056" s="23">
        <f>IF(OR($D3056="",$R3056="Trùng"),"",SUMIFS(ORDERS!$J$2:$J$4995,ORDERS!$C$2:$C$4995,$D3056,ORDERS!$L$2:$L$4995,"Đã chuyển khoản"))</f>
        <v/>
      </c>
      <c r="Y3056" s="24" t="n"/>
    </row>
    <row r="3057" ht="14.25" customHeight="1" s="40">
      <c r="A3057" s="24" t="n"/>
      <c r="B3057" s="27" t="n"/>
      <c r="C3057" s="24" t="n"/>
      <c r="D3057" s="28" t="n"/>
      <c r="E3057" s="29" t="n"/>
      <c r="F3057" s="24" t="n"/>
      <c r="G3057" s="24" t="n"/>
      <c r="H3057" s="21">
        <f>IF(ISNUMBER($B3057),INT($B3057)-WEEKDAY($B3057,2)+1,"")</f>
        <v/>
      </c>
      <c r="I3057" s="24" t="n"/>
      <c r="J3057" s="22">
        <f t="array" ref="J3057">IF($D3057="","",IF($I3057="","(trống REF)",IFERROR(INDEX(MASTER_SOURCE!$B$2:$B$495,MATCH($I3057,MASTER_SOURCE!$A$2:$A$495,0)),"(REF không có trong MASTER_SOURCE)")))</f>
        <v/>
      </c>
      <c r="K3057" s="22">
        <f t="array" ref="K3057">IF($D3057="","",IFERROR(INDEX(MASTER_SOURCE!$C$2:$C$495,MATCH($I3057,MASTER_SOURCE!$A$2:$A$495,0)),""))</f>
        <v/>
      </c>
      <c r="L3057" s="22">
        <f t="array" ref="L3057">IF($D3057="","",IFERROR(INDEX(MASTER_SOURCE!$D$2:$D$495,MATCH($I3057,MASTER_SOURCE!$A$2:$A$495,0)),""))</f>
        <v/>
      </c>
      <c r="M3057" s="24" t="n"/>
      <c r="N3057" s="24" t="n"/>
      <c r="O3057" s="24" t="n"/>
      <c r="P3057" s="24" t="n"/>
      <c r="Q3057" s="22">
        <f>IF($D3057="","",IF(AND(OR(DANH_MUC!$L$5&lt;&gt;"Có",M3057="Có"),OR(DANH_MUC!$L$6&lt;&gt;"Có",N3057="Có"),OR(DANH_MUC!$L$7&lt;&gt;"Có",O3057="Có"),OR(DANH_MUC!$L$8&lt;&gt;"Có",P3057="Có")),"Có","Không"))</f>
        <v/>
      </c>
      <c r="R3057" s="22">
        <f>IF($D3057="","",IF(COUNTIF($D$2:$D3057,$D3057)&gt;1,"Trùng",""))</f>
        <v/>
      </c>
      <c r="S3057" s="22">
        <f>IF($D3057="","",IF(AND(LEN($D3057)=10,LEFT($D3057,1)="0",ISNUMBER(--$D3057)),"Có","Không"))</f>
        <v/>
      </c>
      <c r="T3057" s="22">
        <f>IF($D3057="","",IF(AND($C3057&lt;&gt;"",$Q3057="Có",$R3057="",$S3057="Có",AND($L3057&lt;&gt;"",OR($L3057&lt;&gt;"Chưa xác định",DANH_MUC!$L$9="Có"))),"Có","Không"))</f>
        <v/>
      </c>
      <c r="U3057" s="22">
        <f>IF(OR($D3057="",$T3057="Có"),"",IF($C3057="","Thiếu họ tên; ","")&amp;IF($S3057&lt;&gt;"Có","SĐT sai định dạng; ","")&amp;IF($R3057="Trùng","Trùng SĐT; ","")&amp;IF($Q3057&lt;&gt;"Có","Thiếu đồng ý bắt buộc; ","")&amp;IF($L3057="","Thiếu/sai Mã REF; ",IF(AND($L3057="Chưa xác định",DANH_MUC!$L$9&lt;&gt;"Có"),"Nguồn chưa xác định; ","")))</f>
        <v/>
      </c>
      <c r="V3057" s="22">
        <f>IF(OR($D3057="",$R3057="Trùng"),"",IF(COUNTIF(ORDERS!$C$2:$C$4995,$D3057)&gt;0,"Có","Không"))</f>
        <v/>
      </c>
      <c r="W3057" s="22">
        <f>IF(OR($D3057="",$R3057="Trùng"),"",COUNTIFS(ORDERS!$C$2:$C$4995,$D3057,ORDERS!$L$2:$L$4995,"Đã chuyển khoản"))</f>
        <v/>
      </c>
      <c r="X3057" s="23">
        <f>IF(OR($D3057="",$R3057="Trùng"),"",SUMIFS(ORDERS!$J$2:$J$4995,ORDERS!$C$2:$C$4995,$D3057,ORDERS!$L$2:$L$4995,"Đã chuyển khoản"))</f>
        <v/>
      </c>
      <c r="Y3057" s="24" t="n"/>
    </row>
    <row r="3058" ht="14.25" customHeight="1" s="40">
      <c r="A3058" s="24" t="n"/>
      <c r="B3058" s="27" t="n"/>
      <c r="C3058" s="24" t="n"/>
      <c r="D3058" s="28" t="n"/>
      <c r="E3058" s="29" t="n"/>
      <c r="F3058" s="24" t="n"/>
      <c r="G3058" s="24" t="n"/>
      <c r="H3058" s="21">
        <f>IF(ISNUMBER($B3058),INT($B3058)-WEEKDAY($B3058,2)+1,"")</f>
        <v/>
      </c>
      <c r="I3058" s="24" t="n"/>
      <c r="J3058" s="22">
        <f t="array" ref="J3058">IF($D3058="","",IF($I3058="","(trống REF)",IFERROR(INDEX(MASTER_SOURCE!$B$2:$B$495,MATCH($I3058,MASTER_SOURCE!$A$2:$A$495,0)),"(REF không có trong MASTER_SOURCE)")))</f>
        <v/>
      </c>
      <c r="K3058" s="22">
        <f t="array" ref="K3058">IF($D3058="","",IFERROR(INDEX(MASTER_SOURCE!$C$2:$C$495,MATCH($I3058,MASTER_SOURCE!$A$2:$A$495,0)),""))</f>
        <v/>
      </c>
      <c r="L3058" s="22">
        <f t="array" ref="L3058">IF($D3058="","",IFERROR(INDEX(MASTER_SOURCE!$D$2:$D$495,MATCH($I3058,MASTER_SOURCE!$A$2:$A$495,0)),""))</f>
        <v/>
      </c>
      <c r="M3058" s="24" t="n"/>
      <c r="N3058" s="24" t="n"/>
      <c r="O3058" s="24" t="n"/>
      <c r="P3058" s="24" t="n"/>
      <c r="Q3058" s="22">
        <f>IF($D3058="","",IF(AND(OR(DANH_MUC!$L$5&lt;&gt;"Có",M3058="Có"),OR(DANH_MUC!$L$6&lt;&gt;"Có",N3058="Có"),OR(DANH_MUC!$L$7&lt;&gt;"Có",O3058="Có"),OR(DANH_MUC!$L$8&lt;&gt;"Có",P3058="Có")),"Có","Không"))</f>
        <v/>
      </c>
      <c r="R3058" s="22">
        <f>IF($D3058="","",IF(COUNTIF($D$2:$D3058,$D3058)&gt;1,"Trùng",""))</f>
        <v/>
      </c>
      <c r="S3058" s="22">
        <f>IF($D3058="","",IF(AND(LEN($D3058)=10,LEFT($D3058,1)="0",ISNUMBER(--$D3058)),"Có","Không"))</f>
        <v/>
      </c>
      <c r="T3058" s="22">
        <f>IF($D3058="","",IF(AND($C3058&lt;&gt;"",$Q3058="Có",$R3058="",$S3058="Có",AND($L3058&lt;&gt;"",OR($L3058&lt;&gt;"Chưa xác định",DANH_MUC!$L$9="Có"))),"Có","Không"))</f>
        <v/>
      </c>
      <c r="U3058" s="22">
        <f>IF(OR($D3058="",$T3058="Có"),"",IF($C3058="","Thiếu họ tên; ","")&amp;IF($S3058&lt;&gt;"Có","SĐT sai định dạng; ","")&amp;IF($R3058="Trùng","Trùng SĐT; ","")&amp;IF($Q3058&lt;&gt;"Có","Thiếu đồng ý bắt buộc; ","")&amp;IF($L3058="","Thiếu/sai Mã REF; ",IF(AND($L3058="Chưa xác định",DANH_MUC!$L$9&lt;&gt;"Có"),"Nguồn chưa xác định; ","")))</f>
        <v/>
      </c>
      <c r="V3058" s="22">
        <f>IF(OR($D3058="",$R3058="Trùng"),"",IF(COUNTIF(ORDERS!$C$2:$C$4995,$D3058)&gt;0,"Có","Không"))</f>
        <v/>
      </c>
      <c r="W3058" s="22">
        <f>IF(OR($D3058="",$R3058="Trùng"),"",COUNTIFS(ORDERS!$C$2:$C$4995,$D3058,ORDERS!$L$2:$L$4995,"Đã chuyển khoản"))</f>
        <v/>
      </c>
      <c r="X3058" s="23">
        <f>IF(OR($D3058="",$R3058="Trùng"),"",SUMIFS(ORDERS!$J$2:$J$4995,ORDERS!$C$2:$C$4995,$D3058,ORDERS!$L$2:$L$4995,"Đã chuyển khoản"))</f>
        <v/>
      </c>
      <c r="Y3058" s="24" t="n"/>
    </row>
    <row r="3059" ht="14.25" customHeight="1" s="40">
      <c r="A3059" s="24" t="n"/>
      <c r="B3059" s="27" t="n"/>
      <c r="C3059" s="24" t="n"/>
      <c r="D3059" s="28" t="n"/>
      <c r="E3059" s="29" t="n"/>
      <c r="F3059" s="24" t="n"/>
      <c r="G3059" s="24" t="n"/>
      <c r="H3059" s="21">
        <f>IF(ISNUMBER($B3059),INT($B3059)-WEEKDAY($B3059,2)+1,"")</f>
        <v/>
      </c>
      <c r="I3059" s="24" t="n"/>
      <c r="J3059" s="22">
        <f t="array" ref="J3059">IF($D3059="","",IF($I3059="","(trống REF)",IFERROR(INDEX(MASTER_SOURCE!$B$2:$B$495,MATCH($I3059,MASTER_SOURCE!$A$2:$A$495,0)),"(REF không có trong MASTER_SOURCE)")))</f>
        <v/>
      </c>
      <c r="K3059" s="22">
        <f t="array" ref="K3059">IF($D3059="","",IFERROR(INDEX(MASTER_SOURCE!$C$2:$C$495,MATCH($I3059,MASTER_SOURCE!$A$2:$A$495,0)),""))</f>
        <v/>
      </c>
      <c r="L3059" s="22">
        <f t="array" ref="L3059">IF($D3059="","",IFERROR(INDEX(MASTER_SOURCE!$D$2:$D$495,MATCH($I3059,MASTER_SOURCE!$A$2:$A$495,0)),""))</f>
        <v/>
      </c>
      <c r="M3059" s="24" t="n"/>
      <c r="N3059" s="24" t="n"/>
      <c r="O3059" s="24" t="n"/>
      <c r="P3059" s="24" t="n"/>
      <c r="Q3059" s="22">
        <f>IF($D3059="","",IF(AND(OR(DANH_MUC!$L$5&lt;&gt;"Có",M3059="Có"),OR(DANH_MUC!$L$6&lt;&gt;"Có",N3059="Có"),OR(DANH_MUC!$L$7&lt;&gt;"Có",O3059="Có"),OR(DANH_MUC!$L$8&lt;&gt;"Có",P3059="Có")),"Có","Không"))</f>
        <v/>
      </c>
      <c r="R3059" s="22">
        <f>IF($D3059="","",IF(COUNTIF($D$2:$D3059,$D3059)&gt;1,"Trùng",""))</f>
        <v/>
      </c>
      <c r="S3059" s="22">
        <f>IF($D3059="","",IF(AND(LEN($D3059)=10,LEFT($D3059,1)="0",ISNUMBER(--$D3059)),"Có","Không"))</f>
        <v/>
      </c>
      <c r="T3059" s="22">
        <f>IF($D3059="","",IF(AND($C3059&lt;&gt;"",$Q3059="Có",$R3059="",$S3059="Có",AND($L3059&lt;&gt;"",OR($L3059&lt;&gt;"Chưa xác định",DANH_MUC!$L$9="Có"))),"Có","Không"))</f>
        <v/>
      </c>
      <c r="U3059" s="22">
        <f>IF(OR($D3059="",$T3059="Có"),"",IF($C3059="","Thiếu họ tên; ","")&amp;IF($S3059&lt;&gt;"Có","SĐT sai định dạng; ","")&amp;IF($R3059="Trùng","Trùng SĐT; ","")&amp;IF($Q3059&lt;&gt;"Có","Thiếu đồng ý bắt buộc; ","")&amp;IF($L3059="","Thiếu/sai Mã REF; ",IF(AND($L3059="Chưa xác định",DANH_MUC!$L$9&lt;&gt;"Có"),"Nguồn chưa xác định; ","")))</f>
        <v/>
      </c>
      <c r="V3059" s="22">
        <f>IF(OR($D3059="",$R3059="Trùng"),"",IF(COUNTIF(ORDERS!$C$2:$C$4995,$D3059)&gt;0,"Có","Không"))</f>
        <v/>
      </c>
      <c r="W3059" s="22">
        <f>IF(OR($D3059="",$R3059="Trùng"),"",COUNTIFS(ORDERS!$C$2:$C$4995,$D3059,ORDERS!$L$2:$L$4995,"Đã chuyển khoản"))</f>
        <v/>
      </c>
      <c r="X3059" s="23">
        <f>IF(OR($D3059="",$R3059="Trùng"),"",SUMIFS(ORDERS!$J$2:$J$4995,ORDERS!$C$2:$C$4995,$D3059,ORDERS!$L$2:$L$4995,"Đã chuyển khoản"))</f>
        <v/>
      </c>
      <c r="Y3059" s="24" t="n"/>
    </row>
    <row r="3060" ht="14.25" customHeight="1" s="40">
      <c r="A3060" s="24" t="n"/>
      <c r="B3060" s="27" t="n"/>
      <c r="C3060" s="24" t="n"/>
      <c r="D3060" s="28" t="n"/>
      <c r="E3060" s="29" t="n"/>
      <c r="F3060" s="24" t="n"/>
      <c r="G3060" s="24" t="n"/>
      <c r="H3060" s="21">
        <f>IF(ISNUMBER($B3060),INT($B3060)-WEEKDAY($B3060,2)+1,"")</f>
        <v/>
      </c>
      <c r="I3060" s="24" t="n"/>
      <c r="J3060" s="22">
        <f t="array" ref="J3060">IF($D3060="","",IF($I3060="","(trống REF)",IFERROR(INDEX(MASTER_SOURCE!$B$2:$B$495,MATCH($I3060,MASTER_SOURCE!$A$2:$A$495,0)),"(REF không có trong MASTER_SOURCE)")))</f>
        <v/>
      </c>
      <c r="K3060" s="22">
        <f t="array" ref="K3060">IF($D3060="","",IFERROR(INDEX(MASTER_SOURCE!$C$2:$C$495,MATCH($I3060,MASTER_SOURCE!$A$2:$A$495,0)),""))</f>
        <v/>
      </c>
      <c r="L3060" s="22">
        <f t="array" ref="L3060">IF($D3060="","",IFERROR(INDEX(MASTER_SOURCE!$D$2:$D$495,MATCH($I3060,MASTER_SOURCE!$A$2:$A$495,0)),""))</f>
        <v/>
      </c>
      <c r="M3060" s="24" t="n"/>
      <c r="N3060" s="24" t="n"/>
      <c r="O3060" s="24" t="n"/>
      <c r="P3060" s="24" t="n"/>
      <c r="Q3060" s="22">
        <f>IF($D3060="","",IF(AND(OR(DANH_MUC!$L$5&lt;&gt;"Có",M3060="Có"),OR(DANH_MUC!$L$6&lt;&gt;"Có",N3060="Có"),OR(DANH_MUC!$L$7&lt;&gt;"Có",O3060="Có"),OR(DANH_MUC!$L$8&lt;&gt;"Có",P3060="Có")),"Có","Không"))</f>
        <v/>
      </c>
      <c r="R3060" s="22">
        <f>IF($D3060="","",IF(COUNTIF($D$2:$D3060,$D3060)&gt;1,"Trùng",""))</f>
        <v/>
      </c>
      <c r="S3060" s="22">
        <f>IF($D3060="","",IF(AND(LEN($D3060)=10,LEFT($D3060,1)="0",ISNUMBER(--$D3060)),"Có","Không"))</f>
        <v/>
      </c>
      <c r="T3060" s="22">
        <f>IF($D3060="","",IF(AND($C3060&lt;&gt;"",$Q3060="Có",$R3060="",$S3060="Có",AND($L3060&lt;&gt;"",OR($L3060&lt;&gt;"Chưa xác định",DANH_MUC!$L$9="Có"))),"Có","Không"))</f>
        <v/>
      </c>
      <c r="U3060" s="22">
        <f>IF(OR($D3060="",$T3060="Có"),"",IF($C3060="","Thiếu họ tên; ","")&amp;IF($S3060&lt;&gt;"Có","SĐT sai định dạng; ","")&amp;IF($R3060="Trùng","Trùng SĐT; ","")&amp;IF($Q3060&lt;&gt;"Có","Thiếu đồng ý bắt buộc; ","")&amp;IF($L3060="","Thiếu/sai Mã REF; ",IF(AND($L3060="Chưa xác định",DANH_MUC!$L$9&lt;&gt;"Có"),"Nguồn chưa xác định; ","")))</f>
        <v/>
      </c>
      <c r="V3060" s="22">
        <f>IF(OR($D3060="",$R3060="Trùng"),"",IF(COUNTIF(ORDERS!$C$2:$C$4995,$D3060)&gt;0,"Có","Không"))</f>
        <v/>
      </c>
      <c r="W3060" s="22">
        <f>IF(OR($D3060="",$R3060="Trùng"),"",COUNTIFS(ORDERS!$C$2:$C$4995,$D3060,ORDERS!$L$2:$L$4995,"Đã chuyển khoản"))</f>
        <v/>
      </c>
      <c r="X3060" s="23">
        <f>IF(OR($D3060="",$R3060="Trùng"),"",SUMIFS(ORDERS!$J$2:$J$4995,ORDERS!$C$2:$C$4995,$D3060,ORDERS!$L$2:$L$4995,"Đã chuyển khoản"))</f>
        <v/>
      </c>
      <c r="Y3060" s="24" t="n"/>
    </row>
    <row r="3061" ht="14.25" customHeight="1" s="40">
      <c r="A3061" s="24" t="n"/>
      <c r="B3061" s="27" t="n"/>
      <c r="C3061" s="24" t="n"/>
      <c r="D3061" s="28" t="n"/>
      <c r="E3061" s="29" t="n"/>
      <c r="F3061" s="24" t="n"/>
      <c r="G3061" s="24" t="n"/>
      <c r="H3061" s="21">
        <f>IF(ISNUMBER($B3061),INT($B3061)-WEEKDAY($B3061,2)+1,"")</f>
        <v/>
      </c>
      <c r="I3061" s="24" t="n"/>
      <c r="J3061" s="22">
        <f t="array" ref="J3061">IF($D3061="","",IF($I3061="","(trống REF)",IFERROR(INDEX(MASTER_SOURCE!$B$2:$B$495,MATCH($I3061,MASTER_SOURCE!$A$2:$A$495,0)),"(REF không có trong MASTER_SOURCE)")))</f>
        <v/>
      </c>
      <c r="K3061" s="22">
        <f t="array" ref="K3061">IF($D3061="","",IFERROR(INDEX(MASTER_SOURCE!$C$2:$C$495,MATCH($I3061,MASTER_SOURCE!$A$2:$A$495,0)),""))</f>
        <v/>
      </c>
      <c r="L3061" s="22">
        <f t="array" ref="L3061">IF($D3061="","",IFERROR(INDEX(MASTER_SOURCE!$D$2:$D$495,MATCH($I3061,MASTER_SOURCE!$A$2:$A$495,0)),""))</f>
        <v/>
      </c>
      <c r="M3061" s="24" t="n"/>
      <c r="N3061" s="24" t="n"/>
      <c r="O3061" s="24" t="n"/>
      <c r="P3061" s="24" t="n"/>
      <c r="Q3061" s="22">
        <f>IF($D3061="","",IF(AND(OR(DANH_MUC!$L$5&lt;&gt;"Có",M3061="Có"),OR(DANH_MUC!$L$6&lt;&gt;"Có",N3061="Có"),OR(DANH_MUC!$L$7&lt;&gt;"Có",O3061="Có"),OR(DANH_MUC!$L$8&lt;&gt;"Có",P3061="Có")),"Có","Không"))</f>
        <v/>
      </c>
      <c r="R3061" s="22">
        <f>IF($D3061="","",IF(COUNTIF($D$2:$D3061,$D3061)&gt;1,"Trùng",""))</f>
        <v/>
      </c>
      <c r="S3061" s="22">
        <f>IF($D3061="","",IF(AND(LEN($D3061)=10,LEFT($D3061,1)="0",ISNUMBER(--$D3061)),"Có","Không"))</f>
        <v/>
      </c>
      <c r="T3061" s="22">
        <f>IF($D3061="","",IF(AND($C3061&lt;&gt;"",$Q3061="Có",$R3061="",$S3061="Có",AND($L3061&lt;&gt;"",OR($L3061&lt;&gt;"Chưa xác định",DANH_MUC!$L$9="Có"))),"Có","Không"))</f>
        <v/>
      </c>
      <c r="U3061" s="22">
        <f>IF(OR($D3061="",$T3061="Có"),"",IF($C3061="","Thiếu họ tên; ","")&amp;IF($S3061&lt;&gt;"Có","SĐT sai định dạng; ","")&amp;IF($R3061="Trùng","Trùng SĐT; ","")&amp;IF($Q3061&lt;&gt;"Có","Thiếu đồng ý bắt buộc; ","")&amp;IF($L3061="","Thiếu/sai Mã REF; ",IF(AND($L3061="Chưa xác định",DANH_MUC!$L$9&lt;&gt;"Có"),"Nguồn chưa xác định; ","")))</f>
        <v/>
      </c>
      <c r="V3061" s="22">
        <f>IF(OR($D3061="",$R3061="Trùng"),"",IF(COUNTIF(ORDERS!$C$2:$C$4995,$D3061)&gt;0,"Có","Không"))</f>
        <v/>
      </c>
      <c r="W3061" s="22">
        <f>IF(OR($D3061="",$R3061="Trùng"),"",COUNTIFS(ORDERS!$C$2:$C$4995,$D3061,ORDERS!$L$2:$L$4995,"Đã chuyển khoản"))</f>
        <v/>
      </c>
      <c r="X3061" s="23">
        <f>IF(OR($D3061="",$R3061="Trùng"),"",SUMIFS(ORDERS!$J$2:$J$4995,ORDERS!$C$2:$C$4995,$D3061,ORDERS!$L$2:$L$4995,"Đã chuyển khoản"))</f>
        <v/>
      </c>
      <c r="Y3061" s="24" t="n"/>
    </row>
    <row r="3062" ht="14.25" customHeight="1" s="40">
      <c r="A3062" s="24" t="n"/>
      <c r="B3062" s="27" t="n"/>
      <c r="C3062" s="24" t="n"/>
      <c r="D3062" s="28" t="n"/>
      <c r="E3062" s="29" t="n"/>
      <c r="F3062" s="24" t="n"/>
      <c r="G3062" s="24" t="n"/>
      <c r="H3062" s="21">
        <f>IF(ISNUMBER($B3062),INT($B3062)-WEEKDAY($B3062,2)+1,"")</f>
        <v/>
      </c>
      <c r="I3062" s="24" t="n"/>
      <c r="J3062" s="22">
        <f t="array" ref="J3062">IF($D3062="","",IF($I3062="","(trống REF)",IFERROR(INDEX(MASTER_SOURCE!$B$2:$B$495,MATCH($I3062,MASTER_SOURCE!$A$2:$A$495,0)),"(REF không có trong MASTER_SOURCE)")))</f>
        <v/>
      </c>
      <c r="K3062" s="22">
        <f t="array" ref="K3062">IF($D3062="","",IFERROR(INDEX(MASTER_SOURCE!$C$2:$C$495,MATCH($I3062,MASTER_SOURCE!$A$2:$A$495,0)),""))</f>
        <v/>
      </c>
      <c r="L3062" s="22">
        <f t="array" ref="L3062">IF($D3062="","",IFERROR(INDEX(MASTER_SOURCE!$D$2:$D$495,MATCH($I3062,MASTER_SOURCE!$A$2:$A$495,0)),""))</f>
        <v/>
      </c>
      <c r="M3062" s="24" t="n"/>
      <c r="N3062" s="24" t="n"/>
      <c r="O3062" s="24" t="n"/>
      <c r="P3062" s="24" t="n"/>
      <c r="Q3062" s="22">
        <f>IF($D3062="","",IF(AND(OR(DANH_MUC!$L$5&lt;&gt;"Có",M3062="Có"),OR(DANH_MUC!$L$6&lt;&gt;"Có",N3062="Có"),OR(DANH_MUC!$L$7&lt;&gt;"Có",O3062="Có"),OR(DANH_MUC!$L$8&lt;&gt;"Có",P3062="Có")),"Có","Không"))</f>
        <v/>
      </c>
      <c r="R3062" s="22">
        <f>IF($D3062="","",IF(COUNTIF($D$2:$D3062,$D3062)&gt;1,"Trùng",""))</f>
        <v/>
      </c>
      <c r="S3062" s="22">
        <f>IF($D3062="","",IF(AND(LEN($D3062)=10,LEFT($D3062,1)="0",ISNUMBER(--$D3062)),"Có","Không"))</f>
        <v/>
      </c>
      <c r="T3062" s="22">
        <f>IF($D3062="","",IF(AND($C3062&lt;&gt;"",$Q3062="Có",$R3062="",$S3062="Có",AND($L3062&lt;&gt;"",OR($L3062&lt;&gt;"Chưa xác định",DANH_MUC!$L$9="Có"))),"Có","Không"))</f>
        <v/>
      </c>
      <c r="U3062" s="22">
        <f>IF(OR($D3062="",$T3062="Có"),"",IF($C3062="","Thiếu họ tên; ","")&amp;IF($S3062&lt;&gt;"Có","SĐT sai định dạng; ","")&amp;IF($R3062="Trùng","Trùng SĐT; ","")&amp;IF($Q3062&lt;&gt;"Có","Thiếu đồng ý bắt buộc; ","")&amp;IF($L3062="","Thiếu/sai Mã REF; ",IF(AND($L3062="Chưa xác định",DANH_MUC!$L$9&lt;&gt;"Có"),"Nguồn chưa xác định; ","")))</f>
        <v/>
      </c>
      <c r="V3062" s="22">
        <f>IF(OR($D3062="",$R3062="Trùng"),"",IF(COUNTIF(ORDERS!$C$2:$C$4995,$D3062)&gt;0,"Có","Không"))</f>
        <v/>
      </c>
      <c r="W3062" s="22">
        <f>IF(OR($D3062="",$R3062="Trùng"),"",COUNTIFS(ORDERS!$C$2:$C$4995,$D3062,ORDERS!$L$2:$L$4995,"Đã chuyển khoản"))</f>
        <v/>
      </c>
      <c r="X3062" s="23">
        <f>IF(OR($D3062="",$R3062="Trùng"),"",SUMIFS(ORDERS!$J$2:$J$4995,ORDERS!$C$2:$C$4995,$D3062,ORDERS!$L$2:$L$4995,"Đã chuyển khoản"))</f>
        <v/>
      </c>
      <c r="Y3062" s="24" t="n"/>
    </row>
    <row r="3063" ht="14.25" customHeight="1" s="40">
      <c r="A3063" s="24" t="n"/>
      <c r="B3063" s="27" t="n"/>
      <c r="C3063" s="24" t="n"/>
      <c r="D3063" s="28" t="n"/>
      <c r="E3063" s="29" t="n"/>
      <c r="F3063" s="24" t="n"/>
      <c r="G3063" s="24" t="n"/>
      <c r="H3063" s="21">
        <f>IF(ISNUMBER($B3063),INT($B3063)-WEEKDAY($B3063,2)+1,"")</f>
        <v/>
      </c>
      <c r="I3063" s="24" t="n"/>
      <c r="J3063" s="22">
        <f t="array" ref="J3063">IF($D3063="","",IF($I3063="","(trống REF)",IFERROR(INDEX(MASTER_SOURCE!$B$2:$B$495,MATCH($I3063,MASTER_SOURCE!$A$2:$A$495,0)),"(REF không có trong MASTER_SOURCE)")))</f>
        <v/>
      </c>
      <c r="K3063" s="22">
        <f t="array" ref="K3063">IF($D3063="","",IFERROR(INDEX(MASTER_SOURCE!$C$2:$C$495,MATCH($I3063,MASTER_SOURCE!$A$2:$A$495,0)),""))</f>
        <v/>
      </c>
      <c r="L3063" s="22">
        <f t="array" ref="L3063">IF($D3063="","",IFERROR(INDEX(MASTER_SOURCE!$D$2:$D$495,MATCH($I3063,MASTER_SOURCE!$A$2:$A$495,0)),""))</f>
        <v/>
      </c>
      <c r="M3063" s="24" t="n"/>
      <c r="N3063" s="24" t="n"/>
      <c r="O3063" s="24" t="n"/>
      <c r="P3063" s="24" t="n"/>
      <c r="Q3063" s="22">
        <f>IF($D3063="","",IF(AND(OR(DANH_MUC!$L$5&lt;&gt;"Có",M3063="Có"),OR(DANH_MUC!$L$6&lt;&gt;"Có",N3063="Có"),OR(DANH_MUC!$L$7&lt;&gt;"Có",O3063="Có"),OR(DANH_MUC!$L$8&lt;&gt;"Có",P3063="Có")),"Có","Không"))</f>
        <v/>
      </c>
      <c r="R3063" s="22">
        <f>IF($D3063="","",IF(COUNTIF($D$2:$D3063,$D3063)&gt;1,"Trùng",""))</f>
        <v/>
      </c>
      <c r="S3063" s="22">
        <f>IF($D3063="","",IF(AND(LEN($D3063)=10,LEFT($D3063,1)="0",ISNUMBER(--$D3063)),"Có","Không"))</f>
        <v/>
      </c>
      <c r="T3063" s="22">
        <f>IF($D3063="","",IF(AND($C3063&lt;&gt;"",$Q3063="Có",$R3063="",$S3063="Có",AND($L3063&lt;&gt;"",OR($L3063&lt;&gt;"Chưa xác định",DANH_MUC!$L$9="Có"))),"Có","Không"))</f>
        <v/>
      </c>
      <c r="U3063" s="22">
        <f>IF(OR($D3063="",$T3063="Có"),"",IF($C3063="","Thiếu họ tên; ","")&amp;IF($S3063&lt;&gt;"Có","SĐT sai định dạng; ","")&amp;IF($R3063="Trùng","Trùng SĐT; ","")&amp;IF($Q3063&lt;&gt;"Có","Thiếu đồng ý bắt buộc; ","")&amp;IF($L3063="","Thiếu/sai Mã REF; ",IF(AND($L3063="Chưa xác định",DANH_MUC!$L$9&lt;&gt;"Có"),"Nguồn chưa xác định; ","")))</f>
        <v/>
      </c>
      <c r="V3063" s="22">
        <f>IF(OR($D3063="",$R3063="Trùng"),"",IF(COUNTIF(ORDERS!$C$2:$C$4995,$D3063)&gt;0,"Có","Không"))</f>
        <v/>
      </c>
      <c r="W3063" s="22">
        <f>IF(OR($D3063="",$R3063="Trùng"),"",COUNTIFS(ORDERS!$C$2:$C$4995,$D3063,ORDERS!$L$2:$L$4995,"Đã chuyển khoản"))</f>
        <v/>
      </c>
      <c r="X3063" s="23">
        <f>IF(OR($D3063="",$R3063="Trùng"),"",SUMIFS(ORDERS!$J$2:$J$4995,ORDERS!$C$2:$C$4995,$D3063,ORDERS!$L$2:$L$4995,"Đã chuyển khoản"))</f>
        <v/>
      </c>
      <c r="Y3063" s="24" t="n"/>
    </row>
    <row r="3064" ht="14.25" customHeight="1" s="40">
      <c r="A3064" s="24" t="n"/>
      <c r="B3064" s="27" t="n"/>
      <c r="C3064" s="24" t="n"/>
      <c r="D3064" s="28" t="n"/>
      <c r="E3064" s="29" t="n"/>
      <c r="F3064" s="24" t="n"/>
      <c r="G3064" s="24" t="n"/>
      <c r="H3064" s="21">
        <f>IF(ISNUMBER($B3064),INT($B3064)-WEEKDAY($B3064,2)+1,"")</f>
        <v/>
      </c>
      <c r="I3064" s="24" t="n"/>
      <c r="J3064" s="22">
        <f t="array" ref="J3064">IF($D3064="","",IF($I3064="","(trống REF)",IFERROR(INDEX(MASTER_SOURCE!$B$2:$B$495,MATCH($I3064,MASTER_SOURCE!$A$2:$A$495,0)),"(REF không có trong MASTER_SOURCE)")))</f>
        <v/>
      </c>
      <c r="K3064" s="22">
        <f t="array" ref="K3064">IF($D3064="","",IFERROR(INDEX(MASTER_SOURCE!$C$2:$C$495,MATCH($I3064,MASTER_SOURCE!$A$2:$A$495,0)),""))</f>
        <v/>
      </c>
      <c r="L3064" s="22">
        <f t="array" ref="L3064">IF($D3064="","",IFERROR(INDEX(MASTER_SOURCE!$D$2:$D$495,MATCH($I3064,MASTER_SOURCE!$A$2:$A$495,0)),""))</f>
        <v/>
      </c>
      <c r="M3064" s="24" t="n"/>
      <c r="N3064" s="24" t="n"/>
      <c r="O3064" s="24" t="n"/>
      <c r="P3064" s="24" t="n"/>
      <c r="Q3064" s="22">
        <f>IF($D3064="","",IF(AND(OR(DANH_MUC!$L$5&lt;&gt;"Có",M3064="Có"),OR(DANH_MUC!$L$6&lt;&gt;"Có",N3064="Có"),OR(DANH_MUC!$L$7&lt;&gt;"Có",O3064="Có"),OR(DANH_MUC!$L$8&lt;&gt;"Có",P3064="Có")),"Có","Không"))</f>
        <v/>
      </c>
      <c r="R3064" s="22">
        <f>IF($D3064="","",IF(COUNTIF($D$2:$D3064,$D3064)&gt;1,"Trùng",""))</f>
        <v/>
      </c>
      <c r="S3064" s="22">
        <f>IF($D3064="","",IF(AND(LEN($D3064)=10,LEFT($D3064,1)="0",ISNUMBER(--$D3064)),"Có","Không"))</f>
        <v/>
      </c>
      <c r="T3064" s="22">
        <f>IF($D3064="","",IF(AND($C3064&lt;&gt;"",$Q3064="Có",$R3064="",$S3064="Có",AND($L3064&lt;&gt;"",OR($L3064&lt;&gt;"Chưa xác định",DANH_MUC!$L$9="Có"))),"Có","Không"))</f>
        <v/>
      </c>
      <c r="U3064" s="22">
        <f>IF(OR($D3064="",$T3064="Có"),"",IF($C3064="","Thiếu họ tên; ","")&amp;IF($S3064&lt;&gt;"Có","SĐT sai định dạng; ","")&amp;IF($R3064="Trùng","Trùng SĐT; ","")&amp;IF($Q3064&lt;&gt;"Có","Thiếu đồng ý bắt buộc; ","")&amp;IF($L3064="","Thiếu/sai Mã REF; ",IF(AND($L3064="Chưa xác định",DANH_MUC!$L$9&lt;&gt;"Có"),"Nguồn chưa xác định; ","")))</f>
        <v/>
      </c>
      <c r="V3064" s="22">
        <f>IF(OR($D3064="",$R3064="Trùng"),"",IF(COUNTIF(ORDERS!$C$2:$C$4995,$D3064)&gt;0,"Có","Không"))</f>
        <v/>
      </c>
      <c r="W3064" s="22">
        <f>IF(OR($D3064="",$R3064="Trùng"),"",COUNTIFS(ORDERS!$C$2:$C$4995,$D3064,ORDERS!$L$2:$L$4995,"Đã chuyển khoản"))</f>
        <v/>
      </c>
      <c r="X3064" s="23">
        <f>IF(OR($D3064="",$R3064="Trùng"),"",SUMIFS(ORDERS!$J$2:$J$4995,ORDERS!$C$2:$C$4995,$D3064,ORDERS!$L$2:$L$4995,"Đã chuyển khoản"))</f>
        <v/>
      </c>
      <c r="Y3064" s="24" t="n"/>
    </row>
    <row r="3065" ht="14.25" customHeight="1" s="40">
      <c r="A3065" s="24" t="n"/>
      <c r="B3065" s="27" t="n"/>
      <c r="C3065" s="24" t="n"/>
      <c r="D3065" s="28" t="n"/>
      <c r="E3065" s="29" t="n"/>
      <c r="F3065" s="24" t="n"/>
      <c r="G3065" s="24" t="n"/>
      <c r="H3065" s="21">
        <f>IF(ISNUMBER($B3065),INT($B3065)-WEEKDAY($B3065,2)+1,"")</f>
        <v/>
      </c>
      <c r="I3065" s="24" t="n"/>
      <c r="J3065" s="22">
        <f t="array" ref="J3065">IF($D3065="","",IF($I3065="","(trống REF)",IFERROR(INDEX(MASTER_SOURCE!$B$2:$B$495,MATCH($I3065,MASTER_SOURCE!$A$2:$A$495,0)),"(REF không có trong MASTER_SOURCE)")))</f>
        <v/>
      </c>
      <c r="K3065" s="22">
        <f t="array" ref="K3065">IF($D3065="","",IFERROR(INDEX(MASTER_SOURCE!$C$2:$C$495,MATCH($I3065,MASTER_SOURCE!$A$2:$A$495,0)),""))</f>
        <v/>
      </c>
      <c r="L3065" s="22">
        <f t="array" ref="L3065">IF($D3065="","",IFERROR(INDEX(MASTER_SOURCE!$D$2:$D$495,MATCH($I3065,MASTER_SOURCE!$A$2:$A$495,0)),""))</f>
        <v/>
      </c>
      <c r="M3065" s="24" t="n"/>
      <c r="N3065" s="24" t="n"/>
      <c r="O3065" s="24" t="n"/>
      <c r="P3065" s="24" t="n"/>
      <c r="Q3065" s="22">
        <f>IF($D3065="","",IF(AND(OR(DANH_MUC!$L$5&lt;&gt;"Có",M3065="Có"),OR(DANH_MUC!$L$6&lt;&gt;"Có",N3065="Có"),OR(DANH_MUC!$L$7&lt;&gt;"Có",O3065="Có"),OR(DANH_MUC!$L$8&lt;&gt;"Có",P3065="Có")),"Có","Không"))</f>
        <v/>
      </c>
      <c r="R3065" s="22">
        <f>IF($D3065="","",IF(COUNTIF($D$2:$D3065,$D3065)&gt;1,"Trùng",""))</f>
        <v/>
      </c>
      <c r="S3065" s="22">
        <f>IF($D3065="","",IF(AND(LEN($D3065)=10,LEFT($D3065,1)="0",ISNUMBER(--$D3065)),"Có","Không"))</f>
        <v/>
      </c>
      <c r="T3065" s="22">
        <f>IF($D3065="","",IF(AND($C3065&lt;&gt;"",$Q3065="Có",$R3065="",$S3065="Có",AND($L3065&lt;&gt;"",OR($L3065&lt;&gt;"Chưa xác định",DANH_MUC!$L$9="Có"))),"Có","Không"))</f>
        <v/>
      </c>
      <c r="U3065" s="22">
        <f>IF(OR($D3065="",$T3065="Có"),"",IF($C3065="","Thiếu họ tên; ","")&amp;IF($S3065&lt;&gt;"Có","SĐT sai định dạng; ","")&amp;IF($R3065="Trùng","Trùng SĐT; ","")&amp;IF($Q3065&lt;&gt;"Có","Thiếu đồng ý bắt buộc; ","")&amp;IF($L3065="","Thiếu/sai Mã REF; ",IF(AND($L3065="Chưa xác định",DANH_MUC!$L$9&lt;&gt;"Có"),"Nguồn chưa xác định; ","")))</f>
        <v/>
      </c>
      <c r="V3065" s="22">
        <f>IF(OR($D3065="",$R3065="Trùng"),"",IF(COUNTIF(ORDERS!$C$2:$C$4995,$D3065)&gt;0,"Có","Không"))</f>
        <v/>
      </c>
      <c r="W3065" s="22">
        <f>IF(OR($D3065="",$R3065="Trùng"),"",COUNTIFS(ORDERS!$C$2:$C$4995,$D3065,ORDERS!$L$2:$L$4995,"Đã chuyển khoản"))</f>
        <v/>
      </c>
      <c r="X3065" s="23">
        <f>IF(OR($D3065="",$R3065="Trùng"),"",SUMIFS(ORDERS!$J$2:$J$4995,ORDERS!$C$2:$C$4995,$D3065,ORDERS!$L$2:$L$4995,"Đã chuyển khoản"))</f>
        <v/>
      </c>
      <c r="Y3065" s="24" t="n"/>
    </row>
    <row r="3066" ht="14.25" customHeight="1" s="40">
      <c r="A3066" s="24" t="n"/>
      <c r="B3066" s="27" t="n"/>
      <c r="C3066" s="24" t="n"/>
      <c r="D3066" s="28" t="n"/>
      <c r="E3066" s="29" t="n"/>
      <c r="F3066" s="24" t="n"/>
      <c r="G3066" s="24" t="n"/>
      <c r="H3066" s="21">
        <f>IF(ISNUMBER($B3066),INT($B3066)-WEEKDAY($B3066,2)+1,"")</f>
        <v/>
      </c>
      <c r="I3066" s="24" t="n"/>
      <c r="J3066" s="22">
        <f t="array" ref="J3066">IF($D3066="","",IF($I3066="","(trống REF)",IFERROR(INDEX(MASTER_SOURCE!$B$2:$B$495,MATCH($I3066,MASTER_SOURCE!$A$2:$A$495,0)),"(REF không có trong MASTER_SOURCE)")))</f>
        <v/>
      </c>
      <c r="K3066" s="22">
        <f t="array" ref="K3066">IF($D3066="","",IFERROR(INDEX(MASTER_SOURCE!$C$2:$C$495,MATCH($I3066,MASTER_SOURCE!$A$2:$A$495,0)),""))</f>
        <v/>
      </c>
      <c r="L3066" s="22">
        <f t="array" ref="L3066">IF($D3066="","",IFERROR(INDEX(MASTER_SOURCE!$D$2:$D$495,MATCH($I3066,MASTER_SOURCE!$A$2:$A$495,0)),""))</f>
        <v/>
      </c>
      <c r="M3066" s="24" t="n"/>
      <c r="N3066" s="24" t="n"/>
      <c r="O3066" s="24" t="n"/>
      <c r="P3066" s="24" t="n"/>
      <c r="Q3066" s="22">
        <f>IF($D3066="","",IF(AND(OR(DANH_MUC!$L$5&lt;&gt;"Có",M3066="Có"),OR(DANH_MUC!$L$6&lt;&gt;"Có",N3066="Có"),OR(DANH_MUC!$L$7&lt;&gt;"Có",O3066="Có"),OR(DANH_MUC!$L$8&lt;&gt;"Có",P3066="Có")),"Có","Không"))</f>
        <v/>
      </c>
      <c r="R3066" s="22">
        <f>IF($D3066="","",IF(COUNTIF($D$2:$D3066,$D3066)&gt;1,"Trùng",""))</f>
        <v/>
      </c>
      <c r="S3066" s="22">
        <f>IF($D3066="","",IF(AND(LEN($D3066)=10,LEFT($D3066,1)="0",ISNUMBER(--$D3066)),"Có","Không"))</f>
        <v/>
      </c>
      <c r="T3066" s="22">
        <f>IF($D3066="","",IF(AND($C3066&lt;&gt;"",$Q3066="Có",$R3066="",$S3066="Có",AND($L3066&lt;&gt;"",OR($L3066&lt;&gt;"Chưa xác định",DANH_MUC!$L$9="Có"))),"Có","Không"))</f>
        <v/>
      </c>
      <c r="U3066" s="22">
        <f>IF(OR($D3066="",$T3066="Có"),"",IF($C3066="","Thiếu họ tên; ","")&amp;IF($S3066&lt;&gt;"Có","SĐT sai định dạng; ","")&amp;IF($R3066="Trùng","Trùng SĐT; ","")&amp;IF($Q3066&lt;&gt;"Có","Thiếu đồng ý bắt buộc; ","")&amp;IF($L3066="","Thiếu/sai Mã REF; ",IF(AND($L3066="Chưa xác định",DANH_MUC!$L$9&lt;&gt;"Có"),"Nguồn chưa xác định; ","")))</f>
        <v/>
      </c>
      <c r="V3066" s="22">
        <f>IF(OR($D3066="",$R3066="Trùng"),"",IF(COUNTIF(ORDERS!$C$2:$C$4995,$D3066)&gt;0,"Có","Không"))</f>
        <v/>
      </c>
      <c r="W3066" s="22">
        <f>IF(OR($D3066="",$R3066="Trùng"),"",COUNTIFS(ORDERS!$C$2:$C$4995,$D3066,ORDERS!$L$2:$L$4995,"Đã chuyển khoản"))</f>
        <v/>
      </c>
      <c r="X3066" s="23">
        <f>IF(OR($D3066="",$R3066="Trùng"),"",SUMIFS(ORDERS!$J$2:$J$4995,ORDERS!$C$2:$C$4995,$D3066,ORDERS!$L$2:$L$4995,"Đã chuyển khoản"))</f>
        <v/>
      </c>
      <c r="Y3066" s="24" t="n"/>
    </row>
    <row r="3067" ht="14.25" customHeight="1" s="40">
      <c r="A3067" s="24" t="n"/>
      <c r="B3067" s="27" t="n"/>
      <c r="C3067" s="24" t="n"/>
      <c r="D3067" s="28" t="n"/>
      <c r="E3067" s="29" t="n"/>
      <c r="F3067" s="24" t="n"/>
      <c r="G3067" s="24" t="n"/>
      <c r="H3067" s="21">
        <f>IF(ISNUMBER($B3067),INT($B3067)-WEEKDAY($B3067,2)+1,"")</f>
        <v/>
      </c>
      <c r="I3067" s="24" t="n"/>
      <c r="J3067" s="22">
        <f t="array" ref="J3067">IF($D3067="","",IF($I3067="","(trống REF)",IFERROR(INDEX(MASTER_SOURCE!$B$2:$B$495,MATCH($I3067,MASTER_SOURCE!$A$2:$A$495,0)),"(REF không có trong MASTER_SOURCE)")))</f>
        <v/>
      </c>
      <c r="K3067" s="22">
        <f t="array" ref="K3067">IF($D3067="","",IFERROR(INDEX(MASTER_SOURCE!$C$2:$C$495,MATCH($I3067,MASTER_SOURCE!$A$2:$A$495,0)),""))</f>
        <v/>
      </c>
      <c r="L3067" s="22">
        <f t="array" ref="L3067">IF($D3067="","",IFERROR(INDEX(MASTER_SOURCE!$D$2:$D$495,MATCH($I3067,MASTER_SOURCE!$A$2:$A$495,0)),""))</f>
        <v/>
      </c>
      <c r="M3067" s="24" t="n"/>
      <c r="N3067" s="24" t="n"/>
      <c r="O3067" s="24" t="n"/>
      <c r="P3067" s="24" t="n"/>
      <c r="Q3067" s="22">
        <f>IF($D3067="","",IF(AND(OR(DANH_MUC!$L$5&lt;&gt;"Có",M3067="Có"),OR(DANH_MUC!$L$6&lt;&gt;"Có",N3067="Có"),OR(DANH_MUC!$L$7&lt;&gt;"Có",O3067="Có"),OR(DANH_MUC!$L$8&lt;&gt;"Có",P3067="Có")),"Có","Không"))</f>
        <v/>
      </c>
      <c r="R3067" s="22">
        <f>IF($D3067="","",IF(COUNTIF($D$2:$D3067,$D3067)&gt;1,"Trùng",""))</f>
        <v/>
      </c>
      <c r="S3067" s="22">
        <f>IF($D3067="","",IF(AND(LEN($D3067)=10,LEFT($D3067,1)="0",ISNUMBER(--$D3067)),"Có","Không"))</f>
        <v/>
      </c>
      <c r="T3067" s="22">
        <f>IF($D3067="","",IF(AND($C3067&lt;&gt;"",$Q3067="Có",$R3067="",$S3067="Có",AND($L3067&lt;&gt;"",OR($L3067&lt;&gt;"Chưa xác định",DANH_MUC!$L$9="Có"))),"Có","Không"))</f>
        <v/>
      </c>
      <c r="U3067" s="22">
        <f>IF(OR($D3067="",$T3067="Có"),"",IF($C3067="","Thiếu họ tên; ","")&amp;IF($S3067&lt;&gt;"Có","SĐT sai định dạng; ","")&amp;IF($R3067="Trùng","Trùng SĐT; ","")&amp;IF($Q3067&lt;&gt;"Có","Thiếu đồng ý bắt buộc; ","")&amp;IF($L3067="","Thiếu/sai Mã REF; ",IF(AND($L3067="Chưa xác định",DANH_MUC!$L$9&lt;&gt;"Có"),"Nguồn chưa xác định; ","")))</f>
        <v/>
      </c>
      <c r="V3067" s="22">
        <f>IF(OR($D3067="",$R3067="Trùng"),"",IF(COUNTIF(ORDERS!$C$2:$C$4995,$D3067)&gt;0,"Có","Không"))</f>
        <v/>
      </c>
      <c r="W3067" s="22">
        <f>IF(OR($D3067="",$R3067="Trùng"),"",COUNTIFS(ORDERS!$C$2:$C$4995,$D3067,ORDERS!$L$2:$L$4995,"Đã chuyển khoản"))</f>
        <v/>
      </c>
      <c r="X3067" s="23">
        <f>IF(OR($D3067="",$R3067="Trùng"),"",SUMIFS(ORDERS!$J$2:$J$4995,ORDERS!$C$2:$C$4995,$D3067,ORDERS!$L$2:$L$4995,"Đã chuyển khoản"))</f>
        <v/>
      </c>
      <c r="Y3067" s="24" t="n"/>
    </row>
    <row r="3068" ht="14.25" customHeight="1" s="40">
      <c r="A3068" s="24" t="n"/>
      <c r="B3068" s="27" t="n"/>
      <c r="C3068" s="24" t="n"/>
      <c r="D3068" s="28" t="n"/>
      <c r="E3068" s="29" t="n"/>
      <c r="F3068" s="24" t="n"/>
      <c r="G3068" s="24" t="n"/>
      <c r="H3068" s="21">
        <f>IF(ISNUMBER($B3068),INT($B3068)-WEEKDAY($B3068,2)+1,"")</f>
        <v/>
      </c>
      <c r="I3068" s="24" t="n"/>
      <c r="J3068" s="22">
        <f t="array" ref="J3068">IF($D3068="","",IF($I3068="","(trống REF)",IFERROR(INDEX(MASTER_SOURCE!$B$2:$B$495,MATCH($I3068,MASTER_SOURCE!$A$2:$A$495,0)),"(REF không có trong MASTER_SOURCE)")))</f>
        <v/>
      </c>
      <c r="K3068" s="22">
        <f t="array" ref="K3068">IF($D3068="","",IFERROR(INDEX(MASTER_SOURCE!$C$2:$C$495,MATCH($I3068,MASTER_SOURCE!$A$2:$A$495,0)),""))</f>
        <v/>
      </c>
      <c r="L3068" s="22">
        <f t="array" ref="L3068">IF($D3068="","",IFERROR(INDEX(MASTER_SOURCE!$D$2:$D$495,MATCH($I3068,MASTER_SOURCE!$A$2:$A$495,0)),""))</f>
        <v/>
      </c>
      <c r="M3068" s="24" t="n"/>
      <c r="N3068" s="24" t="n"/>
      <c r="O3068" s="24" t="n"/>
      <c r="P3068" s="24" t="n"/>
      <c r="Q3068" s="22">
        <f>IF($D3068="","",IF(AND(OR(DANH_MUC!$L$5&lt;&gt;"Có",M3068="Có"),OR(DANH_MUC!$L$6&lt;&gt;"Có",N3068="Có"),OR(DANH_MUC!$L$7&lt;&gt;"Có",O3068="Có"),OR(DANH_MUC!$L$8&lt;&gt;"Có",P3068="Có")),"Có","Không"))</f>
        <v/>
      </c>
      <c r="R3068" s="22">
        <f>IF($D3068="","",IF(COUNTIF($D$2:$D3068,$D3068)&gt;1,"Trùng",""))</f>
        <v/>
      </c>
      <c r="S3068" s="22">
        <f>IF($D3068="","",IF(AND(LEN($D3068)=10,LEFT($D3068,1)="0",ISNUMBER(--$D3068)),"Có","Không"))</f>
        <v/>
      </c>
      <c r="T3068" s="22">
        <f>IF($D3068="","",IF(AND($C3068&lt;&gt;"",$Q3068="Có",$R3068="",$S3068="Có",AND($L3068&lt;&gt;"",OR($L3068&lt;&gt;"Chưa xác định",DANH_MUC!$L$9="Có"))),"Có","Không"))</f>
        <v/>
      </c>
      <c r="U3068" s="22">
        <f>IF(OR($D3068="",$T3068="Có"),"",IF($C3068="","Thiếu họ tên; ","")&amp;IF($S3068&lt;&gt;"Có","SĐT sai định dạng; ","")&amp;IF($R3068="Trùng","Trùng SĐT; ","")&amp;IF($Q3068&lt;&gt;"Có","Thiếu đồng ý bắt buộc; ","")&amp;IF($L3068="","Thiếu/sai Mã REF; ",IF(AND($L3068="Chưa xác định",DANH_MUC!$L$9&lt;&gt;"Có"),"Nguồn chưa xác định; ","")))</f>
        <v/>
      </c>
      <c r="V3068" s="22">
        <f>IF(OR($D3068="",$R3068="Trùng"),"",IF(COUNTIF(ORDERS!$C$2:$C$4995,$D3068)&gt;0,"Có","Không"))</f>
        <v/>
      </c>
      <c r="W3068" s="22">
        <f>IF(OR($D3068="",$R3068="Trùng"),"",COUNTIFS(ORDERS!$C$2:$C$4995,$D3068,ORDERS!$L$2:$L$4995,"Đã chuyển khoản"))</f>
        <v/>
      </c>
      <c r="X3068" s="23">
        <f>IF(OR($D3068="",$R3068="Trùng"),"",SUMIFS(ORDERS!$J$2:$J$4995,ORDERS!$C$2:$C$4995,$D3068,ORDERS!$L$2:$L$4995,"Đã chuyển khoản"))</f>
        <v/>
      </c>
      <c r="Y3068" s="24" t="n"/>
    </row>
    <row r="3069" ht="14.25" customHeight="1" s="40">
      <c r="A3069" s="24" t="n"/>
      <c r="B3069" s="27" t="n"/>
      <c r="C3069" s="24" t="n"/>
      <c r="D3069" s="28" t="n"/>
      <c r="E3069" s="29" t="n"/>
      <c r="F3069" s="24" t="n"/>
      <c r="G3069" s="24" t="n"/>
      <c r="H3069" s="21">
        <f>IF(ISNUMBER($B3069),INT($B3069)-WEEKDAY($B3069,2)+1,"")</f>
        <v/>
      </c>
      <c r="I3069" s="24" t="n"/>
      <c r="J3069" s="22">
        <f t="array" ref="J3069">IF($D3069="","",IF($I3069="","(trống REF)",IFERROR(INDEX(MASTER_SOURCE!$B$2:$B$495,MATCH($I3069,MASTER_SOURCE!$A$2:$A$495,0)),"(REF không có trong MASTER_SOURCE)")))</f>
        <v/>
      </c>
      <c r="K3069" s="22">
        <f t="array" ref="K3069">IF($D3069="","",IFERROR(INDEX(MASTER_SOURCE!$C$2:$C$495,MATCH($I3069,MASTER_SOURCE!$A$2:$A$495,0)),""))</f>
        <v/>
      </c>
      <c r="L3069" s="22">
        <f t="array" ref="L3069">IF($D3069="","",IFERROR(INDEX(MASTER_SOURCE!$D$2:$D$495,MATCH($I3069,MASTER_SOURCE!$A$2:$A$495,0)),""))</f>
        <v/>
      </c>
      <c r="M3069" s="24" t="n"/>
      <c r="N3069" s="24" t="n"/>
      <c r="O3069" s="24" t="n"/>
      <c r="P3069" s="24" t="n"/>
      <c r="Q3069" s="22">
        <f>IF($D3069="","",IF(AND(OR(DANH_MUC!$L$5&lt;&gt;"Có",M3069="Có"),OR(DANH_MUC!$L$6&lt;&gt;"Có",N3069="Có"),OR(DANH_MUC!$L$7&lt;&gt;"Có",O3069="Có"),OR(DANH_MUC!$L$8&lt;&gt;"Có",P3069="Có")),"Có","Không"))</f>
        <v/>
      </c>
      <c r="R3069" s="22">
        <f>IF($D3069="","",IF(COUNTIF($D$2:$D3069,$D3069)&gt;1,"Trùng",""))</f>
        <v/>
      </c>
      <c r="S3069" s="22">
        <f>IF($D3069="","",IF(AND(LEN($D3069)=10,LEFT($D3069,1)="0",ISNUMBER(--$D3069)),"Có","Không"))</f>
        <v/>
      </c>
      <c r="T3069" s="22">
        <f>IF($D3069="","",IF(AND($C3069&lt;&gt;"",$Q3069="Có",$R3069="",$S3069="Có",AND($L3069&lt;&gt;"",OR($L3069&lt;&gt;"Chưa xác định",DANH_MUC!$L$9="Có"))),"Có","Không"))</f>
        <v/>
      </c>
      <c r="U3069" s="22">
        <f>IF(OR($D3069="",$T3069="Có"),"",IF($C3069="","Thiếu họ tên; ","")&amp;IF($S3069&lt;&gt;"Có","SĐT sai định dạng; ","")&amp;IF($R3069="Trùng","Trùng SĐT; ","")&amp;IF($Q3069&lt;&gt;"Có","Thiếu đồng ý bắt buộc; ","")&amp;IF($L3069="","Thiếu/sai Mã REF; ",IF(AND($L3069="Chưa xác định",DANH_MUC!$L$9&lt;&gt;"Có"),"Nguồn chưa xác định; ","")))</f>
        <v/>
      </c>
      <c r="V3069" s="22">
        <f>IF(OR($D3069="",$R3069="Trùng"),"",IF(COUNTIF(ORDERS!$C$2:$C$4995,$D3069)&gt;0,"Có","Không"))</f>
        <v/>
      </c>
      <c r="W3069" s="22">
        <f>IF(OR($D3069="",$R3069="Trùng"),"",COUNTIFS(ORDERS!$C$2:$C$4995,$D3069,ORDERS!$L$2:$L$4995,"Đã chuyển khoản"))</f>
        <v/>
      </c>
      <c r="X3069" s="23">
        <f>IF(OR($D3069="",$R3069="Trùng"),"",SUMIFS(ORDERS!$J$2:$J$4995,ORDERS!$C$2:$C$4995,$D3069,ORDERS!$L$2:$L$4995,"Đã chuyển khoản"))</f>
        <v/>
      </c>
      <c r="Y3069" s="24" t="n"/>
    </row>
    <row r="3070" ht="14.25" customHeight="1" s="40">
      <c r="A3070" s="24" t="n"/>
      <c r="B3070" s="27" t="n"/>
      <c r="C3070" s="24" t="n"/>
      <c r="D3070" s="28" t="n"/>
      <c r="E3070" s="29" t="n"/>
      <c r="F3070" s="24" t="n"/>
      <c r="G3070" s="24" t="n"/>
      <c r="H3070" s="21">
        <f>IF(ISNUMBER($B3070),INT($B3070)-WEEKDAY($B3070,2)+1,"")</f>
        <v/>
      </c>
      <c r="I3070" s="24" t="n"/>
      <c r="J3070" s="22">
        <f t="array" ref="J3070">IF($D3070="","",IF($I3070="","(trống REF)",IFERROR(INDEX(MASTER_SOURCE!$B$2:$B$495,MATCH($I3070,MASTER_SOURCE!$A$2:$A$495,0)),"(REF không có trong MASTER_SOURCE)")))</f>
        <v/>
      </c>
      <c r="K3070" s="22">
        <f t="array" ref="K3070">IF($D3070="","",IFERROR(INDEX(MASTER_SOURCE!$C$2:$C$495,MATCH($I3070,MASTER_SOURCE!$A$2:$A$495,0)),""))</f>
        <v/>
      </c>
      <c r="L3070" s="22">
        <f t="array" ref="L3070">IF($D3070="","",IFERROR(INDEX(MASTER_SOURCE!$D$2:$D$495,MATCH($I3070,MASTER_SOURCE!$A$2:$A$495,0)),""))</f>
        <v/>
      </c>
      <c r="M3070" s="24" t="n"/>
      <c r="N3070" s="24" t="n"/>
      <c r="O3070" s="24" t="n"/>
      <c r="P3070" s="24" t="n"/>
      <c r="Q3070" s="22">
        <f>IF($D3070="","",IF(AND(OR(DANH_MUC!$L$5&lt;&gt;"Có",M3070="Có"),OR(DANH_MUC!$L$6&lt;&gt;"Có",N3070="Có"),OR(DANH_MUC!$L$7&lt;&gt;"Có",O3070="Có"),OR(DANH_MUC!$L$8&lt;&gt;"Có",P3070="Có")),"Có","Không"))</f>
        <v/>
      </c>
      <c r="R3070" s="22">
        <f>IF($D3070="","",IF(COUNTIF($D$2:$D3070,$D3070)&gt;1,"Trùng",""))</f>
        <v/>
      </c>
      <c r="S3070" s="22">
        <f>IF($D3070="","",IF(AND(LEN($D3070)=10,LEFT($D3070,1)="0",ISNUMBER(--$D3070)),"Có","Không"))</f>
        <v/>
      </c>
      <c r="T3070" s="22">
        <f>IF($D3070="","",IF(AND($C3070&lt;&gt;"",$Q3070="Có",$R3070="",$S3070="Có",AND($L3070&lt;&gt;"",OR($L3070&lt;&gt;"Chưa xác định",DANH_MUC!$L$9="Có"))),"Có","Không"))</f>
        <v/>
      </c>
      <c r="U3070" s="22">
        <f>IF(OR($D3070="",$T3070="Có"),"",IF($C3070="","Thiếu họ tên; ","")&amp;IF($S3070&lt;&gt;"Có","SĐT sai định dạng; ","")&amp;IF($R3070="Trùng","Trùng SĐT; ","")&amp;IF($Q3070&lt;&gt;"Có","Thiếu đồng ý bắt buộc; ","")&amp;IF($L3070="","Thiếu/sai Mã REF; ",IF(AND($L3070="Chưa xác định",DANH_MUC!$L$9&lt;&gt;"Có"),"Nguồn chưa xác định; ","")))</f>
        <v/>
      </c>
      <c r="V3070" s="22">
        <f>IF(OR($D3070="",$R3070="Trùng"),"",IF(COUNTIF(ORDERS!$C$2:$C$4995,$D3070)&gt;0,"Có","Không"))</f>
        <v/>
      </c>
      <c r="W3070" s="22">
        <f>IF(OR($D3070="",$R3070="Trùng"),"",COUNTIFS(ORDERS!$C$2:$C$4995,$D3070,ORDERS!$L$2:$L$4995,"Đã chuyển khoản"))</f>
        <v/>
      </c>
      <c r="X3070" s="23">
        <f>IF(OR($D3070="",$R3070="Trùng"),"",SUMIFS(ORDERS!$J$2:$J$4995,ORDERS!$C$2:$C$4995,$D3070,ORDERS!$L$2:$L$4995,"Đã chuyển khoản"))</f>
        <v/>
      </c>
      <c r="Y3070" s="24" t="n"/>
    </row>
    <row r="3071" ht="14.25" customHeight="1" s="40">
      <c r="A3071" s="24" t="n"/>
      <c r="B3071" s="27" t="n"/>
      <c r="C3071" s="24" t="n"/>
      <c r="D3071" s="28" t="n"/>
      <c r="E3071" s="29" t="n"/>
      <c r="F3071" s="24" t="n"/>
      <c r="G3071" s="24" t="n"/>
      <c r="H3071" s="21">
        <f>IF(ISNUMBER($B3071),INT($B3071)-WEEKDAY($B3071,2)+1,"")</f>
        <v/>
      </c>
      <c r="I3071" s="24" t="n"/>
      <c r="J3071" s="22">
        <f t="array" ref="J3071">IF($D3071="","",IF($I3071="","(trống REF)",IFERROR(INDEX(MASTER_SOURCE!$B$2:$B$495,MATCH($I3071,MASTER_SOURCE!$A$2:$A$495,0)),"(REF không có trong MASTER_SOURCE)")))</f>
        <v/>
      </c>
      <c r="K3071" s="22">
        <f t="array" ref="K3071">IF($D3071="","",IFERROR(INDEX(MASTER_SOURCE!$C$2:$C$495,MATCH($I3071,MASTER_SOURCE!$A$2:$A$495,0)),""))</f>
        <v/>
      </c>
      <c r="L3071" s="22">
        <f t="array" ref="L3071">IF($D3071="","",IFERROR(INDEX(MASTER_SOURCE!$D$2:$D$495,MATCH($I3071,MASTER_SOURCE!$A$2:$A$495,0)),""))</f>
        <v/>
      </c>
      <c r="M3071" s="24" t="n"/>
      <c r="N3071" s="24" t="n"/>
      <c r="O3071" s="24" t="n"/>
      <c r="P3071" s="24" t="n"/>
      <c r="Q3071" s="22">
        <f>IF($D3071="","",IF(AND(OR(DANH_MUC!$L$5&lt;&gt;"Có",M3071="Có"),OR(DANH_MUC!$L$6&lt;&gt;"Có",N3071="Có"),OR(DANH_MUC!$L$7&lt;&gt;"Có",O3071="Có"),OR(DANH_MUC!$L$8&lt;&gt;"Có",P3071="Có")),"Có","Không"))</f>
        <v/>
      </c>
      <c r="R3071" s="22">
        <f>IF($D3071="","",IF(COUNTIF($D$2:$D3071,$D3071)&gt;1,"Trùng",""))</f>
        <v/>
      </c>
      <c r="S3071" s="22">
        <f>IF($D3071="","",IF(AND(LEN($D3071)=10,LEFT($D3071,1)="0",ISNUMBER(--$D3071)),"Có","Không"))</f>
        <v/>
      </c>
      <c r="T3071" s="22">
        <f>IF($D3071="","",IF(AND($C3071&lt;&gt;"",$Q3071="Có",$R3071="",$S3071="Có",AND($L3071&lt;&gt;"",OR($L3071&lt;&gt;"Chưa xác định",DANH_MUC!$L$9="Có"))),"Có","Không"))</f>
        <v/>
      </c>
      <c r="U3071" s="22">
        <f>IF(OR($D3071="",$T3071="Có"),"",IF($C3071="","Thiếu họ tên; ","")&amp;IF($S3071&lt;&gt;"Có","SĐT sai định dạng; ","")&amp;IF($R3071="Trùng","Trùng SĐT; ","")&amp;IF($Q3071&lt;&gt;"Có","Thiếu đồng ý bắt buộc; ","")&amp;IF($L3071="","Thiếu/sai Mã REF; ",IF(AND($L3071="Chưa xác định",DANH_MUC!$L$9&lt;&gt;"Có"),"Nguồn chưa xác định; ","")))</f>
        <v/>
      </c>
      <c r="V3071" s="22">
        <f>IF(OR($D3071="",$R3071="Trùng"),"",IF(COUNTIF(ORDERS!$C$2:$C$4995,$D3071)&gt;0,"Có","Không"))</f>
        <v/>
      </c>
      <c r="W3071" s="22">
        <f>IF(OR($D3071="",$R3071="Trùng"),"",COUNTIFS(ORDERS!$C$2:$C$4995,$D3071,ORDERS!$L$2:$L$4995,"Đã chuyển khoản"))</f>
        <v/>
      </c>
      <c r="X3071" s="23">
        <f>IF(OR($D3071="",$R3071="Trùng"),"",SUMIFS(ORDERS!$J$2:$J$4995,ORDERS!$C$2:$C$4995,$D3071,ORDERS!$L$2:$L$4995,"Đã chuyển khoản"))</f>
        <v/>
      </c>
      <c r="Y3071" s="24" t="n"/>
    </row>
    <row r="3072" ht="14.25" customHeight="1" s="40">
      <c r="A3072" s="24" t="n"/>
      <c r="B3072" s="27" t="n"/>
      <c r="C3072" s="24" t="n"/>
      <c r="D3072" s="28" t="n"/>
      <c r="E3072" s="29" t="n"/>
      <c r="F3072" s="24" t="n"/>
      <c r="G3072" s="24" t="n"/>
      <c r="H3072" s="21">
        <f>IF(ISNUMBER($B3072),INT($B3072)-WEEKDAY($B3072,2)+1,"")</f>
        <v/>
      </c>
      <c r="I3072" s="24" t="n"/>
      <c r="J3072" s="22">
        <f t="array" ref="J3072">IF($D3072="","",IF($I3072="","(trống REF)",IFERROR(INDEX(MASTER_SOURCE!$B$2:$B$495,MATCH($I3072,MASTER_SOURCE!$A$2:$A$495,0)),"(REF không có trong MASTER_SOURCE)")))</f>
        <v/>
      </c>
      <c r="K3072" s="22">
        <f t="array" ref="K3072">IF($D3072="","",IFERROR(INDEX(MASTER_SOURCE!$C$2:$C$495,MATCH($I3072,MASTER_SOURCE!$A$2:$A$495,0)),""))</f>
        <v/>
      </c>
      <c r="L3072" s="22">
        <f t="array" ref="L3072">IF($D3072="","",IFERROR(INDEX(MASTER_SOURCE!$D$2:$D$495,MATCH($I3072,MASTER_SOURCE!$A$2:$A$495,0)),""))</f>
        <v/>
      </c>
      <c r="M3072" s="24" t="n"/>
      <c r="N3072" s="24" t="n"/>
      <c r="O3072" s="24" t="n"/>
      <c r="P3072" s="24" t="n"/>
      <c r="Q3072" s="22">
        <f>IF($D3072="","",IF(AND(OR(DANH_MUC!$L$5&lt;&gt;"Có",M3072="Có"),OR(DANH_MUC!$L$6&lt;&gt;"Có",N3072="Có"),OR(DANH_MUC!$L$7&lt;&gt;"Có",O3072="Có"),OR(DANH_MUC!$L$8&lt;&gt;"Có",P3072="Có")),"Có","Không"))</f>
        <v/>
      </c>
      <c r="R3072" s="22">
        <f>IF($D3072="","",IF(COUNTIF($D$2:$D3072,$D3072)&gt;1,"Trùng",""))</f>
        <v/>
      </c>
      <c r="S3072" s="22">
        <f>IF($D3072="","",IF(AND(LEN($D3072)=10,LEFT($D3072,1)="0",ISNUMBER(--$D3072)),"Có","Không"))</f>
        <v/>
      </c>
      <c r="T3072" s="22">
        <f>IF($D3072="","",IF(AND($C3072&lt;&gt;"",$Q3072="Có",$R3072="",$S3072="Có",AND($L3072&lt;&gt;"",OR($L3072&lt;&gt;"Chưa xác định",DANH_MUC!$L$9="Có"))),"Có","Không"))</f>
        <v/>
      </c>
      <c r="U3072" s="22">
        <f>IF(OR($D3072="",$T3072="Có"),"",IF($C3072="","Thiếu họ tên; ","")&amp;IF($S3072&lt;&gt;"Có","SĐT sai định dạng; ","")&amp;IF($R3072="Trùng","Trùng SĐT; ","")&amp;IF($Q3072&lt;&gt;"Có","Thiếu đồng ý bắt buộc; ","")&amp;IF($L3072="","Thiếu/sai Mã REF; ",IF(AND($L3072="Chưa xác định",DANH_MUC!$L$9&lt;&gt;"Có"),"Nguồn chưa xác định; ","")))</f>
        <v/>
      </c>
      <c r="V3072" s="22">
        <f>IF(OR($D3072="",$R3072="Trùng"),"",IF(COUNTIF(ORDERS!$C$2:$C$4995,$D3072)&gt;0,"Có","Không"))</f>
        <v/>
      </c>
      <c r="W3072" s="22">
        <f>IF(OR($D3072="",$R3072="Trùng"),"",COUNTIFS(ORDERS!$C$2:$C$4995,$D3072,ORDERS!$L$2:$L$4995,"Đã chuyển khoản"))</f>
        <v/>
      </c>
      <c r="X3072" s="23">
        <f>IF(OR($D3072="",$R3072="Trùng"),"",SUMIFS(ORDERS!$J$2:$J$4995,ORDERS!$C$2:$C$4995,$D3072,ORDERS!$L$2:$L$4995,"Đã chuyển khoản"))</f>
        <v/>
      </c>
      <c r="Y3072" s="24" t="n"/>
    </row>
    <row r="3073" ht="14.25" customHeight="1" s="40">
      <c r="A3073" s="24" t="n"/>
      <c r="B3073" s="27" t="n"/>
      <c r="C3073" s="24" t="n"/>
      <c r="D3073" s="28" t="n"/>
      <c r="E3073" s="29" t="n"/>
      <c r="F3073" s="24" t="n"/>
      <c r="G3073" s="24" t="n"/>
      <c r="H3073" s="21">
        <f>IF(ISNUMBER($B3073),INT($B3073)-WEEKDAY($B3073,2)+1,"")</f>
        <v/>
      </c>
      <c r="I3073" s="24" t="n"/>
      <c r="J3073" s="22">
        <f t="array" ref="J3073">IF($D3073="","",IF($I3073="","(trống REF)",IFERROR(INDEX(MASTER_SOURCE!$B$2:$B$495,MATCH($I3073,MASTER_SOURCE!$A$2:$A$495,0)),"(REF không có trong MASTER_SOURCE)")))</f>
        <v/>
      </c>
      <c r="K3073" s="22">
        <f t="array" ref="K3073">IF($D3073="","",IFERROR(INDEX(MASTER_SOURCE!$C$2:$C$495,MATCH($I3073,MASTER_SOURCE!$A$2:$A$495,0)),""))</f>
        <v/>
      </c>
      <c r="L3073" s="22">
        <f t="array" ref="L3073">IF($D3073="","",IFERROR(INDEX(MASTER_SOURCE!$D$2:$D$495,MATCH($I3073,MASTER_SOURCE!$A$2:$A$495,0)),""))</f>
        <v/>
      </c>
      <c r="M3073" s="24" t="n"/>
      <c r="N3073" s="24" t="n"/>
      <c r="O3073" s="24" t="n"/>
      <c r="P3073" s="24" t="n"/>
      <c r="Q3073" s="22">
        <f>IF($D3073="","",IF(AND(OR(DANH_MUC!$L$5&lt;&gt;"Có",M3073="Có"),OR(DANH_MUC!$L$6&lt;&gt;"Có",N3073="Có"),OR(DANH_MUC!$L$7&lt;&gt;"Có",O3073="Có"),OR(DANH_MUC!$L$8&lt;&gt;"Có",P3073="Có")),"Có","Không"))</f>
        <v/>
      </c>
      <c r="R3073" s="22">
        <f>IF($D3073="","",IF(COUNTIF($D$2:$D3073,$D3073)&gt;1,"Trùng",""))</f>
        <v/>
      </c>
      <c r="S3073" s="22">
        <f>IF($D3073="","",IF(AND(LEN($D3073)=10,LEFT($D3073,1)="0",ISNUMBER(--$D3073)),"Có","Không"))</f>
        <v/>
      </c>
      <c r="T3073" s="22">
        <f>IF($D3073="","",IF(AND($C3073&lt;&gt;"",$Q3073="Có",$R3073="",$S3073="Có",AND($L3073&lt;&gt;"",OR($L3073&lt;&gt;"Chưa xác định",DANH_MUC!$L$9="Có"))),"Có","Không"))</f>
        <v/>
      </c>
      <c r="U3073" s="22">
        <f>IF(OR($D3073="",$T3073="Có"),"",IF($C3073="","Thiếu họ tên; ","")&amp;IF($S3073&lt;&gt;"Có","SĐT sai định dạng; ","")&amp;IF($R3073="Trùng","Trùng SĐT; ","")&amp;IF($Q3073&lt;&gt;"Có","Thiếu đồng ý bắt buộc; ","")&amp;IF($L3073="","Thiếu/sai Mã REF; ",IF(AND($L3073="Chưa xác định",DANH_MUC!$L$9&lt;&gt;"Có"),"Nguồn chưa xác định; ","")))</f>
        <v/>
      </c>
      <c r="V3073" s="22">
        <f>IF(OR($D3073="",$R3073="Trùng"),"",IF(COUNTIF(ORDERS!$C$2:$C$4995,$D3073)&gt;0,"Có","Không"))</f>
        <v/>
      </c>
      <c r="W3073" s="22">
        <f>IF(OR($D3073="",$R3073="Trùng"),"",COUNTIFS(ORDERS!$C$2:$C$4995,$D3073,ORDERS!$L$2:$L$4995,"Đã chuyển khoản"))</f>
        <v/>
      </c>
      <c r="X3073" s="23">
        <f>IF(OR($D3073="",$R3073="Trùng"),"",SUMIFS(ORDERS!$J$2:$J$4995,ORDERS!$C$2:$C$4995,$D3073,ORDERS!$L$2:$L$4995,"Đã chuyển khoản"))</f>
        <v/>
      </c>
      <c r="Y3073" s="24" t="n"/>
    </row>
    <row r="3074" ht="14.25" customHeight="1" s="40">
      <c r="A3074" s="24" t="n"/>
      <c r="B3074" s="27" t="n"/>
      <c r="C3074" s="24" t="n"/>
      <c r="D3074" s="28" t="n"/>
      <c r="E3074" s="29" t="n"/>
      <c r="F3074" s="24" t="n"/>
      <c r="G3074" s="24" t="n"/>
      <c r="H3074" s="21">
        <f>IF(ISNUMBER($B3074),INT($B3074)-WEEKDAY($B3074,2)+1,"")</f>
        <v/>
      </c>
      <c r="I3074" s="24" t="n"/>
      <c r="J3074" s="22">
        <f t="array" ref="J3074">IF($D3074="","",IF($I3074="","(trống REF)",IFERROR(INDEX(MASTER_SOURCE!$B$2:$B$495,MATCH($I3074,MASTER_SOURCE!$A$2:$A$495,0)),"(REF không có trong MASTER_SOURCE)")))</f>
        <v/>
      </c>
      <c r="K3074" s="22">
        <f t="array" ref="K3074">IF($D3074="","",IFERROR(INDEX(MASTER_SOURCE!$C$2:$C$495,MATCH($I3074,MASTER_SOURCE!$A$2:$A$495,0)),""))</f>
        <v/>
      </c>
      <c r="L3074" s="22">
        <f t="array" ref="L3074">IF($D3074="","",IFERROR(INDEX(MASTER_SOURCE!$D$2:$D$495,MATCH($I3074,MASTER_SOURCE!$A$2:$A$495,0)),""))</f>
        <v/>
      </c>
      <c r="M3074" s="24" t="n"/>
      <c r="N3074" s="24" t="n"/>
      <c r="O3074" s="24" t="n"/>
      <c r="P3074" s="24" t="n"/>
      <c r="Q3074" s="22">
        <f>IF($D3074="","",IF(AND(OR(DANH_MUC!$L$5&lt;&gt;"Có",M3074="Có"),OR(DANH_MUC!$L$6&lt;&gt;"Có",N3074="Có"),OR(DANH_MUC!$L$7&lt;&gt;"Có",O3074="Có"),OR(DANH_MUC!$L$8&lt;&gt;"Có",P3074="Có")),"Có","Không"))</f>
        <v/>
      </c>
      <c r="R3074" s="22">
        <f>IF($D3074="","",IF(COUNTIF($D$2:$D3074,$D3074)&gt;1,"Trùng",""))</f>
        <v/>
      </c>
      <c r="S3074" s="22">
        <f>IF($D3074="","",IF(AND(LEN($D3074)=10,LEFT($D3074,1)="0",ISNUMBER(--$D3074)),"Có","Không"))</f>
        <v/>
      </c>
      <c r="T3074" s="22">
        <f>IF($D3074="","",IF(AND($C3074&lt;&gt;"",$Q3074="Có",$R3074="",$S3074="Có",AND($L3074&lt;&gt;"",OR($L3074&lt;&gt;"Chưa xác định",DANH_MUC!$L$9="Có"))),"Có","Không"))</f>
        <v/>
      </c>
      <c r="U3074" s="22">
        <f>IF(OR($D3074="",$T3074="Có"),"",IF($C3074="","Thiếu họ tên; ","")&amp;IF($S3074&lt;&gt;"Có","SĐT sai định dạng; ","")&amp;IF($R3074="Trùng","Trùng SĐT; ","")&amp;IF($Q3074&lt;&gt;"Có","Thiếu đồng ý bắt buộc; ","")&amp;IF($L3074="","Thiếu/sai Mã REF; ",IF(AND($L3074="Chưa xác định",DANH_MUC!$L$9&lt;&gt;"Có"),"Nguồn chưa xác định; ","")))</f>
        <v/>
      </c>
      <c r="V3074" s="22">
        <f>IF(OR($D3074="",$R3074="Trùng"),"",IF(COUNTIF(ORDERS!$C$2:$C$4995,$D3074)&gt;0,"Có","Không"))</f>
        <v/>
      </c>
      <c r="W3074" s="22">
        <f>IF(OR($D3074="",$R3074="Trùng"),"",COUNTIFS(ORDERS!$C$2:$C$4995,$D3074,ORDERS!$L$2:$L$4995,"Đã chuyển khoản"))</f>
        <v/>
      </c>
      <c r="X3074" s="23">
        <f>IF(OR($D3074="",$R3074="Trùng"),"",SUMIFS(ORDERS!$J$2:$J$4995,ORDERS!$C$2:$C$4995,$D3074,ORDERS!$L$2:$L$4995,"Đã chuyển khoản"))</f>
        <v/>
      </c>
      <c r="Y3074" s="24" t="n"/>
    </row>
    <row r="3075" ht="14.25" customHeight="1" s="40">
      <c r="A3075" s="24" t="n"/>
      <c r="B3075" s="27" t="n"/>
      <c r="C3075" s="24" t="n"/>
      <c r="D3075" s="28" t="n"/>
      <c r="E3075" s="29" t="n"/>
      <c r="F3075" s="24" t="n"/>
      <c r="G3075" s="24" t="n"/>
      <c r="H3075" s="21">
        <f>IF(ISNUMBER($B3075),INT($B3075)-WEEKDAY($B3075,2)+1,"")</f>
        <v/>
      </c>
      <c r="I3075" s="24" t="n"/>
      <c r="J3075" s="22">
        <f t="array" ref="J3075">IF($D3075="","",IF($I3075="","(trống REF)",IFERROR(INDEX(MASTER_SOURCE!$B$2:$B$495,MATCH($I3075,MASTER_SOURCE!$A$2:$A$495,0)),"(REF không có trong MASTER_SOURCE)")))</f>
        <v/>
      </c>
      <c r="K3075" s="22">
        <f t="array" ref="K3075">IF($D3075="","",IFERROR(INDEX(MASTER_SOURCE!$C$2:$C$495,MATCH($I3075,MASTER_SOURCE!$A$2:$A$495,0)),""))</f>
        <v/>
      </c>
      <c r="L3075" s="22">
        <f t="array" ref="L3075">IF($D3075="","",IFERROR(INDEX(MASTER_SOURCE!$D$2:$D$495,MATCH($I3075,MASTER_SOURCE!$A$2:$A$495,0)),""))</f>
        <v/>
      </c>
      <c r="M3075" s="24" t="n"/>
      <c r="N3075" s="24" t="n"/>
      <c r="O3075" s="24" t="n"/>
      <c r="P3075" s="24" t="n"/>
      <c r="Q3075" s="22">
        <f>IF($D3075="","",IF(AND(OR(DANH_MUC!$L$5&lt;&gt;"Có",M3075="Có"),OR(DANH_MUC!$L$6&lt;&gt;"Có",N3075="Có"),OR(DANH_MUC!$L$7&lt;&gt;"Có",O3075="Có"),OR(DANH_MUC!$L$8&lt;&gt;"Có",P3075="Có")),"Có","Không"))</f>
        <v/>
      </c>
      <c r="R3075" s="22">
        <f>IF($D3075="","",IF(COUNTIF($D$2:$D3075,$D3075)&gt;1,"Trùng",""))</f>
        <v/>
      </c>
      <c r="S3075" s="22">
        <f>IF($D3075="","",IF(AND(LEN($D3075)=10,LEFT($D3075,1)="0",ISNUMBER(--$D3075)),"Có","Không"))</f>
        <v/>
      </c>
      <c r="T3075" s="22">
        <f>IF($D3075="","",IF(AND($C3075&lt;&gt;"",$Q3075="Có",$R3075="",$S3075="Có",AND($L3075&lt;&gt;"",OR($L3075&lt;&gt;"Chưa xác định",DANH_MUC!$L$9="Có"))),"Có","Không"))</f>
        <v/>
      </c>
      <c r="U3075" s="22">
        <f>IF(OR($D3075="",$T3075="Có"),"",IF($C3075="","Thiếu họ tên; ","")&amp;IF($S3075&lt;&gt;"Có","SĐT sai định dạng; ","")&amp;IF($R3075="Trùng","Trùng SĐT; ","")&amp;IF($Q3075&lt;&gt;"Có","Thiếu đồng ý bắt buộc; ","")&amp;IF($L3075="","Thiếu/sai Mã REF; ",IF(AND($L3075="Chưa xác định",DANH_MUC!$L$9&lt;&gt;"Có"),"Nguồn chưa xác định; ","")))</f>
        <v/>
      </c>
      <c r="V3075" s="22">
        <f>IF(OR($D3075="",$R3075="Trùng"),"",IF(COUNTIF(ORDERS!$C$2:$C$4995,$D3075)&gt;0,"Có","Không"))</f>
        <v/>
      </c>
      <c r="W3075" s="22">
        <f>IF(OR($D3075="",$R3075="Trùng"),"",COUNTIFS(ORDERS!$C$2:$C$4995,$D3075,ORDERS!$L$2:$L$4995,"Đã chuyển khoản"))</f>
        <v/>
      </c>
      <c r="X3075" s="23">
        <f>IF(OR($D3075="",$R3075="Trùng"),"",SUMIFS(ORDERS!$J$2:$J$4995,ORDERS!$C$2:$C$4995,$D3075,ORDERS!$L$2:$L$4995,"Đã chuyển khoản"))</f>
        <v/>
      </c>
      <c r="Y3075" s="24" t="n"/>
    </row>
    <row r="3076" ht="14.25" customHeight="1" s="40">
      <c r="A3076" s="24" t="n"/>
      <c r="B3076" s="27" t="n"/>
      <c r="C3076" s="24" t="n"/>
      <c r="D3076" s="28" t="n"/>
      <c r="E3076" s="29" t="n"/>
      <c r="F3076" s="24" t="n"/>
      <c r="G3076" s="24" t="n"/>
      <c r="H3076" s="21">
        <f>IF(ISNUMBER($B3076),INT($B3076)-WEEKDAY($B3076,2)+1,"")</f>
        <v/>
      </c>
      <c r="I3076" s="24" t="n"/>
      <c r="J3076" s="22">
        <f t="array" ref="J3076">IF($D3076="","",IF($I3076="","(trống REF)",IFERROR(INDEX(MASTER_SOURCE!$B$2:$B$495,MATCH($I3076,MASTER_SOURCE!$A$2:$A$495,0)),"(REF không có trong MASTER_SOURCE)")))</f>
        <v/>
      </c>
      <c r="K3076" s="22">
        <f t="array" ref="K3076">IF($D3076="","",IFERROR(INDEX(MASTER_SOURCE!$C$2:$C$495,MATCH($I3076,MASTER_SOURCE!$A$2:$A$495,0)),""))</f>
        <v/>
      </c>
      <c r="L3076" s="22">
        <f t="array" ref="L3076">IF($D3076="","",IFERROR(INDEX(MASTER_SOURCE!$D$2:$D$495,MATCH($I3076,MASTER_SOURCE!$A$2:$A$495,0)),""))</f>
        <v/>
      </c>
      <c r="M3076" s="24" t="n"/>
      <c r="N3076" s="24" t="n"/>
      <c r="O3076" s="24" t="n"/>
      <c r="P3076" s="24" t="n"/>
      <c r="Q3076" s="22">
        <f>IF($D3076="","",IF(AND(OR(DANH_MUC!$L$5&lt;&gt;"Có",M3076="Có"),OR(DANH_MUC!$L$6&lt;&gt;"Có",N3076="Có"),OR(DANH_MUC!$L$7&lt;&gt;"Có",O3076="Có"),OR(DANH_MUC!$L$8&lt;&gt;"Có",P3076="Có")),"Có","Không"))</f>
        <v/>
      </c>
      <c r="R3076" s="22">
        <f>IF($D3076="","",IF(COUNTIF($D$2:$D3076,$D3076)&gt;1,"Trùng",""))</f>
        <v/>
      </c>
      <c r="S3076" s="22">
        <f>IF($D3076="","",IF(AND(LEN($D3076)=10,LEFT($D3076,1)="0",ISNUMBER(--$D3076)),"Có","Không"))</f>
        <v/>
      </c>
      <c r="T3076" s="22">
        <f>IF($D3076="","",IF(AND($C3076&lt;&gt;"",$Q3076="Có",$R3076="",$S3076="Có",AND($L3076&lt;&gt;"",OR($L3076&lt;&gt;"Chưa xác định",DANH_MUC!$L$9="Có"))),"Có","Không"))</f>
        <v/>
      </c>
      <c r="U3076" s="22">
        <f>IF(OR($D3076="",$T3076="Có"),"",IF($C3076="","Thiếu họ tên; ","")&amp;IF($S3076&lt;&gt;"Có","SĐT sai định dạng; ","")&amp;IF($R3076="Trùng","Trùng SĐT; ","")&amp;IF($Q3076&lt;&gt;"Có","Thiếu đồng ý bắt buộc; ","")&amp;IF($L3076="","Thiếu/sai Mã REF; ",IF(AND($L3076="Chưa xác định",DANH_MUC!$L$9&lt;&gt;"Có"),"Nguồn chưa xác định; ","")))</f>
        <v/>
      </c>
      <c r="V3076" s="22">
        <f>IF(OR($D3076="",$R3076="Trùng"),"",IF(COUNTIF(ORDERS!$C$2:$C$4995,$D3076)&gt;0,"Có","Không"))</f>
        <v/>
      </c>
      <c r="W3076" s="22">
        <f>IF(OR($D3076="",$R3076="Trùng"),"",COUNTIFS(ORDERS!$C$2:$C$4995,$D3076,ORDERS!$L$2:$L$4995,"Đã chuyển khoản"))</f>
        <v/>
      </c>
      <c r="X3076" s="23">
        <f>IF(OR($D3076="",$R3076="Trùng"),"",SUMIFS(ORDERS!$J$2:$J$4995,ORDERS!$C$2:$C$4995,$D3076,ORDERS!$L$2:$L$4995,"Đã chuyển khoản"))</f>
        <v/>
      </c>
      <c r="Y3076" s="24" t="n"/>
    </row>
    <row r="3077" ht="14.25" customHeight="1" s="40">
      <c r="A3077" s="24" t="n"/>
      <c r="B3077" s="27" t="n"/>
      <c r="C3077" s="24" t="n"/>
      <c r="D3077" s="28" t="n"/>
      <c r="E3077" s="29" t="n"/>
      <c r="F3077" s="24" t="n"/>
      <c r="G3077" s="24" t="n"/>
      <c r="H3077" s="21">
        <f>IF(ISNUMBER($B3077),INT($B3077)-WEEKDAY($B3077,2)+1,"")</f>
        <v/>
      </c>
      <c r="I3077" s="24" t="n"/>
      <c r="J3077" s="22">
        <f t="array" ref="J3077">IF($D3077="","",IF($I3077="","(trống REF)",IFERROR(INDEX(MASTER_SOURCE!$B$2:$B$495,MATCH($I3077,MASTER_SOURCE!$A$2:$A$495,0)),"(REF không có trong MASTER_SOURCE)")))</f>
        <v/>
      </c>
      <c r="K3077" s="22">
        <f t="array" ref="K3077">IF($D3077="","",IFERROR(INDEX(MASTER_SOURCE!$C$2:$C$495,MATCH($I3077,MASTER_SOURCE!$A$2:$A$495,0)),""))</f>
        <v/>
      </c>
      <c r="L3077" s="22">
        <f t="array" ref="L3077">IF($D3077="","",IFERROR(INDEX(MASTER_SOURCE!$D$2:$D$495,MATCH($I3077,MASTER_SOURCE!$A$2:$A$495,0)),""))</f>
        <v/>
      </c>
      <c r="M3077" s="24" t="n"/>
      <c r="N3077" s="24" t="n"/>
      <c r="O3077" s="24" t="n"/>
      <c r="P3077" s="24" t="n"/>
      <c r="Q3077" s="22">
        <f>IF($D3077="","",IF(AND(OR(DANH_MUC!$L$5&lt;&gt;"Có",M3077="Có"),OR(DANH_MUC!$L$6&lt;&gt;"Có",N3077="Có"),OR(DANH_MUC!$L$7&lt;&gt;"Có",O3077="Có"),OR(DANH_MUC!$L$8&lt;&gt;"Có",P3077="Có")),"Có","Không"))</f>
        <v/>
      </c>
      <c r="R3077" s="22">
        <f>IF($D3077="","",IF(COUNTIF($D$2:$D3077,$D3077)&gt;1,"Trùng",""))</f>
        <v/>
      </c>
      <c r="S3077" s="22">
        <f>IF($D3077="","",IF(AND(LEN($D3077)=10,LEFT($D3077,1)="0",ISNUMBER(--$D3077)),"Có","Không"))</f>
        <v/>
      </c>
      <c r="T3077" s="22">
        <f>IF($D3077="","",IF(AND($C3077&lt;&gt;"",$Q3077="Có",$R3077="",$S3077="Có",AND($L3077&lt;&gt;"",OR($L3077&lt;&gt;"Chưa xác định",DANH_MUC!$L$9="Có"))),"Có","Không"))</f>
        <v/>
      </c>
      <c r="U3077" s="22">
        <f>IF(OR($D3077="",$T3077="Có"),"",IF($C3077="","Thiếu họ tên; ","")&amp;IF($S3077&lt;&gt;"Có","SĐT sai định dạng; ","")&amp;IF($R3077="Trùng","Trùng SĐT; ","")&amp;IF($Q3077&lt;&gt;"Có","Thiếu đồng ý bắt buộc; ","")&amp;IF($L3077="","Thiếu/sai Mã REF; ",IF(AND($L3077="Chưa xác định",DANH_MUC!$L$9&lt;&gt;"Có"),"Nguồn chưa xác định; ","")))</f>
        <v/>
      </c>
      <c r="V3077" s="22">
        <f>IF(OR($D3077="",$R3077="Trùng"),"",IF(COUNTIF(ORDERS!$C$2:$C$4995,$D3077)&gt;0,"Có","Không"))</f>
        <v/>
      </c>
      <c r="W3077" s="22">
        <f>IF(OR($D3077="",$R3077="Trùng"),"",COUNTIFS(ORDERS!$C$2:$C$4995,$D3077,ORDERS!$L$2:$L$4995,"Đã chuyển khoản"))</f>
        <v/>
      </c>
      <c r="X3077" s="23">
        <f>IF(OR($D3077="",$R3077="Trùng"),"",SUMIFS(ORDERS!$J$2:$J$4995,ORDERS!$C$2:$C$4995,$D3077,ORDERS!$L$2:$L$4995,"Đã chuyển khoản"))</f>
        <v/>
      </c>
      <c r="Y3077" s="24" t="n"/>
    </row>
    <row r="3078" ht="14.25" customHeight="1" s="40">
      <c r="A3078" s="24" t="n"/>
      <c r="B3078" s="27" t="n"/>
      <c r="C3078" s="24" t="n"/>
      <c r="D3078" s="28" t="n"/>
      <c r="E3078" s="29" t="n"/>
      <c r="F3078" s="24" t="n"/>
      <c r="G3078" s="24" t="n"/>
      <c r="H3078" s="21">
        <f>IF(ISNUMBER($B3078),INT($B3078)-WEEKDAY($B3078,2)+1,"")</f>
        <v/>
      </c>
      <c r="I3078" s="24" t="n"/>
      <c r="J3078" s="22">
        <f t="array" ref="J3078">IF($D3078="","",IF($I3078="","(trống REF)",IFERROR(INDEX(MASTER_SOURCE!$B$2:$B$495,MATCH($I3078,MASTER_SOURCE!$A$2:$A$495,0)),"(REF không có trong MASTER_SOURCE)")))</f>
        <v/>
      </c>
      <c r="K3078" s="22">
        <f t="array" ref="K3078">IF($D3078="","",IFERROR(INDEX(MASTER_SOURCE!$C$2:$C$495,MATCH($I3078,MASTER_SOURCE!$A$2:$A$495,0)),""))</f>
        <v/>
      </c>
      <c r="L3078" s="22">
        <f t="array" ref="L3078">IF($D3078="","",IFERROR(INDEX(MASTER_SOURCE!$D$2:$D$495,MATCH($I3078,MASTER_SOURCE!$A$2:$A$495,0)),""))</f>
        <v/>
      </c>
      <c r="M3078" s="24" t="n"/>
      <c r="N3078" s="24" t="n"/>
      <c r="O3078" s="24" t="n"/>
      <c r="P3078" s="24" t="n"/>
      <c r="Q3078" s="22">
        <f>IF($D3078="","",IF(AND(OR(DANH_MUC!$L$5&lt;&gt;"Có",M3078="Có"),OR(DANH_MUC!$L$6&lt;&gt;"Có",N3078="Có"),OR(DANH_MUC!$L$7&lt;&gt;"Có",O3078="Có"),OR(DANH_MUC!$L$8&lt;&gt;"Có",P3078="Có")),"Có","Không"))</f>
        <v/>
      </c>
      <c r="R3078" s="22">
        <f>IF($D3078="","",IF(COUNTIF($D$2:$D3078,$D3078)&gt;1,"Trùng",""))</f>
        <v/>
      </c>
      <c r="S3078" s="22">
        <f>IF($D3078="","",IF(AND(LEN($D3078)=10,LEFT($D3078,1)="0",ISNUMBER(--$D3078)),"Có","Không"))</f>
        <v/>
      </c>
      <c r="T3078" s="22">
        <f>IF($D3078="","",IF(AND($C3078&lt;&gt;"",$Q3078="Có",$R3078="",$S3078="Có",AND($L3078&lt;&gt;"",OR($L3078&lt;&gt;"Chưa xác định",DANH_MUC!$L$9="Có"))),"Có","Không"))</f>
        <v/>
      </c>
      <c r="U3078" s="22">
        <f>IF(OR($D3078="",$T3078="Có"),"",IF($C3078="","Thiếu họ tên; ","")&amp;IF($S3078&lt;&gt;"Có","SĐT sai định dạng; ","")&amp;IF($R3078="Trùng","Trùng SĐT; ","")&amp;IF($Q3078&lt;&gt;"Có","Thiếu đồng ý bắt buộc; ","")&amp;IF($L3078="","Thiếu/sai Mã REF; ",IF(AND($L3078="Chưa xác định",DANH_MUC!$L$9&lt;&gt;"Có"),"Nguồn chưa xác định; ","")))</f>
        <v/>
      </c>
      <c r="V3078" s="22">
        <f>IF(OR($D3078="",$R3078="Trùng"),"",IF(COUNTIF(ORDERS!$C$2:$C$4995,$D3078)&gt;0,"Có","Không"))</f>
        <v/>
      </c>
      <c r="W3078" s="22">
        <f>IF(OR($D3078="",$R3078="Trùng"),"",COUNTIFS(ORDERS!$C$2:$C$4995,$D3078,ORDERS!$L$2:$L$4995,"Đã chuyển khoản"))</f>
        <v/>
      </c>
      <c r="X3078" s="23">
        <f>IF(OR($D3078="",$R3078="Trùng"),"",SUMIFS(ORDERS!$J$2:$J$4995,ORDERS!$C$2:$C$4995,$D3078,ORDERS!$L$2:$L$4995,"Đã chuyển khoản"))</f>
        <v/>
      </c>
      <c r="Y3078" s="24" t="n"/>
    </row>
    <row r="3079" ht="14.25" customHeight="1" s="40">
      <c r="A3079" s="24" t="n"/>
      <c r="B3079" s="27" t="n"/>
      <c r="C3079" s="24" t="n"/>
      <c r="D3079" s="28" t="n"/>
      <c r="E3079" s="29" t="n"/>
      <c r="F3079" s="24" t="n"/>
      <c r="G3079" s="24" t="n"/>
      <c r="H3079" s="21">
        <f>IF(ISNUMBER($B3079),INT($B3079)-WEEKDAY($B3079,2)+1,"")</f>
        <v/>
      </c>
      <c r="I3079" s="24" t="n"/>
      <c r="J3079" s="22">
        <f t="array" ref="J3079">IF($D3079="","",IF($I3079="","(trống REF)",IFERROR(INDEX(MASTER_SOURCE!$B$2:$B$495,MATCH($I3079,MASTER_SOURCE!$A$2:$A$495,0)),"(REF không có trong MASTER_SOURCE)")))</f>
        <v/>
      </c>
      <c r="K3079" s="22">
        <f t="array" ref="K3079">IF($D3079="","",IFERROR(INDEX(MASTER_SOURCE!$C$2:$C$495,MATCH($I3079,MASTER_SOURCE!$A$2:$A$495,0)),""))</f>
        <v/>
      </c>
      <c r="L3079" s="22">
        <f t="array" ref="L3079">IF($D3079="","",IFERROR(INDEX(MASTER_SOURCE!$D$2:$D$495,MATCH($I3079,MASTER_SOURCE!$A$2:$A$495,0)),""))</f>
        <v/>
      </c>
      <c r="M3079" s="24" t="n"/>
      <c r="N3079" s="24" t="n"/>
      <c r="O3079" s="24" t="n"/>
      <c r="P3079" s="24" t="n"/>
      <c r="Q3079" s="22">
        <f>IF($D3079="","",IF(AND(OR(DANH_MUC!$L$5&lt;&gt;"Có",M3079="Có"),OR(DANH_MUC!$L$6&lt;&gt;"Có",N3079="Có"),OR(DANH_MUC!$L$7&lt;&gt;"Có",O3079="Có"),OR(DANH_MUC!$L$8&lt;&gt;"Có",P3079="Có")),"Có","Không"))</f>
        <v/>
      </c>
      <c r="R3079" s="22">
        <f>IF($D3079="","",IF(COUNTIF($D$2:$D3079,$D3079)&gt;1,"Trùng",""))</f>
        <v/>
      </c>
      <c r="S3079" s="22">
        <f>IF($D3079="","",IF(AND(LEN($D3079)=10,LEFT($D3079,1)="0",ISNUMBER(--$D3079)),"Có","Không"))</f>
        <v/>
      </c>
      <c r="T3079" s="22">
        <f>IF($D3079="","",IF(AND($C3079&lt;&gt;"",$Q3079="Có",$R3079="",$S3079="Có",AND($L3079&lt;&gt;"",OR($L3079&lt;&gt;"Chưa xác định",DANH_MUC!$L$9="Có"))),"Có","Không"))</f>
        <v/>
      </c>
      <c r="U3079" s="22">
        <f>IF(OR($D3079="",$T3079="Có"),"",IF($C3079="","Thiếu họ tên; ","")&amp;IF($S3079&lt;&gt;"Có","SĐT sai định dạng; ","")&amp;IF($R3079="Trùng","Trùng SĐT; ","")&amp;IF($Q3079&lt;&gt;"Có","Thiếu đồng ý bắt buộc; ","")&amp;IF($L3079="","Thiếu/sai Mã REF; ",IF(AND($L3079="Chưa xác định",DANH_MUC!$L$9&lt;&gt;"Có"),"Nguồn chưa xác định; ","")))</f>
        <v/>
      </c>
      <c r="V3079" s="22">
        <f>IF(OR($D3079="",$R3079="Trùng"),"",IF(COUNTIF(ORDERS!$C$2:$C$4995,$D3079)&gt;0,"Có","Không"))</f>
        <v/>
      </c>
      <c r="W3079" s="22">
        <f>IF(OR($D3079="",$R3079="Trùng"),"",COUNTIFS(ORDERS!$C$2:$C$4995,$D3079,ORDERS!$L$2:$L$4995,"Đã chuyển khoản"))</f>
        <v/>
      </c>
      <c r="X3079" s="23">
        <f>IF(OR($D3079="",$R3079="Trùng"),"",SUMIFS(ORDERS!$J$2:$J$4995,ORDERS!$C$2:$C$4995,$D3079,ORDERS!$L$2:$L$4995,"Đã chuyển khoản"))</f>
        <v/>
      </c>
      <c r="Y3079" s="24" t="n"/>
    </row>
    <row r="3080" ht="14.25" customHeight="1" s="40">
      <c r="A3080" s="24" t="n"/>
      <c r="B3080" s="27" t="n"/>
      <c r="C3080" s="24" t="n"/>
      <c r="D3080" s="28" t="n"/>
      <c r="E3080" s="29" t="n"/>
      <c r="F3080" s="24" t="n"/>
      <c r="G3080" s="24" t="n"/>
      <c r="H3080" s="21">
        <f>IF(ISNUMBER($B3080),INT($B3080)-WEEKDAY($B3080,2)+1,"")</f>
        <v/>
      </c>
      <c r="I3080" s="24" t="n"/>
      <c r="J3080" s="22">
        <f t="array" ref="J3080">IF($D3080="","",IF($I3080="","(trống REF)",IFERROR(INDEX(MASTER_SOURCE!$B$2:$B$495,MATCH($I3080,MASTER_SOURCE!$A$2:$A$495,0)),"(REF không có trong MASTER_SOURCE)")))</f>
        <v/>
      </c>
      <c r="K3080" s="22">
        <f t="array" ref="K3080">IF($D3080="","",IFERROR(INDEX(MASTER_SOURCE!$C$2:$C$495,MATCH($I3080,MASTER_SOURCE!$A$2:$A$495,0)),""))</f>
        <v/>
      </c>
      <c r="L3080" s="22">
        <f t="array" ref="L3080">IF($D3080="","",IFERROR(INDEX(MASTER_SOURCE!$D$2:$D$495,MATCH($I3080,MASTER_SOURCE!$A$2:$A$495,0)),""))</f>
        <v/>
      </c>
      <c r="M3080" s="24" t="n"/>
      <c r="N3080" s="24" t="n"/>
      <c r="O3080" s="24" t="n"/>
      <c r="P3080" s="24" t="n"/>
      <c r="Q3080" s="22">
        <f>IF($D3080="","",IF(AND(OR(DANH_MUC!$L$5&lt;&gt;"Có",M3080="Có"),OR(DANH_MUC!$L$6&lt;&gt;"Có",N3080="Có"),OR(DANH_MUC!$L$7&lt;&gt;"Có",O3080="Có"),OR(DANH_MUC!$L$8&lt;&gt;"Có",P3080="Có")),"Có","Không"))</f>
        <v/>
      </c>
      <c r="R3080" s="22">
        <f>IF($D3080="","",IF(COUNTIF($D$2:$D3080,$D3080)&gt;1,"Trùng",""))</f>
        <v/>
      </c>
      <c r="S3080" s="22">
        <f>IF($D3080="","",IF(AND(LEN($D3080)=10,LEFT($D3080,1)="0",ISNUMBER(--$D3080)),"Có","Không"))</f>
        <v/>
      </c>
      <c r="T3080" s="22">
        <f>IF($D3080="","",IF(AND($C3080&lt;&gt;"",$Q3080="Có",$R3080="",$S3080="Có",AND($L3080&lt;&gt;"",OR($L3080&lt;&gt;"Chưa xác định",DANH_MUC!$L$9="Có"))),"Có","Không"))</f>
        <v/>
      </c>
      <c r="U3080" s="22">
        <f>IF(OR($D3080="",$T3080="Có"),"",IF($C3080="","Thiếu họ tên; ","")&amp;IF($S3080&lt;&gt;"Có","SĐT sai định dạng; ","")&amp;IF($R3080="Trùng","Trùng SĐT; ","")&amp;IF($Q3080&lt;&gt;"Có","Thiếu đồng ý bắt buộc; ","")&amp;IF($L3080="","Thiếu/sai Mã REF; ",IF(AND($L3080="Chưa xác định",DANH_MUC!$L$9&lt;&gt;"Có"),"Nguồn chưa xác định; ","")))</f>
        <v/>
      </c>
      <c r="V3080" s="22">
        <f>IF(OR($D3080="",$R3080="Trùng"),"",IF(COUNTIF(ORDERS!$C$2:$C$4995,$D3080)&gt;0,"Có","Không"))</f>
        <v/>
      </c>
      <c r="W3080" s="22">
        <f>IF(OR($D3080="",$R3080="Trùng"),"",COUNTIFS(ORDERS!$C$2:$C$4995,$D3080,ORDERS!$L$2:$L$4995,"Đã chuyển khoản"))</f>
        <v/>
      </c>
      <c r="X3080" s="23">
        <f>IF(OR($D3080="",$R3080="Trùng"),"",SUMIFS(ORDERS!$J$2:$J$4995,ORDERS!$C$2:$C$4995,$D3080,ORDERS!$L$2:$L$4995,"Đã chuyển khoản"))</f>
        <v/>
      </c>
      <c r="Y3080" s="24" t="n"/>
    </row>
    <row r="3081" ht="14.25" customHeight="1" s="40">
      <c r="A3081" s="24" t="n"/>
      <c r="B3081" s="27" t="n"/>
      <c r="C3081" s="24" t="n"/>
      <c r="D3081" s="28" t="n"/>
      <c r="E3081" s="29" t="n"/>
      <c r="F3081" s="24" t="n"/>
      <c r="G3081" s="24" t="n"/>
      <c r="H3081" s="21">
        <f>IF(ISNUMBER($B3081),INT($B3081)-WEEKDAY($B3081,2)+1,"")</f>
        <v/>
      </c>
      <c r="I3081" s="24" t="n"/>
      <c r="J3081" s="22">
        <f t="array" ref="J3081">IF($D3081="","",IF($I3081="","(trống REF)",IFERROR(INDEX(MASTER_SOURCE!$B$2:$B$495,MATCH($I3081,MASTER_SOURCE!$A$2:$A$495,0)),"(REF không có trong MASTER_SOURCE)")))</f>
        <v/>
      </c>
      <c r="K3081" s="22">
        <f t="array" ref="K3081">IF($D3081="","",IFERROR(INDEX(MASTER_SOURCE!$C$2:$C$495,MATCH($I3081,MASTER_SOURCE!$A$2:$A$495,0)),""))</f>
        <v/>
      </c>
      <c r="L3081" s="22">
        <f t="array" ref="L3081">IF($D3081="","",IFERROR(INDEX(MASTER_SOURCE!$D$2:$D$495,MATCH($I3081,MASTER_SOURCE!$A$2:$A$495,0)),""))</f>
        <v/>
      </c>
      <c r="M3081" s="24" t="n"/>
      <c r="N3081" s="24" t="n"/>
      <c r="O3081" s="24" t="n"/>
      <c r="P3081" s="24" t="n"/>
      <c r="Q3081" s="22">
        <f>IF($D3081="","",IF(AND(OR(DANH_MUC!$L$5&lt;&gt;"Có",M3081="Có"),OR(DANH_MUC!$L$6&lt;&gt;"Có",N3081="Có"),OR(DANH_MUC!$L$7&lt;&gt;"Có",O3081="Có"),OR(DANH_MUC!$L$8&lt;&gt;"Có",P3081="Có")),"Có","Không"))</f>
        <v/>
      </c>
      <c r="R3081" s="22">
        <f>IF($D3081="","",IF(COUNTIF($D$2:$D3081,$D3081)&gt;1,"Trùng",""))</f>
        <v/>
      </c>
      <c r="S3081" s="22">
        <f>IF($D3081="","",IF(AND(LEN($D3081)=10,LEFT($D3081,1)="0",ISNUMBER(--$D3081)),"Có","Không"))</f>
        <v/>
      </c>
      <c r="T3081" s="22">
        <f>IF($D3081="","",IF(AND($C3081&lt;&gt;"",$Q3081="Có",$R3081="",$S3081="Có",AND($L3081&lt;&gt;"",OR($L3081&lt;&gt;"Chưa xác định",DANH_MUC!$L$9="Có"))),"Có","Không"))</f>
        <v/>
      </c>
      <c r="U3081" s="22">
        <f>IF(OR($D3081="",$T3081="Có"),"",IF($C3081="","Thiếu họ tên; ","")&amp;IF($S3081&lt;&gt;"Có","SĐT sai định dạng; ","")&amp;IF($R3081="Trùng","Trùng SĐT; ","")&amp;IF($Q3081&lt;&gt;"Có","Thiếu đồng ý bắt buộc; ","")&amp;IF($L3081="","Thiếu/sai Mã REF; ",IF(AND($L3081="Chưa xác định",DANH_MUC!$L$9&lt;&gt;"Có"),"Nguồn chưa xác định; ","")))</f>
        <v/>
      </c>
      <c r="V3081" s="22">
        <f>IF(OR($D3081="",$R3081="Trùng"),"",IF(COUNTIF(ORDERS!$C$2:$C$4995,$D3081)&gt;0,"Có","Không"))</f>
        <v/>
      </c>
      <c r="W3081" s="22">
        <f>IF(OR($D3081="",$R3081="Trùng"),"",COUNTIFS(ORDERS!$C$2:$C$4995,$D3081,ORDERS!$L$2:$L$4995,"Đã chuyển khoản"))</f>
        <v/>
      </c>
      <c r="X3081" s="23">
        <f>IF(OR($D3081="",$R3081="Trùng"),"",SUMIFS(ORDERS!$J$2:$J$4995,ORDERS!$C$2:$C$4995,$D3081,ORDERS!$L$2:$L$4995,"Đã chuyển khoản"))</f>
        <v/>
      </c>
      <c r="Y3081" s="24" t="n"/>
    </row>
    <row r="3082" ht="14.25" customHeight="1" s="40">
      <c r="A3082" s="24" t="n"/>
      <c r="B3082" s="27" t="n"/>
      <c r="C3082" s="24" t="n"/>
      <c r="D3082" s="28" t="n"/>
      <c r="E3082" s="29" t="n"/>
      <c r="F3082" s="24" t="n"/>
      <c r="G3082" s="24" t="n"/>
      <c r="H3082" s="21">
        <f>IF(ISNUMBER($B3082),INT($B3082)-WEEKDAY($B3082,2)+1,"")</f>
        <v/>
      </c>
      <c r="I3082" s="24" t="n"/>
      <c r="J3082" s="22">
        <f t="array" ref="J3082">IF($D3082="","",IF($I3082="","(trống REF)",IFERROR(INDEX(MASTER_SOURCE!$B$2:$B$495,MATCH($I3082,MASTER_SOURCE!$A$2:$A$495,0)),"(REF không có trong MASTER_SOURCE)")))</f>
        <v/>
      </c>
      <c r="K3082" s="22">
        <f t="array" ref="K3082">IF($D3082="","",IFERROR(INDEX(MASTER_SOURCE!$C$2:$C$495,MATCH($I3082,MASTER_SOURCE!$A$2:$A$495,0)),""))</f>
        <v/>
      </c>
      <c r="L3082" s="22">
        <f t="array" ref="L3082">IF($D3082="","",IFERROR(INDEX(MASTER_SOURCE!$D$2:$D$495,MATCH($I3082,MASTER_SOURCE!$A$2:$A$495,0)),""))</f>
        <v/>
      </c>
      <c r="M3082" s="24" t="n"/>
      <c r="N3082" s="24" t="n"/>
      <c r="O3082" s="24" t="n"/>
      <c r="P3082" s="24" t="n"/>
      <c r="Q3082" s="22">
        <f>IF($D3082="","",IF(AND(OR(DANH_MUC!$L$5&lt;&gt;"Có",M3082="Có"),OR(DANH_MUC!$L$6&lt;&gt;"Có",N3082="Có"),OR(DANH_MUC!$L$7&lt;&gt;"Có",O3082="Có"),OR(DANH_MUC!$L$8&lt;&gt;"Có",P3082="Có")),"Có","Không"))</f>
        <v/>
      </c>
      <c r="R3082" s="22">
        <f>IF($D3082="","",IF(COUNTIF($D$2:$D3082,$D3082)&gt;1,"Trùng",""))</f>
        <v/>
      </c>
      <c r="S3082" s="22">
        <f>IF($D3082="","",IF(AND(LEN($D3082)=10,LEFT($D3082,1)="0",ISNUMBER(--$D3082)),"Có","Không"))</f>
        <v/>
      </c>
      <c r="T3082" s="22">
        <f>IF($D3082="","",IF(AND($C3082&lt;&gt;"",$Q3082="Có",$R3082="",$S3082="Có",AND($L3082&lt;&gt;"",OR($L3082&lt;&gt;"Chưa xác định",DANH_MUC!$L$9="Có"))),"Có","Không"))</f>
        <v/>
      </c>
      <c r="U3082" s="22">
        <f>IF(OR($D3082="",$T3082="Có"),"",IF($C3082="","Thiếu họ tên; ","")&amp;IF($S3082&lt;&gt;"Có","SĐT sai định dạng; ","")&amp;IF($R3082="Trùng","Trùng SĐT; ","")&amp;IF($Q3082&lt;&gt;"Có","Thiếu đồng ý bắt buộc; ","")&amp;IF($L3082="","Thiếu/sai Mã REF; ",IF(AND($L3082="Chưa xác định",DANH_MUC!$L$9&lt;&gt;"Có"),"Nguồn chưa xác định; ","")))</f>
        <v/>
      </c>
      <c r="V3082" s="22">
        <f>IF(OR($D3082="",$R3082="Trùng"),"",IF(COUNTIF(ORDERS!$C$2:$C$4995,$D3082)&gt;0,"Có","Không"))</f>
        <v/>
      </c>
      <c r="W3082" s="22">
        <f>IF(OR($D3082="",$R3082="Trùng"),"",COUNTIFS(ORDERS!$C$2:$C$4995,$D3082,ORDERS!$L$2:$L$4995,"Đã chuyển khoản"))</f>
        <v/>
      </c>
      <c r="X3082" s="23">
        <f>IF(OR($D3082="",$R3082="Trùng"),"",SUMIFS(ORDERS!$J$2:$J$4995,ORDERS!$C$2:$C$4995,$D3082,ORDERS!$L$2:$L$4995,"Đã chuyển khoản"))</f>
        <v/>
      </c>
      <c r="Y3082" s="24" t="n"/>
    </row>
    <row r="3083" ht="14.25" customHeight="1" s="40">
      <c r="A3083" s="24" t="n"/>
      <c r="B3083" s="27" t="n"/>
      <c r="C3083" s="24" t="n"/>
      <c r="D3083" s="28" t="n"/>
      <c r="E3083" s="29" t="n"/>
      <c r="F3083" s="24" t="n"/>
      <c r="G3083" s="24" t="n"/>
      <c r="H3083" s="21">
        <f>IF(ISNUMBER($B3083),INT($B3083)-WEEKDAY($B3083,2)+1,"")</f>
        <v/>
      </c>
      <c r="I3083" s="24" t="n"/>
      <c r="J3083" s="22">
        <f t="array" ref="J3083">IF($D3083="","",IF($I3083="","(trống REF)",IFERROR(INDEX(MASTER_SOURCE!$B$2:$B$495,MATCH($I3083,MASTER_SOURCE!$A$2:$A$495,0)),"(REF không có trong MASTER_SOURCE)")))</f>
        <v/>
      </c>
      <c r="K3083" s="22">
        <f t="array" ref="K3083">IF($D3083="","",IFERROR(INDEX(MASTER_SOURCE!$C$2:$C$495,MATCH($I3083,MASTER_SOURCE!$A$2:$A$495,0)),""))</f>
        <v/>
      </c>
      <c r="L3083" s="22">
        <f t="array" ref="L3083">IF($D3083="","",IFERROR(INDEX(MASTER_SOURCE!$D$2:$D$495,MATCH($I3083,MASTER_SOURCE!$A$2:$A$495,0)),""))</f>
        <v/>
      </c>
      <c r="M3083" s="24" t="n"/>
      <c r="N3083" s="24" t="n"/>
      <c r="O3083" s="24" t="n"/>
      <c r="P3083" s="24" t="n"/>
      <c r="Q3083" s="22">
        <f>IF($D3083="","",IF(AND(OR(DANH_MUC!$L$5&lt;&gt;"Có",M3083="Có"),OR(DANH_MUC!$L$6&lt;&gt;"Có",N3083="Có"),OR(DANH_MUC!$L$7&lt;&gt;"Có",O3083="Có"),OR(DANH_MUC!$L$8&lt;&gt;"Có",P3083="Có")),"Có","Không"))</f>
        <v/>
      </c>
      <c r="R3083" s="22">
        <f>IF($D3083="","",IF(COUNTIF($D$2:$D3083,$D3083)&gt;1,"Trùng",""))</f>
        <v/>
      </c>
      <c r="S3083" s="22">
        <f>IF($D3083="","",IF(AND(LEN($D3083)=10,LEFT($D3083,1)="0",ISNUMBER(--$D3083)),"Có","Không"))</f>
        <v/>
      </c>
      <c r="T3083" s="22">
        <f>IF($D3083="","",IF(AND($C3083&lt;&gt;"",$Q3083="Có",$R3083="",$S3083="Có",AND($L3083&lt;&gt;"",OR($L3083&lt;&gt;"Chưa xác định",DANH_MUC!$L$9="Có"))),"Có","Không"))</f>
        <v/>
      </c>
      <c r="U3083" s="22">
        <f>IF(OR($D3083="",$T3083="Có"),"",IF($C3083="","Thiếu họ tên; ","")&amp;IF($S3083&lt;&gt;"Có","SĐT sai định dạng; ","")&amp;IF($R3083="Trùng","Trùng SĐT; ","")&amp;IF($Q3083&lt;&gt;"Có","Thiếu đồng ý bắt buộc; ","")&amp;IF($L3083="","Thiếu/sai Mã REF; ",IF(AND($L3083="Chưa xác định",DANH_MUC!$L$9&lt;&gt;"Có"),"Nguồn chưa xác định; ","")))</f>
        <v/>
      </c>
      <c r="V3083" s="22">
        <f>IF(OR($D3083="",$R3083="Trùng"),"",IF(COUNTIF(ORDERS!$C$2:$C$4995,$D3083)&gt;0,"Có","Không"))</f>
        <v/>
      </c>
      <c r="W3083" s="22">
        <f>IF(OR($D3083="",$R3083="Trùng"),"",COUNTIFS(ORDERS!$C$2:$C$4995,$D3083,ORDERS!$L$2:$L$4995,"Đã chuyển khoản"))</f>
        <v/>
      </c>
      <c r="X3083" s="23">
        <f>IF(OR($D3083="",$R3083="Trùng"),"",SUMIFS(ORDERS!$J$2:$J$4995,ORDERS!$C$2:$C$4995,$D3083,ORDERS!$L$2:$L$4995,"Đã chuyển khoản"))</f>
        <v/>
      </c>
      <c r="Y3083" s="24" t="n"/>
    </row>
    <row r="3084" ht="14.25" customHeight="1" s="40">
      <c r="A3084" s="24" t="n"/>
      <c r="B3084" s="27" t="n"/>
      <c r="C3084" s="24" t="n"/>
      <c r="D3084" s="28" t="n"/>
      <c r="E3084" s="29" t="n"/>
      <c r="F3084" s="24" t="n"/>
      <c r="G3084" s="24" t="n"/>
      <c r="H3084" s="21">
        <f>IF(ISNUMBER($B3084),INT($B3084)-WEEKDAY($B3084,2)+1,"")</f>
        <v/>
      </c>
      <c r="I3084" s="24" t="n"/>
      <c r="J3084" s="22">
        <f t="array" ref="J3084">IF($D3084="","",IF($I3084="","(trống REF)",IFERROR(INDEX(MASTER_SOURCE!$B$2:$B$495,MATCH($I3084,MASTER_SOURCE!$A$2:$A$495,0)),"(REF không có trong MASTER_SOURCE)")))</f>
        <v/>
      </c>
      <c r="K3084" s="22">
        <f t="array" ref="K3084">IF($D3084="","",IFERROR(INDEX(MASTER_SOURCE!$C$2:$C$495,MATCH($I3084,MASTER_SOURCE!$A$2:$A$495,0)),""))</f>
        <v/>
      </c>
      <c r="L3084" s="22">
        <f t="array" ref="L3084">IF($D3084="","",IFERROR(INDEX(MASTER_SOURCE!$D$2:$D$495,MATCH($I3084,MASTER_SOURCE!$A$2:$A$495,0)),""))</f>
        <v/>
      </c>
      <c r="M3084" s="24" t="n"/>
      <c r="N3084" s="24" t="n"/>
      <c r="O3084" s="24" t="n"/>
      <c r="P3084" s="24" t="n"/>
      <c r="Q3084" s="22">
        <f>IF($D3084="","",IF(AND(OR(DANH_MUC!$L$5&lt;&gt;"Có",M3084="Có"),OR(DANH_MUC!$L$6&lt;&gt;"Có",N3084="Có"),OR(DANH_MUC!$L$7&lt;&gt;"Có",O3084="Có"),OR(DANH_MUC!$L$8&lt;&gt;"Có",P3084="Có")),"Có","Không"))</f>
        <v/>
      </c>
      <c r="R3084" s="22">
        <f>IF($D3084="","",IF(COUNTIF($D$2:$D3084,$D3084)&gt;1,"Trùng",""))</f>
        <v/>
      </c>
      <c r="S3084" s="22">
        <f>IF($D3084="","",IF(AND(LEN($D3084)=10,LEFT($D3084,1)="0",ISNUMBER(--$D3084)),"Có","Không"))</f>
        <v/>
      </c>
      <c r="T3084" s="22">
        <f>IF($D3084="","",IF(AND($C3084&lt;&gt;"",$Q3084="Có",$R3084="",$S3084="Có",AND($L3084&lt;&gt;"",OR($L3084&lt;&gt;"Chưa xác định",DANH_MUC!$L$9="Có"))),"Có","Không"))</f>
        <v/>
      </c>
      <c r="U3084" s="22">
        <f>IF(OR($D3084="",$T3084="Có"),"",IF($C3084="","Thiếu họ tên; ","")&amp;IF($S3084&lt;&gt;"Có","SĐT sai định dạng; ","")&amp;IF($R3084="Trùng","Trùng SĐT; ","")&amp;IF($Q3084&lt;&gt;"Có","Thiếu đồng ý bắt buộc; ","")&amp;IF($L3084="","Thiếu/sai Mã REF; ",IF(AND($L3084="Chưa xác định",DANH_MUC!$L$9&lt;&gt;"Có"),"Nguồn chưa xác định; ","")))</f>
        <v/>
      </c>
      <c r="V3084" s="22">
        <f>IF(OR($D3084="",$R3084="Trùng"),"",IF(COUNTIF(ORDERS!$C$2:$C$4995,$D3084)&gt;0,"Có","Không"))</f>
        <v/>
      </c>
      <c r="W3084" s="22">
        <f>IF(OR($D3084="",$R3084="Trùng"),"",COUNTIFS(ORDERS!$C$2:$C$4995,$D3084,ORDERS!$L$2:$L$4995,"Đã chuyển khoản"))</f>
        <v/>
      </c>
      <c r="X3084" s="23">
        <f>IF(OR($D3084="",$R3084="Trùng"),"",SUMIFS(ORDERS!$J$2:$J$4995,ORDERS!$C$2:$C$4995,$D3084,ORDERS!$L$2:$L$4995,"Đã chuyển khoản"))</f>
        <v/>
      </c>
      <c r="Y3084" s="24" t="n"/>
    </row>
    <row r="3085" ht="14.25" customHeight="1" s="40">
      <c r="A3085" s="24" t="n"/>
      <c r="B3085" s="27" t="n"/>
      <c r="C3085" s="24" t="n"/>
      <c r="D3085" s="28" t="n"/>
      <c r="E3085" s="29" t="n"/>
      <c r="F3085" s="24" t="n"/>
      <c r="G3085" s="24" t="n"/>
      <c r="H3085" s="21">
        <f>IF(ISNUMBER($B3085),INT($B3085)-WEEKDAY($B3085,2)+1,"")</f>
        <v/>
      </c>
      <c r="I3085" s="24" t="n"/>
      <c r="J3085" s="22">
        <f t="array" ref="J3085">IF($D3085="","",IF($I3085="","(trống REF)",IFERROR(INDEX(MASTER_SOURCE!$B$2:$B$495,MATCH($I3085,MASTER_SOURCE!$A$2:$A$495,0)),"(REF không có trong MASTER_SOURCE)")))</f>
        <v/>
      </c>
      <c r="K3085" s="22">
        <f t="array" ref="K3085">IF($D3085="","",IFERROR(INDEX(MASTER_SOURCE!$C$2:$C$495,MATCH($I3085,MASTER_SOURCE!$A$2:$A$495,0)),""))</f>
        <v/>
      </c>
      <c r="L3085" s="22">
        <f t="array" ref="L3085">IF($D3085="","",IFERROR(INDEX(MASTER_SOURCE!$D$2:$D$495,MATCH($I3085,MASTER_SOURCE!$A$2:$A$495,0)),""))</f>
        <v/>
      </c>
      <c r="M3085" s="24" t="n"/>
      <c r="N3085" s="24" t="n"/>
      <c r="O3085" s="24" t="n"/>
      <c r="P3085" s="24" t="n"/>
      <c r="Q3085" s="22">
        <f>IF($D3085="","",IF(AND(OR(DANH_MUC!$L$5&lt;&gt;"Có",M3085="Có"),OR(DANH_MUC!$L$6&lt;&gt;"Có",N3085="Có"),OR(DANH_MUC!$L$7&lt;&gt;"Có",O3085="Có"),OR(DANH_MUC!$L$8&lt;&gt;"Có",P3085="Có")),"Có","Không"))</f>
        <v/>
      </c>
      <c r="R3085" s="22">
        <f>IF($D3085="","",IF(COUNTIF($D$2:$D3085,$D3085)&gt;1,"Trùng",""))</f>
        <v/>
      </c>
      <c r="S3085" s="22">
        <f>IF($D3085="","",IF(AND(LEN($D3085)=10,LEFT($D3085,1)="0",ISNUMBER(--$D3085)),"Có","Không"))</f>
        <v/>
      </c>
      <c r="T3085" s="22">
        <f>IF($D3085="","",IF(AND($C3085&lt;&gt;"",$Q3085="Có",$R3085="",$S3085="Có",AND($L3085&lt;&gt;"",OR($L3085&lt;&gt;"Chưa xác định",DANH_MUC!$L$9="Có"))),"Có","Không"))</f>
        <v/>
      </c>
      <c r="U3085" s="22">
        <f>IF(OR($D3085="",$T3085="Có"),"",IF($C3085="","Thiếu họ tên; ","")&amp;IF($S3085&lt;&gt;"Có","SĐT sai định dạng; ","")&amp;IF($R3085="Trùng","Trùng SĐT; ","")&amp;IF($Q3085&lt;&gt;"Có","Thiếu đồng ý bắt buộc; ","")&amp;IF($L3085="","Thiếu/sai Mã REF; ",IF(AND($L3085="Chưa xác định",DANH_MUC!$L$9&lt;&gt;"Có"),"Nguồn chưa xác định; ","")))</f>
        <v/>
      </c>
      <c r="V3085" s="22">
        <f>IF(OR($D3085="",$R3085="Trùng"),"",IF(COUNTIF(ORDERS!$C$2:$C$4995,$D3085)&gt;0,"Có","Không"))</f>
        <v/>
      </c>
      <c r="W3085" s="22">
        <f>IF(OR($D3085="",$R3085="Trùng"),"",COUNTIFS(ORDERS!$C$2:$C$4995,$D3085,ORDERS!$L$2:$L$4995,"Đã chuyển khoản"))</f>
        <v/>
      </c>
      <c r="X3085" s="23">
        <f>IF(OR($D3085="",$R3085="Trùng"),"",SUMIFS(ORDERS!$J$2:$J$4995,ORDERS!$C$2:$C$4995,$D3085,ORDERS!$L$2:$L$4995,"Đã chuyển khoản"))</f>
        <v/>
      </c>
      <c r="Y3085" s="24" t="n"/>
    </row>
    <row r="3086" ht="14.25" customHeight="1" s="40">
      <c r="A3086" s="24" t="n"/>
      <c r="B3086" s="27" t="n"/>
      <c r="C3086" s="24" t="n"/>
      <c r="D3086" s="28" t="n"/>
      <c r="E3086" s="29" t="n"/>
      <c r="F3086" s="24" t="n"/>
      <c r="G3086" s="24" t="n"/>
      <c r="H3086" s="21">
        <f>IF(ISNUMBER($B3086),INT($B3086)-WEEKDAY($B3086,2)+1,"")</f>
        <v/>
      </c>
      <c r="I3086" s="24" t="n"/>
      <c r="J3086" s="22">
        <f t="array" ref="J3086">IF($D3086="","",IF($I3086="","(trống REF)",IFERROR(INDEX(MASTER_SOURCE!$B$2:$B$495,MATCH($I3086,MASTER_SOURCE!$A$2:$A$495,0)),"(REF không có trong MASTER_SOURCE)")))</f>
        <v/>
      </c>
      <c r="K3086" s="22">
        <f t="array" ref="K3086">IF($D3086="","",IFERROR(INDEX(MASTER_SOURCE!$C$2:$C$495,MATCH($I3086,MASTER_SOURCE!$A$2:$A$495,0)),""))</f>
        <v/>
      </c>
      <c r="L3086" s="22">
        <f t="array" ref="L3086">IF($D3086="","",IFERROR(INDEX(MASTER_SOURCE!$D$2:$D$495,MATCH($I3086,MASTER_SOURCE!$A$2:$A$495,0)),""))</f>
        <v/>
      </c>
      <c r="M3086" s="24" t="n"/>
      <c r="N3086" s="24" t="n"/>
      <c r="O3086" s="24" t="n"/>
      <c r="P3086" s="24" t="n"/>
      <c r="Q3086" s="22">
        <f>IF($D3086="","",IF(AND(OR(DANH_MUC!$L$5&lt;&gt;"Có",M3086="Có"),OR(DANH_MUC!$L$6&lt;&gt;"Có",N3086="Có"),OR(DANH_MUC!$L$7&lt;&gt;"Có",O3086="Có"),OR(DANH_MUC!$L$8&lt;&gt;"Có",P3086="Có")),"Có","Không"))</f>
        <v/>
      </c>
      <c r="R3086" s="22">
        <f>IF($D3086="","",IF(COUNTIF($D$2:$D3086,$D3086)&gt;1,"Trùng",""))</f>
        <v/>
      </c>
      <c r="S3086" s="22">
        <f>IF($D3086="","",IF(AND(LEN($D3086)=10,LEFT($D3086,1)="0",ISNUMBER(--$D3086)),"Có","Không"))</f>
        <v/>
      </c>
      <c r="T3086" s="22">
        <f>IF($D3086="","",IF(AND($C3086&lt;&gt;"",$Q3086="Có",$R3086="",$S3086="Có",AND($L3086&lt;&gt;"",OR($L3086&lt;&gt;"Chưa xác định",DANH_MUC!$L$9="Có"))),"Có","Không"))</f>
        <v/>
      </c>
      <c r="U3086" s="22">
        <f>IF(OR($D3086="",$T3086="Có"),"",IF($C3086="","Thiếu họ tên; ","")&amp;IF($S3086&lt;&gt;"Có","SĐT sai định dạng; ","")&amp;IF($R3086="Trùng","Trùng SĐT; ","")&amp;IF($Q3086&lt;&gt;"Có","Thiếu đồng ý bắt buộc; ","")&amp;IF($L3086="","Thiếu/sai Mã REF; ",IF(AND($L3086="Chưa xác định",DANH_MUC!$L$9&lt;&gt;"Có"),"Nguồn chưa xác định; ","")))</f>
        <v/>
      </c>
      <c r="V3086" s="22">
        <f>IF(OR($D3086="",$R3086="Trùng"),"",IF(COUNTIF(ORDERS!$C$2:$C$4995,$D3086)&gt;0,"Có","Không"))</f>
        <v/>
      </c>
      <c r="W3086" s="22">
        <f>IF(OR($D3086="",$R3086="Trùng"),"",COUNTIFS(ORDERS!$C$2:$C$4995,$D3086,ORDERS!$L$2:$L$4995,"Đã chuyển khoản"))</f>
        <v/>
      </c>
      <c r="X3086" s="23">
        <f>IF(OR($D3086="",$R3086="Trùng"),"",SUMIFS(ORDERS!$J$2:$J$4995,ORDERS!$C$2:$C$4995,$D3086,ORDERS!$L$2:$L$4995,"Đã chuyển khoản"))</f>
        <v/>
      </c>
      <c r="Y3086" s="24" t="n"/>
    </row>
    <row r="3087" ht="14.25" customHeight="1" s="40">
      <c r="A3087" s="24" t="n"/>
      <c r="B3087" s="27" t="n"/>
      <c r="C3087" s="24" t="n"/>
      <c r="D3087" s="28" t="n"/>
      <c r="E3087" s="29" t="n"/>
      <c r="F3087" s="24" t="n"/>
      <c r="G3087" s="24" t="n"/>
      <c r="H3087" s="21">
        <f>IF(ISNUMBER($B3087),INT($B3087)-WEEKDAY($B3087,2)+1,"")</f>
        <v/>
      </c>
      <c r="I3087" s="24" t="n"/>
      <c r="J3087" s="22">
        <f t="array" ref="J3087">IF($D3087="","",IF($I3087="","(trống REF)",IFERROR(INDEX(MASTER_SOURCE!$B$2:$B$495,MATCH($I3087,MASTER_SOURCE!$A$2:$A$495,0)),"(REF không có trong MASTER_SOURCE)")))</f>
        <v/>
      </c>
      <c r="K3087" s="22">
        <f t="array" ref="K3087">IF($D3087="","",IFERROR(INDEX(MASTER_SOURCE!$C$2:$C$495,MATCH($I3087,MASTER_SOURCE!$A$2:$A$495,0)),""))</f>
        <v/>
      </c>
      <c r="L3087" s="22">
        <f t="array" ref="L3087">IF($D3087="","",IFERROR(INDEX(MASTER_SOURCE!$D$2:$D$495,MATCH($I3087,MASTER_SOURCE!$A$2:$A$495,0)),""))</f>
        <v/>
      </c>
      <c r="M3087" s="24" t="n"/>
      <c r="N3087" s="24" t="n"/>
      <c r="O3087" s="24" t="n"/>
      <c r="P3087" s="24" t="n"/>
      <c r="Q3087" s="22">
        <f>IF($D3087="","",IF(AND(OR(DANH_MUC!$L$5&lt;&gt;"Có",M3087="Có"),OR(DANH_MUC!$L$6&lt;&gt;"Có",N3087="Có"),OR(DANH_MUC!$L$7&lt;&gt;"Có",O3087="Có"),OR(DANH_MUC!$L$8&lt;&gt;"Có",P3087="Có")),"Có","Không"))</f>
        <v/>
      </c>
      <c r="R3087" s="22">
        <f>IF($D3087="","",IF(COUNTIF($D$2:$D3087,$D3087)&gt;1,"Trùng",""))</f>
        <v/>
      </c>
      <c r="S3087" s="22">
        <f>IF($D3087="","",IF(AND(LEN($D3087)=10,LEFT($D3087,1)="0",ISNUMBER(--$D3087)),"Có","Không"))</f>
        <v/>
      </c>
      <c r="T3087" s="22">
        <f>IF($D3087="","",IF(AND($C3087&lt;&gt;"",$Q3087="Có",$R3087="",$S3087="Có",AND($L3087&lt;&gt;"",OR($L3087&lt;&gt;"Chưa xác định",DANH_MUC!$L$9="Có"))),"Có","Không"))</f>
        <v/>
      </c>
      <c r="U3087" s="22">
        <f>IF(OR($D3087="",$T3087="Có"),"",IF($C3087="","Thiếu họ tên; ","")&amp;IF($S3087&lt;&gt;"Có","SĐT sai định dạng; ","")&amp;IF($R3087="Trùng","Trùng SĐT; ","")&amp;IF($Q3087&lt;&gt;"Có","Thiếu đồng ý bắt buộc; ","")&amp;IF($L3087="","Thiếu/sai Mã REF; ",IF(AND($L3087="Chưa xác định",DANH_MUC!$L$9&lt;&gt;"Có"),"Nguồn chưa xác định; ","")))</f>
        <v/>
      </c>
      <c r="V3087" s="22">
        <f>IF(OR($D3087="",$R3087="Trùng"),"",IF(COUNTIF(ORDERS!$C$2:$C$4995,$D3087)&gt;0,"Có","Không"))</f>
        <v/>
      </c>
      <c r="W3087" s="22">
        <f>IF(OR($D3087="",$R3087="Trùng"),"",COUNTIFS(ORDERS!$C$2:$C$4995,$D3087,ORDERS!$L$2:$L$4995,"Đã chuyển khoản"))</f>
        <v/>
      </c>
      <c r="X3087" s="23">
        <f>IF(OR($D3087="",$R3087="Trùng"),"",SUMIFS(ORDERS!$J$2:$J$4995,ORDERS!$C$2:$C$4995,$D3087,ORDERS!$L$2:$L$4995,"Đã chuyển khoản"))</f>
        <v/>
      </c>
      <c r="Y3087" s="24" t="n"/>
    </row>
    <row r="3088" ht="14.25" customHeight="1" s="40">
      <c r="A3088" s="24" t="n"/>
      <c r="B3088" s="27" t="n"/>
      <c r="C3088" s="24" t="n"/>
      <c r="D3088" s="28" t="n"/>
      <c r="E3088" s="29" t="n"/>
      <c r="F3088" s="24" t="n"/>
      <c r="G3088" s="24" t="n"/>
      <c r="H3088" s="21">
        <f>IF(ISNUMBER($B3088),INT($B3088)-WEEKDAY($B3088,2)+1,"")</f>
        <v/>
      </c>
      <c r="I3088" s="24" t="n"/>
      <c r="J3088" s="22">
        <f t="array" ref="J3088">IF($D3088="","",IF($I3088="","(trống REF)",IFERROR(INDEX(MASTER_SOURCE!$B$2:$B$495,MATCH($I3088,MASTER_SOURCE!$A$2:$A$495,0)),"(REF không có trong MASTER_SOURCE)")))</f>
        <v/>
      </c>
      <c r="K3088" s="22">
        <f t="array" ref="K3088">IF($D3088="","",IFERROR(INDEX(MASTER_SOURCE!$C$2:$C$495,MATCH($I3088,MASTER_SOURCE!$A$2:$A$495,0)),""))</f>
        <v/>
      </c>
      <c r="L3088" s="22">
        <f t="array" ref="L3088">IF($D3088="","",IFERROR(INDEX(MASTER_SOURCE!$D$2:$D$495,MATCH($I3088,MASTER_SOURCE!$A$2:$A$495,0)),""))</f>
        <v/>
      </c>
      <c r="M3088" s="24" t="n"/>
      <c r="N3088" s="24" t="n"/>
      <c r="O3088" s="24" t="n"/>
      <c r="P3088" s="24" t="n"/>
      <c r="Q3088" s="22">
        <f>IF($D3088="","",IF(AND(OR(DANH_MUC!$L$5&lt;&gt;"Có",M3088="Có"),OR(DANH_MUC!$L$6&lt;&gt;"Có",N3088="Có"),OR(DANH_MUC!$L$7&lt;&gt;"Có",O3088="Có"),OR(DANH_MUC!$L$8&lt;&gt;"Có",P3088="Có")),"Có","Không"))</f>
        <v/>
      </c>
      <c r="R3088" s="22">
        <f>IF($D3088="","",IF(COUNTIF($D$2:$D3088,$D3088)&gt;1,"Trùng",""))</f>
        <v/>
      </c>
      <c r="S3088" s="22">
        <f>IF($D3088="","",IF(AND(LEN($D3088)=10,LEFT($D3088,1)="0",ISNUMBER(--$D3088)),"Có","Không"))</f>
        <v/>
      </c>
      <c r="T3088" s="22">
        <f>IF($D3088="","",IF(AND($C3088&lt;&gt;"",$Q3088="Có",$R3088="",$S3088="Có",AND($L3088&lt;&gt;"",OR($L3088&lt;&gt;"Chưa xác định",DANH_MUC!$L$9="Có"))),"Có","Không"))</f>
        <v/>
      </c>
      <c r="U3088" s="22">
        <f>IF(OR($D3088="",$T3088="Có"),"",IF($C3088="","Thiếu họ tên; ","")&amp;IF($S3088&lt;&gt;"Có","SĐT sai định dạng; ","")&amp;IF($R3088="Trùng","Trùng SĐT; ","")&amp;IF($Q3088&lt;&gt;"Có","Thiếu đồng ý bắt buộc; ","")&amp;IF($L3088="","Thiếu/sai Mã REF; ",IF(AND($L3088="Chưa xác định",DANH_MUC!$L$9&lt;&gt;"Có"),"Nguồn chưa xác định; ","")))</f>
        <v/>
      </c>
      <c r="V3088" s="22">
        <f>IF(OR($D3088="",$R3088="Trùng"),"",IF(COUNTIF(ORDERS!$C$2:$C$4995,$D3088)&gt;0,"Có","Không"))</f>
        <v/>
      </c>
      <c r="W3088" s="22">
        <f>IF(OR($D3088="",$R3088="Trùng"),"",COUNTIFS(ORDERS!$C$2:$C$4995,$D3088,ORDERS!$L$2:$L$4995,"Đã chuyển khoản"))</f>
        <v/>
      </c>
      <c r="X3088" s="23">
        <f>IF(OR($D3088="",$R3088="Trùng"),"",SUMIFS(ORDERS!$J$2:$J$4995,ORDERS!$C$2:$C$4995,$D3088,ORDERS!$L$2:$L$4995,"Đã chuyển khoản"))</f>
        <v/>
      </c>
      <c r="Y3088" s="24" t="n"/>
    </row>
    <row r="3089" ht="14.25" customHeight="1" s="40">
      <c r="A3089" s="24" t="n"/>
      <c r="B3089" s="27" t="n"/>
      <c r="C3089" s="24" t="n"/>
      <c r="D3089" s="28" t="n"/>
      <c r="E3089" s="29" t="n"/>
      <c r="F3089" s="24" t="n"/>
      <c r="G3089" s="24" t="n"/>
      <c r="H3089" s="21">
        <f>IF(ISNUMBER($B3089),INT($B3089)-WEEKDAY($B3089,2)+1,"")</f>
        <v/>
      </c>
      <c r="I3089" s="24" t="n"/>
      <c r="J3089" s="22">
        <f t="array" ref="J3089">IF($D3089="","",IF($I3089="","(trống REF)",IFERROR(INDEX(MASTER_SOURCE!$B$2:$B$495,MATCH($I3089,MASTER_SOURCE!$A$2:$A$495,0)),"(REF không có trong MASTER_SOURCE)")))</f>
        <v/>
      </c>
      <c r="K3089" s="22">
        <f t="array" ref="K3089">IF($D3089="","",IFERROR(INDEX(MASTER_SOURCE!$C$2:$C$495,MATCH($I3089,MASTER_SOURCE!$A$2:$A$495,0)),""))</f>
        <v/>
      </c>
      <c r="L3089" s="22">
        <f t="array" ref="L3089">IF($D3089="","",IFERROR(INDEX(MASTER_SOURCE!$D$2:$D$495,MATCH($I3089,MASTER_SOURCE!$A$2:$A$495,0)),""))</f>
        <v/>
      </c>
      <c r="M3089" s="24" t="n"/>
      <c r="N3089" s="24" t="n"/>
      <c r="O3089" s="24" t="n"/>
      <c r="P3089" s="24" t="n"/>
      <c r="Q3089" s="22">
        <f>IF($D3089="","",IF(AND(OR(DANH_MUC!$L$5&lt;&gt;"Có",M3089="Có"),OR(DANH_MUC!$L$6&lt;&gt;"Có",N3089="Có"),OR(DANH_MUC!$L$7&lt;&gt;"Có",O3089="Có"),OR(DANH_MUC!$L$8&lt;&gt;"Có",P3089="Có")),"Có","Không"))</f>
        <v/>
      </c>
      <c r="R3089" s="22">
        <f>IF($D3089="","",IF(COUNTIF($D$2:$D3089,$D3089)&gt;1,"Trùng",""))</f>
        <v/>
      </c>
      <c r="S3089" s="22">
        <f>IF($D3089="","",IF(AND(LEN($D3089)=10,LEFT($D3089,1)="0",ISNUMBER(--$D3089)),"Có","Không"))</f>
        <v/>
      </c>
      <c r="T3089" s="22">
        <f>IF($D3089="","",IF(AND($C3089&lt;&gt;"",$Q3089="Có",$R3089="",$S3089="Có",AND($L3089&lt;&gt;"",OR($L3089&lt;&gt;"Chưa xác định",DANH_MUC!$L$9="Có"))),"Có","Không"))</f>
        <v/>
      </c>
      <c r="U3089" s="22">
        <f>IF(OR($D3089="",$T3089="Có"),"",IF($C3089="","Thiếu họ tên; ","")&amp;IF($S3089&lt;&gt;"Có","SĐT sai định dạng; ","")&amp;IF($R3089="Trùng","Trùng SĐT; ","")&amp;IF($Q3089&lt;&gt;"Có","Thiếu đồng ý bắt buộc; ","")&amp;IF($L3089="","Thiếu/sai Mã REF; ",IF(AND($L3089="Chưa xác định",DANH_MUC!$L$9&lt;&gt;"Có"),"Nguồn chưa xác định; ","")))</f>
        <v/>
      </c>
      <c r="V3089" s="22">
        <f>IF(OR($D3089="",$R3089="Trùng"),"",IF(COUNTIF(ORDERS!$C$2:$C$4995,$D3089)&gt;0,"Có","Không"))</f>
        <v/>
      </c>
      <c r="W3089" s="22">
        <f>IF(OR($D3089="",$R3089="Trùng"),"",COUNTIFS(ORDERS!$C$2:$C$4995,$D3089,ORDERS!$L$2:$L$4995,"Đã chuyển khoản"))</f>
        <v/>
      </c>
      <c r="X3089" s="23">
        <f>IF(OR($D3089="",$R3089="Trùng"),"",SUMIFS(ORDERS!$J$2:$J$4995,ORDERS!$C$2:$C$4995,$D3089,ORDERS!$L$2:$L$4995,"Đã chuyển khoản"))</f>
        <v/>
      </c>
      <c r="Y3089" s="24" t="n"/>
    </row>
    <row r="3090" ht="14.25" customHeight="1" s="40">
      <c r="A3090" s="24" t="n"/>
      <c r="B3090" s="27" t="n"/>
      <c r="C3090" s="24" t="n"/>
      <c r="D3090" s="28" t="n"/>
      <c r="E3090" s="29" t="n"/>
      <c r="F3090" s="24" t="n"/>
      <c r="G3090" s="24" t="n"/>
      <c r="H3090" s="21">
        <f>IF(ISNUMBER($B3090),INT($B3090)-WEEKDAY($B3090,2)+1,"")</f>
        <v/>
      </c>
      <c r="I3090" s="24" t="n"/>
      <c r="J3090" s="22">
        <f t="array" ref="J3090">IF($D3090="","",IF($I3090="","(trống REF)",IFERROR(INDEX(MASTER_SOURCE!$B$2:$B$495,MATCH($I3090,MASTER_SOURCE!$A$2:$A$495,0)),"(REF không có trong MASTER_SOURCE)")))</f>
        <v/>
      </c>
      <c r="K3090" s="22">
        <f t="array" ref="K3090">IF($D3090="","",IFERROR(INDEX(MASTER_SOURCE!$C$2:$C$495,MATCH($I3090,MASTER_SOURCE!$A$2:$A$495,0)),""))</f>
        <v/>
      </c>
      <c r="L3090" s="22">
        <f t="array" ref="L3090">IF($D3090="","",IFERROR(INDEX(MASTER_SOURCE!$D$2:$D$495,MATCH($I3090,MASTER_SOURCE!$A$2:$A$495,0)),""))</f>
        <v/>
      </c>
      <c r="M3090" s="24" t="n"/>
      <c r="N3090" s="24" t="n"/>
      <c r="O3090" s="24" t="n"/>
      <c r="P3090" s="24" t="n"/>
      <c r="Q3090" s="22">
        <f>IF($D3090="","",IF(AND(OR(DANH_MUC!$L$5&lt;&gt;"Có",M3090="Có"),OR(DANH_MUC!$L$6&lt;&gt;"Có",N3090="Có"),OR(DANH_MUC!$L$7&lt;&gt;"Có",O3090="Có"),OR(DANH_MUC!$L$8&lt;&gt;"Có",P3090="Có")),"Có","Không"))</f>
        <v/>
      </c>
      <c r="R3090" s="22">
        <f>IF($D3090="","",IF(COUNTIF($D$2:$D3090,$D3090)&gt;1,"Trùng",""))</f>
        <v/>
      </c>
      <c r="S3090" s="22">
        <f>IF($D3090="","",IF(AND(LEN($D3090)=10,LEFT($D3090,1)="0",ISNUMBER(--$D3090)),"Có","Không"))</f>
        <v/>
      </c>
      <c r="T3090" s="22">
        <f>IF($D3090="","",IF(AND($C3090&lt;&gt;"",$Q3090="Có",$R3090="",$S3090="Có",AND($L3090&lt;&gt;"",OR($L3090&lt;&gt;"Chưa xác định",DANH_MUC!$L$9="Có"))),"Có","Không"))</f>
        <v/>
      </c>
      <c r="U3090" s="22">
        <f>IF(OR($D3090="",$T3090="Có"),"",IF($C3090="","Thiếu họ tên; ","")&amp;IF($S3090&lt;&gt;"Có","SĐT sai định dạng; ","")&amp;IF($R3090="Trùng","Trùng SĐT; ","")&amp;IF($Q3090&lt;&gt;"Có","Thiếu đồng ý bắt buộc; ","")&amp;IF($L3090="","Thiếu/sai Mã REF; ",IF(AND($L3090="Chưa xác định",DANH_MUC!$L$9&lt;&gt;"Có"),"Nguồn chưa xác định; ","")))</f>
        <v/>
      </c>
      <c r="V3090" s="22">
        <f>IF(OR($D3090="",$R3090="Trùng"),"",IF(COUNTIF(ORDERS!$C$2:$C$4995,$D3090)&gt;0,"Có","Không"))</f>
        <v/>
      </c>
      <c r="W3090" s="22">
        <f>IF(OR($D3090="",$R3090="Trùng"),"",COUNTIFS(ORDERS!$C$2:$C$4995,$D3090,ORDERS!$L$2:$L$4995,"Đã chuyển khoản"))</f>
        <v/>
      </c>
      <c r="X3090" s="23">
        <f>IF(OR($D3090="",$R3090="Trùng"),"",SUMIFS(ORDERS!$J$2:$J$4995,ORDERS!$C$2:$C$4995,$D3090,ORDERS!$L$2:$L$4995,"Đã chuyển khoản"))</f>
        <v/>
      </c>
      <c r="Y3090" s="24" t="n"/>
    </row>
    <row r="3091" ht="14.25" customHeight="1" s="40">
      <c r="A3091" s="24" t="n"/>
      <c r="B3091" s="27" t="n"/>
      <c r="C3091" s="24" t="n"/>
      <c r="D3091" s="28" t="n"/>
      <c r="E3091" s="29" t="n"/>
      <c r="F3091" s="24" t="n"/>
      <c r="G3091" s="24" t="n"/>
      <c r="H3091" s="21">
        <f>IF(ISNUMBER($B3091),INT($B3091)-WEEKDAY($B3091,2)+1,"")</f>
        <v/>
      </c>
      <c r="I3091" s="24" t="n"/>
      <c r="J3091" s="22">
        <f t="array" ref="J3091">IF($D3091="","",IF($I3091="","(trống REF)",IFERROR(INDEX(MASTER_SOURCE!$B$2:$B$495,MATCH($I3091,MASTER_SOURCE!$A$2:$A$495,0)),"(REF không có trong MASTER_SOURCE)")))</f>
        <v/>
      </c>
      <c r="K3091" s="22">
        <f t="array" ref="K3091">IF($D3091="","",IFERROR(INDEX(MASTER_SOURCE!$C$2:$C$495,MATCH($I3091,MASTER_SOURCE!$A$2:$A$495,0)),""))</f>
        <v/>
      </c>
      <c r="L3091" s="22">
        <f t="array" ref="L3091">IF($D3091="","",IFERROR(INDEX(MASTER_SOURCE!$D$2:$D$495,MATCH($I3091,MASTER_SOURCE!$A$2:$A$495,0)),""))</f>
        <v/>
      </c>
      <c r="M3091" s="24" t="n"/>
      <c r="N3091" s="24" t="n"/>
      <c r="O3091" s="24" t="n"/>
      <c r="P3091" s="24" t="n"/>
      <c r="Q3091" s="22">
        <f>IF($D3091="","",IF(AND(OR(DANH_MUC!$L$5&lt;&gt;"Có",M3091="Có"),OR(DANH_MUC!$L$6&lt;&gt;"Có",N3091="Có"),OR(DANH_MUC!$L$7&lt;&gt;"Có",O3091="Có"),OR(DANH_MUC!$L$8&lt;&gt;"Có",P3091="Có")),"Có","Không"))</f>
        <v/>
      </c>
      <c r="R3091" s="22">
        <f>IF($D3091="","",IF(COUNTIF($D$2:$D3091,$D3091)&gt;1,"Trùng",""))</f>
        <v/>
      </c>
      <c r="S3091" s="22">
        <f>IF($D3091="","",IF(AND(LEN($D3091)=10,LEFT($D3091,1)="0",ISNUMBER(--$D3091)),"Có","Không"))</f>
        <v/>
      </c>
      <c r="T3091" s="22">
        <f>IF($D3091="","",IF(AND($C3091&lt;&gt;"",$Q3091="Có",$R3091="",$S3091="Có",AND($L3091&lt;&gt;"",OR($L3091&lt;&gt;"Chưa xác định",DANH_MUC!$L$9="Có"))),"Có","Không"))</f>
        <v/>
      </c>
      <c r="U3091" s="22">
        <f>IF(OR($D3091="",$T3091="Có"),"",IF($C3091="","Thiếu họ tên; ","")&amp;IF($S3091&lt;&gt;"Có","SĐT sai định dạng; ","")&amp;IF($R3091="Trùng","Trùng SĐT; ","")&amp;IF($Q3091&lt;&gt;"Có","Thiếu đồng ý bắt buộc; ","")&amp;IF($L3091="","Thiếu/sai Mã REF; ",IF(AND($L3091="Chưa xác định",DANH_MUC!$L$9&lt;&gt;"Có"),"Nguồn chưa xác định; ","")))</f>
        <v/>
      </c>
      <c r="V3091" s="22">
        <f>IF(OR($D3091="",$R3091="Trùng"),"",IF(COUNTIF(ORDERS!$C$2:$C$4995,$D3091)&gt;0,"Có","Không"))</f>
        <v/>
      </c>
      <c r="W3091" s="22">
        <f>IF(OR($D3091="",$R3091="Trùng"),"",COUNTIFS(ORDERS!$C$2:$C$4995,$D3091,ORDERS!$L$2:$L$4995,"Đã chuyển khoản"))</f>
        <v/>
      </c>
      <c r="X3091" s="23">
        <f>IF(OR($D3091="",$R3091="Trùng"),"",SUMIFS(ORDERS!$J$2:$J$4995,ORDERS!$C$2:$C$4995,$D3091,ORDERS!$L$2:$L$4995,"Đã chuyển khoản"))</f>
        <v/>
      </c>
      <c r="Y3091" s="24" t="n"/>
    </row>
    <row r="3092" ht="14.25" customHeight="1" s="40">
      <c r="A3092" s="24" t="n"/>
      <c r="B3092" s="27" t="n"/>
      <c r="C3092" s="24" t="n"/>
      <c r="D3092" s="28" t="n"/>
      <c r="E3092" s="29" t="n"/>
      <c r="F3092" s="24" t="n"/>
      <c r="G3092" s="24" t="n"/>
      <c r="H3092" s="21">
        <f>IF(ISNUMBER($B3092),INT($B3092)-WEEKDAY($B3092,2)+1,"")</f>
        <v/>
      </c>
      <c r="I3092" s="24" t="n"/>
      <c r="J3092" s="22">
        <f t="array" ref="J3092">IF($D3092="","",IF($I3092="","(trống REF)",IFERROR(INDEX(MASTER_SOURCE!$B$2:$B$495,MATCH($I3092,MASTER_SOURCE!$A$2:$A$495,0)),"(REF không có trong MASTER_SOURCE)")))</f>
        <v/>
      </c>
      <c r="K3092" s="22">
        <f t="array" ref="K3092">IF($D3092="","",IFERROR(INDEX(MASTER_SOURCE!$C$2:$C$495,MATCH($I3092,MASTER_SOURCE!$A$2:$A$495,0)),""))</f>
        <v/>
      </c>
      <c r="L3092" s="22">
        <f t="array" ref="L3092">IF($D3092="","",IFERROR(INDEX(MASTER_SOURCE!$D$2:$D$495,MATCH($I3092,MASTER_SOURCE!$A$2:$A$495,0)),""))</f>
        <v/>
      </c>
      <c r="M3092" s="24" t="n"/>
      <c r="N3092" s="24" t="n"/>
      <c r="O3092" s="24" t="n"/>
      <c r="P3092" s="24" t="n"/>
      <c r="Q3092" s="22">
        <f>IF($D3092="","",IF(AND(OR(DANH_MUC!$L$5&lt;&gt;"Có",M3092="Có"),OR(DANH_MUC!$L$6&lt;&gt;"Có",N3092="Có"),OR(DANH_MUC!$L$7&lt;&gt;"Có",O3092="Có"),OR(DANH_MUC!$L$8&lt;&gt;"Có",P3092="Có")),"Có","Không"))</f>
        <v/>
      </c>
      <c r="R3092" s="22">
        <f>IF($D3092="","",IF(COUNTIF($D$2:$D3092,$D3092)&gt;1,"Trùng",""))</f>
        <v/>
      </c>
      <c r="S3092" s="22">
        <f>IF($D3092="","",IF(AND(LEN($D3092)=10,LEFT($D3092,1)="0",ISNUMBER(--$D3092)),"Có","Không"))</f>
        <v/>
      </c>
      <c r="T3092" s="22">
        <f>IF($D3092="","",IF(AND($C3092&lt;&gt;"",$Q3092="Có",$R3092="",$S3092="Có",AND($L3092&lt;&gt;"",OR($L3092&lt;&gt;"Chưa xác định",DANH_MUC!$L$9="Có"))),"Có","Không"))</f>
        <v/>
      </c>
      <c r="U3092" s="22">
        <f>IF(OR($D3092="",$T3092="Có"),"",IF($C3092="","Thiếu họ tên; ","")&amp;IF($S3092&lt;&gt;"Có","SĐT sai định dạng; ","")&amp;IF($R3092="Trùng","Trùng SĐT; ","")&amp;IF($Q3092&lt;&gt;"Có","Thiếu đồng ý bắt buộc; ","")&amp;IF($L3092="","Thiếu/sai Mã REF; ",IF(AND($L3092="Chưa xác định",DANH_MUC!$L$9&lt;&gt;"Có"),"Nguồn chưa xác định; ","")))</f>
        <v/>
      </c>
      <c r="V3092" s="22">
        <f>IF(OR($D3092="",$R3092="Trùng"),"",IF(COUNTIF(ORDERS!$C$2:$C$4995,$D3092)&gt;0,"Có","Không"))</f>
        <v/>
      </c>
      <c r="W3092" s="22">
        <f>IF(OR($D3092="",$R3092="Trùng"),"",COUNTIFS(ORDERS!$C$2:$C$4995,$D3092,ORDERS!$L$2:$L$4995,"Đã chuyển khoản"))</f>
        <v/>
      </c>
      <c r="X3092" s="23">
        <f>IF(OR($D3092="",$R3092="Trùng"),"",SUMIFS(ORDERS!$J$2:$J$4995,ORDERS!$C$2:$C$4995,$D3092,ORDERS!$L$2:$L$4995,"Đã chuyển khoản"))</f>
        <v/>
      </c>
      <c r="Y3092" s="24" t="n"/>
    </row>
    <row r="3093" ht="14.25" customHeight="1" s="40">
      <c r="A3093" s="24" t="n"/>
      <c r="B3093" s="27" t="n"/>
      <c r="C3093" s="24" t="n"/>
      <c r="D3093" s="28" t="n"/>
      <c r="E3093" s="29" t="n"/>
      <c r="F3093" s="24" t="n"/>
      <c r="G3093" s="24" t="n"/>
      <c r="H3093" s="21">
        <f>IF(ISNUMBER($B3093),INT($B3093)-WEEKDAY($B3093,2)+1,"")</f>
        <v/>
      </c>
      <c r="I3093" s="24" t="n"/>
      <c r="J3093" s="22">
        <f t="array" ref="J3093">IF($D3093="","",IF($I3093="","(trống REF)",IFERROR(INDEX(MASTER_SOURCE!$B$2:$B$495,MATCH($I3093,MASTER_SOURCE!$A$2:$A$495,0)),"(REF không có trong MASTER_SOURCE)")))</f>
        <v/>
      </c>
      <c r="K3093" s="22">
        <f t="array" ref="K3093">IF($D3093="","",IFERROR(INDEX(MASTER_SOURCE!$C$2:$C$495,MATCH($I3093,MASTER_SOURCE!$A$2:$A$495,0)),""))</f>
        <v/>
      </c>
      <c r="L3093" s="22">
        <f t="array" ref="L3093">IF($D3093="","",IFERROR(INDEX(MASTER_SOURCE!$D$2:$D$495,MATCH($I3093,MASTER_SOURCE!$A$2:$A$495,0)),""))</f>
        <v/>
      </c>
      <c r="M3093" s="24" t="n"/>
      <c r="N3093" s="24" t="n"/>
      <c r="O3093" s="24" t="n"/>
      <c r="P3093" s="24" t="n"/>
      <c r="Q3093" s="22">
        <f>IF($D3093="","",IF(AND(OR(DANH_MUC!$L$5&lt;&gt;"Có",M3093="Có"),OR(DANH_MUC!$L$6&lt;&gt;"Có",N3093="Có"),OR(DANH_MUC!$L$7&lt;&gt;"Có",O3093="Có"),OR(DANH_MUC!$L$8&lt;&gt;"Có",P3093="Có")),"Có","Không"))</f>
        <v/>
      </c>
      <c r="R3093" s="22">
        <f>IF($D3093="","",IF(COUNTIF($D$2:$D3093,$D3093)&gt;1,"Trùng",""))</f>
        <v/>
      </c>
      <c r="S3093" s="22">
        <f>IF($D3093="","",IF(AND(LEN($D3093)=10,LEFT($D3093,1)="0",ISNUMBER(--$D3093)),"Có","Không"))</f>
        <v/>
      </c>
      <c r="T3093" s="22">
        <f>IF($D3093="","",IF(AND($C3093&lt;&gt;"",$Q3093="Có",$R3093="",$S3093="Có",AND($L3093&lt;&gt;"",OR($L3093&lt;&gt;"Chưa xác định",DANH_MUC!$L$9="Có"))),"Có","Không"))</f>
        <v/>
      </c>
      <c r="U3093" s="22">
        <f>IF(OR($D3093="",$T3093="Có"),"",IF($C3093="","Thiếu họ tên; ","")&amp;IF($S3093&lt;&gt;"Có","SĐT sai định dạng; ","")&amp;IF($R3093="Trùng","Trùng SĐT; ","")&amp;IF($Q3093&lt;&gt;"Có","Thiếu đồng ý bắt buộc; ","")&amp;IF($L3093="","Thiếu/sai Mã REF; ",IF(AND($L3093="Chưa xác định",DANH_MUC!$L$9&lt;&gt;"Có"),"Nguồn chưa xác định; ","")))</f>
        <v/>
      </c>
      <c r="V3093" s="22">
        <f>IF(OR($D3093="",$R3093="Trùng"),"",IF(COUNTIF(ORDERS!$C$2:$C$4995,$D3093)&gt;0,"Có","Không"))</f>
        <v/>
      </c>
      <c r="W3093" s="22">
        <f>IF(OR($D3093="",$R3093="Trùng"),"",COUNTIFS(ORDERS!$C$2:$C$4995,$D3093,ORDERS!$L$2:$L$4995,"Đã chuyển khoản"))</f>
        <v/>
      </c>
      <c r="X3093" s="23">
        <f>IF(OR($D3093="",$R3093="Trùng"),"",SUMIFS(ORDERS!$J$2:$J$4995,ORDERS!$C$2:$C$4995,$D3093,ORDERS!$L$2:$L$4995,"Đã chuyển khoản"))</f>
        <v/>
      </c>
      <c r="Y3093" s="24" t="n"/>
    </row>
    <row r="3094" ht="14.25" customHeight="1" s="40">
      <c r="A3094" s="24" t="n"/>
      <c r="B3094" s="27" t="n"/>
      <c r="C3094" s="24" t="n"/>
      <c r="D3094" s="28" t="n"/>
      <c r="E3094" s="29" t="n"/>
      <c r="F3094" s="24" t="n"/>
      <c r="G3094" s="24" t="n"/>
      <c r="H3094" s="21">
        <f>IF(ISNUMBER($B3094),INT($B3094)-WEEKDAY($B3094,2)+1,"")</f>
        <v/>
      </c>
      <c r="I3094" s="24" t="n"/>
      <c r="J3094" s="22">
        <f t="array" ref="J3094">IF($D3094="","",IF($I3094="","(trống REF)",IFERROR(INDEX(MASTER_SOURCE!$B$2:$B$495,MATCH($I3094,MASTER_SOURCE!$A$2:$A$495,0)),"(REF không có trong MASTER_SOURCE)")))</f>
        <v/>
      </c>
      <c r="K3094" s="22">
        <f t="array" ref="K3094">IF($D3094="","",IFERROR(INDEX(MASTER_SOURCE!$C$2:$C$495,MATCH($I3094,MASTER_SOURCE!$A$2:$A$495,0)),""))</f>
        <v/>
      </c>
      <c r="L3094" s="22">
        <f t="array" ref="L3094">IF($D3094="","",IFERROR(INDEX(MASTER_SOURCE!$D$2:$D$495,MATCH($I3094,MASTER_SOURCE!$A$2:$A$495,0)),""))</f>
        <v/>
      </c>
      <c r="M3094" s="24" t="n"/>
      <c r="N3094" s="24" t="n"/>
      <c r="O3094" s="24" t="n"/>
      <c r="P3094" s="24" t="n"/>
      <c r="Q3094" s="22">
        <f>IF($D3094="","",IF(AND(OR(DANH_MUC!$L$5&lt;&gt;"Có",M3094="Có"),OR(DANH_MUC!$L$6&lt;&gt;"Có",N3094="Có"),OR(DANH_MUC!$L$7&lt;&gt;"Có",O3094="Có"),OR(DANH_MUC!$L$8&lt;&gt;"Có",P3094="Có")),"Có","Không"))</f>
        <v/>
      </c>
      <c r="R3094" s="22">
        <f>IF($D3094="","",IF(COUNTIF($D$2:$D3094,$D3094)&gt;1,"Trùng",""))</f>
        <v/>
      </c>
      <c r="S3094" s="22">
        <f>IF($D3094="","",IF(AND(LEN($D3094)=10,LEFT($D3094,1)="0",ISNUMBER(--$D3094)),"Có","Không"))</f>
        <v/>
      </c>
      <c r="T3094" s="22">
        <f>IF($D3094="","",IF(AND($C3094&lt;&gt;"",$Q3094="Có",$R3094="",$S3094="Có",AND($L3094&lt;&gt;"",OR($L3094&lt;&gt;"Chưa xác định",DANH_MUC!$L$9="Có"))),"Có","Không"))</f>
        <v/>
      </c>
      <c r="U3094" s="22">
        <f>IF(OR($D3094="",$T3094="Có"),"",IF($C3094="","Thiếu họ tên; ","")&amp;IF($S3094&lt;&gt;"Có","SĐT sai định dạng; ","")&amp;IF($R3094="Trùng","Trùng SĐT; ","")&amp;IF($Q3094&lt;&gt;"Có","Thiếu đồng ý bắt buộc; ","")&amp;IF($L3094="","Thiếu/sai Mã REF; ",IF(AND($L3094="Chưa xác định",DANH_MUC!$L$9&lt;&gt;"Có"),"Nguồn chưa xác định; ","")))</f>
        <v/>
      </c>
      <c r="V3094" s="22">
        <f>IF(OR($D3094="",$R3094="Trùng"),"",IF(COUNTIF(ORDERS!$C$2:$C$4995,$D3094)&gt;0,"Có","Không"))</f>
        <v/>
      </c>
      <c r="W3094" s="22">
        <f>IF(OR($D3094="",$R3094="Trùng"),"",COUNTIFS(ORDERS!$C$2:$C$4995,$D3094,ORDERS!$L$2:$L$4995,"Đã chuyển khoản"))</f>
        <v/>
      </c>
      <c r="X3094" s="23">
        <f>IF(OR($D3094="",$R3094="Trùng"),"",SUMIFS(ORDERS!$J$2:$J$4995,ORDERS!$C$2:$C$4995,$D3094,ORDERS!$L$2:$L$4995,"Đã chuyển khoản"))</f>
        <v/>
      </c>
      <c r="Y3094" s="24" t="n"/>
    </row>
    <row r="3095" ht="14.25" customHeight="1" s="40">
      <c r="A3095" s="24" t="n"/>
      <c r="B3095" s="27" t="n"/>
      <c r="C3095" s="24" t="n"/>
      <c r="D3095" s="28" t="n"/>
      <c r="E3095" s="29" t="n"/>
      <c r="F3095" s="24" t="n"/>
      <c r="G3095" s="24" t="n"/>
      <c r="H3095" s="21">
        <f>IF(ISNUMBER($B3095),INT($B3095)-WEEKDAY($B3095,2)+1,"")</f>
        <v/>
      </c>
      <c r="I3095" s="24" t="n"/>
      <c r="J3095" s="22">
        <f t="array" ref="J3095">IF($D3095="","",IF($I3095="","(trống REF)",IFERROR(INDEX(MASTER_SOURCE!$B$2:$B$495,MATCH($I3095,MASTER_SOURCE!$A$2:$A$495,0)),"(REF không có trong MASTER_SOURCE)")))</f>
        <v/>
      </c>
      <c r="K3095" s="22">
        <f t="array" ref="K3095">IF($D3095="","",IFERROR(INDEX(MASTER_SOURCE!$C$2:$C$495,MATCH($I3095,MASTER_SOURCE!$A$2:$A$495,0)),""))</f>
        <v/>
      </c>
      <c r="L3095" s="22">
        <f t="array" ref="L3095">IF($D3095="","",IFERROR(INDEX(MASTER_SOURCE!$D$2:$D$495,MATCH($I3095,MASTER_SOURCE!$A$2:$A$495,0)),""))</f>
        <v/>
      </c>
      <c r="M3095" s="24" t="n"/>
      <c r="N3095" s="24" t="n"/>
      <c r="O3095" s="24" t="n"/>
      <c r="P3095" s="24" t="n"/>
      <c r="Q3095" s="22">
        <f>IF($D3095="","",IF(AND(OR(DANH_MUC!$L$5&lt;&gt;"Có",M3095="Có"),OR(DANH_MUC!$L$6&lt;&gt;"Có",N3095="Có"),OR(DANH_MUC!$L$7&lt;&gt;"Có",O3095="Có"),OR(DANH_MUC!$L$8&lt;&gt;"Có",P3095="Có")),"Có","Không"))</f>
        <v/>
      </c>
      <c r="R3095" s="22">
        <f>IF($D3095="","",IF(COUNTIF($D$2:$D3095,$D3095)&gt;1,"Trùng",""))</f>
        <v/>
      </c>
      <c r="S3095" s="22">
        <f>IF($D3095="","",IF(AND(LEN($D3095)=10,LEFT($D3095,1)="0",ISNUMBER(--$D3095)),"Có","Không"))</f>
        <v/>
      </c>
      <c r="T3095" s="22">
        <f>IF($D3095="","",IF(AND($C3095&lt;&gt;"",$Q3095="Có",$R3095="",$S3095="Có",AND($L3095&lt;&gt;"",OR($L3095&lt;&gt;"Chưa xác định",DANH_MUC!$L$9="Có"))),"Có","Không"))</f>
        <v/>
      </c>
      <c r="U3095" s="22">
        <f>IF(OR($D3095="",$T3095="Có"),"",IF($C3095="","Thiếu họ tên; ","")&amp;IF($S3095&lt;&gt;"Có","SĐT sai định dạng; ","")&amp;IF($R3095="Trùng","Trùng SĐT; ","")&amp;IF($Q3095&lt;&gt;"Có","Thiếu đồng ý bắt buộc; ","")&amp;IF($L3095="","Thiếu/sai Mã REF; ",IF(AND($L3095="Chưa xác định",DANH_MUC!$L$9&lt;&gt;"Có"),"Nguồn chưa xác định; ","")))</f>
        <v/>
      </c>
      <c r="V3095" s="22">
        <f>IF(OR($D3095="",$R3095="Trùng"),"",IF(COUNTIF(ORDERS!$C$2:$C$4995,$D3095)&gt;0,"Có","Không"))</f>
        <v/>
      </c>
      <c r="W3095" s="22">
        <f>IF(OR($D3095="",$R3095="Trùng"),"",COUNTIFS(ORDERS!$C$2:$C$4995,$D3095,ORDERS!$L$2:$L$4995,"Đã chuyển khoản"))</f>
        <v/>
      </c>
      <c r="X3095" s="23">
        <f>IF(OR($D3095="",$R3095="Trùng"),"",SUMIFS(ORDERS!$J$2:$J$4995,ORDERS!$C$2:$C$4995,$D3095,ORDERS!$L$2:$L$4995,"Đã chuyển khoản"))</f>
        <v/>
      </c>
      <c r="Y3095" s="24" t="n"/>
    </row>
    <row r="3096" ht="14.25" customHeight="1" s="40">
      <c r="A3096" s="24" t="n"/>
      <c r="B3096" s="27" t="n"/>
      <c r="C3096" s="24" t="n"/>
      <c r="D3096" s="28" t="n"/>
      <c r="E3096" s="29" t="n"/>
      <c r="F3096" s="24" t="n"/>
      <c r="G3096" s="24" t="n"/>
      <c r="H3096" s="21">
        <f>IF(ISNUMBER($B3096),INT($B3096)-WEEKDAY($B3096,2)+1,"")</f>
        <v/>
      </c>
      <c r="I3096" s="24" t="n"/>
      <c r="J3096" s="22">
        <f t="array" ref="J3096">IF($D3096="","",IF($I3096="","(trống REF)",IFERROR(INDEX(MASTER_SOURCE!$B$2:$B$495,MATCH($I3096,MASTER_SOURCE!$A$2:$A$495,0)),"(REF không có trong MASTER_SOURCE)")))</f>
        <v/>
      </c>
      <c r="K3096" s="22">
        <f t="array" ref="K3096">IF($D3096="","",IFERROR(INDEX(MASTER_SOURCE!$C$2:$C$495,MATCH($I3096,MASTER_SOURCE!$A$2:$A$495,0)),""))</f>
        <v/>
      </c>
      <c r="L3096" s="22">
        <f t="array" ref="L3096">IF($D3096="","",IFERROR(INDEX(MASTER_SOURCE!$D$2:$D$495,MATCH($I3096,MASTER_SOURCE!$A$2:$A$495,0)),""))</f>
        <v/>
      </c>
      <c r="M3096" s="24" t="n"/>
      <c r="N3096" s="24" t="n"/>
      <c r="O3096" s="24" t="n"/>
      <c r="P3096" s="24" t="n"/>
      <c r="Q3096" s="22">
        <f>IF($D3096="","",IF(AND(OR(DANH_MUC!$L$5&lt;&gt;"Có",M3096="Có"),OR(DANH_MUC!$L$6&lt;&gt;"Có",N3096="Có"),OR(DANH_MUC!$L$7&lt;&gt;"Có",O3096="Có"),OR(DANH_MUC!$L$8&lt;&gt;"Có",P3096="Có")),"Có","Không"))</f>
        <v/>
      </c>
      <c r="R3096" s="22">
        <f>IF($D3096="","",IF(COUNTIF($D$2:$D3096,$D3096)&gt;1,"Trùng",""))</f>
        <v/>
      </c>
      <c r="S3096" s="22">
        <f>IF($D3096="","",IF(AND(LEN($D3096)=10,LEFT($D3096,1)="0",ISNUMBER(--$D3096)),"Có","Không"))</f>
        <v/>
      </c>
      <c r="T3096" s="22">
        <f>IF($D3096="","",IF(AND($C3096&lt;&gt;"",$Q3096="Có",$R3096="",$S3096="Có",AND($L3096&lt;&gt;"",OR($L3096&lt;&gt;"Chưa xác định",DANH_MUC!$L$9="Có"))),"Có","Không"))</f>
        <v/>
      </c>
      <c r="U3096" s="22">
        <f>IF(OR($D3096="",$T3096="Có"),"",IF($C3096="","Thiếu họ tên; ","")&amp;IF($S3096&lt;&gt;"Có","SĐT sai định dạng; ","")&amp;IF($R3096="Trùng","Trùng SĐT; ","")&amp;IF($Q3096&lt;&gt;"Có","Thiếu đồng ý bắt buộc; ","")&amp;IF($L3096="","Thiếu/sai Mã REF; ",IF(AND($L3096="Chưa xác định",DANH_MUC!$L$9&lt;&gt;"Có"),"Nguồn chưa xác định; ","")))</f>
        <v/>
      </c>
      <c r="V3096" s="22">
        <f>IF(OR($D3096="",$R3096="Trùng"),"",IF(COUNTIF(ORDERS!$C$2:$C$4995,$D3096)&gt;0,"Có","Không"))</f>
        <v/>
      </c>
      <c r="W3096" s="22">
        <f>IF(OR($D3096="",$R3096="Trùng"),"",COUNTIFS(ORDERS!$C$2:$C$4995,$D3096,ORDERS!$L$2:$L$4995,"Đã chuyển khoản"))</f>
        <v/>
      </c>
      <c r="X3096" s="23">
        <f>IF(OR($D3096="",$R3096="Trùng"),"",SUMIFS(ORDERS!$J$2:$J$4995,ORDERS!$C$2:$C$4995,$D3096,ORDERS!$L$2:$L$4995,"Đã chuyển khoản"))</f>
        <v/>
      </c>
      <c r="Y3096" s="24" t="n"/>
    </row>
    <row r="3097" ht="14.25" customHeight="1" s="40">
      <c r="A3097" s="24" t="n"/>
      <c r="B3097" s="27" t="n"/>
      <c r="C3097" s="24" t="n"/>
      <c r="D3097" s="28" t="n"/>
      <c r="E3097" s="29" t="n"/>
      <c r="F3097" s="24" t="n"/>
      <c r="G3097" s="24" t="n"/>
      <c r="H3097" s="21">
        <f>IF(ISNUMBER($B3097),INT($B3097)-WEEKDAY($B3097,2)+1,"")</f>
        <v/>
      </c>
      <c r="I3097" s="24" t="n"/>
      <c r="J3097" s="22">
        <f t="array" ref="J3097">IF($D3097="","",IF($I3097="","(trống REF)",IFERROR(INDEX(MASTER_SOURCE!$B$2:$B$495,MATCH($I3097,MASTER_SOURCE!$A$2:$A$495,0)),"(REF không có trong MASTER_SOURCE)")))</f>
        <v/>
      </c>
      <c r="K3097" s="22">
        <f t="array" ref="K3097">IF($D3097="","",IFERROR(INDEX(MASTER_SOURCE!$C$2:$C$495,MATCH($I3097,MASTER_SOURCE!$A$2:$A$495,0)),""))</f>
        <v/>
      </c>
      <c r="L3097" s="22">
        <f t="array" ref="L3097">IF($D3097="","",IFERROR(INDEX(MASTER_SOURCE!$D$2:$D$495,MATCH($I3097,MASTER_SOURCE!$A$2:$A$495,0)),""))</f>
        <v/>
      </c>
      <c r="M3097" s="24" t="n"/>
      <c r="N3097" s="24" t="n"/>
      <c r="O3097" s="24" t="n"/>
      <c r="P3097" s="24" t="n"/>
      <c r="Q3097" s="22">
        <f>IF($D3097="","",IF(AND(OR(DANH_MUC!$L$5&lt;&gt;"Có",M3097="Có"),OR(DANH_MUC!$L$6&lt;&gt;"Có",N3097="Có"),OR(DANH_MUC!$L$7&lt;&gt;"Có",O3097="Có"),OR(DANH_MUC!$L$8&lt;&gt;"Có",P3097="Có")),"Có","Không"))</f>
        <v/>
      </c>
      <c r="R3097" s="22">
        <f>IF($D3097="","",IF(COUNTIF($D$2:$D3097,$D3097)&gt;1,"Trùng",""))</f>
        <v/>
      </c>
      <c r="S3097" s="22">
        <f>IF($D3097="","",IF(AND(LEN($D3097)=10,LEFT($D3097,1)="0",ISNUMBER(--$D3097)),"Có","Không"))</f>
        <v/>
      </c>
      <c r="T3097" s="22">
        <f>IF($D3097="","",IF(AND($C3097&lt;&gt;"",$Q3097="Có",$R3097="",$S3097="Có",AND($L3097&lt;&gt;"",OR($L3097&lt;&gt;"Chưa xác định",DANH_MUC!$L$9="Có"))),"Có","Không"))</f>
        <v/>
      </c>
      <c r="U3097" s="22">
        <f>IF(OR($D3097="",$T3097="Có"),"",IF($C3097="","Thiếu họ tên; ","")&amp;IF($S3097&lt;&gt;"Có","SĐT sai định dạng; ","")&amp;IF($R3097="Trùng","Trùng SĐT; ","")&amp;IF($Q3097&lt;&gt;"Có","Thiếu đồng ý bắt buộc; ","")&amp;IF($L3097="","Thiếu/sai Mã REF; ",IF(AND($L3097="Chưa xác định",DANH_MUC!$L$9&lt;&gt;"Có"),"Nguồn chưa xác định; ","")))</f>
        <v/>
      </c>
      <c r="V3097" s="22">
        <f>IF(OR($D3097="",$R3097="Trùng"),"",IF(COUNTIF(ORDERS!$C$2:$C$4995,$D3097)&gt;0,"Có","Không"))</f>
        <v/>
      </c>
      <c r="W3097" s="22">
        <f>IF(OR($D3097="",$R3097="Trùng"),"",COUNTIFS(ORDERS!$C$2:$C$4995,$D3097,ORDERS!$L$2:$L$4995,"Đã chuyển khoản"))</f>
        <v/>
      </c>
      <c r="X3097" s="23">
        <f>IF(OR($D3097="",$R3097="Trùng"),"",SUMIFS(ORDERS!$J$2:$J$4995,ORDERS!$C$2:$C$4995,$D3097,ORDERS!$L$2:$L$4995,"Đã chuyển khoản"))</f>
        <v/>
      </c>
      <c r="Y3097" s="24" t="n"/>
    </row>
    <row r="3098" ht="14.25" customHeight="1" s="40">
      <c r="A3098" s="24" t="n"/>
      <c r="B3098" s="27" t="n"/>
      <c r="C3098" s="24" t="n"/>
      <c r="D3098" s="28" t="n"/>
      <c r="E3098" s="29" t="n"/>
      <c r="F3098" s="24" t="n"/>
      <c r="G3098" s="24" t="n"/>
      <c r="H3098" s="21">
        <f>IF(ISNUMBER($B3098),INT($B3098)-WEEKDAY($B3098,2)+1,"")</f>
        <v/>
      </c>
      <c r="I3098" s="24" t="n"/>
      <c r="J3098" s="22">
        <f t="array" ref="J3098">IF($D3098="","",IF($I3098="","(trống REF)",IFERROR(INDEX(MASTER_SOURCE!$B$2:$B$495,MATCH($I3098,MASTER_SOURCE!$A$2:$A$495,0)),"(REF không có trong MASTER_SOURCE)")))</f>
        <v/>
      </c>
      <c r="K3098" s="22">
        <f t="array" ref="K3098">IF($D3098="","",IFERROR(INDEX(MASTER_SOURCE!$C$2:$C$495,MATCH($I3098,MASTER_SOURCE!$A$2:$A$495,0)),""))</f>
        <v/>
      </c>
      <c r="L3098" s="22">
        <f t="array" ref="L3098">IF($D3098="","",IFERROR(INDEX(MASTER_SOURCE!$D$2:$D$495,MATCH($I3098,MASTER_SOURCE!$A$2:$A$495,0)),""))</f>
        <v/>
      </c>
      <c r="M3098" s="24" t="n"/>
      <c r="N3098" s="24" t="n"/>
      <c r="O3098" s="24" t="n"/>
      <c r="P3098" s="24" t="n"/>
      <c r="Q3098" s="22">
        <f>IF($D3098="","",IF(AND(OR(DANH_MUC!$L$5&lt;&gt;"Có",M3098="Có"),OR(DANH_MUC!$L$6&lt;&gt;"Có",N3098="Có"),OR(DANH_MUC!$L$7&lt;&gt;"Có",O3098="Có"),OR(DANH_MUC!$L$8&lt;&gt;"Có",P3098="Có")),"Có","Không"))</f>
        <v/>
      </c>
      <c r="R3098" s="22">
        <f>IF($D3098="","",IF(COUNTIF($D$2:$D3098,$D3098)&gt;1,"Trùng",""))</f>
        <v/>
      </c>
      <c r="S3098" s="22">
        <f>IF($D3098="","",IF(AND(LEN($D3098)=10,LEFT($D3098,1)="0",ISNUMBER(--$D3098)),"Có","Không"))</f>
        <v/>
      </c>
      <c r="T3098" s="22">
        <f>IF($D3098="","",IF(AND($C3098&lt;&gt;"",$Q3098="Có",$R3098="",$S3098="Có",AND($L3098&lt;&gt;"",OR($L3098&lt;&gt;"Chưa xác định",DANH_MUC!$L$9="Có"))),"Có","Không"))</f>
        <v/>
      </c>
      <c r="U3098" s="22">
        <f>IF(OR($D3098="",$T3098="Có"),"",IF($C3098="","Thiếu họ tên; ","")&amp;IF($S3098&lt;&gt;"Có","SĐT sai định dạng; ","")&amp;IF($R3098="Trùng","Trùng SĐT; ","")&amp;IF($Q3098&lt;&gt;"Có","Thiếu đồng ý bắt buộc; ","")&amp;IF($L3098="","Thiếu/sai Mã REF; ",IF(AND($L3098="Chưa xác định",DANH_MUC!$L$9&lt;&gt;"Có"),"Nguồn chưa xác định; ","")))</f>
        <v/>
      </c>
      <c r="V3098" s="22">
        <f>IF(OR($D3098="",$R3098="Trùng"),"",IF(COUNTIF(ORDERS!$C$2:$C$4995,$D3098)&gt;0,"Có","Không"))</f>
        <v/>
      </c>
      <c r="W3098" s="22">
        <f>IF(OR($D3098="",$R3098="Trùng"),"",COUNTIFS(ORDERS!$C$2:$C$4995,$D3098,ORDERS!$L$2:$L$4995,"Đã chuyển khoản"))</f>
        <v/>
      </c>
      <c r="X3098" s="23">
        <f>IF(OR($D3098="",$R3098="Trùng"),"",SUMIFS(ORDERS!$J$2:$J$4995,ORDERS!$C$2:$C$4995,$D3098,ORDERS!$L$2:$L$4995,"Đã chuyển khoản"))</f>
        <v/>
      </c>
      <c r="Y3098" s="24" t="n"/>
    </row>
    <row r="3099" ht="14.25" customHeight="1" s="40">
      <c r="A3099" s="24" t="n"/>
      <c r="B3099" s="27" t="n"/>
      <c r="C3099" s="24" t="n"/>
      <c r="D3099" s="28" t="n"/>
      <c r="E3099" s="29" t="n"/>
      <c r="F3099" s="24" t="n"/>
      <c r="G3099" s="24" t="n"/>
      <c r="H3099" s="21">
        <f>IF(ISNUMBER($B3099),INT($B3099)-WEEKDAY($B3099,2)+1,"")</f>
        <v/>
      </c>
      <c r="I3099" s="24" t="n"/>
      <c r="J3099" s="22">
        <f t="array" ref="J3099">IF($D3099="","",IF($I3099="","(trống REF)",IFERROR(INDEX(MASTER_SOURCE!$B$2:$B$495,MATCH($I3099,MASTER_SOURCE!$A$2:$A$495,0)),"(REF không có trong MASTER_SOURCE)")))</f>
        <v/>
      </c>
      <c r="K3099" s="22">
        <f t="array" ref="K3099">IF($D3099="","",IFERROR(INDEX(MASTER_SOURCE!$C$2:$C$495,MATCH($I3099,MASTER_SOURCE!$A$2:$A$495,0)),""))</f>
        <v/>
      </c>
      <c r="L3099" s="22">
        <f t="array" ref="L3099">IF($D3099="","",IFERROR(INDEX(MASTER_SOURCE!$D$2:$D$495,MATCH($I3099,MASTER_SOURCE!$A$2:$A$495,0)),""))</f>
        <v/>
      </c>
      <c r="M3099" s="24" t="n"/>
      <c r="N3099" s="24" t="n"/>
      <c r="O3099" s="24" t="n"/>
      <c r="P3099" s="24" t="n"/>
      <c r="Q3099" s="22">
        <f>IF($D3099="","",IF(AND(OR(DANH_MUC!$L$5&lt;&gt;"Có",M3099="Có"),OR(DANH_MUC!$L$6&lt;&gt;"Có",N3099="Có"),OR(DANH_MUC!$L$7&lt;&gt;"Có",O3099="Có"),OR(DANH_MUC!$L$8&lt;&gt;"Có",P3099="Có")),"Có","Không"))</f>
        <v/>
      </c>
      <c r="R3099" s="22">
        <f>IF($D3099="","",IF(COUNTIF($D$2:$D3099,$D3099)&gt;1,"Trùng",""))</f>
        <v/>
      </c>
      <c r="S3099" s="22">
        <f>IF($D3099="","",IF(AND(LEN($D3099)=10,LEFT($D3099,1)="0",ISNUMBER(--$D3099)),"Có","Không"))</f>
        <v/>
      </c>
      <c r="T3099" s="22">
        <f>IF($D3099="","",IF(AND($C3099&lt;&gt;"",$Q3099="Có",$R3099="",$S3099="Có",AND($L3099&lt;&gt;"",OR($L3099&lt;&gt;"Chưa xác định",DANH_MUC!$L$9="Có"))),"Có","Không"))</f>
        <v/>
      </c>
      <c r="U3099" s="22">
        <f>IF(OR($D3099="",$T3099="Có"),"",IF($C3099="","Thiếu họ tên; ","")&amp;IF($S3099&lt;&gt;"Có","SĐT sai định dạng; ","")&amp;IF($R3099="Trùng","Trùng SĐT; ","")&amp;IF($Q3099&lt;&gt;"Có","Thiếu đồng ý bắt buộc; ","")&amp;IF($L3099="","Thiếu/sai Mã REF; ",IF(AND($L3099="Chưa xác định",DANH_MUC!$L$9&lt;&gt;"Có"),"Nguồn chưa xác định; ","")))</f>
        <v/>
      </c>
      <c r="V3099" s="22">
        <f>IF(OR($D3099="",$R3099="Trùng"),"",IF(COUNTIF(ORDERS!$C$2:$C$4995,$D3099)&gt;0,"Có","Không"))</f>
        <v/>
      </c>
      <c r="W3099" s="22">
        <f>IF(OR($D3099="",$R3099="Trùng"),"",COUNTIFS(ORDERS!$C$2:$C$4995,$D3099,ORDERS!$L$2:$L$4995,"Đã chuyển khoản"))</f>
        <v/>
      </c>
      <c r="X3099" s="23">
        <f>IF(OR($D3099="",$R3099="Trùng"),"",SUMIFS(ORDERS!$J$2:$J$4995,ORDERS!$C$2:$C$4995,$D3099,ORDERS!$L$2:$L$4995,"Đã chuyển khoản"))</f>
        <v/>
      </c>
      <c r="Y3099" s="24" t="n"/>
    </row>
    <row r="3100" ht="14.25" customHeight="1" s="40">
      <c r="A3100" s="24" t="n"/>
      <c r="B3100" s="27" t="n"/>
      <c r="C3100" s="24" t="n"/>
      <c r="D3100" s="28" t="n"/>
      <c r="E3100" s="29" t="n"/>
      <c r="F3100" s="24" t="n"/>
      <c r="G3100" s="24" t="n"/>
      <c r="H3100" s="21">
        <f>IF(ISNUMBER($B3100),INT($B3100)-WEEKDAY($B3100,2)+1,"")</f>
        <v/>
      </c>
      <c r="I3100" s="24" t="n"/>
      <c r="J3100" s="22">
        <f t="array" ref="J3100">IF($D3100="","",IF($I3100="","(trống REF)",IFERROR(INDEX(MASTER_SOURCE!$B$2:$B$495,MATCH($I3100,MASTER_SOURCE!$A$2:$A$495,0)),"(REF không có trong MASTER_SOURCE)")))</f>
        <v/>
      </c>
      <c r="K3100" s="22">
        <f t="array" ref="K3100">IF($D3100="","",IFERROR(INDEX(MASTER_SOURCE!$C$2:$C$495,MATCH($I3100,MASTER_SOURCE!$A$2:$A$495,0)),""))</f>
        <v/>
      </c>
      <c r="L3100" s="22">
        <f t="array" ref="L3100">IF($D3100="","",IFERROR(INDEX(MASTER_SOURCE!$D$2:$D$495,MATCH($I3100,MASTER_SOURCE!$A$2:$A$495,0)),""))</f>
        <v/>
      </c>
      <c r="M3100" s="24" t="n"/>
      <c r="N3100" s="24" t="n"/>
      <c r="O3100" s="24" t="n"/>
      <c r="P3100" s="24" t="n"/>
      <c r="Q3100" s="22">
        <f>IF($D3100="","",IF(AND(OR(DANH_MUC!$L$5&lt;&gt;"Có",M3100="Có"),OR(DANH_MUC!$L$6&lt;&gt;"Có",N3100="Có"),OR(DANH_MUC!$L$7&lt;&gt;"Có",O3100="Có"),OR(DANH_MUC!$L$8&lt;&gt;"Có",P3100="Có")),"Có","Không"))</f>
        <v/>
      </c>
      <c r="R3100" s="22">
        <f>IF($D3100="","",IF(COUNTIF($D$2:$D3100,$D3100)&gt;1,"Trùng",""))</f>
        <v/>
      </c>
      <c r="S3100" s="22">
        <f>IF($D3100="","",IF(AND(LEN($D3100)=10,LEFT($D3100,1)="0",ISNUMBER(--$D3100)),"Có","Không"))</f>
        <v/>
      </c>
      <c r="T3100" s="22">
        <f>IF($D3100="","",IF(AND($C3100&lt;&gt;"",$Q3100="Có",$R3100="",$S3100="Có",AND($L3100&lt;&gt;"",OR($L3100&lt;&gt;"Chưa xác định",DANH_MUC!$L$9="Có"))),"Có","Không"))</f>
        <v/>
      </c>
      <c r="U3100" s="22">
        <f>IF(OR($D3100="",$T3100="Có"),"",IF($C3100="","Thiếu họ tên; ","")&amp;IF($S3100&lt;&gt;"Có","SĐT sai định dạng; ","")&amp;IF($R3100="Trùng","Trùng SĐT; ","")&amp;IF($Q3100&lt;&gt;"Có","Thiếu đồng ý bắt buộc; ","")&amp;IF($L3100="","Thiếu/sai Mã REF; ",IF(AND($L3100="Chưa xác định",DANH_MUC!$L$9&lt;&gt;"Có"),"Nguồn chưa xác định; ","")))</f>
        <v/>
      </c>
      <c r="V3100" s="22">
        <f>IF(OR($D3100="",$R3100="Trùng"),"",IF(COUNTIF(ORDERS!$C$2:$C$4995,$D3100)&gt;0,"Có","Không"))</f>
        <v/>
      </c>
      <c r="W3100" s="22">
        <f>IF(OR($D3100="",$R3100="Trùng"),"",COUNTIFS(ORDERS!$C$2:$C$4995,$D3100,ORDERS!$L$2:$L$4995,"Đã chuyển khoản"))</f>
        <v/>
      </c>
      <c r="X3100" s="23">
        <f>IF(OR($D3100="",$R3100="Trùng"),"",SUMIFS(ORDERS!$J$2:$J$4995,ORDERS!$C$2:$C$4995,$D3100,ORDERS!$L$2:$L$4995,"Đã chuyển khoản"))</f>
        <v/>
      </c>
      <c r="Y3100" s="24" t="n"/>
    </row>
    <row r="3101" ht="14.25" customHeight="1" s="40">
      <c r="A3101" s="24" t="n"/>
      <c r="B3101" s="27" t="n"/>
      <c r="C3101" s="24" t="n"/>
      <c r="D3101" s="28" t="n"/>
      <c r="E3101" s="29" t="n"/>
      <c r="F3101" s="24" t="n"/>
      <c r="G3101" s="24" t="n"/>
      <c r="H3101" s="21">
        <f>IF(ISNUMBER($B3101),INT($B3101)-WEEKDAY($B3101,2)+1,"")</f>
        <v/>
      </c>
      <c r="I3101" s="24" t="n"/>
      <c r="J3101" s="22">
        <f t="array" ref="J3101">IF($D3101="","",IF($I3101="","(trống REF)",IFERROR(INDEX(MASTER_SOURCE!$B$2:$B$495,MATCH($I3101,MASTER_SOURCE!$A$2:$A$495,0)),"(REF không có trong MASTER_SOURCE)")))</f>
        <v/>
      </c>
      <c r="K3101" s="22">
        <f t="array" ref="K3101">IF($D3101="","",IFERROR(INDEX(MASTER_SOURCE!$C$2:$C$495,MATCH($I3101,MASTER_SOURCE!$A$2:$A$495,0)),""))</f>
        <v/>
      </c>
      <c r="L3101" s="22">
        <f t="array" ref="L3101">IF($D3101="","",IFERROR(INDEX(MASTER_SOURCE!$D$2:$D$495,MATCH($I3101,MASTER_SOURCE!$A$2:$A$495,0)),""))</f>
        <v/>
      </c>
      <c r="M3101" s="24" t="n"/>
      <c r="N3101" s="24" t="n"/>
      <c r="O3101" s="24" t="n"/>
      <c r="P3101" s="24" t="n"/>
      <c r="Q3101" s="22">
        <f>IF($D3101="","",IF(AND(OR(DANH_MUC!$L$5&lt;&gt;"Có",M3101="Có"),OR(DANH_MUC!$L$6&lt;&gt;"Có",N3101="Có"),OR(DANH_MUC!$L$7&lt;&gt;"Có",O3101="Có"),OR(DANH_MUC!$L$8&lt;&gt;"Có",P3101="Có")),"Có","Không"))</f>
        <v/>
      </c>
      <c r="R3101" s="22">
        <f>IF($D3101="","",IF(COUNTIF($D$2:$D3101,$D3101)&gt;1,"Trùng",""))</f>
        <v/>
      </c>
      <c r="S3101" s="22">
        <f>IF($D3101="","",IF(AND(LEN($D3101)=10,LEFT($D3101,1)="0",ISNUMBER(--$D3101)),"Có","Không"))</f>
        <v/>
      </c>
      <c r="T3101" s="22">
        <f>IF($D3101="","",IF(AND($C3101&lt;&gt;"",$Q3101="Có",$R3101="",$S3101="Có",AND($L3101&lt;&gt;"",OR($L3101&lt;&gt;"Chưa xác định",DANH_MUC!$L$9="Có"))),"Có","Không"))</f>
        <v/>
      </c>
      <c r="U3101" s="22">
        <f>IF(OR($D3101="",$T3101="Có"),"",IF($C3101="","Thiếu họ tên; ","")&amp;IF($S3101&lt;&gt;"Có","SĐT sai định dạng; ","")&amp;IF($R3101="Trùng","Trùng SĐT; ","")&amp;IF($Q3101&lt;&gt;"Có","Thiếu đồng ý bắt buộc; ","")&amp;IF($L3101="","Thiếu/sai Mã REF; ",IF(AND($L3101="Chưa xác định",DANH_MUC!$L$9&lt;&gt;"Có"),"Nguồn chưa xác định; ","")))</f>
        <v/>
      </c>
      <c r="V3101" s="22">
        <f>IF(OR($D3101="",$R3101="Trùng"),"",IF(COUNTIF(ORDERS!$C$2:$C$4995,$D3101)&gt;0,"Có","Không"))</f>
        <v/>
      </c>
      <c r="W3101" s="22">
        <f>IF(OR($D3101="",$R3101="Trùng"),"",COUNTIFS(ORDERS!$C$2:$C$4995,$D3101,ORDERS!$L$2:$L$4995,"Đã chuyển khoản"))</f>
        <v/>
      </c>
      <c r="X3101" s="23">
        <f>IF(OR($D3101="",$R3101="Trùng"),"",SUMIFS(ORDERS!$J$2:$J$4995,ORDERS!$C$2:$C$4995,$D3101,ORDERS!$L$2:$L$4995,"Đã chuyển khoản"))</f>
        <v/>
      </c>
      <c r="Y3101" s="24" t="n"/>
    </row>
    <row r="3102" ht="14.25" customHeight="1" s="40">
      <c r="A3102" s="24" t="n"/>
      <c r="B3102" s="27" t="n"/>
      <c r="C3102" s="24" t="n"/>
      <c r="D3102" s="28" t="n"/>
      <c r="E3102" s="29" t="n"/>
      <c r="F3102" s="24" t="n"/>
      <c r="G3102" s="24" t="n"/>
      <c r="H3102" s="21">
        <f>IF(ISNUMBER($B3102),INT($B3102)-WEEKDAY($B3102,2)+1,"")</f>
        <v/>
      </c>
      <c r="I3102" s="24" t="n"/>
      <c r="J3102" s="22">
        <f t="array" ref="J3102">IF($D3102="","",IF($I3102="","(trống REF)",IFERROR(INDEX(MASTER_SOURCE!$B$2:$B$495,MATCH($I3102,MASTER_SOURCE!$A$2:$A$495,0)),"(REF không có trong MASTER_SOURCE)")))</f>
        <v/>
      </c>
      <c r="K3102" s="22">
        <f t="array" ref="K3102">IF($D3102="","",IFERROR(INDEX(MASTER_SOURCE!$C$2:$C$495,MATCH($I3102,MASTER_SOURCE!$A$2:$A$495,0)),""))</f>
        <v/>
      </c>
      <c r="L3102" s="22">
        <f t="array" ref="L3102">IF($D3102="","",IFERROR(INDEX(MASTER_SOURCE!$D$2:$D$495,MATCH($I3102,MASTER_SOURCE!$A$2:$A$495,0)),""))</f>
        <v/>
      </c>
      <c r="M3102" s="24" t="n"/>
      <c r="N3102" s="24" t="n"/>
      <c r="O3102" s="24" t="n"/>
      <c r="P3102" s="24" t="n"/>
      <c r="Q3102" s="22">
        <f>IF($D3102="","",IF(AND(OR(DANH_MUC!$L$5&lt;&gt;"Có",M3102="Có"),OR(DANH_MUC!$L$6&lt;&gt;"Có",N3102="Có"),OR(DANH_MUC!$L$7&lt;&gt;"Có",O3102="Có"),OR(DANH_MUC!$L$8&lt;&gt;"Có",P3102="Có")),"Có","Không"))</f>
        <v/>
      </c>
      <c r="R3102" s="22">
        <f>IF($D3102="","",IF(COUNTIF($D$2:$D3102,$D3102)&gt;1,"Trùng",""))</f>
        <v/>
      </c>
      <c r="S3102" s="22">
        <f>IF($D3102="","",IF(AND(LEN($D3102)=10,LEFT($D3102,1)="0",ISNUMBER(--$D3102)),"Có","Không"))</f>
        <v/>
      </c>
      <c r="T3102" s="22">
        <f>IF($D3102="","",IF(AND($C3102&lt;&gt;"",$Q3102="Có",$R3102="",$S3102="Có",AND($L3102&lt;&gt;"",OR($L3102&lt;&gt;"Chưa xác định",DANH_MUC!$L$9="Có"))),"Có","Không"))</f>
        <v/>
      </c>
      <c r="U3102" s="22">
        <f>IF(OR($D3102="",$T3102="Có"),"",IF($C3102="","Thiếu họ tên; ","")&amp;IF($S3102&lt;&gt;"Có","SĐT sai định dạng; ","")&amp;IF($R3102="Trùng","Trùng SĐT; ","")&amp;IF($Q3102&lt;&gt;"Có","Thiếu đồng ý bắt buộc; ","")&amp;IF($L3102="","Thiếu/sai Mã REF; ",IF(AND($L3102="Chưa xác định",DANH_MUC!$L$9&lt;&gt;"Có"),"Nguồn chưa xác định; ","")))</f>
        <v/>
      </c>
      <c r="V3102" s="22">
        <f>IF(OR($D3102="",$R3102="Trùng"),"",IF(COUNTIF(ORDERS!$C$2:$C$4995,$D3102)&gt;0,"Có","Không"))</f>
        <v/>
      </c>
      <c r="W3102" s="22">
        <f>IF(OR($D3102="",$R3102="Trùng"),"",COUNTIFS(ORDERS!$C$2:$C$4995,$D3102,ORDERS!$L$2:$L$4995,"Đã chuyển khoản"))</f>
        <v/>
      </c>
      <c r="X3102" s="23">
        <f>IF(OR($D3102="",$R3102="Trùng"),"",SUMIFS(ORDERS!$J$2:$J$4995,ORDERS!$C$2:$C$4995,$D3102,ORDERS!$L$2:$L$4995,"Đã chuyển khoản"))</f>
        <v/>
      </c>
      <c r="Y3102" s="24" t="n"/>
    </row>
    <row r="3103" ht="14.25" customHeight="1" s="40">
      <c r="A3103" s="24" t="n"/>
      <c r="B3103" s="27" t="n"/>
      <c r="C3103" s="24" t="n"/>
      <c r="D3103" s="28" t="n"/>
      <c r="E3103" s="29" t="n"/>
      <c r="F3103" s="24" t="n"/>
      <c r="G3103" s="24" t="n"/>
      <c r="H3103" s="21">
        <f>IF(ISNUMBER($B3103),INT($B3103)-WEEKDAY($B3103,2)+1,"")</f>
        <v/>
      </c>
      <c r="I3103" s="24" t="n"/>
      <c r="J3103" s="22">
        <f t="array" ref="J3103">IF($D3103="","",IF($I3103="","(trống REF)",IFERROR(INDEX(MASTER_SOURCE!$B$2:$B$495,MATCH($I3103,MASTER_SOURCE!$A$2:$A$495,0)),"(REF không có trong MASTER_SOURCE)")))</f>
        <v/>
      </c>
      <c r="K3103" s="22">
        <f t="array" ref="K3103">IF($D3103="","",IFERROR(INDEX(MASTER_SOURCE!$C$2:$C$495,MATCH($I3103,MASTER_SOURCE!$A$2:$A$495,0)),""))</f>
        <v/>
      </c>
      <c r="L3103" s="22">
        <f t="array" ref="L3103">IF($D3103="","",IFERROR(INDEX(MASTER_SOURCE!$D$2:$D$495,MATCH($I3103,MASTER_SOURCE!$A$2:$A$495,0)),""))</f>
        <v/>
      </c>
      <c r="M3103" s="24" t="n"/>
      <c r="N3103" s="24" t="n"/>
      <c r="O3103" s="24" t="n"/>
      <c r="P3103" s="24" t="n"/>
      <c r="Q3103" s="22">
        <f>IF($D3103="","",IF(AND(OR(DANH_MUC!$L$5&lt;&gt;"Có",M3103="Có"),OR(DANH_MUC!$L$6&lt;&gt;"Có",N3103="Có"),OR(DANH_MUC!$L$7&lt;&gt;"Có",O3103="Có"),OR(DANH_MUC!$L$8&lt;&gt;"Có",P3103="Có")),"Có","Không"))</f>
        <v/>
      </c>
      <c r="R3103" s="22">
        <f>IF($D3103="","",IF(COUNTIF($D$2:$D3103,$D3103)&gt;1,"Trùng",""))</f>
        <v/>
      </c>
      <c r="S3103" s="22">
        <f>IF($D3103="","",IF(AND(LEN($D3103)=10,LEFT($D3103,1)="0",ISNUMBER(--$D3103)),"Có","Không"))</f>
        <v/>
      </c>
      <c r="T3103" s="22">
        <f>IF($D3103="","",IF(AND($C3103&lt;&gt;"",$Q3103="Có",$R3103="",$S3103="Có",AND($L3103&lt;&gt;"",OR($L3103&lt;&gt;"Chưa xác định",DANH_MUC!$L$9="Có"))),"Có","Không"))</f>
        <v/>
      </c>
      <c r="U3103" s="22">
        <f>IF(OR($D3103="",$T3103="Có"),"",IF($C3103="","Thiếu họ tên; ","")&amp;IF($S3103&lt;&gt;"Có","SĐT sai định dạng; ","")&amp;IF($R3103="Trùng","Trùng SĐT; ","")&amp;IF($Q3103&lt;&gt;"Có","Thiếu đồng ý bắt buộc; ","")&amp;IF($L3103="","Thiếu/sai Mã REF; ",IF(AND($L3103="Chưa xác định",DANH_MUC!$L$9&lt;&gt;"Có"),"Nguồn chưa xác định; ","")))</f>
        <v/>
      </c>
      <c r="V3103" s="22">
        <f>IF(OR($D3103="",$R3103="Trùng"),"",IF(COUNTIF(ORDERS!$C$2:$C$4995,$D3103)&gt;0,"Có","Không"))</f>
        <v/>
      </c>
      <c r="W3103" s="22">
        <f>IF(OR($D3103="",$R3103="Trùng"),"",COUNTIFS(ORDERS!$C$2:$C$4995,$D3103,ORDERS!$L$2:$L$4995,"Đã chuyển khoản"))</f>
        <v/>
      </c>
      <c r="X3103" s="23">
        <f>IF(OR($D3103="",$R3103="Trùng"),"",SUMIFS(ORDERS!$J$2:$J$4995,ORDERS!$C$2:$C$4995,$D3103,ORDERS!$L$2:$L$4995,"Đã chuyển khoản"))</f>
        <v/>
      </c>
      <c r="Y3103" s="24" t="n"/>
    </row>
    <row r="3104" ht="14.25" customHeight="1" s="40">
      <c r="A3104" s="24" t="n"/>
      <c r="B3104" s="27" t="n"/>
      <c r="C3104" s="24" t="n"/>
      <c r="D3104" s="28" t="n"/>
      <c r="E3104" s="29" t="n"/>
      <c r="F3104" s="24" t="n"/>
      <c r="G3104" s="24" t="n"/>
      <c r="H3104" s="21">
        <f>IF(ISNUMBER($B3104),INT($B3104)-WEEKDAY($B3104,2)+1,"")</f>
        <v/>
      </c>
      <c r="I3104" s="24" t="n"/>
      <c r="J3104" s="22">
        <f t="array" ref="J3104">IF($D3104="","",IF($I3104="","(trống REF)",IFERROR(INDEX(MASTER_SOURCE!$B$2:$B$495,MATCH($I3104,MASTER_SOURCE!$A$2:$A$495,0)),"(REF không có trong MASTER_SOURCE)")))</f>
        <v/>
      </c>
      <c r="K3104" s="22">
        <f t="array" ref="K3104">IF($D3104="","",IFERROR(INDEX(MASTER_SOURCE!$C$2:$C$495,MATCH($I3104,MASTER_SOURCE!$A$2:$A$495,0)),""))</f>
        <v/>
      </c>
      <c r="L3104" s="22">
        <f t="array" ref="L3104">IF($D3104="","",IFERROR(INDEX(MASTER_SOURCE!$D$2:$D$495,MATCH($I3104,MASTER_SOURCE!$A$2:$A$495,0)),""))</f>
        <v/>
      </c>
      <c r="M3104" s="24" t="n"/>
      <c r="N3104" s="24" t="n"/>
      <c r="O3104" s="24" t="n"/>
      <c r="P3104" s="24" t="n"/>
      <c r="Q3104" s="22">
        <f>IF($D3104="","",IF(AND(OR(DANH_MUC!$L$5&lt;&gt;"Có",M3104="Có"),OR(DANH_MUC!$L$6&lt;&gt;"Có",N3104="Có"),OR(DANH_MUC!$L$7&lt;&gt;"Có",O3104="Có"),OR(DANH_MUC!$L$8&lt;&gt;"Có",P3104="Có")),"Có","Không"))</f>
        <v/>
      </c>
      <c r="R3104" s="22">
        <f>IF($D3104="","",IF(COUNTIF($D$2:$D3104,$D3104)&gt;1,"Trùng",""))</f>
        <v/>
      </c>
      <c r="S3104" s="22">
        <f>IF($D3104="","",IF(AND(LEN($D3104)=10,LEFT($D3104,1)="0",ISNUMBER(--$D3104)),"Có","Không"))</f>
        <v/>
      </c>
      <c r="T3104" s="22">
        <f>IF($D3104="","",IF(AND($C3104&lt;&gt;"",$Q3104="Có",$R3104="",$S3104="Có",AND($L3104&lt;&gt;"",OR($L3104&lt;&gt;"Chưa xác định",DANH_MUC!$L$9="Có"))),"Có","Không"))</f>
        <v/>
      </c>
      <c r="U3104" s="22">
        <f>IF(OR($D3104="",$T3104="Có"),"",IF($C3104="","Thiếu họ tên; ","")&amp;IF($S3104&lt;&gt;"Có","SĐT sai định dạng; ","")&amp;IF($R3104="Trùng","Trùng SĐT; ","")&amp;IF($Q3104&lt;&gt;"Có","Thiếu đồng ý bắt buộc; ","")&amp;IF($L3104="","Thiếu/sai Mã REF; ",IF(AND($L3104="Chưa xác định",DANH_MUC!$L$9&lt;&gt;"Có"),"Nguồn chưa xác định; ","")))</f>
        <v/>
      </c>
      <c r="V3104" s="22">
        <f>IF(OR($D3104="",$R3104="Trùng"),"",IF(COUNTIF(ORDERS!$C$2:$C$4995,$D3104)&gt;0,"Có","Không"))</f>
        <v/>
      </c>
      <c r="W3104" s="22">
        <f>IF(OR($D3104="",$R3104="Trùng"),"",COUNTIFS(ORDERS!$C$2:$C$4995,$D3104,ORDERS!$L$2:$L$4995,"Đã chuyển khoản"))</f>
        <v/>
      </c>
      <c r="X3104" s="23">
        <f>IF(OR($D3104="",$R3104="Trùng"),"",SUMIFS(ORDERS!$J$2:$J$4995,ORDERS!$C$2:$C$4995,$D3104,ORDERS!$L$2:$L$4995,"Đã chuyển khoản"))</f>
        <v/>
      </c>
      <c r="Y3104" s="24" t="n"/>
    </row>
    <row r="3105" ht="14.25" customHeight="1" s="40">
      <c r="A3105" s="24" t="n"/>
      <c r="B3105" s="27" t="n"/>
      <c r="C3105" s="24" t="n"/>
      <c r="D3105" s="28" t="n"/>
      <c r="E3105" s="29" t="n"/>
      <c r="F3105" s="24" t="n"/>
      <c r="G3105" s="24" t="n"/>
      <c r="H3105" s="21">
        <f>IF(ISNUMBER($B3105),INT($B3105)-WEEKDAY($B3105,2)+1,"")</f>
        <v/>
      </c>
      <c r="I3105" s="24" t="n"/>
      <c r="J3105" s="22">
        <f t="array" ref="J3105">IF($D3105="","",IF($I3105="","(trống REF)",IFERROR(INDEX(MASTER_SOURCE!$B$2:$B$495,MATCH($I3105,MASTER_SOURCE!$A$2:$A$495,0)),"(REF không có trong MASTER_SOURCE)")))</f>
        <v/>
      </c>
      <c r="K3105" s="22">
        <f t="array" ref="K3105">IF($D3105="","",IFERROR(INDEX(MASTER_SOURCE!$C$2:$C$495,MATCH($I3105,MASTER_SOURCE!$A$2:$A$495,0)),""))</f>
        <v/>
      </c>
      <c r="L3105" s="22">
        <f t="array" ref="L3105">IF($D3105="","",IFERROR(INDEX(MASTER_SOURCE!$D$2:$D$495,MATCH($I3105,MASTER_SOURCE!$A$2:$A$495,0)),""))</f>
        <v/>
      </c>
      <c r="M3105" s="24" t="n"/>
      <c r="N3105" s="24" t="n"/>
      <c r="O3105" s="24" t="n"/>
      <c r="P3105" s="24" t="n"/>
      <c r="Q3105" s="22">
        <f>IF($D3105="","",IF(AND(OR(DANH_MUC!$L$5&lt;&gt;"Có",M3105="Có"),OR(DANH_MUC!$L$6&lt;&gt;"Có",N3105="Có"),OR(DANH_MUC!$L$7&lt;&gt;"Có",O3105="Có"),OR(DANH_MUC!$L$8&lt;&gt;"Có",P3105="Có")),"Có","Không"))</f>
        <v/>
      </c>
      <c r="R3105" s="22">
        <f>IF($D3105="","",IF(COUNTIF($D$2:$D3105,$D3105)&gt;1,"Trùng",""))</f>
        <v/>
      </c>
      <c r="S3105" s="22">
        <f>IF($D3105="","",IF(AND(LEN($D3105)=10,LEFT($D3105,1)="0",ISNUMBER(--$D3105)),"Có","Không"))</f>
        <v/>
      </c>
      <c r="T3105" s="22">
        <f>IF($D3105="","",IF(AND($C3105&lt;&gt;"",$Q3105="Có",$R3105="",$S3105="Có",AND($L3105&lt;&gt;"",OR($L3105&lt;&gt;"Chưa xác định",DANH_MUC!$L$9="Có"))),"Có","Không"))</f>
        <v/>
      </c>
      <c r="U3105" s="22">
        <f>IF(OR($D3105="",$T3105="Có"),"",IF($C3105="","Thiếu họ tên; ","")&amp;IF($S3105&lt;&gt;"Có","SĐT sai định dạng; ","")&amp;IF($R3105="Trùng","Trùng SĐT; ","")&amp;IF($Q3105&lt;&gt;"Có","Thiếu đồng ý bắt buộc; ","")&amp;IF($L3105="","Thiếu/sai Mã REF; ",IF(AND($L3105="Chưa xác định",DANH_MUC!$L$9&lt;&gt;"Có"),"Nguồn chưa xác định; ","")))</f>
        <v/>
      </c>
      <c r="V3105" s="22">
        <f>IF(OR($D3105="",$R3105="Trùng"),"",IF(COUNTIF(ORDERS!$C$2:$C$4995,$D3105)&gt;0,"Có","Không"))</f>
        <v/>
      </c>
      <c r="W3105" s="22">
        <f>IF(OR($D3105="",$R3105="Trùng"),"",COUNTIFS(ORDERS!$C$2:$C$4995,$D3105,ORDERS!$L$2:$L$4995,"Đã chuyển khoản"))</f>
        <v/>
      </c>
      <c r="X3105" s="23">
        <f>IF(OR($D3105="",$R3105="Trùng"),"",SUMIFS(ORDERS!$J$2:$J$4995,ORDERS!$C$2:$C$4995,$D3105,ORDERS!$L$2:$L$4995,"Đã chuyển khoản"))</f>
        <v/>
      </c>
      <c r="Y3105" s="24" t="n"/>
    </row>
    <row r="3106" ht="14.25" customHeight="1" s="40">
      <c r="A3106" s="24" t="n"/>
      <c r="B3106" s="27" t="n"/>
      <c r="C3106" s="24" t="n"/>
      <c r="D3106" s="28" t="n"/>
      <c r="E3106" s="29" t="n"/>
      <c r="F3106" s="24" t="n"/>
      <c r="G3106" s="24" t="n"/>
      <c r="H3106" s="21">
        <f>IF(ISNUMBER($B3106),INT($B3106)-WEEKDAY($B3106,2)+1,"")</f>
        <v/>
      </c>
      <c r="I3106" s="24" t="n"/>
      <c r="J3106" s="22">
        <f t="array" ref="J3106">IF($D3106="","",IF($I3106="","(trống REF)",IFERROR(INDEX(MASTER_SOURCE!$B$2:$B$495,MATCH($I3106,MASTER_SOURCE!$A$2:$A$495,0)),"(REF không có trong MASTER_SOURCE)")))</f>
        <v/>
      </c>
      <c r="K3106" s="22">
        <f t="array" ref="K3106">IF($D3106="","",IFERROR(INDEX(MASTER_SOURCE!$C$2:$C$495,MATCH($I3106,MASTER_SOURCE!$A$2:$A$495,0)),""))</f>
        <v/>
      </c>
      <c r="L3106" s="22">
        <f t="array" ref="L3106">IF($D3106="","",IFERROR(INDEX(MASTER_SOURCE!$D$2:$D$495,MATCH($I3106,MASTER_SOURCE!$A$2:$A$495,0)),""))</f>
        <v/>
      </c>
      <c r="M3106" s="24" t="n"/>
      <c r="N3106" s="24" t="n"/>
      <c r="O3106" s="24" t="n"/>
      <c r="P3106" s="24" t="n"/>
      <c r="Q3106" s="22">
        <f>IF($D3106="","",IF(AND(OR(DANH_MUC!$L$5&lt;&gt;"Có",M3106="Có"),OR(DANH_MUC!$L$6&lt;&gt;"Có",N3106="Có"),OR(DANH_MUC!$L$7&lt;&gt;"Có",O3106="Có"),OR(DANH_MUC!$L$8&lt;&gt;"Có",P3106="Có")),"Có","Không"))</f>
        <v/>
      </c>
      <c r="R3106" s="22">
        <f>IF($D3106="","",IF(COUNTIF($D$2:$D3106,$D3106)&gt;1,"Trùng",""))</f>
        <v/>
      </c>
      <c r="S3106" s="22">
        <f>IF($D3106="","",IF(AND(LEN($D3106)=10,LEFT($D3106,1)="0",ISNUMBER(--$D3106)),"Có","Không"))</f>
        <v/>
      </c>
      <c r="T3106" s="22">
        <f>IF($D3106="","",IF(AND($C3106&lt;&gt;"",$Q3106="Có",$R3106="",$S3106="Có",AND($L3106&lt;&gt;"",OR($L3106&lt;&gt;"Chưa xác định",DANH_MUC!$L$9="Có"))),"Có","Không"))</f>
        <v/>
      </c>
      <c r="U3106" s="22">
        <f>IF(OR($D3106="",$T3106="Có"),"",IF($C3106="","Thiếu họ tên; ","")&amp;IF($S3106&lt;&gt;"Có","SĐT sai định dạng; ","")&amp;IF($R3106="Trùng","Trùng SĐT; ","")&amp;IF($Q3106&lt;&gt;"Có","Thiếu đồng ý bắt buộc; ","")&amp;IF($L3106="","Thiếu/sai Mã REF; ",IF(AND($L3106="Chưa xác định",DANH_MUC!$L$9&lt;&gt;"Có"),"Nguồn chưa xác định; ","")))</f>
        <v/>
      </c>
      <c r="V3106" s="22">
        <f>IF(OR($D3106="",$R3106="Trùng"),"",IF(COUNTIF(ORDERS!$C$2:$C$4995,$D3106)&gt;0,"Có","Không"))</f>
        <v/>
      </c>
      <c r="W3106" s="22">
        <f>IF(OR($D3106="",$R3106="Trùng"),"",COUNTIFS(ORDERS!$C$2:$C$4995,$D3106,ORDERS!$L$2:$L$4995,"Đã chuyển khoản"))</f>
        <v/>
      </c>
      <c r="X3106" s="23">
        <f>IF(OR($D3106="",$R3106="Trùng"),"",SUMIFS(ORDERS!$J$2:$J$4995,ORDERS!$C$2:$C$4995,$D3106,ORDERS!$L$2:$L$4995,"Đã chuyển khoản"))</f>
        <v/>
      </c>
      <c r="Y3106" s="24" t="n"/>
    </row>
    <row r="3107" ht="14.25" customHeight="1" s="40">
      <c r="A3107" s="24" t="n"/>
      <c r="B3107" s="27" t="n"/>
      <c r="C3107" s="24" t="n"/>
      <c r="D3107" s="28" t="n"/>
      <c r="E3107" s="29" t="n"/>
      <c r="F3107" s="24" t="n"/>
      <c r="G3107" s="24" t="n"/>
      <c r="H3107" s="21">
        <f>IF(ISNUMBER($B3107),INT($B3107)-WEEKDAY($B3107,2)+1,"")</f>
        <v/>
      </c>
      <c r="I3107" s="24" t="n"/>
      <c r="J3107" s="22">
        <f t="array" ref="J3107">IF($D3107="","",IF($I3107="","(trống REF)",IFERROR(INDEX(MASTER_SOURCE!$B$2:$B$495,MATCH($I3107,MASTER_SOURCE!$A$2:$A$495,0)),"(REF không có trong MASTER_SOURCE)")))</f>
        <v/>
      </c>
      <c r="K3107" s="22">
        <f t="array" ref="K3107">IF($D3107="","",IFERROR(INDEX(MASTER_SOURCE!$C$2:$C$495,MATCH($I3107,MASTER_SOURCE!$A$2:$A$495,0)),""))</f>
        <v/>
      </c>
      <c r="L3107" s="22">
        <f t="array" ref="L3107">IF($D3107="","",IFERROR(INDEX(MASTER_SOURCE!$D$2:$D$495,MATCH($I3107,MASTER_SOURCE!$A$2:$A$495,0)),""))</f>
        <v/>
      </c>
      <c r="M3107" s="24" t="n"/>
      <c r="N3107" s="24" t="n"/>
      <c r="O3107" s="24" t="n"/>
      <c r="P3107" s="24" t="n"/>
      <c r="Q3107" s="22">
        <f>IF($D3107="","",IF(AND(OR(DANH_MUC!$L$5&lt;&gt;"Có",M3107="Có"),OR(DANH_MUC!$L$6&lt;&gt;"Có",N3107="Có"),OR(DANH_MUC!$L$7&lt;&gt;"Có",O3107="Có"),OR(DANH_MUC!$L$8&lt;&gt;"Có",P3107="Có")),"Có","Không"))</f>
        <v/>
      </c>
      <c r="R3107" s="22">
        <f>IF($D3107="","",IF(COUNTIF($D$2:$D3107,$D3107)&gt;1,"Trùng",""))</f>
        <v/>
      </c>
      <c r="S3107" s="22">
        <f>IF($D3107="","",IF(AND(LEN($D3107)=10,LEFT($D3107,1)="0",ISNUMBER(--$D3107)),"Có","Không"))</f>
        <v/>
      </c>
      <c r="T3107" s="22">
        <f>IF($D3107="","",IF(AND($C3107&lt;&gt;"",$Q3107="Có",$R3107="",$S3107="Có",AND($L3107&lt;&gt;"",OR($L3107&lt;&gt;"Chưa xác định",DANH_MUC!$L$9="Có"))),"Có","Không"))</f>
        <v/>
      </c>
      <c r="U3107" s="22">
        <f>IF(OR($D3107="",$T3107="Có"),"",IF($C3107="","Thiếu họ tên; ","")&amp;IF($S3107&lt;&gt;"Có","SĐT sai định dạng; ","")&amp;IF($R3107="Trùng","Trùng SĐT; ","")&amp;IF($Q3107&lt;&gt;"Có","Thiếu đồng ý bắt buộc; ","")&amp;IF($L3107="","Thiếu/sai Mã REF; ",IF(AND($L3107="Chưa xác định",DANH_MUC!$L$9&lt;&gt;"Có"),"Nguồn chưa xác định; ","")))</f>
        <v/>
      </c>
      <c r="V3107" s="22">
        <f>IF(OR($D3107="",$R3107="Trùng"),"",IF(COUNTIF(ORDERS!$C$2:$C$4995,$D3107)&gt;0,"Có","Không"))</f>
        <v/>
      </c>
      <c r="W3107" s="22">
        <f>IF(OR($D3107="",$R3107="Trùng"),"",COUNTIFS(ORDERS!$C$2:$C$4995,$D3107,ORDERS!$L$2:$L$4995,"Đã chuyển khoản"))</f>
        <v/>
      </c>
      <c r="X3107" s="23">
        <f>IF(OR($D3107="",$R3107="Trùng"),"",SUMIFS(ORDERS!$J$2:$J$4995,ORDERS!$C$2:$C$4995,$D3107,ORDERS!$L$2:$L$4995,"Đã chuyển khoản"))</f>
        <v/>
      </c>
      <c r="Y3107" s="24" t="n"/>
    </row>
    <row r="3108" ht="14.25" customHeight="1" s="40">
      <c r="A3108" s="24" t="n"/>
      <c r="B3108" s="27" t="n"/>
      <c r="C3108" s="24" t="n"/>
      <c r="D3108" s="28" t="n"/>
      <c r="E3108" s="29" t="n"/>
      <c r="F3108" s="24" t="n"/>
      <c r="G3108" s="24" t="n"/>
      <c r="H3108" s="21">
        <f>IF(ISNUMBER($B3108),INT($B3108)-WEEKDAY($B3108,2)+1,"")</f>
        <v/>
      </c>
      <c r="I3108" s="24" t="n"/>
      <c r="J3108" s="22">
        <f t="array" ref="J3108">IF($D3108="","",IF($I3108="","(trống REF)",IFERROR(INDEX(MASTER_SOURCE!$B$2:$B$495,MATCH($I3108,MASTER_SOURCE!$A$2:$A$495,0)),"(REF không có trong MASTER_SOURCE)")))</f>
        <v/>
      </c>
      <c r="K3108" s="22">
        <f t="array" ref="K3108">IF($D3108="","",IFERROR(INDEX(MASTER_SOURCE!$C$2:$C$495,MATCH($I3108,MASTER_SOURCE!$A$2:$A$495,0)),""))</f>
        <v/>
      </c>
      <c r="L3108" s="22">
        <f t="array" ref="L3108">IF($D3108="","",IFERROR(INDEX(MASTER_SOURCE!$D$2:$D$495,MATCH($I3108,MASTER_SOURCE!$A$2:$A$495,0)),""))</f>
        <v/>
      </c>
      <c r="M3108" s="24" t="n"/>
      <c r="N3108" s="24" t="n"/>
      <c r="O3108" s="24" t="n"/>
      <c r="P3108" s="24" t="n"/>
      <c r="Q3108" s="22">
        <f>IF($D3108="","",IF(AND(OR(DANH_MUC!$L$5&lt;&gt;"Có",M3108="Có"),OR(DANH_MUC!$L$6&lt;&gt;"Có",N3108="Có"),OR(DANH_MUC!$L$7&lt;&gt;"Có",O3108="Có"),OR(DANH_MUC!$L$8&lt;&gt;"Có",P3108="Có")),"Có","Không"))</f>
        <v/>
      </c>
      <c r="R3108" s="22">
        <f>IF($D3108="","",IF(COUNTIF($D$2:$D3108,$D3108)&gt;1,"Trùng",""))</f>
        <v/>
      </c>
      <c r="S3108" s="22">
        <f>IF($D3108="","",IF(AND(LEN($D3108)=10,LEFT($D3108,1)="0",ISNUMBER(--$D3108)),"Có","Không"))</f>
        <v/>
      </c>
      <c r="T3108" s="22">
        <f>IF($D3108="","",IF(AND($C3108&lt;&gt;"",$Q3108="Có",$R3108="",$S3108="Có",AND($L3108&lt;&gt;"",OR($L3108&lt;&gt;"Chưa xác định",DANH_MUC!$L$9="Có"))),"Có","Không"))</f>
        <v/>
      </c>
      <c r="U3108" s="22">
        <f>IF(OR($D3108="",$T3108="Có"),"",IF($C3108="","Thiếu họ tên; ","")&amp;IF($S3108&lt;&gt;"Có","SĐT sai định dạng; ","")&amp;IF($R3108="Trùng","Trùng SĐT; ","")&amp;IF($Q3108&lt;&gt;"Có","Thiếu đồng ý bắt buộc; ","")&amp;IF($L3108="","Thiếu/sai Mã REF; ",IF(AND($L3108="Chưa xác định",DANH_MUC!$L$9&lt;&gt;"Có"),"Nguồn chưa xác định; ","")))</f>
        <v/>
      </c>
      <c r="V3108" s="22">
        <f>IF(OR($D3108="",$R3108="Trùng"),"",IF(COUNTIF(ORDERS!$C$2:$C$4995,$D3108)&gt;0,"Có","Không"))</f>
        <v/>
      </c>
      <c r="W3108" s="22">
        <f>IF(OR($D3108="",$R3108="Trùng"),"",COUNTIFS(ORDERS!$C$2:$C$4995,$D3108,ORDERS!$L$2:$L$4995,"Đã chuyển khoản"))</f>
        <v/>
      </c>
      <c r="X3108" s="23">
        <f>IF(OR($D3108="",$R3108="Trùng"),"",SUMIFS(ORDERS!$J$2:$J$4995,ORDERS!$C$2:$C$4995,$D3108,ORDERS!$L$2:$L$4995,"Đã chuyển khoản"))</f>
        <v/>
      </c>
      <c r="Y3108" s="24" t="n"/>
    </row>
    <row r="3109" ht="14.25" customHeight="1" s="40">
      <c r="A3109" s="24" t="n"/>
      <c r="B3109" s="27" t="n"/>
      <c r="C3109" s="24" t="n"/>
      <c r="D3109" s="28" t="n"/>
      <c r="E3109" s="29" t="n"/>
      <c r="F3109" s="24" t="n"/>
      <c r="G3109" s="24" t="n"/>
      <c r="H3109" s="21">
        <f>IF(ISNUMBER($B3109),INT($B3109)-WEEKDAY($B3109,2)+1,"")</f>
        <v/>
      </c>
      <c r="I3109" s="24" t="n"/>
      <c r="J3109" s="22">
        <f t="array" ref="J3109">IF($D3109="","",IF($I3109="","(trống REF)",IFERROR(INDEX(MASTER_SOURCE!$B$2:$B$495,MATCH($I3109,MASTER_SOURCE!$A$2:$A$495,0)),"(REF không có trong MASTER_SOURCE)")))</f>
        <v/>
      </c>
      <c r="K3109" s="22">
        <f t="array" ref="K3109">IF($D3109="","",IFERROR(INDEX(MASTER_SOURCE!$C$2:$C$495,MATCH($I3109,MASTER_SOURCE!$A$2:$A$495,0)),""))</f>
        <v/>
      </c>
      <c r="L3109" s="22">
        <f t="array" ref="L3109">IF($D3109="","",IFERROR(INDEX(MASTER_SOURCE!$D$2:$D$495,MATCH($I3109,MASTER_SOURCE!$A$2:$A$495,0)),""))</f>
        <v/>
      </c>
      <c r="M3109" s="24" t="n"/>
      <c r="N3109" s="24" t="n"/>
      <c r="O3109" s="24" t="n"/>
      <c r="P3109" s="24" t="n"/>
      <c r="Q3109" s="22">
        <f>IF($D3109="","",IF(AND(OR(DANH_MUC!$L$5&lt;&gt;"Có",M3109="Có"),OR(DANH_MUC!$L$6&lt;&gt;"Có",N3109="Có"),OR(DANH_MUC!$L$7&lt;&gt;"Có",O3109="Có"),OR(DANH_MUC!$L$8&lt;&gt;"Có",P3109="Có")),"Có","Không"))</f>
        <v/>
      </c>
      <c r="R3109" s="22">
        <f>IF($D3109="","",IF(COUNTIF($D$2:$D3109,$D3109)&gt;1,"Trùng",""))</f>
        <v/>
      </c>
      <c r="S3109" s="22">
        <f>IF($D3109="","",IF(AND(LEN($D3109)=10,LEFT($D3109,1)="0",ISNUMBER(--$D3109)),"Có","Không"))</f>
        <v/>
      </c>
      <c r="T3109" s="22">
        <f>IF($D3109="","",IF(AND($C3109&lt;&gt;"",$Q3109="Có",$R3109="",$S3109="Có",AND($L3109&lt;&gt;"",OR($L3109&lt;&gt;"Chưa xác định",DANH_MUC!$L$9="Có"))),"Có","Không"))</f>
        <v/>
      </c>
      <c r="U3109" s="22">
        <f>IF(OR($D3109="",$T3109="Có"),"",IF($C3109="","Thiếu họ tên; ","")&amp;IF($S3109&lt;&gt;"Có","SĐT sai định dạng; ","")&amp;IF($R3109="Trùng","Trùng SĐT; ","")&amp;IF($Q3109&lt;&gt;"Có","Thiếu đồng ý bắt buộc; ","")&amp;IF($L3109="","Thiếu/sai Mã REF; ",IF(AND($L3109="Chưa xác định",DANH_MUC!$L$9&lt;&gt;"Có"),"Nguồn chưa xác định; ","")))</f>
        <v/>
      </c>
      <c r="V3109" s="22">
        <f>IF(OR($D3109="",$R3109="Trùng"),"",IF(COUNTIF(ORDERS!$C$2:$C$4995,$D3109)&gt;0,"Có","Không"))</f>
        <v/>
      </c>
      <c r="W3109" s="22">
        <f>IF(OR($D3109="",$R3109="Trùng"),"",COUNTIFS(ORDERS!$C$2:$C$4995,$D3109,ORDERS!$L$2:$L$4995,"Đã chuyển khoản"))</f>
        <v/>
      </c>
      <c r="X3109" s="23">
        <f>IF(OR($D3109="",$R3109="Trùng"),"",SUMIFS(ORDERS!$J$2:$J$4995,ORDERS!$C$2:$C$4995,$D3109,ORDERS!$L$2:$L$4995,"Đã chuyển khoản"))</f>
        <v/>
      </c>
      <c r="Y3109" s="24" t="n"/>
    </row>
    <row r="3110" ht="14.25" customHeight="1" s="40">
      <c r="A3110" s="24" t="n"/>
      <c r="B3110" s="27" t="n"/>
      <c r="C3110" s="24" t="n"/>
      <c r="D3110" s="28" t="n"/>
      <c r="E3110" s="29" t="n"/>
      <c r="F3110" s="24" t="n"/>
      <c r="G3110" s="24" t="n"/>
      <c r="H3110" s="21">
        <f>IF(ISNUMBER($B3110),INT($B3110)-WEEKDAY($B3110,2)+1,"")</f>
        <v/>
      </c>
      <c r="I3110" s="24" t="n"/>
      <c r="J3110" s="22">
        <f t="array" ref="J3110">IF($D3110="","",IF($I3110="","(trống REF)",IFERROR(INDEX(MASTER_SOURCE!$B$2:$B$495,MATCH($I3110,MASTER_SOURCE!$A$2:$A$495,0)),"(REF không có trong MASTER_SOURCE)")))</f>
        <v/>
      </c>
      <c r="K3110" s="22">
        <f t="array" ref="K3110">IF($D3110="","",IFERROR(INDEX(MASTER_SOURCE!$C$2:$C$495,MATCH($I3110,MASTER_SOURCE!$A$2:$A$495,0)),""))</f>
        <v/>
      </c>
      <c r="L3110" s="22">
        <f t="array" ref="L3110">IF($D3110="","",IFERROR(INDEX(MASTER_SOURCE!$D$2:$D$495,MATCH($I3110,MASTER_SOURCE!$A$2:$A$495,0)),""))</f>
        <v/>
      </c>
      <c r="M3110" s="24" t="n"/>
      <c r="N3110" s="24" t="n"/>
      <c r="O3110" s="24" t="n"/>
      <c r="P3110" s="24" t="n"/>
      <c r="Q3110" s="22">
        <f>IF($D3110="","",IF(AND(OR(DANH_MUC!$L$5&lt;&gt;"Có",M3110="Có"),OR(DANH_MUC!$L$6&lt;&gt;"Có",N3110="Có"),OR(DANH_MUC!$L$7&lt;&gt;"Có",O3110="Có"),OR(DANH_MUC!$L$8&lt;&gt;"Có",P3110="Có")),"Có","Không"))</f>
        <v/>
      </c>
      <c r="R3110" s="22">
        <f>IF($D3110="","",IF(COUNTIF($D$2:$D3110,$D3110)&gt;1,"Trùng",""))</f>
        <v/>
      </c>
      <c r="S3110" s="22">
        <f>IF($D3110="","",IF(AND(LEN($D3110)=10,LEFT($D3110,1)="0",ISNUMBER(--$D3110)),"Có","Không"))</f>
        <v/>
      </c>
      <c r="T3110" s="22">
        <f>IF($D3110="","",IF(AND($C3110&lt;&gt;"",$Q3110="Có",$R3110="",$S3110="Có",AND($L3110&lt;&gt;"",OR($L3110&lt;&gt;"Chưa xác định",DANH_MUC!$L$9="Có"))),"Có","Không"))</f>
        <v/>
      </c>
      <c r="U3110" s="22">
        <f>IF(OR($D3110="",$T3110="Có"),"",IF($C3110="","Thiếu họ tên; ","")&amp;IF($S3110&lt;&gt;"Có","SĐT sai định dạng; ","")&amp;IF($R3110="Trùng","Trùng SĐT; ","")&amp;IF($Q3110&lt;&gt;"Có","Thiếu đồng ý bắt buộc; ","")&amp;IF($L3110="","Thiếu/sai Mã REF; ",IF(AND($L3110="Chưa xác định",DANH_MUC!$L$9&lt;&gt;"Có"),"Nguồn chưa xác định; ","")))</f>
        <v/>
      </c>
      <c r="V3110" s="22">
        <f>IF(OR($D3110="",$R3110="Trùng"),"",IF(COUNTIF(ORDERS!$C$2:$C$4995,$D3110)&gt;0,"Có","Không"))</f>
        <v/>
      </c>
      <c r="W3110" s="22">
        <f>IF(OR($D3110="",$R3110="Trùng"),"",COUNTIFS(ORDERS!$C$2:$C$4995,$D3110,ORDERS!$L$2:$L$4995,"Đã chuyển khoản"))</f>
        <v/>
      </c>
      <c r="X3110" s="23">
        <f>IF(OR($D3110="",$R3110="Trùng"),"",SUMIFS(ORDERS!$J$2:$J$4995,ORDERS!$C$2:$C$4995,$D3110,ORDERS!$L$2:$L$4995,"Đã chuyển khoản"))</f>
        <v/>
      </c>
      <c r="Y3110" s="24" t="n"/>
    </row>
    <row r="3111" ht="14.25" customHeight="1" s="40">
      <c r="A3111" s="24" t="n"/>
      <c r="B3111" s="27" t="n"/>
      <c r="C3111" s="24" t="n"/>
      <c r="D3111" s="28" t="n"/>
      <c r="E3111" s="29" t="n"/>
      <c r="F3111" s="24" t="n"/>
      <c r="G3111" s="24" t="n"/>
      <c r="H3111" s="21">
        <f>IF(ISNUMBER($B3111),INT($B3111)-WEEKDAY($B3111,2)+1,"")</f>
        <v/>
      </c>
      <c r="I3111" s="24" t="n"/>
      <c r="J3111" s="22">
        <f t="array" ref="J3111">IF($D3111="","",IF($I3111="","(trống REF)",IFERROR(INDEX(MASTER_SOURCE!$B$2:$B$495,MATCH($I3111,MASTER_SOURCE!$A$2:$A$495,0)),"(REF không có trong MASTER_SOURCE)")))</f>
        <v/>
      </c>
      <c r="K3111" s="22">
        <f t="array" ref="K3111">IF($D3111="","",IFERROR(INDEX(MASTER_SOURCE!$C$2:$C$495,MATCH($I3111,MASTER_SOURCE!$A$2:$A$495,0)),""))</f>
        <v/>
      </c>
      <c r="L3111" s="22">
        <f t="array" ref="L3111">IF($D3111="","",IFERROR(INDEX(MASTER_SOURCE!$D$2:$D$495,MATCH($I3111,MASTER_SOURCE!$A$2:$A$495,0)),""))</f>
        <v/>
      </c>
      <c r="M3111" s="24" t="n"/>
      <c r="N3111" s="24" t="n"/>
      <c r="O3111" s="24" t="n"/>
      <c r="P3111" s="24" t="n"/>
      <c r="Q3111" s="22">
        <f>IF($D3111="","",IF(AND(OR(DANH_MUC!$L$5&lt;&gt;"Có",M3111="Có"),OR(DANH_MUC!$L$6&lt;&gt;"Có",N3111="Có"),OR(DANH_MUC!$L$7&lt;&gt;"Có",O3111="Có"),OR(DANH_MUC!$L$8&lt;&gt;"Có",P3111="Có")),"Có","Không"))</f>
        <v/>
      </c>
      <c r="R3111" s="22">
        <f>IF($D3111="","",IF(COUNTIF($D$2:$D3111,$D3111)&gt;1,"Trùng",""))</f>
        <v/>
      </c>
      <c r="S3111" s="22">
        <f>IF($D3111="","",IF(AND(LEN($D3111)=10,LEFT($D3111,1)="0",ISNUMBER(--$D3111)),"Có","Không"))</f>
        <v/>
      </c>
      <c r="T3111" s="22">
        <f>IF($D3111="","",IF(AND($C3111&lt;&gt;"",$Q3111="Có",$R3111="",$S3111="Có",AND($L3111&lt;&gt;"",OR($L3111&lt;&gt;"Chưa xác định",DANH_MUC!$L$9="Có"))),"Có","Không"))</f>
        <v/>
      </c>
      <c r="U3111" s="22">
        <f>IF(OR($D3111="",$T3111="Có"),"",IF($C3111="","Thiếu họ tên; ","")&amp;IF($S3111&lt;&gt;"Có","SĐT sai định dạng; ","")&amp;IF($R3111="Trùng","Trùng SĐT; ","")&amp;IF($Q3111&lt;&gt;"Có","Thiếu đồng ý bắt buộc; ","")&amp;IF($L3111="","Thiếu/sai Mã REF; ",IF(AND($L3111="Chưa xác định",DANH_MUC!$L$9&lt;&gt;"Có"),"Nguồn chưa xác định; ","")))</f>
        <v/>
      </c>
      <c r="V3111" s="22">
        <f>IF(OR($D3111="",$R3111="Trùng"),"",IF(COUNTIF(ORDERS!$C$2:$C$4995,$D3111)&gt;0,"Có","Không"))</f>
        <v/>
      </c>
      <c r="W3111" s="22">
        <f>IF(OR($D3111="",$R3111="Trùng"),"",COUNTIFS(ORDERS!$C$2:$C$4995,$D3111,ORDERS!$L$2:$L$4995,"Đã chuyển khoản"))</f>
        <v/>
      </c>
      <c r="X3111" s="23">
        <f>IF(OR($D3111="",$R3111="Trùng"),"",SUMIFS(ORDERS!$J$2:$J$4995,ORDERS!$C$2:$C$4995,$D3111,ORDERS!$L$2:$L$4995,"Đã chuyển khoản"))</f>
        <v/>
      </c>
      <c r="Y3111" s="24" t="n"/>
    </row>
    <row r="3112" ht="14.25" customHeight="1" s="40">
      <c r="A3112" s="24" t="n"/>
      <c r="B3112" s="27" t="n"/>
      <c r="C3112" s="24" t="n"/>
      <c r="D3112" s="28" t="n"/>
      <c r="E3112" s="29" t="n"/>
      <c r="F3112" s="24" t="n"/>
      <c r="G3112" s="24" t="n"/>
      <c r="H3112" s="21">
        <f>IF(ISNUMBER($B3112),INT($B3112)-WEEKDAY($B3112,2)+1,"")</f>
        <v/>
      </c>
      <c r="I3112" s="24" t="n"/>
      <c r="J3112" s="22">
        <f t="array" ref="J3112">IF($D3112="","",IF($I3112="","(trống REF)",IFERROR(INDEX(MASTER_SOURCE!$B$2:$B$495,MATCH($I3112,MASTER_SOURCE!$A$2:$A$495,0)),"(REF không có trong MASTER_SOURCE)")))</f>
        <v/>
      </c>
      <c r="K3112" s="22">
        <f t="array" ref="K3112">IF($D3112="","",IFERROR(INDEX(MASTER_SOURCE!$C$2:$C$495,MATCH($I3112,MASTER_SOURCE!$A$2:$A$495,0)),""))</f>
        <v/>
      </c>
      <c r="L3112" s="22">
        <f t="array" ref="L3112">IF($D3112="","",IFERROR(INDEX(MASTER_SOURCE!$D$2:$D$495,MATCH($I3112,MASTER_SOURCE!$A$2:$A$495,0)),""))</f>
        <v/>
      </c>
      <c r="M3112" s="24" t="n"/>
      <c r="N3112" s="24" t="n"/>
      <c r="O3112" s="24" t="n"/>
      <c r="P3112" s="24" t="n"/>
      <c r="Q3112" s="22">
        <f>IF($D3112="","",IF(AND(OR(DANH_MUC!$L$5&lt;&gt;"Có",M3112="Có"),OR(DANH_MUC!$L$6&lt;&gt;"Có",N3112="Có"),OR(DANH_MUC!$L$7&lt;&gt;"Có",O3112="Có"),OR(DANH_MUC!$L$8&lt;&gt;"Có",P3112="Có")),"Có","Không"))</f>
        <v/>
      </c>
      <c r="R3112" s="22">
        <f>IF($D3112="","",IF(COUNTIF($D$2:$D3112,$D3112)&gt;1,"Trùng",""))</f>
        <v/>
      </c>
      <c r="S3112" s="22">
        <f>IF($D3112="","",IF(AND(LEN($D3112)=10,LEFT($D3112,1)="0",ISNUMBER(--$D3112)),"Có","Không"))</f>
        <v/>
      </c>
      <c r="T3112" s="22">
        <f>IF($D3112="","",IF(AND($C3112&lt;&gt;"",$Q3112="Có",$R3112="",$S3112="Có",AND($L3112&lt;&gt;"",OR($L3112&lt;&gt;"Chưa xác định",DANH_MUC!$L$9="Có"))),"Có","Không"))</f>
        <v/>
      </c>
      <c r="U3112" s="22">
        <f>IF(OR($D3112="",$T3112="Có"),"",IF($C3112="","Thiếu họ tên; ","")&amp;IF($S3112&lt;&gt;"Có","SĐT sai định dạng; ","")&amp;IF($R3112="Trùng","Trùng SĐT; ","")&amp;IF($Q3112&lt;&gt;"Có","Thiếu đồng ý bắt buộc; ","")&amp;IF($L3112="","Thiếu/sai Mã REF; ",IF(AND($L3112="Chưa xác định",DANH_MUC!$L$9&lt;&gt;"Có"),"Nguồn chưa xác định; ","")))</f>
        <v/>
      </c>
      <c r="V3112" s="22">
        <f>IF(OR($D3112="",$R3112="Trùng"),"",IF(COUNTIF(ORDERS!$C$2:$C$4995,$D3112)&gt;0,"Có","Không"))</f>
        <v/>
      </c>
      <c r="W3112" s="22">
        <f>IF(OR($D3112="",$R3112="Trùng"),"",COUNTIFS(ORDERS!$C$2:$C$4995,$D3112,ORDERS!$L$2:$L$4995,"Đã chuyển khoản"))</f>
        <v/>
      </c>
      <c r="X3112" s="23">
        <f>IF(OR($D3112="",$R3112="Trùng"),"",SUMIFS(ORDERS!$J$2:$J$4995,ORDERS!$C$2:$C$4995,$D3112,ORDERS!$L$2:$L$4995,"Đã chuyển khoản"))</f>
        <v/>
      </c>
      <c r="Y3112" s="24" t="n"/>
    </row>
    <row r="3113" ht="14.25" customHeight="1" s="40">
      <c r="A3113" s="24" t="n"/>
      <c r="B3113" s="27" t="n"/>
      <c r="C3113" s="24" t="n"/>
      <c r="D3113" s="28" t="n"/>
      <c r="E3113" s="29" t="n"/>
      <c r="F3113" s="24" t="n"/>
      <c r="G3113" s="24" t="n"/>
      <c r="H3113" s="21">
        <f>IF(ISNUMBER($B3113),INT($B3113)-WEEKDAY($B3113,2)+1,"")</f>
        <v/>
      </c>
      <c r="I3113" s="24" t="n"/>
      <c r="J3113" s="22">
        <f t="array" ref="J3113">IF($D3113="","",IF($I3113="","(trống REF)",IFERROR(INDEX(MASTER_SOURCE!$B$2:$B$495,MATCH($I3113,MASTER_SOURCE!$A$2:$A$495,0)),"(REF không có trong MASTER_SOURCE)")))</f>
        <v/>
      </c>
      <c r="K3113" s="22">
        <f t="array" ref="K3113">IF($D3113="","",IFERROR(INDEX(MASTER_SOURCE!$C$2:$C$495,MATCH($I3113,MASTER_SOURCE!$A$2:$A$495,0)),""))</f>
        <v/>
      </c>
      <c r="L3113" s="22">
        <f t="array" ref="L3113">IF($D3113="","",IFERROR(INDEX(MASTER_SOURCE!$D$2:$D$495,MATCH($I3113,MASTER_SOURCE!$A$2:$A$495,0)),""))</f>
        <v/>
      </c>
      <c r="M3113" s="24" t="n"/>
      <c r="N3113" s="24" t="n"/>
      <c r="O3113" s="24" t="n"/>
      <c r="P3113" s="24" t="n"/>
      <c r="Q3113" s="22">
        <f>IF($D3113="","",IF(AND(OR(DANH_MUC!$L$5&lt;&gt;"Có",M3113="Có"),OR(DANH_MUC!$L$6&lt;&gt;"Có",N3113="Có"),OR(DANH_MUC!$L$7&lt;&gt;"Có",O3113="Có"),OR(DANH_MUC!$L$8&lt;&gt;"Có",P3113="Có")),"Có","Không"))</f>
        <v/>
      </c>
      <c r="R3113" s="22">
        <f>IF($D3113="","",IF(COUNTIF($D$2:$D3113,$D3113)&gt;1,"Trùng",""))</f>
        <v/>
      </c>
      <c r="S3113" s="22">
        <f>IF($D3113="","",IF(AND(LEN($D3113)=10,LEFT($D3113,1)="0",ISNUMBER(--$D3113)),"Có","Không"))</f>
        <v/>
      </c>
      <c r="T3113" s="22">
        <f>IF($D3113="","",IF(AND($C3113&lt;&gt;"",$Q3113="Có",$R3113="",$S3113="Có",AND($L3113&lt;&gt;"",OR($L3113&lt;&gt;"Chưa xác định",DANH_MUC!$L$9="Có"))),"Có","Không"))</f>
        <v/>
      </c>
      <c r="U3113" s="22">
        <f>IF(OR($D3113="",$T3113="Có"),"",IF($C3113="","Thiếu họ tên; ","")&amp;IF($S3113&lt;&gt;"Có","SĐT sai định dạng; ","")&amp;IF($R3113="Trùng","Trùng SĐT; ","")&amp;IF($Q3113&lt;&gt;"Có","Thiếu đồng ý bắt buộc; ","")&amp;IF($L3113="","Thiếu/sai Mã REF; ",IF(AND($L3113="Chưa xác định",DANH_MUC!$L$9&lt;&gt;"Có"),"Nguồn chưa xác định; ","")))</f>
        <v/>
      </c>
      <c r="V3113" s="22">
        <f>IF(OR($D3113="",$R3113="Trùng"),"",IF(COUNTIF(ORDERS!$C$2:$C$4995,$D3113)&gt;0,"Có","Không"))</f>
        <v/>
      </c>
      <c r="W3113" s="22">
        <f>IF(OR($D3113="",$R3113="Trùng"),"",COUNTIFS(ORDERS!$C$2:$C$4995,$D3113,ORDERS!$L$2:$L$4995,"Đã chuyển khoản"))</f>
        <v/>
      </c>
      <c r="X3113" s="23">
        <f>IF(OR($D3113="",$R3113="Trùng"),"",SUMIFS(ORDERS!$J$2:$J$4995,ORDERS!$C$2:$C$4995,$D3113,ORDERS!$L$2:$L$4995,"Đã chuyển khoản"))</f>
        <v/>
      </c>
      <c r="Y3113" s="24" t="n"/>
    </row>
    <row r="3114" ht="14.25" customHeight="1" s="40">
      <c r="A3114" s="24" t="n"/>
      <c r="B3114" s="27" t="n"/>
      <c r="C3114" s="24" t="n"/>
      <c r="D3114" s="28" t="n"/>
      <c r="E3114" s="29" t="n"/>
      <c r="F3114" s="24" t="n"/>
      <c r="G3114" s="24" t="n"/>
      <c r="H3114" s="21">
        <f>IF(ISNUMBER($B3114),INT($B3114)-WEEKDAY($B3114,2)+1,"")</f>
        <v/>
      </c>
      <c r="I3114" s="24" t="n"/>
      <c r="J3114" s="22">
        <f t="array" ref="J3114">IF($D3114="","",IF($I3114="","(trống REF)",IFERROR(INDEX(MASTER_SOURCE!$B$2:$B$495,MATCH($I3114,MASTER_SOURCE!$A$2:$A$495,0)),"(REF không có trong MASTER_SOURCE)")))</f>
        <v/>
      </c>
      <c r="K3114" s="22">
        <f t="array" ref="K3114">IF($D3114="","",IFERROR(INDEX(MASTER_SOURCE!$C$2:$C$495,MATCH($I3114,MASTER_SOURCE!$A$2:$A$495,0)),""))</f>
        <v/>
      </c>
      <c r="L3114" s="22">
        <f t="array" ref="L3114">IF($D3114="","",IFERROR(INDEX(MASTER_SOURCE!$D$2:$D$495,MATCH($I3114,MASTER_SOURCE!$A$2:$A$495,0)),""))</f>
        <v/>
      </c>
      <c r="M3114" s="24" t="n"/>
      <c r="N3114" s="24" t="n"/>
      <c r="O3114" s="24" t="n"/>
      <c r="P3114" s="24" t="n"/>
      <c r="Q3114" s="22">
        <f>IF($D3114="","",IF(AND(OR(DANH_MUC!$L$5&lt;&gt;"Có",M3114="Có"),OR(DANH_MUC!$L$6&lt;&gt;"Có",N3114="Có"),OR(DANH_MUC!$L$7&lt;&gt;"Có",O3114="Có"),OR(DANH_MUC!$L$8&lt;&gt;"Có",P3114="Có")),"Có","Không"))</f>
        <v/>
      </c>
      <c r="R3114" s="22">
        <f>IF($D3114="","",IF(COUNTIF($D$2:$D3114,$D3114)&gt;1,"Trùng",""))</f>
        <v/>
      </c>
      <c r="S3114" s="22">
        <f>IF($D3114="","",IF(AND(LEN($D3114)=10,LEFT($D3114,1)="0",ISNUMBER(--$D3114)),"Có","Không"))</f>
        <v/>
      </c>
      <c r="T3114" s="22">
        <f>IF($D3114="","",IF(AND($C3114&lt;&gt;"",$Q3114="Có",$R3114="",$S3114="Có",AND($L3114&lt;&gt;"",OR($L3114&lt;&gt;"Chưa xác định",DANH_MUC!$L$9="Có"))),"Có","Không"))</f>
        <v/>
      </c>
      <c r="U3114" s="22">
        <f>IF(OR($D3114="",$T3114="Có"),"",IF($C3114="","Thiếu họ tên; ","")&amp;IF($S3114&lt;&gt;"Có","SĐT sai định dạng; ","")&amp;IF($R3114="Trùng","Trùng SĐT; ","")&amp;IF($Q3114&lt;&gt;"Có","Thiếu đồng ý bắt buộc; ","")&amp;IF($L3114="","Thiếu/sai Mã REF; ",IF(AND($L3114="Chưa xác định",DANH_MUC!$L$9&lt;&gt;"Có"),"Nguồn chưa xác định; ","")))</f>
        <v/>
      </c>
      <c r="V3114" s="22">
        <f>IF(OR($D3114="",$R3114="Trùng"),"",IF(COUNTIF(ORDERS!$C$2:$C$4995,$D3114)&gt;0,"Có","Không"))</f>
        <v/>
      </c>
      <c r="W3114" s="22">
        <f>IF(OR($D3114="",$R3114="Trùng"),"",COUNTIFS(ORDERS!$C$2:$C$4995,$D3114,ORDERS!$L$2:$L$4995,"Đã chuyển khoản"))</f>
        <v/>
      </c>
      <c r="X3114" s="23">
        <f>IF(OR($D3114="",$R3114="Trùng"),"",SUMIFS(ORDERS!$J$2:$J$4995,ORDERS!$C$2:$C$4995,$D3114,ORDERS!$L$2:$L$4995,"Đã chuyển khoản"))</f>
        <v/>
      </c>
      <c r="Y3114" s="24" t="n"/>
    </row>
    <row r="3115" ht="14.25" customHeight="1" s="40">
      <c r="A3115" s="24" t="n"/>
      <c r="B3115" s="27" t="n"/>
      <c r="C3115" s="24" t="n"/>
      <c r="D3115" s="28" t="n"/>
      <c r="E3115" s="29" t="n"/>
      <c r="F3115" s="24" t="n"/>
      <c r="G3115" s="24" t="n"/>
      <c r="H3115" s="21">
        <f>IF(ISNUMBER($B3115),INT($B3115)-WEEKDAY($B3115,2)+1,"")</f>
        <v/>
      </c>
      <c r="I3115" s="24" t="n"/>
      <c r="J3115" s="22">
        <f t="array" ref="J3115">IF($D3115="","",IF($I3115="","(trống REF)",IFERROR(INDEX(MASTER_SOURCE!$B$2:$B$495,MATCH($I3115,MASTER_SOURCE!$A$2:$A$495,0)),"(REF không có trong MASTER_SOURCE)")))</f>
        <v/>
      </c>
      <c r="K3115" s="22">
        <f t="array" ref="K3115">IF($D3115="","",IFERROR(INDEX(MASTER_SOURCE!$C$2:$C$495,MATCH($I3115,MASTER_SOURCE!$A$2:$A$495,0)),""))</f>
        <v/>
      </c>
      <c r="L3115" s="22">
        <f t="array" ref="L3115">IF($D3115="","",IFERROR(INDEX(MASTER_SOURCE!$D$2:$D$495,MATCH($I3115,MASTER_SOURCE!$A$2:$A$495,0)),""))</f>
        <v/>
      </c>
      <c r="M3115" s="24" t="n"/>
      <c r="N3115" s="24" t="n"/>
      <c r="O3115" s="24" t="n"/>
      <c r="P3115" s="24" t="n"/>
      <c r="Q3115" s="22">
        <f>IF($D3115="","",IF(AND(OR(DANH_MUC!$L$5&lt;&gt;"Có",M3115="Có"),OR(DANH_MUC!$L$6&lt;&gt;"Có",N3115="Có"),OR(DANH_MUC!$L$7&lt;&gt;"Có",O3115="Có"),OR(DANH_MUC!$L$8&lt;&gt;"Có",P3115="Có")),"Có","Không"))</f>
        <v/>
      </c>
      <c r="R3115" s="22">
        <f>IF($D3115="","",IF(COUNTIF($D$2:$D3115,$D3115)&gt;1,"Trùng",""))</f>
        <v/>
      </c>
      <c r="S3115" s="22">
        <f>IF($D3115="","",IF(AND(LEN($D3115)=10,LEFT($D3115,1)="0",ISNUMBER(--$D3115)),"Có","Không"))</f>
        <v/>
      </c>
      <c r="T3115" s="22">
        <f>IF($D3115="","",IF(AND($C3115&lt;&gt;"",$Q3115="Có",$R3115="",$S3115="Có",AND($L3115&lt;&gt;"",OR($L3115&lt;&gt;"Chưa xác định",DANH_MUC!$L$9="Có"))),"Có","Không"))</f>
        <v/>
      </c>
      <c r="U3115" s="22">
        <f>IF(OR($D3115="",$T3115="Có"),"",IF($C3115="","Thiếu họ tên; ","")&amp;IF($S3115&lt;&gt;"Có","SĐT sai định dạng; ","")&amp;IF($R3115="Trùng","Trùng SĐT; ","")&amp;IF($Q3115&lt;&gt;"Có","Thiếu đồng ý bắt buộc; ","")&amp;IF($L3115="","Thiếu/sai Mã REF; ",IF(AND($L3115="Chưa xác định",DANH_MUC!$L$9&lt;&gt;"Có"),"Nguồn chưa xác định; ","")))</f>
        <v/>
      </c>
      <c r="V3115" s="22">
        <f>IF(OR($D3115="",$R3115="Trùng"),"",IF(COUNTIF(ORDERS!$C$2:$C$4995,$D3115)&gt;0,"Có","Không"))</f>
        <v/>
      </c>
      <c r="W3115" s="22">
        <f>IF(OR($D3115="",$R3115="Trùng"),"",COUNTIFS(ORDERS!$C$2:$C$4995,$D3115,ORDERS!$L$2:$L$4995,"Đã chuyển khoản"))</f>
        <v/>
      </c>
      <c r="X3115" s="23">
        <f>IF(OR($D3115="",$R3115="Trùng"),"",SUMIFS(ORDERS!$J$2:$J$4995,ORDERS!$C$2:$C$4995,$D3115,ORDERS!$L$2:$L$4995,"Đã chuyển khoản"))</f>
        <v/>
      </c>
      <c r="Y3115" s="24" t="n"/>
    </row>
    <row r="3116" ht="14.25" customHeight="1" s="40">
      <c r="A3116" s="24" t="n"/>
      <c r="B3116" s="27" t="n"/>
      <c r="C3116" s="24" t="n"/>
      <c r="D3116" s="28" t="n"/>
      <c r="E3116" s="29" t="n"/>
      <c r="F3116" s="24" t="n"/>
      <c r="G3116" s="24" t="n"/>
      <c r="H3116" s="21">
        <f>IF(ISNUMBER($B3116),INT($B3116)-WEEKDAY($B3116,2)+1,"")</f>
        <v/>
      </c>
      <c r="I3116" s="24" t="n"/>
      <c r="J3116" s="22">
        <f t="array" ref="J3116">IF($D3116="","",IF($I3116="","(trống REF)",IFERROR(INDEX(MASTER_SOURCE!$B$2:$B$495,MATCH($I3116,MASTER_SOURCE!$A$2:$A$495,0)),"(REF không có trong MASTER_SOURCE)")))</f>
        <v/>
      </c>
      <c r="K3116" s="22">
        <f t="array" ref="K3116">IF($D3116="","",IFERROR(INDEX(MASTER_SOURCE!$C$2:$C$495,MATCH($I3116,MASTER_SOURCE!$A$2:$A$495,0)),""))</f>
        <v/>
      </c>
      <c r="L3116" s="22">
        <f t="array" ref="L3116">IF($D3116="","",IFERROR(INDEX(MASTER_SOURCE!$D$2:$D$495,MATCH($I3116,MASTER_SOURCE!$A$2:$A$495,0)),""))</f>
        <v/>
      </c>
      <c r="M3116" s="24" t="n"/>
      <c r="N3116" s="24" t="n"/>
      <c r="O3116" s="24" t="n"/>
      <c r="P3116" s="24" t="n"/>
      <c r="Q3116" s="22">
        <f>IF($D3116="","",IF(AND(OR(DANH_MUC!$L$5&lt;&gt;"Có",M3116="Có"),OR(DANH_MUC!$L$6&lt;&gt;"Có",N3116="Có"),OR(DANH_MUC!$L$7&lt;&gt;"Có",O3116="Có"),OR(DANH_MUC!$L$8&lt;&gt;"Có",P3116="Có")),"Có","Không"))</f>
        <v/>
      </c>
      <c r="R3116" s="22">
        <f>IF($D3116="","",IF(COUNTIF($D$2:$D3116,$D3116)&gt;1,"Trùng",""))</f>
        <v/>
      </c>
      <c r="S3116" s="22">
        <f>IF($D3116="","",IF(AND(LEN($D3116)=10,LEFT($D3116,1)="0",ISNUMBER(--$D3116)),"Có","Không"))</f>
        <v/>
      </c>
      <c r="T3116" s="22">
        <f>IF($D3116="","",IF(AND($C3116&lt;&gt;"",$Q3116="Có",$R3116="",$S3116="Có",AND($L3116&lt;&gt;"",OR($L3116&lt;&gt;"Chưa xác định",DANH_MUC!$L$9="Có"))),"Có","Không"))</f>
        <v/>
      </c>
      <c r="U3116" s="22">
        <f>IF(OR($D3116="",$T3116="Có"),"",IF($C3116="","Thiếu họ tên; ","")&amp;IF($S3116&lt;&gt;"Có","SĐT sai định dạng; ","")&amp;IF($R3116="Trùng","Trùng SĐT; ","")&amp;IF($Q3116&lt;&gt;"Có","Thiếu đồng ý bắt buộc; ","")&amp;IF($L3116="","Thiếu/sai Mã REF; ",IF(AND($L3116="Chưa xác định",DANH_MUC!$L$9&lt;&gt;"Có"),"Nguồn chưa xác định; ","")))</f>
        <v/>
      </c>
      <c r="V3116" s="22">
        <f>IF(OR($D3116="",$R3116="Trùng"),"",IF(COUNTIF(ORDERS!$C$2:$C$4995,$D3116)&gt;0,"Có","Không"))</f>
        <v/>
      </c>
      <c r="W3116" s="22">
        <f>IF(OR($D3116="",$R3116="Trùng"),"",COUNTIFS(ORDERS!$C$2:$C$4995,$D3116,ORDERS!$L$2:$L$4995,"Đã chuyển khoản"))</f>
        <v/>
      </c>
      <c r="X3116" s="23">
        <f>IF(OR($D3116="",$R3116="Trùng"),"",SUMIFS(ORDERS!$J$2:$J$4995,ORDERS!$C$2:$C$4995,$D3116,ORDERS!$L$2:$L$4995,"Đã chuyển khoản"))</f>
        <v/>
      </c>
      <c r="Y3116" s="24" t="n"/>
    </row>
    <row r="3117" ht="14.25" customHeight="1" s="40">
      <c r="A3117" s="24" t="n"/>
      <c r="B3117" s="27" t="n"/>
      <c r="C3117" s="24" t="n"/>
      <c r="D3117" s="28" t="n"/>
      <c r="E3117" s="29" t="n"/>
      <c r="F3117" s="24" t="n"/>
      <c r="G3117" s="24" t="n"/>
      <c r="H3117" s="21">
        <f>IF(ISNUMBER($B3117),INT($B3117)-WEEKDAY($B3117,2)+1,"")</f>
        <v/>
      </c>
      <c r="I3117" s="24" t="n"/>
      <c r="J3117" s="22">
        <f t="array" ref="J3117">IF($D3117="","",IF($I3117="","(trống REF)",IFERROR(INDEX(MASTER_SOURCE!$B$2:$B$495,MATCH($I3117,MASTER_SOURCE!$A$2:$A$495,0)),"(REF không có trong MASTER_SOURCE)")))</f>
        <v/>
      </c>
      <c r="K3117" s="22">
        <f t="array" ref="K3117">IF($D3117="","",IFERROR(INDEX(MASTER_SOURCE!$C$2:$C$495,MATCH($I3117,MASTER_SOURCE!$A$2:$A$495,0)),""))</f>
        <v/>
      </c>
      <c r="L3117" s="22">
        <f t="array" ref="L3117">IF($D3117="","",IFERROR(INDEX(MASTER_SOURCE!$D$2:$D$495,MATCH($I3117,MASTER_SOURCE!$A$2:$A$495,0)),""))</f>
        <v/>
      </c>
      <c r="M3117" s="24" t="n"/>
      <c r="N3117" s="24" t="n"/>
      <c r="O3117" s="24" t="n"/>
      <c r="P3117" s="24" t="n"/>
      <c r="Q3117" s="22">
        <f>IF($D3117="","",IF(AND(OR(DANH_MUC!$L$5&lt;&gt;"Có",M3117="Có"),OR(DANH_MUC!$L$6&lt;&gt;"Có",N3117="Có"),OR(DANH_MUC!$L$7&lt;&gt;"Có",O3117="Có"),OR(DANH_MUC!$L$8&lt;&gt;"Có",P3117="Có")),"Có","Không"))</f>
        <v/>
      </c>
      <c r="R3117" s="22">
        <f>IF($D3117="","",IF(COUNTIF($D$2:$D3117,$D3117)&gt;1,"Trùng",""))</f>
        <v/>
      </c>
      <c r="S3117" s="22">
        <f>IF($D3117="","",IF(AND(LEN($D3117)=10,LEFT($D3117,1)="0",ISNUMBER(--$D3117)),"Có","Không"))</f>
        <v/>
      </c>
      <c r="T3117" s="22">
        <f>IF($D3117="","",IF(AND($C3117&lt;&gt;"",$Q3117="Có",$R3117="",$S3117="Có",AND($L3117&lt;&gt;"",OR($L3117&lt;&gt;"Chưa xác định",DANH_MUC!$L$9="Có"))),"Có","Không"))</f>
        <v/>
      </c>
      <c r="U3117" s="22">
        <f>IF(OR($D3117="",$T3117="Có"),"",IF($C3117="","Thiếu họ tên; ","")&amp;IF($S3117&lt;&gt;"Có","SĐT sai định dạng; ","")&amp;IF($R3117="Trùng","Trùng SĐT; ","")&amp;IF($Q3117&lt;&gt;"Có","Thiếu đồng ý bắt buộc; ","")&amp;IF($L3117="","Thiếu/sai Mã REF; ",IF(AND($L3117="Chưa xác định",DANH_MUC!$L$9&lt;&gt;"Có"),"Nguồn chưa xác định; ","")))</f>
        <v/>
      </c>
      <c r="V3117" s="22">
        <f>IF(OR($D3117="",$R3117="Trùng"),"",IF(COUNTIF(ORDERS!$C$2:$C$4995,$D3117)&gt;0,"Có","Không"))</f>
        <v/>
      </c>
      <c r="W3117" s="22">
        <f>IF(OR($D3117="",$R3117="Trùng"),"",COUNTIFS(ORDERS!$C$2:$C$4995,$D3117,ORDERS!$L$2:$L$4995,"Đã chuyển khoản"))</f>
        <v/>
      </c>
      <c r="X3117" s="23">
        <f>IF(OR($D3117="",$R3117="Trùng"),"",SUMIFS(ORDERS!$J$2:$J$4995,ORDERS!$C$2:$C$4995,$D3117,ORDERS!$L$2:$L$4995,"Đã chuyển khoản"))</f>
        <v/>
      </c>
      <c r="Y3117" s="24" t="n"/>
    </row>
    <row r="3118" ht="14.25" customHeight="1" s="40">
      <c r="A3118" s="24" t="n"/>
      <c r="B3118" s="27" t="n"/>
      <c r="C3118" s="24" t="n"/>
      <c r="D3118" s="28" t="n"/>
      <c r="E3118" s="29" t="n"/>
      <c r="F3118" s="24" t="n"/>
      <c r="G3118" s="24" t="n"/>
      <c r="H3118" s="21">
        <f>IF(ISNUMBER($B3118),INT($B3118)-WEEKDAY($B3118,2)+1,"")</f>
        <v/>
      </c>
      <c r="I3118" s="24" t="n"/>
      <c r="J3118" s="22">
        <f t="array" ref="J3118">IF($D3118="","",IF($I3118="","(trống REF)",IFERROR(INDEX(MASTER_SOURCE!$B$2:$B$495,MATCH($I3118,MASTER_SOURCE!$A$2:$A$495,0)),"(REF không có trong MASTER_SOURCE)")))</f>
        <v/>
      </c>
      <c r="K3118" s="22">
        <f t="array" ref="K3118">IF($D3118="","",IFERROR(INDEX(MASTER_SOURCE!$C$2:$C$495,MATCH($I3118,MASTER_SOURCE!$A$2:$A$495,0)),""))</f>
        <v/>
      </c>
      <c r="L3118" s="22">
        <f t="array" ref="L3118">IF($D3118="","",IFERROR(INDEX(MASTER_SOURCE!$D$2:$D$495,MATCH($I3118,MASTER_SOURCE!$A$2:$A$495,0)),""))</f>
        <v/>
      </c>
      <c r="M3118" s="24" t="n"/>
      <c r="N3118" s="24" t="n"/>
      <c r="O3118" s="24" t="n"/>
      <c r="P3118" s="24" t="n"/>
      <c r="Q3118" s="22">
        <f>IF($D3118="","",IF(AND(OR(DANH_MUC!$L$5&lt;&gt;"Có",M3118="Có"),OR(DANH_MUC!$L$6&lt;&gt;"Có",N3118="Có"),OR(DANH_MUC!$L$7&lt;&gt;"Có",O3118="Có"),OR(DANH_MUC!$L$8&lt;&gt;"Có",P3118="Có")),"Có","Không"))</f>
        <v/>
      </c>
      <c r="R3118" s="22">
        <f>IF($D3118="","",IF(COUNTIF($D$2:$D3118,$D3118)&gt;1,"Trùng",""))</f>
        <v/>
      </c>
      <c r="S3118" s="22">
        <f>IF($D3118="","",IF(AND(LEN($D3118)=10,LEFT($D3118,1)="0",ISNUMBER(--$D3118)),"Có","Không"))</f>
        <v/>
      </c>
      <c r="T3118" s="22">
        <f>IF($D3118="","",IF(AND($C3118&lt;&gt;"",$Q3118="Có",$R3118="",$S3118="Có",AND($L3118&lt;&gt;"",OR($L3118&lt;&gt;"Chưa xác định",DANH_MUC!$L$9="Có"))),"Có","Không"))</f>
        <v/>
      </c>
      <c r="U3118" s="22">
        <f>IF(OR($D3118="",$T3118="Có"),"",IF($C3118="","Thiếu họ tên; ","")&amp;IF($S3118&lt;&gt;"Có","SĐT sai định dạng; ","")&amp;IF($R3118="Trùng","Trùng SĐT; ","")&amp;IF($Q3118&lt;&gt;"Có","Thiếu đồng ý bắt buộc; ","")&amp;IF($L3118="","Thiếu/sai Mã REF; ",IF(AND($L3118="Chưa xác định",DANH_MUC!$L$9&lt;&gt;"Có"),"Nguồn chưa xác định; ","")))</f>
        <v/>
      </c>
      <c r="V3118" s="22">
        <f>IF(OR($D3118="",$R3118="Trùng"),"",IF(COUNTIF(ORDERS!$C$2:$C$4995,$D3118)&gt;0,"Có","Không"))</f>
        <v/>
      </c>
      <c r="W3118" s="22">
        <f>IF(OR($D3118="",$R3118="Trùng"),"",COUNTIFS(ORDERS!$C$2:$C$4995,$D3118,ORDERS!$L$2:$L$4995,"Đã chuyển khoản"))</f>
        <v/>
      </c>
      <c r="X3118" s="23">
        <f>IF(OR($D3118="",$R3118="Trùng"),"",SUMIFS(ORDERS!$J$2:$J$4995,ORDERS!$C$2:$C$4995,$D3118,ORDERS!$L$2:$L$4995,"Đã chuyển khoản"))</f>
        <v/>
      </c>
      <c r="Y3118" s="24" t="n"/>
    </row>
    <row r="3119" ht="14.25" customHeight="1" s="40">
      <c r="A3119" s="24" t="n"/>
      <c r="B3119" s="27" t="n"/>
      <c r="C3119" s="24" t="n"/>
      <c r="D3119" s="28" t="n"/>
      <c r="E3119" s="29" t="n"/>
      <c r="F3119" s="24" t="n"/>
      <c r="G3119" s="24" t="n"/>
      <c r="H3119" s="21">
        <f>IF(ISNUMBER($B3119),INT($B3119)-WEEKDAY($B3119,2)+1,"")</f>
        <v/>
      </c>
      <c r="I3119" s="24" t="n"/>
      <c r="J3119" s="22">
        <f t="array" ref="J3119">IF($D3119="","",IF($I3119="","(trống REF)",IFERROR(INDEX(MASTER_SOURCE!$B$2:$B$495,MATCH($I3119,MASTER_SOURCE!$A$2:$A$495,0)),"(REF không có trong MASTER_SOURCE)")))</f>
        <v/>
      </c>
      <c r="K3119" s="22">
        <f t="array" ref="K3119">IF($D3119="","",IFERROR(INDEX(MASTER_SOURCE!$C$2:$C$495,MATCH($I3119,MASTER_SOURCE!$A$2:$A$495,0)),""))</f>
        <v/>
      </c>
      <c r="L3119" s="22">
        <f t="array" ref="L3119">IF($D3119="","",IFERROR(INDEX(MASTER_SOURCE!$D$2:$D$495,MATCH($I3119,MASTER_SOURCE!$A$2:$A$495,0)),""))</f>
        <v/>
      </c>
      <c r="M3119" s="24" t="n"/>
      <c r="N3119" s="24" t="n"/>
      <c r="O3119" s="24" t="n"/>
      <c r="P3119" s="24" t="n"/>
      <c r="Q3119" s="22">
        <f>IF($D3119="","",IF(AND(OR(DANH_MUC!$L$5&lt;&gt;"Có",M3119="Có"),OR(DANH_MUC!$L$6&lt;&gt;"Có",N3119="Có"),OR(DANH_MUC!$L$7&lt;&gt;"Có",O3119="Có"),OR(DANH_MUC!$L$8&lt;&gt;"Có",P3119="Có")),"Có","Không"))</f>
        <v/>
      </c>
      <c r="R3119" s="22">
        <f>IF($D3119="","",IF(COUNTIF($D$2:$D3119,$D3119)&gt;1,"Trùng",""))</f>
        <v/>
      </c>
      <c r="S3119" s="22">
        <f>IF($D3119="","",IF(AND(LEN($D3119)=10,LEFT($D3119,1)="0",ISNUMBER(--$D3119)),"Có","Không"))</f>
        <v/>
      </c>
      <c r="T3119" s="22">
        <f>IF($D3119="","",IF(AND($C3119&lt;&gt;"",$Q3119="Có",$R3119="",$S3119="Có",AND($L3119&lt;&gt;"",OR($L3119&lt;&gt;"Chưa xác định",DANH_MUC!$L$9="Có"))),"Có","Không"))</f>
        <v/>
      </c>
      <c r="U3119" s="22">
        <f>IF(OR($D3119="",$T3119="Có"),"",IF($C3119="","Thiếu họ tên; ","")&amp;IF($S3119&lt;&gt;"Có","SĐT sai định dạng; ","")&amp;IF($R3119="Trùng","Trùng SĐT; ","")&amp;IF($Q3119&lt;&gt;"Có","Thiếu đồng ý bắt buộc; ","")&amp;IF($L3119="","Thiếu/sai Mã REF; ",IF(AND($L3119="Chưa xác định",DANH_MUC!$L$9&lt;&gt;"Có"),"Nguồn chưa xác định; ","")))</f>
        <v/>
      </c>
      <c r="V3119" s="22">
        <f>IF(OR($D3119="",$R3119="Trùng"),"",IF(COUNTIF(ORDERS!$C$2:$C$4995,$D3119)&gt;0,"Có","Không"))</f>
        <v/>
      </c>
      <c r="W3119" s="22">
        <f>IF(OR($D3119="",$R3119="Trùng"),"",COUNTIFS(ORDERS!$C$2:$C$4995,$D3119,ORDERS!$L$2:$L$4995,"Đã chuyển khoản"))</f>
        <v/>
      </c>
      <c r="X3119" s="23">
        <f>IF(OR($D3119="",$R3119="Trùng"),"",SUMIFS(ORDERS!$J$2:$J$4995,ORDERS!$C$2:$C$4995,$D3119,ORDERS!$L$2:$L$4995,"Đã chuyển khoản"))</f>
        <v/>
      </c>
      <c r="Y3119" s="24" t="n"/>
    </row>
    <row r="3120" ht="14.25" customHeight="1" s="40">
      <c r="A3120" s="24" t="n"/>
      <c r="B3120" s="27" t="n"/>
      <c r="C3120" s="24" t="n"/>
      <c r="D3120" s="28" t="n"/>
      <c r="E3120" s="29" t="n"/>
      <c r="F3120" s="24" t="n"/>
      <c r="G3120" s="24" t="n"/>
      <c r="H3120" s="21">
        <f>IF(ISNUMBER($B3120),INT($B3120)-WEEKDAY($B3120,2)+1,"")</f>
        <v/>
      </c>
      <c r="I3120" s="24" t="n"/>
      <c r="J3120" s="22">
        <f t="array" ref="J3120">IF($D3120="","",IF($I3120="","(trống REF)",IFERROR(INDEX(MASTER_SOURCE!$B$2:$B$495,MATCH($I3120,MASTER_SOURCE!$A$2:$A$495,0)),"(REF không có trong MASTER_SOURCE)")))</f>
        <v/>
      </c>
      <c r="K3120" s="22">
        <f t="array" ref="K3120">IF($D3120="","",IFERROR(INDEX(MASTER_SOURCE!$C$2:$C$495,MATCH($I3120,MASTER_SOURCE!$A$2:$A$495,0)),""))</f>
        <v/>
      </c>
      <c r="L3120" s="22">
        <f t="array" ref="L3120">IF($D3120="","",IFERROR(INDEX(MASTER_SOURCE!$D$2:$D$495,MATCH($I3120,MASTER_SOURCE!$A$2:$A$495,0)),""))</f>
        <v/>
      </c>
      <c r="M3120" s="24" t="n"/>
      <c r="N3120" s="24" t="n"/>
      <c r="O3120" s="24" t="n"/>
      <c r="P3120" s="24" t="n"/>
      <c r="Q3120" s="22">
        <f>IF($D3120="","",IF(AND(OR(DANH_MUC!$L$5&lt;&gt;"Có",M3120="Có"),OR(DANH_MUC!$L$6&lt;&gt;"Có",N3120="Có"),OR(DANH_MUC!$L$7&lt;&gt;"Có",O3120="Có"),OR(DANH_MUC!$L$8&lt;&gt;"Có",P3120="Có")),"Có","Không"))</f>
        <v/>
      </c>
      <c r="R3120" s="22">
        <f>IF($D3120="","",IF(COUNTIF($D$2:$D3120,$D3120)&gt;1,"Trùng",""))</f>
        <v/>
      </c>
      <c r="S3120" s="22">
        <f>IF($D3120="","",IF(AND(LEN($D3120)=10,LEFT($D3120,1)="0",ISNUMBER(--$D3120)),"Có","Không"))</f>
        <v/>
      </c>
      <c r="T3120" s="22">
        <f>IF($D3120="","",IF(AND($C3120&lt;&gt;"",$Q3120="Có",$R3120="",$S3120="Có",AND($L3120&lt;&gt;"",OR($L3120&lt;&gt;"Chưa xác định",DANH_MUC!$L$9="Có"))),"Có","Không"))</f>
        <v/>
      </c>
      <c r="U3120" s="22">
        <f>IF(OR($D3120="",$T3120="Có"),"",IF($C3120="","Thiếu họ tên; ","")&amp;IF($S3120&lt;&gt;"Có","SĐT sai định dạng; ","")&amp;IF($R3120="Trùng","Trùng SĐT; ","")&amp;IF($Q3120&lt;&gt;"Có","Thiếu đồng ý bắt buộc; ","")&amp;IF($L3120="","Thiếu/sai Mã REF; ",IF(AND($L3120="Chưa xác định",DANH_MUC!$L$9&lt;&gt;"Có"),"Nguồn chưa xác định; ","")))</f>
        <v/>
      </c>
      <c r="V3120" s="22">
        <f>IF(OR($D3120="",$R3120="Trùng"),"",IF(COUNTIF(ORDERS!$C$2:$C$4995,$D3120)&gt;0,"Có","Không"))</f>
        <v/>
      </c>
      <c r="W3120" s="22">
        <f>IF(OR($D3120="",$R3120="Trùng"),"",COUNTIFS(ORDERS!$C$2:$C$4995,$D3120,ORDERS!$L$2:$L$4995,"Đã chuyển khoản"))</f>
        <v/>
      </c>
      <c r="X3120" s="23">
        <f>IF(OR($D3120="",$R3120="Trùng"),"",SUMIFS(ORDERS!$J$2:$J$4995,ORDERS!$C$2:$C$4995,$D3120,ORDERS!$L$2:$L$4995,"Đã chuyển khoản"))</f>
        <v/>
      </c>
      <c r="Y3120" s="24" t="n"/>
    </row>
    <row r="3121" ht="14.25" customHeight="1" s="40">
      <c r="A3121" s="24" t="n"/>
      <c r="B3121" s="27" t="n"/>
      <c r="C3121" s="24" t="n"/>
      <c r="D3121" s="28" t="n"/>
      <c r="E3121" s="29" t="n"/>
      <c r="F3121" s="24" t="n"/>
      <c r="G3121" s="24" t="n"/>
      <c r="H3121" s="21">
        <f>IF(ISNUMBER($B3121),INT($B3121)-WEEKDAY($B3121,2)+1,"")</f>
        <v/>
      </c>
      <c r="I3121" s="24" t="n"/>
      <c r="J3121" s="22">
        <f t="array" ref="J3121">IF($D3121="","",IF($I3121="","(trống REF)",IFERROR(INDEX(MASTER_SOURCE!$B$2:$B$495,MATCH($I3121,MASTER_SOURCE!$A$2:$A$495,0)),"(REF không có trong MASTER_SOURCE)")))</f>
        <v/>
      </c>
      <c r="K3121" s="22">
        <f t="array" ref="K3121">IF($D3121="","",IFERROR(INDEX(MASTER_SOURCE!$C$2:$C$495,MATCH($I3121,MASTER_SOURCE!$A$2:$A$495,0)),""))</f>
        <v/>
      </c>
      <c r="L3121" s="22">
        <f t="array" ref="L3121">IF($D3121="","",IFERROR(INDEX(MASTER_SOURCE!$D$2:$D$495,MATCH($I3121,MASTER_SOURCE!$A$2:$A$495,0)),""))</f>
        <v/>
      </c>
      <c r="M3121" s="24" t="n"/>
      <c r="N3121" s="24" t="n"/>
      <c r="O3121" s="24" t="n"/>
      <c r="P3121" s="24" t="n"/>
      <c r="Q3121" s="22">
        <f>IF($D3121="","",IF(AND(OR(DANH_MUC!$L$5&lt;&gt;"Có",M3121="Có"),OR(DANH_MUC!$L$6&lt;&gt;"Có",N3121="Có"),OR(DANH_MUC!$L$7&lt;&gt;"Có",O3121="Có"),OR(DANH_MUC!$L$8&lt;&gt;"Có",P3121="Có")),"Có","Không"))</f>
        <v/>
      </c>
      <c r="R3121" s="22">
        <f>IF($D3121="","",IF(COUNTIF($D$2:$D3121,$D3121)&gt;1,"Trùng",""))</f>
        <v/>
      </c>
      <c r="S3121" s="22">
        <f>IF($D3121="","",IF(AND(LEN($D3121)=10,LEFT($D3121,1)="0",ISNUMBER(--$D3121)),"Có","Không"))</f>
        <v/>
      </c>
      <c r="T3121" s="22">
        <f>IF($D3121="","",IF(AND($C3121&lt;&gt;"",$Q3121="Có",$R3121="",$S3121="Có",AND($L3121&lt;&gt;"",OR($L3121&lt;&gt;"Chưa xác định",DANH_MUC!$L$9="Có"))),"Có","Không"))</f>
        <v/>
      </c>
      <c r="U3121" s="22">
        <f>IF(OR($D3121="",$T3121="Có"),"",IF($C3121="","Thiếu họ tên; ","")&amp;IF($S3121&lt;&gt;"Có","SĐT sai định dạng; ","")&amp;IF($R3121="Trùng","Trùng SĐT; ","")&amp;IF($Q3121&lt;&gt;"Có","Thiếu đồng ý bắt buộc; ","")&amp;IF($L3121="","Thiếu/sai Mã REF; ",IF(AND($L3121="Chưa xác định",DANH_MUC!$L$9&lt;&gt;"Có"),"Nguồn chưa xác định; ","")))</f>
        <v/>
      </c>
      <c r="V3121" s="22">
        <f>IF(OR($D3121="",$R3121="Trùng"),"",IF(COUNTIF(ORDERS!$C$2:$C$4995,$D3121)&gt;0,"Có","Không"))</f>
        <v/>
      </c>
      <c r="W3121" s="22">
        <f>IF(OR($D3121="",$R3121="Trùng"),"",COUNTIFS(ORDERS!$C$2:$C$4995,$D3121,ORDERS!$L$2:$L$4995,"Đã chuyển khoản"))</f>
        <v/>
      </c>
      <c r="X3121" s="23">
        <f>IF(OR($D3121="",$R3121="Trùng"),"",SUMIFS(ORDERS!$J$2:$J$4995,ORDERS!$C$2:$C$4995,$D3121,ORDERS!$L$2:$L$4995,"Đã chuyển khoản"))</f>
        <v/>
      </c>
      <c r="Y3121" s="24" t="n"/>
    </row>
    <row r="3122" ht="14.25" customHeight="1" s="40">
      <c r="A3122" s="24" t="n"/>
      <c r="B3122" s="27" t="n"/>
      <c r="C3122" s="24" t="n"/>
      <c r="D3122" s="28" t="n"/>
      <c r="E3122" s="29" t="n"/>
      <c r="F3122" s="24" t="n"/>
      <c r="G3122" s="24" t="n"/>
      <c r="H3122" s="21">
        <f>IF(ISNUMBER($B3122),INT($B3122)-WEEKDAY($B3122,2)+1,"")</f>
        <v/>
      </c>
      <c r="I3122" s="24" t="n"/>
      <c r="J3122" s="22">
        <f t="array" ref="J3122">IF($D3122="","",IF($I3122="","(trống REF)",IFERROR(INDEX(MASTER_SOURCE!$B$2:$B$495,MATCH($I3122,MASTER_SOURCE!$A$2:$A$495,0)),"(REF không có trong MASTER_SOURCE)")))</f>
        <v/>
      </c>
      <c r="K3122" s="22">
        <f t="array" ref="K3122">IF($D3122="","",IFERROR(INDEX(MASTER_SOURCE!$C$2:$C$495,MATCH($I3122,MASTER_SOURCE!$A$2:$A$495,0)),""))</f>
        <v/>
      </c>
      <c r="L3122" s="22">
        <f t="array" ref="L3122">IF($D3122="","",IFERROR(INDEX(MASTER_SOURCE!$D$2:$D$495,MATCH($I3122,MASTER_SOURCE!$A$2:$A$495,0)),""))</f>
        <v/>
      </c>
      <c r="M3122" s="24" t="n"/>
      <c r="N3122" s="24" t="n"/>
      <c r="O3122" s="24" t="n"/>
      <c r="P3122" s="24" t="n"/>
      <c r="Q3122" s="22">
        <f>IF($D3122="","",IF(AND(OR(DANH_MUC!$L$5&lt;&gt;"Có",M3122="Có"),OR(DANH_MUC!$L$6&lt;&gt;"Có",N3122="Có"),OR(DANH_MUC!$L$7&lt;&gt;"Có",O3122="Có"),OR(DANH_MUC!$L$8&lt;&gt;"Có",P3122="Có")),"Có","Không"))</f>
        <v/>
      </c>
      <c r="R3122" s="22">
        <f>IF($D3122="","",IF(COUNTIF($D$2:$D3122,$D3122)&gt;1,"Trùng",""))</f>
        <v/>
      </c>
      <c r="S3122" s="22">
        <f>IF($D3122="","",IF(AND(LEN($D3122)=10,LEFT($D3122,1)="0",ISNUMBER(--$D3122)),"Có","Không"))</f>
        <v/>
      </c>
      <c r="T3122" s="22">
        <f>IF($D3122="","",IF(AND($C3122&lt;&gt;"",$Q3122="Có",$R3122="",$S3122="Có",AND($L3122&lt;&gt;"",OR($L3122&lt;&gt;"Chưa xác định",DANH_MUC!$L$9="Có"))),"Có","Không"))</f>
        <v/>
      </c>
      <c r="U3122" s="22">
        <f>IF(OR($D3122="",$T3122="Có"),"",IF($C3122="","Thiếu họ tên; ","")&amp;IF($S3122&lt;&gt;"Có","SĐT sai định dạng; ","")&amp;IF($R3122="Trùng","Trùng SĐT; ","")&amp;IF($Q3122&lt;&gt;"Có","Thiếu đồng ý bắt buộc; ","")&amp;IF($L3122="","Thiếu/sai Mã REF; ",IF(AND($L3122="Chưa xác định",DANH_MUC!$L$9&lt;&gt;"Có"),"Nguồn chưa xác định; ","")))</f>
        <v/>
      </c>
      <c r="V3122" s="22">
        <f>IF(OR($D3122="",$R3122="Trùng"),"",IF(COUNTIF(ORDERS!$C$2:$C$4995,$D3122)&gt;0,"Có","Không"))</f>
        <v/>
      </c>
      <c r="W3122" s="22">
        <f>IF(OR($D3122="",$R3122="Trùng"),"",COUNTIFS(ORDERS!$C$2:$C$4995,$D3122,ORDERS!$L$2:$L$4995,"Đã chuyển khoản"))</f>
        <v/>
      </c>
      <c r="X3122" s="23">
        <f>IF(OR($D3122="",$R3122="Trùng"),"",SUMIFS(ORDERS!$J$2:$J$4995,ORDERS!$C$2:$C$4995,$D3122,ORDERS!$L$2:$L$4995,"Đã chuyển khoản"))</f>
        <v/>
      </c>
      <c r="Y3122" s="24" t="n"/>
    </row>
    <row r="3123" ht="14.25" customHeight="1" s="40">
      <c r="A3123" s="24" t="n"/>
      <c r="B3123" s="27" t="n"/>
      <c r="C3123" s="24" t="n"/>
      <c r="D3123" s="28" t="n"/>
      <c r="E3123" s="29" t="n"/>
      <c r="F3123" s="24" t="n"/>
      <c r="G3123" s="24" t="n"/>
      <c r="H3123" s="21">
        <f>IF(ISNUMBER($B3123),INT($B3123)-WEEKDAY($B3123,2)+1,"")</f>
        <v/>
      </c>
      <c r="I3123" s="24" t="n"/>
      <c r="J3123" s="22">
        <f t="array" ref="J3123">IF($D3123="","",IF($I3123="","(trống REF)",IFERROR(INDEX(MASTER_SOURCE!$B$2:$B$495,MATCH($I3123,MASTER_SOURCE!$A$2:$A$495,0)),"(REF không có trong MASTER_SOURCE)")))</f>
        <v/>
      </c>
      <c r="K3123" s="22">
        <f t="array" ref="K3123">IF($D3123="","",IFERROR(INDEX(MASTER_SOURCE!$C$2:$C$495,MATCH($I3123,MASTER_SOURCE!$A$2:$A$495,0)),""))</f>
        <v/>
      </c>
      <c r="L3123" s="22">
        <f t="array" ref="L3123">IF($D3123="","",IFERROR(INDEX(MASTER_SOURCE!$D$2:$D$495,MATCH($I3123,MASTER_SOURCE!$A$2:$A$495,0)),""))</f>
        <v/>
      </c>
      <c r="M3123" s="24" t="n"/>
      <c r="N3123" s="24" t="n"/>
      <c r="O3123" s="24" t="n"/>
      <c r="P3123" s="24" t="n"/>
      <c r="Q3123" s="22">
        <f>IF($D3123="","",IF(AND(OR(DANH_MUC!$L$5&lt;&gt;"Có",M3123="Có"),OR(DANH_MUC!$L$6&lt;&gt;"Có",N3123="Có"),OR(DANH_MUC!$L$7&lt;&gt;"Có",O3123="Có"),OR(DANH_MUC!$L$8&lt;&gt;"Có",P3123="Có")),"Có","Không"))</f>
        <v/>
      </c>
      <c r="R3123" s="22">
        <f>IF($D3123="","",IF(COUNTIF($D$2:$D3123,$D3123)&gt;1,"Trùng",""))</f>
        <v/>
      </c>
      <c r="S3123" s="22">
        <f>IF($D3123="","",IF(AND(LEN($D3123)=10,LEFT($D3123,1)="0",ISNUMBER(--$D3123)),"Có","Không"))</f>
        <v/>
      </c>
      <c r="T3123" s="22">
        <f>IF($D3123="","",IF(AND($C3123&lt;&gt;"",$Q3123="Có",$R3123="",$S3123="Có",AND($L3123&lt;&gt;"",OR($L3123&lt;&gt;"Chưa xác định",DANH_MUC!$L$9="Có"))),"Có","Không"))</f>
        <v/>
      </c>
      <c r="U3123" s="22">
        <f>IF(OR($D3123="",$T3123="Có"),"",IF($C3123="","Thiếu họ tên; ","")&amp;IF($S3123&lt;&gt;"Có","SĐT sai định dạng; ","")&amp;IF($R3123="Trùng","Trùng SĐT; ","")&amp;IF($Q3123&lt;&gt;"Có","Thiếu đồng ý bắt buộc; ","")&amp;IF($L3123="","Thiếu/sai Mã REF; ",IF(AND($L3123="Chưa xác định",DANH_MUC!$L$9&lt;&gt;"Có"),"Nguồn chưa xác định; ","")))</f>
        <v/>
      </c>
      <c r="V3123" s="22">
        <f>IF(OR($D3123="",$R3123="Trùng"),"",IF(COUNTIF(ORDERS!$C$2:$C$4995,$D3123)&gt;0,"Có","Không"))</f>
        <v/>
      </c>
      <c r="W3123" s="22">
        <f>IF(OR($D3123="",$R3123="Trùng"),"",COUNTIFS(ORDERS!$C$2:$C$4995,$D3123,ORDERS!$L$2:$L$4995,"Đã chuyển khoản"))</f>
        <v/>
      </c>
      <c r="X3123" s="23">
        <f>IF(OR($D3123="",$R3123="Trùng"),"",SUMIFS(ORDERS!$J$2:$J$4995,ORDERS!$C$2:$C$4995,$D3123,ORDERS!$L$2:$L$4995,"Đã chuyển khoản"))</f>
        <v/>
      </c>
      <c r="Y3123" s="24" t="n"/>
    </row>
    <row r="3124" ht="14.25" customHeight="1" s="40">
      <c r="A3124" s="24" t="n"/>
      <c r="B3124" s="27" t="n"/>
      <c r="C3124" s="24" t="n"/>
      <c r="D3124" s="28" t="n"/>
      <c r="E3124" s="29" t="n"/>
      <c r="F3124" s="24" t="n"/>
      <c r="G3124" s="24" t="n"/>
      <c r="H3124" s="21">
        <f>IF(ISNUMBER($B3124),INT($B3124)-WEEKDAY($B3124,2)+1,"")</f>
        <v/>
      </c>
      <c r="I3124" s="24" t="n"/>
      <c r="J3124" s="22">
        <f t="array" ref="J3124">IF($D3124="","",IF($I3124="","(trống REF)",IFERROR(INDEX(MASTER_SOURCE!$B$2:$B$495,MATCH($I3124,MASTER_SOURCE!$A$2:$A$495,0)),"(REF không có trong MASTER_SOURCE)")))</f>
        <v/>
      </c>
      <c r="K3124" s="22">
        <f t="array" ref="K3124">IF($D3124="","",IFERROR(INDEX(MASTER_SOURCE!$C$2:$C$495,MATCH($I3124,MASTER_SOURCE!$A$2:$A$495,0)),""))</f>
        <v/>
      </c>
      <c r="L3124" s="22">
        <f t="array" ref="L3124">IF($D3124="","",IFERROR(INDEX(MASTER_SOURCE!$D$2:$D$495,MATCH($I3124,MASTER_SOURCE!$A$2:$A$495,0)),""))</f>
        <v/>
      </c>
      <c r="M3124" s="24" t="n"/>
      <c r="N3124" s="24" t="n"/>
      <c r="O3124" s="24" t="n"/>
      <c r="P3124" s="24" t="n"/>
      <c r="Q3124" s="22">
        <f>IF($D3124="","",IF(AND(OR(DANH_MUC!$L$5&lt;&gt;"Có",M3124="Có"),OR(DANH_MUC!$L$6&lt;&gt;"Có",N3124="Có"),OR(DANH_MUC!$L$7&lt;&gt;"Có",O3124="Có"),OR(DANH_MUC!$L$8&lt;&gt;"Có",P3124="Có")),"Có","Không"))</f>
        <v/>
      </c>
      <c r="R3124" s="22">
        <f>IF($D3124="","",IF(COUNTIF($D$2:$D3124,$D3124)&gt;1,"Trùng",""))</f>
        <v/>
      </c>
      <c r="S3124" s="22">
        <f>IF($D3124="","",IF(AND(LEN($D3124)=10,LEFT($D3124,1)="0",ISNUMBER(--$D3124)),"Có","Không"))</f>
        <v/>
      </c>
      <c r="T3124" s="22">
        <f>IF($D3124="","",IF(AND($C3124&lt;&gt;"",$Q3124="Có",$R3124="",$S3124="Có",AND($L3124&lt;&gt;"",OR($L3124&lt;&gt;"Chưa xác định",DANH_MUC!$L$9="Có"))),"Có","Không"))</f>
        <v/>
      </c>
      <c r="U3124" s="22">
        <f>IF(OR($D3124="",$T3124="Có"),"",IF($C3124="","Thiếu họ tên; ","")&amp;IF($S3124&lt;&gt;"Có","SĐT sai định dạng; ","")&amp;IF($R3124="Trùng","Trùng SĐT; ","")&amp;IF($Q3124&lt;&gt;"Có","Thiếu đồng ý bắt buộc; ","")&amp;IF($L3124="","Thiếu/sai Mã REF; ",IF(AND($L3124="Chưa xác định",DANH_MUC!$L$9&lt;&gt;"Có"),"Nguồn chưa xác định; ","")))</f>
        <v/>
      </c>
      <c r="V3124" s="22">
        <f>IF(OR($D3124="",$R3124="Trùng"),"",IF(COUNTIF(ORDERS!$C$2:$C$4995,$D3124)&gt;0,"Có","Không"))</f>
        <v/>
      </c>
      <c r="W3124" s="22">
        <f>IF(OR($D3124="",$R3124="Trùng"),"",COUNTIFS(ORDERS!$C$2:$C$4995,$D3124,ORDERS!$L$2:$L$4995,"Đã chuyển khoản"))</f>
        <v/>
      </c>
      <c r="X3124" s="23">
        <f>IF(OR($D3124="",$R3124="Trùng"),"",SUMIFS(ORDERS!$J$2:$J$4995,ORDERS!$C$2:$C$4995,$D3124,ORDERS!$L$2:$L$4995,"Đã chuyển khoản"))</f>
        <v/>
      </c>
      <c r="Y3124" s="24" t="n"/>
    </row>
    <row r="3125" ht="14.25" customHeight="1" s="40">
      <c r="A3125" s="24" t="n"/>
      <c r="B3125" s="27" t="n"/>
      <c r="C3125" s="24" t="n"/>
      <c r="D3125" s="28" t="n"/>
      <c r="E3125" s="29" t="n"/>
      <c r="F3125" s="24" t="n"/>
      <c r="G3125" s="24" t="n"/>
      <c r="H3125" s="21">
        <f>IF(ISNUMBER($B3125),INT($B3125)-WEEKDAY($B3125,2)+1,"")</f>
        <v/>
      </c>
      <c r="I3125" s="24" t="n"/>
      <c r="J3125" s="22">
        <f t="array" ref="J3125">IF($D3125="","",IF($I3125="","(trống REF)",IFERROR(INDEX(MASTER_SOURCE!$B$2:$B$495,MATCH($I3125,MASTER_SOURCE!$A$2:$A$495,0)),"(REF không có trong MASTER_SOURCE)")))</f>
        <v/>
      </c>
      <c r="K3125" s="22">
        <f t="array" ref="K3125">IF($D3125="","",IFERROR(INDEX(MASTER_SOURCE!$C$2:$C$495,MATCH($I3125,MASTER_SOURCE!$A$2:$A$495,0)),""))</f>
        <v/>
      </c>
      <c r="L3125" s="22">
        <f t="array" ref="L3125">IF($D3125="","",IFERROR(INDEX(MASTER_SOURCE!$D$2:$D$495,MATCH($I3125,MASTER_SOURCE!$A$2:$A$495,0)),""))</f>
        <v/>
      </c>
      <c r="M3125" s="24" t="n"/>
      <c r="N3125" s="24" t="n"/>
      <c r="O3125" s="24" t="n"/>
      <c r="P3125" s="24" t="n"/>
      <c r="Q3125" s="22">
        <f>IF($D3125="","",IF(AND(OR(DANH_MUC!$L$5&lt;&gt;"Có",M3125="Có"),OR(DANH_MUC!$L$6&lt;&gt;"Có",N3125="Có"),OR(DANH_MUC!$L$7&lt;&gt;"Có",O3125="Có"),OR(DANH_MUC!$L$8&lt;&gt;"Có",P3125="Có")),"Có","Không"))</f>
        <v/>
      </c>
      <c r="R3125" s="22">
        <f>IF($D3125="","",IF(COUNTIF($D$2:$D3125,$D3125)&gt;1,"Trùng",""))</f>
        <v/>
      </c>
      <c r="S3125" s="22">
        <f>IF($D3125="","",IF(AND(LEN($D3125)=10,LEFT($D3125,1)="0",ISNUMBER(--$D3125)),"Có","Không"))</f>
        <v/>
      </c>
      <c r="T3125" s="22">
        <f>IF($D3125="","",IF(AND($C3125&lt;&gt;"",$Q3125="Có",$R3125="",$S3125="Có",AND($L3125&lt;&gt;"",OR($L3125&lt;&gt;"Chưa xác định",DANH_MUC!$L$9="Có"))),"Có","Không"))</f>
        <v/>
      </c>
      <c r="U3125" s="22">
        <f>IF(OR($D3125="",$T3125="Có"),"",IF($C3125="","Thiếu họ tên; ","")&amp;IF($S3125&lt;&gt;"Có","SĐT sai định dạng; ","")&amp;IF($R3125="Trùng","Trùng SĐT; ","")&amp;IF($Q3125&lt;&gt;"Có","Thiếu đồng ý bắt buộc; ","")&amp;IF($L3125="","Thiếu/sai Mã REF; ",IF(AND($L3125="Chưa xác định",DANH_MUC!$L$9&lt;&gt;"Có"),"Nguồn chưa xác định; ","")))</f>
        <v/>
      </c>
      <c r="V3125" s="22">
        <f>IF(OR($D3125="",$R3125="Trùng"),"",IF(COUNTIF(ORDERS!$C$2:$C$4995,$D3125)&gt;0,"Có","Không"))</f>
        <v/>
      </c>
      <c r="W3125" s="22">
        <f>IF(OR($D3125="",$R3125="Trùng"),"",COUNTIFS(ORDERS!$C$2:$C$4995,$D3125,ORDERS!$L$2:$L$4995,"Đã chuyển khoản"))</f>
        <v/>
      </c>
      <c r="X3125" s="23">
        <f>IF(OR($D3125="",$R3125="Trùng"),"",SUMIFS(ORDERS!$J$2:$J$4995,ORDERS!$C$2:$C$4995,$D3125,ORDERS!$L$2:$L$4995,"Đã chuyển khoản"))</f>
        <v/>
      </c>
      <c r="Y3125" s="24" t="n"/>
    </row>
    <row r="3126" ht="14.25" customHeight="1" s="40">
      <c r="A3126" s="24" t="n"/>
      <c r="B3126" s="27" t="n"/>
      <c r="C3126" s="24" t="n"/>
      <c r="D3126" s="28" t="n"/>
      <c r="E3126" s="29" t="n"/>
      <c r="F3126" s="24" t="n"/>
      <c r="G3126" s="24" t="n"/>
      <c r="H3126" s="21">
        <f>IF(ISNUMBER($B3126),INT($B3126)-WEEKDAY($B3126,2)+1,"")</f>
        <v/>
      </c>
      <c r="I3126" s="24" t="n"/>
      <c r="J3126" s="22">
        <f t="array" ref="J3126">IF($D3126="","",IF($I3126="","(trống REF)",IFERROR(INDEX(MASTER_SOURCE!$B$2:$B$495,MATCH($I3126,MASTER_SOURCE!$A$2:$A$495,0)),"(REF không có trong MASTER_SOURCE)")))</f>
        <v/>
      </c>
      <c r="K3126" s="22">
        <f t="array" ref="K3126">IF($D3126="","",IFERROR(INDEX(MASTER_SOURCE!$C$2:$C$495,MATCH($I3126,MASTER_SOURCE!$A$2:$A$495,0)),""))</f>
        <v/>
      </c>
      <c r="L3126" s="22">
        <f t="array" ref="L3126">IF($D3126="","",IFERROR(INDEX(MASTER_SOURCE!$D$2:$D$495,MATCH($I3126,MASTER_SOURCE!$A$2:$A$495,0)),""))</f>
        <v/>
      </c>
      <c r="M3126" s="24" t="n"/>
      <c r="N3126" s="24" t="n"/>
      <c r="O3126" s="24" t="n"/>
      <c r="P3126" s="24" t="n"/>
      <c r="Q3126" s="22">
        <f>IF($D3126="","",IF(AND(OR(DANH_MUC!$L$5&lt;&gt;"Có",M3126="Có"),OR(DANH_MUC!$L$6&lt;&gt;"Có",N3126="Có"),OR(DANH_MUC!$L$7&lt;&gt;"Có",O3126="Có"),OR(DANH_MUC!$L$8&lt;&gt;"Có",P3126="Có")),"Có","Không"))</f>
        <v/>
      </c>
      <c r="R3126" s="22">
        <f>IF($D3126="","",IF(COUNTIF($D$2:$D3126,$D3126)&gt;1,"Trùng",""))</f>
        <v/>
      </c>
      <c r="S3126" s="22">
        <f>IF($D3126="","",IF(AND(LEN($D3126)=10,LEFT($D3126,1)="0",ISNUMBER(--$D3126)),"Có","Không"))</f>
        <v/>
      </c>
      <c r="T3126" s="22">
        <f>IF($D3126="","",IF(AND($C3126&lt;&gt;"",$Q3126="Có",$R3126="",$S3126="Có",AND($L3126&lt;&gt;"",OR($L3126&lt;&gt;"Chưa xác định",DANH_MUC!$L$9="Có"))),"Có","Không"))</f>
        <v/>
      </c>
      <c r="U3126" s="22">
        <f>IF(OR($D3126="",$T3126="Có"),"",IF($C3126="","Thiếu họ tên; ","")&amp;IF($S3126&lt;&gt;"Có","SĐT sai định dạng; ","")&amp;IF($R3126="Trùng","Trùng SĐT; ","")&amp;IF($Q3126&lt;&gt;"Có","Thiếu đồng ý bắt buộc; ","")&amp;IF($L3126="","Thiếu/sai Mã REF; ",IF(AND($L3126="Chưa xác định",DANH_MUC!$L$9&lt;&gt;"Có"),"Nguồn chưa xác định; ","")))</f>
        <v/>
      </c>
      <c r="V3126" s="22">
        <f>IF(OR($D3126="",$R3126="Trùng"),"",IF(COUNTIF(ORDERS!$C$2:$C$4995,$D3126)&gt;0,"Có","Không"))</f>
        <v/>
      </c>
      <c r="W3126" s="22">
        <f>IF(OR($D3126="",$R3126="Trùng"),"",COUNTIFS(ORDERS!$C$2:$C$4995,$D3126,ORDERS!$L$2:$L$4995,"Đã chuyển khoản"))</f>
        <v/>
      </c>
      <c r="X3126" s="23">
        <f>IF(OR($D3126="",$R3126="Trùng"),"",SUMIFS(ORDERS!$J$2:$J$4995,ORDERS!$C$2:$C$4995,$D3126,ORDERS!$L$2:$L$4995,"Đã chuyển khoản"))</f>
        <v/>
      </c>
      <c r="Y3126" s="24" t="n"/>
    </row>
    <row r="3127" ht="14.25" customHeight="1" s="40">
      <c r="A3127" s="24" t="n"/>
      <c r="B3127" s="27" t="n"/>
      <c r="C3127" s="24" t="n"/>
      <c r="D3127" s="28" t="n"/>
      <c r="E3127" s="29" t="n"/>
      <c r="F3127" s="24" t="n"/>
      <c r="G3127" s="24" t="n"/>
      <c r="H3127" s="21">
        <f>IF(ISNUMBER($B3127),INT($B3127)-WEEKDAY($B3127,2)+1,"")</f>
        <v/>
      </c>
      <c r="I3127" s="24" t="n"/>
      <c r="J3127" s="22">
        <f t="array" ref="J3127">IF($D3127="","",IF($I3127="","(trống REF)",IFERROR(INDEX(MASTER_SOURCE!$B$2:$B$495,MATCH($I3127,MASTER_SOURCE!$A$2:$A$495,0)),"(REF không có trong MASTER_SOURCE)")))</f>
        <v/>
      </c>
      <c r="K3127" s="22">
        <f t="array" ref="K3127">IF($D3127="","",IFERROR(INDEX(MASTER_SOURCE!$C$2:$C$495,MATCH($I3127,MASTER_SOURCE!$A$2:$A$495,0)),""))</f>
        <v/>
      </c>
      <c r="L3127" s="22">
        <f t="array" ref="L3127">IF($D3127="","",IFERROR(INDEX(MASTER_SOURCE!$D$2:$D$495,MATCH($I3127,MASTER_SOURCE!$A$2:$A$495,0)),""))</f>
        <v/>
      </c>
      <c r="M3127" s="24" t="n"/>
      <c r="N3127" s="24" t="n"/>
      <c r="O3127" s="24" t="n"/>
      <c r="P3127" s="24" t="n"/>
      <c r="Q3127" s="22">
        <f>IF($D3127="","",IF(AND(OR(DANH_MUC!$L$5&lt;&gt;"Có",M3127="Có"),OR(DANH_MUC!$L$6&lt;&gt;"Có",N3127="Có"),OR(DANH_MUC!$L$7&lt;&gt;"Có",O3127="Có"),OR(DANH_MUC!$L$8&lt;&gt;"Có",P3127="Có")),"Có","Không"))</f>
        <v/>
      </c>
      <c r="R3127" s="22">
        <f>IF($D3127="","",IF(COUNTIF($D$2:$D3127,$D3127)&gt;1,"Trùng",""))</f>
        <v/>
      </c>
      <c r="S3127" s="22">
        <f>IF($D3127="","",IF(AND(LEN($D3127)=10,LEFT($D3127,1)="0",ISNUMBER(--$D3127)),"Có","Không"))</f>
        <v/>
      </c>
      <c r="T3127" s="22">
        <f>IF($D3127="","",IF(AND($C3127&lt;&gt;"",$Q3127="Có",$R3127="",$S3127="Có",AND($L3127&lt;&gt;"",OR($L3127&lt;&gt;"Chưa xác định",DANH_MUC!$L$9="Có"))),"Có","Không"))</f>
        <v/>
      </c>
      <c r="U3127" s="22">
        <f>IF(OR($D3127="",$T3127="Có"),"",IF($C3127="","Thiếu họ tên; ","")&amp;IF($S3127&lt;&gt;"Có","SĐT sai định dạng; ","")&amp;IF($R3127="Trùng","Trùng SĐT; ","")&amp;IF($Q3127&lt;&gt;"Có","Thiếu đồng ý bắt buộc; ","")&amp;IF($L3127="","Thiếu/sai Mã REF; ",IF(AND($L3127="Chưa xác định",DANH_MUC!$L$9&lt;&gt;"Có"),"Nguồn chưa xác định; ","")))</f>
        <v/>
      </c>
      <c r="V3127" s="22">
        <f>IF(OR($D3127="",$R3127="Trùng"),"",IF(COUNTIF(ORDERS!$C$2:$C$4995,$D3127)&gt;0,"Có","Không"))</f>
        <v/>
      </c>
      <c r="W3127" s="22">
        <f>IF(OR($D3127="",$R3127="Trùng"),"",COUNTIFS(ORDERS!$C$2:$C$4995,$D3127,ORDERS!$L$2:$L$4995,"Đã chuyển khoản"))</f>
        <v/>
      </c>
      <c r="X3127" s="23">
        <f>IF(OR($D3127="",$R3127="Trùng"),"",SUMIFS(ORDERS!$J$2:$J$4995,ORDERS!$C$2:$C$4995,$D3127,ORDERS!$L$2:$L$4995,"Đã chuyển khoản"))</f>
        <v/>
      </c>
      <c r="Y3127" s="24" t="n"/>
    </row>
    <row r="3128" ht="14.25" customHeight="1" s="40">
      <c r="A3128" s="24" t="n"/>
      <c r="B3128" s="27" t="n"/>
      <c r="C3128" s="24" t="n"/>
      <c r="D3128" s="28" t="n"/>
      <c r="E3128" s="29" t="n"/>
      <c r="F3128" s="24" t="n"/>
      <c r="G3128" s="24" t="n"/>
      <c r="H3128" s="21">
        <f>IF(ISNUMBER($B3128),INT($B3128)-WEEKDAY($B3128,2)+1,"")</f>
        <v/>
      </c>
      <c r="I3128" s="24" t="n"/>
      <c r="J3128" s="22">
        <f t="array" ref="J3128">IF($D3128="","",IF($I3128="","(trống REF)",IFERROR(INDEX(MASTER_SOURCE!$B$2:$B$495,MATCH($I3128,MASTER_SOURCE!$A$2:$A$495,0)),"(REF không có trong MASTER_SOURCE)")))</f>
        <v/>
      </c>
      <c r="K3128" s="22">
        <f t="array" ref="K3128">IF($D3128="","",IFERROR(INDEX(MASTER_SOURCE!$C$2:$C$495,MATCH($I3128,MASTER_SOURCE!$A$2:$A$495,0)),""))</f>
        <v/>
      </c>
      <c r="L3128" s="22">
        <f t="array" ref="L3128">IF($D3128="","",IFERROR(INDEX(MASTER_SOURCE!$D$2:$D$495,MATCH($I3128,MASTER_SOURCE!$A$2:$A$495,0)),""))</f>
        <v/>
      </c>
      <c r="M3128" s="24" t="n"/>
      <c r="N3128" s="24" t="n"/>
      <c r="O3128" s="24" t="n"/>
      <c r="P3128" s="24" t="n"/>
      <c r="Q3128" s="22">
        <f>IF($D3128="","",IF(AND(OR(DANH_MUC!$L$5&lt;&gt;"Có",M3128="Có"),OR(DANH_MUC!$L$6&lt;&gt;"Có",N3128="Có"),OR(DANH_MUC!$L$7&lt;&gt;"Có",O3128="Có"),OR(DANH_MUC!$L$8&lt;&gt;"Có",P3128="Có")),"Có","Không"))</f>
        <v/>
      </c>
      <c r="R3128" s="22">
        <f>IF($D3128="","",IF(COUNTIF($D$2:$D3128,$D3128)&gt;1,"Trùng",""))</f>
        <v/>
      </c>
      <c r="S3128" s="22">
        <f>IF($D3128="","",IF(AND(LEN($D3128)=10,LEFT($D3128,1)="0",ISNUMBER(--$D3128)),"Có","Không"))</f>
        <v/>
      </c>
      <c r="T3128" s="22">
        <f>IF($D3128="","",IF(AND($C3128&lt;&gt;"",$Q3128="Có",$R3128="",$S3128="Có",AND($L3128&lt;&gt;"",OR($L3128&lt;&gt;"Chưa xác định",DANH_MUC!$L$9="Có"))),"Có","Không"))</f>
        <v/>
      </c>
      <c r="U3128" s="22">
        <f>IF(OR($D3128="",$T3128="Có"),"",IF($C3128="","Thiếu họ tên; ","")&amp;IF($S3128&lt;&gt;"Có","SĐT sai định dạng; ","")&amp;IF($R3128="Trùng","Trùng SĐT; ","")&amp;IF($Q3128&lt;&gt;"Có","Thiếu đồng ý bắt buộc; ","")&amp;IF($L3128="","Thiếu/sai Mã REF; ",IF(AND($L3128="Chưa xác định",DANH_MUC!$L$9&lt;&gt;"Có"),"Nguồn chưa xác định; ","")))</f>
        <v/>
      </c>
      <c r="V3128" s="22">
        <f>IF(OR($D3128="",$R3128="Trùng"),"",IF(COUNTIF(ORDERS!$C$2:$C$4995,$D3128)&gt;0,"Có","Không"))</f>
        <v/>
      </c>
      <c r="W3128" s="22">
        <f>IF(OR($D3128="",$R3128="Trùng"),"",COUNTIFS(ORDERS!$C$2:$C$4995,$D3128,ORDERS!$L$2:$L$4995,"Đã chuyển khoản"))</f>
        <v/>
      </c>
      <c r="X3128" s="23">
        <f>IF(OR($D3128="",$R3128="Trùng"),"",SUMIFS(ORDERS!$J$2:$J$4995,ORDERS!$C$2:$C$4995,$D3128,ORDERS!$L$2:$L$4995,"Đã chuyển khoản"))</f>
        <v/>
      </c>
      <c r="Y3128" s="24" t="n"/>
    </row>
    <row r="3129" ht="14.25" customHeight="1" s="40">
      <c r="A3129" s="24" t="n"/>
      <c r="B3129" s="27" t="n"/>
      <c r="C3129" s="24" t="n"/>
      <c r="D3129" s="28" t="n"/>
      <c r="E3129" s="29" t="n"/>
      <c r="F3129" s="24" t="n"/>
      <c r="G3129" s="24" t="n"/>
      <c r="H3129" s="21">
        <f>IF(ISNUMBER($B3129),INT($B3129)-WEEKDAY($B3129,2)+1,"")</f>
        <v/>
      </c>
      <c r="I3129" s="24" t="n"/>
      <c r="J3129" s="22">
        <f t="array" ref="J3129">IF($D3129="","",IF($I3129="","(trống REF)",IFERROR(INDEX(MASTER_SOURCE!$B$2:$B$495,MATCH($I3129,MASTER_SOURCE!$A$2:$A$495,0)),"(REF không có trong MASTER_SOURCE)")))</f>
        <v/>
      </c>
      <c r="K3129" s="22">
        <f t="array" ref="K3129">IF($D3129="","",IFERROR(INDEX(MASTER_SOURCE!$C$2:$C$495,MATCH($I3129,MASTER_SOURCE!$A$2:$A$495,0)),""))</f>
        <v/>
      </c>
      <c r="L3129" s="22">
        <f t="array" ref="L3129">IF($D3129="","",IFERROR(INDEX(MASTER_SOURCE!$D$2:$D$495,MATCH($I3129,MASTER_SOURCE!$A$2:$A$495,0)),""))</f>
        <v/>
      </c>
      <c r="M3129" s="24" t="n"/>
      <c r="N3129" s="24" t="n"/>
      <c r="O3129" s="24" t="n"/>
      <c r="P3129" s="24" t="n"/>
      <c r="Q3129" s="22">
        <f>IF($D3129="","",IF(AND(OR(DANH_MUC!$L$5&lt;&gt;"Có",M3129="Có"),OR(DANH_MUC!$L$6&lt;&gt;"Có",N3129="Có"),OR(DANH_MUC!$L$7&lt;&gt;"Có",O3129="Có"),OR(DANH_MUC!$L$8&lt;&gt;"Có",P3129="Có")),"Có","Không"))</f>
        <v/>
      </c>
      <c r="R3129" s="22">
        <f>IF($D3129="","",IF(COUNTIF($D$2:$D3129,$D3129)&gt;1,"Trùng",""))</f>
        <v/>
      </c>
      <c r="S3129" s="22">
        <f>IF($D3129="","",IF(AND(LEN($D3129)=10,LEFT($D3129,1)="0",ISNUMBER(--$D3129)),"Có","Không"))</f>
        <v/>
      </c>
      <c r="T3129" s="22">
        <f>IF($D3129="","",IF(AND($C3129&lt;&gt;"",$Q3129="Có",$R3129="",$S3129="Có",AND($L3129&lt;&gt;"",OR($L3129&lt;&gt;"Chưa xác định",DANH_MUC!$L$9="Có"))),"Có","Không"))</f>
        <v/>
      </c>
      <c r="U3129" s="22">
        <f>IF(OR($D3129="",$T3129="Có"),"",IF($C3129="","Thiếu họ tên; ","")&amp;IF($S3129&lt;&gt;"Có","SĐT sai định dạng; ","")&amp;IF($R3129="Trùng","Trùng SĐT; ","")&amp;IF($Q3129&lt;&gt;"Có","Thiếu đồng ý bắt buộc; ","")&amp;IF($L3129="","Thiếu/sai Mã REF; ",IF(AND($L3129="Chưa xác định",DANH_MUC!$L$9&lt;&gt;"Có"),"Nguồn chưa xác định; ","")))</f>
        <v/>
      </c>
      <c r="V3129" s="22">
        <f>IF(OR($D3129="",$R3129="Trùng"),"",IF(COUNTIF(ORDERS!$C$2:$C$4995,$D3129)&gt;0,"Có","Không"))</f>
        <v/>
      </c>
      <c r="W3129" s="22">
        <f>IF(OR($D3129="",$R3129="Trùng"),"",COUNTIFS(ORDERS!$C$2:$C$4995,$D3129,ORDERS!$L$2:$L$4995,"Đã chuyển khoản"))</f>
        <v/>
      </c>
      <c r="X3129" s="23">
        <f>IF(OR($D3129="",$R3129="Trùng"),"",SUMIFS(ORDERS!$J$2:$J$4995,ORDERS!$C$2:$C$4995,$D3129,ORDERS!$L$2:$L$4995,"Đã chuyển khoản"))</f>
        <v/>
      </c>
      <c r="Y3129" s="24" t="n"/>
    </row>
    <row r="3130" ht="14.25" customHeight="1" s="40">
      <c r="A3130" s="24" t="n"/>
      <c r="B3130" s="27" t="n"/>
      <c r="C3130" s="24" t="n"/>
      <c r="D3130" s="28" t="n"/>
      <c r="E3130" s="29" t="n"/>
      <c r="F3130" s="24" t="n"/>
      <c r="G3130" s="24" t="n"/>
      <c r="H3130" s="21">
        <f>IF(ISNUMBER($B3130),INT($B3130)-WEEKDAY($B3130,2)+1,"")</f>
        <v/>
      </c>
      <c r="I3130" s="24" t="n"/>
      <c r="J3130" s="22">
        <f t="array" ref="J3130">IF($D3130="","",IF($I3130="","(trống REF)",IFERROR(INDEX(MASTER_SOURCE!$B$2:$B$495,MATCH($I3130,MASTER_SOURCE!$A$2:$A$495,0)),"(REF không có trong MASTER_SOURCE)")))</f>
        <v/>
      </c>
      <c r="K3130" s="22">
        <f t="array" ref="K3130">IF($D3130="","",IFERROR(INDEX(MASTER_SOURCE!$C$2:$C$495,MATCH($I3130,MASTER_SOURCE!$A$2:$A$495,0)),""))</f>
        <v/>
      </c>
      <c r="L3130" s="22">
        <f t="array" ref="L3130">IF($D3130="","",IFERROR(INDEX(MASTER_SOURCE!$D$2:$D$495,MATCH($I3130,MASTER_SOURCE!$A$2:$A$495,0)),""))</f>
        <v/>
      </c>
      <c r="M3130" s="24" t="n"/>
      <c r="N3130" s="24" t="n"/>
      <c r="O3130" s="24" t="n"/>
      <c r="P3130" s="24" t="n"/>
      <c r="Q3130" s="22">
        <f>IF($D3130="","",IF(AND(OR(DANH_MUC!$L$5&lt;&gt;"Có",M3130="Có"),OR(DANH_MUC!$L$6&lt;&gt;"Có",N3130="Có"),OR(DANH_MUC!$L$7&lt;&gt;"Có",O3130="Có"),OR(DANH_MUC!$L$8&lt;&gt;"Có",P3130="Có")),"Có","Không"))</f>
        <v/>
      </c>
      <c r="R3130" s="22">
        <f>IF($D3130="","",IF(COUNTIF($D$2:$D3130,$D3130)&gt;1,"Trùng",""))</f>
        <v/>
      </c>
      <c r="S3130" s="22">
        <f>IF($D3130="","",IF(AND(LEN($D3130)=10,LEFT($D3130,1)="0",ISNUMBER(--$D3130)),"Có","Không"))</f>
        <v/>
      </c>
      <c r="T3130" s="22">
        <f>IF($D3130="","",IF(AND($C3130&lt;&gt;"",$Q3130="Có",$R3130="",$S3130="Có",AND($L3130&lt;&gt;"",OR($L3130&lt;&gt;"Chưa xác định",DANH_MUC!$L$9="Có"))),"Có","Không"))</f>
        <v/>
      </c>
      <c r="U3130" s="22">
        <f>IF(OR($D3130="",$T3130="Có"),"",IF($C3130="","Thiếu họ tên; ","")&amp;IF($S3130&lt;&gt;"Có","SĐT sai định dạng; ","")&amp;IF($R3130="Trùng","Trùng SĐT; ","")&amp;IF($Q3130&lt;&gt;"Có","Thiếu đồng ý bắt buộc; ","")&amp;IF($L3130="","Thiếu/sai Mã REF; ",IF(AND($L3130="Chưa xác định",DANH_MUC!$L$9&lt;&gt;"Có"),"Nguồn chưa xác định; ","")))</f>
        <v/>
      </c>
      <c r="V3130" s="22">
        <f>IF(OR($D3130="",$R3130="Trùng"),"",IF(COUNTIF(ORDERS!$C$2:$C$4995,$D3130)&gt;0,"Có","Không"))</f>
        <v/>
      </c>
      <c r="W3130" s="22">
        <f>IF(OR($D3130="",$R3130="Trùng"),"",COUNTIFS(ORDERS!$C$2:$C$4995,$D3130,ORDERS!$L$2:$L$4995,"Đã chuyển khoản"))</f>
        <v/>
      </c>
      <c r="X3130" s="23">
        <f>IF(OR($D3130="",$R3130="Trùng"),"",SUMIFS(ORDERS!$J$2:$J$4995,ORDERS!$C$2:$C$4995,$D3130,ORDERS!$L$2:$L$4995,"Đã chuyển khoản"))</f>
        <v/>
      </c>
      <c r="Y3130" s="24" t="n"/>
    </row>
    <row r="3131" ht="14.25" customHeight="1" s="40">
      <c r="A3131" s="24" t="n"/>
      <c r="B3131" s="27" t="n"/>
      <c r="C3131" s="24" t="n"/>
      <c r="D3131" s="28" t="n"/>
      <c r="E3131" s="29" t="n"/>
      <c r="F3131" s="24" t="n"/>
      <c r="G3131" s="24" t="n"/>
      <c r="H3131" s="21">
        <f>IF(ISNUMBER($B3131),INT($B3131)-WEEKDAY($B3131,2)+1,"")</f>
        <v/>
      </c>
      <c r="I3131" s="24" t="n"/>
      <c r="J3131" s="22">
        <f t="array" ref="J3131">IF($D3131="","",IF($I3131="","(trống REF)",IFERROR(INDEX(MASTER_SOURCE!$B$2:$B$495,MATCH($I3131,MASTER_SOURCE!$A$2:$A$495,0)),"(REF không có trong MASTER_SOURCE)")))</f>
        <v/>
      </c>
      <c r="K3131" s="22">
        <f t="array" ref="K3131">IF($D3131="","",IFERROR(INDEX(MASTER_SOURCE!$C$2:$C$495,MATCH($I3131,MASTER_SOURCE!$A$2:$A$495,0)),""))</f>
        <v/>
      </c>
      <c r="L3131" s="22">
        <f t="array" ref="L3131">IF($D3131="","",IFERROR(INDEX(MASTER_SOURCE!$D$2:$D$495,MATCH($I3131,MASTER_SOURCE!$A$2:$A$495,0)),""))</f>
        <v/>
      </c>
      <c r="M3131" s="24" t="n"/>
      <c r="N3131" s="24" t="n"/>
      <c r="O3131" s="24" t="n"/>
      <c r="P3131" s="24" t="n"/>
      <c r="Q3131" s="22">
        <f>IF($D3131="","",IF(AND(OR(DANH_MUC!$L$5&lt;&gt;"Có",M3131="Có"),OR(DANH_MUC!$L$6&lt;&gt;"Có",N3131="Có"),OR(DANH_MUC!$L$7&lt;&gt;"Có",O3131="Có"),OR(DANH_MUC!$L$8&lt;&gt;"Có",P3131="Có")),"Có","Không"))</f>
        <v/>
      </c>
      <c r="R3131" s="22">
        <f>IF($D3131="","",IF(COUNTIF($D$2:$D3131,$D3131)&gt;1,"Trùng",""))</f>
        <v/>
      </c>
      <c r="S3131" s="22">
        <f>IF($D3131="","",IF(AND(LEN($D3131)=10,LEFT($D3131,1)="0",ISNUMBER(--$D3131)),"Có","Không"))</f>
        <v/>
      </c>
      <c r="T3131" s="22">
        <f>IF($D3131="","",IF(AND($C3131&lt;&gt;"",$Q3131="Có",$R3131="",$S3131="Có",AND($L3131&lt;&gt;"",OR($L3131&lt;&gt;"Chưa xác định",DANH_MUC!$L$9="Có"))),"Có","Không"))</f>
        <v/>
      </c>
      <c r="U3131" s="22">
        <f>IF(OR($D3131="",$T3131="Có"),"",IF($C3131="","Thiếu họ tên; ","")&amp;IF($S3131&lt;&gt;"Có","SĐT sai định dạng; ","")&amp;IF($R3131="Trùng","Trùng SĐT; ","")&amp;IF($Q3131&lt;&gt;"Có","Thiếu đồng ý bắt buộc; ","")&amp;IF($L3131="","Thiếu/sai Mã REF; ",IF(AND($L3131="Chưa xác định",DANH_MUC!$L$9&lt;&gt;"Có"),"Nguồn chưa xác định; ","")))</f>
        <v/>
      </c>
      <c r="V3131" s="22">
        <f>IF(OR($D3131="",$R3131="Trùng"),"",IF(COUNTIF(ORDERS!$C$2:$C$4995,$D3131)&gt;0,"Có","Không"))</f>
        <v/>
      </c>
      <c r="W3131" s="22">
        <f>IF(OR($D3131="",$R3131="Trùng"),"",COUNTIFS(ORDERS!$C$2:$C$4995,$D3131,ORDERS!$L$2:$L$4995,"Đã chuyển khoản"))</f>
        <v/>
      </c>
      <c r="X3131" s="23">
        <f>IF(OR($D3131="",$R3131="Trùng"),"",SUMIFS(ORDERS!$J$2:$J$4995,ORDERS!$C$2:$C$4995,$D3131,ORDERS!$L$2:$L$4995,"Đã chuyển khoản"))</f>
        <v/>
      </c>
      <c r="Y3131" s="24" t="n"/>
    </row>
    <row r="3132" ht="14.25" customHeight="1" s="40">
      <c r="A3132" s="24" t="n"/>
      <c r="B3132" s="27" t="n"/>
      <c r="C3132" s="24" t="n"/>
      <c r="D3132" s="28" t="n"/>
      <c r="E3132" s="29" t="n"/>
      <c r="F3132" s="24" t="n"/>
      <c r="G3132" s="24" t="n"/>
      <c r="H3132" s="21">
        <f>IF(ISNUMBER($B3132),INT($B3132)-WEEKDAY($B3132,2)+1,"")</f>
        <v/>
      </c>
      <c r="I3132" s="24" t="n"/>
      <c r="J3132" s="22">
        <f t="array" ref="J3132">IF($D3132="","",IF($I3132="","(trống REF)",IFERROR(INDEX(MASTER_SOURCE!$B$2:$B$495,MATCH($I3132,MASTER_SOURCE!$A$2:$A$495,0)),"(REF không có trong MASTER_SOURCE)")))</f>
        <v/>
      </c>
      <c r="K3132" s="22">
        <f t="array" ref="K3132">IF($D3132="","",IFERROR(INDEX(MASTER_SOURCE!$C$2:$C$495,MATCH($I3132,MASTER_SOURCE!$A$2:$A$495,0)),""))</f>
        <v/>
      </c>
      <c r="L3132" s="22">
        <f t="array" ref="L3132">IF($D3132="","",IFERROR(INDEX(MASTER_SOURCE!$D$2:$D$495,MATCH($I3132,MASTER_SOURCE!$A$2:$A$495,0)),""))</f>
        <v/>
      </c>
      <c r="M3132" s="24" t="n"/>
      <c r="N3132" s="24" t="n"/>
      <c r="O3132" s="24" t="n"/>
      <c r="P3132" s="24" t="n"/>
      <c r="Q3132" s="22">
        <f>IF($D3132="","",IF(AND(OR(DANH_MUC!$L$5&lt;&gt;"Có",M3132="Có"),OR(DANH_MUC!$L$6&lt;&gt;"Có",N3132="Có"),OR(DANH_MUC!$L$7&lt;&gt;"Có",O3132="Có"),OR(DANH_MUC!$L$8&lt;&gt;"Có",P3132="Có")),"Có","Không"))</f>
        <v/>
      </c>
      <c r="R3132" s="22">
        <f>IF($D3132="","",IF(COUNTIF($D$2:$D3132,$D3132)&gt;1,"Trùng",""))</f>
        <v/>
      </c>
      <c r="S3132" s="22">
        <f>IF($D3132="","",IF(AND(LEN($D3132)=10,LEFT($D3132,1)="0",ISNUMBER(--$D3132)),"Có","Không"))</f>
        <v/>
      </c>
      <c r="T3132" s="22">
        <f>IF($D3132="","",IF(AND($C3132&lt;&gt;"",$Q3132="Có",$R3132="",$S3132="Có",AND($L3132&lt;&gt;"",OR($L3132&lt;&gt;"Chưa xác định",DANH_MUC!$L$9="Có"))),"Có","Không"))</f>
        <v/>
      </c>
      <c r="U3132" s="22">
        <f>IF(OR($D3132="",$T3132="Có"),"",IF($C3132="","Thiếu họ tên; ","")&amp;IF($S3132&lt;&gt;"Có","SĐT sai định dạng; ","")&amp;IF($R3132="Trùng","Trùng SĐT; ","")&amp;IF($Q3132&lt;&gt;"Có","Thiếu đồng ý bắt buộc; ","")&amp;IF($L3132="","Thiếu/sai Mã REF; ",IF(AND($L3132="Chưa xác định",DANH_MUC!$L$9&lt;&gt;"Có"),"Nguồn chưa xác định; ","")))</f>
        <v/>
      </c>
      <c r="V3132" s="22">
        <f>IF(OR($D3132="",$R3132="Trùng"),"",IF(COUNTIF(ORDERS!$C$2:$C$4995,$D3132)&gt;0,"Có","Không"))</f>
        <v/>
      </c>
      <c r="W3132" s="22">
        <f>IF(OR($D3132="",$R3132="Trùng"),"",COUNTIFS(ORDERS!$C$2:$C$4995,$D3132,ORDERS!$L$2:$L$4995,"Đã chuyển khoản"))</f>
        <v/>
      </c>
      <c r="X3132" s="23">
        <f>IF(OR($D3132="",$R3132="Trùng"),"",SUMIFS(ORDERS!$J$2:$J$4995,ORDERS!$C$2:$C$4995,$D3132,ORDERS!$L$2:$L$4995,"Đã chuyển khoản"))</f>
        <v/>
      </c>
      <c r="Y3132" s="24" t="n"/>
    </row>
    <row r="3133" ht="14.25" customHeight="1" s="40">
      <c r="A3133" s="24" t="n"/>
      <c r="B3133" s="27" t="n"/>
      <c r="C3133" s="24" t="n"/>
      <c r="D3133" s="28" t="n"/>
      <c r="E3133" s="29" t="n"/>
      <c r="F3133" s="24" t="n"/>
      <c r="G3133" s="24" t="n"/>
      <c r="H3133" s="21">
        <f>IF(ISNUMBER($B3133),INT($B3133)-WEEKDAY($B3133,2)+1,"")</f>
        <v/>
      </c>
      <c r="I3133" s="24" t="n"/>
      <c r="J3133" s="22">
        <f t="array" ref="J3133">IF($D3133="","",IF($I3133="","(trống REF)",IFERROR(INDEX(MASTER_SOURCE!$B$2:$B$495,MATCH($I3133,MASTER_SOURCE!$A$2:$A$495,0)),"(REF không có trong MASTER_SOURCE)")))</f>
        <v/>
      </c>
      <c r="K3133" s="22">
        <f t="array" ref="K3133">IF($D3133="","",IFERROR(INDEX(MASTER_SOURCE!$C$2:$C$495,MATCH($I3133,MASTER_SOURCE!$A$2:$A$495,0)),""))</f>
        <v/>
      </c>
      <c r="L3133" s="22">
        <f t="array" ref="L3133">IF($D3133="","",IFERROR(INDEX(MASTER_SOURCE!$D$2:$D$495,MATCH($I3133,MASTER_SOURCE!$A$2:$A$495,0)),""))</f>
        <v/>
      </c>
      <c r="M3133" s="24" t="n"/>
      <c r="N3133" s="24" t="n"/>
      <c r="O3133" s="24" t="n"/>
      <c r="P3133" s="24" t="n"/>
      <c r="Q3133" s="22">
        <f>IF($D3133="","",IF(AND(OR(DANH_MUC!$L$5&lt;&gt;"Có",M3133="Có"),OR(DANH_MUC!$L$6&lt;&gt;"Có",N3133="Có"),OR(DANH_MUC!$L$7&lt;&gt;"Có",O3133="Có"),OR(DANH_MUC!$L$8&lt;&gt;"Có",P3133="Có")),"Có","Không"))</f>
        <v/>
      </c>
      <c r="R3133" s="22">
        <f>IF($D3133="","",IF(COUNTIF($D$2:$D3133,$D3133)&gt;1,"Trùng",""))</f>
        <v/>
      </c>
      <c r="S3133" s="22">
        <f>IF($D3133="","",IF(AND(LEN($D3133)=10,LEFT($D3133,1)="0",ISNUMBER(--$D3133)),"Có","Không"))</f>
        <v/>
      </c>
      <c r="T3133" s="22">
        <f>IF($D3133="","",IF(AND($C3133&lt;&gt;"",$Q3133="Có",$R3133="",$S3133="Có",AND($L3133&lt;&gt;"",OR($L3133&lt;&gt;"Chưa xác định",DANH_MUC!$L$9="Có"))),"Có","Không"))</f>
        <v/>
      </c>
      <c r="U3133" s="22">
        <f>IF(OR($D3133="",$T3133="Có"),"",IF($C3133="","Thiếu họ tên; ","")&amp;IF($S3133&lt;&gt;"Có","SĐT sai định dạng; ","")&amp;IF($R3133="Trùng","Trùng SĐT; ","")&amp;IF($Q3133&lt;&gt;"Có","Thiếu đồng ý bắt buộc; ","")&amp;IF($L3133="","Thiếu/sai Mã REF; ",IF(AND($L3133="Chưa xác định",DANH_MUC!$L$9&lt;&gt;"Có"),"Nguồn chưa xác định; ","")))</f>
        <v/>
      </c>
      <c r="V3133" s="22">
        <f>IF(OR($D3133="",$R3133="Trùng"),"",IF(COUNTIF(ORDERS!$C$2:$C$4995,$D3133)&gt;0,"Có","Không"))</f>
        <v/>
      </c>
      <c r="W3133" s="22">
        <f>IF(OR($D3133="",$R3133="Trùng"),"",COUNTIFS(ORDERS!$C$2:$C$4995,$D3133,ORDERS!$L$2:$L$4995,"Đã chuyển khoản"))</f>
        <v/>
      </c>
      <c r="X3133" s="23">
        <f>IF(OR($D3133="",$R3133="Trùng"),"",SUMIFS(ORDERS!$J$2:$J$4995,ORDERS!$C$2:$C$4995,$D3133,ORDERS!$L$2:$L$4995,"Đã chuyển khoản"))</f>
        <v/>
      </c>
      <c r="Y3133" s="24" t="n"/>
    </row>
    <row r="3134" ht="14.25" customHeight="1" s="40">
      <c r="A3134" s="24" t="n"/>
      <c r="B3134" s="27" t="n"/>
      <c r="C3134" s="24" t="n"/>
      <c r="D3134" s="28" t="n"/>
      <c r="E3134" s="29" t="n"/>
      <c r="F3134" s="24" t="n"/>
      <c r="G3134" s="24" t="n"/>
      <c r="H3134" s="21">
        <f>IF(ISNUMBER($B3134),INT($B3134)-WEEKDAY($B3134,2)+1,"")</f>
        <v/>
      </c>
      <c r="I3134" s="24" t="n"/>
      <c r="J3134" s="22">
        <f t="array" ref="J3134">IF($D3134="","",IF($I3134="","(trống REF)",IFERROR(INDEX(MASTER_SOURCE!$B$2:$B$495,MATCH($I3134,MASTER_SOURCE!$A$2:$A$495,0)),"(REF không có trong MASTER_SOURCE)")))</f>
        <v/>
      </c>
      <c r="K3134" s="22">
        <f t="array" ref="K3134">IF($D3134="","",IFERROR(INDEX(MASTER_SOURCE!$C$2:$C$495,MATCH($I3134,MASTER_SOURCE!$A$2:$A$495,0)),""))</f>
        <v/>
      </c>
      <c r="L3134" s="22">
        <f t="array" ref="L3134">IF($D3134="","",IFERROR(INDEX(MASTER_SOURCE!$D$2:$D$495,MATCH($I3134,MASTER_SOURCE!$A$2:$A$495,0)),""))</f>
        <v/>
      </c>
      <c r="M3134" s="24" t="n"/>
      <c r="N3134" s="24" t="n"/>
      <c r="O3134" s="24" t="n"/>
      <c r="P3134" s="24" t="n"/>
      <c r="Q3134" s="22">
        <f>IF($D3134="","",IF(AND(OR(DANH_MUC!$L$5&lt;&gt;"Có",M3134="Có"),OR(DANH_MUC!$L$6&lt;&gt;"Có",N3134="Có"),OR(DANH_MUC!$L$7&lt;&gt;"Có",O3134="Có"),OR(DANH_MUC!$L$8&lt;&gt;"Có",P3134="Có")),"Có","Không"))</f>
        <v/>
      </c>
      <c r="R3134" s="22">
        <f>IF($D3134="","",IF(COUNTIF($D$2:$D3134,$D3134)&gt;1,"Trùng",""))</f>
        <v/>
      </c>
      <c r="S3134" s="22">
        <f>IF($D3134="","",IF(AND(LEN($D3134)=10,LEFT($D3134,1)="0",ISNUMBER(--$D3134)),"Có","Không"))</f>
        <v/>
      </c>
      <c r="T3134" s="22">
        <f>IF($D3134="","",IF(AND($C3134&lt;&gt;"",$Q3134="Có",$R3134="",$S3134="Có",AND($L3134&lt;&gt;"",OR($L3134&lt;&gt;"Chưa xác định",DANH_MUC!$L$9="Có"))),"Có","Không"))</f>
        <v/>
      </c>
      <c r="U3134" s="22">
        <f>IF(OR($D3134="",$T3134="Có"),"",IF($C3134="","Thiếu họ tên; ","")&amp;IF($S3134&lt;&gt;"Có","SĐT sai định dạng; ","")&amp;IF($R3134="Trùng","Trùng SĐT; ","")&amp;IF($Q3134&lt;&gt;"Có","Thiếu đồng ý bắt buộc; ","")&amp;IF($L3134="","Thiếu/sai Mã REF; ",IF(AND($L3134="Chưa xác định",DANH_MUC!$L$9&lt;&gt;"Có"),"Nguồn chưa xác định; ","")))</f>
        <v/>
      </c>
      <c r="V3134" s="22">
        <f>IF(OR($D3134="",$R3134="Trùng"),"",IF(COUNTIF(ORDERS!$C$2:$C$4995,$D3134)&gt;0,"Có","Không"))</f>
        <v/>
      </c>
      <c r="W3134" s="22">
        <f>IF(OR($D3134="",$R3134="Trùng"),"",COUNTIFS(ORDERS!$C$2:$C$4995,$D3134,ORDERS!$L$2:$L$4995,"Đã chuyển khoản"))</f>
        <v/>
      </c>
      <c r="X3134" s="23">
        <f>IF(OR($D3134="",$R3134="Trùng"),"",SUMIFS(ORDERS!$J$2:$J$4995,ORDERS!$C$2:$C$4995,$D3134,ORDERS!$L$2:$L$4995,"Đã chuyển khoản"))</f>
        <v/>
      </c>
      <c r="Y3134" s="24" t="n"/>
    </row>
    <row r="3135" ht="14.25" customHeight="1" s="40">
      <c r="A3135" s="24" t="n"/>
      <c r="B3135" s="27" t="n"/>
      <c r="C3135" s="24" t="n"/>
      <c r="D3135" s="28" t="n"/>
      <c r="E3135" s="29" t="n"/>
      <c r="F3135" s="24" t="n"/>
      <c r="G3135" s="24" t="n"/>
      <c r="H3135" s="21">
        <f>IF(ISNUMBER($B3135),INT($B3135)-WEEKDAY($B3135,2)+1,"")</f>
        <v/>
      </c>
      <c r="I3135" s="24" t="n"/>
      <c r="J3135" s="22">
        <f t="array" ref="J3135">IF($D3135="","",IF($I3135="","(trống REF)",IFERROR(INDEX(MASTER_SOURCE!$B$2:$B$495,MATCH($I3135,MASTER_SOURCE!$A$2:$A$495,0)),"(REF không có trong MASTER_SOURCE)")))</f>
        <v/>
      </c>
      <c r="K3135" s="22">
        <f t="array" ref="K3135">IF($D3135="","",IFERROR(INDEX(MASTER_SOURCE!$C$2:$C$495,MATCH($I3135,MASTER_SOURCE!$A$2:$A$495,0)),""))</f>
        <v/>
      </c>
      <c r="L3135" s="22">
        <f t="array" ref="L3135">IF($D3135="","",IFERROR(INDEX(MASTER_SOURCE!$D$2:$D$495,MATCH($I3135,MASTER_SOURCE!$A$2:$A$495,0)),""))</f>
        <v/>
      </c>
      <c r="M3135" s="24" t="n"/>
      <c r="N3135" s="24" t="n"/>
      <c r="O3135" s="24" t="n"/>
      <c r="P3135" s="24" t="n"/>
      <c r="Q3135" s="22">
        <f>IF($D3135="","",IF(AND(OR(DANH_MUC!$L$5&lt;&gt;"Có",M3135="Có"),OR(DANH_MUC!$L$6&lt;&gt;"Có",N3135="Có"),OR(DANH_MUC!$L$7&lt;&gt;"Có",O3135="Có"),OR(DANH_MUC!$L$8&lt;&gt;"Có",P3135="Có")),"Có","Không"))</f>
        <v/>
      </c>
      <c r="R3135" s="22">
        <f>IF($D3135="","",IF(COUNTIF($D$2:$D3135,$D3135)&gt;1,"Trùng",""))</f>
        <v/>
      </c>
      <c r="S3135" s="22">
        <f>IF($D3135="","",IF(AND(LEN($D3135)=10,LEFT($D3135,1)="0",ISNUMBER(--$D3135)),"Có","Không"))</f>
        <v/>
      </c>
      <c r="T3135" s="22">
        <f>IF($D3135="","",IF(AND($C3135&lt;&gt;"",$Q3135="Có",$R3135="",$S3135="Có",AND($L3135&lt;&gt;"",OR($L3135&lt;&gt;"Chưa xác định",DANH_MUC!$L$9="Có"))),"Có","Không"))</f>
        <v/>
      </c>
      <c r="U3135" s="22">
        <f>IF(OR($D3135="",$T3135="Có"),"",IF($C3135="","Thiếu họ tên; ","")&amp;IF($S3135&lt;&gt;"Có","SĐT sai định dạng; ","")&amp;IF($R3135="Trùng","Trùng SĐT; ","")&amp;IF($Q3135&lt;&gt;"Có","Thiếu đồng ý bắt buộc; ","")&amp;IF($L3135="","Thiếu/sai Mã REF; ",IF(AND($L3135="Chưa xác định",DANH_MUC!$L$9&lt;&gt;"Có"),"Nguồn chưa xác định; ","")))</f>
        <v/>
      </c>
      <c r="V3135" s="22">
        <f>IF(OR($D3135="",$R3135="Trùng"),"",IF(COUNTIF(ORDERS!$C$2:$C$4995,$D3135)&gt;0,"Có","Không"))</f>
        <v/>
      </c>
      <c r="W3135" s="22">
        <f>IF(OR($D3135="",$R3135="Trùng"),"",COUNTIFS(ORDERS!$C$2:$C$4995,$D3135,ORDERS!$L$2:$L$4995,"Đã chuyển khoản"))</f>
        <v/>
      </c>
      <c r="X3135" s="23">
        <f>IF(OR($D3135="",$R3135="Trùng"),"",SUMIFS(ORDERS!$J$2:$J$4995,ORDERS!$C$2:$C$4995,$D3135,ORDERS!$L$2:$L$4995,"Đã chuyển khoản"))</f>
        <v/>
      </c>
      <c r="Y3135" s="24" t="n"/>
    </row>
    <row r="3136" ht="14.25" customHeight="1" s="40">
      <c r="A3136" s="24" t="n"/>
      <c r="B3136" s="27" t="n"/>
      <c r="C3136" s="24" t="n"/>
      <c r="D3136" s="28" t="n"/>
      <c r="E3136" s="29" t="n"/>
      <c r="F3136" s="24" t="n"/>
      <c r="G3136" s="24" t="n"/>
      <c r="H3136" s="21">
        <f>IF(ISNUMBER($B3136),INT($B3136)-WEEKDAY($B3136,2)+1,"")</f>
        <v/>
      </c>
      <c r="I3136" s="24" t="n"/>
      <c r="J3136" s="22">
        <f t="array" ref="J3136">IF($D3136="","",IF($I3136="","(trống REF)",IFERROR(INDEX(MASTER_SOURCE!$B$2:$B$495,MATCH($I3136,MASTER_SOURCE!$A$2:$A$495,0)),"(REF không có trong MASTER_SOURCE)")))</f>
        <v/>
      </c>
      <c r="K3136" s="22">
        <f t="array" ref="K3136">IF($D3136="","",IFERROR(INDEX(MASTER_SOURCE!$C$2:$C$495,MATCH($I3136,MASTER_SOURCE!$A$2:$A$495,0)),""))</f>
        <v/>
      </c>
      <c r="L3136" s="22">
        <f t="array" ref="L3136">IF($D3136="","",IFERROR(INDEX(MASTER_SOURCE!$D$2:$D$495,MATCH($I3136,MASTER_SOURCE!$A$2:$A$495,0)),""))</f>
        <v/>
      </c>
      <c r="M3136" s="24" t="n"/>
      <c r="N3136" s="24" t="n"/>
      <c r="O3136" s="24" t="n"/>
      <c r="P3136" s="24" t="n"/>
      <c r="Q3136" s="22">
        <f>IF($D3136="","",IF(AND(OR(DANH_MUC!$L$5&lt;&gt;"Có",M3136="Có"),OR(DANH_MUC!$L$6&lt;&gt;"Có",N3136="Có"),OR(DANH_MUC!$L$7&lt;&gt;"Có",O3136="Có"),OR(DANH_MUC!$L$8&lt;&gt;"Có",P3136="Có")),"Có","Không"))</f>
        <v/>
      </c>
      <c r="R3136" s="22">
        <f>IF($D3136="","",IF(COUNTIF($D$2:$D3136,$D3136)&gt;1,"Trùng",""))</f>
        <v/>
      </c>
      <c r="S3136" s="22">
        <f>IF($D3136="","",IF(AND(LEN($D3136)=10,LEFT($D3136,1)="0",ISNUMBER(--$D3136)),"Có","Không"))</f>
        <v/>
      </c>
      <c r="T3136" s="22">
        <f>IF($D3136="","",IF(AND($C3136&lt;&gt;"",$Q3136="Có",$R3136="",$S3136="Có",AND($L3136&lt;&gt;"",OR($L3136&lt;&gt;"Chưa xác định",DANH_MUC!$L$9="Có"))),"Có","Không"))</f>
        <v/>
      </c>
      <c r="U3136" s="22">
        <f>IF(OR($D3136="",$T3136="Có"),"",IF($C3136="","Thiếu họ tên; ","")&amp;IF($S3136&lt;&gt;"Có","SĐT sai định dạng; ","")&amp;IF($R3136="Trùng","Trùng SĐT; ","")&amp;IF($Q3136&lt;&gt;"Có","Thiếu đồng ý bắt buộc; ","")&amp;IF($L3136="","Thiếu/sai Mã REF; ",IF(AND($L3136="Chưa xác định",DANH_MUC!$L$9&lt;&gt;"Có"),"Nguồn chưa xác định; ","")))</f>
        <v/>
      </c>
      <c r="V3136" s="22">
        <f>IF(OR($D3136="",$R3136="Trùng"),"",IF(COUNTIF(ORDERS!$C$2:$C$4995,$D3136)&gt;0,"Có","Không"))</f>
        <v/>
      </c>
      <c r="W3136" s="22">
        <f>IF(OR($D3136="",$R3136="Trùng"),"",COUNTIFS(ORDERS!$C$2:$C$4995,$D3136,ORDERS!$L$2:$L$4995,"Đã chuyển khoản"))</f>
        <v/>
      </c>
      <c r="X3136" s="23">
        <f>IF(OR($D3136="",$R3136="Trùng"),"",SUMIFS(ORDERS!$J$2:$J$4995,ORDERS!$C$2:$C$4995,$D3136,ORDERS!$L$2:$L$4995,"Đã chuyển khoản"))</f>
        <v/>
      </c>
      <c r="Y3136" s="24" t="n"/>
    </row>
    <row r="3137" ht="14.25" customHeight="1" s="40">
      <c r="A3137" s="24" t="n"/>
      <c r="B3137" s="27" t="n"/>
      <c r="C3137" s="24" t="n"/>
      <c r="D3137" s="28" t="n"/>
      <c r="E3137" s="29" t="n"/>
      <c r="F3137" s="24" t="n"/>
      <c r="G3137" s="24" t="n"/>
      <c r="H3137" s="21">
        <f>IF(ISNUMBER($B3137),INT($B3137)-WEEKDAY($B3137,2)+1,"")</f>
        <v/>
      </c>
      <c r="I3137" s="24" t="n"/>
      <c r="J3137" s="22">
        <f t="array" ref="J3137">IF($D3137="","",IF($I3137="","(trống REF)",IFERROR(INDEX(MASTER_SOURCE!$B$2:$B$495,MATCH($I3137,MASTER_SOURCE!$A$2:$A$495,0)),"(REF không có trong MASTER_SOURCE)")))</f>
        <v/>
      </c>
      <c r="K3137" s="22">
        <f t="array" ref="K3137">IF($D3137="","",IFERROR(INDEX(MASTER_SOURCE!$C$2:$C$495,MATCH($I3137,MASTER_SOURCE!$A$2:$A$495,0)),""))</f>
        <v/>
      </c>
      <c r="L3137" s="22">
        <f t="array" ref="L3137">IF($D3137="","",IFERROR(INDEX(MASTER_SOURCE!$D$2:$D$495,MATCH($I3137,MASTER_SOURCE!$A$2:$A$495,0)),""))</f>
        <v/>
      </c>
      <c r="M3137" s="24" t="n"/>
      <c r="N3137" s="24" t="n"/>
      <c r="O3137" s="24" t="n"/>
      <c r="P3137" s="24" t="n"/>
      <c r="Q3137" s="22">
        <f>IF($D3137="","",IF(AND(OR(DANH_MUC!$L$5&lt;&gt;"Có",M3137="Có"),OR(DANH_MUC!$L$6&lt;&gt;"Có",N3137="Có"),OR(DANH_MUC!$L$7&lt;&gt;"Có",O3137="Có"),OR(DANH_MUC!$L$8&lt;&gt;"Có",P3137="Có")),"Có","Không"))</f>
        <v/>
      </c>
      <c r="R3137" s="22">
        <f>IF($D3137="","",IF(COUNTIF($D$2:$D3137,$D3137)&gt;1,"Trùng",""))</f>
        <v/>
      </c>
      <c r="S3137" s="22">
        <f>IF($D3137="","",IF(AND(LEN($D3137)=10,LEFT($D3137,1)="0",ISNUMBER(--$D3137)),"Có","Không"))</f>
        <v/>
      </c>
      <c r="T3137" s="22">
        <f>IF($D3137="","",IF(AND($C3137&lt;&gt;"",$Q3137="Có",$R3137="",$S3137="Có",AND($L3137&lt;&gt;"",OR($L3137&lt;&gt;"Chưa xác định",DANH_MUC!$L$9="Có"))),"Có","Không"))</f>
        <v/>
      </c>
      <c r="U3137" s="22">
        <f>IF(OR($D3137="",$T3137="Có"),"",IF($C3137="","Thiếu họ tên; ","")&amp;IF($S3137&lt;&gt;"Có","SĐT sai định dạng; ","")&amp;IF($R3137="Trùng","Trùng SĐT; ","")&amp;IF($Q3137&lt;&gt;"Có","Thiếu đồng ý bắt buộc; ","")&amp;IF($L3137="","Thiếu/sai Mã REF; ",IF(AND($L3137="Chưa xác định",DANH_MUC!$L$9&lt;&gt;"Có"),"Nguồn chưa xác định; ","")))</f>
        <v/>
      </c>
      <c r="V3137" s="22">
        <f>IF(OR($D3137="",$R3137="Trùng"),"",IF(COUNTIF(ORDERS!$C$2:$C$4995,$D3137)&gt;0,"Có","Không"))</f>
        <v/>
      </c>
      <c r="W3137" s="22">
        <f>IF(OR($D3137="",$R3137="Trùng"),"",COUNTIFS(ORDERS!$C$2:$C$4995,$D3137,ORDERS!$L$2:$L$4995,"Đã chuyển khoản"))</f>
        <v/>
      </c>
      <c r="X3137" s="23">
        <f>IF(OR($D3137="",$R3137="Trùng"),"",SUMIFS(ORDERS!$J$2:$J$4995,ORDERS!$C$2:$C$4995,$D3137,ORDERS!$L$2:$L$4995,"Đã chuyển khoản"))</f>
        <v/>
      </c>
      <c r="Y3137" s="24" t="n"/>
    </row>
    <row r="3138" ht="14.25" customHeight="1" s="40">
      <c r="A3138" s="24" t="n"/>
      <c r="B3138" s="27" t="n"/>
      <c r="C3138" s="24" t="n"/>
      <c r="D3138" s="28" t="n"/>
      <c r="E3138" s="29" t="n"/>
      <c r="F3138" s="24" t="n"/>
      <c r="G3138" s="24" t="n"/>
      <c r="H3138" s="21">
        <f>IF(ISNUMBER($B3138),INT($B3138)-WEEKDAY($B3138,2)+1,"")</f>
        <v/>
      </c>
      <c r="I3138" s="24" t="n"/>
      <c r="J3138" s="22">
        <f t="array" ref="J3138">IF($D3138="","",IF($I3138="","(trống REF)",IFERROR(INDEX(MASTER_SOURCE!$B$2:$B$495,MATCH($I3138,MASTER_SOURCE!$A$2:$A$495,0)),"(REF không có trong MASTER_SOURCE)")))</f>
        <v/>
      </c>
      <c r="K3138" s="22">
        <f t="array" ref="K3138">IF($D3138="","",IFERROR(INDEX(MASTER_SOURCE!$C$2:$C$495,MATCH($I3138,MASTER_SOURCE!$A$2:$A$495,0)),""))</f>
        <v/>
      </c>
      <c r="L3138" s="22">
        <f t="array" ref="L3138">IF($D3138="","",IFERROR(INDEX(MASTER_SOURCE!$D$2:$D$495,MATCH($I3138,MASTER_SOURCE!$A$2:$A$495,0)),""))</f>
        <v/>
      </c>
      <c r="M3138" s="24" t="n"/>
      <c r="N3138" s="24" t="n"/>
      <c r="O3138" s="24" t="n"/>
      <c r="P3138" s="24" t="n"/>
      <c r="Q3138" s="22">
        <f>IF($D3138="","",IF(AND(OR(DANH_MUC!$L$5&lt;&gt;"Có",M3138="Có"),OR(DANH_MUC!$L$6&lt;&gt;"Có",N3138="Có"),OR(DANH_MUC!$L$7&lt;&gt;"Có",O3138="Có"),OR(DANH_MUC!$L$8&lt;&gt;"Có",P3138="Có")),"Có","Không"))</f>
        <v/>
      </c>
      <c r="R3138" s="22">
        <f>IF($D3138="","",IF(COUNTIF($D$2:$D3138,$D3138)&gt;1,"Trùng",""))</f>
        <v/>
      </c>
      <c r="S3138" s="22">
        <f>IF($D3138="","",IF(AND(LEN($D3138)=10,LEFT($D3138,1)="0",ISNUMBER(--$D3138)),"Có","Không"))</f>
        <v/>
      </c>
      <c r="T3138" s="22">
        <f>IF($D3138="","",IF(AND($C3138&lt;&gt;"",$Q3138="Có",$R3138="",$S3138="Có",AND($L3138&lt;&gt;"",OR($L3138&lt;&gt;"Chưa xác định",DANH_MUC!$L$9="Có"))),"Có","Không"))</f>
        <v/>
      </c>
      <c r="U3138" s="22">
        <f>IF(OR($D3138="",$T3138="Có"),"",IF($C3138="","Thiếu họ tên; ","")&amp;IF($S3138&lt;&gt;"Có","SĐT sai định dạng; ","")&amp;IF($R3138="Trùng","Trùng SĐT; ","")&amp;IF($Q3138&lt;&gt;"Có","Thiếu đồng ý bắt buộc; ","")&amp;IF($L3138="","Thiếu/sai Mã REF; ",IF(AND($L3138="Chưa xác định",DANH_MUC!$L$9&lt;&gt;"Có"),"Nguồn chưa xác định; ","")))</f>
        <v/>
      </c>
      <c r="V3138" s="22">
        <f>IF(OR($D3138="",$R3138="Trùng"),"",IF(COUNTIF(ORDERS!$C$2:$C$4995,$D3138)&gt;0,"Có","Không"))</f>
        <v/>
      </c>
      <c r="W3138" s="22">
        <f>IF(OR($D3138="",$R3138="Trùng"),"",COUNTIFS(ORDERS!$C$2:$C$4995,$D3138,ORDERS!$L$2:$L$4995,"Đã chuyển khoản"))</f>
        <v/>
      </c>
      <c r="X3138" s="23">
        <f>IF(OR($D3138="",$R3138="Trùng"),"",SUMIFS(ORDERS!$J$2:$J$4995,ORDERS!$C$2:$C$4995,$D3138,ORDERS!$L$2:$L$4995,"Đã chuyển khoản"))</f>
        <v/>
      </c>
      <c r="Y3138" s="24" t="n"/>
    </row>
    <row r="3139" ht="14.25" customHeight="1" s="40">
      <c r="A3139" s="24" t="n"/>
      <c r="B3139" s="27" t="n"/>
      <c r="C3139" s="24" t="n"/>
      <c r="D3139" s="28" t="n"/>
      <c r="E3139" s="29" t="n"/>
      <c r="F3139" s="24" t="n"/>
      <c r="G3139" s="24" t="n"/>
      <c r="H3139" s="21">
        <f>IF(ISNUMBER($B3139),INT($B3139)-WEEKDAY($B3139,2)+1,"")</f>
        <v/>
      </c>
      <c r="I3139" s="24" t="n"/>
      <c r="J3139" s="22">
        <f t="array" ref="J3139">IF($D3139="","",IF($I3139="","(trống REF)",IFERROR(INDEX(MASTER_SOURCE!$B$2:$B$495,MATCH($I3139,MASTER_SOURCE!$A$2:$A$495,0)),"(REF không có trong MASTER_SOURCE)")))</f>
        <v/>
      </c>
      <c r="K3139" s="22">
        <f t="array" ref="K3139">IF($D3139="","",IFERROR(INDEX(MASTER_SOURCE!$C$2:$C$495,MATCH($I3139,MASTER_SOURCE!$A$2:$A$495,0)),""))</f>
        <v/>
      </c>
      <c r="L3139" s="22">
        <f t="array" ref="L3139">IF($D3139="","",IFERROR(INDEX(MASTER_SOURCE!$D$2:$D$495,MATCH($I3139,MASTER_SOURCE!$A$2:$A$495,0)),""))</f>
        <v/>
      </c>
      <c r="M3139" s="24" t="n"/>
      <c r="N3139" s="24" t="n"/>
      <c r="O3139" s="24" t="n"/>
      <c r="P3139" s="24" t="n"/>
      <c r="Q3139" s="22">
        <f>IF($D3139="","",IF(AND(OR(DANH_MUC!$L$5&lt;&gt;"Có",M3139="Có"),OR(DANH_MUC!$L$6&lt;&gt;"Có",N3139="Có"),OR(DANH_MUC!$L$7&lt;&gt;"Có",O3139="Có"),OR(DANH_MUC!$L$8&lt;&gt;"Có",P3139="Có")),"Có","Không"))</f>
        <v/>
      </c>
      <c r="R3139" s="22">
        <f>IF($D3139="","",IF(COUNTIF($D$2:$D3139,$D3139)&gt;1,"Trùng",""))</f>
        <v/>
      </c>
      <c r="S3139" s="22">
        <f>IF($D3139="","",IF(AND(LEN($D3139)=10,LEFT($D3139,1)="0",ISNUMBER(--$D3139)),"Có","Không"))</f>
        <v/>
      </c>
      <c r="T3139" s="22">
        <f>IF($D3139="","",IF(AND($C3139&lt;&gt;"",$Q3139="Có",$R3139="",$S3139="Có",AND($L3139&lt;&gt;"",OR($L3139&lt;&gt;"Chưa xác định",DANH_MUC!$L$9="Có"))),"Có","Không"))</f>
        <v/>
      </c>
      <c r="U3139" s="22">
        <f>IF(OR($D3139="",$T3139="Có"),"",IF($C3139="","Thiếu họ tên; ","")&amp;IF($S3139&lt;&gt;"Có","SĐT sai định dạng; ","")&amp;IF($R3139="Trùng","Trùng SĐT; ","")&amp;IF($Q3139&lt;&gt;"Có","Thiếu đồng ý bắt buộc; ","")&amp;IF($L3139="","Thiếu/sai Mã REF; ",IF(AND($L3139="Chưa xác định",DANH_MUC!$L$9&lt;&gt;"Có"),"Nguồn chưa xác định; ","")))</f>
        <v/>
      </c>
      <c r="V3139" s="22">
        <f>IF(OR($D3139="",$R3139="Trùng"),"",IF(COUNTIF(ORDERS!$C$2:$C$4995,$D3139)&gt;0,"Có","Không"))</f>
        <v/>
      </c>
      <c r="W3139" s="22">
        <f>IF(OR($D3139="",$R3139="Trùng"),"",COUNTIFS(ORDERS!$C$2:$C$4995,$D3139,ORDERS!$L$2:$L$4995,"Đã chuyển khoản"))</f>
        <v/>
      </c>
      <c r="X3139" s="23">
        <f>IF(OR($D3139="",$R3139="Trùng"),"",SUMIFS(ORDERS!$J$2:$J$4995,ORDERS!$C$2:$C$4995,$D3139,ORDERS!$L$2:$L$4995,"Đã chuyển khoản"))</f>
        <v/>
      </c>
      <c r="Y3139" s="24" t="n"/>
    </row>
    <row r="3140" ht="14.25" customHeight="1" s="40">
      <c r="A3140" s="24" t="n"/>
      <c r="B3140" s="27" t="n"/>
      <c r="C3140" s="24" t="n"/>
      <c r="D3140" s="28" t="n"/>
      <c r="E3140" s="29" t="n"/>
      <c r="F3140" s="24" t="n"/>
      <c r="G3140" s="24" t="n"/>
      <c r="H3140" s="21">
        <f>IF(ISNUMBER($B3140),INT($B3140)-WEEKDAY($B3140,2)+1,"")</f>
        <v/>
      </c>
      <c r="I3140" s="24" t="n"/>
      <c r="J3140" s="22">
        <f t="array" ref="J3140">IF($D3140="","",IF($I3140="","(trống REF)",IFERROR(INDEX(MASTER_SOURCE!$B$2:$B$495,MATCH($I3140,MASTER_SOURCE!$A$2:$A$495,0)),"(REF không có trong MASTER_SOURCE)")))</f>
        <v/>
      </c>
      <c r="K3140" s="22">
        <f t="array" ref="K3140">IF($D3140="","",IFERROR(INDEX(MASTER_SOURCE!$C$2:$C$495,MATCH($I3140,MASTER_SOURCE!$A$2:$A$495,0)),""))</f>
        <v/>
      </c>
      <c r="L3140" s="22">
        <f t="array" ref="L3140">IF($D3140="","",IFERROR(INDEX(MASTER_SOURCE!$D$2:$D$495,MATCH($I3140,MASTER_SOURCE!$A$2:$A$495,0)),""))</f>
        <v/>
      </c>
      <c r="M3140" s="24" t="n"/>
      <c r="N3140" s="24" t="n"/>
      <c r="O3140" s="24" t="n"/>
      <c r="P3140" s="24" t="n"/>
      <c r="Q3140" s="22">
        <f>IF($D3140="","",IF(AND(OR(DANH_MUC!$L$5&lt;&gt;"Có",M3140="Có"),OR(DANH_MUC!$L$6&lt;&gt;"Có",N3140="Có"),OR(DANH_MUC!$L$7&lt;&gt;"Có",O3140="Có"),OR(DANH_MUC!$L$8&lt;&gt;"Có",P3140="Có")),"Có","Không"))</f>
        <v/>
      </c>
      <c r="R3140" s="22">
        <f>IF($D3140="","",IF(COUNTIF($D$2:$D3140,$D3140)&gt;1,"Trùng",""))</f>
        <v/>
      </c>
      <c r="S3140" s="22">
        <f>IF($D3140="","",IF(AND(LEN($D3140)=10,LEFT($D3140,1)="0",ISNUMBER(--$D3140)),"Có","Không"))</f>
        <v/>
      </c>
      <c r="T3140" s="22">
        <f>IF($D3140="","",IF(AND($C3140&lt;&gt;"",$Q3140="Có",$R3140="",$S3140="Có",AND($L3140&lt;&gt;"",OR($L3140&lt;&gt;"Chưa xác định",DANH_MUC!$L$9="Có"))),"Có","Không"))</f>
        <v/>
      </c>
      <c r="U3140" s="22">
        <f>IF(OR($D3140="",$T3140="Có"),"",IF($C3140="","Thiếu họ tên; ","")&amp;IF($S3140&lt;&gt;"Có","SĐT sai định dạng; ","")&amp;IF($R3140="Trùng","Trùng SĐT; ","")&amp;IF($Q3140&lt;&gt;"Có","Thiếu đồng ý bắt buộc; ","")&amp;IF($L3140="","Thiếu/sai Mã REF; ",IF(AND($L3140="Chưa xác định",DANH_MUC!$L$9&lt;&gt;"Có"),"Nguồn chưa xác định; ","")))</f>
        <v/>
      </c>
      <c r="V3140" s="22">
        <f>IF(OR($D3140="",$R3140="Trùng"),"",IF(COUNTIF(ORDERS!$C$2:$C$4995,$D3140)&gt;0,"Có","Không"))</f>
        <v/>
      </c>
      <c r="W3140" s="22">
        <f>IF(OR($D3140="",$R3140="Trùng"),"",COUNTIFS(ORDERS!$C$2:$C$4995,$D3140,ORDERS!$L$2:$L$4995,"Đã chuyển khoản"))</f>
        <v/>
      </c>
      <c r="X3140" s="23">
        <f>IF(OR($D3140="",$R3140="Trùng"),"",SUMIFS(ORDERS!$J$2:$J$4995,ORDERS!$C$2:$C$4995,$D3140,ORDERS!$L$2:$L$4995,"Đã chuyển khoản"))</f>
        <v/>
      </c>
      <c r="Y3140" s="24" t="n"/>
    </row>
    <row r="3141" ht="14.25" customHeight="1" s="40">
      <c r="A3141" s="24" t="n"/>
      <c r="B3141" s="27" t="n"/>
      <c r="C3141" s="24" t="n"/>
      <c r="D3141" s="28" t="n"/>
      <c r="E3141" s="29" t="n"/>
      <c r="F3141" s="24" t="n"/>
      <c r="G3141" s="24" t="n"/>
      <c r="H3141" s="21">
        <f>IF(ISNUMBER($B3141),INT($B3141)-WEEKDAY($B3141,2)+1,"")</f>
        <v/>
      </c>
      <c r="I3141" s="24" t="n"/>
      <c r="J3141" s="22">
        <f t="array" ref="J3141">IF($D3141="","",IF($I3141="","(trống REF)",IFERROR(INDEX(MASTER_SOURCE!$B$2:$B$495,MATCH($I3141,MASTER_SOURCE!$A$2:$A$495,0)),"(REF không có trong MASTER_SOURCE)")))</f>
        <v/>
      </c>
      <c r="K3141" s="22">
        <f t="array" ref="K3141">IF($D3141="","",IFERROR(INDEX(MASTER_SOURCE!$C$2:$C$495,MATCH($I3141,MASTER_SOURCE!$A$2:$A$495,0)),""))</f>
        <v/>
      </c>
      <c r="L3141" s="22">
        <f t="array" ref="L3141">IF($D3141="","",IFERROR(INDEX(MASTER_SOURCE!$D$2:$D$495,MATCH($I3141,MASTER_SOURCE!$A$2:$A$495,0)),""))</f>
        <v/>
      </c>
      <c r="M3141" s="24" t="n"/>
      <c r="N3141" s="24" t="n"/>
      <c r="O3141" s="24" t="n"/>
      <c r="P3141" s="24" t="n"/>
      <c r="Q3141" s="22">
        <f>IF($D3141="","",IF(AND(OR(DANH_MUC!$L$5&lt;&gt;"Có",M3141="Có"),OR(DANH_MUC!$L$6&lt;&gt;"Có",N3141="Có"),OR(DANH_MUC!$L$7&lt;&gt;"Có",O3141="Có"),OR(DANH_MUC!$L$8&lt;&gt;"Có",P3141="Có")),"Có","Không"))</f>
        <v/>
      </c>
      <c r="R3141" s="22">
        <f>IF($D3141="","",IF(COUNTIF($D$2:$D3141,$D3141)&gt;1,"Trùng",""))</f>
        <v/>
      </c>
      <c r="S3141" s="22">
        <f>IF($D3141="","",IF(AND(LEN($D3141)=10,LEFT($D3141,1)="0",ISNUMBER(--$D3141)),"Có","Không"))</f>
        <v/>
      </c>
      <c r="T3141" s="22">
        <f>IF($D3141="","",IF(AND($C3141&lt;&gt;"",$Q3141="Có",$R3141="",$S3141="Có",AND($L3141&lt;&gt;"",OR($L3141&lt;&gt;"Chưa xác định",DANH_MUC!$L$9="Có"))),"Có","Không"))</f>
        <v/>
      </c>
      <c r="U3141" s="22">
        <f>IF(OR($D3141="",$T3141="Có"),"",IF($C3141="","Thiếu họ tên; ","")&amp;IF($S3141&lt;&gt;"Có","SĐT sai định dạng; ","")&amp;IF($R3141="Trùng","Trùng SĐT; ","")&amp;IF($Q3141&lt;&gt;"Có","Thiếu đồng ý bắt buộc; ","")&amp;IF($L3141="","Thiếu/sai Mã REF; ",IF(AND($L3141="Chưa xác định",DANH_MUC!$L$9&lt;&gt;"Có"),"Nguồn chưa xác định; ","")))</f>
        <v/>
      </c>
      <c r="V3141" s="22">
        <f>IF(OR($D3141="",$R3141="Trùng"),"",IF(COUNTIF(ORDERS!$C$2:$C$4995,$D3141)&gt;0,"Có","Không"))</f>
        <v/>
      </c>
      <c r="W3141" s="22">
        <f>IF(OR($D3141="",$R3141="Trùng"),"",COUNTIFS(ORDERS!$C$2:$C$4995,$D3141,ORDERS!$L$2:$L$4995,"Đã chuyển khoản"))</f>
        <v/>
      </c>
      <c r="X3141" s="23">
        <f>IF(OR($D3141="",$R3141="Trùng"),"",SUMIFS(ORDERS!$J$2:$J$4995,ORDERS!$C$2:$C$4995,$D3141,ORDERS!$L$2:$L$4995,"Đã chuyển khoản"))</f>
        <v/>
      </c>
      <c r="Y3141" s="24" t="n"/>
    </row>
    <row r="3142" ht="14.25" customHeight="1" s="40">
      <c r="A3142" s="24" t="n"/>
      <c r="B3142" s="27" t="n"/>
      <c r="C3142" s="24" t="n"/>
      <c r="D3142" s="28" t="n"/>
      <c r="E3142" s="29" t="n"/>
      <c r="F3142" s="24" t="n"/>
      <c r="G3142" s="24" t="n"/>
      <c r="H3142" s="21">
        <f>IF(ISNUMBER($B3142),INT($B3142)-WEEKDAY($B3142,2)+1,"")</f>
        <v/>
      </c>
      <c r="I3142" s="24" t="n"/>
      <c r="J3142" s="22">
        <f t="array" ref="J3142">IF($D3142="","",IF($I3142="","(trống REF)",IFERROR(INDEX(MASTER_SOURCE!$B$2:$B$495,MATCH($I3142,MASTER_SOURCE!$A$2:$A$495,0)),"(REF không có trong MASTER_SOURCE)")))</f>
        <v/>
      </c>
      <c r="K3142" s="22">
        <f t="array" ref="K3142">IF($D3142="","",IFERROR(INDEX(MASTER_SOURCE!$C$2:$C$495,MATCH($I3142,MASTER_SOURCE!$A$2:$A$495,0)),""))</f>
        <v/>
      </c>
      <c r="L3142" s="22">
        <f t="array" ref="L3142">IF($D3142="","",IFERROR(INDEX(MASTER_SOURCE!$D$2:$D$495,MATCH($I3142,MASTER_SOURCE!$A$2:$A$495,0)),""))</f>
        <v/>
      </c>
      <c r="M3142" s="24" t="n"/>
      <c r="N3142" s="24" t="n"/>
      <c r="O3142" s="24" t="n"/>
      <c r="P3142" s="24" t="n"/>
      <c r="Q3142" s="22">
        <f>IF($D3142="","",IF(AND(OR(DANH_MUC!$L$5&lt;&gt;"Có",M3142="Có"),OR(DANH_MUC!$L$6&lt;&gt;"Có",N3142="Có"),OR(DANH_MUC!$L$7&lt;&gt;"Có",O3142="Có"),OR(DANH_MUC!$L$8&lt;&gt;"Có",P3142="Có")),"Có","Không"))</f>
        <v/>
      </c>
      <c r="R3142" s="22">
        <f>IF($D3142="","",IF(COUNTIF($D$2:$D3142,$D3142)&gt;1,"Trùng",""))</f>
        <v/>
      </c>
      <c r="S3142" s="22">
        <f>IF($D3142="","",IF(AND(LEN($D3142)=10,LEFT($D3142,1)="0",ISNUMBER(--$D3142)),"Có","Không"))</f>
        <v/>
      </c>
      <c r="T3142" s="22">
        <f>IF($D3142="","",IF(AND($C3142&lt;&gt;"",$Q3142="Có",$R3142="",$S3142="Có",AND($L3142&lt;&gt;"",OR($L3142&lt;&gt;"Chưa xác định",DANH_MUC!$L$9="Có"))),"Có","Không"))</f>
        <v/>
      </c>
      <c r="U3142" s="22">
        <f>IF(OR($D3142="",$T3142="Có"),"",IF($C3142="","Thiếu họ tên; ","")&amp;IF($S3142&lt;&gt;"Có","SĐT sai định dạng; ","")&amp;IF($R3142="Trùng","Trùng SĐT; ","")&amp;IF($Q3142&lt;&gt;"Có","Thiếu đồng ý bắt buộc; ","")&amp;IF($L3142="","Thiếu/sai Mã REF; ",IF(AND($L3142="Chưa xác định",DANH_MUC!$L$9&lt;&gt;"Có"),"Nguồn chưa xác định; ","")))</f>
        <v/>
      </c>
      <c r="V3142" s="22">
        <f>IF(OR($D3142="",$R3142="Trùng"),"",IF(COUNTIF(ORDERS!$C$2:$C$4995,$D3142)&gt;0,"Có","Không"))</f>
        <v/>
      </c>
      <c r="W3142" s="22">
        <f>IF(OR($D3142="",$R3142="Trùng"),"",COUNTIFS(ORDERS!$C$2:$C$4995,$D3142,ORDERS!$L$2:$L$4995,"Đã chuyển khoản"))</f>
        <v/>
      </c>
      <c r="X3142" s="23">
        <f>IF(OR($D3142="",$R3142="Trùng"),"",SUMIFS(ORDERS!$J$2:$J$4995,ORDERS!$C$2:$C$4995,$D3142,ORDERS!$L$2:$L$4995,"Đã chuyển khoản"))</f>
        <v/>
      </c>
      <c r="Y3142" s="24" t="n"/>
    </row>
    <row r="3143" ht="14.25" customHeight="1" s="40">
      <c r="A3143" s="24" t="n"/>
      <c r="B3143" s="27" t="n"/>
      <c r="C3143" s="24" t="n"/>
      <c r="D3143" s="28" t="n"/>
      <c r="E3143" s="29" t="n"/>
      <c r="F3143" s="24" t="n"/>
      <c r="G3143" s="24" t="n"/>
      <c r="H3143" s="21">
        <f>IF(ISNUMBER($B3143),INT($B3143)-WEEKDAY($B3143,2)+1,"")</f>
        <v/>
      </c>
      <c r="I3143" s="24" t="n"/>
      <c r="J3143" s="22">
        <f t="array" ref="J3143">IF($D3143="","",IF($I3143="","(trống REF)",IFERROR(INDEX(MASTER_SOURCE!$B$2:$B$495,MATCH($I3143,MASTER_SOURCE!$A$2:$A$495,0)),"(REF không có trong MASTER_SOURCE)")))</f>
        <v/>
      </c>
      <c r="K3143" s="22">
        <f t="array" ref="K3143">IF($D3143="","",IFERROR(INDEX(MASTER_SOURCE!$C$2:$C$495,MATCH($I3143,MASTER_SOURCE!$A$2:$A$495,0)),""))</f>
        <v/>
      </c>
      <c r="L3143" s="22">
        <f t="array" ref="L3143">IF($D3143="","",IFERROR(INDEX(MASTER_SOURCE!$D$2:$D$495,MATCH($I3143,MASTER_SOURCE!$A$2:$A$495,0)),""))</f>
        <v/>
      </c>
      <c r="M3143" s="24" t="n"/>
      <c r="N3143" s="24" t="n"/>
      <c r="O3143" s="24" t="n"/>
      <c r="P3143" s="24" t="n"/>
      <c r="Q3143" s="22">
        <f>IF($D3143="","",IF(AND(OR(DANH_MUC!$L$5&lt;&gt;"Có",M3143="Có"),OR(DANH_MUC!$L$6&lt;&gt;"Có",N3143="Có"),OR(DANH_MUC!$L$7&lt;&gt;"Có",O3143="Có"),OR(DANH_MUC!$L$8&lt;&gt;"Có",P3143="Có")),"Có","Không"))</f>
        <v/>
      </c>
      <c r="R3143" s="22">
        <f>IF($D3143="","",IF(COUNTIF($D$2:$D3143,$D3143)&gt;1,"Trùng",""))</f>
        <v/>
      </c>
      <c r="S3143" s="22">
        <f>IF($D3143="","",IF(AND(LEN($D3143)=10,LEFT($D3143,1)="0",ISNUMBER(--$D3143)),"Có","Không"))</f>
        <v/>
      </c>
      <c r="T3143" s="22">
        <f>IF($D3143="","",IF(AND($C3143&lt;&gt;"",$Q3143="Có",$R3143="",$S3143="Có",AND($L3143&lt;&gt;"",OR($L3143&lt;&gt;"Chưa xác định",DANH_MUC!$L$9="Có"))),"Có","Không"))</f>
        <v/>
      </c>
      <c r="U3143" s="22">
        <f>IF(OR($D3143="",$T3143="Có"),"",IF($C3143="","Thiếu họ tên; ","")&amp;IF($S3143&lt;&gt;"Có","SĐT sai định dạng; ","")&amp;IF($R3143="Trùng","Trùng SĐT; ","")&amp;IF($Q3143&lt;&gt;"Có","Thiếu đồng ý bắt buộc; ","")&amp;IF($L3143="","Thiếu/sai Mã REF; ",IF(AND($L3143="Chưa xác định",DANH_MUC!$L$9&lt;&gt;"Có"),"Nguồn chưa xác định; ","")))</f>
        <v/>
      </c>
      <c r="V3143" s="22">
        <f>IF(OR($D3143="",$R3143="Trùng"),"",IF(COUNTIF(ORDERS!$C$2:$C$4995,$D3143)&gt;0,"Có","Không"))</f>
        <v/>
      </c>
      <c r="W3143" s="22">
        <f>IF(OR($D3143="",$R3143="Trùng"),"",COUNTIFS(ORDERS!$C$2:$C$4995,$D3143,ORDERS!$L$2:$L$4995,"Đã chuyển khoản"))</f>
        <v/>
      </c>
      <c r="X3143" s="23">
        <f>IF(OR($D3143="",$R3143="Trùng"),"",SUMIFS(ORDERS!$J$2:$J$4995,ORDERS!$C$2:$C$4995,$D3143,ORDERS!$L$2:$L$4995,"Đã chuyển khoản"))</f>
        <v/>
      </c>
      <c r="Y3143" s="24" t="n"/>
    </row>
    <row r="3144" ht="14.25" customHeight="1" s="40">
      <c r="A3144" s="24" t="n"/>
      <c r="B3144" s="27" t="n"/>
      <c r="C3144" s="24" t="n"/>
      <c r="D3144" s="28" t="n"/>
      <c r="E3144" s="29" t="n"/>
      <c r="F3144" s="24" t="n"/>
      <c r="G3144" s="24" t="n"/>
      <c r="H3144" s="21">
        <f>IF(ISNUMBER($B3144),INT($B3144)-WEEKDAY($B3144,2)+1,"")</f>
        <v/>
      </c>
      <c r="I3144" s="24" t="n"/>
      <c r="J3144" s="22">
        <f t="array" ref="J3144">IF($D3144="","",IF($I3144="","(trống REF)",IFERROR(INDEX(MASTER_SOURCE!$B$2:$B$495,MATCH($I3144,MASTER_SOURCE!$A$2:$A$495,0)),"(REF không có trong MASTER_SOURCE)")))</f>
        <v/>
      </c>
      <c r="K3144" s="22">
        <f t="array" ref="K3144">IF($D3144="","",IFERROR(INDEX(MASTER_SOURCE!$C$2:$C$495,MATCH($I3144,MASTER_SOURCE!$A$2:$A$495,0)),""))</f>
        <v/>
      </c>
      <c r="L3144" s="22">
        <f t="array" ref="L3144">IF($D3144="","",IFERROR(INDEX(MASTER_SOURCE!$D$2:$D$495,MATCH($I3144,MASTER_SOURCE!$A$2:$A$495,0)),""))</f>
        <v/>
      </c>
      <c r="M3144" s="24" t="n"/>
      <c r="N3144" s="24" t="n"/>
      <c r="O3144" s="24" t="n"/>
      <c r="P3144" s="24" t="n"/>
      <c r="Q3144" s="22">
        <f>IF($D3144="","",IF(AND(OR(DANH_MUC!$L$5&lt;&gt;"Có",M3144="Có"),OR(DANH_MUC!$L$6&lt;&gt;"Có",N3144="Có"),OR(DANH_MUC!$L$7&lt;&gt;"Có",O3144="Có"),OR(DANH_MUC!$L$8&lt;&gt;"Có",P3144="Có")),"Có","Không"))</f>
        <v/>
      </c>
      <c r="R3144" s="22">
        <f>IF($D3144="","",IF(COUNTIF($D$2:$D3144,$D3144)&gt;1,"Trùng",""))</f>
        <v/>
      </c>
      <c r="S3144" s="22">
        <f>IF($D3144="","",IF(AND(LEN($D3144)=10,LEFT($D3144,1)="0",ISNUMBER(--$D3144)),"Có","Không"))</f>
        <v/>
      </c>
      <c r="T3144" s="22">
        <f>IF($D3144="","",IF(AND($C3144&lt;&gt;"",$Q3144="Có",$R3144="",$S3144="Có",AND($L3144&lt;&gt;"",OR($L3144&lt;&gt;"Chưa xác định",DANH_MUC!$L$9="Có"))),"Có","Không"))</f>
        <v/>
      </c>
      <c r="U3144" s="22">
        <f>IF(OR($D3144="",$T3144="Có"),"",IF($C3144="","Thiếu họ tên; ","")&amp;IF($S3144&lt;&gt;"Có","SĐT sai định dạng; ","")&amp;IF($R3144="Trùng","Trùng SĐT; ","")&amp;IF($Q3144&lt;&gt;"Có","Thiếu đồng ý bắt buộc; ","")&amp;IF($L3144="","Thiếu/sai Mã REF; ",IF(AND($L3144="Chưa xác định",DANH_MUC!$L$9&lt;&gt;"Có"),"Nguồn chưa xác định; ","")))</f>
        <v/>
      </c>
      <c r="V3144" s="22">
        <f>IF(OR($D3144="",$R3144="Trùng"),"",IF(COUNTIF(ORDERS!$C$2:$C$4995,$D3144)&gt;0,"Có","Không"))</f>
        <v/>
      </c>
      <c r="W3144" s="22">
        <f>IF(OR($D3144="",$R3144="Trùng"),"",COUNTIFS(ORDERS!$C$2:$C$4995,$D3144,ORDERS!$L$2:$L$4995,"Đã chuyển khoản"))</f>
        <v/>
      </c>
      <c r="X3144" s="23">
        <f>IF(OR($D3144="",$R3144="Trùng"),"",SUMIFS(ORDERS!$J$2:$J$4995,ORDERS!$C$2:$C$4995,$D3144,ORDERS!$L$2:$L$4995,"Đã chuyển khoản"))</f>
        <v/>
      </c>
      <c r="Y3144" s="24" t="n"/>
    </row>
    <row r="3145" ht="14.25" customHeight="1" s="40">
      <c r="A3145" s="24" t="n"/>
      <c r="B3145" s="27" t="n"/>
      <c r="C3145" s="24" t="n"/>
      <c r="D3145" s="28" t="n"/>
      <c r="E3145" s="29" t="n"/>
      <c r="F3145" s="24" t="n"/>
      <c r="G3145" s="24" t="n"/>
      <c r="H3145" s="21">
        <f>IF(ISNUMBER($B3145),INT($B3145)-WEEKDAY($B3145,2)+1,"")</f>
        <v/>
      </c>
      <c r="I3145" s="24" t="n"/>
      <c r="J3145" s="22">
        <f t="array" ref="J3145">IF($D3145="","",IF($I3145="","(trống REF)",IFERROR(INDEX(MASTER_SOURCE!$B$2:$B$495,MATCH($I3145,MASTER_SOURCE!$A$2:$A$495,0)),"(REF không có trong MASTER_SOURCE)")))</f>
        <v/>
      </c>
      <c r="K3145" s="22">
        <f t="array" ref="K3145">IF($D3145="","",IFERROR(INDEX(MASTER_SOURCE!$C$2:$C$495,MATCH($I3145,MASTER_SOURCE!$A$2:$A$495,0)),""))</f>
        <v/>
      </c>
      <c r="L3145" s="22">
        <f t="array" ref="L3145">IF($D3145="","",IFERROR(INDEX(MASTER_SOURCE!$D$2:$D$495,MATCH($I3145,MASTER_SOURCE!$A$2:$A$495,0)),""))</f>
        <v/>
      </c>
      <c r="M3145" s="24" t="n"/>
      <c r="N3145" s="24" t="n"/>
      <c r="O3145" s="24" t="n"/>
      <c r="P3145" s="24" t="n"/>
      <c r="Q3145" s="22">
        <f>IF($D3145="","",IF(AND(OR(DANH_MUC!$L$5&lt;&gt;"Có",M3145="Có"),OR(DANH_MUC!$L$6&lt;&gt;"Có",N3145="Có"),OR(DANH_MUC!$L$7&lt;&gt;"Có",O3145="Có"),OR(DANH_MUC!$L$8&lt;&gt;"Có",P3145="Có")),"Có","Không"))</f>
        <v/>
      </c>
      <c r="R3145" s="22">
        <f>IF($D3145="","",IF(COUNTIF($D$2:$D3145,$D3145)&gt;1,"Trùng",""))</f>
        <v/>
      </c>
      <c r="S3145" s="22">
        <f>IF($D3145="","",IF(AND(LEN($D3145)=10,LEFT($D3145,1)="0",ISNUMBER(--$D3145)),"Có","Không"))</f>
        <v/>
      </c>
      <c r="T3145" s="22">
        <f>IF($D3145="","",IF(AND($C3145&lt;&gt;"",$Q3145="Có",$R3145="",$S3145="Có",AND($L3145&lt;&gt;"",OR($L3145&lt;&gt;"Chưa xác định",DANH_MUC!$L$9="Có"))),"Có","Không"))</f>
        <v/>
      </c>
      <c r="U3145" s="22">
        <f>IF(OR($D3145="",$T3145="Có"),"",IF($C3145="","Thiếu họ tên; ","")&amp;IF($S3145&lt;&gt;"Có","SĐT sai định dạng; ","")&amp;IF($R3145="Trùng","Trùng SĐT; ","")&amp;IF($Q3145&lt;&gt;"Có","Thiếu đồng ý bắt buộc; ","")&amp;IF($L3145="","Thiếu/sai Mã REF; ",IF(AND($L3145="Chưa xác định",DANH_MUC!$L$9&lt;&gt;"Có"),"Nguồn chưa xác định; ","")))</f>
        <v/>
      </c>
      <c r="V3145" s="22">
        <f>IF(OR($D3145="",$R3145="Trùng"),"",IF(COUNTIF(ORDERS!$C$2:$C$4995,$D3145)&gt;0,"Có","Không"))</f>
        <v/>
      </c>
      <c r="W3145" s="22">
        <f>IF(OR($D3145="",$R3145="Trùng"),"",COUNTIFS(ORDERS!$C$2:$C$4995,$D3145,ORDERS!$L$2:$L$4995,"Đã chuyển khoản"))</f>
        <v/>
      </c>
      <c r="X3145" s="23">
        <f>IF(OR($D3145="",$R3145="Trùng"),"",SUMIFS(ORDERS!$J$2:$J$4995,ORDERS!$C$2:$C$4995,$D3145,ORDERS!$L$2:$L$4995,"Đã chuyển khoản"))</f>
        <v/>
      </c>
      <c r="Y3145" s="24" t="n"/>
    </row>
    <row r="3146" ht="14.25" customHeight="1" s="40">
      <c r="A3146" s="24" t="n"/>
      <c r="B3146" s="27" t="n"/>
      <c r="C3146" s="24" t="n"/>
      <c r="D3146" s="28" t="n"/>
      <c r="E3146" s="29" t="n"/>
      <c r="F3146" s="24" t="n"/>
      <c r="G3146" s="24" t="n"/>
      <c r="H3146" s="21">
        <f>IF(ISNUMBER($B3146),INT($B3146)-WEEKDAY($B3146,2)+1,"")</f>
        <v/>
      </c>
      <c r="I3146" s="24" t="n"/>
      <c r="J3146" s="22">
        <f t="array" ref="J3146">IF($D3146="","",IF($I3146="","(trống REF)",IFERROR(INDEX(MASTER_SOURCE!$B$2:$B$495,MATCH($I3146,MASTER_SOURCE!$A$2:$A$495,0)),"(REF không có trong MASTER_SOURCE)")))</f>
        <v/>
      </c>
      <c r="K3146" s="22">
        <f t="array" ref="K3146">IF($D3146="","",IFERROR(INDEX(MASTER_SOURCE!$C$2:$C$495,MATCH($I3146,MASTER_SOURCE!$A$2:$A$495,0)),""))</f>
        <v/>
      </c>
      <c r="L3146" s="22">
        <f t="array" ref="L3146">IF($D3146="","",IFERROR(INDEX(MASTER_SOURCE!$D$2:$D$495,MATCH($I3146,MASTER_SOURCE!$A$2:$A$495,0)),""))</f>
        <v/>
      </c>
      <c r="M3146" s="24" t="n"/>
      <c r="N3146" s="24" t="n"/>
      <c r="O3146" s="24" t="n"/>
      <c r="P3146" s="24" t="n"/>
      <c r="Q3146" s="22">
        <f>IF($D3146="","",IF(AND(OR(DANH_MUC!$L$5&lt;&gt;"Có",M3146="Có"),OR(DANH_MUC!$L$6&lt;&gt;"Có",N3146="Có"),OR(DANH_MUC!$L$7&lt;&gt;"Có",O3146="Có"),OR(DANH_MUC!$L$8&lt;&gt;"Có",P3146="Có")),"Có","Không"))</f>
        <v/>
      </c>
      <c r="R3146" s="22">
        <f>IF($D3146="","",IF(COUNTIF($D$2:$D3146,$D3146)&gt;1,"Trùng",""))</f>
        <v/>
      </c>
      <c r="S3146" s="22">
        <f>IF($D3146="","",IF(AND(LEN($D3146)=10,LEFT($D3146,1)="0",ISNUMBER(--$D3146)),"Có","Không"))</f>
        <v/>
      </c>
      <c r="T3146" s="22">
        <f>IF($D3146="","",IF(AND($C3146&lt;&gt;"",$Q3146="Có",$R3146="",$S3146="Có",AND($L3146&lt;&gt;"",OR($L3146&lt;&gt;"Chưa xác định",DANH_MUC!$L$9="Có"))),"Có","Không"))</f>
        <v/>
      </c>
      <c r="U3146" s="22">
        <f>IF(OR($D3146="",$T3146="Có"),"",IF($C3146="","Thiếu họ tên; ","")&amp;IF($S3146&lt;&gt;"Có","SĐT sai định dạng; ","")&amp;IF($R3146="Trùng","Trùng SĐT; ","")&amp;IF($Q3146&lt;&gt;"Có","Thiếu đồng ý bắt buộc; ","")&amp;IF($L3146="","Thiếu/sai Mã REF; ",IF(AND($L3146="Chưa xác định",DANH_MUC!$L$9&lt;&gt;"Có"),"Nguồn chưa xác định; ","")))</f>
        <v/>
      </c>
      <c r="V3146" s="22">
        <f>IF(OR($D3146="",$R3146="Trùng"),"",IF(COUNTIF(ORDERS!$C$2:$C$4995,$D3146)&gt;0,"Có","Không"))</f>
        <v/>
      </c>
      <c r="W3146" s="22">
        <f>IF(OR($D3146="",$R3146="Trùng"),"",COUNTIFS(ORDERS!$C$2:$C$4995,$D3146,ORDERS!$L$2:$L$4995,"Đã chuyển khoản"))</f>
        <v/>
      </c>
      <c r="X3146" s="23">
        <f>IF(OR($D3146="",$R3146="Trùng"),"",SUMIFS(ORDERS!$J$2:$J$4995,ORDERS!$C$2:$C$4995,$D3146,ORDERS!$L$2:$L$4995,"Đã chuyển khoản"))</f>
        <v/>
      </c>
      <c r="Y3146" s="24" t="n"/>
    </row>
    <row r="3147" ht="14.25" customHeight="1" s="40">
      <c r="A3147" s="24" t="n"/>
      <c r="B3147" s="27" t="n"/>
      <c r="C3147" s="24" t="n"/>
      <c r="D3147" s="28" t="n"/>
      <c r="E3147" s="29" t="n"/>
      <c r="F3147" s="24" t="n"/>
      <c r="G3147" s="24" t="n"/>
      <c r="H3147" s="21">
        <f>IF(ISNUMBER($B3147),INT($B3147)-WEEKDAY($B3147,2)+1,"")</f>
        <v/>
      </c>
      <c r="I3147" s="24" t="n"/>
      <c r="J3147" s="22">
        <f t="array" ref="J3147">IF($D3147="","",IF($I3147="","(trống REF)",IFERROR(INDEX(MASTER_SOURCE!$B$2:$B$495,MATCH($I3147,MASTER_SOURCE!$A$2:$A$495,0)),"(REF không có trong MASTER_SOURCE)")))</f>
        <v/>
      </c>
      <c r="K3147" s="22">
        <f t="array" ref="K3147">IF($D3147="","",IFERROR(INDEX(MASTER_SOURCE!$C$2:$C$495,MATCH($I3147,MASTER_SOURCE!$A$2:$A$495,0)),""))</f>
        <v/>
      </c>
      <c r="L3147" s="22">
        <f t="array" ref="L3147">IF($D3147="","",IFERROR(INDEX(MASTER_SOURCE!$D$2:$D$495,MATCH($I3147,MASTER_SOURCE!$A$2:$A$495,0)),""))</f>
        <v/>
      </c>
      <c r="M3147" s="24" t="n"/>
      <c r="N3147" s="24" t="n"/>
      <c r="O3147" s="24" t="n"/>
      <c r="P3147" s="24" t="n"/>
      <c r="Q3147" s="22">
        <f>IF($D3147="","",IF(AND(OR(DANH_MUC!$L$5&lt;&gt;"Có",M3147="Có"),OR(DANH_MUC!$L$6&lt;&gt;"Có",N3147="Có"),OR(DANH_MUC!$L$7&lt;&gt;"Có",O3147="Có"),OR(DANH_MUC!$L$8&lt;&gt;"Có",P3147="Có")),"Có","Không"))</f>
        <v/>
      </c>
      <c r="R3147" s="22">
        <f>IF($D3147="","",IF(COUNTIF($D$2:$D3147,$D3147)&gt;1,"Trùng",""))</f>
        <v/>
      </c>
      <c r="S3147" s="22">
        <f>IF($D3147="","",IF(AND(LEN($D3147)=10,LEFT($D3147,1)="0",ISNUMBER(--$D3147)),"Có","Không"))</f>
        <v/>
      </c>
      <c r="T3147" s="22">
        <f>IF($D3147="","",IF(AND($C3147&lt;&gt;"",$Q3147="Có",$R3147="",$S3147="Có",AND($L3147&lt;&gt;"",OR($L3147&lt;&gt;"Chưa xác định",DANH_MUC!$L$9="Có"))),"Có","Không"))</f>
        <v/>
      </c>
      <c r="U3147" s="22">
        <f>IF(OR($D3147="",$T3147="Có"),"",IF($C3147="","Thiếu họ tên; ","")&amp;IF($S3147&lt;&gt;"Có","SĐT sai định dạng; ","")&amp;IF($R3147="Trùng","Trùng SĐT; ","")&amp;IF($Q3147&lt;&gt;"Có","Thiếu đồng ý bắt buộc; ","")&amp;IF($L3147="","Thiếu/sai Mã REF; ",IF(AND($L3147="Chưa xác định",DANH_MUC!$L$9&lt;&gt;"Có"),"Nguồn chưa xác định; ","")))</f>
        <v/>
      </c>
      <c r="V3147" s="22">
        <f>IF(OR($D3147="",$R3147="Trùng"),"",IF(COUNTIF(ORDERS!$C$2:$C$4995,$D3147)&gt;0,"Có","Không"))</f>
        <v/>
      </c>
      <c r="W3147" s="22">
        <f>IF(OR($D3147="",$R3147="Trùng"),"",COUNTIFS(ORDERS!$C$2:$C$4995,$D3147,ORDERS!$L$2:$L$4995,"Đã chuyển khoản"))</f>
        <v/>
      </c>
      <c r="X3147" s="23">
        <f>IF(OR($D3147="",$R3147="Trùng"),"",SUMIFS(ORDERS!$J$2:$J$4995,ORDERS!$C$2:$C$4995,$D3147,ORDERS!$L$2:$L$4995,"Đã chuyển khoản"))</f>
        <v/>
      </c>
      <c r="Y3147" s="24" t="n"/>
    </row>
    <row r="3148" ht="14.25" customHeight="1" s="40">
      <c r="A3148" s="24" t="n"/>
      <c r="B3148" s="27" t="n"/>
      <c r="C3148" s="24" t="n"/>
      <c r="D3148" s="28" t="n"/>
      <c r="E3148" s="29" t="n"/>
      <c r="F3148" s="24" t="n"/>
      <c r="G3148" s="24" t="n"/>
      <c r="H3148" s="21">
        <f>IF(ISNUMBER($B3148),INT($B3148)-WEEKDAY($B3148,2)+1,"")</f>
        <v/>
      </c>
      <c r="I3148" s="24" t="n"/>
      <c r="J3148" s="22">
        <f t="array" ref="J3148">IF($D3148="","",IF($I3148="","(trống REF)",IFERROR(INDEX(MASTER_SOURCE!$B$2:$B$495,MATCH($I3148,MASTER_SOURCE!$A$2:$A$495,0)),"(REF không có trong MASTER_SOURCE)")))</f>
        <v/>
      </c>
      <c r="K3148" s="22">
        <f t="array" ref="K3148">IF($D3148="","",IFERROR(INDEX(MASTER_SOURCE!$C$2:$C$495,MATCH($I3148,MASTER_SOURCE!$A$2:$A$495,0)),""))</f>
        <v/>
      </c>
      <c r="L3148" s="22">
        <f t="array" ref="L3148">IF($D3148="","",IFERROR(INDEX(MASTER_SOURCE!$D$2:$D$495,MATCH($I3148,MASTER_SOURCE!$A$2:$A$495,0)),""))</f>
        <v/>
      </c>
      <c r="M3148" s="24" t="n"/>
      <c r="N3148" s="24" t="n"/>
      <c r="O3148" s="24" t="n"/>
      <c r="P3148" s="24" t="n"/>
      <c r="Q3148" s="22">
        <f>IF($D3148="","",IF(AND(OR(DANH_MUC!$L$5&lt;&gt;"Có",M3148="Có"),OR(DANH_MUC!$L$6&lt;&gt;"Có",N3148="Có"),OR(DANH_MUC!$L$7&lt;&gt;"Có",O3148="Có"),OR(DANH_MUC!$L$8&lt;&gt;"Có",P3148="Có")),"Có","Không"))</f>
        <v/>
      </c>
      <c r="R3148" s="22">
        <f>IF($D3148="","",IF(COUNTIF($D$2:$D3148,$D3148)&gt;1,"Trùng",""))</f>
        <v/>
      </c>
      <c r="S3148" s="22">
        <f>IF($D3148="","",IF(AND(LEN($D3148)=10,LEFT($D3148,1)="0",ISNUMBER(--$D3148)),"Có","Không"))</f>
        <v/>
      </c>
      <c r="T3148" s="22">
        <f>IF($D3148="","",IF(AND($C3148&lt;&gt;"",$Q3148="Có",$R3148="",$S3148="Có",AND($L3148&lt;&gt;"",OR($L3148&lt;&gt;"Chưa xác định",DANH_MUC!$L$9="Có"))),"Có","Không"))</f>
        <v/>
      </c>
      <c r="U3148" s="22">
        <f>IF(OR($D3148="",$T3148="Có"),"",IF($C3148="","Thiếu họ tên; ","")&amp;IF($S3148&lt;&gt;"Có","SĐT sai định dạng; ","")&amp;IF($R3148="Trùng","Trùng SĐT; ","")&amp;IF($Q3148&lt;&gt;"Có","Thiếu đồng ý bắt buộc; ","")&amp;IF($L3148="","Thiếu/sai Mã REF; ",IF(AND($L3148="Chưa xác định",DANH_MUC!$L$9&lt;&gt;"Có"),"Nguồn chưa xác định; ","")))</f>
        <v/>
      </c>
      <c r="V3148" s="22">
        <f>IF(OR($D3148="",$R3148="Trùng"),"",IF(COUNTIF(ORDERS!$C$2:$C$4995,$D3148)&gt;0,"Có","Không"))</f>
        <v/>
      </c>
      <c r="W3148" s="22">
        <f>IF(OR($D3148="",$R3148="Trùng"),"",COUNTIFS(ORDERS!$C$2:$C$4995,$D3148,ORDERS!$L$2:$L$4995,"Đã chuyển khoản"))</f>
        <v/>
      </c>
      <c r="X3148" s="23">
        <f>IF(OR($D3148="",$R3148="Trùng"),"",SUMIFS(ORDERS!$J$2:$J$4995,ORDERS!$C$2:$C$4995,$D3148,ORDERS!$L$2:$L$4995,"Đã chuyển khoản"))</f>
        <v/>
      </c>
      <c r="Y3148" s="24" t="n"/>
    </row>
    <row r="3149" ht="14.25" customHeight="1" s="40">
      <c r="A3149" s="24" t="n"/>
      <c r="B3149" s="27" t="n"/>
      <c r="C3149" s="24" t="n"/>
      <c r="D3149" s="28" t="n"/>
      <c r="E3149" s="29" t="n"/>
      <c r="F3149" s="24" t="n"/>
      <c r="G3149" s="24" t="n"/>
      <c r="H3149" s="21">
        <f>IF(ISNUMBER($B3149),INT($B3149)-WEEKDAY($B3149,2)+1,"")</f>
        <v/>
      </c>
      <c r="I3149" s="24" t="n"/>
      <c r="J3149" s="22">
        <f t="array" ref="J3149">IF($D3149="","",IF($I3149="","(trống REF)",IFERROR(INDEX(MASTER_SOURCE!$B$2:$B$495,MATCH($I3149,MASTER_SOURCE!$A$2:$A$495,0)),"(REF không có trong MASTER_SOURCE)")))</f>
        <v/>
      </c>
      <c r="K3149" s="22">
        <f t="array" ref="K3149">IF($D3149="","",IFERROR(INDEX(MASTER_SOURCE!$C$2:$C$495,MATCH($I3149,MASTER_SOURCE!$A$2:$A$495,0)),""))</f>
        <v/>
      </c>
      <c r="L3149" s="22">
        <f t="array" ref="L3149">IF($D3149="","",IFERROR(INDEX(MASTER_SOURCE!$D$2:$D$495,MATCH($I3149,MASTER_SOURCE!$A$2:$A$495,0)),""))</f>
        <v/>
      </c>
      <c r="M3149" s="24" t="n"/>
      <c r="N3149" s="24" t="n"/>
      <c r="O3149" s="24" t="n"/>
      <c r="P3149" s="24" t="n"/>
      <c r="Q3149" s="22">
        <f>IF($D3149="","",IF(AND(OR(DANH_MUC!$L$5&lt;&gt;"Có",M3149="Có"),OR(DANH_MUC!$L$6&lt;&gt;"Có",N3149="Có"),OR(DANH_MUC!$L$7&lt;&gt;"Có",O3149="Có"),OR(DANH_MUC!$L$8&lt;&gt;"Có",P3149="Có")),"Có","Không"))</f>
        <v/>
      </c>
      <c r="R3149" s="22">
        <f>IF($D3149="","",IF(COUNTIF($D$2:$D3149,$D3149)&gt;1,"Trùng",""))</f>
        <v/>
      </c>
      <c r="S3149" s="22">
        <f>IF($D3149="","",IF(AND(LEN($D3149)=10,LEFT($D3149,1)="0",ISNUMBER(--$D3149)),"Có","Không"))</f>
        <v/>
      </c>
      <c r="T3149" s="22">
        <f>IF($D3149="","",IF(AND($C3149&lt;&gt;"",$Q3149="Có",$R3149="",$S3149="Có",AND($L3149&lt;&gt;"",OR($L3149&lt;&gt;"Chưa xác định",DANH_MUC!$L$9="Có"))),"Có","Không"))</f>
        <v/>
      </c>
      <c r="U3149" s="22">
        <f>IF(OR($D3149="",$T3149="Có"),"",IF($C3149="","Thiếu họ tên; ","")&amp;IF($S3149&lt;&gt;"Có","SĐT sai định dạng; ","")&amp;IF($R3149="Trùng","Trùng SĐT; ","")&amp;IF($Q3149&lt;&gt;"Có","Thiếu đồng ý bắt buộc; ","")&amp;IF($L3149="","Thiếu/sai Mã REF; ",IF(AND($L3149="Chưa xác định",DANH_MUC!$L$9&lt;&gt;"Có"),"Nguồn chưa xác định; ","")))</f>
        <v/>
      </c>
      <c r="V3149" s="22">
        <f>IF(OR($D3149="",$R3149="Trùng"),"",IF(COUNTIF(ORDERS!$C$2:$C$4995,$D3149)&gt;0,"Có","Không"))</f>
        <v/>
      </c>
      <c r="W3149" s="22">
        <f>IF(OR($D3149="",$R3149="Trùng"),"",COUNTIFS(ORDERS!$C$2:$C$4995,$D3149,ORDERS!$L$2:$L$4995,"Đã chuyển khoản"))</f>
        <v/>
      </c>
      <c r="X3149" s="23">
        <f>IF(OR($D3149="",$R3149="Trùng"),"",SUMIFS(ORDERS!$J$2:$J$4995,ORDERS!$C$2:$C$4995,$D3149,ORDERS!$L$2:$L$4995,"Đã chuyển khoản"))</f>
        <v/>
      </c>
      <c r="Y3149" s="24" t="n"/>
    </row>
    <row r="3150" ht="14.25" customHeight="1" s="40">
      <c r="A3150" s="24" t="n"/>
      <c r="B3150" s="27" t="n"/>
      <c r="C3150" s="24" t="n"/>
      <c r="D3150" s="28" t="n"/>
      <c r="E3150" s="29" t="n"/>
      <c r="F3150" s="24" t="n"/>
      <c r="G3150" s="24" t="n"/>
      <c r="H3150" s="21">
        <f>IF(ISNUMBER($B3150),INT($B3150)-WEEKDAY($B3150,2)+1,"")</f>
        <v/>
      </c>
      <c r="I3150" s="24" t="n"/>
      <c r="J3150" s="22">
        <f t="array" ref="J3150">IF($D3150="","",IF($I3150="","(trống REF)",IFERROR(INDEX(MASTER_SOURCE!$B$2:$B$495,MATCH($I3150,MASTER_SOURCE!$A$2:$A$495,0)),"(REF không có trong MASTER_SOURCE)")))</f>
        <v/>
      </c>
      <c r="K3150" s="22">
        <f t="array" ref="K3150">IF($D3150="","",IFERROR(INDEX(MASTER_SOURCE!$C$2:$C$495,MATCH($I3150,MASTER_SOURCE!$A$2:$A$495,0)),""))</f>
        <v/>
      </c>
      <c r="L3150" s="22">
        <f t="array" ref="L3150">IF($D3150="","",IFERROR(INDEX(MASTER_SOURCE!$D$2:$D$495,MATCH($I3150,MASTER_SOURCE!$A$2:$A$495,0)),""))</f>
        <v/>
      </c>
      <c r="M3150" s="24" t="n"/>
      <c r="N3150" s="24" t="n"/>
      <c r="O3150" s="24" t="n"/>
      <c r="P3150" s="24" t="n"/>
      <c r="Q3150" s="22">
        <f>IF($D3150="","",IF(AND(OR(DANH_MUC!$L$5&lt;&gt;"Có",M3150="Có"),OR(DANH_MUC!$L$6&lt;&gt;"Có",N3150="Có"),OR(DANH_MUC!$L$7&lt;&gt;"Có",O3150="Có"),OR(DANH_MUC!$L$8&lt;&gt;"Có",P3150="Có")),"Có","Không"))</f>
        <v/>
      </c>
      <c r="R3150" s="22">
        <f>IF($D3150="","",IF(COUNTIF($D$2:$D3150,$D3150)&gt;1,"Trùng",""))</f>
        <v/>
      </c>
      <c r="S3150" s="22">
        <f>IF($D3150="","",IF(AND(LEN($D3150)=10,LEFT($D3150,1)="0",ISNUMBER(--$D3150)),"Có","Không"))</f>
        <v/>
      </c>
      <c r="T3150" s="22">
        <f>IF($D3150="","",IF(AND($C3150&lt;&gt;"",$Q3150="Có",$R3150="",$S3150="Có",AND($L3150&lt;&gt;"",OR($L3150&lt;&gt;"Chưa xác định",DANH_MUC!$L$9="Có"))),"Có","Không"))</f>
        <v/>
      </c>
      <c r="U3150" s="22">
        <f>IF(OR($D3150="",$T3150="Có"),"",IF($C3150="","Thiếu họ tên; ","")&amp;IF($S3150&lt;&gt;"Có","SĐT sai định dạng; ","")&amp;IF($R3150="Trùng","Trùng SĐT; ","")&amp;IF($Q3150&lt;&gt;"Có","Thiếu đồng ý bắt buộc; ","")&amp;IF($L3150="","Thiếu/sai Mã REF; ",IF(AND($L3150="Chưa xác định",DANH_MUC!$L$9&lt;&gt;"Có"),"Nguồn chưa xác định; ","")))</f>
        <v/>
      </c>
      <c r="V3150" s="22">
        <f>IF(OR($D3150="",$R3150="Trùng"),"",IF(COUNTIF(ORDERS!$C$2:$C$4995,$D3150)&gt;0,"Có","Không"))</f>
        <v/>
      </c>
      <c r="W3150" s="22">
        <f>IF(OR($D3150="",$R3150="Trùng"),"",COUNTIFS(ORDERS!$C$2:$C$4995,$D3150,ORDERS!$L$2:$L$4995,"Đã chuyển khoản"))</f>
        <v/>
      </c>
      <c r="X3150" s="23">
        <f>IF(OR($D3150="",$R3150="Trùng"),"",SUMIFS(ORDERS!$J$2:$J$4995,ORDERS!$C$2:$C$4995,$D3150,ORDERS!$L$2:$L$4995,"Đã chuyển khoản"))</f>
        <v/>
      </c>
      <c r="Y3150" s="24" t="n"/>
    </row>
    <row r="3151" ht="14.25" customHeight="1" s="40">
      <c r="A3151" s="24" t="n"/>
      <c r="B3151" s="27" t="n"/>
      <c r="C3151" s="24" t="n"/>
      <c r="D3151" s="28" t="n"/>
      <c r="E3151" s="29" t="n"/>
      <c r="F3151" s="24" t="n"/>
      <c r="G3151" s="24" t="n"/>
      <c r="H3151" s="21">
        <f>IF(ISNUMBER($B3151),INT($B3151)-WEEKDAY($B3151,2)+1,"")</f>
        <v/>
      </c>
      <c r="I3151" s="24" t="n"/>
      <c r="J3151" s="22">
        <f t="array" ref="J3151">IF($D3151="","",IF($I3151="","(trống REF)",IFERROR(INDEX(MASTER_SOURCE!$B$2:$B$495,MATCH($I3151,MASTER_SOURCE!$A$2:$A$495,0)),"(REF không có trong MASTER_SOURCE)")))</f>
        <v/>
      </c>
      <c r="K3151" s="22">
        <f t="array" ref="K3151">IF($D3151="","",IFERROR(INDEX(MASTER_SOURCE!$C$2:$C$495,MATCH($I3151,MASTER_SOURCE!$A$2:$A$495,0)),""))</f>
        <v/>
      </c>
      <c r="L3151" s="22">
        <f t="array" ref="L3151">IF($D3151="","",IFERROR(INDEX(MASTER_SOURCE!$D$2:$D$495,MATCH($I3151,MASTER_SOURCE!$A$2:$A$495,0)),""))</f>
        <v/>
      </c>
      <c r="M3151" s="24" t="n"/>
      <c r="N3151" s="24" t="n"/>
      <c r="O3151" s="24" t="n"/>
      <c r="P3151" s="24" t="n"/>
      <c r="Q3151" s="22">
        <f>IF($D3151="","",IF(AND(OR(DANH_MUC!$L$5&lt;&gt;"Có",M3151="Có"),OR(DANH_MUC!$L$6&lt;&gt;"Có",N3151="Có"),OR(DANH_MUC!$L$7&lt;&gt;"Có",O3151="Có"),OR(DANH_MUC!$L$8&lt;&gt;"Có",P3151="Có")),"Có","Không"))</f>
        <v/>
      </c>
      <c r="R3151" s="22">
        <f>IF($D3151="","",IF(COUNTIF($D$2:$D3151,$D3151)&gt;1,"Trùng",""))</f>
        <v/>
      </c>
      <c r="S3151" s="22">
        <f>IF($D3151="","",IF(AND(LEN($D3151)=10,LEFT($D3151,1)="0",ISNUMBER(--$D3151)),"Có","Không"))</f>
        <v/>
      </c>
      <c r="T3151" s="22">
        <f>IF($D3151="","",IF(AND($C3151&lt;&gt;"",$Q3151="Có",$R3151="",$S3151="Có",AND($L3151&lt;&gt;"",OR($L3151&lt;&gt;"Chưa xác định",DANH_MUC!$L$9="Có"))),"Có","Không"))</f>
        <v/>
      </c>
      <c r="U3151" s="22">
        <f>IF(OR($D3151="",$T3151="Có"),"",IF($C3151="","Thiếu họ tên; ","")&amp;IF($S3151&lt;&gt;"Có","SĐT sai định dạng; ","")&amp;IF($R3151="Trùng","Trùng SĐT; ","")&amp;IF($Q3151&lt;&gt;"Có","Thiếu đồng ý bắt buộc; ","")&amp;IF($L3151="","Thiếu/sai Mã REF; ",IF(AND($L3151="Chưa xác định",DANH_MUC!$L$9&lt;&gt;"Có"),"Nguồn chưa xác định; ","")))</f>
        <v/>
      </c>
      <c r="V3151" s="22">
        <f>IF(OR($D3151="",$R3151="Trùng"),"",IF(COUNTIF(ORDERS!$C$2:$C$4995,$D3151)&gt;0,"Có","Không"))</f>
        <v/>
      </c>
      <c r="W3151" s="22">
        <f>IF(OR($D3151="",$R3151="Trùng"),"",COUNTIFS(ORDERS!$C$2:$C$4995,$D3151,ORDERS!$L$2:$L$4995,"Đã chuyển khoản"))</f>
        <v/>
      </c>
      <c r="X3151" s="23">
        <f>IF(OR($D3151="",$R3151="Trùng"),"",SUMIFS(ORDERS!$J$2:$J$4995,ORDERS!$C$2:$C$4995,$D3151,ORDERS!$L$2:$L$4995,"Đã chuyển khoản"))</f>
        <v/>
      </c>
      <c r="Y3151" s="24" t="n"/>
    </row>
    <row r="3152" ht="14.25" customHeight="1" s="40">
      <c r="A3152" s="24" t="n"/>
      <c r="B3152" s="27" t="n"/>
      <c r="C3152" s="24" t="n"/>
      <c r="D3152" s="28" t="n"/>
      <c r="E3152" s="29" t="n"/>
      <c r="F3152" s="24" t="n"/>
      <c r="G3152" s="24" t="n"/>
      <c r="H3152" s="21">
        <f>IF(ISNUMBER($B3152),INT($B3152)-WEEKDAY($B3152,2)+1,"")</f>
        <v/>
      </c>
      <c r="I3152" s="24" t="n"/>
      <c r="J3152" s="22">
        <f t="array" ref="J3152">IF($D3152="","",IF($I3152="","(trống REF)",IFERROR(INDEX(MASTER_SOURCE!$B$2:$B$495,MATCH($I3152,MASTER_SOURCE!$A$2:$A$495,0)),"(REF không có trong MASTER_SOURCE)")))</f>
        <v/>
      </c>
      <c r="K3152" s="22">
        <f t="array" ref="K3152">IF($D3152="","",IFERROR(INDEX(MASTER_SOURCE!$C$2:$C$495,MATCH($I3152,MASTER_SOURCE!$A$2:$A$495,0)),""))</f>
        <v/>
      </c>
      <c r="L3152" s="22">
        <f t="array" ref="L3152">IF($D3152="","",IFERROR(INDEX(MASTER_SOURCE!$D$2:$D$495,MATCH($I3152,MASTER_SOURCE!$A$2:$A$495,0)),""))</f>
        <v/>
      </c>
      <c r="M3152" s="24" t="n"/>
      <c r="N3152" s="24" t="n"/>
      <c r="O3152" s="24" t="n"/>
      <c r="P3152" s="24" t="n"/>
      <c r="Q3152" s="22">
        <f>IF($D3152="","",IF(AND(OR(DANH_MUC!$L$5&lt;&gt;"Có",M3152="Có"),OR(DANH_MUC!$L$6&lt;&gt;"Có",N3152="Có"),OR(DANH_MUC!$L$7&lt;&gt;"Có",O3152="Có"),OR(DANH_MUC!$L$8&lt;&gt;"Có",P3152="Có")),"Có","Không"))</f>
        <v/>
      </c>
      <c r="R3152" s="22">
        <f>IF($D3152="","",IF(COUNTIF($D$2:$D3152,$D3152)&gt;1,"Trùng",""))</f>
        <v/>
      </c>
      <c r="S3152" s="22">
        <f>IF($D3152="","",IF(AND(LEN($D3152)=10,LEFT($D3152,1)="0",ISNUMBER(--$D3152)),"Có","Không"))</f>
        <v/>
      </c>
      <c r="T3152" s="22">
        <f>IF($D3152="","",IF(AND($C3152&lt;&gt;"",$Q3152="Có",$R3152="",$S3152="Có",AND($L3152&lt;&gt;"",OR($L3152&lt;&gt;"Chưa xác định",DANH_MUC!$L$9="Có"))),"Có","Không"))</f>
        <v/>
      </c>
      <c r="U3152" s="22">
        <f>IF(OR($D3152="",$T3152="Có"),"",IF($C3152="","Thiếu họ tên; ","")&amp;IF($S3152&lt;&gt;"Có","SĐT sai định dạng; ","")&amp;IF($R3152="Trùng","Trùng SĐT; ","")&amp;IF($Q3152&lt;&gt;"Có","Thiếu đồng ý bắt buộc; ","")&amp;IF($L3152="","Thiếu/sai Mã REF; ",IF(AND($L3152="Chưa xác định",DANH_MUC!$L$9&lt;&gt;"Có"),"Nguồn chưa xác định; ","")))</f>
        <v/>
      </c>
      <c r="V3152" s="22">
        <f>IF(OR($D3152="",$R3152="Trùng"),"",IF(COUNTIF(ORDERS!$C$2:$C$4995,$D3152)&gt;0,"Có","Không"))</f>
        <v/>
      </c>
      <c r="W3152" s="22">
        <f>IF(OR($D3152="",$R3152="Trùng"),"",COUNTIFS(ORDERS!$C$2:$C$4995,$D3152,ORDERS!$L$2:$L$4995,"Đã chuyển khoản"))</f>
        <v/>
      </c>
      <c r="X3152" s="23">
        <f>IF(OR($D3152="",$R3152="Trùng"),"",SUMIFS(ORDERS!$J$2:$J$4995,ORDERS!$C$2:$C$4995,$D3152,ORDERS!$L$2:$L$4995,"Đã chuyển khoản"))</f>
        <v/>
      </c>
      <c r="Y3152" s="24" t="n"/>
    </row>
    <row r="3153" ht="14.25" customHeight="1" s="40">
      <c r="A3153" s="24" t="n"/>
      <c r="B3153" s="27" t="n"/>
      <c r="C3153" s="24" t="n"/>
      <c r="D3153" s="28" t="n"/>
      <c r="E3153" s="29" t="n"/>
      <c r="F3153" s="24" t="n"/>
      <c r="G3153" s="24" t="n"/>
      <c r="H3153" s="21">
        <f>IF(ISNUMBER($B3153),INT($B3153)-WEEKDAY($B3153,2)+1,"")</f>
        <v/>
      </c>
      <c r="I3153" s="24" t="n"/>
      <c r="J3153" s="22">
        <f t="array" ref="J3153">IF($D3153="","",IF($I3153="","(trống REF)",IFERROR(INDEX(MASTER_SOURCE!$B$2:$B$495,MATCH($I3153,MASTER_SOURCE!$A$2:$A$495,0)),"(REF không có trong MASTER_SOURCE)")))</f>
        <v/>
      </c>
      <c r="K3153" s="22">
        <f t="array" ref="K3153">IF($D3153="","",IFERROR(INDEX(MASTER_SOURCE!$C$2:$C$495,MATCH($I3153,MASTER_SOURCE!$A$2:$A$495,0)),""))</f>
        <v/>
      </c>
      <c r="L3153" s="22">
        <f t="array" ref="L3153">IF($D3153="","",IFERROR(INDEX(MASTER_SOURCE!$D$2:$D$495,MATCH($I3153,MASTER_SOURCE!$A$2:$A$495,0)),""))</f>
        <v/>
      </c>
      <c r="M3153" s="24" t="n"/>
      <c r="N3153" s="24" t="n"/>
      <c r="O3153" s="24" t="n"/>
      <c r="P3153" s="24" t="n"/>
      <c r="Q3153" s="22">
        <f>IF($D3153="","",IF(AND(OR(DANH_MUC!$L$5&lt;&gt;"Có",M3153="Có"),OR(DANH_MUC!$L$6&lt;&gt;"Có",N3153="Có"),OR(DANH_MUC!$L$7&lt;&gt;"Có",O3153="Có"),OR(DANH_MUC!$L$8&lt;&gt;"Có",P3153="Có")),"Có","Không"))</f>
        <v/>
      </c>
      <c r="R3153" s="22">
        <f>IF($D3153="","",IF(COUNTIF($D$2:$D3153,$D3153)&gt;1,"Trùng",""))</f>
        <v/>
      </c>
      <c r="S3153" s="22">
        <f>IF($D3153="","",IF(AND(LEN($D3153)=10,LEFT($D3153,1)="0",ISNUMBER(--$D3153)),"Có","Không"))</f>
        <v/>
      </c>
      <c r="T3153" s="22">
        <f>IF($D3153="","",IF(AND($C3153&lt;&gt;"",$Q3153="Có",$R3153="",$S3153="Có",AND($L3153&lt;&gt;"",OR($L3153&lt;&gt;"Chưa xác định",DANH_MUC!$L$9="Có"))),"Có","Không"))</f>
        <v/>
      </c>
      <c r="U3153" s="22">
        <f>IF(OR($D3153="",$T3153="Có"),"",IF($C3153="","Thiếu họ tên; ","")&amp;IF($S3153&lt;&gt;"Có","SĐT sai định dạng; ","")&amp;IF($R3153="Trùng","Trùng SĐT; ","")&amp;IF($Q3153&lt;&gt;"Có","Thiếu đồng ý bắt buộc; ","")&amp;IF($L3153="","Thiếu/sai Mã REF; ",IF(AND($L3153="Chưa xác định",DANH_MUC!$L$9&lt;&gt;"Có"),"Nguồn chưa xác định; ","")))</f>
        <v/>
      </c>
      <c r="V3153" s="22">
        <f>IF(OR($D3153="",$R3153="Trùng"),"",IF(COUNTIF(ORDERS!$C$2:$C$4995,$D3153)&gt;0,"Có","Không"))</f>
        <v/>
      </c>
      <c r="W3153" s="22">
        <f>IF(OR($D3153="",$R3153="Trùng"),"",COUNTIFS(ORDERS!$C$2:$C$4995,$D3153,ORDERS!$L$2:$L$4995,"Đã chuyển khoản"))</f>
        <v/>
      </c>
      <c r="X3153" s="23">
        <f>IF(OR($D3153="",$R3153="Trùng"),"",SUMIFS(ORDERS!$J$2:$J$4995,ORDERS!$C$2:$C$4995,$D3153,ORDERS!$L$2:$L$4995,"Đã chuyển khoản"))</f>
        <v/>
      </c>
      <c r="Y3153" s="24" t="n"/>
    </row>
    <row r="3154" ht="14.25" customHeight="1" s="40">
      <c r="A3154" s="24" t="n"/>
      <c r="B3154" s="27" t="n"/>
      <c r="C3154" s="24" t="n"/>
      <c r="D3154" s="28" t="n"/>
      <c r="E3154" s="29" t="n"/>
      <c r="F3154" s="24" t="n"/>
      <c r="G3154" s="24" t="n"/>
      <c r="H3154" s="21">
        <f>IF(ISNUMBER($B3154),INT($B3154)-WEEKDAY($B3154,2)+1,"")</f>
        <v/>
      </c>
      <c r="I3154" s="24" t="n"/>
      <c r="J3154" s="22">
        <f t="array" ref="J3154">IF($D3154="","",IF($I3154="","(trống REF)",IFERROR(INDEX(MASTER_SOURCE!$B$2:$B$495,MATCH($I3154,MASTER_SOURCE!$A$2:$A$495,0)),"(REF không có trong MASTER_SOURCE)")))</f>
        <v/>
      </c>
      <c r="K3154" s="22">
        <f t="array" ref="K3154">IF($D3154="","",IFERROR(INDEX(MASTER_SOURCE!$C$2:$C$495,MATCH($I3154,MASTER_SOURCE!$A$2:$A$495,0)),""))</f>
        <v/>
      </c>
      <c r="L3154" s="22">
        <f t="array" ref="L3154">IF($D3154="","",IFERROR(INDEX(MASTER_SOURCE!$D$2:$D$495,MATCH($I3154,MASTER_SOURCE!$A$2:$A$495,0)),""))</f>
        <v/>
      </c>
      <c r="M3154" s="24" t="n"/>
      <c r="N3154" s="24" t="n"/>
      <c r="O3154" s="24" t="n"/>
      <c r="P3154" s="24" t="n"/>
      <c r="Q3154" s="22">
        <f>IF($D3154="","",IF(AND(OR(DANH_MUC!$L$5&lt;&gt;"Có",M3154="Có"),OR(DANH_MUC!$L$6&lt;&gt;"Có",N3154="Có"),OR(DANH_MUC!$L$7&lt;&gt;"Có",O3154="Có"),OR(DANH_MUC!$L$8&lt;&gt;"Có",P3154="Có")),"Có","Không"))</f>
        <v/>
      </c>
      <c r="R3154" s="22">
        <f>IF($D3154="","",IF(COUNTIF($D$2:$D3154,$D3154)&gt;1,"Trùng",""))</f>
        <v/>
      </c>
      <c r="S3154" s="22">
        <f>IF($D3154="","",IF(AND(LEN($D3154)=10,LEFT($D3154,1)="0",ISNUMBER(--$D3154)),"Có","Không"))</f>
        <v/>
      </c>
      <c r="T3154" s="22">
        <f>IF($D3154="","",IF(AND($C3154&lt;&gt;"",$Q3154="Có",$R3154="",$S3154="Có",AND($L3154&lt;&gt;"",OR($L3154&lt;&gt;"Chưa xác định",DANH_MUC!$L$9="Có"))),"Có","Không"))</f>
        <v/>
      </c>
      <c r="U3154" s="22">
        <f>IF(OR($D3154="",$T3154="Có"),"",IF($C3154="","Thiếu họ tên; ","")&amp;IF($S3154&lt;&gt;"Có","SĐT sai định dạng; ","")&amp;IF($R3154="Trùng","Trùng SĐT; ","")&amp;IF($Q3154&lt;&gt;"Có","Thiếu đồng ý bắt buộc; ","")&amp;IF($L3154="","Thiếu/sai Mã REF; ",IF(AND($L3154="Chưa xác định",DANH_MUC!$L$9&lt;&gt;"Có"),"Nguồn chưa xác định; ","")))</f>
        <v/>
      </c>
      <c r="V3154" s="22">
        <f>IF(OR($D3154="",$R3154="Trùng"),"",IF(COUNTIF(ORDERS!$C$2:$C$4995,$D3154)&gt;0,"Có","Không"))</f>
        <v/>
      </c>
      <c r="W3154" s="22">
        <f>IF(OR($D3154="",$R3154="Trùng"),"",COUNTIFS(ORDERS!$C$2:$C$4995,$D3154,ORDERS!$L$2:$L$4995,"Đã chuyển khoản"))</f>
        <v/>
      </c>
      <c r="X3154" s="23">
        <f>IF(OR($D3154="",$R3154="Trùng"),"",SUMIFS(ORDERS!$J$2:$J$4995,ORDERS!$C$2:$C$4995,$D3154,ORDERS!$L$2:$L$4995,"Đã chuyển khoản"))</f>
        <v/>
      </c>
      <c r="Y3154" s="24" t="n"/>
    </row>
    <row r="3155" ht="14.25" customHeight="1" s="40">
      <c r="A3155" s="24" t="n"/>
      <c r="B3155" s="27" t="n"/>
      <c r="C3155" s="24" t="n"/>
      <c r="D3155" s="28" t="n"/>
      <c r="E3155" s="29" t="n"/>
      <c r="F3155" s="24" t="n"/>
      <c r="G3155" s="24" t="n"/>
      <c r="H3155" s="21">
        <f>IF(ISNUMBER($B3155),INT($B3155)-WEEKDAY($B3155,2)+1,"")</f>
        <v/>
      </c>
      <c r="I3155" s="24" t="n"/>
      <c r="J3155" s="22">
        <f t="array" ref="J3155">IF($D3155="","",IF($I3155="","(trống REF)",IFERROR(INDEX(MASTER_SOURCE!$B$2:$B$495,MATCH($I3155,MASTER_SOURCE!$A$2:$A$495,0)),"(REF không có trong MASTER_SOURCE)")))</f>
        <v/>
      </c>
      <c r="K3155" s="22">
        <f t="array" ref="K3155">IF($D3155="","",IFERROR(INDEX(MASTER_SOURCE!$C$2:$C$495,MATCH($I3155,MASTER_SOURCE!$A$2:$A$495,0)),""))</f>
        <v/>
      </c>
      <c r="L3155" s="22">
        <f t="array" ref="L3155">IF($D3155="","",IFERROR(INDEX(MASTER_SOURCE!$D$2:$D$495,MATCH($I3155,MASTER_SOURCE!$A$2:$A$495,0)),""))</f>
        <v/>
      </c>
      <c r="M3155" s="24" t="n"/>
      <c r="N3155" s="24" t="n"/>
      <c r="O3155" s="24" t="n"/>
      <c r="P3155" s="24" t="n"/>
      <c r="Q3155" s="22">
        <f>IF($D3155="","",IF(AND(OR(DANH_MUC!$L$5&lt;&gt;"Có",M3155="Có"),OR(DANH_MUC!$L$6&lt;&gt;"Có",N3155="Có"),OR(DANH_MUC!$L$7&lt;&gt;"Có",O3155="Có"),OR(DANH_MUC!$L$8&lt;&gt;"Có",P3155="Có")),"Có","Không"))</f>
        <v/>
      </c>
      <c r="R3155" s="22">
        <f>IF($D3155="","",IF(COUNTIF($D$2:$D3155,$D3155)&gt;1,"Trùng",""))</f>
        <v/>
      </c>
      <c r="S3155" s="22">
        <f>IF($D3155="","",IF(AND(LEN($D3155)=10,LEFT($D3155,1)="0",ISNUMBER(--$D3155)),"Có","Không"))</f>
        <v/>
      </c>
      <c r="T3155" s="22">
        <f>IF($D3155="","",IF(AND($C3155&lt;&gt;"",$Q3155="Có",$R3155="",$S3155="Có",AND($L3155&lt;&gt;"",OR($L3155&lt;&gt;"Chưa xác định",DANH_MUC!$L$9="Có"))),"Có","Không"))</f>
        <v/>
      </c>
      <c r="U3155" s="22">
        <f>IF(OR($D3155="",$T3155="Có"),"",IF($C3155="","Thiếu họ tên; ","")&amp;IF($S3155&lt;&gt;"Có","SĐT sai định dạng; ","")&amp;IF($R3155="Trùng","Trùng SĐT; ","")&amp;IF($Q3155&lt;&gt;"Có","Thiếu đồng ý bắt buộc; ","")&amp;IF($L3155="","Thiếu/sai Mã REF; ",IF(AND($L3155="Chưa xác định",DANH_MUC!$L$9&lt;&gt;"Có"),"Nguồn chưa xác định; ","")))</f>
        <v/>
      </c>
      <c r="V3155" s="22">
        <f>IF(OR($D3155="",$R3155="Trùng"),"",IF(COUNTIF(ORDERS!$C$2:$C$4995,$D3155)&gt;0,"Có","Không"))</f>
        <v/>
      </c>
      <c r="W3155" s="22">
        <f>IF(OR($D3155="",$R3155="Trùng"),"",COUNTIFS(ORDERS!$C$2:$C$4995,$D3155,ORDERS!$L$2:$L$4995,"Đã chuyển khoản"))</f>
        <v/>
      </c>
      <c r="X3155" s="23">
        <f>IF(OR($D3155="",$R3155="Trùng"),"",SUMIFS(ORDERS!$J$2:$J$4995,ORDERS!$C$2:$C$4995,$D3155,ORDERS!$L$2:$L$4995,"Đã chuyển khoản"))</f>
        <v/>
      </c>
      <c r="Y3155" s="24" t="n"/>
    </row>
    <row r="3156" ht="14.25" customHeight="1" s="40">
      <c r="A3156" s="24" t="n"/>
      <c r="B3156" s="27" t="n"/>
      <c r="C3156" s="24" t="n"/>
      <c r="D3156" s="28" t="n"/>
      <c r="E3156" s="29" t="n"/>
      <c r="F3156" s="24" t="n"/>
      <c r="G3156" s="24" t="n"/>
      <c r="H3156" s="21">
        <f>IF(ISNUMBER($B3156),INT($B3156)-WEEKDAY($B3156,2)+1,"")</f>
        <v/>
      </c>
      <c r="I3156" s="24" t="n"/>
      <c r="J3156" s="22">
        <f t="array" ref="J3156">IF($D3156="","",IF($I3156="","(trống REF)",IFERROR(INDEX(MASTER_SOURCE!$B$2:$B$495,MATCH($I3156,MASTER_SOURCE!$A$2:$A$495,0)),"(REF không có trong MASTER_SOURCE)")))</f>
        <v/>
      </c>
      <c r="K3156" s="22">
        <f t="array" ref="K3156">IF($D3156="","",IFERROR(INDEX(MASTER_SOURCE!$C$2:$C$495,MATCH($I3156,MASTER_SOURCE!$A$2:$A$495,0)),""))</f>
        <v/>
      </c>
      <c r="L3156" s="22">
        <f t="array" ref="L3156">IF($D3156="","",IFERROR(INDEX(MASTER_SOURCE!$D$2:$D$495,MATCH($I3156,MASTER_SOURCE!$A$2:$A$495,0)),""))</f>
        <v/>
      </c>
      <c r="M3156" s="24" t="n"/>
      <c r="N3156" s="24" t="n"/>
      <c r="O3156" s="24" t="n"/>
      <c r="P3156" s="24" t="n"/>
      <c r="Q3156" s="22">
        <f>IF($D3156="","",IF(AND(OR(DANH_MUC!$L$5&lt;&gt;"Có",M3156="Có"),OR(DANH_MUC!$L$6&lt;&gt;"Có",N3156="Có"),OR(DANH_MUC!$L$7&lt;&gt;"Có",O3156="Có"),OR(DANH_MUC!$L$8&lt;&gt;"Có",P3156="Có")),"Có","Không"))</f>
        <v/>
      </c>
      <c r="R3156" s="22">
        <f>IF($D3156="","",IF(COUNTIF($D$2:$D3156,$D3156)&gt;1,"Trùng",""))</f>
        <v/>
      </c>
      <c r="S3156" s="22">
        <f>IF($D3156="","",IF(AND(LEN($D3156)=10,LEFT($D3156,1)="0",ISNUMBER(--$D3156)),"Có","Không"))</f>
        <v/>
      </c>
      <c r="T3156" s="22">
        <f>IF($D3156="","",IF(AND($C3156&lt;&gt;"",$Q3156="Có",$R3156="",$S3156="Có",AND($L3156&lt;&gt;"",OR($L3156&lt;&gt;"Chưa xác định",DANH_MUC!$L$9="Có"))),"Có","Không"))</f>
        <v/>
      </c>
      <c r="U3156" s="22">
        <f>IF(OR($D3156="",$T3156="Có"),"",IF($C3156="","Thiếu họ tên; ","")&amp;IF($S3156&lt;&gt;"Có","SĐT sai định dạng; ","")&amp;IF($R3156="Trùng","Trùng SĐT; ","")&amp;IF($Q3156&lt;&gt;"Có","Thiếu đồng ý bắt buộc; ","")&amp;IF($L3156="","Thiếu/sai Mã REF; ",IF(AND($L3156="Chưa xác định",DANH_MUC!$L$9&lt;&gt;"Có"),"Nguồn chưa xác định; ","")))</f>
        <v/>
      </c>
      <c r="V3156" s="22">
        <f>IF(OR($D3156="",$R3156="Trùng"),"",IF(COUNTIF(ORDERS!$C$2:$C$4995,$D3156)&gt;0,"Có","Không"))</f>
        <v/>
      </c>
      <c r="W3156" s="22">
        <f>IF(OR($D3156="",$R3156="Trùng"),"",COUNTIFS(ORDERS!$C$2:$C$4995,$D3156,ORDERS!$L$2:$L$4995,"Đã chuyển khoản"))</f>
        <v/>
      </c>
      <c r="X3156" s="23">
        <f>IF(OR($D3156="",$R3156="Trùng"),"",SUMIFS(ORDERS!$J$2:$J$4995,ORDERS!$C$2:$C$4995,$D3156,ORDERS!$L$2:$L$4995,"Đã chuyển khoản"))</f>
        <v/>
      </c>
      <c r="Y3156" s="24" t="n"/>
    </row>
    <row r="3157" ht="14.25" customHeight="1" s="40">
      <c r="A3157" s="24" t="n"/>
      <c r="B3157" s="27" t="n"/>
      <c r="C3157" s="24" t="n"/>
      <c r="D3157" s="28" t="n"/>
      <c r="E3157" s="29" t="n"/>
      <c r="F3157" s="24" t="n"/>
      <c r="G3157" s="24" t="n"/>
      <c r="H3157" s="21">
        <f>IF(ISNUMBER($B3157),INT($B3157)-WEEKDAY($B3157,2)+1,"")</f>
        <v/>
      </c>
      <c r="I3157" s="24" t="n"/>
      <c r="J3157" s="22">
        <f t="array" ref="J3157">IF($D3157="","",IF($I3157="","(trống REF)",IFERROR(INDEX(MASTER_SOURCE!$B$2:$B$495,MATCH($I3157,MASTER_SOURCE!$A$2:$A$495,0)),"(REF không có trong MASTER_SOURCE)")))</f>
        <v/>
      </c>
      <c r="K3157" s="22">
        <f t="array" ref="K3157">IF($D3157="","",IFERROR(INDEX(MASTER_SOURCE!$C$2:$C$495,MATCH($I3157,MASTER_SOURCE!$A$2:$A$495,0)),""))</f>
        <v/>
      </c>
      <c r="L3157" s="22">
        <f t="array" ref="L3157">IF($D3157="","",IFERROR(INDEX(MASTER_SOURCE!$D$2:$D$495,MATCH($I3157,MASTER_SOURCE!$A$2:$A$495,0)),""))</f>
        <v/>
      </c>
      <c r="M3157" s="24" t="n"/>
      <c r="N3157" s="24" t="n"/>
      <c r="O3157" s="24" t="n"/>
      <c r="P3157" s="24" t="n"/>
      <c r="Q3157" s="22">
        <f>IF($D3157="","",IF(AND(OR(DANH_MUC!$L$5&lt;&gt;"Có",M3157="Có"),OR(DANH_MUC!$L$6&lt;&gt;"Có",N3157="Có"),OR(DANH_MUC!$L$7&lt;&gt;"Có",O3157="Có"),OR(DANH_MUC!$L$8&lt;&gt;"Có",P3157="Có")),"Có","Không"))</f>
        <v/>
      </c>
      <c r="R3157" s="22">
        <f>IF($D3157="","",IF(COUNTIF($D$2:$D3157,$D3157)&gt;1,"Trùng",""))</f>
        <v/>
      </c>
      <c r="S3157" s="22">
        <f>IF($D3157="","",IF(AND(LEN($D3157)=10,LEFT($D3157,1)="0",ISNUMBER(--$D3157)),"Có","Không"))</f>
        <v/>
      </c>
      <c r="T3157" s="22">
        <f>IF($D3157="","",IF(AND($C3157&lt;&gt;"",$Q3157="Có",$R3157="",$S3157="Có",AND($L3157&lt;&gt;"",OR($L3157&lt;&gt;"Chưa xác định",DANH_MUC!$L$9="Có"))),"Có","Không"))</f>
        <v/>
      </c>
      <c r="U3157" s="22">
        <f>IF(OR($D3157="",$T3157="Có"),"",IF($C3157="","Thiếu họ tên; ","")&amp;IF($S3157&lt;&gt;"Có","SĐT sai định dạng; ","")&amp;IF($R3157="Trùng","Trùng SĐT; ","")&amp;IF($Q3157&lt;&gt;"Có","Thiếu đồng ý bắt buộc; ","")&amp;IF($L3157="","Thiếu/sai Mã REF; ",IF(AND($L3157="Chưa xác định",DANH_MUC!$L$9&lt;&gt;"Có"),"Nguồn chưa xác định; ","")))</f>
        <v/>
      </c>
      <c r="V3157" s="22">
        <f>IF(OR($D3157="",$R3157="Trùng"),"",IF(COUNTIF(ORDERS!$C$2:$C$4995,$D3157)&gt;0,"Có","Không"))</f>
        <v/>
      </c>
      <c r="W3157" s="22">
        <f>IF(OR($D3157="",$R3157="Trùng"),"",COUNTIFS(ORDERS!$C$2:$C$4995,$D3157,ORDERS!$L$2:$L$4995,"Đã chuyển khoản"))</f>
        <v/>
      </c>
      <c r="X3157" s="23">
        <f>IF(OR($D3157="",$R3157="Trùng"),"",SUMIFS(ORDERS!$J$2:$J$4995,ORDERS!$C$2:$C$4995,$D3157,ORDERS!$L$2:$L$4995,"Đã chuyển khoản"))</f>
        <v/>
      </c>
      <c r="Y3157" s="24" t="n"/>
    </row>
    <row r="3158" ht="14.25" customHeight="1" s="40">
      <c r="A3158" s="24" t="n"/>
      <c r="B3158" s="27" t="n"/>
      <c r="C3158" s="24" t="n"/>
      <c r="D3158" s="28" t="n"/>
      <c r="E3158" s="29" t="n"/>
      <c r="F3158" s="24" t="n"/>
      <c r="G3158" s="24" t="n"/>
      <c r="H3158" s="21">
        <f>IF(ISNUMBER($B3158),INT($B3158)-WEEKDAY($B3158,2)+1,"")</f>
        <v/>
      </c>
      <c r="I3158" s="24" t="n"/>
      <c r="J3158" s="22">
        <f t="array" ref="J3158">IF($D3158="","",IF($I3158="","(trống REF)",IFERROR(INDEX(MASTER_SOURCE!$B$2:$B$495,MATCH($I3158,MASTER_SOURCE!$A$2:$A$495,0)),"(REF không có trong MASTER_SOURCE)")))</f>
        <v/>
      </c>
      <c r="K3158" s="22">
        <f t="array" ref="K3158">IF($D3158="","",IFERROR(INDEX(MASTER_SOURCE!$C$2:$C$495,MATCH($I3158,MASTER_SOURCE!$A$2:$A$495,0)),""))</f>
        <v/>
      </c>
      <c r="L3158" s="22">
        <f t="array" ref="L3158">IF($D3158="","",IFERROR(INDEX(MASTER_SOURCE!$D$2:$D$495,MATCH($I3158,MASTER_SOURCE!$A$2:$A$495,0)),""))</f>
        <v/>
      </c>
      <c r="M3158" s="24" t="n"/>
      <c r="N3158" s="24" t="n"/>
      <c r="O3158" s="24" t="n"/>
      <c r="P3158" s="24" t="n"/>
      <c r="Q3158" s="22">
        <f>IF($D3158="","",IF(AND(OR(DANH_MUC!$L$5&lt;&gt;"Có",M3158="Có"),OR(DANH_MUC!$L$6&lt;&gt;"Có",N3158="Có"),OR(DANH_MUC!$L$7&lt;&gt;"Có",O3158="Có"),OR(DANH_MUC!$L$8&lt;&gt;"Có",P3158="Có")),"Có","Không"))</f>
        <v/>
      </c>
      <c r="R3158" s="22">
        <f>IF($D3158="","",IF(COUNTIF($D$2:$D3158,$D3158)&gt;1,"Trùng",""))</f>
        <v/>
      </c>
      <c r="S3158" s="22">
        <f>IF($D3158="","",IF(AND(LEN($D3158)=10,LEFT($D3158,1)="0",ISNUMBER(--$D3158)),"Có","Không"))</f>
        <v/>
      </c>
      <c r="T3158" s="22">
        <f>IF($D3158="","",IF(AND($C3158&lt;&gt;"",$Q3158="Có",$R3158="",$S3158="Có",AND($L3158&lt;&gt;"",OR($L3158&lt;&gt;"Chưa xác định",DANH_MUC!$L$9="Có"))),"Có","Không"))</f>
        <v/>
      </c>
      <c r="U3158" s="22">
        <f>IF(OR($D3158="",$T3158="Có"),"",IF($C3158="","Thiếu họ tên; ","")&amp;IF($S3158&lt;&gt;"Có","SĐT sai định dạng; ","")&amp;IF($R3158="Trùng","Trùng SĐT; ","")&amp;IF($Q3158&lt;&gt;"Có","Thiếu đồng ý bắt buộc; ","")&amp;IF($L3158="","Thiếu/sai Mã REF; ",IF(AND($L3158="Chưa xác định",DANH_MUC!$L$9&lt;&gt;"Có"),"Nguồn chưa xác định; ","")))</f>
        <v/>
      </c>
      <c r="V3158" s="22">
        <f>IF(OR($D3158="",$R3158="Trùng"),"",IF(COUNTIF(ORDERS!$C$2:$C$4995,$D3158)&gt;0,"Có","Không"))</f>
        <v/>
      </c>
      <c r="W3158" s="22">
        <f>IF(OR($D3158="",$R3158="Trùng"),"",COUNTIFS(ORDERS!$C$2:$C$4995,$D3158,ORDERS!$L$2:$L$4995,"Đã chuyển khoản"))</f>
        <v/>
      </c>
      <c r="X3158" s="23">
        <f>IF(OR($D3158="",$R3158="Trùng"),"",SUMIFS(ORDERS!$J$2:$J$4995,ORDERS!$C$2:$C$4995,$D3158,ORDERS!$L$2:$L$4995,"Đã chuyển khoản"))</f>
        <v/>
      </c>
      <c r="Y3158" s="24" t="n"/>
    </row>
    <row r="3159" ht="14.25" customHeight="1" s="40">
      <c r="A3159" s="24" t="n"/>
      <c r="B3159" s="27" t="n"/>
      <c r="C3159" s="24" t="n"/>
      <c r="D3159" s="28" t="n"/>
      <c r="E3159" s="29" t="n"/>
      <c r="F3159" s="24" t="n"/>
      <c r="G3159" s="24" t="n"/>
      <c r="H3159" s="21">
        <f>IF(ISNUMBER($B3159),INT($B3159)-WEEKDAY($B3159,2)+1,"")</f>
        <v/>
      </c>
      <c r="I3159" s="24" t="n"/>
      <c r="J3159" s="22">
        <f t="array" ref="J3159">IF($D3159="","",IF($I3159="","(trống REF)",IFERROR(INDEX(MASTER_SOURCE!$B$2:$B$495,MATCH($I3159,MASTER_SOURCE!$A$2:$A$495,0)),"(REF không có trong MASTER_SOURCE)")))</f>
        <v/>
      </c>
      <c r="K3159" s="22">
        <f t="array" ref="K3159">IF($D3159="","",IFERROR(INDEX(MASTER_SOURCE!$C$2:$C$495,MATCH($I3159,MASTER_SOURCE!$A$2:$A$495,0)),""))</f>
        <v/>
      </c>
      <c r="L3159" s="22">
        <f t="array" ref="L3159">IF($D3159="","",IFERROR(INDEX(MASTER_SOURCE!$D$2:$D$495,MATCH($I3159,MASTER_SOURCE!$A$2:$A$495,0)),""))</f>
        <v/>
      </c>
      <c r="M3159" s="24" t="n"/>
      <c r="N3159" s="24" t="n"/>
      <c r="O3159" s="24" t="n"/>
      <c r="P3159" s="24" t="n"/>
      <c r="Q3159" s="22">
        <f>IF($D3159="","",IF(AND(OR(DANH_MUC!$L$5&lt;&gt;"Có",M3159="Có"),OR(DANH_MUC!$L$6&lt;&gt;"Có",N3159="Có"),OR(DANH_MUC!$L$7&lt;&gt;"Có",O3159="Có"),OR(DANH_MUC!$L$8&lt;&gt;"Có",P3159="Có")),"Có","Không"))</f>
        <v/>
      </c>
      <c r="R3159" s="22">
        <f>IF($D3159="","",IF(COUNTIF($D$2:$D3159,$D3159)&gt;1,"Trùng",""))</f>
        <v/>
      </c>
      <c r="S3159" s="22">
        <f>IF($D3159="","",IF(AND(LEN($D3159)=10,LEFT($D3159,1)="0",ISNUMBER(--$D3159)),"Có","Không"))</f>
        <v/>
      </c>
      <c r="T3159" s="22">
        <f>IF($D3159="","",IF(AND($C3159&lt;&gt;"",$Q3159="Có",$R3159="",$S3159="Có",AND($L3159&lt;&gt;"",OR($L3159&lt;&gt;"Chưa xác định",DANH_MUC!$L$9="Có"))),"Có","Không"))</f>
        <v/>
      </c>
      <c r="U3159" s="22">
        <f>IF(OR($D3159="",$T3159="Có"),"",IF($C3159="","Thiếu họ tên; ","")&amp;IF($S3159&lt;&gt;"Có","SĐT sai định dạng; ","")&amp;IF($R3159="Trùng","Trùng SĐT; ","")&amp;IF($Q3159&lt;&gt;"Có","Thiếu đồng ý bắt buộc; ","")&amp;IF($L3159="","Thiếu/sai Mã REF; ",IF(AND($L3159="Chưa xác định",DANH_MUC!$L$9&lt;&gt;"Có"),"Nguồn chưa xác định; ","")))</f>
        <v/>
      </c>
      <c r="V3159" s="22">
        <f>IF(OR($D3159="",$R3159="Trùng"),"",IF(COUNTIF(ORDERS!$C$2:$C$4995,$D3159)&gt;0,"Có","Không"))</f>
        <v/>
      </c>
      <c r="W3159" s="22">
        <f>IF(OR($D3159="",$R3159="Trùng"),"",COUNTIFS(ORDERS!$C$2:$C$4995,$D3159,ORDERS!$L$2:$L$4995,"Đã chuyển khoản"))</f>
        <v/>
      </c>
      <c r="X3159" s="23">
        <f>IF(OR($D3159="",$R3159="Trùng"),"",SUMIFS(ORDERS!$J$2:$J$4995,ORDERS!$C$2:$C$4995,$D3159,ORDERS!$L$2:$L$4995,"Đã chuyển khoản"))</f>
        <v/>
      </c>
      <c r="Y3159" s="24" t="n"/>
    </row>
    <row r="3160" ht="14.25" customHeight="1" s="40">
      <c r="A3160" s="24" t="n"/>
      <c r="B3160" s="27" t="n"/>
      <c r="C3160" s="24" t="n"/>
      <c r="D3160" s="28" t="n"/>
      <c r="E3160" s="29" t="n"/>
      <c r="F3160" s="24" t="n"/>
      <c r="G3160" s="24" t="n"/>
      <c r="H3160" s="21">
        <f>IF(ISNUMBER($B3160),INT($B3160)-WEEKDAY($B3160,2)+1,"")</f>
        <v/>
      </c>
      <c r="I3160" s="24" t="n"/>
      <c r="J3160" s="22">
        <f t="array" ref="J3160">IF($D3160="","",IF($I3160="","(trống REF)",IFERROR(INDEX(MASTER_SOURCE!$B$2:$B$495,MATCH($I3160,MASTER_SOURCE!$A$2:$A$495,0)),"(REF không có trong MASTER_SOURCE)")))</f>
        <v/>
      </c>
      <c r="K3160" s="22">
        <f t="array" ref="K3160">IF($D3160="","",IFERROR(INDEX(MASTER_SOURCE!$C$2:$C$495,MATCH($I3160,MASTER_SOURCE!$A$2:$A$495,0)),""))</f>
        <v/>
      </c>
      <c r="L3160" s="22">
        <f t="array" ref="L3160">IF($D3160="","",IFERROR(INDEX(MASTER_SOURCE!$D$2:$D$495,MATCH($I3160,MASTER_SOURCE!$A$2:$A$495,0)),""))</f>
        <v/>
      </c>
      <c r="M3160" s="24" t="n"/>
      <c r="N3160" s="24" t="n"/>
      <c r="O3160" s="24" t="n"/>
      <c r="P3160" s="24" t="n"/>
      <c r="Q3160" s="22">
        <f>IF($D3160="","",IF(AND(OR(DANH_MUC!$L$5&lt;&gt;"Có",M3160="Có"),OR(DANH_MUC!$L$6&lt;&gt;"Có",N3160="Có"),OR(DANH_MUC!$L$7&lt;&gt;"Có",O3160="Có"),OR(DANH_MUC!$L$8&lt;&gt;"Có",P3160="Có")),"Có","Không"))</f>
        <v/>
      </c>
      <c r="R3160" s="22">
        <f>IF($D3160="","",IF(COUNTIF($D$2:$D3160,$D3160)&gt;1,"Trùng",""))</f>
        <v/>
      </c>
      <c r="S3160" s="22">
        <f>IF($D3160="","",IF(AND(LEN($D3160)=10,LEFT($D3160,1)="0",ISNUMBER(--$D3160)),"Có","Không"))</f>
        <v/>
      </c>
      <c r="T3160" s="22">
        <f>IF($D3160="","",IF(AND($C3160&lt;&gt;"",$Q3160="Có",$R3160="",$S3160="Có",AND($L3160&lt;&gt;"",OR($L3160&lt;&gt;"Chưa xác định",DANH_MUC!$L$9="Có"))),"Có","Không"))</f>
        <v/>
      </c>
      <c r="U3160" s="22">
        <f>IF(OR($D3160="",$T3160="Có"),"",IF($C3160="","Thiếu họ tên; ","")&amp;IF($S3160&lt;&gt;"Có","SĐT sai định dạng; ","")&amp;IF($R3160="Trùng","Trùng SĐT; ","")&amp;IF($Q3160&lt;&gt;"Có","Thiếu đồng ý bắt buộc; ","")&amp;IF($L3160="","Thiếu/sai Mã REF; ",IF(AND($L3160="Chưa xác định",DANH_MUC!$L$9&lt;&gt;"Có"),"Nguồn chưa xác định; ","")))</f>
        <v/>
      </c>
      <c r="V3160" s="22">
        <f>IF(OR($D3160="",$R3160="Trùng"),"",IF(COUNTIF(ORDERS!$C$2:$C$4995,$D3160)&gt;0,"Có","Không"))</f>
        <v/>
      </c>
      <c r="W3160" s="22">
        <f>IF(OR($D3160="",$R3160="Trùng"),"",COUNTIFS(ORDERS!$C$2:$C$4995,$D3160,ORDERS!$L$2:$L$4995,"Đã chuyển khoản"))</f>
        <v/>
      </c>
      <c r="X3160" s="23">
        <f>IF(OR($D3160="",$R3160="Trùng"),"",SUMIFS(ORDERS!$J$2:$J$4995,ORDERS!$C$2:$C$4995,$D3160,ORDERS!$L$2:$L$4995,"Đã chuyển khoản"))</f>
        <v/>
      </c>
      <c r="Y3160" s="24" t="n"/>
    </row>
    <row r="3161" ht="14.25" customHeight="1" s="40">
      <c r="A3161" s="24" t="n"/>
      <c r="B3161" s="27" t="n"/>
      <c r="C3161" s="24" t="n"/>
      <c r="D3161" s="28" t="n"/>
      <c r="E3161" s="29" t="n"/>
      <c r="F3161" s="24" t="n"/>
      <c r="G3161" s="24" t="n"/>
      <c r="H3161" s="21">
        <f>IF(ISNUMBER($B3161),INT($B3161)-WEEKDAY($B3161,2)+1,"")</f>
        <v/>
      </c>
      <c r="I3161" s="24" t="n"/>
      <c r="J3161" s="22">
        <f t="array" ref="J3161">IF($D3161="","",IF($I3161="","(trống REF)",IFERROR(INDEX(MASTER_SOURCE!$B$2:$B$495,MATCH($I3161,MASTER_SOURCE!$A$2:$A$495,0)),"(REF không có trong MASTER_SOURCE)")))</f>
        <v/>
      </c>
      <c r="K3161" s="22">
        <f t="array" ref="K3161">IF($D3161="","",IFERROR(INDEX(MASTER_SOURCE!$C$2:$C$495,MATCH($I3161,MASTER_SOURCE!$A$2:$A$495,0)),""))</f>
        <v/>
      </c>
      <c r="L3161" s="22">
        <f t="array" ref="L3161">IF($D3161="","",IFERROR(INDEX(MASTER_SOURCE!$D$2:$D$495,MATCH($I3161,MASTER_SOURCE!$A$2:$A$495,0)),""))</f>
        <v/>
      </c>
      <c r="M3161" s="24" t="n"/>
      <c r="N3161" s="24" t="n"/>
      <c r="O3161" s="24" t="n"/>
      <c r="P3161" s="24" t="n"/>
      <c r="Q3161" s="22">
        <f>IF($D3161="","",IF(AND(OR(DANH_MUC!$L$5&lt;&gt;"Có",M3161="Có"),OR(DANH_MUC!$L$6&lt;&gt;"Có",N3161="Có"),OR(DANH_MUC!$L$7&lt;&gt;"Có",O3161="Có"),OR(DANH_MUC!$L$8&lt;&gt;"Có",P3161="Có")),"Có","Không"))</f>
        <v/>
      </c>
      <c r="R3161" s="22">
        <f>IF($D3161="","",IF(COUNTIF($D$2:$D3161,$D3161)&gt;1,"Trùng",""))</f>
        <v/>
      </c>
      <c r="S3161" s="22">
        <f>IF($D3161="","",IF(AND(LEN($D3161)=10,LEFT($D3161,1)="0",ISNUMBER(--$D3161)),"Có","Không"))</f>
        <v/>
      </c>
      <c r="T3161" s="22">
        <f>IF($D3161="","",IF(AND($C3161&lt;&gt;"",$Q3161="Có",$R3161="",$S3161="Có",AND($L3161&lt;&gt;"",OR($L3161&lt;&gt;"Chưa xác định",DANH_MUC!$L$9="Có"))),"Có","Không"))</f>
        <v/>
      </c>
      <c r="U3161" s="22">
        <f>IF(OR($D3161="",$T3161="Có"),"",IF($C3161="","Thiếu họ tên; ","")&amp;IF($S3161&lt;&gt;"Có","SĐT sai định dạng; ","")&amp;IF($R3161="Trùng","Trùng SĐT; ","")&amp;IF($Q3161&lt;&gt;"Có","Thiếu đồng ý bắt buộc; ","")&amp;IF($L3161="","Thiếu/sai Mã REF; ",IF(AND($L3161="Chưa xác định",DANH_MUC!$L$9&lt;&gt;"Có"),"Nguồn chưa xác định; ","")))</f>
        <v/>
      </c>
      <c r="V3161" s="22">
        <f>IF(OR($D3161="",$R3161="Trùng"),"",IF(COUNTIF(ORDERS!$C$2:$C$4995,$D3161)&gt;0,"Có","Không"))</f>
        <v/>
      </c>
      <c r="W3161" s="22">
        <f>IF(OR($D3161="",$R3161="Trùng"),"",COUNTIFS(ORDERS!$C$2:$C$4995,$D3161,ORDERS!$L$2:$L$4995,"Đã chuyển khoản"))</f>
        <v/>
      </c>
      <c r="X3161" s="23">
        <f>IF(OR($D3161="",$R3161="Trùng"),"",SUMIFS(ORDERS!$J$2:$J$4995,ORDERS!$C$2:$C$4995,$D3161,ORDERS!$L$2:$L$4995,"Đã chuyển khoản"))</f>
        <v/>
      </c>
      <c r="Y3161" s="24" t="n"/>
    </row>
    <row r="3162" ht="14.25" customHeight="1" s="40">
      <c r="A3162" s="24" t="n"/>
      <c r="B3162" s="27" t="n"/>
      <c r="C3162" s="24" t="n"/>
      <c r="D3162" s="28" t="n"/>
      <c r="E3162" s="29" t="n"/>
      <c r="F3162" s="24" t="n"/>
      <c r="G3162" s="24" t="n"/>
      <c r="H3162" s="21">
        <f>IF(ISNUMBER($B3162),INT($B3162)-WEEKDAY($B3162,2)+1,"")</f>
        <v/>
      </c>
      <c r="I3162" s="24" t="n"/>
      <c r="J3162" s="22">
        <f t="array" ref="J3162">IF($D3162="","",IF($I3162="","(trống REF)",IFERROR(INDEX(MASTER_SOURCE!$B$2:$B$495,MATCH($I3162,MASTER_SOURCE!$A$2:$A$495,0)),"(REF không có trong MASTER_SOURCE)")))</f>
        <v/>
      </c>
      <c r="K3162" s="22">
        <f t="array" ref="K3162">IF($D3162="","",IFERROR(INDEX(MASTER_SOURCE!$C$2:$C$495,MATCH($I3162,MASTER_SOURCE!$A$2:$A$495,0)),""))</f>
        <v/>
      </c>
      <c r="L3162" s="22">
        <f t="array" ref="L3162">IF($D3162="","",IFERROR(INDEX(MASTER_SOURCE!$D$2:$D$495,MATCH($I3162,MASTER_SOURCE!$A$2:$A$495,0)),""))</f>
        <v/>
      </c>
      <c r="M3162" s="24" t="n"/>
      <c r="N3162" s="24" t="n"/>
      <c r="O3162" s="24" t="n"/>
      <c r="P3162" s="24" t="n"/>
      <c r="Q3162" s="22">
        <f>IF($D3162="","",IF(AND(OR(DANH_MUC!$L$5&lt;&gt;"Có",M3162="Có"),OR(DANH_MUC!$L$6&lt;&gt;"Có",N3162="Có"),OR(DANH_MUC!$L$7&lt;&gt;"Có",O3162="Có"),OR(DANH_MUC!$L$8&lt;&gt;"Có",P3162="Có")),"Có","Không"))</f>
        <v/>
      </c>
      <c r="R3162" s="22">
        <f>IF($D3162="","",IF(COUNTIF($D$2:$D3162,$D3162)&gt;1,"Trùng",""))</f>
        <v/>
      </c>
      <c r="S3162" s="22">
        <f>IF($D3162="","",IF(AND(LEN($D3162)=10,LEFT($D3162,1)="0",ISNUMBER(--$D3162)),"Có","Không"))</f>
        <v/>
      </c>
      <c r="T3162" s="22">
        <f>IF($D3162="","",IF(AND($C3162&lt;&gt;"",$Q3162="Có",$R3162="",$S3162="Có",AND($L3162&lt;&gt;"",OR($L3162&lt;&gt;"Chưa xác định",DANH_MUC!$L$9="Có"))),"Có","Không"))</f>
        <v/>
      </c>
      <c r="U3162" s="22">
        <f>IF(OR($D3162="",$T3162="Có"),"",IF($C3162="","Thiếu họ tên; ","")&amp;IF($S3162&lt;&gt;"Có","SĐT sai định dạng; ","")&amp;IF($R3162="Trùng","Trùng SĐT; ","")&amp;IF($Q3162&lt;&gt;"Có","Thiếu đồng ý bắt buộc; ","")&amp;IF($L3162="","Thiếu/sai Mã REF; ",IF(AND($L3162="Chưa xác định",DANH_MUC!$L$9&lt;&gt;"Có"),"Nguồn chưa xác định; ","")))</f>
        <v/>
      </c>
      <c r="V3162" s="22">
        <f>IF(OR($D3162="",$R3162="Trùng"),"",IF(COUNTIF(ORDERS!$C$2:$C$4995,$D3162)&gt;0,"Có","Không"))</f>
        <v/>
      </c>
      <c r="W3162" s="22">
        <f>IF(OR($D3162="",$R3162="Trùng"),"",COUNTIFS(ORDERS!$C$2:$C$4995,$D3162,ORDERS!$L$2:$L$4995,"Đã chuyển khoản"))</f>
        <v/>
      </c>
      <c r="X3162" s="23">
        <f>IF(OR($D3162="",$R3162="Trùng"),"",SUMIFS(ORDERS!$J$2:$J$4995,ORDERS!$C$2:$C$4995,$D3162,ORDERS!$L$2:$L$4995,"Đã chuyển khoản"))</f>
        <v/>
      </c>
      <c r="Y3162" s="24" t="n"/>
    </row>
    <row r="3163" ht="14.25" customHeight="1" s="40">
      <c r="A3163" s="24" t="n"/>
      <c r="B3163" s="27" t="n"/>
      <c r="C3163" s="24" t="n"/>
      <c r="D3163" s="28" t="n"/>
      <c r="E3163" s="29" t="n"/>
      <c r="F3163" s="24" t="n"/>
      <c r="G3163" s="24" t="n"/>
      <c r="H3163" s="21">
        <f>IF(ISNUMBER($B3163),INT($B3163)-WEEKDAY($B3163,2)+1,"")</f>
        <v/>
      </c>
      <c r="I3163" s="24" t="n"/>
      <c r="J3163" s="22">
        <f t="array" ref="J3163">IF($D3163="","",IF($I3163="","(trống REF)",IFERROR(INDEX(MASTER_SOURCE!$B$2:$B$495,MATCH($I3163,MASTER_SOURCE!$A$2:$A$495,0)),"(REF không có trong MASTER_SOURCE)")))</f>
        <v/>
      </c>
      <c r="K3163" s="22">
        <f t="array" ref="K3163">IF($D3163="","",IFERROR(INDEX(MASTER_SOURCE!$C$2:$C$495,MATCH($I3163,MASTER_SOURCE!$A$2:$A$495,0)),""))</f>
        <v/>
      </c>
      <c r="L3163" s="22">
        <f t="array" ref="L3163">IF($D3163="","",IFERROR(INDEX(MASTER_SOURCE!$D$2:$D$495,MATCH($I3163,MASTER_SOURCE!$A$2:$A$495,0)),""))</f>
        <v/>
      </c>
      <c r="M3163" s="24" t="n"/>
      <c r="N3163" s="24" t="n"/>
      <c r="O3163" s="24" t="n"/>
      <c r="P3163" s="24" t="n"/>
      <c r="Q3163" s="22">
        <f>IF($D3163="","",IF(AND(OR(DANH_MUC!$L$5&lt;&gt;"Có",M3163="Có"),OR(DANH_MUC!$L$6&lt;&gt;"Có",N3163="Có"),OR(DANH_MUC!$L$7&lt;&gt;"Có",O3163="Có"),OR(DANH_MUC!$L$8&lt;&gt;"Có",P3163="Có")),"Có","Không"))</f>
        <v/>
      </c>
      <c r="R3163" s="22">
        <f>IF($D3163="","",IF(COUNTIF($D$2:$D3163,$D3163)&gt;1,"Trùng",""))</f>
        <v/>
      </c>
      <c r="S3163" s="22">
        <f>IF($D3163="","",IF(AND(LEN($D3163)=10,LEFT($D3163,1)="0",ISNUMBER(--$D3163)),"Có","Không"))</f>
        <v/>
      </c>
      <c r="T3163" s="22">
        <f>IF($D3163="","",IF(AND($C3163&lt;&gt;"",$Q3163="Có",$R3163="",$S3163="Có",AND($L3163&lt;&gt;"",OR($L3163&lt;&gt;"Chưa xác định",DANH_MUC!$L$9="Có"))),"Có","Không"))</f>
        <v/>
      </c>
      <c r="U3163" s="22">
        <f>IF(OR($D3163="",$T3163="Có"),"",IF($C3163="","Thiếu họ tên; ","")&amp;IF($S3163&lt;&gt;"Có","SĐT sai định dạng; ","")&amp;IF($R3163="Trùng","Trùng SĐT; ","")&amp;IF($Q3163&lt;&gt;"Có","Thiếu đồng ý bắt buộc; ","")&amp;IF($L3163="","Thiếu/sai Mã REF; ",IF(AND($L3163="Chưa xác định",DANH_MUC!$L$9&lt;&gt;"Có"),"Nguồn chưa xác định; ","")))</f>
        <v/>
      </c>
      <c r="V3163" s="22">
        <f>IF(OR($D3163="",$R3163="Trùng"),"",IF(COUNTIF(ORDERS!$C$2:$C$4995,$D3163)&gt;0,"Có","Không"))</f>
        <v/>
      </c>
      <c r="W3163" s="22">
        <f>IF(OR($D3163="",$R3163="Trùng"),"",COUNTIFS(ORDERS!$C$2:$C$4995,$D3163,ORDERS!$L$2:$L$4995,"Đã chuyển khoản"))</f>
        <v/>
      </c>
      <c r="X3163" s="23">
        <f>IF(OR($D3163="",$R3163="Trùng"),"",SUMIFS(ORDERS!$J$2:$J$4995,ORDERS!$C$2:$C$4995,$D3163,ORDERS!$L$2:$L$4995,"Đã chuyển khoản"))</f>
        <v/>
      </c>
      <c r="Y3163" s="24" t="n"/>
    </row>
    <row r="3164" ht="14.25" customHeight="1" s="40">
      <c r="A3164" s="24" t="n"/>
      <c r="B3164" s="27" t="n"/>
      <c r="C3164" s="24" t="n"/>
      <c r="D3164" s="28" t="n"/>
      <c r="E3164" s="29" t="n"/>
      <c r="F3164" s="24" t="n"/>
      <c r="G3164" s="24" t="n"/>
      <c r="H3164" s="21">
        <f>IF(ISNUMBER($B3164),INT($B3164)-WEEKDAY($B3164,2)+1,"")</f>
        <v/>
      </c>
      <c r="I3164" s="24" t="n"/>
      <c r="J3164" s="22">
        <f t="array" ref="J3164">IF($D3164="","",IF($I3164="","(trống REF)",IFERROR(INDEX(MASTER_SOURCE!$B$2:$B$495,MATCH($I3164,MASTER_SOURCE!$A$2:$A$495,0)),"(REF không có trong MASTER_SOURCE)")))</f>
        <v/>
      </c>
      <c r="K3164" s="22">
        <f t="array" ref="K3164">IF($D3164="","",IFERROR(INDEX(MASTER_SOURCE!$C$2:$C$495,MATCH($I3164,MASTER_SOURCE!$A$2:$A$495,0)),""))</f>
        <v/>
      </c>
      <c r="L3164" s="22">
        <f t="array" ref="L3164">IF($D3164="","",IFERROR(INDEX(MASTER_SOURCE!$D$2:$D$495,MATCH($I3164,MASTER_SOURCE!$A$2:$A$495,0)),""))</f>
        <v/>
      </c>
      <c r="M3164" s="24" t="n"/>
      <c r="N3164" s="24" t="n"/>
      <c r="O3164" s="24" t="n"/>
      <c r="P3164" s="24" t="n"/>
      <c r="Q3164" s="22">
        <f>IF($D3164="","",IF(AND(OR(DANH_MUC!$L$5&lt;&gt;"Có",M3164="Có"),OR(DANH_MUC!$L$6&lt;&gt;"Có",N3164="Có"),OR(DANH_MUC!$L$7&lt;&gt;"Có",O3164="Có"),OR(DANH_MUC!$L$8&lt;&gt;"Có",P3164="Có")),"Có","Không"))</f>
        <v/>
      </c>
      <c r="R3164" s="22">
        <f>IF($D3164="","",IF(COUNTIF($D$2:$D3164,$D3164)&gt;1,"Trùng",""))</f>
        <v/>
      </c>
      <c r="S3164" s="22">
        <f>IF($D3164="","",IF(AND(LEN($D3164)=10,LEFT($D3164,1)="0",ISNUMBER(--$D3164)),"Có","Không"))</f>
        <v/>
      </c>
      <c r="T3164" s="22">
        <f>IF($D3164="","",IF(AND($C3164&lt;&gt;"",$Q3164="Có",$R3164="",$S3164="Có",AND($L3164&lt;&gt;"",OR($L3164&lt;&gt;"Chưa xác định",DANH_MUC!$L$9="Có"))),"Có","Không"))</f>
        <v/>
      </c>
      <c r="U3164" s="22">
        <f>IF(OR($D3164="",$T3164="Có"),"",IF($C3164="","Thiếu họ tên; ","")&amp;IF($S3164&lt;&gt;"Có","SĐT sai định dạng; ","")&amp;IF($R3164="Trùng","Trùng SĐT; ","")&amp;IF($Q3164&lt;&gt;"Có","Thiếu đồng ý bắt buộc; ","")&amp;IF($L3164="","Thiếu/sai Mã REF; ",IF(AND($L3164="Chưa xác định",DANH_MUC!$L$9&lt;&gt;"Có"),"Nguồn chưa xác định; ","")))</f>
        <v/>
      </c>
      <c r="V3164" s="22">
        <f>IF(OR($D3164="",$R3164="Trùng"),"",IF(COUNTIF(ORDERS!$C$2:$C$4995,$D3164)&gt;0,"Có","Không"))</f>
        <v/>
      </c>
      <c r="W3164" s="22">
        <f>IF(OR($D3164="",$R3164="Trùng"),"",COUNTIFS(ORDERS!$C$2:$C$4995,$D3164,ORDERS!$L$2:$L$4995,"Đã chuyển khoản"))</f>
        <v/>
      </c>
      <c r="X3164" s="23">
        <f>IF(OR($D3164="",$R3164="Trùng"),"",SUMIFS(ORDERS!$J$2:$J$4995,ORDERS!$C$2:$C$4995,$D3164,ORDERS!$L$2:$L$4995,"Đã chuyển khoản"))</f>
        <v/>
      </c>
      <c r="Y3164" s="24" t="n"/>
    </row>
    <row r="3165" ht="14.25" customHeight="1" s="40">
      <c r="A3165" s="24" t="n"/>
      <c r="B3165" s="27" t="n"/>
      <c r="C3165" s="24" t="n"/>
      <c r="D3165" s="28" t="n"/>
      <c r="E3165" s="29" t="n"/>
      <c r="F3165" s="24" t="n"/>
      <c r="G3165" s="24" t="n"/>
      <c r="H3165" s="21">
        <f>IF(ISNUMBER($B3165),INT($B3165)-WEEKDAY($B3165,2)+1,"")</f>
        <v/>
      </c>
      <c r="I3165" s="24" t="n"/>
      <c r="J3165" s="22">
        <f t="array" ref="J3165">IF($D3165="","",IF($I3165="","(trống REF)",IFERROR(INDEX(MASTER_SOURCE!$B$2:$B$495,MATCH($I3165,MASTER_SOURCE!$A$2:$A$495,0)),"(REF không có trong MASTER_SOURCE)")))</f>
        <v/>
      </c>
      <c r="K3165" s="22">
        <f t="array" ref="K3165">IF($D3165="","",IFERROR(INDEX(MASTER_SOURCE!$C$2:$C$495,MATCH($I3165,MASTER_SOURCE!$A$2:$A$495,0)),""))</f>
        <v/>
      </c>
      <c r="L3165" s="22">
        <f t="array" ref="L3165">IF($D3165="","",IFERROR(INDEX(MASTER_SOURCE!$D$2:$D$495,MATCH($I3165,MASTER_SOURCE!$A$2:$A$495,0)),""))</f>
        <v/>
      </c>
      <c r="M3165" s="24" t="n"/>
      <c r="N3165" s="24" t="n"/>
      <c r="O3165" s="24" t="n"/>
      <c r="P3165" s="24" t="n"/>
      <c r="Q3165" s="22">
        <f>IF($D3165="","",IF(AND(OR(DANH_MUC!$L$5&lt;&gt;"Có",M3165="Có"),OR(DANH_MUC!$L$6&lt;&gt;"Có",N3165="Có"),OR(DANH_MUC!$L$7&lt;&gt;"Có",O3165="Có"),OR(DANH_MUC!$L$8&lt;&gt;"Có",P3165="Có")),"Có","Không"))</f>
        <v/>
      </c>
      <c r="R3165" s="22">
        <f>IF($D3165="","",IF(COUNTIF($D$2:$D3165,$D3165)&gt;1,"Trùng",""))</f>
        <v/>
      </c>
      <c r="S3165" s="22">
        <f>IF($D3165="","",IF(AND(LEN($D3165)=10,LEFT($D3165,1)="0",ISNUMBER(--$D3165)),"Có","Không"))</f>
        <v/>
      </c>
      <c r="T3165" s="22">
        <f>IF($D3165="","",IF(AND($C3165&lt;&gt;"",$Q3165="Có",$R3165="",$S3165="Có",AND($L3165&lt;&gt;"",OR($L3165&lt;&gt;"Chưa xác định",DANH_MUC!$L$9="Có"))),"Có","Không"))</f>
        <v/>
      </c>
      <c r="U3165" s="22">
        <f>IF(OR($D3165="",$T3165="Có"),"",IF($C3165="","Thiếu họ tên; ","")&amp;IF($S3165&lt;&gt;"Có","SĐT sai định dạng; ","")&amp;IF($R3165="Trùng","Trùng SĐT; ","")&amp;IF($Q3165&lt;&gt;"Có","Thiếu đồng ý bắt buộc; ","")&amp;IF($L3165="","Thiếu/sai Mã REF; ",IF(AND($L3165="Chưa xác định",DANH_MUC!$L$9&lt;&gt;"Có"),"Nguồn chưa xác định; ","")))</f>
        <v/>
      </c>
      <c r="V3165" s="22">
        <f>IF(OR($D3165="",$R3165="Trùng"),"",IF(COUNTIF(ORDERS!$C$2:$C$4995,$D3165)&gt;0,"Có","Không"))</f>
        <v/>
      </c>
      <c r="W3165" s="22">
        <f>IF(OR($D3165="",$R3165="Trùng"),"",COUNTIFS(ORDERS!$C$2:$C$4995,$D3165,ORDERS!$L$2:$L$4995,"Đã chuyển khoản"))</f>
        <v/>
      </c>
      <c r="X3165" s="23">
        <f>IF(OR($D3165="",$R3165="Trùng"),"",SUMIFS(ORDERS!$J$2:$J$4995,ORDERS!$C$2:$C$4995,$D3165,ORDERS!$L$2:$L$4995,"Đã chuyển khoản"))</f>
        <v/>
      </c>
      <c r="Y3165" s="24" t="n"/>
    </row>
    <row r="3166" ht="14.25" customHeight="1" s="40">
      <c r="A3166" s="24" t="n"/>
      <c r="B3166" s="27" t="n"/>
      <c r="C3166" s="24" t="n"/>
      <c r="D3166" s="28" t="n"/>
      <c r="E3166" s="29" t="n"/>
      <c r="F3166" s="24" t="n"/>
      <c r="G3166" s="24" t="n"/>
      <c r="H3166" s="21">
        <f>IF(ISNUMBER($B3166),INT($B3166)-WEEKDAY($B3166,2)+1,"")</f>
        <v/>
      </c>
      <c r="I3166" s="24" t="n"/>
      <c r="J3166" s="22">
        <f t="array" ref="J3166">IF($D3166="","",IF($I3166="","(trống REF)",IFERROR(INDEX(MASTER_SOURCE!$B$2:$B$495,MATCH($I3166,MASTER_SOURCE!$A$2:$A$495,0)),"(REF không có trong MASTER_SOURCE)")))</f>
        <v/>
      </c>
      <c r="K3166" s="22">
        <f t="array" ref="K3166">IF($D3166="","",IFERROR(INDEX(MASTER_SOURCE!$C$2:$C$495,MATCH($I3166,MASTER_SOURCE!$A$2:$A$495,0)),""))</f>
        <v/>
      </c>
      <c r="L3166" s="22">
        <f t="array" ref="L3166">IF($D3166="","",IFERROR(INDEX(MASTER_SOURCE!$D$2:$D$495,MATCH($I3166,MASTER_SOURCE!$A$2:$A$495,0)),""))</f>
        <v/>
      </c>
      <c r="M3166" s="24" t="n"/>
      <c r="N3166" s="24" t="n"/>
      <c r="O3166" s="24" t="n"/>
      <c r="P3166" s="24" t="n"/>
      <c r="Q3166" s="22">
        <f>IF($D3166="","",IF(AND(OR(DANH_MUC!$L$5&lt;&gt;"Có",M3166="Có"),OR(DANH_MUC!$L$6&lt;&gt;"Có",N3166="Có"),OR(DANH_MUC!$L$7&lt;&gt;"Có",O3166="Có"),OR(DANH_MUC!$L$8&lt;&gt;"Có",P3166="Có")),"Có","Không"))</f>
        <v/>
      </c>
      <c r="R3166" s="22">
        <f>IF($D3166="","",IF(COUNTIF($D$2:$D3166,$D3166)&gt;1,"Trùng",""))</f>
        <v/>
      </c>
      <c r="S3166" s="22">
        <f>IF($D3166="","",IF(AND(LEN($D3166)=10,LEFT($D3166,1)="0",ISNUMBER(--$D3166)),"Có","Không"))</f>
        <v/>
      </c>
      <c r="T3166" s="22">
        <f>IF($D3166="","",IF(AND($C3166&lt;&gt;"",$Q3166="Có",$R3166="",$S3166="Có",AND($L3166&lt;&gt;"",OR($L3166&lt;&gt;"Chưa xác định",DANH_MUC!$L$9="Có"))),"Có","Không"))</f>
        <v/>
      </c>
      <c r="U3166" s="22">
        <f>IF(OR($D3166="",$T3166="Có"),"",IF($C3166="","Thiếu họ tên; ","")&amp;IF($S3166&lt;&gt;"Có","SĐT sai định dạng; ","")&amp;IF($R3166="Trùng","Trùng SĐT; ","")&amp;IF($Q3166&lt;&gt;"Có","Thiếu đồng ý bắt buộc; ","")&amp;IF($L3166="","Thiếu/sai Mã REF; ",IF(AND($L3166="Chưa xác định",DANH_MUC!$L$9&lt;&gt;"Có"),"Nguồn chưa xác định; ","")))</f>
        <v/>
      </c>
      <c r="V3166" s="22">
        <f>IF(OR($D3166="",$R3166="Trùng"),"",IF(COUNTIF(ORDERS!$C$2:$C$4995,$D3166)&gt;0,"Có","Không"))</f>
        <v/>
      </c>
      <c r="W3166" s="22">
        <f>IF(OR($D3166="",$R3166="Trùng"),"",COUNTIFS(ORDERS!$C$2:$C$4995,$D3166,ORDERS!$L$2:$L$4995,"Đã chuyển khoản"))</f>
        <v/>
      </c>
      <c r="X3166" s="23">
        <f>IF(OR($D3166="",$R3166="Trùng"),"",SUMIFS(ORDERS!$J$2:$J$4995,ORDERS!$C$2:$C$4995,$D3166,ORDERS!$L$2:$L$4995,"Đã chuyển khoản"))</f>
        <v/>
      </c>
      <c r="Y3166" s="24" t="n"/>
    </row>
    <row r="3167" ht="14.25" customHeight="1" s="40">
      <c r="A3167" s="24" t="n"/>
      <c r="B3167" s="27" t="n"/>
      <c r="C3167" s="24" t="n"/>
      <c r="D3167" s="28" t="n"/>
      <c r="E3167" s="29" t="n"/>
      <c r="F3167" s="24" t="n"/>
      <c r="G3167" s="24" t="n"/>
      <c r="H3167" s="21">
        <f>IF(ISNUMBER($B3167),INT($B3167)-WEEKDAY($B3167,2)+1,"")</f>
        <v/>
      </c>
      <c r="I3167" s="24" t="n"/>
      <c r="J3167" s="22">
        <f t="array" ref="J3167">IF($D3167="","",IF($I3167="","(trống REF)",IFERROR(INDEX(MASTER_SOURCE!$B$2:$B$495,MATCH($I3167,MASTER_SOURCE!$A$2:$A$495,0)),"(REF không có trong MASTER_SOURCE)")))</f>
        <v/>
      </c>
      <c r="K3167" s="22">
        <f t="array" ref="K3167">IF($D3167="","",IFERROR(INDEX(MASTER_SOURCE!$C$2:$C$495,MATCH($I3167,MASTER_SOURCE!$A$2:$A$495,0)),""))</f>
        <v/>
      </c>
      <c r="L3167" s="22">
        <f t="array" ref="L3167">IF($D3167="","",IFERROR(INDEX(MASTER_SOURCE!$D$2:$D$495,MATCH($I3167,MASTER_SOURCE!$A$2:$A$495,0)),""))</f>
        <v/>
      </c>
      <c r="M3167" s="24" t="n"/>
      <c r="N3167" s="24" t="n"/>
      <c r="O3167" s="24" t="n"/>
      <c r="P3167" s="24" t="n"/>
      <c r="Q3167" s="22">
        <f>IF($D3167="","",IF(AND(OR(DANH_MUC!$L$5&lt;&gt;"Có",M3167="Có"),OR(DANH_MUC!$L$6&lt;&gt;"Có",N3167="Có"),OR(DANH_MUC!$L$7&lt;&gt;"Có",O3167="Có"),OR(DANH_MUC!$L$8&lt;&gt;"Có",P3167="Có")),"Có","Không"))</f>
        <v/>
      </c>
      <c r="R3167" s="22">
        <f>IF($D3167="","",IF(COUNTIF($D$2:$D3167,$D3167)&gt;1,"Trùng",""))</f>
        <v/>
      </c>
      <c r="S3167" s="22">
        <f>IF($D3167="","",IF(AND(LEN($D3167)=10,LEFT($D3167,1)="0",ISNUMBER(--$D3167)),"Có","Không"))</f>
        <v/>
      </c>
      <c r="T3167" s="22">
        <f>IF($D3167="","",IF(AND($C3167&lt;&gt;"",$Q3167="Có",$R3167="",$S3167="Có",AND($L3167&lt;&gt;"",OR($L3167&lt;&gt;"Chưa xác định",DANH_MUC!$L$9="Có"))),"Có","Không"))</f>
        <v/>
      </c>
      <c r="U3167" s="22">
        <f>IF(OR($D3167="",$T3167="Có"),"",IF($C3167="","Thiếu họ tên; ","")&amp;IF($S3167&lt;&gt;"Có","SĐT sai định dạng; ","")&amp;IF($R3167="Trùng","Trùng SĐT; ","")&amp;IF($Q3167&lt;&gt;"Có","Thiếu đồng ý bắt buộc; ","")&amp;IF($L3167="","Thiếu/sai Mã REF; ",IF(AND($L3167="Chưa xác định",DANH_MUC!$L$9&lt;&gt;"Có"),"Nguồn chưa xác định; ","")))</f>
        <v/>
      </c>
      <c r="V3167" s="22">
        <f>IF(OR($D3167="",$R3167="Trùng"),"",IF(COUNTIF(ORDERS!$C$2:$C$4995,$D3167)&gt;0,"Có","Không"))</f>
        <v/>
      </c>
      <c r="W3167" s="22">
        <f>IF(OR($D3167="",$R3167="Trùng"),"",COUNTIFS(ORDERS!$C$2:$C$4995,$D3167,ORDERS!$L$2:$L$4995,"Đã chuyển khoản"))</f>
        <v/>
      </c>
      <c r="X3167" s="23">
        <f>IF(OR($D3167="",$R3167="Trùng"),"",SUMIFS(ORDERS!$J$2:$J$4995,ORDERS!$C$2:$C$4995,$D3167,ORDERS!$L$2:$L$4995,"Đã chuyển khoản"))</f>
        <v/>
      </c>
      <c r="Y3167" s="24" t="n"/>
    </row>
    <row r="3168" ht="14.25" customHeight="1" s="40">
      <c r="A3168" s="24" t="n"/>
      <c r="B3168" s="27" t="n"/>
      <c r="C3168" s="24" t="n"/>
      <c r="D3168" s="28" t="n"/>
      <c r="E3168" s="29" t="n"/>
      <c r="F3168" s="24" t="n"/>
      <c r="G3168" s="24" t="n"/>
      <c r="H3168" s="21">
        <f>IF(ISNUMBER($B3168),INT($B3168)-WEEKDAY($B3168,2)+1,"")</f>
        <v/>
      </c>
      <c r="I3168" s="24" t="n"/>
      <c r="J3168" s="22">
        <f t="array" ref="J3168">IF($D3168="","",IF($I3168="","(trống REF)",IFERROR(INDEX(MASTER_SOURCE!$B$2:$B$495,MATCH($I3168,MASTER_SOURCE!$A$2:$A$495,0)),"(REF không có trong MASTER_SOURCE)")))</f>
        <v/>
      </c>
      <c r="K3168" s="22">
        <f t="array" ref="K3168">IF($D3168="","",IFERROR(INDEX(MASTER_SOURCE!$C$2:$C$495,MATCH($I3168,MASTER_SOURCE!$A$2:$A$495,0)),""))</f>
        <v/>
      </c>
      <c r="L3168" s="22">
        <f t="array" ref="L3168">IF($D3168="","",IFERROR(INDEX(MASTER_SOURCE!$D$2:$D$495,MATCH($I3168,MASTER_SOURCE!$A$2:$A$495,0)),""))</f>
        <v/>
      </c>
      <c r="M3168" s="24" t="n"/>
      <c r="N3168" s="24" t="n"/>
      <c r="O3168" s="24" t="n"/>
      <c r="P3168" s="24" t="n"/>
      <c r="Q3168" s="22">
        <f>IF($D3168="","",IF(AND(OR(DANH_MUC!$L$5&lt;&gt;"Có",M3168="Có"),OR(DANH_MUC!$L$6&lt;&gt;"Có",N3168="Có"),OR(DANH_MUC!$L$7&lt;&gt;"Có",O3168="Có"),OR(DANH_MUC!$L$8&lt;&gt;"Có",P3168="Có")),"Có","Không"))</f>
        <v/>
      </c>
      <c r="R3168" s="22">
        <f>IF($D3168="","",IF(COUNTIF($D$2:$D3168,$D3168)&gt;1,"Trùng",""))</f>
        <v/>
      </c>
      <c r="S3168" s="22">
        <f>IF($D3168="","",IF(AND(LEN($D3168)=10,LEFT($D3168,1)="0",ISNUMBER(--$D3168)),"Có","Không"))</f>
        <v/>
      </c>
      <c r="T3168" s="22">
        <f>IF($D3168="","",IF(AND($C3168&lt;&gt;"",$Q3168="Có",$R3168="",$S3168="Có",AND($L3168&lt;&gt;"",OR($L3168&lt;&gt;"Chưa xác định",DANH_MUC!$L$9="Có"))),"Có","Không"))</f>
        <v/>
      </c>
      <c r="U3168" s="22">
        <f>IF(OR($D3168="",$T3168="Có"),"",IF($C3168="","Thiếu họ tên; ","")&amp;IF($S3168&lt;&gt;"Có","SĐT sai định dạng; ","")&amp;IF($R3168="Trùng","Trùng SĐT; ","")&amp;IF($Q3168&lt;&gt;"Có","Thiếu đồng ý bắt buộc; ","")&amp;IF($L3168="","Thiếu/sai Mã REF; ",IF(AND($L3168="Chưa xác định",DANH_MUC!$L$9&lt;&gt;"Có"),"Nguồn chưa xác định; ","")))</f>
        <v/>
      </c>
      <c r="V3168" s="22">
        <f>IF(OR($D3168="",$R3168="Trùng"),"",IF(COUNTIF(ORDERS!$C$2:$C$4995,$D3168)&gt;0,"Có","Không"))</f>
        <v/>
      </c>
      <c r="W3168" s="22">
        <f>IF(OR($D3168="",$R3168="Trùng"),"",COUNTIFS(ORDERS!$C$2:$C$4995,$D3168,ORDERS!$L$2:$L$4995,"Đã chuyển khoản"))</f>
        <v/>
      </c>
      <c r="X3168" s="23">
        <f>IF(OR($D3168="",$R3168="Trùng"),"",SUMIFS(ORDERS!$J$2:$J$4995,ORDERS!$C$2:$C$4995,$D3168,ORDERS!$L$2:$L$4995,"Đã chuyển khoản"))</f>
        <v/>
      </c>
      <c r="Y3168" s="24" t="n"/>
    </row>
    <row r="3169" ht="14.25" customHeight="1" s="40">
      <c r="A3169" s="24" t="n"/>
      <c r="B3169" s="27" t="n"/>
      <c r="C3169" s="24" t="n"/>
      <c r="D3169" s="28" t="n"/>
      <c r="E3169" s="29" t="n"/>
      <c r="F3169" s="24" t="n"/>
      <c r="G3169" s="24" t="n"/>
      <c r="H3169" s="21">
        <f>IF(ISNUMBER($B3169),INT($B3169)-WEEKDAY($B3169,2)+1,"")</f>
        <v/>
      </c>
      <c r="I3169" s="24" t="n"/>
      <c r="J3169" s="22">
        <f t="array" ref="J3169">IF($D3169="","",IF($I3169="","(trống REF)",IFERROR(INDEX(MASTER_SOURCE!$B$2:$B$495,MATCH($I3169,MASTER_SOURCE!$A$2:$A$495,0)),"(REF không có trong MASTER_SOURCE)")))</f>
        <v/>
      </c>
      <c r="K3169" s="22">
        <f t="array" ref="K3169">IF($D3169="","",IFERROR(INDEX(MASTER_SOURCE!$C$2:$C$495,MATCH($I3169,MASTER_SOURCE!$A$2:$A$495,0)),""))</f>
        <v/>
      </c>
      <c r="L3169" s="22">
        <f t="array" ref="L3169">IF($D3169="","",IFERROR(INDEX(MASTER_SOURCE!$D$2:$D$495,MATCH($I3169,MASTER_SOURCE!$A$2:$A$495,0)),""))</f>
        <v/>
      </c>
      <c r="M3169" s="24" t="n"/>
      <c r="N3169" s="24" t="n"/>
      <c r="O3169" s="24" t="n"/>
      <c r="P3169" s="24" t="n"/>
      <c r="Q3169" s="22">
        <f>IF($D3169="","",IF(AND(OR(DANH_MUC!$L$5&lt;&gt;"Có",M3169="Có"),OR(DANH_MUC!$L$6&lt;&gt;"Có",N3169="Có"),OR(DANH_MUC!$L$7&lt;&gt;"Có",O3169="Có"),OR(DANH_MUC!$L$8&lt;&gt;"Có",P3169="Có")),"Có","Không"))</f>
        <v/>
      </c>
      <c r="R3169" s="22">
        <f>IF($D3169="","",IF(COUNTIF($D$2:$D3169,$D3169)&gt;1,"Trùng",""))</f>
        <v/>
      </c>
      <c r="S3169" s="22">
        <f>IF($D3169="","",IF(AND(LEN($D3169)=10,LEFT($D3169,1)="0",ISNUMBER(--$D3169)),"Có","Không"))</f>
        <v/>
      </c>
      <c r="T3169" s="22">
        <f>IF($D3169="","",IF(AND($C3169&lt;&gt;"",$Q3169="Có",$R3169="",$S3169="Có",AND($L3169&lt;&gt;"",OR($L3169&lt;&gt;"Chưa xác định",DANH_MUC!$L$9="Có"))),"Có","Không"))</f>
        <v/>
      </c>
      <c r="U3169" s="22">
        <f>IF(OR($D3169="",$T3169="Có"),"",IF($C3169="","Thiếu họ tên; ","")&amp;IF($S3169&lt;&gt;"Có","SĐT sai định dạng; ","")&amp;IF($R3169="Trùng","Trùng SĐT; ","")&amp;IF($Q3169&lt;&gt;"Có","Thiếu đồng ý bắt buộc; ","")&amp;IF($L3169="","Thiếu/sai Mã REF; ",IF(AND($L3169="Chưa xác định",DANH_MUC!$L$9&lt;&gt;"Có"),"Nguồn chưa xác định; ","")))</f>
        <v/>
      </c>
      <c r="V3169" s="22">
        <f>IF(OR($D3169="",$R3169="Trùng"),"",IF(COUNTIF(ORDERS!$C$2:$C$4995,$D3169)&gt;0,"Có","Không"))</f>
        <v/>
      </c>
      <c r="W3169" s="22">
        <f>IF(OR($D3169="",$R3169="Trùng"),"",COUNTIFS(ORDERS!$C$2:$C$4995,$D3169,ORDERS!$L$2:$L$4995,"Đã chuyển khoản"))</f>
        <v/>
      </c>
      <c r="X3169" s="23">
        <f>IF(OR($D3169="",$R3169="Trùng"),"",SUMIFS(ORDERS!$J$2:$J$4995,ORDERS!$C$2:$C$4995,$D3169,ORDERS!$L$2:$L$4995,"Đã chuyển khoản"))</f>
        <v/>
      </c>
      <c r="Y3169" s="24" t="n"/>
    </row>
    <row r="3170" ht="14.25" customHeight="1" s="40">
      <c r="A3170" s="24" t="n"/>
      <c r="B3170" s="27" t="n"/>
      <c r="C3170" s="24" t="n"/>
      <c r="D3170" s="28" t="n"/>
      <c r="E3170" s="29" t="n"/>
      <c r="F3170" s="24" t="n"/>
      <c r="G3170" s="24" t="n"/>
      <c r="H3170" s="21">
        <f>IF(ISNUMBER($B3170),INT($B3170)-WEEKDAY($B3170,2)+1,"")</f>
        <v/>
      </c>
      <c r="I3170" s="24" t="n"/>
      <c r="J3170" s="22">
        <f t="array" ref="J3170">IF($D3170="","",IF($I3170="","(trống REF)",IFERROR(INDEX(MASTER_SOURCE!$B$2:$B$495,MATCH($I3170,MASTER_SOURCE!$A$2:$A$495,0)),"(REF không có trong MASTER_SOURCE)")))</f>
        <v/>
      </c>
      <c r="K3170" s="22">
        <f t="array" ref="K3170">IF($D3170="","",IFERROR(INDEX(MASTER_SOURCE!$C$2:$C$495,MATCH($I3170,MASTER_SOURCE!$A$2:$A$495,0)),""))</f>
        <v/>
      </c>
      <c r="L3170" s="22">
        <f t="array" ref="L3170">IF($D3170="","",IFERROR(INDEX(MASTER_SOURCE!$D$2:$D$495,MATCH($I3170,MASTER_SOURCE!$A$2:$A$495,0)),""))</f>
        <v/>
      </c>
      <c r="M3170" s="24" t="n"/>
      <c r="N3170" s="24" t="n"/>
      <c r="O3170" s="24" t="n"/>
      <c r="P3170" s="24" t="n"/>
      <c r="Q3170" s="22">
        <f>IF($D3170="","",IF(AND(OR(DANH_MUC!$L$5&lt;&gt;"Có",M3170="Có"),OR(DANH_MUC!$L$6&lt;&gt;"Có",N3170="Có"),OR(DANH_MUC!$L$7&lt;&gt;"Có",O3170="Có"),OR(DANH_MUC!$L$8&lt;&gt;"Có",P3170="Có")),"Có","Không"))</f>
        <v/>
      </c>
      <c r="R3170" s="22">
        <f>IF($D3170="","",IF(COUNTIF($D$2:$D3170,$D3170)&gt;1,"Trùng",""))</f>
        <v/>
      </c>
      <c r="S3170" s="22">
        <f>IF($D3170="","",IF(AND(LEN($D3170)=10,LEFT($D3170,1)="0",ISNUMBER(--$D3170)),"Có","Không"))</f>
        <v/>
      </c>
      <c r="T3170" s="22">
        <f>IF($D3170="","",IF(AND($C3170&lt;&gt;"",$Q3170="Có",$R3170="",$S3170="Có",AND($L3170&lt;&gt;"",OR($L3170&lt;&gt;"Chưa xác định",DANH_MUC!$L$9="Có"))),"Có","Không"))</f>
        <v/>
      </c>
      <c r="U3170" s="22">
        <f>IF(OR($D3170="",$T3170="Có"),"",IF($C3170="","Thiếu họ tên; ","")&amp;IF($S3170&lt;&gt;"Có","SĐT sai định dạng; ","")&amp;IF($R3170="Trùng","Trùng SĐT; ","")&amp;IF($Q3170&lt;&gt;"Có","Thiếu đồng ý bắt buộc; ","")&amp;IF($L3170="","Thiếu/sai Mã REF; ",IF(AND($L3170="Chưa xác định",DANH_MUC!$L$9&lt;&gt;"Có"),"Nguồn chưa xác định; ","")))</f>
        <v/>
      </c>
      <c r="V3170" s="22">
        <f>IF(OR($D3170="",$R3170="Trùng"),"",IF(COUNTIF(ORDERS!$C$2:$C$4995,$D3170)&gt;0,"Có","Không"))</f>
        <v/>
      </c>
      <c r="W3170" s="22">
        <f>IF(OR($D3170="",$R3170="Trùng"),"",COUNTIFS(ORDERS!$C$2:$C$4995,$D3170,ORDERS!$L$2:$L$4995,"Đã chuyển khoản"))</f>
        <v/>
      </c>
      <c r="X3170" s="23">
        <f>IF(OR($D3170="",$R3170="Trùng"),"",SUMIFS(ORDERS!$J$2:$J$4995,ORDERS!$C$2:$C$4995,$D3170,ORDERS!$L$2:$L$4995,"Đã chuyển khoản"))</f>
        <v/>
      </c>
      <c r="Y3170" s="24" t="n"/>
    </row>
    <row r="3171" ht="14.25" customHeight="1" s="40">
      <c r="A3171" s="24" t="n"/>
      <c r="B3171" s="27" t="n"/>
      <c r="C3171" s="24" t="n"/>
      <c r="D3171" s="28" t="n"/>
      <c r="E3171" s="29" t="n"/>
      <c r="F3171" s="24" t="n"/>
      <c r="G3171" s="24" t="n"/>
      <c r="H3171" s="21">
        <f>IF(ISNUMBER($B3171),INT($B3171)-WEEKDAY($B3171,2)+1,"")</f>
        <v/>
      </c>
      <c r="I3171" s="24" t="n"/>
      <c r="J3171" s="22">
        <f t="array" ref="J3171">IF($D3171="","",IF($I3171="","(trống REF)",IFERROR(INDEX(MASTER_SOURCE!$B$2:$B$495,MATCH($I3171,MASTER_SOURCE!$A$2:$A$495,0)),"(REF không có trong MASTER_SOURCE)")))</f>
        <v/>
      </c>
      <c r="K3171" s="22">
        <f t="array" ref="K3171">IF($D3171="","",IFERROR(INDEX(MASTER_SOURCE!$C$2:$C$495,MATCH($I3171,MASTER_SOURCE!$A$2:$A$495,0)),""))</f>
        <v/>
      </c>
      <c r="L3171" s="22">
        <f t="array" ref="L3171">IF($D3171="","",IFERROR(INDEX(MASTER_SOURCE!$D$2:$D$495,MATCH($I3171,MASTER_SOURCE!$A$2:$A$495,0)),""))</f>
        <v/>
      </c>
      <c r="M3171" s="24" t="n"/>
      <c r="N3171" s="24" t="n"/>
      <c r="O3171" s="24" t="n"/>
      <c r="P3171" s="24" t="n"/>
      <c r="Q3171" s="22">
        <f>IF($D3171="","",IF(AND(OR(DANH_MUC!$L$5&lt;&gt;"Có",M3171="Có"),OR(DANH_MUC!$L$6&lt;&gt;"Có",N3171="Có"),OR(DANH_MUC!$L$7&lt;&gt;"Có",O3171="Có"),OR(DANH_MUC!$L$8&lt;&gt;"Có",P3171="Có")),"Có","Không"))</f>
        <v/>
      </c>
      <c r="R3171" s="22">
        <f>IF($D3171="","",IF(COUNTIF($D$2:$D3171,$D3171)&gt;1,"Trùng",""))</f>
        <v/>
      </c>
      <c r="S3171" s="22">
        <f>IF($D3171="","",IF(AND(LEN($D3171)=10,LEFT($D3171,1)="0",ISNUMBER(--$D3171)),"Có","Không"))</f>
        <v/>
      </c>
      <c r="T3171" s="22">
        <f>IF($D3171="","",IF(AND($C3171&lt;&gt;"",$Q3171="Có",$R3171="",$S3171="Có",AND($L3171&lt;&gt;"",OR($L3171&lt;&gt;"Chưa xác định",DANH_MUC!$L$9="Có"))),"Có","Không"))</f>
        <v/>
      </c>
      <c r="U3171" s="22">
        <f>IF(OR($D3171="",$T3171="Có"),"",IF($C3171="","Thiếu họ tên; ","")&amp;IF($S3171&lt;&gt;"Có","SĐT sai định dạng; ","")&amp;IF($R3171="Trùng","Trùng SĐT; ","")&amp;IF($Q3171&lt;&gt;"Có","Thiếu đồng ý bắt buộc; ","")&amp;IF($L3171="","Thiếu/sai Mã REF; ",IF(AND($L3171="Chưa xác định",DANH_MUC!$L$9&lt;&gt;"Có"),"Nguồn chưa xác định; ","")))</f>
        <v/>
      </c>
      <c r="V3171" s="22">
        <f>IF(OR($D3171="",$R3171="Trùng"),"",IF(COUNTIF(ORDERS!$C$2:$C$4995,$D3171)&gt;0,"Có","Không"))</f>
        <v/>
      </c>
      <c r="W3171" s="22">
        <f>IF(OR($D3171="",$R3171="Trùng"),"",COUNTIFS(ORDERS!$C$2:$C$4995,$D3171,ORDERS!$L$2:$L$4995,"Đã chuyển khoản"))</f>
        <v/>
      </c>
      <c r="X3171" s="23">
        <f>IF(OR($D3171="",$R3171="Trùng"),"",SUMIFS(ORDERS!$J$2:$J$4995,ORDERS!$C$2:$C$4995,$D3171,ORDERS!$L$2:$L$4995,"Đã chuyển khoản"))</f>
        <v/>
      </c>
      <c r="Y3171" s="24" t="n"/>
    </row>
    <row r="3172" ht="14.25" customHeight="1" s="40">
      <c r="A3172" s="24" t="n"/>
      <c r="B3172" s="27" t="n"/>
      <c r="C3172" s="24" t="n"/>
      <c r="D3172" s="28" t="n"/>
      <c r="E3172" s="29" t="n"/>
      <c r="F3172" s="24" t="n"/>
      <c r="G3172" s="24" t="n"/>
      <c r="H3172" s="21">
        <f>IF(ISNUMBER($B3172),INT($B3172)-WEEKDAY($B3172,2)+1,"")</f>
        <v/>
      </c>
      <c r="I3172" s="24" t="n"/>
      <c r="J3172" s="22">
        <f t="array" ref="J3172">IF($D3172="","",IF($I3172="","(trống REF)",IFERROR(INDEX(MASTER_SOURCE!$B$2:$B$495,MATCH($I3172,MASTER_SOURCE!$A$2:$A$495,0)),"(REF không có trong MASTER_SOURCE)")))</f>
        <v/>
      </c>
      <c r="K3172" s="22">
        <f t="array" ref="K3172">IF($D3172="","",IFERROR(INDEX(MASTER_SOURCE!$C$2:$C$495,MATCH($I3172,MASTER_SOURCE!$A$2:$A$495,0)),""))</f>
        <v/>
      </c>
      <c r="L3172" s="22">
        <f t="array" ref="L3172">IF($D3172="","",IFERROR(INDEX(MASTER_SOURCE!$D$2:$D$495,MATCH($I3172,MASTER_SOURCE!$A$2:$A$495,0)),""))</f>
        <v/>
      </c>
      <c r="M3172" s="24" t="n"/>
      <c r="N3172" s="24" t="n"/>
      <c r="O3172" s="24" t="n"/>
      <c r="P3172" s="24" t="n"/>
      <c r="Q3172" s="22">
        <f>IF($D3172="","",IF(AND(OR(DANH_MUC!$L$5&lt;&gt;"Có",M3172="Có"),OR(DANH_MUC!$L$6&lt;&gt;"Có",N3172="Có"),OR(DANH_MUC!$L$7&lt;&gt;"Có",O3172="Có"),OR(DANH_MUC!$L$8&lt;&gt;"Có",P3172="Có")),"Có","Không"))</f>
        <v/>
      </c>
      <c r="R3172" s="22">
        <f>IF($D3172="","",IF(COUNTIF($D$2:$D3172,$D3172)&gt;1,"Trùng",""))</f>
        <v/>
      </c>
      <c r="S3172" s="22">
        <f>IF($D3172="","",IF(AND(LEN($D3172)=10,LEFT($D3172,1)="0",ISNUMBER(--$D3172)),"Có","Không"))</f>
        <v/>
      </c>
      <c r="T3172" s="22">
        <f>IF($D3172="","",IF(AND($C3172&lt;&gt;"",$Q3172="Có",$R3172="",$S3172="Có",AND($L3172&lt;&gt;"",OR($L3172&lt;&gt;"Chưa xác định",DANH_MUC!$L$9="Có"))),"Có","Không"))</f>
        <v/>
      </c>
      <c r="U3172" s="22">
        <f>IF(OR($D3172="",$T3172="Có"),"",IF($C3172="","Thiếu họ tên; ","")&amp;IF($S3172&lt;&gt;"Có","SĐT sai định dạng; ","")&amp;IF($R3172="Trùng","Trùng SĐT; ","")&amp;IF($Q3172&lt;&gt;"Có","Thiếu đồng ý bắt buộc; ","")&amp;IF($L3172="","Thiếu/sai Mã REF; ",IF(AND($L3172="Chưa xác định",DANH_MUC!$L$9&lt;&gt;"Có"),"Nguồn chưa xác định; ","")))</f>
        <v/>
      </c>
      <c r="V3172" s="22">
        <f>IF(OR($D3172="",$R3172="Trùng"),"",IF(COUNTIF(ORDERS!$C$2:$C$4995,$D3172)&gt;0,"Có","Không"))</f>
        <v/>
      </c>
      <c r="W3172" s="22">
        <f>IF(OR($D3172="",$R3172="Trùng"),"",COUNTIFS(ORDERS!$C$2:$C$4995,$D3172,ORDERS!$L$2:$L$4995,"Đã chuyển khoản"))</f>
        <v/>
      </c>
      <c r="X3172" s="23">
        <f>IF(OR($D3172="",$R3172="Trùng"),"",SUMIFS(ORDERS!$J$2:$J$4995,ORDERS!$C$2:$C$4995,$D3172,ORDERS!$L$2:$L$4995,"Đã chuyển khoản"))</f>
        <v/>
      </c>
      <c r="Y3172" s="24" t="n"/>
    </row>
    <row r="3173" ht="14.25" customHeight="1" s="40">
      <c r="A3173" s="24" t="n"/>
      <c r="B3173" s="27" t="n"/>
      <c r="C3173" s="24" t="n"/>
      <c r="D3173" s="28" t="n"/>
      <c r="E3173" s="29" t="n"/>
      <c r="F3173" s="24" t="n"/>
      <c r="G3173" s="24" t="n"/>
      <c r="H3173" s="21">
        <f>IF(ISNUMBER($B3173),INT($B3173)-WEEKDAY($B3173,2)+1,"")</f>
        <v/>
      </c>
      <c r="I3173" s="24" t="n"/>
      <c r="J3173" s="22">
        <f t="array" ref="J3173">IF($D3173="","",IF($I3173="","(trống REF)",IFERROR(INDEX(MASTER_SOURCE!$B$2:$B$495,MATCH($I3173,MASTER_SOURCE!$A$2:$A$495,0)),"(REF không có trong MASTER_SOURCE)")))</f>
        <v/>
      </c>
      <c r="K3173" s="22">
        <f t="array" ref="K3173">IF($D3173="","",IFERROR(INDEX(MASTER_SOURCE!$C$2:$C$495,MATCH($I3173,MASTER_SOURCE!$A$2:$A$495,0)),""))</f>
        <v/>
      </c>
      <c r="L3173" s="22">
        <f t="array" ref="L3173">IF($D3173="","",IFERROR(INDEX(MASTER_SOURCE!$D$2:$D$495,MATCH($I3173,MASTER_SOURCE!$A$2:$A$495,0)),""))</f>
        <v/>
      </c>
      <c r="M3173" s="24" t="n"/>
      <c r="N3173" s="24" t="n"/>
      <c r="O3173" s="24" t="n"/>
      <c r="P3173" s="24" t="n"/>
      <c r="Q3173" s="22">
        <f>IF($D3173="","",IF(AND(OR(DANH_MUC!$L$5&lt;&gt;"Có",M3173="Có"),OR(DANH_MUC!$L$6&lt;&gt;"Có",N3173="Có"),OR(DANH_MUC!$L$7&lt;&gt;"Có",O3173="Có"),OR(DANH_MUC!$L$8&lt;&gt;"Có",P3173="Có")),"Có","Không"))</f>
        <v/>
      </c>
      <c r="R3173" s="22">
        <f>IF($D3173="","",IF(COUNTIF($D$2:$D3173,$D3173)&gt;1,"Trùng",""))</f>
        <v/>
      </c>
      <c r="S3173" s="22">
        <f>IF($D3173="","",IF(AND(LEN($D3173)=10,LEFT($D3173,1)="0",ISNUMBER(--$D3173)),"Có","Không"))</f>
        <v/>
      </c>
      <c r="T3173" s="22">
        <f>IF($D3173="","",IF(AND($C3173&lt;&gt;"",$Q3173="Có",$R3173="",$S3173="Có",AND($L3173&lt;&gt;"",OR($L3173&lt;&gt;"Chưa xác định",DANH_MUC!$L$9="Có"))),"Có","Không"))</f>
        <v/>
      </c>
      <c r="U3173" s="22">
        <f>IF(OR($D3173="",$T3173="Có"),"",IF($C3173="","Thiếu họ tên; ","")&amp;IF($S3173&lt;&gt;"Có","SĐT sai định dạng; ","")&amp;IF($R3173="Trùng","Trùng SĐT; ","")&amp;IF($Q3173&lt;&gt;"Có","Thiếu đồng ý bắt buộc; ","")&amp;IF($L3173="","Thiếu/sai Mã REF; ",IF(AND($L3173="Chưa xác định",DANH_MUC!$L$9&lt;&gt;"Có"),"Nguồn chưa xác định; ","")))</f>
        <v/>
      </c>
      <c r="V3173" s="22">
        <f>IF(OR($D3173="",$R3173="Trùng"),"",IF(COUNTIF(ORDERS!$C$2:$C$4995,$D3173)&gt;0,"Có","Không"))</f>
        <v/>
      </c>
      <c r="W3173" s="22">
        <f>IF(OR($D3173="",$R3173="Trùng"),"",COUNTIFS(ORDERS!$C$2:$C$4995,$D3173,ORDERS!$L$2:$L$4995,"Đã chuyển khoản"))</f>
        <v/>
      </c>
      <c r="X3173" s="23">
        <f>IF(OR($D3173="",$R3173="Trùng"),"",SUMIFS(ORDERS!$J$2:$J$4995,ORDERS!$C$2:$C$4995,$D3173,ORDERS!$L$2:$L$4995,"Đã chuyển khoản"))</f>
        <v/>
      </c>
      <c r="Y3173" s="24" t="n"/>
    </row>
    <row r="3174" ht="14.25" customHeight="1" s="40">
      <c r="A3174" s="24" t="n"/>
      <c r="B3174" s="27" t="n"/>
      <c r="C3174" s="24" t="n"/>
      <c r="D3174" s="28" t="n"/>
      <c r="E3174" s="29" t="n"/>
      <c r="F3174" s="24" t="n"/>
      <c r="G3174" s="24" t="n"/>
      <c r="H3174" s="21">
        <f>IF(ISNUMBER($B3174),INT($B3174)-WEEKDAY($B3174,2)+1,"")</f>
        <v/>
      </c>
      <c r="I3174" s="24" t="n"/>
      <c r="J3174" s="22">
        <f t="array" ref="J3174">IF($D3174="","",IF($I3174="","(trống REF)",IFERROR(INDEX(MASTER_SOURCE!$B$2:$B$495,MATCH($I3174,MASTER_SOURCE!$A$2:$A$495,0)),"(REF không có trong MASTER_SOURCE)")))</f>
        <v/>
      </c>
      <c r="K3174" s="22">
        <f t="array" ref="K3174">IF($D3174="","",IFERROR(INDEX(MASTER_SOURCE!$C$2:$C$495,MATCH($I3174,MASTER_SOURCE!$A$2:$A$495,0)),""))</f>
        <v/>
      </c>
      <c r="L3174" s="22">
        <f t="array" ref="L3174">IF($D3174="","",IFERROR(INDEX(MASTER_SOURCE!$D$2:$D$495,MATCH($I3174,MASTER_SOURCE!$A$2:$A$495,0)),""))</f>
        <v/>
      </c>
      <c r="M3174" s="24" t="n"/>
      <c r="N3174" s="24" t="n"/>
      <c r="O3174" s="24" t="n"/>
      <c r="P3174" s="24" t="n"/>
      <c r="Q3174" s="22">
        <f>IF($D3174="","",IF(AND(OR(DANH_MUC!$L$5&lt;&gt;"Có",M3174="Có"),OR(DANH_MUC!$L$6&lt;&gt;"Có",N3174="Có"),OR(DANH_MUC!$L$7&lt;&gt;"Có",O3174="Có"),OR(DANH_MUC!$L$8&lt;&gt;"Có",P3174="Có")),"Có","Không"))</f>
        <v/>
      </c>
      <c r="R3174" s="22">
        <f>IF($D3174="","",IF(COUNTIF($D$2:$D3174,$D3174)&gt;1,"Trùng",""))</f>
        <v/>
      </c>
      <c r="S3174" s="22">
        <f>IF($D3174="","",IF(AND(LEN($D3174)=10,LEFT($D3174,1)="0",ISNUMBER(--$D3174)),"Có","Không"))</f>
        <v/>
      </c>
      <c r="T3174" s="22">
        <f>IF($D3174="","",IF(AND($C3174&lt;&gt;"",$Q3174="Có",$R3174="",$S3174="Có",AND($L3174&lt;&gt;"",OR($L3174&lt;&gt;"Chưa xác định",DANH_MUC!$L$9="Có"))),"Có","Không"))</f>
        <v/>
      </c>
      <c r="U3174" s="22">
        <f>IF(OR($D3174="",$T3174="Có"),"",IF($C3174="","Thiếu họ tên; ","")&amp;IF($S3174&lt;&gt;"Có","SĐT sai định dạng; ","")&amp;IF($R3174="Trùng","Trùng SĐT; ","")&amp;IF($Q3174&lt;&gt;"Có","Thiếu đồng ý bắt buộc; ","")&amp;IF($L3174="","Thiếu/sai Mã REF; ",IF(AND($L3174="Chưa xác định",DANH_MUC!$L$9&lt;&gt;"Có"),"Nguồn chưa xác định; ","")))</f>
        <v/>
      </c>
      <c r="V3174" s="22">
        <f>IF(OR($D3174="",$R3174="Trùng"),"",IF(COUNTIF(ORDERS!$C$2:$C$4995,$D3174)&gt;0,"Có","Không"))</f>
        <v/>
      </c>
      <c r="W3174" s="22">
        <f>IF(OR($D3174="",$R3174="Trùng"),"",COUNTIFS(ORDERS!$C$2:$C$4995,$D3174,ORDERS!$L$2:$L$4995,"Đã chuyển khoản"))</f>
        <v/>
      </c>
      <c r="X3174" s="23">
        <f>IF(OR($D3174="",$R3174="Trùng"),"",SUMIFS(ORDERS!$J$2:$J$4995,ORDERS!$C$2:$C$4995,$D3174,ORDERS!$L$2:$L$4995,"Đã chuyển khoản"))</f>
        <v/>
      </c>
      <c r="Y3174" s="24" t="n"/>
    </row>
    <row r="3175" ht="14.25" customHeight="1" s="40">
      <c r="A3175" s="24" t="n"/>
      <c r="B3175" s="27" t="n"/>
      <c r="C3175" s="24" t="n"/>
      <c r="D3175" s="28" t="n"/>
      <c r="E3175" s="29" t="n"/>
      <c r="F3175" s="24" t="n"/>
      <c r="G3175" s="24" t="n"/>
      <c r="H3175" s="21">
        <f>IF(ISNUMBER($B3175),INT($B3175)-WEEKDAY($B3175,2)+1,"")</f>
        <v/>
      </c>
      <c r="I3175" s="24" t="n"/>
      <c r="J3175" s="22">
        <f t="array" ref="J3175">IF($D3175="","",IF($I3175="","(trống REF)",IFERROR(INDEX(MASTER_SOURCE!$B$2:$B$495,MATCH($I3175,MASTER_SOURCE!$A$2:$A$495,0)),"(REF không có trong MASTER_SOURCE)")))</f>
        <v/>
      </c>
      <c r="K3175" s="22">
        <f t="array" ref="K3175">IF($D3175="","",IFERROR(INDEX(MASTER_SOURCE!$C$2:$C$495,MATCH($I3175,MASTER_SOURCE!$A$2:$A$495,0)),""))</f>
        <v/>
      </c>
      <c r="L3175" s="22">
        <f t="array" ref="L3175">IF($D3175="","",IFERROR(INDEX(MASTER_SOURCE!$D$2:$D$495,MATCH($I3175,MASTER_SOURCE!$A$2:$A$495,0)),""))</f>
        <v/>
      </c>
      <c r="M3175" s="24" t="n"/>
      <c r="N3175" s="24" t="n"/>
      <c r="O3175" s="24" t="n"/>
      <c r="P3175" s="24" t="n"/>
      <c r="Q3175" s="22">
        <f>IF($D3175="","",IF(AND(OR(DANH_MUC!$L$5&lt;&gt;"Có",M3175="Có"),OR(DANH_MUC!$L$6&lt;&gt;"Có",N3175="Có"),OR(DANH_MUC!$L$7&lt;&gt;"Có",O3175="Có"),OR(DANH_MUC!$L$8&lt;&gt;"Có",P3175="Có")),"Có","Không"))</f>
        <v/>
      </c>
      <c r="R3175" s="22">
        <f>IF($D3175="","",IF(COUNTIF($D$2:$D3175,$D3175)&gt;1,"Trùng",""))</f>
        <v/>
      </c>
      <c r="S3175" s="22">
        <f>IF($D3175="","",IF(AND(LEN($D3175)=10,LEFT($D3175,1)="0",ISNUMBER(--$D3175)),"Có","Không"))</f>
        <v/>
      </c>
      <c r="T3175" s="22">
        <f>IF($D3175="","",IF(AND($C3175&lt;&gt;"",$Q3175="Có",$R3175="",$S3175="Có",AND($L3175&lt;&gt;"",OR($L3175&lt;&gt;"Chưa xác định",DANH_MUC!$L$9="Có"))),"Có","Không"))</f>
        <v/>
      </c>
      <c r="U3175" s="22">
        <f>IF(OR($D3175="",$T3175="Có"),"",IF($C3175="","Thiếu họ tên; ","")&amp;IF($S3175&lt;&gt;"Có","SĐT sai định dạng; ","")&amp;IF($R3175="Trùng","Trùng SĐT; ","")&amp;IF($Q3175&lt;&gt;"Có","Thiếu đồng ý bắt buộc; ","")&amp;IF($L3175="","Thiếu/sai Mã REF; ",IF(AND($L3175="Chưa xác định",DANH_MUC!$L$9&lt;&gt;"Có"),"Nguồn chưa xác định; ","")))</f>
        <v/>
      </c>
      <c r="V3175" s="22">
        <f>IF(OR($D3175="",$R3175="Trùng"),"",IF(COUNTIF(ORDERS!$C$2:$C$4995,$D3175)&gt;0,"Có","Không"))</f>
        <v/>
      </c>
      <c r="W3175" s="22">
        <f>IF(OR($D3175="",$R3175="Trùng"),"",COUNTIFS(ORDERS!$C$2:$C$4995,$D3175,ORDERS!$L$2:$L$4995,"Đã chuyển khoản"))</f>
        <v/>
      </c>
      <c r="X3175" s="23">
        <f>IF(OR($D3175="",$R3175="Trùng"),"",SUMIFS(ORDERS!$J$2:$J$4995,ORDERS!$C$2:$C$4995,$D3175,ORDERS!$L$2:$L$4995,"Đã chuyển khoản"))</f>
        <v/>
      </c>
      <c r="Y3175" s="24" t="n"/>
    </row>
    <row r="3176" ht="14.25" customHeight="1" s="40">
      <c r="A3176" s="24" t="n"/>
      <c r="B3176" s="27" t="n"/>
      <c r="C3176" s="24" t="n"/>
      <c r="D3176" s="28" t="n"/>
      <c r="E3176" s="29" t="n"/>
      <c r="F3176" s="24" t="n"/>
      <c r="G3176" s="24" t="n"/>
      <c r="H3176" s="21">
        <f>IF(ISNUMBER($B3176),INT($B3176)-WEEKDAY($B3176,2)+1,"")</f>
        <v/>
      </c>
      <c r="I3176" s="24" t="n"/>
      <c r="J3176" s="22">
        <f t="array" ref="J3176">IF($D3176="","",IF($I3176="","(trống REF)",IFERROR(INDEX(MASTER_SOURCE!$B$2:$B$495,MATCH($I3176,MASTER_SOURCE!$A$2:$A$495,0)),"(REF không có trong MASTER_SOURCE)")))</f>
        <v/>
      </c>
      <c r="K3176" s="22">
        <f t="array" ref="K3176">IF($D3176="","",IFERROR(INDEX(MASTER_SOURCE!$C$2:$C$495,MATCH($I3176,MASTER_SOURCE!$A$2:$A$495,0)),""))</f>
        <v/>
      </c>
      <c r="L3176" s="22">
        <f t="array" ref="L3176">IF($D3176="","",IFERROR(INDEX(MASTER_SOURCE!$D$2:$D$495,MATCH($I3176,MASTER_SOURCE!$A$2:$A$495,0)),""))</f>
        <v/>
      </c>
      <c r="M3176" s="24" t="n"/>
      <c r="N3176" s="24" t="n"/>
      <c r="O3176" s="24" t="n"/>
      <c r="P3176" s="24" t="n"/>
      <c r="Q3176" s="22">
        <f>IF($D3176="","",IF(AND(OR(DANH_MUC!$L$5&lt;&gt;"Có",M3176="Có"),OR(DANH_MUC!$L$6&lt;&gt;"Có",N3176="Có"),OR(DANH_MUC!$L$7&lt;&gt;"Có",O3176="Có"),OR(DANH_MUC!$L$8&lt;&gt;"Có",P3176="Có")),"Có","Không"))</f>
        <v/>
      </c>
      <c r="R3176" s="22">
        <f>IF($D3176="","",IF(COUNTIF($D$2:$D3176,$D3176)&gt;1,"Trùng",""))</f>
        <v/>
      </c>
      <c r="S3176" s="22">
        <f>IF($D3176="","",IF(AND(LEN($D3176)=10,LEFT($D3176,1)="0",ISNUMBER(--$D3176)),"Có","Không"))</f>
        <v/>
      </c>
      <c r="T3176" s="22">
        <f>IF($D3176="","",IF(AND($C3176&lt;&gt;"",$Q3176="Có",$R3176="",$S3176="Có",AND($L3176&lt;&gt;"",OR($L3176&lt;&gt;"Chưa xác định",DANH_MUC!$L$9="Có"))),"Có","Không"))</f>
        <v/>
      </c>
      <c r="U3176" s="22">
        <f>IF(OR($D3176="",$T3176="Có"),"",IF($C3176="","Thiếu họ tên; ","")&amp;IF($S3176&lt;&gt;"Có","SĐT sai định dạng; ","")&amp;IF($R3176="Trùng","Trùng SĐT; ","")&amp;IF($Q3176&lt;&gt;"Có","Thiếu đồng ý bắt buộc; ","")&amp;IF($L3176="","Thiếu/sai Mã REF; ",IF(AND($L3176="Chưa xác định",DANH_MUC!$L$9&lt;&gt;"Có"),"Nguồn chưa xác định; ","")))</f>
        <v/>
      </c>
      <c r="V3176" s="22">
        <f>IF(OR($D3176="",$R3176="Trùng"),"",IF(COUNTIF(ORDERS!$C$2:$C$4995,$D3176)&gt;0,"Có","Không"))</f>
        <v/>
      </c>
      <c r="W3176" s="22">
        <f>IF(OR($D3176="",$R3176="Trùng"),"",COUNTIFS(ORDERS!$C$2:$C$4995,$D3176,ORDERS!$L$2:$L$4995,"Đã chuyển khoản"))</f>
        <v/>
      </c>
      <c r="X3176" s="23">
        <f>IF(OR($D3176="",$R3176="Trùng"),"",SUMIFS(ORDERS!$J$2:$J$4995,ORDERS!$C$2:$C$4995,$D3176,ORDERS!$L$2:$L$4995,"Đã chuyển khoản"))</f>
        <v/>
      </c>
      <c r="Y3176" s="24" t="n"/>
    </row>
    <row r="3177" ht="14.25" customHeight="1" s="40">
      <c r="A3177" s="24" t="n"/>
      <c r="B3177" s="27" t="n"/>
      <c r="C3177" s="24" t="n"/>
      <c r="D3177" s="28" t="n"/>
      <c r="E3177" s="29" t="n"/>
      <c r="F3177" s="24" t="n"/>
      <c r="G3177" s="24" t="n"/>
      <c r="H3177" s="21">
        <f>IF(ISNUMBER($B3177),INT($B3177)-WEEKDAY($B3177,2)+1,"")</f>
        <v/>
      </c>
      <c r="I3177" s="24" t="n"/>
      <c r="J3177" s="22">
        <f t="array" ref="J3177">IF($D3177="","",IF($I3177="","(trống REF)",IFERROR(INDEX(MASTER_SOURCE!$B$2:$B$495,MATCH($I3177,MASTER_SOURCE!$A$2:$A$495,0)),"(REF không có trong MASTER_SOURCE)")))</f>
        <v/>
      </c>
      <c r="K3177" s="22">
        <f t="array" ref="K3177">IF($D3177="","",IFERROR(INDEX(MASTER_SOURCE!$C$2:$C$495,MATCH($I3177,MASTER_SOURCE!$A$2:$A$495,0)),""))</f>
        <v/>
      </c>
      <c r="L3177" s="22">
        <f t="array" ref="L3177">IF($D3177="","",IFERROR(INDEX(MASTER_SOURCE!$D$2:$D$495,MATCH($I3177,MASTER_SOURCE!$A$2:$A$495,0)),""))</f>
        <v/>
      </c>
      <c r="M3177" s="24" t="n"/>
      <c r="N3177" s="24" t="n"/>
      <c r="O3177" s="24" t="n"/>
      <c r="P3177" s="24" t="n"/>
      <c r="Q3177" s="22">
        <f>IF($D3177="","",IF(AND(OR(DANH_MUC!$L$5&lt;&gt;"Có",M3177="Có"),OR(DANH_MUC!$L$6&lt;&gt;"Có",N3177="Có"),OR(DANH_MUC!$L$7&lt;&gt;"Có",O3177="Có"),OR(DANH_MUC!$L$8&lt;&gt;"Có",P3177="Có")),"Có","Không"))</f>
        <v/>
      </c>
      <c r="R3177" s="22">
        <f>IF($D3177="","",IF(COUNTIF($D$2:$D3177,$D3177)&gt;1,"Trùng",""))</f>
        <v/>
      </c>
      <c r="S3177" s="22">
        <f>IF($D3177="","",IF(AND(LEN($D3177)=10,LEFT($D3177,1)="0",ISNUMBER(--$D3177)),"Có","Không"))</f>
        <v/>
      </c>
      <c r="T3177" s="22">
        <f>IF($D3177="","",IF(AND($C3177&lt;&gt;"",$Q3177="Có",$R3177="",$S3177="Có",AND($L3177&lt;&gt;"",OR($L3177&lt;&gt;"Chưa xác định",DANH_MUC!$L$9="Có"))),"Có","Không"))</f>
        <v/>
      </c>
      <c r="U3177" s="22">
        <f>IF(OR($D3177="",$T3177="Có"),"",IF($C3177="","Thiếu họ tên; ","")&amp;IF($S3177&lt;&gt;"Có","SĐT sai định dạng; ","")&amp;IF($R3177="Trùng","Trùng SĐT; ","")&amp;IF($Q3177&lt;&gt;"Có","Thiếu đồng ý bắt buộc; ","")&amp;IF($L3177="","Thiếu/sai Mã REF; ",IF(AND($L3177="Chưa xác định",DANH_MUC!$L$9&lt;&gt;"Có"),"Nguồn chưa xác định; ","")))</f>
        <v/>
      </c>
      <c r="V3177" s="22">
        <f>IF(OR($D3177="",$R3177="Trùng"),"",IF(COUNTIF(ORDERS!$C$2:$C$4995,$D3177)&gt;0,"Có","Không"))</f>
        <v/>
      </c>
      <c r="W3177" s="22">
        <f>IF(OR($D3177="",$R3177="Trùng"),"",COUNTIFS(ORDERS!$C$2:$C$4995,$D3177,ORDERS!$L$2:$L$4995,"Đã chuyển khoản"))</f>
        <v/>
      </c>
      <c r="X3177" s="23">
        <f>IF(OR($D3177="",$R3177="Trùng"),"",SUMIFS(ORDERS!$J$2:$J$4995,ORDERS!$C$2:$C$4995,$D3177,ORDERS!$L$2:$L$4995,"Đã chuyển khoản"))</f>
        <v/>
      </c>
      <c r="Y3177" s="24" t="n"/>
    </row>
    <row r="3178" ht="14.25" customHeight="1" s="40">
      <c r="A3178" s="24" t="n"/>
      <c r="B3178" s="27" t="n"/>
      <c r="C3178" s="24" t="n"/>
      <c r="D3178" s="28" t="n"/>
      <c r="E3178" s="29" t="n"/>
      <c r="F3178" s="24" t="n"/>
      <c r="G3178" s="24" t="n"/>
      <c r="H3178" s="21">
        <f>IF(ISNUMBER($B3178),INT($B3178)-WEEKDAY($B3178,2)+1,"")</f>
        <v/>
      </c>
      <c r="I3178" s="24" t="n"/>
      <c r="J3178" s="22">
        <f t="array" ref="J3178">IF($D3178="","",IF($I3178="","(trống REF)",IFERROR(INDEX(MASTER_SOURCE!$B$2:$B$495,MATCH($I3178,MASTER_SOURCE!$A$2:$A$495,0)),"(REF không có trong MASTER_SOURCE)")))</f>
        <v/>
      </c>
      <c r="K3178" s="22">
        <f t="array" ref="K3178">IF($D3178="","",IFERROR(INDEX(MASTER_SOURCE!$C$2:$C$495,MATCH($I3178,MASTER_SOURCE!$A$2:$A$495,0)),""))</f>
        <v/>
      </c>
      <c r="L3178" s="22">
        <f t="array" ref="L3178">IF($D3178="","",IFERROR(INDEX(MASTER_SOURCE!$D$2:$D$495,MATCH($I3178,MASTER_SOURCE!$A$2:$A$495,0)),""))</f>
        <v/>
      </c>
      <c r="M3178" s="24" t="n"/>
      <c r="N3178" s="24" t="n"/>
      <c r="O3178" s="24" t="n"/>
      <c r="P3178" s="24" t="n"/>
      <c r="Q3178" s="22">
        <f>IF($D3178="","",IF(AND(OR(DANH_MUC!$L$5&lt;&gt;"Có",M3178="Có"),OR(DANH_MUC!$L$6&lt;&gt;"Có",N3178="Có"),OR(DANH_MUC!$L$7&lt;&gt;"Có",O3178="Có"),OR(DANH_MUC!$L$8&lt;&gt;"Có",P3178="Có")),"Có","Không"))</f>
        <v/>
      </c>
      <c r="R3178" s="22">
        <f>IF($D3178="","",IF(COUNTIF($D$2:$D3178,$D3178)&gt;1,"Trùng",""))</f>
        <v/>
      </c>
      <c r="S3178" s="22">
        <f>IF($D3178="","",IF(AND(LEN($D3178)=10,LEFT($D3178,1)="0",ISNUMBER(--$D3178)),"Có","Không"))</f>
        <v/>
      </c>
      <c r="T3178" s="22">
        <f>IF($D3178="","",IF(AND($C3178&lt;&gt;"",$Q3178="Có",$R3178="",$S3178="Có",AND($L3178&lt;&gt;"",OR($L3178&lt;&gt;"Chưa xác định",DANH_MUC!$L$9="Có"))),"Có","Không"))</f>
        <v/>
      </c>
      <c r="U3178" s="22">
        <f>IF(OR($D3178="",$T3178="Có"),"",IF($C3178="","Thiếu họ tên; ","")&amp;IF($S3178&lt;&gt;"Có","SĐT sai định dạng; ","")&amp;IF($R3178="Trùng","Trùng SĐT; ","")&amp;IF($Q3178&lt;&gt;"Có","Thiếu đồng ý bắt buộc; ","")&amp;IF($L3178="","Thiếu/sai Mã REF; ",IF(AND($L3178="Chưa xác định",DANH_MUC!$L$9&lt;&gt;"Có"),"Nguồn chưa xác định; ","")))</f>
        <v/>
      </c>
      <c r="V3178" s="22">
        <f>IF(OR($D3178="",$R3178="Trùng"),"",IF(COUNTIF(ORDERS!$C$2:$C$4995,$D3178)&gt;0,"Có","Không"))</f>
        <v/>
      </c>
      <c r="W3178" s="22">
        <f>IF(OR($D3178="",$R3178="Trùng"),"",COUNTIFS(ORDERS!$C$2:$C$4995,$D3178,ORDERS!$L$2:$L$4995,"Đã chuyển khoản"))</f>
        <v/>
      </c>
      <c r="X3178" s="23">
        <f>IF(OR($D3178="",$R3178="Trùng"),"",SUMIFS(ORDERS!$J$2:$J$4995,ORDERS!$C$2:$C$4995,$D3178,ORDERS!$L$2:$L$4995,"Đã chuyển khoản"))</f>
        <v/>
      </c>
      <c r="Y3178" s="24" t="n"/>
    </row>
    <row r="3179" ht="14.25" customHeight="1" s="40">
      <c r="A3179" s="24" t="n"/>
      <c r="B3179" s="27" t="n"/>
      <c r="C3179" s="24" t="n"/>
      <c r="D3179" s="28" t="n"/>
      <c r="E3179" s="29" t="n"/>
      <c r="F3179" s="24" t="n"/>
      <c r="G3179" s="24" t="n"/>
      <c r="H3179" s="21">
        <f>IF(ISNUMBER($B3179),INT($B3179)-WEEKDAY($B3179,2)+1,"")</f>
        <v/>
      </c>
      <c r="I3179" s="24" t="n"/>
      <c r="J3179" s="22">
        <f t="array" ref="J3179">IF($D3179="","",IF($I3179="","(trống REF)",IFERROR(INDEX(MASTER_SOURCE!$B$2:$B$495,MATCH($I3179,MASTER_SOURCE!$A$2:$A$495,0)),"(REF không có trong MASTER_SOURCE)")))</f>
        <v/>
      </c>
      <c r="K3179" s="22">
        <f t="array" ref="K3179">IF($D3179="","",IFERROR(INDEX(MASTER_SOURCE!$C$2:$C$495,MATCH($I3179,MASTER_SOURCE!$A$2:$A$495,0)),""))</f>
        <v/>
      </c>
      <c r="L3179" s="22">
        <f t="array" ref="L3179">IF($D3179="","",IFERROR(INDEX(MASTER_SOURCE!$D$2:$D$495,MATCH($I3179,MASTER_SOURCE!$A$2:$A$495,0)),""))</f>
        <v/>
      </c>
      <c r="M3179" s="24" t="n"/>
      <c r="N3179" s="24" t="n"/>
      <c r="O3179" s="24" t="n"/>
      <c r="P3179" s="24" t="n"/>
      <c r="Q3179" s="22">
        <f>IF($D3179="","",IF(AND(OR(DANH_MUC!$L$5&lt;&gt;"Có",M3179="Có"),OR(DANH_MUC!$L$6&lt;&gt;"Có",N3179="Có"),OR(DANH_MUC!$L$7&lt;&gt;"Có",O3179="Có"),OR(DANH_MUC!$L$8&lt;&gt;"Có",P3179="Có")),"Có","Không"))</f>
        <v/>
      </c>
      <c r="R3179" s="22">
        <f>IF($D3179="","",IF(COUNTIF($D$2:$D3179,$D3179)&gt;1,"Trùng",""))</f>
        <v/>
      </c>
      <c r="S3179" s="22">
        <f>IF($D3179="","",IF(AND(LEN($D3179)=10,LEFT($D3179,1)="0",ISNUMBER(--$D3179)),"Có","Không"))</f>
        <v/>
      </c>
      <c r="T3179" s="22">
        <f>IF($D3179="","",IF(AND($C3179&lt;&gt;"",$Q3179="Có",$R3179="",$S3179="Có",AND($L3179&lt;&gt;"",OR($L3179&lt;&gt;"Chưa xác định",DANH_MUC!$L$9="Có"))),"Có","Không"))</f>
        <v/>
      </c>
      <c r="U3179" s="22">
        <f>IF(OR($D3179="",$T3179="Có"),"",IF($C3179="","Thiếu họ tên; ","")&amp;IF($S3179&lt;&gt;"Có","SĐT sai định dạng; ","")&amp;IF($R3179="Trùng","Trùng SĐT; ","")&amp;IF($Q3179&lt;&gt;"Có","Thiếu đồng ý bắt buộc; ","")&amp;IF($L3179="","Thiếu/sai Mã REF; ",IF(AND($L3179="Chưa xác định",DANH_MUC!$L$9&lt;&gt;"Có"),"Nguồn chưa xác định; ","")))</f>
        <v/>
      </c>
      <c r="V3179" s="22">
        <f>IF(OR($D3179="",$R3179="Trùng"),"",IF(COUNTIF(ORDERS!$C$2:$C$4995,$D3179)&gt;0,"Có","Không"))</f>
        <v/>
      </c>
      <c r="W3179" s="22">
        <f>IF(OR($D3179="",$R3179="Trùng"),"",COUNTIFS(ORDERS!$C$2:$C$4995,$D3179,ORDERS!$L$2:$L$4995,"Đã chuyển khoản"))</f>
        <v/>
      </c>
      <c r="X3179" s="23">
        <f>IF(OR($D3179="",$R3179="Trùng"),"",SUMIFS(ORDERS!$J$2:$J$4995,ORDERS!$C$2:$C$4995,$D3179,ORDERS!$L$2:$L$4995,"Đã chuyển khoản"))</f>
        <v/>
      </c>
      <c r="Y3179" s="24" t="n"/>
    </row>
    <row r="3180" ht="14.25" customHeight="1" s="40">
      <c r="A3180" s="24" t="n"/>
      <c r="B3180" s="27" t="n"/>
      <c r="C3180" s="24" t="n"/>
      <c r="D3180" s="28" t="n"/>
      <c r="E3180" s="29" t="n"/>
      <c r="F3180" s="24" t="n"/>
      <c r="G3180" s="24" t="n"/>
      <c r="H3180" s="21">
        <f>IF(ISNUMBER($B3180),INT($B3180)-WEEKDAY($B3180,2)+1,"")</f>
        <v/>
      </c>
      <c r="I3180" s="24" t="n"/>
      <c r="J3180" s="22">
        <f t="array" ref="J3180">IF($D3180="","",IF($I3180="","(trống REF)",IFERROR(INDEX(MASTER_SOURCE!$B$2:$B$495,MATCH($I3180,MASTER_SOURCE!$A$2:$A$495,0)),"(REF không có trong MASTER_SOURCE)")))</f>
        <v/>
      </c>
      <c r="K3180" s="22">
        <f t="array" ref="K3180">IF($D3180="","",IFERROR(INDEX(MASTER_SOURCE!$C$2:$C$495,MATCH($I3180,MASTER_SOURCE!$A$2:$A$495,0)),""))</f>
        <v/>
      </c>
      <c r="L3180" s="22">
        <f t="array" ref="L3180">IF($D3180="","",IFERROR(INDEX(MASTER_SOURCE!$D$2:$D$495,MATCH($I3180,MASTER_SOURCE!$A$2:$A$495,0)),""))</f>
        <v/>
      </c>
      <c r="M3180" s="24" t="n"/>
      <c r="N3180" s="24" t="n"/>
      <c r="O3180" s="24" t="n"/>
      <c r="P3180" s="24" t="n"/>
      <c r="Q3180" s="22">
        <f>IF($D3180="","",IF(AND(OR(DANH_MUC!$L$5&lt;&gt;"Có",M3180="Có"),OR(DANH_MUC!$L$6&lt;&gt;"Có",N3180="Có"),OR(DANH_MUC!$L$7&lt;&gt;"Có",O3180="Có"),OR(DANH_MUC!$L$8&lt;&gt;"Có",P3180="Có")),"Có","Không"))</f>
        <v/>
      </c>
      <c r="R3180" s="22">
        <f>IF($D3180="","",IF(COUNTIF($D$2:$D3180,$D3180)&gt;1,"Trùng",""))</f>
        <v/>
      </c>
      <c r="S3180" s="22">
        <f>IF($D3180="","",IF(AND(LEN($D3180)=10,LEFT($D3180,1)="0",ISNUMBER(--$D3180)),"Có","Không"))</f>
        <v/>
      </c>
      <c r="T3180" s="22">
        <f>IF($D3180="","",IF(AND($C3180&lt;&gt;"",$Q3180="Có",$R3180="",$S3180="Có",AND($L3180&lt;&gt;"",OR($L3180&lt;&gt;"Chưa xác định",DANH_MUC!$L$9="Có"))),"Có","Không"))</f>
        <v/>
      </c>
      <c r="U3180" s="22">
        <f>IF(OR($D3180="",$T3180="Có"),"",IF($C3180="","Thiếu họ tên; ","")&amp;IF($S3180&lt;&gt;"Có","SĐT sai định dạng; ","")&amp;IF($R3180="Trùng","Trùng SĐT; ","")&amp;IF($Q3180&lt;&gt;"Có","Thiếu đồng ý bắt buộc; ","")&amp;IF($L3180="","Thiếu/sai Mã REF; ",IF(AND($L3180="Chưa xác định",DANH_MUC!$L$9&lt;&gt;"Có"),"Nguồn chưa xác định; ","")))</f>
        <v/>
      </c>
      <c r="V3180" s="22">
        <f>IF(OR($D3180="",$R3180="Trùng"),"",IF(COUNTIF(ORDERS!$C$2:$C$4995,$D3180)&gt;0,"Có","Không"))</f>
        <v/>
      </c>
      <c r="W3180" s="22">
        <f>IF(OR($D3180="",$R3180="Trùng"),"",COUNTIFS(ORDERS!$C$2:$C$4995,$D3180,ORDERS!$L$2:$L$4995,"Đã chuyển khoản"))</f>
        <v/>
      </c>
      <c r="X3180" s="23">
        <f>IF(OR($D3180="",$R3180="Trùng"),"",SUMIFS(ORDERS!$J$2:$J$4995,ORDERS!$C$2:$C$4995,$D3180,ORDERS!$L$2:$L$4995,"Đã chuyển khoản"))</f>
        <v/>
      </c>
      <c r="Y3180" s="24" t="n"/>
    </row>
    <row r="3181" ht="14.25" customHeight="1" s="40">
      <c r="A3181" s="24" t="n"/>
      <c r="B3181" s="27" t="n"/>
      <c r="C3181" s="24" t="n"/>
      <c r="D3181" s="28" t="n"/>
      <c r="E3181" s="29" t="n"/>
      <c r="F3181" s="24" t="n"/>
      <c r="G3181" s="24" t="n"/>
      <c r="H3181" s="21">
        <f>IF(ISNUMBER($B3181),INT($B3181)-WEEKDAY($B3181,2)+1,"")</f>
        <v/>
      </c>
      <c r="I3181" s="24" t="n"/>
      <c r="J3181" s="22">
        <f t="array" ref="J3181">IF($D3181="","",IF($I3181="","(trống REF)",IFERROR(INDEX(MASTER_SOURCE!$B$2:$B$495,MATCH($I3181,MASTER_SOURCE!$A$2:$A$495,0)),"(REF không có trong MASTER_SOURCE)")))</f>
        <v/>
      </c>
      <c r="K3181" s="22">
        <f t="array" ref="K3181">IF($D3181="","",IFERROR(INDEX(MASTER_SOURCE!$C$2:$C$495,MATCH($I3181,MASTER_SOURCE!$A$2:$A$495,0)),""))</f>
        <v/>
      </c>
      <c r="L3181" s="22">
        <f t="array" ref="L3181">IF($D3181="","",IFERROR(INDEX(MASTER_SOURCE!$D$2:$D$495,MATCH($I3181,MASTER_SOURCE!$A$2:$A$495,0)),""))</f>
        <v/>
      </c>
      <c r="M3181" s="24" t="n"/>
      <c r="N3181" s="24" t="n"/>
      <c r="O3181" s="24" t="n"/>
      <c r="P3181" s="24" t="n"/>
      <c r="Q3181" s="22">
        <f>IF($D3181="","",IF(AND(OR(DANH_MUC!$L$5&lt;&gt;"Có",M3181="Có"),OR(DANH_MUC!$L$6&lt;&gt;"Có",N3181="Có"),OR(DANH_MUC!$L$7&lt;&gt;"Có",O3181="Có"),OR(DANH_MUC!$L$8&lt;&gt;"Có",P3181="Có")),"Có","Không"))</f>
        <v/>
      </c>
      <c r="R3181" s="22">
        <f>IF($D3181="","",IF(COUNTIF($D$2:$D3181,$D3181)&gt;1,"Trùng",""))</f>
        <v/>
      </c>
      <c r="S3181" s="22">
        <f>IF($D3181="","",IF(AND(LEN($D3181)=10,LEFT($D3181,1)="0",ISNUMBER(--$D3181)),"Có","Không"))</f>
        <v/>
      </c>
      <c r="T3181" s="22">
        <f>IF($D3181="","",IF(AND($C3181&lt;&gt;"",$Q3181="Có",$R3181="",$S3181="Có",AND($L3181&lt;&gt;"",OR($L3181&lt;&gt;"Chưa xác định",DANH_MUC!$L$9="Có"))),"Có","Không"))</f>
        <v/>
      </c>
      <c r="U3181" s="22">
        <f>IF(OR($D3181="",$T3181="Có"),"",IF($C3181="","Thiếu họ tên; ","")&amp;IF($S3181&lt;&gt;"Có","SĐT sai định dạng; ","")&amp;IF($R3181="Trùng","Trùng SĐT; ","")&amp;IF($Q3181&lt;&gt;"Có","Thiếu đồng ý bắt buộc; ","")&amp;IF($L3181="","Thiếu/sai Mã REF; ",IF(AND($L3181="Chưa xác định",DANH_MUC!$L$9&lt;&gt;"Có"),"Nguồn chưa xác định; ","")))</f>
        <v/>
      </c>
      <c r="V3181" s="22">
        <f>IF(OR($D3181="",$R3181="Trùng"),"",IF(COUNTIF(ORDERS!$C$2:$C$4995,$D3181)&gt;0,"Có","Không"))</f>
        <v/>
      </c>
      <c r="W3181" s="22">
        <f>IF(OR($D3181="",$R3181="Trùng"),"",COUNTIFS(ORDERS!$C$2:$C$4995,$D3181,ORDERS!$L$2:$L$4995,"Đã chuyển khoản"))</f>
        <v/>
      </c>
      <c r="X3181" s="23">
        <f>IF(OR($D3181="",$R3181="Trùng"),"",SUMIFS(ORDERS!$J$2:$J$4995,ORDERS!$C$2:$C$4995,$D3181,ORDERS!$L$2:$L$4995,"Đã chuyển khoản"))</f>
        <v/>
      </c>
      <c r="Y3181" s="24" t="n"/>
    </row>
    <row r="3182" ht="14.25" customHeight="1" s="40">
      <c r="A3182" s="24" t="n"/>
      <c r="B3182" s="27" t="n"/>
      <c r="C3182" s="24" t="n"/>
      <c r="D3182" s="28" t="n"/>
      <c r="E3182" s="29" t="n"/>
      <c r="F3182" s="24" t="n"/>
      <c r="G3182" s="24" t="n"/>
      <c r="H3182" s="21">
        <f>IF(ISNUMBER($B3182),INT($B3182)-WEEKDAY($B3182,2)+1,"")</f>
        <v/>
      </c>
      <c r="I3182" s="24" t="n"/>
      <c r="J3182" s="22">
        <f t="array" ref="J3182">IF($D3182="","",IF($I3182="","(trống REF)",IFERROR(INDEX(MASTER_SOURCE!$B$2:$B$495,MATCH($I3182,MASTER_SOURCE!$A$2:$A$495,0)),"(REF không có trong MASTER_SOURCE)")))</f>
        <v/>
      </c>
      <c r="K3182" s="22">
        <f t="array" ref="K3182">IF($D3182="","",IFERROR(INDEX(MASTER_SOURCE!$C$2:$C$495,MATCH($I3182,MASTER_SOURCE!$A$2:$A$495,0)),""))</f>
        <v/>
      </c>
      <c r="L3182" s="22">
        <f t="array" ref="L3182">IF($D3182="","",IFERROR(INDEX(MASTER_SOURCE!$D$2:$D$495,MATCH($I3182,MASTER_SOURCE!$A$2:$A$495,0)),""))</f>
        <v/>
      </c>
      <c r="M3182" s="24" t="n"/>
      <c r="N3182" s="24" t="n"/>
      <c r="O3182" s="24" t="n"/>
      <c r="P3182" s="24" t="n"/>
      <c r="Q3182" s="22">
        <f>IF($D3182="","",IF(AND(OR(DANH_MUC!$L$5&lt;&gt;"Có",M3182="Có"),OR(DANH_MUC!$L$6&lt;&gt;"Có",N3182="Có"),OR(DANH_MUC!$L$7&lt;&gt;"Có",O3182="Có"),OR(DANH_MUC!$L$8&lt;&gt;"Có",P3182="Có")),"Có","Không"))</f>
        <v/>
      </c>
      <c r="R3182" s="22">
        <f>IF($D3182="","",IF(COUNTIF($D$2:$D3182,$D3182)&gt;1,"Trùng",""))</f>
        <v/>
      </c>
      <c r="S3182" s="22">
        <f>IF($D3182="","",IF(AND(LEN($D3182)=10,LEFT($D3182,1)="0",ISNUMBER(--$D3182)),"Có","Không"))</f>
        <v/>
      </c>
      <c r="T3182" s="22">
        <f>IF($D3182="","",IF(AND($C3182&lt;&gt;"",$Q3182="Có",$R3182="",$S3182="Có",AND($L3182&lt;&gt;"",OR($L3182&lt;&gt;"Chưa xác định",DANH_MUC!$L$9="Có"))),"Có","Không"))</f>
        <v/>
      </c>
      <c r="U3182" s="22">
        <f>IF(OR($D3182="",$T3182="Có"),"",IF($C3182="","Thiếu họ tên; ","")&amp;IF($S3182&lt;&gt;"Có","SĐT sai định dạng; ","")&amp;IF($R3182="Trùng","Trùng SĐT; ","")&amp;IF($Q3182&lt;&gt;"Có","Thiếu đồng ý bắt buộc; ","")&amp;IF($L3182="","Thiếu/sai Mã REF; ",IF(AND($L3182="Chưa xác định",DANH_MUC!$L$9&lt;&gt;"Có"),"Nguồn chưa xác định; ","")))</f>
        <v/>
      </c>
      <c r="V3182" s="22">
        <f>IF(OR($D3182="",$R3182="Trùng"),"",IF(COUNTIF(ORDERS!$C$2:$C$4995,$D3182)&gt;0,"Có","Không"))</f>
        <v/>
      </c>
      <c r="W3182" s="22">
        <f>IF(OR($D3182="",$R3182="Trùng"),"",COUNTIFS(ORDERS!$C$2:$C$4995,$D3182,ORDERS!$L$2:$L$4995,"Đã chuyển khoản"))</f>
        <v/>
      </c>
      <c r="X3182" s="23">
        <f>IF(OR($D3182="",$R3182="Trùng"),"",SUMIFS(ORDERS!$J$2:$J$4995,ORDERS!$C$2:$C$4995,$D3182,ORDERS!$L$2:$L$4995,"Đã chuyển khoản"))</f>
        <v/>
      </c>
      <c r="Y3182" s="24" t="n"/>
    </row>
    <row r="3183" ht="14.25" customHeight="1" s="40">
      <c r="A3183" s="24" t="n"/>
      <c r="B3183" s="27" t="n"/>
      <c r="C3183" s="24" t="n"/>
      <c r="D3183" s="28" t="n"/>
      <c r="E3183" s="29" t="n"/>
      <c r="F3183" s="24" t="n"/>
      <c r="G3183" s="24" t="n"/>
      <c r="H3183" s="21">
        <f>IF(ISNUMBER($B3183),INT($B3183)-WEEKDAY($B3183,2)+1,"")</f>
        <v/>
      </c>
      <c r="I3183" s="24" t="n"/>
      <c r="J3183" s="22">
        <f t="array" ref="J3183">IF($D3183="","",IF($I3183="","(trống REF)",IFERROR(INDEX(MASTER_SOURCE!$B$2:$B$495,MATCH($I3183,MASTER_SOURCE!$A$2:$A$495,0)),"(REF không có trong MASTER_SOURCE)")))</f>
        <v/>
      </c>
      <c r="K3183" s="22">
        <f t="array" ref="K3183">IF($D3183="","",IFERROR(INDEX(MASTER_SOURCE!$C$2:$C$495,MATCH($I3183,MASTER_SOURCE!$A$2:$A$495,0)),""))</f>
        <v/>
      </c>
      <c r="L3183" s="22">
        <f t="array" ref="L3183">IF($D3183="","",IFERROR(INDEX(MASTER_SOURCE!$D$2:$D$495,MATCH($I3183,MASTER_SOURCE!$A$2:$A$495,0)),""))</f>
        <v/>
      </c>
      <c r="M3183" s="24" t="n"/>
      <c r="N3183" s="24" t="n"/>
      <c r="O3183" s="24" t="n"/>
      <c r="P3183" s="24" t="n"/>
      <c r="Q3183" s="22">
        <f>IF($D3183="","",IF(AND(OR(DANH_MUC!$L$5&lt;&gt;"Có",M3183="Có"),OR(DANH_MUC!$L$6&lt;&gt;"Có",N3183="Có"),OR(DANH_MUC!$L$7&lt;&gt;"Có",O3183="Có"),OR(DANH_MUC!$L$8&lt;&gt;"Có",P3183="Có")),"Có","Không"))</f>
        <v/>
      </c>
      <c r="R3183" s="22">
        <f>IF($D3183="","",IF(COUNTIF($D$2:$D3183,$D3183)&gt;1,"Trùng",""))</f>
        <v/>
      </c>
      <c r="S3183" s="22">
        <f>IF($D3183="","",IF(AND(LEN($D3183)=10,LEFT($D3183,1)="0",ISNUMBER(--$D3183)),"Có","Không"))</f>
        <v/>
      </c>
      <c r="T3183" s="22">
        <f>IF($D3183="","",IF(AND($C3183&lt;&gt;"",$Q3183="Có",$R3183="",$S3183="Có",AND($L3183&lt;&gt;"",OR($L3183&lt;&gt;"Chưa xác định",DANH_MUC!$L$9="Có"))),"Có","Không"))</f>
        <v/>
      </c>
      <c r="U3183" s="22">
        <f>IF(OR($D3183="",$T3183="Có"),"",IF($C3183="","Thiếu họ tên; ","")&amp;IF($S3183&lt;&gt;"Có","SĐT sai định dạng; ","")&amp;IF($R3183="Trùng","Trùng SĐT; ","")&amp;IF($Q3183&lt;&gt;"Có","Thiếu đồng ý bắt buộc; ","")&amp;IF($L3183="","Thiếu/sai Mã REF; ",IF(AND($L3183="Chưa xác định",DANH_MUC!$L$9&lt;&gt;"Có"),"Nguồn chưa xác định; ","")))</f>
        <v/>
      </c>
      <c r="V3183" s="22">
        <f>IF(OR($D3183="",$R3183="Trùng"),"",IF(COUNTIF(ORDERS!$C$2:$C$4995,$D3183)&gt;0,"Có","Không"))</f>
        <v/>
      </c>
      <c r="W3183" s="22">
        <f>IF(OR($D3183="",$R3183="Trùng"),"",COUNTIFS(ORDERS!$C$2:$C$4995,$D3183,ORDERS!$L$2:$L$4995,"Đã chuyển khoản"))</f>
        <v/>
      </c>
      <c r="X3183" s="23">
        <f>IF(OR($D3183="",$R3183="Trùng"),"",SUMIFS(ORDERS!$J$2:$J$4995,ORDERS!$C$2:$C$4995,$D3183,ORDERS!$L$2:$L$4995,"Đã chuyển khoản"))</f>
        <v/>
      </c>
      <c r="Y3183" s="24" t="n"/>
    </row>
    <row r="3184" ht="14.25" customHeight="1" s="40">
      <c r="A3184" s="24" t="n"/>
      <c r="B3184" s="27" t="n"/>
      <c r="C3184" s="24" t="n"/>
      <c r="D3184" s="28" t="n"/>
      <c r="E3184" s="29" t="n"/>
      <c r="F3184" s="24" t="n"/>
      <c r="G3184" s="24" t="n"/>
      <c r="H3184" s="21">
        <f>IF(ISNUMBER($B3184),INT($B3184)-WEEKDAY($B3184,2)+1,"")</f>
        <v/>
      </c>
      <c r="I3184" s="24" t="n"/>
      <c r="J3184" s="22">
        <f t="array" ref="J3184">IF($D3184="","",IF($I3184="","(trống REF)",IFERROR(INDEX(MASTER_SOURCE!$B$2:$B$495,MATCH($I3184,MASTER_SOURCE!$A$2:$A$495,0)),"(REF không có trong MASTER_SOURCE)")))</f>
        <v/>
      </c>
      <c r="K3184" s="22">
        <f t="array" ref="K3184">IF($D3184="","",IFERROR(INDEX(MASTER_SOURCE!$C$2:$C$495,MATCH($I3184,MASTER_SOURCE!$A$2:$A$495,0)),""))</f>
        <v/>
      </c>
      <c r="L3184" s="22">
        <f t="array" ref="L3184">IF($D3184="","",IFERROR(INDEX(MASTER_SOURCE!$D$2:$D$495,MATCH($I3184,MASTER_SOURCE!$A$2:$A$495,0)),""))</f>
        <v/>
      </c>
      <c r="M3184" s="24" t="n"/>
      <c r="N3184" s="24" t="n"/>
      <c r="O3184" s="24" t="n"/>
      <c r="P3184" s="24" t="n"/>
      <c r="Q3184" s="22">
        <f>IF($D3184="","",IF(AND(OR(DANH_MUC!$L$5&lt;&gt;"Có",M3184="Có"),OR(DANH_MUC!$L$6&lt;&gt;"Có",N3184="Có"),OR(DANH_MUC!$L$7&lt;&gt;"Có",O3184="Có"),OR(DANH_MUC!$L$8&lt;&gt;"Có",P3184="Có")),"Có","Không"))</f>
        <v/>
      </c>
      <c r="R3184" s="22">
        <f>IF($D3184="","",IF(COUNTIF($D$2:$D3184,$D3184)&gt;1,"Trùng",""))</f>
        <v/>
      </c>
      <c r="S3184" s="22">
        <f>IF($D3184="","",IF(AND(LEN($D3184)=10,LEFT($D3184,1)="0",ISNUMBER(--$D3184)),"Có","Không"))</f>
        <v/>
      </c>
      <c r="T3184" s="22">
        <f>IF($D3184="","",IF(AND($C3184&lt;&gt;"",$Q3184="Có",$R3184="",$S3184="Có",AND($L3184&lt;&gt;"",OR($L3184&lt;&gt;"Chưa xác định",DANH_MUC!$L$9="Có"))),"Có","Không"))</f>
        <v/>
      </c>
      <c r="U3184" s="22">
        <f>IF(OR($D3184="",$T3184="Có"),"",IF($C3184="","Thiếu họ tên; ","")&amp;IF($S3184&lt;&gt;"Có","SĐT sai định dạng; ","")&amp;IF($R3184="Trùng","Trùng SĐT; ","")&amp;IF($Q3184&lt;&gt;"Có","Thiếu đồng ý bắt buộc; ","")&amp;IF($L3184="","Thiếu/sai Mã REF; ",IF(AND($L3184="Chưa xác định",DANH_MUC!$L$9&lt;&gt;"Có"),"Nguồn chưa xác định; ","")))</f>
        <v/>
      </c>
      <c r="V3184" s="22">
        <f>IF(OR($D3184="",$R3184="Trùng"),"",IF(COUNTIF(ORDERS!$C$2:$C$4995,$D3184)&gt;0,"Có","Không"))</f>
        <v/>
      </c>
      <c r="W3184" s="22">
        <f>IF(OR($D3184="",$R3184="Trùng"),"",COUNTIFS(ORDERS!$C$2:$C$4995,$D3184,ORDERS!$L$2:$L$4995,"Đã chuyển khoản"))</f>
        <v/>
      </c>
      <c r="X3184" s="23">
        <f>IF(OR($D3184="",$R3184="Trùng"),"",SUMIFS(ORDERS!$J$2:$J$4995,ORDERS!$C$2:$C$4995,$D3184,ORDERS!$L$2:$L$4995,"Đã chuyển khoản"))</f>
        <v/>
      </c>
      <c r="Y3184" s="24" t="n"/>
    </row>
    <row r="3185" ht="14.25" customHeight="1" s="40">
      <c r="A3185" s="24" t="n"/>
      <c r="B3185" s="27" t="n"/>
      <c r="C3185" s="24" t="n"/>
      <c r="D3185" s="28" t="n"/>
      <c r="E3185" s="29" t="n"/>
      <c r="F3185" s="24" t="n"/>
      <c r="G3185" s="24" t="n"/>
      <c r="H3185" s="21">
        <f>IF(ISNUMBER($B3185),INT($B3185)-WEEKDAY($B3185,2)+1,"")</f>
        <v/>
      </c>
      <c r="I3185" s="24" t="n"/>
      <c r="J3185" s="22">
        <f t="array" ref="J3185">IF($D3185="","",IF($I3185="","(trống REF)",IFERROR(INDEX(MASTER_SOURCE!$B$2:$B$495,MATCH($I3185,MASTER_SOURCE!$A$2:$A$495,0)),"(REF không có trong MASTER_SOURCE)")))</f>
        <v/>
      </c>
      <c r="K3185" s="22">
        <f t="array" ref="K3185">IF($D3185="","",IFERROR(INDEX(MASTER_SOURCE!$C$2:$C$495,MATCH($I3185,MASTER_SOURCE!$A$2:$A$495,0)),""))</f>
        <v/>
      </c>
      <c r="L3185" s="22">
        <f t="array" ref="L3185">IF($D3185="","",IFERROR(INDEX(MASTER_SOURCE!$D$2:$D$495,MATCH($I3185,MASTER_SOURCE!$A$2:$A$495,0)),""))</f>
        <v/>
      </c>
      <c r="M3185" s="24" t="n"/>
      <c r="N3185" s="24" t="n"/>
      <c r="O3185" s="24" t="n"/>
      <c r="P3185" s="24" t="n"/>
      <c r="Q3185" s="22">
        <f>IF($D3185="","",IF(AND(OR(DANH_MUC!$L$5&lt;&gt;"Có",M3185="Có"),OR(DANH_MUC!$L$6&lt;&gt;"Có",N3185="Có"),OR(DANH_MUC!$L$7&lt;&gt;"Có",O3185="Có"),OR(DANH_MUC!$L$8&lt;&gt;"Có",P3185="Có")),"Có","Không"))</f>
        <v/>
      </c>
      <c r="R3185" s="22">
        <f>IF($D3185="","",IF(COUNTIF($D$2:$D3185,$D3185)&gt;1,"Trùng",""))</f>
        <v/>
      </c>
      <c r="S3185" s="22">
        <f>IF($D3185="","",IF(AND(LEN($D3185)=10,LEFT($D3185,1)="0",ISNUMBER(--$D3185)),"Có","Không"))</f>
        <v/>
      </c>
      <c r="T3185" s="22">
        <f>IF($D3185="","",IF(AND($C3185&lt;&gt;"",$Q3185="Có",$R3185="",$S3185="Có",AND($L3185&lt;&gt;"",OR($L3185&lt;&gt;"Chưa xác định",DANH_MUC!$L$9="Có"))),"Có","Không"))</f>
        <v/>
      </c>
      <c r="U3185" s="22">
        <f>IF(OR($D3185="",$T3185="Có"),"",IF($C3185="","Thiếu họ tên; ","")&amp;IF($S3185&lt;&gt;"Có","SĐT sai định dạng; ","")&amp;IF($R3185="Trùng","Trùng SĐT; ","")&amp;IF($Q3185&lt;&gt;"Có","Thiếu đồng ý bắt buộc; ","")&amp;IF($L3185="","Thiếu/sai Mã REF; ",IF(AND($L3185="Chưa xác định",DANH_MUC!$L$9&lt;&gt;"Có"),"Nguồn chưa xác định; ","")))</f>
        <v/>
      </c>
      <c r="V3185" s="22">
        <f>IF(OR($D3185="",$R3185="Trùng"),"",IF(COUNTIF(ORDERS!$C$2:$C$4995,$D3185)&gt;0,"Có","Không"))</f>
        <v/>
      </c>
      <c r="W3185" s="22">
        <f>IF(OR($D3185="",$R3185="Trùng"),"",COUNTIFS(ORDERS!$C$2:$C$4995,$D3185,ORDERS!$L$2:$L$4995,"Đã chuyển khoản"))</f>
        <v/>
      </c>
      <c r="X3185" s="23">
        <f>IF(OR($D3185="",$R3185="Trùng"),"",SUMIFS(ORDERS!$J$2:$J$4995,ORDERS!$C$2:$C$4995,$D3185,ORDERS!$L$2:$L$4995,"Đã chuyển khoản"))</f>
        <v/>
      </c>
      <c r="Y3185" s="24" t="n"/>
    </row>
    <row r="3186" ht="14.25" customHeight="1" s="40">
      <c r="A3186" s="24" t="n"/>
      <c r="B3186" s="27" t="n"/>
      <c r="C3186" s="24" t="n"/>
      <c r="D3186" s="28" t="n"/>
      <c r="E3186" s="29" t="n"/>
      <c r="F3186" s="24" t="n"/>
      <c r="G3186" s="24" t="n"/>
      <c r="H3186" s="21">
        <f>IF(ISNUMBER($B3186),INT($B3186)-WEEKDAY($B3186,2)+1,"")</f>
        <v/>
      </c>
      <c r="I3186" s="24" t="n"/>
      <c r="J3186" s="22">
        <f t="array" ref="J3186">IF($D3186="","",IF($I3186="","(trống REF)",IFERROR(INDEX(MASTER_SOURCE!$B$2:$B$495,MATCH($I3186,MASTER_SOURCE!$A$2:$A$495,0)),"(REF không có trong MASTER_SOURCE)")))</f>
        <v/>
      </c>
      <c r="K3186" s="22">
        <f t="array" ref="K3186">IF($D3186="","",IFERROR(INDEX(MASTER_SOURCE!$C$2:$C$495,MATCH($I3186,MASTER_SOURCE!$A$2:$A$495,0)),""))</f>
        <v/>
      </c>
      <c r="L3186" s="22">
        <f t="array" ref="L3186">IF($D3186="","",IFERROR(INDEX(MASTER_SOURCE!$D$2:$D$495,MATCH($I3186,MASTER_SOURCE!$A$2:$A$495,0)),""))</f>
        <v/>
      </c>
      <c r="M3186" s="24" t="n"/>
      <c r="N3186" s="24" t="n"/>
      <c r="O3186" s="24" t="n"/>
      <c r="P3186" s="24" t="n"/>
      <c r="Q3186" s="22">
        <f>IF($D3186="","",IF(AND(OR(DANH_MUC!$L$5&lt;&gt;"Có",M3186="Có"),OR(DANH_MUC!$L$6&lt;&gt;"Có",N3186="Có"),OR(DANH_MUC!$L$7&lt;&gt;"Có",O3186="Có"),OR(DANH_MUC!$L$8&lt;&gt;"Có",P3186="Có")),"Có","Không"))</f>
        <v/>
      </c>
      <c r="R3186" s="22">
        <f>IF($D3186="","",IF(COUNTIF($D$2:$D3186,$D3186)&gt;1,"Trùng",""))</f>
        <v/>
      </c>
      <c r="S3186" s="22">
        <f>IF($D3186="","",IF(AND(LEN($D3186)=10,LEFT($D3186,1)="0",ISNUMBER(--$D3186)),"Có","Không"))</f>
        <v/>
      </c>
      <c r="T3186" s="22">
        <f>IF($D3186="","",IF(AND($C3186&lt;&gt;"",$Q3186="Có",$R3186="",$S3186="Có",AND($L3186&lt;&gt;"",OR($L3186&lt;&gt;"Chưa xác định",DANH_MUC!$L$9="Có"))),"Có","Không"))</f>
        <v/>
      </c>
      <c r="U3186" s="22">
        <f>IF(OR($D3186="",$T3186="Có"),"",IF($C3186="","Thiếu họ tên; ","")&amp;IF($S3186&lt;&gt;"Có","SĐT sai định dạng; ","")&amp;IF($R3186="Trùng","Trùng SĐT; ","")&amp;IF($Q3186&lt;&gt;"Có","Thiếu đồng ý bắt buộc; ","")&amp;IF($L3186="","Thiếu/sai Mã REF; ",IF(AND($L3186="Chưa xác định",DANH_MUC!$L$9&lt;&gt;"Có"),"Nguồn chưa xác định; ","")))</f>
        <v/>
      </c>
      <c r="V3186" s="22">
        <f>IF(OR($D3186="",$R3186="Trùng"),"",IF(COUNTIF(ORDERS!$C$2:$C$4995,$D3186)&gt;0,"Có","Không"))</f>
        <v/>
      </c>
      <c r="W3186" s="22">
        <f>IF(OR($D3186="",$R3186="Trùng"),"",COUNTIFS(ORDERS!$C$2:$C$4995,$D3186,ORDERS!$L$2:$L$4995,"Đã chuyển khoản"))</f>
        <v/>
      </c>
      <c r="X3186" s="23">
        <f>IF(OR($D3186="",$R3186="Trùng"),"",SUMIFS(ORDERS!$J$2:$J$4995,ORDERS!$C$2:$C$4995,$D3186,ORDERS!$L$2:$L$4995,"Đã chuyển khoản"))</f>
        <v/>
      </c>
      <c r="Y3186" s="24" t="n"/>
    </row>
    <row r="3187" ht="14.25" customHeight="1" s="40">
      <c r="A3187" s="24" t="n"/>
      <c r="B3187" s="27" t="n"/>
      <c r="C3187" s="24" t="n"/>
      <c r="D3187" s="28" t="n"/>
      <c r="E3187" s="29" t="n"/>
      <c r="F3187" s="24" t="n"/>
      <c r="G3187" s="24" t="n"/>
      <c r="H3187" s="21">
        <f>IF(ISNUMBER($B3187),INT($B3187)-WEEKDAY($B3187,2)+1,"")</f>
        <v/>
      </c>
      <c r="I3187" s="24" t="n"/>
      <c r="J3187" s="22">
        <f t="array" ref="J3187">IF($D3187="","",IF($I3187="","(trống REF)",IFERROR(INDEX(MASTER_SOURCE!$B$2:$B$495,MATCH($I3187,MASTER_SOURCE!$A$2:$A$495,0)),"(REF không có trong MASTER_SOURCE)")))</f>
        <v/>
      </c>
      <c r="K3187" s="22">
        <f t="array" ref="K3187">IF($D3187="","",IFERROR(INDEX(MASTER_SOURCE!$C$2:$C$495,MATCH($I3187,MASTER_SOURCE!$A$2:$A$495,0)),""))</f>
        <v/>
      </c>
      <c r="L3187" s="22">
        <f t="array" ref="L3187">IF($D3187="","",IFERROR(INDEX(MASTER_SOURCE!$D$2:$D$495,MATCH($I3187,MASTER_SOURCE!$A$2:$A$495,0)),""))</f>
        <v/>
      </c>
      <c r="M3187" s="24" t="n"/>
      <c r="N3187" s="24" t="n"/>
      <c r="O3187" s="24" t="n"/>
      <c r="P3187" s="24" t="n"/>
      <c r="Q3187" s="22">
        <f>IF($D3187="","",IF(AND(OR(DANH_MUC!$L$5&lt;&gt;"Có",M3187="Có"),OR(DANH_MUC!$L$6&lt;&gt;"Có",N3187="Có"),OR(DANH_MUC!$L$7&lt;&gt;"Có",O3187="Có"),OR(DANH_MUC!$L$8&lt;&gt;"Có",P3187="Có")),"Có","Không"))</f>
        <v/>
      </c>
      <c r="R3187" s="22">
        <f>IF($D3187="","",IF(COUNTIF($D$2:$D3187,$D3187)&gt;1,"Trùng",""))</f>
        <v/>
      </c>
      <c r="S3187" s="22">
        <f>IF($D3187="","",IF(AND(LEN($D3187)=10,LEFT($D3187,1)="0",ISNUMBER(--$D3187)),"Có","Không"))</f>
        <v/>
      </c>
      <c r="T3187" s="22">
        <f>IF($D3187="","",IF(AND($C3187&lt;&gt;"",$Q3187="Có",$R3187="",$S3187="Có",AND($L3187&lt;&gt;"",OR($L3187&lt;&gt;"Chưa xác định",DANH_MUC!$L$9="Có"))),"Có","Không"))</f>
        <v/>
      </c>
      <c r="U3187" s="22">
        <f>IF(OR($D3187="",$T3187="Có"),"",IF($C3187="","Thiếu họ tên; ","")&amp;IF($S3187&lt;&gt;"Có","SĐT sai định dạng; ","")&amp;IF($R3187="Trùng","Trùng SĐT; ","")&amp;IF($Q3187&lt;&gt;"Có","Thiếu đồng ý bắt buộc; ","")&amp;IF($L3187="","Thiếu/sai Mã REF; ",IF(AND($L3187="Chưa xác định",DANH_MUC!$L$9&lt;&gt;"Có"),"Nguồn chưa xác định; ","")))</f>
        <v/>
      </c>
      <c r="V3187" s="22">
        <f>IF(OR($D3187="",$R3187="Trùng"),"",IF(COUNTIF(ORDERS!$C$2:$C$4995,$D3187)&gt;0,"Có","Không"))</f>
        <v/>
      </c>
      <c r="W3187" s="22">
        <f>IF(OR($D3187="",$R3187="Trùng"),"",COUNTIFS(ORDERS!$C$2:$C$4995,$D3187,ORDERS!$L$2:$L$4995,"Đã chuyển khoản"))</f>
        <v/>
      </c>
      <c r="X3187" s="23">
        <f>IF(OR($D3187="",$R3187="Trùng"),"",SUMIFS(ORDERS!$J$2:$J$4995,ORDERS!$C$2:$C$4995,$D3187,ORDERS!$L$2:$L$4995,"Đã chuyển khoản"))</f>
        <v/>
      </c>
      <c r="Y3187" s="24" t="n"/>
    </row>
    <row r="3188" ht="14.25" customHeight="1" s="40">
      <c r="A3188" s="24" t="n"/>
      <c r="B3188" s="27" t="n"/>
      <c r="C3188" s="24" t="n"/>
      <c r="D3188" s="28" t="n"/>
      <c r="E3188" s="29" t="n"/>
      <c r="F3188" s="24" t="n"/>
      <c r="G3188" s="24" t="n"/>
      <c r="H3188" s="21">
        <f>IF(ISNUMBER($B3188),INT($B3188)-WEEKDAY($B3188,2)+1,"")</f>
        <v/>
      </c>
      <c r="I3188" s="24" t="n"/>
      <c r="J3188" s="22">
        <f t="array" ref="J3188">IF($D3188="","",IF($I3188="","(trống REF)",IFERROR(INDEX(MASTER_SOURCE!$B$2:$B$495,MATCH($I3188,MASTER_SOURCE!$A$2:$A$495,0)),"(REF không có trong MASTER_SOURCE)")))</f>
        <v/>
      </c>
      <c r="K3188" s="22">
        <f t="array" ref="K3188">IF($D3188="","",IFERROR(INDEX(MASTER_SOURCE!$C$2:$C$495,MATCH($I3188,MASTER_SOURCE!$A$2:$A$495,0)),""))</f>
        <v/>
      </c>
      <c r="L3188" s="22">
        <f t="array" ref="L3188">IF($D3188="","",IFERROR(INDEX(MASTER_SOURCE!$D$2:$D$495,MATCH($I3188,MASTER_SOURCE!$A$2:$A$495,0)),""))</f>
        <v/>
      </c>
      <c r="M3188" s="24" t="n"/>
      <c r="N3188" s="24" t="n"/>
      <c r="O3188" s="24" t="n"/>
      <c r="P3188" s="24" t="n"/>
      <c r="Q3188" s="22">
        <f>IF($D3188="","",IF(AND(OR(DANH_MUC!$L$5&lt;&gt;"Có",M3188="Có"),OR(DANH_MUC!$L$6&lt;&gt;"Có",N3188="Có"),OR(DANH_MUC!$L$7&lt;&gt;"Có",O3188="Có"),OR(DANH_MUC!$L$8&lt;&gt;"Có",P3188="Có")),"Có","Không"))</f>
        <v/>
      </c>
      <c r="R3188" s="22">
        <f>IF($D3188="","",IF(COUNTIF($D$2:$D3188,$D3188)&gt;1,"Trùng",""))</f>
        <v/>
      </c>
      <c r="S3188" s="22">
        <f>IF($D3188="","",IF(AND(LEN($D3188)=10,LEFT($D3188,1)="0",ISNUMBER(--$D3188)),"Có","Không"))</f>
        <v/>
      </c>
      <c r="T3188" s="22">
        <f>IF($D3188="","",IF(AND($C3188&lt;&gt;"",$Q3188="Có",$R3188="",$S3188="Có",AND($L3188&lt;&gt;"",OR($L3188&lt;&gt;"Chưa xác định",DANH_MUC!$L$9="Có"))),"Có","Không"))</f>
        <v/>
      </c>
      <c r="U3188" s="22">
        <f>IF(OR($D3188="",$T3188="Có"),"",IF($C3188="","Thiếu họ tên; ","")&amp;IF($S3188&lt;&gt;"Có","SĐT sai định dạng; ","")&amp;IF($R3188="Trùng","Trùng SĐT; ","")&amp;IF($Q3188&lt;&gt;"Có","Thiếu đồng ý bắt buộc; ","")&amp;IF($L3188="","Thiếu/sai Mã REF; ",IF(AND($L3188="Chưa xác định",DANH_MUC!$L$9&lt;&gt;"Có"),"Nguồn chưa xác định; ","")))</f>
        <v/>
      </c>
      <c r="V3188" s="22">
        <f>IF(OR($D3188="",$R3188="Trùng"),"",IF(COUNTIF(ORDERS!$C$2:$C$4995,$D3188)&gt;0,"Có","Không"))</f>
        <v/>
      </c>
      <c r="W3188" s="22">
        <f>IF(OR($D3188="",$R3188="Trùng"),"",COUNTIFS(ORDERS!$C$2:$C$4995,$D3188,ORDERS!$L$2:$L$4995,"Đã chuyển khoản"))</f>
        <v/>
      </c>
      <c r="X3188" s="23">
        <f>IF(OR($D3188="",$R3188="Trùng"),"",SUMIFS(ORDERS!$J$2:$J$4995,ORDERS!$C$2:$C$4995,$D3188,ORDERS!$L$2:$L$4995,"Đã chuyển khoản"))</f>
        <v/>
      </c>
      <c r="Y3188" s="24" t="n"/>
    </row>
    <row r="3189" ht="14.25" customHeight="1" s="40">
      <c r="A3189" s="24" t="n"/>
      <c r="B3189" s="27" t="n"/>
      <c r="C3189" s="24" t="n"/>
      <c r="D3189" s="28" t="n"/>
      <c r="E3189" s="29" t="n"/>
      <c r="F3189" s="24" t="n"/>
      <c r="G3189" s="24" t="n"/>
      <c r="H3189" s="21">
        <f>IF(ISNUMBER($B3189),INT($B3189)-WEEKDAY($B3189,2)+1,"")</f>
        <v/>
      </c>
      <c r="I3189" s="24" t="n"/>
      <c r="J3189" s="22">
        <f t="array" ref="J3189">IF($D3189="","",IF($I3189="","(trống REF)",IFERROR(INDEX(MASTER_SOURCE!$B$2:$B$495,MATCH($I3189,MASTER_SOURCE!$A$2:$A$495,0)),"(REF không có trong MASTER_SOURCE)")))</f>
        <v/>
      </c>
      <c r="K3189" s="22">
        <f t="array" ref="K3189">IF($D3189="","",IFERROR(INDEX(MASTER_SOURCE!$C$2:$C$495,MATCH($I3189,MASTER_SOURCE!$A$2:$A$495,0)),""))</f>
        <v/>
      </c>
      <c r="L3189" s="22">
        <f t="array" ref="L3189">IF($D3189="","",IFERROR(INDEX(MASTER_SOURCE!$D$2:$D$495,MATCH($I3189,MASTER_SOURCE!$A$2:$A$495,0)),""))</f>
        <v/>
      </c>
      <c r="M3189" s="24" t="n"/>
      <c r="N3189" s="24" t="n"/>
      <c r="O3189" s="24" t="n"/>
      <c r="P3189" s="24" t="n"/>
      <c r="Q3189" s="22">
        <f>IF($D3189="","",IF(AND(OR(DANH_MUC!$L$5&lt;&gt;"Có",M3189="Có"),OR(DANH_MUC!$L$6&lt;&gt;"Có",N3189="Có"),OR(DANH_MUC!$L$7&lt;&gt;"Có",O3189="Có"),OR(DANH_MUC!$L$8&lt;&gt;"Có",P3189="Có")),"Có","Không"))</f>
        <v/>
      </c>
      <c r="R3189" s="22">
        <f>IF($D3189="","",IF(COUNTIF($D$2:$D3189,$D3189)&gt;1,"Trùng",""))</f>
        <v/>
      </c>
      <c r="S3189" s="22">
        <f>IF($D3189="","",IF(AND(LEN($D3189)=10,LEFT($D3189,1)="0",ISNUMBER(--$D3189)),"Có","Không"))</f>
        <v/>
      </c>
      <c r="T3189" s="22">
        <f>IF($D3189="","",IF(AND($C3189&lt;&gt;"",$Q3189="Có",$R3189="",$S3189="Có",AND($L3189&lt;&gt;"",OR($L3189&lt;&gt;"Chưa xác định",DANH_MUC!$L$9="Có"))),"Có","Không"))</f>
        <v/>
      </c>
      <c r="U3189" s="22">
        <f>IF(OR($D3189="",$T3189="Có"),"",IF($C3189="","Thiếu họ tên; ","")&amp;IF($S3189&lt;&gt;"Có","SĐT sai định dạng; ","")&amp;IF($R3189="Trùng","Trùng SĐT; ","")&amp;IF($Q3189&lt;&gt;"Có","Thiếu đồng ý bắt buộc; ","")&amp;IF($L3189="","Thiếu/sai Mã REF; ",IF(AND($L3189="Chưa xác định",DANH_MUC!$L$9&lt;&gt;"Có"),"Nguồn chưa xác định; ","")))</f>
        <v/>
      </c>
      <c r="V3189" s="22">
        <f>IF(OR($D3189="",$R3189="Trùng"),"",IF(COUNTIF(ORDERS!$C$2:$C$4995,$D3189)&gt;0,"Có","Không"))</f>
        <v/>
      </c>
      <c r="W3189" s="22">
        <f>IF(OR($D3189="",$R3189="Trùng"),"",COUNTIFS(ORDERS!$C$2:$C$4995,$D3189,ORDERS!$L$2:$L$4995,"Đã chuyển khoản"))</f>
        <v/>
      </c>
      <c r="X3189" s="23">
        <f>IF(OR($D3189="",$R3189="Trùng"),"",SUMIFS(ORDERS!$J$2:$J$4995,ORDERS!$C$2:$C$4995,$D3189,ORDERS!$L$2:$L$4995,"Đã chuyển khoản"))</f>
        <v/>
      </c>
      <c r="Y3189" s="24" t="n"/>
    </row>
    <row r="3190" ht="14.25" customHeight="1" s="40">
      <c r="A3190" s="24" t="n"/>
      <c r="B3190" s="27" t="n"/>
      <c r="C3190" s="24" t="n"/>
      <c r="D3190" s="28" t="n"/>
      <c r="E3190" s="29" t="n"/>
      <c r="F3190" s="24" t="n"/>
      <c r="G3190" s="24" t="n"/>
      <c r="H3190" s="21">
        <f>IF(ISNUMBER($B3190),INT($B3190)-WEEKDAY($B3190,2)+1,"")</f>
        <v/>
      </c>
      <c r="I3190" s="24" t="n"/>
      <c r="J3190" s="22">
        <f t="array" ref="J3190">IF($D3190="","",IF($I3190="","(trống REF)",IFERROR(INDEX(MASTER_SOURCE!$B$2:$B$495,MATCH($I3190,MASTER_SOURCE!$A$2:$A$495,0)),"(REF không có trong MASTER_SOURCE)")))</f>
        <v/>
      </c>
      <c r="K3190" s="22">
        <f t="array" ref="K3190">IF($D3190="","",IFERROR(INDEX(MASTER_SOURCE!$C$2:$C$495,MATCH($I3190,MASTER_SOURCE!$A$2:$A$495,0)),""))</f>
        <v/>
      </c>
      <c r="L3190" s="22">
        <f t="array" ref="L3190">IF($D3190="","",IFERROR(INDEX(MASTER_SOURCE!$D$2:$D$495,MATCH($I3190,MASTER_SOURCE!$A$2:$A$495,0)),""))</f>
        <v/>
      </c>
      <c r="M3190" s="24" t="n"/>
      <c r="N3190" s="24" t="n"/>
      <c r="O3190" s="24" t="n"/>
      <c r="P3190" s="24" t="n"/>
      <c r="Q3190" s="22">
        <f>IF($D3190="","",IF(AND(OR(DANH_MUC!$L$5&lt;&gt;"Có",M3190="Có"),OR(DANH_MUC!$L$6&lt;&gt;"Có",N3190="Có"),OR(DANH_MUC!$L$7&lt;&gt;"Có",O3190="Có"),OR(DANH_MUC!$L$8&lt;&gt;"Có",P3190="Có")),"Có","Không"))</f>
        <v/>
      </c>
      <c r="R3190" s="22">
        <f>IF($D3190="","",IF(COUNTIF($D$2:$D3190,$D3190)&gt;1,"Trùng",""))</f>
        <v/>
      </c>
      <c r="S3190" s="22">
        <f>IF($D3190="","",IF(AND(LEN($D3190)=10,LEFT($D3190,1)="0",ISNUMBER(--$D3190)),"Có","Không"))</f>
        <v/>
      </c>
      <c r="T3190" s="22">
        <f>IF($D3190="","",IF(AND($C3190&lt;&gt;"",$Q3190="Có",$R3190="",$S3190="Có",AND($L3190&lt;&gt;"",OR($L3190&lt;&gt;"Chưa xác định",DANH_MUC!$L$9="Có"))),"Có","Không"))</f>
        <v/>
      </c>
      <c r="U3190" s="22">
        <f>IF(OR($D3190="",$T3190="Có"),"",IF($C3190="","Thiếu họ tên; ","")&amp;IF($S3190&lt;&gt;"Có","SĐT sai định dạng; ","")&amp;IF($R3190="Trùng","Trùng SĐT; ","")&amp;IF($Q3190&lt;&gt;"Có","Thiếu đồng ý bắt buộc; ","")&amp;IF($L3190="","Thiếu/sai Mã REF; ",IF(AND($L3190="Chưa xác định",DANH_MUC!$L$9&lt;&gt;"Có"),"Nguồn chưa xác định; ","")))</f>
        <v/>
      </c>
      <c r="V3190" s="22">
        <f>IF(OR($D3190="",$R3190="Trùng"),"",IF(COUNTIF(ORDERS!$C$2:$C$4995,$D3190)&gt;0,"Có","Không"))</f>
        <v/>
      </c>
      <c r="W3190" s="22">
        <f>IF(OR($D3190="",$R3190="Trùng"),"",COUNTIFS(ORDERS!$C$2:$C$4995,$D3190,ORDERS!$L$2:$L$4995,"Đã chuyển khoản"))</f>
        <v/>
      </c>
      <c r="X3190" s="23">
        <f>IF(OR($D3190="",$R3190="Trùng"),"",SUMIFS(ORDERS!$J$2:$J$4995,ORDERS!$C$2:$C$4995,$D3190,ORDERS!$L$2:$L$4995,"Đã chuyển khoản"))</f>
        <v/>
      </c>
      <c r="Y3190" s="24" t="n"/>
    </row>
    <row r="3191" ht="14.25" customHeight="1" s="40">
      <c r="A3191" s="24" t="n"/>
      <c r="B3191" s="27" t="n"/>
      <c r="C3191" s="24" t="n"/>
      <c r="D3191" s="28" t="n"/>
      <c r="E3191" s="29" t="n"/>
      <c r="F3191" s="24" t="n"/>
      <c r="G3191" s="24" t="n"/>
      <c r="H3191" s="21">
        <f>IF(ISNUMBER($B3191),INT($B3191)-WEEKDAY($B3191,2)+1,"")</f>
        <v/>
      </c>
      <c r="I3191" s="24" t="n"/>
      <c r="J3191" s="22">
        <f t="array" ref="J3191">IF($D3191="","",IF($I3191="","(trống REF)",IFERROR(INDEX(MASTER_SOURCE!$B$2:$B$495,MATCH($I3191,MASTER_SOURCE!$A$2:$A$495,0)),"(REF không có trong MASTER_SOURCE)")))</f>
        <v/>
      </c>
      <c r="K3191" s="22">
        <f t="array" ref="K3191">IF($D3191="","",IFERROR(INDEX(MASTER_SOURCE!$C$2:$C$495,MATCH($I3191,MASTER_SOURCE!$A$2:$A$495,0)),""))</f>
        <v/>
      </c>
      <c r="L3191" s="22">
        <f t="array" ref="L3191">IF($D3191="","",IFERROR(INDEX(MASTER_SOURCE!$D$2:$D$495,MATCH($I3191,MASTER_SOURCE!$A$2:$A$495,0)),""))</f>
        <v/>
      </c>
      <c r="M3191" s="24" t="n"/>
      <c r="N3191" s="24" t="n"/>
      <c r="O3191" s="24" t="n"/>
      <c r="P3191" s="24" t="n"/>
      <c r="Q3191" s="22">
        <f>IF($D3191="","",IF(AND(OR(DANH_MUC!$L$5&lt;&gt;"Có",M3191="Có"),OR(DANH_MUC!$L$6&lt;&gt;"Có",N3191="Có"),OR(DANH_MUC!$L$7&lt;&gt;"Có",O3191="Có"),OR(DANH_MUC!$L$8&lt;&gt;"Có",P3191="Có")),"Có","Không"))</f>
        <v/>
      </c>
      <c r="R3191" s="22">
        <f>IF($D3191="","",IF(COUNTIF($D$2:$D3191,$D3191)&gt;1,"Trùng",""))</f>
        <v/>
      </c>
      <c r="S3191" s="22">
        <f>IF($D3191="","",IF(AND(LEN($D3191)=10,LEFT($D3191,1)="0",ISNUMBER(--$D3191)),"Có","Không"))</f>
        <v/>
      </c>
      <c r="T3191" s="22">
        <f>IF($D3191="","",IF(AND($C3191&lt;&gt;"",$Q3191="Có",$R3191="",$S3191="Có",AND($L3191&lt;&gt;"",OR($L3191&lt;&gt;"Chưa xác định",DANH_MUC!$L$9="Có"))),"Có","Không"))</f>
        <v/>
      </c>
      <c r="U3191" s="22">
        <f>IF(OR($D3191="",$T3191="Có"),"",IF($C3191="","Thiếu họ tên; ","")&amp;IF($S3191&lt;&gt;"Có","SĐT sai định dạng; ","")&amp;IF($R3191="Trùng","Trùng SĐT; ","")&amp;IF($Q3191&lt;&gt;"Có","Thiếu đồng ý bắt buộc; ","")&amp;IF($L3191="","Thiếu/sai Mã REF; ",IF(AND($L3191="Chưa xác định",DANH_MUC!$L$9&lt;&gt;"Có"),"Nguồn chưa xác định; ","")))</f>
        <v/>
      </c>
      <c r="V3191" s="22">
        <f>IF(OR($D3191="",$R3191="Trùng"),"",IF(COUNTIF(ORDERS!$C$2:$C$4995,$D3191)&gt;0,"Có","Không"))</f>
        <v/>
      </c>
      <c r="W3191" s="22">
        <f>IF(OR($D3191="",$R3191="Trùng"),"",COUNTIFS(ORDERS!$C$2:$C$4995,$D3191,ORDERS!$L$2:$L$4995,"Đã chuyển khoản"))</f>
        <v/>
      </c>
      <c r="X3191" s="23">
        <f>IF(OR($D3191="",$R3191="Trùng"),"",SUMIFS(ORDERS!$J$2:$J$4995,ORDERS!$C$2:$C$4995,$D3191,ORDERS!$L$2:$L$4995,"Đã chuyển khoản"))</f>
        <v/>
      </c>
      <c r="Y3191" s="24" t="n"/>
    </row>
    <row r="3192" ht="14.25" customHeight="1" s="40">
      <c r="A3192" s="24" t="n"/>
      <c r="B3192" s="27" t="n"/>
      <c r="C3192" s="24" t="n"/>
      <c r="D3192" s="28" t="n"/>
      <c r="E3192" s="29" t="n"/>
      <c r="F3192" s="24" t="n"/>
      <c r="G3192" s="24" t="n"/>
      <c r="H3192" s="21">
        <f>IF(ISNUMBER($B3192),INT($B3192)-WEEKDAY($B3192,2)+1,"")</f>
        <v/>
      </c>
      <c r="I3192" s="24" t="n"/>
      <c r="J3192" s="22">
        <f t="array" ref="J3192">IF($D3192="","",IF($I3192="","(trống REF)",IFERROR(INDEX(MASTER_SOURCE!$B$2:$B$495,MATCH($I3192,MASTER_SOURCE!$A$2:$A$495,0)),"(REF không có trong MASTER_SOURCE)")))</f>
        <v/>
      </c>
      <c r="K3192" s="22">
        <f t="array" ref="K3192">IF($D3192="","",IFERROR(INDEX(MASTER_SOURCE!$C$2:$C$495,MATCH($I3192,MASTER_SOURCE!$A$2:$A$495,0)),""))</f>
        <v/>
      </c>
      <c r="L3192" s="22">
        <f t="array" ref="L3192">IF($D3192="","",IFERROR(INDEX(MASTER_SOURCE!$D$2:$D$495,MATCH($I3192,MASTER_SOURCE!$A$2:$A$495,0)),""))</f>
        <v/>
      </c>
      <c r="M3192" s="24" t="n"/>
      <c r="N3192" s="24" t="n"/>
      <c r="O3192" s="24" t="n"/>
      <c r="P3192" s="24" t="n"/>
      <c r="Q3192" s="22">
        <f>IF($D3192="","",IF(AND(OR(DANH_MUC!$L$5&lt;&gt;"Có",M3192="Có"),OR(DANH_MUC!$L$6&lt;&gt;"Có",N3192="Có"),OR(DANH_MUC!$L$7&lt;&gt;"Có",O3192="Có"),OR(DANH_MUC!$L$8&lt;&gt;"Có",P3192="Có")),"Có","Không"))</f>
        <v/>
      </c>
      <c r="R3192" s="22">
        <f>IF($D3192="","",IF(COUNTIF($D$2:$D3192,$D3192)&gt;1,"Trùng",""))</f>
        <v/>
      </c>
      <c r="S3192" s="22">
        <f>IF($D3192="","",IF(AND(LEN($D3192)=10,LEFT($D3192,1)="0",ISNUMBER(--$D3192)),"Có","Không"))</f>
        <v/>
      </c>
      <c r="T3192" s="22">
        <f>IF($D3192="","",IF(AND($C3192&lt;&gt;"",$Q3192="Có",$R3192="",$S3192="Có",AND($L3192&lt;&gt;"",OR($L3192&lt;&gt;"Chưa xác định",DANH_MUC!$L$9="Có"))),"Có","Không"))</f>
        <v/>
      </c>
      <c r="U3192" s="22">
        <f>IF(OR($D3192="",$T3192="Có"),"",IF($C3192="","Thiếu họ tên; ","")&amp;IF($S3192&lt;&gt;"Có","SĐT sai định dạng; ","")&amp;IF($R3192="Trùng","Trùng SĐT; ","")&amp;IF($Q3192&lt;&gt;"Có","Thiếu đồng ý bắt buộc; ","")&amp;IF($L3192="","Thiếu/sai Mã REF; ",IF(AND($L3192="Chưa xác định",DANH_MUC!$L$9&lt;&gt;"Có"),"Nguồn chưa xác định; ","")))</f>
        <v/>
      </c>
      <c r="V3192" s="22">
        <f>IF(OR($D3192="",$R3192="Trùng"),"",IF(COUNTIF(ORDERS!$C$2:$C$4995,$D3192)&gt;0,"Có","Không"))</f>
        <v/>
      </c>
      <c r="W3192" s="22">
        <f>IF(OR($D3192="",$R3192="Trùng"),"",COUNTIFS(ORDERS!$C$2:$C$4995,$D3192,ORDERS!$L$2:$L$4995,"Đã chuyển khoản"))</f>
        <v/>
      </c>
      <c r="X3192" s="23">
        <f>IF(OR($D3192="",$R3192="Trùng"),"",SUMIFS(ORDERS!$J$2:$J$4995,ORDERS!$C$2:$C$4995,$D3192,ORDERS!$L$2:$L$4995,"Đã chuyển khoản"))</f>
        <v/>
      </c>
      <c r="Y3192" s="24" t="n"/>
    </row>
    <row r="3193" ht="14.25" customHeight="1" s="40">
      <c r="A3193" s="24" t="n"/>
      <c r="B3193" s="27" t="n"/>
      <c r="C3193" s="24" t="n"/>
      <c r="D3193" s="28" t="n"/>
      <c r="E3193" s="29" t="n"/>
      <c r="F3193" s="24" t="n"/>
      <c r="G3193" s="24" t="n"/>
      <c r="H3193" s="21">
        <f>IF(ISNUMBER($B3193),INT($B3193)-WEEKDAY($B3193,2)+1,"")</f>
        <v/>
      </c>
      <c r="I3193" s="24" t="n"/>
      <c r="J3193" s="22">
        <f t="array" ref="J3193">IF($D3193="","",IF($I3193="","(trống REF)",IFERROR(INDEX(MASTER_SOURCE!$B$2:$B$495,MATCH($I3193,MASTER_SOURCE!$A$2:$A$495,0)),"(REF không có trong MASTER_SOURCE)")))</f>
        <v/>
      </c>
      <c r="K3193" s="22">
        <f t="array" ref="K3193">IF($D3193="","",IFERROR(INDEX(MASTER_SOURCE!$C$2:$C$495,MATCH($I3193,MASTER_SOURCE!$A$2:$A$495,0)),""))</f>
        <v/>
      </c>
      <c r="L3193" s="22">
        <f t="array" ref="L3193">IF($D3193="","",IFERROR(INDEX(MASTER_SOURCE!$D$2:$D$495,MATCH($I3193,MASTER_SOURCE!$A$2:$A$495,0)),""))</f>
        <v/>
      </c>
      <c r="M3193" s="24" t="n"/>
      <c r="N3193" s="24" t="n"/>
      <c r="O3193" s="24" t="n"/>
      <c r="P3193" s="24" t="n"/>
      <c r="Q3193" s="22">
        <f>IF($D3193="","",IF(AND(OR(DANH_MUC!$L$5&lt;&gt;"Có",M3193="Có"),OR(DANH_MUC!$L$6&lt;&gt;"Có",N3193="Có"),OR(DANH_MUC!$L$7&lt;&gt;"Có",O3193="Có"),OR(DANH_MUC!$L$8&lt;&gt;"Có",P3193="Có")),"Có","Không"))</f>
        <v/>
      </c>
      <c r="R3193" s="22">
        <f>IF($D3193="","",IF(COUNTIF($D$2:$D3193,$D3193)&gt;1,"Trùng",""))</f>
        <v/>
      </c>
      <c r="S3193" s="22">
        <f>IF($D3193="","",IF(AND(LEN($D3193)=10,LEFT($D3193,1)="0",ISNUMBER(--$D3193)),"Có","Không"))</f>
        <v/>
      </c>
      <c r="T3193" s="22">
        <f>IF($D3193="","",IF(AND($C3193&lt;&gt;"",$Q3193="Có",$R3193="",$S3193="Có",AND($L3193&lt;&gt;"",OR($L3193&lt;&gt;"Chưa xác định",DANH_MUC!$L$9="Có"))),"Có","Không"))</f>
        <v/>
      </c>
      <c r="U3193" s="22">
        <f>IF(OR($D3193="",$T3193="Có"),"",IF($C3193="","Thiếu họ tên; ","")&amp;IF($S3193&lt;&gt;"Có","SĐT sai định dạng; ","")&amp;IF($R3193="Trùng","Trùng SĐT; ","")&amp;IF($Q3193&lt;&gt;"Có","Thiếu đồng ý bắt buộc; ","")&amp;IF($L3193="","Thiếu/sai Mã REF; ",IF(AND($L3193="Chưa xác định",DANH_MUC!$L$9&lt;&gt;"Có"),"Nguồn chưa xác định; ","")))</f>
        <v/>
      </c>
      <c r="V3193" s="22">
        <f>IF(OR($D3193="",$R3193="Trùng"),"",IF(COUNTIF(ORDERS!$C$2:$C$4995,$D3193)&gt;0,"Có","Không"))</f>
        <v/>
      </c>
      <c r="W3193" s="22">
        <f>IF(OR($D3193="",$R3193="Trùng"),"",COUNTIFS(ORDERS!$C$2:$C$4995,$D3193,ORDERS!$L$2:$L$4995,"Đã chuyển khoản"))</f>
        <v/>
      </c>
      <c r="X3193" s="23">
        <f>IF(OR($D3193="",$R3193="Trùng"),"",SUMIFS(ORDERS!$J$2:$J$4995,ORDERS!$C$2:$C$4995,$D3193,ORDERS!$L$2:$L$4995,"Đã chuyển khoản"))</f>
        <v/>
      </c>
      <c r="Y3193" s="24" t="n"/>
    </row>
    <row r="3194" ht="14.25" customHeight="1" s="40">
      <c r="A3194" s="24" t="n"/>
      <c r="B3194" s="27" t="n"/>
      <c r="C3194" s="24" t="n"/>
      <c r="D3194" s="28" t="n"/>
      <c r="E3194" s="29" t="n"/>
      <c r="F3194" s="24" t="n"/>
      <c r="G3194" s="24" t="n"/>
      <c r="H3194" s="21">
        <f>IF(ISNUMBER($B3194),INT($B3194)-WEEKDAY($B3194,2)+1,"")</f>
        <v/>
      </c>
      <c r="I3194" s="24" t="n"/>
      <c r="J3194" s="22">
        <f t="array" ref="J3194">IF($D3194="","",IF($I3194="","(trống REF)",IFERROR(INDEX(MASTER_SOURCE!$B$2:$B$495,MATCH($I3194,MASTER_SOURCE!$A$2:$A$495,0)),"(REF không có trong MASTER_SOURCE)")))</f>
        <v/>
      </c>
      <c r="K3194" s="22">
        <f t="array" ref="K3194">IF($D3194="","",IFERROR(INDEX(MASTER_SOURCE!$C$2:$C$495,MATCH($I3194,MASTER_SOURCE!$A$2:$A$495,0)),""))</f>
        <v/>
      </c>
      <c r="L3194" s="22">
        <f t="array" ref="L3194">IF($D3194="","",IFERROR(INDEX(MASTER_SOURCE!$D$2:$D$495,MATCH($I3194,MASTER_SOURCE!$A$2:$A$495,0)),""))</f>
        <v/>
      </c>
      <c r="M3194" s="24" t="n"/>
      <c r="N3194" s="24" t="n"/>
      <c r="O3194" s="24" t="n"/>
      <c r="P3194" s="24" t="n"/>
      <c r="Q3194" s="22">
        <f>IF($D3194="","",IF(AND(OR(DANH_MUC!$L$5&lt;&gt;"Có",M3194="Có"),OR(DANH_MUC!$L$6&lt;&gt;"Có",N3194="Có"),OR(DANH_MUC!$L$7&lt;&gt;"Có",O3194="Có"),OR(DANH_MUC!$L$8&lt;&gt;"Có",P3194="Có")),"Có","Không"))</f>
        <v/>
      </c>
      <c r="R3194" s="22">
        <f>IF($D3194="","",IF(COUNTIF($D$2:$D3194,$D3194)&gt;1,"Trùng",""))</f>
        <v/>
      </c>
      <c r="S3194" s="22">
        <f>IF($D3194="","",IF(AND(LEN($D3194)=10,LEFT($D3194,1)="0",ISNUMBER(--$D3194)),"Có","Không"))</f>
        <v/>
      </c>
      <c r="T3194" s="22">
        <f>IF($D3194="","",IF(AND($C3194&lt;&gt;"",$Q3194="Có",$R3194="",$S3194="Có",AND($L3194&lt;&gt;"",OR($L3194&lt;&gt;"Chưa xác định",DANH_MUC!$L$9="Có"))),"Có","Không"))</f>
        <v/>
      </c>
      <c r="U3194" s="22">
        <f>IF(OR($D3194="",$T3194="Có"),"",IF($C3194="","Thiếu họ tên; ","")&amp;IF($S3194&lt;&gt;"Có","SĐT sai định dạng; ","")&amp;IF($R3194="Trùng","Trùng SĐT; ","")&amp;IF($Q3194&lt;&gt;"Có","Thiếu đồng ý bắt buộc; ","")&amp;IF($L3194="","Thiếu/sai Mã REF; ",IF(AND($L3194="Chưa xác định",DANH_MUC!$L$9&lt;&gt;"Có"),"Nguồn chưa xác định; ","")))</f>
        <v/>
      </c>
      <c r="V3194" s="22">
        <f>IF(OR($D3194="",$R3194="Trùng"),"",IF(COUNTIF(ORDERS!$C$2:$C$4995,$D3194)&gt;0,"Có","Không"))</f>
        <v/>
      </c>
      <c r="W3194" s="22">
        <f>IF(OR($D3194="",$R3194="Trùng"),"",COUNTIFS(ORDERS!$C$2:$C$4995,$D3194,ORDERS!$L$2:$L$4995,"Đã chuyển khoản"))</f>
        <v/>
      </c>
      <c r="X3194" s="23">
        <f>IF(OR($D3194="",$R3194="Trùng"),"",SUMIFS(ORDERS!$J$2:$J$4995,ORDERS!$C$2:$C$4995,$D3194,ORDERS!$L$2:$L$4995,"Đã chuyển khoản"))</f>
        <v/>
      </c>
      <c r="Y3194" s="24" t="n"/>
    </row>
    <row r="3195" ht="14.25" customHeight="1" s="40">
      <c r="A3195" s="24" t="n"/>
      <c r="B3195" s="27" t="n"/>
      <c r="C3195" s="24" t="n"/>
      <c r="D3195" s="28" t="n"/>
      <c r="E3195" s="29" t="n"/>
      <c r="F3195" s="24" t="n"/>
      <c r="G3195" s="24" t="n"/>
      <c r="H3195" s="21">
        <f>IF(ISNUMBER($B3195),INT($B3195)-WEEKDAY($B3195,2)+1,"")</f>
        <v/>
      </c>
      <c r="I3195" s="24" t="n"/>
      <c r="J3195" s="22">
        <f t="array" ref="J3195">IF($D3195="","",IF($I3195="","(trống REF)",IFERROR(INDEX(MASTER_SOURCE!$B$2:$B$495,MATCH($I3195,MASTER_SOURCE!$A$2:$A$495,0)),"(REF không có trong MASTER_SOURCE)")))</f>
        <v/>
      </c>
      <c r="K3195" s="22">
        <f t="array" ref="K3195">IF($D3195="","",IFERROR(INDEX(MASTER_SOURCE!$C$2:$C$495,MATCH($I3195,MASTER_SOURCE!$A$2:$A$495,0)),""))</f>
        <v/>
      </c>
      <c r="L3195" s="22">
        <f t="array" ref="L3195">IF($D3195="","",IFERROR(INDEX(MASTER_SOURCE!$D$2:$D$495,MATCH($I3195,MASTER_SOURCE!$A$2:$A$495,0)),""))</f>
        <v/>
      </c>
      <c r="M3195" s="24" t="n"/>
      <c r="N3195" s="24" t="n"/>
      <c r="O3195" s="24" t="n"/>
      <c r="P3195" s="24" t="n"/>
      <c r="Q3195" s="22">
        <f>IF($D3195="","",IF(AND(OR(DANH_MUC!$L$5&lt;&gt;"Có",M3195="Có"),OR(DANH_MUC!$L$6&lt;&gt;"Có",N3195="Có"),OR(DANH_MUC!$L$7&lt;&gt;"Có",O3195="Có"),OR(DANH_MUC!$L$8&lt;&gt;"Có",P3195="Có")),"Có","Không"))</f>
        <v/>
      </c>
      <c r="R3195" s="22">
        <f>IF($D3195="","",IF(COUNTIF($D$2:$D3195,$D3195)&gt;1,"Trùng",""))</f>
        <v/>
      </c>
      <c r="S3195" s="22">
        <f>IF($D3195="","",IF(AND(LEN($D3195)=10,LEFT($D3195,1)="0",ISNUMBER(--$D3195)),"Có","Không"))</f>
        <v/>
      </c>
      <c r="T3195" s="22">
        <f>IF($D3195="","",IF(AND($C3195&lt;&gt;"",$Q3195="Có",$R3195="",$S3195="Có",AND($L3195&lt;&gt;"",OR($L3195&lt;&gt;"Chưa xác định",DANH_MUC!$L$9="Có"))),"Có","Không"))</f>
        <v/>
      </c>
      <c r="U3195" s="22">
        <f>IF(OR($D3195="",$T3195="Có"),"",IF($C3195="","Thiếu họ tên; ","")&amp;IF($S3195&lt;&gt;"Có","SĐT sai định dạng; ","")&amp;IF($R3195="Trùng","Trùng SĐT; ","")&amp;IF($Q3195&lt;&gt;"Có","Thiếu đồng ý bắt buộc; ","")&amp;IF($L3195="","Thiếu/sai Mã REF; ",IF(AND($L3195="Chưa xác định",DANH_MUC!$L$9&lt;&gt;"Có"),"Nguồn chưa xác định; ","")))</f>
        <v/>
      </c>
      <c r="V3195" s="22">
        <f>IF(OR($D3195="",$R3195="Trùng"),"",IF(COUNTIF(ORDERS!$C$2:$C$4995,$D3195)&gt;0,"Có","Không"))</f>
        <v/>
      </c>
      <c r="W3195" s="22">
        <f>IF(OR($D3195="",$R3195="Trùng"),"",COUNTIFS(ORDERS!$C$2:$C$4995,$D3195,ORDERS!$L$2:$L$4995,"Đã chuyển khoản"))</f>
        <v/>
      </c>
      <c r="X3195" s="23">
        <f>IF(OR($D3195="",$R3195="Trùng"),"",SUMIFS(ORDERS!$J$2:$J$4995,ORDERS!$C$2:$C$4995,$D3195,ORDERS!$L$2:$L$4995,"Đã chuyển khoản"))</f>
        <v/>
      </c>
      <c r="Y3195" s="24" t="n"/>
    </row>
    <row r="3196" ht="14.25" customHeight="1" s="40">
      <c r="A3196" s="24" t="n"/>
      <c r="B3196" s="27" t="n"/>
      <c r="C3196" s="24" t="n"/>
      <c r="D3196" s="28" t="n"/>
      <c r="E3196" s="29" t="n"/>
      <c r="F3196" s="24" t="n"/>
      <c r="G3196" s="24" t="n"/>
      <c r="H3196" s="21">
        <f>IF(ISNUMBER($B3196),INT($B3196)-WEEKDAY($B3196,2)+1,"")</f>
        <v/>
      </c>
      <c r="I3196" s="24" t="n"/>
      <c r="J3196" s="22">
        <f t="array" ref="J3196">IF($D3196="","",IF($I3196="","(trống REF)",IFERROR(INDEX(MASTER_SOURCE!$B$2:$B$495,MATCH($I3196,MASTER_SOURCE!$A$2:$A$495,0)),"(REF không có trong MASTER_SOURCE)")))</f>
        <v/>
      </c>
      <c r="K3196" s="22">
        <f t="array" ref="K3196">IF($D3196="","",IFERROR(INDEX(MASTER_SOURCE!$C$2:$C$495,MATCH($I3196,MASTER_SOURCE!$A$2:$A$495,0)),""))</f>
        <v/>
      </c>
      <c r="L3196" s="22">
        <f t="array" ref="L3196">IF($D3196="","",IFERROR(INDEX(MASTER_SOURCE!$D$2:$D$495,MATCH($I3196,MASTER_SOURCE!$A$2:$A$495,0)),""))</f>
        <v/>
      </c>
      <c r="M3196" s="24" t="n"/>
      <c r="N3196" s="24" t="n"/>
      <c r="O3196" s="24" t="n"/>
      <c r="P3196" s="24" t="n"/>
      <c r="Q3196" s="22">
        <f>IF($D3196="","",IF(AND(OR(DANH_MUC!$L$5&lt;&gt;"Có",M3196="Có"),OR(DANH_MUC!$L$6&lt;&gt;"Có",N3196="Có"),OR(DANH_MUC!$L$7&lt;&gt;"Có",O3196="Có"),OR(DANH_MUC!$L$8&lt;&gt;"Có",P3196="Có")),"Có","Không"))</f>
        <v/>
      </c>
      <c r="R3196" s="22">
        <f>IF($D3196="","",IF(COUNTIF($D$2:$D3196,$D3196)&gt;1,"Trùng",""))</f>
        <v/>
      </c>
      <c r="S3196" s="22">
        <f>IF($D3196="","",IF(AND(LEN($D3196)=10,LEFT($D3196,1)="0",ISNUMBER(--$D3196)),"Có","Không"))</f>
        <v/>
      </c>
      <c r="T3196" s="22">
        <f>IF($D3196="","",IF(AND($C3196&lt;&gt;"",$Q3196="Có",$R3196="",$S3196="Có",AND($L3196&lt;&gt;"",OR($L3196&lt;&gt;"Chưa xác định",DANH_MUC!$L$9="Có"))),"Có","Không"))</f>
        <v/>
      </c>
      <c r="U3196" s="22">
        <f>IF(OR($D3196="",$T3196="Có"),"",IF($C3196="","Thiếu họ tên; ","")&amp;IF($S3196&lt;&gt;"Có","SĐT sai định dạng; ","")&amp;IF($R3196="Trùng","Trùng SĐT; ","")&amp;IF($Q3196&lt;&gt;"Có","Thiếu đồng ý bắt buộc; ","")&amp;IF($L3196="","Thiếu/sai Mã REF; ",IF(AND($L3196="Chưa xác định",DANH_MUC!$L$9&lt;&gt;"Có"),"Nguồn chưa xác định; ","")))</f>
        <v/>
      </c>
      <c r="V3196" s="22">
        <f>IF(OR($D3196="",$R3196="Trùng"),"",IF(COUNTIF(ORDERS!$C$2:$C$4995,$D3196)&gt;0,"Có","Không"))</f>
        <v/>
      </c>
      <c r="W3196" s="22">
        <f>IF(OR($D3196="",$R3196="Trùng"),"",COUNTIFS(ORDERS!$C$2:$C$4995,$D3196,ORDERS!$L$2:$L$4995,"Đã chuyển khoản"))</f>
        <v/>
      </c>
      <c r="X3196" s="23">
        <f>IF(OR($D3196="",$R3196="Trùng"),"",SUMIFS(ORDERS!$J$2:$J$4995,ORDERS!$C$2:$C$4995,$D3196,ORDERS!$L$2:$L$4995,"Đã chuyển khoản"))</f>
        <v/>
      </c>
      <c r="Y3196" s="24" t="n"/>
    </row>
    <row r="3197" ht="14.25" customHeight="1" s="40">
      <c r="A3197" s="24" t="n"/>
      <c r="B3197" s="27" t="n"/>
      <c r="C3197" s="24" t="n"/>
      <c r="D3197" s="28" t="n"/>
      <c r="E3197" s="29" t="n"/>
      <c r="F3197" s="24" t="n"/>
      <c r="G3197" s="24" t="n"/>
      <c r="H3197" s="21">
        <f>IF(ISNUMBER($B3197),INT($B3197)-WEEKDAY($B3197,2)+1,"")</f>
        <v/>
      </c>
      <c r="I3197" s="24" t="n"/>
      <c r="J3197" s="22">
        <f t="array" ref="J3197">IF($D3197="","",IF($I3197="","(trống REF)",IFERROR(INDEX(MASTER_SOURCE!$B$2:$B$495,MATCH($I3197,MASTER_SOURCE!$A$2:$A$495,0)),"(REF không có trong MASTER_SOURCE)")))</f>
        <v/>
      </c>
      <c r="K3197" s="22">
        <f t="array" ref="K3197">IF($D3197="","",IFERROR(INDEX(MASTER_SOURCE!$C$2:$C$495,MATCH($I3197,MASTER_SOURCE!$A$2:$A$495,0)),""))</f>
        <v/>
      </c>
      <c r="L3197" s="22">
        <f t="array" ref="L3197">IF($D3197="","",IFERROR(INDEX(MASTER_SOURCE!$D$2:$D$495,MATCH($I3197,MASTER_SOURCE!$A$2:$A$495,0)),""))</f>
        <v/>
      </c>
      <c r="M3197" s="24" t="n"/>
      <c r="N3197" s="24" t="n"/>
      <c r="O3197" s="24" t="n"/>
      <c r="P3197" s="24" t="n"/>
      <c r="Q3197" s="22">
        <f>IF($D3197="","",IF(AND(OR(DANH_MUC!$L$5&lt;&gt;"Có",M3197="Có"),OR(DANH_MUC!$L$6&lt;&gt;"Có",N3197="Có"),OR(DANH_MUC!$L$7&lt;&gt;"Có",O3197="Có"),OR(DANH_MUC!$L$8&lt;&gt;"Có",P3197="Có")),"Có","Không"))</f>
        <v/>
      </c>
      <c r="R3197" s="22">
        <f>IF($D3197="","",IF(COUNTIF($D$2:$D3197,$D3197)&gt;1,"Trùng",""))</f>
        <v/>
      </c>
      <c r="S3197" s="22">
        <f>IF($D3197="","",IF(AND(LEN($D3197)=10,LEFT($D3197,1)="0",ISNUMBER(--$D3197)),"Có","Không"))</f>
        <v/>
      </c>
      <c r="T3197" s="22">
        <f>IF($D3197="","",IF(AND($C3197&lt;&gt;"",$Q3197="Có",$R3197="",$S3197="Có",AND($L3197&lt;&gt;"",OR($L3197&lt;&gt;"Chưa xác định",DANH_MUC!$L$9="Có"))),"Có","Không"))</f>
        <v/>
      </c>
      <c r="U3197" s="22">
        <f>IF(OR($D3197="",$T3197="Có"),"",IF($C3197="","Thiếu họ tên; ","")&amp;IF($S3197&lt;&gt;"Có","SĐT sai định dạng; ","")&amp;IF($R3197="Trùng","Trùng SĐT; ","")&amp;IF($Q3197&lt;&gt;"Có","Thiếu đồng ý bắt buộc; ","")&amp;IF($L3197="","Thiếu/sai Mã REF; ",IF(AND($L3197="Chưa xác định",DANH_MUC!$L$9&lt;&gt;"Có"),"Nguồn chưa xác định; ","")))</f>
        <v/>
      </c>
      <c r="V3197" s="22">
        <f>IF(OR($D3197="",$R3197="Trùng"),"",IF(COUNTIF(ORDERS!$C$2:$C$4995,$D3197)&gt;0,"Có","Không"))</f>
        <v/>
      </c>
      <c r="W3197" s="22">
        <f>IF(OR($D3197="",$R3197="Trùng"),"",COUNTIFS(ORDERS!$C$2:$C$4995,$D3197,ORDERS!$L$2:$L$4995,"Đã chuyển khoản"))</f>
        <v/>
      </c>
      <c r="X3197" s="23">
        <f>IF(OR($D3197="",$R3197="Trùng"),"",SUMIFS(ORDERS!$J$2:$J$4995,ORDERS!$C$2:$C$4995,$D3197,ORDERS!$L$2:$L$4995,"Đã chuyển khoản"))</f>
        <v/>
      </c>
      <c r="Y3197" s="24" t="n"/>
    </row>
    <row r="3198" ht="14.25" customHeight="1" s="40">
      <c r="A3198" s="24" t="n"/>
      <c r="B3198" s="27" t="n"/>
      <c r="C3198" s="24" t="n"/>
      <c r="D3198" s="28" t="n"/>
      <c r="E3198" s="29" t="n"/>
      <c r="F3198" s="24" t="n"/>
      <c r="G3198" s="24" t="n"/>
      <c r="H3198" s="21">
        <f>IF(ISNUMBER($B3198),INT($B3198)-WEEKDAY($B3198,2)+1,"")</f>
        <v/>
      </c>
      <c r="I3198" s="24" t="n"/>
      <c r="J3198" s="22">
        <f t="array" ref="J3198">IF($D3198="","",IF($I3198="","(trống REF)",IFERROR(INDEX(MASTER_SOURCE!$B$2:$B$495,MATCH($I3198,MASTER_SOURCE!$A$2:$A$495,0)),"(REF không có trong MASTER_SOURCE)")))</f>
        <v/>
      </c>
      <c r="K3198" s="22">
        <f t="array" ref="K3198">IF($D3198="","",IFERROR(INDEX(MASTER_SOURCE!$C$2:$C$495,MATCH($I3198,MASTER_SOURCE!$A$2:$A$495,0)),""))</f>
        <v/>
      </c>
      <c r="L3198" s="22">
        <f t="array" ref="L3198">IF($D3198="","",IFERROR(INDEX(MASTER_SOURCE!$D$2:$D$495,MATCH($I3198,MASTER_SOURCE!$A$2:$A$495,0)),""))</f>
        <v/>
      </c>
      <c r="M3198" s="24" t="n"/>
      <c r="N3198" s="24" t="n"/>
      <c r="O3198" s="24" t="n"/>
      <c r="P3198" s="24" t="n"/>
      <c r="Q3198" s="22">
        <f>IF($D3198="","",IF(AND(OR(DANH_MUC!$L$5&lt;&gt;"Có",M3198="Có"),OR(DANH_MUC!$L$6&lt;&gt;"Có",N3198="Có"),OR(DANH_MUC!$L$7&lt;&gt;"Có",O3198="Có"),OR(DANH_MUC!$L$8&lt;&gt;"Có",P3198="Có")),"Có","Không"))</f>
        <v/>
      </c>
      <c r="R3198" s="22">
        <f>IF($D3198="","",IF(COUNTIF($D$2:$D3198,$D3198)&gt;1,"Trùng",""))</f>
        <v/>
      </c>
      <c r="S3198" s="22">
        <f>IF($D3198="","",IF(AND(LEN($D3198)=10,LEFT($D3198,1)="0",ISNUMBER(--$D3198)),"Có","Không"))</f>
        <v/>
      </c>
      <c r="T3198" s="22">
        <f>IF($D3198="","",IF(AND($C3198&lt;&gt;"",$Q3198="Có",$R3198="",$S3198="Có",AND($L3198&lt;&gt;"",OR($L3198&lt;&gt;"Chưa xác định",DANH_MUC!$L$9="Có"))),"Có","Không"))</f>
        <v/>
      </c>
      <c r="U3198" s="22">
        <f>IF(OR($D3198="",$T3198="Có"),"",IF($C3198="","Thiếu họ tên; ","")&amp;IF($S3198&lt;&gt;"Có","SĐT sai định dạng; ","")&amp;IF($R3198="Trùng","Trùng SĐT; ","")&amp;IF($Q3198&lt;&gt;"Có","Thiếu đồng ý bắt buộc; ","")&amp;IF($L3198="","Thiếu/sai Mã REF; ",IF(AND($L3198="Chưa xác định",DANH_MUC!$L$9&lt;&gt;"Có"),"Nguồn chưa xác định; ","")))</f>
        <v/>
      </c>
      <c r="V3198" s="22">
        <f>IF(OR($D3198="",$R3198="Trùng"),"",IF(COUNTIF(ORDERS!$C$2:$C$4995,$D3198)&gt;0,"Có","Không"))</f>
        <v/>
      </c>
      <c r="W3198" s="22">
        <f>IF(OR($D3198="",$R3198="Trùng"),"",COUNTIFS(ORDERS!$C$2:$C$4995,$D3198,ORDERS!$L$2:$L$4995,"Đã chuyển khoản"))</f>
        <v/>
      </c>
      <c r="X3198" s="23">
        <f>IF(OR($D3198="",$R3198="Trùng"),"",SUMIFS(ORDERS!$J$2:$J$4995,ORDERS!$C$2:$C$4995,$D3198,ORDERS!$L$2:$L$4995,"Đã chuyển khoản"))</f>
        <v/>
      </c>
      <c r="Y3198" s="24" t="n"/>
    </row>
    <row r="3199" ht="14.25" customHeight="1" s="40">
      <c r="A3199" s="24" t="n"/>
      <c r="B3199" s="27" t="n"/>
      <c r="C3199" s="24" t="n"/>
      <c r="D3199" s="28" t="n"/>
      <c r="E3199" s="29" t="n"/>
      <c r="F3199" s="24" t="n"/>
      <c r="G3199" s="24" t="n"/>
      <c r="H3199" s="21">
        <f>IF(ISNUMBER($B3199),INT($B3199)-WEEKDAY($B3199,2)+1,"")</f>
        <v/>
      </c>
      <c r="I3199" s="24" t="n"/>
      <c r="J3199" s="22">
        <f t="array" ref="J3199">IF($D3199="","",IF($I3199="","(trống REF)",IFERROR(INDEX(MASTER_SOURCE!$B$2:$B$495,MATCH($I3199,MASTER_SOURCE!$A$2:$A$495,0)),"(REF không có trong MASTER_SOURCE)")))</f>
        <v/>
      </c>
      <c r="K3199" s="22">
        <f t="array" ref="K3199">IF($D3199="","",IFERROR(INDEX(MASTER_SOURCE!$C$2:$C$495,MATCH($I3199,MASTER_SOURCE!$A$2:$A$495,0)),""))</f>
        <v/>
      </c>
      <c r="L3199" s="22">
        <f t="array" ref="L3199">IF($D3199="","",IFERROR(INDEX(MASTER_SOURCE!$D$2:$D$495,MATCH($I3199,MASTER_SOURCE!$A$2:$A$495,0)),""))</f>
        <v/>
      </c>
      <c r="M3199" s="24" t="n"/>
      <c r="N3199" s="24" t="n"/>
      <c r="O3199" s="24" t="n"/>
      <c r="P3199" s="24" t="n"/>
      <c r="Q3199" s="22">
        <f>IF($D3199="","",IF(AND(OR(DANH_MUC!$L$5&lt;&gt;"Có",M3199="Có"),OR(DANH_MUC!$L$6&lt;&gt;"Có",N3199="Có"),OR(DANH_MUC!$L$7&lt;&gt;"Có",O3199="Có"),OR(DANH_MUC!$L$8&lt;&gt;"Có",P3199="Có")),"Có","Không"))</f>
        <v/>
      </c>
      <c r="R3199" s="22">
        <f>IF($D3199="","",IF(COUNTIF($D$2:$D3199,$D3199)&gt;1,"Trùng",""))</f>
        <v/>
      </c>
      <c r="S3199" s="22">
        <f>IF($D3199="","",IF(AND(LEN($D3199)=10,LEFT($D3199,1)="0",ISNUMBER(--$D3199)),"Có","Không"))</f>
        <v/>
      </c>
      <c r="T3199" s="22">
        <f>IF($D3199="","",IF(AND($C3199&lt;&gt;"",$Q3199="Có",$R3199="",$S3199="Có",AND($L3199&lt;&gt;"",OR($L3199&lt;&gt;"Chưa xác định",DANH_MUC!$L$9="Có"))),"Có","Không"))</f>
        <v/>
      </c>
      <c r="U3199" s="22">
        <f>IF(OR($D3199="",$T3199="Có"),"",IF($C3199="","Thiếu họ tên; ","")&amp;IF($S3199&lt;&gt;"Có","SĐT sai định dạng; ","")&amp;IF($R3199="Trùng","Trùng SĐT; ","")&amp;IF($Q3199&lt;&gt;"Có","Thiếu đồng ý bắt buộc; ","")&amp;IF($L3199="","Thiếu/sai Mã REF; ",IF(AND($L3199="Chưa xác định",DANH_MUC!$L$9&lt;&gt;"Có"),"Nguồn chưa xác định; ","")))</f>
        <v/>
      </c>
      <c r="V3199" s="22">
        <f>IF(OR($D3199="",$R3199="Trùng"),"",IF(COUNTIF(ORDERS!$C$2:$C$4995,$D3199)&gt;0,"Có","Không"))</f>
        <v/>
      </c>
      <c r="W3199" s="22">
        <f>IF(OR($D3199="",$R3199="Trùng"),"",COUNTIFS(ORDERS!$C$2:$C$4995,$D3199,ORDERS!$L$2:$L$4995,"Đã chuyển khoản"))</f>
        <v/>
      </c>
      <c r="X3199" s="23">
        <f>IF(OR($D3199="",$R3199="Trùng"),"",SUMIFS(ORDERS!$J$2:$J$4995,ORDERS!$C$2:$C$4995,$D3199,ORDERS!$L$2:$L$4995,"Đã chuyển khoản"))</f>
        <v/>
      </c>
      <c r="Y3199" s="24" t="n"/>
    </row>
    <row r="3200" ht="14.25" customHeight="1" s="40">
      <c r="A3200" s="24" t="n"/>
      <c r="B3200" s="27" t="n"/>
      <c r="C3200" s="24" t="n"/>
      <c r="D3200" s="28" t="n"/>
      <c r="E3200" s="29" t="n"/>
      <c r="F3200" s="24" t="n"/>
      <c r="G3200" s="24" t="n"/>
      <c r="H3200" s="21">
        <f>IF(ISNUMBER($B3200),INT($B3200)-WEEKDAY($B3200,2)+1,"")</f>
        <v/>
      </c>
      <c r="I3200" s="24" t="n"/>
      <c r="J3200" s="22">
        <f t="array" ref="J3200">IF($D3200="","",IF($I3200="","(trống REF)",IFERROR(INDEX(MASTER_SOURCE!$B$2:$B$495,MATCH($I3200,MASTER_SOURCE!$A$2:$A$495,0)),"(REF không có trong MASTER_SOURCE)")))</f>
        <v/>
      </c>
      <c r="K3200" s="22">
        <f t="array" ref="K3200">IF($D3200="","",IFERROR(INDEX(MASTER_SOURCE!$C$2:$C$495,MATCH($I3200,MASTER_SOURCE!$A$2:$A$495,0)),""))</f>
        <v/>
      </c>
      <c r="L3200" s="22">
        <f t="array" ref="L3200">IF($D3200="","",IFERROR(INDEX(MASTER_SOURCE!$D$2:$D$495,MATCH($I3200,MASTER_SOURCE!$A$2:$A$495,0)),""))</f>
        <v/>
      </c>
      <c r="M3200" s="24" t="n"/>
      <c r="N3200" s="24" t="n"/>
      <c r="O3200" s="24" t="n"/>
      <c r="P3200" s="24" t="n"/>
      <c r="Q3200" s="22">
        <f>IF($D3200="","",IF(AND(OR(DANH_MUC!$L$5&lt;&gt;"Có",M3200="Có"),OR(DANH_MUC!$L$6&lt;&gt;"Có",N3200="Có"),OR(DANH_MUC!$L$7&lt;&gt;"Có",O3200="Có"),OR(DANH_MUC!$L$8&lt;&gt;"Có",P3200="Có")),"Có","Không"))</f>
        <v/>
      </c>
      <c r="R3200" s="22">
        <f>IF($D3200="","",IF(COUNTIF($D$2:$D3200,$D3200)&gt;1,"Trùng",""))</f>
        <v/>
      </c>
      <c r="S3200" s="22">
        <f>IF($D3200="","",IF(AND(LEN($D3200)=10,LEFT($D3200,1)="0",ISNUMBER(--$D3200)),"Có","Không"))</f>
        <v/>
      </c>
      <c r="T3200" s="22">
        <f>IF($D3200="","",IF(AND($C3200&lt;&gt;"",$Q3200="Có",$R3200="",$S3200="Có",AND($L3200&lt;&gt;"",OR($L3200&lt;&gt;"Chưa xác định",DANH_MUC!$L$9="Có"))),"Có","Không"))</f>
        <v/>
      </c>
      <c r="U3200" s="22">
        <f>IF(OR($D3200="",$T3200="Có"),"",IF($C3200="","Thiếu họ tên; ","")&amp;IF($S3200&lt;&gt;"Có","SĐT sai định dạng; ","")&amp;IF($R3200="Trùng","Trùng SĐT; ","")&amp;IF($Q3200&lt;&gt;"Có","Thiếu đồng ý bắt buộc; ","")&amp;IF($L3200="","Thiếu/sai Mã REF; ",IF(AND($L3200="Chưa xác định",DANH_MUC!$L$9&lt;&gt;"Có"),"Nguồn chưa xác định; ","")))</f>
        <v/>
      </c>
      <c r="V3200" s="22">
        <f>IF(OR($D3200="",$R3200="Trùng"),"",IF(COUNTIF(ORDERS!$C$2:$C$4995,$D3200)&gt;0,"Có","Không"))</f>
        <v/>
      </c>
      <c r="W3200" s="22">
        <f>IF(OR($D3200="",$R3200="Trùng"),"",COUNTIFS(ORDERS!$C$2:$C$4995,$D3200,ORDERS!$L$2:$L$4995,"Đã chuyển khoản"))</f>
        <v/>
      </c>
      <c r="X3200" s="23">
        <f>IF(OR($D3200="",$R3200="Trùng"),"",SUMIFS(ORDERS!$J$2:$J$4995,ORDERS!$C$2:$C$4995,$D3200,ORDERS!$L$2:$L$4995,"Đã chuyển khoản"))</f>
        <v/>
      </c>
      <c r="Y3200" s="24" t="n"/>
    </row>
    <row r="3201" ht="14.25" customHeight="1" s="40">
      <c r="A3201" s="24" t="n"/>
      <c r="B3201" s="27" t="n"/>
      <c r="C3201" s="24" t="n"/>
      <c r="D3201" s="28" t="n"/>
      <c r="E3201" s="29" t="n"/>
      <c r="F3201" s="24" t="n"/>
      <c r="G3201" s="24" t="n"/>
      <c r="H3201" s="21">
        <f>IF(ISNUMBER($B3201),INT($B3201)-WEEKDAY($B3201,2)+1,"")</f>
        <v/>
      </c>
      <c r="I3201" s="24" t="n"/>
      <c r="J3201" s="22">
        <f t="array" ref="J3201">IF($D3201="","",IF($I3201="","(trống REF)",IFERROR(INDEX(MASTER_SOURCE!$B$2:$B$495,MATCH($I3201,MASTER_SOURCE!$A$2:$A$495,0)),"(REF không có trong MASTER_SOURCE)")))</f>
        <v/>
      </c>
      <c r="K3201" s="22">
        <f t="array" ref="K3201">IF($D3201="","",IFERROR(INDEX(MASTER_SOURCE!$C$2:$C$495,MATCH($I3201,MASTER_SOURCE!$A$2:$A$495,0)),""))</f>
        <v/>
      </c>
      <c r="L3201" s="22">
        <f t="array" ref="L3201">IF($D3201="","",IFERROR(INDEX(MASTER_SOURCE!$D$2:$D$495,MATCH($I3201,MASTER_SOURCE!$A$2:$A$495,0)),""))</f>
        <v/>
      </c>
      <c r="M3201" s="24" t="n"/>
      <c r="N3201" s="24" t="n"/>
      <c r="O3201" s="24" t="n"/>
      <c r="P3201" s="24" t="n"/>
      <c r="Q3201" s="22">
        <f>IF($D3201="","",IF(AND(OR(DANH_MUC!$L$5&lt;&gt;"Có",M3201="Có"),OR(DANH_MUC!$L$6&lt;&gt;"Có",N3201="Có"),OR(DANH_MUC!$L$7&lt;&gt;"Có",O3201="Có"),OR(DANH_MUC!$L$8&lt;&gt;"Có",P3201="Có")),"Có","Không"))</f>
        <v/>
      </c>
      <c r="R3201" s="22">
        <f>IF($D3201="","",IF(COUNTIF($D$2:$D3201,$D3201)&gt;1,"Trùng",""))</f>
        <v/>
      </c>
      <c r="S3201" s="22">
        <f>IF($D3201="","",IF(AND(LEN($D3201)=10,LEFT($D3201,1)="0",ISNUMBER(--$D3201)),"Có","Không"))</f>
        <v/>
      </c>
      <c r="T3201" s="22">
        <f>IF($D3201="","",IF(AND($C3201&lt;&gt;"",$Q3201="Có",$R3201="",$S3201="Có",AND($L3201&lt;&gt;"",OR($L3201&lt;&gt;"Chưa xác định",DANH_MUC!$L$9="Có"))),"Có","Không"))</f>
        <v/>
      </c>
      <c r="U3201" s="22">
        <f>IF(OR($D3201="",$T3201="Có"),"",IF($C3201="","Thiếu họ tên; ","")&amp;IF($S3201&lt;&gt;"Có","SĐT sai định dạng; ","")&amp;IF($R3201="Trùng","Trùng SĐT; ","")&amp;IF($Q3201&lt;&gt;"Có","Thiếu đồng ý bắt buộc; ","")&amp;IF($L3201="","Thiếu/sai Mã REF; ",IF(AND($L3201="Chưa xác định",DANH_MUC!$L$9&lt;&gt;"Có"),"Nguồn chưa xác định; ","")))</f>
        <v/>
      </c>
      <c r="V3201" s="22">
        <f>IF(OR($D3201="",$R3201="Trùng"),"",IF(COUNTIF(ORDERS!$C$2:$C$4995,$D3201)&gt;0,"Có","Không"))</f>
        <v/>
      </c>
      <c r="W3201" s="22">
        <f>IF(OR($D3201="",$R3201="Trùng"),"",COUNTIFS(ORDERS!$C$2:$C$4995,$D3201,ORDERS!$L$2:$L$4995,"Đã chuyển khoản"))</f>
        <v/>
      </c>
      <c r="X3201" s="23">
        <f>IF(OR($D3201="",$R3201="Trùng"),"",SUMIFS(ORDERS!$J$2:$J$4995,ORDERS!$C$2:$C$4995,$D3201,ORDERS!$L$2:$L$4995,"Đã chuyển khoản"))</f>
        <v/>
      </c>
      <c r="Y3201" s="24" t="n"/>
    </row>
    <row r="3202" ht="14.25" customHeight="1" s="40">
      <c r="A3202" s="24" t="n"/>
      <c r="B3202" s="27" t="n"/>
      <c r="C3202" s="24" t="n"/>
      <c r="D3202" s="28" t="n"/>
      <c r="E3202" s="29" t="n"/>
      <c r="F3202" s="24" t="n"/>
      <c r="G3202" s="24" t="n"/>
      <c r="H3202" s="21">
        <f>IF(ISNUMBER($B3202),INT($B3202)-WEEKDAY($B3202,2)+1,"")</f>
        <v/>
      </c>
      <c r="I3202" s="24" t="n"/>
      <c r="J3202" s="22">
        <f t="array" ref="J3202">IF($D3202="","",IF($I3202="","(trống REF)",IFERROR(INDEX(MASTER_SOURCE!$B$2:$B$495,MATCH($I3202,MASTER_SOURCE!$A$2:$A$495,0)),"(REF không có trong MASTER_SOURCE)")))</f>
        <v/>
      </c>
      <c r="K3202" s="22">
        <f t="array" ref="K3202">IF($D3202="","",IFERROR(INDEX(MASTER_SOURCE!$C$2:$C$495,MATCH($I3202,MASTER_SOURCE!$A$2:$A$495,0)),""))</f>
        <v/>
      </c>
      <c r="L3202" s="22">
        <f t="array" ref="L3202">IF($D3202="","",IFERROR(INDEX(MASTER_SOURCE!$D$2:$D$495,MATCH($I3202,MASTER_SOURCE!$A$2:$A$495,0)),""))</f>
        <v/>
      </c>
      <c r="M3202" s="24" t="n"/>
      <c r="N3202" s="24" t="n"/>
      <c r="O3202" s="24" t="n"/>
      <c r="P3202" s="24" t="n"/>
      <c r="Q3202" s="22">
        <f>IF($D3202="","",IF(AND(OR(DANH_MUC!$L$5&lt;&gt;"Có",M3202="Có"),OR(DANH_MUC!$L$6&lt;&gt;"Có",N3202="Có"),OR(DANH_MUC!$L$7&lt;&gt;"Có",O3202="Có"),OR(DANH_MUC!$L$8&lt;&gt;"Có",P3202="Có")),"Có","Không"))</f>
        <v/>
      </c>
      <c r="R3202" s="22">
        <f>IF($D3202="","",IF(COUNTIF($D$2:$D3202,$D3202)&gt;1,"Trùng",""))</f>
        <v/>
      </c>
      <c r="S3202" s="22">
        <f>IF($D3202="","",IF(AND(LEN($D3202)=10,LEFT($D3202,1)="0",ISNUMBER(--$D3202)),"Có","Không"))</f>
        <v/>
      </c>
      <c r="T3202" s="22">
        <f>IF($D3202="","",IF(AND($C3202&lt;&gt;"",$Q3202="Có",$R3202="",$S3202="Có",AND($L3202&lt;&gt;"",OR($L3202&lt;&gt;"Chưa xác định",DANH_MUC!$L$9="Có"))),"Có","Không"))</f>
        <v/>
      </c>
      <c r="U3202" s="22">
        <f>IF(OR($D3202="",$T3202="Có"),"",IF($C3202="","Thiếu họ tên; ","")&amp;IF($S3202&lt;&gt;"Có","SĐT sai định dạng; ","")&amp;IF($R3202="Trùng","Trùng SĐT; ","")&amp;IF($Q3202&lt;&gt;"Có","Thiếu đồng ý bắt buộc; ","")&amp;IF($L3202="","Thiếu/sai Mã REF; ",IF(AND($L3202="Chưa xác định",DANH_MUC!$L$9&lt;&gt;"Có"),"Nguồn chưa xác định; ","")))</f>
        <v/>
      </c>
      <c r="V3202" s="22">
        <f>IF(OR($D3202="",$R3202="Trùng"),"",IF(COUNTIF(ORDERS!$C$2:$C$4995,$D3202)&gt;0,"Có","Không"))</f>
        <v/>
      </c>
      <c r="W3202" s="22">
        <f>IF(OR($D3202="",$R3202="Trùng"),"",COUNTIFS(ORDERS!$C$2:$C$4995,$D3202,ORDERS!$L$2:$L$4995,"Đã chuyển khoản"))</f>
        <v/>
      </c>
      <c r="X3202" s="23">
        <f>IF(OR($D3202="",$R3202="Trùng"),"",SUMIFS(ORDERS!$J$2:$J$4995,ORDERS!$C$2:$C$4995,$D3202,ORDERS!$L$2:$L$4995,"Đã chuyển khoản"))</f>
        <v/>
      </c>
      <c r="Y3202" s="24" t="n"/>
    </row>
    <row r="3203" ht="14.25" customHeight="1" s="40">
      <c r="A3203" s="24" t="n"/>
      <c r="B3203" s="27" t="n"/>
      <c r="C3203" s="24" t="n"/>
      <c r="D3203" s="28" t="n"/>
      <c r="E3203" s="29" t="n"/>
      <c r="F3203" s="24" t="n"/>
      <c r="G3203" s="24" t="n"/>
      <c r="H3203" s="21">
        <f>IF(ISNUMBER($B3203),INT($B3203)-WEEKDAY($B3203,2)+1,"")</f>
        <v/>
      </c>
      <c r="I3203" s="24" t="n"/>
      <c r="J3203" s="22">
        <f t="array" ref="J3203">IF($D3203="","",IF($I3203="","(trống REF)",IFERROR(INDEX(MASTER_SOURCE!$B$2:$B$495,MATCH($I3203,MASTER_SOURCE!$A$2:$A$495,0)),"(REF không có trong MASTER_SOURCE)")))</f>
        <v/>
      </c>
      <c r="K3203" s="22">
        <f t="array" ref="K3203">IF($D3203="","",IFERROR(INDEX(MASTER_SOURCE!$C$2:$C$495,MATCH($I3203,MASTER_SOURCE!$A$2:$A$495,0)),""))</f>
        <v/>
      </c>
      <c r="L3203" s="22">
        <f t="array" ref="L3203">IF($D3203="","",IFERROR(INDEX(MASTER_SOURCE!$D$2:$D$495,MATCH($I3203,MASTER_SOURCE!$A$2:$A$495,0)),""))</f>
        <v/>
      </c>
      <c r="M3203" s="24" t="n"/>
      <c r="N3203" s="24" t="n"/>
      <c r="O3203" s="24" t="n"/>
      <c r="P3203" s="24" t="n"/>
      <c r="Q3203" s="22">
        <f>IF($D3203="","",IF(AND(OR(DANH_MUC!$L$5&lt;&gt;"Có",M3203="Có"),OR(DANH_MUC!$L$6&lt;&gt;"Có",N3203="Có"),OR(DANH_MUC!$L$7&lt;&gt;"Có",O3203="Có"),OR(DANH_MUC!$L$8&lt;&gt;"Có",P3203="Có")),"Có","Không"))</f>
        <v/>
      </c>
      <c r="R3203" s="22">
        <f>IF($D3203="","",IF(COUNTIF($D$2:$D3203,$D3203)&gt;1,"Trùng",""))</f>
        <v/>
      </c>
      <c r="S3203" s="22">
        <f>IF($D3203="","",IF(AND(LEN($D3203)=10,LEFT($D3203,1)="0",ISNUMBER(--$D3203)),"Có","Không"))</f>
        <v/>
      </c>
      <c r="T3203" s="22">
        <f>IF($D3203="","",IF(AND($C3203&lt;&gt;"",$Q3203="Có",$R3203="",$S3203="Có",AND($L3203&lt;&gt;"",OR($L3203&lt;&gt;"Chưa xác định",DANH_MUC!$L$9="Có"))),"Có","Không"))</f>
        <v/>
      </c>
      <c r="U3203" s="22">
        <f>IF(OR($D3203="",$T3203="Có"),"",IF($C3203="","Thiếu họ tên; ","")&amp;IF($S3203&lt;&gt;"Có","SĐT sai định dạng; ","")&amp;IF($R3203="Trùng","Trùng SĐT; ","")&amp;IF($Q3203&lt;&gt;"Có","Thiếu đồng ý bắt buộc; ","")&amp;IF($L3203="","Thiếu/sai Mã REF; ",IF(AND($L3203="Chưa xác định",DANH_MUC!$L$9&lt;&gt;"Có"),"Nguồn chưa xác định; ","")))</f>
        <v/>
      </c>
      <c r="V3203" s="22">
        <f>IF(OR($D3203="",$R3203="Trùng"),"",IF(COUNTIF(ORDERS!$C$2:$C$4995,$D3203)&gt;0,"Có","Không"))</f>
        <v/>
      </c>
      <c r="W3203" s="22">
        <f>IF(OR($D3203="",$R3203="Trùng"),"",COUNTIFS(ORDERS!$C$2:$C$4995,$D3203,ORDERS!$L$2:$L$4995,"Đã chuyển khoản"))</f>
        <v/>
      </c>
      <c r="X3203" s="23">
        <f>IF(OR($D3203="",$R3203="Trùng"),"",SUMIFS(ORDERS!$J$2:$J$4995,ORDERS!$C$2:$C$4995,$D3203,ORDERS!$L$2:$L$4995,"Đã chuyển khoản"))</f>
        <v/>
      </c>
      <c r="Y3203" s="24" t="n"/>
    </row>
    <row r="3204" ht="14.25" customHeight="1" s="40">
      <c r="A3204" s="24" t="n"/>
      <c r="B3204" s="27" t="n"/>
      <c r="C3204" s="24" t="n"/>
      <c r="D3204" s="28" t="n"/>
      <c r="E3204" s="29" t="n"/>
      <c r="F3204" s="24" t="n"/>
      <c r="G3204" s="24" t="n"/>
      <c r="H3204" s="21">
        <f>IF(ISNUMBER($B3204),INT($B3204)-WEEKDAY($B3204,2)+1,"")</f>
        <v/>
      </c>
      <c r="I3204" s="24" t="n"/>
      <c r="J3204" s="22">
        <f t="array" ref="J3204">IF($D3204="","",IF($I3204="","(trống REF)",IFERROR(INDEX(MASTER_SOURCE!$B$2:$B$495,MATCH($I3204,MASTER_SOURCE!$A$2:$A$495,0)),"(REF không có trong MASTER_SOURCE)")))</f>
        <v/>
      </c>
      <c r="K3204" s="22">
        <f t="array" ref="K3204">IF($D3204="","",IFERROR(INDEX(MASTER_SOURCE!$C$2:$C$495,MATCH($I3204,MASTER_SOURCE!$A$2:$A$495,0)),""))</f>
        <v/>
      </c>
      <c r="L3204" s="22">
        <f t="array" ref="L3204">IF($D3204="","",IFERROR(INDEX(MASTER_SOURCE!$D$2:$D$495,MATCH($I3204,MASTER_SOURCE!$A$2:$A$495,0)),""))</f>
        <v/>
      </c>
      <c r="M3204" s="24" t="n"/>
      <c r="N3204" s="24" t="n"/>
      <c r="O3204" s="24" t="n"/>
      <c r="P3204" s="24" t="n"/>
      <c r="Q3204" s="22">
        <f>IF($D3204="","",IF(AND(OR(DANH_MUC!$L$5&lt;&gt;"Có",M3204="Có"),OR(DANH_MUC!$L$6&lt;&gt;"Có",N3204="Có"),OR(DANH_MUC!$L$7&lt;&gt;"Có",O3204="Có"),OR(DANH_MUC!$L$8&lt;&gt;"Có",P3204="Có")),"Có","Không"))</f>
        <v/>
      </c>
      <c r="R3204" s="22">
        <f>IF($D3204="","",IF(COUNTIF($D$2:$D3204,$D3204)&gt;1,"Trùng",""))</f>
        <v/>
      </c>
      <c r="S3204" s="22">
        <f>IF($D3204="","",IF(AND(LEN($D3204)=10,LEFT($D3204,1)="0",ISNUMBER(--$D3204)),"Có","Không"))</f>
        <v/>
      </c>
      <c r="T3204" s="22">
        <f>IF($D3204="","",IF(AND($C3204&lt;&gt;"",$Q3204="Có",$R3204="",$S3204="Có",AND($L3204&lt;&gt;"",OR($L3204&lt;&gt;"Chưa xác định",DANH_MUC!$L$9="Có"))),"Có","Không"))</f>
        <v/>
      </c>
      <c r="U3204" s="22">
        <f>IF(OR($D3204="",$T3204="Có"),"",IF($C3204="","Thiếu họ tên; ","")&amp;IF($S3204&lt;&gt;"Có","SĐT sai định dạng; ","")&amp;IF($R3204="Trùng","Trùng SĐT; ","")&amp;IF($Q3204&lt;&gt;"Có","Thiếu đồng ý bắt buộc; ","")&amp;IF($L3204="","Thiếu/sai Mã REF; ",IF(AND($L3204="Chưa xác định",DANH_MUC!$L$9&lt;&gt;"Có"),"Nguồn chưa xác định; ","")))</f>
        <v/>
      </c>
      <c r="V3204" s="22">
        <f>IF(OR($D3204="",$R3204="Trùng"),"",IF(COUNTIF(ORDERS!$C$2:$C$4995,$D3204)&gt;0,"Có","Không"))</f>
        <v/>
      </c>
      <c r="W3204" s="22">
        <f>IF(OR($D3204="",$R3204="Trùng"),"",COUNTIFS(ORDERS!$C$2:$C$4995,$D3204,ORDERS!$L$2:$L$4995,"Đã chuyển khoản"))</f>
        <v/>
      </c>
      <c r="X3204" s="23">
        <f>IF(OR($D3204="",$R3204="Trùng"),"",SUMIFS(ORDERS!$J$2:$J$4995,ORDERS!$C$2:$C$4995,$D3204,ORDERS!$L$2:$L$4995,"Đã chuyển khoản"))</f>
        <v/>
      </c>
      <c r="Y3204" s="24" t="n"/>
    </row>
    <row r="3205" ht="14.25" customHeight="1" s="40">
      <c r="A3205" s="24" t="n"/>
      <c r="B3205" s="27" t="n"/>
      <c r="C3205" s="24" t="n"/>
      <c r="D3205" s="28" t="n"/>
      <c r="E3205" s="29" t="n"/>
      <c r="F3205" s="24" t="n"/>
      <c r="G3205" s="24" t="n"/>
      <c r="H3205" s="21">
        <f>IF(ISNUMBER($B3205),INT($B3205)-WEEKDAY($B3205,2)+1,"")</f>
        <v/>
      </c>
      <c r="I3205" s="24" t="n"/>
      <c r="J3205" s="22">
        <f t="array" ref="J3205">IF($D3205="","",IF($I3205="","(trống REF)",IFERROR(INDEX(MASTER_SOURCE!$B$2:$B$495,MATCH($I3205,MASTER_SOURCE!$A$2:$A$495,0)),"(REF không có trong MASTER_SOURCE)")))</f>
        <v/>
      </c>
      <c r="K3205" s="22">
        <f t="array" ref="K3205">IF($D3205="","",IFERROR(INDEX(MASTER_SOURCE!$C$2:$C$495,MATCH($I3205,MASTER_SOURCE!$A$2:$A$495,0)),""))</f>
        <v/>
      </c>
      <c r="L3205" s="22">
        <f t="array" ref="L3205">IF($D3205="","",IFERROR(INDEX(MASTER_SOURCE!$D$2:$D$495,MATCH($I3205,MASTER_SOURCE!$A$2:$A$495,0)),""))</f>
        <v/>
      </c>
      <c r="M3205" s="24" t="n"/>
      <c r="N3205" s="24" t="n"/>
      <c r="O3205" s="24" t="n"/>
      <c r="P3205" s="24" t="n"/>
      <c r="Q3205" s="22">
        <f>IF($D3205="","",IF(AND(OR(DANH_MUC!$L$5&lt;&gt;"Có",M3205="Có"),OR(DANH_MUC!$L$6&lt;&gt;"Có",N3205="Có"),OR(DANH_MUC!$L$7&lt;&gt;"Có",O3205="Có"),OR(DANH_MUC!$L$8&lt;&gt;"Có",P3205="Có")),"Có","Không"))</f>
        <v/>
      </c>
      <c r="R3205" s="22">
        <f>IF($D3205="","",IF(COUNTIF($D$2:$D3205,$D3205)&gt;1,"Trùng",""))</f>
        <v/>
      </c>
      <c r="S3205" s="22">
        <f>IF($D3205="","",IF(AND(LEN($D3205)=10,LEFT($D3205,1)="0",ISNUMBER(--$D3205)),"Có","Không"))</f>
        <v/>
      </c>
      <c r="T3205" s="22">
        <f>IF($D3205="","",IF(AND($C3205&lt;&gt;"",$Q3205="Có",$R3205="",$S3205="Có",AND($L3205&lt;&gt;"",OR($L3205&lt;&gt;"Chưa xác định",DANH_MUC!$L$9="Có"))),"Có","Không"))</f>
        <v/>
      </c>
      <c r="U3205" s="22">
        <f>IF(OR($D3205="",$T3205="Có"),"",IF($C3205="","Thiếu họ tên; ","")&amp;IF($S3205&lt;&gt;"Có","SĐT sai định dạng; ","")&amp;IF($R3205="Trùng","Trùng SĐT; ","")&amp;IF($Q3205&lt;&gt;"Có","Thiếu đồng ý bắt buộc; ","")&amp;IF($L3205="","Thiếu/sai Mã REF; ",IF(AND($L3205="Chưa xác định",DANH_MUC!$L$9&lt;&gt;"Có"),"Nguồn chưa xác định; ","")))</f>
        <v/>
      </c>
      <c r="V3205" s="22">
        <f>IF(OR($D3205="",$R3205="Trùng"),"",IF(COUNTIF(ORDERS!$C$2:$C$4995,$D3205)&gt;0,"Có","Không"))</f>
        <v/>
      </c>
      <c r="W3205" s="22">
        <f>IF(OR($D3205="",$R3205="Trùng"),"",COUNTIFS(ORDERS!$C$2:$C$4995,$D3205,ORDERS!$L$2:$L$4995,"Đã chuyển khoản"))</f>
        <v/>
      </c>
      <c r="X3205" s="23">
        <f>IF(OR($D3205="",$R3205="Trùng"),"",SUMIFS(ORDERS!$J$2:$J$4995,ORDERS!$C$2:$C$4995,$D3205,ORDERS!$L$2:$L$4995,"Đã chuyển khoản"))</f>
        <v/>
      </c>
      <c r="Y3205" s="24" t="n"/>
    </row>
    <row r="3206" ht="14.25" customHeight="1" s="40">
      <c r="A3206" s="24" t="n"/>
      <c r="B3206" s="27" t="n"/>
      <c r="C3206" s="24" t="n"/>
      <c r="D3206" s="28" t="n"/>
      <c r="E3206" s="29" t="n"/>
      <c r="F3206" s="24" t="n"/>
      <c r="G3206" s="24" t="n"/>
      <c r="H3206" s="21">
        <f>IF(ISNUMBER($B3206),INT($B3206)-WEEKDAY($B3206,2)+1,"")</f>
        <v/>
      </c>
      <c r="I3206" s="24" t="n"/>
      <c r="J3206" s="22">
        <f t="array" ref="J3206">IF($D3206="","",IF($I3206="","(trống REF)",IFERROR(INDEX(MASTER_SOURCE!$B$2:$B$495,MATCH($I3206,MASTER_SOURCE!$A$2:$A$495,0)),"(REF không có trong MASTER_SOURCE)")))</f>
        <v/>
      </c>
      <c r="K3206" s="22">
        <f t="array" ref="K3206">IF($D3206="","",IFERROR(INDEX(MASTER_SOURCE!$C$2:$C$495,MATCH($I3206,MASTER_SOURCE!$A$2:$A$495,0)),""))</f>
        <v/>
      </c>
      <c r="L3206" s="22">
        <f t="array" ref="L3206">IF($D3206="","",IFERROR(INDEX(MASTER_SOURCE!$D$2:$D$495,MATCH($I3206,MASTER_SOURCE!$A$2:$A$495,0)),""))</f>
        <v/>
      </c>
      <c r="M3206" s="24" t="n"/>
      <c r="N3206" s="24" t="n"/>
      <c r="O3206" s="24" t="n"/>
      <c r="P3206" s="24" t="n"/>
      <c r="Q3206" s="22">
        <f>IF($D3206="","",IF(AND(OR(DANH_MUC!$L$5&lt;&gt;"Có",M3206="Có"),OR(DANH_MUC!$L$6&lt;&gt;"Có",N3206="Có"),OR(DANH_MUC!$L$7&lt;&gt;"Có",O3206="Có"),OR(DANH_MUC!$L$8&lt;&gt;"Có",P3206="Có")),"Có","Không"))</f>
        <v/>
      </c>
      <c r="R3206" s="22">
        <f>IF($D3206="","",IF(COUNTIF($D$2:$D3206,$D3206)&gt;1,"Trùng",""))</f>
        <v/>
      </c>
      <c r="S3206" s="22">
        <f>IF($D3206="","",IF(AND(LEN($D3206)=10,LEFT($D3206,1)="0",ISNUMBER(--$D3206)),"Có","Không"))</f>
        <v/>
      </c>
      <c r="T3206" s="22">
        <f>IF($D3206="","",IF(AND($C3206&lt;&gt;"",$Q3206="Có",$R3206="",$S3206="Có",AND($L3206&lt;&gt;"",OR($L3206&lt;&gt;"Chưa xác định",DANH_MUC!$L$9="Có"))),"Có","Không"))</f>
        <v/>
      </c>
      <c r="U3206" s="22">
        <f>IF(OR($D3206="",$T3206="Có"),"",IF($C3206="","Thiếu họ tên; ","")&amp;IF($S3206&lt;&gt;"Có","SĐT sai định dạng; ","")&amp;IF($R3206="Trùng","Trùng SĐT; ","")&amp;IF($Q3206&lt;&gt;"Có","Thiếu đồng ý bắt buộc; ","")&amp;IF($L3206="","Thiếu/sai Mã REF; ",IF(AND($L3206="Chưa xác định",DANH_MUC!$L$9&lt;&gt;"Có"),"Nguồn chưa xác định; ","")))</f>
        <v/>
      </c>
      <c r="V3206" s="22">
        <f>IF(OR($D3206="",$R3206="Trùng"),"",IF(COUNTIF(ORDERS!$C$2:$C$4995,$D3206)&gt;0,"Có","Không"))</f>
        <v/>
      </c>
      <c r="W3206" s="22">
        <f>IF(OR($D3206="",$R3206="Trùng"),"",COUNTIFS(ORDERS!$C$2:$C$4995,$D3206,ORDERS!$L$2:$L$4995,"Đã chuyển khoản"))</f>
        <v/>
      </c>
      <c r="X3206" s="23">
        <f>IF(OR($D3206="",$R3206="Trùng"),"",SUMIFS(ORDERS!$J$2:$J$4995,ORDERS!$C$2:$C$4995,$D3206,ORDERS!$L$2:$L$4995,"Đã chuyển khoản"))</f>
        <v/>
      </c>
      <c r="Y3206" s="24" t="n"/>
    </row>
    <row r="3207" ht="14.25" customHeight="1" s="40">
      <c r="A3207" s="24" t="n"/>
      <c r="B3207" s="27" t="n"/>
      <c r="C3207" s="24" t="n"/>
      <c r="D3207" s="28" t="n"/>
      <c r="E3207" s="29" t="n"/>
      <c r="F3207" s="24" t="n"/>
      <c r="G3207" s="24" t="n"/>
      <c r="H3207" s="21">
        <f>IF(ISNUMBER($B3207),INT($B3207)-WEEKDAY($B3207,2)+1,"")</f>
        <v/>
      </c>
      <c r="I3207" s="24" t="n"/>
      <c r="J3207" s="22">
        <f t="array" ref="J3207">IF($D3207="","",IF($I3207="","(trống REF)",IFERROR(INDEX(MASTER_SOURCE!$B$2:$B$495,MATCH($I3207,MASTER_SOURCE!$A$2:$A$495,0)),"(REF không có trong MASTER_SOURCE)")))</f>
        <v/>
      </c>
      <c r="K3207" s="22">
        <f t="array" ref="K3207">IF($D3207="","",IFERROR(INDEX(MASTER_SOURCE!$C$2:$C$495,MATCH($I3207,MASTER_SOURCE!$A$2:$A$495,0)),""))</f>
        <v/>
      </c>
      <c r="L3207" s="22">
        <f t="array" ref="L3207">IF($D3207="","",IFERROR(INDEX(MASTER_SOURCE!$D$2:$D$495,MATCH($I3207,MASTER_SOURCE!$A$2:$A$495,0)),""))</f>
        <v/>
      </c>
      <c r="M3207" s="24" t="n"/>
      <c r="N3207" s="24" t="n"/>
      <c r="O3207" s="24" t="n"/>
      <c r="P3207" s="24" t="n"/>
      <c r="Q3207" s="22">
        <f>IF($D3207="","",IF(AND(OR(DANH_MUC!$L$5&lt;&gt;"Có",M3207="Có"),OR(DANH_MUC!$L$6&lt;&gt;"Có",N3207="Có"),OR(DANH_MUC!$L$7&lt;&gt;"Có",O3207="Có"),OR(DANH_MUC!$L$8&lt;&gt;"Có",P3207="Có")),"Có","Không"))</f>
        <v/>
      </c>
      <c r="R3207" s="22">
        <f>IF($D3207="","",IF(COUNTIF($D$2:$D3207,$D3207)&gt;1,"Trùng",""))</f>
        <v/>
      </c>
      <c r="S3207" s="22">
        <f>IF($D3207="","",IF(AND(LEN($D3207)=10,LEFT($D3207,1)="0",ISNUMBER(--$D3207)),"Có","Không"))</f>
        <v/>
      </c>
      <c r="T3207" s="22">
        <f>IF($D3207="","",IF(AND($C3207&lt;&gt;"",$Q3207="Có",$R3207="",$S3207="Có",AND($L3207&lt;&gt;"",OR($L3207&lt;&gt;"Chưa xác định",DANH_MUC!$L$9="Có"))),"Có","Không"))</f>
        <v/>
      </c>
      <c r="U3207" s="22">
        <f>IF(OR($D3207="",$T3207="Có"),"",IF($C3207="","Thiếu họ tên; ","")&amp;IF($S3207&lt;&gt;"Có","SĐT sai định dạng; ","")&amp;IF($R3207="Trùng","Trùng SĐT; ","")&amp;IF($Q3207&lt;&gt;"Có","Thiếu đồng ý bắt buộc; ","")&amp;IF($L3207="","Thiếu/sai Mã REF; ",IF(AND($L3207="Chưa xác định",DANH_MUC!$L$9&lt;&gt;"Có"),"Nguồn chưa xác định; ","")))</f>
        <v/>
      </c>
      <c r="V3207" s="22">
        <f>IF(OR($D3207="",$R3207="Trùng"),"",IF(COUNTIF(ORDERS!$C$2:$C$4995,$D3207)&gt;0,"Có","Không"))</f>
        <v/>
      </c>
      <c r="W3207" s="22">
        <f>IF(OR($D3207="",$R3207="Trùng"),"",COUNTIFS(ORDERS!$C$2:$C$4995,$D3207,ORDERS!$L$2:$L$4995,"Đã chuyển khoản"))</f>
        <v/>
      </c>
      <c r="X3207" s="23">
        <f>IF(OR($D3207="",$R3207="Trùng"),"",SUMIFS(ORDERS!$J$2:$J$4995,ORDERS!$C$2:$C$4995,$D3207,ORDERS!$L$2:$L$4995,"Đã chuyển khoản"))</f>
        <v/>
      </c>
      <c r="Y3207" s="24" t="n"/>
    </row>
    <row r="3208" ht="14.25" customHeight="1" s="40">
      <c r="A3208" s="24" t="n"/>
      <c r="B3208" s="27" t="n"/>
      <c r="C3208" s="24" t="n"/>
      <c r="D3208" s="28" t="n"/>
      <c r="E3208" s="29" t="n"/>
      <c r="F3208" s="24" t="n"/>
      <c r="G3208" s="24" t="n"/>
      <c r="H3208" s="21">
        <f>IF(ISNUMBER($B3208),INT($B3208)-WEEKDAY($B3208,2)+1,"")</f>
        <v/>
      </c>
      <c r="I3208" s="24" t="n"/>
      <c r="J3208" s="22">
        <f t="array" ref="J3208">IF($D3208="","",IF($I3208="","(trống REF)",IFERROR(INDEX(MASTER_SOURCE!$B$2:$B$495,MATCH($I3208,MASTER_SOURCE!$A$2:$A$495,0)),"(REF không có trong MASTER_SOURCE)")))</f>
        <v/>
      </c>
      <c r="K3208" s="22">
        <f t="array" ref="K3208">IF($D3208="","",IFERROR(INDEX(MASTER_SOURCE!$C$2:$C$495,MATCH($I3208,MASTER_SOURCE!$A$2:$A$495,0)),""))</f>
        <v/>
      </c>
      <c r="L3208" s="22">
        <f t="array" ref="L3208">IF($D3208="","",IFERROR(INDEX(MASTER_SOURCE!$D$2:$D$495,MATCH($I3208,MASTER_SOURCE!$A$2:$A$495,0)),""))</f>
        <v/>
      </c>
      <c r="M3208" s="24" t="n"/>
      <c r="N3208" s="24" t="n"/>
      <c r="O3208" s="24" t="n"/>
      <c r="P3208" s="24" t="n"/>
      <c r="Q3208" s="22">
        <f>IF($D3208="","",IF(AND(OR(DANH_MUC!$L$5&lt;&gt;"Có",M3208="Có"),OR(DANH_MUC!$L$6&lt;&gt;"Có",N3208="Có"),OR(DANH_MUC!$L$7&lt;&gt;"Có",O3208="Có"),OR(DANH_MUC!$L$8&lt;&gt;"Có",P3208="Có")),"Có","Không"))</f>
        <v/>
      </c>
      <c r="R3208" s="22">
        <f>IF($D3208="","",IF(COUNTIF($D$2:$D3208,$D3208)&gt;1,"Trùng",""))</f>
        <v/>
      </c>
      <c r="S3208" s="22">
        <f>IF($D3208="","",IF(AND(LEN($D3208)=10,LEFT($D3208,1)="0",ISNUMBER(--$D3208)),"Có","Không"))</f>
        <v/>
      </c>
      <c r="T3208" s="22">
        <f>IF($D3208="","",IF(AND($C3208&lt;&gt;"",$Q3208="Có",$R3208="",$S3208="Có",AND($L3208&lt;&gt;"",OR($L3208&lt;&gt;"Chưa xác định",DANH_MUC!$L$9="Có"))),"Có","Không"))</f>
        <v/>
      </c>
      <c r="U3208" s="22">
        <f>IF(OR($D3208="",$T3208="Có"),"",IF($C3208="","Thiếu họ tên; ","")&amp;IF($S3208&lt;&gt;"Có","SĐT sai định dạng; ","")&amp;IF($R3208="Trùng","Trùng SĐT; ","")&amp;IF($Q3208&lt;&gt;"Có","Thiếu đồng ý bắt buộc; ","")&amp;IF($L3208="","Thiếu/sai Mã REF; ",IF(AND($L3208="Chưa xác định",DANH_MUC!$L$9&lt;&gt;"Có"),"Nguồn chưa xác định; ","")))</f>
        <v/>
      </c>
      <c r="V3208" s="22">
        <f>IF(OR($D3208="",$R3208="Trùng"),"",IF(COUNTIF(ORDERS!$C$2:$C$4995,$D3208)&gt;0,"Có","Không"))</f>
        <v/>
      </c>
      <c r="W3208" s="22">
        <f>IF(OR($D3208="",$R3208="Trùng"),"",COUNTIFS(ORDERS!$C$2:$C$4995,$D3208,ORDERS!$L$2:$L$4995,"Đã chuyển khoản"))</f>
        <v/>
      </c>
      <c r="X3208" s="23">
        <f>IF(OR($D3208="",$R3208="Trùng"),"",SUMIFS(ORDERS!$J$2:$J$4995,ORDERS!$C$2:$C$4995,$D3208,ORDERS!$L$2:$L$4995,"Đã chuyển khoản"))</f>
        <v/>
      </c>
      <c r="Y3208" s="24" t="n"/>
    </row>
    <row r="3209" ht="14.25" customHeight="1" s="40">
      <c r="A3209" s="24" t="n"/>
      <c r="B3209" s="27" t="n"/>
      <c r="C3209" s="24" t="n"/>
      <c r="D3209" s="28" t="n"/>
      <c r="E3209" s="29" t="n"/>
      <c r="F3209" s="24" t="n"/>
      <c r="G3209" s="24" t="n"/>
      <c r="H3209" s="21">
        <f>IF(ISNUMBER($B3209),INT($B3209)-WEEKDAY($B3209,2)+1,"")</f>
        <v/>
      </c>
      <c r="I3209" s="24" t="n"/>
      <c r="J3209" s="22">
        <f t="array" ref="J3209">IF($D3209="","",IF($I3209="","(trống REF)",IFERROR(INDEX(MASTER_SOURCE!$B$2:$B$495,MATCH($I3209,MASTER_SOURCE!$A$2:$A$495,0)),"(REF không có trong MASTER_SOURCE)")))</f>
        <v/>
      </c>
      <c r="K3209" s="22">
        <f t="array" ref="K3209">IF($D3209="","",IFERROR(INDEX(MASTER_SOURCE!$C$2:$C$495,MATCH($I3209,MASTER_SOURCE!$A$2:$A$495,0)),""))</f>
        <v/>
      </c>
      <c r="L3209" s="22">
        <f t="array" ref="L3209">IF($D3209="","",IFERROR(INDEX(MASTER_SOURCE!$D$2:$D$495,MATCH($I3209,MASTER_SOURCE!$A$2:$A$495,0)),""))</f>
        <v/>
      </c>
      <c r="M3209" s="24" t="n"/>
      <c r="N3209" s="24" t="n"/>
      <c r="O3209" s="24" t="n"/>
      <c r="P3209" s="24" t="n"/>
      <c r="Q3209" s="22">
        <f>IF($D3209="","",IF(AND(OR(DANH_MUC!$L$5&lt;&gt;"Có",M3209="Có"),OR(DANH_MUC!$L$6&lt;&gt;"Có",N3209="Có"),OR(DANH_MUC!$L$7&lt;&gt;"Có",O3209="Có"),OR(DANH_MUC!$L$8&lt;&gt;"Có",P3209="Có")),"Có","Không"))</f>
        <v/>
      </c>
      <c r="R3209" s="22">
        <f>IF($D3209="","",IF(COUNTIF($D$2:$D3209,$D3209)&gt;1,"Trùng",""))</f>
        <v/>
      </c>
      <c r="S3209" s="22">
        <f>IF($D3209="","",IF(AND(LEN($D3209)=10,LEFT($D3209,1)="0",ISNUMBER(--$D3209)),"Có","Không"))</f>
        <v/>
      </c>
      <c r="T3209" s="22">
        <f>IF($D3209="","",IF(AND($C3209&lt;&gt;"",$Q3209="Có",$R3209="",$S3209="Có",AND($L3209&lt;&gt;"",OR($L3209&lt;&gt;"Chưa xác định",DANH_MUC!$L$9="Có"))),"Có","Không"))</f>
        <v/>
      </c>
      <c r="U3209" s="22">
        <f>IF(OR($D3209="",$T3209="Có"),"",IF($C3209="","Thiếu họ tên; ","")&amp;IF($S3209&lt;&gt;"Có","SĐT sai định dạng; ","")&amp;IF($R3209="Trùng","Trùng SĐT; ","")&amp;IF($Q3209&lt;&gt;"Có","Thiếu đồng ý bắt buộc; ","")&amp;IF($L3209="","Thiếu/sai Mã REF; ",IF(AND($L3209="Chưa xác định",DANH_MUC!$L$9&lt;&gt;"Có"),"Nguồn chưa xác định; ","")))</f>
        <v/>
      </c>
      <c r="V3209" s="22">
        <f>IF(OR($D3209="",$R3209="Trùng"),"",IF(COUNTIF(ORDERS!$C$2:$C$4995,$D3209)&gt;0,"Có","Không"))</f>
        <v/>
      </c>
      <c r="W3209" s="22">
        <f>IF(OR($D3209="",$R3209="Trùng"),"",COUNTIFS(ORDERS!$C$2:$C$4995,$D3209,ORDERS!$L$2:$L$4995,"Đã chuyển khoản"))</f>
        <v/>
      </c>
      <c r="X3209" s="23">
        <f>IF(OR($D3209="",$R3209="Trùng"),"",SUMIFS(ORDERS!$J$2:$J$4995,ORDERS!$C$2:$C$4995,$D3209,ORDERS!$L$2:$L$4995,"Đã chuyển khoản"))</f>
        <v/>
      </c>
      <c r="Y3209" s="24" t="n"/>
    </row>
    <row r="3210" ht="14.25" customHeight="1" s="40">
      <c r="A3210" s="24" t="n"/>
      <c r="B3210" s="27" t="n"/>
      <c r="C3210" s="24" t="n"/>
      <c r="D3210" s="28" t="n"/>
      <c r="E3210" s="29" t="n"/>
      <c r="F3210" s="24" t="n"/>
      <c r="G3210" s="24" t="n"/>
      <c r="H3210" s="21">
        <f>IF(ISNUMBER($B3210),INT($B3210)-WEEKDAY($B3210,2)+1,"")</f>
        <v/>
      </c>
      <c r="I3210" s="24" t="n"/>
      <c r="J3210" s="22">
        <f t="array" ref="J3210">IF($D3210="","",IF($I3210="","(trống REF)",IFERROR(INDEX(MASTER_SOURCE!$B$2:$B$495,MATCH($I3210,MASTER_SOURCE!$A$2:$A$495,0)),"(REF không có trong MASTER_SOURCE)")))</f>
        <v/>
      </c>
      <c r="K3210" s="22">
        <f t="array" ref="K3210">IF($D3210="","",IFERROR(INDEX(MASTER_SOURCE!$C$2:$C$495,MATCH($I3210,MASTER_SOURCE!$A$2:$A$495,0)),""))</f>
        <v/>
      </c>
      <c r="L3210" s="22">
        <f t="array" ref="L3210">IF($D3210="","",IFERROR(INDEX(MASTER_SOURCE!$D$2:$D$495,MATCH($I3210,MASTER_SOURCE!$A$2:$A$495,0)),""))</f>
        <v/>
      </c>
      <c r="M3210" s="24" t="n"/>
      <c r="N3210" s="24" t="n"/>
      <c r="O3210" s="24" t="n"/>
      <c r="P3210" s="24" t="n"/>
      <c r="Q3210" s="22">
        <f>IF($D3210="","",IF(AND(OR(DANH_MUC!$L$5&lt;&gt;"Có",M3210="Có"),OR(DANH_MUC!$L$6&lt;&gt;"Có",N3210="Có"),OR(DANH_MUC!$L$7&lt;&gt;"Có",O3210="Có"),OR(DANH_MUC!$L$8&lt;&gt;"Có",P3210="Có")),"Có","Không"))</f>
        <v/>
      </c>
      <c r="R3210" s="22">
        <f>IF($D3210="","",IF(COUNTIF($D$2:$D3210,$D3210)&gt;1,"Trùng",""))</f>
        <v/>
      </c>
      <c r="S3210" s="22">
        <f>IF($D3210="","",IF(AND(LEN($D3210)=10,LEFT($D3210,1)="0",ISNUMBER(--$D3210)),"Có","Không"))</f>
        <v/>
      </c>
      <c r="T3210" s="22">
        <f>IF($D3210="","",IF(AND($C3210&lt;&gt;"",$Q3210="Có",$R3210="",$S3210="Có",AND($L3210&lt;&gt;"",OR($L3210&lt;&gt;"Chưa xác định",DANH_MUC!$L$9="Có"))),"Có","Không"))</f>
        <v/>
      </c>
      <c r="U3210" s="22">
        <f>IF(OR($D3210="",$T3210="Có"),"",IF($C3210="","Thiếu họ tên; ","")&amp;IF($S3210&lt;&gt;"Có","SĐT sai định dạng; ","")&amp;IF($R3210="Trùng","Trùng SĐT; ","")&amp;IF($Q3210&lt;&gt;"Có","Thiếu đồng ý bắt buộc; ","")&amp;IF($L3210="","Thiếu/sai Mã REF; ",IF(AND($L3210="Chưa xác định",DANH_MUC!$L$9&lt;&gt;"Có"),"Nguồn chưa xác định; ","")))</f>
        <v/>
      </c>
      <c r="V3210" s="22">
        <f>IF(OR($D3210="",$R3210="Trùng"),"",IF(COUNTIF(ORDERS!$C$2:$C$4995,$D3210)&gt;0,"Có","Không"))</f>
        <v/>
      </c>
      <c r="W3210" s="22">
        <f>IF(OR($D3210="",$R3210="Trùng"),"",COUNTIFS(ORDERS!$C$2:$C$4995,$D3210,ORDERS!$L$2:$L$4995,"Đã chuyển khoản"))</f>
        <v/>
      </c>
      <c r="X3210" s="23">
        <f>IF(OR($D3210="",$R3210="Trùng"),"",SUMIFS(ORDERS!$J$2:$J$4995,ORDERS!$C$2:$C$4995,$D3210,ORDERS!$L$2:$L$4995,"Đã chuyển khoản"))</f>
        <v/>
      </c>
      <c r="Y3210" s="24" t="n"/>
    </row>
    <row r="3211" ht="14.25" customHeight="1" s="40">
      <c r="A3211" s="24" t="n"/>
      <c r="B3211" s="27" t="n"/>
      <c r="C3211" s="24" t="n"/>
      <c r="D3211" s="28" t="n"/>
      <c r="E3211" s="29" t="n"/>
      <c r="F3211" s="24" t="n"/>
      <c r="G3211" s="24" t="n"/>
      <c r="H3211" s="21">
        <f>IF(ISNUMBER($B3211),INT($B3211)-WEEKDAY($B3211,2)+1,"")</f>
        <v/>
      </c>
      <c r="I3211" s="24" t="n"/>
      <c r="J3211" s="22">
        <f t="array" ref="J3211">IF($D3211="","",IF($I3211="","(trống REF)",IFERROR(INDEX(MASTER_SOURCE!$B$2:$B$495,MATCH($I3211,MASTER_SOURCE!$A$2:$A$495,0)),"(REF không có trong MASTER_SOURCE)")))</f>
        <v/>
      </c>
      <c r="K3211" s="22">
        <f t="array" ref="K3211">IF($D3211="","",IFERROR(INDEX(MASTER_SOURCE!$C$2:$C$495,MATCH($I3211,MASTER_SOURCE!$A$2:$A$495,0)),""))</f>
        <v/>
      </c>
      <c r="L3211" s="22">
        <f t="array" ref="L3211">IF($D3211="","",IFERROR(INDEX(MASTER_SOURCE!$D$2:$D$495,MATCH($I3211,MASTER_SOURCE!$A$2:$A$495,0)),""))</f>
        <v/>
      </c>
      <c r="M3211" s="24" t="n"/>
      <c r="N3211" s="24" t="n"/>
      <c r="O3211" s="24" t="n"/>
      <c r="P3211" s="24" t="n"/>
      <c r="Q3211" s="22">
        <f>IF($D3211="","",IF(AND(OR(DANH_MUC!$L$5&lt;&gt;"Có",M3211="Có"),OR(DANH_MUC!$L$6&lt;&gt;"Có",N3211="Có"),OR(DANH_MUC!$L$7&lt;&gt;"Có",O3211="Có"),OR(DANH_MUC!$L$8&lt;&gt;"Có",P3211="Có")),"Có","Không"))</f>
        <v/>
      </c>
      <c r="R3211" s="22">
        <f>IF($D3211="","",IF(COUNTIF($D$2:$D3211,$D3211)&gt;1,"Trùng",""))</f>
        <v/>
      </c>
      <c r="S3211" s="22">
        <f>IF($D3211="","",IF(AND(LEN($D3211)=10,LEFT($D3211,1)="0",ISNUMBER(--$D3211)),"Có","Không"))</f>
        <v/>
      </c>
      <c r="T3211" s="22">
        <f>IF($D3211="","",IF(AND($C3211&lt;&gt;"",$Q3211="Có",$R3211="",$S3211="Có",AND($L3211&lt;&gt;"",OR($L3211&lt;&gt;"Chưa xác định",DANH_MUC!$L$9="Có"))),"Có","Không"))</f>
        <v/>
      </c>
      <c r="U3211" s="22">
        <f>IF(OR($D3211="",$T3211="Có"),"",IF($C3211="","Thiếu họ tên; ","")&amp;IF($S3211&lt;&gt;"Có","SĐT sai định dạng; ","")&amp;IF($R3211="Trùng","Trùng SĐT; ","")&amp;IF($Q3211&lt;&gt;"Có","Thiếu đồng ý bắt buộc; ","")&amp;IF($L3211="","Thiếu/sai Mã REF; ",IF(AND($L3211="Chưa xác định",DANH_MUC!$L$9&lt;&gt;"Có"),"Nguồn chưa xác định; ","")))</f>
        <v/>
      </c>
      <c r="V3211" s="22">
        <f>IF(OR($D3211="",$R3211="Trùng"),"",IF(COUNTIF(ORDERS!$C$2:$C$4995,$D3211)&gt;0,"Có","Không"))</f>
        <v/>
      </c>
      <c r="W3211" s="22">
        <f>IF(OR($D3211="",$R3211="Trùng"),"",COUNTIFS(ORDERS!$C$2:$C$4995,$D3211,ORDERS!$L$2:$L$4995,"Đã chuyển khoản"))</f>
        <v/>
      </c>
      <c r="X3211" s="23">
        <f>IF(OR($D3211="",$R3211="Trùng"),"",SUMIFS(ORDERS!$J$2:$J$4995,ORDERS!$C$2:$C$4995,$D3211,ORDERS!$L$2:$L$4995,"Đã chuyển khoản"))</f>
        <v/>
      </c>
      <c r="Y3211" s="24" t="n"/>
    </row>
    <row r="3212" ht="14.25" customHeight="1" s="40">
      <c r="A3212" s="24" t="n"/>
      <c r="B3212" s="27" t="n"/>
      <c r="C3212" s="24" t="n"/>
      <c r="D3212" s="28" t="n"/>
      <c r="E3212" s="29" t="n"/>
      <c r="F3212" s="24" t="n"/>
      <c r="G3212" s="24" t="n"/>
      <c r="H3212" s="21">
        <f>IF(ISNUMBER($B3212),INT($B3212)-WEEKDAY($B3212,2)+1,"")</f>
        <v/>
      </c>
      <c r="I3212" s="24" t="n"/>
      <c r="J3212" s="22">
        <f t="array" ref="J3212">IF($D3212="","",IF($I3212="","(trống REF)",IFERROR(INDEX(MASTER_SOURCE!$B$2:$B$495,MATCH($I3212,MASTER_SOURCE!$A$2:$A$495,0)),"(REF không có trong MASTER_SOURCE)")))</f>
        <v/>
      </c>
      <c r="K3212" s="22">
        <f t="array" ref="K3212">IF($D3212="","",IFERROR(INDEX(MASTER_SOURCE!$C$2:$C$495,MATCH($I3212,MASTER_SOURCE!$A$2:$A$495,0)),""))</f>
        <v/>
      </c>
      <c r="L3212" s="22">
        <f t="array" ref="L3212">IF($D3212="","",IFERROR(INDEX(MASTER_SOURCE!$D$2:$D$495,MATCH($I3212,MASTER_SOURCE!$A$2:$A$495,0)),""))</f>
        <v/>
      </c>
      <c r="M3212" s="24" t="n"/>
      <c r="N3212" s="24" t="n"/>
      <c r="O3212" s="24" t="n"/>
      <c r="P3212" s="24" t="n"/>
      <c r="Q3212" s="22">
        <f>IF($D3212="","",IF(AND(OR(DANH_MUC!$L$5&lt;&gt;"Có",M3212="Có"),OR(DANH_MUC!$L$6&lt;&gt;"Có",N3212="Có"),OR(DANH_MUC!$L$7&lt;&gt;"Có",O3212="Có"),OR(DANH_MUC!$L$8&lt;&gt;"Có",P3212="Có")),"Có","Không"))</f>
        <v/>
      </c>
      <c r="R3212" s="22">
        <f>IF($D3212="","",IF(COUNTIF($D$2:$D3212,$D3212)&gt;1,"Trùng",""))</f>
        <v/>
      </c>
      <c r="S3212" s="22">
        <f>IF($D3212="","",IF(AND(LEN($D3212)=10,LEFT($D3212,1)="0",ISNUMBER(--$D3212)),"Có","Không"))</f>
        <v/>
      </c>
      <c r="T3212" s="22">
        <f>IF($D3212="","",IF(AND($C3212&lt;&gt;"",$Q3212="Có",$R3212="",$S3212="Có",AND($L3212&lt;&gt;"",OR($L3212&lt;&gt;"Chưa xác định",DANH_MUC!$L$9="Có"))),"Có","Không"))</f>
        <v/>
      </c>
      <c r="U3212" s="22">
        <f>IF(OR($D3212="",$T3212="Có"),"",IF($C3212="","Thiếu họ tên; ","")&amp;IF($S3212&lt;&gt;"Có","SĐT sai định dạng; ","")&amp;IF($R3212="Trùng","Trùng SĐT; ","")&amp;IF($Q3212&lt;&gt;"Có","Thiếu đồng ý bắt buộc; ","")&amp;IF($L3212="","Thiếu/sai Mã REF; ",IF(AND($L3212="Chưa xác định",DANH_MUC!$L$9&lt;&gt;"Có"),"Nguồn chưa xác định; ","")))</f>
        <v/>
      </c>
      <c r="V3212" s="22">
        <f>IF(OR($D3212="",$R3212="Trùng"),"",IF(COUNTIF(ORDERS!$C$2:$C$4995,$D3212)&gt;0,"Có","Không"))</f>
        <v/>
      </c>
      <c r="W3212" s="22">
        <f>IF(OR($D3212="",$R3212="Trùng"),"",COUNTIFS(ORDERS!$C$2:$C$4995,$D3212,ORDERS!$L$2:$L$4995,"Đã chuyển khoản"))</f>
        <v/>
      </c>
      <c r="X3212" s="23">
        <f>IF(OR($D3212="",$R3212="Trùng"),"",SUMIFS(ORDERS!$J$2:$J$4995,ORDERS!$C$2:$C$4995,$D3212,ORDERS!$L$2:$L$4995,"Đã chuyển khoản"))</f>
        <v/>
      </c>
      <c r="Y3212" s="24" t="n"/>
    </row>
    <row r="3213" ht="14.25" customHeight="1" s="40">
      <c r="A3213" s="24" t="n"/>
      <c r="B3213" s="27" t="n"/>
      <c r="C3213" s="24" t="n"/>
      <c r="D3213" s="28" t="n"/>
      <c r="E3213" s="29" t="n"/>
      <c r="F3213" s="24" t="n"/>
      <c r="G3213" s="24" t="n"/>
      <c r="H3213" s="21">
        <f>IF(ISNUMBER($B3213),INT($B3213)-WEEKDAY($B3213,2)+1,"")</f>
        <v/>
      </c>
      <c r="I3213" s="24" t="n"/>
      <c r="J3213" s="22">
        <f t="array" ref="J3213">IF($D3213="","",IF($I3213="","(trống REF)",IFERROR(INDEX(MASTER_SOURCE!$B$2:$B$495,MATCH($I3213,MASTER_SOURCE!$A$2:$A$495,0)),"(REF không có trong MASTER_SOURCE)")))</f>
        <v/>
      </c>
      <c r="K3213" s="22">
        <f t="array" ref="K3213">IF($D3213="","",IFERROR(INDEX(MASTER_SOURCE!$C$2:$C$495,MATCH($I3213,MASTER_SOURCE!$A$2:$A$495,0)),""))</f>
        <v/>
      </c>
      <c r="L3213" s="22">
        <f t="array" ref="L3213">IF($D3213="","",IFERROR(INDEX(MASTER_SOURCE!$D$2:$D$495,MATCH($I3213,MASTER_SOURCE!$A$2:$A$495,0)),""))</f>
        <v/>
      </c>
      <c r="M3213" s="24" t="n"/>
      <c r="N3213" s="24" t="n"/>
      <c r="O3213" s="24" t="n"/>
      <c r="P3213" s="24" t="n"/>
      <c r="Q3213" s="22">
        <f>IF($D3213="","",IF(AND(OR(DANH_MUC!$L$5&lt;&gt;"Có",M3213="Có"),OR(DANH_MUC!$L$6&lt;&gt;"Có",N3213="Có"),OR(DANH_MUC!$L$7&lt;&gt;"Có",O3213="Có"),OR(DANH_MUC!$L$8&lt;&gt;"Có",P3213="Có")),"Có","Không"))</f>
        <v/>
      </c>
      <c r="R3213" s="22">
        <f>IF($D3213="","",IF(COUNTIF($D$2:$D3213,$D3213)&gt;1,"Trùng",""))</f>
        <v/>
      </c>
      <c r="S3213" s="22">
        <f>IF($D3213="","",IF(AND(LEN($D3213)=10,LEFT($D3213,1)="0",ISNUMBER(--$D3213)),"Có","Không"))</f>
        <v/>
      </c>
      <c r="T3213" s="22">
        <f>IF($D3213="","",IF(AND($C3213&lt;&gt;"",$Q3213="Có",$R3213="",$S3213="Có",AND($L3213&lt;&gt;"",OR($L3213&lt;&gt;"Chưa xác định",DANH_MUC!$L$9="Có"))),"Có","Không"))</f>
        <v/>
      </c>
      <c r="U3213" s="22">
        <f>IF(OR($D3213="",$T3213="Có"),"",IF($C3213="","Thiếu họ tên; ","")&amp;IF($S3213&lt;&gt;"Có","SĐT sai định dạng; ","")&amp;IF($R3213="Trùng","Trùng SĐT; ","")&amp;IF($Q3213&lt;&gt;"Có","Thiếu đồng ý bắt buộc; ","")&amp;IF($L3213="","Thiếu/sai Mã REF; ",IF(AND($L3213="Chưa xác định",DANH_MUC!$L$9&lt;&gt;"Có"),"Nguồn chưa xác định; ","")))</f>
        <v/>
      </c>
      <c r="V3213" s="22">
        <f>IF(OR($D3213="",$R3213="Trùng"),"",IF(COUNTIF(ORDERS!$C$2:$C$4995,$D3213)&gt;0,"Có","Không"))</f>
        <v/>
      </c>
      <c r="W3213" s="22">
        <f>IF(OR($D3213="",$R3213="Trùng"),"",COUNTIFS(ORDERS!$C$2:$C$4995,$D3213,ORDERS!$L$2:$L$4995,"Đã chuyển khoản"))</f>
        <v/>
      </c>
      <c r="X3213" s="23">
        <f>IF(OR($D3213="",$R3213="Trùng"),"",SUMIFS(ORDERS!$J$2:$J$4995,ORDERS!$C$2:$C$4995,$D3213,ORDERS!$L$2:$L$4995,"Đã chuyển khoản"))</f>
        <v/>
      </c>
      <c r="Y3213" s="24" t="n"/>
    </row>
    <row r="3214" ht="14.25" customHeight="1" s="40">
      <c r="A3214" s="24" t="n"/>
      <c r="B3214" s="27" t="n"/>
      <c r="C3214" s="24" t="n"/>
      <c r="D3214" s="28" t="n"/>
      <c r="E3214" s="29" t="n"/>
      <c r="F3214" s="24" t="n"/>
      <c r="G3214" s="24" t="n"/>
      <c r="H3214" s="21">
        <f>IF(ISNUMBER($B3214),INT($B3214)-WEEKDAY($B3214,2)+1,"")</f>
        <v/>
      </c>
      <c r="I3214" s="24" t="n"/>
      <c r="J3214" s="22">
        <f t="array" ref="J3214">IF($D3214="","",IF($I3214="","(trống REF)",IFERROR(INDEX(MASTER_SOURCE!$B$2:$B$495,MATCH($I3214,MASTER_SOURCE!$A$2:$A$495,0)),"(REF không có trong MASTER_SOURCE)")))</f>
        <v/>
      </c>
      <c r="K3214" s="22">
        <f t="array" ref="K3214">IF($D3214="","",IFERROR(INDEX(MASTER_SOURCE!$C$2:$C$495,MATCH($I3214,MASTER_SOURCE!$A$2:$A$495,0)),""))</f>
        <v/>
      </c>
      <c r="L3214" s="22">
        <f t="array" ref="L3214">IF($D3214="","",IFERROR(INDEX(MASTER_SOURCE!$D$2:$D$495,MATCH($I3214,MASTER_SOURCE!$A$2:$A$495,0)),""))</f>
        <v/>
      </c>
      <c r="M3214" s="24" t="n"/>
      <c r="N3214" s="24" t="n"/>
      <c r="O3214" s="24" t="n"/>
      <c r="P3214" s="24" t="n"/>
      <c r="Q3214" s="22">
        <f>IF($D3214="","",IF(AND(OR(DANH_MUC!$L$5&lt;&gt;"Có",M3214="Có"),OR(DANH_MUC!$L$6&lt;&gt;"Có",N3214="Có"),OR(DANH_MUC!$L$7&lt;&gt;"Có",O3214="Có"),OR(DANH_MUC!$L$8&lt;&gt;"Có",P3214="Có")),"Có","Không"))</f>
        <v/>
      </c>
      <c r="R3214" s="22">
        <f>IF($D3214="","",IF(COUNTIF($D$2:$D3214,$D3214)&gt;1,"Trùng",""))</f>
        <v/>
      </c>
      <c r="S3214" s="22">
        <f>IF($D3214="","",IF(AND(LEN($D3214)=10,LEFT($D3214,1)="0",ISNUMBER(--$D3214)),"Có","Không"))</f>
        <v/>
      </c>
      <c r="T3214" s="22">
        <f>IF($D3214="","",IF(AND($C3214&lt;&gt;"",$Q3214="Có",$R3214="",$S3214="Có",AND($L3214&lt;&gt;"",OR($L3214&lt;&gt;"Chưa xác định",DANH_MUC!$L$9="Có"))),"Có","Không"))</f>
        <v/>
      </c>
      <c r="U3214" s="22">
        <f>IF(OR($D3214="",$T3214="Có"),"",IF($C3214="","Thiếu họ tên; ","")&amp;IF($S3214&lt;&gt;"Có","SĐT sai định dạng; ","")&amp;IF($R3214="Trùng","Trùng SĐT; ","")&amp;IF($Q3214&lt;&gt;"Có","Thiếu đồng ý bắt buộc; ","")&amp;IF($L3214="","Thiếu/sai Mã REF; ",IF(AND($L3214="Chưa xác định",DANH_MUC!$L$9&lt;&gt;"Có"),"Nguồn chưa xác định; ","")))</f>
        <v/>
      </c>
      <c r="V3214" s="22">
        <f>IF(OR($D3214="",$R3214="Trùng"),"",IF(COUNTIF(ORDERS!$C$2:$C$4995,$D3214)&gt;0,"Có","Không"))</f>
        <v/>
      </c>
      <c r="W3214" s="22">
        <f>IF(OR($D3214="",$R3214="Trùng"),"",COUNTIFS(ORDERS!$C$2:$C$4995,$D3214,ORDERS!$L$2:$L$4995,"Đã chuyển khoản"))</f>
        <v/>
      </c>
      <c r="X3214" s="23">
        <f>IF(OR($D3214="",$R3214="Trùng"),"",SUMIFS(ORDERS!$J$2:$J$4995,ORDERS!$C$2:$C$4995,$D3214,ORDERS!$L$2:$L$4995,"Đã chuyển khoản"))</f>
        <v/>
      </c>
      <c r="Y3214" s="24" t="n"/>
    </row>
    <row r="3215" ht="14.25" customHeight="1" s="40">
      <c r="A3215" s="24" t="n"/>
      <c r="B3215" s="27" t="n"/>
      <c r="C3215" s="24" t="n"/>
      <c r="D3215" s="28" t="n"/>
      <c r="E3215" s="29" t="n"/>
      <c r="F3215" s="24" t="n"/>
      <c r="G3215" s="24" t="n"/>
      <c r="H3215" s="21">
        <f>IF(ISNUMBER($B3215),INT($B3215)-WEEKDAY($B3215,2)+1,"")</f>
        <v/>
      </c>
      <c r="I3215" s="24" t="n"/>
      <c r="J3215" s="22">
        <f t="array" ref="J3215">IF($D3215="","",IF($I3215="","(trống REF)",IFERROR(INDEX(MASTER_SOURCE!$B$2:$B$495,MATCH($I3215,MASTER_SOURCE!$A$2:$A$495,0)),"(REF không có trong MASTER_SOURCE)")))</f>
        <v/>
      </c>
      <c r="K3215" s="22">
        <f t="array" ref="K3215">IF($D3215="","",IFERROR(INDEX(MASTER_SOURCE!$C$2:$C$495,MATCH($I3215,MASTER_SOURCE!$A$2:$A$495,0)),""))</f>
        <v/>
      </c>
      <c r="L3215" s="22">
        <f t="array" ref="L3215">IF($D3215="","",IFERROR(INDEX(MASTER_SOURCE!$D$2:$D$495,MATCH($I3215,MASTER_SOURCE!$A$2:$A$495,0)),""))</f>
        <v/>
      </c>
      <c r="M3215" s="24" t="n"/>
      <c r="N3215" s="24" t="n"/>
      <c r="O3215" s="24" t="n"/>
      <c r="P3215" s="24" t="n"/>
      <c r="Q3215" s="22">
        <f>IF($D3215="","",IF(AND(OR(DANH_MUC!$L$5&lt;&gt;"Có",M3215="Có"),OR(DANH_MUC!$L$6&lt;&gt;"Có",N3215="Có"),OR(DANH_MUC!$L$7&lt;&gt;"Có",O3215="Có"),OR(DANH_MUC!$L$8&lt;&gt;"Có",P3215="Có")),"Có","Không"))</f>
        <v/>
      </c>
      <c r="R3215" s="22">
        <f>IF($D3215="","",IF(COUNTIF($D$2:$D3215,$D3215)&gt;1,"Trùng",""))</f>
        <v/>
      </c>
      <c r="S3215" s="22">
        <f>IF($D3215="","",IF(AND(LEN($D3215)=10,LEFT($D3215,1)="0",ISNUMBER(--$D3215)),"Có","Không"))</f>
        <v/>
      </c>
      <c r="T3215" s="22">
        <f>IF($D3215="","",IF(AND($C3215&lt;&gt;"",$Q3215="Có",$R3215="",$S3215="Có",AND($L3215&lt;&gt;"",OR($L3215&lt;&gt;"Chưa xác định",DANH_MUC!$L$9="Có"))),"Có","Không"))</f>
        <v/>
      </c>
      <c r="U3215" s="22">
        <f>IF(OR($D3215="",$T3215="Có"),"",IF($C3215="","Thiếu họ tên; ","")&amp;IF($S3215&lt;&gt;"Có","SĐT sai định dạng; ","")&amp;IF($R3215="Trùng","Trùng SĐT; ","")&amp;IF($Q3215&lt;&gt;"Có","Thiếu đồng ý bắt buộc; ","")&amp;IF($L3215="","Thiếu/sai Mã REF; ",IF(AND($L3215="Chưa xác định",DANH_MUC!$L$9&lt;&gt;"Có"),"Nguồn chưa xác định; ","")))</f>
        <v/>
      </c>
      <c r="V3215" s="22">
        <f>IF(OR($D3215="",$R3215="Trùng"),"",IF(COUNTIF(ORDERS!$C$2:$C$4995,$D3215)&gt;0,"Có","Không"))</f>
        <v/>
      </c>
      <c r="W3215" s="22">
        <f>IF(OR($D3215="",$R3215="Trùng"),"",COUNTIFS(ORDERS!$C$2:$C$4995,$D3215,ORDERS!$L$2:$L$4995,"Đã chuyển khoản"))</f>
        <v/>
      </c>
      <c r="X3215" s="23">
        <f>IF(OR($D3215="",$R3215="Trùng"),"",SUMIFS(ORDERS!$J$2:$J$4995,ORDERS!$C$2:$C$4995,$D3215,ORDERS!$L$2:$L$4995,"Đã chuyển khoản"))</f>
        <v/>
      </c>
      <c r="Y3215" s="24" t="n"/>
    </row>
    <row r="3216" ht="14.25" customHeight="1" s="40">
      <c r="A3216" s="24" t="n"/>
      <c r="B3216" s="27" t="n"/>
      <c r="C3216" s="24" t="n"/>
      <c r="D3216" s="28" t="n"/>
      <c r="E3216" s="29" t="n"/>
      <c r="F3216" s="24" t="n"/>
      <c r="G3216" s="24" t="n"/>
      <c r="H3216" s="21">
        <f>IF(ISNUMBER($B3216),INT($B3216)-WEEKDAY($B3216,2)+1,"")</f>
        <v/>
      </c>
      <c r="I3216" s="24" t="n"/>
      <c r="J3216" s="22">
        <f t="array" ref="J3216">IF($D3216="","",IF($I3216="","(trống REF)",IFERROR(INDEX(MASTER_SOURCE!$B$2:$B$495,MATCH($I3216,MASTER_SOURCE!$A$2:$A$495,0)),"(REF không có trong MASTER_SOURCE)")))</f>
        <v/>
      </c>
      <c r="K3216" s="22">
        <f t="array" ref="K3216">IF($D3216="","",IFERROR(INDEX(MASTER_SOURCE!$C$2:$C$495,MATCH($I3216,MASTER_SOURCE!$A$2:$A$495,0)),""))</f>
        <v/>
      </c>
      <c r="L3216" s="22">
        <f t="array" ref="L3216">IF($D3216="","",IFERROR(INDEX(MASTER_SOURCE!$D$2:$D$495,MATCH($I3216,MASTER_SOURCE!$A$2:$A$495,0)),""))</f>
        <v/>
      </c>
      <c r="M3216" s="24" t="n"/>
      <c r="N3216" s="24" t="n"/>
      <c r="O3216" s="24" t="n"/>
      <c r="P3216" s="24" t="n"/>
      <c r="Q3216" s="22">
        <f>IF($D3216="","",IF(AND(OR(DANH_MUC!$L$5&lt;&gt;"Có",M3216="Có"),OR(DANH_MUC!$L$6&lt;&gt;"Có",N3216="Có"),OR(DANH_MUC!$L$7&lt;&gt;"Có",O3216="Có"),OR(DANH_MUC!$L$8&lt;&gt;"Có",P3216="Có")),"Có","Không"))</f>
        <v/>
      </c>
      <c r="R3216" s="22">
        <f>IF($D3216="","",IF(COUNTIF($D$2:$D3216,$D3216)&gt;1,"Trùng",""))</f>
        <v/>
      </c>
      <c r="S3216" s="22">
        <f>IF($D3216="","",IF(AND(LEN($D3216)=10,LEFT($D3216,1)="0",ISNUMBER(--$D3216)),"Có","Không"))</f>
        <v/>
      </c>
      <c r="T3216" s="22">
        <f>IF($D3216="","",IF(AND($C3216&lt;&gt;"",$Q3216="Có",$R3216="",$S3216="Có",AND($L3216&lt;&gt;"",OR($L3216&lt;&gt;"Chưa xác định",DANH_MUC!$L$9="Có"))),"Có","Không"))</f>
        <v/>
      </c>
      <c r="U3216" s="22">
        <f>IF(OR($D3216="",$T3216="Có"),"",IF($C3216="","Thiếu họ tên; ","")&amp;IF($S3216&lt;&gt;"Có","SĐT sai định dạng; ","")&amp;IF($R3216="Trùng","Trùng SĐT; ","")&amp;IF($Q3216&lt;&gt;"Có","Thiếu đồng ý bắt buộc; ","")&amp;IF($L3216="","Thiếu/sai Mã REF; ",IF(AND($L3216="Chưa xác định",DANH_MUC!$L$9&lt;&gt;"Có"),"Nguồn chưa xác định; ","")))</f>
        <v/>
      </c>
      <c r="V3216" s="22">
        <f>IF(OR($D3216="",$R3216="Trùng"),"",IF(COUNTIF(ORDERS!$C$2:$C$4995,$D3216)&gt;0,"Có","Không"))</f>
        <v/>
      </c>
      <c r="W3216" s="22">
        <f>IF(OR($D3216="",$R3216="Trùng"),"",COUNTIFS(ORDERS!$C$2:$C$4995,$D3216,ORDERS!$L$2:$L$4995,"Đã chuyển khoản"))</f>
        <v/>
      </c>
      <c r="X3216" s="23">
        <f>IF(OR($D3216="",$R3216="Trùng"),"",SUMIFS(ORDERS!$J$2:$J$4995,ORDERS!$C$2:$C$4995,$D3216,ORDERS!$L$2:$L$4995,"Đã chuyển khoản"))</f>
        <v/>
      </c>
      <c r="Y3216" s="24" t="n"/>
    </row>
    <row r="3217" ht="14.25" customHeight="1" s="40">
      <c r="A3217" s="24" t="n"/>
      <c r="B3217" s="27" t="n"/>
      <c r="C3217" s="24" t="n"/>
      <c r="D3217" s="28" t="n"/>
      <c r="E3217" s="29" t="n"/>
      <c r="F3217" s="24" t="n"/>
      <c r="G3217" s="24" t="n"/>
      <c r="H3217" s="21">
        <f>IF(ISNUMBER($B3217),INT($B3217)-WEEKDAY($B3217,2)+1,"")</f>
        <v/>
      </c>
      <c r="I3217" s="24" t="n"/>
      <c r="J3217" s="22">
        <f t="array" ref="J3217">IF($D3217="","",IF($I3217="","(trống REF)",IFERROR(INDEX(MASTER_SOURCE!$B$2:$B$495,MATCH($I3217,MASTER_SOURCE!$A$2:$A$495,0)),"(REF không có trong MASTER_SOURCE)")))</f>
        <v/>
      </c>
      <c r="K3217" s="22">
        <f t="array" ref="K3217">IF($D3217="","",IFERROR(INDEX(MASTER_SOURCE!$C$2:$C$495,MATCH($I3217,MASTER_SOURCE!$A$2:$A$495,0)),""))</f>
        <v/>
      </c>
      <c r="L3217" s="22">
        <f t="array" ref="L3217">IF($D3217="","",IFERROR(INDEX(MASTER_SOURCE!$D$2:$D$495,MATCH($I3217,MASTER_SOURCE!$A$2:$A$495,0)),""))</f>
        <v/>
      </c>
      <c r="M3217" s="24" t="n"/>
      <c r="N3217" s="24" t="n"/>
      <c r="O3217" s="24" t="n"/>
      <c r="P3217" s="24" t="n"/>
      <c r="Q3217" s="22">
        <f>IF($D3217="","",IF(AND(OR(DANH_MUC!$L$5&lt;&gt;"Có",M3217="Có"),OR(DANH_MUC!$L$6&lt;&gt;"Có",N3217="Có"),OR(DANH_MUC!$L$7&lt;&gt;"Có",O3217="Có"),OR(DANH_MUC!$L$8&lt;&gt;"Có",P3217="Có")),"Có","Không"))</f>
        <v/>
      </c>
      <c r="R3217" s="22">
        <f>IF($D3217="","",IF(COUNTIF($D$2:$D3217,$D3217)&gt;1,"Trùng",""))</f>
        <v/>
      </c>
      <c r="S3217" s="22">
        <f>IF($D3217="","",IF(AND(LEN($D3217)=10,LEFT($D3217,1)="0",ISNUMBER(--$D3217)),"Có","Không"))</f>
        <v/>
      </c>
      <c r="T3217" s="22">
        <f>IF($D3217="","",IF(AND($C3217&lt;&gt;"",$Q3217="Có",$R3217="",$S3217="Có",AND($L3217&lt;&gt;"",OR($L3217&lt;&gt;"Chưa xác định",DANH_MUC!$L$9="Có"))),"Có","Không"))</f>
        <v/>
      </c>
      <c r="U3217" s="22">
        <f>IF(OR($D3217="",$T3217="Có"),"",IF($C3217="","Thiếu họ tên; ","")&amp;IF($S3217&lt;&gt;"Có","SĐT sai định dạng; ","")&amp;IF($R3217="Trùng","Trùng SĐT; ","")&amp;IF($Q3217&lt;&gt;"Có","Thiếu đồng ý bắt buộc; ","")&amp;IF($L3217="","Thiếu/sai Mã REF; ",IF(AND($L3217="Chưa xác định",DANH_MUC!$L$9&lt;&gt;"Có"),"Nguồn chưa xác định; ","")))</f>
        <v/>
      </c>
      <c r="V3217" s="22">
        <f>IF(OR($D3217="",$R3217="Trùng"),"",IF(COUNTIF(ORDERS!$C$2:$C$4995,$D3217)&gt;0,"Có","Không"))</f>
        <v/>
      </c>
      <c r="W3217" s="22">
        <f>IF(OR($D3217="",$R3217="Trùng"),"",COUNTIFS(ORDERS!$C$2:$C$4995,$D3217,ORDERS!$L$2:$L$4995,"Đã chuyển khoản"))</f>
        <v/>
      </c>
      <c r="X3217" s="23">
        <f>IF(OR($D3217="",$R3217="Trùng"),"",SUMIFS(ORDERS!$J$2:$J$4995,ORDERS!$C$2:$C$4995,$D3217,ORDERS!$L$2:$L$4995,"Đã chuyển khoản"))</f>
        <v/>
      </c>
      <c r="Y3217" s="24" t="n"/>
    </row>
    <row r="3218" ht="14.25" customHeight="1" s="40">
      <c r="A3218" s="24" t="n"/>
      <c r="B3218" s="27" t="n"/>
      <c r="C3218" s="24" t="n"/>
      <c r="D3218" s="28" t="n"/>
      <c r="E3218" s="29" t="n"/>
      <c r="F3218" s="24" t="n"/>
      <c r="G3218" s="24" t="n"/>
      <c r="H3218" s="21">
        <f>IF(ISNUMBER($B3218),INT($B3218)-WEEKDAY($B3218,2)+1,"")</f>
        <v/>
      </c>
      <c r="I3218" s="24" t="n"/>
      <c r="J3218" s="22">
        <f t="array" ref="J3218">IF($D3218="","",IF($I3218="","(trống REF)",IFERROR(INDEX(MASTER_SOURCE!$B$2:$B$495,MATCH($I3218,MASTER_SOURCE!$A$2:$A$495,0)),"(REF không có trong MASTER_SOURCE)")))</f>
        <v/>
      </c>
      <c r="K3218" s="22">
        <f t="array" ref="K3218">IF($D3218="","",IFERROR(INDEX(MASTER_SOURCE!$C$2:$C$495,MATCH($I3218,MASTER_SOURCE!$A$2:$A$495,0)),""))</f>
        <v/>
      </c>
      <c r="L3218" s="22">
        <f t="array" ref="L3218">IF($D3218="","",IFERROR(INDEX(MASTER_SOURCE!$D$2:$D$495,MATCH($I3218,MASTER_SOURCE!$A$2:$A$495,0)),""))</f>
        <v/>
      </c>
      <c r="M3218" s="24" t="n"/>
      <c r="N3218" s="24" t="n"/>
      <c r="O3218" s="24" t="n"/>
      <c r="P3218" s="24" t="n"/>
      <c r="Q3218" s="22">
        <f>IF($D3218="","",IF(AND(OR(DANH_MUC!$L$5&lt;&gt;"Có",M3218="Có"),OR(DANH_MUC!$L$6&lt;&gt;"Có",N3218="Có"),OR(DANH_MUC!$L$7&lt;&gt;"Có",O3218="Có"),OR(DANH_MUC!$L$8&lt;&gt;"Có",P3218="Có")),"Có","Không"))</f>
        <v/>
      </c>
      <c r="R3218" s="22">
        <f>IF($D3218="","",IF(COUNTIF($D$2:$D3218,$D3218)&gt;1,"Trùng",""))</f>
        <v/>
      </c>
      <c r="S3218" s="22">
        <f>IF($D3218="","",IF(AND(LEN($D3218)=10,LEFT($D3218,1)="0",ISNUMBER(--$D3218)),"Có","Không"))</f>
        <v/>
      </c>
      <c r="T3218" s="22">
        <f>IF($D3218="","",IF(AND($C3218&lt;&gt;"",$Q3218="Có",$R3218="",$S3218="Có",AND($L3218&lt;&gt;"",OR($L3218&lt;&gt;"Chưa xác định",DANH_MUC!$L$9="Có"))),"Có","Không"))</f>
        <v/>
      </c>
      <c r="U3218" s="22">
        <f>IF(OR($D3218="",$T3218="Có"),"",IF($C3218="","Thiếu họ tên; ","")&amp;IF($S3218&lt;&gt;"Có","SĐT sai định dạng; ","")&amp;IF($R3218="Trùng","Trùng SĐT; ","")&amp;IF($Q3218&lt;&gt;"Có","Thiếu đồng ý bắt buộc; ","")&amp;IF($L3218="","Thiếu/sai Mã REF; ",IF(AND($L3218="Chưa xác định",DANH_MUC!$L$9&lt;&gt;"Có"),"Nguồn chưa xác định; ","")))</f>
        <v/>
      </c>
      <c r="V3218" s="22">
        <f>IF(OR($D3218="",$R3218="Trùng"),"",IF(COUNTIF(ORDERS!$C$2:$C$4995,$D3218)&gt;0,"Có","Không"))</f>
        <v/>
      </c>
      <c r="W3218" s="22">
        <f>IF(OR($D3218="",$R3218="Trùng"),"",COUNTIFS(ORDERS!$C$2:$C$4995,$D3218,ORDERS!$L$2:$L$4995,"Đã chuyển khoản"))</f>
        <v/>
      </c>
      <c r="X3218" s="23">
        <f>IF(OR($D3218="",$R3218="Trùng"),"",SUMIFS(ORDERS!$J$2:$J$4995,ORDERS!$C$2:$C$4995,$D3218,ORDERS!$L$2:$L$4995,"Đã chuyển khoản"))</f>
        <v/>
      </c>
      <c r="Y3218" s="24" t="n"/>
    </row>
    <row r="3219" ht="14.25" customHeight="1" s="40">
      <c r="A3219" s="24" t="n"/>
      <c r="B3219" s="27" t="n"/>
      <c r="C3219" s="24" t="n"/>
      <c r="D3219" s="28" t="n"/>
      <c r="E3219" s="29" t="n"/>
      <c r="F3219" s="24" t="n"/>
      <c r="G3219" s="24" t="n"/>
      <c r="H3219" s="21">
        <f>IF(ISNUMBER($B3219),INT($B3219)-WEEKDAY($B3219,2)+1,"")</f>
        <v/>
      </c>
      <c r="I3219" s="24" t="n"/>
      <c r="J3219" s="22">
        <f t="array" ref="J3219">IF($D3219="","",IF($I3219="","(trống REF)",IFERROR(INDEX(MASTER_SOURCE!$B$2:$B$495,MATCH($I3219,MASTER_SOURCE!$A$2:$A$495,0)),"(REF không có trong MASTER_SOURCE)")))</f>
        <v/>
      </c>
      <c r="K3219" s="22">
        <f t="array" ref="K3219">IF($D3219="","",IFERROR(INDEX(MASTER_SOURCE!$C$2:$C$495,MATCH($I3219,MASTER_SOURCE!$A$2:$A$495,0)),""))</f>
        <v/>
      </c>
      <c r="L3219" s="22">
        <f t="array" ref="L3219">IF($D3219="","",IFERROR(INDEX(MASTER_SOURCE!$D$2:$D$495,MATCH($I3219,MASTER_SOURCE!$A$2:$A$495,0)),""))</f>
        <v/>
      </c>
      <c r="M3219" s="24" t="n"/>
      <c r="N3219" s="24" t="n"/>
      <c r="O3219" s="24" t="n"/>
      <c r="P3219" s="24" t="n"/>
      <c r="Q3219" s="22">
        <f>IF($D3219="","",IF(AND(OR(DANH_MUC!$L$5&lt;&gt;"Có",M3219="Có"),OR(DANH_MUC!$L$6&lt;&gt;"Có",N3219="Có"),OR(DANH_MUC!$L$7&lt;&gt;"Có",O3219="Có"),OR(DANH_MUC!$L$8&lt;&gt;"Có",P3219="Có")),"Có","Không"))</f>
        <v/>
      </c>
      <c r="R3219" s="22">
        <f>IF($D3219="","",IF(COUNTIF($D$2:$D3219,$D3219)&gt;1,"Trùng",""))</f>
        <v/>
      </c>
      <c r="S3219" s="22">
        <f>IF($D3219="","",IF(AND(LEN($D3219)=10,LEFT($D3219,1)="0",ISNUMBER(--$D3219)),"Có","Không"))</f>
        <v/>
      </c>
      <c r="T3219" s="22">
        <f>IF($D3219="","",IF(AND($C3219&lt;&gt;"",$Q3219="Có",$R3219="",$S3219="Có",AND($L3219&lt;&gt;"",OR($L3219&lt;&gt;"Chưa xác định",DANH_MUC!$L$9="Có"))),"Có","Không"))</f>
        <v/>
      </c>
      <c r="U3219" s="22">
        <f>IF(OR($D3219="",$T3219="Có"),"",IF($C3219="","Thiếu họ tên; ","")&amp;IF($S3219&lt;&gt;"Có","SĐT sai định dạng; ","")&amp;IF($R3219="Trùng","Trùng SĐT; ","")&amp;IF($Q3219&lt;&gt;"Có","Thiếu đồng ý bắt buộc; ","")&amp;IF($L3219="","Thiếu/sai Mã REF; ",IF(AND($L3219="Chưa xác định",DANH_MUC!$L$9&lt;&gt;"Có"),"Nguồn chưa xác định; ","")))</f>
        <v/>
      </c>
      <c r="V3219" s="22">
        <f>IF(OR($D3219="",$R3219="Trùng"),"",IF(COUNTIF(ORDERS!$C$2:$C$4995,$D3219)&gt;0,"Có","Không"))</f>
        <v/>
      </c>
      <c r="W3219" s="22">
        <f>IF(OR($D3219="",$R3219="Trùng"),"",COUNTIFS(ORDERS!$C$2:$C$4995,$D3219,ORDERS!$L$2:$L$4995,"Đã chuyển khoản"))</f>
        <v/>
      </c>
      <c r="X3219" s="23">
        <f>IF(OR($D3219="",$R3219="Trùng"),"",SUMIFS(ORDERS!$J$2:$J$4995,ORDERS!$C$2:$C$4995,$D3219,ORDERS!$L$2:$L$4995,"Đã chuyển khoản"))</f>
        <v/>
      </c>
      <c r="Y3219" s="24" t="n"/>
    </row>
    <row r="3220" ht="14.25" customHeight="1" s="40">
      <c r="A3220" s="24" t="n"/>
      <c r="B3220" s="27" t="n"/>
      <c r="C3220" s="24" t="n"/>
      <c r="D3220" s="28" t="n"/>
      <c r="E3220" s="29" t="n"/>
      <c r="F3220" s="24" t="n"/>
      <c r="G3220" s="24" t="n"/>
      <c r="H3220" s="21">
        <f>IF(ISNUMBER($B3220),INT($B3220)-WEEKDAY($B3220,2)+1,"")</f>
        <v/>
      </c>
      <c r="I3220" s="24" t="n"/>
      <c r="J3220" s="22">
        <f t="array" ref="J3220">IF($D3220="","",IF($I3220="","(trống REF)",IFERROR(INDEX(MASTER_SOURCE!$B$2:$B$495,MATCH($I3220,MASTER_SOURCE!$A$2:$A$495,0)),"(REF không có trong MASTER_SOURCE)")))</f>
        <v/>
      </c>
      <c r="K3220" s="22">
        <f t="array" ref="K3220">IF($D3220="","",IFERROR(INDEX(MASTER_SOURCE!$C$2:$C$495,MATCH($I3220,MASTER_SOURCE!$A$2:$A$495,0)),""))</f>
        <v/>
      </c>
      <c r="L3220" s="22">
        <f t="array" ref="L3220">IF($D3220="","",IFERROR(INDEX(MASTER_SOURCE!$D$2:$D$495,MATCH($I3220,MASTER_SOURCE!$A$2:$A$495,0)),""))</f>
        <v/>
      </c>
      <c r="M3220" s="24" t="n"/>
      <c r="N3220" s="24" t="n"/>
      <c r="O3220" s="24" t="n"/>
      <c r="P3220" s="24" t="n"/>
      <c r="Q3220" s="22">
        <f>IF($D3220="","",IF(AND(OR(DANH_MUC!$L$5&lt;&gt;"Có",M3220="Có"),OR(DANH_MUC!$L$6&lt;&gt;"Có",N3220="Có"),OR(DANH_MUC!$L$7&lt;&gt;"Có",O3220="Có"),OR(DANH_MUC!$L$8&lt;&gt;"Có",P3220="Có")),"Có","Không"))</f>
        <v/>
      </c>
      <c r="R3220" s="22">
        <f>IF($D3220="","",IF(COUNTIF($D$2:$D3220,$D3220)&gt;1,"Trùng",""))</f>
        <v/>
      </c>
      <c r="S3220" s="22">
        <f>IF($D3220="","",IF(AND(LEN($D3220)=10,LEFT($D3220,1)="0",ISNUMBER(--$D3220)),"Có","Không"))</f>
        <v/>
      </c>
      <c r="T3220" s="22">
        <f>IF($D3220="","",IF(AND($C3220&lt;&gt;"",$Q3220="Có",$R3220="",$S3220="Có",AND($L3220&lt;&gt;"",OR($L3220&lt;&gt;"Chưa xác định",DANH_MUC!$L$9="Có"))),"Có","Không"))</f>
        <v/>
      </c>
      <c r="U3220" s="22">
        <f>IF(OR($D3220="",$T3220="Có"),"",IF($C3220="","Thiếu họ tên; ","")&amp;IF($S3220&lt;&gt;"Có","SĐT sai định dạng; ","")&amp;IF($R3220="Trùng","Trùng SĐT; ","")&amp;IF($Q3220&lt;&gt;"Có","Thiếu đồng ý bắt buộc; ","")&amp;IF($L3220="","Thiếu/sai Mã REF; ",IF(AND($L3220="Chưa xác định",DANH_MUC!$L$9&lt;&gt;"Có"),"Nguồn chưa xác định; ","")))</f>
        <v/>
      </c>
      <c r="V3220" s="22">
        <f>IF(OR($D3220="",$R3220="Trùng"),"",IF(COUNTIF(ORDERS!$C$2:$C$4995,$D3220)&gt;0,"Có","Không"))</f>
        <v/>
      </c>
      <c r="W3220" s="22">
        <f>IF(OR($D3220="",$R3220="Trùng"),"",COUNTIFS(ORDERS!$C$2:$C$4995,$D3220,ORDERS!$L$2:$L$4995,"Đã chuyển khoản"))</f>
        <v/>
      </c>
      <c r="X3220" s="23">
        <f>IF(OR($D3220="",$R3220="Trùng"),"",SUMIFS(ORDERS!$J$2:$J$4995,ORDERS!$C$2:$C$4995,$D3220,ORDERS!$L$2:$L$4995,"Đã chuyển khoản"))</f>
        <v/>
      </c>
      <c r="Y3220" s="24" t="n"/>
    </row>
    <row r="3221" ht="14.25" customHeight="1" s="40">
      <c r="A3221" s="24" t="n"/>
      <c r="B3221" s="27" t="n"/>
      <c r="C3221" s="24" t="n"/>
      <c r="D3221" s="28" t="n"/>
      <c r="E3221" s="29" t="n"/>
      <c r="F3221" s="24" t="n"/>
      <c r="G3221" s="24" t="n"/>
      <c r="H3221" s="21">
        <f>IF(ISNUMBER($B3221),INT($B3221)-WEEKDAY($B3221,2)+1,"")</f>
        <v/>
      </c>
      <c r="I3221" s="24" t="n"/>
      <c r="J3221" s="22">
        <f t="array" ref="J3221">IF($D3221="","",IF($I3221="","(trống REF)",IFERROR(INDEX(MASTER_SOURCE!$B$2:$B$495,MATCH($I3221,MASTER_SOURCE!$A$2:$A$495,0)),"(REF không có trong MASTER_SOURCE)")))</f>
        <v/>
      </c>
      <c r="K3221" s="22">
        <f t="array" ref="K3221">IF($D3221="","",IFERROR(INDEX(MASTER_SOURCE!$C$2:$C$495,MATCH($I3221,MASTER_SOURCE!$A$2:$A$495,0)),""))</f>
        <v/>
      </c>
      <c r="L3221" s="22">
        <f t="array" ref="L3221">IF($D3221="","",IFERROR(INDEX(MASTER_SOURCE!$D$2:$D$495,MATCH($I3221,MASTER_SOURCE!$A$2:$A$495,0)),""))</f>
        <v/>
      </c>
      <c r="M3221" s="24" t="n"/>
      <c r="N3221" s="24" t="n"/>
      <c r="O3221" s="24" t="n"/>
      <c r="P3221" s="24" t="n"/>
      <c r="Q3221" s="22">
        <f>IF($D3221="","",IF(AND(OR(DANH_MUC!$L$5&lt;&gt;"Có",M3221="Có"),OR(DANH_MUC!$L$6&lt;&gt;"Có",N3221="Có"),OR(DANH_MUC!$L$7&lt;&gt;"Có",O3221="Có"),OR(DANH_MUC!$L$8&lt;&gt;"Có",P3221="Có")),"Có","Không"))</f>
        <v/>
      </c>
      <c r="R3221" s="22">
        <f>IF($D3221="","",IF(COUNTIF($D$2:$D3221,$D3221)&gt;1,"Trùng",""))</f>
        <v/>
      </c>
      <c r="S3221" s="22">
        <f>IF($D3221="","",IF(AND(LEN($D3221)=10,LEFT($D3221,1)="0",ISNUMBER(--$D3221)),"Có","Không"))</f>
        <v/>
      </c>
      <c r="T3221" s="22">
        <f>IF($D3221="","",IF(AND($C3221&lt;&gt;"",$Q3221="Có",$R3221="",$S3221="Có",AND($L3221&lt;&gt;"",OR($L3221&lt;&gt;"Chưa xác định",DANH_MUC!$L$9="Có"))),"Có","Không"))</f>
        <v/>
      </c>
      <c r="U3221" s="22">
        <f>IF(OR($D3221="",$T3221="Có"),"",IF($C3221="","Thiếu họ tên; ","")&amp;IF($S3221&lt;&gt;"Có","SĐT sai định dạng; ","")&amp;IF($R3221="Trùng","Trùng SĐT; ","")&amp;IF($Q3221&lt;&gt;"Có","Thiếu đồng ý bắt buộc; ","")&amp;IF($L3221="","Thiếu/sai Mã REF; ",IF(AND($L3221="Chưa xác định",DANH_MUC!$L$9&lt;&gt;"Có"),"Nguồn chưa xác định; ","")))</f>
        <v/>
      </c>
      <c r="V3221" s="22">
        <f>IF(OR($D3221="",$R3221="Trùng"),"",IF(COUNTIF(ORDERS!$C$2:$C$4995,$D3221)&gt;0,"Có","Không"))</f>
        <v/>
      </c>
      <c r="W3221" s="22">
        <f>IF(OR($D3221="",$R3221="Trùng"),"",COUNTIFS(ORDERS!$C$2:$C$4995,$D3221,ORDERS!$L$2:$L$4995,"Đã chuyển khoản"))</f>
        <v/>
      </c>
      <c r="X3221" s="23">
        <f>IF(OR($D3221="",$R3221="Trùng"),"",SUMIFS(ORDERS!$J$2:$J$4995,ORDERS!$C$2:$C$4995,$D3221,ORDERS!$L$2:$L$4995,"Đã chuyển khoản"))</f>
        <v/>
      </c>
      <c r="Y3221" s="24" t="n"/>
    </row>
    <row r="3222" ht="14.25" customHeight="1" s="40">
      <c r="A3222" s="24" t="n"/>
      <c r="B3222" s="27" t="n"/>
      <c r="C3222" s="24" t="n"/>
      <c r="D3222" s="28" t="n"/>
      <c r="E3222" s="29" t="n"/>
      <c r="F3222" s="24" t="n"/>
      <c r="G3222" s="24" t="n"/>
      <c r="H3222" s="21">
        <f>IF(ISNUMBER($B3222),INT($B3222)-WEEKDAY($B3222,2)+1,"")</f>
        <v/>
      </c>
      <c r="I3222" s="24" t="n"/>
      <c r="J3222" s="22">
        <f t="array" ref="J3222">IF($D3222="","",IF($I3222="","(trống REF)",IFERROR(INDEX(MASTER_SOURCE!$B$2:$B$495,MATCH($I3222,MASTER_SOURCE!$A$2:$A$495,0)),"(REF không có trong MASTER_SOURCE)")))</f>
        <v/>
      </c>
      <c r="K3222" s="22">
        <f t="array" ref="K3222">IF($D3222="","",IFERROR(INDEX(MASTER_SOURCE!$C$2:$C$495,MATCH($I3222,MASTER_SOURCE!$A$2:$A$495,0)),""))</f>
        <v/>
      </c>
      <c r="L3222" s="22">
        <f t="array" ref="L3222">IF($D3222="","",IFERROR(INDEX(MASTER_SOURCE!$D$2:$D$495,MATCH($I3222,MASTER_SOURCE!$A$2:$A$495,0)),""))</f>
        <v/>
      </c>
      <c r="M3222" s="24" t="n"/>
      <c r="N3222" s="24" t="n"/>
      <c r="O3222" s="24" t="n"/>
      <c r="P3222" s="24" t="n"/>
      <c r="Q3222" s="22">
        <f>IF($D3222="","",IF(AND(OR(DANH_MUC!$L$5&lt;&gt;"Có",M3222="Có"),OR(DANH_MUC!$L$6&lt;&gt;"Có",N3222="Có"),OR(DANH_MUC!$L$7&lt;&gt;"Có",O3222="Có"),OR(DANH_MUC!$L$8&lt;&gt;"Có",P3222="Có")),"Có","Không"))</f>
        <v/>
      </c>
      <c r="R3222" s="22">
        <f>IF($D3222="","",IF(COUNTIF($D$2:$D3222,$D3222)&gt;1,"Trùng",""))</f>
        <v/>
      </c>
      <c r="S3222" s="22">
        <f>IF($D3222="","",IF(AND(LEN($D3222)=10,LEFT($D3222,1)="0",ISNUMBER(--$D3222)),"Có","Không"))</f>
        <v/>
      </c>
      <c r="T3222" s="22">
        <f>IF($D3222="","",IF(AND($C3222&lt;&gt;"",$Q3222="Có",$R3222="",$S3222="Có",AND($L3222&lt;&gt;"",OR($L3222&lt;&gt;"Chưa xác định",DANH_MUC!$L$9="Có"))),"Có","Không"))</f>
        <v/>
      </c>
      <c r="U3222" s="22">
        <f>IF(OR($D3222="",$T3222="Có"),"",IF($C3222="","Thiếu họ tên; ","")&amp;IF($S3222&lt;&gt;"Có","SĐT sai định dạng; ","")&amp;IF($R3222="Trùng","Trùng SĐT; ","")&amp;IF($Q3222&lt;&gt;"Có","Thiếu đồng ý bắt buộc; ","")&amp;IF($L3222="","Thiếu/sai Mã REF; ",IF(AND($L3222="Chưa xác định",DANH_MUC!$L$9&lt;&gt;"Có"),"Nguồn chưa xác định; ","")))</f>
        <v/>
      </c>
      <c r="V3222" s="22">
        <f>IF(OR($D3222="",$R3222="Trùng"),"",IF(COUNTIF(ORDERS!$C$2:$C$4995,$D3222)&gt;0,"Có","Không"))</f>
        <v/>
      </c>
      <c r="W3222" s="22">
        <f>IF(OR($D3222="",$R3222="Trùng"),"",COUNTIFS(ORDERS!$C$2:$C$4995,$D3222,ORDERS!$L$2:$L$4995,"Đã chuyển khoản"))</f>
        <v/>
      </c>
      <c r="X3222" s="23">
        <f>IF(OR($D3222="",$R3222="Trùng"),"",SUMIFS(ORDERS!$J$2:$J$4995,ORDERS!$C$2:$C$4995,$D3222,ORDERS!$L$2:$L$4995,"Đã chuyển khoản"))</f>
        <v/>
      </c>
      <c r="Y3222" s="24" t="n"/>
    </row>
    <row r="3223" ht="14.25" customHeight="1" s="40">
      <c r="A3223" s="24" t="n"/>
      <c r="B3223" s="27" t="n"/>
      <c r="C3223" s="24" t="n"/>
      <c r="D3223" s="28" t="n"/>
      <c r="E3223" s="29" t="n"/>
      <c r="F3223" s="24" t="n"/>
      <c r="G3223" s="24" t="n"/>
      <c r="H3223" s="21">
        <f>IF(ISNUMBER($B3223),INT($B3223)-WEEKDAY($B3223,2)+1,"")</f>
        <v/>
      </c>
      <c r="I3223" s="24" t="n"/>
      <c r="J3223" s="22">
        <f t="array" ref="J3223">IF($D3223="","",IF($I3223="","(trống REF)",IFERROR(INDEX(MASTER_SOURCE!$B$2:$B$495,MATCH($I3223,MASTER_SOURCE!$A$2:$A$495,0)),"(REF không có trong MASTER_SOURCE)")))</f>
        <v/>
      </c>
      <c r="K3223" s="22">
        <f t="array" ref="K3223">IF($D3223="","",IFERROR(INDEX(MASTER_SOURCE!$C$2:$C$495,MATCH($I3223,MASTER_SOURCE!$A$2:$A$495,0)),""))</f>
        <v/>
      </c>
      <c r="L3223" s="22">
        <f t="array" ref="L3223">IF($D3223="","",IFERROR(INDEX(MASTER_SOURCE!$D$2:$D$495,MATCH($I3223,MASTER_SOURCE!$A$2:$A$495,0)),""))</f>
        <v/>
      </c>
      <c r="M3223" s="24" t="n"/>
      <c r="N3223" s="24" t="n"/>
      <c r="O3223" s="24" t="n"/>
      <c r="P3223" s="24" t="n"/>
      <c r="Q3223" s="22">
        <f>IF($D3223="","",IF(AND(OR(DANH_MUC!$L$5&lt;&gt;"Có",M3223="Có"),OR(DANH_MUC!$L$6&lt;&gt;"Có",N3223="Có"),OR(DANH_MUC!$L$7&lt;&gt;"Có",O3223="Có"),OR(DANH_MUC!$L$8&lt;&gt;"Có",P3223="Có")),"Có","Không"))</f>
        <v/>
      </c>
      <c r="R3223" s="22">
        <f>IF($D3223="","",IF(COUNTIF($D$2:$D3223,$D3223)&gt;1,"Trùng",""))</f>
        <v/>
      </c>
      <c r="S3223" s="22">
        <f>IF($D3223="","",IF(AND(LEN($D3223)=10,LEFT($D3223,1)="0",ISNUMBER(--$D3223)),"Có","Không"))</f>
        <v/>
      </c>
      <c r="T3223" s="22">
        <f>IF($D3223="","",IF(AND($C3223&lt;&gt;"",$Q3223="Có",$R3223="",$S3223="Có",AND($L3223&lt;&gt;"",OR($L3223&lt;&gt;"Chưa xác định",DANH_MUC!$L$9="Có"))),"Có","Không"))</f>
        <v/>
      </c>
      <c r="U3223" s="22">
        <f>IF(OR($D3223="",$T3223="Có"),"",IF($C3223="","Thiếu họ tên; ","")&amp;IF($S3223&lt;&gt;"Có","SĐT sai định dạng; ","")&amp;IF($R3223="Trùng","Trùng SĐT; ","")&amp;IF($Q3223&lt;&gt;"Có","Thiếu đồng ý bắt buộc; ","")&amp;IF($L3223="","Thiếu/sai Mã REF; ",IF(AND($L3223="Chưa xác định",DANH_MUC!$L$9&lt;&gt;"Có"),"Nguồn chưa xác định; ","")))</f>
        <v/>
      </c>
      <c r="V3223" s="22">
        <f>IF(OR($D3223="",$R3223="Trùng"),"",IF(COUNTIF(ORDERS!$C$2:$C$4995,$D3223)&gt;0,"Có","Không"))</f>
        <v/>
      </c>
      <c r="W3223" s="22">
        <f>IF(OR($D3223="",$R3223="Trùng"),"",COUNTIFS(ORDERS!$C$2:$C$4995,$D3223,ORDERS!$L$2:$L$4995,"Đã chuyển khoản"))</f>
        <v/>
      </c>
      <c r="X3223" s="23">
        <f>IF(OR($D3223="",$R3223="Trùng"),"",SUMIFS(ORDERS!$J$2:$J$4995,ORDERS!$C$2:$C$4995,$D3223,ORDERS!$L$2:$L$4995,"Đã chuyển khoản"))</f>
        <v/>
      </c>
      <c r="Y3223" s="24" t="n"/>
    </row>
    <row r="3224" ht="14.25" customHeight="1" s="40">
      <c r="A3224" s="24" t="n"/>
      <c r="B3224" s="27" t="n"/>
      <c r="C3224" s="24" t="n"/>
      <c r="D3224" s="28" t="n"/>
      <c r="E3224" s="29" t="n"/>
      <c r="F3224" s="24" t="n"/>
      <c r="G3224" s="24" t="n"/>
      <c r="H3224" s="21">
        <f>IF(ISNUMBER($B3224),INT($B3224)-WEEKDAY($B3224,2)+1,"")</f>
        <v/>
      </c>
      <c r="I3224" s="24" t="n"/>
      <c r="J3224" s="22">
        <f t="array" ref="J3224">IF($D3224="","",IF($I3224="","(trống REF)",IFERROR(INDEX(MASTER_SOURCE!$B$2:$B$495,MATCH($I3224,MASTER_SOURCE!$A$2:$A$495,0)),"(REF không có trong MASTER_SOURCE)")))</f>
        <v/>
      </c>
      <c r="K3224" s="22">
        <f t="array" ref="K3224">IF($D3224="","",IFERROR(INDEX(MASTER_SOURCE!$C$2:$C$495,MATCH($I3224,MASTER_SOURCE!$A$2:$A$495,0)),""))</f>
        <v/>
      </c>
      <c r="L3224" s="22">
        <f t="array" ref="L3224">IF($D3224="","",IFERROR(INDEX(MASTER_SOURCE!$D$2:$D$495,MATCH($I3224,MASTER_SOURCE!$A$2:$A$495,0)),""))</f>
        <v/>
      </c>
      <c r="M3224" s="24" t="n"/>
      <c r="N3224" s="24" t="n"/>
      <c r="O3224" s="24" t="n"/>
      <c r="P3224" s="24" t="n"/>
      <c r="Q3224" s="22">
        <f>IF($D3224="","",IF(AND(OR(DANH_MUC!$L$5&lt;&gt;"Có",M3224="Có"),OR(DANH_MUC!$L$6&lt;&gt;"Có",N3224="Có"),OR(DANH_MUC!$L$7&lt;&gt;"Có",O3224="Có"),OR(DANH_MUC!$L$8&lt;&gt;"Có",P3224="Có")),"Có","Không"))</f>
        <v/>
      </c>
      <c r="R3224" s="22">
        <f>IF($D3224="","",IF(COUNTIF($D$2:$D3224,$D3224)&gt;1,"Trùng",""))</f>
        <v/>
      </c>
      <c r="S3224" s="22">
        <f>IF($D3224="","",IF(AND(LEN($D3224)=10,LEFT($D3224,1)="0",ISNUMBER(--$D3224)),"Có","Không"))</f>
        <v/>
      </c>
      <c r="T3224" s="22">
        <f>IF($D3224="","",IF(AND($C3224&lt;&gt;"",$Q3224="Có",$R3224="",$S3224="Có",AND($L3224&lt;&gt;"",OR($L3224&lt;&gt;"Chưa xác định",DANH_MUC!$L$9="Có"))),"Có","Không"))</f>
        <v/>
      </c>
      <c r="U3224" s="22">
        <f>IF(OR($D3224="",$T3224="Có"),"",IF($C3224="","Thiếu họ tên; ","")&amp;IF($S3224&lt;&gt;"Có","SĐT sai định dạng; ","")&amp;IF($R3224="Trùng","Trùng SĐT; ","")&amp;IF($Q3224&lt;&gt;"Có","Thiếu đồng ý bắt buộc; ","")&amp;IF($L3224="","Thiếu/sai Mã REF; ",IF(AND($L3224="Chưa xác định",DANH_MUC!$L$9&lt;&gt;"Có"),"Nguồn chưa xác định; ","")))</f>
        <v/>
      </c>
      <c r="V3224" s="22">
        <f>IF(OR($D3224="",$R3224="Trùng"),"",IF(COUNTIF(ORDERS!$C$2:$C$4995,$D3224)&gt;0,"Có","Không"))</f>
        <v/>
      </c>
      <c r="W3224" s="22">
        <f>IF(OR($D3224="",$R3224="Trùng"),"",COUNTIFS(ORDERS!$C$2:$C$4995,$D3224,ORDERS!$L$2:$L$4995,"Đã chuyển khoản"))</f>
        <v/>
      </c>
      <c r="X3224" s="23">
        <f>IF(OR($D3224="",$R3224="Trùng"),"",SUMIFS(ORDERS!$J$2:$J$4995,ORDERS!$C$2:$C$4995,$D3224,ORDERS!$L$2:$L$4995,"Đã chuyển khoản"))</f>
        <v/>
      </c>
      <c r="Y3224" s="24" t="n"/>
    </row>
    <row r="3225" ht="14.25" customHeight="1" s="40">
      <c r="A3225" s="24" t="n"/>
      <c r="B3225" s="27" t="n"/>
      <c r="C3225" s="24" t="n"/>
      <c r="D3225" s="28" t="n"/>
      <c r="E3225" s="29" t="n"/>
      <c r="F3225" s="24" t="n"/>
      <c r="G3225" s="24" t="n"/>
      <c r="H3225" s="21">
        <f>IF(ISNUMBER($B3225),INT($B3225)-WEEKDAY($B3225,2)+1,"")</f>
        <v/>
      </c>
      <c r="I3225" s="24" t="n"/>
      <c r="J3225" s="22">
        <f t="array" ref="J3225">IF($D3225="","",IF($I3225="","(trống REF)",IFERROR(INDEX(MASTER_SOURCE!$B$2:$B$495,MATCH($I3225,MASTER_SOURCE!$A$2:$A$495,0)),"(REF không có trong MASTER_SOURCE)")))</f>
        <v/>
      </c>
      <c r="K3225" s="22">
        <f t="array" ref="K3225">IF($D3225="","",IFERROR(INDEX(MASTER_SOURCE!$C$2:$C$495,MATCH($I3225,MASTER_SOURCE!$A$2:$A$495,0)),""))</f>
        <v/>
      </c>
      <c r="L3225" s="22">
        <f t="array" ref="L3225">IF($D3225="","",IFERROR(INDEX(MASTER_SOURCE!$D$2:$D$495,MATCH($I3225,MASTER_SOURCE!$A$2:$A$495,0)),""))</f>
        <v/>
      </c>
      <c r="M3225" s="24" t="n"/>
      <c r="N3225" s="24" t="n"/>
      <c r="O3225" s="24" t="n"/>
      <c r="P3225" s="24" t="n"/>
      <c r="Q3225" s="22">
        <f>IF($D3225="","",IF(AND(OR(DANH_MUC!$L$5&lt;&gt;"Có",M3225="Có"),OR(DANH_MUC!$L$6&lt;&gt;"Có",N3225="Có"),OR(DANH_MUC!$L$7&lt;&gt;"Có",O3225="Có"),OR(DANH_MUC!$L$8&lt;&gt;"Có",P3225="Có")),"Có","Không"))</f>
        <v/>
      </c>
      <c r="R3225" s="22">
        <f>IF($D3225="","",IF(COUNTIF($D$2:$D3225,$D3225)&gt;1,"Trùng",""))</f>
        <v/>
      </c>
      <c r="S3225" s="22">
        <f>IF($D3225="","",IF(AND(LEN($D3225)=10,LEFT($D3225,1)="0",ISNUMBER(--$D3225)),"Có","Không"))</f>
        <v/>
      </c>
      <c r="T3225" s="22">
        <f>IF($D3225="","",IF(AND($C3225&lt;&gt;"",$Q3225="Có",$R3225="",$S3225="Có",AND($L3225&lt;&gt;"",OR($L3225&lt;&gt;"Chưa xác định",DANH_MUC!$L$9="Có"))),"Có","Không"))</f>
        <v/>
      </c>
      <c r="U3225" s="22">
        <f>IF(OR($D3225="",$T3225="Có"),"",IF($C3225="","Thiếu họ tên; ","")&amp;IF($S3225&lt;&gt;"Có","SĐT sai định dạng; ","")&amp;IF($R3225="Trùng","Trùng SĐT; ","")&amp;IF($Q3225&lt;&gt;"Có","Thiếu đồng ý bắt buộc; ","")&amp;IF($L3225="","Thiếu/sai Mã REF; ",IF(AND($L3225="Chưa xác định",DANH_MUC!$L$9&lt;&gt;"Có"),"Nguồn chưa xác định; ","")))</f>
        <v/>
      </c>
      <c r="V3225" s="22">
        <f>IF(OR($D3225="",$R3225="Trùng"),"",IF(COUNTIF(ORDERS!$C$2:$C$4995,$D3225)&gt;0,"Có","Không"))</f>
        <v/>
      </c>
      <c r="W3225" s="22">
        <f>IF(OR($D3225="",$R3225="Trùng"),"",COUNTIFS(ORDERS!$C$2:$C$4995,$D3225,ORDERS!$L$2:$L$4995,"Đã chuyển khoản"))</f>
        <v/>
      </c>
      <c r="X3225" s="23">
        <f>IF(OR($D3225="",$R3225="Trùng"),"",SUMIFS(ORDERS!$J$2:$J$4995,ORDERS!$C$2:$C$4995,$D3225,ORDERS!$L$2:$L$4995,"Đã chuyển khoản"))</f>
        <v/>
      </c>
      <c r="Y3225" s="24" t="n"/>
    </row>
    <row r="3226" ht="14.25" customHeight="1" s="40">
      <c r="A3226" s="24" t="n"/>
      <c r="B3226" s="27" t="n"/>
      <c r="C3226" s="24" t="n"/>
      <c r="D3226" s="28" t="n"/>
      <c r="E3226" s="29" t="n"/>
      <c r="F3226" s="24" t="n"/>
      <c r="G3226" s="24" t="n"/>
      <c r="H3226" s="21">
        <f>IF(ISNUMBER($B3226),INT($B3226)-WEEKDAY($B3226,2)+1,"")</f>
        <v/>
      </c>
      <c r="I3226" s="24" t="n"/>
      <c r="J3226" s="22">
        <f t="array" ref="J3226">IF($D3226="","",IF($I3226="","(trống REF)",IFERROR(INDEX(MASTER_SOURCE!$B$2:$B$495,MATCH($I3226,MASTER_SOURCE!$A$2:$A$495,0)),"(REF không có trong MASTER_SOURCE)")))</f>
        <v/>
      </c>
      <c r="K3226" s="22">
        <f t="array" ref="K3226">IF($D3226="","",IFERROR(INDEX(MASTER_SOURCE!$C$2:$C$495,MATCH($I3226,MASTER_SOURCE!$A$2:$A$495,0)),""))</f>
        <v/>
      </c>
      <c r="L3226" s="22">
        <f t="array" ref="L3226">IF($D3226="","",IFERROR(INDEX(MASTER_SOURCE!$D$2:$D$495,MATCH($I3226,MASTER_SOURCE!$A$2:$A$495,0)),""))</f>
        <v/>
      </c>
      <c r="M3226" s="24" t="n"/>
      <c r="N3226" s="24" t="n"/>
      <c r="O3226" s="24" t="n"/>
      <c r="P3226" s="24" t="n"/>
      <c r="Q3226" s="22">
        <f>IF($D3226="","",IF(AND(OR(DANH_MUC!$L$5&lt;&gt;"Có",M3226="Có"),OR(DANH_MUC!$L$6&lt;&gt;"Có",N3226="Có"),OR(DANH_MUC!$L$7&lt;&gt;"Có",O3226="Có"),OR(DANH_MUC!$L$8&lt;&gt;"Có",P3226="Có")),"Có","Không"))</f>
        <v/>
      </c>
      <c r="R3226" s="22">
        <f>IF($D3226="","",IF(COUNTIF($D$2:$D3226,$D3226)&gt;1,"Trùng",""))</f>
        <v/>
      </c>
      <c r="S3226" s="22">
        <f>IF($D3226="","",IF(AND(LEN($D3226)=10,LEFT($D3226,1)="0",ISNUMBER(--$D3226)),"Có","Không"))</f>
        <v/>
      </c>
      <c r="T3226" s="22">
        <f>IF($D3226="","",IF(AND($C3226&lt;&gt;"",$Q3226="Có",$R3226="",$S3226="Có",AND($L3226&lt;&gt;"",OR($L3226&lt;&gt;"Chưa xác định",DANH_MUC!$L$9="Có"))),"Có","Không"))</f>
        <v/>
      </c>
      <c r="U3226" s="22">
        <f>IF(OR($D3226="",$T3226="Có"),"",IF($C3226="","Thiếu họ tên; ","")&amp;IF($S3226&lt;&gt;"Có","SĐT sai định dạng; ","")&amp;IF($R3226="Trùng","Trùng SĐT; ","")&amp;IF($Q3226&lt;&gt;"Có","Thiếu đồng ý bắt buộc; ","")&amp;IF($L3226="","Thiếu/sai Mã REF; ",IF(AND($L3226="Chưa xác định",DANH_MUC!$L$9&lt;&gt;"Có"),"Nguồn chưa xác định; ","")))</f>
        <v/>
      </c>
      <c r="V3226" s="22">
        <f>IF(OR($D3226="",$R3226="Trùng"),"",IF(COUNTIF(ORDERS!$C$2:$C$4995,$D3226)&gt;0,"Có","Không"))</f>
        <v/>
      </c>
      <c r="W3226" s="22">
        <f>IF(OR($D3226="",$R3226="Trùng"),"",COUNTIFS(ORDERS!$C$2:$C$4995,$D3226,ORDERS!$L$2:$L$4995,"Đã chuyển khoản"))</f>
        <v/>
      </c>
      <c r="X3226" s="23">
        <f>IF(OR($D3226="",$R3226="Trùng"),"",SUMIFS(ORDERS!$J$2:$J$4995,ORDERS!$C$2:$C$4995,$D3226,ORDERS!$L$2:$L$4995,"Đã chuyển khoản"))</f>
        <v/>
      </c>
      <c r="Y3226" s="24" t="n"/>
    </row>
    <row r="3227" ht="14.25" customHeight="1" s="40">
      <c r="A3227" s="24" t="n"/>
      <c r="B3227" s="27" t="n"/>
      <c r="C3227" s="24" t="n"/>
      <c r="D3227" s="28" t="n"/>
      <c r="E3227" s="29" t="n"/>
      <c r="F3227" s="24" t="n"/>
      <c r="G3227" s="24" t="n"/>
      <c r="H3227" s="21">
        <f>IF(ISNUMBER($B3227),INT($B3227)-WEEKDAY($B3227,2)+1,"")</f>
        <v/>
      </c>
      <c r="I3227" s="24" t="n"/>
      <c r="J3227" s="22">
        <f t="array" ref="J3227">IF($D3227="","",IF($I3227="","(trống REF)",IFERROR(INDEX(MASTER_SOURCE!$B$2:$B$495,MATCH($I3227,MASTER_SOURCE!$A$2:$A$495,0)),"(REF không có trong MASTER_SOURCE)")))</f>
        <v/>
      </c>
      <c r="K3227" s="22">
        <f t="array" ref="K3227">IF($D3227="","",IFERROR(INDEX(MASTER_SOURCE!$C$2:$C$495,MATCH($I3227,MASTER_SOURCE!$A$2:$A$495,0)),""))</f>
        <v/>
      </c>
      <c r="L3227" s="22">
        <f t="array" ref="L3227">IF($D3227="","",IFERROR(INDEX(MASTER_SOURCE!$D$2:$D$495,MATCH($I3227,MASTER_SOURCE!$A$2:$A$495,0)),""))</f>
        <v/>
      </c>
      <c r="M3227" s="24" t="n"/>
      <c r="N3227" s="24" t="n"/>
      <c r="O3227" s="24" t="n"/>
      <c r="P3227" s="24" t="n"/>
      <c r="Q3227" s="22">
        <f>IF($D3227="","",IF(AND(OR(DANH_MUC!$L$5&lt;&gt;"Có",M3227="Có"),OR(DANH_MUC!$L$6&lt;&gt;"Có",N3227="Có"),OR(DANH_MUC!$L$7&lt;&gt;"Có",O3227="Có"),OR(DANH_MUC!$L$8&lt;&gt;"Có",P3227="Có")),"Có","Không"))</f>
        <v/>
      </c>
      <c r="R3227" s="22">
        <f>IF($D3227="","",IF(COUNTIF($D$2:$D3227,$D3227)&gt;1,"Trùng",""))</f>
        <v/>
      </c>
      <c r="S3227" s="22">
        <f>IF($D3227="","",IF(AND(LEN($D3227)=10,LEFT($D3227,1)="0",ISNUMBER(--$D3227)),"Có","Không"))</f>
        <v/>
      </c>
      <c r="T3227" s="22">
        <f>IF($D3227="","",IF(AND($C3227&lt;&gt;"",$Q3227="Có",$R3227="",$S3227="Có",AND($L3227&lt;&gt;"",OR($L3227&lt;&gt;"Chưa xác định",DANH_MUC!$L$9="Có"))),"Có","Không"))</f>
        <v/>
      </c>
      <c r="U3227" s="22">
        <f>IF(OR($D3227="",$T3227="Có"),"",IF($C3227="","Thiếu họ tên; ","")&amp;IF($S3227&lt;&gt;"Có","SĐT sai định dạng; ","")&amp;IF($R3227="Trùng","Trùng SĐT; ","")&amp;IF($Q3227&lt;&gt;"Có","Thiếu đồng ý bắt buộc; ","")&amp;IF($L3227="","Thiếu/sai Mã REF; ",IF(AND($L3227="Chưa xác định",DANH_MUC!$L$9&lt;&gt;"Có"),"Nguồn chưa xác định; ","")))</f>
        <v/>
      </c>
      <c r="V3227" s="22">
        <f>IF(OR($D3227="",$R3227="Trùng"),"",IF(COUNTIF(ORDERS!$C$2:$C$4995,$D3227)&gt;0,"Có","Không"))</f>
        <v/>
      </c>
      <c r="W3227" s="22">
        <f>IF(OR($D3227="",$R3227="Trùng"),"",COUNTIFS(ORDERS!$C$2:$C$4995,$D3227,ORDERS!$L$2:$L$4995,"Đã chuyển khoản"))</f>
        <v/>
      </c>
      <c r="X3227" s="23">
        <f>IF(OR($D3227="",$R3227="Trùng"),"",SUMIFS(ORDERS!$J$2:$J$4995,ORDERS!$C$2:$C$4995,$D3227,ORDERS!$L$2:$L$4995,"Đã chuyển khoản"))</f>
        <v/>
      </c>
      <c r="Y3227" s="24" t="n"/>
    </row>
    <row r="3228" ht="14.25" customHeight="1" s="40">
      <c r="A3228" s="24" t="n"/>
      <c r="B3228" s="27" t="n"/>
      <c r="C3228" s="24" t="n"/>
      <c r="D3228" s="28" t="n"/>
      <c r="E3228" s="29" t="n"/>
      <c r="F3228" s="24" t="n"/>
      <c r="G3228" s="24" t="n"/>
      <c r="H3228" s="21">
        <f>IF(ISNUMBER($B3228),INT($B3228)-WEEKDAY($B3228,2)+1,"")</f>
        <v/>
      </c>
      <c r="I3228" s="24" t="n"/>
      <c r="J3228" s="22">
        <f t="array" ref="J3228">IF($D3228="","",IF($I3228="","(trống REF)",IFERROR(INDEX(MASTER_SOURCE!$B$2:$B$495,MATCH($I3228,MASTER_SOURCE!$A$2:$A$495,0)),"(REF không có trong MASTER_SOURCE)")))</f>
        <v/>
      </c>
      <c r="K3228" s="22">
        <f t="array" ref="K3228">IF($D3228="","",IFERROR(INDEX(MASTER_SOURCE!$C$2:$C$495,MATCH($I3228,MASTER_SOURCE!$A$2:$A$495,0)),""))</f>
        <v/>
      </c>
      <c r="L3228" s="22">
        <f t="array" ref="L3228">IF($D3228="","",IFERROR(INDEX(MASTER_SOURCE!$D$2:$D$495,MATCH($I3228,MASTER_SOURCE!$A$2:$A$495,0)),""))</f>
        <v/>
      </c>
      <c r="M3228" s="24" t="n"/>
      <c r="N3228" s="24" t="n"/>
      <c r="O3228" s="24" t="n"/>
      <c r="P3228" s="24" t="n"/>
      <c r="Q3228" s="22">
        <f>IF($D3228="","",IF(AND(OR(DANH_MUC!$L$5&lt;&gt;"Có",M3228="Có"),OR(DANH_MUC!$L$6&lt;&gt;"Có",N3228="Có"),OR(DANH_MUC!$L$7&lt;&gt;"Có",O3228="Có"),OR(DANH_MUC!$L$8&lt;&gt;"Có",P3228="Có")),"Có","Không"))</f>
        <v/>
      </c>
      <c r="R3228" s="22">
        <f>IF($D3228="","",IF(COUNTIF($D$2:$D3228,$D3228)&gt;1,"Trùng",""))</f>
        <v/>
      </c>
      <c r="S3228" s="22">
        <f>IF($D3228="","",IF(AND(LEN($D3228)=10,LEFT($D3228,1)="0",ISNUMBER(--$D3228)),"Có","Không"))</f>
        <v/>
      </c>
      <c r="T3228" s="22">
        <f>IF($D3228="","",IF(AND($C3228&lt;&gt;"",$Q3228="Có",$R3228="",$S3228="Có",AND($L3228&lt;&gt;"",OR($L3228&lt;&gt;"Chưa xác định",DANH_MUC!$L$9="Có"))),"Có","Không"))</f>
        <v/>
      </c>
      <c r="U3228" s="22">
        <f>IF(OR($D3228="",$T3228="Có"),"",IF($C3228="","Thiếu họ tên; ","")&amp;IF($S3228&lt;&gt;"Có","SĐT sai định dạng; ","")&amp;IF($R3228="Trùng","Trùng SĐT; ","")&amp;IF($Q3228&lt;&gt;"Có","Thiếu đồng ý bắt buộc; ","")&amp;IF($L3228="","Thiếu/sai Mã REF; ",IF(AND($L3228="Chưa xác định",DANH_MUC!$L$9&lt;&gt;"Có"),"Nguồn chưa xác định; ","")))</f>
        <v/>
      </c>
      <c r="V3228" s="22">
        <f>IF(OR($D3228="",$R3228="Trùng"),"",IF(COUNTIF(ORDERS!$C$2:$C$4995,$D3228)&gt;0,"Có","Không"))</f>
        <v/>
      </c>
      <c r="W3228" s="22">
        <f>IF(OR($D3228="",$R3228="Trùng"),"",COUNTIFS(ORDERS!$C$2:$C$4995,$D3228,ORDERS!$L$2:$L$4995,"Đã chuyển khoản"))</f>
        <v/>
      </c>
      <c r="X3228" s="23">
        <f>IF(OR($D3228="",$R3228="Trùng"),"",SUMIFS(ORDERS!$J$2:$J$4995,ORDERS!$C$2:$C$4995,$D3228,ORDERS!$L$2:$L$4995,"Đã chuyển khoản"))</f>
        <v/>
      </c>
      <c r="Y3228" s="24" t="n"/>
    </row>
    <row r="3229" ht="14.25" customHeight="1" s="40">
      <c r="A3229" s="24" t="n"/>
      <c r="B3229" s="27" t="n"/>
      <c r="C3229" s="24" t="n"/>
      <c r="D3229" s="28" t="n"/>
      <c r="E3229" s="29" t="n"/>
      <c r="F3229" s="24" t="n"/>
      <c r="G3229" s="24" t="n"/>
      <c r="H3229" s="21">
        <f>IF(ISNUMBER($B3229),INT($B3229)-WEEKDAY($B3229,2)+1,"")</f>
        <v/>
      </c>
      <c r="I3229" s="24" t="n"/>
      <c r="J3229" s="22">
        <f t="array" ref="J3229">IF($D3229="","",IF($I3229="","(trống REF)",IFERROR(INDEX(MASTER_SOURCE!$B$2:$B$495,MATCH($I3229,MASTER_SOURCE!$A$2:$A$495,0)),"(REF không có trong MASTER_SOURCE)")))</f>
        <v/>
      </c>
      <c r="K3229" s="22">
        <f t="array" ref="K3229">IF($D3229="","",IFERROR(INDEX(MASTER_SOURCE!$C$2:$C$495,MATCH($I3229,MASTER_SOURCE!$A$2:$A$495,0)),""))</f>
        <v/>
      </c>
      <c r="L3229" s="22">
        <f t="array" ref="L3229">IF($D3229="","",IFERROR(INDEX(MASTER_SOURCE!$D$2:$D$495,MATCH($I3229,MASTER_SOURCE!$A$2:$A$495,0)),""))</f>
        <v/>
      </c>
      <c r="M3229" s="24" t="n"/>
      <c r="N3229" s="24" t="n"/>
      <c r="O3229" s="24" t="n"/>
      <c r="P3229" s="24" t="n"/>
      <c r="Q3229" s="22">
        <f>IF($D3229="","",IF(AND(OR(DANH_MUC!$L$5&lt;&gt;"Có",M3229="Có"),OR(DANH_MUC!$L$6&lt;&gt;"Có",N3229="Có"),OR(DANH_MUC!$L$7&lt;&gt;"Có",O3229="Có"),OR(DANH_MUC!$L$8&lt;&gt;"Có",P3229="Có")),"Có","Không"))</f>
        <v/>
      </c>
      <c r="R3229" s="22">
        <f>IF($D3229="","",IF(COUNTIF($D$2:$D3229,$D3229)&gt;1,"Trùng",""))</f>
        <v/>
      </c>
      <c r="S3229" s="22">
        <f>IF($D3229="","",IF(AND(LEN($D3229)=10,LEFT($D3229,1)="0",ISNUMBER(--$D3229)),"Có","Không"))</f>
        <v/>
      </c>
      <c r="T3229" s="22">
        <f>IF($D3229="","",IF(AND($C3229&lt;&gt;"",$Q3229="Có",$R3229="",$S3229="Có",AND($L3229&lt;&gt;"",OR($L3229&lt;&gt;"Chưa xác định",DANH_MUC!$L$9="Có"))),"Có","Không"))</f>
        <v/>
      </c>
      <c r="U3229" s="22">
        <f>IF(OR($D3229="",$T3229="Có"),"",IF($C3229="","Thiếu họ tên; ","")&amp;IF($S3229&lt;&gt;"Có","SĐT sai định dạng; ","")&amp;IF($R3229="Trùng","Trùng SĐT; ","")&amp;IF($Q3229&lt;&gt;"Có","Thiếu đồng ý bắt buộc; ","")&amp;IF($L3229="","Thiếu/sai Mã REF; ",IF(AND($L3229="Chưa xác định",DANH_MUC!$L$9&lt;&gt;"Có"),"Nguồn chưa xác định; ","")))</f>
        <v/>
      </c>
      <c r="V3229" s="22">
        <f>IF(OR($D3229="",$R3229="Trùng"),"",IF(COUNTIF(ORDERS!$C$2:$C$4995,$D3229)&gt;0,"Có","Không"))</f>
        <v/>
      </c>
      <c r="W3229" s="22">
        <f>IF(OR($D3229="",$R3229="Trùng"),"",COUNTIFS(ORDERS!$C$2:$C$4995,$D3229,ORDERS!$L$2:$L$4995,"Đã chuyển khoản"))</f>
        <v/>
      </c>
      <c r="X3229" s="23">
        <f>IF(OR($D3229="",$R3229="Trùng"),"",SUMIFS(ORDERS!$J$2:$J$4995,ORDERS!$C$2:$C$4995,$D3229,ORDERS!$L$2:$L$4995,"Đã chuyển khoản"))</f>
        <v/>
      </c>
      <c r="Y3229" s="24" t="n"/>
    </row>
    <row r="3230" ht="14.25" customHeight="1" s="40">
      <c r="A3230" s="24" t="n"/>
      <c r="B3230" s="27" t="n"/>
      <c r="C3230" s="24" t="n"/>
      <c r="D3230" s="28" t="n"/>
      <c r="E3230" s="29" t="n"/>
      <c r="F3230" s="24" t="n"/>
      <c r="G3230" s="24" t="n"/>
      <c r="H3230" s="21">
        <f>IF(ISNUMBER($B3230),INT($B3230)-WEEKDAY($B3230,2)+1,"")</f>
        <v/>
      </c>
      <c r="I3230" s="24" t="n"/>
      <c r="J3230" s="22">
        <f t="array" ref="J3230">IF($D3230="","",IF($I3230="","(trống REF)",IFERROR(INDEX(MASTER_SOURCE!$B$2:$B$495,MATCH($I3230,MASTER_SOURCE!$A$2:$A$495,0)),"(REF không có trong MASTER_SOURCE)")))</f>
        <v/>
      </c>
      <c r="K3230" s="22">
        <f t="array" ref="K3230">IF($D3230="","",IFERROR(INDEX(MASTER_SOURCE!$C$2:$C$495,MATCH($I3230,MASTER_SOURCE!$A$2:$A$495,0)),""))</f>
        <v/>
      </c>
      <c r="L3230" s="22">
        <f t="array" ref="L3230">IF($D3230="","",IFERROR(INDEX(MASTER_SOURCE!$D$2:$D$495,MATCH($I3230,MASTER_SOURCE!$A$2:$A$495,0)),""))</f>
        <v/>
      </c>
      <c r="M3230" s="24" t="n"/>
      <c r="N3230" s="24" t="n"/>
      <c r="O3230" s="24" t="n"/>
      <c r="P3230" s="24" t="n"/>
      <c r="Q3230" s="22">
        <f>IF($D3230="","",IF(AND(OR(DANH_MUC!$L$5&lt;&gt;"Có",M3230="Có"),OR(DANH_MUC!$L$6&lt;&gt;"Có",N3230="Có"),OR(DANH_MUC!$L$7&lt;&gt;"Có",O3230="Có"),OR(DANH_MUC!$L$8&lt;&gt;"Có",P3230="Có")),"Có","Không"))</f>
        <v/>
      </c>
      <c r="R3230" s="22">
        <f>IF($D3230="","",IF(COUNTIF($D$2:$D3230,$D3230)&gt;1,"Trùng",""))</f>
        <v/>
      </c>
      <c r="S3230" s="22">
        <f>IF($D3230="","",IF(AND(LEN($D3230)=10,LEFT($D3230,1)="0",ISNUMBER(--$D3230)),"Có","Không"))</f>
        <v/>
      </c>
      <c r="T3230" s="22">
        <f>IF($D3230="","",IF(AND($C3230&lt;&gt;"",$Q3230="Có",$R3230="",$S3230="Có",AND($L3230&lt;&gt;"",OR($L3230&lt;&gt;"Chưa xác định",DANH_MUC!$L$9="Có"))),"Có","Không"))</f>
        <v/>
      </c>
      <c r="U3230" s="22">
        <f>IF(OR($D3230="",$T3230="Có"),"",IF($C3230="","Thiếu họ tên; ","")&amp;IF($S3230&lt;&gt;"Có","SĐT sai định dạng; ","")&amp;IF($R3230="Trùng","Trùng SĐT; ","")&amp;IF($Q3230&lt;&gt;"Có","Thiếu đồng ý bắt buộc; ","")&amp;IF($L3230="","Thiếu/sai Mã REF; ",IF(AND($L3230="Chưa xác định",DANH_MUC!$L$9&lt;&gt;"Có"),"Nguồn chưa xác định; ","")))</f>
        <v/>
      </c>
      <c r="V3230" s="22">
        <f>IF(OR($D3230="",$R3230="Trùng"),"",IF(COUNTIF(ORDERS!$C$2:$C$4995,$D3230)&gt;0,"Có","Không"))</f>
        <v/>
      </c>
      <c r="W3230" s="22">
        <f>IF(OR($D3230="",$R3230="Trùng"),"",COUNTIFS(ORDERS!$C$2:$C$4995,$D3230,ORDERS!$L$2:$L$4995,"Đã chuyển khoản"))</f>
        <v/>
      </c>
      <c r="X3230" s="23">
        <f>IF(OR($D3230="",$R3230="Trùng"),"",SUMIFS(ORDERS!$J$2:$J$4995,ORDERS!$C$2:$C$4995,$D3230,ORDERS!$L$2:$L$4995,"Đã chuyển khoản"))</f>
        <v/>
      </c>
      <c r="Y3230" s="24" t="n"/>
    </row>
    <row r="3231" ht="14.25" customHeight="1" s="40">
      <c r="A3231" s="24" t="n"/>
      <c r="B3231" s="27" t="n"/>
      <c r="C3231" s="24" t="n"/>
      <c r="D3231" s="28" t="n"/>
      <c r="E3231" s="29" t="n"/>
      <c r="F3231" s="24" t="n"/>
      <c r="G3231" s="24" t="n"/>
      <c r="H3231" s="21">
        <f>IF(ISNUMBER($B3231),INT($B3231)-WEEKDAY($B3231,2)+1,"")</f>
        <v/>
      </c>
      <c r="I3231" s="24" t="n"/>
      <c r="J3231" s="22">
        <f t="array" ref="J3231">IF($D3231="","",IF($I3231="","(trống REF)",IFERROR(INDEX(MASTER_SOURCE!$B$2:$B$495,MATCH($I3231,MASTER_SOURCE!$A$2:$A$495,0)),"(REF không có trong MASTER_SOURCE)")))</f>
        <v/>
      </c>
      <c r="K3231" s="22">
        <f t="array" ref="K3231">IF($D3231="","",IFERROR(INDEX(MASTER_SOURCE!$C$2:$C$495,MATCH($I3231,MASTER_SOURCE!$A$2:$A$495,0)),""))</f>
        <v/>
      </c>
      <c r="L3231" s="22">
        <f t="array" ref="L3231">IF($D3231="","",IFERROR(INDEX(MASTER_SOURCE!$D$2:$D$495,MATCH($I3231,MASTER_SOURCE!$A$2:$A$495,0)),""))</f>
        <v/>
      </c>
      <c r="M3231" s="24" t="n"/>
      <c r="N3231" s="24" t="n"/>
      <c r="O3231" s="24" t="n"/>
      <c r="P3231" s="24" t="n"/>
      <c r="Q3231" s="22">
        <f>IF($D3231="","",IF(AND(OR(DANH_MUC!$L$5&lt;&gt;"Có",M3231="Có"),OR(DANH_MUC!$L$6&lt;&gt;"Có",N3231="Có"),OR(DANH_MUC!$L$7&lt;&gt;"Có",O3231="Có"),OR(DANH_MUC!$L$8&lt;&gt;"Có",P3231="Có")),"Có","Không"))</f>
        <v/>
      </c>
      <c r="R3231" s="22">
        <f>IF($D3231="","",IF(COUNTIF($D$2:$D3231,$D3231)&gt;1,"Trùng",""))</f>
        <v/>
      </c>
      <c r="S3231" s="22">
        <f>IF($D3231="","",IF(AND(LEN($D3231)=10,LEFT($D3231,1)="0",ISNUMBER(--$D3231)),"Có","Không"))</f>
        <v/>
      </c>
      <c r="T3231" s="22">
        <f>IF($D3231="","",IF(AND($C3231&lt;&gt;"",$Q3231="Có",$R3231="",$S3231="Có",AND($L3231&lt;&gt;"",OR($L3231&lt;&gt;"Chưa xác định",DANH_MUC!$L$9="Có"))),"Có","Không"))</f>
        <v/>
      </c>
      <c r="U3231" s="22">
        <f>IF(OR($D3231="",$T3231="Có"),"",IF($C3231="","Thiếu họ tên; ","")&amp;IF($S3231&lt;&gt;"Có","SĐT sai định dạng; ","")&amp;IF($R3231="Trùng","Trùng SĐT; ","")&amp;IF($Q3231&lt;&gt;"Có","Thiếu đồng ý bắt buộc; ","")&amp;IF($L3231="","Thiếu/sai Mã REF; ",IF(AND($L3231="Chưa xác định",DANH_MUC!$L$9&lt;&gt;"Có"),"Nguồn chưa xác định; ","")))</f>
        <v/>
      </c>
      <c r="V3231" s="22">
        <f>IF(OR($D3231="",$R3231="Trùng"),"",IF(COUNTIF(ORDERS!$C$2:$C$4995,$D3231)&gt;0,"Có","Không"))</f>
        <v/>
      </c>
      <c r="W3231" s="22">
        <f>IF(OR($D3231="",$R3231="Trùng"),"",COUNTIFS(ORDERS!$C$2:$C$4995,$D3231,ORDERS!$L$2:$L$4995,"Đã chuyển khoản"))</f>
        <v/>
      </c>
      <c r="X3231" s="23">
        <f>IF(OR($D3231="",$R3231="Trùng"),"",SUMIFS(ORDERS!$J$2:$J$4995,ORDERS!$C$2:$C$4995,$D3231,ORDERS!$L$2:$L$4995,"Đã chuyển khoản"))</f>
        <v/>
      </c>
      <c r="Y3231" s="24" t="n"/>
    </row>
    <row r="3232" ht="14.25" customHeight="1" s="40">
      <c r="A3232" s="24" t="n"/>
      <c r="B3232" s="27" t="n"/>
      <c r="C3232" s="24" t="n"/>
      <c r="D3232" s="28" t="n"/>
      <c r="E3232" s="29" t="n"/>
      <c r="F3232" s="24" t="n"/>
      <c r="G3232" s="24" t="n"/>
      <c r="H3232" s="21">
        <f>IF(ISNUMBER($B3232),INT($B3232)-WEEKDAY($B3232,2)+1,"")</f>
        <v/>
      </c>
      <c r="I3232" s="24" t="n"/>
      <c r="J3232" s="22">
        <f t="array" ref="J3232">IF($D3232="","",IF($I3232="","(trống REF)",IFERROR(INDEX(MASTER_SOURCE!$B$2:$B$495,MATCH($I3232,MASTER_SOURCE!$A$2:$A$495,0)),"(REF không có trong MASTER_SOURCE)")))</f>
        <v/>
      </c>
      <c r="K3232" s="22">
        <f t="array" ref="K3232">IF($D3232="","",IFERROR(INDEX(MASTER_SOURCE!$C$2:$C$495,MATCH($I3232,MASTER_SOURCE!$A$2:$A$495,0)),""))</f>
        <v/>
      </c>
      <c r="L3232" s="22">
        <f t="array" ref="L3232">IF($D3232="","",IFERROR(INDEX(MASTER_SOURCE!$D$2:$D$495,MATCH($I3232,MASTER_SOURCE!$A$2:$A$495,0)),""))</f>
        <v/>
      </c>
      <c r="M3232" s="24" t="n"/>
      <c r="N3232" s="24" t="n"/>
      <c r="O3232" s="24" t="n"/>
      <c r="P3232" s="24" t="n"/>
      <c r="Q3232" s="22">
        <f>IF($D3232="","",IF(AND(OR(DANH_MUC!$L$5&lt;&gt;"Có",M3232="Có"),OR(DANH_MUC!$L$6&lt;&gt;"Có",N3232="Có"),OR(DANH_MUC!$L$7&lt;&gt;"Có",O3232="Có"),OR(DANH_MUC!$L$8&lt;&gt;"Có",P3232="Có")),"Có","Không"))</f>
        <v/>
      </c>
      <c r="R3232" s="22">
        <f>IF($D3232="","",IF(COUNTIF($D$2:$D3232,$D3232)&gt;1,"Trùng",""))</f>
        <v/>
      </c>
      <c r="S3232" s="22">
        <f>IF($D3232="","",IF(AND(LEN($D3232)=10,LEFT($D3232,1)="0",ISNUMBER(--$D3232)),"Có","Không"))</f>
        <v/>
      </c>
      <c r="T3232" s="22">
        <f>IF($D3232="","",IF(AND($C3232&lt;&gt;"",$Q3232="Có",$R3232="",$S3232="Có",AND($L3232&lt;&gt;"",OR($L3232&lt;&gt;"Chưa xác định",DANH_MUC!$L$9="Có"))),"Có","Không"))</f>
        <v/>
      </c>
      <c r="U3232" s="22">
        <f>IF(OR($D3232="",$T3232="Có"),"",IF($C3232="","Thiếu họ tên; ","")&amp;IF($S3232&lt;&gt;"Có","SĐT sai định dạng; ","")&amp;IF($R3232="Trùng","Trùng SĐT; ","")&amp;IF($Q3232&lt;&gt;"Có","Thiếu đồng ý bắt buộc; ","")&amp;IF($L3232="","Thiếu/sai Mã REF; ",IF(AND($L3232="Chưa xác định",DANH_MUC!$L$9&lt;&gt;"Có"),"Nguồn chưa xác định; ","")))</f>
        <v/>
      </c>
      <c r="V3232" s="22">
        <f>IF(OR($D3232="",$R3232="Trùng"),"",IF(COUNTIF(ORDERS!$C$2:$C$4995,$D3232)&gt;0,"Có","Không"))</f>
        <v/>
      </c>
      <c r="W3232" s="22">
        <f>IF(OR($D3232="",$R3232="Trùng"),"",COUNTIFS(ORDERS!$C$2:$C$4995,$D3232,ORDERS!$L$2:$L$4995,"Đã chuyển khoản"))</f>
        <v/>
      </c>
      <c r="X3232" s="23">
        <f>IF(OR($D3232="",$R3232="Trùng"),"",SUMIFS(ORDERS!$J$2:$J$4995,ORDERS!$C$2:$C$4995,$D3232,ORDERS!$L$2:$L$4995,"Đã chuyển khoản"))</f>
        <v/>
      </c>
      <c r="Y3232" s="24" t="n"/>
    </row>
    <row r="3233" ht="14.25" customHeight="1" s="40">
      <c r="A3233" s="24" t="n"/>
      <c r="B3233" s="27" t="n"/>
      <c r="C3233" s="24" t="n"/>
      <c r="D3233" s="28" t="n"/>
      <c r="E3233" s="29" t="n"/>
      <c r="F3233" s="24" t="n"/>
      <c r="G3233" s="24" t="n"/>
      <c r="H3233" s="21">
        <f>IF(ISNUMBER($B3233),INT($B3233)-WEEKDAY($B3233,2)+1,"")</f>
        <v/>
      </c>
      <c r="I3233" s="24" t="n"/>
      <c r="J3233" s="22">
        <f t="array" ref="J3233">IF($D3233="","",IF($I3233="","(trống REF)",IFERROR(INDEX(MASTER_SOURCE!$B$2:$B$495,MATCH($I3233,MASTER_SOURCE!$A$2:$A$495,0)),"(REF không có trong MASTER_SOURCE)")))</f>
        <v/>
      </c>
      <c r="K3233" s="22">
        <f t="array" ref="K3233">IF($D3233="","",IFERROR(INDEX(MASTER_SOURCE!$C$2:$C$495,MATCH($I3233,MASTER_SOURCE!$A$2:$A$495,0)),""))</f>
        <v/>
      </c>
      <c r="L3233" s="22">
        <f t="array" ref="L3233">IF($D3233="","",IFERROR(INDEX(MASTER_SOURCE!$D$2:$D$495,MATCH($I3233,MASTER_SOURCE!$A$2:$A$495,0)),""))</f>
        <v/>
      </c>
      <c r="M3233" s="24" t="n"/>
      <c r="N3233" s="24" t="n"/>
      <c r="O3233" s="24" t="n"/>
      <c r="P3233" s="24" t="n"/>
      <c r="Q3233" s="22">
        <f>IF($D3233="","",IF(AND(OR(DANH_MUC!$L$5&lt;&gt;"Có",M3233="Có"),OR(DANH_MUC!$L$6&lt;&gt;"Có",N3233="Có"),OR(DANH_MUC!$L$7&lt;&gt;"Có",O3233="Có"),OR(DANH_MUC!$L$8&lt;&gt;"Có",P3233="Có")),"Có","Không"))</f>
        <v/>
      </c>
      <c r="R3233" s="22">
        <f>IF($D3233="","",IF(COUNTIF($D$2:$D3233,$D3233)&gt;1,"Trùng",""))</f>
        <v/>
      </c>
      <c r="S3233" s="22">
        <f>IF($D3233="","",IF(AND(LEN($D3233)=10,LEFT($D3233,1)="0",ISNUMBER(--$D3233)),"Có","Không"))</f>
        <v/>
      </c>
      <c r="T3233" s="22">
        <f>IF($D3233="","",IF(AND($C3233&lt;&gt;"",$Q3233="Có",$R3233="",$S3233="Có",AND($L3233&lt;&gt;"",OR($L3233&lt;&gt;"Chưa xác định",DANH_MUC!$L$9="Có"))),"Có","Không"))</f>
        <v/>
      </c>
      <c r="U3233" s="22">
        <f>IF(OR($D3233="",$T3233="Có"),"",IF($C3233="","Thiếu họ tên; ","")&amp;IF($S3233&lt;&gt;"Có","SĐT sai định dạng; ","")&amp;IF($R3233="Trùng","Trùng SĐT; ","")&amp;IF($Q3233&lt;&gt;"Có","Thiếu đồng ý bắt buộc; ","")&amp;IF($L3233="","Thiếu/sai Mã REF; ",IF(AND($L3233="Chưa xác định",DANH_MUC!$L$9&lt;&gt;"Có"),"Nguồn chưa xác định; ","")))</f>
        <v/>
      </c>
      <c r="V3233" s="22">
        <f>IF(OR($D3233="",$R3233="Trùng"),"",IF(COUNTIF(ORDERS!$C$2:$C$4995,$D3233)&gt;0,"Có","Không"))</f>
        <v/>
      </c>
      <c r="W3233" s="22">
        <f>IF(OR($D3233="",$R3233="Trùng"),"",COUNTIFS(ORDERS!$C$2:$C$4995,$D3233,ORDERS!$L$2:$L$4995,"Đã chuyển khoản"))</f>
        <v/>
      </c>
      <c r="X3233" s="23">
        <f>IF(OR($D3233="",$R3233="Trùng"),"",SUMIFS(ORDERS!$J$2:$J$4995,ORDERS!$C$2:$C$4995,$D3233,ORDERS!$L$2:$L$4995,"Đã chuyển khoản"))</f>
        <v/>
      </c>
      <c r="Y3233" s="24" t="n"/>
    </row>
    <row r="3234" ht="14.25" customHeight="1" s="40">
      <c r="A3234" s="24" t="n"/>
      <c r="B3234" s="27" t="n"/>
      <c r="C3234" s="24" t="n"/>
      <c r="D3234" s="28" t="n"/>
      <c r="E3234" s="29" t="n"/>
      <c r="F3234" s="24" t="n"/>
      <c r="G3234" s="24" t="n"/>
      <c r="H3234" s="21">
        <f>IF(ISNUMBER($B3234),INT($B3234)-WEEKDAY($B3234,2)+1,"")</f>
        <v/>
      </c>
      <c r="I3234" s="24" t="n"/>
      <c r="J3234" s="22">
        <f t="array" ref="J3234">IF($D3234="","",IF($I3234="","(trống REF)",IFERROR(INDEX(MASTER_SOURCE!$B$2:$B$495,MATCH($I3234,MASTER_SOURCE!$A$2:$A$495,0)),"(REF không có trong MASTER_SOURCE)")))</f>
        <v/>
      </c>
      <c r="K3234" s="22">
        <f t="array" ref="K3234">IF($D3234="","",IFERROR(INDEX(MASTER_SOURCE!$C$2:$C$495,MATCH($I3234,MASTER_SOURCE!$A$2:$A$495,0)),""))</f>
        <v/>
      </c>
      <c r="L3234" s="22">
        <f t="array" ref="L3234">IF($D3234="","",IFERROR(INDEX(MASTER_SOURCE!$D$2:$D$495,MATCH($I3234,MASTER_SOURCE!$A$2:$A$495,0)),""))</f>
        <v/>
      </c>
      <c r="M3234" s="24" t="n"/>
      <c r="N3234" s="24" t="n"/>
      <c r="O3234" s="24" t="n"/>
      <c r="P3234" s="24" t="n"/>
      <c r="Q3234" s="22">
        <f>IF($D3234="","",IF(AND(OR(DANH_MUC!$L$5&lt;&gt;"Có",M3234="Có"),OR(DANH_MUC!$L$6&lt;&gt;"Có",N3234="Có"),OR(DANH_MUC!$L$7&lt;&gt;"Có",O3234="Có"),OR(DANH_MUC!$L$8&lt;&gt;"Có",P3234="Có")),"Có","Không"))</f>
        <v/>
      </c>
      <c r="R3234" s="22">
        <f>IF($D3234="","",IF(COUNTIF($D$2:$D3234,$D3234)&gt;1,"Trùng",""))</f>
        <v/>
      </c>
      <c r="S3234" s="22">
        <f>IF($D3234="","",IF(AND(LEN($D3234)=10,LEFT($D3234,1)="0",ISNUMBER(--$D3234)),"Có","Không"))</f>
        <v/>
      </c>
      <c r="T3234" s="22">
        <f>IF($D3234="","",IF(AND($C3234&lt;&gt;"",$Q3234="Có",$R3234="",$S3234="Có",AND($L3234&lt;&gt;"",OR($L3234&lt;&gt;"Chưa xác định",DANH_MUC!$L$9="Có"))),"Có","Không"))</f>
        <v/>
      </c>
      <c r="U3234" s="22">
        <f>IF(OR($D3234="",$T3234="Có"),"",IF($C3234="","Thiếu họ tên; ","")&amp;IF($S3234&lt;&gt;"Có","SĐT sai định dạng; ","")&amp;IF($R3234="Trùng","Trùng SĐT; ","")&amp;IF($Q3234&lt;&gt;"Có","Thiếu đồng ý bắt buộc; ","")&amp;IF($L3234="","Thiếu/sai Mã REF; ",IF(AND($L3234="Chưa xác định",DANH_MUC!$L$9&lt;&gt;"Có"),"Nguồn chưa xác định; ","")))</f>
        <v/>
      </c>
      <c r="V3234" s="22">
        <f>IF(OR($D3234="",$R3234="Trùng"),"",IF(COUNTIF(ORDERS!$C$2:$C$4995,$D3234)&gt;0,"Có","Không"))</f>
        <v/>
      </c>
      <c r="W3234" s="22">
        <f>IF(OR($D3234="",$R3234="Trùng"),"",COUNTIFS(ORDERS!$C$2:$C$4995,$D3234,ORDERS!$L$2:$L$4995,"Đã chuyển khoản"))</f>
        <v/>
      </c>
      <c r="X3234" s="23">
        <f>IF(OR($D3234="",$R3234="Trùng"),"",SUMIFS(ORDERS!$J$2:$J$4995,ORDERS!$C$2:$C$4995,$D3234,ORDERS!$L$2:$L$4995,"Đã chuyển khoản"))</f>
        <v/>
      </c>
      <c r="Y3234" s="24" t="n"/>
    </row>
    <row r="3235" ht="14.25" customHeight="1" s="40">
      <c r="A3235" s="24" t="n"/>
      <c r="B3235" s="27" t="n"/>
      <c r="C3235" s="24" t="n"/>
      <c r="D3235" s="28" t="n"/>
      <c r="E3235" s="29" t="n"/>
      <c r="F3235" s="24" t="n"/>
      <c r="G3235" s="24" t="n"/>
      <c r="H3235" s="21">
        <f>IF(ISNUMBER($B3235),INT($B3235)-WEEKDAY($B3235,2)+1,"")</f>
        <v/>
      </c>
      <c r="I3235" s="24" t="n"/>
      <c r="J3235" s="22">
        <f t="array" ref="J3235">IF($D3235="","",IF($I3235="","(trống REF)",IFERROR(INDEX(MASTER_SOURCE!$B$2:$B$495,MATCH($I3235,MASTER_SOURCE!$A$2:$A$495,0)),"(REF không có trong MASTER_SOURCE)")))</f>
        <v/>
      </c>
      <c r="K3235" s="22">
        <f t="array" ref="K3235">IF($D3235="","",IFERROR(INDEX(MASTER_SOURCE!$C$2:$C$495,MATCH($I3235,MASTER_SOURCE!$A$2:$A$495,0)),""))</f>
        <v/>
      </c>
      <c r="L3235" s="22">
        <f t="array" ref="L3235">IF($D3235="","",IFERROR(INDEX(MASTER_SOURCE!$D$2:$D$495,MATCH($I3235,MASTER_SOURCE!$A$2:$A$495,0)),""))</f>
        <v/>
      </c>
      <c r="M3235" s="24" t="n"/>
      <c r="N3235" s="24" t="n"/>
      <c r="O3235" s="24" t="n"/>
      <c r="P3235" s="24" t="n"/>
      <c r="Q3235" s="22">
        <f>IF($D3235="","",IF(AND(OR(DANH_MUC!$L$5&lt;&gt;"Có",M3235="Có"),OR(DANH_MUC!$L$6&lt;&gt;"Có",N3235="Có"),OR(DANH_MUC!$L$7&lt;&gt;"Có",O3235="Có"),OR(DANH_MUC!$L$8&lt;&gt;"Có",P3235="Có")),"Có","Không"))</f>
        <v/>
      </c>
      <c r="R3235" s="22">
        <f>IF($D3235="","",IF(COUNTIF($D$2:$D3235,$D3235)&gt;1,"Trùng",""))</f>
        <v/>
      </c>
      <c r="S3235" s="22">
        <f>IF($D3235="","",IF(AND(LEN($D3235)=10,LEFT($D3235,1)="0",ISNUMBER(--$D3235)),"Có","Không"))</f>
        <v/>
      </c>
      <c r="T3235" s="22">
        <f>IF($D3235="","",IF(AND($C3235&lt;&gt;"",$Q3235="Có",$R3235="",$S3235="Có",AND($L3235&lt;&gt;"",OR($L3235&lt;&gt;"Chưa xác định",DANH_MUC!$L$9="Có"))),"Có","Không"))</f>
        <v/>
      </c>
      <c r="U3235" s="22">
        <f>IF(OR($D3235="",$T3235="Có"),"",IF($C3235="","Thiếu họ tên; ","")&amp;IF($S3235&lt;&gt;"Có","SĐT sai định dạng; ","")&amp;IF($R3235="Trùng","Trùng SĐT; ","")&amp;IF($Q3235&lt;&gt;"Có","Thiếu đồng ý bắt buộc; ","")&amp;IF($L3235="","Thiếu/sai Mã REF; ",IF(AND($L3235="Chưa xác định",DANH_MUC!$L$9&lt;&gt;"Có"),"Nguồn chưa xác định; ","")))</f>
        <v/>
      </c>
      <c r="V3235" s="22">
        <f>IF(OR($D3235="",$R3235="Trùng"),"",IF(COUNTIF(ORDERS!$C$2:$C$4995,$D3235)&gt;0,"Có","Không"))</f>
        <v/>
      </c>
      <c r="W3235" s="22">
        <f>IF(OR($D3235="",$R3235="Trùng"),"",COUNTIFS(ORDERS!$C$2:$C$4995,$D3235,ORDERS!$L$2:$L$4995,"Đã chuyển khoản"))</f>
        <v/>
      </c>
      <c r="X3235" s="23">
        <f>IF(OR($D3235="",$R3235="Trùng"),"",SUMIFS(ORDERS!$J$2:$J$4995,ORDERS!$C$2:$C$4995,$D3235,ORDERS!$L$2:$L$4995,"Đã chuyển khoản"))</f>
        <v/>
      </c>
      <c r="Y3235" s="24" t="n"/>
    </row>
    <row r="3236" ht="14.25" customHeight="1" s="40">
      <c r="A3236" s="24" t="n"/>
      <c r="B3236" s="27" t="n"/>
      <c r="C3236" s="24" t="n"/>
      <c r="D3236" s="28" t="n"/>
      <c r="E3236" s="29" t="n"/>
      <c r="F3236" s="24" t="n"/>
      <c r="G3236" s="24" t="n"/>
      <c r="H3236" s="21">
        <f>IF(ISNUMBER($B3236),INT($B3236)-WEEKDAY($B3236,2)+1,"")</f>
        <v/>
      </c>
      <c r="I3236" s="24" t="n"/>
      <c r="J3236" s="22">
        <f t="array" ref="J3236">IF($D3236="","",IF($I3236="","(trống REF)",IFERROR(INDEX(MASTER_SOURCE!$B$2:$B$495,MATCH($I3236,MASTER_SOURCE!$A$2:$A$495,0)),"(REF không có trong MASTER_SOURCE)")))</f>
        <v/>
      </c>
      <c r="K3236" s="22">
        <f t="array" ref="K3236">IF($D3236="","",IFERROR(INDEX(MASTER_SOURCE!$C$2:$C$495,MATCH($I3236,MASTER_SOURCE!$A$2:$A$495,0)),""))</f>
        <v/>
      </c>
      <c r="L3236" s="22">
        <f t="array" ref="L3236">IF($D3236="","",IFERROR(INDEX(MASTER_SOURCE!$D$2:$D$495,MATCH($I3236,MASTER_SOURCE!$A$2:$A$495,0)),""))</f>
        <v/>
      </c>
      <c r="M3236" s="24" t="n"/>
      <c r="N3236" s="24" t="n"/>
      <c r="O3236" s="24" t="n"/>
      <c r="P3236" s="24" t="n"/>
      <c r="Q3236" s="22">
        <f>IF($D3236="","",IF(AND(OR(DANH_MUC!$L$5&lt;&gt;"Có",M3236="Có"),OR(DANH_MUC!$L$6&lt;&gt;"Có",N3236="Có"),OR(DANH_MUC!$L$7&lt;&gt;"Có",O3236="Có"),OR(DANH_MUC!$L$8&lt;&gt;"Có",P3236="Có")),"Có","Không"))</f>
        <v/>
      </c>
      <c r="R3236" s="22">
        <f>IF($D3236="","",IF(COUNTIF($D$2:$D3236,$D3236)&gt;1,"Trùng",""))</f>
        <v/>
      </c>
      <c r="S3236" s="22">
        <f>IF($D3236="","",IF(AND(LEN($D3236)=10,LEFT($D3236,1)="0",ISNUMBER(--$D3236)),"Có","Không"))</f>
        <v/>
      </c>
      <c r="T3236" s="22">
        <f>IF($D3236="","",IF(AND($C3236&lt;&gt;"",$Q3236="Có",$R3236="",$S3236="Có",AND($L3236&lt;&gt;"",OR($L3236&lt;&gt;"Chưa xác định",DANH_MUC!$L$9="Có"))),"Có","Không"))</f>
        <v/>
      </c>
      <c r="U3236" s="22">
        <f>IF(OR($D3236="",$T3236="Có"),"",IF($C3236="","Thiếu họ tên; ","")&amp;IF($S3236&lt;&gt;"Có","SĐT sai định dạng; ","")&amp;IF($R3236="Trùng","Trùng SĐT; ","")&amp;IF($Q3236&lt;&gt;"Có","Thiếu đồng ý bắt buộc; ","")&amp;IF($L3236="","Thiếu/sai Mã REF; ",IF(AND($L3236="Chưa xác định",DANH_MUC!$L$9&lt;&gt;"Có"),"Nguồn chưa xác định; ","")))</f>
        <v/>
      </c>
      <c r="V3236" s="22">
        <f>IF(OR($D3236="",$R3236="Trùng"),"",IF(COUNTIF(ORDERS!$C$2:$C$4995,$D3236)&gt;0,"Có","Không"))</f>
        <v/>
      </c>
      <c r="W3236" s="22">
        <f>IF(OR($D3236="",$R3236="Trùng"),"",COUNTIFS(ORDERS!$C$2:$C$4995,$D3236,ORDERS!$L$2:$L$4995,"Đã chuyển khoản"))</f>
        <v/>
      </c>
      <c r="X3236" s="23">
        <f>IF(OR($D3236="",$R3236="Trùng"),"",SUMIFS(ORDERS!$J$2:$J$4995,ORDERS!$C$2:$C$4995,$D3236,ORDERS!$L$2:$L$4995,"Đã chuyển khoản"))</f>
        <v/>
      </c>
      <c r="Y3236" s="24" t="n"/>
    </row>
    <row r="3237" ht="14.25" customHeight="1" s="40">
      <c r="A3237" s="24" t="n"/>
      <c r="B3237" s="27" t="n"/>
      <c r="C3237" s="24" t="n"/>
      <c r="D3237" s="28" t="n"/>
      <c r="E3237" s="29" t="n"/>
      <c r="F3237" s="24" t="n"/>
      <c r="G3237" s="24" t="n"/>
      <c r="H3237" s="21">
        <f>IF(ISNUMBER($B3237),INT($B3237)-WEEKDAY($B3237,2)+1,"")</f>
        <v/>
      </c>
      <c r="I3237" s="24" t="n"/>
      <c r="J3237" s="22">
        <f t="array" ref="J3237">IF($D3237="","",IF($I3237="","(trống REF)",IFERROR(INDEX(MASTER_SOURCE!$B$2:$B$495,MATCH($I3237,MASTER_SOURCE!$A$2:$A$495,0)),"(REF không có trong MASTER_SOURCE)")))</f>
        <v/>
      </c>
      <c r="K3237" s="22">
        <f t="array" ref="K3237">IF($D3237="","",IFERROR(INDEX(MASTER_SOURCE!$C$2:$C$495,MATCH($I3237,MASTER_SOURCE!$A$2:$A$495,0)),""))</f>
        <v/>
      </c>
      <c r="L3237" s="22">
        <f t="array" ref="L3237">IF($D3237="","",IFERROR(INDEX(MASTER_SOURCE!$D$2:$D$495,MATCH($I3237,MASTER_SOURCE!$A$2:$A$495,0)),""))</f>
        <v/>
      </c>
      <c r="M3237" s="24" t="n"/>
      <c r="N3237" s="24" t="n"/>
      <c r="O3237" s="24" t="n"/>
      <c r="P3237" s="24" t="n"/>
      <c r="Q3237" s="22">
        <f>IF($D3237="","",IF(AND(OR(DANH_MUC!$L$5&lt;&gt;"Có",M3237="Có"),OR(DANH_MUC!$L$6&lt;&gt;"Có",N3237="Có"),OR(DANH_MUC!$L$7&lt;&gt;"Có",O3237="Có"),OR(DANH_MUC!$L$8&lt;&gt;"Có",P3237="Có")),"Có","Không"))</f>
        <v/>
      </c>
      <c r="R3237" s="22">
        <f>IF($D3237="","",IF(COUNTIF($D$2:$D3237,$D3237)&gt;1,"Trùng",""))</f>
        <v/>
      </c>
      <c r="S3237" s="22">
        <f>IF($D3237="","",IF(AND(LEN($D3237)=10,LEFT($D3237,1)="0",ISNUMBER(--$D3237)),"Có","Không"))</f>
        <v/>
      </c>
      <c r="T3237" s="22">
        <f>IF($D3237="","",IF(AND($C3237&lt;&gt;"",$Q3237="Có",$R3237="",$S3237="Có",AND($L3237&lt;&gt;"",OR($L3237&lt;&gt;"Chưa xác định",DANH_MUC!$L$9="Có"))),"Có","Không"))</f>
        <v/>
      </c>
      <c r="U3237" s="22">
        <f>IF(OR($D3237="",$T3237="Có"),"",IF($C3237="","Thiếu họ tên; ","")&amp;IF($S3237&lt;&gt;"Có","SĐT sai định dạng; ","")&amp;IF($R3237="Trùng","Trùng SĐT; ","")&amp;IF($Q3237&lt;&gt;"Có","Thiếu đồng ý bắt buộc; ","")&amp;IF($L3237="","Thiếu/sai Mã REF; ",IF(AND($L3237="Chưa xác định",DANH_MUC!$L$9&lt;&gt;"Có"),"Nguồn chưa xác định; ","")))</f>
        <v/>
      </c>
      <c r="V3237" s="22">
        <f>IF(OR($D3237="",$R3237="Trùng"),"",IF(COUNTIF(ORDERS!$C$2:$C$4995,$D3237)&gt;0,"Có","Không"))</f>
        <v/>
      </c>
      <c r="W3237" s="22">
        <f>IF(OR($D3237="",$R3237="Trùng"),"",COUNTIFS(ORDERS!$C$2:$C$4995,$D3237,ORDERS!$L$2:$L$4995,"Đã chuyển khoản"))</f>
        <v/>
      </c>
      <c r="X3237" s="23">
        <f>IF(OR($D3237="",$R3237="Trùng"),"",SUMIFS(ORDERS!$J$2:$J$4995,ORDERS!$C$2:$C$4995,$D3237,ORDERS!$L$2:$L$4995,"Đã chuyển khoản"))</f>
        <v/>
      </c>
      <c r="Y3237" s="24" t="n"/>
    </row>
    <row r="3238" ht="14.25" customHeight="1" s="40">
      <c r="A3238" s="24" t="n"/>
      <c r="B3238" s="27" t="n"/>
      <c r="C3238" s="24" t="n"/>
      <c r="D3238" s="28" t="n"/>
      <c r="E3238" s="29" t="n"/>
      <c r="F3238" s="24" t="n"/>
      <c r="G3238" s="24" t="n"/>
      <c r="H3238" s="21">
        <f>IF(ISNUMBER($B3238),INT($B3238)-WEEKDAY($B3238,2)+1,"")</f>
        <v/>
      </c>
      <c r="I3238" s="24" t="n"/>
      <c r="J3238" s="22">
        <f t="array" ref="J3238">IF($D3238="","",IF($I3238="","(trống REF)",IFERROR(INDEX(MASTER_SOURCE!$B$2:$B$495,MATCH($I3238,MASTER_SOURCE!$A$2:$A$495,0)),"(REF không có trong MASTER_SOURCE)")))</f>
        <v/>
      </c>
      <c r="K3238" s="22">
        <f t="array" ref="K3238">IF($D3238="","",IFERROR(INDEX(MASTER_SOURCE!$C$2:$C$495,MATCH($I3238,MASTER_SOURCE!$A$2:$A$495,0)),""))</f>
        <v/>
      </c>
      <c r="L3238" s="22">
        <f t="array" ref="L3238">IF($D3238="","",IFERROR(INDEX(MASTER_SOURCE!$D$2:$D$495,MATCH($I3238,MASTER_SOURCE!$A$2:$A$495,0)),""))</f>
        <v/>
      </c>
      <c r="M3238" s="24" t="n"/>
      <c r="N3238" s="24" t="n"/>
      <c r="O3238" s="24" t="n"/>
      <c r="P3238" s="24" t="n"/>
      <c r="Q3238" s="22">
        <f>IF($D3238="","",IF(AND(OR(DANH_MUC!$L$5&lt;&gt;"Có",M3238="Có"),OR(DANH_MUC!$L$6&lt;&gt;"Có",N3238="Có"),OR(DANH_MUC!$L$7&lt;&gt;"Có",O3238="Có"),OR(DANH_MUC!$L$8&lt;&gt;"Có",P3238="Có")),"Có","Không"))</f>
        <v/>
      </c>
      <c r="R3238" s="22">
        <f>IF($D3238="","",IF(COUNTIF($D$2:$D3238,$D3238)&gt;1,"Trùng",""))</f>
        <v/>
      </c>
      <c r="S3238" s="22">
        <f>IF($D3238="","",IF(AND(LEN($D3238)=10,LEFT($D3238,1)="0",ISNUMBER(--$D3238)),"Có","Không"))</f>
        <v/>
      </c>
      <c r="T3238" s="22">
        <f>IF($D3238="","",IF(AND($C3238&lt;&gt;"",$Q3238="Có",$R3238="",$S3238="Có",AND($L3238&lt;&gt;"",OR($L3238&lt;&gt;"Chưa xác định",DANH_MUC!$L$9="Có"))),"Có","Không"))</f>
        <v/>
      </c>
      <c r="U3238" s="22">
        <f>IF(OR($D3238="",$T3238="Có"),"",IF($C3238="","Thiếu họ tên; ","")&amp;IF($S3238&lt;&gt;"Có","SĐT sai định dạng; ","")&amp;IF($R3238="Trùng","Trùng SĐT; ","")&amp;IF($Q3238&lt;&gt;"Có","Thiếu đồng ý bắt buộc; ","")&amp;IF($L3238="","Thiếu/sai Mã REF; ",IF(AND($L3238="Chưa xác định",DANH_MUC!$L$9&lt;&gt;"Có"),"Nguồn chưa xác định; ","")))</f>
        <v/>
      </c>
      <c r="V3238" s="22">
        <f>IF(OR($D3238="",$R3238="Trùng"),"",IF(COUNTIF(ORDERS!$C$2:$C$4995,$D3238)&gt;0,"Có","Không"))</f>
        <v/>
      </c>
      <c r="W3238" s="22">
        <f>IF(OR($D3238="",$R3238="Trùng"),"",COUNTIFS(ORDERS!$C$2:$C$4995,$D3238,ORDERS!$L$2:$L$4995,"Đã chuyển khoản"))</f>
        <v/>
      </c>
      <c r="X3238" s="23">
        <f>IF(OR($D3238="",$R3238="Trùng"),"",SUMIFS(ORDERS!$J$2:$J$4995,ORDERS!$C$2:$C$4995,$D3238,ORDERS!$L$2:$L$4995,"Đã chuyển khoản"))</f>
        <v/>
      </c>
      <c r="Y3238" s="24" t="n"/>
    </row>
    <row r="3239" ht="14.25" customHeight="1" s="40">
      <c r="A3239" s="24" t="n"/>
      <c r="B3239" s="27" t="n"/>
      <c r="C3239" s="24" t="n"/>
      <c r="D3239" s="28" t="n"/>
      <c r="E3239" s="29" t="n"/>
      <c r="F3239" s="24" t="n"/>
      <c r="G3239" s="24" t="n"/>
      <c r="H3239" s="21">
        <f>IF(ISNUMBER($B3239),INT($B3239)-WEEKDAY($B3239,2)+1,"")</f>
        <v/>
      </c>
      <c r="I3239" s="24" t="n"/>
      <c r="J3239" s="22">
        <f t="array" ref="J3239">IF($D3239="","",IF($I3239="","(trống REF)",IFERROR(INDEX(MASTER_SOURCE!$B$2:$B$495,MATCH($I3239,MASTER_SOURCE!$A$2:$A$495,0)),"(REF không có trong MASTER_SOURCE)")))</f>
        <v/>
      </c>
      <c r="K3239" s="22">
        <f t="array" ref="K3239">IF($D3239="","",IFERROR(INDEX(MASTER_SOURCE!$C$2:$C$495,MATCH($I3239,MASTER_SOURCE!$A$2:$A$495,0)),""))</f>
        <v/>
      </c>
      <c r="L3239" s="22">
        <f t="array" ref="L3239">IF($D3239="","",IFERROR(INDEX(MASTER_SOURCE!$D$2:$D$495,MATCH($I3239,MASTER_SOURCE!$A$2:$A$495,0)),""))</f>
        <v/>
      </c>
      <c r="M3239" s="24" t="n"/>
      <c r="N3239" s="24" t="n"/>
      <c r="O3239" s="24" t="n"/>
      <c r="P3239" s="24" t="n"/>
      <c r="Q3239" s="22">
        <f>IF($D3239="","",IF(AND(OR(DANH_MUC!$L$5&lt;&gt;"Có",M3239="Có"),OR(DANH_MUC!$L$6&lt;&gt;"Có",N3239="Có"),OR(DANH_MUC!$L$7&lt;&gt;"Có",O3239="Có"),OR(DANH_MUC!$L$8&lt;&gt;"Có",P3239="Có")),"Có","Không"))</f>
        <v/>
      </c>
      <c r="R3239" s="22">
        <f>IF($D3239="","",IF(COUNTIF($D$2:$D3239,$D3239)&gt;1,"Trùng",""))</f>
        <v/>
      </c>
      <c r="S3239" s="22">
        <f>IF($D3239="","",IF(AND(LEN($D3239)=10,LEFT($D3239,1)="0",ISNUMBER(--$D3239)),"Có","Không"))</f>
        <v/>
      </c>
      <c r="T3239" s="22">
        <f>IF($D3239="","",IF(AND($C3239&lt;&gt;"",$Q3239="Có",$R3239="",$S3239="Có",AND($L3239&lt;&gt;"",OR($L3239&lt;&gt;"Chưa xác định",DANH_MUC!$L$9="Có"))),"Có","Không"))</f>
        <v/>
      </c>
      <c r="U3239" s="22">
        <f>IF(OR($D3239="",$T3239="Có"),"",IF($C3239="","Thiếu họ tên; ","")&amp;IF($S3239&lt;&gt;"Có","SĐT sai định dạng; ","")&amp;IF($R3239="Trùng","Trùng SĐT; ","")&amp;IF($Q3239&lt;&gt;"Có","Thiếu đồng ý bắt buộc; ","")&amp;IF($L3239="","Thiếu/sai Mã REF; ",IF(AND($L3239="Chưa xác định",DANH_MUC!$L$9&lt;&gt;"Có"),"Nguồn chưa xác định; ","")))</f>
        <v/>
      </c>
      <c r="V3239" s="22">
        <f>IF(OR($D3239="",$R3239="Trùng"),"",IF(COUNTIF(ORDERS!$C$2:$C$4995,$D3239)&gt;0,"Có","Không"))</f>
        <v/>
      </c>
      <c r="W3239" s="22">
        <f>IF(OR($D3239="",$R3239="Trùng"),"",COUNTIFS(ORDERS!$C$2:$C$4995,$D3239,ORDERS!$L$2:$L$4995,"Đã chuyển khoản"))</f>
        <v/>
      </c>
      <c r="X3239" s="23">
        <f>IF(OR($D3239="",$R3239="Trùng"),"",SUMIFS(ORDERS!$J$2:$J$4995,ORDERS!$C$2:$C$4995,$D3239,ORDERS!$L$2:$L$4995,"Đã chuyển khoản"))</f>
        <v/>
      </c>
      <c r="Y3239" s="24" t="n"/>
    </row>
    <row r="3240" ht="14.25" customHeight="1" s="40">
      <c r="A3240" s="24" t="n"/>
      <c r="B3240" s="27" t="n"/>
      <c r="C3240" s="24" t="n"/>
      <c r="D3240" s="28" t="n"/>
      <c r="E3240" s="29" t="n"/>
      <c r="F3240" s="24" t="n"/>
      <c r="G3240" s="24" t="n"/>
      <c r="H3240" s="21">
        <f>IF(ISNUMBER($B3240),INT($B3240)-WEEKDAY($B3240,2)+1,"")</f>
        <v/>
      </c>
      <c r="I3240" s="24" t="n"/>
      <c r="J3240" s="22">
        <f t="array" ref="J3240">IF($D3240="","",IF($I3240="","(trống REF)",IFERROR(INDEX(MASTER_SOURCE!$B$2:$B$495,MATCH($I3240,MASTER_SOURCE!$A$2:$A$495,0)),"(REF không có trong MASTER_SOURCE)")))</f>
        <v/>
      </c>
      <c r="K3240" s="22">
        <f t="array" ref="K3240">IF($D3240="","",IFERROR(INDEX(MASTER_SOURCE!$C$2:$C$495,MATCH($I3240,MASTER_SOURCE!$A$2:$A$495,0)),""))</f>
        <v/>
      </c>
      <c r="L3240" s="22">
        <f t="array" ref="L3240">IF($D3240="","",IFERROR(INDEX(MASTER_SOURCE!$D$2:$D$495,MATCH($I3240,MASTER_SOURCE!$A$2:$A$495,0)),""))</f>
        <v/>
      </c>
      <c r="M3240" s="24" t="n"/>
      <c r="N3240" s="24" t="n"/>
      <c r="O3240" s="24" t="n"/>
      <c r="P3240" s="24" t="n"/>
      <c r="Q3240" s="22">
        <f>IF($D3240="","",IF(AND(OR(DANH_MUC!$L$5&lt;&gt;"Có",M3240="Có"),OR(DANH_MUC!$L$6&lt;&gt;"Có",N3240="Có"),OR(DANH_MUC!$L$7&lt;&gt;"Có",O3240="Có"),OR(DANH_MUC!$L$8&lt;&gt;"Có",P3240="Có")),"Có","Không"))</f>
        <v/>
      </c>
      <c r="R3240" s="22">
        <f>IF($D3240="","",IF(COUNTIF($D$2:$D3240,$D3240)&gt;1,"Trùng",""))</f>
        <v/>
      </c>
      <c r="S3240" s="22">
        <f>IF($D3240="","",IF(AND(LEN($D3240)=10,LEFT($D3240,1)="0",ISNUMBER(--$D3240)),"Có","Không"))</f>
        <v/>
      </c>
      <c r="T3240" s="22">
        <f>IF($D3240="","",IF(AND($C3240&lt;&gt;"",$Q3240="Có",$R3240="",$S3240="Có",AND($L3240&lt;&gt;"",OR($L3240&lt;&gt;"Chưa xác định",DANH_MUC!$L$9="Có"))),"Có","Không"))</f>
        <v/>
      </c>
      <c r="U3240" s="22">
        <f>IF(OR($D3240="",$T3240="Có"),"",IF($C3240="","Thiếu họ tên; ","")&amp;IF($S3240&lt;&gt;"Có","SĐT sai định dạng; ","")&amp;IF($R3240="Trùng","Trùng SĐT; ","")&amp;IF($Q3240&lt;&gt;"Có","Thiếu đồng ý bắt buộc; ","")&amp;IF($L3240="","Thiếu/sai Mã REF; ",IF(AND($L3240="Chưa xác định",DANH_MUC!$L$9&lt;&gt;"Có"),"Nguồn chưa xác định; ","")))</f>
        <v/>
      </c>
      <c r="V3240" s="22">
        <f>IF(OR($D3240="",$R3240="Trùng"),"",IF(COUNTIF(ORDERS!$C$2:$C$4995,$D3240)&gt;0,"Có","Không"))</f>
        <v/>
      </c>
      <c r="W3240" s="22">
        <f>IF(OR($D3240="",$R3240="Trùng"),"",COUNTIFS(ORDERS!$C$2:$C$4995,$D3240,ORDERS!$L$2:$L$4995,"Đã chuyển khoản"))</f>
        <v/>
      </c>
      <c r="X3240" s="23">
        <f>IF(OR($D3240="",$R3240="Trùng"),"",SUMIFS(ORDERS!$J$2:$J$4995,ORDERS!$C$2:$C$4995,$D3240,ORDERS!$L$2:$L$4995,"Đã chuyển khoản"))</f>
        <v/>
      </c>
      <c r="Y3240" s="24" t="n"/>
    </row>
    <row r="3241" ht="14.25" customHeight="1" s="40">
      <c r="A3241" s="24" t="n"/>
      <c r="B3241" s="27" t="n"/>
      <c r="C3241" s="24" t="n"/>
      <c r="D3241" s="28" t="n"/>
      <c r="E3241" s="29" t="n"/>
      <c r="F3241" s="24" t="n"/>
      <c r="G3241" s="24" t="n"/>
      <c r="H3241" s="21">
        <f>IF(ISNUMBER($B3241),INT($B3241)-WEEKDAY($B3241,2)+1,"")</f>
        <v/>
      </c>
      <c r="I3241" s="24" t="n"/>
      <c r="J3241" s="22">
        <f t="array" ref="J3241">IF($D3241="","",IF($I3241="","(trống REF)",IFERROR(INDEX(MASTER_SOURCE!$B$2:$B$495,MATCH($I3241,MASTER_SOURCE!$A$2:$A$495,0)),"(REF không có trong MASTER_SOURCE)")))</f>
        <v/>
      </c>
      <c r="K3241" s="22">
        <f t="array" ref="K3241">IF($D3241="","",IFERROR(INDEX(MASTER_SOURCE!$C$2:$C$495,MATCH($I3241,MASTER_SOURCE!$A$2:$A$495,0)),""))</f>
        <v/>
      </c>
      <c r="L3241" s="22">
        <f t="array" ref="L3241">IF($D3241="","",IFERROR(INDEX(MASTER_SOURCE!$D$2:$D$495,MATCH($I3241,MASTER_SOURCE!$A$2:$A$495,0)),""))</f>
        <v/>
      </c>
      <c r="M3241" s="24" t="n"/>
      <c r="N3241" s="24" t="n"/>
      <c r="O3241" s="24" t="n"/>
      <c r="P3241" s="24" t="n"/>
      <c r="Q3241" s="22">
        <f>IF($D3241="","",IF(AND(OR(DANH_MUC!$L$5&lt;&gt;"Có",M3241="Có"),OR(DANH_MUC!$L$6&lt;&gt;"Có",N3241="Có"),OR(DANH_MUC!$L$7&lt;&gt;"Có",O3241="Có"),OR(DANH_MUC!$L$8&lt;&gt;"Có",P3241="Có")),"Có","Không"))</f>
        <v/>
      </c>
      <c r="R3241" s="22">
        <f>IF($D3241="","",IF(COUNTIF($D$2:$D3241,$D3241)&gt;1,"Trùng",""))</f>
        <v/>
      </c>
      <c r="S3241" s="22">
        <f>IF($D3241="","",IF(AND(LEN($D3241)=10,LEFT($D3241,1)="0",ISNUMBER(--$D3241)),"Có","Không"))</f>
        <v/>
      </c>
      <c r="T3241" s="22">
        <f>IF($D3241="","",IF(AND($C3241&lt;&gt;"",$Q3241="Có",$R3241="",$S3241="Có",AND($L3241&lt;&gt;"",OR($L3241&lt;&gt;"Chưa xác định",DANH_MUC!$L$9="Có"))),"Có","Không"))</f>
        <v/>
      </c>
      <c r="U3241" s="22">
        <f>IF(OR($D3241="",$T3241="Có"),"",IF($C3241="","Thiếu họ tên; ","")&amp;IF($S3241&lt;&gt;"Có","SĐT sai định dạng; ","")&amp;IF($R3241="Trùng","Trùng SĐT; ","")&amp;IF($Q3241&lt;&gt;"Có","Thiếu đồng ý bắt buộc; ","")&amp;IF($L3241="","Thiếu/sai Mã REF; ",IF(AND($L3241="Chưa xác định",DANH_MUC!$L$9&lt;&gt;"Có"),"Nguồn chưa xác định; ","")))</f>
        <v/>
      </c>
      <c r="V3241" s="22">
        <f>IF(OR($D3241="",$R3241="Trùng"),"",IF(COUNTIF(ORDERS!$C$2:$C$4995,$D3241)&gt;0,"Có","Không"))</f>
        <v/>
      </c>
      <c r="W3241" s="22">
        <f>IF(OR($D3241="",$R3241="Trùng"),"",COUNTIFS(ORDERS!$C$2:$C$4995,$D3241,ORDERS!$L$2:$L$4995,"Đã chuyển khoản"))</f>
        <v/>
      </c>
      <c r="X3241" s="23">
        <f>IF(OR($D3241="",$R3241="Trùng"),"",SUMIFS(ORDERS!$J$2:$J$4995,ORDERS!$C$2:$C$4995,$D3241,ORDERS!$L$2:$L$4995,"Đã chuyển khoản"))</f>
        <v/>
      </c>
      <c r="Y3241" s="24" t="n"/>
    </row>
    <row r="3242" ht="14.25" customHeight="1" s="40">
      <c r="A3242" s="24" t="n"/>
      <c r="B3242" s="27" t="n"/>
      <c r="C3242" s="24" t="n"/>
      <c r="D3242" s="28" t="n"/>
      <c r="E3242" s="29" t="n"/>
      <c r="F3242" s="24" t="n"/>
      <c r="G3242" s="24" t="n"/>
      <c r="H3242" s="21">
        <f>IF(ISNUMBER($B3242),INT($B3242)-WEEKDAY($B3242,2)+1,"")</f>
        <v/>
      </c>
      <c r="I3242" s="24" t="n"/>
      <c r="J3242" s="22">
        <f t="array" ref="J3242">IF($D3242="","",IF($I3242="","(trống REF)",IFERROR(INDEX(MASTER_SOURCE!$B$2:$B$495,MATCH($I3242,MASTER_SOURCE!$A$2:$A$495,0)),"(REF không có trong MASTER_SOURCE)")))</f>
        <v/>
      </c>
      <c r="K3242" s="22">
        <f t="array" ref="K3242">IF($D3242="","",IFERROR(INDEX(MASTER_SOURCE!$C$2:$C$495,MATCH($I3242,MASTER_SOURCE!$A$2:$A$495,0)),""))</f>
        <v/>
      </c>
      <c r="L3242" s="22">
        <f t="array" ref="L3242">IF($D3242="","",IFERROR(INDEX(MASTER_SOURCE!$D$2:$D$495,MATCH($I3242,MASTER_SOURCE!$A$2:$A$495,0)),""))</f>
        <v/>
      </c>
      <c r="M3242" s="24" t="n"/>
      <c r="N3242" s="24" t="n"/>
      <c r="O3242" s="24" t="n"/>
      <c r="P3242" s="24" t="n"/>
      <c r="Q3242" s="22">
        <f>IF($D3242="","",IF(AND(OR(DANH_MUC!$L$5&lt;&gt;"Có",M3242="Có"),OR(DANH_MUC!$L$6&lt;&gt;"Có",N3242="Có"),OR(DANH_MUC!$L$7&lt;&gt;"Có",O3242="Có"),OR(DANH_MUC!$L$8&lt;&gt;"Có",P3242="Có")),"Có","Không"))</f>
        <v/>
      </c>
      <c r="R3242" s="22">
        <f>IF($D3242="","",IF(COUNTIF($D$2:$D3242,$D3242)&gt;1,"Trùng",""))</f>
        <v/>
      </c>
      <c r="S3242" s="22">
        <f>IF($D3242="","",IF(AND(LEN($D3242)=10,LEFT($D3242,1)="0",ISNUMBER(--$D3242)),"Có","Không"))</f>
        <v/>
      </c>
      <c r="T3242" s="22">
        <f>IF($D3242="","",IF(AND($C3242&lt;&gt;"",$Q3242="Có",$R3242="",$S3242="Có",AND($L3242&lt;&gt;"",OR($L3242&lt;&gt;"Chưa xác định",DANH_MUC!$L$9="Có"))),"Có","Không"))</f>
        <v/>
      </c>
      <c r="U3242" s="22">
        <f>IF(OR($D3242="",$T3242="Có"),"",IF($C3242="","Thiếu họ tên; ","")&amp;IF($S3242&lt;&gt;"Có","SĐT sai định dạng; ","")&amp;IF($R3242="Trùng","Trùng SĐT; ","")&amp;IF($Q3242&lt;&gt;"Có","Thiếu đồng ý bắt buộc; ","")&amp;IF($L3242="","Thiếu/sai Mã REF; ",IF(AND($L3242="Chưa xác định",DANH_MUC!$L$9&lt;&gt;"Có"),"Nguồn chưa xác định; ","")))</f>
        <v/>
      </c>
      <c r="V3242" s="22">
        <f>IF(OR($D3242="",$R3242="Trùng"),"",IF(COUNTIF(ORDERS!$C$2:$C$4995,$D3242)&gt;0,"Có","Không"))</f>
        <v/>
      </c>
      <c r="W3242" s="22">
        <f>IF(OR($D3242="",$R3242="Trùng"),"",COUNTIFS(ORDERS!$C$2:$C$4995,$D3242,ORDERS!$L$2:$L$4995,"Đã chuyển khoản"))</f>
        <v/>
      </c>
      <c r="X3242" s="23">
        <f>IF(OR($D3242="",$R3242="Trùng"),"",SUMIFS(ORDERS!$J$2:$J$4995,ORDERS!$C$2:$C$4995,$D3242,ORDERS!$L$2:$L$4995,"Đã chuyển khoản"))</f>
        <v/>
      </c>
      <c r="Y3242" s="24" t="n"/>
    </row>
    <row r="3243" ht="14.25" customHeight="1" s="40">
      <c r="A3243" s="24" t="n"/>
      <c r="B3243" s="27" t="n"/>
      <c r="C3243" s="24" t="n"/>
      <c r="D3243" s="28" t="n"/>
      <c r="E3243" s="29" t="n"/>
      <c r="F3243" s="24" t="n"/>
      <c r="G3243" s="24" t="n"/>
      <c r="H3243" s="21">
        <f>IF(ISNUMBER($B3243),INT($B3243)-WEEKDAY($B3243,2)+1,"")</f>
        <v/>
      </c>
      <c r="I3243" s="24" t="n"/>
      <c r="J3243" s="22">
        <f t="array" ref="J3243">IF($D3243="","",IF($I3243="","(trống REF)",IFERROR(INDEX(MASTER_SOURCE!$B$2:$B$495,MATCH($I3243,MASTER_SOURCE!$A$2:$A$495,0)),"(REF không có trong MASTER_SOURCE)")))</f>
        <v/>
      </c>
      <c r="K3243" s="22">
        <f t="array" ref="K3243">IF($D3243="","",IFERROR(INDEX(MASTER_SOURCE!$C$2:$C$495,MATCH($I3243,MASTER_SOURCE!$A$2:$A$495,0)),""))</f>
        <v/>
      </c>
      <c r="L3243" s="22">
        <f t="array" ref="L3243">IF($D3243="","",IFERROR(INDEX(MASTER_SOURCE!$D$2:$D$495,MATCH($I3243,MASTER_SOURCE!$A$2:$A$495,0)),""))</f>
        <v/>
      </c>
      <c r="M3243" s="24" t="n"/>
      <c r="N3243" s="24" t="n"/>
      <c r="O3243" s="24" t="n"/>
      <c r="P3243" s="24" t="n"/>
      <c r="Q3243" s="22">
        <f>IF($D3243="","",IF(AND(OR(DANH_MUC!$L$5&lt;&gt;"Có",M3243="Có"),OR(DANH_MUC!$L$6&lt;&gt;"Có",N3243="Có"),OR(DANH_MUC!$L$7&lt;&gt;"Có",O3243="Có"),OR(DANH_MUC!$L$8&lt;&gt;"Có",P3243="Có")),"Có","Không"))</f>
        <v/>
      </c>
      <c r="R3243" s="22">
        <f>IF($D3243="","",IF(COUNTIF($D$2:$D3243,$D3243)&gt;1,"Trùng",""))</f>
        <v/>
      </c>
      <c r="S3243" s="22">
        <f>IF($D3243="","",IF(AND(LEN($D3243)=10,LEFT($D3243,1)="0",ISNUMBER(--$D3243)),"Có","Không"))</f>
        <v/>
      </c>
      <c r="T3243" s="22">
        <f>IF($D3243="","",IF(AND($C3243&lt;&gt;"",$Q3243="Có",$R3243="",$S3243="Có",AND($L3243&lt;&gt;"",OR($L3243&lt;&gt;"Chưa xác định",DANH_MUC!$L$9="Có"))),"Có","Không"))</f>
        <v/>
      </c>
      <c r="U3243" s="22">
        <f>IF(OR($D3243="",$T3243="Có"),"",IF($C3243="","Thiếu họ tên; ","")&amp;IF($S3243&lt;&gt;"Có","SĐT sai định dạng; ","")&amp;IF($R3243="Trùng","Trùng SĐT; ","")&amp;IF($Q3243&lt;&gt;"Có","Thiếu đồng ý bắt buộc; ","")&amp;IF($L3243="","Thiếu/sai Mã REF; ",IF(AND($L3243="Chưa xác định",DANH_MUC!$L$9&lt;&gt;"Có"),"Nguồn chưa xác định; ","")))</f>
        <v/>
      </c>
      <c r="V3243" s="22">
        <f>IF(OR($D3243="",$R3243="Trùng"),"",IF(COUNTIF(ORDERS!$C$2:$C$4995,$D3243)&gt;0,"Có","Không"))</f>
        <v/>
      </c>
      <c r="W3243" s="22">
        <f>IF(OR($D3243="",$R3243="Trùng"),"",COUNTIFS(ORDERS!$C$2:$C$4995,$D3243,ORDERS!$L$2:$L$4995,"Đã chuyển khoản"))</f>
        <v/>
      </c>
      <c r="X3243" s="23">
        <f>IF(OR($D3243="",$R3243="Trùng"),"",SUMIFS(ORDERS!$J$2:$J$4995,ORDERS!$C$2:$C$4995,$D3243,ORDERS!$L$2:$L$4995,"Đã chuyển khoản"))</f>
        <v/>
      </c>
      <c r="Y3243" s="24" t="n"/>
    </row>
    <row r="3244" ht="14.25" customHeight="1" s="40">
      <c r="A3244" s="24" t="n"/>
      <c r="B3244" s="27" t="n"/>
      <c r="C3244" s="24" t="n"/>
      <c r="D3244" s="28" t="n"/>
      <c r="E3244" s="29" t="n"/>
      <c r="F3244" s="24" t="n"/>
      <c r="G3244" s="24" t="n"/>
      <c r="H3244" s="21">
        <f>IF(ISNUMBER($B3244),INT($B3244)-WEEKDAY($B3244,2)+1,"")</f>
        <v/>
      </c>
      <c r="I3244" s="24" t="n"/>
      <c r="J3244" s="22">
        <f t="array" ref="J3244">IF($D3244="","",IF($I3244="","(trống REF)",IFERROR(INDEX(MASTER_SOURCE!$B$2:$B$495,MATCH($I3244,MASTER_SOURCE!$A$2:$A$495,0)),"(REF không có trong MASTER_SOURCE)")))</f>
        <v/>
      </c>
      <c r="K3244" s="22">
        <f t="array" ref="K3244">IF($D3244="","",IFERROR(INDEX(MASTER_SOURCE!$C$2:$C$495,MATCH($I3244,MASTER_SOURCE!$A$2:$A$495,0)),""))</f>
        <v/>
      </c>
      <c r="L3244" s="22">
        <f t="array" ref="L3244">IF($D3244="","",IFERROR(INDEX(MASTER_SOURCE!$D$2:$D$495,MATCH($I3244,MASTER_SOURCE!$A$2:$A$495,0)),""))</f>
        <v/>
      </c>
      <c r="M3244" s="24" t="n"/>
      <c r="N3244" s="24" t="n"/>
      <c r="O3244" s="24" t="n"/>
      <c r="P3244" s="24" t="n"/>
      <c r="Q3244" s="22">
        <f>IF($D3244="","",IF(AND(OR(DANH_MUC!$L$5&lt;&gt;"Có",M3244="Có"),OR(DANH_MUC!$L$6&lt;&gt;"Có",N3244="Có"),OR(DANH_MUC!$L$7&lt;&gt;"Có",O3244="Có"),OR(DANH_MUC!$L$8&lt;&gt;"Có",P3244="Có")),"Có","Không"))</f>
        <v/>
      </c>
      <c r="R3244" s="22">
        <f>IF($D3244="","",IF(COUNTIF($D$2:$D3244,$D3244)&gt;1,"Trùng",""))</f>
        <v/>
      </c>
      <c r="S3244" s="22">
        <f>IF($D3244="","",IF(AND(LEN($D3244)=10,LEFT($D3244,1)="0",ISNUMBER(--$D3244)),"Có","Không"))</f>
        <v/>
      </c>
      <c r="T3244" s="22">
        <f>IF($D3244="","",IF(AND($C3244&lt;&gt;"",$Q3244="Có",$R3244="",$S3244="Có",AND($L3244&lt;&gt;"",OR($L3244&lt;&gt;"Chưa xác định",DANH_MUC!$L$9="Có"))),"Có","Không"))</f>
        <v/>
      </c>
      <c r="U3244" s="22">
        <f>IF(OR($D3244="",$T3244="Có"),"",IF($C3244="","Thiếu họ tên; ","")&amp;IF($S3244&lt;&gt;"Có","SĐT sai định dạng; ","")&amp;IF($R3244="Trùng","Trùng SĐT; ","")&amp;IF($Q3244&lt;&gt;"Có","Thiếu đồng ý bắt buộc; ","")&amp;IF($L3244="","Thiếu/sai Mã REF; ",IF(AND($L3244="Chưa xác định",DANH_MUC!$L$9&lt;&gt;"Có"),"Nguồn chưa xác định; ","")))</f>
        <v/>
      </c>
      <c r="V3244" s="22">
        <f>IF(OR($D3244="",$R3244="Trùng"),"",IF(COUNTIF(ORDERS!$C$2:$C$4995,$D3244)&gt;0,"Có","Không"))</f>
        <v/>
      </c>
      <c r="W3244" s="22">
        <f>IF(OR($D3244="",$R3244="Trùng"),"",COUNTIFS(ORDERS!$C$2:$C$4995,$D3244,ORDERS!$L$2:$L$4995,"Đã chuyển khoản"))</f>
        <v/>
      </c>
      <c r="X3244" s="23">
        <f>IF(OR($D3244="",$R3244="Trùng"),"",SUMIFS(ORDERS!$J$2:$J$4995,ORDERS!$C$2:$C$4995,$D3244,ORDERS!$L$2:$L$4995,"Đã chuyển khoản"))</f>
        <v/>
      </c>
      <c r="Y3244" s="24" t="n"/>
    </row>
    <row r="3245" ht="14.25" customHeight="1" s="40">
      <c r="A3245" s="24" t="n"/>
      <c r="B3245" s="27" t="n"/>
      <c r="C3245" s="24" t="n"/>
      <c r="D3245" s="28" t="n"/>
      <c r="E3245" s="29" t="n"/>
      <c r="F3245" s="24" t="n"/>
      <c r="G3245" s="24" t="n"/>
      <c r="H3245" s="21">
        <f>IF(ISNUMBER($B3245),INT($B3245)-WEEKDAY($B3245,2)+1,"")</f>
        <v/>
      </c>
      <c r="I3245" s="24" t="n"/>
      <c r="J3245" s="22">
        <f t="array" ref="J3245">IF($D3245="","",IF($I3245="","(trống REF)",IFERROR(INDEX(MASTER_SOURCE!$B$2:$B$495,MATCH($I3245,MASTER_SOURCE!$A$2:$A$495,0)),"(REF không có trong MASTER_SOURCE)")))</f>
        <v/>
      </c>
      <c r="K3245" s="22">
        <f t="array" ref="K3245">IF($D3245="","",IFERROR(INDEX(MASTER_SOURCE!$C$2:$C$495,MATCH($I3245,MASTER_SOURCE!$A$2:$A$495,0)),""))</f>
        <v/>
      </c>
      <c r="L3245" s="22">
        <f t="array" ref="L3245">IF($D3245="","",IFERROR(INDEX(MASTER_SOURCE!$D$2:$D$495,MATCH($I3245,MASTER_SOURCE!$A$2:$A$495,0)),""))</f>
        <v/>
      </c>
      <c r="M3245" s="24" t="n"/>
      <c r="N3245" s="24" t="n"/>
      <c r="O3245" s="24" t="n"/>
      <c r="P3245" s="24" t="n"/>
      <c r="Q3245" s="22">
        <f>IF($D3245="","",IF(AND(OR(DANH_MUC!$L$5&lt;&gt;"Có",M3245="Có"),OR(DANH_MUC!$L$6&lt;&gt;"Có",N3245="Có"),OR(DANH_MUC!$L$7&lt;&gt;"Có",O3245="Có"),OR(DANH_MUC!$L$8&lt;&gt;"Có",P3245="Có")),"Có","Không"))</f>
        <v/>
      </c>
      <c r="R3245" s="22">
        <f>IF($D3245="","",IF(COUNTIF($D$2:$D3245,$D3245)&gt;1,"Trùng",""))</f>
        <v/>
      </c>
      <c r="S3245" s="22">
        <f>IF($D3245="","",IF(AND(LEN($D3245)=10,LEFT($D3245,1)="0",ISNUMBER(--$D3245)),"Có","Không"))</f>
        <v/>
      </c>
      <c r="T3245" s="22">
        <f>IF($D3245="","",IF(AND($C3245&lt;&gt;"",$Q3245="Có",$R3245="",$S3245="Có",AND($L3245&lt;&gt;"",OR($L3245&lt;&gt;"Chưa xác định",DANH_MUC!$L$9="Có"))),"Có","Không"))</f>
        <v/>
      </c>
      <c r="U3245" s="22">
        <f>IF(OR($D3245="",$T3245="Có"),"",IF($C3245="","Thiếu họ tên; ","")&amp;IF($S3245&lt;&gt;"Có","SĐT sai định dạng; ","")&amp;IF($R3245="Trùng","Trùng SĐT; ","")&amp;IF($Q3245&lt;&gt;"Có","Thiếu đồng ý bắt buộc; ","")&amp;IF($L3245="","Thiếu/sai Mã REF; ",IF(AND($L3245="Chưa xác định",DANH_MUC!$L$9&lt;&gt;"Có"),"Nguồn chưa xác định; ","")))</f>
        <v/>
      </c>
      <c r="V3245" s="22">
        <f>IF(OR($D3245="",$R3245="Trùng"),"",IF(COUNTIF(ORDERS!$C$2:$C$4995,$D3245)&gt;0,"Có","Không"))</f>
        <v/>
      </c>
      <c r="W3245" s="22">
        <f>IF(OR($D3245="",$R3245="Trùng"),"",COUNTIFS(ORDERS!$C$2:$C$4995,$D3245,ORDERS!$L$2:$L$4995,"Đã chuyển khoản"))</f>
        <v/>
      </c>
      <c r="X3245" s="23">
        <f>IF(OR($D3245="",$R3245="Trùng"),"",SUMIFS(ORDERS!$J$2:$J$4995,ORDERS!$C$2:$C$4995,$D3245,ORDERS!$L$2:$L$4995,"Đã chuyển khoản"))</f>
        <v/>
      </c>
      <c r="Y3245" s="24" t="n"/>
    </row>
    <row r="3246" ht="14.25" customHeight="1" s="40">
      <c r="A3246" s="24" t="n"/>
      <c r="B3246" s="27" t="n"/>
      <c r="C3246" s="24" t="n"/>
      <c r="D3246" s="28" t="n"/>
      <c r="E3246" s="29" t="n"/>
      <c r="F3246" s="24" t="n"/>
      <c r="G3246" s="24" t="n"/>
      <c r="H3246" s="21">
        <f>IF(ISNUMBER($B3246),INT($B3246)-WEEKDAY($B3246,2)+1,"")</f>
        <v/>
      </c>
      <c r="I3246" s="24" t="n"/>
      <c r="J3246" s="22">
        <f t="array" ref="J3246">IF($D3246="","",IF($I3246="","(trống REF)",IFERROR(INDEX(MASTER_SOURCE!$B$2:$B$495,MATCH($I3246,MASTER_SOURCE!$A$2:$A$495,0)),"(REF không có trong MASTER_SOURCE)")))</f>
        <v/>
      </c>
      <c r="K3246" s="22">
        <f t="array" ref="K3246">IF($D3246="","",IFERROR(INDEX(MASTER_SOURCE!$C$2:$C$495,MATCH($I3246,MASTER_SOURCE!$A$2:$A$495,0)),""))</f>
        <v/>
      </c>
      <c r="L3246" s="22">
        <f t="array" ref="L3246">IF($D3246="","",IFERROR(INDEX(MASTER_SOURCE!$D$2:$D$495,MATCH($I3246,MASTER_SOURCE!$A$2:$A$495,0)),""))</f>
        <v/>
      </c>
      <c r="M3246" s="24" t="n"/>
      <c r="N3246" s="24" t="n"/>
      <c r="O3246" s="24" t="n"/>
      <c r="P3246" s="24" t="n"/>
      <c r="Q3246" s="22">
        <f>IF($D3246="","",IF(AND(OR(DANH_MUC!$L$5&lt;&gt;"Có",M3246="Có"),OR(DANH_MUC!$L$6&lt;&gt;"Có",N3246="Có"),OR(DANH_MUC!$L$7&lt;&gt;"Có",O3246="Có"),OR(DANH_MUC!$L$8&lt;&gt;"Có",P3246="Có")),"Có","Không"))</f>
        <v/>
      </c>
      <c r="R3246" s="22">
        <f>IF($D3246="","",IF(COUNTIF($D$2:$D3246,$D3246)&gt;1,"Trùng",""))</f>
        <v/>
      </c>
      <c r="S3246" s="22">
        <f>IF($D3246="","",IF(AND(LEN($D3246)=10,LEFT($D3246,1)="0",ISNUMBER(--$D3246)),"Có","Không"))</f>
        <v/>
      </c>
      <c r="T3246" s="22">
        <f>IF($D3246="","",IF(AND($C3246&lt;&gt;"",$Q3246="Có",$R3246="",$S3246="Có",AND($L3246&lt;&gt;"",OR($L3246&lt;&gt;"Chưa xác định",DANH_MUC!$L$9="Có"))),"Có","Không"))</f>
        <v/>
      </c>
      <c r="U3246" s="22">
        <f>IF(OR($D3246="",$T3246="Có"),"",IF($C3246="","Thiếu họ tên; ","")&amp;IF($S3246&lt;&gt;"Có","SĐT sai định dạng; ","")&amp;IF($R3246="Trùng","Trùng SĐT; ","")&amp;IF($Q3246&lt;&gt;"Có","Thiếu đồng ý bắt buộc; ","")&amp;IF($L3246="","Thiếu/sai Mã REF; ",IF(AND($L3246="Chưa xác định",DANH_MUC!$L$9&lt;&gt;"Có"),"Nguồn chưa xác định; ","")))</f>
        <v/>
      </c>
      <c r="V3246" s="22">
        <f>IF(OR($D3246="",$R3246="Trùng"),"",IF(COUNTIF(ORDERS!$C$2:$C$4995,$D3246)&gt;0,"Có","Không"))</f>
        <v/>
      </c>
      <c r="W3246" s="22">
        <f>IF(OR($D3246="",$R3246="Trùng"),"",COUNTIFS(ORDERS!$C$2:$C$4995,$D3246,ORDERS!$L$2:$L$4995,"Đã chuyển khoản"))</f>
        <v/>
      </c>
      <c r="X3246" s="23">
        <f>IF(OR($D3246="",$R3246="Trùng"),"",SUMIFS(ORDERS!$J$2:$J$4995,ORDERS!$C$2:$C$4995,$D3246,ORDERS!$L$2:$L$4995,"Đã chuyển khoản"))</f>
        <v/>
      </c>
      <c r="Y3246" s="24" t="n"/>
    </row>
    <row r="3247" ht="14.25" customHeight="1" s="40">
      <c r="A3247" s="24" t="n"/>
      <c r="B3247" s="27" t="n"/>
      <c r="C3247" s="24" t="n"/>
      <c r="D3247" s="28" t="n"/>
      <c r="E3247" s="29" t="n"/>
      <c r="F3247" s="24" t="n"/>
      <c r="G3247" s="24" t="n"/>
      <c r="H3247" s="21">
        <f>IF(ISNUMBER($B3247),INT($B3247)-WEEKDAY($B3247,2)+1,"")</f>
        <v/>
      </c>
      <c r="I3247" s="24" t="n"/>
      <c r="J3247" s="22">
        <f t="array" ref="J3247">IF($D3247="","",IF($I3247="","(trống REF)",IFERROR(INDEX(MASTER_SOURCE!$B$2:$B$495,MATCH($I3247,MASTER_SOURCE!$A$2:$A$495,0)),"(REF không có trong MASTER_SOURCE)")))</f>
        <v/>
      </c>
      <c r="K3247" s="22">
        <f t="array" ref="K3247">IF($D3247="","",IFERROR(INDEX(MASTER_SOURCE!$C$2:$C$495,MATCH($I3247,MASTER_SOURCE!$A$2:$A$495,0)),""))</f>
        <v/>
      </c>
      <c r="L3247" s="22">
        <f t="array" ref="L3247">IF($D3247="","",IFERROR(INDEX(MASTER_SOURCE!$D$2:$D$495,MATCH($I3247,MASTER_SOURCE!$A$2:$A$495,0)),""))</f>
        <v/>
      </c>
      <c r="M3247" s="24" t="n"/>
      <c r="N3247" s="24" t="n"/>
      <c r="O3247" s="24" t="n"/>
      <c r="P3247" s="24" t="n"/>
      <c r="Q3247" s="22">
        <f>IF($D3247="","",IF(AND(OR(DANH_MUC!$L$5&lt;&gt;"Có",M3247="Có"),OR(DANH_MUC!$L$6&lt;&gt;"Có",N3247="Có"),OR(DANH_MUC!$L$7&lt;&gt;"Có",O3247="Có"),OR(DANH_MUC!$L$8&lt;&gt;"Có",P3247="Có")),"Có","Không"))</f>
        <v/>
      </c>
      <c r="R3247" s="22">
        <f>IF($D3247="","",IF(COUNTIF($D$2:$D3247,$D3247)&gt;1,"Trùng",""))</f>
        <v/>
      </c>
      <c r="S3247" s="22">
        <f>IF($D3247="","",IF(AND(LEN($D3247)=10,LEFT($D3247,1)="0",ISNUMBER(--$D3247)),"Có","Không"))</f>
        <v/>
      </c>
      <c r="T3247" s="22">
        <f>IF($D3247="","",IF(AND($C3247&lt;&gt;"",$Q3247="Có",$R3247="",$S3247="Có",AND($L3247&lt;&gt;"",OR($L3247&lt;&gt;"Chưa xác định",DANH_MUC!$L$9="Có"))),"Có","Không"))</f>
        <v/>
      </c>
      <c r="U3247" s="22">
        <f>IF(OR($D3247="",$T3247="Có"),"",IF($C3247="","Thiếu họ tên; ","")&amp;IF($S3247&lt;&gt;"Có","SĐT sai định dạng; ","")&amp;IF($R3247="Trùng","Trùng SĐT; ","")&amp;IF($Q3247&lt;&gt;"Có","Thiếu đồng ý bắt buộc; ","")&amp;IF($L3247="","Thiếu/sai Mã REF; ",IF(AND($L3247="Chưa xác định",DANH_MUC!$L$9&lt;&gt;"Có"),"Nguồn chưa xác định; ","")))</f>
        <v/>
      </c>
      <c r="V3247" s="22">
        <f>IF(OR($D3247="",$R3247="Trùng"),"",IF(COUNTIF(ORDERS!$C$2:$C$4995,$D3247)&gt;0,"Có","Không"))</f>
        <v/>
      </c>
      <c r="W3247" s="22">
        <f>IF(OR($D3247="",$R3247="Trùng"),"",COUNTIFS(ORDERS!$C$2:$C$4995,$D3247,ORDERS!$L$2:$L$4995,"Đã chuyển khoản"))</f>
        <v/>
      </c>
      <c r="X3247" s="23">
        <f>IF(OR($D3247="",$R3247="Trùng"),"",SUMIFS(ORDERS!$J$2:$J$4995,ORDERS!$C$2:$C$4995,$D3247,ORDERS!$L$2:$L$4995,"Đã chuyển khoản"))</f>
        <v/>
      </c>
      <c r="Y3247" s="24" t="n"/>
    </row>
    <row r="3248" ht="14.25" customHeight="1" s="40">
      <c r="A3248" s="24" t="n"/>
      <c r="B3248" s="27" t="n"/>
      <c r="C3248" s="24" t="n"/>
      <c r="D3248" s="28" t="n"/>
      <c r="E3248" s="29" t="n"/>
      <c r="F3248" s="24" t="n"/>
      <c r="G3248" s="24" t="n"/>
      <c r="H3248" s="21">
        <f>IF(ISNUMBER($B3248),INT($B3248)-WEEKDAY($B3248,2)+1,"")</f>
        <v/>
      </c>
      <c r="I3248" s="24" t="n"/>
      <c r="J3248" s="22">
        <f t="array" ref="J3248">IF($D3248="","",IF($I3248="","(trống REF)",IFERROR(INDEX(MASTER_SOURCE!$B$2:$B$495,MATCH($I3248,MASTER_SOURCE!$A$2:$A$495,0)),"(REF không có trong MASTER_SOURCE)")))</f>
        <v/>
      </c>
      <c r="K3248" s="22">
        <f t="array" ref="K3248">IF($D3248="","",IFERROR(INDEX(MASTER_SOURCE!$C$2:$C$495,MATCH($I3248,MASTER_SOURCE!$A$2:$A$495,0)),""))</f>
        <v/>
      </c>
      <c r="L3248" s="22">
        <f t="array" ref="L3248">IF($D3248="","",IFERROR(INDEX(MASTER_SOURCE!$D$2:$D$495,MATCH($I3248,MASTER_SOURCE!$A$2:$A$495,0)),""))</f>
        <v/>
      </c>
      <c r="M3248" s="24" t="n"/>
      <c r="N3248" s="24" t="n"/>
      <c r="O3248" s="24" t="n"/>
      <c r="P3248" s="24" t="n"/>
      <c r="Q3248" s="22">
        <f>IF($D3248="","",IF(AND(OR(DANH_MUC!$L$5&lt;&gt;"Có",M3248="Có"),OR(DANH_MUC!$L$6&lt;&gt;"Có",N3248="Có"),OR(DANH_MUC!$L$7&lt;&gt;"Có",O3248="Có"),OR(DANH_MUC!$L$8&lt;&gt;"Có",P3248="Có")),"Có","Không"))</f>
        <v/>
      </c>
      <c r="R3248" s="22">
        <f>IF($D3248="","",IF(COUNTIF($D$2:$D3248,$D3248)&gt;1,"Trùng",""))</f>
        <v/>
      </c>
      <c r="S3248" s="22">
        <f>IF($D3248="","",IF(AND(LEN($D3248)=10,LEFT($D3248,1)="0",ISNUMBER(--$D3248)),"Có","Không"))</f>
        <v/>
      </c>
      <c r="T3248" s="22">
        <f>IF($D3248="","",IF(AND($C3248&lt;&gt;"",$Q3248="Có",$R3248="",$S3248="Có",AND($L3248&lt;&gt;"",OR($L3248&lt;&gt;"Chưa xác định",DANH_MUC!$L$9="Có"))),"Có","Không"))</f>
        <v/>
      </c>
      <c r="U3248" s="22">
        <f>IF(OR($D3248="",$T3248="Có"),"",IF($C3248="","Thiếu họ tên; ","")&amp;IF($S3248&lt;&gt;"Có","SĐT sai định dạng; ","")&amp;IF($R3248="Trùng","Trùng SĐT; ","")&amp;IF($Q3248&lt;&gt;"Có","Thiếu đồng ý bắt buộc; ","")&amp;IF($L3248="","Thiếu/sai Mã REF; ",IF(AND($L3248="Chưa xác định",DANH_MUC!$L$9&lt;&gt;"Có"),"Nguồn chưa xác định; ","")))</f>
        <v/>
      </c>
      <c r="V3248" s="22">
        <f>IF(OR($D3248="",$R3248="Trùng"),"",IF(COUNTIF(ORDERS!$C$2:$C$4995,$D3248)&gt;0,"Có","Không"))</f>
        <v/>
      </c>
      <c r="W3248" s="22">
        <f>IF(OR($D3248="",$R3248="Trùng"),"",COUNTIFS(ORDERS!$C$2:$C$4995,$D3248,ORDERS!$L$2:$L$4995,"Đã chuyển khoản"))</f>
        <v/>
      </c>
      <c r="X3248" s="23">
        <f>IF(OR($D3248="",$R3248="Trùng"),"",SUMIFS(ORDERS!$J$2:$J$4995,ORDERS!$C$2:$C$4995,$D3248,ORDERS!$L$2:$L$4995,"Đã chuyển khoản"))</f>
        <v/>
      </c>
      <c r="Y3248" s="24" t="n"/>
    </row>
    <row r="3249" ht="14.25" customHeight="1" s="40">
      <c r="A3249" s="24" t="n"/>
      <c r="B3249" s="27" t="n"/>
      <c r="C3249" s="24" t="n"/>
      <c r="D3249" s="28" t="n"/>
      <c r="E3249" s="29" t="n"/>
      <c r="F3249" s="24" t="n"/>
      <c r="G3249" s="24" t="n"/>
      <c r="H3249" s="21">
        <f>IF(ISNUMBER($B3249),INT($B3249)-WEEKDAY($B3249,2)+1,"")</f>
        <v/>
      </c>
      <c r="I3249" s="24" t="n"/>
      <c r="J3249" s="22">
        <f t="array" ref="J3249">IF($D3249="","",IF($I3249="","(trống REF)",IFERROR(INDEX(MASTER_SOURCE!$B$2:$B$495,MATCH($I3249,MASTER_SOURCE!$A$2:$A$495,0)),"(REF không có trong MASTER_SOURCE)")))</f>
        <v/>
      </c>
      <c r="K3249" s="22">
        <f t="array" ref="K3249">IF($D3249="","",IFERROR(INDEX(MASTER_SOURCE!$C$2:$C$495,MATCH($I3249,MASTER_SOURCE!$A$2:$A$495,0)),""))</f>
        <v/>
      </c>
      <c r="L3249" s="22">
        <f t="array" ref="L3249">IF($D3249="","",IFERROR(INDEX(MASTER_SOURCE!$D$2:$D$495,MATCH($I3249,MASTER_SOURCE!$A$2:$A$495,0)),""))</f>
        <v/>
      </c>
      <c r="M3249" s="24" t="n"/>
      <c r="N3249" s="24" t="n"/>
      <c r="O3249" s="24" t="n"/>
      <c r="P3249" s="24" t="n"/>
      <c r="Q3249" s="22">
        <f>IF($D3249="","",IF(AND(OR(DANH_MUC!$L$5&lt;&gt;"Có",M3249="Có"),OR(DANH_MUC!$L$6&lt;&gt;"Có",N3249="Có"),OR(DANH_MUC!$L$7&lt;&gt;"Có",O3249="Có"),OR(DANH_MUC!$L$8&lt;&gt;"Có",P3249="Có")),"Có","Không"))</f>
        <v/>
      </c>
      <c r="R3249" s="22">
        <f>IF($D3249="","",IF(COUNTIF($D$2:$D3249,$D3249)&gt;1,"Trùng",""))</f>
        <v/>
      </c>
      <c r="S3249" s="22">
        <f>IF($D3249="","",IF(AND(LEN($D3249)=10,LEFT($D3249,1)="0",ISNUMBER(--$D3249)),"Có","Không"))</f>
        <v/>
      </c>
      <c r="T3249" s="22">
        <f>IF($D3249="","",IF(AND($C3249&lt;&gt;"",$Q3249="Có",$R3249="",$S3249="Có",AND($L3249&lt;&gt;"",OR($L3249&lt;&gt;"Chưa xác định",DANH_MUC!$L$9="Có"))),"Có","Không"))</f>
        <v/>
      </c>
      <c r="U3249" s="22">
        <f>IF(OR($D3249="",$T3249="Có"),"",IF($C3249="","Thiếu họ tên; ","")&amp;IF($S3249&lt;&gt;"Có","SĐT sai định dạng; ","")&amp;IF($R3249="Trùng","Trùng SĐT; ","")&amp;IF($Q3249&lt;&gt;"Có","Thiếu đồng ý bắt buộc; ","")&amp;IF($L3249="","Thiếu/sai Mã REF; ",IF(AND($L3249="Chưa xác định",DANH_MUC!$L$9&lt;&gt;"Có"),"Nguồn chưa xác định; ","")))</f>
        <v/>
      </c>
      <c r="V3249" s="22">
        <f>IF(OR($D3249="",$R3249="Trùng"),"",IF(COUNTIF(ORDERS!$C$2:$C$4995,$D3249)&gt;0,"Có","Không"))</f>
        <v/>
      </c>
      <c r="W3249" s="22">
        <f>IF(OR($D3249="",$R3249="Trùng"),"",COUNTIFS(ORDERS!$C$2:$C$4995,$D3249,ORDERS!$L$2:$L$4995,"Đã chuyển khoản"))</f>
        <v/>
      </c>
      <c r="X3249" s="23">
        <f>IF(OR($D3249="",$R3249="Trùng"),"",SUMIFS(ORDERS!$J$2:$J$4995,ORDERS!$C$2:$C$4995,$D3249,ORDERS!$L$2:$L$4995,"Đã chuyển khoản"))</f>
        <v/>
      </c>
      <c r="Y3249" s="24" t="n"/>
    </row>
    <row r="3250" ht="14.25" customHeight="1" s="40">
      <c r="A3250" s="24" t="n"/>
      <c r="B3250" s="27" t="n"/>
      <c r="C3250" s="24" t="n"/>
      <c r="D3250" s="28" t="n"/>
      <c r="E3250" s="29" t="n"/>
      <c r="F3250" s="24" t="n"/>
      <c r="G3250" s="24" t="n"/>
      <c r="H3250" s="21">
        <f>IF(ISNUMBER($B3250),INT($B3250)-WEEKDAY($B3250,2)+1,"")</f>
        <v/>
      </c>
      <c r="I3250" s="24" t="n"/>
      <c r="J3250" s="22">
        <f t="array" ref="J3250">IF($D3250="","",IF($I3250="","(trống REF)",IFERROR(INDEX(MASTER_SOURCE!$B$2:$B$495,MATCH($I3250,MASTER_SOURCE!$A$2:$A$495,0)),"(REF không có trong MASTER_SOURCE)")))</f>
        <v/>
      </c>
      <c r="K3250" s="22">
        <f t="array" ref="K3250">IF($D3250="","",IFERROR(INDEX(MASTER_SOURCE!$C$2:$C$495,MATCH($I3250,MASTER_SOURCE!$A$2:$A$495,0)),""))</f>
        <v/>
      </c>
      <c r="L3250" s="22">
        <f t="array" ref="L3250">IF($D3250="","",IFERROR(INDEX(MASTER_SOURCE!$D$2:$D$495,MATCH($I3250,MASTER_SOURCE!$A$2:$A$495,0)),""))</f>
        <v/>
      </c>
      <c r="M3250" s="24" t="n"/>
      <c r="N3250" s="24" t="n"/>
      <c r="O3250" s="24" t="n"/>
      <c r="P3250" s="24" t="n"/>
      <c r="Q3250" s="22">
        <f>IF($D3250="","",IF(AND(OR(DANH_MUC!$L$5&lt;&gt;"Có",M3250="Có"),OR(DANH_MUC!$L$6&lt;&gt;"Có",N3250="Có"),OR(DANH_MUC!$L$7&lt;&gt;"Có",O3250="Có"),OR(DANH_MUC!$L$8&lt;&gt;"Có",P3250="Có")),"Có","Không"))</f>
        <v/>
      </c>
      <c r="R3250" s="22">
        <f>IF($D3250="","",IF(COUNTIF($D$2:$D3250,$D3250)&gt;1,"Trùng",""))</f>
        <v/>
      </c>
      <c r="S3250" s="22">
        <f>IF($D3250="","",IF(AND(LEN($D3250)=10,LEFT($D3250,1)="0",ISNUMBER(--$D3250)),"Có","Không"))</f>
        <v/>
      </c>
      <c r="T3250" s="22">
        <f>IF($D3250="","",IF(AND($C3250&lt;&gt;"",$Q3250="Có",$R3250="",$S3250="Có",AND($L3250&lt;&gt;"",OR($L3250&lt;&gt;"Chưa xác định",DANH_MUC!$L$9="Có"))),"Có","Không"))</f>
        <v/>
      </c>
      <c r="U3250" s="22">
        <f>IF(OR($D3250="",$T3250="Có"),"",IF($C3250="","Thiếu họ tên; ","")&amp;IF($S3250&lt;&gt;"Có","SĐT sai định dạng; ","")&amp;IF($R3250="Trùng","Trùng SĐT; ","")&amp;IF($Q3250&lt;&gt;"Có","Thiếu đồng ý bắt buộc; ","")&amp;IF($L3250="","Thiếu/sai Mã REF; ",IF(AND($L3250="Chưa xác định",DANH_MUC!$L$9&lt;&gt;"Có"),"Nguồn chưa xác định; ","")))</f>
        <v/>
      </c>
      <c r="V3250" s="22">
        <f>IF(OR($D3250="",$R3250="Trùng"),"",IF(COUNTIF(ORDERS!$C$2:$C$4995,$D3250)&gt;0,"Có","Không"))</f>
        <v/>
      </c>
      <c r="W3250" s="22">
        <f>IF(OR($D3250="",$R3250="Trùng"),"",COUNTIFS(ORDERS!$C$2:$C$4995,$D3250,ORDERS!$L$2:$L$4995,"Đã chuyển khoản"))</f>
        <v/>
      </c>
      <c r="X3250" s="23">
        <f>IF(OR($D3250="",$R3250="Trùng"),"",SUMIFS(ORDERS!$J$2:$J$4995,ORDERS!$C$2:$C$4995,$D3250,ORDERS!$L$2:$L$4995,"Đã chuyển khoản"))</f>
        <v/>
      </c>
      <c r="Y3250" s="24" t="n"/>
    </row>
    <row r="3251" ht="14.25" customHeight="1" s="40">
      <c r="A3251" s="24" t="n"/>
      <c r="B3251" s="27" t="n"/>
      <c r="C3251" s="24" t="n"/>
      <c r="D3251" s="28" t="n"/>
      <c r="E3251" s="29" t="n"/>
      <c r="F3251" s="24" t="n"/>
      <c r="G3251" s="24" t="n"/>
      <c r="H3251" s="21">
        <f>IF(ISNUMBER($B3251),INT($B3251)-WEEKDAY($B3251,2)+1,"")</f>
        <v/>
      </c>
      <c r="I3251" s="24" t="n"/>
      <c r="J3251" s="22">
        <f t="array" ref="J3251">IF($D3251="","",IF($I3251="","(trống REF)",IFERROR(INDEX(MASTER_SOURCE!$B$2:$B$495,MATCH($I3251,MASTER_SOURCE!$A$2:$A$495,0)),"(REF không có trong MASTER_SOURCE)")))</f>
        <v/>
      </c>
      <c r="K3251" s="22">
        <f t="array" ref="K3251">IF($D3251="","",IFERROR(INDEX(MASTER_SOURCE!$C$2:$C$495,MATCH($I3251,MASTER_SOURCE!$A$2:$A$495,0)),""))</f>
        <v/>
      </c>
      <c r="L3251" s="22">
        <f t="array" ref="L3251">IF($D3251="","",IFERROR(INDEX(MASTER_SOURCE!$D$2:$D$495,MATCH($I3251,MASTER_SOURCE!$A$2:$A$495,0)),""))</f>
        <v/>
      </c>
      <c r="M3251" s="24" t="n"/>
      <c r="N3251" s="24" t="n"/>
      <c r="O3251" s="24" t="n"/>
      <c r="P3251" s="24" t="n"/>
      <c r="Q3251" s="22">
        <f>IF($D3251="","",IF(AND(OR(DANH_MUC!$L$5&lt;&gt;"Có",M3251="Có"),OR(DANH_MUC!$L$6&lt;&gt;"Có",N3251="Có"),OR(DANH_MUC!$L$7&lt;&gt;"Có",O3251="Có"),OR(DANH_MUC!$L$8&lt;&gt;"Có",P3251="Có")),"Có","Không"))</f>
        <v/>
      </c>
      <c r="R3251" s="22">
        <f>IF($D3251="","",IF(COUNTIF($D$2:$D3251,$D3251)&gt;1,"Trùng",""))</f>
        <v/>
      </c>
      <c r="S3251" s="22">
        <f>IF($D3251="","",IF(AND(LEN($D3251)=10,LEFT($D3251,1)="0",ISNUMBER(--$D3251)),"Có","Không"))</f>
        <v/>
      </c>
      <c r="T3251" s="22">
        <f>IF($D3251="","",IF(AND($C3251&lt;&gt;"",$Q3251="Có",$R3251="",$S3251="Có",AND($L3251&lt;&gt;"",OR($L3251&lt;&gt;"Chưa xác định",DANH_MUC!$L$9="Có"))),"Có","Không"))</f>
        <v/>
      </c>
      <c r="U3251" s="22">
        <f>IF(OR($D3251="",$T3251="Có"),"",IF($C3251="","Thiếu họ tên; ","")&amp;IF($S3251&lt;&gt;"Có","SĐT sai định dạng; ","")&amp;IF($R3251="Trùng","Trùng SĐT; ","")&amp;IF($Q3251&lt;&gt;"Có","Thiếu đồng ý bắt buộc; ","")&amp;IF($L3251="","Thiếu/sai Mã REF; ",IF(AND($L3251="Chưa xác định",DANH_MUC!$L$9&lt;&gt;"Có"),"Nguồn chưa xác định; ","")))</f>
        <v/>
      </c>
      <c r="V3251" s="22">
        <f>IF(OR($D3251="",$R3251="Trùng"),"",IF(COUNTIF(ORDERS!$C$2:$C$4995,$D3251)&gt;0,"Có","Không"))</f>
        <v/>
      </c>
      <c r="W3251" s="22">
        <f>IF(OR($D3251="",$R3251="Trùng"),"",COUNTIFS(ORDERS!$C$2:$C$4995,$D3251,ORDERS!$L$2:$L$4995,"Đã chuyển khoản"))</f>
        <v/>
      </c>
      <c r="X3251" s="23">
        <f>IF(OR($D3251="",$R3251="Trùng"),"",SUMIFS(ORDERS!$J$2:$J$4995,ORDERS!$C$2:$C$4995,$D3251,ORDERS!$L$2:$L$4995,"Đã chuyển khoản"))</f>
        <v/>
      </c>
      <c r="Y3251" s="24" t="n"/>
    </row>
    <row r="3252" ht="14.25" customHeight="1" s="40">
      <c r="A3252" s="24" t="n"/>
      <c r="B3252" s="27" t="n"/>
      <c r="C3252" s="24" t="n"/>
      <c r="D3252" s="28" t="n"/>
      <c r="E3252" s="29" t="n"/>
      <c r="F3252" s="24" t="n"/>
      <c r="G3252" s="24" t="n"/>
      <c r="H3252" s="21">
        <f>IF(ISNUMBER($B3252),INT($B3252)-WEEKDAY($B3252,2)+1,"")</f>
        <v/>
      </c>
      <c r="I3252" s="24" t="n"/>
      <c r="J3252" s="22">
        <f t="array" ref="J3252">IF($D3252="","",IF($I3252="","(trống REF)",IFERROR(INDEX(MASTER_SOURCE!$B$2:$B$495,MATCH($I3252,MASTER_SOURCE!$A$2:$A$495,0)),"(REF không có trong MASTER_SOURCE)")))</f>
        <v/>
      </c>
      <c r="K3252" s="22">
        <f t="array" ref="K3252">IF($D3252="","",IFERROR(INDEX(MASTER_SOURCE!$C$2:$C$495,MATCH($I3252,MASTER_SOURCE!$A$2:$A$495,0)),""))</f>
        <v/>
      </c>
      <c r="L3252" s="22">
        <f t="array" ref="L3252">IF($D3252="","",IFERROR(INDEX(MASTER_SOURCE!$D$2:$D$495,MATCH($I3252,MASTER_SOURCE!$A$2:$A$495,0)),""))</f>
        <v/>
      </c>
      <c r="M3252" s="24" t="n"/>
      <c r="N3252" s="24" t="n"/>
      <c r="O3252" s="24" t="n"/>
      <c r="P3252" s="24" t="n"/>
      <c r="Q3252" s="22">
        <f>IF($D3252="","",IF(AND(OR(DANH_MUC!$L$5&lt;&gt;"Có",M3252="Có"),OR(DANH_MUC!$L$6&lt;&gt;"Có",N3252="Có"),OR(DANH_MUC!$L$7&lt;&gt;"Có",O3252="Có"),OR(DANH_MUC!$L$8&lt;&gt;"Có",P3252="Có")),"Có","Không"))</f>
        <v/>
      </c>
      <c r="R3252" s="22">
        <f>IF($D3252="","",IF(COUNTIF($D$2:$D3252,$D3252)&gt;1,"Trùng",""))</f>
        <v/>
      </c>
      <c r="S3252" s="22">
        <f>IF($D3252="","",IF(AND(LEN($D3252)=10,LEFT($D3252,1)="0",ISNUMBER(--$D3252)),"Có","Không"))</f>
        <v/>
      </c>
      <c r="T3252" s="22">
        <f>IF($D3252="","",IF(AND($C3252&lt;&gt;"",$Q3252="Có",$R3252="",$S3252="Có",AND($L3252&lt;&gt;"",OR($L3252&lt;&gt;"Chưa xác định",DANH_MUC!$L$9="Có"))),"Có","Không"))</f>
        <v/>
      </c>
      <c r="U3252" s="22">
        <f>IF(OR($D3252="",$T3252="Có"),"",IF($C3252="","Thiếu họ tên; ","")&amp;IF($S3252&lt;&gt;"Có","SĐT sai định dạng; ","")&amp;IF($R3252="Trùng","Trùng SĐT; ","")&amp;IF($Q3252&lt;&gt;"Có","Thiếu đồng ý bắt buộc; ","")&amp;IF($L3252="","Thiếu/sai Mã REF; ",IF(AND($L3252="Chưa xác định",DANH_MUC!$L$9&lt;&gt;"Có"),"Nguồn chưa xác định; ","")))</f>
        <v/>
      </c>
      <c r="V3252" s="22">
        <f>IF(OR($D3252="",$R3252="Trùng"),"",IF(COUNTIF(ORDERS!$C$2:$C$4995,$D3252)&gt;0,"Có","Không"))</f>
        <v/>
      </c>
      <c r="W3252" s="22">
        <f>IF(OR($D3252="",$R3252="Trùng"),"",COUNTIFS(ORDERS!$C$2:$C$4995,$D3252,ORDERS!$L$2:$L$4995,"Đã chuyển khoản"))</f>
        <v/>
      </c>
      <c r="X3252" s="23">
        <f>IF(OR($D3252="",$R3252="Trùng"),"",SUMIFS(ORDERS!$J$2:$J$4995,ORDERS!$C$2:$C$4995,$D3252,ORDERS!$L$2:$L$4995,"Đã chuyển khoản"))</f>
        <v/>
      </c>
      <c r="Y3252" s="24" t="n"/>
    </row>
    <row r="3253" ht="14.25" customHeight="1" s="40">
      <c r="A3253" s="24" t="n"/>
      <c r="B3253" s="27" t="n"/>
      <c r="C3253" s="24" t="n"/>
      <c r="D3253" s="28" t="n"/>
      <c r="E3253" s="29" t="n"/>
      <c r="F3253" s="24" t="n"/>
      <c r="G3253" s="24" t="n"/>
      <c r="H3253" s="21">
        <f>IF(ISNUMBER($B3253),INT($B3253)-WEEKDAY($B3253,2)+1,"")</f>
        <v/>
      </c>
      <c r="I3253" s="24" t="n"/>
      <c r="J3253" s="22">
        <f t="array" ref="J3253">IF($D3253="","",IF($I3253="","(trống REF)",IFERROR(INDEX(MASTER_SOURCE!$B$2:$B$495,MATCH($I3253,MASTER_SOURCE!$A$2:$A$495,0)),"(REF không có trong MASTER_SOURCE)")))</f>
        <v/>
      </c>
      <c r="K3253" s="22">
        <f t="array" ref="K3253">IF($D3253="","",IFERROR(INDEX(MASTER_SOURCE!$C$2:$C$495,MATCH($I3253,MASTER_SOURCE!$A$2:$A$495,0)),""))</f>
        <v/>
      </c>
      <c r="L3253" s="22">
        <f t="array" ref="L3253">IF($D3253="","",IFERROR(INDEX(MASTER_SOURCE!$D$2:$D$495,MATCH($I3253,MASTER_SOURCE!$A$2:$A$495,0)),""))</f>
        <v/>
      </c>
      <c r="M3253" s="24" t="n"/>
      <c r="N3253" s="24" t="n"/>
      <c r="O3253" s="24" t="n"/>
      <c r="P3253" s="24" t="n"/>
      <c r="Q3253" s="22">
        <f>IF($D3253="","",IF(AND(OR(DANH_MUC!$L$5&lt;&gt;"Có",M3253="Có"),OR(DANH_MUC!$L$6&lt;&gt;"Có",N3253="Có"),OR(DANH_MUC!$L$7&lt;&gt;"Có",O3253="Có"),OR(DANH_MUC!$L$8&lt;&gt;"Có",P3253="Có")),"Có","Không"))</f>
        <v/>
      </c>
      <c r="R3253" s="22">
        <f>IF($D3253="","",IF(COUNTIF($D$2:$D3253,$D3253)&gt;1,"Trùng",""))</f>
        <v/>
      </c>
      <c r="S3253" s="22">
        <f>IF($D3253="","",IF(AND(LEN($D3253)=10,LEFT($D3253,1)="0",ISNUMBER(--$D3253)),"Có","Không"))</f>
        <v/>
      </c>
      <c r="T3253" s="22">
        <f>IF($D3253="","",IF(AND($C3253&lt;&gt;"",$Q3253="Có",$R3253="",$S3253="Có",AND($L3253&lt;&gt;"",OR($L3253&lt;&gt;"Chưa xác định",DANH_MUC!$L$9="Có"))),"Có","Không"))</f>
        <v/>
      </c>
      <c r="U3253" s="22">
        <f>IF(OR($D3253="",$T3253="Có"),"",IF($C3253="","Thiếu họ tên; ","")&amp;IF($S3253&lt;&gt;"Có","SĐT sai định dạng; ","")&amp;IF($R3253="Trùng","Trùng SĐT; ","")&amp;IF($Q3253&lt;&gt;"Có","Thiếu đồng ý bắt buộc; ","")&amp;IF($L3253="","Thiếu/sai Mã REF; ",IF(AND($L3253="Chưa xác định",DANH_MUC!$L$9&lt;&gt;"Có"),"Nguồn chưa xác định; ","")))</f>
        <v/>
      </c>
      <c r="V3253" s="22">
        <f>IF(OR($D3253="",$R3253="Trùng"),"",IF(COUNTIF(ORDERS!$C$2:$C$4995,$D3253)&gt;0,"Có","Không"))</f>
        <v/>
      </c>
      <c r="W3253" s="22">
        <f>IF(OR($D3253="",$R3253="Trùng"),"",COUNTIFS(ORDERS!$C$2:$C$4995,$D3253,ORDERS!$L$2:$L$4995,"Đã chuyển khoản"))</f>
        <v/>
      </c>
      <c r="X3253" s="23">
        <f>IF(OR($D3253="",$R3253="Trùng"),"",SUMIFS(ORDERS!$J$2:$J$4995,ORDERS!$C$2:$C$4995,$D3253,ORDERS!$L$2:$L$4995,"Đã chuyển khoản"))</f>
        <v/>
      </c>
      <c r="Y3253" s="24" t="n"/>
    </row>
    <row r="3254" ht="14.25" customHeight="1" s="40">
      <c r="A3254" s="24" t="n"/>
      <c r="B3254" s="27" t="n"/>
      <c r="C3254" s="24" t="n"/>
      <c r="D3254" s="28" t="n"/>
      <c r="E3254" s="29" t="n"/>
      <c r="F3254" s="24" t="n"/>
      <c r="G3254" s="24" t="n"/>
      <c r="H3254" s="21">
        <f>IF(ISNUMBER($B3254),INT($B3254)-WEEKDAY($B3254,2)+1,"")</f>
        <v/>
      </c>
      <c r="I3254" s="24" t="n"/>
      <c r="J3254" s="22">
        <f t="array" ref="J3254">IF($D3254="","",IF($I3254="","(trống REF)",IFERROR(INDEX(MASTER_SOURCE!$B$2:$B$495,MATCH($I3254,MASTER_SOURCE!$A$2:$A$495,0)),"(REF không có trong MASTER_SOURCE)")))</f>
        <v/>
      </c>
      <c r="K3254" s="22">
        <f t="array" ref="K3254">IF($D3254="","",IFERROR(INDEX(MASTER_SOURCE!$C$2:$C$495,MATCH($I3254,MASTER_SOURCE!$A$2:$A$495,0)),""))</f>
        <v/>
      </c>
      <c r="L3254" s="22">
        <f t="array" ref="L3254">IF($D3254="","",IFERROR(INDEX(MASTER_SOURCE!$D$2:$D$495,MATCH($I3254,MASTER_SOURCE!$A$2:$A$495,0)),""))</f>
        <v/>
      </c>
      <c r="M3254" s="24" t="n"/>
      <c r="N3254" s="24" t="n"/>
      <c r="O3254" s="24" t="n"/>
      <c r="P3254" s="24" t="n"/>
      <c r="Q3254" s="22">
        <f>IF($D3254="","",IF(AND(OR(DANH_MUC!$L$5&lt;&gt;"Có",M3254="Có"),OR(DANH_MUC!$L$6&lt;&gt;"Có",N3254="Có"),OR(DANH_MUC!$L$7&lt;&gt;"Có",O3254="Có"),OR(DANH_MUC!$L$8&lt;&gt;"Có",P3254="Có")),"Có","Không"))</f>
        <v/>
      </c>
      <c r="R3254" s="22">
        <f>IF($D3254="","",IF(COUNTIF($D$2:$D3254,$D3254)&gt;1,"Trùng",""))</f>
        <v/>
      </c>
      <c r="S3254" s="22">
        <f>IF($D3254="","",IF(AND(LEN($D3254)=10,LEFT($D3254,1)="0",ISNUMBER(--$D3254)),"Có","Không"))</f>
        <v/>
      </c>
      <c r="T3254" s="22">
        <f>IF($D3254="","",IF(AND($C3254&lt;&gt;"",$Q3254="Có",$R3254="",$S3254="Có",AND($L3254&lt;&gt;"",OR($L3254&lt;&gt;"Chưa xác định",DANH_MUC!$L$9="Có"))),"Có","Không"))</f>
        <v/>
      </c>
      <c r="U3254" s="22">
        <f>IF(OR($D3254="",$T3254="Có"),"",IF($C3254="","Thiếu họ tên; ","")&amp;IF($S3254&lt;&gt;"Có","SĐT sai định dạng; ","")&amp;IF($R3254="Trùng","Trùng SĐT; ","")&amp;IF($Q3254&lt;&gt;"Có","Thiếu đồng ý bắt buộc; ","")&amp;IF($L3254="","Thiếu/sai Mã REF; ",IF(AND($L3254="Chưa xác định",DANH_MUC!$L$9&lt;&gt;"Có"),"Nguồn chưa xác định; ","")))</f>
        <v/>
      </c>
      <c r="V3254" s="22">
        <f>IF(OR($D3254="",$R3254="Trùng"),"",IF(COUNTIF(ORDERS!$C$2:$C$4995,$D3254)&gt;0,"Có","Không"))</f>
        <v/>
      </c>
      <c r="W3254" s="22">
        <f>IF(OR($D3254="",$R3254="Trùng"),"",COUNTIFS(ORDERS!$C$2:$C$4995,$D3254,ORDERS!$L$2:$L$4995,"Đã chuyển khoản"))</f>
        <v/>
      </c>
      <c r="X3254" s="23">
        <f>IF(OR($D3254="",$R3254="Trùng"),"",SUMIFS(ORDERS!$J$2:$J$4995,ORDERS!$C$2:$C$4995,$D3254,ORDERS!$L$2:$L$4995,"Đã chuyển khoản"))</f>
        <v/>
      </c>
      <c r="Y3254" s="24" t="n"/>
    </row>
    <row r="3255" ht="14.25" customHeight="1" s="40">
      <c r="A3255" s="24" t="n"/>
      <c r="B3255" s="27" t="n"/>
      <c r="C3255" s="24" t="n"/>
      <c r="D3255" s="28" t="n"/>
      <c r="E3255" s="29" t="n"/>
      <c r="F3255" s="24" t="n"/>
      <c r="G3255" s="24" t="n"/>
      <c r="H3255" s="21">
        <f>IF(ISNUMBER($B3255),INT($B3255)-WEEKDAY($B3255,2)+1,"")</f>
        <v/>
      </c>
      <c r="I3255" s="24" t="n"/>
      <c r="J3255" s="22">
        <f t="array" ref="J3255">IF($D3255="","",IF($I3255="","(trống REF)",IFERROR(INDEX(MASTER_SOURCE!$B$2:$B$495,MATCH($I3255,MASTER_SOURCE!$A$2:$A$495,0)),"(REF không có trong MASTER_SOURCE)")))</f>
        <v/>
      </c>
      <c r="K3255" s="22">
        <f t="array" ref="K3255">IF($D3255="","",IFERROR(INDEX(MASTER_SOURCE!$C$2:$C$495,MATCH($I3255,MASTER_SOURCE!$A$2:$A$495,0)),""))</f>
        <v/>
      </c>
      <c r="L3255" s="22">
        <f t="array" ref="L3255">IF($D3255="","",IFERROR(INDEX(MASTER_SOURCE!$D$2:$D$495,MATCH($I3255,MASTER_SOURCE!$A$2:$A$495,0)),""))</f>
        <v/>
      </c>
      <c r="M3255" s="24" t="n"/>
      <c r="N3255" s="24" t="n"/>
      <c r="O3255" s="24" t="n"/>
      <c r="P3255" s="24" t="n"/>
      <c r="Q3255" s="22">
        <f>IF($D3255="","",IF(AND(OR(DANH_MUC!$L$5&lt;&gt;"Có",M3255="Có"),OR(DANH_MUC!$L$6&lt;&gt;"Có",N3255="Có"),OR(DANH_MUC!$L$7&lt;&gt;"Có",O3255="Có"),OR(DANH_MUC!$L$8&lt;&gt;"Có",P3255="Có")),"Có","Không"))</f>
        <v/>
      </c>
      <c r="R3255" s="22">
        <f>IF($D3255="","",IF(COUNTIF($D$2:$D3255,$D3255)&gt;1,"Trùng",""))</f>
        <v/>
      </c>
      <c r="S3255" s="22">
        <f>IF($D3255="","",IF(AND(LEN($D3255)=10,LEFT($D3255,1)="0",ISNUMBER(--$D3255)),"Có","Không"))</f>
        <v/>
      </c>
      <c r="T3255" s="22">
        <f>IF($D3255="","",IF(AND($C3255&lt;&gt;"",$Q3255="Có",$R3255="",$S3255="Có",AND($L3255&lt;&gt;"",OR($L3255&lt;&gt;"Chưa xác định",DANH_MUC!$L$9="Có"))),"Có","Không"))</f>
        <v/>
      </c>
      <c r="U3255" s="22">
        <f>IF(OR($D3255="",$T3255="Có"),"",IF($C3255="","Thiếu họ tên; ","")&amp;IF($S3255&lt;&gt;"Có","SĐT sai định dạng; ","")&amp;IF($R3255="Trùng","Trùng SĐT; ","")&amp;IF($Q3255&lt;&gt;"Có","Thiếu đồng ý bắt buộc; ","")&amp;IF($L3255="","Thiếu/sai Mã REF; ",IF(AND($L3255="Chưa xác định",DANH_MUC!$L$9&lt;&gt;"Có"),"Nguồn chưa xác định; ","")))</f>
        <v/>
      </c>
      <c r="V3255" s="22">
        <f>IF(OR($D3255="",$R3255="Trùng"),"",IF(COUNTIF(ORDERS!$C$2:$C$4995,$D3255)&gt;0,"Có","Không"))</f>
        <v/>
      </c>
      <c r="W3255" s="22">
        <f>IF(OR($D3255="",$R3255="Trùng"),"",COUNTIFS(ORDERS!$C$2:$C$4995,$D3255,ORDERS!$L$2:$L$4995,"Đã chuyển khoản"))</f>
        <v/>
      </c>
      <c r="X3255" s="23">
        <f>IF(OR($D3255="",$R3255="Trùng"),"",SUMIFS(ORDERS!$J$2:$J$4995,ORDERS!$C$2:$C$4995,$D3255,ORDERS!$L$2:$L$4995,"Đã chuyển khoản"))</f>
        <v/>
      </c>
      <c r="Y3255" s="24" t="n"/>
    </row>
    <row r="3256" ht="14.25" customHeight="1" s="40">
      <c r="A3256" s="24" t="n"/>
      <c r="B3256" s="27" t="n"/>
      <c r="C3256" s="24" t="n"/>
      <c r="D3256" s="28" t="n"/>
      <c r="E3256" s="29" t="n"/>
      <c r="F3256" s="24" t="n"/>
      <c r="G3256" s="24" t="n"/>
      <c r="H3256" s="21">
        <f>IF(ISNUMBER($B3256),INT($B3256)-WEEKDAY($B3256,2)+1,"")</f>
        <v/>
      </c>
      <c r="I3256" s="24" t="n"/>
      <c r="J3256" s="22">
        <f t="array" ref="J3256">IF($D3256="","",IF($I3256="","(trống REF)",IFERROR(INDEX(MASTER_SOURCE!$B$2:$B$495,MATCH($I3256,MASTER_SOURCE!$A$2:$A$495,0)),"(REF không có trong MASTER_SOURCE)")))</f>
        <v/>
      </c>
      <c r="K3256" s="22">
        <f t="array" ref="K3256">IF($D3256="","",IFERROR(INDEX(MASTER_SOURCE!$C$2:$C$495,MATCH($I3256,MASTER_SOURCE!$A$2:$A$495,0)),""))</f>
        <v/>
      </c>
      <c r="L3256" s="22">
        <f t="array" ref="L3256">IF($D3256="","",IFERROR(INDEX(MASTER_SOURCE!$D$2:$D$495,MATCH($I3256,MASTER_SOURCE!$A$2:$A$495,0)),""))</f>
        <v/>
      </c>
      <c r="M3256" s="24" t="n"/>
      <c r="N3256" s="24" t="n"/>
      <c r="O3256" s="24" t="n"/>
      <c r="P3256" s="24" t="n"/>
      <c r="Q3256" s="22">
        <f>IF($D3256="","",IF(AND(OR(DANH_MUC!$L$5&lt;&gt;"Có",M3256="Có"),OR(DANH_MUC!$L$6&lt;&gt;"Có",N3256="Có"),OR(DANH_MUC!$L$7&lt;&gt;"Có",O3256="Có"),OR(DANH_MUC!$L$8&lt;&gt;"Có",P3256="Có")),"Có","Không"))</f>
        <v/>
      </c>
      <c r="R3256" s="22">
        <f>IF($D3256="","",IF(COUNTIF($D$2:$D3256,$D3256)&gt;1,"Trùng",""))</f>
        <v/>
      </c>
      <c r="S3256" s="22">
        <f>IF($D3256="","",IF(AND(LEN($D3256)=10,LEFT($D3256,1)="0",ISNUMBER(--$D3256)),"Có","Không"))</f>
        <v/>
      </c>
      <c r="T3256" s="22">
        <f>IF($D3256="","",IF(AND($C3256&lt;&gt;"",$Q3256="Có",$R3256="",$S3256="Có",AND($L3256&lt;&gt;"",OR($L3256&lt;&gt;"Chưa xác định",DANH_MUC!$L$9="Có"))),"Có","Không"))</f>
        <v/>
      </c>
      <c r="U3256" s="22">
        <f>IF(OR($D3256="",$T3256="Có"),"",IF($C3256="","Thiếu họ tên; ","")&amp;IF($S3256&lt;&gt;"Có","SĐT sai định dạng; ","")&amp;IF($R3256="Trùng","Trùng SĐT; ","")&amp;IF($Q3256&lt;&gt;"Có","Thiếu đồng ý bắt buộc; ","")&amp;IF($L3256="","Thiếu/sai Mã REF; ",IF(AND($L3256="Chưa xác định",DANH_MUC!$L$9&lt;&gt;"Có"),"Nguồn chưa xác định; ","")))</f>
        <v/>
      </c>
      <c r="V3256" s="22">
        <f>IF(OR($D3256="",$R3256="Trùng"),"",IF(COUNTIF(ORDERS!$C$2:$C$4995,$D3256)&gt;0,"Có","Không"))</f>
        <v/>
      </c>
      <c r="W3256" s="22">
        <f>IF(OR($D3256="",$R3256="Trùng"),"",COUNTIFS(ORDERS!$C$2:$C$4995,$D3256,ORDERS!$L$2:$L$4995,"Đã chuyển khoản"))</f>
        <v/>
      </c>
      <c r="X3256" s="23">
        <f>IF(OR($D3256="",$R3256="Trùng"),"",SUMIFS(ORDERS!$J$2:$J$4995,ORDERS!$C$2:$C$4995,$D3256,ORDERS!$L$2:$L$4995,"Đã chuyển khoản"))</f>
        <v/>
      </c>
      <c r="Y3256" s="24" t="n"/>
    </row>
    <row r="3257" ht="14.25" customHeight="1" s="40">
      <c r="A3257" s="24" t="n"/>
      <c r="B3257" s="27" t="n"/>
      <c r="C3257" s="24" t="n"/>
      <c r="D3257" s="28" t="n"/>
      <c r="E3257" s="29" t="n"/>
      <c r="F3257" s="24" t="n"/>
      <c r="G3257" s="24" t="n"/>
      <c r="H3257" s="21">
        <f>IF(ISNUMBER($B3257),INT($B3257)-WEEKDAY($B3257,2)+1,"")</f>
        <v/>
      </c>
      <c r="I3257" s="24" t="n"/>
      <c r="J3257" s="22">
        <f t="array" ref="J3257">IF($D3257="","",IF($I3257="","(trống REF)",IFERROR(INDEX(MASTER_SOURCE!$B$2:$B$495,MATCH($I3257,MASTER_SOURCE!$A$2:$A$495,0)),"(REF không có trong MASTER_SOURCE)")))</f>
        <v/>
      </c>
      <c r="K3257" s="22">
        <f t="array" ref="K3257">IF($D3257="","",IFERROR(INDEX(MASTER_SOURCE!$C$2:$C$495,MATCH($I3257,MASTER_SOURCE!$A$2:$A$495,0)),""))</f>
        <v/>
      </c>
      <c r="L3257" s="22">
        <f t="array" ref="L3257">IF($D3257="","",IFERROR(INDEX(MASTER_SOURCE!$D$2:$D$495,MATCH($I3257,MASTER_SOURCE!$A$2:$A$495,0)),""))</f>
        <v/>
      </c>
      <c r="M3257" s="24" t="n"/>
      <c r="N3257" s="24" t="n"/>
      <c r="O3257" s="24" t="n"/>
      <c r="P3257" s="24" t="n"/>
      <c r="Q3257" s="22">
        <f>IF($D3257="","",IF(AND(OR(DANH_MUC!$L$5&lt;&gt;"Có",M3257="Có"),OR(DANH_MUC!$L$6&lt;&gt;"Có",N3257="Có"),OR(DANH_MUC!$L$7&lt;&gt;"Có",O3257="Có"),OR(DANH_MUC!$L$8&lt;&gt;"Có",P3257="Có")),"Có","Không"))</f>
        <v/>
      </c>
      <c r="R3257" s="22">
        <f>IF($D3257="","",IF(COUNTIF($D$2:$D3257,$D3257)&gt;1,"Trùng",""))</f>
        <v/>
      </c>
      <c r="S3257" s="22">
        <f>IF($D3257="","",IF(AND(LEN($D3257)=10,LEFT($D3257,1)="0",ISNUMBER(--$D3257)),"Có","Không"))</f>
        <v/>
      </c>
      <c r="T3257" s="22">
        <f>IF($D3257="","",IF(AND($C3257&lt;&gt;"",$Q3257="Có",$R3257="",$S3257="Có",AND($L3257&lt;&gt;"",OR($L3257&lt;&gt;"Chưa xác định",DANH_MUC!$L$9="Có"))),"Có","Không"))</f>
        <v/>
      </c>
      <c r="U3257" s="22">
        <f>IF(OR($D3257="",$T3257="Có"),"",IF($C3257="","Thiếu họ tên; ","")&amp;IF($S3257&lt;&gt;"Có","SĐT sai định dạng; ","")&amp;IF($R3257="Trùng","Trùng SĐT; ","")&amp;IF($Q3257&lt;&gt;"Có","Thiếu đồng ý bắt buộc; ","")&amp;IF($L3257="","Thiếu/sai Mã REF; ",IF(AND($L3257="Chưa xác định",DANH_MUC!$L$9&lt;&gt;"Có"),"Nguồn chưa xác định; ","")))</f>
        <v/>
      </c>
      <c r="V3257" s="22">
        <f>IF(OR($D3257="",$R3257="Trùng"),"",IF(COUNTIF(ORDERS!$C$2:$C$4995,$D3257)&gt;0,"Có","Không"))</f>
        <v/>
      </c>
      <c r="W3257" s="22">
        <f>IF(OR($D3257="",$R3257="Trùng"),"",COUNTIFS(ORDERS!$C$2:$C$4995,$D3257,ORDERS!$L$2:$L$4995,"Đã chuyển khoản"))</f>
        <v/>
      </c>
      <c r="X3257" s="23">
        <f>IF(OR($D3257="",$R3257="Trùng"),"",SUMIFS(ORDERS!$J$2:$J$4995,ORDERS!$C$2:$C$4995,$D3257,ORDERS!$L$2:$L$4995,"Đã chuyển khoản"))</f>
        <v/>
      </c>
      <c r="Y3257" s="24" t="n"/>
    </row>
    <row r="3258" ht="14.25" customHeight="1" s="40">
      <c r="A3258" s="24" t="n"/>
      <c r="B3258" s="27" t="n"/>
      <c r="C3258" s="24" t="n"/>
      <c r="D3258" s="28" t="n"/>
      <c r="E3258" s="29" t="n"/>
      <c r="F3258" s="24" t="n"/>
      <c r="G3258" s="24" t="n"/>
      <c r="H3258" s="21">
        <f>IF(ISNUMBER($B3258),INT($B3258)-WEEKDAY($B3258,2)+1,"")</f>
        <v/>
      </c>
      <c r="I3258" s="24" t="n"/>
      <c r="J3258" s="22">
        <f t="array" ref="J3258">IF($D3258="","",IF($I3258="","(trống REF)",IFERROR(INDEX(MASTER_SOURCE!$B$2:$B$495,MATCH($I3258,MASTER_SOURCE!$A$2:$A$495,0)),"(REF không có trong MASTER_SOURCE)")))</f>
        <v/>
      </c>
      <c r="K3258" s="22">
        <f t="array" ref="K3258">IF($D3258="","",IFERROR(INDEX(MASTER_SOURCE!$C$2:$C$495,MATCH($I3258,MASTER_SOURCE!$A$2:$A$495,0)),""))</f>
        <v/>
      </c>
      <c r="L3258" s="22">
        <f t="array" ref="L3258">IF($D3258="","",IFERROR(INDEX(MASTER_SOURCE!$D$2:$D$495,MATCH($I3258,MASTER_SOURCE!$A$2:$A$495,0)),""))</f>
        <v/>
      </c>
      <c r="M3258" s="24" t="n"/>
      <c r="N3258" s="24" t="n"/>
      <c r="O3258" s="24" t="n"/>
      <c r="P3258" s="24" t="n"/>
      <c r="Q3258" s="22">
        <f>IF($D3258="","",IF(AND(OR(DANH_MUC!$L$5&lt;&gt;"Có",M3258="Có"),OR(DANH_MUC!$L$6&lt;&gt;"Có",N3258="Có"),OR(DANH_MUC!$L$7&lt;&gt;"Có",O3258="Có"),OR(DANH_MUC!$L$8&lt;&gt;"Có",P3258="Có")),"Có","Không"))</f>
        <v/>
      </c>
      <c r="R3258" s="22">
        <f>IF($D3258="","",IF(COUNTIF($D$2:$D3258,$D3258)&gt;1,"Trùng",""))</f>
        <v/>
      </c>
      <c r="S3258" s="22">
        <f>IF($D3258="","",IF(AND(LEN($D3258)=10,LEFT($D3258,1)="0",ISNUMBER(--$D3258)),"Có","Không"))</f>
        <v/>
      </c>
      <c r="T3258" s="22">
        <f>IF($D3258="","",IF(AND($C3258&lt;&gt;"",$Q3258="Có",$R3258="",$S3258="Có",AND($L3258&lt;&gt;"",OR($L3258&lt;&gt;"Chưa xác định",DANH_MUC!$L$9="Có"))),"Có","Không"))</f>
        <v/>
      </c>
      <c r="U3258" s="22">
        <f>IF(OR($D3258="",$T3258="Có"),"",IF($C3258="","Thiếu họ tên; ","")&amp;IF($S3258&lt;&gt;"Có","SĐT sai định dạng; ","")&amp;IF($R3258="Trùng","Trùng SĐT; ","")&amp;IF($Q3258&lt;&gt;"Có","Thiếu đồng ý bắt buộc; ","")&amp;IF($L3258="","Thiếu/sai Mã REF; ",IF(AND($L3258="Chưa xác định",DANH_MUC!$L$9&lt;&gt;"Có"),"Nguồn chưa xác định; ","")))</f>
        <v/>
      </c>
      <c r="V3258" s="22">
        <f>IF(OR($D3258="",$R3258="Trùng"),"",IF(COUNTIF(ORDERS!$C$2:$C$4995,$D3258)&gt;0,"Có","Không"))</f>
        <v/>
      </c>
      <c r="W3258" s="22">
        <f>IF(OR($D3258="",$R3258="Trùng"),"",COUNTIFS(ORDERS!$C$2:$C$4995,$D3258,ORDERS!$L$2:$L$4995,"Đã chuyển khoản"))</f>
        <v/>
      </c>
      <c r="X3258" s="23">
        <f>IF(OR($D3258="",$R3258="Trùng"),"",SUMIFS(ORDERS!$J$2:$J$4995,ORDERS!$C$2:$C$4995,$D3258,ORDERS!$L$2:$L$4995,"Đã chuyển khoản"))</f>
        <v/>
      </c>
      <c r="Y3258" s="24" t="n"/>
    </row>
    <row r="3259" ht="14.25" customHeight="1" s="40">
      <c r="A3259" s="24" t="n"/>
      <c r="B3259" s="27" t="n"/>
      <c r="C3259" s="24" t="n"/>
      <c r="D3259" s="28" t="n"/>
      <c r="E3259" s="29" t="n"/>
      <c r="F3259" s="24" t="n"/>
      <c r="G3259" s="24" t="n"/>
      <c r="H3259" s="21">
        <f>IF(ISNUMBER($B3259),INT($B3259)-WEEKDAY($B3259,2)+1,"")</f>
        <v/>
      </c>
      <c r="I3259" s="24" t="n"/>
      <c r="J3259" s="22">
        <f t="array" ref="J3259">IF($D3259="","",IF($I3259="","(trống REF)",IFERROR(INDEX(MASTER_SOURCE!$B$2:$B$495,MATCH($I3259,MASTER_SOURCE!$A$2:$A$495,0)),"(REF không có trong MASTER_SOURCE)")))</f>
        <v/>
      </c>
      <c r="K3259" s="22">
        <f t="array" ref="K3259">IF($D3259="","",IFERROR(INDEX(MASTER_SOURCE!$C$2:$C$495,MATCH($I3259,MASTER_SOURCE!$A$2:$A$495,0)),""))</f>
        <v/>
      </c>
      <c r="L3259" s="22">
        <f t="array" ref="L3259">IF($D3259="","",IFERROR(INDEX(MASTER_SOURCE!$D$2:$D$495,MATCH($I3259,MASTER_SOURCE!$A$2:$A$495,0)),""))</f>
        <v/>
      </c>
      <c r="M3259" s="24" t="n"/>
      <c r="N3259" s="24" t="n"/>
      <c r="O3259" s="24" t="n"/>
      <c r="P3259" s="24" t="n"/>
      <c r="Q3259" s="22">
        <f>IF($D3259="","",IF(AND(OR(DANH_MUC!$L$5&lt;&gt;"Có",M3259="Có"),OR(DANH_MUC!$L$6&lt;&gt;"Có",N3259="Có"),OR(DANH_MUC!$L$7&lt;&gt;"Có",O3259="Có"),OR(DANH_MUC!$L$8&lt;&gt;"Có",P3259="Có")),"Có","Không"))</f>
        <v/>
      </c>
      <c r="R3259" s="22">
        <f>IF($D3259="","",IF(COUNTIF($D$2:$D3259,$D3259)&gt;1,"Trùng",""))</f>
        <v/>
      </c>
      <c r="S3259" s="22">
        <f>IF($D3259="","",IF(AND(LEN($D3259)=10,LEFT($D3259,1)="0",ISNUMBER(--$D3259)),"Có","Không"))</f>
        <v/>
      </c>
      <c r="T3259" s="22">
        <f>IF($D3259="","",IF(AND($C3259&lt;&gt;"",$Q3259="Có",$R3259="",$S3259="Có",AND($L3259&lt;&gt;"",OR($L3259&lt;&gt;"Chưa xác định",DANH_MUC!$L$9="Có"))),"Có","Không"))</f>
        <v/>
      </c>
      <c r="U3259" s="22">
        <f>IF(OR($D3259="",$T3259="Có"),"",IF($C3259="","Thiếu họ tên; ","")&amp;IF($S3259&lt;&gt;"Có","SĐT sai định dạng; ","")&amp;IF($R3259="Trùng","Trùng SĐT; ","")&amp;IF($Q3259&lt;&gt;"Có","Thiếu đồng ý bắt buộc; ","")&amp;IF($L3259="","Thiếu/sai Mã REF; ",IF(AND($L3259="Chưa xác định",DANH_MUC!$L$9&lt;&gt;"Có"),"Nguồn chưa xác định; ","")))</f>
        <v/>
      </c>
      <c r="V3259" s="22">
        <f>IF(OR($D3259="",$R3259="Trùng"),"",IF(COUNTIF(ORDERS!$C$2:$C$4995,$D3259)&gt;0,"Có","Không"))</f>
        <v/>
      </c>
      <c r="W3259" s="22">
        <f>IF(OR($D3259="",$R3259="Trùng"),"",COUNTIFS(ORDERS!$C$2:$C$4995,$D3259,ORDERS!$L$2:$L$4995,"Đã chuyển khoản"))</f>
        <v/>
      </c>
      <c r="X3259" s="23">
        <f>IF(OR($D3259="",$R3259="Trùng"),"",SUMIFS(ORDERS!$J$2:$J$4995,ORDERS!$C$2:$C$4995,$D3259,ORDERS!$L$2:$L$4995,"Đã chuyển khoản"))</f>
        <v/>
      </c>
      <c r="Y3259" s="24" t="n"/>
    </row>
    <row r="3260" ht="14.25" customHeight="1" s="40">
      <c r="A3260" s="24" t="n"/>
      <c r="B3260" s="27" t="n"/>
      <c r="C3260" s="24" t="n"/>
      <c r="D3260" s="28" t="n"/>
      <c r="E3260" s="29" t="n"/>
      <c r="F3260" s="24" t="n"/>
      <c r="G3260" s="24" t="n"/>
      <c r="H3260" s="21">
        <f>IF(ISNUMBER($B3260),INT($B3260)-WEEKDAY($B3260,2)+1,"")</f>
        <v/>
      </c>
      <c r="I3260" s="24" t="n"/>
      <c r="J3260" s="22">
        <f t="array" ref="J3260">IF($D3260="","",IF($I3260="","(trống REF)",IFERROR(INDEX(MASTER_SOURCE!$B$2:$B$495,MATCH($I3260,MASTER_SOURCE!$A$2:$A$495,0)),"(REF không có trong MASTER_SOURCE)")))</f>
        <v/>
      </c>
      <c r="K3260" s="22">
        <f t="array" ref="K3260">IF($D3260="","",IFERROR(INDEX(MASTER_SOURCE!$C$2:$C$495,MATCH($I3260,MASTER_SOURCE!$A$2:$A$495,0)),""))</f>
        <v/>
      </c>
      <c r="L3260" s="22">
        <f t="array" ref="L3260">IF($D3260="","",IFERROR(INDEX(MASTER_SOURCE!$D$2:$D$495,MATCH($I3260,MASTER_SOURCE!$A$2:$A$495,0)),""))</f>
        <v/>
      </c>
      <c r="M3260" s="24" t="n"/>
      <c r="N3260" s="24" t="n"/>
      <c r="O3260" s="24" t="n"/>
      <c r="P3260" s="24" t="n"/>
      <c r="Q3260" s="22">
        <f>IF($D3260="","",IF(AND(OR(DANH_MUC!$L$5&lt;&gt;"Có",M3260="Có"),OR(DANH_MUC!$L$6&lt;&gt;"Có",N3260="Có"),OR(DANH_MUC!$L$7&lt;&gt;"Có",O3260="Có"),OR(DANH_MUC!$L$8&lt;&gt;"Có",P3260="Có")),"Có","Không"))</f>
        <v/>
      </c>
      <c r="R3260" s="22">
        <f>IF($D3260="","",IF(COUNTIF($D$2:$D3260,$D3260)&gt;1,"Trùng",""))</f>
        <v/>
      </c>
      <c r="S3260" s="22">
        <f>IF($D3260="","",IF(AND(LEN($D3260)=10,LEFT($D3260,1)="0",ISNUMBER(--$D3260)),"Có","Không"))</f>
        <v/>
      </c>
      <c r="T3260" s="22">
        <f>IF($D3260="","",IF(AND($C3260&lt;&gt;"",$Q3260="Có",$R3260="",$S3260="Có",AND($L3260&lt;&gt;"",OR($L3260&lt;&gt;"Chưa xác định",DANH_MUC!$L$9="Có"))),"Có","Không"))</f>
        <v/>
      </c>
      <c r="U3260" s="22">
        <f>IF(OR($D3260="",$T3260="Có"),"",IF($C3260="","Thiếu họ tên; ","")&amp;IF($S3260&lt;&gt;"Có","SĐT sai định dạng; ","")&amp;IF($R3260="Trùng","Trùng SĐT; ","")&amp;IF($Q3260&lt;&gt;"Có","Thiếu đồng ý bắt buộc; ","")&amp;IF($L3260="","Thiếu/sai Mã REF; ",IF(AND($L3260="Chưa xác định",DANH_MUC!$L$9&lt;&gt;"Có"),"Nguồn chưa xác định; ","")))</f>
        <v/>
      </c>
      <c r="V3260" s="22">
        <f>IF(OR($D3260="",$R3260="Trùng"),"",IF(COUNTIF(ORDERS!$C$2:$C$4995,$D3260)&gt;0,"Có","Không"))</f>
        <v/>
      </c>
      <c r="W3260" s="22">
        <f>IF(OR($D3260="",$R3260="Trùng"),"",COUNTIFS(ORDERS!$C$2:$C$4995,$D3260,ORDERS!$L$2:$L$4995,"Đã chuyển khoản"))</f>
        <v/>
      </c>
      <c r="X3260" s="23">
        <f>IF(OR($D3260="",$R3260="Trùng"),"",SUMIFS(ORDERS!$J$2:$J$4995,ORDERS!$C$2:$C$4995,$D3260,ORDERS!$L$2:$L$4995,"Đã chuyển khoản"))</f>
        <v/>
      </c>
      <c r="Y3260" s="24" t="n"/>
    </row>
    <row r="3261" ht="14.25" customHeight="1" s="40">
      <c r="A3261" s="24" t="n"/>
      <c r="B3261" s="27" t="n"/>
      <c r="C3261" s="24" t="n"/>
      <c r="D3261" s="28" t="n"/>
      <c r="E3261" s="29" t="n"/>
      <c r="F3261" s="24" t="n"/>
      <c r="G3261" s="24" t="n"/>
      <c r="H3261" s="21">
        <f>IF(ISNUMBER($B3261),INT($B3261)-WEEKDAY($B3261,2)+1,"")</f>
        <v/>
      </c>
      <c r="I3261" s="24" t="n"/>
      <c r="J3261" s="22">
        <f t="array" ref="J3261">IF($D3261="","",IF($I3261="","(trống REF)",IFERROR(INDEX(MASTER_SOURCE!$B$2:$B$495,MATCH($I3261,MASTER_SOURCE!$A$2:$A$495,0)),"(REF không có trong MASTER_SOURCE)")))</f>
        <v/>
      </c>
      <c r="K3261" s="22">
        <f t="array" ref="K3261">IF($D3261="","",IFERROR(INDEX(MASTER_SOURCE!$C$2:$C$495,MATCH($I3261,MASTER_SOURCE!$A$2:$A$495,0)),""))</f>
        <v/>
      </c>
      <c r="L3261" s="22">
        <f t="array" ref="L3261">IF($D3261="","",IFERROR(INDEX(MASTER_SOURCE!$D$2:$D$495,MATCH($I3261,MASTER_SOURCE!$A$2:$A$495,0)),""))</f>
        <v/>
      </c>
      <c r="M3261" s="24" t="n"/>
      <c r="N3261" s="24" t="n"/>
      <c r="O3261" s="24" t="n"/>
      <c r="P3261" s="24" t="n"/>
      <c r="Q3261" s="22">
        <f>IF($D3261="","",IF(AND(OR(DANH_MUC!$L$5&lt;&gt;"Có",M3261="Có"),OR(DANH_MUC!$L$6&lt;&gt;"Có",N3261="Có"),OR(DANH_MUC!$L$7&lt;&gt;"Có",O3261="Có"),OR(DANH_MUC!$L$8&lt;&gt;"Có",P3261="Có")),"Có","Không"))</f>
        <v/>
      </c>
      <c r="R3261" s="22">
        <f>IF($D3261="","",IF(COUNTIF($D$2:$D3261,$D3261)&gt;1,"Trùng",""))</f>
        <v/>
      </c>
      <c r="S3261" s="22">
        <f>IF($D3261="","",IF(AND(LEN($D3261)=10,LEFT($D3261,1)="0",ISNUMBER(--$D3261)),"Có","Không"))</f>
        <v/>
      </c>
      <c r="T3261" s="22">
        <f>IF($D3261="","",IF(AND($C3261&lt;&gt;"",$Q3261="Có",$R3261="",$S3261="Có",AND($L3261&lt;&gt;"",OR($L3261&lt;&gt;"Chưa xác định",DANH_MUC!$L$9="Có"))),"Có","Không"))</f>
        <v/>
      </c>
      <c r="U3261" s="22">
        <f>IF(OR($D3261="",$T3261="Có"),"",IF($C3261="","Thiếu họ tên; ","")&amp;IF($S3261&lt;&gt;"Có","SĐT sai định dạng; ","")&amp;IF($R3261="Trùng","Trùng SĐT; ","")&amp;IF($Q3261&lt;&gt;"Có","Thiếu đồng ý bắt buộc; ","")&amp;IF($L3261="","Thiếu/sai Mã REF; ",IF(AND($L3261="Chưa xác định",DANH_MUC!$L$9&lt;&gt;"Có"),"Nguồn chưa xác định; ","")))</f>
        <v/>
      </c>
      <c r="V3261" s="22">
        <f>IF(OR($D3261="",$R3261="Trùng"),"",IF(COUNTIF(ORDERS!$C$2:$C$4995,$D3261)&gt;0,"Có","Không"))</f>
        <v/>
      </c>
      <c r="W3261" s="22">
        <f>IF(OR($D3261="",$R3261="Trùng"),"",COUNTIFS(ORDERS!$C$2:$C$4995,$D3261,ORDERS!$L$2:$L$4995,"Đã chuyển khoản"))</f>
        <v/>
      </c>
      <c r="X3261" s="23">
        <f>IF(OR($D3261="",$R3261="Trùng"),"",SUMIFS(ORDERS!$J$2:$J$4995,ORDERS!$C$2:$C$4995,$D3261,ORDERS!$L$2:$L$4995,"Đã chuyển khoản"))</f>
        <v/>
      </c>
      <c r="Y3261" s="24" t="n"/>
    </row>
    <row r="3262" ht="14.25" customHeight="1" s="40">
      <c r="A3262" s="24" t="n"/>
      <c r="B3262" s="27" t="n"/>
      <c r="C3262" s="24" t="n"/>
      <c r="D3262" s="28" t="n"/>
      <c r="E3262" s="29" t="n"/>
      <c r="F3262" s="24" t="n"/>
      <c r="G3262" s="24" t="n"/>
      <c r="H3262" s="21">
        <f>IF(ISNUMBER($B3262),INT($B3262)-WEEKDAY($B3262,2)+1,"")</f>
        <v/>
      </c>
      <c r="I3262" s="24" t="n"/>
      <c r="J3262" s="22">
        <f t="array" ref="J3262">IF($D3262="","",IF($I3262="","(trống REF)",IFERROR(INDEX(MASTER_SOURCE!$B$2:$B$495,MATCH($I3262,MASTER_SOURCE!$A$2:$A$495,0)),"(REF không có trong MASTER_SOURCE)")))</f>
        <v/>
      </c>
      <c r="K3262" s="22">
        <f t="array" ref="K3262">IF($D3262="","",IFERROR(INDEX(MASTER_SOURCE!$C$2:$C$495,MATCH($I3262,MASTER_SOURCE!$A$2:$A$495,0)),""))</f>
        <v/>
      </c>
      <c r="L3262" s="22">
        <f t="array" ref="L3262">IF($D3262="","",IFERROR(INDEX(MASTER_SOURCE!$D$2:$D$495,MATCH($I3262,MASTER_SOURCE!$A$2:$A$495,0)),""))</f>
        <v/>
      </c>
      <c r="M3262" s="24" t="n"/>
      <c r="N3262" s="24" t="n"/>
      <c r="O3262" s="24" t="n"/>
      <c r="P3262" s="24" t="n"/>
      <c r="Q3262" s="22">
        <f>IF($D3262="","",IF(AND(OR(DANH_MUC!$L$5&lt;&gt;"Có",M3262="Có"),OR(DANH_MUC!$L$6&lt;&gt;"Có",N3262="Có"),OR(DANH_MUC!$L$7&lt;&gt;"Có",O3262="Có"),OR(DANH_MUC!$L$8&lt;&gt;"Có",P3262="Có")),"Có","Không"))</f>
        <v/>
      </c>
      <c r="R3262" s="22">
        <f>IF($D3262="","",IF(COUNTIF($D$2:$D3262,$D3262)&gt;1,"Trùng",""))</f>
        <v/>
      </c>
      <c r="S3262" s="22">
        <f>IF($D3262="","",IF(AND(LEN($D3262)=10,LEFT($D3262,1)="0",ISNUMBER(--$D3262)),"Có","Không"))</f>
        <v/>
      </c>
      <c r="T3262" s="22">
        <f>IF($D3262="","",IF(AND($C3262&lt;&gt;"",$Q3262="Có",$R3262="",$S3262="Có",AND($L3262&lt;&gt;"",OR($L3262&lt;&gt;"Chưa xác định",DANH_MUC!$L$9="Có"))),"Có","Không"))</f>
        <v/>
      </c>
      <c r="U3262" s="22">
        <f>IF(OR($D3262="",$T3262="Có"),"",IF($C3262="","Thiếu họ tên; ","")&amp;IF($S3262&lt;&gt;"Có","SĐT sai định dạng; ","")&amp;IF($R3262="Trùng","Trùng SĐT; ","")&amp;IF($Q3262&lt;&gt;"Có","Thiếu đồng ý bắt buộc; ","")&amp;IF($L3262="","Thiếu/sai Mã REF; ",IF(AND($L3262="Chưa xác định",DANH_MUC!$L$9&lt;&gt;"Có"),"Nguồn chưa xác định; ","")))</f>
        <v/>
      </c>
      <c r="V3262" s="22">
        <f>IF(OR($D3262="",$R3262="Trùng"),"",IF(COUNTIF(ORDERS!$C$2:$C$4995,$D3262)&gt;0,"Có","Không"))</f>
        <v/>
      </c>
      <c r="W3262" s="22">
        <f>IF(OR($D3262="",$R3262="Trùng"),"",COUNTIFS(ORDERS!$C$2:$C$4995,$D3262,ORDERS!$L$2:$L$4995,"Đã chuyển khoản"))</f>
        <v/>
      </c>
      <c r="X3262" s="23">
        <f>IF(OR($D3262="",$R3262="Trùng"),"",SUMIFS(ORDERS!$J$2:$J$4995,ORDERS!$C$2:$C$4995,$D3262,ORDERS!$L$2:$L$4995,"Đã chuyển khoản"))</f>
        <v/>
      </c>
      <c r="Y3262" s="24" t="n"/>
    </row>
    <row r="3263" ht="14.25" customHeight="1" s="40">
      <c r="A3263" s="24" t="n"/>
      <c r="B3263" s="27" t="n"/>
      <c r="C3263" s="24" t="n"/>
      <c r="D3263" s="28" t="n"/>
      <c r="E3263" s="29" t="n"/>
      <c r="F3263" s="24" t="n"/>
      <c r="G3263" s="24" t="n"/>
      <c r="H3263" s="21">
        <f>IF(ISNUMBER($B3263),INT($B3263)-WEEKDAY($B3263,2)+1,"")</f>
        <v/>
      </c>
      <c r="I3263" s="24" t="n"/>
      <c r="J3263" s="22">
        <f t="array" ref="J3263">IF($D3263="","",IF($I3263="","(trống REF)",IFERROR(INDEX(MASTER_SOURCE!$B$2:$B$495,MATCH($I3263,MASTER_SOURCE!$A$2:$A$495,0)),"(REF không có trong MASTER_SOURCE)")))</f>
        <v/>
      </c>
      <c r="K3263" s="22">
        <f t="array" ref="K3263">IF($D3263="","",IFERROR(INDEX(MASTER_SOURCE!$C$2:$C$495,MATCH($I3263,MASTER_SOURCE!$A$2:$A$495,0)),""))</f>
        <v/>
      </c>
      <c r="L3263" s="22">
        <f t="array" ref="L3263">IF($D3263="","",IFERROR(INDEX(MASTER_SOURCE!$D$2:$D$495,MATCH($I3263,MASTER_SOURCE!$A$2:$A$495,0)),""))</f>
        <v/>
      </c>
      <c r="M3263" s="24" t="n"/>
      <c r="N3263" s="24" t="n"/>
      <c r="O3263" s="24" t="n"/>
      <c r="P3263" s="24" t="n"/>
      <c r="Q3263" s="22">
        <f>IF($D3263="","",IF(AND(OR(DANH_MUC!$L$5&lt;&gt;"Có",M3263="Có"),OR(DANH_MUC!$L$6&lt;&gt;"Có",N3263="Có"),OR(DANH_MUC!$L$7&lt;&gt;"Có",O3263="Có"),OR(DANH_MUC!$L$8&lt;&gt;"Có",P3263="Có")),"Có","Không"))</f>
        <v/>
      </c>
      <c r="R3263" s="22">
        <f>IF($D3263="","",IF(COUNTIF($D$2:$D3263,$D3263)&gt;1,"Trùng",""))</f>
        <v/>
      </c>
      <c r="S3263" s="22">
        <f>IF($D3263="","",IF(AND(LEN($D3263)=10,LEFT($D3263,1)="0",ISNUMBER(--$D3263)),"Có","Không"))</f>
        <v/>
      </c>
      <c r="T3263" s="22">
        <f>IF($D3263="","",IF(AND($C3263&lt;&gt;"",$Q3263="Có",$R3263="",$S3263="Có",AND($L3263&lt;&gt;"",OR($L3263&lt;&gt;"Chưa xác định",DANH_MUC!$L$9="Có"))),"Có","Không"))</f>
        <v/>
      </c>
      <c r="U3263" s="22">
        <f>IF(OR($D3263="",$T3263="Có"),"",IF($C3263="","Thiếu họ tên; ","")&amp;IF($S3263&lt;&gt;"Có","SĐT sai định dạng; ","")&amp;IF($R3263="Trùng","Trùng SĐT; ","")&amp;IF($Q3263&lt;&gt;"Có","Thiếu đồng ý bắt buộc; ","")&amp;IF($L3263="","Thiếu/sai Mã REF; ",IF(AND($L3263="Chưa xác định",DANH_MUC!$L$9&lt;&gt;"Có"),"Nguồn chưa xác định; ","")))</f>
        <v/>
      </c>
      <c r="V3263" s="22">
        <f>IF(OR($D3263="",$R3263="Trùng"),"",IF(COUNTIF(ORDERS!$C$2:$C$4995,$D3263)&gt;0,"Có","Không"))</f>
        <v/>
      </c>
      <c r="W3263" s="22">
        <f>IF(OR($D3263="",$R3263="Trùng"),"",COUNTIFS(ORDERS!$C$2:$C$4995,$D3263,ORDERS!$L$2:$L$4995,"Đã chuyển khoản"))</f>
        <v/>
      </c>
      <c r="X3263" s="23">
        <f>IF(OR($D3263="",$R3263="Trùng"),"",SUMIFS(ORDERS!$J$2:$J$4995,ORDERS!$C$2:$C$4995,$D3263,ORDERS!$L$2:$L$4995,"Đã chuyển khoản"))</f>
        <v/>
      </c>
      <c r="Y3263" s="24" t="n"/>
    </row>
    <row r="3264" ht="14.25" customHeight="1" s="40">
      <c r="A3264" s="24" t="n"/>
      <c r="B3264" s="27" t="n"/>
      <c r="C3264" s="24" t="n"/>
      <c r="D3264" s="28" t="n"/>
      <c r="E3264" s="29" t="n"/>
      <c r="F3264" s="24" t="n"/>
      <c r="G3264" s="24" t="n"/>
      <c r="H3264" s="21">
        <f>IF(ISNUMBER($B3264),INT($B3264)-WEEKDAY($B3264,2)+1,"")</f>
        <v/>
      </c>
      <c r="I3264" s="24" t="n"/>
      <c r="J3264" s="22">
        <f t="array" ref="J3264">IF($D3264="","",IF($I3264="","(trống REF)",IFERROR(INDEX(MASTER_SOURCE!$B$2:$B$495,MATCH($I3264,MASTER_SOURCE!$A$2:$A$495,0)),"(REF không có trong MASTER_SOURCE)")))</f>
        <v/>
      </c>
      <c r="K3264" s="22">
        <f t="array" ref="K3264">IF($D3264="","",IFERROR(INDEX(MASTER_SOURCE!$C$2:$C$495,MATCH($I3264,MASTER_SOURCE!$A$2:$A$495,0)),""))</f>
        <v/>
      </c>
      <c r="L3264" s="22">
        <f t="array" ref="L3264">IF($D3264="","",IFERROR(INDEX(MASTER_SOURCE!$D$2:$D$495,MATCH($I3264,MASTER_SOURCE!$A$2:$A$495,0)),""))</f>
        <v/>
      </c>
      <c r="M3264" s="24" t="n"/>
      <c r="N3264" s="24" t="n"/>
      <c r="O3264" s="24" t="n"/>
      <c r="P3264" s="24" t="n"/>
      <c r="Q3264" s="22">
        <f>IF($D3264="","",IF(AND(OR(DANH_MUC!$L$5&lt;&gt;"Có",M3264="Có"),OR(DANH_MUC!$L$6&lt;&gt;"Có",N3264="Có"),OR(DANH_MUC!$L$7&lt;&gt;"Có",O3264="Có"),OR(DANH_MUC!$L$8&lt;&gt;"Có",P3264="Có")),"Có","Không"))</f>
        <v/>
      </c>
      <c r="R3264" s="22">
        <f>IF($D3264="","",IF(COUNTIF($D$2:$D3264,$D3264)&gt;1,"Trùng",""))</f>
        <v/>
      </c>
      <c r="S3264" s="22">
        <f>IF($D3264="","",IF(AND(LEN($D3264)=10,LEFT($D3264,1)="0",ISNUMBER(--$D3264)),"Có","Không"))</f>
        <v/>
      </c>
      <c r="T3264" s="22">
        <f>IF($D3264="","",IF(AND($C3264&lt;&gt;"",$Q3264="Có",$R3264="",$S3264="Có",AND($L3264&lt;&gt;"",OR($L3264&lt;&gt;"Chưa xác định",DANH_MUC!$L$9="Có"))),"Có","Không"))</f>
        <v/>
      </c>
      <c r="U3264" s="22">
        <f>IF(OR($D3264="",$T3264="Có"),"",IF($C3264="","Thiếu họ tên; ","")&amp;IF($S3264&lt;&gt;"Có","SĐT sai định dạng; ","")&amp;IF($R3264="Trùng","Trùng SĐT; ","")&amp;IF($Q3264&lt;&gt;"Có","Thiếu đồng ý bắt buộc; ","")&amp;IF($L3264="","Thiếu/sai Mã REF; ",IF(AND($L3264="Chưa xác định",DANH_MUC!$L$9&lt;&gt;"Có"),"Nguồn chưa xác định; ","")))</f>
        <v/>
      </c>
      <c r="V3264" s="22">
        <f>IF(OR($D3264="",$R3264="Trùng"),"",IF(COUNTIF(ORDERS!$C$2:$C$4995,$D3264)&gt;0,"Có","Không"))</f>
        <v/>
      </c>
      <c r="W3264" s="22">
        <f>IF(OR($D3264="",$R3264="Trùng"),"",COUNTIFS(ORDERS!$C$2:$C$4995,$D3264,ORDERS!$L$2:$L$4995,"Đã chuyển khoản"))</f>
        <v/>
      </c>
      <c r="X3264" s="23">
        <f>IF(OR($D3264="",$R3264="Trùng"),"",SUMIFS(ORDERS!$J$2:$J$4995,ORDERS!$C$2:$C$4995,$D3264,ORDERS!$L$2:$L$4995,"Đã chuyển khoản"))</f>
        <v/>
      </c>
      <c r="Y3264" s="24" t="n"/>
    </row>
    <row r="3265" ht="14.25" customHeight="1" s="40">
      <c r="A3265" s="24" t="n"/>
      <c r="B3265" s="27" t="n"/>
      <c r="C3265" s="24" t="n"/>
      <c r="D3265" s="28" t="n"/>
      <c r="E3265" s="29" t="n"/>
      <c r="F3265" s="24" t="n"/>
      <c r="G3265" s="24" t="n"/>
      <c r="H3265" s="21">
        <f>IF(ISNUMBER($B3265),INT($B3265)-WEEKDAY($B3265,2)+1,"")</f>
        <v/>
      </c>
      <c r="I3265" s="24" t="n"/>
      <c r="J3265" s="22">
        <f t="array" ref="J3265">IF($D3265="","",IF($I3265="","(trống REF)",IFERROR(INDEX(MASTER_SOURCE!$B$2:$B$495,MATCH($I3265,MASTER_SOURCE!$A$2:$A$495,0)),"(REF không có trong MASTER_SOURCE)")))</f>
        <v/>
      </c>
      <c r="K3265" s="22">
        <f t="array" ref="K3265">IF($D3265="","",IFERROR(INDEX(MASTER_SOURCE!$C$2:$C$495,MATCH($I3265,MASTER_SOURCE!$A$2:$A$495,0)),""))</f>
        <v/>
      </c>
      <c r="L3265" s="22">
        <f t="array" ref="L3265">IF($D3265="","",IFERROR(INDEX(MASTER_SOURCE!$D$2:$D$495,MATCH($I3265,MASTER_SOURCE!$A$2:$A$495,0)),""))</f>
        <v/>
      </c>
      <c r="M3265" s="24" t="n"/>
      <c r="N3265" s="24" t="n"/>
      <c r="O3265" s="24" t="n"/>
      <c r="P3265" s="24" t="n"/>
      <c r="Q3265" s="22">
        <f>IF($D3265="","",IF(AND(OR(DANH_MUC!$L$5&lt;&gt;"Có",M3265="Có"),OR(DANH_MUC!$L$6&lt;&gt;"Có",N3265="Có"),OR(DANH_MUC!$L$7&lt;&gt;"Có",O3265="Có"),OR(DANH_MUC!$L$8&lt;&gt;"Có",P3265="Có")),"Có","Không"))</f>
        <v/>
      </c>
      <c r="R3265" s="22">
        <f>IF($D3265="","",IF(COUNTIF($D$2:$D3265,$D3265)&gt;1,"Trùng",""))</f>
        <v/>
      </c>
      <c r="S3265" s="22">
        <f>IF($D3265="","",IF(AND(LEN($D3265)=10,LEFT($D3265,1)="0",ISNUMBER(--$D3265)),"Có","Không"))</f>
        <v/>
      </c>
      <c r="T3265" s="22">
        <f>IF($D3265="","",IF(AND($C3265&lt;&gt;"",$Q3265="Có",$R3265="",$S3265="Có",AND($L3265&lt;&gt;"",OR($L3265&lt;&gt;"Chưa xác định",DANH_MUC!$L$9="Có"))),"Có","Không"))</f>
        <v/>
      </c>
      <c r="U3265" s="22">
        <f>IF(OR($D3265="",$T3265="Có"),"",IF($C3265="","Thiếu họ tên; ","")&amp;IF($S3265&lt;&gt;"Có","SĐT sai định dạng; ","")&amp;IF($R3265="Trùng","Trùng SĐT; ","")&amp;IF($Q3265&lt;&gt;"Có","Thiếu đồng ý bắt buộc; ","")&amp;IF($L3265="","Thiếu/sai Mã REF; ",IF(AND($L3265="Chưa xác định",DANH_MUC!$L$9&lt;&gt;"Có"),"Nguồn chưa xác định; ","")))</f>
        <v/>
      </c>
      <c r="V3265" s="22">
        <f>IF(OR($D3265="",$R3265="Trùng"),"",IF(COUNTIF(ORDERS!$C$2:$C$4995,$D3265)&gt;0,"Có","Không"))</f>
        <v/>
      </c>
      <c r="W3265" s="22">
        <f>IF(OR($D3265="",$R3265="Trùng"),"",COUNTIFS(ORDERS!$C$2:$C$4995,$D3265,ORDERS!$L$2:$L$4995,"Đã chuyển khoản"))</f>
        <v/>
      </c>
      <c r="X3265" s="23">
        <f>IF(OR($D3265="",$R3265="Trùng"),"",SUMIFS(ORDERS!$J$2:$J$4995,ORDERS!$C$2:$C$4995,$D3265,ORDERS!$L$2:$L$4995,"Đã chuyển khoản"))</f>
        <v/>
      </c>
      <c r="Y3265" s="24" t="n"/>
    </row>
    <row r="3266" ht="14.25" customHeight="1" s="40">
      <c r="A3266" s="24" t="n"/>
      <c r="B3266" s="27" t="n"/>
      <c r="C3266" s="24" t="n"/>
      <c r="D3266" s="28" t="n"/>
      <c r="E3266" s="29" t="n"/>
      <c r="F3266" s="24" t="n"/>
      <c r="G3266" s="24" t="n"/>
      <c r="H3266" s="21">
        <f>IF(ISNUMBER($B3266),INT($B3266)-WEEKDAY($B3266,2)+1,"")</f>
        <v/>
      </c>
      <c r="I3266" s="24" t="n"/>
      <c r="J3266" s="22">
        <f t="array" ref="J3266">IF($D3266="","",IF($I3266="","(trống REF)",IFERROR(INDEX(MASTER_SOURCE!$B$2:$B$495,MATCH($I3266,MASTER_SOURCE!$A$2:$A$495,0)),"(REF không có trong MASTER_SOURCE)")))</f>
        <v/>
      </c>
      <c r="K3266" s="22">
        <f t="array" ref="K3266">IF($D3266="","",IFERROR(INDEX(MASTER_SOURCE!$C$2:$C$495,MATCH($I3266,MASTER_SOURCE!$A$2:$A$495,0)),""))</f>
        <v/>
      </c>
      <c r="L3266" s="22">
        <f t="array" ref="L3266">IF($D3266="","",IFERROR(INDEX(MASTER_SOURCE!$D$2:$D$495,MATCH($I3266,MASTER_SOURCE!$A$2:$A$495,0)),""))</f>
        <v/>
      </c>
      <c r="M3266" s="24" t="n"/>
      <c r="N3266" s="24" t="n"/>
      <c r="O3266" s="24" t="n"/>
      <c r="P3266" s="24" t="n"/>
      <c r="Q3266" s="22">
        <f>IF($D3266="","",IF(AND(OR(DANH_MUC!$L$5&lt;&gt;"Có",M3266="Có"),OR(DANH_MUC!$L$6&lt;&gt;"Có",N3266="Có"),OR(DANH_MUC!$L$7&lt;&gt;"Có",O3266="Có"),OR(DANH_MUC!$L$8&lt;&gt;"Có",P3266="Có")),"Có","Không"))</f>
        <v/>
      </c>
      <c r="R3266" s="22">
        <f>IF($D3266="","",IF(COUNTIF($D$2:$D3266,$D3266)&gt;1,"Trùng",""))</f>
        <v/>
      </c>
      <c r="S3266" s="22">
        <f>IF($D3266="","",IF(AND(LEN($D3266)=10,LEFT($D3266,1)="0",ISNUMBER(--$D3266)),"Có","Không"))</f>
        <v/>
      </c>
      <c r="T3266" s="22">
        <f>IF($D3266="","",IF(AND($C3266&lt;&gt;"",$Q3266="Có",$R3266="",$S3266="Có",AND($L3266&lt;&gt;"",OR($L3266&lt;&gt;"Chưa xác định",DANH_MUC!$L$9="Có"))),"Có","Không"))</f>
        <v/>
      </c>
      <c r="U3266" s="22">
        <f>IF(OR($D3266="",$T3266="Có"),"",IF($C3266="","Thiếu họ tên; ","")&amp;IF($S3266&lt;&gt;"Có","SĐT sai định dạng; ","")&amp;IF($R3266="Trùng","Trùng SĐT; ","")&amp;IF($Q3266&lt;&gt;"Có","Thiếu đồng ý bắt buộc; ","")&amp;IF($L3266="","Thiếu/sai Mã REF; ",IF(AND($L3266="Chưa xác định",DANH_MUC!$L$9&lt;&gt;"Có"),"Nguồn chưa xác định; ","")))</f>
        <v/>
      </c>
      <c r="V3266" s="22">
        <f>IF(OR($D3266="",$R3266="Trùng"),"",IF(COUNTIF(ORDERS!$C$2:$C$4995,$D3266)&gt;0,"Có","Không"))</f>
        <v/>
      </c>
      <c r="W3266" s="22">
        <f>IF(OR($D3266="",$R3266="Trùng"),"",COUNTIFS(ORDERS!$C$2:$C$4995,$D3266,ORDERS!$L$2:$L$4995,"Đã chuyển khoản"))</f>
        <v/>
      </c>
      <c r="X3266" s="23">
        <f>IF(OR($D3266="",$R3266="Trùng"),"",SUMIFS(ORDERS!$J$2:$J$4995,ORDERS!$C$2:$C$4995,$D3266,ORDERS!$L$2:$L$4995,"Đã chuyển khoản"))</f>
        <v/>
      </c>
      <c r="Y3266" s="24" t="n"/>
    </row>
    <row r="3267" ht="14.25" customHeight="1" s="40">
      <c r="A3267" s="24" t="n"/>
      <c r="B3267" s="27" t="n"/>
      <c r="C3267" s="24" t="n"/>
      <c r="D3267" s="28" t="n"/>
      <c r="E3267" s="29" t="n"/>
      <c r="F3267" s="24" t="n"/>
      <c r="G3267" s="24" t="n"/>
      <c r="H3267" s="21">
        <f>IF(ISNUMBER($B3267),INT($B3267)-WEEKDAY($B3267,2)+1,"")</f>
        <v/>
      </c>
      <c r="I3267" s="24" t="n"/>
      <c r="J3267" s="22">
        <f t="array" ref="J3267">IF($D3267="","",IF($I3267="","(trống REF)",IFERROR(INDEX(MASTER_SOURCE!$B$2:$B$495,MATCH($I3267,MASTER_SOURCE!$A$2:$A$495,0)),"(REF không có trong MASTER_SOURCE)")))</f>
        <v/>
      </c>
      <c r="K3267" s="22">
        <f t="array" ref="K3267">IF($D3267="","",IFERROR(INDEX(MASTER_SOURCE!$C$2:$C$495,MATCH($I3267,MASTER_SOURCE!$A$2:$A$495,0)),""))</f>
        <v/>
      </c>
      <c r="L3267" s="22">
        <f t="array" ref="L3267">IF($D3267="","",IFERROR(INDEX(MASTER_SOURCE!$D$2:$D$495,MATCH($I3267,MASTER_SOURCE!$A$2:$A$495,0)),""))</f>
        <v/>
      </c>
      <c r="M3267" s="24" t="n"/>
      <c r="N3267" s="24" t="n"/>
      <c r="O3267" s="24" t="n"/>
      <c r="P3267" s="24" t="n"/>
      <c r="Q3267" s="22">
        <f>IF($D3267="","",IF(AND(OR(DANH_MUC!$L$5&lt;&gt;"Có",M3267="Có"),OR(DANH_MUC!$L$6&lt;&gt;"Có",N3267="Có"),OR(DANH_MUC!$L$7&lt;&gt;"Có",O3267="Có"),OR(DANH_MUC!$L$8&lt;&gt;"Có",P3267="Có")),"Có","Không"))</f>
        <v/>
      </c>
      <c r="R3267" s="22">
        <f>IF($D3267="","",IF(COUNTIF($D$2:$D3267,$D3267)&gt;1,"Trùng",""))</f>
        <v/>
      </c>
      <c r="S3267" s="22">
        <f>IF($D3267="","",IF(AND(LEN($D3267)=10,LEFT($D3267,1)="0",ISNUMBER(--$D3267)),"Có","Không"))</f>
        <v/>
      </c>
      <c r="T3267" s="22">
        <f>IF($D3267="","",IF(AND($C3267&lt;&gt;"",$Q3267="Có",$R3267="",$S3267="Có",AND($L3267&lt;&gt;"",OR($L3267&lt;&gt;"Chưa xác định",DANH_MUC!$L$9="Có"))),"Có","Không"))</f>
        <v/>
      </c>
      <c r="U3267" s="22">
        <f>IF(OR($D3267="",$T3267="Có"),"",IF($C3267="","Thiếu họ tên; ","")&amp;IF($S3267&lt;&gt;"Có","SĐT sai định dạng; ","")&amp;IF($R3267="Trùng","Trùng SĐT; ","")&amp;IF($Q3267&lt;&gt;"Có","Thiếu đồng ý bắt buộc; ","")&amp;IF($L3267="","Thiếu/sai Mã REF; ",IF(AND($L3267="Chưa xác định",DANH_MUC!$L$9&lt;&gt;"Có"),"Nguồn chưa xác định; ","")))</f>
        <v/>
      </c>
      <c r="V3267" s="22">
        <f>IF(OR($D3267="",$R3267="Trùng"),"",IF(COUNTIF(ORDERS!$C$2:$C$4995,$D3267)&gt;0,"Có","Không"))</f>
        <v/>
      </c>
      <c r="W3267" s="22">
        <f>IF(OR($D3267="",$R3267="Trùng"),"",COUNTIFS(ORDERS!$C$2:$C$4995,$D3267,ORDERS!$L$2:$L$4995,"Đã chuyển khoản"))</f>
        <v/>
      </c>
      <c r="X3267" s="23">
        <f>IF(OR($D3267="",$R3267="Trùng"),"",SUMIFS(ORDERS!$J$2:$J$4995,ORDERS!$C$2:$C$4995,$D3267,ORDERS!$L$2:$L$4995,"Đã chuyển khoản"))</f>
        <v/>
      </c>
      <c r="Y3267" s="24" t="n"/>
    </row>
    <row r="3268" ht="14.25" customHeight="1" s="40">
      <c r="A3268" s="24" t="n"/>
      <c r="B3268" s="27" t="n"/>
      <c r="C3268" s="24" t="n"/>
      <c r="D3268" s="28" t="n"/>
      <c r="E3268" s="29" t="n"/>
      <c r="F3268" s="24" t="n"/>
      <c r="G3268" s="24" t="n"/>
      <c r="H3268" s="21">
        <f>IF(ISNUMBER($B3268),INT($B3268)-WEEKDAY($B3268,2)+1,"")</f>
        <v/>
      </c>
      <c r="I3268" s="24" t="n"/>
      <c r="J3268" s="22">
        <f t="array" ref="J3268">IF($D3268="","",IF($I3268="","(trống REF)",IFERROR(INDEX(MASTER_SOURCE!$B$2:$B$495,MATCH($I3268,MASTER_SOURCE!$A$2:$A$495,0)),"(REF không có trong MASTER_SOURCE)")))</f>
        <v/>
      </c>
      <c r="K3268" s="22">
        <f t="array" ref="K3268">IF($D3268="","",IFERROR(INDEX(MASTER_SOURCE!$C$2:$C$495,MATCH($I3268,MASTER_SOURCE!$A$2:$A$495,0)),""))</f>
        <v/>
      </c>
      <c r="L3268" s="22">
        <f t="array" ref="L3268">IF($D3268="","",IFERROR(INDEX(MASTER_SOURCE!$D$2:$D$495,MATCH($I3268,MASTER_SOURCE!$A$2:$A$495,0)),""))</f>
        <v/>
      </c>
      <c r="M3268" s="24" t="n"/>
      <c r="N3268" s="24" t="n"/>
      <c r="O3268" s="24" t="n"/>
      <c r="P3268" s="24" t="n"/>
      <c r="Q3268" s="22">
        <f>IF($D3268="","",IF(AND(OR(DANH_MUC!$L$5&lt;&gt;"Có",M3268="Có"),OR(DANH_MUC!$L$6&lt;&gt;"Có",N3268="Có"),OR(DANH_MUC!$L$7&lt;&gt;"Có",O3268="Có"),OR(DANH_MUC!$L$8&lt;&gt;"Có",P3268="Có")),"Có","Không"))</f>
        <v/>
      </c>
      <c r="R3268" s="22">
        <f>IF($D3268="","",IF(COUNTIF($D$2:$D3268,$D3268)&gt;1,"Trùng",""))</f>
        <v/>
      </c>
      <c r="S3268" s="22">
        <f>IF($D3268="","",IF(AND(LEN($D3268)=10,LEFT($D3268,1)="0",ISNUMBER(--$D3268)),"Có","Không"))</f>
        <v/>
      </c>
      <c r="T3268" s="22">
        <f>IF($D3268="","",IF(AND($C3268&lt;&gt;"",$Q3268="Có",$R3268="",$S3268="Có",AND($L3268&lt;&gt;"",OR($L3268&lt;&gt;"Chưa xác định",DANH_MUC!$L$9="Có"))),"Có","Không"))</f>
        <v/>
      </c>
      <c r="U3268" s="22">
        <f>IF(OR($D3268="",$T3268="Có"),"",IF($C3268="","Thiếu họ tên; ","")&amp;IF($S3268&lt;&gt;"Có","SĐT sai định dạng; ","")&amp;IF($R3268="Trùng","Trùng SĐT; ","")&amp;IF($Q3268&lt;&gt;"Có","Thiếu đồng ý bắt buộc; ","")&amp;IF($L3268="","Thiếu/sai Mã REF; ",IF(AND($L3268="Chưa xác định",DANH_MUC!$L$9&lt;&gt;"Có"),"Nguồn chưa xác định; ","")))</f>
        <v/>
      </c>
      <c r="V3268" s="22">
        <f>IF(OR($D3268="",$R3268="Trùng"),"",IF(COUNTIF(ORDERS!$C$2:$C$4995,$D3268)&gt;0,"Có","Không"))</f>
        <v/>
      </c>
      <c r="W3268" s="22">
        <f>IF(OR($D3268="",$R3268="Trùng"),"",COUNTIFS(ORDERS!$C$2:$C$4995,$D3268,ORDERS!$L$2:$L$4995,"Đã chuyển khoản"))</f>
        <v/>
      </c>
      <c r="X3268" s="23">
        <f>IF(OR($D3268="",$R3268="Trùng"),"",SUMIFS(ORDERS!$J$2:$J$4995,ORDERS!$C$2:$C$4995,$D3268,ORDERS!$L$2:$L$4995,"Đã chuyển khoản"))</f>
        <v/>
      </c>
      <c r="Y3268" s="24" t="n"/>
    </row>
    <row r="3269" ht="14.25" customHeight="1" s="40">
      <c r="A3269" s="24" t="n"/>
      <c r="B3269" s="27" t="n"/>
      <c r="C3269" s="24" t="n"/>
      <c r="D3269" s="28" t="n"/>
      <c r="E3269" s="29" t="n"/>
      <c r="F3269" s="24" t="n"/>
      <c r="G3269" s="24" t="n"/>
      <c r="H3269" s="21">
        <f>IF(ISNUMBER($B3269),INT($B3269)-WEEKDAY($B3269,2)+1,"")</f>
        <v/>
      </c>
      <c r="I3269" s="24" t="n"/>
      <c r="J3269" s="22">
        <f t="array" ref="J3269">IF($D3269="","",IF($I3269="","(trống REF)",IFERROR(INDEX(MASTER_SOURCE!$B$2:$B$495,MATCH($I3269,MASTER_SOURCE!$A$2:$A$495,0)),"(REF không có trong MASTER_SOURCE)")))</f>
        <v/>
      </c>
      <c r="K3269" s="22">
        <f t="array" ref="K3269">IF($D3269="","",IFERROR(INDEX(MASTER_SOURCE!$C$2:$C$495,MATCH($I3269,MASTER_SOURCE!$A$2:$A$495,0)),""))</f>
        <v/>
      </c>
      <c r="L3269" s="22">
        <f t="array" ref="L3269">IF($D3269="","",IFERROR(INDEX(MASTER_SOURCE!$D$2:$D$495,MATCH($I3269,MASTER_SOURCE!$A$2:$A$495,0)),""))</f>
        <v/>
      </c>
      <c r="M3269" s="24" t="n"/>
      <c r="N3269" s="24" t="n"/>
      <c r="O3269" s="24" t="n"/>
      <c r="P3269" s="24" t="n"/>
      <c r="Q3269" s="22">
        <f>IF($D3269="","",IF(AND(OR(DANH_MUC!$L$5&lt;&gt;"Có",M3269="Có"),OR(DANH_MUC!$L$6&lt;&gt;"Có",N3269="Có"),OR(DANH_MUC!$L$7&lt;&gt;"Có",O3269="Có"),OR(DANH_MUC!$L$8&lt;&gt;"Có",P3269="Có")),"Có","Không"))</f>
        <v/>
      </c>
      <c r="R3269" s="22">
        <f>IF($D3269="","",IF(COUNTIF($D$2:$D3269,$D3269)&gt;1,"Trùng",""))</f>
        <v/>
      </c>
      <c r="S3269" s="22">
        <f>IF($D3269="","",IF(AND(LEN($D3269)=10,LEFT($D3269,1)="0",ISNUMBER(--$D3269)),"Có","Không"))</f>
        <v/>
      </c>
      <c r="T3269" s="22">
        <f>IF($D3269="","",IF(AND($C3269&lt;&gt;"",$Q3269="Có",$R3269="",$S3269="Có",AND($L3269&lt;&gt;"",OR($L3269&lt;&gt;"Chưa xác định",DANH_MUC!$L$9="Có"))),"Có","Không"))</f>
        <v/>
      </c>
      <c r="U3269" s="22">
        <f>IF(OR($D3269="",$T3269="Có"),"",IF($C3269="","Thiếu họ tên; ","")&amp;IF($S3269&lt;&gt;"Có","SĐT sai định dạng; ","")&amp;IF($R3269="Trùng","Trùng SĐT; ","")&amp;IF($Q3269&lt;&gt;"Có","Thiếu đồng ý bắt buộc; ","")&amp;IF($L3269="","Thiếu/sai Mã REF; ",IF(AND($L3269="Chưa xác định",DANH_MUC!$L$9&lt;&gt;"Có"),"Nguồn chưa xác định; ","")))</f>
        <v/>
      </c>
      <c r="V3269" s="22">
        <f>IF(OR($D3269="",$R3269="Trùng"),"",IF(COUNTIF(ORDERS!$C$2:$C$4995,$D3269)&gt;0,"Có","Không"))</f>
        <v/>
      </c>
      <c r="W3269" s="22">
        <f>IF(OR($D3269="",$R3269="Trùng"),"",COUNTIFS(ORDERS!$C$2:$C$4995,$D3269,ORDERS!$L$2:$L$4995,"Đã chuyển khoản"))</f>
        <v/>
      </c>
      <c r="X3269" s="23">
        <f>IF(OR($D3269="",$R3269="Trùng"),"",SUMIFS(ORDERS!$J$2:$J$4995,ORDERS!$C$2:$C$4995,$D3269,ORDERS!$L$2:$L$4995,"Đã chuyển khoản"))</f>
        <v/>
      </c>
      <c r="Y3269" s="24" t="n"/>
    </row>
    <row r="3270" ht="14.25" customHeight="1" s="40">
      <c r="A3270" s="24" t="n"/>
      <c r="B3270" s="27" t="n"/>
      <c r="C3270" s="24" t="n"/>
      <c r="D3270" s="28" t="n"/>
      <c r="E3270" s="29" t="n"/>
      <c r="F3270" s="24" t="n"/>
      <c r="G3270" s="24" t="n"/>
      <c r="H3270" s="21">
        <f>IF(ISNUMBER($B3270),INT($B3270)-WEEKDAY($B3270,2)+1,"")</f>
        <v/>
      </c>
      <c r="I3270" s="24" t="n"/>
      <c r="J3270" s="22">
        <f t="array" ref="J3270">IF($D3270="","",IF($I3270="","(trống REF)",IFERROR(INDEX(MASTER_SOURCE!$B$2:$B$495,MATCH($I3270,MASTER_SOURCE!$A$2:$A$495,0)),"(REF không có trong MASTER_SOURCE)")))</f>
        <v/>
      </c>
      <c r="K3270" s="22">
        <f t="array" ref="K3270">IF($D3270="","",IFERROR(INDEX(MASTER_SOURCE!$C$2:$C$495,MATCH($I3270,MASTER_SOURCE!$A$2:$A$495,0)),""))</f>
        <v/>
      </c>
      <c r="L3270" s="22">
        <f t="array" ref="L3270">IF($D3270="","",IFERROR(INDEX(MASTER_SOURCE!$D$2:$D$495,MATCH($I3270,MASTER_SOURCE!$A$2:$A$495,0)),""))</f>
        <v/>
      </c>
      <c r="M3270" s="24" t="n"/>
      <c r="N3270" s="24" t="n"/>
      <c r="O3270" s="24" t="n"/>
      <c r="P3270" s="24" t="n"/>
      <c r="Q3270" s="22">
        <f>IF($D3270="","",IF(AND(OR(DANH_MUC!$L$5&lt;&gt;"Có",M3270="Có"),OR(DANH_MUC!$L$6&lt;&gt;"Có",N3270="Có"),OR(DANH_MUC!$L$7&lt;&gt;"Có",O3270="Có"),OR(DANH_MUC!$L$8&lt;&gt;"Có",P3270="Có")),"Có","Không"))</f>
        <v/>
      </c>
      <c r="R3270" s="22">
        <f>IF($D3270="","",IF(COUNTIF($D$2:$D3270,$D3270)&gt;1,"Trùng",""))</f>
        <v/>
      </c>
      <c r="S3270" s="22">
        <f>IF($D3270="","",IF(AND(LEN($D3270)=10,LEFT($D3270,1)="0",ISNUMBER(--$D3270)),"Có","Không"))</f>
        <v/>
      </c>
      <c r="T3270" s="22">
        <f>IF($D3270="","",IF(AND($C3270&lt;&gt;"",$Q3270="Có",$R3270="",$S3270="Có",AND($L3270&lt;&gt;"",OR($L3270&lt;&gt;"Chưa xác định",DANH_MUC!$L$9="Có"))),"Có","Không"))</f>
        <v/>
      </c>
      <c r="U3270" s="22">
        <f>IF(OR($D3270="",$T3270="Có"),"",IF($C3270="","Thiếu họ tên; ","")&amp;IF($S3270&lt;&gt;"Có","SĐT sai định dạng; ","")&amp;IF($R3270="Trùng","Trùng SĐT; ","")&amp;IF($Q3270&lt;&gt;"Có","Thiếu đồng ý bắt buộc; ","")&amp;IF($L3270="","Thiếu/sai Mã REF; ",IF(AND($L3270="Chưa xác định",DANH_MUC!$L$9&lt;&gt;"Có"),"Nguồn chưa xác định; ","")))</f>
        <v/>
      </c>
      <c r="V3270" s="22">
        <f>IF(OR($D3270="",$R3270="Trùng"),"",IF(COUNTIF(ORDERS!$C$2:$C$4995,$D3270)&gt;0,"Có","Không"))</f>
        <v/>
      </c>
      <c r="W3270" s="22">
        <f>IF(OR($D3270="",$R3270="Trùng"),"",COUNTIFS(ORDERS!$C$2:$C$4995,$D3270,ORDERS!$L$2:$L$4995,"Đã chuyển khoản"))</f>
        <v/>
      </c>
      <c r="X3270" s="23">
        <f>IF(OR($D3270="",$R3270="Trùng"),"",SUMIFS(ORDERS!$J$2:$J$4995,ORDERS!$C$2:$C$4995,$D3270,ORDERS!$L$2:$L$4995,"Đã chuyển khoản"))</f>
        <v/>
      </c>
      <c r="Y3270" s="24" t="n"/>
    </row>
    <row r="3271" ht="14.25" customHeight="1" s="40">
      <c r="A3271" s="24" t="n"/>
      <c r="B3271" s="27" t="n"/>
      <c r="C3271" s="24" t="n"/>
      <c r="D3271" s="28" t="n"/>
      <c r="E3271" s="29" t="n"/>
      <c r="F3271" s="24" t="n"/>
      <c r="G3271" s="24" t="n"/>
      <c r="H3271" s="21">
        <f>IF(ISNUMBER($B3271),INT($B3271)-WEEKDAY($B3271,2)+1,"")</f>
        <v/>
      </c>
      <c r="I3271" s="24" t="n"/>
      <c r="J3271" s="22">
        <f t="array" ref="J3271">IF($D3271="","",IF($I3271="","(trống REF)",IFERROR(INDEX(MASTER_SOURCE!$B$2:$B$495,MATCH($I3271,MASTER_SOURCE!$A$2:$A$495,0)),"(REF không có trong MASTER_SOURCE)")))</f>
        <v/>
      </c>
      <c r="K3271" s="22">
        <f t="array" ref="K3271">IF($D3271="","",IFERROR(INDEX(MASTER_SOURCE!$C$2:$C$495,MATCH($I3271,MASTER_SOURCE!$A$2:$A$495,0)),""))</f>
        <v/>
      </c>
      <c r="L3271" s="22">
        <f t="array" ref="L3271">IF($D3271="","",IFERROR(INDEX(MASTER_SOURCE!$D$2:$D$495,MATCH($I3271,MASTER_SOURCE!$A$2:$A$495,0)),""))</f>
        <v/>
      </c>
      <c r="M3271" s="24" t="n"/>
      <c r="N3271" s="24" t="n"/>
      <c r="O3271" s="24" t="n"/>
      <c r="P3271" s="24" t="n"/>
      <c r="Q3271" s="22">
        <f>IF($D3271="","",IF(AND(OR(DANH_MUC!$L$5&lt;&gt;"Có",M3271="Có"),OR(DANH_MUC!$L$6&lt;&gt;"Có",N3271="Có"),OR(DANH_MUC!$L$7&lt;&gt;"Có",O3271="Có"),OR(DANH_MUC!$L$8&lt;&gt;"Có",P3271="Có")),"Có","Không"))</f>
        <v/>
      </c>
      <c r="R3271" s="22">
        <f>IF($D3271="","",IF(COUNTIF($D$2:$D3271,$D3271)&gt;1,"Trùng",""))</f>
        <v/>
      </c>
      <c r="S3271" s="22">
        <f>IF($D3271="","",IF(AND(LEN($D3271)=10,LEFT($D3271,1)="0",ISNUMBER(--$D3271)),"Có","Không"))</f>
        <v/>
      </c>
      <c r="T3271" s="22">
        <f>IF($D3271="","",IF(AND($C3271&lt;&gt;"",$Q3271="Có",$R3271="",$S3271="Có",AND($L3271&lt;&gt;"",OR($L3271&lt;&gt;"Chưa xác định",DANH_MUC!$L$9="Có"))),"Có","Không"))</f>
        <v/>
      </c>
      <c r="U3271" s="22">
        <f>IF(OR($D3271="",$T3271="Có"),"",IF($C3271="","Thiếu họ tên; ","")&amp;IF($S3271&lt;&gt;"Có","SĐT sai định dạng; ","")&amp;IF($R3271="Trùng","Trùng SĐT; ","")&amp;IF($Q3271&lt;&gt;"Có","Thiếu đồng ý bắt buộc; ","")&amp;IF($L3271="","Thiếu/sai Mã REF; ",IF(AND($L3271="Chưa xác định",DANH_MUC!$L$9&lt;&gt;"Có"),"Nguồn chưa xác định; ","")))</f>
        <v/>
      </c>
      <c r="V3271" s="22">
        <f>IF(OR($D3271="",$R3271="Trùng"),"",IF(COUNTIF(ORDERS!$C$2:$C$4995,$D3271)&gt;0,"Có","Không"))</f>
        <v/>
      </c>
      <c r="W3271" s="22">
        <f>IF(OR($D3271="",$R3271="Trùng"),"",COUNTIFS(ORDERS!$C$2:$C$4995,$D3271,ORDERS!$L$2:$L$4995,"Đã chuyển khoản"))</f>
        <v/>
      </c>
      <c r="X3271" s="23">
        <f>IF(OR($D3271="",$R3271="Trùng"),"",SUMIFS(ORDERS!$J$2:$J$4995,ORDERS!$C$2:$C$4995,$D3271,ORDERS!$L$2:$L$4995,"Đã chuyển khoản"))</f>
        <v/>
      </c>
      <c r="Y3271" s="24" t="n"/>
    </row>
    <row r="3272" ht="14.25" customHeight="1" s="40">
      <c r="A3272" s="24" t="n"/>
      <c r="B3272" s="27" t="n"/>
      <c r="C3272" s="24" t="n"/>
      <c r="D3272" s="28" t="n"/>
      <c r="E3272" s="29" t="n"/>
      <c r="F3272" s="24" t="n"/>
      <c r="G3272" s="24" t="n"/>
      <c r="H3272" s="21">
        <f>IF(ISNUMBER($B3272),INT($B3272)-WEEKDAY($B3272,2)+1,"")</f>
        <v/>
      </c>
      <c r="I3272" s="24" t="n"/>
      <c r="J3272" s="22">
        <f t="array" ref="J3272">IF($D3272="","",IF($I3272="","(trống REF)",IFERROR(INDEX(MASTER_SOURCE!$B$2:$B$495,MATCH($I3272,MASTER_SOURCE!$A$2:$A$495,0)),"(REF không có trong MASTER_SOURCE)")))</f>
        <v/>
      </c>
      <c r="K3272" s="22">
        <f t="array" ref="K3272">IF($D3272="","",IFERROR(INDEX(MASTER_SOURCE!$C$2:$C$495,MATCH($I3272,MASTER_SOURCE!$A$2:$A$495,0)),""))</f>
        <v/>
      </c>
      <c r="L3272" s="22">
        <f t="array" ref="L3272">IF($D3272="","",IFERROR(INDEX(MASTER_SOURCE!$D$2:$D$495,MATCH($I3272,MASTER_SOURCE!$A$2:$A$495,0)),""))</f>
        <v/>
      </c>
      <c r="M3272" s="24" t="n"/>
      <c r="N3272" s="24" t="n"/>
      <c r="O3272" s="24" t="n"/>
      <c r="P3272" s="24" t="n"/>
      <c r="Q3272" s="22">
        <f>IF($D3272="","",IF(AND(OR(DANH_MUC!$L$5&lt;&gt;"Có",M3272="Có"),OR(DANH_MUC!$L$6&lt;&gt;"Có",N3272="Có"),OR(DANH_MUC!$L$7&lt;&gt;"Có",O3272="Có"),OR(DANH_MUC!$L$8&lt;&gt;"Có",P3272="Có")),"Có","Không"))</f>
        <v/>
      </c>
      <c r="R3272" s="22">
        <f>IF($D3272="","",IF(COUNTIF($D$2:$D3272,$D3272)&gt;1,"Trùng",""))</f>
        <v/>
      </c>
      <c r="S3272" s="22">
        <f>IF($D3272="","",IF(AND(LEN($D3272)=10,LEFT($D3272,1)="0",ISNUMBER(--$D3272)),"Có","Không"))</f>
        <v/>
      </c>
      <c r="T3272" s="22">
        <f>IF($D3272="","",IF(AND($C3272&lt;&gt;"",$Q3272="Có",$R3272="",$S3272="Có",AND($L3272&lt;&gt;"",OR($L3272&lt;&gt;"Chưa xác định",DANH_MUC!$L$9="Có"))),"Có","Không"))</f>
        <v/>
      </c>
      <c r="U3272" s="22">
        <f>IF(OR($D3272="",$T3272="Có"),"",IF($C3272="","Thiếu họ tên; ","")&amp;IF($S3272&lt;&gt;"Có","SĐT sai định dạng; ","")&amp;IF($R3272="Trùng","Trùng SĐT; ","")&amp;IF($Q3272&lt;&gt;"Có","Thiếu đồng ý bắt buộc; ","")&amp;IF($L3272="","Thiếu/sai Mã REF; ",IF(AND($L3272="Chưa xác định",DANH_MUC!$L$9&lt;&gt;"Có"),"Nguồn chưa xác định; ","")))</f>
        <v/>
      </c>
      <c r="V3272" s="22">
        <f>IF(OR($D3272="",$R3272="Trùng"),"",IF(COUNTIF(ORDERS!$C$2:$C$4995,$D3272)&gt;0,"Có","Không"))</f>
        <v/>
      </c>
      <c r="W3272" s="22">
        <f>IF(OR($D3272="",$R3272="Trùng"),"",COUNTIFS(ORDERS!$C$2:$C$4995,$D3272,ORDERS!$L$2:$L$4995,"Đã chuyển khoản"))</f>
        <v/>
      </c>
      <c r="X3272" s="23">
        <f>IF(OR($D3272="",$R3272="Trùng"),"",SUMIFS(ORDERS!$J$2:$J$4995,ORDERS!$C$2:$C$4995,$D3272,ORDERS!$L$2:$L$4995,"Đã chuyển khoản"))</f>
        <v/>
      </c>
      <c r="Y3272" s="24" t="n"/>
    </row>
    <row r="3273" ht="14.25" customHeight="1" s="40">
      <c r="A3273" s="24" t="n"/>
      <c r="B3273" s="27" t="n"/>
      <c r="C3273" s="24" t="n"/>
      <c r="D3273" s="28" t="n"/>
      <c r="E3273" s="29" t="n"/>
      <c r="F3273" s="24" t="n"/>
      <c r="G3273" s="24" t="n"/>
      <c r="H3273" s="21">
        <f>IF(ISNUMBER($B3273),INT($B3273)-WEEKDAY($B3273,2)+1,"")</f>
        <v/>
      </c>
      <c r="I3273" s="24" t="n"/>
      <c r="J3273" s="22">
        <f t="array" ref="J3273">IF($D3273="","",IF($I3273="","(trống REF)",IFERROR(INDEX(MASTER_SOURCE!$B$2:$B$495,MATCH($I3273,MASTER_SOURCE!$A$2:$A$495,0)),"(REF không có trong MASTER_SOURCE)")))</f>
        <v/>
      </c>
      <c r="K3273" s="22">
        <f t="array" ref="K3273">IF($D3273="","",IFERROR(INDEX(MASTER_SOURCE!$C$2:$C$495,MATCH($I3273,MASTER_SOURCE!$A$2:$A$495,0)),""))</f>
        <v/>
      </c>
      <c r="L3273" s="22">
        <f t="array" ref="L3273">IF($D3273="","",IFERROR(INDEX(MASTER_SOURCE!$D$2:$D$495,MATCH($I3273,MASTER_SOURCE!$A$2:$A$495,0)),""))</f>
        <v/>
      </c>
      <c r="M3273" s="24" t="n"/>
      <c r="N3273" s="24" t="n"/>
      <c r="O3273" s="24" t="n"/>
      <c r="P3273" s="24" t="n"/>
      <c r="Q3273" s="22">
        <f>IF($D3273="","",IF(AND(OR(DANH_MUC!$L$5&lt;&gt;"Có",M3273="Có"),OR(DANH_MUC!$L$6&lt;&gt;"Có",N3273="Có"),OR(DANH_MUC!$L$7&lt;&gt;"Có",O3273="Có"),OR(DANH_MUC!$L$8&lt;&gt;"Có",P3273="Có")),"Có","Không"))</f>
        <v/>
      </c>
      <c r="R3273" s="22">
        <f>IF($D3273="","",IF(COUNTIF($D$2:$D3273,$D3273)&gt;1,"Trùng",""))</f>
        <v/>
      </c>
      <c r="S3273" s="22">
        <f>IF($D3273="","",IF(AND(LEN($D3273)=10,LEFT($D3273,1)="0",ISNUMBER(--$D3273)),"Có","Không"))</f>
        <v/>
      </c>
      <c r="T3273" s="22">
        <f>IF($D3273="","",IF(AND($C3273&lt;&gt;"",$Q3273="Có",$R3273="",$S3273="Có",AND($L3273&lt;&gt;"",OR($L3273&lt;&gt;"Chưa xác định",DANH_MUC!$L$9="Có"))),"Có","Không"))</f>
        <v/>
      </c>
      <c r="U3273" s="22">
        <f>IF(OR($D3273="",$T3273="Có"),"",IF($C3273="","Thiếu họ tên; ","")&amp;IF($S3273&lt;&gt;"Có","SĐT sai định dạng; ","")&amp;IF($R3273="Trùng","Trùng SĐT; ","")&amp;IF($Q3273&lt;&gt;"Có","Thiếu đồng ý bắt buộc; ","")&amp;IF($L3273="","Thiếu/sai Mã REF; ",IF(AND($L3273="Chưa xác định",DANH_MUC!$L$9&lt;&gt;"Có"),"Nguồn chưa xác định; ","")))</f>
        <v/>
      </c>
      <c r="V3273" s="22">
        <f>IF(OR($D3273="",$R3273="Trùng"),"",IF(COUNTIF(ORDERS!$C$2:$C$4995,$D3273)&gt;0,"Có","Không"))</f>
        <v/>
      </c>
      <c r="W3273" s="22">
        <f>IF(OR($D3273="",$R3273="Trùng"),"",COUNTIFS(ORDERS!$C$2:$C$4995,$D3273,ORDERS!$L$2:$L$4995,"Đã chuyển khoản"))</f>
        <v/>
      </c>
      <c r="X3273" s="23">
        <f>IF(OR($D3273="",$R3273="Trùng"),"",SUMIFS(ORDERS!$J$2:$J$4995,ORDERS!$C$2:$C$4995,$D3273,ORDERS!$L$2:$L$4995,"Đã chuyển khoản"))</f>
        <v/>
      </c>
      <c r="Y3273" s="24" t="n"/>
    </row>
    <row r="3274" ht="14.25" customHeight="1" s="40">
      <c r="A3274" s="24" t="n"/>
      <c r="B3274" s="27" t="n"/>
      <c r="C3274" s="24" t="n"/>
      <c r="D3274" s="28" t="n"/>
      <c r="E3274" s="29" t="n"/>
      <c r="F3274" s="24" t="n"/>
      <c r="G3274" s="24" t="n"/>
      <c r="H3274" s="21">
        <f>IF(ISNUMBER($B3274),INT($B3274)-WEEKDAY($B3274,2)+1,"")</f>
        <v/>
      </c>
      <c r="I3274" s="24" t="n"/>
      <c r="J3274" s="22">
        <f t="array" ref="J3274">IF($D3274="","",IF($I3274="","(trống REF)",IFERROR(INDEX(MASTER_SOURCE!$B$2:$B$495,MATCH($I3274,MASTER_SOURCE!$A$2:$A$495,0)),"(REF không có trong MASTER_SOURCE)")))</f>
        <v/>
      </c>
      <c r="K3274" s="22">
        <f t="array" ref="K3274">IF($D3274="","",IFERROR(INDEX(MASTER_SOURCE!$C$2:$C$495,MATCH($I3274,MASTER_SOURCE!$A$2:$A$495,0)),""))</f>
        <v/>
      </c>
      <c r="L3274" s="22">
        <f t="array" ref="L3274">IF($D3274="","",IFERROR(INDEX(MASTER_SOURCE!$D$2:$D$495,MATCH($I3274,MASTER_SOURCE!$A$2:$A$495,0)),""))</f>
        <v/>
      </c>
      <c r="M3274" s="24" t="n"/>
      <c r="N3274" s="24" t="n"/>
      <c r="O3274" s="24" t="n"/>
      <c r="P3274" s="24" t="n"/>
      <c r="Q3274" s="22">
        <f>IF($D3274="","",IF(AND(OR(DANH_MUC!$L$5&lt;&gt;"Có",M3274="Có"),OR(DANH_MUC!$L$6&lt;&gt;"Có",N3274="Có"),OR(DANH_MUC!$L$7&lt;&gt;"Có",O3274="Có"),OR(DANH_MUC!$L$8&lt;&gt;"Có",P3274="Có")),"Có","Không"))</f>
        <v/>
      </c>
      <c r="R3274" s="22">
        <f>IF($D3274="","",IF(COUNTIF($D$2:$D3274,$D3274)&gt;1,"Trùng",""))</f>
        <v/>
      </c>
      <c r="S3274" s="22">
        <f>IF($D3274="","",IF(AND(LEN($D3274)=10,LEFT($D3274,1)="0",ISNUMBER(--$D3274)),"Có","Không"))</f>
        <v/>
      </c>
      <c r="T3274" s="22">
        <f>IF($D3274="","",IF(AND($C3274&lt;&gt;"",$Q3274="Có",$R3274="",$S3274="Có",AND($L3274&lt;&gt;"",OR($L3274&lt;&gt;"Chưa xác định",DANH_MUC!$L$9="Có"))),"Có","Không"))</f>
        <v/>
      </c>
      <c r="U3274" s="22">
        <f>IF(OR($D3274="",$T3274="Có"),"",IF($C3274="","Thiếu họ tên; ","")&amp;IF($S3274&lt;&gt;"Có","SĐT sai định dạng; ","")&amp;IF($R3274="Trùng","Trùng SĐT; ","")&amp;IF($Q3274&lt;&gt;"Có","Thiếu đồng ý bắt buộc; ","")&amp;IF($L3274="","Thiếu/sai Mã REF; ",IF(AND($L3274="Chưa xác định",DANH_MUC!$L$9&lt;&gt;"Có"),"Nguồn chưa xác định; ","")))</f>
        <v/>
      </c>
      <c r="V3274" s="22">
        <f>IF(OR($D3274="",$R3274="Trùng"),"",IF(COUNTIF(ORDERS!$C$2:$C$4995,$D3274)&gt;0,"Có","Không"))</f>
        <v/>
      </c>
      <c r="W3274" s="22">
        <f>IF(OR($D3274="",$R3274="Trùng"),"",COUNTIFS(ORDERS!$C$2:$C$4995,$D3274,ORDERS!$L$2:$L$4995,"Đã chuyển khoản"))</f>
        <v/>
      </c>
      <c r="X3274" s="23">
        <f>IF(OR($D3274="",$R3274="Trùng"),"",SUMIFS(ORDERS!$J$2:$J$4995,ORDERS!$C$2:$C$4995,$D3274,ORDERS!$L$2:$L$4995,"Đã chuyển khoản"))</f>
        <v/>
      </c>
      <c r="Y3274" s="24" t="n"/>
    </row>
    <row r="3275" ht="14.25" customHeight="1" s="40">
      <c r="A3275" s="24" t="n"/>
      <c r="B3275" s="27" t="n"/>
      <c r="C3275" s="24" t="n"/>
      <c r="D3275" s="28" t="n"/>
      <c r="E3275" s="29" t="n"/>
      <c r="F3275" s="24" t="n"/>
      <c r="G3275" s="24" t="n"/>
      <c r="H3275" s="21">
        <f>IF(ISNUMBER($B3275),INT($B3275)-WEEKDAY($B3275,2)+1,"")</f>
        <v/>
      </c>
      <c r="I3275" s="24" t="n"/>
      <c r="J3275" s="22">
        <f t="array" ref="J3275">IF($D3275="","",IF($I3275="","(trống REF)",IFERROR(INDEX(MASTER_SOURCE!$B$2:$B$495,MATCH($I3275,MASTER_SOURCE!$A$2:$A$495,0)),"(REF không có trong MASTER_SOURCE)")))</f>
        <v/>
      </c>
      <c r="K3275" s="22">
        <f t="array" ref="K3275">IF($D3275="","",IFERROR(INDEX(MASTER_SOURCE!$C$2:$C$495,MATCH($I3275,MASTER_SOURCE!$A$2:$A$495,0)),""))</f>
        <v/>
      </c>
      <c r="L3275" s="22">
        <f t="array" ref="L3275">IF($D3275="","",IFERROR(INDEX(MASTER_SOURCE!$D$2:$D$495,MATCH($I3275,MASTER_SOURCE!$A$2:$A$495,0)),""))</f>
        <v/>
      </c>
      <c r="M3275" s="24" t="n"/>
      <c r="N3275" s="24" t="n"/>
      <c r="O3275" s="24" t="n"/>
      <c r="P3275" s="24" t="n"/>
      <c r="Q3275" s="22">
        <f>IF($D3275="","",IF(AND(OR(DANH_MUC!$L$5&lt;&gt;"Có",M3275="Có"),OR(DANH_MUC!$L$6&lt;&gt;"Có",N3275="Có"),OR(DANH_MUC!$L$7&lt;&gt;"Có",O3275="Có"),OR(DANH_MUC!$L$8&lt;&gt;"Có",P3275="Có")),"Có","Không"))</f>
        <v/>
      </c>
      <c r="R3275" s="22">
        <f>IF($D3275="","",IF(COUNTIF($D$2:$D3275,$D3275)&gt;1,"Trùng",""))</f>
        <v/>
      </c>
      <c r="S3275" s="22">
        <f>IF($D3275="","",IF(AND(LEN($D3275)=10,LEFT($D3275,1)="0",ISNUMBER(--$D3275)),"Có","Không"))</f>
        <v/>
      </c>
      <c r="T3275" s="22">
        <f>IF($D3275="","",IF(AND($C3275&lt;&gt;"",$Q3275="Có",$R3275="",$S3275="Có",AND($L3275&lt;&gt;"",OR($L3275&lt;&gt;"Chưa xác định",DANH_MUC!$L$9="Có"))),"Có","Không"))</f>
        <v/>
      </c>
      <c r="U3275" s="22">
        <f>IF(OR($D3275="",$T3275="Có"),"",IF($C3275="","Thiếu họ tên; ","")&amp;IF($S3275&lt;&gt;"Có","SĐT sai định dạng; ","")&amp;IF($R3275="Trùng","Trùng SĐT; ","")&amp;IF($Q3275&lt;&gt;"Có","Thiếu đồng ý bắt buộc; ","")&amp;IF($L3275="","Thiếu/sai Mã REF; ",IF(AND($L3275="Chưa xác định",DANH_MUC!$L$9&lt;&gt;"Có"),"Nguồn chưa xác định; ","")))</f>
        <v/>
      </c>
      <c r="V3275" s="22">
        <f>IF(OR($D3275="",$R3275="Trùng"),"",IF(COUNTIF(ORDERS!$C$2:$C$4995,$D3275)&gt;0,"Có","Không"))</f>
        <v/>
      </c>
      <c r="W3275" s="22">
        <f>IF(OR($D3275="",$R3275="Trùng"),"",COUNTIFS(ORDERS!$C$2:$C$4995,$D3275,ORDERS!$L$2:$L$4995,"Đã chuyển khoản"))</f>
        <v/>
      </c>
      <c r="X3275" s="23">
        <f>IF(OR($D3275="",$R3275="Trùng"),"",SUMIFS(ORDERS!$J$2:$J$4995,ORDERS!$C$2:$C$4995,$D3275,ORDERS!$L$2:$L$4995,"Đã chuyển khoản"))</f>
        <v/>
      </c>
      <c r="Y3275" s="24" t="n"/>
    </row>
    <row r="3276" ht="14.25" customHeight="1" s="40">
      <c r="A3276" s="24" t="n"/>
      <c r="B3276" s="27" t="n"/>
      <c r="C3276" s="24" t="n"/>
      <c r="D3276" s="28" t="n"/>
      <c r="E3276" s="29" t="n"/>
      <c r="F3276" s="24" t="n"/>
      <c r="G3276" s="24" t="n"/>
      <c r="H3276" s="21">
        <f>IF(ISNUMBER($B3276),INT($B3276)-WEEKDAY($B3276,2)+1,"")</f>
        <v/>
      </c>
      <c r="I3276" s="24" t="n"/>
      <c r="J3276" s="22">
        <f t="array" ref="J3276">IF($D3276="","",IF($I3276="","(trống REF)",IFERROR(INDEX(MASTER_SOURCE!$B$2:$B$495,MATCH($I3276,MASTER_SOURCE!$A$2:$A$495,0)),"(REF không có trong MASTER_SOURCE)")))</f>
        <v/>
      </c>
      <c r="K3276" s="22">
        <f t="array" ref="K3276">IF($D3276="","",IFERROR(INDEX(MASTER_SOURCE!$C$2:$C$495,MATCH($I3276,MASTER_SOURCE!$A$2:$A$495,0)),""))</f>
        <v/>
      </c>
      <c r="L3276" s="22">
        <f t="array" ref="L3276">IF($D3276="","",IFERROR(INDEX(MASTER_SOURCE!$D$2:$D$495,MATCH($I3276,MASTER_SOURCE!$A$2:$A$495,0)),""))</f>
        <v/>
      </c>
      <c r="M3276" s="24" t="n"/>
      <c r="N3276" s="24" t="n"/>
      <c r="O3276" s="24" t="n"/>
      <c r="P3276" s="24" t="n"/>
      <c r="Q3276" s="22">
        <f>IF($D3276="","",IF(AND(OR(DANH_MUC!$L$5&lt;&gt;"Có",M3276="Có"),OR(DANH_MUC!$L$6&lt;&gt;"Có",N3276="Có"),OR(DANH_MUC!$L$7&lt;&gt;"Có",O3276="Có"),OR(DANH_MUC!$L$8&lt;&gt;"Có",P3276="Có")),"Có","Không"))</f>
        <v/>
      </c>
      <c r="R3276" s="22">
        <f>IF($D3276="","",IF(COUNTIF($D$2:$D3276,$D3276)&gt;1,"Trùng",""))</f>
        <v/>
      </c>
      <c r="S3276" s="22">
        <f>IF($D3276="","",IF(AND(LEN($D3276)=10,LEFT($D3276,1)="0",ISNUMBER(--$D3276)),"Có","Không"))</f>
        <v/>
      </c>
      <c r="T3276" s="22">
        <f>IF($D3276="","",IF(AND($C3276&lt;&gt;"",$Q3276="Có",$R3276="",$S3276="Có",AND($L3276&lt;&gt;"",OR($L3276&lt;&gt;"Chưa xác định",DANH_MUC!$L$9="Có"))),"Có","Không"))</f>
        <v/>
      </c>
      <c r="U3276" s="22">
        <f>IF(OR($D3276="",$T3276="Có"),"",IF($C3276="","Thiếu họ tên; ","")&amp;IF($S3276&lt;&gt;"Có","SĐT sai định dạng; ","")&amp;IF($R3276="Trùng","Trùng SĐT; ","")&amp;IF($Q3276&lt;&gt;"Có","Thiếu đồng ý bắt buộc; ","")&amp;IF($L3276="","Thiếu/sai Mã REF; ",IF(AND($L3276="Chưa xác định",DANH_MUC!$L$9&lt;&gt;"Có"),"Nguồn chưa xác định; ","")))</f>
        <v/>
      </c>
      <c r="V3276" s="22">
        <f>IF(OR($D3276="",$R3276="Trùng"),"",IF(COUNTIF(ORDERS!$C$2:$C$4995,$D3276)&gt;0,"Có","Không"))</f>
        <v/>
      </c>
      <c r="W3276" s="22">
        <f>IF(OR($D3276="",$R3276="Trùng"),"",COUNTIFS(ORDERS!$C$2:$C$4995,$D3276,ORDERS!$L$2:$L$4995,"Đã chuyển khoản"))</f>
        <v/>
      </c>
      <c r="X3276" s="23">
        <f>IF(OR($D3276="",$R3276="Trùng"),"",SUMIFS(ORDERS!$J$2:$J$4995,ORDERS!$C$2:$C$4995,$D3276,ORDERS!$L$2:$L$4995,"Đã chuyển khoản"))</f>
        <v/>
      </c>
      <c r="Y3276" s="24" t="n"/>
    </row>
    <row r="3277" ht="14.25" customHeight="1" s="40">
      <c r="A3277" s="24" t="n"/>
      <c r="B3277" s="27" t="n"/>
      <c r="C3277" s="24" t="n"/>
      <c r="D3277" s="28" t="n"/>
      <c r="E3277" s="29" t="n"/>
      <c r="F3277" s="24" t="n"/>
      <c r="G3277" s="24" t="n"/>
      <c r="H3277" s="21">
        <f>IF(ISNUMBER($B3277),INT($B3277)-WEEKDAY($B3277,2)+1,"")</f>
        <v/>
      </c>
      <c r="I3277" s="24" t="n"/>
      <c r="J3277" s="22">
        <f t="array" ref="J3277">IF($D3277="","",IF($I3277="","(trống REF)",IFERROR(INDEX(MASTER_SOURCE!$B$2:$B$495,MATCH($I3277,MASTER_SOURCE!$A$2:$A$495,0)),"(REF không có trong MASTER_SOURCE)")))</f>
        <v/>
      </c>
      <c r="K3277" s="22">
        <f t="array" ref="K3277">IF($D3277="","",IFERROR(INDEX(MASTER_SOURCE!$C$2:$C$495,MATCH($I3277,MASTER_SOURCE!$A$2:$A$495,0)),""))</f>
        <v/>
      </c>
      <c r="L3277" s="22">
        <f t="array" ref="L3277">IF($D3277="","",IFERROR(INDEX(MASTER_SOURCE!$D$2:$D$495,MATCH($I3277,MASTER_SOURCE!$A$2:$A$495,0)),""))</f>
        <v/>
      </c>
      <c r="M3277" s="24" t="n"/>
      <c r="N3277" s="24" t="n"/>
      <c r="O3277" s="24" t="n"/>
      <c r="P3277" s="24" t="n"/>
      <c r="Q3277" s="22">
        <f>IF($D3277="","",IF(AND(OR(DANH_MUC!$L$5&lt;&gt;"Có",M3277="Có"),OR(DANH_MUC!$L$6&lt;&gt;"Có",N3277="Có"),OR(DANH_MUC!$L$7&lt;&gt;"Có",O3277="Có"),OR(DANH_MUC!$L$8&lt;&gt;"Có",P3277="Có")),"Có","Không"))</f>
        <v/>
      </c>
      <c r="R3277" s="22">
        <f>IF($D3277="","",IF(COUNTIF($D$2:$D3277,$D3277)&gt;1,"Trùng",""))</f>
        <v/>
      </c>
      <c r="S3277" s="22">
        <f>IF($D3277="","",IF(AND(LEN($D3277)=10,LEFT($D3277,1)="0",ISNUMBER(--$D3277)),"Có","Không"))</f>
        <v/>
      </c>
      <c r="T3277" s="22">
        <f>IF($D3277="","",IF(AND($C3277&lt;&gt;"",$Q3277="Có",$R3277="",$S3277="Có",AND($L3277&lt;&gt;"",OR($L3277&lt;&gt;"Chưa xác định",DANH_MUC!$L$9="Có"))),"Có","Không"))</f>
        <v/>
      </c>
      <c r="U3277" s="22">
        <f>IF(OR($D3277="",$T3277="Có"),"",IF($C3277="","Thiếu họ tên; ","")&amp;IF($S3277&lt;&gt;"Có","SĐT sai định dạng; ","")&amp;IF($R3277="Trùng","Trùng SĐT; ","")&amp;IF($Q3277&lt;&gt;"Có","Thiếu đồng ý bắt buộc; ","")&amp;IF($L3277="","Thiếu/sai Mã REF; ",IF(AND($L3277="Chưa xác định",DANH_MUC!$L$9&lt;&gt;"Có"),"Nguồn chưa xác định; ","")))</f>
        <v/>
      </c>
      <c r="V3277" s="22">
        <f>IF(OR($D3277="",$R3277="Trùng"),"",IF(COUNTIF(ORDERS!$C$2:$C$4995,$D3277)&gt;0,"Có","Không"))</f>
        <v/>
      </c>
      <c r="W3277" s="22">
        <f>IF(OR($D3277="",$R3277="Trùng"),"",COUNTIFS(ORDERS!$C$2:$C$4995,$D3277,ORDERS!$L$2:$L$4995,"Đã chuyển khoản"))</f>
        <v/>
      </c>
      <c r="X3277" s="23">
        <f>IF(OR($D3277="",$R3277="Trùng"),"",SUMIFS(ORDERS!$J$2:$J$4995,ORDERS!$C$2:$C$4995,$D3277,ORDERS!$L$2:$L$4995,"Đã chuyển khoản"))</f>
        <v/>
      </c>
      <c r="Y3277" s="24" t="n"/>
    </row>
    <row r="3278" ht="14.25" customHeight="1" s="40">
      <c r="A3278" s="24" t="n"/>
      <c r="B3278" s="27" t="n"/>
      <c r="C3278" s="24" t="n"/>
      <c r="D3278" s="28" t="n"/>
      <c r="E3278" s="29" t="n"/>
      <c r="F3278" s="24" t="n"/>
      <c r="G3278" s="24" t="n"/>
      <c r="H3278" s="21">
        <f>IF(ISNUMBER($B3278),INT($B3278)-WEEKDAY($B3278,2)+1,"")</f>
        <v/>
      </c>
      <c r="I3278" s="24" t="n"/>
      <c r="J3278" s="22">
        <f t="array" ref="J3278">IF($D3278="","",IF($I3278="","(trống REF)",IFERROR(INDEX(MASTER_SOURCE!$B$2:$B$495,MATCH($I3278,MASTER_SOURCE!$A$2:$A$495,0)),"(REF không có trong MASTER_SOURCE)")))</f>
        <v/>
      </c>
      <c r="K3278" s="22">
        <f t="array" ref="K3278">IF($D3278="","",IFERROR(INDEX(MASTER_SOURCE!$C$2:$C$495,MATCH($I3278,MASTER_SOURCE!$A$2:$A$495,0)),""))</f>
        <v/>
      </c>
      <c r="L3278" s="22">
        <f t="array" ref="L3278">IF($D3278="","",IFERROR(INDEX(MASTER_SOURCE!$D$2:$D$495,MATCH($I3278,MASTER_SOURCE!$A$2:$A$495,0)),""))</f>
        <v/>
      </c>
      <c r="M3278" s="24" t="n"/>
      <c r="N3278" s="24" t="n"/>
      <c r="O3278" s="24" t="n"/>
      <c r="P3278" s="24" t="n"/>
      <c r="Q3278" s="22">
        <f>IF($D3278="","",IF(AND(OR(DANH_MUC!$L$5&lt;&gt;"Có",M3278="Có"),OR(DANH_MUC!$L$6&lt;&gt;"Có",N3278="Có"),OR(DANH_MUC!$L$7&lt;&gt;"Có",O3278="Có"),OR(DANH_MUC!$L$8&lt;&gt;"Có",P3278="Có")),"Có","Không"))</f>
        <v/>
      </c>
      <c r="R3278" s="22">
        <f>IF($D3278="","",IF(COUNTIF($D$2:$D3278,$D3278)&gt;1,"Trùng",""))</f>
        <v/>
      </c>
      <c r="S3278" s="22">
        <f>IF($D3278="","",IF(AND(LEN($D3278)=10,LEFT($D3278,1)="0",ISNUMBER(--$D3278)),"Có","Không"))</f>
        <v/>
      </c>
      <c r="T3278" s="22">
        <f>IF($D3278="","",IF(AND($C3278&lt;&gt;"",$Q3278="Có",$R3278="",$S3278="Có",AND($L3278&lt;&gt;"",OR($L3278&lt;&gt;"Chưa xác định",DANH_MUC!$L$9="Có"))),"Có","Không"))</f>
        <v/>
      </c>
      <c r="U3278" s="22">
        <f>IF(OR($D3278="",$T3278="Có"),"",IF($C3278="","Thiếu họ tên; ","")&amp;IF($S3278&lt;&gt;"Có","SĐT sai định dạng; ","")&amp;IF($R3278="Trùng","Trùng SĐT; ","")&amp;IF($Q3278&lt;&gt;"Có","Thiếu đồng ý bắt buộc; ","")&amp;IF($L3278="","Thiếu/sai Mã REF; ",IF(AND($L3278="Chưa xác định",DANH_MUC!$L$9&lt;&gt;"Có"),"Nguồn chưa xác định; ","")))</f>
        <v/>
      </c>
      <c r="V3278" s="22">
        <f>IF(OR($D3278="",$R3278="Trùng"),"",IF(COUNTIF(ORDERS!$C$2:$C$4995,$D3278)&gt;0,"Có","Không"))</f>
        <v/>
      </c>
      <c r="W3278" s="22">
        <f>IF(OR($D3278="",$R3278="Trùng"),"",COUNTIFS(ORDERS!$C$2:$C$4995,$D3278,ORDERS!$L$2:$L$4995,"Đã chuyển khoản"))</f>
        <v/>
      </c>
      <c r="X3278" s="23">
        <f>IF(OR($D3278="",$R3278="Trùng"),"",SUMIFS(ORDERS!$J$2:$J$4995,ORDERS!$C$2:$C$4995,$D3278,ORDERS!$L$2:$L$4995,"Đã chuyển khoản"))</f>
        <v/>
      </c>
      <c r="Y3278" s="24" t="n"/>
    </row>
    <row r="3279" ht="14.25" customHeight="1" s="40">
      <c r="A3279" s="24" t="n"/>
      <c r="B3279" s="27" t="n"/>
      <c r="C3279" s="24" t="n"/>
      <c r="D3279" s="28" t="n"/>
      <c r="E3279" s="29" t="n"/>
      <c r="F3279" s="24" t="n"/>
      <c r="G3279" s="24" t="n"/>
      <c r="H3279" s="21">
        <f>IF(ISNUMBER($B3279),INT($B3279)-WEEKDAY($B3279,2)+1,"")</f>
        <v/>
      </c>
      <c r="I3279" s="24" t="n"/>
      <c r="J3279" s="22">
        <f t="array" ref="J3279">IF($D3279="","",IF($I3279="","(trống REF)",IFERROR(INDEX(MASTER_SOURCE!$B$2:$B$495,MATCH($I3279,MASTER_SOURCE!$A$2:$A$495,0)),"(REF không có trong MASTER_SOURCE)")))</f>
        <v/>
      </c>
      <c r="K3279" s="22">
        <f t="array" ref="K3279">IF($D3279="","",IFERROR(INDEX(MASTER_SOURCE!$C$2:$C$495,MATCH($I3279,MASTER_SOURCE!$A$2:$A$495,0)),""))</f>
        <v/>
      </c>
      <c r="L3279" s="22">
        <f t="array" ref="L3279">IF($D3279="","",IFERROR(INDEX(MASTER_SOURCE!$D$2:$D$495,MATCH($I3279,MASTER_SOURCE!$A$2:$A$495,0)),""))</f>
        <v/>
      </c>
      <c r="M3279" s="24" t="n"/>
      <c r="N3279" s="24" t="n"/>
      <c r="O3279" s="24" t="n"/>
      <c r="P3279" s="24" t="n"/>
      <c r="Q3279" s="22">
        <f>IF($D3279="","",IF(AND(OR(DANH_MUC!$L$5&lt;&gt;"Có",M3279="Có"),OR(DANH_MUC!$L$6&lt;&gt;"Có",N3279="Có"),OR(DANH_MUC!$L$7&lt;&gt;"Có",O3279="Có"),OR(DANH_MUC!$L$8&lt;&gt;"Có",P3279="Có")),"Có","Không"))</f>
        <v/>
      </c>
      <c r="R3279" s="22">
        <f>IF($D3279="","",IF(COUNTIF($D$2:$D3279,$D3279)&gt;1,"Trùng",""))</f>
        <v/>
      </c>
      <c r="S3279" s="22">
        <f>IF($D3279="","",IF(AND(LEN($D3279)=10,LEFT($D3279,1)="0",ISNUMBER(--$D3279)),"Có","Không"))</f>
        <v/>
      </c>
      <c r="T3279" s="22">
        <f>IF($D3279="","",IF(AND($C3279&lt;&gt;"",$Q3279="Có",$R3279="",$S3279="Có",AND($L3279&lt;&gt;"",OR($L3279&lt;&gt;"Chưa xác định",DANH_MUC!$L$9="Có"))),"Có","Không"))</f>
        <v/>
      </c>
      <c r="U3279" s="22">
        <f>IF(OR($D3279="",$T3279="Có"),"",IF($C3279="","Thiếu họ tên; ","")&amp;IF($S3279&lt;&gt;"Có","SĐT sai định dạng; ","")&amp;IF($R3279="Trùng","Trùng SĐT; ","")&amp;IF($Q3279&lt;&gt;"Có","Thiếu đồng ý bắt buộc; ","")&amp;IF($L3279="","Thiếu/sai Mã REF; ",IF(AND($L3279="Chưa xác định",DANH_MUC!$L$9&lt;&gt;"Có"),"Nguồn chưa xác định; ","")))</f>
        <v/>
      </c>
      <c r="V3279" s="22">
        <f>IF(OR($D3279="",$R3279="Trùng"),"",IF(COUNTIF(ORDERS!$C$2:$C$4995,$D3279)&gt;0,"Có","Không"))</f>
        <v/>
      </c>
      <c r="W3279" s="22">
        <f>IF(OR($D3279="",$R3279="Trùng"),"",COUNTIFS(ORDERS!$C$2:$C$4995,$D3279,ORDERS!$L$2:$L$4995,"Đã chuyển khoản"))</f>
        <v/>
      </c>
      <c r="X3279" s="23">
        <f>IF(OR($D3279="",$R3279="Trùng"),"",SUMIFS(ORDERS!$J$2:$J$4995,ORDERS!$C$2:$C$4995,$D3279,ORDERS!$L$2:$L$4995,"Đã chuyển khoản"))</f>
        <v/>
      </c>
      <c r="Y3279" s="24" t="n"/>
    </row>
    <row r="3280" ht="14.25" customHeight="1" s="40">
      <c r="A3280" s="24" t="n"/>
      <c r="B3280" s="27" t="n"/>
      <c r="C3280" s="24" t="n"/>
      <c r="D3280" s="28" t="n"/>
      <c r="E3280" s="29" t="n"/>
      <c r="F3280" s="24" t="n"/>
      <c r="G3280" s="24" t="n"/>
      <c r="H3280" s="21">
        <f>IF(ISNUMBER($B3280),INT($B3280)-WEEKDAY($B3280,2)+1,"")</f>
        <v/>
      </c>
      <c r="I3280" s="24" t="n"/>
      <c r="J3280" s="22">
        <f t="array" ref="J3280">IF($D3280="","",IF($I3280="","(trống REF)",IFERROR(INDEX(MASTER_SOURCE!$B$2:$B$495,MATCH($I3280,MASTER_SOURCE!$A$2:$A$495,0)),"(REF không có trong MASTER_SOURCE)")))</f>
        <v/>
      </c>
      <c r="K3280" s="22">
        <f t="array" ref="K3280">IF($D3280="","",IFERROR(INDEX(MASTER_SOURCE!$C$2:$C$495,MATCH($I3280,MASTER_SOURCE!$A$2:$A$495,0)),""))</f>
        <v/>
      </c>
      <c r="L3280" s="22">
        <f t="array" ref="L3280">IF($D3280="","",IFERROR(INDEX(MASTER_SOURCE!$D$2:$D$495,MATCH($I3280,MASTER_SOURCE!$A$2:$A$495,0)),""))</f>
        <v/>
      </c>
      <c r="M3280" s="24" t="n"/>
      <c r="N3280" s="24" t="n"/>
      <c r="O3280" s="24" t="n"/>
      <c r="P3280" s="24" t="n"/>
      <c r="Q3280" s="22">
        <f>IF($D3280="","",IF(AND(OR(DANH_MUC!$L$5&lt;&gt;"Có",M3280="Có"),OR(DANH_MUC!$L$6&lt;&gt;"Có",N3280="Có"),OR(DANH_MUC!$L$7&lt;&gt;"Có",O3280="Có"),OR(DANH_MUC!$L$8&lt;&gt;"Có",P3280="Có")),"Có","Không"))</f>
        <v/>
      </c>
      <c r="R3280" s="22">
        <f>IF($D3280="","",IF(COUNTIF($D$2:$D3280,$D3280)&gt;1,"Trùng",""))</f>
        <v/>
      </c>
      <c r="S3280" s="22">
        <f>IF($D3280="","",IF(AND(LEN($D3280)=10,LEFT($D3280,1)="0",ISNUMBER(--$D3280)),"Có","Không"))</f>
        <v/>
      </c>
      <c r="T3280" s="22">
        <f>IF($D3280="","",IF(AND($C3280&lt;&gt;"",$Q3280="Có",$R3280="",$S3280="Có",AND($L3280&lt;&gt;"",OR($L3280&lt;&gt;"Chưa xác định",DANH_MUC!$L$9="Có"))),"Có","Không"))</f>
        <v/>
      </c>
      <c r="U3280" s="22">
        <f>IF(OR($D3280="",$T3280="Có"),"",IF($C3280="","Thiếu họ tên; ","")&amp;IF($S3280&lt;&gt;"Có","SĐT sai định dạng; ","")&amp;IF($R3280="Trùng","Trùng SĐT; ","")&amp;IF($Q3280&lt;&gt;"Có","Thiếu đồng ý bắt buộc; ","")&amp;IF($L3280="","Thiếu/sai Mã REF; ",IF(AND($L3280="Chưa xác định",DANH_MUC!$L$9&lt;&gt;"Có"),"Nguồn chưa xác định; ","")))</f>
        <v/>
      </c>
      <c r="V3280" s="22">
        <f>IF(OR($D3280="",$R3280="Trùng"),"",IF(COUNTIF(ORDERS!$C$2:$C$4995,$D3280)&gt;0,"Có","Không"))</f>
        <v/>
      </c>
      <c r="W3280" s="22">
        <f>IF(OR($D3280="",$R3280="Trùng"),"",COUNTIFS(ORDERS!$C$2:$C$4995,$D3280,ORDERS!$L$2:$L$4995,"Đã chuyển khoản"))</f>
        <v/>
      </c>
      <c r="X3280" s="23">
        <f>IF(OR($D3280="",$R3280="Trùng"),"",SUMIFS(ORDERS!$J$2:$J$4995,ORDERS!$C$2:$C$4995,$D3280,ORDERS!$L$2:$L$4995,"Đã chuyển khoản"))</f>
        <v/>
      </c>
      <c r="Y3280" s="24" t="n"/>
    </row>
    <row r="3281" ht="14.25" customHeight="1" s="40">
      <c r="A3281" s="24" t="n"/>
      <c r="B3281" s="27" t="n"/>
      <c r="C3281" s="24" t="n"/>
      <c r="D3281" s="28" t="n"/>
      <c r="E3281" s="29" t="n"/>
      <c r="F3281" s="24" t="n"/>
      <c r="G3281" s="24" t="n"/>
      <c r="H3281" s="21">
        <f>IF(ISNUMBER($B3281),INT($B3281)-WEEKDAY($B3281,2)+1,"")</f>
        <v/>
      </c>
      <c r="I3281" s="24" t="n"/>
      <c r="J3281" s="22">
        <f t="array" ref="J3281">IF($D3281="","",IF($I3281="","(trống REF)",IFERROR(INDEX(MASTER_SOURCE!$B$2:$B$495,MATCH($I3281,MASTER_SOURCE!$A$2:$A$495,0)),"(REF không có trong MASTER_SOURCE)")))</f>
        <v/>
      </c>
      <c r="K3281" s="22">
        <f t="array" ref="K3281">IF($D3281="","",IFERROR(INDEX(MASTER_SOURCE!$C$2:$C$495,MATCH($I3281,MASTER_SOURCE!$A$2:$A$495,0)),""))</f>
        <v/>
      </c>
      <c r="L3281" s="22">
        <f t="array" ref="L3281">IF($D3281="","",IFERROR(INDEX(MASTER_SOURCE!$D$2:$D$495,MATCH($I3281,MASTER_SOURCE!$A$2:$A$495,0)),""))</f>
        <v/>
      </c>
      <c r="M3281" s="24" t="n"/>
      <c r="N3281" s="24" t="n"/>
      <c r="O3281" s="24" t="n"/>
      <c r="P3281" s="24" t="n"/>
      <c r="Q3281" s="22">
        <f>IF($D3281="","",IF(AND(OR(DANH_MUC!$L$5&lt;&gt;"Có",M3281="Có"),OR(DANH_MUC!$L$6&lt;&gt;"Có",N3281="Có"),OR(DANH_MUC!$L$7&lt;&gt;"Có",O3281="Có"),OR(DANH_MUC!$L$8&lt;&gt;"Có",P3281="Có")),"Có","Không"))</f>
        <v/>
      </c>
      <c r="R3281" s="22">
        <f>IF($D3281="","",IF(COUNTIF($D$2:$D3281,$D3281)&gt;1,"Trùng",""))</f>
        <v/>
      </c>
      <c r="S3281" s="22">
        <f>IF($D3281="","",IF(AND(LEN($D3281)=10,LEFT($D3281,1)="0",ISNUMBER(--$D3281)),"Có","Không"))</f>
        <v/>
      </c>
      <c r="T3281" s="22">
        <f>IF($D3281="","",IF(AND($C3281&lt;&gt;"",$Q3281="Có",$R3281="",$S3281="Có",AND($L3281&lt;&gt;"",OR($L3281&lt;&gt;"Chưa xác định",DANH_MUC!$L$9="Có"))),"Có","Không"))</f>
        <v/>
      </c>
      <c r="U3281" s="22">
        <f>IF(OR($D3281="",$T3281="Có"),"",IF($C3281="","Thiếu họ tên; ","")&amp;IF($S3281&lt;&gt;"Có","SĐT sai định dạng; ","")&amp;IF($R3281="Trùng","Trùng SĐT; ","")&amp;IF($Q3281&lt;&gt;"Có","Thiếu đồng ý bắt buộc; ","")&amp;IF($L3281="","Thiếu/sai Mã REF; ",IF(AND($L3281="Chưa xác định",DANH_MUC!$L$9&lt;&gt;"Có"),"Nguồn chưa xác định; ","")))</f>
        <v/>
      </c>
      <c r="V3281" s="22">
        <f>IF(OR($D3281="",$R3281="Trùng"),"",IF(COUNTIF(ORDERS!$C$2:$C$4995,$D3281)&gt;0,"Có","Không"))</f>
        <v/>
      </c>
      <c r="W3281" s="22">
        <f>IF(OR($D3281="",$R3281="Trùng"),"",COUNTIFS(ORDERS!$C$2:$C$4995,$D3281,ORDERS!$L$2:$L$4995,"Đã chuyển khoản"))</f>
        <v/>
      </c>
      <c r="X3281" s="23">
        <f>IF(OR($D3281="",$R3281="Trùng"),"",SUMIFS(ORDERS!$J$2:$J$4995,ORDERS!$C$2:$C$4995,$D3281,ORDERS!$L$2:$L$4995,"Đã chuyển khoản"))</f>
        <v/>
      </c>
      <c r="Y3281" s="24" t="n"/>
    </row>
    <row r="3282" ht="14.25" customHeight="1" s="40">
      <c r="A3282" s="24" t="n"/>
      <c r="B3282" s="27" t="n"/>
      <c r="C3282" s="24" t="n"/>
      <c r="D3282" s="28" t="n"/>
      <c r="E3282" s="29" t="n"/>
      <c r="F3282" s="24" t="n"/>
      <c r="G3282" s="24" t="n"/>
      <c r="H3282" s="21">
        <f>IF(ISNUMBER($B3282),INT($B3282)-WEEKDAY($B3282,2)+1,"")</f>
        <v/>
      </c>
      <c r="I3282" s="24" t="n"/>
      <c r="J3282" s="22">
        <f t="array" ref="J3282">IF($D3282="","",IF($I3282="","(trống REF)",IFERROR(INDEX(MASTER_SOURCE!$B$2:$B$495,MATCH($I3282,MASTER_SOURCE!$A$2:$A$495,0)),"(REF không có trong MASTER_SOURCE)")))</f>
        <v/>
      </c>
      <c r="K3282" s="22">
        <f t="array" ref="K3282">IF($D3282="","",IFERROR(INDEX(MASTER_SOURCE!$C$2:$C$495,MATCH($I3282,MASTER_SOURCE!$A$2:$A$495,0)),""))</f>
        <v/>
      </c>
      <c r="L3282" s="22">
        <f t="array" ref="L3282">IF($D3282="","",IFERROR(INDEX(MASTER_SOURCE!$D$2:$D$495,MATCH($I3282,MASTER_SOURCE!$A$2:$A$495,0)),""))</f>
        <v/>
      </c>
      <c r="M3282" s="24" t="n"/>
      <c r="N3282" s="24" t="n"/>
      <c r="O3282" s="24" t="n"/>
      <c r="P3282" s="24" t="n"/>
      <c r="Q3282" s="22">
        <f>IF($D3282="","",IF(AND(OR(DANH_MUC!$L$5&lt;&gt;"Có",M3282="Có"),OR(DANH_MUC!$L$6&lt;&gt;"Có",N3282="Có"),OR(DANH_MUC!$L$7&lt;&gt;"Có",O3282="Có"),OR(DANH_MUC!$L$8&lt;&gt;"Có",P3282="Có")),"Có","Không"))</f>
        <v/>
      </c>
      <c r="R3282" s="22">
        <f>IF($D3282="","",IF(COUNTIF($D$2:$D3282,$D3282)&gt;1,"Trùng",""))</f>
        <v/>
      </c>
      <c r="S3282" s="22">
        <f>IF($D3282="","",IF(AND(LEN($D3282)=10,LEFT($D3282,1)="0",ISNUMBER(--$D3282)),"Có","Không"))</f>
        <v/>
      </c>
      <c r="T3282" s="22">
        <f>IF($D3282="","",IF(AND($C3282&lt;&gt;"",$Q3282="Có",$R3282="",$S3282="Có",AND($L3282&lt;&gt;"",OR($L3282&lt;&gt;"Chưa xác định",DANH_MUC!$L$9="Có"))),"Có","Không"))</f>
        <v/>
      </c>
      <c r="U3282" s="22">
        <f>IF(OR($D3282="",$T3282="Có"),"",IF($C3282="","Thiếu họ tên; ","")&amp;IF($S3282&lt;&gt;"Có","SĐT sai định dạng; ","")&amp;IF($R3282="Trùng","Trùng SĐT; ","")&amp;IF($Q3282&lt;&gt;"Có","Thiếu đồng ý bắt buộc; ","")&amp;IF($L3282="","Thiếu/sai Mã REF; ",IF(AND($L3282="Chưa xác định",DANH_MUC!$L$9&lt;&gt;"Có"),"Nguồn chưa xác định; ","")))</f>
        <v/>
      </c>
      <c r="V3282" s="22">
        <f>IF(OR($D3282="",$R3282="Trùng"),"",IF(COUNTIF(ORDERS!$C$2:$C$4995,$D3282)&gt;0,"Có","Không"))</f>
        <v/>
      </c>
      <c r="W3282" s="22">
        <f>IF(OR($D3282="",$R3282="Trùng"),"",COUNTIFS(ORDERS!$C$2:$C$4995,$D3282,ORDERS!$L$2:$L$4995,"Đã chuyển khoản"))</f>
        <v/>
      </c>
      <c r="X3282" s="23">
        <f>IF(OR($D3282="",$R3282="Trùng"),"",SUMIFS(ORDERS!$J$2:$J$4995,ORDERS!$C$2:$C$4995,$D3282,ORDERS!$L$2:$L$4995,"Đã chuyển khoản"))</f>
        <v/>
      </c>
      <c r="Y3282" s="24" t="n"/>
    </row>
    <row r="3283" ht="14.25" customHeight="1" s="40">
      <c r="A3283" s="24" t="n"/>
      <c r="B3283" s="27" t="n"/>
      <c r="C3283" s="24" t="n"/>
      <c r="D3283" s="28" t="n"/>
      <c r="E3283" s="29" t="n"/>
      <c r="F3283" s="24" t="n"/>
      <c r="G3283" s="24" t="n"/>
      <c r="H3283" s="21">
        <f>IF(ISNUMBER($B3283),INT($B3283)-WEEKDAY($B3283,2)+1,"")</f>
        <v/>
      </c>
      <c r="I3283" s="24" t="n"/>
      <c r="J3283" s="22">
        <f t="array" ref="J3283">IF($D3283="","",IF($I3283="","(trống REF)",IFERROR(INDEX(MASTER_SOURCE!$B$2:$B$495,MATCH($I3283,MASTER_SOURCE!$A$2:$A$495,0)),"(REF không có trong MASTER_SOURCE)")))</f>
        <v/>
      </c>
      <c r="K3283" s="22">
        <f t="array" ref="K3283">IF($D3283="","",IFERROR(INDEX(MASTER_SOURCE!$C$2:$C$495,MATCH($I3283,MASTER_SOURCE!$A$2:$A$495,0)),""))</f>
        <v/>
      </c>
      <c r="L3283" s="22">
        <f t="array" ref="L3283">IF($D3283="","",IFERROR(INDEX(MASTER_SOURCE!$D$2:$D$495,MATCH($I3283,MASTER_SOURCE!$A$2:$A$495,0)),""))</f>
        <v/>
      </c>
      <c r="M3283" s="24" t="n"/>
      <c r="N3283" s="24" t="n"/>
      <c r="O3283" s="24" t="n"/>
      <c r="P3283" s="24" t="n"/>
      <c r="Q3283" s="22">
        <f>IF($D3283="","",IF(AND(OR(DANH_MUC!$L$5&lt;&gt;"Có",M3283="Có"),OR(DANH_MUC!$L$6&lt;&gt;"Có",N3283="Có"),OR(DANH_MUC!$L$7&lt;&gt;"Có",O3283="Có"),OR(DANH_MUC!$L$8&lt;&gt;"Có",P3283="Có")),"Có","Không"))</f>
        <v/>
      </c>
      <c r="R3283" s="22">
        <f>IF($D3283="","",IF(COUNTIF($D$2:$D3283,$D3283)&gt;1,"Trùng",""))</f>
        <v/>
      </c>
      <c r="S3283" s="22">
        <f>IF($D3283="","",IF(AND(LEN($D3283)=10,LEFT($D3283,1)="0",ISNUMBER(--$D3283)),"Có","Không"))</f>
        <v/>
      </c>
      <c r="T3283" s="22">
        <f>IF($D3283="","",IF(AND($C3283&lt;&gt;"",$Q3283="Có",$R3283="",$S3283="Có",AND($L3283&lt;&gt;"",OR($L3283&lt;&gt;"Chưa xác định",DANH_MUC!$L$9="Có"))),"Có","Không"))</f>
        <v/>
      </c>
      <c r="U3283" s="22">
        <f>IF(OR($D3283="",$T3283="Có"),"",IF($C3283="","Thiếu họ tên; ","")&amp;IF($S3283&lt;&gt;"Có","SĐT sai định dạng; ","")&amp;IF($R3283="Trùng","Trùng SĐT; ","")&amp;IF($Q3283&lt;&gt;"Có","Thiếu đồng ý bắt buộc; ","")&amp;IF($L3283="","Thiếu/sai Mã REF; ",IF(AND($L3283="Chưa xác định",DANH_MUC!$L$9&lt;&gt;"Có"),"Nguồn chưa xác định; ","")))</f>
        <v/>
      </c>
      <c r="V3283" s="22">
        <f>IF(OR($D3283="",$R3283="Trùng"),"",IF(COUNTIF(ORDERS!$C$2:$C$4995,$D3283)&gt;0,"Có","Không"))</f>
        <v/>
      </c>
      <c r="W3283" s="22">
        <f>IF(OR($D3283="",$R3283="Trùng"),"",COUNTIFS(ORDERS!$C$2:$C$4995,$D3283,ORDERS!$L$2:$L$4995,"Đã chuyển khoản"))</f>
        <v/>
      </c>
      <c r="X3283" s="23">
        <f>IF(OR($D3283="",$R3283="Trùng"),"",SUMIFS(ORDERS!$J$2:$J$4995,ORDERS!$C$2:$C$4995,$D3283,ORDERS!$L$2:$L$4995,"Đã chuyển khoản"))</f>
        <v/>
      </c>
      <c r="Y3283" s="24" t="n"/>
    </row>
    <row r="3284" ht="14.25" customHeight="1" s="40">
      <c r="A3284" s="24" t="n"/>
      <c r="B3284" s="27" t="n"/>
      <c r="C3284" s="24" t="n"/>
      <c r="D3284" s="28" t="n"/>
      <c r="E3284" s="29" t="n"/>
      <c r="F3284" s="24" t="n"/>
      <c r="G3284" s="24" t="n"/>
      <c r="H3284" s="21">
        <f>IF(ISNUMBER($B3284),INT($B3284)-WEEKDAY($B3284,2)+1,"")</f>
        <v/>
      </c>
      <c r="I3284" s="24" t="n"/>
      <c r="J3284" s="22">
        <f t="array" ref="J3284">IF($D3284="","",IF($I3284="","(trống REF)",IFERROR(INDEX(MASTER_SOURCE!$B$2:$B$495,MATCH($I3284,MASTER_SOURCE!$A$2:$A$495,0)),"(REF không có trong MASTER_SOURCE)")))</f>
        <v/>
      </c>
      <c r="K3284" s="22">
        <f t="array" ref="K3284">IF($D3284="","",IFERROR(INDEX(MASTER_SOURCE!$C$2:$C$495,MATCH($I3284,MASTER_SOURCE!$A$2:$A$495,0)),""))</f>
        <v/>
      </c>
      <c r="L3284" s="22">
        <f t="array" ref="L3284">IF($D3284="","",IFERROR(INDEX(MASTER_SOURCE!$D$2:$D$495,MATCH($I3284,MASTER_SOURCE!$A$2:$A$495,0)),""))</f>
        <v/>
      </c>
      <c r="M3284" s="24" t="n"/>
      <c r="N3284" s="24" t="n"/>
      <c r="O3284" s="24" t="n"/>
      <c r="P3284" s="24" t="n"/>
      <c r="Q3284" s="22">
        <f>IF($D3284="","",IF(AND(OR(DANH_MUC!$L$5&lt;&gt;"Có",M3284="Có"),OR(DANH_MUC!$L$6&lt;&gt;"Có",N3284="Có"),OR(DANH_MUC!$L$7&lt;&gt;"Có",O3284="Có"),OR(DANH_MUC!$L$8&lt;&gt;"Có",P3284="Có")),"Có","Không"))</f>
        <v/>
      </c>
      <c r="R3284" s="22">
        <f>IF($D3284="","",IF(COUNTIF($D$2:$D3284,$D3284)&gt;1,"Trùng",""))</f>
        <v/>
      </c>
      <c r="S3284" s="22">
        <f>IF($D3284="","",IF(AND(LEN($D3284)=10,LEFT($D3284,1)="0",ISNUMBER(--$D3284)),"Có","Không"))</f>
        <v/>
      </c>
      <c r="T3284" s="22">
        <f>IF($D3284="","",IF(AND($C3284&lt;&gt;"",$Q3284="Có",$R3284="",$S3284="Có",AND($L3284&lt;&gt;"",OR($L3284&lt;&gt;"Chưa xác định",DANH_MUC!$L$9="Có"))),"Có","Không"))</f>
        <v/>
      </c>
      <c r="U3284" s="22">
        <f>IF(OR($D3284="",$T3284="Có"),"",IF($C3284="","Thiếu họ tên; ","")&amp;IF($S3284&lt;&gt;"Có","SĐT sai định dạng; ","")&amp;IF($R3284="Trùng","Trùng SĐT; ","")&amp;IF($Q3284&lt;&gt;"Có","Thiếu đồng ý bắt buộc; ","")&amp;IF($L3284="","Thiếu/sai Mã REF; ",IF(AND($L3284="Chưa xác định",DANH_MUC!$L$9&lt;&gt;"Có"),"Nguồn chưa xác định; ","")))</f>
        <v/>
      </c>
      <c r="V3284" s="22">
        <f>IF(OR($D3284="",$R3284="Trùng"),"",IF(COUNTIF(ORDERS!$C$2:$C$4995,$D3284)&gt;0,"Có","Không"))</f>
        <v/>
      </c>
      <c r="W3284" s="22">
        <f>IF(OR($D3284="",$R3284="Trùng"),"",COUNTIFS(ORDERS!$C$2:$C$4995,$D3284,ORDERS!$L$2:$L$4995,"Đã chuyển khoản"))</f>
        <v/>
      </c>
      <c r="X3284" s="23">
        <f>IF(OR($D3284="",$R3284="Trùng"),"",SUMIFS(ORDERS!$J$2:$J$4995,ORDERS!$C$2:$C$4995,$D3284,ORDERS!$L$2:$L$4995,"Đã chuyển khoản"))</f>
        <v/>
      </c>
      <c r="Y3284" s="24" t="n"/>
    </row>
    <row r="3285" ht="14.25" customHeight="1" s="40">
      <c r="A3285" s="24" t="n"/>
      <c r="B3285" s="27" t="n"/>
      <c r="C3285" s="24" t="n"/>
      <c r="D3285" s="28" t="n"/>
      <c r="E3285" s="29" t="n"/>
      <c r="F3285" s="24" t="n"/>
      <c r="G3285" s="24" t="n"/>
      <c r="H3285" s="21">
        <f>IF(ISNUMBER($B3285),INT($B3285)-WEEKDAY($B3285,2)+1,"")</f>
        <v/>
      </c>
      <c r="I3285" s="24" t="n"/>
      <c r="J3285" s="22">
        <f t="array" ref="J3285">IF($D3285="","",IF($I3285="","(trống REF)",IFERROR(INDEX(MASTER_SOURCE!$B$2:$B$495,MATCH($I3285,MASTER_SOURCE!$A$2:$A$495,0)),"(REF không có trong MASTER_SOURCE)")))</f>
        <v/>
      </c>
      <c r="K3285" s="22">
        <f t="array" ref="K3285">IF($D3285="","",IFERROR(INDEX(MASTER_SOURCE!$C$2:$C$495,MATCH($I3285,MASTER_SOURCE!$A$2:$A$495,0)),""))</f>
        <v/>
      </c>
      <c r="L3285" s="22">
        <f t="array" ref="L3285">IF($D3285="","",IFERROR(INDEX(MASTER_SOURCE!$D$2:$D$495,MATCH($I3285,MASTER_SOURCE!$A$2:$A$495,0)),""))</f>
        <v/>
      </c>
      <c r="M3285" s="24" t="n"/>
      <c r="N3285" s="24" t="n"/>
      <c r="O3285" s="24" t="n"/>
      <c r="P3285" s="24" t="n"/>
      <c r="Q3285" s="22">
        <f>IF($D3285="","",IF(AND(OR(DANH_MUC!$L$5&lt;&gt;"Có",M3285="Có"),OR(DANH_MUC!$L$6&lt;&gt;"Có",N3285="Có"),OR(DANH_MUC!$L$7&lt;&gt;"Có",O3285="Có"),OR(DANH_MUC!$L$8&lt;&gt;"Có",P3285="Có")),"Có","Không"))</f>
        <v/>
      </c>
      <c r="R3285" s="22">
        <f>IF($D3285="","",IF(COUNTIF($D$2:$D3285,$D3285)&gt;1,"Trùng",""))</f>
        <v/>
      </c>
      <c r="S3285" s="22">
        <f>IF($D3285="","",IF(AND(LEN($D3285)=10,LEFT($D3285,1)="0",ISNUMBER(--$D3285)),"Có","Không"))</f>
        <v/>
      </c>
      <c r="T3285" s="22">
        <f>IF($D3285="","",IF(AND($C3285&lt;&gt;"",$Q3285="Có",$R3285="",$S3285="Có",AND($L3285&lt;&gt;"",OR($L3285&lt;&gt;"Chưa xác định",DANH_MUC!$L$9="Có"))),"Có","Không"))</f>
        <v/>
      </c>
      <c r="U3285" s="22">
        <f>IF(OR($D3285="",$T3285="Có"),"",IF($C3285="","Thiếu họ tên; ","")&amp;IF($S3285&lt;&gt;"Có","SĐT sai định dạng; ","")&amp;IF($R3285="Trùng","Trùng SĐT; ","")&amp;IF($Q3285&lt;&gt;"Có","Thiếu đồng ý bắt buộc; ","")&amp;IF($L3285="","Thiếu/sai Mã REF; ",IF(AND($L3285="Chưa xác định",DANH_MUC!$L$9&lt;&gt;"Có"),"Nguồn chưa xác định; ","")))</f>
        <v/>
      </c>
      <c r="V3285" s="22">
        <f>IF(OR($D3285="",$R3285="Trùng"),"",IF(COUNTIF(ORDERS!$C$2:$C$4995,$D3285)&gt;0,"Có","Không"))</f>
        <v/>
      </c>
      <c r="W3285" s="22">
        <f>IF(OR($D3285="",$R3285="Trùng"),"",COUNTIFS(ORDERS!$C$2:$C$4995,$D3285,ORDERS!$L$2:$L$4995,"Đã chuyển khoản"))</f>
        <v/>
      </c>
      <c r="X3285" s="23">
        <f>IF(OR($D3285="",$R3285="Trùng"),"",SUMIFS(ORDERS!$J$2:$J$4995,ORDERS!$C$2:$C$4995,$D3285,ORDERS!$L$2:$L$4995,"Đã chuyển khoản"))</f>
        <v/>
      </c>
      <c r="Y3285" s="24" t="n"/>
    </row>
    <row r="3286" ht="14.25" customHeight="1" s="40">
      <c r="A3286" s="24" t="n"/>
      <c r="B3286" s="27" t="n"/>
      <c r="C3286" s="24" t="n"/>
      <c r="D3286" s="28" t="n"/>
      <c r="E3286" s="29" t="n"/>
      <c r="F3286" s="24" t="n"/>
      <c r="G3286" s="24" t="n"/>
      <c r="H3286" s="21">
        <f>IF(ISNUMBER($B3286),INT($B3286)-WEEKDAY($B3286,2)+1,"")</f>
        <v/>
      </c>
      <c r="I3286" s="24" t="n"/>
      <c r="J3286" s="22">
        <f t="array" ref="J3286">IF($D3286="","",IF($I3286="","(trống REF)",IFERROR(INDEX(MASTER_SOURCE!$B$2:$B$495,MATCH($I3286,MASTER_SOURCE!$A$2:$A$495,0)),"(REF không có trong MASTER_SOURCE)")))</f>
        <v/>
      </c>
      <c r="K3286" s="22">
        <f t="array" ref="K3286">IF($D3286="","",IFERROR(INDEX(MASTER_SOURCE!$C$2:$C$495,MATCH($I3286,MASTER_SOURCE!$A$2:$A$495,0)),""))</f>
        <v/>
      </c>
      <c r="L3286" s="22">
        <f t="array" ref="L3286">IF($D3286="","",IFERROR(INDEX(MASTER_SOURCE!$D$2:$D$495,MATCH($I3286,MASTER_SOURCE!$A$2:$A$495,0)),""))</f>
        <v/>
      </c>
      <c r="M3286" s="24" t="n"/>
      <c r="N3286" s="24" t="n"/>
      <c r="O3286" s="24" t="n"/>
      <c r="P3286" s="24" t="n"/>
      <c r="Q3286" s="22">
        <f>IF($D3286="","",IF(AND(OR(DANH_MUC!$L$5&lt;&gt;"Có",M3286="Có"),OR(DANH_MUC!$L$6&lt;&gt;"Có",N3286="Có"),OR(DANH_MUC!$L$7&lt;&gt;"Có",O3286="Có"),OR(DANH_MUC!$L$8&lt;&gt;"Có",P3286="Có")),"Có","Không"))</f>
        <v/>
      </c>
      <c r="R3286" s="22">
        <f>IF($D3286="","",IF(COUNTIF($D$2:$D3286,$D3286)&gt;1,"Trùng",""))</f>
        <v/>
      </c>
      <c r="S3286" s="22">
        <f>IF($D3286="","",IF(AND(LEN($D3286)=10,LEFT($D3286,1)="0",ISNUMBER(--$D3286)),"Có","Không"))</f>
        <v/>
      </c>
      <c r="T3286" s="22">
        <f>IF($D3286="","",IF(AND($C3286&lt;&gt;"",$Q3286="Có",$R3286="",$S3286="Có",AND($L3286&lt;&gt;"",OR($L3286&lt;&gt;"Chưa xác định",DANH_MUC!$L$9="Có"))),"Có","Không"))</f>
        <v/>
      </c>
      <c r="U3286" s="22">
        <f>IF(OR($D3286="",$T3286="Có"),"",IF($C3286="","Thiếu họ tên; ","")&amp;IF($S3286&lt;&gt;"Có","SĐT sai định dạng; ","")&amp;IF($R3286="Trùng","Trùng SĐT; ","")&amp;IF($Q3286&lt;&gt;"Có","Thiếu đồng ý bắt buộc; ","")&amp;IF($L3286="","Thiếu/sai Mã REF; ",IF(AND($L3286="Chưa xác định",DANH_MUC!$L$9&lt;&gt;"Có"),"Nguồn chưa xác định; ","")))</f>
        <v/>
      </c>
      <c r="V3286" s="22">
        <f>IF(OR($D3286="",$R3286="Trùng"),"",IF(COUNTIF(ORDERS!$C$2:$C$4995,$D3286)&gt;0,"Có","Không"))</f>
        <v/>
      </c>
      <c r="W3286" s="22">
        <f>IF(OR($D3286="",$R3286="Trùng"),"",COUNTIFS(ORDERS!$C$2:$C$4995,$D3286,ORDERS!$L$2:$L$4995,"Đã chuyển khoản"))</f>
        <v/>
      </c>
      <c r="X3286" s="23">
        <f>IF(OR($D3286="",$R3286="Trùng"),"",SUMIFS(ORDERS!$J$2:$J$4995,ORDERS!$C$2:$C$4995,$D3286,ORDERS!$L$2:$L$4995,"Đã chuyển khoản"))</f>
        <v/>
      </c>
      <c r="Y3286" s="24" t="n"/>
    </row>
    <row r="3287" ht="14.25" customHeight="1" s="40">
      <c r="A3287" s="24" t="n"/>
      <c r="B3287" s="27" t="n"/>
      <c r="C3287" s="24" t="n"/>
      <c r="D3287" s="28" t="n"/>
      <c r="E3287" s="29" t="n"/>
      <c r="F3287" s="24" t="n"/>
      <c r="G3287" s="24" t="n"/>
      <c r="H3287" s="21">
        <f>IF(ISNUMBER($B3287),INT($B3287)-WEEKDAY($B3287,2)+1,"")</f>
        <v/>
      </c>
      <c r="I3287" s="24" t="n"/>
      <c r="J3287" s="22">
        <f t="array" ref="J3287">IF($D3287="","",IF($I3287="","(trống REF)",IFERROR(INDEX(MASTER_SOURCE!$B$2:$B$495,MATCH($I3287,MASTER_SOURCE!$A$2:$A$495,0)),"(REF không có trong MASTER_SOURCE)")))</f>
        <v/>
      </c>
      <c r="K3287" s="22">
        <f t="array" ref="K3287">IF($D3287="","",IFERROR(INDEX(MASTER_SOURCE!$C$2:$C$495,MATCH($I3287,MASTER_SOURCE!$A$2:$A$495,0)),""))</f>
        <v/>
      </c>
      <c r="L3287" s="22">
        <f t="array" ref="L3287">IF($D3287="","",IFERROR(INDEX(MASTER_SOURCE!$D$2:$D$495,MATCH($I3287,MASTER_SOURCE!$A$2:$A$495,0)),""))</f>
        <v/>
      </c>
      <c r="M3287" s="24" t="n"/>
      <c r="N3287" s="24" t="n"/>
      <c r="O3287" s="24" t="n"/>
      <c r="P3287" s="24" t="n"/>
      <c r="Q3287" s="22">
        <f>IF($D3287="","",IF(AND(OR(DANH_MUC!$L$5&lt;&gt;"Có",M3287="Có"),OR(DANH_MUC!$L$6&lt;&gt;"Có",N3287="Có"),OR(DANH_MUC!$L$7&lt;&gt;"Có",O3287="Có"),OR(DANH_MUC!$L$8&lt;&gt;"Có",P3287="Có")),"Có","Không"))</f>
        <v/>
      </c>
      <c r="R3287" s="22">
        <f>IF($D3287="","",IF(COUNTIF($D$2:$D3287,$D3287)&gt;1,"Trùng",""))</f>
        <v/>
      </c>
      <c r="S3287" s="22">
        <f>IF($D3287="","",IF(AND(LEN($D3287)=10,LEFT($D3287,1)="0",ISNUMBER(--$D3287)),"Có","Không"))</f>
        <v/>
      </c>
      <c r="T3287" s="22">
        <f>IF($D3287="","",IF(AND($C3287&lt;&gt;"",$Q3287="Có",$R3287="",$S3287="Có",AND($L3287&lt;&gt;"",OR($L3287&lt;&gt;"Chưa xác định",DANH_MUC!$L$9="Có"))),"Có","Không"))</f>
        <v/>
      </c>
      <c r="U3287" s="22">
        <f>IF(OR($D3287="",$T3287="Có"),"",IF($C3287="","Thiếu họ tên; ","")&amp;IF($S3287&lt;&gt;"Có","SĐT sai định dạng; ","")&amp;IF($R3287="Trùng","Trùng SĐT; ","")&amp;IF($Q3287&lt;&gt;"Có","Thiếu đồng ý bắt buộc; ","")&amp;IF($L3287="","Thiếu/sai Mã REF; ",IF(AND($L3287="Chưa xác định",DANH_MUC!$L$9&lt;&gt;"Có"),"Nguồn chưa xác định; ","")))</f>
        <v/>
      </c>
      <c r="V3287" s="22">
        <f>IF(OR($D3287="",$R3287="Trùng"),"",IF(COUNTIF(ORDERS!$C$2:$C$4995,$D3287)&gt;0,"Có","Không"))</f>
        <v/>
      </c>
      <c r="W3287" s="22">
        <f>IF(OR($D3287="",$R3287="Trùng"),"",COUNTIFS(ORDERS!$C$2:$C$4995,$D3287,ORDERS!$L$2:$L$4995,"Đã chuyển khoản"))</f>
        <v/>
      </c>
      <c r="X3287" s="23">
        <f>IF(OR($D3287="",$R3287="Trùng"),"",SUMIFS(ORDERS!$J$2:$J$4995,ORDERS!$C$2:$C$4995,$D3287,ORDERS!$L$2:$L$4995,"Đã chuyển khoản"))</f>
        <v/>
      </c>
      <c r="Y3287" s="24" t="n"/>
    </row>
    <row r="3288" ht="14.25" customHeight="1" s="40">
      <c r="A3288" s="24" t="n"/>
      <c r="B3288" s="27" t="n"/>
      <c r="C3288" s="24" t="n"/>
      <c r="D3288" s="28" t="n"/>
      <c r="E3288" s="29" t="n"/>
      <c r="F3288" s="24" t="n"/>
      <c r="G3288" s="24" t="n"/>
      <c r="H3288" s="21">
        <f>IF(ISNUMBER($B3288),INT($B3288)-WEEKDAY($B3288,2)+1,"")</f>
        <v/>
      </c>
      <c r="I3288" s="24" t="n"/>
      <c r="J3288" s="22">
        <f t="array" ref="J3288">IF($D3288="","",IF($I3288="","(trống REF)",IFERROR(INDEX(MASTER_SOURCE!$B$2:$B$495,MATCH($I3288,MASTER_SOURCE!$A$2:$A$495,0)),"(REF không có trong MASTER_SOURCE)")))</f>
        <v/>
      </c>
      <c r="K3288" s="22">
        <f t="array" ref="K3288">IF($D3288="","",IFERROR(INDEX(MASTER_SOURCE!$C$2:$C$495,MATCH($I3288,MASTER_SOURCE!$A$2:$A$495,0)),""))</f>
        <v/>
      </c>
      <c r="L3288" s="22">
        <f t="array" ref="L3288">IF($D3288="","",IFERROR(INDEX(MASTER_SOURCE!$D$2:$D$495,MATCH($I3288,MASTER_SOURCE!$A$2:$A$495,0)),""))</f>
        <v/>
      </c>
      <c r="M3288" s="24" t="n"/>
      <c r="N3288" s="24" t="n"/>
      <c r="O3288" s="24" t="n"/>
      <c r="P3288" s="24" t="n"/>
      <c r="Q3288" s="22">
        <f>IF($D3288="","",IF(AND(OR(DANH_MUC!$L$5&lt;&gt;"Có",M3288="Có"),OR(DANH_MUC!$L$6&lt;&gt;"Có",N3288="Có"),OR(DANH_MUC!$L$7&lt;&gt;"Có",O3288="Có"),OR(DANH_MUC!$L$8&lt;&gt;"Có",P3288="Có")),"Có","Không"))</f>
        <v/>
      </c>
      <c r="R3288" s="22">
        <f>IF($D3288="","",IF(COUNTIF($D$2:$D3288,$D3288)&gt;1,"Trùng",""))</f>
        <v/>
      </c>
      <c r="S3288" s="22">
        <f>IF($D3288="","",IF(AND(LEN($D3288)=10,LEFT($D3288,1)="0",ISNUMBER(--$D3288)),"Có","Không"))</f>
        <v/>
      </c>
      <c r="T3288" s="22">
        <f>IF($D3288="","",IF(AND($C3288&lt;&gt;"",$Q3288="Có",$R3288="",$S3288="Có",AND($L3288&lt;&gt;"",OR($L3288&lt;&gt;"Chưa xác định",DANH_MUC!$L$9="Có"))),"Có","Không"))</f>
        <v/>
      </c>
      <c r="U3288" s="22">
        <f>IF(OR($D3288="",$T3288="Có"),"",IF($C3288="","Thiếu họ tên; ","")&amp;IF($S3288&lt;&gt;"Có","SĐT sai định dạng; ","")&amp;IF($R3288="Trùng","Trùng SĐT; ","")&amp;IF($Q3288&lt;&gt;"Có","Thiếu đồng ý bắt buộc; ","")&amp;IF($L3288="","Thiếu/sai Mã REF; ",IF(AND($L3288="Chưa xác định",DANH_MUC!$L$9&lt;&gt;"Có"),"Nguồn chưa xác định; ","")))</f>
        <v/>
      </c>
      <c r="V3288" s="22">
        <f>IF(OR($D3288="",$R3288="Trùng"),"",IF(COUNTIF(ORDERS!$C$2:$C$4995,$D3288)&gt;0,"Có","Không"))</f>
        <v/>
      </c>
      <c r="W3288" s="22">
        <f>IF(OR($D3288="",$R3288="Trùng"),"",COUNTIFS(ORDERS!$C$2:$C$4995,$D3288,ORDERS!$L$2:$L$4995,"Đã chuyển khoản"))</f>
        <v/>
      </c>
      <c r="X3288" s="23">
        <f>IF(OR($D3288="",$R3288="Trùng"),"",SUMIFS(ORDERS!$J$2:$J$4995,ORDERS!$C$2:$C$4995,$D3288,ORDERS!$L$2:$L$4995,"Đã chuyển khoản"))</f>
        <v/>
      </c>
      <c r="Y3288" s="24" t="n"/>
    </row>
    <row r="3289" ht="14.25" customHeight="1" s="40">
      <c r="A3289" s="24" t="n"/>
      <c r="B3289" s="27" t="n"/>
      <c r="C3289" s="24" t="n"/>
      <c r="D3289" s="28" t="n"/>
      <c r="E3289" s="29" t="n"/>
      <c r="F3289" s="24" t="n"/>
      <c r="G3289" s="24" t="n"/>
      <c r="H3289" s="21">
        <f>IF(ISNUMBER($B3289),INT($B3289)-WEEKDAY($B3289,2)+1,"")</f>
        <v/>
      </c>
      <c r="I3289" s="24" t="n"/>
      <c r="J3289" s="22">
        <f t="array" ref="J3289">IF($D3289="","",IF($I3289="","(trống REF)",IFERROR(INDEX(MASTER_SOURCE!$B$2:$B$495,MATCH($I3289,MASTER_SOURCE!$A$2:$A$495,0)),"(REF không có trong MASTER_SOURCE)")))</f>
        <v/>
      </c>
      <c r="K3289" s="22">
        <f t="array" ref="K3289">IF($D3289="","",IFERROR(INDEX(MASTER_SOURCE!$C$2:$C$495,MATCH($I3289,MASTER_SOURCE!$A$2:$A$495,0)),""))</f>
        <v/>
      </c>
      <c r="L3289" s="22">
        <f t="array" ref="L3289">IF($D3289="","",IFERROR(INDEX(MASTER_SOURCE!$D$2:$D$495,MATCH($I3289,MASTER_SOURCE!$A$2:$A$495,0)),""))</f>
        <v/>
      </c>
      <c r="M3289" s="24" t="n"/>
      <c r="N3289" s="24" t="n"/>
      <c r="O3289" s="24" t="n"/>
      <c r="P3289" s="24" t="n"/>
      <c r="Q3289" s="22">
        <f>IF($D3289="","",IF(AND(OR(DANH_MUC!$L$5&lt;&gt;"Có",M3289="Có"),OR(DANH_MUC!$L$6&lt;&gt;"Có",N3289="Có"),OR(DANH_MUC!$L$7&lt;&gt;"Có",O3289="Có"),OR(DANH_MUC!$L$8&lt;&gt;"Có",P3289="Có")),"Có","Không"))</f>
        <v/>
      </c>
      <c r="R3289" s="22">
        <f>IF($D3289="","",IF(COUNTIF($D$2:$D3289,$D3289)&gt;1,"Trùng",""))</f>
        <v/>
      </c>
      <c r="S3289" s="22">
        <f>IF($D3289="","",IF(AND(LEN($D3289)=10,LEFT($D3289,1)="0",ISNUMBER(--$D3289)),"Có","Không"))</f>
        <v/>
      </c>
      <c r="T3289" s="22">
        <f>IF($D3289="","",IF(AND($C3289&lt;&gt;"",$Q3289="Có",$R3289="",$S3289="Có",AND($L3289&lt;&gt;"",OR($L3289&lt;&gt;"Chưa xác định",DANH_MUC!$L$9="Có"))),"Có","Không"))</f>
        <v/>
      </c>
      <c r="U3289" s="22">
        <f>IF(OR($D3289="",$T3289="Có"),"",IF($C3289="","Thiếu họ tên; ","")&amp;IF($S3289&lt;&gt;"Có","SĐT sai định dạng; ","")&amp;IF($R3289="Trùng","Trùng SĐT; ","")&amp;IF($Q3289&lt;&gt;"Có","Thiếu đồng ý bắt buộc; ","")&amp;IF($L3289="","Thiếu/sai Mã REF; ",IF(AND($L3289="Chưa xác định",DANH_MUC!$L$9&lt;&gt;"Có"),"Nguồn chưa xác định; ","")))</f>
        <v/>
      </c>
      <c r="V3289" s="22">
        <f>IF(OR($D3289="",$R3289="Trùng"),"",IF(COUNTIF(ORDERS!$C$2:$C$4995,$D3289)&gt;0,"Có","Không"))</f>
        <v/>
      </c>
      <c r="W3289" s="22">
        <f>IF(OR($D3289="",$R3289="Trùng"),"",COUNTIFS(ORDERS!$C$2:$C$4995,$D3289,ORDERS!$L$2:$L$4995,"Đã chuyển khoản"))</f>
        <v/>
      </c>
      <c r="X3289" s="23">
        <f>IF(OR($D3289="",$R3289="Trùng"),"",SUMIFS(ORDERS!$J$2:$J$4995,ORDERS!$C$2:$C$4995,$D3289,ORDERS!$L$2:$L$4995,"Đã chuyển khoản"))</f>
        <v/>
      </c>
      <c r="Y3289" s="24" t="n"/>
    </row>
    <row r="3290" ht="14.25" customHeight="1" s="40">
      <c r="A3290" s="24" t="n"/>
      <c r="B3290" s="27" t="n"/>
      <c r="C3290" s="24" t="n"/>
      <c r="D3290" s="28" t="n"/>
      <c r="E3290" s="29" t="n"/>
      <c r="F3290" s="24" t="n"/>
      <c r="G3290" s="24" t="n"/>
      <c r="H3290" s="21">
        <f>IF(ISNUMBER($B3290),INT($B3290)-WEEKDAY($B3290,2)+1,"")</f>
        <v/>
      </c>
      <c r="I3290" s="24" t="n"/>
      <c r="J3290" s="22">
        <f t="array" ref="J3290">IF($D3290="","",IF($I3290="","(trống REF)",IFERROR(INDEX(MASTER_SOURCE!$B$2:$B$495,MATCH($I3290,MASTER_SOURCE!$A$2:$A$495,0)),"(REF không có trong MASTER_SOURCE)")))</f>
        <v/>
      </c>
      <c r="K3290" s="22">
        <f t="array" ref="K3290">IF($D3290="","",IFERROR(INDEX(MASTER_SOURCE!$C$2:$C$495,MATCH($I3290,MASTER_SOURCE!$A$2:$A$495,0)),""))</f>
        <v/>
      </c>
      <c r="L3290" s="22">
        <f t="array" ref="L3290">IF($D3290="","",IFERROR(INDEX(MASTER_SOURCE!$D$2:$D$495,MATCH($I3290,MASTER_SOURCE!$A$2:$A$495,0)),""))</f>
        <v/>
      </c>
      <c r="M3290" s="24" t="n"/>
      <c r="N3290" s="24" t="n"/>
      <c r="O3290" s="24" t="n"/>
      <c r="P3290" s="24" t="n"/>
      <c r="Q3290" s="22">
        <f>IF($D3290="","",IF(AND(OR(DANH_MUC!$L$5&lt;&gt;"Có",M3290="Có"),OR(DANH_MUC!$L$6&lt;&gt;"Có",N3290="Có"),OR(DANH_MUC!$L$7&lt;&gt;"Có",O3290="Có"),OR(DANH_MUC!$L$8&lt;&gt;"Có",P3290="Có")),"Có","Không"))</f>
        <v/>
      </c>
      <c r="R3290" s="22">
        <f>IF($D3290="","",IF(COUNTIF($D$2:$D3290,$D3290)&gt;1,"Trùng",""))</f>
        <v/>
      </c>
      <c r="S3290" s="22">
        <f>IF($D3290="","",IF(AND(LEN($D3290)=10,LEFT($D3290,1)="0",ISNUMBER(--$D3290)),"Có","Không"))</f>
        <v/>
      </c>
      <c r="T3290" s="22">
        <f>IF($D3290="","",IF(AND($C3290&lt;&gt;"",$Q3290="Có",$R3290="",$S3290="Có",AND($L3290&lt;&gt;"",OR($L3290&lt;&gt;"Chưa xác định",DANH_MUC!$L$9="Có"))),"Có","Không"))</f>
        <v/>
      </c>
      <c r="U3290" s="22">
        <f>IF(OR($D3290="",$T3290="Có"),"",IF($C3290="","Thiếu họ tên; ","")&amp;IF($S3290&lt;&gt;"Có","SĐT sai định dạng; ","")&amp;IF($R3290="Trùng","Trùng SĐT; ","")&amp;IF($Q3290&lt;&gt;"Có","Thiếu đồng ý bắt buộc; ","")&amp;IF($L3290="","Thiếu/sai Mã REF; ",IF(AND($L3290="Chưa xác định",DANH_MUC!$L$9&lt;&gt;"Có"),"Nguồn chưa xác định; ","")))</f>
        <v/>
      </c>
      <c r="V3290" s="22">
        <f>IF(OR($D3290="",$R3290="Trùng"),"",IF(COUNTIF(ORDERS!$C$2:$C$4995,$D3290)&gt;0,"Có","Không"))</f>
        <v/>
      </c>
      <c r="W3290" s="22">
        <f>IF(OR($D3290="",$R3290="Trùng"),"",COUNTIFS(ORDERS!$C$2:$C$4995,$D3290,ORDERS!$L$2:$L$4995,"Đã chuyển khoản"))</f>
        <v/>
      </c>
      <c r="X3290" s="23">
        <f>IF(OR($D3290="",$R3290="Trùng"),"",SUMIFS(ORDERS!$J$2:$J$4995,ORDERS!$C$2:$C$4995,$D3290,ORDERS!$L$2:$L$4995,"Đã chuyển khoản"))</f>
        <v/>
      </c>
      <c r="Y3290" s="24" t="n"/>
    </row>
    <row r="3291" ht="14.25" customHeight="1" s="40">
      <c r="A3291" s="24" t="n"/>
      <c r="B3291" s="27" t="n"/>
      <c r="C3291" s="24" t="n"/>
      <c r="D3291" s="28" t="n"/>
      <c r="E3291" s="29" t="n"/>
      <c r="F3291" s="24" t="n"/>
      <c r="G3291" s="24" t="n"/>
      <c r="H3291" s="21">
        <f>IF(ISNUMBER($B3291),INT($B3291)-WEEKDAY($B3291,2)+1,"")</f>
        <v/>
      </c>
      <c r="I3291" s="24" t="n"/>
      <c r="J3291" s="22">
        <f t="array" ref="J3291">IF($D3291="","",IF($I3291="","(trống REF)",IFERROR(INDEX(MASTER_SOURCE!$B$2:$B$495,MATCH($I3291,MASTER_SOURCE!$A$2:$A$495,0)),"(REF không có trong MASTER_SOURCE)")))</f>
        <v/>
      </c>
      <c r="K3291" s="22">
        <f t="array" ref="K3291">IF($D3291="","",IFERROR(INDEX(MASTER_SOURCE!$C$2:$C$495,MATCH($I3291,MASTER_SOURCE!$A$2:$A$495,0)),""))</f>
        <v/>
      </c>
      <c r="L3291" s="22">
        <f t="array" ref="L3291">IF($D3291="","",IFERROR(INDEX(MASTER_SOURCE!$D$2:$D$495,MATCH($I3291,MASTER_SOURCE!$A$2:$A$495,0)),""))</f>
        <v/>
      </c>
      <c r="M3291" s="24" t="n"/>
      <c r="N3291" s="24" t="n"/>
      <c r="O3291" s="24" t="n"/>
      <c r="P3291" s="24" t="n"/>
      <c r="Q3291" s="22">
        <f>IF($D3291="","",IF(AND(OR(DANH_MUC!$L$5&lt;&gt;"Có",M3291="Có"),OR(DANH_MUC!$L$6&lt;&gt;"Có",N3291="Có"),OR(DANH_MUC!$L$7&lt;&gt;"Có",O3291="Có"),OR(DANH_MUC!$L$8&lt;&gt;"Có",P3291="Có")),"Có","Không"))</f>
        <v/>
      </c>
      <c r="R3291" s="22">
        <f>IF($D3291="","",IF(COUNTIF($D$2:$D3291,$D3291)&gt;1,"Trùng",""))</f>
        <v/>
      </c>
      <c r="S3291" s="22">
        <f>IF($D3291="","",IF(AND(LEN($D3291)=10,LEFT($D3291,1)="0",ISNUMBER(--$D3291)),"Có","Không"))</f>
        <v/>
      </c>
      <c r="T3291" s="22">
        <f>IF($D3291="","",IF(AND($C3291&lt;&gt;"",$Q3291="Có",$R3291="",$S3291="Có",AND($L3291&lt;&gt;"",OR($L3291&lt;&gt;"Chưa xác định",DANH_MUC!$L$9="Có"))),"Có","Không"))</f>
        <v/>
      </c>
      <c r="U3291" s="22">
        <f>IF(OR($D3291="",$T3291="Có"),"",IF($C3291="","Thiếu họ tên; ","")&amp;IF($S3291&lt;&gt;"Có","SĐT sai định dạng; ","")&amp;IF($R3291="Trùng","Trùng SĐT; ","")&amp;IF($Q3291&lt;&gt;"Có","Thiếu đồng ý bắt buộc; ","")&amp;IF($L3291="","Thiếu/sai Mã REF; ",IF(AND($L3291="Chưa xác định",DANH_MUC!$L$9&lt;&gt;"Có"),"Nguồn chưa xác định; ","")))</f>
        <v/>
      </c>
      <c r="V3291" s="22">
        <f>IF(OR($D3291="",$R3291="Trùng"),"",IF(COUNTIF(ORDERS!$C$2:$C$4995,$D3291)&gt;0,"Có","Không"))</f>
        <v/>
      </c>
      <c r="W3291" s="22">
        <f>IF(OR($D3291="",$R3291="Trùng"),"",COUNTIFS(ORDERS!$C$2:$C$4995,$D3291,ORDERS!$L$2:$L$4995,"Đã chuyển khoản"))</f>
        <v/>
      </c>
      <c r="X3291" s="23">
        <f>IF(OR($D3291="",$R3291="Trùng"),"",SUMIFS(ORDERS!$J$2:$J$4995,ORDERS!$C$2:$C$4995,$D3291,ORDERS!$L$2:$L$4995,"Đã chuyển khoản"))</f>
        <v/>
      </c>
      <c r="Y3291" s="24" t="n"/>
    </row>
    <row r="3292" ht="14.25" customHeight="1" s="40">
      <c r="A3292" s="24" t="n"/>
      <c r="B3292" s="27" t="n"/>
      <c r="C3292" s="24" t="n"/>
      <c r="D3292" s="28" t="n"/>
      <c r="E3292" s="29" t="n"/>
      <c r="F3292" s="24" t="n"/>
      <c r="G3292" s="24" t="n"/>
      <c r="H3292" s="21">
        <f>IF(ISNUMBER($B3292),INT($B3292)-WEEKDAY($B3292,2)+1,"")</f>
        <v/>
      </c>
      <c r="I3292" s="24" t="n"/>
      <c r="J3292" s="22">
        <f t="array" ref="J3292">IF($D3292="","",IF($I3292="","(trống REF)",IFERROR(INDEX(MASTER_SOURCE!$B$2:$B$495,MATCH($I3292,MASTER_SOURCE!$A$2:$A$495,0)),"(REF không có trong MASTER_SOURCE)")))</f>
        <v/>
      </c>
      <c r="K3292" s="22">
        <f t="array" ref="K3292">IF($D3292="","",IFERROR(INDEX(MASTER_SOURCE!$C$2:$C$495,MATCH($I3292,MASTER_SOURCE!$A$2:$A$495,0)),""))</f>
        <v/>
      </c>
      <c r="L3292" s="22">
        <f t="array" ref="L3292">IF($D3292="","",IFERROR(INDEX(MASTER_SOURCE!$D$2:$D$495,MATCH($I3292,MASTER_SOURCE!$A$2:$A$495,0)),""))</f>
        <v/>
      </c>
      <c r="M3292" s="24" t="n"/>
      <c r="N3292" s="24" t="n"/>
      <c r="O3292" s="24" t="n"/>
      <c r="P3292" s="24" t="n"/>
      <c r="Q3292" s="22">
        <f>IF($D3292="","",IF(AND(OR(DANH_MUC!$L$5&lt;&gt;"Có",M3292="Có"),OR(DANH_MUC!$L$6&lt;&gt;"Có",N3292="Có"),OR(DANH_MUC!$L$7&lt;&gt;"Có",O3292="Có"),OR(DANH_MUC!$L$8&lt;&gt;"Có",P3292="Có")),"Có","Không"))</f>
        <v/>
      </c>
      <c r="R3292" s="22">
        <f>IF($D3292="","",IF(COUNTIF($D$2:$D3292,$D3292)&gt;1,"Trùng",""))</f>
        <v/>
      </c>
      <c r="S3292" s="22">
        <f>IF($D3292="","",IF(AND(LEN($D3292)=10,LEFT($D3292,1)="0",ISNUMBER(--$D3292)),"Có","Không"))</f>
        <v/>
      </c>
      <c r="T3292" s="22">
        <f>IF($D3292="","",IF(AND($C3292&lt;&gt;"",$Q3292="Có",$R3292="",$S3292="Có",AND($L3292&lt;&gt;"",OR($L3292&lt;&gt;"Chưa xác định",DANH_MUC!$L$9="Có"))),"Có","Không"))</f>
        <v/>
      </c>
      <c r="U3292" s="22">
        <f>IF(OR($D3292="",$T3292="Có"),"",IF($C3292="","Thiếu họ tên; ","")&amp;IF($S3292&lt;&gt;"Có","SĐT sai định dạng; ","")&amp;IF($R3292="Trùng","Trùng SĐT; ","")&amp;IF($Q3292&lt;&gt;"Có","Thiếu đồng ý bắt buộc; ","")&amp;IF($L3292="","Thiếu/sai Mã REF; ",IF(AND($L3292="Chưa xác định",DANH_MUC!$L$9&lt;&gt;"Có"),"Nguồn chưa xác định; ","")))</f>
        <v/>
      </c>
      <c r="V3292" s="22">
        <f>IF(OR($D3292="",$R3292="Trùng"),"",IF(COUNTIF(ORDERS!$C$2:$C$4995,$D3292)&gt;0,"Có","Không"))</f>
        <v/>
      </c>
      <c r="W3292" s="22">
        <f>IF(OR($D3292="",$R3292="Trùng"),"",COUNTIFS(ORDERS!$C$2:$C$4995,$D3292,ORDERS!$L$2:$L$4995,"Đã chuyển khoản"))</f>
        <v/>
      </c>
      <c r="X3292" s="23">
        <f>IF(OR($D3292="",$R3292="Trùng"),"",SUMIFS(ORDERS!$J$2:$J$4995,ORDERS!$C$2:$C$4995,$D3292,ORDERS!$L$2:$L$4995,"Đã chuyển khoản"))</f>
        <v/>
      </c>
      <c r="Y3292" s="24" t="n"/>
    </row>
    <row r="3293" ht="14.25" customHeight="1" s="40">
      <c r="A3293" s="24" t="n"/>
      <c r="B3293" s="27" t="n"/>
      <c r="C3293" s="24" t="n"/>
      <c r="D3293" s="28" t="n"/>
      <c r="E3293" s="29" t="n"/>
      <c r="F3293" s="24" t="n"/>
      <c r="G3293" s="24" t="n"/>
      <c r="H3293" s="21">
        <f>IF(ISNUMBER($B3293),INT($B3293)-WEEKDAY($B3293,2)+1,"")</f>
        <v/>
      </c>
      <c r="I3293" s="24" t="n"/>
      <c r="J3293" s="22">
        <f t="array" ref="J3293">IF($D3293="","",IF($I3293="","(trống REF)",IFERROR(INDEX(MASTER_SOURCE!$B$2:$B$495,MATCH($I3293,MASTER_SOURCE!$A$2:$A$495,0)),"(REF không có trong MASTER_SOURCE)")))</f>
        <v/>
      </c>
      <c r="K3293" s="22">
        <f t="array" ref="K3293">IF($D3293="","",IFERROR(INDEX(MASTER_SOURCE!$C$2:$C$495,MATCH($I3293,MASTER_SOURCE!$A$2:$A$495,0)),""))</f>
        <v/>
      </c>
      <c r="L3293" s="22">
        <f t="array" ref="L3293">IF($D3293="","",IFERROR(INDEX(MASTER_SOURCE!$D$2:$D$495,MATCH($I3293,MASTER_SOURCE!$A$2:$A$495,0)),""))</f>
        <v/>
      </c>
      <c r="M3293" s="24" t="n"/>
      <c r="N3293" s="24" t="n"/>
      <c r="O3293" s="24" t="n"/>
      <c r="P3293" s="24" t="n"/>
      <c r="Q3293" s="22">
        <f>IF($D3293="","",IF(AND(OR(DANH_MUC!$L$5&lt;&gt;"Có",M3293="Có"),OR(DANH_MUC!$L$6&lt;&gt;"Có",N3293="Có"),OR(DANH_MUC!$L$7&lt;&gt;"Có",O3293="Có"),OR(DANH_MUC!$L$8&lt;&gt;"Có",P3293="Có")),"Có","Không"))</f>
        <v/>
      </c>
      <c r="R3293" s="22">
        <f>IF($D3293="","",IF(COUNTIF($D$2:$D3293,$D3293)&gt;1,"Trùng",""))</f>
        <v/>
      </c>
      <c r="S3293" s="22">
        <f>IF($D3293="","",IF(AND(LEN($D3293)=10,LEFT($D3293,1)="0",ISNUMBER(--$D3293)),"Có","Không"))</f>
        <v/>
      </c>
      <c r="T3293" s="22">
        <f>IF($D3293="","",IF(AND($C3293&lt;&gt;"",$Q3293="Có",$R3293="",$S3293="Có",AND($L3293&lt;&gt;"",OR($L3293&lt;&gt;"Chưa xác định",DANH_MUC!$L$9="Có"))),"Có","Không"))</f>
        <v/>
      </c>
      <c r="U3293" s="22">
        <f>IF(OR($D3293="",$T3293="Có"),"",IF($C3293="","Thiếu họ tên; ","")&amp;IF($S3293&lt;&gt;"Có","SĐT sai định dạng; ","")&amp;IF($R3293="Trùng","Trùng SĐT; ","")&amp;IF($Q3293&lt;&gt;"Có","Thiếu đồng ý bắt buộc; ","")&amp;IF($L3293="","Thiếu/sai Mã REF; ",IF(AND($L3293="Chưa xác định",DANH_MUC!$L$9&lt;&gt;"Có"),"Nguồn chưa xác định; ","")))</f>
        <v/>
      </c>
      <c r="V3293" s="22">
        <f>IF(OR($D3293="",$R3293="Trùng"),"",IF(COUNTIF(ORDERS!$C$2:$C$4995,$D3293)&gt;0,"Có","Không"))</f>
        <v/>
      </c>
      <c r="W3293" s="22">
        <f>IF(OR($D3293="",$R3293="Trùng"),"",COUNTIFS(ORDERS!$C$2:$C$4995,$D3293,ORDERS!$L$2:$L$4995,"Đã chuyển khoản"))</f>
        <v/>
      </c>
      <c r="X3293" s="23">
        <f>IF(OR($D3293="",$R3293="Trùng"),"",SUMIFS(ORDERS!$J$2:$J$4995,ORDERS!$C$2:$C$4995,$D3293,ORDERS!$L$2:$L$4995,"Đã chuyển khoản"))</f>
        <v/>
      </c>
      <c r="Y3293" s="24" t="n"/>
    </row>
    <row r="3294" ht="14.25" customHeight="1" s="40">
      <c r="A3294" s="24" t="n"/>
      <c r="B3294" s="27" t="n"/>
      <c r="C3294" s="24" t="n"/>
      <c r="D3294" s="28" t="n"/>
      <c r="E3294" s="29" t="n"/>
      <c r="F3294" s="24" t="n"/>
      <c r="G3294" s="24" t="n"/>
      <c r="H3294" s="21">
        <f>IF(ISNUMBER($B3294),INT($B3294)-WEEKDAY($B3294,2)+1,"")</f>
        <v/>
      </c>
      <c r="I3294" s="24" t="n"/>
      <c r="J3294" s="22">
        <f t="array" ref="J3294">IF($D3294="","",IF($I3294="","(trống REF)",IFERROR(INDEX(MASTER_SOURCE!$B$2:$B$495,MATCH($I3294,MASTER_SOURCE!$A$2:$A$495,0)),"(REF không có trong MASTER_SOURCE)")))</f>
        <v/>
      </c>
      <c r="K3294" s="22">
        <f t="array" ref="K3294">IF($D3294="","",IFERROR(INDEX(MASTER_SOURCE!$C$2:$C$495,MATCH($I3294,MASTER_SOURCE!$A$2:$A$495,0)),""))</f>
        <v/>
      </c>
      <c r="L3294" s="22">
        <f t="array" ref="L3294">IF($D3294="","",IFERROR(INDEX(MASTER_SOURCE!$D$2:$D$495,MATCH($I3294,MASTER_SOURCE!$A$2:$A$495,0)),""))</f>
        <v/>
      </c>
      <c r="M3294" s="24" t="n"/>
      <c r="N3294" s="24" t="n"/>
      <c r="O3294" s="24" t="n"/>
      <c r="P3294" s="24" t="n"/>
      <c r="Q3294" s="22">
        <f>IF($D3294="","",IF(AND(OR(DANH_MUC!$L$5&lt;&gt;"Có",M3294="Có"),OR(DANH_MUC!$L$6&lt;&gt;"Có",N3294="Có"),OR(DANH_MUC!$L$7&lt;&gt;"Có",O3294="Có"),OR(DANH_MUC!$L$8&lt;&gt;"Có",P3294="Có")),"Có","Không"))</f>
        <v/>
      </c>
      <c r="R3294" s="22">
        <f>IF($D3294="","",IF(COUNTIF($D$2:$D3294,$D3294)&gt;1,"Trùng",""))</f>
        <v/>
      </c>
      <c r="S3294" s="22">
        <f>IF($D3294="","",IF(AND(LEN($D3294)=10,LEFT($D3294,1)="0",ISNUMBER(--$D3294)),"Có","Không"))</f>
        <v/>
      </c>
      <c r="T3294" s="22">
        <f>IF($D3294="","",IF(AND($C3294&lt;&gt;"",$Q3294="Có",$R3294="",$S3294="Có",AND($L3294&lt;&gt;"",OR($L3294&lt;&gt;"Chưa xác định",DANH_MUC!$L$9="Có"))),"Có","Không"))</f>
        <v/>
      </c>
      <c r="U3294" s="22">
        <f>IF(OR($D3294="",$T3294="Có"),"",IF($C3294="","Thiếu họ tên; ","")&amp;IF($S3294&lt;&gt;"Có","SĐT sai định dạng; ","")&amp;IF($R3294="Trùng","Trùng SĐT; ","")&amp;IF($Q3294&lt;&gt;"Có","Thiếu đồng ý bắt buộc; ","")&amp;IF($L3294="","Thiếu/sai Mã REF; ",IF(AND($L3294="Chưa xác định",DANH_MUC!$L$9&lt;&gt;"Có"),"Nguồn chưa xác định; ","")))</f>
        <v/>
      </c>
      <c r="V3294" s="22">
        <f>IF(OR($D3294="",$R3294="Trùng"),"",IF(COUNTIF(ORDERS!$C$2:$C$4995,$D3294)&gt;0,"Có","Không"))</f>
        <v/>
      </c>
      <c r="W3294" s="22">
        <f>IF(OR($D3294="",$R3294="Trùng"),"",COUNTIFS(ORDERS!$C$2:$C$4995,$D3294,ORDERS!$L$2:$L$4995,"Đã chuyển khoản"))</f>
        <v/>
      </c>
      <c r="X3294" s="23">
        <f>IF(OR($D3294="",$R3294="Trùng"),"",SUMIFS(ORDERS!$J$2:$J$4995,ORDERS!$C$2:$C$4995,$D3294,ORDERS!$L$2:$L$4995,"Đã chuyển khoản"))</f>
        <v/>
      </c>
      <c r="Y3294" s="24" t="n"/>
    </row>
    <row r="3295" ht="14.25" customHeight="1" s="40">
      <c r="A3295" s="24" t="n"/>
      <c r="B3295" s="27" t="n"/>
      <c r="C3295" s="24" t="n"/>
      <c r="D3295" s="28" t="n"/>
      <c r="E3295" s="29" t="n"/>
      <c r="F3295" s="24" t="n"/>
      <c r="G3295" s="24" t="n"/>
      <c r="H3295" s="21">
        <f>IF(ISNUMBER($B3295),INT($B3295)-WEEKDAY($B3295,2)+1,"")</f>
        <v/>
      </c>
      <c r="I3295" s="24" t="n"/>
      <c r="J3295" s="22">
        <f t="array" ref="J3295">IF($D3295="","",IF($I3295="","(trống REF)",IFERROR(INDEX(MASTER_SOURCE!$B$2:$B$495,MATCH($I3295,MASTER_SOURCE!$A$2:$A$495,0)),"(REF không có trong MASTER_SOURCE)")))</f>
        <v/>
      </c>
      <c r="K3295" s="22">
        <f t="array" ref="K3295">IF($D3295="","",IFERROR(INDEX(MASTER_SOURCE!$C$2:$C$495,MATCH($I3295,MASTER_SOURCE!$A$2:$A$495,0)),""))</f>
        <v/>
      </c>
      <c r="L3295" s="22">
        <f t="array" ref="L3295">IF($D3295="","",IFERROR(INDEX(MASTER_SOURCE!$D$2:$D$495,MATCH($I3295,MASTER_SOURCE!$A$2:$A$495,0)),""))</f>
        <v/>
      </c>
      <c r="M3295" s="24" t="n"/>
      <c r="N3295" s="24" t="n"/>
      <c r="O3295" s="24" t="n"/>
      <c r="P3295" s="24" t="n"/>
      <c r="Q3295" s="22">
        <f>IF($D3295="","",IF(AND(OR(DANH_MUC!$L$5&lt;&gt;"Có",M3295="Có"),OR(DANH_MUC!$L$6&lt;&gt;"Có",N3295="Có"),OR(DANH_MUC!$L$7&lt;&gt;"Có",O3295="Có"),OR(DANH_MUC!$L$8&lt;&gt;"Có",P3295="Có")),"Có","Không"))</f>
        <v/>
      </c>
      <c r="R3295" s="22">
        <f>IF($D3295="","",IF(COUNTIF($D$2:$D3295,$D3295)&gt;1,"Trùng",""))</f>
        <v/>
      </c>
      <c r="S3295" s="22">
        <f>IF($D3295="","",IF(AND(LEN($D3295)=10,LEFT($D3295,1)="0",ISNUMBER(--$D3295)),"Có","Không"))</f>
        <v/>
      </c>
      <c r="T3295" s="22">
        <f>IF($D3295="","",IF(AND($C3295&lt;&gt;"",$Q3295="Có",$R3295="",$S3295="Có",AND($L3295&lt;&gt;"",OR($L3295&lt;&gt;"Chưa xác định",DANH_MUC!$L$9="Có"))),"Có","Không"))</f>
        <v/>
      </c>
      <c r="U3295" s="22">
        <f>IF(OR($D3295="",$T3295="Có"),"",IF($C3295="","Thiếu họ tên; ","")&amp;IF($S3295&lt;&gt;"Có","SĐT sai định dạng; ","")&amp;IF($R3295="Trùng","Trùng SĐT; ","")&amp;IF($Q3295&lt;&gt;"Có","Thiếu đồng ý bắt buộc; ","")&amp;IF($L3295="","Thiếu/sai Mã REF; ",IF(AND($L3295="Chưa xác định",DANH_MUC!$L$9&lt;&gt;"Có"),"Nguồn chưa xác định; ","")))</f>
        <v/>
      </c>
      <c r="V3295" s="22">
        <f>IF(OR($D3295="",$R3295="Trùng"),"",IF(COUNTIF(ORDERS!$C$2:$C$4995,$D3295)&gt;0,"Có","Không"))</f>
        <v/>
      </c>
      <c r="W3295" s="22">
        <f>IF(OR($D3295="",$R3295="Trùng"),"",COUNTIFS(ORDERS!$C$2:$C$4995,$D3295,ORDERS!$L$2:$L$4995,"Đã chuyển khoản"))</f>
        <v/>
      </c>
      <c r="X3295" s="23">
        <f>IF(OR($D3295="",$R3295="Trùng"),"",SUMIFS(ORDERS!$J$2:$J$4995,ORDERS!$C$2:$C$4995,$D3295,ORDERS!$L$2:$L$4995,"Đã chuyển khoản"))</f>
        <v/>
      </c>
      <c r="Y3295" s="24" t="n"/>
    </row>
    <row r="3296" ht="14.25" customHeight="1" s="40">
      <c r="A3296" s="24" t="n"/>
      <c r="B3296" s="27" t="n"/>
      <c r="C3296" s="24" t="n"/>
      <c r="D3296" s="28" t="n"/>
      <c r="E3296" s="29" t="n"/>
      <c r="F3296" s="24" t="n"/>
      <c r="G3296" s="24" t="n"/>
      <c r="H3296" s="21">
        <f>IF(ISNUMBER($B3296),INT($B3296)-WEEKDAY($B3296,2)+1,"")</f>
        <v/>
      </c>
      <c r="I3296" s="24" t="n"/>
      <c r="J3296" s="22">
        <f t="array" ref="J3296">IF($D3296="","",IF($I3296="","(trống REF)",IFERROR(INDEX(MASTER_SOURCE!$B$2:$B$495,MATCH($I3296,MASTER_SOURCE!$A$2:$A$495,0)),"(REF không có trong MASTER_SOURCE)")))</f>
        <v/>
      </c>
      <c r="K3296" s="22">
        <f t="array" ref="K3296">IF($D3296="","",IFERROR(INDEX(MASTER_SOURCE!$C$2:$C$495,MATCH($I3296,MASTER_SOURCE!$A$2:$A$495,0)),""))</f>
        <v/>
      </c>
      <c r="L3296" s="22">
        <f t="array" ref="L3296">IF($D3296="","",IFERROR(INDEX(MASTER_SOURCE!$D$2:$D$495,MATCH($I3296,MASTER_SOURCE!$A$2:$A$495,0)),""))</f>
        <v/>
      </c>
      <c r="M3296" s="24" t="n"/>
      <c r="N3296" s="24" t="n"/>
      <c r="O3296" s="24" t="n"/>
      <c r="P3296" s="24" t="n"/>
      <c r="Q3296" s="22">
        <f>IF($D3296="","",IF(AND(OR(DANH_MUC!$L$5&lt;&gt;"Có",M3296="Có"),OR(DANH_MUC!$L$6&lt;&gt;"Có",N3296="Có"),OR(DANH_MUC!$L$7&lt;&gt;"Có",O3296="Có"),OR(DANH_MUC!$L$8&lt;&gt;"Có",P3296="Có")),"Có","Không"))</f>
        <v/>
      </c>
      <c r="R3296" s="22">
        <f>IF($D3296="","",IF(COUNTIF($D$2:$D3296,$D3296)&gt;1,"Trùng",""))</f>
        <v/>
      </c>
      <c r="S3296" s="22">
        <f>IF($D3296="","",IF(AND(LEN($D3296)=10,LEFT($D3296,1)="0",ISNUMBER(--$D3296)),"Có","Không"))</f>
        <v/>
      </c>
      <c r="T3296" s="22">
        <f>IF($D3296="","",IF(AND($C3296&lt;&gt;"",$Q3296="Có",$R3296="",$S3296="Có",AND($L3296&lt;&gt;"",OR($L3296&lt;&gt;"Chưa xác định",DANH_MUC!$L$9="Có"))),"Có","Không"))</f>
        <v/>
      </c>
      <c r="U3296" s="22">
        <f>IF(OR($D3296="",$T3296="Có"),"",IF($C3296="","Thiếu họ tên; ","")&amp;IF($S3296&lt;&gt;"Có","SĐT sai định dạng; ","")&amp;IF($R3296="Trùng","Trùng SĐT; ","")&amp;IF($Q3296&lt;&gt;"Có","Thiếu đồng ý bắt buộc; ","")&amp;IF($L3296="","Thiếu/sai Mã REF; ",IF(AND($L3296="Chưa xác định",DANH_MUC!$L$9&lt;&gt;"Có"),"Nguồn chưa xác định; ","")))</f>
        <v/>
      </c>
      <c r="V3296" s="22">
        <f>IF(OR($D3296="",$R3296="Trùng"),"",IF(COUNTIF(ORDERS!$C$2:$C$4995,$D3296)&gt;0,"Có","Không"))</f>
        <v/>
      </c>
      <c r="W3296" s="22">
        <f>IF(OR($D3296="",$R3296="Trùng"),"",COUNTIFS(ORDERS!$C$2:$C$4995,$D3296,ORDERS!$L$2:$L$4995,"Đã chuyển khoản"))</f>
        <v/>
      </c>
      <c r="X3296" s="23">
        <f>IF(OR($D3296="",$R3296="Trùng"),"",SUMIFS(ORDERS!$J$2:$J$4995,ORDERS!$C$2:$C$4995,$D3296,ORDERS!$L$2:$L$4995,"Đã chuyển khoản"))</f>
        <v/>
      </c>
      <c r="Y3296" s="24" t="n"/>
    </row>
    <row r="3297" ht="14.25" customHeight="1" s="40">
      <c r="A3297" s="24" t="n"/>
      <c r="B3297" s="27" t="n"/>
      <c r="C3297" s="24" t="n"/>
      <c r="D3297" s="28" t="n"/>
      <c r="E3297" s="29" t="n"/>
      <c r="F3297" s="24" t="n"/>
      <c r="G3297" s="24" t="n"/>
      <c r="H3297" s="21">
        <f>IF(ISNUMBER($B3297),INT($B3297)-WEEKDAY($B3297,2)+1,"")</f>
        <v/>
      </c>
      <c r="I3297" s="24" t="n"/>
      <c r="J3297" s="22">
        <f t="array" ref="J3297">IF($D3297="","",IF($I3297="","(trống REF)",IFERROR(INDEX(MASTER_SOURCE!$B$2:$B$495,MATCH($I3297,MASTER_SOURCE!$A$2:$A$495,0)),"(REF không có trong MASTER_SOURCE)")))</f>
        <v/>
      </c>
      <c r="K3297" s="22">
        <f t="array" ref="K3297">IF($D3297="","",IFERROR(INDEX(MASTER_SOURCE!$C$2:$C$495,MATCH($I3297,MASTER_SOURCE!$A$2:$A$495,0)),""))</f>
        <v/>
      </c>
      <c r="L3297" s="22">
        <f t="array" ref="L3297">IF($D3297="","",IFERROR(INDEX(MASTER_SOURCE!$D$2:$D$495,MATCH($I3297,MASTER_SOURCE!$A$2:$A$495,0)),""))</f>
        <v/>
      </c>
      <c r="M3297" s="24" t="n"/>
      <c r="N3297" s="24" t="n"/>
      <c r="O3297" s="24" t="n"/>
      <c r="P3297" s="24" t="n"/>
      <c r="Q3297" s="22">
        <f>IF($D3297="","",IF(AND(OR(DANH_MUC!$L$5&lt;&gt;"Có",M3297="Có"),OR(DANH_MUC!$L$6&lt;&gt;"Có",N3297="Có"),OR(DANH_MUC!$L$7&lt;&gt;"Có",O3297="Có"),OR(DANH_MUC!$L$8&lt;&gt;"Có",P3297="Có")),"Có","Không"))</f>
        <v/>
      </c>
      <c r="R3297" s="22">
        <f>IF($D3297="","",IF(COUNTIF($D$2:$D3297,$D3297)&gt;1,"Trùng",""))</f>
        <v/>
      </c>
      <c r="S3297" s="22">
        <f>IF($D3297="","",IF(AND(LEN($D3297)=10,LEFT($D3297,1)="0",ISNUMBER(--$D3297)),"Có","Không"))</f>
        <v/>
      </c>
      <c r="T3297" s="22">
        <f>IF($D3297="","",IF(AND($C3297&lt;&gt;"",$Q3297="Có",$R3297="",$S3297="Có",AND($L3297&lt;&gt;"",OR($L3297&lt;&gt;"Chưa xác định",DANH_MUC!$L$9="Có"))),"Có","Không"))</f>
        <v/>
      </c>
      <c r="U3297" s="22">
        <f>IF(OR($D3297="",$T3297="Có"),"",IF($C3297="","Thiếu họ tên; ","")&amp;IF($S3297&lt;&gt;"Có","SĐT sai định dạng; ","")&amp;IF($R3297="Trùng","Trùng SĐT; ","")&amp;IF($Q3297&lt;&gt;"Có","Thiếu đồng ý bắt buộc; ","")&amp;IF($L3297="","Thiếu/sai Mã REF; ",IF(AND($L3297="Chưa xác định",DANH_MUC!$L$9&lt;&gt;"Có"),"Nguồn chưa xác định; ","")))</f>
        <v/>
      </c>
      <c r="V3297" s="22">
        <f>IF(OR($D3297="",$R3297="Trùng"),"",IF(COUNTIF(ORDERS!$C$2:$C$4995,$D3297)&gt;0,"Có","Không"))</f>
        <v/>
      </c>
      <c r="W3297" s="22">
        <f>IF(OR($D3297="",$R3297="Trùng"),"",COUNTIFS(ORDERS!$C$2:$C$4995,$D3297,ORDERS!$L$2:$L$4995,"Đã chuyển khoản"))</f>
        <v/>
      </c>
      <c r="X3297" s="23">
        <f>IF(OR($D3297="",$R3297="Trùng"),"",SUMIFS(ORDERS!$J$2:$J$4995,ORDERS!$C$2:$C$4995,$D3297,ORDERS!$L$2:$L$4995,"Đã chuyển khoản"))</f>
        <v/>
      </c>
      <c r="Y3297" s="24" t="n"/>
    </row>
    <row r="3298" ht="14.25" customHeight="1" s="40">
      <c r="A3298" s="24" t="n"/>
      <c r="B3298" s="27" t="n"/>
      <c r="C3298" s="24" t="n"/>
      <c r="D3298" s="28" t="n"/>
      <c r="E3298" s="29" t="n"/>
      <c r="F3298" s="24" t="n"/>
      <c r="G3298" s="24" t="n"/>
      <c r="H3298" s="21">
        <f>IF(ISNUMBER($B3298),INT($B3298)-WEEKDAY($B3298,2)+1,"")</f>
        <v/>
      </c>
      <c r="I3298" s="24" t="n"/>
      <c r="J3298" s="22">
        <f t="array" ref="J3298">IF($D3298="","",IF($I3298="","(trống REF)",IFERROR(INDEX(MASTER_SOURCE!$B$2:$B$495,MATCH($I3298,MASTER_SOURCE!$A$2:$A$495,0)),"(REF không có trong MASTER_SOURCE)")))</f>
        <v/>
      </c>
      <c r="K3298" s="22">
        <f t="array" ref="K3298">IF($D3298="","",IFERROR(INDEX(MASTER_SOURCE!$C$2:$C$495,MATCH($I3298,MASTER_SOURCE!$A$2:$A$495,0)),""))</f>
        <v/>
      </c>
      <c r="L3298" s="22">
        <f t="array" ref="L3298">IF($D3298="","",IFERROR(INDEX(MASTER_SOURCE!$D$2:$D$495,MATCH($I3298,MASTER_SOURCE!$A$2:$A$495,0)),""))</f>
        <v/>
      </c>
      <c r="M3298" s="24" t="n"/>
      <c r="N3298" s="24" t="n"/>
      <c r="O3298" s="24" t="n"/>
      <c r="P3298" s="24" t="n"/>
      <c r="Q3298" s="22">
        <f>IF($D3298="","",IF(AND(OR(DANH_MUC!$L$5&lt;&gt;"Có",M3298="Có"),OR(DANH_MUC!$L$6&lt;&gt;"Có",N3298="Có"),OR(DANH_MUC!$L$7&lt;&gt;"Có",O3298="Có"),OR(DANH_MUC!$L$8&lt;&gt;"Có",P3298="Có")),"Có","Không"))</f>
        <v/>
      </c>
      <c r="R3298" s="22">
        <f>IF($D3298="","",IF(COUNTIF($D$2:$D3298,$D3298)&gt;1,"Trùng",""))</f>
        <v/>
      </c>
      <c r="S3298" s="22">
        <f>IF($D3298="","",IF(AND(LEN($D3298)=10,LEFT($D3298,1)="0",ISNUMBER(--$D3298)),"Có","Không"))</f>
        <v/>
      </c>
      <c r="T3298" s="22">
        <f>IF($D3298="","",IF(AND($C3298&lt;&gt;"",$Q3298="Có",$R3298="",$S3298="Có",AND($L3298&lt;&gt;"",OR($L3298&lt;&gt;"Chưa xác định",DANH_MUC!$L$9="Có"))),"Có","Không"))</f>
        <v/>
      </c>
      <c r="U3298" s="22">
        <f>IF(OR($D3298="",$T3298="Có"),"",IF($C3298="","Thiếu họ tên; ","")&amp;IF($S3298&lt;&gt;"Có","SĐT sai định dạng; ","")&amp;IF($R3298="Trùng","Trùng SĐT; ","")&amp;IF($Q3298&lt;&gt;"Có","Thiếu đồng ý bắt buộc; ","")&amp;IF($L3298="","Thiếu/sai Mã REF; ",IF(AND($L3298="Chưa xác định",DANH_MUC!$L$9&lt;&gt;"Có"),"Nguồn chưa xác định; ","")))</f>
        <v/>
      </c>
      <c r="V3298" s="22">
        <f>IF(OR($D3298="",$R3298="Trùng"),"",IF(COUNTIF(ORDERS!$C$2:$C$4995,$D3298)&gt;0,"Có","Không"))</f>
        <v/>
      </c>
      <c r="W3298" s="22">
        <f>IF(OR($D3298="",$R3298="Trùng"),"",COUNTIFS(ORDERS!$C$2:$C$4995,$D3298,ORDERS!$L$2:$L$4995,"Đã chuyển khoản"))</f>
        <v/>
      </c>
      <c r="X3298" s="23">
        <f>IF(OR($D3298="",$R3298="Trùng"),"",SUMIFS(ORDERS!$J$2:$J$4995,ORDERS!$C$2:$C$4995,$D3298,ORDERS!$L$2:$L$4995,"Đã chuyển khoản"))</f>
        <v/>
      </c>
      <c r="Y3298" s="24" t="n"/>
    </row>
    <row r="3299" ht="14.25" customHeight="1" s="40">
      <c r="A3299" s="24" t="n"/>
      <c r="B3299" s="27" t="n"/>
      <c r="C3299" s="24" t="n"/>
      <c r="D3299" s="28" t="n"/>
      <c r="E3299" s="29" t="n"/>
      <c r="F3299" s="24" t="n"/>
      <c r="G3299" s="24" t="n"/>
      <c r="H3299" s="21">
        <f>IF(ISNUMBER($B3299),INT($B3299)-WEEKDAY($B3299,2)+1,"")</f>
        <v/>
      </c>
      <c r="I3299" s="24" t="n"/>
      <c r="J3299" s="22">
        <f t="array" ref="J3299">IF($D3299="","",IF($I3299="","(trống REF)",IFERROR(INDEX(MASTER_SOURCE!$B$2:$B$495,MATCH($I3299,MASTER_SOURCE!$A$2:$A$495,0)),"(REF không có trong MASTER_SOURCE)")))</f>
        <v/>
      </c>
      <c r="K3299" s="22">
        <f t="array" ref="K3299">IF($D3299="","",IFERROR(INDEX(MASTER_SOURCE!$C$2:$C$495,MATCH($I3299,MASTER_SOURCE!$A$2:$A$495,0)),""))</f>
        <v/>
      </c>
      <c r="L3299" s="22">
        <f t="array" ref="L3299">IF($D3299="","",IFERROR(INDEX(MASTER_SOURCE!$D$2:$D$495,MATCH($I3299,MASTER_SOURCE!$A$2:$A$495,0)),""))</f>
        <v/>
      </c>
      <c r="M3299" s="24" t="n"/>
      <c r="N3299" s="24" t="n"/>
      <c r="O3299" s="24" t="n"/>
      <c r="P3299" s="24" t="n"/>
      <c r="Q3299" s="22">
        <f>IF($D3299="","",IF(AND(OR(DANH_MUC!$L$5&lt;&gt;"Có",M3299="Có"),OR(DANH_MUC!$L$6&lt;&gt;"Có",N3299="Có"),OR(DANH_MUC!$L$7&lt;&gt;"Có",O3299="Có"),OR(DANH_MUC!$L$8&lt;&gt;"Có",P3299="Có")),"Có","Không"))</f>
        <v/>
      </c>
      <c r="R3299" s="22">
        <f>IF($D3299="","",IF(COUNTIF($D$2:$D3299,$D3299)&gt;1,"Trùng",""))</f>
        <v/>
      </c>
      <c r="S3299" s="22">
        <f>IF($D3299="","",IF(AND(LEN($D3299)=10,LEFT($D3299,1)="0",ISNUMBER(--$D3299)),"Có","Không"))</f>
        <v/>
      </c>
      <c r="T3299" s="22">
        <f>IF($D3299="","",IF(AND($C3299&lt;&gt;"",$Q3299="Có",$R3299="",$S3299="Có",AND($L3299&lt;&gt;"",OR($L3299&lt;&gt;"Chưa xác định",DANH_MUC!$L$9="Có"))),"Có","Không"))</f>
        <v/>
      </c>
      <c r="U3299" s="22">
        <f>IF(OR($D3299="",$T3299="Có"),"",IF($C3299="","Thiếu họ tên; ","")&amp;IF($S3299&lt;&gt;"Có","SĐT sai định dạng; ","")&amp;IF($R3299="Trùng","Trùng SĐT; ","")&amp;IF($Q3299&lt;&gt;"Có","Thiếu đồng ý bắt buộc; ","")&amp;IF($L3299="","Thiếu/sai Mã REF; ",IF(AND($L3299="Chưa xác định",DANH_MUC!$L$9&lt;&gt;"Có"),"Nguồn chưa xác định; ","")))</f>
        <v/>
      </c>
      <c r="V3299" s="22">
        <f>IF(OR($D3299="",$R3299="Trùng"),"",IF(COUNTIF(ORDERS!$C$2:$C$4995,$D3299)&gt;0,"Có","Không"))</f>
        <v/>
      </c>
      <c r="W3299" s="22">
        <f>IF(OR($D3299="",$R3299="Trùng"),"",COUNTIFS(ORDERS!$C$2:$C$4995,$D3299,ORDERS!$L$2:$L$4995,"Đã chuyển khoản"))</f>
        <v/>
      </c>
      <c r="X3299" s="23">
        <f>IF(OR($D3299="",$R3299="Trùng"),"",SUMIFS(ORDERS!$J$2:$J$4995,ORDERS!$C$2:$C$4995,$D3299,ORDERS!$L$2:$L$4995,"Đã chuyển khoản"))</f>
        <v/>
      </c>
      <c r="Y3299" s="24" t="n"/>
    </row>
    <row r="3300" ht="14.25" customHeight="1" s="40">
      <c r="A3300" s="24" t="n"/>
      <c r="B3300" s="27" t="n"/>
      <c r="C3300" s="24" t="n"/>
      <c r="D3300" s="28" t="n"/>
      <c r="E3300" s="29" t="n"/>
      <c r="F3300" s="24" t="n"/>
      <c r="G3300" s="24" t="n"/>
      <c r="H3300" s="21">
        <f>IF(ISNUMBER($B3300),INT($B3300)-WEEKDAY($B3300,2)+1,"")</f>
        <v/>
      </c>
      <c r="I3300" s="24" t="n"/>
      <c r="J3300" s="22">
        <f t="array" ref="J3300">IF($D3300="","",IF($I3300="","(trống REF)",IFERROR(INDEX(MASTER_SOURCE!$B$2:$B$495,MATCH($I3300,MASTER_SOURCE!$A$2:$A$495,0)),"(REF không có trong MASTER_SOURCE)")))</f>
        <v/>
      </c>
      <c r="K3300" s="22">
        <f t="array" ref="K3300">IF($D3300="","",IFERROR(INDEX(MASTER_SOURCE!$C$2:$C$495,MATCH($I3300,MASTER_SOURCE!$A$2:$A$495,0)),""))</f>
        <v/>
      </c>
      <c r="L3300" s="22">
        <f t="array" ref="L3300">IF($D3300="","",IFERROR(INDEX(MASTER_SOURCE!$D$2:$D$495,MATCH($I3300,MASTER_SOURCE!$A$2:$A$495,0)),""))</f>
        <v/>
      </c>
      <c r="M3300" s="24" t="n"/>
      <c r="N3300" s="24" t="n"/>
      <c r="O3300" s="24" t="n"/>
      <c r="P3300" s="24" t="n"/>
      <c r="Q3300" s="22">
        <f>IF($D3300="","",IF(AND(OR(DANH_MUC!$L$5&lt;&gt;"Có",M3300="Có"),OR(DANH_MUC!$L$6&lt;&gt;"Có",N3300="Có"),OR(DANH_MUC!$L$7&lt;&gt;"Có",O3300="Có"),OR(DANH_MUC!$L$8&lt;&gt;"Có",P3300="Có")),"Có","Không"))</f>
        <v/>
      </c>
      <c r="R3300" s="22">
        <f>IF($D3300="","",IF(COUNTIF($D$2:$D3300,$D3300)&gt;1,"Trùng",""))</f>
        <v/>
      </c>
      <c r="S3300" s="22">
        <f>IF($D3300="","",IF(AND(LEN($D3300)=10,LEFT($D3300,1)="0",ISNUMBER(--$D3300)),"Có","Không"))</f>
        <v/>
      </c>
      <c r="T3300" s="22">
        <f>IF($D3300="","",IF(AND($C3300&lt;&gt;"",$Q3300="Có",$R3300="",$S3300="Có",AND($L3300&lt;&gt;"",OR($L3300&lt;&gt;"Chưa xác định",DANH_MUC!$L$9="Có"))),"Có","Không"))</f>
        <v/>
      </c>
      <c r="U3300" s="22">
        <f>IF(OR($D3300="",$T3300="Có"),"",IF($C3300="","Thiếu họ tên; ","")&amp;IF($S3300&lt;&gt;"Có","SĐT sai định dạng; ","")&amp;IF($R3300="Trùng","Trùng SĐT; ","")&amp;IF($Q3300&lt;&gt;"Có","Thiếu đồng ý bắt buộc; ","")&amp;IF($L3300="","Thiếu/sai Mã REF; ",IF(AND($L3300="Chưa xác định",DANH_MUC!$L$9&lt;&gt;"Có"),"Nguồn chưa xác định; ","")))</f>
        <v/>
      </c>
      <c r="V3300" s="22">
        <f>IF(OR($D3300="",$R3300="Trùng"),"",IF(COUNTIF(ORDERS!$C$2:$C$4995,$D3300)&gt;0,"Có","Không"))</f>
        <v/>
      </c>
      <c r="W3300" s="22">
        <f>IF(OR($D3300="",$R3300="Trùng"),"",COUNTIFS(ORDERS!$C$2:$C$4995,$D3300,ORDERS!$L$2:$L$4995,"Đã chuyển khoản"))</f>
        <v/>
      </c>
      <c r="X3300" s="23">
        <f>IF(OR($D3300="",$R3300="Trùng"),"",SUMIFS(ORDERS!$J$2:$J$4995,ORDERS!$C$2:$C$4995,$D3300,ORDERS!$L$2:$L$4995,"Đã chuyển khoản"))</f>
        <v/>
      </c>
      <c r="Y3300" s="24" t="n"/>
    </row>
    <row r="3301" ht="14.25" customHeight="1" s="40">
      <c r="A3301" s="24" t="n"/>
      <c r="B3301" s="27" t="n"/>
      <c r="C3301" s="24" t="n"/>
      <c r="D3301" s="28" t="n"/>
      <c r="E3301" s="29" t="n"/>
      <c r="F3301" s="24" t="n"/>
      <c r="G3301" s="24" t="n"/>
      <c r="H3301" s="21">
        <f>IF(ISNUMBER($B3301),INT($B3301)-WEEKDAY($B3301,2)+1,"")</f>
        <v/>
      </c>
      <c r="I3301" s="24" t="n"/>
      <c r="J3301" s="22">
        <f t="array" ref="J3301">IF($D3301="","",IF($I3301="","(trống REF)",IFERROR(INDEX(MASTER_SOURCE!$B$2:$B$495,MATCH($I3301,MASTER_SOURCE!$A$2:$A$495,0)),"(REF không có trong MASTER_SOURCE)")))</f>
        <v/>
      </c>
      <c r="K3301" s="22">
        <f t="array" ref="K3301">IF($D3301="","",IFERROR(INDEX(MASTER_SOURCE!$C$2:$C$495,MATCH($I3301,MASTER_SOURCE!$A$2:$A$495,0)),""))</f>
        <v/>
      </c>
      <c r="L3301" s="22">
        <f t="array" ref="L3301">IF($D3301="","",IFERROR(INDEX(MASTER_SOURCE!$D$2:$D$495,MATCH($I3301,MASTER_SOURCE!$A$2:$A$495,0)),""))</f>
        <v/>
      </c>
      <c r="M3301" s="24" t="n"/>
      <c r="N3301" s="24" t="n"/>
      <c r="O3301" s="24" t="n"/>
      <c r="P3301" s="24" t="n"/>
      <c r="Q3301" s="22">
        <f>IF($D3301="","",IF(AND(OR(DANH_MUC!$L$5&lt;&gt;"Có",M3301="Có"),OR(DANH_MUC!$L$6&lt;&gt;"Có",N3301="Có"),OR(DANH_MUC!$L$7&lt;&gt;"Có",O3301="Có"),OR(DANH_MUC!$L$8&lt;&gt;"Có",P3301="Có")),"Có","Không"))</f>
        <v/>
      </c>
      <c r="R3301" s="22">
        <f>IF($D3301="","",IF(COUNTIF($D$2:$D3301,$D3301)&gt;1,"Trùng",""))</f>
        <v/>
      </c>
      <c r="S3301" s="22">
        <f>IF($D3301="","",IF(AND(LEN($D3301)=10,LEFT($D3301,1)="0",ISNUMBER(--$D3301)),"Có","Không"))</f>
        <v/>
      </c>
      <c r="T3301" s="22">
        <f>IF($D3301="","",IF(AND($C3301&lt;&gt;"",$Q3301="Có",$R3301="",$S3301="Có",AND($L3301&lt;&gt;"",OR($L3301&lt;&gt;"Chưa xác định",DANH_MUC!$L$9="Có"))),"Có","Không"))</f>
        <v/>
      </c>
      <c r="U3301" s="22">
        <f>IF(OR($D3301="",$T3301="Có"),"",IF($C3301="","Thiếu họ tên; ","")&amp;IF($S3301&lt;&gt;"Có","SĐT sai định dạng; ","")&amp;IF($R3301="Trùng","Trùng SĐT; ","")&amp;IF($Q3301&lt;&gt;"Có","Thiếu đồng ý bắt buộc; ","")&amp;IF($L3301="","Thiếu/sai Mã REF; ",IF(AND($L3301="Chưa xác định",DANH_MUC!$L$9&lt;&gt;"Có"),"Nguồn chưa xác định; ","")))</f>
        <v/>
      </c>
      <c r="V3301" s="22">
        <f>IF(OR($D3301="",$R3301="Trùng"),"",IF(COUNTIF(ORDERS!$C$2:$C$4995,$D3301)&gt;0,"Có","Không"))</f>
        <v/>
      </c>
      <c r="W3301" s="22">
        <f>IF(OR($D3301="",$R3301="Trùng"),"",COUNTIFS(ORDERS!$C$2:$C$4995,$D3301,ORDERS!$L$2:$L$4995,"Đã chuyển khoản"))</f>
        <v/>
      </c>
      <c r="X3301" s="23">
        <f>IF(OR($D3301="",$R3301="Trùng"),"",SUMIFS(ORDERS!$J$2:$J$4995,ORDERS!$C$2:$C$4995,$D3301,ORDERS!$L$2:$L$4995,"Đã chuyển khoản"))</f>
        <v/>
      </c>
      <c r="Y3301" s="24" t="n"/>
    </row>
    <row r="3302" ht="14.25" customHeight="1" s="40">
      <c r="A3302" s="24" t="n"/>
      <c r="B3302" s="27" t="n"/>
      <c r="C3302" s="24" t="n"/>
      <c r="D3302" s="28" t="n"/>
      <c r="E3302" s="29" t="n"/>
      <c r="F3302" s="24" t="n"/>
      <c r="G3302" s="24" t="n"/>
      <c r="H3302" s="21">
        <f>IF(ISNUMBER($B3302),INT($B3302)-WEEKDAY($B3302,2)+1,"")</f>
        <v/>
      </c>
      <c r="I3302" s="24" t="n"/>
      <c r="J3302" s="22">
        <f t="array" ref="J3302">IF($D3302="","",IF($I3302="","(trống REF)",IFERROR(INDEX(MASTER_SOURCE!$B$2:$B$495,MATCH($I3302,MASTER_SOURCE!$A$2:$A$495,0)),"(REF không có trong MASTER_SOURCE)")))</f>
        <v/>
      </c>
      <c r="K3302" s="22">
        <f t="array" ref="K3302">IF($D3302="","",IFERROR(INDEX(MASTER_SOURCE!$C$2:$C$495,MATCH($I3302,MASTER_SOURCE!$A$2:$A$495,0)),""))</f>
        <v/>
      </c>
      <c r="L3302" s="22">
        <f t="array" ref="L3302">IF($D3302="","",IFERROR(INDEX(MASTER_SOURCE!$D$2:$D$495,MATCH($I3302,MASTER_SOURCE!$A$2:$A$495,0)),""))</f>
        <v/>
      </c>
      <c r="M3302" s="24" t="n"/>
      <c r="N3302" s="24" t="n"/>
      <c r="O3302" s="24" t="n"/>
      <c r="P3302" s="24" t="n"/>
      <c r="Q3302" s="22">
        <f>IF($D3302="","",IF(AND(OR(DANH_MUC!$L$5&lt;&gt;"Có",M3302="Có"),OR(DANH_MUC!$L$6&lt;&gt;"Có",N3302="Có"),OR(DANH_MUC!$L$7&lt;&gt;"Có",O3302="Có"),OR(DANH_MUC!$L$8&lt;&gt;"Có",P3302="Có")),"Có","Không"))</f>
        <v/>
      </c>
      <c r="R3302" s="22">
        <f>IF($D3302="","",IF(COUNTIF($D$2:$D3302,$D3302)&gt;1,"Trùng",""))</f>
        <v/>
      </c>
      <c r="S3302" s="22">
        <f>IF($D3302="","",IF(AND(LEN($D3302)=10,LEFT($D3302,1)="0",ISNUMBER(--$D3302)),"Có","Không"))</f>
        <v/>
      </c>
      <c r="T3302" s="22">
        <f>IF($D3302="","",IF(AND($C3302&lt;&gt;"",$Q3302="Có",$R3302="",$S3302="Có",AND($L3302&lt;&gt;"",OR($L3302&lt;&gt;"Chưa xác định",DANH_MUC!$L$9="Có"))),"Có","Không"))</f>
        <v/>
      </c>
      <c r="U3302" s="22">
        <f>IF(OR($D3302="",$T3302="Có"),"",IF($C3302="","Thiếu họ tên; ","")&amp;IF($S3302&lt;&gt;"Có","SĐT sai định dạng; ","")&amp;IF($R3302="Trùng","Trùng SĐT; ","")&amp;IF($Q3302&lt;&gt;"Có","Thiếu đồng ý bắt buộc; ","")&amp;IF($L3302="","Thiếu/sai Mã REF; ",IF(AND($L3302="Chưa xác định",DANH_MUC!$L$9&lt;&gt;"Có"),"Nguồn chưa xác định; ","")))</f>
        <v/>
      </c>
      <c r="V3302" s="22">
        <f>IF(OR($D3302="",$R3302="Trùng"),"",IF(COUNTIF(ORDERS!$C$2:$C$4995,$D3302)&gt;0,"Có","Không"))</f>
        <v/>
      </c>
      <c r="W3302" s="22">
        <f>IF(OR($D3302="",$R3302="Trùng"),"",COUNTIFS(ORDERS!$C$2:$C$4995,$D3302,ORDERS!$L$2:$L$4995,"Đã chuyển khoản"))</f>
        <v/>
      </c>
      <c r="X3302" s="23">
        <f>IF(OR($D3302="",$R3302="Trùng"),"",SUMIFS(ORDERS!$J$2:$J$4995,ORDERS!$C$2:$C$4995,$D3302,ORDERS!$L$2:$L$4995,"Đã chuyển khoản"))</f>
        <v/>
      </c>
      <c r="Y3302" s="24" t="n"/>
    </row>
    <row r="3303" ht="14.25" customHeight="1" s="40">
      <c r="A3303" s="24" t="n"/>
      <c r="B3303" s="27" t="n"/>
      <c r="C3303" s="24" t="n"/>
      <c r="D3303" s="28" t="n"/>
      <c r="E3303" s="29" t="n"/>
      <c r="F3303" s="24" t="n"/>
      <c r="G3303" s="24" t="n"/>
      <c r="H3303" s="21">
        <f>IF(ISNUMBER($B3303),INT($B3303)-WEEKDAY($B3303,2)+1,"")</f>
        <v/>
      </c>
      <c r="I3303" s="24" t="n"/>
      <c r="J3303" s="22">
        <f t="array" ref="J3303">IF($D3303="","",IF($I3303="","(trống REF)",IFERROR(INDEX(MASTER_SOURCE!$B$2:$B$495,MATCH($I3303,MASTER_SOURCE!$A$2:$A$495,0)),"(REF không có trong MASTER_SOURCE)")))</f>
        <v/>
      </c>
      <c r="K3303" s="22">
        <f t="array" ref="K3303">IF($D3303="","",IFERROR(INDEX(MASTER_SOURCE!$C$2:$C$495,MATCH($I3303,MASTER_SOURCE!$A$2:$A$495,0)),""))</f>
        <v/>
      </c>
      <c r="L3303" s="22">
        <f t="array" ref="L3303">IF($D3303="","",IFERROR(INDEX(MASTER_SOURCE!$D$2:$D$495,MATCH($I3303,MASTER_SOURCE!$A$2:$A$495,0)),""))</f>
        <v/>
      </c>
      <c r="M3303" s="24" t="n"/>
      <c r="N3303" s="24" t="n"/>
      <c r="O3303" s="24" t="n"/>
      <c r="P3303" s="24" t="n"/>
      <c r="Q3303" s="22">
        <f>IF($D3303="","",IF(AND(OR(DANH_MUC!$L$5&lt;&gt;"Có",M3303="Có"),OR(DANH_MUC!$L$6&lt;&gt;"Có",N3303="Có"),OR(DANH_MUC!$L$7&lt;&gt;"Có",O3303="Có"),OR(DANH_MUC!$L$8&lt;&gt;"Có",P3303="Có")),"Có","Không"))</f>
        <v/>
      </c>
      <c r="R3303" s="22">
        <f>IF($D3303="","",IF(COUNTIF($D$2:$D3303,$D3303)&gt;1,"Trùng",""))</f>
        <v/>
      </c>
      <c r="S3303" s="22">
        <f>IF($D3303="","",IF(AND(LEN($D3303)=10,LEFT($D3303,1)="0",ISNUMBER(--$D3303)),"Có","Không"))</f>
        <v/>
      </c>
      <c r="T3303" s="22">
        <f>IF($D3303="","",IF(AND($C3303&lt;&gt;"",$Q3303="Có",$R3303="",$S3303="Có",AND($L3303&lt;&gt;"",OR($L3303&lt;&gt;"Chưa xác định",DANH_MUC!$L$9="Có"))),"Có","Không"))</f>
        <v/>
      </c>
      <c r="U3303" s="22">
        <f>IF(OR($D3303="",$T3303="Có"),"",IF($C3303="","Thiếu họ tên; ","")&amp;IF($S3303&lt;&gt;"Có","SĐT sai định dạng; ","")&amp;IF($R3303="Trùng","Trùng SĐT; ","")&amp;IF($Q3303&lt;&gt;"Có","Thiếu đồng ý bắt buộc; ","")&amp;IF($L3303="","Thiếu/sai Mã REF; ",IF(AND($L3303="Chưa xác định",DANH_MUC!$L$9&lt;&gt;"Có"),"Nguồn chưa xác định; ","")))</f>
        <v/>
      </c>
      <c r="V3303" s="22">
        <f>IF(OR($D3303="",$R3303="Trùng"),"",IF(COUNTIF(ORDERS!$C$2:$C$4995,$D3303)&gt;0,"Có","Không"))</f>
        <v/>
      </c>
      <c r="W3303" s="22">
        <f>IF(OR($D3303="",$R3303="Trùng"),"",COUNTIFS(ORDERS!$C$2:$C$4995,$D3303,ORDERS!$L$2:$L$4995,"Đã chuyển khoản"))</f>
        <v/>
      </c>
      <c r="X3303" s="23">
        <f>IF(OR($D3303="",$R3303="Trùng"),"",SUMIFS(ORDERS!$J$2:$J$4995,ORDERS!$C$2:$C$4995,$D3303,ORDERS!$L$2:$L$4995,"Đã chuyển khoản"))</f>
        <v/>
      </c>
      <c r="Y3303" s="24" t="n"/>
    </row>
    <row r="3304" ht="14.25" customHeight="1" s="40">
      <c r="A3304" s="24" t="n"/>
      <c r="B3304" s="27" t="n"/>
      <c r="C3304" s="24" t="n"/>
      <c r="D3304" s="28" t="n"/>
      <c r="E3304" s="29" t="n"/>
      <c r="F3304" s="24" t="n"/>
      <c r="G3304" s="24" t="n"/>
      <c r="H3304" s="21">
        <f>IF(ISNUMBER($B3304),INT($B3304)-WEEKDAY($B3304,2)+1,"")</f>
        <v/>
      </c>
      <c r="I3304" s="24" t="n"/>
      <c r="J3304" s="22">
        <f t="array" ref="J3304">IF($D3304="","",IF($I3304="","(trống REF)",IFERROR(INDEX(MASTER_SOURCE!$B$2:$B$495,MATCH($I3304,MASTER_SOURCE!$A$2:$A$495,0)),"(REF không có trong MASTER_SOURCE)")))</f>
        <v/>
      </c>
      <c r="K3304" s="22">
        <f t="array" ref="K3304">IF($D3304="","",IFERROR(INDEX(MASTER_SOURCE!$C$2:$C$495,MATCH($I3304,MASTER_SOURCE!$A$2:$A$495,0)),""))</f>
        <v/>
      </c>
      <c r="L3304" s="22">
        <f t="array" ref="L3304">IF($D3304="","",IFERROR(INDEX(MASTER_SOURCE!$D$2:$D$495,MATCH($I3304,MASTER_SOURCE!$A$2:$A$495,0)),""))</f>
        <v/>
      </c>
      <c r="M3304" s="24" t="n"/>
      <c r="N3304" s="24" t="n"/>
      <c r="O3304" s="24" t="n"/>
      <c r="P3304" s="24" t="n"/>
      <c r="Q3304" s="22">
        <f>IF($D3304="","",IF(AND(OR(DANH_MUC!$L$5&lt;&gt;"Có",M3304="Có"),OR(DANH_MUC!$L$6&lt;&gt;"Có",N3304="Có"),OR(DANH_MUC!$L$7&lt;&gt;"Có",O3304="Có"),OR(DANH_MUC!$L$8&lt;&gt;"Có",P3304="Có")),"Có","Không"))</f>
        <v/>
      </c>
      <c r="R3304" s="22">
        <f>IF($D3304="","",IF(COUNTIF($D$2:$D3304,$D3304)&gt;1,"Trùng",""))</f>
        <v/>
      </c>
      <c r="S3304" s="22">
        <f>IF($D3304="","",IF(AND(LEN($D3304)=10,LEFT($D3304,1)="0",ISNUMBER(--$D3304)),"Có","Không"))</f>
        <v/>
      </c>
      <c r="T3304" s="22">
        <f>IF($D3304="","",IF(AND($C3304&lt;&gt;"",$Q3304="Có",$R3304="",$S3304="Có",AND($L3304&lt;&gt;"",OR($L3304&lt;&gt;"Chưa xác định",DANH_MUC!$L$9="Có"))),"Có","Không"))</f>
        <v/>
      </c>
      <c r="U3304" s="22">
        <f>IF(OR($D3304="",$T3304="Có"),"",IF($C3304="","Thiếu họ tên; ","")&amp;IF($S3304&lt;&gt;"Có","SĐT sai định dạng; ","")&amp;IF($R3304="Trùng","Trùng SĐT; ","")&amp;IF($Q3304&lt;&gt;"Có","Thiếu đồng ý bắt buộc; ","")&amp;IF($L3304="","Thiếu/sai Mã REF; ",IF(AND($L3304="Chưa xác định",DANH_MUC!$L$9&lt;&gt;"Có"),"Nguồn chưa xác định; ","")))</f>
        <v/>
      </c>
      <c r="V3304" s="22">
        <f>IF(OR($D3304="",$R3304="Trùng"),"",IF(COUNTIF(ORDERS!$C$2:$C$4995,$D3304)&gt;0,"Có","Không"))</f>
        <v/>
      </c>
      <c r="W3304" s="22">
        <f>IF(OR($D3304="",$R3304="Trùng"),"",COUNTIFS(ORDERS!$C$2:$C$4995,$D3304,ORDERS!$L$2:$L$4995,"Đã chuyển khoản"))</f>
        <v/>
      </c>
      <c r="X3304" s="23">
        <f>IF(OR($D3304="",$R3304="Trùng"),"",SUMIFS(ORDERS!$J$2:$J$4995,ORDERS!$C$2:$C$4995,$D3304,ORDERS!$L$2:$L$4995,"Đã chuyển khoản"))</f>
        <v/>
      </c>
      <c r="Y3304" s="24" t="n"/>
    </row>
    <row r="3305" ht="14.25" customHeight="1" s="40">
      <c r="A3305" s="24" t="n"/>
      <c r="B3305" s="27" t="n"/>
      <c r="C3305" s="24" t="n"/>
      <c r="D3305" s="28" t="n"/>
      <c r="E3305" s="29" t="n"/>
      <c r="F3305" s="24" t="n"/>
      <c r="G3305" s="24" t="n"/>
      <c r="H3305" s="21">
        <f>IF(ISNUMBER($B3305),INT($B3305)-WEEKDAY($B3305,2)+1,"")</f>
        <v/>
      </c>
      <c r="I3305" s="24" t="n"/>
      <c r="J3305" s="22">
        <f t="array" ref="J3305">IF($D3305="","",IF($I3305="","(trống REF)",IFERROR(INDEX(MASTER_SOURCE!$B$2:$B$495,MATCH($I3305,MASTER_SOURCE!$A$2:$A$495,0)),"(REF không có trong MASTER_SOURCE)")))</f>
        <v/>
      </c>
      <c r="K3305" s="22">
        <f t="array" ref="K3305">IF($D3305="","",IFERROR(INDEX(MASTER_SOURCE!$C$2:$C$495,MATCH($I3305,MASTER_SOURCE!$A$2:$A$495,0)),""))</f>
        <v/>
      </c>
      <c r="L3305" s="22">
        <f t="array" ref="L3305">IF($D3305="","",IFERROR(INDEX(MASTER_SOURCE!$D$2:$D$495,MATCH($I3305,MASTER_SOURCE!$A$2:$A$495,0)),""))</f>
        <v/>
      </c>
      <c r="M3305" s="24" t="n"/>
      <c r="N3305" s="24" t="n"/>
      <c r="O3305" s="24" t="n"/>
      <c r="P3305" s="24" t="n"/>
      <c r="Q3305" s="22">
        <f>IF($D3305="","",IF(AND(OR(DANH_MUC!$L$5&lt;&gt;"Có",M3305="Có"),OR(DANH_MUC!$L$6&lt;&gt;"Có",N3305="Có"),OR(DANH_MUC!$L$7&lt;&gt;"Có",O3305="Có"),OR(DANH_MUC!$L$8&lt;&gt;"Có",P3305="Có")),"Có","Không"))</f>
        <v/>
      </c>
      <c r="R3305" s="22">
        <f>IF($D3305="","",IF(COUNTIF($D$2:$D3305,$D3305)&gt;1,"Trùng",""))</f>
        <v/>
      </c>
      <c r="S3305" s="22">
        <f>IF($D3305="","",IF(AND(LEN($D3305)=10,LEFT($D3305,1)="0",ISNUMBER(--$D3305)),"Có","Không"))</f>
        <v/>
      </c>
      <c r="T3305" s="22">
        <f>IF($D3305="","",IF(AND($C3305&lt;&gt;"",$Q3305="Có",$R3305="",$S3305="Có",AND($L3305&lt;&gt;"",OR($L3305&lt;&gt;"Chưa xác định",DANH_MUC!$L$9="Có"))),"Có","Không"))</f>
        <v/>
      </c>
      <c r="U3305" s="22">
        <f>IF(OR($D3305="",$T3305="Có"),"",IF($C3305="","Thiếu họ tên; ","")&amp;IF($S3305&lt;&gt;"Có","SĐT sai định dạng; ","")&amp;IF($R3305="Trùng","Trùng SĐT; ","")&amp;IF($Q3305&lt;&gt;"Có","Thiếu đồng ý bắt buộc; ","")&amp;IF($L3305="","Thiếu/sai Mã REF; ",IF(AND($L3305="Chưa xác định",DANH_MUC!$L$9&lt;&gt;"Có"),"Nguồn chưa xác định; ","")))</f>
        <v/>
      </c>
      <c r="V3305" s="22">
        <f>IF(OR($D3305="",$R3305="Trùng"),"",IF(COUNTIF(ORDERS!$C$2:$C$4995,$D3305)&gt;0,"Có","Không"))</f>
        <v/>
      </c>
      <c r="W3305" s="22">
        <f>IF(OR($D3305="",$R3305="Trùng"),"",COUNTIFS(ORDERS!$C$2:$C$4995,$D3305,ORDERS!$L$2:$L$4995,"Đã chuyển khoản"))</f>
        <v/>
      </c>
      <c r="X3305" s="23">
        <f>IF(OR($D3305="",$R3305="Trùng"),"",SUMIFS(ORDERS!$J$2:$J$4995,ORDERS!$C$2:$C$4995,$D3305,ORDERS!$L$2:$L$4995,"Đã chuyển khoản"))</f>
        <v/>
      </c>
      <c r="Y3305" s="24" t="n"/>
    </row>
    <row r="3306" ht="14.25" customHeight="1" s="40">
      <c r="A3306" s="24" t="n"/>
      <c r="B3306" s="27" t="n"/>
      <c r="C3306" s="24" t="n"/>
      <c r="D3306" s="28" t="n"/>
      <c r="E3306" s="29" t="n"/>
      <c r="F3306" s="24" t="n"/>
      <c r="G3306" s="24" t="n"/>
      <c r="H3306" s="21">
        <f>IF(ISNUMBER($B3306),INT($B3306)-WEEKDAY($B3306,2)+1,"")</f>
        <v/>
      </c>
      <c r="I3306" s="24" t="n"/>
      <c r="J3306" s="22">
        <f t="array" ref="J3306">IF($D3306="","",IF($I3306="","(trống REF)",IFERROR(INDEX(MASTER_SOURCE!$B$2:$B$495,MATCH($I3306,MASTER_SOURCE!$A$2:$A$495,0)),"(REF không có trong MASTER_SOURCE)")))</f>
        <v/>
      </c>
      <c r="K3306" s="22">
        <f t="array" ref="K3306">IF($D3306="","",IFERROR(INDEX(MASTER_SOURCE!$C$2:$C$495,MATCH($I3306,MASTER_SOURCE!$A$2:$A$495,0)),""))</f>
        <v/>
      </c>
      <c r="L3306" s="22">
        <f t="array" ref="L3306">IF($D3306="","",IFERROR(INDEX(MASTER_SOURCE!$D$2:$D$495,MATCH($I3306,MASTER_SOURCE!$A$2:$A$495,0)),""))</f>
        <v/>
      </c>
      <c r="M3306" s="24" t="n"/>
      <c r="N3306" s="24" t="n"/>
      <c r="O3306" s="24" t="n"/>
      <c r="P3306" s="24" t="n"/>
      <c r="Q3306" s="22">
        <f>IF($D3306="","",IF(AND(OR(DANH_MUC!$L$5&lt;&gt;"Có",M3306="Có"),OR(DANH_MUC!$L$6&lt;&gt;"Có",N3306="Có"),OR(DANH_MUC!$L$7&lt;&gt;"Có",O3306="Có"),OR(DANH_MUC!$L$8&lt;&gt;"Có",P3306="Có")),"Có","Không"))</f>
        <v/>
      </c>
      <c r="R3306" s="22">
        <f>IF($D3306="","",IF(COUNTIF($D$2:$D3306,$D3306)&gt;1,"Trùng",""))</f>
        <v/>
      </c>
      <c r="S3306" s="22">
        <f>IF($D3306="","",IF(AND(LEN($D3306)=10,LEFT($D3306,1)="0",ISNUMBER(--$D3306)),"Có","Không"))</f>
        <v/>
      </c>
      <c r="T3306" s="22">
        <f>IF($D3306="","",IF(AND($C3306&lt;&gt;"",$Q3306="Có",$R3306="",$S3306="Có",AND($L3306&lt;&gt;"",OR($L3306&lt;&gt;"Chưa xác định",DANH_MUC!$L$9="Có"))),"Có","Không"))</f>
        <v/>
      </c>
      <c r="U3306" s="22">
        <f>IF(OR($D3306="",$T3306="Có"),"",IF($C3306="","Thiếu họ tên; ","")&amp;IF($S3306&lt;&gt;"Có","SĐT sai định dạng; ","")&amp;IF($R3306="Trùng","Trùng SĐT; ","")&amp;IF($Q3306&lt;&gt;"Có","Thiếu đồng ý bắt buộc; ","")&amp;IF($L3306="","Thiếu/sai Mã REF; ",IF(AND($L3306="Chưa xác định",DANH_MUC!$L$9&lt;&gt;"Có"),"Nguồn chưa xác định; ","")))</f>
        <v/>
      </c>
      <c r="V3306" s="22">
        <f>IF(OR($D3306="",$R3306="Trùng"),"",IF(COUNTIF(ORDERS!$C$2:$C$4995,$D3306)&gt;0,"Có","Không"))</f>
        <v/>
      </c>
      <c r="W3306" s="22">
        <f>IF(OR($D3306="",$R3306="Trùng"),"",COUNTIFS(ORDERS!$C$2:$C$4995,$D3306,ORDERS!$L$2:$L$4995,"Đã chuyển khoản"))</f>
        <v/>
      </c>
      <c r="X3306" s="23">
        <f>IF(OR($D3306="",$R3306="Trùng"),"",SUMIFS(ORDERS!$J$2:$J$4995,ORDERS!$C$2:$C$4995,$D3306,ORDERS!$L$2:$L$4995,"Đã chuyển khoản"))</f>
        <v/>
      </c>
      <c r="Y3306" s="24" t="n"/>
    </row>
    <row r="3307" ht="14.25" customHeight="1" s="40">
      <c r="A3307" s="24" t="n"/>
      <c r="B3307" s="27" t="n"/>
      <c r="C3307" s="24" t="n"/>
      <c r="D3307" s="28" t="n"/>
      <c r="E3307" s="29" t="n"/>
      <c r="F3307" s="24" t="n"/>
      <c r="G3307" s="24" t="n"/>
      <c r="H3307" s="21">
        <f>IF(ISNUMBER($B3307),INT($B3307)-WEEKDAY($B3307,2)+1,"")</f>
        <v/>
      </c>
      <c r="I3307" s="24" t="n"/>
      <c r="J3307" s="22">
        <f t="array" ref="J3307">IF($D3307="","",IF($I3307="","(trống REF)",IFERROR(INDEX(MASTER_SOURCE!$B$2:$B$495,MATCH($I3307,MASTER_SOURCE!$A$2:$A$495,0)),"(REF không có trong MASTER_SOURCE)")))</f>
        <v/>
      </c>
      <c r="K3307" s="22">
        <f t="array" ref="K3307">IF($D3307="","",IFERROR(INDEX(MASTER_SOURCE!$C$2:$C$495,MATCH($I3307,MASTER_SOURCE!$A$2:$A$495,0)),""))</f>
        <v/>
      </c>
      <c r="L3307" s="22">
        <f t="array" ref="L3307">IF($D3307="","",IFERROR(INDEX(MASTER_SOURCE!$D$2:$D$495,MATCH($I3307,MASTER_SOURCE!$A$2:$A$495,0)),""))</f>
        <v/>
      </c>
      <c r="M3307" s="24" t="n"/>
      <c r="N3307" s="24" t="n"/>
      <c r="O3307" s="24" t="n"/>
      <c r="P3307" s="24" t="n"/>
      <c r="Q3307" s="22">
        <f>IF($D3307="","",IF(AND(OR(DANH_MUC!$L$5&lt;&gt;"Có",M3307="Có"),OR(DANH_MUC!$L$6&lt;&gt;"Có",N3307="Có"),OR(DANH_MUC!$L$7&lt;&gt;"Có",O3307="Có"),OR(DANH_MUC!$L$8&lt;&gt;"Có",P3307="Có")),"Có","Không"))</f>
        <v/>
      </c>
      <c r="R3307" s="22">
        <f>IF($D3307="","",IF(COUNTIF($D$2:$D3307,$D3307)&gt;1,"Trùng",""))</f>
        <v/>
      </c>
      <c r="S3307" s="22">
        <f>IF($D3307="","",IF(AND(LEN($D3307)=10,LEFT($D3307,1)="0",ISNUMBER(--$D3307)),"Có","Không"))</f>
        <v/>
      </c>
      <c r="T3307" s="22">
        <f>IF($D3307="","",IF(AND($C3307&lt;&gt;"",$Q3307="Có",$R3307="",$S3307="Có",AND($L3307&lt;&gt;"",OR($L3307&lt;&gt;"Chưa xác định",DANH_MUC!$L$9="Có"))),"Có","Không"))</f>
        <v/>
      </c>
      <c r="U3307" s="22">
        <f>IF(OR($D3307="",$T3307="Có"),"",IF($C3307="","Thiếu họ tên; ","")&amp;IF($S3307&lt;&gt;"Có","SĐT sai định dạng; ","")&amp;IF($R3307="Trùng","Trùng SĐT; ","")&amp;IF($Q3307&lt;&gt;"Có","Thiếu đồng ý bắt buộc; ","")&amp;IF($L3307="","Thiếu/sai Mã REF; ",IF(AND($L3307="Chưa xác định",DANH_MUC!$L$9&lt;&gt;"Có"),"Nguồn chưa xác định; ","")))</f>
        <v/>
      </c>
      <c r="V3307" s="22">
        <f>IF(OR($D3307="",$R3307="Trùng"),"",IF(COUNTIF(ORDERS!$C$2:$C$4995,$D3307)&gt;0,"Có","Không"))</f>
        <v/>
      </c>
      <c r="W3307" s="22">
        <f>IF(OR($D3307="",$R3307="Trùng"),"",COUNTIFS(ORDERS!$C$2:$C$4995,$D3307,ORDERS!$L$2:$L$4995,"Đã chuyển khoản"))</f>
        <v/>
      </c>
      <c r="X3307" s="23">
        <f>IF(OR($D3307="",$R3307="Trùng"),"",SUMIFS(ORDERS!$J$2:$J$4995,ORDERS!$C$2:$C$4995,$D3307,ORDERS!$L$2:$L$4995,"Đã chuyển khoản"))</f>
        <v/>
      </c>
      <c r="Y3307" s="24" t="n"/>
    </row>
    <row r="3308" ht="14.25" customHeight="1" s="40">
      <c r="A3308" s="24" t="n"/>
      <c r="B3308" s="27" t="n"/>
      <c r="C3308" s="24" t="n"/>
      <c r="D3308" s="28" t="n"/>
      <c r="E3308" s="29" t="n"/>
      <c r="F3308" s="24" t="n"/>
      <c r="G3308" s="24" t="n"/>
      <c r="H3308" s="21">
        <f>IF(ISNUMBER($B3308),INT($B3308)-WEEKDAY($B3308,2)+1,"")</f>
        <v/>
      </c>
      <c r="I3308" s="24" t="n"/>
      <c r="J3308" s="22">
        <f t="array" ref="J3308">IF($D3308="","",IF($I3308="","(trống REF)",IFERROR(INDEX(MASTER_SOURCE!$B$2:$B$495,MATCH($I3308,MASTER_SOURCE!$A$2:$A$495,0)),"(REF không có trong MASTER_SOURCE)")))</f>
        <v/>
      </c>
      <c r="K3308" s="22">
        <f t="array" ref="K3308">IF($D3308="","",IFERROR(INDEX(MASTER_SOURCE!$C$2:$C$495,MATCH($I3308,MASTER_SOURCE!$A$2:$A$495,0)),""))</f>
        <v/>
      </c>
      <c r="L3308" s="22">
        <f t="array" ref="L3308">IF($D3308="","",IFERROR(INDEX(MASTER_SOURCE!$D$2:$D$495,MATCH($I3308,MASTER_SOURCE!$A$2:$A$495,0)),""))</f>
        <v/>
      </c>
      <c r="M3308" s="24" t="n"/>
      <c r="N3308" s="24" t="n"/>
      <c r="O3308" s="24" t="n"/>
      <c r="P3308" s="24" t="n"/>
      <c r="Q3308" s="22">
        <f>IF($D3308="","",IF(AND(OR(DANH_MUC!$L$5&lt;&gt;"Có",M3308="Có"),OR(DANH_MUC!$L$6&lt;&gt;"Có",N3308="Có"),OR(DANH_MUC!$L$7&lt;&gt;"Có",O3308="Có"),OR(DANH_MUC!$L$8&lt;&gt;"Có",P3308="Có")),"Có","Không"))</f>
        <v/>
      </c>
      <c r="R3308" s="22">
        <f>IF($D3308="","",IF(COUNTIF($D$2:$D3308,$D3308)&gt;1,"Trùng",""))</f>
        <v/>
      </c>
      <c r="S3308" s="22">
        <f>IF($D3308="","",IF(AND(LEN($D3308)=10,LEFT($D3308,1)="0",ISNUMBER(--$D3308)),"Có","Không"))</f>
        <v/>
      </c>
      <c r="T3308" s="22">
        <f>IF($D3308="","",IF(AND($C3308&lt;&gt;"",$Q3308="Có",$R3308="",$S3308="Có",AND($L3308&lt;&gt;"",OR($L3308&lt;&gt;"Chưa xác định",DANH_MUC!$L$9="Có"))),"Có","Không"))</f>
        <v/>
      </c>
      <c r="U3308" s="22">
        <f>IF(OR($D3308="",$T3308="Có"),"",IF($C3308="","Thiếu họ tên; ","")&amp;IF($S3308&lt;&gt;"Có","SĐT sai định dạng; ","")&amp;IF($R3308="Trùng","Trùng SĐT; ","")&amp;IF($Q3308&lt;&gt;"Có","Thiếu đồng ý bắt buộc; ","")&amp;IF($L3308="","Thiếu/sai Mã REF; ",IF(AND($L3308="Chưa xác định",DANH_MUC!$L$9&lt;&gt;"Có"),"Nguồn chưa xác định; ","")))</f>
        <v/>
      </c>
      <c r="V3308" s="22">
        <f>IF(OR($D3308="",$R3308="Trùng"),"",IF(COUNTIF(ORDERS!$C$2:$C$4995,$D3308)&gt;0,"Có","Không"))</f>
        <v/>
      </c>
      <c r="W3308" s="22">
        <f>IF(OR($D3308="",$R3308="Trùng"),"",COUNTIFS(ORDERS!$C$2:$C$4995,$D3308,ORDERS!$L$2:$L$4995,"Đã chuyển khoản"))</f>
        <v/>
      </c>
      <c r="X3308" s="23">
        <f>IF(OR($D3308="",$R3308="Trùng"),"",SUMIFS(ORDERS!$J$2:$J$4995,ORDERS!$C$2:$C$4995,$D3308,ORDERS!$L$2:$L$4995,"Đã chuyển khoản"))</f>
        <v/>
      </c>
      <c r="Y3308" s="24" t="n"/>
    </row>
    <row r="3309" ht="14.25" customHeight="1" s="40">
      <c r="A3309" s="24" t="n"/>
      <c r="B3309" s="27" t="n"/>
      <c r="C3309" s="24" t="n"/>
      <c r="D3309" s="28" t="n"/>
      <c r="E3309" s="29" t="n"/>
      <c r="F3309" s="24" t="n"/>
      <c r="G3309" s="24" t="n"/>
      <c r="H3309" s="21">
        <f>IF(ISNUMBER($B3309),INT($B3309)-WEEKDAY($B3309,2)+1,"")</f>
        <v/>
      </c>
      <c r="I3309" s="24" t="n"/>
      <c r="J3309" s="22">
        <f t="array" ref="J3309">IF($D3309="","",IF($I3309="","(trống REF)",IFERROR(INDEX(MASTER_SOURCE!$B$2:$B$495,MATCH($I3309,MASTER_SOURCE!$A$2:$A$495,0)),"(REF không có trong MASTER_SOURCE)")))</f>
        <v/>
      </c>
      <c r="K3309" s="22">
        <f t="array" ref="K3309">IF($D3309="","",IFERROR(INDEX(MASTER_SOURCE!$C$2:$C$495,MATCH($I3309,MASTER_SOURCE!$A$2:$A$495,0)),""))</f>
        <v/>
      </c>
      <c r="L3309" s="22">
        <f t="array" ref="L3309">IF($D3309="","",IFERROR(INDEX(MASTER_SOURCE!$D$2:$D$495,MATCH($I3309,MASTER_SOURCE!$A$2:$A$495,0)),""))</f>
        <v/>
      </c>
      <c r="M3309" s="24" t="n"/>
      <c r="N3309" s="24" t="n"/>
      <c r="O3309" s="24" t="n"/>
      <c r="P3309" s="24" t="n"/>
      <c r="Q3309" s="22">
        <f>IF($D3309="","",IF(AND(OR(DANH_MUC!$L$5&lt;&gt;"Có",M3309="Có"),OR(DANH_MUC!$L$6&lt;&gt;"Có",N3309="Có"),OR(DANH_MUC!$L$7&lt;&gt;"Có",O3309="Có"),OR(DANH_MUC!$L$8&lt;&gt;"Có",P3309="Có")),"Có","Không"))</f>
        <v/>
      </c>
      <c r="R3309" s="22">
        <f>IF($D3309="","",IF(COUNTIF($D$2:$D3309,$D3309)&gt;1,"Trùng",""))</f>
        <v/>
      </c>
      <c r="S3309" s="22">
        <f>IF($D3309="","",IF(AND(LEN($D3309)=10,LEFT($D3309,1)="0",ISNUMBER(--$D3309)),"Có","Không"))</f>
        <v/>
      </c>
      <c r="T3309" s="22">
        <f>IF($D3309="","",IF(AND($C3309&lt;&gt;"",$Q3309="Có",$R3309="",$S3309="Có",AND($L3309&lt;&gt;"",OR($L3309&lt;&gt;"Chưa xác định",DANH_MUC!$L$9="Có"))),"Có","Không"))</f>
        <v/>
      </c>
      <c r="U3309" s="22">
        <f>IF(OR($D3309="",$T3309="Có"),"",IF($C3309="","Thiếu họ tên; ","")&amp;IF($S3309&lt;&gt;"Có","SĐT sai định dạng; ","")&amp;IF($R3309="Trùng","Trùng SĐT; ","")&amp;IF($Q3309&lt;&gt;"Có","Thiếu đồng ý bắt buộc; ","")&amp;IF($L3309="","Thiếu/sai Mã REF; ",IF(AND($L3309="Chưa xác định",DANH_MUC!$L$9&lt;&gt;"Có"),"Nguồn chưa xác định; ","")))</f>
        <v/>
      </c>
      <c r="V3309" s="22">
        <f>IF(OR($D3309="",$R3309="Trùng"),"",IF(COUNTIF(ORDERS!$C$2:$C$4995,$D3309)&gt;0,"Có","Không"))</f>
        <v/>
      </c>
      <c r="W3309" s="22">
        <f>IF(OR($D3309="",$R3309="Trùng"),"",COUNTIFS(ORDERS!$C$2:$C$4995,$D3309,ORDERS!$L$2:$L$4995,"Đã chuyển khoản"))</f>
        <v/>
      </c>
      <c r="X3309" s="23">
        <f>IF(OR($D3309="",$R3309="Trùng"),"",SUMIFS(ORDERS!$J$2:$J$4995,ORDERS!$C$2:$C$4995,$D3309,ORDERS!$L$2:$L$4995,"Đã chuyển khoản"))</f>
        <v/>
      </c>
      <c r="Y3309" s="24" t="n"/>
    </row>
    <row r="3310" ht="14.25" customHeight="1" s="40">
      <c r="A3310" s="24" t="n"/>
      <c r="B3310" s="27" t="n"/>
      <c r="C3310" s="24" t="n"/>
      <c r="D3310" s="28" t="n"/>
      <c r="E3310" s="29" t="n"/>
      <c r="F3310" s="24" t="n"/>
      <c r="G3310" s="24" t="n"/>
      <c r="H3310" s="21">
        <f>IF(ISNUMBER($B3310),INT($B3310)-WEEKDAY($B3310,2)+1,"")</f>
        <v/>
      </c>
      <c r="I3310" s="24" t="n"/>
      <c r="J3310" s="22">
        <f t="array" ref="J3310">IF($D3310="","",IF($I3310="","(trống REF)",IFERROR(INDEX(MASTER_SOURCE!$B$2:$B$495,MATCH($I3310,MASTER_SOURCE!$A$2:$A$495,0)),"(REF không có trong MASTER_SOURCE)")))</f>
        <v/>
      </c>
      <c r="K3310" s="22">
        <f t="array" ref="K3310">IF($D3310="","",IFERROR(INDEX(MASTER_SOURCE!$C$2:$C$495,MATCH($I3310,MASTER_SOURCE!$A$2:$A$495,0)),""))</f>
        <v/>
      </c>
      <c r="L3310" s="22">
        <f t="array" ref="L3310">IF($D3310="","",IFERROR(INDEX(MASTER_SOURCE!$D$2:$D$495,MATCH($I3310,MASTER_SOURCE!$A$2:$A$495,0)),""))</f>
        <v/>
      </c>
      <c r="M3310" s="24" t="n"/>
      <c r="N3310" s="24" t="n"/>
      <c r="O3310" s="24" t="n"/>
      <c r="P3310" s="24" t="n"/>
      <c r="Q3310" s="22">
        <f>IF($D3310="","",IF(AND(OR(DANH_MUC!$L$5&lt;&gt;"Có",M3310="Có"),OR(DANH_MUC!$L$6&lt;&gt;"Có",N3310="Có"),OR(DANH_MUC!$L$7&lt;&gt;"Có",O3310="Có"),OR(DANH_MUC!$L$8&lt;&gt;"Có",P3310="Có")),"Có","Không"))</f>
        <v/>
      </c>
      <c r="R3310" s="22">
        <f>IF($D3310="","",IF(COUNTIF($D$2:$D3310,$D3310)&gt;1,"Trùng",""))</f>
        <v/>
      </c>
      <c r="S3310" s="22">
        <f>IF($D3310="","",IF(AND(LEN($D3310)=10,LEFT($D3310,1)="0",ISNUMBER(--$D3310)),"Có","Không"))</f>
        <v/>
      </c>
      <c r="T3310" s="22">
        <f>IF($D3310="","",IF(AND($C3310&lt;&gt;"",$Q3310="Có",$R3310="",$S3310="Có",AND($L3310&lt;&gt;"",OR($L3310&lt;&gt;"Chưa xác định",DANH_MUC!$L$9="Có"))),"Có","Không"))</f>
        <v/>
      </c>
      <c r="U3310" s="22">
        <f>IF(OR($D3310="",$T3310="Có"),"",IF($C3310="","Thiếu họ tên; ","")&amp;IF($S3310&lt;&gt;"Có","SĐT sai định dạng; ","")&amp;IF($R3310="Trùng","Trùng SĐT; ","")&amp;IF($Q3310&lt;&gt;"Có","Thiếu đồng ý bắt buộc; ","")&amp;IF($L3310="","Thiếu/sai Mã REF; ",IF(AND($L3310="Chưa xác định",DANH_MUC!$L$9&lt;&gt;"Có"),"Nguồn chưa xác định; ","")))</f>
        <v/>
      </c>
      <c r="V3310" s="22">
        <f>IF(OR($D3310="",$R3310="Trùng"),"",IF(COUNTIF(ORDERS!$C$2:$C$4995,$D3310)&gt;0,"Có","Không"))</f>
        <v/>
      </c>
      <c r="W3310" s="22">
        <f>IF(OR($D3310="",$R3310="Trùng"),"",COUNTIFS(ORDERS!$C$2:$C$4995,$D3310,ORDERS!$L$2:$L$4995,"Đã chuyển khoản"))</f>
        <v/>
      </c>
      <c r="X3310" s="23">
        <f>IF(OR($D3310="",$R3310="Trùng"),"",SUMIFS(ORDERS!$J$2:$J$4995,ORDERS!$C$2:$C$4995,$D3310,ORDERS!$L$2:$L$4995,"Đã chuyển khoản"))</f>
        <v/>
      </c>
      <c r="Y3310" s="24" t="n"/>
    </row>
    <row r="3311" ht="14.25" customHeight="1" s="40">
      <c r="A3311" s="24" t="n"/>
      <c r="B3311" s="27" t="n"/>
      <c r="C3311" s="24" t="n"/>
      <c r="D3311" s="28" t="n"/>
      <c r="E3311" s="29" t="n"/>
      <c r="F3311" s="24" t="n"/>
      <c r="G3311" s="24" t="n"/>
      <c r="H3311" s="21">
        <f>IF(ISNUMBER($B3311),INT($B3311)-WEEKDAY($B3311,2)+1,"")</f>
        <v/>
      </c>
      <c r="I3311" s="24" t="n"/>
      <c r="J3311" s="22">
        <f t="array" ref="J3311">IF($D3311="","",IF($I3311="","(trống REF)",IFERROR(INDEX(MASTER_SOURCE!$B$2:$B$495,MATCH($I3311,MASTER_SOURCE!$A$2:$A$495,0)),"(REF không có trong MASTER_SOURCE)")))</f>
        <v/>
      </c>
      <c r="K3311" s="22">
        <f t="array" ref="K3311">IF($D3311="","",IFERROR(INDEX(MASTER_SOURCE!$C$2:$C$495,MATCH($I3311,MASTER_SOURCE!$A$2:$A$495,0)),""))</f>
        <v/>
      </c>
      <c r="L3311" s="22">
        <f t="array" ref="L3311">IF($D3311="","",IFERROR(INDEX(MASTER_SOURCE!$D$2:$D$495,MATCH($I3311,MASTER_SOURCE!$A$2:$A$495,0)),""))</f>
        <v/>
      </c>
      <c r="M3311" s="24" t="n"/>
      <c r="N3311" s="24" t="n"/>
      <c r="O3311" s="24" t="n"/>
      <c r="P3311" s="24" t="n"/>
      <c r="Q3311" s="22">
        <f>IF($D3311="","",IF(AND(OR(DANH_MUC!$L$5&lt;&gt;"Có",M3311="Có"),OR(DANH_MUC!$L$6&lt;&gt;"Có",N3311="Có"),OR(DANH_MUC!$L$7&lt;&gt;"Có",O3311="Có"),OR(DANH_MUC!$L$8&lt;&gt;"Có",P3311="Có")),"Có","Không"))</f>
        <v/>
      </c>
      <c r="R3311" s="22">
        <f>IF($D3311="","",IF(COUNTIF($D$2:$D3311,$D3311)&gt;1,"Trùng",""))</f>
        <v/>
      </c>
      <c r="S3311" s="22">
        <f>IF($D3311="","",IF(AND(LEN($D3311)=10,LEFT($D3311,1)="0",ISNUMBER(--$D3311)),"Có","Không"))</f>
        <v/>
      </c>
      <c r="T3311" s="22">
        <f>IF($D3311="","",IF(AND($C3311&lt;&gt;"",$Q3311="Có",$R3311="",$S3311="Có",AND($L3311&lt;&gt;"",OR($L3311&lt;&gt;"Chưa xác định",DANH_MUC!$L$9="Có"))),"Có","Không"))</f>
        <v/>
      </c>
      <c r="U3311" s="22">
        <f>IF(OR($D3311="",$T3311="Có"),"",IF($C3311="","Thiếu họ tên; ","")&amp;IF($S3311&lt;&gt;"Có","SĐT sai định dạng; ","")&amp;IF($R3311="Trùng","Trùng SĐT; ","")&amp;IF($Q3311&lt;&gt;"Có","Thiếu đồng ý bắt buộc; ","")&amp;IF($L3311="","Thiếu/sai Mã REF; ",IF(AND($L3311="Chưa xác định",DANH_MUC!$L$9&lt;&gt;"Có"),"Nguồn chưa xác định; ","")))</f>
        <v/>
      </c>
      <c r="V3311" s="22">
        <f>IF(OR($D3311="",$R3311="Trùng"),"",IF(COUNTIF(ORDERS!$C$2:$C$4995,$D3311)&gt;0,"Có","Không"))</f>
        <v/>
      </c>
      <c r="W3311" s="22">
        <f>IF(OR($D3311="",$R3311="Trùng"),"",COUNTIFS(ORDERS!$C$2:$C$4995,$D3311,ORDERS!$L$2:$L$4995,"Đã chuyển khoản"))</f>
        <v/>
      </c>
      <c r="X3311" s="23">
        <f>IF(OR($D3311="",$R3311="Trùng"),"",SUMIFS(ORDERS!$J$2:$J$4995,ORDERS!$C$2:$C$4995,$D3311,ORDERS!$L$2:$L$4995,"Đã chuyển khoản"))</f>
        <v/>
      </c>
      <c r="Y3311" s="24" t="n"/>
    </row>
    <row r="3312" ht="14.25" customHeight="1" s="40">
      <c r="A3312" s="24" t="n"/>
      <c r="B3312" s="27" t="n"/>
      <c r="C3312" s="24" t="n"/>
      <c r="D3312" s="28" t="n"/>
      <c r="E3312" s="29" t="n"/>
      <c r="F3312" s="24" t="n"/>
      <c r="G3312" s="24" t="n"/>
      <c r="H3312" s="21">
        <f>IF(ISNUMBER($B3312),INT($B3312)-WEEKDAY($B3312,2)+1,"")</f>
        <v/>
      </c>
      <c r="I3312" s="24" t="n"/>
      <c r="J3312" s="22">
        <f t="array" ref="J3312">IF($D3312="","",IF($I3312="","(trống REF)",IFERROR(INDEX(MASTER_SOURCE!$B$2:$B$495,MATCH($I3312,MASTER_SOURCE!$A$2:$A$495,0)),"(REF không có trong MASTER_SOURCE)")))</f>
        <v/>
      </c>
      <c r="K3312" s="22">
        <f t="array" ref="K3312">IF($D3312="","",IFERROR(INDEX(MASTER_SOURCE!$C$2:$C$495,MATCH($I3312,MASTER_SOURCE!$A$2:$A$495,0)),""))</f>
        <v/>
      </c>
      <c r="L3312" s="22">
        <f t="array" ref="L3312">IF($D3312="","",IFERROR(INDEX(MASTER_SOURCE!$D$2:$D$495,MATCH($I3312,MASTER_SOURCE!$A$2:$A$495,0)),""))</f>
        <v/>
      </c>
      <c r="M3312" s="24" t="n"/>
      <c r="N3312" s="24" t="n"/>
      <c r="O3312" s="24" t="n"/>
      <c r="P3312" s="24" t="n"/>
      <c r="Q3312" s="22">
        <f>IF($D3312="","",IF(AND(OR(DANH_MUC!$L$5&lt;&gt;"Có",M3312="Có"),OR(DANH_MUC!$L$6&lt;&gt;"Có",N3312="Có"),OR(DANH_MUC!$L$7&lt;&gt;"Có",O3312="Có"),OR(DANH_MUC!$L$8&lt;&gt;"Có",P3312="Có")),"Có","Không"))</f>
        <v/>
      </c>
      <c r="R3312" s="22">
        <f>IF($D3312="","",IF(COUNTIF($D$2:$D3312,$D3312)&gt;1,"Trùng",""))</f>
        <v/>
      </c>
      <c r="S3312" s="22">
        <f>IF($D3312="","",IF(AND(LEN($D3312)=10,LEFT($D3312,1)="0",ISNUMBER(--$D3312)),"Có","Không"))</f>
        <v/>
      </c>
      <c r="T3312" s="22">
        <f>IF($D3312="","",IF(AND($C3312&lt;&gt;"",$Q3312="Có",$R3312="",$S3312="Có",AND($L3312&lt;&gt;"",OR($L3312&lt;&gt;"Chưa xác định",DANH_MUC!$L$9="Có"))),"Có","Không"))</f>
        <v/>
      </c>
      <c r="U3312" s="22">
        <f>IF(OR($D3312="",$T3312="Có"),"",IF($C3312="","Thiếu họ tên; ","")&amp;IF($S3312&lt;&gt;"Có","SĐT sai định dạng; ","")&amp;IF($R3312="Trùng","Trùng SĐT; ","")&amp;IF($Q3312&lt;&gt;"Có","Thiếu đồng ý bắt buộc; ","")&amp;IF($L3312="","Thiếu/sai Mã REF; ",IF(AND($L3312="Chưa xác định",DANH_MUC!$L$9&lt;&gt;"Có"),"Nguồn chưa xác định; ","")))</f>
        <v/>
      </c>
      <c r="V3312" s="22">
        <f>IF(OR($D3312="",$R3312="Trùng"),"",IF(COUNTIF(ORDERS!$C$2:$C$4995,$D3312)&gt;0,"Có","Không"))</f>
        <v/>
      </c>
      <c r="W3312" s="22">
        <f>IF(OR($D3312="",$R3312="Trùng"),"",COUNTIFS(ORDERS!$C$2:$C$4995,$D3312,ORDERS!$L$2:$L$4995,"Đã chuyển khoản"))</f>
        <v/>
      </c>
      <c r="X3312" s="23">
        <f>IF(OR($D3312="",$R3312="Trùng"),"",SUMIFS(ORDERS!$J$2:$J$4995,ORDERS!$C$2:$C$4995,$D3312,ORDERS!$L$2:$L$4995,"Đã chuyển khoản"))</f>
        <v/>
      </c>
      <c r="Y3312" s="24" t="n"/>
    </row>
    <row r="3313" ht="14.25" customHeight="1" s="40">
      <c r="A3313" s="24" t="n"/>
      <c r="B3313" s="27" t="n"/>
      <c r="C3313" s="24" t="n"/>
      <c r="D3313" s="28" t="n"/>
      <c r="E3313" s="29" t="n"/>
      <c r="F3313" s="24" t="n"/>
      <c r="G3313" s="24" t="n"/>
      <c r="H3313" s="21">
        <f>IF(ISNUMBER($B3313),INT($B3313)-WEEKDAY($B3313,2)+1,"")</f>
        <v/>
      </c>
      <c r="I3313" s="24" t="n"/>
      <c r="J3313" s="22">
        <f t="array" ref="J3313">IF($D3313="","",IF($I3313="","(trống REF)",IFERROR(INDEX(MASTER_SOURCE!$B$2:$B$495,MATCH($I3313,MASTER_SOURCE!$A$2:$A$495,0)),"(REF không có trong MASTER_SOURCE)")))</f>
        <v/>
      </c>
      <c r="K3313" s="22">
        <f t="array" ref="K3313">IF($D3313="","",IFERROR(INDEX(MASTER_SOURCE!$C$2:$C$495,MATCH($I3313,MASTER_SOURCE!$A$2:$A$495,0)),""))</f>
        <v/>
      </c>
      <c r="L3313" s="22">
        <f t="array" ref="L3313">IF($D3313="","",IFERROR(INDEX(MASTER_SOURCE!$D$2:$D$495,MATCH($I3313,MASTER_SOURCE!$A$2:$A$495,0)),""))</f>
        <v/>
      </c>
      <c r="M3313" s="24" t="n"/>
      <c r="N3313" s="24" t="n"/>
      <c r="O3313" s="24" t="n"/>
      <c r="P3313" s="24" t="n"/>
      <c r="Q3313" s="22">
        <f>IF($D3313="","",IF(AND(OR(DANH_MUC!$L$5&lt;&gt;"Có",M3313="Có"),OR(DANH_MUC!$L$6&lt;&gt;"Có",N3313="Có"),OR(DANH_MUC!$L$7&lt;&gt;"Có",O3313="Có"),OR(DANH_MUC!$L$8&lt;&gt;"Có",P3313="Có")),"Có","Không"))</f>
        <v/>
      </c>
      <c r="R3313" s="22">
        <f>IF($D3313="","",IF(COUNTIF($D$2:$D3313,$D3313)&gt;1,"Trùng",""))</f>
        <v/>
      </c>
      <c r="S3313" s="22">
        <f>IF($D3313="","",IF(AND(LEN($D3313)=10,LEFT($D3313,1)="0",ISNUMBER(--$D3313)),"Có","Không"))</f>
        <v/>
      </c>
      <c r="T3313" s="22">
        <f>IF($D3313="","",IF(AND($C3313&lt;&gt;"",$Q3313="Có",$R3313="",$S3313="Có",AND($L3313&lt;&gt;"",OR($L3313&lt;&gt;"Chưa xác định",DANH_MUC!$L$9="Có"))),"Có","Không"))</f>
        <v/>
      </c>
      <c r="U3313" s="22">
        <f>IF(OR($D3313="",$T3313="Có"),"",IF($C3313="","Thiếu họ tên; ","")&amp;IF($S3313&lt;&gt;"Có","SĐT sai định dạng; ","")&amp;IF($R3313="Trùng","Trùng SĐT; ","")&amp;IF($Q3313&lt;&gt;"Có","Thiếu đồng ý bắt buộc; ","")&amp;IF($L3313="","Thiếu/sai Mã REF; ",IF(AND($L3313="Chưa xác định",DANH_MUC!$L$9&lt;&gt;"Có"),"Nguồn chưa xác định; ","")))</f>
        <v/>
      </c>
      <c r="V3313" s="22">
        <f>IF(OR($D3313="",$R3313="Trùng"),"",IF(COUNTIF(ORDERS!$C$2:$C$4995,$D3313)&gt;0,"Có","Không"))</f>
        <v/>
      </c>
      <c r="W3313" s="22">
        <f>IF(OR($D3313="",$R3313="Trùng"),"",COUNTIFS(ORDERS!$C$2:$C$4995,$D3313,ORDERS!$L$2:$L$4995,"Đã chuyển khoản"))</f>
        <v/>
      </c>
      <c r="X3313" s="23">
        <f>IF(OR($D3313="",$R3313="Trùng"),"",SUMIFS(ORDERS!$J$2:$J$4995,ORDERS!$C$2:$C$4995,$D3313,ORDERS!$L$2:$L$4995,"Đã chuyển khoản"))</f>
        <v/>
      </c>
      <c r="Y3313" s="24" t="n"/>
    </row>
    <row r="3314" ht="14.25" customHeight="1" s="40">
      <c r="A3314" s="24" t="n"/>
      <c r="B3314" s="27" t="n"/>
      <c r="C3314" s="24" t="n"/>
      <c r="D3314" s="28" t="n"/>
      <c r="E3314" s="29" t="n"/>
      <c r="F3314" s="24" t="n"/>
      <c r="G3314" s="24" t="n"/>
      <c r="H3314" s="21">
        <f>IF(ISNUMBER($B3314),INT($B3314)-WEEKDAY($B3314,2)+1,"")</f>
        <v/>
      </c>
      <c r="I3314" s="24" t="n"/>
      <c r="J3314" s="22">
        <f t="array" ref="J3314">IF($D3314="","",IF($I3314="","(trống REF)",IFERROR(INDEX(MASTER_SOURCE!$B$2:$B$495,MATCH($I3314,MASTER_SOURCE!$A$2:$A$495,0)),"(REF không có trong MASTER_SOURCE)")))</f>
        <v/>
      </c>
      <c r="K3314" s="22">
        <f t="array" ref="K3314">IF($D3314="","",IFERROR(INDEX(MASTER_SOURCE!$C$2:$C$495,MATCH($I3314,MASTER_SOURCE!$A$2:$A$495,0)),""))</f>
        <v/>
      </c>
      <c r="L3314" s="22">
        <f t="array" ref="L3314">IF($D3314="","",IFERROR(INDEX(MASTER_SOURCE!$D$2:$D$495,MATCH($I3314,MASTER_SOURCE!$A$2:$A$495,0)),""))</f>
        <v/>
      </c>
      <c r="M3314" s="24" t="n"/>
      <c r="N3314" s="24" t="n"/>
      <c r="O3314" s="24" t="n"/>
      <c r="P3314" s="24" t="n"/>
      <c r="Q3314" s="22">
        <f>IF($D3314="","",IF(AND(OR(DANH_MUC!$L$5&lt;&gt;"Có",M3314="Có"),OR(DANH_MUC!$L$6&lt;&gt;"Có",N3314="Có"),OR(DANH_MUC!$L$7&lt;&gt;"Có",O3314="Có"),OR(DANH_MUC!$L$8&lt;&gt;"Có",P3314="Có")),"Có","Không"))</f>
        <v/>
      </c>
      <c r="R3314" s="22">
        <f>IF($D3314="","",IF(COUNTIF($D$2:$D3314,$D3314)&gt;1,"Trùng",""))</f>
        <v/>
      </c>
      <c r="S3314" s="22">
        <f>IF($D3314="","",IF(AND(LEN($D3314)=10,LEFT($D3314,1)="0",ISNUMBER(--$D3314)),"Có","Không"))</f>
        <v/>
      </c>
      <c r="T3314" s="22">
        <f>IF($D3314="","",IF(AND($C3314&lt;&gt;"",$Q3314="Có",$R3314="",$S3314="Có",AND($L3314&lt;&gt;"",OR($L3314&lt;&gt;"Chưa xác định",DANH_MUC!$L$9="Có"))),"Có","Không"))</f>
        <v/>
      </c>
      <c r="U3314" s="22">
        <f>IF(OR($D3314="",$T3314="Có"),"",IF($C3314="","Thiếu họ tên; ","")&amp;IF($S3314&lt;&gt;"Có","SĐT sai định dạng; ","")&amp;IF($R3314="Trùng","Trùng SĐT; ","")&amp;IF($Q3314&lt;&gt;"Có","Thiếu đồng ý bắt buộc; ","")&amp;IF($L3314="","Thiếu/sai Mã REF; ",IF(AND($L3314="Chưa xác định",DANH_MUC!$L$9&lt;&gt;"Có"),"Nguồn chưa xác định; ","")))</f>
        <v/>
      </c>
      <c r="V3314" s="22">
        <f>IF(OR($D3314="",$R3314="Trùng"),"",IF(COUNTIF(ORDERS!$C$2:$C$4995,$D3314)&gt;0,"Có","Không"))</f>
        <v/>
      </c>
      <c r="W3314" s="22">
        <f>IF(OR($D3314="",$R3314="Trùng"),"",COUNTIFS(ORDERS!$C$2:$C$4995,$D3314,ORDERS!$L$2:$L$4995,"Đã chuyển khoản"))</f>
        <v/>
      </c>
      <c r="X3314" s="23">
        <f>IF(OR($D3314="",$R3314="Trùng"),"",SUMIFS(ORDERS!$J$2:$J$4995,ORDERS!$C$2:$C$4995,$D3314,ORDERS!$L$2:$L$4995,"Đã chuyển khoản"))</f>
        <v/>
      </c>
      <c r="Y3314" s="24" t="n"/>
    </row>
    <row r="3315" ht="14.25" customHeight="1" s="40">
      <c r="A3315" s="24" t="n"/>
      <c r="B3315" s="27" t="n"/>
      <c r="C3315" s="24" t="n"/>
      <c r="D3315" s="28" t="n"/>
      <c r="E3315" s="29" t="n"/>
      <c r="F3315" s="24" t="n"/>
      <c r="G3315" s="24" t="n"/>
      <c r="H3315" s="21">
        <f>IF(ISNUMBER($B3315),INT($B3315)-WEEKDAY($B3315,2)+1,"")</f>
        <v/>
      </c>
      <c r="I3315" s="24" t="n"/>
      <c r="J3315" s="22">
        <f t="array" ref="J3315">IF($D3315="","",IF($I3315="","(trống REF)",IFERROR(INDEX(MASTER_SOURCE!$B$2:$B$495,MATCH($I3315,MASTER_SOURCE!$A$2:$A$495,0)),"(REF không có trong MASTER_SOURCE)")))</f>
        <v/>
      </c>
      <c r="K3315" s="22">
        <f t="array" ref="K3315">IF($D3315="","",IFERROR(INDEX(MASTER_SOURCE!$C$2:$C$495,MATCH($I3315,MASTER_SOURCE!$A$2:$A$495,0)),""))</f>
        <v/>
      </c>
      <c r="L3315" s="22">
        <f t="array" ref="L3315">IF($D3315="","",IFERROR(INDEX(MASTER_SOURCE!$D$2:$D$495,MATCH($I3315,MASTER_SOURCE!$A$2:$A$495,0)),""))</f>
        <v/>
      </c>
      <c r="M3315" s="24" t="n"/>
      <c r="N3315" s="24" t="n"/>
      <c r="O3315" s="24" t="n"/>
      <c r="P3315" s="24" t="n"/>
      <c r="Q3315" s="22">
        <f>IF($D3315="","",IF(AND(OR(DANH_MUC!$L$5&lt;&gt;"Có",M3315="Có"),OR(DANH_MUC!$L$6&lt;&gt;"Có",N3315="Có"),OR(DANH_MUC!$L$7&lt;&gt;"Có",O3315="Có"),OR(DANH_MUC!$L$8&lt;&gt;"Có",P3315="Có")),"Có","Không"))</f>
        <v/>
      </c>
      <c r="R3315" s="22">
        <f>IF($D3315="","",IF(COUNTIF($D$2:$D3315,$D3315)&gt;1,"Trùng",""))</f>
        <v/>
      </c>
      <c r="S3315" s="22">
        <f>IF($D3315="","",IF(AND(LEN($D3315)=10,LEFT($D3315,1)="0",ISNUMBER(--$D3315)),"Có","Không"))</f>
        <v/>
      </c>
      <c r="T3315" s="22">
        <f>IF($D3315="","",IF(AND($C3315&lt;&gt;"",$Q3315="Có",$R3315="",$S3315="Có",AND($L3315&lt;&gt;"",OR($L3315&lt;&gt;"Chưa xác định",DANH_MUC!$L$9="Có"))),"Có","Không"))</f>
        <v/>
      </c>
      <c r="U3315" s="22">
        <f>IF(OR($D3315="",$T3315="Có"),"",IF($C3315="","Thiếu họ tên; ","")&amp;IF($S3315&lt;&gt;"Có","SĐT sai định dạng; ","")&amp;IF($R3315="Trùng","Trùng SĐT; ","")&amp;IF($Q3315&lt;&gt;"Có","Thiếu đồng ý bắt buộc; ","")&amp;IF($L3315="","Thiếu/sai Mã REF; ",IF(AND($L3315="Chưa xác định",DANH_MUC!$L$9&lt;&gt;"Có"),"Nguồn chưa xác định; ","")))</f>
        <v/>
      </c>
      <c r="V3315" s="22">
        <f>IF(OR($D3315="",$R3315="Trùng"),"",IF(COUNTIF(ORDERS!$C$2:$C$4995,$D3315)&gt;0,"Có","Không"))</f>
        <v/>
      </c>
      <c r="W3315" s="22">
        <f>IF(OR($D3315="",$R3315="Trùng"),"",COUNTIFS(ORDERS!$C$2:$C$4995,$D3315,ORDERS!$L$2:$L$4995,"Đã chuyển khoản"))</f>
        <v/>
      </c>
      <c r="X3315" s="23">
        <f>IF(OR($D3315="",$R3315="Trùng"),"",SUMIFS(ORDERS!$J$2:$J$4995,ORDERS!$C$2:$C$4995,$D3315,ORDERS!$L$2:$L$4995,"Đã chuyển khoản"))</f>
        <v/>
      </c>
      <c r="Y3315" s="24" t="n"/>
    </row>
    <row r="3316" ht="14.25" customHeight="1" s="40">
      <c r="A3316" s="24" t="n"/>
      <c r="B3316" s="27" t="n"/>
      <c r="C3316" s="24" t="n"/>
      <c r="D3316" s="28" t="n"/>
      <c r="E3316" s="29" t="n"/>
      <c r="F3316" s="24" t="n"/>
      <c r="G3316" s="24" t="n"/>
      <c r="H3316" s="21">
        <f>IF(ISNUMBER($B3316),INT($B3316)-WEEKDAY($B3316,2)+1,"")</f>
        <v/>
      </c>
      <c r="I3316" s="24" t="n"/>
      <c r="J3316" s="22">
        <f t="array" ref="J3316">IF($D3316="","",IF($I3316="","(trống REF)",IFERROR(INDEX(MASTER_SOURCE!$B$2:$B$495,MATCH($I3316,MASTER_SOURCE!$A$2:$A$495,0)),"(REF không có trong MASTER_SOURCE)")))</f>
        <v/>
      </c>
      <c r="K3316" s="22">
        <f t="array" ref="K3316">IF($D3316="","",IFERROR(INDEX(MASTER_SOURCE!$C$2:$C$495,MATCH($I3316,MASTER_SOURCE!$A$2:$A$495,0)),""))</f>
        <v/>
      </c>
      <c r="L3316" s="22">
        <f t="array" ref="L3316">IF($D3316="","",IFERROR(INDEX(MASTER_SOURCE!$D$2:$D$495,MATCH($I3316,MASTER_SOURCE!$A$2:$A$495,0)),""))</f>
        <v/>
      </c>
      <c r="M3316" s="24" t="n"/>
      <c r="N3316" s="24" t="n"/>
      <c r="O3316" s="24" t="n"/>
      <c r="P3316" s="24" t="n"/>
      <c r="Q3316" s="22">
        <f>IF($D3316="","",IF(AND(OR(DANH_MUC!$L$5&lt;&gt;"Có",M3316="Có"),OR(DANH_MUC!$L$6&lt;&gt;"Có",N3316="Có"),OR(DANH_MUC!$L$7&lt;&gt;"Có",O3316="Có"),OR(DANH_MUC!$L$8&lt;&gt;"Có",P3316="Có")),"Có","Không"))</f>
        <v/>
      </c>
      <c r="R3316" s="22">
        <f>IF($D3316="","",IF(COUNTIF($D$2:$D3316,$D3316)&gt;1,"Trùng",""))</f>
        <v/>
      </c>
      <c r="S3316" s="22">
        <f>IF($D3316="","",IF(AND(LEN($D3316)=10,LEFT($D3316,1)="0",ISNUMBER(--$D3316)),"Có","Không"))</f>
        <v/>
      </c>
      <c r="T3316" s="22">
        <f>IF($D3316="","",IF(AND($C3316&lt;&gt;"",$Q3316="Có",$R3316="",$S3316="Có",AND($L3316&lt;&gt;"",OR($L3316&lt;&gt;"Chưa xác định",DANH_MUC!$L$9="Có"))),"Có","Không"))</f>
        <v/>
      </c>
      <c r="U3316" s="22">
        <f>IF(OR($D3316="",$T3316="Có"),"",IF($C3316="","Thiếu họ tên; ","")&amp;IF($S3316&lt;&gt;"Có","SĐT sai định dạng; ","")&amp;IF($R3316="Trùng","Trùng SĐT; ","")&amp;IF($Q3316&lt;&gt;"Có","Thiếu đồng ý bắt buộc; ","")&amp;IF($L3316="","Thiếu/sai Mã REF; ",IF(AND($L3316="Chưa xác định",DANH_MUC!$L$9&lt;&gt;"Có"),"Nguồn chưa xác định; ","")))</f>
        <v/>
      </c>
      <c r="V3316" s="22">
        <f>IF(OR($D3316="",$R3316="Trùng"),"",IF(COUNTIF(ORDERS!$C$2:$C$4995,$D3316)&gt;0,"Có","Không"))</f>
        <v/>
      </c>
      <c r="W3316" s="22">
        <f>IF(OR($D3316="",$R3316="Trùng"),"",COUNTIFS(ORDERS!$C$2:$C$4995,$D3316,ORDERS!$L$2:$L$4995,"Đã chuyển khoản"))</f>
        <v/>
      </c>
      <c r="X3316" s="23">
        <f>IF(OR($D3316="",$R3316="Trùng"),"",SUMIFS(ORDERS!$J$2:$J$4995,ORDERS!$C$2:$C$4995,$D3316,ORDERS!$L$2:$L$4995,"Đã chuyển khoản"))</f>
        <v/>
      </c>
      <c r="Y3316" s="24" t="n"/>
    </row>
    <row r="3317" ht="14.25" customHeight="1" s="40">
      <c r="A3317" s="24" t="n"/>
      <c r="B3317" s="27" t="n"/>
      <c r="C3317" s="24" t="n"/>
      <c r="D3317" s="28" t="n"/>
      <c r="E3317" s="29" t="n"/>
      <c r="F3317" s="24" t="n"/>
      <c r="G3317" s="24" t="n"/>
      <c r="H3317" s="21">
        <f>IF(ISNUMBER($B3317),INT($B3317)-WEEKDAY($B3317,2)+1,"")</f>
        <v/>
      </c>
      <c r="I3317" s="24" t="n"/>
      <c r="J3317" s="22">
        <f t="array" ref="J3317">IF($D3317="","",IF($I3317="","(trống REF)",IFERROR(INDEX(MASTER_SOURCE!$B$2:$B$495,MATCH($I3317,MASTER_SOURCE!$A$2:$A$495,0)),"(REF không có trong MASTER_SOURCE)")))</f>
        <v/>
      </c>
      <c r="K3317" s="22">
        <f t="array" ref="K3317">IF($D3317="","",IFERROR(INDEX(MASTER_SOURCE!$C$2:$C$495,MATCH($I3317,MASTER_SOURCE!$A$2:$A$495,0)),""))</f>
        <v/>
      </c>
      <c r="L3317" s="22">
        <f t="array" ref="L3317">IF($D3317="","",IFERROR(INDEX(MASTER_SOURCE!$D$2:$D$495,MATCH($I3317,MASTER_SOURCE!$A$2:$A$495,0)),""))</f>
        <v/>
      </c>
      <c r="M3317" s="24" t="n"/>
      <c r="N3317" s="24" t="n"/>
      <c r="O3317" s="24" t="n"/>
      <c r="P3317" s="24" t="n"/>
      <c r="Q3317" s="22">
        <f>IF($D3317="","",IF(AND(OR(DANH_MUC!$L$5&lt;&gt;"Có",M3317="Có"),OR(DANH_MUC!$L$6&lt;&gt;"Có",N3317="Có"),OR(DANH_MUC!$L$7&lt;&gt;"Có",O3317="Có"),OR(DANH_MUC!$L$8&lt;&gt;"Có",P3317="Có")),"Có","Không"))</f>
        <v/>
      </c>
      <c r="R3317" s="22">
        <f>IF($D3317="","",IF(COUNTIF($D$2:$D3317,$D3317)&gt;1,"Trùng",""))</f>
        <v/>
      </c>
      <c r="S3317" s="22">
        <f>IF($D3317="","",IF(AND(LEN($D3317)=10,LEFT($D3317,1)="0",ISNUMBER(--$D3317)),"Có","Không"))</f>
        <v/>
      </c>
      <c r="T3317" s="22">
        <f>IF($D3317="","",IF(AND($C3317&lt;&gt;"",$Q3317="Có",$R3317="",$S3317="Có",AND($L3317&lt;&gt;"",OR($L3317&lt;&gt;"Chưa xác định",DANH_MUC!$L$9="Có"))),"Có","Không"))</f>
        <v/>
      </c>
      <c r="U3317" s="22">
        <f>IF(OR($D3317="",$T3317="Có"),"",IF($C3317="","Thiếu họ tên; ","")&amp;IF($S3317&lt;&gt;"Có","SĐT sai định dạng; ","")&amp;IF($R3317="Trùng","Trùng SĐT; ","")&amp;IF($Q3317&lt;&gt;"Có","Thiếu đồng ý bắt buộc; ","")&amp;IF($L3317="","Thiếu/sai Mã REF; ",IF(AND($L3317="Chưa xác định",DANH_MUC!$L$9&lt;&gt;"Có"),"Nguồn chưa xác định; ","")))</f>
        <v/>
      </c>
      <c r="V3317" s="22">
        <f>IF(OR($D3317="",$R3317="Trùng"),"",IF(COUNTIF(ORDERS!$C$2:$C$4995,$D3317)&gt;0,"Có","Không"))</f>
        <v/>
      </c>
      <c r="W3317" s="22">
        <f>IF(OR($D3317="",$R3317="Trùng"),"",COUNTIFS(ORDERS!$C$2:$C$4995,$D3317,ORDERS!$L$2:$L$4995,"Đã chuyển khoản"))</f>
        <v/>
      </c>
      <c r="X3317" s="23">
        <f>IF(OR($D3317="",$R3317="Trùng"),"",SUMIFS(ORDERS!$J$2:$J$4995,ORDERS!$C$2:$C$4995,$D3317,ORDERS!$L$2:$L$4995,"Đã chuyển khoản"))</f>
        <v/>
      </c>
      <c r="Y3317" s="24" t="n"/>
    </row>
    <row r="3318" ht="14.25" customHeight="1" s="40">
      <c r="A3318" s="24" t="n"/>
      <c r="B3318" s="27" t="n"/>
      <c r="C3318" s="24" t="n"/>
      <c r="D3318" s="28" t="n"/>
      <c r="E3318" s="29" t="n"/>
      <c r="F3318" s="24" t="n"/>
      <c r="G3318" s="24" t="n"/>
      <c r="H3318" s="21">
        <f>IF(ISNUMBER($B3318),INT($B3318)-WEEKDAY($B3318,2)+1,"")</f>
        <v/>
      </c>
      <c r="I3318" s="24" t="n"/>
      <c r="J3318" s="22">
        <f t="array" ref="J3318">IF($D3318="","",IF($I3318="","(trống REF)",IFERROR(INDEX(MASTER_SOURCE!$B$2:$B$495,MATCH($I3318,MASTER_SOURCE!$A$2:$A$495,0)),"(REF không có trong MASTER_SOURCE)")))</f>
        <v/>
      </c>
      <c r="K3318" s="22">
        <f t="array" ref="K3318">IF($D3318="","",IFERROR(INDEX(MASTER_SOURCE!$C$2:$C$495,MATCH($I3318,MASTER_SOURCE!$A$2:$A$495,0)),""))</f>
        <v/>
      </c>
      <c r="L3318" s="22">
        <f t="array" ref="L3318">IF($D3318="","",IFERROR(INDEX(MASTER_SOURCE!$D$2:$D$495,MATCH($I3318,MASTER_SOURCE!$A$2:$A$495,0)),""))</f>
        <v/>
      </c>
      <c r="M3318" s="24" t="n"/>
      <c r="N3318" s="24" t="n"/>
      <c r="O3318" s="24" t="n"/>
      <c r="P3318" s="24" t="n"/>
      <c r="Q3318" s="22">
        <f>IF($D3318="","",IF(AND(OR(DANH_MUC!$L$5&lt;&gt;"Có",M3318="Có"),OR(DANH_MUC!$L$6&lt;&gt;"Có",N3318="Có"),OR(DANH_MUC!$L$7&lt;&gt;"Có",O3318="Có"),OR(DANH_MUC!$L$8&lt;&gt;"Có",P3318="Có")),"Có","Không"))</f>
        <v/>
      </c>
      <c r="R3318" s="22">
        <f>IF($D3318="","",IF(COUNTIF($D$2:$D3318,$D3318)&gt;1,"Trùng",""))</f>
        <v/>
      </c>
      <c r="S3318" s="22">
        <f>IF($D3318="","",IF(AND(LEN($D3318)=10,LEFT($D3318,1)="0",ISNUMBER(--$D3318)),"Có","Không"))</f>
        <v/>
      </c>
      <c r="T3318" s="22">
        <f>IF($D3318="","",IF(AND($C3318&lt;&gt;"",$Q3318="Có",$R3318="",$S3318="Có",AND($L3318&lt;&gt;"",OR($L3318&lt;&gt;"Chưa xác định",DANH_MUC!$L$9="Có"))),"Có","Không"))</f>
        <v/>
      </c>
      <c r="U3318" s="22">
        <f>IF(OR($D3318="",$T3318="Có"),"",IF($C3318="","Thiếu họ tên; ","")&amp;IF($S3318&lt;&gt;"Có","SĐT sai định dạng; ","")&amp;IF($R3318="Trùng","Trùng SĐT; ","")&amp;IF($Q3318&lt;&gt;"Có","Thiếu đồng ý bắt buộc; ","")&amp;IF($L3318="","Thiếu/sai Mã REF; ",IF(AND($L3318="Chưa xác định",DANH_MUC!$L$9&lt;&gt;"Có"),"Nguồn chưa xác định; ","")))</f>
        <v/>
      </c>
      <c r="V3318" s="22">
        <f>IF(OR($D3318="",$R3318="Trùng"),"",IF(COUNTIF(ORDERS!$C$2:$C$4995,$D3318)&gt;0,"Có","Không"))</f>
        <v/>
      </c>
      <c r="W3318" s="22">
        <f>IF(OR($D3318="",$R3318="Trùng"),"",COUNTIFS(ORDERS!$C$2:$C$4995,$D3318,ORDERS!$L$2:$L$4995,"Đã chuyển khoản"))</f>
        <v/>
      </c>
      <c r="X3318" s="23">
        <f>IF(OR($D3318="",$R3318="Trùng"),"",SUMIFS(ORDERS!$J$2:$J$4995,ORDERS!$C$2:$C$4995,$D3318,ORDERS!$L$2:$L$4995,"Đã chuyển khoản"))</f>
        <v/>
      </c>
      <c r="Y3318" s="24" t="n"/>
    </row>
    <row r="3319" ht="14.25" customHeight="1" s="40">
      <c r="A3319" s="24" t="n"/>
      <c r="B3319" s="27" t="n"/>
      <c r="C3319" s="24" t="n"/>
      <c r="D3319" s="28" t="n"/>
      <c r="E3319" s="29" t="n"/>
      <c r="F3319" s="24" t="n"/>
      <c r="G3319" s="24" t="n"/>
      <c r="H3319" s="21">
        <f>IF(ISNUMBER($B3319),INT($B3319)-WEEKDAY($B3319,2)+1,"")</f>
        <v/>
      </c>
      <c r="I3319" s="24" t="n"/>
      <c r="J3319" s="22">
        <f t="array" ref="J3319">IF($D3319="","",IF($I3319="","(trống REF)",IFERROR(INDEX(MASTER_SOURCE!$B$2:$B$495,MATCH($I3319,MASTER_SOURCE!$A$2:$A$495,0)),"(REF không có trong MASTER_SOURCE)")))</f>
        <v/>
      </c>
      <c r="K3319" s="22">
        <f t="array" ref="K3319">IF($D3319="","",IFERROR(INDEX(MASTER_SOURCE!$C$2:$C$495,MATCH($I3319,MASTER_SOURCE!$A$2:$A$495,0)),""))</f>
        <v/>
      </c>
      <c r="L3319" s="22">
        <f t="array" ref="L3319">IF($D3319="","",IFERROR(INDEX(MASTER_SOURCE!$D$2:$D$495,MATCH($I3319,MASTER_SOURCE!$A$2:$A$495,0)),""))</f>
        <v/>
      </c>
      <c r="M3319" s="24" t="n"/>
      <c r="N3319" s="24" t="n"/>
      <c r="O3319" s="24" t="n"/>
      <c r="P3319" s="24" t="n"/>
      <c r="Q3319" s="22">
        <f>IF($D3319="","",IF(AND(OR(DANH_MUC!$L$5&lt;&gt;"Có",M3319="Có"),OR(DANH_MUC!$L$6&lt;&gt;"Có",N3319="Có"),OR(DANH_MUC!$L$7&lt;&gt;"Có",O3319="Có"),OR(DANH_MUC!$L$8&lt;&gt;"Có",P3319="Có")),"Có","Không"))</f>
        <v/>
      </c>
      <c r="R3319" s="22">
        <f>IF($D3319="","",IF(COUNTIF($D$2:$D3319,$D3319)&gt;1,"Trùng",""))</f>
        <v/>
      </c>
      <c r="S3319" s="22">
        <f>IF($D3319="","",IF(AND(LEN($D3319)=10,LEFT($D3319,1)="0",ISNUMBER(--$D3319)),"Có","Không"))</f>
        <v/>
      </c>
      <c r="T3319" s="22">
        <f>IF($D3319="","",IF(AND($C3319&lt;&gt;"",$Q3319="Có",$R3319="",$S3319="Có",AND($L3319&lt;&gt;"",OR($L3319&lt;&gt;"Chưa xác định",DANH_MUC!$L$9="Có"))),"Có","Không"))</f>
        <v/>
      </c>
      <c r="U3319" s="22">
        <f>IF(OR($D3319="",$T3319="Có"),"",IF($C3319="","Thiếu họ tên; ","")&amp;IF($S3319&lt;&gt;"Có","SĐT sai định dạng; ","")&amp;IF($R3319="Trùng","Trùng SĐT; ","")&amp;IF($Q3319&lt;&gt;"Có","Thiếu đồng ý bắt buộc; ","")&amp;IF($L3319="","Thiếu/sai Mã REF; ",IF(AND($L3319="Chưa xác định",DANH_MUC!$L$9&lt;&gt;"Có"),"Nguồn chưa xác định; ","")))</f>
        <v/>
      </c>
      <c r="V3319" s="22">
        <f>IF(OR($D3319="",$R3319="Trùng"),"",IF(COUNTIF(ORDERS!$C$2:$C$4995,$D3319)&gt;0,"Có","Không"))</f>
        <v/>
      </c>
      <c r="W3319" s="22">
        <f>IF(OR($D3319="",$R3319="Trùng"),"",COUNTIFS(ORDERS!$C$2:$C$4995,$D3319,ORDERS!$L$2:$L$4995,"Đã chuyển khoản"))</f>
        <v/>
      </c>
      <c r="X3319" s="23">
        <f>IF(OR($D3319="",$R3319="Trùng"),"",SUMIFS(ORDERS!$J$2:$J$4995,ORDERS!$C$2:$C$4995,$D3319,ORDERS!$L$2:$L$4995,"Đã chuyển khoản"))</f>
        <v/>
      </c>
      <c r="Y3319" s="24" t="n"/>
    </row>
    <row r="3320" ht="14.25" customHeight="1" s="40">
      <c r="A3320" s="24" t="n"/>
      <c r="B3320" s="27" t="n"/>
      <c r="C3320" s="24" t="n"/>
      <c r="D3320" s="28" t="n"/>
      <c r="E3320" s="29" t="n"/>
      <c r="F3320" s="24" t="n"/>
      <c r="G3320" s="24" t="n"/>
      <c r="H3320" s="21">
        <f>IF(ISNUMBER($B3320),INT($B3320)-WEEKDAY($B3320,2)+1,"")</f>
        <v/>
      </c>
      <c r="I3320" s="24" t="n"/>
      <c r="J3320" s="22">
        <f t="array" ref="J3320">IF($D3320="","",IF($I3320="","(trống REF)",IFERROR(INDEX(MASTER_SOURCE!$B$2:$B$495,MATCH($I3320,MASTER_SOURCE!$A$2:$A$495,0)),"(REF không có trong MASTER_SOURCE)")))</f>
        <v/>
      </c>
      <c r="K3320" s="22">
        <f t="array" ref="K3320">IF($D3320="","",IFERROR(INDEX(MASTER_SOURCE!$C$2:$C$495,MATCH($I3320,MASTER_SOURCE!$A$2:$A$495,0)),""))</f>
        <v/>
      </c>
      <c r="L3320" s="22">
        <f t="array" ref="L3320">IF($D3320="","",IFERROR(INDEX(MASTER_SOURCE!$D$2:$D$495,MATCH($I3320,MASTER_SOURCE!$A$2:$A$495,0)),""))</f>
        <v/>
      </c>
      <c r="M3320" s="24" t="n"/>
      <c r="N3320" s="24" t="n"/>
      <c r="O3320" s="24" t="n"/>
      <c r="P3320" s="24" t="n"/>
      <c r="Q3320" s="22">
        <f>IF($D3320="","",IF(AND(OR(DANH_MUC!$L$5&lt;&gt;"Có",M3320="Có"),OR(DANH_MUC!$L$6&lt;&gt;"Có",N3320="Có"),OR(DANH_MUC!$L$7&lt;&gt;"Có",O3320="Có"),OR(DANH_MUC!$L$8&lt;&gt;"Có",P3320="Có")),"Có","Không"))</f>
        <v/>
      </c>
      <c r="R3320" s="22">
        <f>IF($D3320="","",IF(COUNTIF($D$2:$D3320,$D3320)&gt;1,"Trùng",""))</f>
        <v/>
      </c>
      <c r="S3320" s="22">
        <f>IF($D3320="","",IF(AND(LEN($D3320)=10,LEFT($D3320,1)="0",ISNUMBER(--$D3320)),"Có","Không"))</f>
        <v/>
      </c>
      <c r="T3320" s="22">
        <f>IF($D3320="","",IF(AND($C3320&lt;&gt;"",$Q3320="Có",$R3320="",$S3320="Có",AND($L3320&lt;&gt;"",OR($L3320&lt;&gt;"Chưa xác định",DANH_MUC!$L$9="Có"))),"Có","Không"))</f>
        <v/>
      </c>
      <c r="U3320" s="22">
        <f>IF(OR($D3320="",$T3320="Có"),"",IF($C3320="","Thiếu họ tên; ","")&amp;IF($S3320&lt;&gt;"Có","SĐT sai định dạng; ","")&amp;IF($R3320="Trùng","Trùng SĐT; ","")&amp;IF($Q3320&lt;&gt;"Có","Thiếu đồng ý bắt buộc; ","")&amp;IF($L3320="","Thiếu/sai Mã REF; ",IF(AND($L3320="Chưa xác định",DANH_MUC!$L$9&lt;&gt;"Có"),"Nguồn chưa xác định; ","")))</f>
        <v/>
      </c>
      <c r="V3320" s="22">
        <f>IF(OR($D3320="",$R3320="Trùng"),"",IF(COUNTIF(ORDERS!$C$2:$C$4995,$D3320)&gt;0,"Có","Không"))</f>
        <v/>
      </c>
      <c r="W3320" s="22">
        <f>IF(OR($D3320="",$R3320="Trùng"),"",COUNTIFS(ORDERS!$C$2:$C$4995,$D3320,ORDERS!$L$2:$L$4995,"Đã chuyển khoản"))</f>
        <v/>
      </c>
      <c r="X3320" s="23">
        <f>IF(OR($D3320="",$R3320="Trùng"),"",SUMIFS(ORDERS!$J$2:$J$4995,ORDERS!$C$2:$C$4995,$D3320,ORDERS!$L$2:$L$4995,"Đã chuyển khoản"))</f>
        <v/>
      </c>
      <c r="Y3320" s="24" t="n"/>
    </row>
    <row r="3321" ht="14.25" customHeight="1" s="40">
      <c r="A3321" s="24" t="n"/>
      <c r="B3321" s="27" t="n"/>
      <c r="C3321" s="24" t="n"/>
      <c r="D3321" s="28" t="n"/>
      <c r="E3321" s="29" t="n"/>
      <c r="F3321" s="24" t="n"/>
      <c r="G3321" s="24" t="n"/>
      <c r="H3321" s="21">
        <f>IF(ISNUMBER($B3321),INT($B3321)-WEEKDAY($B3321,2)+1,"")</f>
        <v/>
      </c>
      <c r="I3321" s="24" t="n"/>
      <c r="J3321" s="22">
        <f t="array" ref="J3321">IF($D3321="","",IF($I3321="","(trống REF)",IFERROR(INDEX(MASTER_SOURCE!$B$2:$B$495,MATCH($I3321,MASTER_SOURCE!$A$2:$A$495,0)),"(REF không có trong MASTER_SOURCE)")))</f>
        <v/>
      </c>
      <c r="K3321" s="22">
        <f t="array" ref="K3321">IF($D3321="","",IFERROR(INDEX(MASTER_SOURCE!$C$2:$C$495,MATCH($I3321,MASTER_SOURCE!$A$2:$A$495,0)),""))</f>
        <v/>
      </c>
      <c r="L3321" s="22">
        <f t="array" ref="L3321">IF($D3321="","",IFERROR(INDEX(MASTER_SOURCE!$D$2:$D$495,MATCH($I3321,MASTER_SOURCE!$A$2:$A$495,0)),""))</f>
        <v/>
      </c>
      <c r="M3321" s="24" t="n"/>
      <c r="N3321" s="24" t="n"/>
      <c r="O3321" s="24" t="n"/>
      <c r="P3321" s="24" t="n"/>
      <c r="Q3321" s="22">
        <f>IF($D3321="","",IF(AND(OR(DANH_MUC!$L$5&lt;&gt;"Có",M3321="Có"),OR(DANH_MUC!$L$6&lt;&gt;"Có",N3321="Có"),OR(DANH_MUC!$L$7&lt;&gt;"Có",O3321="Có"),OR(DANH_MUC!$L$8&lt;&gt;"Có",P3321="Có")),"Có","Không"))</f>
        <v/>
      </c>
      <c r="R3321" s="22">
        <f>IF($D3321="","",IF(COUNTIF($D$2:$D3321,$D3321)&gt;1,"Trùng",""))</f>
        <v/>
      </c>
      <c r="S3321" s="22">
        <f>IF($D3321="","",IF(AND(LEN($D3321)=10,LEFT($D3321,1)="0",ISNUMBER(--$D3321)),"Có","Không"))</f>
        <v/>
      </c>
      <c r="T3321" s="22">
        <f>IF($D3321="","",IF(AND($C3321&lt;&gt;"",$Q3321="Có",$R3321="",$S3321="Có",AND($L3321&lt;&gt;"",OR($L3321&lt;&gt;"Chưa xác định",DANH_MUC!$L$9="Có"))),"Có","Không"))</f>
        <v/>
      </c>
      <c r="U3321" s="22">
        <f>IF(OR($D3321="",$T3321="Có"),"",IF($C3321="","Thiếu họ tên; ","")&amp;IF($S3321&lt;&gt;"Có","SĐT sai định dạng; ","")&amp;IF($R3321="Trùng","Trùng SĐT; ","")&amp;IF($Q3321&lt;&gt;"Có","Thiếu đồng ý bắt buộc; ","")&amp;IF($L3321="","Thiếu/sai Mã REF; ",IF(AND($L3321="Chưa xác định",DANH_MUC!$L$9&lt;&gt;"Có"),"Nguồn chưa xác định; ","")))</f>
        <v/>
      </c>
      <c r="V3321" s="22">
        <f>IF(OR($D3321="",$R3321="Trùng"),"",IF(COUNTIF(ORDERS!$C$2:$C$4995,$D3321)&gt;0,"Có","Không"))</f>
        <v/>
      </c>
      <c r="W3321" s="22">
        <f>IF(OR($D3321="",$R3321="Trùng"),"",COUNTIFS(ORDERS!$C$2:$C$4995,$D3321,ORDERS!$L$2:$L$4995,"Đã chuyển khoản"))</f>
        <v/>
      </c>
      <c r="X3321" s="23">
        <f>IF(OR($D3321="",$R3321="Trùng"),"",SUMIFS(ORDERS!$J$2:$J$4995,ORDERS!$C$2:$C$4995,$D3321,ORDERS!$L$2:$L$4995,"Đã chuyển khoản"))</f>
        <v/>
      </c>
      <c r="Y3321" s="24" t="n"/>
    </row>
    <row r="3322" ht="14.25" customHeight="1" s="40">
      <c r="A3322" s="24" t="n"/>
      <c r="B3322" s="27" t="n"/>
      <c r="C3322" s="24" t="n"/>
      <c r="D3322" s="28" t="n"/>
      <c r="E3322" s="29" t="n"/>
      <c r="F3322" s="24" t="n"/>
      <c r="G3322" s="24" t="n"/>
      <c r="H3322" s="21">
        <f>IF(ISNUMBER($B3322),INT($B3322)-WEEKDAY($B3322,2)+1,"")</f>
        <v/>
      </c>
      <c r="I3322" s="24" t="n"/>
      <c r="J3322" s="22">
        <f t="array" ref="J3322">IF($D3322="","",IF($I3322="","(trống REF)",IFERROR(INDEX(MASTER_SOURCE!$B$2:$B$495,MATCH($I3322,MASTER_SOURCE!$A$2:$A$495,0)),"(REF không có trong MASTER_SOURCE)")))</f>
        <v/>
      </c>
      <c r="K3322" s="22">
        <f t="array" ref="K3322">IF($D3322="","",IFERROR(INDEX(MASTER_SOURCE!$C$2:$C$495,MATCH($I3322,MASTER_SOURCE!$A$2:$A$495,0)),""))</f>
        <v/>
      </c>
      <c r="L3322" s="22">
        <f t="array" ref="L3322">IF($D3322="","",IFERROR(INDEX(MASTER_SOURCE!$D$2:$D$495,MATCH($I3322,MASTER_SOURCE!$A$2:$A$495,0)),""))</f>
        <v/>
      </c>
      <c r="M3322" s="24" t="n"/>
      <c r="N3322" s="24" t="n"/>
      <c r="O3322" s="24" t="n"/>
      <c r="P3322" s="24" t="n"/>
      <c r="Q3322" s="22">
        <f>IF($D3322="","",IF(AND(OR(DANH_MUC!$L$5&lt;&gt;"Có",M3322="Có"),OR(DANH_MUC!$L$6&lt;&gt;"Có",N3322="Có"),OR(DANH_MUC!$L$7&lt;&gt;"Có",O3322="Có"),OR(DANH_MUC!$L$8&lt;&gt;"Có",P3322="Có")),"Có","Không"))</f>
        <v/>
      </c>
      <c r="R3322" s="22">
        <f>IF($D3322="","",IF(COUNTIF($D$2:$D3322,$D3322)&gt;1,"Trùng",""))</f>
        <v/>
      </c>
      <c r="S3322" s="22">
        <f>IF($D3322="","",IF(AND(LEN($D3322)=10,LEFT($D3322,1)="0",ISNUMBER(--$D3322)),"Có","Không"))</f>
        <v/>
      </c>
      <c r="T3322" s="22">
        <f>IF($D3322="","",IF(AND($C3322&lt;&gt;"",$Q3322="Có",$R3322="",$S3322="Có",AND($L3322&lt;&gt;"",OR($L3322&lt;&gt;"Chưa xác định",DANH_MUC!$L$9="Có"))),"Có","Không"))</f>
        <v/>
      </c>
      <c r="U3322" s="22">
        <f>IF(OR($D3322="",$T3322="Có"),"",IF($C3322="","Thiếu họ tên; ","")&amp;IF($S3322&lt;&gt;"Có","SĐT sai định dạng; ","")&amp;IF($R3322="Trùng","Trùng SĐT; ","")&amp;IF($Q3322&lt;&gt;"Có","Thiếu đồng ý bắt buộc; ","")&amp;IF($L3322="","Thiếu/sai Mã REF; ",IF(AND($L3322="Chưa xác định",DANH_MUC!$L$9&lt;&gt;"Có"),"Nguồn chưa xác định; ","")))</f>
        <v/>
      </c>
      <c r="V3322" s="22">
        <f>IF(OR($D3322="",$R3322="Trùng"),"",IF(COUNTIF(ORDERS!$C$2:$C$4995,$D3322)&gt;0,"Có","Không"))</f>
        <v/>
      </c>
      <c r="W3322" s="22">
        <f>IF(OR($D3322="",$R3322="Trùng"),"",COUNTIFS(ORDERS!$C$2:$C$4995,$D3322,ORDERS!$L$2:$L$4995,"Đã chuyển khoản"))</f>
        <v/>
      </c>
      <c r="X3322" s="23">
        <f>IF(OR($D3322="",$R3322="Trùng"),"",SUMIFS(ORDERS!$J$2:$J$4995,ORDERS!$C$2:$C$4995,$D3322,ORDERS!$L$2:$L$4995,"Đã chuyển khoản"))</f>
        <v/>
      </c>
      <c r="Y3322" s="24" t="n"/>
    </row>
    <row r="3323" ht="14.25" customHeight="1" s="40">
      <c r="A3323" s="24" t="n"/>
      <c r="B3323" s="27" t="n"/>
      <c r="C3323" s="24" t="n"/>
      <c r="D3323" s="28" t="n"/>
      <c r="E3323" s="29" t="n"/>
      <c r="F3323" s="24" t="n"/>
      <c r="G3323" s="24" t="n"/>
      <c r="H3323" s="21">
        <f>IF(ISNUMBER($B3323),INT($B3323)-WEEKDAY($B3323,2)+1,"")</f>
        <v/>
      </c>
      <c r="I3323" s="24" t="n"/>
      <c r="J3323" s="22">
        <f t="array" ref="J3323">IF($D3323="","",IF($I3323="","(trống REF)",IFERROR(INDEX(MASTER_SOURCE!$B$2:$B$495,MATCH($I3323,MASTER_SOURCE!$A$2:$A$495,0)),"(REF không có trong MASTER_SOURCE)")))</f>
        <v/>
      </c>
      <c r="K3323" s="22">
        <f t="array" ref="K3323">IF($D3323="","",IFERROR(INDEX(MASTER_SOURCE!$C$2:$C$495,MATCH($I3323,MASTER_SOURCE!$A$2:$A$495,0)),""))</f>
        <v/>
      </c>
      <c r="L3323" s="22">
        <f t="array" ref="L3323">IF($D3323="","",IFERROR(INDEX(MASTER_SOURCE!$D$2:$D$495,MATCH($I3323,MASTER_SOURCE!$A$2:$A$495,0)),""))</f>
        <v/>
      </c>
      <c r="M3323" s="24" t="n"/>
      <c r="N3323" s="24" t="n"/>
      <c r="O3323" s="24" t="n"/>
      <c r="P3323" s="24" t="n"/>
      <c r="Q3323" s="22">
        <f>IF($D3323="","",IF(AND(OR(DANH_MUC!$L$5&lt;&gt;"Có",M3323="Có"),OR(DANH_MUC!$L$6&lt;&gt;"Có",N3323="Có"),OR(DANH_MUC!$L$7&lt;&gt;"Có",O3323="Có"),OR(DANH_MUC!$L$8&lt;&gt;"Có",P3323="Có")),"Có","Không"))</f>
        <v/>
      </c>
      <c r="R3323" s="22">
        <f>IF($D3323="","",IF(COUNTIF($D$2:$D3323,$D3323)&gt;1,"Trùng",""))</f>
        <v/>
      </c>
      <c r="S3323" s="22">
        <f>IF($D3323="","",IF(AND(LEN($D3323)=10,LEFT($D3323,1)="0",ISNUMBER(--$D3323)),"Có","Không"))</f>
        <v/>
      </c>
      <c r="T3323" s="22">
        <f>IF($D3323="","",IF(AND($C3323&lt;&gt;"",$Q3323="Có",$R3323="",$S3323="Có",AND($L3323&lt;&gt;"",OR($L3323&lt;&gt;"Chưa xác định",DANH_MUC!$L$9="Có"))),"Có","Không"))</f>
        <v/>
      </c>
      <c r="U3323" s="22">
        <f>IF(OR($D3323="",$T3323="Có"),"",IF($C3323="","Thiếu họ tên; ","")&amp;IF($S3323&lt;&gt;"Có","SĐT sai định dạng; ","")&amp;IF($R3323="Trùng","Trùng SĐT; ","")&amp;IF($Q3323&lt;&gt;"Có","Thiếu đồng ý bắt buộc; ","")&amp;IF($L3323="","Thiếu/sai Mã REF; ",IF(AND($L3323="Chưa xác định",DANH_MUC!$L$9&lt;&gt;"Có"),"Nguồn chưa xác định; ","")))</f>
        <v/>
      </c>
      <c r="V3323" s="22">
        <f>IF(OR($D3323="",$R3323="Trùng"),"",IF(COUNTIF(ORDERS!$C$2:$C$4995,$D3323)&gt;0,"Có","Không"))</f>
        <v/>
      </c>
      <c r="W3323" s="22">
        <f>IF(OR($D3323="",$R3323="Trùng"),"",COUNTIFS(ORDERS!$C$2:$C$4995,$D3323,ORDERS!$L$2:$L$4995,"Đã chuyển khoản"))</f>
        <v/>
      </c>
      <c r="X3323" s="23">
        <f>IF(OR($D3323="",$R3323="Trùng"),"",SUMIFS(ORDERS!$J$2:$J$4995,ORDERS!$C$2:$C$4995,$D3323,ORDERS!$L$2:$L$4995,"Đã chuyển khoản"))</f>
        <v/>
      </c>
      <c r="Y3323" s="24" t="n"/>
    </row>
    <row r="3324" ht="14.25" customHeight="1" s="40">
      <c r="A3324" s="24" t="n"/>
      <c r="B3324" s="27" t="n"/>
      <c r="C3324" s="24" t="n"/>
      <c r="D3324" s="28" t="n"/>
      <c r="E3324" s="29" t="n"/>
      <c r="F3324" s="24" t="n"/>
      <c r="G3324" s="24" t="n"/>
      <c r="H3324" s="21">
        <f>IF(ISNUMBER($B3324),INT($B3324)-WEEKDAY($B3324,2)+1,"")</f>
        <v/>
      </c>
      <c r="I3324" s="24" t="n"/>
      <c r="J3324" s="22">
        <f t="array" ref="J3324">IF($D3324="","",IF($I3324="","(trống REF)",IFERROR(INDEX(MASTER_SOURCE!$B$2:$B$495,MATCH($I3324,MASTER_SOURCE!$A$2:$A$495,0)),"(REF không có trong MASTER_SOURCE)")))</f>
        <v/>
      </c>
      <c r="K3324" s="22">
        <f t="array" ref="K3324">IF($D3324="","",IFERROR(INDEX(MASTER_SOURCE!$C$2:$C$495,MATCH($I3324,MASTER_SOURCE!$A$2:$A$495,0)),""))</f>
        <v/>
      </c>
      <c r="L3324" s="22">
        <f t="array" ref="L3324">IF($D3324="","",IFERROR(INDEX(MASTER_SOURCE!$D$2:$D$495,MATCH($I3324,MASTER_SOURCE!$A$2:$A$495,0)),""))</f>
        <v/>
      </c>
      <c r="M3324" s="24" t="n"/>
      <c r="N3324" s="24" t="n"/>
      <c r="O3324" s="24" t="n"/>
      <c r="P3324" s="24" t="n"/>
      <c r="Q3324" s="22">
        <f>IF($D3324="","",IF(AND(OR(DANH_MUC!$L$5&lt;&gt;"Có",M3324="Có"),OR(DANH_MUC!$L$6&lt;&gt;"Có",N3324="Có"),OR(DANH_MUC!$L$7&lt;&gt;"Có",O3324="Có"),OR(DANH_MUC!$L$8&lt;&gt;"Có",P3324="Có")),"Có","Không"))</f>
        <v/>
      </c>
      <c r="R3324" s="22">
        <f>IF($D3324="","",IF(COUNTIF($D$2:$D3324,$D3324)&gt;1,"Trùng",""))</f>
        <v/>
      </c>
      <c r="S3324" s="22">
        <f>IF($D3324="","",IF(AND(LEN($D3324)=10,LEFT($D3324,1)="0",ISNUMBER(--$D3324)),"Có","Không"))</f>
        <v/>
      </c>
      <c r="T3324" s="22">
        <f>IF($D3324="","",IF(AND($C3324&lt;&gt;"",$Q3324="Có",$R3324="",$S3324="Có",AND($L3324&lt;&gt;"",OR($L3324&lt;&gt;"Chưa xác định",DANH_MUC!$L$9="Có"))),"Có","Không"))</f>
        <v/>
      </c>
      <c r="U3324" s="22">
        <f>IF(OR($D3324="",$T3324="Có"),"",IF($C3324="","Thiếu họ tên; ","")&amp;IF($S3324&lt;&gt;"Có","SĐT sai định dạng; ","")&amp;IF($R3324="Trùng","Trùng SĐT; ","")&amp;IF($Q3324&lt;&gt;"Có","Thiếu đồng ý bắt buộc; ","")&amp;IF($L3324="","Thiếu/sai Mã REF; ",IF(AND($L3324="Chưa xác định",DANH_MUC!$L$9&lt;&gt;"Có"),"Nguồn chưa xác định; ","")))</f>
        <v/>
      </c>
      <c r="V3324" s="22">
        <f>IF(OR($D3324="",$R3324="Trùng"),"",IF(COUNTIF(ORDERS!$C$2:$C$4995,$D3324)&gt;0,"Có","Không"))</f>
        <v/>
      </c>
      <c r="W3324" s="22">
        <f>IF(OR($D3324="",$R3324="Trùng"),"",COUNTIFS(ORDERS!$C$2:$C$4995,$D3324,ORDERS!$L$2:$L$4995,"Đã chuyển khoản"))</f>
        <v/>
      </c>
      <c r="X3324" s="23">
        <f>IF(OR($D3324="",$R3324="Trùng"),"",SUMIFS(ORDERS!$J$2:$J$4995,ORDERS!$C$2:$C$4995,$D3324,ORDERS!$L$2:$L$4995,"Đã chuyển khoản"))</f>
        <v/>
      </c>
      <c r="Y3324" s="24" t="n"/>
    </row>
    <row r="3325" ht="14.25" customHeight="1" s="40">
      <c r="A3325" s="24" t="n"/>
      <c r="B3325" s="27" t="n"/>
      <c r="C3325" s="24" t="n"/>
      <c r="D3325" s="28" t="n"/>
      <c r="E3325" s="29" t="n"/>
      <c r="F3325" s="24" t="n"/>
      <c r="G3325" s="24" t="n"/>
      <c r="H3325" s="21">
        <f>IF(ISNUMBER($B3325),INT($B3325)-WEEKDAY($B3325,2)+1,"")</f>
        <v/>
      </c>
      <c r="I3325" s="24" t="n"/>
      <c r="J3325" s="22">
        <f t="array" ref="J3325">IF($D3325="","",IF($I3325="","(trống REF)",IFERROR(INDEX(MASTER_SOURCE!$B$2:$B$495,MATCH($I3325,MASTER_SOURCE!$A$2:$A$495,0)),"(REF không có trong MASTER_SOURCE)")))</f>
        <v/>
      </c>
      <c r="K3325" s="22">
        <f t="array" ref="K3325">IF($D3325="","",IFERROR(INDEX(MASTER_SOURCE!$C$2:$C$495,MATCH($I3325,MASTER_SOURCE!$A$2:$A$495,0)),""))</f>
        <v/>
      </c>
      <c r="L3325" s="22">
        <f t="array" ref="L3325">IF($D3325="","",IFERROR(INDEX(MASTER_SOURCE!$D$2:$D$495,MATCH($I3325,MASTER_SOURCE!$A$2:$A$495,0)),""))</f>
        <v/>
      </c>
      <c r="M3325" s="24" t="n"/>
      <c r="N3325" s="24" t="n"/>
      <c r="O3325" s="24" t="n"/>
      <c r="P3325" s="24" t="n"/>
      <c r="Q3325" s="22">
        <f>IF($D3325="","",IF(AND(OR(DANH_MUC!$L$5&lt;&gt;"Có",M3325="Có"),OR(DANH_MUC!$L$6&lt;&gt;"Có",N3325="Có"),OR(DANH_MUC!$L$7&lt;&gt;"Có",O3325="Có"),OR(DANH_MUC!$L$8&lt;&gt;"Có",P3325="Có")),"Có","Không"))</f>
        <v/>
      </c>
      <c r="R3325" s="22">
        <f>IF($D3325="","",IF(COUNTIF($D$2:$D3325,$D3325)&gt;1,"Trùng",""))</f>
        <v/>
      </c>
      <c r="S3325" s="22">
        <f>IF($D3325="","",IF(AND(LEN($D3325)=10,LEFT($D3325,1)="0",ISNUMBER(--$D3325)),"Có","Không"))</f>
        <v/>
      </c>
      <c r="T3325" s="22">
        <f>IF($D3325="","",IF(AND($C3325&lt;&gt;"",$Q3325="Có",$R3325="",$S3325="Có",AND($L3325&lt;&gt;"",OR($L3325&lt;&gt;"Chưa xác định",DANH_MUC!$L$9="Có"))),"Có","Không"))</f>
        <v/>
      </c>
      <c r="U3325" s="22">
        <f>IF(OR($D3325="",$T3325="Có"),"",IF($C3325="","Thiếu họ tên; ","")&amp;IF($S3325&lt;&gt;"Có","SĐT sai định dạng; ","")&amp;IF($R3325="Trùng","Trùng SĐT; ","")&amp;IF($Q3325&lt;&gt;"Có","Thiếu đồng ý bắt buộc; ","")&amp;IF($L3325="","Thiếu/sai Mã REF; ",IF(AND($L3325="Chưa xác định",DANH_MUC!$L$9&lt;&gt;"Có"),"Nguồn chưa xác định; ","")))</f>
        <v/>
      </c>
      <c r="V3325" s="22">
        <f>IF(OR($D3325="",$R3325="Trùng"),"",IF(COUNTIF(ORDERS!$C$2:$C$4995,$D3325)&gt;0,"Có","Không"))</f>
        <v/>
      </c>
      <c r="W3325" s="22">
        <f>IF(OR($D3325="",$R3325="Trùng"),"",COUNTIFS(ORDERS!$C$2:$C$4995,$D3325,ORDERS!$L$2:$L$4995,"Đã chuyển khoản"))</f>
        <v/>
      </c>
      <c r="X3325" s="23">
        <f>IF(OR($D3325="",$R3325="Trùng"),"",SUMIFS(ORDERS!$J$2:$J$4995,ORDERS!$C$2:$C$4995,$D3325,ORDERS!$L$2:$L$4995,"Đã chuyển khoản"))</f>
        <v/>
      </c>
      <c r="Y3325" s="24" t="n"/>
    </row>
    <row r="3326" ht="14.25" customHeight="1" s="40">
      <c r="A3326" s="24" t="n"/>
      <c r="B3326" s="27" t="n"/>
      <c r="C3326" s="24" t="n"/>
      <c r="D3326" s="28" t="n"/>
      <c r="E3326" s="29" t="n"/>
      <c r="F3326" s="24" t="n"/>
      <c r="G3326" s="24" t="n"/>
      <c r="H3326" s="21">
        <f>IF(ISNUMBER($B3326),INT($B3326)-WEEKDAY($B3326,2)+1,"")</f>
        <v/>
      </c>
      <c r="I3326" s="24" t="n"/>
      <c r="J3326" s="22">
        <f t="array" ref="J3326">IF($D3326="","",IF($I3326="","(trống REF)",IFERROR(INDEX(MASTER_SOURCE!$B$2:$B$495,MATCH($I3326,MASTER_SOURCE!$A$2:$A$495,0)),"(REF không có trong MASTER_SOURCE)")))</f>
        <v/>
      </c>
      <c r="K3326" s="22">
        <f t="array" ref="K3326">IF($D3326="","",IFERROR(INDEX(MASTER_SOURCE!$C$2:$C$495,MATCH($I3326,MASTER_SOURCE!$A$2:$A$495,0)),""))</f>
        <v/>
      </c>
      <c r="L3326" s="22">
        <f t="array" ref="L3326">IF($D3326="","",IFERROR(INDEX(MASTER_SOURCE!$D$2:$D$495,MATCH($I3326,MASTER_SOURCE!$A$2:$A$495,0)),""))</f>
        <v/>
      </c>
      <c r="M3326" s="24" t="n"/>
      <c r="N3326" s="24" t="n"/>
      <c r="O3326" s="24" t="n"/>
      <c r="P3326" s="24" t="n"/>
      <c r="Q3326" s="22">
        <f>IF($D3326="","",IF(AND(OR(DANH_MUC!$L$5&lt;&gt;"Có",M3326="Có"),OR(DANH_MUC!$L$6&lt;&gt;"Có",N3326="Có"),OR(DANH_MUC!$L$7&lt;&gt;"Có",O3326="Có"),OR(DANH_MUC!$L$8&lt;&gt;"Có",P3326="Có")),"Có","Không"))</f>
        <v/>
      </c>
      <c r="R3326" s="22">
        <f>IF($D3326="","",IF(COUNTIF($D$2:$D3326,$D3326)&gt;1,"Trùng",""))</f>
        <v/>
      </c>
      <c r="S3326" s="22">
        <f>IF($D3326="","",IF(AND(LEN($D3326)=10,LEFT($D3326,1)="0",ISNUMBER(--$D3326)),"Có","Không"))</f>
        <v/>
      </c>
      <c r="T3326" s="22">
        <f>IF($D3326="","",IF(AND($C3326&lt;&gt;"",$Q3326="Có",$R3326="",$S3326="Có",AND($L3326&lt;&gt;"",OR($L3326&lt;&gt;"Chưa xác định",DANH_MUC!$L$9="Có"))),"Có","Không"))</f>
        <v/>
      </c>
      <c r="U3326" s="22">
        <f>IF(OR($D3326="",$T3326="Có"),"",IF($C3326="","Thiếu họ tên; ","")&amp;IF($S3326&lt;&gt;"Có","SĐT sai định dạng; ","")&amp;IF($R3326="Trùng","Trùng SĐT; ","")&amp;IF($Q3326&lt;&gt;"Có","Thiếu đồng ý bắt buộc; ","")&amp;IF($L3326="","Thiếu/sai Mã REF; ",IF(AND($L3326="Chưa xác định",DANH_MUC!$L$9&lt;&gt;"Có"),"Nguồn chưa xác định; ","")))</f>
        <v/>
      </c>
      <c r="V3326" s="22">
        <f>IF(OR($D3326="",$R3326="Trùng"),"",IF(COUNTIF(ORDERS!$C$2:$C$4995,$D3326)&gt;0,"Có","Không"))</f>
        <v/>
      </c>
      <c r="W3326" s="22">
        <f>IF(OR($D3326="",$R3326="Trùng"),"",COUNTIFS(ORDERS!$C$2:$C$4995,$D3326,ORDERS!$L$2:$L$4995,"Đã chuyển khoản"))</f>
        <v/>
      </c>
      <c r="X3326" s="23">
        <f>IF(OR($D3326="",$R3326="Trùng"),"",SUMIFS(ORDERS!$J$2:$J$4995,ORDERS!$C$2:$C$4995,$D3326,ORDERS!$L$2:$L$4995,"Đã chuyển khoản"))</f>
        <v/>
      </c>
      <c r="Y3326" s="24" t="n"/>
    </row>
    <row r="3327" ht="14.25" customHeight="1" s="40">
      <c r="A3327" s="24" t="n"/>
      <c r="B3327" s="27" t="n"/>
      <c r="C3327" s="24" t="n"/>
      <c r="D3327" s="28" t="n"/>
      <c r="E3327" s="29" t="n"/>
      <c r="F3327" s="24" t="n"/>
      <c r="G3327" s="24" t="n"/>
      <c r="H3327" s="21">
        <f>IF(ISNUMBER($B3327),INT($B3327)-WEEKDAY($B3327,2)+1,"")</f>
        <v/>
      </c>
      <c r="I3327" s="24" t="n"/>
      <c r="J3327" s="22">
        <f t="array" ref="J3327">IF($D3327="","",IF($I3327="","(trống REF)",IFERROR(INDEX(MASTER_SOURCE!$B$2:$B$495,MATCH($I3327,MASTER_SOURCE!$A$2:$A$495,0)),"(REF không có trong MASTER_SOURCE)")))</f>
        <v/>
      </c>
      <c r="K3327" s="22">
        <f t="array" ref="K3327">IF($D3327="","",IFERROR(INDEX(MASTER_SOURCE!$C$2:$C$495,MATCH($I3327,MASTER_SOURCE!$A$2:$A$495,0)),""))</f>
        <v/>
      </c>
      <c r="L3327" s="22">
        <f t="array" ref="L3327">IF($D3327="","",IFERROR(INDEX(MASTER_SOURCE!$D$2:$D$495,MATCH($I3327,MASTER_SOURCE!$A$2:$A$495,0)),""))</f>
        <v/>
      </c>
      <c r="M3327" s="24" t="n"/>
      <c r="N3327" s="24" t="n"/>
      <c r="O3327" s="24" t="n"/>
      <c r="P3327" s="24" t="n"/>
      <c r="Q3327" s="22">
        <f>IF($D3327="","",IF(AND(OR(DANH_MUC!$L$5&lt;&gt;"Có",M3327="Có"),OR(DANH_MUC!$L$6&lt;&gt;"Có",N3327="Có"),OR(DANH_MUC!$L$7&lt;&gt;"Có",O3327="Có"),OR(DANH_MUC!$L$8&lt;&gt;"Có",P3327="Có")),"Có","Không"))</f>
        <v/>
      </c>
      <c r="R3327" s="22">
        <f>IF($D3327="","",IF(COUNTIF($D$2:$D3327,$D3327)&gt;1,"Trùng",""))</f>
        <v/>
      </c>
      <c r="S3327" s="22">
        <f>IF($D3327="","",IF(AND(LEN($D3327)=10,LEFT($D3327,1)="0",ISNUMBER(--$D3327)),"Có","Không"))</f>
        <v/>
      </c>
      <c r="T3327" s="22">
        <f>IF($D3327="","",IF(AND($C3327&lt;&gt;"",$Q3327="Có",$R3327="",$S3327="Có",AND($L3327&lt;&gt;"",OR($L3327&lt;&gt;"Chưa xác định",DANH_MUC!$L$9="Có"))),"Có","Không"))</f>
        <v/>
      </c>
      <c r="U3327" s="22">
        <f>IF(OR($D3327="",$T3327="Có"),"",IF($C3327="","Thiếu họ tên; ","")&amp;IF($S3327&lt;&gt;"Có","SĐT sai định dạng; ","")&amp;IF($R3327="Trùng","Trùng SĐT; ","")&amp;IF($Q3327&lt;&gt;"Có","Thiếu đồng ý bắt buộc; ","")&amp;IF($L3327="","Thiếu/sai Mã REF; ",IF(AND($L3327="Chưa xác định",DANH_MUC!$L$9&lt;&gt;"Có"),"Nguồn chưa xác định; ","")))</f>
        <v/>
      </c>
      <c r="V3327" s="22">
        <f>IF(OR($D3327="",$R3327="Trùng"),"",IF(COUNTIF(ORDERS!$C$2:$C$4995,$D3327)&gt;0,"Có","Không"))</f>
        <v/>
      </c>
      <c r="W3327" s="22">
        <f>IF(OR($D3327="",$R3327="Trùng"),"",COUNTIFS(ORDERS!$C$2:$C$4995,$D3327,ORDERS!$L$2:$L$4995,"Đã chuyển khoản"))</f>
        <v/>
      </c>
      <c r="X3327" s="23">
        <f>IF(OR($D3327="",$R3327="Trùng"),"",SUMIFS(ORDERS!$J$2:$J$4995,ORDERS!$C$2:$C$4995,$D3327,ORDERS!$L$2:$L$4995,"Đã chuyển khoản"))</f>
        <v/>
      </c>
      <c r="Y3327" s="24" t="n"/>
    </row>
    <row r="3328" ht="14.25" customHeight="1" s="40">
      <c r="A3328" s="24" t="n"/>
      <c r="B3328" s="27" t="n"/>
      <c r="C3328" s="24" t="n"/>
      <c r="D3328" s="28" t="n"/>
      <c r="E3328" s="29" t="n"/>
      <c r="F3328" s="24" t="n"/>
      <c r="G3328" s="24" t="n"/>
      <c r="H3328" s="21">
        <f>IF(ISNUMBER($B3328),INT($B3328)-WEEKDAY($B3328,2)+1,"")</f>
        <v/>
      </c>
      <c r="I3328" s="24" t="n"/>
      <c r="J3328" s="22">
        <f t="array" ref="J3328">IF($D3328="","",IF($I3328="","(trống REF)",IFERROR(INDEX(MASTER_SOURCE!$B$2:$B$495,MATCH($I3328,MASTER_SOURCE!$A$2:$A$495,0)),"(REF không có trong MASTER_SOURCE)")))</f>
        <v/>
      </c>
      <c r="K3328" s="22">
        <f t="array" ref="K3328">IF($D3328="","",IFERROR(INDEX(MASTER_SOURCE!$C$2:$C$495,MATCH($I3328,MASTER_SOURCE!$A$2:$A$495,0)),""))</f>
        <v/>
      </c>
      <c r="L3328" s="22">
        <f t="array" ref="L3328">IF($D3328="","",IFERROR(INDEX(MASTER_SOURCE!$D$2:$D$495,MATCH($I3328,MASTER_SOURCE!$A$2:$A$495,0)),""))</f>
        <v/>
      </c>
      <c r="M3328" s="24" t="n"/>
      <c r="N3328" s="24" t="n"/>
      <c r="O3328" s="24" t="n"/>
      <c r="P3328" s="24" t="n"/>
      <c r="Q3328" s="22">
        <f>IF($D3328="","",IF(AND(OR(DANH_MUC!$L$5&lt;&gt;"Có",M3328="Có"),OR(DANH_MUC!$L$6&lt;&gt;"Có",N3328="Có"),OR(DANH_MUC!$L$7&lt;&gt;"Có",O3328="Có"),OR(DANH_MUC!$L$8&lt;&gt;"Có",P3328="Có")),"Có","Không"))</f>
        <v/>
      </c>
      <c r="R3328" s="22">
        <f>IF($D3328="","",IF(COUNTIF($D$2:$D3328,$D3328)&gt;1,"Trùng",""))</f>
        <v/>
      </c>
      <c r="S3328" s="22">
        <f>IF($D3328="","",IF(AND(LEN($D3328)=10,LEFT($D3328,1)="0",ISNUMBER(--$D3328)),"Có","Không"))</f>
        <v/>
      </c>
      <c r="T3328" s="22">
        <f>IF($D3328="","",IF(AND($C3328&lt;&gt;"",$Q3328="Có",$R3328="",$S3328="Có",AND($L3328&lt;&gt;"",OR($L3328&lt;&gt;"Chưa xác định",DANH_MUC!$L$9="Có"))),"Có","Không"))</f>
        <v/>
      </c>
      <c r="U3328" s="22">
        <f>IF(OR($D3328="",$T3328="Có"),"",IF($C3328="","Thiếu họ tên; ","")&amp;IF($S3328&lt;&gt;"Có","SĐT sai định dạng; ","")&amp;IF($R3328="Trùng","Trùng SĐT; ","")&amp;IF($Q3328&lt;&gt;"Có","Thiếu đồng ý bắt buộc; ","")&amp;IF($L3328="","Thiếu/sai Mã REF; ",IF(AND($L3328="Chưa xác định",DANH_MUC!$L$9&lt;&gt;"Có"),"Nguồn chưa xác định; ","")))</f>
        <v/>
      </c>
      <c r="V3328" s="22">
        <f>IF(OR($D3328="",$R3328="Trùng"),"",IF(COUNTIF(ORDERS!$C$2:$C$4995,$D3328)&gt;0,"Có","Không"))</f>
        <v/>
      </c>
      <c r="W3328" s="22">
        <f>IF(OR($D3328="",$R3328="Trùng"),"",COUNTIFS(ORDERS!$C$2:$C$4995,$D3328,ORDERS!$L$2:$L$4995,"Đã chuyển khoản"))</f>
        <v/>
      </c>
      <c r="X3328" s="23">
        <f>IF(OR($D3328="",$R3328="Trùng"),"",SUMIFS(ORDERS!$J$2:$J$4995,ORDERS!$C$2:$C$4995,$D3328,ORDERS!$L$2:$L$4995,"Đã chuyển khoản"))</f>
        <v/>
      </c>
      <c r="Y3328" s="24" t="n"/>
    </row>
    <row r="3329" ht="14.25" customHeight="1" s="40">
      <c r="A3329" s="24" t="n"/>
      <c r="B3329" s="27" t="n"/>
      <c r="C3329" s="24" t="n"/>
      <c r="D3329" s="28" t="n"/>
      <c r="E3329" s="29" t="n"/>
      <c r="F3329" s="24" t="n"/>
      <c r="G3329" s="24" t="n"/>
      <c r="H3329" s="21">
        <f>IF(ISNUMBER($B3329),INT($B3329)-WEEKDAY($B3329,2)+1,"")</f>
        <v/>
      </c>
      <c r="I3329" s="24" t="n"/>
      <c r="J3329" s="22">
        <f t="array" ref="J3329">IF($D3329="","",IF($I3329="","(trống REF)",IFERROR(INDEX(MASTER_SOURCE!$B$2:$B$495,MATCH($I3329,MASTER_SOURCE!$A$2:$A$495,0)),"(REF không có trong MASTER_SOURCE)")))</f>
        <v/>
      </c>
      <c r="K3329" s="22">
        <f t="array" ref="K3329">IF($D3329="","",IFERROR(INDEX(MASTER_SOURCE!$C$2:$C$495,MATCH($I3329,MASTER_SOURCE!$A$2:$A$495,0)),""))</f>
        <v/>
      </c>
      <c r="L3329" s="22">
        <f t="array" ref="L3329">IF($D3329="","",IFERROR(INDEX(MASTER_SOURCE!$D$2:$D$495,MATCH($I3329,MASTER_SOURCE!$A$2:$A$495,0)),""))</f>
        <v/>
      </c>
      <c r="M3329" s="24" t="n"/>
      <c r="N3329" s="24" t="n"/>
      <c r="O3329" s="24" t="n"/>
      <c r="P3329" s="24" t="n"/>
      <c r="Q3329" s="22">
        <f>IF($D3329="","",IF(AND(OR(DANH_MUC!$L$5&lt;&gt;"Có",M3329="Có"),OR(DANH_MUC!$L$6&lt;&gt;"Có",N3329="Có"),OR(DANH_MUC!$L$7&lt;&gt;"Có",O3329="Có"),OR(DANH_MUC!$L$8&lt;&gt;"Có",P3329="Có")),"Có","Không"))</f>
        <v/>
      </c>
      <c r="R3329" s="22">
        <f>IF($D3329="","",IF(COUNTIF($D$2:$D3329,$D3329)&gt;1,"Trùng",""))</f>
        <v/>
      </c>
      <c r="S3329" s="22">
        <f>IF($D3329="","",IF(AND(LEN($D3329)=10,LEFT($D3329,1)="0",ISNUMBER(--$D3329)),"Có","Không"))</f>
        <v/>
      </c>
      <c r="T3329" s="22">
        <f>IF($D3329="","",IF(AND($C3329&lt;&gt;"",$Q3329="Có",$R3329="",$S3329="Có",AND($L3329&lt;&gt;"",OR($L3329&lt;&gt;"Chưa xác định",DANH_MUC!$L$9="Có"))),"Có","Không"))</f>
        <v/>
      </c>
      <c r="U3329" s="22">
        <f>IF(OR($D3329="",$T3329="Có"),"",IF($C3329="","Thiếu họ tên; ","")&amp;IF($S3329&lt;&gt;"Có","SĐT sai định dạng; ","")&amp;IF($R3329="Trùng","Trùng SĐT; ","")&amp;IF($Q3329&lt;&gt;"Có","Thiếu đồng ý bắt buộc; ","")&amp;IF($L3329="","Thiếu/sai Mã REF; ",IF(AND($L3329="Chưa xác định",DANH_MUC!$L$9&lt;&gt;"Có"),"Nguồn chưa xác định; ","")))</f>
        <v/>
      </c>
      <c r="V3329" s="22">
        <f>IF(OR($D3329="",$R3329="Trùng"),"",IF(COUNTIF(ORDERS!$C$2:$C$4995,$D3329)&gt;0,"Có","Không"))</f>
        <v/>
      </c>
      <c r="W3329" s="22">
        <f>IF(OR($D3329="",$R3329="Trùng"),"",COUNTIFS(ORDERS!$C$2:$C$4995,$D3329,ORDERS!$L$2:$L$4995,"Đã chuyển khoản"))</f>
        <v/>
      </c>
      <c r="X3329" s="23">
        <f>IF(OR($D3329="",$R3329="Trùng"),"",SUMIFS(ORDERS!$J$2:$J$4995,ORDERS!$C$2:$C$4995,$D3329,ORDERS!$L$2:$L$4995,"Đã chuyển khoản"))</f>
        <v/>
      </c>
      <c r="Y3329" s="24" t="n"/>
    </row>
    <row r="3330" ht="14.25" customHeight="1" s="40">
      <c r="A3330" s="24" t="n"/>
      <c r="B3330" s="27" t="n"/>
      <c r="C3330" s="24" t="n"/>
      <c r="D3330" s="28" t="n"/>
      <c r="E3330" s="29" t="n"/>
      <c r="F3330" s="24" t="n"/>
      <c r="G3330" s="24" t="n"/>
      <c r="H3330" s="21">
        <f>IF(ISNUMBER($B3330),INT($B3330)-WEEKDAY($B3330,2)+1,"")</f>
        <v/>
      </c>
      <c r="I3330" s="24" t="n"/>
      <c r="J3330" s="22">
        <f t="array" ref="J3330">IF($D3330="","",IF($I3330="","(trống REF)",IFERROR(INDEX(MASTER_SOURCE!$B$2:$B$495,MATCH($I3330,MASTER_SOURCE!$A$2:$A$495,0)),"(REF không có trong MASTER_SOURCE)")))</f>
        <v/>
      </c>
      <c r="K3330" s="22">
        <f t="array" ref="K3330">IF($D3330="","",IFERROR(INDEX(MASTER_SOURCE!$C$2:$C$495,MATCH($I3330,MASTER_SOURCE!$A$2:$A$495,0)),""))</f>
        <v/>
      </c>
      <c r="L3330" s="22">
        <f t="array" ref="L3330">IF($D3330="","",IFERROR(INDEX(MASTER_SOURCE!$D$2:$D$495,MATCH($I3330,MASTER_SOURCE!$A$2:$A$495,0)),""))</f>
        <v/>
      </c>
      <c r="M3330" s="24" t="n"/>
      <c r="N3330" s="24" t="n"/>
      <c r="O3330" s="24" t="n"/>
      <c r="P3330" s="24" t="n"/>
      <c r="Q3330" s="22">
        <f>IF($D3330="","",IF(AND(OR(DANH_MUC!$L$5&lt;&gt;"Có",M3330="Có"),OR(DANH_MUC!$L$6&lt;&gt;"Có",N3330="Có"),OR(DANH_MUC!$L$7&lt;&gt;"Có",O3330="Có"),OR(DANH_MUC!$L$8&lt;&gt;"Có",P3330="Có")),"Có","Không"))</f>
        <v/>
      </c>
      <c r="R3330" s="22">
        <f>IF($D3330="","",IF(COUNTIF($D$2:$D3330,$D3330)&gt;1,"Trùng",""))</f>
        <v/>
      </c>
      <c r="S3330" s="22">
        <f>IF($D3330="","",IF(AND(LEN($D3330)=10,LEFT($D3330,1)="0",ISNUMBER(--$D3330)),"Có","Không"))</f>
        <v/>
      </c>
      <c r="T3330" s="22">
        <f>IF($D3330="","",IF(AND($C3330&lt;&gt;"",$Q3330="Có",$R3330="",$S3330="Có",AND($L3330&lt;&gt;"",OR($L3330&lt;&gt;"Chưa xác định",DANH_MUC!$L$9="Có"))),"Có","Không"))</f>
        <v/>
      </c>
      <c r="U3330" s="22">
        <f>IF(OR($D3330="",$T3330="Có"),"",IF($C3330="","Thiếu họ tên; ","")&amp;IF($S3330&lt;&gt;"Có","SĐT sai định dạng; ","")&amp;IF($R3330="Trùng","Trùng SĐT; ","")&amp;IF($Q3330&lt;&gt;"Có","Thiếu đồng ý bắt buộc; ","")&amp;IF($L3330="","Thiếu/sai Mã REF; ",IF(AND($L3330="Chưa xác định",DANH_MUC!$L$9&lt;&gt;"Có"),"Nguồn chưa xác định; ","")))</f>
        <v/>
      </c>
      <c r="V3330" s="22">
        <f>IF(OR($D3330="",$R3330="Trùng"),"",IF(COUNTIF(ORDERS!$C$2:$C$4995,$D3330)&gt;0,"Có","Không"))</f>
        <v/>
      </c>
      <c r="W3330" s="22">
        <f>IF(OR($D3330="",$R3330="Trùng"),"",COUNTIFS(ORDERS!$C$2:$C$4995,$D3330,ORDERS!$L$2:$L$4995,"Đã chuyển khoản"))</f>
        <v/>
      </c>
      <c r="X3330" s="23">
        <f>IF(OR($D3330="",$R3330="Trùng"),"",SUMIFS(ORDERS!$J$2:$J$4995,ORDERS!$C$2:$C$4995,$D3330,ORDERS!$L$2:$L$4995,"Đã chuyển khoản"))</f>
        <v/>
      </c>
      <c r="Y3330" s="24" t="n"/>
    </row>
    <row r="3331" ht="14.25" customHeight="1" s="40">
      <c r="A3331" s="24" t="n"/>
      <c r="B3331" s="27" t="n"/>
      <c r="C3331" s="24" t="n"/>
      <c r="D3331" s="28" t="n"/>
      <c r="E3331" s="29" t="n"/>
      <c r="F3331" s="24" t="n"/>
      <c r="G3331" s="24" t="n"/>
      <c r="H3331" s="21">
        <f>IF(ISNUMBER($B3331),INT($B3331)-WEEKDAY($B3331,2)+1,"")</f>
        <v/>
      </c>
      <c r="I3331" s="24" t="n"/>
      <c r="J3331" s="22">
        <f t="array" ref="J3331">IF($D3331="","",IF($I3331="","(trống REF)",IFERROR(INDEX(MASTER_SOURCE!$B$2:$B$495,MATCH($I3331,MASTER_SOURCE!$A$2:$A$495,0)),"(REF không có trong MASTER_SOURCE)")))</f>
        <v/>
      </c>
      <c r="K3331" s="22">
        <f t="array" ref="K3331">IF($D3331="","",IFERROR(INDEX(MASTER_SOURCE!$C$2:$C$495,MATCH($I3331,MASTER_SOURCE!$A$2:$A$495,0)),""))</f>
        <v/>
      </c>
      <c r="L3331" s="22">
        <f t="array" ref="L3331">IF($D3331="","",IFERROR(INDEX(MASTER_SOURCE!$D$2:$D$495,MATCH($I3331,MASTER_SOURCE!$A$2:$A$495,0)),""))</f>
        <v/>
      </c>
      <c r="M3331" s="24" t="n"/>
      <c r="N3331" s="24" t="n"/>
      <c r="O3331" s="24" t="n"/>
      <c r="P3331" s="24" t="n"/>
      <c r="Q3331" s="22">
        <f>IF($D3331="","",IF(AND(OR(DANH_MUC!$L$5&lt;&gt;"Có",M3331="Có"),OR(DANH_MUC!$L$6&lt;&gt;"Có",N3331="Có"),OR(DANH_MUC!$L$7&lt;&gt;"Có",O3331="Có"),OR(DANH_MUC!$L$8&lt;&gt;"Có",P3331="Có")),"Có","Không"))</f>
        <v/>
      </c>
      <c r="R3331" s="22">
        <f>IF($D3331="","",IF(COUNTIF($D$2:$D3331,$D3331)&gt;1,"Trùng",""))</f>
        <v/>
      </c>
      <c r="S3331" s="22">
        <f>IF($D3331="","",IF(AND(LEN($D3331)=10,LEFT($D3331,1)="0",ISNUMBER(--$D3331)),"Có","Không"))</f>
        <v/>
      </c>
      <c r="T3331" s="22">
        <f>IF($D3331="","",IF(AND($C3331&lt;&gt;"",$Q3331="Có",$R3331="",$S3331="Có",AND($L3331&lt;&gt;"",OR($L3331&lt;&gt;"Chưa xác định",DANH_MUC!$L$9="Có"))),"Có","Không"))</f>
        <v/>
      </c>
      <c r="U3331" s="22">
        <f>IF(OR($D3331="",$T3331="Có"),"",IF($C3331="","Thiếu họ tên; ","")&amp;IF($S3331&lt;&gt;"Có","SĐT sai định dạng; ","")&amp;IF($R3331="Trùng","Trùng SĐT; ","")&amp;IF($Q3331&lt;&gt;"Có","Thiếu đồng ý bắt buộc; ","")&amp;IF($L3331="","Thiếu/sai Mã REF; ",IF(AND($L3331="Chưa xác định",DANH_MUC!$L$9&lt;&gt;"Có"),"Nguồn chưa xác định; ","")))</f>
        <v/>
      </c>
      <c r="V3331" s="22">
        <f>IF(OR($D3331="",$R3331="Trùng"),"",IF(COUNTIF(ORDERS!$C$2:$C$4995,$D3331)&gt;0,"Có","Không"))</f>
        <v/>
      </c>
      <c r="W3331" s="22">
        <f>IF(OR($D3331="",$R3331="Trùng"),"",COUNTIFS(ORDERS!$C$2:$C$4995,$D3331,ORDERS!$L$2:$L$4995,"Đã chuyển khoản"))</f>
        <v/>
      </c>
      <c r="X3331" s="23">
        <f>IF(OR($D3331="",$R3331="Trùng"),"",SUMIFS(ORDERS!$J$2:$J$4995,ORDERS!$C$2:$C$4995,$D3331,ORDERS!$L$2:$L$4995,"Đã chuyển khoản"))</f>
        <v/>
      </c>
      <c r="Y3331" s="24" t="n"/>
    </row>
    <row r="3332" ht="14.25" customHeight="1" s="40">
      <c r="A3332" s="24" t="n"/>
      <c r="B3332" s="27" t="n"/>
      <c r="C3332" s="24" t="n"/>
      <c r="D3332" s="28" t="n"/>
      <c r="E3332" s="29" t="n"/>
      <c r="F3332" s="24" t="n"/>
      <c r="G3332" s="24" t="n"/>
      <c r="H3332" s="21">
        <f>IF(ISNUMBER($B3332),INT($B3332)-WEEKDAY($B3332,2)+1,"")</f>
        <v/>
      </c>
      <c r="I3332" s="24" t="n"/>
      <c r="J3332" s="22">
        <f t="array" ref="J3332">IF($D3332="","",IF($I3332="","(trống REF)",IFERROR(INDEX(MASTER_SOURCE!$B$2:$B$495,MATCH($I3332,MASTER_SOURCE!$A$2:$A$495,0)),"(REF không có trong MASTER_SOURCE)")))</f>
        <v/>
      </c>
      <c r="K3332" s="22">
        <f t="array" ref="K3332">IF($D3332="","",IFERROR(INDEX(MASTER_SOURCE!$C$2:$C$495,MATCH($I3332,MASTER_SOURCE!$A$2:$A$495,0)),""))</f>
        <v/>
      </c>
      <c r="L3332" s="22">
        <f t="array" ref="L3332">IF($D3332="","",IFERROR(INDEX(MASTER_SOURCE!$D$2:$D$495,MATCH($I3332,MASTER_SOURCE!$A$2:$A$495,0)),""))</f>
        <v/>
      </c>
      <c r="M3332" s="24" t="n"/>
      <c r="N3332" s="24" t="n"/>
      <c r="O3332" s="24" t="n"/>
      <c r="P3332" s="24" t="n"/>
      <c r="Q3332" s="22">
        <f>IF($D3332="","",IF(AND(OR(DANH_MUC!$L$5&lt;&gt;"Có",M3332="Có"),OR(DANH_MUC!$L$6&lt;&gt;"Có",N3332="Có"),OR(DANH_MUC!$L$7&lt;&gt;"Có",O3332="Có"),OR(DANH_MUC!$L$8&lt;&gt;"Có",P3332="Có")),"Có","Không"))</f>
        <v/>
      </c>
      <c r="R3332" s="22">
        <f>IF($D3332="","",IF(COUNTIF($D$2:$D3332,$D3332)&gt;1,"Trùng",""))</f>
        <v/>
      </c>
      <c r="S3332" s="22">
        <f>IF($D3332="","",IF(AND(LEN($D3332)=10,LEFT($D3332,1)="0",ISNUMBER(--$D3332)),"Có","Không"))</f>
        <v/>
      </c>
      <c r="T3332" s="22">
        <f>IF($D3332="","",IF(AND($C3332&lt;&gt;"",$Q3332="Có",$R3332="",$S3332="Có",AND($L3332&lt;&gt;"",OR($L3332&lt;&gt;"Chưa xác định",DANH_MUC!$L$9="Có"))),"Có","Không"))</f>
        <v/>
      </c>
      <c r="U3332" s="22">
        <f>IF(OR($D3332="",$T3332="Có"),"",IF($C3332="","Thiếu họ tên; ","")&amp;IF($S3332&lt;&gt;"Có","SĐT sai định dạng; ","")&amp;IF($R3332="Trùng","Trùng SĐT; ","")&amp;IF($Q3332&lt;&gt;"Có","Thiếu đồng ý bắt buộc; ","")&amp;IF($L3332="","Thiếu/sai Mã REF; ",IF(AND($L3332="Chưa xác định",DANH_MUC!$L$9&lt;&gt;"Có"),"Nguồn chưa xác định; ","")))</f>
        <v/>
      </c>
      <c r="V3332" s="22">
        <f>IF(OR($D3332="",$R3332="Trùng"),"",IF(COUNTIF(ORDERS!$C$2:$C$4995,$D3332)&gt;0,"Có","Không"))</f>
        <v/>
      </c>
      <c r="W3332" s="22">
        <f>IF(OR($D3332="",$R3332="Trùng"),"",COUNTIFS(ORDERS!$C$2:$C$4995,$D3332,ORDERS!$L$2:$L$4995,"Đã chuyển khoản"))</f>
        <v/>
      </c>
      <c r="X3332" s="23">
        <f>IF(OR($D3332="",$R3332="Trùng"),"",SUMIFS(ORDERS!$J$2:$J$4995,ORDERS!$C$2:$C$4995,$D3332,ORDERS!$L$2:$L$4995,"Đã chuyển khoản"))</f>
        <v/>
      </c>
      <c r="Y3332" s="24" t="n"/>
    </row>
    <row r="3333" ht="14.25" customHeight="1" s="40">
      <c r="A3333" s="24" t="n"/>
      <c r="B3333" s="27" t="n"/>
      <c r="C3333" s="24" t="n"/>
      <c r="D3333" s="28" t="n"/>
      <c r="E3333" s="29" t="n"/>
      <c r="F3333" s="24" t="n"/>
      <c r="G3333" s="24" t="n"/>
      <c r="H3333" s="21">
        <f>IF(ISNUMBER($B3333),INT($B3333)-WEEKDAY($B3333,2)+1,"")</f>
        <v/>
      </c>
      <c r="I3333" s="24" t="n"/>
      <c r="J3333" s="22">
        <f t="array" ref="J3333">IF($D3333="","",IF($I3333="","(trống REF)",IFERROR(INDEX(MASTER_SOURCE!$B$2:$B$495,MATCH($I3333,MASTER_SOURCE!$A$2:$A$495,0)),"(REF không có trong MASTER_SOURCE)")))</f>
        <v/>
      </c>
      <c r="K3333" s="22">
        <f t="array" ref="K3333">IF($D3333="","",IFERROR(INDEX(MASTER_SOURCE!$C$2:$C$495,MATCH($I3333,MASTER_SOURCE!$A$2:$A$495,0)),""))</f>
        <v/>
      </c>
      <c r="L3333" s="22">
        <f t="array" ref="L3333">IF($D3333="","",IFERROR(INDEX(MASTER_SOURCE!$D$2:$D$495,MATCH($I3333,MASTER_SOURCE!$A$2:$A$495,0)),""))</f>
        <v/>
      </c>
      <c r="M3333" s="24" t="n"/>
      <c r="N3333" s="24" t="n"/>
      <c r="O3333" s="24" t="n"/>
      <c r="P3333" s="24" t="n"/>
      <c r="Q3333" s="22">
        <f>IF($D3333="","",IF(AND(OR(DANH_MUC!$L$5&lt;&gt;"Có",M3333="Có"),OR(DANH_MUC!$L$6&lt;&gt;"Có",N3333="Có"),OR(DANH_MUC!$L$7&lt;&gt;"Có",O3333="Có"),OR(DANH_MUC!$L$8&lt;&gt;"Có",P3333="Có")),"Có","Không"))</f>
        <v/>
      </c>
      <c r="R3333" s="22">
        <f>IF($D3333="","",IF(COUNTIF($D$2:$D3333,$D3333)&gt;1,"Trùng",""))</f>
        <v/>
      </c>
      <c r="S3333" s="22">
        <f>IF($D3333="","",IF(AND(LEN($D3333)=10,LEFT($D3333,1)="0",ISNUMBER(--$D3333)),"Có","Không"))</f>
        <v/>
      </c>
      <c r="T3333" s="22">
        <f>IF($D3333="","",IF(AND($C3333&lt;&gt;"",$Q3333="Có",$R3333="",$S3333="Có",AND($L3333&lt;&gt;"",OR($L3333&lt;&gt;"Chưa xác định",DANH_MUC!$L$9="Có"))),"Có","Không"))</f>
        <v/>
      </c>
      <c r="U3333" s="22">
        <f>IF(OR($D3333="",$T3333="Có"),"",IF($C3333="","Thiếu họ tên; ","")&amp;IF($S3333&lt;&gt;"Có","SĐT sai định dạng; ","")&amp;IF($R3333="Trùng","Trùng SĐT; ","")&amp;IF($Q3333&lt;&gt;"Có","Thiếu đồng ý bắt buộc; ","")&amp;IF($L3333="","Thiếu/sai Mã REF; ",IF(AND($L3333="Chưa xác định",DANH_MUC!$L$9&lt;&gt;"Có"),"Nguồn chưa xác định; ","")))</f>
        <v/>
      </c>
      <c r="V3333" s="22">
        <f>IF(OR($D3333="",$R3333="Trùng"),"",IF(COUNTIF(ORDERS!$C$2:$C$4995,$D3333)&gt;0,"Có","Không"))</f>
        <v/>
      </c>
      <c r="W3333" s="22">
        <f>IF(OR($D3333="",$R3333="Trùng"),"",COUNTIFS(ORDERS!$C$2:$C$4995,$D3333,ORDERS!$L$2:$L$4995,"Đã chuyển khoản"))</f>
        <v/>
      </c>
      <c r="X3333" s="23">
        <f>IF(OR($D3333="",$R3333="Trùng"),"",SUMIFS(ORDERS!$J$2:$J$4995,ORDERS!$C$2:$C$4995,$D3333,ORDERS!$L$2:$L$4995,"Đã chuyển khoản"))</f>
        <v/>
      </c>
      <c r="Y3333" s="24" t="n"/>
    </row>
    <row r="3334" ht="14.25" customHeight="1" s="40">
      <c r="A3334" s="24" t="n"/>
      <c r="B3334" s="27" t="n"/>
      <c r="C3334" s="24" t="n"/>
      <c r="D3334" s="28" t="n"/>
      <c r="E3334" s="29" t="n"/>
      <c r="F3334" s="24" t="n"/>
      <c r="G3334" s="24" t="n"/>
      <c r="H3334" s="21">
        <f>IF(ISNUMBER($B3334),INT($B3334)-WEEKDAY($B3334,2)+1,"")</f>
        <v/>
      </c>
      <c r="I3334" s="24" t="n"/>
      <c r="J3334" s="22">
        <f t="array" ref="J3334">IF($D3334="","",IF($I3334="","(trống REF)",IFERROR(INDEX(MASTER_SOURCE!$B$2:$B$495,MATCH($I3334,MASTER_SOURCE!$A$2:$A$495,0)),"(REF không có trong MASTER_SOURCE)")))</f>
        <v/>
      </c>
      <c r="K3334" s="22">
        <f t="array" ref="K3334">IF($D3334="","",IFERROR(INDEX(MASTER_SOURCE!$C$2:$C$495,MATCH($I3334,MASTER_SOURCE!$A$2:$A$495,0)),""))</f>
        <v/>
      </c>
      <c r="L3334" s="22">
        <f t="array" ref="L3334">IF($D3334="","",IFERROR(INDEX(MASTER_SOURCE!$D$2:$D$495,MATCH($I3334,MASTER_SOURCE!$A$2:$A$495,0)),""))</f>
        <v/>
      </c>
      <c r="M3334" s="24" t="n"/>
      <c r="N3334" s="24" t="n"/>
      <c r="O3334" s="24" t="n"/>
      <c r="P3334" s="24" t="n"/>
      <c r="Q3334" s="22">
        <f>IF($D3334="","",IF(AND(OR(DANH_MUC!$L$5&lt;&gt;"Có",M3334="Có"),OR(DANH_MUC!$L$6&lt;&gt;"Có",N3334="Có"),OR(DANH_MUC!$L$7&lt;&gt;"Có",O3334="Có"),OR(DANH_MUC!$L$8&lt;&gt;"Có",P3334="Có")),"Có","Không"))</f>
        <v/>
      </c>
      <c r="R3334" s="22">
        <f>IF($D3334="","",IF(COUNTIF($D$2:$D3334,$D3334)&gt;1,"Trùng",""))</f>
        <v/>
      </c>
      <c r="S3334" s="22">
        <f>IF($D3334="","",IF(AND(LEN($D3334)=10,LEFT($D3334,1)="0",ISNUMBER(--$D3334)),"Có","Không"))</f>
        <v/>
      </c>
      <c r="T3334" s="22">
        <f>IF($D3334="","",IF(AND($C3334&lt;&gt;"",$Q3334="Có",$R3334="",$S3334="Có",AND($L3334&lt;&gt;"",OR($L3334&lt;&gt;"Chưa xác định",DANH_MUC!$L$9="Có"))),"Có","Không"))</f>
        <v/>
      </c>
      <c r="U3334" s="22">
        <f>IF(OR($D3334="",$T3334="Có"),"",IF($C3334="","Thiếu họ tên; ","")&amp;IF($S3334&lt;&gt;"Có","SĐT sai định dạng; ","")&amp;IF($R3334="Trùng","Trùng SĐT; ","")&amp;IF($Q3334&lt;&gt;"Có","Thiếu đồng ý bắt buộc; ","")&amp;IF($L3334="","Thiếu/sai Mã REF; ",IF(AND($L3334="Chưa xác định",DANH_MUC!$L$9&lt;&gt;"Có"),"Nguồn chưa xác định; ","")))</f>
        <v/>
      </c>
      <c r="V3334" s="22">
        <f>IF(OR($D3334="",$R3334="Trùng"),"",IF(COUNTIF(ORDERS!$C$2:$C$4995,$D3334)&gt;0,"Có","Không"))</f>
        <v/>
      </c>
      <c r="W3334" s="22">
        <f>IF(OR($D3334="",$R3334="Trùng"),"",COUNTIFS(ORDERS!$C$2:$C$4995,$D3334,ORDERS!$L$2:$L$4995,"Đã chuyển khoản"))</f>
        <v/>
      </c>
      <c r="X3334" s="23">
        <f>IF(OR($D3334="",$R3334="Trùng"),"",SUMIFS(ORDERS!$J$2:$J$4995,ORDERS!$C$2:$C$4995,$D3334,ORDERS!$L$2:$L$4995,"Đã chuyển khoản"))</f>
        <v/>
      </c>
      <c r="Y3334" s="24" t="n"/>
    </row>
    <row r="3335" ht="14.25" customHeight="1" s="40">
      <c r="A3335" s="24" t="n"/>
      <c r="B3335" s="27" t="n"/>
      <c r="C3335" s="24" t="n"/>
      <c r="D3335" s="28" t="n"/>
      <c r="E3335" s="29" t="n"/>
      <c r="F3335" s="24" t="n"/>
      <c r="G3335" s="24" t="n"/>
      <c r="H3335" s="21">
        <f>IF(ISNUMBER($B3335),INT($B3335)-WEEKDAY($B3335,2)+1,"")</f>
        <v/>
      </c>
      <c r="I3335" s="24" t="n"/>
      <c r="J3335" s="22">
        <f t="array" ref="J3335">IF($D3335="","",IF($I3335="","(trống REF)",IFERROR(INDEX(MASTER_SOURCE!$B$2:$B$495,MATCH($I3335,MASTER_SOURCE!$A$2:$A$495,0)),"(REF không có trong MASTER_SOURCE)")))</f>
        <v/>
      </c>
      <c r="K3335" s="22">
        <f t="array" ref="K3335">IF($D3335="","",IFERROR(INDEX(MASTER_SOURCE!$C$2:$C$495,MATCH($I3335,MASTER_SOURCE!$A$2:$A$495,0)),""))</f>
        <v/>
      </c>
      <c r="L3335" s="22">
        <f t="array" ref="L3335">IF($D3335="","",IFERROR(INDEX(MASTER_SOURCE!$D$2:$D$495,MATCH($I3335,MASTER_SOURCE!$A$2:$A$495,0)),""))</f>
        <v/>
      </c>
      <c r="M3335" s="24" t="n"/>
      <c r="N3335" s="24" t="n"/>
      <c r="O3335" s="24" t="n"/>
      <c r="P3335" s="24" t="n"/>
      <c r="Q3335" s="22">
        <f>IF($D3335="","",IF(AND(OR(DANH_MUC!$L$5&lt;&gt;"Có",M3335="Có"),OR(DANH_MUC!$L$6&lt;&gt;"Có",N3335="Có"),OR(DANH_MUC!$L$7&lt;&gt;"Có",O3335="Có"),OR(DANH_MUC!$L$8&lt;&gt;"Có",P3335="Có")),"Có","Không"))</f>
        <v/>
      </c>
      <c r="R3335" s="22">
        <f>IF($D3335="","",IF(COUNTIF($D$2:$D3335,$D3335)&gt;1,"Trùng",""))</f>
        <v/>
      </c>
      <c r="S3335" s="22">
        <f>IF($D3335="","",IF(AND(LEN($D3335)=10,LEFT($D3335,1)="0",ISNUMBER(--$D3335)),"Có","Không"))</f>
        <v/>
      </c>
      <c r="T3335" s="22">
        <f>IF($D3335="","",IF(AND($C3335&lt;&gt;"",$Q3335="Có",$R3335="",$S3335="Có",AND($L3335&lt;&gt;"",OR($L3335&lt;&gt;"Chưa xác định",DANH_MUC!$L$9="Có"))),"Có","Không"))</f>
        <v/>
      </c>
      <c r="U3335" s="22">
        <f>IF(OR($D3335="",$T3335="Có"),"",IF($C3335="","Thiếu họ tên; ","")&amp;IF($S3335&lt;&gt;"Có","SĐT sai định dạng; ","")&amp;IF($R3335="Trùng","Trùng SĐT; ","")&amp;IF($Q3335&lt;&gt;"Có","Thiếu đồng ý bắt buộc; ","")&amp;IF($L3335="","Thiếu/sai Mã REF; ",IF(AND($L3335="Chưa xác định",DANH_MUC!$L$9&lt;&gt;"Có"),"Nguồn chưa xác định; ","")))</f>
        <v/>
      </c>
      <c r="V3335" s="22">
        <f>IF(OR($D3335="",$R3335="Trùng"),"",IF(COUNTIF(ORDERS!$C$2:$C$4995,$D3335)&gt;0,"Có","Không"))</f>
        <v/>
      </c>
      <c r="W3335" s="22">
        <f>IF(OR($D3335="",$R3335="Trùng"),"",COUNTIFS(ORDERS!$C$2:$C$4995,$D3335,ORDERS!$L$2:$L$4995,"Đã chuyển khoản"))</f>
        <v/>
      </c>
      <c r="X3335" s="23">
        <f>IF(OR($D3335="",$R3335="Trùng"),"",SUMIFS(ORDERS!$J$2:$J$4995,ORDERS!$C$2:$C$4995,$D3335,ORDERS!$L$2:$L$4995,"Đã chuyển khoản"))</f>
        <v/>
      </c>
      <c r="Y3335" s="24" t="n"/>
    </row>
    <row r="3336" ht="14.25" customHeight="1" s="40">
      <c r="A3336" s="24" t="n"/>
      <c r="B3336" s="27" t="n"/>
      <c r="C3336" s="24" t="n"/>
      <c r="D3336" s="28" t="n"/>
      <c r="E3336" s="29" t="n"/>
      <c r="F3336" s="24" t="n"/>
      <c r="G3336" s="24" t="n"/>
      <c r="H3336" s="21">
        <f>IF(ISNUMBER($B3336),INT($B3336)-WEEKDAY($B3336,2)+1,"")</f>
        <v/>
      </c>
      <c r="I3336" s="24" t="n"/>
      <c r="J3336" s="22">
        <f t="array" ref="J3336">IF($D3336="","",IF($I3336="","(trống REF)",IFERROR(INDEX(MASTER_SOURCE!$B$2:$B$495,MATCH($I3336,MASTER_SOURCE!$A$2:$A$495,0)),"(REF không có trong MASTER_SOURCE)")))</f>
        <v/>
      </c>
      <c r="K3336" s="22">
        <f t="array" ref="K3336">IF($D3336="","",IFERROR(INDEX(MASTER_SOURCE!$C$2:$C$495,MATCH($I3336,MASTER_SOURCE!$A$2:$A$495,0)),""))</f>
        <v/>
      </c>
      <c r="L3336" s="22">
        <f t="array" ref="L3336">IF($D3336="","",IFERROR(INDEX(MASTER_SOURCE!$D$2:$D$495,MATCH($I3336,MASTER_SOURCE!$A$2:$A$495,0)),""))</f>
        <v/>
      </c>
      <c r="M3336" s="24" t="n"/>
      <c r="N3336" s="24" t="n"/>
      <c r="O3336" s="24" t="n"/>
      <c r="P3336" s="24" t="n"/>
      <c r="Q3336" s="22">
        <f>IF($D3336="","",IF(AND(OR(DANH_MUC!$L$5&lt;&gt;"Có",M3336="Có"),OR(DANH_MUC!$L$6&lt;&gt;"Có",N3336="Có"),OR(DANH_MUC!$L$7&lt;&gt;"Có",O3336="Có"),OR(DANH_MUC!$L$8&lt;&gt;"Có",P3336="Có")),"Có","Không"))</f>
        <v/>
      </c>
      <c r="R3336" s="22">
        <f>IF($D3336="","",IF(COUNTIF($D$2:$D3336,$D3336)&gt;1,"Trùng",""))</f>
        <v/>
      </c>
      <c r="S3336" s="22">
        <f>IF($D3336="","",IF(AND(LEN($D3336)=10,LEFT($D3336,1)="0",ISNUMBER(--$D3336)),"Có","Không"))</f>
        <v/>
      </c>
      <c r="T3336" s="22">
        <f>IF($D3336="","",IF(AND($C3336&lt;&gt;"",$Q3336="Có",$R3336="",$S3336="Có",AND($L3336&lt;&gt;"",OR($L3336&lt;&gt;"Chưa xác định",DANH_MUC!$L$9="Có"))),"Có","Không"))</f>
        <v/>
      </c>
      <c r="U3336" s="22">
        <f>IF(OR($D3336="",$T3336="Có"),"",IF($C3336="","Thiếu họ tên; ","")&amp;IF($S3336&lt;&gt;"Có","SĐT sai định dạng; ","")&amp;IF($R3336="Trùng","Trùng SĐT; ","")&amp;IF($Q3336&lt;&gt;"Có","Thiếu đồng ý bắt buộc; ","")&amp;IF($L3336="","Thiếu/sai Mã REF; ",IF(AND($L3336="Chưa xác định",DANH_MUC!$L$9&lt;&gt;"Có"),"Nguồn chưa xác định; ","")))</f>
        <v/>
      </c>
      <c r="V3336" s="22">
        <f>IF(OR($D3336="",$R3336="Trùng"),"",IF(COUNTIF(ORDERS!$C$2:$C$4995,$D3336)&gt;0,"Có","Không"))</f>
        <v/>
      </c>
      <c r="W3336" s="22">
        <f>IF(OR($D3336="",$R3336="Trùng"),"",COUNTIFS(ORDERS!$C$2:$C$4995,$D3336,ORDERS!$L$2:$L$4995,"Đã chuyển khoản"))</f>
        <v/>
      </c>
      <c r="X3336" s="23">
        <f>IF(OR($D3336="",$R3336="Trùng"),"",SUMIFS(ORDERS!$J$2:$J$4995,ORDERS!$C$2:$C$4995,$D3336,ORDERS!$L$2:$L$4995,"Đã chuyển khoản"))</f>
        <v/>
      </c>
      <c r="Y3336" s="24" t="n"/>
    </row>
    <row r="3337" ht="14.25" customHeight="1" s="40">
      <c r="A3337" s="24" t="n"/>
      <c r="B3337" s="27" t="n"/>
      <c r="C3337" s="24" t="n"/>
      <c r="D3337" s="28" t="n"/>
      <c r="E3337" s="29" t="n"/>
      <c r="F3337" s="24" t="n"/>
      <c r="G3337" s="24" t="n"/>
      <c r="H3337" s="21">
        <f>IF(ISNUMBER($B3337),INT($B3337)-WEEKDAY($B3337,2)+1,"")</f>
        <v/>
      </c>
      <c r="I3337" s="24" t="n"/>
      <c r="J3337" s="22">
        <f t="array" ref="J3337">IF($D3337="","",IF($I3337="","(trống REF)",IFERROR(INDEX(MASTER_SOURCE!$B$2:$B$495,MATCH($I3337,MASTER_SOURCE!$A$2:$A$495,0)),"(REF không có trong MASTER_SOURCE)")))</f>
        <v/>
      </c>
      <c r="K3337" s="22">
        <f t="array" ref="K3337">IF($D3337="","",IFERROR(INDEX(MASTER_SOURCE!$C$2:$C$495,MATCH($I3337,MASTER_SOURCE!$A$2:$A$495,0)),""))</f>
        <v/>
      </c>
      <c r="L3337" s="22">
        <f t="array" ref="L3337">IF($D3337="","",IFERROR(INDEX(MASTER_SOURCE!$D$2:$D$495,MATCH($I3337,MASTER_SOURCE!$A$2:$A$495,0)),""))</f>
        <v/>
      </c>
      <c r="M3337" s="24" t="n"/>
      <c r="N3337" s="24" t="n"/>
      <c r="O3337" s="24" t="n"/>
      <c r="P3337" s="24" t="n"/>
      <c r="Q3337" s="22">
        <f>IF($D3337="","",IF(AND(OR(DANH_MUC!$L$5&lt;&gt;"Có",M3337="Có"),OR(DANH_MUC!$L$6&lt;&gt;"Có",N3337="Có"),OR(DANH_MUC!$L$7&lt;&gt;"Có",O3337="Có"),OR(DANH_MUC!$L$8&lt;&gt;"Có",P3337="Có")),"Có","Không"))</f>
        <v/>
      </c>
      <c r="R3337" s="22">
        <f>IF($D3337="","",IF(COUNTIF($D$2:$D3337,$D3337)&gt;1,"Trùng",""))</f>
        <v/>
      </c>
      <c r="S3337" s="22">
        <f>IF($D3337="","",IF(AND(LEN($D3337)=10,LEFT($D3337,1)="0",ISNUMBER(--$D3337)),"Có","Không"))</f>
        <v/>
      </c>
      <c r="T3337" s="22">
        <f>IF($D3337="","",IF(AND($C3337&lt;&gt;"",$Q3337="Có",$R3337="",$S3337="Có",AND($L3337&lt;&gt;"",OR($L3337&lt;&gt;"Chưa xác định",DANH_MUC!$L$9="Có"))),"Có","Không"))</f>
        <v/>
      </c>
      <c r="U3337" s="22">
        <f>IF(OR($D3337="",$T3337="Có"),"",IF($C3337="","Thiếu họ tên; ","")&amp;IF($S3337&lt;&gt;"Có","SĐT sai định dạng; ","")&amp;IF($R3337="Trùng","Trùng SĐT; ","")&amp;IF($Q3337&lt;&gt;"Có","Thiếu đồng ý bắt buộc; ","")&amp;IF($L3337="","Thiếu/sai Mã REF; ",IF(AND($L3337="Chưa xác định",DANH_MUC!$L$9&lt;&gt;"Có"),"Nguồn chưa xác định; ","")))</f>
        <v/>
      </c>
      <c r="V3337" s="22">
        <f>IF(OR($D3337="",$R3337="Trùng"),"",IF(COUNTIF(ORDERS!$C$2:$C$4995,$D3337)&gt;0,"Có","Không"))</f>
        <v/>
      </c>
      <c r="W3337" s="22">
        <f>IF(OR($D3337="",$R3337="Trùng"),"",COUNTIFS(ORDERS!$C$2:$C$4995,$D3337,ORDERS!$L$2:$L$4995,"Đã chuyển khoản"))</f>
        <v/>
      </c>
      <c r="X3337" s="23">
        <f>IF(OR($D3337="",$R3337="Trùng"),"",SUMIFS(ORDERS!$J$2:$J$4995,ORDERS!$C$2:$C$4995,$D3337,ORDERS!$L$2:$L$4995,"Đã chuyển khoản"))</f>
        <v/>
      </c>
      <c r="Y3337" s="24" t="n"/>
    </row>
    <row r="3338" ht="14.25" customHeight="1" s="40">
      <c r="A3338" s="24" t="n"/>
      <c r="B3338" s="27" t="n"/>
      <c r="C3338" s="24" t="n"/>
      <c r="D3338" s="28" t="n"/>
      <c r="E3338" s="29" t="n"/>
      <c r="F3338" s="24" t="n"/>
      <c r="G3338" s="24" t="n"/>
      <c r="H3338" s="21">
        <f>IF(ISNUMBER($B3338),INT($B3338)-WEEKDAY($B3338,2)+1,"")</f>
        <v/>
      </c>
      <c r="I3338" s="24" t="n"/>
      <c r="J3338" s="22">
        <f t="array" ref="J3338">IF($D3338="","",IF($I3338="","(trống REF)",IFERROR(INDEX(MASTER_SOURCE!$B$2:$B$495,MATCH($I3338,MASTER_SOURCE!$A$2:$A$495,0)),"(REF không có trong MASTER_SOURCE)")))</f>
        <v/>
      </c>
      <c r="K3338" s="22">
        <f t="array" ref="K3338">IF($D3338="","",IFERROR(INDEX(MASTER_SOURCE!$C$2:$C$495,MATCH($I3338,MASTER_SOURCE!$A$2:$A$495,0)),""))</f>
        <v/>
      </c>
      <c r="L3338" s="22">
        <f t="array" ref="L3338">IF($D3338="","",IFERROR(INDEX(MASTER_SOURCE!$D$2:$D$495,MATCH($I3338,MASTER_SOURCE!$A$2:$A$495,0)),""))</f>
        <v/>
      </c>
      <c r="M3338" s="24" t="n"/>
      <c r="N3338" s="24" t="n"/>
      <c r="O3338" s="24" t="n"/>
      <c r="P3338" s="24" t="n"/>
      <c r="Q3338" s="22">
        <f>IF($D3338="","",IF(AND(OR(DANH_MUC!$L$5&lt;&gt;"Có",M3338="Có"),OR(DANH_MUC!$L$6&lt;&gt;"Có",N3338="Có"),OR(DANH_MUC!$L$7&lt;&gt;"Có",O3338="Có"),OR(DANH_MUC!$L$8&lt;&gt;"Có",P3338="Có")),"Có","Không"))</f>
        <v/>
      </c>
      <c r="R3338" s="22">
        <f>IF($D3338="","",IF(COUNTIF($D$2:$D3338,$D3338)&gt;1,"Trùng",""))</f>
        <v/>
      </c>
      <c r="S3338" s="22">
        <f>IF($D3338="","",IF(AND(LEN($D3338)=10,LEFT($D3338,1)="0",ISNUMBER(--$D3338)),"Có","Không"))</f>
        <v/>
      </c>
      <c r="T3338" s="22">
        <f>IF($D3338="","",IF(AND($C3338&lt;&gt;"",$Q3338="Có",$R3338="",$S3338="Có",AND($L3338&lt;&gt;"",OR($L3338&lt;&gt;"Chưa xác định",DANH_MUC!$L$9="Có"))),"Có","Không"))</f>
        <v/>
      </c>
      <c r="U3338" s="22">
        <f>IF(OR($D3338="",$T3338="Có"),"",IF($C3338="","Thiếu họ tên; ","")&amp;IF($S3338&lt;&gt;"Có","SĐT sai định dạng; ","")&amp;IF($R3338="Trùng","Trùng SĐT; ","")&amp;IF($Q3338&lt;&gt;"Có","Thiếu đồng ý bắt buộc; ","")&amp;IF($L3338="","Thiếu/sai Mã REF; ",IF(AND($L3338="Chưa xác định",DANH_MUC!$L$9&lt;&gt;"Có"),"Nguồn chưa xác định; ","")))</f>
        <v/>
      </c>
      <c r="V3338" s="22">
        <f>IF(OR($D3338="",$R3338="Trùng"),"",IF(COUNTIF(ORDERS!$C$2:$C$4995,$D3338)&gt;0,"Có","Không"))</f>
        <v/>
      </c>
      <c r="W3338" s="22">
        <f>IF(OR($D3338="",$R3338="Trùng"),"",COUNTIFS(ORDERS!$C$2:$C$4995,$D3338,ORDERS!$L$2:$L$4995,"Đã chuyển khoản"))</f>
        <v/>
      </c>
      <c r="X3338" s="23">
        <f>IF(OR($D3338="",$R3338="Trùng"),"",SUMIFS(ORDERS!$J$2:$J$4995,ORDERS!$C$2:$C$4995,$D3338,ORDERS!$L$2:$L$4995,"Đã chuyển khoản"))</f>
        <v/>
      </c>
      <c r="Y3338" s="24" t="n"/>
    </row>
    <row r="3339" ht="14.25" customHeight="1" s="40">
      <c r="A3339" s="24" t="n"/>
      <c r="B3339" s="27" t="n"/>
      <c r="C3339" s="24" t="n"/>
      <c r="D3339" s="28" t="n"/>
      <c r="E3339" s="29" t="n"/>
      <c r="F3339" s="24" t="n"/>
      <c r="G3339" s="24" t="n"/>
      <c r="H3339" s="21">
        <f>IF(ISNUMBER($B3339),INT($B3339)-WEEKDAY($B3339,2)+1,"")</f>
        <v/>
      </c>
      <c r="I3339" s="24" t="n"/>
      <c r="J3339" s="22">
        <f t="array" ref="J3339">IF($D3339="","",IF($I3339="","(trống REF)",IFERROR(INDEX(MASTER_SOURCE!$B$2:$B$495,MATCH($I3339,MASTER_SOURCE!$A$2:$A$495,0)),"(REF không có trong MASTER_SOURCE)")))</f>
        <v/>
      </c>
      <c r="K3339" s="22">
        <f t="array" ref="K3339">IF($D3339="","",IFERROR(INDEX(MASTER_SOURCE!$C$2:$C$495,MATCH($I3339,MASTER_SOURCE!$A$2:$A$495,0)),""))</f>
        <v/>
      </c>
      <c r="L3339" s="22">
        <f t="array" ref="L3339">IF($D3339="","",IFERROR(INDEX(MASTER_SOURCE!$D$2:$D$495,MATCH($I3339,MASTER_SOURCE!$A$2:$A$495,0)),""))</f>
        <v/>
      </c>
      <c r="M3339" s="24" t="n"/>
      <c r="N3339" s="24" t="n"/>
      <c r="O3339" s="24" t="n"/>
      <c r="P3339" s="24" t="n"/>
      <c r="Q3339" s="22">
        <f>IF($D3339="","",IF(AND(OR(DANH_MUC!$L$5&lt;&gt;"Có",M3339="Có"),OR(DANH_MUC!$L$6&lt;&gt;"Có",N3339="Có"),OR(DANH_MUC!$L$7&lt;&gt;"Có",O3339="Có"),OR(DANH_MUC!$L$8&lt;&gt;"Có",P3339="Có")),"Có","Không"))</f>
        <v/>
      </c>
      <c r="R3339" s="22">
        <f>IF($D3339="","",IF(COUNTIF($D$2:$D3339,$D3339)&gt;1,"Trùng",""))</f>
        <v/>
      </c>
      <c r="S3339" s="22">
        <f>IF($D3339="","",IF(AND(LEN($D3339)=10,LEFT($D3339,1)="0",ISNUMBER(--$D3339)),"Có","Không"))</f>
        <v/>
      </c>
      <c r="T3339" s="22">
        <f>IF($D3339="","",IF(AND($C3339&lt;&gt;"",$Q3339="Có",$R3339="",$S3339="Có",AND($L3339&lt;&gt;"",OR($L3339&lt;&gt;"Chưa xác định",DANH_MUC!$L$9="Có"))),"Có","Không"))</f>
        <v/>
      </c>
      <c r="U3339" s="22">
        <f>IF(OR($D3339="",$T3339="Có"),"",IF($C3339="","Thiếu họ tên; ","")&amp;IF($S3339&lt;&gt;"Có","SĐT sai định dạng; ","")&amp;IF($R3339="Trùng","Trùng SĐT; ","")&amp;IF($Q3339&lt;&gt;"Có","Thiếu đồng ý bắt buộc; ","")&amp;IF($L3339="","Thiếu/sai Mã REF; ",IF(AND($L3339="Chưa xác định",DANH_MUC!$L$9&lt;&gt;"Có"),"Nguồn chưa xác định; ","")))</f>
        <v/>
      </c>
      <c r="V3339" s="22">
        <f>IF(OR($D3339="",$R3339="Trùng"),"",IF(COUNTIF(ORDERS!$C$2:$C$4995,$D3339)&gt;0,"Có","Không"))</f>
        <v/>
      </c>
      <c r="W3339" s="22">
        <f>IF(OR($D3339="",$R3339="Trùng"),"",COUNTIFS(ORDERS!$C$2:$C$4995,$D3339,ORDERS!$L$2:$L$4995,"Đã chuyển khoản"))</f>
        <v/>
      </c>
      <c r="X3339" s="23">
        <f>IF(OR($D3339="",$R3339="Trùng"),"",SUMIFS(ORDERS!$J$2:$J$4995,ORDERS!$C$2:$C$4995,$D3339,ORDERS!$L$2:$L$4995,"Đã chuyển khoản"))</f>
        <v/>
      </c>
      <c r="Y3339" s="24" t="n"/>
    </row>
    <row r="3340" ht="14.25" customHeight="1" s="40">
      <c r="A3340" s="24" t="n"/>
      <c r="B3340" s="27" t="n"/>
      <c r="C3340" s="24" t="n"/>
      <c r="D3340" s="28" t="n"/>
      <c r="E3340" s="29" t="n"/>
      <c r="F3340" s="24" t="n"/>
      <c r="G3340" s="24" t="n"/>
      <c r="H3340" s="21">
        <f>IF(ISNUMBER($B3340),INT($B3340)-WEEKDAY($B3340,2)+1,"")</f>
        <v/>
      </c>
      <c r="I3340" s="24" t="n"/>
      <c r="J3340" s="22">
        <f t="array" ref="J3340">IF($D3340="","",IF($I3340="","(trống REF)",IFERROR(INDEX(MASTER_SOURCE!$B$2:$B$495,MATCH($I3340,MASTER_SOURCE!$A$2:$A$495,0)),"(REF không có trong MASTER_SOURCE)")))</f>
        <v/>
      </c>
      <c r="K3340" s="22">
        <f t="array" ref="K3340">IF($D3340="","",IFERROR(INDEX(MASTER_SOURCE!$C$2:$C$495,MATCH($I3340,MASTER_SOURCE!$A$2:$A$495,0)),""))</f>
        <v/>
      </c>
      <c r="L3340" s="22">
        <f t="array" ref="L3340">IF($D3340="","",IFERROR(INDEX(MASTER_SOURCE!$D$2:$D$495,MATCH($I3340,MASTER_SOURCE!$A$2:$A$495,0)),""))</f>
        <v/>
      </c>
      <c r="M3340" s="24" t="n"/>
      <c r="N3340" s="24" t="n"/>
      <c r="O3340" s="24" t="n"/>
      <c r="P3340" s="24" t="n"/>
      <c r="Q3340" s="22">
        <f>IF($D3340="","",IF(AND(OR(DANH_MUC!$L$5&lt;&gt;"Có",M3340="Có"),OR(DANH_MUC!$L$6&lt;&gt;"Có",N3340="Có"),OR(DANH_MUC!$L$7&lt;&gt;"Có",O3340="Có"),OR(DANH_MUC!$L$8&lt;&gt;"Có",P3340="Có")),"Có","Không"))</f>
        <v/>
      </c>
      <c r="R3340" s="22">
        <f>IF($D3340="","",IF(COUNTIF($D$2:$D3340,$D3340)&gt;1,"Trùng",""))</f>
        <v/>
      </c>
      <c r="S3340" s="22">
        <f>IF($D3340="","",IF(AND(LEN($D3340)=10,LEFT($D3340,1)="0",ISNUMBER(--$D3340)),"Có","Không"))</f>
        <v/>
      </c>
      <c r="T3340" s="22">
        <f>IF($D3340="","",IF(AND($C3340&lt;&gt;"",$Q3340="Có",$R3340="",$S3340="Có",AND($L3340&lt;&gt;"",OR($L3340&lt;&gt;"Chưa xác định",DANH_MUC!$L$9="Có"))),"Có","Không"))</f>
        <v/>
      </c>
      <c r="U3340" s="22">
        <f>IF(OR($D3340="",$T3340="Có"),"",IF($C3340="","Thiếu họ tên; ","")&amp;IF($S3340&lt;&gt;"Có","SĐT sai định dạng; ","")&amp;IF($R3340="Trùng","Trùng SĐT; ","")&amp;IF($Q3340&lt;&gt;"Có","Thiếu đồng ý bắt buộc; ","")&amp;IF($L3340="","Thiếu/sai Mã REF; ",IF(AND($L3340="Chưa xác định",DANH_MUC!$L$9&lt;&gt;"Có"),"Nguồn chưa xác định; ","")))</f>
        <v/>
      </c>
      <c r="V3340" s="22">
        <f>IF(OR($D3340="",$R3340="Trùng"),"",IF(COUNTIF(ORDERS!$C$2:$C$4995,$D3340)&gt;0,"Có","Không"))</f>
        <v/>
      </c>
      <c r="W3340" s="22">
        <f>IF(OR($D3340="",$R3340="Trùng"),"",COUNTIFS(ORDERS!$C$2:$C$4995,$D3340,ORDERS!$L$2:$L$4995,"Đã chuyển khoản"))</f>
        <v/>
      </c>
      <c r="X3340" s="23">
        <f>IF(OR($D3340="",$R3340="Trùng"),"",SUMIFS(ORDERS!$J$2:$J$4995,ORDERS!$C$2:$C$4995,$D3340,ORDERS!$L$2:$L$4995,"Đã chuyển khoản"))</f>
        <v/>
      </c>
      <c r="Y3340" s="24" t="n"/>
    </row>
    <row r="3341" ht="14.25" customHeight="1" s="40">
      <c r="A3341" s="24" t="n"/>
      <c r="B3341" s="27" t="n"/>
      <c r="C3341" s="24" t="n"/>
      <c r="D3341" s="28" t="n"/>
      <c r="E3341" s="29" t="n"/>
      <c r="F3341" s="24" t="n"/>
      <c r="G3341" s="24" t="n"/>
      <c r="H3341" s="21">
        <f>IF(ISNUMBER($B3341),INT($B3341)-WEEKDAY($B3341,2)+1,"")</f>
        <v/>
      </c>
      <c r="I3341" s="24" t="n"/>
      <c r="J3341" s="22">
        <f t="array" ref="J3341">IF($D3341="","",IF($I3341="","(trống REF)",IFERROR(INDEX(MASTER_SOURCE!$B$2:$B$495,MATCH($I3341,MASTER_SOURCE!$A$2:$A$495,0)),"(REF không có trong MASTER_SOURCE)")))</f>
        <v/>
      </c>
      <c r="K3341" s="22">
        <f t="array" ref="K3341">IF($D3341="","",IFERROR(INDEX(MASTER_SOURCE!$C$2:$C$495,MATCH($I3341,MASTER_SOURCE!$A$2:$A$495,0)),""))</f>
        <v/>
      </c>
      <c r="L3341" s="22">
        <f t="array" ref="L3341">IF($D3341="","",IFERROR(INDEX(MASTER_SOURCE!$D$2:$D$495,MATCH($I3341,MASTER_SOURCE!$A$2:$A$495,0)),""))</f>
        <v/>
      </c>
      <c r="M3341" s="24" t="n"/>
      <c r="N3341" s="24" t="n"/>
      <c r="O3341" s="24" t="n"/>
      <c r="P3341" s="24" t="n"/>
      <c r="Q3341" s="22">
        <f>IF($D3341="","",IF(AND(OR(DANH_MUC!$L$5&lt;&gt;"Có",M3341="Có"),OR(DANH_MUC!$L$6&lt;&gt;"Có",N3341="Có"),OR(DANH_MUC!$L$7&lt;&gt;"Có",O3341="Có"),OR(DANH_MUC!$L$8&lt;&gt;"Có",P3341="Có")),"Có","Không"))</f>
        <v/>
      </c>
      <c r="R3341" s="22">
        <f>IF($D3341="","",IF(COUNTIF($D$2:$D3341,$D3341)&gt;1,"Trùng",""))</f>
        <v/>
      </c>
      <c r="S3341" s="22">
        <f>IF($D3341="","",IF(AND(LEN($D3341)=10,LEFT($D3341,1)="0",ISNUMBER(--$D3341)),"Có","Không"))</f>
        <v/>
      </c>
      <c r="T3341" s="22">
        <f>IF($D3341="","",IF(AND($C3341&lt;&gt;"",$Q3341="Có",$R3341="",$S3341="Có",AND($L3341&lt;&gt;"",OR($L3341&lt;&gt;"Chưa xác định",DANH_MUC!$L$9="Có"))),"Có","Không"))</f>
        <v/>
      </c>
      <c r="U3341" s="22">
        <f>IF(OR($D3341="",$T3341="Có"),"",IF($C3341="","Thiếu họ tên; ","")&amp;IF($S3341&lt;&gt;"Có","SĐT sai định dạng; ","")&amp;IF($R3341="Trùng","Trùng SĐT; ","")&amp;IF($Q3341&lt;&gt;"Có","Thiếu đồng ý bắt buộc; ","")&amp;IF($L3341="","Thiếu/sai Mã REF; ",IF(AND($L3341="Chưa xác định",DANH_MUC!$L$9&lt;&gt;"Có"),"Nguồn chưa xác định; ","")))</f>
        <v/>
      </c>
      <c r="V3341" s="22">
        <f>IF(OR($D3341="",$R3341="Trùng"),"",IF(COUNTIF(ORDERS!$C$2:$C$4995,$D3341)&gt;0,"Có","Không"))</f>
        <v/>
      </c>
      <c r="W3341" s="22">
        <f>IF(OR($D3341="",$R3341="Trùng"),"",COUNTIFS(ORDERS!$C$2:$C$4995,$D3341,ORDERS!$L$2:$L$4995,"Đã chuyển khoản"))</f>
        <v/>
      </c>
      <c r="X3341" s="23">
        <f>IF(OR($D3341="",$R3341="Trùng"),"",SUMIFS(ORDERS!$J$2:$J$4995,ORDERS!$C$2:$C$4995,$D3341,ORDERS!$L$2:$L$4995,"Đã chuyển khoản"))</f>
        <v/>
      </c>
      <c r="Y3341" s="24" t="n"/>
    </row>
    <row r="3342" ht="14.25" customHeight="1" s="40">
      <c r="A3342" s="24" t="n"/>
      <c r="B3342" s="27" t="n"/>
      <c r="C3342" s="24" t="n"/>
      <c r="D3342" s="28" t="n"/>
      <c r="E3342" s="29" t="n"/>
      <c r="F3342" s="24" t="n"/>
      <c r="G3342" s="24" t="n"/>
      <c r="H3342" s="21">
        <f>IF(ISNUMBER($B3342),INT($B3342)-WEEKDAY($B3342,2)+1,"")</f>
        <v/>
      </c>
      <c r="I3342" s="24" t="n"/>
      <c r="J3342" s="22">
        <f t="array" ref="J3342">IF($D3342="","",IF($I3342="","(trống REF)",IFERROR(INDEX(MASTER_SOURCE!$B$2:$B$495,MATCH($I3342,MASTER_SOURCE!$A$2:$A$495,0)),"(REF không có trong MASTER_SOURCE)")))</f>
        <v/>
      </c>
      <c r="K3342" s="22">
        <f t="array" ref="K3342">IF($D3342="","",IFERROR(INDEX(MASTER_SOURCE!$C$2:$C$495,MATCH($I3342,MASTER_SOURCE!$A$2:$A$495,0)),""))</f>
        <v/>
      </c>
      <c r="L3342" s="22">
        <f t="array" ref="L3342">IF($D3342="","",IFERROR(INDEX(MASTER_SOURCE!$D$2:$D$495,MATCH($I3342,MASTER_SOURCE!$A$2:$A$495,0)),""))</f>
        <v/>
      </c>
      <c r="M3342" s="24" t="n"/>
      <c r="N3342" s="24" t="n"/>
      <c r="O3342" s="24" t="n"/>
      <c r="P3342" s="24" t="n"/>
      <c r="Q3342" s="22">
        <f>IF($D3342="","",IF(AND(OR(DANH_MUC!$L$5&lt;&gt;"Có",M3342="Có"),OR(DANH_MUC!$L$6&lt;&gt;"Có",N3342="Có"),OR(DANH_MUC!$L$7&lt;&gt;"Có",O3342="Có"),OR(DANH_MUC!$L$8&lt;&gt;"Có",P3342="Có")),"Có","Không"))</f>
        <v/>
      </c>
      <c r="R3342" s="22">
        <f>IF($D3342="","",IF(COUNTIF($D$2:$D3342,$D3342)&gt;1,"Trùng",""))</f>
        <v/>
      </c>
      <c r="S3342" s="22">
        <f>IF($D3342="","",IF(AND(LEN($D3342)=10,LEFT($D3342,1)="0",ISNUMBER(--$D3342)),"Có","Không"))</f>
        <v/>
      </c>
      <c r="T3342" s="22">
        <f>IF($D3342="","",IF(AND($C3342&lt;&gt;"",$Q3342="Có",$R3342="",$S3342="Có",AND($L3342&lt;&gt;"",OR($L3342&lt;&gt;"Chưa xác định",DANH_MUC!$L$9="Có"))),"Có","Không"))</f>
        <v/>
      </c>
      <c r="U3342" s="22">
        <f>IF(OR($D3342="",$T3342="Có"),"",IF($C3342="","Thiếu họ tên; ","")&amp;IF($S3342&lt;&gt;"Có","SĐT sai định dạng; ","")&amp;IF($R3342="Trùng","Trùng SĐT; ","")&amp;IF($Q3342&lt;&gt;"Có","Thiếu đồng ý bắt buộc; ","")&amp;IF($L3342="","Thiếu/sai Mã REF; ",IF(AND($L3342="Chưa xác định",DANH_MUC!$L$9&lt;&gt;"Có"),"Nguồn chưa xác định; ","")))</f>
        <v/>
      </c>
      <c r="V3342" s="22">
        <f>IF(OR($D3342="",$R3342="Trùng"),"",IF(COUNTIF(ORDERS!$C$2:$C$4995,$D3342)&gt;0,"Có","Không"))</f>
        <v/>
      </c>
      <c r="W3342" s="22">
        <f>IF(OR($D3342="",$R3342="Trùng"),"",COUNTIFS(ORDERS!$C$2:$C$4995,$D3342,ORDERS!$L$2:$L$4995,"Đã chuyển khoản"))</f>
        <v/>
      </c>
      <c r="X3342" s="23">
        <f>IF(OR($D3342="",$R3342="Trùng"),"",SUMIFS(ORDERS!$J$2:$J$4995,ORDERS!$C$2:$C$4995,$D3342,ORDERS!$L$2:$L$4995,"Đã chuyển khoản"))</f>
        <v/>
      </c>
      <c r="Y3342" s="24" t="n"/>
    </row>
    <row r="3343" ht="14.25" customHeight="1" s="40">
      <c r="A3343" s="24" t="n"/>
      <c r="B3343" s="27" t="n"/>
      <c r="C3343" s="24" t="n"/>
      <c r="D3343" s="28" t="n"/>
      <c r="E3343" s="29" t="n"/>
      <c r="F3343" s="24" t="n"/>
      <c r="G3343" s="24" t="n"/>
      <c r="H3343" s="21">
        <f>IF(ISNUMBER($B3343),INT($B3343)-WEEKDAY($B3343,2)+1,"")</f>
        <v/>
      </c>
      <c r="I3343" s="24" t="n"/>
      <c r="J3343" s="22">
        <f t="array" ref="J3343">IF($D3343="","",IF($I3343="","(trống REF)",IFERROR(INDEX(MASTER_SOURCE!$B$2:$B$495,MATCH($I3343,MASTER_SOURCE!$A$2:$A$495,0)),"(REF không có trong MASTER_SOURCE)")))</f>
        <v/>
      </c>
      <c r="K3343" s="22">
        <f t="array" ref="K3343">IF($D3343="","",IFERROR(INDEX(MASTER_SOURCE!$C$2:$C$495,MATCH($I3343,MASTER_SOURCE!$A$2:$A$495,0)),""))</f>
        <v/>
      </c>
      <c r="L3343" s="22">
        <f t="array" ref="L3343">IF($D3343="","",IFERROR(INDEX(MASTER_SOURCE!$D$2:$D$495,MATCH($I3343,MASTER_SOURCE!$A$2:$A$495,0)),""))</f>
        <v/>
      </c>
      <c r="M3343" s="24" t="n"/>
      <c r="N3343" s="24" t="n"/>
      <c r="O3343" s="24" t="n"/>
      <c r="P3343" s="24" t="n"/>
      <c r="Q3343" s="22">
        <f>IF($D3343="","",IF(AND(OR(DANH_MUC!$L$5&lt;&gt;"Có",M3343="Có"),OR(DANH_MUC!$L$6&lt;&gt;"Có",N3343="Có"),OR(DANH_MUC!$L$7&lt;&gt;"Có",O3343="Có"),OR(DANH_MUC!$L$8&lt;&gt;"Có",P3343="Có")),"Có","Không"))</f>
        <v/>
      </c>
      <c r="R3343" s="22">
        <f>IF($D3343="","",IF(COUNTIF($D$2:$D3343,$D3343)&gt;1,"Trùng",""))</f>
        <v/>
      </c>
      <c r="S3343" s="22">
        <f>IF($D3343="","",IF(AND(LEN($D3343)=10,LEFT($D3343,1)="0",ISNUMBER(--$D3343)),"Có","Không"))</f>
        <v/>
      </c>
      <c r="T3343" s="22">
        <f>IF($D3343="","",IF(AND($C3343&lt;&gt;"",$Q3343="Có",$R3343="",$S3343="Có",AND($L3343&lt;&gt;"",OR($L3343&lt;&gt;"Chưa xác định",DANH_MUC!$L$9="Có"))),"Có","Không"))</f>
        <v/>
      </c>
      <c r="U3343" s="22">
        <f>IF(OR($D3343="",$T3343="Có"),"",IF($C3343="","Thiếu họ tên; ","")&amp;IF($S3343&lt;&gt;"Có","SĐT sai định dạng; ","")&amp;IF($R3343="Trùng","Trùng SĐT; ","")&amp;IF($Q3343&lt;&gt;"Có","Thiếu đồng ý bắt buộc; ","")&amp;IF($L3343="","Thiếu/sai Mã REF; ",IF(AND($L3343="Chưa xác định",DANH_MUC!$L$9&lt;&gt;"Có"),"Nguồn chưa xác định; ","")))</f>
        <v/>
      </c>
      <c r="V3343" s="22">
        <f>IF(OR($D3343="",$R3343="Trùng"),"",IF(COUNTIF(ORDERS!$C$2:$C$4995,$D3343)&gt;0,"Có","Không"))</f>
        <v/>
      </c>
      <c r="W3343" s="22">
        <f>IF(OR($D3343="",$R3343="Trùng"),"",COUNTIFS(ORDERS!$C$2:$C$4995,$D3343,ORDERS!$L$2:$L$4995,"Đã chuyển khoản"))</f>
        <v/>
      </c>
      <c r="X3343" s="23">
        <f>IF(OR($D3343="",$R3343="Trùng"),"",SUMIFS(ORDERS!$J$2:$J$4995,ORDERS!$C$2:$C$4995,$D3343,ORDERS!$L$2:$L$4995,"Đã chuyển khoản"))</f>
        <v/>
      </c>
      <c r="Y3343" s="24" t="n"/>
    </row>
    <row r="3344" ht="14.25" customHeight="1" s="40">
      <c r="A3344" s="24" t="n"/>
      <c r="B3344" s="27" t="n"/>
      <c r="C3344" s="24" t="n"/>
      <c r="D3344" s="28" t="n"/>
      <c r="E3344" s="29" t="n"/>
      <c r="F3344" s="24" t="n"/>
      <c r="G3344" s="24" t="n"/>
      <c r="H3344" s="21">
        <f>IF(ISNUMBER($B3344),INT($B3344)-WEEKDAY($B3344,2)+1,"")</f>
        <v/>
      </c>
      <c r="I3344" s="24" t="n"/>
      <c r="J3344" s="22">
        <f t="array" ref="J3344">IF($D3344="","",IF($I3344="","(trống REF)",IFERROR(INDEX(MASTER_SOURCE!$B$2:$B$495,MATCH($I3344,MASTER_SOURCE!$A$2:$A$495,0)),"(REF không có trong MASTER_SOURCE)")))</f>
        <v/>
      </c>
      <c r="K3344" s="22">
        <f t="array" ref="K3344">IF($D3344="","",IFERROR(INDEX(MASTER_SOURCE!$C$2:$C$495,MATCH($I3344,MASTER_SOURCE!$A$2:$A$495,0)),""))</f>
        <v/>
      </c>
      <c r="L3344" s="22">
        <f t="array" ref="L3344">IF($D3344="","",IFERROR(INDEX(MASTER_SOURCE!$D$2:$D$495,MATCH($I3344,MASTER_SOURCE!$A$2:$A$495,0)),""))</f>
        <v/>
      </c>
      <c r="M3344" s="24" t="n"/>
      <c r="N3344" s="24" t="n"/>
      <c r="O3344" s="24" t="n"/>
      <c r="P3344" s="24" t="n"/>
      <c r="Q3344" s="22">
        <f>IF($D3344="","",IF(AND(OR(DANH_MUC!$L$5&lt;&gt;"Có",M3344="Có"),OR(DANH_MUC!$L$6&lt;&gt;"Có",N3344="Có"),OR(DANH_MUC!$L$7&lt;&gt;"Có",O3344="Có"),OR(DANH_MUC!$L$8&lt;&gt;"Có",P3344="Có")),"Có","Không"))</f>
        <v/>
      </c>
      <c r="R3344" s="22">
        <f>IF($D3344="","",IF(COUNTIF($D$2:$D3344,$D3344)&gt;1,"Trùng",""))</f>
        <v/>
      </c>
      <c r="S3344" s="22">
        <f>IF($D3344="","",IF(AND(LEN($D3344)=10,LEFT($D3344,1)="0",ISNUMBER(--$D3344)),"Có","Không"))</f>
        <v/>
      </c>
      <c r="T3344" s="22">
        <f>IF($D3344="","",IF(AND($C3344&lt;&gt;"",$Q3344="Có",$R3344="",$S3344="Có",AND($L3344&lt;&gt;"",OR($L3344&lt;&gt;"Chưa xác định",DANH_MUC!$L$9="Có"))),"Có","Không"))</f>
        <v/>
      </c>
      <c r="U3344" s="22">
        <f>IF(OR($D3344="",$T3344="Có"),"",IF($C3344="","Thiếu họ tên; ","")&amp;IF($S3344&lt;&gt;"Có","SĐT sai định dạng; ","")&amp;IF($R3344="Trùng","Trùng SĐT; ","")&amp;IF($Q3344&lt;&gt;"Có","Thiếu đồng ý bắt buộc; ","")&amp;IF($L3344="","Thiếu/sai Mã REF; ",IF(AND($L3344="Chưa xác định",DANH_MUC!$L$9&lt;&gt;"Có"),"Nguồn chưa xác định; ","")))</f>
        <v/>
      </c>
      <c r="V3344" s="22">
        <f>IF(OR($D3344="",$R3344="Trùng"),"",IF(COUNTIF(ORDERS!$C$2:$C$4995,$D3344)&gt;0,"Có","Không"))</f>
        <v/>
      </c>
      <c r="W3344" s="22">
        <f>IF(OR($D3344="",$R3344="Trùng"),"",COUNTIFS(ORDERS!$C$2:$C$4995,$D3344,ORDERS!$L$2:$L$4995,"Đã chuyển khoản"))</f>
        <v/>
      </c>
      <c r="X3344" s="23">
        <f>IF(OR($D3344="",$R3344="Trùng"),"",SUMIFS(ORDERS!$J$2:$J$4995,ORDERS!$C$2:$C$4995,$D3344,ORDERS!$L$2:$L$4995,"Đã chuyển khoản"))</f>
        <v/>
      </c>
      <c r="Y3344" s="24" t="n"/>
    </row>
    <row r="3345" ht="14.25" customHeight="1" s="40">
      <c r="A3345" s="24" t="n"/>
      <c r="B3345" s="27" t="n"/>
      <c r="C3345" s="24" t="n"/>
      <c r="D3345" s="28" t="n"/>
      <c r="E3345" s="29" t="n"/>
      <c r="F3345" s="24" t="n"/>
      <c r="G3345" s="24" t="n"/>
      <c r="H3345" s="21">
        <f>IF(ISNUMBER($B3345),INT($B3345)-WEEKDAY($B3345,2)+1,"")</f>
        <v/>
      </c>
      <c r="I3345" s="24" t="n"/>
      <c r="J3345" s="22">
        <f t="array" ref="J3345">IF($D3345="","",IF($I3345="","(trống REF)",IFERROR(INDEX(MASTER_SOURCE!$B$2:$B$495,MATCH($I3345,MASTER_SOURCE!$A$2:$A$495,0)),"(REF không có trong MASTER_SOURCE)")))</f>
        <v/>
      </c>
      <c r="K3345" s="22">
        <f t="array" ref="K3345">IF($D3345="","",IFERROR(INDEX(MASTER_SOURCE!$C$2:$C$495,MATCH($I3345,MASTER_SOURCE!$A$2:$A$495,0)),""))</f>
        <v/>
      </c>
      <c r="L3345" s="22">
        <f t="array" ref="L3345">IF($D3345="","",IFERROR(INDEX(MASTER_SOURCE!$D$2:$D$495,MATCH($I3345,MASTER_SOURCE!$A$2:$A$495,0)),""))</f>
        <v/>
      </c>
      <c r="M3345" s="24" t="n"/>
      <c r="N3345" s="24" t="n"/>
      <c r="O3345" s="24" t="n"/>
      <c r="P3345" s="24" t="n"/>
      <c r="Q3345" s="22">
        <f>IF($D3345="","",IF(AND(OR(DANH_MUC!$L$5&lt;&gt;"Có",M3345="Có"),OR(DANH_MUC!$L$6&lt;&gt;"Có",N3345="Có"),OR(DANH_MUC!$L$7&lt;&gt;"Có",O3345="Có"),OR(DANH_MUC!$L$8&lt;&gt;"Có",P3345="Có")),"Có","Không"))</f>
        <v/>
      </c>
      <c r="R3345" s="22">
        <f>IF($D3345="","",IF(COUNTIF($D$2:$D3345,$D3345)&gt;1,"Trùng",""))</f>
        <v/>
      </c>
      <c r="S3345" s="22">
        <f>IF($D3345="","",IF(AND(LEN($D3345)=10,LEFT($D3345,1)="0",ISNUMBER(--$D3345)),"Có","Không"))</f>
        <v/>
      </c>
      <c r="T3345" s="22">
        <f>IF($D3345="","",IF(AND($C3345&lt;&gt;"",$Q3345="Có",$R3345="",$S3345="Có",AND($L3345&lt;&gt;"",OR($L3345&lt;&gt;"Chưa xác định",DANH_MUC!$L$9="Có"))),"Có","Không"))</f>
        <v/>
      </c>
      <c r="U3345" s="22">
        <f>IF(OR($D3345="",$T3345="Có"),"",IF($C3345="","Thiếu họ tên; ","")&amp;IF($S3345&lt;&gt;"Có","SĐT sai định dạng; ","")&amp;IF($R3345="Trùng","Trùng SĐT; ","")&amp;IF($Q3345&lt;&gt;"Có","Thiếu đồng ý bắt buộc; ","")&amp;IF($L3345="","Thiếu/sai Mã REF; ",IF(AND($L3345="Chưa xác định",DANH_MUC!$L$9&lt;&gt;"Có"),"Nguồn chưa xác định; ","")))</f>
        <v/>
      </c>
      <c r="V3345" s="22">
        <f>IF(OR($D3345="",$R3345="Trùng"),"",IF(COUNTIF(ORDERS!$C$2:$C$4995,$D3345)&gt;0,"Có","Không"))</f>
        <v/>
      </c>
      <c r="W3345" s="22">
        <f>IF(OR($D3345="",$R3345="Trùng"),"",COUNTIFS(ORDERS!$C$2:$C$4995,$D3345,ORDERS!$L$2:$L$4995,"Đã chuyển khoản"))</f>
        <v/>
      </c>
      <c r="X3345" s="23">
        <f>IF(OR($D3345="",$R3345="Trùng"),"",SUMIFS(ORDERS!$J$2:$J$4995,ORDERS!$C$2:$C$4995,$D3345,ORDERS!$L$2:$L$4995,"Đã chuyển khoản"))</f>
        <v/>
      </c>
      <c r="Y3345" s="24" t="n"/>
    </row>
    <row r="3346" ht="14.25" customHeight="1" s="40">
      <c r="A3346" s="24" t="n"/>
      <c r="B3346" s="27" t="n"/>
      <c r="C3346" s="24" t="n"/>
      <c r="D3346" s="28" t="n"/>
      <c r="E3346" s="29" t="n"/>
      <c r="F3346" s="24" t="n"/>
      <c r="G3346" s="24" t="n"/>
      <c r="H3346" s="21">
        <f>IF(ISNUMBER($B3346),INT($B3346)-WEEKDAY($B3346,2)+1,"")</f>
        <v/>
      </c>
      <c r="I3346" s="24" t="n"/>
      <c r="J3346" s="22">
        <f t="array" ref="J3346">IF($D3346="","",IF($I3346="","(trống REF)",IFERROR(INDEX(MASTER_SOURCE!$B$2:$B$495,MATCH($I3346,MASTER_SOURCE!$A$2:$A$495,0)),"(REF không có trong MASTER_SOURCE)")))</f>
        <v/>
      </c>
      <c r="K3346" s="22">
        <f t="array" ref="K3346">IF($D3346="","",IFERROR(INDEX(MASTER_SOURCE!$C$2:$C$495,MATCH($I3346,MASTER_SOURCE!$A$2:$A$495,0)),""))</f>
        <v/>
      </c>
      <c r="L3346" s="22">
        <f t="array" ref="L3346">IF($D3346="","",IFERROR(INDEX(MASTER_SOURCE!$D$2:$D$495,MATCH($I3346,MASTER_SOURCE!$A$2:$A$495,0)),""))</f>
        <v/>
      </c>
      <c r="M3346" s="24" t="n"/>
      <c r="N3346" s="24" t="n"/>
      <c r="O3346" s="24" t="n"/>
      <c r="P3346" s="24" t="n"/>
      <c r="Q3346" s="22">
        <f>IF($D3346="","",IF(AND(OR(DANH_MUC!$L$5&lt;&gt;"Có",M3346="Có"),OR(DANH_MUC!$L$6&lt;&gt;"Có",N3346="Có"),OR(DANH_MUC!$L$7&lt;&gt;"Có",O3346="Có"),OR(DANH_MUC!$L$8&lt;&gt;"Có",P3346="Có")),"Có","Không"))</f>
        <v/>
      </c>
      <c r="R3346" s="22">
        <f>IF($D3346="","",IF(COUNTIF($D$2:$D3346,$D3346)&gt;1,"Trùng",""))</f>
        <v/>
      </c>
      <c r="S3346" s="22">
        <f>IF($D3346="","",IF(AND(LEN($D3346)=10,LEFT($D3346,1)="0",ISNUMBER(--$D3346)),"Có","Không"))</f>
        <v/>
      </c>
      <c r="T3346" s="22">
        <f>IF($D3346="","",IF(AND($C3346&lt;&gt;"",$Q3346="Có",$R3346="",$S3346="Có",AND($L3346&lt;&gt;"",OR($L3346&lt;&gt;"Chưa xác định",DANH_MUC!$L$9="Có"))),"Có","Không"))</f>
        <v/>
      </c>
      <c r="U3346" s="22">
        <f>IF(OR($D3346="",$T3346="Có"),"",IF($C3346="","Thiếu họ tên; ","")&amp;IF($S3346&lt;&gt;"Có","SĐT sai định dạng; ","")&amp;IF($R3346="Trùng","Trùng SĐT; ","")&amp;IF($Q3346&lt;&gt;"Có","Thiếu đồng ý bắt buộc; ","")&amp;IF($L3346="","Thiếu/sai Mã REF; ",IF(AND($L3346="Chưa xác định",DANH_MUC!$L$9&lt;&gt;"Có"),"Nguồn chưa xác định; ","")))</f>
        <v/>
      </c>
      <c r="V3346" s="22">
        <f>IF(OR($D3346="",$R3346="Trùng"),"",IF(COUNTIF(ORDERS!$C$2:$C$4995,$D3346)&gt;0,"Có","Không"))</f>
        <v/>
      </c>
      <c r="W3346" s="22">
        <f>IF(OR($D3346="",$R3346="Trùng"),"",COUNTIFS(ORDERS!$C$2:$C$4995,$D3346,ORDERS!$L$2:$L$4995,"Đã chuyển khoản"))</f>
        <v/>
      </c>
      <c r="X3346" s="23">
        <f>IF(OR($D3346="",$R3346="Trùng"),"",SUMIFS(ORDERS!$J$2:$J$4995,ORDERS!$C$2:$C$4995,$D3346,ORDERS!$L$2:$L$4995,"Đã chuyển khoản"))</f>
        <v/>
      </c>
      <c r="Y3346" s="24" t="n"/>
    </row>
    <row r="3347" ht="14.25" customHeight="1" s="40">
      <c r="A3347" s="24" t="n"/>
      <c r="B3347" s="27" t="n"/>
      <c r="C3347" s="24" t="n"/>
      <c r="D3347" s="28" t="n"/>
      <c r="E3347" s="29" t="n"/>
      <c r="F3347" s="24" t="n"/>
      <c r="G3347" s="24" t="n"/>
      <c r="H3347" s="21">
        <f>IF(ISNUMBER($B3347),INT($B3347)-WEEKDAY($B3347,2)+1,"")</f>
        <v/>
      </c>
      <c r="I3347" s="24" t="n"/>
      <c r="J3347" s="22">
        <f t="array" ref="J3347">IF($D3347="","",IF($I3347="","(trống REF)",IFERROR(INDEX(MASTER_SOURCE!$B$2:$B$495,MATCH($I3347,MASTER_SOURCE!$A$2:$A$495,0)),"(REF không có trong MASTER_SOURCE)")))</f>
        <v/>
      </c>
      <c r="K3347" s="22">
        <f t="array" ref="K3347">IF($D3347="","",IFERROR(INDEX(MASTER_SOURCE!$C$2:$C$495,MATCH($I3347,MASTER_SOURCE!$A$2:$A$495,0)),""))</f>
        <v/>
      </c>
      <c r="L3347" s="22">
        <f t="array" ref="L3347">IF($D3347="","",IFERROR(INDEX(MASTER_SOURCE!$D$2:$D$495,MATCH($I3347,MASTER_SOURCE!$A$2:$A$495,0)),""))</f>
        <v/>
      </c>
      <c r="M3347" s="24" t="n"/>
      <c r="N3347" s="24" t="n"/>
      <c r="O3347" s="24" t="n"/>
      <c r="P3347" s="24" t="n"/>
      <c r="Q3347" s="22">
        <f>IF($D3347="","",IF(AND(OR(DANH_MUC!$L$5&lt;&gt;"Có",M3347="Có"),OR(DANH_MUC!$L$6&lt;&gt;"Có",N3347="Có"),OR(DANH_MUC!$L$7&lt;&gt;"Có",O3347="Có"),OR(DANH_MUC!$L$8&lt;&gt;"Có",P3347="Có")),"Có","Không"))</f>
        <v/>
      </c>
      <c r="R3347" s="22">
        <f>IF($D3347="","",IF(COUNTIF($D$2:$D3347,$D3347)&gt;1,"Trùng",""))</f>
        <v/>
      </c>
      <c r="S3347" s="22">
        <f>IF($D3347="","",IF(AND(LEN($D3347)=10,LEFT($D3347,1)="0",ISNUMBER(--$D3347)),"Có","Không"))</f>
        <v/>
      </c>
      <c r="T3347" s="22">
        <f>IF($D3347="","",IF(AND($C3347&lt;&gt;"",$Q3347="Có",$R3347="",$S3347="Có",AND($L3347&lt;&gt;"",OR($L3347&lt;&gt;"Chưa xác định",DANH_MUC!$L$9="Có"))),"Có","Không"))</f>
        <v/>
      </c>
      <c r="U3347" s="22">
        <f>IF(OR($D3347="",$T3347="Có"),"",IF($C3347="","Thiếu họ tên; ","")&amp;IF($S3347&lt;&gt;"Có","SĐT sai định dạng; ","")&amp;IF($R3347="Trùng","Trùng SĐT; ","")&amp;IF($Q3347&lt;&gt;"Có","Thiếu đồng ý bắt buộc; ","")&amp;IF($L3347="","Thiếu/sai Mã REF; ",IF(AND($L3347="Chưa xác định",DANH_MUC!$L$9&lt;&gt;"Có"),"Nguồn chưa xác định; ","")))</f>
        <v/>
      </c>
      <c r="V3347" s="22">
        <f>IF(OR($D3347="",$R3347="Trùng"),"",IF(COUNTIF(ORDERS!$C$2:$C$4995,$D3347)&gt;0,"Có","Không"))</f>
        <v/>
      </c>
      <c r="W3347" s="22">
        <f>IF(OR($D3347="",$R3347="Trùng"),"",COUNTIFS(ORDERS!$C$2:$C$4995,$D3347,ORDERS!$L$2:$L$4995,"Đã chuyển khoản"))</f>
        <v/>
      </c>
      <c r="X3347" s="23">
        <f>IF(OR($D3347="",$R3347="Trùng"),"",SUMIFS(ORDERS!$J$2:$J$4995,ORDERS!$C$2:$C$4995,$D3347,ORDERS!$L$2:$L$4995,"Đã chuyển khoản"))</f>
        <v/>
      </c>
      <c r="Y3347" s="24" t="n"/>
    </row>
    <row r="3348" ht="14.25" customHeight="1" s="40">
      <c r="A3348" s="24" t="n"/>
      <c r="B3348" s="27" t="n"/>
      <c r="C3348" s="24" t="n"/>
      <c r="D3348" s="28" t="n"/>
      <c r="E3348" s="29" t="n"/>
      <c r="F3348" s="24" t="n"/>
      <c r="G3348" s="24" t="n"/>
      <c r="H3348" s="21">
        <f>IF(ISNUMBER($B3348),INT($B3348)-WEEKDAY($B3348,2)+1,"")</f>
        <v/>
      </c>
      <c r="I3348" s="24" t="n"/>
      <c r="J3348" s="22">
        <f t="array" ref="J3348">IF($D3348="","",IF($I3348="","(trống REF)",IFERROR(INDEX(MASTER_SOURCE!$B$2:$B$495,MATCH($I3348,MASTER_SOURCE!$A$2:$A$495,0)),"(REF không có trong MASTER_SOURCE)")))</f>
        <v/>
      </c>
      <c r="K3348" s="22">
        <f t="array" ref="K3348">IF($D3348="","",IFERROR(INDEX(MASTER_SOURCE!$C$2:$C$495,MATCH($I3348,MASTER_SOURCE!$A$2:$A$495,0)),""))</f>
        <v/>
      </c>
      <c r="L3348" s="22">
        <f t="array" ref="L3348">IF($D3348="","",IFERROR(INDEX(MASTER_SOURCE!$D$2:$D$495,MATCH($I3348,MASTER_SOURCE!$A$2:$A$495,0)),""))</f>
        <v/>
      </c>
      <c r="M3348" s="24" t="n"/>
      <c r="N3348" s="24" t="n"/>
      <c r="O3348" s="24" t="n"/>
      <c r="P3348" s="24" t="n"/>
      <c r="Q3348" s="22">
        <f>IF($D3348="","",IF(AND(OR(DANH_MUC!$L$5&lt;&gt;"Có",M3348="Có"),OR(DANH_MUC!$L$6&lt;&gt;"Có",N3348="Có"),OR(DANH_MUC!$L$7&lt;&gt;"Có",O3348="Có"),OR(DANH_MUC!$L$8&lt;&gt;"Có",P3348="Có")),"Có","Không"))</f>
        <v/>
      </c>
      <c r="R3348" s="22">
        <f>IF($D3348="","",IF(COUNTIF($D$2:$D3348,$D3348)&gt;1,"Trùng",""))</f>
        <v/>
      </c>
      <c r="S3348" s="22">
        <f>IF($D3348="","",IF(AND(LEN($D3348)=10,LEFT($D3348,1)="0",ISNUMBER(--$D3348)),"Có","Không"))</f>
        <v/>
      </c>
      <c r="T3348" s="22">
        <f>IF($D3348="","",IF(AND($C3348&lt;&gt;"",$Q3348="Có",$R3348="",$S3348="Có",AND($L3348&lt;&gt;"",OR($L3348&lt;&gt;"Chưa xác định",DANH_MUC!$L$9="Có"))),"Có","Không"))</f>
        <v/>
      </c>
      <c r="U3348" s="22">
        <f>IF(OR($D3348="",$T3348="Có"),"",IF($C3348="","Thiếu họ tên; ","")&amp;IF($S3348&lt;&gt;"Có","SĐT sai định dạng; ","")&amp;IF($R3348="Trùng","Trùng SĐT; ","")&amp;IF($Q3348&lt;&gt;"Có","Thiếu đồng ý bắt buộc; ","")&amp;IF($L3348="","Thiếu/sai Mã REF; ",IF(AND($L3348="Chưa xác định",DANH_MUC!$L$9&lt;&gt;"Có"),"Nguồn chưa xác định; ","")))</f>
        <v/>
      </c>
      <c r="V3348" s="22">
        <f>IF(OR($D3348="",$R3348="Trùng"),"",IF(COUNTIF(ORDERS!$C$2:$C$4995,$D3348)&gt;0,"Có","Không"))</f>
        <v/>
      </c>
      <c r="W3348" s="22">
        <f>IF(OR($D3348="",$R3348="Trùng"),"",COUNTIFS(ORDERS!$C$2:$C$4995,$D3348,ORDERS!$L$2:$L$4995,"Đã chuyển khoản"))</f>
        <v/>
      </c>
      <c r="X3348" s="23">
        <f>IF(OR($D3348="",$R3348="Trùng"),"",SUMIFS(ORDERS!$J$2:$J$4995,ORDERS!$C$2:$C$4995,$D3348,ORDERS!$L$2:$L$4995,"Đã chuyển khoản"))</f>
        <v/>
      </c>
      <c r="Y3348" s="24" t="n"/>
    </row>
    <row r="3349" ht="14.25" customHeight="1" s="40">
      <c r="A3349" s="24" t="n"/>
      <c r="B3349" s="27" t="n"/>
      <c r="C3349" s="24" t="n"/>
      <c r="D3349" s="28" t="n"/>
      <c r="E3349" s="29" t="n"/>
      <c r="F3349" s="24" t="n"/>
      <c r="G3349" s="24" t="n"/>
      <c r="H3349" s="21">
        <f>IF(ISNUMBER($B3349),INT($B3349)-WEEKDAY($B3349,2)+1,"")</f>
        <v/>
      </c>
      <c r="I3349" s="24" t="n"/>
      <c r="J3349" s="22">
        <f t="array" ref="J3349">IF($D3349="","",IF($I3349="","(trống REF)",IFERROR(INDEX(MASTER_SOURCE!$B$2:$B$495,MATCH($I3349,MASTER_SOURCE!$A$2:$A$495,0)),"(REF không có trong MASTER_SOURCE)")))</f>
        <v/>
      </c>
      <c r="K3349" s="22">
        <f t="array" ref="K3349">IF($D3349="","",IFERROR(INDEX(MASTER_SOURCE!$C$2:$C$495,MATCH($I3349,MASTER_SOURCE!$A$2:$A$495,0)),""))</f>
        <v/>
      </c>
      <c r="L3349" s="22">
        <f t="array" ref="L3349">IF($D3349="","",IFERROR(INDEX(MASTER_SOURCE!$D$2:$D$495,MATCH($I3349,MASTER_SOURCE!$A$2:$A$495,0)),""))</f>
        <v/>
      </c>
      <c r="M3349" s="24" t="n"/>
      <c r="N3349" s="24" t="n"/>
      <c r="O3349" s="24" t="n"/>
      <c r="P3349" s="24" t="n"/>
      <c r="Q3349" s="22">
        <f>IF($D3349="","",IF(AND(OR(DANH_MUC!$L$5&lt;&gt;"Có",M3349="Có"),OR(DANH_MUC!$L$6&lt;&gt;"Có",N3349="Có"),OR(DANH_MUC!$L$7&lt;&gt;"Có",O3349="Có"),OR(DANH_MUC!$L$8&lt;&gt;"Có",P3349="Có")),"Có","Không"))</f>
        <v/>
      </c>
      <c r="R3349" s="22">
        <f>IF($D3349="","",IF(COUNTIF($D$2:$D3349,$D3349)&gt;1,"Trùng",""))</f>
        <v/>
      </c>
      <c r="S3349" s="22">
        <f>IF($D3349="","",IF(AND(LEN($D3349)=10,LEFT($D3349,1)="0",ISNUMBER(--$D3349)),"Có","Không"))</f>
        <v/>
      </c>
      <c r="T3349" s="22">
        <f>IF($D3349="","",IF(AND($C3349&lt;&gt;"",$Q3349="Có",$R3349="",$S3349="Có",AND($L3349&lt;&gt;"",OR($L3349&lt;&gt;"Chưa xác định",DANH_MUC!$L$9="Có"))),"Có","Không"))</f>
        <v/>
      </c>
      <c r="U3349" s="22">
        <f>IF(OR($D3349="",$T3349="Có"),"",IF($C3349="","Thiếu họ tên; ","")&amp;IF($S3349&lt;&gt;"Có","SĐT sai định dạng; ","")&amp;IF($R3349="Trùng","Trùng SĐT; ","")&amp;IF($Q3349&lt;&gt;"Có","Thiếu đồng ý bắt buộc; ","")&amp;IF($L3349="","Thiếu/sai Mã REF; ",IF(AND($L3349="Chưa xác định",DANH_MUC!$L$9&lt;&gt;"Có"),"Nguồn chưa xác định; ","")))</f>
        <v/>
      </c>
      <c r="V3349" s="22">
        <f>IF(OR($D3349="",$R3349="Trùng"),"",IF(COUNTIF(ORDERS!$C$2:$C$4995,$D3349)&gt;0,"Có","Không"))</f>
        <v/>
      </c>
      <c r="W3349" s="22">
        <f>IF(OR($D3349="",$R3349="Trùng"),"",COUNTIFS(ORDERS!$C$2:$C$4995,$D3349,ORDERS!$L$2:$L$4995,"Đã chuyển khoản"))</f>
        <v/>
      </c>
      <c r="X3349" s="23">
        <f>IF(OR($D3349="",$R3349="Trùng"),"",SUMIFS(ORDERS!$J$2:$J$4995,ORDERS!$C$2:$C$4995,$D3349,ORDERS!$L$2:$L$4995,"Đã chuyển khoản"))</f>
        <v/>
      </c>
      <c r="Y3349" s="24" t="n"/>
    </row>
    <row r="3350" ht="14.25" customHeight="1" s="40">
      <c r="A3350" s="24" t="n"/>
      <c r="B3350" s="27" t="n"/>
      <c r="C3350" s="24" t="n"/>
      <c r="D3350" s="28" t="n"/>
      <c r="E3350" s="29" t="n"/>
      <c r="F3350" s="24" t="n"/>
      <c r="G3350" s="24" t="n"/>
      <c r="H3350" s="21">
        <f>IF(ISNUMBER($B3350),INT($B3350)-WEEKDAY($B3350,2)+1,"")</f>
        <v/>
      </c>
      <c r="I3350" s="24" t="n"/>
      <c r="J3350" s="22">
        <f t="array" ref="J3350">IF($D3350="","",IF($I3350="","(trống REF)",IFERROR(INDEX(MASTER_SOURCE!$B$2:$B$495,MATCH($I3350,MASTER_SOURCE!$A$2:$A$495,0)),"(REF không có trong MASTER_SOURCE)")))</f>
        <v/>
      </c>
      <c r="K3350" s="22">
        <f t="array" ref="K3350">IF($D3350="","",IFERROR(INDEX(MASTER_SOURCE!$C$2:$C$495,MATCH($I3350,MASTER_SOURCE!$A$2:$A$495,0)),""))</f>
        <v/>
      </c>
      <c r="L3350" s="22">
        <f t="array" ref="L3350">IF($D3350="","",IFERROR(INDEX(MASTER_SOURCE!$D$2:$D$495,MATCH($I3350,MASTER_SOURCE!$A$2:$A$495,0)),""))</f>
        <v/>
      </c>
      <c r="M3350" s="24" t="n"/>
      <c r="N3350" s="24" t="n"/>
      <c r="O3350" s="24" t="n"/>
      <c r="P3350" s="24" t="n"/>
      <c r="Q3350" s="22">
        <f>IF($D3350="","",IF(AND(OR(DANH_MUC!$L$5&lt;&gt;"Có",M3350="Có"),OR(DANH_MUC!$L$6&lt;&gt;"Có",N3350="Có"),OR(DANH_MUC!$L$7&lt;&gt;"Có",O3350="Có"),OR(DANH_MUC!$L$8&lt;&gt;"Có",P3350="Có")),"Có","Không"))</f>
        <v/>
      </c>
      <c r="R3350" s="22">
        <f>IF($D3350="","",IF(COUNTIF($D$2:$D3350,$D3350)&gt;1,"Trùng",""))</f>
        <v/>
      </c>
      <c r="S3350" s="22">
        <f>IF($D3350="","",IF(AND(LEN($D3350)=10,LEFT($D3350,1)="0",ISNUMBER(--$D3350)),"Có","Không"))</f>
        <v/>
      </c>
      <c r="T3350" s="22">
        <f>IF($D3350="","",IF(AND($C3350&lt;&gt;"",$Q3350="Có",$R3350="",$S3350="Có",AND($L3350&lt;&gt;"",OR($L3350&lt;&gt;"Chưa xác định",DANH_MUC!$L$9="Có"))),"Có","Không"))</f>
        <v/>
      </c>
      <c r="U3350" s="22">
        <f>IF(OR($D3350="",$T3350="Có"),"",IF($C3350="","Thiếu họ tên; ","")&amp;IF($S3350&lt;&gt;"Có","SĐT sai định dạng; ","")&amp;IF($R3350="Trùng","Trùng SĐT; ","")&amp;IF($Q3350&lt;&gt;"Có","Thiếu đồng ý bắt buộc; ","")&amp;IF($L3350="","Thiếu/sai Mã REF; ",IF(AND($L3350="Chưa xác định",DANH_MUC!$L$9&lt;&gt;"Có"),"Nguồn chưa xác định; ","")))</f>
        <v/>
      </c>
      <c r="V3350" s="22">
        <f>IF(OR($D3350="",$R3350="Trùng"),"",IF(COUNTIF(ORDERS!$C$2:$C$4995,$D3350)&gt;0,"Có","Không"))</f>
        <v/>
      </c>
      <c r="W3350" s="22">
        <f>IF(OR($D3350="",$R3350="Trùng"),"",COUNTIFS(ORDERS!$C$2:$C$4995,$D3350,ORDERS!$L$2:$L$4995,"Đã chuyển khoản"))</f>
        <v/>
      </c>
      <c r="X3350" s="23">
        <f>IF(OR($D3350="",$R3350="Trùng"),"",SUMIFS(ORDERS!$J$2:$J$4995,ORDERS!$C$2:$C$4995,$D3350,ORDERS!$L$2:$L$4995,"Đã chuyển khoản"))</f>
        <v/>
      </c>
      <c r="Y3350" s="24" t="n"/>
    </row>
    <row r="3351" ht="14.25" customHeight="1" s="40">
      <c r="A3351" s="24" t="n"/>
      <c r="B3351" s="27" t="n"/>
      <c r="C3351" s="24" t="n"/>
      <c r="D3351" s="28" t="n"/>
      <c r="E3351" s="29" t="n"/>
      <c r="F3351" s="24" t="n"/>
      <c r="G3351" s="24" t="n"/>
      <c r="H3351" s="21">
        <f>IF(ISNUMBER($B3351),INT($B3351)-WEEKDAY($B3351,2)+1,"")</f>
        <v/>
      </c>
      <c r="I3351" s="24" t="n"/>
      <c r="J3351" s="22">
        <f t="array" ref="J3351">IF($D3351="","",IF($I3351="","(trống REF)",IFERROR(INDEX(MASTER_SOURCE!$B$2:$B$495,MATCH($I3351,MASTER_SOURCE!$A$2:$A$495,0)),"(REF không có trong MASTER_SOURCE)")))</f>
        <v/>
      </c>
      <c r="K3351" s="22">
        <f t="array" ref="K3351">IF($D3351="","",IFERROR(INDEX(MASTER_SOURCE!$C$2:$C$495,MATCH($I3351,MASTER_SOURCE!$A$2:$A$495,0)),""))</f>
        <v/>
      </c>
      <c r="L3351" s="22">
        <f t="array" ref="L3351">IF($D3351="","",IFERROR(INDEX(MASTER_SOURCE!$D$2:$D$495,MATCH($I3351,MASTER_SOURCE!$A$2:$A$495,0)),""))</f>
        <v/>
      </c>
      <c r="M3351" s="24" t="n"/>
      <c r="N3351" s="24" t="n"/>
      <c r="O3351" s="24" t="n"/>
      <c r="P3351" s="24" t="n"/>
      <c r="Q3351" s="22">
        <f>IF($D3351="","",IF(AND(OR(DANH_MUC!$L$5&lt;&gt;"Có",M3351="Có"),OR(DANH_MUC!$L$6&lt;&gt;"Có",N3351="Có"),OR(DANH_MUC!$L$7&lt;&gt;"Có",O3351="Có"),OR(DANH_MUC!$L$8&lt;&gt;"Có",P3351="Có")),"Có","Không"))</f>
        <v/>
      </c>
      <c r="R3351" s="22">
        <f>IF($D3351="","",IF(COUNTIF($D$2:$D3351,$D3351)&gt;1,"Trùng",""))</f>
        <v/>
      </c>
      <c r="S3351" s="22">
        <f>IF($D3351="","",IF(AND(LEN($D3351)=10,LEFT($D3351,1)="0",ISNUMBER(--$D3351)),"Có","Không"))</f>
        <v/>
      </c>
      <c r="T3351" s="22">
        <f>IF($D3351="","",IF(AND($C3351&lt;&gt;"",$Q3351="Có",$R3351="",$S3351="Có",AND($L3351&lt;&gt;"",OR($L3351&lt;&gt;"Chưa xác định",DANH_MUC!$L$9="Có"))),"Có","Không"))</f>
        <v/>
      </c>
      <c r="U3351" s="22">
        <f>IF(OR($D3351="",$T3351="Có"),"",IF($C3351="","Thiếu họ tên; ","")&amp;IF($S3351&lt;&gt;"Có","SĐT sai định dạng; ","")&amp;IF($R3351="Trùng","Trùng SĐT; ","")&amp;IF($Q3351&lt;&gt;"Có","Thiếu đồng ý bắt buộc; ","")&amp;IF($L3351="","Thiếu/sai Mã REF; ",IF(AND($L3351="Chưa xác định",DANH_MUC!$L$9&lt;&gt;"Có"),"Nguồn chưa xác định; ","")))</f>
        <v/>
      </c>
      <c r="V3351" s="22">
        <f>IF(OR($D3351="",$R3351="Trùng"),"",IF(COUNTIF(ORDERS!$C$2:$C$4995,$D3351)&gt;0,"Có","Không"))</f>
        <v/>
      </c>
      <c r="W3351" s="22">
        <f>IF(OR($D3351="",$R3351="Trùng"),"",COUNTIFS(ORDERS!$C$2:$C$4995,$D3351,ORDERS!$L$2:$L$4995,"Đã chuyển khoản"))</f>
        <v/>
      </c>
      <c r="X3351" s="23">
        <f>IF(OR($D3351="",$R3351="Trùng"),"",SUMIFS(ORDERS!$J$2:$J$4995,ORDERS!$C$2:$C$4995,$D3351,ORDERS!$L$2:$L$4995,"Đã chuyển khoản"))</f>
        <v/>
      </c>
      <c r="Y3351" s="24" t="n"/>
    </row>
    <row r="3352" ht="14.25" customHeight="1" s="40">
      <c r="A3352" s="24" t="n"/>
      <c r="B3352" s="27" t="n"/>
      <c r="C3352" s="24" t="n"/>
      <c r="D3352" s="28" t="n"/>
      <c r="E3352" s="29" t="n"/>
      <c r="F3352" s="24" t="n"/>
      <c r="G3352" s="24" t="n"/>
      <c r="H3352" s="21">
        <f>IF(ISNUMBER($B3352),INT($B3352)-WEEKDAY($B3352,2)+1,"")</f>
        <v/>
      </c>
      <c r="I3352" s="24" t="n"/>
      <c r="J3352" s="22">
        <f t="array" ref="J3352">IF($D3352="","",IF($I3352="","(trống REF)",IFERROR(INDEX(MASTER_SOURCE!$B$2:$B$495,MATCH($I3352,MASTER_SOURCE!$A$2:$A$495,0)),"(REF không có trong MASTER_SOURCE)")))</f>
        <v/>
      </c>
      <c r="K3352" s="22">
        <f t="array" ref="K3352">IF($D3352="","",IFERROR(INDEX(MASTER_SOURCE!$C$2:$C$495,MATCH($I3352,MASTER_SOURCE!$A$2:$A$495,0)),""))</f>
        <v/>
      </c>
      <c r="L3352" s="22">
        <f t="array" ref="L3352">IF($D3352="","",IFERROR(INDEX(MASTER_SOURCE!$D$2:$D$495,MATCH($I3352,MASTER_SOURCE!$A$2:$A$495,0)),""))</f>
        <v/>
      </c>
      <c r="M3352" s="24" t="n"/>
      <c r="N3352" s="24" t="n"/>
      <c r="O3352" s="24" t="n"/>
      <c r="P3352" s="24" t="n"/>
      <c r="Q3352" s="22">
        <f>IF($D3352="","",IF(AND(OR(DANH_MUC!$L$5&lt;&gt;"Có",M3352="Có"),OR(DANH_MUC!$L$6&lt;&gt;"Có",N3352="Có"),OR(DANH_MUC!$L$7&lt;&gt;"Có",O3352="Có"),OR(DANH_MUC!$L$8&lt;&gt;"Có",P3352="Có")),"Có","Không"))</f>
        <v/>
      </c>
      <c r="R3352" s="22">
        <f>IF($D3352="","",IF(COUNTIF($D$2:$D3352,$D3352)&gt;1,"Trùng",""))</f>
        <v/>
      </c>
      <c r="S3352" s="22">
        <f>IF($D3352="","",IF(AND(LEN($D3352)=10,LEFT($D3352,1)="0",ISNUMBER(--$D3352)),"Có","Không"))</f>
        <v/>
      </c>
      <c r="T3352" s="22">
        <f>IF($D3352="","",IF(AND($C3352&lt;&gt;"",$Q3352="Có",$R3352="",$S3352="Có",AND($L3352&lt;&gt;"",OR($L3352&lt;&gt;"Chưa xác định",DANH_MUC!$L$9="Có"))),"Có","Không"))</f>
        <v/>
      </c>
      <c r="U3352" s="22">
        <f>IF(OR($D3352="",$T3352="Có"),"",IF($C3352="","Thiếu họ tên; ","")&amp;IF($S3352&lt;&gt;"Có","SĐT sai định dạng; ","")&amp;IF($R3352="Trùng","Trùng SĐT; ","")&amp;IF($Q3352&lt;&gt;"Có","Thiếu đồng ý bắt buộc; ","")&amp;IF($L3352="","Thiếu/sai Mã REF; ",IF(AND($L3352="Chưa xác định",DANH_MUC!$L$9&lt;&gt;"Có"),"Nguồn chưa xác định; ","")))</f>
        <v/>
      </c>
      <c r="V3352" s="22">
        <f>IF(OR($D3352="",$R3352="Trùng"),"",IF(COUNTIF(ORDERS!$C$2:$C$4995,$D3352)&gt;0,"Có","Không"))</f>
        <v/>
      </c>
      <c r="W3352" s="22">
        <f>IF(OR($D3352="",$R3352="Trùng"),"",COUNTIFS(ORDERS!$C$2:$C$4995,$D3352,ORDERS!$L$2:$L$4995,"Đã chuyển khoản"))</f>
        <v/>
      </c>
      <c r="X3352" s="23">
        <f>IF(OR($D3352="",$R3352="Trùng"),"",SUMIFS(ORDERS!$J$2:$J$4995,ORDERS!$C$2:$C$4995,$D3352,ORDERS!$L$2:$L$4995,"Đã chuyển khoản"))</f>
        <v/>
      </c>
      <c r="Y3352" s="24" t="n"/>
    </row>
    <row r="3353" ht="14.25" customHeight="1" s="40">
      <c r="A3353" s="24" t="n"/>
      <c r="B3353" s="27" t="n"/>
      <c r="C3353" s="24" t="n"/>
      <c r="D3353" s="28" t="n"/>
      <c r="E3353" s="29" t="n"/>
      <c r="F3353" s="24" t="n"/>
      <c r="G3353" s="24" t="n"/>
      <c r="H3353" s="21">
        <f>IF(ISNUMBER($B3353),INT($B3353)-WEEKDAY($B3353,2)+1,"")</f>
        <v/>
      </c>
      <c r="I3353" s="24" t="n"/>
      <c r="J3353" s="22">
        <f t="array" ref="J3353">IF($D3353="","",IF($I3353="","(trống REF)",IFERROR(INDEX(MASTER_SOURCE!$B$2:$B$495,MATCH($I3353,MASTER_SOURCE!$A$2:$A$495,0)),"(REF không có trong MASTER_SOURCE)")))</f>
        <v/>
      </c>
      <c r="K3353" s="22">
        <f t="array" ref="K3353">IF($D3353="","",IFERROR(INDEX(MASTER_SOURCE!$C$2:$C$495,MATCH($I3353,MASTER_SOURCE!$A$2:$A$495,0)),""))</f>
        <v/>
      </c>
      <c r="L3353" s="22">
        <f t="array" ref="L3353">IF($D3353="","",IFERROR(INDEX(MASTER_SOURCE!$D$2:$D$495,MATCH($I3353,MASTER_SOURCE!$A$2:$A$495,0)),""))</f>
        <v/>
      </c>
      <c r="M3353" s="24" t="n"/>
      <c r="N3353" s="24" t="n"/>
      <c r="O3353" s="24" t="n"/>
      <c r="P3353" s="24" t="n"/>
      <c r="Q3353" s="22">
        <f>IF($D3353="","",IF(AND(OR(DANH_MUC!$L$5&lt;&gt;"Có",M3353="Có"),OR(DANH_MUC!$L$6&lt;&gt;"Có",N3353="Có"),OR(DANH_MUC!$L$7&lt;&gt;"Có",O3353="Có"),OR(DANH_MUC!$L$8&lt;&gt;"Có",P3353="Có")),"Có","Không"))</f>
        <v/>
      </c>
      <c r="R3353" s="22">
        <f>IF($D3353="","",IF(COUNTIF($D$2:$D3353,$D3353)&gt;1,"Trùng",""))</f>
        <v/>
      </c>
      <c r="S3353" s="22">
        <f>IF($D3353="","",IF(AND(LEN($D3353)=10,LEFT($D3353,1)="0",ISNUMBER(--$D3353)),"Có","Không"))</f>
        <v/>
      </c>
      <c r="T3353" s="22">
        <f>IF($D3353="","",IF(AND($C3353&lt;&gt;"",$Q3353="Có",$R3353="",$S3353="Có",AND($L3353&lt;&gt;"",OR($L3353&lt;&gt;"Chưa xác định",DANH_MUC!$L$9="Có"))),"Có","Không"))</f>
        <v/>
      </c>
      <c r="U3353" s="22">
        <f>IF(OR($D3353="",$T3353="Có"),"",IF($C3353="","Thiếu họ tên; ","")&amp;IF($S3353&lt;&gt;"Có","SĐT sai định dạng; ","")&amp;IF($R3353="Trùng","Trùng SĐT; ","")&amp;IF($Q3353&lt;&gt;"Có","Thiếu đồng ý bắt buộc; ","")&amp;IF($L3353="","Thiếu/sai Mã REF; ",IF(AND($L3353="Chưa xác định",DANH_MUC!$L$9&lt;&gt;"Có"),"Nguồn chưa xác định; ","")))</f>
        <v/>
      </c>
      <c r="V3353" s="22">
        <f>IF(OR($D3353="",$R3353="Trùng"),"",IF(COUNTIF(ORDERS!$C$2:$C$4995,$D3353)&gt;0,"Có","Không"))</f>
        <v/>
      </c>
      <c r="W3353" s="22">
        <f>IF(OR($D3353="",$R3353="Trùng"),"",COUNTIFS(ORDERS!$C$2:$C$4995,$D3353,ORDERS!$L$2:$L$4995,"Đã chuyển khoản"))</f>
        <v/>
      </c>
      <c r="X3353" s="23">
        <f>IF(OR($D3353="",$R3353="Trùng"),"",SUMIFS(ORDERS!$J$2:$J$4995,ORDERS!$C$2:$C$4995,$D3353,ORDERS!$L$2:$L$4995,"Đã chuyển khoản"))</f>
        <v/>
      </c>
      <c r="Y3353" s="24" t="n"/>
    </row>
    <row r="3354" ht="14.25" customHeight="1" s="40">
      <c r="A3354" s="24" t="n"/>
      <c r="B3354" s="27" t="n"/>
      <c r="C3354" s="24" t="n"/>
      <c r="D3354" s="28" t="n"/>
      <c r="E3354" s="29" t="n"/>
      <c r="F3354" s="24" t="n"/>
      <c r="G3354" s="24" t="n"/>
      <c r="H3354" s="21">
        <f>IF(ISNUMBER($B3354),INT($B3354)-WEEKDAY($B3354,2)+1,"")</f>
        <v/>
      </c>
      <c r="I3354" s="24" t="n"/>
      <c r="J3354" s="22">
        <f t="array" ref="J3354">IF($D3354="","",IF($I3354="","(trống REF)",IFERROR(INDEX(MASTER_SOURCE!$B$2:$B$495,MATCH($I3354,MASTER_SOURCE!$A$2:$A$495,0)),"(REF không có trong MASTER_SOURCE)")))</f>
        <v/>
      </c>
      <c r="K3354" s="22">
        <f t="array" ref="K3354">IF($D3354="","",IFERROR(INDEX(MASTER_SOURCE!$C$2:$C$495,MATCH($I3354,MASTER_SOURCE!$A$2:$A$495,0)),""))</f>
        <v/>
      </c>
      <c r="L3354" s="22">
        <f t="array" ref="L3354">IF($D3354="","",IFERROR(INDEX(MASTER_SOURCE!$D$2:$D$495,MATCH($I3354,MASTER_SOURCE!$A$2:$A$495,0)),""))</f>
        <v/>
      </c>
      <c r="M3354" s="24" t="n"/>
      <c r="N3354" s="24" t="n"/>
      <c r="O3354" s="24" t="n"/>
      <c r="P3354" s="24" t="n"/>
      <c r="Q3354" s="22">
        <f>IF($D3354="","",IF(AND(OR(DANH_MUC!$L$5&lt;&gt;"Có",M3354="Có"),OR(DANH_MUC!$L$6&lt;&gt;"Có",N3354="Có"),OR(DANH_MUC!$L$7&lt;&gt;"Có",O3354="Có"),OR(DANH_MUC!$L$8&lt;&gt;"Có",P3354="Có")),"Có","Không"))</f>
        <v/>
      </c>
      <c r="R3354" s="22">
        <f>IF($D3354="","",IF(COUNTIF($D$2:$D3354,$D3354)&gt;1,"Trùng",""))</f>
        <v/>
      </c>
      <c r="S3354" s="22">
        <f>IF($D3354="","",IF(AND(LEN($D3354)=10,LEFT($D3354,1)="0",ISNUMBER(--$D3354)),"Có","Không"))</f>
        <v/>
      </c>
      <c r="T3354" s="22">
        <f>IF($D3354="","",IF(AND($C3354&lt;&gt;"",$Q3354="Có",$R3354="",$S3354="Có",AND($L3354&lt;&gt;"",OR($L3354&lt;&gt;"Chưa xác định",DANH_MUC!$L$9="Có"))),"Có","Không"))</f>
        <v/>
      </c>
      <c r="U3354" s="22">
        <f>IF(OR($D3354="",$T3354="Có"),"",IF($C3354="","Thiếu họ tên; ","")&amp;IF($S3354&lt;&gt;"Có","SĐT sai định dạng; ","")&amp;IF($R3354="Trùng","Trùng SĐT; ","")&amp;IF($Q3354&lt;&gt;"Có","Thiếu đồng ý bắt buộc; ","")&amp;IF($L3354="","Thiếu/sai Mã REF; ",IF(AND($L3354="Chưa xác định",DANH_MUC!$L$9&lt;&gt;"Có"),"Nguồn chưa xác định; ","")))</f>
        <v/>
      </c>
      <c r="V3354" s="22">
        <f>IF(OR($D3354="",$R3354="Trùng"),"",IF(COUNTIF(ORDERS!$C$2:$C$4995,$D3354)&gt;0,"Có","Không"))</f>
        <v/>
      </c>
      <c r="W3354" s="22">
        <f>IF(OR($D3354="",$R3354="Trùng"),"",COUNTIFS(ORDERS!$C$2:$C$4995,$D3354,ORDERS!$L$2:$L$4995,"Đã chuyển khoản"))</f>
        <v/>
      </c>
      <c r="X3354" s="23">
        <f>IF(OR($D3354="",$R3354="Trùng"),"",SUMIFS(ORDERS!$J$2:$J$4995,ORDERS!$C$2:$C$4995,$D3354,ORDERS!$L$2:$L$4995,"Đã chuyển khoản"))</f>
        <v/>
      </c>
      <c r="Y3354" s="24" t="n"/>
    </row>
    <row r="3355" ht="14.25" customHeight="1" s="40">
      <c r="A3355" s="24" t="n"/>
      <c r="B3355" s="27" t="n"/>
      <c r="C3355" s="24" t="n"/>
      <c r="D3355" s="28" t="n"/>
      <c r="E3355" s="29" t="n"/>
      <c r="F3355" s="24" t="n"/>
      <c r="G3355" s="24" t="n"/>
      <c r="H3355" s="21">
        <f>IF(ISNUMBER($B3355),INT($B3355)-WEEKDAY($B3355,2)+1,"")</f>
        <v/>
      </c>
      <c r="I3355" s="24" t="n"/>
      <c r="J3355" s="22">
        <f t="array" ref="J3355">IF($D3355="","",IF($I3355="","(trống REF)",IFERROR(INDEX(MASTER_SOURCE!$B$2:$B$495,MATCH($I3355,MASTER_SOURCE!$A$2:$A$495,0)),"(REF không có trong MASTER_SOURCE)")))</f>
        <v/>
      </c>
      <c r="K3355" s="22">
        <f t="array" ref="K3355">IF($D3355="","",IFERROR(INDEX(MASTER_SOURCE!$C$2:$C$495,MATCH($I3355,MASTER_SOURCE!$A$2:$A$495,0)),""))</f>
        <v/>
      </c>
      <c r="L3355" s="22">
        <f t="array" ref="L3355">IF($D3355="","",IFERROR(INDEX(MASTER_SOURCE!$D$2:$D$495,MATCH($I3355,MASTER_SOURCE!$A$2:$A$495,0)),""))</f>
        <v/>
      </c>
      <c r="M3355" s="24" t="n"/>
      <c r="N3355" s="24" t="n"/>
      <c r="O3355" s="24" t="n"/>
      <c r="P3355" s="24" t="n"/>
      <c r="Q3355" s="22">
        <f>IF($D3355="","",IF(AND(OR(DANH_MUC!$L$5&lt;&gt;"Có",M3355="Có"),OR(DANH_MUC!$L$6&lt;&gt;"Có",N3355="Có"),OR(DANH_MUC!$L$7&lt;&gt;"Có",O3355="Có"),OR(DANH_MUC!$L$8&lt;&gt;"Có",P3355="Có")),"Có","Không"))</f>
        <v/>
      </c>
      <c r="R3355" s="22">
        <f>IF($D3355="","",IF(COUNTIF($D$2:$D3355,$D3355)&gt;1,"Trùng",""))</f>
        <v/>
      </c>
      <c r="S3355" s="22">
        <f>IF($D3355="","",IF(AND(LEN($D3355)=10,LEFT($D3355,1)="0",ISNUMBER(--$D3355)),"Có","Không"))</f>
        <v/>
      </c>
      <c r="T3355" s="22">
        <f>IF($D3355="","",IF(AND($C3355&lt;&gt;"",$Q3355="Có",$R3355="",$S3355="Có",AND($L3355&lt;&gt;"",OR($L3355&lt;&gt;"Chưa xác định",DANH_MUC!$L$9="Có"))),"Có","Không"))</f>
        <v/>
      </c>
      <c r="U3355" s="22">
        <f>IF(OR($D3355="",$T3355="Có"),"",IF($C3355="","Thiếu họ tên; ","")&amp;IF($S3355&lt;&gt;"Có","SĐT sai định dạng; ","")&amp;IF($R3355="Trùng","Trùng SĐT; ","")&amp;IF($Q3355&lt;&gt;"Có","Thiếu đồng ý bắt buộc; ","")&amp;IF($L3355="","Thiếu/sai Mã REF; ",IF(AND($L3355="Chưa xác định",DANH_MUC!$L$9&lt;&gt;"Có"),"Nguồn chưa xác định; ","")))</f>
        <v/>
      </c>
      <c r="V3355" s="22">
        <f>IF(OR($D3355="",$R3355="Trùng"),"",IF(COUNTIF(ORDERS!$C$2:$C$4995,$D3355)&gt;0,"Có","Không"))</f>
        <v/>
      </c>
      <c r="W3355" s="22">
        <f>IF(OR($D3355="",$R3355="Trùng"),"",COUNTIFS(ORDERS!$C$2:$C$4995,$D3355,ORDERS!$L$2:$L$4995,"Đã chuyển khoản"))</f>
        <v/>
      </c>
      <c r="X3355" s="23">
        <f>IF(OR($D3355="",$R3355="Trùng"),"",SUMIFS(ORDERS!$J$2:$J$4995,ORDERS!$C$2:$C$4995,$D3355,ORDERS!$L$2:$L$4995,"Đã chuyển khoản"))</f>
        <v/>
      </c>
      <c r="Y3355" s="24" t="n"/>
    </row>
    <row r="3356" ht="14.25" customHeight="1" s="40">
      <c r="A3356" s="24" t="n"/>
      <c r="B3356" s="27" t="n"/>
      <c r="C3356" s="24" t="n"/>
      <c r="D3356" s="28" t="n"/>
      <c r="E3356" s="29" t="n"/>
      <c r="F3356" s="24" t="n"/>
      <c r="G3356" s="24" t="n"/>
      <c r="H3356" s="21">
        <f>IF(ISNUMBER($B3356),INT($B3356)-WEEKDAY($B3356,2)+1,"")</f>
        <v/>
      </c>
      <c r="I3356" s="24" t="n"/>
      <c r="J3356" s="22">
        <f t="array" ref="J3356">IF($D3356="","",IF($I3356="","(trống REF)",IFERROR(INDEX(MASTER_SOURCE!$B$2:$B$495,MATCH($I3356,MASTER_SOURCE!$A$2:$A$495,0)),"(REF không có trong MASTER_SOURCE)")))</f>
        <v/>
      </c>
      <c r="K3356" s="22">
        <f t="array" ref="K3356">IF($D3356="","",IFERROR(INDEX(MASTER_SOURCE!$C$2:$C$495,MATCH($I3356,MASTER_SOURCE!$A$2:$A$495,0)),""))</f>
        <v/>
      </c>
      <c r="L3356" s="22">
        <f t="array" ref="L3356">IF($D3356="","",IFERROR(INDEX(MASTER_SOURCE!$D$2:$D$495,MATCH($I3356,MASTER_SOURCE!$A$2:$A$495,0)),""))</f>
        <v/>
      </c>
      <c r="M3356" s="24" t="n"/>
      <c r="N3356" s="24" t="n"/>
      <c r="O3356" s="24" t="n"/>
      <c r="P3356" s="24" t="n"/>
      <c r="Q3356" s="22">
        <f>IF($D3356="","",IF(AND(OR(DANH_MUC!$L$5&lt;&gt;"Có",M3356="Có"),OR(DANH_MUC!$L$6&lt;&gt;"Có",N3356="Có"),OR(DANH_MUC!$L$7&lt;&gt;"Có",O3356="Có"),OR(DANH_MUC!$L$8&lt;&gt;"Có",P3356="Có")),"Có","Không"))</f>
        <v/>
      </c>
      <c r="R3356" s="22">
        <f>IF($D3356="","",IF(COUNTIF($D$2:$D3356,$D3356)&gt;1,"Trùng",""))</f>
        <v/>
      </c>
      <c r="S3356" s="22">
        <f>IF($D3356="","",IF(AND(LEN($D3356)=10,LEFT($D3356,1)="0",ISNUMBER(--$D3356)),"Có","Không"))</f>
        <v/>
      </c>
      <c r="T3356" s="22">
        <f>IF($D3356="","",IF(AND($C3356&lt;&gt;"",$Q3356="Có",$R3356="",$S3356="Có",AND($L3356&lt;&gt;"",OR($L3356&lt;&gt;"Chưa xác định",DANH_MUC!$L$9="Có"))),"Có","Không"))</f>
        <v/>
      </c>
      <c r="U3356" s="22">
        <f>IF(OR($D3356="",$T3356="Có"),"",IF($C3356="","Thiếu họ tên; ","")&amp;IF($S3356&lt;&gt;"Có","SĐT sai định dạng; ","")&amp;IF($R3356="Trùng","Trùng SĐT; ","")&amp;IF($Q3356&lt;&gt;"Có","Thiếu đồng ý bắt buộc; ","")&amp;IF($L3356="","Thiếu/sai Mã REF; ",IF(AND($L3356="Chưa xác định",DANH_MUC!$L$9&lt;&gt;"Có"),"Nguồn chưa xác định; ","")))</f>
        <v/>
      </c>
      <c r="V3356" s="22">
        <f>IF(OR($D3356="",$R3356="Trùng"),"",IF(COUNTIF(ORDERS!$C$2:$C$4995,$D3356)&gt;0,"Có","Không"))</f>
        <v/>
      </c>
      <c r="W3356" s="22">
        <f>IF(OR($D3356="",$R3356="Trùng"),"",COUNTIFS(ORDERS!$C$2:$C$4995,$D3356,ORDERS!$L$2:$L$4995,"Đã chuyển khoản"))</f>
        <v/>
      </c>
      <c r="X3356" s="23">
        <f>IF(OR($D3356="",$R3356="Trùng"),"",SUMIFS(ORDERS!$J$2:$J$4995,ORDERS!$C$2:$C$4995,$D3356,ORDERS!$L$2:$L$4995,"Đã chuyển khoản"))</f>
        <v/>
      </c>
      <c r="Y3356" s="24" t="n"/>
    </row>
    <row r="3357" ht="14.25" customHeight="1" s="40">
      <c r="A3357" s="24" t="n"/>
      <c r="B3357" s="27" t="n"/>
      <c r="C3357" s="24" t="n"/>
      <c r="D3357" s="28" t="n"/>
      <c r="E3357" s="29" t="n"/>
      <c r="F3357" s="24" t="n"/>
      <c r="G3357" s="24" t="n"/>
      <c r="H3357" s="21">
        <f>IF(ISNUMBER($B3357),INT($B3357)-WEEKDAY($B3357,2)+1,"")</f>
        <v/>
      </c>
      <c r="I3357" s="24" t="n"/>
      <c r="J3357" s="22">
        <f t="array" ref="J3357">IF($D3357="","",IF($I3357="","(trống REF)",IFERROR(INDEX(MASTER_SOURCE!$B$2:$B$495,MATCH($I3357,MASTER_SOURCE!$A$2:$A$495,0)),"(REF không có trong MASTER_SOURCE)")))</f>
        <v/>
      </c>
      <c r="K3357" s="22">
        <f t="array" ref="K3357">IF($D3357="","",IFERROR(INDEX(MASTER_SOURCE!$C$2:$C$495,MATCH($I3357,MASTER_SOURCE!$A$2:$A$495,0)),""))</f>
        <v/>
      </c>
      <c r="L3357" s="22">
        <f t="array" ref="L3357">IF($D3357="","",IFERROR(INDEX(MASTER_SOURCE!$D$2:$D$495,MATCH($I3357,MASTER_SOURCE!$A$2:$A$495,0)),""))</f>
        <v/>
      </c>
      <c r="M3357" s="24" t="n"/>
      <c r="N3357" s="24" t="n"/>
      <c r="O3357" s="24" t="n"/>
      <c r="P3357" s="24" t="n"/>
      <c r="Q3357" s="22">
        <f>IF($D3357="","",IF(AND(OR(DANH_MUC!$L$5&lt;&gt;"Có",M3357="Có"),OR(DANH_MUC!$L$6&lt;&gt;"Có",N3357="Có"),OR(DANH_MUC!$L$7&lt;&gt;"Có",O3357="Có"),OR(DANH_MUC!$L$8&lt;&gt;"Có",P3357="Có")),"Có","Không"))</f>
        <v/>
      </c>
      <c r="R3357" s="22">
        <f>IF($D3357="","",IF(COUNTIF($D$2:$D3357,$D3357)&gt;1,"Trùng",""))</f>
        <v/>
      </c>
      <c r="S3357" s="22">
        <f>IF($D3357="","",IF(AND(LEN($D3357)=10,LEFT($D3357,1)="0",ISNUMBER(--$D3357)),"Có","Không"))</f>
        <v/>
      </c>
      <c r="T3357" s="22">
        <f>IF($D3357="","",IF(AND($C3357&lt;&gt;"",$Q3357="Có",$R3357="",$S3357="Có",AND($L3357&lt;&gt;"",OR($L3357&lt;&gt;"Chưa xác định",DANH_MUC!$L$9="Có"))),"Có","Không"))</f>
        <v/>
      </c>
      <c r="U3357" s="22">
        <f>IF(OR($D3357="",$T3357="Có"),"",IF($C3357="","Thiếu họ tên; ","")&amp;IF($S3357&lt;&gt;"Có","SĐT sai định dạng; ","")&amp;IF($R3357="Trùng","Trùng SĐT; ","")&amp;IF($Q3357&lt;&gt;"Có","Thiếu đồng ý bắt buộc; ","")&amp;IF($L3357="","Thiếu/sai Mã REF; ",IF(AND($L3357="Chưa xác định",DANH_MUC!$L$9&lt;&gt;"Có"),"Nguồn chưa xác định; ","")))</f>
        <v/>
      </c>
      <c r="V3357" s="22">
        <f>IF(OR($D3357="",$R3357="Trùng"),"",IF(COUNTIF(ORDERS!$C$2:$C$4995,$D3357)&gt;0,"Có","Không"))</f>
        <v/>
      </c>
      <c r="W3357" s="22">
        <f>IF(OR($D3357="",$R3357="Trùng"),"",COUNTIFS(ORDERS!$C$2:$C$4995,$D3357,ORDERS!$L$2:$L$4995,"Đã chuyển khoản"))</f>
        <v/>
      </c>
      <c r="X3357" s="23">
        <f>IF(OR($D3357="",$R3357="Trùng"),"",SUMIFS(ORDERS!$J$2:$J$4995,ORDERS!$C$2:$C$4995,$D3357,ORDERS!$L$2:$L$4995,"Đã chuyển khoản"))</f>
        <v/>
      </c>
      <c r="Y3357" s="24" t="n"/>
    </row>
    <row r="3358" ht="14.25" customHeight="1" s="40">
      <c r="A3358" s="24" t="n"/>
      <c r="B3358" s="27" t="n"/>
      <c r="C3358" s="24" t="n"/>
      <c r="D3358" s="28" t="n"/>
      <c r="E3358" s="29" t="n"/>
      <c r="F3358" s="24" t="n"/>
      <c r="G3358" s="24" t="n"/>
      <c r="H3358" s="21">
        <f>IF(ISNUMBER($B3358),INT($B3358)-WEEKDAY($B3358,2)+1,"")</f>
        <v/>
      </c>
      <c r="I3358" s="24" t="n"/>
      <c r="J3358" s="22">
        <f t="array" ref="J3358">IF($D3358="","",IF($I3358="","(trống REF)",IFERROR(INDEX(MASTER_SOURCE!$B$2:$B$495,MATCH($I3358,MASTER_SOURCE!$A$2:$A$495,0)),"(REF không có trong MASTER_SOURCE)")))</f>
        <v/>
      </c>
      <c r="K3358" s="22">
        <f t="array" ref="K3358">IF($D3358="","",IFERROR(INDEX(MASTER_SOURCE!$C$2:$C$495,MATCH($I3358,MASTER_SOURCE!$A$2:$A$495,0)),""))</f>
        <v/>
      </c>
      <c r="L3358" s="22">
        <f t="array" ref="L3358">IF($D3358="","",IFERROR(INDEX(MASTER_SOURCE!$D$2:$D$495,MATCH($I3358,MASTER_SOURCE!$A$2:$A$495,0)),""))</f>
        <v/>
      </c>
      <c r="M3358" s="24" t="n"/>
      <c r="N3358" s="24" t="n"/>
      <c r="O3358" s="24" t="n"/>
      <c r="P3358" s="24" t="n"/>
      <c r="Q3358" s="22">
        <f>IF($D3358="","",IF(AND(OR(DANH_MUC!$L$5&lt;&gt;"Có",M3358="Có"),OR(DANH_MUC!$L$6&lt;&gt;"Có",N3358="Có"),OR(DANH_MUC!$L$7&lt;&gt;"Có",O3358="Có"),OR(DANH_MUC!$L$8&lt;&gt;"Có",P3358="Có")),"Có","Không"))</f>
        <v/>
      </c>
      <c r="R3358" s="22">
        <f>IF($D3358="","",IF(COUNTIF($D$2:$D3358,$D3358)&gt;1,"Trùng",""))</f>
        <v/>
      </c>
      <c r="S3358" s="22">
        <f>IF($D3358="","",IF(AND(LEN($D3358)=10,LEFT($D3358,1)="0",ISNUMBER(--$D3358)),"Có","Không"))</f>
        <v/>
      </c>
      <c r="T3358" s="22">
        <f>IF($D3358="","",IF(AND($C3358&lt;&gt;"",$Q3358="Có",$R3358="",$S3358="Có",AND($L3358&lt;&gt;"",OR($L3358&lt;&gt;"Chưa xác định",DANH_MUC!$L$9="Có"))),"Có","Không"))</f>
        <v/>
      </c>
      <c r="U3358" s="22">
        <f>IF(OR($D3358="",$T3358="Có"),"",IF($C3358="","Thiếu họ tên; ","")&amp;IF($S3358&lt;&gt;"Có","SĐT sai định dạng; ","")&amp;IF($R3358="Trùng","Trùng SĐT; ","")&amp;IF($Q3358&lt;&gt;"Có","Thiếu đồng ý bắt buộc; ","")&amp;IF($L3358="","Thiếu/sai Mã REF; ",IF(AND($L3358="Chưa xác định",DANH_MUC!$L$9&lt;&gt;"Có"),"Nguồn chưa xác định; ","")))</f>
        <v/>
      </c>
      <c r="V3358" s="22">
        <f>IF(OR($D3358="",$R3358="Trùng"),"",IF(COUNTIF(ORDERS!$C$2:$C$4995,$D3358)&gt;0,"Có","Không"))</f>
        <v/>
      </c>
      <c r="W3358" s="22">
        <f>IF(OR($D3358="",$R3358="Trùng"),"",COUNTIFS(ORDERS!$C$2:$C$4995,$D3358,ORDERS!$L$2:$L$4995,"Đã chuyển khoản"))</f>
        <v/>
      </c>
      <c r="X3358" s="23">
        <f>IF(OR($D3358="",$R3358="Trùng"),"",SUMIFS(ORDERS!$J$2:$J$4995,ORDERS!$C$2:$C$4995,$D3358,ORDERS!$L$2:$L$4995,"Đã chuyển khoản"))</f>
        <v/>
      </c>
      <c r="Y3358" s="24" t="n"/>
    </row>
    <row r="3359" ht="14.25" customHeight="1" s="40">
      <c r="A3359" s="24" t="n"/>
      <c r="B3359" s="27" t="n"/>
      <c r="C3359" s="24" t="n"/>
      <c r="D3359" s="28" t="n"/>
      <c r="E3359" s="29" t="n"/>
      <c r="F3359" s="24" t="n"/>
      <c r="G3359" s="24" t="n"/>
      <c r="H3359" s="21">
        <f>IF(ISNUMBER($B3359),INT($B3359)-WEEKDAY($B3359,2)+1,"")</f>
        <v/>
      </c>
      <c r="I3359" s="24" t="n"/>
      <c r="J3359" s="22">
        <f t="array" ref="J3359">IF($D3359="","",IF($I3359="","(trống REF)",IFERROR(INDEX(MASTER_SOURCE!$B$2:$B$495,MATCH($I3359,MASTER_SOURCE!$A$2:$A$495,0)),"(REF không có trong MASTER_SOURCE)")))</f>
        <v/>
      </c>
      <c r="K3359" s="22">
        <f t="array" ref="K3359">IF($D3359="","",IFERROR(INDEX(MASTER_SOURCE!$C$2:$C$495,MATCH($I3359,MASTER_SOURCE!$A$2:$A$495,0)),""))</f>
        <v/>
      </c>
      <c r="L3359" s="22">
        <f t="array" ref="L3359">IF($D3359="","",IFERROR(INDEX(MASTER_SOURCE!$D$2:$D$495,MATCH($I3359,MASTER_SOURCE!$A$2:$A$495,0)),""))</f>
        <v/>
      </c>
      <c r="M3359" s="24" t="n"/>
      <c r="N3359" s="24" t="n"/>
      <c r="O3359" s="24" t="n"/>
      <c r="P3359" s="24" t="n"/>
      <c r="Q3359" s="22">
        <f>IF($D3359="","",IF(AND(OR(DANH_MUC!$L$5&lt;&gt;"Có",M3359="Có"),OR(DANH_MUC!$L$6&lt;&gt;"Có",N3359="Có"),OR(DANH_MUC!$L$7&lt;&gt;"Có",O3359="Có"),OR(DANH_MUC!$L$8&lt;&gt;"Có",P3359="Có")),"Có","Không"))</f>
        <v/>
      </c>
      <c r="R3359" s="22">
        <f>IF($D3359="","",IF(COUNTIF($D$2:$D3359,$D3359)&gt;1,"Trùng",""))</f>
        <v/>
      </c>
      <c r="S3359" s="22">
        <f>IF($D3359="","",IF(AND(LEN($D3359)=10,LEFT($D3359,1)="0",ISNUMBER(--$D3359)),"Có","Không"))</f>
        <v/>
      </c>
      <c r="T3359" s="22">
        <f>IF($D3359="","",IF(AND($C3359&lt;&gt;"",$Q3359="Có",$R3359="",$S3359="Có",AND($L3359&lt;&gt;"",OR($L3359&lt;&gt;"Chưa xác định",DANH_MUC!$L$9="Có"))),"Có","Không"))</f>
        <v/>
      </c>
      <c r="U3359" s="22">
        <f>IF(OR($D3359="",$T3359="Có"),"",IF($C3359="","Thiếu họ tên; ","")&amp;IF($S3359&lt;&gt;"Có","SĐT sai định dạng; ","")&amp;IF($R3359="Trùng","Trùng SĐT; ","")&amp;IF($Q3359&lt;&gt;"Có","Thiếu đồng ý bắt buộc; ","")&amp;IF($L3359="","Thiếu/sai Mã REF; ",IF(AND($L3359="Chưa xác định",DANH_MUC!$L$9&lt;&gt;"Có"),"Nguồn chưa xác định; ","")))</f>
        <v/>
      </c>
      <c r="V3359" s="22">
        <f>IF(OR($D3359="",$R3359="Trùng"),"",IF(COUNTIF(ORDERS!$C$2:$C$4995,$D3359)&gt;0,"Có","Không"))</f>
        <v/>
      </c>
      <c r="W3359" s="22">
        <f>IF(OR($D3359="",$R3359="Trùng"),"",COUNTIFS(ORDERS!$C$2:$C$4995,$D3359,ORDERS!$L$2:$L$4995,"Đã chuyển khoản"))</f>
        <v/>
      </c>
      <c r="X3359" s="23">
        <f>IF(OR($D3359="",$R3359="Trùng"),"",SUMIFS(ORDERS!$J$2:$J$4995,ORDERS!$C$2:$C$4995,$D3359,ORDERS!$L$2:$L$4995,"Đã chuyển khoản"))</f>
        <v/>
      </c>
      <c r="Y3359" s="24" t="n"/>
    </row>
    <row r="3360" ht="14.25" customHeight="1" s="40">
      <c r="A3360" s="24" t="n"/>
      <c r="B3360" s="27" t="n"/>
      <c r="C3360" s="24" t="n"/>
      <c r="D3360" s="28" t="n"/>
      <c r="E3360" s="29" t="n"/>
      <c r="F3360" s="24" t="n"/>
      <c r="G3360" s="24" t="n"/>
      <c r="H3360" s="21">
        <f>IF(ISNUMBER($B3360),INT($B3360)-WEEKDAY($B3360,2)+1,"")</f>
        <v/>
      </c>
      <c r="I3360" s="24" t="n"/>
      <c r="J3360" s="22">
        <f t="array" ref="J3360">IF($D3360="","",IF($I3360="","(trống REF)",IFERROR(INDEX(MASTER_SOURCE!$B$2:$B$495,MATCH($I3360,MASTER_SOURCE!$A$2:$A$495,0)),"(REF không có trong MASTER_SOURCE)")))</f>
        <v/>
      </c>
      <c r="K3360" s="22">
        <f t="array" ref="K3360">IF($D3360="","",IFERROR(INDEX(MASTER_SOURCE!$C$2:$C$495,MATCH($I3360,MASTER_SOURCE!$A$2:$A$495,0)),""))</f>
        <v/>
      </c>
      <c r="L3360" s="22">
        <f t="array" ref="L3360">IF($D3360="","",IFERROR(INDEX(MASTER_SOURCE!$D$2:$D$495,MATCH($I3360,MASTER_SOURCE!$A$2:$A$495,0)),""))</f>
        <v/>
      </c>
      <c r="M3360" s="24" t="n"/>
      <c r="N3360" s="24" t="n"/>
      <c r="O3360" s="24" t="n"/>
      <c r="P3360" s="24" t="n"/>
      <c r="Q3360" s="22">
        <f>IF($D3360="","",IF(AND(OR(DANH_MUC!$L$5&lt;&gt;"Có",M3360="Có"),OR(DANH_MUC!$L$6&lt;&gt;"Có",N3360="Có"),OR(DANH_MUC!$L$7&lt;&gt;"Có",O3360="Có"),OR(DANH_MUC!$L$8&lt;&gt;"Có",P3360="Có")),"Có","Không"))</f>
        <v/>
      </c>
      <c r="R3360" s="22">
        <f>IF($D3360="","",IF(COUNTIF($D$2:$D3360,$D3360)&gt;1,"Trùng",""))</f>
        <v/>
      </c>
      <c r="S3360" s="22">
        <f>IF($D3360="","",IF(AND(LEN($D3360)=10,LEFT($D3360,1)="0",ISNUMBER(--$D3360)),"Có","Không"))</f>
        <v/>
      </c>
      <c r="T3360" s="22">
        <f>IF($D3360="","",IF(AND($C3360&lt;&gt;"",$Q3360="Có",$R3360="",$S3360="Có",AND($L3360&lt;&gt;"",OR($L3360&lt;&gt;"Chưa xác định",DANH_MUC!$L$9="Có"))),"Có","Không"))</f>
        <v/>
      </c>
      <c r="U3360" s="22">
        <f>IF(OR($D3360="",$T3360="Có"),"",IF($C3360="","Thiếu họ tên; ","")&amp;IF($S3360&lt;&gt;"Có","SĐT sai định dạng; ","")&amp;IF($R3360="Trùng","Trùng SĐT; ","")&amp;IF($Q3360&lt;&gt;"Có","Thiếu đồng ý bắt buộc; ","")&amp;IF($L3360="","Thiếu/sai Mã REF; ",IF(AND($L3360="Chưa xác định",DANH_MUC!$L$9&lt;&gt;"Có"),"Nguồn chưa xác định; ","")))</f>
        <v/>
      </c>
      <c r="V3360" s="22">
        <f>IF(OR($D3360="",$R3360="Trùng"),"",IF(COUNTIF(ORDERS!$C$2:$C$4995,$D3360)&gt;0,"Có","Không"))</f>
        <v/>
      </c>
      <c r="W3360" s="22">
        <f>IF(OR($D3360="",$R3360="Trùng"),"",COUNTIFS(ORDERS!$C$2:$C$4995,$D3360,ORDERS!$L$2:$L$4995,"Đã chuyển khoản"))</f>
        <v/>
      </c>
      <c r="X3360" s="23">
        <f>IF(OR($D3360="",$R3360="Trùng"),"",SUMIFS(ORDERS!$J$2:$J$4995,ORDERS!$C$2:$C$4995,$D3360,ORDERS!$L$2:$L$4995,"Đã chuyển khoản"))</f>
        <v/>
      </c>
      <c r="Y3360" s="24" t="n"/>
    </row>
    <row r="3361" ht="14.25" customHeight="1" s="40">
      <c r="A3361" s="24" t="n"/>
      <c r="B3361" s="27" t="n"/>
      <c r="C3361" s="24" t="n"/>
      <c r="D3361" s="28" t="n"/>
      <c r="E3361" s="29" t="n"/>
      <c r="F3361" s="24" t="n"/>
      <c r="G3361" s="24" t="n"/>
      <c r="H3361" s="21">
        <f>IF(ISNUMBER($B3361),INT($B3361)-WEEKDAY($B3361,2)+1,"")</f>
        <v/>
      </c>
      <c r="I3361" s="24" t="n"/>
      <c r="J3361" s="22">
        <f t="array" ref="J3361">IF($D3361="","",IF($I3361="","(trống REF)",IFERROR(INDEX(MASTER_SOURCE!$B$2:$B$495,MATCH($I3361,MASTER_SOURCE!$A$2:$A$495,0)),"(REF không có trong MASTER_SOURCE)")))</f>
        <v/>
      </c>
      <c r="K3361" s="22">
        <f t="array" ref="K3361">IF($D3361="","",IFERROR(INDEX(MASTER_SOURCE!$C$2:$C$495,MATCH($I3361,MASTER_SOURCE!$A$2:$A$495,0)),""))</f>
        <v/>
      </c>
      <c r="L3361" s="22">
        <f t="array" ref="L3361">IF($D3361="","",IFERROR(INDEX(MASTER_SOURCE!$D$2:$D$495,MATCH($I3361,MASTER_SOURCE!$A$2:$A$495,0)),""))</f>
        <v/>
      </c>
      <c r="M3361" s="24" t="n"/>
      <c r="N3361" s="24" t="n"/>
      <c r="O3361" s="24" t="n"/>
      <c r="P3361" s="24" t="n"/>
      <c r="Q3361" s="22">
        <f>IF($D3361="","",IF(AND(OR(DANH_MUC!$L$5&lt;&gt;"Có",M3361="Có"),OR(DANH_MUC!$L$6&lt;&gt;"Có",N3361="Có"),OR(DANH_MUC!$L$7&lt;&gt;"Có",O3361="Có"),OR(DANH_MUC!$L$8&lt;&gt;"Có",P3361="Có")),"Có","Không"))</f>
        <v/>
      </c>
      <c r="R3361" s="22">
        <f>IF($D3361="","",IF(COUNTIF($D$2:$D3361,$D3361)&gt;1,"Trùng",""))</f>
        <v/>
      </c>
      <c r="S3361" s="22">
        <f>IF($D3361="","",IF(AND(LEN($D3361)=10,LEFT($D3361,1)="0",ISNUMBER(--$D3361)),"Có","Không"))</f>
        <v/>
      </c>
      <c r="T3361" s="22">
        <f>IF($D3361="","",IF(AND($C3361&lt;&gt;"",$Q3361="Có",$R3361="",$S3361="Có",AND($L3361&lt;&gt;"",OR($L3361&lt;&gt;"Chưa xác định",DANH_MUC!$L$9="Có"))),"Có","Không"))</f>
        <v/>
      </c>
      <c r="U3361" s="22">
        <f>IF(OR($D3361="",$T3361="Có"),"",IF($C3361="","Thiếu họ tên; ","")&amp;IF($S3361&lt;&gt;"Có","SĐT sai định dạng; ","")&amp;IF($R3361="Trùng","Trùng SĐT; ","")&amp;IF($Q3361&lt;&gt;"Có","Thiếu đồng ý bắt buộc; ","")&amp;IF($L3361="","Thiếu/sai Mã REF; ",IF(AND($L3361="Chưa xác định",DANH_MUC!$L$9&lt;&gt;"Có"),"Nguồn chưa xác định; ","")))</f>
        <v/>
      </c>
      <c r="V3361" s="22">
        <f>IF(OR($D3361="",$R3361="Trùng"),"",IF(COUNTIF(ORDERS!$C$2:$C$4995,$D3361)&gt;0,"Có","Không"))</f>
        <v/>
      </c>
      <c r="W3361" s="22">
        <f>IF(OR($D3361="",$R3361="Trùng"),"",COUNTIFS(ORDERS!$C$2:$C$4995,$D3361,ORDERS!$L$2:$L$4995,"Đã chuyển khoản"))</f>
        <v/>
      </c>
      <c r="X3361" s="23">
        <f>IF(OR($D3361="",$R3361="Trùng"),"",SUMIFS(ORDERS!$J$2:$J$4995,ORDERS!$C$2:$C$4995,$D3361,ORDERS!$L$2:$L$4995,"Đã chuyển khoản"))</f>
        <v/>
      </c>
      <c r="Y3361" s="24" t="n"/>
    </row>
    <row r="3362" ht="14.25" customHeight="1" s="40">
      <c r="A3362" s="24" t="n"/>
      <c r="B3362" s="27" t="n"/>
      <c r="C3362" s="24" t="n"/>
      <c r="D3362" s="28" t="n"/>
      <c r="E3362" s="29" t="n"/>
      <c r="F3362" s="24" t="n"/>
      <c r="G3362" s="24" t="n"/>
      <c r="H3362" s="21">
        <f>IF(ISNUMBER($B3362),INT($B3362)-WEEKDAY($B3362,2)+1,"")</f>
        <v/>
      </c>
      <c r="I3362" s="24" t="n"/>
      <c r="J3362" s="22">
        <f t="array" ref="J3362">IF($D3362="","",IF($I3362="","(trống REF)",IFERROR(INDEX(MASTER_SOURCE!$B$2:$B$495,MATCH($I3362,MASTER_SOURCE!$A$2:$A$495,0)),"(REF không có trong MASTER_SOURCE)")))</f>
        <v/>
      </c>
      <c r="K3362" s="22">
        <f t="array" ref="K3362">IF($D3362="","",IFERROR(INDEX(MASTER_SOURCE!$C$2:$C$495,MATCH($I3362,MASTER_SOURCE!$A$2:$A$495,0)),""))</f>
        <v/>
      </c>
      <c r="L3362" s="22">
        <f t="array" ref="L3362">IF($D3362="","",IFERROR(INDEX(MASTER_SOURCE!$D$2:$D$495,MATCH($I3362,MASTER_SOURCE!$A$2:$A$495,0)),""))</f>
        <v/>
      </c>
      <c r="M3362" s="24" t="n"/>
      <c r="N3362" s="24" t="n"/>
      <c r="O3362" s="24" t="n"/>
      <c r="P3362" s="24" t="n"/>
      <c r="Q3362" s="22">
        <f>IF($D3362="","",IF(AND(OR(DANH_MUC!$L$5&lt;&gt;"Có",M3362="Có"),OR(DANH_MUC!$L$6&lt;&gt;"Có",N3362="Có"),OR(DANH_MUC!$L$7&lt;&gt;"Có",O3362="Có"),OR(DANH_MUC!$L$8&lt;&gt;"Có",P3362="Có")),"Có","Không"))</f>
        <v/>
      </c>
      <c r="R3362" s="22">
        <f>IF($D3362="","",IF(COUNTIF($D$2:$D3362,$D3362)&gt;1,"Trùng",""))</f>
        <v/>
      </c>
      <c r="S3362" s="22">
        <f>IF($D3362="","",IF(AND(LEN($D3362)=10,LEFT($D3362,1)="0",ISNUMBER(--$D3362)),"Có","Không"))</f>
        <v/>
      </c>
      <c r="T3362" s="22">
        <f>IF($D3362="","",IF(AND($C3362&lt;&gt;"",$Q3362="Có",$R3362="",$S3362="Có",AND($L3362&lt;&gt;"",OR($L3362&lt;&gt;"Chưa xác định",DANH_MUC!$L$9="Có"))),"Có","Không"))</f>
        <v/>
      </c>
      <c r="U3362" s="22">
        <f>IF(OR($D3362="",$T3362="Có"),"",IF($C3362="","Thiếu họ tên; ","")&amp;IF($S3362&lt;&gt;"Có","SĐT sai định dạng; ","")&amp;IF($R3362="Trùng","Trùng SĐT; ","")&amp;IF($Q3362&lt;&gt;"Có","Thiếu đồng ý bắt buộc; ","")&amp;IF($L3362="","Thiếu/sai Mã REF; ",IF(AND($L3362="Chưa xác định",DANH_MUC!$L$9&lt;&gt;"Có"),"Nguồn chưa xác định; ","")))</f>
        <v/>
      </c>
      <c r="V3362" s="22">
        <f>IF(OR($D3362="",$R3362="Trùng"),"",IF(COUNTIF(ORDERS!$C$2:$C$4995,$D3362)&gt;0,"Có","Không"))</f>
        <v/>
      </c>
      <c r="W3362" s="22">
        <f>IF(OR($D3362="",$R3362="Trùng"),"",COUNTIFS(ORDERS!$C$2:$C$4995,$D3362,ORDERS!$L$2:$L$4995,"Đã chuyển khoản"))</f>
        <v/>
      </c>
      <c r="X3362" s="23">
        <f>IF(OR($D3362="",$R3362="Trùng"),"",SUMIFS(ORDERS!$J$2:$J$4995,ORDERS!$C$2:$C$4995,$D3362,ORDERS!$L$2:$L$4995,"Đã chuyển khoản"))</f>
        <v/>
      </c>
      <c r="Y3362" s="24" t="n"/>
    </row>
    <row r="3363" ht="14.25" customHeight="1" s="40">
      <c r="A3363" s="24" t="n"/>
      <c r="B3363" s="27" t="n"/>
      <c r="C3363" s="24" t="n"/>
      <c r="D3363" s="28" t="n"/>
      <c r="E3363" s="29" t="n"/>
      <c r="F3363" s="24" t="n"/>
      <c r="G3363" s="24" t="n"/>
      <c r="H3363" s="21">
        <f>IF(ISNUMBER($B3363),INT($B3363)-WEEKDAY($B3363,2)+1,"")</f>
        <v/>
      </c>
      <c r="I3363" s="24" t="n"/>
      <c r="J3363" s="22">
        <f t="array" ref="J3363">IF($D3363="","",IF($I3363="","(trống REF)",IFERROR(INDEX(MASTER_SOURCE!$B$2:$B$495,MATCH($I3363,MASTER_SOURCE!$A$2:$A$495,0)),"(REF không có trong MASTER_SOURCE)")))</f>
        <v/>
      </c>
      <c r="K3363" s="22">
        <f t="array" ref="K3363">IF($D3363="","",IFERROR(INDEX(MASTER_SOURCE!$C$2:$C$495,MATCH($I3363,MASTER_SOURCE!$A$2:$A$495,0)),""))</f>
        <v/>
      </c>
      <c r="L3363" s="22">
        <f t="array" ref="L3363">IF($D3363="","",IFERROR(INDEX(MASTER_SOURCE!$D$2:$D$495,MATCH($I3363,MASTER_SOURCE!$A$2:$A$495,0)),""))</f>
        <v/>
      </c>
      <c r="M3363" s="24" t="n"/>
      <c r="N3363" s="24" t="n"/>
      <c r="O3363" s="24" t="n"/>
      <c r="P3363" s="24" t="n"/>
      <c r="Q3363" s="22">
        <f>IF($D3363="","",IF(AND(OR(DANH_MUC!$L$5&lt;&gt;"Có",M3363="Có"),OR(DANH_MUC!$L$6&lt;&gt;"Có",N3363="Có"),OR(DANH_MUC!$L$7&lt;&gt;"Có",O3363="Có"),OR(DANH_MUC!$L$8&lt;&gt;"Có",P3363="Có")),"Có","Không"))</f>
        <v/>
      </c>
      <c r="R3363" s="22">
        <f>IF($D3363="","",IF(COUNTIF($D$2:$D3363,$D3363)&gt;1,"Trùng",""))</f>
        <v/>
      </c>
      <c r="S3363" s="22">
        <f>IF($D3363="","",IF(AND(LEN($D3363)=10,LEFT($D3363,1)="0",ISNUMBER(--$D3363)),"Có","Không"))</f>
        <v/>
      </c>
      <c r="T3363" s="22">
        <f>IF($D3363="","",IF(AND($C3363&lt;&gt;"",$Q3363="Có",$R3363="",$S3363="Có",AND($L3363&lt;&gt;"",OR($L3363&lt;&gt;"Chưa xác định",DANH_MUC!$L$9="Có"))),"Có","Không"))</f>
        <v/>
      </c>
      <c r="U3363" s="22">
        <f>IF(OR($D3363="",$T3363="Có"),"",IF($C3363="","Thiếu họ tên; ","")&amp;IF($S3363&lt;&gt;"Có","SĐT sai định dạng; ","")&amp;IF($R3363="Trùng","Trùng SĐT; ","")&amp;IF($Q3363&lt;&gt;"Có","Thiếu đồng ý bắt buộc; ","")&amp;IF($L3363="","Thiếu/sai Mã REF; ",IF(AND($L3363="Chưa xác định",DANH_MUC!$L$9&lt;&gt;"Có"),"Nguồn chưa xác định; ","")))</f>
        <v/>
      </c>
      <c r="V3363" s="22">
        <f>IF(OR($D3363="",$R3363="Trùng"),"",IF(COUNTIF(ORDERS!$C$2:$C$4995,$D3363)&gt;0,"Có","Không"))</f>
        <v/>
      </c>
      <c r="W3363" s="22">
        <f>IF(OR($D3363="",$R3363="Trùng"),"",COUNTIFS(ORDERS!$C$2:$C$4995,$D3363,ORDERS!$L$2:$L$4995,"Đã chuyển khoản"))</f>
        <v/>
      </c>
      <c r="X3363" s="23">
        <f>IF(OR($D3363="",$R3363="Trùng"),"",SUMIFS(ORDERS!$J$2:$J$4995,ORDERS!$C$2:$C$4995,$D3363,ORDERS!$L$2:$L$4995,"Đã chuyển khoản"))</f>
        <v/>
      </c>
      <c r="Y3363" s="24" t="n"/>
    </row>
    <row r="3364" ht="14.25" customHeight="1" s="40">
      <c r="A3364" s="24" t="n"/>
      <c r="B3364" s="27" t="n"/>
      <c r="C3364" s="24" t="n"/>
      <c r="D3364" s="28" t="n"/>
      <c r="E3364" s="29" t="n"/>
      <c r="F3364" s="24" t="n"/>
      <c r="G3364" s="24" t="n"/>
      <c r="H3364" s="21">
        <f>IF(ISNUMBER($B3364),INT($B3364)-WEEKDAY($B3364,2)+1,"")</f>
        <v/>
      </c>
      <c r="I3364" s="24" t="n"/>
      <c r="J3364" s="22">
        <f t="array" ref="J3364">IF($D3364="","",IF($I3364="","(trống REF)",IFERROR(INDEX(MASTER_SOURCE!$B$2:$B$495,MATCH($I3364,MASTER_SOURCE!$A$2:$A$495,0)),"(REF không có trong MASTER_SOURCE)")))</f>
        <v/>
      </c>
      <c r="K3364" s="22">
        <f t="array" ref="K3364">IF($D3364="","",IFERROR(INDEX(MASTER_SOURCE!$C$2:$C$495,MATCH($I3364,MASTER_SOURCE!$A$2:$A$495,0)),""))</f>
        <v/>
      </c>
      <c r="L3364" s="22">
        <f t="array" ref="L3364">IF($D3364="","",IFERROR(INDEX(MASTER_SOURCE!$D$2:$D$495,MATCH($I3364,MASTER_SOURCE!$A$2:$A$495,0)),""))</f>
        <v/>
      </c>
      <c r="M3364" s="24" t="n"/>
      <c r="N3364" s="24" t="n"/>
      <c r="O3364" s="24" t="n"/>
      <c r="P3364" s="24" t="n"/>
      <c r="Q3364" s="22">
        <f>IF($D3364="","",IF(AND(OR(DANH_MUC!$L$5&lt;&gt;"Có",M3364="Có"),OR(DANH_MUC!$L$6&lt;&gt;"Có",N3364="Có"),OR(DANH_MUC!$L$7&lt;&gt;"Có",O3364="Có"),OR(DANH_MUC!$L$8&lt;&gt;"Có",P3364="Có")),"Có","Không"))</f>
        <v/>
      </c>
      <c r="R3364" s="22">
        <f>IF($D3364="","",IF(COUNTIF($D$2:$D3364,$D3364)&gt;1,"Trùng",""))</f>
        <v/>
      </c>
      <c r="S3364" s="22">
        <f>IF($D3364="","",IF(AND(LEN($D3364)=10,LEFT($D3364,1)="0",ISNUMBER(--$D3364)),"Có","Không"))</f>
        <v/>
      </c>
      <c r="T3364" s="22">
        <f>IF($D3364="","",IF(AND($C3364&lt;&gt;"",$Q3364="Có",$R3364="",$S3364="Có",AND($L3364&lt;&gt;"",OR($L3364&lt;&gt;"Chưa xác định",DANH_MUC!$L$9="Có"))),"Có","Không"))</f>
        <v/>
      </c>
      <c r="U3364" s="22">
        <f>IF(OR($D3364="",$T3364="Có"),"",IF($C3364="","Thiếu họ tên; ","")&amp;IF($S3364&lt;&gt;"Có","SĐT sai định dạng; ","")&amp;IF($R3364="Trùng","Trùng SĐT; ","")&amp;IF($Q3364&lt;&gt;"Có","Thiếu đồng ý bắt buộc; ","")&amp;IF($L3364="","Thiếu/sai Mã REF; ",IF(AND($L3364="Chưa xác định",DANH_MUC!$L$9&lt;&gt;"Có"),"Nguồn chưa xác định; ","")))</f>
        <v/>
      </c>
      <c r="V3364" s="22">
        <f>IF(OR($D3364="",$R3364="Trùng"),"",IF(COUNTIF(ORDERS!$C$2:$C$4995,$D3364)&gt;0,"Có","Không"))</f>
        <v/>
      </c>
      <c r="W3364" s="22">
        <f>IF(OR($D3364="",$R3364="Trùng"),"",COUNTIFS(ORDERS!$C$2:$C$4995,$D3364,ORDERS!$L$2:$L$4995,"Đã chuyển khoản"))</f>
        <v/>
      </c>
      <c r="X3364" s="23">
        <f>IF(OR($D3364="",$R3364="Trùng"),"",SUMIFS(ORDERS!$J$2:$J$4995,ORDERS!$C$2:$C$4995,$D3364,ORDERS!$L$2:$L$4995,"Đã chuyển khoản"))</f>
        <v/>
      </c>
      <c r="Y3364" s="24" t="n"/>
    </row>
    <row r="3365" ht="14.25" customHeight="1" s="40">
      <c r="A3365" s="24" t="n"/>
      <c r="B3365" s="27" t="n"/>
      <c r="C3365" s="24" t="n"/>
      <c r="D3365" s="28" t="n"/>
      <c r="E3365" s="29" t="n"/>
      <c r="F3365" s="24" t="n"/>
      <c r="G3365" s="24" t="n"/>
      <c r="H3365" s="21">
        <f>IF(ISNUMBER($B3365),INT($B3365)-WEEKDAY($B3365,2)+1,"")</f>
        <v/>
      </c>
      <c r="I3365" s="24" t="n"/>
      <c r="J3365" s="22">
        <f t="array" ref="J3365">IF($D3365="","",IF($I3365="","(trống REF)",IFERROR(INDEX(MASTER_SOURCE!$B$2:$B$495,MATCH($I3365,MASTER_SOURCE!$A$2:$A$495,0)),"(REF không có trong MASTER_SOURCE)")))</f>
        <v/>
      </c>
      <c r="K3365" s="22">
        <f t="array" ref="K3365">IF($D3365="","",IFERROR(INDEX(MASTER_SOURCE!$C$2:$C$495,MATCH($I3365,MASTER_SOURCE!$A$2:$A$495,0)),""))</f>
        <v/>
      </c>
      <c r="L3365" s="22">
        <f t="array" ref="L3365">IF($D3365="","",IFERROR(INDEX(MASTER_SOURCE!$D$2:$D$495,MATCH($I3365,MASTER_SOURCE!$A$2:$A$495,0)),""))</f>
        <v/>
      </c>
      <c r="M3365" s="24" t="n"/>
      <c r="N3365" s="24" t="n"/>
      <c r="O3365" s="24" t="n"/>
      <c r="P3365" s="24" t="n"/>
      <c r="Q3365" s="22">
        <f>IF($D3365="","",IF(AND(OR(DANH_MUC!$L$5&lt;&gt;"Có",M3365="Có"),OR(DANH_MUC!$L$6&lt;&gt;"Có",N3365="Có"),OR(DANH_MUC!$L$7&lt;&gt;"Có",O3365="Có"),OR(DANH_MUC!$L$8&lt;&gt;"Có",P3365="Có")),"Có","Không"))</f>
        <v/>
      </c>
      <c r="R3365" s="22">
        <f>IF($D3365="","",IF(COUNTIF($D$2:$D3365,$D3365)&gt;1,"Trùng",""))</f>
        <v/>
      </c>
      <c r="S3365" s="22">
        <f>IF($D3365="","",IF(AND(LEN($D3365)=10,LEFT($D3365,1)="0",ISNUMBER(--$D3365)),"Có","Không"))</f>
        <v/>
      </c>
      <c r="T3365" s="22">
        <f>IF($D3365="","",IF(AND($C3365&lt;&gt;"",$Q3365="Có",$R3365="",$S3365="Có",AND($L3365&lt;&gt;"",OR($L3365&lt;&gt;"Chưa xác định",DANH_MUC!$L$9="Có"))),"Có","Không"))</f>
        <v/>
      </c>
      <c r="U3365" s="22">
        <f>IF(OR($D3365="",$T3365="Có"),"",IF($C3365="","Thiếu họ tên; ","")&amp;IF($S3365&lt;&gt;"Có","SĐT sai định dạng; ","")&amp;IF($R3365="Trùng","Trùng SĐT; ","")&amp;IF($Q3365&lt;&gt;"Có","Thiếu đồng ý bắt buộc; ","")&amp;IF($L3365="","Thiếu/sai Mã REF; ",IF(AND($L3365="Chưa xác định",DANH_MUC!$L$9&lt;&gt;"Có"),"Nguồn chưa xác định; ","")))</f>
        <v/>
      </c>
      <c r="V3365" s="22">
        <f>IF(OR($D3365="",$R3365="Trùng"),"",IF(COUNTIF(ORDERS!$C$2:$C$4995,$D3365)&gt;0,"Có","Không"))</f>
        <v/>
      </c>
      <c r="W3365" s="22">
        <f>IF(OR($D3365="",$R3365="Trùng"),"",COUNTIFS(ORDERS!$C$2:$C$4995,$D3365,ORDERS!$L$2:$L$4995,"Đã chuyển khoản"))</f>
        <v/>
      </c>
      <c r="X3365" s="23">
        <f>IF(OR($D3365="",$R3365="Trùng"),"",SUMIFS(ORDERS!$J$2:$J$4995,ORDERS!$C$2:$C$4995,$D3365,ORDERS!$L$2:$L$4995,"Đã chuyển khoản"))</f>
        <v/>
      </c>
      <c r="Y3365" s="24" t="n"/>
    </row>
    <row r="3366" ht="14.25" customHeight="1" s="40">
      <c r="A3366" s="24" t="n"/>
      <c r="B3366" s="27" t="n"/>
      <c r="C3366" s="24" t="n"/>
      <c r="D3366" s="28" t="n"/>
      <c r="E3366" s="29" t="n"/>
      <c r="F3366" s="24" t="n"/>
      <c r="G3366" s="24" t="n"/>
      <c r="H3366" s="21">
        <f>IF(ISNUMBER($B3366),INT($B3366)-WEEKDAY($B3366,2)+1,"")</f>
        <v/>
      </c>
      <c r="I3366" s="24" t="n"/>
      <c r="J3366" s="22">
        <f t="array" ref="J3366">IF($D3366="","",IF($I3366="","(trống REF)",IFERROR(INDEX(MASTER_SOURCE!$B$2:$B$495,MATCH($I3366,MASTER_SOURCE!$A$2:$A$495,0)),"(REF không có trong MASTER_SOURCE)")))</f>
        <v/>
      </c>
      <c r="K3366" s="22">
        <f t="array" ref="K3366">IF($D3366="","",IFERROR(INDEX(MASTER_SOURCE!$C$2:$C$495,MATCH($I3366,MASTER_SOURCE!$A$2:$A$495,0)),""))</f>
        <v/>
      </c>
      <c r="L3366" s="22">
        <f t="array" ref="L3366">IF($D3366="","",IFERROR(INDEX(MASTER_SOURCE!$D$2:$D$495,MATCH($I3366,MASTER_SOURCE!$A$2:$A$495,0)),""))</f>
        <v/>
      </c>
      <c r="M3366" s="24" t="n"/>
      <c r="N3366" s="24" t="n"/>
      <c r="O3366" s="24" t="n"/>
      <c r="P3366" s="24" t="n"/>
      <c r="Q3366" s="22">
        <f>IF($D3366="","",IF(AND(OR(DANH_MUC!$L$5&lt;&gt;"Có",M3366="Có"),OR(DANH_MUC!$L$6&lt;&gt;"Có",N3366="Có"),OR(DANH_MUC!$L$7&lt;&gt;"Có",O3366="Có"),OR(DANH_MUC!$L$8&lt;&gt;"Có",P3366="Có")),"Có","Không"))</f>
        <v/>
      </c>
      <c r="R3366" s="22">
        <f>IF($D3366="","",IF(COUNTIF($D$2:$D3366,$D3366)&gt;1,"Trùng",""))</f>
        <v/>
      </c>
      <c r="S3366" s="22">
        <f>IF($D3366="","",IF(AND(LEN($D3366)=10,LEFT($D3366,1)="0",ISNUMBER(--$D3366)),"Có","Không"))</f>
        <v/>
      </c>
      <c r="T3366" s="22">
        <f>IF($D3366="","",IF(AND($C3366&lt;&gt;"",$Q3366="Có",$R3366="",$S3366="Có",AND($L3366&lt;&gt;"",OR($L3366&lt;&gt;"Chưa xác định",DANH_MUC!$L$9="Có"))),"Có","Không"))</f>
        <v/>
      </c>
      <c r="U3366" s="22">
        <f>IF(OR($D3366="",$T3366="Có"),"",IF($C3366="","Thiếu họ tên; ","")&amp;IF($S3366&lt;&gt;"Có","SĐT sai định dạng; ","")&amp;IF($R3366="Trùng","Trùng SĐT; ","")&amp;IF($Q3366&lt;&gt;"Có","Thiếu đồng ý bắt buộc; ","")&amp;IF($L3366="","Thiếu/sai Mã REF; ",IF(AND($L3366="Chưa xác định",DANH_MUC!$L$9&lt;&gt;"Có"),"Nguồn chưa xác định; ","")))</f>
        <v/>
      </c>
      <c r="V3366" s="22">
        <f>IF(OR($D3366="",$R3366="Trùng"),"",IF(COUNTIF(ORDERS!$C$2:$C$4995,$D3366)&gt;0,"Có","Không"))</f>
        <v/>
      </c>
      <c r="W3366" s="22">
        <f>IF(OR($D3366="",$R3366="Trùng"),"",COUNTIFS(ORDERS!$C$2:$C$4995,$D3366,ORDERS!$L$2:$L$4995,"Đã chuyển khoản"))</f>
        <v/>
      </c>
      <c r="X3366" s="23">
        <f>IF(OR($D3366="",$R3366="Trùng"),"",SUMIFS(ORDERS!$J$2:$J$4995,ORDERS!$C$2:$C$4995,$D3366,ORDERS!$L$2:$L$4995,"Đã chuyển khoản"))</f>
        <v/>
      </c>
      <c r="Y3366" s="24" t="n"/>
    </row>
    <row r="3367" ht="14.25" customHeight="1" s="40">
      <c r="A3367" s="24" t="n"/>
      <c r="B3367" s="27" t="n"/>
      <c r="C3367" s="24" t="n"/>
      <c r="D3367" s="28" t="n"/>
      <c r="E3367" s="29" t="n"/>
      <c r="F3367" s="24" t="n"/>
      <c r="G3367" s="24" t="n"/>
      <c r="H3367" s="21">
        <f>IF(ISNUMBER($B3367),INT($B3367)-WEEKDAY($B3367,2)+1,"")</f>
        <v/>
      </c>
      <c r="I3367" s="24" t="n"/>
      <c r="J3367" s="22">
        <f t="array" ref="J3367">IF($D3367="","",IF($I3367="","(trống REF)",IFERROR(INDEX(MASTER_SOURCE!$B$2:$B$495,MATCH($I3367,MASTER_SOURCE!$A$2:$A$495,0)),"(REF không có trong MASTER_SOURCE)")))</f>
        <v/>
      </c>
      <c r="K3367" s="22">
        <f t="array" ref="K3367">IF($D3367="","",IFERROR(INDEX(MASTER_SOURCE!$C$2:$C$495,MATCH($I3367,MASTER_SOURCE!$A$2:$A$495,0)),""))</f>
        <v/>
      </c>
      <c r="L3367" s="22">
        <f t="array" ref="L3367">IF($D3367="","",IFERROR(INDEX(MASTER_SOURCE!$D$2:$D$495,MATCH($I3367,MASTER_SOURCE!$A$2:$A$495,0)),""))</f>
        <v/>
      </c>
      <c r="M3367" s="24" t="n"/>
      <c r="N3367" s="24" t="n"/>
      <c r="O3367" s="24" t="n"/>
      <c r="P3367" s="24" t="n"/>
      <c r="Q3367" s="22">
        <f>IF($D3367="","",IF(AND(OR(DANH_MUC!$L$5&lt;&gt;"Có",M3367="Có"),OR(DANH_MUC!$L$6&lt;&gt;"Có",N3367="Có"),OR(DANH_MUC!$L$7&lt;&gt;"Có",O3367="Có"),OR(DANH_MUC!$L$8&lt;&gt;"Có",P3367="Có")),"Có","Không"))</f>
        <v/>
      </c>
      <c r="R3367" s="22">
        <f>IF($D3367="","",IF(COUNTIF($D$2:$D3367,$D3367)&gt;1,"Trùng",""))</f>
        <v/>
      </c>
      <c r="S3367" s="22">
        <f>IF($D3367="","",IF(AND(LEN($D3367)=10,LEFT($D3367,1)="0",ISNUMBER(--$D3367)),"Có","Không"))</f>
        <v/>
      </c>
      <c r="T3367" s="22">
        <f>IF($D3367="","",IF(AND($C3367&lt;&gt;"",$Q3367="Có",$R3367="",$S3367="Có",AND($L3367&lt;&gt;"",OR($L3367&lt;&gt;"Chưa xác định",DANH_MUC!$L$9="Có"))),"Có","Không"))</f>
        <v/>
      </c>
      <c r="U3367" s="22">
        <f>IF(OR($D3367="",$T3367="Có"),"",IF($C3367="","Thiếu họ tên; ","")&amp;IF($S3367&lt;&gt;"Có","SĐT sai định dạng; ","")&amp;IF($R3367="Trùng","Trùng SĐT; ","")&amp;IF($Q3367&lt;&gt;"Có","Thiếu đồng ý bắt buộc; ","")&amp;IF($L3367="","Thiếu/sai Mã REF; ",IF(AND($L3367="Chưa xác định",DANH_MUC!$L$9&lt;&gt;"Có"),"Nguồn chưa xác định; ","")))</f>
        <v/>
      </c>
      <c r="V3367" s="22">
        <f>IF(OR($D3367="",$R3367="Trùng"),"",IF(COUNTIF(ORDERS!$C$2:$C$4995,$D3367)&gt;0,"Có","Không"))</f>
        <v/>
      </c>
      <c r="W3367" s="22">
        <f>IF(OR($D3367="",$R3367="Trùng"),"",COUNTIFS(ORDERS!$C$2:$C$4995,$D3367,ORDERS!$L$2:$L$4995,"Đã chuyển khoản"))</f>
        <v/>
      </c>
      <c r="X3367" s="23">
        <f>IF(OR($D3367="",$R3367="Trùng"),"",SUMIFS(ORDERS!$J$2:$J$4995,ORDERS!$C$2:$C$4995,$D3367,ORDERS!$L$2:$L$4995,"Đã chuyển khoản"))</f>
        <v/>
      </c>
      <c r="Y3367" s="24" t="n"/>
    </row>
    <row r="3368" ht="14.25" customHeight="1" s="40">
      <c r="A3368" s="24" t="n"/>
      <c r="B3368" s="27" t="n"/>
      <c r="C3368" s="24" t="n"/>
      <c r="D3368" s="28" t="n"/>
      <c r="E3368" s="29" t="n"/>
      <c r="F3368" s="24" t="n"/>
      <c r="G3368" s="24" t="n"/>
      <c r="H3368" s="21">
        <f>IF(ISNUMBER($B3368),INT($B3368)-WEEKDAY($B3368,2)+1,"")</f>
        <v/>
      </c>
      <c r="I3368" s="24" t="n"/>
      <c r="J3368" s="22">
        <f t="array" ref="J3368">IF($D3368="","",IF($I3368="","(trống REF)",IFERROR(INDEX(MASTER_SOURCE!$B$2:$B$495,MATCH($I3368,MASTER_SOURCE!$A$2:$A$495,0)),"(REF không có trong MASTER_SOURCE)")))</f>
        <v/>
      </c>
      <c r="K3368" s="22">
        <f t="array" ref="K3368">IF($D3368="","",IFERROR(INDEX(MASTER_SOURCE!$C$2:$C$495,MATCH($I3368,MASTER_SOURCE!$A$2:$A$495,0)),""))</f>
        <v/>
      </c>
      <c r="L3368" s="22">
        <f t="array" ref="L3368">IF($D3368="","",IFERROR(INDEX(MASTER_SOURCE!$D$2:$D$495,MATCH($I3368,MASTER_SOURCE!$A$2:$A$495,0)),""))</f>
        <v/>
      </c>
      <c r="M3368" s="24" t="n"/>
      <c r="N3368" s="24" t="n"/>
      <c r="O3368" s="24" t="n"/>
      <c r="P3368" s="24" t="n"/>
      <c r="Q3368" s="22">
        <f>IF($D3368="","",IF(AND(OR(DANH_MUC!$L$5&lt;&gt;"Có",M3368="Có"),OR(DANH_MUC!$L$6&lt;&gt;"Có",N3368="Có"),OR(DANH_MUC!$L$7&lt;&gt;"Có",O3368="Có"),OR(DANH_MUC!$L$8&lt;&gt;"Có",P3368="Có")),"Có","Không"))</f>
        <v/>
      </c>
      <c r="R3368" s="22">
        <f>IF($D3368="","",IF(COUNTIF($D$2:$D3368,$D3368)&gt;1,"Trùng",""))</f>
        <v/>
      </c>
      <c r="S3368" s="22">
        <f>IF($D3368="","",IF(AND(LEN($D3368)=10,LEFT($D3368,1)="0",ISNUMBER(--$D3368)),"Có","Không"))</f>
        <v/>
      </c>
      <c r="T3368" s="22">
        <f>IF($D3368="","",IF(AND($C3368&lt;&gt;"",$Q3368="Có",$R3368="",$S3368="Có",AND($L3368&lt;&gt;"",OR($L3368&lt;&gt;"Chưa xác định",DANH_MUC!$L$9="Có"))),"Có","Không"))</f>
        <v/>
      </c>
      <c r="U3368" s="22">
        <f>IF(OR($D3368="",$T3368="Có"),"",IF($C3368="","Thiếu họ tên; ","")&amp;IF($S3368&lt;&gt;"Có","SĐT sai định dạng; ","")&amp;IF($R3368="Trùng","Trùng SĐT; ","")&amp;IF($Q3368&lt;&gt;"Có","Thiếu đồng ý bắt buộc; ","")&amp;IF($L3368="","Thiếu/sai Mã REF; ",IF(AND($L3368="Chưa xác định",DANH_MUC!$L$9&lt;&gt;"Có"),"Nguồn chưa xác định; ","")))</f>
        <v/>
      </c>
      <c r="V3368" s="22">
        <f>IF(OR($D3368="",$R3368="Trùng"),"",IF(COUNTIF(ORDERS!$C$2:$C$4995,$D3368)&gt;0,"Có","Không"))</f>
        <v/>
      </c>
      <c r="W3368" s="22">
        <f>IF(OR($D3368="",$R3368="Trùng"),"",COUNTIFS(ORDERS!$C$2:$C$4995,$D3368,ORDERS!$L$2:$L$4995,"Đã chuyển khoản"))</f>
        <v/>
      </c>
      <c r="X3368" s="23">
        <f>IF(OR($D3368="",$R3368="Trùng"),"",SUMIFS(ORDERS!$J$2:$J$4995,ORDERS!$C$2:$C$4995,$D3368,ORDERS!$L$2:$L$4995,"Đã chuyển khoản"))</f>
        <v/>
      </c>
      <c r="Y3368" s="24" t="n"/>
    </row>
    <row r="3369" ht="14.25" customHeight="1" s="40">
      <c r="A3369" s="24" t="n"/>
      <c r="B3369" s="27" t="n"/>
      <c r="C3369" s="24" t="n"/>
      <c r="D3369" s="28" t="n"/>
      <c r="E3369" s="29" t="n"/>
      <c r="F3369" s="24" t="n"/>
      <c r="G3369" s="24" t="n"/>
      <c r="H3369" s="21">
        <f>IF(ISNUMBER($B3369),INT($B3369)-WEEKDAY($B3369,2)+1,"")</f>
        <v/>
      </c>
      <c r="I3369" s="24" t="n"/>
      <c r="J3369" s="22">
        <f t="array" ref="J3369">IF($D3369="","",IF($I3369="","(trống REF)",IFERROR(INDEX(MASTER_SOURCE!$B$2:$B$495,MATCH($I3369,MASTER_SOURCE!$A$2:$A$495,0)),"(REF không có trong MASTER_SOURCE)")))</f>
        <v/>
      </c>
      <c r="K3369" s="22">
        <f t="array" ref="K3369">IF($D3369="","",IFERROR(INDEX(MASTER_SOURCE!$C$2:$C$495,MATCH($I3369,MASTER_SOURCE!$A$2:$A$495,0)),""))</f>
        <v/>
      </c>
      <c r="L3369" s="22">
        <f t="array" ref="L3369">IF($D3369="","",IFERROR(INDEX(MASTER_SOURCE!$D$2:$D$495,MATCH($I3369,MASTER_SOURCE!$A$2:$A$495,0)),""))</f>
        <v/>
      </c>
      <c r="M3369" s="24" t="n"/>
      <c r="N3369" s="24" t="n"/>
      <c r="O3369" s="24" t="n"/>
      <c r="P3369" s="24" t="n"/>
      <c r="Q3369" s="22">
        <f>IF($D3369="","",IF(AND(OR(DANH_MUC!$L$5&lt;&gt;"Có",M3369="Có"),OR(DANH_MUC!$L$6&lt;&gt;"Có",N3369="Có"),OR(DANH_MUC!$L$7&lt;&gt;"Có",O3369="Có"),OR(DANH_MUC!$L$8&lt;&gt;"Có",P3369="Có")),"Có","Không"))</f>
        <v/>
      </c>
      <c r="R3369" s="22">
        <f>IF($D3369="","",IF(COUNTIF($D$2:$D3369,$D3369)&gt;1,"Trùng",""))</f>
        <v/>
      </c>
      <c r="S3369" s="22">
        <f>IF($D3369="","",IF(AND(LEN($D3369)=10,LEFT($D3369,1)="0",ISNUMBER(--$D3369)),"Có","Không"))</f>
        <v/>
      </c>
      <c r="T3369" s="22">
        <f>IF($D3369="","",IF(AND($C3369&lt;&gt;"",$Q3369="Có",$R3369="",$S3369="Có",AND($L3369&lt;&gt;"",OR($L3369&lt;&gt;"Chưa xác định",DANH_MUC!$L$9="Có"))),"Có","Không"))</f>
        <v/>
      </c>
      <c r="U3369" s="22">
        <f>IF(OR($D3369="",$T3369="Có"),"",IF($C3369="","Thiếu họ tên; ","")&amp;IF($S3369&lt;&gt;"Có","SĐT sai định dạng; ","")&amp;IF($R3369="Trùng","Trùng SĐT; ","")&amp;IF($Q3369&lt;&gt;"Có","Thiếu đồng ý bắt buộc; ","")&amp;IF($L3369="","Thiếu/sai Mã REF; ",IF(AND($L3369="Chưa xác định",DANH_MUC!$L$9&lt;&gt;"Có"),"Nguồn chưa xác định; ","")))</f>
        <v/>
      </c>
      <c r="V3369" s="22">
        <f>IF(OR($D3369="",$R3369="Trùng"),"",IF(COUNTIF(ORDERS!$C$2:$C$4995,$D3369)&gt;0,"Có","Không"))</f>
        <v/>
      </c>
      <c r="W3369" s="22">
        <f>IF(OR($D3369="",$R3369="Trùng"),"",COUNTIFS(ORDERS!$C$2:$C$4995,$D3369,ORDERS!$L$2:$L$4995,"Đã chuyển khoản"))</f>
        <v/>
      </c>
      <c r="X3369" s="23">
        <f>IF(OR($D3369="",$R3369="Trùng"),"",SUMIFS(ORDERS!$J$2:$J$4995,ORDERS!$C$2:$C$4995,$D3369,ORDERS!$L$2:$L$4995,"Đã chuyển khoản"))</f>
        <v/>
      </c>
      <c r="Y3369" s="24" t="n"/>
    </row>
    <row r="3370" ht="14.25" customHeight="1" s="40">
      <c r="A3370" s="24" t="n"/>
      <c r="B3370" s="27" t="n"/>
      <c r="C3370" s="24" t="n"/>
      <c r="D3370" s="28" t="n"/>
      <c r="E3370" s="29" t="n"/>
      <c r="F3370" s="24" t="n"/>
      <c r="G3370" s="24" t="n"/>
      <c r="H3370" s="21">
        <f>IF(ISNUMBER($B3370),INT($B3370)-WEEKDAY($B3370,2)+1,"")</f>
        <v/>
      </c>
      <c r="I3370" s="24" t="n"/>
      <c r="J3370" s="22">
        <f t="array" ref="J3370">IF($D3370="","",IF($I3370="","(trống REF)",IFERROR(INDEX(MASTER_SOURCE!$B$2:$B$495,MATCH($I3370,MASTER_SOURCE!$A$2:$A$495,0)),"(REF không có trong MASTER_SOURCE)")))</f>
        <v/>
      </c>
      <c r="K3370" s="22">
        <f t="array" ref="K3370">IF($D3370="","",IFERROR(INDEX(MASTER_SOURCE!$C$2:$C$495,MATCH($I3370,MASTER_SOURCE!$A$2:$A$495,0)),""))</f>
        <v/>
      </c>
      <c r="L3370" s="22">
        <f t="array" ref="L3370">IF($D3370="","",IFERROR(INDEX(MASTER_SOURCE!$D$2:$D$495,MATCH($I3370,MASTER_SOURCE!$A$2:$A$495,0)),""))</f>
        <v/>
      </c>
      <c r="M3370" s="24" t="n"/>
      <c r="N3370" s="24" t="n"/>
      <c r="O3370" s="24" t="n"/>
      <c r="P3370" s="24" t="n"/>
      <c r="Q3370" s="22">
        <f>IF($D3370="","",IF(AND(OR(DANH_MUC!$L$5&lt;&gt;"Có",M3370="Có"),OR(DANH_MUC!$L$6&lt;&gt;"Có",N3370="Có"),OR(DANH_MUC!$L$7&lt;&gt;"Có",O3370="Có"),OR(DANH_MUC!$L$8&lt;&gt;"Có",P3370="Có")),"Có","Không"))</f>
        <v/>
      </c>
      <c r="R3370" s="22">
        <f>IF($D3370="","",IF(COUNTIF($D$2:$D3370,$D3370)&gt;1,"Trùng",""))</f>
        <v/>
      </c>
      <c r="S3370" s="22">
        <f>IF($D3370="","",IF(AND(LEN($D3370)=10,LEFT($D3370,1)="0",ISNUMBER(--$D3370)),"Có","Không"))</f>
        <v/>
      </c>
      <c r="T3370" s="22">
        <f>IF($D3370="","",IF(AND($C3370&lt;&gt;"",$Q3370="Có",$R3370="",$S3370="Có",AND($L3370&lt;&gt;"",OR($L3370&lt;&gt;"Chưa xác định",DANH_MUC!$L$9="Có"))),"Có","Không"))</f>
        <v/>
      </c>
      <c r="U3370" s="22">
        <f>IF(OR($D3370="",$T3370="Có"),"",IF($C3370="","Thiếu họ tên; ","")&amp;IF($S3370&lt;&gt;"Có","SĐT sai định dạng; ","")&amp;IF($R3370="Trùng","Trùng SĐT; ","")&amp;IF($Q3370&lt;&gt;"Có","Thiếu đồng ý bắt buộc; ","")&amp;IF($L3370="","Thiếu/sai Mã REF; ",IF(AND($L3370="Chưa xác định",DANH_MUC!$L$9&lt;&gt;"Có"),"Nguồn chưa xác định; ","")))</f>
        <v/>
      </c>
      <c r="V3370" s="22">
        <f>IF(OR($D3370="",$R3370="Trùng"),"",IF(COUNTIF(ORDERS!$C$2:$C$4995,$D3370)&gt;0,"Có","Không"))</f>
        <v/>
      </c>
      <c r="W3370" s="22">
        <f>IF(OR($D3370="",$R3370="Trùng"),"",COUNTIFS(ORDERS!$C$2:$C$4995,$D3370,ORDERS!$L$2:$L$4995,"Đã chuyển khoản"))</f>
        <v/>
      </c>
      <c r="X3370" s="23">
        <f>IF(OR($D3370="",$R3370="Trùng"),"",SUMIFS(ORDERS!$J$2:$J$4995,ORDERS!$C$2:$C$4995,$D3370,ORDERS!$L$2:$L$4995,"Đã chuyển khoản"))</f>
        <v/>
      </c>
      <c r="Y3370" s="24" t="n"/>
    </row>
    <row r="3371" ht="14.25" customHeight="1" s="40">
      <c r="A3371" s="24" t="n"/>
      <c r="B3371" s="27" t="n"/>
      <c r="C3371" s="24" t="n"/>
      <c r="D3371" s="28" t="n"/>
      <c r="E3371" s="29" t="n"/>
      <c r="F3371" s="24" t="n"/>
      <c r="G3371" s="24" t="n"/>
      <c r="H3371" s="21">
        <f>IF(ISNUMBER($B3371),INT($B3371)-WEEKDAY($B3371,2)+1,"")</f>
        <v/>
      </c>
      <c r="I3371" s="24" t="n"/>
      <c r="J3371" s="22">
        <f t="array" ref="J3371">IF($D3371="","",IF($I3371="","(trống REF)",IFERROR(INDEX(MASTER_SOURCE!$B$2:$B$495,MATCH($I3371,MASTER_SOURCE!$A$2:$A$495,0)),"(REF không có trong MASTER_SOURCE)")))</f>
        <v/>
      </c>
      <c r="K3371" s="22">
        <f t="array" ref="K3371">IF($D3371="","",IFERROR(INDEX(MASTER_SOURCE!$C$2:$C$495,MATCH($I3371,MASTER_SOURCE!$A$2:$A$495,0)),""))</f>
        <v/>
      </c>
      <c r="L3371" s="22">
        <f t="array" ref="L3371">IF($D3371="","",IFERROR(INDEX(MASTER_SOURCE!$D$2:$D$495,MATCH($I3371,MASTER_SOURCE!$A$2:$A$495,0)),""))</f>
        <v/>
      </c>
      <c r="M3371" s="24" t="n"/>
      <c r="N3371" s="24" t="n"/>
      <c r="O3371" s="24" t="n"/>
      <c r="P3371" s="24" t="n"/>
      <c r="Q3371" s="22">
        <f>IF($D3371="","",IF(AND(OR(DANH_MUC!$L$5&lt;&gt;"Có",M3371="Có"),OR(DANH_MUC!$L$6&lt;&gt;"Có",N3371="Có"),OR(DANH_MUC!$L$7&lt;&gt;"Có",O3371="Có"),OR(DANH_MUC!$L$8&lt;&gt;"Có",P3371="Có")),"Có","Không"))</f>
        <v/>
      </c>
      <c r="R3371" s="22">
        <f>IF($D3371="","",IF(COUNTIF($D$2:$D3371,$D3371)&gt;1,"Trùng",""))</f>
        <v/>
      </c>
      <c r="S3371" s="22">
        <f>IF($D3371="","",IF(AND(LEN($D3371)=10,LEFT($D3371,1)="0",ISNUMBER(--$D3371)),"Có","Không"))</f>
        <v/>
      </c>
      <c r="T3371" s="22">
        <f>IF($D3371="","",IF(AND($C3371&lt;&gt;"",$Q3371="Có",$R3371="",$S3371="Có",AND($L3371&lt;&gt;"",OR($L3371&lt;&gt;"Chưa xác định",DANH_MUC!$L$9="Có"))),"Có","Không"))</f>
        <v/>
      </c>
      <c r="U3371" s="22">
        <f>IF(OR($D3371="",$T3371="Có"),"",IF($C3371="","Thiếu họ tên; ","")&amp;IF($S3371&lt;&gt;"Có","SĐT sai định dạng; ","")&amp;IF($R3371="Trùng","Trùng SĐT; ","")&amp;IF($Q3371&lt;&gt;"Có","Thiếu đồng ý bắt buộc; ","")&amp;IF($L3371="","Thiếu/sai Mã REF; ",IF(AND($L3371="Chưa xác định",DANH_MUC!$L$9&lt;&gt;"Có"),"Nguồn chưa xác định; ","")))</f>
        <v/>
      </c>
      <c r="V3371" s="22">
        <f>IF(OR($D3371="",$R3371="Trùng"),"",IF(COUNTIF(ORDERS!$C$2:$C$4995,$D3371)&gt;0,"Có","Không"))</f>
        <v/>
      </c>
      <c r="W3371" s="22">
        <f>IF(OR($D3371="",$R3371="Trùng"),"",COUNTIFS(ORDERS!$C$2:$C$4995,$D3371,ORDERS!$L$2:$L$4995,"Đã chuyển khoản"))</f>
        <v/>
      </c>
      <c r="X3371" s="23">
        <f>IF(OR($D3371="",$R3371="Trùng"),"",SUMIFS(ORDERS!$J$2:$J$4995,ORDERS!$C$2:$C$4995,$D3371,ORDERS!$L$2:$L$4995,"Đã chuyển khoản"))</f>
        <v/>
      </c>
      <c r="Y3371" s="24" t="n"/>
    </row>
    <row r="3372" ht="14.25" customHeight="1" s="40">
      <c r="A3372" s="24" t="n"/>
      <c r="B3372" s="27" t="n"/>
      <c r="C3372" s="24" t="n"/>
      <c r="D3372" s="28" t="n"/>
      <c r="E3372" s="29" t="n"/>
      <c r="F3372" s="24" t="n"/>
      <c r="G3372" s="24" t="n"/>
      <c r="H3372" s="21">
        <f>IF(ISNUMBER($B3372),INT($B3372)-WEEKDAY($B3372,2)+1,"")</f>
        <v/>
      </c>
      <c r="I3372" s="24" t="n"/>
      <c r="J3372" s="22">
        <f t="array" ref="J3372">IF($D3372="","",IF($I3372="","(trống REF)",IFERROR(INDEX(MASTER_SOURCE!$B$2:$B$495,MATCH($I3372,MASTER_SOURCE!$A$2:$A$495,0)),"(REF không có trong MASTER_SOURCE)")))</f>
        <v/>
      </c>
      <c r="K3372" s="22">
        <f t="array" ref="K3372">IF($D3372="","",IFERROR(INDEX(MASTER_SOURCE!$C$2:$C$495,MATCH($I3372,MASTER_SOURCE!$A$2:$A$495,0)),""))</f>
        <v/>
      </c>
      <c r="L3372" s="22">
        <f t="array" ref="L3372">IF($D3372="","",IFERROR(INDEX(MASTER_SOURCE!$D$2:$D$495,MATCH($I3372,MASTER_SOURCE!$A$2:$A$495,0)),""))</f>
        <v/>
      </c>
      <c r="M3372" s="24" t="n"/>
      <c r="N3372" s="24" t="n"/>
      <c r="O3372" s="24" t="n"/>
      <c r="P3372" s="24" t="n"/>
      <c r="Q3372" s="22">
        <f>IF($D3372="","",IF(AND(OR(DANH_MUC!$L$5&lt;&gt;"Có",M3372="Có"),OR(DANH_MUC!$L$6&lt;&gt;"Có",N3372="Có"),OR(DANH_MUC!$L$7&lt;&gt;"Có",O3372="Có"),OR(DANH_MUC!$L$8&lt;&gt;"Có",P3372="Có")),"Có","Không"))</f>
        <v/>
      </c>
      <c r="R3372" s="22">
        <f>IF($D3372="","",IF(COUNTIF($D$2:$D3372,$D3372)&gt;1,"Trùng",""))</f>
        <v/>
      </c>
      <c r="S3372" s="22">
        <f>IF($D3372="","",IF(AND(LEN($D3372)=10,LEFT($D3372,1)="0",ISNUMBER(--$D3372)),"Có","Không"))</f>
        <v/>
      </c>
      <c r="T3372" s="22">
        <f>IF($D3372="","",IF(AND($C3372&lt;&gt;"",$Q3372="Có",$R3372="",$S3372="Có",AND($L3372&lt;&gt;"",OR($L3372&lt;&gt;"Chưa xác định",DANH_MUC!$L$9="Có"))),"Có","Không"))</f>
        <v/>
      </c>
      <c r="U3372" s="22">
        <f>IF(OR($D3372="",$T3372="Có"),"",IF($C3372="","Thiếu họ tên; ","")&amp;IF($S3372&lt;&gt;"Có","SĐT sai định dạng; ","")&amp;IF($R3372="Trùng","Trùng SĐT; ","")&amp;IF($Q3372&lt;&gt;"Có","Thiếu đồng ý bắt buộc; ","")&amp;IF($L3372="","Thiếu/sai Mã REF; ",IF(AND($L3372="Chưa xác định",DANH_MUC!$L$9&lt;&gt;"Có"),"Nguồn chưa xác định; ","")))</f>
        <v/>
      </c>
      <c r="V3372" s="22">
        <f>IF(OR($D3372="",$R3372="Trùng"),"",IF(COUNTIF(ORDERS!$C$2:$C$4995,$D3372)&gt;0,"Có","Không"))</f>
        <v/>
      </c>
      <c r="W3372" s="22">
        <f>IF(OR($D3372="",$R3372="Trùng"),"",COUNTIFS(ORDERS!$C$2:$C$4995,$D3372,ORDERS!$L$2:$L$4995,"Đã chuyển khoản"))</f>
        <v/>
      </c>
      <c r="X3372" s="23">
        <f>IF(OR($D3372="",$R3372="Trùng"),"",SUMIFS(ORDERS!$J$2:$J$4995,ORDERS!$C$2:$C$4995,$D3372,ORDERS!$L$2:$L$4995,"Đã chuyển khoản"))</f>
        <v/>
      </c>
      <c r="Y3372" s="24" t="n"/>
    </row>
    <row r="3373" ht="14.25" customHeight="1" s="40">
      <c r="A3373" s="24" t="n"/>
      <c r="B3373" s="27" t="n"/>
      <c r="C3373" s="24" t="n"/>
      <c r="D3373" s="28" t="n"/>
      <c r="E3373" s="29" t="n"/>
      <c r="F3373" s="24" t="n"/>
      <c r="G3373" s="24" t="n"/>
      <c r="H3373" s="21">
        <f>IF(ISNUMBER($B3373),INT($B3373)-WEEKDAY($B3373,2)+1,"")</f>
        <v/>
      </c>
      <c r="I3373" s="24" t="n"/>
      <c r="J3373" s="22">
        <f t="array" ref="J3373">IF($D3373="","",IF($I3373="","(trống REF)",IFERROR(INDEX(MASTER_SOURCE!$B$2:$B$495,MATCH($I3373,MASTER_SOURCE!$A$2:$A$495,0)),"(REF không có trong MASTER_SOURCE)")))</f>
        <v/>
      </c>
      <c r="K3373" s="22">
        <f t="array" ref="K3373">IF($D3373="","",IFERROR(INDEX(MASTER_SOURCE!$C$2:$C$495,MATCH($I3373,MASTER_SOURCE!$A$2:$A$495,0)),""))</f>
        <v/>
      </c>
      <c r="L3373" s="22">
        <f t="array" ref="L3373">IF($D3373="","",IFERROR(INDEX(MASTER_SOURCE!$D$2:$D$495,MATCH($I3373,MASTER_SOURCE!$A$2:$A$495,0)),""))</f>
        <v/>
      </c>
      <c r="M3373" s="24" t="n"/>
      <c r="N3373" s="24" t="n"/>
      <c r="O3373" s="24" t="n"/>
      <c r="P3373" s="24" t="n"/>
      <c r="Q3373" s="22">
        <f>IF($D3373="","",IF(AND(OR(DANH_MUC!$L$5&lt;&gt;"Có",M3373="Có"),OR(DANH_MUC!$L$6&lt;&gt;"Có",N3373="Có"),OR(DANH_MUC!$L$7&lt;&gt;"Có",O3373="Có"),OR(DANH_MUC!$L$8&lt;&gt;"Có",P3373="Có")),"Có","Không"))</f>
        <v/>
      </c>
      <c r="R3373" s="22">
        <f>IF($D3373="","",IF(COUNTIF($D$2:$D3373,$D3373)&gt;1,"Trùng",""))</f>
        <v/>
      </c>
      <c r="S3373" s="22">
        <f>IF($D3373="","",IF(AND(LEN($D3373)=10,LEFT($D3373,1)="0",ISNUMBER(--$D3373)),"Có","Không"))</f>
        <v/>
      </c>
      <c r="T3373" s="22">
        <f>IF($D3373="","",IF(AND($C3373&lt;&gt;"",$Q3373="Có",$R3373="",$S3373="Có",AND($L3373&lt;&gt;"",OR($L3373&lt;&gt;"Chưa xác định",DANH_MUC!$L$9="Có"))),"Có","Không"))</f>
        <v/>
      </c>
      <c r="U3373" s="22">
        <f>IF(OR($D3373="",$T3373="Có"),"",IF($C3373="","Thiếu họ tên; ","")&amp;IF($S3373&lt;&gt;"Có","SĐT sai định dạng; ","")&amp;IF($R3373="Trùng","Trùng SĐT; ","")&amp;IF($Q3373&lt;&gt;"Có","Thiếu đồng ý bắt buộc; ","")&amp;IF($L3373="","Thiếu/sai Mã REF; ",IF(AND($L3373="Chưa xác định",DANH_MUC!$L$9&lt;&gt;"Có"),"Nguồn chưa xác định; ","")))</f>
        <v/>
      </c>
      <c r="V3373" s="22">
        <f>IF(OR($D3373="",$R3373="Trùng"),"",IF(COUNTIF(ORDERS!$C$2:$C$4995,$D3373)&gt;0,"Có","Không"))</f>
        <v/>
      </c>
      <c r="W3373" s="22">
        <f>IF(OR($D3373="",$R3373="Trùng"),"",COUNTIFS(ORDERS!$C$2:$C$4995,$D3373,ORDERS!$L$2:$L$4995,"Đã chuyển khoản"))</f>
        <v/>
      </c>
      <c r="X3373" s="23">
        <f>IF(OR($D3373="",$R3373="Trùng"),"",SUMIFS(ORDERS!$J$2:$J$4995,ORDERS!$C$2:$C$4995,$D3373,ORDERS!$L$2:$L$4995,"Đã chuyển khoản"))</f>
        <v/>
      </c>
      <c r="Y3373" s="24" t="n"/>
    </row>
    <row r="3374" ht="14.25" customHeight="1" s="40">
      <c r="A3374" s="24" t="n"/>
      <c r="B3374" s="27" t="n"/>
      <c r="C3374" s="24" t="n"/>
      <c r="D3374" s="28" t="n"/>
      <c r="E3374" s="29" t="n"/>
      <c r="F3374" s="24" t="n"/>
      <c r="G3374" s="24" t="n"/>
      <c r="H3374" s="21">
        <f>IF(ISNUMBER($B3374),INT($B3374)-WEEKDAY($B3374,2)+1,"")</f>
        <v/>
      </c>
      <c r="I3374" s="24" t="n"/>
      <c r="J3374" s="22">
        <f t="array" ref="J3374">IF($D3374="","",IF($I3374="","(trống REF)",IFERROR(INDEX(MASTER_SOURCE!$B$2:$B$495,MATCH($I3374,MASTER_SOURCE!$A$2:$A$495,0)),"(REF không có trong MASTER_SOURCE)")))</f>
        <v/>
      </c>
      <c r="K3374" s="22">
        <f t="array" ref="K3374">IF($D3374="","",IFERROR(INDEX(MASTER_SOURCE!$C$2:$C$495,MATCH($I3374,MASTER_SOURCE!$A$2:$A$495,0)),""))</f>
        <v/>
      </c>
      <c r="L3374" s="22">
        <f t="array" ref="L3374">IF($D3374="","",IFERROR(INDEX(MASTER_SOURCE!$D$2:$D$495,MATCH($I3374,MASTER_SOURCE!$A$2:$A$495,0)),""))</f>
        <v/>
      </c>
      <c r="M3374" s="24" t="n"/>
      <c r="N3374" s="24" t="n"/>
      <c r="O3374" s="24" t="n"/>
      <c r="P3374" s="24" t="n"/>
      <c r="Q3374" s="22">
        <f>IF($D3374="","",IF(AND(OR(DANH_MUC!$L$5&lt;&gt;"Có",M3374="Có"),OR(DANH_MUC!$L$6&lt;&gt;"Có",N3374="Có"),OR(DANH_MUC!$L$7&lt;&gt;"Có",O3374="Có"),OR(DANH_MUC!$L$8&lt;&gt;"Có",P3374="Có")),"Có","Không"))</f>
        <v/>
      </c>
      <c r="R3374" s="22">
        <f>IF($D3374="","",IF(COUNTIF($D$2:$D3374,$D3374)&gt;1,"Trùng",""))</f>
        <v/>
      </c>
      <c r="S3374" s="22">
        <f>IF($D3374="","",IF(AND(LEN($D3374)=10,LEFT($D3374,1)="0",ISNUMBER(--$D3374)),"Có","Không"))</f>
        <v/>
      </c>
      <c r="T3374" s="22">
        <f>IF($D3374="","",IF(AND($C3374&lt;&gt;"",$Q3374="Có",$R3374="",$S3374="Có",AND($L3374&lt;&gt;"",OR($L3374&lt;&gt;"Chưa xác định",DANH_MUC!$L$9="Có"))),"Có","Không"))</f>
        <v/>
      </c>
      <c r="U3374" s="22">
        <f>IF(OR($D3374="",$T3374="Có"),"",IF($C3374="","Thiếu họ tên; ","")&amp;IF($S3374&lt;&gt;"Có","SĐT sai định dạng; ","")&amp;IF($R3374="Trùng","Trùng SĐT; ","")&amp;IF($Q3374&lt;&gt;"Có","Thiếu đồng ý bắt buộc; ","")&amp;IF($L3374="","Thiếu/sai Mã REF; ",IF(AND($L3374="Chưa xác định",DANH_MUC!$L$9&lt;&gt;"Có"),"Nguồn chưa xác định; ","")))</f>
        <v/>
      </c>
      <c r="V3374" s="22">
        <f>IF(OR($D3374="",$R3374="Trùng"),"",IF(COUNTIF(ORDERS!$C$2:$C$4995,$D3374)&gt;0,"Có","Không"))</f>
        <v/>
      </c>
      <c r="W3374" s="22">
        <f>IF(OR($D3374="",$R3374="Trùng"),"",COUNTIFS(ORDERS!$C$2:$C$4995,$D3374,ORDERS!$L$2:$L$4995,"Đã chuyển khoản"))</f>
        <v/>
      </c>
      <c r="X3374" s="23">
        <f>IF(OR($D3374="",$R3374="Trùng"),"",SUMIFS(ORDERS!$J$2:$J$4995,ORDERS!$C$2:$C$4995,$D3374,ORDERS!$L$2:$L$4995,"Đã chuyển khoản"))</f>
        <v/>
      </c>
      <c r="Y3374" s="24" t="n"/>
    </row>
    <row r="3375" ht="14.25" customHeight="1" s="40">
      <c r="A3375" s="24" t="n"/>
      <c r="B3375" s="27" t="n"/>
      <c r="C3375" s="24" t="n"/>
      <c r="D3375" s="28" t="n"/>
      <c r="E3375" s="29" t="n"/>
      <c r="F3375" s="24" t="n"/>
      <c r="G3375" s="24" t="n"/>
      <c r="H3375" s="21">
        <f>IF(ISNUMBER($B3375),INT($B3375)-WEEKDAY($B3375,2)+1,"")</f>
        <v/>
      </c>
      <c r="I3375" s="24" t="n"/>
      <c r="J3375" s="22">
        <f t="array" ref="J3375">IF($D3375="","",IF($I3375="","(trống REF)",IFERROR(INDEX(MASTER_SOURCE!$B$2:$B$495,MATCH($I3375,MASTER_SOURCE!$A$2:$A$495,0)),"(REF không có trong MASTER_SOURCE)")))</f>
        <v/>
      </c>
      <c r="K3375" s="22">
        <f t="array" ref="K3375">IF($D3375="","",IFERROR(INDEX(MASTER_SOURCE!$C$2:$C$495,MATCH($I3375,MASTER_SOURCE!$A$2:$A$495,0)),""))</f>
        <v/>
      </c>
      <c r="L3375" s="22">
        <f t="array" ref="L3375">IF($D3375="","",IFERROR(INDEX(MASTER_SOURCE!$D$2:$D$495,MATCH($I3375,MASTER_SOURCE!$A$2:$A$495,0)),""))</f>
        <v/>
      </c>
      <c r="M3375" s="24" t="n"/>
      <c r="N3375" s="24" t="n"/>
      <c r="O3375" s="24" t="n"/>
      <c r="P3375" s="24" t="n"/>
      <c r="Q3375" s="22">
        <f>IF($D3375="","",IF(AND(OR(DANH_MUC!$L$5&lt;&gt;"Có",M3375="Có"),OR(DANH_MUC!$L$6&lt;&gt;"Có",N3375="Có"),OR(DANH_MUC!$L$7&lt;&gt;"Có",O3375="Có"),OR(DANH_MUC!$L$8&lt;&gt;"Có",P3375="Có")),"Có","Không"))</f>
        <v/>
      </c>
      <c r="R3375" s="22">
        <f>IF($D3375="","",IF(COUNTIF($D$2:$D3375,$D3375)&gt;1,"Trùng",""))</f>
        <v/>
      </c>
      <c r="S3375" s="22">
        <f>IF($D3375="","",IF(AND(LEN($D3375)=10,LEFT($D3375,1)="0",ISNUMBER(--$D3375)),"Có","Không"))</f>
        <v/>
      </c>
      <c r="T3375" s="22">
        <f>IF($D3375="","",IF(AND($C3375&lt;&gt;"",$Q3375="Có",$R3375="",$S3375="Có",AND($L3375&lt;&gt;"",OR($L3375&lt;&gt;"Chưa xác định",DANH_MUC!$L$9="Có"))),"Có","Không"))</f>
        <v/>
      </c>
      <c r="U3375" s="22">
        <f>IF(OR($D3375="",$T3375="Có"),"",IF($C3375="","Thiếu họ tên; ","")&amp;IF($S3375&lt;&gt;"Có","SĐT sai định dạng; ","")&amp;IF($R3375="Trùng","Trùng SĐT; ","")&amp;IF($Q3375&lt;&gt;"Có","Thiếu đồng ý bắt buộc; ","")&amp;IF($L3375="","Thiếu/sai Mã REF; ",IF(AND($L3375="Chưa xác định",DANH_MUC!$L$9&lt;&gt;"Có"),"Nguồn chưa xác định; ","")))</f>
        <v/>
      </c>
      <c r="V3375" s="22">
        <f>IF(OR($D3375="",$R3375="Trùng"),"",IF(COUNTIF(ORDERS!$C$2:$C$4995,$D3375)&gt;0,"Có","Không"))</f>
        <v/>
      </c>
      <c r="W3375" s="22">
        <f>IF(OR($D3375="",$R3375="Trùng"),"",COUNTIFS(ORDERS!$C$2:$C$4995,$D3375,ORDERS!$L$2:$L$4995,"Đã chuyển khoản"))</f>
        <v/>
      </c>
      <c r="X3375" s="23">
        <f>IF(OR($D3375="",$R3375="Trùng"),"",SUMIFS(ORDERS!$J$2:$J$4995,ORDERS!$C$2:$C$4995,$D3375,ORDERS!$L$2:$L$4995,"Đã chuyển khoản"))</f>
        <v/>
      </c>
      <c r="Y3375" s="24" t="n"/>
    </row>
    <row r="3376" ht="14.25" customHeight="1" s="40">
      <c r="A3376" s="24" t="n"/>
      <c r="B3376" s="27" t="n"/>
      <c r="C3376" s="24" t="n"/>
      <c r="D3376" s="28" t="n"/>
      <c r="E3376" s="29" t="n"/>
      <c r="F3376" s="24" t="n"/>
      <c r="G3376" s="24" t="n"/>
      <c r="H3376" s="21">
        <f>IF(ISNUMBER($B3376),INT($B3376)-WEEKDAY($B3376,2)+1,"")</f>
        <v/>
      </c>
      <c r="I3376" s="24" t="n"/>
      <c r="J3376" s="22">
        <f t="array" ref="J3376">IF($D3376="","",IF($I3376="","(trống REF)",IFERROR(INDEX(MASTER_SOURCE!$B$2:$B$495,MATCH($I3376,MASTER_SOURCE!$A$2:$A$495,0)),"(REF không có trong MASTER_SOURCE)")))</f>
        <v/>
      </c>
      <c r="K3376" s="22">
        <f t="array" ref="K3376">IF($D3376="","",IFERROR(INDEX(MASTER_SOURCE!$C$2:$C$495,MATCH($I3376,MASTER_SOURCE!$A$2:$A$495,0)),""))</f>
        <v/>
      </c>
      <c r="L3376" s="22">
        <f t="array" ref="L3376">IF($D3376="","",IFERROR(INDEX(MASTER_SOURCE!$D$2:$D$495,MATCH($I3376,MASTER_SOURCE!$A$2:$A$495,0)),""))</f>
        <v/>
      </c>
      <c r="M3376" s="24" t="n"/>
      <c r="N3376" s="24" t="n"/>
      <c r="O3376" s="24" t="n"/>
      <c r="P3376" s="24" t="n"/>
      <c r="Q3376" s="22">
        <f>IF($D3376="","",IF(AND(OR(DANH_MUC!$L$5&lt;&gt;"Có",M3376="Có"),OR(DANH_MUC!$L$6&lt;&gt;"Có",N3376="Có"),OR(DANH_MUC!$L$7&lt;&gt;"Có",O3376="Có"),OR(DANH_MUC!$L$8&lt;&gt;"Có",P3376="Có")),"Có","Không"))</f>
        <v/>
      </c>
      <c r="R3376" s="22">
        <f>IF($D3376="","",IF(COUNTIF($D$2:$D3376,$D3376)&gt;1,"Trùng",""))</f>
        <v/>
      </c>
      <c r="S3376" s="22">
        <f>IF($D3376="","",IF(AND(LEN($D3376)=10,LEFT($D3376,1)="0",ISNUMBER(--$D3376)),"Có","Không"))</f>
        <v/>
      </c>
      <c r="T3376" s="22">
        <f>IF($D3376="","",IF(AND($C3376&lt;&gt;"",$Q3376="Có",$R3376="",$S3376="Có",AND($L3376&lt;&gt;"",OR($L3376&lt;&gt;"Chưa xác định",DANH_MUC!$L$9="Có"))),"Có","Không"))</f>
        <v/>
      </c>
      <c r="U3376" s="22">
        <f>IF(OR($D3376="",$T3376="Có"),"",IF($C3376="","Thiếu họ tên; ","")&amp;IF($S3376&lt;&gt;"Có","SĐT sai định dạng; ","")&amp;IF($R3376="Trùng","Trùng SĐT; ","")&amp;IF($Q3376&lt;&gt;"Có","Thiếu đồng ý bắt buộc; ","")&amp;IF($L3376="","Thiếu/sai Mã REF; ",IF(AND($L3376="Chưa xác định",DANH_MUC!$L$9&lt;&gt;"Có"),"Nguồn chưa xác định; ","")))</f>
        <v/>
      </c>
      <c r="V3376" s="22">
        <f>IF(OR($D3376="",$R3376="Trùng"),"",IF(COUNTIF(ORDERS!$C$2:$C$4995,$D3376)&gt;0,"Có","Không"))</f>
        <v/>
      </c>
      <c r="W3376" s="22">
        <f>IF(OR($D3376="",$R3376="Trùng"),"",COUNTIFS(ORDERS!$C$2:$C$4995,$D3376,ORDERS!$L$2:$L$4995,"Đã chuyển khoản"))</f>
        <v/>
      </c>
      <c r="X3376" s="23">
        <f>IF(OR($D3376="",$R3376="Trùng"),"",SUMIFS(ORDERS!$J$2:$J$4995,ORDERS!$C$2:$C$4995,$D3376,ORDERS!$L$2:$L$4995,"Đã chuyển khoản"))</f>
        <v/>
      </c>
      <c r="Y3376" s="24" t="n"/>
    </row>
    <row r="3377" ht="14.25" customHeight="1" s="40">
      <c r="A3377" s="24" t="n"/>
      <c r="B3377" s="27" t="n"/>
      <c r="C3377" s="24" t="n"/>
      <c r="D3377" s="28" t="n"/>
      <c r="E3377" s="29" t="n"/>
      <c r="F3377" s="24" t="n"/>
      <c r="G3377" s="24" t="n"/>
      <c r="H3377" s="21">
        <f>IF(ISNUMBER($B3377),INT($B3377)-WEEKDAY($B3377,2)+1,"")</f>
        <v/>
      </c>
      <c r="I3377" s="24" t="n"/>
      <c r="J3377" s="22">
        <f t="array" ref="J3377">IF($D3377="","",IF($I3377="","(trống REF)",IFERROR(INDEX(MASTER_SOURCE!$B$2:$B$495,MATCH($I3377,MASTER_SOURCE!$A$2:$A$495,0)),"(REF không có trong MASTER_SOURCE)")))</f>
        <v/>
      </c>
      <c r="K3377" s="22">
        <f t="array" ref="K3377">IF($D3377="","",IFERROR(INDEX(MASTER_SOURCE!$C$2:$C$495,MATCH($I3377,MASTER_SOURCE!$A$2:$A$495,0)),""))</f>
        <v/>
      </c>
      <c r="L3377" s="22">
        <f t="array" ref="L3377">IF($D3377="","",IFERROR(INDEX(MASTER_SOURCE!$D$2:$D$495,MATCH($I3377,MASTER_SOURCE!$A$2:$A$495,0)),""))</f>
        <v/>
      </c>
      <c r="M3377" s="24" t="n"/>
      <c r="N3377" s="24" t="n"/>
      <c r="O3377" s="24" t="n"/>
      <c r="P3377" s="24" t="n"/>
      <c r="Q3377" s="22">
        <f>IF($D3377="","",IF(AND(OR(DANH_MUC!$L$5&lt;&gt;"Có",M3377="Có"),OR(DANH_MUC!$L$6&lt;&gt;"Có",N3377="Có"),OR(DANH_MUC!$L$7&lt;&gt;"Có",O3377="Có"),OR(DANH_MUC!$L$8&lt;&gt;"Có",P3377="Có")),"Có","Không"))</f>
        <v/>
      </c>
      <c r="R3377" s="22">
        <f>IF($D3377="","",IF(COUNTIF($D$2:$D3377,$D3377)&gt;1,"Trùng",""))</f>
        <v/>
      </c>
      <c r="S3377" s="22">
        <f>IF($D3377="","",IF(AND(LEN($D3377)=10,LEFT($D3377,1)="0",ISNUMBER(--$D3377)),"Có","Không"))</f>
        <v/>
      </c>
      <c r="T3377" s="22">
        <f>IF($D3377="","",IF(AND($C3377&lt;&gt;"",$Q3377="Có",$R3377="",$S3377="Có",AND($L3377&lt;&gt;"",OR($L3377&lt;&gt;"Chưa xác định",DANH_MUC!$L$9="Có"))),"Có","Không"))</f>
        <v/>
      </c>
      <c r="U3377" s="22">
        <f>IF(OR($D3377="",$T3377="Có"),"",IF($C3377="","Thiếu họ tên; ","")&amp;IF($S3377&lt;&gt;"Có","SĐT sai định dạng; ","")&amp;IF($R3377="Trùng","Trùng SĐT; ","")&amp;IF($Q3377&lt;&gt;"Có","Thiếu đồng ý bắt buộc; ","")&amp;IF($L3377="","Thiếu/sai Mã REF; ",IF(AND($L3377="Chưa xác định",DANH_MUC!$L$9&lt;&gt;"Có"),"Nguồn chưa xác định; ","")))</f>
        <v/>
      </c>
      <c r="V3377" s="22">
        <f>IF(OR($D3377="",$R3377="Trùng"),"",IF(COUNTIF(ORDERS!$C$2:$C$4995,$D3377)&gt;0,"Có","Không"))</f>
        <v/>
      </c>
      <c r="W3377" s="22">
        <f>IF(OR($D3377="",$R3377="Trùng"),"",COUNTIFS(ORDERS!$C$2:$C$4995,$D3377,ORDERS!$L$2:$L$4995,"Đã chuyển khoản"))</f>
        <v/>
      </c>
      <c r="X3377" s="23">
        <f>IF(OR($D3377="",$R3377="Trùng"),"",SUMIFS(ORDERS!$J$2:$J$4995,ORDERS!$C$2:$C$4995,$D3377,ORDERS!$L$2:$L$4995,"Đã chuyển khoản"))</f>
        <v/>
      </c>
      <c r="Y3377" s="24" t="n"/>
    </row>
    <row r="3378" ht="14.25" customHeight="1" s="40">
      <c r="A3378" s="24" t="n"/>
      <c r="B3378" s="27" t="n"/>
      <c r="C3378" s="24" t="n"/>
      <c r="D3378" s="28" t="n"/>
      <c r="E3378" s="29" t="n"/>
      <c r="F3378" s="24" t="n"/>
      <c r="G3378" s="24" t="n"/>
      <c r="H3378" s="21">
        <f>IF(ISNUMBER($B3378),INT($B3378)-WEEKDAY($B3378,2)+1,"")</f>
        <v/>
      </c>
      <c r="I3378" s="24" t="n"/>
      <c r="J3378" s="22">
        <f t="array" ref="J3378">IF($D3378="","",IF($I3378="","(trống REF)",IFERROR(INDEX(MASTER_SOURCE!$B$2:$B$495,MATCH($I3378,MASTER_SOURCE!$A$2:$A$495,0)),"(REF không có trong MASTER_SOURCE)")))</f>
        <v/>
      </c>
      <c r="K3378" s="22">
        <f t="array" ref="K3378">IF($D3378="","",IFERROR(INDEX(MASTER_SOURCE!$C$2:$C$495,MATCH($I3378,MASTER_SOURCE!$A$2:$A$495,0)),""))</f>
        <v/>
      </c>
      <c r="L3378" s="22">
        <f t="array" ref="L3378">IF($D3378="","",IFERROR(INDEX(MASTER_SOURCE!$D$2:$D$495,MATCH($I3378,MASTER_SOURCE!$A$2:$A$495,0)),""))</f>
        <v/>
      </c>
      <c r="M3378" s="24" t="n"/>
      <c r="N3378" s="24" t="n"/>
      <c r="O3378" s="24" t="n"/>
      <c r="P3378" s="24" t="n"/>
      <c r="Q3378" s="22">
        <f>IF($D3378="","",IF(AND(OR(DANH_MUC!$L$5&lt;&gt;"Có",M3378="Có"),OR(DANH_MUC!$L$6&lt;&gt;"Có",N3378="Có"),OR(DANH_MUC!$L$7&lt;&gt;"Có",O3378="Có"),OR(DANH_MUC!$L$8&lt;&gt;"Có",P3378="Có")),"Có","Không"))</f>
        <v/>
      </c>
      <c r="R3378" s="22">
        <f>IF($D3378="","",IF(COUNTIF($D$2:$D3378,$D3378)&gt;1,"Trùng",""))</f>
        <v/>
      </c>
      <c r="S3378" s="22">
        <f>IF($D3378="","",IF(AND(LEN($D3378)=10,LEFT($D3378,1)="0",ISNUMBER(--$D3378)),"Có","Không"))</f>
        <v/>
      </c>
      <c r="T3378" s="22">
        <f>IF($D3378="","",IF(AND($C3378&lt;&gt;"",$Q3378="Có",$R3378="",$S3378="Có",AND($L3378&lt;&gt;"",OR($L3378&lt;&gt;"Chưa xác định",DANH_MUC!$L$9="Có"))),"Có","Không"))</f>
        <v/>
      </c>
      <c r="U3378" s="22">
        <f>IF(OR($D3378="",$T3378="Có"),"",IF($C3378="","Thiếu họ tên; ","")&amp;IF($S3378&lt;&gt;"Có","SĐT sai định dạng; ","")&amp;IF($R3378="Trùng","Trùng SĐT; ","")&amp;IF($Q3378&lt;&gt;"Có","Thiếu đồng ý bắt buộc; ","")&amp;IF($L3378="","Thiếu/sai Mã REF; ",IF(AND($L3378="Chưa xác định",DANH_MUC!$L$9&lt;&gt;"Có"),"Nguồn chưa xác định; ","")))</f>
        <v/>
      </c>
      <c r="V3378" s="22">
        <f>IF(OR($D3378="",$R3378="Trùng"),"",IF(COUNTIF(ORDERS!$C$2:$C$4995,$D3378)&gt;0,"Có","Không"))</f>
        <v/>
      </c>
      <c r="W3378" s="22">
        <f>IF(OR($D3378="",$R3378="Trùng"),"",COUNTIFS(ORDERS!$C$2:$C$4995,$D3378,ORDERS!$L$2:$L$4995,"Đã chuyển khoản"))</f>
        <v/>
      </c>
      <c r="X3378" s="23">
        <f>IF(OR($D3378="",$R3378="Trùng"),"",SUMIFS(ORDERS!$J$2:$J$4995,ORDERS!$C$2:$C$4995,$D3378,ORDERS!$L$2:$L$4995,"Đã chuyển khoản"))</f>
        <v/>
      </c>
      <c r="Y3378" s="24" t="n"/>
    </row>
    <row r="3379" ht="14.25" customHeight="1" s="40">
      <c r="A3379" s="24" t="n"/>
      <c r="B3379" s="27" t="n"/>
      <c r="C3379" s="24" t="n"/>
      <c r="D3379" s="28" t="n"/>
      <c r="E3379" s="29" t="n"/>
      <c r="F3379" s="24" t="n"/>
      <c r="G3379" s="24" t="n"/>
      <c r="H3379" s="21">
        <f>IF(ISNUMBER($B3379),INT($B3379)-WEEKDAY($B3379,2)+1,"")</f>
        <v/>
      </c>
      <c r="I3379" s="24" t="n"/>
      <c r="J3379" s="22">
        <f t="array" ref="J3379">IF($D3379="","",IF($I3379="","(trống REF)",IFERROR(INDEX(MASTER_SOURCE!$B$2:$B$495,MATCH($I3379,MASTER_SOURCE!$A$2:$A$495,0)),"(REF không có trong MASTER_SOURCE)")))</f>
        <v/>
      </c>
      <c r="K3379" s="22">
        <f t="array" ref="K3379">IF($D3379="","",IFERROR(INDEX(MASTER_SOURCE!$C$2:$C$495,MATCH($I3379,MASTER_SOURCE!$A$2:$A$495,0)),""))</f>
        <v/>
      </c>
      <c r="L3379" s="22">
        <f t="array" ref="L3379">IF($D3379="","",IFERROR(INDEX(MASTER_SOURCE!$D$2:$D$495,MATCH($I3379,MASTER_SOURCE!$A$2:$A$495,0)),""))</f>
        <v/>
      </c>
      <c r="M3379" s="24" t="n"/>
      <c r="N3379" s="24" t="n"/>
      <c r="O3379" s="24" t="n"/>
      <c r="P3379" s="24" t="n"/>
      <c r="Q3379" s="22">
        <f>IF($D3379="","",IF(AND(OR(DANH_MUC!$L$5&lt;&gt;"Có",M3379="Có"),OR(DANH_MUC!$L$6&lt;&gt;"Có",N3379="Có"),OR(DANH_MUC!$L$7&lt;&gt;"Có",O3379="Có"),OR(DANH_MUC!$L$8&lt;&gt;"Có",P3379="Có")),"Có","Không"))</f>
        <v/>
      </c>
      <c r="R3379" s="22">
        <f>IF($D3379="","",IF(COUNTIF($D$2:$D3379,$D3379)&gt;1,"Trùng",""))</f>
        <v/>
      </c>
      <c r="S3379" s="22">
        <f>IF($D3379="","",IF(AND(LEN($D3379)=10,LEFT($D3379,1)="0",ISNUMBER(--$D3379)),"Có","Không"))</f>
        <v/>
      </c>
      <c r="T3379" s="22">
        <f>IF($D3379="","",IF(AND($C3379&lt;&gt;"",$Q3379="Có",$R3379="",$S3379="Có",AND($L3379&lt;&gt;"",OR($L3379&lt;&gt;"Chưa xác định",DANH_MUC!$L$9="Có"))),"Có","Không"))</f>
        <v/>
      </c>
      <c r="U3379" s="22">
        <f>IF(OR($D3379="",$T3379="Có"),"",IF($C3379="","Thiếu họ tên; ","")&amp;IF($S3379&lt;&gt;"Có","SĐT sai định dạng; ","")&amp;IF($R3379="Trùng","Trùng SĐT; ","")&amp;IF($Q3379&lt;&gt;"Có","Thiếu đồng ý bắt buộc; ","")&amp;IF($L3379="","Thiếu/sai Mã REF; ",IF(AND($L3379="Chưa xác định",DANH_MUC!$L$9&lt;&gt;"Có"),"Nguồn chưa xác định; ","")))</f>
        <v/>
      </c>
      <c r="V3379" s="22">
        <f>IF(OR($D3379="",$R3379="Trùng"),"",IF(COUNTIF(ORDERS!$C$2:$C$4995,$D3379)&gt;0,"Có","Không"))</f>
        <v/>
      </c>
      <c r="W3379" s="22">
        <f>IF(OR($D3379="",$R3379="Trùng"),"",COUNTIFS(ORDERS!$C$2:$C$4995,$D3379,ORDERS!$L$2:$L$4995,"Đã chuyển khoản"))</f>
        <v/>
      </c>
      <c r="X3379" s="23">
        <f>IF(OR($D3379="",$R3379="Trùng"),"",SUMIFS(ORDERS!$J$2:$J$4995,ORDERS!$C$2:$C$4995,$D3379,ORDERS!$L$2:$L$4995,"Đã chuyển khoản"))</f>
        <v/>
      </c>
      <c r="Y3379" s="24" t="n"/>
    </row>
    <row r="3380" ht="14.25" customHeight="1" s="40">
      <c r="A3380" s="24" t="n"/>
      <c r="B3380" s="27" t="n"/>
      <c r="C3380" s="24" t="n"/>
      <c r="D3380" s="28" t="n"/>
      <c r="E3380" s="29" t="n"/>
      <c r="F3380" s="24" t="n"/>
      <c r="G3380" s="24" t="n"/>
      <c r="H3380" s="21">
        <f>IF(ISNUMBER($B3380),INT($B3380)-WEEKDAY($B3380,2)+1,"")</f>
        <v/>
      </c>
      <c r="I3380" s="24" t="n"/>
      <c r="J3380" s="22">
        <f t="array" ref="J3380">IF($D3380="","",IF($I3380="","(trống REF)",IFERROR(INDEX(MASTER_SOURCE!$B$2:$B$495,MATCH($I3380,MASTER_SOURCE!$A$2:$A$495,0)),"(REF không có trong MASTER_SOURCE)")))</f>
        <v/>
      </c>
      <c r="K3380" s="22">
        <f t="array" ref="K3380">IF($D3380="","",IFERROR(INDEX(MASTER_SOURCE!$C$2:$C$495,MATCH($I3380,MASTER_SOURCE!$A$2:$A$495,0)),""))</f>
        <v/>
      </c>
      <c r="L3380" s="22">
        <f t="array" ref="L3380">IF($D3380="","",IFERROR(INDEX(MASTER_SOURCE!$D$2:$D$495,MATCH($I3380,MASTER_SOURCE!$A$2:$A$495,0)),""))</f>
        <v/>
      </c>
      <c r="M3380" s="24" t="n"/>
      <c r="N3380" s="24" t="n"/>
      <c r="O3380" s="24" t="n"/>
      <c r="P3380" s="24" t="n"/>
      <c r="Q3380" s="22">
        <f>IF($D3380="","",IF(AND(OR(DANH_MUC!$L$5&lt;&gt;"Có",M3380="Có"),OR(DANH_MUC!$L$6&lt;&gt;"Có",N3380="Có"),OR(DANH_MUC!$L$7&lt;&gt;"Có",O3380="Có"),OR(DANH_MUC!$L$8&lt;&gt;"Có",P3380="Có")),"Có","Không"))</f>
        <v/>
      </c>
      <c r="R3380" s="22">
        <f>IF($D3380="","",IF(COUNTIF($D$2:$D3380,$D3380)&gt;1,"Trùng",""))</f>
        <v/>
      </c>
      <c r="S3380" s="22">
        <f>IF($D3380="","",IF(AND(LEN($D3380)=10,LEFT($D3380,1)="0",ISNUMBER(--$D3380)),"Có","Không"))</f>
        <v/>
      </c>
      <c r="T3380" s="22">
        <f>IF($D3380="","",IF(AND($C3380&lt;&gt;"",$Q3380="Có",$R3380="",$S3380="Có",AND($L3380&lt;&gt;"",OR($L3380&lt;&gt;"Chưa xác định",DANH_MUC!$L$9="Có"))),"Có","Không"))</f>
        <v/>
      </c>
      <c r="U3380" s="22">
        <f>IF(OR($D3380="",$T3380="Có"),"",IF($C3380="","Thiếu họ tên; ","")&amp;IF($S3380&lt;&gt;"Có","SĐT sai định dạng; ","")&amp;IF($R3380="Trùng","Trùng SĐT; ","")&amp;IF($Q3380&lt;&gt;"Có","Thiếu đồng ý bắt buộc; ","")&amp;IF($L3380="","Thiếu/sai Mã REF; ",IF(AND($L3380="Chưa xác định",DANH_MUC!$L$9&lt;&gt;"Có"),"Nguồn chưa xác định; ","")))</f>
        <v/>
      </c>
      <c r="V3380" s="22">
        <f>IF(OR($D3380="",$R3380="Trùng"),"",IF(COUNTIF(ORDERS!$C$2:$C$4995,$D3380)&gt;0,"Có","Không"))</f>
        <v/>
      </c>
      <c r="W3380" s="22">
        <f>IF(OR($D3380="",$R3380="Trùng"),"",COUNTIFS(ORDERS!$C$2:$C$4995,$D3380,ORDERS!$L$2:$L$4995,"Đã chuyển khoản"))</f>
        <v/>
      </c>
      <c r="X3380" s="23">
        <f>IF(OR($D3380="",$R3380="Trùng"),"",SUMIFS(ORDERS!$J$2:$J$4995,ORDERS!$C$2:$C$4995,$D3380,ORDERS!$L$2:$L$4995,"Đã chuyển khoản"))</f>
        <v/>
      </c>
      <c r="Y3380" s="24" t="n"/>
    </row>
    <row r="3381" ht="14.25" customHeight="1" s="40">
      <c r="A3381" s="24" t="n"/>
      <c r="B3381" s="27" t="n"/>
      <c r="C3381" s="24" t="n"/>
      <c r="D3381" s="28" t="n"/>
      <c r="E3381" s="29" t="n"/>
      <c r="F3381" s="24" t="n"/>
      <c r="G3381" s="24" t="n"/>
      <c r="H3381" s="21">
        <f>IF(ISNUMBER($B3381),INT($B3381)-WEEKDAY($B3381,2)+1,"")</f>
        <v/>
      </c>
      <c r="I3381" s="24" t="n"/>
      <c r="J3381" s="22">
        <f t="array" ref="J3381">IF($D3381="","",IF($I3381="","(trống REF)",IFERROR(INDEX(MASTER_SOURCE!$B$2:$B$495,MATCH($I3381,MASTER_SOURCE!$A$2:$A$495,0)),"(REF không có trong MASTER_SOURCE)")))</f>
        <v/>
      </c>
      <c r="K3381" s="22">
        <f t="array" ref="K3381">IF($D3381="","",IFERROR(INDEX(MASTER_SOURCE!$C$2:$C$495,MATCH($I3381,MASTER_SOURCE!$A$2:$A$495,0)),""))</f>
        <v/>
      </c>
      <c r="L3381" s="22">
        <f t="array" ref="L3381">IF($D3381="","",IFERROR(INDEX(MASTER_SOURCE!$D$2:$D$495,MATCH($I3381,MASTER_SOURCE!$A$2:$A$495,0)),""))</f>
        <v/>
      </c>
      <c r="M3381" s="24" t="n"/>
      <c r="N3381" s="24" t="n"/>
      <c r="O3381" s="24" t="n"/>
      <c r="P3381" s="24" t="n"/>
      <c r="Q3381" s="22">
        <f>IF($D3381="","",IF(AND(OR(DANH_MUC!$L$5&lt;&gt;"Có",M3381="Có"),OR(DANH_MUC!$L$6&lt;&gt;"Có",N3381="Có"),OR(DANH_MUC!$L$7&lt;&gt;"Có",O3381="Có"),OR(DANH_MUC!$L$8&lt;&gt;"Có",P3381="Có")),"Có","Không"))</f>
        <v/>
      </c>
      <c r="R3381" s="22">
        <f>IF($D3381="","",IF(COUNTIF($D$2:$D3381,$D3381)&gt;1,"Trùng",""))</f>
        <v/>
      </c>
      <c r="S3381" s="22">
        <f>IF($D3381="","",IF(AND(LEN($D3381)=10,LEFT($D3381,1)="0",ISNUMBER(--$D3381)),"Có","Không"))</f>
        <v/>
      </c>
      <c r="T3381" s="22">
        <f>IF($D3381="","",IF(AND($C3381&lt;&gt;"",$Q3381="Có",$R3381="",$S3381="Có",AND($L3381&lt;&gt;"",OR($L3381&lt;&gt;"Chưa xác định",DANH_MUC!$L$9="Có"))),"Có","Không"))</f>
        <v/>
      </c>
      <c r="U3381" s="22">
        <f>IF(OR($D3381="",$T3381="Có"),"",IF($C3381="","Thiếu họ tên; ","")&amp;IF($S3381&lt;&gt;"Có","SĐT sai định dạng; ","")&amp;IF($R3381="Trùng","Trùng SĐT; ","")&amp;IF($Q3381&lt;&gt;"Có","Thiếu đồng ý bắt buộc; ","")&amp;IF($L3381="","Thiếu/sai Mã REF; ",IF(AND($L3381="Chưa xác định",DANH_MUC!$L$9&lt;&gt;"Có"),"Nguồn chưa xác định; ","")))</f>
        <v/>
      </c>
      <c r="V3381" s="22">
        <f>IF(OR($D3381="",$R3381="Trùng"),"",IF(COUNTIF(ORDERS!$C$2:$C$4995,$D3381)&gt;0,"Có","Không"))</f>
        <v/>
      </c>
      <c r="W3381" s="22">
        <f>IF(OR($D3381="",$R3381="Trùng"),"",COUNTIFS(ORDERS!$C$2:$C$4995,$D3381,ORDERS!$L$2:$L$4995,"Đã chuyển khoản"))</f>
        <v/>
      </c>
      <c r="X3381" s="23">
        <f>IF(OR($D3381="",$R3381="Trùng"),"",SUMIFS(ORDERS!$J$2:$J$4995,ORDERS!$C$2:$C$4995,$D3381,ORDERS!$L$2:$L$4995,"Đã chuyển khoản"))</f>
        <v/>
      </c>
      <c r="Y3381" s="24" t="n"/>
    </row>
    <row r="3382" ht="14.25" customHeight="1" s="40">
      <c r="A3382" s="24" t="n"/>
      <c r="B3382" s="27" t="n"/>
      <c r="C3382" s="24" t="n"/>
      <c r="D3382" s="28" t="n"/>
      <c r="E3382" s="29" t="n"/>
      <c r="F3382" s="24" t="n"/>
      <c r="G3382" s="24" t="n"/>
      <c r="H3382" s="21">
        <f>IF(ISNUMBER($B3382),INT($B3382)-WEEKDAY($B3382,2)+1,"")</f>
        <v/>
      </c>
      <c r="I3382" s="24" t="n"/>
      <c r="J3382" s="22">
        <f t="array" ref="J3382">IF($D3382="","",IF($I3382="","(trống REF)",IFERROR(INDEX(MASTER_SOURCE!$B$2:$B$495,MATCH($I3382,MASTER_SOURCE!$A$2:$A$495,0)),"(REF không có trong MASTER_SOURCE)")))</f>
        <v/>
      </c>
      <c r="K3382" s="22">
        <f t="array" ref="K3382">IF($D3382="","",IFERROR(INDEX(MASTER_SOURCE!$C$2:$C$495,MATCH($I3382,MASTER_SOURCE!$A$2:$A$495,0)),""))</f>
        <v/>
      </c>
      <c r="L3382" s="22">
        <f t="array" ref="L3382">IF($D3382="","",IFERROR(INDEX(MASTER_SOURCE!$D$2:$D$495,MATCH($I3382,MASTER_SOURCE!$A$2:$A$495,0)),""))</f>
        <v/>
      </c>
      <c r="M3382" s="24" t="n"/>
      <c r="N3382" s="24" t="n"/>
      <c r="O3382" s="24" t="n"/>
      <c r="P3382" s="24" t="n"/>
      <c r="Q3382" s="22">
        <f>IF($D3382="","",IF(AND(OR(DANH_MUC!$L$5&lt;&gt;"Có",M3382="Có"),OR(DANH_MUC!$L$6&lt;&gt;"Có",N3382="Có"),OR(DANH_MUC!$L$7&lt;&gt;"Có",O3382="Có"),OR(DANH_MUC!$L$8&lt;&gt;"Có",P3382="Có")),"Có","Không"))</f>
        <v/>
      </c>
      <c r="R3382" s="22">
        <f>IF($D3382="","",IF(COUNTIF($D$2:$D3382,$D3382)&gt;1,"Trùng",""))</f>
        <v/>
      </c>
      <c r="S3382" s="22">
        <f>IF($D3382="","",IF(AND(LEN($D3382)=10,LEFT($D3382,1)="0",ISNUMBER(--$D3382)),"Có","Không"))</f>
        <v/>
      </c>
      <c r="T3382" s="22">
        <f>IF($D3382="","",IF(AND($C3382&lt;&gt;"",$Q3382="Có",$R3382="",$S3382="Có",AND($L3382&lt;&gt;"",OR($L3382&lt;&gt;"Chưa xác định",DANH_MUC!$L$9="Có"))),"Có","Không"))</f>
        <v/>
      </c>
      <c r="U3382" s="22">
        <f>IF(OR($D3382="",$T3382="Có"),"",IF($C3382="","Thiếu họ tên; ","")&amp;IF($S3382&lt;&gt;"Có","SĐT sai định dạng; ","")&amp;IF($R3382="Trùng","Trùng SĐT; ","")&amp;IF($Q3382&lt;&gt;"Có","Thiếu đồng ý bắt buộc; ","")&amp;IF($L3382="","Thiếu/sai Mã REF; ",IF(AND($L3382="Chưa xác định",DANH_MUC!$L$9&lt;&gt;"Có"),"Nguồn chưa xác định; ","")))</f>
        <v/>
      </c>
      <c r="V3382" s="22">
        <f>IF(OR($D3382="",$R3382="Trùng"),"",IF(COUNTIF(ORDERS!$C$2:$C$4995,$D3382)&gt;0,"Có","Không"))</f>
        <v/>
      </c>
      <c r="W3382" s="22">
        <f>IF(OR($D3382="",$R3382="Trùng"),"",COUNTIFS(ORDERS!$C$2:$C$4995,$D3382,ORDERS!$L$2:$L$4995,"Đã chuyển khoản"))</f>
        <v/>
      </c>
      <c r="X3382" s="23">
        <f>IF(OR($D3382="",$R3382="Trùng"),"",SUMIFS(ORDERS!$J$2:$J$4995,ORDERS!$C$2:$C$4995,$D3382,ORDERS!$L$2:$L$4995,"Đã chuyển khoản"))</f>
        <v/>
      </c>
      <c r="Y3382" s="24" t="n"/>
    </row>
    <row r="3383" ht="14.25" customHeight="1" s="40">
      <c r="A3383" s="24" t="n"/>
      <c r="B3383" s="27" t="n"/>
      <c r="C3383" s="24" t="n"/>
      <c r="D3383" s="28" t="n"/>
      <c r="E3383" s="29" t="n"/>
      <c r="F3383" s="24" t="n"/>
      <c r="G3383" s="24" t="n"/>
      <c r="H3383" s="21">
        <f>IF(ISNUMBER($B3383),INT($B3383)-WEEKDAY($B3383,2)+1,"")</f>
        <v/>
      </c>
      <c r="I3383" s="24" t="n"/>
      <c r="J3383" s="22">
        <f t="array" ref="J3383">IF($D3383="","",IF($I3383="","(trống REF)",IFERROR(INDEX(MASTER_SOURCE!$B$2:$B$495,MATCH($I3383,MASTER_SOURCE!$A$2:$A$495,0)),"(REF không có trong MASTER_SOURCE)")))</f>
        <v/>
      </c>
      <c r="K3383" s="22">
        <f t="array" ref="K3383">IF($D3383="","",IFERROR(INDEX(MASTER_SOURCE!$C$2:$C$495,MATCH($I3383,MASTER_SOURCE!$A$2:$A$495,0)),""))</f>
        <v/>
      </c>
      <c r="L3383" s="22">
        <f t="array" ref="L3383">IF($D3383="","",IFERROR(INDEX(MASTER_SOURCE!$D$2:$D$495,MATCH($I3383,MASTER_SOURCE!$A$2:$A$495,0)),""))</f>
        <v/>
      </c>
      <c r="M3383" s="24" t="n"/>
      <c r="N3383" s="24" t="n"/>
      <c r="O3383" s="24" t="n"/>
      <c r="P3383" s="24" t="n"/>
      <c r="Q3383" s="22">
        <f>IF($D3383="","",IF(AND(OR(DANH_MUC!$L$5&lt;&gt;"Có",M3383="Có"),OR(DANH_MUC!$L$6&lt;&gt;"Có",N3383="Có"),OR(DANH_MUC!$L$7&lt;&gt;"Có",O3383="Có"),OR(DANH_MUC!$L$8&lt;&gt;"Có",P3383="Có")),"Có","Không"))</f>
        <v/>
      </c>
      <c r="R3383" s="22">
        <f>IF($D3383="","",IF(COUNTIF($D$2:$D3383,$D3383)&gt;1,"Trùng",""))</f>
        <v/>
      </c>
      <c r="S3383" s="22">
        <f>IF($D3383="","",IF(AND(LEN($D3383)=10,LEFT($D3383,1)="0",ISNUMBER(--$D3383)),"Có","Không"))</f>
        <v/>
      </c>
      <c r="T3383" s="22">
        <f>IF($D3383="","",IF(AND($C3383&lt;&gt;"",$Q3383="Có",$R3383="",$S3383="Có",AND($L3383&lt;&gt;"",OR($L3383&lt;&gt;"Chưa xác định",DANH_MUC!$L$9="Có"))),"Có","Không"))</f>
        <v/>
      </c>
      <c r="U3383" s="22">
        <f>IF(OR($D3383="",$T3383="Có"),"",IF($C3383="","Thiếu họ tên; ","")&amp;IF($S3383&lt;&gt;"Có","SĐT sai định dạng; ","")&amp;IF($R3383="Trùng","Trùng SĐT; ","")&amp;IF($Q3383&lt;&gt;"Có","Thiếu đồng ý bắt buộc; ","")&amp;IF($L3383="","Thiếu/sai Mã REF; ",IF(AND($L3383="Chưa xác định",DANH_MUC!$L$9&lt;&gt;"Có"),"Nguồn chưa xác định; ","")))</f>
        <v/>
      </c>
      <c r="V3383" s="22">
        <f>IF(OR($D3383="",$R3383="Trùng"),"",IF(COUNTIF(ORDERS!$C$2:$C$4995,$D3383)&gt;0,"Có","Không"))</f>
        <v/>
      </c>
      <c r="W3383" s="22">
        <f>IF(OR($D3383="",$R3383="Trùng"),"",COUNTIFS(ORDERS!$C$2:$C$4995,$D3383,ORDERS!$L$2:$L$4995,"Đã chuyển khoản"))</f>
        <v/>
      </c>
      <c r="X3383" s="23">
        <f>IF(OR($D3383="",$R3383="Trùng"),"",SUMIFS(ORDERS!$J$2:$J$4995,ORDERS!$C$2:$C$4995,$D3383,ORDERS!$L$2:$L$4995,"Đã chuyển khoản"))</f>
        <v/>
      </c>
      <c r="Y3383" s="24" t="n"/>
    </row>
    <row r="3384" ht="14.25" customHeight="1" s="40">
      <c r="A3384" s="24" t="n"/>
      <c r="B3384" s="27" t="n"/>
      <c r="C3384" s="24" t="n"/>
      <c r="D3384" s="28" t="n"/>
      <c r="E3384" s="29" t="n"/>
      <c r="F3384" s="24" t="n"/>
      <c r="G3384" s="24" t="n"/>
      <c r="H3384" s="21">
        <f>IF(ISNUMBER($B3384),INT($B3384)-WEEKDAY($B3384,2)+1,"")</f>
        <v/>
      </c>
      <c r="I3384" s="24" t="n"/>
      <c r="J3384" s="22">
        <f t="array" ref="J3384">IF($D3384="","",IF($I3384="","(trống REF)",IFERROR(INDEX(MASTER_SOURCE!$B$2:$B$495,MATCH($I3384,MASTER_SOURCE!$A$2:$A$495,0)),"(REF không có trong MASTER_SOURCE)")))</f>
        <v/>
      </c>
      <c r="K3384" s="22">
        <f t="array" ref="K3384">IF($D3384="","",IFERROR(INDEX(MASTER_SOURCE!$C$2:$C$495,MATCH($I3384,MASTER_SOURCE!$A$2:$A$495,0)),""))</f>
        <v/>
      </c>
      <c r="L3384" s="22">
        <f t="array" ref="L3384">IF($D3384="","",IFERROR(INDEX(MASTER_SOURCE!$D$2:$D$495,MATCH($I3384,MASTER_SOURCE!$A$2:$A$495,0)),""))</f>
        <v/>
      </c>
      <c r="M3384" s="24" t="n"/>
      <c r="N3384" s="24" t="n"/>
      <c r="O3384" s="24" t="n"/>
      <c r="P3384" s="24" t="n"/>
      <c r="Q3384" s="22">
        <f>IF($D3384="","",IF(AND(OR(DANH_MUC!$L$5&lt;&gt;"Có",M3384="Có"),OR(DANH_MUC!$L$6&lt;&gt;"Có",N3384="Có"),OR(DANH_MUC!$L$7&lt;&gt;"Có",O3384="Có"),OR(DANH_MUC!$L$8&lt;&gt;"Có",P3384="Có")),"Có","Không"))</f>
        <v/>
      </c>
      <c r="R3384" s="22">
        <f>IF($D3384="","",IF(COUNTIF($D$2:$D3384,$D3384)&gt;1,"Trùng",""))</f>
        <v/>
      </c>
      <c r="S3384" s="22">
        <f>IF($D3384="","",IF(AND(LEN($D3384)=10,LEFT($D3384,1)="0",ISNUMBER(--$D3384)),"Có","Không"))</f>
        <v/>
      </c>
      <c r="T3384" s="22">
        <f>IF($D3384="","",IF(AND($C3384&lt;&gt;"",$Q3384="Có",$R3384="",$S3384="Có",AND($L3384&lt;&gt;"",OR($L3384&lt;&gt;"Chưa xác định",DANH_MUC!$L$9="Có"))),"Có","Không"))</f>
        <v/>
      </c>
      <c r="U3384" s="22">
        <f>IF(OR($D3384="",$T3384="Có"),"",IF($C3384="","Thiếu họ tên; ","")&amp;IF($S3384&lt;&gt;"Có","SĐT sai định dạng; ","")&amp;IF($R3384="Trùng","Trùng SĐT; ","")&amp;IF($Q3384&lt;&gt;"Có","Thiếu đồng ý bắt buộc; ","")&amp;IF($L3384="","Thiếu/sai Mã REF; ",IF(AND($L3384="Chưa xác định",DANH_MUC!$L$9&lt;&gt;"Có"),"Nguồn chưa xác định; ","")))</f>
        <v/>
      </c>
      <c r="V3384" s="22">
        <f>IF(OR($D3384="",$R3384="Trùng"),"",IF(COUNTIF(ORDERS!$C$2:$C$4995,$D3384)&gt;0,"Có","Không"))</f>
        <v/>
      </c>
      <c r="W3384" s="22">
        <f>IF(OR($D3384="",$R3384="Trùng"),"",COUNTIFS(ORDERS!$C$2:$C$4995,$D3384,ORDERS!$L$2:$L$4995,"Đã chuyển khoản"))</f>
        <v/>
      </c>
      <c r="X3384" s="23">
        <f>IF(OR($D3384="",$R3384="Trùng"),"",SUMIFS(ORDERS!$J$2:$J$4995,ORDERS!$C$2:$C$4995,$D3384,ORDERS!$L$2:$L$4995,"Đã chuyển khoản"))</f>
        <v/>
      </c>
      <c r="Y3384" s="24" t="n"/>
    </row>
    <row r="3385" ht="14.25" customHeight="1" s="40">
      <c r="A3385" s="24" t="n"/>
      <c r="B3385" s="27" t="n"/>
      <c r="C3385" s="24" t="n"/>
      <c r="D3385" s="28" t="n"/>
      <c r="E3385" s="29" t="n"/>
      <c r="F3385" s="24" t="n"/>
      <c r="G3385" s="24" t="n"/>
      <c r="H3385" s="21">
        <f>IF(ISNUMBER($B3385),INT($B3385)-WEEKDAY($B3385,2)+1,"")</f>
        <v/>
      </c>
      <c r="I3385" s="24" t="n"/>
      <c r="J3385" s="22">
        <f t="array" ref="J3385">IF($D3385="","",IF($I3385="","(trống REF)",IFERROR(INDEX(MASTER_SOURCE!$B$2:$B$495,MATCH($I3385,MASTER_SOURCE!$A$2:$A$495,0)),"(REF không có trong MASTER_SOURCE)")))</f>
        <v/>
      </c>
      <c r="K3385" s="22">
        <f t="array" ref="K3385">IF($D3385="","",IFERROR(INDEX(MASTER_SOURCE!$C$2:$C$495,MATCH($I3385,MASTER_SOURCE!$A$2:$A$495,0)),""))</f>
        <v/>
      </c>
      <c r="L3385" s="22">
        <f t="array" ref="L3385">IF($D3385="","",IFERROR(INDEX(MASTER_SOURCE!$D$2:$D$495,MATCH($I3385,MASTER_SOURCE!$A$2:$A$495,0)),""))</f>
        <v/>
      </c>
      <c r="M3385" s="24" t="n"/>
      <c r="N3385" s="24" t="n"/>
      <c r="O3385" s="24" t="n"/>
      <c r="P3385" s="24" t="n"/>
      <c r="Q3385" s="22">
        <f>IF($D3385="","",IF(AND(OR(DANH_MUC!$L$5&lt;&gt;"Có",M3385="Có"),OR(DANH_MUC!$L$6&lt;&gt;"Có",N3385="Có"),OR(DANH_MUC!$L$7&lt;&gt;"Có",O3385="Có"),OR(DANH_MUC!$L$8&lt;&gt;"Có",P3385="Có")),"Có","Không"))</f>
        <v/>
      </c>
      <c r="R3385" s="22">
        <f>IF($D3385="","",IF(COUNTIF($D$2:$D3385,$D3385)&gt;1,"Trùng",""))</f>
        <v/>
      </c>
      <c r="S3385" s="22">
        <f>IF($D3385="","",IF(AND(LEN($D3385)=10,LEFT($D3385,1)="0",ISNUMBER(--$D3385)),"Có","Không"))</f>
        <v/>
      </c>
      <c r="T3385" s="22">
        <f>IF($D3385="","",IF(AND($C3385&lt;&gt;"",$Q3385="Có",$R3385="",$S3385="Có",AND($L3385&lt;&gt;"",OR($L3385&lt;&gt;"Chưa xác định",DANH_MUC!$L$9="Có"))),"Có","Không"))</f>
        <v/>
      </c>
      <c r="U3385" s="22">
        <f>IF(OR($D3385="",$T3385="Có"),"",IF($C3385="","Thiếu họ tên; ","")&amp;IF($S3385&lt;&gt;"Có","SĐT sai định dạng; ","")&amp;IF($R3385="Trùng","Trùng SĐT; ","")&amp;IF($Q3385&lt;&gt;"Có","Thiếu đồng ý bắt buộc; ","")&amp;IF($L3385="","Thiếu/sai Mã REF; ",IF(AND($L3385="Chưa xác định",DANH_MUC!$L$9&lt;&gt;"Có"),"Nguồn chưa xác định; ","")))</f>
        <v/>
      </c>
      <c r="V3385" s="22">
        <f>IF(OR($D3385="",$R3385="Trùng"),"",IF(COUNTIF(ORDERS!$C$2:$C$4995,$D3385)&gt;0,"Có","Không"))</f>
        <v/>
      </c>
      <c r="W3385" s="22">
        <f>IF(OR($D3385="",$R3385="Trùng"),"",COUNTIFS(ORDERS!$C$2:$C$4995,$D3385,ORDERS!$L$2:$L$4995,"Đã chuyển khoản"))</f>
        <v/>
      </c>
      <c r="X3385" s="23">
        <f>IF(OR($D3385="",$R3385="Trùng"),"",SUMIFS(ORDERS!$J$2:$J$4995,ORDERS!$C$2:$C$4995,$D3385,ORDERS!$L$2:$L$4995,"Đã chuyển khoản"))</f>
        <v/>
      </c>
      <c r="Y3385" s="24" t="n"/>
    </row>
    <row r="3386" ht="14.25" customHeight="1" s="40">
      <c r="A3386" s="24" t="n"/>
      <c r="B3386" s="27" t="n"/>
      <c r="C3386" s="24" t="n"/>
      <c r="D3386" s="28" t="n"/>
      <c r="E3386" s="29" t="n"/>
      <c r="F3386" s="24" t="n"/>
      <c r="G3386" s="24" t="n"/>
      <c r="H3386" s="21">
        <f>IF(ISNUMBER($B3386),INT($B3386)-WEEKDAY($B3386,2)+1,"")</f>
        <v/>
      </c>
      <c r="I3386" s="24" t="n"/>
      <c r="J3386" s="22">
        <f t="array" ref="J3386">IF($D3386="","",IF($I3386="","(trống REF)",IFERROR(INDEX(MASTER_SOURCE!$B$2:$B$495,MATCH($I3386,MASTER_SOURCE!$A$2:$A$495,0)),"(REF không có trong MASTER_SOURCE)")))</f>
        <v/>
      </c>
      <c r="K3386" s="22">
        <f t="array" ref="K3386">IF($D3386="","",IFERROR(INDEX(MASTER_SOURCE!$C$2:$C$495,MATCH($I3386,MASTER_SOURCE!$A$2:$A$495,0)),""))</f>
        <v/>
      </c>
      <c r="L3386" s="22">
        <f t="array" ref="L3386">IF($D3386="","",IFERROR(INDEX(MASTER_SOURCE!$D$2:$D$495,MATCH($I3386,MASTER_SOURCE!$A$2:$A$495,0)),""))</f>
        <v/>
      </c>
      <c r="M3386" s="24" t="n"/>
      <c r="N3386" s="24" t="n"/>
      <c r="O3386" s="24" t="n"/>
      <c r="P3386" s="24" t="n"/>
      <c r="Q3386" s="22">
        <f>IF($D3386="","",IF(AND(OR(DANH_MUC!$L$5&lt;&gt;"Có",M3386="Có"),OR(DANH_MUC!$L$6&lt;&gt;"Có",N3386="Có"),OR(DANH_MUC!$L$7&lt;&gt;"Có",O3386="Có"),OR(DANH_MUC!$L$8&lt;&gt;"Có",P3386="Có")),"Có","Không"))</f>
        <v/>
      </c>
      <c r="R3386" s="22">
        <f>IF($D3386="","",IF(COUNTIF($D$2:$D3386,$D3386)&gt;1,"Trùng",""))</f>
        <v/>
      </c>
      <c r="S3386" s="22">
        <f>IF($D3386="","",IF(AND(LEN($D3386)=10,LEFT($D3386,1)="0",ISNUMBER(--$D3386)),"Có","Không"))</f>
        <v/>
      </c>
      <c r="T3386" s="22">
        <f>IF($D3386="","",IF(AND($C3386&lt;&gt;"",$Q3386="Có",$R3386="",$S3386="Có",AND($L3386&lt;&gt;"",OR($L3386&lt;&gt;"Chưa xác định",DANH_MUC!$L$9="Có"))),"Có","Không"))</f>
        <v/>
      </c>
      <c r="U3386" s="22">
        <f>IF(OR($D3386="",$T3386="Có"),"",IF($C3386="","Thiếu họ tên; ","")&amp;IF($S3386&lt;&gt;"Có","SĐT sai định dạng; ","")&amp;IF($R3386="Trùng","Trùng SĐT; ","")&amp;IF($Q3386&lt;&gt;"Có","Thiếu đồng ý bắt buộc; ","")&amp;IF($L3386="","Thiếu/sai Mã REF; ",IF(AND($L3386="Chưa xác định",DANH_MUC!$L$9&lt;&gt;"Có"),"Nguồn chưa xác định; ","")))</f>
        <v/>
      </c>
      <c r="V3386" s="22">
        <f>IF(OR($D3386="",$R3386="Trùng"),"",IF(COUNTIF(ORDERS!$C$2:$C$4995,$D3386)&gt;0,"Có","Không"))</f>
        <v/>
      </c>
      <c r="W3386" s="22">
        <f>IF(OR($D3386="",$R3386="Trùng"),"",COUNTIFS(ORDERS!$C$2:$C$4995,$D3386,ORDERS!$L$2:$L$4995,"Đã chuyển khoản"))</f>
        <v/>
      </c>
      <c r="X3386" s="23">
        <f>IF(OR($D3386="",$R3386="Trùng"),"",SUMIFS(ORDERS!$J$2:$J$4995,ORDERS!$C$2:$C$4995,$D3386,ORDERS!$L$2:$L$4995,"Đã chuyển khoản"))</f>
        <v/>
      </c>
      <c r="Y3386" s="24" t="n"/>
    </row>
    <row r="3387" ht="14.25" customHeight="1" s="40">
      <c r="A3387" s="24" t="n"/>
      <c r="B3387" s="27" t="n"/>
      <c r="C3387" s="24" t="n"/>
      <c r="D3387" s="28" t="n"/>
      <c r="E3387" s="29" t="n"/>
      <c r="F3387" s="24" t="n"/>
      <c r="G3387" s="24" t="n"/>
      <c r="H3387" s="21">
        <f>IF(ISNUMBER($B3387),INT($B3387)-WEEKDAY($B3387,2)+1,"")</f>
        <v/>
      </c>
      <c r="I3387" s="24" t="n"/>
      <c r="J3387" s="22">
        <f t="array" ref="J3387">IF($D3387="","",IF($I3387="","(trống REF)",IFERROR(INDEX(MASTER_SOURCE!$B$2:$B$495,MATCH($I3387,MASTER_SOURCE!$A$2:$A$495,0)),"(REF không có trong MASTER_SOURCE)")))</f>
        <v/>
      </c>
      <c r="K3387" s="22">
        <f t="array" ref="K3387">IF($D3387="","",IFERROR(INDEX(MASTER_SOURCE!$C$2:$C$495,MATCH($I3387,MASTER_SOURCE!$A$2:$A$495,0)),""))</f>
        <v/>
      </c>
      <c r="L3387" s="22">
        <f t="array" ref="L3387">IF($D3387="","",IFERROR(INDEX(MASTER_SOURCE!$D$2:$D$495,MATCH($I3387,MASTER_SOURCE!$A$2:$A$495,0)),""))</f>
        <v/>
      </c>
      <c r="M3387" s="24" t="n"/>
      <c r="N3387" s="24" t="n"/>
      <c r="O3387" s="24" t="n"/>
      <c r="P3387" s="24" t="n"/>
      <c r="Q3387" s="22">
        <f>IF($D3387="","",IF(AND(OR(DANH_MUC!$L$5&lt;&gt;"Có",M3387="Có"),OR(DANH_MUC!$L$6&lt;&gt;"Có",N3387="Có"),OR(DANH_MUC!$L$7&lt;&gt;"Có",O3387="Có"),OR(DANH_MUC!$L$8&lt;&gt;"Có",P3387="Có")),"Có","Không"))</f>
        <v/>
      </c>
      <c r="R3387" s="22">
        <f>IF($D3387="","",IF(COUNTIF($D$2:$D3387,$D3387)&gt;1,"Trùng",""))</f>
        <v/>
      </c>
      <c r="S3387" s="22">
        <f>IF($D3387="","",IF(AND(LEN($D3387)=10,LEFT($D3387,1)="0",ISNUMBER(--$D3387)),"Có","Không"))</f>
        <v/>
      </c>
      <c r="T3387" s="22">
        <f>IF($D3387="","",IF(AND($C3387&lt;&gt;"",$Q3387="Có",$R3387="",$S3387="Có",AND($L3387&lt;&gt;"",OR($L3387&lt;&gt;"Chưa xác định",DANH_MUC!$L$9="Có"))),"Có","Không"))</f>
        <v/>
      </c>
      <c r="U3387" s="22">
        <f>IF(OR($D3387="",$T3387="Có"),"",IF($C3387="","Thiếu họ tên; ","")&amp;IF($S3387&lt;&gt;"Có","SĐT sai định dạng; ","")&amp;IF($R3387="Trùng","Trùng SĐT; ","")&amp;IF($Q3387&lt;&gt;"Có","Thiếu đồng ý bắt buộc; ","")&amp;IF($L3387="","Thiếu/sai Mã REF; ",IF(AND($L3387="Chưa xác định",DANH_MUC!$L$9&lt;&gt;"Có"),"Nguồn chưa xác định; ","")))</f>
        <v/>
      </c>
      <c r="V3387" s="22">
        <f>IF(OR($D3387="",$R3387="Trùng"),"",IF(COUNTIF(ORDERS!$C$2:$C$4995,$D3387)&gt;0,"Có","Không"))</f>
        <v/>
      </c>
      <c r="W3387" s="22">
        <f>IF(OR($D3387="",$R3387="Trùng"),"",COUNTIFS(ORDERS!$C$2:$C$4995,$D3387,ORDERS!$L$2:$L$4995,"Đã chuyển khoản"))</f>
        <v/>
      </c>
      <c r="X3387" s="23">
        <f>IF(OR($D3387="",$R3387="Trùng"),"",SUMIFS(ORDERS!$J$2:$J$4995,ORDERS!$C$2:$C$4995,$D3387,ORDERS!$L$2:$L$4995,"Đã chuyển khoản"))</f>
        <v/>
      </c>
      <c r="Y3387" s="24" t="n"/>
    </row>
    <row r="3388" ht="14.25" customHeight="1" s="40">
      <c r="A3388" s="24" t="n"/>
      <c r="B3388" s="27" t="n"/>
      <c r="C3388" s="24" t="n"/>
      <c r="D3388" s="28" t="n"/>
      <c r="E3388" s="29" t="n"/>
      <c r="F3388" s="24" t="n"/>
      <c r="G3388" s="24" t="n"/>
      <c r="H3388" s="21">
        <f>IF(ISNUMBER($B3388),INT($B3388)-WEEKDAY($B3388,2)+1,"")</f>
        <v/>
      </c>
      <c r="I3388" s="24" t="n"/>
      <c r="J3388" s="22">
        <f t="array" ref="J3388">IF($D3388="","",IF($I3388="","(trống REF)",IFERROR(INDEX(MASTER_SOURCE!$B$2:$B$495,MATCH($I3388,MASTER_SOURCE!$A$2:$A$495,0)),"(REF không có trong MASTER_SOURCE)")))</f>
        <v/>
      </c>
      <c r="K3388" s="22">
        <f t="array" ref="K3388">IF($D3388="","",IFERROR(INDEX(MASTER_SOURCE!$C$2:$C$495,MATCH($I3388,MASTER_SOURCE!$A$2:$A$495,0)),""))</f>
        <v/>
      </c>
      <c r="L3388" s="22">
        <f t="array" ref="L3388">IF($D3388="","",IFERROR(INDEX(MASTER_SOURCE!$D$2:$D$495,MATCH($I3388,MASTER_SOURCE!$A$2:$A$495,0)),""))</f>
        <v/>
      </c>
      <c r="M3388" s="24" t="n"/>
      <c r="N3388" s="24" t="n"/>
      <c r="O3388" s="24" t="n"/>
      <c r="P3388" s="24" t="n"/>
      <c r="Q3388" s="22">
        <f>IF($D3388="","",IF(AND(OR(DANH_MUC!$L$5&lt;&gt;"Có",M3388="Có"),OR(DANH_MUC!$L$6&lt;&gt;"Có",N3388="Có"),OR(DANH_MUC!$L$7&lt;&gt;"Có",O3388="Có"),OR(DANH_MUC!$L$8&lt;&gt;"Có",P3388="Có")),"Có","Không"))</f>
        <v/>
      </c>
      <c r="R3388" s="22">
        <f>IF($D3388="","",IF(COUNTIF($D$2:$D3388,$D3388)&gt;1,"Trùng",""))</f>
        <v/>
      </c>
      <c r="S3388" s="22">
        <f>IF($D3388="","",IF(AND(LEN($D3388)=10,LEFT($D3388,1)="0",ISNUMBER(--$D3388)),"Có","Không"))</f>
        <v/>
      </c>
      <c r="T3388" s="22">
        <f>IF($D3388="","",IF(AND($C3388&lt;&gt;"",$Q3388="Có",$R3388="",$S3388="Có",AND($L3388&lt;&gt;"",OR($L3388&lt;&gt;"Chưa xác định",DANH_MUC!$L$9="Có"))),"Có","Không"))</f>
        <v/>
      </c>
      <c r="U3388" s="22">
        <f>IF(OR($D3388="",$T3388="Có"),"",IF($C3388="","Thiếu họ tên; ","")&amp;IF($S3388&lt;&gt;"Có","SĐT sai định dạng; ","")&amp;IF($R3388="Trùng","Trùng SĐT; ","")&amp;IF($Q3388&lt;&gt;"Có","Thiếu đồng ý bắt buộc; ","")&amp;IF($L3388="","Thiếu/sai Mã REF; ",IF(AND($L3388="Chưa xác định",DANH_MUC!$L$9&lt;&gt;"Có"),"Nguồn chưa xác định; ","")))</f>
        <v/>
      </c>
      <c r="V3388" s="22">
        <f>IF(OR($D3388="",$R3388="Trùng"),"",IF(COUNTIF(ORDERS!$C$2:$C$4995,$D3388)&gt;0,"Có","Không"))</f>
        <v/>
      </c>
      <c r="W3388" s="22">
        <f>IF(OR($D3388="",$R3388="Trùng"),"",COUNTIFS(ORDERS!$C$2:$C$4995,$D3388,ORDERS!$L$2:$L$4995,"Đã chuyển khoản"))</f>
        <v/>
      </c>
      <c r="X3388" s="23">
        <f>IF(OR($D3388="",$R3388="Trùng"),"",SUMIFS(ORDERS!$J$2:$J$4995,ORDERS!$C$2:$C$4995,$D3388,ORDERS!$L$2:$L$4995,"Đã chuyển khoản"))</f>
        <v/>
      </c>
      <c r="Y3388" s="24" t="n"/>
    </row>
    <row r="3389" ht="14.25" customHeight="1" s="40">
      <c r="A3389" s="24" t="n"/>
      <c r="B3389" s="27" t="n"/>
      <c r="C3389" s="24" t="n"/>
      <c r="D3389" s="28" t="n"/>
      <c r="E3389" s="29" t="n"/>
      <c r="F3389" s="24" t="n"/>
      <c r="G3389" s="24" t="n"/>
      <c r="H3389" s="21">
        <f>IF(ISNUMBER($B3389),INT($B3389)-WEEKDAY($B3389,2)+1,"")</f>
        <v/>
      </c>
      <c r="I3389" s="24" t="n"/>
      <c r="J3389" s="22">
        <f t="array" ref="J3389">IF($D3389="","",IF($I3389="","(trống REF)",IFERROR(INDEX(MASTER_SOURCE!$B$2:$B$495,MATCH($I3389,MASTER_SOURCE!$A$2:$A$495,0)),"(REF không có trong MASTER_SOURCE)")))</f>
        <v/>
      </c>
      <c r="K3389" s="22">
        <f t="array" ref="K3389">IF($D3389="","",IFERROR(INDEX(MASTER_SOURCE!$C$2:$C$495,MATCH($I3389,MASTER_SOURCE!$A$2:$A$495,0)),""))</f>
        <v/>
      </c>
      <c r="L3389" s="22">
        <f t="array" ref="L3389">IF($D3389="","",IFERROR(INDEX(MASTER_SOURCE!$D$2:$D$495,MATCH($I3389,MASTER_SOURCE!$A$2:$A$495,0)),""))</f>
        <v/>
      </c>
      <c r="M3389" s="24" t="n"/>
      <c r="N3389" s="24" t="n"/>
      <c r="O3389" s="24" t="n"/>
      <c r="P3389" s="24" t="n"/>
      <c r="Q3389" s="22">
        <f>IF($D3389="","",IF(AND(OR(DANH_MUC!$L$5&lt;&gt;"Có",M3389="Có"),OR(DANH_MUC!$L$6&lt;&gt;"Có",N3389="Có"),OR(DANH_MUC!$L$7&lt;&gt;"Có",O3389="Có"),OR(DANH_MUC!$L$8&lt;&gt;"Có",P3389="Có")),"Có","Không"))</f>
        <v/>
      </c>
      <c r="R3389" s="22">
        <f>IF($D3389="","",IF(COUNTIF($D$2:$D3389,$D3389)&gt;1,"Trùng",""))</f>
        <v/>
      </c>
      <c r="S3389" s="22">
        <f>IF($D3389="","",IF(AND(LEN($D3389)=10,LEFT($D3389,1)="0",ISNUMBER(--$D3389)),"Có","Không"))</f>
        <v/>
      </c>
      <c r="T3389" s="22">
        <f>IF($D3389="","",IF(AND($C3389&lt;&gt;"",$Q3389="Có",$R3389="",$S3389="Có",AND($L3389&lt;&gt;"",OR($L3389&lt;&gt;"Chưa xác định",DANH_MUC!$L$9="Có"))),"Có","Không"))</f>
        <v/>
      </c>
      <c r="U3389" s="22">
        <f>IF(OR($D3389="",$T3389="Có"),"",IF($C3389="","Thiếu họ tên; ","")&amp;IF($S3389&lt;&gt;"Có","SĐT sai định dạng; ","")&amp;IF($R3389="Trùng","Trùng SĐT; ","")&amp;IF($Q3389&lt;&gt;"Có","Thiếu đồng ý bắt buộc; ","")&amp;IF($L3389="","Thiếu/sai Mã REF; ",IF(AND($L3389="Chưa xác định",DANH_MUC!$L$9&lt;&gt;"Có"),"Nguồn chưa xác định; ","")))</f>
        <v/>
      </c>
      <c r="V3389" s="22">
        <f>IF(OR($D3389="",$R3389="Trùng"),"",IF(COUNTIF(ORDERS!$C$2:$C$4995,$D3389)&gt;0,"Có","Không"))</f>
        <v/>
      </c>
      <c r="W3389" s="22">
        <f>IF(OR($D3389="",$R3389="Trùng"),"",COUNTIFS(ORDERS!$C$2:$C$4995,$D3389,ORDERS!$L$2:$L$4995,"Đã chuyển khoản"))</f>
        <v/>
      </c>
      <c r="X3389" s="23">
        <f>IF(OR($D3389="",$R3389="Trùng"),"",SUMIFS(ORDERS!$J$2:$J$4995,ORDERS!$C$2:$C$4995,$D3389,ORDERS!$L$2:$L$4995,"Đã chuyển khoản"))</f>
        <v/>
      </c>
      <c r="Y3389" s="24" t="n"/>
    </row>
    <row r="3390" ht="14.25" customHeight="1" s="40">
      <c r="A3390" s="24" t="n"/>
      <c r="B3390" s="27" t="n"/>
      <c r="C3390" s="24" t="n"/>
      <c r="D3390" s="28" t="n"/>
      <c r="E3390" s="29" t="n"/>
      <c r="F3390" s="24" t="n"/>
      <c r="G3390" s="24" t="n"/>
      <c r="H3390" s="21">
        <f>IF(ISNUMBER($B3390),INT($B3390)-WEEKDAY($B3390,2)+1,"")</f>
        <v/>
      </c>
      <c r="I3390" s="24" t="n"/>
      <c r="J3390" s="22">
        <f t="array" ref="J3390">IF($D3390="","",IF($I3390="","(trống REF)",IFERROR(INDEX(MASTER_SOURCE!$B$2:$B$495,MATCH($I3390,MASTER_SOURCE!$A$2:$A$495,0)),"(REF không có trong MASTER_SOURCE)")))</f>
        <v/>
      </c>
      <c r="K3390" s="22">
        <f t="array" ref="K3390">IF($D3390="","",IFERROR(INDEX(MASTER_SOURCE!$C$2:$C$495,MATCH($I3390,MASTER_SOURCE!$A$2:$A$495,0)),""))</f>
        <v/>
      </c>
      <c r="L3390" s="22">
        <f t="array" ref="L3390">IF($D3390="","",IFERROR(INDEX(MASTER_SOURCE!$D$2:$D$495,MATCH($I3390,MASTER_SOURCE!$A$2:$A$495,0)),""))</f>
        <v/>
      </c>
      <c r="M3390" s="24" t="n"/>
      <c r="N3390" s="24" t="n"/>
      <c r="O3390" s="24" t="n"/>
      <c r="P3390" s="24" t="n"/>
      <c r="Q3390" s="22">
        <f>IF($D3390="","",IF(AND(OR(DANH_MUC!$L$5&lt;&gt;"Có",M3390="Có"),OR(DANH_MUC!$L$6&lt;&gt;"Có",N3390="Có"),OR(DANH_MUC!$L$7&lt;&gt;"Có",O3390="Có"),OR(DANH_MUC!$L$8&lt;&gt;"Có",P3390="Có")),"Có","Không"))</f>
        <v/>
      </c>
      <c r="R3390" s="22">
        <f>IF($D3390="","",IF(COUNTIF($D$2:$D3390,$D3390)&gt;1,"Trùng",""))</f>
        <v/>
      </c>
      <c r="S3390" s="22">
        <f>IF($D3390="","",IF(AND(LEN($D3390)=10,LEFT($D3390,1)="0",ISNUMBER(--$D3390)),"Có","Không"))</f>
        <v/>
      </c>
      <c r="T3390" s="22">
        <f>IF($D3390="","",IF(AND($C3390&lt;&gt;"",$Q3390="Có",$R3390="",$S3390="Có",AND($L3390&lt;&gt;"",OR($L3390&lt;&gt;"Chưa xác định",DANH_MUC!$L$9="Có"))),"Có","Không"))</f>
        <v/>
      </c>
      <c r="U3390" s="22">
        <f>IF(OR($D3390="",$T3390="Có"),"",IF($C3390="","Thiếu họ tên; ","")&amp;IF($S3390&lt;&gt;"Có","SĐT sai định dạng; ","")&amp;IF($R3390="Trùng","Trùng SĐT; ","")&amp;IF($Q3390&lt;&gt;"Có","Thiếu đồng ý bắt buộc; ","")&amp;IF($L3390="","Thiếu/sai Mã REF; ",IF(AND($L3390="Chưa xác định",DANH_MUC!$L$9&lt;&gt;"Có"),"Nguồn chưa xác định; ","")))</f>
        <v/>
      </c>
      <c r="V3390" s="22">
        <f>IF(OR($D3390="",$R3390="Trùng"),"",IF(COUNTIF(ORDERS!$C$2:$C$4995,$D3390)&gt;0,"Có","Không"))</f>
        <v/>
      </c>
      <c r="W3390" s="22">
        <f>IF(OR($D3390="",$R3390="Trùng"),"",COUNTIFS(ORDERS!$C$2:$C$4995,$D3390,ORDERS!$L$2:$L$4995,"Đã chuyển khoản"))</f>
        <v/>
      </c>
      <c r="X3390" s="23">
        <f>IF(OR($D3390="",$R3390="Trùng"),"",SUMIFS(ORDERS!$J$2:$J$4995,ORDERS!$C$2:$C$4995,$D3390,ORDERS!$L$2:$L$4995,"Đã chuyển khoản"))</f>
        <v/>
      </c>
      <c r="Y3390" s="24" t="n"/>
    </row>
    <row r="3391" ht="14.25" customHeight="1" s="40">
      <c r="A3391" s="24" t="n"/>
      <c r="B3391" s="27" t="n"/>
      <c r="C3391" s="24" t="n"/>
      <c r="D3391" s="28" t="n"/>
      <c r="E3391" s="29" t="n"/>
      <c r="F3391" s="24" t="n"/>
      <c r="G3391" s="24" t="n"/>
      <c r="H3391" s="21">
        <f>IF(ISNUMBER($B3391),INT($B3391)-WEEKDAY($B3391,2)+1,"")</f>
        <v/>
      </c>
      <c r="I3391" s="24" t="n"/>
      <c r="J3391" s="22">
        <f t="array" ref="J3391">IF($D3391="","",IF($I3391="","(trống REF)",IFERROR(INDEX(MASTER_SOURCE!$B$2:$B$495,MATCH($I3391,MASTER_SOURCE!$A$2:$A$495,0)),"(REF không có trong MASTER_SOURCE)")))</f>
        <v/>
      </c>
      <c r="K3391" s="22">
        <f t="array" ref="K3391">IF($D3391="","",IFERROR(INDEX(MASTER_SOURCE!$C$2:$C$495,MATCH($I3391,MASTER_SOURCE!$A$2:$A$495,0)),""))</f>
        <v/>
      </c>
      <c r="L3391" s="22">
        <f t="array" ref="L3391">IF($D3391="","",IFERROR(INDEX(MASTER_SOURCE!$D$2:$D$495,MATCH($I3391,MASTER_SOURCE!$A$2:$A$495,0)),""))</f>
        <v/>
      </c>
      <c r="M3391" s="24" t="n"/>
      <c r="N3391" s="24" t="n"/>
      <c r="O3391" s="24" t="n"/>
      <c r="P3391" s="24" t="n"/>
      <c r="Q3391" s="22">
        <f>IF($D3391="","",IF(AND(OR(DANH_MUC!$L$5&lt;&gt;"Có",M3391="Có"),OR(DANH_MUC!$L$6&lt;&gt;"Có",N3391="Có"),OR(DANH_MUC!$L$7&lt;&gt;"Có",O3391="Có"),OR(DANH_MUC!$L$8&lt;&gt;"Có",P3391="Có")),"Có","Không"))</f>
        <v/>
      </c>
      <c r="R3391" s="22">
        <f>IF($D3391="","",IF(COUNTIF($D$2:$D3391,$D3391)&gt;1,"Trùng",""))</f>
        <v/>
      </c>
      <c r="S3391" s="22">
        <f>IF($D3391="","",IF(AND(LEN($D3391)=10,LEFT($D3391,1)="0",ISNUMBER(--$D3391)),"Có","Không"))</f>
        <v/>
      </c>
      <c r="T3391" s="22">
        <f>IF($D3391="","",IF(AND($C3391&lt;&gt;"",$Q3391="Có",$R3391="",$S3391="Có",AND($L3391&lt;&gt;"",OR($L3391&lt;&gt;"Chưa xác định",DANH_MUC!$L$9="Có"))),"Có","Không"))</f>
        <v/>
      </c>
      <c r="U3391" s="22">
        <f>IF(OR($D3391="",$T3391="Có"),"",IF($C3391="","Thiếu họ tên; ","")&amp;IF($S3391&lt;&gt;"Có","SĐT sai định dạng; ","")&amp;IF($R3391="Trùng","Trùng SĐT; ","")&amp;IF($Q3391&lt;&gt;"Có","Thiếu đồng ý bắt buộc; ","")&amp;IF($L3391="","Thiếu/sai Mã REF; ",IF(AND($L3391="Chưa xác định",DANH_MUC!$L$9&lt;&gt;"Có"),"Nguồn chưa xác định; ","")))</f>
        <v/>
      </c>
      <c r="V3391" s="22">
        <f>IF(OR($D3391="",$R3391="Trùng"),"",IF(COUNTIF(ORDERS!$C$2:$C$4995,$D3391)&gt;0,"Có","Không"))</f>
        <v/>
      </c>
      <c r="W3391" s="22">
        <f>IF(OR($D3391="",$R3391="Trùng"),"",COUNTIFS(ORDERS!$C$2:$C$4995,$D3391,ORDERS!$L$2:$L$4995,"Đã chuyển khoản"))</f>
        <v/>
      </c>
      <c r="X3391" s="23">
        <f>IF(OR($D3391="",$R3391="Trùng"),"",SUMIFS(ORDERS!$J$2:$J$4995,ORDERS!$C$2:$C$4995,$D3391,ORDERS!$L$2:$L$4995,"Đã chuyển khoản"))</f>
        <v/>
      </c>
      <c r="Y3391" s="24" t="n"/>
    </row>
    <row r="3392" ht="14.25" customHeight="1" s="40">
      <c r="A3392" s="24" t="n"/>
      <c r="B3392" s="27" t="n"/>
      <c r="C3392" s="24" t="n"/>
      <c r="D3392" s="28" t="n"/>
      <c r="E3392" s="29" t="n"/>
      <c r="F3392" s="24" t="n"/>
      <c r="G3392" s="24" t="n"/>
      <c r="H3392" s="21">
        <f>IF(ISNUMBER($B3392),INT($B3392)-WEEKDAY($B3392,2)+1,"")</f>
        <v/>
      </c>
      <c r="I3392" s="24" t="n"/>
      <c r="J3392" s="22">
        <f t="array" ref="J3392">IF($D3392="","",IF($I3392="","(trống REF)",IFERROR(INDEX(MASTER_SOURCE!$B$2:$B$495,MATCH($I3392,MASTER_SOURCE!$A$2:$A$495,0)),"(REF không có trong MASTER_SOURCE)")))</f>
        <v/>
      </c>
      <c r="K3392" s="22">
        <f t="array" ref="K3392">IF($D3392="","",IFERROR(INDEX(MASTER_SOURCE!$C$2:$C$495,MATCH($I3392,MASTER_SOURCE!$A$2:$A$495,0)),""))</f>
        <v/>
      </c>
      <c r="L3392" s="22">
        <f t="array" ref="L3392">IF($D3392="","",IFERROR(INDEX(MASTER_SOURCE!$D$2:$D$495,MATCH($I3392,MASTER_SOURCE!$A$2:$A$495,0)),""))</f>
        <v/>
      </c>
      <c r="M3392" s="24" t="n"/>
      <c r="N3392" s="24" t="n"/>
      <c r="O3392" s="24" t="n"/>
      <c r="P3392" s="24" t="n"/>
      <c r="Q3392" s="22">
        <f>IF($D3392="","",IF(AND(OR(DANH_MUC!$L$5&lt;&gt;"Có",M3392="Có"),OR(DANH_MUC!$L$6&lt;&gt;"Có",N3392="Có"),OR(DANH_MUC!$L$7&lt;&gt;"Có",O3392="Có"),OR(DANH_MUC!$L$8&lt;&gt;"Có",P3392="Có")),"Có","Không"))</f>
        <v/>
      </c>
      <c r="R3392" s="22">
        <f>IF($D3392="","",IF(COUNTIF($D$2:$D3392,$D3392)&gt;1,"Trùng",""))</f>
        <v/>
      </c>
      <c r="S3392" s="22">
        <f>IF($D3392="","",IF(AND(LEN($D3392)=10,LEFT($D3392,1)="0",ISNUMBER(--$D3392)),"Có","Không"))</f>
        <v/>
      </c>
      <c r="T3392" s="22">
        <f>IF($D3392="","",IF(AND($C3392&lt;&gt;"",$Q3392="Có",$R3392="",$S3392="Có",AND($L3392&lt;&gt;"",OR($L3392&lt;&gt;"Chưa xác định",DANH_MUC!$L$9="Có"))),"Có","Không"))</f>
        <v/>
      </c>
      <c r="U3392" s="22">
        <f>IF(OR($D3392="",$T3392="Có"),"",IF($C3392="","Thiếu họ tên; ","")&amp;IF($S3392&lt;&gt;"Có","SĐT sai định dạng; ","")&amp;IF($R3392="Trùng","Trùng SĐT; ","")&amp;IF($Q3392&lt;&gt;"Có","Thiếu đồng ý bắt buộc; ","")&amp;IF($L3392="","Thiếu/sai Mã REF; ",IF(AND($L3392="Chưa xác định",DANH_MUC!$L$9&lt;&gt;"Có"),"Nguồn chưa xác định; ","")))</f>
        <v/>
      </c>
      <c r="V3392" s="22">
        <f>IF(OR($D3392="",$R3392="Trùng"),"",IF(COUNTIF(ORDERS!$C$2:$C$4995,$D3392)&gt;0,"Có","Không"))</f>
        <v/>
      </c>
      <c r="W3392" s="22">
        <f>IF(OR($D3392="",$R3392="Trùng"),"",COUNTIFS(ORDERS!$C$2:$C$4995,$D3392,ORDERS!$L$2:$L$4995,"Đã chuyển khoản"))</f>
        <v/>
      </c>
      <c r="X3392" s="23">
        <f>IF(OR($D3392="",$R3392="Trùng"),"",SUMIFS(ORDERS!$J$2:$J$4995,ORDERS!$C$2:$C$4995,$D3392,ORDERS!$L$2:$L$4995,"Đã chuyển khoản"))</f>
        <v/>
      </c>
      <c r="Y3392" s="24" t="n"/>
    </row>
    <row r="3393" ht="14.25" customHeight="1" s="40">
      <c r="A3393" s="24" t="n"/>
      <c r="B3393" s="27" t="n"/>
      <c r="C3393" s="24" t="n"/>
      <c r="D3393" s="28" t="n"/>
      <c r="E3393" s="29" t="n"/>
      <c r="F3393" s="24" t="n"/>
      <c r="G3393" s="24" t="n"/>
      <c r="H3393" s="21">
        <f>IF(ISNUMBER($B3393),INT($B3393)-WEEKDAY($B3393,2)+1,"")</f>
        <v/>
      </c>
      <c r="I3393" s="24" t="n"/>
      <c r="J3393" s="22">
        <f t="array" ref="J3393">IF($D3393="","",IF($I3393="","(trống REF)",IFERROR(INDEX(MASTER_SOURCE!$B$2:$B$495,MATCH($I3393,MASTER_SOURCE!$A$2:$A$495,0)),"(REF không có trong MASTER_SOURCE)")))</f>
        <v/>
      </c>
      <c r="K3393" s="22">
        <f t="array" ref="K3393">IF($D3393="","",IFERROR(INDEX(MASTER_SOURCE!$C$2:$C$495,MATCH($I3393,MASTER_SOURCE!$A$2:$A$495,0)),""))</f>
        <v/>
      </c>
      <c r="L3393" s="22">
        <f t="array" ref="L3393">IF($D3393="","",IFERROR(INDEX(MASTER_SOURCE!$D$2:$D$495,MATCH($I3393,MASTER_SOURCE!$A$2:$A$495,0)),""))</f>
        <v/>
      </c>
      <c r="M3393" s="24" t="n"/>
      <c r="N3393" s="24" t="n"/>
      <c r="O3393" s="24" t="n"/>
      <c r="P3393" s="24" t="n"/>
      <c r="Q3393" s="22">
        <f>IF($D3393="","",IF(AND(OR(DANH_MUC!$L$5&lt;&gt;"Có",M3393="Có"),OR(DANH_MUC!$L$6&lt;&gt;"Có",N3393="Có"),OR(DANH_MUC!$L$7&lt;&gt;"Có",O3393="Có"),OR(DANH_MUC!$L$8&lt;&gt;"Có",P3393="Có")),"Có","Không"))</f>
        <v/>
      </c>
      <c r="R3393" s="22">
        <f>IF($D3393="","",IF(COUNTIF($D$2:$D3393,$D3393)&gt;1,"Trùng",""))</f>
        <v/>
      </c>
      <c r="S3393" s="22">
        <f>IF($D3393="","",IF(AND(LEN($D3393)=10,LEFT($D3393,1)="0",ISNUMBER(--$D3393)),"Có","Không"))</f>
        <v/>
      </c>
      <c r="T3393" s="22">
        <f>IF($D3393="","",IF(AND($C3393&lt;&gt;"",$Q3393="Có",$R3393="",$S3393="Có",AND($L3393&lt;&gt;"",OR($L3393&lt;&gt;"Chưa xác định",DANH_MUC!$L$9="Có"))),"Có","Không"))</f>
        <v/>
      </c>
      <c r="U3393" s="22">
        <f>IF(OR($D3393="",$T3393="Có"),"",IF($C3393="","Thiếu họ tên; ","")&amp;IF($S3393&lt;&gt;"Có","SĐT sai định dạng; ","")&amp;IF($R3393="Trùng","Trùng SĐT; ","")&amp;IF($Q3393&lt;&gt;"Có","Thiếu đồng ý bắt buộc; ","")&amp;IF($L3393="","Thiếu/sai Mã REF; ",IF(AND($L3393="Chưa xác định",DANH_MUC!$L$9&lt;&gt;"Có"),"Nguồn chưa xác định; ","")))</f>
        <v/>
      </c>
      <c r="V3393" s="22">
        <f>IF(OR($D3393="",$R3393="Trùng"),"",IF(COUNTIF(ORDERS!$C$2:$C$4995,$D3393)&gt;0,"Có","Không"))</f>
        <v/>
      </c>
      <c r="W3393" s="22">
        <f>IF(OR($D3393="",$R3393="Trùng"),"",COUNTIFS(ORDERS!$C$2:$C$4995,$D3393,ORDERS!$L$2:$L$4995,"Đã chuyển khoản"))</f>
        <v/>
      </c>
      <c r="X3393" s="23">
        <f>IF(OR($D3393="",$R3393="Trùng"),"",SUMIFS(ORDERS!$J$2:$J$4995,ORDERS!$C$2:$C$4995,$D3393,ORDERS!$L$2:$L$4995,"Đã chuyển khoản"))</f>
        <v/>
      </c>
      <c r="Y3393" s="24" t="n"/>
    </row>
    <row r="3394" ht="14.25" customHeight="1" s="40">
      <c r="A3394" s="24" t="n"/>
      <c r="B3394" s="27" t="n"/>
      <c r="C3394" s="24" t="n"/>
      <c r="D3394" s="28" t="n"/>
      <c r="E3394" s="29" t="n"/>
      <c r="F3394" s="24" t="n"/>
      <c r="G3394" s="24" t="n"/>
      <c r="H3394" s="21">
        <f>IF(ISNUMBER($B3394),INT($B3394)-WEEKDAY($B3394,2)+1,"")</f>
        <v/>
      </c>
      <c r="I3394" s="24" t="n"/>
      <c r="J3394" s="22">
        <f t="array" ref="J3394">IF($D3394="","",IF($I3394="","(trống REF)",IFERROR(INDEX(MASTER_SOURCE!$B$2:$B$495,MATCH($I3394,MASTER_SOURCE!$A$2:$A$495,0)),"(REF không có trong MASTER_SOURCE)")))</f>
        <v/>
      </c>
      <c r="K3394" s="22">
        <f t="array" ref="K3394">IF($D3394="","",IFERROR(INDEX(MASTER_SOURCE!$C$2:$C$495,MATCH($I3394,MASTER_SOURCE!$A$2:$A$495,0)),""))</f>
        <v/>
      </c>
      <c r="L3394" s="22">
        <f t="array" ref="L3394">IF($D3394="","",IFERROR(INDEX(MASTER_SOURCE!$D$2:$D$495,MATCH($I3394,MASTER_SOURCE!$A$2:$A$495,0)),""))</f>
        <v/>
      </c>
      <c r="M3394" s="24" t="n"/>
      <c r="N3394" s="24" t="n"/>
      <c r="O3394" s="24" t="n"/>
      <c r="P3394" s="24" t="n"/>
      <c r="Q3394" s="22">
        <f>IF($D3394="","",IF(AND(OR(DANH_MUC!$L$5&lt;&gt;"Có",M3394="Có"),OR(DANH_MUC!$L$6&lt;&gt;"Có",N3394="Có"),OR(DANH_MUC!$L$7&lt;&gt;"Có",O3394="Có"),OR(DANH_MUC!$L$8&lt;&gt;"Có",P3394="Có")),"Có","Không"))</f>
        <v/>
      </c>
      <c r="R3394" s="22">
        <f>IF($D3394="","",IF(COUNTIF($D$2:$D3394,$D3394)&gt;1,"Trùng",""))</f>
        <v/>
      </c>
      <c r="S3394" s="22">
        <f>IF($D3394="","",IF(AND(LEN($D3394)=10,LEFT($D3394,1)="0",ISNUMBER(--$D3394)),"Có","Không"))</f>
        <v/>
      </c>
      <c r="T3394" s="22">
        <f>IF($D3394="","",IF(AND($C3394&lt;&gt;"",$Q3394="Có",$R3394="",$S3394="Có",AND($L3394&lt;&gt;"",OR($L3394&lt;&gt;"Chưa xác định",DANH_MUC!$L$9="Có"))),"Có","Không"))</f>
        <v/>
      </c>
      <c r="U3394" s="22">
        <f>IF(OR($D3394="",$T3394="Có"),"",IF($C3394="","Thiếu họ tên; ","")&amp;IF($S3394&lt;&gt;"Có","SĐT sai định dạng; ","")&amp;IF($R3394="Trùng","Trùng SĐT; ","")&amp;IF($Q3394&lt;&gt;"Có","Thiếu đồng ý bắt buộc; ","")&amp;IF($L3394="","Thiếu/sai Mã REF; ",IF(AND($L3394="Chưa xác định",DANH_MUC!$L$9&lt;&gt;"Có"),"Nguồn chưa xác định; ","")))</f>
        <v/>
      </c>
      <c r="V3394" s="22">
        <f>IF(OR($D3394="",$R3394="Trùng"),"",IF(COUNTIF(ORDERS!$C$2:$C$4995,$D3394)&gt;0,"Có","Không"))</f>
        <v/>
      </c>
      <c r="W3394" s="22">
        <f>IF(OR($D3394="",$R3394="Trùng"),"",COUNTIFS(ORDERS!$C$2:$C$4995,$D3394,ORDERS!$L$2:$L$4995,"Đã chuyển khoản"))</f>
        <v/>
      </c>
      <c r="X3394" s="23">
        <f>IF(OR($D3394="",$R3394="Trùng"),"",SUMIFS(ORDERS!$J$2:$J$4995,ORDERS!$C$2:$C$4995,$D3394,ORDERS!$L$2:$L$4995,"Đã chuyển khoản"))</f>
        <v/>
      </c>
      <c r="Y3394" s="24" t="n"/>
    </row>
    <row r="3395" ht="14.25" customHeight="1" s="40">
      <c r="A3395" s="24" t="n"/>
      <c r="B3395" s="27" t="n"/>
      <c r="C3395" s="24" t="n"/>
      <c r="D3395" s="28" t="n"/>
      <c r="E3395" s="29" t="n"/>
      <c r="F3395" s="24" t="n"/>
      <c r="G3395" s="24" t="n"/>
      <c r="H3395" s="21">
        <f>IF(ISNUMBER($B3395),INT($B3395)-WEEKDAY($B3395,2)+1,"")</f>
        <v/>
      </c>
      <c r="I3395" s="24" t="n"/>
      <c r="J3395" s="22">
        <f t="array" ref="J3395">IF($D3395="","",IF($I3395="","(trống REF)",IFERROR(INDEX(MASTER_SOURCE!$B$2:$B$495,MATCH($I3395,MASTER_SOURCE!$A$2:$A$495,0)),"(REF không có trong MASTER_SOURCE)")))</f>
        <v/>
      </c>
      <c r="K3395" s="22">
        <f t="array" ref="K3395">IF($D3395="","",IFERROR(INDEX(MASTER_SOURCE!$C$2:$C$495,MATCH($I3395,MASTER_SOURCE!$A$2:$A$495,0)),""))</f>
        <v/>
      </c>
      <c r="L3395" s="22">
        <f t="array" ref="L3395">IF($D3395="","",IFERROR(INDEX(MASTER_SOURCE!$D$2:$D$495,MATCH($I3395,MASTER_SOURCE!$A$2:$A$495,0)),""))</f>
        <v/>
      </c>
      <c r="M3395" s="24" t="n"/>
      <c r="N3395" s="24" t="n"/>
      <c r="O3395" s="24" t="n"/>
      <c r="P3395" s="24" t="n"/>
      <c r="Q3395" s="22">
        <f>IF($D3395="","",IF(AND(OR(DANH_MUC!$L$5&lt;&gt;"Có",M3395="Có"),OR(DANH_MUC!$L$6&lt;&gt;"Có",N3395="Có"),OR(DANH_MUC!$L$7&lt;&gt;"Có",O3395="Có"),OR(DANH_MUC!$L$8&lt;&gt;"Có",P3395="Có")),"Có","Không"))</f>
        <v/>
      </c>
      <c r="R3395" s="22">
        <f>IF($D3395="","",IF(COUNTIF($D$2:$D3395,$D3395)&gt;1,"Trùng",""))</f>
        <v/>
      </c>
      <c r="S3395" s="22">
        <f>IF($D3395="","",IF(AND(LEN($D3395)=10,LEFT($D3395,1)="0",ISNUMBER(--$D3395)),"Có","Không"))</f>
        <v/>
      </c>
      <c r="T3395" s="22">
        <f>IF($D3395="","",IF(AND($C3395&lt;&gt;"",$Q3395="Có",$R3395="",$S3395="Có",AND($L3395&lt;&gt;"",OR($L3395&lt;&gt;"Chưa xác định",DANH_MUC!$L$9="Có"))),"Có","Không"))</f>
        <v/>
      </c>
      <c r="U3395" s="22">
        <f>IF(OR($D3395="",$T3395="Có"),"",IF($C3395="","Thiếu họ tên; ","")&amp;IF($S3395&lt;&gt;"Có","SĐT sai định dạng; ","")&amp;IF($R3395="Trùng","Trùng SĐT; ","")&amp;IF($Q3395&lt;&gt;"Có","Thiếu đồng ý bắt buộc; ","")&amp;IF($L3395="","Thiếu/sai Mã REF; ",IF(AND($L3395="Chưa xác định",DANH_MUC!$L$9&lt;&gt;"Có"),"Nguồn chưa xác định; ","")))</f>
        <v/>
      </c>
      <c r="V3395" s="22">
        <f>IF(OR($D3395="",$R3395="Trùng"),"",IF(COUNTIF(ORDERS!$C$2:$C$4995,$D3395)&gt;0,"Có","Không"))</f>
        <v/>
      </c>
      <c r="W3395" s="22">
        <f>IF(OR($D3395="",$R3395="Trùng"),"",COUNTIFS(ORDERS!$C$2:$C$4995,$D3395,ORDERS!$L$2:$L$4995,"Đã chuyển khoản"))</f>
        <v/>
      </c>
      <c r="X3395" s="23">
        <f>IF(OR($D3395="",$R3395="Trùng"),"",SUMIFS(ORDERS!$J$2:$J$4995,ORDERS!$C$2:$C$4995,$D3395,ORDERS!$L$2:$L$4995,"Đã chuyển khoản"))</f>
        <v/>
      </c>
      <c r="Y3395" s="24" t="n"/>
    </row>
    <row r="3396" ht="14.25" customHeight="1" s="40">
      <c r="A3396" s="24" t="n"/>
      <c r="B3396" s="27" t="n"/>
      <c r="C3396" s="24" t="n"/>
      <c r="D3396" s="28" t="n"/>
      <c r="E3396" s="29" t="n"/>
      <c r="F3396" s="24" t="n"/>
      <c r="G3396" s="24" t="n"/>
      <c r="H3396" s="21">
        <f>IF(ISNUMBER($B3396),INT($B3396)-WEEKDAY($B3396,2)+1,"")</f>
        <v/>
      </c>
      <c r="I3396" s="24" t="n"/>
      <c r="J3396" s="22">
        <f t="array" ref="J3396">IF($D3396="","",IF($I3396="","(trống REF)",IFERROR(INDEX(MASTER_SOURCE!$B$2:$B$495,MATCH($I3396,MASTER_SOURCE!$A$2:$A$495,0)),"(REF không có trong MASTER_SOURCE)")))</f>
        <v/>
      </c>
      <c r="K3396" s="22">
        <f t="array" ref="K3396">IF($D3396="","",IFERROR(INDEX(MASTER_SOURCE!$C$2:$C$495,MATCH($I3396,MASTER_SOURCE!$A$2:$A$495,0)),""))</f>
        <v/>
      </c>
      <c r="L3396" s="22">
        <f t="array" ref="L3396">IF($D3396="","",IFERROR(INDEX(MASTER_SOURCE!$D$2:$D$495,MATCH($I3396,MASTER_SOURCE!$A$2:$A$495,0)),""))</f>
        <v/>
      </c>
      <c r="M3396" s="24" t="n"/>
      <c r="N3396" s="24" t="n"/>
      <c r="O3396" s="24" t="n"/>
      <c r="P3396" s="24" t="n"/>
      <c r="Q3396" s="22">
        <f>IF($D3396="","",IF(AND(OR(DANH_MUC!$L$5&lt;&gt;"Có",M3396="Có"),OR(DANH_MUC!$L$6&lt;&gt;"Có",N3396="Có"),OR(DANH_MUC!$L$7&lt;&gt;"Có",O3396="Có"),OR(DANH_MUC!$L$8&lt;&gt;"Có",P3396="Có")),"Có","Không"))</f>
        <v/>
      </c>
      <c r="R3396" s="22">
        <f>IF($D3396="","",IF(COUNTIF($D$2:$D3396,$D3396)&gt;1,"Trùng",""))</f>
        <v/>
      </c>
      <c r="S3396" s="22">
        <f>IF($D3396="","",IF(AND(LEN($D3396)=10,LEFT($D3396,1)="0",ISNUMBER(--$D3396)),"Có","Không"))</f>
        <v/>
      </c>
      <c r="T3396" s="22">
        <f>IF($D3396="","",IF(AND($C3396&lt;&gt;"",$Q3396="Có",$R3396="",$S3396="Có",AND($L3396&lt;&gt;"",OR($L3396&lt;&gt;"Chưa xác định",DANH_MUC!$L$9="Có"))),"Có","Không"))</f>
        <v/>
      </c>
      <c r="U3396" s="22">
        <f>IF(OR($D3396="",$T3396="Có"),"",IF($C3396="","Thiếu họ tên; ","")&amp;IF($S3396&lt;&gt;"Có","SĐT sai định dạng; ","")&amp;IF($R3396="Trùng","Trùng SĐT; ","")&amp;IF($Q3396&lt;&gt;"Có","Thiếu đồng ý bắt buộc; ","")&amp;IF($L3396="","Thiếu/sai Mã REF; ",IF(AND($L3396="Chưa xác định",DANH_MUC!$L$9&lt;&gt;"Có"),"Nguồn chưa xác định; ","")))</f>
        <v/>
      </c>
      <c r="V3396" s="22">
        <f>IF(OR($D3396="",$R3396="Trùng"),"",IF(COUNTIF(ORDERS!$C$2:$C$4995,$D3396)&gt;0,"Có","Không"))</f>
        <v/>
      </c>
      <c r="W3396" s="22">
        <f>IF(OR($D3396="",$R3396="Trùng"),"",COUNTIFS(ORDERS!$C$2:$C$4995,$D3396,ORDERS!$L$2:$L$4995,"Đã chuyển khoản"))</f>
        <v/>
      </c>
      <c r="X3396" s="23">
        <f>IF(OR($D3396="",$R3396="Trùng"),"",SUMIFS(ORDERS!$J$2:$J$4995,ORDERS!$C$2:$C$4995,$D3396,ORDERS!$L$2:$L$4995,"Đã chuyển khoản"))</f>
        <v/>
      </c>
      <c r="Y3396" s="24" t="n"/>
    </row>
    <row r="3397" ht="14.25" customHeight="1" s="40">
      <c r="A3397" s="24" t="n"/>
      <c r="B3397" s="27" t="n"/>
      <c r="C3397" s="24" t="n"/>
      <c r="D3397" s="28" t="n"/>
      <c r="E3397" s="29" t="n"/>
      <c r="F3397" s="24" t="n"/>
      <c r="G3397" s="24" t="n"/>
      <c r="H3397" s="21">
        <f>IF(ISNUMBER($B3397),INT($B3397)-WEEKDAY($B3397,2)+1,"")</f>
        <v/>
      </c>
      <c r="I3397" s="24" t="n"/>
      <c r="J3397" s="22">
        <f t="array" ref="J3397">IF($D3397="","",IF($I3397="","(trống REF)",IFERROR(INDEX(MASTER_SOURCE!$B$2:$B$495,MATCH($I3397,MASTER_SOURCE!$A$2:$A$495,0)),"(REF không có trong MASTER_SOURCE)")))</f>
        <v/>
      </c>
      <c r="K3397" s="22">
        <f t="array" ref="K3397">IF($D3397="","",IFERROR(INDEX(MASTER_SOURCE!$C$2:$C$495,MATCH($I3397,MASTER_SOURCE!$A$2:$A$495,0)),""))</f>
        <v/>
      </c>
      <c r="L3397" s="22">
        <f t="array" ref="L3397">IF($D3397="","",IFERROR(INDEX(MASTER_SOURCE!$D$2:$D$495,MATCH($I3397,MASTER_SOURCE!$A$2:$A$495,0)),""))</f>
        <v/>
      </c>
      <c r="M3397" s="24" t="n"/>
      <c r="N3397" s="24" t="n"/>
      <c r="O3397" s="24" t="n"/>
      <c r="P3397" s="24" t="n"/>
      <c r="Q3397" s="22">
        <f>IF($D3397="","",IF(AND(OR(DANH_MUC!$L$5&lt;&gt;"Có",M3397="Có"),OR(DANH_MUC!$L$6&lt;&gt;"Có",N3397="Có"),OR(DANH_MUC!$L$7&lt;&gt;"Có",O3397="Có"),OR(DANH_MUC!$L$8&lt;&gt;"Có",P3397="Có")),"Có","Không"))</f>
        <v/>
      </c>
      <c r="R3397" s="22">
        <f>IF($D3397="","",IF(COUNTIF($D$2:$D3397,$D3397)&gt;1,"Trùng",""))</f>
        <v/>
      </c>
      <c r="S3397" s="22">
        <f>IF($D3397="","",IF(AND(LEN($D3397)=10,LEFT($D3397,1)="0",ISNUMBER(--$D3397)),"Có","Không"))</f>
        <v/>
      </c>
      <c r="T3397" s="22">
        <f>IF($D3397="","",IF(AND($C3397&lt;&gt;"",$Q3397="Có",$R3397="",$S3397="Có",AND($L3397&lt;&gt;"",OR($L3397&lt;&gt;"Chưa xác định",DANH_MUC!$L$9="Có"))),"Có","Không"))</f>
        <v/>
      </c>
      <c r="U3397" s="22">
        <f>IF(OR($D3397="",$T3397="Có"),"",IF($C3397="","Thiếu họ tên; ","")&amp;IF($S3397&lt;&gt;"Có","SĐT sai định dạng; ","")&amp;IF($R3397="Trùng","Trùng SĐT; ","")&amp;IF($Q3397&lt;&gt;"Có","Thiếu đồng ý bắt buộc; ","")&amp;IF($L3397="","Thiếu/sai Mã REF; ",IF(AND($L3397="Chưa xác định",DANH_MUC!$L$9&lt;&gt;"Có"),"Nguồn chưa xác định; ","")))</f>
        <v/>
      </c>
      <c r="V3397" s="22">
        <f>IF(OR($D3397="",$R3397="Trùng"),"",IF(COUNTIF(ORDERS!$C$2:$C$4995,$D3397)&gt;0,"Có","Không"))</f>
        <v/>
      </c>
      <c r="W3397" s="22">
        <f>IF(OR($D3397="",$R3397="Trùng"),"",COUNTIFS(ORDERS!$C$2:$C$4995,$D3397,ORDERS!$L$2:$L$4995,"Đã chuyển khoản"))</f>
        <v/>
      </c>
      <c r="X3397" s="23">
        <f>IF(OR($D3397="",$R3397="Trùng"),"",SUMIFS(ORDERS!$J$2:$J$4995,ORDERS!$C$2:$C$4995,$D3397,ORDERS!$L$2:$L$4995,"Đã chuyển khoản"))</f>
        <v/>
      </c>
      <c r="Y3397" s="24" t="n"/>
    </row>
    <row r="3398" ht="14.25" customHeight="1" s="40">
      <c r="A3398" s="24" t="n"/>
      <c r="B3398" s="27" t="n"/>
      <c r="C3398" s="24" t="n"/>
      <c r="D3398" s="28" t="n"/>
      <c r="E3398" s="29" t="n"/>
      <c r="F3398" s="24" t="n"/>
      <c r="G3398" s="24" t="n"/>
      <c r="H3398" s="21">
        <f>IF(ISNUMBER($B3398),INT($B3398)-WEEKDAY($B3398,2)+1,"")</f>
        <v/>
      </c>
      <c r="I3398" s="24" t="n"/>
      <c r="J3398" s="22">
        <f t="array" ref="J3398">IF($D3398="","",IF($I3398="","(trống REF)",IFERROR(INDEX(MASTER_SOURCE!$B$2:$B$495,MATCH($I3398,MASTER_SOURCE!$A$2:$A$495,0)),"(REF không có trong MASTER_SOURCE)")))</f>
        <v/>
      </c>
      <c r="K3398" s="22">
        <f t="array" ref="K3398">IF($D3398="","",IFERROR(INDEX(MASTER_SOURCE!$C$2:$C$495,MATCH($I3398,MASTER_SOURCE!$A$2:$A$495,0)),""))</f>
        <v/>
      </c>
      <c r="L3398" s="22">
        <f t="array" ref="L3398">IF($D3398="","",IFERROR(INDEX(MASTER_SOURCE!$D$2:$D$495,MATCH($I3398,MASTER_SOURCE!$A$2:$A$495,0)),""))</f>
        <v/>
      </c>
      <c r="M3398" s="24" t="n"/>
      <c r="N3398" s="24" t="n"/>
      <c r="O3398" s="24" t="n"/>
      <c r="P3398" s="24" t="n"/>
      <c r="Q3398" s="22">
        <f>IF($D3398="","",IF(AND(OR(DANH_MUC!$L$5&lt;&gt;"Có",M3398="Có"),OR(DANH_MUC!$L$6&lt;&gt;"Có",N3398="Có"),OR(DANH_MUC!$L$7&lt;&gt;"Có",O3398="Có"),OR(DANH_MUC!$L$8&lt;&gt;"Có",P3398="Có")),"Có","Không"))</f>
        <v/>
      </c>
      <c r="R3398" s="22">
        <f>IF($D3398="","",IF(COUNTIF($D$2:$D3398,$D3398)&gt;1,"Trùng",""))</f>
        <v/>
      </c>
      <c r="S3398" s="22">
        <f>IF($D3398="","",IF(AND(LEN($D3398)=10,LEFT($D3398,1)="0",ISNUMBER(--$D3398)),"Có","Không"))</f>
        <v/>
      </c>
      <c r="T3398" s="22">
        <f>IF($D3398="","",IF(AND($C3398&lt;&gt;"",$Q3398="Có",$R3398="",$S3398="Có",AND($L3398&lt;&gt;"",OR($L3398&lt;&gt;"Chưa xác định",DANH_MUC!$L$9="Có"))),"Có","Không"))</f>
        <v/>
      </c>
      <c r="U3398" s="22">
        <f>IF(OR($D3398="",$T3398="Có"),"",IF($C3398="","Thiếu họ tên; ","")&amp;IF($S3398&lt;&gt;"Có","SĐT sai định dạng; ","")&amp;IF($R3398="Trùng","Trùng SĐT; ","")&amp;IF($Q3398&lt;&gt;"Có","Thiếu đồng ý bắt buộc; ","")&amp;IF($L3398="","Thiếu/sai Mã REF; ",IF(AND($L3398="Chưa xác định",DANH_MUC!$L$9&lt;&gt;"Có"),"Nguồn chưa xác định; ","")))</f>
        <v/>
      </c>
      <c r="V3398" s="22">
        <f>IF(OR($D3398="",$R3398="Trùng"),"",IF(COUNTIF(ORDERS!$C$2:$C$4995,$D3398)&gt;0,"Có","Không"))</f>
        <v/>
      </c>
      <c r="W3398" s="22">
        <f>IF(OR($D3398="",$R3398="Trùng"),"",COUNTIFS(ORDERS!$C$2:$C$4995,$D3398,ORDERS!$L$2:$L$4995,"Đã chuyển khoản"))</f>
        <v/>
      </c>
      <c r="X3398" s="23">
        <f>IF(OR($D3398="",$R3398="Trùng"),"",SUMIFS(ORDERS!$J$2:$J$4995,ORDERS!$C$2:$C$4995,$D3398,ORDERS!$L$2:$L$4995,"Đã chuyển khoản"))</f>
        <v/>
      </c>
      <c r="Y3398" s="24" t="n"/>
    </row>
    <row r="3399" ht="14.25" customHeight="1" s="40">
      <c r="A3399" s="24" t="n"/>
      <c r="B3399" s="27" t="n"/>
      <c r="C3399" s="24" t="n"/>
      <c r="D3399" s="28" t="n"/>
      <c r="E3399" s="29" t="n"/>
      <c r="F3399" s="24" t="n"/>
      <c r="G3399" s="24" t="n"/>
      <c r="H3399" s="21">
        <f>IF(ISNUMBER($B3399),INT($B3399)-WEEKDAY($B3399,2)+1,"")</f>
        <v/>
      </c>
      <c r="I3399" s="24" t="n"/>
      <c r="J3399" s="22">
        <f t="array" ref="J3399">IF($D3399="","",IF($I3399="","(trống REF)",IFERROR(INDEX(MASTER_SOURCE!$B$2:$B$495,MATCH($I3399,MASTER_SOURCE!$A$2:$A$495,0)),"(REF không có trong MASTER_SOURCE)")))</f>
        <v/>
      </c>
      <c r="K3399" s="22">
        <f t="array" ref="K3399">IF($D3399="","",IFERROR(INDEX(MASTER_SOURCE!$C$2:$C$495,MATCH($I3399,MASTER_SOURCE!$A$2:$A$495,0)),""))</f>
        <v/>
      </c>
      <c r="L3399" s="22">
        <f t="array" ref="L3399">IF($D3399="","",IFERROR(INDEX(MASTER_SOURCE!$D$2:$D$495,MATCH($I3399,MASTER_SOURCE!$A$2:$A$495,0)),""))</f>
        <v/>
      </c>
      <c r="M3399" s="24" t="n"/>
      <c r="N3399" s="24" t="n"/>
      <c r="O3399" s="24" t="n"/>
      <c r="P3399" s="24" t="n"/>
      <c r="Q3399" s="22">
        <f>IF($D3399="","",IF(AND(OR(DANH_MUC!$L$5&lt;&gt;"Có",M3399="Có"),OR(DANH_MUC!$L$6&lt;&gt;"Có",N3399="Có"),OR(DANH_MUC!$L$7&lt;&gt;"Có",O3399="Có"),OR(DANH_MUC!$L$8&lt;&gt;"Có",P3399="Có")),"Có","Không"))</f>
        <v/>
      </c>
      <c r="R3399" s="22">
        <f>IF($D3399="","",IF(COUNTIF($D$2:$D3399,$D3399)&gt;1,"Trùng",""))</f>
        <v/>
      </c>
      <c r="S3399" s="22">
        <f>IF($D3399="","",IF(AND(LEN($D3399)=10,LEFT($D3399,1)="0",ISNUMBER(--$D3399)),"Có","Không"))</f>
        <v/>
      </c>
      <c r="T3399" s="22">
        <f>IF($D3399="","",IF(AND($C3399&lt;&gt;"",$Q3399="Có",$R3399="",$S3399="Có",AND($L3399&lt;&gt;"",OR($L3399&lt;&gt;"Chưa xác định",DANH_MUC!$L$9="Có"))),"Có","Không"))</f>
        <v/>
      </c>
      <c r="U3399" s="22">
        <f>IF(OR($D3399="",$T3399="Có"),"",IF($C3399="","Thiếu họ tên; ","")&amp;IF($S3399&lt;&gt;"Có","SĐT sai định dạng; ","")&amp;IF($R3399="Trùng","Trùng SĐT; ","")&amp;IF($Q3399&lt;&gt;"Có","Thiếu đồng ý bắt buộc; ","")&amp;IF($L3399="","Thiếu/sai Mã REF; ",IF(AND($L3399="Chưa xác định",DANH_MUC!$L$9&lt;&gt;"Có"),"Nguồn chưa xác định; ","")))</f>
        <v/>
      </c>
      <c r="V3399" s="22">
        <f>IF(OR($D3399="",$R3399="Trùng"),"",IF(COUNTIF(ORDERS!$C$2:$C$4995,$D3399)&gt;0,"Có","Không"))</f>
        <v/>
      </c>
      <c r="W3399" s="22">
        <f>IF(OR($D3399="",$R3399="Trùng"),"",COUNTIFS(ORDERS!$C$2:$C$4995,$D3399,ORDERS!$L$2:$L$4995,"Đã chuyển khoản"))</f>
        <v/>
      </c>
      <c r="X3399" s="23">
        <f>IF(OR($D3399="",$R3399="Trùng"),"",SUMIFS(ORDERS!$J$2:$J$4995,ORDERS!$C$2:$C$4995,$D3399,ORDERS!$L$2:$L$4995,"Đã chuyển khoản"))</f>
        <v/>
      </c>
      <c r="Y3399" s="24" t="n"/>
    </row>
    <row r="3400" ht="14.25" customHeight="1" s="40">
      <c r="A3400" s="24" t="n"/>
      <c r="B3400" s="27" t="n"/>
      <c r="C3400" s="24" t="n"/>
      <c r="D3400" s="28" t="n"/>
      <c r="E3400" s="29" t="n"/>
      <c r="F3400" s="24" t="n"/>
      <c r="G3400" s="24" t="n"/>
      <c r="H3400" s="21">
        <f>IF(ISNUMBER($B3400),INT($B3400)-WEEKDAY($B3400,2)+1,"")</f>
        <v/>
      </c>
      <c r="I3400" s="24" t="n"/>
      <c r="J3400" s="22">
        <f t="array" ref="J3400">IF($D3400="","",IF($I3400="","(trống REF)",IFERROR(INDEX(MASTER_SOURCE!$B$2:$B$495,MATCH($I3400,MASTER_SOURCE!$A$2:$A$495,0)),"(REF không có trong MASTER_SOURCE)")))</f>
        <v/>
      </c>
      <c r="K3400" s="22">
        <f t="array" ref="K3400">IF($D3400="","",IFERROR(INDEX(MASTER_SOURCE!$C$2:$C$495,MATCH($I3400,MASTER_SOURCE!$A$2:$A$495,0)),""))</f>
        <v/>
      </c>
      <c r="L3400" s="22">
        <f t="array" ref="L3400">IF($D3400="","",IFERROR(INDEX(MASTER_SOURCE!$D$2:$D$495,MATCH($I3400,MASTER_SOURCE!$A$2:$A$495,0)),""))</f>
        <v/>
      </c>
      <c r="M3400" s="24" t="n"/>
      <c r="N3400" s="24" t="n"/>
      <c r="O3400" s="24" t="n"/>
      <c r="P3400" s="24" t="n"/>
      <c r="Q3400" s="22">
        <f>IF($D3400="","",IF(AND(OR(DANH_MUC!$L$5&lt;&gt;"Có",M3400="Có"),OR(DANH_MUC!$L$6&lt;&gt;"Có",N3400="Có"),OR(DANH_MUC!$L$7&lt;&gt;"Có",O3400="Có"),OR(DANH_MUC!$L$8&lt;&gt;"Có",P3400="Có")),"Có","Không"))</f>
        <v/>
      </c>
      <c r="R3400" s="22">
        <f>IF($D3400="","",IF(COUNTIF($D$2:$D3400,$D3400)&gt;1,"Trùng",""))</f>
        <v/>
      </c>
      <c r="S3400" s="22">
        <f>IF($D3400="","",IF(AND(LEN($D3400)=10,LEFT($D3400,1)="0",ISNUMBER(--$D3400)),"Có","Không"))</f>
        <v/>
      </c>
      <c r="T3400" s="22">
        <f>IF($D3400="","",IF(AND($C3400&lt;&gt;"",$Q3400="Có",$R3400="",$S3400="Có",AND($L3400&lt;&gt;"",OR($L3400&lt;&gt;"Chưa xác định",DANH_MUC!$L$9="Có"))),"Có","Không"))</f>
        <v/>
      </c>
      <c r="U3400" s="22">
        <f>IF(OR($D3400="",$T3400="Có"),"",IF($C3400="","Thiếu họ tên; ","")&amp;IF($S3400&lt;&gt;"Có","SĐT sai định dạng; ","")&amp;IF($R3400="Trùng","Trùng SĐT; ","")&amp;IF($Q3400&lt;&gt;"Có","Thiếu đồng ý bắt buộc; ","")&amp;IF($L3400="","Thiếu/sai Mã REF; ",IF(AND($L3400="Chưa xác định",DANH_MUC!$L$9&lt;&gt;"Có"),"Nguồn chưa xác định; ","")))</f>
        <v/>
      </c>
      <c r="V3400" s="22">
        <f>IF(OR($D3400="",$R3400="Trùng"),"",IF(COUNTIF(ORDERS!$C$2:$C$4995,$D3400)&gt;0,"Có","Không"))</f>
        <v/>
      </c>
      <c r="W3400" s="22">
        <f>IF(OR($D3400="",$R3400="Trùng"),"",COUNTIFS(ORDERS!$C$2:$C$4995,$D3400,ORDERS!$L$2:$L$4995,"Đã chuyển khoản"))</f>
        <v/>
      </c>
      <c r="X3400" s="23">
        <f>IF(OR($D3400="",$R3400="Trùng"),"",SUMIFS(ORDERS!$J$2:$J$4995,ORDERS!$C$2:$C$4995,$D3400,ORDERS!$L$2:$L$4995,"Đã chuyển khoản"))</f>
        <v/>
      </c>
      <c r="Y3400" s="24" t="n"/>
    </row>
    <row r="3401" ht="14.25" customHeight="1" s="40">
      <c r="A3401" s="24" t="n"/>
      <c r="B3401" s="27" t="n"/>
      <c r="C3401" s="24" t="n"/>
      <c r="D3401" s="28" t="n"/>
      <c r="E3401" s="29" t="n"/>
      <c r="F3401" s="24" t="n"/>
      <c r="G3401" s="24" t="n"/>
      <c r="H3401" s="21">
        <f>IF(ISNUMBER($B3401),INT($B3401)-WEEKDAY($B3401,2)+1,"")</f>
        <v/>
      </c>
      <c r="I3401" s="24" t="n"/>
      <c r="J3401" s="22">
        <f t="array" ref="J3401">IF($D3401="","",IF($I3401="","(trống REF)",IFERROR(INDEX(MASTER_SOURCE!$B$2:$B$495,MATCH($I3401,MASTER_SOURCE!$A$2:$A$495,0)),"(REF không có trong MASTER_SOURCE)")))</f>
        <v/>
      </c>
      <c r="K3401" s="22">
        <f t="array" ref="K3401">IF($D3401="","",IFERROR(INDEX(MASTER_SOURCE!$C$2:$C$495,MATCH($I3401,MASTER_SOURCE!$A$2:$A$495,0)),""))</f>
        <v/>
      </c>
      <c r="L3401" s="22">
        <f t="array" ref="L3401">IF($D3401="","",IFERROR(INDEX(MASTER_SOURCE!$D$2:$D$495,MATCH($I3401,MASTER_SOURCE!$A$2:$A$495,0)),""))</f>
        <v/>
      </c>
      <c r="M3401" s="24" t="n"/>
      <c r="N3401" s="24" t="n"/>
      <c r="O3401" s="24" t="n"/>
      <c r="P3401" s="24" t="n"/>
      <c r="Q3401" s="22">
        <f>IF($D3401="","",IF(AND(OR(DANH_MUC!$L$5&lt;&gt;"Có",M3401="Có"),OR(DANH_MUC!$L$6&lt;&gt;"Có",N3401="Có"),OR(DANH_MUC!$L$7&lt;&gt;"Có",O3401="Có"),OR(DANH_MUC!$L$8&lt;&gt;"Có",P3401="Có")),"Có","Không"))</f>
        <v/>
      </c>
      <c r="R3401" s="22">
        <f>IF($D3401="","",IF(COUNTIF($D$2:$D3401,$D3401)&gt;1,"Trùng",""))</f>
        <v/>
      </c>
      <c r="S3401" s="22">
        <f>IF($D3401="","",IF(AND(LEN($D3401)=10,LEFT($D3401,1)="0",ISNUMBER(--$D3401)),"Có","Không"))</f>
        <v/>
      </c>
      <c r="T3401" s="22">
        <f>IF($D3401="","",IF(AND($C3401&lt;&gt;"",$Q3401="Có",$R3401="",$S3401="Có",AND($L3401&lt;&gt;"",OR($L3401&lt;&gt;"Chưa xác định",DANH_MUC!$L$9="Có"))),"Có","Không"))</f>
        <v/>
      </c>
      <c r="U3401" s="22">
        <f>IF(OR($D3401="",$T3401="Có"),"",IF($C3401="","Thiếu họ tên; ","")&amp;IF($S3401&lt;&gt;"Có","SĐT sai định dạng; ","")&amp;IF($R3401="Trùng","Trùng SĐT; ","")&amp;IF($Q3401&lt;&gt;"Có","Thiếu đồng ý bắt buộc; ","")&amp;IF($L3401="","Thiếu/sai Mã REF; ",IF(AND($L3401="Chưa xác định",DANH_MUC!$L$9&lt;&gt;"Có"),"Nguồn chưa xác định; ","")))</f>
        <v/>
      </c>
      <c r="V3401" s="22">
        <f>IF(OR($D3401="",$R3401="Trùng"),"",IF(COUNTIF(ORDERS!$C$2:$C$4995,$D3401)&gt;0,"Có","Không"))</f>
        <v/>
      </c>
      <c r="W3401" s="22">
        <f>IF(OR($D3401="",$R3401="Trùng"),"",COUNTIFS(ORDERS!$C$2:$C$4995,$D3401,ORDERS!$L$2:$L$4995,"Đã chuyển khoản"))</f>
        <v/>
      </c>
      <c r="X3401" s="23">
        <f>IF(OR($D3401="",$R3401="Trùng"),"",SUMIFS(ORDERS!$J$2:$J$4995,ORDERS!$C$2:$C$4995,$D3401,ORDERS!$L$2:$L$4995,"Đã chuyển khoản"))</f>
        <v/>
      </c>
      <c r="Y3401" s="24" t="n"/>
    </row>
    <row r="3402" ht="14.25" customHeight="1" s="40">
      <c r="A3402" s="24" t="n"/>
      <c r="B3402" s="27" t="n"/>
      <c r="C3402" s="24" t="n"/>
      <c r="D3402" s="28" t="n"/>
      <c r="E3402" s="29" t="n"/>
      <c r="F3402" s="24" t="n"/>
      <c r="G3402" s="24" t="n"/>
      <c r="H3402" s="21">
        <f>IF(ISNUMBER($B3402),INT($B3402)-WEEKDAY($B3402,2)+1,"")</f>
        <v/>
      </c>
      <c r="I3402" s="24" t="n"/>
      <c r="J3402" s="22">
        <f t="array" ref="J3402">IF($D3402="","",IF($I3402="","(trống REF)",IFERROR(INDEX(MASTER_SOURCE!$B$2:$B$495,MATCH($I3402,MASTER_SOURCE!$A$2:$A$495,0)),"(REF không có trong MASTER_SOURCE)")))</f>
        <v/>
      </c>
      <c r="K3402" s="22">
        <f t="array" ref="K3402">IF($D3402="","",IFERROR(INDEX(MASTER_SOURCE!$C$2:$C$495,MATCH($I3402,MASTER_SOURCE!$A$2:$A$495,0)),""))</f>
        <v/>
      </c>
      <c r="L3402" s="22">
        <f t="array" ref="L3402">IF($D3402="","",IFERROR(INDEX(MASTER_SOURCE!$D$2:$D$495,MATCH($I3402,MASTER_SOURCE!$A$2:$A$495,0)),""))</f>
        <v/>
      </c>
      <c r="M3402" s="24" t="n"/>
      <c r="N3402" s="24" t="n"/>
      <c r="O3402" s="24" t="n"/>
      <c r="P3402" s="24" t="n"/>
      <c r="Q3402" s="22">
        <f>IF($D3402="","",IF(AND(OR(DANH_MUC!$L$5&lt;&gt;"Có",M3402="Có"),OR(DANH_MUC!$L$6&lt;&gt;"Có",N3402="Có"),OR(DANH_MUC!$L$7&lt;&gt;"Có",O3402="Có"),OR(DANH_MUC!$L$8&lt;&gt;"Có",P3402="Có")),"Có","Không"))</f>
        <v/>
      </c>
      <c r="R3402" s="22">
        <f>IF($D3402="","",IF(COUNTIF($D$2:$D3402,$D3402)&gt;1,"Trùng",""))</f>
        <v/>
      </c>
      <c r="S3402" s="22">
        <f>IF($D3402="","",IF(AND(LEN($D3402)=10,LEFT($D3402,1)="0",ISNUMBER(--$D3402)),"Có","Không"))</f>
        <v/>
      </c>
      <c r="T3402" s="22">
        <f>IF($D3402="","",IF(AND($C3402&lt;&gt;"",$Q3402="Có",$R3402="",$S3402="Có",AND($L3402&lt;&gt;"",OR($L3402&lt;&gt;"Chưa xác định",DANH_MUC!$L$9="Có"))),"Có","Không"))</f>
        <v/>
      </c>
      <c r="U3402" s="22">
        <f>IF(OR($D3402="",$T3402="Có"),"",IF($C3402="","Thiếu họ tên; ","")&amp;IF($S3402&lt;&gt;"Có","SĐT sai định dạng; ","")&amp;IF($R3402="Trùng","Trùng SĐT; ","")&amp;IF($Q3402&lt;&gt;"Có","Thiếu đồng ý bắt buộc; ","")&amp;IF($L3402="","Thiếu/sai Mã REF; ",IF(AND($L3402="Chưa xác định",DANH_MUC!$L$9&lt;&gt;"Có"),"Nguồn chưa xác định; ","")))</f>
        <v/>
      </c>
      <c r="V3402" s="22">
        <f>IF(OR($D3402="",$R3402="Trùng"),"",IF(COUNTIF(ORDERS!$C$2:$C$4995,$D3402)&gt;0,"Có","Không"))</f>
        <v/>
      </c>
      <c r="W3402" s="22">
        <f>IF(OR($D3402="",$R3402="Trùng"),"",COUNTIFS(ORDERS!$C$2:$C$4995,$D3402,ORDERS!$L$2:$L$4995,"Đã chuyển khoản"))</f>
        <v/>
      </c>
      <c r="X3402" s="23">
        <f>IF(OR($D3402="",$R3402="Trùng"),"",SUMIFS(ORDERS!$J$2:$J$4995,ORDERS!$C$2:$C$4995,$D3402,ORDERS!$L$2:$L$4995,"Đã chuyển khoản"))</f>
        <v/>
      </c>
      <c r="Y3402" s="24" t="n"/>
    </row>
    <row r="3403" ht="14.25" customHeight="1" s="40">
      <c r="A3403" s="24" t="n"/>
      <c r="B3403" s="27" t="n"/>
      <c r="C3403" s="24" t="n"/>
      <c r="D3403" s="28" t="n"/>
      <c r="E3403" s="29" t="n"/>
      <c r="F3403" s="24" t="n"/>
      <c r="G3403" s="24" t="n"/>
      <c r="H3403" s="21">
        <f>IF(ISNUMBER($B3403),INT($B3403)-WEEKDAY($B3403,2)+1,"")</f>
        <v/>
      </c>
      <c r="I3403" s="24" t="n"/>
      <c r="J3403" s="22">
        <f t="array" ref="J3403">IF($D3403="","",IF($I3403="","(trống REF)",IFERROR(INDEX(MASTER_SOURCE!$B$2:$B$495,MATCH($I3403,MASTER_SOURCE!$A$2:$A$495,0)),"(REF không có trong MASTER_SOURCE)")))</f>
        <v/>
      </c>
      <c r="K3403" s="22">
        <f t="array" ref="K3403">IF($D3403="","",IFERROR(INDEX(MASTER_SOURCE!$C$2:$C$495,MATCH($I3403,MASTER_SOURCE!$A$2:$A$495,0)),""))</f>
        <v/>
      </c>
      <c r="L3403" s="22">
        <f t="array" ref="L3403">IF($D3403="","",IFERROR(INDEX(MASTER_SOURCE!$D$2:$D$495,MATCH($I3403,MASTER_SOURCE!$A$2:$A$495,0)),""))</f>
        <v/>
      </c>
      <c r="M3403" s="24" t="n"/>
      <c r="N3403" s="24" t="n"/>
      <c r="O3403" s="24" t="n"/>
      <c r="P3403" s="24" t="n"/>
      <c r="Q3403" s="22">
        <f>IF($D3403="","",IF(AND(OR(DANH_MUC!$L$5&lt;&gt;"Có",M3403="Có"),OR(DANH_MUC!$L$6&lt;&gt;"Có",N3403="Có"),OR(DANH_MUC!$L$7&lt;&gt;"Có",O3403="Có"),OR(DANH_MUC!$L$8&lt;&gt;"Có",P3403="Có")),"Có","Không"))</f>
        <v/>
      </c>
      <c r="R3403" s="22">
        <f>IF($D3403="","",IF(COUNTIF($D$2:$D3403,$D3403)&gt;1,"Trùng",""))</f>
        <v/>
      </c>
      <c r="S3403" s="22">
        <f>IF($D3403="","",IF(AND(LEN($D3403)=10,LEFT($D3403,1)="0",ISNUMBER(--$D3403)),"Có","Không"))</f>
        <v/>
      </c>
      <c r="T3403" s="22">
        <f>IF($D3403="","",IF(AND($C3403&lt;&gt;"",$Q3403="Có",$R3403="",$S3403="Có",AND($L3403&lt;&gt;"",OR($L3403&lt;&gt;"Chưa xác định",DANH_MUC!$L$9="Có"))),"Có","Không"))</f>
        <v/>
      </c>
      <c r="U3403" s="22">
        <f>IF(OR($D3403="",$T3403="Có"),"",IF($C3403="","Thiếu họ tên; ","")&amp;IF($S3403&lt;&gt;"Có","SĐT sai định dạng; ","")&amp;IF($R3403="Trùng","Trùng SĐT; ","")&amp;IF($Q3403&lt;&gt;"Có","Thiếu đồng ý bắt buộc; ","")&amp;IF($L3403="","Thiếu/sai Mã REF; ",IF(AND($L3403="Chưa xác định",DANH_MUC!$L$9&lt;&gt;"Có"),"Nguồn chưa xác định; ","")))</f>
        <v/>
      </c>
      <c r="V3403" s="22">
        <f>IF(OR($D3403="",$R3403="Trùng"),"",IF(COUNTIF(ORDERS!$C$2:$C$4995,$D3403)&gt;0,"Có","Không"))</f>
        <v/>
      </c>
      <c r="W3403" s="22">
        <f>IF(OR($D3403="",$R3403="Trùng"),"",COUNTIFS(ORDERS!$C$2:$C$4995,$D3403,ORDERS!$L$2:$L$4995,"Đã chuyển khoản"))</f>
        <v/>
      </c>
      <c r="X3403" s="23">
        <f>IF(OR($D3403="",$R3403="Trùng"),"",SUMIFS(ORDERS!$J$2:$J$4995,ORDERS!$C$2:$C$4995,$D3403,ORDERS!$L$2:$L$4995,"Đã chuyển khoản"))</f>
        <v/>
      </c>
      <c r="Y3403" s="24" t="n"/>
    </row>
    <row r="3404" ht="14.25" customHeight="1" s="40">
      <c r="A3404" s="24" t="n"/>
      <c r="B3404" s="27" t="n"/>
      <c r="C3404" s="24" t="n"/>
      <c r="D3404" s="28" t="n"/>
      <c r="E3404" s="29" t="n"/>
      <c r="F3404" s="24" t="n"/>
      <c r="G3404" s="24" t="n"/>
      <c r="H3404" s="21">
        <f>IF(ISNUMBER($B3404),INT($B3404)-WEEKDAY($B3404,2)+1,"")</f>
        <v/>
      </c>
      <c r="I3404" s="24" t="n"/>
      <c r="J3404" s="22">
        <f t="array" ref="J3404">IF($D3404="","",IF($I3404="","(trống REF)",IFERROR(INDEX(MASTER_SOURCE!$B$2:$B$495,MATCH($I3404,MASTER_SOURCE!$A$2:$A$495,0)),"(REF không có trong MASTER_SOURCE)")))</f>
        <v/>
      </c>
      <c r="K3404" s="22">
        <f t="array" ref="K3404">IF($D3404="","",IFERROR(INDEX(MASTER_SOURCE!$C$2:$C$495,MATCH($I3404,MASTER_SOURCE!$A$2:$A$495,0)),""))</f>
        <v/>
      </c>
      <c r="L3404" s="22">
        <f t="array" ref="L3404">IF($D3404="","",IFERROR(INDEX(MASTER_SOURCE!$D$2:$D$495,MATCH($I3404,MASTER_SOURCE!$A$2:$A$495,0)),""))</f>
        <v/>
      </c>
      <c r="M3404" s="24" t="n"/>
      <c r="N3404" s="24" t="n"/>
      <c r="O3404" s="24" t="n"/>
      <c r="P3404" s="24" t="n"/>
      <c r="Q3404" s="22">
        <f>IF($D3404="","",IF(AND(OR(DANH_MUC!$L$5&lt;&gt;"Có",M3404="Có"),OR(DANH_MUC!$L$6&lt;&gt;"Có",N3404="Có"),OR(DANH_MUC!$L$7&lt;&gt;"Có",O3404="Có"),OR(DANH_MUC!$L$8&lt;&gt;"Có",P3404="Có")),"Có","Không"))</f>
        <v/>
      </c>
      <c r="R3404" s="22">
        <f>IF($D3404="","",IF(COUNTIF($D$2:$D3404,$D3404)&gt;1,"Trùng",""))</f>
        <v/>
      </c>
      <c r="S3404" s="22">
        <f>IF($D3404="","",IF(AND(LEN($D3404)=10,LEFT($D3404,1)="0",ISNUMBER(--$D3404)),"Có","Không"))</f>
        <v/>
      </c>
      <c r="T3404" s="22">
        <f>IF($D3404="","",IF(AND($C3404&lt;&gt;"",$Q3404="Có",$R3404="",$S3404="Có",AND($L3404&lt;&gt;"",OR($L3404&lt;&gt;"Chưa xác định",DANH_MUC!$L$9="Có"))),"Có","Không"))</f>
        <v/>
      </c>
      <c r="U3404" s="22">
        <f>IF(OR($D3404="",$T3404="Có"),"",IF($C3404="","Thiếu họ tên; ","")&amp;IF($S3404&lt;&gt;"Có","SĐT sai định dạng; ","")&amp;IF($R3404="Trùng","Trùng SĐT; ","")&amp;IF($Q3404&lt;&gt;"Có","Thiếu đồng ý bắt buộc; ","")&amp;IF($L3404="","Thiếu/sai Mã REF; ",IF(AND($L3404="Chưa xác định",DANH_MUC!$L$9&lt;&gt;"Có"),"Nguồn chưa xác định; ","")))</f>
        <v/>
      </c>
      <c r="V3404" s="22">
        <f>IF(OR($D3404="",$R3404="Trùng"),"",IF(COUNTIF(ORDERS!$C$2:$C$4995,$D3404)&gt;0,"Có","Không"))</f>
        <v/>
      </c>
      <c r="W3404" s="22">
        <f>IF(OR($D3404="",$R3404="Trùng"),"",COUNTIFS(ORDERS!$C$2:$C$4995,$D3404,ORDERS!$L$2:$L$4995,"Đã chuyển khoản"))</f>
        <v/>
      </c>
      <c r="X3404" s="23">
        <f>IF(OR($D3404="",$R3404="Trùng"),"",SUMIFS(ORDERS!$J$2:$J$4995,ORDERS!$C$2:$C$4995,$D3404,ORDERS!$L$2:$L$4995,"Đã chuyển khoản"))</f>
        <v/>
      </c>
      <c r="Y3404" s="24" t="n"/>
    </row>
    <row r="3405" ht="14.25" customHeight="1" s="40">
      <c r="A3405" s="24" t="n"/>
      <c r="B3405" s="27" t="n"/>
      <c r="C3405" s="24" t="n"/>
      <c r="D3405" s="28" t="n"/>
      <c r="E3405" s="29" t="n"/>
      <c r="F3405" s="24" t="n"/>
      <c r="G3405" s="24" t="n"/>
      <c r="H3405" s="21">
        <f>IF(ISNUMBER($B3405),INT($B3405)-WEEKDAY($B3405,2)+1,"")</f>
        <v/>
      </c>
      <c r="I3405" s="24" t="n"/>
      <c r="J3405" s="22">
        <f t="array" ref="J3405">IF($D3405="","",IF($I3405="","(trống REF)",IFERROR(INDEX(MASTER_SOURCE!$B$2:$B$495,MATCH($I3405,MASTER_SOURCE!$A$2:$A$495,0)),"(REF không có trong MASTER_SOURCE)")))</f>
        <v/>
      </c>
      <c r="K3405" s="22">
        <f t="array" ref="K3405">IF($D3405="","",IFERROR(INDEX(MASTER_SOURCE!$C$2:$C$495,MATCH($I3405,MASTER_SOURCE!$A$2:$A$495,0)),""))</f>
        <v/>
      </c>
      <c r="L3405" s="22">
        <f t="array" ref="L3405">IF($D3405="","",IFERROR(INDEX(MASTER_SOURCE!$D$2:$D$495,MATCH($I3405,MASTER_SOURCE!$A$2:$A$495,0)),""))</f>
        <v/>
      </c>
      <c r="M3405" s="24" t="n"/>
      <c r="N3405" s="24" t="n"/>
      <c r="O3405" s="24" t="n"/>
      <c r="P3405" s="24" t="n"/>
      <c r="Q3405" s="22">
        <f>IF($D3405="","",IF(AND(OR(DANH_MUC!$L$5&lt;&gt;"Có",M3405="Có"),OR(DANH_MUC!$L$6&lt;&gt;"Có",N3405="Có"),OR(DANH_MUC!$L$7&lt;&gt;"Có",O3405="Có"),OR(DANH_MUC!$L$8&lt;&gt;"Có",P3405="Có")),"Có","Không"))</f>
        <v/>
      </c>
      <c r="R3405" s="22">
        <f>IF($D3405="","",IF(COUNTIF($D$2:$D3405,$D3405)&gt;1,"Trùng",""))</f>
        <v/>
      </c>
      <c r="S3405" s="22">
        <f>IF($D3405="","",IF(AND(LEN($D3405)=10,LEFT($D3405,1)="0",ISNUMBER(--$D3405)),"Có","Không"))</f>
        <v/>
      </c>
      <c r="T3405" s="22">
        <f>IF($D3405="","",IF(AND($C3405&lt;&gt;"",$Q3405="Có",$R3405="",$S3405="Có",AND($L3405&lt;&gt;"",OR($L3405&lt;&gt;"Chưa xác định",DANH_MUC!$L$9="Có"))),"Có","Không"))</f>
        <v/>
      </c>
      <c r="U3405" s="22">
        <f>IF(OR($D3405="",$T3405="Có"),"",IF($C3405="","Thiếu họ tên; ","")&amp;IF($S3405&lt;&gt;"Có","SĐT sai định dạng; ","")&amp;IF($R3405="Trùng","Trùng SĐT; ","")&amp;IF($Q3405&lt;&gt;"Có","Thiếu đồng ý bắt buộc; ","")&amp;IF($L3405="","Thiếu/sai Mã REF; ",IF(AND($L3405="Chưa xác định",DANH_MUC!$L$9&lt;&gt;"Có"),"Nguồn chưa xác định; ","")))</f>
        <v/>
      </c>
      <c r="V3405" s="22">
        <f>IF(OR($D3405="",$R3405="Trùng"),"",IF(COUNTIF(ORDERS!$C$2:$C$4995,$D3405)&gt;0,"Có","Không"))</f>
        <v/>
      </c>
      <c r="W3405" s="22">
        <f>IF(OR($D3405="",$R3405="Trùng"),"",COUNTIFS(ORDERS!$C$2:$C$4995,$D3405,ORDERS!$L$2:$L$4995,"Đã chuyển khoản"))</f>
        <v/>
      </c>
      <c r="X3405" s="23">
        <f>IF(OR($D3405="",$R3405="Trùng"),"",SUMIFS(ORDERS!$J$2:$J$4995,ORDERS!$C$2:$C$4995,$D3405,ORDERS!$L$2:$L$4995,"Đã chuyển khoản"))</f>
        <v/>
      </c>
      <c r="Y3405" s="24" t="n"/>
    </row>
    <row r="3406" ht="14.25" customHeight="1" s="40">
      <c r="A3406" s="24" t="n"/>
      <c r="B3406" s="27" t="n"/>
      <c r="C3406" s="24" t="n"/>
      <c r="D3406" s="28" t="n"/>
      <c r="E3406" s="29" t="n"/>
      <c r="F3406" s="24" t="n"/>
      <c r="G3406" s="24" t="n"/>
      <c r="H3406" s="21">
        <f>IF(ISNUMBER($B3406),INT($B3406)-WEEKDAY($B3406,2)+1,"")</f>
        <v/>
      </c>
      <c r="I3406" s="24" t="n"/>
      <c r="J3406" s="22">
        <f t="array" ref="J3406">IF($D3406="","",IF($I3406="","(trống REF)",IFERROR(INDEX(MASTER_SOURCE!$B$2:$B$495,MATCH($I3406,MASTER_SOURCE!$A$2:$A$495,0)),"(REF không có trong MASTER_SOURCE)")))</f>
        <v/>
      </c>
      <c r="K3406" s="22">
        <f t="array" ref="K3406">IF($D3406="","",IFERROR(INDEX(MASTER_SOURCE!$C$2:$C$495,MATCH($I3406,MASTER_SOURCE!$A$2:$A$495,0)),""))</f>
        <v/>
      </c>
      <c r="L3406" s="22">
        <f t="array" ref="L3406">IF($D3406="","",IFERROR(INDEX(MASTER_SOURCE!$D$2:$D$495,MATCH($I3406,MASTER_SOURCE!$A$2:$A$495,0)),""))</f>
        <v/>
      </c>
      <c r="M3406" s="24" t="n"/>
      <c r="N3406" s="24" t="n"/>
      <c r="O3406" s="24" t="n"/>
      <c r="P3406" s="24" t="n"/>
      <c r="Q3406" s="22">
        <f>IF($D3406="","",IF(AND(OR(DANH_MUC!$L$5&lt;&gt;"Có",M3406="Có"),OR(DANH_MUC!$L$6&lt;&gt;"Có",N3406="Có"),OR(DANH_MUC!$L$7&lt;&gt;"Có",O3406="Có"),OR(DANH_MUC!$L$8&lt;&gt;"Có",P3406="Có")),"Có","Không"))</f>
        <v/>
      </c>
      <c r="R3406" s="22">
        <f>IF($D3406="","",IF(COUNTIF($D$2:$D3406,$D3406)&gt;1,"Trùng",""))</f>
        <v/>
      </c>
      <c r="S3406" s="22">
        <f>IF($D3406="","",IF(AND(LEN($D3406)=10,LEFT($D3406,1)="0",ISNUMBER(--$D3406)),"Có","Không"))</f>
        <v/>
      </c>
      <c r="T3406" s="22">
        <f>IF($D3406="","",IF(AND($C3406&lt;&gt;"",$Q3406="Có",$R3406="",$S3406="Có",AND($L3406&lt;&gt;"",OR($L3406&lt;&gt;"Chưa xác định",DANH_MUC!$L$9="Có"))),"Có","Không"))</f>
        <v/>
      </c>
      <c r="U3406" s="22">
        <f>IF(OR($D3406="",$T3406="Có"),"",IF($C3406="","Thiếu họ tên; ","")&amp;IF($S3406&lt;&gt;"Có","SĐT sai định dạng; ","")&amp;IF($R3406="Trùng","Trùng SĐT; ","")&amp;IF($Q3406&lt;&gt;"Có","Thiếu đồng ý bắt buộc; ","")&amp;IF($L3406="","Thiếu/sai Mã REF; ",IF(AND($L3406="Chưa xác định",DANH_MUC!$L$9&lt;&gt;"Có"),"Nguồn chưa xác định; ","")))</f>
        <v/>
      </c>
      <c r="V3406" s="22">
        <f>IF(OR($D3406="",$R3406="Trùng"),"",IF(COUNTIF(ORDERS!$C$2:$C$4995,$D3406)&gt;0,"Có","Không"))</f>
        <v/>
      </c>
      <c r="W3406" s="22">
        <f>IF(OR($D3406="",$R3406="Trùng"),"",COUNTIFS(ORDERS!$C$2:$C$4995,$D3406,ORDERS!$L$2:$L$4995,"Đã chuyển khoản"))</f>
        <v/>
      </c>
      <c r="X3406" s="23">
        <f>IF(OR($D3406="",$R3406="Trùng"),"",SUMIFS(ORDERS!$J$2:$J$4995,ORDERS!$C$2:$C$4995,$D3406,ORDERS!$L$2:$L$4995,"Đã chuyển khoản"))</f>
        <v/>
      </c>
      <c r="Y3406" s="24" t="n"/>
    </row>
    <row r="3407" ht="14.25" customHeight="1" s="40">
      <c r="A3407" s="24" t="n"/>
      <c r="B3407" s="27" t="n"/>
      <c r="C3407" s="24" t="n"/>
      <c r="D3407" s="28" t="n"/>
      <c r="E3407" s="29" t="n"/>
      <c r="F3407" s="24" t="n"/>
      <c r="G3407" s="24" t="n"/>
      <c r="H3407" s="21">
        <f>IF(ISNUMBER($B3407),INT($B3407)-WEEKDAY($B3407,2)+1,"")</f>
        <v/>
      </c>
      <c r="I3407" s="24" t="n"/>
      <c r="J3407" s="22">
        <f t="array" ref="J3407">IF($D3407="","",IF($I3407="","(trống REF)",IFERROR(INDEX(MASTER_SOURCE!$B$2:$B$495,MATCH($I3407,MASTER_SOURCE!$A$2:$A$495,0)),"(REF không có trong MASTER_SOURCE)")))</f>
        <v/>
      </c>
      <c r="K3407" s="22">
        <f t="array" ref="K3407">IF($D3407="","",IFERROR(INDEX(MASTER_SOURCE!$C$2:$C$495,MATCH($I3407,MASTER_SOURCE!$A$2:$A$495,0)),""))</f>
        <v/>
      </c>
      <c r="L3407" s="22">
        <f t="array" ref="L3407">IF($D3407="","",IFERROR(INDEX(MASTER_SOURCE!$D$2:$D$495,MATCH($I3407,MASTER_SOURCE!$A$2:$A$495,0)),""))</f>
        <v/>
      </c>
      <c r="M3407" s="24" t="n"/>
      <c r="N3407" s="24" t="n"/>
      <c r="O3407" s="24" t="n"/>
      <c r="P3407" s="24" t="n"/>
      <c r="Q3407" s="22">
        <f>IF($D3407="","",IF(AND(OR(DANH_MUC!$L$5&lt;&gt;"Có",M3407="Có"),OR(DANH_MUC!$L$6&lt;&gt;"Có",N3407="Có"),OR(DANH_MUC!$L$7&lt;&gt;"Có",O3407="Có"),OR(DANH_MUC!$L$8&lt;&gt;"Có",P3407="Có")),"Có","Không"))</f>
        <v/>
      </c>
      <c r="R3407" s="22">
        <f>IF($D3407="","",IF(COUNTIF($D$2:$D3407,$D3407)&gt;1,"Trùng",""))</f>
        <v/>
      </c>
      <c r="S3407" s="22">
        <f>IF($D3407="","",IF(AND(LEN($D3407)=10,LEFT($D3407,1)="0",ISNUMBER(--$D3407)),"Có","Không"))</f>
        <v/>
      </c>
      <c r="T3407" s="22">
        <f>IF($D3407="","",IF(AND($C3407&lt;&gt;"",$Q3407="Có",$R3407="",$S3407="Có",AND($L3407&lt;&gt;"",OR($L3407&lt;&gt;"Chưa xác định",DANH_MUC!$L$9="Có"))),"Có","Không"))</f>
        <v/>
      </c>
      <c r="U3407" s="22">
        <f>IF(OR($D3407="",$T3407="Có"),"",IF($C3407="","Thiếu họ tên; ","")&amp;IF($S3407&lt;&gt;"Có","SĐT sai định dạng; ","")&amp;IF($R3407="Trùng","Trùng SĐT; ","")&amp;IF($Q3407&lt;&gt;"Có","Thiếu đồng ý bắt buộc; ","")&amp;IF($L3407="","Thiếu/sai Mã REF; ",IF(AND($L3407="Chưa xác định",DANH_MUC!$L$9&lt;&gt;"Có"),"Nguồn chưa xác định; ","")))</f>
        <v/>
      </c>
      <c r="V3407" s="22">
        <f>IF(OR($D3407="",$R3407="Trùng"),"",IF(COUNTIF(ORDERS!$C$2:$C$4995,$D3407)&gt;0,"Có","Không"))</f>
        <v/>
      </c>
      <c r="W3407" s="22">
        <f>IF(OR($D3407="",$R3407="Trùng"),"",COUNTIFS(ORDERS!$C$2:$C$4995,$D3407,ORDERS!$L$2:$L$4995,"Đã chuyển khoản"))</f>
        <v/>
      </c>
      <c r="X3407" s="23">
        <f>IF(OR($D3407="",$R3407="Trùng"),"",SUMIFS(ORDERS!$J$2:$J$4995,ORDERS!$C$2:$C$4995,$D3407,ORDERS!$L$2:$L$4995,"Đã chuyển khoản"))</f>
        <v/>
      </c>
      <c r="Y3407" s="24" t="n"/>
    </row>
    <row r="3408" ht="14.25" customHeight="1" s="40">
      <c r="A3408" s="24" t="n"/>
      <c r="B3408" s="27" t="n"/>
      <c r="C3408" s="24" t="n"/>
      <c r="D3408" s="28" t="n"/>
      <c r="E3408" s="29" t="n"/>
      <c r="F3408" s="24" t="n"/>
      <c r="G3408" s="24" t="n"/>
      <c r="H3408" s="21">
        <f>IF(ISNUMBER($B3408),INT($B3408)-WEEKDAY($B3408,2)+1,"")</f>
        <v/>
      </c>
      <c r="I3408" s="24" t="n"/>
      <c r="J3408" s="22">
        <f t="array" ref="J3408">IF($D3408="","",IF($I3408="","(trống REF)",IFERROR(INDEX(MASTER_SOURCE!$B$2:$B$495,MATCH($I3408,MASTER_SOURCE!$A$2:$A$495,0)),"(REF không có trong MASTER_SOURCE)")))</f>
        <v/>
      </c>
      <c r="K3408" s="22">
        <f t="array" ref="K3408">IF($D3408="","",IFERROR(INDEX(MASTER_SOURCE!$C$2:$C$495,MATCH($I3408,MASTER_SOURCE!$A$2:$A$495,0)),""))</f>
        <v/>
      </c>
      <c r="L3408" s="22">
        <f t="array" ref="L3408">IF($D3408="","",IFERROR(INDEX(MASTER_SOURCE!$D$2:$D$495,MATCH($I3408,MASTER_SOURCE!$A$2:$A$495,0)),""))</f>
        <v/>
      </c>
      <c r="M3408" s="24" t="n"/>
      <c r="N3408" s="24" t="n"/>
      <c r="O3408" s="24" t="n"/>
      <c r="P3408" s="24" t="n"/>
      <c r="Q3408" s="22">
        <f>IF($D3408="","",IF(AND(OR(DANH_MUC!$L$5&lt;&gt;"Có",M3408="Có"),OR(DANH_MUC!$L$6&lt;&gt;"Có",N3408="Có"),OR(DANH_MUC!$L$7&lt;&gt;"Có",O3408="Có"),OR(DANH_MUC!$L$8&lt;&gt;"Có",P3408="Có")),"Có","Không"))</f>
        <v/>
      </c>
      <c r="R3408" s="22">
        <f>IF($D3408="","",IF(COUNTIF($D$2:$D3408,$D3408)&gt;1,"Trùng",""))</f>
        <v/>
      </c>
      <c r="S3408" s="22">
        <f>IF($D3408="","",IF(AND(LEN($D3408)=10,LEFT($D3408,1)="0",ISNUMBER(--$D3408)),"Có","Không"))</f>
        <v/>
      </c>
      <c r="T3408" s="22">
        <f>IF($D3408="","",IF(AND($C3408&lt;&gt;"",$Q3408="Có",$R3408="",$S3408="Có",AND($L3408&lt;&gt;"",OR($L3408&lt;&gt;"Chưa xác định",DANH_MUC!$L$9="Có"))),"Có","Không"))</f>
        <v/>
      </c>
      <c r="U3408" s="22">
        <f>IF(OR($D3408="",$T3408="Có"),"",IF($C3408="","Thiếu họ tên; ","")&amp;IF($S3408&lt;&gt;"Có","SĐT sai định dạng; ","")&amp;IF($R3408="Trùng","Trùng SĐT; ","")&amp;IF($Q3408&lt;&gt;"Có","Thiếu đồng ý bắt buộc; ","")&amp;IF($L3408="","Thiếu/sai Mã REF; ",IF(AND($L3408="Chưa xác định",DANH_MUC!$L$9&lt;&gt;"Có"),"Nguồn chưa xác định; ","")))</f>
        <v/>
      </c>
      <c r="V3408" s="22">
        <f>IF(OR($D3408="",$R3408="Trùng"),"",IF(COUNTIF(ORDERS!$C$2:$C$4995,$D3408)&gt;0,"Có","Không"))</f>
        <v/>
      </c>
      <c r="W3408" s="22">
        <f>IF(OR($D3408="",$R3408="Trùng"),"",COUNTIFS(ORDERS!$C$2:$C$4995,$D3408,ORDERS!$L$2:$L$4995,"Đã chuyển khoản"))</f>
        <v/>
      </c>
      <c r="X3408" s="23">
        <f>IF(OR($D3408="",$R3408="Trùng"),"",SUMIFS(ORDERS!$J$2:$J$4995,ORDERS!$C$2:$C$4995,$D3408,ORDERS!$L$2:$L$4995,"Đã chuyển khoản"))</f>
        <v/>
      </c>
      <c r="Y3408" s="24" t="n"/>
    </row>
    <row r="3409" ht="14.25" customHeight="1" s="40">
      <c r="A3409" s="24" t="n"/>
      <c r="B3409" s="27" t="n"/>
      <c r="C3409" s="24" t="n"/>
      <c r="D3409" s="28" t="n"/>
      <c r="E3409" s="29" t="n"/>
      <c r="F3409" s="24" t="n"/>
      <c r="G3409" s="24" t="n"/>
      <c r="H3409" s="21">
        <f>IF(ISNUMBER($B3409),INT($B3409)-WEEKDAY($B3409,2)+1,"")</f>
        <v/>
      </c>
      <c r="I3409" s="24" t="n"/>
      <c r="J3409" s="22">
        <f t="array" ref="J3409">IF($D3409="","",IF($I3409="","(trống REF)",IFERROR(INDEX(MASTER_SOURCE!$B$2:$B$495,MATCH($I3409,MASTER_SOURCE!$A$2:$A$495,0)),"(REF không có trong MASTER_SOURCE)")))</f>
        <v/>
      </c>
      <c r="K3409" s="22">
        <f t="array" ref="K3409">IF($D3409="","",IFERROR(INDEX(MASTER_SOURCE!$C$2:$C$495,MATCH($I3409,MASTER_SOURCE!$A$2:$A$495,0)),""))</f>
        <v/>
      </c>
      <c r="L3409" s="22">
        <f t="array" ref="L3409">IF($D3409="","",IFERROR(INDEX(MASTER_SOURCE!$D$2:$D$495,MATCH($I3409,MASTER_SOURCE!$A$2:$A$495,0)),""))</f>
        <v/>
      </c>
      <c r="M3409" s="24" t="n"/>
      <c r="N3409" s="24" t="n"/>
      <c r="O3409" s="24" t="n"/>
      <c r="P3409" s="24" t="n"/>
      <c r="Q3409" s="22">
        <f>IF($D3409="","",IF(AND(OR(DANH_MUC!$L$5&lt;&gt;"Có",M3409="Có"),OR(DANH_MUC!$L$6&lt;&gt;"Có",N3409="Có"),OR(DANH_MUC!$L$7&lt;&gt;"Có",O3409="Có"),OR(DANH_MUC!$L$8&lt;&gt;"Có",P3409="Có")),"Có","Không"))</f>
        <v/>
      </c>
      <c r="R3409" s="22">
        <f>IF($D3409="","",IF(COUNTIF($D$2:$D3409,$D3409)&gt;1,"Trùng",""))</f>
        <v/>
      </c>
      <c r="S3409" s="22">
        <f>IF($D3409="","",IF(AND(LEN($D3409)=10,LEFT($D3409,1)="0",ISNUMBER(--$D3409)),"Có","Không"))</f>
        <v/>
      </c>
      <c r="T3409" s="22">
        <f>IF($D3409="","",IF(AND($C3409&lt;&gt;"",$Q3409="Có",$R3409="",$S3409="Có",AND($L3409&lt;&gt;"",OR($L3409&lt;&gt;"Chưa xác định",DANH_MUC!$L$9="Có"))),"Có","Không"))</f>
        <v/>
      </c>
      <c r="U3409" s="22">
        <f>IF(OR($D3409="",$T3409="Có"),"",IF($C3409="","Thiếu họ tên; ","")&amp;IF($S3409&lt;&gt;"Có","SĐT sai định dạng; ","")&amp;IF($R3409="Trùng","Trùng SĐT; ","")&amp;IF($Q3409&lt;&gt;"Có","Thiếu đồng ý bắt buộc; ","")&amp;IF($L3409="","Thiếu/sai Mã REF; ",IF(AND($L3409="Chưa xác định",DANH_MUC!$L$9&lt;&gt;"Có"),"Nguồn chưa xác định; ","")))</f>
        <v/>
      </c>
      <c r="V3409" s="22">
        <f>IF(OR($D3409="",$R3409="Trùng"),"",IF(COUNTIF(ORDERS!$C$2:$C$4995,$D3409)&gt;0,"Có","Không"))</f>
        <v/>
      </c>
      <c r="W3409" s="22">
        <f>IF(OR($D3409="",$R3409="Trùng"),"",COUNTIFS(ORDERS!$C$2:$C$4995,$D3409,ORDERS!$L$2:$L$4995,"Đã chuyển khoản"))</f>
        <v/>
      </c>
      <c r="X3409" s="23">
        <f>IF(OR($D3409="",$R3409="Trùng"),"",SUMIFS(ORDERS!$J$2:$J$4995,ORDERS!$C$2:$C$4995,$D3409,ORDERS!$L$2:$L$4995,"Đã chuyển khoản"))</f>
        <v/>
      </c>
      <c r="Y3409" s="24" t="n"/>
    </row>
    <row r="3410" ht="14.25" customHeight="1" s="40">
      <c r="A3410" s="24" t="n"/>
      <c r="B3410" s="27" t="n"/>
      <c r="C3410" s="24" t="n"/>
      <c r="D3410" s="28" t="n"/>
      <c r="E3410" s="29" t="n"/>
      <c r="F3410" s="24" t="n"/>
      <c r="G3410" s="24" t="n"/>
      <c r="H3410" s="21">
        <f>IF(ISNUMBER($B3410),INT($B3410)-WEEKDAY($B3410,2)+1,"")</f>
        <v/>
      </c>
      <c r="I3410" s="24" t="n"/>
      <c r="J3410" s="22">
        <f t="array" ref="J3410">IF($D3410="","",IF($I3410="","(trống REF)",IFERROR(INDEX(MASTER_SOURCE!$B$2:$B$495,MATCH($I3410,MASTER_SOURCE!$A$2:$A$495,0)),"(REF không có trong MASTER_SOURCE)")))</f>
        <v/>
      </c>
      <c r="K3410" s="22">
        <f t="array" ref="K3410">IF($D3410="","",IFERROR(INDEX(MASTER_SOURCE!$C$2:$C$495,MATCH($I3410,MASTER_SOURCE!$A$2:$A$495,0)),""))</f>
        <v/>
      </c>
      <c r="L3410" s="22">
        <f t="array" ref="L3410">IF($D3410="","",IFERROR(INDEX(MASTER_SOURCE!$D$2:$D$495,MATCH($I3410,MASTER_SOURCE!$A$2:$A$495,0)),""))</f>
        <v/>
      </c>
      <c r="M3410" s="24" t="n"/>
      <c r="N3410" s="24" t="n"/>
      <c r="O3410" s="24" t="n"/>
      <c r="P3410" s="24" t="n"/>
      <c r="Q3410" s="22">
        <f>IF($D3410="","",IF(AND(OR(DANH_MUC!$L$5&lt;&gt;"Có",M3410="Có"),OR(DANH_MUC!$L$6&lt;&gt;"Có",N3410="Có"),OR(DANH_MUC!$L$7&lt;&gt;"Có",O3410="Có"),OR(DANH_MUC!$L$8&lt;&gt;"Có",P3410="Có")),"Có","Không"))</f>
        <v/>
      </c>
      <c r="R3410" s="22">
        <f>IF($D3410="","",IF(COUNTIF($D$2:$D3410,$D3410)&gt;1,"Trùng",""))</f>
        <v/>
      </c>
      <c r="S3410" s="22">
        <f>IF($D3410="","",IF(AND(LEN($D3410)=10,LEFT($D3410,1)="0",ISNUMBER(--$D3410)),"Có","Không"))</f>
        <v/>
      </c>
      <c r="T3410" s="22">
        <f>IF($D3410="","",IF(AND($C3410&lt;&gt;"",$Q3410="Có",$R3410="",$S3410="Có",AND($L3410&lt;&gt;"",OR($L3410&lt;&gt;"Chưa xác định",DANH_MUC!$L$9="Có"))),"Có","Không"))</f>
        <v/>
      </c>
      <c r="U3410" s="22">
        <f>IF(OR($D3410="",$T3410="Có"),"",IF($C3410="","Thiếu họ tên; ","")&amp;IF($S3410&lt;&gt;"Có","SĐT sai định dạng; ","")&amp;IF($R3410="Trùng","Trùng SĐT; ","")&amp;IF($Q3410&lt;&gt;"Có","Thiếu đồng ý bắt buộc; ","")&amp;IF($L3410="","Thiếu/sai Mã REF; ",IF(AND($L3410="Chưa xác định",DANH_MUC!$L$9&lt;&gt;"Có"),"Nguồn chưa xác định; ","")))</f>
        <v/>
      </c>
      <c r="V3410" s="22">
        <f>IF(OR($D3410="",$R3410="Trùng"),"",IF(COUNTIF(ORDERS!$C$2:$C$4995,$D3410)&gt;0,"Có","Không"))</f>
        <v/>
      </c>
      <c r="W3410" s="22">
        <f>IF(OR($D3410="",$R3410="Trùng"),"",COUNTIFS(ORDERS!$C$2:$C$4995,$D3410,ORDERS!$L$2:$L$4995,"Đã chuyển khoản"))</f>
        <v/>
      </c>
      <c r="X3410" s="23">
        <f>IF(OR($D3410="",$R3410="Trùng"),"",SUMIFS(ORDERS!$J$2:$J$4995,ORDERS!$C$2:$C$4995,$D3410,ORDERS!$L$2:$L$4995,"Đã chuyển khoản"))</f>
        <v/>
      </c>
      <c r="Y3410" s="24" t="n"/>
    </row>
    <row r="3411" ht="14.25" customHeight="1" s="40">
      <c r="A3411" s="24" t="n"/>
      <c r="B3411" s="27" t="n"/>
      <c r="C3411" s="24" t="n"/>
      <c r="D3411" s="28" t="n"/>
      <c r="E3411" s="29" t="n"/>
      <c r="F3411" s="24" t="n"/>
      <c r="G3411" s="24" t="n"/>
      <c r="H3411" s="21">
        <f>IF(ISNUMBER($B3411),INT($B3411)-WEEKDAY($B3411,2)+1,"")</f>
        <v/>
      </c>
      <c r="I3411" s="24" t="n"/>
      <c r="J3411" s="22">
        <f t="array" ref="J3411">IF($D3411="","",IF($I3411="","(trống REF)",IFERROR(INDEX(MASTER_SOURCE!$B$2:$B$495,MATCH($I3411,MASTER_SOURCE!$A$2:$A$495,0)),"(REF không có trong MASTER_SOURCE)")))</f>
        <v/>
      </c>
      <c r="K3411" s="22">
        <f t="array" ref="K3411">IF($D3411="","",IFERROR(INDEX(MASTER_SOURCE!$C$2:$C$495,MATCH($I3411,MASTER_SOURCE!$A$2:$A$495,0)),""))</f>
        <v/>
      </c>
      <c r="L3411" s="22">
        <f t="array" ref="L3411">IF($D3411="","",IFERROR(INDEX(MASTER_SOURCE!$D$2:$D$495,MATCH($I3411,MASTER_SOURCE!$A$2:$A$495,0)),""))</f>
        <v/>
      </c>
      <c r="M3411" s="24" t="n"/>
      <c r="N3411" s="24" t="n"/>
      <c r="O3411" s="24" t="n"/>
      <c r="P3411" s="24" t="n"/>
      <c r="Q3411" s="22">
        <f>IF($D3411="","",IF(AND(OR(DANH_MUC!$L$5&lt;&gt;"Có",M3411="Có"),OR(DANH_MUC!$L$6&lt;&gt;"Có",N3411="Có"),OR(DANH_MUC!$L$7&lt;&gt;"Có",O3411="Có"),OR(DANH_MUC!$L$8&lt;&gt;"Có",P3411="Có")),"Có","Không"))</f>
        <v/>
      </c>
      <c r="R3411" s="22">
        <f>IF($D3411="","",IF(COUNTIF($D$2:$D3411,$D3411)&gt;1,"Trùng",""))</f>
        <v/>
      </c>
      <c r="S3411" s="22">
        <f>IF($D3411="","",IF(AND(LEN($D3411)=10,LEFT($D3411,1)="0",ISNUMBER(--$D3411)),"Có","Không"))</f>
        <v/>
      </c>
      <c r="T3411" s="22">
        <f>IF($D3411="","",IF(AND($C3411&lt;&gt;"",$Q3411="Có",$R3411="",$S3411="Có",AND($L3411&lt;&gt;"",OR($L3411&lt;&gt;"Chưa xác định",DANH_MUC!$L$9="Có"))),"Có","Không"))</f>
        <v/>
      </c>
      <c r="U3411" s="22">
        <f>IF(OR($D3411="",$T3411="Có"),"",IF($C3411="","Thiếu họ tên; ","")&amp;IF($S3411&lt;&gt;"Có","SĐT sai định dạng; ","")&amp;IF($R3411="Trùng","Trùng SĐT; ","")&amp;IF($Q3411&lt;&gt;"Có","Thiếu đồng ý bắt buộc; ","")&amp;IF($L3411="","Thiếu/sai Mã REF; ",IF(AND($L3411="Chưa xác định",DANH_MUC!$L$9&lt;&gt;"Có"),"Nguồn chưa xác định; ","")))</f>
        <v/>
      </c>
      <c r="V3411" s="22">
        <f>IF(OR($D3411="",$R3411="Trùng"),"",IF(COUNTIF(ORDERS!$C$2:$C$4995,$D3411)&gt;0,"Có","Không"))</f>
        <v/>
      </c>
      <c r="W3411" s="22">
        <f>IF(OR($D3411="",$R3411="Trùng"),"",COUNTIFS(ORDERS!$C$2:$C$4995,$D3411,ORDERS!$L$2:$L$4995,"Đã chuyển khoản"))</f>
        <v/>
      </c>
      <c r="X3411" s="23">
        <f>IF(OR($D3411="",$R3411="Trùng"),"",SUMIFS(ORDERS!$J$2:$J$4995,ORDERS!$C$2:$C$4995,$D3411,ORDERS!$L$2:$L$4995,"Đã chuyển khoản"))</f>
        <v/>
      </c>
      <c r="Y3411" s="24" t="n"/>
    </row>
    <row r="3412" ht="14.25" customHeight="1" s="40">
      <c r="A3412" s="24" t="n"/>
      <c r="B3412" s="27" t="n"/>
      <c r="C3412" s="24" t="n"/>
      <c r="D3412" s="28" t="n"/>
      <c r="E3412" s="29" t="n"/>
      <c r="F3412" s="24" t="n"/>
      <c r="G3412" s="24" t="n"/>
      <c r="H3412" s="21">
        <f>IF(ISNUMBER($B3412),INT($B3412)-WEEKDAY($B3412,2)+1,"")</f>
        <v/>
      </c>
      <c r="I3412" s="24" t="n"/>
      <c r="J3412" s="22">
        <f t="array" ref="J3412">IF($D3412="","",IF($I3412="","(trống REF)",IFERROR(INDEX(MASTER_SOURCE!$B$2:$B$495,MATCH($I3412,MASTER_SOURCE!$A$2:$A$495,0)),"(REF không có trong MASTER_SOURCE)")))</f>
        <v/>
      </c>
      <c r="K3412" s="22">
        <f t="array" ref="K3412">IF($D3412="","",IFERROR(INDEX(MASTER_SOURCE!$C$2:$C$495,MATCH($I3412,MASTER_SOURCE!$A$2:$A$495,0)),""))</f>
        <v/>
      </c>
      <c r="L3412" s="22">
        <f t="array" ref="L3412">IF($D3412="","",IFERROR(INDEX(MASTER_SOURCE!$D$2:$D$495,MATCH($I3412,MASTER_SOURCE!$A$2:$A$495,0)),""))</f>
        <v/>
      </c>
      <c r="M3412" s="24" t="n"/>
      <c r="N3412" s="24" t="n"/>
      <c r="O3412" s="24" t="n"/>
      <c r="P3412" s="24" t="n"/>
      <c r="Q3412" s="22">
        <f>IF($D3412="","",IF(AND(OR(DANH_MUC!$L$5&lt;&gt;"Có",M3412="Có"),OR(DANH_MUC!$L$6&lt;&gt;"Có",N3412="Có"),OR(DANH_MUC!$L$7&lt;&gt;"Có",O3412="Có"),OR(DANH_MUC!$L$8&lt;&gt;"Có",P3412="Có")),"Có","Không"))</f>
        <v/>
      </c>
      <c r="R3412" s="22">
        <f>IF($D3412="","",IF(COUNTIF($D$2:$D3412,$D3412)&gt;1,"Trùng",""))</f>
        <v/>
      </c>
      <c r="S3412" s="22">
        <f>IF($D3412="","",IF(AND(LEN($D3412)=10,LEFT($D3412,1)="0",ISNUMBER(--$D3412)),"Có","Không"))</f>
        <v/>
      </c>
      <c r="T3412" s="22">
        <f>IF($D3412="","",IF(AND($C3412&lt;&gt;"",$Q3412="Có",$R3412="",$S3412="Có",AND($L3412&lt;&gt;"",OR($L3412&lt;&gt;"Chưa xác định",DANH_MUC!$L$9="Có"))),"Có","Không"))</f>
        <v/>
      </c>
      <c r="U3412" s="22">
        <f>IF(OR($D3412="",$T3412="Có"),"",IF($C3412="","Thiếu họ tên; ","")&amp;IF($S3412&lt;&gt;"Có","SĐT sai định dạng; ","")&amp;IF($R3412="Trùng","Trùng SĐT; ","")&amp;IF($Q3412&lt;&gt;"Có","Thiếu đồng ý bắt buộc; ","")&amp;IF($L3412="","Thiếu/sai Mã REF; ",IF(AND($L3412="Chưa xác định",DANH_MUC!$L$9&lt;&gt;"Có"),"Nguồn chưa xác định; ","")))</f>
        <v/>
      </c>
      <c r="V3412" s="22">
        <f>IF(OR($D3412="",$R3412="Trùng"),"",IF(COUNTIF(ORDERS!$C$2:$C$4995,$D3412)&gt;0,"Có","Không"))</f>
        <v/>
      </c>
      <c r="W3412" s="22">
        <f>IF(OR($D3412="",$R3412="Trùng"),"",COUNTIFS(ORDERS!$C$2:$C$4995,$D3412,ORDERS!$L$2:$L$4995,"Đã chuyển khoản"))</f>
        <v/>
      </c>
      <c r="X3412" s="23">
        <f>IF(OR($D3412="",$R3412="Trùng"),"",SUMIFS(ORDERS!$J$2:$J$4995,ORDERS!$C$2:$C$4995,$D3412,ORDERS!$L$2:$L$4995,"Đã chuyển khoản"))</f>
        <v/>
      </c>
      <c r="Y3412" s="24" t="n"/>
    </row>
    <row r="3413" ht="14.25" customHeight="1" s="40">
      <c r="A3413" s="24" t="n"/>
      <c r="B3413" s="27" t="n"/>
      <c r="C3413" s="24" t="n"/>
      <c r="D3413" s="28" t="n"/>
      <c r="E3413" s="29" t="n"/>
      <c r="F3413" s="24" t="n"/>
      <c r="G3413" s="24" t="n"/>
      <c r="H3413" s="21">
        <f>IF(ISNUMBER($B3413),INT($B3413)-WEEKDAY($B3413,2)+1,"")</f>
        <v/>
      </c>
      <c r="I3413" s="24" t="n"/>
      <c r="J3413" s="22">
        <f t="array" ref="J3413">IF($D3413="","",IF($I3413="","(trống REF)",IFERROR(INDEX(MASTER_SOURCE!$B$2:$B$495,MATCH($I3413,MASTER_SOURCE!$A$2:$A$495,0)),"(REF không có trong MASTER_SOURCE)")))</f>
        <v/>
      </c>
      <c r="K3413" s="22">
        <f t="array" ref="K3413">IF($D3413="","",IFERROR(INDEX(MASTER_SOURCE!$C$2:$C$495,MATCH($I3413,MASTER_SOURCE!$A$2:$A$495,0)),""))</f>
        <v/>
      </c>
      <c r="L3413" s="22">
        <f t="array" ref="L3413">IF($D3413="","",IFERROR(INDEX(MASTER_SOURCE!$D$2:$D$495,MATCH($I3413,MASTER_SOURCE!$A$2:$A$495,0)),""))</f>
        <v/>
      </c>
      <c r="M3413" s="24" t="n"/>
      <c r="N3413" s="24" t="n"/>
      <c r="O3413" s="24" t="n"/>
      <c r="P3413" s="24" t="n"/>
      <c r="Q3413" s="22">
        <f>IF($D3413="","",IF(AND(OR(DANH_MUC!$L$5&lt;&gt;"Có",M3413="Có"),OR(DANH_MUC!$L$6&lt;&gt;"Có",N3413="Có"),OR(DANH_MUC!$L$7&lt;&gt;"Có",O3413="Có"),OR(DANH_MUC!$L$8&lt;&gt;"Có",P3413="Có")),"Có","Không"))</f>
        <v/>
      </c>
      <c r="R3413" s="22">
        <f>IF($D3413="","",IF(COUNTIF($D$2:$D3413,$D3413)&gt;1,"Trùng",""))</f>
        <v/>
      </c>
      <c r="S3413" s="22">
        <f>IF($D3413="","",IF(AND(LEN($D3413)=10,LEFT($D3413,1)="0",ISNUMBER(--$D3413)),"Có","Không"))</f>
        <v/>
      </c>
      <c r="T3413" s="22">
        <f>IF($D3413="","",IF(AND($C3413&lt;&gt;"",$Q3413="Có",$R3413="",$S3413="Có",AND($L3413&lt;&gt;"",OR($L3413&lt;&gt;"Chưa xác định",DANH_MUC!$L$9="Có"))),"Có","Không"))</f>
        <v/>
      </c>
      <c r="U3413" s="22">
        <f>IF(OR($D3413="",$T3413="Có"),"",IF($C3413="","Thiếu họ tên; ","")&amp;IF($S3413&lt;&gt;"Có","SĐT sai định dạng; ","")&amp;IF($R3413="Trùng","Trùng SĐT; ","")&amp;IF($Q3413&lt;&gt;"Có","Thiếu đồng ý bắt buộc; ","")&amp;IF($L3413="","Thiếu/sai Mã REF; ",IF(AND($L3413="Chưa xác định",DANH_MUC!$L$9&lt;&gt;"Có"),"Nguồn chưa xác định; ","")))</f>
        <v/>
      </c>
      <c r="V3413" s="22">
        <f>IF(OR($D3413="",$R3413="Trùng"),"",IF(COUNTIF(ORDERS!$C$2:$C$4995,$D3413)&gt;0,"Có","Không"))</f>
        <v/>
      </c>
      <c r="W3413" s="22">
        <f>IF(OR($D3413="",$R3413="Trùng"),"",COUNTIFS(ORDERS!$C$2:$C$4995,$D3413,ORDERS!$L$2:$L$4995,"Đã chuyển khoản"))</f>
        <v/>
      </c>
      <c r="X3413" s="23">
        <f>IF(OR($D3413="",$R3413="Trùng"),"",SUMIFS(ORDERS!$J$2:$J$4995,ORDERS!$C$2:$C$4995,$D3413,ORDERS!$L$2:$L$4995,"Đã chuyển khoản"))</f>
        <v/>
      </c>
      <c r="Y3413" s="24" t="n"/>
    </row>
    <row r="3414" ht="14.25" customHeight="1" s="40">
      <c r="A3414" s="24" t="n"/>
      <c r="B3414" s="27" t="n"/>
      <c r="C3414" s="24" t="n"/>
      <c r="D3414" s="28" t="n"/>
      <c r="E3414" s="29" t="n"/>
      <c r="F3414" s="24" t="n"/>
      <c r="G3414" s="24" t="n"/>
      <c r="H3414" s="21">
        <f>IF(ISNUMBER($B3414),INT($B3414)-WEEKDAY($B3414,2)+1,"")</f>
        <v/>
      </c>
      <c r="I3414" s="24" t="n"/>
      <c r="J3414" s="22">
        <f t="array" ref="J3414">IF($D3414="","",IF($I3414="","(trống REF)",IFERROR(INDEX(MASTER_SOURCE!$B$2:$B$495,MATCH($I3414,MASTER_SOURCE!$A$2:$A$495,0)),"(REF không có trong MASTER_SOURCE)")))</f>
        <v/>
      </c>
      <c r="K3414" s="22">
        <f t="array" ref="K3414">IF($D3414="","",IFERROR(INDEX(MASTER_SOURCE!$C$2:$C$495,MATCH($I3414,MASTER_SOURCE!$A$2:$A$495,0)),""))</f>
        <v/>
      </c>
      <c r="L3414" s="22">
        <f t="array" ref="L3414">IF($D3414="","",IFERROR(INDEX(MASTER_SOURCE!$D$2:$D$495,MATCH($I3414,MASTER_SOURCE!$A$2:$A$495,0)),""))</f>
        <v/>
      </c>
      <c r="M3414" s="24" t="n"/>
      <c r="N3414" s="24" t="n"/>
      <c r="O3414" s="24" t="n"/>
      <c r="P3414" s="24" t="n"/>
      <c r="Q3414" s="22">
        <f>IF($D3414="","",IF(AND(OR(DANH_MUC!$L$5&lt;&gt;"Có",M3414="Có"),OR(DANH_MUC!$L$6&lt;&gt;"Có",N3414="Có"),OR(DANH_MUC!$L$7&lt;&gt;"Có",O3414="Có"),OR(DANH_MUC!$L$8&lt;&gt;"Có",P3414="Có")),"Có","Không"))</f>
        <v/>
      </c>
      <c r="R3414" s="22">
        <f>IF($D3414="","",IF(COUNTIF($D$2:$D3414,$D3414)&gt;1,"Trùng",""))</f>
        <v/>
      </c>
      <c r="S3414" s="22">
        <f>IF($D3414="","",IF(AND(LEN($D3414)=10,LEFT($D3414,1)="0",ISNUMBER(--$D3414)),"Có","Không"))</f>
        <v/>
      </c>
      <c r="T3414" s="22">
        <f>IF($D3414="","",IF(AND($C3414&lt;&gt;"",$Q3414="Có",$R3414="",$S3414="Có",AND($L3414&lt;&gt;"",OR($L3414&lt;&gt;"Chưa xác định",DANH_MUC!$L$9="Có"))),"Có","Không"))</f>
        <v/>
      </c>
      <c r="U3414" s="22">
        <f>IF(OR($D3414="",$T3414="Có"),"",IF($C3414="","Thiếu họ tên; ","")&amp;IF($S3414&lt;&gt;"Có","SĐT sai định dạng; ","")&amp;IF($R3414="Trùng","Trùng SĐT; ","")&amp;IF($Q3414&lt;&gt;"Có","Thiếu đồng ý bắt buộc; ","")&amp;IF($L3414="","Thiếu/sai Mã REF; ",IF(AND($L3414="Chưa xác định",DANH_MUC!$L$9&lt;&gt;"Có"),"Nguồn chưa xác định; ","")))</f>
        <v/>
      </c>
      <c r="V3414" s="22">
        <f>IF(OR($D3414="",$R3414="Trùng"),"",IF(COUNTIF(ORDERS!$C$2:$C$4995,$D3414)&gt;0,"Có","Không"))</f>
        <v/>
      </c>
      <c r="W3414" s="22">
        <f>IF(OR($D3414="",$R3414="Trùng"),"",COUNTIFS(ORDERS!$C$2:$C$4995,$D3414,ORDERS!$L$2:$L$4995,"Đã chuyển khoản"))</f>
        <v/>
      </c>
      <c r="X3414" s="23">
        <f>IF(OR($D3414="",$R3414="Trùng"),"",SUMIFS(ORDERS!$J$2:$J$4995,ORDERS!$C$2:$C$4995,$D3414,ORDERS!$L$2:$L$4995,"Đã chuyển khoản"))</f>
        <v/>
      </c>
      <c r="Y3414" s="24" t="n"/>
    </row>
    <row r="3415" ht="14.25" customHeight="1" s="40">
      <c r="A3415" s="24" t="n"/>
      <c r="B3415" s="27" t="n"/>
      <c r="C3415" s="24" t="n"/>
      <c r="D3415" s="28" t="n"/>
      <c r="E3415" s="29" t="n"/>
      <c r="F3415" s="24" t="n"/>
      <c r="G3415" s="24" t="n"/>
      <c r="H3415" s="21">
        <f>IF(ISNUMBER($B3415),INT($B3415)-WEEKDAY($B3415,2)+1,"")</f>
        <v/>
      </c>
      <c r="I3415" s="24" t="n"/>
      <c r="J3415" s="22">
        <f t="array" ref="J3415">IF($D3415="","",IF($I3415="","(trống REF)",IFERROR(INDEX(MASTER_SOURCE!$B$2:$B$495,MATCH($I3415,MASTER_SOURCE!$A$2:$A$495,0)),"(REF không có trong MASTER_SOURCE)")))</f>
        <v/>
      </c>
      <c r="K3415" s="22">
        <f t="array" ref="K3415">IF($D3415="","",IFERROR(INDEX(MASTER_SOURCE!$C$2:$C$495,MATCH($I3415,MASTER_SOURCE!$A$2:$A$495,0)),""))</f>
        <v/>
      </c>
      <c r="L3415" s="22">
        <f t="array" ref="L3415">IF($D3415="","",IFERROR(INDEX(MASTER_SOURCE!$D$2:$D$495,MATCH($I3415,MASTER_SOURCE!$A$2:$A$495,0)),""))</f>
        <v/>
      </c>
      <c r="M3415" s="24" t="n"/>
      <c r="N3415" s="24" t="n"/>
      <c r="O3415" s="24" t="n"/>
      <c r="P3415" s="24" t="n"/>
      <c r="Q3415" s="22">
        <f>IF($D3415="","",IF(AND(OR(DANH_MUC!$L$5&lt;&gt;"Có",M3415="Có"),OR(DANH_MUC!$L$6&lt;&gt;"Có",N3415="Có"),OR(DANH_MUC!$L$7&lt;&gt;"Có",O3415="Có"),OR(DANH_MUC!$L$8&lt;&gt;"Có",P3415="Có")),"Có","Không"))</f>
        <v/>
      </c>
      <c r="R3415" s="22">
        <f>IF($D3415="","",IF(COUNTIF($D$2:$D3415,$D3415)&gt;1,"Trùng",""))</f>
        <v/>
      </c>
      <c r="S3415" s="22">
        <f>IF($D3415="","",IF(AND(LEN($D3415)=10,LEFT($D3415,1)="0",ISNUMBER(--$D3415)),"Có","Không"))</f>
        <v/>
      </c>
      <c r="T3415" s="22">
        <f>IF($D3415="","",IF(AND($C3415&lt;&gt;"",$Q3415="Có",$R3415="",$S3415="Có",AND($L3415&lt;&gt;"",OR($L3415&lt;&gt;"Chưa xác định",DANH_MUC!$L$9="Có"))),"Có","Không"))</f>
        <v/>
      </c>
      <c r="U3415" s="22">
        <f>IF(OR($D3415="",$T3415="Có"),"",IF($C3415="","Thiếu họ tên; ","")&amp;IF($S3415&lt;&gt;"Có","SĐT sai định dạng; ","")&amp;IF($R3415="Trùng","Trùng SĐT; ","")&amp;IF($Q3415&lt;&gt;"Có","Thiếu đồng ý bắt buộc; ","")&amp;IF($L3415="","Thiếu/sai Mã REF; ",IF(AND($L3415="Chưa xác định",DANH_MUC!$L$9&lt;&gt;"Có"),"Nguồn chưa xác định; ","")))</f>
        <v/>
      </c>
      <c r="V3415" s="22">
        <f>IF(OR($D3415="",$R3415="Trùng"),"",IF(COUNTIF(ORDERS!$C$2:$C$4995,$D3415)&gt;0,"Có","Không"))</f>
        <v/>
      </c>
      <c r="W3415" s="22">
        <f>IF(OR($D3415="",$R3415="Trùng"),"",COUNTIFS(ORDERS!$C$2:$C$4995,$D3415,ORDERS!$L$2:$L$4995,"Đã chuyển khoản"))</f>
        <v/>
      </c>
      <c r="X3415" s="23">
        <f>IF(OR($D3415="",$R3415="Trùng"),"",SUMIFS(ORDERS!$J$2:$J$4995,ORDERS!$C$2:$C$4995,$D3415,ORDERS!$L$2:$L$4995,"Đã chuyển khoản"))</f>
        <v/>
      </c>
      <c r="Y3415" s="24" t="n"/>
    </row>
    <row r="3416" ht="14.25" customHeight="1" s="40">
      <c r="A3416" s="24" t="n"/>
      <c r="B3416" s="27" t="n"/>
      <c r="C3416" s="24" t="n"/>
      <c r="D3416" s="28" t="n"/>
      <c r="E3416" s="29" t="n"/>
      <c r="F3416" s="24" t="n"/>
      <c r="G3416" s="24" t="n"/>
      <c r="H3416" s="21">
        <f>IF(ISNUMBER($B3416),INT($B3416)-WEEKDAY($B3416,2)+1,"")</f>
        <v/>
      </c>
      <c r="I3416" s="24" t="n"/>
      <c r="J3416" s="22">
        <f t="array" ref="J3416">IF($D3416="","",IF($I3416="","(trống REF)",IFERROR(INDEX(MASTER_SOURCE!$B$2:$B$495,MATCH($I3416,MASTER_SOURCE!$A$2:$A$495,0)),"(REF không có trong MASTER_SOURCE)")))</f>
        <v/>
      </c>
      <c r="K3416" s="22">
        <f t="array" ref="K3416">IF($D3416="","",IFERROR(INDEX(MASTER_SOURCE!$C$2:$C$495,MATCH($I3416,MASTER_SOURCE!$A$2:$A$495,0)),""))</f>
        <v/>
      </c>
      <c r="L3416" s="22">
        <f t="array" ref="L3416">IF($D3416="","",IFERROR(INDEX(MASTER_SOURCE!$D$2:$D$495,MATCH($I3416,MASTER_SOURCE!$A$2:$A$495,0)),""))</f>
        <v/>
      </c>
      <c r="M3416" s="24" t="n"/>
      <c r="N3416" s="24" t="n"/>
      <c r="O3416" s="24" t="n"/>
      <c r="P3416" s="24" t="n"/>
      <c r="Q3416" s="22">
        <f>IF($D3416="","",IF(AND(OR(DANH_MUC!$L$5&lt;&gt;"Có",M3416="Có"),OR(DANH_MUC!$L$6&lt;&gt;"Có",N3416="Có"),OR(DANH_MUC!$L$7&lt;&gt;"Có",O3416="Có"),OR(DANH_MUC!$L$8&lt;&gt;"Có",P3416="Có")),"Có","Không"))</f>
        <v/>
      </c>
      <c r="R3416" s="22">
        <f>IF($D3416="","",IF(COUNTIF($D$2:$D3416,$D3416)&gt;1,"Trùng",""))</f>
        <v/>
      </c>
      <c r="S3416" s="22">
        <f>IF($D3416="","",IF(AND(LEN($D3416)=10,LEFT($D3416,1)="0",ISNUMBER(--$D3416)),"Có","Không"))</f>
        <v/>
      </c>
      <c r="T3416" s="22">
        <f>IF($D3416="","",IF(AND($C3416&lt;&gt;"",$Q3416="Có",$R3416="",$S3416="Có",AND($L3416&lt;&gt;"",OR($L3416&lt;&gt;"Chưa xác định",DANH_MUC!$L$9="Có"))),"Có","Không"))</f>
        <v/>
      </c>
      <c r="U3416" s="22">
        <f>IF(OR($D3416="",$T3416="Có"),"",IF($C3416="","Thiếu họ tên; ","")&amp;IF($S3416&lt;&gt;"Có","SĐT sai định dạng; ","")&amp;IF($R3416="Trùng","Trùng SĐT; ","")&amp;IF($Q3416&lt;&gt;"Có","Thiếu đồng ý bắt buộc; ","")&amp;IF($L3416="","Thiếu/sai Mã REF; ",IF(AND($L3416="Chưa xác định",DANH_MUC!$L$9&lt;&gt;"Có"),"Nguồn chưa xác định; ","")))</f>
        <v/>
      </c>
      <c r="V3416" s="22">
        <f>IF(OR($D3416="",$R3416="Trùng"),"",IF(COUNTIF(ORDERS!$C$2:$C$4995,$D3416)&gt;0,"Có","Không"))</f>
        <v/>
      </c>
      <c r="W3416" s="22">
        <f>IF(OR($D3416="",$R3416="Trùng"),"",COUNTIFS(ORDERS!$C$2:$C$4995,$D3416,ORDERS!$L$2:$L$4995,"Đã chuyển khoản"))</f>
        <v/>
      </c>
      <c r="X3416" s="23">
        <f>IF(OR($D3416="",$R3416="Trùng"),"",SUMIFS(ORDERS!$J$2:$J$4995,ORDERS!$C$2:$C$4995,$D3416,ORDERS!$L$2:$L$4995,"Đã chuyển khoản"))</f>
        <v/>
      </c>
      <c r="Y3416" s="24" t="n"/>
    </row>
    <row r="3417" ht="14.25" customHeight="1" s="40">
      <c r="A3417" s="24" t="n"/>
      <c r="B3417" s="27" t="n"/>
      <c r="C3417" s="24" t="n"/>
      <c r="D3417" s="28" t="n"/>
      <c r="E3417" s="29" t="n"/>
      <c r="F3417" s="24" t="n"/>
      <c r="G3417" s="24" t="n"/>
      <c r="H3417" s="21">
        <f>IF(ISNUMBER($B3417),INT($B3417)-WEEKDAY($B3417,2)+1,"")</f>
        <v/>
      </c>
      <c r="I3417" s="24" t="n"/>
      <c r="J3417" s="22">
        <f t="array" ref="J3417">IF($D3417="","",IF($I3417="","(trống REF)",IFERROR(INDEX(MASTER_SOURCE!$B$2:$B$495,MATCH($I3417,MASTER_SOURCE!$A$2:$A$495,0)),"(REF không có trong MASTER_SOURCE)")))</f>
        <v/>
      </c>
      <c r="K3417" s="22">
        <f t="array" ref="K3417">IF($D3417="","",IFERROR(INDEX(MASTER_SOURCE!$C$2:$C$495,MATCH($I3417,MASTER_SOURCE!$A$2:$A$495,0)),""))</f>
        <v/>
      </c>
      <c r="L3417" s="22">
        <f t="array" ref="L3417">IF($D3417="","",IFERROR(INDEX(MASTER_SOURCE!$D$2:$D$495,MATCH($I3417,MASTER_SOURCE!$A$2:$A$495,0)),""))</f>
        <v/>
      </c>
      <c r="M3417" s="24" t="n"/>
      <c r="N3417" s="24" t="n"/>
      <c r="O3417" s="24" t="n"/>
      <c r="P3417" s="24" t="n"/>
      <c r="Q3417" s="22">
        <f>IF($D3417="","",IF(AND(OR(DANH_MUC!$L$5&lt;&gt;"Có",M3417="Có"),OR(DANH_MUC!$L$6&lt;&gt;"Có",N3417="Có"),OR(DANH_MUC!$L$7&lt;&gt;"Có",O3417="Có"),OR(DANH_MUC!$L$8&lt;&gt;"Có",P3417="Có")),"Có","Không"))</f>
        <v/>
      </c>
      <c r="R3417" s="22">
        <f>IF($D3417="","",IF(COUNTIF($D$2:$D3417,$D3417)&gt;1,"Trùng",""))</f>
        <v/>
      </c>
      <c r="S3417" s="22">
        <f>IF($D3417="","",IF(AND(LEN($D3417)=10,LEFT($D3417,1)="0",ISNUMBER(--$D3417)),"Có","Không"))</f>
        <v/>
      </c>
      <c r="T3417" s="22">
        <f>IF($D3417="","",IF(AND($C3417&lt;&gt;"",$Q3417="Có",$R3417="",$S3417="Có",AND($L3417&lt;&gt;"",OR($L3417&lt;&gt;"Chưa xác định",DANH_MUC!$L$9="Có"))),"Có","Không"))</f>
        <v/>
      </c>
      <c r="U3417" s="22">
        <f>IF(OR($D3417="",$T3417="Có"),"",IF($C3417="","Thiếu họ tên; ","")&amp;IF($S3417&lt;&gt;"Có","SĐT sai định dạng; ","")&amp;IF($R3417="Trùng","Trùng SĐT; ","")&amp;IF($Q3417&lt;&gt;"Có","Thiếu đồng ý bắt buộc; ","")&amp;IF($L3417="","Thiếu/sai Mã REF; ",IF(AND($L3417="Chưa xác định",DANH_MUC!$L$9&lt;&gt;"Có"),"Nguồn chưa xác định; ","")))</f>
        <v/>
      </c>
      <c r="V3417" s="22">
        <f>IF(OR($D3417="",$R3417="Trùng"),"",IF(COUNTIF(ORDERS!$C$2:$C$4995,$D3417)&gt;0,"Có","Không"))</f>
        <v/>
      </c>
      <c r="W3417" s="22">
        <f>IF(OR($D3417="",$R3417="Trùng"),"",COUNTIFS(ORDERS!$C$2:$C$4995,$D3417,ORDERS!$L$2:$L$4995,"Đã chuyển khoản"))</f>
        <v/>
      </c>
      <c r="X3417" s="23">
        <f>IF(OR($D3417="",$R3417="Trùng"),"",SUMIFS(ORDERS!$J$2:$J$4995,ORDERS!$C$2:$C$4995,$D3417,ORDERS!$L$2:$L$4995,"Đã chuyển khoản"))</f>
        <v/>
      </c>
      <c r="Y3417" s="24" t="n"/>
    </row>
    <row r="3418" ht="14.25" customHeight="1" s="40">
      <c r="A3418" s="24" t="n"/>
      <c r="B3418" s="27" t="n"/>
      <c r="C3418" s="24" t="n"/>
      <c r="D3418" s="28" t="n"/>
      <c r="E3418" s="29" t="n"/>
      <c r="F3418" s="24" t="n"/>
      <c r="G3418" s="24" t="n"/>
      <c r="H3418" s="21">
        <f>IF(ISNUMBER($B3418),INT($B3418)-WEEKDAY($B3418,2)+1,"")</f>
        <v/>
      </c>
      <c r="I3418" s="24" t="n"/>
      <c r="J3418" s="22">
        <f t="array" ref="J3418">IF($D3418="","",IF($I3418="","(trống REF)",IFERROR(INDEX(MASTER_SOURCE!$B$2:$B$495,MATCH($I3418,MASTER_SOURCE!$A$2:$A$495,0)),"(REF không có trong MASTER_SOURCE)")))</f>
        <v/>
      </c>
      <c r="K3418" s="22">
        <f t="array" ref="K3418">IF($D3418="","",IFERROR(INDEX(MASTER_SOURCE!$C$2:$C$495,MATCH($I3418,MASTER_SOURCE!$A$2:$A$495,0)),""))</f>
        <v/>
      </c>
      <c r="L3418" s="22">
        <f t="array" ref="L3418">IF($D3418="","",IFERROR(INDEX(MASTER_SOURCE!$D$2:$D$495,MATCH($I3418,MASTER_SOURCE!$A$2:$A$495,0)),""))</f>
        <v/>
      </c>
      <c r="M3418" s="24" t="n"/>
      <c r="N3418" s="24" t="n"/>
      <c r="O3418" s="24" t="n"/>
      <c r="P3418" s="24" t="n"/>
      <c r="Q3418" s="22">
        <f>IF($D3418="","",IF(AND(OR(DANH_MUC!$L$5&lt;&gt;"Có",M3418="Có"),OR(DANH_MUC!$L$6&lt;&gt;"Có",N3418="Có"),OR(DANH_MUC!$L$7&lt;&gt;"Có",O3418="Có"),OR(DANH_MUC!$L$8&lt;&gt;"Có",P3418="Có")),"Có","Không"))</f>
        <v/>
      </c>
      <c r="R3418" s="22">
        <f>IF($D3418="","",IF(COUNTIF($D$2:$D3418,$D3418)&gt;1,"Trùng",""))</f>
        <v/>
      </c>
      <c r="S3418" s="22">
        <f>IF($D3418="","",IF(AND(LEN($D3418)=10,LEFT($D3418,1)="0",ISNUMBER(--$D3418)),"Có","Không"))</f>
        <v/>
      </c>
      <c r="T3418" s="22">
        <f>IF($D3418="","",IF(AND($C3418&lt;&gt;"",$Q3418="Có",$R3418="",$S3418="Có",AND($L3418&lt;&gt;"",OR($L3418&lt;&gt;"Chưa xác định",DANH_MUC!$L$9="Có"))),"Có","Không"))</f>
        <v/>
      </c>
      <c r="U3418" s="22">
        <f>IF(OR($D3418="",$T3418="Có"),"",IF($C3418="","Thiếu họ tên; ","")&amp;IF($S3418&lt;&gt;"Có","SĐT sai định dạng; ","")&amp;IF($R3418="Trùng","Trùng SĐT; ","")&amp;IF($Q3418&lt;&gt;"Có","Thiếu đồng ý bắt buộc; ","")&amp;IF($L3418="","Thiếu/sai Mã REF; ",IF(AND($L3418="Chưa xác định",DANH_MUC!$L$9&lt;&gt;"Có"),"Nguồn chưa xác định; ","")))</f>
        <v/>
      </c>
      <c r="V3418" s="22">
        <f>IF(OR($D3418="",$R3418="Trùng"),"",IF(COUNTIF(ORDERS!$C$2:$C$4995,$D3418)&gt;0,"Có","Không"))</f>
        <v/>
      </c>
      <c r="W3418" s="22">
        <f>IF(OR($D3418="",$R3418="Trùng"),"",COUNTIFS(ORDERS!$C$2:$C$4995,$D3418,ORDERS!$L$2:$L$4995,"Đã chuyển khoản"))</f>
        <v/>
      </c>
      <c r="X3418" s="23">
        <f>IF(OR($D3418="",$R3418="Trùng"),"",SUMIFS(ORDERS!$J$2:$J$4995,ORDERS!$C$2:$C$4995,$D3418,ORDERS!$L$2:$L$4995,"Đã chuyển khoản"))</f>
        <v/>
      </c>
      <c r="Y3418" s="24" t="n"/>
    </row>
    <row r="3419" ht="14.25" customHeight="1" s="40">
      <c r="A3419" s="24" t="n"/>
      <c r="B3419" s="27" t="n"/>
      <c r="C3419" s="24" t="n"/>
      <c r="D3419" s="28" t="n"/>
      <c r="E3419" s="29" t="n"/>
      <c r="F3419" s="24" t="n"/>
      <c r="G3419" s="24" t="n"/>
      <c r="H3419" s="21">
        <f>IF(ISNUMBER($B3419),INT($B3419)-WEEKDAY($B3419,2)+1,"")</f>
        <v/>
      </c>
      <c r="I3419" s="24" t="n"/>
      <c r="J3419" s="22">
        <f t="array" ref="J3419">IF($D3419="","",IF($I3419="","(trống REF)",IFERROR(INDEX(MASTER_SOURCE!$B$2:$B$495,MATCH($I3419,MASTER_SOURCE!$A$2:$A$495,0)),"(REF không có trong MASTER_SOURCE)")))</f>
        <v/>
      </c>
      <c r="K3419" s="22">
        <f t="array" ref="K3419">IF($D3419="","",IFERROR(INDEX(MASTER_SOURCE!$C$2:$C$495,MATCH($I3419,MASTER_SOURCE!$A$2:$A$495,0)),""))</f>
        <v/>
      </c>
      <c r="L3419" s="22">
        <f t="array" ref="L3419">IF($D3419="","",IFERROR(INDEX(MASTER_SOURCE!$D$2:$D$495,MATCH($I3419,MASTER_SOURCE!$A$2:$A$495,0)),""))</f>
        <v/>
      </c>
      <c r="M3419" s="24" t="n"/>
      <c r="N3419" s="24" t="n"/>
      <c r="O3419" s="24" t="n"/>
      <c r="P3419" s="24" t="n"/>
      <c r="Q3419" s="22">
        <f>IF($D3419="","",IF(AND(OR(DANH_MUC!$L$5&lt;&gt;"Có",M3419="Có"),OR(DANH_MUC!$L$6&lt;&gt;"Có",N3419="Có"),OR(DANH_MUC!$L$7&lt;&gt;"Có",O3419="Có"),OR(DANH_MUC!$L$8&lt;&gt;"Có",P3419="Có")),"Có","Không"))</f>
        <v/>
      </c>
      <c r="R3419" s="22">
        <f>IF($D3419="","",IF(COUNTIF($D$2:$D3419,$D3419)&gt;1,"Trùng",""))</f>
        <v/>
      </c>
      <c r="S3419" s="22">
        <f>IF($D3419="","",IF(AND(LEN($D3419)=10,LEFT($D3419,1)="0",ISNUMBER(--$D3419)),"Có","Không"))</f>
        <v/>
      </c>
      <c r="T3419" s="22">
        <f>IF($D3419="","",IF(AND($C3419&lt;&gt;"",$Q3419="Có",$R3419="",$S3419="Có",AND($L3419&lt;&gt;"",OR($L3419&lt;&gt;"Chưa xác định",DANH_MUC!$L$9="Có"))),"Có","Không"))</f>
        <v/>
      </c>
      <c r="U3419" s="22">
        <f>IF(OR($D3419="",$T3419="Có"),"",IF($C3419="","Thiếu họ tên; ","")&amp;IF($S3419&lt;&gt;"Có","SĐT sai định dạng; ","")&amp;IF($R3419="Trùng","Trùng SĐT; ","")&amp;IF($Q3419&lt;&gt;"Có","Thiếu đồng ý bắt buộc; ","")&amp;IF($L3419="","Thiếu/sai Mã REF; ",IF(AND($L3419="Chưa xác định",DANH_MUC!$L$9&lt;&gt;"Có"),"Nguồn chưa xác định; ","")))</f>
        <v/>
      </c>
      <c r="V3419" s="22">
        <f>IF(OR($D3419="",$R3419="Trùng"),"",IF(COUNTIF(ORDERS!$C$2:$C$4995,$D3419)&gt;0,"Có","Không"))</f>
        <v/>
      </c>
      <c r="W3419" s="22">
        <f>IF(OR($D3419="",$R3419="Trùng"),"",COUNTIFS(ORDERS!$C$2:$C$4995,$D3419,ORDERS!$L$2:$L$4995,"Đã chuyển khoản"))</f>
        <v/>
      </c>
      <c r="X3419" s="23">
        <f>IF(OR($D3419="",$R3419="Trùng"),"",SUMIFS(ORDERS!$J$2:$J$4995,ORDERS!$C$2:$C$4995,$D3419,ORDERS!$L$2:$L$4995,"Đã chuyển khoản"))</f>
        <v/>
      </c>
      <c r="Y3419" s="24" t="n"/>
    </row>
    <row r="3420" ht="14.25" customHeight="1" s="40">
      <c r="A3420" s="24" t="n"/>
      <c r="B3420" s="27" t="n"/>
      <c r="C3420" s="24" t="n"/>
      <c r="D3420" s="28" t="n"/>
      <c r="E3420" s="29" t="n"/>
      <c r="F3420" s="24" t="n"/>
      <c r="G3420" s="24" t="n"/>
      <c r="H3420" s="21">
        <f>IF(ISNUMBER($B3420),INT($B3420)-WEEKDAY($B3420,2)+1,"")</f>
        <v/>
      </c>
      <c r="I3420" s="24" t="n"/>
      <c r="J3420" s="22">
        <f t="array" ref="J3420">IF($D3420="","",IF($I3420="","(trống REF)",IFERROR(INDEX(MASTER_SOURCE!$B$2:$B$495,MATCH($I3420,MASTER_SOURCE!$A$2:$A$495,0)),"(REF không có trong MASTER_SOURCE)")))</f>
        <v/>
      </c>
      <c r="K3420" s="22">
        <f t="array" ref="K3420">IF($D3420="","",IFERROR(INDEX(MASTER_SOURCE!$C$2:$C$495,MATCH($I3420,MASTER_SOURCE!$A$2:$A$495,0)),""))</f>
        <v/>
      </c>
      <c r="L3420" s="22">
        <f t="array" ref="L3420">IF($D3420="","",IFERROR(INDEX(MASTER_SOURCE!$D$2:$D$495,MATCH($I3420,MASTER_SOURCE!$A$2:$A$495,0)),""))</f>
        <v/>
      </c>
      <c r="M3420" s="24" t="n"/>
      <c r="N3420" s="24" t="n"/>
      <c r="O3420" s="24" t="n"/>
      <c r="P3420" s="24" t="n"/>
      <c r="Q3420" s="22">
        <f>IF($D3420="","",IF(AND(OR(DANH_MUC!$L$5&lt;&gt;"Có",M3420="Có"),OR(DANH_MUC!$L$6&lt;&gt;"Có",N3420="Có"),OR(DANH_MUC!$L$7&lt;&gt;"Có",O3420="Có"),OR(DANH_MUC!$L$8&lt;&gt;"Có",P3420="Có")),"Có","Không"))</f>
        <v/>
      </c>
      <c r="R3420" s="22">
        <f>IF($D3420="","",IF(COUNTIF($D$2:$D3420,$D3420)&gt;1,"Trùng",""))</f>
        <v/>
      </c>
      <c r="S3420" s="22">
        <f>IF($D3420="","",IF(AND(LEN($D3420)=10,LEFT($D3420,1)="0",ISNUMBER(--$D3420)),"Có","Không"))</f>
        <v/>
      </c>
      <c r="T3420" s="22">
        <f>IF($D3420="","",IF(AND($C3420&lt;&gt;"",$Q3420="Có",$R3420="",$S3420="Có",AND($L3420&lt;&gt;"",OR($L3420&lt;&gt;"Chưa xác định",DANH_MUC!$L$9="Có"))),"Có","Không"))</f>
        <v/>
      </c>
      <c r="U3420" s="22">
        <f>IF(OR($D3420="",$T3420="Có"),"",IF($C3420="","Thiếu họ tên; ","")&amp;IF($S3420&lt;&gt;"Có","SĐT sai định dạng; ","")&amp;IF($R3420="Trùng","Trùng SĐT; ","")&amp;IF($Q3420&lt;&gt;"Có","Thiếu đồng ý bắt buộc; ","")&amp;IF($L3420="","Thiếu/sai Mã REF; ",IF(AND($L3420="Chưa xác định",DANH_MUC!$L$9&lt;&gt;"Có"),"Nguồn chưa xác định; ","")))</f>
        <v/>
      </c>
      <c r="V3420" s="22">
        <f>IF(OR($D3420="",$R3420="Trùng"),"",IF(COUNTIF(ORDERS!$C$2:$C$4995,$D3420)&gt;0,"Có","Không"))</f>
        <v/>
      </c>
      <c r="W3420" s="22">
        <f>IF(OR($D3420="",$R3420="Trùng"),"",COUNTIFS(ORDERS!$C$2:$C$4995,$D3420,ORDERS!$L$2:$L$4995,"Đã chuyển khoản"))</f>
        <v/>
      </c>
      <c r="X3420" s="23">
        <f>IF(OR($D3420="",$R3420="Trùng"),"",SUMIFS(ORDERS!$J$2:$J$4995,ORDERS!$C$2:$C$4995,$D3420,ORDERS!$L$2:$L$4995,"Đã chuyển khoản"))</f>
        <v/>
      </c>
      <c r="Y3420" s="24" t="n"/>
    </row>
    <row r="3421" ht="14.25" customHeight="1" s="40">
      <c r="A3421" s="24" t="n"/>
      <c r="B3421" s="27" t="n"/>
      <c r="C3421" s="24" t="n"/>
      <c r="D3421" s="28" t="n"/>
      <c r="E3421" s="29" t="n"/>
      <c r="F3421" s="24" t="n"/>
      <c r="G3421" s="24" t="n"/>
      <c r="H3421" s="21">
        <f>IF(ISNUMBER($B3421),INT($B3421)-WEEKDAY($B3421,2)+1,"")</f>
        <v/>
      </c>
      <c r="I3421" s="24" t="n"/>
      <c r="J3421" s="22">
        <f t="array" ref="J3421">IF($D3421="","",IF($I3421="","(trống REF)",IFERROR(INDEX(MASTER_SOURCE!$B$2:$B$495,MATCH($I3421,MASTER_SOURCE!$A$2:$A$495,0)),"(REF không có trong MASTER_SOURCE)")))</f>
        <v/>
      </c>
      <c r="K3421" s="22">
        <f t="array" ref="K3421">IF($D3421="","",IFERROR(INDEX(MASTER_SOURCE!$C$2:$C$495,MATCH($I3421,MASTER_SOURCE!$A$2:$A$495,0)),""))</f>
        <v/>
      </c>
      <c r="L3421" s="22">
        <f t="array" ref="L3421">IF($D3421="","",IFERROR(INDEX(MASTER_SOURCE!$D$2:$D$495,MATCH($I3421,MASTER_SOURCE!$A$2:$A$495,0)),""))</f>
        <v/>
      </c>
      <c r="M3421" s="24" t="n"/>
      <c r="N3421" s="24" t="n"/>
      <c r="O3421" s="24" t="n"/>
      <c r="P3421" s="24" t="n"/>
      <c r="Q3421" s="22">
        <f>IF($D3421="","",IF(AND(OR(DANH_MUC!$L$5&lt;&gt;"Có",M3421="Có"),OR(DANH_MUC!$L$6&lt;&gt;"Có",N3421="Có"),OR(DANH_MUC!$L$7&lt;&gt;"Có",O3421="Có"),OR(DANH_MUC!$L$8&lt;&gt;"Có",P3421="Có")),"Có","Không"))</f>
        <v/>
      </c>
      <c r="R3421" s="22">
        <f>IF($D3421="","",IF(COUNTIF($D$2:$D3421,$D3421)&gt;1,"Trùng",""))</f>
        <v/>
      </c>
      <c r="S3421" s="22">
        <f>IF($D3421="","",IF(AND(LEN($D3421)=10,LEFT($D3421,1)="0",ISNUMBER(--$D3421)),"Có","Không"))</f>
        <v/>
      </c>
      <c r="T3421" s="22">
        <f>IF($D3421="","",IF(AND($C3421&lt;&gt;"",$Q3421="Có",$R3421="",$S3421="Có",AND($L3421&lt;&gt;"",OR($L3421&lt;&gt;"Chưa xác định",DANH_MUC!$L$9="Có"))),"Có","Không"))</f>
        <v/>
      </c>
      <c r="U3421" s="22">
        <f>IF(OR($D3421="",$T3421="Có"),"",IF($C3421="","Thiếu họ tên; ","")&amp;IF($S3421&lt;&gt;"Có","SĐT sai định dạng; ","")&amp;IF($R3421="Trùng","Trùng SĐT; ","")&amp;IF($Q3421&lt;&gt;"Có","Thiếu đồng ý bắt buộc; ","")&amp;IF($L3421="","Thiếu/sai Mã REF; ",IF(AND($L3421="Chưa xác định",DANH_MUC!$L$9&lt;&gt;"Có"),"Nguồn chưa xác định; ","")))</f>
        <v/>
      </c>
      <c r="V3421" s="22">
        <f>IF(OR($D3421="",$R3421="Trùng"),"",IF(COUNTIF(ORDERS!$C$2:$C$4995,$D3421)&gt;0,"Có","Không"))</f>
        <v/>
      </c>
      <c r="W3421" s="22">
        <f>IF(OR($D3421="",$R3421="Trùng"),"",COUNTIFS(ORDERS!$C$2:$C$4995,$D3421,ORDERS!$L$2:$L$4995,"Đã chuyển khoản"))</f>
        <v/>
      </c>
      <c r="X3421" s="23">
        <f>IF(OR($D3421="",$R3421="Trùng"),"",SUMIFS(ORDERS!$J$2:$J$4995,ORDERS!$C$2:$C$4995,$D3421,ORDERS!$L$2:$L$4995,"Đã chuyển khoản"))</f>
        <v/>
      </c>
      <c r="Y3421" s="24" t="n"/>
    </row>
    <row r="3422" ht="14.25" customHeight="1" s="40">
      <c r="A3422" s="24" t="n"/>
      <c r="B3422" s="27" t="n"/>
      <c r="C3422" s="24" t="n"/>
      <c r="D3422" s="28" t="n"/>
      <c r="E3422" s="29" t="n"/>
      <c r="F3422" s="24" t="n"/>
      <c r="G3422" s="24" t="n"/>
      <c r="H3422" s="21">
        <f>IF(ISNUMBER($B3422),INT($B3422)-WEEKDAY($B3422,2)+1,"")</f>
        <v/>
      </c>
      <c r="I3422" s="24" t="n"/>
      <c r="J3422" s="22">
        <f t="array" ref="J3422">IF($D3422="","",IF($I3422="","(trống REF)",IFERROR(INDEX(MASTER_SOURCE!$B$2:$B$495,MATCH($I3422,MASTER_SOURCE!$A$2:$A$495,0)),"(REF không có trong MASTER_SOURCE)")))</f>
        <v/>
      </c>
      <c r="K3422" s="22">
        <f t="array" ref="K3422">IF($D3422="","",IFERROR(INDEX(MASTER_SOURCE!$C$2:$C$495,MATCH($I3422,MASTER_SOURCE!$A$2:$A$495,0)),""))</f>
        <v/>
      </c>
      <c r="L3422" s="22">
        <f t="array" ref="L3422">IF($D3422="","",IFERROR(INDEX(MASTER_SOURCE!$D$2:$D$495,MATCH($I3422,MASTER_SOURCE!$A$2:$A$495,0)),""))</f>
        <v/>
      </c>
      <c r="M3422" s="24" t="n"/>
      <c r="N3422" s="24" t="n"/>
      <c r="O3422" s="24" t="n"/>
      <c r="P3422" s="24" t="n"/>
      <c r="Q3422" s="22">
        <f>IF($D3422="","",IF(AND(OR(DANH_MUC!$L$5&lt;&gt;"Có",M3422="Có"),OR(DANH_MUC!$L$6&lt;&gt;"Có",N3422="Có"),OR(DANH_MUC!$L$7&lt;&gt;"Có",O3422="Có"),OR(DANH_MUC!$L$8&lt;&gt;"Có",P3422="Có")),"Có","Không"))</f>
        <v/>
      </c>
      <c r="R3422" s="22">
        <f>IF($D3422="","",IF(COUNTIF($D$2:$D3422,$D3422)&gt;1,"Trùng",""))</f>
        <v/>
      </c>
      <c r="S3422" s="22">
        <f>IF($D3422="","",IF(AND(LEN($D3422)=10,LEFT($D3422,1)="0",ISNUMBER(--$D3422)),"Có","Không"))</f>
        <v/>
      </c>
      <c r="T3422" s="22">
        <f>IF($D3422="","",IF(AND($C3422&lt;&gt;"",$Q3422="Có",$R3422="",$S3422="Có",AND($L3422&lt;&gt;"",OR($L3422&lt;&gt;"Chưa xác định",DANH_MUC!$L$9="Có"))),"Có","Không"))</f>
        <v/>
      </c>
      <c r="U3422" s="22">
        <f>IF(OR($D3422="",$T3422="Có"),"",IF($C3422="","Thiếu họ tên; ","")&amp;IF($S3422&lt;&gt;"Có","SĐT sai định dạng; ","")&amp;IF($R3422="Trùng","Trùng SĐT; ","")&amp;IF($Q3422&lt;&gt;"Có","Thiếu đồng ý bắt buộc; ","")&amp;IF($L3422="","Thiếu/sai Mã REF; ",IF(AND($L3422="Chưa xác định",DANH_MUC!$L$9&lt;&gt;"Có"),"Nguồn chưa xác định; ","")))</f>
        <v/>
      </c>
      <c r="V3422" s="22">
        <f>IF(OR($D3422="",$R3422="Trùng"),"",IF(COUNTIF(ORDERS!$C$2:$C$4995,$D3422)&gt;0,"Có","Không"))</f>
        <v/>
      </c>
      <c r="W3422" s="22">
        <f>IF(OR($D3422="",$R3422="Trùng"),"",COUNTIFS(ORDERS!$C$2:$C$4995,$D3422,ORDERS!$L$2:$L$4995,"Đã chuyển khoản"))</f>
        <v/>
      </c>
      <c r="X3422" s="23">
        <f>IF(OR($D3422="",$R3422="Trùng"),"",SUMIFS(ORDERS!$J$2:$J$4995,ORDERS!$C$2:$C$4995,$D3422,ORDERS!$L$2:$L$4995,"Đã chuyển khoản"))</f>
        <v/>
      </c>
      <c r="Y3422" s="24" t="n"/>
    </row>
    <row r="3423" ht="14.25" customHeight="1" s="40">
      <c r="A3423" s="24" t="n"/>
      <c r="B3423" s="27" t="n"/>
      <c r="C3423" s="24" t="n"/>
      <c r="D3423" s="28" t="n"/>
      <c r="E3423" s="29" t="n"/>
      <c r="F3423" s="24" t="n"/>
      <c r="G3423" s="24" t="n"/>
      <c r="H3423" s="21">
        <f>IF(ISNUMBER($B3423),INT($B3423)-WEEKDAY($B3423,2)+1,"")</f>
        <v/>
      </c>
      <c r="I3423" s="24" t="n"/>
      <c r="J3423" s="22">
        <f t="array" ref="J3423">IF($D3423="","",IF($I3423="","(trống REF)",IFERROR(INDEX(MASTER_SOURCE!$B$2:$B$495,MATCH($I3423,MASTER_SOURCE!$A$2:$A$495,0)),"(REF không có trong MASTER_SOURCE)")))</f>
        <v/>
      </c>
      <c r="K3423" s="22">
        <f t="array" ref="K3423">IF($D3423="","",IFERROR(INDEX(MASTER_SOURCE!$C$2:$C$495,MATCH($I3423,MASTER_SOURCE!$A$2:$A$495,0)),""))</f>
        <v/>
      </c>
      <c r="L3423" s="22">
        <f t="array" ref="L3423">IF($D3423="","",IFERROR(INDEX(MASTER_SOURCE!$D$2:$D$495,MATCH($I3423,MASTER_SOURCE!$A$2:$A$495,0)),""))</f>
        <v/>
      </c>
      <c r="M3423" s="24" t="n"/>
      <c r="N3423" s="24" t="n"/>
      <c r="O3423" s="24" t="n"/>
      <c r="P3423" s="24" t="n"/>
      <c r="Q3423" s="22">
        <f>IF($D3423="","",IF(AND(OR(DANH_MUC!$L$5&lt;&gt;"Có",M3423="Có"),OR(DANH_MUC!$L$6&lt;&gt;"Có",N3423="Có"),OR(DANH_MUC!$L$7&lt;&gt;"Có",O3423="Có"),OR(DANH_MUC!$L$8&lt;&gt;"Có",P3423="Có")),"Có","Không"))</f>
        <v/>
      </c>
      <c r="R3423" s="22">
        <f>IF($D3423="","",IF(COUNTIF($D$2:$D3423,$D3423)&gt;1,"Trùng",""))</f>
        <v/>
      </c>
      <c r="S3423" s="22">
        <f>IF($D3423="","",IF(AND(LEN($D3423)=10,LEFT($D3423,1)="0",ISNUMBER(--$D3423)),"Có","Không"))</f>
        <v/>
      </c>
      <c r="T3423" s="22">
        <f>IF($D3423="","",IF(AND($C3423&lt;&gt;"",$Q3423="Có",$R3423="",$S3423="Có",AND($L3423&lt;&gt;"",OR($L3423&lt;&gt;"Chưa xác định",DANH_MUC!$L$9="Có"))),"Có","Không"))</f>
        <v/>
      </c>
      <c r="U3423" s="22">
        <f>IF(OR($D3423="",$T3423="Có"),"",IF($C3423="","Thiếu họ tên; ","")&amp;IF($S3423&lt;&gt;"Có","SĐT sai định dạng; ","")&amp;IF($R3423="Trùng","Trùng SĐT; ","")&amp;IF($Q3423&lt;&gt;"Có","Thiếu đồng ý bắt buộc; ","")&amp;IF($L3423="","Thiếu/sai Mã REF; ",IF(AND($L3423="Chưa xác định",DANH_MUC!$L$9&lt;&gt;"Có"),"Nguồn chưa xác định; ","")))</f>
        <v/>
      </c>
      <c r="V3423" s="22">
        <f>IF(OR($D3423="",$R3423="Trùng"),"",IF(COUNTIF(ORDERS!$C$2:$C$4995,$D3423)&gt;0,"Có","Không"))</f>
        <v/>
      </c>
      <c r="W3423" s="22">
        <f>IF(OR($D3423="",$R3423="Trùng"),"",COUNTIFS(ORDERS!$C$2:$C$4995,$D3423,ORDERS!$L$2:$L$4995,"Đã chuyển khoản"))</f>
        <v/>
      </c>
      <c r="X3423" s="23">
        <f>IF(OR($D3423="",$R3423="Trùng"),"",SUMIFS(ORDERS!$J$2:$J$4995,ORDERS!$C$2:$C$4995,$D3423,ORDERS!$L$2:$L$4995,"Đã chuyển khoản"))</f>
        <v/>
      </c>
      <c r="Y3423" s="24" t="n"/>
    </row>
    <row r="3424" ht="14.25" customHeight="1" s="40">
      <c r="A3424" s="24" t="n"/>
      <c r="B3424" s="27" t="n"/>
      <c r="C3424" s="24" t="n"/>
      <c r="D3424" s="28" t="n"/>
      <c r="E3424" s="29" t="n"/>
      <c r="F3424" s="24" t="n"/>
      <c r="G3424" s="24" t="n"/>
      <c r="H3424" s="21">
        <f>IF(ISNUMBER($B3424),INT($B3424)-WEEKDAY($B3424,2)+1,"")</f>
        <v/>
      </c>
      <c r="I3424" s="24" t="n"/>
      <c r="J3424" s="22">
        <f t="array" ref="J3424">IF($D3424="","",IF($I3424="","(trống REF)",IFERROR(INDEX(MASTER_SOURCE!$B$2:$B$495,MATCH($I3424,MASTER_SOURCE!$A$2:$A$495,0)),"(REF không có trong MASTER_SOURCE)")))</f>
        <v/>
      </c>
      <c r="K3424" s="22">
        <f t="array" ref="K3424">IF($D3424="","",IFERROR(INDEX(MASTER_SOURCE!$C$2:$C$495,MATCH($I3424,MASTER_SOURCE!$A$2:$A$495,0)),""))</f>
        <v/>
      </c>
      <c r="L3424" s="22">
        <f t="array" ref="L3424">IF($D3424="","",IFERROR(INDEX(MASTER_SOURCE!$D$2:$D$495,MATCH($I3424,MASTER_SOURCE!$A$2:$A$495,0)),""))</f>
        <v/>
      </c>
      <c r="M3424" s="24" t="n"/>
      <c r="N3424" s="24" t="n"/>
      <c r="O3424" s="24" t="n"/>
      <c r="P3424" s="24" t="n"/>
      <c r="Q3424" s="22">
        <f>IF($D3424="","",IF(AND(OR(DANH_MUC!$L$5&lt;&gt;"Có",M3424="Có"),OR(DANH_MUC!$L$6&lt;&gt;"Có",N3424="Có"),OR(DANH_MUC!$L$7&lt;&gt;"Có",O3424="Có"),OR(DANH_MUC!$L$8&lt;&gt;"Có",P3424="Có")),"Có","Không"))</f>
        <v/>
      </c>
      <c r="R3424" s="22">
        <f>IF($D3424="","",IF(COUNTIF($D$2:$D3424,$D3424)&gt;1,"Trùng",""))</f>
        <v/>
      </c>
      <c r="S3424" s="22">
        <f>IF($D3424="","",IF(AND(LEN($D3424)=10,LEFT($D3424,1)="0",ISNUMBER(--$D3424)),"Có","Không"))</f>
        <v/>
      </c>
      <c r="T3424" s="22">
        <f>IF($D3424="","",IF(AND($C3424&lt;&gt;"",$Q3424="Có",$R3424="",$S3424="Có",AND($L3424&lt;&gt;"",OR($L3424&lt;&gt;"Chưa xác định",DANH_MUC!$L$9="Có"))),"Có","Không"))</f>
        <v/>
      </c>
      <c r="U3424" s="22">
        <f>IF(OR($D3424="",$T3424="Có"),"",IF($C3424="","Thiếu họ tên; ","")&amp;IF($S3424&lt;&gt;"Có","SĐT sai định dạng; ","")&amp;IF($R3424="Trùng","Trùng SĐT; ","")&amp;IF($Q3424&lt;&gt;"Có","Thiếu đồng ý bắt buộc; ","")&amp;IF($L3424="","Thiếu/sai Mã REF; ",IF(AND($L3424="Chưa xác định",DANH_MUC!$L$9&lt;&gt;"Có"),"Nguồn chưa xác định; ","")))</f>
        <v/>
      </c>
      <c r="V3424" s="22">
        <f>IF(OR($D3424="",$R3424="Trùng"),"",IF(COUNTIF(ORDERS!$C$2:$C$4995,$D3424)&gt;0,"Có","Không"))</f>
        <v/>
      </c>
      <c r="W3424" s="22">
        <f>IF(OR($D3424="",$R3424="Trùng"),"",COUNTIFS(ORDERS!$C$2:$C$4995,$D3424,ORDERS!$L$2:$L$4995,"Đã chuyển khoản"))</f>
        <v/>
      </c>
      <c r="X3424" s="23">
        <f>IF(OR($D3424="",$R3424="Trùng"),"",SUMIFS(ORDERS!$J$2:$J$4995,ORDERS!$C$2:$C$4995,$D3424,ORDERS!$L$2:$L$4995,"Đã chuyển khoản"))</f>
        <v/>
      </c>
      <c r="Y3424" s="24" t="n"/>
    </row>
    <row r="3425" ht="14.25" customHeight="1" s="40">
      <c r="A3425" s="24" t="n"/>
      <c r="B3425" s="27" t="n"/>
      <c r="C3425" s="24" t="n"/>
      <c r="D3425" s="28" t="n"/>
      <c r="E3425" s="29" t="n"/>
      <c r="F3425" s="24" t="n"/>
      <c r="G3425" s="24" t="n"/>
      <c r="H3425" s="21">
        <f>IF(ISNUMBER($B3425),INT($B3425)-WEEKDAY($B3425,2)+1,"")</f>
        <v/>
      </c>
      <c r="I3425" s="24" t="n"/>
      <c r="J3425" s="22">
        <f t="array" ref="J3425">IF($D3425="","",IF($I3425="","(trống REF)",IFERROR(INDEX(MASTER_SOURCE!$B$2:$B$495,MATCH($I3425,MASTER_SOURCE!$A$2:$A$495,0)),"(REF không có trong MASTER_SOURCE)")))</f>
        <v/>
      </c>
      <c r="K3425" s="22">
        <f t="array" ref="K3425">IF($D3425="","",IFERROR(INDEX(MASTER_SOURCE!$C$2:$C$495,MATCH($I3425,MASTER_SOURCE!$A$2:$A$495,0)),""))</f>
        <v/>
      </c>
      <c r="L3425" s="22">
        <f t="array" ref="L3425">IF($D3425="","",IFERROR(INDEX(MASTER_SOURCE!$D$2:$D$495,MATCH($I3425,MASTER_SOURCE!$A$2:$A$495,0)),""))</f>
        <v/>
      </c>
      <c r="M3425" s="24" t="n"/>
      <c r="N3425" s="24" t="n"/>
      <c r="O3425" s="24" t="n"/>
      <c r="P3425" s="24" t="n"/>
      <c r="Q3425" s="22">
        <f>IF($D3425="","",IF(AND(OR(DANH_MUC!$L$5&lt;&gt;"Có",M3425="Có"),OR(DANH_MUC!$L$6&lt;&gt;"Có",N3425="Có"),OR(DANH_MUC!$L$7&lt;&gt;"Có",O3425="Có"),OR(DANH_MUC!$L$8&lt;&gt;"Có",P3425="Có")),"Có","Không"))</f>
        <v/>
      </c>
      <c r="R3425" s="22">
        <f>IF($D3425="","",IF(COUNTIF($D$2:$D3425,$D3425)&gt;1,"Trùng",""))</f>
        <v/>
      </c>
      <c r="S3425" s="22">
        <f>IF($D3425="","",IF(AND(LEN($D3425)=10,LEFT($D3425,1)="0",ISNUMBER(--$D3425)),"Có","Không"))</f>
        <v/>
      </c>
      <c r="T3425" s="22">
        <f>IF($D3425="","",IF(AND($C3425&lt;&gt;"",$Q3425="Có",$R3425="",$S3425="Có",AND($L3425&lt;&gt;"",OR($L3425&lt;&gt;"Chưa xác định",DANH_MUC!$L$9="Có"))),"Có","Không"))</f>
        <v/>
      </c>
      <c r="U3425" s="22">
        <f>IF(OR($D3425="",$T3425="Có"),"",IF($C3425="","Thiếu họ tên; ","")&amp;IF($S3425&lt;&gt;"Có","SĐT sai định dạng; ","")&amp;IF($R3425="Trùng","Trùng SĐT; ","")&amp;IF($Q3425&lt;&gt;"Có","Thiếu đồng ý bắt buộc; ","")&amp;IF($L3425="","Thiếu/sai Mã REF; ",IF(AND($L3425="Chưa xác định",DANH_MUC!$L$9&lt;&gt;"Có"),"Nguồn chưa xác định; ","")))</f>
        <v/>
      </c>
      <c r="V3425" s="22">
        <f>IF(OR($D3425="",$R3425="Trùng"),"",IF(COUNTIF(ORDERS!$C$2:$C$4995,$D3425)&gt;0,"Có","Không"))</f>
        <v/>
      </c>
      <c r="W3425" s="22">
        <f>IF(OR($D3425="",$R3425="Trùng"),"",COUNTIFS(ORDERS!$C$2:$C$4995,$D3425,ORDERS!$L$2:$L$4995,"Đã chuyển khoản"))</f>
        <v/>
      </c>
      <c r="X3425" s="23">
        <f>IF(OR($D3425="",$R3425="Trùng"),"",SUMIFS(ORDERS!$J$2:$J$4995,ORDERS!$C$2:$C$4995,$D3425,ORDERS!$L$2:$L$4995,"Đã chuyển khoản"))</f>
        <v/>
      </c>
      <c r="Y3425" s="24" t="n"/>
    </row>
    <row r="3426" ht="14.25" customHeight="1" s="40">
      <c r="A3426" s="24" t="n"/>
      <c r="B3426" s="27" t="n"/>
      <c r="C3426" s="24" t="n"/>
      <c r="D3426" s="28" t="n"/>
      <c r="E3426" s="29" t="n"/>
      <c r="F3426" s="24" t="n"/>
      <c r="G3426" s="24" t="n"/>
      <c r="H3426" s="21">
        <f>IF(ISNUMBER($B3426),INT($B3426)-WEEKDAY($B3426,2)+1,"")</f>
        <v/>
      </c>
      <c r="I3426" s="24" t="n"/>
      <c r="J3426" s="22">
        <f t="array" ref="J3426">IF($D3426="","",IF($I3426="","(trống REF)",IFERROR(INDEX(MASTER_SOURCE!$B$2:$B$495,MATCH($I3426,MASTER_SOURCE!$A$2:$A$495,0)),"(REF không có trong MASTER_SOURCE)")))</f>
        <v/>
      </c>
      <c r="K3426" s="22">
        <f t="array" ref="K3426">IF($D3426="","",IFERROR(INDEX(MASTER_SOURCE!$C$2:$C$495,MATCH($I3426,MASTER_SOURCE!$A$2:$A$495,0)),""))</f>
        <v/>
      </c>
      <c r="L3426" s="22">
        <f t="array" ref="L3426">IF($D3426="","",IFERROR(INDEX(MASTER_SOURCE!$D$2:$D$495,MATCH($I3426,MASTER_SOURCE!$A$2:$A$495,0)),""))</f>
        <v/>
      </c>
      <c r="M3426" s="24" t="n"/>
      <c r="N3426" s="24" t="n"/>
      <c r="O3426" s="24" t="n"/>
      <c r="P3426" s="24" t="n"/>
      <c r="Q3426" s="22">
        <f>IF($D3426="","",IF(AND(OR(DANH_MUC!$L$5&lt;&gt;"Có",M3426="Có"),OR(DANH_MUC!$L$6&lt;&gt;"Có",N3426="Có"),OR(DANH_MUC!$L$7&lt;&gt;"Có",O3426="Có"),OR(DANH_MUC!$L$8&lt;&gt;"Có",P3426="Có")),"Có","Không"))</f>
        <v/>
      </c>
      <c r="R3426" s="22">
        <f>IF($D3426="","",IF(COUNTIF($D$2:$D3426,$D3426)&gt;1,"Trùng",""))</f>
        <v/>
      </c>
      <c r="S3426" s="22">
        <f>IF($D3426="","",IF(AND(LEN($D3426)=10,LEFT($D3426,1)="0",ISNUMBER(--$D3426)),"Có","Không"))</f>
        <v/>
      </c>
      <c r="T3426" s="22">
        <f>IF($D3426="","",IF(AND($C3426&lt;&gt;"",$Q3426="Có",$R3426="",$S3426="Có",AND($L3426&lt;&gt;"",OR($L3426&lt;&gt;"Chưa xác định",DANH_MUC!$L$9="Có"))),"Có","Không"))</f>
        <v/>
      </c>
      <c r="U3426" s="22">
        <f>IF(OR($D3426="",$T3426="Có"),"",IF($C3426="","Thiếu họ tên; ","")&amp;IF($S3426&lt;&gt;"Có","SĐT sai định dạng; ","")&amp;IF($R3426="Trùng","Trùng SĐT; ","")&amp;IF($Q3426&lt;&gt;"Có","Thiếu đồng ý bắt buộc; ","")&amp;IF($L3426="","Thiếu/sai Mã REF; ",IF(AND($L3426="Chưa xác định",DANH_MUC!$L$9&lt;&gt;"Có"),"Nguồn chưa xác định; ","")))</f>
        <v/>
      </c>
      <c r="V3426" s="22">
        <f>IF(OR($D3426="",$R3426="Trùng"),"",IF(COUNTIF(ORDERS!$C$2:$C$4995,$D3426)&gt;0,"Có","Không"))</f>
        <v/>
      </c>
      <c r="W3426" s="22">
        <f>IF(OR($D3426="",$R3426="Trùng"),"",COUNTIFS(ORDERS!$C$2:$C$4995,$D3426,ORDERS!$L$2:$L$4995,"Đã chuyển khoản"))</f>
        <v/>
      </c>
      <c r="X3426" s="23">
        <f>IF(OR($D3426="",$R3426="Trùng"),"",SUMIFS(ORDERS!$J$2:$J$4995,ORDERS!$C$2:$C$4995,$D3426,ORDERS!$L$2:$L$4995,"Đã chuyển khoản"))</f>
        <v/>
      </c>
      <c r="Y3426" s="24" t="n"/>
    </row>
    <row r="3427" ht="14.25" customHeight="1" s="40">
      <c r="A3427" s="24" t="n"/>
      <c r="B3427" s="27" t="n"/>
      <c r="C3427" s="24" t="n"/>
      <c r="D3427" s="28" t="n"/>
      <c r="E3427" s="29" t="n"/>
      <c r="F3427" s="24" t="n"/>
      <c r="G3427" s="24" t="n"/>
      <c r="H3427" s="21">
        <f>IF(ISNUMBER($B3427),INT($B3427)-WEEKDAY($B3427,2)+1,"")</f>
        <v/>
      </c>
      <c r="I3427" s="24" t="n"/>
      <c r="J3427" s="22">
        <f t="array" ref="J3427">IF($D3427="","",IF($I3427="","(trống REF)",IFERROR(INDEX(MASTER_SOURCE!$B$2:$B$495,MATCH($I3427,MASTER_SOURCE!$A$2:$A$495,0)),"(REF không có trong MASTER_SOURCE)")))</f>
        <v/>
      </c>
      <c r="K3427" s="22">
        <f t="array" ref="K3427">IF($D3427="","",IFERROR(INDEX(MASTER_SOURCE!$C$2:$C$495,MATCH($I3427,MASTER_SOURCE!$A$2:$A$495,0)),""))</f>
        <v/>
      </c>
      <c r="L3427" s="22">
        <f t="array" ref="L3427">IF($D3427="","",IFERROR(INDEX(MASTER_SOURCE!$D$2:$D$495,MATCH($I3427,MASTER_SOURCE!$A$2:$A$495,0)),""))</f>
        <v/>
      </c>
      <c r="M3427" s="24" t="n"/>
      <c r="N3427" s="24" t="n"/>
      <c r="O3427" s="24" t="n"/>
      <c r="P3427" s="24" t="n"/>
      <c r="Q3427" s="22">
        <f>IF($D3427="","",IF(AND(OR(DANH_MUC!$L$5&lt;&gt;"Có",M3427="Có"),OR(DANH_MUC!$L$6&lt;&gt;"Có",N3427="Có"),OR(DANH_MUC!$L$7&lt;&gt;"Có",O3427="Có"),OR(DANH_MUC!$L$8&lt;&gt;"Có",P3427="Có")),"Có","Không"))</f>
        <v/>
      </c>
      <c r="R3427" s="22">
        <f>IF($D3427="","",IF(COUNTIF($D$2:$D3427,$D3427)&gt;1,"Trùng",""))</f>
        <v/>
      </c>
      <c r="S3427" s="22">
        <f>IF($D3427="","",IF(AND(LEN($D3427)=10,LEFT($D3427,1)="0",ISNUMBER(--$D3427)),"Có","Không"))</f>
        <v/>
      </c>
      <c r="T3427" s="22">
        <f>IF($D3427="","",IF(AND($C3427&lt;&gt;"",$Q3427="Có",$R3427="",$S3427="Có",AND($L3427&lt;&gt;"",OR($L3427&lt;&gt;"Chưa xác định",DANH_MUC!$L$9="Có"))),"Có","Không"))</f>
        <v/>
      </c>
      <c r="U3427" s="22">
        <f>IF(OR($D3427="",$T3427="Có"),"",IF($C3427="","Thiếu họ tên; ","")&amp;IF($S3427&lt;&gt;"Có","SĐT sai định dạng; ","")&amp;IF($R3427="Trùng","Trùng SĐT; ","")&amp;IF($Q3427&lt;&gt;"Có","Thiếu đồng ý bắt buộc; ","")&amp;IF($L3427="","Thiếu/sai Mã REF; ",IF(AND($L3427="Chưa xác định",DANH_MUC!$L$9&lt;&gt;"Có"),"Nguồn chưa xác định; ","")))</f>
        <v/>
      </c>
      <c r="V3427" s="22">
        <f>IF(OR($D3427="",$R3427="Trùng"),"",IF(COUNTIF(ORDERS!$C$2:$C$4995,$D3427)&gt;0,"Có","Không"))</f>
        <v/>
      </c>
      <c r="W3427" s="22">
        <f>IF(OR($D3427="",$R3427="Trùng"),"",COUNTIFS(ORDERS!$C$2:$C$4995,$D3427,ORDERS!$L$2:$L$4995,"Đã chuyển khoản"))</f>
        <v/>
      </c>
      <c r="X3427" s="23">
        <f>IF(OR($D3427="",$R3427="Trùng"),"",SUMIFS(ORDERS!$J$2:$J$4995,ORDERS!$C$2:$C$4995,$D3427,ORDERS!$L$2:$L$4995,"Đã chuyển khoản"))</f>
        <v/>
      </c>
      <c r="Y3427" s="24" t="n"/>
    </row>
    <row r="3428" ht="14.25" customHeight="1" s="40">
      <c r="A3428" s="24" t="n"/>
      <c r="B3428" s="27" t="n"/>
      <c r="C3428" s="24" t="n"/>
      <c r="D3428" s="28" t="n"/>
      <c r="E3428" s="29" t="n"/>
      <c r="F3428" s="24" t="n"/>
      <c r="G3428" s="24" t="n"/>
      <c r="H3428" s="21">
        <f>IF(ISNUMBER($B3428),INT($B3428)-WEEKDAY($B3428,2)+1,"")</f>
        <v/>
      </c>
      <c r="I3428" s="24" t="n"/>
      <c r="J3428" s="22">
        <f t="array" ref="J3428">IF($D3428="","",IF($I3428="","(trống REF)",IFERROR(INDEX(MASTER_SOURCE!$B$2:$B$495,MATCH($I3428,MASTER_SOURCE!$A$2:$A$495,0)),"(REF không có trong MASTER_SOURCE)")))</f>
        <v/>
      </c>
      <c r="K3428" s="22">
        <f t="array" ref="K3428">IF($D3428="","",IFERROR(INDEX(MASTER_SOURCE!$C$2:$C$495,MATCH($I3428,MASTER_SOURCE!$A$2:$A$495,0)),""))</f>
        <v/>
      </c>
      <c r="L3428" s="22">
        <f t="array" ref="L3428">IF($D3428="","",IFERROR(INDEX(MASTER_SOURCE!$D$2:$D$495,MATCH($I3428,MASTER_SOURCE!$A$2:$A$495,0)),""))</f>
        <v/>
      </c>
      <c r="M3428" s="24" t="n"/>
      <c r="N3428" s="24" t="n"/>
      <c r="O3428" s="24" t="n"/>
      <c r="P3428" s="24" t="n"/>
      <c r="Q3428" s="22">
        <f>IF($D3428="","",IF(AND(OR(DANH_MUC!$L$5&lt;&gt;"Có",M3428="Có"),OR(DANH_MUC!$L$6&lt;&gt;"Có",N3428="Có"),OR(DANH_MUC!$L$7&lt;&gt;"Có",O3428="Có"),OR(DANH_MUC!$L$8&lt;&gt;"Có",P3428="Có")),"Có","Không"))</f>
        <v/>
      </c>
      <c r="R3428" s="22">
        <f>IF($D3428="","",IF(COUNTIF($D$2:$D3428,$D3428)&gt;1,"Trùng",""))</f>
        <v/>
      </c>
      <c r="S3428" s="22">
        <f>IF($D3428="","",IF(AND(LEN($D3428)=10,LEFT($D3428,1)="0",ISNUMBER(--$D3428)),"Có","Không"))</f>
        <v/>
      </c>
      <c r="T3428" s="22">
        <f>IF($D3428="","",IF(AND($C3428&lt;&gt;"",$Q3428="Có",$R3428="",$S3428="Có",AND($L3428&lt;&gt;"",OR($L3428&lt;&gt;"Chưa xác định",DANH_MUC!$L$9="Có"))),"Có","Không"))</f>
        <v/>
      </c>
      <c r="U3428" s="22">
        <f>IF(OR($D3428="",$T3428="Có"),"",IF($C3428="","Thiếu họ tên; ","")&amp;IF($S3428&lt;&gt;"Có","SĐT sai định dạng; ","")&amp;IF($R3428="Trùng","Trùng SĐT; ","")&amp;IF($Q3428&lt;&gt;"Có","Thiếu đồng ý bắt buộc; ","")&amp;IF($L3428="","Thiếu/sai Mã REF; ",IF(AND($L3428="Chưa xác định",DANH_MUC!$L$9&lt;&gt;"Có"),"Nguồn chưa xác định; ","")))</f>
        <v/>
      </c>
      <c r="V3428" s="22">
        <f>IF(OR($D3428="",$R3428="Trùng"),"",IF(COUNTIF(ORDERS!$C$2:$C$4995,$D3428)&gt;0,"Có","Không"))</f>
        <v/>
      </c>
      <c r="W3428" s="22">
        <f>IF(OR($D3428="",$R3428="Trùng"),"",COUNTIFS(ORDERS!$C$2:$C$4995,$D3428,ORDERS!$L$2:$L$4995,"Đã chuyển khoản"))</f>
        <v/>
      </c>
      <c r="X3428" s="23">
        <f>IF(OR($D3428="",$R3428="Trùng"),"",SUMIFS(ORDERS!$J$2:$J$4995,ORDERS!$C$2:$C$4995,$D3428,ORDERS!$L$2:$L$4995,"Đã chuyển khoản"))</f>
        <v/>
      </c>
      <c r="Y3428" s="24" t="n"/>
    </row>
    <row r="3429" ht="14.25" customHeight="1" s="40">
      <c r="A3429" s="24" t="n"/>
      <c r="B3429" s="27" t="n"/>
      <c r="C3429" s="24" t="n"/>
      <c r="D3429" s="28" t="n"/>
      <c r="E3429" s="29" t="n"/>
      <c r="F3429" s="24" t="n"/>
      <c r="G3429" s="24" t="n"/>
      <c r="H3429" s="21">
        <f>IF(ISNUMBER($B3429),INT($B3429)-WEEKDAY($B3429,2)+1,"")</f>
        <v/>
      </c>
      <c r="I3429" s="24" t="n"/>
      <c r="J3429" s="22">
        <f t="array" ref="J3429">IF($D3429="","",IF($I3429="","(trống REF)",IFERROR(INDEX(MASTER_SOURCE!$B$2:$B$495,MATCH($I3429,MASTER_SOURCE!$A$2:$A$495,0)),"(REF không có trong MASTER_SOURCE)")))</f>
        <v/>
      </c>
      <c r="K3429" s="22">
        <f t="array" ref="K3429">IF($D3429="","",IFERROR(INDEX(MASTER_SOURCE!$C$2:$C$495,MATCH($I3429,MASTER_SOURCE!$A$2:$A$495,0)),""))</f>
        <v/>
      </c>
      <c r="L3429" s="22">
        <f t="array" ref="L3429">IF($D3429="","",IFERROR(INDEX(MASTER_SOURCE!$D$2:$D$495,MATCH($I3429,MASTER_SOURCE!$A$2:$A$495,0)),""))</f>
        <v/>
      </c>
      <c r="M3429" s="24" t="n"/>
      <c r="N3429" s="24" t="n"/>
      <c r="O3429" s="24" t="n"/>
      <c r="P3429" s="24" t="n"/>
      <c r="Q3429" s="22">
        <f>IF($D3429="","",IF(AND(OR(DANH_MUC!$L$5&lt;&gt;"Có",M3429="Có"),OR(DANH_MUC!$L$6&lt;&gt;"Có",N3429="Có"),OR(DANH_MUC!$L$7&lt;&gt;"Có",O3429="Có"),OR(DANH_MUC!$L$8&lt;&gt;"Có",P3429="Có")),"Có","Không"))</f>
        <v/>
      </c>
      <c r="R3429" s="22">
        <f>IF($D3429="","",IF(COUNTIF($D$2:$D3429,$D3429)&gt;1,"Trùng",""))</f>
        <v/>
      </c>
      <c r="S3429" s="22">
        <f>IF($D3429="","",IF(AND(LEN($D3429)=10,LEFT($D3429,1)="0",ISNUMBER(--$D3429)),"Có","Không"))</f>
        <v/>
      </c>
      <c r="T3429" s="22">
        <f>IF($D3429="","",IF(AND($C3429&lt;&gt;"",$Q3429="Có",$R3429="",$S3429="Có",AND($L3429&lt;&gt;"",OR($L3429&lt;&gt;"Chưa xác định",DANH_MUC!$L$9="Có"))),"Có","Không"))</f>
        <v/>
      </c>
      <c r="U3429" s="22">
        <f>IF(OR($D3429="",$T3429="Có"),"",IF($C3429="","Thiếu họ tên; ","")&amp;IF($S3429&lt;&gt;"Có","SĐT sai định dạng; ","")&amp;IF($R3429="Trùng","Trùng SĐT; ","")&amp;IF($Q3429&lt;&gt;"Có","Thiếu đồng ý bắt buộc; ","")&amp;IF($L3429="","Thiếu/sai Mã REF; ",IF(AND($L3429="Chưa xác định",DANH_MUC!$L$9&lt;&gt;"Có"),"Nguồn chưa xác định; ","")))</f>
        <v/>
      </c>
      <c r="V3429" s="22">
        <f>IF(OR($D3429="",$R3429="Trùng"),"",IF(COUNTIF(ORDERS!$C$2:$C$4995,$D3429)&gt;0,"Có","Không"))</f>
        <v/>
      </c>
      <c r="W3429" s="22">
        <f>IF(OR($D3429="",$R3429="Trùng"),"",COUNTIFS(ORDERS!$C$2:$C$4995,$D3429,ORDERS!$L$2:$L$4995,"Đã chuyển khoản"))</f>
        <v/>
      </c>
      <c r="X3429" s="23">
        <f>IF(OR($D3429="",$R3429="Trùng"),"",SUMIFS(ORDERS!$J$2:$J$4995,ORDERS!$C$2:$C$4995,$D3429,ORDERS!$L$2:$L$4995,"Đã chuyển khoản"))</f>
        <v/>
      </c>
      <c r="Y3429" s="24" t="n"/>
    </row>
    <row r="3430" ht="14.25" customHeight="1" s="40">
      <c r="A3430" s="24" t="n"/>
      <c r="B3430" s="27" t="n"/>
      <c r="C3430" s="24" t="n"/>
      <c r="D3430" s="28" t="n"/>
      <c r="E3430" s="29" t="n"/>
      <c r="F3430" s="24" t="n"/>
      <c r="G3430" s="24" t="n"/>
      <c r="H3430" s="21">
        <f>IF(ISNUMBER($B3430),INT($B3430)-WEEKDAY($B3430,2)+1,"")</f>
        <v/>
      </c>
      <c r="I3430" s="24" t="n"/>
      <c r="J3430" s="22">
        <f t="array" ref="J3430">IF($D3430="","",IF($I3430="","(trống REF)",IFERROR(INDEX(MASTER_SOURCE!$B$2:$B$495,MATCH($I3430,MASTER_SOURCE!$A$2:$A$495,0)),"(REF không có trong MASTER_SOURCE)")))</f>
        <v/>
      </c>
      <c r="K3430" s="22">
        <f t="array" ref="K3430">IF($D3430="","",IFERROR(INDEX(MASTER_SOURCE!$C$2:$C$495,MATCH($I3430,MASTER_SOURCE!$A$2:$A$495,0)),""))</f>
        <v/>
      </c>
      <c r="L3430" s="22">
        <f t="array" ref="L3430">IF($D3430="","",IFERROR(INDEX(MASTER_SOURCE!$D$2:$D$495,MATCH($I3430,MASTER_SOURCE!$A$2:$A$495,0)),""))</f>
        <v/>
      </c>
      <c r="M3430" s="24" t="n"/>
      <c r="N3430" s="24" t="n"/>
      <c r="O3430" s="24" t="n"/>
      <c r="P3430" s="24" t="n"/>
      <c r="Q3430" s="22">
        <f>IF($D3430="","",IF(AND(OR(DANH_MUC!$L$5&lt;&gt;"Có",M3430="Có"),OR(DANH_MUC!$L$6&lt;&gt;"Có",N3430="Có"),OR(DANH_MUC!$L$7&lt;&gt;"Có",O3430="Có"),OR(DANH_MUC!$L$8&lt;&gt;"Có",P3430="Có")),"Có","Không"))</f>
        <v/>
      </c>
      <c r="R3430" s="22">
        <f>IF($D3430="","",IF(COUNTIF($D$2:$D3430,$D3430)&gt;1,"Trùng",""))</f>
        <v/>
      </c>
      <c r="S3430" s="22">
        <f>IF($D3430="","",IF(AND(LEN($D3430)=10,LEFT($D3430,1)="0",ISNUMBER(--$D3430)),"Có","Không"))</f>
        <v/>
      </c>
      <c r="T3430" s="22">
        <f>IF($D3430="","",IF(AND($C3430&lt;&gt;"",$Q3430="Có",$R3430="",$S3430="Có",AND($L3430&lt;&gt;"",OR($L3430&lt;&gt;"Chưa xác định",DANH_MUC!$L$9="Có"))),"Có","Không"))</f>
        <v/>
      </c>
      <c r="U3430" s="22">
        <f>IF(OR($D3430="",$T3430="Có"),"",IF($C3430="","Thiếu họ tên; ","")&amp;IF($S3430&lt;&gt;"Có","SĐT sai định dạng; ","")&amp;IF($R3430="Trùng","Trùng SĐT; ","")&amp;IF($Q3430&lt;&gt;"Có","Thiếu đồng ý bắt buộc; ","")&amp;IF($L3430="","Thiếu/sai Mã REF; ",IF(AND($L3430="Chưa xác định",DANH_MUC!$L$9&lt;&gt;"Có"),"Nguồn chưa xác định; ","")))</f>
        <v/>
      </c>
      <c r="V3430" s="22">
        <f>IF(OR($D3430="",$R3430="Trùng"),"",IF(COUNTIF(ORDERS!$C$2:$C$4995,$D3430)&gt;0,"Có","Không"))</f>
        <v/>
      </c>
      <c r="W3430" s="22">
        <f>IF(OR($D3430="",$R3430="Trùng"),"",COUNTIFS(ORDERS!$C$2:$C$4995,$D3430,ORDERS!$L$2:$L$4995,"Đã chuyển khoản"))</f>
        <v/>
      </c>
      <c r="X3430" s="23">
        <f>IF(OR($D3430="",$R3430="Trùng"),"",SUMIFS(ORDERS!$J$2:$J$4995,ORDERS!$C$2:$C$4995,$D3430,ORDERS!$L$2:$L$4995,"Đã chuyển khoản"))</f>
        <v/>
      </c>
      <c r="Y3430" s="24" t="n"/>
    </row>
    <row r="3431" ht="14.25" customHeight="1" s="40">
      <c r="A3431" s="24" t="n"/>
      <c r="B3431" s="27" t="n"/>
      <c r="C3431" s="24" t="n"/>
      <c r="D3431" s="28" t="n"/>
      <c r="E3431" s="29" t="n"/>
      <c r="F3431" s="24" t="n"/>
      <c r="G3431" s="24" t="n"/>
      <c r="H3431" s="21">
        <f>IF(ISNUMBER($B3431),INT($B3431)-WEEKDAY($B3431,2)+1,"")</f>
        <v/>
      </c>
      <c r="I3431" s="24" t="n"/>
      <c r="J3431" s="22">
        <f t="array" ref="J3431">IF($D3431="","",IF($I3431="","(trống REF)",IFERROR(INDEX(MASTER_SOURCE!$B$2:$B$495,MATCH($I3431,MASTER_SOURCE!$A$2:$A$495,0)),"(REF không có trong MASTER_SOURCE)")))</f>
        <v/>
      </c>
      <c r="K3431" s="22">
        <f t="array" ref="K3431">IF($D3431="","",IFERROR(INDEX(MASTER_SOURCE!$C$2:$C$495,MATCH($I3431,MASTER_SOURCE!$A$2:$A$495,0)),""))</f>
        <v/>
      </c>
      <c r="L3431" s="22">
        <f t="array" ref="L3431">IF($D3431="","",IFERROR(INDEX(MASTER_SOURCE!$D$2:$D$495,MATCH($I3431,MASTER_SOURCE!$A$2:$A$495,0)),""))</f>
        <v/>
      </c>
      <c r="M3431" s="24" t="n"/>
      <c r="N3431" s="24" t="n"/>
      <c r="O3431" s="24" t="n"/>
      <c r="P3431" s="24" t="n"/>
      <c r="Q3431" s="22">
        <f>IF($D3431="","",IF(AND(OR(DANH_MUC!$L$5&lt;&gt;"Có",M3431="Có"),OR(DANH_MUC!$L$6&lt;&gt;"Có",N3431="Có"),OR(DANH_MUC!$L$7&lt;&gt;"Có",O3431="Có"),OR(DANH_MUC!$L$8&lt;&gt;"Có",P3431="Có")),"Có","Không"))</f>
        <v/>
      </c>
      <c r="R3431" s="22">
        <f>IF($D3431="","",IF(COUNTIF($D$2:$D3431,$D3431)&gt;1,"Trùng",""))</f>
        <v/>
      </c>
      <c r="S3431" s="22">
        <f>IF($D3431="","",IF(AND(LEN($D3431)=10,LEFT($D3431,1)="0",ISNUMBER(--$D3431)),"Có","Không"))</f>
        <v/>
      </c>
      <c r="T3431" s="22">
        <f>IF($D3431="","",IF(AND($C3431&lt;&gt;"",$Q3431="Có",$R3431="",$S3431="Có",AND($L3431&lt;&gt;"",OR($L3431&lt;&gt;"Chưa xác định",DANH_MUC!$L$9="Có"))),"Có","Không"))</f>
        <v/>
      </c>
      <c r="U3431" s="22">
        <f>IF(OR($D3431="",$T3431="Có"),"",IF($C3431="","Thiếu họ tên; ","")&amp;IF($S3431&lt;&gt;"Có","SĐT sai định dạng; ","")&amp;IF($R3431="Trùng","Trùng SĐT; ","")&amp;IF($Q3431&lt;&gt;"Có","Thiếu đồng ý bắt buộc; ","")&amp;IF($L3431="","Thiếu/sai Mã REF; ",IF(AND($L3431="Chưa xác định",DANH_MUC!$L$9&lt;&gt;"Có"),"Nguồn chưa xác định; ","")))</f>
        <v/>
      </c>
      <c r="V3431" s="22">
        <f>IF(OR($D3431="",$R3431="Trùng"),"",IF(COUNTIF(ORDERS!$C$2:$C$4995,$D3431)&gt;0,"Có","Không"))</f>
        <v/>
      </c>
      <c r="W3431" s="22">
        <f>IF(OR($D3431="",$R3431="Trùng"),"",COUNTIFS(ORDERS!$C$2:$C$4995,$D3431,ORDERS!$L$2:$L$4995,"Đã chuyển khoản"))</f>
        <v/>
      </c>
      <c r="X3431" s="23">
        <f>IF(OR($D3431="",$R3431="Trùng"),"",SUMIFS(ORDERS!$J$2:$J$4995,ORDERS!$C$2:$C$4995,$D3431,ORDERS!$L$2:$L$4995,"Đã chuyển khoản"))</f>
        <v/>
      </c>
      <c r="Y3431" s="24" t="n"/>
    </row>
    <row r="3432" ht="14.25" customHeight="1" s="40">
      <c r="A3432" s="24" t="n"/>
      <c r="B3432" s="27" t="n"/>
      <c r="C3432" s="24" t="n"/>
      <c r="D3432" s="28" t="n"/>
      <c r="E3432" s="29" t="n"/>
      <c r="F3432" s="24" t="n"/>
      <c r="G3432" s="24" t="n"/>
      <c r="H3432" s="21">
        <f>IF(ISNUMBER($B3432),INT($B3432)-WEEKDAY($B3432,2)+1,"")</f>
        <v/>
      </c>
      <c r="I3432" s="24" t="n"/>
      <c r="J3432" s="22">
        <f t="array" ref="J3432">IF($D3432="","",IF($I3432="","(trống REF)",IFERROR(INDEX(MASTER_SOURCE!$B$2:$B$495,MATCH($I3432,MASTER_SOURCE!$A$2:$A$495,0)),"(REF không có trong MASTER_SOURCE)")))</f>
        <v/>
      </c>
      <c r="K3432" s="22">
        <f t="array" ref="K3432">IF($D3432="","",IFERROR(INDEX(MASTER_SOURCE!$C$2:$C$495,MATCH($I3432,MASTER_SOURCE!$A$2:$A$495,0)),""))</f>
        <v/>
      </c>
      <c r="L3432" s="22">
        <f t="array" ref="L3432">IF($D3432="","",IFERROR(INDEX(MASTER_SOURCE!$D$2:$D$495,MATCH($I3432,MASTER_SOURCE!$A$2:$A$495,0)),""))</f>
        <v/>
      </c>
      <c r="M3432" s="24" t="n"/>
      <c r="N3432" s="24" t="n"/>
      <c r="O3432" s="24" t="n"/>
      <c r="P3432" s="24" t="n"/>
      <c r="Q3432" s="22">
        <f>IF($D3432="","",IF(AND(OR(DANH_MUC!$L$5&lt;&gt;"Có",M3432="Có"),OR(DANH_MUC!$L$6&lt;&gt;"Có",N3432="Có"),OR(DANH_MUC!$L$7&lt;&gt;"Có",O3432="Có"),OR(DANH_MUC!$L$8&lt;&gt;"Có",P3432="Có")),"Có","Không"))</f>
        <v/>
      </c>
      <c r="R3432" s="22">
        <f>IF($D3432="","",IF(COUNTIF($D$2:$D3432,$D3432)&gt;1,"Trùng",""))</f>
        <v/>
      </c>
      <c r="S3432" s="22">
        <f>IF($D3432="","",IF(AND(LEN($D3432)=10,LEFT($D3432,1)="0",ISNUMBER(--$D3432)),"Có","Không"))</f>
        <v/>
      </c>
      <c r="T3432" s="22">
        <f>IF($D3432="","",IF(AND($C3432&lt;&gt;"",$Q3432="Có",$R3432="",$S3432="Có",AND($L3432&lt;&gt;"",OR($L3432&lt;&gt;"Chưa xác định",DANH_MUC!$L$9="Có"))),"Có","Không"))</f>
        <v/>
      </c>
      <c r="U3432" s="22">
        <f>IF(OR($D3432="",$T3432="Có"),"",IF($C3432="","Thiếu họ tên; ","")&amp;IF($S3432&lt;&gt;"Có","SĐT sai định dạng; ","")&amp;IF($R3432="Trùng","Trùng SĐT; ","")&amp;IF($Q3432&lt;&gt;"Có","Thiếu đồng ý bắt buộc; ","")&amp;IF($L3432="","Thiếu/sai Mã REF; ",IF(AND($L3432="Chưa xác định",DANH_MUC!$L$9&lt;&gt;"Có"),"Nguồn chưa xác định; ","")))</f>
        <v/>
      </c>
      <c r="V3432" s="22">
        <f>IF(OR($D3432="",$R3432="Trùng"),"",IF(COUNTIF(ORDERS!$C$2:$C$4995,$D3432)&gt;0,"Có","Không"))</f>
        <v/>
      </c>
      <c r="W3432" s="22">
        <f>IF(OR($D3432="",$R3432="Trùng"),"",COUNTIFS(ORDERS!$C$2:$C$4995,$D3432,ORDERS!$L$2:$L$4995,"Đã chuyển khoản"))</f>
        <v/>
      </c>
      <c r="X3432" s="23">
        <f>IF(OR($D3432="",$R3432="Trùng"),"",SUMIFS(ORDERS!$J$2:$J$4995,ORDERS!$C$2:$C$4995,$D3432,ORDERS!$L$2:$L$4995,"Đã chuyển khoản"))</f>
        <v/>
      </c>
      <c r="Y3432" s="24" t="n"/>
    </row>
    <row r="3433" ht="14.25" customHeight="1" s="40">
      <c r="A3433" s="24" t="n"/>
      <c r="B3433" s="27" t="n"/>
      <c r="C3433" s="24" t="n"/>
      <c r="D3433" s="28" t="n"/>
      <c r="E3433" s="29" t="n"/>
      <c r="F3433" s="24" t="n"/>
      <c r="G3433" s="24" t="n"/>
      <c r="H3433" s="21">
        <f>IF(ISNUMBER($B3433),INT($B3433)-WEEKDAY($B3433,2)+1,"")</f>
        <v/>
      </c>
      <c r="I3433" s="24" t="n"/>
      <c r="J3433" s="22">
        <f t="array" ref="J3433">IF($D3433="","",IF($I3433="","(trống REF)",IFERROR(INDEX(MASTER_SOURCE!$B$2:$B$495,MATCH($I3433,MASTER_SOURCE!$A$2:$A$495,0)),"(REF không có trong MASTER_SOURCE)")))</f>
        <v/>
      </c>
      <c r="K3433" s="22">
        <f t="array" ref="K3433">IF($D3433="","",IFERROR(INDEX(MASTER_SOURCE!$C$2:$C$495,MATCH($I3433,MASTER_SOURCE!$A$2:$A$495,0)),""))</f>
        <v/>
      </c>
      <c r="L3433" s="22">
        <f t="array" ref="L3433">IF($D3433="","",IFERROR(INDEX(MASTER_SOURCE!$D$2:$D$495,MATCH($I3433,MASTER_SOURCE!$A$2:$A$495,0)),""))</f>
        <v/>
      </c>
      <c r="M3433" s="24" t="n"/>
      <c r="N3433" s="24" t="n"/>
      <c r="O3433" s="24" t="n"/>
      <c r="P3433" s="24" t="n"/>
      <c r="Q3433" s="22">
        <f>IF($D3433="","",IF(AND(OR(DANH_MUC!$L$5&lt;&gt;"Có",M3433="Có"),OR(DANH_MUC!$L$6&lt;&gt;"Có",N3433="Có"),OR(DANH_MUC!$L$7&lt;&gt;"Có",O3433="Có"),OR(DANH_MUC!$L$8&lt;&gt;"Có",P3433="Có")),"Có","Không"))</f>
        <v/>
      </c>
      <c r="R3433" s="22">
        <f>IF($D3433="","",IF(COUNTIF($D$2:$D3433,$D3433)&gt;1,"Trùng",""))</f>
        <v/>
      </c>
      <c r="S3433" s="22">
        <f>IF($D3433="","",IF(AND(LEN($D3433)=10,LEFT($D3433,1)="0",ISNUMBER(--$D3433)),"Có","Không"))</f>
        <v/>
      </c>
      <c r="T3433" s="22">
        <f>IF($D3433="","",IF(AND($C3433&lt;&gt;"",$Q3433="Có",$R3433="",$S3433="Có",AND($L3433&lt;&gt;"",OR($L3433&lt;&gt;"Chưa xác định",DANH_MUC!$L$9="Có"))),"Có","Không"))</f>
        <v/>
      </c>
      <c r="U3433" s="22">
        <f>IF(OR($D3433="",$T3433="Có"),"",IF($C3433="","Thiếu họ tên; ","")&amp;IF($S3433&lt;&gt;"Có","SĐT sai định dạng; ","")&amp;IF($R3433="Trùng","Trùng SĐT; ","")&amp;IF($Q3433&lt;&gt;"Có","Thiếu đồng ý bắt buộc; ","")&amp;IF($L3433="","Thiếu/sai Mã REF; ",IF(AND($L3433="Chưa xác định",DANH_MUC!$L$9&lt;&gt;"Có"),"Nguồn chưa xác định; ","")))</f>
        <v/>
      </c>
      <c r="V3433" s="22">
        <f>IF(OR($D3433="",$R3433="Trùng"),"",IF(COUNTIF(ORDERS!$C$2:$C$4995,$D3433)&gt;0,"Có","Không"))</f>
        <v/>
      </c>
      <c r="W3433" s="22">
        <f>IF(OR($D3433="",$R3433="Trùng"),"",COUNTIFS(ORDERS!$C$2:$C$4995,$D3433,ORDERS!$L$2:$L$4995,"Đã chuyển khoản"))</f>
        <v/>
      </c>
      <c r="X3433" s="23">
        <f>IF(OR($D3433="",$R3433="Trùng"),"",SUMIFS(ORDERS!$J$2:$J$4995,ORDERS!$C$2:$C$4995,$D3433,ORDERS!$L$2:$L$4995,"Đã chuyển khoản"))</f>
        <v/>
      </c>
      <c r="Y3433" s="24" t="n"/>
    </row>
    <row r="3434" ht="14.25" customHeight="1" s="40">
      <c r="A3434" s="24" t="n"/>
      <c r="B3434" s="27" t="n"/>
      <c r="C3434" s="24" t="n"/>
      <c r="D3434" s="28" t="n"/>
      <c r="E3434" s="29" t="n"/>
      <c r="F3434" s="24" t="n"/>
      <c r="G3434" s="24" t="n"/>
      <c r="H3434" s="21">
        <f>IF(ISNUMBER($B3434),INT($B3434)-WEEKDAY($B3434,2)+1,"")</f>
        <v/>
      </c>
      <c r="I3434" s="24" t="n"/>
      <c r="J3434" s="22">
        <f t="array" ref="J3434">IF($D3434="","",IF($I3434="","(trống REF)",IFERROR(INDEX(MASTER_SOURCE!$B$2:$B$495,MATCH($I3434,MASTER_SOURCE!$A$2:$A$495,0)),"(REF không có trong MASTER_SOURCE)")))</f>
        <v/>
      </c>
      <c r="K3434" s="22">
        <f t="array" ref="K3434">IF($D3434="","",IFERROR(INDEX(MASTER_SOURCE!$C$2:$C$495,MATCH($I3434,MASTER_SOURCE!$A$2:$A$495,0)),""))</f>
        <v/>
      </c>
      <c r="L3434" s="22">
        <f t="array" ref="L3434">IF($D3434="","",IFERROR(INDEX(MASTER_SOURCE!$D$2:$D$495,MATCH($I3434,MASTER_SOURCE!$A$2:$A$495,0)),""))</f>
        <v/>
      </c>
      <c r="M3434" s="24" t="n"/>
      <c r="N3434" s="24" t="n"/>
      <c r="O3434" s="24" t="n"/>
      <c r="P3434" s="24" t="n"/>
      <c r="Q3434" s="22">
        <f>IF($D3434="","",IF(AND(OR(DANH_MUC!$L$5&lt;&gt;"Có",M3434="Có"),OR(DANH_MUC!$L$6&lt;&gt;"Có",N3434="Có"),OR(DANH_MUC!$L$7&lt;&gt;"Có",O3434="Có"),OR(DANH_MUC!$L$8&lt;&gt;"Có",P3434="Có")),"Có","Không"))</f>
        <v/>
      </c>
      <c r="R3434" s="22">
        <f>IF($D3434="","",IF(COUNTIF($D$2:$D3434,$D3434)&gt;1,"Trùng",""))</f>
        <v/>
      </c>
      <c r="S3434" s="22">
        <f>IF($D3434="","",IF(AND(LEN($D3434)=10,LEFT($D3434,1)="0",ISNUMBER(--$D3434)),"Có","Không"))</f>
        <v/>
      </c>
      <c r="T3434" s="22">
        <f>IF($D3434="","",IF(AND($C3434&lt;&gt;"",$Q3434="Có",$R3434="",$S3434="Có",AND($L3434&lt;&gt;"",OR($L3434&lt;&gt;"Chưa xác định",DANH_MUC!$L$9="Có"))),"Có","Không"))</f>
        <v/>
      </c>
      <c r="U3434" s="22">
        <f>IF(OR($D3434="",$T3434="Có"),"",IF($C3434="","Thiếu họ tên; ","")&amp;IF($S3434&lt;&gt;"Có","SĐT sai định dạng; ","")&amp;IF($R3434="Trùng","Trùng SĐT; ","")&amp;IF($Q3434&lt;&gt;"Có","Thiếu đồng ý bắt buộc; ","")&amp;IF($L3434="","Thiếu/sai Mã REF; ",IF(AND($L3434="Chưa xác định",DANH_MUC!$L$9&lt;&gt;"Có"),"Nguồn chưa xác định; ","")))</f>
        <v/>
      </c>
      <c r="V3434" s="22">
        <f>IF(OR($D3434="",$R3434="Trùng"),"",IF(COUNTIF(ORDERS!$C$2:$C$4995,$D3434)&gt;0,"Có","Không"))</f>
        <v/>
      </c>
      <c r="W3434" s="22">
        <f>IF(OR($D3434="",$R3434="Trùng"),"",COUNTIFS(ORDERS!$C$2:$C$4995,$D3434,ORDERS!$L$2:$L$4995,"Đã chuyển khoản"))</f>
        <v/>
      </c>
      <c r="X3434" s="23">
        <f>IF(OR($D3434="",$R3434="Trùng"),"",SUMIFS(ORDERS!$J$2:$J$4995,ORDERS!$C$2:$C$4995,$D3434,ORDERS!$L$2:$L$4995,"Đã chuyển khoản"))</f>
        <v/>
      </c>
      <c r="Y3434" s="24" t="n"/>
    </row>
    <row r="3435" ht="14.25" customHeight="1" s="40">
      <c r="A3435" s="24" t="n"/>
      <c r="B3435" s="27" t="n"/>
      <c r="C3435" s="24" t="n"/>
      <c r="D3435" s="28" t="n"/>
      <c r="E3435" s="29" t="n"/>
      <c r="F3435" s="24" t="n"/>
      <c r="G3435" s="24" t="n"/>
      <c r="H3435" s="21">
        <f>IF(ISNUMBER($B3435),INT($B3435)-WEEKDAY($B3435,2)+1,"")</f>
        <v/>
      </c>
      <c r="I3435" s="24" t="n"/>
      <c r="J3435" s="22">
        <f t="array" ref="J3435">IF($D3435="","",IF($I3435="","(trống REF)",IFERROR(INDEX(MASTER_SOURCE!$B$2:$B$495,MATCH($I3435,MASTER_SOURCE!$A$2:$A$495,0)),"(REF không có trong MASTER_SOURCE)")))</f>
        <v/>
      </c>
      <c r="K3435" s="22">
        <f t="array" ref="K3435">IF($D3435="","",IFERROR(INDEX(MASTER_SOURCE!$C$2:$C$495,MATCH($I3435,MASTER_SOURCE!$A$2:$A$495,0)),""))</f>
        <v/>
      </c>
      <c r="L3435" s="22">
        <f t="array" ref="L3435">IF($D3435="","",IFERROR(INDEX(MASTER_SOURCE!$D$2:$D$495,MATCH($I3435,MASTER_SOURCE!$A$2:$A$495,0)),""))</f>
        <v/>
      </c>
      <c r="M3435" s="24" t="n"/>
      <c r="N3435" s="24" t="n"/>
      <c r="O3435" s="24" t="n"/>
      <c r="P3435" s="24" t="n"/>
      <c r="Q3435" s="22">
        <f>IF($D3435="","",IF(AND(OR(DANH_MUC!$L$5&lt;&gt;"Có",M3435="Có"),OR(DANH_MUC!$L$6&lt;&gt;"Có",N3435="Có"),OR(DANH_MUC!$L$7&lt;&gt;"Có",O3435="Có"),OR(DANH_MUC!$L$8&lt;&gt;"Có",P3435="Có")),"Có","Không"))</f>
        <v/>
      </c>
      <c r="R3435" s="22">
        <f>IF($D3435="","",IF(COUNTIF($D$2:$D3435,$D3435)&gt;1,"Trùng",""))</f>
        <v/>
      </c>
      <c r="S3435" s="22">
        <f>IF($D3435="","",IF(AND(LEN($D3435)=10,LEFT($D3435,1)="0",ISNUMBER(--$D3435)),"Có","Không"))</f>
        <v/>
      </c>
      <c r="T3435" s="22">
        <f>IF($D3435="","",IF(AND($C3435&lt;&gt;"",$Q3435="Có",$R3435="",$S3435="Có",AND($L3435&lt;&gt;"",OR($L3435&lt;&gt;"Chưa xác định",DANH_MUC!$L$9="Có"))),"Có","Không"))</f>
        <v/>
      </c>
      <c r="U3435" s="22">
        <f>IF(OR($D3435="",$T3435="Có"),"",IF($C3435="","Thiếu họ tên; ","")&amp;IF($S3435&lt;&gt;"Có","SĐT sai định dạng; ","")&amp;IF($R3435="Trùng","Trùng SĐT; ","")&amp;IF($Q3435&lt;&gt;"Có","Thiếu đồng ý bắt buộc; ","")&amp;IF($L3435="","Thiếu/sai Mã REF; ",IF(AND($L3435="Chưa xác định",DANH_MUC!$L$9&lt;&gt;"Có"),"Nguồn chưa xác định; ","")))</f>
        <v/>
      </c>
      <c r="V3435" s="22">
        <f>IF(OR($D3435="",$R3435="Trùng"),"",IF(COUNTIF(ORDERS!$C$2:$C$4995,$D3435)&gt;0,"Có","Không"))</f>
        <v/>
      </c>
      <c r="W3435" s="22">
        <f>IF(OR($D3435="",$R3435="Trùng"),"",COUNTIFS(ORDERS!$C$2:$C$4995,$D3435,ORDERS!$L$2:$L$4995,"Đã chuyển khoản"))</f>
        <v/>
      </c>
      <c r="X3435" s="23">
        <f>IF(OR($D3435="",$R3435="Trùng"),"",SUMIFS(ORDERS!$J$2:$J$4995,ORDERS!$C$2:$C$4995,$D3435,ORDERS!$L$2:$L$4995,"Đã chuyển khoản"))</f>
        <v/>
      </c>
      <c r="Y3435" s="24" t="n"/>
    </row>
    <row r="3436" ht="14.25" customHeight="1" s="40">
      <c r="A3436" s="24" t="n"/>
      <c r="B3436" s="27" t="n"/>
      <c r="C3436" s="24" t="n"/>
      <c r="D3436" s="28" t="n"/>
      <c r="E3436" s="29" t="n"/>
      <c r="F3436" s="24" t="n"/>
      <c r="G3436" s="24" t="n"/>
      <c r="H3436" s="21">
        <f>IF(ISNUMBER($B3436),INT($B3436)-WEEKDAY($B3436,2)+1,"")</f>
        <v/>
      </c>
      <c r="I3436" s="24" t="n"/>
      <c r="J3436" s="22">
        <f t="array" ref="J3436">IF($D3436="","",IF($I3436="","(trống REF)",IFERROR(INDEX(MASTER_SOURCE!$B$2:$B$495,MATCH($I3436,MASTER_SOURCE!$A$2:$A$495,0)),"(REF không có trong MASTER_SOURCE)")))</f>
        <v/>
      </c>
      <c r="K3436" s="22">
        <f t="array" ref="K3436">IF($D3436="","",IFERROR(INDEX(MASTER_SOURCE!$C$2:$C$495,MATCH($I3436,MASTER_SOURCE!$A$2:$A$495,0)),""))</f>
        <v/>
      </c>
      <c r="L3436" s="22">
        <f t="array" ref="L3436">IF($D3436="","",IFERROR(INDEX(MASTER_SOURCE!$D$2:$D$495,MATCH($I3436,MASTER_SOURCE!$A$2:$A$495,0)),""))</f>
        <v/>
      </c>
      <c r="M3436" s="24" t="n"/>
      <c r="N3436" s="24" t="n"/>
      <c r="O3436" s="24" t="n"/>
      <c r="P3436" s="24" t="n"/>
      <c r="Q3436" s="22">
        <f>IF($D3436="","",IF(AND(OR(DANH_MUC!$L$5&lt;&gt;"Có",M3436="Có"),OR(DANH_MUC!$L$6&lt;&gt;"Có",N3436="Có"),OR(DANH_MUC!$L$7&lt;&gt;"Có",O3436="Có"),OR(DANH_MUC!$L$8&lt;&gt;"Có",P3436="Có")),"Có","Không"))</f>
        <v/>
      </c>
      <c r="R3436" s="22">
        <f>IF($D3436="","",IF(COUNTIF($D$2:$D3436,$D3436)&gt;1,"Trùng",""))</f>
        <v/>
      </c>
      <c r="S3436" s="22">
        <f>IF($D3436="","",IF(AND(LEN($D3436)=10,LEFT($D3436,1)="0",ISNUMBER(--$D3436)),"Có","Không"))</f>
        <v/>
      </c>
      <c r="T3436" s="22">
        <f>IF($D3436="","",IF(AND($C3436&lt;&gt;"",$Q3436="Có",$R3436="",$S3436="Có",AND($L3436&lt;&gt;"",OR($L3436&lt;&gt;"Chưa xác định",DANH_MUC!$L$9="Có"))),"Có","Không"))</f>
        <v/>
      </c>
      <c r="U3436" s="22">
        <f>IF(OR($D3436="",$T3436="Có"),"",IF($C3436="","Thiếu họ tên; ","")&amp;IF($S3436&lt;&gt;"Có","SĐT sai định dạng; ","")&amp;IF($R3436="Trùng","Trùng SĐT; ","")&amp;IF($Q3436&lt;&gt;"Có","Thiếu đồng ý bắt buộc; ","")&amp;IF($L3436="","Thiếu/sai Mã REF; ",IF(AND($L3436="Chưa xác định",DANH_MUC!$L$9&lt;&gt;"Có"),"Nguồn chưa xác định; ","")))</f>
        <v/>
      </c>
      <c r="V3436" s="22">
        <f>IF(OR($D3436="",$R3436="Trùng"),"",IF(COUNTIF(ORDERS!$C$2:$C$4995,$D3436)&gt;0,"Có","Không"))</f>
        <v/>
      </c>
      <c r="W3436" s="22">
        <f>IF(OR($D3436="",$R3436="Trùng"),"",COUNTIFS(ORDERS!$C$2:$C$4995,$D3436,ORDERS!$L$2:$L$4995,"Đã chuyển khoản"))</f>
        <v/>
      </c>
      <c r="X3436" s="23">
        <f>IF(OR($D3436="",$R3436="Trùng"),"",SUMIFS(ORDERS!$J$2:$J$4995,ORDERS!$C$2:$C$4995,$D3436,ORDERS!$L$2:$L$4995,"Đã chuyển khoản"))</f>
        <v/>
      </c>
      <c r="Y3436" s="24" t="n"/>
    </row>
    <row r="3437" ht="14.25" customHeight="1" s="40">
      <c r="A3437" s="24" t="n"/>
      <c r="B3437" s="27" t="n"/>
      <c r="C3437" s="24" t="n"/>
      <c r="D3437" s="28" t="n"/>
      <c r="E3437" s="29" t="n"/>
      <c r="F3437" s="24" t="n"/>
      <c r="G3437" s="24" t="n"/>
      <c r="H3437" s="21">
        <f>IF(ISNUMBER($B3437),INT($B3437)-WEEKDAY($B3437,2)+1,"")</f>
        <v/>
      </c>
      <c r="I3437" s="24" t="n"/>
      <c r="J3437" s="22">
        <f t="array" ref="J3437">IF($D3437="","",IF($I3437="","(trống REF)",IFERROR(INDEX(MASTER_SOURCE!$B$2:$B$495,MATCH($I3437,MASTER_SOURCE!$A$2:$A$495,0)),"(REF không có trong MASTER_SOURCE)")))</f>
        <v/>
      </c>
      <c r="K3437" s="22">
        <f t="array" ref="K3437">IF($D3437="","",IFERROR(INDEX(MASTER_SOURCE!$C$2:$C$495,MATCH($I3437,MASTER_SOURCE!$A$2:$A$495,0)),""))</f>
        <v/>
      </c>
      <c r="L3437" s="22">
        <f t="array" ref="L3437">IF($D3437="","",IFERROR(INDEX(MASTER_SOURCE!$D$2:$D$495,MATCH($I3437,MASTER_SOURCE!$A$2:$A$495,0)),""))</f>
        <v/>
      </c>
      <c r="M3437" s="24" t="n"/>
      <c r="N3437" s="24" t="n"/>
      <c r="O3437" s="24" t="n"/>
      <c r="P3437" s="24" t="n"/>
      <c r="Q3437" s="22">
        <f>IF($D3437="","",IF(AND(OR(DANH_MUC!$L$5&lt;&gt;"Có",M3437="Có"),OR(DANH_MUC!$L$6&lt;&gt;"Có",N3437="Có"),OR(DANH_MUC!$L$7&lt;&gt;"Có",O3437="Có"),OR(DANH_MUC!$L$8&lt;&gt;"Có",P3437="Có")),"Có","Không"))</f>
        <v/>
      </c>
      <c r="R3437" s="22">
        <f>IF($D3437="","",IF(COUNTIF($D$2:$D3437,$D3437)&gt;1,"Trùng",""))</f>
        <v/>
      </c>
      <c r="S3437" s="22">
        <f>IF($D3437="","",IF(AND(LEN($D3437)=10,LEFT($D3437,1)="0",ISNUMBER(--$D3437)),"Có","Không"))</f>
        <v/>
      </c>
      <c r="T3437" s="22">
        <f>IF($D3437="","",IF(AND($C3437&lt;&gt;"",$Q3437="Có",$R3437="",$S3437="Có",AND($L3437&lt;&gt;"",OR($L3437&lt;&gt;"Chưa xác định",DANH_MUC!$L$9="Có"))),"Có","Không"))</f>
        <v/>
      </c>
      <c r="U3437" s="22">
        <f>IF(OR($D3437="",$T3437="Có"),"",IF($C3437="","Thiếu họ tên; ","")&amp;IF($S3437&lt;&gt;"Có","SĐT sai định dạng; ","")&amp;IF($R3437="Trùng","Trùng SĐT; ","")&amp;IF($Q3437&lt;&gt;"Có","Thiếu đồng ý bắt buộc; ","")&amp;IF($L3437="","Thiếu/sai Mã REF; ",IF(AND($L3437="Chưa xác định",DANH_MUC!$L$9&lt;&gt;"Có"),"Nguồn chưa xác định; ","")))</f>
        <v/>
      </c>
      <c r="V3437" s="22">
        <f>IF(OR($D3437="",$R3437="Trùng"),"",IF(COUNTIF(ORDERS!$C$2:$C$4995,$D3437)&gt;0,"Có","Không"))</f>
        <v/>
      </c>
      <c r="W3437" s="22">
        <f>IF(OR($D3437="",$R3437="Trùng"),"",COUNTIFS(ORDERS!$C$2:$C$4995,$D3437,ORDERS!$L$2:$L$4995,"Đã chuyển khoản"))</f>
        <v/>
      </c>
      <c r="X3437" s="23">
        <f>IF(OR($D3437="",$R3437="Trùng"),"",SUMIFS(ORDERS!$J$2:$J$4995,ORDERS!$C$2:$C$4995,$D3437,ORDERS!$L$2:$L$4995,"Đã chuyển khoản"))</f>
        <v/>
      </c>
      <c r="Y3437" s="24" t="n"/>
    </row>
    <row r="3438" ht="14.25" customHeight="1" s="40">
      <c r="A3438" s="24" t="n"/>
      <c r="B3438" s="27" t="n"/>
      <c r="C3438" s="24" t="n"/>
      <c r="D3438" s="28" t="n"/>
      <c r="E3438" s="29" t="n"/>
      <c r="F3438" s="24" t="n"/>
      <c r="G3438" s="24" t="n"/>
      <c r="H3438" s="21">
        <f>IF(ISNUMBER($B3438),INT($B3438)-WEEKDAY($B3438,2)+1,"")</f>
        <v/>
      </c>
      <c r="I3438" s="24" t="n"/>
      <c r="J3438" s="22">
        <f t="array" ref="J3438">IF($D3438="","",IF($I3438="","(trống REF)",IFERROR(INDEX(MASTER_SOURCE!$B$2:$B$495,MATCH($I3438,MASTER_SOURCE!$A$2:$A$495,0)),"(REF không có trong MASTER_SOURCE)")))</f>
        <v/>
      </c>
      <c r="K3438" s="22">
        <f t="array" ref="K3438">IF($D3438="","",IFERROR(INDEX(MASTER_SOURCE!$C$2:$C$495,MATCH($I3438,MASTER_SOURCE!$A$2:$A$495,0)),""))</f>
        <v/>
      </c>
      <c r="L3438" s="22">
        <f t="array" ref="L3438">IF($D3438="","",IFERROR(INDEX(MASTER_SOURCE!$D$2:$D$495,MATCH($I3438,MASTER_SOURCE!$A$2:$A$495,0)),""))</f>
        <v/>
      </c>
      <c r="M3438" s="24" t="n"/>
      <c r="N3438" s="24" t="n"/>
      <c r="O3438" s="24" t="n"/>
      <c r="P3438" s="24" t="n"/>
      <c r="Q3438" s="22">
        <f>IF($D3438="","",IF(AND(OR(DANH_MUC!$L$5&lt;&gt;"Có",M3438="Có"),OR(DANH_MUC!$L$6&lt;&gt;"Có",N3438="Có"),OR(DANH_MUC!$L$7&lt;&gt;"Có",O3438="Có"),OR(DANH_MUC!$L$8&lt;&gt;"Có",P3438="Có")),"Có","Không"))</f>
        <v/>
      </c>
      <c r="R3438" s="22">
        <f>IF($D3438="","",IF(COUNTIF($D$2:$D3438,$D3438)&gt;1,"Trùng",""))</f>
        <v/>
      </c>
      <c r="S3438" s="22">
        <f>IF($D3438="","",IF(AND(LEN($D3438)=10,LEFT($D3438,1)="0",ISNUMBER(--$D3438)),"Có","Không"))</f>
        <v/>
      </c>
      <c r="T3438" s="22">
        <f>IF($D3438="","",IF(AND($C3438&lt;&gt;"",$Q3438="Có",$R3438="",$S3438="Có",AND($L3438&lt;&gt;"",OR($L3438&lt;&gt;"Chưa xác định",DANH_MUC!$L$9="Có"))),"Có","Không"))</f>
        <v/>
      </c>
      <c r="U3438" s="22">
        <f>IF(OR($D3438="",$T3438="Có"),"",IF($C3438="","Thiếu họ tên; ","")&amp;IF($S3438&lt;&gt;"Có","SĐT sai định dạng; ","")&amp;IF($R3438="Trùng","Trùng SĐT; ","")&amp;IF($Q3438&lt;&gt;"Có","Thiếu đồng ý bắt buộc; ","")&amp;IF($L3438="","Thiếu/sai Mã REF; ",IF(AND($L3438="Chưa xác định",DANH_MUC!$L$9&lt;&gt;"Có"),"Nguồn chưa xác định; ","")))</f>
        <v/>
      </c>
      <c r="V3438" s="22">
        <f>IF(OR($D3438="",$R3438="Trùng"),"",IF(COUNTIF(ORDERS!$C$2:$C$4995,$D3438)&gt;0,"Có","Không"))</f>
        <v/>
      </c>
      <c r="W3438" s="22">
        <f>IF(OR($D3438="",$R3438="Trùng"),"",COUNTIFS(ORDERS!$C$2:$C$4995,$D3438,ORDERS!$L$2:$L$4995,"Đã chuyển khoản"))</f>
        <v/>
      </c>
      <c r="X3438" s="23">
        <f>IF(OR($D3438="",$R3438="Trùng"),"",SUMIFS(ORDERS!$J$2:$J$4995,ORDERS!$C$2:$C$4995,$D3438,ORDERS!$L$2:$L$4995,"Đã chuyển khoản"))</f>
        <v/>
      </c>
      <c r="Y3438" s="24" t="n"/>
    </row>
    <row r="3439" ht="14.25" customHeight="1" s="40">
      <c r="A3439" s="24" t="n"/>
      <c r="B3439" s="27" t="n"/>
      <c r="C3439" s="24" t="n"/>
      <c r="D3439" s="28" t="n"/>
      <c r="E3439" s="29" t="n"/>
      <c r="F3439" s="24" t="n"/>
      <c r="G3439" s="24" t="n"/>
      <c r="H3439" s="21">
        <f>IF(ISNUMBER($B3439),INT($B3439)-WEEKDAY($B3439,2)+1,"")</f>
        <v/>
      </c>
      <c r="I3439" s="24" t="n"/>
      <c r="J3439" s="22">
        <f t="array" ref="J3439">IF($D3439="","",IF($I3439="","(trống REF)",IFERROR(INDEX(MASTER_SOURCE!$B$2:$B$495,MATCH($I3439,MASTER_SOURCE!$A$2:$A$495,0)),"(REF không có trong MASTER_SOURCE)")))</f>
        <v/>
      </c>
      <c r="K3439" s="22">
        <f t="array" ref="K3439">IF($D3439="","",IFERROR(INDEX(MASTER_SOURCE!$C$2:$C$495,MATCH($I3439,MASTER_SOURCE!$A$2:$A$495,0)),""))</f>
        <v/>
      </c>
      <c r="L3439" s="22">
        <f t="array" ref="L3439">IF($D3439="","",IFERROR(INDEX(MASTER_SOURCE!$D$2:$D$495,MATCH($I3439,MASTER_SOURCE!$A$2:$A$495,0)),""))</f>
        <v/>
      </c>
      <c r="M3439" s="24" t="n"/>
      <c r="N3439" s="24" t="n"/>
      <c r="O3439" s="24" t="n"/>
      <c r="P3439" s="24" t="n"/>
      <c r="Q3439" s="22">
        <f>IF($D3439="","",IF(AND(OR(DANH_MUC!$L$5&lt;&gt;"Có",M3439="Có"),OR(DANH_MUC!$L$6&lt;&gt;"Có",N3439="Có"),OR(DANH_MUC!$L$7&lt;&gt;"Có",O3439="Có"),OR(DANH_MUC!$L$8&lt;&gt;"Có",P3439="Có")),"Có","Không"))</f>
        <v/>
      </c>
      <c r="R3439" s="22">
        <f>IF($D3439="","",IF(COUNTIF($D$2:$D3439,$D3439)&gt;1,"Trùng",""))</f>
        <v/>
      </c>
      <c r="S3439" s="22">
        <f>IF($D3439="","",IF(AND(LEN($D3439)=10,LEFT($D3439,1)="0",ISNUMBER(--$D3439)),"Có","Không"))</f>
        <v/>
      </c>
      <c r="T3439" s="22">
        <f>IF($D3439="","",IF(AND($C3439&lt;&gt;"",$Q3439="Có",$R3439="",$S3439="Có",AND($L3439&lt;&gt;"",OR($L3439&lt;&gt;"Chưa xác định",DANH_MUC!$L$9="Có"))),"Có","Không"))</f>
        <v/>
      </c>
      <c r="U3439" s="22">
        <f>IF(OR($D3439="",$T3439="Có"),"",IF($C3439="","Thiếu họ tên; ","")&amp;IF($S3439&lt;&gt;"Có","SĐT sai định dạng; ","")&amp;IF($R3439="Trùng","Trùng SĐT; ","")&amp;IF($Q3439&lt;&gt;"Có","Thiếu đồng ý bắt buộc; ","")&amp;IF($L3439="","Thiếu/sai Mã REF; ",IF(AND($L3439="Chưa xác định",DANH_MUC!$L$9&lt;&gt;"Có"),"Nguồn chưa xác định; ","")))</f>
        <v/>
      </c>
      <c r="V3439" s="22">
        <f>IF(OR($D3439="",$R3439="Trùng"),"",IF(COUNTIF(ORDERS!$C$2:$C$4995,$D3439)&gt;0,"Có","Không"))</f>
        <v/>
      </c>
      <c r="W3439" s="22">
        <f>IF(OR($D3439="",$R3439="Trùng"),"",COUNTIFS(ORDERS!$C$2:$C$4995,$D3439,ORDERS!$L$2:$L$4995,"Đã chuyển khoản"))</f>
        <v/>
      </c>
      <c r="X3439" s="23">
        <f>IF(OR($D3439="",$R3439="Trùng"),"",SUMIFS(ORDERS!$J$2:$J$4995,ORDERS!$C$2:$C$4995,$D3439,ORDERS!$L$2:$L$4995,"Đã chuyển khoản"))</f>
        <v/>
      </c>
      <c r="Y3439" s="24" t="n"/>
    </row>
    <row r="3440" ht="14.25" customHeight="1" s="40">
      <c r="A3440" s="24" t="n"/>
      <c r="B3440" s="27" t="n"/>
      <c r="C3440" s="24" t="n"/>
      <c r="D3440" s="28" t="n"/>
      <c r="E3440" s="29" t="n"/>
      <c r="F3440" s="24" t="n"/>
      <c r="G3440" s="24" t="n"/>
      <c r="H3440" s="21">
        <f>IF(ISNUMBER($B3440),INT($B3440)-WEEKDAY($B3440,2)+1,"")</f>
        <v/>
      </c>
      <c r="I3440" s="24" t="n"/>
      <c r="J3440" s="22">
        <f t="array" ref="J3440">IF($D3440="","",IF($I3440="","(trống REF)",IFERROR(INDEX(MASTER_SOURCE!$B$2:$B$495,MATCH($I3440,MASTER_SOURCE!$A$2:$A$495,0)),"(REF không có trong MASTER_SOURCE)")))</f>
        <v/>
      </c>
      <c r="K3440" s="22">
        <f t="array" ref="K3440">IF($D3440="","",IFERROR(INDEX(MASTER_SOURCE!$C$2:$C$495,MATCH($I3440,MASTER_SOURCE!$A$2:$A$495,0)),""))</f>
        <v/>
      </c>
      <c r="L3440" s="22">
        <f t="array" ref="L3440">IF($D3440="","",IFERROR(INDEX(MASTER_SOURCE!$D$2:$D$495,MATCH($I3440,MASTER_SOURCE!$A$2:$A$495,0)),""))</f>
        <v/>
      </c>
      <c r="M3440" s="24" t="n"/>
      <c r="N3440" s="24" t="n"/>
      <c r="O3440" s="24" t="n"/>
      <c r="P3440" s="24" t="n"/>
      <c r="Q3440" s="22">
        <f>IF($D3440="","",IF(AND(OR(DANH_MUC!$L$5&lt;&gt;"Có",M3440="Có"),OR(DANH_MUC!$L$6&lt;&gt;"Có",N3440="Có"),OR(DANH_MUC!$L$7&lt;&gt;"Có",O3440="Có"),OR(DANH_MUC!$L$8&lt;&gt;"Có",P3440="Có")),"Có","Không"))</f>
        <v/>
      </c>
      <c r="R3440" s="22">
        <f>IF($D3440="","",IF(COUNTIF($D$2:$D3440,$D3440)&gt;1,"Trùng",""))</f>
        <v/>
      </c>
      <c r="S3440" s="22">
        <f>IF($D3440="","",IF(AND(LEN($D3440)=10,LEFT($D3440,1)="0",ISNUMBER(--$D3440)),"Có","Không"))</f>
        <v/>
      </c>
      <c r="T3440" s="22">
        <f>IF($D3440="","",IF(AND($C3440&lt;&gt;"",$Q3440="Có",$R3440="",$S3440="Có",AND($L3440&lt;&gt;"",OR($L3440&lt;&gt;"Chưa xác định",DANH_MUC!$L$9="Có"))),"Có","Không"))</f>
        <v/>
      </c>
      <c r="U3440" s="22">
        <f>IF(OR($D3440="",$T3440="Có"),"",IF($C3440="","Thiếu họ tên; ","")&amp;IF($S3440&lt;&gt;"Có","SĐT sai định dạng; ","")&amp;IF($R3440="Trùng","Trùng SĐT; ","")&amp;IF($Q3440&lt;&gt;"Có","Thiếu đồng ý bắt buộc; ","")&amp;IF($L3440="","Thiếu/sai Mã REF; ",IF(AND($L3440="Chưa xác định",DANH_MUC!$L$9&lt;&gt;"Có"),"Nguồn chưa xác định; ","")))</f>
        <v/>
      </c>
      <c r="V3440" s="22">
        <f>IF(OR($D3440="",$R3440="Trùng"),"",IF(COUNTIF(ORDERS!$C$2:$C$4995,$D3440)&gt;0,"Có","Không"))</f>
        <v/>
      </c>
      <c r="W3440" s="22">
        <f>IF(OR($D3440="",$R3440="Trùng"),"",COUNTIFS(ORDERS!$C$2:$C$4995,$D3440,ORDERS!$L$2:$L$4995,"Đã chuyển khoản"))</f>
        <v/>
      </c>
      <c r="X3440" s="23">
        <f>IF(OR($D3440="",$R3440="Trùng"),"",SUMIFS(ORDERS!$J$2:$J$4995,ORDERS!$C$2:$C$4995,$D3440,ORDERS!$L$2:$L$4995,"Đã chuyển khoản"))</f>
        <v/>
      </c>
      <c r="Y3440" s="24" t="n"/>
    </row>
    <row r="3441" ht="14.25" customHeight="1" s="40">
      <c r="A3441" s="24" t="n"/>
      <c r="B3441" s="27" t="n"/>
      <c r="C3441" s="24" t="n"/>
      <c r="D3441" s="28" t="n"/>
      <c r="E3441" s="29" t="n"/>
      <c r="F3441" s="24" t="n"/>
      <c r="G3441" s="24" t="n"/>
      <c r="H3441" s="21">
        <f>IF(ISNUMBER($B3441),INT($B3441)-WEEKDAY($B3441,2)+1,"")</f>
        <v/>
      </c>
      <c r="I3441" s="24" t="n"/>
      <c r="J3441" s="22">
        <f t="array" ref="J3441">IF($D3441="","",IF($I3441="","(trống REF)",IFERROR(INDEX(MASTER_SOURCE!$B$2:$B$495,MATCH($I3441,MASTER_SOURCE!$A$2:$A$495,0)),"(REF không có trong MASTER_SOURCE)")))</f>
        <v/>
      </c>
      <c r="K3441" s="22">
        <f t="array" ref="K3441">IF($D3441="","",IFERROR(INDEX(MASTER_SOURCE!$C$2:$C$495,MATCH($I3441,MASTER_SOURCE!$A$2:$A$495,0)),""))</f>
        <v/>
      </c>
      <c r="L3441" s="22">
        <f t="array" ref="L3441">IF($D3441="","",IFERROR(INDEX(MASTER_SOURCE!$D$2:$D$495,MATCH($I3441,MASTER_SOURCE!$A$2:$A$495,0)),""))</f>
        <v/>
      </c>
      <c r="M3441" s="24" t="n"/>
      <c r="N3441" s="24" t="n"/>
      <c r="O3441" s="24" t="n"/>
      <c r="P3441" s="24" t="n"/>
      <c r="Q3441" s="22">
        <f>IF($D3441="","",IF(AND(OR(DANH_MUC!$L$5&lt;&gt;"Có",M3441="Có"),OR(DANH_MUC!$L$6&lt;&gt;"Có",N3441="Có"),OR(DANH_MUC!$L$7&lt;&gt;"Có",O3441="Có"),OR(DANH_MUC!$L$8&lt;&gt;"Có",P3441="Có")),"Có","Không"))</f>
        <v/>
      </c>
      <c r="R3441" s="22">
        <f>IF($D3441="","",IF(COUNTIF($D$2:$D3441,$D3441)&gt;1,"Trùng",""))</f>
        <v/>
      </c>
      <c r="S3441" s="22">
        <f>IF($D3441="","",IF(AND(LEN($D3441)=10,LEFT($D3441,1)="0",ISNUMBER(--$D3441)),"Có","Không"))</f>
        <v/>
      </c>
      <c r="T3441" s="22">
        <f>IF($D3441="","",IF(AND($C3441&lt;&gt;"",$Q3441="Có",$R3441="",$S3441="Có",AND($L3441&lt;&gt;"",OR($L3441&lt;&gt;"Chưa xác định",DANH_MUC!$L$9="Có"))),"Có","Không"))</f>
        <v/>
      </c>
      <c r="U3441" s="22">
        <f>IF(OR($D3441="",$T3441="Có"),"",IF($C3441="","Thiếu họ tên; ","")&amp;IF($S3441&lt;&gt;"Có","SĐT sai định dạng; ","")&amp;IF($R3441="Trùng","Trùng SĐT; ","")&amp;IF($Q3441&lt;&gt;"Có","Thiếu đồng ý bắt buộc; ","")&amp;IF($L3441="","Thiếu/sai Mã REF; ",IF(AND($L3441="Chưa xác định",DANH_MUC!$L$9&lt;&gt;"Có"),"Nguồn chưa xác định; ","")))</f>
        <v/>
      </c>
      <c r="V3441" s="22">
        <f>IF(OR($D3441="",$R3441="Trùng"),"",IF(COUNTIF(ORDERS!$C$2:$C$4995,$D3441)&gt;0,"Có","Không"))</f>
        <v/>
      </c>
      <c r="W3441" s="22">
        <f>IF(OR($D3441="",$R3441="Trùng"),"",COUNTIFS(ORDERS!$C$2:$C$4995,$D3441,ORDERS!$L$2:$L$4995,"Đã chuyển khoản"))</f>
        <v/>
      </c>
      <c r="X3441" s="23">
        <f>IF(OR($D3441="",$R3441="Trùng"),"",SUMIFS(ORDERS!$J$2:$J$4995,ORDERS!$C$2:$C$4995,$D3441,ORDERS!$L$2:$L$4995,"Đã chuyển khoản"))</f>
        <v/>
      </c>
      <c r="Y3441" s="24" t="n"/>
    </row>
    <row r="3442" ht="14.25" customHeight="1" s="40">
      <c r="A3442" s="24" t="n"/>
      <c r="B3442" s="27" t="n"/>
      <c r="C3442" s="24" t="n"/>
      <c r="D3442" s="28" t="n"/>
      <c r="E3442" s="29" t="n"/>
      <c r="F3442" s="24" t="n"/>
      <c r="G3442" s="24" t="n"/>
      <c r="H3442" s="21">
        <f>IF(ISNUMBER($B3442),INT($B3442)-WEEKDAY($B3442,2)+1,"")</f>
        <v/>
      </c>
      <c r="I3442" s="24" t="n"/>
      <c r="J3442" s="22">
        <f t="array" ref="J3442">IF($D3442="","",IF($I3442="","(trống REF)",IFERROR(INDEX(MASTER_SOURCE!$B$2:$B$495,MATCH($I3442,MASTER_SOURCE!$A$2:$A$495,0)),"(REF không có trong MASTER_SOURCE)")))</f>
        <v/>
      </c>
      <c r="K3442" s="22">
        <f t="array" ref="K3442">IF($D3442="","",IFERROR(INDEX(MASTER_SOURCE!$C$2:$C$495,MATCH($I3442,MASTER_SOURCE!$A$2:$A$495,0)),""))</f>
        <v/>
      </c>
      <c r="L3442" s="22">
        <f t="array" ref="L3442">IF($D3442="","",IFERROR(INDEX(MASTER_SOURCE!$D$2:$D$495,MATCH($I3442,MASTER_SOURCE!$A$2:$A$495,0)),""))</f>
        <v/>
      </c>
      <c r="M3442" s="24" t="n"/>
      <c r="N3442" s="24" t="n"/>
      <c r="O3442" s="24" t="n"/>
      <c r="P3442" s="24" t="n"/>
      <c r="Q3442" s="22">
        <f>IF($D3442="","",IF(AND(OR(DANH_MUC!$L$5&lt;&gt;"Có",M3442="Có"),OR(DANH_MUC!$L$6&lt;&gt;"Có",N3442="Có"),OR(DANH_MUC!$L$7&lt;&gt;"Có",O3442="Có"),OR(DANH_MUC!$L$8&lt;&gt;"Có",P3442="Có")),"Có","Không"))</f>
        <v/>
      </c>
      <c r="R3442" s="22">
        <f>IF($D3442="","",IF(COUNTIF($D$2:$D3442,$D3442)&gt;1,"Trùng",""))</f>
        <v/>
      </c>
      <c r="S3442" s="22">
        <f>IF($D3442="","",IF(AND(LEN($D3442)=10,LEFT($D3442,1)="0",ISNUMBER(--$D3442)),"Có","Không"))</f>
        <v/>
      </c>
      <c r="T3442" s="22">
        <f>IF($D3442="","",IF(AND($C3442&lt;&gt;"",$Q3442="Có",$R3442="",$S3442="Có",AND($L3442&lt;&gt;"",OR($L3442&lt;&gt;"Chưa xác định",DANH_MUC!$L$9="Có"))),"Có","Không"))</f>
        <v/>
      </c>
      <c r="U3442" s="22">
        <f>IF(OR($D3442="",$T3442="Có"),"",IF($C3442="","Thiếu họ tên; ","")&amp;IF($S3442&lt;&gt;"Có","SĐT sai định dạng; ","")&amp;IF($R3442="Trùng","Trùng SĐT; ","")&amp;IF($Q3442&lt;&gt;"Có","Thiếu đồng ý bắt buộc; ","")&amp;IF($L3442="","Thiếu/sai Mã REF; ",IF(AND($L3442="Chưa xác định",DANH_MUC!$L$9&lt;&gt;"Có"),"Nguồn chưa xác định; ","")))</f>
        <v/>
      </c>
      <c r="V3442" s="22">
        <f>IF(OR($D3442="",$R3442="Trùng"),"",IF(COUNTIF(ORDERS!$C$2:$C$4995,$D3442)&gt;0,"Có","Không"))</f>
        <v/>
      </c>
      <c r="W3442" s="22">
        <f>IF(OR($D3442="",$R3442="Trùng"),"",COUNTIFS(ORDERS!$C$2:$C$4995,$D3442,ORDERS!$L$2:$L$4995,"Đã chuyển khoản"))</f>
        <v/>
      </c>
      <c r="X3442" s="23">
        <f>IF(OR($D3442="",$R3442="Trùng"),"",SUMIFS(ORDERS!$J$2:$J$4995,ORDERS!$C$2:$C$4995,$D3442,ORDERS!$L$2:$L$4995,"Đã chuyển khoản"))</f>
        <v/>
      </c>
      <c r="Y3442" s="24" t="n"/>
    </row>
    <row r="3443" ht="14.25" customHeight="1" s="40">
      <c r="A3443" s="24" t="n"/>
      <c r="B3443" s="27" t="n"/>
      <c r="C3443" s="24" t="n"/>
      <c r="D3443" s="28" t="n"/>
      <c r="E3443" s="29" t="n"/>
      <c r="F3443" s="24" t="n"/>
      <c r="G3443" s="24" t="n"/>
      <c r="H3443" s="21">
        <f>IF(ISNUMBER($B3443),INT($B3443)-WEEKDAY($B3443,2)+1,"")</f>
        <v/>
      </c>
      <c r="I3443" s="24" t="n"/>
      <c r="J3443" s="22">
        <f t="array" ref="J3443">IF($D3443="","",IF($I3443="","(trống REF)",IFERROR(INDEX(MASTER_SOURCE!$B$2:$B$495,MATCH($I3443,MASTER_SOURCE!$A$2:$A$495,0)),"(REF không có trong MASTER_SOURCE)")))</f>
        <v/>
      </c>
      <c r="K3443" s="22">
        <f t="array" ref="K3443">IF($D3443="","",IFERROR(INDEX(MASTER_SOURCE!$C$2:$C$495,MATCH($I3443,MASTER_SOURCE!$A$2:$A$495,0)),""))</f>
        <v/>
      </c>
      <c r="L3443" s="22">
        <f t="array" ref="L3443">IF($D3443="","",IFERROR(INDEX(MASTER_SOURCE!$D$2:$D$495,MATCH($I3443,MASTER_SOURCE!$A$2:$A$495,0)),""))</f>
        <v/>
      </c>
      <c r="M3443" s="24" t="n"/>
      <c r="N3443" s="24" t="n"/>
      <c r="O3443" s="24" t="n"/>
      <c r="P3443" s="24" t="n"/>
      <c r="Q3443" s="22">
        <f>IF($D3443="","",IF(AND(OR(DANH_MUC!$L$5&lt;&gt;"Có",M3443="Có"),OR(DANH_MUC!$L$6&lt;&gt;"Có",N3443="Có"),OR(DANH_MUC!$L$7&lt;&gt;"Có",O3443="Có"),OR(DANH_MUC!$L$8&lt;&gt;"Có",P3443="Có")),"Có","Không"))</f>
        <v/>
      </c>
      <c r="R3443" s="22">
        <f>IF($D3443="","",IF(COUNTIF($D$2:$D3443,$D3443)&gt;1,"Trùng",""))</f>
        <v/>
      </c>
      <c r="S3443" s="22">
        <f>IF($D3443="","",IF(AND(LEN($D3443)=10,LEFT($D3443,1)="0",ISNUMBER(--$D3443)),"Có","Không"))</f>
        <v/>
      </c>
      <c r="T3443" s="22">
        <f>IF($D3443="","",IF(AND($C3443&lt;&gt;"",$Q3443="Có",$R3443="",$S3443="Có",AND($L3443&lt;&gt;"",OR($L3443&lt;&gt;"Chưa xác định",DANH_MUC!$L$9="Có"))),"Có","Không"))</f>
        <v/>
      </c>
      <c r="U3443" s="22">
        <f>IF(OR($D3443="",$T3443="Có"),"",IF($C3443="","Thiếu họ tên; ","")&amp;IF($S3443&lt;&gt;"Có","SĐT sai định dạng; ","")&amp;IF($R3443="Trùng","Trùng SĐT; ","")&amp;IF($Q3443&lt;&gt;"Có","Thiếu đồng ý bắt buộc; ","")&amp;IF($L3443="","Thiếu/sai Mã REF; ",IF(AND($L3443="Chưa xác định",DANH_MUC!$L$9&lt;&gt;"Có"),"Nguồn chưa xác định; ","")))</f>
        <v/>
      </c>
      <c r="V3443" s="22">
        <f>IF(OR($D3443="",$R3443="Trùng"),"",IF(COUNTIF(ORDERS!$C$2:$C$4995,$D3443)&gt;0,"Có","Không"))</f>
        <v/>
      </c>
      <c r="W3443" s="22">
        <f>IF(OR($D3443="",$R3443="Trùng"),"",COUNTIFS(ORDERS!$C$2:$C$4995,$D3443,ORDERS!$L$2:$L$4995,"Đã chuyển khoản"))</f>
        <v/>
      </c>
      <c r="X3443" s="23">
        <f>IF(OR($D3443="",$R3443="Trùng"),"",SUMIFS(ORDERS!$J$2:$J$4995,ORDERS!$C$2:$C$4995,$D3443,ORDERS!$L$2:$L$4995,"Đã chuyển khoản"))</f>
        <v/>
      </c>
      <c r="Y3443" s="24" t="n"/>
    </row>
    <row r="3444" ht="14.25" customHeight="1" s="40">
      <c r="A3444" s="24" t="n"/>
      <c r="B3444" s="27" t="n"/>
      <c r="C3444" s="24" t="n"/>
      <c r="D3444" s="28" t="n"/>
      <c r="E3444" s="29" t="n"/>
      <c r="F3444" s="24" t="n"/>
      <c r="G3444" s="24" t="n"/>
      <c r="H3444" s="21">
        <f>IF(ISNUMBER($B3444),INT($B3444)-WEEKDAY($B3444,2)+1,"")</f>
        <v/>
      </c>
      <c r="I3444" s="24" t="n"/>
      <c r="J3444" s="22">
        <f t="array" ref="J3444">IF($D3444="","",IF($I3444="","(trống REF)",IFERROR(INDEX(MASTER_SOURCE!$B$2:$B$495,MATCH($I3444,MASTER_SOURCE!$A$2:$A$495,0)),"(REF không có trong MASTER_SOURCE)")))</f>
        <v/>
      </c>
      <c r="K3444" s="22">
        <f t="array" ref="K3444">IF($D3444="","",IFERROR(INDEX(MASTER_SOURCE!$C$2:$C$495,MATCH($I3444,MASTER_SOURCE!$A$2:$A$495,0)),""))</f>
        <v/>
      </c>
      <c r="L3444" s="22">
        <f t="array" ref="L3444">IF($D3444="","",IFERROR(INDEX(MASTER_SOURCE!$D$2:$D$495,MATCH($I3444,MASTER_SOURCE!$A$2:$A$495,0)),""))</f>
        <v/>
      </c>
      <c r="M3444" s="24" t="n"/>
      <c r="N3444" s="24" t="n"/>
      <c r="O3444" s="24" t="n"/>
      <c r="P3444" s="24" t="n"/>
      <c r="Q3444" s="22">
        <f>IF($D3444="","",IF(AND(OR(DANH_MUC!$L$5&lt;&gt;"Có",M3444="Có"),OR(DANH_MUC!$L$6&lt;&gt;"Có",N3444="Có"),OR(DANH_MUC!$L$7&lt;&gt;"Có",O3444="Có"),OR(DANH_MUC!$L$8&lt;&gt;"Có",P3444="Có")),"Có","Không"))</f>
        <v/>
      </c>
      <c r="R3444" s="22">
        <f>IF($D3444="","",IF(COUNTIF($D$2:$D3444,$D3444)&gt;1,"Trùng",""))</f>
        <v/>
      </c>
      <c r="S3444" s="22">
        <f>IF($D3444="","",IF(AND(LEN($D3444)=10,LEFT($D3444,1)="0",ISNUMBER(--$D3444)),"Có","Không"))</f>
        <v/>
      </c>
      <c r="T3444" s="22">
        <f>IF($D3444="","",IF(AND($C3444&lt;&gt;"",$Q3444="Có",$R3444="",$S3444="Có",AND($L3444&lt;&gt;"",OR($L3444&lt;&gt;"Chưa xác định",DANH_MUC!$L$9="Có"))),"Có","Không"))</f>
        <v/>
      </c>
      <c r="U3444" s="22">
        <f>IF(OR($D3444="",$T3444="Có"),"",IF($C3444="","Thiếu họ tên; ","")&amp;IF($S3444&lt;&gt;"Có","SĐT sai định dạng; ","")&amp;IF($R3444="Trùng","Trùng SĐT; ","")&amp;IF($Q3444&lt;&gt;"Có","Thiếu đồng ý bắt buộc; ","")&amp;IF($L3444="","Thiếu/sai Mã REF; ",IF(AND($L3444="Chưa xác định",DANH_MUC!$L$9&lt;&gt;"Có"),"Nguồn chưa xác định; ","")))</f>
        <v/>
      </c>
      <c r="V3444" s="22">
        <f>IF(OR($D3444="",$R3444="Trùng"),"",IF(COUNTIF(ORDERS!$C$2:$C$4995,$D3444)&gt;0,"Có","Không"))</f>
        <v/>
      </c>
      <c r="W3444" s="22">
        <f>IF(OR($D3444="",$R3444="Trùng"),"",COUNTIFS(ORDERS!$C$2:$C$4995,$D3444,ORDERS!$L$2:$L$4995,"Đã chuyển khoản"))</f>
        <v/>
      </c>
      <c r="X3444" s="23">
        <f>IF(OR($D3444="",$R3444="Trùng"),"",SUMIFS(ORDERS!$J$2:$J$4995,ORDERS!$C$2:$C$4995,$D3444,ORDERS!$L$2:$L$4995,"Đã chuyển khoản"))</f>
        <v/>
      </c>
      <c r="Y3444" s="24" t="n"/>
    </row>
    <row r="3445" ht="14.25" customHeight="1" s="40">
      <c r="A3445" s="24" t="n"/>
      <c r="B3445" s="27" t="n"/>
      <c r="C3445" s="24" t="n"/>
      <c r="D3445" s="28" t="n"/>
      <c r="E3445" s="29" t="n"/>
      <c r="F3445" s="24" t="n"/>
      <c r="G3445" s="24" t="n"/>
      <c r="H3445" s="21">
        <f>IF(ISNUMBER($B3445),INT($B3445)-WEEKDAY($B3445,2)+1,"")</f>
        <v/>
      </c>
      <c r="I3445" s="24" t="n"/>
      <c r="J3445" s="22">
        <f t="array" ref="J3445">IF($D3445="","",IF($I3445="","(trống REF)",IFERROR(INDEX(MASTER_SOURCE!$B$2:$B$495,MATCH($I3445,MASTER_SOURCE!$A$2:$A$495,0)),"(REF không có trong MASTER_SOURCE)")))</f>
        <v/>
      </c>
      <c r="K3445" s="22">
        <f t="array" ref="K3445">IF($D3445="","",IFERROR(INDEX(MASTER_SOURCE!$C$2:$C$495,MATCH($I3445,MASTER_SOURCE!$A$2:$A$495,0)),""))</f>
        <v/>
      </c>
      <c r="L3445" s="22">
        <f t="array" ref="L3445">IF($D3445="","",IFERROR(INDEX(MASTER_SOURCE!$D$2:$D$495,MATCH($I3445,MASTER_SOURCE!$A$2:$A$495,0)),""))</f>
        <v/>
      </c>
      <c r="M3445" s="24" t="n"/>
      <c r="N3445" s="24" t="n"/>
      <c r="O3445" s="24" t="n"/>
      <c r="P3445" s="24" t="n"/>
      <c r="Q3445" s="22">
        <f>IF($D3445="","",IF(AND(OR(DANH_MUC!$L$5&lt;&gt;"Có",M3445="Có"),OR(DANH_MUC!$L$6&lt;&gt;"Có",N3445="Có"),OR(DANH_MUC!$L$7&lt;&gt;"Có",O3445="Có"),OR(DANH_MUC!$L$8&lt;&gt;"Có",P3445="Có")),"Có","Không"))</f>
        <v/>
      </c>
      <c r="R3445" s="22">
        <f>IF($D3445="","",IF(COUNTIF($D$2:$D3445,$D3445)&gt;1,"Trùng",""))</f>
        <v/>
      </c>
      <c r="S3445" s="22">
        <f>IF($D3445="","",IF(AND(LEN($D3445)=10,LEFT($D3445,1)="0",ISNUMBER(--$D3445)),"Có","Không"))</f>
        <v/>
      </c>
      <c r="T3445" s="22">
        <f>IF($D3445="","",IF(AND($C3445&lt;&gt;"",$Q3445="Có",$R3445="",$S3445="Có",AND($L3445&lt;&gt;"",OR($L3445&lt;&gt;"Chưa xác định",DANH_MUC!$L$9="Có"))),"Có","Không"))</f>
        <v/>
      </c>
      <c r="U3445" s="22">
        <f>IF(OR($D3445="",$T3445="Có"),"",IF($C3445="","Thiếu họ tên; ","")&amp;IF($S3445&lt;&gt;"Có","SĐT sai định dạng; ","")&amp;IF($R3445="Trùng","Trùng SĐT; ","")&amp;IF($Q3445&lt;&gt;"Có","Thiếu đồng ý bắt buộc; ","")&amp;IF($L3445="","Thiếu/sai Mã REF; ",IF(AND($L3445="Chưa xác định",DANH_MUC!$L$9&lt;&gt;"Có"),"Nguồn chưa xác định; ","")))</f>
        <v/>
      </c>
      <c r="V3445" s="22">
        <f>IF(OR($D3445="",$R3445="Trùng"),"",IF(COUNTIF(ORDERS!$C$2:$C$4995,$D3445)&gt;0,"Có","Không"))</f>
        <v/>
      </c>
      <c r="W3445" s="22">
        <f>IF(OR($D3445="",$R3445="Trùng"),"",COUNTIFS(ORDERS!$C$2:$C$4995,$D3445,ORDERS!$L$2:$L$4995,"Đã chuyển khoản"))</f>
        <v/>
      </c>
      <c r="X3445" s="23">
        <f>IF(OR($D3445="",$R3445="Trùng"),"",SUMIFS(ORDERS!$J$2:$J$4995,ORDERS!$C$2:$C$4995,$D3445,ORDERS!$L$2:$L$4995,"Đã chuyển khoản"))</f>
        <v/>
      </c>
      <c r="Y3445" s="24" t="n"/>
    </row>
    <row r="3446" ht="14.25" customHeight="1" s="40">
      <c r="A3446" s="24" t="n"/>
      <c r="B3446" s="27" t="n"/>
      <c r="C3446" s="24" t="n"/>
      <c r="D3446" s="28" t="n"/>
      <c r="E3446" s="29" t="n"/>
      <c r="F3446" s="24" t="n"/>
      <c r="G3446" s="24" t="n"/>
      <c r="H3446" s="21">
        <f>IF(ISNUMBER($B3446),INT($B3446)-WEEKDAY($B3446,2)+1,"")</f>
        <v/>
      </c>
      <c r="I3446" s="24" t="n"/>
      <c r="J3446" s="22">
        <f t="array" ref="J3446">IF($D3446="","",IF($I3446="","(trống REF)",IFERROR(INDEX(MASTER_SOURCE!$B$2:$B$495,MATCH($I3446,MASTER_SOURCE!$A$2:$A$495,0)),"(REF không có trong MASTER_SOURCE)")))</f>
        <v/>
      </c>
      <c r="K3446" s="22">
        <f t="array" ref="K3446">IF($D3446="","",IFERROR(INDEX(MASTER_SOURCE!$C$2:$C$495,MATCH($I3446,MASTER_SOURCE!$A$2:$A$495,0)),""))</f>
        <v/>
      </c>
      <c r="L3446" s="22">
        <f t="array" ref="L3446">IF($D3446="","",IFERROR(INDEX(MASTER_SOURCE!$D$2:$D$495,MATCH($I3446,MASTER_SOURCE!$A$2:$A$495,0)),""))</f>
        <v/>
      </c>
      <c r="M3446" s="24" t="n"/>
      <c r="N3446" s="24" t="n"/>
      <c r="O3446" s="24" t="n"/>
      <c r="P3446" s="24" t="n"/>
      <c r="Q3446" s="22">
        <f>IF($D3446="","",IF(AND(OR(DANH_MUC!$L$5&lt;&gt;"Có",M3446="Có"),OR(DANH_MUC!$L$6&lt;&gt;"Có",N3446="Có"),OR(DANH_MUC!$L$7&lt;&gt;"Có",O3446="Có"),OR(DANH_MUC!$L$8&lt;&gt;"Có",P3446="Có")),"Có","Không"))</f>
        <v/>
      </c>
      <c r="R3446" s="22">
        <f>IF($D3446="","",IF(COUNTIF($D$2:$D3446,$D3446)&gt;1,"Trùng",""))</f>
        <v/>
      </c>
      <c r="S3446" s="22">
        <f>IF($D3446="","",IF(AND(LEN($D3446)=10,LEFT($D3446,1)="0",ISNUMBER(--$D3446)),"Có","Không"))</f>
        <v/>
      </c>
      <c r="T3446" s="22">
        <f>IF($D3446="","",IF(AND($C3446&lt;&gt;"",$Q3446="Có",$R3446="",$S3446="Có",AND($L3446&lt;&gt;"",OR($L3446&lt;&gt;"Chưa xác định",DANH_MUC!$L$9="Có"))),"Có","Không"))</f>
        <v/>
      </c>
      <c r="U3446" s="22">
        <f>IF(OR($D3446="",$T3446="Có"),"",IF($C3446="","Thiếu họ tên; ","")&amp;IF($S3446&lt;&gt;"Có","SĐT sai định dạng; ","")&amp;IF($R3446="Trùng","Trùng SĐT; ","")&amp;IF($Q3446&lt;&gt;"Có","Thiếu đồng ý bắt buộc; ","")&amp;IF($L3446="","Thiếu/sai Mã REF; ",IF(AND($L3446="Chưa xác định",DANH_MUC!$L$9&lt;&gt;"Có"),"Nguồn chưa xác định; ","")))</f>
        <v/>
      </c>
      <c r="V3446" s="22">
        <f>IF(OR($D3446="",$R3446="Trùng"),"",IF(COUNTIF(ORDERS!$C$2:$C$4995,$D3446)&gt;0,"Có","Không"))</f>
        <v/>
      </c>
      <c r="W3446" s="22">
        <f>IF(OR($D3446="",$R3446="Trùng"),"",COUNTIFS(ORDERS!$C$2:$C$4995,$D3446,ORDERS!$L$2:$L$4995,"Đã chuyển khoản"))</f>
        <v/>
      </c>
      <c r="X3446" s="23">
        <f>IF(OR($D3446="",$R3446="Trùng"),"",SUMIFS(ORDERS!$J$2:$J$4995,ORDERS!$C$2:$C$4995,$D3446,ORDERS!$L$2:$L$4995,"Đã chuyển khoản"))</f>
        <v/>
      </c>
      <c r="Y3446" s="24" t="n"/>
    </row>
    <row r="3447" ht="14.25" customHeight="1" s="40">
      <c r="A3447" s="24" t="n"/>
      <c r="B3447" s="27" t="n"/>
      <c r="C3447" s="24" t="n"/>
      <c r="D3447" s="28" t="n"/>
      <c r="E3447" s="29" t="n"/>
      <c r="F3447" s="24" t="n"/>
      <c r="G3447" s="24" t="n"/>
      <c r="H3447" s="21">
        <f>IF(ISNUMBER($B3447),INT($B3447)-WEEKDAY($B3447,2)+1,"")</f>
        <v/>
      </c>
      <c r="I3447" s="24" t="n"/>
      <c r="J3447" s="22">
        <f t="array" ref="J3447">IF($D3447="","",IF($I3447="","(trống REF)",IFERROR(INDEX(MASTER_SOURCE!$B$2:$B$495,MATCH($I3447,MASTER_SOURCE!$A$2:$A$495,0)),"(REF không có trong MASTER_SOURCE)")))</f>
        <v/>
      </c>
      <c r="K3447" s="22">
        <f t="array" ref="K3447">IF($D3447="","",IFERROR(INDEX(MASTER_SOURCE!$C$2:$C$495,MATCH($I3447,MASTER_SOURCE!$A$2:$A$495,0)),""))</f>
        <v/>
      </c>
      <c r="L3447" s="22">
        <f t="array" ref="L3447">IF($D3447="","",IFERROR(INDEX(MASTER_SOURCE!$D$2:$D$495,MATCH($I3447,MASTER_SOURCE!$A$2:$A$495,0)),""))</f>
        <v/>
      </c>
      <c r="M3447" s="24" t="n"/>
      <c r="N3447" s="24" t="n"/>
      <c r="O3447" s="24" t="n"/>
      <c r="P3447" s="24" t="n"/>
      <c r="Q3447" s="22">
        <f>IF($D3447="","",IF(AND(OR(DANH_MUC!$L$5&lt;&gt;"Có",M3447="Có"),OR(DANH_MUC!$L$6&lt;&gt;"Có",N3447="Có"),OR(DANH_MUC!$L$7&lt;&gt;"Có",O3447="Có"),OR(DANH_MUC!$L$8&lt;&gt;"Có",P3447="Có")),"Có","Không"))</f>
        <v/>
      </c>
      <c r="R3447" s="22">
        <f>IF($D3447="","",IF(COUNTIF($D$2:$D3447,$D3447)&gt;1,"Trùng",""))</f>
        <v/>
      </c>
      <c r="S3447" s="22">
        <f>IF($D3447="","",IF(AND(LEN($D3447)=10,LEFT($D3447,1)="0",ISNUMBER(--$D3447)),"Có","Không"))</f>
        <v/>
      </c>
      <c r="T3447" s="22">
        <f>IF($D3447="","",IF(AND($C3447&lt;&gt;"",$Q3447="Có",$R3447="",$S3447="Có",AND($L3447&lt;&gt;"",OR($L3447&lt;&gt;"Chưa xác định",DANH_MUC!$L$9="Có"))),"Có","Không"))</f>
        <v/>
      </c>
      <c r="U3447" s="22">
        <f>IF(OR($D3447="",$T3447="Có"),"",IF($C3447="","Thiếu họ tên; ","")&amp;IF($S3447&lt;&gt;"Có","SĐT sai định dạng; ","")&amp;IF($R3447="Trùng","Trùng SĐT; ","")&amp;IF($Q3447&lt;&gt;"Có","Thiếu đồng ý bắt buộc; ","")&amp;IF($L3447="","Thiếu/sai Mã REF; ",IF(AND($L3447="Chưa xác định",DANH_MUC!$L$9&lt;&gt;"Có"),"Nguồn chưa xác định; ","")))</f>
        <v/>
      </c>
      <c r="V3447" s="22">
        <f>IF(OR($D3447="",$R3447="Trùng"),"",IF(COUNTIF(ORDERS!$C$2:$C$4995,$D3447)&gt;0,"Có","Không"))</f>
        <v/>
      </c>
      <c r="W3447" s="22">
        <f>IF(OR($D3447="",$R3447="Trùng"),"",COUNTIFS(ORDERS!$C$2:$C$4995,$D3447,ORDERS!$L$2:$L$4995,"Đã chuyển khoản"))</f>
        <v/>
      </c>
      <c r="X3447" s="23">
        <f>IF(OR($D3447="",$R3447="Trùng"),"",SUMIFS(ORDERS!$J$2:$J$4995,ORDERS!$C$2:$C$4995,$D3447,ORDERS!$L$2:$L$4995,"Đã chuyển khoản"))</f>
        <v/>
      </c>
      <c r="Y3447" s="24" t="n"/>
    </row>
    <row r="3448" ht="14.25" customHeight="1" s="40">
      <c r="A3448" s="24" t="n"/>
      <c r="B3448" s="27" t="n"/>
      <c r="C3448" s="24" t="n"/>
      <c r="D3448" s="28" t="n"/>
      <c r="E3448" s="29" t="n"/>
      <c r="F3448" s="24" t="n"/>
      <c r="G3448" s="24" t="n"/>
      <c r="H3448" s="21">
        <f>IF(ISNUMBER($B3448),INT($B3448)-WEEKDAY($B3448,2)+1,"")</f>
        <v/>
      </c>
      <c r="I3448" s="24" t="n"/>
      <c r="J3448" s="22">
        <f t="array" ref="J3448">IF($D3448="","",IF($I3448="","(trống REF)",IFERROR(INDEX(MASTER_SOURCE!$B$2:$B$495,MATCH($I3448,MASTER_SOURCE!$A$2:$A$495,0)),"(REF không có trong MASTER_SOURCE)")))</f>
        <v/>
      </c>
      <c r="K3448" s="22">
        <f t="array" ref="K3448">IF($D3448="","",IFERROR(INDEX(MASTER_SOURCE!$C$2:$C$495,MATCH($I3448,MASTER_SOURCE!$A$2:$A$495,0)),""))</f>
        <v/>
      </c>
      <c r="L3448" s="22">
        <f t="array" ref="L3448">IF($D3448="","",IFERROR(INDEX(MASTER_SOURCE!$D$2:$D$495,MATCH($I3448,MASTER_SOURCE!$A$2:$A$495,0)),""))</f>
        <v/>
      </c>
      <c r="M3448" s="24" t="n"/>
      <c r="N3448" s="24" t="n"/>
      <c r="O3448" s="24" t="n"/>
      <c r="P3448" s="24" t="n"/>
      <c r="Q3448" s="22">
        <f>IF($D3448="","",IF(AND(OR(DANH_MUC!$L$5&lt;&gt;"Có",M3448="Có"),OR(DANH_MUC!$L$6&lt;&gt;"Có",N3448="Có"),OR(DANH_MUC!$L$7&lt;&gt;"Có",O3448="Có"),OR(DANH_MUC!$L$8&lt;&gt;"Có",P3448="Có")),"Có","Không"))</f>
        <v/>
      </c>
      <c r="R3448" s="22">
        <f>IF($D3448="","",IF(COUNTIF($D$2:$D3448,$D3448)&gt;1,"Trùng",""))</f>
        <v/>
      </c>
      <c r="S3448" s="22">
        <f>IF($D3448="","",IF(AND(LEN($D3448)=10,LEFT($D3448,1)="0",ISNUMBER(--$D3448)),"Có","Không"))</f>
        <v/>
      </c>
      <c r="T3448" s="22">
        <f>IF($D3448="","",IF(AND($C3448&lt;&gt;"",$Q3448="Có",$R3448="",$S3448="Có",AND($L3448&lt;&gt;"",OR($L3448&lt;&gt;"Chưa xác định",DANH_MUC!$L$9="Có"))),"Có","Không"))</f>
        <v/>
      </c>
      <c r="U3448" s="22">
        <f>IF(OR($D3448="",$T3448="Có"),"",IF($C3448="","Thiếu họ tên; ","")&amp;IF($S3448&lt;&gt;"Có","SĐT sai định dạng; ","")&amp;IF($R3448="Trùng","Trùng SĐT; ","")&amp;IF($Q3448&lt;&gt;"Có","Thiếu đồng ý bắt buộc; ","")&amp;IF($L3448="","Thiếu/sai Mã REF; ",IF(AND($L3448="Chưa xác định",DANH_MUC!$L$9&lt;&gt;"Có"),"Nguồn chưa xác định; ","")))</f>
        <v/>
      </c>
      <c r="V3448" s="22">
        <f>IF(OR($D3448="",$R3448="Trùng"),"",IF(COUNTIF(ORDERS!$C$2:$C$4995,$D3448)&gt;0,"Có","Không"))</f>
        <v/>
      </c>
      <c r="W3448" s="22">
        <f>IF(OR($D3448="",$R3448="Trùng"),"",COUNTIFS(ORDERS!$C$2:$C$4995,$D3448,ORDERS!$L$2:$L$4995,"Đã chuyển khoản"))</f>
        <v/>
      </c>
      <c r="X3448" s="23">
        <f>IF(OR($D3448="",$R3448="Trùng"),"",SUMIFS(ORDERS!$J$2:$J$4995,ORDERS!$C$2:$C$4995,$D3448,ORDERS!$L$2:$L$4995,"Đã chuyển khoản"))</f>
        <v/>
      </c>
      <c r="Y3448" s="24" t="n"/>
    </row>
    <row r="3449" ht="14.25" customHeight="1" s="40">
      <c r="A3449" s="24" t="n"/>
      <c r="B3449" s="27" t="n"/>
      <c r="C3449" s="24" t="n"/>
      <c r="D3449" s="28" t="n"/>
      <c r="E3449" s="29" t="n"/>
      <c r="F3449" s="24" t="n"/>
      <c r="G3449" s="24" t="n"/>
      <c r="H3449" s="21">
        <f>IF(ISNUMBER($B3449),INT($B3449)-WEEKDAY($B3449,2)+1,"")</f>
        <v/>
      </c>
      <c r="I3449" s="24" t="n"/>
      <c r="J3449" s="22">
        <f t="array" ref="J3449">IF($D3449="","",IF($I3449="","(trống REF)",IFERROR(INDEX(MASTER_SOURCE!$B$2:$B$495,MATCH($I3449,MASTER_SOURCE!$A$2:$A$495,0)),"(REF không có trong MASTER_SOURCE)")))</f>
        <v/>
      </c>
      <c r="K3449" s="22">
        <f t="array" ref="K3449">IF($D3449="","",IFERROR(INDEX(MASTER_SOURCE!$C$2:$C$495,MATCH($I3449,MASTER_SOURCE!$A$2:$A$495,0)),""))</f>
        <v/>
      </c>
      <c r="L3449" s="22">
        <f t="array" ref="L3449">IF($D3449="","",IFERROR(INDEX(MASTER_SOURCE!$D$2:$D$495,MATCH($I3449,MASTER_SOURCE!$A$2:$A$495,0)),""))</f>
        <v/>
      </c>
      <c r="M3449" s="24" t="n"/>
      <c r="N3449" s="24" t="n"/>
      <c r="O3449" s="24" t="n"/>
      <c r="P3449" s="24" t="n"/>
      <c r="Q3449" s="22">
        <f>IF($D3449="","",IF(AND(OR(DANH_MUC!$L$5&lt;&gt;"Có",M3449="Có"),OR(DANH_MUC!$L$6&lt;&gt;"Có",N3449="Có"),OR(DANH_MUC!$L$7&lt;&gt;"Có",O3449="Có"),OR(DANH_MUC!$L$8&lt;&gt;"Có",P3449="Có")),"Có","Không"))</f>
        <v/>
      </c>
      <c r="R3449" s="22">
        <f>IF($D3449="","",IF(COUNTIF($D$2:$D3449,$D3449)&gt;1,"Trùng",""))</f>
        <v/>
      </c>
      <c r="S3449" s="22">
        <f>IF($D3449="","",IF(AND(LEN($D3449)=10,LEFT($D3449,1)="0",ISNUMBER(--$D3449)),"Có","Không"))</f>
        <v/>
      </c>
      <c r="T3449" s="22">
        <f>IF($D3449="","",IF(AND($C3449&lt;&gt;"",$Q3449="Có",$R3449="",$S3449="Có",AND($L3449&lt;&gt;"",OR($L3449&lt;&gt;"Chưa xác định",DANH_MUC!$L$9="Có"))),"Có","Không"))</f>
        <v/>
      </c>
      <c r="U3449" s="22">
        <f>IF(OR($D3449="",$T3449="Có"),"",IF($C3449="","Thiếu họ tên; ","")&amp;IF($S3449&lt;&gt;"Có","SĐT sai định dạng; ","")&amp;IF($R3449="Trùng","Trùng SĐT; ","")&amp;IF($Q3449&lt;&gt;"Có","Thiếu đồng ý bắt buộc; ","")&amp;IF($L3449="","Thiếu/sai Mã REF; ",IF(AND($L3449="Chưa xác định",DANH_MUC!$L$9&lt;&gt;"Có"),"Nguồn chưa xác định; ","")))</f>
        <v/>
      </c>
      <c r="V3449" s="22">
        <f>IF(OR($D3449="",$R3449="Trùng"),"",IF(COUNTIF(ORDERS!$C$2:$C$4995,$D3449)&gt;0,"Có","Không"))</f>
        <v/>
      </c>
      <c r="W3449" s="22">
        <f>IF(OR($D3449="",$R3449="Trùng"),"",COUNTIFS(ORDERS!$C$2:$C$4995,$D3449,ORDERS!$L$2:$L$4995,"Đã chuyển khoản"))</f>
        <v/>
      </c>
      <c r="X3449" s="23">
        <f>IF(OR($D3449="",$R3449="Trùng"),"",SUMIFS(ORDERS!$J$2:$J$4995,ORDERS!$C$2:$C$4995,$D3449,ORDERS!$L$2:$L$4995,"Đã chuyển khoản"))</f>
        <v/>
      </c>
      <c r="Y3449" s="24" t="n"/>
    </row>
    <row r="3450" ht="14.25" customHeight="1" s="40">
      <c r="A3450" s="24" t="n"/>
      <c r="B3450" s="27" t="n"/>
      <c r="C3450" s="24" t="n"/>
      <c r="D3450" s="28" t="n"/>
      <c r="E3450" s="29" t="n"/>
      <c r="F3450" s="24" t="n"/>
      <c r="G3450" s="24" t="n"/>
      <c r="H3450" s="21">
        <f>IF(ISNUMBER($B3450),INT($B3450)-WEEKDAY($B3450,2)+1,"")</f>
        <v/>
      </c>
      <c r="I3450" s="24" t="n"/>
      <c r="J3450" s="22">
        <f t="array" ref="J3450">IF($D3450="","",IF($I3450="","(trống REF)",IFERROR(INDEX(MASTER_SOURCE!$B$2:$B$495,MATCH($I3450,MASTER_SOURCE!$A$2:$A$495,0)),"(REF không có trong MASTER_SOURCE)")))</f>
        <v/>
      </c>
      <c r="K3450" s="22">
        <f t="array" ref="K3450">IF($D3450="","",IFERROR(INDEX(MASTER_SOURCE!$C$2:$C$495,MATCH($I3450,MASTER_SOURCE!$A$2:$A$495,0)),""))</f>
        <v/>
      </c>
      <c r="L3450" s="22">
        <f t="array" ref="L3450">IF($D3450="","",IFERROR(INDEX(MASTER_SOURCE!$D$2:$D$495,MATCH($I3450,MASTER_SOURCE!$A$2:$A$495,0)),""))</f>
        <v/>
      </c>
      <c r="M3450" s="24" t="n"/>
      <c r="N3450" s="24" t="n"/>
      <c r="O3450" s="24" t="n"/>
      <c r="P3450" s="24" t="n"/>
      <c r="Q3450" s="22">
        <f>IF($D3450="","",IF(AND(OR(DANH_MUC!$L$5&lt;&gt;"Có",M3450="Có"),OR(DANH_MUC!$L$6&lt;&gt;"Có",N3450="Có"),OR(DANH_MUC!$L$7&lt;&gt;"Có",O3450="Có"),OR(DANH_MUC!$L$8&lt;&gt;"Có",P3450="Có")),"Có","Không"))</f>
        <v/>
      </c>
      <c r="R3450" s="22">
        <f>IF($D3450="","",IF(COUNTIF($D$2:$D3450,$D3450)&gt;1,"Trùng",""))</f>
        <v/>
      </c>
      <c r="S3450" s="22">
        <f>IF($D3450="","",IF(AND(LEN($D3450)=10,LEFT($D3450,1)="0",ISNUMBER(--$D3450)),"Có","Không"))</f>
        <v/>
      </c>
      <c r="T3450" s="22">
        <f>IF($D3450="","",IF(AND($C3450&lt;&gt;"",$Q3450="Có",$R3450="",$S3450="Có",AND($L3450&lt;&gt;"",OR($L3450&lt;&gt;"Chưa xác định",DANH_MUC!$L$9="Có"))),"Có","Không"))</f>
        <v/>
      </c>
      <c r="U3450" s="22">
        <f>IF(OR($D3450="",$T3450="Có"),"",IF($C3450="","Thiếu họ tên; ","")&amp;IF($S3450&lt;&gt;"Có","SĐT sai định dạng; ","")&amp;IF($R3450="Trùng","Trùng SĐT; ","")&amp;IF($Q3450&lt;&gt;"Có","Thiếu đồng ý bắt buộc; ","")&amp;IF($L3450="","Thiếu/sai Mã REF; ",IF(AND($L3450="Chưa xác định",DANH_MUC!$L$9&lt;&gt;"Có"),"Nguồn chưa xác định; ","")))</f>
        <v/>
      </c>
      <c r="V3450" s="22">
        <f>IF(OR($D3450="",$R3450="Trùng"),"",IF(COUNTIF(ORDERS!$C$2:$C$4995,$D3450)&gt;0,"Có","Không"))</f>
        <v/>
      </c>
      <c r="W3450" s="22">
        <f>IF(OR($D3450="",$R3450="Trùng"),"",COUNTIFS(ORDERS!$C$2:$C$4995,$D3450,ORDERS!$L$2:$L$4995,"Đã chuyển khoản"))</f>
        <v/>
      </c>
      <c r="X3450" s="23">
        <f>IF(OR($D3450="",$R3450="Trùng"),"",SUMIFS(ORDERS!$J$2:$J$4995,ORDERS!$C$2:$C$4995,$D3450,ORDERS!$L$2:$L$4995,"Đã chuyển khoản"))</f>
        <v/>
      </c>
      <c r="Y3450" s="24" t="n"/>
    </row>
    <row r="3451" ht="14.25" customHeight="1" s="40">
      <c r="A3451" s="24" t="n"/>
      <c r="B3451" s="27" t="n"/>
      <c r="C3451" s="24" t="n"/>
      <c r="D3451" s="28" t="n"/>
      <c r="E3451" s="29" t="n"/>
      <c r="F3451" s="24" t="n"/>
      <c r="G3451" s="24" t="n"/>
      <c r="H3451" s="21">
        <f>IF(ISNUMBER($B3451),INT($B3451)-WEEKDAY($B3451,2)+1,"")</f>
        <v/>
      </c>
      <c r="I3451" s="24" t="n"/>
      <c r="J3451" s="22">
        <f t="array" ref="J3451">IF($D3451="","",IF($I3451="","(trống REF)",IFERROR(INDEX(MASTER_SOURCE!$B$2:$B$495,MATCH($I3451,MASTER_SOURCE!$A$2:$A$495,0)),"(REF không có trong MASTER_SOURCE)")))</f>
        <v/>
      </c>
      <c r="K3451" s="22">
        <f t="array" ref="K3451">IF($D3451="","",IFERROR(INDEX(MASTER_SOURCE!$C$2:$C$495,MATCH($I3451,MASTER_SOURCE!$A$2:$A$495,0)),""))</f>
        <v/>
      </c>
      <c r="L3451" s="22">
        <f t="array" ref="L3451">IF($D3451="","",IFERROR(INDEX(MASTER_SOURCE!$D$2:$D$495,MATCH($I3451,MASTER_SOURCE!$A$2:$A$495,0)),""))</f>
        <v/>
      </c>
      <c r="M3451" s="24" t="n"/>
      <c r="N3451" s="24" t="n"/>
      <c r="O3451" s="24" t="n"/>
      <c r="P3451" s="24" t="n"/>
      <c r="Q3451" s="22">
        <f>IF($D3451="","",IF(AND(OR(DANH_MUC!$L$5&lt;&gt;"Có",M3451="Có"),OR(DANH_MUC!$L$6&lt;&gt;"Có",N3451="Có"),OR(DANH_MUC!$L$7&lt;&gt;"Có",O3451="Có"),OR(DANH_MUC!$L$8&lt;&gt;"Có",P3451="Có")),"Có","Không"))</f>
        <v/>
      </c>
      <c r="R3451" s="22">
        <f>IF($D3451="","",IF(COUNTIF($D$2:$D3451,$D3451)&gt;1,"Trùng",""))</f>
        <v/>
      </c>
      <c r="S3451" s="22">
        <f>IF($D3451="","",IF(AND(LEN($D3451)=10,LEFT($D3451,1)="0",ISNUMBER(--$D3451)),"Có","Không"))</f>
        <v/>
      </c>
      <c r="T3451" s="22">
        <f>IF($D3451="","",IF(AND($C3451&lt;&gt;"",$Q3451="Có",$R3451="",$S3451="Có",AND($L3451&lt;&gt;"",OR($L3451&lt;&gt;"Chưa xác định",DANH_MUC!$L$9="Có"))),"Có","Không"))</f>
        <v/>
      </c>
      <c r="U3451" s="22">
        <f>IF(OR($D3451="",$T3451="Có"),"",IF($C3451="","Thiếu họ tên; ","")&amp;IF($S3451&lt;&gt;"Có","SĐT sai định dạng; ","")&amp;IF($R3451="Trùng","Trùng SĐT; ","")&amp;IF($Q3451&lt;&gt;"Có","Thiếu đồng ý bắt buộc; ","")&amp;IF($L3451="","Thiếu/sai Mã REF; ",IF(AND($L3451="Chưa xác định",DANH_MUC!$L$9&lt;&gt;"Có"),"Nguồn chưa xác định; ","")))</f>
        <v/>
      </c>
      <c r="V3451" s="22">
        <f>IF(OR($D3451="",$R3451="Trùng"),"",IF(COUNTIF(ORDERS!$C$2:$C$4995,$D3451)&gt;0,"Có","Không"))</f>
        <v/>
      </c>
      <c r="W3451" s="22">
        <f>IF(OR($D3451="",$R3451="Trùng"),"",COUNTIFS(ORDERS!$C$2:$C$4995,$D3451,ORDERS!$L$2:$L$4995,"Đã chuyển khoản"))</f>
        <v/>
      </c>
      <c r="X3451" s="23">
        <f>IF(OR($D3451="",$R3451="Trùng"),"",SUMIFS(ORDERS!$J$2:$J$4995,ORDERS!$C$2:$C$4995,$D3451,ORDERS!$L$2:$L$4995,"Đã chuyển khoản"))</f>
        <v/>
      </c>
      <c r="Y3451" s="24" t="n"/>
    </row>
    <row r="3452" ht="14.25" customHeight="1" s="40">
      <c r="A3452" s="24" t="n"/>
      <c r="B3452" s="27" t="n"/>
      <c r="C3452" s="24" t="n"/>
      <c r="D3452" s="28" t="n"/>
      <c r="E3452" s="29" t="n"/>
      <c r="F3452" s="24" t="n"/>
      <c r="G3452" s="24" t="n"/>
      <c r="H3452" s="21">
        <f>IF(ISNUMBER($B3452),INT($B3452)-WEEKDAY($B3452,2)+1,"")</f>
        <v/>
      </c>
      <c r="I3452" s="24" t="n"/>
      <c r="J3452" s="22">
        <f t="array" ref="J3452">IF($D3452="","",IF($I3452="","(trống REF)",IFERROR(INDEX(MASTER_SOURCE!$B$2:$B$495,MATCH($I3452,MASTER_SOURCE!$A$2:$A$495,0)),"(REF không có trong MASTER_SOURCE)")))</f>
        <v/>
      </c>
      <c r="K3452" s="22">
        <f t="array" ref="K3452">IF($D3452="","",IFERROR(INDEX(MASTER_SOURCE!$C$2:$C$495,MATCH($I3452,MASTER_SOURCE!$A$2:$A$495,0)),""))</f>
        <v/>
      </c>
      <c r="L3452" s="22">
        <f t="array" ref="L3452">IF($D3452="","",IFERROR(INDEX(MASTER_SOURCE!$D$2:$D$495,MATCH($I3452,MASTER_SOURCE!$A$2:$A$495,0)),""))</f>
        <v/>
      </c>
      <c r="M3452" s="24" t="n"/>
      <c r="N3452" s="24" t="n"/>
      <c r="O3452" s="24" t="n"/>
      <c r="P3452" s="24" t="n"/>
      <c r="Q3452" s="22">
        <f>IF($D3452="","",IF(AND(OR(DANH_MUC!$L$5&lt;&gt;"Có",M3452="Có"),OR(DANH_MUC!$L$6&lt;&gt;"Có",N3452="Có"),OR(DANH_MUC!$L$7&lt;&gt;"Có",O3452="Có"),OR(DANH_MUC!$L$8&lt;&gt;"Có",P3452="Có")),"Có","Không"))</f>
        <v/>
      </c>
      <c r="R3452" s="22">
        <f>IF($D3452="","",IF(COUNTIF($D$2:$D3452,$D3452)&gt;1,"Trùng",""))</f>
        <v/>
      </c>
      <c r="S3452" s="22">
        <f>IF($D3452="","",IF(AND(LEN($D3452)=10,LEFT($D3452,1)="0",ISNUMBER(--$D3452)),"Có","Không"))</f>
        <v/>
      </c>
      <c r="T3452" s="22">
        <f>IF($D3452="","",IF(AND($C3452&lt;&gt;"",$Q3452="Có",$R3452="",$S3452="Có",AND($L3452&lt;&gt;"",OR($L3452&lt;&gt;"Chưa xác định",DANH_MUC!$L$9="Có"))),"Có","Không"))</f>
        <v/>
      </c>
      <c r="U3452" s="22">
        <f>IF(OR($D3452="",$T3452="Có"),"",IF($C3452="","Thiếu họ tên; ","")&amp;IF($S3452&lt;&gt;"Có","SĐT sai định dạng; ","")&amp;IF($R3452="Trùng","Trùng SĐT; ","")&amp;IF($Q3452&lt;&gt;"Có","Thiếu đồng ý bắt buộc; ","")&amp;IF($L3452="","Thiếu/sai Mã REF; ",IF(AND($L3452="Chưa xác định",DANH_MUC!$L$9&lt;&gt;"Có"),"Nguồn chưa xác định; ","")))</f>
        <v/>
      </c>
      <c r="V3452" s="22">
        <f>IF(OR($D3452="",$R3452="Trùng"),"",IF(COUNTIF(ORDERS!$C$2:$C$4995,$D3452)&gt;0,"Có","Không"))</f>
        <v/>
      </c>
      <c r="W3452" s="22">
        <f>IF(OR($D3452="",$R3452="Trùng"),"",COUNTIFS(ORDERS!$C$2:$C$4995,$D3452,ORDERS!$L$2:$L$4995,"Đã chuyển khoản"))</f>
        <v/>
      </c>
      <c r="X3452" s="23">
        <f>IF(OR($D3452="",$R3452="Trùng"),"",SUMIFS(ORDERS!$J$2:$J$4995,ORDERS!$C$2:$C$4995,$D3452,ORDERS!$L$2:$L$4995,"Đã chuyển khoản"))</f>
        <v/>
      </c>
      <c r="Y3452" s="24" t="n"/>
    </row>
    <row r="3453" ht="14.25" customHeight="1" s="40">
      <c r="A3453" s="24" t="n"/>
      <c r="B3453" s="27" t="n"/>
      <c r="C3453" s="24" t="n"/>
      <c r="D3453" s="28" t="n"/>
      <c r="E3453" s="29" t="n"/>
      <c r="F3453" s="24" t="n"/>
      <c r="G3453" s="24" t="n"/>
      <c r="H3453" s="21">
        <f>IF(ISNUMBER($B3453),INT($B3453)-WEEKDAY($B3453,2)+1,"")</f>
        <v/>
      </c>
      <c r="I3453" s="24" t="n"/>
      <c r="J3453" s="22">
        <f t="array" ref="J3453">IF($D3453="","",IF($I3453="","(trống REF)",IFERROR(INDEX(MASTER_SOURCE!$B$2:$B$495,MATCH($I3453,MASTER_SOURCE!$A$2:$A$495,0)),"(REF không có trong MASTER_SOURCE)")))</f>
        <v/>
      </c>
      <c r="K3453" s="22">
        <f t="array" ref="K3453">IF($D3453="","",IFERROR(INDEX(MASTER_SOURCE!$C$2:$C$495,MATCH($I3453,MASTER_SOURCE!$A$2:$A$495,0)),""))</f>
        <v/>
      </c>
      <c r="L3453" s="22">
        <f t="array" ref="L3453">IF($D3453="","",IFERROR(INDEX(MASTER_SOURCE!$D$2:$D$495,MATCH($I3453,MASTER_SOURCE!$A$2:$A$495,0)),""))</f>
        <v/>
      </c>
      <c r="M3453" s="24" t="n"/>
      <c r="N3453" s="24" t="n"/>
      <c r="O3453" s="24" t="n"/>
      <c r="P3453" s="24" t="n"/>
      <c r="Q3453" s="22">
        <f>IF($D3453="","",IF(AND(OR(DANH_MUC!$L$5&lt;&gt;"Có",M3453="Có"),OR(DANH_MUC!$L$6&lt;&gt;"Có",N3453="Có"),OR(DANH_MUC!$L$7&lt;&gt;"Có",O3453="Có"),OR(DANH_MUC!$L$8&lt;&gt;"Có",P3453="Có")),"Có","Không"))</f>
        <v/>
      </c>
      <c r="R3453" s="22">
        <f>IF($D3453="","",IF(COUNTIF($D$2:$D3453,$D3453)&gt;1,"Trùng",""))</f>
        <v/>
      </c>
      <c r="S3453" s="22">
        <f>IF($D3453="","",IF(AND(LEN($D3453)=10,LEFT($D3453,1)="0",ISNUMBER(--$D3453)),"Có","Không"))</f>
        <v/>
      </c>
      <c r="T3453" s="22">
        <f>IF($D3453="","",IF(AND($C3453&lt;&gt;"",$Q3453="Có",$R3453="",$S3453="Có",AND($L3453&lt;&gt;"",OR($L3453&lt;&gt;"Chưa xác định",DANH_MUC!$L$9="Có"))),"Có","Không"))</f>
        <v/>
      </c>
      <c r="U3453" s="22">
        <f>IF(OR($D3453="",$T3453="Có"),"",IF($C3453="","Thiếu họ tên; ","")&amp;IF($S3453&lt;&gt;"Có","SĐT sai định dạng; ","")&amp;IF($R3453="Trùng","Trùng SĐT; ","")&amp;IF($Q3453&lt;&gt;"Có","Thiếu đồng ý bắt buộc; ","")&amp;IF($L3453="","Thiếu/sai Mã REF; ",IF(AND($L3453="Chưa xác định",DANH_MUC!$L$9&lt;&gt;"Có"),"Nguồn chưa xác định; ","")))</f>
        <v/>
      </c>
      <c r="V3453" s="22">
        <f>IF(OR($D3453="",$R3453="Trùng"),"",IF(COUNTIF(ORDERS!$C$2:$C$4995,$D3453)&gt;0,"Có","Không"))</f>
        <v/>
      </c>
      <c r="W3453" s="22">
        <f>IF(OR($D3453="",$R3453="Trùng"),"",COUNTIFS(ORDERS!$C$2:$C$4995,$D3453,ORDERS!$L$2:$L$4995,"Đã chuyển khoản"))</f>
        <v/>
      </c>
      <c r="X3453" s="23">
        <f>IF(OR($D3453="",$R3453="Trùng"),"",SUMIFS(ORDERS!$J$2:$J$4995,ORDERS!$C$2:$C$4995,$D3453,ORDERS!$L$2:$L$4995,"Đã chuyển khoản"))</f>
        <v/>
      </c>
      <c r="Y3453" s="24" t="n"/>
    </row>
    <row r="3454" ht="14.25" customHeight="1" s="40">
      <c r="A3454" s="24" t="n"/>
      <c r="B3454" s="27" t="n"/>
      <c r="C3454" s="24" t="n"/>
      <c r="D3454" s="28" t="n"/>
      <c r="E3454" s="29" t="n"/>
      <c r="F3454" s="24" t="n"/>
      <c r="G3454" s="24" t="n"/>
      <c r="H3454" s="21">
        <f>IF(ISNUMBER($B3454),INT($B3454)-WEEKDAY($B3454,2)+1,"")</f>
        <v/>
      </c>
      <c r="I3454" s="24" t="n"/>
      <c r="J3454" s="22">
        <f t="array" ref="J3454">IF($D3454="","",IF($I3454="","(trống REF)",IFERROR(INDEX(MASTER_SOURCE!$B$2:$B$495,MATCH($I3454,MASTER_SOURCE!$A$2:$A$495,0)),"(REF không có trong MASTER_SOURCE)")))</f>
        <v/>
      </c>
      <c r="K3454" s="22">
        <f t="array" ref="K3454">IF($D3454="","",IFERROR(INDEX(MASTER_SOURCE!$C$2:$C$495,MATCH($I3454,MASTER_SOURCE!$A$2:$A$495,0)),""))</f>
        <v/>
      </c>
      <c r="L3454" s="22">
        <f t="array" ref="L3454">IF($D3454="","",IFERROR(INDEX(MASTER_SOURCE!$D$2:$D$495,MATCH($I3454,MASTER_SOURCE!$A$2:$A$495,0)),""))</f>
        <v/>
      </c>
      <c r="M3454" s="24" t="n"/>
      <c r="N3454" s="24" t="n"/>
      <c r="O3454" s="24" t="n"/>
      <c r="P3454" s="24" t="n"/>
      <c r="Q3454" s="22">
        <f>IF($D3454="","",IF(AND(OR(DANH_MUC!$L$5&lt;&gt;"Có",M3454="Có"),OR(DANH_MUC!$L$6&lt;&gt;"Có",N3454="Có"),OR(DANH_MUC!$L$7&lt;&gt;"Có",O3454="Có"),OR(DANH_MUC!$L$8&lt;&gt;"Có",P3454="Có")),"Có","Không"))</f>
        <v/>
      </c>
      <c r="R3454" s="22">
        <f>IF($D3454="","",IF(COUNTIF($D$2:$D3454,$D3454)&gt;1,"Trùng",""))</f>
        <v/>
      </c>
      <c r="S3454" s="22">
        <f>IF($D3454="","",IF(AND(LEN($D3454)=10,LEFT($D3454,1)="0",ISNUMBER(--$D3454)),"Có","Không"))</f>
        <v/>
      </c>
      <c r="T3454" s="22">
        <f>IF($D3454="","",IF(AND($C3454&lt;&gt;"",$Q3454="Có",$R3454="",$S3454="Có",AND($L3454&lt;&gt;"",OR($L3454&lt;&gt;"Chưa xác định",DANH_MUC!$L$9="Có"))),"Có","Không"))</f>
        <v/>
      </c>
      <c r="U3454" s="22">
        <f>IF(OR($D3454="",$T3454="Có"),"",IF($C3454="","Thiếu họ tên; ","")&amp;IF($S3454&lt;&gt;"Có","SĐT sai định dạng; ","")&amp;IF($R3454="Trùng","Trùng SĐT; ","")&amp;IF($Q3454&lt;&gt;"Có","Thiếu đồng ý bắt buộc; ","")&amp;IF($L3454="","Thiếu/sai Mã REF; ",IF(AND($L3454="Chưa xác định",DANH_MUC!$L$9&lt;&gt;"Có"),"Nguồn chưa xác định; ","")))</f>
        <v/>
      </c>
      <c r="V3454" s="22">
        <f>IF(OR($D3454="",$R3454="Trùng"),"",IF(COUNTIF(ORDERS!$C$2:$C$4995,$D3454)&gt;0,"Có","Không"))</f>
        <v/>
      </c>
      <c r="W3454" s="22">
        <f>IF(OR($D3454="",$R3454="Trùng"),"",COUNTIFS(ORDERS!$C$2:$C$4995,$D3454,ORDERS!$L$2:$L$4995,"Đã chuyển khoản"))</f>
        <v/>
      </c>
      <c r="X3454" s="23">
        <f>IF(OR($D3454="",$R3454="Trùng"),"",SUMIFS(ORDERS!$J$2:$J$4995,ORDERS!$C$2:$C$4995,$D3454,ORDERS!$L$2:$L$4995,"Đã chuyển khoản"))</f>
        <v/>
      </c>
      <c r="Y3454" s="24" t="n"/>
    </row>
    <row r="3455" ht="14.25" customHeight="1" s="40">
      <c r="A3455" s="24" t="n"/>
      <c r="B3455" s="27" t="n"/>
      <c r="C3455" s="24" t="n"/>
      <c r="D3455" s="28" t="n"/>
      <c r="E3455" s="29" t="n"/>
      <c r="F3455" s="24" t="n"/>
      <c r="G3455" s="24" t="n"/>
      <c r="H3455" s="21">
        <f>IF(ISNUMBER($B3455),INT($B3455)-WEEKDAY($B3455,2)+1,"")</f>
        <v/>
      </c>
      <c r="I3455" s="24" t="n"/>
      <c r="J3455" s="22">
        <f t="array" ref="J3455">IF($D3455="","",IF($I3455="","(trống REF)",IFERROR(INDEX(MASTER_SOURCE!$B$2:$B$495,MATCH($I3455,MASTER_SOURCE!$A$2:$A$495,0)),"(REF không có trong MASTER_SOURCE)")))</f>
        <v/>
      </c>
      <c r="K3455" s="22">
        <f t="array" ref="K3455">IF($D3455="","",IFERROR(INDEX(MASTER_SOURCE!$C$2:$C$495,MATCH($I3455,MASTER_SOURCE!$A$2:$A$495,0)),""))</f>
        <v/>
      </c>
      <c r="L3455" s="22">
        <f t="array" ref="L3455">IF($D3455="","",IFERROR(INDEX(MASTER_SOURCE!$D$2:$D$495,MATCH($I3455,MASTER_SOURCE!$A$2:$A$495,0)),""))</f>
        <v/>
      </c>
      <c r="M3455" s="24" t="n"/>
      <c r="N3455" s="24" t="n"/>
      <c r="O3455" s="24" t="n"/>
      <c r="P3455" s="24" t="n"/>
      <c r="Q3455" s="22">
        <f>IF($D3455="","",IF(AND(OR(DANH_MUC!$L$5&lt;&gt;"Có",M3455="Có"),OR(DANH_MUC!$L$6&lt;&gt;"Có",N3455="Có"),OR(DANH_MUC!$L$7&lt;&gt;"Có",O3455="Có"),OR(DANH_MUC!$L$8&lt;&gt;"Có",P3455="Có")),"Có","Không"))</f>
        <v/>
      </c>
      <c r="R3455" s="22">
        <f>IF($D3455="","",IF(COUNTIF($D$2:$D3455,$D3455)&gt;1,"Trùng",""))</f>
        <v/>
      </c>
      <c r="S3455" s="22">
        <f>IF($D3455="","",IF(AND(LEN($D3455)=10,LEFT($D3455,1)="0",ISNUMBER(--$D3455)),"Có","Không"))</f>
        <v/>
      </c>
      <c r="T3455" s="22">
        <f>IF($D3455="","",IF(AND($C3455&lt;&gt;"",$Q3455="Có",$R3455="",$S3455="Có",AND($L3455&lt;&gt;"",OR($L3455&lt;&gt;"Chưa xác định",DANH_MUC!$L$9="Có"))),"Có","Không"))</f>
        <v/>
      </c>
      <c r="U3455" s="22">
        <f>IF(OR($D3455="",$T3455="Có"),"",IF($C3455="","Thiếu họ tên; ","")&amp;IF($S3455&lt;&gt;"Có","SĐT sai định dạng; ","")&amp;IF($R3455="Trùng","Trùng SĐT; ","")&amp;IF($Q3455&lt;&gt;"Có","Thiếu đồng ý bắt buộc; ","")&amp;IF($L3455="","Thiếu/sai Mã REF; ",IF(AND($L3455="Chưa xác định",DANH_MUC!$L$9&lt;&gt;"Có"),"Nguồn chưa xác định; ","")))</f>
        <v/>
      </c>
      <c r="V3455" s="22">
        <f>IF(OR($D3455="",$R3455="Trùng"),"",IF(COUNTIF(ORDERS!$C$2:$C$4995,$D3455)&gt;0,"Có","Không"))</f>
        <v/>
      </c>
      <c r="W3455" s="22">
        <f>IF(OR($D3455="",$R3455="Trùng"),"",COUNTIFS(ORDERS!$C$2:$C$4995,$D3455,ORDERS!$L$2:$L$4995,"Đã chuyển khoản"))</f>
        <v/>
      </c>
      <c r="X3455" s="23">
        <f>IF(OR($D3455="",$R3455="Trùng"),"",SUMIFS(ORDERS!$J$2:$J$4995,ORDERS!$C$2:$C$4995,$D3455,ORDERS!$L$2:$L$4995,"Đã chuyển khoản"))</f>
        <v/>
      </c>
      <c r="Y3455" s="24" t="n"/>
    </row>
    <row r="3456" ht="14.25" customHeight="1" s="40">
      <c r="A3456" s="24" t="n"/>
      <c r="B3456" s="27" t="n"/>
      <c r="C3456" s="24" t="n"/>
      <c r="D3456" s="28" t="n"/>
      <c r="E3456" s="29" t="n"/>
      <c r="F3456" s="24" t="n"/>
      <c r="G3456" s="24" t="n"/>
      <c r="H3456" s="21">
        <f>IF(ISNUMBER($B3456),INT($B3456)-WEEKDAY($B3456,2)+1,"")</f>
        <v/>
      </c>
      <c r="I3456" s="24" t="n"/>
      <c r="J3456" s="22">
        <f t="array" ref="J3456">IF($D3456="","",IF($I3456="","(trống REF)",IFERROR(INDEX(MASTER_SOURCE!$B$2:$B$495,MATCH($I3456,MASTER_SOURCE!$A$2:$A$495,0)),"(REF không có trong MASTER_SOURCE)")))</f>
        <v/>
      </c>
      <c r="K3456" s="22">
        <f t="array" ref="K3456">IF($D3456="","",IFERROR(INDEX(MASTER_SOURCE!$C$2:$C$495,MATCH($I3456,MASTER_SOURCE!$A$2:$A$495,0)),""))</f>
        <v/>
      </c>
      <c r="L3456" s="22">
        <f t="array" ref="L3456">IF($D3456="","",IFERROR(INDEX(MASTER_SOURCE!$D$2:$D$495,MATCH($I3456,MASTER_SOURCE!$A$2:$A$495,0)),""))</f>
        <v/>
      </c>
      <c r="M3456" s="24" t="n"/>
      <c r="N3456" s="24" t="n"/>
      <c r="O3456" s="24" t="n"/>
      <c r="P3456" s="24" t="n"/>
      <c r="Q3456" s="22">
        <f>IF($D3456="","",IF(AND(OR(DANH_MUC!$L$5&lt;&gt;"Có",M3456="Có"),OR(DANH_MUC!$L$6&lt;&gt;"Có",N3456="Có"),OR(DANH_MUC!$L$7&lt;&gt;"Có",O3456="Có"),OR(DANH_MUC!$L$8&lt;&gt;"Có",P3456="Có")),"Có","Không"))</f>
        <v/>
      </c>
      <c r="R3456" s="22">
        <f>IF($D3456="","",IF(COUNTIF($D$2:$D3456,$D3456)&gt;1,"Trùng",""))</f>
        <v/>
      </c>
      <c r="S3456" s="22">
        <f>IF($D3456="","",IF(AND(LEN($D3456)=10,LEFT($D3456,1)="0",ISNUMBER(--$D3456)),"Có","Không"))</f>
        <v/>
      </c>
      <c r="T3456" s="22">
        <f>IF($D3456="","",IF(AND($C3456&lt;&gt;"",$Q3456="Có",$R3456="",$S3456="Có",AND($L3456&lt;&gt;"",OR($L3456&lt;&gt;"Chưa xác định",DANH_MUC!$L$9="Có"))),"Có","Không"))</f>
        <v/>
      </c>
      <c r="U3456" s="22">
        <f>IF(OR($D3456="",$T3456="Có"),"",IF($C3456="","Thiếu họ tên; ","")&amp;IF($S3456&lt;&gt;"Có","SĐT sai định dạng; ","")&amp;IF($R3456="Trùng","Trùng SĐT; ","")&amp;IF($Q3456&lt;&gt;"Có","Thiếu đồng ý bắt buộc; ","")&amp;IF($L3456="","Thiếu/sai Mã REF; ",IF(AND($L3456="Chưa xác định",DANH_MUC!$L$9&lt;&gt;"Có"),"Nguồn chưa xác định; ","")))</f>
        <v/>
      </c>
      <c r="V3456" s="22">
        <f>IF(OR($D3456="",$R3456="Trùng"),"",IF(COUNTIF(ORDERS!$C$2:$C$4995,$D3456)&gt;0,"Có","Không"))</f>
        <v/>
      </c>
      <c r="W3456" s="22">
        <f>IF(OR($D3456="",$R3456="Trùng"),"",COUNTIFS(ORDERS!$C$2:$C$4995,$D3456,ORDERS!$L$2:$L$4995,"Đã chuyển khoản"))</f>
        <v/>
      </c>
      <c r="X3456" s="23">
        <f>IF(OR($D3456="",$R3456="Trùng"),"",SUMIFS(ORDERS!$J$2:$J$4995,ORDERS!$C$2:$C$4995,$D3456,ORDERS!$L$2:$L$4995,"Đã chuyển khoản"))</f>
        <v/>
      </c>
      <c r="Y3456" s="24" t="n"/>
    </row>
    <row r="3457" ht="14.25" customHeight="1" s="40">
      <c r="A3457" s="24" t="n"/>
      <c r="B3457" s="27" t="n"/>
      <c r="C3457" s="24" t="n"/>
      <c r="D3457" s="28" t="n"/>
      <c r="E3457" s="29" t="n"/>
      <c r="F3457" s="24" t="n"/>
      <c r="G3457" s="24" t="n"/>
      <c r="H3457" s="21">
        <f>IF(ISNUMBER($B3457),INT($B3457)-WEEKDAY($B3457,2)+1,"")</f>
        <v/>
      </c>
      <c r="I3457" s="24" t="n"/>
      <c r="J3457" s="22">
        <f t="array" ref="J3457">IF($D3457="","",IF($I3457="","(trống REF)",IFERROR(INDEX(MASTER_SOURCE!$B$2:$B$495,MATCH($I3457,MASTER_SOURCE!$A$2:$A$495,0)),"(REF không có trong MASTER_SOURCE)")))</f>
        <v/>
      </c>
      <c r="K3457" s="22">
        <f t="array" ref="K3457">IF($D3457="","",IFERROR(INDEX(MASTER_SOURCE!$C$2:$C$495,MATCH($I3457,MASTER_SOURCE!$A$2:$A$495,0)),""))</f>
        <v/>
      </c>
      <c r="L3457" s="22">
        <f t="array" ref="L3457">IF($D3457="","",IFERROR(INDEX(MASTER_SOURCE!$D$2:$D$495,MATCH($I3457,MASTER_SOURCE!$A$2:$A$495,0)),""))</f>
        <v/>
      </c>
      <c r="M3457" s="24" t="n"/>
      <c r="N3457" s="24" t="n"/>
      <c r="O3457" s="24" t="n"/>
      <c r="P3457" s="24" t="n"/>
      <c r="Q3457" s="22">
        <f>IF($D3457="","",IF(AND(OR(DANH_MUC!$L$5&lt;&gt;"Có",M3457="Có"),OR(DANH_MUC!$L$6&lt;&gt;"Có",N3457="Có"),OR(DANH_MUC!$L$7&lt;&gt;"Có",O3457="Có"),OR(DANH_MUC!$L$8&lt;&gt;"Có",P3457="Có")),"Có","Không"))</f>
        <v/>
      </c>
      <c r="R3457" s="22">
        <f>IF($D3457="","",IF(COUNTIF($D$2:$D3457,$D3457)&gt;1,"Trùng",""))</f>
        <v/>
      </c>
      <c r="S3457" s="22">
        <f>IF($D3457="","",IF(AND(LEN($D3457)=10,LEFT($D3457,1)="0",ISNUMBER(--$D3457)),"Có","Không"))</f>
        <v/>
      </c>
      <c r="T3457" s="22">
        <f>IF($D3457="","",IF(AND($C3457&lt;&gt;"",$Q3457="Có",$R3457="",$S3457="Có",AND($L3457&lt;&gt;"",OR($L3457&lt;&gt;"Chưa xác định",DANH_MUC!$L$9="Có"))),"Có","Không"))</f>
        <v/>
      </c>
      <c r="U3457" s="22">
        <f>IF(OR($D3457="",$T3457="Có"),"",IF($C3457="","Thiếu họ tên; ","")&amp;IF($S3457&lt;&gt;"Có","SĐT sai định dạng; ","")&amp;IF($R3457="Trùng","Trùng SĐT; ","")&amp;IF($Q3457&lt;&gt;"Có","Thiếu đồng ý bắt buộc; ","")&amp;IF($L3457="","Thiếu/sai Mã REF; ",IF(AND($L3457="Chưa xác định",DANH_MUC!$L$9&lt;&gt;"Có"),"Nguồn chưa xác định; ","")))</f>
        <v/>
      </c>
      <c r="V3457" s="22">
        <f>IF(OR($D3457="",$R3457="Trùng"),"",IF(COUNTIF(ORDERS!$C$2:$C$4995,$D3457)&gt;0,"Có","Không"))</f>
        <v/>
      </c>
      <c r="W3457" s="22">
        <f>IF(OR($D3457="",$R3457="Trùng"),"",COUNTIFS(ORDERS!$C$2:$C$4995,$D3457,ORDERS!$L$2:$L$4995,"Đã chuyển khoản"))</f>
        <v/>
      </c>
      <c r="X3457" s="23">
        <f>IF(OR($D3457="",$R3457="Trùng"),"",SUMIFS(ORDERS!$J$2:$J$4995,ORDERS!$C$2:$C$4995,$D3457,ORDERS!$L$2:$L$4995,"Đã chuyển khoản"))</f>
        <v/>
      </c>
      <c r="Y3457" s="24" t="n"/>
    </row>
    <row r="3458" ht="14.25" customHeight="1" s="40">
      <c r="A3458" s="24" t="n"/>
      <c r="B3458" s="27" t="n"/>
      <c r="C3458" s="24" t="n"/>
      <c r="D3458" s="28" t="n"/>
      <c r="E3458" s="29" t="n"/>
      <c r="F3458" s="24" t="n"/>
      <c r="G3458" s="24" t="n"/>
      <c r="H3458" s="21">
        <f>IF(ISNUMBER($B3458),INT($B3458)-WEEKDAY($B3458,2)+1,"")</f>
        <v/>
      </c>
      <c r="I3458" s="24" t="n"/>
      <c r="J3458" s="22">
        <f t="array" ref="J3458">IF($D3458="","",IF($I3458="","(trống REF)",IFERROR(INDEX(MASTER_SOURCE!$B$2:$B$495,MATCH($I3458,MASTER_SOURCE!$A$2:$A$495,0)),"(REF không có trong MASTER_SOURCE)")))</f>
        <v/>
      </c>
      <c r="K3458" s="22">
        <f t="array" ref="K3458">IF($D3458="","",IFERROR(INDEX(MASTER_SOURCE!$C$2:$C$495,MATCH($I3458,MASTER_SOURCE!$A$2:$A$495,0)),""))</f>
        <v/>
      </c>
      <c r="L3458" s="22">
        <f t="array" ref="L3458">IF($D3458="","",IFERROR(INDEX(MASTER_SOURCE!$D$2:$D$495,MATCH($I3458,MASTER_SOURCE!$A$2:$A$495,0)),""))</f>
        <v/>
      </c>
      <c r="M3458" s="24" t="n"/>
      <c r="N3458" s="24" t="n"/>
      <c r="O3458" s="24" t="n"/>
      <c r="P3458" s="24" t="n"/>
      <c r="Q3458" s="22">
        <f>IF($D3458="","",IF(AND(OR(DANH_MUC!$L$5&lt;&gt;"Có",M3458="Có"),OR(DANH_MUC!$L$6&lt;&gt;"Có",N3458="Có"),OR(DANH_MUC!$L$7&lt;&gt;"Có",O3458="Có"),OR(DANH_MUC!$L$8&lt;&gt;"Có",P3458="Có")),"Có","Không"))</f>
        <v/>
      </c>
      <c r="R3458" s="22">
        <f>IF($D3458="","",IF(COUNTIF($D$2:$D3458,$D3458)&gt;1,"Trùng",""))</f>
        <v/>
      </c>
      <c r="S3458" s="22">
        <f>IF($D3458="","",IF(AND(LEN($D3458)=10,LEFT($D3458,1)="0",ISNUMBER(--$D3458)),"Có","Không"))</f>
        <v/>
      </c>
      <c r="T3458" s="22">
        <f>IF($D3458="","",IF(AND($C3458&lt;&gt;"",$Q3458="Có",$R3458="",$S3458="Có",AND($L3458&lt;&gt;"",OR($L3458&lt;&gt;"Chưa xác định",DANH_MUC!$L$9="Có"))),"Có","Không"))</f>
        <v/>
      </c>
      <c r="U3458" s="22">
        <f>IF(OR($D3458="",$T3458="Có"),"",IF($C3458="","Thiếu họ tên; ","")&amp;IF($S3458&lt;&gt;"Có","SĐT sai định dạng; ","")&amp;IF($R3458="Trùng","Trùng SĐT; ","")&amp;IF($Q3458&lt;&gt;"Có","Thiếu đồng ý bắt buộc; ","")&amp;IF($L3458="","Thiếu/sai Mã REF; ",IF(AND($L3458="Chưa xác định",DANH_MUC!$L$9&lt;&gt;"Có"),"Nguồn chưa xác định; ","")))</f>
        <v/>
      </c>
      <c r="V3458" s="22">
        <f>IF(OR($D3458="",$R3458="Trùng"),"",IF(COUNTIF(ORDERS!$C$2:$C$4995,$D3458)&gt;0,"Có","Không"))</f>
        <v/>
      </c>
      <c r="W3458" s="22">
        <f>IF(OR($D3458="",$R3458="Trùng"),"",COUNTIFS(ORDERS!$C$2:$C$4995,$D3458,ORDERS!$L$2:$L$4995,"Đã chuyển khoản"))</f>
        <v/>
      </c>
      <c r="X3458" s="23">
        <f>IF(OR($D3458="",$R3458="Trùng"),"",SUMIFS(ORDERS!$J$2:$J$4995,ORDERS!$C$2:$C$4995,$D3458,ORDERS!$L$2:$L$4995,"Đã chuyển khoản"))</f>
        <v/>
      </c>
      <c r="Y3458" s="24" t="n"/>
    </row>
    <row r="3459" ht="14.25" customHeight="1" s="40">
      <c r="A3459" s="24" t="n"/>
      <c r="B3459" s="27" t="n"/>
      <c r="C3459" s="24" t="n"/>
      <c r="D3459" s="28" t="n"/>
      <c r="E3459" s="29" t="n"/>
      <c r="F3459" s="24" t="n"/>
      <c r="G3459" s="24" t="n"/>
      <c r="H3459" s="21">
        <f>IF(ISNUMBER($B3459),INT($B3459)-WEEKDAY($B3459,2)+1,"")</f>
        <v/>
      </c>
      <c r="I3459" s="24" t="n"/>
      <c r="J3459" s="22">
        <f t="array" ref="J3459">IF($D3459="","",IF($I3459="","(trống REF)",IFERROR(INDEX(MASTER_SOURCE!$B$2:$B$495,MATCH($I3459,MASTER_SOURCE!$A$2:$A$495,0)),"(REF không có trong MASTER_SOURCE)")))</f>
        <v/>
      </c>
      <c r="K3459" s="22">
        <f t="array" ref="K3459">IF($D3459="","",IFERROR(INDEX(MASTER_SOURCE!$C$2:$C$495,MATCH($I3459,MASTER_SOURCE!$A$2:$A$495,0)),""))</f>
        <v/>
      </c>
      <c r="L3459" s="22">
        <f t="array" ref="L3459">IF($D3459="","",IFERROR(INDEX(MASTER_SOURCE!$D$2:$D$495,MATCH($I3459,MASTER_SOURCE!$A$2:$A$495,0)),""))</f>
        <v/>
      </c>
      <c r="M3459" s="24" t="n"/>
      <c r="N3459" s="24" t="n"/>
      <c r="O3459" s="24" t="n"/>
      <c r="P3459" s="24" t="n"/>
      <c r="Q3459" s="22">
        <f>IF($D3459="","",IF(AND(OR(DANH_MUC!$L$5&lt;&gt;"Có",M3459="Có"),OR(DANH_MUC!$L$6&lt;&gt;"Có",N3459="Có"),OR(DANH_MUC!$L$7&lt;&gt;"Có",O3459="Có"),OR(DANH_MUC!$L$8&lt;&gt;"Có",P3459="Có")),"Có","Không"))</f>
        <v/>
      </c>
      <c r="R3459" s="22">
        <f>IF($D3459="","",IF(COUNTIF($D$2:$D3459,$D3459)&gt;1,"Trùng",""))</f>
        <v/>
      </c>
      <c r="S3459" s="22">
        <f>IF($D3459="","",IF(AND(LEN($D3459)=10,LEFT($D3459,1)="0",ISNUMBER(--$D3459)),"Có","Không"))</f>
        <v/>
      </c>
      <c r="T3459" s="22">
        <f>IF($D3459="","",IF(AND($C3459&lt;&gt;"",$Q3459="Có",$R3459="",$S3459="Có",AND($L3459&lt;&gt;"",OR($L3459&lt;&gt;"Chưa xác định",DANH_MUC!$L$9="Có"))),"Có","Không"))</f>
        <v/>
      </c>
      <c r="U3459" s="22">
        <f>IF(OR($D3459="",$T3459="Có"),"",IF($C3459="","Thiếu họ tên; ","")&amp;IF($S3459&lt;&gt;"Có","SĐT sai định dạng; ","")&amp;IF($R3459="Trùng","Trùng SĐT; ","")&amp;IF($Q3459&lt;&gt;"Có","Thiếu đồng ý bắt buộc; ","")&amp;IF($L3459="","Thiếu/sai Mã REF; ",IF(AND($L3459="Chưa xác định",DANH_MUC!$L$9&lt;&gt;"Có"),"Nguồn chưa xác định; ","")))</f>
        <v/>
      </c>
      <c r="V3459" s="22">
        <f>IF(OR($D3459="",$R3459="Trùng"),"",IF(COUNTIF(ORDERS!$C$2:$C$4995,$D3459)&gt;0,"Có","Không"))</f>
        <v/>
      </c>
      <c r="W3459" s="22">
        <f>IF(OR($D3459="",$R3459="Trùng"),"",COUNTIFS(ORDERS!$C$2:$C$4995,$D3459,ORDERS!$L$2:$L$4995,"Đã chuyển khoản"))</f>
        <v/>
      </c>
      <c r="X3459" s="23">
        <f>IF(OR($D3459="",$R3459="Trùng"),"",SUMIFS(ORDERS!$J$2:$J$4995,ORDERS!$C$2:$C$4995,$D3459,ORDERS!$L$2:$L$4995,"Đã chuyển khoản"))</f>
        <v/>
      </c>
      <c r="Y3459" s="24" t="n"/>
    </row>
    <row r="3460" ht="14.25" customHeight="1" s="40">
      <c r="A3460" s="24" t="n"/>
      <c r="B3460" s="27" t="n"/>
      <c r="C3460" s="24" t="n"/>
      <c r="D3460" s="28" t="n"/>
      <c r="E3460" s="29" t="n"/>
      <c r="F3460" s="24" t="n"/>
      <c r="G3460" s="24" t="n"/>
      <c r="H3460" s="21">
        <f>IF(ISNUMBER($B3460),INT($B3460)-WEEKDAY($B3460,2)+1,"")</f>
        <v/>
      </c>
      <c r="I3460" s="24" t="n"/>
      <c r="J3460" s="22">
        <f t="array" ref="J3460">IF($D3460="","",IF($I3460="","(trống REF)",IFERROR(INDEX(MASTER_SOURCE!$B$2:$B$495,MATCH($I3460,MASTER_SOURCE!$A$2:$A$495,0)),"(REF không có trong MASTER_SOURCE)")))</f>
        <v/>
      </c>
      <c r="K3460" s="22">
        <f t="array" ref="K3460">IF($D3460="","",IFERROR(INDEX(MASTER_SOURCE!$C$2:$C$495,MATCH($I3460,MASTER_SOURCE!$A$2:$A$495,0)),""))</f>
        <v/>
      </c>
      <c r="L3460" s="22">
        <f t="array" ref="L3460">IF($D3460="","",IFERROR(INDEX(MASTER_SOURCE!$D$2:$D$495,MATCH($I3460,MASTER_SOURCE!$A$2:$A$495,0)),""))</f>
        <v/>
      </c>
      <c r="M3460" s="24" t="n"/>
      <c r="N3460" s="24" t="n"/>
      <c r="O3460" s="24" t="n"/>
      <c r="P3460" s="24" t="n"/>
      <c r="Q3460" s="22">
        <f>IF($D3460="","",IF(AND(OR(DANH_MUC!$L$5&lt;&gt;"Có",M3460="Có"),OR(DANH_MUC!$L$6&lt;&gt;"Có",N3460="Có"),OR(DANH_MUC!$L$7&lt;&gt;"Có",O3460="Có"),OR(DANH_MUC!$L$8&lt;&gt;"Có",P3460="Có")),"Có","Không"))</f>
        <v/>
      </c>
      <c r="R3460" s="22">
        <f>IF($D3460="","",IF(COUNTIF($D$2:$D3460,$D3460)&gt;1,"Trùng",""))</f>
        <v/>
      </c>
      <c r="S3460" s="22">
        <f>IF($D3460="","",IF(AND(LEN($D3460)=10,LEFT($D3460,1)="0",ISNUMBER(--$D3460)),"Có","Không"))</f>
        <v/>
      </c>
      <c r="T3460" s="22">
        <f>IF($D3460="","",IF(AND($C3460&lt;&gt;"",$Q3460="Có",$R3460="",$S3460="Có",AND($L3460&lt;&gt;"",OR($L3460&lt;&gt;"Chưa xác định",DANH_MUC!$L$9="Có"))),"Có","Không"))</f>
        <v/>
      </c>
      <c r="U3460" s="22">
        <f>IF(OR($D3460="",$T3460="Có"),"",IF($C3460="","Thiếu họ tên; ","")&amp;IF($S3460&lt;&gt;"Có","SĐT sai định dạng; ","")&amp;IF($R3460="Trùng","Trùng SĐT; ","")&amp;IF($Q3460&lt;&gt;"Có","Thiếu đồng ý bắt buộc; ","")&amp;IF($L3460="","Thiếu/sai Mã REF; ",IF(AND($L3460="Chưa xác định",DANH_MUC!$L$9&lt;&gt;"Có"),"Nguồn chưa xác định; ","")))</f>
        <v/>
      </c>
      <c r="V3460" s="22">
        <f>IF(OR($D3460="",$R3460="Trùng"),"",IF(COUNTIF(ORDERS!$C$2:$C$4995,$D3460)&gt;0,"Có","Không"))</f>
        <v/>
      </c>
      <c r="W3460" s="22">
        <f>IF(OR($D3460="",$R3460="Trùng"),"",COUNTIFS(ORDERS!$C$2:$C$4995,$D3460,ORDERS!$L$2:$L$4995,"Đã chuyển khoản"))</f>
        <v/>
      </c>
      <c r="X3460" s="23">
        <f>IF(OR($D3460="",$R3460="Trùng"),"",SUMIFS(ORDERS!$J$2:$J$4995,ORDERS!$C$2:$C$4995,$D3460,ORDERS!$L$2:$L$4995,"Đã chuyển khoản"))</f>
        <v/>
      </c>
      <c r="Y3460" s="24" t="n"/>
    </row>
    <row r="3461" ht="14.25" customHeight="1" s="40">
      <c r="A3461" s="24" t="n"/>
      <c r="B3461" s="27" t="n"/>
      <c r="C3461" s="24" t="n"/>
      <c r="D3461" s="28" t="n"/>
      <c r="E3461" s="29" t="n"/>
      <c r="F3461" s="24" t="n"/>
      <c r="G3461" s="24" t="n"/>
      <c r="H3461" s="21">
        <f>IF(ISNUMBER($B3461),INT($B3461)-WEEKDAY($B3461,2)+1,"")</f>
        <v/>
      </c>
      <c r="I3461" s="24" t="n"/>
      <c r="J3461" s="22">
        <f t="array" ref="J3461">IF($D3461="","",IF($I3461="","(trống REF)",IFERROR(INDEX(MASTER_SOURCE!$B$2:$B$495,MATCH($I3461,MASTER_SOURCE!$A$2:$A$495,0)),"(REF không có trong MASTER_SOURCE)")))</f>
        <v/>
      </c>
      <c r="K3461" s="22">
        <f t="array" ref="K3461">IF($D3461="","",IFERROR(INDEX(MASTER_SOURCE!$C$2:$C$495,MATCH($I3461,MASTER_SOURCE!$A$2:$A$495,0)),""))</f>
        <v/>
      </c>
      <c r="L3461" s="22">
        <f t="array" ref="L3461">IF($D3461="","",IFERROR(INDEX(MASTER_SOURCE!$D$2:$D$495,MATCH($I3461,MASTER_SOURCE!$A$2:$A$495,0)),""))</f>
        <v/>
      </c>
      <c r="M3461" s="24" t="n"/>
      <c r="N3461" s="24" t="n"/>
      <c r="O3461" s="24" t="n"/>
      <c r="P3461" s="24" t="n"/>
      <c r="Q3461" s="22">
        <f>IF($D3461="","",IF(AND(OR(DANH_MUC!$L$5&lt;&gt;"Có",M3461="Có"),OR(DANH_MUC!$L$6&lt;&gt;"Có",N3461="Có"),OR(DANH_MUC!$L$7&lt;&gt;"Có",O3461="Có"),OR(DANH_MUC!$L$8&lt;&gt;"Có",P3461="Có")),"Có","Không"))</f>
        <v/>
      </c>
      <c r="R3461" s="22">
        <f>IF($D3461="","",IF(COUNTIF($D$2:$D3461,$D3461)&gt;1,"Trùng",""))</f>
        <v/>
      </c>
      <c r="S3461" s="22">
        <f>IF($D3461="","",IF(AND(LEN($D3461)=10,LEFT($D3461,1)="0",ISNUMBER(--$D3461)),"Có","Không"))</f>
        <v/>
      </c>
      <c r="T3461" s="22">
        <f>IF($D3461="","",IF(AND($C3461&lt;&gt;"",$Q3461="Có",$R3461="",$S3461="Có",AND($L3461&lt;&gt;"",OR($L3461&lt;&gt;"Chưa xác định",DANH_MUC!$L$9="Có"))),"Có","Không"))</f>
        <v/>
      </c>
      <c r="U3461" s="22">
        <f>IF(OR($D3461="",$T3461="Có"),"",IF($C3461="","Thiếu họ tên; ","")&amp;IF($S3461&lt;&gt;"Có","SĐT sai định dạng; ","")&amp;IF($R3461="Trùng","Trùng SĐT; ","")&amp;IF($Q3461&lt;&gt;"Có","Thiếu đồng ý bắt buộc; ","")&amp;IF($L3461="","Thiếu/sai Mã REF; ",IF(AND($L3461="Chưa xác định",DANH_MUC!$L$9&lt;&gt;"Có"),"Nguồn chưa xác định; ","")))</f>
        <v/>
      </c>
      <c r="V3461" s="22">
        <f>IF(OR($D3461="",$R3461="Trùng"),"",IF(COUNTIF(ORDERS!$C$2:$C$4995,$D3461)&gt;0,"Có","Không"))</f>
        <v/>
      </c>
      <c r="W3461" s="22">
        <f>IF(OR($D3461="",$R3461="Trùng"),"",COUNTIFS(ORDERS!$C$2:$C$4995,$D3461,ORDERS!$L$2:$L$4995,"Đã chuyển khoản"))</f>
        <v/>
      </c>
      <c r="X3461" s="23">
        <f>IF(OR($D3461="",$R3461="Trùng"),"",SUMIFS(ORDERS!$J$2:$J$4995,ORDERS!$C$2:$C$4995,$D3461,ORDERS!$L$2:$L$4995,"Đã chuyển khoản"))</f>
        <v/>
      </c>
      <c r="Y3461" s="24" t="n"/>
    </row>
    <row r="3462" ht="14.25" customHeight="1" s="40">
      <c r="A3462" s="24" t="n"/>
      <c r="B3462" s="27" t="n"/>
      <c r="C3462" s="24" t="n"/>
      <c r="D3462" s="28" t="n"/>
      <c r="E3462" s="29" t="n"/>
      <c r="F3462" s="24" t="n"/>
      <c r="G3462" s="24" t="n"/>
      <c r="H3462" s="21">
        <f>IF(ISNUMBER($B3462),INT($B3462)-WEEKDAY($B3462,2)+1,"")</f>
        <v/>
      </c>
      <c r="I3462" s="24" t="n"/>
      <c r="J3462" s="22">
        <f t="array" ref="J3462">IF($D3462="","",IF($I3462="","(trống REF)",IFERROR(INDEX(MASTER_SOURCE!$B$2:$B$495,MATCH($I3462,MASTER_SOURCE!$A$2:$A$495,0)),"(REF không có trong MASTER_SOURCE)")))</f>
        <v/>
      </c>
      <c r="K3462" s="22">
        <f t="array" ref="K3462">IF($D3462="","",IFERROR(INDEX(MASTER_SOURCE!$C$2:$C$495,MATCH($I3462,MASTER_SOURCE!$A$2:$A$495,0)),""))</f>
        <v/>
      </c>
      <c r="L3462" s="22">
        <f t="array" ref="L3462">IF($D3462="","",IFERROR(INDEX(MASTER_SOURCE!$D$2:$D$495,MATCH($I3462,MASTER_SOURCE!$A$2:$A$495,0)),""))</f>
        <v/>
      </c>
      <c r="M3462" s="24" t="n"/>
      <c r="N3462" s="24" t="n"/>
      <c r="O3462" s="24" t="n"/>
      <c r="P3462" s="24" t="n"/>
      <c r="Q3462" s="22">
        <f>IF($D3462="","",IF(AND(OR(DANH_MUC!$L$5&lt;&gt;"Có",M3462="Có"),OR(DANH_MUC!$L$6&lt;&gt;"Có",N3462="Có"),OR(DANH_MUC!$L$7&lt;&gt;"Có",O3462="Có"),OR(DANH_MUC!$L$8&lt;&gt;"Có",P3462="Có")),"Có","Không"))</f>
        <v/>
      </c>
      <c r="R3462" s="22">
        <f>IF($D3462="","",IF(COUNTIF($D$2:$D3462,$D3462)&gt;1,"Trùng",""))</f>
        <v/>
      </c>
      <c r="S3462" s="22">
        <f>IF($D3462="","",IF(AND(LEN($D3462)=10,LEFT($D3462,1)="0",ISNUMBER(--$D3462)),"Có","Không"))</f>
        <v/>
      </c>
      <c r="T3462" s="22">
        <f>IF($D3462="","",IF(AND($C3462&lt;&gt;"",$Q3462="Có",$R3462="",$S3462="Có",AND($L3462&lt;&gt;"",OR($L3462&lt;&gt;"Chưa xác định",DANH_MUC!$L$9="Có"))),"Có","Không"))</f>
        <v/>
      </c>
      <c r="U3462" s="22">
        <f>IF(OR($D3462="",$T3462="Có"),"",IF($C3462="","Thiếu họ tên; ","")&amp;IF($S3462&lt;&gt;"Có","SĐT sai định dạng; ","")&amp;IF($R3462="Trùng","Trùng SĐT; ","")&amp;IF($Q3462&lt;&gt;"Có","Thiếu đồng ý bắt buộc; ","")&amp;IF($L3462="","Thiếu/sai Mã REF; ",IF(AND($L3462="Chưa xác định",DANH_MUC!$L$9&lt;&gt;"Có"),"Nguồn chưa xác định; ","")))</f>
        <v/>
      </c>
      <c r="V3462" s="22">
        <f>IF(OR($D3462="",$R3462="Trùng"),"",IF(COUNTIF(ORDERS!$C$2:$C$4995,$D3462)&gt;0,"Có","Không"))</f>
        <v/>
      </c>
      <c r="W3462" s="22">
        <f>IF(OR($D3462="",$R3462="Trùng"),"",COUNTIFS(ORDERS!$C$2:$C$4995,$D3462,ORDERS!$L$2:$L$4995,"Đã chuyển khoản"))</f>
        <v/>
      </c>
      <c r="X3462" s="23">
        <f>IF(OR($D3462="",$R3462="Trùng"),"",SUMIFS(ORDERS!$J$2:$J$4995,ORDERS!$C$2:$C$4995,$D3462,ORDERS!$L$2:$L$4995,"Đã chuyển khoản"))</f>
        <v/>
      </c>
      <c r="Y3462" s="24" t="n"/>
    </row>
    <row r="3463" ht="14.25" customHeight="1" s="40">
      <c r="A3463" s="24" t="n"/>
      <c r="B3463" s="27" t="n"/>
      <c r="C3463" s="24" t="n"/>
      <c r="D3463" s="28" t="n"/>
      <c r="E3463" s="29" t="n"/>
      <c r="F3463" s="24" t="n"/>
      <c r="G3463" s="24" t="n"/>
      <c r="H3463" s="21">
        <f>IF(ISNUMBER($B3463),INT($B3463)-WEEKDAY($B3463,2)+1,"")</f>
        <v/>
      </c>
      <c r="I3463" s="24" t="n"/>
      <c r="J3463" s="22">
        <f t="array" ref="J3463">IF($D3463="","",IF($I3463="","(trống REF)",IFERROR(INDEX(MASTER_SOURCE!$B$2:$B$495,MATCH($I3463,MASTER_SOURCE!$A$2:$A$495,0)),"(REF không có trong MASTER_SOURCE)")))</f>
        <v/>
      </c>
      <c r="K3463" s="22">
        <f t="array" ref="K3463">IF($D3463="","",IFERROR(INDEX(MASTER_SOURCE!$C$2:$C$495,MATCH($I3463,MASTER_SOURCE!$A$2:$A$495,0)),""))</f>
        <v/>
      </c>
      <c r="L3463" s="22">
        <f t="array" ref="L3463">IF($D3463="","",IFERROR(INDEX(MASTER_SOURCE!$D$2:$D$495,MATCH($I3463,MASTER_SOURCE!$A$2:$A$495,0)),""))</f>
        <v/>
      </c>
      <c r="M3463" s="24" t="n"/>
      <c r="N3463" s="24" t="n"/>
      <c r="O3463" s="24" t="n"/>
      <c r="P3463" s="24" t="n"/>
      <c r="Q3463" s="22">
        <f>IF($D3463="","",IF(AND(OR(DANH_MUC!$L$5&lt;&gt;"Có",M3463="Có"),OR(DANH_MUC!$L$6&lt;&gt;"Có",N3463="Có"),OR(DANH_MUC!$L$7&lt;&gt;"Có",O3463="Có"),OR(DANH_MUC!$L$8&lt;&gt;"Có",P3463="Có")),"Có","Không"))</f>
        <v/>
      </c>
      <c r="R3463" s="22">
        <f>IF($D3463="","",IF(COUNTIF($D$2:$D3463,$D3463)&gt;1,"Trùng",""))</f>
        <v/>
      </c>
      <c r="S3463" s="22">
        <f>IF($D3463="","",IF(AND(LEN($D3463)=10,LEFT($D3463,1)="0",ISNUMBER(--$D3463)),"Có","Không"))</f>
        <v/>
      </c>
      <c r="T3463" s="22">
        <f>IF($D3463="","",IF(AND($C3463&lt;&gt;"",$Q3463="Có",$R3463="",$S3463="Có",AND($L3463&lt;&gt;"",OR($L3463&lt;&gt;"Chưa xác định",DANH_MUC!$L$9="Có"))),"Có","Không"))</f>
        <v/>
      </c>
      <c r="U3463" s="22">
        <f>IF(OR($D3463="",$T3463="Có"),"",IF($C3463="","Thiếu họ tên; ","")&amp;IF($S3463&lt;&gt;"Có","SĐT sai định dạng; ","")&amp;IF($R3463="Trùng","Trùng SĐT; ","")&amp;IF($Q3463&lt;&gt;"Có","Thiếu đồng ý bắt buộc; ","")&amp;IF($L3463="","Thiếu/sai Mã REF; ",IF(AND($L3463="Chưa xác định",DANH_MUC!$L$9&lt;&gt;"Có"),"Nguồn chưa xác định; ","")))</f>
        <v/>
      </c>
      <c r="V3463" s="22">
        <f>IF(OR($D3463="",$R3463="Trùng"),"",IF(COUNTIF(ORDERS!$C$2:$C$4995,$D3463)&gt;0,"Có","Không"))</f>
        <v/>
      </c>
      <c r="W3463" s="22">
        <f>IF(OR($D3463="",$R3463="Trùng"),"",COUNTIFS(ORDERS!$C$2:$C$4995,$D3463,ORDERS!$L$2:$L$4995,"Đã chuyển khoản"))</f>
        <v/>
      </c>
      <c r="X3463" s="23">
        <f>IF(OR($D3463="",$R3463="Trùng"),"",SUMIFS(ORDERS!$J$2:$J$4995,ORDERS!$C$2:$C$4995,$D3463,ORDERS!$L$2:$L$4995,"Đã chuyển khoản"))</f>
        <v/>
      </c>
      <c r="Y3463" s="24" t="n"/>
    </row>
    <row r="3464" ht="14.25" customHeight="1" s="40">
      <c r="A3464" s="24" t="n"/>
      <c r="B3464" s="27" t="n"/>
      <c r="C3464" s="24" t="n"/>
      <c r="D3464" s="28" t="n"/>
      <c r="E3464" s="29" t="n"/>
      <c r="F3464" s="24" t="n"/>
      <c r="G3464" s="24" t="n"/>
      <c r="H3464" s="21">
        <f>IF(ISNUMBER($B3464),INT($B3464)-WEEKDAY($B3464,2)+1,"")</f>
        <v/>
      </c>
      <c r="I3464" s="24" t="n"/>
      <c r="J3464" s="22">
        <f t="array" ref="J3464">IF($D3464="","",IF($I3464="","(trống REF)",IFERROR(INDEX(MASTER_SOURCE!$B$2:$B$495,MATCH($I3464,MASTER_SOURCE!$A$2:$A$495,0)),"(REF không có trong MASTER_SOURCE)")))</f>
        <v/>
      </c>
      <c r="K3464" s="22">
        <f t="array" ref="K3464">IF($D3464="","",IFERROR(INDEX(MASTER_SOURCE!$C$2:$C$495,MATCH($I3464,MASTER_SOURCE!$A$2:$A$495,0)),""))</f>
        <v/>
      </c>
      <c r="L3464" s="22">
        <f t="array" ref="L3464">IF($D3464="","",IFERROR(INDEX(MASTER_SOURCE!$D$2:$D$495,MATCH($I3464,MASTER_SOURCE!$A$2:$A$495,0)),""))</f>
        <v/>
      </c>
      <c r="M3464" s="24" t="n"/>
      <c r="N3464" s="24" t="n"/>
      <c r="O3464" s="24" t="n"/>
      <c r="P3464" s="24" t="n"/>
      <c r="Q3464" s="22">
        <f>IF($D3464="","",IF(AND(OR(DANH_MUC!$L$5&lt;&gt;"Có",M3464="Có"),OR(DANH_MUC!$L$6&lt;&gt;"Có",N3464="Có"),OR(DANH_MUC!$L$7&lt;&gt;"Có",O3464="Có"),OR(DANH_MUC!$L$8&lt;&gt;"Có",P3464="Có")),"Có","Không"))</f>
        <v/>
      </c>
      <c r="R3464" s="22">
        <f>IF($D3464="","",IF(COUNTIF($D$2:$D3464,$D3464)&gt;1,"Trùng",""))</f>
        <v/>
      </c>
      <c r="S3464" s="22">
        <f>IF($D3464="","",IF(AND(LEN($D3464)=10,LEFT($D3464,1)="0",ISNUMBER(--$D3464)),"Có","Không"))</f>
        <v/>
      </c>
      <c r="T3464" s="22">
        <f>IF($D3464="","",IF(AND($C3464&lt;&gt;"",$Q3464="Có",$R3464="",$S3464="Có",AND($L3464&lt;&gt;"",OR($L3464&lt;&gt;"Chưa xác định",DANH_MUC!$L$9="Có"))),"Có","Không"))</f>
        <v/>
      </c>
      <c r="U3464" s="22">
        <f>IF(OR($D3464="",$T3464="Có"),"",IF($C3464="","Thiếu họ tên; ","")&amp;IF($S3464&lt;&gt;"Có","SĐT sai định dạng; ","")&amp;IF($R3464="Trùng","Trùng SĐT; ","")&amp;IF($Q3464&lt;&gt;"Có","Thiếu đồng ý bắt buộc; ","")&amp;IF($L3464="","Thiếu/sai Mã REF; ",IF(AND($L3464="Chưa xác định",DANH_MUC!$L$9&lt;&gt;"Có"),"Nguồn chưa xác định; ","")))</f>
        <v/>
      </c>
      <c r="V3464" s="22">
        <f>IF(OR($D3464="",$R3464="Trùng"),"",IF(COUNTIF(ORDERS!$C$2:$C$4995,$D3464)&gt;0,"Có","Không"))</f>
        <v/>
      </c>
      <c r="W3464" s="22">
        <f>IF(OR($D3464="",$R3464="Trùng"),"",COUNTIFS(ORDERS!$C$2:$C$4995,$D3464,ORDERS!$L$2:$L$4995,"Đã chuyển khoản"))</f>
        <v/>
      </c>
      <c r="X3464" s="23">
        <f>IF(OR($D3464="",$R3464="Trùng"),"",SUMIFS(ORDERS!$J$2:$J$4995,ORDERS!$C$2:$C$4995,$D3464,ORDERS!$L$2:$L$4995,"Đã chuyển khoản"))</f>
        <v/>
      </c>
      <c r="Y3464" s="24" t="n"/>
    </row>
    <row r="3465" ht="14.25" customHeight="1" s="40">
      <c r="A3465" s="24" t="n"/>
      <c r="B3465" s="27" t="n"/>
      <c r="C3465" s="24" t="n"/>
      <c r="D3465" s="28" t="n"/>
      <c r="E3465" s="29" t="n"/>
      <c r="F3465" s="24" t="n"/>
      <c r="G3465" s="24" t="n"/>
      <c r="H3465" s="21">
        <f>IF(ISNUMBER($B3465),INT($B3465)-WEEKDAY($B3465,2)+1,"")</f>
        <v/>
      </c>
      <c r="I3465" s="24" t="n"/>
      <c r="J3465" s="22">
        <f t="array" ref="J3465">IF($D3465="","",IF($I3465="","(trống REF)",IFERROR(INDEX(MASTER_SOURCE!$B$2:$B$495,MATCH($I3465,MASTER_SOURCE!$A$2:$A$495,0)),"(REF không có trong MASTER_SOURCE)")))</f>
        <v/>
      </c>
      <c r="K3465" s="22">
        <f t="array" ref="K3465">IF($D3465="","",IFERROR(INDEX(MASTER_SOURCE!$C$2:$C$495,MATCH($I3465,MASTER_SOURCE!$A$2:$A$495,0)),""))</f>
        <v/>
      </c>
      <c r="L3465" s="22">
        <f t="array" ref="L3465">IF($D3465="","",IFERROR(INDEX(MASTER_SOURCE!$D$2:$D$495,MATCH($I3465,MASTER_SOURCE!$A$2:$A$495,0)),""))</f>
        <v/>
      </c>
      <c r="M3465" s="24" t="n"/>
      <c r="N3465" s="24" t="n"/>
      <c r="O3465" s="24" t="n"/>
      <c r="P3465" s="24" t="n"/>
      <c r="Q3465" s="22">
        <f>IF($D3465="","",IF(AND(OR(DANH_MUC!$L$5&lt;&gt;"Có",M3465="Có"),OR(DANH_MUC!$L$6&lt;&gt;"Có",N3465="Có"),OR(DANH_MUC!$L$7&lt;&gt;"Có",O3465="Có"),OR(DANH_MUC!$L$8&lt;&gt;"Có",P3465="Có")),"Có","Không"))</f>
        <v/>
      </c>
      <c r="R3465" s="22">
        <f>IF($D3465="","",IF(COUNTIF($D$2:$D3465,$D3465)&gt;1,"Trùng",""))</f>
        <v/>
      </c>
      <c r="S3465" s="22">
        <f>IF($D3465="","",IF(AND(LEN($D3465)=10,LEFT($D3465,1)="0",ISNUMBER(--$D3465)),"Có","Không"))</f>
        <v/>
      </c>
      <c r="T3465" s="22">
        <f>IF($D3465="","",IF(AND($C3465&lt;&gt;"",$Q3465="Có",$R3465="",$S3465="Có",AND($L3465&lt;&gt;"",OR($L3465&lt;&gt;"Chưa xác định",DANH_MUC!$L$9="Có"))),"Có","Không"))</f>
        <v/>
      </c>
      <c r="U3465" s="22">
        <f>IF(OR($D3465="",$T3465="Có"),"",IF($C3465="","Thiếu họ tên; ","")&amp;IF($S3465&lt;&gt;"Có","SĐT sai định dạng; ","")&amp;IF($R3465="Trùng","Trùng SĐT; ","")&amp;IF($Q3465&lt;&gt;"Có","Thiếu đồng ý bắt buộc; ","")&amp;IF($L3465="","Thiếu/sai Mã REF; ",IF(AND($L3465="Chưa xác định",DANH_MUC!$L$9&lt;&gt;"Có"),"Nguồn chưa xác định; ","")))</f>
        <v/>
      </c>
      <c r="V3465" s="22">
        <f>IF(OR($D3465="",$R3465="Trùng"),"",IF(COUNTIF(ORDERS!$C$2:$C$4995,$D3465)&gt;0,"Có","Không"))</f>
        <v/>
      </c>
      <c r="W3465" s="22">
        <f>IF(OR($D3465="",$R3465="Trùng"),"",COUNTIFS(ORDERS!$C$2:$C$4995,$D3465,ORDERS!$L$2:$L$4995,"Đã chuyển khoản"))</f>
        <v/>
      </c>
      <c r="X3465" s="23">
        <f>IF(OR($D3465="",$R3465="Trùng"),"",SUMIFS(ORDERS!$J$2:$J$4995,ORDERS!$C$2:$C$4995,$D3465,ORDERS!$L$2:$L$4995,"Đã chuyển khoản"))</f>
        <v/>
      </c>
      <c r="Y3465" s="24" t="n"/>
    </row>
    <row r="3466" ht="14.25" customHeight="1" s="40">
      <c r="A3466" s="24" t="n"/>
      <c r="B3466" s="27" t="n"/>
      <c r="C3466" s="24" t="n"/>
      <c r="D3466" s="28" t="n"/>
      <c r="E3466" s="29" t="n"/>
      <c r="F3466" s="24" t="n"/>
      <c r="G3466" s="24" t="n"/>
      <c r="H3466" s="21">
        <f>IF(ISNUMBER($B3466),INT($B3466)-WEEKDAY($B3466,2)+1,"")</f>
        <v/>
      </c>
      <c r="I3466" s="24" t="n"/>
      <c r="J3466" s="22">
        <f t="array" ref="J3466">IF($D3466="","",IF($I3466="","(trống REF)",IFERROR(INDEX(MASTER_SOURCE!$B$2:$B$495,MATCH($I3466,MASTER_SOURCE!$A$2:$A$495,0)),"(REF không có trong MASTER_SOURCE)")))</f>
        <v/>
      </c>
      <c r="K3466" s="22">
        <f t="array" ref="K3466">IF($D3466="","",IFERROR(INDEX(MASTER_SOURCE!$C$2:$C$495,MATCH($I3466,MASTER_SOURCE!$A$2:$A$495,0)),""))</f>
        <v/>
      </c>
      <c r="L3466" s="22">
        <f t="array" ref="L3466">IF($D3466="","",IFERROR(INDEX(MASTER_SOURCE!$D$2:$D$495,MATCH($I3466,MASTER_SOURCE!$A$2:$A$495,0)),""))</f>
        <v/>
      </c>
      <c r="M3466" s="24" t="n"/>
      <c r="N3466" s="24" t="n"/>
      <c r="O3466" s="24" t="n"/>
      <c r="P3466" s="24" t="n"/>
      <c r="Q3466" s="22">
        <f>IF($D3466="","",IF(AND(OR(DANH_MUC!$L$5&lt;&gt;"Có",M3466="Có"),OR(DANH_MUC!$L$6&lt;&gt;"Có",N3466="Có"),OR(DANH_MUC!$L$7&lt;&gt;"Có",O3466="Có"),OR(DANH_MUC!$L$8&lt;&gt;"Có",P3466="Có")),"Có","Không"))</f>
        <v/>
      </c>
      <c r="R3466" s="22">
        <f>IF($D3466="","",IF(COUNTIF($D$2:$D3466,$D3466)&gt;1,"Trùng",""))</f>
        <v/>
      </c>
      <c r="S3466" s="22">
        <f>IF($D3466="","",IF(AND(LEN($D3466)=10,LEFT($D3466,1)="0",ISNUMBER(--$D3466)),"Có","Không"))</f>
        <v/>
      </c>
      <c r="T3466" s="22">
        <f>IF($D3466="","",IF(AND($C3466&lt;&gt;"",$Q3466="Có",$R3466="",$S3466="Có",AND($L3466&lt;&gt;"",OR($L3466&lt;&gt;"Chưa xác định",DANH_MUC!$L$9="Có"))),"Có","Không"))</f>
        <v/>
      </c>
      <c r="U3466" s="22">
        <f>IF(OR($D3466="",$T3466="Có"),"",IF($C3466="","Thiếu họ tên; ","")&amp;IF($S3466&lt;&gt;"Có","SĐT sai định dạng; ","")&amp;IF($R3466="Trùng","Trùng SĐT; ","")&amp;IF($Q3466&lt;&gt;"Có","Thiếu đồng ý bắt buộc; ","")&amp;IF($L3466="","Thiếu/sai Mã REF; ",IF(AND($L3466="Chưa xác định",DANH_MUC!$L$9&lt;&gt;"Có"),"Nguồn chưa xác định; ","")))</f>
        <v/>
      </c>
      <c r="V3466" s="22">
        <f>IF(OR($D3466="",$R3466="Trùng"),"",IF(COUNTIF(ORDERS!$C$2:$C$4995,$D3466)&gt;0,"Có","Không"))</f>
        <v/>
      </c>
      <c r="W3466" s="22">
        <f>IF(OR($D3466="",$R3466="Trùng"),"",COUNTIFS(ORDERS!$C$2:$C$4995,$D3466,ORDERS!$L$2:$L$4995,"Đã chuyển khoản"))</f>
        <v/>
      </c>
      <c r="X3466" s="23">
        <f>IF(OR($D3466="",$R3466="Trùng"),"",SUMIFS(ORDERS!$J$2:$J$4995,ORDERS!$C$2:$C$4995,$D3466,ORDERS!$L$2:$L$4995,"Đã chuyển khoản"))</f>
        <v/>
      </c>
      <c r="Y3466" s="24" t="n"/>
    </row>
    <row r="3467" ht="14.25" customHeight="1" s="40">
      <c r="A3467" s="24" t="n"/>
      <c r="B3467" s="27" t="n"/>
      <c r="C3467" s="24" t="n"/>
      <c r="D3467" s="28" t="n"/>
      <c r="E3467" s="29" t="n"/>
      <c r="F3467" s="24" t="n"/>
      <c r="G3467" s="24" t="n"/>
      <c r="H3467" s="21">
        <f>IF(ISNUMBER($B3467),INT($B3467)-WEEKDAY($B3467,2)+1,"")</f>
        <v/>
      </c>
      <c r="I3467" s="24" t="n"/>
      <c r="J3467" s="22">
        <f t="array" ref="J3467">IF($D3467="","",IF($I3467="","(trống REF)",IFERROR(INDEX(MASTER_SOURCE!$B$2:$B$495,MATCH($I3467,MASTER_SOURCE!$A$2:$A$495,0)),"(REF không có trong MASTER_SOURCE)")))</f>
        <v/>
      </c>
      <c r="K3467" s="22">
        <f t="array" ref="K3467">IF($D3467="","",IFERROR(INDEX(MASTER_SOURCE!$C$2:$C$495,MATCH($I3467,MASTER_SOURCE!$A$2:$A$495,0)),""))</f>
        <v/>
      </c>
      <c r="L3467" s="22">
        <f t="array" ref="L3467">IF($D3467="","",IFERROR(INDEX(MASTER_SOURCE!$D$2:$D$495,MATCH($I3467,MASTER_SOURCE!$A$2:$A$495,0)),""))</f>
        <v/>
      </c>
      <c r="M3467" s="24" t="n"/>
      <c r="N3467" s="24" t="n"/>
      <c r="O3467" s="24" t="n"/>
      <c r="P3467" s="24" t="n"/>
      <c r="Q3467" s="22">
        <f>IF($D3467="","",IF(AND(OR(DANH_MUC!$L$5&lt;&gt;"Có",M3467="Có"),OR(DANH_MUC!$L$6&lt;&gt;"Có",N3467="Có"),OR(DANH_MUC!$L$7&lt;&gt;"Có",O3467="Có"),OR(DANH_MUC!$L$8&lt;&gt;"Có",P3467="Có")),"Có","Không"))</f>
        <v/>
      </c>
      <c r="R3467" s="22">
        <f>IF($D3467="","",IF(COUNTIF($D$2:$D3467,$D3467)&gt;1,"Trùng",""))</f>
        <v/>
      </c>
      <c r="S3467" s="22">
        <f>IF($D3467="","",IF(AND(LEN($D3467)=10,LEFT($D3467,1)="0",ISNUMBER(--$D3467)),"Có","Không"))</f>
        <v/>
      </c>
      <c r="T3467" s="22">
        <f>IF($D3467="","",IF(AND($C3467&lt;&gt;"",$Q3467="Có",$R3467="",$S3467="Có",AND($L3467&lt;&gt;"",OR($L3467&lt;&gt;"Chưa xác định",DANH_MUC!$L$9="Có"))),"Có","Không"))</f>
        <v/>
      </c>
      <c r="U3467" s="22">
        <f>IF(OR($D3467="",$T3467="Có"),"",IF($C3467="","Thiếu họ tên; ","")&amp;IF($S3467&lt;&gt;"Có","SĐT sai định dạng; ","")&amp;IF($R3467="Trùng","Trùng SĐT; ","")&amp;IF($Q3467&lt;&gt;"Có","Thiếu đồng ý bắt buộc; ","")&amp;IF($L3467="","Thiếu/sai Mã REF; ",IF(AND($L3467="Chưa xác định",DANH_MUC!$L$9&lt;&gt;"Có"),"Nguồn chưa xác định; ","")))</f>
        <v/>
      </c>
      <c r="V3467" s="22">
        <f>IF(OR($D3467="",$R3467="Trùng"),"",IF(COUNTIF(ORDERS!$C$2:$C$4995,$D3467)&gt;0,"Có","Không"))</f>
        <v/>
      </c>
      <c r="W3467" s="22">
        <f>IF(OR($D3467="",$R3467="Trùng"),"",COUNTIFS(ORDERS!$C$2:$C$4995,$D3467,ORDERS!$L$2:$L$4995,"Đã chuyển khoản"))</f>
        <v/>
      </c>
      <c r="X3467" s="23">
        <f>IF(OR($D3467="",$R3467="Trùng"),"",SUMIFS(ORDERS!$J$2:$J$4995,ORDERS!$C$2:$C$4995,$D3467,ORDERS!$L$2:$L$4995,"Đã chuyển khoản"))</f>
        <v/>
      </c>
      <c r="Y3467" s="24" t="n"/>
    </row>
    <row r="3468" ht="14.25" customHeight="1" s="40">
      <c r="A3468" s="24" t="n"/>
      <c r="B3468" s="27" t="n"/>
      <c r="C3468" s="24" t="n"/>
      <c r="D3468" s="28" t="n"/>
      <c r="E3468" s="29" t="n"/>
      <c r="F3468" s="24" t="n"/>
      <c r="G3468" s="24" t="n"/>
      <c r="H3468" s="21">
        <f>IF(ISNUMBER($B3468),INT($B3468)-WEEKDAY($B3468,2)+1,"")</f>
        <v/>
      </c>
      <c r="I3468" s="24" t="n"/>
      <c r="J3468" s="22">
        <f t="array" ref="J3468">IF($D3468="","",IF($I3468="","(trống REF)",IFERROR(INDEX(MASTER_SOURCE!$B$2:$B$495,MATCH($I3468,MASTER_SOURCE!$A$2:$A$495,0)),"(REF không có trong MASTER_SOURCE)")))</f>
        <v/>
      </c>
      <c r="K3468" s="22">
        <f t="array" ref="K3468">IF($D3468="","",IFERROR(INDEX(MASTER_SOURCE!$C$2:$C$495,MATCH($I3468,MASTER_SOURCE!$A$2:$A$495,0)),""))</f>
        <v/>
      </c>
      <c r="L3468" s="22">
        <f t="array" ref="L3468">IF($D3468="","",IFERROR(INDEX(MASTER_SOURCE!$D$2:$D$495,MATCH($I3468,MASTER_SOURCE!$A$2:$A$495,0)),""))</f>
        <v/>
      </c>
      <c r="M3468" s="24" t="n"/>
      <c r="N3468" s="24" t="n"/>
      <c r="O3468" s="24" t="n"/>
      <c r="P3468" s="24" t="n"/>
      <c r="Q3468" s="22">
        <f>IF($D3468="","",IF(AND(OR(DANH_MUC!$L$5&lt;&gt;"Có",M3468="Có"),OR(DANH_MUC!$L$6&lt;&gt;"Có",N3468="Có"),OR(DANH_MUC!$L$7&lt;&gt;"Có",O3468="Có"),OR(DANH_MUC!$L$8&lt;&gt;"Có",P3468="Có")),"Có","Không"))</f>
        <v/>
      </c>
      <c r="R3468" s="22">
        <f>IF($D3468="","",IF(COUNTIF($D$2:$D3468,$D3468)&gt;1,"Trùng",""))</f>
        <v/>
      </c>
      <c r="S3468" s="22">
        <f>IF($D3468="","",IF(AND(LEN($D3468)=10,LEFT($D3468,1)="0",ISNUMBER(--$D3468)),"Có","Không"))</f>
        <v/>
      </c>
      <c r="T3468" s="22">
        <f>IF($D3468="","",IF(AND($C3468&lt;&gt;"",$Q3468="Có",$R3468="",$S3468="Có",AND($L3468&lt;&gt;"",OR($L3468&lt;&gt;"Chưa xác định",DANH_MUC!$L$9="Có"))),"Có","Không"))</f>
        <v/>
      </c>
      <c r="U3468" s="22">
        <f>IF(OR($D3468="",$T3468="Có"),"",IF($C3468="","Thiếu họ tên; ","")&amp;IF($S3468&lt;&gt;"Có","SĐT sai định dạng; ","")&amp;IF($R3468="Trùng","Trùng SĐT; ","")&amp;IF($Q3468&lt;&gt;"Có","Thiếu đồng ý bắt buộc; ","")&amp;IF($L3468="","Thiếu/sai Mã REF; ",IF(AND($L3468="Chưa xác định",DANH_MUC!$L$9&lt;&gt;"Có"),"Nguồn chưa xác định; ","")))</f>
        <v/>
      </c>
      <c r="V3468" s="22">
        <f>IF(OR($D3468="",$R3468="Trùng"),"",IF(COUNTIF(ORDERS!$C$2:$C$4995,$D3468)&gt;0,"Có","Không"))</f>
        <v/>
      </c>
      <c r="W3468" s="22">
        <f>IF(OR($D3468="",$R3468="Trùng"),"",COUNTIFS(ORDERS!$C$2:$C$4995,$D3468,ORDERS!$L$2:$L$4995,"Đã chuyển khoản"))</f>
        <v/>
      </c>
      <c r="X3468" s="23">
        <f>IF(OR($D3468="",$R3468="Trùng"),"",SUMIFS(ORDERS!$J$2:$J$4995,ORDERS!$C$2:$C$4995,$D3468,ORDERS!$L$2:$L$4995,"Đã chuyển khoản"))</f>
        <v/>
      </c>
      <c r="Y3468" s="24" t="n"/>
    </row>
    <row r="3469" ht="14.25" customHeight="1" s="40">
      <c r="A3469" s="24" t="n"/>
      <c r="B3469" s="27" t="n"/>
      <c r="C3469" s="24" t="n"/>
      <c r="D3469" s="28" t="n"/>
      <c r="E3469" s="29" t="n"/>
      <c r="F3469" s="24" t="n"/>
      <c r="G3469" s="24" t="n"/>
      <c r="H3469" s="21">
        <f>IF(ISNUMBER($B3469),INT($B3469)-WEEKDAY($B3469,2)+1,"")</f>
        <v/>
      </c>
      <c r="I3469" s="24" t="n"/>
      <c r="J3469" s="22">
        <f t="array" ref="J3469">IF($D3469="","",IF($I3469="","(trống REF)",IFERROR(INDEX(MASTER_SOURCE!$B$2:$B$495,MATCH($I3469,MASTER_SOURCE!$A$2:$A$495,0)),"(REF không có trong MASTER_SOURCE)")))</f>
        <v/>
      </c>
      <c r="K3469" s="22">
        <f t="array" ref="K3469">IF($D3469="","",IFERROR(INDEX(MASTER_SOURCE!$C$2:$C$495,MATCH($I3469,MASTER_SOURCE!$A$2:$A$495,0)),""))</f>
        <v/>
      </c>
      <c r="L3469" s="22">
        <f t="array" ref="L3469">IF($D3469="","",IFERROR(INDEX(MASTER_SOURCE!$D$2:$D$495,MATCH($I3469,MASTER_SOURCE!$A$2:$A$495,0)),""))</f>
        <v/>
      </c>
      <c r="M3469" s="24" t="n"/>
      <c r="N3469" s="24" t="n"/>
      <c r="O3469" s="24" t="n"/>
      <c r="P3469" s="24" t="n"/>
      <c r="Q3469" s="22">
        <f>IF($D3469="","",IF(AND(OR(DANH_MUC!$L$5&lt;&gt;"Có",M3469="Có"),OR(DANH_MUC!$L$6&lt;&gt;"Có",N3469="Có"),OR(DANH_MUC!$L$7&lt;&gt;"Có",O3469="Có"),OR(DANH_MUC!$L$8&lt;&gt;"Có",P3469="Có")),"Có","Không"))</f>
        <v/>
      </c>
      <c r="R3469" s="22">
        <f>IF($D3469="","",IF(COUNTIF($D$2:$D3469,$D3469)&gt;1,"Trùng",""))</f>
        <v/>
      </c>
      <c r="S3469" s="22">
        <f>IF($D3469="","",IF(AND(LEN($D3469)=10,LEFT($D3469,1)="0",ISNUMBER(--$D3469)),"Có","Không"))</f>
        <v/>
      </c>
      <c r="T3469" s="22">
        <f>IF($D3469="","",IF(AND($C3469&lt;&gt;"",$Q3469="Có",$R3469="",$S3469="Có",AND($L3469&lt;&gt;"",OR($L3469&lt;&gt;"Chưa xác định",DANH_MUC!$L$9="Có"))),"Có","Không"))</f>
        <v/>
      </c>
      <c r="U3469" s="22">
        <f>IF(OR($D3469="",$T3469="Có"),"",IF($C3469="","Thiếu họ tên; ","")&amp;IF($S3469&lt;&gt;"Có","SĐT sai định dạng; ","")&amp;IF($R3469="Trùng","Trùng SĐT; ","")&amp;IF($Q3469&lt;&gt;"Có","Thiếu đồng ý bắt buộc; ","")&amp;IF($L3469="","Thiếu/sai Mã REF; ",IF(AND($L3469="Chưa xác định",DANH_MUC!$L$9&lt;&gt;"Có"),"Nguồn chưa xác định; ","")))</f>
        <v/>
      </c>
      <c r="V3469" s="22">
        <f>IF(OR($D3469="",$R3469="Trùng"),"",IF(COUNTIF(ORDERS!$C$2:$C$4995,$D3469)&gt;0,"Có","Không"))</f>
        <v/>
      </c>
      <c r="W3469" s="22">
        <f>IF(OR($D3469="",$R3469="Trùng"),"",COUNTIFS(ORDERS!$C$2:$C$4995,$D3469,ORDERS!$L$2:$L$4995,"Đã chuyển khoản"))</f>
        <v/>
      </c>
      <c r="X3469" s="23">
        <f>IF(OR($D3469="",$R3469="Trùng"),"",SUMIFS(ORDERS!$J$2:$J$4995,ORDERS!$C$2:$C$4995,$D3469,ORDERS!$L$2:$L$4995,"Đã chuyển khoản"))</f>
        <v/>
      </c>
      <c r="Y3469" s="24" t="n"/>
    </row>
    <row r="3470" ht="14.25" customHeight="1" s="40">
      <c r="A3470" s="24" t="n"/>
      <c r="B3470" s="27" t="n"/>
      <c r="C3470" s="24" t="n"/>
      <c r="D3470" s="28" t="n"/>
      <c r="E3470" s="29" t="n"/>
      <c r="F3470" s="24" t="n"/>
      <c r="G3470" s="24" t="n"/>
      <c r="H3470" s="21">
        <f>IF(ISNUMBER($B3470),INT($B3470)-WEEKDAY($B3470,2)+1,"")</f>
        <v/>
      </c>
      <c r="I3470" s="24" t="n"/>
      <c r="J3470" s="22">
        <f t="array" ref="J3470">IF($D3470="","",IF($I3470="","(trống REF)",IFERROR(INDEX(MASTER_SOURCE!$B$2:$B$495,MATCH($I3470,MASTER_SOURCE!$A$2:$A$495,0)),"(REF không có trong MASTER_SOURCE)")))</f>
        <v/>
      </c>
      <c r="K3470" s="22">
        <f t="array" ref="K3470">IF($D3470="","",IFERROR(INDEX(MASTER_SOURCE!$C$2:$C$495,MATCH($I3470,MASTER_SOURCE!$A$2:$A$495,0)),""))</f>
        <v/>
      </c>
      <c r="L3470" s="22">
        <f t="array" ref="L3470">IF($D3470="","",IFERROR(INDEX(MASTER_SOURCE!$D$2:$D$495,MATCH($I3470,MASTER_SOURCE!$A$2:$A$495,0)),""))</f>
        <v/>
      </c>
      <c r="M3470" s="24" t="n"/>
      <c r="N3470" s="24" t="n"/>
      <c r="O3470" s="24" t="n"/>
      <c r="P3470" s="24" t="n"/>
      <c r="Q3470" s="22">
        <f>IF($D3470="","",IF(AND(OR(DANH_MUC!$L$5&lt;&gt;"Có",M3470="Có"),OR(DANH_MUC!$L$6&lt;&gt;"Có",N3470="Có"),OR(DANH_MUC!$L$7&lt;&gt;"Có",O3470="Có"),OR(DANH_MUC!$L$8&lt;&gt;"Có",P3470="Có")),"Có","Không"))</f>
        <v/>
      </c>
      <c r="R3470" s="22">
        <f>IF($D3470="","",IF(COUNTIF($D$2:$D3470,$D3470)&gt;1,"Trùng",""))</f>
        <v/>
      </c>
      <c r="S3470" s="22">
        <f>IF($D3470="","",IF(AND(LEN($D3470)=10,LEFT($D3470,1)="0",ISNUMBER(--$D3470)),"Có","Không"))</f>
        <v/>
      </c>
      <c r="T3470" s="22">
        <f>IF($D3470="","",IF(AND($C3470&lt;&gt;"",$Q3470="Có",$R3470="",$S3470="Có",AND($L3470&lt;&gt;"",OR($L3470&lt;&gt;"Chưa xác định",DANH_MUC!$L$9="Có"))),"Có","Không"))</f>
        <v/>
      </c>
      <c r="U3470" s="22">
        <f>IF(OR($D3470="",$T3470="Có"),"",IF($C3470="","Thiếu họ tên; ","")&amp;IF($S3470&lt;&gt;"Có","SĐT sai định dạng; ","")&amp;IF($R3470="Trùng","Trùng SĐT; ","")&amp;IF($Q3470&lt;&gt;"Có","Thiếu đồng ý bắt buộc; ","")&amp;IF($L3470="","Thiếu/sai Mã REF; ",IF(AND($L3470="Chưa xác định",DANH_MUC!$L$9&lt;&gt;"Có"),"Nguồn chưa xác định; ","")))</f>
        <v/>
      </c>
      <c r="V3470" s="22">
        <f>IF(OR($D3470="",$R3470="Trùng"),"",IF(COUNTIF(ORDERS!$C$2:$C$4995,$D3470)&gt;0,"Có","Không"))</f>
        <v/>
      </c>
      <c r="W3470" s="22">
        <f>IF(OR($D3470="",$R3470="Trùng"),"",COUNTIFS(ORDERS!$C$2:$C$4995,$D3470,ORDERS!$L$2:$L$4995,"Đã chuyển khoản"))</f>
        <v/>
      </c>
      <c r="X3470" s="23">
        <f>IF(OR($D3470="",$R3470="Trùng"),"",SUMIFS(ORDERS!$J$2:$J$4995,ORDERS!$C$2:$C$4995,$D3470,ORDERS!$L$2:$L$4995,"Đã chuyển khoản"))</f>
        <v/>
      </c>
      <c r="Y3470" s="24" t="n"/>
    </row>
    <row r="3471" ht="14.25" customHeight="1" s="40">
      <c r="A3471" s="24" t="n"/>
      <c r="B3471" s="27" t="n"/>
      <c r="C3471" s="24" t="n"/>
      <c r="D3471" s="28" t="n"/>
      <c r="E3471" s="29" t="n"/>
      <c r="F3471" s="24" t="n"/>
      <c r="G3471" s="24" t="n"/>
      <c r="H3471" s="21">
        <f>IF(ISNUMBER($B3471),INT($B3471)-WEEKDAY($B3471,2)+1,"")</f>
        <v/>
      </c>
      <c r="I3471" s="24" t="n"/>
      <c r="J3471" s="22">
        <f t="array" ref="J3471">IF($D3471="","",IF($I3471="","(trống REF)",IFERROR(INDEX(MASTER_SOURCE!$B$2:$B$495,MATCH($I3471,MASTER_SOURCE!$A$2:$A$495,0)),"(REF không có trong MASTER_SOURCE)")))</f>
        <v/>
      </c>
      <c r="K3471" s="22">
        <f t="array" ref="K3471">IF($D3471="","",IFERROR(INDEX(MASTER_SOURCE!$C$2:$C$495,MATCH($I3471,MASTER_SOURCE!$A$2:$A$495,0)),""))</f>
        <v/>
      </c>
      <c r="L3471" s="22">
        <f t="array" ref="L3471">IF($D3471="","",IFERROR(INDEX(MASTER_SOURCE!$D$2:$D$495,MATCH($I3471,MASTER_SOURCE!$A$2:$A$495,0)),""))</f>
        <v/>
      </c>
      <c r="M3471" s="24" t="n"/>
      <c r="N3471" s="24" t="n"/>
      <c r="O3471" s="24" t="n"/>
      <c r="P3471" s="24" t="n"/>
      <c r="Q3471" s="22">
        <f>IF($D3471="","",IF(AND(OR(DANH_MUC!$L$5&lt;&gt;"Có",M3471="Có"),OR(DANH_MUC!$L$6&lt;&gt;"Có",N3471="Có"),OR(DANH_MUC!$L$7&lt;&gt;"Có",O3471="Có"),OR(DANH_MUC!$L$8&lt;&gt;"Có",P3471="Có")),"Có","Không"))</f>
        <v/>
      </c>
      <c r="R3471" s="22">
        <f>IF($D3471="","",IF(COUNTIF($D$2:$D3471,$D3471)&gt;1,"Trùng",""))</f>
        <v/>
      </c>
      <c r="S3471" s="22">
        <f>IF($D3471="","",IF(AND(LEN($D3471)=10,LEFT($D3471,1)="0",ISNUMBER(--$D3471)),"Có","Không"))</f>
        <v/>
      </c>
      <c r="T3471" s="22">
        <f>IF($D3471="","",IF(AND($C3471&lt;&gt;"",$Q3471="Có",$R3471="",$S3471="Có",AND($L3471&lt;&gt;"",OR($L3471&lt;&gt;"Chưa xác định",DANH_MUC!$L$9="Có"))),"Có","Không"))</f>
        <v/>
      </c>
      <c r="U3471" s="22">
        <f>IF(OR($D3471="",$T3471="Có"),"",IF($C3471="","Thiếu họ tên; ","")&amp;IF($S3471&lt;&gt;"Có","SĐT sai định dạng; ","")&amp;IF($R3471="Trùng","Trùng SĐT; ","")&amp;IF($Q3471&lt;&gt;"Có","Thiếu đồng ý bắt buộc; ","")&amp;IF($L3471="","Thiếu/sai Mã REF; ",IF(AND($L3471="Chưa xác định",DANH_MUC!$L$9&lt;&gt;"Có"),"Nguồn chưa xác định; ","")))</f>
        <v/>
      </c>
      <c r="V3471" s="22">
        <f>IF(OR($D3471="",$R3471="Trùng"),"",IF(COUNTIF(ORDERS!$C$2:$C$4995,$D3471)&gt;0,"Có","Không"))</f>
        <v/>
      </c>
      <c r="W3471" s="22">
        <f>IF(OR($D3471="",$R3471="Trùng"),"",COUNTIFS(ORDERS!$C$2:$C$4995,$D3471,ORDERS!$L$2:$L$4995,"Đã chuyển khoản"))</f>
        <v/>
      </c>
      <c r="X3471" s="23">
        <f>IF(OR($D3471="",$R3471="Trùng"),"",SUMIFS(ORDERS!$J$2:$J$4995,ORDERS!$C$2:$C$4995,$D3471,ORDERS!$L$2:$L$4995,"Đã chuyển khoản"))</f>
        <v/>
      </c>
      <c r="Y3471" s="24" t="n"/>
    </row>
    <row r="3472" ht="14.25" customHeight="1" s="40">
      <c r="A3472" s="24" t="n"/>
      <c r="B3472" s="27" t="n"/>
      <c r="C3472" s="24" t="n"/>
      <c r="D3472" s="28" t="n"/>
      <c r="E3472" s="29" t="n"/>
      <c r="F3472" s="24" t="n"/>
      <c r="G3472" s="24" t="n"/>
      <c r="H3472" s="21">
        <f>IF(ISNUMBER($B3472),INT($B3472)-WEEKDAY($B3472,2)+1,"")</f>
        <v/>
      </c>
      <c r="I3472" s="24" t="n"/>
      <c r="J3472" s="22">
        <f t="array" ref="J3472">IF($D3472="","",IF($I3472="","(trống REF)",IFERROR(INDEX(MASTER_SOURCE!$B$2:$B$495,MATCH($I3472,MASTER_SOURCE!$A$2:$A$495,0)),"(REF không có trong MASTER_SOURCE)")))</f>
        <v/>
      </c>
      <c r="K3472" s="22">
        <f t="array" ref="K3472">IF($D3472="","",IFERROR(INDEX(MASTER_SOURCE!$C$2:$C$495,MATCH($I3472,MASTER_SOURCE!$A$2:$A$495,0)),""))</f>
        <v/>
      </c>
      <c r="L3472" s="22">
        <f t="array" ref="L3472">IF($D3472="","",IFERROR(INDEX(MASTER_SOURCE!$D$2:$D$495,MATCH($I3472,MASTER_SOURCE!$A$2:$A$495,0)),""))</f>
        <v/>
      </c>
      <c r="M3472" s="24" t="n"/>
      <c r="N3472" s="24" t="n"/>
      <c r="O3472" s="24" t="n"/>
      <c r="P3472" s="24" t="n"/>
      <c r="Q3472" s="22">
        <f>IF($D3472="","",IF(AND(OR(DANH_MUC!$L$5&lt;&gt;"Có",M3472="Có"),OR(DANH_MUC!$L$6&lt;&gt;"Có",N3472="Có"),OR(DANH_MUC!$L$7&lt;&gt;"Có",O3472="Có"),OR(DANH_MUC!$L$8&lt;&gt;"Có",P3472="Có")),"Có","Không"))</f>
        <v/>
      </c>
      <c r="R3472" s="22">
        <f>IF($D3472="","",IF(COUNTIF($D$2:$D3472,$D3472)&gt;1,"Trùng",""))</f>
        <v/>
      </c>
      <c r="S3472" s="22">
        <f>IF($D3472="","",IF(AND(LEN($D3472)=10,LEFT($D3472,1)="0",ISNUMBER(--$D3472)),"Có","Không"))</f>
        <v/>
      </c>
      <c r="T3472" s="22">
        <f>IF($D3472="","",IF(AND($C3472&lt;&gt;"",$Q3472="Có",$R3472="",$S3472="Có",AND($L3472&lt;&gt;"",OR($L3472&lt;&gt;"Chưa xác định",DANH_MUC!$L$9="Có"))),"Có","Không"))</f>
        <v/>
      </c>
      <c r="U3472" s="22">
        <f>IF(OR($D3472="",$T3472="Có"),"",IF($C3472="","Thiếu họ tên; ","")&amp;IF($S3472&lt;&gt;"Có","SĐT sai định dạng; ","")&amp;IF($R3472="Trùng","Trùng SĐT; ","")&amp;IF($Q3472&lt;&gt;"Có","Thiếu đồng ý bắt buộc; ","")&amp;IF($L3472="","Thiếu/sai Mã REF; ",IF(AND($L3472="Chưa xác định",DANH_MUC!$L$9&lt;&gt;"Có"),"Nguồn chưa xác định; ","")))</f>
        <v/>
      </c>
      <c r="V3472" s="22">
        <f>IF(OR($D3472="",$R3472="Trùng"),"",IF(COUNTIF(ORDERS!$C$2:$C$4995,$D3472)&gt;0,"Có","Không"))</f>
        <v/>
      </c>
      <c r="W3472" s="22">
        <f>IF(OR($D3472="",$R3472="Trùng"),"",COUNTIFS(ORDERS!$C$2:$C$4995,$D3472,ORDERS!$L$2:$L$4995,"Đã chuyển khoản"))</f>
        <v/>
      </c>
      <c r="X3472" s="23">
        <f>IF(OR($D3472="",$R3472="Trùng"),"",SUMIFS(ORDERS!$J$2:$J$4995,ORDERS!$C$2:$C$4995,$D3472,ORDERS!$L$2:$L$4995,"Đã chuyển khoản"))</f>
        <v/>
      </c>
      <c r="Y3472" s="24" t="n"/>
    </row>
    <row r="3473" ht="14.25" customHeight="1" s="40">
      <c r="A3473" s="24" t="n"/>
      <c r="B3473" s="27" t="n"/>
      <c r="C3473" s="24" t="n"/>
      <c r="D3473" s="28" t="n"/>
      <c r="E3473" s="29" t="n"/>
      <c r="F3473" s="24" t="n"/>
      <c r="G3473" s="24" t="n"/>
      <c r="H3473" s="21">
        <f>IF(ISNUMBER($B3473),INT($B3473)-WEEKDAY($B3473,2)+1,"")</f>
        <v/>
      </c>
      <c r="I3473" s="24" t="n"/>
      <c r="J3473" s="22">
        <f t="array" ref="J3473">IF($D3473="","",IF($I3473="","(trống REF)",IFERROR(INDEX(MASTER_SOURCE!$B$2:$B$495,MATCH($I3473,MASTER_SOURCE!$A$2:$A$495,0)),"(REF không có trong MASTER_SOURCE)")))</f>
        <v/>
      </c>
      <c r="K3473" s="22">
        <f t="array" ref="K3473">IF($D3473="","",IFERROR(INDEX(MASTER_SOURCE!$C$2:$C$495,MATCH($I3473,MASTER_SOURCE!$A$2:$A$495,0)),""))</f>
        <v/>
      </c>
      <c r="L3473" s="22">
        <f t="array" ref="L3473">IF($D3473="","",IFERROR(INDEX(MASTER_SOURCE!$D$2:$D$495,MATCH($I3473,MASTER_SOURCE!$A$2:$A$495,0)),""))</f>
        <v/>
      </c>
      <c r="M3473" s="24" t="n"/>
      <c r="N3473" s="24" t="n"/>
      <c r="O3473" s="24" t="n"/>
      <c r="P3473" s="24" t="n"/>
      <c r="Q3473" s="22">
        <f>IF($D3473="","",IF(AND(OR(DANH_MUC!$L$5&lt;&gt;"Có",M3473="Có"),OR(DANH_MUC!$L$6&lt;&gt;"Có",N3473="Có"),OR(DANH_MUC!$L$7&lt;&gt;"Có",O3473="Có"),OR(DANH_MUC!$L$8&lt;&gt;"Có",P3473="Có")),"Có","Không"))</f>
        <v/>
      </c>
      <c r="R3473" s="22">
        <f>IF($D3473="","",IF(COUNTIF($D$2:$D3473,$D3473)&gt;1,"Trùng",""))</f>
        <v/>
      </c>
      <c r="S3473" s="22">
        <f>IF($D3473="","",IF(AND(LEN($D3473)=10,LEFT($D3473,1)="0",ISNUMBER(--$D3473)),"Có","Không"))</f>
        <v/>
      </c>
      <c r="T3473" s="22">
        <f>IF($D3473="","",IF(AND($C3473&lt;&gt;"",$Q3473="Có",$R3473="",$S3473="Có",AND($L3473&lt;&gt;"",OR($L3473&lt;&gt;"Chưa xác định",DANH_MUC!$L$9="Có"))),"Có","Không"))</f>
        <v/>
      </c>
      <c r="U3473" s="22">
        <f>IF(OR($D3473="",$T3473="Có"),"",IF($C3473="","Thiếu họ tên; ","")&amp;IF($S3473&lt;&gt;"Có","SĐT sai định dạng; ","")&amp;IF($R3473="Trùng","Trùng SĐT; ","")&amp;IF($Q3473&lt;&gt;"Có","Thiếu đồng ý bắt buộc; ","")&amp;IF($L3473="","Thiếu/sai Mã REF; ",IF(AND($L3473="Chưa xác định",DANH_MUC!$L$9&lt;&gt;"Có"),"Nguồn chưa xác định; ","")))</f>
        <v/>
      </c>
      <c r="V3473" s="22">
        <f>IF(OR($D3473="",$R3473="Trùng"),"",IF(COUNTIF(ORDERS!$C$2:$C$4995,$D3473)&gt;0,"Có","Không"))</f>
        <v/>
      </c>
      <c r="W3473" s="22">
        <f>IF(OR($D3473="",$R3473="Trùng"),"",COUNTIFS(ORDERS!$C$2:$C$4995,$D3473,ORDERS!$L$2:$L$4995,"Đã chuyển khoản"))</f>
        <v/>
      </c>
      <c r="X3473" s="23">
        <f>IF(OR($D3473="",$R3473="Trùng"),"",SUMIFS(ORDERS!$J$2:$J$4995,ORDERS!$C$2:$C$4995,$D3473,ORDERS!$L$2:$L$4995,"Đã chuyển khoản"))</f>
        <v/>
      </c>
      <c r="Y3473" s="24" t="n"/>
    </row>
    <row r="3474" ht="14.25" customHeight="1" s="40">
      <c r="A3474" s="24" t="n"/>
      <c r="B3474" s="27" t="n"/>
      <c r="C3474" s="24" t="n"/>
      <c r="D3474" s="28" t="n"/>
      <c r="E3474" s="29" t="n"/>
      <c r="F3474" s="24" t="n"/>
      <c r="G3474" s="24" t="n"/>
      <c r="H3474" s="21">
        <f>IF(ISNUMBER($B3474),INT($B3474)-WEEKDAY($B3474,2)+1,"")</f>
        <v/>
      </c>
      <c r="I3474" s="24" t="n"/>
      <c r="J3474" s="22">
        <f t="array" ref="J3474">IF($D3474="","",IF($I3474="","(trống REF)",IFERROR(INDEX(MASTER_SOURCE!$B$2:$B$495,MATCH($I3474,MASTER_SOURCE!$A$2:$A$495,0)),"(REF không có trong MASTER_SOURCE)")))</f>
        <v/>
      </c>
      <c r="K3474" s="22">
        <f t="array" ref="K3474">IF($D3474="","",IFERROR(INDEX(MASTER_SOURCE!$C$2:$C$495,MATCH($I3474,MASTER_SOURCE!$A$2:$A$495,0)),""))</f>
        <v/>
      </c>
      <c r="L3474" s="22">
        <f t="array" ref="L3474">IF($D3474="","",IFERROR(INDEX(MASTER_SOURCE!$D$2:$D$495,MATCH($I3474,MASTER_SOURCE!$A$2:$A$495,0)),""))</f>
        <v/>
      </c>
      <c r="M3474" s="24" t="n"/>
      <c r="N3474" s="24" t="n"/>
      <c r="O3474" s="24" t="n"/>
      <c r="P3474" s="24" t="n"/>
      <c r="Q3474" s="22">
        <f>IF($D3474="","",IF(AND(OR(DANH_MUC!$L$5&lt;&gt;"Có",M3474="Có"),OR(DANH_MUC!$L$6&lt;&gt;"Có",N3474="Có"),OR(DANH_MUC!$L$7&lt;&gt;"Có",O3474="Có"),OR(DANH_MUC!$L$8&lt;&gt;"Có",P3474="Có")),"Có","Không"))</f>
        <v/>
      </c>
      <c r="R3474" s="22">
        <f>IF($D3474="","",IF(COUNTIF($D$2:$D3474,$D3474)&gt;1,"Trùng",""))</f>
        <v/>
      </c>
      <c r="S3474" s="22">
        <f>IF($D3474="","",IF(AND(LEN($D3474)=10,LEFT($D3474,1)="0",ISNUMBER(--$D3474)),"Có","Không"))</f>
        <v/>
      </c>
      <c r="T3474" s="22">
        <f>IF($D3474="","",IF(AND($C3474&lt;&gt;"",$Q3474="Có",$R3474="",$S3474="Có",AND($L3474&lt;&gt;"",OR($L3474&lt;&gt;"Chưa xác định",DANH_MUC!$L$9="Có"))),"Có","Không"))</f>
        <v/>
      </c>
      <c r="U3474" s="22">
        <f>IF(OR($D3474="",$T3474="Có"),"",IF($C3474="","Thiếu họ tên; ","")&amp;IF($S3474&lt;&gt;"Có","SĐT sai định dạng; ","")&amp;IF($R3474="Trùng","Trùng SĐT; ","")&amp;IF($Q3474&lt;&gt;"Có","Thiếu đồng ý bắt buộc; ","")&amp;IF($L3474="","Thiếu/sai Mã REF; ",IF(AND($L3474="Chưa xác định",DANH_MUC!$L$9&lt;&gt;"Có"),"Nguồn chưa xác định; ","")))</f>
        <v/>
      </c>
      <c r="V3474" s="22">
        <f>IF(OR($D3474="",$R3474="Trùng"),"",IF(COUNTIF(ORDERS!$C$2:$C$4995,$D3474)&gt;0,"Có","Không"))</f>
        <v/>
      </c>
      <c r="W3474" s="22">
        <f>IF(OR($D3474="",$R3474="Trùng"),"",COUNTIFS(ORDERS!$C$2:$C$4995,$D3474,ORDERS!$L$2:$L$4995,"Đã chuyển khoản"))</f>
        <v/>
      </c>
      <c r="X3474" s="23">
        <f>IF(OR($D3474="",$R3474="Trùng"),"",SUMIFS(ORDERS!$J$2:$J$4995,ORDERS!$C$2:$C$4995,$D3474,ORDERS!$L$2:$L$4995,"Đã chuyển khoản"))</f>
        <v/>
      </c>
      <c r="Y3474" s="24" t="n"/>
    </row>
    <row r="3475" ht="14.25" customHeight="1" s="40">
      <c r="A3475" s="24" t="n"/>
      <c r="B3475" s="27" t="n"/>
      <c r="C3475" s="24" t="n"/>
      <c r="D3475" s="28" t="n"/>
      <c r="E3475" s="29" t="n"/>
      <c r="F3475" s="24" t="n"/>
      <c r="G3475" s="24" t="n"/>
      <c r="H3475" s="21">
        <f>IF(ISNUMBER($B3475),INT($B3475)-WEEKDAY($B3475,2)+1,"")</f>
        <v/>
      </c>
      <c r="I3475" s="24" t="n"/>
      <c r="J3475" s="22">
        <f t="array" ref="J3475">IF($D3475="","",IF($I3475="","(trống REF)",IFERROR(INDEX(MASTER_SOURCE!$B$2:$B$495,MATCH($I3475,MASTER_SOURCE!$A$2:$A$495,0)),"(REF không có trong MASTER_SOURCE)")))</f>
        <v/>
      </c>
      <c r="K3475" s="22">
        <f t="array" ref="K3475">IF($D3475="","",IFERROR(INDEX(MASTER_SOURCE!$C$2:$C$495,MATCH($I3475,MASTER_SOURCE!$A$2:$A$495,0)),""))</f>
        <v/>
      </c>
      <c r="L3475" s="22">
        <f t="array" ref="L3475">IF($D3475="","",IFERROR(INDEX(MASTER_SOURCE!$D$2:$D$495,MATCH($I3475,MASTER_SOURCE!$A$2:$A$495,0)),""))</f>
        <v/>
      </c>
      <c r="M3475" s="24" t="n"/>
      <c r="N3475" s="24" t="n"/>
      <c r="O3475" s="24" t="n"/>
      <c r="P3475" s="24" t="n"/>
      <c r="Q3475" s="22">
        <f>IF($D3475="","",IF(AND(OR(DANH_MUC!$L$5&lt;&gt;"Có",M3475="Có"),OR(DANH_MUC!$L$6&lt;&gt;"Có",N3475="Có"),OR(DANH_MUC!$L$7&lt;&gt;"Có",O3475="Có"),OR(DANH_MUC!$L$8&lt;&gt;"Có",P3475="Có")),"Có","Không"))</f>
        <v/>
      </c>
      <c r="R3475" s="22">
        <f>IF($D3475="","",IF(COUNTIF($D$2:$D3475,$D3475)&gt;1,"Trùng",""))</f>
        <v/>
      </c>
      <c r="S3475" s="22">
        <f>IF($D3475="","",IF(AND(LEN($D3475)=10,LEFT($D3475,1)="0",ISNUMBER(--$D3475)),"Có","Không"))</f>
        <v/>
      </c>
      <c r="T3475" s="22">
        <f>IF($D3475="","",IF(AND($C3475&lt;&gt;"",$Q3475="Có",$R3475="",$S3475="Có",AND($L3475&lt;&gt;"",OR($L3475&lt;&gt;"Chưa xác định",DANH_MUC!$L$9="Có"))),"Có","Không"))</f>
        <v/>
      </c>
      <c r="U3475" s="22">
        <f>IF(OR($D3475="",$T3475="Có"),"",IF($C3475="","Thiếu họ tên; ","")&amp;IF($S3475&lt;&gt;"Có","SĐT sai định dạng; ","")&amp;IF($R3475="Trùng","Trùng SĐT; ","")&amp;IF($Q3475&lt;&gt;"Có","Thiếu đồng ý bắt buộc; ","")&amp;IF($L3475="","Thiếu/sai Mã REF; ",IF(AND($L3475="Chưa xác định",DANH_MUC!$L$9&lt;&gt;"Có"),"Nguồn chưa xác định; ","")))</f>
        <v/>
      </c>
      <c r="V3475" s="22">
        <f>IF(OR($D3475="",$R3475="Trùng"),"",IF(COUNTIF(ORDERS!$C$2:$C$4995,$D3475)&gt;0,"Có","Không"))</f>
        <v/>
      </c>
      <c r="W3475" s="22">
        <f>IF(OR($D3475="",$R3475="Trùng"),"",COUNTIFS(ORDERS!$C$2:$C$4995,$D3475,ORDERS!$L$2:$L$4995,"Đã chuyển khoản"))</f>
        <v/>
      </c>
      <c r="X3475" s="23">
        <f>IF(OR($D3475="",$R3475="Trùng"),"",SUMIFS(ORDERS!$J$2:$J$4995,ORDERS!$C$2:$C$4995,$D3475,ORDERS!$L$2:$L$4995,"Đã chuyển khoản"))</f>
        <v/>
      </c>
      <c r="Y3475" s="24" t="n"/>
    </row>
    <row r="3476" ht="14.25" customHeight="1" s="40">
      <c r="A3476" s="24" t="n"/>
      <c r="B3476" s="27" t="n"/>
      <c r="C3476" s="24" t="n"/>
      <c r="D3476" s="28" t="n"/>
      <c r="E3476" s="29" t="n"/>
      <c r="F3476" s="24" t="n"/>
      <c r="G3476" s="24" t="n"/>
      <c r="H3476" s="21">
        <f>IF(ISNUMBER($B3476),INT($B3476)-WEEKDAY($B3476,2)+1,"")</f>
        <v/>
      </c>
      <c r="I3476" s="24" t="n"/>
      <c r="J3476" s="22">
        <f t="array" ref="J3476">IF($D3476="","",IF($I3476="","(trống REF)",IFERROR(INDEX(MASTER_SOURCE!$B$2:$B$495,MATCH($I3476,MASTER_SOURCE!$A$2:$A$495,0)),"(REF không có trong MASTER_SOURCE)")))</f>
        <v/>
      </c>
      <c r="K3476" s="22">
        <f t="array" ref="K3476">IF($D3476="","",IFERROR(INDEX(MASTER_SOURCE!$C$2:$C$495,MATCH($I3476,MASTER_SOURCE!$A$2:$A$495,0)),""))</f>
        <v/>
      </c>
      <c r="L3476" s="22">
        <f t="array" ref="L3476">IF($D3476="","",IFERROR(INDEX(MASTER_SOURCE!$D$2:$D$495,MATCH($I3476,MASTER_SOURCE!$A$2:$A$495,0)),""))</f>
        <v/>
      </c>
      <c r="M3476" s="24" t="n"/>
      <c r="N3476" s="24" t="n"/>
      <c r="O3476" s="24" t="n"/>
      <c r="P3476" s="24" t="n"/>
      <c r="Q3476" s="22">
        <f>IF($D3476="","",IF(AND(OR(DANH_MUC!$L$5&lt;&gt;"Có",M3476="Có"),OR(DANH_MUC!$L$6&lt;&gt;"Có",N3476="Có"),OR(DANH_MUC!$L$7&lt;&gt;"Có",O3476="Có"),OR(DANH_MUC!$L$8&lt;&gt;"Có",P3476="Có")),"Có","Không"))</f>
        <v/>
      </c>
      <c r="R3476" s="22">
        <f>IF($D3476="","",IF(COUNTIF($D$2:$D3476,$D3476)&gt;1,"Trùng",""))</f>
        <v/>
      </c>
      <c r="S3476" s="22">
        <f>IF($D3476="","",IF(AND(LEN($D3476)=10,LEFT($D3476,1)="0",ISNUMBER(--$D3476)),"Có","Không"))</f>
        <v/>
      </c>
      <c r="T3476" s="22">
        <f>IF($D3476="","",IF(AND($C3476&lt;&gt;"",$Q3476="Có",$R3476="",$S3476="Có",AND($L3476&lt;&gt;"",OR($L3476&lt;&gt;"Chưa xác định",DANH_MUC!$L$9="Có"))),"Có","Không"))</f>
        <v/>
      </c>
      <c r="U3476" s="22">
        <f>IF(OR($D3476="",$T3476="Có"),"",IF($C3476="","Thiếu họ tên; ","")&amp;IF($S3476&lt;&gt;"Có","SĐT sai định dạng; ","")&amp;IF($R3476="Trùng","Trùng SĐT; ","")&amp;IF($Q3476&lt;&gt;"Có","Thiếu đồng ý bắt buộc; ","")&amp;IF($L3476="","Thiếu/sai Mã REF; ",IF(AND($L3476="Chưa xác định",DANH_MUC!$L$9&lt;&gt;"Có"),"Nguồn chưa xác định; ","")))</f>
        <v/>
      </c>
      <c r="V3476" s="22">
        <f>IF(OR($D3476="",$R3476="Trùng"),"",IF(COUNTIF(ORDERS!$C$2:$C$4995,$D3476)&gt;0,"Có","Không"))</f>
        <v/>
      </c>
      <c r="W3476" s="22">
        <f>IF(OR($D3476="",$R3476="Trùng"),"",COUNTIFS(ORDERS!$C$2:$C$4995,$D3476,ORDERS!$L$2:$L$4995,"Đã chuyển khoản"))</f>
        <v/>
      </c>
      <c r="X3476" s="23">
        <f>IF(OR($D3476="",$R3476="Trùng"),"",SUMIFS(ORDERS!$J$2:$J$4995,ORDERS!$C$2:$C$4995,$D3476,ORDERS!$L$2:$L$4995,"Đã chuyển khoản"))</f>
        <v/>
      </c>
      <c r="Y3476" s="24" t="n"/>
    </row>
    <row r="3477" ht="14.25" customHeight="1" s="40">
      <c r="A3477" s="24" t="n"/>
      <c r="B3477" s="27" t="n"/>
      <c r="C3477" s="24" t="n"/>
      <c r="D3477" s="28" t="n"/>
      <c r="E3477" s="29" t="n"/>
      <c r="F3477" s="24" t="n"/>
      <c r="G3477" s="24" t="n"/>
      <c r="H3477" s="21">
        <f>IF(ISNUMBER($B3477),INT($B3477)-WEEKDAY($B3477,2)+1,"")</f>
        <v/>
      </c>
      <c r="I3477" s="24" t="n"/>
      <c r="J3477" s="22">
        <f t="array" ref="J3477">IF($D3477="","",IF($I3477="","(trống REF)",IFERROR(INDEX(MASTER_SOURCE!$B$2:$B$495,MATCH($I3477,MASTER_SOURCE!$A$2:$A$495,0)),"(REF không có trong MASTER_SOURCE)")))</f>
        <v/>
      </c>
      <c r="K3477" s="22">
        <f t="array" ref="K3477">IF($D3477="","",IFERROR(INDEX(MASTER_SOURCE!$C$2:$C$495,MATCH($I3477,MASTER_SOURCE!$A$2:$A$495,0)),""))</f>
        <v/>
      </c>
      <c r="L3477" s="22">
        <f t="array" ref="L3477">IF($D3477="","",IFERROR(INDEX(MASTER_SOURCE!$D$2:$D$495,MATCH($I3477,MASTER_SOURCE!$A$2:$A$495,0)),""))</f>
        <v/>
      </c>
      <c r="M3477" s="24" t="n"/>
      <c r="N3477" s="24" t="n"/>
      <c r="O3477" s="24" t="n"/>
      <c r="P3477" s="24" t="n"/>
      <c r="Q3477" s="22">
        <f>IF($D3477="","",IF(AND(OR(DANH_MUC!$L$5&lt;&gt;"Có",M3477="Có"),OR(DANH_MUC!$L$6&lt;&gt;"Có",N3477="Có"),OR(DANH_MUC!$L$7&lt;&gt;"Có",O3477="Có"),OR(DANH_MUC!$L$8&lt;&gt;"Có",P3477="Có")),"Có","Không"))</f>
        <v/>
      </c>
      <c r="R3477" s="22">
        <f>IF($D3477="","",IF(COUNTIF($D$2:$D3477,$D3477)&gt;1,"Trùng",""))</f>
        <v/>
      </c>
      <c r="S3477" s="22">
        <f>IF($D3477="","",IF(AND(LEN($D3477)=10,LEFT($D3477,1)="0",ISNUMBER(--$D3477)),"Có","Không"))</f>
        <v/>
      </c>
      <c r="T3477" s="22">
        <f>IF($D3477="","",IF(AND($C3477&lt;&gt;"",$Q3477="Có",$R3477="",$S3477="Có",AND($L3477&lt;&gt;"",OR($L3477&lt;&gt;"Chưa xác định",DANH_MUC!$L$9="Có"))),"Có","Không"))</f>
        <v/>
      </c>
      <c r="U3477" s="22">
        <f>IF(OR($D3477="",$T3477="Có"),"",IF($C3477="","Thiếu họ tên; ","")&amp;IF($S3477&lt;&gt;"Có","SĐT sai định dạng; ","")&amp;IF($R3477="Trùng","Trùng SĐT; ","")&amp;IF($Q3477&lt;&gt;"Có","Thiếu đồng ý bắt buộc; ","")&amp;IF($L3477="","Thiếu/sai Mã REF; ",IF(AND($L3477="Chưa xác định",DANH_MUC!$L$9&lt;&gt;"Có"),"Nguồn chưa xác định; ","")))</f>
        <v/>
      </c>
      <c r="V3477" s="22">
        <f>IF(OR($D3477="",$R3477="Trùng"),"",IF(COUNTIF(ORDERS!$C$2:$C$4995,$D3477)&gt;0,"Có","Không"))</f>
        <v/>
      </c>
      <c r="W3477" s="22">
        <f>IF(OR($D3477="",$R3477="Trùng"),"",COUNTIFS(ORDERS!$C$2:$C$4995,$D3477,ORDERS!$L$2:$L$4995,"Đã chuyển khoản"))</f>
        <v/>
      </c>
      <c r="X3477" s="23">
        <f>IF(OR($D3477="",$R3477="Trùng"),"",SUMIFS(ORDERS!$J$2:$J$4995,ORDERS!$C$2:$C$4995,$D3477,ORDERS!$L$2:$L$4995,"Đã chuyển khoản"))</f>
        <v/>
      </c>
      <c r="Y3477" s="24" t="n"/>
    </row>
    <row r="3478" ht="14.25" customHeight="1" s="40">
      <c r="A3478" s="24" t="n"/>
      <c r="B3478" s="27" t="n"/>
      <c r="C3478" s="24" t="n"/>
      <c r="D3478" s="28" t="n"/>
      <c r="E3478" s="29" t="n"/>
      <c r="F3478" s="24" t="n"/>
      <c r="G3478" s="24" t="n"/>
      <c r="H3478" s="21">
        <f>IF(ISNUMBER($B3478),INT($B3478)-WEEKDAY($B3478,2)+1,"")</f>
        <v/>
      </c>
      <c r="I3478" s="24" t="n"/>
      <c r="J3478" s="22">
        <f t="array" ref="J3478">IF($D3478="","",IF($I3478="","(trống REF)",IFERROR(INDEX(MASTER_SOURCE!$B$2:$B$495,MATCH($I3478,MASTER_SOURCE!$A$2:$A$495,0)),"(REF không có trong MASTER_SOURCE)")))</f>
        <v/>
      </c>
      <c r="K3478" s="22">
        <f t="array" ref="K3478">IF($D3478="","",IFERROR(INDEX(MASTER_SOURCE!$C$2:$C$495,MATCH($I3478,MASTER_SOURCE!$A$2:$A$495,0)),""))</f>
        <v/>
      </c>
      <c r="L3478" s="22">
        <f t="array" ref="L3478">IF($D3478="","",IFERROR(INDEX(MASTER_SOURCE!$D$2:$D$495,MATCH($I3478,MASTER_SOURCE!$A$2:$A$495,0)),""))</f>
        <v/>
      </c>
      <c r="M3478" s="24" t="n"/>
      <c r="N3478" s="24" t="n"/>
      <c r="O3478" s="24" t="n"/>
      <c r="P3478" s="24" t="n"/>
      <c r="Q3478" s="22">
        <f>IF($D3478="","",IF(AND(OR(DANH_MUC!$L$5&lt;&gt;"Có",M3478="Có"),OR(DANH_MUC!$L$6&lt;&gt;"Có",N3478="Có"),OR(DANH_MUC!$L$7&lt;&gt;"Có",O3478="Có"),OR(DANH_MUC!$L$8&lt;&gt;"Có",P3478="Có")),"Có","Không"))</f>
        <v/>
      </c>
      <c r="R3478" s="22">
        <f>IF($D3478="","",IF(COUNTIF($D$2:$D3478,$D3478)&gt;1,"Trùng",""))</f>
        <v/>
      </c>
      <c r="S3478" s="22">
        <f>IF($D3478="","",IF(AND(LEN($D3478)=10,LEFT($D3478,1)="0",ISNUMBER(--$D3478)),"Có","Không"))</f>
        <v/>
      </c>
      <c r="T3478" s="22">
        <f>IF($D3478="","",IF(AND($C3478&lt;&gt;"",$Q3478="Có",$R3478="",$S3478="Có",AND($L3478&lt;&gt;"",OR($L3478&lt;&gt;"Chưa xác định",DANH_MUC!$L$9="Có"))),"Có","Không"))</f>
        <v/>
      </c>
      <c r="U3478" s="22">
        <f>IF(OR($D3478="",$T3478="Có"),"",IF($C3478="","Thiếu họ tên; ","")&amp;IF($S3478&lt;&gt;"Có","SĐT sai định dạng; ","")&amp;IF($R3478="Trùng","Trùng SĐT; ","")&amp;IF($Q3478&lt;&gt;"Có","Thiếu đồng ý bắt buộc; ","")&amp;IF($L3478="","Thiếu/sai Mã REF; ",IF(AND($L3478="Chưa xác định",DANH_MUC!$L$9&lt;&gt;"Có"),"Nguồn chưa xác định; ","")))</f>
        <v/>
      </c>
      <c r="V3478" s="22">
        <f>IF(OR($D3478="",$R3478="Trùng"),"",IF(COUNTIF(ORDERS!$C$2:$C$4995,$D3478)&gt;0,"Có","Không"))</f>
        <v/>
      </c>
      <c r="W3478" s="22">
        <f>IF(OR($D3478="",$R3478="Trùng"),"",COUNTIFS(ORDERS!$C$2:$C$4995,$D3478,ORDERS!$L$2:$L$4995,"Đã chuyển khoản"))</f>
        <v/>
      </c>
      <c r="X3478" s="23">
        <f>IF(OR($D3478="",$R3478="Trùng"),"",SUMIFS(ORDERS!$J$2:$J$4995,ORDERS!$C$2:$C$4995,$D3478,ORDERS!$L$2:$L$4995,"Đã chuyển khoản"))</f>
        <v/>
      </c>
      <c r="Y3478" s="24" t="n"/>
    </row>
    <row r="3479" ht="14.25" customHeight="1" s="40">
      <c r="A3479" s="24" t="n"/>
      <c r="B3479" s="27" t="n"/>
      <c r="C3479" s="24" t="n"/>
      <c r="D3479" s="28" t="n"/>
      <c r="E3479" s="29" t="n"/>
      <c r="F3479" s="24" t="n"/>
      <c r="G3479" s="24" t="n"/>
      <c r="H3479" s="21">
        <f>IF(ISNUMBER($B3479),INT($B3479)-WEEKDAY($B3479,2)+1,"")</f>
        <v/>
      </c>
      <c r="I3479" s="24" t="n"/>
      <c r="J3479" s="22">
        <f t="array" ref="J3479">IF($D3479="","",IF($I3479="","(trống REF)",IFERROR(INDEX(MASTER_SOURCE!$B$2:$B$495,MATCH($I3479,MASTER_SOURCE!$A$2:$A$495,0)),"(REF không có trong MASTER_SOURCE)")))</f>
        <v/>
      </c>
      <c r="K3479" s="22">
        <f t="array" ref="K3479">IF($D3479="","",IFERROR(INDEX(MASTER_SOURCE!$C$2:$C$495,MATCH($I3479,MASTER_SOURCE!$A$2:$A$495,0)),""))</f>
        <v/>
      </c>
      <c r="L3479" s="22">
        <f t="array" ref="L3479">IF($D3479="","",IFERROR(INDEX(MASTER_SOURCE!$D$2:$D$495,MATCH($I3479,MASTER_SOURCE!$A$2:$A$495,0)),""))</f>
        <v/>
      </c>
      <c r="M3479" s="24" t="n"/>
      <c r="N3479" s="24" t="n"/>
      <c r="O3479" s="24" t="n"/>
      <c r="P3479" s="24" t="n"/>
      <c r="Q3479" s="22">
        <f>IF($D3479="","",IF(AND(OR(DANH_MUC!$L$5&lt;&gt;"Có",M3479="Có"),OR(DANH_MUC!$L$6&lt;&gt;"Có",N3479="Có"),OR(DANH_MUC!$L$7&lt;&gt;"Có",O3479="Có"),OR(DANH_MUC!$L$8&lt;&gt;"Có",P3479="Có")),"Có","Không"))</f>
        <v/>
      </c>
      <c r="R3479" s="22">
        <f>IF($D3479="","",IF(COUNTIF($D$2:$D3479,$D3479)&gt;1,"Trùng",""))</f>
        <v/>
      </c>
      <c r="S3479" s="22">
        <f>IF($D3479="","",IF(AND(LEN($D3479)=10,LEFT($D3479,1)="0",ISNUMBER(--$D3479)),"Có","Không"))</f>
        <v/>
      </c>
      <c r="T3479" s="22">
        <f>IF($D3479="","",IF(AND($C3479&lt;&gt;"",$Q3479="Có",$R3479="",$S3479="Có",AND($L3479&lt;&gt;"",OR($L3479&lt;&gt;"Chưa xác định",DANH_MUC!$L$9="Có"))),"Có","Không"))</f>
        <v/>
      </c>
      <c r="U3479" s="22">
        <f>IF(OR($D3479="",$T3479="Có"),"",IF($C3479="","Thiếu họ tên; ","")&amp;IF($S3479&lt;&gt;"Có","SĐT sai định dạng; ","")&amp;IF($R3479="Trùng","Trùng SĐT; ","")&amp;IF($Q3479&lt;&gt;"Có","Thiếu đồng ý bắt buộc; ","")&amp;IF($L3479="","Thiếu/sai Mã REF; ",IF(AND($L3479="Chưa xác định",DANH_MUC!$L$9&lt;&gt;"Có"),"Nguồn chưa xác định; ","")))</f>
        <v/>
      </c>
      <c r="V3479" s="22">
        <f>IF(OR($D3479="",$R3479="Trùng"),"",IF(COUNTIF(ORDERS!$C$2:$C$4995,$D3479)&gt;0,"Có","Không"))</f>
        <v/>
      </c>
      <c r="W3479" s="22">
        <f>IF(OR($D3479="",$R3479="Trùng"),"",COUNTIFS(ORDERS!$C$2:$C$4995,$D3479,ORDERS!$L$2:$L$4995,"Đã chuyển khoản"))</f>
        <v/>
      </c>
      <c r="X3479" s="23">
        <f>IF(OR($D3479="",$R3479="Trùng"),"",SUMIFS(ORDERS!$J$2:$J$4995,ORDERS!$C$2:$C$4995,$D3479,ORDERS!$L$2:$L$4995,"Đã chuyển khoản"))</f>
        <v/>
      </c>
      <c r="Y3479" s="24" t="n"/>
    </row>
    <row r="3480" ht="14.25" customHeight="1" s="40">
      <c r="A3480" s="24" t="n"/>
      <c r="B3480" s="27" t="n"/>
      <c r="C3480" s="24" t="n"/>
      <c r="D3480" s="28" t="n"/>
      <c r="E3480" s="29" t="n"/>
      <c r="F3480" s="24" t="n"/>
      <c r="G3480" s="24" t="n"/>
      <c r="H3480" s="21">
        <f>IF(ISNUMBER($B3480),INT($B3480)-WEEKDAY($B3480,2)+1,"")</f>
        <v/>
      </c>
      <c r="I3480" s="24" t="n"/>
      <c r="J3480" s="22">
        <f t="array" ref="J3480">IF($D3480="","",IF($I3480="","(trống REF)",IFERROR(INDEX(MASTER_SOURCE!$B$2:$B$495,MATCH($I3480,MASTER_SOURCE!$A$2:$A$495,0)),"(REF không có trong MASTER_SOURCE)")))</f>
        <v/>
      </c>
      <c r="K3480" s="22">
        <f t="array" ref="K3480">IF($D3480="","",IFERROR(INDEX(MASTER_SOURCE!$C$2:$C$495,MATCH($I3480,MASTER_SOURCE!$A$2:$A$495,0)),""))</f>
        <v/>
      </c>
      <c r="L3480" s="22">
        <f t="array" ref="L3480">IF($D3480="","",IFERROR(INDEX(MASTER_SOURCE!$D$2:$D$495,MATCH($I3480,MASTER_SOURCE!$A$2:$A$495,0)),""))</f>
        <v/>
      </c>
      <c r="M3480" s="24" t="n"/>
      <c r="N3480" s="24" t="n"/>
      <c r="O3480" s="24" t="n"/>
      <c r="P3480" s="24" t="n"/>
      <c r="Q3480" s="22">
        <f>IF($D3480="","",IF(AND(OR(DANH_MUC!$L$5&lt;&gt;"Có",M3480="Có"),OR(DANH_MUC!$L$6&lt;&gt;"Có",N3480="Có"),OR(DANH_MUC!$L$7&lt;&gt;"Có",O3480="Có"),OR(DANH_MUC!$L$8&lt;&gt;"Có",P3480="Có")),"Có","Không"))</f>
        <v/>
      </c>
      <c r="R3480" s="22">
        <f>IF($D3480="","",IF(COUNTIF($D$2:$D3480,$D3480)&gt;1,"Trùng",""))</f>
        <v/>
      </c>
      <c r="S3480" s="22">
        <f>IF($D3480="","",IF(AND(LEN($D3480)=10,LEFT($D3480,1)="0",ISNUMBER(--$D3480)),"Có","Không"))</f>
        <v/>
      </c>
      <c r="T3480" s="22">
        <f>IF($D3480="","",IF(AND($C3480&lt;&gt;"",$Q3480="Có",$R3480="",$S3480="Có",AND($L3480&lt;&gt;"",OR($L3480&lt;&gt;"Chưa xác định",DANH_MUC!$L$9="Có"))),"Có","Không"))</f>
        <v/>
      </c>
      <c r="U3480" s="22">
        <f>IF(OR($D3480="",$T3480="Có"),"",IF($C3480="","Thiếu họ tên; ","")&amp;IF($S3480&lt;&gt;"Có","SĐT sai định dạng; ","")&amp;IF($R3480="Trùng","Trùng SĐT; ","")&amp;IF($Q3480&lt;&gt;"Có","Thiếu đồng ý bắt buộc; ","")&amp;IF($L3480="","Thiếu/sai Mã REF; ",IF(AND($L3480="Chưa xác định",DANH_MUC!$L$9&lt;&gt;"Có"),"Nguồn chưa xác định; ","")))</f>
        <v/>
      </c>
      <c r="V3480" s="22">
        <f>IF(OR($D3480="",$R3480="Trùng"),"",IF(COUNTIF(ORDERS!$C$2:$C$4995,$D3480)&gt;0,"Có","Không"))</f>
        <v/>
      </c>
      <c r="W3480" s="22">
        <f>IF(OR($D3480="",$R3480="Trùng"),"",COUNTIFS(ORDERS!$C$2:$C$4995,$D3480,ORDERS!$L$2:$L$4995,"Đã chuyển khoản"))</f>
        <v/>
      </c>
      <c r="X3480" s="23">
        <f>IF(OR($D3480="",$R3480="Trùng"),"",SUMIFS(ORDERS!$J$2:$J$4995,ORDERS!$C$2:$C$4995,$D3480,ORDERS!$L$2:$L$4995,"Đã chuyển khoản"))</f>
        <v/>
      </c>
      <c r="Y3480" s="24" t="n"/>
    </row>
    <row r="3481" ht="14.25" customHeight="1" s="40">
      <c r="A3481" s="24" t="n"/>
      <c r="B3481" s="27" t="n"/>
      <c r="C3481" s="24" t="n"/>
      <c r="D3481" s="28" t="n"/>
      <c r="E3481" s="29" t="n"/>
      <c r="F3481" s="24" t="n"/>
      <c r="G3481" s="24" t="n"/>
      <c r="H3481" s="21">
        <f>IF(ISNUMBER($B3481),INT($B3481)-WEEKDAY($B3481,2)+1,"")</f>
        <v/>
      </c>
      <c r="I3481" s="24" t="n"/>
      <c r="J3481" s="22">
        <f t="array" ref="J3481">IF($D3481="","",IF($I3481="","(trống REF)",IFERROR(INDEX(MASTER_SOURCE!$B$2:$B$495,MATCH($I3481,MASTER_SOURCE!$A$2:$A$495,0)),"(REF không có trong MASTER_SOURCE)")))</f>
        <v/>
      </c>
      <c r="K3481" s="22">
        <f t="array" ref="K3481">IF($D3481="","",IFERROR(INDEX(MASTER_SOURCE!$C$2:$C$495,MATCH($I3481,MASTER_SOURCE!$A$2:$A$495,0)),""))</f>
        <v/>
      </c>
      <c r="L3481" s="22">
        <f t="array" ref="L3481">IF($D3481="","",IFERROR(INDEX(MASTER_SOURCE!$D$2:$D$495,MATCH($I3481,MASTER_SOURCE!$A$2:$A$495,0)),""))</f>
        <v/>
      </c>
      <c r="M3481" s="24" t="n"/>
      <c r="N3481" s="24" t="n"/>
      <c r="O3481" s="24" t="n"/>
      <c r="P3481" s="24" t="n"/>
      <c r="Q3481" s="22">
        <f>IF($D3481="","",IF(AND(OR(DANH_MUC!$L$5&lt;&gt;"Có",M3481="Có"),OR(DANH_MUC!$L$6&lt;&gt;"Có",N3481="Có"),OR(DANH_MUC!$L$7&lt;&gt;"Có",O3481="Có"),OR(DANH_MUC!$L$8&lt;&gt;"Có",P3481="Có")),"Có","Không"))</f>
        <v/>
      </c>
      <c r="R3481" s="22">
        <f>IF($D3481="","",IF(COUNTIF($D$2:$D3481,$D3481)&gt;1,"Trùng",""))</f>
        <v/>
      </c>
      <c r="S3481" s="22">
        <f>IF($D3481="","",IF(AND(LEN($D3481)=10,LEFT($D3481,1)="0",ISNUMBER(--$D3481)),"Có","Không"))</f>
        <v/>
      </c>
      <c r="T3481" s="22">
        <f>IF($D3481="","",IF(AND($C3481&lt;&gt;"",$Q3481="Có",$R3481="",$S3481="Có",AND($L3481&lt;&gt;"",OR($L3481&lt;&gt;"Chưa xác định",DANH_MUC!$L$9="Có"))),"Có","Không"))</f>
        <v/>
      </c>
      <c r="U3481" s="22">
        <f>IF(OR($D3481="",$T3481="Có"),"",IF($C3481="","Thiếu họ tên; ","")&amp;IF($S3481&lt;&gt;"Có","SĐT sai định dạng; ","")&amp;IF($R3481="Trùng","Trùng SĐT; ","")&amp;IF($Q3481&lt;&gt;"Có","Thiếu đồng ý bắt buộc; ","")&amp;IF($L3481="","Thiếu/sai Mã REF; ",IF(AND($L3481="Chưa xác định",DANH_MUC!$L$9&lt;&gt;"Có"),"Nguồn chưa xác định; ","")))</f>
        <v/>
      </c>
      <c r="V3481" s="22">
        <f>IF(OR($D3481="",$R3481="Trùng"),"",IF(COUNTIF(ORDERS!$C$2:$C$4995,$D3481)&gt;0,"Có","Không"))</f>
        <v/>
      </c>
      <c r="W3481" s="22">
        <f>IF(OR($D3481="",$R3481="Trùng"),"",COUNTIFS(ORDERS!$C$2:$C$4995,$D3481,ORDERS!$L$2:$L$4995,"Đã chuyển khoản"))</f>
        <v/>
      </c>
      <c r="X3481" s="23">
        <f>IF(OR($D3481="",$R3481="Trùng"),"",SUMIFS(ORDERS!$J$2:$J$4995,ORDERS!$C$2:$C$4995,$D3481,ORDERS!$L$2:$L$4995,"Đã chuyển khoản"))</f>
        <v/>
      </c>
      <c r="Y3481" s="24" t="n"/>
    </row>
    <row r="3482" ht="14.25" customHeight="1" s="40">
      <c r="A3482" s="24" t="n"/>
      <c r="B3482" s="27" t="n"/>
      <c r="C3482" s="24" t="n"/>
      <c r="D3482" s="28" t="n"/>
      <c r="E3482" s="29" t="n"/>
      <c r="F3482" s="24" t="n"/>
      <c r="G3482" s="24" t="n"/>
      <c r="H3482" s="21">
        <f>IF(ISNUMBER($B3482),INT($B3482)-WEEKDAY($B3482,2)+1,"")</f>
        <v/>
      </c>
      <c r="I3482" s="24" t="n"/>
      <c r="J3482" s="22">
        <f t="array" ref="J3482">IF($D3482="","",IF($I3482="","(trống REF)",IFERROR(INDEX(MASTER_SOURCE!$B$2:$B$495,MATCH($I3482,MASTER_SOURCE!$A$2:$A$495,0)),"(REF không có trong MASTER_SOURCE)")))</f>
        <v/>
      </c>
      <c r="K3482" s="22">
        <f t="array" ref="K3482">IF($D3482="","",IFERROR(INDEX(MASTER_SOURCE!$C$2:$C$495,MATCH($I3482,MASTER_SOURCE!$A$2:$A$495,0)),""))</f>
        <v/>
      </c>
      <c r="L3482" s="22">
        <f t="array" ref="L3482">IF($D3482="","",IFERROR(INDEX(MASTER_SOURCE!$D$2:$D$495,MATCH($I3482,MASTER_SOURCE!$A$2:$A$495,0)),""))</f>
        <v/>
      </c>
      <c r="M3482" s="24" t="n"/>
      <c r="N3482" s="24" t="n"/>
      <c r="O3482" s="24" t="n"/>
      <c r="P3482" s="24" t="n"/>
      <c r="Q3482" s="22">
        <f>IF($D3482="","",IF(AND(OR(DANH_MUC!$L$5&lt;&gt;"Có",M3482="Có"),OR(DANH_MUC!$L$6&lt;&gt;"Có",N3482="Có"),OR(DANH_MUC!$L$7&lt;&gt;"Có",O3482="Có"),OR(DANH_MUC!$L$8&lt;&gt;"Có",P3482="Có")),"Có","Không"))</f>
        <v/>
      </c>
      <c r="R3482" s="22">
        <f>IF($D3482="","",IF(COUNTIF($D$2:$D3482,$D3482)&gt;1,"Trùng",""))</f>
        <v/>
      </c>
      <c r="S3482" s="22">
        <f>IF($D3482="","",IF(AND(LEN($D3482)=10,LEFT($D3482,1)="0",ISNUMBER(--$D3482)),"Có","Không"))</f>
        <v/>
      </c>
      <c r="T3482" s="22">
        <f>IF($D3482="","",IF(AND($C3482&lt;&gt;"",$Q3482="Có",$R3482="",$S3482="Có",AND($L3482&lt;&gt;"",OR($L3482&lt;&gt;"Chưa xác định",DANH_MUC!$L$9="Có"))),"Có","Không"))</f>
        <v/>
      </c>
      <c r="U3482" s="22">
        <f>IF(OR($D3482="",$T3482="Có"),"",IF($C3482="","Thiếu họ tên; ","")&amp;IF($S3482&lt;&gt;"Có","SĐT sai định dạng; ","")&amp;IF($R3482="Trùng","Trùng SĐT; ","")&amp;IF($Q3482&lt;&gt;"Có","Thiếu đồng ý bắt buộc; ","")&amp;IF($L3482="","Thiếu/sai Mã REF; ",IF(AND($L3482="Chưa xác định",DANH_MUC!$L$9&lt;&gt;"Có"),"Nguồn chưa xác định; ","")))</f>
        <v/>
      </c>
      <c r="V3482" s="22">
        <f>IF(OR($D3482="",$R3482="Trùng"),"",IF(COUNTIF(ORDERS!$C$2:$C$4995,$D3482)&gt;0,"Có","Không"))</f>
        <v/>
      </c>
      <c r="W3482" s="22">
        <f>IF(OR($D3482="",$R3482="Trùng"),"",COUNTIFS(ORDERS!$C$2:$C$4995,$D3482,ORDERS!$L$2:$L$4995,"Đã chuyển khoản"))</f>
        <v/>
      </c>
      <c r="X3482" s="23">
        <f>IF(OR($D3482="",$R3482="Trùng"),"",SUMIFS(ORDERS!$J$2:$J$4995,ORDERS!$C$2:$C$4995,$D3482,ORDERS!$L$2:$L$4995,"Đã chuyển khoản"))</f>
        <v/>
      </c>
      <c r="Y3482" s="24" t="n"/>
    </row>
    <row r="3483" ht="14.25" customHeight="1" s="40">
      <c r="A3483" s="24" t="n"/>
      <c r="B3483" s="27" t="n"/>
      <c r="C3483" s="24" t="n"/>
      <c r="D3483" s="28" t="n"/>
      <c r="E3483" s="29" t="n"/>
      <c r="F3483" s="24" t="n"/>
      <c r="G3483" s="24" t="n"/>
      <c r="H3483" s="21">
        <f>IF(ISNUMBER($B3483),INT($B3483)-WEEKDAY($B3483,2)+1,"")</f>
        <v/>
      </c>
      <c r="I3483" s="24" t="n"/>
      <c r="J3483" s="22">
        <f t="array" ref="J3483">IF($D3483="","",IF($I3483="","(trống REF)",IFERROR(INDEX(MASTER_SOURCE!$B$2:$B$495,MATCH($I3483,MASTER_SOURCE!$A$2:$A$495,0)),"(REF không có trong MASTER_SOURCE)")))</f>
        <v/>
      </c>
      <c r="K3483" s="22">
        <f t="array" ref="K3483">IF($D3483="","",IFERROR(INDEX(MASTER_SOURCE!$C$2:$C$495,MATCH($I3483,MASTER_SOURCE!$A$2:$A$495,0)),""))</f>
        <v/>
      </c>
      <c r="L3483" s="22">
        <f t="array" ref="L3483">IF($D3483="","",IFERROR(INDEX(MASTER_SOURCE!$D$2:$D$495,MATCH($I3483,MASTER_SOURCE!$A$2:$A$495,0)),""))</f>
        <v/>
      </c>
      <c r="M3483" s="24" t="n"/>
      <c r="N3483" s="24" t="n"/>
      <c r="O3483" s="24" t="n"/>
      <c r="P3483" s="24" t="n"/>
      <c r="Q3483" s="22">
        <f>IF($D3483="","",IF(AND(OR(DANH_MUC!$L$5&lt;&gt;"Có",M3483="Có"),OR(DANH_MUC!$L$6&lt;&gt;"Có",N3483="Có"),OR(DANH_MUC!$L$7&lt;&gt;"Có",O3483="Có"),OR(DANH_MUC!$L$8&lt;&gt;"Có",P3483="Có")),"Có","Không"))</f>
        <v/>
      </c>
      <c r="R3483" s="22">
        <f>IF($D3483="","",IF(COUNTIF($D$2:$D3483,$D3483)&gt;1,"Trùng",""))</f>
        <v/>
      </c>
      <c r="S3483" s="22">
        <f>IF($D3483="","",IF(AND(LEN($D3483)=10,LEFT($D3483,1)="0",ISNUMBER(--$D3483)),"Có","Không"))</f>
        <v/>
      </c>
      <c r="T3483" s="22">
        <f>IF($D3483="","",IF(AND($C3483&lt;&gt;"",$Q3483="Có",$R3483="",$S3483="Có",AND($L3483&lt;&gt;"",OR($L3483&lt;&gt;"Chưa xác định",DANH_MUC!$L$9="Có"))),"Có","Không"))</f>
        <v/>
      </c>
      <c r="U3483" s="22">
        <f>IF(OR($D3483="",$T3483="Có"),"",IF($C3483="","Thiếu họ tên; ","")&amp;IF($S3483&lt;&gt;"Có","SĐT sai định dạng; ","")&amp;IF($R3483="Trùng","Trùng SĐT; ","")&amp;IF($Q3483&lt;&gt;"Có","Thiếu đồng ý bắt buộc; ","")&amp;IF($L3483="","Thiếu/sai Mã REF; ",IF(AND($L3483="Chưa xác định",DANH_MUC!$L$9&lt;&gt;"Có"),"Nguồn chưa xác định; ","")))</f>
        <v/>
      </c>
      <c r="V3483" s="22">
        <f>IF(OR($D3483="",$R3483="Trùng"),"",IF(COUNTIF(ORDERS!$C$2:$C$4995,$D3483)&gt;0,"Có","Không"))</f>
        <v/>
      </c>
      <c r="W3483" s="22">
        <f>IF(OR($D3483="",$R3483="Trùng"),"",COUNTIFS(ORDERS!$C$2:$C$4995,$D3483,ORDERS!$L$2:$L$4995,"Đã chuyển khoản"))</f>
        <v/>
      </c>
      <c r="X3483" s="23">
        <f>IF(OR($D3483="",$R3483="Trùng"),"",SUMIFS(ORDERS!$J$2:$J$4995,ORDERS!$C$2:$C$4995,$D3483,ORDERS!$L$2:$L$4995,"Đã chuyển khoản"))</f>
        <v/>
      </c>
      <c r="Y3483" s="24" t="n"/>
    </row>
    <row r="3484" ht="14.25" customHeight="1" s="40">
      <c r="A3484" s="24" t="n"/>
      <c r="B3484" s="27" t="n"/>
      <c r="C3484" s="24" t="n"/>
      <c r="D3484" s="28" t="n"/>
      <c r="E3484" s="29" t="n"/>
      <c r="F3484" s="24" t="n"/>
      <c r="G3484" s="24" t="n"/>
      <c r="H3484" s="21">
        <f>IF(ISNUMBER($B3484),INT($B3484)-WEEKDAY($B3484,2)+1,"")</f>
        <v/>
      </c>
      <c r="I3484" s="24" t="n"/>
      <c r="J3484" s="22">
        <f t="array" ref="J3484">IF($D3484="","",IF($I3484="","(trống REF)",IFERROR(INDEX(MASTER_SOURCE!$B$2:$B$495,MATCH($I3484,MASTER_SOURCE!$A$2:$A$495,0)),"(REF không có trong MASTER_SOURCE)")))</f>
        <v/>
      </c>
      <c r="K3484" s="22">
        <f t="array" ref="K3484">IF($D3484="","",IFERROR(INDEX(MASTER_SOURCE!$C$2:$C$495,MATCH($I3484,MASTER_SOURCE!$A$2:$A$495,0)),""))</f>
        <v/>
      </c>
      <c r="L3484" s="22">
        <f t="array" ref="L3484">IF($D3484="","",IFERROR(INDEX(MASTER_SOURCE!$D$2:$D$495,MATCH($I3484,MASTER_SOURCE!$A$2:$A$495,0)),""))</f>
        <v/>
      </c>
      <c r="M3484" s="24" t="n"/>
      <c r="N3484" s="24" t="n"/>
      <c r="O3484" s="24" t="n"/>
      <c r="P3484" s="24" t="n"/>
      <c r="Q3484" s="22">
        <f>IF($D3484="","",IF(AND(OR(DANH_MUC!$L$5&lt;&gt;"Có",M3484="Có"),OR(DANH_MUC!$L$6&lt;&gt;"Có",N3484="Có"),OR(DANH_MUC!$L$7&lt;&gt;"Có",O3484="Có"),OR(DANH_MUC!$L$8&lt;&gt;"Có",P3484="Có")),"Có","Không"))</f>
        <v/>
      </c>
      <c r="R3484" s="22">
        <f>IF($D3484="","",IF(COUNTIF($D$2:$D3484,$D3484)&gt;1,"Trùng",""))</f>
        <v/>
      </c>
      <c r="S3484" s="22">
        <f>IF($D3484="","",IF(AND(LEN($D3484)=10,LEFT($D3484,1)="0",ISNUMBER(--$D3484)),"Có","Không"))</f>
        <v/>
      </c>
      <c r="T3484" s="22">
        <f>IF($D3484="","",IF(AND($C3484&lt;&gt;"",$Q3484="Có",$R3484="",$S3484="Có",AND($L3484&lt;&gt;"",OR($L3484&lt;&gt;"Chưa xác định",DANH_MUC!$L$9="Có"))),"Có","Không"))</f>
        <v/>
      </c>
      <c r="U3484" s="22">
        <f>IF(OR($D3484="",$T3484="Có"),"",IF($C3484="","Thiếu họ tên; ","")&amp;IF($S3484&lt;&gt;"Có","SĐT sai định dạng; ","")&amp;IF($R3484="Trùng","Trùng SĐT; ","")&amp;IF($Q3484&lt;&gt;"Có","Thiếu đồng ý bắt buộc; ","")&amp;IF($L3484="","Thiếu/sai Mã REF; ",IF(AND($L3484="Chưa xác định",DANH_MUC!$L$9&lt;&gt;"Có"),"Nguồn chưa xác định; ","")))</f>
        <v/>
      </c>
      <c r="V3484" s="22">
        <f>IF(OR($D3484="",$R3484="Trùng"),"",IF(COUNTIF(ORDERS!$C$2:$C$4995,$D3484)&gt;0,"Có","Không"))</f>
        <v/>
      </c>
      <c r="W3484" s="22">
        <f>IF(OR($D3484="",$R3484="Trùng"),"",COUNTIFS(ORDERS!$C$2:$C$4995,$D3484,ORDERS!$L$2:$L$4995,"Đã chuyển khoản"))</f>
        <v/>
      </c>
      <c r="X3484" s="23">
        <f>IF(OR($D3484="",$R3484="Trùng"),"",SUMIFS(ORDERS!$J$2:$J$4995,ORDERS!$C$2:$C$4995,$D3484,ORDERS!$L$2:$L$4995,"Đã chuyển khoản"))</f>
        <v/>
      </c>
      <c r="Y3484" s="24" t="n"/>
    </row>
    <row r="3485" ht="14.25" customHeight="1" s="40">
      <c r="A3485" s="24" t="n"/>
      <c r="B3485" s="27" t="n"/>
      <c r="C3485" s="24" t="n"/>
      <c r="D3485" s="28" t="n"/>
      <c r="E3485" s="29" t="n"/>
      <c r="F3485" s="24" t="n"/>
      <c r="G3485" s="24" t="n"/>
      <c r="H3485" s="21">
        <f>IF(ISNUMBER($B3485),INT($B3485)-WEEKDAY($B3485,2)+1,"")</f>
        <v/>
      </c>
      <c r="I3485" s="24" t="n"/>
      <c r="J3485" s="22">
        <f t="array" ref="J3485">IF($D3485="","",IF($I3485="","(trống REF)",IFERROR(INDEX(MASTER_SOURCE!$B$2:$B$495,MATCH($I3485,MASTER_SOURCE!$A$2:$A$495,0)),"(REF không có trong MASTER_SOURCE)")))</f>
        <v/>
      </c>
      <c r="K3485" s="22">
        <f t="array" ref="K3485">IF($D3485="","",IFERROR(INDEX(MASTER_SOURCE!$C$2:$C$495,MATCH($I3485,MASTER_SOURCE!$A$2:$A$495,0)),""))</f>
        <v/>
      </c>
      <c r="L3485" s="22">
        <f t="array" ref="L3485">IF($D3485="","",IFERROR(INDEX(MASTER_SOURCE!$D$2:$D$495,MATCH($I3485,MASTER_SOURCE!$A$2:$A$495,0)),""))</f>
        <v/>
      </c>
      <c r="M3485" s="24" t="n"/>
      <c r="N3485" s="24" t="n"/>
      <c r="O3485" s="24" t="n"/>
      <c r="P3485" s="24" t="n"/>
      <c r="Q3485" s="22">
        <f>IF($D3485="","",IF(AND(OR(DANH_MUC!$L$5&lt;&gt;"Có",M3485="Có"),OR(DANH_MUC!$L$6&lt;&gt;"Có",N3485="Có"),OR(DANH_MUC!$L$7&lt;&gt;"Có",O3485="Có"),OR(DANH_MUC!$L$8&lt;&gt;"Có",P3485="Có")),"Có","Không"))</f>
        <v/>
      </c>
      <c r="R3485" s="22">
        <f>IF($D3485="","",IF(COUNTIF($D$2:$D3485,$D3485)&gt;1,"Trùng",""))</f>
        <v/>
      </c>
      <c r="S3485" s="22">
        <f>IF($D3485="","",IF(AND(LEN($D3485)=10,LEFT($D3485,1)="0",ISNUMBER(--$D3485)),"Có","Không"))</f>
        <v/>
      </c>
      <c r="T3485" s="22">
        <f>IF($D3485="","",IF(AND($C3485&lt;&gt;"",$Q3485="Có",$R3485="",$S3485="Có",AND($L3485&lt;&gt;"",OR($L3485&lt;&gt;"Chưa xác định",DANH_MUC!$L$9="Có"))),"Có","Không"))</f>
        <v/>
      </c>
      <c r="U3485" s="22">
        <f>IF(OR($D3485="",$T3485="Có"),"",IF($C3485="","Thiếu họ tên; ","")&amp;IF($S3485&lt;&gt;"Có","SĐT sai định dạng; ","")&amp;IF($R3485="Trùng","Trùng SĐT; ","")&amp;IF($Q3485&lt;&gt;"Có","Thiếu đồng ý bắt buộc; ","")&amp;IF($L3485="","Thiếu/sai Mã REF; ",IF(AND($L3485="Chưa xác định",DANH_MUC!$L$9&lt;&gt;"Có"),"Nguồn chưa xác định; ","")))</f>
        <v/>
      </c>
      <c r="V3485" s="22">
        <f>IF(OR($D3485="",$R3485="Trùng"),"",IF(COUNTIF(ORDERS!$C$2:$C$4995,$D3485)&gt;0,"Có","Không"))</f>
        <v/>
      </c>
      <c r="W3485" s="22">
        <f>IF(OR($D3485="",$R3485="Trùng"),"",COUNTIFS(ORDERS!$C$2:$C$4995,$D3485,ORDERS!$L$2:$L$4995,"Đã chuyển khoản"))</f>
        <v/>
      </c>
      <c r="X3485" s="23">
        <f>IF(OR($D3485="",$R3485="Trùng"),"",SUMIFS(ORDERS!$J$2:$J$4995,ORDERS!$C$2:$C$4995,$D3485,ORDERS!$L$2:$L$4995,"Đã chuyển khoản"))</f>
        <v/>
      </c>
      <c r="Y3485" s="24" t="n"/>
    </row>
    <row r="3486" ht="14.25" customHeight="1" s="40">
      <c r="A3486" s="24" t="n"/>
      <c r="B3486" s="27" t="n"/>
      <c r="C3486" s="24" t="n"/>
      <c r="D3486" s="28" t="n"/>
      <c r="E3486" s="29" t="n"/>
      <c r="F3486" s="24" t="n"/>
      <c r="G3486" s="24" t="n"/>
      <c r="H3486" s="21">
        <f>IF(ISNUMBER($B3486),INT($B3486)-WEEKDAY($B3486,2)+1,"")</f>
        <v/>
      </c>
      <c r="I3486" s="24" t="n"/>
      <c r="J3486" s="22">
        <f t="array" ref="J3486">IF($D3486="","",IF($I3486="","(trống REF)",IFERROR(INDEX(MASTER_SOURCE!$B$2:$B$495,MATCH($I3486,MASTER_SOURCE!$A$2:$A$495,0)),"(REF không có trong MASTER_SOURCE)")))</f>
        <v/>
      </c>
      <c r="K3486" s="22">
        <f t="array" ref="K3486">IF($D3486="","",IFERROR(INDEX(MASTER_SOURCE!$C$2:$C$495,MATCH($I3486,MASTER_SOURCE!$A$2:$A$495,0)),""))</f>
        <v/>
      </c>
      <c r="L3486" s="22">
        <f t="array" ref="L3486">IF($D3486="","",IFERROR(INDEX(MASTER_SOURCE!$D$2:$D$495,MATCH($I3486,MASTER_SOURCE!$A$2:$A$495,0)),""))</f>
        <v/>
      </c>
      <c r="M3486" s="24" t="n"/>
      <c r="N3486" s="24" t="n"/>
      <c r="O3486" s="24" t="n"/>
      <c r="P3486" s="24" t="n"/>
      <c r="Q3486" s="22">
        <f>IF($D3486="","",IF(AND(OR(DANH_MUC!$L$5&lt;&gt;"Có",M3486="Có"),OR(DANH_MUC!$L$6&lt;&gt;"Có",N3486="Có"),OR(DANH_MUC!$L$7&lt;&gt;"Có",O3486="Có"),OR(DANH_MUC!$L$8&lt;&gt;"Có",P3486="Có")),"Có","Không"))</f>
        <v/>
      </c>
      <c r="R3486" s="22">
        <f>IF($D3486="","",IF(COUNTIF($D$2:$D3486,$D3486)&gt;1,"Trùng",""))</f>
        <v/>
      </c>
      <c r="S3486" s="22">
        <f>IF($D3486="","",IF(AND(LEN($D3486)=10,LEFT($D3486,1)="0",ISNUMBER(--$D3486)),"Có","Không"))</f>
        <v/>
      </c>
      <c r="T3486" s="22">
        <f>IF($D3486="","",IF(AND($C3486&lt;&gt;"",$Q3486="Có",$R3486="",$S3486="Có",AND($L3486&lt;&gt;"",OR($L3486&lt;&gt;"Chưa xác định",DANH_MUC!$L$9="Có"))),"Có","Không"))</f>
        <v/>
      </c>
      <c r="U3486" s="22">
        <f>IF(OR($D3486="",$T3486="Có"),"",IF($C3486="","Thiếu họ tên; ","")&amp;IF($S3486&lt;&gt;"Có","SĐT sai định dạng; ","")&amp;IF($R3486="Trùng","Trùng SĐT; ","")&amp;IF($Q3486&lt;&gt;"Có","Thiếu đồng ý bắt buộc; ","")&amp;IF($L3486="","Thiếu/sai Mã REF; ",IF(AND($L3486="Chưa xác định",DANH_MUC!$L$9&lt;&gt;"Có"),"Nguồn chưa xác định; ","")))</f>
        <v/>
      </c>
      <c r="V3486" s="22">
        <f>IF(OR($D3486="",$R3486="Trùng"),"",IF(COUNTIF(ORDERS!$C$2:$C$4995,$D3486)&gt;0,"Có","Không"))</f>
        <v/>
      </c>
      <c r="W3486" s="22">
        <f>IF(OR($D3486="",$R3486="Trùng"),"",COUNTIFS(ORDERS!$C$2:$C$4995,$D3486,ORDERS!$L$2:$L$4995,"Đã chuyển khoản"))</f>
        <v/>
      </c>
      <c r="X3486" s="23">
        <f>IF(OR($D3486="",$R3486="Trùng"),"",SUMIFS(ORDERS!$J$2:$J$4995,ORDERS!$C$2:$C$4995,$D3486,ORDERS!$L$2:$L$4995,"Đã chuyển khoản"))</f>
        <v/>
      </c>
      <c r="Y3486" s="24" t="n"/>
    </row>
    <row r="3487" ht="14.25" customHeight="1" s="40">
      <c r="A3487" s="24" t="n"/>
      <c r="B3487" s="27" t="n"/>
      <c r="C3487" s="24" t="n"/>
      <c r="D3487" s="28" t="n"/>
      <c r="E3487" s="29" t="n"/>
      <c r="F3487" s="24" t="n"/>
      <c r="G3487" s="24" t="n"/>
      <c r="H3487" s="21">
        <f>IF(ISNUMBER($B3487),INT($B3487)-WEEKDAY($B3487,2)+1,"")</f>
        <v/>
      </c>
      <c r="I3487" s="24" t="n"/>
      <c r="J3487" s="22">
        <f t="array" ref="J3487">IF($D3487="","",IF($I3487="","(trống REF)",IFERROR(INDEX(MASTER_SOURCE!$B$2:$B$495,MATCH($I3487,MASTER_SOURCE!$A$2:$A$495,0)),"(REF không có trong MASTER_SOURCE)")))</f>
        <v/>
      </c>
      <c r="K3487" s="22">
        <f t="array" ref="K3487">IF($D3487="","",IFERROR(INDEX(MASTER_SOURCE!$C$2:$C$495,MATCH($I3487,MASTER_SOURCE!$A$2:$A$495,0)),""))</f>
        <v/>
      </c>
      <c r="L3487" s="22">
        <f t="array" ref="L3487">IF($D3487="","",IFERROR(INDEX(MASTER_SOURCE!$D$2:$D$495,MATCH($I3487,MASTER_SOURCE!$A$2:$A$495,0)),""))</f>
        <v/>
      </c>
      <c r="M3487" s="24" t="n"/>
      <c r="N3487" s="24" t="n"/>
      <c r="O3487" s="24" t="n"/>
      <c r="P3487" s="24" t="n"/>
      <c r="Q3487" s="22">
        <f>IF($D3487="","",IF(AND(OR(DANH_MUC!$L$5&lt;&gt;"Có",M3487="Có"),OR(DANH_MUC!$L$6&lt;&gt;"Có",N3487="Có"),OR(DANH_MUC!$L$7&lt;&gt;"Có",O3487="Có"),OR(DANH_MUC!$L$8&lt;&gt;"Có",P3487="Có")),"Có","Không"))</f>
        <v/>
      </c>
      <c r="R3487" s="22">
        <f>IF($D3487="","",IF(COUNTIF($D$2:$D3487,$D3487)&gt;1,"Trùng",""))</f>
        <v/>
      </c>
      <c r="S3487" s="22">
        <f>IF($D3487="","",IF(AND(LEN($D3487)=10,LEFT($D3487,1)="0",ISNUMBER(--$D3487)),"Có","Không"))</f>
        <v/>
      </c>
      <c r="T3487" s="22">
        <f>IF($D3487="","",IF(AND($C3487&lt;&gt;"",$Q3487="Có",$R3487="",$S3487="Có",AND($L3487&lt;&gt;"",OR($L3487&lt;&gt;"Chưa xác định",DANH_MUC!$L$9="Có"))),"Có","Không"))</f>
        <v/>
      </c>
      <c r="U3487" s="22">
        <f>IF(OR($D3487="",$T3487="Có"),"",IF($C3487="","Thiếu họ tên; ","")&amp;IF($S3487&lt;&gt;"Có","SĐT sai định dạng; ","")&amp;IF($R3487="Trùng","Trùng SĐT; ","")&amp;IF($Q3487&lt;&gt;"Có","Thiếu đồng ý bắt buộc; ","")&amp;IF($L3487="","Thiếu/sai Mã REF; ",IF(AND($L3487="Chưa xác định",DANH_MUC!$L$9&lt;&gt;"Có"),"Nguồn chưa xác định; ","")))</f>
        <v/>
      </c>
      <c r="V3487" s="22">
        <f>IF(OR($D3487="",$R3487="Trùng"),"",IF(COUNTIF(ORDERS!$C$2:$C$4995,$D3487)&gt;0,"Có","Không"))</f>
        <v/>
      </c>
      <c r="W3487" s="22">
        <f>IF(OR($D3487="",$R3487="Trùng"),"",COUNTIFS(ORDERS!$C$2:$C$4995,$D3487,ORDERS!$L$2:$L$4995,"Đã chuyển khoản"))</f>
        <v/>
      </c>
      <c r="X3487" s="23">
        <f>IF(OR($D3487="",$R3487="Trùng"),"",SUMIFS(ORDERS!$J$2:$J$4995,ORDERS!$C$2:$C$4995,$D3487,ORDERS!$L$2:$L$4995,"Đã chuyển khoản"))</f>
        <v/>
      </c>
      <c r="Y3487" s="24" t="n"/>
    </row>
    <row r="3488" ht="14.25" customHeight="1" s="40">
      <c r="A3488" s="24" t="n"/>
      <c r="B3488" s="27" t="n"/>
      <c r="C3488" s="24" t="n"/>
      <c r="D3488" s="28" t="n"/>
      <c r="E3488" s="29" t="n"/>
      <c r="F3488" s="24" t="n"/>
      <c r="G3488" s="24" t="n"/>
      <c r="H3488" s="21">
        <f>IF(ISNUMBER($B3488),INT($B3488)-WEEKDAY($B3488,2)+1,"")</f>
        <v/>
      </c>
      <c r="I3488" s="24" t="n"/>
      <c r="J3488" s="22">
        <f t="array" ref="J3488">IF($D3488="","",IF($I3488="","(trống REF)",IFERROR(INDEX(MASTER_SOURCE!$B$2:$B$495,MATCH($I3488,MASTER_SOURCE!$A$2:$A$495,0)),"(REF không có trong MASTER_SOURCE)")))</f>
        <v/>
      </c>
      <c r="K3488" s="22">
        <f t="array" ref="K3488">IF($D3488="","",IFERROR(INDEX(MASTER_SOURCE!$C$2:$C$495,MATCH($I3488,MASTER_SOURCE!$A$2:$A$495,0)),""))</f>
        <v/>
      </c>
      <c r="L3488" s="22">
        <f t="array" ref="L3488">IF($D3488="","",IFERROR(INDEX(MASTER_SOURCE!$D$2:$D$495,MATCH($I3488,MASTER_SOURCE!$A$2:$A$495,0)),""))</f>
        <v/>
      </c>
      <c r="M3488" s="24" t="n"/>
      <c r="N3488" s="24" t="n"/>
      <c r="O3488" s="24" t="n"/>
      <c r="P3488" s="24" t="n"/>
      <c r="Q3488" s="22">
        <f>IF($D3488="","",IF(AND(OR(DANH_MUC!$L$5&lt;&gt;"Có",M3488="Có"),OR(DANH_MUC!$L$6&lt;&gt;"Có",N3488="Có"),OR(DANH_MUC!$L$7&lt;&gt;"Có",O3488="Có"),OR(DANH_MUC!$L$8&lt;&gt;"Có",P3488="Có")),"Có","Không"))</f>
        <v/>
      </c>
      <c r="R3488" s="22">
        <f>IF($D3488="","",IF(COUNTIF($D$2:$D3488,$D3488)&gt;1,"Trùng",""))</f>
        <v/>
      </c>
      <c r="S3488" s="22">
        <f>IF($D3488="","",IF(AND(LEN($D3488)=10,LEFT($D3488,1)="0",ISNUMBER(--$D3488)),"Có","Không"))</f>
        <v/>
      </c>
      <c r="T3488" s="22">
        <f>IF($D3488="","",IF(AND($C3488&lt;&gt;"",$Q3488="Có",$R3488="",$S3488="Có",AND($L3488&lt;&gt;"",OR($L3488&lt;&gt;"Chưa xác định",DANH_MUC!$L$9="Có"))),"Có","Không"))</f>
        <v/>
      </c>
      <c r="U3488" s="22">
        <f>IF(OR($D3488="",$T3488="Có"),"",IF($C3488="","Thiếu họ tên; ","")&amp;IF($S3488&lt;&gt;"Có","SĐT sai định dạng; ","")&amp;IF($R3488="Trùng","Trùng SĐT; ","")&amp;IF($Q3488&lt;&gt;"Có","Thiếu đồng ý bắt buộc; ","")&amp;IF($L3488="","Thiếu/sai Mã REF; ",IF(AND($L3488="Chưa xác định",DANH_MUC!$L$9&lt;&gt;"Có"),"Nguồn chưa xác định; ","")))</f>
        <v/>
      </c>
      <c r="V3488" s="22">
        <f>IF(OR($D3488="",$R3488="Trùng"),"",IF(COUNTIF(ORDERS!$C$2:$C$4995,$D3488)&gt;0,"Có","Không"))</f>
        <v/>
      </c>
      <c r="W3488" s="22">
        <f>IF(OR($D3488="",$R3488="Trùng"),"",COUNTIFS(ORDERS!$C$2:$C$4995,$D3488,ORDERS!$L$2:$L$4995,"Đã chuyển khoản"))</f>
        <v/>
      </c>
      <c r="X3488" s="23">
        <f>IF(OR($D3488="",$R3488="Trùng"),"",SUMIFS(ORDERS!$J$2:$J$4995,ORDERS!$C$2:$C$4995,$D3488,ORDERS!$L$2:$L$4995,"Đã chuyển khoản"))</f>
        <v/>
      </c>
      <c r="Y3488" s="24" t="n"/>
    </row>
    <row r="3489" ht="14.25" customHeight="1" s="40">
      <c r="A3489" s="24" t="n"/>
      <c r="B3489" s="27" t="n"/>
      <c r="C3489" s="24" t="n"/>
      <c r="D3489" s="28" t="n"/>
      <c r="E3489" s="29" t="n"/>
      <c r="F3489" s="24" t="n"/>
      <c r="G3489" s="24" t="n"/>
      <c r="H3489" s="21">
        <f>IF(ISNUMBER($B3489),INT($B3489)-WEEKDAY($B3489,2)+1,"")</f>
        <v/>
      </c>
      <c r="I3489" s="24" t="n"/>
      <c r="J3489" s="22">
        <f t="array" ref="J3489">IF($D3489="","",IF($I3489="","(trống REF)",IFERROR(INDEX(MASTER_SOURCE!$B$2:$B$495,MATCH($I3489,MASTER_SOURCE!$A$2:$A$495,0)),"(REF không có trong MASTER_SOURCE)")))</f>
        <v/>
      </c>
      <c r="K3489" s="22">
        <f t="array" ref="K3489">IF($D3489="","",IFERROR(INDEX(MASTER_SOURCE!$C$2:$C$495,MATCH($I3489,MASTER_SOURCE!$A$2:$A$495,0)),""))</f>
        <v/>
      </c>
      <c r="L3489" s="22">
        <f t="array" ref="L3489">IF($D3489="","",IFERROR(INDEX(MASTER_SOURCE!$D$2:$D$495,MATCH($I3489,MASTER_SOURCE!$A$2:$A$495,0)),""))</f>
        <v/>
      </c>
      <c r="M3489" s="24" t="n"/>
      <c r="N3489" s="24" t="n"/>
      <c r="O3489" s="24" t="n"/>
      <c r="P3489" s="24" t="n"/>
      <c r="Q3489" s="22">
        <f>IF($D3489="","",IF(AND(OR(DANH_MUC!$L$5&lt;&gt;"Có",M3489="Có"),OR(DANH_MUC!$L$6&lt;&gt;"Có",N3489="Có"),OR(DANH_MUC!$L$7&lt;&gt;"Có",O3489="Có"),OR(DANH_MUC!$L$8&lt;&gt;"Có",P3489="Có")),"Có","Không"))</f>
        <v/>
      </c>
      <c r="R3489" s="22">
        <f>IF($D3489="","",IF(COUNTIF($D$2:$D3489,$D3489)&gt;1,"Trùng",""))</f>
        <v/>
      </c>
      <c r="S3489" s="22">
        <f>IF($D3489="","",IF(AND(LEN($D3489)=10,LEFT($D3489,1)="0",ISNUMBER(--$D3489)),"Có","Không"))</f>
        <v/>
      </c>
      <c r="T3489" s="22">
        <f>IF($D3489="","",IF(AND($C3489&lt;&gt;"",$Q3489="Có",$R3489="",$S3489="Có",AND($L3489&lt;&gt;"",OR($L3489&lt;&gt;"Chưa xác định",DANH_MUC!$L$9="Có"))),"Có","Không"))</f>
        <v/>
      </c>
      <c r="U3489" s="22">
        <f>IF(OR($D3489="",$T3489="Có"),"",IF($C3489="","Thiếu họ tên; ","")&amp;IF($S3489&lt;&gt;"Có","SĐT sai định dạng; ","")&amp;IF($R3489="Trùng","Trùng SĐT; ","")&amp;IF($Q3489&lt;&gt;"Có","Thiếu đồng ý bắt buộc; ","")&amp;IF($L3489="","Thiếu/sai Mã REF; ",IF(AND($L3489="Chưa xác định",DANH_MUC!$L$9&lt;&gt;"Có"),"Nguồn chưa xác định; ","")))</f>
        <v/>
      </c>
      <c r="V3489" s="22">
        <f>IF(OR($D3489="",$R3489="Trùng"),"",IF(COUNTIF(ORDERS!$C$2:$C$4995,$D3489)&gt;0,"Có","Không"))</f>
        <v/>
      </c>
      <c r="W3489" s="22">
        <f>IF(OR($D3489="",$R3489="Trùng"),"",COUNTIFS(ORDERS!$C$2:$C$4995,$D3489,ORDERS!$L$2:$L$4995,"Đã chuyển khoản"))</f>
        <v/>
      </c>
      <c r="X3489" s="23">
        <f>IF(OR($D3489="",$R3489="Trùng"),"",SUMIFS(ORDERS!$J$2:$J$4995,ORDERS!$C$2:$C$4995,$D3489,ORDERS!$L$2:$L$4995,"Đã chuyển khoản"))</f>
        <v/>
      </c>
      <c r="Y3489" s="24" t="n"/>
    </row>
    <row r="3490" ht="14.25" customHeight="1" s="40">
      <c r="A3490" s="24" t="n"/>
      <c r="B3490" s="27" t="n"/>
      <c r="C3490" s="24" t="n"/>
      <c r="D3490" s="28" t="n"/>
      <c r="E3490" s="29" t="n"/>
      <c r="F3490" s="24" t="n"/>
      <c r="G3490" s="24" t="n"/>
      <c r="H3490" s="21">
        <f>IF(ISNUMBER($B3490),INT($B3490)-WEEKDAY($B3490,2)+1,"")</f>
        <v/>
      </c>
      <c r="I3490" s="24" t="n"/>
      <c r="J3490" s="22">
        <f t="array" ref="J3490">IF($D3490="","",IF($I3490="","(trống REF)",IFERROR(INDEX(MASTER_SOURCE!$B$2:$B$495,MATCH($I3490,MASTER_SOURCE!$A$2:$A$495,0)),"(REF không có trong MASTER_SOURCE)")))</f>
        <v/>
      </c>
      <c r="K3490" s="22">
        <f t="array" ref="K3490">IF($D3490="","",IFERROR(INDEX(MASTER_SOURCE!$C$2:$C$495,MATCH($I3490,MASTER_SOURCE!$A$2:$A$495,0)),""))</f>
        <v/>
      </c>
      <c r="L3490" s="22">
        <f t="array" ref="L3490">IF($D3490="","",IFERROR(INDEX(MASTER_SOURCE!$D$2:$D$495,MATCH($I3490,MASTER_SOURCE!$A$2:$A$495,0)),""))</f>
        <v/>
      </c>
      <c r="M3490" s="24" t="n"/>
      <c r="N3490" s="24" t="n"/>
      <c r="O3490" s="24" t="n"/>
      <c r="P3490" s="24" t="n"/>
      <c r="Q3490" s="22">
        <f>IF($D3490="","",IF(AND(OR(DANH_MUC!$L$5&lt;&gt;"Có",M3490="Có"),OR(DANH_MUC!$L$6&lt;&gt;"Có",N3490="Có"),OR(DANH_MUC!$L$7&lt;&gt;"Có",O3490="Có"),OR(DANH_MUC!$L$8&lt;&gt;"Có",P3490="Có")),"Có","Không"))</f>
        <v/>
      </c>
      <c r="R3490" s="22">
        <f>IF($D3490="","",IF(COUNTIF($D$2:$D3490,$D3490)&gt;1,"Trùng",""))</f>
        <v/>
      </c>
      <c r="S3490" s="22">
        <f>IF($D3490="","",IF(AND(LEN($D3490)=10,LEFT($D3490,1)="0",ISNUMBER(--$D3490)),"Có","Không"))</f>
        <v/>
      </c>
      <c r="T3490" s="22">
        <f>IF($D3490="","",IF(AND($C3490&lt;&gt;"",$Q3490="Có",$R3490="",$S3490="Có",AND($L3490&lt;&gt;"",OR($L3490&lt;&gt;"Chưa xác định",DANH_MUC!$L$9="Có"))),"Có","Không"))</f>
        <v/>
      </c>
      <c r="U3490" s="22">
        <f>IF(OR($D3490="",$T3490="Có"),"",IF($C3490="","Thiếu họ tên; ","")&amp;IF($S3490&lt;&gt;"Có","SĐT sai định dạng; ","")&amp;IF($R3490="Trùng","Trùng SĐT; ","")&amp;IF($Q3490&lt;&gt;"Có","Thiếu đồng ý bắt buộc; ","")&amp;IF($L3490="","Thiếu/sai Mã REF; ",IF(AND($L3490="Chưa xác định",DANH_MUC!$L$9&lt;&gt;"Có"),"Nguồn chưa xác định; ","")))</f>
        <v/>
      </c>
      <c r="V3490" s="22">
        <f>IF(OR($D3490="",$R3490="Trùng"),"",IF(COUNTIF(ORDERS!$C$2:$C$4995,$D3490)&gt;0,"Có","Không"))</f>
        <v/>
      </c>
      <c r="W3490" s="22">
        <f>IF(OR($D3490="",$R3490="Trùng"),"",COUNTIFS(ORDERS!$C$2:$C$4995,$D3490,ORDERS!$L$2:$L$4995,"Đã chuyển khoản"))</f>
        <v/>
      </c>
      <c r="X3490" s="23">
        <f>IF(OR($D3490="",$R3490="Trùng"),"",SUMIFS(ORDERS!$J$2:$J$4995,ORDERS!$C$2:$C$4995,$D3490,ORDERS!$L$2:$L$4995,"Đã chuyển khoản"))</f>
        <v/>
      </c>
      <c r="Y3490" s="24" t="n"/>
    </row>
    <row r="3491" ht="14.25" customHeight="1" s="40">
      <c r="A3491" s="24" t="n"/>
      <c r="B3491" s="27" t="n"/>
      <c r="C3491" s="24" t="n"/>
      <c r="D3491" s="28" t="n"/>
      <c r="E3491" s="29" t="n"/>
      <c r="F3491" s="24" t="n"/>
      <c r="G3491" s="24" t="n"/>
      <c r="H3491" s="21">
        <f>IF(ISNUMBER($B3491),INT($B3491)-WEEKDAY($B3491,2)+1,"")</f>
        <v/>
      </c>
      <c r="I3491" s="24" t="n"/>
      <c r="J3491" s="22">
        <f t="array" ref="J3491">IF($D3491="","",IF($I3491="","(trống REF)",IFERROR(INDEX(MASTER_SOURCE!$B$2:$B$495,MATCH($I3491,MASTER_SOURCE!$A$2:$A$495,0)),"(REF không có trong MASTER_SOURCE)")))</f>
        <v/>
      </c>
      <c r="K3491" s="22">
        <f t="array" ref="K3491">IF($D3491="","",IFERROR(INDEX(MASTER_SOURCE!$C$2:$C$495,MATCH($I3491,MASTER_SOURCE!$A$2:$A$495,0)),""))</f>
        <v/>
      </c>
      <c r="L3491" s="22">
        <f t="array" ref="L3491">IF($D3491="","",IFERROR(INDEX(MASTER_SOURCE!$D$2:$D$495,MATCH($I3491,MASTER_SOURCE!$A$2:$A$495,0)),""))</f>
        <v/>
      </c>
      <c r="M3491" s="24" t="n"/>
      <c r="N3491" s="24" t="n"/>
      <c r="O3491" s="24" t="n"/>
      <c r="P3491" s="24" t="n"/>
      <c r="Q3491" s="22">
        <f>IF($D3491="","",IF(AND(OR(DANH_MUC!$L$5&lt;&gt;"Có",M3491="Có"),OR(DANH_MUC!$L$6&lt;&gt;"Có",N3491="Có"),OR(DANH_MUC!$L$7&lt;&gt;"Có",O3491="Có"),OR(DANH_MUC!$L$8&lt;&gt;"Có",P3491="Có")),"Có","Không"))</f>
        <v/>
      </c>
      <c r="R3491" s="22">
        <f>IF($D3491="","",IF(COUNTIF($D$2:$D3491,$D3491)&gt;1,"Trùng",""))</f>
        <v/>
      </c>
      <c r="S3491" s="22">
        <f>IF($D3491="","",IF(AND(LEN($D3491)=10,LEFT($D3491,1)="0",ISNUMBER(--$D3491)),"Có","Không"))</f>
        <v/>
      </c>
      <c r="T3491" s="22">
        <f>IF($D3491="","",IF(AND($C3491&lt;&gt;"",$Q3491="Có",$R3491="",$S3491="Có",AND($L3491&lt;&gt;"",OR($L3491&lt;&gt;"Chưa xác định",DANH_MUC!$L$9="Có"))),"Có","Không"))</f>
        <v/>
      </c>
      <c r="U3491" s="22">
        <f>IF(OR($D3491="",$T3491="Có"),"",IF($C3491="","Thiếu họ tên; ","")&amp;IF($S3491&lt;&gt;"Có","SĐT sai định dạng; ","")&amp;IF($R3491="Trùng","Trùng SĐT; ","")&amp;IF($Q3491&lt;&gt;"Có","Thiếu đồng ý bắt buộc; ","")&amp;IF($L3491="","Thiếu/sai Mã REF; ",IF(AND($L3491="Chưa xác định",DANH_MUC!$L$9&lt;&gt;"Có"),"Nguồn chưa xác định; ","")))</f>
        <v/>
      </c>
      <c r="V3491" s="22">
        <f>IF(OR($D3491="",$R3491="Trùng"),"",IF(COUNTIF(ORDERS!$C$2:$C$4995,$D3491)&gt;0,"Có","Không"))</f>
        <v/>
      </c>
      <c r="W3491" s="22">
        <f>IF(OR($D3491="",$R3491="Trùng"),"",COUNTIFS(ORDERS!$C$2:$C$4995,$D3491,ORDERS!$L$2:$L$4995,"Đã chuyển khoản"))</f>
        <v/>
      </c>
      <c r="X3491" s="23">
        <f>IF(OR($D3491="",$R3491="Trùng"),"",SUMIFS(ORDERS!$J$2:$J$4995,ORDERS!$C$2:$C$4995,$D3491,ORDERS!$L$2:$L$4995,"Đã chuyển khoản"))</f>
        <v/>
      </c>
      <c r="Y3491" s="24" t="n"/>
    </row>
    <row r="3492" ht="14.25" customHeight="1" s="40">
      <c r="A3492" s="24" t="n"/>
      <c r="B3492" s="27" t="n"/>
      <c r="C3492" s="24" t="n"/>
      <c r="D3492" s="28" t="n"/>
      <c r="E3492" s="29" t="n"/>
      <c r="F3492" s="24" t="n"/>
      <c r="G3492" s="24" t="n"/>
      <c r="H3492" s="21">
        <f>IF(ISNUMBER($B3492),INT($B3492)-WEEKDAY($B3492,2)+1,"")</f>
        <v/>
      </c>
      <c r="I3492" s="24" t="n"/>
      <c r="J3492" s="22">
        <f t="array" ref="J3492">IF($D3492="","",IF($I3492="","(trống REF)",IFERROR(INDEX(MASTER_SOURCE!$B$2:$B$495,MATCH($I3492,MASTER_SOURCE!$A$2:$A$495,0)),"(REF không có trong MASTER_SOURCE)")))</f>
        <v/>
      </c>
      <c r="K3492" s="22">
        <f t="array" ref="K3492">IF($D3492="","",IFERROR(INDEX(MASTER_SOURCE!$C$2:$C$495,MATCH($I3492,MASTER_SOURCE!$A$2:$A$495,0)),""))</f>
        <v/>
      </c>
      <c r="L3492" s="22">
        <f t="array" ref="L3492">IF($D3492="","",IFERROR(INDEX(MASTER_SOURCE!$D$2:$D$495,MATCH($I3492,MASTER_SOURCE!$A$2:$A$495,0)),""))</f>
        <v/>
      </c>
      <c r="M3492" s="24" t="n"/>
      <c r="N3492" s="24" t="n"/>
      <c r="O3492" s="24" t="n"/>
      <c r="P3492" s="24" t="n"/>
      <c r="Q3492" s="22">
        <f>IF($D3492="","",IF(AND(OR(DANH_MUC!$L$5&lt;&gt;"Có",M3492="Có"),OR(DANH_MUC!$L$6&lt;&gt;"Có",N3492="Có"),OR(DANH_MUC!$L$7&lt;&gt;"Có",O3492="Có"),OR(DANH_MUC!$L$8&lt;&gt;"Có",P3492="Có")),"Có","Không"))</f>
        <v/>
      </c>
      <c r="R3492" s="22">
        <f>IF($D3492="","",IF(COUNTIF($D$2:$D3492,$D3492)&gt;1,"Trùng",""))</f>
        <v/>
      </c>
      <c r="S3492" s="22">
        <f>IF($D3492="","",IF(AND(LEN($D3492)=10,LEFT($D3492,1)="0",ISNUMBER(--$D3492)),"Có","Không"))</f>
        <v/>
      </c>
      <c r="T3492" s="22">
        <f>IF($D3492="","",IF(AND($C3492&lt;&gt;"",$Q3492="Có",$R3492="",$S3492="Có",AND($L3492&lt;&gt;"",OR($L3492&lt;&gt;"Chưa xác định",DANH_MUC!$L$9="Có"))),"Có","Không"))</f>
        <v/>
      </c>
      <c r="U3492" s="22">
        <f>IF(OR($D3492="",$T3492="Có"),"",IF($C3492="","Thiếu họ tên; ","")&amp;IF($S3492&lt;&gt;"Có","SĐT sai định dạng; ","")&amp;IF($R3492="Trùng","Trùng SĐT; ","")&amp;IF($Q3492&lt;&gt;"Có","Thiếu đồng ý bắt buộc; ","")&amp;IF($L3492="","Thiếu/sai Mã REF; ",IF(AND($L3492="Chưa xác định",DANH_MUC!$L$9&lt;&gt;"Có"),"Nguồn chưa xác định; ","")))</f>
        <v/>
      </c>
      <c r="V3492" s="22">
        <f>IF(OR($D3492="",$R3492="Trùng"),"",IF(COUNTIF(ORDERS!$C$2:$C$4995,$D3492)&gt;0,"Có","Không"))</f>
        <v/>
      </c>
      <c r="W3492" s="22">
        <f>IF(OR($D3492="",$R3492="Trùng"),"",COUNTIFS(ORDERS!$C$2:$C$4995,$D3492,ORDERS!$L$2:$L$4995,"Đã chuyển khoản"))</f>
        <v/>
      </c>
      <c r="X3492" s="23">
        <f>IF(OR($D3492="",$R3492="Trùng"),"",SUMIFS(ORDERS!$J$2:$J$4995,ORDERS!$C$2:$C$4995,$D3492,ORDERS!$L$2:$L$4995,"Đã chuyển khoản"))</f>
        <v/>
      </c>
      <c r="Y3492" s="24" t="n"/>
    </row>
    <row r="3493" ht="14.25" customHeight="1" s="40">
      <c r="A3493" s="24" t="n"/>
      <c r="B3493" s="27" t="n"/>
      <c r="C3493" s="24" t="n"/>
      <c r="D3493" s="28" t="n"/>
      <c r="E3493" s="29" t="n"/>
      <c r="F3493" s="24" t="n"/>
      <c r="G3493" s="24" t="n"/>
      <c r="H3493" s="21">
        <f>IF(ISNUMBER($B3493),INT($B3493)-WEEKDAY($B3493,2)+1,"")</f>
        <v/>
      </c>
      <c r="I3493" s="24" t="n"/>
      <c r="J3493" s="22">
        <f t="array" ref="J3493">IF($D3493="","",IF($I3493="","(trống REF)",IFERROR(INDEX(MASTER_SOURCE!$B$2:$B$495,MATCH($I3493,MASTER_SOURCE!$A$2:$A$495,0)),"(REF không có trong MASTER_SOURCE)")))</f>
        <v/>
      </c>
      <c r="K3493" s="22">
        <f t="array" ref="K3493">IF($D3493="","",IFERROR(INDEX(MASTER_SOURCE!$C$2:$C$495,MATCH($I3493,MASTER_SOURCE!$A$2:$A$495,0)),""))</f>
        <v/>
      </c>
      <c r="L3493" s="22">
        <f t="array" ref="L3493">IF($D3493="","",IFERROR(INDEX(MASTER_SOURCE!$D$2:$D$495,MATCH($I3493,MASTER_SOURCE!$A$2:$A$495,0)),""))</f>
        <v/>
      </c>
      <c r="M3493" s="24" t="n"/>
      <c r="N3493" s="24" t="n"/>
      <c r="O3493" s="24" t="n"/>
      <c r="P3493" s="24" t="n"/>
      <c r="Q3493" s="22">
        <f>IF($D3493="","",IF(AND(OR(DANH_MUC!$L$5&lt;&gt;"Có",M3493="Có"),OR(DANH_MUC!$L$6&lt;&gt;"Có",N3493="Có"),OR(DANH_MUC!$L$7&lt;&gt;"Có",O3493="Có"),OR(DANH_MUC!$L$8&lt;&gt;"Có",P3493="Có")),"Có","Không"))</f>
        <v/>
      </c>
      <c r="R3493" s="22">
        <f>IF($D3493="","",IF(COUNTIF($D$2:$D3493,$D3493)&gt;1,"Trùng",""))</f>
        <v/>
      </c>
      <c r="S3493" s="22">
        <f>IF($D3493="","",IF(AND(LEN($D3493)=10,LEFT($D3493,1)="0",ISNUMBER(--$D3493)),"Có","Không"))</f>
        <v/>
      </c>
      <c r="T3493" s="22">
        <f>IF($D3493="","",IF(AND($C3493&lt;&gt;"",$Q3493="Có",$R3493="",$S3493="Có",AND($L3493&lt;&gt;"",OR($L3493&lt;&gt;"Chưa xác định",DANH_MUC!$L$9="Có"))),"Có","Không"))</f>
        <v/>
      </c>
      <c r="U3493" s="22">
        <f>IF(OR($D3493="",$T3493="Có"),"",IF($C3493="","Thiếu họ tên; ","")&amp;IF($S3493&lt;&gt;"Có","SĐT sai định dạng; ","")&amp;IF($R3493="Trùng","Trùng SĐT; ","")&amp;IF($Q3493&lt;&gt;"Có","Thiếu đồng ý bắt buộc; ","")&amp;IF($L3493="","Thiếu/sai Mã REF; ",IF(AND($L3493="Chưa xác định",DANH_MUC!$L$9&lt;&gt;"Có"),"Nguồn chưa xác định; ","")))</f>
        <v/>
      </c>
      <c r="V3493" s="22">
        <f>IF(OR($D3493="",$R3493="Trùng"),"",IF(COUNTIF(ORDERS!$C$2:$C$4995,$D3493)&gt;0,"Có","Không"))</f>
        <v/>
      </c>
      <c r="W3493" s="22">
        <f>IF(OR($D3493="",$R3493="Trùng"),"",COUNTIFS(ORDERS!$C$2:$C$4995,$D3493,ORDERS!$L$2:$L$4995,"Đã chuyển khoản"))</f>
        <v/>
      </c>
      <c r="X3493" s="23">
        <f>IF(OR($D3493="",$R3493="Trùng"),"",SUMIFS(ORDERS!$J$2:$J$4995,ORDERS!$C$2:$C$4995,$D3493,ORDERS!$L$2:$L$4995,"Đã chuyển khoản"))</f>
        <v/>
      </c>
      <c r="Y3493" s="24" t="n"/>
    </row>
    <row r="3494" ht="14.25" customHeight="1" s="40">
      <c r="A3494" s="24" t="n"/>
      <c r="B3494" s="27" t="n"/>
      <c r="C3494" s="24" t="n"/>
      <c r="D3494" s="28" t="n"/>
      <c r="E3494" s="29" t="n"/>
      <c r="F3494" s="24" t="n"/>
      <c r="G3494" s="24" t="n"/>
      <c r="H3494" s="21">
        <f>IF(ISNUMBER($B3494),INT($B3494)-WEEKDAY($B3494,2)+1,"")</f>
        <v/>
      </c>
      <c r="I3494" s="24" t="n"/>
      <c r="J3494" s="22">
        <f t="array" ref="J3494">IF($D3494="","",IF($I3494="","(trống REF)",IFERROR(INDEX(MASTER_SOURCE!$B$2:$B$495,MATCH($I3494,MASTER_SOURCE!$A$2:$A$495,0)),"(REF không có trong MASTER_SOURCE)")))</f>
        <v/>
      </c>
      <c r="K3494" s="22">
        <f t="array" ref="K3494">IF($D3494="","",IFERROR(INDEX(MASTER_SOURCE!$C$2:$C$495,MATCH($I3494,MASTER_SOURCE!$A$2:$A$495,0)),""))</f>
        <v/>
      </c>
      <c r="L3494" s="22">
        <f t="array" ref="L3494">IF($D3494="","",IFERROR(INDEX(MASTER_SOURCE!$D$2:$D$495,MATCH($I3494,MASTER_SOURCE!$A$2:$A$495,0)),""))</f>
        <v/>
      </c>
      <c r="M3494" s="24" t="n"/>
      <c r="N3494" s="24" t="n"/>
      <c r="O3494" s="24" t="n"/>
      <c r="P3494" s="24" t="n"/>
      <c r="Q3494" s="22">
        <f>IF($D3494="","",IF(AND(OR(DANH_MUC!$L$5&lt;&gt;"Có",M3494="Có"),OR(DANH_MUC!$L$6&lt;&gt;"Có",N3494="Có"),OR(DANH_MUC!$L$7&lt;&gt;"Có",O3494="Có"),OR(DANH_MUC!$L$8&lt;&gt;"Có",P3494="Có")),"Có","Không"))</f>
        <v/>
      </c>
      <c r="R3494" s="22">
        <f>IF($D3494="","",IF(COUNTIF($D$2:$D3494,$D3494)&gt;1,"Trùng",""))</f>
        <v/>
      </c>
      <c r="S3494" s="22">
        <f>IF($D3494="","",IF(AND(LEN($D3494)=10,LEFT($D3494,1)="0",ISNUMBER(--$D3494)),"Có","Không"))</f>
        <v/>
      </c>
      <c r="T3494" s="22">
        <f>IF($D3494="","",IF(AND($C3494&lt;&gt;"",$Q3494="Có",$R3494="",$S3494="Có",AND($L3494&lt;&gt;"",OR($L3494&lt;&gt;"Chưa xác định",DANH_MUC!$L$9="Có"))),"Có","Không"))</f>
        <v/>
      </c>
      <c r="U3494" s="22">
        <f>IF(OR($D3494="",$T3494="Có"),"",IF($C3494="","Thiếu họ tên; ","")&amp;IF($S3494&lt;&gt;"Có","SĐT sai định dạng; ","")&amp;IF($R3494="Trùng","Trùng SĐT; ","")&amp;IF($Q3494&lt;&gt;"Có","Thiếu đồng ý bắt buộc; ","")&amp;IF($L3494="","Thiếu/sai Mã REF; ",IF(AND($L3494="Chưa xác định",DANH_MUC!$L$9&lt;&gt;"Có"),"Nguồn chưa xác định; ","")))</f>
        <v/>
      </c>
      <c r="V3494" s="22">
        <f>IF(OR($D3494="",$R3494="Trùng"),"",IF(COUNTIF(ORDERS!$C$2:$C$4995,$D3494)&gt;0,"Có","Không"))</f>
        <v/>
      </c>
      <c r="W3494" s="22">
        <f>IF(OR($D3494="",$R3494="Trùng"),"",COUNTIFS(ORDERS!$C$2:$C$4995,$D3494,ORDERS!$L$2:$L$4995,"Đã chuyển khoản"))</f>
        <v/>
      </c>
      <c r="X3494" s="23">
        <f>IF(OR($D3494="",$R3494="Trùng"),"",SUMIFS(ORDERS!$J$2:$J$4995,ORDERS!$C$2:$C$4995,$D3494,ORDERS!$L$2:$L$4995,"Đã chuyển khoản"))</f>
        <v/>
      </c>
      <c r="Y3494" s="24" t="n"/>
    </row>
    <row r="3495" ht="14.25" customHeight="1" s="40">
      <c r="A3495" s="24" t="n"/>
      <c r="B3495" s="27" t="n"/>
      <c r="C3495" s="24" t="n"/>
      <c r="D3495" s="28" t="n"/>
      <c r="E3495" s="29" t="n"/>
      <c r="F3495" s="24" t="n"/>
      <c r="G3495" s="24" t="n"/>
      <c r="H3495" s="21">
        <f>IF(ISNUMBER($B3495),INT($B3495)-WEEKDAY($B3495,2)+1,"")</f>
        <v/>
      </c>
      <c r="I3495" s="24" t="n"/>
      <c r="J3495" s="22">
        <f t="array" ref="J3495">IF($D3495="","",IF($I3495="","(trống REF)",IFERROR(INDEX(MASTER_SOURCE!$B$2:$B$495,MATCH($I3495,MASTER_SOURCE!$A$2:$A$495,0)),"(REF không có trong MASTER_SOURCE)")))</f>
        <v/>
      </c>
      <c r="K3495" s="22">
        <f t="array" ref="K3495">IF($D3495="","",IFERROR(INDEX(MASTER_SOURCE!$C$2:$C$495,MATCH($I3495,MASTER_SOURCE!$A$2:$A$495,0)),""))</f>
        <v/>
      </c>
      <c r="L3495" s="22">
        <f t="array" ref="L3495">IF($D3495="","",IFERROR(INDEX(MASTER_SOURCE!$D$2:$D$495,MATCH($I3495,MASTER_SOURCE!$A$2:$A$495,0)),""))</f>
        <v/>
      </c>
      <c r="M3495" s="24" t="n"/>
      <c r="N3495" s="24" t="n"/>
      <c r="O3495" s="24" t="n"/>
      <c r="P3495" s="24" t="n"/>
      <c r="Q3495" s="22">
        <f>IF($D3495="","",IF(AND(OR(DANH_MUC!$L$5&lt;&gt;"Có",M3495="Có"),OR(DANH_MUC!$L$6&lt;&gt;"Có",N3495="Có"),OR(DANH_MUC!$L$7&lt;&gt;"Có",O3495="Có"),OR(DANH_MUC!$L$8&lt;&gt;"Có",P3495="Có")),"Có","Không"))</f>
        <v/>
      </c>
      <c r="R3495" s="22">
        <f>IF($D3495="","",IF(COUNTIF($D$2:$D3495,$D3495)&gt;1,"Trùng",""))</f>
        <v/>
      </c>
      <c r="S3495" s="22">
        <f>IF($D3495="","",IF(AND(LEN($D3495)=10,LEFT($D3495,1)="0",ISNUMBER(--$D3495)),"Có","Không"))</f>
        <v/>
      </c>
      <c r="T3495" s="22">
        <f>IF($D3495="","",IF(AND($C3495&lt;&gt;"",$Q3495="Có",$R3495="",$S3495="Có",AND($L3495&lt;&gt;"",OR($L3495&lt;&gt;"Chưa xác định",DANH_MUC!$L$9="Có"))),"Có","Không"))</f>
        <v/>
      </c>
      <c r="U3495" s="22">
        <f>IF(OR($D3495="",$T3495="Có"),"",IF($C3495="","Thiếu họ tên; ","")&amp;IF($S3495&lt;&gt;"Có","SĐT sai định dạng; ","")&amp;IF($R3495="Trùng","Trùng SĐT; ","")&amp;IF($Q3495&lt;&gt;"Có","Thiếu đồng ý bắt buộc; ","")&amp;IF($L3495="","Thiếu/sai Mã REF; ",IF(AND($L3495="Chưa xác định",DANH_MUC!$L$9&lt;&gt;"Có"),"Nguồn chưa xác định; ","")))</f>
        <v/>
      </c>
      <c r="V3495" s="22">
        <f>IF(OR($D3495="",$R3495="Trùng"),"",IF(COUNTIF(ORDERS!$C$2:$C$4995,$D3495)&gt;0,"Có","Không"))</f>
        <v/>
      </c>
      <c r="W3495" s="22">
        <f>IF(OR($D3495="",$R3495="Trùng"),"",COUNTIFS(ORDERS!$C$2:$C$4995,$D3495,ORDERS!$L$2:$L$4995,"Đã chuyển khoản"))</f>
        <v/>
      </c>
      <c r="X3495" s="23">
        <f>IF(OR($D3495="",$R3495="Trùng"),"",SUMIFS(ORDERS!$J$2:$J$4995,ORDERS!$C$2:$C$4995,$D3495,ORDERS!$L$2:$L$4995,"Đã chuyển khoản"))</f>
        <v/>
      </c>
      <c r="Y3495" s="24" t="n"/>
    </row>
    <row r="3496" ht="14.25" customHeight="1" s="40">
      <c r="A3496" s="24" t="n"/>
      <c r="B3496" s="27" t="n"/>
      <c r="C3496" s="24" t="n"/>
      <c r="D3496" s="28" t="n"/>
      <c r="E3496" s="29" t="n"/>
      <c r="F3496" s="24" t="n"/>
      <c r="G3496" s="24" t="n"/>
      <c r="H3496" s="21">
        <f>IF(ISNUMBER($B3496),INT($B3496)-WEEKDAY($B3496,2)+1,"")</f>
        <v/>
      </c>
      <c r="I3496" s="24" t="n"/>
      <c r="J3496" s="22">
        <f t="array" ref="J3496">IF($D3496="","",IF($I3496="","(trống REF)",IFERROR(INDEX(MASTER_SOURCE!$B$2:$B$495,MATCH($I3496,MASTER_SOURCE!$A$2:$A$495,0)),"(REF không có trong MASTER_SOURCE)")))</f>
        <v/>
      </c>
      <c r="K3496" s="22">
        <f t="array" ref="K3496">IF($D3496="","",IFERROR(INDEX(MASTER_SOURCE!$C$2:$C$495,MATCH($I3496,MASTER_SOURCE!$A$2:$A$495,0)),""))</f>
        <v/>
      </c>
      <c r="L3496" s="22">
        <f t="array" ref="L3496">IF($D3496="","",IFERROR(INDEX(MASTER_SOURCE!$D$2:$D$495,MATCH($I3496,MASTER_SOURCE!$A$2:$A$495,0)),""))</f>
        <v/>
      </c>
      <c r="M3496" s="24" t="n"/>
      <c r="N3496" s="24" t="n"/>
      <c r="O3496" s="24" t="n"/>
      <c r="P3496" s="24" t="n"/>
      <c r="Q3496" s="22">
        <f>IF($D3496="","",IF(AND(OR(DANH_MUC!$L$5&lt;&gt;"Có",M3496="Có"),OR(DANH_MUC!$L$6&lt;&gt;"Có",N3496="Có"),OR(DANH_MUC!$L$7&lt;&gt;"Có",O3496="Có"),OR(DANH_MUC!$L$8&lt;&gt;"Có",P3496="Có")),"Có","Không"))</f>
        <v/>
      </c>
      <c r="R3496" s="22">
        <f>IF($D3496="","",IF(COUNTIF($D$2:$D3496,$D3496)&gt;1,"Trùng",""))</f>
        <v/>
      </c>
      <c r="S3496" s="22">
        <f>IF($D3496="","",IF(AND(LEN($D3496)=10,LEFT($D3496,1)="0",ISNUMBER(--$D3496)),"Có","Không"))</f>
        <v/>
      </c>
      <c r="T3496" s="22">
        <f>IF($D3496="","",IF(AND($C3496&lt;&gt;"",$Q3496="Có",$R3496="",$S3496="Có",AND($L3496&lt;&gt;"",OR($L3496&lt;&gt;"Chưa xác định",DANH_MUC!$L$9="Có"))),"Có","Không"))</f>
        <v/>
      </c>
      <c r="U3496" s="22">
        <f>IF(OR($D3496="",$T3496="Có"),"",IF($C3496="","Thiếu họ tên; ","")&amp;IF($S3496&lt;&gt;"Có","SĐT sai định dạng; ","")&amp;IF($R3496="Trùng","Trùng SĐT; ","")&amp;IF($Q3496&lt;&gt;"Có","Thiếu đồng ý bắt buộc; ","")&amp;IF($L3496="","Thiếu/sai Mã REF; ",IF(AND($L3496="Chưa xác định",DANH_MUC!$L$9&lt;&gt;"Có"),"Nguồn chưa xác định; ","")))</f>
        <v/>
      </c>
      <c r="V3496" s="22">
        <f>IF(OR($D3496="",$R3496="Trùng"),"",IF(COUNTIF(ORDERS!$C$2:$C$4995,$D3496)&gt;0,"Có","Không"))</f>
        <v/>
      </c>
      <c r="W3496" s="22">
        <f>IF(OR($D3496="",$R3496="Trùng"),"",COUNTIFS(ORDERS!$C$2:$C$4995,$D3496,ORDERS!$L$2:$L$4995,"Đã chuyển khoản"))</f>
        <v/>
      </c>
      <c r="X3496" s="23">
        <f>IF(OR($D3496="",$R3496="Trùng"),"",SUMIFS(ORDERS!$J$2:$J$4995,ORDERS!$C$2:$C$4995,$D3496,ORDERS!$L$2:$L$4995,"Đã chuyển khoản"))</f>
        <v/>
      </c>
      <c r="Y3496" s="24" t="n"/>
    </row>
    <row r="3497" ht="14.25" customHeight="1" s="40">
      <c r="A3497" s="24" t="n"/>
      <c r="B3497" s="27" t="n"/>
      <c r="C3497" s="24" t="n"/>
      <c r="D3497" s="28" t="n"/>
      <c r="E3497" s="29" t="n"/>
      <c r="F3497" s="24" t="n"/>
      <c r="G3497" s="24" t="n"/>
      <c r="H3497" s="21">
        <f>IF(ISNUMBER($B3497),INT($B3497)-WEEKDAY($B3497,2)+1,"")</f>
        <v/>
      </c>
      <c r="I3497" s="24" t="n"/>
      <c r="J3497" s="22">
        <f t="array" ref="J3497">IF($D3497="","",IF($I3497="","(trống REF)",IFERROR(INDEX(MASTER_SOURCE!$B$2:$B$495,MATCH($I3497,MASTER_SOURCE!$A$2:$A$495,0)),"(REF không có trong MASTER_SOURCE)")))</f>
        <v/>
      </c>
      <c r="K3497" s="22">
        <f t="array" ref="K3497">IF($D3497="","",IFERROR(INDEX(MASTER_SOURCE!$C$2:$C$495,MATCH($I3497,MASTER_SOURCE!$A$2:$A$495,0)),""))</f>
        <v/>
      </c>
      <c r="L3497" s="22">
        <f t="array" ref="L3497">IF($D3497="","",IFERROR(INDEX(MASTER_SOURCE!$D$2:$D$495,MATCH($I3497,MASTER_SOURCE!$A$2:$A$495,0)),""))</f>
        <v/>
      </c>
      <c r="M3497" s="24" t="n"/>
      <c r="N3497" s="24" t="n"/>
      <c r="O3497" s="24" t="n"/>
      <c r="P3497" s="24" t="n"/>
      <c r="Q3497" s="22">
        <f>IF($D3497="","",IF(AND(OR(DANH_MUC!$L$5&lt;&gt;"Có",M3497="Có"),OR(DANH_MUC!$L$6&lt;&gt;"Có",N3497="Có"),OR(DANH_MUC!$L$7&lt;&gt;"Có",O3497="Có"),OR(DANH_MUC!$L$8&lt;&gt;"Có",P3497="Có")),"Có","Không"))</f>
        <v/>
      </c>
      <c r="R3497" s="22">
        <f>IF($D3497="","",IF(COUNTIF($D$2:$D3497,$D3497)&gt;1,"Trùng",""))</f>
        <v/>
      </c>
      <c r="S3497" s="22">
        <f>IF($D3497="","",IF(AND(LEN($D3497)=10,LEFT($D3497,1)="0",ISNUMBER(--$D3497)),"Có","Không"))</f>
        <v/>
      </c>
      <c r="T3497" s="22">
        <f>IF($D3497="","",IF(AND($C3497&lt;&gt;"",$Q3497="Có",$R3497="",$S3497="Có",AND($L3497&lt;&gt;"",OR($L3497&lt;&gt;"Chưa xác định",DANH_MUC!$L$9="Có"))),"Có","Không"))</f>
        <v/>
      </c>
      <c r="U3497" s="22">
        <f>IF(OR($D3497="",$T3497="Có"),"",IF($C3497="","Thiếu họ tên; ","")&amp;IF($S3497&lt;&gt;"Có","SĐT sai định dạng; ","")&amp;IF($R3497="Trùng","Trùng SĐT; ","")&amp;IF($Q3497&lt;&gt;"Có","Thiếu đồng ý bắt buộc; ","")&amp;IF($L3497="","Thiếu/sai Mã REF; ",IF(AND($L3497="Chưa xác định",DANH_MUC!$L$9&lt;&gt;"Có"),"Nguồn chưa xác định; ","")))</f>
        <v/>
      </c>
      <c r="V3497" s="22">
        <f>IF(OR($D3497="",$R3497="Trùng"),"",IF(COUNTIF(ORDERS!$C$2:$C$4995,$D3497)&gt;0,"Có","Không"))</f>
        <v/>
      </c>
      <c r="W3497" s="22">
        <f>IF(OR($D3497="",$R3497="Trùng"),"",COUNTIFS(ORDERS!$C$2:$C$4995,$D3497,ORDERS!$L$2:$L$4995,"Đã chuyển khoản"))</f>
        <v/>
      </c>
      <c r="X3497" s="23">
        <f>IF(OR($D3497="",$R3497="Trùng"),"",SUMIFS(ORDERS!$J$2:$J$4995,ORDERS!$C$2:$C$4995,$D3497,ORDERS!$L$2:$L$4995,"Đã chuyển khoản"))</f>
        <v/>
      </c>
      <c r="Y3497" s="24" t="n"/>
    </row>
    <row r="3498" ht="14.25" customHeight="1" s="40">
      <c r="A3498" s="24" t="n"/>
      <c r="B3498" s="27" t="n"/>
      <c r="C3498" s="24" t="n"/>
      <c r="D3498" s="28" t="n"/>
      <c r="E3498" s="29" t="n"/>
      <c r="F3498" s="24" t="n"/>
      <c r="G3498" s="24" t="n"/>
      <c r="H3498" s="21">
        <f>IF(ISNUMBER($B3498),INT($B3498)-WEEKDAY($B3498,2)+1,"")</f>
        <v/>
      </c>
      <c r="I3498" s="24" t="n"/>
      <c r="J3498" s="22">
        <f t="array" ref="J3498">IF($D3498="","",IF($I3498="","(trống REF)",IFERROR(INDEX(MASTER_SOURCE!$B$2:$B$495,MATCH($I3498,MASTER_SOURCE!$A$2:$A$495,0)),"(REF không có trong MASTER_SOURCE)")))</f>
        <v/>
      </c>
      <c r="K3498" s="22">
        <f t="array" ref="K3498">IF($D3498="","",IFERROR(INDEX(MASTER_SOURCE!$C$2:$C$495,MATCH($I3498,MASTER_SOURCE!$A$2:$A$495,0)),""))</f>
        <v/>
      </c>
      <c r="L3498" s="22">
        <f t="array" ref="L3498">IF($D3498="","",IFERROR(INDEX(MASTER_SOURCE!$D$2:$D$495,MATCH($I3498,MASTER_SOURCE!$A$2:$A$495,0)),""))</f>
        <v/>
      </c>
      <c r="M3498" s="24" t="n"/>
      <c r="N3498" s="24" t="n"/>
      <c r="O3498" s="24" t="n"/>
      <c r="P3498" s="24" t="n"/>
      <c r="Q3498" s="22">
        <f>IF($D3498="","",IF(AND(OR(DANH_MUC!$L$5&lt;&gt;"Có",M3498="Có"),OR(DANH_MUC!$L$6&lt;&gt;"Có",N3498="Có"),OR(DANH_MUC!$L$7&lt;&gt;"Có",O3498="Có"),OR(DANH_MUC!$L$8&lt;&gt;"Có",P3498="Có")),"Có","Không"))</f>
        <v/>
      </c>
      <c r="R3498" s="22">
        <f>IF($D3498="","",IF(COUNTIF($D$2:$D3498,$D3498)&gt;1,"Trùng",""))</f>
        <v/>
      </c>
      <c r="S3498" s="22">
        <f>IF($D3498="","",IF(AND(LEN($D3498)=10,LEFT($D3498,1)="0",ISNUMBER(--$D3498)),"Có","Không"))</f>
        <v/>
      </c>
      <c r="T3498" s="22">
        <f>IF($D3498="","",IF(AND($C3498&lt;&gt;"",$Q3498="Có",$R3498="",$S3498="Có",AND($L3498&lt;&gt;"",OR($L3498&lt;&gt;"Chưa xác định",DANH_MUC!$L$9="Có"))),"Có","Không"))</f>
        <v/>
      </c>
      <c r="U3498" s="22">
        <f>IF(OR($D3498="",$T3498="Có"),"",IF($C3498="","Thiếu họ tên; ","")&amp;IF($S3498&lt;&gt;"Có","SĐT sai định dạng; ","")&amp;IF($R3498="Trùng","Trùng SĐT; ","")&amp;IF($Q3498&lt;&gt;"Có","Thiếu đồng ý bắt buộc; ","")&amp;IF($L3498="","Thiếu/sai Mã REF; ",IF(AND($L3498="Chưa xác định",DANH_MUC!$L$9&lt;&gt;"Có"),"Nguồn chưa xác định; ","")))</f>
        <v/>
      </c>
      <c r="V3498" s="22">
        <f>IF(OR($D3498="",$R3498="Trùng"),"",IF(COUNTIF(ORDERS!$C$2:$C$4995,$D3498)&gt;0,"Có","Không"))</f>
        <v/>
      </c>
      <c r="W3498" s="22">
        <f>IF(OR($D3498="",$R3498="Trùng"),"",COUNTIFS(ORDERS!$C$2:$C$4995,$D3498,ORDERS!$L$2:$L$4995,"Đã chuyển khoản"))</f>
        <v/>
      </c>
      <c r="X3498" s="23">
        <f>IF(OR($D3498="",$R3498="Trùng"),"",SUMIFS(ORDERS!$J$2:$J$4995,ORDERS!$C$2:$C$4995,$D3498,ORDERS!$L$2:$L$4995,"Đã chuyển khoản"))</f>
        <v/>
      </c>
      <c r="Y3498" s="24" t="n"/>
    </row>
    <row r="3499" ht="14.25" customHeight="1" s="40">
      <c r="A3499" s="24" t="n"/>
      <c r="B3499" s="27" t="n"/>
      <c r="C3499" s="24" t="n"/>
      <c r="D3499" s="28" t="n"/>
      <c r="E3499" s="29" t="n"/>
      <c r="F3499" s="24" t="n"/>
      <c r="G3499" s="24" t="n"/>
      <c r="H3499" s="21">
        <f>IF(ISNUMBER($B3499),INT($B3499)-WEEKDAY($B3499,2)+1,"")</f>
        <v/>
      </c>
      <c r="I3499" s="24" t="n"/>
      <c r="J3499" s="22">
        <f t="array" ref="J3499">IF($D3499="","",IF($I3499="","(trống REF)",IFERROR(INDEX(MASTER_SOURCE!$B$2:$B$495,MATCH($I3499,MASTER_SOURCE!$A$2:$A$495,0)),"(REF không có trong MASTER_SOURCE)")))</f>
        <v/>
      </c>
      <c r="K3499" s="22">
        <f t="array" ref="K3499">IF($D3499="","",IFERROR(INDEX(MASTER_SOURCE!$C$2:$C$495,MATCH($I3499,MASTER_SOURCE!$A$2:$A$495,0)),""))</f>
        <v/>
      </c>
      <c r="L3499" s="22">
        <f t="array" ref="L3499">IF($D3499="","",IFERROR(INDEX(MASTER_SOURCE!$D$2:$D$495,MATCH($I3499,MASTER_SOURCE!$A$2:$A$495,0)),""))</f>
        <v/>
      </c>
      <c r="M3499" s="24" t="n"/>
      <c r="N3499" s="24" t="n"/>
      <c r="O3499" s="24" t="n"/>
      <c r="P3499" s="24" t="n"/>
      <c r="Q3499" s="22">
        <f>IF($D3499="","",IF(AND(OR(DANH_MUC!$L$5&lt;&gt;"Có",M3499="Có"),OR(DANH_MUC!$L$6&lt;&gt;"Có",N3499="Có"),OR(DANH_MUC!$L$7&lt;&gt;"Có",O3499="Có"),OR(DANH_MUC!$L$8&lt;&gt;"Có",P3499="Có")),"Có","Không"))</f>
        <v/>
      </c>
      <c r="R3499" s="22">
        <f>IF($D3499="","",IF(COUNTIF($D$2:$D3499,$D3499)&gt;1,"Trùng",""))</f>
        <v/>
      </c>
      <c r="S3499" s="22">
        <f>IF($D3499="","",IF(AND(LEN($D3499)=10,LEFT($D3499,1)="0",ISNUMBER(--$D3499)),"Có","Không"))</f>
        <v/>
      </c>
      <c r="T3499" s="22">
        <f>IF($D3499="","",IF(AND($C3499&lt;&gt;"",$Q3499="Có",$R3499="",$S3499="Có",AND($L3499&lt;&gt;"",OR($L3499&lt;&gt;"Chưa xác định",DANH_MUC!$L$9="Có"))),"Có","Không"))</f>
        <v/>
      </c>
      <c r="U3499" s="22">
        <f>IF(OR($D3499="",$T3499="Có"),"",IF($C3499="","Thiếu họ tên; ","")&amp;IF($S3499&lt;&gt;"Có","SĐT sai định dạng; ","")&amp;IF($R3499="Trùng","Trùng SĐT; ","")&amp;IF($Q3499&lt;&gt;"Có","Thiếu đồng ý bắt buộc; ","")&amp;IF($L3499="","Thiếu/sai Mã REF; ",IF(AND($L3499="Chưa xác định",DANH_MUC!$L$9&lt;&gt;"Có"),"Nguồn chưa xác định; ","")))</f>
        <v/>
      </c>
      <c r="V3499" s="22">
        <f>IF(OR($D3499="",$R3499="Trùng"),"",IF(COUNTIF(ORDERS!$C$2:$C$4995,$D3499)&gt;0,"Có","Không"))</f>
        <v/>
      </c>
      <c r="W3499" s="22">
        <f>IF(OR($D3499="",$R3499="Trùng"),"",COUNTIFS(ORDERS!$C$2:$C$4995,$D3499,ORDERS!$L$2:$L$4995,"Đã chuyển khoản"))</f>
        <v/>
      </c>
      <c r="X3499" s="23">
        <f>IF(OR($D3499="",$R3499="Trùng"),"",SUMIFS(ORDERS!$J$2:$J$4995,ORDERS!$C$2:$C$4995,$D3499,ORDERS!$L$2:$L$4995,"Đã chuyển khoản"))</f>
        <v/>
      </c>
      <c r="Y3499" s="24" t="n"/>
    </row>
    <row r="3500" ht="14.25" customHeight="1" s="40">
      <c r="A3500" s="24" t="n"/>
      <c r="B3500" s="27" t="n"/>
      <c r="C3500" s="24" t="n"/>
      <c r="D3500" s="28" t="n"/>
      <c r="E3500" s="29" t="n"/>
      <c r="F3500" s="24" t="n"/>
      <c r="G3500" s="24" t="n"/>
      <c r="H3500" s="21">
        <f>IF(ISNUMBER($B3500),INT($B3500)-WEEKDAY($B3500,2)+1,"")</f>
        <v/>
      </c>
      <c r="I3500" s="24" t="n"/>
      <c r="J3500" s="22">
        <f t="array" ref="J3500">IF($D3500="","",IF($I3500="","(trống REF)",IFERROR(INDEX(MASTER_SOURCE!$B$2:$B$495,MATCH($I3500,MASTER_SOURCE!$A$2:$A$495,0)),"(REF không có trong MASTER_SOURCE)")))</f>
        <v/>
      </c>
      <c r="K3500" s="22">
        <f t="array" ref="K3500">IF($D3500="","",IFERROR(INDEX(MASTER_SOURCE!$C$2:$C$495,MATCH($I3500,MASTER_SOURCE!$A$2:$A$495,0)),""))</f>
        <v/>
      </c>
      <c r="L3500" s="22">
        <f t="array" ref="L3500">IF($D3500="","",IFERROR(INDEX(MASTER_SOURCE!$D$2:$D$495,MATCH($I3500,MASTER_SOURCE!$A$2:$A$495,0)),""))</f>
        <v/>
      </c>
      <c r="M3500" s="24" t="n"/>
      <c r="N3500" s="24" t="n"/>
      <c r="O3500" s="24" t="n"/>
      <c r="P3500" s="24" t="n"/>
      <c r="Q3500" s="22">
        <f>IF($D3500="","",IF(AND(OR(DANH_MUC!$L$5&lt;&gt;"Có",M3500="Có"),OR(DANH_MUC!$L$6&lt;&gt;"Có",N3500="Có"),OR(DANH_MUC!$L$7&lt;&gt;"Có",O3500="Có"),OR(DANH_MUC!$L$8&lt;&gt;"Có",P3500="Có")),"Có","Không"))</f>
        <v/>
      </c>
      <c r="R3500" s="22">
        <f>IF($D3500="","",IF(COUNTIF($D$2:$D3500,$D3500)&gt;1,"Trùng",""))</f>
        <v/>
      </c>
      <c r="S3500" s="22">
        <f>IF($D3500="","",IF(AND(LEN($D3500)=10,LEFT($D3500,1)="0",ISNUMBER(--$D3500)),"Có","Không"))</f>
        <v/>
      </c>
      <c r="T3500" s="22">
        <f>IF($D3500="","",IF(AND($C3500&lt;&gt;"",$Q3500="Có",$R3500="",$S3500="Có",AND($L3500&lt;&gt;"",OR($L3500&lt;&gt;"Chưa xác định",DANH_MUC!$L$9="Có"))),"Có","Không"))</f>
        <v/>
      </c>
      <c r="U3500" s="22">
        <f>IF(OR($D3500="",$T3500="Có"),"",IF($C3500="","Thiếu họ tên; ","")&amp;IF($S3500&lt;&gt;"Có","SĐT sai định dạng; ","")&amp;IF($R3500="Trùng","Trùng SĐT; ","")&amp;IF($Q3500&lt;&gt;"Có","Thiếu đồng ý bắt buộc; ","")&amp;IF($L3500="","Thiếu/sai Mã REF; ",IF(AND($L3500="Chưa xác định",DANH_MUC!$L$9&lt;&gt;"Có"),"Nguồn chưa xác định; ","")))</f>
        <v/>
      </c>
      <c r="V3500" s="22">
        <f>IF(OR($D3500="",$R3500="Trùng"),"",IF(COUNTIF(ORDERS!$C$2:$C$4995,$D3500)&gt;0,"Có","Không"))</f>
        <v/>
      </c>
      <c r="W3500" s="22">
        <f>IF(OR($D3500="",$R3500="Trùng"),"",COUNTIFS(ORDERS!$C$2:$C$4995,$D3500,ORDERS!$L$2:$L$4995,"Đã chuyển khoản"))</f>
        <v/>
      </c>
      <c r="X3500" s="23">
        <f>IF(OR($D3500="",$R3500="Trùng"),"",SUMIFS(ORDERS!$J$2:$J$4995,ORDERS!$C$2:$C$4995,$D3500,ORDERS!$L$2:$L$4995,"Đã chuyển khoản"))</f>
        <v/>
      </c>
      <c r="Y3500" s="24" t="n"/>
    </row>
    <row r="3501" ht="14.25" customHeight="1" s="40">
      <c r="A3501" s="24" t="n"/>
      <c r="B3501" s="27" t="n"/>
      <c r="C3501" s="24" t="n"/>
      <c r="D3501" s="28" t="n"/>
      <c r="E3501" s="29" t="n"/>
      <c r="F3501" s="24" t="n"/>
      <c r="G3501" s="24" t="n"/>
      <c r="H3501" s="21">
        <f>IF(ISNUMBER($B3501),INT($B3501)-WEEKDAY($B3501,2)+1,"")</f>
        <v/>
      </c>
      <c r="I3501" s="24" t="n"/>
      <c r="J3501" s="22">
        <f t="array" ref="J3501">IF($D3501="","",IF($I3501="","(trống REF)",IFERROR(INDEX(MASTER_SOURCE!$B$2:$B$495,MATCH($I3501,MASTER_SOURCE!$A$2:$A$495,0)),"(REF không có trong MASTER_SOURCE)")))</f>
        <v/>
      </c>
      <c r="K3501" s="22">
        <f t="array" ref="K3501">IF($D3501="","",IFERROR(INDEX(MASTER_SOURCE!$C$2:$C$495,MATCH($I3501,MASTER_SOURCE!$A$2:$A$495,0)),""))</f>
        <v/>
      </c>
      <c r="L3501" s="22">
        <f t="array" ref="L3501">IF($D3501="","",IFERROR(INDEX(MASTER_SOURCE!$D$2:$D$495,MATCH($I3501,MASTER_SOURCE!$A$2:$A$495,0)),""))</f>
        <v/>
      </c>
      <c r="M3501" s="24" t="n"/>
      <c r="N3501" s="24" t="n"/>
      <c r="O3501" s="24" t="n"/>
      <c r="P3501" s="24" t="n"/>
      <c r="Q3501" s="22">
        <f>IF($D3501="","",IF(AND(OR(DANH_MUC!$L$5&lt;&gt;"Có",M3501="Có"),OR(DANH_MUC!$L$6&lt;&gt;"Có",N3501="Có"),OR(DANH_MUC!$L$7&lt;&gt;"Có",O3501="Có"),OR(DANH_MUC!$L$8&lt;&gt;"Có",P3501="Có")),"Có","Không"))</f>
        <v/>
      </c>
      <c r="R3501" s="22">
        <f>IF($D3501="","",IF(COUNTIF($D$2:$D3501,$D3501)&gt;1,"Trùng",""))</f>
        <v/>
      </c>
      <c r="S3501" s="22">
        <f>IF($D3501="","",IF(AND(LEN($D3501)=10,LEFT($D3501,1)="0",ISNUMBER(--$D3501)),"Có","Không"))</f>
        <v/>
      </c>
      <c r="T3501" s="22">
        <f>IF($D3501="","",IF(AND($C3501&lt;&gt;"",$Q3501="Có",$R3501="",$S3501="Có",AND($L3501&lt;&gt;"",OR($L3501&lt;&gt;"Chưa xác định",DANH_MUC!$L$9="Có"))),"Có","Không"))</f>
        <v/>
      </c>
      <c r="U3501" s="22">
        <f>IF(OR($D3501="",$T3501="Có"),"",IF($C3501="","Thiếu họ tên; ","")&amp;IF($S3501&lt;&gt;"Có","SĐT sai định dạng; ","")&amp;IF($R3501="Trùng","Trùng SĐT; ","")&amp;IF($Q3501&lt;&gt;"Có","Thiếu đồng ý bắt buộc; ","")&amp;IF($L3501="","Thiếu/sai Mã REF; ",IF(AND($L3501="Chưa xác định",DANH_MUC!$L$9&lt;&gt;"Có"),"Nguồn chưa xác định; ","")))</f>
        <v/>
      </c>
      <c r="V3501" s="22">
        <f>IF(OR($D3501="",$R3501="Trùng"),"",IF(COUNTIF(ORDERS!$C$2:$C$4995,$D3501)&gt;0,"Có","Không"))</f>
        <v/>
      </c>
      <c r="W3501" s="22">
        <f>IF(OR($D3501="",$R3501="Trùng"),"",COUNTIFS(ORDERS!$C$2:$C$4995,$D3501,ORDERS!$L$2:$L$4995,"Đã chuyển khoản"))</f>
        <v/>
      </c>
      <c r="X3501" s="23">
        <f>IF(OR($D3501="",$R3501="Trùng"),"",SUMIFS(ORDERS!$J$2:$J$4995,ORDERS!$C$2:$C$4995,$D3501,ORDERS!$L$2:$L$4995,"Đã chuyển khoản"))</f>
        <v/>
      </c>
      <c r="Y3501" s="24" t="n"/>
    </row>
    <row r="3502" ht="14.25" customHeight="1" s="40">
      <c r="A3502" s="24" t="n"/>
      <c r="B3502" s="27" t="n"/>
      <c r="C3502" s="24" t="n"/>
      <c r="D3502" s="28" t="n"/>
      <c r="E3502" s="29" t="n"/>
      <c r="F3502" s="24" t="n"/>
      <c r="G3502" s="24" t="n"/>
      <c r="H3502" s="21">
        <f>IF(ISNUMBER($B3502),INT($B3502)-WEEKDAY($B3502,2)+1,"")</f>
        <v/>
      </c>
      <c r="I3502" s="24" t="n"/>
      <c r="J3502" s="22">
        <f t="array" ref="J3502">IF($D3502="","",IF($I3502="","(trống REF)",IFERROR(INDEX(MASTER_SOURCE!$B$2:$B$495,MATCH($I3502,MASTER_SOURCE!$A$2:$A$495,0)),"(REF không có trong MASTER_SOURCE)")))</f>
        <v/>
      </c>
      <c r="K3502" s="22">
        <f t="array" ref="K3502">IF($D3502="","",IFERROR(INDEX(MASTER_SOURCE!$C$2:$C$495,MATCH($I3502,MASTER_SOURCE!$A$2:$A$495,0)),""))</f>
        <v/>
      </c>
      <c r="L3502" s="22">
        <f t="array" ref="L3502">IF($D3502="","",IFERROR(INDEX(MASTER_SOURCE!$D$2:$D$495,MATCH($I3502,MASTER_SOURCE!$A$2:$A$495,0)),""))</f>
        <v/>
      </c>
      <c r="M3502" s="24" t="n"/>
      <c r="N3502" s="24" t="n"/>
      <c r="O3502" s="24" t="n"/>
      <c r="P3502" s="24" t="n"/>
      <c r="Q3502" s="22">
        <f>IF($D3502="","",IF(AND(OR(DANH_MUC!$L$5&lt;&gt;"Có",M3502="Có"),OR(DANH_MUC!$L$6&lt;&gt;"Có",N3502="Có"),OR(DANH_MUC!$L$7&lt;&gt;"Có",O3502="Có"),OR(DANH_MUC!$L$8&lt;&gt;"Có",P3502="Có")),"Có","Không"))</f>
        <v/>
      </c>
      <c r="R3502" s="22">
        <f>IF($D3502="","",IF(COUNTIF($D$2:$D3502,$D3502)&gt;1,"Trùng",""))</f>
        <v/>
      </c>
      <c r="S3502" s="22">
        <f>IF($D3502="","",IF(AND(LEN($D3502)=10,LEFT($D3502,1)="0",ISNUMBER(--$D3502)),"Có","Không"))</f>
        <v/>
      </c>
      <c r="T3502" s="22">
        <f>IF($D3502="","",IF(AND($C3502&lt;&gt;"",$Q3502="Có",$R3502="",$S3502="Có",AND($L3502&lt;&gt;"",OR($L3502&lt;&gt;"Chưa xác định",DANH_MUC!$L$9="Có"))),"Có","Không"))</f>
        <v/>
      </c>
      <c r="U3502" s="22">
        <f>IF(OR($D3502="",$T3502="Có"),"",IF($C3502="","Thiếu họ tên; ","")&amp;IF($S3502&lt;&gt;"Có","SĐT sai định dạng; ","")&amp;IF($R3502="Trùng","Trùng SĐT; ","")&amp;IF($Q3502&lt;&gt;"Có","Thiếu đồng ý bắt buộc; ","")&amp;IF($L3502="","Thiếu/sai Mã REF; ",IF(AND($L3502="Chưa xác định",DANH_MUC!$L$9&lt;&gt;"Có"),"Nguồn chưa xác định; ","")))</f>
        <v/>
      </c>
      <c r="V3502" s="22">
        <f>IF(OR($D3502="",$R3502="Trùng"),"",IF(COUNTIF(ORDERS!$C$2:$C$4995,$D3502)&gt;0,"Có","Không"))</f>
        <v/>
      </c>
      <c r="W3502" s="22">
        <f>IF(OR($D3502="",$R3502="Trùng"),"",COUNTIFS(ORDERS!$C$2:$C$4995,$D3502,ORDERS!$L$2:$L$4995,"Đã chuyển khoản"))</f>
        <v/>
      </c>
      <c r="X3502" s="23">
        <f>IF(OR($D3502="",$R3502="Trùng"),"",SUMIFS(ORDERS!$J$2:$J$4995,ORDERS!$C$2:$C$4995,$D3502,ORDERS!$L$2:$L$4995,"Đã chuyển khoản"))</f>
        <v/>
      </c>
      <c r="Y3502" s="24" t="n"/>
    </row>
    <row r="3503" ht="14.25" customHeight="1" s="40">
      <c r="A3503" s="24" t="n"/>
      <c r="B3503" s="27" t="n"/>
      <c r="C3503" s="24" t="n"/>
      <c r="D3503" s="28" t="n"/>
      <c r="E3503" s="29" t="n"/>
      <c r="F3503" s="24" t="n"/>
      <c r="G3503" s="24" t="n"/>
      <c r="H3503" s="21">
        <f>IF(ISNUMBER($B3503),INT($B3503)-WEEKDAY($B3503,2)+1,"")</f>
        <v/>
      </c>
      <c r="I3503" s="24" t="n"/>
      <c r="J3503" s="22">
        <f t="array" ref="J3503">IF($D3503="","",IF($I3503="","(trống REF)",IFERROR(INDEX(MASTER_SOURCE!$B$2:$B$495,MATCH($I3503,MASTER_SOURCE!$A$2:$A$495,0)),"(REF không có trong MASTER_SOURCE)")))</f>
        <v/>
      </c>
      <c r="K3503" s="22">
        <f t="array" ref="K3503">IF($D3503="","",IFERROR(INDEX(MASTER_SOURCE!$C$2:$C$495,MATCH($I3503,MASTER_SOURCE!$A$2:$A$495,0)),""))</f>
        <v/>
      </c>
      <c r="L3503" s="22">
        <f t="array" ref="L3503">IF($D3503="","",IFERROR(INDEX(MASTER_SOURCE!$D$2:$D$495,MATCH($I3503,MASTER_SOURCE!$A$2:$A$495,0)),""))</f>
        <v/>
      </c>
      <c r="M3503" s="24" t="n"/>
      <c r="N3503" s="24" t="n"/>
      <c r="O3503" s="24" t="n"/>
      <c r="P3503" s="24" t="n"/>
      <c r="Q3503" s="22">
        <f>IF($D3503="","",IF(AND(OR(DANH_MUC!$L$5&lt;&gt;"Có",M3503="Có"),OR(DANH_MUC!$L$6&lt;&gt;"Có",N3503="Có"),OR(DANH_MUC!$L$7&lt;&gt;"Có",O3503="Có"),OR(DANH_MUC!$L$8&lt;&gt;"Có",P3503="Có")),"Có","Không"))</f>
        <v/>
      </c>
      <c r="R3503" s="22">
        <f>IF($D3503="","",IF(COUNTIF($D$2:$D3503,$D3503)&gt;1,"Trùng",""))</f>
        <v/>
      </c>
      <c r="S3503" s="22">
        <f>IF($D3503="","",IF(AND(LEN($D3503)=10,LEFT($D3503,1)="0",ISNUMBER(--$D3503)),"Có","Không"))</f>
        <v/>
      </c>
      <c r="T3503" s="22">
        <f>IF($D3503="","",IF(AND($C3503&lt;&gt;"",$Q3503="Có",$R3503="",$S3503="Có",AND($L3503&lt;&gt;"",OR($L3503&lt;&gt;"Chưa xác định",DANH_MUC!$L$9="Có"))),"Có","Không"))</f>
        <v/>
      </c>
      <c r="U3503" s="22">
        <f>IF(OR($D3503="",$T3503="Có"),"",IF($C3503="","Thiếu họ tên; ","")&amp;IF($S3503&lt;&gt;"Có","SĐT sai định dạng; ","")&amp;IF($R3503="Trùng","Trùng SĐT; ","")&amp;IF($Q3503&lt;&gt;"Có","Thiếu đồng ý bắt buộc; ","")&amp;IF($L3503="","Thiếu/sai Mã REF; ",IF(AND($L3503="Chưa xác định",DANH_MUC!$L$9&lt;&gt;"Có"),"Nguồn chưa xác định; ","")))</f>
        <v/>
      </c>
      <c r="V3503" s="22">
        <f>IF(OR($D3503="",$R3503="Trùng"),"",IF(COUNTIF(ORDERS!$C$2:$C$4995,$D3503)&gt;0,"Có","Không"))</f>
        <v/>
      </c>
      <c r="W3503" s="22">
        <f>IF(OR($D3503="",$R3503="Trùng"),"",COUNTIFS(ORDERS!$C$2:$C$4995,$D3503,ORDERS!$L$2:$L$4995,"Đã chuyển khoản"))</f>
        <v/>
      </c>
      <c r="X3503" s="23">
        <f>IF(OR($D3503="",$R3503="Trùng"),"",SUMIFS(ORDERS!$J$2:$J$4995,ORDERS!$C$2:$C$4995,$D3503,ORDERS!$L$2:$L$4995,"Đã chuyển khoản"))</f>
        <v/>
      </c>
      <c r="Y3503" s="24" t="n"/>
    </row>
    <row r="3504" ht="14.25" customHeight="1" s="40">
      <c r="A3504" s="24" t="n"/>
      <c r="B3504" s="27" t="n"/>
      <c r="C3504" s="24" t="n"/>
      <c r="D3504" s="28" t="n"/>
      <c r="E3504" s="29" t="n"/>
      <c r="F3504" s="24" t="n"/>
      <c r="G3504" s="24" t="n"/>
      <c r="H3504" s="21">
        <f>IF(ISNUMBER($B3504),INT($B3504)-WEEKDAY($B3504,2)+1,"")</f>
        <v/>
      </c>
      <c r="I3504" s="24" t="n"/>
      <c r="J3504" s="22">
        <f t="array" ref="J3504">IF($D3504="","",IF($I3504="","(trống REF)",IFERROR(INDEX(MASTER_SOURCE!$B$2:$B$495,MATCH($I3504,MASTER_SOURCE!$A$2:$A$495,0)),"(REF không có trong MASTER_SOURCE)")))</f>
        <v/>
      </c>
      <c r="K3504" s="22">
        <f t="array" ref="K3504">IF($D3504="","",IFERROR(INDEX(MASTER_SOURCE!$C$2:$C$495,MATCH($I3504,MASTER_SOURCE!$A$2:$A$495,0)),""))</f>
        <v/>
      </c>
      <c r="L3504" s="22">
        <f t="array" ref="L3504">IF($D3504="","",IFERROR(INDEX(MASTER_SOURCE!$D$2:$D$495,MATCH($I3504,MASTER_SOURCE!$A$2:$A$495,0)),""))</f>
        <v/>
      </c>
      <c r="M3504" s="24" t="n"/>
      <c r="N3504" s="24" t="n"/>
      <c r="O3504" s="24" t="n"/>
      <c r="P3504" s="24" t="n"/>
      <c r="Q3504" s="22">
        <f>IF($D3504="","",IF(AND(OR(DANH_MUC!$L$5&lt;&gt;"Có",M3504="Có"),OR(DANH_MUC!$L$6&lt;&gt;"Có",N3504="Có"),OR(DANH_MUC!$L$7&lt;&gt;"Có",O3504="Có"),OR(DANH_MUC!$L$8&lt;&gt;"Có",P3504="Có")),"Có","Không"))</f>
        <v/>
      </c>
      <c r="R3504" s="22">
        <f>IF($D3504="","",IF(COUNTIF($D$2:$D3504,$D3504)&gt;1,"Trùng",""))</f>
        <v/>
      </c>
      <c r="S3504" s="22">
        <f>IF($D3504="","",IF(AND(LEN($D3504)=10,LEFT($D3504,1)="0",ISNUMBER(--$D3504)),"Có","Không"))</f>
        <v/>
      </c>
      <c r="T3504" s="22">
        <f>IF($D3504="","",IF(AND($C3504&lt;&gt;"",$Q3504="Có",$R3504="",$S3504="Có",AND($L3504&lt;&gt;"",OR($L3504&lt;&gt;"Chưa xác định",DANH_MUC!$L$9="Có"))),"Có","Không"))</f>
        <v/>
      </c>
      <c r="U3504" s="22">
        <f>IF(OR($D3504="",$T3504="Có"),"",IF($C3504="","Thiếu họ tên; ","")&amp;IF($S3504&lt;&gt;"Có","SĐT sai định dạng; ","")&amp;IF($R3504="Trùng","Trùng SĐT; ","")&amp;IF($Q3504&lt;&gt;"Có","Thiếu đồng ý bắt buộc; ","")&amp;IF($L3504="","Thiếu/sai Mã REF; ",IF(AND($L3504="Chưa xác định",DANH_MUC!$L$9&lt;&gt;"Có"),"Nguồn chưa xác định; ","")))</f>
        <v/>
      </c>
      <c r="V3504" s="22">
        <f>IF(OR($D3504="",$R3504="Trùng"),"",IF(COUNTIF(ORDERS!$C$2:$C$4995,$D3504)&gt;0,"Có","Không"))</f>
        <v/>
      </c>
      <c r="W3504" s="22">
        <f>IF(OR($D3504="",$R3504="Trùng"),"",COUNTIFS(ORDERS!$C$2:$C$4995,$D3504,ORDERS!$L$2:$L$4995,"Đã chuyển khoản"))</f>
        <v/>
      </c>
      <c r="X3504" s="23">
        <f>IF(OR($D3504="",$R3504="Trùng"),"",SUMIFS(ORDERS!$J$2:$J$4995,ORDERS!$C$2:$C$4995,$D3504,ORDERS!$L$2:$L$4995,"Đã chuyển khoản"))</f>
        <v/>
      </c>
      <c r="Y3504" s="24" t="n"/>
    </row>
    <row r="3505" ht="14.25" customHeight="1" s="40">
      <c r="A3505" s="24" t="n"/>
      <c r="B3505" s="27" t="n"/>
      <c r="C3505" s="24" t="n"/>
      <c r="D3505" s="28" t="n"/>
      <c r="E3505" s="29" t="n"/>
      <c r="F3505" s="24" t="n"/>
      <c r="G3505" s="24" t="n"/>
      <c r="H3505" s="21">
        <f>IF(ISNUMBER($B3505),INT($B3505)-WEEKDAY($B3505,2)+1,"")</f>
        <v/>
      </c>
      <c r="I3505" s="24" t="n"/>
      <c r="J3505" s="22">
        <f t="array" ref="J3505">IF($D3505="","",IF($I3505="","(trống REF)",IFERROR(INDEX(MASTER_SOURCE!$B$2:$B$495,MATCH($I3505,MASTER_SOURCE!$A$2:$A$495,0)),"(REF không có trong MASTER_SOURCE)")))</f>
        <v/>
      </c>
      <c r="K3505" s="22">
        <f t="array" ref="K3505">IF($D3505="","",IFERROR(INDEX(MASTER_SOURCE!$C$2:$C$495,MATCH($I3505,MASTER_SOURCE!$A$2:$A$495,0)),""))</f>
        <v/>
      </c>
      <c r="L3505" s="22">
        <f t="array" ref="L3505">IF($D3505="","",IFERROR(INDEX(MASTER_SOURCE!$D$2:$D$495,MATCH($I3505,MASTER_SOURCE!$A$2:$A$495,0)),""))</f>
        <v/>
      </c>
      <c r="M3505" s="24" t="n"/>
      <c r="N3505" s="24" t="n"/>
      <c r="O3505" s="24" t="n"/>
      <c r="P3505" s="24" t="n"/>
      <c r="Q3505" s="22">
        <f>IF($D3505="","",IF(AND(OR(DANH_MUC!$L$5&lt;&gt;"Có",M3505="Có"),OR(DANH_MUC!$L$6&lt;&gt;"Có",N3505="Có"),OR(DANH_MUC!$L$7&lt;&gt;"Có",O3505="Có"),OR(DANH_MUC!$L$8&lt;&gt;"Có",P3505="Có")),"Có","Không"))</f>
        <v/>
      </c>
      <c r="R3505" s="22">
        <f>IF($D3505="","",IF(COUNTIF($D$2:$D3505,$D3505)&gt;1,"Trùng",""))</f>
        <v/>
      </c>
      <c r="S3505" s="22">
        <f>IF($D3505="","",IF(AND(LEN($D3505)=10,LEFT($D3505,1)="0",ISNUMBER(--$D3505)),"Có","Không"))</f>
        <v/>
      </c>
      <c r="T3505" s="22">
        <f>IF($D3505="","",IF(AND($C3505&lt;&gt;"",$Q3505="Có",$R3505="",$S3505="Có",AND($L3505&lt;&gt;"",OR($L3505&lt;&gt;"Chưa xác định",DANH_MUC!$L$9="Có"))),"Có","Không"))</f>
        <v/>
      </c>
      <c r="U3505" s="22">
        <f>IF(OR($D3505="",$T3505="Có"),"",IF($C3505="","Thiếu họ tên; ","")&amp;IF($S3505&lt;&gt;"Có","SĐT sai định dạng; ","")&amp;IF($R3505="Trùng","Trùng SĐT; ","")&amp;IF($Q3505&lt;&gt;"Có","Thiếu đồng ý bắt buộc; ","")&amp;IF($L3505="","Thiếu/sai Mã REF; ",IF(AND($L3505="Chưa xác định",DANH_MUC!$L$9&lt;&gt;"Có"),"Nguồn chưa xác định; ","")))</f>
        <v/>
      </c>
      <c r="V3505" s="22">
        <f>IF(OR($D3505="",$R3505="Trùng"),"",IF(COUNTIF(ORDERS!$C$2:$C$4995,$D3505)&gt;0,"Có","Không"))</f>
        <v/>
      </c>
      <c r="W3505" s="22">
        <f>IF(OR($D3505="",$R3505="Trùng"),"",COUNTIFS(ORDERS!$C$2:$C$4995,$D3505,ORDERS!$L$2:$L$4995,"Đã chuyển khoản"))</f>
        <v/>
      </c>
      <c r="X3505" s="23">
        <f>IF(OR($D3505="",$R3505="Trùng"),"",SUMIFS(ORDERS!$J$2:$J$4995,ORDERS!$C$2:$C$4995,$D3505,ORDERS!$L$2:$L$4995,"Đã chuyển khoản"))</f>
        <v/>
      </c>
      <c r="Y3505" s="24" t="n"/>
    </row>
    <row r="3506" ht="14.25" customHeight="1" s="40">
      <c r="A3506" s="24" t="n"/>
      <c r="B3506" s="27" t="n"/>
      <c r="C3506" s="24" t="n"/>
      <c r="D3506" s="28" t="n"/>
      <c r="E3506" s="29" t="n"/>
      <c r="F3506" s="24" t="n"/>
      <c r="G3506" s="24" t="n"/>
      <c r="H3506" s="21">
        <f>IF(ISNUMBER($B3506),INT($B3506)-WEEKDAY($B3506,2)+1,"")</f>
        <v/>
      </c>
      <c r="I3506" s="24" t="n"/>
      <c r="J3506" s="22">
        <f t="array" ref="J3506">IF($D3506="","",IF($I3506="","(trống REF)",IFERROR(INDEX(MASTER_SOURCE!$B$2:$B$495,MATCH($I3506,MASTER_SOURCE!$A$2:$A$495,0)),"(REF không có trong MASTER_SOURCE)")))</f>
        <v/>
      </c>
      <c r="K3506" s="22">
        <f t="array" ref="K3506">IF($D3506="","",IFERROR(INDEX(MASTER_SOURCE!$C$2:$C$495,MATCH($I3506,MASTER_SOURCE!$A$2:$A$495,0)),""))</f>
        <v/>
      </c>
      <c r="L3506" s="22">
        <f t="array" ref="L3506">IF($D3506="","",IFERROR(INDEX(MASTER_SOURCE!$D$2:$D$495,MATCH($I3506,MASTER_SOURCE!$A$2:$A$495,0)),""))</f>
        <v/>
      </c>
      <c r="M3506" s="24" t="n"/>
      <c r="N3506" s="24" t="n"/>
      <c r="O3506" s="24" t="n"/>
      <c r="P3506" s="24" t="n"/>
      <c r="Q3506" s="22">
        <f>IF($D3506="","",IF(AND(OR(DANH_MUC!$L$5&lt;&gt;"Có",M3506="Có"),OR(DANH_MUC!$L$6&lt;&gt;"Có",N3506="Có"),OR(DANH_MUC!$L$7&lt;&gt;"Có",O3506="Có"),OR(DANH_MUC!$L$8&lt;&gt;"Có",P3506="Có")),"Có","Không"))</f>
        <v/>
      </c>
      <c r="R3506" s="22">
        <f>IF($D3506="","",IF(COUNTIF($D$2:$D3506,$D3506)&gt;1,"Trùng",""))</f>
        <v/>
      </c>
      <c r="S3506" s="22">
        <f>IF($D3506="","",IF(AND(LEN($D3506)=10,LEFT($D3506,1)="0",ISNUMBER(--$D3506)),"Có","Không"))</f>
        <v/>
      </c>
      <c r="T3506" s="22">
        <f>IF($D3506="","",IF(AND($C3506&lt;&gt;"",$Q3506="Có",$R3506="",$S3506="Có",AND($L3506&lt;&gt;"",OR($L3506&lt;&gt;"Chưa xác định",DANH_MUC!$L$9="Có"))),"Có","Không"))</f>
        <v/>
      </c>
      <c r="U3506" s="22">
        <f>IF(OR($D3506="",$T3506="Có"),"",IF($C3506="","Thiếu họ tên; ","")&amp;IF($S3506&lt;&gt;"Có","SĐT sai định dạng; ","")&amp;IF($R3506="Trùng","Trùng SĐT; ","")&amp;IF($Q3506&lt;&gt;"Có","Thiếu đồng ý bắt buộc; ","")&amp;IF($L3506="","Thiếu/sai Mã REF; ",IF(AND($L3506="Chưa xác định",DANH_MUC!$L$9&lt;&gt;"Có"),"Nguồn chưa xác định; ","")))</f>
        <v/>
      </c>
      <c r="V3506" s="22">
        <f>IF(OR($D3506="",$R3506="Trùng"),"",IF(COUNTIF(ORDERS!$C$2:$C$4995,$D3506)&gt;0,"Có","Không"))</f>
        <v/>
      </c>
      <c r="W3506" s="22">
        <f>IF(OR($D3506="",$R3506="Trùng"),"",COUNTIFS(ORDERS!$C$2:$C$4995,$D3506,ORDERS!$L$2:$L$4995,"Đã chuyển khoản"))</f>
        <v/>
      </c>
      <c r="X3506" s="23">
        <f>IF(OR($D3506="",$R3506="Trùng"),"",SUMIFS(ORDERS!$J$2:$J$4995,ORDERS!$C$2:$C$4995,$D3506,ORDERS!$L$2:$L$4995,"Đã chuyển khoản"))</f>
        <v/>
      </c>
      <c r="Y3506" s="24" t="n"/>
    </row>
    <row r="3507" ht="14.25" customHeight="1" s="40">
      <c r="A3507" s="24" t="n"/>
      <c r="B3507" s="27" t="n"/>
      <c r="C3507" s="24" t="n"/>
      <c r="D3507" s="28" t="n"/>
      <c r="E3507" s="29" t="n"/>
      <c r="F3507" s="24" t="n"/>
      <c r="G3507" s="24" t="n"/>
      <c r="H3507" s="21">
        <f>IF(ISNUMBER($B3507),INT($B3507)-WEEKDAY($B3507,2)+1,"")</f>
        <v/>
      </c>
      <c r="I3507" s="24" t="n"/>
      <c r="J3507" s="22">
        <f t="array" ref="J3507">IF($D3507="","",IF($I3507="","(trống REF)",IFERROR(INDEX(MASTER_SOURCE!$B$2:$B$495,MATCH($I3507,MASTER_SOURCE!$A$2:$A$495,0)),"(REF không có trong MASTER_SOURCE)")))</f>
        <v/>
      </c>
      <c r="K3507" s="22">
        <f t="array" ref="K3507">IF($D3507="","",IFERROR(INDEX(MASTER_SOURCE!$C$2:$C$495,MATCH($I3507,MASTER_SOURCE!$A$2:$A$495,0)),""))</f>
        <v/>
      </c>
      <c r="L3507" s="22">
        <f t="array" ref="L3507">IF($D3507="","",IFERROR(INDEX(MASTER_SOURCE!$D$2:$D$495,MATCH($I3507,MASTER_SOURCE!$A$2:$A$495,0)),""))</f>
        <v/>
      </c>
      <c r="M3507" s="24" t="n"/>
      <c r="N3507" s="24" t="n"/>
      <c r="O3507" s="24" t="n"/>
      <c r="P3507" s="24" t="n"/>
      <c r="Q3507" s="22">
        <f>IF($D3507="","",IF(AND(OR(DANH_MUC!$L$5&lt;&gt;"Có",M3507="Có"),OR(DANH_MUC!$L$6&lt;&gt;"Có",N3507="Có"),OR(DANH_MUC!$L$7&lt;&gt;"Có",O3507="Có"),OR(DANH_MUC!$L$8&lt;&gt;"Có",P3507="Có")),"Có","Không"))</f>
        <v/>
      </c>
      <c r="R3507" s="22">
        <f>IF($D3507="","",IF(COUNTIF($D$2:$D3507,$D3507)&gt;1,"Trùng",""))</f>
        <v/>
      </c>
      <c r="S3507" s="22">
        <f>IF($D3507="","",IF(AND(LEN($D3507)=10,LEFT($D3507,1)="0",ISNUMBER(--$D3507)),"Có","Không"))</f>
        <v/>
      </c>
      <c r="T3507" s="22">
        <f>IF($D3507="","",IF(AND($C3507&lt;&gt;"",$Q3507="Có",$R3507="",$S3507="Có",AND($L3507&lt;&gt;"",OR($L3507&lt;&gt;"Chưa xác định",DANH_MUC!$L$9="Có"))),"Có","Không"))</f>
        <v/>
      </c>
      <c r="U3507" s="22">
        <f>IF(OR($D3507="",$T3507="Có"),"",IF($C3507="","Thiếu họ tên; ","")&amp;IF($S3507&lt;&gt;"Có","SĐT sai định dạng; ","")&amp;IF($R3507="Trùng","Trùng SĐT; ","")&amp;IF($Q3507&lt;&gt;"Có","Thiếu đồng ý bắt buộc; ","")&amp;IF($L3507="","Thiếu/sai Mã REF; ",IF(AND($L3507="Chưa xác định",DANH_MUC!$L$9&lt;&gt;"Có"),"Nguồn chưa xác định; ","")))</f>
        <v/>
      </c>
      <c r="V3507" s="22">
        <f>IF(OR($D3507="",$R3507="Trùng"),"",IF(COUNTIF(ORDERS!$C$2:$C$4995,$D3507)&gt;0,"Có","Không"))</f>
        <v/>
      </c>
      <c r="W3507" s="22">
        <f>IF(OR($D3507="",$R3507="Trùng"),"",COUNTIFS(ORDERS!$C$2:$C$4995,$D3507,ORDERS!$L$2:$L$4995,"Đã chuyển khoản"))</f>
        <v/>
      </c>
      <c r="X3507" s="23">
        <f>IF(OR($D3507="",$R3507="Trùng"),"",SUMIFS(ORDERS!$J$2:$J$4995,ORDERS!$C$2:$C$4995,$D3507,ORDERS!$L$2:$L$4995,"Đã chuyển khoản"))</f>
        <v/>
      </c>
      <c r="Y3507" s="24" t="n"/>
    </row>
    <row r="3508" ht="14.25" customHeight="1" s="40">
      <c r="A3508" s="24" t="n"/>
      <c r="B3508" s="27" t="n"/>
      <c r="C3508" s="24" t="n"/>
      <c r="D3508" s="28" t="n"/>
      <c r="E3508" s="29" t="n"/>
      <c r="F3508" s="24" t="n"/>
      <c r="G3508" s="24" t="n"/>
      <c r="H3508" s="21">
        <f>IF(ISNUMBER($B3508),INT($B3508)-WEEKDAY($B3508,2)+1,"")</f>
        <v/>
      </c>
      <c r="I3508" s="24" t="n"/>
      <c r="J3508" s="22">
        <f t="array" ref="J3508">IF($D3508="","",IF($I3508="","(trống REF)",IFERROR(INDEX(MASTER_SOURCE!$B$2:$B$495,MATCH($I3508,MASTER_SOURCE!$A$2:$A$495,0)),"(REF không có trong MASTER_SOURCE)")))</f>
        <v/>
      </c>
      <c r="K3508" s="22">
        <f t="array" ref="K3508">IF($D3508="","",IFERROR(INDEX(MASTER_SOURCE!$C$2:$C$495,MATCH($I3508,MASTER_SOURCE!$A$2:$A$495,0)),""))</f>
        <v/>
      </c>
      <c r="L3508" s="22">
        <f t="array" ref="L3508">IF($D3508="","",IFERROR(INDEX(MASTER_SOURCE!$D$2:$D$495,MATCH($I3508,MASTER_SOURCE!$A$2:$A$495,0)),""))</f>
        <v/>
      </c>
      <c r="M3508" s="24" t="n"/>
      <c r="N3508" s="24" t="n"/>
      <c r="O3508" s="24" t="n"/>
      <c r="P3508" s="24" t="n"/>
      <c r="Q3508" s="22">
        <f>IF($D3508="","",IF(AND(OR(DANH_MUC!$L$5&lt;&gt;"Có",M3508="Có"),OR(DANH_MUC!$L$6&lt;&gt;"Có",N3508="Có"),OR(DANH_MUC!$L$7&lt;&gt;"Có",O3508="Có"),OR(DANH_MUC!$L$8&lt;&gt;"Có",P3508="Có")),"Có","Không"))</f>
        <v/>
      </c>
      <c r="R3508" s="22">
        <f>IF($D3508="","",IF(COUNTIF($D$2:$D3508,$D3508)&gt;1,"Trùng",""))</f>
        <v/>
      </c>
      <c r="S3508" s="22">
        <f>IF($D3508="","",IF(AND(LEN($D3508)=10,LEFT($D3508,1)="0",ISNUMBER(--$D3508)),"Có","Không"))</f>
        <v/>
      </c>
      <c r="T3508" s="22">
        <f>IF($D3508="","",IF(AND($C3508&lt;&gt;"",$Q3508="Có",$R3508="",$S3508="Có",AND($L3508&lt;&gt;"",OR($L3508&lt;&gt;"Chưa xác định",DANH_MUC!$L$9="Có"))),"Có","Không"))</f>
        <v/>
      </c>
      <c r="U3508" s="22">
        <f>IF(OR($D3508="",$T3508="Có"),"",IF($C3508="","Thiếu họ tên; ","")&amp;IF($S3508&lt;&gt;"Có","SĐT sai định dạng; ","")&amp;IF($R3508="Trùng","Trùng SĐT; ","")&amp;IF($Q3508&lt;&gt;"Có","Thiếu đồng ý bắt buộc; ","")&amp;IF($L3508="","Thiếu/sai Mã REF; ",IF(AND($L3508="Chưa xác định",DANH_MUC!$L$9&lt;&gt;"Có"),"Nguồn chưa xác định; ","")))</f>
        <v/>
      </c>
      <c r="V3508" s="22">
        <f>IF(OR($D3508="",$R3508="Trùng"),"",IF(COUNTIF(ORDERS!$C$2:$C$4995,$D3508)&gt;0,"Có","Không"))</f>
        <v/>
      </c>
      <c r="W3508" s="22">
        <f>IF(OR($D3508="",$R3508="Trùng"),"",COUNTIFS(ORDERS!$C$2:$C$4995,$D3508,ORDERS!$L$2:$L$4995,"Đã chuyển khoản"))</f>
        <v/>
      </c>
      <c r="X3508" s="23">
        <f>IF(OR($D3508="",$R3508="Trùng"),"",SUMIFS(ORDERS!$J$2:$J$4995,ORDERS!$C$2:$C$4995,$D3508,ORDERS!$L$2:$L$4995,"Đã chuyển khoản"))</f>
        <v/>
      </c>
      <c r="Y3508" s="24" t="n"/>
    </row>
    <row r="3509" ht="14.25" customHeight="1" s="40">
      <c r="A3509" s="24" t="n"/>
      <c r="B3509" s="27" t="n"/>
      <c r="C3509" s="24" t="n"/>
      <c r="D3509" s="28" t="n"/>
      <c r="E3509" s="29" t="n"/>
      <c r="F3509" s="24" t="n"/>
      <c r="G3509" s="24" t="n"/>
      <c r="H3509" s="21">
        <f>IF(ISNUMBER($B3509),INT($B3509)-WEEKDAY($B3509,2)+1,"")</f>
        <v/>
      </c>
      <c r="I3509" s="24" t="n"/>
      <c r="J3509" s="22">
        <f t="array" ref="J3509">IF($D3509="","",IF($I3509="","(trống REF)",IFERROR(INDEX(MASTER_SOURCE!$B$2:$B$495,MATCH($I3509,MASTER_SOURCE!$A$2:$A$495,0)),"(REF không có trong MASTER_SOURCE)")))</f>
        <v/>
      </c>
      <c r="K3509" s="22">
        <f t="array" ref="K3509">IF($D3509="","",IFERROR(INDEX(MASTER_SOURCE!$C$2:$C$495,MATCH($I3509,MASTER_SOURCE!$A$2:$A$495,0)),""))</f>
        <v/>
      </c>
      <c r="L3509" s="22">
        <f t="array" ref="L3509">IF($D3509="","",IFERROR(INDEX(MASTER_SOURCE!$D$2:$D$495,MATCH($I3509,MASTER_SOURCE!$A$2:$A$495,0)),""))</f>
        <v/>
      </c>
      <c r="M3509" s="24" t="n"/>
      <c r="N3509" s="24" t="n"/>
      <c r="O3509" s="24" t="n"/>
      <c r="P3509" s="24" t="n"/>
      <c r="Q3509" s="22">
        <f>IF($D3509="","",IF(AND(OR(DANH_MUC!$L$5&lt;&gt;"Có",M3509="Có"),OR(DANH_MUC!$L$6&lt;&gt;"Có",N3509="Có"),OR(DANH_MUC!$L$7&lt;&gt;"Có",O3509="Có"),OR(DANH_MUC!$L$8&lt;&gt;"Có",P3509="Có")),"Có","Không"))</f>
        <v/>
      </c>
      <c r="R3509" s="22">
        <f>IF($D3509="","",IF(COUNTIF($D$2:$D3509,$D3509)&gt;1,"Trùng",""))</f>
        <v/>
      </c>
      <c r="S3509" s="22">
        <f>IF($D3509="","",IF(AND(LEN($D3509)=10,LEFT($D3509,1)="0",ISNUMBER(--$D3509)),"Có","Không"))</f>
        <v/>
      </c>
      <c r="T3509" s="22">
        <f>IF($D3509="","",IF(AND($C3509&lt;&gt;"",$Q3509="Có",$R3509="",$S3509="Có",AND($L3509&lt;&gt;"",OR($L3509&lt;&gt;"Chưa xác định",DANH_MUC!$L$9="Có"))),"Có","Không"))</f>
        <v/>
      </c>
      <c r="U3509" s="22">
        <f>IF(OR($D3509="",$T3509="Có"),"",IF($C3509="","Thiếu họ tên; ","")&amp;IF($S3509&lt;&gt;"Có","SĐT sai định dạng; ","")&amp;IF($R3509="Trùng","Trùng SĐT; ","")&amp;IF($Q3509&lt;&gt;"Có","Thiếu đồng ý bắt buộc; ","")&amp;IF($L3509="","Thiếu/sai Mã REF; ",IF(AND($L3509="Chưa xác định",DANH_MUC!$L$9&lt;&gt;"Có"),"Nguồn chưa xác định; ","")))</f>
        <v/>
      </c>
      <c r="V3509" s="22">
        <f>IF(OR($D3509="",$R3509="Trùng"),"",IF(COUNTIF(ORDERS!$C$2:$C$4995,$D3509)&gt;0,"Có","Không"))</f>
        <v/>
      </c>
      <c r="W3509" s="22">
        <f>IF(OR($D3509="",$R3509="Trùng"),"",COUNTIFS(ORDERS!$C$2:$C$4995,$D3509,ORDERS!$L$2:$L$4995,"Đã chuyển khoản"))</f>
        <v/>
      </c>
      <c r="X3509" s="23">
        <f>IF(OR($D3509="",$R3509="Trùng"),"",SUMIFS(ORDERS!$J$2:$J$4995,ORDERS!$C$2:$C$4995,$D3509,ORDERS!$L$2:$L$4995,"Đã chuyển khoản"))</f>
        <v/>
      </c>
      <c r="Y3509" s="24" t="n"/>
    </row>
    <row r="3510" ht="14.25" customHeight="1" s="40">
      <c r="A3510" s="24" t="n"/>
      <c r="B3510" s="27" t="n"/>
      <c r="C3510" s="24" t="n"/>
      <c r="D3510" s="28" t="n"/>
      <c r="E3510" s="29" t="n"/>
      <c r="F3510" s="24" t="n"/>
      <c r="G3510" s="24" t="n"/>
      <c r="H3510" s="21">
        <f>IF(ISNUMBER($B3510),INT($B3510)-WEEKDAY($B3510,2)+1,"")</f>
        <v/>
      </c>
      <c r="I3510" s="24" t="n"/>
      <c r="J3510" s="22">
        <f t="array" ref="J3510">IF($D3510="","",IF($I3510="","(trống REF)",IFERROR(INDEX(MASTER_SOURCE!$B$2:$B$495,MATCH($I3510,MASTER_SOURCE!$A$2:$A$495,0)),"(REF không có trong MASTER_SOURCE)")))</f>
        <v/>
      </c>
      <c r="K3510" s="22">
        <f t="array" ref="K3510">IF($D3510="","",IFERROR(INDEX(MASTER_SOURCE!$C$2:$C$495,MATCH($I3510,MASTER_SOURCE!$A$2:$A$495,0)),""))</f>
        <v/>
      </c>
      <c r="L3510" s="22">
        <f t="array" ref="L3510">IF($D3510="","",IFERROR(INDEX(MASTER_SOURCE!$D$2:$D$495,MATCH($I3510,MASTER_SOURCE!$A$2:$A$495,0)),""))</f>
        <v/>
      </c>
      <c r="M3510" s="24" t="n"/>
      <c r="N3510" s="24" t="n"/>
      <c r="O3510" s="24" t="n"/>
      <c r="P3510" s="24" t="n"/>
      <c r="Q3510" s="22">
        <f>IF($D3510="","",IF(AND(OR(DANH_MUC!$L$5&lt;&gt;"Có",M3510="Có"),OR(DANH_MUC!$L$6&lt;&gt;"Có",N3510="Có"),OR(DANH_MUC!$L$7&lt;&gt;"Có",O3510="Có"),OR(DANH_MUC!$L$8&lt;&gt;"Có",P3510="Có")),"Có","Không"))</f>
        <v/>
      </c>
      <c r="R3510" s="22">
        <f>IF($D3510="","",IF(COUNTIF($D$2:$D3510,$D3510)&gt;1,"Trùng",""))</f>
        <v/>
      </c>
      <c r="S3510" s="22">
        <f>IF($D3510="","",IF(AND(LEN($D3510)=10,LEFT($D3510,1)="0",ISNUMBER(--$D3510)),"Có","Không"))</f>
        <v/>
      </c>
      <c r="T3510" s="22">
        <f>IF($D3510="","",IF(AND($C3510&lt;&gt;"",$Q3510="Có",$R3510="",$S3510="Có",AND($L3510&lt;&gt;"",OR($L3510&lt;&gt;"Chưa xác định",DANH_MUC!$L$9="Có"))),"Có","Không"))</f>
        <v/>
      </c>
      <c r="U3510" s="22">
        <f>IF(OR($D3510="",$T3510="Có"),"",IF($C3510="","Thiếu họ tên; ","")&amp;IF($S3510&lt;&gt;"Có","SĐT sai định dạng; ","")&amp;IF($R3510="Trùng","Trùng SĐT; ","")&amp;IF($Q3510&lt;&gt;"Có","Thiếu đồng ý bắt buộc; ","")&amp;IF($L3510="","Thiếu/sai Mã REF; ",IF(AND($L3510="Chưa xác định",DANH_MUC!$L$9&lt;&gt;"Có"),"Nguồn chưa xác định; ","")))</f>
        <v/>
      </c>
      <c r="V3510" s="22">
        <f>IF(OR($D3510="",$R3510="Trùng"),"",IF(COUNTIF(ORDERS!$C$2:$C$4995,$D3510)&gt;0,"Có","Không"))</f>
        <v/>
      </c>
      <c r="W3510" s="22">
        <f>IF(OR($D3510="",$R3510="Trùng"),"",COUNTIFS(ORDERS!$C$2:$C$4995,$D3510,ORDERS!$L$2:$L$4995,"Đã chuyển khoản"))</f>
        <v/>
      </c>
      <c r="X3510" s="23">
        <f>IF(OR($D3510="",$R3510="Trùng"),"",SUMIFS(ORDERS!$J$2:$J$4995,ORDERS!$C$2:$C$4995,$D3510,ORDERS!$L$2:$L$4995,"Đã chuyển khoản"))</f>
        <v/>
      </c>
      <c r="Y3510" s="24" t="n"/>
    </row>
    <row r="3511" ht="14.25" customHeight="1" s="40">
      <c r="A3511" s="24" t="n"/>
      <c r="B3511" s="27" t="n"/>
      <c r="C3511" s="24" t="n"/>
      <c r="D3511" s="28" t="n"/>
      <c r="E3511" s="29" t="n"/>
      <c r="F3511" s="24" t="n"/>
      <c r="G3511" s="24" t="n"/>
      <c r="H3511" s="21">
        <f>IF(ISNUMBER($B3511),INT($B3511)-WEEKDAY($B3511,2)+1,"")</f>
        <v/>
      </c>
      <c r="I3511" s="24" t="n"/>
      <c r="J3511" s="22">
        <f t="array" ref="J3511">IF($D3511="","",IF($I3511="","(trống REF)",IFERROR(INDEX(MASTER_SOURCE!$B$2:$B$495,MATCH($I3511,MASTER_SOURCE!$A$2:$A$495,0)),"(REF không có trong MASTER_SOURCE)")))</f>
        <v/>
      </c>
      <c r="K3511" s="22">
        <f t="array" ref="K3511">IF($D3511="","",IFERROR(INDEX(MASTER_SOURCE!$C$2:$C$495,MATCH($I3511,MASTER_SOURCE!$A$2:$A$495,0)),""))</f>
        <v/>
      </c>
      <c r="L3511" s="22">
        <f t="array" ref="L3511">IF($D3511="","",IFERROR(INDEX(MASTER_SOURCE!$D$2:$D$495,MATCH($I3511,MASTER_SOURCE!$A$2:$A$495,0)),""))</f>
        <v/>
      </c>
      <c r="M3511" s="24" t="n"/>
      <c r="N3511" s="24" t="n"/>
      <c r="O3511" s="24" t="n"/>
      <c r="P3511" s="24" t="n"/>
      <c r="Q3511" s="22">
        <f>IF($D3511="","",IF(AND(OR(DANH_MUC!$L$5&lt;&gt;"Có",M3511="Có"),OR(DANH_MUC!$L$6&lt;&gt;"Có",N3511="Có"),OR(DANH_MUC!$L$7&lt;&gt;"Có",O3511="Có"),OR(DANH_MUC!$L$8&lt;&gt;"Có",P3511="Có")),"Có","Không"))</f>
        <v/>
      </c>
      <c r="R3511" s="22">
        <f>IF($D3511="","",IF(COUNTIF($D$2:$D3511,$D3511)&gt;1,"Trùng",""))</f>
        <v/>
      </c>
      <c r="S3511" s="22">
        <f>IF($D3511="","",IF(AND(LEN($D3511)=10,LEFT($D3511,1)="0",ISNUMBER(--$D3511)),"Có","Không"))</f>
        <v/>
      </c>
      <c r="T3511" s="22">
        <f>IF($D3511="","",IF(AND($C3511&lt;&gt;"",$Q3511="Có",$R3511="",$S3511="Có",AND($L3511&lt;&gt;"",OR($L3511&lt;&gt;"Chưa xác định",DANH_MUC!$L$9="Có"))),"Có","Không"))</f>
        <v/>
      </c>
      <c r="U3511" s="22">
        <f>IF(OR($D3511="",$T3511="Có"),"",IF($C3511="","Thiếu họ tên; ","")&amp;IF($S3511&lt;&gt;"Có","SĐT sai định dạng; ","")&amp;IF($R3511="Trùng","Trùng SĐT; ","")&amp;IF($Q3511&lt;&gt;"Có","Thiếu đồng ý bắt buộc; ","")&amp;IF($L3511="","Thiếu/sai Mã REF; ",IF(AND($L3511="Chưa xác định",DANH_MUC!$L$9&lt;&gt;"Có"),"Nguồn chưa xác định; ","")))</f>
        <v/>
      </c>
      <c r="V3511" s="22">
        <f>IF(OR($D3511="",$R3511="Trùng"),"",IF(COUNTIF(ORDERS!$C$2:$C$4995,$D3511)&gt;0,"Có","Không"))</f>
        <v/>
      </c>
      <c r="W3511" s="22">
        <f>IF(OR($D3511="",$R3511="Trùng"),"",COUNTIFS(ORDERS!$C$2:$C$4995,$D3511,ORDERS!$L$2:$L$4995,"Đã chuyển khoản"))</f>
        <v/>
      </c>
      <c r="X3511" s="23">
        <f>IF(OR($D3511="",$R3511="Trùng"),"",SUMIFS(ORDERS!$J$2:$J$4995,ORDERS!$C$2:$C$4995,$D3511,ORDERS!$L$2:$L$4995,"Đã chuyển khoản"))</f>
        <v/>
      </c>
      <c r="Y3511" s="24" t="n"/>
    </row>
    <row r="3512" ht="14.25" customHeight="1" s="40">
      <c r="A3512" s="24" t="n"/>
      <c r="B3512" s="27" t="n"/>
      <c r="C3512" s="24" t="n"/>
      <c r="D3512" s="28" t="n"/>
      <c r="E3512" s="29" t="n"/>
      <c r="F3512" s="24" t="n"/>
      <c r="G3512" s="24" t="n"/>
      <c r="H3512" s="21">
        <f>IF(ISNUMBER($B3512),INT($B3512)-WEEKDAY($B3512,2)+1,"")</f>
        <v/>
      </c>
      <c r="I3512" s="24" t="n"/>
      <c r="J3512" s="22">
        <f t="array" ref="J3512">IF($D3512="","",IF($I3512="","(trống REF)",IFERROR(INDEX(MASTER_SOURCE!$B$2:$B$495,MATCH($I3512,MASTER_SOURCE!$A$2:$A$495,0)),"(REF không có trong MASTER_SOURCE)")))</f>
        <v/>
      </c>
      <c r="K3512" s="22">
        <f t="array" ref="K3512">IF($D3512="","",IFERROR(INDEX(MASTER_SOURCE!$C$2:$C$495,MATCH($I3512,MASTER_SOURCE!$A$2:$A$495,0)),""))</f>
        <v/>
      </c>
      <c r="L3512" s="22">
        <f t="array" ref="L3512">IF($D3512="","",IFERROR(INDEX(MASTER_SOURCE!$D$2:$D$495,MATCH($I3512,MASTER_SOURCE!$A$2:$A$495,0)),""))</f>
        <v/>
      </c>
      <c r="M3512" s="24" t="n"/>
      <c r="N3512" s="24" t="n"/>
      <c r="O3512" s="24" t="n"/>
      <c r="P3512" s="24" t="n"/>
      <c r="Q3512" s="22">
        <f>IF($D3512="","",IF(AND(OR(DANH_MUC!$L$5&lt;&gt;"Có",M3512="Có"),OR(DANH_MUC!$L$6&lt;&gt;"Có",N3512="Có"),OR(DANH_MUC!$L$7&lt;&gt;"Có",O3512="Có"),OR(DANH_MUC!$L$8&lt;&gt;"Có",P3512="Có")),"Có","Không"))</f>
        <v/>
      </c>
      <c r="R3512" s="22">
        <f>IF($D3512="","",IF(COUNTIF($D$2:$D3512,$D3512)&gt;1,"Trùng",""))</f>
        <v/>
      </c>
      <c r="S3512" s="22">
        <f>IF($D3512="","",IF(AND(LEN($D3512)=10,LEFT($D3512,1)="0",ISNUMBER(--$D3512)),"Có","Không"))</f>
        <v/>
      </c>
      <c r="T3512" s="22">
        <f>IF($D3512="","",IF(AND($C3512&lt;&gt;"",$Q3512="Có",$R3512="",$S3512="Có",AND($L3512&lt;&gt;"",OR($L3512&lt;&gt;"Chưa xác định",DANH_MUC!$L$9="Có"))),"Có","Không"))</f>
        <v/>
      </c>
      <c r="U3512" s="22">
        <f>IF(OR($D3512="",$T3512="Có"),"",IF($C3512="","Thiếu họ tên; ","")&amp;IF($S3512&lt;&gt;"Có","SĐT sai định dạng; ","")&amp;IF($R3512="Trùng","Trùng SĐT; ","")&amp;IF($Q3512&lt;&gt;"Có","Thiếu đồng ý bắt buộc; ","")&amp;IF($L3512="","Thiếu/sai Mã REF; ",IF(AND($L3512="Chưa xác định",DANH_MUC!$L$9&lt;&gt;"Có"),"Nguồn chưa xác định; ","")))</f>
        <v/>
      </c>
      <c r="V3512" s="22">
        <f>IF(OR($D3512="",$R3512="Trùng"),"",IF(COUNTIF(ORDERS!$C$2:$C$4995,$D3512)&gt;0,"Có","Không"))</f>
        <v/>
      </c>
      <c r="W3512" s="22">
        <f>IF(OR($D3512="",$R3512="Trùng"),"",COUNTIFS(ORDERS!$C$2:$C$4995,$D3512,ORDERS!$L$2:$L$4995,"Đã chuyển khoản"))</f>
        <v/>
      </c>
      <c r="X3512" s="23">
        <f>IF(OR($D3512="",$R3512="Trùng"),"",SUMIFS(ORDERS!$J$2:$J$4995,ORDERS!$C$2:$C$4995,$D3512,ORDERS!$L$2:$L$4995,"Đã chuyển khoản"))</f>
        <v/>
      </c>
      <c r="Y3512" s="24" t="n"/>
    </row>
    <row r="3513" ht="14.25" customHeight="1" s="40">
      <c r="A3513" s="24" t="n"/>
      <c r="B3513" s="27" t="n"/>
      <c r="C3513" s="24" t="n"/>
      <c r="D3513" s="28" t="n"/>
      <c r="E3513" s="29" t="n"/>
      <c r="F3513" s="24" t="n"/>
      <c r="G3513" s="24" t="n"/>
      <c r="H3513" s="21">
        <f>IF(ISNUMBER($B3513),INT($B3513)-WEEKDAY($B3513,2)+1,"")</f>
        <v/>
      </c>
      <c r="I3513" s="24" t="n"/>
      <c r="J3513" s="22">
        <f t="array" ref="J3513">IF($D3513="","",IF($I3513="","(trống REF)",IFERROR(INDEX(MASTER_SOURCE!$B$2:$B$495,MATCH($I3513,MASTER_SOURCE!$A$2:$A$495,0)),"(REF không có trong MASTER_SOURCE)")))</f>
        <v/>
      </c>
      <c r="K3513" s="22">
        <f t="array" ref="K3513">IF($D3513="","",IFERROR(INDEX(MASTER_SOURCE!$C$2:$C$495,MATCH($I3513,MASTER_SOURCE!$A$2:$A$495,0)),""))</f>
        <v/>
      </c>
      <c r="L3513" s="22">
        <f t="array" ref="L3513">IF($D3513="","",IFERROR(INDEX(MASTER_SOURCE!$D$2:$D$495,MATCH($I3513,MASTER_SOURCE!$A$2:$A$495,0)),""))</f>
        <v/>
      </c>
      <c r="M3513" s="24" t="n"/>
      <c r="N3513" s="24" t="n"/>
      <c r="O3513" s="24" t="n"/>
      <c r="P3513" s="24" t="n"/>
      <c r="Q3513" s="22">
        <f>IF($D3513="","",IF(AND(OR(DANH_MUC!$L$5&lt;&gt;"Có",M3513="Có"),OR(DANH_MUC!$L$6&lt;&gt;"Có",N3513="Có"),OR(DANH_MUC!$L$7&lt;&gt;"Có",O3513="Có"),OR(DANH_MUC!$L$8&lt;&gt;"Có",P3513="Có")),"Có","Không"))</f>
        <v/>
      </c>
      <c r="R3513" s="22">
        <f>IF($D3513="","",IF(COUNTIF($D$2:$D3513,$D3513)&gt;1,"Trùng",""))</f>
        <v/>
      </c>
      <c r="S3513" s="22">
        <f>IF($D3513="","",IF(AND(LEN($D3513)=10,LEFT($D3513,1)="0",ISNUMBER(--$D3513)),"Có","Không"))</f>
        <v/>
      </c>
      <c r="T3513" s="22">
        <f>IF($D3513="","",IF(AND($C3513&lt;&gt;"",$Q3513="Có",$R3513="",$S3513="Có",AND($L3513&lt;&gt;"",OR($L3513&lt;&gt;"Chưa xác định",DANH_MUC!$L$9="Có"))),"Có","Không"))</f>
        <v/>
      </c>
      <c r="U3513" s="22">
        <f>IF(OR($D3513="",$T3513="Có"),"",IF($C3513="","Thiếu họ tên; ","")&amp;IF($S3513&lt;&gt;"Có","SĐT sai định dạng; ","")&amp;IF($R3513="Trùng","Trùng SĐT; ","")&amp;IF($Q3513&lt;&gt;"Có","Thiếu đồng ý bắt buộc; ","")&amp;IF($L3513="","Thiếu/sai Mã REF; ",IF(AND($L3513="Chưa xác định",DANH_MUC!$L$9&lt;&gt;"Có"),"Nguồn chưa xác định; ","")))</f>
        <v/>
      </c>
      <c r="V3513" s="22">
        <f>IF(OR($D3513="",$R3513="Trùng"),"",IF(COUNTIF(ORDERS!$C$2:$C$4995,$D3513)&gt;0,"Có","Không"))</f>
        <v/>
      </c>
      <c r="W3513" s="22">
        <f>IF(OR($D3513="",$R3513="Trùng"),"",COUNTIFS(ORDERS!$C$2:$C$4995,$D3513,ORDERS!$L$2:$L$4995,"Đã chuyển khoản"))</f>
        <v/>
      </c>
      <c r="X3513" s="23">
        <f>IF(OR($D3513="",$R3513="Trùng"),"",SUMIFS(ORDERS!$J$2:$J$4995,ORDERS!$C$2:$C$4995,$D3513,ORDERS!$L$2:$L$4995,"Đã chuyển khoản"))</f>
        <v/>
      </c>
      <c r="Y3513" s="24" t="n"/>
    </row>
    <row r="3514" ht="14.25" customHeight="1" s="40">
      <c r="A3514" s="24" t="n"/>
      <c r="B3514" s="27" t="n"/>
      <c r="C3514" s="24" t="n"/>
      <c r="D3514" s="28" t="n"/>
      <c r="E3514" s="29" t="n"/>
      <c r="F3514" s="24" t="n"/>
      <c r="G3514" s="24" t="n"/>
      <c r="H3514" s="21">
        <f>IF(ISNUMBER($B3514),INT($B3514)-WEEKDAY($B3514,2)+1,"")</f>
        <v/>
      </c>
      <c r="I3514" s="24" t="n"/>
      <c r="J3514" s="22">
        <f t="array" ref="J3514">IF($D3514="","",IF($I3514="","(trống REF)",IFERROR(INDEX(MASTER_SOURCE!$B$2:$B$495,MATCH($I3514,MASTER_SOURCE!$A$2:$A$495,0)),"(REF không có trong MASTER_SOURCE)")))</f>
        <v/>
      </c>
      <c r="K3514" s="22">
        <f t="array" ref="K3514">IF($D3514="","",IFERROR(INDEX(MASTER_SOURCE!$C$2:$C$495,MATCH($I3514,MASTER_SOURCE!$A$2:$A$495,0)),""))</f>
        <v/>
      </c>
      <c r="L3514" s="22">
        <f t="array" ref="L3514">IF($D3514="","",IFERROR(INDEX(MASTER_SOURCE!$D$2:$D$495,MATCH($I3514,MASTER_SOURCE!$A$2:$A$495,0)),""))</f>
        <v/>
      </c>
      <c r="M3514" s="24" t="n"/>
      <c r="N3514" s="24" t="n"/>
      <c r="O3514" s="24" t="n"/>
      <c r="P3514" s="24" t="n"/>
      <c r="Q3514" s="22">
        <f>IF($D3514="","",IF(AND(OR(DANH_MUC!$L$5&lt;&gt;"Có",M3514="Có"),OR(DANH_MUC!$L$6&lt;&gt;"Có",N3514="Có"),OR(DANH_MUC!$L$7&lt;&gt;"Có",O3514="Có"),OR(DANH_MUC!$L$8&lt;&gt;"Có",P3514="Có")),"Có","Không"))</f>
        <v/>
      </c>
      <c r="R3514" s="22">
        <f>IF($D3514="","",IF(COUNTIF($D$2:$D3514,$D3514)&gt;1,"Trùng",""))</f>
        <v/>
      </c>
      <c r="S3514" s="22">
        <f>IF($D3514="","",IF(AND(LEN($D3514)=10,LEFT($D3514,1)="0",ISNUMBER(--$D3514)),"Có","Không"))</f>
        <v/>
      </c>
      <c r="T3514" s="22">
        <f>IF($D3514="","",IF(AND($C3514&lt;&gt;"",$Q3514="Có",$R3514="",$S3514="Có",AND($L3514&lt;&gt;"",OR($L3514&lt;&gt;"Chưa xác định",DANH_MUC!$L$9="Có"))),"Có","Không"))</f>
        <v/>
      </c>
      <c r="U3514" s="22">
        <f>IF(OR($D3514="",$T3514="Có"),"",IF($C3514="","Thiếu họ tên; ","")&amp;IF($S3514&lt;&gt;"Có","SĐT sai định dạng; ","")&amp;IF($R3514="Trùng","Trùng SĐT; ","")&amp;IF($Q3514&lt;&gt;"Có","Thiếu đồng ý bắt buộc; ","")&amp;IF($L3514="","Thiếu/sai Mã REF; ",IF(AND($L3514="Chưa xác định",DANH_MUC!$L$9&lt;&gt;"Có"),"Nguồn chưa xác định; ","")))</f>
        <v/>
      </c>
      <c r="V3514" s="22">
        <f>IF(OR($D3514="",$R3514="Trùng"),"",IF(COUNTIF(ORDERS!$C$2:$C$4995,$D3514)&gt;0,"Có","Không"))</f>
        <v/>
      </c>
      <c r="W3514" s="22">
        <f>IF(OR($D3514="",$R3514="Trùng"),"",COUNTIFS(ORDERS!$C$2:$C$4995,$D3514,ORDERS!$L$2:$L$4995,"Đã chuyển khoản"))</f>
        <v/>
      </c>
      <c r="X3514" s="23">
        <f>IF(OR($D3514="",$R3514="Trùng"),"",SUMIFS(ORDERS!$J$2:$J$4995,ORDERS!$C$2:$C$4995,$D3514,ORDERS!$L$2:$L$4995,"Đã chuyển khoản"))</f>
        <v/>
      </c>
      <c r="Y3514" s="24" t="n"/>
    </row>
    <row r="3515" ht="14.25" customHeight="1" s="40">
      <c r="A3515" s="24" t="n"/>
      <c r="B3515" s="27" t="n"/>
      <c r="C3515" s="24" t="n"/>
      <c r="D3515" s="28" t="n"/>
      <c r="E3515" s="29" t="n"/>
      <c r="F3515" s="24" t="n"/>
      <c r="G3515" s="24" t="n"/>
      <c r="H3515" s="21">
        <f>IF(ISNUMBER($B3515),INT($B3515)-WEEKDAY($B3515,2)+1,"")</f>
        <v/>
      </c>
      <c r="I3515" s="24" t="n"/>
      <c r="J3515" s="22">
        <f t="array" ref="J3515">IF($D3515="","",IF($I3515="","(trống REF)",IFERROR(INDEX(MASTER_SOURCE!$B$2:$B$495,MATCH($I3515,MASTER_SOURCE!$A$2:$A$495,0)),"(REF không có trong MASTER_SOURCE)")))</f>
        <v/>
      </c>
      <c r="K3515" s="22">
        <f t="array" ref="K3515">IF($D3515="","",IFERROR(INDEX(MASTER_SOURCE!$C$2:$C$495,MATCH($I3515,MASTER_SOURCE!$A$2:$A$495,0)),""))</f>
        <v/>
      </c>
      <c r="L3515" s="22">
        <f t="array" ref="L3515">IF($D3515="","",IFERROR(INDEX(MASTER_SOURCE!$D$2:$D$495,MATCH($I3515,MASTER_SOURCE!$A$2:$A$495,0)),""))</f>
        <v/>
      </c>
      <c r="M3515" s="24" t="n"/>
      <c r="N3515" s="24" t="n"/>
      <c r="O3515" s="24" t="n"/>
      <c r="P3515" s="24" t="n"/>
      <c r="Q3515" s="22">
        <f>IF($D3515="","",IF(AND(OR(DANH_MUC!$L$5&lt;&gt;"Có",M3515="Có"),OR(DANH_MUC!$L$6&lt;&gt;"Có",N3515="Có"),OR(DANH_MUC!$L$7&lt;&gt;"Có",O3515="Có"),OR(DANH_MUC!$L$8&lt;&gt;"Có",P3515="Có")),"Có","Không"))</f>
        <v/>
      </c>
      <c r="R3515" s="22">
        <f>IF($D3515="","",IF(COUNTIF($D$2:$D3515,$D3515)&gt;1,"Trùng",""))</f>
        <v/>
      </c>
      <c r="S3515" s="22">
        <f>IF($D3515="","",IF(AND(LEN($D3515)=10,LEFT($D3515,1)="0",ISNUMBER(--$D3515)),"Có","Không"))</f>
        <v/>
      </c>
      <c r="T3515" s="22">
        <f>IF($D3515="","",IF(AND($C3515&lt;&gt;"",$Q3515="Có",$R3515="",$S3515="Có",AND($L3515&lt;&gt;"",OR($L3515&lt;&gt;"Chưa xác định",DANH_MUC!$L$9="Có"))),"Có","Không"))</f>
        <v/>
      </c>
      <c r="U3515" s="22">
        <f>IF(OR($D3515="",$T3515="Có"),"",IF($C3515="","Thiếu họ tên; ","")&amp;IF($S3515&lt;&gt;"Có","SĐT sai định dạng; ","")&amp;IF($R3515="Trùng","Trùng SĐT; ","")&amp;IF($Q3515&lt;&gt;"Có","Thiếu đồng ý bắt buộc; ","")&amp;IF($L3515="","Thiếu/sai Mã REF; ",IF(AND($L3515="Chưa xác định",DANH_MUC!$L$9&lt;&gt;"Có"),"Nguồn chưa xác định; ","")))</f>
        <v/>
      </c>
      <c r="V3515" s="22">
        <f>IF(OR($D3515="",$R3515="Trùng"),"",IF(COUNTIF(ORDERS!$C$2:$C$4995,$D3515)&gt;0,"Có","Không"))</f>
        <v/>
      </c>
      <c r="W3515" s="22">
        <f>IF(OR($D3515="",$R3515="Trùng"),"",COUNTIFS(ORDERS!$C$2:$C$4995,$D3515,ORDERS!$L$2:$L$4995,"Đã chuyển khoản"))</f>
        <v/>
      </c>
      <c r="X3515" s="23">
        <f>IF(OR($D3515="",$R3515="Trùng"),"",SUMIFS(ORDERS!$J$2:$J$4995,ORDERS!$C$2:$C$4995,$D3515,ORDERS!$L$2:$L$4995,"Đã chuyển khoản"))</f>
        <v/>
      </c>
      <c r="Y3515" s="24" t="n"/>
    </row>
    <row r="3516" ht="14.25" customHeight="1" s="40">
      <c r="A3516" s="24" t="n"/>
      <c r="B3516" s="27" t="n"/>
      <c r="C3516" s="24" t="n"/>
      <c r="D3516" s="28" t="n"/>
      <c r="E3516" s="29" t="n"/>
      <c r="F3516" s="24" t="n"/>
      <c r="G3516" s="24" t="n"/>
      <c r="H3516" s="21">
        <f>IF(ISNUMBER($B3516),INT($B3516)-WEEKDAY($B3516,2)+1,"")</f>
        <v/>
      </c>
      <c r="I3516" s="24" t="n"/>
      <c r="J3516" s="22">
        <f t="array" ref="J3516">IF($D3516="","",IF($I3516="","(trống REF)",IFERROR(INDEX(MASTER_SOURCE!$B$2:$B$495,MATCH($I3516,MASTER_SOURCE!$A$2:$A$495,0)),"(REF không có trong MASTER_SOURCE)")))</f>
        <v/>
      </c>
      <c r="K3516" s="22">
        <f t="array" ref="K3516">IF($D3516="","",IFERROR(INDEX(MASTER_SOURCE!$C$2:$C$495,MATCH($I3516,MASTER_SOURCE!$A$2:$A$495,0)),""))</f>
        <v/>
      </c>
      <c r="L3516" s="22">
        <f t="array" ref="L3516">IF($D3516="","",IFERROR(INDEX(MASTER_SOURCE!$D$2:$D$495,MATCH($I3516,MASTER_SOURCE!$A$2:$A$495,0)),""))</f>
        <v/>
      </c>
      <c r="M3516" s="24" t="n"/>
      <c r="N3516" s="24" t="n"/>
      <c r="O3516" s="24" t="n"/>
      <c r="P3516" s="24" t="n"/>
      <c r="Q3516" s="22">
        <f>IF($D3516="","",IF(AND(OR(DANH_MUC!$L$5&lt;&gt;"Có",M3516="Có"),OR(DANH_MUC!$L$6&lt;&gt;"Có",N3516="Có"),OR(DANH_MUC!$L$7&lt;&gt;"Có",O3516="Có"),OR(DANH_MUC!$L$8&lt;&gt;"Có",P3516="Có")),"Có","Không"))</f>
        <v/>
      </c>
      <c r="R3516" s="22">
        <f>IF($D3516="","",IF(COUNTIF($D$2:$D3516,$D3516)&gt;1,"Trùng",""))</f>
        <v/>
      </c>
      <c r="S3516" s="22">
        <f>IF($D3516="","",IF(AND(LEN($D3516)=10,LEFT($D3516,1)="0",ISNUMBER(--$D3516)),"Có","Không"))</f>
        <v/>
      </c>
      <c r="T3516" s="22">
        <f>IF($D3516="","",IF(AND($C3516&lt;&gt;"",$Q3516="Có",$R3516="",$S3516="Có",AND($L3516&lt;&gt;"",OR($L3516&lt;&gt;"Chưa xác định",DANH_MUC!$L$9="Có"))),"Có","Không"))</f>
        <v/>
      </c>
      <c r="U3516" s="22">
        <f>IF(OR($D3516="",$T3516="Có"),"",IF($C3516="","Thiếu họ tên; ","")&amp;IF($S3516&lt;&gt;"Có","SĐT sai định dạng; ","")&amp;IF($R3516="Trùng","Trùng SĐT; ","")&amp;IF($Q3516&lt;&gt;"Có","Thiếu đồng ý bắt buộc; ","")&amp;IF($L3516="","Thiếu/sai Mã REF; ",IF(AND($L3516="Chưa xác định",DANH_MUC!$L$9&lt;&gt;"Có"),"Nguồn chưa xác định; ","")))</f>
        <v/>
      </c>
      <c r="V3516" s="22">
        <f>IF(OR($D3516="",$R3516="Trùng"),"",IF(COUNTIF(ORDERS!$C$2:$C$4995,$D3516)&gt;0,"Có","Không"))</f>
        <v/>
      </c>
      <c r="W3516" s="22">
        <f>IF(OR($D3516="",$R3516="Trùng"),"",COUNTIFS(ORDERS!$C$2:$C$4995,$D3516,ORDERS!$L$2:$L$4995,"Đã chuyển khoản"))</f>
        <v/>
      </c>
      <c r="X3516" s="23">
        <f>IF(OR($D3516="",$R3516="Trùng"),"",SUMIFS(ORDERS!$J$2:$J$4995,ORDERS!$C$2:$C$4995,$D3516,ORDERS!$L$2:$L$4995,"Đã chuyển khoản"))</f>
        <v/>
      </c>
      <c r="Y3516" s="24" t="n"/>
    </row>
    <row r="3517" ht="14.25" customHeight="1" s="40">
      <c r="A3517" s="24" t="n"/>
      <c r="B3517" s="27" t="n"/>
      <c r="C3517" s="24" t="n"/>
      <c r="D3517" s="28" t="n"/>
      <c r="E3517" s="29" t="n"/>
      <c r="F3517" s="24" t="n"/>
      <c r="G3517" s="24" t="n"/>
      <c r="H3517" s="21">
        <f>IF(ISNUMBER($B3517),INT($B3517)-WEEKDAY($B3517,2)+1,"")</f>
        <v/>
      </c>
      <c r="I3517" s="24" t="n"/>
      <c r="J3517" s="22">
        <f t="array" ref="J3517">IF($D3517="","",IF($I3517="","(trống REF)",IFERROR(INDEX(MASTER_SOURCE!$B$2:$B$495,MATCH($I3517,MASTER_SOURCE!$A$2:$A$495,0)),"(REF không có trong MASTER_SOURCE)")))</f>
        <v/>
      </c>
      <c r="K3517" s="22">
        <f t="array" ref="K3517">IF($D3517="","",IFERROR(INDEX(MASTER_SOURCE!$C$2:$C$495,MATCH($I3517,MASTER_SOURCE!$A$2:$A$495,0)),""))</f>
        <v/>
      </c>
      <c r="L3517" s="22">
        <f t="array" ref="L3517">IF($D3517="","",IFERROR(INDEX(MASTER_SOURCE!$D$2:$D$495,MATCH($I3517,MASTER_SOURCE!$A$2:$A$495,0)),""))</f>
        <v/>
      </c>
      <c r="M3517" s="24" t="n"/>
      <c r="N3517" s="24" t="n"/>
      <c r="O3517" s="24" t="n"/>
      <c r="P3517" s="24" t="n"/>
      <c r="Q3517" s="22">
        <f>IF($D3517="","",IF(AND(OR(DANH_MUC!$L$5&lt;&gt;"Có",M3517="Có"),OR(DANH_MUC!$L$6&lt;&gt;"Có",N3517="Có"),OR(DANH_MUC!$L$7&lt;&gt;"Có",O3517="Có"),OR(DANH_MUC!$L$8&lt;&gt;"Có",P3517="Có")),"Có","Không"))</f>
        <v/>
      </c>
      <c r="R3517" s="22">
        <f>IF($D3517="","",IF(COUNTIF($D$2:$D3517,$D3517)&gt;1,"Trùng",""))</f>
        <v/>
      </c>
      <c r="S3517" s="22">
        <f>IF($D3517="","",IF(AND(LEN($D3517)=10,LEFT($D3517,1)="0",ISNUMBER(--$D3517)),"Có","Không"))</f>
        <v/>
      </c>
      <c r="T3517" s="22">
        <f>IF($D3517="","",IF(AND($C3517&lt;&gt;"",$Q3517="Có",$R3517="",$S3517="Có",AND($L3517&lt;&gt;"",OR($L3517&lt;&gt;"Chưa xác định",DANH_MUC!$L$9="Có"))),"Có","Không"))</f>
        <v/>
      </c>
      <c r="U3517" s="22">
        <f>IF(OR($D3517="",$T3517="Có"),"",IF($C3517="","Thiếu họ tên; ","")&amp;IF($S3517&lt;&gt;"Có","SĐT sai định dạng; ","")&amp;IF($R3517="Trùng","Trùng SĐT; ","")&amp;IF($Q3517&lt;&gt;"Có","Thiếu đồng ý bắt buộc; ","")&amp;IF($L3517="","Thiếu/sai Mã REF; ",IF(AND($L3517="Chưa xác định",DANH_MUC!$L$9&lt;&gt;"Có"),"Nguồn chưa xác định; ","")))</f>
        <v/>
      </c>
      <c r="V3517" s="22">
        <f>IF(OR($D3517="",$R3517="Trùng"),"",IF(COUNTIF(ORDERS!$C$2:$C$4995,$D3517)&gt;0,"Có","Không"))</f>
        <v/>
      </c>
      <c r="W3517" s="22">
        <f>IF(OR($D3517="",$R3517="Trùng"),"",COUNTIFS(ORDERS!$C$2:$C$4995,$D3517,ORDERS!$L$2:$L$4995,"Đã chuyển khoản"))</f>
        <v/>
      </c>
      <c r="X3517" s="23">
        <f>IF(OR($D3517="",$R3517="Trùng"),"",SUMIFS(ORDERS!$J$2:$J$4995,ORDERS!$C$2:$C$4995,$D3517,ORDERS!$L$2:$L$4995,"Đã chuyển khoản"))</f>
        <v/>
      </c>
      <c r="Y3517" s="24" t="n"/>
    </row>
    <row r="3518" ht="14.25" customHeight="1" s="40">
      <c r="A3518" s="24" t="n"/>
      <c r="B3518" s="27" t="n"/>
      <c r="C3518" s="24" t="n"/>
      <c r="D3518" s="28" t="n"/>
      <c r="E3518" s="29" t="n"/>
      <c r="F3518" s="24" t="n"/>
      <c r="G3518" s="24" t="n"/>
      <c r="H3518" s="21">
        <f>IF(ISNUMBER($B3518),INT($B3518)-WEEKDAY($B3518,2)+1,"")</f>
        <v/>
      </c>
      <c r="I3518" s="24" t="n"/>
      <c r="J3518" s="22">
        <f t="array" ref="J3518">IF($D3518="","",IF($I3518="","(trống REF)",IFERROR(INDEX(MASTER_SOURCE!$B$2:$B$495,MATCH($I3518,MASTER_SOURCE!$A$2:$A$495,0)),"(REF không có trong MASTER_SOURCE)")))</f>
        <v/>
      </c>
      <c r="K3518" s="22">
        <f t="array" ref="K3518">IF($D3518="","",IFERROR(INDEX(MASTER_SOURCE!$C$2:$C$495,MATCH($I3518,MASTER_SOURCE!$A$2:$A$495,0)),""))</f>
        <v/>
      </c>
      <c r="L3518" s="22">
        <f t="array" ref="L3518">IF($D3518="","",IFERROR(INDEX(MASTER_SOURCE!$D$2:$D$495,MATCH($I3518,MASTER_SOURCE!$A$2:$A$495,0)),""))</f>
        <v/>
      </c>
      <c r="M3518" s="24" t="n"/>
      <c r="N3518" s="24" t="n"/>
      <c r="O3518" s="24" t="n"/>
      <c r="P3518" s="24" t="n"/>
      <c r="Q3518" s="22">
        <f>IF($D3518="","",IF(AND(OR(DANH_MUC!$L$5&lt;&gt;"Có",M3518="Có"),OR(DANH_MUC!$L$6&lt;&gt;"Có",N3518="Có"),OR(DANH_MUC!$L$7&lt;&gt;"Có",O3518="Có"),OR(DANH_MUC!$L$8&lt;&gt;"Có",P3518="Có")),"Có","Không"))</f>
        <v/>
      </c>
      <c r="R3518" s="22">
        <f>IF($D3518="","",IF(COUNTIF($D$2:$D3518,$D3518)&gt;1,"Trùng",""))</f>
        <v/>
      </c>
      <c r="S3518" s="22">
        <f>IF($D3518="","",IF(AND(LEN($D3518)=10,LEFT($D3518,1)="0",ISNUMBER(--$D3518)),"Có","Không"))</f>
        <v/>
      </c>
      <c r="T3518" s="22">
        <f>IF($D3518="","",IF(AND($C3518&lt;&gt;"",$Q3518="Có",$R3518="",$S3518="Có",AND($L3518&lt;&gt;"",OR($L3518&lt;&gt;"Chưa xác định",DANH_MUC!$L$9="Có"))),"Có","Không"))</f>
        <v/>
      </c>
      <c r="U3518" s="22">
        <f>IF(OR($D3518="",$T3518="Có"),"",IF($C3518="","Thiếu họ tên; ","")&amp;IF($S3518&lt;&gt;"Có","SĐT sai định dạng; ","")&amp;IF($R3518="Trùng","Trùng SĐT; ","")&amp;IF($Q3518&lt;&gt;"Có","Thiếu đồng ý bắt buộc; ","")&amp;IF($L3518="","Thiếu/sai Mã REF; ",IF(AND($L3518="Chưa xác định",DANH_MUC!$L$9&lt;&gt;"Có"),"Nguồn chưa xác định; ","")))</f>
        <v/>
      </c>
      <c r="V3518" s="22">
        <f>IF(OR($D3518="",$R3518="Trùng"),"",IF(COUNTIF(ORDERS!$C$2:$C$4995,$D3518)&gt;0,"Có","Không"))</f>
        <v/>
      </c>
      <c r="W3518" s="22">
        <f>IF(OR($D3518="",$R3518="Trùng"),"",COUNTIFS(ORDERS!$C$2:$C$4995,$D3518,ORDERS!$L$2:$L$4995,"Đã chuyển khoản"))</f>
        <v/>
      </c>
      <c r="X3518" s="23">
        <f>IF(OR($D3518="",$R3518="Trùng"),"",SUMIFS(ORDERS!$J$2:$J$4995,ORDERS!$C$2:$C$4995,$D3518,ORDERS!$L$2:$L$4995,"Đã chuyển khoản"))</f>
        <v/>
      </c>
      <c r="Y3518" s="24" t="n"/>
    </row>
    <row r="3519" ht="14.25" customHeight="1" s="40">
      <c r="A3519" s="24" t="n"/>
      <c r="B3519" s="27" t="n"/>
      <c r="C3519" s="24" t="n"/>
      <c r="D3519" s="28" t="n"/>
      <c r="E3519" s="29" t="n"/>
      <c r="F3519" s="24" t="n"/>
      <c r="G3519" s="24" t="n"/>
      <c r="H3519" s="21">
        <f>IF(ISNUMBER($B3519),INT($B3519)-WEEKDAY($B3519,2)+1,"")</f>
        <v/>
      </c>
      <c r="I3519" s="24" t="n"/>
      <c r="J3519" s="22">
        <f t="array" ref="J3519">IF($D3519="","",IF($I3519="","(trống REF)",IFERROR(INDEX(MASTER_SOURCE!$B$2:$B$495,MATCH($I3519,MASTER_SOURCE!$A$2:$A$495,0)),"(REF không có trong MASTER_SOURCE)")))</f>
        <v/>
      </c>
      <c r="K3519" s="22">
        <f t="array" ref="K3519">IF($D3519="","",IFERROR(INDEX(MASTER_SOURCE!$C$2:$C$495,MATCH($I3519,MASTER_SOURCE!$A$2:$A$495,0)),""))</f>
        <v/>
      </c>
      <c r="L3519" s="22">
        <f t="array" ref="L3519">IF($D3519="","",IFERROR(INDEX(MASTER_SOURCE!$D$2:$D$495,MATCH($I3519,MASTER_SOURCE!$A$2:$A$495,0)),""))</f>
        <v/>
      </c>
      <c r="M3519" s="24" t="n"/>
      <c r="N3519" s="24" t="n"/>
      <c r="O3519" s="24" t="n"/>
      <c r="P3519" s="24" t="n"/>
      <c r="Q3519" s="22">
        <f>IF($D3519="","",IF(AND(OR(DANH_MUC!$L$5&lt;&gt;"Có",M3519="Có"),OR(DANH_MUC!$L$6&lt;&gt;"Có",N3519="Có"),OR(DANH_MUC!$L$7&lt;&gt;"Có",O3519="Có"),OR(DANH_MUC!$L$8&lt;&gt;"Có",P3519="Có")),"Có","Không"))</f>
        <v/>
      </c>
      <c r="R3519" s="22">
        <f>IF($D3519="","",IF(COUNTIF($D$2:$D3519,$D3519)&gt;1,"Trùng",""))</f>
        <v/>
      </c>
      <c r="S3519" s="22">
        <f>IF($D3519="","",IF(AND(LEN($D3519)=10,LEFT($D3519,1)="0",ISNUMBER(--$D3519)),"Có","Không"))</f>
        <v/>
      </c>
      <c r="T3519" s="22">
        <f>IF($D3519="","",IF(AND($C3519&lt;&gt;"",$Q3519="Có",$R3519="",$S3519="Có",AND($L3519&lt;&gt;"",OR($L3519&lt;&gt;"Chưa xác định",DANH_MUC!$L$9="Có"))),"Có","Không"))</f>
        <v/>
      </c>
      <c r="U3519" s="22">
        <f>IF(OR($D3519="",$T3519="Có"),"",IF($C3519="","Thiếu họ tên; ","")&amp;IF($S3519&lt;&gt;"Có","SĐT sai định dạng; ","")&amp;IF($R3519="Trùng","Trùng SĐT; ","")&amp;IF($Q3519&lt;&gt;"Có","Thiếu đồng ý bắt buộc; ","")&amp;IF($L3519="","Thiếu/sai Mã REF; ",IF(AND($L3519="Chưa xác định",DANH_MUC!$L$9&lt;&gt;"Có"),"Nguồn chưa xác định; ","")))</f>
        <v/>
      </c>
      <c r="V3519" s="22">
        <f>IF(OR($D3519="",$R3519="Trùng"),"",IF(COUNTIF(ORDERS!$C$2:$C$4995,$D3519)&gt;0,"Có","Không"))</f>
        <v/>
      </c>
      <c r="W3519" s="22">
        <f>IF(OR($D3519="",$R3519="Trùng"),"",COUNTIFS(ORDERS!$C$2:$C$4995,$D3519,ORDERS!$L$2:$L$4995,"Đã chuyển khoản"))</f>
        <v/>
      </c>
      <c r="X3519" s="23">
        <f>IF(OR($D3519="",$R3519="Trùng"),"",SUMIFS(ORDERS!$J$2:$J$4995,ORDERS!$C$2:$C$4995,$D3519,ORDERS!$L$2:$L$4995,"Đã chuyển khoản"))</f>
        <v/>
      </c>
      <c r="Y3519" s="24" t="n"/>
    </row>
    <row r="3520" ht="14.25" customHeight="1" s="40">
      <c r="A3520" s="24" t="n"/>
      <c r="B3520" s="27" t="n"/>
      <c r="C3520" s="24" t="n"/>
      <c r="D3520" s="28" t="n"/>
      <c r="E3520" s="29" t="n"/>
      <c r="F3520" s="24" t="n"/>
      <c r="G3520" s="24" t="n"/>
      <c r="H3520" s="21">
        <f>IF(ISNUMBER($B3520),INT($B3520)-WEEKDAY($B3520,2)+1,"")</f>
        <v/>
      </c>
      <c r="I3520" s="24" t="n"/>
      <c r="J3520" s="22">
        <f t="array" ref="J3520">IF($D3520="","",IF($I3520="","(trống REF)",IFERROR(INDEX(MASTER_SOURCE!$B$2:$B$495,MATCH($I3520,MASTER_SOURCE!$A$2:$A$495,0)),"(REF không có trong MASTER_SOURCE)")))</f>
        <v/>
      </c>
      <c r="K3520" s="22">
        <f t="array" ref="K3520">IF($D3520="","",IFERROR(INDEX(MASTER_SOURCE!$C$2:$C$495,MATCH($I3520,MASTER_SOURCE!$A$2:$A$495,0)),""))</f>
        <v/>
      </c>
      <c r="L3520" s="22">
        <f t="array" ref="L3520">IF($D3520="","",IFERROR(INDEX(MASTER_SOURCE!$D$2:$D$495,MATCH($I3520,MASTER_SOURCE!$A$2:$A$495,0)),""))</f>
        <v/>
      </c>
      <c r="M3520" s="24" t="n"/>
      <c r="N3520" s="24" t="n"/>
      <c r="O3520" s="24" t="n"/>
      <c r="P3520" s="24" t="n"/>
      <c r="Q3520" s="22">
        <f>IF($D3520="","",IF(AND(OR(DANH_MUC!$L$5&lt;&gt;"Có",M3520="Có"),OR(DANH_MUC!$L$6&lt;&gt;"Có",N3520="Có"),OR(DANH_MUC!$L$7&lt;&gt;"Có",O3520="Có"),OR(DANH_MUC!$L$8&lt;&gt;"Có",P3520="Có")),"Có","Không"))</f>
        <v/>
      </c>
      <c r="R3520" s="22">
        <f>IF($D3520="","",IF(COUNTIF($D$2:$D3520,$D3520)&gt;1,"Trùng",""))</f>
        <v/>
      </c>
      <c r="S3520" s="22">
        <f>IF($D3520="","",IF(AND(LEN($D3520)=10,LEFT($D3520,1)="0",ISNUMBER(--$D3520)),"Có","Không"))</f>
        <v/>
      </c>
      <c r="T3520" s="22">
        <f>IF($D3520="","",IF(AND($C3520&lt;&gt;"",$Q3520="Có",$R3520="",$S3520="Có",AND($L3520&lt;&gt;"",OR($L3520&lt;&gt;"Chưa xác định",DANH_MUC!$L$9="Có"))),"Có","Không"))</f>
        <v/>
      </c>
      <c r="U3520" s="22">
        <f>IF(OR($D3520="",$T3520="Có"),"",IF($C3520="","Thiếu họ tên; ","")&amp;IF($S3520&lt;&gt;"Có","SĐT sai định dạng; ","")&amp;IF($R3520="Trùng","Trùng SĐT; ","")&amp;IF($Q3520&lt;&gt;"Có","Thiếu đồng ý bắt buộc; ","")&amp;IF($L3520="","Thiếu/sai Mã REF; ",IF(AND($L3520="Chưa xác định",DANH_MUC!$L$9&lt;&gt;"Có"),"Nguồn chưa xác định; ","")))</f>
        <v/>
      </c>
      <c r="V3520" s="22">
        <f>IF(OR($D3520="",$R3520="Trùng"),"",IF(COUNTIF(ORDERS!$C$2:$C$4995,$D3520)&gt;0,"Có","Không"))</f>
        <v/>
      </c>
      <c r="W3520" s="22">
        <f>IF(OR($D3520="",$R3520="Trùng"),"",COUNTIFS(ORDERS!$C$2:$C$4995,$D3520,ORDERS!$L$2:$L$4995,"Đã chuyển khoản"))</f>
        <v/>
      </c>
      <c r="X3520" s="23">
        <f>IF(OR($D3520="",$R3520="Trùng"),"",SUMIFS(ORDERS!$J$2:$J$4995,ORDERS!$C$2:$C$4995,$D3520,ORDERS!$L$2:$L$4995,"Đã chuyển khoản"))</f>
        <v/>
      </c>
      <c r="Y3520" s="24" t="n"/>
    </row>
    <row r="3521" ht="14.25" customHeight="1" s="40">
      <c r="A3521" s="24" t="n"/>
      <c r="B3521" s="27" t="n"/>
      <c r="C3521" s="24" t="n"/>
      <c r="D3521" s="28" t="n"/>
      <c r="E3521" s="29" t="n"/>
      <c r="F3521" s="24" t="n"/>
      <c r="G3521" s="24" t="n"/>
      <c r="H3521" s="21">
        <f>IF(ISNUMBER($B3521),INT($B3521)-WEEKDAY($B3521,2)+1,"")</f>
        <v/>
      </c>
      <c r="I3521" s="24" t="n"/>
      <c r="J3521" s="22">
        <f t="array" ref="J3521">IF($D3521="","",IF($I3521="","(trống REF)",IFERROR(INDEX(MASTER_SOURCE!$B$2:$B$495,MATCH($I3521,MASTER_SOURCE!$A$2:$A$495,0)),"(REF không có trong MASTER_SOURCE)")))</f>
        <v/>
      </c>
      <c r="K3521" s="22">
        <f t="array" ref="K3521">IF($D3521="","",IFERROR(INDEX(MASTER_SOURCE!$C$2:$C$495,MATCH($I3521,MASTER_SOURCE!$A$2:$A$495,0)),""))</f>
        <v/>
      </c>
      <c r="L3521" s="22">
        <f t="array" ref="L3521">IF($D3521="","",IFERROR(INDEX(MASTER_SOURCE!$D$2:$D$495,MATCH($I3521,MASTER_SOURCE!$A$2:$A$495,0)),""))</f>
        <v/>
      </c>
      <c r="M3521" s="24" t="n"/>
      <c r="N3521" s="24" t="n"/>
      <c r="O3521" s="24" t="n"/>
      <c r="P3521" s="24" t="n"/>
      <c r="Q3521" s="22">
        <f>IF($D3521="","",IF(AND(OR(DANH_MUC!$L$5&lt;&gt;"Có",M3521="Có"),OR(DANH_MUC!$L$6&lt;&gt;"Có",N3521="Có"),OR(DANH_MUC!$L$7&lt;&gt;"Có",O3521="Có"),OR(DANH_MUC!$L$8&lt;&gt;"Có",P3521="Có")),"Có","Không"))</f>
        <v/>
      </c>
      <c r="R3521" s="22">
        <f>IF($D3521="","",IF(COUNTIF($D$2:$D3521,$D3521)&gt;1,"Trùng",""))</f>
        <v/>
      </c>
      <c r="S3521" s="22">
        <f>IF($D3521="","",IF(AND(LEN($D3521)=10,LEFT($D3521,1)="0",ISNUMBER(--$D3521)),"Có","Không"))</f>
        <v/>
      </c>
      <c r="T3521" s="22">
        <f>IF($D3521="","",IF(AND($C3521&lt;&gt;"",$Q3521="Có",$R3521="",$S3521="Có",AND($L3521&lt;&gt;"",OR($L3521&lt;&gt;"Chưa xác định",DANH_MUC!$L$9="Có"))),"Có","Không"))</f>
        <v/>
      </c>
      <c r="U3521" s="22">
        <f>IF(OR($D3521="",$T3521="Có"),"",IF($C3521="","Thiếu họ tên; ","")&amp;IF($S3521&lt;&gt;"Có","SĐT sai định dạng; ","")&amp;IF($R3521="Trùng","Trùng SĐT; ","")&amp;IF($Q3521&lt;&gt;"Có","Thiếu đồng ý bắt buộc; ","")&amp;IF($L3521="","Thiếu/sai Mã REF; ",IF(AND($L3521="Chưa xác định",DANH_MUC!$L$9&lt;&gt;"Có"),"Nguồn chưa xác định; ","")))</f>
        <v/>
      </c>
      <c r="V3521" s="22">
        <f>IF(OR($D3521="",$R3521="Trùng"),"",IF(COUNTIF(ORDERS!$C$2:$C$4995,$D3521)&gt;0,"Có","Không"))</f>
        <v/>
      </c>
      <c r="W3521" s="22">
        <f>IF(OR($D3521="",$R3521="Trùng"),"",COUNTIFS(ORDERS!$C$2:$C$4995,$D3521,ORDERS!$L$2:$L$4995,"Đã chuyển khoản"))</f>
        <v/>
      </c>
      <c r="X3521" s="23">
        <f>IF(OR($D3521="",$R3521="Trùng"),"",SUMIFS(ORDERS!$J$2:$J$4995,ORDERS!$C$2:$C$4995,$D3521,ORDERS!$L$2:$L$4995,"Đã chuyển khoản"))</f>
        <v/>
      </c>
      <c r="Y3521" s="24" t="n"/>
    </row>
    <row r="3522" ht="14.25" customHeight="1" s="40">
      <c r="A3522" s="24" t="n"/>
      <c r="B3522" s="27" t="n"/>
      <c r="C3522" s="24" t="n"/>
      <c r="D3522" s="28" t="n"/>
      <c r="E3522" s="29" t="n"/>
      <c r="F3522" s="24" t="n"/>
      <c r="G3522" s="24" t="n"/>
      <c r="H3522" s="21">
        <f>IF(ISNUMBER($B3522),INT($B3522)-WEEKDAY($B3522,2)+1,"")</f>
        <v/>
      </c>
      <c r="I3522" s="24" t="n"/>
      <c r="J3522" s="22">
        <f t="array" ref="J3522">IF($D3522="","",IF($I3522="","(trống REF)",IFERROR(INDEX(MASTER_SOURCE!$B$2:$B$495,MATCH($I3522,MASTER_SOURCE!$A$2:$A$495,0)),"(REF không có trong MASTER_SOURCE)")))</f>
        <v/>
      </c>
      <c r="K3522" s="22">
        <f t="array" ref="K3522">IF($D3522="","",IFERROR(INDEX(MASTER_SOURCE!$C$2:$C$495,MATCH($I3522,MASTER_SOURCE!$A$2:$A$495,0)),""))</f>
        <v/>
      </c>
      <c r="L3522" s="22">
        <f t="array" ref="L3522">IF($D3522="","",IFERROR(INDEX(MASTER_SOURCE!$D$2:$D$495,MATCH($I3522,MASTER_SOURCE!$A$2:$A$495,0)),""))</f>
        <v/>
      </c>
      <c r="M3522" s="24" t="n"/>
      <c r="N3522" s="24" t="n"/>
      <c r="O3522" s="24" t="n"/>
      <c r="P3522" s="24" t="n"/>
      <c r="Q3522" s="22">
        <f>IF($D3522="","",IF(AND(OR(DANH_MUC!$L$5&lt;&gt;"Có",M3522="Có"),OR(DANH_MUC!$L$6&lt;&gt;"Có",N3522="Có"),OR(DANH_MUC!$L$7&lt;&gt;"Có",O3522="Có"),OR(DANH_MUC!$L$8&lt;&gt;"Có",P3522="Có")),"Có","Không"))</f>
        <v/>
      </c>
      <c r="R3522" s="22">
        <f>IF($D3522="","",IF(COUNTIF($D$2:$D3522,$D3522)&gt;1,"Trùng",""))</f>
        <v/>
      </c>
      <c r="S3522" s="22">
        <f>IF($D3522="","",IF(AND(LEN($D3522)=10,LEFT($D3522,1)="0",ISNUMBER(--$D3522)),"Có","Không"))</f>
        <v/>
      </c>
      <c r="T3522" s="22">
        <f>IF($D3522="","",IF(AND($C3522&lt;&gt;"",$Q3522="Có",$R3522="",$S3522="Có",AND($L3522&lt;&gt;"",OR($L3522&lt;&gt;"Chưa xác định",DANH_MUC!$L$9="Có"))),"Có","Không"))</f>
        <v/>
      </c>
      <c r="U3522" s="22">
        <f>IF(OR($D3522="",$T3522="Có"),"",IF($C3522="","Thiếu họ tên; ","")&amp;IF($S3522&lt;&gt;"Có","SĐT sai định dạng; ","")&amp;IF($R3522="Trùng","Trùng SĐT; ","")&amp;IF($Q3522&lt;&gt;"Có","Thiếu đồng ý bắt buộc; ","")&amp;IF($L3522="","Thiếu/sai Mã REF; ",IF(AND($L3522="Chưa xác định",DANH_MUC!$L$9&lt;&gt;"Có"),"Nguồn chưa xác định; ","")))</f>
        <v/>
      </c>
      <c r="V3522" s="22">
        <f>IF(OR($D3522="",$R3522="Trùng"),"",IF(COUNTIF(ORDERS!$C$2:$C$4995,$D3522)&gt;0,"Có","Không"))</f>
        <v/>
      </c>
      <c r="W3522" s="22">
        <f>IF(OR($D3522="",$R3522="Trùng"),"",COUNTIFS(ORDERS!$C$2:$C$4995,$D3522,ORDERS!$L$2:$L$4995,"Đã chuyển khoản"))</f>
        <v/>
      </c>
      <c r="X3522" s="23">
        <f>IF(OR($D3522="",$R3522="Trùng"),"",SUMIFS(ORDERS!$J$2:$J$4995,ORDERS!$C$2:$C$4995,$D3522,ORDERS!$L$2:$L$4995,"Đã chuyển khoản"))</f>
        <v/>
      </c>
      <c r="Y3522" s="24" t="n"/>
    </row>
    <row r="3523" ht="14.25" customHeight="1" s="40">
      <c r="A3523" s="24" t="n"/>
      <c r="B3523" s="27" t="n"/>
      <c r="C3523" s="24" t="n"/>
      <c r="D3523" s="28" t="n"/>
      <c r="E3523" s="29" t="n"/>
      <c r="F3523" s="24" t="n"/>
      <c r="G3523" s="24" t="n"/>
      <c r="H3523" s="21">
        <f>IF(ISNUMBER($B3523),INT($B3523)-WEEKDAY($B3523,2)+1,"")</f>
        <v/>
      </c>
      <c r="I3523" s="24" t="n"/>
      <c r="J3523" s="22">
        <f t="array" ref="J3523">IF($D3523="","",IF($I3523="","(trống REF)",IFERROR(INDEX(MASTER_SOURCE!$B$2:$B$495,MATCH($I3523,MASTER_SOURCE!$A$2:$A$495,0)),"(REF không có trong MASTER_SOURCE)")))</f>
        <v/>
      </c>
      <c r="K3523" s="22">
        <f t="array" ref="K3523">IF($D3523="","",IFERROR(INDEX(MASTER_SOURCE!$C$2:$C$495,MATCH($I3523,MASTER_SOURCE!$A$2:$A$495,0)),""))</f>
        <v/>
      </c>
      <c r="L3523" s="22">
        <f t="array" ref="L3523">IF($D3523="","",IFERROR(INDEX(MASTER_SOURCE!$D$2:$D$495,MATCH($I3523,MASTER_SOURCE!$A$2:$A$495,0)),""))</f>
        <v/>
      </c>
      <c r="M3523" s="24" t="n"/>
      <c r="N3523" s="24" t="n"/>
      <c r="O3523" s="24" t="n"/>
      <c r="P3523" s="24" t="n"/>
      <c r="Q3523" s="22">
        <f>IF($D3523="","",IF(AND(OR(DANH_MUC!$L$5&lt;&gt;"Có",M3523="Có"),OR(DANH_MUC!$L$6&lt;&gt;"Có",N3523="Có"),OR(DANH_MUC!$L$7&lt;&gt;"Có",O3523="Có"),OR(DANH_MUC!$L$8&lt;&gt;"Có",P3523="Có")),"Có","Không"))</f>
        <v/>
      </c>
      <c r="R3523" s="22">
        <f>IF($D3523="","",IF(COUNTIF($D$2:$D3523,$D3523)&gt;1,"Trùng",""))</f>
        <v/>
      </c>
      <c r="S3523" s="22">
        <f>IF($D3523="","",IF(AND(LEN($D3523)=10,LEFT($D3523,1)="0",ISNUMBER(--$D3523)),"Có","Không"))</f>
        <v/>
      </c>
      <c r="T3523" s="22">
        <f>IF($D3523="","",IF(AND($C3523&lt;&gt;"",$Q3523="Có",$R3523="",$S3523="Có",AND($L3523&lt;&gt;"",OR($L3523&lt;&gt;"Chưa xác định",DANH_MUC!$L$9="Có"))),"Có","Không"))</f>
        <v/>
      </c>
      <c r="U3523" s="22">
        <f>IF(OR($D3523="",$T3523="Có"),"",IF($C3523="","Thiếu họ tên; ","")&amp;IF($S3523&lt;&gt;"Có","SĐT sai định dạng; ","")&amp;IF($R3523="Trùng","Trùng SĐT; ","")&amp;IF($Q3523&lt;&gt;"Có","Thiếu đồng ý bắt buộc; ","")&amp;IF($L3523="","Thiếu/sai Mã REF; ",IF(AND($L3523="Chưa xác định",DANH_MUC!$L$9&lt;&gt;"Có"),"Nguồn chưa xác định; ","")))</f>
        <v/>
      </c>
      <c r="V3523" s="22">
        <f>IF(OR($D3523="",$R3523="Trùng"),"",IF(COUNTIF(ORDERS!$C$2:$C$4995,$D3523)&gt;0,"Có","Không"))</f>
        <v/>
      </c>
      <c r="W3523" s="22">
        <f>IF(OR($D3523="",$R3523="Trùng"),"",COUNTIFS(ORDERS!$C$2:$C$4995,$D3523,ORDERS!$L$2:$L$4995,"Đã chuyển khoản"))</f>
        <v/>
      </c>
      <c r="X3523" s="23">
        <f>IF(OR($D3523="",$R3523="Trùng"),"",SUMIFS(ORDERS!$J$2:$J$4995,ORDERS!$C$2:$C$4995,$D3523,ORDERS!$L$2:$L$4995,"Đã chuyển khoản"))</f>
        <v/>
      </c>
      <c r="Y3523" s="24" t="n"/>
    </row>
    <row r="3524" ht="14.25" customHeight="1" s="40">
      <c r="A3524" s="24" t="n"/>
      <c r="B3524" s="27" t="n"/>
      <c r="C3524" s="24" t="n"/>
      <c r="D3524" s="28" t="n"/>
      <c r="E3524" s="29" t="n"/>
      <c r="F3524" s="24" t="n"/>
      <c r="G3524" s="24" t="n"/>
      <c r="H3524" s="21">
        <f>IF(ISNUMBER($B3524),INT($B3524)-WEEKDAY($B3524,2)+1,"")</f>
        <v/>
      </c>
      <c r="I3524" s="24" t="n"/>
      <c r="J3524" s="22">
        <f t="array" ref="J3524">IF($D3524="","",IF($I3524="","(trống REF)",IFERROR(INDEX(MASTER_SOURCE!$B$2:$B$495,MATCH($I3524,MASTER_SOURCE!$A$2:$A$495,0)),"(REF không có trong MASTER_SOURCE)")))</f>
        <v/>
      </c>
      <c r="K3524" s="22">
        <f t="array" ref="K3524">IF($D3524="","",IFERROR(INDEX(MASTER_SOURCE!$C$2:$C$495,MATCH($I3524,MASTER_SOURCE!$A$2:$A$495,0)),""))</f>
        <v/>
      </c>
      <c r="L3524" s="22">
        <f t="array" ref="L3524">IF($D3524="","",IFERROR(INDEX(MASTER_SOURCE!$D$2:$D$495,MATCH($I3524,MASTER_SOURCE!$A$2:$A$495,0)),""))</f>
        <v/>
      </c>
      <c r="M3524" s="24" t="n"/>
      <c r="N3524" s="24" t="n"/>
      <c r="O3524" s="24" t="n"/>
      <c r="P3524" s="24" t="n"/>
      <c r="Q3524" s="22">
        <f>IF($D3524="","",IF(AND(OR(DANH_MUC!$L$5&lt;&gt;"Có",M3524="Có"),OR(DANH_MUC!$L$6&lt;&gt;"Có",N3524="Có"),OR(DANH_MUC!$L$7&lt;&gt;"Có",O3524="Có"),OR(DANH_MUC!$L$8&lt;&gt;"Có",P3524="Có")),"Có","Không"))</f>
        <v/>
      </c>
      <c r="R3524" s="22">
        <f>IF($D3524="","",IF(COUNTIF($D$2:$D3524,$D3524)&gt;1,"Trùng",""))</f>
        <v/>
      </c>
      <c r="S3524" s="22">
        <f>IF($D3524="","",IF(AND(LEN($D3524)=10,LEFT($D3524,1)="0",ISNUMBER(--$D3524)),"Có","Không"))</f>
        <v/>
      </c>
      <c r="T3524" s="22">
        <f>IF($D3524="","",IF(AND($C3524&lt;&gt;"",$Q3524="Có",$R3524="",$S3524="Có",AND($L3524&lt;&gt;"",OR($L3524&lt;&gt;"Chưa xác định",DANH_MUC!$L$9="Có"))),"Có","Không"))</f>
        <v/>
      </c>
      <c r="U3524" s="22">
        <f>IF(OR($D3524="",$T3524="Có"),"",IF($C3524="","Thiếu họ tên; ","")&amp;IF($S3524&lt;&gt;"Có","SĐT sai định dạng; ","")&amp;IF($R3524="Trùng","Trùng SĐT; ","")&amp;IF($Q3524&lt;&gt;"Có","Thiếu đồng ý bắt buộc; ","")&amp;IF($L3524="","Thiếu/sai Mã REF; ",IF(AND($L3524="Chưa xác định",DANH_MUC!$L$9&lt;&gt;"Có"),"Nguồn chưa xác định; ","")))</f>
        <v/>
      </c>
      <c r="V3524" s="22">
        <f>IF(OR($D3524="",$R3524="Trùng"),"",IF(COUNTIF(ORDERS!$C$2:$C$4995,$D3524)&gt;0,"Có","Không"))</f>
        <v/>
      </c>
      <c r="W3524" s="22">
        <f>IF(OR($D3524="",$R3524="Trùng"),"",COUNTIFS(ORDERS!$C$2:$C$4995,$D3524,ORDERS!$L$2:$L$4995,"Đã chuyển khoản"))</f>
        <v/>
      </c>
      <c r="X3524" s="23">
        <f>IF(OR($D3524="",$R3524="Trùng"),"",SUMIFS(ORDERS!$J$2:$J$4995,ORDERS!$C$2:$C$4995,$D3524,ORDERS!$L$2:$L$4995,"Đã chuyển khoản"))</f>
        <v/>
      </c>
      <c r="Y3524" s="24" t="n"/>
    </row>
    <row r="3525" ht="14.25" customHeight="1" s="40">
      <c r="A3525" s="24" t="n"/>
      <c r="B3525" s="27" t="n"/>
      <c r="C3525" s="24" t="n"/>
      <c r="D3525" s="28" t="n"/>
      <c r="E3525" s="29" t="n"/>
      <c r="F3525" s="24" t="n"/>
      <c r="G3525" s="24" t="n"/>
      <c r="H3525" s="21">
        <f>IF(ISNUMBER($B3525),INT($B3525)-WEEKDAY($B3525,2)+1,"")</f>
        <v/>
      </c>
      <c r="I3525" s="24" t="n"/>
      <c r="J3525" s="22">
        <f t="array" ref="J3525">IF($D3525="","",IF($I3525="","(trống REF)",IFERROR(INDEX(MASTER_SOURCE!$B$2:$B$495,MATCH($I3525,MASTER_SOURCE!$A$2:$A$495,0)),"(REF không có trong MASTER_SOURCE)")))</f>
        <v/>
      </c>
      <c r="K3525" s="22">
        <f t="array" ref="K3525">IF($D3525="","",IFERROR(INDEX(MASTER_SOURCE!$C$2:$C$495,MATCH($I3525,MASTER_SOURCE!$A$2:$A$495,0)),""))</f>
        <v/>
      </c>
      <c r="L3525" s="22">
        <f t="array" ref="L3525">IF($D3525="","",IFERROR(INDEX(MASTER_SOURCE!$D$2:$D$495,MATCH($I3525,MASTER_SOURCE!$A$2:$A$495,0)),""))</f>
        <v/>
      </c>
      <c r="M3525" s="24" t="n"/>
      <c r="N3525" s="24" t="n"/>
      <c r="O3525" s="24" t="n"/>
      <c r="P3525" s="24" t="n"/>
      <c r="Q3525" s="22">
        <f>IF($D3525="","",IF(AND(OR(DANH_MUC!$L$5&lt;&gt;"Có",M3525="Có"),OR(DANH_MUC!$L$6&lt;&gt;"Có",N3525="Có"),OR(DANH_MUC!$L$7&lt;&gt;"Có",O3525="Có"),OR(DANH_MUC!$L$8&lt;&gt;"Có",P3525="Có")),"Có","Không"))</f>
        <v/>
      </c>
      <c r="R3525" s="22">
        <f>IF($D3525="","",IF(COUNTIF($D$2:$D3525,$D3525)&gt;1,"Trùng",""))</f>
        <v/>
      </c>
      <c r="S3525" s="22">
        <f>IF($D3525="","",IF(AND(LEN($D3525)=10,LEFT($D3525,1)="0",ISNUMBER(--$D3525)),"Có","Không"))</f>
        <v/>
      </c>
      <c r="T3525" s="22">
        <f>IF($D3525="","",IF(AND($C3525&lt;&gt;"",$Q3525="Có",$R3525="",$S3525="Có",AND($L3525&lt;&gt;"",OR($L3525&lt;&gt;"Chưa xác định",DANH_MUC!$L$9="Có"))),"Có","Không"))</f>
        <v/>
      </c>
      <c r="U3525" s="22">
        <f>IF(OR($D3525="",$T3525="Có"),"",IF($C3525="","Thiếu họ tên; ","")&amp;IF($S3525&lt;&gt;"Có","SĐT sai định dạng; ","")&amp;IF($R3525="Trùng","Trùng SĐT; ","")&amp;IF($Q3525&lt;&gt;"Có","Thiếu đồng ý bắt buộc; ","")&amp;IF($L3525="","Thiếu/sai Mã REF; ",IF(AND($L3525="Chưa xác định",DANH_MUC!$L$9&lt;&gt;"Có"),"Nguồn chưa xác định; ","")))</f>
        <v/>
      </c>
      <c r="V3525" s="22">
        <f>IF(OR($D3525="",$R3525="Trùng"),"",IF(COUNTIF(ORDERS!$C$2:$C$4995,$D3525)&gt;0,"Có","Không"))</f>
        <v/>
      </c>
      <c r="W3525" s="22">
        <f>IF(OR($D3525="",$R3525="Trùng"),"",COUNTIFS(ORDERS!$C$2:$C$4995,$D3525,ORDERS!$L$2:$L$4995,"Đã chuyển khoản"))</f>
        <v/>
      </c>
      <c r="X3525" s="23">
        <f>IF(OR($D3525="",$R3525="Trùng"),"",SUMIFS(ORDERS!$J$2:$J$4995,ORDERS!$C$2:$C$4995,$D3525,ORDERS!$L$2:$L$4995,"Đã chuyển khoản"))</f>
        <v/>
      </c>
      <c r="Y3525" s="24" t="n"/>
    </row>
    <row r="3526" ht="14.25" customHeight="1" s="40">
      <c r="A3526" s="24" t="n"/>
      <c r="B3526" s="27" t="n"/>
      <c r="C3526" s="24" t="n"/>
      <c r="D3526" s="28" t="n"/>
      <c r="E3526" s="29" t="n"/>
      <c r="F3526" s="24" t="n"/>
      <c r="G3526" s="24" t="n"/>
      <c r="H3526" s="21">
        <f>IF(ISNUMBER($B3526),INT($B3526)-WEEKDAY($B3526,2)+1,"")</f>
        <v/>
      </c>
      <c r="I3526" s="24" t="n"/>
      <c r="J3526" s="22">
        <f t="array" ref="J3526">IF($D3526="","",IF($I3526="","(trống REF)",IFERROR(INDEX(MASTER_SOURCE!$B$2:$B$495,MATCH($I3526,MASTER_SOURCE!$A$2:$A$495,0)),"(REF không có trong MASTER_SOURCE)")))</f>
        <v/>
      </c>
      <c r="K3526" s="22">
        <f t="array" ref="K3526">IF($D3526="","",IFERROR(INDEX(MASTER_SOURCE!$C$2:$C$495,MATCH($I3526,MASTER_SOURCE!$A$2:$A$495,0)),""))</f>
        <v/>
      </c>
      <c r="L3526" s="22">
        <f t="array" ref="L3526">IF($D3526="","",IFERROR(INDEX(MASTER_SOURCE!$D$2:$D$495,MATCH($I3526,MASTER_SOURCE!$A$2:$A$495,0)),""))</f>
        <v/>
      </c>
      <c r="M3526" s="24" t="n"/>
      <c r="N3526" s="24" t="n"/>
      <c r="O3526" s="24" t="n"/>
      <c r="P3526" s="24" t="n"/>
      <c r="Q3526" s="22">
        <f>IF($D3526="","",IF(AND(OR(DANH_MUC!$L$5&lt;&gt;"Có",M3526="Có"),OR(DANH_MUC!$L$6&lt;&gt;"Có",N3526="Có"),OR(DANH_MUC!$L$7&lt;&gt;"Có",O3526="Có"),OR(DANH_MUC!$L$8&lt;&gt;"Có",P3526="Có")),"Có","Không"))</f>
        <v/>
      </c>
      <c r="R3526" s="22">
        <f>IF($D3526="","",IF(COUNTIF($D$2:$D3526,$D3526)&gt;1,"Trùng",""))</f>
        <v/>
      </c>
      <c r="S3526" s="22">
        <f>IF($D3526="","",IF(AND(LEN($D3526)=10,LEFT($D3526,1)="0",ISNUMBER(--$D3526)),"Có","Không"))</f>
        <v/>
      </c>
      <c r="T3526" s="22">
        <f>IF($D3526="","",IF(AND($C3526&lt;&gt;"",$Q3526="Có",$R3526="",$S3526="Có",AND($L3526&lt;&gt;"",OR($L3526&lt;&gt;"Chưa xác định",DANH_MUC!$L$9="Có"))),"Có","Không"))</f>
        <v/>
      </c>
      <c r="U3526" s="22">
        <f>IF(OR($D3526="",$T3526="Có"),"",IF($C3526="","Thiếu họ tên; ","")&amp;IF($S3526&lt;&gt;"Có","SĐT sai định dạng; ","")&amp;IF($R3526="Trùng","Trùng SĐT; ","")&amp;IF($Q3526&lt;&gt;"Có","Thiếu đồng ý bắt buộc; ","")&amp;IF($L3526="","Thiếu/sai Mã REF; ",IF(AND($L3526="Chưa xác định",DANH_MUC!$L$9&lt;&gt;"Có"),"Nguồn chưa xác định; ","")))</f>
        <v/>
      </c>
      <c r="V3526" s="22">
        <f>IF(OR($D3526="",$R3526="Trùng"),"",IF(COUNTIF(ORDERS!$C$2:$C$4995,$D3526)&gt;0,"Có","Không"))</f>
        <v/>
      </c>
      <c r="W3526" s="22">
        <f>IF(OR($D3526="",$R3526="Trùng"),"",COUNTIFS(ORDERS!$C$2:$C$4995,$D3526,ORDERS!$L$2:$L$4995,"Đã chuyển khoản"))</f>
        <v/>
      </c>
      <c r="X3526" s="23">
        <f>IF(OR($D3526="",$R3526="Trùng"),"",SUMIFS(ORDERS!$J$2:$J$4995,ORDERS!$C$2:$C$4995,$D3526,ORDERS!$L$2:$L$4995,"Đã chuyển khoản"))</f>
        <v/>
      </c>
      <c r="Y3526" s="24" t="n"/>
    </row>
    <row r="3527" ht="14.25" customHeight="1" s="40">
      <c r="A3527" s="24" t="n"/>
      <c r="B3527" s="27" t="n"/>
      <c r="C3527" s="24" t="n"/>
      <c r="D3527" s="28" t="n"/>
      <c r="E3527" s="29" t="n"/>
      <c r="F3527" s="24" t="n"/>
      <c r="G3527" s="24" t="n"/>
      <c r="H3527" s="21">
        <f>IF(ISNUMBER($B3527),INT($B3527)-WEEKDAY($B3527,2)+1,"")</f>
        <v/>
      </c>
      <c r="I3527" s="24" t="n"/>
      <c r="J3527" s="22">
        <f t="array" ref="J3527">IF($D3527="","",IF($I3527="","(trống REF)",IFERROR(INDEX(MASTER_SOURCE!$B$2:$B$495,MATCH($I3527,MASTER_SOURCE!$A$2:$A$495,0)),"(REF không có trong MASTER_SOURCE)")))</f>
        <v/>
      </c>
      <c r="K3527" s="22">
        <f t="array" ref="K3527">IF($D3527="","",IFERROR(INDEX(MASTER_SOURCE!$C$2:$C$495,MATCH($I3527,MASTER_SOURCE!$A$2:$A$495,0)),""))</f>
        <v/>
      </c>
      <c r="L3527" s="22">
        <f t="array" ref="L3527">IF($D3527="","",IFERROR(INDEX(MASTER_SOURCE!$D$2:$D$495,MATCH($I3527,MASTER_SOURCE!$A$2:$A$495,0)),""))</f>
        <v/>
      </c>
      <c r="M3527" s="24" t="n"/>
      <c r="N3527" s="24" t="n"/>
      <c r="O3527" s="24" t="n"/>
      <c r="P3527" s="24" t="n"/>
      <c r="Q3527" s="22">
        <f>IF($D3527="","",IF(AND(OR(DANH_MUC!$L$5&lt;&gt;"Có",M3527="Có"),OR(DANH_MUC!$L$6&lt;&gt;"Có",N3527="Có"),OR(DANH_MUC!$L$7&lt;&gt;"Có",O3527="Có"),OR(DANH_MUC!$L$8&lt;&gt;"Có",P3527="Có")),"Có","Không"))</f>
        <v/>
      </c>
      <c r="R3527" s="22">
        <f>IF($D3527="","",IF(COUNTIF($D$2:$D3527,$D3527)&gt;1,"Trùng",""))</f>
        <v/>
      </c>
      <c r="S3527" s="22">
        <f>IF($D3527="","",IF(AND(LEN($D3527)=10,LEFT($D3527,1)="0",ISNUMBER(--$D3527)),"Có","Không"))</f>
        <v/>
      </c>
      <c r="T3527" s="22">
        <f>IF($D3527="","",IF(AND($C3527&lt;&gt;"",$Q3527="Có",$R3527="",$S3527="Có",AND($L3527&lt;&gt;"",OR($L3527&lt;&gt;"Chưa xác định",DANH_MUC!$L$9="Có"))),"Có","Không"))</f>
        <v/>
      </c>
      <c r="U3527" s="22">
        <f>IF(OR($D3527="",$T3527="Có"),"",IF($C3527="","Thiếu họ tên; ","")&amp;IF($S3527&lt;&gt;"Có","SĐT sai định dạng; ","")&amp;IF($R3527="Trùng","Trùng SĐT; ","")&amp;IF($Q3527&lt;&gt;"Có","Thiếu đồng ý bắt buộc; ","")&amp;IF($L3527="","Thiếu/sai Mã REF; ",IF(AND($L3527="Chưa xác định",DANH_MUC!$L$9&lt;&gt;"Có"),"Nguồn chưa xác định; ","")))</f>
        <v/>
      </c>
      <c r="V3527" s="22">
        <f>IF(OR($D3527="",$R3527="Trùng"),"",IF(COUNTIF(ORDERS!$C$2:$C$4995,$D3527)&gt;0,"Có","Không"))</f>
        <v/>
      </c>
      <c r="W3527" s="22">
        <f>IF(OR($D3527="",$R3527="Trùng"),"",COUNTIFS(ORDERS!$C$2:$C$4995,$D3527,ORDERS!$L$2:$L$4995,"Đã chuyển khoản"))</f>
        <v/>
      </c>
      <c r="X3527" s="23">
        <f>IF(OR($D3527="",$R3527="Trùng"),"",SUMIFS(ORDERS!$J$2:$J$4995,ORDERS!$C$2:$C$4995,$D3527,ORDERS!$L$2:$L$4995,"Đã chuyển khoản"))</f>
        <v/>
      </c>
      <c r="Y3527" s="24" t="n"/>
    </row>
    <row r="3528" ht="14.25" customHeight="1" s="40">
      <c r="A3528" s="24" t="n"/>
      <c r="B3528" s="27" t="n"/>
      <c r="C3528" s="24" t="n"/>
      <c r="D3528" s="28" t="n"/>
      <c r="E3528" s="29" t="n"/>
      <c r="F3528" s="24" t="n"/>
      <c r="G3528" s="24" t="n"/>
      <c r="H3528" s="21">
        <f>IF(ISNUMBER($B3528),INT($B3528)-WEEKDAY($B3528,2)+1,"")</f>
        <v/>
      </c>
      <c r="I3528" s="24" t="n"/>
      <c r="J3528" s="22">
        <f t="array" ref="J3528">IF($D3528="","",IF($I3528="","(trống REF)",IFERROR(INDEX(MASTER_SOURCE!$B$2:$B$495,MATCH($I3528,MASTER_SOURCE!$A$2:$A$495,0)),"(REF không có trong MASTER_SOURCE)")))</f>
        <v/>
      </c>
      <c r="K3528" s="22">
        <f t="array" ref="K3528">IF($D3528="","",IFERROR(INDEX(MASTER_SOURCE!$C$2:$C$495,MATCH($I3528,MASTER_SOURCE!$A$2:$A$495,0)),""))</f>
        <v/>
      </c>
      <c r="L3528" s="22">
        <f t="array" ref="L3528">IF($D3528="","",IFERROR(INDEX(MASTER_SOURCE!$D$2:$D$495,MATCH($I3528,MASTER_SOURCE!$A$2:$A$495,0)),""))</f>
        <v/>
      </c>
      <c r="M3528" s="24" t="n"/>
      <c r="N3528" s="24" t="n"/>
      <c r="O3528" s="24" t="n"/>
      <c r="P3528" s="24" t="n"/>
      <c r="Q3528" s="22">
        <f>IF($D3528="","",IF(AND(OR(DANH_MUC!$L$5&lt;&gt;"Có",M3528="Có"),OR(DANH_MUC!$L$6&lt;&gt;"Có",N3528="Có"),OR(DANH_MUC!$L$7&lt;&gt;"Có",O3528="Có"),OR(DANH_MUC!$L$8&lt;&gt;"Có",P3528="Có")),"Có","Không"))</f>
        <v/>
      </c>
      <c r="R3528" s="22">
        <f>IF($D3528="","",IF(COUNTIF($D$2:$D3528,$D3528)&gt;1,"Trùng",""))</f>
        <v/>
      </c>
      <c r="S3528" s="22">
        <f>IF($D3528="","",IF(AND(LEN($D3528)=10,LEFT($D3528,1)="0",ISNUMBER(--$D3528)),"Có","Không"))</f>
        <v/>
      </c>
      <c r="T3528" s="22">
        <f>IF($D3528="","",IF(AND($C3528&lt;&gt;"",$Q3528="Có",$R3528="",$S3528="Có",AND($L3528&lt;&gt;"",OR($L3528&lt;&gt;"Chưa xác định",DANH_MUC!$L$9="Có"))),"Có","Không"))</f>
        <v/>
      </c>
      <c r="U3528" s="22">
        <f>IF(OR($D3528="",$T3528="Có"),"",IF($C3528="","Thiếu họ tên; ","")&amp;IF($S3528&lt;&gt;"Có","SĐT sai định dạng; ","")&amp;IF($R3528="Trùng","Trùng SĐT; ","")&amp;IF($Q3528&lt;&gt;"Có","Thiếu đồng ý bắt buộc; ","")&amp;IF($L3528="","Thiếu/sai Mã REF; ",IF(AND($L3528="Chưa xác định",DANH_MUC!$L$9&lt;&gt;"Có"),"Nguồn chưa xác định; ","")))</f>
        <v/>
      </c>
      <c r="V3528" s="22">
        <f>IF(OR($D3528="",$R3528="Trùng"),"",IF(COUNTIF(ORDERS!$C$2:$C$4995,$D3528)&gt;0,"Có","Không"))</f>
        <v/>
      </c>
      <c r="W3528" s="22">
        <f>IF(OR($D3528="",$R3528="Trùng"),"",COUNTIFS(ORDERS!$C$2:$C$4995,$D3528,ORDERS!$L$2:$L$4995,"Đã chuyển khoản"))</f>
        <v/>
      </c>
      <c r="X3528" s="23">
        <f>IF(OR($D3528="",$R3528="Trùng"),"",SUMIFS(ORDERS!$J$2:$J$4995,ORDERS!$C$2:$C$4995,$D3528,ORDERS!$L$2:$L$4995,"Đã chuyển khoản"))</f>
        <v/>
      </c>
      <c r="Y3528" s="24" t="n"/>
    </row>
    <row r="3529" ht="14.25" customHeight="1" s="40">
      <c r="A3529" s="24" t="n"/>
      <c r="B3529" s="27" t="n"/>
      <c r="C3529" s="24" t="n"/>
      <c r="D3529" s="28" t="n"/>
      <c r="E3529" s="29" t="n"/>
      <c r="F3529" s="24" t="n"/>
      <c r="G3529" s="24" t="n"/>
      <c r="H3529" s="21">
        <f>IF(ISNUMBER($B3529),INT($B3529)-WEEKDAY($B3529,2)+1,"")</f>
        <v/>
      </c>
      <c r="I3529" s="24" t="n"/>
      <c r="J3529" s="22">
        <f t="array" ref="J3529">IF($D3529="","",IF($I3529="","(trống REF)",IFERROR(INDEX(MASTER_SOURCE!$B$2:$B$495,MATCH($I3529,MASTER_SOURCE!$A$2:$A$495,0)),"(REF không có trong MASTER_SOURCE)")))</f>
        <v/>
      </c>
      <c r="K3529" s="22">
        <f t="array" ref="K3529">IF($D3529="","",IFERROR(INDEX(MASTER_SOURCE!$C$2:$C$495,MATCH($I3529,MASTER_SOURCE!$A$2:$A$495,0)),""))</f>
        <v/>
      </c>
      <c r="L3529" s="22">
        <f t="array" ref="L3529">IF($D3529="","",IFERROR(INDEX(MASTER_SOURCE!$D$2:$D$495,MATCH($I3529,MASTER_SOURCE!$A$2:$A$495,0)),""))</f>
        <v/>
      </c>
      <c r="M3529" s="24" t="n"/>
      <c r="N3529" s="24" t="n"/>
      <c r="O3529" s="24" t="n"/>
      <c r="P3529" s="24" t="n"/>
      <c r="Q3529" s="22">
        <f>IF($D3529="","",IF(AND(OR(DANH_MUC!$L$5&lt;&gt;"Có",M3529="Có"),OR(DANH_MUC!$L$6&lt;&gt;"Có",N3529="Có"),OR(DANH_MUC!$L$7&lt;&gt;"Có",O3529="Có"),OR(DANH_MUC!$L$8&lt;&gt;"Có",P3529="Có")),"Có","Không"))</f>
        <v/>
      </c>
      <c r="R3529" s="22">
        <f>IF($D3529="","",IF(COUNTIF($D$2:$D3529,$D3529)&gt;1,"Trùng",""))</f>
        <v/>
      </c>
      <c r="S3529" s="22">
        <f>IF($D3529="","",IF(AND(LEN($D3529)=10,LEFT($D3529,1)="0",ISNUMBER(--$D3529)),"Có","Không"))</f>
        <v/>
      </c>
      <c r="T3529" s="22">
        <f>IF($D3529="","",IF(AND($C3529&lt;&gt;"",$Q3529="Có",$R3529="",$S3529="Có",AND($L3529&lt;&gt;"",OR($L3529&lt;&gt;"Chưa xác định",DANH_MUC!$L$9="Có"))),"Có","Không"))</f>
        <v/>
      </c>
      <c r="U3529" s="22">
        <f>IF(OR($D3529="",$T3529="Có"),"",IF($C3529="","Thiếu họ tên; ","")&amp;IF($S3529&lt;&gt;"Có","SĐT sai định dạng; ","")&amp;IF($R3529="Trùng","Trùng SĐT; ","")&amp;IF($Q3529&lt;&gt;"Có","Thiếu đồng ý bắt buộc; ","")&amp;IF($L3529="","Thiếu/sai Mã REF; ",IF(AND($L3529="Chưa xác định",DANH_MUC!$L$9&lt;&gt;"Có"),"Nguồn chưa xác định; ","")))</f>
        <v/>
      </c>
      <c r="V3529" s="22">
        <f>IF(OR($D3529="",$R3529="Trùng"),"",IF(COUNTIF(ORDERS!$C$2:$C$4995,$D3529)&gt;0,"Có","Không"))</f>
        <v/>
      </c>
      <c r="W3529" s="22">
        <f>IF(OR($D3529="",$R3529="Trùng"),"",COUNTIFS(ORDERS!$C$2:$C$4995,$D3529,ORDERS!$L$2:$L$4995,"Đã chuyển khoản"))</f>
        <v/>
      </c>
      <c r="X3529" s="23">
        <f>IF(OR($D3529="",$R3529="Trùng"),"",SUMIFS(ORDERS!$J$2:$J$4995,ORDERS!$C$2:$C$4995,$D3529,ORDERS!$L$2:$L$4995,"Đã chuyển khoản"))</f>
        <v/>
      </c>
      <c r="Y3529" s="24" t="n"/>
    </row>
    <row r="3530" ht="14.25" customHeight="1" s="40">
      <c r="A3530" s="24" t="n"/>
      <c r="B3530" s="27" t="n"/>
      <c r="C3530" s="24" t="n"/>
      <c r="D3530" s="28" t="n"/>
      <c r="E3530" s="29" t="n"/>
      <c r="F3530" s="24" t="n"/>
      <c r="G3530" s="24" t="n"/>
      <c r="H3530" s="21">
        <f>IF(ISNUMBER($B3530),INT($B3530)-WEEKDAY($B3530,2)+1,"")</f>
        <v/>
      </c>
      <c r="I3530" s="24" t="n"/>
      <c r="J3530" s="22">
        <f t="array" ref="J3530">IF($D3530="","",IF($I3530="","(trống REF)",IFERROR(INDEX(MASTER_SOURCE!$B$2:$B$495,MATCH($I3530,MASTER_SOURCE!$A$2:$A$495,0)),"(REF không có trong MASTER_SOURCE)")))</f>
        <v/>
      </c>
      <c r="K3530" s="22">
        <f t="array" ref="K3530">IF($D3530="","",IFERROR(INDEX(MASTER_SOURCE!$C$2:$C$495,MATCH($I3530,MASTER_SOURCE!$A$2:$A$495,0)),""))</f>
        <v/>
      </c>
      <c r="L3530" s="22">
        <f t="array" ref="L3530">IF($D3530="","",IFERROR(INDEX(MASTER_SOURCE!$D$2:$D$495,MATCH($I3530,MASTER_SOURCE!$A$2:$A$495,0)),""))</f>
        <v/>
      </c>
      <c r="M3530" s="24" t="n"/>
      <c r="N3530" s="24" t="n"/>
      <c r="O3530" s="24" t="n"/>
      <c r="P3530" s="24" t="n"/>
      <c r="Q3530" s="22">
        <f>IF($D3530="","",IF(AND(OR(DANH_MUC!$L$5&lt;&gt;"Có",M3530="Có"),OR(DANH_MUC!$L$6&lt;&gt;"Có",N3530="Có"),OR(DANH_MUC!$L$7&lt;&gt;"Có",O3530="Có"),OR(DANH_MUC!$L$8&lt;&gt;"Có",P3530="Có")),"Có","Không"))</f>
        <v/>
      </c>
      <c r="R3530" s="22">
        <f>IF($D3530="","",IF(COUNTIF($D$2:$D3530,$D3530)&gt;1,"Trùng",""))</f>
        <v/>
      </c>
      <c r="S3530" s="22">
        <f>IF($D3530="","",IF(AND(LEN($D3530)=10,LEFT($D3530,1)="0",ISNUMBER(--$D3530)),"Có","Không"))</f>
        <v/>
      </c>
      <c r="T3530" s="22">
        <f>IF($D3530="","",IF(AND($C3530&lt;&gt;"",$Q3530="Có",$R3530="",$S3530="Có",AND($L3530&lt;&gt;"",OR($L3530&lt;&gt;"Chưa xác định",DANH_MUC!$L$9="Có"))),"Có","Không"))</f>
        <v/>
      </c>
      <c r="U3530" s="22">
        <f>IF(OR($D3530="",$T3530="Có"),"",IF($C3530="","Thiếu họ tên; ","")&amp;IF($S3530&lt;&gt;"Có","SĐT sai định dạng; ","")&amp;IF($R3530="Trùng","Trùng SĐT; ","")&amp;IF($Q3530&lt;&gt;"Có","Thiếu đồng ý bắt buộc; ","")&amp;IF($L3530="","Thiếu/sai Mã REF; ",IF(AND($L3530="Chưa xác định",DANH_MUC!$L$9&lt;&gt;"Có"),"Nguồn chưa xác định; ","")))</f>
        <v/>
      </c>
      <c r="V3530" s="22">
        <f>IF(OR($D3530="",$R3530="Trùng"),"",IF(COUNTIF(ORDERS!$C$2:$C$4995,$D3530)&gt;0,"Có","Không"))</f>
        <v/>
      </c>
      <c r="W3530" s="22">
        <f>IF(OR($D3530="",$R3530="Trùng"),"",COUNTIFS(ORDERS!$C$2:$C$4995,$D3530,ORDERS!$L$2:$L$4995,"Đã chuyển khoản"))</f>
        <v/>
      </c>
      <c r="X3530" s="23">
        <f>IF(OR($D3530="",$R3530="Trùng"),"",SUMIFS(ORDERS!$J$2:$J$4995,ORDERS!$C$2:$C$4995,$D3530,ORDERS!$L$2:$L$4995,"Đã chuyển khoản"))</f>
        <v/>
      </c>
      <c r="Y3530" s="24" t="n"/>
    </row>
    <row r="3531" ht="14.25" customHeight="1" s="40">
      <c r="A3531" s="24" t="n"/>
      <c r="B3531" s="27" t="n"/>
      <c r="C3531" s="24" t="n"/>
      <c r="D3531" s="28" t="n"/>
      <c r="E3531" s="29" t="n"/>
      <c r="F3531" s="24" t="n"/>
      <c r="G3531" s="24" t="n"/>
      <c r="H3531" s="21">
        <f>IF(ISNUMBER($B3531),INT($B3531)-WEEKDAY($B3531,2)+1,"")</f>
        <v/>
      </c>
      <c r="I3531" s="24" t="n"/>
      <c r="J3531" s="22">
        <f t="array" ref="J3531">IF($D3531="","",IF($I3531="","(trống REF)",IFERROR(INDEX(MASTER_SOURCE!$B$2:$B$495,MATCH($I3531,MASTER_SOURCE!$A$2:$A$495,0)),"(REF không có trong MASTER_SOURCE)")))</f>
        <v/>
      </c>
      <c r="K3531" s="22">
        <f t="array" ref="K3531">IF($D3531="","",IFERROR(INDEX(MASTER_SOURCE!$C$2:$C$495,MATCH($I3531,MASTER_SOURCE!$A$2:$A$495,0)),""))</f>
        <v/>
      </c>
      <c r="L3531" s="22">
        <f t="array" ref="L3531">IF($D3531="","",IFERROR(INDEX(MASTER_SOURCE!$D$2:$D$495,MATCH($I3531,MASTER_SOURCE!$A$2:$A$495,0)),""))</f>
        <v/>
      </c>
      <c r="M3531" s="24" t="n"/>
      <c r="N3531" s="24" t="n"/>
      <c r="O3531" s="24" t="n"/>
      <c r="P3531" s="24" t="n"/>
      <c r="Q3531" s="22">
        <f>IF($D3531="","",IF(AND(OR(DANH_MUC!$L$5&lt;&gt;"Có",M3531="Có"),OR(DANH_MUC!$L$6&lt;&gt;"Có",N3531="Có"),OR(DANH_MUC!$L$7&lt;&gt;"Có",O3531="Có"),OR(DANH_MUC!$L$8&lt;&gt;"Có",P3531="Có")),"Có","Không"))</f>
        <v/>
      </c>
      <c r="R3531" s="22">
        <f>IF($D3531="","",IF(COUNTIF($D$2:$D3531,$D3531)&gt;1,"Trùng",""))</f>
        <v/>
      </c>
      <c r="S3531" s="22">
        <f>IF($D3531="","",IF(AND(LEN($D3531)=10,LEFT($D3531,1)="0",ISNUMBER(--$D3531)),"Có","Không"))</f>
        <v/>
      </c>
      <c r="T3531" s="22">
        <f>IF($D3531="","",IF(AND($C3531&lt;&gt;"",$Q3531="Có",$R3531="",$S3531="Có",AND($L3531&lt;&gt;"",OR($L3531&lt;&gt;"Chưa xác định",DANH_MUC!$L$9="Có"))),"Có","Không"))</f>
        <v/>
      </c>
      <c r="U3531" s="22">
        <f>IF(OR($D3531="",$T3531="Có"),"",IF($C3531="","Thiếu họ tên; ","")&amp;IF($S3531&lt;&gt;"Có","SĐT sai định dạng; ","")&amp;IF($R3531="Trùng","Trùng SĐT; ","")&amp;IF($Q3531&lt;&gt;"Có","Thiếu đồng ý bắt buộc; ","")&amp;IF($L3531="","Thiếu/sai Mã REF; ",IF(AND($L3531="Chưa xác định",DANH_MUC!$L$9&lt;&gt;"Có"),"Nguồn chưa xác định; ","")))</f>
        <v/>
      </c>
      <c r="V3531" s="22">
        <f>IF(OR($D3531="",$R3531="Trùng"),"",IF(COUNTIF(ORDERS!$C$2:$C$4995,$D3531)&gt;0,"Có","Không"))</f>
        <v/>
      </c>
      <c r="W3531" s="22">
        <f>IF(OR($D3531="",$R3531="Trùng"),"",COUNTIFS(ORDERS!$C$2:$C$4995,$D3531,ORDERS!$L$2:$L$4995,"Đã chuyển khoản"))</f>
        <v/>
      </c>
      <c r="X3531" s="23">
        <f>IF(OR($D3531="",$R3531="Trùng"),"",SUMIFS(ORDERS!$J$2:$J$4995,ORDERS!$C$2:$C$4995,$D3531,ORDERS!$L$2:$L$4995,"Đã chuyển khoản"))</f>
        <v/>
      </c>
      <c r="Y3531" s="24" t="n"/>
    </row>
    <row r="3532" ht="14.25" customHeight="1" s="40">
      <c r="A3532" s="24" t="n"/>
      <c r="B3532" s="27" t="n"/>
      <c r="C3532" s="24" t="n"/>
      <c r="D3532" s="28" t="n"/>
      <c r="E3532" s="29" t="n"/>
      <c r="F3532" s="24" t="n"/>
      <c r="G3532" s="24" t="n"/>
      <c r="H3532" s="21">
        <f>IF(ISNUMBER($B3532),INT($B3532)-WEEKDAY($B3532,2)+1,"")</f>
        <v/>
      </c>
      <c r="I3532" s="24" t="n"/>
      <c r="J3532" s="22">
        <f t="array" ref="J3532">IF($D3532="","",IF($I3532="","(trống REF)",IFERROR(INDEX(MASTER_SOURCE!$B$2:$B$495,MATCH($I3532,MASTER_SOURCE!$A$2:$A$495,0)),"(REF không có trong MASTER_SOURCE)")))</f>
        <v/>
      </c>
      <c r="K3532" s="22">
        <f t="array" ref="K3532">IF($D3532="","",IFERROR(INDEX(MASTER_SOURCE!$C$2:$C$495,MATCH($I3532,MASTER_SOURCE!$A$2:$A$495,0)),""))</f>
        <v/>
      </c>
      <c r="L3532" s="22">
        <f t="array" ref="L3532">IF($D3532="","",IFERROR(INDEX(MASTER_SOURCE!$D$2:$D$495,MATCH($I3532,MASTER_SOURCE!$A$2:$A$495,0)),""))</f>
        <v/>
      </c>
      <c r="M3532" s="24" t="n"/>
      <c r="N3532" s="24" t="n"/>
      <c r="O3532" s="24" t="n"/>
      <c r="P3532" s="24" t="n"/>
      <c r="Q3532" s="22">
        <f>IF($D3532="","",IF(AND(OR(DANH_MUC!$L$5&lt;&gt;"Có",M3532="Có"),OR(DANH_MUC!$L$6&lt;&gt;"Có",N3532="Có"),OR(DANH_MUC!$L$7&lt;&gt;"Có",O3532="Có"),OR(DANH_MUC!$L$8&lt;&gt;"Có",P3532="Có")),"Có","Không"))</f>
        <v/>
      </c>
      <c r="R3532" s="22">
        <f>IF($D3532="","",IF(COUNTIF($D$2:$D3532,$D3532)&gt;1,"Trùng",""))</f>
        <v/>
      </c>
      <c r="S3532" s="22">
        <f>IF($D3532="","",IF(AND(LEN($D3532)=10,LEFT($D3532,1)="0",ISNUMBER(--$D3532)),"Có","Không"))</f>
        <v/>
      </c>
      <c r="T3532" s="22">
        <f>IF($D3532="","",IF(AND($C3532&lt;&gt;"",$Q3532="Có",$R3532="",$S3532="Có",AND($L3532&lt;&gt;"",OR($L3532&lt;&gt;"Chưa xác định",DANH_MUC!$L$9="Có"))),"Có","Không"))</f>
        <v/>
      </c>
      <c r="U3532" s="22">
        <f>IF(OR($D3532="",$T3532="Có"),"",IF($C3532="","Thiếu họ tên; ","")&amp;IF($S3532&lt;&gt;"Có","SĐT sai định dạng; ","")&amp;IF($R3532="Trùng","Trùng SĐT; ","")&amp;IF($Q3532&lt;&gt;"Có","Thiếu đồng ý bắt buộc; ","")&amp;IF($L3532="","Thiếu/sai Mã REF; ",IF(AND($L3532="Chưa xác định",DANH_MUC!$L$9&lt;&gt;"Có"),"Nguồn chưa xác định; ","")))</f>
        <v/>
      </c>
      <c r="V3532" s="22">
        <f>IF(OR($D3532="",$R3532="Trùng"),"",IF(COUNTIF(ORDERS!$C$2:$C$4995,$D3532)&gt;0,"Có","Không"))</f>
        <v/>
      </c>
      <c r="W3532" s="22">
        <f>IF(OR($D3532="",$R3532="Trùng"),"",COUNTIFS(ORDERS!$C$2:$C$4995,$D3532,ORDERS!$L$2:$L$4995,"Đã chuyển khoản"))</f>
        <v/>
      </c>
      <c r="X3532" s="23">
        <f>IF(OR($D3532="",$R3532="Trùng"),"",SUMIFS(ORDERS!$J$2:$J$4995,ORDERS!$C$2:$C$4995,$D3532,ORDERS!$L$2:$L$4995,"Đã chuyển khoản"))</f>
        <v/>
      </c>
      <c r="Y3532" s="24" t="n"/>
    </row>
    <row r="3533" ht="14.25" customHeight="1" s="40">
      <c r="A3533" s="24" t="n"/>
      <c r="B3533" s="27" t="n"/>
      <c r="C3533" s="24" t="n"/>
      <c r="D3533" s="28" t="n"/>
      <c r="E3533" s="29" t="n"/>
      <c r="F3533" s="24" t="n"/>
      <c r="G3533" s="24" t="n"/>
      <c r="H3533" s="21">
        <f>IF(ISNUMBER($B3533),INT($B3533)-WEEKDAY($B3533,2)+1,"")</f>
        <v/>
      </c>
      <c r="I3533" s="24" t="n"/>
      <c r="J3533" s="22">
        <f t="array" ref="J3533">IF($D3533="","",IF($I3533="","(trống REF)",IFERROR(INDEX(MASTER_SOURCE!$B$2:$B$495,MATCH($I3533,MASTER_SOURCE!$A$2:$A$495,0)),"(REF không có trong MASTER_SOURCE)")))</f>
        <v/>
      </c>
      <c r="K3533" s="22">
        <f t="array" ref="K3533">IF($D3533="","",IFERROR(INDEX(MASTER_SOURCE!$C$2:$C$495,MATCH($I3533,MASTER_SOURCE!$A$2:$A$495,0)),""))</f>
        <v/>
      </c>
      <c r="L3533" s="22">
        <f t="array" ref="L3533">IF($D3533="","",IFERROR(INDEX(MASTER_SOURCE!$D$2:$D$495,MATCH($I3533,MASTER_SOURCE!$A$2:$A$495,0)),""))</f>
        <v/>
      </c>
      <c r="M3533" s="24" t="n"/>
      <c r="N3533" s="24" t="n"/>
      <c r="O3533" s="24" t="n"/>
      <c r="P3533" s="24" t="n"/>
      <c r="Q3533" s="22">
        <f>IF($D3533="","",IF(AND(OR(DANH_MUC!$L$5&lt;&gt;"Có",M3533="Có"),OR(DANH_MUC!$L$6&lt;&gt;"Có",N3533="Có"),OR(DANH_MUC!$L$7&lt;&gt;"Có",O3533="Có"),OR(DANH_MUC!$L$8&lt;&gt;"Có",P3533="Có")),"Có","Không"))</f>
        <v/>
      </c>
      <c r="R3533" s="22">
        <f>IF($D3533="","",IF(COUNTIF($D$2:$D3533,$D3533)&gt;1,"Trùng",""))</f>
        <v/>
      </c>
      <c r="S3533" s="22">
        <f>IF($D3533="","",IF(AND(LEN($D3533)=10,LEFT($D3533,1)="0",ISNUMBER(--$D3533)),"Có","Không"))</f>
        <v/>
      </c>
      <c r="T3533" s="22">
        <f>IF($D3533="","",IF(AND($C3533&lt;&gt;"",$Q3533="Có",$R3533="",$S3533="Có",AND($L3533&lt;&gt;"",OR($L3533&lt;&gt;"Chưa xác định",DANH_MUC!$L$9="Có"))),"Có","Không"))</f>
        <v/>
      </c>
      <c r="U3533" s="22">
        <f>IF(OR($D3533="",$T3533="Có"),"",IF($C3533="","Thiếu họ tên; ","")&amp;IF($S3533&lt;&gt;"Có","SĐT sai định dạng; ","")&amp;IF($R3533="Trùng","Trùng SĐT; ","")&amp;IF($Q3533&lt;&gt;"Có","Thiếu đồng ý bắt buộc; ","")&amp;IF($L3533="","Thiếu/sai Mã REF; ",IF(AND($L3533="Chưa xác định",DANH_MUC!$L$9&lt;&gt;"Có"),"Nguồn chưa xác định; ","")))</f>
        <v/>
      </c>
      <c r="V3533" s="22">
        <f>IF(OR($D3533="",$R3533="Trùng"),"",IF(COUNTIF(ORDERS!$C$2:$C$4995,$D3533)&gt;0,"Có","Không"))</f>
        <v/>
      </c>
      <c r="W3533" s="22">
        <f>IF(OR($D3533="",$R3533="Trùng"),"",COUNTIFS(ORDERS!$C$2:$C$4995,$D3533,ORDERS!$L$2:$L$4995,"Đã chuyển khoản"))</f>
        <v/>
      </c>
      <c r="X3533" s="23">
        <f>IF(OR($D3533="",$R3533="Trùng"),"",SUMIFS(ORDERS!$J$2:$J$4995,ORDERS!$C$2:$C$4995,$D3533,ORDERS!$L$2:$L$4995,"Đã chuyển khoản"))</f>
        <v/>
      </c>
      <c r="Y3533" s="24" t="n"/>
    </row>
    <row r="3534" ht="14.25" customHeight="1" s="40">
      <c r="A3534" s="24" t="n"/>
      <c r="B3534" s="27" t="n"/>
      <c r="C3534" s="24" t="n"/>
      <c r="D3534" s="28" t="n"/>
      <c r="E3534" s="29" t="n"/>
      <c r="F3534" s="24" t="n"/>
      <c r="G3534" s="24" t="n"/>
      <c r="H3534" s="21">
        <f>IF(ISNUMBER($B3534),INT($B3534)-WEEKDAY($B3534,2)+1,"")</f>
        <v/>
      </c>
      <c r="I3534" s="24" t="n"/>
      <c r="J3534" s="22">
        <f t="array" ref="J3534">IF($D3534="","",IF($I3534="","(trống REF)",IFERROR(INDEX(MASTER_SOURCE!$B$2:$B$495,MATCH($I3534,MASTER_SOURCE!$A$2:$A$495,0)),"(REF không có trong MASTER_SOURCE)")))</f>
        <v/>
      </c>
      <c r="K3534" s="22">
        <f t="array" ref="K3534">IF($D3534="","",IFERROR(INDEX(MASTER_SOURCE!$C$2:$C$495,MATCH($I3534,MASTER_SOURCE!$A$2:$A$495,0)),""))</f>
        <v/>
      </c>
      <c r="L3534" s="22">
        <f t="array" ref="L3534">IF($D3534="","",IFERROR(INDEX(MASTER_SOURCE!$D$2:$D$495,MATCH($I3534,MASTER_SOURCE!$A$2:$A$495,0)),""))</f>
        <v/>
      </c>
      <c r="M3534" s="24" t="n"/>
      <c r="N3534" s="24" t="n"/>
      <c r="O3534" s="24" t="n"/>
      <c r="P3534" s="24" t="n"/>
      <c r="Q3534" s="22">
        <f>IF($D3534="","",IF(AND(OR(DANH_MUC!$L$5&lt;&gt;"Có",M3534="Có"),OR(DANH_MUC!$L$6&lt;&gt;"Có",N3534="Có"),OR(DANH_MUC!$L$7&lt;&gt;"Có",O3534="Có"),OR(DANH_MUC!$L$8&lt;&gt;"Có",P3534="Có")),"Có","Không"))</f>
        <v/>
      </c>
      <c r="R3534" s="22">
        <f>IF($D3534="","",IF(COUNTIF($D$2:$D3534,$D3534)&gt;1,"Trùng",""))</f>
        <v/>
      </c>
      <c r="S3534" s="22">
        <f>IF($D3534="","",IF(AND(LEN($D3534)=10,LEFT($D3534,1)="0",ISNUMBER(--$D3534)),"Có","Không"))</f>
        <v/>
      </c>
      <c r="T3534" s="22">
        <f>IF($D3534="","",IF(AND($C3534&lt;&gt;"",$Q3534="Có",$R3534="",$S3534="Có",AND($L3534&lt;&gt;"",OR($L3534&lt;&gt;"Chưa xác định",DANH_MUC!$L$9="Có"))),"Có","Không"))</f>
        <v/>
      </c>
      <c r="U3534" s="22">
        <f>IF(OR($D3534="",$T3534="Có"),"",IF($C3534="","Thiếu họ tên; ","")&amp;IF($S3534&lt;&gt;"Có","SĐT sai định dạng; ","")&amp;IF($R3534="Trùng","Trùng SĐT; ","")&amp;IF($Q3534&lt;&gt;"Có","Thiếu đồng ý bắt buộc; ","")&amp;IF($L3534="","Thiếu/sai Mã REF; ",IF(AND($L3534="Chưa xác định",DANH_MUC!$L$9&lt;&gt;"Có"),"Nguồn chưa xác định; ","")))</f>
        <v/>
      </c>
      <c r="V3534" s="22">
        <f>IF(OR($D3534="",$R3534="Trùng"),"",IF(COUNTIF(ORDERS!$C$2:$C$4995,$D3534)&gt;0,"Có","Không"))</f>
        <v/>
      </c>
      <c r="W3534" s="22">
        <f>IF(OR($D3534="",$R3534="Trùng"),"",COUNTIFS(ORDERS!$C$2:$C$4995,$D3534,ORDERS!$L$2:$L$4995,"Đã chuyển khoản"))</f>
        <v/>
      </c>
      <c r="X3534" s="23">
        <f>IF(OR($D3534="",$R3534="Trùng"),"",SUMIFS(ORDERS!$J$2:$J$4995,ORDERS!$C$2:$C$4995,$D3534,ORDERS!$L$2:$L$4995,"Đã chuyển khoản"))</f>
        <v/>
      </c>
      <c r="Y3534" s="24" t="n"/>
    </row>
    <row r="3535" ht="14.25" customHeight="1" s="40">
      <c r="A3535" s="24" t="n"/>
      <c r="B3535" s="27" t="n"/>
      <c r="C3535" s="24" t="n"/>
      <c r="D3535" s="28" t="n"/>
      <c r="E3535" s="29" t="n"/>
      <c r="F3535" s="24" t="n"/>
      <c r="G3535" s="24" t="n"/>
      <c r="H3535" s="21">
        <f>IF(ISNUMBER($B3535),INT($B3535)-WEEKDAY($B3535,2)+1,"")</f>
        <v/>
      </c>
      <c r="I3535" s="24" t="n"/>
      <c r="J3535" s="22">
        <f t="array" ref="J3535">IF($D3535="","",IF($I3535="","(trống REF)",IFERROR(INDEX(MASTER_SOURCE!$B$2:$B$495,MATCH($I3535,MASTER_SOURCE!$A$2:$A$495,0)),"(REF không có trong MASTER_SOURCE)")))</f>
        <v/>
      </c>
      <c r="K3535" s="22">
        <f t="array" ref="K3535">IF($D3535="","",IFERROR(INDEX(MASTER_SOURCE!$C$2:$C$495,MATCH($I3535,MASTER_SOURCE!$A$2:$A$495,0)),""))</f>
        <v/>
      </c>
      <c r="L3535" s="22">
        <f t="array" ref="L3535">IF($D3535="","",IFERROR(INDEX(MASTER_SOURCE!$D$2:$D$495,MATCH($I3535,MASTER_SOURCE!$A$2:$A$495,0)),""))</f>
        <v/>
      </c>
      <c r="M3535" s="24" t="n"/>
      <c r="N3535" s="24" t="n"/>
      <c r="O3535" s="24" t="n"/>
      <c r="P3535" s="24" t="n"/>
      <c r="Q3535" s="22">
        <f>IF($D3535="","",IF(AND(OR(DANH_MUC!$L$5&lt;&gt;"Có",M3535="Có"),OR(DANH_MUC!$L$6&lt;&gt;"Có",N3535="Có"),OR(DANH_MUC!$L$7&lt;&gt;"Có",O3535="Có"),OR(DANH_MUC!$L$8&lt;&gt;"Có",P3535="Có")),"Có","Không"))</f>
        <v/>
      </c>
      <c r="R3535" s="22">
        <f>IF($D3535="","",IF(COUNTIF($D$2:$D3535,$D3535)&gt;1,"Trùng",""))</f>
        <v/>
      </c>
      <c r="S3535" s="22">
        <f>IF($D3535="","",IF(AND(LEN($D3535)=10,LEFT($D3535,1)="0",ISNUMBER(--$D3535)),"Có","Không"))</f>
        <v/>
      </c>
      <c r="T3535" s="22">
        <f>IF($D3535="","",IF(AND($C3535&lt;&gt;"",$Q3535="Có",$R3535="",$S3535="Có",AND($L3535&lt;&gt;"",OR($L3535&lt;&gt;"Chưa xác định",DANH_MUC!$L$9="Có"))),"Có","Không"))</f>
        <v/>
      </c>
      <c r="U3535" s="22">
        <f>IF(OR($D3535="",$T3535="Có"),"",IF($C3535="","Thiếu họ tên; ","")&amp;IF($S3535&lt;&gt;"Có","SĐT sai định dạng; ","")&amp;IF($R3535="Trùng","Trùng SĐT; ","")&amp;IF($Q3535&lt;&gt;"Có","Thiếu đồng ý bắt buộc; ","")&amp;IF($L3535="","Thiếu/sai Mã REF; ",IF(AND($L3535="Chưa xác định",DANH_MUC!$L$9&lt;&gt;"Có"),"Nguồn chưa xác định; ","")))</f>
        <v/>
      </c>
      <c r="V3535" s="22">
        <f>IF(OR($D3535="",$R3535="Trùng"),"",IF(COUNTIF(ORDERS!$C$2:$C$4995,$D3535)&gt;0,"Có","Không"))</f>
        <v/>
      </c>
      <c r="W3535" s="22">
        <f>IF(OR($D3535="",$R3535="Trùng"),"",COUNTIFS(ORDERS!$C$2:$C$4995,$D3535,ORDERS!$L$2:$L$4995,"Đã chuyển khoản"))</f>
        <v/>
      </c>
      <c r="X3535" s="23">
        <f>IF(OR($D3535="",$R3535="Trùng"),"",SUMIFS(ORDERS!$J$2:$J$4995,ORDERS!$C$2:$C$4995,$D3535,ORDERS!$L$2:$L$4995,"Đã chuyển khoản"))</f>
        <v/>
      </c>
      <c r="Y3535" s="24" t="n"/>
    </row>
    <row r="3536" ht="14.25" customHeight="1" s="40">
      <c r="A3536" s="24" t="n"/>
      <c r="B3536" s="27" t="n"/>
      <c r="C3536" s="24" t="n"/>
      <c r="D3536" s="28" t="n"/>
      <c r="E3536" s="29" t="n"/>
      <c r="F3536" s="24" t="n"/>
      <c r="G3536" s="24" t="n"/>
      <c r="H3536" s="21">
        <f>IF(ISNUMBER($B3536),INT($B3536)-WEEKDAY($B3536,2)+1,"")</f>
        <v/>
      </c>
      <c r="I3536" s="24" t="n"/>
      <c r="J3536" s="22">
        <f t="array" ref="J3536">IF($D3536="","",IF($I3536="","(trống REF)",IFERROR(INDEX(MASTER_SOURCE!$B$2:$B$495,MATCH($I3536,MASTER_SOURCE!$A$2:$A$495,0)),"(REF không có trong MASTER_SOURCE)")))</f>
        <v/>
      </c>
      <c r="K3536" s="22">
        <f t="array" ref="K3536">IF($D3536="","",IFERROR(INDEX(MASTER_SOURCE!$C$2:$C$495,MATCH($I3536,MASTER_SOURCE!$A$2:$A$495,0)),""))</f>
        <v/>
      </c>
      <c r="L3536" s="22">
        <f t="array" ref="L3536">IF($D3536="","",IFERROR(INDEX(MASTER_SOURCE!$D$2:$D$495,MATCH($I3536,MASTER_SOURCE!$A$2:$A$495,0)),""))</f>
        <v/>
      </c>
      <c r="M3536" s="24" t="n"/>
      <c r="N3536" s="24" t="n"/>
      <c r="O3536" s="24" t="n"/>
      <c r="P3536" s="24" t="n"/>
      <c r="Q3536" s="22">
        <f>IF($D3536="","",IF(AND(OR(DANH_MUC!$L$5&lt;&gt;"Có",M3536="Có"),OR(DANH_MUC!$L$6&lt;&gt;"Có",N3536="Có"),OR(DANH_MUC!$L$7&lt;&gt;"Có",O3536="Có"),OR(DANH_MUC!$L$8&lt;&gt;"Có",P3536="Có")),"Có","Không"))</f>
        <v/>
      </c>
      <c r="R3536" s="22">
        <f>IF($D3536="","",IF(COUNTIF($D$2:$D3536,$D3536)&gt;1,"Trùng",""))</f>
        <v/>
      </c>
      <c r="S3536" s="22">
        <f>IF($D3536="","",IF(AND(LEN($D3536)=10,LEFT($D3536,1)="0",ISNUMBER(--$D3536)),"Có","Không"))</f>
        <v/>
      </c>
      <c r="T3536" s="22">
        <f>IF($D3536="","",IF(AND($C3536&lt;&gt;"",$Q3536="Có",$R3536="",$S3536="Có",AND($L3536&lt;&gt;"",OR($L3536&lt;&gt;"Chưa xác định",DANH_MUC!$L$9="Có"))),"Có","Không"))</f>
        <v/>
      </c>
      <c r="U3536" s="22">
        <f>IF(OR($D3536="",$T3536="Có"),"",IF($C3536="","Thiếu họ tên; ","")&amp;IF($S3536&lt;&gt;"Có","SĐT sai định dạng; ","")&amp;IF($R3536="Trùng","Trùng SĐT; ","")&amp;IF($Q3536&lt;&gt;"Có","Thiếu đồng ý bắt buộc; ","")&amp;IF($L3536="","Thiếu/sai Mã REF; ",IF(AND($L3536="Chưa xác định",DANH_MUC!$L$9&lt;&gt;"Có"),"Nguồn chưa xác định; ","")))</f>
        <v/>
      </c>
      <c r="V3536" s="22">
        <f>IF(OR($D3536="",$R3536="Trùng"),"",IF(COUNTIF(ORDERS!$C$2:$C$4995,$D3536)&gt;0,"Có","Không"))</f>
        <v/>
      </c>
      <c r="W3536" s="22">
        <f>IF(OR($D3536="",$R3536="Trùng"),"",COUNTIFS(ORDERS!$C$2:$C$4995,$D3536,ORDERS!$L$2:$L$4995,"Đã chuyển khoản"))</f>
        <v/>
      </c>
      <c r="X3536" s="23">
        <f>IF(OR($D3536="",$R3536="Trùng"),"",SUMIFS(ORDERS!$J$2:$J$4995,ORDERS!$C$2:$C$4995,$D3536,ORDERS!$L$2:$L$4995,"Đã chuyển khoản"))</f>
        <v/>
      </c>
      <c r="Y3536" s="24" t="n"/>
    </row>
    <row r="3537" ht="14.25" customHeight="1" s="40">
      <c r="A3537" s="24" t="n"/>
      <c r="B3537" s="27" t="n"/>
      <c r="C3537" s="24" t="n"/>
      <c r="D3537" s="28" t="n"/>
      <c r="E3537" s="29" t="n"/>
      <c r="F3537" s="24" t="n"/>
      <c r="G3537" s="24" t="n"/>
      <c r="H3537" s="21">
        <f>IF(ISNUMBER($B3537),INT($B3537)-WEEKDAY($B3537,2)+1,"")</f>
        <v/>
      </c>
      <c r="I3537" s="24" t="n"/>
      <c r="J3537" s="22">
        <f t="array" ref="J3537">IF($D3537="","",IF($I3537="","(trống REF)",IFERROR(INDEX(MASTER_SOURCE!$B$2:$B$495,MATCH($I3537,MASTER_SOURCE!$A$2:$A$495,0)),"(REF không có trong MASTER_SOURCE)")))</f>
        <v/>
      </c>
      <c r="K3537" s="22">
        <f t="array" ref="K3537">IF($D3537="","",IFERROR(INDEX(MASTER_SOURCE!$C$2:$C$495,MATCH($I3537,MASTER_SOURCE!$A$2:$A$495,0)),""))</f>
        <v/>
      </c>
      <c r="L3537" s="22">
        <f t="array" ref="L3537">IF($D3537="","",IFERROR(INDEX(MASTER_SOURCE!$D$2:$D$495,MATCH($I3537,MASTER_SOURCE!$A$2:$A$495,0)),""))</f>
        <v/>
      </c>
      <c r="M3537" s="24" t="n"/>
      <c r="N3537" s="24" t="n"/>
      <c r="O3537" s="24" t="n"/>
      <c r="P3537" s="24" t="n"/>
      <c r="Q3537" s="22">
        <f>IF($D3537="","",IF(AND(OR(DANH_MUC!$L$5&lt;&gt;"Có",M3537="Có"),OR(DANH_MUC!$L$6&lt;&gt;"Có",N3537="Có"),OR(DANH_MUC!$L$7&lt;&gt;"Có",O3537="Có"),OR(DANH_MUC!$L$8&lt;&gt;"Có",P3537="Có")),"Có","Không"))</f>
        <v/>
      </c>
      <c r="R3537" s="22">
        <f>IF($D3537="","",IF(COUNTIF($D$2:$D3537,$D3537)&gt;1,"Trùng",""))</f>
        <v/>
      </c>
      <c r="S3537" s="22">
        <f>IF($D3537="","",IF(AND(LEN($D3537)=10,LEFT($D3537,1)="0",ISNUMBER(--$D3537)),"Có","Không"))</f>
        <v/>
      </c>
      <c r="T3537" s="22">
        <f>IF($D3537="","",IF(AND($C3537&lt;&gt;"",$Q3537="Có",$R3537="",$S3537="Có",AND($L3537&lt;&gt;"",OR($L3537&lt;&gt;"Chưa xác định",DANH_MUC!$L$9="Có"))),"Có","Không"))</f>
        <v/>
      </c>
      <c r="U3537" s="22">
        <f>IF(OR($D3537="",$T3537="Có"),"",IF($C3537="","Thiếu họ tên; ","")&amp;IF($S3537&lt;&gt;"Có","SĐT sai định dạng; ","")&amp;IF($R3537="Trùng","Trùng SĐT; ","")&amp;IF($Q3537&lt;&gt;"Có","Thiếu đồng ý bắt buộc; ","")&amp;IF($L3537="","Thiếu/sai Mã REF; ",IF(AND($L3537="Chưa xác định",DANH_MUC!$L$9&lt;&gt;"Có"),"Nguồn chưa xác định; ","")))</f>
        <v/>
      </c>
      <c r="V3537" s="22">
        <f>IF(OR($D3537="",$R3537="Trùng"),"",IF(COUNTIF(ORDERS!$C$2:$C$4995,$D3537)&gt;0,"Có","Không"))</f>
        <v/>
      </c>
      <c r="W3537" s="22">
        <f>IF(OR($D3537="",$R3537="Trùng"),"",COUNTIFS(ORDERS!$C$2:$C$4995,$D3537,ORDERS!$L$2:$L$4995,"Đã chuyển khoản"))</f>
        <v/>
      </c>
      <c r="X3537" s="23">
        <f>IF(OR($D3537="",$R3537="Trùng"),"",SUMIFS(ORDERS!$J$2:$J$4995,ORDERS!$C$2:$C$4995,$D3537,ORDERS!$L$2:$L$4995,"Đã chuyển khoản"))</f>
        <v/>
      </c>
      <c r="Y3537" s="24" t="n"/>
    </row>
    <row r="3538" ht="14.25" customHeight="1" s="40">
      <c r="A3538" s="24" t="n"/>
      <c r="B3538" s="27" t="n"/>
      <c r="C3538" s="24" t="n"/>
      <c r="D3538" s="28" t="n"/>
      <c r="E3538" s="29" t="n"/>
      <c r="F3538" s="24" t="n"/>
      <c r="G3538" s="24" t="n"/>
      <c r="H3538" s="21">
        <f>IF(ISNUMBER($B3538),INT($B3538)-WEEKDAY($B3538,2)+1,"")</f>
        <v/>
      </c>
      <c r="I3538" s="24" t="n"/>
      <c r="J3538" s="22">
        <f t="array" ref="J3538">IF($D3538="","",IF($I3538="","(trống REF)",IFERROR(INDEX(MASTER_SOURCE!$B$2:$B$495,MATCH($I3538,MASTER_SOURCE!$A$2:$A$495,0)),"(REF không có trong MASTER_SOURCE)")))</f>
        <v/>
      </c>
      <c r="K3538" s="22">
        <f t="array" ref="K3538">IF($D3538="","",IFERROR(INDEX(MASTER_SOURCE!$C$2:$C$495,MATCH($I3538,MASTER_SOURCE!$A$2:$A$495,0)),""))</f>
        <v/>
      </c>
      <c r="L3538" s="22">
        <f t="array" ref="L3538">IF($D3538="","",IFERROR(INDEX(MASTER_SOURCE!$D$2:$D$495,MATCH($I3538,MASTER_SOURCE!$A$2:$A$495,0)),""))</f>
        <v/>
      </c>
      <c r="M3538" s="24" t="n"/>
      <c r="N3538" s="24" t="n"/>
      <c r="O3538" s="24" t="n"/>
      <c r="P3538" s="24" t="n"/>
      <c r="Q3538" s="22">
        <f>IF($D3538="","",IF(AND(OR(DANH_MUC!$L$5&lt;&gt;"Có",M3538="Có"),OR(DANH_MUC!$L$6&lt;&gt;"Có",N3538="Có"),OR(DANH_MUC!$L$7&lt;&gt;"Có",O3538="Có"),OR(DANH_MUC!$L$8&lt;&gt;"Có",P3538="Có")),"Có","Không"))</f>
        <v/>
      </c>
      <c r="R3538" s="22">
        <f>IF($D3538="","",IF(COUNTIF($D$2:$D3538,$D3538)&gt;1,"Trùng",""))</f>
        <v/>
      </c>
      <c r="S3538" s="22">
        <f>IF($D3538="","",IF(AND(LEN($D3538)=10,LEFT($D3538,1)="0",ISNUMBER(--$D3538)),"Có","Không"))</f>
        <v/>
      </c>
      <c r="T3538" s="22">
        <f>IF($D3538="","",IF(AND($C3538&lt;&gt;"",$Q3538="Có",$R3538="",$S3538="Có",AND($L3538&lt;&gt;"",OR($L3538&lt;&gt;"Chưa xác định",DANH_MUC!$L$9="Có"))),"Có","Không"))</f>
        <v/>
      </c>
      <c r="U3538" s="22">
        <f>IF(OR($D3538="",$T3538="Có"),"",IF($C3538="","Thiếu họ tên; ","")&amp;IF($S3538&lt;&gt;"Có","SĐT sai định dạng; ","")&amp;IF($R3538="Trùng","Trùng SĐT; ","")&amp;IF($Q3538&lt;&gt;"Có","Thiếu đồng ý bắt buộc; ","")&amp;IF($L3538="","Thiếu/sai Mã REF; ",IF(AND($L3538="Chưa xác định",DANH_MUC!$L$9&lt;&gt;"Có"),"Nguồn chưa xác định; ","")))</f>
        <v/>
      </c>
      <c r="V3538" s="22">
        <f>IF(OR($D3538="",$R3538="Trùng"),"",IF(COUNTIF(ORDERS!$C$2:$C$4995,$D3538)&gt;0,"Có","Không"))</f>
        <v/>
      </c>
      <c r="W3538" s="22">
        <f>IF(OR($D3538="",$R3538="Trùng"),"",COUNTIFS(ORDERS!$C$2:$C$4995,$D3538,ORDERS!$L$2:$L$4995,"Đã chuyển khoản"))</f>
        <v/>
      </c>
      <c r="X3538" s="23">
        <f>IF(OR($D3538="",$R3538="Trùng"),"",SUMIFS(ORDERS!$J$2:$J$4995,ORDERS!$C$2:$C$4995,$D3538,ORDERS!$L$2:$L$4995,"Đã chuyển khoản"))</f>
        <v/>
      </c>
      <c r="Y3538" s="24" t="n"/>
    </row>
    <row r="3539" ht="14.25" customHeight="1" s="40">
      <c r="A3539" s="24" t="n"/>
      <c r="B3539" s="27" t="n"/>
      <c r="C3539" s="24" t="n"/>
      <c r="D3539" s="28" t="n"/>
      <c r="E3539" s="29" t="n"/>
      <c r="F3539" s="24" t="n"/>
      <c r="G3539" s="24" t="n"/>
      <c r="H3539" s="21">
        <f>IF(ISNUMBER($B3539),INT($B3539)-WEEKDAY($B3539,2)+1,"")</f>
        <v/>
      </c>
      <c r="I3539" s="24" t="n"/>
      <c r="J3539" s="22">
        <f t="array" ref="J3539">IF($D3539="","",IF($I3539="","(trống REF)",IFERROR(INDEX(MASTER_SOURCE!$B$2:$B$495,MATCH($I3539,MASTER_SOURCE!$A$2:$A$495,0)),"(REF không có trong MASTER_SOURCE)")))</f>
        <v/>
      </c>
      <c r="K3539" s="22">
        <f t="array" ref="K3539">IF($D3539="","",IFERROR(INDEX(MASTER_SOURCE!$C$2:$C$495,MATCH($I3539,MASTER_SOURCE!$A$2:$A$495,0)),""))</f>
        <v/>
      </c>
      <c r="L3539" s="22">
        <f t="array" ref="L3539">IF($D3539="","",IFERROR(INDEX(MASTER_SOURCE!$D$2:$D$495,MATCH($I3539,MASTER_SOURCE!$A$2:$A$495,0)),""))</f>
        <v/>
      </c>
      <c r="M3539" s="24" t="n"/>
      <c r="N3539" s="24" t="n"/>
      <c r="O3539" s="24" t="n"/>
      <c r="P3539" s="24" t="n"/>
      <c r="Q3539" s="22">
        <f>IF($D3539="","",IF(AND(OR(DANH_MUC!$L$5&lt;&gt;"Có",M3539="Có"),OR(DANH_MUC!$L$6&lt;&gt;"Có",N3539="Có"),OR(DANH_MUC!$L$7&lt;&gt;"Có",O3539="Có"),OR(DANH_MUC!$L$8&lt;&gt;"Có",P3539="Có")),"Có","Không"))</f>
        <v/>
      </c>
      <c r="R3539" s="22">
        <f>IF($D3539="","",IF(COUNTIF($D$2:$D3539,$D3539)&gt;1,"Trùng",""))</f>
        <v/>
      </c>
      <c r="S3539" s="22">
        <f>IF($D3539="","",IF(AND(LEN($D3539)=10,LEFT($D3539,1)="0",ISNUMBER(--$D3539)),"Có","Không"))</f>
        <v/>
      </c>
      <c r="T3539" s="22">
        <f>IF($D3539="","",IF(AND($C3539&lt;&gt;"",$Q3539="Có",$R3539="",$S3539="Có",AND($L3539&lt;&gt;"",OR($L3539&lt;&gt;"Chưa xác định",DANH_MUC!$L$9="Có"))),"Có","Không"))</f>
        <v/>
      </c>
      <c r="U3539" s="22">
        <f>IF(OR($D3539="",$T3539="Có"),"",IF($C3539="","Thiếu họ tên; ","")&amp;IF($S3539&lt;&gt;"Có","SĐT sai định dạng; ","")&amp;IF($R3539="Trùng","Trùng SĐT; ","")&amp;IF($Q3539&lt;&gt;"Có","Thiếu đồng ý bắt buộc; ","")&amp;IF($L3539="","Thiếu/sai Mã REF; ",IF(AND($L3539="Chưa xác định",DANH_MUC!$L$9&lt;&gt;"Có"),"Nguồn chưa xác định; ","")))</f>
        <v/>
      </c>
      <c r="V3539" s="22">
        <f>IF(OR($D3539="",$R3539="Trùng"),"",IF(COUNTIF(ORDERS!$C$2:$C$4995,$D3539)&gt;0,"Có","Không"))</f>
        <v/>
      </c>
      <c r="W3539" s="22">
        <f>IF(OR($D3539="",$R3539="Trùng"),"",COUNTIFS(ORDERS!$C$2:$C$4995,$D3539,ORDERS!$L$2:$L$4995,"Đã chuyển khoản"))</f>
        <v/>
      </c>
      <c r="X3539" s="23">
        <f>IF(OR($D3539="",$R3539="Trùng"),"",SUMIFS(ORDERS!$J$2:$J$4995,ORDERS!$C$2:$C$4995,$D3539,ORDERS!$L$2:$L$4995,"Đã chuyển khoản"))</f>
        <v/>
      </c>
      <c r="Y3539" s="24" t="n"/>
    </row>
    <row r="3540" ht="14.25" customHeight="1" s="40">
      <c r="A3540" s="24" t="n"/>
      <c r="B3540" s="27" t="n"/>
      <c r="C3540" s="24" t="n"/>
      <c r="D3540" s="28" t="n"/>
      <c r="E3540" s="29" t="n"/>
      <c r="F3540" s="24" t="n"/>
      <c r="G3540" s="24" t="n"/>
      <c r="H3540" s="21">
        <f>IF(ISNUMBER($B3540),INT($B3540)-WEEKDAY($B3540,2)+1,"")</f>
        <v/>
      </c>
      <c r="I3540" s="24" t="n"/>
      <c r="J3540" s="22">
        <f t="array" ref="J3540">IF($D3540="","",IF($I3540="","(trống REF)",IFERROR(INDEX(MASTER_SOURCE!$B$2:$B$495,MATCH($I3540,MASTER_SOURCE!$A$2:$A$495,0)),"(REF không có trong MASTER_SOURCE)")))</f>
        <v/>
      </c>
      <c r="K3540" s="22">
        <f t="array" ref="K3540">IF($D3540="","",IFERROR(INDEX(MASTER_SOURCE!$C$2:$C$495,MATCH($I3540,MASTER_SOURCE!$A$2:$A$495,0)),""))</f>
        <v/>
      </c>
      <c r="L3540" s="22">
        <f t="array" ref="L3540">IF($D3540="","",IFERROR(INDEX(MASTER_SOURCE!$D$2:$D$495,MATCH($I3540,MASTER_SOURCE!$A$2:$A$495,0)),""))</f>
        <v/>
      </c>
      <c r="M3540" s="24" t="n"/>
      <c r="N3540" s="24" t="n"/>
      <c r="O3540" s="24" t="n"/>
      <c r="P3540" s="24" t="n"/>
      <c r="Q3540" s="22">
        <f>IF($D3540="","",IF(AND(OR(DANH_MUC!$L$5&lt;&gt;"Có",M3540="Có"),OR(DANH_MUC!$L$6&lt;&gt;"Có",N3540="Có"),OR(DANH_MUC!$L$7&lt;&gt;"Có",O3540="Có"),OR(DANH_MUC!$L$8&lt;&gt;"Có",P3540="Có")),"Có","Không"))</f>
        <v/>
      </c>
      <c r="R3540" s="22">
        <f>IF($D3540="","",IF(COUNTIF($D$2:$D3540,$D3540)&gt;1,"Trùng",""))</f>
        <v/>
      </c>
      <c r="S3540" s="22">
        <f>IF($D3540="","",IF(AND(LEN($D3540)=10,LEFT($D3540,1)="0",ISNUMBER(--$D3540)),"Có","Không"))</f>
        <v/>
      </c>
      <c r="T3540" s="22">
        <f>IF($D3540="","",IF(AND($C3540&lt;&gt;"",$Q3540="Có",$R3540="",$S3540="Có",AND($L3540&lt;&gt;"",OR($L3540&lt;&gt;"Chưa xác định",DANH_MUC!$L$9="Có"))),"Có","Không"))</f>
        <v/>
      </c>
      <c r="U3540" s="22">
        <f>IF(OR($D3540="",$T3540="Có"),"",IF($C3540="","Thiếu họ tên; ","")&amp;IF($S3540&lt;&gt;"Có","SĐT sai định dạng; ","")&amp;IF($R3540="Trùng","Trùng SĐT; ","")&amp;IF($Q3540&lt;&gt;"Có","Thiếu đồng ý bắt buộc; ","")&amp;IF($L3540="","Thiếu/sai Mã REF; ",IF(AND($L3540="Chưa xác định",DANH_MUC!$L$9&lt;&gt;"Có"),"Nguồn chưa xác định; ","")))</f>
        <v/>
      </c>
      <c r="V3540" s="22">
        <f>IF(OR($D3540="",$R3540="Trùng"),"",IF(COUNTIF(ORDERS!$C$2:$C$4995,$D3540)&gt;0,"Có","Không"))</f>
        <v/>
      </c>
      <c r="W3540" s="22">
        <f>IF(OR($D3540="",$R3540="Trùng"),"",COUNTIFS(ORDERS!$C$2:$C$4995,$D3540,ORDERS!$L$2:$L$4995,"Đã chuyển khoản"))</f>
        <v/>
      </c>
      <c r="X3540" s="23">
        <f>IF(OR($D3540="",$R3540="Trùng"),"",SUMIFS(ORDERS!$J$2:$J$4995,ORDERS!$C$2:$C$4995,$D3540,ORDERS!$L$2:$L$4995,"Đã chuyển khoản"))</f>
        <v/>
      </c>
      <c r="Y3540" s="24" t="n"/>
    </row>
    <row r="3541" ht="14.25" customHeight="1" s="40">
      <c r="A3541" s="24" t="n"/>
      <c r="B3541" s="27" t="n"/>
      <c r="C3541" s="24" t="n"/>
      <c r="D3541" s="28" t="n"/>
      <c r="E3541" s="29" t="n"/>
      <c r="F3541" s="24" t="n"/>
      <c r="G3541" s="24" t="n"/>
      <c r="H3541" s="21">
        <f>IF(ISNUMBER($B3541),INT($B3541)-WEEKDAY($B3541,2)+1,"")</f>
        <v/>
      </c>
      <c r="I3541" s="24" t="n"/>
      <c r="J3541" s="22">
        <f t="array" ref="J3541">IF($D3541="","",IF($I3541="","(trống REF)",IFERROR(INDEX(MASTER_SOURCE!$B$2:$B$495,MATCH($I3541,MASTER_SOURCE!$A$2:$A$495,0)),"(REF không có trong MASTER_SOURCE)")))</f>
        <v/>
      </c>
      <c r="K3541" s="22">
        <f t="array" ref="K3541">IF($D3541="","",IFERROR(INDEX(MASTER_SOURCE!$C$2:$C$495,MATCH($I3541,MASTER_SOURCE!$A$2:$A$495,0)),""))</f>
        <v/>
      </c>
      <c r="L3541" s="22">
        <f t="array" ref="L3541">IF($D3541="","",IFERROR(INDEX(MASTER_SOURCE!$D$2:$D$495,MATCH($I3541,MASTER_SOURCE!$A$2:$A$495,0)),""))</f>
        <v/>
      </c>
      <c r="M3541" s="24" t="n"/>
      <c r="N3541" s="24" t="n"/>
      <c r="O3541" s="24" t="n"/>
      <c r="P3541" s="24" t="n"/>
      <c r="Q3541" s="22">
        <f>IF($D3541="","",IF(AND(OR(DANH_MUC!$L$5&lt;&gt;"Có",M3541="Có"),OR(DANH_MUC!$L$6&lt;&gt;"Có",N3541="Có"),OR(DANH_MUC!$L$7&lt;&gt;"Có",O3541="Có"),OR(DANH_MUC!$L$8&lt;&gt;"Có",P3541="Có")),"Có","Không"))</f>
        <v/>
      </c>
      <c r="R3541" s="22">
        <f>IF($D3541="","",IF(COUNTIF($D$2:$D3541,$D3541)&gt;1,"Trùng",""))</f>
        <v/>
      </c>
      <c r="S3541" s="22">
        <f>IF($D3541="","",IF(AND(LEN($D3541)=10,LEFT($D3541,1)="0",ISNUMBER(--$D3541)),"Có","Không"))</f>
        <v/>
      </c>
      <c r="T3541" s="22">
        <f>IF($D3541="","",IF(AND($C3541&lt;&gt;"",$Q3541="Có",$R3541="",$S3541="Có",AND($L3541&lt;&gt;"",OR($L3541&lt;&gt;"Chưa xác định",DANH_MUC!$L$9="Có"))),"Có","Không"))</f>
        <v/>
      </c>
      <c r="U3541" s="22">
        <f>IF(OR($D3541="",$T3541="Có"),"",IF($C3541="","Thiếu họ tên; ","")&amp;IF($S3541&lt;&gt;"Có","SĐT sai định dạng; ","")&amp;IF($R3541="Trùng","Trùng SĐT; ","")&amp;IF($Q3541&lt;&gt;"Có","Thiếu đồng ý bắt buộc; ","")&amp;IF($L3541="","Thiếu/sai Mã REF; ",IF(AND($L3541="Chưa xác định",DANH_MUC!$L$9&lt;&gt;"Có"),"Nguồn chưa xác định; ","")))</f>
        <v/>
      </c>
      <c r="V3541" s="22">
        <f>IF(OR($D3541="",$R3541="Trùng"),"",IF(COUNTIF(ORDERS!$C$2:$C$4995,$D3541)&gt;0,"Có","Không"))</f>
        <v/>
      </c>
      <c r="W3541" s="22">
        <f>IF(OR($D3541="",$R3541="Trùng"),"",COUNTIFS(ORDERS!$C$2:$C$4995,$D3541,ORDERS!$L$2:$L$4995,"Đã chuyển khoản"))</f>
        <v/>
      </c>
      <c r="X3541" s="23">
        <f>IF(OR($D3541="",$R3541="Trùng"),"",SUMIFS(ORDERS!$J$2:$J$4995,ORDERS!$C$2:$C$4995,$D3541,ORDERS!$L$2:$L$4995,"Đã chuyển khoản"))</f>
        <v/>
      </c>
      <c r="Y3541" s="24" t="n"/>
    </row>
    <row r="3542" ht="14.25" customHeight="1" s="40">
      <c r="A3542" s="24" t="n"/>
      <c r="B3542" s="27" t="n"/>
      <c r="C3542" s="24" t="n"/>
      <c r="D3542" s="28" t="n"/>
      <c r="E3542" s="29" t="n"/>
      <c r="F3542" s="24" t="n"/>
      <c r="G3542" s="24" t="n"/>
      <c r="H3542" s="21">
        <f>IF(ISNUMBER($B3542),INT($B3542)-WEEKDAY($B3542,2)+1,"")</f>
        <v/>
      </c>
      <c r="I3542" s="24" t="n"/>
      <c r="J3542" s="22">
        <f t="array" ref="J3542">IF($D3542="","",IF($I3542="","(trống REF)",IFERROR(INDEX(MASTER_SOURCE!$B$2:$B$495,MATCH($I3542,MASTER_SOURCE!$A$2:$A$495,0)),"(REF không có trong MASTER_SOURCE)")))</f>
        <v/>
      </c>
      <c r="K3542" s="22">
        <f t="array" ref="K3542">IF($D3542="","",IFERROR(INDEX(MASTER_SOURCE!$C$2:$C$495,MATCH($I3542,MASTER_SOURCE!$A$2:$A$495,0)),""))</f>
        <v/>
      </c>
      <c r="L3542" s="22">
        <f t="array" ref="L3542">IF($D3542="","",IFERROR(INDEX(MASTER_SOURCE!$D$2:$D$495,MATCH($I3542,MASTER_SOURCE!$A$2:$A$495,0)),""))</f>
        <v/>
      </c>
      <c r="M3542" s="24" t="n"/>
      <c r="N3542" s="24" t="n"/>
      <c r="O3542" s="24" t="n"/>
      <c r="P3542" s="24" t="n"/>
      <c r="Q3542" s="22">
        <f>IF($D3542="","",IF(AND(OR(DANH_MUC!$L$5&lt;&gt;"Có",M3542="Có"),OR(DANH_MUC!$L$6&lt;&gt;"Có",N3542="Có"),OR(DANH_MUC!$L$7&lt;&gt;"Có",O3542="Có"),OR(DANH_MUC!$L$8&lt;&gt;"Có",P3542="Có")),"Có","Không"))</f>
        <v/>
      </c>
      <c r="R3542" s="22">
        <f>IF($D3542="","",IF(COUNTIF($D$2:$D3542,$D3542)&gt;1,"Trùng",""))</f>
        <v/>
      </c>
      <c r="S3542" s="22">
        <f>IF($D3542="","",IF(AND(LEN($D3542)=10,LEFT($D3542,1)="0",ISNUMBER(--$D3542)),"Có","Không"))</f>
        <v/>
      </c>
      <c r="T3542" s="22">
        <f>IF($D3542="","",IF(AND($C3542&lt;&gt;"",$Q3542="Có",$R3542="",$S3542="Có",AND($L3542&lt;&gt;"",OR($L3542&lt;&gt;"Chưa xác định",DANH_MUC!$L$9="Có"))),"Có","Không"))</f>
        <v/>
      </c>
      <c r="U3542" s="22">
        <f>IF(OR($D3542="",$T3542="Có"),"",IF($C3542="","Thiếu họ tên; ","")&amp;IF($S3542&lt;&gt;"Có","SĐT sai định dạng; ","")&amp;IF($R3542="Trùng","Trùng SĐT; ","")&amp;IF($Q3542&lt;&gt;"Có","Thiếu đồng ý bắt buộc; ","")&amp;IF($L3542="","Thiếu/sai Mã REF; ",IF(AND($L3542="Chưa xác định",DANH_MUC!$L$9&lt;&gt;"Có"),"Nguồn chưa xác định; ","")))</f>
        <v/>
      </c>
      <c r="V3542" s="22">
        <f>IF(OR($D3542="",$R3542="Trùng"),"",IF(COUNTIF(ORDERS!$C$2:$C$4995,$D3542)&gt;0,"Có","Không"))</f>
        <v/>
      </c>
      <c r="W3542" s="22">
        <f>IF(OR($D3542="",$R3542="Trùng"),"",COUNTIFS(ORDERS!$C$2:$C$4995,$D3542,ORDERS!$L$2:$L$4995,"Đã chuyển khoản"))</f>
        <v/>
      </c>
      <c r="X3542" s="23">
        <f>IF(OR($D3542="",$R3542="Trùng"),"",SUMIFS(ORDERS!$J$2:$J$4995,ORDERS!$C$2:$C$4995,$D3542,ORDERS!$L$2:$L$4995,"Đã chuyển khoản"))</f>
        <v/>
      </c>
      <c r="Y3542" s="24" t="n"/>
    </row>
    <row r="3543" ht="14.25" customHeight="1" s="40">
      <c r="A3543" s="24" t="n"/>
      <c r="B3543" s="27" t="n"/>
      <c r="C3543" s="24" t="n"/>
      <c r="D3543" s="28" t="n"/>
      <c r="E3543" s="29" t="n"/>
      <c r="F3543" s="24" t="n"/>
      <c r="G3543" s="24" t="n"/>
      <c r="H3543" s="21">
        <f>IF(ISNUMBER($B3543),INT($B3543)-WEEKDAY($B3543,2)+1,"")</f>
        <v/>
      </c>
      <c r="I3543" s="24" t="n"/>
      <c r="J3543" s="22">
        <f t="array" ref="J3543">IF($D3543="","",IF($I3543="","(trống REF)",IFERROR(INDEX(MASTER_SOURCE!$B$2:$B$495,MATCH($I3543,MASTER_SOURCE!$A$2:$A$495,0)),"(REF không có trong MASTER_SOURCE)")))</f>
        <v/>
      </c>
      <c r="K3543" s="22">
        <f t="array" ref="K3543">IF($D3543="","",IFERROR(INDEX(MASTER_SOURCE!$C$2:$C$495,MATCH($I3543,MASTER_SOURCE!$A$2:$A$495,0)),""))</f>
        <v/>
      </c>
      <c r="L3543" s="22">
        <f t="array" ref="L3543">IF($D3543="","",IFERROR(INDEX(MASTER_SOURCE!$D$2:$D$495,MATCH($I3543,MASTER_SOURCE!$A$2:$A$495,0)),""))</f>
        <v/>
      </c>
      <c r="M3543" s="24" t="n"/>
      <c r="N3543" s="24" t="n"/>
      <c r="O3543" s="24" t="n"/>
      <c r="P3543" s="24" t="n"/>
      <c r="Q3543" s="22">
        <f>IF($D3543="","",IF(AND(OR(DANH_MUC!$L$5&lt;&gt;"Có",M3543="Có"),OR(DANH_MUC!$L$6&lt;&gt;"Có",N3543="Có"),OR(DANH_MUC!$L$7&lt;&gt;"Có",O3543="Có"),OR(DANH_MUC!$L$8&lt;&gt;"Có",P3543="Có")),"Có","Không"))</f>
        <v/>
      </c>
      <c r="R3543" s="22">
        <f>IF($D3543="","",IF(COUNTIF($D$2:$D3543,$D3543)&gt;1,"Trùng",""))</f>
        <v/>
      </c>
      <c r="S3543" s="22">
        <f>IF($D3543="","",IF(AND(LEN($D3543)=10,LEFT($D3543,1)="0",ISNUMBER(--$D3543)),"Có","Không"))</f>
        <v/>
      </c>
      <c r="T3543" s="22">
        <f>IF($D3543="","",IF(AND($C3543&lt;&gt;"",$Q3543="Có",$R3543="",$S3543="Có",AND($L3543&lt;&gt;"",OR($L3543&lt;&gt;"Chưa xác định",DANH_MUC!$L$9="Có"))),"Có","Không"))</f>
        <v/>
      </c>
      <c r="U3543" s="22">
        <f>IF(OR($D3543="",$T3543="Có"),"",IF($C3543="","Thiếu họ tên; ","")&amp;IF($S3543&lt;&gt;"Có","SĐT sai định dạng; ","")&amp;IF($R3543="Trùng","Trùng SĐT; ","")&amp;IF($Q3543&lt;&gt;"Có","Thiếu đồng ý bắt buộc; ","")&amp;IF($L3543="","Thiếu/sai Mã REF; ",IF(AND($L3543="Chưa xác định",DANH_MUC!$L$9&lt;&gt;"Có"),"Nguồn chưa xác định; ","")))</f>
        <v/>
      </c>
      <c r="V3543" s="22">
        <f>IF(OR($D3543="",$R3543="Trùng"),"",IF(COUNTIF(ORDERS!$C$2:$C$4995,$D3543)&gt;0,"Có","Không"))</f>
        <v/>
      </c>
      <c r="W3543" s="22">
        <f>IF(OR($D3543="",$R3543="Trùng"),"",COUNTIFS(ORDERS!$C$2:$C$4995,$D3543,ORDERS!$L$2:$L$4995,"Đã chuyển khoản"))</f>
        <v/>
      </c>
      <c r="X3543" s="23">
        <f>IF(OR($D3543="",$R3543="Trùng"),"",SUMIFS(ORDERS!$J$2:$J$4995,ORDERS!$C$2:$C$4995,$D3543,ORDERS!$L$2:$L$4995,"Đã chuyển khoản"))</f>
        <v/>
      </c>
      <c r="Y3543" s="24" t="n"/>
    </row>
    <row r="3544" ht="14.25" customHeight="1" s="40">
      <c r="A3544" s="24" t="n"/>
      <c r="B3544" s="27" t="n"/>
      <c r="C3544" s="24" t="n"/>
      <c r="D3544" s="28" t="n"/>
      <c r="E3544" s="29" t="n"/>
      <c r="F3544" s="24" t="n"/>
      <c r="G3544" s="24" t="n"/>
      <c r="H3544" s="21">
        <f>IF(ISNUMBER($B3544),INT($B3544)-WEEKDAY($B3544,2)+1,"")</f>
        <v/>
      </c>
      <c r="I3544" s="24" t="n"/>
      <c r="J3544" s="22">
        <f t="array" ref="J3544">IF($D3544="","",IF($I3544="","(trống REF)",IFERROR(INDEX(MASTER_SOURCE!$B$2:$B$495,MATCH($I3544,MASTER_SOURCE!$A$2:$A$495,0)),"(REF không có trong MASTER_SOURCE)")))</f>
        <v/>
      </c>
      <c r="K3544" s="22">
        <f t="array" ref="K3544">IF($D3544="","",IFERROR(INDEX(MASTER_SOURCE!$C$2:$C$495,MATCH($I3544,MASTER_SOURCE!$A$2:$A$495,0)),""))</f>
        <v/>
      </c>
      <c r="L3544" s="22">
        <f t="array" ref="L3544">IF($D3544="","",IFERROR(INDEX(MASTER_SOURCE!$D$2:$D$495,MATCH($I3544,MASTER_SOURCE!$A$2:$A$495,0)),""))</f>
        <v/>
      </c>
      <c r="M3544" s="24" t="n"/>
      <c r="N3544" s="24" t="n"/>
      <c r="O3544" s="24" t="n"/>
      <c r="P3544" s="24" t="n"/>
      <c r="Q3544" s="22">
        <f>IF($D3544="","",IF(AND(OR(DANH_MUC!$L$5&lt;&gt;"Có",M3544="Có"),OR(DANH_MUC!$L$6&lt;&gt;"Có",N3544="Có"),OR(DANH_MUC!$L$7&lt;&gt;"Có",O3544="Có"),OR(DANH_MUC!$L$8&lt;&gt;"Có",P3544="Có")),"Có","Không"))</f>
        <v/>
      </c>
      <c r="R3544" s="22">
        <f>IF($D3544="","",IF(COUNTIF($D$2:$D3544,$D3544)&gt;1,"Trùng",""))</f>
        <v/>
      </c>
      <c r="S3544" s="22">
        <f>IF($D3544="","",IF(AND(LEN($D3544)=10,LEFT($D3544,1)="0",ISNUMBER(--$D3544)),"Có","Không"))</f>
        <v/>
      </c>
      <c r="T3544" s="22">
        <f>IF($D3544="","",IF(AND($C3544&lt;&gt;"",$Q3544="Có",$R3544="",$S3544="Có",AND($L3544&lt;&gt;"",OR($L3544&lt;&gt;"Chưa xác định",DANH_MUC!$L$9="Có"))),"Có","Không"))</f>
        <v/>
      </c>
      <c r="U3544" s="22">
        <f>IF(OR($D3544="",$T3544="Có"),"",IF($C3544="","Thiếu họ tên; ","")&amp;IF($S3544&lt;&gt;"Có","SĐT sai định dạng; ","")&amp;IF($R3544="Trùng","Trùng SĐT; ","")&amp;IF($Q3544&lt;&gt;"Có","Thiếu đồng ý bắt buộc; ","")&amp;IF($L3544="","Thiếu/sai Mã REF; ",IF(AND($L3544="Chưa xác định",DANH_MUC!$L$9&lt;&gt;"Có"),"Nguồn chưa xác định; ","")))</f>
        <v/>
      </c>
      <c r="V3544" s="22">
        <f>IF(OR($D3544="",$R3544="Trùng"),"",IF(COUNTIF(ORDERS!$C$2:$C$4995,$D3544)&gt;0,"Có","Không"))</f>
        <v/>
      </c>
      <c r="W3544" s="22">
        <f>IF(OR($D3544="",$R3544="Trùng"),"",COUNTIFS(ORDERS!$C$2:$C$4995,$D3544,ORDERS!$L$2:$L$4995,"Đã chuyển khoản"))</f>
        <v/>
      </c>
      <c r="X3544" s="23">
        <f>IF(OR($D3544="",$R3544="Trùng"),"",SUMIFS(ORDERS!$J$2:$J$4995,ORDERS!$C$2:$C$4995,$D3544,ORDERS!$L$2:$L$4995,"Đã chuyển khoản"))</f>
        <v/>
      </c>
      <c r="Y3544" s="24" t="n"/>
    </row>
    <row r="3545" ht="14.25" customHeight="1" s="40">
      <c r="A3545" s="24" t="n"/>
      <c r="B3545" s="27" t="n"/>
      <c r="C3545" s="24" t="n"/>
      <c r="D3545" s="28" t="n"/>
      <c r="E3545" s="29" t="n"/>
      <c r="F3545" s="24" t="n"/>
      <c r="G3545" s="24" t="n"/>
      <c r="H3545" s="21">
        <f>IF(ISNUMBER($B3545),INT($B3545)-WEEKDAY($B3545,2)+1,"")</f>
        <v/>
      </c>
      <c r="I3545" s="24" t="n"/>
      <c r="J3545" s="22">
        <f t="array" ref="J3545">IF($D3545="","",IF($I3545="","(trống REF)",IFERROR(INDEX(MASTER_SOURCE!$B$2:$B$495,MATCH($I3545,MASTER_SOURCE!$A$2:$A$495,0)),"(REF không có trong MASTER_SOURCE)")))</f>
        <v/>
      </c>
      <c r="K3545" s="22">
        <f t="array" ref="K3545">IF($D3545="","",IFERROR(INDEX(MASTER_SOURCE!$C$2:$C$495,MATCH($I3545,MASTER_SOURCE!$A$2:$A$495,0)),""))</f>
        <v/>
      </c>
      <c r="L3545" s="22">
        <f t="array" ref="L3545">IF($D3545="","",IFERROR(INDEX(MASTER_SOURCE!$D$2:$D$495,MATCH($I3545,MASTER_SOURCE!$A$2:$A$495,0)),""))</f>
        <v/>
      </c>
      <c r="M3545" s="24" t="n"/>
      <c r="N3545" s="24" t="n"/>
      <c r="O3545" s="24" t="n"/>
      <c r="P3545" s="24" t="n"/>
      <c r="Q3545" s="22">
        <f>IF($D3545="","",IF(AND(OR(DANH_MUC!$L$5&lt;&gt;"Có",M3545="Có"),OR(DANH_MUC!$L$6&lt;&gt;"Có",N3545="Có"),OR(DANH_MUC!$L$7&lt;&gt;"Có",O3545="Có"),OR(DANH_MUC!$L$8&lt;&gt;"Có",P3545="Có")),"Có","Không"))</f>
        <v/>
      </c>
      <c r="R3545" s="22">
        <f>IF($D3545="","",IF(COUNTIF($D$2:$D3545,$D3545)&gt;1,"Trùng",""))</f>
        <v/>
      </c>
      <c r="S3545" s="22">
        <f>IF($D3545="","",IF(AND(LEN($D3545)=10,LEFT($D3545,1)="0",ISNUMBER(--$D3545)),"Có","Không"))</f>
        <v/>
      </c>
      <c r="T3545" s="22">
        <f>IF($D3545="","",IF(AND($C3545&lt;&gt;"",$Q3545="Có",$R3545="",$S3545="Có",AND($L3545&lt;&gt;"",OR($L3545&lt;&gt;"Chưa xác định",DANH_MUC!$L$9="Có"))),"Có","Không"))</f>
        <v/>
      </c>
      <c r="U3545" s="22">
        <f>IF(OR($D3545="",$T3545="Có"),"",IF($C3545="","Thiếu họ tên; ","")&amp;IF($S3545&lt;&gt;"Có","SĐT sai định dạng; ","")&amp;IF($R3545="Trùng","Trùng SĐT; ","")&amp;IF($Q3545&lt;&gt;"Có","Thiếu đồng ý bắt buộc; ","")&amp;IF($L3545="","Thiếu/sai Mã REF; ",IF(AND($L3545="Chưa xác định",DANH_MUC!$L$9&lt;&gt;"Có"),"Nguồn chưa xác định; ","")))</f>
        <v/>
      </c>
      <c r="V3545" s="22">
        <f>IF(OR($D3545="",$R3545="Trùng"),"",IF(COUNTIF(ORDERS!$C$2:$C$4995,$D3545)&gt;0,"Có","Không"))</f>
        <v/>
      </c>
      <c r="W3545" s="22">
        <f>IF(OR($D3545="",$R3545="Trùng"),"",COUNTIFS(ORDERS!$C$2:$C$4995,$D3545,ORDERS!$L$2:$L$4995,"Đã chuyển khoản"))</f>
        <v/>
      </c>
      <c r="X3545" s="23">
        <f>IF(OR($D3545="",$R3545="Trùng"),"",SUMIFS(ORDERS!$J$2:$J$4995,ORDERS!$C$2:$C$4995,$D3545,ORDERS!$L$2:$L$4995,"Đã chuyển khoản"))</f>
        <v/>
      </c>
      <c r="Y3545" s="24" t="n"/>
    </row>
    <row r="3546" ht="14.25" customHeight="1" s="40">
      <c r="A3546" s="24" t="n"/>
      <c r="B3546" s="27" t="n"/>
      <c r="C3546" s="24" t="n"/>
      <c r="D3546" s="28" t="n"/>
      <c r="E3546" s="29" t="n"/>
      <c r="F3546" s="24" t="n"/>
      <c r="G3546" s="24" t="n"/>
      <c r="H3546" s="21">
        <f>IF(ISNUMBER($B3546),INT($B3546)-WEEKDAY($B3546,2)+1,"")</f>
        <v/>
      </c>
      <c r="I3546" s="24" t="n"/>
      <c r="J3546" s="22">
        <f t="array" ref="J3546">IF($D3546="","",IF($I3546="","(trống REF)",IFERROR(INDEX(MASTER_SOURCE!$B$2:$B$495,MATCH($I3546,MASTER_SOURCE!$A$2:$A$495,0)),"(REF không có trong MASTER_SOURCE)")))</f>
        <v/>
      </c>
      <c r="K3546" s="22">
        <f t="array" ref="K3546">IF($D3546="","",IFERROR(INDEX(MASTER_SOURCE!$C$2:$C$495,MATCH($I3546,MASTER_SOURCE!$A$2:$A$495,0)),""))</f>
        <v/>
      </c>
      <c r="L3546" s="22">
        <f t="array" ref="L3546">IF($D3546="","",IFERROR(INDEX(MASTER_SOURCE!$D$2:$D$495,MATCH($I3546,MASTER_SOURCE!$A$2:$A$495,0)),""))</f>
        <v/>
      </c>
      <c r="M3546" s="24" t="n"/>
      <c r="N3546" s="24" t="n"/>
      <c r="O3546" s="24" t="n"/>
      <c r="P3546" s="24" t="n"/>
      <c r="Q3546" s="22">
        <f>IF($D3546="","",IF(AND(OR(DANH_MUC!$L$5&lt;&gt;"Có",M3546="Có"),OR(DANH_MUC!$L$6&lt;&gt;"Có",N3546="Có"),OR(DANH_MUC!$L$7&lt;&gt;"Có",O3546="Có"),OR(DANH_MUC!$L$8&lt;&gt;"Có",P3546="Có")),"Có","Không"))</f>
        <v/>
      </c>
      <c r="R3546" s="22">
        <f>IF($D3546="","",IF(COUNTIF($D$2:$D3546,$D3546)&gt;1,"Trùng",""))</f>
        <v/>
      </c>
      <c r="S3546" s="22">
        <f>IF($D3546="","",IF(AND(LEN($D3546)=10,LEFT($D3546,1)="0",ISNUMBER(--$D3546)),"Có","Không"))</f>
        <v/>
      </c>
      <c r="T3546" s="22">
        <f>IF($D3546="","",IF(AND($C3546&lt;&gt;"",$Q3546="Có",$R3546="",$S3546="Có",AND($L3546&lt;&gt;"",OR($L3546&lt;&gt;"Chưa xác định",DANH_MUC!$L$9="Có"))),"Có","Không"))</f>
        <v/>
      </c>
      <c r="U3546" s="22">
        <f>IF(OR($D3546="",$T3546="Có"),"",IF($C3546="","Thiếu họ tên; ","")&amp;IF($S3546&lt;&gt;"Có","SĐT sai định dạng; ","")&amp;IF($R3546="Trùng","Trùng SĐT; ","")&amp;IF($Q3546&lt;&gt;"Có","Thiếu đồng ý bắt buộc; ","")&amp;IF($L3546="","Thiếu/sai Mã REF; ",IF(AND($L3546="Chưa xác định",DANH_MUC!$L$9&lt;&gt;"Có"),"Nguồn chưa xác định; ","")))</f>
        <v/>
      </c>
      <c r="V3546" s="22">
        <f>IF(OR($D3546="",$R3546="Trùng"),"",IF(COUNTIF(ORDERS!$C$2:$C$4995,$D3546)&gt;0,"Có","Không"))</f>
        <v/>
      </c>
      <c r="W3546" s="22">
        <f>IF(OR($D3546="",$R3546="Trùng"),"",COUNTIFS(ORDERS!$C$2:$C$4995,$D3546,ORDERS!$L$2:$L$4995,"Đã chuyển khoản"))</f>
        <v/>
      </c>
      <c r="X3546" s="23">
        <f>IF(OR($D3546="",$R3546="Trùng"),"",SUMIFS(ORDERS!$J$2:$J$4995,ORDERS!$C$2:$C$4995,$D3546,ORDERS!$L$2:$L$4995,"Đã chuyển khoản"))</f>
        <v/>
      </c>
      <c r="Y3546" s="24" t="n"/>
    </row>
    <row r="3547" ht="14.25" customHeight="1" s="40">
      <c r="A3547" s="24" t="n"/>
      <c r="B3547" s="27" t="n"/>
      <c r="C3547" s="24" t="n"/>
      <c r="D3547" s="28" t="n"/>
      <c r="E3547" s="29" t="n"/>
      <c r="F3547" s="24" t="n"/>
      <c r="G3547" s="24" t="n"/>
      <c r="H3547" s="21">
        <f>IF(ISNUMBER($B3547),INT($B3547)-WEEKDAY($B3547,2)+1,"")</f>
        <v/>
      </c>
      <c r="I3547" s="24" t="n"/>
      <c r="J3547" s="22">
        <f t="array" ref="J3547">IF($D3547="","",IF($I3547="","(trống REF)",IFERROR(INDEX(MASTER_SOURCE!$B$2:$B$495,MATCH($I3547,MASTER_SOURCE!$A$2:$A$495,0)),"(REF không có trong MASTER_SOURCE)")))</f>
        <v/>
      </c>
      <c r="K3547" s="22">
        <f t="array" ref="K3547">IF($D3547="","",IFERROR(INDEX(MASTER_SOURCE!$C$2:$C$495,MATCH($I3547,MASTER_SOURCE!$A$2:$A$495,0)),""))</f>
        <v/>
      </c>
      <c r="L3547" s="22">
        <f t="array" ref="L3547">IF($D3547="","",IFERROR(INDEX(MASTER_SOURCE!$D$2:$D$495,MATCH($I3547,MASTER_SOURCE!$A$2:$A$495,0)),""))</f>
        <v/>
      </c>
      <c r="M3547" s="24" t="n"/>
      <c r="N3547" s="24" t="n"/>
      <c r="O3547" s="24" t="n"/>
      <c r="P3547" s="24" t="n"/>
      <c r="Q3547" s="22">
        <f>IF($D3547="","",IF(AND(OR(DANH_MUC!$L$5&lt;&gt;"Có",M3547="Có"),OR(DANH_MUC!$L$6&lt;&gt;"Có",N3547="Có"),OR(DANH_MUC!$L$7&lt;&gt;"Có",O3547="Có"),OR(DANH_MUC!$L$8&lt;&gt;"Có",P3547="Có")),"Có","Không"))</f>
        <v/>
      </c>
      <c r="R3547" s="22">
        <f>IF($D3547="","",IF(COUNTIF($D$2:$D3547,$D3547)&gt;1,"Trùng",""))</f>
        <v/>
      </c>
      <c r="S3547" s="22">
        <f>IF($D3547="","",IF(AND(LEN($D3547)=10,LEFT($D3547,1)="0",ISNUMBER(--$D3547)),"Có","Không"))</f>
        <v/>
      </c>
      <c r="T3547" s="22">
        <f>IF($D3547="","",IF(AND($C3547&lt;&gt;"",$Q3547="Có",$R3547="",$S3547="Có",AND($L3547&lt;&gt;"",OR($L3547&lt;&gt;"Chưa xác định",DANH_MUC!$L$9="Có"))),"Có","Không"))</f>
        <v/>
      </c>
      <c r="U3547" s="22">
        <f>IF(OR($D3547="",$T3547="Có"),"",IF($C3547="","Thiếu họ tên; ","")&amp;IF($S3547&lt;&gt;"Có","SĐT sai định dạng; ","")&amp;IF($R3547="Trùng","Trùng SĐT; ","")&amp;IF($Q3547&lt;&gt;"Có","Thiếu đồng ý bắt buộc; ","")&amp;IF($L3547="","Thiếu/sai Mã REF; ",IF(AND($L3547="Chưa xác định",DANH_MUC!$L$9&lt;&gt;"Có"),"Nguồn chưa xác định; ","")))</f>
        <v/>
      </c>
      <c r="V3547" s="22">
        <f>IF(OR($D3547="",$R3547="Trùng"),"",IF(COUNTIF(ORDERS!$C$2:$C$4995,$D3547)&gt;0,"Có","Không"))</f>
        <v/>
      </c>
      <c r="W3547" s="22">
        <f>IF(OR($D3547="",$R3547="Trùng"),"",COUNTIFS(ORDERS!$C$2:$C$4995,$D3547,ORDERS!$L$2:$L$4995,"Đã chuyển khoản"))</f>
        <v/>
      </c>
      <c r="X3547" s="23">
        <f>IF(OR($D3547="",$R3547="Trùng"),"",SUMIFS(ORDERS!$J$2:$J$4995,ORDERS!$C$2:$C$4995,$D3547,ORDERS!$L$2:$L$4995,"Đã chuyển khoản"))</f>
        <v/>
      </c>
      <c r="Y3547" s="24" t="n"/>
    </row>
    <row r="3548" ht="14.25" customHeight="1" s="40">
      <c r="A3548" s="24" t="n"/>
      <c r="B3548" s="27" t="n"/>
      <c r="C3548" s="24" t="n"/>
      <c r="D3548" s="28" t="n"/>
      <c r="E3548" s="29" t="n"/>
      <c r="F3548" s="24" t="n"/>
      <c r="G3548" s="24" t="n"/>
      <c r="H3548" s="21">
        <f>IF(ISNUMBER($B3548),INT($B3548)-WEEKDAY($B3548,2)+1,"")</f>
        <v/>
      </c>
      <c r="I3548" s="24" t="n"/>
      <c r="J3548" s="22">
        <f t="array" ref="J3548">IF($D3548="","",IF($I3548="","(trống REF)",IFERROR(INDEX(MASTER_SOURCE!$B$2:$B$495,MATCH($I3548,MASTER_SOURCE!$A$2:$A$495,0)),"(REF không có trong MASTER_SOURCE)")))</f>
        <v/>
      </c>
      <c r="K3548" s="22">
        <f t="array" ref="K3548">IF($D3548="","",IFERROR(INDEX(MASTER_SOURCE!$C$2:$C$495,MATCH($I3548,MASTER_SOURCE!$A$2:$A$495,0)),""))</f>
        <v/>
      </c>
      <c r="L3548" s="22">
        <f t="array" ref="L3548">IF($D3548="","",IFERROR(INDEX(MASTER_SOURCE!$D$2:$D$495,MATCH($I3548,MASTER_SOURCE!$A$2:$A$495,0)),""))</f>
        <v/>
      </c>
      <c r="M3548" s="24" t="n"/>
      <c r="N3548" s="24" t="n"/>
      <c r="O3548" s="24" t="n"/>
      <c r="P3548" s="24" t="n"/>
      <c r="Q3548" s="22">
        <f>IF($D3548="","",IF(AND(OR(DANH_MUC!$L$5&lt;&gt;"Có",M3548="Có"),OR(DANH_MUC!$L$6&lt;&gt;"Có",N3548="Có"),OR(DANH_MUC!$L$7&lt;&gt;"Có",O3548="Có"),OR(DANH_MUC!$L$8&lt;&gt;"Có",P3548="Có")),"Có","Không"))</f>
        <v/>
      </c>
      <c r="R3548" s="22">
        <f>IF($D3548="","",IF(COUNTIF($D$2:$D3548,$D3548)&gt;1,"Trùng",""))</f>
        <v/>
      </c>
      <c r="S3548" s="22">
        <f>IF($D3548="","",IF(AND(LEN($D3548)=10,LEFT($D3548,1)="0",ISNUMBER(--$D3548)),"Có","Không"))</f>
        <v/>
      </c>
      <c r="T3548" s="22">
        <f>IF($D3548="","",IF(AND($C3548&lt;&gt;"",$Q3548="Có",$R3548="",$S3548="Có",AND($L3548&lt;&gt;"",OR($L3548&lt;&gt;"Chưa xác định",DANH_MUC!$L$9="Có"))),"Có","Không"))</f>
        <v/>
      </c>
      <c r="U3548" s="22">
        <f>IF(OR($D3548="",$T3548="Có"),"",IF($C3548="","Thiếu họ tên; ","")&amp;IF($S3548&lt;&gt;"Có","SĐT sai định dạng; ","")&amp;IF($R3548="Trùng","Trùng SĐT; ","")&amp;IF($Q3548&lt;&gt;"Có","Thiếu đồng ý bắt buộc; ","")&amp;IF($L3548="","Thiếu/sai Mã REF; ",IF(AND($L3548="Chưa xác định",DANH_MUC!$L$9&lt;&gt;"Có"),"Nguồn chưa xác định; ","")))</f>
        <v/>
      </c>
      <c r="V3548" s="22">
        <f>IF(OR($D3548="",$R3548="Trùng"),"",IF(COUNTIF(ORDERS!$C$2:$C$4995,$D3548)&gt;0,"Có","Không"))</f>
        <v/>
      </c>
      <c r="W3548" s="22">
        <f>IF(OR($D3548="",$R3548="Trùng"),"",COUNTIFS(ORDERS!$C$2:$C$4995,$D3548,ORDERS!$L$2:$L$4995,"Đã chuyển khoản"))</f>
        <v/>
      </c>
      <c r="X3548" s="23">
        <f>IF(OR($D3548="",$R3548="Trùng"),"",SUMIFS(ORDERS!$J$2:$J$4995,ORDERS!$C$2:$C$4995,$D3548,ORDERS!$L$2:$L$4995,"Đã chuyển khoản"))</f>
        <v/>
      </c>
      <c r="Y3548" s="24" t="n"/>
    </row>
    <row r="3549" ht="14.25" customHeight="1" s="40">
      <c r="A3549" s="24" t="n"/>
      <c r="B3549" s="27" t="n"/>
      <c r="C3549" s="24" t="n"/>
      <c r="D3549" s="28" t="n"/>
      <c r="E3549" s="29" t="n"/>
      <c r="F3549" s="24" t="n"/>
      <c r="G3549" s="24" t="n"/>
      <c r="H3549" s="21">
        <f>IF(ISNUMBER($B3549),INT($B3549)-WEEKDAY($B3549,2)+1,"")</f>
        <v/>
      </c>
      <c r="I3549" s="24" t="n"/>
      <c r="J3549" s="22">
        <f t="array" ref="J3549">IF($D3549="","",IF($I3549="","(trống REF)",IFERROR(INDEX(MASTER_SOURCE!$B$2:$B$495,MATCH($I3549,MASTER_SOURCE!$A$2:$A$495,0)),"(REF không có trong MASTER_SOURCE)")))</f>
        <v/>
      </c>
      <c r="K3549" s="22">
        <f t="array" ref="K3549">IF($D3549="","",IFERROR(INDEX(MASTER_SOURCE!$C$2:$C$495,MATCH($I3549,MASTER_SOURCE!$A$2:$A$495,0)),""))</f>
        <v/>
      </c>
      <c r="L3549" s="22">
        <f t="array" ref="L3549">IF($D3549="","",IFERROR(INDEX(MASTER_SOURCE!$D$2:$D$495,MATCH($I3549,MASTER_SOURCE!$A$2:$A$495,0)),""))</f>
        <v/>
      </c>
      <c r="M3549" s="24" t="n"/>
      <c r="N3549" s="24" t="n"/>
      <c r="O3549" s="24" t="n"/>
      <c r="P3549" s="24" t="n"/>
      <c r="Q3549" s="22">
        <f>IF($D3549="","",IF(AND(OR(DANH_MUC!$L$5&lt;&gt;"Có",M3549="Có"),OR(DANH_MUC!$L$6&lt;&gt;"Có",N3549="Có"),OR(DANH_MUC!$L$7&lt;&gt;"Có",O3549="Có"),OR(DANH_MUC!$L$8&lt;&gt;"Có",P3549="Có")),"Có","Không"))</f>
        <v/>
      </c>
      <c r="R3549" s="22">
        <f>IF($D3549="","",IF(COUNTIF($D$2:$D3549,$D3549)&gt;1,"Trùng",""))</f>
        <v/>
      </c>
      <c r="S3549" s="22">
        <f>IF($D3549="","",IF(AND(LEN($D3549)=10,LEFT($D3549,1)="0",ISNUMBER(--$D3549)),"Có","Không"))</f>
        <v/>
      </c>
      <c r="T3549" s="22">
        <f>IF($D3549="","",IF(AND($C3549&lt;&gt;"",$Q3549="Có",$R3549="",$S3549="Có",AND($L3549&lt;&gt;"",OR($L3549&lt;&gt;"Chưa xác định",DANH_MUC!$L$9="Có"))),"Có","Không"))</f>
        <v/>
      </c>
      <c r="U3549" s="22">
        <f>IF(OR($D3549="",$T3549="Có"),"",IF($C3549="","Thiếu họ tên; ","")&amp;IF($S3549&lt;&gt;"Có","SĐT sai định dạng; ","")&amp;IF($R3549="Trùng","Trùng SĐT; ","")&amp;IF($Q3549&lt;&gt;"Có","Thiếu đồng ý bắt buộc; ","")&amp;IF($L3549="","Thiếu/sai Mã REF; ",IF(AND($L3549="Chưa xác định",DANH_MUC!$L$9&lt;&gt;"Có"),"Nguồn chưa xác định; ","")))</f>
        <v/>
      </c>
      <c r="V3549" s="22">
        <f>IF(OR($D3549="",$R3549="Trùng"),"",IF(COUNTIF(ORDERS!$C$2:$C$4995,$D3549)&gt;0,"Có","Không"))</f>
        <v/>
      </c>
      <c r="W3549" s="22">
        <f>IF(OR($D3549="",$R3549="Trùng"),"",COUNTIFS(ORDERS!$C$2:$C$4995,$D3549,ORDERS!$L$2:$L$4995,"Đã chuyển khoản"))</f>
        <v/>
      </c>
      <c r="X3549" s="23">
        <f>IF(OR($D3549="",$R3549="Trùng"),"",SUMIFS(ORDERS!$J$2:$J$4995,ORDERS!$C$2:$C$4995,$D3549,ORDERS!$L$2:$L$4995,"Đã chuyển khoản"))</f>
        <v/>
      </c>
      <c r="Y3549" s="24" t="n"/>
    </row>
    <row r="3550" ht="14.25" customHeight="1" s="40">
      <c r="A3550" s="24" t="n"/>
      <c r="B3550" s="27" t="n"/>
      <c r="C3550" s="24" t="n"/>
      <c r="D3550" s="28" t="n"/>
      <c r="E3550" s="29" t="n"/>
      <c r="F3550" s="24" t="n"/>
      <c r="G3550" s="24" t="n"/>
      <c r="H3550" s="21">
        <f>IF(ISNUMBER($B3550),INT($B3550)-WEEKDAY($B3550,2)+1,"")</f>
        <v/>
      </c>
      <c r="I3550" s="24" t="n"/>
      <c r="J3550" s="22">
        <f t="array" ref="J3550">IF($D3550="","",IF($I3550="","(trống REF)",IFERROR(INDEX(MASTER_SOURCE!$B$2:$B$495,MATCH($I3550,MASTER_SOURCE!$A$2:$A$495,0)),"(REF không có trong MASTER_SOURCE)")))</f>
        <v/>
      </c>
      <c r="K3550" s="22">
        <f t="array" ref="K3550">IF($D3550="","",IFERROR(INDEX(MASTER_SOURCE!$C$2:$C$495,MATCH($I3550,MASTER_SOURCE!$A$2:$A$495,0)),""))</f>
        <v/>
      </c>
      <c r="L3550" s="22">
        <f t="array" ref="L3550">IF($D3550="","",IFERROR(INDEX(MASTER_SOURCE!$D$2:$D$495,MATCH($I3550,MASTER_SOURCE!$A$2:$A$495,0)),""))</f>
        <v/>
      </c>
      <c r="M3550" s="24" t="n"/>
      <c r="N3550" s="24" t="n"/>
      <c r="O3550" s="24" t="n"/>
      <c r="P3550" s="24" t="n"/>
      <c r="Q3550" s="22">
        <f>IF($D3550="","",IF(AND(OR(DANH_MUC!$L$5&lt;&gt;"Có",M3550="Có"),OR(DANH_MUC!$L$6&lt;&gt;"Có",N3550="Có"),OR(DANH_MUC!$L$7&lt;&gt;"Có",O3550="Có"),OR(DANH_MUC!$L$8&lt;&gt;"Có",P3550="Có")),"Có","Không"))</f>
        <v/>
      </c>
      <c r="R3550" s="22">
        <f>IF($D3550="","",IF(COUNTIF($D$2:$D3550,$D3550)&gt;1,"Trùng",""))</f>
        <v/>
      </c>
      <c r="S3550" s="22">
        <f>IF($D3550="","",IF(AND(LEN($D3550)=10,LEFT($D3550,1)="0",ISNUMBER(--$D3550)),"Có","Không"))</f>
        <v/>
      </c>
      <c r="T3550" s="22">
        <f>IF($D3550="","",IF(AND($C3550&lt;&gt;"",$Q3550="Có",$R3550="",$S3550="Có",AND($L3550&lt;&gt;"",OR($L3550&lt;&gt;"Chưa xác định",DANH_MUC!$L$9="Có"))),"Có","Không"))</f>
        <v/>
      </c>
      <c r="U3550" s="22">
        <f>IF(OR($D3550="",$T3550="Có"),"",IF($C3550="","Thiếu họ tên; ","")&amp;IF($S3550&lt;&gt;"Có","SĐT sai định dạng; ","")&amp;IF($R3550="Trùng","Trùng SĐT; ","")&amp;IF($Q3550&lt;&gt;"Có","Thiếu đồng ý bắt buộc; ","")&amp;IF($L3550="","Thiếu/sai Mã REF; ",IF(AND($L3550="Chưa xác định",DANH_MUC!$L$9&lt;&gt;"Có"),"Nguồn chưa xác định; ","")))</f>
        <v/>
      </c>
      <c r="V3550" s="22">
        <f>IF(OR($D3550="",$R3550="Trùng"),"",IF(COUNTIF(ORDERS!$C$2:$C$4995,$D3550)&gt;0,"Có","Không"))</f>
        <v/>
      </c>
      <c r="W3550" s="22">
        <f>IF(OR($D3550="",$R3550="Trùng"),"",COUNTIFS(ORDERS!$C$2:$C$4995,$D3550,ORDERS!$L$2:$L$4995,"Đã chuyển khoản"))</f>
        <v/>
      </c>
      <c r="X3550" s="23">
        <f>IF(OR($D3550="",$R3550="Trùng"),"",SUMIFS(ORDERS!$J$2:$J$4995,ORDERS!$C$2:$C$4995,$D3550,ORDERS!$L$2:$L$4995,"Đã chuyển khoản"))</f>
        <v/>
      </c>
      <c r="Y3550" s="24" t="n"/>
    </row>
    <row r="3551" ht="14.25" customHeight="1" s="40">
      <c r="A3551" s="24" t="n"/>
      <c r="B3551" s="27" t="n"/>
      <c r="C3551" s="24" t="n"/>
      <c r="D3551" s="28" t="n"/>
      <c r="E3551" s="29" t="n"/>
      <c r="F3551" s="24" t="n"/>
      <c r="G3551" s="24" t="n"/>
      <c r="H3551" s="21">
        <f>IF(ISNUMBER($B3551),INT($B3551)-WEEKDAY($B3551,2)+1,"")</f>
        <v/>
      </c>
      <c r="I3551" s="24" t="n"/>
      <c r="J3551" s="22">
        <f t="array" ref="J3551">IF($D3551="","",IF($I3551="","(trống REF)",IFERROR(INDEX(MASTER_SOURCE!$B$2:$B$495,MATCH($I3551,MASTER_SOURCE!$A$2:$A$495,0)),"(REF không có trong MASTER_SOURCE)")))</f>
        <v/>
      </c>
      <c r="K3551" s="22">
        <f t="array" ref="K3551">IF($D3551="","",IFERROR(INDEX(MASTER_SOURCE!$C$2:$C$495,MATCH($I3551,MASTER_SOURCE!$A$2:$A$495,0)),""))</f>
        <v/>
      </c>
      <c r="L3551" s="22">
        <f t="array" ref="L3551">IF($D3551="","",IFERROR(INDEX(MASTER_SOURCE!$D$2:$D$495,MATCH($I3551,MASTER_SOURCE!$A$2:$A$495,0)),""))</f>
        <v/>
      </c>
      <c r="M3551" s="24" t="n"/>
      <c r="N3551" s="24" t="n"/>
      <c r="O3551" s="24" t="n"/>
      <c r="P3551" s="24" t="n"/>
      <c r="Q3551" s="22">
        <f>IF($D3551="","",IF(AND(OR(DANH_MUC!$L$5&lt;&gt;"Có",M3551="Có"),OR(DANH_MUC!$L$6&lt;&gt;"Có",N3551="Có"),OR(DANH_MUC!$L$7&lt;&gt;"Có",O3551="Có"),OR(DANH_MUC!$L$8&lt;&gt;"Có",P3551="Có")),"Có","Không"))</f>
        <v/>
      </c>
      <c r="R3551" s="22">
        <f>IF($D3551="","",IF(COUNTIF($D$2:$D3551,$D3551)&gt;1,"Trùng",""))</f>
        <v/>
      </c>
      <c r="S3551" s="22">
        <f>IF($D3551="","",IF(AND(LEN($D3551)=10,LEFT($D3551,1)="0",ISNUMBER(--$D3551)),"Có","Không"))</f>
        <v/>
      </c>
      <c r="T3551" s="22">
        <f>IF($D3551="","",IF(AND($C3551&lt;&gt;"",$Q3551="Có",$R3551="",$S3551="Có",AND($L3551&lt;&gt;"",OR($L3551&lt;&gt;"Chưa xác định",DANH_MUC!$L$9="Có"))),"Có","Không"))</f>
        <v/>
      </c>
      <c r="U3551" s="22">
        <f>IF(OR($D3551="",$T3551="Có"),"",IF($C3551="","Thiếu họ tên; ","")&amp;IF($S3551&lt;&gt;"Có","SĐT sai định dạng; ","")&amp;IF($R3551="Trùng","Trùng SĐT; ","")&amp;IF($Q3551&lt;&gt;"Có","Thiếu đồng ý bắt buộc; ","")&amp;IF($L3551="","Thiếu/sai Mã REF; ",IF(AND($L3551="Chưa xác định",DANH_MUC!$L$9&lt;&gt;"Có"),"Nguồn chưa xác định; ","")))</f>
        <v/>
      </c>
      <c r="V3551" s="22">
        <f>IF(OR($D3551="",$R3551="Trùng"),"",IF(COUNTIF(ORDERS!$C$2:$C$4995,$D3551)&gt;0,"Có","Không"))</f>
        <v/>
      </c>
      <c r="W3551" s="22">
        <f>IF(OR($D3551="",$R3551="Trùng"),"",COUNTIFS(ORDERS!$C$2:$C$4995,$D3551,ORDERS!$L$2:$L$4995,"Đã chuyển khoản"))</f>
        <v/>
      </c>
      <c r="X3551" s="23">
        <f>IF(OR($D3551="",$R3551="Trùng"),"",SUMIFS(ORDERS!$J$2:$J$4995,ORDERS!$C$2:$C$4995,$D3551,ORDERS!$L$2:$L$4995,"Đã chuyển khoản"))</f>
        <v/>
      </c>
      <c r="Y3551" s="24" t="n"/>
    </row>
    <row r="3552" ht="14.25" customHeight="1" s="40">
      <c r="A3552" s="24" t="n"/>
      <c r="B3552" s="27" t="n"/>
      <c r="C3552" s="24" t="n"/>
      <c r="D3552" s="28" t="n"/>
      <c r="E3552" s="29" t="n"/>
      <c r="F3552" s="24" t="n"/>
      <c r="G3552" s="24" t="n"/>
      <c r="H3552" s="21">
        <f>IF(ISNUMBER($B3552),INT($B3552)-WEEKDAY($B3552,2)+1,"")</f>
        <v/>
      </c>
      <c r="I3552" s="24" t="n"/>
      <c r="J3552" s="22">
        <f t="array" ref="J3552">IF($D3552="","",IF($I3552="","(trống REF)",IFERROR(INDEX(MASTER_SOURCE!$B$2:$B$495,MATCH($I3552,MASTER_SOURCE!$A$2:$A$495,0)),"(REF không có trong MASTER_SOURCE)")))</f>
        <v/>
      </c>
      <c r="K3552" s="22">
        <f t="array" ref="K3552">IF($D3552="","",IFERROR(INDEX(MASTER_SOURCE!$C$2:$C$495,MATCH($I3552,MASTER_SOURCE!$A$2:$A$495,0)),""))</f>
        <v/>
      </c>
      <c r="L3552" s="22">
        <f t="array" ref="L3552">IF($D3552="","",IFERROR(INDEX(MASTER_SOURCE!$D$2:$D$495,MATCH($I3552,MASTER_SOURCE!$A$2:$A$495,0)),""))</f>
        <v/>
      </c>
      <c r="M3552" s="24" t="n"/>
      <c r="N3552" s="24" t="n"/>
      <c r="O3552" s="24" t="n"/>
      <c r="P3552" s="24" t="n"/>
      <c r="Q3552" s="22">
        <f>IF($D3552="","",IF(AND(OR(DANH_MUC!$L$5&lt;&gt;"Có",M3552="Có"),OR(DANH_MUC!$L$6&lt;&gt;"Có",N3552="Có"),OR(DANH_MUC!$L$7&lt;&gt;"Có",O3552="Có"),OR(DANH_MUC!$L$8&lt;&gt;"Có",P3552="Có")),"Có","Không"))</f>
        <v/>
      </c>
      <c r="R3552" s="22">
        <f>IF($D3552="","",IF(COUNTIF($D$2:$D3552,$D3552)&gt;1,"Trùng",""))</f>
        <v/>
      </c>
      <c r="S3552" s="22">
        <f>IF($D3552="","",IF(AND(LEN($D3552)=10,LEFT($D3552,1)="0",ISNUMBER(--$D3552)),"Có","Không"))</f>
        <v/>
      </c>
      <c r="T3552" s="22">
        <f>IF($D3552="","",IF(AND($C3552&lt;&gt;"",$Q3552="Có",$R3552="",$S3552="Có",AND($L3552&lt;&gt;"",OR($L3552&lt;&gt;"Chưa xác định",DANH_MUC!$L$9="Có"))),"Có","Không"))</f>
        <v/>
      </c>
      <c r="U3552" s="22">
        <f>IF(OR($D3552="",$T3552="Có"),"",IF($C3552="","Thiếu họ tên; ","")&amp;IF($S3552&lt;&gt;"Có","SĐT sai định dạng; ","")&amp;IF($R3552="Trùng","Trùng SĐT; ","")&amp;IF($Q3552&lt;&gt;"Có","Thiếu đồng ý bắt buộc; ","")&amp;IF($L3552="","Thiếu/sai Mã REF; ",IF(AND($L3552="Chưa xác định",DANH_MUC!$L$9&lt;&gt;"Có"),"Nguồn chưa xác định; ","")))</f>
        <v/>
      </c>
      <c r="V3552" s="22">
        <f>IF(OR($D3552="",$R3552="Trùng"),"",IF(COUNTIF(ORDERS!$C$2:$C$4995,$D3552)&gt;0,"Có","Không"))</f>
        <v/>
      </c>
      <c r="W3552" s="22">
        <f>IF(OR($D3552="",$R3552="Trùng"),"",COUNTIFS(ORDERS!$C$2:$C$4995,$D3552,ORDERS!$L$2:$L$4995,"Đã chuyển khoản"))</f>
        <v/>
      </c>
      <c r="X3552" s="23">
        <f>IF(OR($D3552="",$R3552="Trùng"),"",SUMIFS(ORDERS!$J$2:$J$4995,ORDERS!$C$2:$C$4995,$D3552,ORDERS!$L$2:$L$4995,"Đã chuyển khoản"))</f>
        <v/>
      </c>
      <c r="Y3552" s="24" t="n"/>
    </row>
    <row r="3553" ht="14.25" customHeight="1" s="40">
      <c r="A3553" s="24" t="n"/>
      <c r="B3553" s="27" t="n"/>
      <c r="C3553" s="24" t="n"/>
      <c r="D3553" s="28" t="n"/>
      <c r="E3553" s="29" t="n"/>
      <c r="F3553" s="24" t="n"/>
      <c r="G3553" s="24" t="n"/>
      <c r="H3553" s="21">
        <f>IF(ISNUMBER($B3553),INT($B3553)-WEEKDAY($B3553,2)+1,"")</f>
        <v/>
      </c>
      <c r="I3553" s="24" t="n"/>
      <c r="J3553" s="22">
        <f t="array" ref="J3553">IF($D3553="","",IF($I3553="","(trống REF)",IFERROR(INDEX(MASTER_SOURCE!$B$2:$B$495,MATCH($I3553,MASTER_SOURCE!$A$2:$A$495,0)),"(REF không có trong MASTER_SOURCE)")))</f>
        <v/>
      </c>
      <c r="K3553" s="22">
        <f t="array" ref="K3553">IF($D3553="","",IFERROR(INDEX(MASTER_SOURCE!$C$2:$C$495,MATCH($I3553,MASTER_SOURCE!$A$2:$A$495,0)),""))</f>
        <v/>
      </c>
      <c r="L3553" s="22">
        <f t="array" ref="L3553">IF($D3553="","",IFERROR(INDEX(MASTER_SOURCE!$D$2:$D$495,MATCH($I3553,MASTER_SOURCE!$A$2:$A$495,0)),""))</f>
        <v/>
      </c>
      <c r="M3553" s="24" t="n"/>
      <c r="N3553" s="24" t="n"/>
      <c r="O3553" s="24" t="n"/>
      <c r="P3553" s="24" t="n"/>
      <c r="Q3553" s="22">
        <f>IF($D3553="","",IF(AND(OR(DANH_MUC!$L$5&lt;&gt;"Có",M3553="Có"),OR(DANH_MUC!$L$6&lt;&gt;"Có",N3553="Có"),OR(DANH_MUC!$L$7&lt;&gt;"Có",O3553="Có"),OR(DANH_MUC!$L$8&lt;&gt;"Có",P3553="Có")),"Có","Không"))</f>
        <v/>
      </c>
      <c r="R3553" s="22">
        <f>IF($D3553="","",IF(COUNTIF($D$2:$D3553,$D3553)&gt;1,"Trùng",""))</f>
        <v/>
      </c>
      <c r="S3553" s="22">
        <f>IF($D3553="","",IF(AND(LEN($D3553)=10,LEFT($D3553,1)="0",ISNUMBER(--$D3553)),"Có","Không"))</f>
        <v/>
      </c>
      <c r="T3553" s="22">
        <f>IF($D3553="","",IF(AND($C3553&lt;&gt;"",$Q3553="Có",$R3553="",$S3553="Có",AND($L3553&lt;&gt;"",OR($L3553&lt;&gt;"Chưa xác định",DANH_MUC!$L$9="Có"))),"Có","Không"))</f>
        <v/>
      </c>
      <c r="U3553" s="22">
        <f>IF(OR($D3553="",$T3553="Có"),"",IF($C3553="","Thiếu họ tên; ","")&amp;IF($S3553&lt;&gt;"Có","SĐT sai định dạng; ","")&amp;IF($R3553="Trùng","Trùng SĐT; ","")&amp;IF($Q3553&lt;&gt;"Có","Thiếu đồng ý bắt buộc; ","")&amp;IF($L3553="","Thiếu/sai Mã REF; ",IF(AND($L3553="Chưa xác định",DANH_MUC!$L$9&lt;&gt;"Có"),"Nguồn chưa xác định; ","")))</f>
        <v/>
      </c>
      <c r="V3553" s="22">
        <f>IF(OR($D3553="",$R3553="Trùng"),"",IF(COUNTIF(ORDERS!$C$2:$C$4995,$D3553)&gt;0,"Có","Không"))</f>
        <v/>
      </c>
      <c r="W3553" s="22">
        <f>IF(OR($D3553="",$R3553="Trùng"),"",COUNTIFS(ORDERS!$C$2:$C$4995,$D3553,ORDERS!$L$2:$L$4995,"Đã chuyển khoản"))</f>
        <v/>
      </c>
      <c r="X3553" s="23">
        <f>IF(OR($D3553="",$R3553="Trùng"),"",SUMIFS(ORDERS!$J$2:$J$4995,ORDERS!$C$2:$C$4995,$D3553,ORDERS!$L$2:$L$4995,"Đã chuyển khoản"))</f>
        <v/>
      </c>
      <c r="Y3553" s="24" t="n"/>
    </row>
    <row r="3554" ht="14.25" customHeight="1" s="40">
      <c r="A3554" s="24" t="n"/>
      <c r="B3554" s="27" t="n"/>
      <c r="C3554" s="24" t="n"/>
      <c r="D3554" s="28" t="n"/>
      <c r="E3554" s="29" t="n"/>
      <c r="F3554" s="24" t="n"/>
      <c r="G3554" s="24" t="n"/>
      <c r="H3554" s="21">
        <f>IF(ISNUMBER($B3554),INT($B3554)-WEEKDAY($B3554,2)+1,"")</f>
        <v/>
      </c>
      <c r="I3554" s="24" t="n"/>
      <c r="J3554" s="22">
        <f t="array" ref="J3554">IF($D3554="","",IF($I3554="","(trống REF)",IFERROR(INDEX(MASTER_SOURCE!$B$2:$B$495,MATCH($I3554,MASTER_SOURCE!$A$2:$A$495,0)),"(REF không có trong MASTER_SOURCE)")))</f>
        <v/>
      </c>
      <c r="K3554" s="22">
        <f t="array" ref="K3554">IF($D3554="","",IFERROR(INDEX(MASTER_SOURCE!$C$2:$C$495,MATCH($I3554,MASTER_SOURCE!$A$2:$A$495,0)),""))</f>
        <v/>
      </c>
      <c r="L3554" s="22">
        <f t="array" ref="L3554">IF($D3554="","",IFERROR(INDEX(MASTER_SOURCE!$D$2:$D$495,MATCH($I3554,MASTER_SOURCE!$A$2:$A$495,0)),""))</f>
        <v/>
      </c>
      <c r="M3554" s="24" t="n"/>
      <c r="N3554" s="24" t="n"/>
      <c r="O3554" s="24" t="n"/>
      <c r="P3554" s="24" t="n"/>
      <c r="Q3554" s="22">
        <f>IF($D3554="","",IF(AND(OR(DANH_MUC!$L$5&lt;&gt;"Có",M3554="Có"),OR(DANH_MUC!$L$6&lt;&gt;"Có",N3554="Có"),OR(DANH_MUC!$L$7&lt;&gt;"Có",O3554="Có"),OR(DANH_MUC!$L$8&lt;&gt;"Có",P3554="Có")),"Có","Không"))</f>
        <v/>
      </c>
      <c r="R3554" s="22">
        <f>IF($D3554="","",IF(COUNTIF($D$2:$D3554,$D3554)&gt;1,"Trùng",""))</f>
        <v/>
      </c>
      <c r="S3554" s="22">
        <f>IF($D3554="","",IF(AND(LEN($D3554)=10,LEFT($D3554,1)="0",ISNUMBER(--$D3554)),"Có","Không"))</f>
        <v/>
      </c>
      <c r="T3554" s="22">
        <f>IF($D3554="","",IF(AND($C3554&lt;&gt;"",$Q3554="Có",$R3554="",$S3554="Có",AND($L3554&lt;&gt;"",OR($L3554&lt;&gt;"Chưa xác định",DANH_MUC!$L$9="Có"))),"Có","Không"))</f>
        <v/>
      </c>
      <c r="U3554" s="22">
        <f>IF(OR($D3554="",$T3554="Có"),"",IF($C3554="","Thiếu họ tên; ","")&amp;IF($S3554&lt;&gt;"Có","SĐT sai định dạng; ","")&amp;IF($R3554="Trùng","Trùng SĐT; ","")&amp;IF($Q3554&lt;&gt;"Có","Thiếu đồng ý bắt buộc; ","")&amp;IF($L3554="","Thiếu/sai Mã REF; ",IF(AND($L3554="Chưa xác định",DANH_MUC!$L$9&lt;&gt;"Có"),"Nguồn chưa xác định; ","")))</f>
        <v/>
      </c>
      <c r="V3554" s="22">
        <f>IF(OR($D3554="",$R3554="Trùng"),"",IF(COUNTIF(ORDERS!$C$2:$C$4995,$D3554)&gt;0,"Có","Không"))</f>
        <v/>
      </c>
      <c r="W3554" s="22">
        <f>IF(OR($D3554="",$R3554="Trùng"),"",COUNTIFS(ORDERS!$C$2:$C$4995,$D3554,ORDERS!$L$2:$L$4995,"Đã chuyển khoản"))</f>
        <v/>
      </c>
      <c r="X3554" s="23">
        <f>IF(OR($D3554="",$R3554="Trùng"),"",SUMIFS(ORDERS!$J$2:$J$4995,ORDERS!$C$2:$C$4995,$D3554,ORDERS!$L$2:$L$4995,"Đã chuyển khoản"))</f>
        <v/>
      </c>
      <c r="Y3554" s="24" t="n"/>
    </row>
    <row r="3555" ht="14.25" customHeight="1" s="40">
      <c r="A3555" s="24" t="n"/>
      <c r="B3555" s="27" t="n"/>
      <c r="C3555" s="24" t="n"/>
      <c r="D3555" s="28" t="n"/>
      <c r="E3555" s="29" t="n"/>
      <c r="F3555" s="24" t="n"/>
      <c r="G3555" s="24" t="n"/>
      <c r="H3555" s="21">
        <f>IF(ISNUMBER($B3555),INT($B3555)-WEEKDAY($B3555,2)+1,"")</f>
        <v/>
      </c>
      <c r="I3555" s="24" t="n"/>
      <c r="J3555" s="22">
        <f t="array" ref="J3555">IF($D3555="","",IF($I3555="","(trống REF)",IFERROR(INDEX(MASTER_SOURCE!$B$2:$B$495,MATCH($I3555,MASTER_SOURCE!$A$2:$A$495,0)),"(REF không có trong MASTER_SOURCE)")))</f>
        <v/>
      </c>
      <c r="K3555" s="22">
        <f t="array" ref="K3555">IF($D3555="","",IFERROR(INDEX(MASTER_SOURCE!$C$2:$C$495,MATCH($I3555,MASTER_SOURCE!$A$2:$A$495,0)),""))</f>
        <v/>
      </c>
      <c r="L3555" s="22">
        <f t="array" ref="L3555">IF($D3555="","",IFERROR(INDEX(MASTER_SOURCE!$D$2:$D$495,MATCH($I3555,MASTER_SOURCE!$A$2:$A$495,0)),""))</f>
        <v/>
      </c>
      <c r="M3555" s="24" t="n"/>
      <c r="N3555" s="24" t="n"/>
      <c r="O3555" s="24" t="n"/>
      <c r="P3555" s="24" t="n"/>
      <c r="Q3555" s="22">
        <f>IF($D3555="","",IF(AND(OR(DANH_MUC!$L$5&lt;&gt;"Có",M3555="Có"),OR(DANH_MUC!$L$6&lt;&gt;"Có",N3555="Có"),OR(DANH_MUC!$L$7&lt;&gt;"Có",O3555="Có"),OR(DANH_MUC!$L$8&lt;&gt;"Có",P3555="Có")),"Có","Không"))</f>
        <v/>
      </c>
      <c r="R3555" s="22">
        <f>IF($D3555="","",IF(COUNTIF($D$2:$D3555,$D3555)&gt;1,"Trùng",""))</f>
        <v/>
      </c>
      <c r="S3555" s="22">
        <f>IF($D3555="","",IF(AND(LEN($D3555)=10,LEFT($D3555,1)="0",ISNUMBER(--$D3555)),"Có","Không"))</f>
        <v/>
      </c>
      <c r="T3555" s="22">
        <f>IF($D3555="","",IF(AND($C3555&lt;&gt;"",$Q3555="Có",$R3555="",$S3555="Có",AND($L3555&lt;&gt;"",OR($L3555&lt;&gt;"Chưa xác định",DANH_MUC!$L$9="Có"))),"Có","Không"))</f>
        <v/>
      </c>
      <c r="U3555" s="22">
        <f>IF(OR($D3555="",$T3555="Có"),"",IF($C3555="","Thiếu họ tên; ","")&amp;IF($S3555&lt;&gt;"Có","SĐT sai định dạng; ","")&amp;IF($R3555="Trùng","Trùng SĐT; ","")&amp;IF($Q3555&lt;&gt;"Có","Thiếu đồng ý bắt buộc; ","")&amp;IF($L3555="","Thiếu/sai Mã REF; ",IF(AND($L3555="Chưa xác định",DANH_MUC!$L$9&lt;&gt;"Có"),"Nguồn chưa xác định; ","")))</f>
        <v/>
      </c>
      <c r="V3555" s="22">
        <f>IF(OR($D3555="",$R3555="Trùng"),"",IF(COUNTIF(ORDERS!$C$2:$C$4995,$D3555)&gt;0,"Có","Không"))</f>
        <v/>
      </c>
      <c r="W3555" s="22">
        <f>IF(OR($D3555="",$R3555="Trùng"),"",COUNTIFS(ORDERS!$C$2:$C$4995,$D3555,ORDERS!$L$2:$L$4995,"Đã chuyển khoản"))</f>
        <v/>
      </c>
      <c r="X3555" s="23">
        <f>IF(OR($D3555="",$R3555="Trùng"),"",SUMIFS(ORDERS!$J$2:$J$4995,ORDERS!$C$2:$C$4995,$D3555,ORDERS!$L$2:$L$4995,"Đã chuyển khoản"))</f>
        <v/>
      </c>
      <c r="Y3555" s="24" t="n"/>
    </row>
    <row r="3556" ht="14.25" customHeight="1" s="40">
      <c r="A3556" s="24" t="n"/>
      <c r="B3556" s="27" t="n"/>
      <c r="C3556" s="24" t="n"/>
      <c r="D3556" s="28" t="n"/>
      <c r="E3556" s="29" t="n"/>
      <c r="F3556" s="24" t="n"/>
      <c r="G3556" s="24" t="n"/>
      <c r="H3556" s="21">
        <f>IF(ISNUMBER($B3556),INT($B3556)-WEEKDAY($B3556,2)+1,"")</f>
        <v/>
      </c>
      <c r="I3556" s="24" t="n"/>
      <c r="J3556" s="22">
        <f t="array" ref="J3556">IF($D3556="","",IF($I3556="","(trống REF)",IFERROR(INDEX(MASTER_SOURCE!$B$2:$B$495,MATCH($I3556,MASTER_SOURCE!$A$2:$A$495,0)),"(REF không có trong MASTER_SOURCE)")))</f>
        <v/>
      </c>
      <c r="K3556" s="22">
        <f t="array" ref="K3556">IF($D3556="","",IFERROR(INDEX(MASTER_SOURCE!$C$2:$C$495,MATCH($I3556,MASTER_SOURCE!$A$2:$A$495,0)),""))</f>
        <v/>
      </c>
      <c r="L3556" s="22">
        <f t="array" ref="L3556">IF($D3556="","",IFERROR(INDEX(MASTER_SOURCE!$D$2:$D$495,MATCH($I3556,MASTER_SOURCE!$A$2:$A$495,0)),""))</f>
        <v/>
      </c>
      <c r="M3556" s="24" t="n"/>
      <c r="N3556" s="24" t="n"/>
      <c r="O3556" s="24" t="n"/>
      <c r="P3556" s="24" t="n"/>
      <c r="Q3556" s="22">
        <f>IF($D3556="","",IF(AND(OR(DANH_MUC!$L$5&lt;&gt;"Có",M3556="Có"),OR(DANH_MUC!$L$6&lt;&gt;"Có",N3556="Có"),OR(DANH_MUC!$L$7&lt;&gt;"Có",O3556="Có"),OR(DANH_MUC!$L$8&lt;&gt;"Có",P3556="Có")),"Có","Không"))</f>
        <v/>
      </c>
      <c r="R3556" s="22">
        <f>IF($D3556="","",IF(COUNTIF($D$2:$D3556,$D3556)&gt;1,"Trùng",""))</f>
        <v/>
      </c>
      <c r="S3556" s="22">
        <f>IF($D3556="","",IF(AND(LEN($D3556)=10,LEFT($D3556,1)="0",ISNUMBER(--$D3556)),"Có","Không"))</f>
        <v/>
      </c>
      <c r="T3556" s="22">
        <f>IF($D3556="","",IF(AND($C3556&lt;&gt;"",$Q3556="Có",$R3556="",$S3556="Có",AND($L3556&lt;&gt;"",OR($L3556&lt;&gt;"Chưa xác định",DANH_MUC!$L$9="Có"))),"Có","Không"))</f>
        <v/>
      </c>
      <c r="U3556" s="22">
        <f>IF(OR($D3556="",$T3556="Có"),"",IF($C3556="","Thiếu họ tên; ","")&amp;IF($S3556&lt;&gt;"Có","SĐT sai định dạng; ","")&amp;IF($R3556="Trùng","Trùng SĐT; ","")&amp;IF($Q3556&lt;&gt;"Có","Thiếu đồng ý bắt buộc; ","")&amp;IF($L3556="","Thiếu/sai Mã REF; ",IF(AND($L3556="Chưa xác định",DANH_MUC!$L$9&lt;&gt;"Có"),"Nguồn chưa xác định; ","")))</f>
        <v/>
      </c>
      <c r="V3556" s="22">
        <f>IF(OR($D3556="",$R3556="Trùng"),"",IF(COUNTIF(ORDERS!$C$2:$C$4995,$D3556)&gt;0,"Có","Không"))</f>
        <v/>
      </c>
      <c r="W3556" s="22">
        <f>IF(OR($D3556="",$R3556="Trùng"),"",COUNTIFS(ORDERS!$C$2:$C$4995,$D3556,ORDERS!$L$2:$L$4995,"Đã chuyển khoản"))</f>
        <v/>
      </c>
      <c r="X3556" s="23">
        <f>IF(OR($D3556="",$R3556="Trùng"),"",SUMIFS(ORDERS!$J$2:$J$4995,ORDERS!$C$2:$C$4995,$D3556,ORDERS!$L$2:$L$4995,"Đã chuyển khoản"))</f>
        <v/>
      </c>
      <c r="Y3556" s="24" t="n"/>
    </row>
    <row r="3557" ht="14.25" customHeight="1" s="40">
      <c r="A3557" s="24" t="n"/>
      <c r="B3557" s="27" t="n"/>
      <c r="C3557" s="24" t="n"/>
      <c r="D3557" s="28" t="n"/>
      <c r="E3557" s="29" t="n"/>
      <c r="F3557" s="24" t="n"/>
      <c r="G3557" s="24" t="n"/>
      <c r="H3557" s="21">
        <f>IF(ISNUMBER($B3557),INT($B3557)-WEEKDAY($B3557,2)+1,"")</f>
        <v/>
      </c>
      <c r="I3557" s="24" t="n"/>
      <c r="J3557" s="22">
        <f t="array" ref="J3557">IF($D3557="","",IF($I3557="","(trống REF)",IFERROR(INDEX(MASTER_SOURCE!$B$2:$B$495,MATCH($I3557,MASTER_SOURCE!$A$2:$A$495,0)),"(REF không có trong MASTER_SOURCE)")))</f>
        <v/>
      </c>
      <c r="K3557" s="22">
        <f t="array" ref="K3557">IF($D3557="","",IFERROR(INDEX(MASTER_SOURCE!$C$2:$C$495,MATCH($I3557,MASTER_SOURCE!$A$2:$A$495,0)),""))</f>
        <v/>
      </c>
      <c r="L3557" s="22">
        <f t="array" ref="L3557">IF($D3557="","",IFERROR(INDEX(MASTER_SOURCE!$D$2:$D$495,MATCH($I3557,MASTER_SOURCE!$A$2:$A$495,0)),""))</f>
        <v/>
      </c>
      <c r="M3557" s="24" t="n"/>
      <c r="N3557" s="24" t="n"/>
      <c r="O3557" s="24" t="n"/>
      <c r="P3557" s="24" t="n"/>
      <c r="Q3557" s="22">
        <f>IF($D3557="","",IF(AND(OR(DANH_MUC!$L$5&lt;&gt;"Có",M3557="Có"),OR(DANH_MUC!$L$6&lt;&gt;"Có",N3557="Có"),OR(DANH_MUC!$L$7&lt;&gt;"Có",O3557="Có"),OR(DANH_MUC!$L$8&lt;&gt;"Có",P3557="Có")),"Có","Không"))</f>
        <v/>
      </c>
      <c r="R3557" s="22">
        <f>IF($D3557="","",IF(COUNTIF($D$2:$D3557,$D3557)&gt;1,"Trùng",""))</f>
        <v/>
      </c>
      <c r="S3557" s="22">
        <f>IF($D3557="","",IF(AND(LEN($D3557)=10,LEFT($D3557,1)="0",ISNUMBER(--$D3557)),"Có","Không"))</f>
        <v/>
      </c>
      <c r="T3557" s="22">
        <f>IF($D3557="","",IF(AND($C3557&lt;&gt;"",$Q3557="Có",$R3557="",$S3557="Có",AND($L3557&lt;&gt;"",OR($L3557&lt;&gt;"Chưa xác định",DANH_MUC!$L$9="Có"))),"Có","Không"))</f>
        <v/>
      </c>
      <c r="U3557" s="22">
        <f>IF(OR($D3557="",$T3557="Có"),"",IF($C3557="","Thiếu họ tên; ","")&amp;IF($S3557&lt;&gt;"Có","SĐT sai định dạng; ","")&amp;IF($R3557="Trùng","Trùng SĐT; ","")&amp;IF($Q3557&lt;&gt;"Có","Thiếu đồng ý bắt buộc; ","")&amp;IF($L3557="","Thiếu/sai Mã REF; ",IF(AND($L3557="Chưa xác định",DANH_MUC!$L$9&lt;&gt;"Có"),"Nguồn chưa xác định; ","")))</f>
        <v/>
      </c>
      <c r="V3557" s="22">
        <f>IF(OR($D3557="",$R3557="Trùng"),"",IF(COUNTIF(ORDERS!$C$2:$C$4995,$D3557)&gt;0,"Có","Không"))</f>
        <v/>
      </c>
      <c r="W3557" s="22">
        <f>IF(OR($D3557="",$R3557="Trùng"),"",COUNTIFS(ORDERS!$C$2:$C$4995,$D3557,ORDERS!$L$2:$L$4995,"Đã chuyển khoản"))</f>
        <v/>
      </c>
      <c r="X3557" s="23">
        <f>IF(OR($D3557="",$R3557="Trùng"),"",SUMIFS(ORDERS!$J$2:$J$4995,ORDERS!$C$2:$C$4995,$D3557,ORDERS!$L$2:$L$4995,"Đã chuyển khoản"))</f>
        <v/>
      </c>
      <c r="Y3557" s="24" t="n"/>
    </row>
    <row r="3558" ht="14.25" customHeight="1" s="40">
      <c r="A3558" s="24" t="n"/>
      <c r="B3558" s="27" t="n"/>
      <c r="C3558" s="24" t="n"/>
      <c r="D3558" s="28" t="n"/>
      <c r="E3558" s="29" t="n"/>
      <c r="F3558" s="24" t="n"/>
      <c r="G3558" s="24" t="n"/>
      <c r="H3558" s="21">
        <f>IF(ISNUMBER($B3558),INT($B3558)-WEEKDAY($B3558,2)+1,"")</f>
        <v/>
      </c>
      <c r="I3558" s="24" t="n"/>
      <c r="J3558" s="22">
        <f t="array" ref="J3558">IF($D3558="","",IF($I3558="","(trống REF)",IFERROR(INDEX(MASTER_SOURCE!$B$2:$B$495,MATCH($I3558,MASTER_SOURCE!$A$2:$A$495,0)),"(REF không có trong MASTER_SOURCE)")))</f>
        <v/>
      </c>
      <c r="K3558" s="22">
        <f t="array" ref="K3558">IF($D3558="","",IFERROR(INDEX(MASTER_SOURCE!$C$2:$C$495,MATCH($I3558,MASTER_SOURCE!$A$2:$A$495,0)),""))</f>
        <v/>
      </c>
      <c r="L3558" s="22">
        <f t="array" ref="L3558">IF($D3558="","",IFERROR(INDEX(MASTER_SOURCE!$D$2:$D$495,MATCH($I3558,MASTER_SOURCE!$A$2:$A$495,0)),""))</f>
        <v/>
      </c>
      <c r="M3558" s="24" t="n"/>
      <c r="N3558" s="24" t="n"/>
      <c r="O3558" s="24" t="n"/>
      <c r="P3558" s="24" t="n"/>
      <c r="Q3558" s="22">
        <f>IF($D3558="","",IF(AND(OR(DANH_MUC!$L$5&lt;&gt;"Có",M3558="Có"),OR(DANH_MUC!$L$6&lt;&gt;"Có",N3558="Có"),OR(DANH_MUC!$L$7&lt;&gt;"Có",O3558="Có"),OR(DANH_MUC!$L$8&lt;&gt;"Có",P3558="Có")),"Có","Không"))</f>
        <v/>
      </c>
      <c r="R3558" s="22">
        <f>IF($D3558="","",IF(COUNTIF($D$2:$D3558,$D3558)&gt;1,"Trùng",""))</f>
        <v/>
      </c>
      <c r="S3558" s="22">
        <f>IF($D3558="","",IF(AND(LEN($D3558)=10,LEFT($D3558,1)="0",ISNUMBER(--$D3558)),"Có","Không"))</f>
        <v/>
      </c>
      <c r="T3558" s="22">
        <f>IF($D3558="","",IF(AND($C3558&lt;&gt;"",$Q3558="Có",$R3558="",$S3558="Có",AND($L3558&lt;&gt;"",OR($L3558&lt;&gt;"Chưa xác định",DANH_MUC!$L$9="Có"))),"Có","Không"))</f>
        <v/>
      </c>
      <c r="U3558" s="22">
        <f>IF(OR($D3558="",$T3558="Có"),"",IF($C3558="","Thiếu họ tên; ","")&amp;IF($S3558&lt;&gt;"Có","SĐT sai định dạng; ","")&amp;IF($R3558="Trùng","Trùng SĐT; ","")&amp;IF($Q3558&lt;&gt;"Có","Thiếu đồng ý bắt buộc; ","")&amp;IF($L3558="","Thiếu/sai Mã REF; ",IF(AND($L3558="Chưa xác định",DANH_MUC!$L$9&lt;&gt;"Có"),"Nguồn chưa xác định; ","")))</f>
        <v/>
      </c>
      <c r="V3558" s="22">
        <f>IF(OR($D3558="",$R3558="Trùng"),"",IF(COUNTIF(ORDERS!$C$2:$C$4995,$D3558)&gt;0,"Có","Không"))</f>
        <v/>
      </c>
      <c r="W3558" s="22">
        <f>IF(OR($D3558="",$R3558="Trùng"),"",COUNTIFS(ORDERS!$C$2:$C$4995,$D3558,ORDERS!$L$2:$L$4995,"Đã chuyển khoản"))</f>
        <v/>
      </c>
      <c r="X3558" s="23">
        <f>IF(OR($D3558="",$R3558="Trùng"),"",SUMIFS(ORDERS!$J$2:$J$4995,ORDERS!$C$2:$C$4995,$D3558,ORDERS!$L$2:$L$4995,"Đã chuyển khoản"))</f>
        <v/>
      </c>
      <c r="Y3558" s="24" t="n"/>
    </row>
    <row r="3559" ht="14.25" customHeight="1" s="40">
      <c r="A3559" s="24" t="n"/>
      <c r="B3559" s="27" t="n"/>
      <c r="C3559" s="24" t="n"/>
      <c r="D3559" s="28" t="n"/>
      <c r="E3559" s="29" t="n"/>
      <c r="F3559" s="24" t="n"/>
      <c r="G3559" s="24" t="n"/>
      <c r="H3559" s="21">
        <f>IF(ISNUMBER($B3559),INT($B3559)-WEEKDAY($B3559,2)+1,"")</f>
        <v/>
      </c>
      <c r="I3559" s="24" t="n"/>
      <c r="J3559" s="22">
        <f t="array" ref="J3559">IF($D3559="","",IF($I3559="","(trống REF)",IFERROR(INDEX(MASTER_SOURCE!$B$2:$B$495,MATCH($I3559,MASTER_SOURCE!$A$2:$A$495,0)),"(REF không có trong MASTER_SOURCE)")))</f>
        <v/>
      </c>
      <c r="K3559" s="22">
        <f t="array" ref="K3559">IF($D3559="","",IFERROR(INDEX(MASTER_SOURCE!$C$2:$C$495,MATCH($I3559,MASTER_SOURCE!$A$2:$A$495,0)),""))</f>
        <v/>
      </c>
      <c r="L3559" s="22">
        <f t="array" ref="L3559">IF($D3559="","",IFERROR(INDEX(MASTER_SOURCE!$D$2:$D$495,MATCH($I3559,MASTER_SOURCE!$A$2:$A$495,0)),""))</f>
        <v/>
      </c>
      <c r="M3559" s="24" t="n"/>
      <c r="N3559" s="24" t="n"/>
      <c r="O3559" s="24" t="n"/>
      <c r="P3559" s="24" t="n"/>
      <c r="Q3559" s="22">
        <f>IF($D3559="","",IF(AND(OR(DANH_MUC!$L$5&lt;&gt;"Có",M3559="Có"),OR(DANH_MUC!$L$6&lt;&gt;"Có",N3559="Có"),OR(DANH_MUC!$L$7&lt;&gt;"Có",O3559="Có"),OR(DANH_MUC!$L$8&lt;&gt;"Có",P3559="Có")),"Có","Không"))</f>
        <v/>
      </c>
      <c r="R3559" s="22">
        <f>IF($D3559="","",IF(COUNTIF($D$2:$D3559,$D3559)&gt;1,"Trùng",""))</f>
        <v/>
      </c>
      <c r="S3559" s="22">
        <f>IF($D3559="","",IF(AND(LEN($D3559)=10,LEFT($D3559,1)="0",ISNUMBER(--$D3559)),"Có","Không"))</f>
        <v/>
      </c>
      <c r="T3559" s="22">
        <f>IF($D3559="","",IF(AND($C3559&lt;&gt;"",$Q3559="Có",$R3559="",$S3559="Có",AND($L3559&lt;&gt;"",OR($L3559&lt;&gt;"Chưa xác định",DANH_MUC!$L$9="Có"))),"Có","Không"))</f>
        <v/>
      </c>
      <c r="U3559" s="22">
        <f>IF(OR($D3559="",$T3559="Có"),"",IF($C3559="","Thiếu họ tên; ","")&amp;IF($S3559&lt;&gt;"Có","SĐT sai định dạng; ","")&amp;IF($R3559="Trùng","Trùng SĐT; ","")&amp;IF($Q3559&lt;&gt;"Có","Thiếu đồng ý bắt buộc; ","")&amp;IF($L3559="","Thiếu/sai Mã REF; ",IF(AND($L3559="Chưa xác định",DANH_MUC!$L$9&lt;&gt;"Có"),"Nguồn chưa xác định; ","")))</f>
        <v/>
      </c>
      <c r="V3559" s="22">
        <f>IF(OR($D3559="",$R3559="Trùng"),"",IF(COUNTIF(ORDERS!$C$2:$C$4995,$D3559)&gt;0,"Có","Không"))</f>
        <v/>
      </c>
      <c r="W3559" s="22">
        <f>IF(OR($D3559="",$R3559="Trùng"),"",COUNTIFS(ORDERS!$C$2:$C$4995,$D3559,ORDERS!$L$2:$L$4995,"Đã chuyển khoản"))</f>
        <v/>
      </c>
      <c r="X3559" s="23">
        <f>IF(OR($D3559="",$R3559="Trùng"),"",SUMIFS(ORDERS!$J$2:$J$4995,ORDERS!$C$2:$C$4995,$D3559,ORDERS!$L$2:$L$4995,"Đã chuyển khoản"))</f>
        <v/>
      </c>
      <c r="Y3559" s="24" t="n"/>
    </row>
    <row r="3560" ht="14.25" customHeight="1" s="40">
      <c r="A3560" s="24" t="n"/>
      <c r="B3560" s="27" t="n"/>
      <c r="C3560" s="24" t="n"/>
      <c r="D3560" s="28" t="n"/>
      <c r="E3560" s="29" t="n"/>
      <c r="F3560" s="24" t="n"/>
      <c r="G3560" s="24" t="n"/>
      <c r="H3560" s="21">
        <f>IF(ISNUMBER($B3560),INT($B3560)-WEEKDAY($B3560,2)+1,"")</f>
        <v/>
      </c>
      <c r="I3560" s="24" t="n"/>
      <c r="J3560" s="22">
        <f t="array" ref="J3560">IF($D3560="","",IF($I3560="","(trống REF)",IFERROR(INDEX(MASTER_SOURCE!$B$2:$B$495,MATCH($I3560,MASTER_SOURCE!$A$2:$A$495,0)),"(REF không có trong MASTER_SOURCE)")))</f>
        <v/>
      </c>
      <c r="K3560" s="22">
        <f t="array" ref="K3560">IF($D3560="","",IFERROR(INDEX(MASTER_SOURCE!$C$2:$C$495,MATCH($I3560,MASTER_SOURCE!$A$2:$A$495,0)),""))</f>
        <v/>
      </c>
      <c r="L3560" s="22">
        <f t="array" ref="L3560">IF($D3560="","",IFERROR(INDEX(MASTER_SOURCE!$D$2:$D$495,MATCH($I3560,MASTER_SOURCE!$A$2:$A$495,0)),""))</f>
        <v/>
      </c>
      <c r="M3560" s="24" t="n"/>
      <c r="N3560" s="24" t="n"/>
      <c r="O3560" s="24" t="n"/>
      <c r="P3560" s="24" t="n"/>
      <c r="Q3560" s="22">
        <f>IF($D3560="","",IF(AND(OR(DANH_MUC!$L$5&lt;&gt;"Có",M3560="Có"),OR(DANH_MUC!$L$6&lt;&gt;"Có",N3560="Có"),OR(DANH_MUC!$L$7&lt;&gt;"Có",O3560="Có"),OR(DANH_MUC!$L$8&lt;&gt;"Có",P3560="Có")),"Có","Không"))</f>
        <v/>
      </c>
      <c r="R3560" s="22">
        <f>IF($D3560="","",IF(COUNTIF($D$2:$D3560,$D3560)&gt;1,"Trùng",""))</f>
        <v/>
      </c>
      <c r="S3560" s="22">
        <f>IF($D3560="","",IF(AND(LEN($D3560)=10,LEFT($D3560,1)="0",ISNUMBER(--$D3560)),"Có","Không"))</f>
        <v/>
      </c>
      <c r="T3560" s="22">
        <f>IF($D3560="","",IF(AND($C3560&lt;&gt;"",$Q3560="Có",$R3560="",$S3560="Có",AND($L3560&lt;&gt;"",OR($L3560&lt;&gt;"Chưa xác định",DANH_MUC!$L$9="Có"))),"Có","Không"))</f>
        <v/>
      </c>
      <c r="U3560" s="22">
        <f>IF(OR($D3560="",$T3560="Có"),"",IF($C3560="","Thiếu họ tên; ","")&amp;IF($S3560&lt;&gt;"Có","SĐT sai định dạng; ","")&amp;IF($R3560="Trùng","Trùng SĐT; ","")&amp;IF($Q3560&lt;&gt;"Có","Thiếu đồng ý bắt buộc; ","")&amp;IF($L3560="","Thiếu/sai Mã REF; ",IF(AND($L3560="Chưa xác định",DANH_MUC!$L$9&lt;&gt;"Có"),"Nguồn chưa xác định; ","")))</f>
        <v/>
      </c>
      <c r="V3560" s="22">
        <f>IF(OR($D3560="",$R3560="Trùng"),"",IF(COUNTIF(ORDERS!$C$2:$C$4995,$D3560)&gt;0,"Có","Không"))</f>
        <v/>
      </c>
      <c r="W3560" s="22">
        <f>IF(OR($D3560="",$R3560="Trùng"),"",COUNTIFS(ORDERS!$C$2:$C$4995,$D3560,ORDERS!$L$2:$L$4995,"Đã chuyển khoản"))</f>
        <v/>
      </c>
      <c r="X3560" s="23">
        <f>IF(OR($D3560="",$R3560="Trùng"),"",SUMIFS(ORDERS!$J$2:$J$4995,ORDERS!$C$2:$C$4995,$D3560,ORDERS!$L$2:$L$4995,"Đã chuyển khoản"))</f>
        <v/>
      </c>
      <c r="Y3560" s="24" t="n"/>
    </row>
    <row r="3561" ht="14.25" customHeight="1" s="40">
      <c r="A3561" s="24" t="n"/>
      <c r="B3561" s="27" t="n"/>
      <c r="C3561" s="24" t="n"/>
      <c r="D3561" s="28" t="n"/>
      <c r="E3561" s="29" t="n"/>
      <c r="F3561" s="24" t="n"/>
      <c r="G3561" s="24" t="n"/>
      <c r="H3561" s="21">
        <f>IF(ISNUMBER($B3561),INT($B3561)-WEEKDAY($B3561,2)+1,"")</f>
        <v/>
      </c>
      <c r="I3561" s="24" t="n"/>
      <c r="J3561" s="22">
        <f t="array" ref="J3561">IF($D3561="","",IF($I3561="","(trống REF)",IFERROR(INDEX(MASTER_SOURCE!$B$2:$B$495,MATCH($I3561,MASTER_SOURCE!$A$2:$A$495,0)),"(REF không có trong MASTER_SOURCE)")))</f>
        <v/>
      </c>
      <c r="K3561" s="22">
        <f t="array" ref="K3561">IF($D3561="","",IFERROR(INDEX(MASTER_SOURCE!$C$2:$C$495,MATCH($I3561,MASTER_SOURCE!$A$2:$A$495,0)),""))</f>
        <v/>
      </c>
      <c r="L3561" s="22">
        <f t="array" ref="L3561">IF($D3561="","",IFERROR(INDEX(MASTER_SOURCE!$D$2:$D$495,MATCH($I3561,MASTER_SOURCE!$A$2:$A$495,0)),""))</f>
        <v/>
      </c>
      <c r="M3561" s="24" t="n"/>
      <c r="N3561" s="24" t="n"/>
      <c r="O3561" s="24" t="n"/>
      <c r="P3561" s="24" t="n"/>
      <c r="Q3561" s="22">
        <f>IF($D3561="","",IF(AND(OR(DANH_MUC!$L$5&lt;&gt;"Có",M3561="Có"),OR(DANH_MUC!$L$6&lt;&gt;"Có",N3561="Có"),OR(DANH_MUC!$L$7&lt;&gt;"Có",O3561="Có"),OR(DANH_MUC!$L$8&lt;&gt;"Có",P3561="Có")),"Có","Không"))</f>
        <v/>
      </c>
      <c r="R3561" s="22">
        <f>IF($D3561="","",IF(COUNTIF($D$2:$D3561,$D3561)&gt;1,"Trùng",""))</f>
        <v/>
      </c>
      <c r="S3561" s="22">
        <f>IF($D3561="","",IF(AND(LEN($D3561)=10,LEFT($D3561,1)="0",ISNUMBER(--$D3561)),"Có","Không"))</f>
        <v/>
      </c>
      <c r="T3561" s="22">
        <f>IF($D3561="","",IF(AND($C3561&lt;&gt;"",$Q3561="Có",$R3561="",$S3561="Có",AND($L3561&lt;&gt;"",OR($L3561&lt;&gt;"Chưa xác định",DANH_MUC!$L$9="Có"))),"Có","Không"))</f>
        <v/>
      </c>
      <c r="U3561" s="22">
        <f>IF(OR($D3561="",$T3561="Có"),"",IF($C3561="","Thiếu họ tên; ","")&amp;IF($S3561&lt;&gt;"Có","SĐT sai định dạng; ","")&amp;IF($R3561="Trùng","Trùng SĐT; ","")&amp;IF($Q3561&lt;&gt;"Có","Thiếu đồng ý bắt buộc; ","")&amp;IF($L3561="","Thiếu/sai Mã REF; ",IF(AND($L3561="Chưa xác định",DANH_MUC!$L$9&lt;&gt;"Có"),"Nguồn chưa xác định; ","")))</f>
        <v/>
      </c>
      <c r="V3561" s="22">
        <f>IF(OR($D3561="",$R3561="Trùng"),"",IF(COUNTIF(ORDERS!$C$2:$C$4995,$D3561)&gt;0,"Có","Không"))</f>
        <v/>
      </c>
      <c r="W3561" s="22">
        <f>IF(OR($D3561="",$R3561="Trùng"),"",COUNTIFS(ORDERS!$C$2:$C$4995,$D3561,ORDERS!$L$2:$L$4995,"Đã chuyển khoản"))</f>
        <v/>
      </c>
      <c r="X3561" s="23">
        <f>IF(OR($D3561="",$R3561="Trùng"),"",SUMIFS(ORDERS!$J$2:$J$4995,ORDERS!$C$2:$C$4995,$D3561,ORDERS!$L$2:$L$4995,"Đã chuyển khoản"))</f>
        <v/>
      </c>
      <c r="Y3561" s="24" t="n"/>
    </row>
    <row r="3562" ht="14.25" customHeight="1" s="40">
      <c r="A3562" s="24" t="n"/>
      <c r="B3562" s="27" t="n"/>
      <c r="C3562" s="24" t="n"/>
      <c r="D3562" s="28" t="n"/>
      <c r="E3562" s="29" t="n"/>
      <c r="F3562" s="24" t="n"/>
      <c r="G3562" s="24" t="n"/>
      <c r="H3562" s="21">
        <f>IF(ISNUMBER($B3562),INT($B3562)-WEEKDAY($B3562,2)+1,"")</f>
        <v/>
      </c>
      <c r="I3562" s="24" t="n"/>
      <c r="J3562" s="22">
        <f t="array" ref="J3562">IF($D3562="","",IF($I3562="","(trống REF)",IFERROR(INDEX(MASTER_SOURCE!$B$2:$B$495,MATCH($I3562,MASTER_SOURCE!$A$2:$A$495,0)),"(REF không có trong MASTER_SOURCE)")))</f>
        <v/>
      </c>
      <c r="K3562" s="22">
        <f t="array" ref="K3562">IF($D3562="","",IFERROR(INDEX(MASTER_SOURCE!$C$2:$C$495,MATCH($I3562,MASTER_SOURCE!$A$2:$A$495,0)),""))</f>
        <v/>
      </c>
      <c r="L3562" s="22">
        <f t="array" ref="L3562">IF($D3562="","",IFERROR(INDEX(MASTER_SOURCE!$D$2:$D$495,MATCH($I3562,MASTER_SOURCE!$A$2:$A$495,0)),""))</f>
        <v/>
      </c>
      <c r="M3562" s="24" t="n"/>
      <c r="N3562" s="24" t="n"/>
      <c r="O3562" s="24" t="n"/>
      <c r="P3562" s="24" t="n"/>
      <c r="Q3562" s="22">
        <f>IF($D3562="","",IF(AND(OR(DANH_MUC!$L$5&lt;&gt;"Có",M3562="Có"),OR(DANH_MUC!$L$6&lt;&gt;"Có",N3562="Có"),OR(DANH_MUC!$L$7&lt;&gt;"Có",O3562="Có"),OR(DANH_MUC!$L$8&lt;&gt;"Có",P3562="Có")),"Có","Không"))</f>
        <v/>
      </c>
      <c r="R3562" s="22">
        <f>IF($D3562="","",IF(COUNTIF($D$2:$D3562,$D3562)&gt;1,"Trùng",""))</f>
        <v/>
      </c>
      <c r="S3562" s="22">
        <f>IF($D3562="","",IF(AND(LEN($D3562)=10,LEFT($D3562,1)="0",ISNUMBER(--$D3562)),"Có","Không"))</f>
        <v/>
      </c>
      <c r="T3562" s="22">
        <f>IF($D3562="","",IF(AND($C3562&lt;&gt;"",$Q3562="Có",$R3562="",$S3562="Có",AND($L3562&lt;&gt;"",OR($L3562&lt;&gt;"Chưa xác định",DANH_MUC!$L$9="Có"))),"Có","Không"))</f>
        <v/>
      </c>
      <c r="U3562" s="22">
        <f>IF(OR($D3562="",$T3562="Có"),"",IF($C3562="","Thiếu họ tên; ","")&amp;IF($S3562&lt;&gt;"Có","SĐT sai định dạng; ","")&amp;IF($R3562="Trùng","Trùng SĐT; ","")&amp;IF($Q3562&lt;&gt;"Có","Thiếu đồng ý bắt buộc; ","")&amp;IF($L3562="","Thiếu/sai Mã REF; ",IF(AND($L3562="Chưa xác định",DANH_MUC!$L$9&lt;&gt;"Có"),"Nguồn chưa xác định; ","")))</f>
        <v/>
      </c>
      <c r="V3562" s="22">
        <f>IF(OR($D3562="",$R3562="Trùng"),"",IF(COUNTIF(ORDERS!$C$2:$C$4995,$D3562)&gt;0,"Có","Không"))</f>
        <v/>
      </c>
      <c r="W3562" s="22">
        <f>IF(OR($D3562="",$R3562="Trùng"),"",COUNTIFS(ORDERS!$C$2:$C$4995,$D3562,ORDERS!$L$2:$L$4995,"Đã chuyển khoản"))</f>
        <v/>
      </c>
      <c r="X3562" s="23">
        <f>IF(OR($D3562="",$R3562="Trùng"),"",SUMIFS(ORDERS!$J$2:$J$4995,ORDERS!$C$2:$C$4995,$D3562,ORDERS!$L$2:$L$4995,"Đã chuyển khoản"))</f>
        <v/>
      </c>
      <c r="Y3562" s="24" t="n"/>
    </row>
    <row r="3563" ht="14.25" customHeight="1" s="40">
      <c r="A3563" s="24" t="n"/>
      <c r="B3563" s="27" t="n"/>
      <c r="C3563" s="24" t="n"/>
      <c r="D3563" s="28" t="n"/>
      <c r="E3563" s="29" t="n"/>
      <c r="F3563" s="24" t="n"/>
      <c r="G3563" s="24" t="n"/>
      <c r="H3563" s="21">
        <f>IF(ISNUMBER($B3563),INT($B3563)-WEEKDAY($B3563,2)+1,"")</f>
        <v/>
      </c>
      <c r="I3563" s="24" t="n"/>
      <c r="J3563" s="22">
        <f t="array" ref="J3563">IF($D3563="","",IF($I3563="","(trống REF)",IFERROR(INDEX(MASTER_SOURCE!$B$2:$B$495,MATCH($I3563,MASTER_SOURCE!$A$2:$A$495,0)),"(REF không có trong MASTER_SOURCE)")))</f>
        <v/>
      </c>
      <c r="K3563" s="22">
        <f t="array" ref="K3563">IF($D3563="","",IFERROR(INDEX(MASTER_SOURCE!$C$2:$C$495,MATCH($I3563,MASTER_SOURCE!$A$2:$A$495,0)),""))</f>
        <v/>
      </c>
      <c r="L3563" s="22">
        <f t="array" ref="L3563">IF($D3563="","",IFERROR(INDEX(MASTER_SOURCE!$D$2:$D$495,MATCH($I3563,MASTER_SOURCE!$A$2:$A$495,0)),""))</f>
        <v/>
      </c>
      <c r="M3563" s="24" t="n"/>
      <c r="N3563" s="24" t="n"/>
      <c r="O3563" s="24" t="n"/>
      <c r="P3563" s="24" t="n"/>
      <c r="Q3563" s="22">
        <f>IF($D3563="","",IF(AND(OR(DANH_MUC!$L$5&lt;&gt;"Có",M3563="Có"),OR(DANH_MUC!$L$6&lt;&gt;"Có",N3563="Có"),OR(DANH_MUC!$L$7&lt;&gt;"Có",O3563="Có"),OR(DANH_MUC!$L$8&lt;&gt;"Có",P3563="Có")),"Có","Không"))</f>
        <v/>
      </c>
      <c r="R3563" s="22">
        <f>IF($D3563="","",IF(COUNTIF($D$2:$D3563,$D3563)&gt;1,"Trùng",""))</f>
        <v/>
      </c>
      <c r="S3563" s="22">
        <f>IF($D3563="","",IF(AND(LEN($D3563)=10,LEFT($D3563,1)="0",ISNUMBER(--$D3563)),"Có","Không"))</f>
        <v/>
      </c>
      <c r="T3563" s="22">
        <f>IF($D3563="","",IF(AND($C3563&lt;&gt;"",$Q3563="Có",$R3563="",$S3563="Có",AND($L3563&lt;&gt;"",OR($L3563&lt;&gt;"Chưa xác định",DANH_MUC!$L$9="Có"))),"Có","Không"))</f>
        <v/>
      </c>
      <c r="U3563" s="22">
        <f>IF(OR($D3563="",$T3563="Có"),"",IF($C3563="","Thiếu họ tên; ","")&amp;IF($S3563&lt;&gt;"Có","SĐT sai định dạng; ","")&amp;IF($R3563="Trùng","Trùng SĐT; ","")&amp;IF($Q3563&lt;&gt;"Có","Thiếu đồng ý bắt buộc; ","")&amp;IF($L3563="","Thiếu/sai Mã REF; ",IF(AND($L3563="Chưa xác định",DANH_MUC!$L$9&lt;&gt;"Có"),"Nguồn chưa xác định; ","")))</f>
        <v/>
      </c>
      <c r="V3563" s="22">
        <f>IF(OR($D3563="",$R3563="Trùng"),"",IF(COUNTIF(ORDERS!$C$2:$C$4995,$D3563)&gt;0,"Có","Không"))</f>
        <v/>
      </c>
      <c r="W3563" s="22">
        <f>IF(OR($D3563="",$R3563="Trùng"),"",COUNTIFS(ORDERS!$C$2:$C$4995,$D3563,ORDERS!$L$2:$L$4995,"Đã chuyển khoản"))</f>
        <v/>
      </c>
      <c r="X3563" s="23">
        <f>IF(OR($D3563="",$R3563="Trùng"),"",SUMIFS(ORDERS!$J$2:$J$4995,ORDERS!$C$2:$C$4995,$D3563,ORDERS!$L$2:$L$4995,"Đã chuyển khoản"))</f>
        <v/>
      </c>
      <c r="Y3563" s="24" t="n"/>
    </row>
    <row r="3564" ht="14.25" customHeight="1" s="40">
      <c r="A3564" s="24" t="n"/>
      <c r="B3564" s="27" t="n"/>
      <c r="C3564" s="24" t="n"/>
      <c r="D3564" s="28" t="n"/>
      <c r="E3564" s="29" t="n"/>
      <c r="F3564" s="24" t="n"/>
      <c r="G3564" s="24" t="n"/>
      <c r="H3564" s="21">
        <f>IF(ISNUMBER($B3564),INT($B3564)-WEEKDAY($B3564,2)+1,"")</f>
        <v/>
      </c>
      <c r="I3564" s="24" t="n"/>
      <c r="J3564" s="22">
        <f t="array" ref="J3564">IF($D3564="","",IF($I3564="","(trống REF)",IFERROR(INDEX(MASTER_SOURCE!$B$2:$B$495,MATCH($I3564,MASTER_SOURCE!$A$2:$A$495,0)),"(REF không có trong MASTER_SOURCE)")))</f>
        <v/>
      </c>
      <c r="K3564" s="22">
        <f t="array" ref="K3564">IF($D3564="","",IFERROR(INDEX(MASTER_SOURCE!$C$2:$C$495,MATCH($I3564,MASTER_SOURCE!$A$2:$A$495,0)),""))</f>
        <v/>
      </c>
      <c r="L3564" s="22">
        <f t="array" ref="L3564">IF($D3564="","",IFERROR(INDEX(MASTER_SOURCE!$D$2:$D$495,MATCH($I3564,MASTER_SOURCE!$A$2:$A$495,0)),""))</f>
        <v/>
      </c>
      <c r="M3564" s="24" t="n"/>
      <c r="N3564" s="24" t="n"/>
      <c r="O3564" s="24" t="n"/>
      <c r="P3564" s="24" t="n"/>
      <c r="Q3564" s="22">
        <f>IF($D3564="","",IF(AND(OR(DANH_MUC!$L$5&lt;&gt;"Có",M3564="Có"),OR(DANH_MUC!$L$6&lt;&gt;"Có",N3564="Có"),OR(DANH_MUC!$L$7&lt;&gt;"Có",O3564="Có"),OR(DANH_MUC!$L$8&lt;&gt;"Có",P3564="Có")),"Có","Không"))</f>
        <v/>
      </c>
      <c r="R3564" s="22">
        <f>IF($D3564="","",IF(COUNTIF($D$2:$D3564,$D3564)&gt;1,"Trùng",""))</f>
        <v/>
      </c>
      <c r="S3564" s="22">
        <f>IF($D3564="","",IF(AND(LEN($D3564)=10,LEFT($D3564,1)="0",ISNUMBER(--$D3564)),"Có","Không"))</f>
        <v/>
      </c>
      <c r="T3564" s="22">
        <f>IF($D3564="","",IF(AND($C3564&lt;&gt;"",$Q3564="Có",$R3564="",$S3564="Có",AND($L3564&lt;&gt;"",OR($L3564&lt;&gt;"Chưa xác định",DANH_MUC!$L$9="Có"))),"Có","Không"))</f>
        <v/>
      </c>
      <c r="U3564" s="22">
        <f>IF(OR($D3564="",$T3564="Có"),"",IF($C3564="","Thiếu họ tên; ","")&amp;IF($S3564&lt;&gt;"Có","SĐT sai định dạng; ","")&amp;IF($R3564="Trùng","Trùng SĐT; ","")&amp;IF($Q3564&lt;&gt;"Có","Thiếu đồng ý bắt buộc; ","")&amp;IF($L3564="","Thiếu/sai Mã REF; ",IF(AND($L3564="Chưa xác định",DANH_MUC!$L$9&lt;&gt;"Có"),"Nguồn chưa xác định; ","")))</f>
        <v/>
      </c>
      <c r="V3564" s="22">
        <f>IF(OR($D3564="",$R3564="Trùng"),"",IF(COUNTIF(ORDERS!$C$2:$C$4995,$D3564)&gt;0,"Có","Không"))</f>
        <v/>
      </c>
      <c r="W3564" s="22">
        <f>IF(OR($D3564="",$R3564="Trùng"),"",COUNTIFS(ORDERS!$C$2:$C$4995,$D3564,ORDERS!$L$2:$L$4995,"Đã chuyển khoản"))</f>
        <v/>
      </c>
      <c r="X3564" s="23">
        <f>IF(OR($D3564="",$R3564="Trùng"),"",SUMIFS(ORDERS!$J$2:$J$4995,ORDERS!$C$2:$C$4995,$D3564,ORDERS!$L$2:$L$4995,"Đã chuyển khoản"))</f>
        <v/>
      </c>
      <c r="Y3564" s="24" t="n"/>
    </row>
    <row r="3565" ht="14.25" customHeight="1" s="40">
      <c r="A3565" s="24" t="n"/>
      <c r="B3565" s="27" t="n"/>
      <c r="C3565" s="24" t="n"/>
      <c r="D3565" s="28" t="n"/>
      <c r="E3565" s="29" t="n"/>
      <c r="F3565" s="24" t="n"/>
      <c r="G3565" s="24" t="n"/>
      <c r="H3565" s="21">
        <f>IF(ISNUMBER($B3565),INT($B3565)-WEEKDAY($B3565,2)+1,"")</f>
        <v/>
      </c>
      <c r="I3565" s="24" t="n"/>
      <c r="J3565" s="22">
        <f t="array" ref="J3565">IF($D3565="","",IF($I3565="","(trống REF)",IFERROR(INDEX(MASTER_SOURCE!$B$2:$B$495,MATCH($I3565,MASTER_SOURCE!$A$2:$A$495,0)),"(REF không có trong MASTER_SOURCE)")))</f>
        <v/>
      </c>
      <c r="K3565" s="22">
        <f t="array" ref="K3565">IF($D3565="","",IFERROR(INDEX(MASTER_SOURCE!$C$2:$C$495,MATCH($I3565,MASTER_SOURCE!$A$2:$A$495,0)),""))</f>
        <v/>
      </c>
      <c r="L3565" s="22">
        <f t="array" ref="L3565">IF($D3565="","",IFERROR(INDEX(MASTER_SOURCE!$D$2:$D$495,MATCH($I3565,MASTER_SOURCE!$A$2:$A$495,0)),""))</f>
        <v/>
      </c>
      <c r="M3565" s="24" t="n"/>
      <c r="N3565" s="24" t="n"/>
      <c r="O3565" s="24" t="n"/>
      <c r="P3565" s="24" t="n"/>
      <c r="Q3565" s="22">
        <f>IF($D3565="","",IF(AND(OR(DANH_MUC!$L$5&lt;&gt;"Có",M3565="Có"),OR(DANH_MUC!$L$6&lt;&gt;"Có",N3565="Có"),OR(DANH_MUC!$L$7&lt;&gt;"Có",O3565="Có"),OR(DANH_MUC!$L$8&lt;&gt;"Có",P3565="Có")),"Có","Không"))</f>
        <v/>
      </c>
      <c r="R3565" s="22">
        <f>IF($D3565="","",IF(COUNTIF($D$2:$D3565,$D3565)&gt;1,"Trùng",""))</f>
        <v/>
      </c>
      <c r="S3565" s="22">
        <f>IF($D3565="","",IF(AND(LEN($D3565)=10,LEFT($D3565,1)="0",ISNUMBER(--$D3565)),"Có","Không"))</f>
        <v/>
      </c>
      <c r="T3565" s="22">
        <f>IF($D3565="","",IF(AND($C3565&lt;&gt;"",$Q3565="Có",$R3565="",$S3565="Có",AND($L3565&lt;&gt;"",OR($L3565&lt;&gt;"Chưa xác định",DANH_MUC!$L$9="Có"))),"Có","Không"))</f>
        <v/>
      </c>
      <c r="U3565" s="22">
        <f>IF(OR($D3565="",$T3565="Có"),"",IF($C3565="","Thiếu họ tên; ","")&amp;IF($S3565&lt;&gt;"Có","SĐT sai định dạng; ","")&amp;IF($R3565="Trùng","Trùng SĐT; ","")&amp;IF($Q3565&lt;&gt;"Có","Thiếu đồng ý bắt buộc; ","")&amp;IF($L3565="","Thiếu/sai Mã REF; ",IF(AND($L3565="Chưa xác định",DANH_MUC!$L$9&lt;&gt;"Có"),"Nguồn chưa xác định; ","")))</f>
        <v/>
      </c>
      <c r="V3565" s="22">
        <f>IF(OR($D3565="",$R3565="Trùng"),"",IF(COUNTIF(ORDERS!$C$2:$C$4995,$D3565)&gt;0,"Có","Không"))</f>
        <v/>
      </c>
      <c r="W3565" s="22">
        <f>IF(OR($D3565="",$R3565="Trùng"),"",COUNTIFS(ORDERS!$C$2:$C$4995,$D3565,ORDERS!$L$2:$L$4995,"Đã chuyển khoản"))</f>
        <v/>
      </c>
      <c r="X3565" s="23">
        <f>IF(OR($D3565="",$R3565="Trùng"),"",SUMIFS(ORDERS!$J$2:$J$4995,ORDERS!$C$2:$C$4995,$D3565,ORDERS!$L$2:$L$4995,"Đã chuyển khoản"))</f>
        <v/>
      </c>
      <c r="Y3565" s="24" t="n"/>
    </row>
    <row r="3566" ht="14.25" customHeight="1" s="40">
      <c r="A3566" s="24" t="n"/>
      <c r="B3566" s="27" t="n"/>
      <c r="C3566" s="24" t="n"/>
      <c r="D3566" s="28" t="n"/>
      <c r="E3566" s="29" t="n"/>
      <c r="F3566" s="24" t="n"/>
      <c r="G3566" s="24" t="n"/>
      <c r="H3566" s="21">
        <f>IF(ISNUMBER($B3566),INT($B3566)-WEEKDAY($B3566,2)+1,"")</f>
        <v/>
      </c>
      <c r="I3566" s="24" t="n"/>
      <c r="J3566" s="22">
        <f t="array" ref="J3566">IF($D3566="","",IF($I3566="","(trống REF)",IFERROR(INDEX(MASTER_SOURCE!$B$2:$B$495,MATCH($I3566,MASTER_SOURCE!$A$2:$A$495,0)),"(REF không có trong MASTER_SOURCE)")))</f>
        <v/>
      </c>
      <c r="K3566" s="22">
        <f t="array" ref="K3566">IF($D3566="","",IFERROR(INDEX(MASTER_SOURCE!$C$2:$C$495,MATCH($I3566,MASTER_SOURCE!$A$2:$A$495,0)),""))</f>
        <v/>
      </c>
      <c r="L3566" s="22">
        <f t="array" ref="L3566">IF($D3566="","",IFERROR(INDEX(MASTER_SOURCE!$D$2:$D$495,MATCH($I3566,MASTER_SOURCE!$A$2:$A$495,0)),""))</f>
        <v/>
      </c>
      <c r="M3566" s="24" t="n"/>
      <c r="N3566" s="24" t="n"/>
      <c r="O3566" s="24" t="n"/>
      <c r="P3566" s="24" t="n"/>
      <c r="Q3566" s="22">
        <f>IF($D3566="","",IF(AND(OR(DANH_MUC!$L$5&lt;&gt;"Có",M3566="Có"),OR(DANH_MUC!$L$6&lt;&gt;"Có",N3566="Có"),OR(DANH_MUC!$L$7&lt;&gt;"Có",O3566="Có"),OR(DANH_MUC!$L$8&lt;&gt;"Có",P3566="Có")),"Có","Không"))</f>
        <v/>
      </c>
      <c r="R3566" s="22">
        <f>IF($D3566="","",IF(COUNTIF($D$2:$D3566,$D3566)&gt;1,"Trùng",""))</f>
        <v/>
      </c>
      <c r="S3566" s="22">
        <f>IF($D3566="","",IF(AND(LEN($D3566)=10,LEFT($D3566,1)="0",ISNUMBER(--$D3566)),"Có","Không"))</f>
        <v/>
      </c>
      <c r="T3566" s="22">
        <f>IF($D3566="","",IF(AND($C3566&lt;&gt;"",$Q3566="Có",$R3566="",$S3566="Có",AND($L3566&lt;&gt;"",OR($L3566&lt;&gt;"Chưa xác định",DANH_MUC!$L$9="Có"))),"Có","Không"))</f>
        <v/>
      </c>
      <c r="U3566" s="22">
        <f>IF(OR($D3566="",$T3566="Có"),"",IF($C3566="","Thiếu họ tên; ","")&amp;IF($S3566&lt;&gt;"Có","SĐT sai định dạng; ","")&amp;IF($R3566="Trùng","Trùng SĐT; ","")&amp;IF($Q3566&lt;&gt;"Có","Thiếu đồng ý bắt buộc; ","")&amp;IF($L3566="","Thiếu/sai Mã REF; ",IF(AND($L3566="Chưa xác định",DANH_MUC!$L$9&lt;&gt;"Có"),"Nguồn chưa xác định; ","")))</f>
        <v/>
      </c>
      <c r="V3566" s="22">
        <f>IF(OR($D3566="",$R3566="Trùng"),"",IF(COUNTIF(ORDERS!$C$2:$C$4995,$D3566)&gt;0,"Có","Không"))</f>
        <v/>
      </c>
      <c r="W3566" s="22">
        <f>IF(OR($D3566="",$R3566="Trùng"),"",COUNTIFS(ORDERS!$C$2:$C$4995,$D3566,ORDERS!$L$2:$L$4995,"Đã chuyển khoản"))</f>
        <v/>
      </c>
      <c r="X3566" s="23">
        <f>IF(OR($D3566="",$R3566="Trùng"),"",SUMIFS(ORDERS!$J$2:$J$4995,ORDERS!$C$2:$C$4995,$D3566,ORDERS!$L$2:$L$4995,"Đã chuyển khoản"))</f>
        <v/>
      </c>
      <c r="Y3566" s="24" t="n"/>
    </row>
    <row r="3567" ht="14.25" customHeight="1" s="40">
      <c r="A3567" s="24" t="n"/>
      <c r="B3567" s="27" t="n"/>
      <c r="C3567" s="24" t="n"/>
      <c r="D3567" s="28" t="n"/>
      <c r="E3567" s="29" t="n"/>
      <c r="F3567" s="24" t="n"/>
      <c r="G3567" s="24" t="n"/>
      <c r="H3567" s="21">
        <f>IF(ISNUMBER($B3567),INT($B3567)-WEEKDAY($B3567,2)+1,"")</f>
        <v/>
      </c>
      <c r="I3567" s="24" t="n"/>
      <c r="J3567" s="22">
        <f t="array" ref="J3567">IF($D3567="","",IF($I3567="","(trống REF)",IFERROR(INDEX(MASTER_SOURCE!$B$2:$B$495,MATCH($I3567,MASTER_SOURCE!$A$2:$A$495,0)),"(REF không có trong MASTER_SOURCE)")))</f>
        <v/>
      </c>
      <c r="K3567" s="22">
        <f t="array" ref="K3567">IF($D3567="","",IFERROR(INDEX(MASTER_SOURCE!$C$2:$C$495,MATCH($I3567,MASTER_SOURCE!$A$2:$A$495,0)),""))</f>
        <v/>
      </c>
      <c r="L3567" s="22">
        <f t="array" ref="L3567">IF($D3567="","",IFERROR(INDEX(MASTER_SOURCE!$D$2:$D$495,MATCH($I3567,MASTER_SOURCE!$A$2:$A$495,0)),""))</f>
        <v/>
      </c>
      <c r="M3567" s="24" t="n"/>
      <c r="N3567" s="24" t="n"/>
      <c r="O3567" s="24" t="n"/>
      <c r="P3567" s="24" t="n"/>
      <c r="Q3567" s="22">
        <f>IF($D3567="","",IF(AND(OR(DANH_MUC!$L$5&lt;&gt;"Có",M3567="Có"),OR(DANH_MUC!$L$6&lt;&gt;"Có",N3567="Có"),OR(DANH_MUC!$L$7&lt;&gt;"Có",O3567="Có"),OR(DANH_MUC!$L$8&lt;&gt;"Có",P3567="Có")),"Có","Không"))</f>
        <v/>
      </c>
      <c r="R3567" s="22">
        <f>IF($D3567="","",IF(COUNTIF($D$2:$D3567,$D3567)&gt;1,"Trùng",""))</f>
        <v/>
      </c>
      <c r="S3567" s="22">
        <f>IF($D3567="","",IF(AND(LEN($D3567)=10,LEFT($D3567,1)="0",ISNUMBER(--$D3567)),"Có","Không"))</f>
        <v/>
      </c>
      <c r="T3567" s="22">
        <f>IF($D3567="","",IF(AND($C3567&lt;&gt;"",$Q3567="Có",$R3567="",$S3567="Có",AND($L3567&lt;&gt;"",OR($L3567&lt;&gt;"Chưa xác định",DANH_MUC!$L$9="Có"))),"Có","Không"))</f>
        <v/>
      </c>
      <c r="U3567" s="22">
        <f>IF(OR($D3567="",$T3567="Có"),"",IF($C3567="","Thiếu họ tên; ","")&amp;IF($S3567&lt;&gt;"Có","SĐT sai định dạng; ","")&amp;IF($R3567="Trùng","Trùng SĐT; ","")&amp;IF($Q3567&lt;&gt;"Có","Thiếu đồng ý bắt buộc; ","")&amp;IF($L3567="","Thiếu/sai Mã REF; ",IF(AND($L3567="Chưa xác định",DANH_MUC!$L$9&lt;&gt;"Có"),"Nguồn chưa xác định; ","")))</f>
        <v/>
      </c>
      <c r="V3567" s="22">
        <f>IF(OR($D3567="",$R3567="Trùng"),"",IF(COUNTIF(ORDERS!$C$2:$C$4995,$D3567)&gt;0,"Có","Không"))</f>
        <v/>
      </c>
      <c r="W3567" s="22">
        <f>IF(OR($D3567="",$R3567="Trùng"),"",COUNTIFS(ORDERS!$C$2:$C$4995,$D3567,ORDERS!$L$2:$L$4995,"Đã chuyển khoản"))</f>
        <v/>
      </c>
      <c r="X3567" s="23">
        <f>IF(OR($D3567="",$R3567="Trùng"),"",SUMIFS(ORDERS!$J$2:$J$4995,ORDERS!$C$2:$C$4995,$D3567,ORDERS!$L$2:$L$4995,"Đã chuyển khoản"))</f>
        <v/>
      </c>
      <c r="Y3567" s="24" t="n"/>
    </row>
    <row r="3568" ht="14.25" customHeight="1" s="40">
      <c r="A3568" s="24" t="n"/>
      <c r="B3568" s="27" t="n"/>
      <c r="C3568" s="24" t="n"/>
      <c r="D3568" s="28" t="n"/>
      <c r="E3568" s="29" t="n"/>
      <c r="F3568" s="24" t="n"/>
      <c r="G3568" s="24" t="n"/>
      <c r="H3568" s="21">
        <f>IF(ISNUMBER($B3568),INT($B3568)-WEEKDAY($B3568,2)+1,"")</f>
        <v/>
      </c>
      <c r="I3568" s="24" t="n"/>
      <c r="J3568" s="22">
        <f t="array" ref="J3568">IF($D3568="","",IF($I3568="","(trống REF)",IFERROR(INDEX(MASTER_SOURCE!$B$2:$B$495,MATCH($I3568,MASTER_SOURCE!$A$2:$A$495,0)),"(REF không có trong MASTER_SOURCE)")))</f>
        <v/>
      </c>
      <c r="K3568" s="22">
        <f t="array" ref="K3568">IF($D3568="","",IFERROR(INDEX(MASTER_SOURCE!$C$2:$C$495,MATCH($I3568,MASTER_SOURCE!$A$2:$A$495,0)),""))</f>
        <v/>
      </c>
      <c r="L3568" s="22">
        <f t="array" ref="L3568">IF($D3568="","",IFERROR(INDEX(MASTER_SOURCE!$D$2:$D$495,MATCH($I3568,MASTER_SOURCE!$A$2:$A$495,0)),""))</f>
        <v/>
      </c>
      <c r="M3568" s="24" t="n"/>
      <c r="N3568" s="24" t="n"/>
      <c r="O3568" s="24" t="n"/>
      <c r="P3568" s="24" t="n"/>
      <c r="Q3568" s="22">
        <f>IF($D3568="","",IF(AND(OR(DANH_MUC!$L$5&lt;&gt;"Có",M3568="Có"),OR(DANH_MUC!$L$6&lt;&gt;"Có",N3568="Có"),OR(DANH_MUC!$L$7&lt;&gt;"Có",O3568="Có"),OR(DANH_MUC!$L$8&lt;&gt;"Có",P3568="Có")),"Có","Không"))</f>
        <v/>
      </c>
      <c r="R3568" s="22">
        <f>IF($D3568="","",IF(COUNTIF($D$2:$D3568,$D3568)&gt;1,"Trùng",""))</f>
        <v/>
      </c>
      <c r="S3568" s="22">
        <f>IF($D3568="","",IF(AND(LEN($D3568)=10,LEFT($D3568,1)="0",ISNUMBER(--$D3568)),"Có","Không"))</f>
        <v/>
      </c>
      <c r="T3568" s="22">
        <f>IF($D3568="","",IF(AND($C3568&lt;&gt;"",$Q3568="Có",$R3568="",$S3568="Có",AND($L3568&lt;&gt;"",OR($L3568&lt;&gt;"Chưa xác định",DANH_MUC!$L$9="Có"))),"Có","Không"))</f>
        <v/>
      </c>
      <c r="U3568" s="22">
        <f>IF(OR($D3568="",$T3568="Có"),"",IF($C3568="","Thiếu họ tên; ","")&amp;IF($S3568&lt;&gt;"Có","SĐT sai định dạng; ","")&amp;IF($R3568="Trùng","Trùng SĐT; ","")&amp;IF($Q3568&lt;&gt;"Có","Thiếu đồng ý bắt buộc; ","")&amp;IF($L3568="","Thiếu/sai Mã REF; ",IF(AND($L3568="Chưa xác định",DANH_MUC!$L$9&lt;&gt;"Có"),"Nguồn chưa xác định; ","")))</f>
        <v/>
      </c>
      <c r="V3568" s="22">
        <f>IF(OR($D3568="",$R3568="Trùng"),"",IF(COUNTIF(ORDERS!$C$2:$C$4995,$D3568)&gt;0,"Có","Không"))</f>
        <v/>
      </c>
      <c r="W3568" s="22">
        <f>IF(OR($D3568="",$R3568="Trùng"),"",COUNTIFS(ORDERS!$C$2:$C$4995,$D3568,ORDERS!$L$2:$L$4995,"Đã chuyển khoản"))</f>
        <v/>
      </c>
      <c r="X3568" s="23">
        <f>IF(OR($D3568="",$R3568="Trùng"),"",SUMIFS(ORDERS!$J$2:$J$4995,ORDERS!$C$2:$C$4995,$D3568,ORDERS!$L$2:$L$4995,"Đã chuyển khoản"))</f>
        <v/>
      </c>
      <c r="Y3568" s="24" t="n"/>
    </row>
    <row r="3569" ht="14.25" customHeight="1" s="40">
      <c r="A3569" s="24" t="n"/>
      <c r="B3569" s="27" t="n"/>
      <c r="C3569" s="24" t="n"/>
      <c r="D3569" s="28" t="n"/>
      <c r="E3569" s="29" t="n"/>
      <c r="F3569" s="24" t="n"/>
      <c r="G3569" s="24" t="n"/>
      <c r="H3569" s="21">
        <f>IF(ISNUMBER($B3569),INT($B3569)-WEEKDAY($B3569,2)+1,"")</f>
        <v/>
      </c>
      <c r="I3569" s="24" t="n"/>
      <c r="J3569" s="22">
        <f t="array" ref="J3569">IF($D3569="","",IF($I3569="","(trống REF)",IFERROR(INDEX(MASTER_SOURCE!$B$2:$B$495,MATCH($I3569,MASTER_SOURCE!$A$2:$A$495,0)),"(REF không có trong MASTER_SOURCE)")))</f>
        <v/>
      </c>
      <c r="K3569" s="22">
        <f t="array" ref="K3569">IF($D3569="","",IFERROR(INDEX(MASTER_SOURCE!$C$2:$C$495,MATCH($I3569,MASTER_SOURCE!$A$2:$A$495,0)),""))</f>
        <v/>
      </c>
      <c r="L3569" s="22">
        <f t="array" ref="L3569">IF($D3569="","",IFERROR(INDEX(MASTER_SOURCE!$D$2:$D$495,MATCH($I3569,MASTER_SOURCE!$A$2:$A$495,0)),""))</f>
        <v/>
      </c>
      <c r="M3569" s="24" t="n"/>
      <c r="N3569" s="24" t="n"/>
      <c r="O3569" s="24" t="n"/>
      <c r="P3569" s="24" t="n"/>
      <c r="Q3569" s="22">
        <f>IF($D3569="","",IF(AND(OR(DANH_MUC!$L$5&lt;&gt;"Có",M3569="Có"),OR(DANH_MUC!$L$6&lt;&gt;"Có",N3569="Có"),OR(DANH_MUC!$L$7&lt;&gt;"Có",O3569="Có"),OR(DANH_MUC!$L$8&lt;&gt;"Có",P3569="Có")),"Có","Không"))</f>
        <v/>
      </c>
      <c r="R3569" s="22">
        <f>IF($D3569="","",IF(COUNTIF($D$2:$D3569,$D3569)&gt;1,"Trùng",""))</f>
        <v/>
      </c>
      <c r="S3569" s="22">
        <f>IF($D3569="","",IF(AND(LEN($D3569)=10,LEFT($D3569,1)="0",ISNUMBER(--$D3569)),"Có","Không"))</f>
        <v/>
      </c>
      <c r="T3569" s="22">
        <f>IF($D3569="","",IF(AND($C3569&lt;&gt;"",$Q3569="Có",$R3569="",$S3569="Có",AND($L3569&lt;&gt;"",OR($L3569&lt;&gt;"Chưa xác định",DANH_MUC!$L$9="Có"))),"Có","Không"))</f>
        <v/>
      </c>
      <c r="U3569" s="22">
        <f>IF(OR($D3569="",$T3569="Có"),"",IF($C3569="","Thiếu họ tên; ","")&amp;IF($S3569&lt;&gt;"Có","SĐT sai định dạng; ","")&amp;IF($R3569="Trùng","Trùng SĐT; ","")&amp;IF($Q3569&lt;&gt;"Có","Thiếu đồng ý bắt buộc; ","")&amp;IF($L3569="","Thiếu/sai Mã REF; ",IF(AND($L3569="Chưa xác định",DANH_MUC!$L$9&lt;&gt;"Có"),"Nguồn chưa xác định; ","")))</f>
        <v/>
      </c>
      <c r="V3569" s="22">
        <f>IF(OR($D3569="",$R3569="Trùng"),"",IF(COUNTIF(ORDERS!$C$2:$C$4995,$D3569)&gt;0,"Có","Không"))</f>
        <v/>
      </c>
      <c r="W3569" s="22">
        <f>IF(OR($D3569="",$R3569="Trùng"),"",COUNTIFS(ORDERS!$C$2:$C$4995,$D3569,ORDERS!$L$2:$L$4995,"Đã chuyển khoản"))</f>
        <v/>
      </c>
      <c r="X3569" s="23">
        <f>IF(OR($D3569="",$R3569="Trùng"),"",SUMIFS(ORDERS!$J$2:$J$4995,ORDERS!$C$2:$C$4995,$D3569,ORDERS!$L$2:$L$4995,"Đã chuyển khoản"))</f>
        <v/>
      </c>
      <c r="Y3569" s="24" t="n"/>
    </row>
    <row r="3570" ht="14.25" customHeight="1" s="40">
      <c r="A3570" s="24" t="n"/>
      <c r="B3570" s="27" t="n"/>
      <c r="C3570" s="24" t="n"/>
      <c r="D3570" s="28" t="n"/>
      <c r="E3570" s="29" t="n"/>
      <c r="F3570" s="24" t="n"/>
      <c r="G3570" s="24" t="n"/>
      <c r="H3570" s="21">
        <f>IF(ISNUMBER($B3570),INT($B3570)-WEEKDAY($B3570,2)+1,"")</f>
        <v/>
      </c>
      <c r="I3570" s="24" t="n"/>
      <c r="J3570" s="22">
        <f t="array" ref="J3570">IF($D3570="","",IF($I3570="","(trống REF)",IFERROR(INDEX(MASTER_SOURCE!$B$2:$B$495,MATCH($I3570,MASTER_SOURCE!$A$2:$A$495,0)),"(REF không có trong MASTER_SOURCE)")))</f>
        <v/>
      </c>
      <c r="K3570" s="22">
        <f t="array" ref="K3570">IF($D3570="","",IFERROR(INDEX(MASTER_SOURCE!$C$2:$C$495,MATCH($I3570,MASTER_SOURCE!$A$2:$A$495,0)),""))</f>
        <v/>
      </c>
      <c r="L3570" s="22">
        <f t="array" ref="L3570">IF($D3570="","",IFERROR(INDEX(MASTER_SOURCE!$D$2:$D$495,MATCH($I3570,MASTER_SOURCE!$A$2:$A$495,0)),""))</f>
        <v/>
      </c>
      <c r="M3570" s="24" t="n"/>
      <c r="N3570" s="24" t="n"/>
      <c r="O3570" s="24" t="n"/>
      <c r="P3570" s="24" t="n"/>
      <c r="Q3570" s="22">
        <f>IF($D3570="","",IF(AND(OR(DANH_MUC!$L$5&lt;&gt;"Có",M3570="Có"),OR(DANH_MUC!$L$6&lt;&gt;"Có",N3570="Có"),OR(DANH_MUC!$L$7&lt;&gt;"Có",O3570="Có"),OR(DANH_MUC!$L$8&lt;&gt;"Có",P3570="Có")),"Có","Không"))</f>
        <v/>
      </c>
      <c r="R3570" s="22">
        <f>IF($D3570="","",IF(COUNTIF($D$2:$D3570,$D3570)&gt;1,"Trùng",""))</f>
        <v/>
      </c>
      <c r="S3570" s="22">
        <f>IF($D3570="","",IF(AND(LEN($D3570)=10,LEFT($D3570,1)="0",ISNUMBER(--$D3570)),"Có","Không"))</f>
        <v/>
      </c>
      <c r="T3570" s="22">
        <f>IF($D3570="","",IF(AND($C3570&lt;&gt;"",$Q3570="Có",$R3570="",$S3570="Có",AND($L3570&lt;&gt;"",OR($L3570&lt;&gt;"Chưa xác định",DANH_MUC!$L$9="Có"))),"Có","Không"))</f>
        <v/>
      </c>
      <c r="U3570" s="22">
        <f>IF(OR($D3570="",$T3570="Có"),"",IF($C3570="","Thiếu họ tên; ","")&amp;IF($S3570&lt;&gt;"Có","SĐT sai định dạng; ","")&amp;IF($R3570="Trùng","Trùng SĐT; ","")&amp;IF($Q3570&lt;&gt;"Có","Thiếu đồng ý bắt buộc; ","")&amp;IF($L3570="","Thiếu/sai Mã REF; ",IF(AND($L3570="Chưa xác định",DANH_MUC!$L$9&lt;&gt;"Có"),"Nguồn chưa xác định; ","")))</f>
        <v/>
      </c>
      <c r="V3570" s="22">
        <f>IF(OR($D3570="",$R3570="Trùng"),"",IF(COUNTIF(ORDERS!$C$2:$C$4995,$D3570)&gt;0,"Có","Không"))</f>
        <v/>
      </c>
      <c r="W3570" s="22">
        <f>IF(OR($D3570="",$R3570="Trùng"),"",COUNTIFS(ORDERS!$C$2:$C$4995,$D3570,ORDERS!$L$2:$L$4995,"Đã chuyển khoản"))</f>
        <v/>
      </c>
      <c r="X3570" s="23">
        <f>IF(OR($D3570="",$R3570="Trùng"),"",SUMIFS(ORDERS!$J$2:$J$4995,ORDERS!$C$2:$C$4995,$D3570,ORDERS!$L$2:$L$4995,"Đã chuyển khoản"))</f>
        <v/>
      </c>
      <c r="Y3570" s="24" t="n"/>
    </row>
    <row r="3571" ht="14.25" customHeight="1" s="40">
      <c r="A3571" s="24" t="n"/>
      <c r="B3571" s="27" t="n"/>
      <c r="C3571" s="24" t="n"/>
      <c r="D3571" s="28" t="n"/>
      <c r="E3571" s="29" t="n"/>
      <c r="F3571" s="24" t="n"/>
      <c r="G3571" s="24" t="n"/>
      <c r="H3571" s="21">
        <f>IF(ISNUMBER($B3571),INT($B3571)-WEEKDAY($B3571,2)+1,"")</f>
        <v/>
      </c>
      <c r="I3571" s="24" t="n"/>
      <c r="J3571" s="22">
        <f t="array" ref="J3571">IF($D3571="","",IF($I3571="","(trống REF)",IFERROR(INDEX(MASTER_SOURCE!$B$2:$B$495,MATCH($I3571,MASTER_SOURCE!$A$2:$A$495,0)),"(REF không có trong MASTER_SOURCE)")))</f>
        <v/>
      </c>
      <c r="K3571" s="22">
        <f t="array" ref="K3571">IF($D3571="","",IFERROR(INDEX(MASTER_SOURCE!$C$2:$C$495,MATCH($I3571,MASTER_SOURCE!$A$2:$A$495,0)),""))</f>
        <v/>
      </c>
      <c r="L3571" s="22">
        <f t="array" ref="L3571">IF($D3571="","",IFERROR(INDEX(MASTER_SOURCE!$D$2:$D$495,MATCH($I3571,MASTER_SOURCE!$A$2:$A$495,0)),""))</f>
        <v/>
      </c>
      <c r="M3571" s="24" t="n"/>
      <c r="N3571" s="24" t="n"/>
      <c r="O3571" s="24" t="n"/>
      <c r="P3571" s="24" t="n"/>
      <c r="Q3571" s="22">
        <f>IF($D3571="","",IF(AND(OR(DANH_MUC!$L$5&lt;&gt;"Có",M3571="Có"),OR(DANH_MUC!$L$6&lt;&gt;"Có",N3571="Có"),OR(DANH_MUC!$L$7&lt;&gt;"Có",O3571="Có"),OR(DANH_MUC!$L$8&lt;&gt;"Có",P3571="Có")),"Có","Không"))</f>
        <v/>
      </c>
      <c r="R3571" s="22">
        <f>IF($D3571="","",IF(COUNTIF($D$2:$D3571,$D3571)&gt;1,"Trùng",""))</f>
        <v/>
      </c>
      <c r="S3571" s="22">
        <f>IF($D3571="","",IF(AND(LEN($D3571)=10,LEFT($D3571,1)="0",ISNUMBER(--$D3571)),"Có","Không"))</f>
        <v/>
      </c>
      <c r="T3571" s="22">
        <f>IF($D3571="","",IF(AND($C3571&lt;&gt;"",$Q3571="Có",$R3571="",$S3571="Có",AND($L3571&lt;&gt;"",OR($L3571&lt;&gt;"Chưa xác định",DANH_MUC!$L$9="Có"))),"Có","Không"))</f>
        <v/>
      </c>
      <c r="U3571" s="22">
        <f>IF(OR($D3571="",$T3571="Có"),"",IF($C3571="","Thiếu họ tên; ","")&amp;IF($S3571&lt;&gt;"Có","SĐT sai định dạng; ","")&amp;IF($R3571="Trùng","Trùng SĐT; ","")&amp;IF($Q3571&lt;&gt;"Có","Thiếu đồng ý bắt buộc; ","")&amp;IF($L3571="","Thiếu/sai Mã REF; ",IF(AND($L3571="Chưa xác định",DANH_MUC!$L$9&lt;&gt;"Có"),"Nguồn chưa xác định; ","")))</f>
        <v/>
      </c>
      <c r="V3571" s="22">
        <f>IF(OR($D3571="",$R3571="Trùng"),"",IF(COUNTIF(ORDERS!$C$2:$C$4995,$D3571)&gt;0,"Có","Không"))</f>
        <v/>
      </c>
      <c r="W3571" s="22">
        <f>IF(OR($D3571="",$R3571="Trùng"),"",COUNTIFS(ORDERS!$C$2:$C$4995,$D3571,ORDERS!$L$2:$L$4995,"Đã chuyển khoản"))</f>
        <v/>
      </c>
      <c r="X3571" s="23">
        <f>IF(OR($D3571="",$R3571="Trùng"),"",SUMIFS(ORDERS!$J$2:$J$4995,ORDERS!$C$2:$C$4995,$D3571,ORDERS!$L$2:$L$4995,"Đã chuyển khoản"))</f>
        <v/>
      </c>
      <c r="Y3571" s="24" t="n"/>
    </row>
    <row r="3572" ht="14.25" customHeight="1" s="40">
      <c r="A3572" s="24" t="n"/>
      <c r="B3572" s="27" t="n"/>
      <c r="C3572" s="24" t="n"/>
      <c r="D3572" s="28" t="n"/>
      <c r="E3572" s="29" t="n"/>
      <c r="F3572" s="24" t="n"/>
      <c r="G3572" s="24" t="n"/>
      <c r="H3572" s="21">
        <f>IF(ISNUMBER($B3572),INT($B3572)-WEEKDAY($B3572,2)+1,"")</f>
        <v/>
      </c>
      <c r="I3572" s="24" t="n"/>
      <c r="J3572" s="22">
        <f t="array" ref="J3572">IF($D3572="","",IF($I3572="","(trống REF)",IFERROR(INDEX(MASTER_SOURCE!$B$2:$B$495,MATCH($I3572,MASTER_SOURCE!$A$2:$A$495,0)),"(REF không có trong MASTER_SOURCE)")))</f>
        <v/>
      </c>
      <c r="K3572" s="22">
        <f t="array" ref="K3572">IF($D3572="","",IFERROR(INDEX(MASTER_SOURCE!$C$2:$C$495,MATCH($I3572,MASTER_SOURCE!$A$2:$A$495,0)),""))</f>
        <v/>
      </c>
      <c r="L3572" s="22">
        <f t="array" ref="L3572">IF($D3572="","",IFERROR(INDEX(MASTER_SOURCE!$D$2:$D$495,MATCH($I3572,MASTER_SOURCE!$A$2:$A$495,0)),""))</f>
        <v/>
      </c>
      <c r="M3572" s="24" t="n"/>
      <c r="N3572" s="24" t="n"/>
      <c r="O3572" s="24" t="n"/>
      <c r="P3572" s="24" t="n"/>
      <c r="Q3572" s="22">
        <f>IF($D3572="","",IF(AND(OR(DANH_MUC!$L$5&lt;&gt;"Có",M3572="Có"),OR(DANH_MUC!$L$6&lt;&gt;"Có",N3572="Có"),OR(DANH_MUC!$L$7&lt;&gt;"Có",O3572="Có"),OR(DANH_MUC!$L$8&lt;&gt;"Có",P3572="Có")),"Có","Không"))</f>
        <v/>
      </c>
      <c r="R3572" s="22">
        <f>IF($D3572="","",IF(COUNTIF($D$2:$D3572,$D3572)&gt;1,"Trùng",""))</f>
        <v/>
      </c>
      <c r="S3572" s="22">
        <f>IF($D3572="","",IF(AND(LEN($D3572)=10,LEFT($D3572,1)="0",ISNUMBER(--$D3572)),"Có","Không"))</f>
        <v/>
      </c>
      <c r="T3572" s="22">
        <f>IF($D3572="","",IF(AND($C3572&lt;&gt;"",$Q3572="Có",$R3572="",$S3572="Có",AND($L3572&lt;&gt;"",OR($L3572&lt;&gt;"Chưa xác định",DANH_MUC!$L$9="Có"))),"Có","Không"))</f>
        <v/>
      </c>
      <c r="U3572" s="22">
        <f>IF(OR($D3572="",$T3572="Có"),"",IF($C3572="","Thiếu họ tên; ","")&amp;IF($S3572&lt;&gt;"Có","SĐT sai định dạng; ","")&amp;IF($R3572="Trùng","Trùng SĐT; ","")&amp;IF($Q3572&lt;&gt;"Có","Thiếu đồng ý bắt buộc; ","")&amp;IF($L3572="","Thiếu/sai Mã REF; ",IF(AND($L3572="Chưa xác định",DANH_MUC!$L$9&lt;&gt;"Có"),"Nguồn chưa xác định; ","")))</f>
        <v/>
      </c>
      <c r="V3572" s="22">
        <f>IF(OR($D3572="",$R3572="Trùng"),"",IF(COUNTIF(ORDERS!$C$2:$C$4995,$D3572)&gt;0,"Có","Không"))</f>
        <v/>
      </c>
      <c r="W3572" s="22">
        <f>IF(OR($D3572="",$R3572="Trùng"),"",COUNTIFS(ORDERS!$C$2:$C$4995,$D3572,ORDERS!$L$2:$L$4995,"Đã chuyển khoản"))</f>
        <v/>
      </c>
      <c r="X3572" s="23">
        <f>IF(OR($D3572="",$R3572="Trùng"),"",SUMIFS(ORDERS!$J$2:$J$4995,ORDERS!$C$2:$C$4995,$D3572,ORDERS!$L$2:$L$4995,"Đã chuyển khoản"))</f>
        <v/>
      </c>
      <c r="Y3572" s="24" t="n"/>
    </row>
    <row r="3573" ht="14.25" customHeight="1" s="40">
      <c r="A3573" s="24" t="n"/>
      <c r="B3573" s="27" t="n"/>
      <c r="C3573" s="24" t="n"/>
      <c r="D3573" s="28" t="n"/>
      <c r="E3573" s="29" t="n"/>
      <c r="F3573" s="24" t="n"/>
      <c r="G3573" s="24" t="n"/>
      <c r="H3573" s="21">
        <f>IF(ISNUMBER($B3573),INT($B3573)-WEEKDAY($B3573,2)+1,"")</f>
        <v/>
      </c>
      <c r="I3573" s="24" t="n"/>
      <c r="J3573" s="22">
        <f t="array" ref="J3573">IF($D3573="","",IF($I3573="","(trống REF)",IFERROR(INDEX(MASTER_SOURCE!$B$2:$B$495,MATCH($I3573,MASTER_SOURCE!$A$2:$A$495,0)),"(REF không có trong MASTER_SOURCE)")))</f>
        <v/>
      </c>
      <c r="K3573" s="22">
        <f t="array" ref="K3573">IF($D3573="","",IFERROR(INDEX(MASTER_SOURCE!$C$2:$C$495,MATCH($I3573,MASTER_SOURCE!$A$2:$A$495,0)),""))</f>
        <v/>
      </c>
      <c r="L3573" s="22">
        <f t="array" ref="L3573">IF($D3573="","",IFERROR(INDEX(MASTER_SOURCE!$D$2:$D$495,MATCH($I3573,MASTER_SOURCE!$A$2:$A$495,0)),""))</f>
        <v/>
      </c>
      <c r="M3573" s="24" t="n"/>
      <c r="N3573" s="24" t="n"/>
      <c r="O3573" s="24" t="n"/>
      <c r="P3573" s="24" t="n"/>
      <c r="Q3573" s="22">
        <f>IF($D3573="","",IF(AND(OR(DANH_MUC!$L$5&lt;&gt;"Có",M3573="Có"),OR(DANH_MUC!$L$6&lt;&gt;"Có",N3573="Có"),OR(DANH_MUC!$L$7&lt;&gt;"Có",O3573="Có"),OR(DANH_MUC!$L$8&lt;&gt;"Có",P3573="Có")),"Có","Không"))</f>
        <v/>
      </c>
      <c r="R3573" s="22">
        <f>IF($D3573="","",IF(COUNTIF($D$2:$D3573,$D3573)&gt;1,"Trùng",""))</f>
        <v/>
      </c>
      <c r="S3573" s="22">
        <f>IF($D3573="","",IF(AND(LEN($D3573)=10,LEFT($D3573,1)="0",ISNUMBER(--$D3573)),"Có","Không"))</f>
        <v/>
      </c>
      <c r="T3573" s="22">
        <f>IF($D3573="","",IF(AND($C3573&lt;&gt;"",$Q3573="Có",$R3573="",$S3573="Có",AND($L3573&lt;&gt;"",OR($L3573&lt;&gt;"Chưa xác định",DANH_MUC!$L$9="Có"))),"Có","Không"))</f>
        <v/>
      </c>
      <c r="U3573" s="22">
        <f>IF(OR($D3573="",$T3573="Có"),"",IF($C3573="","Thiếu họ tên; ","")&amp;IF($S3573&lt;&gt;"Có","SĐT sai định dạng; ","")&amp;IF($R3573="Trùng","Trùng SĐT; ","")&amp;IF($Q3573&lt;&gt;"Có","Thiếu đồng ý bắt buộc; ","")&amp;IF($L3573="","Thiếu/sai Mã REF; ",IF(AND($L3573="Chưa xác định",DANH_MUC!$L$9&lt;&gt;"Có"),"Nguồn chưa xác định; ","")))</f>
        <v/>
      </c>
      <c r="V3573" s="22">
        <f>IF(OR($D3573="",$R3573="Trùng"),"",IF(COUNTIF(ORDERS!$C$2:$C$4995,$D3573)&gt;0,"Có","Không"))</f>
        <v/>
      </c>
      <c r="W3573" s="22">
        <f>IF(OR($D3573="",$R3573="Trùng"),"",COUNTIFS(ORDERS!$C$2:$C$4995,$D3573,ORDERS!$L$2:$L$4995,"Đã chuyển khoản"))</f>
        <v/>
      </c>
      <c r="X3573" s="23">
        <f>IF(OR($D3573="",$R3573="Trùng"),"",SUMIFS(ORDERS!$J$2:$J$4995,ORDERS!$C$2:$C$4995,$D3573,ORDERS!$L$2:$L$4995,"Đã chuyển khoản"))</f>
        <v/>
      </c>
      <c r="Y3573" s="24" t="n"/>
    </row>
    <row r="3574" ht="14.25" customHeight="1" s="40">
      <c r="A3574" s="24" t="n"/>
      <c r="B3574" s="27" t="n"/>
      <c r="C3574" s="24" t="n"/>
      <c r="D3574" s="28" t="n"/>
      <c r="E3574" s="29" t="n"/>
      <c r="F3574" s="24" t="n"/>
      <c r="G3574" s="24" t="n"/>
      <c r="H3574" s="21">
        <f>IF(ISNUMBER($B3574),INT($B3574)-WEEKDAY($B3574,2)+1,"")</f>
        <v/>
      </c>
      <c r="I3574" s="24" t="n"/>
      <c r="J3574" s="22">
        <f t="array" ref="J3574">IF($D3574="","",IF($I3574="","(trống REF)",IFERROR(INDEX(MASTER_SOURCE!$B$2:$B$495,MATCH($I3574,MASTER_SOURCE!$A$2:$A$495,0)),"(REF không có trong MASTER_SOURCE)")))</f>
        <v/>
      </c>
      <c r="K3574" s="22">
        <f t="array" ref="K3574">IF($D3574="","",IFERROR(INDEX(MASTER_SOURCE!$C$2:$C$495,MATCH($I3574,MASTER_SOURCE!$A$2:$A$495,0)),""))</f>
        <v/>
      </c>
      <c r="L3574" s="22">
        <f t="array" ref="L3574">IF($D3574="","",IFERROR(INDEX(MASTER_SOURCE!$D$2:$D$495,MATCH($I3574,MASTER_SOURCE!$A$2:$A$495,0)),""))</f>
        <v/>
      </c>
      <c r="M3574" s="24" t="n"/>
      <c r="N3574" s="24" t="n"/>
      <c r="O3574" s="24" t="n"/>
      <c r="P3574" s="24" t="n"/>
      <c r="Q3574" s="22">
        <f>IF($D3574="","",IF(AND(OR(DANH_MUC!$L$5&lt;&gt;"Có",M3574="Có"),OR(DANH_MUC!$L$6&lt;&gt;"Có",N3574="Có"),OR(DANH_MUC!$L$7&lt;&gt;"Có",O3574="Có"),OR(DANH_MUC!$L$8&lt;&gt;"Có",P3574="Có")),"Có","Không"))</f>
        <v/>
      </c>
      <c r="R3574" s="22">
        <f>IF($D3574="","",IF(COUNTIF($D$2:$D3574,$D3574)&gt;1,"Trùng",""))</f>
        <v/>
      </c>
      <c r="S3574" s="22">
        <f>IF($D3574="","",IF(AND(LEN($D3574)=10,LEFT($D3574,1)="0",ISNUMBER(--$D3574)),"Có","Không"))</f>
        <v/>
      </c>
      <c r="T3574" s="22">
        <f>IF($D3574="","",IF(AND($C3574&lt;&gt;"",$Q3574="Có",$R3574="",$S3574="Có",AND($L3574&lt;&gt;"",OR($L3574&lt;&gt;"Chưa xác định",DANH_MUC!$L$9="Có"))),"Có","Không"))</f>
        <v/>
      </c>
      <c r="U3574" s="22">
        <f>IF(OR($D3574="",$T3574="Có"),"",IF($C3574="","Thiếu họ tên; ","")&amp;IF($S3574&lt;&gt;"Có","SĐT sai định dạng; ","")&amp;IF($R3574="Trùng","Trùng SĐT; ","")&amp;IF($Q3574&lt;&gt;"Có","Thiếu đồng ý bắt buộc; ","")&amp;IF($L3574="","Thiếu/sai Mã REF; ",IF(AND($L3574="Chưa xác định",DANH_MUC!$L$9&lt;&gt;"Có"),"Nguồn chưa xác định; ","")))</f>
        <v/>
      </c>
      <c r="V3574" s="22">
        <f>IF(OR($D3574="",$R3574="Trùng"),"",IF(COUNTIF(ORDERS!$C$2:$C$4995,$D3574)&gt;0,"Có","Không"))</f>
        <v/>
      </c>
      <c r="W3574" s="22">
        <f>IF(OR($D3574="",$R3574="Trùng"),"",COUNTIFS(ORDERS!$C$2:$C$4995,$D3574,ORDERS!$L$2:$L$4995,"Đã chuyển khoản"))</f>
        <v/>
      </c>
      <c r="X3574" s="23">
        <f>IF(OR($D3574="",$R3574="Trùng"),"",SUMIFS(ORDERS!$J$2:$J$4995,ORDERS!$C$2:$C$4995,$D3574,ORDERS!$L$2:$L$4995,"Đã chuyển khoản"))</f>
        <v/>
      </c>
      <c r="Y3574" s="24" t="n"/>
    </row>
    <row r="3575" ht="14.25" customHeight="1" s="40">
      <c r="A3575" s="24" t="n"/>
      <c r="B3575" s="27" t="n"/>
      <c r="C3575" s="24" t="n"/>
      <c r="D3575" s="28" t="n"/>
      <c r="E3575" s="29" t="n"/>
      <c r="F3575" s="24" t="n"/>
      <c r="G3575" s="24" t="n"/>
      <c r="H3575" s="21">
        <f>IF(ISNUMBER($B3575),INT($B3575)-WEEKDAY($B3575,2)+1,"")</f>
        <v/>
      </c>
      <c r="I3575" s="24" t="n"/>
      <c r="J3575" s="22">
        <f t="array" ref="J3575">IF($D3575="","",IF($I3575="","(trống REF)",IFERROR(INDEX(MASTER_SOURCE!$B$2:$B$495,MATCH($I3575,MASTER_SOURCE!$A$2:$A$495,0)),"(REF không có trong MASTER_SOURCE)")))</f>
        <v/>
      </c>
      <c r="K3575" s="22">
        <f t="array" ref="K3575">IF($D3575="","",IFERROR(INDEX(MASTER_SOURCE!$C$2:$C$495,MATCH($I3575,MASTER_SOURCE!$A$2:$A$495,0)),""))</f>
        <v/>
      </c>
      <c r="L3575" s="22">
        <f t="array" ref="L3575">IF($D3575="","",IFERROR(INDEX(MASTER_SOURCE!$D$2:$D$495,MATCH($I3575,MASTER_SOURCE!$A$2:$A$495,0)),""))</f>
        <v/>
      </c>
      <c r="M3575" s="24" t="n"/>
      <c r="N3575" s="24" t="n"/>
      <c r="O3575" s="24" t="n"/>
      <c r="P3575" s="24" t="n"/>
      <c r="Q3575" s="22">
        <f>IF($D3575="","",IF(AND(OR(DANH_MUC!$L$5&lt;&gt;"Có",M3575="Có"),OR(DANH_MUC!$L$6&lt;&gt;"Có",N3575="Có"),OR(DANH_MUC!$L$7&lt;&gt;"Có",O3575="Có"),OR(DANH_MUC!$L$8&lt;&gt;"Có",P3575="Có")),"Có","Không"))</f>
        <v/>
      </c>
      <c r="R3575" s="22">
        <f>IF($D3575="","",IF(COUNTIF($D$2:$D3575,$D3575)&gt;1,"Trùng",""))</f>
        <v/>
      </c>
      <c r="S3575" s="22">
        <f>IF($D3575="","",IF(AND(LEN($D3575)=10,LEFT($D3575,1)="0",ISNUMBER(--$D3575)),"Có","Không"))</f>
        <v/>
      </c>
      <c r="T3575" s="22">
        <f>IF($D3575="","",IF(AND($C3575&lt;&gt;"",$Q3575="Có",$R3575="",$S3575="Có",AND($L3575&lt;&gt;"",OR($L3575&lt;&gt;"Chưa xác định",DANH_MUC!$L$9="Có"))),"Có","Không"))</f>
        <v/>
      </c>
      <c r="U3575" s="22">
        <f>IF(OR($D3575="",$T3575="Có"),"",IF($C3575="","Thiếu họ tên; ","")&amp;IF($S3575&lt;&gt;"Có","SĐT sai định dạng; ","")&amp;IF($R3575="Trùng","Trùng SĐT; ","")&amp;IF($Q3575&lt;&gt;"Có","Thiếu đồng ý bắt buộc; ","")&amp;IF($L3575="","Thiếu/sai Mã REF; ",IF(AND($L3575="Chưa xác định",DANH_MUC!$L$9&lt;&gt;"Có"),"Nguồn chưa xác định; ","")))</f>
        <v/>
      </c>
      <c r="V3575" s="22">
        <f>IF(OR($D3575="",$R3575="Trùng"),"",IF(COUNTIF(ORDERS!$C$2:$C$4995,$D3575)&gt;0,"Có","Không"))</f>
        <v/>
      </c>
      <c r="W3575" s="22">
        <f>IF(OR($D3575="",$R3575="Trùng"),"",COUNTIFS(ORDERS!$C$2:$C$4995,$D3575,ORDERS!$L$2:$L$4995,"Đã chuyển khoản"))</f>
        <v/>
      </c>
      <c r="X3575" s="23">
        <f>IF(OR($D3575="",$R3575="Trùng"),"",SUMIFS(ORDERS!$J$2:$J$4995,ORDERS!$C$2:$C$4995,$D3575,ORDERS!$L$2:$L$4995,"Đã chuyển khoản"))</f>
        <v/>
      </c>
      <c r="Y3575" s="24" t="n"/>
    </row>
    <row r="3576" ht="14.25" customHeight="1" s="40">
      <c r="A3576" s="24" t="n"/>
      <c r="B3576" s="27" t="n"/>
      <c r="C3576" s="24" t="n"/>
      <c r="D3576" s="28" t="n"/>
      <c r="E3576" s="29" t="n"/>
      <c r="F3576" s="24" t="n"/>
      <c r="G3576" s="24" t="n"/>
      <c r="H3576" s="21">
        <f>IF(ISNUMBER($B3576),INT($B3576)-WEEKDAY($B3576,2)+1,"")</f>
        <v/>
      </c>
      <c r="I3576" s="24" t="n"/>
      <c r="J3576" s="22">
        <f t="array" ref="J3576">IF($D3576="","",IF($I3576="","(trống REF)",IFERROR(INDEX(MASTER_SOURCE!$B$2:$B$495,MATCH($I3576,MASTER_SOURCE!$A$2:$A$495,0)),"(REF không có trong MASTER_SOURCE)")))</f>
        <v/>
      </c>
      <c r="K3576" s="22">
        <f t="array" ref="K3576">IF($D3576="","",IFERROR(INDEX(MASTER_SOURCE!$C$2:$C$495,MATCH($I3576,MASTER_SOURCE!$A$2:$A$495,0)),""))</f>
        <v/>
      </c>
      <c r="L3576" s="22">
        <f t="array" ref="L3576">IF($D3576="","",IFERROR(INDEX(MASTER_SOURCE!$D$2:$D$495,MATCH($I3576,MASTER_SOURCE!$A$2:$A$495,0)),""))</f>
        <v/>
      </c>
      <c r="M3576" s="24" t="n"/>
      <c r="N3576" s="24" t="n"/>
      <c r="O3576" s="24" t="n"/>
      <c r="P3576" s="24" t="n"/>
      <c r="Q3576" s="22">
        <f>IF($D3576="","",IF(AND(OR(DANH_MUC!$L$5&lt;&gt;"Có",M3576="Có"),OR(DANH_MUC!$L$6&lt;&gt;"Có",N3576="Có"),OR(DANH_MUC!$L$7&lt;&gt;"Có",O3576="Có"),OR(DANH_MUC!$L$8&lt;&gt;"Có",P3576="Có")),"Có","Không"))</f>
        <v/>
      </c>
      <c r="R3576" s="22">
        <f>IF($D3576="","",IF(COUNTIF($D$2:$D3576,$D3576)&gt;1,"Trùng",""))</f>
        <v/>
      </c>
      <c r="S3576" s="22">
        <f>IF($D3576="","",IF(AND(LEN($D3576)=10,LEFT($D3576,1)="0",ISNUMBER(--$D3576)),"Có","Không"))</f>
        <v/>
      </c>
      <c r="T3576" s="22">
        <f>IF($D3576="","",IF(AND($C3576&lt;&gt;"",$Q3576="Có",$R3576="",$S3576="Có",AND($L3576&lt;&gt;"",OR($L3576&lt;&gt;"Chưa xác định",DANH_MUC!$L$9="Có"))),"Có","Không"))</f>
        <v/>
      </c>
      <c r="U3576" s="22">
        <f>IF(OR($D3576="",$T3576="Có"),"",IF($C3576="","Thiếu họ tên; ","")&amp;IF($S3576&lt;&gt;"Có","SĐT sai định dạng; ","")&amp;IF($R3576="Trùng","Trùng SĐT; ","")&amp;IF($Q3576&lt;&gt;"Có","Thiếu đồng ý bắt buộc; ","")&amp;IF($L3576="","Thiếu/sai Mã REF; ",IF(AND($L3576="Chưa xác định",DANH_MUC!$L$9&lt;&gt;"Có"),"Nguồn chưa xác định; ","")))</f>
        <v/>
      </c>
      <c r="V3576" s="22">
        <f>IF(OR($D3576="",$R3576="Trùng"),"",IF(COUNTIF(ORDERS!$C$2:$C$4995,$D3576)&gt;0,"Có","Không"))</f>
        <v/>
      </c>
      <c r="W3576" s="22">
        <f>IF(OR($D3576="",$R3576="Trùng"),"",COUNTIFS(ORDERS!$C$2:$C$4995,$D3576,ORDERS!$L$2:$L$4995,"Đã chuyển khoản"))</f>
        <v/>
      </c>
      <c r="X3576" s="23">
        <f>IF(OR($D3576="",$R3576="Trùng"),"",SUMIFS(ORDERS!$J$2:$J$4995,ORDERS!$C$2:$C$4995,$D3576,ORDERS!$L$2:$L$4995,"Đã chuyển khoản"))</f>
        <v/>
      </c>
      <c r="Y3576" s="24" t="n"/>
    </row>
    <row r="3577" ht="14.25" customHeight="1" s="40">
      <c r="A3577" s="24" t="n"/>
      <c r="B3577" s="27" t="n"/>
      <c r="C3577" s="24" t="n"/>
      <c r="D3577" s="28" t="n"/>
      <c r="E3577" s="29" t="n"/>
      <c r="F3577" s="24" t="n"/>
      <c r="G3577" s="24" t="n"/>
      <c r="H3577" s="21">
        <f>IF(ISNUMBER($B3577),INT($B3577)-WEEKDAY($B3577,2)+1,"")</f>
        <v/>
      </c>
      <c r="I3577" s="24" t="n"/>
      <c r="J3577" s="22">
        <f t="array" ref="J3577">IF($D3577="","",IF($I3577="","(trống REF)",IFERROR(INDEX(MASTER_SOURCE!$B$2:$B$495,MATCH($I3577,MASTER_SOURCE!$A$2:$A$495,0)),"(REF không có trong MASTER_SOURCE)")))</f>
        <v/>
      </c>
      <c r="K3577" s="22">
        <f t="array" ref="K3577">IF($D3577="","",IFERROR(INDEX(MASTER_SOURCE!$C$2:$C$495,MATCH($I3577,MASTER_SOURCE!$A$2:$A$495,0)),""))</f>
        <v/>
      </c>
      <c r="L3577" s="22">
        <f t="array" ref="L3577">IF($D3577="","",IFERROR(INDEX(MASTER_SOURCE!$D$2:$D$495,MATCH($I3577,MASTER_SOURCE!$A$2:$A$495,0)),""))</f>
        <v/>
      </c>
      <c r="M3577" s="24" t="n"/>
      <c r="N3577" s="24" t="n"/>
      <c r="O3577" s="24" t="n"/>
      <c r="P3577" s="24" t="n"/>
      <c r="Q3577" s="22">
        <f>IF($D3577="","",IF(AND(OR(DANH_MUC!$L$5&lt;&gt;"Có",M3577="Có"),OR(DANH_MUC!$L$6&lt;&gt;"Có",N3577="Có"),OR(DANH_MUC!$L$7&lt;&gt;"Có",O3577="Có"),OR(DANH_MUC!$L$8&lt;&gt;"Có",P3577="Có")),"Có","Không"))</f>
        <v/>
      </c>
      <c r="R3577" s="22">
        <f>IF($D3577="","",IF(COUNTIF($D$2:$D3577,$D3577)&gt;1,"Trùng",""))</f>
        <v/>
      </c>
      <c r="S3577" s="22">
        <f>IF($D3577="","",IF(AND(LEN($D3577)=10,LEFT($D3577,1)="0",ISNUMBER(--$D3577)),"Có","Không"))</f>
        <v/>
      </c>
      <c r="T3577" s="22">
        <f>IF($D3577="","",IF(AND($C3577&lt;&gt;"",$Q3577="Có",$R3577="",$S3577="Có",AND($L3577&lt;&gt;"",OR($L3577&lt;&gt;"Chưa xác định",DANH_MUC!$L$9="Có"))),"Có","Không"))</f>
        <v/>
      </c>
      <c r="U3577" s="22">
        <f>IF(OR($D3577="",$T3577="Có"),"",IF($C3577="","Thiếu họ tên; ","")&amp;IF($S3577&lt;&gt;"Có","SĐT sai định dạng; ","")&amp;IF($R3577="Trùng","Trùng SĐT; ","")&amp;IF($Q3577&lt;&gt;"Có","Thiếu đồng ý bắt buộc; ","")&amp;IF($L3577="","Thiếu/sai Mã REF; ",IF(AND($L3577="Chưa xác định",DANH_MUC!$L$9&lt;&gt;"Có"),"Nguồn chưa xác định; ","")))</f>
        <v/>
      </c>
      <c r="V3577" s="22">
        <f>IF(OR($D3577="",$R3577="Trùng"),"",IF(COUNTIF(ORDERS!$C$2:$C$4995,$D3577)&gt;0,"Có","Không"))</f>
        <v/>
      </c>
      <c r="W3577" s="22">
        <f>IF(OR($D3577="",$R3577="Trùng"),"",COUNTIFS(ORDERS!$C$2:$C$4995,$D3577,ORDERS!$L$2:$L$4995,"Đã chuyển khoản"))</f>
        <v/>
      </c>
      <c r="X3577" s="23">
        <f>IF(OR($D3577="",$R3577="Trùng"),"",SUMIFS(ORDERS!$J$2:$J$4995,ORDERS!$C$2:$C$4995,$D3577,ORDERS!$L$2:$L$4995,"Đã chuyển khoản"))</f>
        <v/>
      </c>
      <c r="Y3577" s="24" t="n"/>
    </row>
    <row r="3578" ht="14.25" customHeight="1" s="40">
      <c r="A3578" s="24" t="n"/>
      <c r="B3578" s="27" t="n"/>
      <c r="C3578" s="24" t="n"/>
      <c r="D3578" s="28" t="n"/>
      <c r="E3578" s="29" t="n"/>
      <c r="F3578" s="24" t="n"/>
      <c r="G3578" s="24" t="n"/>
      <c r="H3578" s="21">
        <f>IF(ISNUMBER($B3578),INT($B3578)-WEEKDAY($B3578,2)+1,"")</f>
        <v/>
      </c>
      <c r="I3578" s="24" t="n"/>
      <c r="J3578" s="22">
        <f t="array" ref="J3578">IF($D3578="","",IF($I3578="","(trống REF)",IFERROR(INDEX(MASTER_SOURCE!$B$2:$B$495,MATCH($I3578,MASTER_SOURCE!$A$2:$A$495,0)),"(REF không có trong MASTER_SOURCE)")))</f>
        <v/>
      </c>
      <c r="K3578" s="22">
        <f t="array" ref="K3578">IF($D3578="","",IFERROR(INDEX(MASTER_SOURCE!$C$2:$C$495,MATCH($I3578,MASTER_SOURCE!$A$2:$A$495,0)),""))</f>
        <v/>
      </c>
      <c r="L3578" s="22">
        <f t="array" ref="L3578">IF($D3578="","",IFERROR(INDEX(MASTER_SOURCE!$D$2:$D$495,MATCH($I3578,MASTER_SOURCE!$A$2:$A$495,0)),""))</f>
        <v/>
      </c>
      <c r="M3578" s="24" t="n"/>
      <c r="N3578" s="24" t="n"/>
      <c r="O3578" s="24" t="n"/>
      <c r="P3578" s="24" t="n"/>
      <c r="Q3578" s="22">
        <f>IF($D3578="","",IF(AND(OR(DANH_MUC!$L$5&lt;&gt;"Có",M3578="Có"),OR(DANH_MUC!$L$6&lt;&gt;"Có",N3578="Có"),OR(DANH_MUC!$L$7&lt;&gt;"Có",O3578="Có"),OR(DANH_MUC!$L$8&lt;&gt;"Có",P3578="Có")),"Có","Không"))</f>
        <v/>
      </c>
      <c r="R3578" s="22">
        <f>IF($D3578="","",IF(COUNTIF($D$2:$D3578,$D3578)&gt;1,"Trùng",""))</f>
        <v/>
      </c>
      <c r="S3578" s="22">
        <f>IF($D3578="","",IF(AND(LEN($D3578)=10,LEFT($D3578,1)="0",ISNUMBER(--$D3578)),"Có","Không"))</f>
        <v/>
      </c>
      <c r="T3578" s="22">
        <f>IF($D3578="","",IF(AND($C3578&lt;&gt;"",$Q3578="Có",$R3578="",$S3578="Có",AND($L3578&lt;&gt;"",OR($L3578&lt;&gt;"Chưa xác định",DANH_MUC!$L$9="Có"))),"Có","Không"))</f>
        <v/>
      </c>
      <c r="U3578" s="22">
        <f>IF(OR($D3578="",$T3578="Có"),"",IF($C3578="","Thiếu họ tên; ","")&amp;IF($S3578&lt;&gt;"Có","SĐT sai định dạng; ","")&amp;IF($R3578="Trùng","Trùng SĐT; ","")&amp;IF($Q3578&lt;&gt;"Có","Thiếu đồng ý bắt buộc; ","")&amp;IF($L3578="","Thiếu/sai Mã REF; ",IF(AND($L3578="Chưa xác định",DANH_MUC!$L$9&lt;&gt;"Có"),"Nguồn chưa xác định; ","")))</f>
        <v/>
      </c>
      <c r="V3578" s="22">
        <f>IF(OR($D3578="",$R3578="Trùng"),"",IF(COUNTIF(ORDERS!$C$2:$C$4995,$D3578)&gt;0,"Có","Không"))</f>
        <v/>
      </c>
      <c r="W3578" s="22">
        <f>IF(OR($D3578="",$R3578="Trùng"),"",COUNTIFS(ORDERS!$C$2:$C$4995,$D3578,ORDERS!$L$2:$L$4995,"Đã chuyển khoản"))</f>
        <v/>
      </c>
      <c r="X3578" s="23">
        <f>IF(OR($D3578="",$R3578="Trùng"),"",SUMIFS(ORDERS!$J$2:$J$4995,ORDERS!$C$2:$C$4995,$D3578,ORDERS!$L$2:$L$4995,"Đã chuyển khoản"))</f>
        <v/>
      </c>
      <c r="Y3578" s="24" t="n"/>
    </row>
    <row r="3579" ht="14.25" customHeight="1" s="40">
      <c r="A3579" s="24" t="n"/>
      <c r="B3579" s="27" t="n"/>
      <c r="C3579" s="24" t="n"/>
      <c r="D3579" s="28" t="n"/>
      <c r="E3579" s="29" t="n"/>
      <c r="F3579" s="24" t="n"/>
      <c r="G3579" s="24" t="n"/>
      <c r="H3579" s="21">
        <f>IF(ISNUMBER($B3579),INT($B3579)-WEEKDAY($B3579,2)+1,"")</f>
        <v/>
      </c>
      <c r="I3579" s="24" t="n"/>
      <c r="J3579" s="22">
        <f t="array" ref="J3579">IF($D3579="","",IF($I3579="","(trống REF)",IFERROR(INDEX(MASTER_SOURCE!$B$2:$B$495,MATCH($I3579,MASTER_SOURCE!$A$2:$A$495,0)),"(REF không có trong MASTER_SOURCE)")))</f>
        <v/>
      </c>
      <c r="K3579" s="22">
        <f t="array" ref="K3579">IF($D3579="","",IFERROR(INDEX(MASTER_SOURCE!$C$2:$C$495,MATCH($I3579,MASTER_SOURCE!$A$2:$A$495,0)),""))</f>
        <v/>
      </c>
      <c r="L3579" s="22">
        <f t="array" ref="L3579">IF($D3579="","",IFERROR(INDEX(MASTER_SOURCE!$D$2:$D$495,MATCH($I3579,MASTER_SOURCE!$A$2:$A$495,0)),""))</f>
        <v/>
      </c>
      <c r="M3579" s="24" t="n"/>
      <c r="N3579" s="24" t="n"/>
      <c r="O3579" s="24" t="n"/>
      <c r="P3579" s="24" t="n"/>
      <c r="Q3579" s="22">
        <f>IF($D3579="","",IF(AND(OR(DANH_MUC!$L$5&lt;&gt;"Có",M3579="Có"),OR(DANH_MUC!$L$6&lt;&gt;"Có",N3579="Có"),OR(DANH_MUC!$L$7&lt;&gt;"Có",O3579="Có"),OR(DANH_MUC!$L$8&lt;&gt;"Có",P3579="Có")),"Có","Không"))</f>
        <v/>
      </c>
      <c r="R3579" s="22">
        <f>IF($D3579="","",IF(COUNTIF($D$2:$D3579,$D3579)&gt;1,"Trùng",""))</f>
        <v/>
      </c>
      <c r="S3579" s="22">
        <f>IF($D3579="","",IF(AND(LEN($D3579)=10,LEFT($D3579,1)="0",ISNUMBER(--$D3579)),"Có","Không"))</f>
        <v/>
      </c>
      <c r="T3579" s="22">
        <f>IF($D3579="","",IF(AND($C3579&lt;&gt;"",$Q3579="Có",$R3579="",$S3579="Có",AND($L3579&lt;&gt;"",OR($L3579&lt;&gt;"Chưa xác định",DANH_MUC!$L$9="Có"))),"Có","Không"))</f>
        <v/>
      </c>
      <c r="U3579" s="22">
        <f>IF(OR($D3579="",$T3579="Có"),"",IF($C3579="","Thiếu họ tên; ","")&amp;IF($S3579&lt;&gt;"Có","SĐT sai định dạng; ","")&amp;IF($R3579="Trùng","Trùng SĐT; ","")&amp;IF($Q3579&lt;&gt;"Có","Thiếu đồng ý bắt buộc; ","")&amp;IF($L3579="","Thiếu/sai Mã REF; ",IF(AND($L3579="Chưa xác định",DANH_MUC!$L$9&lt;&gt;"Có"),"Nguồn chưa xác định; ","")))</f>
        <v/>
      </c>
      <c r="V3579" s="22">
        <f>IF(OR($D3579="",$R3579="Trùng"),"",IF(COUNTIF(ORDERS!$C$2:$C$4995,$D3579)&gt;0,"Có","Không"))</f>
        <v/>
      </c>
      <c r="W3579" s="22">
        <f>IF(OR($D3579="",$R3579="Trùng"),"",COUNTIFS(ORDERS!$C$2:$C$4995,$D3579,ORDERS!$L$2:$L$4995,"Đã chuyển khoản"))</f>
        <v/>
      </c>
      <c r="X3579" s="23">
        <f>IF(OR($D3579="",$R3579="Trùng"),"",SUMIFS(ORDERS!$J$2:$J$4995,ORDERS!$C$2:$C$4995,$D3579,ORDERS!$L$2:$L$4995,"Đã chuyển khoản"))</f>
        <v/>
      </c>
      <c r="Y3579" s="24" t="n"/>
    </row>
    <row r="3580" ht="14.25" customHeight="1" s="40">
      <c r="A3580" s="24" t="n"/>
      <c r="B3580" s="27" t="n"/>
      <c r="C3580" s="24" t="n"/>
      <c r="D3580" s="28" t="n"/>
      <c r="E3580" s="29" t="n"/>
      <c r="F3580" s="24" t="n"/>
      <c r="G3580" s="24" t="n"/>
      <c r="H3580" s="21">
        <f>IF(ISNUMBER($B3580),INT($B3580)-WEEKDAY($B3580,2)+1,"")</f>
        <v/>
      </c>
      <c r="I3580" s="24" t="n"/>
      <c r="J3580" s="22">
        <f t="array" ref="J3580">IF($D3580="","",IF($I3580="","(trống REF)",IFERROR(INDEX(MASTER_SOURCE!$B$2:$B$495,MATCH($I3580,MASTER_SOURCE!$A$2:$A$495,0)),"(REF không có trong MASTER_SOURCE)")))</f>
        <v/>
      </c>
      <c r="K3580" s="22">
        <f t="array" ref="K3580">IF($D3580="","",IFERROR(INDEX(MASTER_SOURCE!$C$2:$C$495,MATCH($I3580,MASTER_SOURCE!$A$2:$A$495,0)),""))</f>
        <v/>
      </c>
      <c r="L3580" s="22">
        <f t="array" ref="L3580">IF($D3580="","",IFERROR(INDEX(MASTER_SOURCE!$D$2:$D$495,MATCH($I3580,MASTER_SOURCE!$A$2:$A$495,0)),""))</f>
        <v/>
      </c>
      <c r="M3580" s="24" t="n"/>
      <c r="N3580" s="24" t="n"/>
      <c r="O3580" s="24" t="n"/>
      <c r="P3580" s="24" t="n"/>
      <c r="Q3580" s="22">
        <f>IF($D3580="","",IF(AND(OR(DANH_MUC!$L$5&lt;&gt;"Có",M3580="Có"),OR(DANH_MUC!$L$6&lt;&gt;"Có",N3580="Có"),OR(DANH_MUC!$L$7&lt;&gt;"Có",O3580="Có"),OR(DANH_MUC!$L$8&lt;&gt;"Có",P3580="Có")),"Có","Không"))</f>
        <v/>
      </c>
      <c r="R3580" s="22">
        <f>IF($D3580="","",IF(COUNTIF($D$2:$D3580,$D3580)&gt;1,"Trùng",""))</f>
        <v/>
      </c>
      <c r="S3580" s="22">
        <f>IF($D3580="","",IF(AND(LEN($D3580)=10,LEFT($D3580,1)="0",ISNUMBER(--$D3580)),"Có","Không"))</f>
        <v/>
      </c>
      <c r="T3580" s="22">
        <f>IF($D3580="","",IF(AND($C3580&lt;&gt;"",$Q3580="Có",$R3580="",$S3580="Có",AND($L3580&lt;&gt;"",OR($L3580&lt;&gt;"Chưa xác định",DANH_MUC!$L$9="Có"))),"Có","Không"))</f>
        <v/>
      </c>
      <c r="U3580" s="22">
        <f>IF(OR($D3580="",$T3580="Có"),"",IF($C3580="","Thiếu họ tên; ","")&amp;IF($S3580&lt;&gt;"Có","SĐT sai định dạng; ","")&amp;IF($R3580="Trùng","Trùng SĐT; ","")&amp;IF($Q3580&lt;&gt;"Có","Thiếu đồng ý bắt buộc; ","")&amp;IF($L3580="","Thiếu/sai Mã REF; ",IF(AND($L3580="Chưa xác định",DANH_MUC!$L$9&lt;&gt;"Có"),"Nguồn chưa xác định; ","")))</f>
        <v/>
      </c>
      <c r="V3580" s="22">
        <f>IF(OR($D3580="",$R3580="Trùng"),"",IF(COUNTIF(ORDERS!$C$2:$C$4995,$D3580)&gt;0,"Có","Không"))</f>
        <v/>
      </c>
      <c r="W3580" s="22">
        <f>IF(OR($D3580="",$R3580="Trùng"),"",COUNTIFS(ORDERS!$C$2:$C$4995,$D3580,ORDERS!$L$2:$L$4995,"Đã chuyển khoản"))</f>
        <v/>
      </c>
      <c r="X3580" s="23">
        <f>IF(OR($D3580="",$R3580="Trùng"),"",SUMIFS(ORDERS!$J$2:$J$4995,ORDERS!$C$2:$C$4995,$D3580,ORDERS!$L$2:$L$4995,"Đã chuyển khoản"))</f>
        <v/>
      </c>
      <c r="Y3580" s="24" t="n"/>
    </row>
    <row r="3581" ht="14.25" customHeight="1" s="40">
      <c r="A3581" s="24" t="n"/>
      <c r="B3581" s="27" t="n"/>
      <c r="C3581" s="24" t="n"/>
      <c r="D3581" s="28" t="n"/>
      <c r="E3581" s="29" t="n"/>
      <c r="F3581" s="24" t="n"/>
      <c r="G3581" s="24" t="n"/>
      <c r="H3581" s="21">
        <f>IF(ISNUMBER($B3581),INT($B3581)-WEEKDAY($B3581,2)+1,"")</f>
        <v/>
      </c>
      <c r="I3581" s="24" t="n"/>
      <c r="J3581" s="22">
        <f t="array" ref="J3581">IF($D3581="","",IF($I3581="","(trống REF)",IFERROR(INDEX(MASTER_SOURCE!$B$2:$B$495,MATCH($I3581,MASTER_SOURCE!$A$2:$A$495,0)),"(REF không có trong MASTER_SOURCE)")))</f>
        <v/>
      </c>
      <c r="K3581" s="22">
        <f t="array" ref="K3581">IF($D3581="","",IFERROR(INDEX(MASTER_SOURCE!$C$2:$C$495,MATCH($I3581,MASTER_SOURCE!$A$2:$A$495,0)),""))</f>
        <v/>
      </c>
      <c r="L3581" s="22">
        <f t="array" ref="L3581">IF($D3581="","",IFERROR(INDEX(MASTER_SOURCE!$D$2:$D$495,MATCH($I3581,MASTER_SOURCE!$A$2:$A$495,0)),""))</f>
        <v/>
      </c>
      <c r="M3581" s="24" t="n"/>
      <c r="N3581" s="24" t="n"/>
      <c r="O3581" s="24" t="n"/>
      <c r="P3581" s="24" t="n"/>
      <c r="Q3581" s="22">
        <f>IF($D3581="","",IF(AND(OR(DANH_MUC!$L$5&lt;&gt;"Có",M3581="Có"),OR(DANH_MUC!$L$6&lt;&gt;"Có",N3581="Có"),OR(DANH_MUC!$L$7&lt;&gt;"Có",O3581="Có"),OR(DANH_MUC!$L$8&lt;&gt;"Có",P3581="Có")),"Có","Không"))</f>
        <v/>
      </c>
      <c r="R3581" s="22">
        <f>IF($D3581="","",IF(COUNTIF($D$2:$D3581,$D3581)&gt;1,"Trùng",""))</f>
        <v/>
      </c>
      <c r="S3581" s="22">
        <f>IF($D3581="","",IF(AND(LEN($D3581)=10,LEFT($D3581,1)="0",ISNUMBER(--$D3581)),"Có","Không"))</f>
        <v/>
      </c>
      <c r="T3581" s="22">
        <f>IF($D3581="","",IF(AND($C3581&lt;&gt;"",$Q3581="Có",$R3581="",$S3581="Có",AND($L3581&lt;&gt;"",OR($L3581&lt;&gt;"Chưa xác định",DANH_MUC!$L$9="Có"))),"Có","Không"))</f>
        <v/>
      </c>
      <c r="U3581" s="22">
        <f>IF(OR($D3581="",$T3581="Có"),"",IF($C3581="","Thiếu họ tên; ","")&amp;IF($S3581&lt;&gt;"Có","SĐT sai định dạng; ","")&amp;IF($R3581="Trùng","Trùng SĐT; ","")&amp;IF($Q3581&lt;&gt;"Có","Thiếu đồng ý bắt buộc; ","")&amp;IF($L3581="","Thiếu/sai Mã REF; ",IF(AND($L3581="Chưa xác định",DANH_MUC!$L$9&lt;&gt;"Có"),"Nguồn chưa xác định; ","")))</f>
        <v/>
      </c>
      <c r="V3581" s="22">
        <f>IF(OR($D3581="",$R3581="Trùng"),"",IF(COUNTIF(ORDERS!$C$2:$C$4995,$D3581)&gt;0,"Có","Không"))</f>
        <v/>
      </c>
      <c r="W3581" s="22">
        <f>IF(OR($D3581="",$R3581="Trùng"),"",COUNTIFS(ORDERS!$C$2:$C$4995,$D3581,ORDERS!$L$2:$L$4995,"Đã chuyển khoản"))</f>
        <v/>
      </c>
      <c r="X3581" s="23">
        <f>IF(OR($D3581="",$R3581="Trùng"),"",SUMIFS(ORDERS!$J$2:$J$4995,ORDERS!$C$2:$C$4995,$D3581,ORDERS!$L$2:$L$4995,"Đã chuyển khoản"))</f>
        <v/>
      </c>
      <c r="Y3581" s="24" t="n"/>
    </row>
    <row r="3582" ht="14.25" customHeight="1" s="40">
      <c r="A3582" s="24" t="n"/>
      <c r="B3582" s="27" t="n"/>
      <c r="C3582" s="24" t="n"/>
      <c r="D3582" s="28" t="n"/>
      <c r="E3582" s="29" t="n"/>
      <c r="F3582" s="24" t="n"/>
      <c r="G3582" s="24" t="n"/>
      <c r="H3582" s="21">
        <f>IF(ISNUMBER($B3582),INT($B3582)-WEEKDAY($B3582,2)+1,"")</f>
        <v/>
      </c>
      <c r="I3582" s="24" t="n"/>
      <c r="J3582" s="22">
        <f t="array" ref="J3582">IF($D3582="","",IF($I3582="","(trống REF)",IFERROR(INDEX(MASTER_SOURCE!$B$2:$B$495,MATCH($I3582,MASTER_SOURCE!$A$2:$A$495,0)),"(REF không có trong MASTER_SOURCE)")))</f>
        <v/>
      </c>
      <c r="K3582" s="22">
        <f t="array" ref="K3582">IF($D3582="","",IFERROR(INDEX(MASTER_SOURCE!$C$2:$C$495,MATCH($I3582,MASTER_SOURCE!$A$2:$A$495,0)),""))</f>
        <v/>
      </c>
      <c r="L3582" s="22">
        <f t="array" ref="L3582">IF($D3582="","",IFERROR(INDEX(MASTER_SOURCE!$D$2:$D$495,MATCH($I3582,MASTER_SOURCE!$A$2:$A$495,0)),""))</f>
        <v/>
      </c>
      <c r="M3582" s="24" t="n"/>
      <c r="N3582" s="24" t="n"/>
      <c r="O3582" s="24" t="n"/>
      <c r="P3582" s="24" t="n"/>
      <c r="Q3582" s="22">
        <f>IF($D3582="","",IF(AND(OR(DANH_MUC!$L$5&lt;&gt;"Có",M3582="Có"),OR(DANH_MUC!$L$6&lt;&gt;"Có",N3582="Có"),OR(DANH_MUC!$L$7&lt;&gt;"Có",O3582="Có"),OR(DANH_MUC!$L$8&lt;&gt;"Có",P3582="Có")),"Có","Không"))</f>
        <v/>
      </c>
      <c r="R3582" s="22">
        <f>IF($D3582="","",IF(COUNTIF($D$2:$D3582,$D3582)&gt;1,"Trùng",""))</f>
        <v/>
      </c>
      <c r="S3582" s="22">
        <f>IF($D3582="","",IF(AND(LEN($D3582)=10,LEFT($D3582,1)="0",ISNUMBER(--$D3582)),"Có","Không"))</f>
        <v/>
      </c>
      <c r="T3582" s="22">
        <f>IF($D3582="","",IF(AND($C3582&lt;&gt;"",$Q3582="Có",$R3582="",$S3582="Có",AND($L3582&lt;&gt;"",OR($L3582&lt;&gt;"Chưa xác định",DANH_MUC!$L$9="Có"))),"Có","Không"))</f>
        <v/>
      </c>
      <c r="U3582" s="22">
        <f>IF(OR($D3582="",$T3582="Có"),"",IF($C3582="","Thiếu họ tên; ","")&amp;IF($S3582&lt;&gt;"Có","SĐT sai định dạng; ","")&amp;IF($R3582="Trùng","Trùng SĐT; ","")&amp;IF($Q3582&lt;&gt;"Có","Thiếu đồng ý bắt buộc; ","")&amp;IF($L3582="","Thiếu/sai Mã REF; ",IF(AND($L3582="Chưa xác định",DANH_MUC!$L$9&lt;&gt;"Có"),"Nguồn chưa xác định; ","")))</f>
        <v/>
      </c>
      <c r="V3582" s="22">
        <f>IF(OR($D3582="",$R3582="Trùng"),"",IF(COUNTIF(ORDERS!$C$2:$C$4995,$D3582)&gt;0,"Có","Không"))</f>
        <v/>
      </c>
      <c r="W3582" s="22">
        <f>IF(OR($D3582="",$R3582="Trùng"),"",COUNTIFS(ORDERS!$C$2:$C$4995,$D3582,ORDERS!$L$2:$L$4995,"Đã chuyển khoản"))</f>
        <v/>
      </c>
      <c r="X3582" s="23">
        <f>IF(OR($D3582="",$R3582="Trùng"),"",SUMIFS(ORDERS!$J$2:$J$4995,ORDERS!$C$2:$C$4995,$D3582,ORDERS!$L$2:$L$4995,"Đã chuyển khoản"))</f>
        <v/>
      </c>
      <c r="Y3582" s="24" t="n"/>
    </row>
    <row r="3583" ht="14.25" customHeight="1" s="40">
      <c r="A3583" s="24" t="n"/>
      <c r="B3583" s="27" t="n"/>
      <c r="C3583" s="24" t="n"/>
      <c r="D3583" s="28" t="n"/>
      <c r="E3583" s="29" t="n"/>
      <c r="F3583" s="24" t="n"/>
      <c r="G3583" s="24" t="n"/>
      <c r="H3583" s="21">
        <f>IF(ISNUMBER($B3583),INT($B3583)-WEEKDAY($B3583,2)+1,"")</f>
        <v/>
      </c>
      <c r="I3583" s="24" t="n"/>
      <c r="J3583" s="22">
        <f t="array" ref="J3583">IF($D3583="","",IF($I3583="","(trống REF)",IFERROR(INDEX(MASTER_SOURCE!$B$2:$B$495,MATCH($I3583,MASTER_SOURCE!$A$2:$A$495,0)),"(REF không có trong MASTER_SOURCE)")))</f>
        <v/>
      </c>
      <c r="K3583" s="22">
        <f t="array" ref="K3583">IF($D3583="","",IFERROR(INDEX(MASTER_SOURCE!$C$2:$C$495,MATCH($I3583,MASTER_SOURCE!$A$2:$A$495,0)),""))</f>
        <v/>
      </c>
      <c r="L3583" s="22">
        <f t="array" ref="L3583">IF($D3583="","",IFERROR(INDEX(MASTER_SOURCE!$D$2:$D$495,MATCH($I3583,MASTER_SOURCE!$A$2:$A$495,0)),""))</f>
        <v/>
      </c>
      <c r="M3583" s="24" t="n"/>
      <c r="N3583" s="24" t="n"/>
      <c r="O3583" s="24" t="n"/>
      <c r="P3583" s="24" t="n"/>
      <c r="Q3583" s="22">
        <f>IF($D3583="","",IF(AND(OR(DANH_MUC!$L$5&lt;&gt;"Có",M3583="Có"),OR(DANH_MUC!$L$6&lt;&gt;"Có",N3583="Có"),OR(DANH_MUC!$L$7&lt;&gt;"Có",O3583="Có"),OR(DANH_MUC!$L$8&lt;&gt;"Có",P3583="Có")),"Có","Không"))</f>
        <v/>
      </c>
      <c r="R3583" s="22">
        <f>IF($D3583="","",IF(COUNTIF($D$2:$D3583,$D3583)&gt;1,"Trùng",""))</f>
        <v/>
      </c>
      <c r="S3583" s="22">
        <f>IF($D3583="","",IF(AND(LEN($D3583)=10,LEFT($D3583,1)="0",ISNUMBER(--$D3583)),"Có","Không"))</f>
        <v/>
      </c>
      <c r="T3583" s="22">
        <f>IF($D3583="","",IF(AND($C3583&lt;&gt;"",$Q3583="Có",$R3583="",$S3583="Có",AND($L3583&lt;&gt;"",OR($L3583&lt;&gt;"Chưa xác định",DANH_MUC!$L$9="Có"))),"Có","Không"))</f>
        <v/>
      </c>
      <c r="U3583" s="22">
        <f>IF(OR($D3583="",$T3583="Có"),"",IF($C3583="","Thiếu họ tên; ","")&amp;IF($S3583&lt;&gt;"Có","SĐT sai định dạng; ","")&amp;IF($R3583="Trùng","Trùng SĐT; ","")&amp;IF($Q3583&lt;&gt;"Có","Thiếu đồng ý bắt buộc; ","")&amp;IF($L3583="","Thiếu/sai Mã REF; ",IF(AND($L3583="Chưa xác định",DANH_MUC!$L$9&lt;&gt;"Có"),"Nguồn chưa xác định; ","")))</f>
        <v/>
      </c>
      <c r="V3583" s="22">
        <f>IF(OR($D3583="",$R3583="Trùng"),"",IF(COUNTIF(ORDERS!$C$2:$C$4995,$D3583)&gt;0,"Có","Không"))</f>
        <v/>
      </c>
      <c r="W3583" s="22">
        <f>IF(OR($D3583="",$R3583="Trùng"),"",COUNTIFS(ORDERS!$C$2:$C$4995,$D3583,ORDERS!$L$2:$L$4995,"Đã chuyển khoản"))</f>
        <v/>
      </c>
      <c r="X3583" s="23">
        <f>IF(OR($D3583="",$R3583="Trùng"),"",SUMIFS(ORDERS!$J$2:$J$4995,ORDERS!$C$2:$C$4995,$D3583,ORDERS!$L$2:$L$4995,"Đã chuyển khoản"))</f>
        <v/>
      </c>
      <c r="Y3583" s="24" t="n"/>
    </row>
    <row r="3584" ht="14.25" customHeight="1" s="40">
      <c r="A3584" s="24" t="n"/>
      <c r="B3584" s="27" t="n"/>
      <c r="C3584" s="24" t="n"/>
      <c r="D3584" s="28" t="n"/>
      <c r="E3584" s="29" t="n"/>
      <c r="F3584" s="24" t="n"/>
      <c r="G3584" s="24" t="n"/>
      <c r="H3584" s="21">
        <f>IF(ISNUMBER($B3584),INT($B3584)-WEEKDAY($B3584,2)+1,"")</f>
        <v/>
      </c>
      <c r="I3584" s="24" t="n"/>
      <c r="J3584" s="22">
        <f t="array" ref="J3584">IF($D3584="","",IF($I3584="","(trống REF)",IFERROR(INDEX(MASTER_SOURCE!$B$2:$B$495,MATCH($I3584,MASTER_SOURCE!$A$2:$A$495,0)),"(REF không có trong MASTER_SOURCE)")))</f>
        <v/>
      </c>
      <c r="K3584" s="22">
        <f t="array" ref="K3584">IF($D3584="","",IFERROR(INDEX(MASTER_SOURCE!$C$2:$C$495,MATCH($I3584,MASTER_SOURCE!$A$2:$A$495,0)),""))</f>
        <v/>
      </c>
      <c r="L3584" s="22">
        <f t="array" ref="L3584">IF($D3584="","",IFERROR(INDEX(MASTER_SOURCE!$D$2:$D$495,MATCH($I3584,MASTER_SOURCE!$A$2:$A$495,0)),""))</f>
        <v/>
      </c>
      <c r="M3584" s="24" t="n"/>
      <c r="N3584" s="24" t="n"/>
      <c r="O3584" s="24" t="n"/>
      <c r="P3584" s="24" t="n"/>
      <c r="Q3584" s="22">
        <f>IF($D3584="","",IF(AND(OR(DANH_MUC!$L$5&lt;&gt;"Có",M3584="Có"),OR(DANH_MUC!$L$6&lt;&gt;"Có",N3584="Có"),OR(DANH_MUC!$L$7&lt;&gt;"Có",O3584="Có"),OR(DANH_MUC!$L$8&lt;&gt;"Có",P3584="Có")),"Có","Không"))</f>
        <v/>
      </c>
      <c r="R3584" s="22">
        <f>IF($D3584="","",IF(COUNTIF($D$2:$D3584,$D3584)&gt;1,"Trùng",""))</f>
        <v/>
      </c>
      <c r="S3584" s="22">
        <f>IF($D3584="","",IF(AND(LEN($D3584)=10,LEFT($D3584,1)="0",ISNUMBER(--$D3584)),"Có","Không"))</f>
        <v/>
      </c>
      <c r="T3584" s="22">
        <f>IF($D3584="","",IF(AND($C3584&lt;&gt;"",$Q3584="Có",$R3584="",$S3584="Có",AND($L3584&lt;&gt;"",OR($L3584&lt;&gt;"Chưa xác định",DANH_MUC!$L$9="Có"))),"Có","Không"))</f>
        <v/>
      </c>
      <c r="U3584" s="22">
        <f>IF(OR($D3584="",$T3584="Có"),"",IF($C3584="","Thiếu họ tên; ","")&amp;IF($S3584&lt;&gt;"Có","SĐT sai định dạng; ","")&amp;IF($R3584="Trùng","Trùng SĐT; ","")&amp;IF($Q3584&lt;&gt;"Có","Thiếu đồng ý bắt buộc; ","")&amp;IF($L3584="","Thiếu/sai Mã REF; ",IF(AND($L3584="Chưa xác định",DANH_MUC!$L$9&lt;&gt;"Có"),"Nguồn chưa xác định; ","")))</f>
        <v/>
      </c>
      <c r="V3584" s="22">
        <f>IF(OR($D3584="",$R3584="Trùng"),"",IF(COUNTIF(ORDERS!$C$2:$C$4995,$D3584)&gt;0,"Có","Không"))</f>
        <v/>
      </c>
      <c r="W3584" s="22">
        <f>IF(OR($D3584="",$R3584="Trùng"),"",COUNTIFS(ORDERS!$C$2:$C$4995,$D3584,ORDERS!$L$2:$L$4995,"Đã chuyển khoản"))</f>
        <v/>
      </c>
      <c r="X3584" s="23">
        <f>IF(OR($D3584="",$R3584="Trùng"),"",SUMIFS(ORDERS!$J$2:$J$4995,ORDERS!$C$2:$C$4995,$D3584,ORDERS!$L$2:$L$4995,"Đã chuyển khoản"))</f>
        <v/>
      </c>
      <c r="Y3584" s="24" t="n"/>
    </row>
    <row r="3585" ht="14.25" customHeight="1" s="40">
      <c r="A3585" s="24" t="n"/>
      <c r="B3585" s="27" t="n"/>
      <c r="C3585" s="24" t="n"/>
      <c r="D3585" s="28" t="n"/>
      <c r="E3585" s="29" t="n"/>
      <c r="F3585" s="24" t="n"/>
      <c r="G3585" s="24" t="n"/>
      <c r="H3585" s="21">
        <f>IF(ISNUMBER($B3585),INT($B3585)-WEEKDAY($B3585,2)+1,"")</f>
        <v/>
      </c>
      <c r="I3585" s="24" t="n"/>
      <c r="J3585" s="22">
        <f t="array" ref="J3585">IF($D3585="","",IF($I3585="","(trống REF)",IFERROR(INDEX(MASTER_SOURCE!$B$2:$B$495,MATCH($I3585,MASTER_SOURCE!$A$2:$A$495,0)),"(REF không có trong MASTER_SOURCE)")))</f>
        <v/>
      </c>
      <c r="K3585" s="22">
        <f t="array" ref="K3585">IF($D3585="","",IFERROR(INDEX(MASTER_SOURCE!$C$2:$C$495,MATCH($I3585,MASTER_SOURCE!$A$2:$A$495,0)),""))</f>
        <v/>
      </c>
      <c r="L3585" s="22">
        <f t="array" ref="L3585">IF($D3585="","",IFERROR(INDEX(MASTER_SOURCE!$D$2:$D$495,MATCH($I3585,MASTER_SOURCE!$A$2:$A$495,0)),""))</f>
        <v/>
      </c>
      <c r="M3585" s="24" t="n"/>
      <c r="N3585" s="24" t="n"/>
      <c r="O3585" s="24" t="n"/>
      <c r="P3585" s="24" t="n"/>
      <c r="Q3585" s="22">
        <f>IF($D3585="","",IF(AND(OR(DANH_MUC!$L$5&lt;&gt;"Có",M3585="Có"),OR(DANH_MUC!$L$6&lt;&gt;"Có",N3585="Có"),OR(DANH_MUC!$L$7&lt;&gt;"Có",O3585="Có"),OR(DANH_MUC!$L$8&lt;&gt;"Có",P3585="Có")),"Có","Không"))</f>
        <v/>
      </c>
      <c r="R3585" s="22">
        <f>IF($D3585="","",IF(COUNTIF($D$2:$D3585,$D3585)&gt;1,"Trùng",""))</f>
        <v/>
      </c>
      <c r="S3585" s="22">
        <f>IF($D3585="","",IF(AND(LEN($D3585)=10,LEFT($D3585,1)="0",ISNUMBER(--$D3585)),"Có","Không"))</f>
        <v/>
      </c>
      <c r="T3585" s="22">
        <f>IF($D3585="","",IF(AND($C3585&lt;&gt;"",$Q3585="Có",$R3585="",$S3585="Có",AND($L3585&lt;&gt;"",OR($L3585&lt;&gt;"Chưa xác định",DANH_MUC!$L$9="Có"))),"Có","Không"))</f>
        <v/>
      </c>
      <c r="U3585" s="22">
        <f>IF(OR($D3585="",$T3585="Có"),"",IF($C3585="","Thiếu họ tên; ","")&amp;IF($S3585&lt;&gt;"Có","SĐT sai định dạng; ","")&amp;IF($R3585="Trùng","Trùng SĐT; ","")&amp;IF($Q3585&lt;&gt;"Có","Thiếu đồng ý bắt buộc; ","")&amp;IF($L3585="","Thiếu/sai Mã REF; ",IF(AND($L3585="Chưa xác định",DANH_MUC!$L$9&lt;&gt;"Có"),"Nguồn chưa xác định; ","")))</f>
        <v/>
      </c>
      <c r="V3585" s="22">
        <f>IF(OR($D3585="",$R3585="Trùng"),"",IF(COUNTIF(ORDERS!$C$2:$C$4995,$D3585)&gt;0,"Có","Không"))</f>
        <v/>
      </c>
      <c r="W3585" s="22">
        <f>IF(OR($D3585="",$R3585="Trùng"),"",COUNTIFS(ORDERS!$C$2:$C$4995,$D3585,ORDERS!$L$2:$L$4995,"Đã chuyển khoản"))</f>
        <v/>
      </c>
      <c r="X3585" s="23">
        <f>IF(OR($D3585="",$R3585="Trùng"),"",SUMIFS(ORDERS!$J$2:$J$4995,ORDERS!$C$2:$C$4995,$D3585,ORDERS!$L$2:$L$4995,"Đã chuyển khoản"))</f>
        <v/>
      </c>
      <c r="Y3585" s="24" t="n"/>
    </row>
    <row r="3586" ht="14.25" customHeight="1" s="40">
      <c r="A3586" s="24" t="n"/>
      <c r="B3586" s="27" t="n"/>
      <c r="C3586" s="24" t="n"/>
      <c r="D3586" s="28" t="n"/>
      <c r="E3586" s="29" t="n"/>
      <c r="F3586" s="24" t="n"/>
      <c r="G3586" s="24" t="n"/>
      <c r="H3586" s="21">
        <f>IF(ISNUMBER($B3586),INT($B3586)-WEEKDAY($B3586,2)+1,"")</f>
        <v/>
      </c>
      <c r="I3586" s="24" t="n"/>
      <c r="J3586" s="22">
        <f t="array" ref="J3586">IF($D3586="","",IF($I3586="","(trống REF)",IFERROR(INDEX(MASTER_SOURCE!$B$2:$B$495,MATCH($I3586,MASTER_SOURCE!$A$2:$A$495,0)),"(REF không có trong MASTER_SOURCE)")))</f>
        <v/>
      </c>
      <c r="K3586" s="22">
        <f t="array" ref="K3586">IF($D3586="","",IFERROR(INDEX(MASTER_SOURCE!$C$2:$C$495,MATCH($I3586,MASTER_SOURCE!$A$2:$A$495,0)),""))</f>
        <v/>
      </c>
      <c r="L3586" s="22">
        <f t="array" ref="L3586">IF($D3586="","",IFERROR(INDEX(MASTER_SOURCE!$D$2:$D$495,MATCH($I3586,MASTER_SOURCE!$A$2:$A$495,0)),""))</f>
        <v/>
      </c>
      <c r="M3586" s="24" t="n"/>
      <c r="N3586" s="24" t="n"/>
      <c r="O3586" s="24" t="n"/>
      <c r="P3586" s="24" t="n"/>
      <c r="Q3586" s="22">
        <f>IF($D3586="","",IF(AND(OR(DANH_MUC!$L$5&lt;&gt;"Có",M3586="Có"),OR(DANH_MUC!$L$6&lt;&gt;"Có",N3586="Có"),OR(DANH_MUC!$L$7&lt;&gt;"Có",O3586="Có"),OR(DANH_MUC!$L$8&lt;&gt;"Có",P3586="Có")),"Có","Không"))</f>
        <v/>
      </c>
      <c r="R3586" s="22">
        <f>IF($D3586="","",IF(COUNTIF($D$2:$D3586,$D3586)&gt;1,"Trùng",""))</f>
        <v/>
      </c>
      <c r="S3586" s="22">
        <f>IF($D3586="","",IF(AND(LEN($D3586)=10,LEFT($D3586,1)="0",ISNUMBER(--$D3586)),"Có","Không"))</f>
        <v/>
      </c>
      <c r="T3586" s="22">
        <f>IF($D3586="","",IF(AND($C3586&lt;&gt;"",$Q3586="Có",$R3586="",$S3586="Có",AND($L3586&lt;&gt;"",OR($L3586&lt;&gt;"Chưa xác định",DANH_MUC!$L$9="Có"))),"Có","Không"))</f>
        <v/>
      </c>
      <c r="U3586" s="22">
        <f>IF(OR($D3586="",$T3586="Có"),"",IF($C3586="","Thiếu họ tên; ","")&amp;IF($S3586&lt;&gt;"Có","SĐT sai định dạng; ","")&amp;IF($R3586="Trùng","Trùng SĐT; ","")&amp;IF($Q3586&lt;&gt;"Có","Thiếu đồng ý bắt buộc; ","")&amp;IF($L3586="","Thiếu/sai Mã REF; ",IF(AND($L3586="Chưa xác định",DANH_MUC!$L$9&lt;&gt;"Có"),"Nguồn chưa xác định; ","")))</f>
        <v/>
      </c>
      <c r="V3586" s="22">
        <f>IF(OR($D3586="",$R3586="Trùng"),"",IF(COUNTIF(ORDERS!$C$2:$C$4995,$D3586)&gt;0,"Có","Không"))</f>
        <v/>
      </c>
      <c r="W3586" s="22">
        <f>IF(OR($D3586="",$R3586="Trùng"),"",COUNTIFS(ORDERS!$C$2:$C$4995,$D3586,ORDERS!$L$2:$L$4995,"Đã chuyển khoản"))</f>
        <v/>
      </c>
      <c r="X3586" s="23">
        <f>IF(OR($D3586="",$R3586="Trùng"),"",SUMIFS(ORDERS!$J$2:$J$4995,ORDERS!$C$2:$C$4995,$D3586,ORDERS!$L$2:$L$4995,"Đã chuyển khoản"))</f>
        <v/>
      </c>
      <c r="Y3586" s="24" t="n"/>
    </row>
    <row r="3587" ht="14.25" customHeight="1" s="40">
      <c r="A3587" s="24" t="n"/>
      <c r="B3587" s="27" t="n"/>
      <c r="C3587" s="24" t="n"/>
      <c r="D3587" s="28" t="n"/>
      <c r="E3587" s="29" t="n"/>
      <c r="F3587" s="24" t="n"/>
      <c r="G3587" s="24" t="n"/>
      <c r="H3587" s="21">
        <f>IF(ISNUMBER($B3587),INT($B3587)-WEEKDAY($B3587,2)+1,"")</f>
        <v/>
      </c>
      <c r="I3587" s="24" t="n"/>
      <c r="J3587" s="22">
        <f t="array" ref="J3587">IF($D3587="","",IF($I3587="","(trống REF)",IFERROR(INDEX(MASTER_SOURCE!$B$2:$B$495,MATCH($I3587,MASTER_SOURCE!$A$2:$A$495,0)),"(REF không có trong MASTER_SOURCE)")))</f>
        <v/>
      </c>
      <c r="K3587" s="22">
        <f t="array" ref="K3587">IF($D3587="","",IFERROR(INDEX(MASTER_SOURCE!$C$2:$C$495,MATCH($I3587,MASTER_SOURCE!$A$2:$A$495,0)),""))</f>
        <v/>
      </c>
      <c r="L3587" s="22">
        <f t="array" ref="L3587">IF($D3587="","",IFERROR(INDEX(MASTER_SOURCE!$D$2:$D$495,MATCH($I3587,MASTER_SOURCE!$A$2:$A$495,0)),""))</f>
        <v/>
      </c>
      <c r="M3587" s="24" t="n"/>
      <c r="N3587" s="24" t="n"/>
      <c r="O3587" s="24" t="n"/>
      <c r="P3587" s="24" t="n"/>
      <c r="Q3587" s="22">
        <f>IF($D3587="","",IF(AND(OR(DANH_MUC!$L$5&lt;&gt;"Có",M3587="Có"),OR(DANH_MUC!$L$6&lt;&gt;"Có",N3587="Có"),OR(DANH_MUC!$L$7&lt;&gt;"Có",O3587="Có"),OR(DANH_MUC!$L$8&lt;&gt;"Có",P3587="Có")),"Có","Không"))</f>
        <v/>
      </c>
      <c r="R3587" s="22">
        <f>IF($D3587="","",IF(COUNTIF($D$2:$D3587,$D3587)&gt;1,"Trùng",""))</f>
        <v/>
      </c>
      <c r="S3587" s="22">
        <f>IF($D3587="","",IF(AND(LEN($D3587)=10,LEFT($D3587,1)="0",ISNUMBER(--$D3587)),"Có","Không"))</f>
        <v/>
      </c>
      <c r="T3587" s="22">
        <f>IF($D3587="","",IF(AND($C3587&lt;&gt;"",$Q3587="Có",$R3587="",$S3587="Có",AND($L3587&lt;&gt;"",OR($L3587&lt;&gt;"Chưa xác định",DANH_MUC!$L$9="Có"))),"Có","Không"))</f>
        <v/>
      </c>
      <c r="U3587" s="22">
        <f>IF(OR($D3587="",$T3587="Có"),"",IF($C3587="","Thiếu họ tên; ","")&amp;IF($S3587&lt;&gt;"Có","SĐT sai định dạng; ","")&amp;IF($R3587="Trùng","Trùng SĐT; ","")&amp;IF($Q3587&lt;&gt;"Có","Thiếu đồng ý bắt buộc; ","")&amp;IF($L3587="","Thiếu/sai Mã REF; ",IF(AND($L3587="Chưa xác định",DANH_MUC!$L$9&lt;&gt;"Có"),"Nguồn chưa xác định; ","")))</f>
        <v/>
      </c>
      <c r="V3587" s="22">
        <f>IF(OR($D3587="",$R3587="Trùng"),"",IF(COUNTIF(ORDERS!$C$2:$C$4995,$D3587)&gt;0,"Có","Không"))</f>
        <v/>
      </c>
      <c r="W3587" s="22">
        <f>IF(OR($D3587="",$R3587="Trùng"),"",COUNTIFS(ORDERS!$C$2:$C$4995,$D3587,ORDERS!$L$2:$L$4995,"Đã chuyển khoản"))</f>
        <v/>
      </c>
      <c r="X3587" s="23">
        <f>IF(OR($D3587="",$R3587="Trùng"),"",SUMIFS(ORDERS!$J$2:$J$4995,ORDERS!$C$2:$C$4995,$D3587,ORDERS!$L$2:$L$4995,"Đã chuyển khoản"))</f>
        <v/>
      </c>
      <c r="Y3587" s="24" t="n"/>
    </row>
    <row r="3588" ht="14.25" customHeight="1" s="40">
      <c r="A3588" s="24" t="n"/>
      <c r="B3588" s="27" t="n"/>
      <c r="C3588" s="24" t="n"/>
      <c r="D3588" s="28" t="n"/>
      <c r="E3588" s="29" t="n"/>
      <c r="F3588" s="24" t="n"/>
      <c r="G3588" s="24" t="n"/>
      <c r="H3588" s="21">
        <f>IF(ISNUMBER($B3588),INT($B3588)-WEEKDAY($B3588,2)+1,"")</f>
        <v/>
      </c>
      <c r="I3588" s="24" t="n"/>
      <c r="J3588" s="22">
        <f t="array" ref="J3588">IF($D3588="","",IF($I3588="","(trống REF)",IFERROR(INDEX(MASTER_SOURCE!$B$2:$B$495,MATCH($I3588,MASTER_SOURCE!$A$2:$A$495,0)),"(REF không có trong MASTER_SOURCE)")))</f>
        <v/>
      </c>
      <c r="K3588" s="22">
        <f t="array" ref="K3588">IF($D3588="","",IFERROR(INDEX(MASTER_SOURCE!$C$2:$C$495,MATCH($I3588,MASTER_SOURCE!$A$2:$A$495,0)),""))</f>
        <v/>
      </c>
      <c r="L3588" s="22">
        <f t="array" ref="L3588">IF($D3588="","",IFERROR(INDEX(MASTER_SOURCE!$D$2:$D$495,MATCH($I3588,MASTER_SOURCE!$A$2:$A$495,0)),""))</f>
        <v/>
      </c>
      <c r="M3588" s="24" t="n"/>
      <c r="N3588" s="24" t="n"/>
      <c r="O3588" s="24" t="n"/>
      <c r="P3588" s="24" t="n"/>
      <c r="Q3588" s="22">
        <f>IF($D3588="","",IF(AND(OR(DANH_MUC!$L$5&lt;&gt;"Có",M3588="Có"),OR(DANH_MUC!$L$6&lt;&gt;"Có",N3588="Có"),OR(DANH_MUC!$L$7&lt;&gt;"Có",O3588="Có"),OR(DANH_MUC!$L$8&lt;&gt;"Có",P3588="Có")),"Có","Không"))</f>
        <v/>
      </c>
      <c r="R3588" s="22">
        <f>IF($D3588="","",IF(COUNTIF($D$2:$D3588,$D3588)&gt;1,"Trùng",""))</f>
        <v/>
      </c>
      <c r="S3588" s="22">
        <f>IF($D3588="","",IF(AND(LEN($D3588)=10,LEFT($D3588,1)="0",ISNUMBER(--$D3588)),"Có","Không"))</f>
        <v/>
      </c>
      <c r="T3588" s="22">
        <f>IF($D3588="","",IF(AND($C3588&lt;&gt;"",$Q3588="Có",$R3588="",$S3588="Có",AND($L3588&lt;&gt;"",OR($L3588&lt;&gt;"Chưa xác định",DANH_MUC!$L$9="Có"))),"Có","Không"))</f>
        <v/>
      </c>
      <c r="U3588" s="22">
        <f>IF(OR($D3588="",$T3588="Có"),"",IF($C3588="","Thiếu họ tên; ","")&amp;IF($S3588&lt;&gt;"Có","SĐT sai định dạng; ","")&amp;IF($R3588="Trùng","Trùng SĐT; ","")&amp;IF($Q3588&lt;&gt;"Có","Thiếu đồng ý bắt buộc; ","")&amp;IF($L3588="","Thiếu/sai Mã REF; ",IF(AND($L3588="Chưa xác định",DANH_MUC!$L$9&lt;&gt;"Có"),"Nguồn chưa xác định; ","")))</f>
        <v/>
      </c>
      <c r="V3588" s="22">
        <f>IF(OR($D3588="",$R3588="Trùng"),"",IF(COUNTIF(ORDERS!$C$2:$C$4995,$D3588)&gt;0,"Có","Không"))</f>
        <v/>
      </c>
      <c r="W3588" s="22">
        <f>IF(OR($D3588="",$R3588="Trùng"),"",COUNTIFS(ORDERS!$C$2:$C$4995,$D3588,ORDERS!$L$2:$L$4995,"Đã chuyển khoản"))</f>
        <v/>
      </c>
      <c r="X3588" s="23">
        <f>IF(OR($D3588="",$R3588="Trùng"),"",SUMIFS(ORDERS!$J$2:$J$4995,ORDERS!$C$2:$C$4995,$D3588,ORDERS!$L$2:$L$4995,"Đã chuyển khoản"))</f>
        <v/>
      </c>
      <c r="Y3588" s="24" t="n"/>
    </row>
    <row r="3589" ht="14.25" customHeight="1" s="40">
      <c r="A3589" s="24" t="n"/>
      <c r="B3589" s="27" t="n"/>
      <c r="C3589" s="24" t="n"/>
      <c r="D3589" s="28" t="n"/>
      <c r="E3589" s="29" t="n"/>
      <c r="F3589" s="24" t="n"/>
      <c r="G3589" s="24" t="n"/>
      <c r="H3589" s="21">
        <f>IF(ISNUMBER($B3589),INT($B3589)-WEEKDAY($B3589,2)+1,"")</f>
        <v/>
      </c>
      <c r="I3589" s="24" t="n"/>
      <c r="J3589" s="22">
        <f t="array" ref="J3589">IF($D3589="","",IF($I3589="","(trống REF)",IFERROR(INDEX(MASTER_SOURCE!$B$2:$B$495,MATCH($I3589,MASTER_SOURCE!$A$2:$A$495,0)),"(REF không có trong MASTER_SOURCE)")))</f>
        <v/>
      </c>
      <c r="K3589" s="22">
        <f t="array" ref="K3589">IF($D3589="","",IFERROR(INDEX(MASTER_SOURCE!$C$2:$C$495,MATCH($I3589,MASTER_SOURCE!$A$2:$A$495,0)),""))</f>
        <v/>
      </c>
      <c r="L3589" s="22">
        <f t="array" ref="L3589">IF($D3589="","",IFERROR(INDEX(MASTER_SOURCE!$D$2:$D$495,MATCH($I3589,MASTER_SOURCE!$A$2:$A$495,0)),""))</f>
        <v/>
      </c>
      <c r="M3589" s="24" t="n"/>
      <c r="N3589" s="24" t="n"/>
      <c r="O3589" s="24" t="n"/>
      <c r="P3589" s="24" t="n"/>
      <c r="Q3589" s="22">
        <f>IF($D3589="","",IF(AND(OR(DANH_MUC!$L$5&lt;&gt;"Có",M3589="Có"),OR(DANH_MUC!$L$6&lt;&gt;"Có",N3589="Có"),OR(DANH_MUC!$L$7&lt;&gt;"Có",O3589="Có"),OR(DANH_MUC!$L$8&lt;&gt;"Có",P3589="Có")),"Có","Không"))</f>
        <v/>
      </c>
      <c r="R3589" s="22">
        <f>IF($D3589="","",IF(COUNTIF($D$2:$D3589,$D3589)&gt;1,"Trùng",""))</f>
        <v/>
      </c>
      <c r="S3589" s="22">
        <f>IF($D3589="","",IF(AND(LEN($D3589)=10,LEFT($D3589,1)="0",ISNUMBER(--$D3589)),"Có","Không"))</f>
        <v/>
      </c>
      <c r="T3589" s="22">
        <f>IF($D3589="","",IF(AND($C3589&lt;&gt;"",$Q3589="Có",$R3589="",$S3589="Có",AND($L3589&lt;&gt;"",OR($L3589&lt;&gt;"Chưa xác định",DANH_MUC!$L$9="Có"))),"Có","Không"))</f>
        <v/>
      </c>
      <c r="U3589" s="22">
        <f>IF(OR($D3589="",$T3589="Có"),"",IF($C3589="","Thiếu họ tên; ","")&amp;IF($S3589&lt;&gt;"Có","SĐT sai định dạng; ","")&amp;IF($R3589="Trùng","Trùng SĐT; ","")&amp;IF($Q3589&lt;&gt;"Có","Thiếu đồng ý bắt buộc; ","")&amp;IF($L3589="","Thiếu/sai Mã REF; ",IF(AND($L3589="Chưa xác định",DANH_MUC!$L$9&lt;&gt;"Có"),"Nguồn chưa xác định; ","")))</f>
        <v/>
      </c>
      <c r="V3589" s="22">
        <f>IF(OR($D3589="",$R3589="Trùng"),"",IF(COUNTIF(ORDERS!$C$2:$C$4995,$D3589)&gt;0,"Có","Không"))</f>
        <v/>
      </c>
      <c r="W3589" s="22">
        <f>IF(OR($D3589="",$R3589="Trùng"),"",COUNTIFS(ORDERS!$C$2:$C$4995,$D3589,ORDERS!$L$2:$L$4995,"Đã chuyển khoản"))</f>
        <v/>
      </c>
      <c r="X3589" s="23">
        <f>IF(OR($D3589="",$R3589="Trùng"),"",SUMIFS(ORDERS!$J$2:$J$4995,ORDERS!$C$2:$C$4995,$D3589,ORDERS!$L$2:$L$4995,"Đã chuyển khoản"))</f>
        <v/>
      </c>
      <c r="Y3589" s="24" t="n"/>
    </row>
    <row r="3590" ht="14.25" customHeight="1" s="40">
      <c r="A3590" s="24" t="n"/>
      <c r="B3590" s="27" t="n"/>
      <c r="C3590" s="24" t="n"/>
      <c r="D3590" s="28" t="n"/>
      <c r="E3590" s="29" t="n"/>
      <c r="F3590" s="24" t="n"/>
      <c r="G3590" s="24" t="n"/>
      <c r="H3590" s="21">
        <f>IF(ISNUMBER($B3590),INT($B3590)-WEEKDAY($B3590,2)+1,"")</f>
        <v/>
      </c>
      <c r="I3590" s="24" t="n"/>
      <c r="J3590" s="22">
        <f t="array" ref="J3590">IF($D3590="","",IF($I3590="","(trống REF)",IFERROR(INDEX(MASTER_SOURCE!$B$2:$B$495,MATCH($I3590,MASTER_SOURCE!$A$2:$A$495,0)),"(REF không có trong MASTER_SOURCE)")))</f>
        <v/>
      </c>
      <c r="K3590" s="22">
        <f t="array" ref="K3590">IF($D3590="","",IFERROR(INDEX(MASTER_SOURCE!$C$2:$C$495,MATCH($I3590,MASTER_SOURCE!$A$2:$A$495,0)),""))</f>
        <v/>
      </c>
      <c r="L3590" s="22">
        <f t="array" ref="L3590">IF($D3590="","",IFERROR(INDEX(MASTER_SOURCE!$D$2:$D$495,MATCH($I3590,MASTER_SOURCE!$A$2:$A$495,0)),""))</f>
        <v/>
      </c>
      <c r="M3590" s="24" t="n"/>
      <c r="N3590" s="24" t="n"/>
      <c r="O3590" s="24" t="n"/>
      <c r="P3590" s="24" t="n"/>
      <c r="Q3590" s="22">
        <f>IF($D3590="","",IF(AND(OR(DANH_MUC!$L$5&lt;&gt;"Có",M3590="Có"),OR(DANH_MUC!$L$6&lt;&gt;"Có",N3590="Có"),OR(DANH_MUC!$L$7&lt;&gt;"Có",O3590="Có"),OR(DANH_MUC!$L$8&lt;&gt;"Có",P3590="Có")),"Có","Không"))</f>
        <v/>
      </c>
      <c r="R3590" s="22">
        <f>IF($D3590="","",IF(COUNTIF($D$2:$D3590,$D3590)&gt;1,"Trùng",""))</f>
        <v/>
      </c>
      <c r="S3590" s="22">
        <f>IF($D3590="","",IF(AND(LEN($D3590)=10,LEFT($D3590,1)="0",ISNUMBER(--$D3590)),"Có","Không"))</f>
        <v/>
      </c>
      <c r="T3590" s="22">
        <f>IF($D3590="","",IF(AND($C3590&lt;&gt;"",$Q3590="Có",$R3590="",$S3590="Có",AND($L3590&lt;&gt;"",OR($L3590&lt;&gt;"Chưa xác định",DANH_MUC!$L$9="Có"))),"Có","Không"))</f>
        <v/>
      </c>
      <c r="U3590" s="22">
        <f>IF(OR($D3590="",$T3590="Có"),"",IF($C3590="","Thiếu họ tên; ","")&amp;IF($S3590&lt;&gt;"Có","SĐT sai định dạng; ","")&amp;IF($R3590="Trùng","Trùng SĐT; ","")&amp;IF($Q3590&lt;&gt;"Có","Thiếu đồng ý bắt buộc; ","")&amp;IF($L3590="","Thiếu/sai Mã REF; ",IF(AND($L3590="Chưa xác định",DANH_MUC!$L$9&lt;&gt;"Có"),"Nguồn chưa xác định; ","")))</f>
        <v/>
      </c>
      <c r="V3590" s="22">
        <f>IF(OR($D3590="",$R3590="Trùng"),"",IF(COUNTIF(ORDERS!$C$2:$C$4995,$D3590)&gt;0,"Có","Không"))</f>
        <v/>
      </c>
      <c r="W3590" s="22">
        <f>IF(OR($D3590="",$R3590="Trùng"),"",COUNTIFS(ORDERS!$C$2:$C$4995,$D3590,ORDERS!$L$2:$L$4995,"Đã chuyển khoản"))</f>
        <v/>
      </c>
      <c r="X3590" s="23">
        <f>IF(OR($D3590="",$R3590="Trùng"),"",SUMIFS(ORDERS!$J$2:$J$4995,ORDERS!$C$2:$C$4995,$D3590,ORDERS!$L$2:$L$4995,"Đã chuyển khoản"))</f>
        <v/>
      </c>
      <c r="Y3590" s="24" t="n"/>
    </row>
    <row r="3591" ht="14.25" customHeight="1" s="40">
      <c r="A3591" s="24" t="n"/>
      <c r="B3591" s="27" t="n"/>
      <c r="C3591" s="24" t="n"/>
      <c r="D3591" s="28" t="n"/>
      <c r="E3591" s="29" t="n"/>
      <c r="F3591" s="24" t="n"/>
      <c r="G3591" s="24" t="n"/>
      <c r="H3591" s="21">
        <f>IF(ISNUMBER($B3591),INT($B3591)-WEEKDAY($B3591,2)+1,"")</f>
        <v/>
      </c>
      <c r="I3591" s="24" t="n"/>
      <c r="J3591" s="22">
        <f t="array" ref="J3591">IF($D3591="","",IF($I3591="","(trống REF)",IFERROR(INDEX(MASTER_SOURCE!$B$2:$B$495,MATCH($I3591,MASTER_SOURCE!$A$2:$A$495,0)),"(REF không có trong MASTER_SOURCE)")))</f>
        <v/>
      </c>
      <c r="K3591" s="22">
        <f t="array" ref="K3591">IF($D3591="","",IFERROR(INDEX(MASTER_SOURCE!$C$2:$C$495,MATCH($I3591,MASTER_SOURCE!$A$2:$A$495,0)),""))</f>
        <v/>
      </c>
      <c r="L3591" s="22">
        <f t="array" ref="L3591">IF($D3591="","",IFERROR(INDEX(MASTER_SOURCE!$D$2:$D$495,MATCH($I3591,MASTER_SOURCE!$A$2:$A$495,0)),""))</f>
        <v/>
      </c>
      <c r="M3591" s="24" t="n"/>
      <c r="N3591" s="24" t="n"/>
      <c r="O3591" s="24" t="n"/>
      <c r="P3591" s="24" t="n"/>
      <c r="Q3591" s="22">
        <f>IF($D3591="","",IF(AND(OR(DANH_MUC!$L$5&lt;&gt;"Có",M3591="Có"),OR(DANH_MUC!$L$6&lt;&gt;"Có",N3591="Có"),OR(DANH_MUC!$L$7&lt;&gt;"Có",O3591="Có"),OR(DANH_MUC!$L$8&lt;&gt;"Có",P3591="Có")),"Có","Không"))</f>
        <v/>
      </c>
      <c r="R3591" s="22">
        <f>IF($D3591="","",IF(COUNTIF($D$2:$D3591,$D3591)&gt;1,"Trùng",""))</f>
        <v/>
      </c>
      <c r="S3591" s="22">
        <f>IF($D3591="","",IF(AND(LEN($D3591)=10,LEFT($D3591,1)="0",ISNUMBER(--$D3591)),"Có","Không"))</f>
        <v/>
      </c>
      <c r="T3591" s="22">
        <f>IF($D3591="","",IF(AND($C3591&lt;&gt;"",$Q3591="Có",$R3591="",$S3591="Có",AND($L3591&lt;&gt;"",OR($L3591&lt;&gt;"Chưa xác định",DANH_MUC!$L$9="Có"))),"Có","Không"))</f>
        <v/>
      </c>
      <c r="U3591" s="22">
        <f>IF(OR($D3591="",$T3591="Có"),"",IF($C3591="","Thiếu họ tên; ","")&amp;IF($S3591&lt;&gt;"Có","SĐT sai định dạng; ","")&amp;IF($R3591="Trùng","Trùng SĐT; ","")&amp;IF($Q3591&lt;&gt;"Có","Thiếu đồng ý bắt buộc; ","")&amp;IF($L3591="","Thiếu/sai Mã REF; ",IF(AND($L3591="Chưa xác định",DANH_MUC!$L$9&lt;&gt;"Có"),"Nguồn chưa xác định; ","")))</f>
        <v/>
      </c>
      <c r="V3591" s="22">
        <f>IF(OR($D3591="",$R3591="Trùng"),"",IF(COUNTIF(ORDERS!$C$2:$C$4995,$D3591)&gt;0,"Có","Không"))</f>
        <v/>
      </c>
      <c r="W3591" s="22">
        <f>IF(OR($D3591="",$R3591="Trùng"),"",COUNTIFS(ORDERS!$C$2:$C$4995,$D3591,ORDERS!$L$2:$L$4995,"Đã chuyển khoản"))</f>
        <v/>
      </c>
      <c r="X3591" s="23">
        <f>IF(OR($D3591="",$R3591="Trùng"),"",SUMIFS(ORDERS!$J$2:$J$4995,ORDERS!$C$2:$C$4995,$D3591,ORDERS!$L$2:$L$4995,"Đã chuyển khoản"))</f>
        <v/>
      </c>
      <c r="Y3591" s="24" t="n"/>
    </row>
    <row r="3592" ht="14.25" customHeight="1" s="40">
      <c r="A3592" s="24" t="n"/>
      <c r="B3592" s="27" t="n"/>
      <c r="C3592" s="24" t="n"/>
      <c r="D3592" s="28" t="n"/>
      <c r="E3592" s="29" t="n"/>
      <c r="F3592" s="24" t="n"/>
      <c r="G3592" s="24" t="n"/>
      <c r="H3592" s="21">
        <f>IF(ISNUMBER($B3592),INT($B3592)-WEEKDAY($B3592,2)+1,"")</f>
        <v/>
      </c>
      <c r="I3592" s="24" t="n"/>
      <c r="J3592" s="22">
        <f t="array" ref="J3592">IF($D3592="","",IF($I3592="","(trống REF)",IFERROR(INDEX(MASTER_SOURCE!$B$2:$B$495,MATCH($I3592,MASTER_SOURCE!$A$2:$A$495,0)),"(REF không có trong MASTER_SOURCE)")))</f>
        <v/>
      </c>
      <c r="K3592" s="22">
        <f t="array" ref="K3592">IF($D3592="","",IFERROR(INDEX(MASTER_SOURCE!$C$2:$C$495,MATCH($I3592,MASTER_SOURCE!$A$2:$A$495,0)),""))</f>
        <v/>
      </c>
      <c r="L3592" s="22">
        <f t="array" ref="L3592">IF($D3592="","",IFERROR(INDEX(MASTER_SOURCE!$D$2:$D$495,MATCH($I3592,MASTER_SOURCE!$A$2:$A$495,0)),""))</f>
        <v/>
      </c>
      <c r="M3592" s="24" t="n"/>
      <c r="N3592" s="24" t="n"/>
      <c r="O3592" s="24" t="n"/>
      <c r="P3592" s="24" t="n"/>
      <c r="Q3592" s="22">
        <f>IF($D3592="","",IF(AND(OR(DANH_MUC!$L$5&lt;&gt;"Có",M3592="Có"),OR(DANH_MUC!$L$6&lt;&gt;"Có",N3592="Có"),OR(DANH_MUC!$L$7&lt;&gt;"Có",O3592="Có"),OR(DANH_MUC!$L$8&lt;&gt;"Có",P3592="Có")),"Có","Không"))</f>
        <v/>
      </c>
      <c r="R3592" s="22">
        <f>IF($D3592="","",IF(COUNTIF($D$2:$D3592,$D3592)&gt;1,"Trùng",""))</f>
        <v/>
      </c>
      <c r="S3592" s="22">
        <f>IF($D3592="","",IF(AND(LEN($D3592)=10,LEFT($D3592,1)="0",ISNUMBER(--$D3592)),"Có","Không"))</f>
        <v/>
      </c>
      <c r="T3592" s="22">
        <f>IF($D3592="","",IF(AND($C3592&lt;&gt;"",$Q3592="Có",$R3592="",$S3592="Có",AND($L3592&lt;&gt;"",OR($L3592&lt;&gt;"Chưa xác định",DANH_MUC!$L$9="Có"))),"Có","Không"))</f>
        <v/>
      </c>
      <c r="U3592" s="22">
        <f>IF(OR($D3592="",$T3592="Có"),"",IF($C3592="","Thiếu họ tên; ","")&amp;IF($S3592&lt;&gt;"Có","SĐT sai định dạng; ","")&amp;IF($R3592="Trùng","Trùng SĐT; ","")&amp;IF($Q3592&lt;&gt;"Có","Thiếu đồng ý bắt buộc; ","")&amp;IF($L3592="","Thiếu/sai Mã REF; ",IF(AND($L3592="Chưa xác định",DANH_MUC!$L$9&lt;&gt;"Có"),"Nguồn chưa xác định; ","")))</f>
        <v/>
      </c>
      <c r="V3592" s="22">
        <f>IF(OR($D3592="",$R3592="Trùng"),"",IF(COUNTIF(ORDERS!$C$2:$C$4995,$D3592)&gt;0,"Có","Không"))</f>
        <v/>
      </c>
      <c r="W3592" s="22">
        <f>IF(OR($D3592="",$R3592="Trùng"),"",COUNTIFS(ORDERS!$C$2:$C$4995,$D3592,ORDERS!$L$2:$L$4995,"Đã chuyển khoản"))</f>
        <v/>
      </c>
      <c r="X3592" s="23">
        <f>IF(OR($D3592="",$R3592="Trùng"),"",SUMIFS(ORDERS!$J$2:$J$4995,ORDERS!$C$2:$C$4995,$D3592,ORDERS!$L$2:$L$4995,"Đã chuyển khoản"))</f>
        <v/>
      </c>
      <c r="Y3592" s="24" t="n"/>
    </row>
    <row r="3593" ht="14.25" customHeight="1" s="40">
      <c r="A3593" s="24" t="n"/>
      <c r="B3593" s="27" t="n"/>
      <c r="C3593" s="24" t="n"/>
      <c r="D3593" s="28" t="n"/>
      <c r="E3593" s="29" t="n"/>
      <c r="F3593" s="24" t="n"/>
      <c r="G3593" s="24" t="n"/>
      <c r="H3593" s="21">
        <f>IF(ISNUMBER($B3593),INT($B3593)-WEEKDAY($B3593,2)+1,"")</f>
        <v/>
      </c>
      <c r="I3593" s="24" t="n"/>
      <c r="J3593" s="22">
        <f t="array" ref="J3593">IF($D3593="","",IF($I3593="","(trống REF)",IFERROR(INDEX(MASTER_SOURCE!$B$2:$B$495,MATCH($I3593,MASTER_SOURCE!$A$2:$A$495,0)),"(REF không có trong MASTER_SOURCE)")))</f>
        <v/>
      </c>
      <c r="K3593" s="22">
        <f t="array" ref="K3593">IF($D3593="","",IFERROR(INDEX(MASTER_SOURCE!$C$2:$C$495,MATCH($I3593,MASTER_SOURCE!$A$2:$A$495,0)),""))</f>
        <v/>
      </c>
      <c r="L3593" s="22">
        <f t="array" ref="L3593">IF($D3593="","",IFERROR(INDEX(MASTER_SOURCE!$D$2:$D$495,MATCH($I3593,MASTER_SOURCE!$A$2:$A$495,0)),""))</f>
        <v/>
      </c>
      <c r="M3593" s="24" t="n"/>
      <c r="N3593" s="24" t="n"/>
      <c r="O3593" s="24" t="n"/>
      <c r="P3593" s="24" t="n"/>
      <c r="Q3593" s="22">
        <f>IF($D3593="","",IF(AND(OR(DANH_MUC!$L$5&lt;&gt;"Có",M3593="Có"),OR(DANH_MUC!$L$6&lt;&gt;"Có",N3593="Có"),OR(DANH_MUC!$L$7&lt;&gt;"Có",O3593="Có"),OR(DANH_MUC!$L$8&lt;&gt;"Có",P3593="Có")),"Có","Không"))</f>
        <v/>
      </c>
      <c r="R3593" s="22">
        <f>IF($D3593="","",IF(COUNTIF($D$2:$D3593,$D3593)&gt;1,"Trùng",""))</f>
        <v/>
      </c>
      <c r="S3593" s="22">
        <f>IF($D3593="","",IF(AND(LEN($D3593)=10,LEFT($D3593,1)="0",ISNUMBER(--$D3593)),"Có","Không"))</f>
        <v/>
      </c>
      <c r="T3593" s="22">
        <f>IF($D3593="","",IF(AND($C3593&lt;&gt;"",$Q3593="Có",$R3593="",$S3593="Có",AND($L3593&lt;&gt;"",OR($L3593&lt;&gt;"Chưa xác định",DANH_MUC!$L$9="Có"))),"Có","Không"))</f>
        <v/>
      </c>
      <c r="U3593" s="22">
        <f>IF(OR($D3593="",$T3593="Có"),"",IF($C3593="","Thiếu họ tên; ","")&amp;IF($S3593&lt;&gt;"Có","SĐT sai định dạng; ","")&amp;IF($R3593="Trùng","Trùng SĐT; ","")&amp;IF($Q3593&lt;&gt;"Có","Thiếu đồng ý bắt buộc; ","")&amp;IF($L3593="","Thiếu/sai Mã REF; ",IF(AND($L3593="Chưa xác định",DANH_MUC!$L$9&lt;&gt;"Có"),"Nguồn chưa xác định; ","")))</f>
        <v/>
      </c>
      <c r="V3593" s="22">
        <f>IF(OR($D3593="",$R3593="Trùng"),"",IF(COUNTIF(ORDERS!$C$2:$C$4995,$D3593)&gt;0,"Có","Không"))</f>
        <v/>
      </c>
      <c r="W3593" s="22">
        <f>IF(OR($D3593="",$R3593="Trùng"),"",COUNTIFS(ORDERS!$C$2:$C$4995,$D3593,ORDERS!$L$2:$L$4995,"Đã chuyển khoản"))</f>
        <v/>
      </c>
      <c r="X3593" s="23">
        <f>IF(OR($D3593="",$R3593="Trùng"),"",SUMIFS(ORDERS!$J$2:$J$4995,ORDERS!$C$2:$C$4995,$D3593,ORDERS!$L$2:$L$4995,"Đã chuyển khoản"))</f>
        <v/>
      </c>
      <c r="Y3593" s="24" t="n"/>
    </row>
    <row r="3594" ht="14.25" customHeight="1" s="40">
      <c r="A3594" s="24" t="n"/>
      <c r="B3594" s="27" t="n"/>
      <c r="C3594" s="24" t="n"/>
      <c r="D3594" s="28" t="n"/>
      <c r="E3594" s="29" t="n"/>
      <c r="F3594" s="24" t="n"/>
      <c r="G3594" s="24" t="n"/>
      <c r="H3594" s="21">
        <f>IF(ISNUMBER($B3594),INT($B3594)-WEEKDAY($B3594,2)+1,"")</f>
        <v/>
      </c>
      <c r="I3594" s="24" t="n"/>
      <c r="J3594" s="22">
        <f t="array" ref="J3594">IF($D3594="","",IF($I3594="","(trống REF)",IFERROR(INDEX(MASTER_SOURCE!$B$2:$B$495,MATCH($I3594,MASTER_SOURCE!$A$2:$A$495,0)),"(REF không có trong MASTER_SOURCE)")))</f>
        <v/>
      </c>
      <c r="K3594" s="22">
        <f t="array" ref="K3594">IF($D3594="","",IFERROR(INDEX(MASTER_SOURCE!$C$2:$C$495,MATCH($I3594,MASTER_SOURCE!$A$2:$A$495,0)),""))</f>
        <v/>
      </c>
      <c r="L3594" s="22">
        <f t="array" ref="L3594">IF($D3594="","",IFERROR(INDEX(MASTER_SOURCE!$D$2:$D$495,MATCH($I3594,MASTER_SOURCE!$A$2:$A$495,0)),""))</f>
        <v/>
      </c>
      <c r="M3594" s="24" t="n"/>
      <c r="N3594" s="24" t="n"/>
      <c r="O3594" s="24" t="n"/>
      <c r="P3594" s="24" t="n"/>
      <c r="Q3594" s="22">
        <f>IF($D3594="","",IF(AND(OR(DANH_MUC!$L$5&lt;&gt;"Có",M3594="Có"),OR(DANH_MUC!$L$6&lt;&gt;"Có",N3594="Có"),OR(DANH_MUC!$L$7&lt;&gt;"Có",O3594="Có"),OR(DANH_MUC!$L$8&lt;&gt;"Có",P3594="Có")),"Có","Không"))</f>
        <v/>
      </c>
      <c r="R3594" s="22">
        <f>IF($D3594="","",IF(COUNTIF($D$2:$D3594,$D3594)&gt;1,"Trùng",""))</f>
        <v/>
      </c>
      <c r="S3594" s="22">
        <f>IF($D3594="","",IF(AND(LEN($D3594)=10,LEFT($D3594,1)="0",ISNUMBER(--$D3594)),"Có","Không"))</f>
        <v/>
      </c>
      <c r="T3594" s="22">
        <f>IF($D3594="","",IF(AND($C3594&lt;&gt;"",$Q3594="Có",$R3594="",$S3594="Có",AND($L3594&lt;&gt;"",OR($L3594&lt;&gt;"Chưa xác định",DANH_MUC!$L$9="Có"))),"Có","Không"))</f>
        <v/>
      </c>
      <c r="U3594" s="22">
        <f>IF(OR($D3594="",$T3594="Có"),"",IF($C3594="","Thiếu họ tên; ","")&amp;IF($S3594&lt;&gt;"Có","SĐT sai định dạng; ","")&amp;IF($R3594="Trùng","Trùng SĐT; ","")&amp;IF($Q3594&lt;&gt;"Có","Thiếu đồng ý bắt buộc; ","")&amp;IF($L3594="","Thiếu/sai Mã REF; ",IF(AND($L3594="Chưa xác định",DANH_MUC!$L$9&lt;&gt;"Có"),"Nguồn chưa xác định; ","")))</f>
        <v/>
      </c>
      <c r="V3594" s="22">
        <f>IF(OR($D3594="",$R3594="Trùng"),"",IF(COUNTIF(ORDERS!$C$2:$C$4995,$D3594)&gt;0,"Có","Không"))</f>
        <v/>
      </c>
      <c r="W3594" s="22">
        <f>IF(OR($D3594="",$R3594="Trùng"),"",COUNTIFS(ORDERS!$C$2:$C$4995,$D3594,ORDERS!$L$2:$L$4995,"Đã chuyển khoản"))</f>
        <v/>
      </c>
      <c r="X3594" s="23">
        <f>IF(OR($D3594="",$R3594="Trùng"),"",SUMIFS(ORDERS!$J$2:$J$4995,ORDERS!$C$2:$C$4995,$D3594,ORDERS!$L$2:$L$4995,"Đã chuyển khoản"))</f>
        <v/>
      </c>
      <c r="Y3594" s="24" t="n"/>
    </row>
    <row r="3595" ht="14.25" customHeight="1" s="40">
      <c r="A3595" s="24" t="n"/>
      <c r="B3595" s="27" t="n"/>
      <c r="C3595" s="24" t="n"/>
      <c r="D3595" s="28" t="n"/>
      <c r="E3595" s="29" t="n"/>
      <c r="F3595" s="24" t="n"/>
      <c r="G3595" s="24" t="n"/>
      <c r="H3595" s="21">
        <f>IF(ISNUMBER($B3595),INT($B3595)-WEEKDAY($B3595,2)+1,"")</f>
        <v/>
      </c>
      <c r="I3595" s="24" t="n"/>
      <c r="J3595" s="22">
        <f t="array" ref="J3595">IF($D3595="","",IF($I3595="","(trống REF)",IFERROR(INDEX(MASTER_SOURCE!$B$2:$B$495,MATCH($I3595,MASTER_SOURCE!$A$2:$A$495,0)),"(REF không có trong MASTER_SOURCE)")))</f>
        <v/>
      </c>
      <c r="K3595" s="22">
        <f t="array" ref="K3595">IF($D3595="","",IFERROR(INDEX(MASTER_SOURCE!$C$2:$C$495,MATCH($I3595,MASTER_SOURCE!$A$2:$A$495,0)),""))</f>
        <v/>
      </c>
      <c r="L3595" s="22">
        <f t="array" ref="L3595">IF($D3595="","",IFERROR(INDEX(MASTER_SOURCE!$D$2:$D$495,MATCH($I3595,MASTER_SOURCE!$A$2:$A$495,0)),""))</f>
        <v/>
      </c>
      <c r="M3595" s="24" t="n"/>
      <c r="N3595" s="24" t="n"/>
      <c r="O3595" s="24" t="n"/>
      <c r="P3595" s="24" t="n"/>
      <c r="Q3595" s="22">
        <f>IF($D3595="","",IF(AND(OR(DANH_MUC!$L$5&lt;&gt;"Có",M3595="Có"),OR(DANH_MUC!$L$6&lt;&gt;"Có",N3595="Có"),OR(DANH_MUC!$L$7&lt;&gt;"Có",O3595="Có"),OR(DANH_MUC!$L$8&lt;&gt;"Có",P3595="Có")),"Có","Không"))</f>
        <v/>
      </c>
      <c r="R3595" s="22">
        <f>IF($D3595="","",IF(COUNTIF($D$2:$D3595,$D3595)&gt;1,"Trùng",""))</f>
        <v/>
      </c>
      <c r="S3595" s="22">
        <f>IF($D3595="","",IF(AND(LEN($D3595)=10,LEFT($D3595,1)="0",ISNUMBER(--$D3595)),"Có","Không"))</f>
        <v/>
      </c>
      <c r="T3595" s="22">
        <f>IF($D3595="","",IF(AND($C3595&lt;&gt;"",$Q3595="Có",$R3595="",$S3595="Có",AND($L3595&lt;&gt;"",OR($L3595&lt;&gt;"Chưa xác định",DANH_MUC!$L$9="Có"))),"Có","Không"))</f>
        <v/>
      </c>
      <c r="U3595" s="22">
        <f>IF(OR($D3595="",$T3595="Có"),"",IF($C3595="","Thiếu họ tên; ","")&amp;IF($S3595&lt;&gt;"Có","SĐT sai định dạng; ","")&amp;IF($R3595="Trùng","Trùng SĐT; ","")&amp;IF($Q3595&lt;&gt;"Có","Thiếu đồng ý bắt buộc; ","")&amp;IF($L3595="","Thiếu/sai Mã REF; ",IF(AND($L3595="Chưa xác định",DANH_MUC!$L$9&lt;&gt;"Có"),"Nguồn chưa xác định; ","")))</f>
        <v/>
      </c>
      <c r="V3595" s="22">
        <f>IF(OR($D3595="",$R3595="Trùng"),"",IF(COUNTIF(ORDERS!$C$2:$C$4995,$D3595)&gt;0,"Có","Không"))</f>
        <v/>
      </c>
      <c r="W3595" s="22">
        <f>IF(OR($D3595="",$R3595="Trùng"),"",COUNTIFS(ORDERS!$C$2:$C$4995,$D3595,ORDERS!$L$2:$L$4995,"Đã chuyển khoản"))</f>
        <v/>
      </c>
      <c r="X3595" s="23">
        <f>IF(OR($D3595="",$R3595="Trùng"),"",SUMIFS(ORDERS!$J$2:$J$4995,ORDERS!$C$2:$C$4995,$D3595,ORDERS!$L$2:$L$4995,"Đã chuyển khoản"))</f>
        <v/>
      </c>
      <c r="Y3595" s="24" t="n"/>
    </row>
    <row r="3596" ht="14.25" customHeight="1" s="40">
      <c r="A3596" s="24" t="n"/>
      <c r="B3596" s="27" t="n"/>
      <c r="C3596" s="24" t="n"/>
      <c r="D3596" s="28" t="n"/>
      <c r="E3596" s="29" t="n"/>
      <c r="F3596" s="24" t="n"/>
      <c r="G3596" s="24" t="n"/>
      <c r="H3596" s="21">
        <f>IF(ISNUMBER($B3596),INT($B3596)-WEEKDAY($B3596,2)+1,"")</f>
        <v/>
      </c>
      <c r="I3596" s="24" t="n"/>
      <c r="J3596" s="22">
        <f t="array" ref="J3596">IF($D3596="","",IF($I3596="","(trống REF)",IFERROR(INDEX(MASTER_SOURCE!$B$2:$B$495,MATCH($I3596,MASTER_SOURCE!$A$2:$A$495,0)),"(REF không có trong MASTER_SOURCE)")))</f>
        <v/>
      </c>
      <c r="K3596" s="22">
        <f t="array" ref="K3596">IF($D3596="","",IFERROR(INDEX(MASTER_SOURCE!$C$2:$C$495,MATCH($I3596,MASTER_SOURCE!$A$2:$A$495,0)),""))</f>
        <v/>
      </c>
      <c r="L3596" s="22">
        <f t="array" ref="L3596">IF($D3596="","",IFERROR(INDEX(MASTER_SOURCE!$D$2:$D$495,MATCH($I3596,MASTER_SOURCE!$A$2:$A$495,0)),""))</f>
        <v/>
      </c>
      <c r="M3596" s="24" t="n"/>
      <c r="N3596" s="24" t="n"/>
      <c r="O3596" s="24" t="n"/>
      <c r="P3596" s="24" t="n"/>
      <c r="Q3596" s="22">
        <f>IF($D3596="","",IF(AND(OR(DANH_MUC!$L$5&lt;&gt;"Có",M3596="Có"),OR(DANH_MUC!$L$6&lt;&gt;"Có",N3596="Có"),OR(DANH_MUC!$L$7&lt;&gt;"Có",O3596="Có"),OR(DANH_MUC!$L$8&lt;&gt;"Có",P3596="Có")),"Có","Không"))</f>
        <v/>
      </c>
      <c r="R3596" s="22">
        <f>IF($D3596="","",IF(COUNTIF($D$2:$D3596,$D3596)&gt;1,"Trùng",""))</f>
        <v/>
      </c>
      <c r="S3596" s="22">
        <f>IF($D3596="","",IF(AND(LEN($D3596)=10,LEFT($D3596,1)="0",ISNUMBER(--$D3596)),"Có","Không"))</f>
        <v/>
      </c>
      <c r="T3596" s="22">
        <f>IF($D3596="","",IF(AND($C3596&lt;&gt;"",$Q3596="Có",$R3596="",$S3596="Có",AND($L3596&lt;&gt;"",OR($L3596&lt;&gt;"Chưa xác định",DANH_MUC!$L$9="Có"))),"Có","Không"))</f>
        <v/>
      </c>
      <c r="U3596" s="22">
        <f>IF(OR($D3596="",$T3596="Có"),"",IF($C3596="","Thiếu họ tên; ","")&amp;IF($S3596&lt;&gt;"Có","SĐT sai định dạng; ","")&amp;IF($R3596="Trùng","Trùng SĐT; ","")&amp;IF($Q3596&lt;&gt;"Có","Thiếu đồng ý bắt buộc; ","")&amp;IF($L3596="","Thiếu/sai Mã REF; ",IF(AND($L3596="Chưa xác định",DANH_MUC!$L$9&lt;&gt;"Có"),"Nguồn chưa xác định; ","")))</f>
        <v/>
      </c>
      <c r="V3596" s="22">
        <f>IF(OR($D3596="",$R3596="Trùng"),"",IF(COUNTIF(ORDERS!$C$2:$C$4995,$D3596)&gt;0,"Có","Không"))</f>
        <v/>
      </c>
      <c r="W3596" s="22">
        <f>IF(OR($D3596="",$R3596="Trùng"),"",COUNTIFS(ORDERS!$C$2:$C$4995,$D3596,ORDERS!$L$2:$L$4995,"Đã chuyển khoản"))</f>
        <v/>
      </c>
      <c r="X3596" s="23">
        <f>IF(OR($D3596="",$R3596="Trùng"),"",SUMIFS(ORDERS!$J$2:$J$4995,ORDERS!$C$2:$C$4995,$D3596,ORDERS!$L$2:$L$4995,"Đã chuyển khoản"))</f>
        <v/>
      </c>
      <c r="Y3596" s="24" t="n"/>
    </row>
    <row r="3597" ht="14.25" customHeight="1" s="40">
      <c r="A3597" s="24" t="n"/>
      <c r="B3597" s="27" t="n"/>
      <c r="C3597" s="24" t="n"/>
      <c r="D3597" s="28" t="n"/>
      <c r="E3597" s="29" t="n"/>
      <c r="F3597" s="24" t="n"/>
      <c r="G3597" s="24" t="n"/>
      <c r="H3597" s="21">
        <f>IF(ISNUMBER($B3597),INT($B3597)-WEEKDAY($B3597,2)+1,"")</f>
        <v/>
      </c>
      <c r="I3597" s="24" t="n"/>
      <c r="J3597" s="22">
        <f t="array" ref="J3597">IF($D3597="","",IF($I3597="","(trống REF)",IFERROR(INDEX(MASTER_SOURCE!$B$2:$B$495,MATCH($I3597,MASTER_SOURCE!$A$2:$A$495,0)),"(REF không có trong MASTER_SOURCE)")))</f>
        <v/>
      </c>
      <c r="K3597" s="22">
        <f t="array" ref="K3597">IF($D3597="","",IFERROR(INDEX(MASTER_SOURCE!$C$2:$C$495,MATCH($I3597,MASTER_SOURCE!$A$2:$A$495,0)),""))</f>
        <v/>
      </c>
      <c r="L3597" s="22">
        <f t="array" ref="L3597">IF($D3597="","",IFERROR(INDEX(MASTER_SOURCE!$D$2:$D$495,MATCH($I3597,MASTER_SOURCE!$A$2:$A$495,0)),""))</f>
        <v/>
      </c>
      <c r="M3597" s="24" t="n"/>
      <c r="N3597" s="24" t="n"/>
      <c r="O3597" s="24" t="n"/>
      <c r="P3597" s="24" t="n"/>
      <c r="Q3597" s="22">
        <f>IF($D3597="","",IF(AND(OR(DANH_MUC!$L$5&lt;&gt;"Có",M3597="Có"),OR(DANH_MUC!$L$6&lt;&gt;"Có",N3597="Có"),OR(DANH_MUC!$L$7&lt;&gt;"Có",O3597="Có"),OR(DANH_MUC!$L$8&lt;&gt;"Có",P3597="Có")),"Có","Không"))</f>
        <v/>
      </c>
      <c r="R3597" s="22">
        <f>IF($D3597="","",IF(COUNTIF($D$2:$D3597,$D3597)&gt;1,"Trùng",""))</f>
        <v/>
      </c>
      <c r="S3597" s="22">
        <f>IF($D3597="","",IF(AND(LEN($D3597)=10,LEFT($D3597,1)="0",ISNUMBER(--$D3597)),"Có","Không"))</f>
        <v/>
      </c>
      <c r="T3597" s="22">
        <f>IF($D3597="","",IF(AND($C3597&lt;&gt;"",$Q3597="Có",$R3597="",$S3597="Có",AND($L3597&lt;&gt;"",OR($L3597&lt;&gt;"Chưa xác định",DANH_MUC!$L$9="Có"))),"Có","Không"))</f>
        <v/>
      </c>
      <c r="U3597" s="22">
        <f>IF(OR($D3597="",$T3597="Có"),"",IF($C3597="","Thiếu họ tên; ","")&amp;IF($S3597&lt;&gt;"Có","SĐT sai định dạng; ","")&amp;IF($R3597="Trùng","Trùng SĐT; ","")&amp;IF($Q3597&lt;&gt;"Có","Thiếu đồng ý bắt buộc; ","")&amp;IF($L3597="","Thiếu/sai Mã REF; ",IF(AND($L3597="Chưa xác định",DANH_MUC!$L$9&lt;&gt;"Có"),"Nguồn chưa xác định; ","")))</f>
        <v/>
      </c>
      <c r="V3597" s="22">
        <f>IF(OR($D3597="",$R3597="Trùng"),"",IF(COUNTIF(ORDERS!$C$2:$C$4995,$D3597)&gt;0,"Có","Không"))</f>
        <v/>
      </c>
      <c r="W3597" s="22">
        <f>IF(OR($D3597="",$R3597="Trùng"),"",COUNTIFS(ORDERS!$C$2:$C$4995,$D3597,ORDERS!$L$2:$L$4995,"Đã chuyển khoản"))</f>
        <v/>
      </c>
      <c r="X3597" s="23">
        <f>IF(OR($D3597="",$R3597="Trùng"),"",SUMIFS(ORDERS!$J$2:$J$4995,ORDERS!$C$2:$C$4995,$D3597,ORDERS!$L$2:$L$4995,"Đã chuyển khoản"))</f>
        <v/>
      </c>
      <c r="Y3597" s="24" t="n"/>
    </row>
    <row r="3598" ht="14.25" customHeight="1" s="40">
      <c r="A3598" s="24" t="n"/>
      <c r="B3598" s="27" t="n"/>
      <c r="C3598" s="24" t="n"/>
      <c r="D3598" s="28" t="n"/>
      <c r="E3598" s="29" t="n"/>
      <c r="F3598" s="24" t="n"/>
      <c r="G3598" s="24" t="n"/>
      <c r="H3598" s="21">
        <f>IF(ISNUMBER($B3598),INT($B3598)-WEEKDAY($B3598,2)+1,"")</f>
        <v/>
      </c>
      <c r="I3598" s="24" t="n"/>
      <c r="J3598" s="22">
        <f t="array" ref="J3598">IF($D3598="","",IF($I3598="","(trống REF)",IFERROR(INDEX(MASTER_SOURCE!$B$2:$B$495,MATCH($I3598,MASTER_SOURCE!$A$2:$A$495,0)),"(REF không có trong MASTER_SOURCE)")))</f>
        <v/>
      </c>
      <c r="K3598" s="22">
        <f t="array" ref="K3598">IF($D3598="","",IFERROR(INDEX(MASTER_SOURCE!$C$2:$C$495,MATCH($I3598,MASTER_SOURCE!$A$2:$A$495,0)),""))</f>
        <v/>
      </c>
      <c r="L3598" s="22">
        <f t="array" ref="L3598">IF($D3598="","",IFERROR(INDEX(MASTER_SOURCE!$D$2:$D$495,MATCH($I3598,MASTER_SOURCE!$A$2:$A$495,0)),""))</f>
        <v/>
      </c>
      <c r="M3598" s="24" t="n"/>
      <c r="N3598" s="24" t="n"/>
      <c r="O3598" s="24" t="n"/>
      <c r="P3598" s="24" t="n"/>
      <c r="Q3598" s="22">
        <f>IF($D3598="","",IF(AND(OR(DANH_MUC!$L$5&lt;&gt;"Có",M3598="Có"),OR(DANH_MUC!$L$6&lt;&gt;"Có",N3598="Có"),OR(DANH_MUC!$L$7&lt;&gt;"Có",O3598="Có"),OR(DANH_MUC!$L$8&lt;&gt;"Có",P3598="Có")),"Có","Không"))</f>
        <v/>
      </c>
      <c r="R3598" s="22">
        <f>IF($D3598="","",IF(COUNTIF($D$2:$D3598,$D3598)&gt;1,"Trùng",""))</f>
        <v/>
      </c>
      <c r="S3598" s="22">
        <f>IF($D3598="","",IF(AND(LEN($D3598)=10,LEFT($D3598,1)="0",ISNUMBER(--$D3598)),"Có","Không"))</f>
        <v/>
      </c>
      <c r="T3598" s="22">
        <f>IF($D3598="","",IF(AND($C3598&lt;&gt;"",$Q3598="Có",$R3598="",$S3598="Có",AND($L3598&lt;&gt;"",OR($L3598&lt;&gt;"Chưa xác định",DANH_MUC!$L$9="Có"))),"Có","Không"))</f>
        <v/>
      </c>
      <c r="U3598" s="22">
        <f>IF(OR($D3598="",$T3598="Có"),"",IF($C3598="","Thiếu họ tên; ","")&amp;IF($S3598&lt;&gt;"Có","SĐT sai định dạng; ","")&amp;IF($R3598="Trùng","Trùng SĐT; ","")&amp;IF($Q3598&lt;&gt;"Có","Thiếu đồng ý bắt buộc; ","")&amp;IF($L3598="","Thiếu/sai Mã REF; ",IF(AND($L3598="Chưa xác định",DANH_MUC!$L$9&lt;&gt;"Có"),"Nguồn chưa xác định; ","")))</f>
        <v/>
      </c>
      <c r="V3598" s="22">
        <f>IF(OR($D3598="",$R3598="Trùng"),"",IF(COUNTIF(ORDERS!$C$2:$C$4995,$D3598)&gt;0,"Có","Không"))</f>
        <v/>
      </c>
      <c r="W3598" s="22">
        <f>IF(OR($D3598="",$R3598="Trùng"),"",COUNTIFS(ORDERS!$C$2:$C$4995,$D3598,ORDERS!$L$2:$L$4995,"Đã chuyển khoản"))</f>
        <v/>
      </c>
      <c r="X3598" s="23">
        <f>IF(OR($D3598="",$R3598="Trùng"),"",SUMIFS(ORDERS!$J$2:$J$4995,ORDERS!$C$2:$C$4995,$D3598,ORDERS!$L$2:$L$4995,"Đã chuyển khoản"))</f>
        <v/>
      </c>
      <c r="Y3598" s="24" t="n"/>
    </row>
    <row r="3599" ht="14.25" customHeight="1" s="40">
      <c r="A3599" s="24" t="n"/>
      <c r="B3599" s="27" t="n"/>
      <c r="C3599" s="24" t="n"/>
      <c r="D3599" s="28" t="n"/>
      <c r="E3599" s="29" t="n"/>
      <c r="F3599" s="24" t="n"/>
      <c r="G3599" s="24" t="n"/>
      <c r="H3599" s="21">
        <f>IF(ISNUMBER($B3599),INT($B3599)-WEEKDAY($B3599,2)+1,"")</f>
        <v/>
      </c>
      <c r="I3599" s="24" t="n"/>
      <c r="J3599" s="22">
        <f t="array" ref="J3599">IF($D3599="","",IF($I3599="","(trống REF)",IFERROR(INDEX(MASTER_SOURCE!$B$2:$B$495,MATCH($I3599,MASTER_SOURCE!$A$2:$A$495,0)),"(REF không có trong MASTER_SOURCE)")))</f>
        <v/>
      </c>
      <c r="K3599" s="22">
        <f t="array" ref="K3599">IF($D3599="","",IFERROR(INDEX(MASTER_SOURCE!$C$2:$C$495,MATCH($I3599,MASTER_SOURCE!$A$2:$A$495,0)),""))</f>
        <v/>
      </c>
      <c r="L3599" s="22">
        <f t="array" ref="L3599">IF($D3599="","",IFERROR(INDEX(MASTER_SOURCE!$D$2:$D$495,MATCH($I3599,MASTER_SOURCE!$A$2:$A$495,0)),""))</f>
        <v/>
      </c>
      <c r="M3599" s="24" t="n"/>
      <c r="N3599" s="24" t="n"/>
      <c r="O3599" s="24" t="n"/>
      <c r="P3599" s="24" t="n"/>
      <c r="Q3599" s="22">
        <f>IF($D3599="","",IF(AND(OR(DANH_MUC!$L$5&lt;&gt;"Có",M3599="Có"),OR(DANH_MUC!$L$6&lt;&gt;"Có",N3599="Có"),OR(DANH_MUC!$L$7&lt;&gt;"Có",O3599="Có"),OR(DANH_MUC!$L$8&lt;&gt;"Có",P3599="Có")),"Có","Không"))</f>
        <v/>
      </c>
      <c r="R3599" s="22">
        <f>IF($D3599="","",IF(COUNTIF($D$2:$D3599,$D3599)&gt;1,"Trùng",""))</f>
        <v/>
      </c>
      <c r="S3599" s="22">
        <f>IF($D3599="","",IF(AND(LEN($D3599)=10,LEFT($D3599,1)="0",ISNUMBER(--$D3599)),"Có","Không"))</f>
        <v/>
      </c>
      <c r="T3599" s="22">
        <f>IF($D3599="","",IF(AND($C3599&lt;&gt;"",$Q3599="Có",$R3599="",$S3599="Có",AND($L3599&lt;&gt;"",OR($L3599&lt;&gt;"Chưa xác định",DANH_MUC!$L$9="Có"))),"Có","Không"))</f>
        <v/>
      </c>
      <c r="U3599" s="22">
        <f>IF(OR($D3599="",$T3599="Có"),"",IF($C3599="","Thiếu họ tên; ","")&amp;IF($S3599&lt;&gt;"Có","SĐT sai định dạng; ","")&amp;IF($R3599="Trùng","Trùng SĐT; ","")&amp;IF($Q3599&lt;&gt;"Có","Thiếu đồng ý bắt buộc; ","")&amp;IF($L3599="","Thiếu/sai Mã REF; ",IF(AND($L3599="Chưa xác định",DANH_MUC!$L$9&lt;&gt;"Có"),"Nguồn chưa xác định; ","")))</f>
        <v/>
      </c>
      <c r="V3599" s="22">
        <f>IF(OR($D3599="",$R3599="Trùng"),"",IF(COUNTIF(ORDERS!$C$2:$C$4995,$D3599)&gt;0,"Có","Không"))</f>
        <v/>
      </c>
      <c r="W3599" s="22">
        <f>IF(OR($D3599="",$R3599="Trùng"),"",COUNTIFS(ORDERS!$C$2:$C$4995,$D3599,ORDERS!$L$2:$L$4995,"Đã chuyển khoản"))</f>
        <v/>
      </c>
      <c r="X3599" s="23">
        <f>IF(OR($D3599="",$R3599="Trùng"),"",SUMIFS(ORDERS!$J$2:$J$4995,ORDERS!$C$2:$C$4995,$D3599,ORDERS!$L$2:$L$4995,"Đã chuyển khoản"))</f>
        <v/>
      </c>
      <c r="Y3599" s="24" t="n"/>
    </row>
    <row r="3600" ht="14.25" customHeight="1" s="40">
      <c r="A3600" s="24" t="n"/>
      <c r="B3600" s="27" t="n"/>
      <c r="C3600" s="24" t="n"/>
      <c r="D3600" s="28" t="n"/>
      <c r="E3600" s="29" t="n"/>
      <c r="F3600" s="24" t="n"/>
      <c r="G3600" s="24" t="n"/>
      <c r="H3600" s="21">
        <f>IF(ISNUMBER($B3600),INT($B3600)-WEEKDAY($B3600,2)+1,"")</f>
        <v/>
      </c>
      <c r="I3600" s="24" t="n"/>
      <c r="J3600" s="22">
        <f t="array" ref="J3600">IF($D3600="","",IF($I3600="","(trống REF)",IFERROR(INDEX(MASTER_SOURCE!$B$2:$B$495,MATCH($I3600,MASTER_SOURCE!$A$2:$A$495,0)),"(REF không có trong MASTER_SOURCE)")))</f>
        <v/>
      </c>
      <c r="K3600" s="22">
        <f t="array" ref="K3600">IF($D3600="","",IFERROR(INDEX(MASTER_SOURCE!$C$2:$C$495,MATCH($I3600,MASTER_SOURCE!$A$2:$A$495,0)),""))</f>
        <v/>
      </c>
      <c r="L3600" s="22">
        <f t="array" ref="L3600">IF($D3600="","",IFERROR(INDEX(MASTER_SOURCE!$D$2:$D$495,MATCH($I3600,MASTER_SOURCE!$A$2:$A$495,0)),""))</f>
        <v/>
      </c>
      <c r="M3600" s="24" t="n"/>
      <c r="N3600" s="24" t="n"/>
      <c r="O3600" s="24" t="n"/>
      <c r="P3600" s="24" t="n"/>
      <c r="Q3600" s="22">
        <f>IF($D3600="","",IF(AND(OR(DANH_MUC!$L$5&lt;&gt;"Có",M3600="Có"),OR(DANH_MUC!$L$6&lt;&gt;"Có",N3600="Có"),OR(DANH_MUC!$L$7&lt;&gt;"Có",O3600="Có"),OR(DANH_MUC!$L$8&lt;&gt;"Có",P3600="Có")),"Có","Không"))</f>
        <v/>
      </c>
      <c r="R3600" s="22">
        <f>IF($D3600="","",IF(COUNTIF($D$2:$D3600,$D3600)&gt;1,"Trùng",""))</f>
        <v/>
      </c>
      <c r="S3600" s="22">
        <f>IF($D3600="","",IF(AND(LEN($D3600)=10,LEFT($D3600,1)="0",ISNUMBER(--$D3600)),"Có","Không"))</f>
        <v/>
      </c>
      <c r="T3600" s="22">
        <f>IF($D3600="","",IF(AND($C3600&lt;&gt;"",$Q3600="Có",$R3600="",$S3600="Có",AND($L3600&lt;&gt;"",OR($L3600&lt;&gt;"Chưa xác định",DANH_MUC!$L$9="Có"))),"Có","Không"))</f>
        <v/>
      </c>
      <c r="U3600" s="22">
        <f>IF(OR($D3600="",$T3600="Có"),"",IF($C3600="","Thiếu họ tên; ","")&amp;IF($S3600&lt;&gt;"Có","SĐT sai định dạng; ","")&amp;IF($R3600="Trùng","Trùng SĐT; ","")&amp;IF($Q3600&lt;&gt;"Có","Thiếu đồng ý bắt buộc; ","")&amp;IF($L3600="","Thiếu/sai Mã REF; ",IF(AND($L3600="Chưa xác định",DANH_MUC!$L$9&lt;&gt;"Có"),"Nguồn chưa xác định; ","")))</f>
        <v/>
      </c>
      <c r="V3600" s="22">
        <f>IF(OR($D3600="",$R3600="Trùng"),"",IF(COUNTIF(ORDERS!$C$2:$C$4995,$D3600)&gt;0,"Có","Không"))</f>
        <v/>
      </c>
      <c r="W3600" s="22">
        <f>IF(OR($D3600="",$R3600="Trùng"),"",COUNTIFS(ORDERS!$C$2:$C$4995,$D3600,ORDERS!$L$2:$L$4995,"Đã chuyển khoản"))</f>
        <v/>
      </c>
      <c r="X3600" s="23">
        <f>IF(OR($D3600="",$R3600="Trùng"),"",SUMIFS(ORDERS!$J$2:$J$4995,ORDERS!$C$2:$C$4995,$D3600,ORDERS!$L$2:$L$4995,"Đã chuyển khoản"))</f>
        <v/>
      </c>
      <c r="Y3600" s="24" t="n"/>
    </row>
    <row r="3601" ht="14.25" customHeight="1" s="40">
      <c r="A3601" s="24" t="n"/>
      <c r="B3601" s="27" t="n"/>
      <c r="C3601" s="24" t="n"/>
      <c r="D3601" s="28" t="n"/>
      <c r="E3601" s="29" t="n"/>
      <c r="F3601" s="24" t="n"/>
      <c r="G3601" s="24" t="n"/>
      <c r="H3601" s="21">
        <f>IF(ISNUMBER($B3601),INT($B3601)-WEEKDAY($B3601,2)+1,"")</f>
        <v/>
      </c>
      <c r="I3601" s="24" t="n"/>
      <c r="J3601" s="22">
        <f t="array" ref="J3601">IF($D3601="","",IF($I3601="","(trống REF)",IFERROR(INDEX(MASTER_SOURCE!$B$2:$B$495,MATCH($I3601,MASTER_SOURCE!$A$2:$A$495,0)),"(REF không có trong MASTER_SOURCE)")))</f>
        <v/>
      </c>
      <c r="K3601" s="22">
        <f t="array" ref="K3601">IF($D3601="","",IFERROR(INDEX(MASTER_SOURCE!$C$2:$C$495,MATCH($I3601,MASTER_SOURCE!$A$2:$A$495,0)),""))</f>
        <v/>
      </c>
      <c r="L3601" s="22">
        <f t="array" ref="L3601">IF($D3601="","",IFERROR(INDEX(MASTER_SOURCE!$D$2:$D$495,MATCH($I3601,MASTER_SOURCE!$A$2:$A$495,0)),""))</f>
        <v/>
      </c>
      <c r="M3601" s="24" t="n"/>
      <c r="N3601" s="24" t="n"/>
      <c r="O3601" s="24" t="n"/>
      <c r="P3601" s="24" t="n"/>
      <c r="Q3601" s="22">
        <f>IF($D3601="","",IF(AND(OR(DANH_MUC!$L$5&lt;&gt;"Có",M3601="Có"),OR(DANH_MUC!$L$6&lt;&gt;"Có",N3601="Có"),OR(DANH_MUC!$L$7&lt;&gt;"Có",O3601="Có"),OR(DANH_MUC!$L$8&lt;&gt;"Có",P3601="Có")),"Có","Không"))</f>
        <v/>
      </c>
      <c r="R3601" s="22">
        <f>IF($D3601="","",IF(COUNTIF($D$2:$D3601,$D3601)&gt;1,"Trùng",""))</f>
        <v/>
      </c>
      <c r="S3601" s="22">
        <f>IF($D3601="","",IF(AND(LEN($D3601)=10,LEFT($D3601,1)="0",ISNUMBER(--$D3601)),"Có","Không"))</f>
        <v/>
      </c>
      <c r="T3601" s="22">
        <f>IF($D3601="","",IF(AND($C3601&lt;&gt;"",$Q3601="Có",$R3601="",$S3601="Có",AND($L3601&lt;&gt;"",OR($L3601&lt;&gt;"Chưa xác định",DANH_MUC!$L$9="Có"))),"Có","Không"))</f>
        <v/>
      </c>
      <c r="U3601" s="22">
        <f>IF(OR($D3601="",$T3601="Có"),"",IF($C3601="","Thiếu họ tên; ","")&amp;IF($S3601&lt;&gt;"Có","SĐT sai định dạng; ","")&amp;IF($R3601="Trùng","Trùng SĐT; ","")&amp;IF($Q3601&lt;&gt;"Có","Thiếu đồng ý bắt buộc; ","")&amp;IF($L3601="","Thiếu/sai Mã REF; ",IF(AND($L3601="Chưa xác định",DANH_MUC!$L$9&lt;&gt;"Có"),"Nguồn chưa xác định; ","")))</f>
        <v/>
      </c>
      <c r="V3601" s="22">
        <f>IF(OR($D3601="",$R3601="Trùng"),"",IF(COUNTIF(ORDERS!$C$2:$C$4995,$D3601)&gt;0,"Có","Không"))</f>
        <v/>
      </c>
      <c r="W3601" s="22">
        <f>IF(OR($D3601="",$R3601="Trùng"),"",COUNTIFS(ORDERS!$C$2:$C$4995,$D3601,ORDERS!$L$2:$L$4995,"Đã chuyển khoản"))</f>
        <v/>
      </c>
      <c r="X3601" s="23">
        <f>IF(OR($D3601="",$R3601="Trùng"),"",SUMIFS(ORDERS!$J$2:$J$4995,ORDERS!$C$2:$C$4995,$D3601,ORDERS!$L$2:$L$4995,"Đã chuyển khoản"))</f>
        <v/>
      </c>
      <c r="Y3601" s="24" t="n"/>
    </row>
    <row r="3602" ht="14.25" customHeight="1" s="40">
      <c r="A3602" s="24" t="n"/>
      <c r="B3602" s="27" t="n"/>
      <c r="C3602" s="24" t="n"/>
      <c r="D3602" s="28" t="n"/>
      <c r="E3602" s="29" t="n"/>
      <c r="F3602" s="24" t="n"/>
      <c r="G3602" s="24" t="n"/>
      <c r="H3602" s="21">
        <f>IF(ISNUMBER($B3602),INT($B3602)-WEEKDAY($B3602,2)+1,"")</f>
        <v/>
      </c>
      <c r="I3602" s="24" t="n"/>
      <c r="J3602" s="22">
        <f t="array" ref="J3602">IF($D3602="","",IF($I3602="","(trống REF)",IFERROR(INDEX(MASTER_SOURCE!$B$2:$B$495,MATCH($I3602,MASTER_SOURCE!$A$2:$A$495,0)),"(REF không có trong MASTER_SOURCE)")))</f>
        <v/>
      </c>
      <c r="K3602" s="22">
        <f t="array" ref="K3602">IF($D3602="","",IFERROR(INDEX(MASTER_SOURCE!$C$2:$C$495,MATCH($I3602,MASTER_SOURCE!$A$2:$A$495,0)),""))</f>
        <v/>
      </c>
      <c r="L3602" s="22">
        <f t="array" ref="L3602">IF($D3602="","",IFERROR(INDEX(MASTER_SOURCE!$D$2:$D$495,MATCH($I3602,MASTER_SOURCE!$A$2:$A$495,0)),""))</f>
        <v/>
      </c>
      <c r="M3602" s="24" t="n"/>
      <c r="N3602" s="24" t="n"/>
      <c r="O3602" s="24" t="n"/>
      <c r="P3602" s="24" t="n"/>
      <c r="Q3602" s="22">
        <f>IF($D3602="","",IF(AND(OR(DANH_MUC!$L$5&lt;&gt;"Có",M3602="Có"),OR(DANH_MUC!$L$6&lt;&gt;"Có",N3602="Có"),OR(DANH_MUC!$L$7&lt;&gt;"Có",O3602="Có"),OR(DANH_MUC!$L$8&lt;&gt;"Có",P3602="Có")),"Có","Không"))</f>
        <v/>
      </c>
      <c r="R3602" s="22">
        <f>IF($D3602="","",IF(COUNTIF($D$2:$D3602,$D3602)&gt;1,"Trùng",""))</f>
        <v/>
      </c>
      <c r="S3602" s="22">
        <f>IF($D3602="","",IF(AND(LEN($D3602)=10,LEFT($D3602,1)="0",ISNUMBER(--$D3602)),"Có","Không"))</f>
        <v/>
      </c>
      <c r="T3602" s="22">
        <f>IF($D3602="","",IF(AND($C3602&lt;&gt;"",$Q3602="Có",$R3602="",$S3602="Có",AND($L3602&lt;&gt;"",OR($L3602&lt;&gt;"Chưa xác định",DANH_MUC!$L$9="Có"))),"Có","Không"))</f>
        <v/>
      </c>
      <c r="U3602" s="22">
        <f>IF(OR($D3602="",$T3602="Có"),"",IF($C3602="","Thiếu họ tên; ","")&amp;IF($S3602&lt;&gt;"Có","SĐT sai định dạng; ","")&amp;IF($R3602="Trùng","Trùng SĐT; ","")&amp;IF($Q3602&lt;&gt;"Có","Thiếu đồng ý bắt buộc; ","")&amp;IF($L3602="","Thiếu/sai Mã REF; ",IF(AND($L3602="Chưa xác định",DANH_MUC!$L$9&lt;&gt;"Có"),"Nguồn chưa xác định; ","")))</f>
        <v/>
      </c>
      <c r="V3602" s="22">
        <f>IF(OR($D3602="",$R3602="Trùng"),"",IF(COUNTIF(ORDERS!$C$2:$C$4995,$D3602)&gt;0,"Có","Không"))</f>
        <v/>
      </c>
      <c r="W3602" s="22">
        <f>IF(OR($D3602="",$R3602="Trùng"),"",COUNTIFS(ORDERS!$C$2:$C$4995,$D3602,ORDERS!$L$2:$L$4995,"Đã chuyển khoản"))</f>
        <v/>
      </c>
      <c r="X3602" s="23">
        <f>IF(OR($D3602="",$R3602="Trùng"),"",SUMIFS(ORDERS!$J$2:$J$4995,ORDERS!$C$2:$C$4995,$D3602,ORDERS!$L$2:$L$4995,"Đã chuyển khoản"))</f>
        <v/>
      </c>
      <c r="Y3602" s="24" t="n"/>
    </row>
    <row r="3603" ht="14.25" customHeight="1" s="40">
      <c r="A3603" s="24" t="n"/>
      <c r="B3603" s="27" t="n"/>
      <c r="C3603" s="24" t="n"/>
      <c r="D3603" s="28" t="n"/>
      <c r="E3603" s="29" t="n"/>
      <c r="F3603" s="24" t="n"/>
      <c r="G3603" s="24" t="n"/>
      <c r="H3603" s="21">
        <f>IF(ISNUMBER($B3603),INT($B3603)-WEEKDAY($B3603,2)+1,"")</f>
        <v/>
      </c>
      <c r="I3603" s="24" t="n"/>
      <c r="J3603" s="22">
        <f t="array" ref="J3603">IF($D3603="","",IF($I3603="","(trống REF)",IFERROR(INDEX(MASTER_SOURCE!$B$2:$B$495,MATCH($I3603,MASTER_SOURCE!$A$2:$A$495,0)),"(REF không có trong MASTER_SOURCE)")))</f>
        <v/>
      </c>
      <c r="K3603" s="22">
        <f t="array" ref="K3603">IF($D3603="","",IFERROR(INDEX(MASTER_SOURCE!$C$2:$C$495,MATCH($I3603,MASTER_SOURCE!$A$2:$A$495,0)),""))</f>
        <v/>
      </c>
      <c r="L3603" s="22">
        <f t="array" ref="L3603">IF($D3603="","",IFERROR(INDEX(MASTER_SOURCE!$D$2:$D$495,MATCH($I3603,MASTER_SOURCE!$A$2:$A$495,0)),""))</f>
        <v/>
      </c>
      <c r="M3603" s="24" t="n"/>
      <c r="N3603" s="24" t="n"/>
      <c r="O3603" s="24" t="n"/>
      <c r="P3603" s="24" t="n"/>
      <c r="Q3603" s="22">
        <f>IF($D3603="","",IF(AND(OR(DANH_MUC!$L$5&lt;&gt;"Có",M3603="Có"),OR(DANH_MUC!$L$6&lt;&gt;"Có",N3603="Có"),OR(DANH_MUC!$L$7&lt;&gt;"Có",O3603="Có"),OR(DANH_MUC!$L$8&lt;&gt;"Có",P3603="Có")),"Có","Không"))</f>
        <v/>
      </c>
      <c r="R3603" s="22">
        <f>IF($D3603="","",IF(COUNTIF($D$2:$D3603,$D3603)&gt;1,"Trùng",""))</f>
        <v/>
      </c>
      <c r="S3603" s="22">
        <f>IF($D3603="","",IF(AND(LEN($D3603)=10,LEFT($D3603,1)="0",ISNUMBER(--$D3603)),"Có","Không"))</f>
        <v/>
      </c>
      <c r="T3603" s="22">
        <f>IF($D3603="","",IF(AND($C3603&lt;&gt;"",$Q3603="Có",$R3603="",$S3603="Có",AND($L3603&lt;&gt;"",OR($L3603&lt;&gt;"Chưa xác định",DANH_MUC!$L$9="Có"))),"Có","Không"))</f>
        <v/>
      </c>
      <c r="U3603" s="22">
        <f>IF(OR($D3603="",$T3603="Có"),"",IF($C3603="","Thiếu họ tên; ","")&amp;IF($S3603&lt;&gt;"Có","SĐT sai định dạng; ","")&amp;IF($R3603="Trùng","Trùng SĐT; ","")&amp;IF($Q3603&lt;&gt;"Có","Thiếu đồng ý bắt buộc; ","")&amp;IF($L3603="","Thiếu/sai Mã REF; ",IF(AND($L3603="Chưa xác định",DANH_MUC!$L$9&lt;&gt;"Có"),"Nguồn chưa xác định; ","")))</f>
        <v/>
      </c>
      <c r="V3603" s="22">
        <f>IF(OR($D3603="",$R3603="Trùng"),"",IF(COUNTIF(ORDERS!$C$2:$C$4995,$D3603)&gt;0,"Có","Không"))</f>
        <v/>
      </c>
      <c r="W3603" s="22">
        <f>IF(OR($D3603="",$R3603="Trùng"),"",COUNTIFS(ORDERS!$C$2:$C$4995,$D3603,ORDERS!$L$2:$L$4995,"Đã chuyển khoản"))</f>
        <v/>
      </c>
      <c r="X3603" s="23">
        <f>IF(OR($D3603="",$R3603="Trùng"),"",SUMIFS(ORDERS!$J$2:$J$4995,ORDERS!$C$2:$C$4995,$D3603,ORDERS!$L$2:$L$4995,"Đã chuyển khoản"))</f>
        <v/>
      </c>
      <c r="Y3603" s="24" t="n"/>
    </row>
    <row r="3604" ht="14.25" customHeight="1" s="40">
      <c r="A3604" s="24" t="n"/>
      <c r="B3604" s="27" t="n"/>
      <c r="C3604" s="24" t="n"/>
      <c r="D3604" s="28" t="n"/>
      <c r="E3604" s="29" t="n"/>
      <c r="F3604" s="24" t="n"/>
      <c r="G3604" s="24" t="n"/>
      <c r="H3604" s="21">
        <f>IF(ISNUMBER($B3604),INT($B3604)-WEEKDAY($B3604,2)+1,"")</f>
        <v/>
      </c>
      <c r="I3604" s="24" t="n"/>
      <c r="J3604" s="22">
        <f t="array" ref="J3604">IF($D3604="","",IF($I3604="","(trống REF)",IFERROR(INDEX(MASTER_SOURCE!$B$2:$B$495,MATCH($I3604,MASTER_SOURCE!$A$2:$A$495,0)),"(REF không có trong MASTER_SOURCE)")))</f>
        <v/>
      </c>
      <c r="K3604" s="22">
        <f t="array" ref="K3604">IF($D3604="","",IFERROR(INDEX(MASTER_SOURCE!$C$2:$C$495,MATCH($I3604,MASTER_SOURCE!$A$2:$A$495,0)),""))</f>
        <v/>
      </c>
      <c r="L3604" s="22">
        <f t="array" ref="L3604">IF($D3604="","",IFERROR(INDEX(MASTER_SOURCE!$D$2:$D$495,MATCH($I3604,MASTER_SOURCE!$A$2:$A$495,0)),""))</f>
        <v/>
      </c>
      <c r="M3604" s="24" t="n"/>
      <c r="N3604" s="24" t="n"/>
      <c r="O3604" s="24" t="n"/>
      <c r="P3604" s="24" t="n"/>
      <c r="Q3604" s="22">
        <f>IF($D3604="","",IF(AND(OR(DANH_MUC!$L$5&lt;&gt;"Có",M3604="Có"),OR(DANH_MUC!$L$6&lt;&gt;"Có",N3604="Có"),OR(DANH_MUC!$L$7&lt;&gt;"Có",O3604="Có"),OR(DANH_MUC!$L$8&lt;&gt;"Có",P3604="Có")),"Có","Không"))</f>
        <v/>
      </c>
      <c r="R3604" s="22">
        <f>IF($D3604="","",IF(COUNTIF($D$2:$D3604,$D3604)&gt;1,"Trùng",""))</f>
        <v/>
      </c>
      <c r="S3604" s="22">
        <f>IF($D3604="","",IF(AND(LEN($D3604)=10,LEFT($D3604,1)="0",ISNUMBER(--$D3604)),"Có","Không"))</f>
        <v/>
      </c>
      <c r="T3604" s="22">
        <f>IF($D3604="","",IF(AND($C3604&lt;&gt;"",$Q3604="Có",$R3604="",$S3604="Có",AND($L3604&lt;&gt;"",OR($L3604&lt;&gt;"Chưa xác định",DANH_MUC!$L$9="Có"))),"Có","Không"))</f>
        <v/>
      </c>
      <c r="U3604" s="22">
        <f>IF(OR($D3604="",$T3604="Có"),"",IF($C3604="","Thiếu họ tên; ","")&amp;IF($S3604&lt;&gt;"Có","SĐT sai định dạng; ","")&amp;IF($R3604="Trùng","Trùng SĐT; ","")&amp;IF($Q3604&lt;&gt;"Có","Thiếu đồng ý bắt buộc; ","")&amp;IF($L3604="","Thiếu/sai Mã REF; ",IF(AND($L3604="Chưa xác định",DANH_MUC!$L$9&lt;&gt;"Có"),"Nguồn chưa xác định; ","")))</f>
        <v/>
      </c>
      <c r="V3604" s="22">
        <f>IF(OR($D3604="",$R3604="Trùng"),"",IF(COUNTIF(ORDERS!$C$2:$C$4995,$D3604)&gt;0,"Có","Không"))</f>
        <v/>
      </c>
      <c r="W3604" s="22">
        <f>IF(OR($D3604="",$R3604="Trùng"),"",COUNTIFS(ORDERS!$C$2:$C$4995,$D3604,ORDERS!$L$2:$L$4995,"Đã chuyển khoản"))</f>
        <v/>
      </c>
      <c r="X3604" s="23">
        <f>IF(OR($D3604="",$R3604="Trùng"),"",SUMIFS(ORDERS!$J$2:$J$4995,ORDERS!$C$2:$C$4995,$D3604,ORDERS!$L$2:$L$4995,"Đã chuyển khoản"))</f>
        <v/>
      </c>
      <c r="Y3604" s="24" t="n"/>
    </row>
    <row r="3605" ht="14.25" customHeight="1" s="40">
      <c r="A3605" s="24" t="n"/>
      <c r="B3605" s="27" t="n"/>
      <c r="C3605" s="24" t="n"/>
      <c r="D3605" s="28" t="n"/>
      <c r="E3605" s="29" t="n"/>
      <c r="F3605" s="24" t="n"/>
      <c r="G3605" s="24" t="n"/>
      <c r="H3605" s="21">
        <f>IF(ISNUMBER($B3605),INT($B3605)-WEEKDAY($B3605,2)+1,"")</f>
        <v/>
      </c>
      <c r="I3605" s="24" t="n"/>
      <c r="J3605" s="22">
        <f t="array" ref="J3605">IF($D3605="","",IF($I3605="","(trống REF)",IFERROR(INDEX(MASTER_SOURCE!$B$2:$B$495,MATCH($I3605,MASTER_SOURCE!$A$2:$A$495,0)),"(REF không có trong MASTER_SOURCE)")))</f>
        <v/>
      </c>
      <c r="K3605" s="22">
        <f t="array" ref="K3605">IF($D3605="","",IFERROR(INDEX(MASTER_SOURCE!$C$2:$C$495,MATCH($I3605,MASTER_SOURCE!$A$2:$A$495,0)),""))</f>
        <v/>
      </c>
      <c r="L3605" s="22">
        <f t="array" ref="L3605">IF($D3605="","",IFERROR(INDEX(MASTER_SOURCE!$D$2:$D$495,MATCH($I3605,MASTER_SOURCE!$A$2:$A$495,0)),""))</f>
        <v/>
      </c>
      <c r="M3605" s="24" t="n"/>
      <c r="N3605" s="24" t="n"/>
      <c r="O3605" s="24" t="n"/>
      <c r="P3605" s="24" t="n"/>
      <c r="Q3605" s="22">
        <f>IF($D3605="","",IF(AND(OR(DANH_MUC!$L$5&lt;&gt;"Có",M3605="Có"),OR(DANH_MUC!$L$6&lt;&gt;"Có",N3605="Có"),OR(DANH_MUC!$L$7&lt;&gt;"Có",O3605="Có"),OR(DANH_MUC!$L$8&lt;&gt;"Có",P3605="Có")),"Có","Không"))</f>
        <v/>
      </c>
      <c r="R3605" s="22">
        <f>IF($D3605="","",IF(COUNTIF($D$2:$D3605,$D3605)&gt;1,"Trùng",""))</f>
        <v/>
      </c>
      <c r="S3605" s="22">
        <f>IF($D3605="","",IF(AND(LEN($D3605)=10,LEFT($D3605,1)="0",ISNUMBER(--$D3605)),"Có","Không"))</f>
        <v/>
      </c>
      <c r="T3605" s="22">
        <f>IF($D3605="","",IF(AND($C3605&lt;&gt;"",$Q3605="Có",$R3605="",$S3605="Có",AND($L3605&lt;&gt;"",OR($L3605&lt;&gt;"Chưa xác định",DANH_MUC!$L$9="Có"))),"Có","Không"))</f>
        <v/>
      </c>
      <c r="U3605" s="22">
        <f>IF(OR($D3605="",$T3605="Có"),"",IF($C3605="","Thiếu họ tên; ","")&amp;IF($S3605&lt;&gt;"Có","SĐT sai định dạng; ","")&amp;IF($R3605="Trùng","Trùng SĐT; ","")&amp;IF($Q3605&lt;&gt;"Có","Thiếu đồng ý bắt buộc; ","")&amp;IF($L3605="","Thiếu/sai Mã REF; ",IF(AND($L3605="Chưa xác định",DANH_MUC!$L$9&lt;&gt;"Có"),"Nguồn chưa xác định; ","")))</f>
        <v/>
      </c>
      <c r="V3605" s="22">
        <f>IF(OR($D3605="",$R3605="Trùng"),"",IF(COUNTIF(ORDERS!$C$2:$C$4995,$D3605)&gt;0,"Có","Không"))</f>
        <v/>
      </c>
      <c r="W3605" s="22">
        <f>IF(OR($D3605="",$R3605="Trùng"),"",COUNTIFS(ORDERS!$C$2:$C$4995,$D3605,ORDERS!$L$2:$L$4995,"Đã chuyển khoản"))</f>
        <v/>
      </c>
      <c r="X3605" s="23">
        <f>IF(OR($D3605="",$R3605="Trùng"),"",SUMIFS(ORDERS!$J$2:$J$4995,ORDERS!$C$2:$C$4995,$D3605,ORDERS!$L$2:$L$4995,"Đã chuyển khoản"))</f>
        <v/>
      </c>
      <c r="Y3605" s="24" t="n"/>
    </row>
    <row r="3606" ht="14.25" customHeight="1" s="40">
      <c r="A3606" s="24" t="n"/>
      <c r="B3606" s="27" t="n"/>
      <c r="C3606" s="24" t="n"/>
      <c r="D3606" s="28" t="n"/>
      <c r="E3606" s="29" t="n"/>
      <c r="F3606" s="24" t="n"/>
      <c r="G3606" s="24" t="n"/>
      <c r="H3606" s="21">
        <f>IF(ISNUMBER($B3606),INT($B3606)-WEEKDAY($B3606,2)+1,"")</f>
        <v/>
      </c>
      <c r="I3606" s="24" t="n"/>
      <c r="J3606" s="22">
        <f t="array" ref="J3606">IF($D3606="","",IF($I3606="","(trống REF)",IFERROR(INDEX(MASTER_SOURCE!$B$2:$B$495,MATCH($I3606,MASTER_SOURCE!$A$2:$A$495,0)),"(REF không có trong MASTER_SOURCE)")))</f>
        <v/>
      </c>
      <c r="K3606" s="22">
        <f t="array" ref="K3606">IF($D3606="","",IFERROR(INDEX(MASTER_SOURCE!$C$2:$C$495,MATCH($I3606,MASTER_SOURCE!$A$2:$A$495,0)),""))</f>
        <v/>
      </c>
      <c r="L3606" s="22">
        <f t="array" ref="L3606">IF($D3606="","",IFERROR(INDEX(MASTER_SOURCE!$D$2:$D$495,MATCH($I3606,MASTER_SOURCE!$A$2:$A$495,0)),""))</f>
        <v/>
      </c>
      <c r="M3606" s="24" t="n"/>
      <c r="N3606" s="24" t="n"/>
      <c r="O3606" s="24" t="n"/>
      <c r="P3606" s="24" t="n"/>
      <c r="Q3606" s="22">
        <f>IF($D3606="","",IF(AND(OR(DANH_MUC!$L$5&lt;&gt;"Có",M3606="Có"),OR(DANH_MUC!$L$6&lt;&gt;"Có",N3606="Có"),OR(DANH_MUC!$L$7&lt;&gt;"Có",O3606="Có"),OR(DANH_MUC!$L$8&lt;&gt;"Có",P3606="Có")),"Có","Không"))</f>
        <v/>
      </c>
      <c r="R3606" s="22">
        <f>IF($D3606="","",IF(COUNTIF($D$2:$D3606,$D3606)&gt;1,"Trùng",""))</f>
        <v/>
      </c>
      <c r="S3606" s="22">
        <f>IF($D3606="","",IF(AND(LEN($D3606)=10,LEFT($D3606,1)="0",ISNUMBER(--$D3606)),"Có","Không"))</f>
        <v/>
      </c>
      <c r="T3606" s="22">
        <f>IF($D3606="","",IF(AND($C3606&lt;&gt;"",$Q3606="Có",$R3606="",$S3606="Có",AND($L3606&lt;&gt;"",OR($L3606&lt;&gt;"Chưa xác định",DANH_MUC!$L$9="Có"))),"Có","Không"))</f>
        <v/>
      </c>
      <c r="U3606" s="22">
        <f>IF(OR($D3606="",$T3606="Có"),"",IF($C3606="","Thiếu họ tên; ","")&amp;IF($S3606&lt;&gt;"Có","SĐT sai định dạng; ","")&amp;IF($R3606="Trùng","Trùng SĐT; ","")&amp;IF($Q3606&lt;&gt;"Có","Thiếu đồng ý bắt buộc; ","")&amp;IF($L3606="","Thiếu/sai Mã REF; ",IF(AND($L3606="Chưa xác định",DANH_MUC!$L$9&lt;&gt;"Có"),"Nguồn chưa xác định; ","")))</f>
        <v/>
      </c>
      <c r="V3606" s="22">
        <f>IF(OR($D3606="",$R3606="Trùng"),"",IF(COUNTIF(ORDERS!$C$2:$C$4995,$D3606)&gt;0,"Có","Không"))</f>
        <v/>
      </c>
      <c r="W3606" s="22">
        <f>IF(OR($D3606="",$R3606="Trùng"),"",COUNTIFS(ORDERS!$C$2:$C$4995,$D3606,ORDERS!$L$2:$L$4995,"Đã chuyển khoản"))</f>
        <v/>
      </c>
      <c r="X3606" s="23">
        <f>IF(OR($D3606="",$R3606="Trùng"),"",SUMIFS(ORDERS!$J$2:$J$4995,ORDERS!$C$2:$C$4995,$D3606,ORDERS!$L$2:$L$4995,"Đã chuyển khoản"))</f>
        <v/>
      </c>
      <c r="Y3606" s="24" t="n"/>
    </row>
    <row r="3607" ht="14.25" customHeight="1" s="40">
      <c r="A3607" s="24" t="n"/>
      <c r="B3607" s="27" t="n"/>
      <c r="C3607" s="24" t="n"/>
      <c r="D3607" s="28" t="n"/>
      <c r="E3607" s="29" t="n"/>
      <c r="F3607" s="24" t="n"/>
      <c r="G3607" s="24" t="n"/>
      <c r="H3607" s="21">
        <f>IF(ISNUMBER($B3607),INT($B3607)-WEEKDAY($B3607,2)+1,"")</f>
        <v/>
      </c>
      <c r="I3607" s="24" t="n"/>
      <c r="J3607" s="22">
        <f t="array" ref="J3607">IF($D3607="","",IF($I3607="","(trống REF)",IFERROR(INDEX(MASTER_SOURCE!$B$2:$B$495,MATCH($I3607,MASTER_SOURCE!$A$2:$A$495,0)),"(REF không có trong MASTER_SOURCE)")))</f>
        <v/>
      </c>
      <c r="K3607" s="22">
        <f t="array" ref="K3607">IF($D3607="","",IFERROR(INDEX(MASTER_SOURCE!$C$2:$C$495,MATCH($I3607,MASTER_SOURCE!$A$2:$A$495,0)),""))</f>
        <v/>
      </c>
      <c r="L3607" s="22">
        <f t="array" ref="L3607">IF($D3607="","",IFERROR(INDEX(MASTER_SOURCE!$D$2:$D$495,MATCH($I3607,MASTER_SOURCE!$A$2:$A$495,0)),""))</f>
        <v/>
      </c>
      <c r="M3607" s="24" t="n"/>
      <c r="N3607" s="24" t="n"/>
      <c r="O3607" s="24" t="n"/>
      <c r="P3607" s="24" t="n"/>
      <c r="Q3607" s="22">
        <f>IF($D3607="","",IF(AND(OR(DANH_MUC!$L$5&lt;&gt;"Có",M3607="Có"),OR(DANH_MUC!$L$6&lt;&gt;"Có",N3607="Có"),OR(DANH_MUC!$L$7&lt;&gt;"Có",O3607="Có"),OR(DANH_MUC!$L$8&lt;&gt;"Có",P3607="Có")),"Có","Không"))</f>
        <v/>
      </c>
      <c r="R3607" s="22">
        <f>IF($D3607="","",IF(COUNTIF($D$2:$D3607,$D3607)&gt;1,"Trùng",""))</f>
        <v/>
      </c>
      <c r="S3607" s="22">
        <f>IF($D3607="","",IF(AND(LEN($D3607)=10,LEFT($D3607,1)="0",ISNUMBER(--$D3607)),"Có","Không"))</f>
        <v/>
      </c>
      <c r="T3607" s="22">
        <f>IF($D3607="","",IF(AND($C3607&lt;&gt;"",$Q3607="Có",$R3607="",$S3607="Có",AND($L3607&lt;&gt;"",OR($L3607&lt;&gt;"Chưa xác định",DANH_MUC!$L$9="Có"))),"Có","Không"))</f>
        <v/>
      </c>
      <c r="U3607" s="22">
        <f>IF(OR($D3607="",$T3607="Có"),"",IF($C3607="","Thiếu họ tên; ","")&amp;IF($S3607&lt;&gt;"Có","SĐT sai định dạng; ","")&amp;IF($R3607="Trùng","Trùng SĐT; ","")&amp;IF($Q3607&lt;&gt;"Có","Thiếu đồng ý bắt buộc; ","")&amp;IF($L3607="","Thiếu/sai Mã REF; ",IF(AND($L3607="Chưa xác định",DANH_MUC!$L$9&lt;&gt;"Có"),"Nguồn chưa xác định; ","")))</f>
        <v/>
      </c>
      <c r="V3607" s="22">
        <f>IF(OR($D3607="",$R3607="Trùng"),"",IF(COUNTIF(ORDERS!$C$2:$C$4995,$D3607)&gt;0,"Có","Không"))</f>
        <v/>
      </c>
      <c r="W3607" s="22">
        <f>IF(OR($D3607="",$R3607="Trùng"),"",COUNTIFS(ORDERS!$C$2:$C$4995,$D3607,ORDERS!$L$2:$L$4995,"Đã chuyển khoản"))</f>
        <v/>
      </c>
      <c r="X3607" s="23">
        <f>IF(OR($D3607="",$R3607="Trùng"),"",SUMIFS(ORDERS!$J$2:$J$4995,ORDERS!$C$2:$C$4995,$D3607,ORDERS!$L$2:$L$4995,"Đã chuyển khoản"))</f>
        <v/>
      </c>
      <c r="Y3607" s="24" t="n"/>
    </row>
    <row r="3608" ht="14.25" customHeight="1" s="40">
      <c r="A3608" s="24" t="n"/>
      <c r="B3608" s="27" t="n"/>
      <c r="C3608" s="24" t="n"/>
      <c r="D3608" s="28" t="n"/>
      <c r="E3608" s="29" t="n"/>
      <c r="F3608" s="24" t="n"/>
      <c r="G3608" s="24" t="n"/>
      <c r="H3608" s="21">
        <f>IF(ISNUMBER($B3608),INT($B3608)-WEEKDAY($B3608,2)+1,"")</f>
        <v/>
      </c>
      <c r="I3608" s="24" t="n"/>
      <c r="J3608" s="22">
        <f t="array" ref="J3608">IF($D3608="","",IF($I3608="","(trống REF)",IFERROR(INDEX(MASTER_SOURCE!$B$2:$B$495,MATCH($I3608,MASTER_SOURCE!$A$2:$A$495,0)),"(REF không có trong MASTER_SOURCE)")))</f>
        <v/>
      </c>
      <c r="K3608" s="22">
        <f t="array" ref="K3608">IF($D3608="","",IFERROR(INDEX(MASTER_SOURCE!$C$2:$C$495,MATCH($I3608,MASTER_SOURCE!$A$2:$A$495,0)),""))</f>
        <v/>
      </c>
      <c r="L3608" s="22">
        <f t="array" ref="L3608">IF($D3608="","",IFERROR(INDEX(MASTER_SOURCE!$D$2:$D$495,MATCH($I3608,MASTER_SOURCE!$A$2:$A$495,0)),""))</f>
        <v/>
      </c>
      <c r="M3608" s="24" t="n"/>
      <c r="N3608" s="24" t="n"/>
      <c r="O3608" s="24" t="n"/>
      <c r="P3608" s="24" t="n"/>
      <c r="Q3608" s="22">
        <f>IF($D3608="","",IF(AND(OR(DANH_MUC!$L$5&lt;&gt;"Có",M3608="Có"),OR(DANH_MUC!$L$6&lt;&gt;"Có",N3608="Có"),OR(DANH_MUC!$L$7&lt;&gt;"Có",O3608="Có"),OR(DANH_MUC!$L$8&lt;&gt;"Có",P3608="Có")),"Có","Không"))</f>
        <v/>
      </c>
      <c r="R3608" s="22">
        <f>IF($D3608="","",IF(COUNTIF($D$2:$D3608,$D3608)&gt;1,"Trùng",""))</f>
        <v/>
      </c>
      <c r="S3608" s="22">
        <f>IF($D3608="","",IF(AND(LEN($D3608)=10,LEFT($D3608,1)="0",ISNUMBER(--$D3608)),"Có","Không"))</f>
        <v/>
      </c>
      <c r="T3608" s="22">
        <f>IF($D3608="","",IF(AND($C3608&lt;&gt;"",$Q3608="Có",$R3608="",$S3608="Có",AND($L3608&lt;&gt;"",OR($L3608&lt;&gt;"Chưa xác định",DANH_MUC!$L$9="Có"))),"Có","Không"))</f>
        <v/>
      </c>
      <c r="U3608" s="22">
        <f>IF(OR($D3608="",$T3608="Có"),"",IF($C3608="","Thiếu họ tên; ","")&amp;IF($S3608&lt;&gt;"Có","SĐT sai định dạng; ","")&amp;IF($R3608="Trùng","Trùng SĐT; ","")&amp;IF($Q3608&lt;&gt;"Có","Thiếu đồng ý bắt buộc; ","")&amp;IF($L3608="","Thiếu/sai Mã REF; ",IF(AND($L3608="Chưa xác định",DANH_MUC!$L$9&lt;&gt;"Có"),"Nguồn chưa xác định; ","")))</f>
        <v/>
      </c>
      <c r="V3608" s="22">
        <f>IF(OR($D3608="",$R3608="Trùng"),"",IF(COUNTIF(ORDERS!$C$2:$C$4995,$D3608)&gt;0,"Có","Không"))</f>
        <v/>
      </c>
      <c r="W3608" s="22">
        <f>IF(OR($D3608="",$R3608="Trùng"),"",COUNTIFS(ORDERS!$C$2:$C$4995,$D3608,ORDERS!$L$2:$L$4995,"Đã chuyển khoản"))</f>
        <v/>
      </c>
      <c r="X3608" s="23">
        <f>IF(OR($D3608="",$R3608="Trùng"),"",SUMIFS(ORDERS!$J$2:$J$4995,ORDERS!$C$2:$C$4995,$D3608,ORDERS!$L$2:$L$4995,"Đã chuyển khoản"))</f>
        <v/>
      </c>
      <c r="Y3608" s="24" t="n"/>
    </row>
    <row r="3609" ht="14.25" customHeight="1" s="40">
      <c r="A3609" s="24" t="n"/>
      <c r="B3609" s="27" t="n"/>
      <c r="C3609" s="24" t="n"/>
      <c r="D3609" s="28" t="n"/>
      <c r="E3609" s="29" t="n"/>
      <c r="F3609" s="24" t="n"/>
      <c r="G3609" s="24" t="n"/>
      <c r="H3609" s="21">
        <f>IF(ISNUMBER($B3609),INT($B3609)-WEEKDAY($B3609,2)+1,"")</f>
        <v/>
      </c>
      <c r="I3609" s="24" t="n"/>
      <c r="J3609" s="22">
        <f t="array" ref="J3609">IF($D3609="","",IF($I3609="","(trống REF)",IFERROR(INDEX(MASTER_SOURCE!$B$2:$B$495,MATCH($I3609,MASTER_SOURCE!$A$2:$A$495,0)),"(REF không có trong MASTER_SOURCE)")))</f>
        <v/>
      </c>
      <c r="K3609" s="22">
        <f t="array" ref="K3609">IF($D3609="","",IFERROR(INDEX(MASTER_SOURCE!$C$2:$C$495,MATCH($I3609,MASTER_SOURCE!$A$2:$A$495,0)),""))</f>
        <v/>
      </c>
      <c r="L3609" s="22">
        <f t="array" ref="L3609">IF($D3609="","",IFERROR(INDEX(MASTER_SOURCE!$D$2:$D$495,MATCH($I3609,MASTER_SOURCE!$A$2:$A$495,0)),""))</f>
        <v/>
      </c>
      <c r="M3609" s="24" t="n"/>
      <c r="N3609" s="24" t="n"/>
      <c r="O3609" s="24" t="n"/>
      <c r="P3609" s="24" t="n"/>
      <c r="Q3609" s="22">
        <f>IF($D3609="","",IF(AND(OR(DANH_MUC!$L$5&lt;&gt;"Có",M3609="Có"),OR(DANH_MUC!$L$6&lt;&gt;"Có",N3609="Có"),OR(DANH_MUC!$L$7&lt;&gt;"Có",O3609="Có"),OR(DANH_MUC!$L$8&lt;&gt;"Có",P3609="Có")),"Có","Không"))</f>
        <v/>
      </c>
      <c r="R3609" s="22">
        <f>IF($D3609="","",IF(COUNTIF($D$2:$D3609,$D3609)&gt;1,"Trùng",""))</f>
        <v/>
      </c>
      <c r="S3609" s="22">
        <f>IF($D3609="","",IF(AND(LEN($D3609)=10,LEFT($D3609,1)="0",ISNUMBER(--$D3609)),"Có","Không"))</f>
        <v/>
      </c>
      <c r="T3609" s="22">
        <f>IF($D3609="","",IF(AND($C3609&lt;&gt;"",$Q3609="Có",$R3609="",$S3609="Có",AND($L3609&lt;&gt;"",OR($L3609&lt;&gt;"Chưa xác định",DANH_MUC!$L$9="Có"))),"Có","Không"))</f>
        <v/>
      </c>
      <c r="U3609" s="22">
        <f>IF(OR($D3609="",$T3609="Có"),"",IF($C3609="","Thiếu họ tên; ","")&amp;IF($S3609&lt;&gt;"Có","SĐT sai định dạng; ","")&amp;IF($R3609="Trùng","Trùng SĐT; ","")&amp;IF($Q3609&lt;&gt;"Có","Thiếu đồng ý bắt buộc; ","")&amp;IF($L3609="","Thiếu/sai Mã REF; ",IF(AND($L3609="Chưa xác định",DANH_MUC!$L$9&lt;&gt;"Có"),"Nguồn chưa xác định; ","")))</f>
        <v/>
      </c>
      <c r="V3609" s="22">
        <f>IF(OR($D3609="",$R3609="Trùng"),"",IF(COUNTIF(ORDERS!$C$2:$C$4995,$D3609)&gt;0,"Có","Không"))</f>
        <v/>
      </c>
      <c r="W3609" s="22">
        <f>IF(OR($D3609="",$R3609="Trùng"),"",COUNTIFS(ORDERS!$C$2:$C$4995,$D3609,ORDERS!$L$2:$L$4995,"Đã chuyển khoản"))</f>
        <v/>
      </c>
      <c r="X3609" s="23">
        <f>IF(OR($D3609="",$R3609="Trùng"),"",SUMIFS(ORDERS!$J$2:$J$4995,ORDERS!$C$2:$C$4995,$D3609,ORDERS!$L$2:$L$4995,"Đã chuyển khoản"))</f>
        <v/>
      </c>
      <c r="Y3609" s="24" t="n"/>
    </row>
    <row r="3610" ht="14.25" customHeight="1" s="40">
      <c r="A3610" s="24" t="n"/>
      <c r="B3610" s="27" t="n"/>
      <c r="C3610" s="24" t="n"/>
      <c r="D3610" s="28" t="n"/>
      <c r="E3610" s="29" t="n"/>
      <c r="F3610" s="24" t="n"/>
      <c r="G3610" s="24" t="n"/>
      <c r="H3610" s="21">
        <f>IF(ISNUMBER($B3610),INT($B3610)-WEEKDAY($B3610,2)+1,"")</f>
        <v/>
      </c>
      <c r="I3610" s="24" t="n"/>
      <c r="J3610" s="22">
        <f t="array" ref="J3610">IF($D3610="","",IF($I3610="","(trống REF)",IFERROR(INDEX(MASTER_SOURCE!$B$2:$B$495,MATCH($I3610,MASTER_SOURCE!$A$2:$A$495,0)),"(REF không có trong MASTER_SOURCE)")))</f>
        <v/>
      </c>
      <c r="K3610" s="22">
        <f t="array" ref="K3610">IF($D3610="","",IFERROR(INDEX(MASTER_SOURCE!$C$2:$C$495,MATCH($I3610,MASTER_SOURCE!$A$2:$A$495,0)),""))</f>
        <v/>
      </c>
      <c r="L3610" s="22">
        <f t="array" ref="L3610">IF($D3610="","",IFERROR(INDEX(MASTER_SOURCE!$D$2:$D$495,MATCH($I3610,MASTER_SOURCE!$A$2:$A$495,0)),""))</f>
        <v/>
      </c>
      <c r="M3610" s="24" t="n"/>
      <c r="N3610" s="24" t="n"/>
      <c r="O3610" s="24" t="n"/>
      <c r="P3610" s="24" t="n"/>
      <c r="Q3610" s="22">
        <f>IF($D3610="","",IF(AND(OR(DANH_MUC!$L$5&lt;&gt;"Có",M3610="Có"),OR(DANH_MUC!$L$6&lt;&gt;"Có",N3610="Có"),OR(DANH_MUC!$L$7&lt;&gt;"Có",O3610="Có"),OR(DANH_MUC!$L$8&lt;&gt;"Có",P3610="Có")),"Có","Không"))</f>
        <v/>
      </c>
      <c r="R3610" s="22">
        <f>IF($D3610="","",IF(COUNTIF($D$2:$D3610,$D3610)&gt;1,"Trùng",""))</f>
        <v/>
      </c>
      <c r="S3610" s="22">
        <f>IF($D3610="","",IF(AND(LEN($D3610)=10,LEFT($D3610,1)="0",ISNUMBER(--$D3610)),"Có","Không"))</f>
        <v/>
      </c>
      <c r="T3610" s="22">
        <f>IF($D3610="","",IF(AND($C3610&lt;&gt;"",$Q3610="Có",$R3610="",$S3610="Có",AND($L3610&lt;&gt;"",OR($L3610&lt;&gt;"Chưa xác định",DANH_MUC!$L$9="Có"))),"Có","Không"))</f>
        <v/>
      </c>
      <c r="U3610" s="22">
        <f>IF(OR($D3610="",$T3610="Có"),"",IF($C3610="","Thiếu họ tên; ","")&amp;IF($S3610&lt;&gt;"Có","SĐT sai định dạng; ","")&amp;IF($R3610="Trùng","Trùng SĐT; ","")&amp;IF($Q3610&lt;&gt;"Có","Thiếu đồng ý bắt buộc; ","")&amp;IF($L3610="","Thiếu/sai Mã REF; ",IF(AND($L3610="Chưa xác định",DANH_MUC!$L$9&lt;&gt;"Có"),"Nguồn chưa xác định; ","")))</f>
        <v/>
      </c>
      <c r="V3610" s="22">
        <f>IF(OR($D3610="",$R3610="Trùng"),"",IF(COUNTIF(ORDERS!$C$2:$C$4995,$D3610)&gt;0,"Có","Không"))</f>
        <v/>
      </c>
      <c r="W3610" s="22">
        <f>IF(OR($D3610="",$R3610="Trùng"),"",COUNTIFS(ORDERS!$C$2:$C$4995,$D3610,ORDERS!$L$2:$L$4995,"Đã chuyển khoản"))</f>
        <v/>
      </c>
      <c r="X3610" s="23">
        <f>IF(OR($D3610="",$R3610="Trùng"),"",SUMIFS(ORDERS!$J$2:$J$4995,ORDERS!$C$2:$C$4995,$D3610,ORDERS!$L$2:$L$4995,"Đã chuyển khoản"))</f>
        <v/>
      </c>
      <c r="Y3610" s="24" t="n"/>
    </row>
    <row r="3611" ht="14.25" customHeight="1" s="40">
      <c r="A3611" s="24" t="n"/>
      <c r="B3611" s="27" t="n"/>
      <c r="C3611" s="24" t="n"/>
      <c r="D3611" s="28" t="n"/>
      <c r="E3611" s="29" t="n"/>
      <c r="F3611" s="24" t="n"/>
      <c r="G3611" s="24" t="n"/>
      <c r="H3611" s="21">
        <f>IF(ISNUMBER($B3611),INT($B3611)-WEEKDAY($B3611,2)+1,"")</f>
        <v/>
      </c>
      <c r="I3611" s="24" t="n"/>
      <c r="J3611" s="22">
        <f t="array" ref="J3611">IF($D3611="","",IF($I3611="","(trống REF)",IFERROR(INDEX(MASTER_SOURCE!$B$2:$B$495,MATCH($I3611,MASTER_SOURCE!$A$2:$A$495,0)),"(REF không có trong MASTER_SOURCE)")))</f>
        <v/>
      </c>
      <c r="K3611" s="22">
        <f t="array" ref="K3611">IF($D3611="","",IFERROR(INDEX(MASTER_SOURCE!$C$2:$C$495,MATCH($I3611,MASTER_SOURCE!$A$2:$A$495,0)),""))</f>
        <v/>
      </c>
      <c r="L3611" s="22">
        <f t="array" ref="L3611">IF($D3611="","",IFERROR(INDEX(MASTER_SOURCE!$D$2:$D$495,MATCH($I3611,MASTER_SOURCE!$A$2:$A$495,0)),""))</f>
        <v/>
      </c>
      <c r="M3611" s="24" t="n"/>
      <c r="N3611" s="24" t="n"/>
      <c r="O3611" s="24" t="n"/>
      <c r="P3611" s="24" t="n"/>
      <c r="Q3611" s="22">
        <f>IF($D3611="","",IF(AND(OR(DANH_MUC!$L$5&lt;&gt;"Có",M3611="Có"),OR(DANH_MUC!$L$6&lt;&gt;"Có",N3611="Có"),OR(DANH_MUC!$L$7&lt;&gt;"Có",O3611="Có"),OR(DANH_MUC!$L$8&lt;&gt;"Có",P3611="Có")),"Có","Không"))</f>
        <v/>
      </c>
      <c r="R3611" s="22">
        <f>IF($D3611="","",IF(COUNTIF($D$2:$D3611,$D3611)&gt;1,"Trùng",""))</f>
        <v/>
      </c>
      <c r="S3611" s="22">
        <f>IF($D3611="","",IF(AND(LEN($D3611)=10,LEFT($D3611,1)="0",ISNUMBER(--$D3611)),"Có","Không"))</f>
        <v/>
      </c>
      <c r="T3611" s="22">
        <f>IF($D3611="","",IF(AND($C3611&lt;&gt;"",$Q3611="Có",$R3611="",$S3611="Có",AND($L3611&lt;&gt;"",OR($L3611&lt;&gt;"Chưa xác định",DANH_MUC!$L$9="Có"))),"Có","Không"))</f>
        <v/>
      </c>
      <c r="U3611" s="22">
        <f>IF(OR($D3611="",$T3611="Có"),"",IF($C3611="","Thiếu họ tên; ","")&amp;IF($S3611&lt;&gt;"Có","SĐT sai định dạng; ","")&amp;IF($R3611="Trùng","Trùng SĐT; ","")&amp;IF($Q3611&lt;&gt;"Có","Thiếu đồng ý bắt buộc; ","")&amp;IF($L3611="","Thiếu/sai Mã REF; ",IF(AND($L3611="Chưa xác định",DANH_MUC!$L$9&lt;&gt;"Có"),"Nguồn chưa xác định; ","")))</f>
        <v/>
      </c>
      <c r="V3611" s="22">
        <f>IF(OR($D3611="",$R3611="Trùng"),"",IF(COUNTIF(ORDERS!$C$2:$C$4995,$D3611)&gt;0,"Có","Không"))</f>
        <v/>
      </c>
      <c r="W3611" s="22">
        <f>IF(OR($D3611="",$R3611="Trùng"),"",COUNTIFS(ORDERS!$C$2:$C$4995,$D3611,ORDERS!$L$2:$L$4995,"Đã chuyển khoản"))</f>
        <v/>
      </c>
      <c r="X3611" s="23">
        <f>IF(OR($D3611="",$R3611="Trùng"),"",SUMIFS(ORDERS!$J$2:$J$4995,ORDERS!$C$2:$C$4995,$D3611,ORDERS!$L$2:$L$4995,"Đã chuyển khoản"))</f>
        <v/>
      </c>
      <c r="Y3611" s="24" t="n"/>
    </row>
    <row r="3612" ht="14.25" customHeight="1" s="40">
      <c r="A3612" s="24" t="n"/>
      <c r="B3612" s="27" t="n"/>
      <c r="C3612" s="24" t="n"/>
      <c r="D3612" s="28" t="n"/>
      <c r="E3612" s="29" t="n"/>
      <c r="F3612" s="24" t="n"/>
      <c r="G3612" s="24" t="n"/>
      <c r="H3612" s="21">
        <f>IF(ISNUMBER($B3612),INT($B3612)-WEEKDAY($B3612,2)+1,"")</f>
        <v/>
      </c>
      <c r="I3612" s="24" t="n"/>
      <c r="J3612" s="22">
        <f t="array" ref="J3612">IF($D3612="","",IF($I3612="","(trống REF)",IFERROR(INDEX(MASTER_SOURCE!$B$2:$B$495,MATCH($I3612,MASTER_SOURCE!$A$2:$A$495,0)),"(REF không có trong MASTER_SOURCE)")))</f>
        <v/>
      </c>
      <c r="K3612" s="22">
        <f t="array" ref="K3612">IF($D3612="","",IFERROR(INDEX(MASTER_SOURCE!$C$2:$C$495,MATCH($I3612,MASTER_SOURCE!$A$2:$A$495,0)),""))</f>
        <v/>
      </c>
      <c r="L3612" s="22">
        <f t="array" ref="L3612">IF($D3612="","",IFERROR(INDEX(MASTER_SOURCE!$D$2:$D$495,MATCH($I3612,MASTER_SOURCE!$A$2:$A$495,0)),""))</f>
        <v/>
      </c>
      <c r="M3612" s="24" t="n"/>
      <c r="N3612" s="24" t="n"/>
      <c r="O3612" s="24" t="n"/>
      <c r="P3612" s="24" t="n"/>
      <c r="Q3612" s="22">
        <f>IF($D3612="","",IF(AND(OR(DANH_MUC!$L$5&lt;&gt;"Có",M3612="Có"),OR(DANH_MUC!$L$6&lt;&gt;"Có",N3612="Có"),OR(DANH_MUC!$L$7&lt;&gt;"Có",O3612="Có"),OR(DANH_MUC!$L$8&lt;&gt;"Có",P3612="Có")),"Có","Không"))</f>
        <v/>
      </c>
      <c r="R3612" s="22">
        <f>IF($D3612="","",IF(COUNTIF($D$2:$D3612,$D3612)&gt;1,"Trùng",""))</f>
        <v/>
      </c>
      <c r="S3612" s="22">
        <f>IF($D3612="","",IF(AND(LEN($D3612)=10,LEFT($D3612,1)="0",ISNUMBER(--$D3612)),"Có","Không"))</f>
        <v/>
      </c>
      <c r="T3612" s="22">
        <f>IF($D3612="","",IF(AND($C3612&lt;&gt;"",$Q3612="Có",$R3612="",$S3612="Có",AND($L3612&lt;&gt;"",OR($L3612&lt;&gt;"Chưa xác định",DANH_MUC!$L$9="Có"))),"Có","Không"))</f>
        <v/>
      </c>
      <c r="U3612" s="22">
        <f>IF(OR($D3612="",$T3612="Có"),"",IF($C3612="","Thiếu họ tên; ","")&amp;IF($S3612&lt;&gt;"Có","SĐT sai định dạng; ","")&amp;IF($R3612="Trùng","Trùng SĐT; ","")&amp;IF($Q3612&lt;&gt;"Có","Thiếu đồng ý bắt buộc; ","")&amp;IF($L3612="","Thiếu/sai Mã REF; ",IF(AND($L3612="Chưa xác định",DANH_MUC!$L$9&lt;&gt;"Có"),"Nguồn chưa xác định; ","")))</f>
        <v/>
      </c>
      <c r="V3612" s="22">
        <f>IF(OR($D3612="",$R3612="Trùng"),"",IF(COUNTIF(ORDERS!$C$2:$C$4995,$D3612)&gt;0,"Có","Không"))</f>
        <v/>
      </c>
      <c r="W3612" s="22">
        <f>IF(OR($D3612="",$R3612="Trùng"),"",COUNTIFS(ORDERS!$C$2:$C$4995,$D3612,ORDERS!$L$2:$L$4995,"Đã chuyển khoản"))</f>
        <v/>
      </c>
      <c r="X3612" s="23">
        <f>IF(OR($D3612="",$R3612="Trùng"),"",SUMIFS(ORDERS!$J$2:$J$4995,ORDERS!$C$2:$C$4995,$D3612,ORDERS!$L$2:$L$4995,"Đã chuyển khoản"))</f>
        <v/>
      </c>
      <c r="Y3612" s="24" t="n"/>
    </row>
    <row r="3613" ht="14.25" customHeight="1" s="40">
      <c r="A3613" s="24" t="n"/>
      <c r="B3613" s="27" t="n"/>
      <c r="C3613" s="24" t="n"/>
      <c r="D3613" s="28" t="n"/>
      <c r="E3613" s="29" t="n"/>
      <c r="F3613" s="24" t="n"/>
      <c r="G3613" s="24" t="n"/>
      <c r="H3613" s="21">
        <f>IF(ISNUMBER($B3613),INT($B3613)-WEEKDAY($B3613,2)+1,"")</f>
        <v/>
      </c>
      <c r="I3613" s="24" t="n"/>
      <c r="J3613" s="22">
        <f t="array" ref="J3613">IF($D3613="","",IF($I3613="","(trống REF)",IFERROR(INDEX(MASTER_SOURCE!$B$2:$B$495,MATCH($I3613,MASTER_SOURCE!$A$2:$A$495,0)),"(REF không có trong MASTER_SOURCE)")))</f>
        <v/>
      </c>
      <c r="K3613" s="22">
        <f t="array" ref="K3613">IF($D3613="","",IFERROR(INDEX(MASTER_SOURCE!$C$2:$C$495,MATCH($I3613,MASTER_SOURCE!$A$2:$A$495,0)),""))</f>
        <v/>
      </c>
      <c r="L3613" s="22">
        <f t="array" ref="L3613">IF($D3613="","",IFERROR(INDEX(MASTER_SOURCE!$D$2:$D$495,MATCH($I3613,MASTER_SOURCE!$A$2:$A$495,0)),""))</f>
        <v/>
      </c>
      <c r="M3613" s="24" t="n"/>
      <c r="N3613" s="24" t="n"/>
      <c r="O3613" s="24" t="n"/>
      <c r="P3613" s="24" t="n"/>
      <c r="Q3613" s="22">
        <f>IF($D3613="","",IF(AND(OR(DANH_MUC!$L$5&lt;&gt;"Có",M3613="Có"),OR(DANH_MUC!$L$6&lt;&gt;"Có",N3613="Có"),OR(DANH_MUC!$L$7&lt;&gt;"Có",O3613="Có"),OR(DANH_MUC!$L$8&lt;&gt;"Có",P3613="Có")),"Có","Không"))</f>
        <v/>
      </c>
      <c r="R3613" s="22">
        <f>IF($D3613="","",IF(COUNTIF($D$2:$D3613,$D3613)&gt;1,"Trùng",""))</f>
        <v/>
      </c>
      <c r="S3613" s="22">
        <f>IF($D3613="","",IF(AND(LEN($D3613)=10,LEFT($D3613,1)="0",ISNUMBER(--$D3613)),"Có","Không"))</f>
        <v/>
      </c>
      <c r="T3613" s="22">
        <f>IF($D3613="","",IF(AND($C3613&lt;&gt;"",$Q3613="Có",$R3613="",$S3613="Có",AND($L3613&lt;&gt;"",OR($L3613&lt;&gt;"Chưa xác định",DANH_MUC!$L$9="Có"))),"Có","Không"))</f>
        <v/>
      </c>
      <c r="U3613" s="22">
        <f>IF(OR($D3613="",$T3613="Có"),"",IF($C3613="","Thiếu họ tên; ","")&amp;IF($S3613&lt;&gt;"Có","SĐT sai định dạng; ","")&amp;IF($R3613="Trùng","Trùng SĐT; ","")&amp;IF($Q3613&lt;&gt;"Có","Thiếu đồng ý bắt buộc; ","")&amp;IF($L3613="","Thiếu/sai Mã REF; ",IF(AND($L3613="Chưa xác định",DANH_MUC!$L$9&lt;&gt;"Có"),"Nguồn chưa xác định; ","")))</f>
        <v/>
      </c>
      <c r="V3613" s="22">
        <f>IF(OR($D3613="",$R3613="Trùng"),"",IF(COUNTIF(ORDERS!$C$2:$C$4995,$D3613)&gt;0,"Có","Không"))</f>
        <v/>
      </c>
      <c r="W3613" s="22">
        <f>IF(OR($D3613="",$R3613="Trùng"),"",COUNTIFS(ORDERS!$C$2:$C$4995,$D3613,ORDERS!$L$2:$L$4995,"Đã chuyển khoản"))</f>
        <v/>
      </c>
      <c r="X3613" s="23">
        <f>IF(OR($D3613="",$R3613="Trùng"),"",SUMIFS(ORDERS!$J$2:$J$4995,ORDERS!$C$2:$C$4995,$D3613,ORDERS!$L$2:$L$4995,"Đã chuyển khoản"))</f>
        <v/>
      </c>
      <c r="Y3613" s="24" t="n"/>
    </row>
    <row r="3614" ht="14.25" customHeight="1" s="40">
      <c r="A3614" s="24" t="n"/>
      <c r="B3614" s="27" t="n"/>
      <c r="C3614" s="24" t="n"/>
      <c r="D3614" s="28" t="n"/>
      <c r="E3614" s="29" t="n"/>
      <c r="F3614" s="24" t="n"/>
      <c r="G3614" s="24" t="n"/>
      <c r="H3614" s="21">
        <f>IF(ISNUMBER($B3614),INT($B3614)-WEEKDAY($B3614,2)+1,"")</f>
        <v/>
      </c>
      <c r="I3614" s="24" t="n"/>
      <c r="J3614" s="22">
        <f t="array" ref="J3614">IF($D3614="","",IF($I3614="","(trống REF)",IFERROR(INDEX(MASTER_SOURCE!$B$2:$B$495,MATCH($I3614,MASTER_SOURCE!$A$2:$A$495,0)),"(REF không có trong MASTER_SOURCE)")))</f>
        <v/>
      </c>
      <c r="K3614" s="22">
        <f t="array" ref="K3614">IF($D3614="","",IFERROR(INDEX(MASTER_SOURCE!$C$2:$C$495,MATCH($I3614,MASTER_SOURCE!$A$2:$A$495,0)),""))</f>
        <v/>
      </c>
      <c r="L3614" s="22">
        <f t="array" ref="L3614">IF($D3614="","",IFERROR(INDEX(MASTER_SOURCE!$D$2:$D$495,MATCH($I3614,MASTER_SOURCE!$A$2:$A$495,0)),""))</f>
        <v/>
      </c>
      <c r="M3614" s="24" t="n"/>
      <c r="N3614" s="24" t="n"/>
      <c r="O3614" s="24" t="n"/>
      <c r="P3614" s="24" t="n"/>
      <c r="Q3614" s="22">
        <f>IF($D3614="","",IF(AND(OR(DANH_MUC!$L$5&lt;&gt;"Có",M3614="Có"),OR(DANH_MUC!$L$6&lt;&gt;"Có",N3614="Có"),OR(DANH_MUC!$L$7&lt;&gt;"Có",O3614="Có"),OR(DANH_MUC!$L$8&lt;&gt;"Có",P3614="Có")),"Có","Không"))</f>
        <v/>
      </c>
      <c r="R3614" s="22">
        <f>IF($D3614="","",IF(COUNTIF($D$2:$D3614,$D3614)&gt;1,"Trùng",""))</f>
        <v/>
      </c>
      <c r="S3614" s="22">
        <f>IF($D3614="","",IF(AND(LEN($D3614)=10,LEFT($D3614,1)="0",ISNUMBER(--$D3614)),"Có","Không"))</f>
        <v/>
      </c>
      <c r="T3614" s="22">
        <f>IF($D3614="","",IF(AND($C3614&lt;&gt;"",$Q3614="Có",$R3614="",$S3614="Có",AND($L3614&lt;&gt;"",OR($L3614&lt;&gt;"Chưa xác định",DANH_MUC!$L$9="Có"))),"Có","Không"))</f>
        <v/>
      </c>
      <c r="U3614" s="22">
        <f>IF(OR($D3614="",$T3614="Có"),"",IF($C3614="","Thiếu họ tên; ","")&amp;IF($S3614&lt;&gt;"Có","SĐT sai định dạng; ","")&amp;IF($R3614="Trùng","Trùng SĐT; ","")&amp;IF($Q3614&lt;&gt;"Có","Thiếu đồng ý bắt buộc; ","")&amp;IF($L3614="","Thiếu/sai Mã REF; ",IF(AND($L3614="Chưa xác định",DANH_MUC!$L$9&lt;&gt;"Có"),"Nguồn chưa xác định; ","")))</f>
        <v/>
      </c>
      <c r="V3614" s="22">
        <f>IF(OR($D3614="",$R3614="Trùng"),"",IF(COUNTIF(ORDERS!$C$2:$C$4995,$D3614)&gt;0,"Có","Không"))</f>
        <v/>
      </c>
      <c r="W3614" s="22">
        <f>IF(OR($D3614="",$R3614="Trùng"),"",COUNTIFS(ORDERS!$C$2:$C$4995,$D3614,ORDERS!$L$2:$L$4995,"Đã chuyển khoản"))</f>
        <v/>
      </c>
      <c r="X3614" s="23">
        <f>IF(OR($D3614="",$R3614="Trùng"),"",SUMIFS(ORDERS!$J$2:$J$4995,ORDERS!$C$2:$C$4995,$D3614,ORDERS!$L$2:$L$4995,"Đã chuyển khoản"))</f>
        <v/>
      </c>
      <c r="Y3614" s="24" t="n"/>
    </row>
    <row r="3615" ht="14.25" customHeight="1" s="40">
      <c r="A3615" s="24" t="n"/>
      <c r="B3615" s="27" t="n"/>
      <c r="C3615" s="24" t="n"/>
      <c r="D3615" s="28" t="n"/>
      <c r="E3615" s="29" t="n"/>
      <c r="F3615" s="24" t="n"/>
      <c r="G3615" s="24" t="n"/>
      <c r="H3615" s="21">
        <f>IF(ISNUMBER($B3615),INT($B3615)-WEEKDAY($B3615,2)+1,"")</f>
        <v/>
      </c>
      <c r="I3615" s="24" t="n"/>
      <c r="J3615" s="22">
        <f t="array" ref="J3615">IF($D3615="","",IF($I3615="","(trống REF)",IFERROR(INDEX(MASTER_SOURCE!$B$2:$B$495,MATCH($I3615,MASTER_SOURCE!$A$2:$A$495,0)),"(REF không có trong MASTER_SOURCE)")))</f>
        <v/>
      </c>
      <c r="K3615" s="22">
        <f t="array" ref="K3615">IF($D3615="","",IFERROR(INDEX(MASTER_SOURCE!$C$2:$C$495,MATCH($I3615,MASTER_SOURCE!$A$2:$A$495,0)),""))</f>
        <v/>
      </c>
      <c r="L3615" s="22">
        <f t="array" ref="L3615">IF($D3615="","",IFERROR(INDEX(MASTER_SOURCE!$D$2:$D$495,MATCH($I3615,MASTER_SOURCE!$A$2:$A$495,0)),""))</f>
        <v/>
      </c>
      <c r="M3615" s="24" t="n"/>
      <c r="N3615" s="24" t="n"/>
      <c r="O3615" s="24" t="n"/>
      <c r="P3615" s="24" t="n"/>
      <c r="Q3615" s="22">
        <f>IF($D3615="","",IF(AND(OR(DANH_MUC!$L$5&lt;&gt;"Có",M3615="Có"),OR(DANH_MUC!$L$6&lt;&gt;"Có",N3615="Có"),OR(DANH_MUC!$L$7&lt;&gt;"Có",O3615="Có"),OR(DANH_MUC!$L$8&lt;&gt;"Có",P3615="Có")),"Có","Không"))</f>
        <v/>
      </c>
      <c r="R3615" s="22">
        <f>IF($D3615="","",IF(COUNTIF($D$2:$D3615,$D3615)&gt;1,"Trùng",""))</f>
        <v/>
      </c>
      <c r="S3615" s="22">
        <f>IF($D3615="","",IF(AND(LEN($D3615)=10,LEFT($D3615,1)="0",ISNUMBER(--$D3615)),"Có","Không"))</f>
        <v/>
      </c>
      <c r="T3615" s="22">
        <f>IF($D3615="","",IF(AND($C3615&lt;&gt;"",$Q3615="Có",$R3615="",$S3615="Có",AND($L3615&lt;&gt;"",OR($L3615&lt;&gt;"Chưa xác định",DANH_MUC!$L$9="Có"))),"Có","Không"))</f>
        <v/>
      </c>
      <c r="U3615" s="22">
        <f>IF(OR($D3615="",$T3615="Có"),"",IF($C3615="","Thiếu họ tên; ","")&amp;IF($S3615&lt;&gt;"Có","SĐT sai định dạng; ","")&amp;IF($R3615="Trùng","Trùng SĐT; ","")&amp;IF($Q3615&lt;&gt;"Có","Thiếu đồng ý bắt buộc; ","")&amp;IF($L3615="","Thiếu/sai Mã REF; ",IF(AND($L3615="Chưa xác định",DANH_MUC!$L$9&lt;&gt;"Có"),"Nguồn chưa xác định; ","")))</f>
        <v/>
      </c>
      <c r="V3615" s="22">
        <f>IF(OR($D3615="",$R3615="Trùng"),"",IF(COUNTIF(ORDERS!$C$2:$C$4995,$D3615)&gt;0,"Có","Không"))</f>
        <v/>
      </c>
      <c r="W3615" s="22">
        <f>IF(OR($D3615="",$R3615="Trùng"),"",COUNTIFS(ORDERS!$C$2:$C$4995,$D3615,ORDERS!$L$2:$L$4995,"Đã chuyển khoản"))</f>
        <v/>
      </c>
      <c r="X3615" s="23">
        <f>IF(OR($D3615="",$R3615="Trùng"),"",SUMIFS(ORDERS!$J$2:$J$4995,ORDERS!$C$2:$C$4995,$D3615,ORDERS!$L$2:$L$4995,"Đã chuyển khoản"))</f>
        <v/>
      </c>
      <c r="Y3615" s="24" t="n"/>
    </row>
    <row r="3616" ht="14.25" customHeight="1" s="40">
      <c r="A3616" s="24" t="n"/>
      <c r="B3616" s="27" t="n"/>
      <c r="C3616" s="24" t="n"/>
      <c r="D3616" s="28" t="n"/>
      <c r="E3616" s="29" t="n"/>
      <c r="F3616" s="24" t="n"/>
      <c r="G3616" s="24" t="n"/>
      <c r="H3616" s="21">
        <f>IF(ISNUMBER($B3616),INT($B3616)-WEEKDAY($B3616,2)+1,"")</f>
        <v/>
      </c>
      <c r="I3616" s="24" t="n"/>
      <c r="J3616" s="22">
        <f t="array" ref="J3616">IF($D3616="","",IF($I3616="","(trống REF)",IFERROR(INDEX(MASTER_SOURCE!$B$2:$B$495,MATCH($I3616,MASTER_SOURCE!$A$2:$A$495,0)),"(REF không có trong MASTER_SOURCE)")))</f>
        <v/>
      </c>
      <c r="K3616" s="22">
        <f t="array" ref="K3616">IF($D3616="","",IFERROR(INDEX(MASTER_SOURCE!$C$2:$C$495,MATCH($I3616,MASTER_SOURCE!$A$2:$A$495,0)),""))</f>
        <v/>
      </c>
      <c r="L3616" s="22">
        <f t="array" ref="L3616">IF($D3616="","",IFERROR(INDEX(MASTER_SOURCE!$D$2:$D$495,MATCH($I3616,MASTER_SOURCE!$A$2:$A$495,0)),""))</f>
        <v/>
      </c>
      <c r="M3616" s="24" t="n"/>
      <c r="N3616" s="24" t="n"/>
      <c r="O3616" s="24" t="n"/>
      <c r="P3616" s="24" t="n"/>
      <c r="Q3616" s="22">
        <f>IF($D3616="","",IF(AND(OR(DANH_MUC!$L$5&lt;&gt;"Có",M3616="Có"),OR(DANH_MUC!$L$6&lt;&gt;"Có",N3616="Có"),OR(DANH_MUC!$L$7&lt;&gt;"Có",O3616="Có"),OR(DANH_MUC!$L$8&lt;&gt;"Có",P3616="Có")),"Có","Không"))</f>
        <v/>
      </c>
      <c r="R3616" s="22">
        <f>IF($D3616="","",IF(COUNTIF($D$2:$D3616,$D3616)&gt;1,"Trùng",""))</f>
        <v/>
      </c>
      <c r="S3616" s="22">
        <f>IF($D3616="","",IF(AND(LEN($D3616)=10,LEFT($D3616,1)="0",ISNUMBER(--$D3616)),"Có","Không"))</f>
        <v/>
      </c>
      <c r="T3616" s="22">
        <f>IF($D3616="","",IF(AND($C3616&lt;&gt;"",$Q3616="Có",$R3616="",$S3616="Có",AND($L3616&lt;&gt;"",OR($L3616&lt;&gt;"Chưa xác định",DANH_MUC!$L$9="Có"))),"Có","Không"))</f>
        <v/>
      </c>
      <c r="U3616" s="22">
        <f>IF(OR($D3616="",$T3616="Có"),"",IF($C3616="","Thiếu họ tên; ","")&amp;IF($S3616&lt;&gt;"Có","SĐT sai định dạng; ","")&amp;IF($R3616="Trùng","Trùng SĐT; ","")&amp;IF($Q3616&lt;&gt;"Có","Thiếu đồng ý bắt buộc; ","")&amp;IF($L3616="","Thiếu/sai Mã REF; ",IF(AND($L3616="Chưa xác định",DANH_MUC!$L$9&lt;&gt;"Có"),"Nguồn chưa xác định; ","")))</f>
        <v/>
      </c>
      <c r="V3616" s="22">
        <f>IF(OR($D3616="",$R3616="Trùng"),"",IF(COUNTIF(ORDERS!$C$2:$C$4995,$D3616)&gt;0,"Có","Không"))</f>
        <v/>
      </c>
      <c r="W3616" s="22">
        <f>IF(OR($D3616="",$R3616="Trùng"),"",COUNTIFS(ORDERS!$C$2:$C$4995,$D3616,ORDERS!$L$2:$L$4995,"Đã chuyển khoản"))</f>
        <v/>
      </c>
      <c r="X3616" s="23">
        <f>IF(OR($D3616="",$R3616="Trùng"),"",SUMIFS(ORDERS!$J$2:$J$4995,ORDERS!$C$2:$C$4995,$D3616,ORDERS!$L$2:$L$4995,"Đã chuyển khoản"))</f>
        <v/>
      </c>
      <c r="Y3616" s="24" t="n"/>
    </row>
    <row r="3617" ht="14.25" customHeight="1" s="40">
      <c r="A3617" s="24" t="n"/>
      <c r="B3617" s="27" t="n"/>
      <c r="C3617" s="24" t="n"/>
      <c r="D3617" s="28" t="n"/>
      <c r="E3617" s="29" t="n"/>
      <c r="F3617" s="24" t="n"/>
      <c r="G3617" s="24" t="n"/>
      <c r="H3617" s="21">
        <f>IF(ISNUMBER($B3617),INT($B3617)-WEEKDAY($B3617,2)+1,"")</f>
        <v/>
      </c>
      <c r="I3617" s="24" t="n"/>
      <c r="J3617" s="22">
        <f t="array" ref="J3617">IF($D3617="","",IF($I3617="","(trống REF)",IFERROR(INDEX(MASTER_SOURCE!$B$2:$B$495,MATCH($I3617,MASTER_SOURCE!$A$2:$A$495,0)),"(REF không có trong MASTER_SOURCE)")))</f>
        <v/>
      </c>
      <c r="K3617" s="22">
        <f t="array" ref="K3617">IF($D3617="","",IFERROR(INDEX(MASTER_SOURCE!$C$2:$C$495,MATCH($I3617,MASTER_SOURCE!$A$2:$A$495,0)),""))</f>
        <v/>
      </c>
      <c r="L3617" s="22">
        <f t="array" ref="L3617">IF($D3617="","",IFERROR(INDEX(MASTER_SOURCE!$D$2:$D$495,MATCH($I3617,MASTER_SOURCE!$A$2:$A$495,0)),""))</f>
        <v/>
      </c>
      <c r="M3617" s="24" t="n"/>
      <c r="N3617" s="24" t="n"/>
      <c r="O3617" s="24" t="n"/>
      <c r="P3617" s="24" t="n"/>
      <c r="Q3617" s="22">
        <f>IF($D3617="","",IF(AND(OR(DANH_MUC!$L$5&lt;&gt;"Có",M3617="Có"),OR(DANH_MUC!$L$6&lt;&gt;"Có",N3617="Có"),OR(DANH_MUC!$L$7&lt;&gt;"Có",O3617="Có"),OR(DANH_MUC!$L$8&lt;&gt;"Có",P3617="Có")),"Có","Không"))</f>
        <v/>
      </c>
      <c r="R3617" s="22">
        <f>IF($D3617="","",IF(COUNTIF($D$2:$D3617,$D3617)&gt;1,"Trùng",""))</f>
        <v/>
      </c>
      <c r="S3617" s="22">
        <f>IF($D3617="","",IF(AND(LEN($D3617)=10,LEFT($D3617,1)="0",ISNUMBER(--$D3617)),"Có","Không"))</f>
        <v/>
      </c>
      <c r="T3617" s="22">
        <f>IF($D3617="","",IF(AND($C3617&lt;&gt;"",$Q3617="Có",$R3617="",$S3617="Có",AND($L3617&lt;&gt;"",OR($L3617&lt;&gt;"Chưa xác định",DANH_MUC!$L$9="Có"))),"Có","Không"))</f>
        <v/>
      </c>
      <c r="U3617" s="22">
        <f>IF(OR($D3617="",$T3617="Có"),"",IF($C3617="","Thiếu họ tên; ","")&amp;IF($S3617&lt;&gt;"Có","SĐT sai định dạng; ","")&amp;IF($R3617="Trùng","Trùng SĐT; ","")&amp;IF($Q3617&lt;&gt;"Có","Thiếu đồng ý bắt buộc; ","")&amp;IF($L3617="","Thiếu/sai Mã REF; ",IF(AND($L3617="Chưa xác định",DANH_MUC!$L$9&lt;&gt;"Có"),"Nguồn chưa xác định; ","")))</f>
        <v/>
      </c>
      <c r="V3617" s="22">
        <f>IF(OR($D3617="",$R3617="Trùng"),"",IF(COUNTIF(ORDERS!$C$2:$C$4995,$D3617)&gt;0,"Có","Không"))</f>
        <v/>
      </c>
      <c r="W3617" s="22">
        <f>IF(OR($D3617="",$R3617="Trùng"),"",COUNTIFS(ORDERS!$C$2:$C$4995,$D3617,ORDERS!$L$2:$L$4995,"Đã chuyển khoản"))</f>
        <v/>
      </c>
      <c r="X3617" s="23">
        <f>IF(OR($D3617="",$R3617="Trùng"),"",SUMIFS(ORDERS!$J$2:$J$4995,ORDERS!$C$2:$C$4995,$D3617,ORDERS!$L$2:$L$4995,"Đã chuyển khoản"))</f>
        <v/>
      </c>
      <c r="Y3617" s="24" t="n"/>
    </row>
    <row r="3618" ht="14.25" customHeight="1" s="40">
      <c r="A3618" s="24" t="n"/>
      <c r="B3618" s="27" t="n"/>
      <c r="C3618" s="24" t="n"/>
      <c r="D3618" s="28" t="n"/>
      <c r="E3618" s="29" t="n"/>
      <c r="F3618" s="24" t="n"/>
      <c r="G3618" s="24" t="n"/>
      <c r="H3618" s="21">
        <f>IF(ISNUMBER($B3618),INT($B3618)-WEEKDAY($B3618,2)+1,"")</f>
        <v/>
      </c>
      <c r="I3618" s="24" t="n"/>
      <c r="J3618" s="22">
        <f t="array" ref="J3618">IF($D3618="","",IF($I3618="","(trống REF)",IFERROR(INDEX(MASTER_SOURCE!$B$2:$B$495,MATCH($I3618,MASTER_SOURCE!$A$2:$A$495,0)),"(REF không có trong MASTER_SOURCE)")))</f>
        <v/>
      </c>
      <c r="K3618" s="22">
        <f t="array" ref="K3618">IF($D3618="","",IFERROR(INDEX(MASTER_SOURCE!$C$2:$C$495,MATCH($I3618,MASTER_SOURCE!$A$2:$A$495,0)),""))</f>
        <v/>
      </c>
      <c r="L3618" s="22">
        <f t="array" ref="L3618">IF($D3618="","",IFERROR(INDEX(MASTER_SOURCE!$D$2:$D$495,MATCH($I3618,MASTER_SOURCE!$A$2:$A$495,0)),""))</f>
        <v/>
      </c>
      <c r="M3618" s="24" t="n"/>
      <c r="N3618" s="24" t="n"/>
      <c r="O3618" s="24" t="n"/>
      <c r="P3618" s="24" t="n"/>
      <c r="Q3618" s="22">
        <f>IF($D3618="","",IF(AND(OR(DANH_MUC!$L$5&lt;&gt;"Có",M3618="Có"),OR(DANH_MUC!$L$6&lt;&gt;"Có",N3618="Có"),OR(DANH_MUC!$L$7&lt;&gt;"Có",O3618="Có"),OR(DANH_MUC!$L$8&lt;&gt;"Có",P3618="Có")),"Có","Không"))</f>
        <v/>
      </c>
      <c r="R3618" s="22">
        <f>IF($D3618="","",IF(COUNTIF($D$2:$D3618,$D3618)&gt;1,"Trùng",""))</f>
        <v/>
      </c>
      <c r="S3618" s="22">
        <f>IF($D3618="","",IF(AND(LEN($D3618)=10,LEFT($D3618,1)="0",ISNUMBER(--$D3618)),"Có","Không"))</f>
        <v/>
      </c>
      <c r="T3618" s="22">
        <f>IF($D3618="","",IF(AND($C3618&lt;&gt;"",$Q3618="Có",$R3618="",$S3618="Có",AND($L3618&lt;&gt;"",OR($L3618&lt;&gt;"Chưa xác định",DANH_MUC!$L$9="Có"))),"Có","Không"))</f>
        <v/>
      </c>
      <c r="U3618" s="22">
        <f>IF(OR($D3618="",$T3618="Có"),"",IF($C3618="","Thiếu họ tên; ","")&amp;IF($S3618&lt;&gt;"Có","SĐT sai định dạng; ","")&amp;IF($R3618="Trùng","Trùng SĐT; ","")&amp;IF($Q3618&lt;&gt;"Có","Thiếu đồng ý bắt buộc; ","")&amp;IF($L3618="","Thiếu/sai Mã REF; ",IF(AND($L3618="Chưa xác định",DANH_MUC!$L$9&lt;&gt;"Có"),"Nguồn chưa xác định; ","")))</f>
        <v/>
      </c>
      <c r="V3618" s="22">
        <f>IF(OR($D3618="",$R3618="Trùng"),"",IF(COUNTIF(ORDERS!$C$2:$C$4995,$D3618)&gt;0,"Có","Không"))</f>
        <v/>
      </c>
      <c r="W3618" s="22">
        <f>IF(OR($D3618="",$R3618="Trùng"),"",COUNTIFS(ORDERS!$C$2:$C$4995,$D3618,ORDERS!$L$2:$L$4995,"Đã chuyển khoản"))</f>
        <v/>
      </c>
      <c r="X3618" s="23">
        <f>IF(OR($D3618="",$R3618="Trùng"),"",SUMIFS(ORDERS!$J$2:$J$4995,ORDERS!$C$2:$C$4995,$D3618,ORDERS!$L$2:$L$4995,"Đã chuyển khoản"))</f>
        <v/>
      </c>
      <c r="Y3618" s="24" t="n"/>
    </row>
    <row r="3619" ht="14.25" customHeight="1" s="40">
      <c r="A3619" s="24" t="n"/>
      <c r="B3619" s="27" t="n"/>
      <c r="C3619" s="24" t="n"/>
      <c r="D3619" s="28" t="n"/>
      <c r="E3619" s="29" t="n"/>
      <c r="F3619" s="24" t="n"/>
      <c r="G3619" s="24" t="n"/>
      <c r="H3619" s="21">
        <f>IF(ISNUMBER($B3619),INT($B3619)-WEEKDAY($B3619,2)+1,"")</f>
        <v/>
      </c>
      <c r="I3619" s="24" t="n"/>
      <c r="J3619" s="22">
        <f t="array" ref="J3619">IF($D3619="","",IF($I3619="","(trống REF)",IFERROR(INDEX(MASTER_SOURCE!$B$2:$B$495,MATCH($I3619,MASTER_SOURCE!$A$2:$A$495,0)),"(REF không có trong MASTER_SOURCE)")))</f>
        <v/>
      </c>
      <c r="K3619" s="22">
        <f t="array" ref="K3619">IF($D3619="","",IFERROR(INDEX(MASTER_SOURCE!$C$2:$C$495,MATCH($I3619,MASTER_SOURCE!$A$2:$A$495,0)),""))</f>
        <v/>
      </c>
      <c r="L3619" s="22">
        <f t="array" ref="L3619">IF($D3619="","",IFERROR(INDEX(MASTER_SOURCE!$D$2:$D$495,MATCH($I3619,MASTER_SOURCE!$A$2:$A$495,0)),""))</f>
        <v/>
      </c>
      <c r="M3619" s="24" t="n"/>
      <c r="N3619" s="24" t="n"/>
      <c r="O3619" s="24" t="n"/>
      <c r="P3619" s="24" t="n"/>
      <c r="Q3619" s="22">
        <f>IF($D3619="","",IF(AND(OR(DANH_MUC!$L$5&lt;&gt;"Có",M3619="Có"),OR(DANH_MUC!$L$6&lt;&gt;"Có",N3619="Có"),OR(DANH_MUC!$L$7&lt;&gt;"Có",O3619="Có"),OR(DANH_MUC!$L$8&lt;&gt;"Có",P3619="Có")),"Có","Không"))</f>
        <v/>
      </c>
      <c r="R3619" s="22">
        <f>IF($D3619="","",IF(COUNTIF($D$2:$D3619,$D3619)&gt;1,"Trùng",""))</f>
        <v/>
      </c>
      <c r="S3619" s="22">
        <f>IF($D3619="","",IF(AND(LEN($D3619)=10,LEFT($D3619,1)="0",ISNUMBER(--$D3619)),"Có","Không"))</f>
        <v/>
      </c>
      <c r="T3619" s="22">
        <f>IF($D3619="","",IF(AND($C3619&lt;&gt;"",$Q3619="Có",$R3619="",$S3619="Có",AND($L3619&lt;&gt;"",OR($L3619&lt;&gt;"Chưa xác định",DANH_MUC!$L$9="Có"))),"Có","Không"))</f>
        <v/>
      </c>
      <c r="U3619" s="22">
        <f>IF(OR($D3619="",$T3619="Có"),"",IF($C3619="","Thiếu họ tên; ","")&amp;IF($S3619&lt;&gt;"Có","SĐT sai định dạng; ","")&amp;IF($R3619="Trùng","Trùng SĐT; ","")&amp;IF($Q3619&lt;&gt;"Có","Thiếu đồng ý bắt buộc; ","")&amp;IF($L3619="","Thiếu/sai Mã REF; ",IF(AND($L3619="Chưa xác định",DANH_MUC!$L$9&lt;&gt;"Có"),"Nguồn chưa xác định; ","")))</f>
        <v/>
      </c>
      <c r="V3619" s="22">
        <f>IF(OR($D3619="",$R3619="Trùng"),"",IF(COUNTIF(ORDERS!$C$2:$C$4995,$D3619)&gt;0,"Có","Không"))</f>
        <v/>
      </c>
      <c r="W3619" s="22">
        <f>IF(OR($D3619="",$R3619="Trùng"),"",COUNTIFS(ORDERS!$C$2:$C$4995,$D3619,ORDERS!$L$2:$L$4995,"Đã chuyển khoản"))</f>
        <v/>
      </c>
      <c r="X3619" s="23">
        <f>IF(OR($D3619="",$R3619="Trùng"),"",SUMIFS(ORDERS!$J$2:$J$4995,ORDERS!$C$2:$C$4995,$D3619,ORDERS!$L$2:$L$4995,"Đã chuyển khoản"))</f>
        <v/>
      </c>
      <c r="Y3619" s="24" t="n"/>
    </row>
    <row r="3620" ht="14.25" customHeight="1" s="40">
      <c r="A3620" s="24" t="n"/>
      <c r="B3620" s="27" t="n"/>
      <c r="C3620" s="24" t="n"/>
      <c r="D3620" s="28" t="n"/>
      <c r="E3620" s="29" t="n"/>
      <c r="F3620" s="24" t="n"/>
      <c r="G3620" s="24" t="n"/>
      <c r="H3620" s="21">
        <f>IF(ISNUMBER($B3620),INT($B3620)-WEEKDAY($B3620,2)+1,"")</f>
        <v/>
      </c>
      <c r="I3620" s="24" t="n"/>
      <c r="J3620" s="22">
        <f t="array" ref="J3620">IF($D3620="","",IF($I3620="","(trống REF)",IFERROR(INDEX(MASTER_SOURCE!$B$2:$B$495,MATCH($I3620,MASTER_SOURCE!$A$2:$A$495,0)),"(REF không có trong MASTER_SOURCE)")))</f>
        <v/>
      </c>
      <c r="K3620" s="22">
        <f t="array" ref="K3620">IF($D3620="","",IFERROR(INDEX(MASTER_SOURCE!$C$2:$C$495,MATCH($I3620,MASTER_SOURCE!$A$2:$A$495,0)),""))</f>
        <v/>
      </c>
      <c r="L3620" s="22">
        <f t="array" ref="L3620">IF($D3620="","",IFERROR(INDEX(MASTER_SOURCE!$D$2:$D$495,MATCH($I3620,MASTER_SOURCE!$A$2:$A$495,0)),""))</f>
        <v/>
      </c>
      <c r="M3620" s="24" t="n"/>
      <c r="N3620" s="24" t="n"/>
      <c r="O3620" s="24" t="n"/>
      <c r="P3620" s="24" t="n"/>
      <c r="Q3620" s="22">
        <f>IF($D3620="","",IF(AND(OR(DANH_MUC!$L$5&lt;&gt;"Có",M3620="Có"),OR(DANH_MUC!$L$6&lt;&gt;"Có",N3620="Có"),OR(DANH_MUC!$L$7&lt;&gt;"Có",O3620="Có"),OR(DANH_MUC!$L$8&lt;&gt;"Có",P3620="Có")),"Có","Không"))</f>
        <v/>
      </c>
      <c r="R3620" s="22">
        <f>IF($D3620="","",IF(COUNTIF($D$2:$D3620,$D3620)&gt;1,"Trùng",""))</f>
        <v/>
      </c>
      <c r="S3620" s="22">
        <f>IF($D3620="","",IF(AND(LEN($D3620)=10,LEFT($D3620,1)="0",ISNUMBER(--$D3620)),"Có","Không"))</f>
        <v/>
      </c>
      <c r="T3620" s="22">
        <f>IF($D3620="","",IF(AND($C3620&lt;&gt;"",$Q3620="Có",$R3620="",$S3620="Có",AND($L3620&lt;&gt;"",OR($L3620&lt;&gt;"Chưa xác định",DANH_MUC!$L$9="Có"))),"Có","Không"))</f>
        <v/>
      </c>
      <c r="U3620" s="22">
        <f>IF(OR($D3620="",$T3620="Có"),"",IF($C3620="","Thiếu họ tên; ","")&amp;IF($S3620&lt;&gt;"Có","SĐT sai định dạng; ","")&amp;IF($R3620="Trùng","Trùng SĐT; ","")&amp;IF($Q3620&lt;&gt;"Có","Thiếu đồng ý bắt buộc; ","")&amp;IF($L3620="","Thiếu/sai Mã REF; ",IF(AND($L3620="Chưa xác định",DANH_MUC!$L$9&lt;&gt;"Có"),"Nguồn chưa xác định; ","")))</f>
        <v/>
      </c>
      <c r="V3620" s="22">
        <f>IF(OR($D3620="",$R3620="Trùng"),"",IF(COUNTIF(ORDERS!$C$2:$C$4995,$D3620)&gt;0,"Có","Không"))</f>
        <v/>
      </c>
      <c r="W3620" s="22">
        <f>IF(OR($D3620="",$R3620="Trùng"),"",COUNTIFS(ORDERS!$C$2:$C$4995,$D3620,ORDERS!$L$2:$L$4995,"Đã chuyển khoản"))</f>
        <v/>
      </c>
      <c r="X3620" s="23">
        <f>IF(OR($D3620="",$R3620="Trùng"),"",SUMIFS(ORDERS!$J$2:$J$4995,ORDERS!$C$2:$C$4995,$D3620,ORDERS!$L$2:$L$4995,"Đã chuyển khoản"))</f>
        <v/>
      </c>
      <c r="Y3620" s="24" t="n"/>
    </row>
    <row r="3621" ht="14.25" customHeight="1" s="40">
      <c r="A3621" s="24" t="n"/>
      <c r="B3621" s="27" t="n"/>
      <c r="C3621" s="24" t="n"/>
      <c r="D3621" s="28" t="n"/>
      <c r="E3621" s="29" t="n"/>
      <c r="F3621" s="24" t="n"/>
      <c r="G3621" s="24" t="n"/>
      <c r="H3621" s="21">
        <f>IF(ISNUMBER($B3621),INT($B3621)-WEEKDAY($B3621,2)+1,"")</f>
        <v/>
      </c>
      <c r="I3621" s="24" t="n"/>
      <c r="J3621" s="22">
        <f t="array" ref="J3621">IF($D3621="","",IF($I3621="","(trống REF)",IFERROR(INDEX(MASTER_SOURCE!$B$2:$B$495,MATCH($I3621,MASTER_SOURCE!$A$2:$A$495,0)),"(REF không có trong MASTER_SOURCE)")))</f>
        <v/>
      </c>
      <c r="K3621" s="22">
        <f t="array" ref="K3621">IF($D3621="","",IFERROR(INDEX(MASTER_SOURCE!$C$2:$C$495,MATCH($I3621,MASTER_SOURCE!$A$2:$A$495,0)),""))</f>
        <v/>
      </c>
      <c r="L3621" s="22">
        <f t="array" ref="L3621">IF($D3621="","",IFERROR(INDEX(MASTER_SOURCE!$D$2:$D$495,MATCH($I3621,MASTER_SOURCE!$A$2:$A$495,0)),""))</f>
        <v/>
      </c>
      <c r="M3621" s="24" t="n"/>
      <c r="N3621" s="24" t="n"/>
      <c r="O3621" s="24" t="n"/>
      <c r="P3621" s="24" t="n"/>
      <c r="Q3621" s="22">
        <f>IF($D3621="","",IF(AND(OR(DANH_MUC!$L$5&lt;&gt;"Có",M3621="Có"),OR(DANH_MUC!$L$6&lt;&gt;"Có",N3621="Có"),OR(DANH_MUC!$L$7&lt;&gt;"Có",O3621="Có"),OR(DANH_MUC!$L$8&lt;&gt;"Có",P3621="Có")),"Có","Không"))</f>
        <v/>
      </c>
      <c r="R3621" s="22">
        <f>IF($D3621="","",IF(COUNTIF($D$2:$D3621,$D3621)&gt;1,"Trùng",""))</f>
        <v/>
      </c>
      <c r="S3621" s="22">
        <f>IF($D3621="","",IF(AND(LEN($D3621)=10,LEFT($D3621,1)="0",ISNUMBER(--$D3621)),"Có","Không"))</f>
        <v/>
      </c>
      <c r="T3621" s="22">
        <f>IF($D3621="","",IF(AND($C3621&lt;&gt;"",$Q3621="Có",$R3621="",$S3621="Có",AND($L3621&lt;&gt;"",OR($L3621&lt;&gt;"Chưa xác định",DANH_MUC!$L$9="Có"))),"Có","Không"))</f>
        <v/>
      </c>
      <c r="U3621" s="22">
        <f>IF(OR($D3621="",$T3621="Có"),"",IF($C3621="","Thiếu họ tên; ","")&amp;IF($S3621&lt;&gt;"Có","SĐT sai định dạng; ","")&amp;IF($R3621="Trùng","Trùng SĐT; ","")&amp;IF($Q3621&lt;&gt;"Có","Thiếu đồng ý bắt buộc; ","")&amp;IF($L3621="","Thiếu/sai Mã REF; ",IF(AND($L3621="Chưa xác định",DANH_MUC!$L$9&lt;&gt;"Có"),"Nguồn chưa xác định; ","")))</f>
        <v/>
      </c>
      <c r="V3621" s="22">
        <f>IF(OR($D3621="",$R3621="Trùng"),"",IF(COUNTIF(ORDERS!$C$2:$C$4995,$D3621)&gt;0,"Có","Không"))</f>
        <v/>
      </c>
      <c r="W3621" s="22">
        <f>IF(OR($D3621="",$R3621="Trùng"),"",COUNTIFS(ORDERS!$C$2:$C$4995,$D3621,ORDERS!$L$2:$L$4995,"Đã chuyển khoản"))</f>
        <v/>
      </c>
      <c r="X3621" s="23">
        <f>IF(OR($D3621="",$R3621="Trùng"),"",SUMIFS(ORDERS!$J$2:$J$4995,ORDERS!$C$2:$C$4995,$D3621,ORDERS!$L$2:$L$4995,"Đã chuyển khoản"))</f>
        <v/>
      </c>
      <c r="Y3621" s="24" t="n"/>
    </row>
    <row r="3622" ht="14.25" customHeight="1" s="40">
      <c r="A3622" s="24" t="n"/>
      <c r="B3622" s="27" t="n"/>
      <c r="C3622" s="24" t="n"/>
      <c r="D3622" s="28" t="n"/>
      <c r="E3622" s="29" t="n"/>
      <c r="F3622" s="24" t="n"/>
      <c r="G3622" s="24" t="n"/>
      <c r="H3622" s="21">
        <f>IF(ISNUMBER($B3622),INT($B3622)-WEEKDAY($B3622,2)+1,"")</f>
        <v/>
      </c>
      <c r="I3622" s="24" t="n"/>
      <c r="J3622" s="22">
        <f t="array" ref="J3622">IF($D3622="","",IF($I3622="","(trống REF)",IFERROR(INDEX(MASTER_SOURCE!$B$2:$B$495,MATCH($I3622,MASTER_SOURCE!$A$2:$A$495,0)),"(REF không có trong MASTER_SOURCE)")))</f>
        <v/>
      </c>
      <c r="K3622" s="22">
        <f t="array" ref="K3622">IF($D3622="","",IFERROR(INDEX(MASTER_SOURCE!$C$2:$C$495,MATCH($I3622,MASTER_SOURCE!$A$2:$A$495,0)),""))</f>
        <v/>
      </c>
      <c r="L3622" s="22">
        <f t="array" ref="L3622">IF($D3622="","",IFERROR(INDEX(MASTER_SOURCE!$D$2:$D$495,MATCH($I3622,MASTER_SOURCE!$A$2:$A$495,0)),""))</f>
        <v/>
      </c>
      <c r="M3622" s="24" t="n"/>
      <c r="N3622" s="24" t="n"/>
      <c r="O3622" s="24" t="n"/>
      <c r="P3622" s="24" t="n"/>
      <c r="Q3622" s="22">
        <f>IF($D3622="","",IF(AND(OR(DANH_MUC!$L$5&lt;&gt;"Có",M3622="Có"),OR(DANH_MUC!$L$6&lt;&gt;"Có",N3622="Có"),OR(DANH_MUC!$L$7&lt;&gt;"Có",O3622="Có"),OR(DANH_MUC!$L$8&lt;&gt;"Có",P3622="Có")),"Có","Không"))</f>
        <v/>
      </c>
      <c r="R3622" s="22">
        <f>IF($D3622="","",IF(COUNTIF($D$2:$D3622,$D3622)&gt;1,"Trùng",""))</f>
        <v/>
      </c>
      <c r="S3622" s="22">
        <f>IF($D3622="","",IF(AND(LEN($D3622)=10,LEFT($D3622,1)="0",ISNUMBER(--$D3622)),"Có","Không"))</f>
        <v/>
      </c>
      <c r="T3622" s="22">
        <f>IF($D3622="","",IF(AND($C3622&lt;&gt;"",$Q3622="Có",$R3622="",$S3622="Có",AND($L3622&lt;&gt;"",OR($L3622&lt;&gt;"Chưa xác định",DANH_MUC!$L$9="Có"))),"Có","Không"))</f>
        <v/>
      </c>
      <c r="U3622" s="22">
        <f>IF(OR($D3622="",$T3622="Có"),"",IF($C3622="","Thiếu họ tên; ","")&amp;IF($S3622&lt;&gt;"Có","SĐT sai định dạng; ","")&amp;IF($R3622="Trùng","Trùng SĐT; ","")&amp;IF($Q3622&lt;&gt;"Có","Thiếu đồng ý bắt buộc; ","")&amp;IF($L3622="","Thiếu/sai Mã REF; ",IF(AND($L3622="Chưa xác định",DANH_MUC!$L$9&lt;&gt;"Có"),"Nguồn chưa xác định; ","")))</f>
        <v/>
      </c>
      <c r="V3622" s="22">
        <f>IF(OR($D3622="",$R3622="Trùng"),"",IF(COUNTIF(ORDERS!$C$2:$C$4995,$D3622)&gt;0,"Có","Không"))</f>
        <v/>
      </c>
      <c r="W3622" s="22">
        <f>IF(OR($D3622="",$R3622="Trùng"),"",COUNTIFS(ORDERS!$C$2:$C$4995,$D3622,ORDERS!$L$2:$L$4995,"Đã chuyển khoản"))</f>
        <v/>
      </c>
      <c r="X3622" s="23">
        <f>IF(OR($D3622="",$R3622="Trùng"),"",SUMIFS(ORDERS!$J$2:$J$4995,ORDERS!$C$2:$C$4995,$D3622,ORDERS!$L$2:$L$4995,"Đã chuyển khoản"))</f>
        <v/>
      </c>
      <c r="Y3622" s="24" t="n"/>
    </row>
    <row r="3623" ht="14.25" customHeight="1" s="40">
      <c r="A3623" s="24" t="n"/>
      <c r="B3623" s="27" t="n"/>
      <c r="C3623" s="24" t="n"/>
      <c r="D3623" s="28" t="n"/>
      <c r="E3623" s="29" t="n"/>
      <c r="F3623" s="24" t="n"/>
      <c r="G3623" s="24" t="n"/>
      <c r="H3623" s="21">
        <f>IF(ISNUMBER($B3623),INT($B3623)-WEEKDAY($B3623,2)+1,"")</f>
        <v/>
      </c>
      <c r="I3623" s="24" t="n"/>
      <c r="J3623" s="22">
        <f t="array" ref="J3623">IF($D3623="","",IF($I3623="","(trống REF)",IFERROR(INDEX(MASTER_SOURCE!$B$2:$B$495,MATCH($I3623,MASTER_SOURCE!$A$2:$A$495,0)),"(REF không có trong MASTER_SOURCE)")))</f>
        <v/>
      </c>
      <c r="K3623" s="22">
        <f t="array" ref="K3623">IF($D3623="","",IFERROR(INDEX(MASTER_SOURCE!$C$2:$C$495,MATCH($I3623,MASTER_SOURCE!$A$2:$A$495,0)),""))</f>
        <v/>
      </c>
      <c r="L3623" s="22">
        <f t="array" ref="L3623">IF($D3623="","",IFERROR(INDEX(MASTER_SOURCE!$D$2:$D$495,MATCH($I3623,MASTER_SOURCE!$A$2:$A$495,0)),""))</f>
        <v/>
      </c>
      <c r="M3623" s="24" t="n"/>
      <c r="N3623" s="24" t="n"/>
      <c r="O3623" s="24" t="n"/>
      <c r="P3623" s="24" t="n"/>
      <c r="Q3623" s="22">
        <f>IF($D3623="","",IF(AND(OR(DANH_MUC!$L$5&lt;&gt;"Có",M3623="Có"),OR(DANH_MUC!$L$6&lt;&gt;"Có",N3623="Có"),OR(DANH_MUC!$L$7&lt;&gt;"Có",O3623="Có"),OR(DANH_MUC!$L$8&lt;&gt;"Có",P3623="Có")),"Có","Không"))</f>
        <v/>
      </c>
      <c r="R3623" s="22">
        <f>IF($D3623="","",IF(COUNTIF($D$2:$D3623,$D3623)&gt;1,"Trùng",""))</f>
        <v/>
      </c>
      <c r="S3623" s="22">
        <f>IF($D3623="","",IF(AND(LEN($D3623)=10,LEFT($D3623,1)="0",ISNUMBER(--$D3623)),"Có","Không"))</f>
        <v/>
      </c>
      <c r="T3623" s="22">
        <f>IF($D3623="","",IF(AND($C3623&lt;&gt;"",$Q3623="Có",$R3623="",$S3623="Có",AND($L3623&lt;&gt;"",OR($L3623&lt;&gt;"Chưa xác định",DANH_MUC!$L$9="Có"))),"Có","Không"))</f>
        <v/>
      </c>
      <c r="U3623" s="22">
        <f>IF(OR($D3623="",$T3623="Có"),"",IF($C3623="","Thiếu họ tên; ","")&amp;IF($S3623&lt;&gt;"Có","SĐT sai định dạng; ","")&amp;IF($R3623="Trùng","Trùng SĐT; ","")&amp;IF($Q3623&lt;&gt;"Có","Thiếu đồng ý bắt buộc; ","")&amp;IF($L3623="","Thiếu/sai Mã REF; ",IF(AND($L3623="Chưa xác định",DANH_MUC!$L$9&lt;&gt;"Có"),"Nguồn chưa xác định; ","")))</f>
        <v/>
      </c>
      <c r="V3623" s="22">
        <f>IF(OR($D3623="",$R3623="Trùng"),"",IF(COUNTIF(ORDERS!$C$2:$C$4995,$D3623)&gt;0,"Có","Không"))</f>
        <v/>
      </c>
      <c r="W3623" s="22">
        <f>IF(OR($D3623="",$R3623="Trùng"),"",COUNTIFS(ORDERS!$C$2:$C$4995,$D3623,ORDERS!$L$2:$L$4995,"Đã chuyển khoản"))</f>
        <v/>
      </c>
      <c r="X3623" s="23">
        <f>IF(OR($D3623="",$R3623="Trùng"),"",SUMIFS(ORDERS!$J$2:$J$4995,ORDERS!$C$2:$C$4995,$D3623,ORDERS!$L$2:$L$4995,"Đã chuyển khoản"))</f>
        <v/>
      </c>
      <c r="Y3623" s="24" t="n"/>
    </row>
    <row r="3624" ht="14.25" customHeight="1" s="40">
      <c r="A3624" s="24" t="n"/>
      <c r="B3624" s="27" t="n"/>
      <c r="C3624" s="24" t="n"/>
      <c r="D3624" s="28" t="n"/>
      <c r="E3624" s="29" t="n"/>
      <c r="F3624" s="24" t="n"/>
      <c r="G3624" s="24" t="n"/>
      <c r="H3624" s="21">
        <f>IF(ISNUMBER($B3624),INT($B3624)-WEEKDAY($B3624,2)+1,"")</f>
        <v/>
      </c>
      <c r="I3624" s="24" t="n"/>
      <c r="J3624" s="22">
        <f t="array" ref="J3624">IF($D3624="","",IF($I3624="","(trống REF)",IFERROR(INDEX(MASTER_SOURCE!$B$2:$B$495,MATCH($I3624,MASTER_SOURCE!$A$2:$A$495,0)),"(REF không có trong MASTER_SOURCE)")))</f>
        <v/>
      </c>
      <c r="K3624" s="22">
        <f t="array" ref="K3624">IF($D3624="","",IFERROR(INDEX(MASTER_SOURCE!$C$2:$C$495,MATCH($I3624,MASTER_SOURCE!$A$2:$A$495,0)),""))</f>
        <v/>
      </c>
      <c r="L3624" s="22">
        <f t="array" ref="L3624">IF($D3624="","",IFERROR(INDEX(MASTER_SOURCE!$D$2:$D$495,MATCH($I3624,MASTER_SOURCE!$A$2:$A$495,0)),""))</f>
        <v/>
      </c>
      <c r="M3624" s="24" t="n"/>
      <c r="N3624" s="24" t="n"/>
      <c r="O3624" s="24" t="n"/>
      <c r="P3624" s="24" t="n"/>
      <c r="Q3624" s="22">
        <f>IF($D3624="","",IF(AND(OR(DANH_MUC!$L$5&lt;&gt;"Có",M3624="Có"),OR(DANH_MUC!$L$6&lt;&gt;"Có",N3624="Có"),OR(DANH_MUC!$L$7&lt;&gt;"Có",O3624="Có"),OR(DANH_MUC!$L$8&lt;&gt;"Có",P3624="Có")),"Có","Không"))</f>
        <v/>
      </c>
      <c r="R3624" s="22">
        <f>IF($D3624="","",IF(COUNTIF($D$2:$D3624,$D3624)&gt;1,"Trùng",""))</f>
        <v/>
      </c>
      <c r="S3624" s="22">
        <f>IF($D3624="","",IF(AND(LEN($D3624)=10,LEFT($D3624,1)="0",ISNUMBER(--$D3624)),"Có","Không"))</f>
        <v/>
      </c>
      <c r="T3624" s="22">
        <f>IF($D3624="","",IF(AND($C3624&lt;&gt;"",$Q3624="Có",$R3624="",$S3624="Có",AND($L3624&lt;&gt;"",OR($L3624&lt;&gt;"Chưa xác định",DANH_MUC!$L$9="Có"))),"Có","Không"))</f>
        <v/>
      </c>
      <c r="U3624" s="22">
        <f>IF(OR($D3624="",$T3624="Có"),"",IF($C3624="","Thiếu họ tên; ","")&amp;IF($S3624&lt;&gt;"Có","SĐT sai định dạng; ","")&amp;IF($R3624="Trùng","Trùng SĐT; ","")&amp;IF($Q3624&lt;&gt;"Có","Thiếu đồng ý bắt buộc; ","")&amp;IF($L3624="","Thiếu/sai Mã REF; ",IF(AND($L3624="Chưa xác định",DANH_MUC!$L$9&lt;&gt;"Có"),"Nguồn chưa xác định; ","")))</f>
        <v/>
      </c>
      <c r="V3624" s="22">
        <f>IF(OR($D3624="",$R3624="Trùng"),"",IF(COUNTIF(ORDERS!$C$2:$C$4995,$D3624)&gt;0,"Có","Không"))</f>
        <v/>
      </c>
      <c r="W3624" s="22">
        <f>IF(OR($D3624="",$R3624="Trùng"),"",COUNTIFS(ORDERS!$C$2:$C$4995,$D3624,ORDERS!$L$2:$L$4995,"Đã chuyển khoản"))</f>
        <v/>
      </c>
      <c r="X3624" s="23">
        <f>IF(OR($D3624="",$R3624="Trùng"),"",SUMIFS(ORDERS!$J$2:$J$4995,ORDERS!$C$2:$C$4995,$D3624,ORDERS!$L$2:$L$4995,"Đã chuyển khoản"))</f>
        <v/>
      </c>
      <c r="Y3624" s="24" t="n"/>
    </row>
    <row r="3625" ht="14.25" customHeight="1" s="40">
      <c r="A3625" s="24" t="n"/>
      <c r="B3625" s="27" t="n"/>
      <c r="C3625" s="24" t="n"/>
      <c r="D3625" s="28" t="n"/>
      <c r="E3625" s="29" t="n"/>
      <c r="F3625" s="24" t="n"/>
      <c r="G3625" s="24" t="n"/>
      <c r="H3625" s="21">
        <f>IF(ISNUMBER($B3625),INT($B3625)-WEEKDAY($B3625,2)+1,"")</f>
        <v/>
      </c>
      <c r="I3625" s="24" t="n"/>
      <c r="J3625" s="22">
        <f t="array" ref="J3625">IF($D3625="","",IF($I3625="","(trống REF)",IFERROR(INDEX(MASTER_SOURCE!$B$2:$B$495,MATCH($I3625,MASTER_SOURCE!$A$2:$A$495,0)),"(REF không có trong MASTER_SOURCE)")))</f>
        <v/>
      </c>
      <c r="K3625" s="22">
        <f t="array" ref="K3625">IF($D3625="","",IFERROR(INDEX(MASTER_SOURCE!$C$2:$C$495,MATCH($I3625,MASTER_SOURCE!$A$2:$A$495,0)),""))</f>
        <v/>
      </c>
      <c r="L3625" s="22">
        <f t="array" ref="L3625">IF($D3625="","",IFERROR(INDEX(MASTER_SOURCE!$D$2:$D$495,MATCH($I3625,MASTER_SOURCE!$A$2:$A$495,0)),""))</f>
        <v/>
      </c>
      <c r="M3625" s="24" t="n"/>
      <c r="N3625" s="24" t="n"/>
      <c r="O3625" s="24" t="n"/>
      <c r="P3625" s="24" t="n"/>
      <c r="Q3625" s="22">
        <f>IF($D3625="","",IF(AND(OR(DANH_MUC!$L$5&lt;&gt;"Có",M3625="Có"),OR(DANH_MUC!$L$6&lt;&gt;"Có",N3625="Có"),OR(DANH_MUC!$L$7&lt;&gt;"Có",O3625="Có"),OR(DANH_MUC!$L$8&lt;&gt;"Có",P3625="Có")),"Có","Không"))</f>
        <v/>
      </c>
      <c r="R3625" s="22">
        <f>IF($D3625="","",IF(COUNTIF($D$2:$D3625,$D3625)&gt;1,"Trùng",""))</f>
        <v/>
      </c>
      <c r="S3625" s="22">
        <f>IF($D3625="","",IF(AND(LEN($D3625)=10,LEFT($D3625,1)="0",ISNUMBER(--$D3625)),"Có","Không"))</f>
        <v/>
      </c>
      <c r="T3625" s="22">
        <f>IF($D3625="","",IF(AND($C3625&lt;&gt;"",$Q3625="Có",$R3625="",$S3625="Có",AND($L3625&lt;&gt;"",OR($L3625&lt;&gt;"Chưa xác định",DANH_MUC!$L$9="Có"))),"Có","Không"))</f>
        <v/>
      </c>
      <c r="U3625" s="22">
        <f>IF(OR($D3625="",$T3625="Có"),"",IF($C3625="","Thiếu họ tên; ","")&amp;IF($S3625&lt;&gt;"Có","SĐT sai định dạng; ","")&amp;IF($R3625="Trùng","Trùng SĐT; ","")&amp;IF($Q3625&lt;&gt;"Có","Thiếu đồng ý bắt buộc; ","")&amp;IF($L3625="","Thiếu/sai Mã REF; ",IF(AND($L3625="Chưa xác định",DANH_MUC!$L$9&lt;&gt;"Có"),"Nguồn chưa xác định; ","")))</f>
        <v/>
      </c>
      <c r="V3625" s="22">
        <f>IF(OR($D3625="",$R3625="Trùng"),"",IF(COUNTIF(ORDERS!$C$2:$C$4995,$D3625)&gt;0,"Có","Không"))</f>
        <v/>
      </c>
      <c r="W3625" s="22">
        <f>IF(OR($D3625="",$R3625="Trùng"),"",COUNTIFS(ORDERS!$C$2:$C$4995,$D3625,ORDERS!$L$2:$L$4995,"Đã chuyển khoản"))</f>
        <v/>
      </c>
      <c r="X3625" s="23">
        <f>IF(OR($D3625="",$R3625="Trùng"),"",SUMIFS(ORDERS!$J$2:$J$4995,ORDERS!$C$2:$C$4995,$D3625,ORDERS!$L$2:$L$4995,"Đã chuyển khoản"))</f>
        <v/>
      </c>
      <c r="Y3625" s="24" t="n"/>
    </row>
    <row r="3626" ht="14.25" customHeight="1" s="40">
      <c r="A3626" s="24" t="n"/>
      <c r="B3626" s="27" t="n"/>
      <c r="C3626" s="24" t="n"/>
      <c r="D3626" s="28" t="n"/>
      <c r="E3626" s="29" t="n"/>
      <c r="F3626" s="24" t="n"/>
      <c r="G3626" s="24" t="n"/>
      <c r="H3626" s="21">
        <f>IF(ISNUMBER($B3626),INT($B3626)-WEEKDAY($B3626,2)+1,"")</f>
        <v/>
      </c>
      <c r="I3626" s="24" t="n"/>
      <c r="J3626" s="22">
        <f t="array" ref="J3626">IF($D3626="","",IF($I3626="","(trống REF)",IFERROR(INDEX(MASTER_SOURCE!$B$2:$B$495,MATCH($I3626,MASTER_SOURCE!$A$2:$A$495,0)),"(REF không có trong MASTER_SOURCE)")))</f>
        <v/>
      </c>
      <c r="K3626" s="22">
        <f t="array" ref="K3626">IF($D3626="","",IFERROR(INDEX(MASTER_SOURCE!$C$2:$C$495,MATCH($I3626,MASTER_SOURCE!$A$2:$A$495,0)),""))</f>
        <v/>
      </c>
      <c r="L3626" s="22">
        <f t="array" ref="L3626">IF($D3626="","",IFERROR(INDEX(MASTER_SOURCE!$D$2:$D$495,MATCH($I3626,MASTER_SOURCE!$A$2:$A$495,0)),""))</f>
        <v/>
      </c>
      <c r="M3626" s="24" t="n"/>
      <c r="N3626" s="24" t="n"/>
      <c r="O3626" s="24" t="n"/>
      <c r="P3626" s="24" t="n"/>
      <c r="Q3626" s="22">
        <f>IF($D3626="","",IF(AND(OR(DANH_MUC!$L$5&lt;&gt;"Có",M3626="Có"),OR(DANH_MUC!$L$6&lt;&gt;"Có",N3626="Có"),OR(DANH_MUC!$L$7&lt;&gt;"Có",O3626="Có"),OR(DANH_MUC!$L$8&lt;&gt;"Có",P3626="Có")),"Có","Không"))</f>
        <v/>
      </c>
      <c r="R3626" s="22">
        <f>IF($D3626="","",IF(COUNTIF($D$2:$D3626,$D3626)&gt;1,"Trùng",""))</f>
        <v/>
      </c>
      <c r="S3626" s="22">
        <f>IF($D3626="","",IF(AND(LEN($D3626)=10,LEFT($D3626,1)="0",ISNUMBER(--$D3626)),"Có","Không"))</f>
        <v/>
      </c>
      <c r="T3626" s="22">
        <f>IF($D3626="","",IF(AND($C3626&lt;&gt;"",$Q3626="Có",$R3626="",$S3626="Có",AND($L3626&lt;&gt;"",OR($L3626&lt;&gt;"Chưa xác định",DANH_MUC!$L$9="Có"))),"Có","Không"))</f>
        <v/>
      </c>
      <c r="U3626" s="22">
        <f>IF(OR($D3626="",$T3626="Có"),"",IF($C3626="","Thiếu họ tên; ","")&amp;IF($S3626&lt;&gt;"Có","SĐT sai định dạng; ","")&amp;IF($R3626="Trùng","Trùng SĐT; ","")&amp;IF($Q3626&lt;&gt;"Có","Thiếu đồng ý bắt buộc; ","")&amp;IF($L3626="","Thiếu/sai Mã REF; ",IF(AND($L3626="Chưa xác định",DANH_MUC!$L$9&lt;&gt;"Có"),"Nguồn chưa xác định; ","")))</f>
        <v/>
      </c>
      <c r="V3626" s="22">
        <f>IF(OR($D3626="",$R3626="Trùng"),"",IF(COUNTIF(ORDERS!$C$2:$C$4995,$D3626)&gt;0,"Có","Không"))</f>
        <v/>
      </c>
      <c r="W3626" s="22">
        <f>IF(OR($D3626="",$R3626="Trùng"),"",COUNTIFS(ORDERS!$C$2:$C$4995,$D3626,ORDERS!$L$2:$L$4995,"Đã chuyển khoản"))</f>
        <v/>
      </c>
      <c r="X3626" s="23">
        <f>IF(OR($D3626="",$R3626="Trùng"),"",SUMIFS(ORDERS!$J$2:$J$4995,ORDERS!$C$2:$C$4995,$D3626,ORDERS!$L$2:$L$4995,"Đã chuyển khoản"))</f>
        <v/>
      </c>
      <c r="Y3626" s="24" t="n"/>
    </row>
    <row r="3627" ht="14.25" customHeight="1" s="40">
      <c r="A3627" s="24" t="n"/>
      <c r="B3627" s="27" t="n"/>
      <c r="C3627" s="24" t="n"/>
      <c r="D3627" s="28" t="n"/>
      <c r="E3627" s="29" t="n"/>
      <c r="F3627" s="24" t="n"/>
      <c r="G3627" s="24" t="n"/>
      <c r="H3627" s="21">
        <f>IF(ISNUMBER($B3627),INT($B3627)-WEEKDAY($B3627,2)+1,"")</f>
        <v/>
      </c>
      <c r="I3627" s="24" t="n"/>
      <c r="J3627" s="22">
        <f t="array" ref="J3627">IF($D3627="","",IF($I3627="","(trống REF)",IFERROR(INDEX(MASTER_SOURCE!$B$2:$B$495,MATCH($I3627,MASTER_SOURCE!$A$2:$A$495,0)),"(REF không có trong MASTER_SOURCE)")))</f>
        <v/>
      </c>
      <c r="K3627" s="22">
        <f t="array" ref="K3627">IF($D3627="","",IFERROR(INDEX(MASTER_SOURCE!$C$2:$C$495,MATCH($I3627,MASTER_SOURCE!$A$2:$A$495,0)),""))</f>
        <v/>
      </c>
      <c r="L3627" s="22">
        <f t="array" ref="L3627">IF($D3627="","",IFERROR(INDEX(MASTER_SOURCE!$D$2:$D$495,MATCH($I3627,MASTER_SOURCE!$A$2:$A$495,0)),""))</f>
        <v/>
      </c>
      <c r="M3627" s="24" t="n"/>
      <c r="N3627" s="24" t="n"/>
      <c r="O3627" s="24" t="n"/>
      <c r="P3627" s="24" t="n"/>
      <c r="Q3627" s="22">
        <f>IF($D3627="","",IF(AND(OR(DANH_MUC!$L$5&lt;&gt;"Có",M3627="Có"),OR(DANH_MUC!$L$6&lt;&gt;"Có",N3627="Có"),OR(DANH_MUC!$L$7&lt;&gt;"Có",O3627="Có"),OR(DANH_MUC!$L$8&lt;&gt;"Có",P3627="Có")),"Có","Không"))</f>
        <v/>
      </c>
      <c r="R3627" s="22">
        <f>IF($D3627="","",IF(COUNTIF($D$2:$D3627,$D3627)&gt;1,"Trùng",""))</f>
        <v/>
      </c>
      <c r="S3627" s="22">
        <f>IF($D3627="","",IF(AND(LEN($D3627)=10,LEFT($D3627,1)="0",ISNUMBER(--$D3627)),"Có","Không"))</f>
        <v/>
      </c>
      <c r="T3627" s="22">
        <f>IF($D3627="","",IF(AND($C3627&lt;&gt;"",$Q3627="Có",$R3627="",$S3627="Có",AND($L3627&lt;&gt;"",OR($L3627&lt;&gt;"Chưa xác định",DANH_MUC!$L$9="Có"))),"Có","Không"))</f>
        <v/>
      </c>
      <c r="U3627" s="22">
        <f>IF(OR($D3627="",$T3627="Có"),"",IF($C3627="","Thiếu họ tên; ","")&amp;IF($S3627&lt;&gt;"Có","SĐT sai định dạng; ","")&amp;IF($R3627="Trùng","Trùng SĐT; ","")&amp;IF($Q3627&lt;&gt;"Có","Thiếu đồng ý bắt buộc; ","")&amp;IF($L3627="","Thiếu/sai Mã REF; ",IF(AND($L3627="Chưa xác định",DANH_MUC!$L$9&lt;&gt;"Có"),"Nguồn chưa xác định; ","")))</f>
        <v/>
      </c>
      <c r="V3627" s="22">
        <f>IF(OR($D3627="",$R3627="Trùng"),"",IF(COUNTIF(ORDERS!$C$2:$C$4995,$D3627)&gt;0,"Có","Không"))</f>
        <v/>
      </c>
      <c r="W3627" s="22">
        <f>IF(OR($D3627="",$R3627="Trùng"),"",COUNTIFS(ORDERS!$C$2:$C$4995,$D3627,ORDERS!$L$2:$L$4995,"Đã chuyển khoản"))</f>
        <v/>
      </c>
      <c r="X3627" s="23">
        <f>IF(OR($D3627="",$R3627="Trùng"),"",SUMIFS(ORDERS!$J$2:$J$4995,ORDERS!$C$2:$C$4995,$D3627,ORDERS!$L$2:$L$4995,"Đã chuyển khoản"))</f>
        <v/>
      </c>
      <c r="Y3627" s="24" t="n"/>
    </row>
    <row r="3628" ht="14.25" customHeight="1" s="40">
      <c r="A3628" s="24" t="n"/>
      <c r="B3628" s="27" t="n"/>
      <c r="C3628" s="24" t="n"/>
      <c r="D3628" s="28" t="n"/>
      <c r="E3628" s="29" t="n"/>
      <c r="F3628" s="24" t="n"/>
      <c r="G3628" s="24" t="n"/>
      <c r="H3628" s="21">
        <f>IF(ISNUMBER($B3628),INT($B3628)-WEEKDAY($B3628,2)+1,"")</f>
        <v/>
      </c>
      <c r="I3628" s="24" t="n"/>
      <c r="J3628" s="22">
        <f t="array" ref="J3628">IF($D3628="","",IF($I3628="","(trống REF)",IFERROR(INDEX(MASTER_SOURCE!$B$2:$B$495,MATCH($I3628,MASTER_SOURCE!$A$2:$A$495,0)),"(REF không có trong MASTER_SOURCE)")))</f>
        <v/>
      </c>
      <c r="K3628" s="22">
        <f t="array" ref="K3628">IF($D3628="","",IFERROR(INDEX(MASTER_SOURCE!$C$2:$C$495,MATCH($I3628,MASTER_SOURCE!$A$2:$A$495,0)),""))</f>
        <v/>
      </c>
      <c r="L3628" s="22">
        <f t="array" ref="L3628">IF($D3628="","",IFERROR(INDEX(MASTER_SOURCE!$D$2:$D$495,MATCH($I3628,MASTER_SOURCE!$A$2:$A$495,0)),""))</f>
        <v/>
      </c>
      <c r="M3628" s="24" t="n"/>
      <c r="N3628" s="24" t="n"/>
      <c r="O3628" s="24" t="n"/>
      <c r="P3628" s="24" t="n"/>
      <c r="Q3628" s="22">
        <f>IF($D3628="","",IF(AND(OR(DANH_MUC!$L$5&lt;&gt;"Có",M3628="Có"),OR(DANH_MUC!$L$6&lt;&gt;"Có",N3628="Có"),OR(DANH_MUC!$L$7&lt;&gt;"Có",O3628="Có"),OR(DANH_MUC!$L$8&lt;&gt;"Có",P3628="Có")),"Có","Không"))</f>
        <v/>
      </c>
      <c r="R3628" s="22">
        <f>IF($D3628="","",IF(COUNTIF($D$2:$D3628,$D3628)&gt;1,"Trùng",""))</f>
        <v/>
      </c>
      <c r="S3628" s="22">
        <f>IF($D3628="","",IF(AND(LEN($D3628)=10,LEFT($D3628,1)="0",ISNUMBER(--$D3628)),"Có","Không"))</f>
        <v/>
      </c>
      <c r="T3628" s="22">
        <f>IF($D3628="","",IF(AND($C3628&lt;&gt;"",$Q3628="Có",$R3628="",$S3628="Có",AND($L3628&lt;&gt;"",OR($L3628&lt;&gt;"Chưa xác định",DANH_MUC!$L$9="Có"))),"Có","Không"))</f>
        <v/>
      </c>
      <c r="U3628" s="22">
        <f>IF(OR($D3628="",$T3628="Có"),"",IF($C3628="","Thiếu họ tên; ","")&amp;IF($S3628&lt;&gt;"Có","SĐT sai định dạng; ","")&amp;IF($R3628="Trùng","Trùng SĐT; ","")&amp;IF($Q3628&lt;&gt;"Có","Thiếu đồng ý bắt buộc; ","")&amp;IF($L3628="","Thiếu/sai Mã REF; ",IF(AND($L3628="Chưa xác định",DANH_MUC!$L$9&lt;&gt;"Có"),"Nguồn chưa xác định; ","")))</f>
        <v/>
      </c>
      <c r="V3628" s="22">
        <f>IF(OR($D3628="",$R3628="Trùng"),"",IF(COUNTIF(ORDERS!$C$2:$C$4995,$D3628)&gt;0,"Có","Không"))</f>
        <v/>
      </c>
      <c r="W3628" s="22">
        <f>IF(OR($D3628="",$R3628="Trùng"),"",COUNTIFS(ORDERS!$C$2:$C$4995,$D3628,ORDERS!$L$2:$L$4995,"Đã chuyển khoản"))</f>
        <v/>
      </c>
      <c r="X3628" s="23">
        <f>IF(OR($D3628="",$R3628="Trùng"),"",SUMIFS(ORDERS!$J$2:$J$4995,ORDERS!$C$2:$C$4995,$D3628,ORDERS!$L$2:$L$4995,"Đã chuyển khoản"))</f>
        <v/>
      </c>
      <c r="Y3628" s="24" t="n"/>
    </row>
    <row r="3629" ht="14.25" customHeight="1" s="40">
      <c r="A3629" s="24" t="n"/>
      <c r="B3629" s="27" t="n"/>
      <c r="C3629" s="24" t="n"/>
      <c r="D3629" s="28" t="n"/>
      <c r="E3629" s="29" t="n"/>
      <c r="F3629" s="24" t="n"/>
      <c r="G3629" s="24" t="n"/>
      <c r="H3629" s="21">
        <f>IF(ISNUMBER($B3629),INT($B3629)-WEEKDAY($B3629,2)+1,"")</f>
        <v/>
      </c>
      <c r="I3629" s="24" t="n"/>
      <c r="J3629" s="22">
        <f t="array" ref="J3629">IF($D3629="","",IF($I3629="","(trống REF)",IFERROR(INDEX(MASTER_SOURCE!$B$2:$B$495,MATCH($I3629,MASTER_SOURCE!$A$2:$A$495,0)),"(REF không có trong MASTER_SOURCE)")))</f>
        <v/>
      </c>
      <c r="K3629" s="22">
        <f t="array" ref="K3629">IF($D3629="","",IFERROR(INDEX(MASTER_SOURCE!$C$2:$C$495,MATCH($I3629,MASTER_SOURCE!$A$2:$A$495,0)),""))</f>
        <v/>
      </c>
      <c r="L3629" s="22">
        <f t="array" ref="L3629">IF($D3629="","",IFERROR(INDEX(MASTER_SOURCE!$D$2:$D$495,MATCH($I3629,MASTER_SOURCE!$A$2:$A$495,0)),""))</f>
        <v/>
      </c>
      <c r="M3629" s="24" t="n"/>
      <c r="N3629" s="24" t="n"/>
      <c r="O3629" s="24" t="n"/>
      <c r="P3629" s="24" t="n"/>
      <c r="Q3629" s="22">
        <f>IF($D3629="","",IF(AND(OR(DANH_MUC!$L$5&lt;&gt;"Có",M3629="Có"),OR(DANH_MUC!$L$6&lt;&gt;"Có",N3629="Có"),OR(DANH_MUC!$L$7&lt;&gt;"Có",O3629="Có"),OR(DANH_MUC!$L$8&lt;&gt;"Có",P3629="Có")),"Có","Không"))</f>
        <v/>
      </c>
      <c r="R3629" s="22">
        <f>IF($D3629="","",IF(COUNTIF($D$2:$D3629,$D3629)&gt;1,"Trùng",""))</f>
        <v/>
      </c>
      <c r="S3629" s="22">
        <f>IF($D3629="","",IF(AND(LEN($D3629)=10,LEFT($D3629,1)="0",ISNUMBER(--$D3629)),"Có","Không"))</f>
        <v/>
      </c>
      <c r="T3629" s="22">
        <f>IF($D3629="","",IF(AND($C3629&lt;&gt;"",$Q3629="Có",$R3629="",$S3629="Có",AND($L3629&lt;&gt;"",OR($L3629&lt;&gt;"Chưa xác định",DANH_MUC!$L$9="Có"))),"Có","Không"))</f>
        <v/>
      </c>
      <c r="U3629" s="22">
        <f>IF(OR($D3629="",$T3629="Có"),"",IF($C3629="","Thiếu họ tên; ","")&amp;IF($S3629&lt;&gt;"Có","SĐT sai định dạng; ","")&amp;IF($R3629="Trùng","Trùng SĐT; ","")&amp;IF($Q3629&lt;&gt;"Có","Thiếu đồng ý bắt buộc; ","")&amp;IF($L3629="","Thiếu/sai Mã REF; ",IF(AND($L3629="Chưa xác định",DANH_MUC!$L$9&lt;&gt;"Có"),"Nguồn chưa xác định; ","")))</f>
        <v/>
      </c>
      <c r="V3629" s="22">
        <f>IF(OR($D3629="",$R3629="Trùng"),"",IF(COUNTIF(ORDERS!$C$2:$C$4995,$D3629)&gt;0,"Có","Không"))</f>
        <v/>
      </c>
      <c r="W3629" s="22">
        <f>IF(OR($D3629="",$R3629="Trùng"),"",COUNTIFS(ORDERS!$C$2:$C$4995,$D3629,ORDERS!$L$2:$L$4995,"Đã chuyển khoản"))</f>
        <v/>
      </c>
      <c r="X3629" s="23">
        <f>IF(OR($D3629="",$R3629="Trùng"),"",SUMIFS(ORDERS!$J$2:$J$4995,ORDERS!$C$2:$C$4995,$D3629,ORDERS!$L$2:$L$4995,"Đã chuyển khoản"))</f>
        <v/>
      </c>
      <c r="Y3629" s="24" t="n"/>
    </row>
    <row r="3630" ht="14.25" customHeight="1" s="40">
      <c r="A3630" s="24" t="n"/>
      <c r="B3630" s="27" t="n"/>
      <c r="C3630" s="24" t="n"/>
      <c r="D3630" s="28" t="n"/>
      <c r="E3630" s="29" t="n"/>
      <c r="F3630" s="24" t="n"/>
      <c r="G3630" s="24" t="n"/>
      <c r="H3630" s="21">
        <f>IF(ISNUMBER($B3630),INT($B3630)-WEEKDAY($B3630,2)+1,"")</f>
        <v/>
      </c>
      <c r="I3630" s="24" t="n"/>
      <c r="J3630" s="22">
        <f t="array" ref="J3630">IF($D3630="","",IF($I3630="","(trống REF)",IFERROR(INDEX(MASTER_SOURCE!$B$2:$B$495,MATCH($I3630,MASTER_SOURCE!$A$2:$A$495,0)),"(REF không có trong MASTER_SOURCE)")))</f>
        <v/>
      </c>
      <c r="K3630" s="22">
        <f t="array" ref="K3630">IF($D3630="","",IFERROR(INDEX(MASTER_SOURCE!$C$2:$C$495,MATCH($I3630,MASTER_SOURCE!$A$2:$A$495,0)),""))</f>
        <v/>
      </c>
      <c r="L3630" s="22">
        <f t="array" ref="L3630">IF($D3630="","",IFERROR(INDEX(MASTER_SOURCE!$D$2:$D$495,MATCH($I3630,MASTER_SOURCE!$A$2:$A$495,0)),""))</f>
        <v/>
      </c>
      <c r="M3630" s="24" t="n"/>
      <c r="N3630" s="24" t="n"/>
      <c r="O3630" s="24" t="n"/>
      <c r="P3630" s="24" t="n"/>
      <c r="Q3630" s="22">
        <f>IF($D3630="","",IF(AND(OR(DANH_MUC!$L$5&lt;&gt;"Có",M3630="Có"),OR(DANH_MUC!$L$6&lt;&gt;"Có",N3630="Có"),OR(DANH_MUC!$L$7&lt;&gt;"Có",O3630="Có"),OR(DANH_MUC!$L$8&lt;&gt;"Có",P3630="Có")),"Có","Không"))</f>
        <v/>
      </c>
      <c r="R3630" s="22">
        <f>IF($D3630="","",IF(COUNTIF($D$2:$D3630,$D3630)&gt;1,"Trùng",""))</f>
        <v/>
      </c>
      <c r="S3630" s="22">
        <f>IF($D3630="","",IF(AND(LEN($D3630)=10,LEFT($D3630,1)="0",ISNUMBER(--$D3630)),"Có","Không"))</f>
        <v/>
      </c>
      <c r="T3630" s="22">
        <f>IF($D3630="","",IF(AND($C3630&lt;&gt;"",$Q3630="Có",$R3630="",$S3630="Có",AND($L3630&lt;&gt;"",OR($L3630&lt;&gt;"Chưa xác định",DANH_MUC!$L$9="Có"))),"Có","Không"))</f>
        <v/>
      </c>
      <c r="U3630" s="22">
        <f>IF(OR($D3630="",$T3630="Có"),"",IF($C3630="","Thiếu họ tên; ","")&amp;IF($S3630&lt;&gt;"Có","SĐT sai định dạng; ","")&amp;IF($R3630="Trùng","Trùng SĐT; ","")&amp;IF($Q3630&lt;&gt;"Có","Thiếu đồng ý bắt buộc; ","")&amp;IF($L3630="","Thiếu/sai Mã REF; ",IF(AND($L3630="Chưa xác định",DANH_MUC!$L$9&lt;&gt;"Có"),"Nguồn chưa xác định; ","")))</f>
        <v/>
      </c>
      <c r="V3630" s="22">
        <f>IF(OR($D3630="",$R3630="Trùng"),"",IF(COUNTIF(ORDERS!$C$2:$C$4995,$D3630)&gt;0,"Có","Không"))</f>
        <v/>
      </c>
      <c r="W3630" s="22">
        <f>IF(OR($D3630="",$R3630="Trùng"),"",COUNTIFS(ORDERS!$C$2:$C$4995,$D3630,ORDERS!$L$2:$L$4995,"Đã chuyển khoản"))</f>
        <v/>
      </c>
      <c r="X3630" s="23">
        <f>IF(OR($D3630="",$R3630="Trùng"),"",SUMIFS(ORDERS!$J$2:$J$4995,ORDERS!$C$2:$C$4995,$D3630,ORDERS!$L$2:$L$4995,"Đã chuyển khoản"))</f>
        <v/>
      </c>
      <c r="Y3630" s="24" t="n"/>
    </row>
    <row r="3631" ht="14.25" customHeight="1" s="40">
      <c r="A3631" s="24" t="n"/>
      <c r="B3631" s="27" t="n"/>
      <c r="C3631" s="24" t="n"/>
      <c r="D3631" s="28" t="n"/>
      <c r="E3631" s="29" t="n"/>
      <c r="F3631" s="24" t="n"/>
      <c r="G3631" s="24" t="n"/>
      <c r="H3631" s="21">
        <f>IF(ISNUMBER($B3631),INT($B3631)-WEEKDAY($B3631,2)+1,"")</f>
        <v/>
      </c>
      <c r="I3631" s="24" t="n"/>
      <c r="J3631" s="22">
        <f t="array" ref="J3631">IF($D3631="","",IF($I3631="","(trống REF)",IFERROR(INDEX(MASTER_SOURCE!$B$2:$B$495,MATCH($I3631,MASTER_SOURCE!$A$2:$A$495,0)),"(REF không có trong MASTER_SOURCE)")))</f>
        <v/>
      </c>
      <c r="K3631" s="22">
        <f t="array" ref="K3631">IF($D3631="","",IFERROR(INDEX(MASTER_SOURCE!$C$2:$C$495,MATCH($I3631,MASTER_SOURCE!$A$2:$A$495,0)),""))</f>
        <v/>
      </c>
      <c r="L3631" s="22">
        <f t="array" ref="L3631">IF($D3631="","",IFERROR(INDEX(MASTER_SOURCE!$D$2:$D$495,MATCH($I3631,MASTER_SOURCE!$A$2:$A$495,0)),""))</f>
        <v/>
      </c>
      <c r="M3631" s="24" t="n"/>
      <c r="N3631" s="24" t="n"/>
      <c r="O3631" s="24" t="n"/>
      <c r="P3631" s="24" t="n"/>
      <c r="Q3631" s="22">
        <f>IF($D3631="","",IF(AND(OR(DANH_MUC!$L$5&lt;&gt;"Có",M3631="Có"),OR(DANH_MUC!$L$6&lt;&gt;"Có",N3631="Có"),OR(DANH_MUC!$L$7&lt;&gt;"Có",O3631="Có"),OR(DANH_MUC!$L$8&lt;&gt;"Có",P3631="Có")),"Có","Không"))</f>
        <v/>
      </c>
      <c r="R3631" s="22">
        <f>IF($D3631="","",IF(COUNTIF($D$2:$D3631,$D3631)&gt;1,"Trùng",""))</f>
        <v/>
      </c>
      <c r="S3631" s="22">
        <f>IF($D3631="","",IF(AND(LEN($D3631)=10,LEFT($D3631,1)="0",ISNUMBER(--$D3631)),"Có","Không"))</f>
        <v/>
      </c>
      <c r="T3631" s="22">
        <f>IF($D3631="","",IF(AND($C3631&lt;&gt;"",$Q3631="Có",$R3631="",$S3631="Có",AND($L3631&lt;&gt;"",OR($L3631&lt;&gt;"Chưa xác định",DANH_MUC!$L$9="Có"))),"Có","Không"))</f>
        <v/>
      </c>
      <c r="U3631" s="22">
        <f>IF(OR($D3631="",$T3631="Có"),"",IF($C3631="","Thiếu họ tên; ","")&amp;IF($S3631&lt;&gt;"Có","SĐT sai định dạng; ","")&amp;IF($R3631="Trùng","Trùng SĐT; ","")&amp;IF($Q3631&lt;&gt;"Có","Thiếu đồng ý bắt buộc; ","")&amp;IF($L3631="","Thiếu/sai Mã REF; ",IF(AND($L3631="Chưa xác định",DANH_MUC!$L$9&lt;&gt;"Có"),"Nguồn chưa xác định; ","")))</f>
        <v/>
      </c>
      <c r="V3631" s="22">
        <f>IF(OR($D3631="",$R3631="Trùng"),"",IF(COUNTIF(ORDERS!$C$2:$C$4995,$D3631)&gt;0,"Có","Không"))</f>
        <v/>
      </c>
      <c r="W3631" s="22">
        <f>IF(OR($D3631="",$R3631="Trùng"),"",COUNTIFS(ORDERS!$C$2:$C$4995,$D3631,ORDERS!$L$2:$L$4995,"Đã chuyển khoản"))</f>
        <v/>
      </c>
      <c r="X3631" s="23">
        <f>IF(OR($D3631="",$R3631="Trùng"),"",SUMIFS(ORDERS!$J$2:$J$4995,ORDERS!$C$2:$C$4995,$D3631,ORDERS!$L$2:$L$4995,"Đã chuyển khoản"))</f>
        <v/>
      </c>
      <c r="Y3631" s="24" t="n"/>
    </row>
    <row r="3632" ht="14.25" customHeight="1" s="40">
      <c r="A3632" s="24" t="n"/>
      <c r="B3632" s="27" t="n"/>
      <c r="C3632" s="24" t="n"/>
      <c r="D3632" s="28" t="n"/>
      <c r="E3632" s="29" t="n"/>
      <c r="F3632" s="24" t="n"/>
      <c r="G3632" s="24" t="n"/>
      <c r="H3632" s="21">
        <f>IF(ISNUMBER($B3632),INT($B3632)-WEEKDAY($B3632,2)+1,"")</f>
        <v/>
      </c>
      <c r="I3632" s="24" t="n"/>
      <c r="J3632" s="22">
        <f t="array" ref="J3632">IF($D3632="","",IF($I3632="","(trống REF)",IFERROR(INDEX(MASTER_SOURCE!$B$2:$B$495,MATCH($I3632,MASTER_SOURCE!$A$2:$A$495,0)),"(REF không có trong MASTER_SOURCE)")))</f>
        <v/>
      </c>
      <c r="K3632" s="22">
        <f t="array" ref="K3632">IF($D3632="","",IFERROR(INDEX(MASTER_SOURCE!$C$2:$C$495,MATCH($I3632,MASTER_SOURCE!$A$2:$A$495,0)),""))</f>
        <v/>
      </c>
      <c r="L3632" s="22">
        <f t="array" ref="L3632">IF($D3632="","",IFERROR(INDEX(MASTER_SOURCE!$D$2:$D$495,MATCH($I3632,MASTER_SOURCE!$A$2:$A$495,0)),""))</f>
        <v/>
      </c>
      <c r="M3632" s="24" t="n"/>
      <c r="N3632" s="24" t="n"/>
      <c r="O3632" s="24" t="n"/>
      <c r="P3632" s="24" t="n"/>
      <c r="Q3632" s="22">
        <f>IF($D3632="","",IF(AND(OR(DANH_MUC!$L$5&lt;&gt;"Có",M3632="Có"),OR(DANH_MUC!$L$6&lt;&gt;"Có",N3632="Có"),OR(DANH_MUC!$L$7&lt;&gt;"Có",O3632="Có"),OR(DANH_MUC!$L$8&lt;&gt;"Có",P3632="Có")),"Có","Không"))</f>
        <v/>
      </c>
      <c r="R3632" s="22">
        <f>IF($D3632="","",IF(COUNTIF($D$2:$D3632,$D3632)&gt;1,"Trùng",""))</f>
        <v/>
      </c>
      <c r="S3632" s="22">
        <f>IF($D3632="","",IF(AND(LEN($D3632)=10,LEFT($D3632,1)="0",ISNUMBER(--$D3632)),"Có","Không"))</f>
        <v/>
      </c>
      <c r="T3632" s="22">
        <f>IF($D3632="","",IF(AND($C3632&lt;&gt;"",$Q3632="Có",$R3632="",$S3632="Có",AND($L3632&lt;&gt;"",OR($L3632&lt;&gt;"Chưa xác định",DANH_MUC!$L$9="Có"))),"Có","Không"))</f>
        <v/>
      </c>
      <c r="U3632" s="22">
        <f>IF(OR($D3632="",$T3632="Có"),"",IF($C3632="","Thiếu họ tên; ","")&amp;IF($S3632&lt;&gt;"Có","SĐT sai định dạng; ","")&amp;IF($R3632="Trùng","Trùng SĐT; ","")&amp;IF($Q3632&lt;&gt;"Có","Thiếu đồng ý bắt buộc; ","")&amp;IF($L3632="","Thiếu/sai Mã REF; ",IF(AND($L3632="Chưa xác định",DANH_MUC!$L$9&lt;&gt;"Có"),"Nguồn chưa xác định; ","")))</f>
        <v/>
      </c>
      <c r="V3632" s="22">
        <f>IF(OR($D3632="",$R3632="Trùng"),"",IF(COUNTIF(ORDERS!$C$2:$C$4995,$D3632)&gt;0,"Có","Không"))</f>
        <v/>
      </c>
      <c r="W3632" s="22">
        <f>IF(OR($D3632="",$R3632="Trùng"),"",COUNTIFS(ORDERS!$C$2:$C$4995,$D3632,ORDERS!$L$2:$L$4995,"Đã chuyển khoản"))</f>
        <v/>
      </c>
      <c r="X3632" s="23">
        <f>IF(OR($D3632="",$R3632="Trùng"),"",SUMIFS(ORDERS!$J$2:$J$4995,ORDERS!$C$2:$C$4995,$D3632,ORDERS!$L$2:$L$4995,"Đã chuyển khoản"))</f>
        <v/>
      </c>
      <c r="Y3632" s="24" t="n"/>
    </row>
    <row r="3633" ht="14.25" customHeight="1" s="40">
      <c r="A3633" s="24" t="n"/>
      <c r="B3633" s="27" t="n"/>
      <c r="C3633" s="24" t="n"/>
      <c r="D3633" s="28" t="n"/>
      <c r="E3633" s="29" t="n"/>
      <c r="F3633" s="24" t="n"/>
      <c r="G3633" s="24" t="n"/>
      <c r="H3633" s="21">
        <f>IF(ISNUMBER($B3633),INT($B3633)-WEEKDAY($B3633,2)+1,"")</f>
        <v/>
      </c>
      <c r="I3633" s="24" t="n"/>
      <c r="J3633" s="22">
        <f t="array" ref="J3633">IF($D3633="","",IF($I3633="","(trống REF)",IFERROR(INDEX(MASTER_SOURCE!$B$2:$B$495,MATCH($I3633,MASTER_SOURCE!$A$2:$A$495,0)),"(REF không có trong MASTER_SOURCE)")))</f>
        <v/>
      </c>
      <c r="K3633" s="22">
        <f t="array" ref="K3633">IF($D3633="","",IFERROR(INDEX(MASTER_SOURCE!$C$2:$C$495,MATCH($I3633,MASTER_SOURCE!$A$2:$A$495,0)),""))</f>
        <v/>
      </c>
      <c r="L3633" s="22">
        <f t="array" ref="L3633">IF($D3633="","",IFERROR(INDEX(MASTER_SOURCE!$D$2:$D$495,MATCH($I3633,MASTER_SOURCE!$A$2:$A$495,0)),""))</f>
        <v/>
      </c>
      <c r="M3633" s="24" t="n"/>
      <c r="N3633" s="24" t="n"/>
      <c r="O3633" s="24" t="n"/>
      <c r="P3633" s="24" t="n"/>
      <c r="Q3633" s="22">
        <f>IF($D3633="","",IF(AND(OR(DANH_MUC!$L$5&lt;&gt;"Có",M3633="Có"),OR(DANH_MUC!$L$6&lt;&gt;"Có",N3633="Có"),OR(DANH_MUC!$L$7&lt;&gt;"Có",O3633="Có"),OR(DANH_MUC!$L$8&lt;&gt;"Có",P3633="Có")),"Có","Không"))</f>
        <v/>
      </c>
      <c r="R3633" s="22">
        <f>IF($D3633="","",IF(COUNTIF($D$2:$D3633,$D3633)&gt;1,"Trùng",""))</f>
        <v/>
      </c>
      <c r="S3633" s="22">
        <f>IF($D3633="","",IF(AND(LEN($D3633)=10,LEFT($D3633,1)="0",ISNUMBER(--$D3633)),"Có","Không"))</f>
        <v/>
      </c>
      <c r="T3633" s="22">
        <f>IF($D3633="","",IF(AND($C3633&lt;&gt;"",$Q3633="Có",$R3633="",$S3633="Có",AND($L3633&lt;&gt;"",OR($L3633&lt;&gt;"Chưa xác định",DANH_MUC!$L$9="Có"))),"Có","Không"))</f>
        <v/>
      </c>
      <c r="U3633" s="22">
        <f>IF(OR($D3633="",$T3633="Có"),"",IF($C3633="","Thiếu họ tên; ","")&amp;IF($S3633&lt;&gt;"Có","SĐT sai định dạng; ","")&amp;IF($R3633="Trùng","Trùng SĐT; ","")&amp;IF($Q3633&lt;&gt;"Có","Thiếu đồng ý bắt buộc; ","")&amp;IF($L3633="","Thiếu/sai Mã REF; ",IF(AND($L3633="Chưa xác định",DANH_MUC!$L$9&lt;&gt;"Có"),"Nguồn chưa xác định; ","")))</f>
        <v/>
      </c>
      <c r="V3633" s="22">
        <f>IF(OR($D3633="",$R3633="Trùng"),"",IF(COUNTIF(ORDERS!$C$2:$C$4995,$D3633)&gt;0,"Có","Không"))</f>
        <v/>
      </c>
      <c r="W3633" s="22">
        <f>IF(OR($D3633="",$R3633="Trùng"),"",COUNTIFS(ORDERS!$C$2:$C$4995,$D3633,ORDERS!$L$2:$L$4995,"Đã chuyển khoản"))</f>
        <v/>
      </c>
      <c r="X3633" s="23">
        <f>IF(OR($D3633="",$R3633="Trùng"),"",SUMIFS(ORDERS!$J$2:$J$4995,ORDERS!$C$2:$C$4995,$D3633,ORDERS!$L$2:$L$4995,"Đã chuyển khoản"))</f>
        <v/>
      </c>
      <c r="Y3633" s="24" t="n"/>
    </row>
    <row r="3634" ht="14.25" customHeight="1" s="40">
      <c r="A3634" s="24" t="n"/>
      <c r="B3634" s="27" t="n"/>
      <c r="C3634" s="24" t="n"/>
      <c r="D3634" s="28" t="n"/>
      <c r="E3634" s="29" t="n"/>
      <c r="F3634" s="24" t="n"/>
      <c r="G3634" s="24" t="n"/>
      <c r="H3634" s="21">
        <f>IF(ISNUMBER($B3634),INT($B3634)-WEEKDAY($B3634,2)+1,"")</f>
        <v/>
      </c>
      <c r="I3634" s="24" t="n"/>
      <c r="J3634" s="22">
        <f t="array" ref="J3634">IF($D3634="","",IF($I3634="","(trống REF)",IFERROR(INDEX(MASTER_SOURCE!$B$2:$B$495,MATCH($I3634,MASTER_SOURCE!$A$2:$A$495,0)),"(REF không có trong MASTER_SOURCE)")))</f>
        <v/>
      </c>
      <c r="K3634" s="22">
        <f t="array" ref="K3634">IF($D3634="","",IFERROR(INDEX(MASTER_SOURCE!$C$2:$C$495,MATCH($I3634,MASTER_SOURCE!$A$2:$A$495,0)),""))</f>
        <v/>
      </c>
      <c r="L3634" s="22">
        <f t="array" ref="L3634">IF($D3634="","",IFERROR(INDEX(MASTER_SOURCE!$D$2:$D$495,MATCH($I3634,MASTER_SOURCE!$A$2:$A$495,0)),""))</f>
        <v/>
      </c>
      <c r="M3634" s="24" t="n"/>
      <c r="N3634" s="24" t="n"/>
      <c r="O3634" s="24" t="n"/>
      <c r="P3634" s="24" t="n"/>
      <c r="Q3634" s="22">
        <f>IF($D3634="","",IF(AND(OR(DANH_MUC!$L$5&lt;&gt;"Có",M3634="Có"),OR(DANH_MUC!$L$6&lt;&gt;"Có",N3634="Có"),OR(DANH_MUC!$L$7&lt;&gt;"Có",O3634="Có"),OR(DANH_MUC!$L$8&lt;&gt;"Có",P3634="Có")),"Có","Không"))</f>
        <v/>
      </c>
      <c r="R3634" s="22">
        <f>IF($D3634="","",IF(COUNTIF($D$2:$D3634,$D3634)&gt;1,"Trùng",""))</f>
        <v/>
      </c>
      <c r="S3634" s="22">
        <f>IF($D3634="","",IF(AND(LEN($D3634)=10,LEFT($D3634,1)="0",ISNUMBER(--$D3634)),"Có","Không"))</f>
        <v/>
      </c>
      <c r="T3634" s="22">
        <f>IF($D3634="","",IF(AND($C3634&lt;&gt;"",$Q3634="Có",$R3634="",$S3634="Có",AND($L3634&lt;&gt;"",OR($L3634&lt;&gt;"Chưa xác định",DANH_MUC!$L$9="Có"))),"Có","Không"))</f>
        <v/>
      </c>
      <c r="U3634" s="22">
        <f>IF(OR($D3634="",$T3634="Có"),"",IF($C3634="","Thiếu họ tên; ","")&amp;IF($S3634&lt;&gt;"Có","SĐT sai định dạng; ","")&amp;IF($R3634="Trùng","Trùng SĐT; ","")&amp;IF($Q3634&lt;&gt;"Có","Thiếu đồng ý bắt buộc; ","")&amp;IF($L3634="","Thiếu/sai Mã REF; ",IF(AND($L3634="Chưa xác định",DANH_MUC!$L$9&lt;&gt;"Có"),"Nguồn chưa xác định; ","")))</f>
        <v/>
      </c>
      <c r="V3634" s="22">
        <f>IF(OR($D3634="",$R3634="Trùng"),"",IF(COUNTIF(ORDERS!$C$2:$C$4995,$D3634)&gt;0,"Có","Không"))</f>
        <v/>
      </c>
      <c r="W3634" s="22">
        <f>IF(OR($D3634="",$R3634="Trùng"),"",COUNTIFS(ORDERS!$C$2:$C$4995,$D3634,ORDERS!$L$2:$L$4995,"Đã chuyển khoản"))</f>
        <v/>
      </c>
      <c r="X3634" s="23">
        <f>IF(OR($D3634="",$R3634="Trùng"),"",SUMIFS(ORDERS!$J$2:$J$4995,ORDERS!$C$2:$C$4995,$D3634,ORDERS!$L$2:$L$4995,"Đã chuyển khoản"))</f>
        <v/>
      </c>
      <c r="Y3634" s="24" t="n"/>
    </row>
    <row r="3635" ht="14.25" customHeight="1" s="40">
      <c r="A3635" s="24" t="n"/>
      <c r="B3635" s="27" t="n"/>
      <c r="C3635" s="24" t="n"/>
      <c r="D3635" s="28" t="n"/>
      <c r="E3635" s="29" t="n"/>
      <c r="F3635" s="24" t="n"/>
      <c r="G3635" s="24" t="n"/>
      <c r="H3635" s="21">
        <f>IF(ISNUMBER($B3635),INT($B3635)-WEEKDAY($B3635,2)+1,"")</f>
        <v/>
      </c>
      <c r="I3635" s="24" t="n"/>
      <c r="J3635" s="22">
        <f t="array" ref="J3635">IF($D3635="","",IF($I3635="","(trống REF)",IFERROR(INDEX(MASTER_SOURCE!$B$2:$B$495,MATCH($I3635,MASTER_SOURCE!$A$2:$A$495,0)),"(REF không có trong MASTER_SOURCE)")))</f>
        <v/>
      </c>
      <c r="K3635" s="22">
        <f t="array" ref="K3635">IF($D3635="","",IFERROR(INDEX(MASTER_SOURCE!$C$2:$C$495,MATCH($I3635,MASTER_SOURCE!$A$2:$A$495,0)),""))</f>
        <v/>
      </c>
      <c r="L3635" s="22">
        <f t="array" ref="L3635">IF($D3635="","",IFERROR(INDEX(MASTER_SOURCE!$D$2:$D$495,MATCH($I3635,MASTER_SOURCE!$A$2:$A$495,0)),""))</f>
        <v/>
      </c>
      <c r="M3635" s="24" t="n"/>
      <c r="N3635" s="24" t="n"/>
      <c r="O3635" s="24" t="n"/>
      <c r="P3635" s="24" t="n"/>
      <c r="Q3635" s="22">
        <f>IF($D3635="","",IF(AND(OR(DANH_MUC!$L$5&lt;&gt;"Có",M3635="Có"),OR(DANH_MUC!$L$6&lt;&gt;"Có",N3635="Có"),OR(DANH_MUC!$L$7&lt;&gt;"Có",O3635="Có"),OR(DANH_MUC!$L$8&lt;&gt;"Có",P3635="Có")),"Có","Không"))</f>
        <v/>
      </c>
      <c r="R3635" s="22">
        <f>IF($D3635="","",IF(COUNTIF($D$2:$D3635,$D3635)&gt;1,"Trùng",""))</f>
        <v/>
      </c>
      <c r="S3635" s="22">
        <f>IF($D3635="","",IF(AND(LEN($D3635)=10,LEFT($D3635,1)="0",ISNUMBER(--$D3635)),"Có","Không"))</f>
        <v/>
      </c>
      <c r="T3635" s="22">
        <f>IF($D3635="","",IF(AND($C3635&lt;&gt;"",$Q3635="Có",$R3635="",$S3635="Có",AND($L3635&lt;&gt;"",OR($L3635&lt;&gt;"Chưa xác định",DANH_MUC!$L$9="Có"))),"Có","Không"))</f>
        <v/>
      </c>
      <c r="U3635" s="22">
        <f>IF(OR($D3635="",$T3635="Có"),"",IF($C3635="","Thiếu họ tên; ","")&amp;IF($S3635&lt;&gt;"Có","SĐT sai định dạng; ","")&amp;IF($R3635="Trùng","Trùng SĐT; ","")&amp;IF($Q3635&lt;&gt;"Có","Thiếu đồng ý bắt buộc; ","")&amp;IF($L3635="","Thiếu/sai Mã REF; ",IF(AND($L3635="Chưa xác định",DANH_MUC!$L$9&lt;&gt;"Có"),"Nguồn chưa xác định; ","")))</f>
        <v/>
      </c>
      <c r="V3635" s="22">
        <f>IF(OR($D3635="",$R3635="Trùng"),"",IF(COUNTIF(ORDERS!$C$2:$C$4995,$D3635)&gt;0,"Có","Không"))</f>
        <v/>
      </c>
      <c r="W3635" s="22">
        <f>IF(OR($D3635="",$R3635="Trùng"),"",COUNTIFS(ORDERS!$C$2:$C$4995,$D3635,ORDERS!$L$2:$L$4995,"Đã chuyển khoản"))</f>
        <v/>
      </c>
      <c r="X3635" s="23">
        <f>IF(OR($D3635="",$R3635="Trùng"),"",SUMIFS(ORDERS!$J$2:$J$4995,ORDERS!$C$2:$C$4995,$D3635,ORDERS!$L$2:$L$4995,"Đã chuyển khoản"))</f>
        <v/>
      </c>
      <c r="Y3635" s="24" t="n"/>
    </row>
    <row r="3636" ht="14.25" customHeight="1" s="40">
      <c r="A3636" s="24" t="n"/>
      <c r="B3636" s="27" t="n"/>
      <c r="C3636" s="24" t="n"/>
      <c r="D3636" s="28" t="n"/>
      <c r="E3636" s="29" t="n"/>
      <c r="F3636" s="24" t="n"/>
      <c r="G3636" s="24" t="n"/>
      <c r="H3636" s="21">
        <f>IF(ISNUMBER($B3636),INT($B3636)-WEEKDAY($B3636,2)+1,"")</f>
        <v/>
      </c>
      <c r="I3636" s="24" t="n"/>
      <c r="J3636" s="22">
        <f t="array" ref="J3636">IF($D3636="","",IF($I3636="","(trống REF)",IFERROR(INDEX(MASTER_SOURCE!$B$2:$B$495,MATCH($I3636,MASTER_SOURCE!$A$2:$A$495,0)),"(REF không có trong MASTER_SOURCE)")))</f>
        <v/>
      </c>
      <c r="K3636" s="22">
        <f t="array" ref="K3636">IF($D3636="","",IFERROR(INDEX(MASTER_SOURCE!$C$2:$C$495,MATCH($I3636,MASTER_SOURCE!$A$2:$A$495,0)),""))</f>
        <v/>
      </c>
      <c r="L3636" s="22">
        <f t="array" ref="L3636">IF($D3636="","",IFERROR(INDEX(MASTER_SOURCE!$D$2:$D$495,MATCH($I3636,MASTER_SOURCE!$A$2:$A$495,0)),""))</f>
        <v/>
      </c>
      <c r="M3636" s="24" t="n"/>
      <c r="N3636" s="24" t="n"/>
      <c r="O3636" s="24" t="n"/>
      <c r="P3636" s="24" t="n"/>
      <c r="Q3636" s="22">
        <f>IF($D3636="","",IF(AND(OR(DANH_MUC!$L$5&lt;&gt;"Có",M3636="Có"),OR(DANH_MUC!$L$6&lt;&gt;"Có",N3636="Có"),OR(DANH_MUC!$L$7&lt;&gt;"Có",O3636="Có"),OR(DANH_MUC!$L$8&lt;&gt;"Có",P3636="Có")),"Có","Không"))</f>
        <v/>
      </c>
      <c r="R3636" s="22">
        <f>IF($D3636="","",IF(COUNTIF($D$2:$D3636,$D3636)&gt;1,"Trùng",""))</f>
        <v/>
      </c>
      <c r="S3636" s="22">
        <f>IF($D3636="","",IF(AND(LEN($D3636)=10,LEFT($D3636,1)="0",ISNUMBER(--$D3636)),"Có","Không"))</f>
        <v/>
      </c>
      <c r="T3636" s="22">
        <f>IF($D3636="","",IF(AND($C3636&lt;&gt;"",$Q3636="Có",$R3636="",$S3636="Có",AND($L3636&lt;&gt;"",OR($L3636&lt;&gt;"Chưa xác định",DANH_MUC!$L$9="Có"))),"Có","Không"))</f>
        <v/>
      </c>
      <c r="U3636" s="22">
        <f>IF(OR($D3636="",$T3636="Có"),"",IF($C3636="","Thiếu họ tên; ","")&amp;IF($S3636&lt;&gt;"Có","SĐT sai định dạng; ","")&amp;IF($R3636="Trùng","Trùng SĐT; ","")&amp;IF($Q3636&lt;&gt;"Có","Thiếu đồng ý bắt buộc; ","")&amp;IF($L3636="","Thiếu/sai Mã REF; ",IF(AND($L3636="Chưa xác định",DANH_MUC!$L$9&lt;&gt;"Có"),"Nguồn chưa xác định; ","")))</f>
        <v/>
      </c>
      <c r="V3636" s="22">
        <f>IF(OR($D3636="",$R3636="Trùng"),"",IF(COUNTIF(ORDERS!$C$2:$C$4995,$D3636)&gt;0,"Có","Không"))</f>
        <v/>
      </c>
      <c r="W3636" s="22">
        <f>IF(OR($D3636="",$R3636="Trùng"),"",COUNTIFS(ORDERS!$C$2:$C$4995,$D3636,ORDERS!$L$2:$L$4995,"Đã chuyển khoản"))</f>
        <v/>
      </c>
      <c r="X3636" s="23">
        <f>IF(OR($D3636="",$R3636="Trùng"),"",SUMIFS(ORDERS!$J$2:$J$4995,ORDERS!$C$2:$C$4995,$D3636,ORDERS!$L$2:$L$4995,"Đã chuyển khoản"))</f>
        <v/>
      </c>
      <c r="Y3636" s="24" t="n"/>
    </row>
    <row r="3637" ht="14.25" customHeight="1" s="40">
      <c r="A3637" s="24" t="n"/>
      <c r="B3637" s="27" t="n"/>
      <c r="C3637" s="24" t="n"/>
      <c r="D3637" s="28" t="n"/>
      <c r="E3637" s="29" t="n"/>
      <c r="F3637" s="24" t="n"/>
      <c r="G3637" s="24" t="n"/>
      <c r="H3637" s="21">
        <f>IF(ISNUMBER($B3637),INT($B3637)-WEEKDAY($B3637,2)+1,"")</f>
        <v/>
      </c>
      <c r="I3637" s="24" t="n"/>
      <c r="J3637" s="22">
        <f t="array" ref="J3637">IF($D3637="","",IF($I3637="","(trống REF)",IFERROR(INDEX(MASTER_SOURCE!$B$2:$B$495,MATCH($I3637,MASTER_SOURCE!$A$2:$A$495,0)),"(REF không có trong MASTER_SOURCE)")))</f>
        <v/>
      </c>
      <c r="K3637" s="22">
        <f t="array" ref="K3637">IF($D3637="","",IFERROR(INDEX(MASTER_SOURCE!$C$2:$C$495,MATCH($I3637,MASTER_SOURCE!$A$2:$A$495,0)),""))</f>
        <v/>
      </c>
      <c r="L3637" s="22">
        <f t="array" ref="L3637">IF($D3637="","",IFERROR(INDEX(MASTER_SOURCE!$D$2:$D$495,MATCH($I3637,MASTER_SOURCE!$A$2:$A$495,0)),""))</f>
        <v/>
      </c>
      <c r="M3637" s="24" t="n"/>
      <c r="N3637" s="24" t="n"/>
      <c r="O3637" s="24" t="n"/>
      <c r="P3637" s="24" t="n"/>
      <c r="Q3637" s="22">
        <f>IF($D3637="","",IF(AND(OR(DANH_MUC!$L$5&lt;&gt;"Có",M3637="Có"),OR(DANH_MUC!$L$6&lt;&gt;"Có",N3637="Có"),OR(DANH_MUC!$L$7&lt;&gt;"Có",O3637="Có"),OR(DANH_MUC!$L$8&lt;&gt;"Có",P3637="Có")),"Có","Không"))</f>
        <v/>
      </c>
      <c r="R3637" s="22">
        <f>IF($D3637="","",IF(COUNTIF($D$2:$D3637,$D3637)&gt;1,"Trùng",""))</f>
        <v/>
      </c>
      <c r="S3637" s="22">
        <f>IF($D3637="","",IF(AND(LEN($D3637)=10,LEFT($D3637,1)="0",ISNUMBER(--$D3637)),"Có","Không"))</f>
        <v/>
      </c>
      <c r="T3637" s="22">
        <f>IF($D3637="","",IF(AND($C3637&lt;&gt;"",$Q3637="Có",$R3637="",$S3637="Có",AND($L3637&lt;&gt;"",OR($L3637&lt;&gt;"Chưa xác định",DANH_MUC!$L$9="Có"))),"Có","Không"))</f>
        <v/>
      </c>
      <c r="U3637" s="22">
        <f>IF(OR($D3637="",$T3637="Có"),"",IF($C3637="","Thiếu họ tên; ","")&amp;IF($S3637&lt;&gt;"Có","SĐT sai định dạng; ","")&amp;IF($R3637="Trùng","Trùng SĐT; ","")&amp;IF($Q3637&lt;&gt;"Có","Thiếu đồng ý bắt buộc; ","")&amp;IF($L3637="","Thiếu/sai Mã REF; ",IF(AND($L3637="Chưa xác định",DANH_MUC!$L$9&lt;&gt;"Có"),"Nguồn chưa xác định; ","")))</f>
        <v/>
      </c>
      <c r="V3637" s="22">
        <f>IF(OR($D3637="",$R3637="Trùng"),"",IF(COUNTIF(ORDERS!$C$2:$C$4995,$D3637)&gt;0,"Có","Không"))</f>
        <v/>
      </c>
      <c r="W3637" s="22">
        <f>IF(OR($D3637="",$R3637="Trùng"),"",COUNTIFS(ORDERS!$C$2:$C$4995,$D3637,ORDERS!$L$2:$L$4995,"Đã chuyển khoản"))</f>
        <v/>
      </c>
      <c r="X3637" s="23">
        <f>IF(OR($D3637="",$R3637="Trùng"),"",SUMIFS(ORDERS!$J$2:$J$4995,ORDERS!$C$2:$C$4995,$D3637,ORDERS!$L$2:$L$4995,"Đã chuyển khoản"))</f>
        <v/>
      </c>
      <c r="Y3637" s="24" t="n"/>
    </row>
    <row r="3638" ht="14.25" customHeight="1" s="40">
      <c r="A3638" s="24" t="n"/>
      <c r="B3638" s="27" t="n"/>
      <c r="C3638" s="24" t="n"/>
      <c r="D3638" s="28" t="n"/>
      <c r="E3638" s="29" t="n"/>
      <c r="F3638" s="24" t="n"/>
      <c r="G3638" s="24" t="n"/>
      <c r="H3638" s="21">
        <f>IF(ISNUMBER($B3638),INT($B3638)-WEEKDAY($B3638,2)+1,"")</f>
        <v/>
      </c>
      <c r="I3638" s="24" t="n"/>
      <c r="J3638" s="22">
        <f t="array" ref="J3638">IF($D3638="","",IF($I3638="","(trống REF)",IFERROR(INDEX(MASTER_SOURCE!$B$2:$B$495,MATCH($I3638,MASTER_SOURCE!$A$2:$A$495,0)),"(REF không có trong MASTER_SOURCE)")))</f>
        <v/>
      </c>
      <c r="K3638" s="22">
        <f t="array" ref="K3638">IF($D3638="","",IFERROR(INDEX(MASTER_SOURCE!$C$2:$C$495,MATCH($I3638,MASTER_SOURCE!$A$2:$A$495,0)),""))</f>
        <v/>
      </c>
      <c r="L3638" s="22">
        <f t="array" ref="L3638">IF($D3638="","",IFERROR(INDEX(MASTER_SOURCE!$D$2:$D$495,MATCH($I3638,MASTER_SOURCE!$A$2:$A$495,0)),""))</f>
        <v/>
      </c>
      <c r="M3638" s="24" t="n"/>
      <c r="N3638" s="24" t="n"/>
      <c r="O3638" s="24" t="n"/>
      <c r="P3638" s="24" t="n"/>
      <c r="Q3638" s="22">
        <f>IF($D3638="","",IF(AND(OR(DANH_MUC!$L$5&lt;&gt;"Có",M3638="Có"),OR(DANH_MUC!$L$6&lt;&gt;"Có",N3638="Có"),OR(DANH_MUC!$L$7&lt;&gt;"Có",O3638="Có"),OR(DANH_MUC!$L$8&lt;&gt;"Có",P3638="Có")),"Có","Không"))</f>
        <v/>
      </c>
      <c r="R3638" s="22">
        <f>IF($D3638="","",IF(COUNTIF($D$2:$D3638,$D3638)&gt;1,"Trùng",""))</f>
        <v/>
      </c>
      <c r="S3638" s="22">
        <f>IF($D3638="","",IF(AND(LEN($D3638)=10,LEFT($D3638,1)="0",ISNUMBER(--$D3638)),"Có","Không"))</f>
        <v/>
      </c>
      <c r="T3638" s="22">
        <f>IF($D3638="","",IF(AND($C3638&lt;&gt;"",$Q3638="Có",$R3638="",$S3638="Có",AND($L3638&lt;&gt;"",OR($L3638&lt;&gt;"Chưa xác định",DANH_MUC!$L$9="Có"))),"Có","Không"))</f>
        <v/>
      </c>
      <c r="U3638" s="22">
        <f>IF(OR($D3638="",$T3638="Có"),"",IF($C3638="","Thiếu họ tên; ","")&amp;IF($S3638&lt;&gt;"Có","SĐT sai định dạng; ","")&amp;IF($R3638="Trùng","Trùng SĐT; ","")&amp;IF($Q3638&lt;&gt;"Có","Thiếu đồng ý bắt buộc; ","")&amp;IF($L3638="","Thiếu/sai Mã REF; ",IF(AND($L3638="Chưa xác định",DANH_MUC!$L$9&lt;&gt;"Có"),"Nguồn chưa xác định; ","")))</f>
        <v/>
      </c>
      <c r="V3638" s="22">
        <f>IF(OR($D3638="",$R3638="Trùng"),"",IF(COUNTIF(ORDERS!$C$2:$C$4995,$D3638)&gt;0,"Có","Không"))</f>
        <v/>
      </c>
      <c r="W3638" s="22">
        <f>IF(OR($D3638="",$R3638="Trùng"),"",COUNTIFS(ORDERS!$C$2:$C$4995,$D3638,ORDERS!$L$2:$L$4995,"Đã chuyển khoản"))</f>
        <v/>
      </c>
      <c r="X3638" s="23">
        <f>IF(OR($D3638="",$R3638="Trùng"),"",SUMIFS(ORDERS!$J$2:$J$4995,ORDERS!$C$2:$C$4995,$D3638,ORDERS!$L$2:$L$4995,"Đã chuyển khoản"))</f>
        <v/>
      </c>
      <c r="Y3638" s="24" t="n"/>
    </row>
    <row r="3639" ht="14.25" customHeight="1" s="40">
      <c r="A3639" s="24" t="n"/>
      <c r="B3639" s="27" t="n"/>
      <c r="C3639" s="24" t="n"/>
      <c r="D3639" s="28" t="n"/>
      <c r="E3639" s="29" t="n"/>
      <c r="F3639" s="24" t="n"/>
      <c r="G3639" s="24" t="n"/>
      <c r="H3639" s="21">
        <f>IF(ISNUMBER($B3639),INT($B3639)-WEEKDAY($B3639,2)+1,"")</f>
        <v/>
      </c>
      <c r="I3639" s="24" t="n"/>
      <c r="J3639" s="22">
        <f t="array" ref="J3639">IF($D3639="","",IF($I3639="","(trống REF)",IFERROR(INDEX(MASTER_SOURCE!$B$2:$B$495,MATCH($I3639,MASTER_SOURCE!$A$2:$A$495,0)),"(REF không có trong MASTER_SOURCE)")))</f>
        <v/>
      </c>
      <c r="K3639" s="22">
        <f t="array" ref="K3639">IF($D3639="","",IFERROR(INDEX(MASTER_SOURCE!$C$2:$C$495,MATCH($I3639,MASTER_SOURCE!$A$2:$A$495,0)),""))</f>
        <v/>
      </c>
      <c r="L3639" s="22">
        <f t="array" ref="L3639">IF($D3639="","",IFERROR(INDEX(MASTER_SOURCE!$D$2:$D$495,MATCH($I3639,MASTER_SOURCE!$A$2:$A$495,0)),""))</f>
        <v/>
      </c>
      <c r="M3639" s="24" t="n"/>
      <c r="N3639" s="24" t="n"/>
      <c r="O3639" s="24" t="n"/>
      <c r="P3639" s="24" t="n"/>
      <c r="Q3639" s="22">
        <f>IF($D3639="","",IF(AND(OR(DANH_MUC!$L$5&lt;&gt;"Có",M3639="Có"),OR(DANH_MUC!$L$6&lt;&gt;"Có",N3639="Có"),OR(DANH_MUC!$L$7&lt;&gt;"Có",O3639="Có"),OR(DANH_MUC!$L$8&lt;&gt;"Có",P3639="Có")),"Có","Không"))</f>
        <v/>
      </c>
      <c r="R3639" s="22">
        <f>IF($D3639="","",IF(COUNTIF($D$2:$D3639,$D3639)&gt;1,"Trùng",""))</f>
        <v/>
      </c>
      <c r="S3639" s="22">
        <f>IF($D3639="","",IF(AND(LEN($D3639)=10,LEFT($D3639,1)="0",ISNUMBER(--$D3639)),"Có","Không"))</f>
        <v/>
      </c>
      <c r="T3639" s="22">
        <f>IF($D3639="","",IF(AND($C3639&lt;&gt;"",$Q3639="Có",$R3639="",$S3639="Có",AND($L3639&lt;&gt;"",OR($L3639&lt;&gt;"Chưa xác định",DANH_MUC!$L$9="Có"))),"Có","Không"))</f>
        <v/>
      </c>
      <c r="U3639" s="22">
        <f>IF(OR($D3639="",$T3639="Có"),"",IF($C3639="","Thiếu họ tên; ","")&amp;IF($S3639&lt;&gt;"Có","SĐT sai định dạng; ","")&amp;IF($R3639="Trùng","Trùng SĐT; ","")&amp;IF($Q3639&lt;&gt;"Có","Thiếu đồng ý bắt buộc; ","")&amp;IF($L3639="","Thiếu/sai Mã REF; ",IF(AND($L3639="Chưa xác định",DANH_MUC!$L$9&lt;&gt;"Có"),"Nguồn chưa xác định; ","")))</f>
        <v/>
      </c>
      <c r="V3639" s="22">
        <f>IF(OR($D3639="",$R3639="Trùng"),"",IF(COUNTIF(ORDERS!$C$2:$C$4995,$D3639)&gt;0,"Có","Không"))</f>
        <v/>
      </c>
      <c r="W3639" s="22">
        <f>IF(OR($D3639="",$R3639="Trùng"),"",COUNTIFS(ORDERS!$C$2:$C$4995,$D3639,ORDERS!$L$2:$L$4995,"Đã chuyển khoản"))</f>
        <v/>
      </c>
      <c r="X3639" s="23">
        <f>IF(OR($D3639="",$R3639="Trùng"),"",SUMIFS(ORDERS!$J$2:$J$4995,ORDERS!$C$2:$C$4995,$D3639,ORDERS!$L$2:$L$4995,"Đã chuyển khoản"))</f>
        <v/>
      </c>
      <c r="Y3639" s="24" t="n"/>
    </row>
    <row r="3640" ht="14.25" customHeight="1" s="40">
      <c r="A3640" s="24" t="n"/>
      <c r="B3640" s="27" t="n"/>
      <c r="C3640" s="24" t="n"/>
      <c r="D3640" s="28" t="n"/>
      <c r="E3640" s="29" t="n"/>
      <c r="F3640" s="24" t="n"/>
      <c r="G3640" s="24" t="n"/>
      <c r="H3640" s="21">
        <f>IF(ISNUMBER($B3640),INT($B3640)-WEEKDAY($B3640,2)+1,"")</f>
        <v/>
      </c>
      <c r="I3640" s="24" t="n"/>
      <c r="J3640" s="22">
        <f t="array" ref="J3640">IF($D3640="","",IF($I3640="","(trống REF)",IFERROR(INDEX(MASTER_SOURCE!$B$2:$B$495,MATCH($I3640,MASTER_SOURCE!$A$2:$A$495,0)),"(REF không có trong MASTER_SOURCE)")))</f>
        <v/>
      </c>
      <c r="K3640" s="22">
        <f t="array" ref="K3640">IF($D3640="","",IFERROR(INDEX(MASTER_SOURCE!$C$2:$C$495,MATCH($I3640,MASTER_SOURCE!$A$2:$A$495,0)),""))</f>
        <v/>
      </c>
      <c r="L3640" s="22">
        <f t="array" ref="L3640">IF($D3640="","",IFERROR(INDEX(MASTER_SOURCE!$D$2:$D$495,MATCH($I3640,MASTER_SOURCE!$A$2:$A$495,0)),""))</f>
        <v/>
      </c>
      <c r="M3640" s="24" t="n"/>
      <c r="N3640" s="24" t="n"/>
      <c r="O3640" s="24" t="n"/>
      <c r="P3640" s="24" t="n"/>
      <c r="Q3640" s="22">
        <f>IF($D3640="","",IF(AND(OR(DANH_MUC!$L$5&lt;&gt;"Có",M3640="Có"),OR(DANH_MUC!$L$6&lt;&gt;"Có",N3640="Có"),OR(DANH_MUC!$L$7&lt;&gt;"Có",O3640="Có"),OR(DANH_MUC!$L$8&lt;&gt;"Có",P3640="Có")),"Có","Không"))</f>
        <v/>
      </c>
      <c r="R3640" s="22">
        <f>IF($D3640="","",IF(COUNTIF($D$2:$D3640,$D3640)&gt;1,"Trùng",""))</f>
        <v/>
      </c>
      <c r="S3640" s="22">
        <f>IF($D3640="","",IF(AND(LEN($D3640)=10,LEFT($D3640,1)="0",ISNUMBER(--$D3640)),"Có","Không"))</f>
        <v/>
      </c>
      <c r="T3640" s="22">
        <f>IF($D3640="","",IF(AND($C3640&lt;&gt;"",$Q3640="Có",$R3640="",$S3640="Có",AND($L3640&lt;&gt;"",OR($L3640&lt;&gt;"Chưa xác định",DANH_MUC!$L$9="Có"))),"Có","Không"))</f>
        <v/>
      </c>
      <c r="U3640" s="22">
        <f>IF(OR($D3640="",$T3640="Có"),"",IF($C3640="","Thiếu họ tên; ","")&amp;IF($S3640&lt;&gt;"Có","SĐT sai định dạng; ","")&amp;IF($R3640="Trùng","Trùng SĐT; ","")&amp;IF($Q3640&lt;&gt;"Có","Thiếu đồng ý bắt buộc; ","")&amp;IF($L3640="","Thiếu/sai Mã REF; ",IF(AND($L3640="Chưa xác định",DANH_MUC!$L$9&lt;&gt;"Có"),"Nguồn chưa xác định; ","")))</f>
        <v/>
      </c>
      <c r="V3640" s="22">
        <f>IF(OR($D3640="",$R3640="Trùng"),"",IF(COUNTIF(ORDERS!$C$2:$C$4995,$D3640)&gt;0,"Có","Không"))</f>
        <v/>
      </c>
      <c r="W3640" s="22">
        <f>IF(OR($D3640="",$R3640="Trùng"),"",COUNTIFS(ORDERS!$C$2:$C$4995,$D3640,ORDERS!$L$2:$L$4995,"Đã chuyển khoản"))</f>
        <v/>
      </c>
      <c r="X3640" s="23">
        <f>IF(OR($D3640="",$R3640="Trùng"),"",SUMIFS(ORDERS!$J$2:$J$4995,ORDERS!$C$2:$C$4995,$D3640,ORDERS!$L$2:$L$4995,"Đã chuyển khoản"))</f>
        <v/>
      </c>
      <c r="Y3640" s="24" t="n"/>
    </row>
    <row r="3641" ht="14.25" customHeight="1" s="40">
      <c r="A3641" s="24" t="n"/>
      <c r="B3641" s="27" t="n"/>
      <c r="C3641" s="24" t="n"/>
      <c r="D3641" s="28" t="n"/>
      <c r="E3641" s="29" t="n"/>
      <c r="F3641" s="24" t="n"/>
      <c r="G3641" s="24" t="n"/>
      <c r="H3641" s="21">
        <f>IF(ISNUMBER($B3641),INT($B3641)-WEEKDAY($B3641,2)+1,"")</f>
        <v/>
      </c>
      <c r="I3641" s="24" t="n"/>
      <c r="J3641" s="22">
        <f t="array" ref="J3641">IF($D3641="","",IF($I3641="","(trống REF)",IFERROR(INDEX(MASTER_SOURCE!$B$2:$B$495,MATCH($I3641,MASTER_SOURCE!$A$2:$A$495,0)),"(REF không có trong MASTER_SOURCE)")))</f>
        <v/>
      </c>
      <c r="K3641" s="22">
        <f t="array" ref="K3641">IF($D3641="","",IFERROR(INDEX(MASTER_SOURCE!$C$2:$C$495,MATCH($I3641,MASTER_SOURCE!$A$2:$A$495,0)),""))</f>
        <v/>
      </c>
      <c r="L3641" s="22">
        <f t="array" ref="L3641">IF($D3641="","",IFERROR(INDEX(MASTER_SOURCE!$D$2:$D$495,MATCH($I3641,MASTER_SOURCE!$A$2:$A$495,0)),""))</f>
        <v/>
      </c>
      <c r="M3641" s="24" t="n"/>
      <c r="N3641" s="24" t="n"/>
      <c r="O3641" s="24" t="n"/>
      <c r="P3641" s="24" t="n"/>
      <c r="Q3641" s="22">
        <f>IF($D3641="","",IF(AND(OR(DANH_MUC!$L$5&lt;&gt;"Có",M3641="Có"),OR(DANH_MUC!$L$6&lt;&gt;"Có",N3641="Có"),OR(DANH_MUC!$L$7&lt;&gt;"Có",O3641="Có"),OR(DANH_MUC!$L$8&lt;&gt;"Có",P3641="Có")),"Có","Không"))</f>
        <v/>
      </c>
      <c r="R3641" s="22">
        <f>IF($D3641="","",IF(COUNTIF($D$2:$D3641,$D3641)&gt;1,"Trùng",""))</f>
        <v/>
      </c>
      <c r="S3641" s="22">
        <f>IF($D3641="","",IF(AND(LEN($D3641)=10,LEFT($D3641,1)="0",ISNUMBER(--$D3641)),"Có","Không"))</f>
        <v/>
      </c>
      <c r="T3641" s="22">
        <f>IF($D3641="","",IF(AND($C3641&lt;&gt;"",$Q3641="Có",$R3641="",$S3641="Có",AND($L3641&lt;&gt;"",OR($L3641&lt;&gt;"Chưa xác định",DANH_MUC!$L$9="Có"))),"Có","Không"))</f>
        <v/>
      </c>
      <c r="U3641" s="22">
        <f>IF(OR($D3641="",$T3641="Có"),"",IF($C3641="","Thiếu họ tên; ","")&amp;IF($S3641&lt;&gt;"Có","SĐT sai định dạng; ","")&amp;IF($R3641="Trùng","Trùng SĐT; ","")&amp;IF($Q3641&lt;&gt;"Có","Thiếu đồng ý bắt buộc; ","")&amp;IF($L3641="","Thiếu/sai Mã REF; ",IF(AND($L3641="Chưa xác định",DANH_MUC!$L$9&lt;&gt;"Có"),"Nguồn chưa xác định; ","")))</f>
        <v/>
      </c>
      <c r="V3641" s="22">
        <f>IF(OR($D3641="",$R3641="Trùng"),"",IF(COUNTIF(ORDERS!$C$2:$C$4995,$D3641)&gt;0,"Có","Không"))</f>
        <v/>
      </c>
      <c r="W3641" s="22">
        <f>IF(OR($D3641="",$R3641="Trùng"),"",COUNTIFS(ORDERS!$C$2:$C$4995,$D3641,ORDERS!$L$2:$L$4995,"Đã chuyển khoản"))</f>
        <v/>
      </c>
      <c r="X3641" s="23">
        <f>IF(OR($D3641="",$R3641="Trùng"),"",SUMIFS(ORDERS!$J$2:$J$4995,ORDERS!$C$2:$C$4995,$D3641,ORDERS!$L$2:$L$4995,"Đã chuyển khoản"))</f>
        <v/>
      </c>
      <c r="Y3641" s="24" t="n"/>
    </row>
    <row r="3642" ht="14.25" customHeight="1" s="40">
      <c r="A3642" s="24" t="n"/>
      <c r="B3642" s="27" t="n"/>
      <c r="C3642" s="24" t="n"/>
      <c r="D3642" s="28" t="n"/>
      <c r="E3642" s="29" t="n"/>
      <c r="F3642" s="24" t="n"/>
      <c r="G3642" s="24" t="n"/>
      <c r="H3642" s="21">
        <f>IF(ISNUMBER($B3642),INT($B3642)-WEEKDAY($B3642,2)+1,"")</f>
        <v/>
      </c>
      <c r="I3642" s="24" t="n"/>
      <c r="J3642" s="22">
        <f t="array" ref="J3642">IF($D3642="","",IF($I3642="","(trống REF)",IFERROR(INDEX(MASTER_SOURCE!$B$2:$B$495,MATCH($I3642,MASTER_SOURCE!$A$2:$A$495,0)),"(REF không có trong MASTER_SOURCE)")))</f>
        <v/>
      </c>
      <c r="K3642" s="22">
        <f t="array" ref="K3642">IF($D3642="","",IFERROR(INDEX(MASTER_SOURCE!$C$2:$C$495,MATCH($I3642,MASTER_SOURCE!$A$2:$A$495,0)),""))</f>
        <v/>
      </c>
      <c r="L3642" s="22">
        <f t="array" ref="L3642">IF($D3642="","",IFERROR(INDEX(MASTER_SOURCE!$D$2:$D$495,MATCH($I3642,MASTER_SOURCE!$A$2:$A$495,0)),""))</f>
        <v/>
      </c>
      <c r="M3642" s="24" t="n"/>
      <c r="N3642" s="24" t="n"/>
      <c r="O3642" s="24" t="n"/>
      <c r="P3642" s="24" t="n"/>
      <c r="Q3642" s="22">
        <f>IF($D3642="","",IF(AND(OR(DANH_MUC!$L$5&lt;&gt;"Có",M3642="Có"),OR(DANH_MUC!$L$6&lt;&gt;"Có",N3642="Có"),OR(DANH_MUC!$L$7&lt;&gt;"Có",O3642="Có"),OR(DANH_MUC!$L$8&lt;&gt;"Có",P3642="Có")),"Có","Không"))</f>
        <v/>
      </c>
      <c r="R3642" s="22">
        <f>IF($D3642="","",IF(COUNTIF($D$2:$D3642,$D3642)&gt;1,"Trùng",""))</f>
        <v/>
      </c>
      <c r="S3642" s="22">
        <f>IF($D3642="","",IF(AND(LEN($D3642)=10,LEFT($D3642,1)="0",ISNUMBER(--$D3642)),"Có","Không"))</f>
        <v/>
      </c>
      <c r="T3642" s="22">
        <f>IF($D3642="","",IF(AND($C3642&lt;&gt;"",$Q3642="Có",$R3642="",$S3642="Có",AND($L3642&lt;&gt;"",OR($L3642&lt;&gt;"Chưa xác định",DANH_MUC!$L$9="Có"))),"Có","Không"))</f>
        <v/>
      </c>
      <c r="U3642" s="22">
        <f>IF(OR($D3642="",$T3642="Có"),"",IF($C3642="","Thiếu họ tên; ","")&amp;IF($S3642&lt;&gt;"Có","SĐT sai định dạng; ","")&amp;IF($R3642="Trùng","Trùng SĐT; ","")&amp;IF($Q3642&lt;&gt;"Có","Thiếu đồng ý bắt buộc; ","")&amp;IF($L3642="","Thiếu/sai Mã REF; ",IF(AND($L3642="Chưa xác định",DANH_MUC!$L$9&lt;&gt;"Có"),"Nguồn chưa xác định; ","")))</f>
        <v/>
      </c>
      <c r="V3642" s="22">
        <f>IF(OR($D3642="",$R3642="Trùng"),"",IF(COUNTIF(ORDERS!$C$2:$C$4995,$D3642)&gt;0,"Có","Không"))</f>
        <v/>
      </c>
      <c r="W3642" s="22">
        <f>IF(OR($D3642="",$R3642="Trùng"),"",COUNTIFS(ORDERS!$C$2:$C$4995,$D3642,ORDERS!$L$2:$L$4995,"Đã chuyển khoản"))</f>
        <v/>
      </c>
      <c r="X3642" s="23">
        <f>IF(OR($D3642="",$R3642="Trùng"),"",SUMIFS(ORDERS!$J$2:$J$4995,ORDERS!$C$2:$C$4995,$D3642,ORDERS!$L$2:$L$4995,"Đã chuyển khoản"))</f>
        <v/>
      </c>
      <c r="Y3642" s="24" t="n"/>
    </row>
    <row r="3643" ht="14.25" customHeight="1" s="40">
      <c r="A3643" s="24" t="n"/>
      <c r="B3643" s="27" t="n"/>
      <c r="C3643" s="24" t="n"/>
      <c r="D3643" s="28" t="n"/>
      <c r="E3643" s="29" t="n"/>
      <c r="F3643" s="24" t="n"/>
      <c r="G3643" s="24" t="n"/>
      <c r="H3643" s="21">
        <f>IF(ISNUMBER($B3643),INT($B3643)-WEEKDAY($B3643,2)+1,"")</f>
        <v/>
      </c>
      <c r="I3643" s="24" t="n"/>
      <c r="J3643" s="22">
        <f t="array" ref="J3643">IF($D3643="","",IF($I3643="","(trống REF)",IFERROR(INDEX(MASTER_SOURCE!$B$2:$B$495,MATCH($I3643,MASTER_SOURCE!$A$2:$A$495,0)),"(REF không có trong MASTER_SOURCE)")))</f>
        <v/>
      </c>
      <c r="K3643" s="22">
        <f t="array" ref="K3643">IF($D3643="","",IFERROR(INDEX(MASTER_SOURCE!$C$2:$C$495,MATCH($I3643,MASTER_SOURCE!$A$2:$A$495,0)),""))</f>
        <v/>
      </c>
      <c r="L3643" s="22">
        <f t="array" ref="L3643">IF($D3643="","",IFERROR(INDEX(MASTER_SOURCE!$D$2:$D$495,MATCH($I3643,MASTER_SOURCE!$A$2:$A$495,0)),""))</f>
        <v/>
      </c>
      <c r="M3643" s="24" t="n"/>
      <c r="N3643" s="24" t="n"/>
      <c r="O3643" s="24" t="n"/>
      <c r="P3643" s="24" t="n"/>
      <c r="Q3643" s="22">
        <f>IF($D3643="","",IF(AND(OR(DANH_MUC!$L$5&lt;&gt;"Có",M3643="Có"),OR(DANH_MUC!$L$6&lt;&gt;"Có",N3643="Có"),OR(DANH_MUC!$L$7&lt;&gt;"Có",O3643="Có"),OR(DANH_MUC!$L$8&lt;&gt;"Có",P3643="Có")),"Có","Không"))</f>
        <v/>
      </c>
      <c r="R3643" s="22">
        <f>IF($D3643="","",IF(COUNTIF($D$2:$D3643,$D3643)&gt;1,"Trùng",""))</f>
        <v/>
      </c>
      <c r="S3643" s="22">
        <f>IF($D3643="","",IF(AND(LEN($D3643)=10,LEFT($D3643,1)="0",ISNUMBER(--$D3643)),"Có","Không"))</f>
        <v/>
      </c>
      <c r="T3643" s="22">
        <f>IF($D3643="","",IF(AND($C3643&lt;&gt;"",$Q3643="Có",$R3643="",$S3643="Có",AND($L3643&lt;&gt;"",OR($L3643&lt;&gt;"Chưa xác định",DANH_MUC!$L$9="Có"))),"Có","Không"))</f>
        <v/>
      </c>
      <c r="U3643" s="22">
        <f>IF(OR($D3643="",$T3643="Có"),"",IF($C3643="","Thiếu họ tên; ","")&amp;IF($S3643&lt;&gt;"Có","SĐT sai định dạng; ","")&amp;IF($R3643="Trùng","Trùng SĐT; ","")&amp;IF($Q3643&lt;&gt;"Có","Thiếu đồng ý bắt buộc; ","")&amp;IF($L3643="","Thiếu/sai Mã REF; ",IF(AND($L3643="Chưa xác định",DANH_MUC!$L$9&lt;&gt;"Có"),"Nguồn chưa xác định; ","")))</f>
        <v/>
      </c>
      <c r="V3643" s="22">
        <f>IF(OR($D3643="",$R3643="Trùng"),"",IF(COUNTIF(ORDERS!$C$2:$C$4995,$D3643)&gt;0,"Có","Không"))</f>
        <v/>
      </c>
      <c r="W3643" s="22">
        <f>IF(OR($D3643="",$R3643="Trùng"),"",COUNTIFS(ORDERS!$C$2:$C$4995,$D3643,ORDERS!$L$2:$L$4995,"Đã chuyển khoản"))</f>
        <v/>
      </c>
      <c r="X3643" s="23">
        <f>IF(OR($D3643="",$R3643="Trùng"),"",SUMIFS(ORDERS!$J$2:$J$4995,ORDERS!$C$2:$C$4995,$D3643,ORDERS!$L$2:$L$4995,"Đã chuyển khoản"))</f>
        <v/>
      </c>
      <c r="Y3643" s="24" t="n"/>
    </row>
    <row r="3644" ht="14.25" customHeight="1" s="40">
      <c r="A3644" s="24" t="n"/>
      <c r="B3644" s="27" t="n"/>
      <c r="C3644" s="24" t="n"/>
      <c r="D3644" s="28" t="n"/>
      <c r="E3644" s="29" t="n"/>
      <c r="F3644" s="24" t="n"/>
      <c r="G3644" s="24" t="n"/>
      <c r="H3644" s="21">
        <f>IF(ISNUMBER($B3644),INT($B3644)-WEEKDAY($B3644,2)+1,"")</f>
        <v/>
      </c>
      <c r="I3644" s="24" t="n"/>
      <c r="J3644" s="22">
        <f t="array" ref="J3644">IF($D3644="","",IF($I3644="","(trống REF)",IFERROR(INDEX(MASTER_SOURCE!$B$2:$B$495,MATCH($I3644,MASTER_SOURCE!$A$2:$A$495,0)),"(REF không có trong MASTER_SOURCE)")))</f>
        <v/>
      </c>
      <c r="K3644" s="22">
        <f t="array" ref="K3644">IF($D3644="","",IFERROR(INDEX(MASTER_SOURCE!$C$2:$C$495,MATCH($I3644,MASTER_SOURCE!$A$2:$A$495,0)),""))</f>
        <v/>
      </c>
      <c r="L3644" s="22">
        <f t="array" ref="L3644">IF($D3644="","",IFERROR(INDEX(MASTER_SOURCE!$D$2:$D$495,MATCH($I3644,MASTER_SOURCE!$A$2:$A$495,0)),""))</f>
        <v/>
      </c>
      <c r="M3644" s="24" t="n"/>
      <c r="N3644" s="24" t="n"/>
      <c r="O3644" s="24" t="n"/>
      <c r="P3644" s="24" t="n"/>
      <c r="Q3644" s="22">
        <f>IF($D3644="","",IF(AND(OR(DANH_MUC!$L$5&lt;&gt;"Có",M3644="Có"),OR(DANH_MUC!$L$6&lt;&gt;"Có",N3644="Có"),OR(DANH_MUC!$L$7&lt;&gt;"Có",O3644="Có"),OR(DANH_MUC!$L$8&lt;&gt;"Có",P3644="Có")),"Có","Không"))</f>
        <v/>
      </c>
      <c r="R3644" s="22">
        <f>IF($D3644="","",IF(COUNTIF($D$2:$D3644,$D3644)&gt;1,"Trùng",""))</f>
        <v/>
      </c>
      <c r="S3644" s="22">
        <f>IF($D3644="","",IF(AND(LEN($D3644)=10,LEFT($D3644,1)="0",ISNUMBER(--$D3644)),"Có","Không"))</f>
        <v/>
      </c>
      <c r="T3644" s="22">
        <f>IF($D3644="","",IF(AND($C3644&lt;&gt;"",$Q3644="Có",$R3644="",$S3644="Có",AND($L3644&lt;&gt;"",OR($L3644&lt;&gt;"Chưa xác định",DANH_MUC!$L$9="Có"))),"Có","Không"))</f>
        <v/>
      </c>
      <c r="U3644" s="22">
        <f>IF(OR($D3644="",$T3644="Có"),"",IF($C3644="","Thiếu họ tên; ","")&amp;IF($S3644&lt;&gt;"Có","SĐT sai định dạng; ","")&amp;IF($R3644="Trùng","Trùng SĐT; ","")&amp;IF($Q3644&lt;&gt;"Có","Thiếu đồng ý bắt buộc; ","")&amp;IF($L3644="","Thiếu/sai Mã REF; ",IF(AND($L3644="Chưa xác định",DANH_MUC!$L$9&lt;&gt;"Có"),"Nguồn chưa xác định; ","")))</f>
        <v/>
      </c>
      <c r="V3644" s="22">
        <f>IF(OR($D3644="",$R3644="Trùng"),"",IF(COUNTIF(ORDERS!$C$2:$C$4995,$D3644)&gt;0,"Có","Không"))</f>
        <v/>
      </c>
      <c r="W3644" s="22">
        <f>IF(OR($D3644="",$R3644="Trùng"),"",COUNTIFS(ORDERS!$C$2:$C$4995,$D3644,ORDERS!$L$2:$L$4995,"Đã chuyển khoản"))</f>
        <v/>
      </c>
      <c r="X3644" s="23">
        <f>IF(OR($D3644="",$R3644="Trùng"),"",SUMIFS(ORDERS!$J$2:$J$4995,ORDERS!$C$2:$C$4995,$D3644,ORDERS!$L$2:$L$4995,"Đã chuyển khoản"))</f>
        <v/>
      </c>
      <c r="Y3644" s="24" t="n"/>
    </row>
    <row r="3645" ht="14.25" customHeight="1" s="40">
      <c r="A3645" s="24" t="n"/>
      <c r="B3645" s="27" t="n"/>
      <c r="C3645" s="24" t="n"/>
      <c r="D3645" s="28" t="n"/>
      <c r="E3645" s="29" t="n"/>
      <c r="F3645" s="24" t="n"/>
      <c r="G3645" s="24" t="n"/>
      <c r="H3645" s="21">
        <f>IF(ISNUMBER($B3645),INT($B3645)-WEEKDAY($B3645,2)+1,"")</f>
        <v/>
      </c>
      <c r="I3645" s="24" t="n"/>
      <c r="J3645" s="22">
        <f t="array" ref="J3645">IF($D3645="","",IF($I3645="","(trống REF)",IFERROR(INDEX(MASTER_SOURCE!$B$2:$B$495,MATCH($I3645,MASTER_SOURCE!$A$2:$A$495,0)),"(REF không có trong MASTER_SOURCE)")))</f>
        <v/>
      </c>
      <c r="K3645" s="22">
        <f t="array" ref="K3645">IF($D3645="","",IFERROR(INDEX(MASTER_SOURCE!$C$2:$C$495,MATCH($I3645,MASTER_SOURCE!$A$2:$A$495,0)),""))</f>
        <v/>
      </c>
      <c r="L3645" s="22">
        <f t="array" ref="L3645">IF($D3645="","",IFERROR(INDEX(MASTER_SOURCE!$D$2:$D$495,MATCH($I3645,MASTER_SOURCE!$A$2:$A$495,0)),""))</f>
        <v/>
      </c>
      <c r="M3645" s="24" t="n"/>
      <c r="N3645" s="24" t="n"/>
      <c r="O3645" s="24" t="n"/>
      <c r="P3645" s="24" t="n"/>
      <c r="Q3645" s="22">
        <f>IF($D3645="","",IF(AND(OR(DANH_MUC!$L$5&lt;&gt;"Có",M3645="Có"),OR(DANH_MUC!$L$6&lt;&gt;"Có",N3645="Có"),OR(DANH_MUC!$L$7&lt;&gt;"Có",O3645="Có"),OR(DANH_MUC!$L$8&lt;&gt;"Có",P3645="Có")),"Có","Không"))</f>
        <v/>
      </c>
      <c r="R3645" s="22">
        <f>IF($D3645="","",IF(COUNTIF($D$2:$D3645,$D3645)&gt;1,"Trùng",""))</f>
        <v/>
      </c>
      <c r="S3645" s="22">
        <f>IF($D3645="","",IF(AND(LEN($D3645)=10,LEFT($D3645,1)="0",ISNUMBER(--$D3645)),"Có","Không"))</f>
        <v/>
      </c>
      <c r="T3645" s="22">
        <f>IF($D3645="","",IF(AND($C3645&lt;&gt;"",$Q3645="Có",$R3645="",$S3645="Có",AND($L3645&lt;&gt;"",OR($L3645&lt;&gt;"Chưa xác định",DANH_MUC!$L$9="Có"))),"Có","Không"))</f>
        <v/>
      </c>
      <c r="U3645" s="22">
        <f>IF(OR($D3645="",$T3645="Có"),"",IF($C3645="","Thiếu họ tên; ","")&amp;IF($S3645&lt;&gt;"Có","SĐT sai định dạng; ","")&amp;IF($R3645="Trùng","Trùng SĐT; ","")&amp;IF($Q3645&lt;&gt;"Có","Thiếu đồng ý bắt buộc; ","")&amp;IF($L3645="","Thiếu/sai Mã REF; ",IF(AND($L3645="Chưa xác định",DANH_MUC!$L$9&lt;&gt;"Có"),"Nguồn chưa xác định; ","")))</f>
        <v/>
      </c>
      <c r="V3645" s="22">
        <f>IF(OR($D3645="",$R3645="Trùng"),"",IF(COUNTIF(ORDERS!$C$2:$C$4995,$D3645)&gt;0,"Có","Không"))</f>
        <v/>
      </c>
      <c r="W3645" s="22">
        <f>IF(OR($D3645="",$R3645="Trùng"),"",COUNTIFS(ORDERS!$C$2:$C$4995,$D3645,ORDERS!$L$2:$L$4995,"Đã chuyển khoản"))</f>
        <v/>
      </c>
      <c r="X3645" s="23">
        <f>IF(OR($D3645="",$R3645="Trùng"),"",SUMIFS(ORDERS!$J$2:$J$4995,ORDERS!$C$2:$C$4995,$D3645,ORDERS!$L$2:$L$4995,"Đã chuyển khoản"))</f>
        <v/>
      </c>
      <c r="Y3645" s="24" t="n"/>
    </row>
    <row r="3646" ht="14.25" customHeight="1" s="40">
      <c r="A3646" s="24" t="n"/>
      <c r="B3646" s="27" t="n"/>
      <c r="C3646" s="24" t="n"/>
      <c r="D3646" s="28" t="n"/>
      <c r="E3646" s="29" t="n"/>
      <c r="F3646" s="24" t="n"/>
      <c r="G3646" s="24" t="n"/>
      <c r="H3646" s="21">
        <f>IF(ISNUMBER($B3646),INT($B3646)-WEEKDAY($B3646,2)+1,"")</f>
        <v/>
      </c>
      <c r="I3646" s="24" t="n"/>
      <c r="J3646" s="22">
        <f t="array" ref="J3646">IF($D3646="","",IF($I3646="","(trống REF)",IFERROR(INDEX(MASTER_SOURCE!$B$2:$B$495,MATCH($I3646,MASTER_SOURCE!$A$2:$A$495,0)),"(REF không có trong MASTER_SOURCE)")))</f>
        <v/>
      </c>
      <c r="K3646" s="22">
        <f t="array" ref="K3646">IF($D3646="","",IFERROR(INDEX(MASTER_SOURCE!$C$2:$C$495,MATCH($I3646,MASTER_SOURCE!$A$2:$A$495,0)),""))</f>
        <v/>
      </c>
      <c r="L3646" s="22">
        <f t="array" ref="L3646">IF($D3646="","",IFERROR(INDEX(MASTER_SOURCE!$D$2:$D$495,MATCH($I3646,MASTER_SOURCE!$A$2:$A$495,0)),""))</f>
        <v/>
      </c>
      <c r="M3646" s="24" t="n"/>
      <c r="N3646" s="24" t="n"/>
      <c r="O3646" s="24" t="n"/>
      <c r="P3646" s="24" t="n"/>
      <c r="Q3646" s="22">
        <f>IF($D3646="","",IF(AND(OR(DANH_MUC!$L$5&lt;&gt;"Có",M3646="Có"),OR(DANH_MUC!$L$6&lt;&gt;"Có",N3646="Có"),OR(DANH_MUC!$L$7&lt;&gt;"Có",O3646="Có"),OR(DANH_MUC!$L$8&lt;&gt;"Có",P3646="Có")),"Có","Không"))</f>
        <v/>
      </c>
      <c r="R3646" s="22">
        <f>IF($D3646="","",IF(COUNTIF($D$2:$D3646,$D3646)&gt;1,"Trùng",""))</f>
        <v/>
      </c>
      <c r="S3646" s="22">
        <f>IF($D3646="","",IF(AND(LEN($D3646)=10,LEFT($D3646,1)="0",ISNUMBER(--$D3646)),"Có","Không"))</f>
        <v/>
      </c>
      <c r="T3646" s="22">
        <f>IF($D3646="","",IF(AND($C3646&lt;&gt;"",$Q3646="Có",$R3646="",$S3646="Có",AND($L3646&lt;&gt;"",OR($L3646&lt;&gt;"Chưa xác định",DANH_MUC!$L$9="Có"))),"Có","Không"))</f>
        <v/>
      </c>
      <c r="U3646" s="22">
        <f>IF(OR($D3646="",$T3646="Có"),"",IF($C3646="","Thiếu họ tên; ","")&amp;IF($S3646&lt;&gt;"Có","SĐT sai định dạng; ","")&amp;IF($R3646="Trùng","Trùng SĐT; ","")&amp;IF($Q3646&lt;&gt;"Có","Thiếu đồng ý bắt buộc; ","")&amp;IF($L3646="","Thiếu/sai Mã REF; ",IF(AND($L3646="Chưa xác định",DANH_MUC!$L$9&lt;&gt;"Có"),"Nguồn chưa xác định; ","")))</f>
        <v/>
      </c>
      <c r="V3646" s="22">
        <f>IF(OR($D3646="",$R3646="Trùng"),"",IF(COUNTIF(ORDERS!$C$2:$C$4995,$D3646)&gt;0,"Có","Không"))</f>
        <v/>
      </c>
      <c r="W3646" s="22">
        <f>IF(OR($D3646="",$R3646="Trùng"),"",COUNTIFS(ORDERS!$C$2:$C$4995,$D3646,ORDERS!$L$2:$L$4995,"Đã chuyển khoản"))</f>
        <v/>
      </c>
      <c r="X3646" s="23">
        <f>IF(OR($D3646="",$R3646="Trùng"),"",SUMIFS(ORDERS!$J$2:$J$4995,ORDERS!$C$2:$C$4995,$D3646,ORDERS!$L$2:$L$4995,"Đã chuyển khoản"))</f>
        <v/>
      </c>
      <c r="Y3646" s="24" t="n"/>
    </row>
    <row r="3647" ht="14.25" customHeight="1" s="40">
      <c r="A3647" s="24" t="n"/>
      <c r="B3647" s="27" t="n"/>
      <c r="C3647" s="24" t="n"/>
      <c r="D3647" s="28" t="n"/>
      <c r="E3647" s="29" t="n"/>
      <c r="F3647" s="24" t="n"/>
      <c r="G3647" s="24" t="n"/>
      <c r="H3647" s="21">
        <f>IF(ISNUMBER($B3647),INT($B3647)-WEEKDAY($B3647,2)+1,"")</f>
        <v/>
      </c>
      <c r="I3647" s="24" t="n"/>
      <c r="J3647" s="22">
        <f t="array" ref="J3647">IF($D3647="","",IF($I3647="","(trống REF)",IFERROR(INDEX(MASTER_SOURCE!$B$2:$B$495,MATCH($I3647,MASTER_SOURCE!$A$2:$A$495,0)),"(REF không có trong MASTER_SOURCE)")))</f>
        <v/>
      </c>
      <c r="K3647" s="22">
        <f t="array" ref="K3647">IF($D3647="","",IFERROR(INDEX(MASTER_SOURCE!$C$2:$C$495,MATCH($I3647,MASTER_SOURCE!$A$2:$A$495,0)),""))</f>
        <v/>
      </c>
      <c r="L3647" s="22">
        <f t="array" ref="L3647">IF($D3647="","",IFERROR(INDEX(MASTER_SOURCE!$D$2:$D$495,MATCH($I3647,MASTER_SOURCE!$A$2:$A$495,0)),""))</f>
        <v/>
      </c>
      <c r="M3647" s="24" t="n"/>
      <c r="N3647" s="24" t="n"/>
      <c r="O3647" s="24" t="n"/>
      <c r="P3647" s="24" t="n"/>
      <c r="Q3647" s="22">
        <f>IF($D3647="","",IF(AND(OR(DANH_MUC!$L$5&lt;&gt;"Có",M3647="Có"),OR(DANH_MUC!$L$6&lt;&gt;"Có",N3647="Có"),OR(DANH_MUC!$L$7&lt;&gt;"Có",O3647="Có"),OR(DANH_MUC!$L$8&lt;&gt;"Có",P3647="Có")),"Có","Không"))</f>
        <v/>
      </c>
      <c r="R3647" s="22">
        <f>IF($D3647="","",IF(COUNTIF($D$2:$D3647,$D3647)&gt;1,"Trùng",""))</f>
        <v/>
      </c>
      <c r="S3647" s="22">
        <f>IF($D3647="","",IF(AND(LEN($D3647)=10,LEFT($D3647,1)="0",ISNUMBER(--$D3647)),"Có","Không"))</f>
        <v/>
      </c>
      <c r="T3647" s="22">
        <f>IF($D3647="","",IF(AND($C3647&lt;&gt;"",$Q3647="Có",$R3647="",$S3647="Có",AND($L3647&lt;&gt;"",OR($L3647&lt;&gt;"Chưa xác định",DANH_MUC!$L$9="Có"))),"Có","Không"))</f>
        <v/>
      </c>
      <c r="U3647" s="22">
        <f>IF(OR($D3647="",$T3647="Có"),"",IF($C3647="","Thiếu họ tên; ","")&amp;IF($S3647&lt;&gt;"Có","SĐT sai định dạng; ","")&amp;IF($R3647="Trùng","Trùng SĐT; ","")&amp;IF($Q3647&lt;&gt;"Có","Thiếu đồng ý bắt buộc; ","")&amp;IF($L3647="","Thiếu/sai Mã REF; ",IF(AND($L3647="Chưa xác định",DANH_MUC!$L$9&lt;&gt;"Có"),"Nguồn chưa xác định; ","")))</f>
        <v/>
      </c>
      <c r="V3647" s="22">
        <f>IF(OR($D3647="",$R3647="Trùng"),"",IF(COUNTIF(ORDERS!$C$2:$C$4995,$D3647)&gt;0,"Có","Không"))</f>
        <v/>
      </c>
      <c r="W3647" s="22">
        <f>IF(OR($D3647="",$R3647="Trùng"),"",COUNTIFS(ORDERS!$C$2:$C$4995,$D3647,ORDERS!$L$2:$L$4995,"Đã chuyển khoản"))</f>
        <v/>
      </c>
      <c r="X3647" s="23">
        <f>IF(OR($D3647="",$R3647="Trùng"),"",SUMIFS(ORDERS!$J$2:$J$4995,ORDERS!$C$2:$C$4995,$D3647,ORDERS!$L$2:$L$4995,"Đã chuyển khoản"))</f>
        <v/>
      </c>
      <c r="Y3647" s="24" t="n"/>
    </row>
    <row r="3648" ht="14.25" customHeight="1" s="40">
      <c r="A3648" s="24" t="n"/>
      <c r="B3648" s="27" t="n"/>
      <c r="C3648" s="24" t="n"/>
      <c r="D3648" s="28" t="n"/>
      <c r="E3648" s="29" t="n"/>
      <c r="F3648" s="24" t="n"/>
      <c r="G3648" s="24" t="n"/>
      <c r="H3648" s="21">
        <f>IF(ISNUMBER($B3648),INT($B3648)-WEEKDAY($B3648,2)+1,"")</f>
        <v/>
      </c>
      <c r="I3648" s="24" t="n"/>
      <c r="J3648" s="22">
        <f t="array" ref="J3648">IF($D3648="","",IF($I3648="","(trống REF)",IFERROR(INDEX(MASTER_SOURCE!$B$2:$B$495,MATCH($I3648,MASTER_SOURCE!$A$2:$A$495,0)),"(REF không có trong MASTER_SOURCE)")))</f>
        <v/>
      </c>
      <c r="K3648" s="22">
        <f t="array" ref="K3648">IF($D3648="","",IFERROR(INDEX(MASTER_SOURCE!$C$2:$C$495,MATCH($I3648,MASTER_SOURCE!$A$2:$A$495,0)),""))</f>
        <v/>
      </c>
      <c r="L3648" s="22">
        <f t="array" ref="L3648">IF($D3648="","",IFERROR(INDEX(MASTER_SOURCE!$D$2:$D$495,MATCH($I3648,MASTER_SOURCE!$A$2:$A$495,0)),""))</f>
        <v/>
      </c>
      <c r="M3648" s="24" t="n"/>
      <c r="N3648" s="24" t="n"/>
      <c r="O3648" s="24" t="n"/>
      <c r="P3648" s="24" t="n"/>
      <c r="Q3648" s="22">
        <f>IF($D3648="","",IF(AND(OR(DANH_MUC!$L$5&lt;&gt;"Có",M3648="Có"),OR(DANH_MUC!$L$6&lt;&gt;"Có",N3648="Có"),OR(DANH_MUC!$L$7&lt;&gt;"Có",O3648="Có"),OR(DANH_MUC!$L$8&lt;&gt;"Có",P3648="Có")),"Có","Không"))</f>
        <v/>
      </c>
      <c r="R3648" s="22">
        <f>IF($D3648="","",IF(COUNTIF($D$2:$D3648,$D3648)&gt;1,"Trùng",""))</f>
        <v/>
      </c>
      <c r="S3648" s="22">
        <f>IF($D3648="","",IF(AND(LEN($D3648)=10,LEFT($D3648,1)="0",ISNUMBER(--$D3648)),"Có","Không"))</f>
        <v/>
      </c>
      <c r="T3648" s="22">
        <f>IF($D3648="","",IF(AND($C3648&lt;&gt;"",$Q3648="Có",$R3648="",$S3648="Có",AND($L3648&lt;&gt;"",OR($L3648&lt;&gt;"Chưa xác định",DANH_MUC!$L$9="Có"))),"Có","Không"))</f>
        <v/>
      </c>
      <c r="U3648" s="22">
        <f>IF(OR($D3648="",$T3648="Có"),"",IF($C3648="","Thiếu họ tên; ","")&amp;IF($S3648&lt;&gt;"Có","SĐT sai định dạng; ","")&amp;IF($R3648="Trùng","Trùng SĐT; ","")&amp;IF($Q3648&lt;&gt;"Có","Thiếu đồng ý bắt buộc; ","")&amp;IF($L3648="","Thiếu/sai Mã REF; ",IF(AND($L3648="Chưa xác định",DANH_MUC!$L$9&lt;&gt;"Có"),"Nguồn chưa xác định; ","")))</f>
        <v/>
      </c>
      <c r="V3648" s="22">
        <f>IF(OR($D3648="",$R3648="Trùng"),"",IF(COUNTIF(ORDERS!$C$2:$C$4995,$D3648)&gt;0,"Có","Không"))</f>
        <v/>
      </c>
      <c r="W3648" s="22">
        <f>IF(OR($D3648="",$R3648="Trùng"),"",COUNTIFS(ORDERS!$C$2:$C$4995,$D3648,ORDERS!$L$2:$L$4995,"Đã chuyển khoản"))</f>
        <v/>
      </c>
      <c r="X3648" s="23">
        <f>IF(OR($D3648="",$R3648="Trùng"),"",SUMIFS(ORDERS!$J$2:$J$4995,ORDERS!$C$2:$C$4995,$D3648,ORDERS!$L$2:$L$4995,"Đã chuyển khoản"))</f>
        <v/>
      </c>
      <c r="Y3648" s="24" t="n"/>
    </row>
    <row r="3649" ht="14.25" customHeight="1" s="40">
      <c r="A3649" s="24" t="n"/>
      <c r="B3649" s="27" t="n"/>
      <c r="C3649" s="24" t="n"/>
      <c r="D3649" s="28" t="n"/>
      <c r="E3649" s="29" t="n"/>
      <c r="F3649" s="24" t="n"/>
      <c r="G3649" s="24" t="n"/>
      <c r="H3649" s="21">
        <f>IF(ISNUMBER($B3649),INT($B3649)-WEEKDAY($B3649,2)+1,"")</f>
        <v/>
      </c>
      <c r="I3649" s="24" t="n"/>
      <c r="J3649" s="22">
        <f t="array" ref="J3649">IF($D3649="","",IF($I3649="","(trống REF)",IFERROR(INDEX(MASTER_SOURCE!$B$2:$B$495,MATCH($I3649,MASTER_SOURCE!$A$2:$A$495,0)),"(REF không có trong MASTER_SOURCE)")))</f>
        <v/>
      </c>
      <c r="K3649" s="22">
        <f t="array" ref="K3649">IF($D3649="","",IFERROR(INDEX(MASTER_SOURCE!$C$2:$C$495,MATCH($I3649,MASTER_SOURCE!$A$2:$A$495,0)),""))</f>
        <v/>
      </c>
      <c r="L3649" s="22">
        <f t="array" ref="L3649">IF($D3649="","",IFERROR(INDEX(MASTER_SOURCE!$D$2:$D$495,MATCH($I3649,MASTER_SOURCE!$A$2:$A$495,0)),""))</f>
        <v/>
      </c>
      <c r="M3649" s="24" t="n"/>
      <c r="N3649" s="24" t="n"/>
      <c r="O3649" s="24" t="n"/>
      <c r="P3649" s="24" t="n"/>
      <c r="Q3649" s="22">
        <f>IF($D3649="","",IF(AND(OR(DANH_MUC!$L$5&lt;&gt;"Có",M3649="Có"),OR(DANH_MUC!$L$6&lt;&gt;"Có",N3649="Có"),OR(DANH_MUC!$L$7&lt;&gt;"Có",O3649="Có"),OR(DANH_MUC!$L$8&lt;&gt;"Có",P3649="Có")),"Có","Không"))</f>
        <v/>
      </c>
      <c r="R3649" s="22">
        <f>IF($D3649="","",IF(COUNTIF($D$2:$D3649,$D3649)&gt;1,"Trùng",""))</f>
        <v/>
      </c>
      <c r="S3649" s="22">
        <f>IF($D3649="","",IF(AND(LEN($D3649)=10,LEFT($D3649,1)="0",ISNUMBER(--$D3649)),"Có","Không"))</f>
        <v/>
      </c>
      <c r="T3649" s="22">
        <f>IF($D3649="","",IF(AND($C3649&lt;&gt;"",$Q3649="Có",$R3649="",$S3649="Có",AND($L3649&lt;&gt;"",OR($L3649&lt;&gt;"Chưa xác định",DANH_MUC!$L$9="Có"))),"Có","Không"))</f>
        <v/>
      </c>
      <c r="U3649" s="22">
        <f>IF(OR($D3649="",$T3649="Có"),"",IF($C3649="","Thiếu họ tên; ","")&amp;IF($S3649&lt;&gt;"Có","SĐT sai định dạng; ","")&amp;IF($R3649="Trùng","Trùng SĐT; ","")&amp;IF($Q3649&lt;&gt;"Có","Thiếu đồng ý bắt buộc; ","")&amp;IF($L3649="","Thiếu/sai Mã REF; ",IF(AND($L3649="Chưa xác định",DANH_MUC!$L$9&lt;&gt;"Có"),"Nguồn chưa xác định; ","")))</f>
        <v/>
      </c>
      <c r="V3649" s="22">
        <f>IF(OR($D3649="",$R3649="Trùng"),"",IF(COUNTIF(ORDERS!$C$2:$C$4995,$D3649)&gt;0,"Có","Không"))</f>
        <v/>
      </c>
      <c r="W3649" s="22">
        <f>IF(OR($D3649="",$R3649="Trùng"),"",COUNTIFS(ORDERS!$C$2:$C$4995,$D3649,ORDERS!$L$2:$L$4995,"Đã chuyển khoản"))</f>
        <v/>
      </c>
      <c r="X3649" s="23">
        <f>IF(OR($D3649="",$R3649="Trùng"),"",SUMIFS(ORDERS!$J$2:$J$4995,ORDERS!$C$2:$C$4995,$D3649,ORDERS!$L$2:$L$4995,"Đã chuyển khoản"))</f>
        <v/>
      </c>
      <c r="Y3649" s="24" t="n"/>
    </row>
    <row r="3650" ht="14.25" customHeight="1" s="40">
      <c r="A3650" s="24" t="n"/>
      <c r="B3650" s="27" t="n"/>
      <c r="C3650" s="24" t="n"/>
      <c r="D3650" s="28" t="n"/>
      <c r="E3650" s="29" t="n"/>
      <c r="F3650" s="24" t="n"/>
      <c r="G3650" s="24" t="n"/>
      <c r="H3650" s="21">
        <f>IF(ISNUMBER($B3650),INT($B3650)-WEEKDAY($B3650,2)+1,"")</f>
        <v/>
      </c>
      <c r="I3650" s="24" t="n"/>
      <c r="J3650" s="22">
        <f t="array" ref="J3650">IF($D3650="","",IF($I3650="","(trống REF)",IFERROR(INDEX(MASTER_SOURCE!$B$2:$B$495,MATCH($I3650,MASTER_SOURCE!$A$2:$A$495,0)),"(REF không có trong MASTER_SOURCE)")))</f>
        <v/>
      </c>
      <c r="K3650" s="22">
        <f t="array" ref="K3650">IF($D3650="","",IFERROR(INDEX(MASTER_SOURCE!$C$2:$C$495,MATCH($I3650,MASTER_SOURCE!$A$2:$A$495,0)),""))</f>
        <v/>
      </c>
      <c r="L3650" s="22">
        <f t="array" ref="L3650">IF($D3650="","",IFERROR(INDEX(MASTER_SOURCE!$D$2:$D$495,MATCH($I3650,MASTER_SOURCE!$A$2:$A$495,0)),""))</f>
        <v/>
      </c>
      <c r="M3650" s="24" t="n"/>
      <c r="N3650" s="24" t="n"/>
      <c r="O3650" s="24" t="n"/>
      <c r="P3650" s="24" t="n"/>
      <c r="Q3650" s="22">
        <f>IF($D3650="","",IF(AND(OR(DANH_MUC!$L$5&lt;&gt;"Có",M3650="Có"),OR(DANH_MUC!$L$6&lt;&gt;"Có",N3650="Có"),OR(DANH_MUC!$L$7&lt;&gt;"Có",O3650="Có"),OR(DANH_MUC!$L$8&lt;&gt;"Có",P3650="Có")),"Có","Không"))</f>
        <v/>
      </c>
      <c r="R3650" s="22">
        <f>IF($D3650="","",IF(COUNTIF($D$2:$D3650,$D3650)&gt;1,"Trùng",""))</f>
        <v/>
      </c>
      <c r="S3650" s="22">
        <f>IF($D3650="","",IF(AND(LEN($D3650)=10,LEFT($D3650,1)="0",ISNUMBER(--$D3650)),"Có","Không"))</f>
        <v/>
      </c>
      <c r="T3650" s="22">
        <f>IF($D3650="","",IF(AND($C3650&lt;&gt;"",$Q3650="Có",$R3650="",$S3650="Có",AND($L3650&lt;&gt;"",OR($L3650&lt;&gt;"Chưa xác định",DANH_MUC!$L$9="Có"))),"Có","Không"))</f>
        <v/>
      </c>
      <c r="U3650" s="22">
        <f>IF(OR($D3650="",$T3650="Có"),"",IF($C3650="","Thiếu họ tên; ","")&amp;IF($S3650&lt;&gt;"Có","SĐT sai định dạng; ","")&amp;IF($R3650="Trùng","Trùng SĐT; ","")&amp;IF($Q3650&lt;&gt;"Có","Thiếu đồng ý bắt buộc; ","")&amp;IF($L3650="","Thiếu/sai Mã REF; ",IF(AND($L3650="Chưa xác định",DANH_MUC!$L$9&lt;&gt;"Có"),"Nguồn chưa xác định; ","")))</f>
        <v/>
      </c>
      <c r="V3650" s="22">
        <f>IF(OR($D3650="",$R3650="Trùng"),"",IF(COUNTIF(ORDERS!$C$2:$C$4995,$D3650)&gt;0,"Có","Không"))</f>
        <v/>
      </c>
      <c r="W3650" s="22">
        <f>IF(OR($D3650="",$R3650="Trùng"),"",COUNTIFS(ORDERS!$C$2:$C$4995,$D3650,ORDERS!$L$2:$L$4995,"Đã chuyển khoản"))</f>
        <v/>
      </c>
      <c r="X3650" s="23">
        <f>IF(OR($D3650="",$R3650="Trùng"),"",SUMIFS(ORDERS!$J$2:$J$4995,ORDERS!$C$2:$C$4995,$D3650,ORDERS!$L$2:$L$4995,"Đã chuyển khoản"))</f>
        <v/>
      </c>
      <c r="Y3650" s="24" t="n"/>
    </row>
    <row r="3651" ht="14.25" customHeight="1" s="40">
      <c r="A3651" s="24" t="n"/>
      <c r="B3651" s="27" t="n"/>
      <c r="C3651" s="24" t="n"/>
      <c r="D3651" s="28" t="n"/>
      <c r="E3651" s="29" t="n"/>
      <c r="F3651" s="24" t="n"/>
      <c r="G3651" s="24" t="n"/>
      <c r="H3651" s="21">
        <f>IF(ISNUMBER($B3651),INT($B3651)-WEEKDAY($B3651,2)+1,"")</f>
        <v/>
      </c>
      <c r="I3651" s="24" t="n"/>
      <c r="J3651" s="22">
        <f t="array" ref="J3651">IF($D3651="","",IF($I3651="","(trống REF)",IFERROR(INDEX(MASTER_SOURCE!$B$2:$B$495,MATCH($I3651,MASTER_SOURCE!$A$2:$A$495,0)),"(REF không có trong MASTER_SOURCE)")))</f>
        <v/>
      </c>
      <c r="K3651" s="22">
        <f t="array" ref="K3651">IF($D3651="","",IFERROR(INDEX(MASTER_SOURCE!$C$2:$C$495,MATCH($I3651,MASTER_SOURCE!$A$2:$A$495,0)),""))</f>
        <v/>
      </c>
      <c r="L3651" s="22">
        <f t="array" ref="L3651">IF($D3651="","",IFERROR(INDEX(MASTER_SOURCE!$D$2:$D$495,MATCH($I3651,MASTER_SOURCE!$A$2:$A$495,0)),""))</f>
        <v/>
      </c>
      <c r="M3651" s="24" t="n"/>
      <c r="N3651" s="24" t="n"/>
      <c r="O3651" s="24" t="n"/>
      <c r="P3651" s="24" t="n"/>
      <c r="Q3651" s="22">
        <f>IF($D3651="","",IF(AND(OR(DANH_MUC!$L$5&lt;&gt;"Có",M3651="Có"),OR(DANH_MUC!$L$6&lt;&gt;"Có",N3651="Có"),OR(DANH_MUC!$L$7&lt;&gt;"Có",O3651="Có"),OR(DANH_MUC!$L$8&lt;&gt;"Có",P3651="Có")),"Có","Không"))</f>
        <v/>
      </c>
      <c r="R3651" s="22">
        <f>IF($D3651="","",IF(COUNTIF($D$2:$D3651,$D3651)&gt;1,"Trùng",""))</f>
        <v/>
      </c>
      <c r="S3651" s="22">
        <f>IF($D3651="","",IF(AND(LEN($D3651)=10,LEFT($D3651,1)="0",ISNUMBER(--$D3651)),"Có","Không"))</f>
        <v/>
      </c>
      <c r="T3651" s="22">
        <f>IF($D3651="","",IF(AND($C3651&lt;&gt;"",$Q3651="Có",$R3651="",$S3651="Có",AND($L3651&lt;&gt;"",OR($L3651&lt;&gt;"Chưa xác định",DANH_MUC!$L$9="Có"))),"Có","Không"))</f>
        <v/>
      </c>
      <c r="U3651" s="22">
        <f>IF(OR($D3651="",$T3651="Có"),"",IF($C3651="","Thiếu họ tên; ","")&amp;IF($S3651&lt;&gt;"Có","SĐT sai định dạng; ","")&amp;IF($R3651="Trùng","Trùng SĐT; ","")&amp;IF($Q3651&lt;&gt;"Có","Thiếu đồng ý bắt buộc; ","")&amp;IF($L3651="","Thiếu/sai Mã REF; ",IF(AND($L3651="Chưa xác định",DANH_MUC!$L$9&lt;&gt;"Có"),"Nguồn chưa xác định; ","")))</f>
        <v/>
      </c>
      <c r="V3651" s="22">
        <f>IF(OR($D3651="",$R3651="Trùng"),"",IF(COUNTIF(ORDERS!$C$2:$C$4995,$D3651)&gt;0,"Có","Không"))</f>
        <v/>
      </c>
      <c r="W3651" s="22">
        <f>IF(OR($D3651="",$R3651="Trùng"),"",COUNTIFS(ORDERS!$C$2:$C$4995,$D3651,ORDERS!$L$2:$L$4995,"Đã chuyển khoản"))</f>
        <v/>
      </c>
      <c r="X3651" s="23">
        <f>IF(OR($D3651="",$R3651="Trùng"),"",SUMIFS(ORDERS!$J$2:$J$4995,ORDERS!$C$2:$C$4995,$D3651,ORDERS!$L$2:$L$4995,"Đã chuyển khoản"))</f>
        <v/>
      </c>
      <c r="Y3651" s="24" t="n"/>
    </row>
    <row r="3652" ht="14.25" customHeight="1" s="40">
      <c r="A3652" s="24" t="n"/>
      <c r="B3652" s="27" t="n"/>
      <c r="C3652" s="24" t="n"/>
      <c r="D3652" s="28" t="n"/>
      <c r="E3652" s="29" t="n"/>
      <c r="F3652" s="24" t="n"/>
      <c r="G3652" s="24" t="n"/>
      <c r="H3652" s="21">
        <f>IF(ISNUMBER($B3652),INT($B3652)-WEEKDAY($B3652,2)+1,"")</f>
        <v/>
      </c>
      <c r="I3652" s="24" t="n"/>
      <c r="J3652" s="22">
        <f t="array" ref="J3652">IF($D3652="","",IF($I3652="","(trống REF)",IFERROR(INDEX(MASTER_SOURCE!$B$2:$B$495,MATCH($I3652,MASTER_SOURCE!$A$2:$A$495,0)),"(REF không có trong MASTER_SOURCE)")))</f>
        <v/>
      </c>
      <c r="K3652" s="22">
        <f t="array" ref="K3652">IF($D3652="","",IFERROR(INDEX(MASTER_SOURCE!$C$2:$C$495,MATCH($I3652,MASTER_SOURCE!$A$2:$A$495,0)),""))</f>
        <v/>
      </c>
      <c r="L3652" s="22">
        <f t="array" ref="L3652">IF($D3652="","",IFERROR(INDEX(MASTER_SOURCE!$D$2:$D$495,MATCH($I3652,MASTER_SOURCE!$A$2:$A$495,0)),""))</f>
        <v/>
      </c>
      <c r="M3652" s="24" t="n"/>
      <c r="N3652" s="24" t="n"/>
      <c r="O3652" s="24" t="n"/>
      <c r="P3652" s="24" t="n"/>
      <c r="Q3652" s="22">
        <f>IF($D3652="","",IF(AND(OR(DANH_MUC!$L$5&lt;&gt;"Có",M3652="Có"),OR(DANH_MUC!$L$6&lt;&gt;"Có",N3652="Có"),OR(DANH_MUC!$L$7&lt;&gt;"Có",O3652="Có"),OR(DANH_MUC!$L$8&lt;&gt;"Có",P3652="Có")),"Có","Không"))</f>
        <v/>
      </c>
      <c r="R3652" s="22">
        <f>IF($D3652="","",IF(COUNTIF($D$2:$D3652,$D3652)&gt;1,"Trùng",""))</f>
        <v/>
      </c>
      <c r="S3652" s="22">
        <f>IF($D3652="","",IF(AND(LEN($D3652)=10,LEFT($D3652,1)="0",ISNUMBER(--$D3652)),"Có","Không"))</f>
        <v/>
      </c>
      <c r="T3652" s="22">
        <f>IF($D3652="","",IF(AND($C3652&lt;&gt;"",$Q3652="Có",$R3652="",$S3652="Có",AND($L3652&lt;&gt;"",OR($L3652&lt;&gt;"Chưa xác định",DANH_MUC!$L$9="Có"))),"Có","Không"))</f>
        <v/>
      </c>
      <c r="U3652" s="22">
        <f>IF(OR($D3652="",$T3652="Có"),"",IF($C3652="","Thiếu họ tên; ","")&amp;IF($S3652&lt;&gt;"Có","SĐT sai định dạng; ","")&amp;IF($R3652="Trùng","Trùng SĐT; ","")&amp;IF($Q3652&lt;&gt;"Có","Thiếu đồng ý bắt buộc; ","")&amp;IF($L3652="","Thiếu/sai Mã REF; ",IF(AND($L3652="Chưa xác định",DANH_MUC!$L$9&lt;&gt;"Có"),"Nguồn chưa xác định; ","")))</f>
        <v/>
      </c>
      <c r="V3652" s="22">
        <f>IF(OR($D3652="",$R3652="Trùng"),"",IF(COUNTIF(ORDERS!$C$2:$C$4995,$D3652)&gt;0,"Có","Không"))</f>
        <v/>
      </c>
      <c r="W3652" s="22">
        <f>IF(OR($D3652="",$R3652="Trùng"),"",COUNTIFS(ORDERS!$C$2:$C$4995,$D3652,ORDERS!$L$2:$L$4995,"Đã chuyển khoản"))</f>
        <v/>
      </c>
      <c r="X3652" s="23">
        <f>IF(OR($D3652="",$R3652="Trùng"),"",SUMIFS(ORDERS!$J$2:$J$4995,ORDERS!$C$2:$C$4995,$D3652,ORDERS!$L$2:$L$4995,"Đã chuyển khoản"))</f>
        <v/>
      </c>
      <c r="Y3652" s="24" t="n"/>
    </row>
    <row r="3653" ht="14.25" customHeight="1" s="40">
      <c r="A3653" s="24" t="n"/>
      <c r="B3653" s="27" t="n"/>
      <c r="C3653" s="24" t="n"/>
      <c r="D3653" s="28" t="n"/>
      <c r="E3653" s="29" t="n"/>
      <c r="F3653" s="24" t="n"/>
      <c r="G3653" s="24" t="n"/>
      <c r="H3653" s="21">
        <f>IF(ISNUMBER($B3653),INT($B3653)-WEEKDAY($B3653,2)+1,"")</f>
        <v/>
      </c>
      <c r="I3653" s="24" t="n"/>
      <c r="J3653" s="22">
        <f t="array" ref="J3653">IF($D3653="","",IF($I3653="","(trống REF)",IFERROR(INDEX(MASTER_SOURCE!$B$2:$B$495,MATCH($I3653,MASTER_SOURCE!$A$2:$A$495,0)),"(REF không có trong MASTER_SOURCE)")))</f>
        <v/>
      </c>
      <c r="K3653" s="22">
        <f t="array" ref="K3653">IF($D3653="","",IFERROR(INDEX(MASTER_SOURCE!$C$2:$C$495,MATCH($I3653,MASTER_SOURCE!$A$2:$A$495,0)),""))</f>
        <v/>
      </c>
      <c r="L3653" s="22">
        <f t="array" ref="L3653">IF($D3653="","",IFERROR(INDEX(MASTER_SOURCE!$D$2:$D$495,MATCH($I3653,MASTER_SOURCE!$A$2:$A$495,0)),""))</f>
        <v/>
      </c>
      <c r="M3653" s="24" t="n"/>
      <c r="N3653" s="24" t="n"/>
      <c r="O3653" s="24" t="n"/>
      <c r="P3653" s="24" t="n"/>
      <c r="Q3653" s="22">
        <f>IF($D3653="","",IF(AND(OR(DANH_MUC!$L$5&lt;&gt;"Có",M3653="Có"),OR(DANH_MUC!$L$6&lt;&gt;"Có",N3653="Có"),OR(DANH_MUC!$L$7&lt;&gt;"Có",O3653="Có"),OR(DANH_MUC!$L$8&lt;&gt;"Có",P3653="Có")),"Có","Không"))</f>
        <v/>
      </c>
      <c r="R3653" s="22">
        <f>IF($D3653="","",IF(COUNTIF($D$2:$D3653,$D3653)&gt;1,"Trùng",""))</f>
        <v/>
      </c>
      <c r="S3653" s="22">
        <f>IF($D3653="","",IF(AND(LEN($D3653)=10,LEFT($D3653,1)="0",ISNUMBER(--$D3653)),"Có","Không"))</f>
        <v/>
      </c>
      <c r="T3653" s="22">
        <f>IF($D3653="","",IF(AND($C3653&lt;&gt;"",$Q3653="Có",$R3653="",$S3653="Có",AND($L3653&lt;&gt;"",OR($L3653&lt;&gt;"Chưa xác định",DANH_MUC!$L$9="Có"))),"Có","Không"))</f>
        <v/>
      </c>
      <c r="U3653" s="22">
        <f>IF(OR($D3653="",$T3653="Có"),"",IF($C3653="","Thiếu họ tên; ","")&amp;IF($S3653&lt;&gt;"Có","SĐT sai định dạng; ","")&amp;IF($R3653="Trùng","Trùng SĐT; ","")&amp;IF($Q3653&lt;&gt;"Có","Thiếu đồng ý bắt buộc; ","")&amp;IF($L3653="","Thiếu/sai Mã REF; ",IF(AND($L3653="Chưa xác định",DANH_MUC!$L$9&lt;&gt;"Có"),"Nguồn chưa xác định; ","")))</f>
        <v/>
      </c>
      <c r="V3653" s="22">
        <f>IF(OR($D3653="",$R3653="Trùng"),"",IF(COUNTIF(ORDERS!$C$2:$C$4995,$D3653)&gt;0,"Có","Không"))</f>
        <v/>
      </c>
      <c r="W3653" s="22">
        <f>IF(OR($D3653="",$R3653="Trùng"),"",COUNTIFS(ORDERS!$C$2:$C$4995,$D3653,ORDERS!$L$2:$L$4995,"Đã chuyển khoản"))</f>
        <v/>
      </c>
      <c r="X3653" s="23">
        <f>IF(OR($D3653="",$R3653="Trùng"),"",SUMIFS(ORDERS!$J$2:$J$4995,ORDERS!$C$2:$C$4995,$D3653,ORDERS!$L$2:$L$4995,"Đã chuyển khoản"))</f>
        <v/>
      </c>
      <c r="Y3653" s="24" t="n"/>
    </row>
    <row r="3654" ht="14.25" customHeight="1" s="40">
      <c r="A3654" s="24" t="n"/>
      <c r="B3654" s="27" t="n"/>
      <c r="C3654" s="24" t="n"/>
      <c r="D3654" s="28" t="n"/>
      <c r="E3654" s="29" t="n"/>
      <c r="F3654" s="24" t="n"/>
      <c r="G3654" s="24" t="n"/>
      <c r="H3654" s="21">
        <f>IF(ISNUMBER($B3654),INT($B3654)-WEEKDAY($B3654,2)+1,"")</f>
        <v/>
      </c>
      <c r="I3654" s="24" t="n"/>
      <c r="J3654" s="22">
        <f t="array" ref="J3654">IF($D3654="","",IF($I3654="","(trống REF)",IFERROR(INDEX(MASTER_SOURCE!$B$2:$B$495,MATCH($I3654,MASTER_SOURCE!$A$2:$A$495,0)),"(REF không có trong MASTER_SOURCE)")))</f>
        <v/>
      </c>
      <c r="K3654" s="22">
        <f t="array" ref="K3654">IF($D3654="","",IFERROR(INDEX(MASTER_SOURCE!$C$2:$C$495,MATCH($I3654,MASTER_SOURCE!$A$2:$A$495,0)),""))</f>
        <v/>
      </c>
      <c r="L3654" s="22">
        <f t="array" ref="L3654">IF($D3654="","",IFERROR(INDEX(MASTER_SOURCE!$D$2:$D$495,MATCH($I3654,MASTER_SOURCE!$A$2:$A$495,0)),""))</f>
        <v/>
      </c>
      <c r="M3654" s="24" t="n"/>
      <c r="N3654" s="24" t="n"/>
      <c r="O3654" s="24" t="n"/>
      <c r="P3654" s="24" t="n"/>
      <c r="Q3654" s="22">
        <f>IF($D3654="","",IF(AND(OR(DANH_MUC!$L$5&lt;&gt;"Có",M3654="Có"),OR(DANH_MUC!$L$6&lt;&gt;"Có",N3654="Có"),OR(DANH_MUC!$L$7&lt;&gt;"Có",O3654="Có"),OR(DANH_MUC!$L$8&lt;&gt;"Có",P3654="Có")),"Có","Không"))</f>
        <v/>
      </c>
      <c r="R3654" s="22">
        <f>IF($D3654="","",IF(COUNTIF($D$2:$D3654,$D3654)&gt;1,"Trùng",""))</f>
        <v/>
      </c>
      <c r="S3654" s="22">
        <f>IF($D3654="","",IF(AND(LEN($D3654)=10,LEFT($D3654,1)="0",ISNUMBER(--$D3654)),"Có","Không"))</f>
        <v/>
      </c>
      <c r="T3654" s="22">
        <f>IF($D3654="","",IF(AND($C3654&lt;&gt;"",$Q3654="Có",$R3654="",$S3654="Có",AND($L3654&lt;&gt;"",OR($L3654&lt;&gt;"Chưa xác định",DANH_MUC!$L$9="Có"))),"Có","Không"))</f>
        <v/>
      </c>
      <c r="U3654" s="22">
        <f>IF(OR($D3654="",$T3654="Có"),"",IF($C3654="","Thiếu họ tên; ","")&amp;IF($S3654&lt;&gt;"Có","SĐT sai định dạng; ","")&amp;IF($R3654="Trùng","Trùng SĐT; ","")&amp;IF($Q3654&lt;&gt;"Có","Thiếu đồng ý bắt buộc; ","")&amp;IF($L3654="","Thiếu/sai Mã REF; ",IF(AND($L3654="Chưa xác định",DANH_MUC!$L$9&lt;&gt;"Có"),"Nguồn chưa xác định; ","")))</f>
        <v/>
      </c>
      <c r="V3654" s="22">
        <f>IF(OR($D3654="",$R3654="Trùng"),"",IF(COUNTIF(ORDERS!$C$2:$C$4995,$D3654)&gt;0,"Có","Không"))</f>
        <v/>
      </c>
      <c r="W3654" s="22">
        <f>IF(OR($D3654="",$R3654="Trùng"),"",COUNTIFS(ORDERS!$C$2:$C$4995,$D3654,ORDERS!$L$2:$L$4995,"Đã chuyển khoản"))</f>
        <v/>
      </c>
      <c r="X3654" s="23">
        <f>IF(OR($D3654="",$R3654="Trùng"),"",SUMIFS(ORDERS!$J$2:$J$4995,ORDERS!$C$2:$C$4995,$D3654,ORDERS!$L$2:$L$4995,"Đã chuyển khoản"))</f>
        <v/>
      </c>
      <c r="Y3654" s="24" t="n"/>
    </row>
    <row r="3655" ht="14.25" customHeight="1" s="40">
      <c r="A3655" s="24" t="n"/>
      <c r="B3655" s="27" t="n"/>
      <c r="C3655" s="24" t="n"/>
      <c r="D3655" s="28" t="n"/>
      <c r="E3655" s="29" t="n"/>
      <c r="F3655" s="24" t="n"/>
      <c r="G3655" s="24" t="n"/>
      <c r="H3655" s="21">
        <f>IF(ISNUMBER($B3655),INT($B3655)-WEEKDAY($B3655,2)+1,"")</f>
        <v/>
      </c>
      <c r="I3655" s="24" t="n"/>
      <c r="J3655" s="22">
        <f t="array" ref="J3655">IF($D3655="","",IF($I3655="","(trống REF)",IFERROR(INDEX(MASTER_SOURCE!$B$2:$B$495,MATCH($I3655,MASTER_SOURCE!$A$2:$A$495,0)),"(REF không có trong MASTER_SOURCE)")))</f>
        <v/>
      </c>
      <c r="K3655" s="22">
        <f t="array" ref="K3655">IF($D3655="","",IFERROR(INDEX(MASTER_SOURCE!$C$2:$C$495,MATCH($I3655,MASTER_SOURCE!$A$2:$A$495,0)),""))</f>
        <v/>
      </c>
      <c r="L3655" s="22">
        <f t="array" ref="L3655">IF($D3655="","",IFERROR(INDEX(MASTER_SOURCE!$D$2:$D$495,MATCH($I3655,MASTER_SOURCE!$A$2:$A$495,0)),""))</f>
        <v/>
      </c>
      <c r="M3655" s="24" t="n"/>
      <c r="N3655" s="24" t="n"/>
      <c r="O3655" s="24" t="n"/>
      <c r="P3655" s="24" t="n"/>
      <c r="Q3655" s="22">
        <f>IF($D3655="","",IF(AND(OR(DANH_MUC!$L$5&lt;&gt;"Có",M3655="Có"),OR(DANH_MUC!$L$6&lt;&gt;"Có",N3655="Có"),OR(DANH_MUC!$L$7&lt;&gt;"Có",O3655="Có"),OR(DANH_MUC!$L$8&lt;&gt;"Có",P3655="Có")),"Có","Không"))</f>
        <v/>
      </c>
      <c r="R3655" s="22">
        <f>IF($D3655="","",IF(COUNTIF($D$2:$D3655,$D3655)&gt;1,"Trùng",""))</f>
        <v/>
      </c>
      <c r="S3655" s="22">
        <f>IF($D3655="","",IF(AND(LEN($D3655)=10,LEFT($D3655,1)="0",ISNUMBER(--$D3655)),"Có","Không"))</f>
        <v/>
      </c>
      <c r="T3655" s="22">
        <f>IF($D3655="","",IF(AND($C3655&lt;&gt;"",$Q3655="Có",$R3655="",$S3655="Có",AND($L3655&lt;&gt;"",OR($L3655&lt;&gt;"Chưa xác định",DANH_MUC!$L$9="Có"))),"Có","Không"))</f>
        <v/>
      </c>
      <c r="U3655" s="22">
        <f>IF(OR($D3655="",$T3655="Có"),"",IF($C3655="","Thiếu họ tên; ","")&amp;IF($S3655&lt;&gt;"Có","SĐT sai định dạng; ","")&amp;IF($R3655="Trùng","Trùng SĐT; ","")&amp;IF($Q3655&lt;&gt;"Có","Thiếu đồng ý bắt buộc; ","")&amp;IF($L3655="","Thiếu/sai Mã REF; ",IF(AND($L3655="Chưa xác định",DANH_MUC!$L$9&lt;&gt;"Có"),"Nguồn chưa xác định; ","")))</f>
        <v/>
      </c>
      <c r="V3655" s="22">
        <f>IF(OR($D3655="",$R3655="Trùng"),"",IF(COUNTIF(ORDERS!$C$2:$C$4995,$D3655)&gt;0,"Có","Không"))</f>
        <v/>
      </c>
      <c r="W3655" s="22">
        <f>IF(OR($D3655="",$R3655="Trùng"),"",COUNTIFS(ORDERS!$C$2:$C$4995,$D3655,ORDERS!$L$2:$L$4995,"Đã chuyển khoản"))</f>
        <v/>
      </c>
      <c r="X3655" s="23">
        <f>IF(OR($D3655="",$R3655="Trùng"),"",SUMIFS(ORDERS!$J$2:$J$4995,ORDERS!$C$2:$C$4995,$D3655,ORDERS!$L$2:$L$4995,"Đã chuyển khoản"))</f>
        <v/>
      </c>
      <c r="Y3655" s="24" t="n"/>
    </row>
    <row r="3656" ht="14.25" customHeight="1" s="40">
      <c r="A3656" s="24" t="n"/>
      <c r="B3656" s="27" t="n"/>
      <c r="C3656" s="24" t="n"/>
      <c r="D3656" s="28" t="n"/>
      <c r="E3656" s="29" t="n"/>
      <c r="F3656" s="24" t="n"/>
      <c r="G3656" s="24" t="n"/>
      <c r="H3656" s="21">
        <f>IF(ISNUMBER($B3656),INT($B3656)-WEEKDAY($B3656,2)+1,"")</f>
        <v/>
      </c>
      <c r="I3656" s="24" t="n"/>
      <c r="J3656" s="22">
        <f t="array" ref="J3656">IF($D3656="","",IF($I3656="","(trống REF)",IFERROR(INDEX(MASTER_SOURCE!$B$2:$B$495,MATCH($I3656,MASTER_SOURCE!$A$2:$A$495,0)),"(REF không có trong MASTER_SOURCE)")))</f>
        <v/>
      </c>
      <c r="K3656" s="22">
        <f t="array" ref="K3656">IF($D3656="","",IFERROR(INDEX(MASTER_SOURCE!$C$2:$C$495,MATCH($I3656,MASTER_SOURCE!$A$2:$A$495,0)),""))</f>
        <v/>
      </c>
      <c r="L3656" s="22">
        <f t="array" ref="L3656">IF($D3656="","",IFERROR(INDEX(MASTER_SOURCE!$D$2:$D$495,MATCH($I3656,MASTER_SOURCE!$A$2:$A$495,0)),""))</f>
        <v/>
      </c>
      <c r="M3656" s="24" t="n"/>
      <c r="N3656" s="24" t="n"/>
      <c r="O3656" s="24" t="n"/>
      <c r="P3656" s="24" t="n"/>
      <c r="Q3656" s="22">
        <f>IF($D3656="","",IF(AND(OR(DANH_MUC!$L$5&lt;&gt;"Có",M3656="Có"),OR(DANH_MUC!$L$6&lt;&gt;"Có",N3656="Có"),OR(DANH_MUC!$L$7&lt;&gt;"Có",O3656="Có"),OR(DANH_MUC!$L$8&lt;&gt;"Có",P3656="Có")),"Có","Không"))</f>
        <v/>
      </c>
      <c r="R3656" s="22">
        <f>IF($D3656="","",IF(COUNTIF($D$2:$D3656,$D3656)&gt;1,"Trùng",""))</f>
        <v/>
      </c>
      <c r="S3656" s="22">
        <f>IF($D3656="","",IF(AND(LEN($D3656)=10,LEFT($D3656,1)="0",ISNUMBER(--$D3656)),"Có","Không"))</f>
        <v/>
      </c>
      <c r="T3656" s="22">
        <f>IF($D3656="","",IF(AND($C3656&lt;&gt;"",$Q3656="Có",$R3656="",$S3656="Có",AND($L3656&lt;&gt;"",OR($L3656&lt;&gt;"Chưa xác định",DANH_MUC!$L$9="Có"))),"Có","Không"))</f>
        <v/>
      </c>
      <c r="U3656" s="22">
        <f>IF(OR($D3656="",$T3656="Có"),"",IF($C3656="","Thiếu họ tên; ","")&amp;IF($S3656&lt;&gt;"Có","SĐT sai định dạng; ","")&amp;IF($R3656="Trùng","Trùng SĐT; ","")&amp;IF($Q3656&lt;&gt;"Có","Thiếu đồng ý bắt buộc; ","")&amp;IF($L3656="","Thiếu/sai Mã REF; ",IF(AND($L3656="Chưa xác định",DANH_MUC!$L$9&lt;&gt;"Có"),"Nguồn chưa xác định; ","")))</f>
        <v/>
      </c>
      <c r="V3656" s="22">
        <f>IF(OR($D3656="",$R3656="Trùng"),"",IF(COUNTIF(ORDERS!$C$2:$C$4995,$D3656)&gt;0,"Có","Không"))</f>
        <v/>
      </c>
      <c r="W3656" s="22">
        <f>IF(OR($D3656="",$R3656="Trùng"),"",COUNTIFS(ORDERS!$C$2:$C$4995,$D3656,ORDERS!$L$2:$L$4995,"Đã chuyển khoản"))</f>
        <v/>
      </c>
      <c r="X3656" s="23">
        <f>IF(OR($D3656="",$R3656="Trùng"),"",SUMIFS(ORDERS!$J$2:$J$4995,ORDERS!$C$2:$C$4995,$D3656,ORDERS!$L$2:$L$4995,"Đã chuyển khoản"))</f>
        <v/>
      </c>
      <c r="Y3656" s="24" t="n"/>
    </row>
    <row r="3657" ht="14.25" customHeight="1" s="40">
      <c r="A3657" s="24" t="n"/>
      <c r="B3657" s="27" t="n"/>
      <c r="C3657" s="24" t="n"/>
      <c r="D3657" s="28" t="n"/>
      <c r="E3657" s="29" t="n"/>
      <c r="F3657" s="24" t="n"/>
      <c r="G3657" s="24" t="n"/>
      <c r="H3657" s="21">
        <f>IF(ISNUMBER($B3657),INT($B3657)-WEEKDAY($B3657,2)+1,"")</f>
        <v/>
      </c>
      <c r="I3657" s="24" t="n"/>
      <c r="J3657" s="22">
        <f t="array" ref="J3657">IF($D3657="","",IF($I3657="","(trống REF)",IFERROR(INDEX(MASTER_SOURCE!$B$2:$B$495,MATCH($I3657,MASTER_SOURCE!$A$2:$A$495,0)),"(REF không có trong MASTER_SOURCE)")))</f>
        <v/>
      </c>
      <c r="K3657" s="22">
        <f t="array" ref="K3657">IF($D3657="","",IFERROR(INDEX(MASTER_SOURCE!$C$2:$C$495,MATCH($I3657,MASTER_SOURCE!$A$2:$A$495,0)),""))</f>
        <v/>
      </c>
      <c r="L3657" s="22">
        <f t="array" ref="L3657">IF($D3657="","",IFERROR(INDEX(MASTER_SOURCE!$D$2:$D$495,MATCH($I3657,MASTER_SOURCE!$A$2:$A$495,0)),""))</f>
        <v/>
      </c>
      <c r="M3657" s="24" t="n"/>
      <c r="N3657" s="24" t="n"/>
      <c r="O3657" s="24" t="n"/>
      <c r="P3657" s="24" t="n"/>
      <c r="Q3657" s="22">
        <f>IF($D3657="","",IF(AND(OR(DANH_MUC!$L$5&lt;&gt;"Có",M3657="Có"),OR(DANH_MUC!$L$6&lt;&gt;"Có",N3657="Có"),OR(DANH_MUC!$L$7&lt;&gt;"Có",O3657="Có"),OR(DANH_MUC!$L$8&lt;&gt;"Có",P3657="Có")),"Có","Không"))</f>
        <v/>
      </c>
      <c r="R3657" s="22">
        <f>IF($D3657="","",IF(COUNTIF($D$2:$D3657,$D3657)&gt;1,"Trùng",""))</f>
        <v/>
      </c>
      <c r="S3657" s="22">
        <f>IF($D3657="","",IF(AND(LEN($D3657)=10,LEFT($D3657,1)="0",ISNUMBER(--$D3657)),"Có","Không"))</f>
        <v/>
      </c>
      <c r="T3657" s="22">
        <f>IF($D3657="","",IF(AND($C3657&lt;&gt;"",$Q3657="Có",$R3657="",$S3657="Có",AND($L3657&lt;&gt;"",OR($L3657&lt;&gt;"Chưa xác định",DANH_MUC!$L$9="Có"))),"Có","Không"))</f>
        <v/>
      </c>
      <c r="U3657" s="22">
        <f>IF(OR($D3657="",$T3657="Có"),"",IF($C3657="","Thiếu họ tên; ","")&amp;IF($S3657&lt;&gt;"Có","SĐT sai định dạng; ","")&amp;IF($R3657="Trùng","Trùng SĐT; ","")&amp;IF($Q3657&lt;&gt;"Có","Thiếu đồng ý bắt buộc; ","")&amp;IF($L3657="","Thiếu/sai Mã REF; ",IF(AND($L3657="Chưa xác định",DANH_MUC!$L$9&lt;&gt;"Có"),"Nguồn chưa xác định; ","")))</f>
        <v/>
      </c>
      <c r="V3657" s="22">
        <f>IF(OR($D3657="",$R3657="Trùng"),"",IF(COUNTIF(ORDERS!$C$2:$C$4995,$D3657)&gt;0,"Có","Không"))</f>
        <v/>
      </c>
      <c r="W3657" s="22">
        <f>IF(OR($D3657="",$R3657="Trùng"),"",COUNTIFS(ORDERS!$C$2:$C$4995,$D3657,ORDERS!$L$2:$L$4995,"Đã chuyển khoản"))</f>
        <v/>
      </c>
      <c r="X3657" s="23">
        <f>IF(OR($D3657="",$R3657="Trùng"),"",SUMIFS(ORDERS!$J$2:$J$4995,ORDERS!$C$2:$C$4995,$D3657,ORDERS!$L$2:$L$4995,"Đã chuyển khoản"))</f>
        <v/>
      </c>
      <c r="Y3657" s="24" t="n"/>
    </row>
    <row r="3658" ht="14.25" customHeight="1" s="40">
      <c r="A3658" s="24" t="n"/>
      <c r="B3658" s="27" t="n"/>
      <c r="C3658" s="24" t="n"/>
      <c r="D3658" s="28" t="n"/>
      <c r="E3658" s="29" t="n"/>
      <c r="F3658" s="24" t="n"/>
      <c r="G3658" s="24" t="n"/>
      <c r="H3658" s="21">
        <f>IF(ISNUMBER($B3658),INT($B3658)-WEEKDAY($B3658,2)+1,"")</f>
        <v/>
      </c>
      <c r="I3658" s="24" t="n"/>
      <c r="J3658" s="22">
        <f t="array" ref="J3658">IF($D3658="","",IF($I3658="","(trống REF)",IFERROR(INDEX(MASTER_SOURCE!$B$2:$B$495,MATCH($I3658,MASTER_SOURCE!$A$2:$A$495,0)),"(REF không có trong MASTER_SOURCE)")))</f>
        <v/>
      </c>
      <c r="K3658" s="22">
        <f t="array" ref="K3658">IF($D3658="","",IFERROR(INDEX(MASTER_SOURCE!$C$2:$C$495,MATCH($I3658,MASTER_SOURCE!$A$2:$A$495,0)),""))</f>
        <v/>
      </c>
      <c r="L3658" s="22">
        <f t="array" ref="L3658">IF($D3658="","",IFERROR(INDEX(MASTER_SOURCE!$D$2:$D$495,MATCH($I3658,MASTER_SOURCE!$A$2:$A$495,0)),""))</f>
        <v/>
      </c>
      <c r="M3658" s="24" t="n"/>
      <c r="N3658" s="24" t="n"/>
      <c r="O3658" s="24" t="n"/>
      <c r="P3658" s="24" t="n"/>
      <c r="Q3658" s="22">
        <f>IF($D3658="","",IF(AND(OR(DANH_MUC!$L$5&lt;&gt;"Có",M3658="Có"),OR(DANH_MUC!$L$6&lt;&gt;"Có",N3658="Có"),OR(DANH_MUC!$L$7&lt;&gt;"Có",O3658="Có"),OR(DANH_MUC!$L$8&lt;&gt;"Có",P3658="Có")),"Có","Không"))</f>
        <v/>
      </c>
      <c r="R3658" s="22">
        <f>IF($D3658="","",IF(COUNTIF($D$2:$D3658,$D3658)&gt;1,"Trùng",""))</f>
        <v/>
      </c>
      <c r="S3658" s="22">
        <f>IF($D3658="","",IF(AND(LEN($D3658)=10,LEFT($D3658,1)="0",ISNUMBER(--$D3658)),"Có","Không"))</f>
        <v/>
      </c>
      <c r="T3658" s="22">
        <f>IF($D3658="","",IF(AND($C3658&lt;&gt;"",$Q3658="Có",$R3658="",$S3658="Có",AND($L3658&lt;&gt;"",OR($L3658&lt;&gt;"Chưa xác định",DANH_MUC!$L$9="Có"))),"Có","Không"))</f>
        <v/>
      </c>
      <c r="U3658" s="22">
        <f>IF(OR($D3658="",$T3658="Có"),"",IF($C3658="","Thiếu họ tên; ","")&amp;IF($S3658&lt;&gt;"Có","SĐT sai định dạng; ","")&amp;IF($R3658="Trùng","Trùng SĐT; ","")&amp;IF($Q3658&lt;&gt;"Có","Thiếu đồng ý bắt buộc; ","")&amp;IF($L3658="","Thiếu/sai Mã REF; ",IF(AND($L3658="Chưa xác định",DANH_MUC!$L$9&lt;&gt;"Có"),"Nguồn chưa xác định; ","")))</f>
        <v/>
      </c>
      <c r="V3658" s="22">
        <f>IF(OR($D3658="",$R3658="Trùng"),"",IF(COUNTIF(ORDERS!$C$2:$C$4995,$D3658)&gt;0,"Có","Không"))</f>
        <v/>
      </c>
      <c r="W3658" s="22">
        <f>IF(OR($D3658="",$R3658="Trùng"),"",COUNTIFS(ORDERS!$C$2:$C$4995,$D3658,ORDERS!$L$2:$L$4995,"Đã chuyển khoản"))</f>
        <v/>
      </c>
      <c r="X3658" s="23">
        <f>IF(OR($D3658="",$R3658="Trùng"),"",SUMIFS(ORDERS!$J$2:$J$4995,ORDERS!$C$2:$C$4995,$D3658,ORDERS!$L$2:$L$4995,"Đã chuyển khoản"))</f>
        <v/>
      </c>
      <c r="Y3658" s="24" t="n"/>
    </row>
    <row r="3659" ht="14.25" customHeight="1" s="40">
      <c r="A3659" s="24" t="n"/>
      <c r="B3659" s="27" t="n"/>
      <c r="C3659" s="24" t="n"/>
      <c r="D3659" s="28" t="n"/>
      <c r="E3659" s="29" t="n"/>
      <c r="F3659" s="24" t="n"/>
      <c r="G3659" s="24" t="n"/>
      <c r="H3659" s="21">
        <f>IF(ISNUMBER($B3659),INT($B3659)-WEEKDAY($B3659,2)+1,"")</f>
        <v/>
      </c>
      <c r="I3659" s="24" t="n"/>
      <c r="J3659" s="22">
        <f t="array" ref="J3659">IF($D3659="","",IF($I3659="","(trống REF)",IFERROR(INDEX(MASTER_SOURCE!$B$2:$B$495,MATCH($I3659,MASTER_SOURCE!$A$2:$A$495,0)),"(REF không có trong MASTER_SOURCE)")))</f>
        <v/>
      </c>
      <c r="K3659" s="22">
        <f t="array" ref="K3659">IF($D3659="","",IFERROR(INDEX(MASTER_SOURCE!$C$2:$C$495,MATCH($I3659,MASTER_SOURCE!$A$2:$A$495,0)),""))</f>
        <v/>
      </c>
      <c r="L3659" s="22">
        <f t="array" ref="L3659">IF($D3659="","",IFERROR(INDEX(MASTER_SOURCE!$D$2:$D$495,MATCH($I3659,MASTER_SOURCE!$A$2:$A$495,0)),""))</f>
        <v/>
      </c>
      <c r="M3659" s="24" t="n"/>
      <c r="N3659" s="24" t="n"/>
      <c r="O3659" s="24" t="n"/>
      <c r="P3659" s="24" t="n"/>
      <c r="Q3659" s="22">
        <f>IF($D3659="","",IF(AND(OR(DANH_MUC!$L$5&lt;&gt;"Có",M3659="Có"),OR(DANH_MUC!$L$6&lt;&gt;"Có",N3659="Có"),OR(DANH_MUC!$L$7&lt;&gt;"Có",O3659="Có"),OR(DANH_MUC!$L$8&lt;&gt;"Có",P3659="Có")),"Có","Không"))</f>
        <v/>
      </c>
      <c r="R3659" s="22">
        <f>IF($D3659="","",IF(COUNTIF($D$2:$D3659,$D3659)&gt;1,"Trùng",""))</f>
        <v/>
      </c>
      <c r="S3659" s="22">
        <f>IF($D3659="","",IF(AND(LEN($D3659)=10,LEFT($D3659,1)="0",ISNUMBER(--$D3659)),"Có","Không"))</f>
        <v/>
      </c>
      <c r="T3659" s="22">
        <f>IF($D3659="","",IF(AND($C3659&lt;&gt;"",$Q3659="Có",$R3659="",$S3659="Có",AND($L3659&lt;&gt;"",OR($L3659&lt;&gt;"Chưa xác định",DANH_MUC!$L$9="Có"))),"Có","Không"))</f>
        <v/>
      </c>
      <c r="U3659" s="22">
        <f>IF(OR($D3659="",$T3659="Có"),"",IF($C3659="","Thiếu họ tên; ","")&amp;IF($S3659&lt;&gt;"Có","SĐT sai định dạng; ","")&amp;IF($R3659="Trùng","Trùng SĐT; ","")&amp;IF($Q3659&lt;&gt;"Có","Thiếu đồng ý bắt buộc; ","")&amp;IF($L3659="","Thiếu/sai Mã REF; ",IF(AND($L3659="Chưa xác định",DANH_MUC!$L$9&lt;&gt;"Có"),"Nguồn chưa xác định; ","")))</f>
        <v/>
      </c>
      <c r="V3659" s="22">
        <f>IF(OR($D3659="",$R3659="Trùng"),"",IF(COUNTIF(ORDERS!$C$2:$C$4995,$D3659)&gt;0,"Có","Không"))</f>
        <v/>
      </c>
      <c r="W3659" s="22">
        <f>IF(OR($D3659="",$R3659="Trùng"),"",COUNTIFS(ORDERS!$C$2:$C$4995,$D3659,ORDERS!$L$2:$L$4995,"Đã chuyển khoản"))</f>
        <v/>
      </c>
      <c r="X3659" s="23">
        <f>IF(OR($D3659="",$R3659="Trùng"),"",SUMIFS(ORDERS!$J$2:$J$4995,ORDERS!$C$2:$C$4995,$D3659,ORDERS!$L$2:$L$4995,"Đã chuyển khoản"))</f>
        <v/>
      </c>
      <c r="Y3659" s="24" t="n"/>
    </row>
    <row r="3660" ht="14.25" customHeight="1" s="40">
      <c r="A3660" s="24" t="n"/>
      <c r="B3660" s="27" t="n"/>
      <c r="C3660" s="24" t="n"/>
      <c r="D3660" s="28" t="n"/>
      <c r="E3660" s="29" t="n"/>
      <c r="F3660" s="24" t="n"/>
      <c r="G3660" s="24" t="n"/>
      <c r="H3660" s="21">
        <f>IF(ISNUMBER($B3660),INT($B3660)-WEEKDAY($B3660,2)+1,"")</f>
        <v/>
      </c>
      <c r="I3660" s="24" t="n"/>
      <c r="J3660" s="22">
        <f t="array" ref="J3660">IF($D3660="","",IF($I3660="","(trống REF)",IFERROR(INDEX(MASTER_SOURCE!$B$2:$B$495,MATCH($I3660,MASTER_SOURCE!$A$2:$A$495,0)),"(REF không có trong MASTER_SOURCE)")))</f>
        <v/>
      </c>
      <c r="K3660" s="22">
        <f t="array" ref="K3660">IF($D3660="","",IFERROR(INDEX(MASTER_SOURCE!$C$2:$C$495,MATCH($I3660,MASTER_SOURCE!$A$2:$A$495,0)),""))</f>
        <v/>
      </c>
      <c r="L3660" s="22">
        <f t="array" ref="L3660">IF($D3660="","",IFERROR(INDEX(MASTER_SOURCE!$D$2:$D$495,MATCH($I3660,MASTER_SOURCE!$A$2:$A$495,0)),""))</f>
        <v/>
      </c>
      <c r="M3660" s="24" t="n"/>
      <c r="N3660" s="24" t="n"/>
      <c r="O3660" s="24" t="n"/>
      <c r="P3660" s="24" t="n"/>
      <c r="Q3660" s="22">
        <f>IF($D3660="","",IF(AND(OR(DANH_MUC!$L$5&lt;&gt;"Có",M3660="Có"),OR(DANH_MUC!$L$6&lt;&gt;"Có",N3660="Có"),OR(DANH_MUC!$L$7&lt;&gt;"Có",O3660="Có"),OR(DANH_MUC!$L$8&lt;&gt;"Có",P3660="Có")),"Có","Không"))</f>
        <v/>
      </c>
      <c r="R3660" s="22">
        <f>IF($D3660="","",IF(COUNTIF($D$2:$D3660,$D3660)&gt;1,"Trùng",""))</f>
        <v/>
      </c>
      <c r="S3660" s="22">
        <f>IF($D3660="","",IF(AND(LEN($D3660)=10,LEFT($D3660,1)="0",ISNUMBER(--$D3660)),"Có","Không"))</f>
        <v/>
      </c>
      <c r="T3660" s="22">
        <f>IF($D3660="","",IF(AND($C3660&lt;&gt;"",$Q3660="Có",$R3660="",$S3660="Có",AND($L3660&lt;&gt;"",OR($L3660&lt;&gt;"Chưa xác định",DANH_MUC!$L$9="Có"))),"Có","Không"))</f>
        <v/>
      </c>
      <c r="U3660" s="22">
        <f>IF(OR($D3660="",$T3660="Có"),"",IF($C3660="","Thiếu họ tên; ","")&amp;IF($S3660&lt;&gt;"Có","SĐT sai định dạng; ","")&amp;IF($R3660="Trùng","Trùng SĐT; ","")&amp;IF($Q3660&lt;&gt;"Có","Thiếu đồng ý bắt buộc; ","")&amp;IF($L3660="","Thiếu/sai Mã REF; ",IF(AND($L3660="Chưa xác định",DANH_MUC!$L$9&lt;&gt;"Có"),"Nguồn chưa xác định; ","")))</f>
        <v/>
      </c>
      <c r="V3660" s="22">
        <f>IF(OR($D3660="",$R3660="Trùng"),"",IF(COUNTIF(ORDERS!$C$2:$C$4995,$D3660)&gt;0,"Có","Không"))</f>
        <v/>
      </c>
      <c r="W3660" s="22">
        <f>IF(OR($D3660="",$R3660="Trùng"),"",COUNTIFS(ORDERS!$C$2:$C$4995,$D3660,ORDERS!$L$2:$L$4995,"Đã chuyển khoản"))</f>
        <v/>
      </c>
      <c r="X3660" s="23">
        <f>IF(OR($D3660="",$R3660="Trùng"),"",SUMIFS(ORDERS!$J$2:$J$4995,ORDERS!$C$2:$C$4995,$D3660,ORDERS!$L$2:$L$4995,"Đã chuyển khoản"))</f>
        <v/>
      </c>
      <c r="Y3660" s="24" t="n"/>
    </row>
    <row r="3661" ht="14.25" customHeight="1" s="40">
      <c r="A3661" s="24" t="n"/>
      <c r="B3661" s="27" t="n"/>
      <c r="C3661" s="24" t="n"/>
      <c r="D3661" s="28" t="n"/>
      <c r="E3661" s="29" t="n"/>
      <c r="F3661" s="24" t="n"/>
      <c r="G3661" s="24" t="n"/>
      <c r="H3661" s="21">
        <f>IF(ISNUMBER($B3661),INT($B3661)-WEEKDAY($B3661,2)+1,"")</f>
        <v/>
      </c>
      <c r="I3661" s="24" t="n"/>
      <c r="J3661" s="22">
        <f t="array" ref="J3661">IF($D3661="","",IF($I3661="","(trống REF)",IFERROR(INDEX(MASTER_SOURCE!$B$2:$B$495,MATCH($I3661,MASTER_SOURCE!$A$2:$A$495,0)),"(REF không có trong MASTER_SOURCE)")))</f>
        <v/>
      </c>
      <c r="K3661" s="22">
        <f t="array" ref="K3661">IF($D3661="","",IFERROR(INDEX(MASTER_SOURCE!$C$2:$C$495,MATCH($I3661,MASTER_SOURCE!$A$2:$A$495,0)),""))</f>
        <v/>
      </c>
      <c r="L3661" s="22">
        <f t="array" ref="L3661">IF($D3661="","",IFERROR(INDEX(MASTER_SOURCE!$D$2:$D$495,MATCH($I3661,MASTER_SOURCE!$A$2:$A$495,0)),""))</f>
        <v/>
      </c>
      <c r="M3661" s="24" t="n"/>
      <c r="N3661" s="24" t="n"/>
      <c r="O3661" s="24" t="n"/>
      <c r="P3661" s="24" t="n"/>
      <c r="Q3661" s="22">
        <f>IF($D3661="","",IF(AND(OR(DANH_MUC!$L$5&lt;&gt;"Có",M3661="Có"),OR(DANH_MUC!$L$6&lt;&gt;"Có",N3661="Có"),OR(DANH_MUC!$L$7&lt;&gt;"Có",O3661="Có"),OR(DANH_MUC!$L$8&lt;&gt;"Có",P3661="Có")),"Có","Không"))</f>
        <v/>
      </c>
      <c r="R3661" s="22">
        <f>IF($D3661="","",IF(COUNTIF($D$2:$D3661,$D3661)&gt;1,"Trùng",""))</f>
        <v/>
      </c>
      <c r="S3661" s="22">
        <f>IF($D3661="","",IF(AND(LEN($D3661)=10,LEFT($D3661,1)="0",ISNUMBER(--$D3661)),"Có","Không"))</f>
        <v/>
      </c>
      <c r="T3661" s="22">
        <f>IF($D3661="","",IF(AND($C3661&lt;&gt;"",$Q3661="Có",$R3661="",$S3661="Có",AND($L3661&lt;&gt;"",OR($L3661&lt;&gt;"Chưa xác định",DANH_MUC!$L$9="Có"))),"Có","Không"))</f>
        <v/>
      </c>
      <c r="U3661" s="22">
        <f>IF(OR($D3661="",$T3661="Có"),"",IF($C3661="","Thiếu họ tên; ","")&amp;IF($S3661&lt;&gt;"Có","SĐT sai định dạng; ","")&amp;IF($R3661="Trùng","Trùng SĐT; ","")&amp;IF($Q3661&lt;&gt;"Có","Thiếu đồng ý bắt buộc; ","")&amp;IF($L3661="","Thiếu/sai Mã REF; ",IF(AND($L3661="Chưa xác định",DANH_MUC!$L$9&lt;&gt;"Có"),"Nguồn chưa xác định; ","")))</f>
        <v/>
      </c>
      <c r="V3661" s="22">
        <f>IF(OR($D3661="",$R3661="Trùng"),"",IF(COUNTIF(ORDERS!$C$2:$C$4995,$D3661)&gt;0,"Có","Không"))</f>
        <v/>
      </c>
      <c r="W3661" s="22">
        <f>IF(OR($D3661="",$R3661="Trùng"),"",COUNTIFS(ORDERS!$C$2:$C$4995,$D3661,ORDERS!$L$2:$L$4995,"Đã chuyển khoản"))</f>
        <v/>
      </c>
      <c r="X3661" s="23">
        <f>IF(OR($D3661="",$R3661="Trùng"),"",SUMIFS(ORDERS!$J$2:$J$4995,ORDERS!$C$2:$C$4995,$D3661,ORDERS!$L$2:$L$4995,"Đã chuyển khoản"))</f>
        <v/>
      </c>
      <c r="Y3661" s="24" t="n"/>
    </row>
    <row r="3662" ht="14.25" customHeight="1" s="40">
      <c r="A3662" s="24" t="n"/>
      <c r="B3662" s="27" t="n"/>
      <c r="C3662" s="24" t="n"/>
      <c r="D3662" s="28" t="n"/>
      <c r="E3662" s="29" t="n"/>
      <c r="F3662" s="24" t="n"/>
      <c r="G3662" s="24" t="n"/>
      <c r="H3662" s="21">
        <f>IF(ISNUMBER($B3662),INT($B3662)-WEEKDAY($B3662,2)+1,"")</f>
        <v/>
      </c>
      <c r="I3662" s="24" t="n"/>
      <c r="J3662" s="22">
        <f t="array" ref="J3662">IF($D3662="","",IF($I3662="","(trống REF)",IFERROR(INDEX(MASTER_SOURCE!$B$2:$B$495,MATCH($I3662,MASTER_SOURCE!$A$2:$A$495,0)),"(REF không có trong MASTER_SOURCE)")))</f>
        <v/>
      </c>
      <c r="K3662" s="22">
        <f t="array" ref="K3662">IF($D3662="","",IFERROR(INDEX(MASTER_SOURCE!$C$2:$C$495,MATCH($I3662,MASTER_SOURCE!$A$2:$A$495,0)),""))</f>
        <v/>
      </c>
      <c r="L3662" s="22">
        <f t="array" ref="L3662">IF($D3662="","",IFERROR(INDEX(MASTER_SOURCE!$D$2:$D$495,MATCH($I3662,MASTER_SOURCE!$A$2:$A$495,0)),""))</f>
        <v/>
      </c>
      <c r="M3662" s="24" t="n"/>
      <c r="N3662" s="24" t="n"/>
      <c r="O3662" s="24" t="n"/>
      <c r="P3662" s="24" t="n"/>
      <c r="Q3662" s="22">
        <f>IF($D3662="","",IF(AND(OR(DANH_MUC!$L$5&lt;&gt;"Có",M3662="Có"),OR(DANH_MUC!$L$6&lt;&gt;"Có",N3662="Có"),OR(DANH_MUC!$L$7&lt;&gt;"Có",O3662="Có"),OR(DANH_MUC!$L$8&lt;&gt;"Có",P3662="Có")),"Có","Không"))</f>
        <v/>
      </c>
      <c r="R3662" s="22">
        <f>IF($D3662="","",IF(COUNTIF($D$2:$D3662,$D3662)&gt;1,"Trùng",""))</f>
        <v/>
      </c>
      <c r="S3662" s="22">
        <f>IF($D3662="","",IF(AND(LEN($D3662)=10,LEFT($D3662,1)="0",ISNUMBER(--$D3662)),"Có","Không"))</f>
        <v/>
      </c>
      <c r="T3662" s="22">
        <f>IF($D3662="","",IF(AND($C3662&lt;&gt;"",$Q3662="Có",$R3662="",$S3662="Có",AND($L3662&lt;&gt;"",OR($L3662&lt;&gt;"Chưa xác định",DANH_MUC!$L$9="Có"))),"Có","Không"))</f>
        <v/>
      </c>
      <c r="U3662" s="22">
        <f>IF(OR($D3662="",$T3662="Có"),"",IF($C3662="","Thiếu họ tên; ","")&amp;IF($S3662&lt;&gt;"Có","SĐT sai định dạng; ","")&amp;IF($R3662="Trùng","Trùng SĐT; ","")&amp;IF($Q3662&lt;&gt;"Có","Thiếu đồng ý bắt buộc; ","")&amp;IF($L3662="","Thiếu/sai Mã REF; ",IF(AND($L3662="Chưa xác định",DANH_MUC!$L$9&lt;&gt;"Có"),"Nguồn chưa xác định; ","")))</f>
        <v/>
      </c>
      <c r="V3662" s="22">
        <f>IF(OR($D3662="",$R3662="Trùng"),"",IF(COUNTIF(ORDERS!$C$2:$C$4995,$D3662)&gt;0,"Có","Không"))</f>
        <v/>
      </c>
      <c r="W3662" s="22">
        <f>IF(OR($D3662="",$R3662="Trùng"),"",COUNTIFS(ORDERS!$C$2:$C$4995,$D3662,ORDERS!$L$2:$L$4995,"Đã chuyển khoản"))</f>
        <v/>
      </c>
      <c r="X3662" s="23">
        <f>IF(OR($D3662="",$R3662="Trùng"),"",SUMIFS(ORDERS!$J$2:$J$4995,ORDERS!$C$2:$C$4995,$D3662,ORDERS!$L$2:$L$4995,"Đã chuyển khoản"))</f>
        <v/>
      </c>
      <c r="Y3662" s="24" t="n"/>
    </row>
    <row r="3663" ht="14.25" customHeight="1" s="40">
      <c r="A3663" s="24" t="n"/>
      <c r="B3663" s="27" t="n"/>
      <c r="C3663" s="24" t="n"/>
      <c r="D3663" s="28" t="n"/>
      <c r="E3663" s="29" t="n"/>
      <c r="F3663" s="24" t="n"/>
      <c r="G3663" s="24" t="n"/>
      <c r="H3663" s="21">
        <f>IF(ISNUMBER($B3663),INT($B3663)-WEEKDAY($B3663,2)+1,"")</f>
        <v/>
      </c>
      <c r="I3663" s="24" t="n"/>
      <c r="J3663" s="22">
        <f t="array" ref="J3663">IF($D3663="","",IF($I3663="","(trống REF)",IFERROR(INDEX(MASTER_SOURCE!$B$2:$B$495,MATCH($I3663,MASTER_SOURCE!$A$2:$A$495,0)),"(REF không có trong MASTER_SOURCE)")))</f>
        <v/>
      </c>
      <c r="K3663" s="22">
        <f t="array" ref="K3663">IF($D3663="","",IFERROR(INDEX(MASTER_SOURCE!$C$2:$C$495,MATCH($I3663,MASTER_SOURCE!$A$2:$A$495,0)),""))</f>
        <v/>
      </c>
      <c r="L3663" s="22">
        <f t="array" ref="L3663">IF($D3663="","",IFERROR(INDEX(MASTER_SOURCE!$D$2:$D$495,MATCH($I3663,MASTER_SOURCE!$A$2:$A$495,0)),""))</f>
        <v/>
      </c>
      <c r="M3663" s="24" t="n"/>
      <c r="N3663" s="24" t="n"/>
      <c r="O3663" s="24" t="n"/>
      <c r="P3663" s="24" t="n"/>
      <c r="Q3663" s="22">
        <f>IF($D3663="","",IF(AND(OR(DANH_MUC!$L$5&lt;&gt;"Có",M3663="Có"),OR(DANH_MUC!$L$6&lt;&gt;"Có",N3663="Có"),OR(DANH_MUC!$L$7&lt;&gt;"Có",O3663="Có"),OR(DANH_MUC!$L$8&lt;&gt;"Có",P3663="Có")),"Có","Không"))</f>
        <v/>
      </c>
      <c r="R3663" s="22">
        <f>IF($D3663="","",IF(COUNTIF($D$2:$D3663,$D3663)&gt;1,"Trùng",""))</f>
        <v/>
      </c>
      <c r="S3663" s="22">
        <f>IF($D3663="","",IF(AND(LEN($D3663)=10,LEFT($D3663,1)="0",ISNUMBER(--$D3663)),"Có","Không"))</f>
        <v/>
      </c>
      <c r="T3663" s="22">
        <f>IF($D3663="","",IF(AND($C3663&lt;&gt;"",$Q3663="Có",$R3663="",$S3663="Có",AND($L3663&lt;&gt;"",OR($L3663&lt;&gt;"Chưa xác định",DANH_MUC!$L$9="Có"))),"Có","Không"))</f>
        <v/>
      </c>
      <c r="U3663" s="22">
        <f>IF(OR($D3663="",$T3663="Có"),"",IF($C3663="","Thiếu họ tên; ","")&amp;IF($S3663&lt;&gt;"Có","SĐT sai định dạng; ","")&amp;IF($R3663="Trùng","Trùng SĐT; ","")&amp;IF($Q3663&lt;&gt;"Có","Thiếu đồng ý bắt buộc; ","")&amp;IF($L3663="","Thiếu/sai Mã REF; ",IF(AND($L3663="Chưa xác định",DANH_MUC!$L$9&lt;&gt;"Có"),"Nguồn chưa xác định; ","")))</f>
        <v/>
      </c>
      <c r="V3663" s="22">
        <f>IF(OR($D3663="",$R3663="Trùng"),"",IF(COUNTIF(ORDERS!$C$2:$C$4995,$D3663)&gt;0,"Có","Không"))</f>
        <v/>
      </c>
      <c r="W3663" s="22">
        <f>IF(OR($D3663="",$R3663="Trùng"),"",COUNTIFS(ORDERS!$C$2:$C$4995,$D3663,ORDERS!$L$2:$L$4995,"Đã chuyển khoản"))</f>
        <v/>
      </c>
      <c r="X3663" s="23">
        <f>IF(OR($D3663="",$R3663="Trùng"),"",SUMIFS(ORDERS!$J$2:$J$4995,ORDERS!$C$2:$C$4995,$D3663,ORDERS!$L$2:$L$4995,"Đã chuyển khoản"))</f>
        <v/>
      </c>
      <c r="Y3663" s="24" t="n"/>
    </row>
    <row r="3664" ht="14.25" customHeight="1" s="40">
      <c r="A3664" s="24" t="n"/>
      <c r="B3664" s="27" t="n"/>
      <c r="C3664" s="24" t="n"/>
      <c r="D3664" s="28" t="n"/>
      <c r="E3664" s="29" t="n"/>
      <c r="F3664" s="24" t="n"/>
      <c r="G3664" s="24" t="n"/>
      <c r="H3664" s="21">
        <f>IF(ISNUMBER($B3664),INT($B3664)-WEEKDAY($B3664,2)+1,"")</f>
        <v/>
      </c>
      <c r="I3664" s="24" t="n"/>
      <c r="J3664" s="22">
        <f t="array" ref="J3664">IF($D3664="","",IF($I3664="","(trống REF)",IFERROR(INDEX(MASTER_SOURCE!$B$2:$B$495,MATCH($I3664,MASTER_SOURCE!$A$2:$A$495,0)),"(REF không có trong MASTER_SOURCE)")))</f>
        <v/>
      </c>
      <c r="K3664" s="22">
        <f t="array" ref="K3664">IF($D3664="","",IFERROR(INDEX(MASTER_SOURCE!$C$2:$C$495,MATCH($I3664,MASTER_SOURCE!$A$2:$A$495,0)),""))</f>
        <v/>
      </c>
      <c r="L3664" s="22">
        <f t="array" ref="L3664">IF($D3664="","",IFERROR(INDEX(MASTER_SOURCE!$D$2:$D$495,MATCH($I3664,MASTER_SOURCE!$A$2:$A$495,0)),""))</f>
        <v/>
      </c>
      <c r="M3664" s="24" t="n"/>
      <c r="N3664" s="24" t="n"/>
      <c r="O3664" s="24" t="n"/>
      <c r="P3664" s="24" t="n"/>
      <c r="Q3664" s="22">
        <f>IF($D3664="","",IF(AND(OR(DANH_MUC!$L$5&lt;&gt;"Có",M3664="Có"),OR(DANH_MUC!$L$6&lt;&gt;"Có",N3664="Có"),OR(DANH_MUC!$L$7&lt;&gt;"Có",O3664="Có"),OR(DANH_MUC!$L$8&lt;&gt;"Có",P3664="Có")),"Có","Không"))</f>
        <v/>
      </c>
      <c r="R3664" s="22">
        <f>IF($D3664="","",IF(COUNTIF($D$2:$D3664,$D3664)&gt;1,"Trùng",""))</f>
        <v/>
      </c>
      <c r="S3664" s="22">
        <f>IF($D3664="","",IF(AND(LEN($D3664)=10,LEFT($D3664,1)="0",ISNUMBER(--$D3664)),"Có","Không"))</f>
        <v/>
      </c>
      <c r="T3664" s="22">
        <f>IF($D3664="","",IF(AND($C3664&lt;&gt;"",$Q3664="Có",$R3664="",$S3664="Có",AND($L3664&lt;&gt;"",OR($L3664&lt;&gt;"Chưa xác định",DANH_MUC!$L$9="Có"))),"Có","Không"))</f>
        <v/>
      </c>
      <c r="U3664" s="22">
        <f>IF(OR($D3664="",$T3664="Có"),"",IF($C3664="","Thiếu họ tên; ","")&amp;IF($S3664&lt;&gt;"Có","SĐT sai định dạng; ","")&amp;IF($R3664="Trùng","Trùng SĐT; ","")&amp;IF($Q3664&lt;&gt;"Có","Thiếu đồng ý bắt buộc; ","")&amp;IF($L3664="","Thiếu/sai Mã REF; ",IF(AND($L3664="Chưa xác định",DANH_MUC!$L$9&lt;&gt;"Có"),"Nguồn chưa xác định; ","")))</f>
        <v/>
      </c>
      <c r="V3664" s="22">
        <f>IF(OR($D3664="",$R3664="Trùng"),"",IF(COUNTIF(ORDERS!$C$2:$C$4995,$D3664)&gt;0,"Có","Không"))</f>
        <v/>
      </c>
      <c r="W3664" s="22">
        <f>IF(OR($D3664="",$R3664="Trùng"),"",COUNTIFS(ORDERS!$C$2:$C$4995,$D3664,ORDERS!$L$2:$L$4995,"Đã chuyển khoản"))</f>
        <v/>
      </c>
      <c r="X3664" s="23">
        <f>IF(OR($D3664="",$R3664="Trùng"),"",SUMIFS(ORDERS!$J$2:$J$4995,ORDERS!$C$2:$C$4995,$D3664,ORDERS!$L$2:$L$4995,"Đã chuyển khoản"))</f>
        <v/>
      </c>
      <c r="Y3664" s="24" t="n"/>
    </row>
    <row r="3665" ht="14.25" customHeight="1" s="40">
      <c r="A3665" s="24" t="n"/>
      <c r="B3665" s="27" t="n"/>
      <c r="C3665" s="24" t="n"/>
      <c r="D3665" s="28" t="n"/>
      <c r="E3665" s="29" t="n"/>
      <c r="F3665" s="24" t="n"/>
      <c r="G3665" s="24" t="n"/>
      <c r="H3665" s="21">
        <f>IF(ISNUMBER($B3665),INT($B3665)-WEEKDAY($B3665,2)+1,"")</f>
        <v/>
      </c>
      <c r="I3665" s="24" t="n"/>
      <c r="J3665" s="22">
        <f t="array" ref="J3665">IF($D3665="","",IF($I3665="","(trống REF)",IFERROR(INDEX(MASTER_SOURCE!$B$2:$B$495,MATCH($I3665,MASTER_SOURCE!$A$2:$A$495,0)),"(REF không có trong MASTER_SOURCE)")))</f>
        <v/>
      </c>
      <c r="K3665" s="22">
        <f t="array" ref="K3665">IF($D3665="","",IFERROR(INDEX(MASTER_SOURCE!$C$2:$C$495,MATCH($I3665,MASTER_SOURCE!$A$2:$A$495,0)),""))</f>
        <v/>
      </c>
      <c r="L3665" s="22">
        <f t="array" ref="L3665">IF($D3665="","",IFERROR(INDEX(MASTER_SOURCE!$D$2:$D$495,MATCH($I3665,MASTER_SOURCE!$A$2:$A$495,0)),""))</f>
        <v/>
      </c>
      <c r="M3665" s="24" t="n"/>
      <c r="N3665" s="24" t="n"/>
      <c r="O3665" s="24" t="n"/>
      <c r="P3665" s="24" t="n"/>
      <c r="Q3665" s="22">
        <f>IF($D3665="","",IF(AND(OR(DANH_MUC!$L$5&lt;&gt;"Có",M3665="Có"),OR(DANH_MUC!$L$6&lt;&gt;"Có",N3665="Có"),OR(DANH_MUC!$L$7&lt;&gt;"Có",O3665="Có"),OR(DANH_MUC!$L$8&lt;&gt;"Có",P3665="Có")),"Có","Không"))</f>
        <v/>
      </c>
      <c r="R3665" s="22">
        <f>IF($D3665="","",IF(COUNTIF($D$2:$D3665,$D3665)&gt;1,"Trùng",""))</f>
        <v/>
      </c>
      <c r="S3665" s="22">
        <f>IF($D3665="","",IF(AND(LEN($D3665)=10,LEFT($D3665,1)="0",ISNUMBER(--$D3665)),"Có","Không"))</f>
        <v/>
      </c>
      <c r="T3665" s="22">
        <f>IF($D3665="","",IF(AND($C3665&lt;&gt;"",$Q3665="Có",$R3665="",$S3665="Có",AND($L3665&lt;&gt;"",OR($L3665&lt;&gt;"Chưa xác định",DANH_MUC!$L$9="Có"))),"Có","Không"))</f>
        <v/>
      </c>
      <c r="U3665" s="22">
        <f>IF(OR($D3665="",$T3665="Có"),"",IF($C3665="","Thiếu họ tên; ","")&amp;IF($S3665&lt;&gt;"Có","SĐT sai định dạng; ","")&amp;IF($R3665="Trùng","Trùng SĐT; ","")&amp;IF($Q3665&lt;&gt;"Có","Thiếu đồng ý bắt buộc; ","")&amp;IF($L3665="","Thiếu/sai Mã REF; ",IF(AND($L3665="Chưa xác định",DANH_MUC!$L$9&lt;&gt;"Có"),"Nguồn chưa xác định; ","")))</f>
        <v/>
      </c>
      <c r="V3665" s="22">
        <f>IF(OR($D3665="",$R3665="Trùng"),"",IF(COUNTIF(ORDERS!$C$2:$C$4995,$D3665)&gt;0,"Có","Không"))</f>
        <v/>
      </c>
      <c r="W3665" s="22">
        <f>IF(OR($D3665="",$R3665="Trùng"),"",COUNTIFS(ORDERS!$C$2:$C$4995,$D3665,ORDERS!$L$2:$L$4995,"Đã chuyển khoản"))</f>
        <v/>
      </c>
      <c r="X3665" s="23">
        <f>IF(OR($D3665="",$R3665="Trùng"),"",SUMIFS(ORDERS!$J$2:$J$4995,ORDERS!$C$2:$C$4995,$D3665,ORDERS!$L$2:$L$4995,"Đã chuyển khoản"))</f>
        <v/>
      </c>
      <c r="Y3665" s="24" t="n"/>
    </row>
    <row r="3666" ht="14.25" customHeight="1" s="40">
      <c r="A3666" s="24" t="n"/>
      <c r="B3666" s="27" t="n"/>
      <c r="C3666" s="24" t="n"/>
      <c r="D3666" s="28" t="n"/>
      <c r="E3666" s="29" t="n"/>
      <c r="F3666" s="24" t="n"/>
      <c r="G3666" s="24" t="n"/>
      <c r="H3666" s="21">
        <f>IF(ISNUMBER($B3666),INT($B3666)-WEEKDAY($B3666,2)+1,"")</f>
        <v/>
      </c>
      <c r="I3666" s="24" t="n"/>
      <c r="J3666" s="22">
        <f t="array" ref="J3666">IF($D3666="","",IF($I3666="","(trống REF)",IFERROR(INDEX(MASTER_SOURCE!$B$2:$B$495,MATCH($I3666,MASTER_SOURCE!$A$2:$A$495,0)),"(REF không có trong MASTER_SOURCE)")))</f>
        <v/>
      </c>
      <c r="K3666" s="22">
        <f t="array" ref="K3666">IF($D3666="","",IFERROR(INDEX(MASTER_SOURCE!$C$2:$C$495,MATCH($I3666,MASTER_SOURCE!$A$2:$A$495,0)),""))</f>
        <v/>
      </c>
      <c r="L3666" s="22">
        <f t="array" ref="L3666">IF($D3666="","",IFERROR(INDEX(MASTER_SOURCE!$D$2:$D$495,MATCH($I3666,MASTER_SOURCE!$A$2:$A$495,0)),""))</f>
        <v/>
      </c>
      <c r="M3666" s="24" t="n"/>
      <c r="N3666" s="24" t="n"/>
      <c r="O3666" s="24" t="n"/>
      <c r="P3666" s="24" t="n"/>
      <c r="Q3666" s="22">
        <f>IF($D3666="","",IF(AND(OR(DANH_MUC!$L$5&lt;&gt;"Có",M3666="Có"),OR(DANH_MUC!$L$6&lt;&gt;"Có",N3666="Có"),OR(DANH_MUC!$L$7&lt;&gt;"Có",O3666="Có"),OR(DANH_MUC!$L$8&lt;&gt;"Có",P3666="Có")),"Có","Không"))</f>
        <v/>
      </c>
      <c r="R3666" s="22">
        <f>IF($D3666="","",IF(COUNTIF($D$2:$D3666,$D3666)&gt;1,"Trùng",""))</f>
        <v/>
      </c>
      <c r="S3666" s="22">
        <f>IF($D3666="","",IF(AND(LEN($D3666)=10,LEFT($D3666,1)="0",ISNUMBER(--$D3666)),"Có","Không"))</f>
        <v/>
      </c>
      <c r="T3666" s="22">
        <f>IF($D3666="","",IF(AND($C3666&lt;&gt;"",$Q3666="Có",$R3666="",$S3666="Có",AND($L3666&lt;&gt;"",OR($L3666&lt;&gt;"Chưa xác định",DANH_MUC!$L$9="Có"))),"Có","Không"))</f>
        <v/>
      </c>
      <c r="U3666" s="22">
        <f>IF(OR($D3666="",$T3666="Có"),"",IF($C3666="","Thiếu họ tên; ","")&amp;IF($S3666&lt;&gt;"Có","SĐT sai định dạng; ","")&amp;IF($R3666="Trùng","Trùng SĐT; ","")&amp;IF($Q3666&lt;&gt;"Có","Thiếu đồng ý bắt buộc; ","")&amp;IF($L3666="","Thiếu/sai Mã REF; ",IF(AND($L3666="Chưa xác định",DANH_MUC!$L$9&lt;&gt;"Có"),"Nguồn chưa xác định; ","")))</f>
        <v/>
      </c>
      <c r="V3666" s="22">
        <f>IF(OR($D3666="",$R3666="Trùng"),"",IF(COUNTIF(ORDERS!$C$2:$C$4995,$D3666)&gt;0,"Có","Không"))</f>
        <v/>
      </c>
      <c r="W3666" s="22">
        <f>IF(OR($D3666="",$R3666="Trùng"),"",COUNTIFS(ORDERS!$C$2:$C$4995,$D3666,ORDERS!$L$2:$L$4995,"Đã chuyển khoản"))</f>
        <v/>
      </c>
      <c r="X3666" s="23">
        <f>IF(OR($D3666="",$R3666="Trùng"),"",SUMIFS(ORDERS!$J$2:$J$4995,ORDERS!$C$2:$C$4995,$D3666,ORDERS!$L$2:$L$4995,"Đã chuyển khoản"))</f>
        <v/>
      </c>
      <c r="Y3666" s="24" t="n"/>
    </row>
    <row r="3667" ht="14.25" customHeight="1" s="40">
      <c r="A3667" s="24" t="n"/>
      <c r="B3667" s="27" t="n"/>
      <c r="C3667" s="24" t="n"/>
      <c r="D3667" s="28" t="n"/>
      <c r="E3667" s="29" t="n"/>
      <c r="F3667" s="24" t="n"/>
      <c r="G3667" s="24" t="n"/>
      <c r="H3667" s="21">
        <f>IF(ISNUMBER($B3667),INT($B3667)-WEEKDAY($B3667,2)+1,"")</f>
        <v/>
      </c>
      <c r="I3667" s="24" t="n"/>
      <c r="J3667" s="22">
        <f t="array" ref="J3667">IF($D3667="","",IF($I3667="","(trống REF)",IFERROR(INDEX(MASTER_SOURCE!$B$2:$B$495,MATCH($I3667,MASTER_SOURCE!$A$2:$A$495,0)),"(REF không có trong MASTER_SOURCE)")))</f>
        <v/>
      </c>
      <c r="K3667" s="22">
        <f t="array" ref="K3667">IF($D3667="","",IFERROR(INDEX(MASTER_SOURCE!$C$2:$C$495,MATCH($I3667,MASTER_SOURCE!$A$2:$A$495,0)),""))</f>
        <v/>
      </c>
      <c r="L3667" s="22">
        <f t="array" ref="L3667">IF($D3667="","",IFERROR(INDEX(MASTER_SOURCE!$D$2:$D$495,MATCH($I3667,MASTER_SOURCE!$A$2:$A$495,0)),""))</f>
        <v/>
      </c>
      <c r="M3667" s="24" t="n"/>
      <c r="N3667" s="24" t="n"/>
      <c r="O3667" s="24" t="n"/>
      <c r="P3667" s="24" t="n"/>
      <c r="Q3667" s="22">
        <f>IF($D3667="","",IF(AND(OR(DANH_MUC!$L$5&lt;&gt;"Có",M3667="Có"),OR(DANH_MUC!$L$6&lt;&gt;"Có",N3667="Có"),OR(DANH_MUC!$L$7&lt;&gt;"Có",O3667="Có"),OR(DANH_MUC!$L$8&lt;&gt;"Có",P3667="Có")),"Có","Không"))</f>
        <v/>
      </c>
      <c r="R3667" s="22">
        <f>IF($D3667="","",IF(COUNTIF($D$2:$D3667,$D3667)&gt;1,"Trùng",""))</f>
        <v/>
      </c>
      <c r="S3667" s="22">
        <f>IF($D3667="","",IF(AND(LEN($D3667)=10,LEFT($D3667,1)="0",ISNUMBER(--$D3667)),"Có","Không"))</f>
        <v/>
      </c>
      <c r="T3667" s="22">
        <f>IF($D3667="","",IF(AND($C3667&lt;&gt;"",$Q3667="Có",$R3667="",$S3667="Có",AND($L3667&lt;&gt;"",OR($L3667&lt;&gt;"Chưa xác định",DANH_MUC!$L$9="Có"))),"Có","Không"))</f>
        <v/>
      </c>
      <c r="U3667" s="22">
        <f>IF(OR($D3667="",$T3667="Có"),"",IF($C3667="","Thiếu họ tên; ","")&amp;IF($S3667&lt;&gt;"Có","SĐT sai định dạng; ","")&amp;IF($R3667="Trùng","Trùng SĐT; ","")&amp;IF($Q3667&lt;&gt;"Có","Thiếu đồng ý bắt buộc; ","")&amp;IF($L3667="","Thiếu/sai Mã REF; ",IF(AND($L3667="Chưa xác định",DANH_MUC!$L$9&lt;&gt;"Có"),"Nguồn chưa xác định; ","")))</f>
        <v/>
      </c>
      <c r="V3667" s="22">
        <f>IF(OR($D3667="",$R3667="Trùng"),"",IF(COUNTIF(ORDERS!$C$2:$C$4995,$D3667)&gt;0,"Có","Không"))</f>
        <v/>
      </c>
      <c r="W3667" s="22">
        <f>IF(OR($D3667="",$R3667="Trùng"),"",COUNTIFS(ORDERS!$C$2:$C$4995,$D3667,ORDERS!$L$2:$L$4995,"Đã chuyển khoản"))</f>
        <v/>
      </c>
      <c r="X3667" s="23">
        <f>IF(OR($D3667="",$R3667="Trùng"),"",SUMIFS(ORDERS!$J$2:$J$4995,ORDERS!$C$2:$C$4995,$D3667,ORDERS!$L$2:$L$4995,"Đã chuyển khoản"))</f>
        <v/>
      </c>
      <c r="Y3667" s="24" t="n"/>
    </row>
    <row r="3668" ht="14.25" customHeight="1" s="40">
      <c r="A3668" s="24" t="n"/>
      <c r="B3668" s="27" t="n"/>
      <c r="C3668" s="24" t="n"/>
      <c r="D3668" s="28" t="n"/>
      <c r="E3668" s="29" t="n"/>
      <c r="F3668" s="24" t="n"/>
      <c r="G3668" s="24" t="n"/>
      <c r="H3668" s="21">
        <f>IF(ISNUMBER($B3668),INT($B3668)-WEEKDAY($B3668,2)+1,"")</f>
        <v/>
      </c>
      <c r="I3668" s="24" t="n"/>
      <c r="J3668" s="22">
        <f t="array" ref="J3668">IF($D3668="","",IF($I3668="","(trống REF)",IFERROR(INDEX(MASTER_SOURCE!$B$2:$B$495,MATCH($I3668,MASTER_SOURCE!$A$2:$A$495,0)),"(REF không có trong MASTER_SOURCE)")))</f>
        <v/>
      </c>
      <c r="K3668" s="22">
        <f t="array" ref="K3668">IF($D3668="","",IFERROR(INDEX(MASTER_SOURCE!$C$2:$C$495,MATCH($I3668,MASTER_SOURCE!$A$2:$A$495,0)),""))</f>
        <v/>
      </c>
      <c r="L3668" s="22">
        <f t="array" ref="L3668">IF($D3668="","",IFERROR(INDEX(MASTER_SOURCE!$D$2:$D$495,MATCH($I3668,MASTER_SOURCE!$A$2:$A$495,0)),""))</f>
        <v/>
      </c>
      <c r="M3668" s="24" t="n"/>
      <c r="N3668" s="24" t="n"/>
      <c r="O3668" s="24" t="n"/>
      <c r="P3668" s="24" t="n"/>
      <c r="Q3668" s="22">
        <f>IF($D3668="","",IF(AND(OR(DANH_MUC!$L$5&lt;&gt;"Có",M3668="Có"),OR(DANH_MUC!$L$6&lt;&gt;"Có",N3668="Có"),OR(DANH_MUC!$L$7&lt;&gt;"Có",O3668="Có"),OR(DANH_MUC!$L$8&lt;&gt;"Có",P3668="Có")),"Có","Không"))</f>
        <v/>
      </c>
      <c r="R3668" s="22">
        <f>IF($D3668="","",IF(COUNTIF($D$2:$D3668,$D3668)&gt;1,"Trùng",""))</f>
        <v/>
      </c>
      <c r="S3668" s="22">
        <f>IF($D3668="","",IF(AND(LEN($D3668)=10,LEFT($D3668,1)="0",ISNUMBER(--$D3668)),"Có","Không"))</f>
        <v/>
      </c>
      <c r="T3668" s="22">
        <f>IF($D3668="","",IF(AND($C3668&lt;&gt;"",$Q3668="Có",$R3668="",$S3668="Có",AND($L3668&lt;&gt;"",OR($L3668&lt;&gt;"Chưa xác định",DANH_MUC!$L$9="Có"))),"Có","Không"))</f>
        <v/>
      </c>
      <c r="U3668" s="22">
        <f>IF(OR($D3668="",$T3668="Có"),"",IF($C3668="","Thiếu họ tên; ","")&amp;IF($S3668&lt;&gt;"Có","SĐT sai định dạng; ","")&amp;IF($R3668="Trùng","Trùng SĐT; ","")&amp;IF($Q3668&lt;&gt;"Có","Thiếu đồng ý bắt buộc; ","")&amp;IF($L3668="","Thiếu/sai Mã REF; ",IF(AND($L3668="Chưa xác định",DANH_MUC!$L$9&lt;&gt;"Có"),"Nguồn chưa xác định; ","")))</f>
        <v/>
      </c>
      <c r="V3668" s="22">
        <f>IF(OR($D3668="",$R3668="Trùng"),"",IF(COUNTIF(ORDERS!$C$2:$C$4995,$D3668)&gt;0,"Có","Không"))</f>
        <v/>
      </c>
      <c r="W3668" s="22">
        <f>IF(OR($D3668="",$R3668="Trùng"),"",COUNTIFS(ORDERS!$C$2:$C$4995,$D3668,ORDERS!$L$2:$L$4995,"Đã chuyển khoản"))</f>
        <v/>
      </c>
      <c r="X3668" s="23">
        <f>IF(OR($D3668="",$R3668="Trùng"),"",SUMIFS(ORDERS!$J$2:$J$4995,ORDERS!$C$2:$C$4995,$D3668,ORDERS!$L$2:$L$4995,"Đã chuyển khoản"))</f>
        <v/>
      </c>
      <c r="Y3668" s="24" t="n"/>
    </row>
    <row r="3669" ht="14.25" customHeight="1" s="40">
      <c r="A3669" s="24" t="n"/>
      <c r="B3669" s="27" t="n"/>
      <c r="C3669" s="24" t="n"/>
      <c r="D3669" s="28" t="n"/>
      <c r="E3669" s="29" t="n"/>
      <c r="F3669" s="24" t="n"/>
      <c r="G3669" s="24" t="n"/>
      <c r="H3669" s="21">
        <f>IF(ISNUMBER($B3669),INT($B3669)-WEEKDAY($B3669,2)+1,"")</f>
        <v/>
      </c>
      <c r="I3669" s="24" t="n"/>
      <c r="J3669" s="22">
        <f t="array" ref="J3669">IF($D3669="","",IF($I3669="","(trống REF)",IFERROR(INDEX(MASTER_SOURCE!$B$2:$B$495,MATCH($I3669,MASTER_SOURCE!$A$2:$A$495,0)),"(REF không có trong MASTER_SOURCE)")))</f>
        <v/>
      </c>
      <c r="K3669" s="22">
        <f t="array" ref="K3669">IF($D3669="","",IFERROR(INDEX(MASTER_SOURCE!$C$2:$C$495,MATCH($I3669,MASTER_SOURCE!$A$2:$A$495,0)),""))</f>
        <v/>
      </c>
      <c r="L3669" s="22">
        <f t="array" ref="L3669">IF($D3669="","",IFERROR(INDEX(MASTER_SOURCE!$D$2:$D$495,MATCH($I3669,MASTER_SOURCE!$A$2:$A$495,0)),""))</f>
        <v/>
      </c>
      <c r="M3669" s="24" t="n"/>
      <c r="N3669" s="24" t="n"/>
      <c r="O3669" s="24" t="n"/>
      <c r="P3669" s="24" t="n"/>
      <c r="Q3669" s="22">
        <f>IF($D3669="","",IF(AND(OR(DANH_MUC!$L$5&lt;&gt;"Có",M3669="Có"),OR(DANH_MUC!$L$6&lt;&gt;"Có",N3669="Có"),OR(DANH_MUC!$L$7&lt;&gt;"Có",O3669="Có"),OR(DANH_MUC!$L$8&lt;&gt;"Có",P3669="Có")),"Có","Không"))</f>
        <v/>
      </c>
      <c r="R3669" s="22">
        <f>IF($D3669="","",IF(COUNTIF($D$2:$D3669,$D3669)&gt;1,"Trùng",""))</f>
        <v/>
      </c>
      <c r="S3669" s="22">
        <f>IF($D3669="","",IF(AND(LEN($D3669)=10,LEFT($D3669,1)="0",ISNUMBER(--$D3669)),"Có","Không"))</f>
        <v/>
      </c>
      <c r="T3669" s="22">
        <f>IF($D3669="","",IF(AND($C3669&lt;&gt;"",$Q3669="Có",$R3669="",$S3669="Có",AND($L3669&lt;&gt;"",OR($L3669&lt;&gt;"Chưa xác định",DANH_MUC!$L$9="Có"))),"Có","Không"))</f>
        <v/>
      </c>
      <c r="U3669" s="22">
        <f>IF(OR($D3669="",$T3669="Có"),"",IF($C3669="","Thiếu họ tên; ","")&amp;IF($S3669&lt;&gt;"Có","SĐT sai định dạng; ","")&amp;IF($R3669="Trùng","Trùng SĐT; ","")&amp;IF($Q3669&lt;&gt;"Có","Thiếu đồng ý bắt buộc; ","")&amp;IF($L3669="","Thiếu/sai Mã REF; ",IF(AND($L3669="Chưa xác định",DANH_MUC!$L$9&lt;&gt;"Có"),"Nguồn chưa xác định; ","")))</f>
        <v/>
      </c>
      <c r="V3669" s="22">
        <f>IF(OR($D3669="",$R3669="Trùng"),"",IF(COUNTIF(ORDERS!$C$2:$C$4995,$D3669)&gt;0,"Có","Không"))</f>
        <v/>
      </c>
      <c r="W3669" s="22">
        <f>IF(OR($D3669="",$R3669="Trùng"),"",COUNTIFS(ORDERS!$C$2:$C$4995,$D3669,ORDERS!$L$2:$L$4995,"Đã chuyển khoản"))</f>
        <v/>
      </c>
      <c r="X3669" s="23">
        <f>IF(OR($D3669="",$R3669="Trùng"),"",SUMIFS(ORDERS!$J$2:$J$4995,ORDERS!$C$2:$C$4995,$D3669,ORDERS!$L$2:$L$4995,"Đã chuyển khoản"))</f>
        <v/>
      </c>
      <c r="Y3669" s="24" t="n"/>
    </row>
    <row r="3670" ht="14.25" customHeight="1" s="40">
      <c r="A3670" s="24" t="n"/>
      <c r="B3670" s="27" t="n"/>
      <c r="C3670" s="24" t="n"/>
      <c r="D3670" s="28" t="n"/>
      <c r="E3670" s="29" t="n"/>
      <c r="F3670" s="24" t="n"/>
      <c r="G3670" s="24" t="n"/>
      <c r="H3670" s="21">
        <f>IF(ISNUMBER($B3670),INT($B3670)-WEEKDAY($B3670,2)+1,"")</f>
        <v/>
      </c>
      <c r="I3670" s="24" t="n"/>
      <c r="J3670" s="22">
        <f t="array" ref="J3670">IF($D3670="","",IF($I3670="","(trống REF)",IFERROR(INDEX(MASTER_SOURCE!$B$2:$B$495,MATCH($I3670,MASTER_SOURCE!$A$2:$A$495,0)),"(REF không có trong MASTER_SOURCE)")))</f>
        <v/>
      </c>
      <c r="K3670" s="22">
        <f t="array" ref="K3670">IF($D3670="","",IFERROR(INDEX(MASTER_SOURCE!$C$2:$C$495,MATCH($I3670,MASTER_SOURCE!$A$2:$A$495,0)),""))</f>
        <v/>
      </c>
      <c r="L3670" s="22">
        <f t="array" ref="L3670">IF($D3670="","",IFERROR(INDEX(MASTER_SOURCE!$D$2:$D$495,MATCH($I3670,MASTER_SOURCE!$A$2:$A$495,0)),""))</f>
        <v/>
      </c>
      <c r="M3670" s="24" t="n"/>
      <c r="N3670" s="24" t="n"/>
      <c r="O3670" s="24" t="n"/>
      <c r="P3670" s="24" t="n"/>
      <c r="Q3670" s="22">
        <f>IF($D3670="","",IF(AND(OR(DANH_MUC!$L$5&lt;&gt;"Có",M3670="Có"),OR(DANH_MUC!$L$6&lt;&gt;"Có",N3670="Có"),OR(DANH_MUC!$L$7&lt;&gt;"Có",O3670="Có"),OR(DANH_MUC!$L$8&lt;&gt;"Có",P3670="Có")),"Có","Không"))</f>
        <v/>
      </c>
      <c r="R3670" s="22">
        <f>IF($D3670="","",IF(COUNTIF($D$2:$D3670,$D3670)&gt;1,"Trùng",""))</f>
        <v/>
      </c>
      <c r="S3670" s="22">
        <f>IF($D3670="","",IF(AND(LEN($D3670)=10,LEFT($D3670,1)="0",ISNUMBER(--$D3670)),"Có","Không"))</f>
        <v/>
      </c>
      <c r="T3670" s="22">
        <f>IF($D3670="","",IF(AND($C3670&lt;&gt;"",$Q3670="Có",$R3670="",$S3670="Có",AND($L3670&lt;&gt;"",OR($L3670&lt;&gt;"Chưa xác định",DANH_MUC!$L$9="Có"))),"Có","Không"))</f>
        <v/>
      </c>
      <c r="U3670" s="22">
        <f>IF(OR($D3670="",$T3670="Có"),"",IF($C3670="","Thiếu họ tên; ","")&amp;IF($S3670&lt;&gt;"Có","SĐT sai định dạng; ","")&amp;IF($R3670="Trùng","Trùng SĐT; ","")&amp;IF($Q3670&lt;&gt;"Có","Thiếu đồng ý bắt buộc; ","")&amp;IF($L3670="","Thiếu/sai Mã REF; ",IF(AND($L3670="Chưa xác định",DANH_MUC!$L$9&lt;&gt;"Có"),"Nguồn chưa xác định; ","")))</f>
        <v/>
      </c>
      <c r="V3670" s="22">
        <f>IF(OR($D3670="",$R3670="Trùng"),"",IF(COUNTIF(ORDERS!$C$2:$C$4995,$D3670)&gt;0,"Có","Không"))</f>
        <v/>
      </c>
      <c r="W3670" s="22">
        <f>IF(OR($D3670="",$R3670="Trùng"),"",COUNTIFS(ORDERS!$C$2:$C$4995,$D3670,ORDERS!$L$2:$L$4995,"Đã chuyển khoản"))</f>
        <v/>
      </c>
      <c r="X3670" s="23">
        <f>IF(OR($D3670="",$R3670="Trùng"),"",SUMIFS(ORDERS!$J$2:$J$4995,ORDERS!$C$2:$C$4995,$D3670,ORDERS!$L$2:$L$4995,"Đã chuyển khoản"))</f>
        <v/>
      </c>
      <c r="Y3670" s="24" t="n"/>
    </row>
    <row r="3671" ht="14.25" customHeight="1" s="40">
      <c r="A3671" s="24" t="n"/>
      <c r="B3671" s="27" t="n"/>
      <c r="C3671" s="24" t="n"/>
      <c r="D3671" s="28" t="n"/>
      <c r="E3671" s="29" t="n"/>
      <c r="F3671" s="24" t="n"/>
      <c r="G3671" s="24" t="n"/>
      <c r="H3671" s="21">
        <f>IF(ISNUMBER($B3671),INT($B3671)-WEEKDAY($B3671,2)+1,"")</f>
        <v/>
      </c>
      <c r="I3671" s="24" t="n"/>
      <c r="J3671" s="22">
        <f t="array" ref="J3671">IF($D3671="","",IF($I3671="","(trống REF)",IFERROR(INDEX(MASTER_SOURCE!$B$2:$B$495,MATCH($I3671,MASTER_SOURCE!$A$2:$A$495,0)),"(REF không có trong MASTER_SOURCE)")))</f>
        <v/>
      </c>
      <c r="K3671" s="22">
        <f t="array" ref="K3671">IF($D3671="","",IFERROR(INDEX(MASTER_SOURCE!$C$2:$C$495,MATCH($I3671,MASTER_SOURCE!$A$2:$A$495,0)),""))</f>
        <v/>
      </c>
      <c r="L3671" s="22">
        <f t="array" ref="L3671">IF($D3671="","",IFERROR(INDEX(MASTER_SOURCE!$D$2:$D$495,MATCH($I3671,MASTER_SOURCE!$A$2:$A$495,0)),""))</f>
        <v/>
      </c>
      <c r="M3671" s="24" t="n"/>
      <c r="N3671" s="24" t="n"/>
      <c r="O3671" s="24" t="n"/>
      <c r="P3671" s="24" t="n"/>
      <c r="Q3671" s="22">
        <f>IF($D3671="","",IF(AND(OR(DANH_MUC!$L$5&lt;&gt;"Có",M3671="Có"),OR(DANH_MUC!$L$6&lt;&gt;"Có",N3671="Có"),OR(DANH_MUC!$L$7&lt;&gt;"Có",O3671="Có"),OR(DANH_MUC!$L$8&lt;&gt;"Có",P3671="Có")),"Có","Không"))</f>
        <v/>
      </c>
      <c r="R3671" s="22">
        <f>IF($D3671="","",IF(COUNTIF($D$2:$D3671,$D3671)&gt;1,"Trùng",""))</f>
        <v/>
      </c>
      <c r="S3671" s="22">
        <f>IF($D3671="","",IF(AND(LEN($D3671)=10,LEFT($D3671,1)="0",ISNUMBER(--$D3671)),"Có","Không"))</f>
        <v/>
      </c>
      <c r="T3671" s="22">
        <f>IF($D3671="","",IF(AND($C3671&lt;&gt;"",$Q3671="Có",$R3671="",$S3671="Có",AND($L3671&lt;&gt;"",OR($L3671&lt;&gt;"Chưa xác định",DANH_MUC!$L$9="Có"))),"Có","Không"))</f>
        <v/>
      </c>
      <c r="U3671" s="22">
        <f>IF(OR($D3671="",$T3671="Có"),"",IF($C3671="","Thiếu họ tên; ","")&amp;IF($S3671&lt;&gt;"Có","SĐT sai định dạng; ","")&amp;IF($R3671="Trùng","Trùng SĐT; ","")&amp;IF($Q3671&lt;&gt;"Có","Thiếu đồng ý bắt buộc; ","")&amp;IF($L3671="","Thiếu/sai Mã REF; ",IF(AND($L3671="Chưa xác định",DANH_MUC!$L$9&lt;&gt;"Có"),"Nguồn chưa xác định; ","")))</f>
        <v/>
      </c>
      <c r="V3671" s="22">
        <f>IF(OR($D3671="",$R3671="Trùng"),"",IF(COUNTIF(ORDERS!$C$2:$C$4995,$D3671)&gt;0,"Có","Không"))</f>
        <v/>
      </c>
      <c r="W3671" s="22">
        <f>IF(OR($D3671="",$R3671="Trùng"),"",COUNTIFS(ORDERS!$C$2:$C$4995,$D3671,ORDERS!$L$2:$L$4995,"Đã chuyển khoản"))</f>
        <v/>
      </c>
      <c r="X3671" s="23">
        <f>IF(OR($D3671="",$R3671="Trùng"),"",SUMIFS(ORDERS!$J$2:$J$4995,ORDERS!$C$2:$C$4995,$D3671,ORDERS!$L$2:$L$4995,"Đã chuyển khoản"))</f>
        <v/>
      </c>
      <c r="Y3671" s="24" t="n"/>
    </row>
    <row r="3672" ht="14.25" customHeight="1" s="40">
      <c r="A3672" s="24" t="n"/>
      <c r="B3672" s="27" t="n"/>
      <c r="C3672" s="24" t="n"/>
      <c r="D3672" s="28" t="n"/>
      <c r="E3672" s="29" t="n"/>
      <c r="F3672" s="24" t="n"/>
      <c r="G3672" s="24" t="n"/>
      <c r="H3672" s="21">
        <f>IF(ISNUMBER($B3672),INT($B3672)-WEEKDAY($B3672,2)+1,"")</f>
        <v/>
      </c>
      <c r="I3672" s="24" t="n"/>
      <c r="J3672" s="22">
        <f t="array" ref="J3672">IF($D3672="","",IF($I3672="","(trống REF)",IFERROR(INDEX(MASTER_SOURCE!$B$2:$B$495,MATCH($I3672,MASTER_SOURCE!$A$2:$A$495,0)),"(REF không có trong MASTER_SOURCE)")))</f>
        <v/>
      </c>
      <c r="K3672" s="22">
        <f t="array" ref="K3672">IF($D3672="","",IFERROR(INDEX(MASTER_SOURCE!$C$2:$C$495,MATCH($I3672,MASTER_SOURCE!$A$2:$A$495,0)),""))</f>
        <v/>
      </c>
      <c r="L3672" s="22">
        <f t="array" ref="L3672">IF($D3672="","",IFERROR(INDEX(MASTER_SOURCE!$D$2:$D$495,MATCH($I3672,MASTER_SOURCE!$A$2:$A$495,0)),""))</f>
        <v/>
      </c>
      <c r="M3672" s="24" t="n"/>
      <c r="N3672" s="24" t="n"/>
      <c r="O3672" s="24" t="n"/>
      <c r="P3672" s="24" t="n"/>
      <c r="Q3672" s="22">
        <f>IF($D3672="","",IF(AND(OR(DANH_MUC!$L$5&lt;&gt;"Có",M3672="Có"),OR(DANH_MUC!$L$6&lt;&gt;"Có",N3672="Có"),OR(DANH_MUC!$L$7&lt;&gt;"Có",O3672="Có"),OR(DANH_MUC!$L$8&lt;&gt;"Có",P3672="Có")),"Có","Không"))</f>
        <v/>
      </c>
      <c r="R3672" s="22">
        <f>IF($D3672="","",IF(COUNTIF($D$2:$D3672,$D3672)&gt;1,"Trùng",""))</f>
        <v/>
      </c>
      <c r="S3672" s="22">
        <f>IF($D3672="","",IF(AND(LEN($D3672)=10,LEFT($D3672,1)="0",ISNUMBER(--$D3672)),"Có","Không"))</f>
        <v/>
      </c>
      <c r="T3672" s="22">
        <f>IF($D3672="","",IF(AND($C3672&lt;&gt;"",$Q3672="Có",$R3672="",$S3672="Có",AND($L3672&lt;&gt;"",OR($L3672&lt;&gt;"Chưa xác định",DANH_MUC!$L$9="Có"))),"Có","Không"))</f>
        <v/>
      </c>
      <c r="U3672" s="22">
        <f>IF(OR($D3672="",$T3672="Có"),"",IF($C3672="","Thiếu họ tên; ","")&amp;IF($S3672&lt;&gt;"Có","SĐT sai định dạng; ","")&amp;IF($R3672="Trùng","Trùng SĐT; ","")&amp;IF($Q3672&lt;&gt;"Có","Thiếu đồng ý bắt buộc; ","")&amp;IF($L3672="","Thiếu/sai Mã REF; ",IF(AND($L3672="Chưa xác định",DANH_MUC!$L$9&lt;&gt;"Có"),"Nguồn chưa xác định; ","")))</f>
        <v/>
      </c>
      <c r="V3672" s="22">
        <f>IF(OR($D3672="",$R3672="Trùng"),"",IF(COUNTIF(ORDERS!$C$2:$C$4995,$D3672)&gt;0,"Có","Không"))</f>
        <v/>
      </c>
      <c r="W3672" s="22">
        <f>IF(OR($D3672="",$R3672="Trùng"),"",COUNTIFS(ORDERS!$C$2:$C$4995,$D3672,ORDERS!$L$2:$L$4995,"Đã chuyển khoản"))</f>
        <v/>
      </c>
      <c r="X3672" s="23">
        <f>IF(OR($D3672="",$R3672="Trùng"),"",SUMIFS(ORDERS!$J$2:$J$4995,ORDERS!$C$2:$C$4995,$D3672,ORDERS!$L$2:$L$4995,"Đã chuyển khoản"))</f>
        <v/>
      </c>
      <c r="Y3672" s="24" t="n"/>
    </row>
    <row r="3673" ht="14.25" customHeight="1" s="40">
      <c r="A3673" s="24" t="n"/>
      <c r="B3673" s="27" t="n"/>
      <c r="C3673" s="24" t="n"/>
      <c r="D3673" s="28" t="n"/>
      <c r="E3673" s="29" t="n"/>
      <c r="F3673" s="24" t="n"/>
      <c r="G3673" s="24" t="n"/>
      <c r="H3673" s="21">
        <f>IF(ISNUMBER($B3673),INT($B3673)-WEEKDAY($B3673,2)+1,"")</f>
        <v/>
      </c>
      <c r="I3673" s="24" t="n"/>
      <c r="J3673" s="22">
        <f t="array" ref="J3673">IF($D3673="","",IF($I3673="","(trống REF)",IFERROR(INDEX(MASTER_SOURCE!$B$2:$B$495,MATCH($I3673,MASTER_SOURCE!$A$2:$A$495,0)),"(REF không có trong MASTER_SOURCE)")))</f>
        <v/>
      </c>
      <c r="K3673" s="22">
        <f t="array" ref="K3673">IF($D3673="","",IFERROR(INDEX(MASTER_SOURCE!$C$2:$C$495,MATCH($I3673,MASTER_SOURCE!$A$2:$A$495,0)),""))</f>
        <v/>
      </c>
      <c r="L3673" s="22">
        <f t="array" ref="L3673">IF($D3673="","",IFERROR(INDEX(MASTER_SOURCE!$D$2:$D$495,MATCH($I3673,MASTER_SOURCE!$A$2:$A$495,0)),""))</f>
        <v/>
      </c>
      <c r="M3673" s="24" t="n"/>
      <c r="N3673" s="24" t="n"/>
      <c r="O3673" s="24" t="n"/>
      <c r="P3673" s="24" t="n"/>
      <c r="Q3673" s="22">
        <f>IF($D3673="","",IF(AND(OR(DANH_MUC!$L$5&lt;&gt;"Có",M3673="Có"),OR(DANH_MUC!$L$6&lt;&gt;"Có",N3673="Có"),OR(DANH_MUC!$L$7&lt;&gt;"Có",O3673="Có"),OR(DANH_MUC!$L$8&lt;&gt;"Có",P3673="Có")),"Có","Không"))</f>
        <v/>
      </c>
      <c r="R3673" s="22">
        <f>IF($D3673="","",IF(COUNTIF($D$2:$D3673,$D3673)&gt;1,"Trùng",""))</f>
        <v/>
      </c>
      <c r="S3673" s="22">
        <f>IF($D3673="","",IF(AND(LEN($D3673)=10,LEFT($D3673,1)="0",ISNUMBER(--$D3673)),"Có","Không"))</f>
        <v/>
      </c>
      <c r="T3673" s="22">
        <f>IF($D3673="","",IF(AND($C3673&lt;&gt;"",$Q3673="Có",$R3673="",$S3673="Có",AND($L3673&lt;&gt;"",OR($L3673&lt;&gt;"Chưa xác định",DANH_MUC!$L$9="Có"))),"Có","Không"))</f>
        <v/>
      </c>
      <c r="U3673" s="22">
        <f>IF(OR($D3673="",$T3673="Có"),"",IF($C3673="","Thiếu họ tên; ","")&amp;IF($S3673&lt;&gt;"Có","SĐT sai định dạng; ","")&amp;IF($R3673="Trùng","Trùng SĐT; ","")&amp;IF($Q3673&lt;&gt;"Có","Thiếu đồng ý bắt buộc; ","")&amp;IF($L3673="","Thiếu/sai Mã REF; ",IF(AND($L3673="Chưa xác định",DANH_MUC!$L$9&lt;&gt;"Có"),"Nguồn chưa xác định; ","")))</f>
        <v/>
      </c>
      <c r="V3673" s="22">
        <f>IF(OR($D3673="",$R3673="Trùng"),"",IF(COUNTIF(ORDERS!$C$2:$C$4995,$D3673)&gt;0,"Có","Không"))</f>
        <v/>
      </c>
      <c r="W3673" s="22">
        <f>IF(OR($D3673="",$R3673="Trùng"),"",COUNTIFS(ORDERS!$C$2:$C$4995,$D3673,ORDERS!$L$2:$L$4995,"Đã chuyển khoản"))</f>
        <v/>
      </c>
      <c r="X3673" s="23">
        <f>IF(OR($D3673="",$R3673="Trùng"),"",SUMIFS(ORDERS!$J$2:$J$4995,ORDERS!$C$2:$C$4995,$D3673,ORDERS!$L$2:$L$4995,"Đã chuyển khoản"))</f>
        <v/>
      </c>
      <c r="Y3673" s="24" t="n"/>
    </row>
    <row r="3674" ht="14.25" customHeight="1" s="40">
      <c r="A3674" s="24" t="n"/>
      <c r="B3674" s="27" t="n"/>
      <c r="C3674" s="24" t="n"/>
      <c r="D3674" s="28" t="n"/>
      <c r="E3674" s="29" t="n"/>
      <c r="F3674" s="24" t="n"/>
      <c r="G3674" s="24" t="n"/>
      <c r="H3674" s="21">
        <f>IF(ISNUMBER($B3674),INT($B3674)-WEEKDAY($B3674,2)+1,"")</f>
        <v/>
      </c>
      <c r="I3674" s="24" t="n"/>
      <c r="J3674" s="22">
        <f t="array" ref="J3674">IF($D3674="","",IF($I3674="","(trống REF)",IFERROR(INDEX(MASTER_SOURCE!$B$2:$B$495,MATCH($I3674,MASTER_SOURCE!$A$2:$A$495,0)),"(REF không có trong MASTER_SOURCE)")))</f>
        <v/>
      </c>
      <c r="K3674" s="22">
        <f t="array" ref="K3674">IF($D3674="","",IFERROR(INDEX(MASTER_SOURCE!$C$2:$C$495,MATCH($I3674,MASTER_SOURCE!$A$2:$A$495,0)),""))</f>
        <v/>
      </c>
      <c r="L3674" s="22">
        <f t="array" ref="L3674">IF($D3674="","",IFERROR(INDEX(MASTER_SOURCE!$D$2:$D$495,MATCH($I3674,MASTER_SOURCE!$A$2:$A$495,0)),""))</f>
        <v/>
      </c>
      <c r="M3674" s="24" t="n"/>
      <c r="N3674" s="24" t="n"/>
      <c r="O3674" s="24" t="n"/>
      <c r="P3674" s="24" t="n"/>
      <c r="Q3674" s="22">
        <f>IF($D3674="","",IF(AND(OR(DANH_MUC!$L$5&lt;&gt;"Có",M3674="Có"),OR(DANH_MUC!$L$6&lt;&gt;"Có",N3674="Có"),OR(DANH_MUC!$L$7&lt;&gt;"Có",O3674="Có"),OR(DANH_MUC!$L$8&lt;&gt;"Có",P3674="Có")),"Có","Không"))</f>
        <v/>
      </c>
      <c r="R3674" s="22">
        <f>IF($D3674="","",IF(COUNTIF($D$2:$D3674,$D3674)&gt;1,"Trùng",""))</f>
        <v/>
      </c>
      <c r="S3674" s="22">
        <f>IF($D3674="","",IF(AND(LEN($D3674)=10,LEFT($D3674,1)="0",ISNUMBER(--$D3674)),"Có","Không"))</f>
        <v/>
      </c>
      <c r="T3674" s="22">
        <f>IF($D3674="","",IF(AND($C3674&lt;&gt;"",$Q3674="Có",$R3674="",$S3674="Có",AND($L3674&lt;&gt;"",OR($L3674&lt;&gt;"Chưa xác định",DANH_MUC!$L$9="Có"))),"Có","Không"))</f>
        <v/>
      </c>
      <c r="U3674" s="22">
        <f>IF(OR($D3674="",$T3674="Có"),"",IF($C3674="","Thiếu họ tên; ","")&amp;IF($S3674&lt;&gt;"Có","SĐT sai định dạng; ","")&amp;IF($R3674="Trùng","Trùng SĐT; ","")&amp;IF($Q3674&lt;&gt;"Có","Thiếu đồng ý bắt buộc; ","")&amp;IF($L3674="","Thiếu/sai Mã REF; ",IF(AND($L3674="Chưa xác định",DANH_MUC!$L$9&lt;&gt;"Có"),"Nguồn chưa xác định; ","")))</f>
        <v/>
      </c>
      <c r="V3674" s="22">
        <f>IF(OR($D3674="",$R3674="Trùng"),"",IF(COUNTIF(ORDERS!$C$2:$C$4995,$D3674)&gt;0,"Có","Không"))</f>
        <v/>
      </c>
      <c r="W3674" s="22">
        <f>IF(OR($D3674="",$R3674="Trùng"),"",COUNTIFS(ORDERS!$C$2:$C$4995,$D3674,ORDERS!$L$2:$L$4995,"Đã chuyển khoản"))</f>
        <v/>
      </c>
      <c r="X3674" s="23">
        <f>IF(OR($D3674="",$R3674="Trùng"),"",SUMIFS(ORDERS!$J$2:$J$4995,ORDERS!$C$2:$C$4995,$D3674,ORDERS!$L$2:$L$4995,"Đã chuyển khoản"))</f>
        <v/>
      </c>
      <c r="Y3674" s="24" t="n"/>
    </row>
    <row r="3675" ht="14.25" customHeight="1" s="40">
      <c r="A3675" s="24" t="n"/>
      <c r="B3675" s="27" t="n"/>
      <c r="C3675" s="24" t="n"/>
      <c r="D3675" s="28" t="n"/>
      <c r="E3675" s="29" t="n"/>
      <c r="F3675" s="24" t="n"/>
      <c r="G3675" s="24" t="n"/>
      <c r="H3675" s="21">
        <f>IF(ISNUMBER($B3675),INT($B3675)-WEEKDAY($B3675,2)+1,"")</f>
        <v/>
      </c>
      <c r="I3675" s="24" t="n"/>
      <c r="J3675" s="22">
        <f t="array" ref="J3675">IF($D3675="","",IF($I3675="","(trống REF)",IFERROR(INDEX(MASTER_SOURCE!$B$2:$B$495,MATCH($I3675,MASTER_SOURCE!$A$2:$A$495,0)),"(REF không có trong MASTER_SOURCE)")))</f>
        <v/>
      </c>
      <c r="K3675" s="22">
        <f t="array" ref="K3675">IF($D3675="","",IFERROR(INDEX(MASTER_SOURCE!$C$2:$C$495,MATCH($I3675,MASTER_SOURCE!$A$2:$A$495,0)),""))</f>
        <v/>
      </c>
      <c r="L3675" s="22">
        <f t="array" ref="L3675">IF($D3675="","",IFERROR(INDEX(MASTER_SOURCE!$D$2:$D$495,MATCH($I3675,MASTER_SOURCE!$A$2:$A$495,0)),""))</f>
        <v/>
      </c>
      <c r="M3675" s="24" t="n"/>
      <c r="N3675" s="24" t="n"/>
      <c r="O3675" s="24" t="n"/>
      <c r="P3675" s="24" t="n"/>
      <c r="Q3675" s="22">
        <f>IF($D3675="","",IF(AND(OR(DANH_MUC!$L$5&lt;&gt;"Có",M3675="Có"),OR(DANH_MUC!$L$6&lt;&gt;"Có",N3675="Có"),OR(DANH_MUC!$L$7&lt;&gt;"Có",O3675="Có"),OR(DANH_MUC!$L$8&lt;&gt;"Có",P3675="Có")),"Có","Không"))</f>
        <v/>
      </c>
      <c r="R3675" s="22">
        <f>IF($D3675="","",IF(COUNTIF($D$2:$D3675,$D3675)&gt;1,"Trùng",""))</f>
        <v/>
      </c>
      <c r="S3675" s="22">
        <f>IF($D3675="","",IF(AND(LEN($D3675)=10,LEFT($D3675,1)="0",ISNUMBER(--$D3675)),"Có","Không"))</f>
        <v/>
      </c>
      <c r="T3675" s="22">
        <f>IF($D3675="","",IF(AND($C3675&lt;&gt;"",$Q3675="Có",$R3675="",$S3675="Có",AND($L3675&lt;&gt;"",OR($L3675&lt;&gt;"Chưa xác định",DANH_MUC!$L$9="Có"))),"Có","Không"))</f>
        <v/>
      </c>
      <c r="U3675" s="22">
        <f>IF(OR($D3675="",$T3675="Có"),"",IF($C3675="","Thiếu họ tên; ","")&amp;IF($S3675&lt;&gt;"Có","SĐT sai định dạng; ","")&amp;IF($R3675="Trùng","Trùng SĐT; ","")&amp;IF($Q3675&lt;&gt;"Có","Thiếu đồng ý bắt buộc; ","")&amp;IF($L3675="","Thiếu/sai Mã REF; ",IF(AND($L3675="Chưa xác định",DANH_MUC!$L$9&lt;&gt;"Có"),"Nguồn chưa xác định; ","")))</f>
        <v/>
      </c>
      <c r="V3675" s="22">
        <f>IF(OR($D3675="",$R3675="Trùng"),"",IF(COUNTIF(ORDERS!$C$2:$C$4995,$D3675)&gt;0,"Có","Không"))</f>
        <v/>
      </c>
      <c r="W3675" s="22">
        <f>IF(OR($D3675="",$R3675="Trùng"),"",COUNTIFS(ORDERS!$C$2:$C$4995,$D3675,ORDERS!$L$2:$L$4995,"Đã chuyển khoản"))</f>
        <v/>
      </c>
      <c r="X3675" s="23">
        <f>IF(OR($D3675="",$R3675="Trùng"),"",SUMIFS(ORDERS!$J$2:$J$4995,ORDERS!$C$2:$C$4995,$D3675,ORDERS!$L$2:$L$4995,"Đã chuyển khoản"))</f>
        <v/>
      </c>
      <c r="Y3675" s="24" t="n"/>
    </row>
    <row r="3676" ht="14.25" customHeight="1" s="40">
      <c r="A3676" s="24" t="n"/>
      <c r="B3676" s="27" t="n"/>
      <c r="C3676" s="24" t="n"/>
      <c r="D3676" s="28" t="n"/>
      <c r="E3676" s="29" t="n"/>
      <c r="F3676" s="24" t="n"/>
      <c r="G3676" s="24" t="n"/>
      <c r="H3676" s="21">
        <f>IF(ISNUMBER($B3676),INT($B3676)-WEEKDAY($B3676,2)+1,"")</f>
        <v/>
      </c>
      <c r="I3676" s="24" t="n"/>
      <c r="J3676" s="22">
        <f t="array" ref="J3676">IF($D3676="","",IF($I3676="","(trống REF)",IFERROR(INDEX(MASTER_SOURCE!$B$2:$B$495,MATCH($I3676,MASTER_SOURCE!$A$2:$A$495,0)),"(REF không có trong MASTER_SOURCE)")))</f>
        <v/>
      </c>
      <c r="K3676" s="22">
        <f t="array" ref="K3676">IF($D3676="","",IFERROR(INDEX(MASTER_SOURCE!$C$2:$C$495,MATCH($I3676,MASTER_SOURCE!$A$2:$A$495,0)),""))</f>
        <v/>
      </c>
      <c r="L3676" s="22">
        <f t="array" ref="L3676">IF($D3676="","",IFERROR(INDEX(MASTER_SOURCE!$D$2:$D$495,MATCH($I3676,MASTER_SOURCE!$A$2:$A$495,0)),""))</f>
        <v/>
      </c>
      <c r="M3676" s="24" t="n"/>
      <c r="N3676" s="24" t="n"/>
      <c r="O3676" s="24" t="n"/>
      <c r="P3676" s="24" t="n"/>
      <c r="Q3676" s="22">
        <f>IF($D3676="","",IF(AND(OR(DANH_MUC!$L$5&lt;&gt;"Có",M3676="Có"),OR(DANH_MUC!$L$6&lt;&gt;"Có",N3676="Có"),OR(DANH_MUC!$L$7&lt;&gt;"Có",O3676="Có"),OR(DANH_MUC!$L$8&lt;&gt;"Có",P3676="Có")),"Có","Không"))</f>
        <v/>
      </c>
      <c r="R3676" s="22">
        <f>IF($D3676="","",IF(COUNTIF($D$2:$D3676,$D3676)&gt;1,"Trùng",""))</f>
        <v/>
      </c>
      <c r="S3676" s="22">
        <f>IF($D3676="","",IF(AND(LEN($D3676)=10,LEFT($D3676,1)="0",ISNUMBER(--$D3676)),"Có","Không"))</f>
        <v/>
      </c>
      <c r="T3676" s="22">
        <f>IF($D3676="","",IF(AND($C3676&lt;&gt;"",$Q3676="Có",$R3676="",$S3676="Có",AND($L3676&lt;&gt;"",OR($L3676&lt;&gt;"Chưa xác định",DANH_MUC!$L$9="Có"))),"Có","Không"))</f>
        <v/>
      </c>
      <c r="U3676" s="22">
        <f>IF(OR($D3676="",$T3676="Có"),"",IF($C3676="","Thiếu họ tên; ","")&amp;IF($S3676&lt;&gt;"Có","SĐT sai định dạng; ","")&amp;IF($R3676="Trùng","Trùng SĐT; ","")&amp;IF($Q3676&lt;&gt;"Có","Thiếu đồng ý bắt buộc; ","")&amp;IF($L3676="","Thiếu/sai Mã REF; ",IF(AND($L3676="Chưa xác định",DANH_MUC!$L$9&lt;&gt;"Có"),"Nguồn chưa xác định; ","")))</f>
        <v/>
      </c>
      <c r="V3676" s="22">
        <f>IF(OR($D3676="",$R3676="Trùng"),"",IF(COUNTIF(ORDERS!$C$2:$C$4995,$D3676)&gt;0,"Có","Không"))</f>
        <v/>
      </c>
      <c r="W3676" s="22">
        <f>IF(OR($D3676="",$R3676="Trùng"),"",COUNTIFS(ORDERS!$C$2:$C$4995,$D3676,ORDERS!$L$2:$L$4995,"Đã chuyển khoản"))</f>
        <v/>
      </c>
      <c r="X3676" s="23">
        <f>IF(OR($D3676="",$R3676="Trùng"),"",SUMIFS(ORDERS!$J$2:$J$4995,ORDERS!$C$2:$C$4995,$D3676,ORDERS!$L$2:$L$4995,"Đã chuyển khoản"))</f>
        <v/>
      </c>
      <c r="Y3676" s="24" t="n"/>
    </row>
    <row r="3677" ht="14.25" customHeight="1" s="40">
      <c r="A3677" s="24" t="n"/>
      <c r="B3677" s="27" t="n"/>
      <c r="C3677" s="24" t="n"/>
      <c r="D3677" s="28" t="n"/>
      <c r="E3677" s="29" t="n"/>
      <c r="F3677" s="24" t="n"/>
      <c r="G3677" s="24" t="n"/>
      <c r="H3677" s="21">
        <f>IF(ISNUMBER($B3677),INT($B3677)-WEEKDAY($B3677,2)+1,"")</f>
        <v/>
      </c>
      <c r="I3677" s="24" t="n"/>
      <c r="J3677" s="22">
        <f t="array" ref="J3677">IF($D3677="","",IF($I3677="","(trống REF)",IFERROR(INDEX(MASTER_SOURCE!$B$2:$B$495,MATCH($I3677,MASTER_SOURCE!$A$2:$A$495,0)),"(REF không có trong MASTER_SOURCE)")))</f>
        <v/>
      </c>
      <c r="K3677" s="22">
        <f t="array" ref="K3677">IF($D3677="","",IFERROR(INDEX(MASTER_SOURCE!$C$2:$C$495,MATCH($I3677,MASTER_SOURCE!$A$2:$A$495,0)),""))</f>
        <v/>
      </c>
      <c r="L3677" s="22">
        <f t="array" ref="L3677">IF($D3677="","",IFERROR(INDEX(MASTER_SOURCE!$D$2:$D$495,MATCH($I3677,MASTER_SOURCE!$A$2:$A$495,0)),""))</f>
        <v/>
      </c>
      <c r="M3677" s="24" t="n"/>
      <c r="N3677" s="24" t="n"/>
      <c r="O3677" s="24" t="n"/>
      <c r="P3677" s="24" t="n"/>
      <c r="Q3677" s="22">
        <f>IF($D3677="","",IF(AND(OR(DANH_MUC!$L$5&lt;&gt;"Có",M3677="Có"),OR(DANH_MUC!$L$6&lt;&gt;"Có",N3677="Có"),OR(DANH_MUC!$L$7&lt;&gt;"Có",O3677="Có"),OR(DANH_MUC!$L$8&lt;&gt;"Có",P3677="Có")),"Có","Không"))</f>
        <v/>
      </c>
      <c r="R3677" s="22">
        <f>IF($D3677="","",IF(COUNTIF($D$2:$D3677,$D3677)&gt;1,"Trùng",""))</f>
        <v/>
      </c>
      <c r="S3677" s="22">
        <f>IF($D3677="","",IF(AND(LEN($D3677)=10,LEFT($D3677,1)="0",ISNUMBER(--$D3677)),"Có","Không"))</f>
        <v/>
      </c>
      <c r="T3677" s="22">
        <f>IF($D3677="","",IF(AND($C3677&lt;&gt;"",$Q3677="Có",$R3677="",$S3677="Có",AND($L3677&lt;&gt;"",OR($L3677&lt;&gt;"Chưa xác định",DANH_MUC!$L$9="Có"))),"Có","Không"))</f>
        <v/>
      </c>
      <c r="U3677" s="22">
        <f>IF(OR($D3677="",$T3677="Có"),"",IF($C3677="","Thiếu họ tên; ","")&amp;IF($S3677&lt;&gt;"Có","SĐT sai định dạng; ","")&amp;IF($R3677="Trùng","Trùng SĐT; ","")&amp;IF($Q3677&lt;&gt;"Có","Thiếu đồng ý bắt buộc; ","")&amp;IF($L3677="","Thiếu/sai Mã REF; ",IF(AND($L3677="Chưa xác định",DANH_MUC!$L$9&lt;&gt;"Có"),"Nguồn chưa xác định; ","")))</f>
        <v/>
      </c>
      <c r="V3677" s="22">
        <f>IF(OR($D3677="",$R3677="Trùng"),"",IF(COUNTIF(ORDERS!$C$2:$C$4995,$D3677)&gt;0,"Có","Không"))</f>
        <v/>
      </c>
      <c r="W3677" s="22">
        <f>IF(OR($D3677="",$R3677="Trùng"),"",COUNTIFS(ORDERS!$C$2:$C$4995,$D3677,ORDERS!$L$2:$L$4995,"Đã chuyển khoản"))</f>
        <v/>
      </c>
      <c r="X3677" s="23">
        <f>IF(OR($D3677="",$R3677="Trùng"),"",SUMIFS(ORDERS!$J$2:$J$4995,ORDERS!$C$2:$C$4995,$D3677,ORDERS!$L$2:$L$4995,"Đã chuyển khoản"))</f>
        <v/>
      </c>
      <c r="Y3677" s="24" t="n"/>
    </row>
    <row r="3678" ht="14.25" customHeight="1" s="40">
      <c r="A3678" s="24" t="n"/>
      <c r="B3678" s="27" t="n"/>
      <c r="C3678" s="24" t="n"/>
      <c r="D3678" s="28" t="n"/>
      <c r="E3678" s="29" t="n"/>
      <c r="F3678" s="24" t="n"/>
      <c r="G3678" s="24" t="n"/>
      <c r="H3678" s="21">
        <f>IF(ISNUMBER($B3678),INT($B3678)-WEEKDAY($B3678,2)+1,"")</f>
        <v/>
      </c>
      <c r="I3678" s="24" t="n"/>
      <c r="J3678" s="22">
        <f t="array" ref="J3678">IF($D3678="","",IF($I3678="","(trống REF)",IFERROR(INDEX(MASTER_SOURCE!$B$2:$B$495,MATCH($I3678,MASTER_SOURCE!$A$2:$A$495,0)),"(REF không có trong MASTER_SOURCE)")))</f>
        <v/>
      </c>
      <c r="K3678" s="22">
        <f t="array" ref="K3678">IF($D3678="","",IFERROR(INDEX(MASTER_SOURCE!$C$2:$C$495,MATCH($I3678,MASTER_SOURCE!$A$2:$A$495,0)),""))</f>
        <v/>
      </c>
      <c r="L3678" s="22">
        <f t="array" ref="L3678">IF($D3678="","",IFERROR(INDEX(MASTER_SOURCE!$D$2:$D$495,MATCH($I3678,MASTER_SOURCE!$A$2:$A$495,0)),""))</f>
        <v/>
      </c>
      <c r="M3678" s="24" t="n"/>
      <c r="N3678" s="24" t="n"/>
      <c r="O3678" s="24" t="n"/>
      <c r="P3678" s="24" t="n"/>
      <c r="Q3678" s="22">
        <f>IF($D3678="","",IF(AND(OR(DANH_MUC!$L$5&lt;&gt;"Có",M3678="Có"),OR(DANH_MUC!$L$6&lt;&gt;"Có",N3678="Có"),OR(DANH_MUC!$L$7&lt;&gt;"Có",O3678="Có"),OR(DANH_MUC!$L$8&lt;&gt;"Có",P3678="Có")),"Có","Không"))</f>
        <v/>
      </c>
      <c r="R3678" s="22">
        <f>IF($D3678="","",IF(COUNTIF($D$2:$D3678,$D3678)&gt;1,"Trùng",""))</f>
        <v/>
      </c>
      <c r="S3678" s="22">
        <f>IF($D3678="","",IF(AND(LEN($D3678)=10,LEFT($D3678,1)="0",ISNUMBER(--$D3678)),"Có","Không"))</f>
        <v/>
      </c>
      <c r="T3678" s="22">
        <f>IF($D3678="","",IF(AND($C3678&lt;&gt;"",$Q3678="Có",$R3678="",$S3678="Có",AND($L3678&lt;&gt;"",OR($L3678&lt;&gt;"Chưa xác định",DANH_MUC!$L$9="Có"))),"Có","Không"))</f>
        <v/>
      </c>
      <c r="U3678" s="22">
        <f>IF(OR($D3678="",$T3678="Có"),"",IF($C3678="","Thiếu họ tên; ","")&amp;IF($S3678&lt;&gt;"Có","SĐT sai định dạng; ","")&amp;IF($R3678="Trùng","Trùng SĐT; ","")&amp;IF($Q3678&lt;&gt;"Có","Thiếu đồng ý bắt buộc; ","")&amp;IF($L3678="","Thiếu/sai Mã REF; ",IF(AND($L3678="Chưa xác định",DANH_MUC!$L$9&lt;&gt;"Có"),"Nguồn chưa xác định; ","")))</f>
        <v/>
      </c>
      <c r="V3678" s="22">
        <f>IF(OR($D3678="",$R3678="Trùng"),"",IF(COUNTIF(ORDERS!$C$2:$C$4995,$D3678)&gt;0,"Có","Không"))</f>
        <v/>
      </c>
      <c r="W3678" s="22">
        <f>IF(OR($D3678="",$R3678="Trùng"),"",COUNTIFS(ORDERS!$C$2:$C$4995,$D3678,ORDERS!$L$2:$L$4995,"Đã chuyển khoản"))</f>
        <v/>
      </c>
      <c r="X3678" s="23">
        <f>IF(OR($D3678="",$R3678="Trùng"),"",SUMIFS(ORDERS!$J$2:$J$4995,ORDERS!$C$2:$C$4995,$D3678,ORDERS!$L$2:$L$4995,"Đã chuyển khoản"))</f>
        <v/>
      </c>
      <c r="Y3678" s="24" t="n"/>
    </row>
    <row r="3679" ht="14.25" customHeight="1" s="40">
      <c r="A3679" s="24" t="n"/>
      <c r="B3679" s="27" t="n"/>
      <c r="C3679" s="24" t="n"/>
      <c r="D3679" s="28" t="n"/>
      <c r="E3679" s="29" t="n"/>
      <c r="F3679" s="24" t="n"/>
      <c r="G3679" s="24" t="n"/>
      <c r="H3679" s="21">
        <f>IF(ISNUMBER($B3679),INT($B3679)-WEEKDAY($B3679,2)+1,"")</f>
        <v/>
      </c>
      <c r="I3679" s="24" t="n"/>
      <c r="J3679" s="22">
        <f t="array" ref="J3679">IF($D3679="","",IF($I3679="","(trống REF)",IFERROR(INDEX(MASTER_SOURCE!$B$2:$B$495,MATCH($I3679,MASTER_SOURCE!$A$2:$A$495,0)),"(REF không có trong MASTER_SOURCE)")))</f>
        <v/>
      </c>
      <c r="K3679" s="22">
        <f t="array" ref="K3679">IF($D3679="","",IFERROR(INDEX(MASTER_SOURCE!$C$2:$C$495,MATCH($I3679,MASTER_SOURCE!$A$2:$A$495,0)),""))</f>
        <v/>
      </c>
      <c r="L3679" s="22">
        <f t="array" ref="L3679">IF($D3679="","",IFERROR(INDEX(MASTER_SOURCE!$D$2:$D$495,MATCH($I3679,MASTER_SOURCE!$A$2:$A$495,0)),""))</f>
        <v/>
      </c>
      <c r="M3679" s="24" t="n"/>
      <c r="N3679" s="24" t="n"/>
      <c r="O3679" s="24" t="n"/>
      <c r="P3679" s="24" t="n"/>
      <c r="Q3679" s="22">
        <f>IF($D3679="","",IF(AND(OR(DANH_MUC!$L$5&lt;&gt;"Có",M3679="Có"),OR(DANH_MUC!$L$6&lt;&gt;"Có",N3679="Có"),OR(DANH_MUC!$L$7&lt;&gt;"Có",O3679="Có"),OR(DANH_MUC!$L$8&lt;&gt;"Có",P3679="Có")),"Có","Không"))</f>
        <v/>
      </c>
      <c r="R3679" s="22">
        <f>IF($D3679="","",IF(COUNTIF($D$2:$D3679,$D3679)&gt;1,"Trùng",""))</f>
        <v/>
      </c>
      <c r="S3679" s="22">
        <f>IF($D3679="","",IF(AND(LEN($D3679)=10,LEFT($D3679,1)="0",ISNUMBER(--$D3679)),"Có","Không"))</f>
        <v/>
      </c>
      <c r="T3679" s="22">
        <f>IF($D3679="","",IF(AND($C3679&lt;&gt;"",$Q3679="Có",$R3679="",$S3679="Có",AND($L3679&lt;&gt;"",OR($L3679&lt;&gt;"Chưa xác định",DANH_MUC!$L$9="Có"))),"Có","Không"))</f>
        <v/>
      </c>
      <c r="U3679" s="22">
        <f>IF(OR($D3679="",$T3679="Có"),"",IF($C3679="","Thiếu họ tên; ","")&amp;IF($S3679&lt;&gt;"Có","SĐT sai định dạng; ","")&amp;IF($R3679="Trùng","Trùng SĐT; ","")&amp;IF($Q3679&lt;&gt;"Có","Thiếu đồng ý bắt buộc; ","")&amp;IF($L3679="","Thiếu/sai Mã REF; ",IF(AND($L3679="Chưa xác định",DANH_MUC!$L$9&lt;&gt;"Có"),"Nguồn chưa xác định; ","")))</f>
        <v/>
      </c>
      <c r="V3679" s="22">
        <f>IF(OR($D3679="",$R3679="Trùng"),"",IF(COUNTIF(ORDERS!$C$2:$C$4995,$D3679)&gt;0,"Có","Không"))</f>
        <v/>
      </c>
      <c r="W3679" s="22">
        <f>IF(OR($D3679="",$R3679="Trùng"),"",COUNTIFS(ORDERS!$C$2:$C$4995,$D3679,ORDERS!$L$2:$L$4995,"Đã chuyển khoản"))</f>
        <v/>
      </c>
      <c r="X3679" s="23">
        <f>IF(OR($D3679="",$R3679="Trùng"),"",SUMIFS(ORDERS!$J$2:$J$4995,ORDERS!$C$2:$C$4995,$D3679,ORDERS!$L$2:$L$4995,"Đã chuyển khoản"))</f>
        <v/>
      </c>
      <c r="Y3679" s="24" t="n"/>
    </row>
    <row r="3680" ht="14.25" customHeight="1" s="40">
      <c r="A3680" s="24" t="n"/>
      <c r="B3680" s="27" t="n"/>
      <c r="C3680" s="24" t="n"/>
      <c r="D3680" s="28" t="n"/>
      <c r="E3680" s="29" t="n"/>
      <c r="F3680" s="24" t="n"/>
      <c r="G3680" s="24" t="n"/>
      <c r="H3680" s="21">
        <f>IF(ISNUMBER($B3680),INT($B3680)-WEEKDAY($B3680,2)+1,"")</f>
        <v/>
      </c>
      <c r="I3680" s="24" t="n"/>
      <c r="J3680" s="22">
        <f t="array" ref="J3680">IF($D3680="","",IF($I3680="","(trống REF)",IFERROR(INDEX(MASTER_SOURCE!$B$2:$B$495,MATCH($I3680,MASTER_SOURCE!$A$2:$A$495,0)),"(REF không có trong MASTER_SOURCE)")))</f>
        <v/>
      </c>
      <c r="K3680" s="22">
        <f t="array" ref="K3680">IF($D3680="","",IFERROR(INDEX(MASTER_SOURCE!$C$2:$C$495,MATCH($I3680,MASTER_SOURCE!$A$2:$A$495,0)),""))</f>
        <v/>
      </c>
      <c r="L3680" s="22">
        <f t="array" ref="L3680">IF($D3680="","",IFERROR(INDEX(MASTER_SOURCE!$D$2:$D$495,MATCH($I3680,MASTER_SOURCE!$A$2:$A$495,0)),""))</f>
        <v/>
      </c>
      <c r="M3680" s="24" t="n"/>
      <c r="N3680" s="24" t="n"/>
      <c r="O3680" s="24" t="n"/>
      <c r="P3680" s="24" t="n"/>
      <c r="Q3680" s="22">
        <f>IF($D3680="","",IF(AND(OR(DANH_MUC!$L$5&lt;&gt;"Có",M3680="Có"),OR(DANH_MUC!$L$6&lt;&gt;"Có",N3680="Có"),OR(DANH_MUC!$L$7&lt;&gt;"Có",O3680="Có"),OR(DANH_MUC!$L$8&lt;&gt;"Có",P3680="Có")),"Có","Không"))</f>
        <v/>
      </c>
      <c r="R3680" s="22">
        <f>IF($D3680="","",IF(COUNTIF($D$2:$D3680,$D3680)&gt;1,"Trùng",""))</f>
        <v/>
      </c>
      <c r="S3680" s="22">
        <f>IF($D3680="","",IF(AND(LEN($D3680)=10,LEFT($D3680,1)="0",ISNUMBER(--$D3680)),"Có","Không"))</f>
        <v/>
      </c>
      <c r="T3680" s="22">
        <f>IF($D3680="","",IF(AND($C3680&lt;&gt;"",$Q3680="Có",$R3680="",$S3680="Có",AND($L3680&lt;&gt;"",OR($L3680&lt;&gt;"Chưa xác định",DANH_MUC!$L$9="Có"))),"Có","Không"))</f>
        <v/>
      </c>
      <c r="U3680" s="22">
        <f>IF(OR($D3680="",$T3680="Có"),"",IF($C3680="","Thiếu họ tên; ","")&amp;IF($S3680&lt;&gt;"Có","SĐT sai định dạng; ","")&amp;IF($R3680="Trùng","Trùng SĐT; ","")&amp;IF($Q3680&lt;&gt;"Có","Thiếu đồng ý bắt buộc; ","")&amp;IF($L3680="","Thiếu/sai Mã REF; ",IF(AND($L3680="Chưa xác định",DANH_MUC!$L$9&lt;&gt;"Có"),"Nguồn chưa xác định; ","")))</f>
        <v/>
      </c>
      <c r="V3680" s="22">
        <f>IF(OR($D3680="",$R3680="Trùng"),"",IF(COUNTIF(ORDERS!$C$2:$C$4995,$D3680)&gt;0,"Có","Không"))</f>
        <v/>
      </c>
      <c r="W3680" s="22">
        <f>IF(OR($D3680="",$R3680="Trùng"),"",COUNTIFS(ORDERS!$C$2:$C$4995,$D3680,ORDERS!$L$2:$L$4995,"Đã chuyển khoản"))</f>
        <v/>
      </c>
      <c r="X3680" s="23">
        <f>IF(OR($D3680="",$R3680="Trùng"),"",SUMIFS(ORDERS!$J$2:$J$4995,ORDERS!$C$2:$C$4995,$D3680,ORDERS!$L$2:$L$4995,"Đã chuyển khoản"))</f>
        <v/>
      </c>
      <c r="Y3680" s="24" t="n"/>
    </row>
    <row r="3681" ht="14.25" customHeight="1" s="40">
      <c r="A3681" s="24" t="n"/>
      <c r="B3681" s="27" t="n"/>
      <c r="C3681" s="24" t="n"/>
      <c r="D3681" s="28" t="n"/>
      <c r="E3681" s="29" t="n"/>
      <c r="F3681" s="24" t="n"/>
      <c r="G3681" s="24" t="n"/>
      <c r="H3681" s="21">
        <f>IF(ISNUMBER($B3681),INT($B3681)-WEEKDAY($B3681,2)+1,"")</f>
        <v/>
      </c>
      <c r="I3681" s="24" t="n"/>
      <c r="J3681" s="22">
        <f t="array" ref="J3681">IF($D3681="","",IF($I3681="","(trống REF)",IFERROR(INDEX(MASTER_SOURCE!$B$2:$B$495,MATCH($I3681,MASTER_SOURCE!$A$2:$A$495,0)),"(REF không có trong MASTER_SOURCE)")))</f>
        <v/>
      </c>
      <c r="K3681" s="22">
        <f t="array" ref="K3681">IF($D3681="","",IFERROR(INDEX(MASTER_SOURCE!$C$2:$C$495,MATCH($I3681,MASTER_SOURCE!$A$2:$A$495,0)),""))</f>
        <v/>
      </c>
      <c r="L3681" s="22">
        <f t="array" ref="L3681">IF($D3681="","",IFERROR(INDEX(MASTER_SOURCE!$D$2:$D$495,MATCH($I3681,MASTER_SOURCE!$A$2:$A$495,0)),""))</f>
        <v/>
      </c>
      <c r="M3681" s="24" t="n"/>
      <c r="N3681" s="24" t="n"/>
      <c r="O3681" s="24" t="n"/>
      <c r="P3681" s="24" t="n"/>
      <c r="Q3681" s="22">
        <f>IF($D3681="","",IF(AND(OR(DANH_MUC!$L$5&lt;&gt;"Có",M3681="Có"),OR(DANH_MUC!$L$6&lt;&gt;"Có",N3681="Có"),OR(DANH_MUC!$L$7&lt;&gt;"Có",O3681="Có"),OR(DANH_MUC!$L$8&lt;&gt;"Có",P3681="Có")),"Có","Không"))</f>
        <v/>
      </c>
      <c r="R3681" s="22">
        <f>IF($D3681="","",IF(COUNTIF($D$2:$D3681,$D3681)&gt;1,"Trùng",""))</f>
        <v/>
      </c>
      <c r="S3681" s="22">
        <f>IF($D3681="","",IF(AND(LEN($D3681)=10,LEFT($D3681,1)="0",ISNUMBER(--$D3681)),"Có","Không"))</f>
        <v/>
      </c>
      <c r="T3681" s="22">
        <f>IF($D3681="","",IF(AND($C3681&lt;&gt;"",$Q3681="Có",$R3681="",$S3681="Có",AND($L3681&lt;&gt;"",OR($L3681&lt;&gt;"Chưa xác định",DANH_MUC!$L$9="Có"))),"Có","Không"))</f>
        <v/>
      </c>
      <c r="U3681" s="22">
        <f>IF(OR($D3681="",$T3681="Có"),"",IF($C3681="","Thiếu họ tên; ","")&amp;IF($S3681&lt;&gt;"Có","SĐT sai định dạng; ","")&amp;IF($R3681="Trùng","Trùng SĐT; ","")&amp;IF($Q3681&lt;&gt;"Có","Thiếu đồng ý bắt buộc; ","")&amp;IF($L3681="","Thiếu/sai Mã REF; ",IF(AND($L3681="Chưa xác định",DANH_MUC!$L$9&lt;&gt;"Có"),"Nguồn chưa xác định; ","")))</f>
        <v/>
      </c>
      <c r="V3681" s="22">
        <f>IF(OR($D3681="",$R3681="Trùng"),"",IF(COUNTIF(ORDERS!$C$2:$C$4995,$D3681)&gt;0,"Có","Không"))</f>
        <v/>
      </c>
      <c r="W3681" s="22">
        <f>IF(OR($D3681="",$R3681="Trùng"),"",COUNTIFS(ORDERS!$C$2:$C$4995,$D3681,ORDERS!$L$2:$L$4995,"Đã chuyển khoản"))</f>
        <v/>
      </c>
      <c r="X3681" s="23">
        <f>IF(OR($D3681="",$R3681="Trùng"),"",SUMIFS(ORDERS!$J$2:$J$4995,ORDERS!$C$2:$C$4995,$D3681,ORDERS!$L$2:$L$4995,"Đã chuyển khoản"))</f>
        <v/>
      </c>
      <c r="Y3681" s="24" t="n"/>
    </row>
    <row r="3682" ht="14.25" customHeight="1" s="40">
      <c r="A3682" s="24" t="n"/>
      <c r="B3682" s="27" t="n"/>
      <c r="C3682" s="24" t="n"/>
      <c r="D3682" s="28" t="n"/>
      <c r="E3682" s="29" t="n"/>
      <c r="F3682" s="24" t="n"/>
      <c r="G3682" s="24" t="n"/>
      <c r="H3682" s="21">
        <f>IF(ISNUMBER($B3682),INT($B3682)-WEEKDAY($B3682,2)+1,"")</f>
        <v/>
      </c>
      <c r="I3682" s="24" t="n"/>
      <c r="J3682" s="22">
        <f t="array" ref="J3682">IF($D3682="","",IF($I3682="","(trống REF)",IFERROR(INDEX(MASTER_SOURCE!$B$2:$B$495,MATCH($I3682,MASTER_SOURCE!$A$2:$A$495,0)),"(REF không có trong MASTER_SOURCE)")))</f>
        <v/>
      </c>
      <c r="K3682" s="22">
        <f t="array" ref="K3682">IF($D3682="","",IFERROR(INDEX(MASTER_SOURCE!$C$2:$C$495,MATCH($I3682,MASTER_SOURCE!$A$2:$A$495,0)),""))</f>
        <v/>
      </c>
      <c r="L3682" s="22">
        <f t="array" ref="L3682">IF($D3682="","",IFERROR(INDEX(MASTER_SOURCE!$D$2:$D$495,MATCH($I3682,MASTER_SOURCE!$A$2:$A$495,0)),""))</f>
        <v/>
      </c>
      <c r="M3682" s="24" t="n"/>
      <c r="N3682" s="24" t="n"/>
      <c r="O3682" s="24" t="n"/>
      <c r="P3682" s="24" t="n"/>
      <c r="Q3682" s="22">
        <f>IF($D3682="","",IF(AND(OR(DANH_MUC!$L$5&lt;&gt;"Có",M3682="Có"),OR(DANH_MUC!$L$6&lt;&gt;"Có",N3682="Có"),OR(DANH_MUC!$L$7&lt;&gt;"Có",O3682="Có"),OR(DANH_MUC!$L$8&lt;&gt;"Có",P3682="Có")),"Có","Không"))</f>
        <v/>
      </c>
      <c r="R3682" s="22">
        <f>IF($D3682="","",IF(COUNTIF($D$2:$D3682,$D3682)&gt;1,"Trùng",""))</f>
        <v/>
      </c>
      <c r="S3682" s="22">
        <f>IF($D3682="","",IF(AND(LEN($D3682)=10,LEFT($D3682,1)="0",ISNUMBER(--$D3682)),"Có","Không"))</f>
        <v/>
      </c>
      <c r="T3682" s="22">
        <f>IF($D3682="","",IF(AND($C3682&lt;&gt;"",$Q3682="Có",$R3682="",$S3682="Có",AND($L3682&lt;&gt;"",OR($L3682&lt;&gt;"Chưa xác định",DANH_MUC!$L$9="Có"))),"Có","Không"))</f>
        <v/>
      </c>
      <c r="U3682" s="22">
        <f>IF(OR($D3682="",$T3682="Có"),"",IF($C3682="","Thiếu họ tên; ","")&amp;IF($S3682&lt;&gt;"Có","SĐT sai định dạng; ","")&amp;IF($R3682="Trùng","Trùng SĐT; ","")&amp;IF($Q3682&lt;&gt;"Có","Thiếu đồng ý bắt buộc; ","")&amp;IF($L3682="","Thiếu/sai Mã REF; ",IF(AND($L3682="Chưa xác định",DANH_MUC!$L$9&lt;&gt;"Có"),"Nguồn chưa xác định; ","")))</f>
        <v/>
      </c>
      <c r="V3682" s="22">
        <f>IF(OR($D3682="",$R3682="Trùng"),"",IF(COUNTIF(ORDERS!$C$2:$C$4995,$D3682)&gt;0,"Có","Không"))</f>
        <v/>
      </c>
      <c r="W3682" s="22">
        <f>IF(OR($D3682="",$R3682="Trùng"),"",COUNTIFS(ORDERS!$C$2:$C$4995,$D3682,ORDERS!$L$2:$L$4995,"Đã chuyển khoản"))</f>
        <v/>
      </c>
      <c r="X3682" s="23">
        <f>IF(OR($D3682="",$R3682="Trùng"),"",SUMIFS(ORDERS!$J$2:$J$4995,ORDERS!$C$2:$C$4995,$D3682,ORDERS!$L$2:$L$4995,"Đã chuyển khoản"))</f>
        <v/>
      </c>
      <c r="Y3682" s="24" t="n"/>
    </row>
    <row r="3683" ht="14.25" customHeight="1" s="40">
      <c r="A3683" s="24" t="n"/>
      <c r="B3683" s="27" t="n"/>
      <c r="C3683" s="24" t="n"/>
      <c r="D3683" s="28" t="n"/>
      <c r="E3683" s="29" t="n"/>
      <c r="F3683" s="24" t="n"/>
      <c r="G3683" s="24" t="n"/>
      <c r="H3683" s="21">
        <f>IF(ISNUMBER($B3683),INT($B3683)-WEEKDAY($B3683,2)+1,"")</f>
        <v/>
      </c>
      <c r="I3683" s="24" t="n"/>
      <c r="J3683" s="22">
        <f t="array" ref="J3683">IF($D3683="","",IF($I3683="","(trống REF)",IFERROR(INDEX(MASTER_SOURCE!$B$2:$B$495,MATCH($I3683,MASTER_SOURCE!$A$2:$A$495,0)),"(REF không có trong MASTER_SOURCE)")))</f>
        <v/>
      </c>
      <c r="K3683" s="22">
        <f t="array" ref="K3683">IF($D3683="","",IFERROR(INDEX(MASTER_SOURCE!$C$2:$C$495,MATCH($I3683,MASTER_SOURCE!$A$2:$A$495,0)),""))</f>
        <v/>
      </c>
      <c r="L3683" s="22">
        <f t="array" ref="L3683">IF($D3683="","",IFERROR(INDEX(MASTER_SOURCE!$D$2:$D$495,MATCH($I3683,MASTER_SOURCE!$A$2:$A$495,0)),""))</f>
        <v/>
      </c>
      <c r="M3683" s="24" t="n"/>
      <c r="N3683" s="24" t="n"/>
      <c r="O3683" s="24" t="n"/>
      <c r="P3683" s="24" t="n"/>
      <c r="Q3683" s="22">
        <f>IF($D3683="","",IF(AND(OR(DANH_MUC!$L$5&lt;&gt;"Có",M3683="Có"),OR(DANH_MUC!$L$6&lt;&gt;"Có",N3683="Có"),OR(DANH_MUC!$L$7&lt;&gt;"Có",O3683="Có"),OR(DANH_MUC!$L$8&lt;&gt;"Có",P3683="Có")),"Có","Không"))</f>
        <v/>
      </c>
      <c r="R3683" s="22">
        <f>IF($D3683="","",IF(COUNTIF($D$2:$D3683,$D3683)&gt;1,"Trùng",""))</f>
        <v/>
      </c>
      <c r="S3683" s="22">
        <f>IF($D3683="","",IF(AND(LEN($D3683)=10,LEFT($D3683,1)="0",ISNUMBER(--$D3683)),"Có","Không"))</f>
        <v/>
      </c>
      <c r="T3683" s="22">
        <f>IF($D3683="","",IF(AND($C3683&lt;&gt;"",$Q3683="Có",$R3683="",$S3683="Có",AND($L3683&lt;&gt;"",OR($L3683&lt;&gt;"Chưa xác định",DANH_MUC!$L$9="Có"))),"Có","Không"))</f>
        <v/>
      </c>
      <c r="U3683" s="22">
        <f>IF(OR($D3683="",$T3683="Có"),"",IF($C3683="","Thiếu họ tên; ","")&amp;IF($S3683&lt;&gt;"Có","SĐT sai định dạng; ","")&amp;IF($R3683="Trùng","Trùng SĐT; ","")&amp;IF($Q3683&lt;&gt;"Có","Thiếu đồng ý bắt buộc; ","")&amp;IF($L3683="","Thiếu/sai Mã REF; ",IF(AND($L3683="Chưa xác định",DANH_MUC!$L$9&lt;&gt;"Có"),"Nguồn chưa xác định; ","")))</f>
        <v/>
      </c>
      <c r="V3683" s="22">
        <f>IF(OR($D3683="",$R3683="Trùng"),"",IF(COUNTIF(ORDERS!$C$2:$C$4995,$D3683)&gt;0,"Có","Không"))</f>
        <v/>
      </c>
      <c r="W3683" s="22">
        <f>IF(OR($D3683="",$R3683="Trùng"),"",COUNTIFS(ORDERS!$C$2:$C$4995,$D3683,ORDERS!$L$2:$L$4995,"Đã chuyển khoản"))</f>
        <v/>
      </c>
      <c r="X3683" s="23">
        <f>IF(OR($D3683="",$R3683="Trùng"),"",SUMIFS(ORDERS!$J$2:$J$4995,ORDERS!$C$2:$C$4995,$D3683,ORDERS!$L$2:$L$4995,"Đã chuyển khoản"))</f>
        <v/>
      </c>
      <c r="Y3683" s="24" t="n"/>
    </row>
    <row r="3684" ht="14.25" customHeight="1" s="40">
      <c r="A3684" s="24" t="n"/>
      <c r="B3684" s="27" t="n"/>
      <c r="C3684" s="24" t="n"/>
      <c r="D3684" s="28" t="n"/>
      <c r="E3684" s="29" t="n"/>
      <c r="F3684" s="24" t="n"/>
      <c r="G3684" s="24" t="n"/>
      <c r="H3684" s="21">
        <f>IF(ISNUMBER($B3684),INT($B3684)-WEEKDAY($B3684,2)+1,"")</f>
        <v/>
      </c>
      <c r="I3684" s="24" t="n"/>
      <c r="J3684" s="22">
        <f t="array" ref="J3684">IF($D3684="","",IF($I3684="","(trống REF)",IFERROR(INDEX(MASTER_SOURCE!$B$2:$B$495,MATCH($I3684,MASTER_SOURCE!$A$2:$A$495,0)),"(REF không có trong MASTER_SOURCE)")))</f>
        <v/>
      </c>
      <c r="K3684" s="22">
        <f t="array" ref="K3684">IF($D3684="","",IFERROR(INDEX(MASTER_SOURCE!$C$2:$C$495,MATCH($I3684,MASTER_SOURCE!$A$2:$A$495,0)),""))</f>
        <v/>
      </c>
      <c r="L3684" s="22">
        <f t="array" ref="L3684">IF($D3684="","",IFERROR(INDEX(MASTER_SOURCE!$D$2:$D$495,MATCH($I3684,MASTER_SOURCE!$A$2:$A$495,0)),""))</f>
        <v/>
      </c>
      <c r="M3684" s="24" t="n"/>
      <c r="N3684" s="24" t="n"/>
      <c r="O3684" s="24" t="n"/>
      <c r="P3684" s="24" t="n"/>
      <c r="Q3684" s="22">
        <f>IF($D3684="","",IF(AND(OR(DANH_MUC!$L$5&lt;&gt;"Có",M3684="Có"),OR(DANH_MUC!$L$6&lt;&gt;"Có",N3684="Có"),OR(DANH_MUC!$L$7&lt;&gt;"Có",O3684="Có"),OR(DANH_MUC!$L$8&lt;&gt;"Có",P3684="Có")),"Có","Không"))</f>
        <v/>
      </c>
      <c r="R3684" s="22">
        <f>IF($D3684="","",IF(COUNTIF($D$2:$D3684,$D3684)&gt;1,"Trùng",""))</f>
        <v/>
      </c>
      <c r="S3684" s="22">
        <f>IF($D3684="","",IF(AND(LEN($D3684)=10,LEFT($D3684,1)="0",ISNUMBER(--$D3684)),"Có","Không"))</f>
        <v/>
      </c>
      <c r="T3684" s="22">
        <f>IF($D3684="","",IF(AND($C3684&lt;&gt;"",$Q3684="Có",$R3684="",$S3684="Có",AND($L3684&lt;&gt;"",OR($L3684&lt;&gt;"Chưa xác định",DANH_MUC!$L$9="Có"))),"Có","Không"))</f>
        <v/>
      </c>
      <c r="U3684" s="22">
        <f>IF(OR($D3684="",$T3684="Có"),"",IF($C3684="","Thiếu họ tên; ","")&amp;IF($S3684&lt;&gt;"Có","SĐT sai định dạng; ","")&amp;IF($R3684="Trùng","Trùng SĐT; ","")&amp;IF($Q3684&lt;&gt;"Có","Thiếu đồng ý bắt buộc; ","")&amp;IF($L3684="","Thiếu/sai Mã REF; ",IF(AND($L3684="Chưa xác định",DANH_MUC!$L$9&lt;&gt;"Có"),"Nguồn chưa xác định; ","")))</f>
        <v/>
      </c>
      <c r="V3684" s="22">
        <f>IF(OR($D3684="",$R3684="Trùng"),"",IF(COUNTIF(ORDERS!$C$2:$C$4995,$D3684)&gt;0,"Có","Không"))</f>
        <v/>
      </c>
      <c r="W3684" s="22">
        <f>IF(OR($D3684="",$R3684="Trùng"),"",COUNTIFS(ORDERS!$C$2:$C$4995,$D3684,ORDERS!$L$2:$L$4995,"Đã chuyển khoản"))</f>
        <v/>
      </c>
      <c r="X3684" s="23">
        <f>IF(OR($D3684="",$R3684="Trùng"),"",SUMIFS(ORDERS!$J$2:$J$4995,ORDERS!$C$2:$C$4995,$D3684,ORDERS!$L$2:$L$4995,"Đã chuyển khoản"))</f>
        <v/>
      </c>
      <c r="Y3684" s="24" t="n"/>
    </row>
    <row r="3685" ht="14.25" customHeight="1" s="40">
      <c r="A3685" s="24" t="n"/>
      <c r="B3685" s="27" t="n"/>
      <c r="C3685" s="24" t="n"/>
      <c r="D3685" s="28" t="n"/>
      <c r="E3685" s="29" t="n"/>
      <c r="F3685" s="24" t="n"/>
      <c r="G3685" s="24" t="n"/>
      <c r="H3685" s="21">
        <f>IF(ISNUMBER($B3685),INT($B3685)-WEEKDAY($B3685,2)+1,"")</f>
        <v/>
      </c>
      <c r="I3685" s="24" t="n"/>
      <c r="J3685" s="22">
        <f t="array" ref="J3685">IF($D3685="","",IF($I3685="","(trống REF)",IFERROR(INDEX(MASTER_SOURCE!$B$2:$B$495,MATCH($I3685,MASTER_SOURCE!$A$2:$A$495,0)),"(REF không có trong MASTER_SOURCE)")))</f>
        <v/>
      </c>
      <c r="K3685" s="22">
        <f t="array" ref="K3685">IF($D3685="","",IFERROR(INDEX(MASTER_SOURCE!$C$2:$C$495,MATCH($I3685,MASTER_SOURCE!$A$2:$A$495,0)),""))</f>
        <v/>
      </c>
      <c r="L3685" s="22">
        <f t="array" ref="L3685">IF($D3685="","",IFERROR(INDEX(MASTER_SOURCE!$D$2:$D$495,MATCH($I3685,MASTER_SOURCE!$A$2:$A$495,0)),""))</f>
        <v/>
      </c>
      <c r="M3685" s="24" t="n"/>
      <c r="N3685" s="24" t="n"/>
      <c r="O3685" s="24" t="n"/>
      <c r="P3685" s="24" t="n"/>
      <c r="Q3685" s="22">
        <f>IF($D3685="","",IF(AND(OR(DANH_MUC!$L$5&lt;&gt;"Có",M3685="Có"),OR(DANH_MUC!$L$6&lt;&gt;"Có",N3685="Có"),OR(DANH_MUC!$L$7&lt;&gt;"Có",O3685="Có"),OR(DANH_MUC!$L$8&lt;&gt;"Có",P3685="Có")),"Có","Không"))</f>
        <v/>
      </c>
      <c r="R3685" s="22">
        <f>IF($D3685="","",IF(COUNTIF($D$2:$D3685,$D3685)&gt;1,"Trùng",""))</f>
        <v/>
      </c>
      <c r="S3685" s="22">
        <f>IF($D3685="","",IF(AND(LEN($D3685)=10,LEFT($D3685,1)="0",ISNUMBER(--$D3685)),"Có","Không"))</f>
        <v/>
      </c>
      <c r="T3685" s="22">
        <f>IF($D3685="","",IF(AND($C3685&lt;&gt;"",$Q3685="Có",$R3685="",$S3685="Có",AND($L3685&lt;&gt;"",OR($L3685&lt;&gt;"Chưa xác định",DANH_MUC!$L$9="Có"))),"Có","Không"))</f>
        <v/>
      </c>
      <c r="U3685" s="22">
        <f>IF(OR($D3685="",$T3685="Có"),"",IF($C3685="","Thiếu họ tên; ","")&amp;IF($S3685&lt;&gt;"Có","SĐT sai định dạng; ","")&amp;IF($R3685="Trùng","Trùng SĐT; ","")&amp;IF($Q3685&lt;&gt;"Có","Thiếu đồng ý bắt buộc; ","")&amp;IF($L3685="","Thiếu/sai Mã REF; ",IF(AND($L3685="Chưa xác định",DANH_MUC!$L$9&lt;&gt;"Có"),"Nguồn chưa xác định; ","")))</f>
        <v/>
      </c>
      <c r="V3685" s="22">
        <f>IF(OR($D3685="",$R3685="Trùng"),"",IF(COUNTIF(ORDERS!$C$2:$C$4995,$D3685)&gt;0,"Có","Không"))</f>
        <v/>
      </c>
      <c r="W3685" s="22">
        <f>IF(OR($D3685="",$R3685="Trùng"),"",COUNTIFS(ORDERS!$C$2:$C$4995,$D3685,ORDERS!$L$2:$L$4995,"Đã chuyển khoản"))</f>
        <v/>
      </c>
      <c r="X3685" s="23">
        <f>IF(OR($D3685="",$R3685="Trùng"),"",SUMIFS(ORDERS!$J$2:$J$4995,ORDERS!$C$2:$C$4995,$D3685,ORDERS!$L$2:$L$4995,"Đã chuyển khoản"))</f>
        <v/>
      </c>
      <c r="Y3685" s="24" t="n"/>
    </row>
    <row r="3686" ht="14.25" customHeight="1" s="40">
      <c r="A3686" s="24" t="n"/>
      <c r="B3686" s="27" t="n"/>
      <c r="C3686" s="24" t="n"/>
      <c r="D3686" s="28" t="n"/>
      <c r="E3686" s="29" t="n"/>
      <c r="F3686" s="24" t="n"/>
      <c r="G3686" s="24" t="n"/>
      <c r="H3686" s="21">
        <f>IF(ISNUMBER($B3686),INT($B3686)-WEEKDAY($B3686,2)+1,"")</f>
        <v/>
      </c>
      <c r="I3686" s="24" t="n"/>
      <c r="J3686" s="22">
        <f t="array" ref="J3686">IF($D3686="","",IF($I3686="","(trống REF)",IFERROR(INDEX(MASTER_SOURCE!$B$2:$B$495,MATCH($I3686,MASTER_SOURCE!$A$2:$A$495,0)),"(REF không có trong MASTER_SOURCE)")))</f>
        <v/>
      </c>
      <c r="K3686" s="22">
        <f t="array" ref="K3686">IF($D3686="","",IFERROR(INDEX(MASTER_SOURCE!$C$2:$C$495,MATCH($I3686,MASTER_SOURCE!$A$2:$A$495,0)),""))</f>
        <v/>
      </c>
      <c r="L3686" s="22">
        <f t="array" ref="L3686">IF($D3686="","",IFERROR(INDEX(MASTER_SOURCE!$D$2:$D$495,MATCH($I3686,MASTER_SOURCE!$A$2:$A$495,0)),""))</f>
        <v/>
      </c>
      <c r="M3686" s="24" t="n"/>
      <c r="N3686" s="24" t="n"/>
      <c r="O3686" s="24" t="n"/>
      <c r="P3686" s="24" t="n"/>
      <c r="Q3686" s="22">
        <f>IF($D3686="","",IF(AND(OR(DANH_MUC!$L$5&lt;&gt;"Có",M3686="Có"),OR(DANH_MUC!$L$6&lt;&gt;"Có",N3686="Có"),OR(DANH_MUC!$L$7&lt;&gt;"Có",O3686="Có"),OR(DANH_MUC!$L$8&lt;&gt;"Có",P3686="Có")),"Có","Không"))</f>
        <v/>
      </c>
      <c r="R3686" s="22">
        <f>IF($D3686="","",IF(COUNTIF($D$2:$D3686,$D3686)&gt;1,"Trùng",""))</f>
        <v/>
      </c>
      <c r="S3686" s="22">
        <f>IF($D3686="","",IF(AND(LEN($D3686)=10,LEFT($D3686,1)="0",ISNUMBER(--$D3686)),"Có","Không"))</f>
        <v/>
      </c>
      <c r="T3686" s="22">
        <f>IF($D3686="","",IF(AND($C3686&lt;&gt;"",$Q3686="Có",$R3686="",$S3686="Có",AND($L3686&lt;&gt;"",OR($L3686&lt;&gt;"Chưa xác định",DANH_MUC!$L$9="Có"))),"Có","Không"))</f>
        <v/>
      </c>
      <c r="U3686" s="22">
        <f>IF(OR($D3686="",$T3686="Có"),"",IF($C3686="","Thiếu họ tên; ","")&amp;IF($S3686&lt;&gt;"Có","SĐT sai định dạng; ","")&amp;IF($R3686="Trùng","Trùng SĐT; ","")&amp;IF($Q3686&lt;&gt;"Có","Thiếu đồng ý bắt buộc; ","")&amp;IF($L3686="","Thiếu/sai Mã REF; ",IF(AND($L3686="Chưa xác định",DANH_MUC!$L$9&lt;&gt;"Có"),"Nguồn chưa xác định; ","")))</f>
        <v/>
      </c>
      <c r="V3686" s="22">
        <f>IF(OR($D3686="",$R3686="Trùng"),"",IF(COUNTIF(ORDERS!$C$2:$C$4995,$D3686)&gt;0,"Có","Không"))</f>
        <v/>
      </c>
      <c r="W3686" s="22">
        <f>IF(OR($D3686="",$R3686="Trùng"),"",COUNTIFS(ORDERS!$C$2:$C$4995,$D3686,ORDERS!$L$2:$L$4995,"Đã chuyển khoản"))</f>
        <v/>
      </c>
      <c r="X3686" s="23">
        <f>IF(OR($D3686="",$R3686="Trùng"),"",SUMIFS(ORDERS!$J$2:$J$4995,ORDERS!$C$2:$C$4995,$D3686,ORDERS!$L$2:$L$4995,"Đã chuyển khoản"))</f>
        <v/>
      </c>
      <c r="Y3686" s="24" t="n"/>
    </row>
    <row r="3687" ht="14.25" customHeight="1" s="40">
      <c r="A3687" s="24" t="n"/>
      <c r="B3687" s="27" t="n"/>
      <c r="C3687" s="24" t="n"/>
      <c r="D3687" s="28" t="n"/>
      <c r="E3687" s="29" t="n"/>
      <c r="F3687" s="24" t="n"/>
      <c r="G3687" s="24" t="n"/>
      <c r="H3687" s="21">
        <f>IF(ISNUMBER($B3687),INT($B3687)-WEEKDAY($B3687,2)+1,"")</f>
        <v/>
      </c>
      <c r="I3687" s="24" t="n"/>
      <c r="J3687" s="22">
        <f t="array" ref="J3687">IF($D3687="","",IF($I3687="","(trống REF)",IFERROR(INDEX(MASTER_SOURCE!$B$2:$B$495,MATCH($I3687,MASTER_SOURCE!$A$2:$A$495,0)),"(REF không có trong MASTER_SOURCE)")))</f>
        <v/>
      </c>
      <c r="K3687" s="22">
        <f t="array" ref="K3687">IF($D3687="","",IFERROR(INDEX(MASTER_SOURCE!$C$2:$C$495,MATCH($I3687,MASTER_SOURCE!$A$2:$A$495,0)),""))</f>
        <v/>
      </c>
      <c r="L3687" s="22">
        <f t="array" ref="L3687">IF($D3687="","",IFERROR(INDEX(MASTER_SOURCE!$D$2:$D$495,MATCH($I3687,MASTER_SOURCE!$A$2:$A$495,0)),""))</f>
        <v/>
      </c>
      <c r="M3687" s="24" t="n"/>
      <c r="N3687" s="24" t="n"/>
      <c r="O3687" s="24" t="n"/>
      <c r="P3687" s="24" t="n"/>
      <c r="Q3687" s="22">
        <f>IF($D3687="","",IF(AND(OR(DANH_MUC!$L$5&lt;&gt;"Có",M3687="Có"),OR(DANH_MUC!$L$6&lt;&gt;"Có",N3687="Có"),OR(DANH_MUC!$L$7&lt;&gt;"Có",O3687="Có"),OR(DANH_MUC!$L$8&lt;&gt;"Có",P3687="Có")),"Có","Không"))</f>
        <v/>
      </c>
      <c r="R3687" s="22">
        <f>IF($D3687="","",IF(COUNTIF($D$2:$D3687,$D3687)&gt;1,"Trùng",""))</f>
        <v/>
      </c>
      <c r="S3687" s="22">
        <f>IF($D3687="","",IF(AND(LEN($D3687)=10,LEFT($D3687,1)="0",ISNUMBER(--$D3687)),"Có","Không"))</f>
        <v/>
      </c>
      <c r="T3687" s="22">
        <f>IF($D3687="","",IF(AND($C3687&lt;&gt;"",$Q3687="Có",$R3687="",$S3687="Có",AND($L3687&lt;&gt;"",OR($L3687&lt;&gt;"Chưa xác định",DANH_MUC!$L$9="Có"))),"Có","Không"))</f>
        <v/>
      </c>
      <c r="U3687" s="22">
        <f>IF(OR($D3687="",$T3687="Có"),"",IF($C3687="","Thiếu họ tên; ","")&amp;IF($S3687&lt;&gt;"Có","SĐT sai định dạng; ","")&amp;IF($R3687="Trùng","Trùng SĐT; ","")&amp;IF($Q3687&lt;&gt;"Có","Thiếu đồng ý bắt buộc; ","")&amp;IF($L3687="","Thiếu/sai Mã REF; ",IF(AND($L3687="Chưa xác định",DANH_MUC!$L$9&lt;&gt;"Có"),"Nguồn chưa xác định; ","")))</f>
        <v/>
      </c>
      <c r="V3687" s="22">
        <f>IF(OR($D3687="",$R3687="Trùng"),"",IF(COUNTIF(ORDERS!$C$2:$C$4995,$D3687)&gt;0,"Có","Không"))</f>
        <v/>
      </c>
      <c r="W3687" s="22">
        <f>IF(OR($D3687="",$R3687="Trùng"),"",COUNTIFS(ORDERS!$C$2:$C$4995,$D3687,ORDERS!$L$2:$L$4995,"Đã chuyển khoản"))</f>
        <v/>
      </c>
      <c r="X3687" s="23">
        <f>IF(OR($D3687="",$R3687="Trùng"),"",SUMIFS(ORDERS!$J$2:$J$4995,ORDERS!$C$2:$C$4995,$D3687,ORDERS!$L$2:$L$4995,"Đã chuyển khoản"))</f>
        <v/>
      </c>
      <c r="Y3687" s="24" t="n"/>
    </row>
    <row r="3688" ht="14.25" customHeight="1" s="40">
      <c r="A3688" s="24" t="n"/>
      <c r="B3688" s="27" t="n"/>
      <c r="C3688" s="24" t="n"/>
      <c r="D3688" s="28" t="n"/>
      <c r="E3688" s="29" t="n"/>
      <c r="F3688" s="24" t="n"/>
      <c r="G3688" s="24" t="n"/>
      <c r="H3688" s="21">
        <f>IF(ISNUMBER($B3688),INT($B3688)-WEEKDAY($B3688,2)+1,"")</f>
        <v/>
      </c>
      <c r="I3688" s="24" t="n"/>
      <c r="J3688" s="22">
        <f t="array" ref="J3688">IF($D3688="","",IF($I3688="","(trống REF)",IFERROR(INDEX(MASTER_SOURCE!$B$2:$B$495,MATCH($I3688,MASTER_SOURCE!$A$2:$A$495,0)),"(REF không có trong MASTER_SOURCE)")))</f>
        <v/>
      </c>
      <c r="K3688" s="22">
        <f t="array" ref="K3688">IF($D3688="","",IFERROR(INDEX(MASTER_SOURCE!$C$2:$C$495,MATCH($I3688,MASTER_SOURCE!$A$2:$A$495,0)),""))</f>
        <v/>
      </c>
      <c r="L3688" s="22">
        <f t="array" ref="L3688">IF($D3688="","",IFERROR(INDEX(MASTER_SOURCE!$D$2:$D$495,MATCH($I3688,MASTER_SOURCE!$A$2:$A$495,0)),""))</f>
        <v/>
      </c>
      <c r="M3688" s="24" t="n"/>
      <c r="N3688" s="24" t="n"/>
      <c r="O3688" s="24" t="n"/>
      <c r="P3688" s="24" t="n"/>
      <c r="Q3688" s="22">
        <f>IF($D3688="","",IF(AND(OR(DANH_MUC!$L$5&lt;&gt;"Có",M3688="Có"),OR(DANH_MUC!$L$6&lt;&gt;"Có",N3688="Có"),OR(DANH_MUC!$L$7&lt;&gt;"Có",O3688="Có"),OR(DANH_MUC!$L$8&lt;&gt;"Có",P3688="Có")),"Có","Không"))</f>
        <v/>
      </c>
      <c r="R3688" s="22">
        <f>IF($D3688="","",IF(COUNTIF($D$2:$D3688,$D3688)&gt;1,"Trùng",""))</f>
        <v/>
      </c>
      <c r="S3688" s="22">
        <f>IF($D3688="","",IF(AND(LEN($D3688)=10,LEFT($D3688,1)="0",ISNUMBER(--$D3688)),"Có","Không"))</f>
        <v/>
      </c>
      <c r="T3688" s="22">
        <f>IF($D3688="","",IF(AND($C3688&lt;&gt;"",$Q3688="Có",$R3688="",$S3688="Có",AND($L3688&lt;&gt;"",OR($L3688&lt;&gt;"Chưa xác định",DANH_MUC!$L$9="Có"))),"Có","Không"))</f>
        <v/>
      </c>
      <c r="U3688" s="22">
        <f>IF(OR($D3688="",$T3688="Có"),"",IF($C3688="","Thiếu họ tên; ","")&amp;IF($S3688&lt;&gt;"Có","SĐT sai định dạng; ","")&amp;IF($R3688="Trùng","Trùng SĐT; ","")&amp;IF($Q3688&lt;&gt;"Có","Thiếu đồng ý bắt buộc; ","")&amp;IF($L3688="","Thiếu/sai Mã REF; ",IF(AND($L3688="Chưa xác định",DANH_MUC!$L$9&lt;&gt;"Có"),"Nguồn chưa xác định; ","")))</f>
        <v/>
      </c>
      <c r="V3688" s="22">
        <f>IF(OR($D3688="",$R3688="Trùng"),"",IF(COUNTIF(ORDERS!$C$2:$C$4995,$D3688)&gt;0,"Có","Không"))</f>
        <v/>
      </c>
      <c r="W3688" s="22">
        <f>IF(OR($D3688="",$R3688="Trùng"),"",COUNTIFS(ORDERS!$C$2:$C$4995,$D3688,ORDERS!$L$2:$L$4995,"Đã chuyển khoản"))</f>
        <v/>
      </c>
      <c r="X3688" s="23">
        <f>IF(OR($D3688="",$R3688="Trùng"),"",SUMIFS(ORDERS!$J$2:$J$4995,ORDERS!$C$2:$C$4995,$D3688,ORDERS!$L$2:$L$4995,"Đã chuyển khoản"))</f>
        <v/>
      </c>
      <c r="Y3688" s="24" t="n"/>
    </row>
    <row r="3689" ht="14.25" customHeight="1" s="40">
      <c r="A3689" s="24" t="n"/>
      <c r="B3689" s="27" t="n"/>
      <c r="C3689" s="24" t="n"/>
      <c r="D3689" s="28" t="n"/>
      <c r="E3689" s="29" t="n"/>
      <c r="F3689" s="24" t="n"/>
      <c r="G3689" s="24" t="n"/>
      <c r="H3689" s="21">
        <f>IF(ISNUMBER($B3689),INT($B3689)-WEEKDAY($B3689,2)+1,"")</f>
        <v/>
      </c>
      <c r="I3689" s="24" t="n"/>
      <c r="J3689" s="22">
        <f t="array" ref="J3689">IF($D3689="","",IF($I3689="","(trống REF)",IFERROR(INDEX(MASTER_SOURCE!$B$2:$B$495,MATCH($I3689,MASTER_SOURCE!$A$2:$A$495,0)),"(REF không có trong MASTER_SOURCE)")))</f>
        <v/>
      </c>
      <c r="K3689" s="22">
        <f t="array" ref="K3689">IF($D3689="","",IFERROR(INDEX(MASTER_SOURCE!$C$2:$C$495,MATCH($I3689,MASTER_SOURCE!$A$2:$A$495,0)),""))</f>
        <v/>
      </c>
      <c r="L3689" s="22">
        <f t="array" ref="L3689">IF($D3689="","",IFERROR(INDEX(MASTER_SOURCE!$D$2:$D$495,MATCH($I3689,MASTER_SOURCE!$A$2:$A$495,0)),""))</f>
        <v/>
      </c>
      <c r="M3689" s="24" t="n"/>
      <c r="N3689" s="24" t="n"/>
      <c r="O3689" s="24" t="n"/>
      <c r="P3689" s="24" t="n"/>
      <c r="Q3689" s="22">
        <f>IF($D3689="","",IF(AND(OR(DANH_MUC!$L$5&lt;&gt;"Có",M3689="Có"),OR(DANH_MUC!$L$6&lt;&gt;"Có",N3689="Có"),OR(DANH_MUC!$L$7&lt;&gt;"Có",O3689="Có"),OR(DANH_MUC!$L$8&lt;&gt;"Có",P3689="Có")),"Có","Không"))</f>
        <v/>
      </c>
      <c r="R3689" s="22">
        <f>IF($D3689="","",IF(COUNTIF($D$2:$D3689,$D3689)&gt;1,"Trùng",""))</f>
        <v/>
      </c>
      <c r="S3689" s="22">
        <f>IF($D3689="","",IF(AND(LEN($D3689)=10,LEFT($D3689,1)="0",ISNUMBER(--$D3689)),"Có","Không"))</f>
        <v/>
      </c>
      <c r="T3689" s="22">
        <f>IF($D3689="","",IF(AND($C3689&lt;&gt;"",$Q3689="Có",$R3689="",$S3689="Có",AND($L3689&lt;&gt;"",OR($L3689&lt;&gt;"Chưa xác định",DANH_MUC!$L$9="Có"))),"Có","Không"))</f>
        <v/>
      </c>
      <c r="U3689" s="22">
        <f>IF(OR($D3689="",$T3689="Có"),"",IF($C3689="","Thiếu họ tên; ","")&amp;IF($S3689&lt;&gt;"Có","SĐT sai định dạng; ","")&amp;IF($R3689="Trùng","Trùng SĐT; ","")&amp;IF($Q3689&lt;&gt;"Có","Thiếu đồng ý bắt buộc; ","")&amp;IF($L3689="","Thiếu/sai Mã REF; ",IF(AND($L3689="Chưa xác định",DANH_MUC!$L$9&lt;&gt;"Có"),"Nguồn chưa xác định; ","")))</f>
        <v/>
      </c>
      <c r="V3689" s="22">
        <f>IF(OR($D3689="",$R3689="Trùng"),"",IF(COUNTIF(ORDERS!$C$2:$C$4995,$D3689)&gt;0,"Có","Không"))</f>
        <v/>
      </c>
      <c r="W3689" s="22">
        <f>IF(OR($D3689="",$R3689="Trùng"),"",COUNTIFS(ORDERS!$C$2:$C$4995,$D3689,ORDERS!$L$2:$L$4995,"Đã chuyển khoản"))</f>
        <v/>
      </c>
      <c r="X3689" s="23">
        <f>IF(OR($D3689="",$R3689="Trùng"),"",SUMIFS(ORDERS!$J$2:$J$4995,ORDERS!$C$2:$C$4995,$D3689,ORDERS!$L$2:$L$4995,"Đã chuyển khoản"))</f>
        <v/>
      </c>
      <c r="Y3689" s="24" t="n"/>
    </row>
    <row r="3690" ht="14.25" customHeight="1" s="40">
      <c r="A3690" s="24" t="n"/>
      <c r="B3690" s="27" t="n"/>
      <c r="C3690" s="24" t="n"/>
      <c r="D3690" s="28" t="n"/>
      <c r="E3690" s="29" t="n"/>
      <c r="F3690" s="24" t="n"/>
      <c r="G3690" s="24" t="n"/>
      <c r="H3690" s="21">
        <f>IF(ISNUMBER($B3690),INT($B3690)-WEEKDAY($B3690,2)+1,"")</f>
        <v/>
      </c>
      <c r="I3690" s="24" t="n"/>
      <c r="J3690" s="22">
        <f t="array" ref="J3690">IF($D3690="","",IF($I3690="","(trống REF)",IFERROR(INDEX(MASTER_SOURCE!$B$2:$B$495,MATCH($I3690,MASTER_SOURCE!$A$2:$A$495,0)),"(REF không có trong MASTER_SOURCE)")))</f>
        <v/>
      </c>
      <c r="K3690" s="22">
        <f t="array" ref="K3690">IF($D3690="","",IFERROR(INDEX(MASTER_SOURCE!$C$2:$C$495,MATCH($I3690,MASTER_SOURCE!$A$2:$A$495,0)),""))</f>
        <v/>
      </c>
      <c r="L3690" s="22">
        <f t="array" ref="L3690">IF($D3690="","",IFERROR(INDEX(MASTER_SOURCE!$D$2:$D$495,MATCH($I3690,MASTER_SOURCE!$A$2:$A$495,0)),""))</f>
        <v/>
      </c>
      <c r="M3690" s="24" t="n"/>
      <c r="N3690" s="24" t="n"/>
      <c r="O3690" s="24" t="n"/>
      <c r="P3690" s="24" t="n"/>
      <c r="Q3690" s="22">
        <f>IF($D3690="","",IF(AND(OR(DANH_MUC!$L$5&lt;&gt;"Có",M3690="Có"),OR(DANH_MUC!$L$6&lt;&gt;"Có",N3690="Có"),OR(DANH_MUC!$L$7&lt;&gt;"Có",O3690="Có"),OR(DANH_MUC!$L$8&lt;&gt;"Có",P3690="Có")),"Có","Không"))</f>
        <v/>
      </c>
      <c r="R3690" s="22">
        <f>IF($D3690="","",IF(COUNTIF($D$2:$D3690,$D3690)&gt;1,"Trùng",""))</f>
        <v/>
      </c>
      <c r="S3690" s="22">
        <f>IF($D3690="","",IF(AND(LEN($D3690)=10,LEFT($D3690,1)="0",ISNUMBER(--$D3690)),"Có","Không"))</f>
        <v/>
      </c>
      <c r="T3690" s="22">
        <f>IF($D3690="","",IF(AND($C3690&lt;&gt;"",$Q3690="Có",$R3690="",$S3690="Có",AND($L3690&lt;&gt;"",OR($L3690&lt;&gt;"Chưa xác định",DANH_MUC!$L$9="Có"))),"Có","Không"))</f>
        <v/>
      </c>
      <c r="U3690" s="22">
        <f>IF(OR($D3690="",$T3690="Có"),"",IF($C3690="","Thiếu họ tên; ","")&amp;IF($S3690&lt;&gt;"Có","SĐT sai định dạng; ","")&amp;IF($R3690="Trùng","Trùng SĐT; ","")&amp;IF($Q3690&lt;&gt;"Có","Thiếu đồng ý bắt buộc; ","")&amp;IF($L3690="","Thiếu/sai Mã REF; ",IF(AND($L3690="Chưa xác định",DANH_MUC!$L$9&lt;&gt;"Có"),"Nguồn chưa xác định; ","")))</f>
        <v/>
      </c>
      <c r="V3690" s="22">
        <f>IF(OR($D3690="",$R3690="Trùng"),"",IF(COUNTIF(ORDERS!$C$2:$C$4995,$D3690)&gt;0,"Có","Không"))</f>
        <v/>
      </c>
      <c r="W3690" s="22">
        <f>IF(OR($D3690="",$R3690="Trùng"),"",COUNTIFS(ORDERS!$C$2:$C$4995,$D3690,ORDERS!$L$2:$L$4995,"Đã chuyển khoản"))</f>
        <v/>
      </c>
      <c r="X3690" s="23">
        <f>IF(OR($D3690="",$R3690="Trùng"),"",SUMIFS(ORDERS!$J$2:$J$4995,ORDERS!$C$2:$C$4995,$D3690,ORDERS!$L$2:$L$4995,"Đã chuyển khoản"))</f>
        <v/>
      </c>
      <c r="Y3690" s="24" t="n"/>
    </row>
    <row r="3691" ht="14.25" customHeight="1" s="40">
      <c r="A3691" s="24" t="n"/>
      <c r="B3691" s="27" t="n"/>
      <c r="C3691" s="24" t="n"/>
      <c r="D3691" s="28" t="n"/>
      <c r="E3691" s="29" t="n"/>
      <c r="F3691" s="24" t="n"/>
      <c r="G3691" s="24" t="n"/>
      <c r="H3691" s="21">
        <f>IF(ISNUMBER($B3691),INT($B3691)-WEEKDAY($B3691,2)+1,"")</f>
        <v/>
      </c>
      <c r="I3691" s="24" t="n"/>
      <c r="J3691" s="22">
        <f t="array" ref="J3691">IF($D3691="","",IF($I3691="","(trống REF)",IFERROR(INDEX(MASTER_SOURCE!$B$2:$B$495,MATCH($I3691,MASTER_SOURCE!$A$2:$A$495,0)),"(REF không có trong MASTER_SOURCE)")))</f>
        <v/>
      </c>
      <c r="K3691" s="22">
        <f t="array" ref="K3691">IF($D3691="","",IFERROR(INDEX(MASTER_SOURCE!$C$2:$C$495,MATCH($I3691,MASTER_SOURCE!$A$2:$A$495,0)),""))</f>
        <v/>
      </c>
      <c r="L3691" s="22">
        <f t="array" ref="L3691">IF($D3691="","",IFERROR(INDEX(MASTER_SOURCE!$D$2:$D$495,MATCH($I3691,MASTER_SOURCE!$A$2:$A$495,0)),""))</f>
        <v/>
      </c>
      <c r="M3691" s="24" t="n"/>
      <c r="N3691" s="24" t="n"/>
      <c r="O3691" s="24" t="n"/>
      <c r="P3691" s="24" t="n"/>
      <c r="Q3691" s="22">
        <f>IF($D3691="","",IF(AND(OR(DANH_MUC!$L$5&lt;&gt;"Có",M3691="Có"),OR(DANH_MUC!$L$6&lt;&gt;"Có",N3691="Có"),OR(DANH_MUC!$L$7&lt;&gt;"Có",O3691="Có"),OR(DANH_MUC!$L$8&lt;&gt;"Có",P3691="Có")),"Có","Không"))</f>
        <v/>
      </c>
      <c r="R3691" s="22">
        <f>IF($D3691="","",IF(COUNTIF($D$2:$D3691,$D3691)&gt;1,"Trùng",""))</f>
        <v/>
      </c>
      <c r="S3691" s="22">
        <f>IF($D3691="","",IF(AND(LEN($D3691)=10,LEFT($D3691,1)="0",ISNUMBER(--$D3691)),"Có","Không"))</f>
        <v/>
      </c>
      <c r="T3691" s="22">
        <f>IF($D3691="","",IF(AND($C3691&lt;&gt;"",$Q3691="Có",$R3691="",$S3691="Có",AND($L3691&lt;&gt;"",OR($L3691&lt;&gt;"Chưa xác định",DANH_MUC!$L$9="Có"))),"Có","Không"))</f>
        <v/>
      </c>
      <c r="U3691" s="22">
        <f>IF(OR($D3691="",$T3691="Có"),"",IF($C3691="","Thiếu họ tên; ","")&amp;IF($S3691&lt;&gt;"Có","SĐT sai định dạng; ","")&amp;IF($R3691="Trùng","Trùng SĐT; ","")&amp;IF($Q3691&lt;&gt;"Có","Thiếu đồng ý bắt buộc; ","")&amp;IF($L3691="","Thiếu/sai Mã REF; ",IF(AND($L3691="Chưa xác định",DANH_MUC!$L$9&lt;&gt;"Có"),"Nguồn chưa xác định; ","")))</f>
        <v/>
      </c>
      <c r="V3691" s="22">
        <f>IF(OR($D3691="",$R3691="Trùng"),"",IF(COUNTIF(ORDERS!$C$2:$C$4995,$D3691)&gt;0,"Có","Không"))</f>
        <v/>
      </c>
      <c r="W3691" s="22">
        <f>IF(OR($D3691="",$R3691="Trùng"),"",COUNTIFS(ORDERS!$C$2:$C$4995,$D3691,ORDERS!$L$2:$L$4995,"Đã chuyển khoản"))</f>
        <v/>
      </c>
      <c r="X3691" s="23">
        <f>IF(OR($D3691="",$R3691="Trùng"),"",SUMIFS(ORDERS!$J$2:$J$4995,ORDERS!$C$2:$C$4995,$D3691,ORDERS!$L$2:$L$4995,"Đã chuyển khoản"))</f>
        <v/>
      </c>
      <c r="Y3691" s="24" t="n"/>
    </row>
    <row r="3692" ht="14.25" customHeight="1" s="40">
      <c r="A3692" s="24" t="n"/>
      <c r="B3692" s="27" t="n"/>
      <c r="C3692" s="24" t="n"/>
      <c r="D3692" s="28" t="n"/>
      <c r="E3692" s="29" t="n"/>
      <c r="F3692" s="24" t="n"/>
      <c r="G3692" s="24" t="n"/>
      <c r="H3692" s="21">
        <f>IF(ISNUMBER($B3692),INT($B3692)-WEEKDAY($B3692,2)+1,"")</f>
        <v/>
      </c>
      <c r="I3692" s="24" t="n"/>
      <c r="J3692" s="22">
        <f t="array" ref="J3692">IF($D3692="","",IF($I3692="","(trống REF)",IFERROR(INDEX(MASTER_SOURCE!$B$2:$B$495,MATCH($I3692,MASTER_SOURCE!$A$2:$A$495,0)),"(REF không có trong MASTER_SOURCE)")))</f>
        <v/>
      </c>
      <c r="K3692" s="22">
        <f t="array" ref="K3692">IF($D3692="","",IFERROR(INDEX(MASTER_SOURCE!$C$2:$C$495,MATCH($I3692,MASTER_SOURCE!$A$2:$A$495,0)),""))</f>
        <v/>
      </c>
      <c r="L3692" s="22">
        <f t="array" ref="L3692">IF($D3692="","",IFERROR(INDEX(MASTER_SOURCE!$D$2:$D$495,MATCH($I3692,MASTER_SOURCE!$A$2:$A$495,0)),""))</f>
        <v/>
      </c>
      <c r="M3692" s="24" t="n"/>
      <c r="N3692" s="24" t="n"/>
      <c r="O3692" s="24" t="n"/>
      <c r="P3692" s="24" t="n"/>
      <c r="Q3692" s="22">
        <f>IF($D3692="","",IF(AND(OR(DANH_MUC!$L$5&lt;&gt;"Có",M3692="Có"),OR(DANH_MUC!$L$6&lt;&gt;"Có",N3692="Có"),OR(DANH_MUC!$L$7&lt;&gt;"Có",O3692="Có"),OR(DANH_MUC!$L$8&lt;&gt;"Có",P3692="Có")),"Có","Không"))</f>
        <v/>
      </c>
      <c r="R3692" s="22">
        <f>IF($D3692="","",IF(COUNTIF($D$2:$D3692,$D3692)&gt;1,"Trùng",""))</f>
        <v/>
      </c>
      <c r="S3692" s="22">
        <f>IF($D3692="","",IF(AND(LEN($D3692)=10,LEFT($D3692,1)="0",ISNUMBER(--$D3692)),"Có","Không"))</f>
        <v/>
      </c>
      <c r="T3692" s="22">
        <f>IF($D3692="","",IF(AND($C3692&lt;&gt;"",$Q3692="Có",$R3692="",$S3692="Có",AND($L3692&lt;&gt;"",OR($L3692&lt;&gt;"Chưa xác định",DANH_MUC!$L$9="Có"))),"Có","Không"))</f>
        <v/>
      </c>
      <c r="U3692" s="22">
        <f>IF(OR($D3692="",$T3692="Có"),"",IF($C3692="","Thiếu họ tên; ","")&amp;IF($S3692&lt;&gt;"Có","SĐT sai định dạng; ","")&amp;IF($R3692="Trùng","Trùng SĐT; ","")&amp;IF($Q3692&lt;&gt;"Có","Thiếu đồng ý bắt buộc; ","")&amp;IF($L3692="","Thiếu/sai Mã REF; ",IF(AND($L3692="Chưa xác định",DANH_MUC!$L$9&lt;&gt;"Có"),"Nguồn chưa xác định; ","")))</f>
        <v/>
      </c>
      <c r="V3692" s="22">
        <f>IF(OR($D3692="",$R3692="Trùng"),"",IF(COUNTIF(ORDERS!$C$2:$C$4995,$D3692)&gt;0,"Có","Không"))</f>
        <v/>
      </c>
      <c r="W3692" s="22">
        <f>IF(OR($D3692="",$R3692="Trùng"),"",COUNTIFS(ORDERS!$C$2:$C$4995,$D3692,ORDERS!$L$2:$L$4995,"Đã chuyển khoản"))</f>
        <v/>
      </c>
      <c r="X3692" s="23">
        <f>IF(OR($D3692="",$R3692="Trùng"),"",SUMIFS(ORDERS!$J$2:$J$4995,ORDERS!$C$2:$C$4995,$D3692,ORDERS!$L$2:$L$4995,"Đã chuyển khoản"))</f>
        <v/>
      </c>
      <c r="Y3692" s="24" t="n"/>
    </row>
    <row r="3693" ht="14.25" customHeight="1" s="40">
      <c r="A3693" s="24" t="n"/>
      <c r="B3693" s="27" t="n"/>
      <c r="C3693" s="24" t="n"/>
      <c r="D3693" s="28" t="n"/>
      <c r="E3693" s="29" t="n"/>
      <c r="F3693" s="24" t="n"/>
      <c r="G3693" s="24" t="n"/>
      <c r="H3693" s="21">
        <f>IF(ISNUMBER($B3693),INT($B3693)-WEEKDAY($B3693,2)+1,"")</f>
        <v/>
      </c>
      <c r="I3693" s="24" t="n"/>
      <c r="J3693" s="22">
        <f t="array" ref="J3693">IF($D3693="","",IF($I3693="","(trống REF)",IFERROR(INDEX(MASTER_SOURCE!$B$2:$B$495,MATCH($I3693,MASTER_SOURCE!$A$2:$A$495,0)),"(REF không có trong MASTER_SOURCE)")))</f>
        <v/>
      </c>
      <c r="K3693" s="22">
        <f t="array" ref="K3693">IF($D3693="","",IFERROR(INDEX(MASTER_SOURCE!$C$2:$C$495,MATCH($I3693,MASTER_SOURCE!$A$2:$A$495,0)),""))</f>
        <v/>
      </c>
      <c r="L3693" s="22">
        <f t="array" ref="L3693">IF($D3693="","",IFERROR(INDEX(MASTER_SOURCE!$D$2:$D$495,MATCH($I3693,MASTER_SOURCE!$A$2:$A$495,0)),""))</f>
        <v/>
      </c>
      <c r="M3693" s="24" t="n"/>
      <c r="N3693" s="24" t="n"/>
      <c r="O3693" s="24" t="n"/>
      <c r="P3693" s="24" t="n"/>
      <c r="Q3693" s="22">
        <f>IF($D3693="","",IF(AND(OR(DANH_MUC!$L$5&lt;&gt;"Có",M3693="Có"),OR(DANH_MUC!$L$6&lt;&gt;"Có",N3693="Có"),OR(DANH_MUC!$L$7&lt;&gt;"Có",O3693="Có"),OR(DANH_MUC!$L$8&lt;&gt;"Có",P3693="Có")),"Có","Không"))</f>
        <v/>
      </c>
      <c r="R3693" s="22">
        <f>IF($D3693="","",IF(COUNTIF($D$2:$D3693,$D3693)&gt;1,"Trùng",""))</f>
        <v/>
      </c>
      <c r="S3693" s="22">
        <f>IF($D3693="","",IF(AND(LEN($D3693)=10,LEFT($D3693,1)="0",ISNUMBER(--$D3693)),"Có","Không"))</f>
        <v/>
      </c>
      <c r="T3693" s="22">
        <f>IF($D3693="","",IF(AND($C3693&lt;&gt;"",$Q3693="Có",$R3693="",$S3693="Có",AND($L3693&lt;&gt;"",OR($L3693&lt;&gt;"Chưa xác định",DANH_MUC!$L$9="Có"))),"Có","Không"))</f>
        <v/>
      </c>
      <c r="U3693" s="22">
        <f>IF(OR($D3693="",$T3693="Có"),"",IF($C3693="","Thiếu họ tên; ","")&amp;IF($S3693&lt;&gt;"Có","SĐT sai định dạng; ","")&amp;IF($R3693="Trùng","Trùng SĐT; ","")&amp;IF($Q3693&lt;&gt;"Có","Thiếu đồng ý bắt buộc; ","")&amp;IF($L3693="","Thiếu/sai Mã REF; ",IF(AND($L3693="Chưa xác định",DANH_MUC!$L$9&lt;&gt;"Có"),"Nguồn chưa xác định; ","")))</f>
        <v/>
      </c>
      <c r="V3693" s="22">
        <f>IF(OR($D3693="",$R3693="Trùng"),"",IF(COUNTIF(ORDERS!$C$2:$C$4995,$D3693)&gt;0,"Có","Không"))</f>
        <v/>
      </c>
      <c r="W3693" s="22">
        <f>IF(OR($D3693="",$R3693="Trùng"),"",COUNTIFS(ORDERS!$C$2:$C$4995,$D3693,ORDERS!$L$2:$L$4995,"Đã chuyển khoản"))</f>
        <v/>
      </c>
      <c r="X3693" s="23">
        <f>IF(OR($D3693="",$R3693="Trùng"),"",SUMIFS(ORDERS!$J$2:$J$4995,ORDERS!$C$2:$C$4995,$D3693,ORDERS!$L$2:$L$4995,"Đã chuyển khoản"))</f>
        <v/>
      </c>
      <c r="Y3693" s="24" t="n"/>
    </row>
    <row r="3694" ht="14.25" customHeight="1" s="40">
      <c r="A3694" s="24" t="n"/>
      <c r="B3694" s="27" t="n"/>
      <c r="C3694" s="24" t="n"/>
      <c r="D3694" s="28" t="n"/>
      <c r="E3694" s="29" t="n"/>
      <c r="F3694" s="24" t="n"/>
      <c r="G3694" s="24" t="n"/>
      <c r="H3694" s="21">
        <f>IF(ISNUMBER($B3694),INT($B3694)-WEEKDAY($B3694,2)+1,"")</f>
        <v/>
      </c>
      <c r="I3694" s="24" t="n"/>
      <c r="J3694" s="22">
        <f t="array" ref="J3694">IF($D3694="","",IF($I3694="","(trống REF)",IFERROR(INDEX(MASTER_SOURCE!$B$2:$B$495,MATCH($I3694,MASTER_SOURCE!$A$2:$A$495,0)),"(REF không có trong MASTER_SOURCE)")))</f>
        <v/>
      </c>
      <c r="K3694" s="22">
        <f t="array" ref="K3694">IF($D3694="","",IFERROR(INDEX(MASTER_SOURCE!$C$2:$C$495,MATCH($I3694,MASTER_SOURCE!$A$2:$A$495,0)),""))</f>
        <v/>
      </c>
      <c r="L3694" s="22">
        <f t="array" ref="L3694">IF($D3694="","",IFERROR(INDEX(MASTER_SOURCE!$D$2:$D$495,MATCH($I3694,MASTER_SOURCE!$A$2:$A$495,0)),""))</f>
        <v/>
      </c>
      <c r="M3694" s="24" t="n"/>
      <c r="N3694" s="24" t="n"/>
      <c r="O3694" s="24" t="n"/>
      <c r="P3694" s="24" t="n"/>
      <c r="Q3694" s="22">
        <f>IF($D3694="","",IF(AND(OR(DANH_MUC!$L$5&lt;&gt;"Có",M3694="Có"),OR(DANH_MUC!$L$6&lt;&gt;"Có",N3694="Có"),OR(DANH_MUC!$L$7&lt;&gt;"Có",O3694="Có"),OR(DANH_MUC!$L$8&lt;&gt;"Có",P3694="Có")),"Có","Không"))</f>
        <v/>
      </c>
      <c r="R3694" s="22">
        <f>IF($D3694="","",IF(COUNTIF($D$2:$D3694,$D3694)&gt;1,"Trùng",""))</f>
        <v/>
      </c>
      <c r="S3694" s="22">
        <f>IF($D3694="","",IF(AND(LEN($D3694)=10,LEFT($D3694,1)="0",ISNUMBER(--$D3694)),"Có","Không"))</f>
        <v/>
      </c>
      <c r="T3694" s="22">
        <f>IF($D3694="","",IF(AND($C3694&lt;&gt;"",$Q3694="Có",$R3694="",$S3694="Có",AND($L3694&lt;&gt;"",OR($L3694&lt;&gt;"Chưa xác định",DANH_MUC!$L$9="Có"))),"Có","Không"))</f>
        <v/>
      </c>
      <c r="U3694" s="22">
        <f>IF(OR($D3694="",$T3694="Có"),"",IF($C3694="","Thiếu họ tên; ","")&amp;IF($S3694&lt;&gt;"Có","SĐT sai định dạng; ","")&amp;IF($R3694="Trùng","Trùng SĐT; ","")&amp;IF($Q3694&lt;&gt;"Có","Thiếu đồng ý bắt buộc; ","")&amp;IF($L3694="","Thiếu/sai Mã REF; ",IF(AND($L3694="Chưa xác định",DANH_MUC!$L$9&lt;&gt;"Có"),"Nguồn chưa xác định; ","")))</f>
        <v/>
      </c>
      <c r="V3694" s="22">
        <f>IF(OR($D3694="",$R3694="Trùng"),"",IF(COUNTIF(ORDERS!$C$2:$C$4995,$D3694)&gt;0,"Có","Không"))</f>
        <v/>
      </c>
      <c r="W3694" s="22">
        <f>IF(OR($D3694="",$R3694="Trùng"),"",COUNTIFS(ORDERS!$C$2:$C$4995,$D3694,ORDERS!$L$2:$L$4995,"Đã chuyển khoản"))</f>
        <v/>
      </c>
      <c r="X3694" s="23">
        <f>IF(OR($D3694="",$R3694="Trùng"),"",SUMIFS(ORDERS!$J$2:$J$4995,ORDERS!$C$2:$C$4995,$D3694,ORDERS!$L$2:$L$4995,"Đã chuyển khoản"))</f>
        <v/>
      </c>
      <c r="Y3694" s="24" t="n"/>
    </row>
    <row r="3695" ht="14.25" customHeight="1" s="40">
      <c r="A3695" s="24" t="n"/>
      <c r="B3695" s="27" t="n"/>
      <c r="C3695" s="24" t="n"/>
      <c r="D3695" s="28" t="n"/>
      <c r="E3695" s="29" t="n"/>
      <c r="F3695" s="24" t="n"/>
      <c r="G3695" s="24" t="n"/>
      <c r="H3695" s="21">
        <f>IF(ISNUMBER($B3695),INT($B3695)-WEEKDAY($B3695,2)+1,"")</f>
        <v/>
      </c>
      <c r="I3695" s="24" t="n"/>
      <c r="J3695" s="22">
        <f t="array" ref="J3695">IF($D3695="","",IF($I3695="","(trống REF)",IFERROR(INDEX(MASTER_SOURCE!$B$2:$B$495,MATCH($I3695,MASTER_SOURCE!$A$2:$A$495,0)),"(REF không có trong MASTER_SOURCE)")))</f>
        <v/>
      </c>
      <c r="K3695" s="22">
        <f t="array" ref="K3695">IF($D3695="","",IFERROR(INDEX(MASTER_SOURCE!$C$2:$C$495,MATCH($I3695,MASTER_SOURCE!$A$2:$A$495,0)),""))</f>
        <v/>
      </c>
      <c r="L3695" s="22">
        <f t="array" ref="L3695">IF($D3695="","",IFERROR(INDEX(MASTER_SOURCE!$D$2:$D$495,MATCH($I3695,MASTER_SOURCE!$A$2:$A$495,0)),""))</f>
        <v/>
      </c>
      <c r="M3695" s="24" t="n"/>
      <c r="N3695" s="24" t="n"/>
      <c r="O3695" s="24" t="n"/>
      <c r="P3695" s="24" t="n"/>
      <c r="Q3695" s="22">
        <f>IF($D3695="","",IF(AND(OR(DANH_MUC!$L$5&lt;&gt;"Có",M3695="Có"),OR(DANH_MUC!$L$6&lt;&gt;"Có",N3695="Có"),OR(DANH_MUC!$L$7&lt;&gt;"Có",O3695="Có"),OR(DANH_MUC!$L$8&lt;&gt;"Có",P3695="Có")),"Có","Không"))</f>
        <v/>
      </c>
      <c r="R3695" s="22">
        <f>IF($D3695="","",IF(COUNTIF($D$2:$D3695,$D3695)&gt;1,"Trùng",""))</f>
        <v/>
      </c>
      <c r="S3695" s="22">
        <f>IF($D3695="","",IF(AND(LEN($D3695)=10,LEFT($D3695,1)="0",ISNUMBER(--$D3695)),"Có","Không"))</f>
        <v/>
      </c>
      <c r="T3695" s="22">
        <f>IF($D3695="","",IF(AND($C3695&lt;&gt;"",$Q3695="Có",$R3695="",$S3695="Có",AND($L3695&lt;&gt;"",OR($L3695&lt;&gt;"Chưa xác định",DANH_MUC!$L$9="Có"))),"Có","Không"))</f>
        <v/>
      </c>
      <c r="U3695" s="22">
        <f>IF(OR($D3695="",$T3695="Có"),"",IF($C3695="","Thiếu họ tên; ","")&amp;IF($S3695&lt;&gt;"Có","SĐT sai định dạng; ","")&amp;IF($R3695="Trùng","Trùng SĐT; ","")&amp;IF($Q3695&lt;&gt;"Có","Thiếu đồng ý bắt buộc; ","")&amp;IF($L3695="","Thiếu/sai Mã REF; ",IF(AND($L3695="Chưa xác định",DANH_MUC!$L$9&lt;&gt;"Có"),"Nguồn chưa xác định; ","")))</f>
        <v/>
      </c>
      <c r="V3695" s="22">
        <f>IF(OR($D3695="",$R3695="Trùng"),"",IF(COUNTIF(ORDERS!$C$2:$C$4995,$D3695)&gt;0,"Có","Không"))</f>
        <v/>
      </c>
      <c r="W3695" s="22">
        <f>IF(OR($D3695="",$R3695="Trùng"),"",COUNTIFS(ORDERS!$C$2:$C$4995,$D3695,ORDERS!$L$2:$L$4995,"Đã chuyển khoản"))</f>
        <v/>
      </c>
      <c r="X3695" s="23">
        <f>IF(OR($D3695="",$R3695="Trùng"),"",SUMIFS(ORDERS!$J$2:$J$4995,ORDERS!$C$2:$C$4995,$D3695,ORDERS!$L$2:$L$4995,"Đã chuyển khoản"))</f>
        <v/>
      </c>
      <c r="Y3695" s="24" t="n"/>
    </row>
    <row r="3696" ht="14.25" customHeight="1" s="40">
      <c r="A3696" s="24" t="n"/>
      <c r="B3696" s="27" t="n"/>
      <c r="C3696" s="24" t="n"/>
      <c r="D3696" s="28" t="n"/>
      <c r="E3696" s="29" t="n"/>
      <c r="F3696" s="24" t="n"/>
      <c r="G3696" s="24" t="n"/>
      <c r="H3696" s="21">
        <f>IF(ISNUMBER($B3696),INT($B3696)-WEEKDAY($B3696,2)+1,"")</f>
        <v/>
      </c>
      <c r="I3696" s="24" t="n"/>
      <c r="J3696" s="22">
        <f t="array" ref="J3696">IF($D3696="","",IF($I3696="","(trống REF)",IFERROR(INDEX(MASTER_SOURCE!$B$2:$B$495,MATCH($I3696,MASTER_SOURCE!$A$2:$A$495,0)),"(REF không có trong MASTER_SOURCE)")))</f>
        <v/>
      </c>
      <c r="K3696" s="22">
        <f t="array" ref="K3696">IF($D3696="","",IFERROR(INDEX(MASTER_SOURCE!$C$2:$C$495,MATCH($I3696,MASTER_SOURCE!$A$2:$A$495,0)),""))</f>
        <v/>
      </c>
      <c r="L3696" s="22">
        <f t="array" ref="L3696">IF($D3696="","",IFERROR(INDEX(MASTER_SOURCE!$D$2:$D$495,MATCH($I3696,MASTER_SOURCE!$A$2:$A$495,0)),""))</f>
        <v/>
      </c>
      <c r="M3696" s="24" t="n"/>
      <c r="N3696" s="24" t="n"/>
      <c r="O3696" s="24" t="n"/>
      <c r="P3696" s="24" t="n"/>
      <c r="Q3696" s="22">
        <f>IF($D3696="","",IF(AND(OR(DANH_MUC!$L$5&lt;&gt;"Có",M3696="Có"),OR(DANH_MUC!$L$6&lt;&gt;"Có",N3696="Có"),OR(DANH_MUC!$L$7&lt;&gt;"Có",O3696="Có"),OR(DANH_MUC!$L$8&lt;&gt;"Có",P3696="Có")),"Có","Không"))</f>
        <v/>
      </c>
      <c r="R3696" s="22">
        <f>IF($D3696="","",IF(COUNTIF($D$2:$D3696,$D3696)&gt;1,"Trùng",""))</f>
        <v/>
      </c>
      <c r="S3696" s="22">
        <f>IF($D3696="","",IF(AND(LEN($D3696)=10,LEFT($D3696,1)="0",ISNUMBER(--$D3696)),"Có","Không"))</f>
        <v/>
      </c>
      <c r="T3696" s="22">
        <f>IF($D3696="","",IF(AND($C3696&lt;&gt;"",$Q3696="Có",$R3696="",$S3696="Có",AND($L3696&lt;&gt;"",OR($L3696&lt;&gt;"Chưa xác định",DANH_MUC!$L$9="Có"))),"Có","Không"))</f>
        <v/>
      </c>
      <c r="U3696" s="22">
        <f>IF(OR($D3696="",$T3696="Có"),"",IF($C3696="","Thiếu họ tên; ","")&amp;IF($S3696&lt;&gt;"Có","SĐT sai định dạng; ","")&amp;IF($R3696="Trùng","Trùng SĐT; ","")&amp;IF($Q3696&lt;&gt;"Có","Thiếu đồng ý bắt buộc; ","")&amp;IF($L3696="","Thiếu/sai Mã REF; ",IF(AND($L3696="Chưa xác định",DANH_MUC!$L$9&lt;&gt;"Có"),"Nguồn chưa xác định; ","")))</f>
        <v/>
      </c>
      <c r="V3696" s="22">
        <f>IF(OR($D3696="",$R3696="Trùng"),"",IF(COUNTIF(ORDERS!$C$2:$C$4995,$D3696)&gt;0,"Có","Không"))</f>
        <v/>
      </c>
      <c r="W3696" s="22">
        <f>IF(OR($D3696="",$R3696="Trùng"),"",COUNTIFS(ORDERS!$C$2:$C$4995,$D3696,ORDERS!$L$2:$L$4995,"Đã chuyển khoản"))</f>
        <v/>
      </c>
      <c r="X3696" s="23">
        <f>IF(OR($D3696="",$R3696="Trùng"),"",SUMIFS(ORDERS!$J$2:$J$4995,ORDERS!$C$2:$C$4995,$D3696,ORDERS!$L$2:$L$4995,"Đã chuyển khoản"))</f>
        <v/>
      </c>
      <c r="Y3696" s="24" t="n"/>
    </row>
    <row r="3697" ht="14.25" customHeight="1" s="40">
      <c r="A3697" s="24" t="n"/>
      <c r="B3697" s="27" t="n"/>
      <c r="C3697" s="24" t="n"/>
      <c r="D3697" s="28" t="n"/>
      <c r="E3697" s="29" t="n"/>
      <c r="F3697" s="24" t="n"/>
      <c r="G3697" s="24" t="n"/>
      <c r="H3697" s="21">
        <f>IF(ISNUMBER($B3697),INT($B3697)-WEEKDAY($B3697,2)+1,"")</f>
        <v/>
      </c>
      <c r="I3697" s="24" t="n"/>
      <c r="J3697" s="22">
        <f t="array" ref="J3697">IF($D3697="","",IF($I3697="","(trống REF)",IFERROR(INDEX(MASTER_SOURCE!$B$2:$B$495,MATCH($I3697,MASTER_SOURCE!$A$2:$A$495,0)),"(REF không có trong MASTER_SOURCE)")))</f>
        <v/>
      </c>
      <c r="K3697" s="22">
        <f t="array" ref="K3697">IF($D3697="","",IFERROR(INDEX(MASTER_SOURCE!$C$2:$C$495,MATCH($I3697,MASTER_SOURCE!$A$2:$A$495,0)),""))</f>
        <v/>
      </c>
      <c r="L3697" s="22">
        <f t="array" ref="L3697">IF($D3697="","",IFERROR(INDEX(MASTER_SOURCE!$D$2:$D$495,MATCH($I3697,MASTER_SOURCE!$A$2:$A$495,0)),""))</f>
        <v/>
      </c>
      <c r="M3697" s="24" t="n"/>
      <c r="N3697" s="24" t="n"/>
      <c r="O3697" s="24" t="n"/>
      <c r="P3697" s="24" t="n"/>
      <c r="Q3697" s="22">
        <f>IF($D3697="","",IF(AND(OR(DANH_MUC!$L$5&lt;&gt;"Có",M3697="Có"),OR(DANH_MUC!$L$6&lt;&gt;"Có",N3697="Có"),OR(DANH_MUC!$L$7&lt;&gt;"Có",O3697="Có"),OR(DANH_MUC!$L$8&lt;&gt;"Có",P3697="Có")),"Có","Không"))</f>
        <v/>
      </c>
      <c r="R3697" s="22">
        <f>IF($D3697="","",IF(COUNTIF($D$2:$D3697,$D3697)&gt;1,"Trùng",""))</f>
        <v/>
      </c>
      <c r="S3697" s="22">
        <f>IF($D3697="","",IF(AND(LEN($D3697)=10,LEFT($D3697,1)="0",ISNUMBER(--$D3697)),"Có","Không"))</f>
        <v/>
      </c>
      <c r="T3697" s="22">
        <f>IF($D3697="","",IF(AND($C3697&lt;&gt;"",$Q3697="Có",$R3697="",$S3697="Có",AND($L3697&lt;&gt;"",OR($L3697&lt;&gt;"Chưa xác định",DANH_MUC!$L$9="Có"))),"Có","Không"))</f>
        <v/>
      </c>
      <c r="U3697" s="22">
        <f>IF(OR($D3697="",$T3697="Có"),"",IF($C3697="","Thiếu họ tên; ","")&amp;IF($S3697&lt;&gt;"Có","SĐT sai định dạng; ","")&amp;IF($R3697="Trùng","Trùng SĐT; ","")&amp;IF($Q3697&lt;&gt;"Có","Thiếu đồng ý bắt buộc; ","")&amp;IF($L3697="","Thiếu/sai Mã REF; ",IF(AND($L3697="Chưa xác định",DANH_MUC!$L$9&lt;&gt;"Có"),"Nguồn chưa xác định; ","")))</f>
        <v/>
      </c>
      <c r="V3697" s="22">
        <f>IF(OR($D3697="",$R3697="Trùng"),"",IF(COUNTIF(ORDERS!$C$2:$C$4995,$D3697)&gt;0,"Có","Không"))</f>
        <v/>
      </c>
      <c r="W3697" s="22">
        <f>IF(OR($D3697="",$R3697="Trùng"),"",COUNTIFS(ORDERS!$C$2:$C$4995,$D3697,ORDERS!$L$2:$L$4995,"Đã chuyển khoản"))</f>
        <v/>
      </c>
      <c r="X3697" s="23">
        <f>IF(OR($D3697="",$R3697="Trùng"),"",SUMIFS(ORDERS!$J$2:$J$4995,ORDERS!$C$2:$C$4995,$D3697,ORDERS!$L$2:$L$4995,"Đã chuyển khoản"))</f>
        <v/>
      </c>
      <c r="Y3697" s="24" t="n"/>
    </row>
    <row r="3698" ht="14.25" customHeight="1" s="40">
      <c r="A3698" s="24" t="n"/>
      <c r="B3698" s="27" t="n"/>
      <c r="C3698" s="24" t="n"/>
      <c r="D3698" s="28" t="n"/>
      <c r="E3698" s="29" t="n"/>
      <c r="F3698" s="24" t="n"/>
      <c r="G3698" s="24" t="n"/>
      <c r="H3698" s="21">
        <f>IF(ISNUMBER($B3698),INT($B3698)-WEEKDAY($B3698,2)+1,"")</f>
        <v/>
      </c>
      <c r="I3698" s="24" t="n"/>
      <c r="J3698" s="22">
        <f t="array" ref="J3698">IF($D3698="","",IF($I3698="","(trống REF)",IFERROR(INDEX(MASTER_SOURCE!$B$2:$B$495,MATCH($I3698,MASTER_SOURCE!$A$2:$A$495,0)),"(REF không có trong MASTER_SOURCE)")))</f>
        <v/>
      </c>
      <c r="K3698" s="22">
        <f t="array" ref="K3698">IF($D3698="","",IFERROR(INDEX(MASTER_SOURCE!$C$2:$C$495,MATCH($I3698,MASTER_SOURCE!$A$2:$A$495,0)),""))</f>
        <v/>
      </c>
      <c r="L3698" s="22">
        <f t="array" ref="L3698">IF($D3698="","",IFERROR(INDEX(MASTER_SOURCE!$D$2:$D$495,MATCH($I3698,MASTER_SOURCE!$A$2:$A$495,0)),""))</f>
        <v/>
      </c>
      <c r="M3698" s="24" t="n"/>
      <c r="N3698" s="24" t="n"/>
      <c r="O3698" s="24" t="n"/>
      <c r="P3698" s="24" t="n"/>
      <c r="Q3698" s="22">
        <f>IF($D3698="","",IF(AND(OR(DANH_MUC!$L$5&lt;&gt;"Có",M3698="Có"),OR(DANH_MUC!$L$6&lt;&gt;"Có",N3698="Có"),OR(DANH_MUC!$L$7&lt;&gt;"Có",O3698="Có"),OR(DANH_MUC!$L$8&lt;&gt;"Có",P3698="Có")),"Có","Không"))</f>
        <v/>
      </c>
      <c r="R3698" s="22">
        <f>IF($D3698="","",IF(COUNTIF($D$2:$D3698,$D3698)&gt;1,"Trùng",""))</f>
        <v/>
      </c>
      <c r="S3698" s="22">
        <f>IF($D3698="","",IF(AND(LEN($D3698)=10,LEFT($D3698,1)="0",ISNUMBER(--$D3698)),"Có","Không"))</f>
        <v/>
      </c>
      <c r="T3698" s="22">
        <f>IF($D3698="","",IF(AND($C3698&lt;&gt;"",$Q3698="Có",$R3698="",$S3698="Có",AND($L3698&lt;&gt;"",OR($L3698&lt;&gt;"Chưa xác định",DANH_MUC!$L$9="Có"))),"Có","Không"))</f>
        <v/>
      </c>
      <c r="U3698" s="22">
        <f>IF(OR($D3698="",$T3698="Có"),"",IF($C3698="","Thiếu họ tên; ","")&amp;IF($S3698&lt;&gt;"Có","SĐT sai định dạng; ","")&amp;IF($R3698="Trùng","Trùng SĐT; ","")&amp;IF($Q3698&lt;&gt;"Có","Thiếu đồng ý bắt buộc; ","")&amp;IF($L3698="","Thiếu/sai Mã REF; ",IF(AND($L3698="Chưa xác định",DANH_MUC!$L$9&lt;&gt;"Có"),"Nguồn chưa xác định; ","")))</f>
        <v/>
      </c>
      <c r="V3698" s="22">
        <f>IF(OR($D3698="",$R3698="Trùng"),"",IF(COUNTIF(ORDERS!$C$2:$C$4995,$D3698)&gt;0,"Có","Không"))</f>
        <v/>
      </c>
      <c r="W3698" s="22">
        <f>IF(OR($D3698="",$R3698="Trùng"),"",COUNTIFS(ORDERS!$C$2:$C$4995,$D3698,ORDERS!$L$2:$L$4995,"Đã chuyển khoản"))</f>
        <v/>
      </c>
      <c r="X3698" s="23">
        <f>IF(OR($D3698="",$R3698="Trùng"),"",SUMIFS(ORDERS!$J$2:$J$4995,ORDERS!$C$2:$C$4995,$D3698,ORDERS!$L$2:$L$4995,"Đã chuyển khoản"))</f>
        <v/>
      </c>
      <c r="Y3698" s="24" t="n"/>
    </row>
    <row r="3699" ht="14.25" customHeight="1" s="40">
      <c r="A3699" s="24" t="n"/>
      <c r="B3699" s="27" t="n"/>
      <c r="C3699" s="24" t="n"/>
      <c r="D3699" s="28" t="n"/>
      <c r="E3699" s="29" t="n"/>
      <c r="F3699" s="24" t="n"/>
      <c r="G3699" s="24" t="n"/>
      <c r="H3699" s="21">
        <f>IF(ISNUMBER($B3699),INT($B3699)-WEEKDAY($B3699,2)+1,"")</f>
        <v/>
      </c>
      <c r="I3699" s="24" t="n"/>
      <c r="J3699" s="22">
        <f t="array" ref="J3699">IF($D3699="","",IF($I3699="","(trống REF)",IFERROR(INDEX(MASTER_SOURCE!$B$2:$B$495,MATCH($I3699,MASTER_SOURCE!$A$2:$A$495,0)),"(REF không có trong MASTER_SOURCE)")))</f>
        <v/>
      </c>
      <c r="K3699" s="22">
        <f t="array" ref="K3699">IF($D3699="","",IFERROR(INDEX(MASTER_SOURCE!$C$2:$C$495,MATCH($I3699,MASTER_SOURCE!$A$2:$A$495,0)),""))</f>
        <v/>
      </c>
      <c r="L3699" s="22">
        <f t="array" ref="L3699">IF($D3699="","",IFERROR(INDEX(MASTER_SOURCE!$D$2:$D$495,MATCH($I3699,MASTER_SOURCE!$A$2:$A$495,0)),""))</f>
        <v/>
      </c>
      <c r="M3699" s="24" t="n"/>
      <c r="N3699" s="24" t="n"/>
      <c r="O3699" s="24" t="n"/>
      <c r="P3699" s="24" t="n"/>
      <c r="Q3699" s="22">
        <f>IF($D3699="","",IF(AND(OR(DANH_MUC!$L$5&lt;&gt;"Có",M3699="Có"),OR(DANH_MUC!$L$6&lt;&gt;"Có",N3699="Có"),OR(DANH_MUC!$L$7&lt;&gt;"Có",O3699="Có"),OR(DANH_MUC!$L$8&lt;&gt;"Có",P3699="Có")),"Có","Không"))</f>
        <v/>
      </c>
      <c r="R3699" s="22">
        <f>IF($D3699="","",IF(COUNTIF($D$2:$D3699,$D3699)&gt;1,"Trùng",""))</f>
        <v/>
      </c>
      <c r="S3699" s="22">
        <f>IF($D3699="","",IF(AND(LEN($D3699)=10,LEFT($D3699,1)="0",ISNUMBER(--$D3699)),"Có","Không"))</f>
        <v/>
      </c>
      <c r="T3699" s="22">
        <f>IF($D3699="","",IF(AND($C3699&lt;&gt;"",$Q3699="Có",$R3699="",$S3699="Có",AND($L3699&lt;&gt;"",OR($L3699&lt;&gt;"Chưa xác định",DANH_MUC!$L$9="Có"))),"Có","Không"))</f>
        <v/>
      </c>
      <c r="U3699" s="22">
        <f>IF(OR($D3699="",$T3699="Có"),"",IF($C3699="","Thiếu họ tên; ","")&amp;IF($S3699&lt;&gt;"Có","SĐT sai định dạng; ","")&amp;IF($R3699="Trùng","Trùng SĐT; ","")&amp;IF($Q3699&lt;&gt;"Có","Thiếu đồng ý bắt buộc; ","")&amp;IF($L3699="","Thiếu/sai Mã REF; ",IF(AND($L3699="Chưa xác định",DANH_MUC!$L$9&lt;&gt;"Có"),"Nguồn chưa xác định; ","")))</f>
        <v/>
      </c>
      <c r="V3699" s="22">
        <f>IF(OR($D3699="",$R3699="Trùng"),"",IF(COUNTIF(ORDERS!$C$2:$C$4995,$D3699)&gt;0,"Có","Không"))</f>
        <v/>
      </c>
      <c r="W3699" s="22">
        <f>IF(OR($D3699="",$R3699="Trùng"),"",COUNTIFS(ORDERS!$C$2:$C$4995,$D3699,ORDERS!$L$2:$L$4995,"Đã chuyển khoản"))</f>
        <v/>
      </c>
      <c r="X3699" s="23">
        <f>IF(OR($D3699="",$R3699="Trùng"),"",SUMIFS(ORDERS!$J$2:$J$4995,ORDERS!$C$2:$C$4995,$D3699,ORDERS!$L$2:$L$4995,"Đã chuyển khoản"))</f>
        <v/>
      </c>
      <c r="Y3699" s="24" t="n"/>
    </row>
    <row r="3700" ht="14.25" customHeight="1" s="40">
      <c r="A3700" s="24" t="n"/>
      <c r="B3700" s="27" t="n"/>
      <c r="C3700" s="24" t="n"/>
      <c r="D3700" s="28" t="n"/>
      <c r="E3700" s="29" t="n"/>
      <c r="F3700" s="24" t="n"/>
      <c r="G3700" s="24" t="n"/>
      <c r="H3700" s="21">
        <f>IF(ISNUMBER($B3700),INT($B3700)-WEEKDAY($B3700,2)+1,"")</f>
        <v/>
      </c>
      <c r="I3700" s="24" t="n"/>
      <c r="J3700" s="22">
        <f t="array" ref="J3700">IF($D3700="","",IF($I3700="","(trống REF)",IFERROR(INDEX(MASTER_SOURCE!$B$2:$B$495,MATCH($I3700,MASTER_SOURCE!$A$2:$A$495,0)),"(REF không có trong MASTER_SOURCE)")))</f>
        <v/>
      </c>
      <c r="K3700" s="22">
        <f t="array" ref="K3700">IF($D3700="","",IFERROR(INDEX(MASTER_SOURCE!$C$2:$C$495,MATCH($I3700,MASTER_SOURCE!$A$2:$A$495,0)),""))</f>
        <v/>
      </c>
      <c r="L3700" s="22">
        <f t="array" ref="L3700">IF($D3700="","",IFERROR(INDEX(MASTER_SOURCE!$D$2:$D$495,MATCH($I3700,MASTER_SOURCE!$A$2:$A$495,0)),""))</f>
        <v/>
      </c>
      <c r="M3700" s="24" t="n"/>
      <c r="N3700" s="24" t="n"/>
      <c r="O3700" s="24" t="n"/>
      <c r="P3700" s="24" t="n"/>
      <c r="Q3700" s="22">
        <f>IF($D3700="","",IF(AND(OR(DANH_MUC!$L$5&lt;&gt;"Có",M3700="Có"),OR(DANH_MUC!$L$6&lt;&gt;"Có",N3700="Có"),OR(DANH_MUC!$L$7&lt;&gt;"Có",O3700="Có"),OR(DANH_MUC!$L$8&lt;&gt;"Có",P3700="Có")),"Có","Không"))</f>
        <v/>
      </c>
      <c r="R3700" s="22">
        <f>IF($D3700="","",IF(COUNTIF($D$2:$D3700,$D3700)&gt;1,"Trùng",""))</f>
        <v/>
      </c>
      <c r="S3700" s="22">
        <f>IF($D3700="","",IF(AND(LEN($D3700)=10,LEFT($D3700,1)="0",ISNUMBER(--$D3700)),"Có","Không"))</f>
        <v/>
      </c>
      <c r="T3700" s="22">
        <f>IF($D3700="","",IF(AND($C3700&lt;&gt;"",$Q3700="Có",$R3700="",$S3700="Có",AND($L3700&lt;&gt;"",OR($L3700&lt;&gt;"Chưa xác định",DANH_MUC!$L$9="Có"))),"Có","Không"))</f>
        <v/>
      </c>
      <c r="U3700" s="22">
        <f>IF(OR($D3700="",$T3700="Có"),"",IF($C3700="","Thiếu họ tên; ","")&amp;IF($S3700&lt;&gt;"Có","SĐT sai định dạng; ","")&amp;IF($R3700="Trùng","Trùng SĐT; ","")&amp;IF($Q3700&lt;&gt;"Có","Thiếu đồng ý bắt buộc; ","")&amp;IF($L3700="","Thiếu/sai Mã REF; ",IF(AND($L3700="Chưa xác định",DANH_MUC!$L$9&lt;&gt;"Có"),"Nguồn chưa xác định; ","")))</f>
        <v/>
      </c>
      <c r="V3700" s="22">
        <f>IF(OR($D3700="",$R3700="Trùng"),"",IF(COUNTIF(ORDERS!$C$2:$C$4995,$D3700)&gt;0,"Có","Không"))</f>
        <v/>
      </c>
      <c r="W3700" s="22">
        <f>IF(OR($D3700="",$R3700="Trùng"),"",COUNTIFS(ORDERS!$C$2:$C$4995,$D3700,ORDERS!$L$2:$L$4995,"Đã chuyển khoản"))</f>
        <v/>
      </c>
      <c r="X3700" s="23">
        <f>IF(OR($D3700="",$R3700="Trùng"),"",SUMIFS(ORDERS!$J$2:$J$4995,ORDERS!$C$2:$C$4995,$D3700,ORDERS!$L$2:$L$4995,"Đã chuyển khoản"))</f>
        <v/>
      </c>
      <c r="Y3700" s="24" t="n"/>
    </row>
    <row r="3701" ht="14.25" customHeight="1" s="40">
      <c r="A3701" s="24" t="n"/>
      <c r="B3701" s="27" t="n"/>
      <c r="C3701" s="24" t="n"/>
      <c r="D3701" s="28" t="n"/>
      <c r="E3701" s="29" t="n"/>
      <c r="F3701" s="24" t="n"/>
      <c r="G3701" s="24" t="n"/>
      <c r="H3701" s="21">
        <f>IF(ISNUMBER($B3701),INT($B3701)-WEEKDAY($B3701,2)+1,"")</f>
        <v/>
      </c>
      <c r="I3701" s="24" t="n"/>
      <c r="J3701" s="22">
        <f t="array" ref="J3701">IF($D3701="","",IF($I3701="","(trống REF)",IFERROR(INDEX(MASTER_SOURCE!$B$2:$B$495,MATCH($I3701,MASTER_SOURCE!$A$2:$A$495,0)),"(REF không có trong MASTER_SOURCE)")))</f>
        <v/>
      </c>
      <c r="K3701" s="22">
        <f t="array" ref="K3701">IF($D3701="","",IFERROR(INDEX(MASTER_SOURCE!$C$2:$C$495,MATCH($I3701,MASTER_SOURCE!$A$2:$A$495,0)),""))</f>
        <v/>
      </c>
      <c r="L3701" s="22">
        <f t="array" ref="L3701">IF($D3701="","",IFERROR(INDEX(MASTER_SOURCE!$D$2:$D$495,MATCH($I3701,MASTER_SOURCE!$A$2:$A$495,0)),""))</f>
        <v/>
      </c>
      <c r="M3701" s="24" t="n"/>
      <c r="N3701" s="24" t="n"/>
      <c r="O3701" s="24" t="n"/>
      <c r="P3701" s="24" t="n"/>
      <c r="Q3701" s="22">
        <f>IF($D3701="","",IF(AND(OR(DANH_MUC!$L$5&lt;&gt;"Có",M3701="Có"),OR(DANH_MUC!$L$6&lt;&gt;"Có",N3701="Có"),OR(DANH_MUC!$L$7&lt;&gt;"Có",O3701="Có"),OR(DANH_MUC!$L$8&lt;&gt;"Có",P3701="Có")),"Có","Không"))</f>
        <v/>
      </c>
      <c r="R3701" s="22">
        <f>IF($D3701="","",IF(COUNTIF($D$2:$D3701,$D3701)&gt;1,"Trùng",""))</f>
        <v/>
      </c>
      <c r="S3701" s="22">
        <f>IF($D3701="","",IF(AND(LEN($D3701)=10,LEFT($D3701,1)="0",ISNUMBER(--$D3701)),"Có","Không"))</f>
        <v/>
      </c>
      <c r="T3701" s="22">
        <f>IF($D3701="","",IF(AND($C3701&lt;&gt;"",$Q3701="Có",$R3701="",$S3701="Có",AND($L3701&lt;&gt;"",OR($L3701&lt;&gt;"Chưa xác định",DANH_MUC!$L$9="Có"))),"Có","Không"))</f>
        <v/>
      </c>
      <c r="U3701" s="22">
        <f>IF(OR($D3701="",$T3701="Có"),"",IF($C3701="","Thiếu họ tên; ","")&amp;IF($S3701&lt;&gt;"Có","SĐT sai định dạng; ","")&amp;IF($R3701="Trùng","Trùng SĐT; ","")&amp;IF($Q3701&lt;&gt;"Có","Thiếu đồng ý bắt buộc; ","")&amp;IF($L3701="","Thiếu/sai Mã REF; ",IF(AND($L3701="Chưa xác định",DANH_MUC!$L$9&lt;&gt;"Có"),"Nguồn chưa xác định; ","")))</f>
        <v/>
      </c>
      <c r="V3701" s="22">
        <f>IF(OR($D3701="",$R3701="Trùng"),"",IF(COUNTIF(ORDERS!$C$2:$C$4995,$D3701)&gt;0,"Có","Không"))</f>
        <v/>
      </c>
      <c r="W3701" s="22">
        <f>IF(OR($D3701="",$R3701="Trùng"),"",COUNTIFS(ORDERS!$C$2:$C$4995,$D3701,ORDERS!$L$2:$L$4995,"Đã chuyển khoản"))</f>
        <v/>
      </c>
      <c r="X3701" s="23">
        <f>IF(OR($D3701="",$R3701="Trùng"),"",SUMIFS(ORDERS!$J$2:$J$4995,ORDERS!$C$2:$C$4995,$D3701,ORDERS!$L$2:$L$4995,"Đã chuyển khoản"))</f>
        <v/>
      </c>
      <c r="Y3701" s="24" t="n"/>
    </row>
    <row r="3702" ht="14.25" customHeight="1" s="40">
      <c r="A3702" s="24" t="n"/>
      <c r="B3702" s="27" t="n"/>
      <c r="C3702" s="24" t="n"/>
      <c r="D3702" s="28" t="n"/>
      <c r="E3702" s="29" t="n"/>
      <c r="F3702" s="24" t="n"/>
      <c r="G3702" s="24" t="n"/>
      <c r="H3702" s="21">
        <f>IF(ISNUMBER($B3702),INT($B3702)-WEEKDAY($B3702,2)+1,"")</f>
        <v/>
      </c>
      <c r="I3702" s="24" t="n"/>
      <c r="J3702" s="22">
        <f t="array" ref="J3702">IF($D3702="","",IF($I3702="","(trống REF)",IFERROR(INDEX(MASTER_SOURCE!$B$2:$B$495,MATCH($I3702,MASTER_SOURCE!$A$2:$A$495,0)),"(REF không có trong MASTER_SOURCE)")))</f>
        <v/>
      </c>
      <c r="K3702" s="22">
        <f t="array" ref="K3702">IF($D3702="","",IFERROR(INDEX(MASTER_SOURCE!$C$2:$C$495,MATCH($I3702,MASTER_SOURCE!$A$2:$A$495,0)),""))</f>
        <v/>
      </c>
      <c r="L3702" s="22">
        <f t="array" ref="L3702">IF($D3702="","",IFERROR(INDEX(MASTER_SOURCE!$D$2:$D$495,MATCH($I3702,MASTER_SOURCE!$A$2:$A$495,0)),""))</f>
        <v/>
      </c>
      <c r="M3702" s="24" t="n"/>
      <c r="N3702" s="24" t="n"/>
      <c r="O3702" s="24" t="n"/>
      <c r="P3702" s="24" t="n"/>
      <c r="Q3702" s="22">
        <f>IF($D3702="","",IF(AND(OR(DANH_MUC!$L$5&lt;&gt;"Có",M3702="Có"),OR(DANH_MUC!$L$6&lt;&gt;"Có",N3702="Có"),OR(DANH_MUC!$L$7&lt;&gt;"Có",O3702="Có"),OR(DANH_MUC!$L$8&lt;&gt;"Có",P3702="Có")),"Có","Không"))</f>
        <v/>
      </c>
      <c r="R3702" s="22">
        <f>IF($D3702="","",IF(COUNTIF($D$2:$D3702,$D3702)&gt;1,"Trùng",""))</f>
        <v/>
      </c>
      <c r="S3702" s="22">
        <f>IF($D3702="","",IF(AND(LEN($D3702)=10,LEFT($D3702,1)="0",ISNUMBER(--$D3702)),"Có","Không"))</f>
        <v/>
      </c>
      <c r="T3702" s="22">
        <f>IF($D3702="","",IF(AND($C3702&lt;&gt;"",$Q3702="Có",$R3702="",$S3702="Có",AND($L3702&lt;&gt;"",OR($L3702&lt;&gt;"Chưa xác định",DANH_MUC!$L$9="Có"))),"Có","Không"))</f>
        <v/>
      </c>
      <c r="U3702" s="22">
        <f>IF(OR($D3702="",$T3702="Có"),"",IF($C3702="","Thiếu họ tên; ","")&amp;IF($S3702&lt;&gt;"Có","SĐT sai định dạng; ","")&amp;IF($R3702="Trùng","Trùng SĐT; ","")&amp;IF($Q3702&lt;&gt;"Có","Thiếu đồng ý bắt buộc; ","")&amp;IF($L3702="","Thiếu/sai Mã REF; ",IF(AND($L3702="Chưa xác định",DANH_MUC!$L$9&lt;&gt;"Có"),"Nguồn chưa xác định; ","")))</f>
        <v/>
      </c>
      <c r="V3702" s="22">
        <f>IF(OR($D3702="",$R3702="Trùng"),"",IF(COUNTIF(ORDERS!$C$2:$C$4995,$D3702)&gt;0,"Có","Không"))</f>
        <v/>
      </c>
      <c r="W3702" s="22">
        <f>IF(OR($D3702="",$R3702="Trùng"),"",COUNTIFS(ORDERS!$C$2:$C$4995,$D3702,ORDERS!$L$2:$L$4995,"Đã chuyển khoản"))</f>
        <v/>
      </c>
      <c r="X3702" s="23">
        <f>IF(OR($D3702="",$R3702="Trùng"),"",SUMIFS(ORDERS!$J$2:$J$4995,ORDERS!$C$2:$C$4995,$D3702,ORDERS!$L$2:$L$4995,"Đã chuyển khoản"))</f>
        <v/>
      </c>
      <c r="Y3702" s="24" t="n"/>
    </row>
    <row r="3703" ht="14.25" customHeight="1" s="40">
      <c r="A3703" s="24" t="n"/>
      <c r="B3703" s="27" t="n"/>
      <c r="C3703" s="24" t="n"/>
      <c r="D3703" s="28" t="n"/>
      <c r="E3703" s="29" t="n"/>
      <c r="F3703" s="24" t="n"/>
      <c r="G3703" s="24" t="n"/>
      <c r="H3703" s="21">
        <f>IF(ISNUMBER($B3703),INT($B3703)-WEEKDAY($B3703,2)+1,"")</f>
        <v/>
      </c>
      <c r="I3703" s="24" t="n"/>
      <c r="J3703" s="22">
        <f t="array" ref="J3703">IF($D3703="","",IF($I3703="","(trống REF)",IFERROR(INDEX(MASTER_SOURCE!$B$2:$B$495,MATCH($I3703,MASTER_SOURCE!$A$2:$A$495,0)),"(REF không có trong MASTER_SOURCE)")))</f>
        <v/>
      </c>
      <c r="K3703" s="22">
        <f t="array" ref="K3703">IF($D3703="","",IFERROR(INDEX(MASTER_SOURCE!$C$2:$C$495,MATCH($I3703,MASTER_SOURCE!$A$2:$A$495,0)),""))</f>
        <v/>
      </c>
      <c r="L3703" s="22">
        <f t="array" ref="L3703">IF($D3703="","",IFERROR(INDEX(MASTER_SOURCE!$D$2:$D$495,MATCH($I3703,MASTER_SOURCE!$A$2:$A$495,0)),""))</f>
        <v/>
      </c>
      <c r="M3703" s="24" t="n"/>
      <c r="N3703" s="24" t="n"/>
      <c r="O3703" s="24" t="n"/>
      <c r="P3703" s="24" t="n"/>
      <c r="Q3703" s="22">
        <f>IF($D3703="","",IF(AND(OR(DANH_MUC!$L$5&lt;&gt;"Có",M3703="Có"),OR(DANH_MUC!$L$6&lt;&gt;"Có",N3703="Có"),OR(DANH_MUC!$L$7&lt;&gt;"Có",O3703="Có"),OR(DANH_MUC!$L$8&lt;&gt;"Có",P3703="Có")),"Có","Không"))</f>
        <v/>
      </c>
      <c r="R3703" s="22">
        <f>IF($D3703="","",IF(COUNTIF($D$2:$D3703,$D3703)&gt;1,"Trùng",""))</f>
        <v/>
      </c>
      <c r="S3703" s="22">
        <f>IF($D3703="","",IF(AND(LEN($D3703)=10,LEFT($D3703,1)="0",ISNUMBER(--$D3703)),"Có","Không"))</f>
        <v/>
      </c>
      <c r="T3703" s="22">
        <f>IF($D3703="","",IF(AND($C3703&lt;&gt;"",$Q3703="Có",$R3703="",$S3703="Có",AND($L3703&lt;&gt;"",OR($L3703&lt;&gt;"Chưa xác định",DANH_MUC!$L$9="Có"))),"Có","Không"))</f>
        <v/>
      </c>
      <c r="U3703" s="22">
        <f>IF(OR($D3703="",$T3703="Có"),"",IF($C3703="","Thiếu họ tên; ","")&amp;IF($S3703&lt;&gt;"Có","SĐT sai định dạng; ","")&amp;IF($R3703="Trùng","Trùng SĐT; ","")&amp;IF($Q3703&lt;&gt;"Có","Thiếu đồng ý bắt buộc; ","")&amp;IF($L3703="","Thiếu/sai Mã REF; ",IF(AND($L3703="Chưa xác định",DANH_MUC!$L$9&lt;&gt;"Có"),"Nguồn chưa xác định; ","")))</f>
        <v/>
      </c>
      <c r="V3703" s="22">
        <f>IF(OR($D3703="",$R3703="Trùng"),"",IF(COUNTIF(ORDERS!$C$2:$C$4995,$D3703)&gt;0,"Có","Không"))</f>
        <v/>
      </c>
      <c r="W3703" s="22">
        <f>IF(OR($D3703="",$R3703="Trùng"),"",COUNTIFS(ORDERS!$C$2:$C$4995,$D3703,ORDERS!$L$2:$L$4995,"Đã chuyển khoản"))</f>
        <v/>
      </c>
      <c r="X3703" s="23">
        <f>IF(OR($D3703="",$R3703="Trùng"),"",SUMIFS(ORDERS!$J$2:$J$4995,ORDERS!$C$2:$C$4995,$D3703,ORDERS!$L$2:$L$4995,"Đã chuyển khoản"))</f>
        <v/>
      </c>
      <c r="Y3703" s="24" t="n"/>
    </row>
    <row r="3704" ht="14.25" customHeight="1" s="40">
      <c r="A3704" s="24" t="n"/>
      <c r="B3704" s="27" t="n"/>
      <c r="C3704" s="24" t="n"/>
      <c r="D3704" s="28" t="n"/>
      <c r="E3704" s="29" t="n"/>
      <c r="F3704" s="24" t="n"/>
      <c r="G3704" s="24" t="n"/>
      <c r="H3704" s="21">
        <f>IF(ISNUMBER($B3704),INT($B3704)-WEEKDAY($B3704,2)+1,"")</f>
        <v/>
      </c>
      <c r="I3704" s="24" t="n"/>
      <c r="J3704" s="22">
        <f t="array" ref="J3704">IF($D3704="","",IF($I3704="","(trống REF)",IFERROR(INDEX(MASTER_SOURCE!$B$2:$B$495,MATCH($I3704,MASTER_SOURCE!$A$2:$A$495,0)),"(REF không có trong MASTER_SOURCE)")))</f>
        <v/>
      </c>
      <c r="K3704" s="22">
        <f t="array" ref="K3704">IF($D3704="","",IFERROR(INDEX(MASTER_SOURCE!$C$2:$C$495,MATCH($I3704,MASTER_SOURCE!$A$2:$A$495,0)),""))</f>
        <v/>
      </c>
      <c r="L3704" s="22">
        <f t="array" ref="L3704">IF($D3704="","",IFERROR(INDEX(MASTER_SOURCE!$D$2:$D$495,MATCH($I3704,MASTER_SOURCE!$A$2:$A$495,0)),""))</f>
        <v/>
      </c>
      <c r="M3704" s="24" t="n"/>
      <c r="N3704" s="24" t="n"/>
      <c r="O3704" s="24" t="n"/>
      <c r="P3704" s="24" t="n"/>
      <c r="Q3704" s="22">
        <f>IF($D3704="","",IF(AND(OR(DANH_MUC!$L$5&lt;&gt;"Có",M3704="Có"),OR(DANH_MUC!$L$6&lt;&gt;"Có",N3704="Có"),OR(DANH_MUC!$L$7&lt;&gt;"Có",O3704="Có"),OR(DANH_MUC!$L$8&lt;&gt;"Có",P3704="Có")),"Có","Không"))</f>
        <v/>
      </c>
      <c r="R3704" s="22">
        <f>IF($D3704="","",IF(COUNTIF($D$2:$D3704,$D3704)&gt;1,"Trùng",""))</f>
        <v/>
      </c>
      <c r="S3704" s="22">
        <f>IF($D3704="","",IF(AND(LEN($D3704)=10,LEFT($D3704,1)="0",ISNUMBER(--$D3704)),"Có","Không"))</f>
        <v/>
      </c>
      <c r="T3704" s="22">
        <f>IF($D3704="","",IF(AND($C3704&lt;&gt;"",$Q3704="Có",$R3704="",$S3704="Có",AND($L3704&lt;&gt;"",OR($L3704&lt;&gt;"Chưa xác định",DANH_MUC!$L$9="Có"))),"Có","Không"))</f>
        <v/>
      </c>
      <c r="U3704" s="22">
        <f>IF(OR($D3704="",$T3704="Có"),"",IF($C3704="","Thiếu họ tên; ","")&amp;IF($S3704&lt;&gt;"Có","SĐT sai định dạng; ","")&amp;IF($R3704="Trùng","Trùng SĐT; ","")&amp;IF($Q3704&lt;&gt;"Có","Thiếu đồng ý bắt buộc; ","")&amp;IF($L3704="","Thiếu/sai Mã REF; ",IF(AND($L3704="Chưa xác định",DANH_MUC!$L$9&lt;&gt;"Có"),"Nguồn chưa xác định; ","")))</f>
        <v/>
      </c>
      <c r="V3704" s="22">
        <f>IF(OR($D3704="",$R3704="Trùng"),"",IF(COUNTIF(ORDERS!$C$2:$C$4995,$D3704)&gt;0,"Có","Không"))</f>
        <v/>
      </c>
      <c r="W3704" s="22">
        <f>IF(OR($D3704="",$R3704="Trùng"),"",COUNTIFS(ORDERS!$C$2:$C$4995,$D3704,ORDERS!$L$2:$L$4995,"Đã chuyển khoản"))</f>
        <v/>
      </c>
      <c r="X3704" s="23">
        <f>IF(OR($D3704="",$R3704="Trùng"),"",SUMIFS(ORDERS!$J$2:$J$4995,ORDERS!$C$2:$C$4995,$D3704,ORDERS!$L$2:$L$4995,"Đã chuyển khoản"))</f>
        <v/>
      </c>
      <c r="Y3704" s="24" t="n"/>
    </row>
    <row r="3705" ht="14.25" customHeight="1" s="40">
      <c r="A3705" s="24" t="n"/>
      <c r="B3705" s="27" t="n"/>
      <c r="C3705" s="24" t="n"/>
      <c r="D3705" s="28" t="n"/>
      <c r="E3705" s="29" t="n"/>
      <c r="F3705" s="24" t="n"/>
      <c r="G3705" s="24" t="n"/>
      <c r="H3705" s="21">
        <f>IF(ISNUMBER($B3705),INT($B3705)-WEEKDAY($B3705,2)+1,"")</f>
        <v/>
      </c>
      <c r="I3705" s="24" t="n"/>
      <c r="J3705" s="22">
        <f t="array" ref="J3705">IF($D3705="","",IF($I3705="","(trống REF)",IFERROR(INDEX(MASTER_SOURCE!$B$2:$B$495,MATCH($I3705,MASTER_SOURCE!$A$2:$A$495,0)),"(REF không có trong MASTER_SOURCE)")))</f>
        <v/>
      </c>
      <c r="K3705" s="22">
        <f t="array" ref="K3705">IF($D3705="","",IFERROR(INDEX(MASTER_SOURCE!$C$2:$C$495,MATCH($I3705,MASTER_SOURCE!$A$2:$A$495,0)),""))</f>
        <v/>
      </c>
      <c r="L3705" s="22">
        <f t="array" ref="L3705">IF($D3705="","",IFERROR(INDEX(MASTER_SOURCE!$D$2:$D$495,MATCH($I3705,MASTER_SOURCE!$A$2:$A$495,0)),""))</f>
        <v/>
      </c>
      <c r="M3705" s="24" t="n"/>
      <c r="N3705" s="24" t="n"/>
      <c r="O3705" s="24" t="n"/>
      <c r="P3705" s="24" t="n"/>
      <c r="Q3705" s="22">
        <f>IF($D3705="","",IF(AND(OR(DANH_MUC!$L$5&lt;&gt;"Có",M3705="Có"),OR(DANH_MUC!$L$6&lt;&gt;"Có",N3705="Có"),OR(DANH_MUC!$L$7&lt;&gt;"Có",O3705="Có"),OR(DANH_MUC!$L$8&lt;&gt;"Có",P3705="Có")),"Có","Không"))</f>
        <v/>
      </c>
      <c r="R3705" s="22">
        <f>IF($D3705="","",IF(COUNTIF($D$2:$D3705,$D3705)&gt;1,"Trùng",""))</f>
        <v/>
      </c>
      <c r="S3705" s="22">
        <f>IF($D3705="","",IF(AND(LEN($D3705)=10,LEFT($D3705,1)="0",ISNUMBER(--$D3705)),"Có","Không"))</f>
        <v/>
      </c>
      <c r="T3705" s="22">
        <f>IF($D3705="","",IF(AND($C3705&lt;&gt;"",$Q3705="Có",$R3705="",$S3705="Có",AND($L3705&lt;&gt;"",OR($L3705&lt;&gt;"Chưa xác định",DANH_MUC!$L$9="Có"))),"Có","Không"))</f>
        <v/>
      </c>
      <c r="U3705" s="22">
        <f>IF(OR($D3705="",$T3705="Có"),"",IF($C3705="","Thiếu họ tên; ","")&amp;IF($S3705&lt;&gt;"Có","SĐT sai định dạng; ","")&amp;IF($R3705="Trùng","Trùng SĐT; ","")&amp;IF($Q3705&lt;&gt;"Có","Thiếu đồng ý bắt buộc; ","")&amp;IF($L3705="","Thiếu/sai Mã REF; ",IF(AND($L3705="Chưa xác định",DANH_MUC!$L$9&lt;&gt;"Có"),"Nguồn chưa xác định; ","")))</f>
        <v/>
      </c>
      <c r="V3705" s="22">
        <f>IF(OR($D3705="",$R3705="Trùng"),"",IF(COUNTIF(ORDERS!$C$2:$C$4995,$D3705)&gt;0,"Có","Không"))</f>
        <v/>
      </c>
      <c r="W3705" s="22">
        <f>IF(OR($D3705="",$R3705="Trùng"),"",COUNTIFS(ORDERS!$C$2:$C$4995,$D3705,ORDERS!$L$2:$L$4995,"Đã chuyển khoản"))</f>
        <v/>
      </c>
      <c r="X3705" s="23">
        <f>IF(OR($D3705="",$R3705="Trùng"),"",SUMIFS(ORDERS!$J$2:$J$4995,ORDERS!$C$2:$C$4995,$D3705,ORDERS!$L$2:$L$4995,"Đã chuyển khoản"))</f>
        <v/>
      </c>
      <c r="Y3705" s="24" t="n"/>
    </row>
    <row r="3706" ht="14.25" customHeight="1" s="40">
      <c r="A3706" s="24" t="n"/>
      <c r="B3706" s="27" t="n"/>
      <c r="C3706" s="24" t="n"/>
      <c r="D3706" s="28" t="n"/>
      <c r="E3706" s="29" t="n"/>
      <c r="F3706" s="24" t="n"/>
      <c r="G3706" s="24" t="n"/>
      <c r="H3706" s="21">
        <f>IF(ISNUMBER($B3706),INT($B3706)-WEEKDAY($B3706,2)+1,"")</f>
        <v/>
      </c>
      <c r="I3706" s="24" t="n"/>
      <c r="J3706" s="22">
        <f t="array" ref="J3706">IF($D3706="","",IF($I3706="","(trống REF)",IFERROR(INDEX(MASTER_SOURCE!$B$2:$B$495,MATCH($I3706,MASTER_SOURCE!$A$2:$A$495,0)),"(REF không có trong MASTER_SOURCE)")))</f>
        <v/>
      </c>
      <c r="K3706" s="22">
        <f t="array" ref="K3706">IF($D3706="","",IFERROR(INDEX(MASTER_SOURCE!$C$2:$C$495,MATCH($I3706,MASTER_SOURCE!$A$2:$A$495,0)),""))</f>
        <v/>
      </c>
      <c r="L3706" s="22">
        <f t="array" ref="L3706">IF($D3706="","",IFERROR(INDEX(MASTER_SOURCE!$D$2:$D$495,MATCH($I3706,MASTER_SOURCE!$A$2:$A$495,0)),""))</f>
        <v/>
      </c>
      <c r="M3706" s="24" t="n"/>
      <c r="N3706" s="24" t="n"/>
      <c r="O3706" s="24" t="n"/>
      <c r="P3706" s="24" t="n"/>
      <c r="Q3706" s="22">
        <f>IF($D3706="","",IF(AND(OR(DANH_MUC!$L$5&lt;&gt;"Có",M3706="Có"),OR(DANH_MUC!$L$6&lt;&gt;"Có",N3706="Có"),OR(DANH_MUC!$L$7&lt;&gt;"Có",O3706="Có"),OR(DANH_MUC!$L$8&lt;&gt;"Có",P3706="Có")),"Có","Không"))</f>
        <v/>
      </c>
      <c r="R3706" s="22">
        <f>IF($D3706="","",IF(COUNTIF($D$2:$D3706,$D3706)&gt;1,"Trùng",""))</f>
        <v/>
      </c>
      <c r="S3706" s="22">
        <f>IF($D3706="","",IF(AND(LEN($D3706)=10,LEFT($D3706,1)="0",ISNUMBER(--$D3706)),"Có","Không"))</f>
        <v/>
      </c>
      <c r="T3706" s="22">
        <f>IF($D3706="","",IF(AND($C3706&lt;&gt;"",$Q3706="Có",$R3706="",$S3706="Có",AND($L3706&lt;&gt;"",OR($L3706&lt;&gt;"Chưa xác định",DANH_MUC!$L$9="Có"))),"Có","Không"))</f>
        <v/>
      </c>
      <c r="U3706" s="22">
        <f>IF(OR($D3706="",$T3706="Có"),"",IF($C3706="","Thiếu họ tên; ","")&amp;IF($S3706&lt;&gt;"Có","SĐT sai định dạng; ","")&amp;IF($R3706="Trùng","Trùng SĐT; ","")&amp;IF($Q3706&lt;&gt;"Có","Thiếu đồng ý bắt buộc; ","")&amp;IF($L3706="","Thiếu/sai Mã REF; ",IF(AND($L3706="Chưa xác định",DANH_MUC!$L$9&lt;&gt;"Có"),"Nguồn chưa xác định; ","")))</f>
        <v/>
      </c>
      <c r="V3706" s="22">
        <f>IF(OR($D3706="",$R3706="Trùng"),"",IF(COUNTIF(ORDERS!$C$2:$C$4995,$D3706)&gt;0,"Có","Không"))</f>
        <v/>
      </c>
      <c r="W3706" s="22">
        <f>IF(OR($D3706="",$R3706="Trùng"),"",COUNTIFS(ORDERS!$C$2:$C$4995,$D3706,ORDERS!$L$2:$L$4995,"Đã chuyển khoản"))</f>
        <v/>
      </c>
      <c r="X3706" s="23">
        <f>IF(OR($D3706="",$R3706="Trùng"),"",SUMIFS(ORDERS!$J$2:$J$4995,ORDERS!$C$2:$C$4995,$D3706,ORDERS!$L$2:$L$4995,"Đã chuyển khoản"))</f>
        <v/>
      </c>
      <c r="Y3706" s="24" t="n"/>
    </row>
    <row r="3707" ht="14.25" customHeight="1" s="40">
      <c r="A3707" s="24" t="n"/>
      <c r="B3707" s="27" t="n"/>
      <c r="C3707" s="24" t="n"/>
      <c r="D3707" s="28" t="n"/>
      <c r="E3707" s="29" t="n"/>
      <c r="F3707" s="24" t="n"/>
      <c r="G3707" s="24" t="n"/>
      <c r="H3707" s="21">
        <f>IF(ISNUMBER($B3707),INT($B3707)-WEEKDAY($B3707,2)+1,"")</f>
        <v/>
      </c>
      <c r="I3707" s="24" t="n"/>
      <c r="J3707" s="22">
        <f t="array" ref="J3707">IF($D3707="","",IF($I3707="","(trống REF)",IFERROR(INDEX(MASTER_SOURCE!$B$2:$B$495,MATCH($I3707,MASTER_SOURCE!$A$2:$A$495,0)),"(REF không có trong MASTER_SOURCE)")))</f>
        <v/>
      </c>
      <c r="K3707" s="22">
        <f t="array" ref="K3707">IF($D3707="","",IFERROR(INDEX(MASTER_SOURCE!$C$2:$C$495,MATCH($I3707,MASTER_SOURCE!$A$2:$A$495,0)),""))</f>
        <v/>
      </c>
      <c r="L3707" s="22">
        <f t="array" ref="L3707">IF($D3707="","",IFERROR(INDEX(MASTER_SOURCE!$D$2:$D$495,MATCH($I3707,MASTER_SOURCE!$A$2:$A$495,0)),""))</f>
        <v/>
      </c>
      <c r="M3707" s="24" t="n"/>
      <c r="N3707" s="24" t="n"/>
      <c r="O3707" s="24" t="n"/>
      <c r="P3707" s="24" t="n"/>
      <c r="Q3707" s="22">
        <f>IF($D3707="","",IF(AND(OR(DANH_MUC!$L$5&lt;&gt;"Có",M3707="Có"),OR(DANH_MUC!$L$6&lt;&gt;"Có",N3707="Có"),OR(DANH_MUC!$L$7&lt;&gt;"Có",O3707="Có"),OR(DANH_MUC!$L$8&lt;&gt;"Có",P3707="Có")),"Có","Không"))</f>
        <v/>
      </c>
      <c r="R3707" s="22">
        <f>IF($D3707="","",IF(COUNTIF($D$2:$D3707,$D3707)&gt;1,"Trùng",""))</f>
        <v/>
      </c>
      <c r="S3707" s="22">
        <f>IF($D3707="","",IF(AND(LEN($D3707)=10,LEFT($D3707,1)="0",ISNUMBER(--$D3707)),"Có","Không"))</f>
        <v/>
      </c>
      <c r="T3707" s="22">
        <f>IF($D3707="","",IF(AND($C3707&lt;&gt;"",$Q3707="Có",$R3707="",$S3707="Có",AND($L3707&lt;&gt;"",OR($L3707&lt;&gt;"Chưa xác định",DANH_MUC!$L$9="Có"))),"Có","Không"))</f>
        <v/>
      </c>
      <c r="U3707" s="22">
        <f>IF(OR($D3707="",$T3707="Có"),"",IF($C3707="","Thiếu họ tên; ","")&amp;IF($S3707&lt;&gt;"Có","SĐT sai định dạng; ","")&amp;IF($R3707="Trùng","Trùng SĐT; ","")&amp;IF($Q3707&lt;&gt;"Có","Thiếu đồng ý bắt buộc; ","")&amp;IF($L3707="","Thiếu/sai Mã REF; ",IF(AND($L3707="Chưa xác định",DANH_MUC!$L$9&lt;&gt;"Có"),"Nguồn chưa xác định; ","")))</f>
        <v/>
      </c>
      <c r="V3707" s="22">
        <f>IF(OR($D3707="",$R3707="Trùng"),"",IF(COUNTIF(ORDERS!$C$2:$C$4995,$D3707)&gt;0,"Có","Không"))</f>
        <v/>
      </c>
      <c r="W3707" s="22">
        <f>IF(OR($D3707="",$R3707="Trùng"),"",COUNTIFS(ORDERS!$C$2:$C$4995,$D3707,ORDERS!$L$2:$L$4995,"Đã chuyển khoản"))</f>
        <v/>
      </c>
      <c r="X3707" s="23">
        <f>IF(OR($D3707="",$R3707="Trùng"),"",SUMIFS(ORDERS!$J$2:$J$4995,ORDERS!$C$2:$C$4995,$D3707,ORDERS!$L$2:$L$4995,"Đã chuyển khoản"))</f>
        <v/>
      </c>
      <c r="Y3707" s="24" t="n"/>
    </row>
    <row r="3708" ht="14.25" customHeight="1" s="40">
      <c r="A3708" s="24" t="n"/>
      <c r="B3708" s="27" t="n"/>
      <c r="C3708" s="24" t="n"/>
      <c r="D3708" s="28" t="n"/>
      <c r="E3708" s="29" t="n"/>
      <c r="F3708" s="24" t="n"/>
      <c r="G3708" s="24" t="n"/>
      <c r="H3708" s="21">
        <f>IF(ISNUMBER($B3708),INT($B3708)-WEEKDAY($B3708,2)+1,"")</f>
        <v/>
      </c>
      <c r="I3708" s="24" t="n"/>
      <c r="J3708" s="22">
        <f t="array" ref="J3708">IF($D3708="","",IF($I3708="","(trống REF)",IFERROR(INDEX(MASTER_SOURCE!$B$2:$B$495,MATCH($I3708,MASTER_SOURCE!$A$2:$A$495,0)),"(REF không có trong MASTER_SOURCE)")))</f>
        <v/>
      </c>
      <c r="K3708" s="22">
        <f t="array" ref="K3708">IF($D3708="","",IFERROR(INDEX(MASTER_SOURCE!$C$2:$C$495,MATCH($I3708,MASTER_SOURCE!$A$2:$A$495,0)),""))</f>
        <v/>
      </c>
      <c r="L3708" s="22">
        <f t="array" ref="L3708">IF($D3708="","",IFERROR(INDEX(MASTER_SOURCE!$D$2:$D$495,MATCH($I3708,MASTER_SOURCE!$A$2:$A$495,0)),""))</f>
        <v/>
      </c>
      <c r="M3708" s="24" t="n"/>
      <c r="N3708" s="24" t="n"/>
      <c r="O3708" s="24" t="n"/>
      <c r="P3708" s="24" t="n"/>
      <c r="Q3708" s="22">
        <f>IF($D3708="","",IF(AND(OR(DANH_MUC!$L$5&lt;&gt;"Có",M3708="Có"),OR(DANH_MUC!$L$6&lt;&gt;"Có",N3708="Có"),OR(DANH_MUC!$L$7&lt;&gt;"Có",O3708="Có"),OR(DANH_MUC!$L$8&lt;&gt;"Có",P3708="Có")),"Có","Không"))</f>
        <v/>
      </c>
      <c r="R3708" s="22">
        <f>IF($D3708="","",IF(COUNTIF($D$2:$D3708,$D3708)&gt;1,"Trùng",""))</f>
        <v/>
      </c>
      <c r="S3708" s="22">
        <f>IF($D3708="","",IF(AND(LEN($D3708)=10,LEFT($D3708,1)="0",ISNUMBER(--$D3708)),"Có","Không"))</f>
        <v/>
      </c>
      <c r="T3708" s="22">
        <f>IF($D3708="","",IF(AND($C3708&lt;&gt;"",$Q3708="Có",$R3708="",$S3708="Có",AND($L3708&lt;&gt;"",OR($L3708&lt;&gt;"Chưa xác định",DANH_MUC!$L$9="Có"))),"Có","Không"))</f>
        <v/>
      </c>
      <c r="U3708" s="22">
        <f>IF(OR($D3708="",$T3708="Có"),"",IF($C3708="","Thiếu họ tên; ","")&amp;IF($S3708&lt;&gt;"Có","SĐT sai định dạng; ","")&amp;IF($R3708="Trùng","Trùng SĐT; ","")&amp;IF($Q3708&lt;&gt;"Có","Thiếu đồng ý bắt buộc; ","")&amp;IF($L3708="","Thiếu/sai Mã REF; ",IF(AND($L3708="Chưa xác định",DANH_MUC!$L$9&lt;&gt;"Có"),"Nguồn chưa xác định; ","")))</f>
        <v/>
      </c>
      <c r="V3708" s="22">
        <f>IF(OR($D3708="",$R3708="Trùng"),"",IF(COUNTIF(ORDERS!$C$2:$C$4995,$D3708)&gt;0,"Có","Không"))</f>
        <v/>
      </c>
      <c r="W3708" s="22">
        <f>IF(OR($D3708="",$R3708="Trùng"),"",COUNTIFS(ORDERS!$C$2:$C$4995,$D3708,ORDERS!$L$2:$L$4995,"Đã chuyển khoản"))</f>
        <v/>
      </c>
      <c r="X3708" s="23">
        <f>IF(OR($D3708="",$R3708="Trùng"),"",SUMIFS(ORDERS!$J$2:$J$4995,ORDERS!$C$2:$C$4995,$D3708,ORDERS!$L$2:$L$4995,"Đã chuyển khoản"))</f>
        <v/>
      </c>
      <c r="Y3708" s="24" t="n"/>
    </row>
    <row r="3709" ht="14.25" customHeight="1" s="40">
      <c r="A3709" s="24" t="n"/>
      <c r="B3709" s="27" t="n"/>
      <c r="C3709" s="24" t="n"/>
      <c r="D3709" s="28" t="n"/>
      <c r="E3709" s="29" t="n"/>
      <c r="F3709" s="24" t="n"/>
      <c r="G3709" s="24" t="n"/>
      <c r="H3709" s="21">
        <f>IF(ISNUMBER($B3709),INT($B3709)-WEEKDAY($B3709,2)+1,"")</f>
        <v/>
      </c>
      <c r="I3709" s="24" t="n"/>
      <c r="J3709" s="22">
        <f t="array" ref="J3709">IF($D3709="","",IF($I3709="","(trống REF)",IFERROR(INDEX(MASTER_SOURCE!$B$2:$B$495,MATCH($I3709,MASTER_SOURCE!$A$2:$A$495,0)),"(REF không có trong MASTER_SOURCE)")))</f>
        <v/>
      </c>
      <c r="K3709" s="22">
        <f t="array" ref="K3709">IF($D3709="","",IFERROR(INDEX(MASTER_SOURCE!$C$2:$C$495,MATCH($I3709,MASTER_SOURCE!$A$2:$A$495,0)),""))</f>
        <v/>
      </c>
      <c r="L3709" s="22">
        <f t="array" ref="L3709">IF($D3709="","",IFERROR(INDEX(MASTER_SOURCE!$D$2:$D$495,MATCH($I3709,MASTER_SOURCE!$A$2:$A$495,0)),""))</f>
        <v/>
      </c>
      <c r="M3709" s="24" t="n"/>
      <c r="N3709" s="24" t="n"/>
      <c r="O3709" s="24" t="n"/>
      <c r="P3709" s="24" t="n"/>
      <c r="Q3709" s="22">
        <f>IF($D3709="","",IF(AND(OR(DANH_MUC!$L$5&lt;&gt;"Có",M3709="Có"),OR(DANH_MUC!$L$6&lt;&gt;"Có",N3709="Có"),OR(DANH_MUC!$L$7&lt;&gt;"Có",O3709="Có"),OR(DANH_MUC!$L$8&lt;&gt;"Có",P3709="Có")),"Có","Không"))</f>
        <v/>
      </c>
      <c r="R3709" s="22">
        <f>IF($D3709="","",IF(COUNTIF($D$2:$D3709,$D3709)&gt;1,"Trùng",""))</f>
        <v/>
      </c>
      <c r="S3709" s="22">
        <f>IF($D3709="","",IF(AND(LEN($D3709)=10,LEFT($D3709,1)="0",ISNUMBER(--$D3709)),"Có","Không"))</f>
        <v/>
      </c>
      <c r="T3709" s="22">
        <f>IF($D3709="","",IF(AND($C3709&lt;&gt;"",$Q3709="Có",$R3709="",$S3709="Có",AND($L3709&lt;&gt;"",OR($L3709&lt;&gt;"Chưa xác định",DANH_MUC!$L$9="Có"))),"Có","Không"))</f>
        <v/>
      </c>
      <c r="U3709" s="22">
        <f>IF(OR($D3709="",$T3709="Có"),"",IF($C3709="","Thiếu họ tên; ","")&amp;IF($S3709&lt;&gt;"Có","SĐT sai định dạng; ","")&amp;IF($R3709="Trùng","Trùng SĐT; ","")&amp;IF($Q3709&lt;&gt;"Có","Thiếu đồng ý bắt buộc; ","")&amp;IF($L3709="","Thiếu/sai Mã REF; ",IF(AND($L3709="Chưa xác định",DANH_MUC!$L$9&lt;&gt;"Có"),"Nguồn chưa xác định; ","")))</f>
        <v/>
      </c>
      <c r="V3709" s="22">
        <f>IF(OR($D3709="",$R3709="Trùng"),"",IF(COUNTIF(ORDERS!$C$2:$C$4995,$D3709)&gt;0,"Có","Không"))</f>
        <v/>
      </c>
      <c r="W3709" s="22">
        <f>IF(OR($D3709="",$R3709="Trùng"),"",COUNTIFS(ORDERS!$C$2:$C$4995,$D3709,ORDERS!$L$2:$L$4995,"Đã chuyển khoản"))</f>
        <v/>
      </c>
      <c r="X3709" s="23">
        <f>IF(OR($D3709="",$R3709="Trùng"),"",SUMIFS(ORDERS!$J$2:$J$4995,ORDERS!$C$2:$C$4995,$D3709,ORDERS!$L$2:$L$4995,"Đã chuyển khoản"))</f>
        <v/>
      </c>
      <c r="Y3709" s="24" t="n"/>
    </row>
    <row r="3710" ht="14.25" customHeight="1" s="40">
      <c r="A3710" s="24" t="n"/>
      <c r="B3710" s="27" t="n"/>
      <c r="C3710" s="24" t="n"/>
      <c r="D3710" s="28" t="n"/>
      <c r="E3710" s="29" t="n"/>
      <c r="F3710" s="24" t="n"/>
      <c r="G3710" s="24" t="n"/>
      <c r="H3710" s="21">
        <f>IF(ISNUMBER($B3710),INT($B3710)-WEEKDAY($B3710,2)+1,"")</f>
        <v/>
      </c>
      <c r="I3710" s="24" t="n"/>
      <c r="J3710" s="22">
        <f t="array" ref="J3710">IF($D3710="","",IF($I3710="","(trống REF)",IFERROR(INDEX(MASTER_SOURCE!$B$2:$B$495,MATCH($I3710,MASTER_SOURCE!$A$2:$A$495,0)),"(REF không có trong MASTER_SOURCE)")))</f>
        <v/>
      </c>
      <c r="K3710" s="22">
        <f t="array" ref="K3710">IF($D3710="","",IFERROR(INDEX(MASTER_SOURCE!$C$2:$C$495,MATCH($I3710,MASTER_SOURCE!$A$2:$A$495,0)),""))</f>
        <v/>
      </c>
      <c r="L3710" s="22">
        <f t="array" ref="L3710">IF($D3710="","",IFERROR(INDEX(MASTER_SOURCE!$D$2:$D$495,MATCH($I3710,MASTER_SOURCE!$A$2:$A$495,0)),""))</f>
        <v/>
      </c>
      <c r="M3710" s="24" t="n"/>
      <c r="N3710" s="24" t="n"/>
      <c r="O3710" s="24" t="n"/>
      <c r="P3710" s="24" t="n"/>
      <c r="Q3710" s="22">
        <f>IF($D3710="","",IF(AND(OR(DANH_MUC!$L$5&lt;&gt;"Có",M3710="Có"),OR(DANH_MUC!$L$6&lt;&gt;"Có",N3710="Có"),OR(DANH_MUC!$L$7&lt;&gt;"Có",O3710="Có"),OR(DANH_MUC!$L$8&lt;&gt;"Có",P3710="Có")),"Có","Không"))</f>
        <v/>
      </c>
      <c r="R3710" s="22">
        <f>IF($D3710="","",IF(COUNTIF($D$2:$D3710,$D3710)&gt;1,"Trùng",""))</f>
        <v/>
      </c>
      <c r="S3710" s="22">
        <f>IF($D3710="","",IF(AND(LEN($D3710)=10,LEFT($D3710,1)="0",ISNUMBER(--$D3710)),"Có","Không"))</f>
        <v/>
      </c>
      <c r="T3710" s="22">
        <f>IF($D3710="","",IF(AND($C3710&lt;&gt;"",$Q3710="Có",$R3710="",$S3710="Có",AND($L3710&lt;&gt;"",OR($L3710&lt;&gt;"Chưa xác định",DANH_MUC!$L$9="Có"))),"Có","Không"))</f>
        <v/>
      </c>
      <c r="U3710" s="22">
        <f>IF(OR($D3710="",$T3710="Có"),"",IF($C3710="","Thiếu họ tên; ","")&amp;IF($S3710&lt;&gt;"Có","SĐT sai định dạng; ","")&amp;IF($R3710="Trùng","Trùng SĐT; ","")&amp;IF($Q3710&lt;&gt;"Có","Thiếu đồng ý bắt buộc; ","")&amp;IF($L3710="","Thiếu/sai Mã REF; ",IF(AND($L3710="Chưa xác định",DANH_MUC!$L$9&lt;&gt;"Có"),"Nguồn chưa xác định; ","")))</f>
        <v/>
      </c>
      <c r="V3710" s="22">
        <f>IF(OR($D3710="",$R3710="Trùng"),"",IF(COUNTIF(ORDERS!$C$2:$C$4995,$D3710)&gt;0,"Có","Không"))</f>
        <v/>
      </c>
      <c r="W3710" s="22">
        <f>IF(OR($D3710="",$R3710="Trùng"),"",COUNTIFS(ORDERS!$C$2:$C$4995,$D3710,ORDERS!$L$2:$L$4995,"Đã chuyển khoản"))</f>
        <v/>
      </c>
      <c r="X3710" s="23">
        <f>IF(OR($D3710="",$R3710="Trùng"),"",SUMIFS(ORDERS!$J$2:$J$4995,ORDERS!$C$2:$C$4995,$D3710,ORDERS!$L$2:$L$4995,"Đã chuyển khoản"))</f>
        <v/>
      </c>
      <c r="Y3710" s="24" t="n"/>
    </row>
    <row r="3711" ht="14.25" customHeight="1" s="40">
      <c r="A3711" s="24" t="n"/>
      <c r="B3711" s="27" t="n"/>
      <c r="C3711" s="24" t="n"/>
      <c r="D3711" s="28" t="n"/>
      <c r="E3711" s="29" t="n"/>
      <c r="F3711" s="24" t="n"/>
      <c r="G3711" s="24" t="n"/>
      <c r="H3711" s="21">
        <f>IF(ISNUMBER($B3711),INT($B3711)-WEEKDAY($B3711,2)+1,"")</f>
        <v/>
      </c>
      <c r="I3711" s="24" t="n"/>
      <c r="J3711" s="22">
        <f t="array" ref="J3711">IF($D3711="","",IF($I3711="","(trống REF)",IFERROR(INDEX(MASTER_SOURCE!$B$2:$B$495,MATCH($I3711,MASTER_SOURCE!$A$2:$A$495,0)),"(REF không có trong MASTER_SOURCE)")))</f>
        <v/>
      </c>
      <c r="K3711" s="22">
        <f t="array" ref="K3711">IF($D3711="","",IFERROR(INDEX(MASTER_SOURCE!$C$2:$C$495,MATCH($I3711,MASTER_SOURCE!$A$2:$A$495,0)),""))</f>
        <v/>
      </c>
      <c r="L3711" s="22">
        <f t="array" ref="L3711">IF($D3711="","",IFERROR(INDEX(MASTER_SOURCE!$D$2:$D$495,MATCH($I3711,MASTER_SOURCE!$A$2:$A$495,0)),""))</f>
        <v/>
      </c>
      <c r="M3711" s="24" t="n"/>
      <c r="N3711" s="24" t="n"/>
      <c r="O3711" s="24" t="n"/>
      <c r="P3711" s="24" t="n"/>
      <c r="Q3711" s="22">
        <f>IF($D3711="","",IF(AND(OR(DANH_MUC!$L$5&lt;&gt;"Có",M3711="Có"),OR(DANH_MUC!$L$6&lt;&gt;"Có",N3711="Có"),OR(DANH_MUC!$L$7&lt;&gt;"Có",O3711="Có"),OR(DANH_MUC!$L$8&lt;&gt;"Có",P3711="Có")),"Có","Không"))</f>
        <v/>
      </c>
      <c r="R3711" s="22">
        <f>IF($D3711="","",IF(COUNTIF($D$2:$D3711,$D3711)&gt;1,"Trùng",""))</f>
        <v/>
      </c>
      <c r="S3711" s="22">
        <f>IF($D3711="","",IF(AND(LEN($D3711)=10,LEFT($D3711,1)="0",ISNUMBER(--$D3711)),"Có","Không"))</f>
        <v/>
      </c>
      <c r="T3711" s="22">
        <f>IF($D3711="","",IF(AND($C3711&lt;&gt;"",$Q3711="Có",$R3711="",$S3711="Có",AND($L3711&lt;&gt;"",OR($L3711&lt;&gt;"Chưa xác định",DANH_MUC!$L$9="Có"))),"Có","Không"))</f>
        <v/>
      </c>
      <c r="U3711" s="22">
        <f>IF(OR($D3711="",$T3711="Có"),"",IF($C3711="","Thiếu họ tên; ","")&amp;IF($S3711&lt;&gt;"Có","SĐT sai định dạng; ","")&amp;IF($R3711="Trùng","Trùng SĐT; ","")&amp;IF($Q3711&lt;&gt;"Có","Thiếu đồng ý bắt buộc; ","")&amp;IF($L3711="","Thiếu/sai Mã REF; ",IF(AND($L3711="Chưa xác định",DANH_MUC!$L$9&lt;&gt;"Có"),"Nguồn chưa xác định; ","")))</f>
        <v/>
      </c>
      <c r="V3711" s="22">
        <f>IF(OR($D3711="",$R3711="Trùng"),"",IF(COUNTIF(ORDERS!$C$2:$C$4995,$D3711)&gt;0,"Có","Không"))</f>
        <v/>
      </c>
      <c r="W3711" s="22">
        <f>IF(OR($D3711="",$R3711="Trùng"),"",COUNTIFS(ORDERS!$C$2:$C$4995,$D3711,ORDERS!$L$2:$L$4995,"Đã chuyển khoản"))</f>
        <v/>
      </c>
      <c r="X3711" s="23">
        <f>IF(OR($D3711="",$R3711="Trùng"),"",SUMIFS(ORDERS!$J$2:$J$4995,ORDERS!$C$2:$C$4995,$D3711,ORDERS!$L$2:$L$4995,"Đã chuyển khoản"))</f>
        <v/>
      </c>
      <c r="Y3711" s="24" t="n"/>
    </row>
    <row r="3712" ht="14.25" customHeight="1" s="40">
      <c r="A3712" s="24" t="n"/>
      <c r="B3712" s="27" t="n"/>
      <c r="C3712" s="24" t="n"/>
      <c r="D3712" s="28" t="n"/>
      <c r="E3712" s="29" t="n"/>
      <c r="F3712" s="24" t="n"/>
      <c r="G3712" s="24" t="n"/>
      <c r="H3712" s="21">
        <f>IF(ISNUMBER($B3712),INT($B3712)-WEEKDAY($B3712,2)+1,"")</f>
        <v/>
      </c>
      <c r="I3712" s="24" t="n"/>
      <c r="J3712" s="22">
        <f t="array" ref="J3712">IF($D3712="","",IF($I3712="","(trống REF)",IFERROR(INDEX(MASTER_SOURCE!$B$2:$B$495,MATCH($I3712,MASTER_SOURCE!$A$2:$A$495,0)),"(REF không có trong MASTER_SOURCE)")))</f>
        <v/>
      </c>
      <c r="K3712" s="22">
        <f t="array" ref="K3712">IF($D3712="","",IFERROR(INDEX(MASTER_SOURCE!$C$2:$C$495,MATCH($I3712,MASTER_SOURCE!$A$2:$A$495,0)),""))</f>
        <v/>
      </c>
      <c r="L3712" s="22">
        <f t="array" ref="L3712">IF($D3712="","",IFERROR(INDEX(MASTER_SOURCE!$D$2:$D$495,MATCH($I3712,MASTER_SOURCE!$A$2:$A$495,0)),""))</f>
        <v/>
      </c>
      <c r="M3712" s="24" t="n"/>
      <c r="N3712" s="24" t="n"/>
      <c r="O3712" s="24" t="n"/>
      <c r="P3712" s="24" t="n"/>
      <c r="Q3712" s="22">
        <f>IF($D3712="","",IF(AND(OR(DANH_MUC!$L$5&lt;&gt;"Có",M3712="Có"),OR(DANH_MUC!$L$6&lt;&gt;"Có",N3712="Có"),OR(DANH_MUC!$L$7&lt;&gt;"Có",O3712="Có"),OR(DANH_MUC!$L$8&lt;&gt;"Có",P3712="Có")),"Có","Không"))</f>
        <v/>
      </c>
      <c r="R3712" s="22">
        <f>IF($D3712="","",IF(COUNTIF($D$2:$D3712,$D3712)&gt;1,"Trùng",""))</f>
        <v/>
      </c>
      <c r="S3712" s="22">
        <f>IF($D3712="","",IF(AND(LEN($D3712)=10,LEFT($D3712,1)="0",ISNUMBER(--$D3712)),"Có","Không"))</f>
        <v/>
      </c>
      <c r="T3712" s="22">
        <f>IF($D3712="","",IF(AND($C3712&lt;&gt;"",$Q3712="Có",$R3712="",$S3712="Có",AND($L3712&lt;&gt;"",OR($L3712&lt;&gt;"Chưa xác định",DANH_MUC!$L$9="Có"))),"Có","Không"))</f>
        <v/>
      </c>
      <c r="U3712" s="22">
        <f>IF(OR($D3712="",$T3712="Có"),"",IF($C3712="","Thiếu họ tên; ","")&amp;IF($S3712&lt;&gt;"Có","SĐT sai định dạng; ","")&amp;IF($R3712="Trùng","Trùng SĐT; ","")&amp;IF($Q3712&lt;&gt;"Có","Thiếu đồng ý bắt buộc; ","")&amp;IF($L3712="","Thiếu/sai Mã REF; ",IF(AND($L3712="Chưa xác định",DANH_MUC!$L$9&lt;&gt;"Có"),"Nguồn chưa xác định; ","")))</f>
        <v/>
      </c>
      <c r="V3712" s="22">
        <f>IF(OR($D3712="",$R3712="Trùng"),"",IF(COUNTIF(ORDERS!$C$2:$C$4995,$D3712)&gt;0,"Có","Không"))</f>
        <v/>
      </c>
      <c r="W3712" s="22">
        <f>IF(OR($D3712="",$R3712="Trùng"),"",COUNTIFS(ORDERS!$C$2:$C$4995,$D3712,ORDERS!$L$2:$L$4995,"Đã chuyển khoản"))</f>
        <v/>
      </c>
      <c r="X3712" s="23">
        <f>IF(OR($D3712="",$R3712="Trùng"),"",SUMIFS(ORDERS!$J$2:$J$4995,ORDERS!$C$2:$C$4995,$D3712,ORDERS!$L$2:$L$4995,"Đã chuyển khoản"))</f>
        <v/>
      </c>
      <c r="Y3712" s="24" t="n"/>
    </row>
    <row r="3713" ht="14.25" customHeight="1" s="40">
      <c r="A3713" s="24" t="n"/>
      <c r="B3713" s="27" t="n"/>
      <c r="C3713" s="24" t="n"/>
      <c r="D3713" s="28" t="n"/>
      <c r="E3713" s="29" t="n"/>
      <c r="F3713" s="24" t="n"/>
      <c r="G3713" s="24" t="n"/>
      <c r="H3713" s="21">
        <f>IF(ISNUMBER($B3713),INT($B3713)-WEEKDAY($B3713,2)+1,"")</f>
        <v/>
      </c>
      <c r="I3713" s="24" t="n"/>
      <c r="J3713" s="22">
        <f t="array" ref="J3713">IF($D3713="","",IF($I3713="","(trống REF)",IFERROR(INDEX(MASTER_SOURCE!$B$2:$B$495,MATCH($I3713,MASTER_SOURCE!$A$2:$A$495,0)),"(REF không có trong MASTER_SOURCE)")))</f>
        <v/>
      </c>
      <c r="K3713" s="22">
        <f t="array" ref="K3713">IF($D3713="","",IFERROR(INDEX(MASTER_SOURCE!$C$2:$C$495,MATCH($I3713,MASTER_SOURCE!$A$2:$A$495,0)),""))</f>
        <v/>
      </c>
      <c r="L3713" s="22">
        <f t="array" ref="L3713">IF($D3713="","",IFERROR(INDEX(MASTER_SOURCE!$D$2:$D$495,MATCH($I3713,MASTER_SOURCE!$A$2:$A$495,0)),""))</f>
        <v/>
      </c>
      <c r="M3713" s="24" t="n"/>
      <c r="N3713" s="24" t="n"/>
      <c r="O3713" s="24" t="n"/>
      <c r="P3713" s="24" t="n"/>
      <c r="Q3713" s="22">
        <f>IF($D3713="","",IF(AND(OR(DANH_MUC!$L$5&lt;&gt;"Có",M3713="Có"),OR(DANH_MUC!$L$6&lt;&gt;"Có",N3713="Có"),OR(DANH_MUC!$L$7&lt;&gt;"Có",O3713="Có"),OR(DANH_MUC!$L$8&lt;&gt;"Có",P3713="Có")),"Có","Không"))</f>
        <v/>
      </c>
      <c r="R3713" s="22">
        <f>IF($D3713="","",IF(COUNTIF($D$2:$D3713,$D3713)&gt;1,"Trùng",""))</f>
        <v/>
      </c>
      <c r="S3713" s="22">
        <f>IF($D3713="","",IF(AND(LEN($D3713)=10,LEFT($D3713,1)="0",ISNUMBER(--$D3713)),"Có","Không"))</f>
        <v/>
      </c>
      <c r="T3713" s="22">
        <f>IF($D3713="","",IF(AND($C3713&lt;&gt;"",$Q3713="Có",$R3713="",$S3713="Có",AND($L3713&lt;&gt;"",OR($L3713&lt;&gt;"Chưa xác định",DANH_MUC!$L$9="Có"))),"Có","Không"))</f>
        <v/>
      </c>
      <c r="U3713" s="22">
        <f>IF(OR($D3713="",$T3713="Có"),"",IF($C3713="","Thiếu họ tên; ","")&amp;IF($S3713&lt;&gt;"Có","SĐT sai định dạng; ","")&amp;IF($R3713="Trùng","Trùng SĐT; ","")&amp;IF($Q3713&lt;&gt;"Có","Thiếu đồng ý bắt buộc; ","")&amp;IF($L3713="","Thiếu/sai Mã REF; ",IF(AND($L3713="Chưa xác định",DANH_MUC!$L$9&lt;&gt;"Có"),"Nguồn chưa xác định; ","")))</f>
        <v/>
      </c>
      <c r="V3713" s="22">
        <f>IF(OR($D3713="",$R3713="Trùng"),"",IF(COUNTIF(ORDERS!$C$2:$C$4995,$D3713)&gt;0,"Có","Không"))</f>
        <v/>
      </c>
      <c r="W3713" s="22">
        <f>IF(OR($D3713="",$R3713="Trùng"),"",COUNTIFS(ORDERS!$C$2:$C$4995,$D3713,ORDERS!$L$2:$L$4995,"Đã chuyển khoản"))</f>
        <v/>
      </c>
      <c r="X3713" s="23">
        <f>IF(OR($D3713="",$R3713="Trùng"),"",SUMIFS(ORDERS!$J$2:$J$4995,ORDERS!$C$2:$C$4995,$D3713,ORDERS!$L$2:$L$4995,"Đã chuyển khoản"))</f>
        <v/>
      </c>
      <c r="Y3713" s="24" t="n"/>
    </row>
    <row r="3714" ht="14.25" customHeight="1" s="40">
      <c r="A3714" s="24" t="n"/>
      <c r="B3714" s="27" t="n"/>
      <c r="C3714" s="24" t="n"/>
      <c r="D3714" s="28" t="n"/>
      <c r="E3714" s="29" t="n"/>
      <c r="F3714" s="24" t="n"/>
      <c r="G3714" s="24" t="n"/>
      <c r="H3714" s="21">
        <f>IF(ISNUMBER($B3714),INT($B3714)-WEEKDAY($B3714,2)+1,"")</f>
        <v/>
      </c>
      <c r="I3714" s="24" t="n"/>
      <c r="J3714" s="22">
        <f t="array" ref="J3714">IF($D3714="","",IF($I3714="","(trống REF)",IFERROR(INDEX(MASTER_SOURCE!$B$2:$B$495,MATCH($I3714,MASTER_SOURCE!$A$2:$A$495,0)),"(REF không có trong MASTER_SOURCE)")))</f>
        <v/>
      </c>
      <c r="K3714" s="22">
        <f t="array" ref="K3714">IF($D3714="","",IFERROR(INDEX(MASTER_SOURCE!$C$2:$C$495,MATCH($I3714,MASTER_SOURCE!$A$2:$A$495,0)),""))</f>
        <v/>
      </c>
      <c r="L3714" s="22">
        <f t="array" ref="L3714">IF($D3714="","",IFERROR(INDEX(MASTER_SOURCE!$D$2:$D$495,MATCH($I3714,MASTER_SOURCE!$A$2:$A$495,0)),""))</f>
        <v/>
      </c>
      <c r="M3714" s="24" t="n"/>
      <c r="N3714" s="24" t="n"/>
      <c r="O3714" s="24" t="n"/>
      <c r="P3714" s="24" t="n"/>
      <c r="Q3714" s="22">
        <f>IF($D3714="","",IF(AND(OR(DANH_MUC!$L$5&lt;&gt;"Có",M3714="Có"),OR(DANH_MUC!$L$6&lt;&gt;"Có",N3714="Có"),OR(DANH_MUC!$L$7&lt;&gt;"Có",O3714="Có"),OR(DANH_MUC!$L$8&lt;&gt;"Có",P3714="Có")),"Có","Không"))</f>
        <v/>
      </c>
      <c r="R3714" s="22">
        <f>IF($D3714="","",IF(COUNTIF($D$2:$D3714,$D3714)&gt;1,"Trùng",""))</f>
        <v/>
      </c>
      <c r="S3714" s="22">
        <f>IF($D3714="","",IF(AND(LEN($D3714)=10,LEFT($D3714,1)="0",ISNUMBER(--$D3714)),"Có","Không"))</f>
        <v/>
      </c>
      <c r="T3714" s="22">
        <f>IF($D3714="","",IF(AND($C3714&lt;&gt;"",$Q3714="Có",$R3714="",$S3714="Có",AND($L3714&lt;&gt;"",OR($L3714&lt;&gt;"Chưa xác định",DANH_MUC!$L$9="Có"))),"Có","Không"))</f>
        <v/>
      </c>
      <c r="U3714" s="22">
        <f>IF(OR($D3714="",$T3714="Có"),"",IF($C3714="","Thiếu họ tên; ","")&amp;IF($S3714&lt;&gt;"Có","SĐT sai định dạng; ","")&amp;IF($R3714="Trùng","Trùng SĐT; ","")&amp;IF($Q3714&lt;&gt;"Có","Thiếu đồng ý bắt buộc; ","")&amp;IF($L3714="","Thiếu/sai Mã REF; ",IF(AND($L3714="Chưa xác định",DANH_MUC!$L$9&lt;&gt;"Có"),"Nguồn chưa xác định; ","")))</f>
        <v/>
      </c>
      <c r="V3714" s="22">
        <f>IF(OR($D3714="",$R3714="Trùng"),"",IF(COUNTIF(ORDERS!$C$2:$C$4995,$D3714)&gt;0,"Có","Không"))</f>
        <v/>
      </c>
      <c r="W3714" s="22">
        <f>IF(OR($D3714="",$R3714="Trùng"),"",COUNTIFS(ORDERS!$C$2:$C$4995,$D3714,ORDERS!$L$2:$L$4995,"Đã chuyển khoản"))</f>
        <v/>
      </c>
      <c r="X3714" s="23">
        <f>IF(OR($D3714="",$R3714="Trùng"),"",SUMIFS(ORDERS!$J$2:$J$4995,ORDERS!$C$2:$C$4995,$D3714,ORDERS!$L$2:$L$4995,"Đã chuyển khoản"))</f>
        <v/>
      </c>
      <c r="Y3714" s="24" t="n"/>
    </row>
    <row r="3715" ht="14.25" customHeight="1" s="40">
      <c r="A3715" s="24" t="n"/>
      <c r="B3715" s="27" t="n"/>
      <c r="C3715" s="24" t="n"/>
      <c r="D3715" s="28" t="n"/>
      <c r="E3715" s="29" t="n"/>
      <c r="F3715" s="24" t="n"/>
      <c r="G3715" s="24" t="n"/>
      <c r="H3715" s="21">
        <f>IF(ISNUMBER($B3715),INT($B3715)-WEEKDAY($B3715,2)+1,"")</f>
        <v/>
      </c>
      <c r="I3715" s="24" t="n"/>
      <c r="J3715" s="22">
        <f t="array" ref="J3715">IF($D3715="","",IF($I3715="","(trống REF)",IFERROR(INDEX(MASTER_SOURCE!$B$2:$B$495,MATCH($I3715,MASTER_SOURCE!$A$2:$A$495,0)),"(REF không có trong MASTER_SOURCE)")))</f>
        <v/>
      </c>
      <c r="K3715" s="22">
        <f t="array" ref="K3715">IF($D3715="","",IFERROR(INDEX(MASTER_SOURCE!$C$2:$C$495,MATCH($I3715,MASTER_SOURCE!$A$2:$A$495,0)),""))</f>
        <v/>
      </c>
      <c r="L3715" s="22">
        <f t="array" ref="L3715">IF($D3715="","",IFERROR(INDEX(MASTER_SOURCE!$D$2:$D$495,MATCH($I3715,MASTER_SOURCE!$A$2:$A$495,0)),""))</f>
        <v/>
      </c>
      <c r="M3715" s="24" t="n"/>
      <c r="N3715" s="24" t="n"/>
      <c r="O3715" s="24" t="n"/>
      <c r="P3715" s="24" t="n"/>
      <c r="Q3715" s="22">
        <f>IF($D3715="","",IF(AND(OR(DANH_MUC!$L$5&lt;&gt;"Có",M3715="Có"),OR(DANH_MUC!$L$6&lt;&gt;"Có",N3715="Có"),OR(DANH_MUC!$L$7&lt;&gt;"Có",O3715="Có"),OR(DANH_MUC!$L$8&lt;&gt;"Có",P3715="Có")),"Có","Không"))</f>
        <v/>
      </c>
      <c r="R3715" s="22">
        <f>IF($D3715="","",IF(COUNTIF($D$2:$D3715,$D3715)&gt;1,"Trùng",""))</f>
        <v/>
      </c>
      <c r="S3715" s="22">
        <f>IF($D3715="","",IF(AND(LEN($D3715)=10,LEFT($D3715,1)="0",ISNUMBER(--$D3715)),"Có","Không"))</f>
        <v/>
      </c>
      <c r="T3715" s="22">
        <f>IF($D3715="","",IF(AND($C3715&lt;&gt;"",$Q3715="Có",$R3715="",$S3715="Có",AND($L3715&lt;&gt;"",OR($L3715&lt;&gt;"Chưa xác định",DANH_MUC!$L$9="Có"))),"Có","Không"))</f>
        <v/>
      </c>
      <c r="U3715" s="22">
        <f>IF(OR($D3715="",$T3715="Có"),"",IF($C3715="","Thiếu họ tên; ","")&amp;IF($S3715&lt;&gt;"Có","SĐT sai định dạng; ","")&amp;IF($R3715="Trùng","Trùng SĐT; ","")&amp;IF($Q3715&lt;&gt;"Có","Thiếu đồng ý bắt buộc; ","")&amp;IF($L3715="","Thiếu/sai Mã REF; ",IF(AND($L3715="Chưa xác định",DANH_MUC!$L$9&lt;&gt;"Có"),"Nguồn chưa xác định; ","")))</f>
        <v/>
      </c>
      <c r="V3715" s="22">
        <f>IF(OR($D3715="",$R3715="Trùng"),"",IF(COUNTIF(ORDERS!$C$2:$C$4995,$D3715)&gt;0,"Có","Không"))</f>
        <v/>
      </c>
      <c r="W3715" s="22">
        <f>IF(OR($D3715="",$R3715="Trùng"),"",COUNTIFS(ORDERS!$C$2:$C$4995,$D3715,ORDERS!$L$2:$L$4995,"Đã chuyển khoản"))</f>
        <v/>
      </c>
      <c r="X3715" s="23">
        <f>IF(OR($D3715="",$R3715="Trùng"),"",SUMIFS(ORDERS!$J$2:$J$4995,ORDERS!$C$2:$C$4995,$D3715,ORDERS!$L$2:$L$4995,"Đã chuyển khoản"))</f>
        <v/>
      </c>
      <c r="Y3715" s="24" t="n"/>
    </row>
    <row r="3716" ht="14.25" customHeight="1" s="40">
      <c r="A3716" s="24" t="n"/>
      <c r="B3716" s="27" t="n"/>
      <c r="C3716" s="24" t="n"/>
      <c r="D3716" s="28" t="n"/>
      <c r="E3716" s="29" t="n"/>
      <c r="F3716" s="24" t="n"/>
      <c r="G3716" s="24" t="n"/>
      <c r="H3716" s="21">
        <f>IF(ISNUMBER($B3716),INT($B3716)-WEEKDAY($B3716,2)+1,"")</f>
        <v/>
      </c>
      <c r="I3716" s="24" t="n"/>
      <c r="J3716" s="22">
        <f t="array" ref="J3716">IF($D3716="","",IF($I3716="","(trống REF)",IFERROR(INDEX(MASTER_SOURCE!$B$2:$B$495,MATCH($I3716,MASTER_SOURCE!$A$2:$A$495,0)),"(REF không có trong MASTER_SOURCE)")))</f>
        <v/>
      </c>
      <c r="K3716" s="22">
        <f t="array" ref="K3716">IF($D3716="","",IFERROR(INDEX(MASTER_SOURCE!$C$2:$C$495,MATCH($I3716,MASTER_SOURCE!$A$2:$A$495,0)),""))</f>
        <v/>
      </c>
      <c r="L3716" s="22">
        <f t="array" ref="L3716">IF($D3716="","",IFERROR(INDEX(MASTER_SOURCE!$D$2:$D$495,MATCH($I3716,MASTER_SOURCE!$A$2:$A$495,0)),""))</f>
        <v/>
      </c>
      <c r="M3716" s="24" t="n"/>
      <c r="N3716" s="24" t="n"/>
      <c r="O3716" s="24" t="n"/>
      <c r="P3716" s="24" t="n"/>
      <c r="Q3716" s="22">
        <f>IF($D3716="","",IF(AND(OR(DANH_MUC!$L$5&lt;&gt;"Có",M3716="Có"),OR(DANH_MUC!$L$6&lt;&gt;"Có",N3716="Có"),OR(DANH_MUC!$L$7&lt;&gt;"Có",O3716="Có"),OR(DANH_MUC!$L$8&lt;&gt;"Có",P3716="Có")),"Có","Không"))</f>
        <v/>
      </c>
      <c r="R3716" s="22">
        <f>IF($D3716="","",IF(COUNTIF($D$2:$D3716,$D3716)&gt;1,"Trùng",""))</f>
        <v/>
      </c>
      <c r="S3716" s="22">
        <f>IF($D3716="","",IF(AND(LEN($D3716)=10,LEFT($D3716,1)="0",ISNUMBER(--$D3716)),"Có","Không"))</f>
        <v/>
      </c>
      <c r="T3716" s="22">
        <f>IF($D3716="","",IF(AND($C3716&lt;&gt;"",$Q3716="Có",$R3716="",$S3716="Có",AND($L3716&lt;&gt;"",OR($L3716&lt;&gt;"Chưa xác định",DANH_MUC!$L$9="Có"))),"Có","Không"))</f>
        <v/>
      </c>
      <c r="U3716" s="22">
        <f>IF(OR($D3716="",$T3716="Có"),"",IF($C3716="","Thiếu họ tên; ","")&amp;IF($S3716&lt;&gt;"Có","SĐT sai định dạng; ","")&amp;IF($R3716="Trùng","Trùng SĐT; ","")&amp;IF($Q3716&lt;&gt;"Có","Thiếu đồng ý bắt buộc; ","")&amp;IF($L3716="","Thiếu/sai Mã REF; ",IF(AND($L3716="Chưa xác định",DANH_MUC!$L$9&lt;&gt;"Có"),"Nguồn chưa xác định; ","")))</f>
        <v/>
      </c>
      <c r="V3716" s="22">
        <f>IF(OR($D3716="",$R3716="Trùng"),"",IF(COUNTIF(ORDERS!$C$2:$C$4995,$D3716)&gt;0,"Có","Không"))</f>
        <v/>
      </c>
      <c r="W3716" s="22">
        <f>IF(OR($D3716="",$R3716="Trùng"),"",COUNTIFS(ORDERS!$C$2:$C$4995,$D3716,ORDERS!$L$2:$L$4995,"Đã chuyển khoản"))</f>
        <v/>
      </c>
      <c r="X3716" s="23">
        <f>IF(OR($D3716="",$R3716="Trùng"),"",SUMIFS(ORDERS!$J$2:$J$4995,ORDERS!$C$2:$C$4995,$D3716,ORDERS!$L$2:$L$4995,"Đã chuyển khoản"))</f>
        <v/>
      </c>
      <c r="Y3716" s="24" t="n"/>
    </row>
    <row r="3717" ht="14.25" customHeight="1" s="40">
      <c r="A3717" s="24" t="n"/>
      <c r="B3717" s="27" t="n"/>
      <c r="C3717" s="24" t="n"/>
      <c r="D3717" s="28" t="n"/>
      <c r="E3717" s="29" t="n"/>
      <c r="F3717" s="24" t="n"/>
      <c r="G3717" s="24" t="n"/>
      <c r="H3717" s="21">
        <f>IF(ISNUMBER($B3717),INT($B3717)-WEEKDAY($B3717,2)+1,"")</f>
        <v/>
      </c>
      <c r="I3717" s="24" t="n"/>
      <c r="J3717" s="22">
        <f t="array" ref="J3717">IF($D3717="","",IF($I3717="","(trống REF)",IFERROR(INDEX(MASTER_SOURCE!$B$2:$B$495,MATCH($I3717,MASTER_SOURCE!$A$2:$A$495,0)),"(REF không có trong MASTER_SOURCE)")))</f>
        <v/>
      </c>
      <c r="K3717" s="22">
        <f t="array" ref="K3717">IF($D3717="","",IFERROR(INDEX(MASTER_SOURCE!$C$2:$C$495,MATCH($I3717,MASTER_SOURCE!$A$2:$A$495,0)),""))</f>
        <v/>
      </c>
      <c r="L3717" s="22">
        <f t="array" ref="L3717">IF($D3717="","",IFERROR(INDEX(MASTER_SOURCE!$D$2:$D$495,MATCH($I3717,MASTER_SOURCE!$A$2:$A$495,0)),""))</f>
        <v/>
      </c>
      <c r="M3717" s="24" t="n"/>
      <c r="N3717" s="24" t="n"/>
      <c r="O3717" s="24" t="n"/>
      <c r="P3717" s="24" t="n"/>
      <c r="Q3717" s="22">
        <f>IF($D3717="","",IF(AND(OR(DANH_MUC!$L$5&lt;&gt;"Có",M3717="Có"),OR(DANH_MUC!$L$6&lt;&gt;"Có",N3717="Có"),OR(DANH_MUC!$L$7&lt;&gt;"Có",O3717="Có"),OR(DANH_MUC!$L$8&lt;&gt;"Có",P3717="Có")),"Có","Không"))</f>
        <v/>
      </c>
      <c r="R3717" s="22">
        <f>IF($D3717="","",IF(COUNTIF($D$2:$D3717,$D3717)&gt;1,"Trùng",""))</f>
        <v/>
      </c>
      <c r="S3717" s="22">
        <f>IF($D3717="","",IF(AND(LEN($D3717)=10,LEFT($D3717,1)="0",ISNUMBER(--$D3717)),"Có","Không"))</f>
        <v/>
      </c>
      <c r="T3717" s="22">
        <f>IF($D3717="","",IF(AND($C3717&lt;&gt;"",$Q3717="Có",$R3717="",$S3717="Có",AND($L3717&lt;&gt;"",OR($L3717&lt;&gt;"Chưa xác định",DANH_MUC!$L$9="Có"))),"Có","Không"))</f>
        <v/>
      </c>
      <c r="U3717" s="22">
        <f>IF(OR($D3717="",$T3717="Có"),"",IF($C3717="","Thiếu họ tên; ","")&amp;IF($S3717&lt;&gt;"Có","SĐT sai định dạng; ","")&amp;IF($R3717="Trùng","Trùng SĐT; ","")&amp;IF($Q3717&lt;&gt;"Có","Thiếu đồng ý bắt buộc; ","")&amp;IF($L3717="","Thiếu/sai Mã REF; ",IF(AND($L3717="Chưa xác định",DANH_MUC!$L$9&lt;&gt;"Có"),"Nguồn chưa xác định; ","")))</f>
        <v/>
      </c>
      <c r="V3717" s="22">
        <f>IF(OR($D3717="",$R3717="Trùng"),"",IF(COUNTIF(ORDERS!$C$2:$C$4995,$D3717)&gt;0,"Có","Không"))</f>
        <v/>
      </c>
      <c r="W3717" s="22">
        <f>IF(OR($D3717="",$R3717="Trùng"),"",COUNTIFS(ORDERS!$C$2:$C$4995,$D3717,ORDERS!$L$2:$L$4995,"Đã chuyển khoản"))</f>
        <v/>
      </c>
      <c r="X3717" s="23">
        <f>IF(OR($D3717="",$R3717="Trùng"),"",SUMIFS(ORDERS!$J$2:$J$4995,ORDERS!$C$2:$C$4995,$D3717,ORDERS!$L$2:$L$4995,"Đã chuyển khoản"))</f>
        <v/>
      </c>
      <c r="Y3717" s="24" t="n"/>
    </row>
    <row r="3718" ht="14.25" customHeight="1" s="40">
      <c r="A3718" s="24" t="n"/>
      <c r="B3718" s="27" t="n"/>
      <c r="C3718" s="24" t="n"/>
      <c r="D3718" s="28" t="n"/>
      <c r="E3718" s="29" t="n"/>
      <c r="F3718" s="24" t="n"/>
      <c r="G3718" s="24" t="n"/>
      <c r="H3718" s="21">
        <f>IF(ISNUMBER($B3718),INT($B3718)-WEEKDAY($B3718,2)+1,"")</f>
        <v/>
      </c>
      <c r="I3718" s="24" t="n"/>
      <c r="J3718" s="22">
        <f t="array" ref="J3718">IF($D3718="","",IF($I3718="","(trống REF)",IFERROR(INDEX(MASTER_SOURCE!$B$2:$B$495,MATCH($I3718,MASTER_SOURCE!$A$2:$A$495,0)),"(REF không có trong MASTER_SOURCE)")))</f>
        <v/>
      </c>
      <c r="K3718" s="22">
        <f t="array" ref="K3718">IF($D3718="","",IFERROR(INDEX(MASTER_SOURCE!$C$2:$C$495,MATCH($I3718,MASTER_SOURCE!$A$2:$A$495,0)),""))</f>
        <v/>
      </c>
      <c r="L3718" s="22">
        <f t="array" ref="L3718">IF($D3718="","",IFERROR(INDEX(MASTER_SOURCE!$D$2:$D$495,MATCH($I3718,MASTER_SOURCE!$A$2:$A$495,0)),""))</f>
        <v/>
      </c>
      <c r="M3718" s="24" t="n"/>
      <c r="N3718" s="24" t="n"/>
      <c r="O3718" s="24" t="n"/>
      <c r="P3718" s="24" t="n"/>
      <c r="Q3718" s="22">
        <f>IF($D3718="","",IF(AND(OR(DANH_MUC!$L$5&lt;&gt;"Có",M3718="Có"),OR(DANH_MUC!$L$6&lt;&gt;"Có",N3718="Có"),OR(DANH_MUC!$L$7&lt;&gt;"Có",O3718="Có"),OR(DANH_MUC!$L$8&lt;&gt;"Có",P3718="Có")),"Có","Không"))</f>
        <v/>
      </c>
      <c r="R3718" s="22">
        <f>IF($D3718="","",IF(COUNTIF($D$2:$D3718,$D3718)&gt;1,"Trùng",""))</f>
        <v/>
      </c>
      <c r="S3718" s="22">
        <f>IF($D3718="","",IF(AND(LEN($D3718)=10,LEFT($D3718,1)="0",ISNUMBER(--$D3718)),"Có","Không"))</f>
        <v/>
      </c>
      <c r="T3718" s="22">
        <f>IF($D3718="","",IF(AND($C3718&lt;&gt;"",$Q3718="Có",$R3718="",$S3718="Có",AND($L3718&lt;&gt;"",OR($L3718&lt;&gt;"Chưa xác định",DANH_MUC!$L$9="Có"))),"Có","Không"))</f>
        <v/>
      </c>
      <c r="U3718" s="22">
        <f>IF(OR($D3718="",$T3718="Có"),"",IF($C3718="","Thiếu họ tên; ","")&amp;IF($S3718&lt;&gt;"Có","SĐT sai định dạng; ","")&amp;IF($R3718="Trùng","Trùng SĐT; ","")&amp;IF($Q3718&lt;&gt;"Có","Thiếu đồng ý bắt buộc; ","")&amp;IF($L3718="","Thiếu/sai Mã REF; ",IF(AND($L3718="Chưa xác định",DANH_MUC!$L$9&lt;&gt;"Có"),"Nguồn chưa xác định; ","")))</f>
        <v/>
      </c>
      <c r="V3718" s="22">
        <f>IF(OR($D3718="",$R3718="Trùng"),"",IF(COUNTIF(ORDERS!$C$2:$C$4995,$D3718)&gt;0,"Có","Không"))</f>
        <v/>
      </c>
      <c r="W3718" s="22">
        <f>IF(OR($D3718="",$R3718="Trùng"),"",COUNTIFS(ORDERS!$C$2:$C$4995,$D3718,ORDERS!$L$2:$L$4995,"Đã chuyển khoản"))</f>
        <v/>
      </c>
      <c r="X3718" s="23">
        <f>IF(OR($D3718="",$R3718="Trùng"),"",SUMIFS(ORDERS!$J$2:$J$4995,ORDERS!$C$2:$C$4995,$D3718,ORDERS!$L$2:$L$4995,"Đã chuyển khoản"))</f>
        <v/>
      </c>
      <c r="Y3718" s="24" t="n"/>
    </row>
    <row r="3719" ht="14.25" customHeight="1" s="40">
      <c r="A3719" s="24" t="n"/>
      <c r="B3719" s="27" t="n"/>
      <c r="C3719" s="24" t="n"/>
      <c r="D3719" s="28" t="n"/>
      <c r="E3719" s="29" t="n"/>
      <c r="F3719" s="24" t="n"/>
      <c r="G3719" s="24" t="n"/>
      <c r="H3719" s="21">
        <f>IF(ISNUMBER($B3719),INT($B3719)-WEEKDAY($B3719,2)+1,"")</f>
        <v/>
      </c>
      <c r="I3719" s="24" t="n"/>
      <c r="J3719" s="22">
        <f t="array" ref="J3719">IF($D3719="","",IF($I3719="","(trống REF)",IFERROR(INDEX(MASTER_SOURCE!$B$2:$B$495,MATCH($I3719,MASTER_SOURCE!$A$2:$A$495,0)),"(REF không có trong MASTER_SOURCE)")))</f>
        <v/>
      </c>
      <c r="K3719" s="22">
        <f t="array" ref="K3719">IF($D3719="","",IFERROR(INDEX(MASTER_SOURCE!$C$2:$C$495,MATCH($I3719,MASTER_SOURCE!$A$2:$A$495,0)),""))</f>
        <v/>
      </c>
      <c r="L3719" s="22">
        <f t="array" ref="L3719">IF($D3719="","",IFERROR(INDEX(MASTER_SOURCE!$D$2:$D$495,MATCH($I3719,MASTER_SOURCE!$A$2:$A$495,0)),""))</f>
        <v/>
      </c>
      <c r="M3719" s="24" t="n"/>
      <c r="N3719" s="24" t="n"/>
      <c r="O3719" s="24" t="n"/>
      <c r="P3719" s="24" t="n"/>
      <c r="Q3719" s="22">
        <f>IF($D3719="","",IF(AND(OR(DANH_MUC!$L$5&lt;&gt;"Có",M3719="Có"),OR(DANH_MUC!$L$6&lt;&gt;"Có",N3719="Có"),OR(DANH_MUC!$L$7&lt;&gt;"Có",O3719="Có"),OR(DANH_MUC!$L$8&lt;&gt;"Có",P3719="Có")),"Có","Không"))</f>
        <v/>
      </c>
      <c r="R3719" s="22">
        <f>IF($D3719="","",IF(COUNTIF($D$2:$D3719,$D3719)&gt;1,"Trùng",""))</f>
        <v/>
      </c>
      <c r="S3719" s="22">
        <f>IF($D3719="","",IF(AND(LEN($D3719)=10,LEFT($D3719,1)="0",ISNUMBER(--$D3719)),"Có","Không"))</f>
        <v/>
      </c>
      <c r="T3719" s="22">
        <f>IF($D3719="","",IF(AND($C3719&lt;&gt;"",$Q3719="Có",$R3719="",$S3719="Có",AND($L3719&lt;&gt;"",OR($L3719&lt;&gt;"Chưa xác định",DANH_MUC!$L$9="Có"))),"Có","Không"))</f>
        <v/>
      </c>
      <c r="U3719" s="22">
        <f>IF(OR($D3719="",$T3719="Có"),"",IF($C3719="","Thiếu họ tên; ","")&amp;IF($S3719&lt;&gt;"Có","SĐT sai định dạng; ","")&amp;IF($R3719="Trùng","Trùng SĐT; ","")&amp;IF($Q3719&lt;&gt;"Có","Thiếu đồng ý bắt buộc; ","")&amp;IF($L3719="","Thiếu/sai Mã REF; ",IF(AND($L3719="Chưa xác định",DANH_MUC!$L$9&lt;&gt;"Có"),"Nguồn chưa xác định; ","")))</f>
        <v/>
      </c>
      <c r="V3719" s="22">
        <f>IF(OR($D3719="",$R3719="Trùng"),"",IF(COUNTIF(ORDERS!$C$2:$C$4995,$D3719)&gt;0,"Có","Không"))</f>
        <v/>
      </c>
      <c r="W3719" s="22">
        <f>IF(OR($D3719="",$R3719="Trùng"),"",COUNTIFS(ORDERS!$C$2:$C$4995,$D3719,ORDERS!$L$2:$L$4995,"Đã chuyển khoản"))</f>
        <v/>
      </c>
      <c r="X3719" s="23">
        <f>IF(OR($D3719="",$R3719="Trùng"),"",SUMIFS(ORDERS!$J$2:$J$4995,ORDERS!$C$2:$C$4995,$D3719,ORDERS!$L$2:$L$4995,"Đã chuyển khoản"))</f>
        <v/>
      </c>
      <c r="Y3719" s="24" t="n"/>
    </row>
    <row r="3720" ht="14.25" customHeight="1" s="40">
      <c r="A3720" s="24" t="n"/>
      <c r="B3720" s="27" t="n"/>
      <c r="C3720" s="24" t="n"/>
      <c r="D3720" s="28" t="n"/>
      <c r="E3720" s="29" t="n"/>
      <c r="F3720" s="24" t="n"/>
      <c r="G3720" s="24" t="n"/>
      <c r="H3720" s="21">
        <f>IF(ISNUMBER($B3720),INT($B3720)-WEEKDAY($B3720,2)+1,"")</f>
        <v/>
      </c>
      <c r="I3720" s="24" t="n"/>
      <c r="J3720" s="22">
        <f t="array" ref="J3720">IF($D3720="","",IF($I3720="","(trống REF)",IFERROR(INDEX(MASTER_SOURCE!$B$2:$B$495,MATCH($I3720,MASTER_SOURCE!$A$2:$A$495,0)),"(REF không có trong MASTER_SOURCE)")))</f>
        <v/>
      </c>
      <c r="K3720" s="22">
        <f t="array" ref="K3720">IF($D3720="","",IFERROR(INDEX(MASTER_SOURCE!$C$2:$C$495,MATCH($I3720,MASTER_SOURCE!$A$2:$A$495,0)),""))</f>
        <v/>
      </c>
      <c r="L3720" s="22">
        <f t="array" ref="L3720">IF($D3720="","",IFERROR(INDEX(MASTER_SOURCE!$D$2:$D$495,MATCH($I3720,MASTER_SOURCE!$A$2:$A$495,0)),""))</f>
        <v/>
      </c>
      <c r="M3720" s="24" t="n"/>
      <c r="N3720" s="24" t="n"/>
      <c r="O3720" s="24" t="n"/>
      <c r="P3720" s="24" t="n"/>
      <c r="Q3720" s="22">
        <f>IF($D3720="","",IF(AND(OR(DANH_MUC!$L$5&lt;&gt;"Có",M3720="Có"),OR(DANH_MUC!$L$6&lt;&gt;"Có",N3720="Có"),OR(DANH_MUC!$L$7&lt;&gt;"Có",O3720="Có"),OR(DANH_MUC!$L$8&lt;&gt;"Có",P3720="Có")),"Có","Không"))</f>
        <v/>
      </c>
      <c r="R3720" s="22">
        <f>IF($D3720="","",IF(COUNTIF($D$2:$D3720,$D3720)&gt;1,"Trùng",""))</f>
        <v/>
      </c>
      <c r="S3720" s="22">
        <f>IF($D3720="","",IF(AND(LEN($D3720)=10,LEFT($D3720,1)="0",ISNUMBER(--$D3720)),"Có","Không"))</f>
        <v/>
      </c>
      <c r="T3720" s="22">
        <f>IF($D3720="","",IF(AND($C3720&lt;&gt;"",$Q3720="Có",$R3720="",$S3720="Có",AND($L3720&lt;&gt;"",OR($L3720&lt;&gt;"Chưa xác định",DANH_MUC!$L$9="Có"))),"Có","Không"))</f>
        <v/>
      </c>
      <c r="U3720" s="22">
        <f>IF(OR($D3720="",$T3720="Có"),"",IF($C3720="","Thiếu họ tên; ","")&amp;IF($S3720&lt;&gt;"Có","SĐT sai định dạng; ","")&amp;IF($R3720="Trùng","Trùng SĐT; ","")&amp;IF($Q3720&lt;&gt;"Có","Thiếu đồng ý bắt buộc; ","")&amp;IF($L3720="","Thiếu/sai Mã REF; ",IF(AND($L3720="Chưa xác định",DANH_MUC!$L$9&lt;&gt;"Có"),"Nguồn chưa xác định; ","")))</f>
        <v/>
      </c>
      <c r="V3720" s="22">
        <f>IF(OR($D3720="",$R3720="Trùng"),"",IF(COUNTIF(ORDERS!$C$2:$C$4995,$D3720)&gt;0,"Có","Không"))</f>
        <v/>
      </c>
      <c r="W3720" s="22">
        <f>IF(OR($D3720="",$R3720="Trùng"),"",COUNTIFS(ORDERS!$C$2:$C$4995,$D3720,ORDERS!$L$2:$L$4995,"Đã chuyển khoản"))</f>
        <v/>
      </c>
      <c r="X3720" s="23">
        <f>IF(OR($D3720="",$R3720="Trùng"),"",SUMIFS(ORDERS!$J$2:$J$4995,ORDERS!$C$2:$C$4995,$D3720,ORDERS!$L$2:$L$4995,"Đã chuyển khoản"))</f>
        <v/>
      </c>
      <c r="Y3720" s="24" t="n"/>
    </row>
    <row r="3721" ht="14.25" customHeight="1" s="40">
      <c r="A3721" s="24" t="n"/>
      <c r="B3721" s="27" t="n"/>
      <c r="C3721" s="24" t="n"/>
      <c r="D3721" s="28" t="n"/>
      <c r="E3721" s="29" t="n"/>
      <c r="F3721" s="24" t="n"/>
      <c r="G3721" s="24" t="n"/>
      <c r="H3721" s="21">
        <f>IF(ISNUMBER($B3721),INT($B3721)-WEEKDAY($B3721,2)+1,"")</f>
        <v/>
      </c>
      <c r="I3721" s="24" t="n"/>
      <c r="J3721" s="22">
        <f t="array" ref="J3721">IF($D3721="","",IF($I3721="","(trống REF)",IFERROR(INDEX(MASTER_SOURCE!$B$2:$B$495,MATCH($I3721,MASTER_SOURCE!$A$2:$A$495,0)),"(REF không có trong MASTER_SOURCE)")))</f>
        <v/>
      </c>
      <c r="K3721" s="22">
        <f t="array" ref="K3721">IF($D3721="","",IFERROR(INDEX(MASTER_SOURCE!$C$2:$C$495,MATCH($I3721,MASTER_SOURCE!$A$2:$A$495,0)),""))</f>
        <v/>
      </c>
      <c r="L3721" s="22">
        <f t="array" ref="L3721">IF($D3721="","",IFERROR(INDEX(MASTER_SOURCE!$D$2:$D$495,MATCH($I3721,MASTER_SOURCE!$A$2:$A$495,0)),""))</f>
        <v/>
      </c>
      <c r="M3721" s="24" t="n"/>
      <c r="N3721" s="24" t="n"/>
      <c r="O3721" s="24" t="n"/>
      <c r="P3721" s="24" t="n"/>
      <c r="Q3721" s="22">
        <f>IF($D3721="","",IF(AND(OR(DANH_MUC!$L$5&lt;&gt;"Có",M3721="Có"),OR(DANH_MUC!$L$6&lt;&gt;"Có",N3721="Có"),OR(DANH_MUC!$L$7&lt;&gt;"Có",O3721="Có"),OR(DANH_MUC!$L$8&lt;&gt;"Có",P3721="Có")),"Có","Không"))</f>
        <v/>
      </c>
      <c r="R3721" s="22">
        <f>IF($D3721="","",IF(COUNTIF($D$2:$D3721,$D3721)&gt;1,"Trùng",""))</f>
        <v/>
      </c>
      <c r="S3721" s="22">
        <f>IF($D3721="","",IF(AND(LEN($D3721)=10,LEFT($D3721,1)="0",ISNUMBER(--$D3721)),"Có","Không"))</f>
        <v/>
      </c>
      <c r="T3721" s="22">
        <f>IF($D3721="","",IF(AND($C3721&lt;&gt;"",$Q3721="Có",$R3721="",$S3721="Có",AND($L3721&lt;&gt;"",OR($L3721&lt;&gt;"Chưa xác định",DANH_MUC!$L$9="Có"))),"Có","Không"))</f>
        <v/>
      </c>
      <c r="U3721" s="22">
        <f>IF(OR($D3721="",$T3721="Có"),"",IF($C3721="","Thiếu họ tên; ","")&amp;IF($S3721&lt;&gt;"Có","SĐT sai định dạng; ","")&amp;IF($R3721="Trùng","Trùng SĐT; ","")&amp;IF($Q3721&lt;&gt;"Có","Thiếu đồng ý bắt buộc; ","")&amp;IF($L3721="","Thiếu/sai Mã REF; ",IF(AND($L3721="Chưa xác định",DANH_MUC!$L$9&lt;&gt;"Có"),"Nguồn chưa xác định; ","")))</f>
        <v/>
      </c>
      <c r="V3721" s="22">
        <f>IF(OR($D3721="",$R3721="Trùng"),"",IF(COUNTIF(ORDERS!$C$2:$C$4995,$D3721)&gt;0,"Có","Không"))</f>
        <v/>
      </c>
      <c r="W3721" s="22">
        <f>IF(OR($D3721="",$R3721="Trùng"),"",COUNTIFS(ORDERS!$C$2:$C$4995,$D3721,ORDERS!$L$2:$L$4995,"Đã chuyển khoản"))</f>
        <v/>
      </c>
      <c r="X3721" s="23">
        <f>IF(OR($D3721="",$R3721="Trùng"),"",SUMIFS(ORDERS!$J$2:$J$4995,ORDERS!$C$2:$C$4995,$D3721,ORDERS!$L$2:$L$4995,"Đã chuyển khoản"))</f>
        <v/>
      </c>
      <c r="Y3721" s="24" t="n"/>
    </row>
    <row r="3722" ht="14.25" customHeight="1" s="40">
      <c r="A3722" s="24" t="n"/>
      <c r="B3722" s="27" t="n"/>
      <c r="C3722" s="24" t="n"/>
      <c r="D3722" s="28" t="n"/>
      <c r="E3722" s="29" t="n"/>
      <c r="F3722" s="24" t="n"/>
      <c r="G3722" s="24" t="n"/>
      <c r="H3722" s="21">
        <f>IF(ISNUMBER($B3722),INT($B3722)-WEEKDAY($B3722,2)+1,"")</f>
        <v/>
      </c>
      <c r="I3722" s="24" t="n"/>
      <c r="J3722" s="22">
        <f t="array" ref="J3722">IF($D3722="","",IF($I3722="","(trống REF)",IFERROR(INDEX(MASTER_SOURCE!$B$2:$B$495,MATCH($I3722,MASTER_SOURCE!$A$2:$A$495,0)),"(REF không có trong MASTER_SOURCE)")))</f>
        <v/>
      </c>
      <c r="K3722" s="22">
        <f t="array" ref="K3722">IF($D3722="","",IFERROR(INDEX(MASTER_SOURCE!$C$2:$C$495,MATCH($I3722,MASTER_SOURCE!$A$2:$A$495,0)),""))</f>
        <v/>
      </c>
      <c r="L3722" s="22">
        <f t="array" ref="L3722">IF($D3722="","",IFERROR(INDEX(MASTER_SOURCE!$D$2:$D$495,MATCH($I3722,MASTER_SOURCE!$A$2:$A$495,0)),""))</f>
        <v/>
      </c>
      <c r="M3722" s="24" t="n"/>
      <c r="N3722" s="24" t="n"/>
      <c r="O3722" s="24" t="n"/>
      <c r="P3722" s="24" t="n"/>
      <c r="Q3722" s="22">
        <f>IF($D3722="","",IF(AND(OR(DANH_MUC!$L$5&lt;&gt;"Có",M3722="Có"),OR(DANH_MUC!$L$6&lt;&gt;"Có",N3722="Có"),OR(DANH_MUC!$L$7&lt;&gt;"Có",O3722="Có"),OR(DANH_MUC!$L$8&lt;&gt;"Có",P3722="Có")),"Có","Không"))</f>
        <v/>
      </c>
      <c r="R3722" s="22">
        <f>IF($D3722="","",IF(COUNTIF($D$2:$D3722,$D3722)&gt;1,"Trùng",""))</f>
        <v/>
      </c>
      <c r="S3722" s="22">
        <f>IF($D3722="","",IF(AND(LEN($D3722)=10,LEFT($D3722,1)="0",ISNUMBER(--$D3722)),"Có","Không"))</f>
        <v/>
      </c>
      <c r="T3722" s="22">
        <f>IF($D3722="","",IF(AND($C3722&lt;&gt;"",$Q3722="Có",$R3722="",$S3722="Có",AND($L3722&lt;&gt;"",OR($L3722&lt;&gt;"Chưa xác định",DANH_MUC!$L$9="Có"))),"Có","Không"))</f>
        <v/>
      </c>
      <c r="U3722" s="22">
        <f>IF(OR($D3722="",$T3722="Có"),"",IF($C3722="","Thiếu họ tên; ","")&amp;IF($S3722&lt;&gt;"Có","SĐT sai định dạng; ","")&amp;IF($R3722="Trùng","Trùng SĐT; ","")&amp;IF($Q3722&lt;&gt;"Có","Thiếu đồng ý bắt buộc; ","")&amp;IF($L3722="","Thiếu/sai Mã REF; ",IF(AND($L3722="Chưa xác định",DANH_MUC!$L$9&lt;&gt;"Có"),"Nguồn chưa xác định; ","")))</f>
        <v/>
      </c>
      <c r="V3722" s="22">
        <f>IF(OR($D3722="",$R3722="Trùng"),"",IF(COUNTIF(ORDERS!$C$2:$C$4995,$D3722)&gt;0,"Có","Không"))</f>
        <v/>
      </c>
      <c r="W3722" s="22">
        <f>IF(OR($D3722="",$R3722="Trùng"),"",COUNTIFS(ORDERS!$C$2:$C$4995,$D3722,ORDERS!$L$2:$L$4995,"Đã chuyển khoản"))</f>
        <v/>
      </c>
      <c r="X3722" s="23">
        <f>IF(OR($D3722="",$R3722="Trùng"),"",SUMIFS(ORDERS!$J$2:$J$4995,ORDERS!$C$2:$C$4995,$D3722,ORDERS!$L$2:$L$4995,"Đã chuyển khoản"))</f>
        <v/>
      </c>
      <c r="Y3722" s="24" t="n"/>
    </row>
    <row r="3723" ht="14.25" customHeight="1" s="40">
      <c r="A3723" s="24" t="n"/>
      <c r="B3723" s="27" t="n"/>
      <c r="C3723" s="24" t="n"/>
      <c r="D3723" s="28" t="n"/>
      <c r="E3723" s="29" t="n"/>
      <c r="F3723" s="24" t="n"/>
      <c r="G3723" s="24" t="n"/>
      <c r="H3723" s="21">
        <f>IF(ISNUMBER($B3723),INT($B3723)-WEEKDAY($B3723,2)+1,"")</f>
        <v/>
      </c>
      <c r="I3723" s="24" t="n"/>
      <c r="J3723" s="22">
        <f t="array" ref="J3723">IF($D3723="","",IF($I3723="","(trống REF)",IFERROR(INDEX(MASTER_SOURCE!$B$2:$B$495,MATCH($I3723,MASTER_SOURCE!$A$2:$A$495,0)),"(REF không có trong MASTER_SOURCE)")))</f>
        <v/>
      </c>
      <c r="K3723" s="22">
        <f t="array" ref="K3723">IF($D3723="","",IFERROR(INDEX(MASTER_SOURCE!$C$2:$C$495,MATCH($I3723,MASTER_SOURCE!$A$2:$A$495,0)),""))</f>
        <v/>
      </c>
      <c r="L3723" s="22">
        <f t="array" ref="L3723">IF($D3723="","",IFERROR(INDEX(MASTER_SOURCE!$D$2:$D$495,MATCH($I3723,MASTER_SOURCE!$A$2:$A$495,0)),""))</f>
        <v/>
      </c>
      <c r="M3723" s="24" t="n"/>
      <c r="N3723" s="24" t="n"/>
      <c r="O3723" s="24" t="n"/>
      <c r="P3723" s="24" t="n"/>
      <c r="Q3723" s="22">
        <f>IF($D3723="","",IF(AND(OR(DANH_MUC!$L$5&lt;&gt;"Có",M3723="Có"),OR(DANH_MUC!$L$6&lt;&gt;"Có",N3723="Có"),OR(DANH_MUC!$L$7&lt;&gt;"Có",O3723="Có"),OR(DANH_MUC!$L$8&lt;&gt;"Có",P3723="Có")),"Có","Không"))</f>
        <v/>
      </c>
      <c r="R3723" s="22">
        <f>IF($D3723="","",IF(COUNTIF($D$2:$D3723,$D3723)&gt;1,"Trùng",""))</f>
        <v/>
      </c>
      <c r="S3723" s="22">
        <f>IF($D3723="","",IF(AND(LEN($D3723)=10,LEFT($D3723,1)="0",ISNUMBER(--$D3723)),"Có","Không"))</f>
        <v/>
      </c>
      <c r="T3723" s="22">
        <f>IF($D3723="","",IF(AND($C3723&lt;&gt;"",$Q3723="Có",$R3723="",$S3723="Có",AND($L3723&lt;&gt;"",OR($L3723&lt;&gt;"Chưa xác định",DANH_MUC!$L$9="Có"))),"Có","Không"))</f>
        <v/>
      </c>
      <c r="U3723" s="22">
        <f>IF(OR($D3723="",$T3723="Có"),"",IF($C3723="","Thiếu họ tên; ","")&amp;IF($S3723&lt;&gt;"Có","SĐT sai định dạng; ","")&amp;IF($R3723="Trùng","Trùng SĐT; ","")&amp;IF($Q3723&lt;&gt;"Có","Thiếu đồng ý bắt buộc; ","")&amp;IF($L3723="","Thiếu/sai Mã REF; ",IF(AND($L3723="Chưa xác định",DANH_MUC!$L$9&lt;&gt;"Có"),"Nguồn chưa xác định; ","")))</f>
        <v/>
      </c>
      <c r="V3723" s="22">
        <f>IF(OR($D3723="",$R3723="Trùng"),"",IF(COUNTIF(ORDERS!$C$2:$C$4995,$D3723)&gt;0,"Có","Không"))</f>
        <v/>
      </c>
      <c r="W3723" s="22">
        <f>IF(OR($D3723="",$R3723="Trùng"),"",COUNTIFS(ORDERS!$C$2:$C$4995,$D3723,ORDERS!$L$2:$L$4995,"Đã chuyển khoản"))</f>
        <v/>
      </c>
      <c r="X3723" s="23">
        <f>IF(OR($D3723="",$R3723="Trùng"),"",SUMIFS(ORDERS!$J$2:$J$4995,ORDERS!$C$2:$C$4995,$D3723,ORDERS!$L$2:$L$4995,"Đã chuyển khoản"))</f>
        <v/>
      </c>
      <c r="Y3723" s="24" t="n"/>
    </row>
    <row r="3724" ht="14.25" customHeight="1" s="40">
      <c r="A3724" s="24" t="n"/>
      <c r="B3724" s="27" t="n"/>
      <c r="C3724" s="24" t="n"/>
      <c r="D3724" s="28" t="n"/>
      <c r="E3724" s="29" t="n"/>
      <c r="F3724" s="24" t="n"/>
      <c r="G3724" s="24" t="n"/>
      <c r="H3724" s="21">
        <f>IF(ISNUMBER($B3724),INT($B3724)-WEEKDAY($B3724,2)+1,"")</f>
        <v/>
      </c>
      <c r="I3724" s="24" t="n"/>
      <c r="J3724" s="22">
        <f t="array" ref="J3724">IF($D3724="","",IF($I3724="","(trống REF)",IFERROR(INDEX(MASTER_SOURCE!$B$2:$B$495,MATCH($I3724,MASTER_SOURCE!$A$2:$A$495,0)),"(REF không có trong MASTER_SOURCE)")))</f>
        <v/>
      </c>
      <c r="K3724" s="22">
        <f t="array" ref="K3724">IF($D3724="","",IFERROR(INDEX(MASTER_SOURCE!$C$2:$C$495,MATCH($I3724,MASTER_SOURCE!$A$2:$A$495,0)),""))</f>
        <v/>
      </c>
      <c r="L3724" s="22">
        <f t="array" ref="L3724">IF($D3724="","",IFERROR(INDEX(MASTER_SOURCE!$D$2:$D$495,MATCH($I3724,MASTER_SOURCE!$A$2:$A$495,0)),""))</f>
        <v/>
      </c>
      <c r="M3724" s="24" t="n"/>
      <c r="N3724" s="24" t="n"/>
      <c r="O3724" s="24" t="n"/>
      <c r="P3724" s="24" t="n"/>
      <c r="Q3724" s="22">
        <f>IF($D3724="","",IF(AND(OR(DANH_MUC!$L$5&lt;&gt;"Có",M3724="Có"),OR(DANH_MUC!$L$6&lt;&gt;"Có",N3724="Có"),OR(DANH_MUC!$L$7&lt;&gt;"Có",O3724="Có"),OR(DANH_MUC!$L$8&lt;&gt;"Có",P3724="Có")),"Có","Không"))</f>
        <v/>
      </c>
      <c r="R3724" s="22">
        <f>IF($D3724="","",IF(COUNTIF($D$2:$D3724,$D3724)&gt;1,"Trùng",""))</f>
        <v/>
      </c>
      <c r="S3724" s="22">
        <f>IF($D3724="","",IF(AND(LEN($D3724)=10,LEFT($D3724,1)="0",ISNUMBER(--$D3724)),"Có","Không"))</f>
        <v/>
      </c>
      <c r="T3724" s="22">
        <f>IF($D3724="","",IF(AND($C3724&lt;&gt;"",$Q3724="Có",$R3724="",$S3724="Có",AND($L3724&lt;&gt;"",OR($L3724&lt;&gt;"Chưa xác định",DANH_MUC!$L$9="Có"))),"Có","Không"))</f>
        <v/>
      </c>
      <c r="U3724" s="22">
        <f>IF(OR($D3724="",$T3724="Có"),"",IF($C3724="","Thiếu họ tên; ","")&amp;IF($S3724&lt;&gt;"Có","SĐT sai định dạng; ","")&amp;IF($R3724="Trùng","Trùng SĐT; ","")&amp;IF($Q3724&lt;&gt;"Có","Thiếu đồng ý bắt buộc; ","")&amp;IF($L3724="","Thiếu/sai Mã REF; ",IF(AND($L3724="Chưa xác định",DANH_MUC!$L$9&lt;&gt;"Có"),"Nguồn chưa xác định; ","")))</f>
        <v/>
      </c>
      <c r="V3724" s="22">
        <f>IF(OR($D3724="",$R3724="Trùng"),"",IF(COUNTIF(ORDERS!$C$2:$C$4995,$D3724)&gt;0,"Có","Không"))</f>
        <v/>
      </c>
      <c r="W3724" s="22">
        <f>IF(OR($D3724="",$R3724="Trùng"),"",COUNTIFS(ORDERS!$C$2:$C$4995,$D3724,ORDERS!$L$2:$L$4995,"Đã chuyển khoản"))</f>
        <v/>
      </c>
      <c r="X3724" s="23">
        <f>IF(OR($D3724="",$R3724="Trùng"),"",SUMIFS(ORDERS!$J$2:$J$4995,ORDERS!$C$2:$C$4995,$D3724,ORDERS!$L$2:$L$4995,"Đã chuyển khoản"))</f>
        <v/>
      </c>
      <c r="Y3724" s="24" t="n"/>
    </row>
    <row r="3725" ht="14.25" customHeight="1" s="40">
      <c r="A3725" s="24" t="n"/>
      <c r="B3725" s="27" t="n"/>
      <c r="C3725" s="24" t="n"/>
      <c r="D3725" s="28" t="n"/>
      <c r="E3725" s="29" t="n"/>
      <c r="F3725" s="24" t="n"/>
      <c r="G3725" s="24" t="n"/>
      <c r="H3725" s="21">
        <f>IF(ISNUMBER($B3725),INT($B3725)-WEEKDAY($B3725,2)+1,"")</f>
        <v/>
      </c>
      <c r="I3725" s="24" t="n"/>
      <c r="J3725" s="22">
        <f t="array" ref="J3725">IF($D3725="","",IF($I3725="","(trống REF)",IFERROR(INDEX(MASTER_SOURCE!$B$2:$B$495,MATCH($I3725,MASTER_SOURCE!$A$2:$A$495,0)),"(REF không có trong MASTER_SOURCE)")))</f>
        <v/>
      </c>
      <c r="K3725" s="22">
        <f t="array" ref="K3725">IF($D3725="","",IFERROR(INDEX(MASTER_SOURCE!$C$2:$C$495,MATCH($I3725,MASTER_SOURCE!$A$2:$A$495,0)),""))</f>
        <v/>
      </c>
      <c r="L3725" s="22">
        <f t="array" ref="L3725">IF($D3725="","",IFERROR(INDEX(MASTER_SOURCE!$D$2:$D$495,MATCH($I3725,MASTER_SOURCE!$A$2:$A$495,0)),""))</f>
        <v/>
      </c>
      <c r="M3725" s="24" t="n"/>
      <c r="N3725" s="24" t="n"/>
      <c r="O3725" s="24" t="n"/>
      <c r="P3725" s="24" t="n"/>
      <c r="Q3725" s="22">
        <f>IF($D3725="","",IF(AND(OR(DANH_MUC!$L$5&lt;&gt;"Có",M3725="Có"),OR(DANH_MUC!$L$6&lt;&gt;"Có",N3725="Có"),OR(DANH_MUC!$L$7&lt;&gt;"Có",O3725="Có"),OR(DANH_MUC!$L$8&lt;&gt;"Có",P3725="Có")),"Có","Không"))</f>
        <v/>
      </c>
      <c r="R3725" s="22">
        <f>IF($D3725="","",IF(COUNTIF($D$2:$D3725,$D3725)&gt;1,"Trùng",""))</f>
        <v/>
      </c>
      <c r="S3725" s="22">
        <f>IF($D3725="","",IF(AND(LEN($D3725)=10,LEFT($D3725,1)="0",ISNUMBER(--$D3725)),"Có","Không"))</f>
        <v/>
      </c>
      <c r="T3725" s="22">
        <f>IF($D3725="","",IF(AND($C3725&lt;&gt;"",$Q3725="Có",$R3725="",$S3725="Có",AND($L3725&lt;&gt;"",OR($L3725&lt;&gt;"Chưa xác định",DANH_MUC!$L$9="Có"))),"Có","Không"))</f>
        <v/>
      </c>
      <c r="U3725" s="22">
        <f>IF(OR($D3725="",$T3725="Có"),"",IF($C3725="","Thiếu họ tên; ","")&amp;IF($S3725&lt;&gt;"Có","SĐT sai định dạng; ","")&amp;IF($R3725="Trùng","Trùng SĐT; ","")&amp;IF($Q3725&lt;&gt;"Có","Thiếu đồng ý bắt buộc; ","")&amp;IF($L3725="","Thiếu/sai Mã REF; ",IF(AND($L3725="Chưa xác định",DANH_MUC!$L$9&lt;&gt;"Có"),"Nguồn chưa xác định; ","")))</f>
        <v/>
      </c>
      <c r="V3725" s="22">
        <f>IF(OR($D3725="",$R3725="Trùng"),"",IF(COUNTIF(ORDERS!$C$2:$C$4995,$D3725)&gt;0,"Có","Không"))</f>
        <v/>
      </c>
      <c r="W3725" s="22">
        <f>IF(OR($D3725="",$R3725="Trùng"),"",COUNTIFS(ORDERS!$C$2:$C$4995,$D3725,ORDERS!$L$2:$L$4995,"Đã chuyển khoản"))</f>
        <v/>
      </c>
      <c r="X3725" s="23">
        <f>IF(OR($D3725="",$R3725="Trùng"),"",SUMIFS(ORDERS!$J$2:$J$4995,ORDERS!$C$2:$C$4995,$D3725,ORDERS!$L$2:$L$4995,"Đã chuyển khoản"))</f>
        <v/>
      </c>
      <c r="Y3725" s="24" t="n"/>
    </row>
    <row r="3726" ht="14.25" customHeight="1" s="40">
      <c r="A3726" s="24" t="n"/>
      <c r="B3726" s="27" t="n"/>
      <c r="C3726" s="24" t="n"/>
      <c r="D3726" s="28" t="n"/>
      <c r="E3726" s="29" t="n"/>
      <c r="F3726" s="24" t="n"/>
      <c r="G3726" s="24" t="n"/>
      <c r="H3726" s="21">
        <f>IF(ISNUMBER($B3726),INT($B3726)-WEEKDAY($B3726,2)+1,"")</f>
        <v/>
      </c>
      <c r="I3726" s="24" t="n"/>
      <c r="J3726" s="22">
        <f t="array" ref="J3726">IF($D3726="","",IF($I3726="","(trống REF)",IFERROR(INDEX(MASTER_SOURCE!$B$2:$B$495,MATCH($I3726,MASTER_SOURCE!$A$2:$A$495,0)),"(REF không có trong MASTER_SOURCE)")))</f>
        <v/>
      </c>
      <c r="K3726" s="22">
        <f t="array" ref="K3726">IF($D3726="","",IFERROR(INDEX(MASTER_SOURCE!$C$2:$C$495,MATCH($I3726,MASTER_SOURCE!$A$2:$A$495,0)),""))</f>
        <v/>
      </c>
      <c r="L3726" s="22">
        <f t="array" ref="L3726">IF($D3726="","",IFERROR(INDEX(MASTER_SOURCE!$D$2:$D$495,MATCH($I3726,MASTER_SOURCE!$A$2:$A$495,0)),""))</f>
        <v/>
      </c>
      <c r="M3726" s="24" t="n"/>
      <c r="N3726" s="24" t="n"/>
      <c r="O3726" s="24" t="n"/>
      <c r="P3726" s="24" t="n"/>
      <c r="Q3726" s="22">
        <f>IF($D3726="","",IF(AND(OR(DANH_MUC!$L$5&lt;&gt;"Có",M3726="Có"),OR(DANH_MUC!$L$6&lt;&gt;"Có",N3726="Có"),OR(DANH_MUC!$L$7&lt;&gt;"Có",O3726="Có"),OR(DANH_MUC!$L$8&lt;&gt;"Có",P3726="Có")),"Có","Không"))</f>
        <v/>
      </c>
      <c r="R3726" s="22">
        <f>IF($D3726="","",IF(COUNTIF($D$2:$D3726,$D3726)&gt;1,"Trùng",""))</f>
        <v/>
      </c>
      <c r="S3726" s="22">
        <f>IF($D3726="","",IF(AND(LEN($D3726)=10,LEFT($D3726,1)="0",ISNUMBER(--$D3726)),"Có","Không"))</f>
        <v/>
      </c>
      <c r="T3726" s="22">
        <f>IF($D3726="","",IF(AND($C3726&lt;&gt;"",$Q3726="Có",$R3726="",$S3726="Có",AND($L3726&lt;&gt;"",OR($L3726&lt;&gt;"Chưa xác định",DANH_MUC!$L$9="Có"))),"Có","Không"))</f>
        <v/>
      </c>
      <c r="U3726" s="22">
        <f>IF(OR($D3726="",$T3726="Có"),"",IF($C3726="","Thiếu họ tên; ","")&amp;IF($S3726&lt;&gt;"Có","SĐT sai định dạng; ","")&amp;IF($R3726="Trùng","Trùng SĐT; ","")&amp;IF($Q3726&lt;&gt;"Có","Thiếu đồng ý bắt buộc; ","")&amp;IF($L3726="","Thiếu/sai Mã REF; ",IF(AND($L3726="Chưa xác định",DANH_MUC!$L$9&lt;&gt;"Có"),"Nguồn chưa xác định; ","")))</f>
        <v/>
      </c>
      <c r="V3726" s="22">
        <f>IF(OR($D3726="",$R3726="Trùng"),"",IF(COUNTIF(ORDERS!$C$2:$C$4995,$D3726)&gt;0,"Có","Không"))</f>
        <v/>
      </c>
      <c r="W3726" s="22">
        <f>IF(OR($D3726="",$R3726="Trùng"),"",COUNTIFS(ORDERS!$C$2:$C$4995,$D3726,ORDERS!$L$2:$L$4995,"Đã chuyển khoản"))</f>
        <v/>
      </c>
      <c r="X3726" s="23">
        <f>IF(OR($D3726="",$R3726="Trùng"),"",SUMIFS(ORDERS!$J$2:$J$4995,ORDERS!$C$2:$C$4995,$D3726,ORDERS!$L$2:$L$4995,"Đã chuyển khoản"))</f>
        <v/>
      </c>
      <c r="Y3726" s="24" t="n"/>
    </row>
    <row r="3727" ht="14.25" customHeight="1" s="40">
      <c r="A3727" s="24" t="n"/>
      <c r="B3727" s="27" t="n"/>
      <c r="C3727" s="24" t="n"/>
      <c r="D3727" s="28" t="n"/>
      <c r="E3727" s="29" t="n"/>
      <c r="F3727" s="24" t="n"/>
      <c r="G3727" s="24" t="n"/>
      <c r="H3727" s="21">
        <f>IF(ISNUMBER($B3727),INT($B3727)-WEEKDAY($B3727,2)+1,"")</f>
        <v/>
      </c>
      <c r="I3727" s="24" t="n"/>
      <c r="J3727" s="22">
        <f t="array" ref="J3727">IF($D3727="","",IF($I3727="","(trống REF)",IFERROR(INDEX(MASTER_SOURCE!$B$2:$B$495,MATCH($I3727,MASTER_SOURCE!$A$2:$A$495,0)),"(REF không có trong MASTER_SOURCE)")))</f>
        <v/>
      </c>
      <c r="K3727" s="22">
        <f t="array" ref="K3727">IF($D3727="","",IFERROR(INDEX(MASTER_SOURCE!$C$2:$C$495,MATCH($I3727,MASTER_SOURCE!$A$2:$A$495,0)),""))</f>
        <v/>
      </c>
      <c r="L3727" s="22">
        <f t="array" ref="L3727">IF($D3727="","",IFERROR(INDEX(MASTER_SOURCE!$D$2:$D$495,MATCH($I3727,MASTER_SOURCE!$A$2:$A$495,0)),""))</f>
        <v/>
      </c>
      <c r="M3727" s="24" t="n"/>
      <c r="N3727" s="24" t="n"/>
      <c r="O3727" s="24" t="n"/>
      <c r="P3727" s="24" t="n"/>
      <c r="Q3727" s="22">
        <f>IF($D3727="","",IF(AND(OR(DANH_MUC!$L$5&lt;&gt;"Có",M3727="Có"),OR(DANH_MUC!$L$6&lt;&gt;"Có",N3727="Có"),OR(DANH_MUC!$L$7&lt;&gt;"Có",O3727="Có"),OR(DANH_MUC!$L$8&lt;&gt;"Có",P3727="Có")),"Có","Không"))</f>
        <v/>
      </c>
      <c r="R3727" s="22">
        <f>IF($D3727="","",IF(COUNTIF($D$2:$D3727,$D3727)&gt;1,"Trùng",""))</f>
        <v/>
      </c>
      <c r="S3727" s="22">
        <f>IF($D3727="","",IF(AND(LEN($D3727)=10,LEFT($D3727,1)="0",ISNUMBER(--$D3727)),"Có","Không"))</f>
        <v/>
      </c>
      <c r="T3727" s="22">
        <f>IF($D3727="","",IF(AND($C3727&lt;&gt;"",$Q3727="Có",$R3727="",$S3727="Có",AND($L3727&lt;&gt;"",OR($L3727&lt;&gt;"Chưa xác định",DANH_MUC!$L$9="Có"))),"Có","Không"))</f>
        <v/>
      </c>
      <c r="U3727" s="22">
        <f>IF(OR($D3727="",$T3727="Có"),"",IF($C3727="","Thiếu họ tên; ","")&amp;IF($S3727&lt;&gt;"Có","SĐT sai định dạng; ","")&amp;IF($R3727="Trùng","Trùng SĐT; ","")&amp;IF($Q3727&lt;&gt;"Có","Thiếu đồng ý bắt buộc; ","")&amp;IF($L3727="","Thiếu/sai Mã REF; ",IF(AND($L3727="Chưa xác định",DANH_MUC!$L$9&lt;&gt;"Có"),"Nguồn chưa xác định; ","")))</f>
        <v/>
      </c>
      <c r="V3727" s="22">
        <f>IF(OR($D3727="",$R3727="Trùng"),"",IF(COUNTIF(ORDERS!$C$2:$C$4995,$D3727)&gt;0,"Có","Không"))</f>
        <v/>
      </c>
      <c r="W3727" s="22">
        <f>IF(OR($D3727="",$R3727="Trùng"),"",COUNTIFS(ORDERS!$C$2:$C$4995,$D3727,ORDERS!$L$2:$L$4995,"Đã chuyển khoản"))</f>
        <v/>
      </c>
      <c r="X3727" s="23">
        <f>IF(OR($D3727="",$R3727="Trùng"),"",SUMIFS(ORDERS!$J$2:$J$4995,ORDERS!$C$2:$C$4995,$D3727,ORDERS!$L$2:$L$4995,"Đã chuyển khoản"))</f>
        <v/>
      </c>
      <c r="Y3727" s="24" t="n"/>
    </row>
    <row r="3728" ht="14.25" customHeight="1" s="40">
      <c r="A3728" s="24" t="n"/>
      <c r="B3728" s="27" t="n"/>
      <c r="C3728" s="24" t="n"/>
      <c r="D3728" s="28" t="n"/>
      <c r="E3728" s="29" t="n"/>
      <c r="F3728" s="24" t="n"/>
      <c r="G3728" s="24" t="n"/>
      <c r="H3728" s="21">
        <f>IF(ISNUMBER($B3728),INT($B3728)-WEEKDAY($B3728,2)+1,"")</f>
        <v/>
      </c>
      <c r="I3728" s="24" t="n"/>
      <c r="J3728" s="22">
        <f t="array" ref="J3728">IF($D3728="","",IF($I3728="","(trống REF)",IFERROR(INDEX(MASTER_SOURCE!$B$2:$B$495,MATCH($I3728,MASTER_SOURCE!$A$2:$A$495,0)),"(REF không có trong MASTER_SOURCE)")))</f>
        <v/>
      </c>
      <c r="K3728" s="22">
        <f t="array" ref="K3728">IF($D3728="","",IFERROR(INDEX(MASTER_SOURCE!$C$2:$C$495,MATCH($I3728,MASTER_SOURCE!$A$2:$A$495,0)),""))</f>
        <v/>
      </c>
      <c r="L3728" s="22">
        <f t="array" ref="L3728">IF($D3728="","",IFERROR(INDEX(MASTER_SOURCE!$D$2:$D$495,MATCH($I3728,MASTER_SOURCE!$A$2:$A$495,0)),""))</f>
        <v/>
      </c>
      <c r="M3728" s="24" t="n"/>
      <c r="N3728" s="24" t="n"/>
      <c r="O3728" s="24" t="n"/>
      <c r="P3728" s="24" t="n"/>
      <c r="Q3728" s="22">
        <f>IF($D3728="","",IF(AND(OR(DANH_MUC!$L$5&lt;&gt;"Có",M3728="Có"),OR(DANH_MUC!$L$6&lt;&gt;"Có",N3728="Có"),OR(DANH_MUC!$L$7&lt;&gt;"Có",O3728="Có"),OR(DANH_MUC!$L$8&lt;&gt;"Có",P3728="Có")),"Có","Không"))</f>
        <v/>
      </c>
      <c r="R3728" s="22">
        <f>IF($D3728="","",IF(COUNTIF($D$2:$D3728,$D3728)&gt;1,"Trùng",""))</f>
        <v/>
      </c>
      <c r="S3728" s="22">
        <f>IF($D3728="","",IF(AND(LEN($D3728)=10,LEFT($D3728,1)="0",ISNUMBER(--$D3728)),"Có","Không"))</f>
        <v/>
      </c>
      <c r="T3728" s="22">
        <f>IF($D3728="","",IF(AND($C3728&lt;&gt;"",$Q3728="Có",$R3728="",$S3728="Có",AND($L3728&lt;&gt;"",OR($L3728&lt;&gt;"Chưa xác định",DANH_MUC!$L$9="Có"))),"Có","Không"))</f>
        <v/>
      </c>
      <c r="U3728" s="22">
        <f>IF(OR($D3728="",$T3728="Có"),"",IF($C3728="","Thiếu họ tên; ","")&amp;IF($S3728&lt;&gt;"Có","SĐT sai định dạng; ","")&amp;IF($R3728="Trùng","Trùng SĐT; ","")&amp;IF($Q3728&lt;&gt;"Có","Thiếu đồng ý bắt buộc; ","")&amp;IF($L3728="","Thiếu/sai Mã REF; ",IF(AND($L3728="Chưa xác định",DANH_MUC!$L$9&lt;&gt;"Có"),"Nguồn chưa xác định; ","")))</f>
        <v/>
      </c>
      <c r="V3728" s="22">
        <f>IF(OR($D3728="",$R3728="Trùng"),"",IF(COUNTIF(ORDERS!$C$2:$C$4995,$D3728)&gt;0,"Có","Không"))</f>
        <v/>
      </c>
      <c r="W3728" s="22">
        <f>IF(OR($D3728="",$R3728="Trùng"),"",COUNTIFS(ORDERS!$C$2:$C$4995,$D3728,ORDERS!$L$2:$L$4995,"Đã chuyển khoản"))</f>
        <v/>
      </c>
      <c r="X3728" s="23">
        <f>IF(OR($D3728="",$R3728="Trùng"),"",SUMIFS(ORDERS!$J$2:$J$4995,ORDERS!$C$2:$C$4995,$D3728,ORDERS!$L$2:$L$4995,"Đã chuyển khoản"))</f>
        <v/>
      </c>
      <c r="Y3728" s="24" t="n"/>
    </row>
    <row r="3729" ht="14.25" customHeight="1" s="40">
      <c r="A3729" s="24" t="n"/>
      <c r="B3729" s="27" t="n"/>
      <c r="C3729" s="24" t="n"/>
      <c r="D3729" s="28" t="n"/>
      <c r="E3729" s="29" t="n"/>
      <c r="F3729" s="24" t="n"/>
      <c r="G3729" s="24" t="n"/>
      <c r="H3729" s="21">
        <f>IF(ISNUMBER($B3729),INT($B3729)-WEEKDAY($B3729,2)+1,"")</f>
        <v/>
      </c>
      <c r="I3729" s="24" t="n"/>
      <c r="J3729" s="22">
        <f t="array" ref="J3729">IF($D3729="","",IF($I3729="","(trống REF)",IFERROR(INDEX(MASTER_SOURCE!$B$2:$B$495,MATCH($I3729,MASTER_SOURCE!$A$2:$A$495,0)),"(REF không có trong MASTER_SOURCE)")))</f>
        <v/>
      </c>
      <c r="K3729" s="22">
        <f t="array" ref="K3729">IF($D3729="","",IFERROR(INDEX(MASTER_SOURCE!$C$2:$C$495,MATCH($I3729,MASTER_SOURCE!$A$2:$A$495,0)),""))</f>
        <v/>
      </c>
      <c r="L3729" s="22">
        <f t="array" ref="L3729">IF($D3729="","",IFERROR(INDEX(MASTER_SOURCE!$D$2:$D$495,MATCH($I3729,MASTER_SOURCE!$A$2:$A$495,0)),""))</f>
        <v/>
      </c>
      <c r="M3729" s="24" t="n"/>
      <c r="N3729" s="24" t="n"/>
      <c r="O3729" s="24" t="n"/>
      <c r="P3729" s="24" t="n"/>
      <c r="Q3729" s="22">
        <f>IF($D3729="","",IF(AND(OR(DANH_MUC!$L$5&lt;&gt;"Có",M3729="Có"),OR(DANH_MUC!$L$6&lt;&gt;"Có",N3729="Có"),OR(DANH_MUC!$L$7&lt;&gt;"Có",O3729="Có"),OR(DANH_MUC!$L$8&lt;&gt;"Có",P3729="Có")),"Có","Không"))</f>
        <v/>
      </c>
      <c r="R3729" s="22">
        <f>IF($D3729="","",IF(COUNTIF($D$2:$D3729,$D3729)&gt;1,"Trùng",""))</f>
        <v/>
      </c>
      <c r="S3729" s="22">
        <f>IF($D3729="","",IF(AND(LEN($D3729)=10,LEFT($D3729,1)="0",ISNUMBER(--$D3729)),"Có","Không"))</f>
        <v/>
      </c>
      <c r="T3729" s="22">
        <f>IF($D3729="","",IF(AND($C3729&lt;&gt;"",$Q3729="Có",$R3729="",$S3729="Có",AND($L3729&lt;&gt;"",OR($L3729&lt;&gt;"Chưa xác định",DANH_MUC!$L$9="Có"))),"Có","Không"))</f>
        <v/>
      </c>
      <c r="U3729" s="22">
        <f>IF(OR($D3729="",$T3729="Có"),"",IF($C3729="","Thiếu họ tên; ","")&amp;IF($S3729&lt;&gt;"Có","SĐT sai định dạng; ","")&amp;IF($R3729="Trùng","Trùng SĐT; ","")&amp;IF($Q3729&lt;&gt;"Có","Thiếu đồng ý bắt buộc; ","")&amp;IF($L3729="","Thiếu/sai Mã REF; ",IF(AND($L3729="Chưa xác định",DANH_MUC!$L$9&lt;&gt;"Có"),"Nguồn chưa xác định; ","")))</f>
        <v/>
      </c>
      <c r="V3729" s="22">
        <f>IF(OR($D3729="",$R3729="Trùng"),"",IF(COUNTIF(ORDERS!$C$2:$C$4995,$D3729)&gt;0,"Có","Không"))</f>
        <v/>
      </c>
      <c r="W3729" s="22">
        <f>IF(OR($D3729="",$R3729="Trùng"),"",COUNTIFS(ORDERS!$C$2:$C$4995,$D3729,ORDERS!$L$2:$L$4995,"Đã chuyển khoản"))</f>
        <v/>
      </c>
      <c r="X3729" s="23">
        <f>IF(OR($D3729="",$R3729="Trùng"),"",SUMIFS(ORDERS!$J$2:$J$4995,ORDERS!$C$2:$C$4995,$D3729,ORDERS!$L$2:$L$4995,"Đã chuyển khoản"))</f>
        <v/>
      </c>
      <c r="Y3729" s="24" t="n"/>
    </row>
    <row r="3730" ht="14.25" customHeight="1" s="40">
      <c r="A3730" s="24" t="n"/>
      <c r="B3730" s="27" t="n"/>
      <c r="C3730" s="24" t="n"/>
      <c r="D3730" s="28" t="n"/>
      <c r="E3730" s="29" t="n"/>
      <c r="F3730" s="24" t="n"/>
      <c r="G3730" s="24" t="n"/>
      <c r="H3730" s="21">
        <f>IF(ISNUMBER($B3730),INT($B3730)-WEEKDAY($B3730,2)+1,"")</f>
        <v/>
      </c>
      <c r="I3730" s="24" t="n"/>
      <c r="J3730" s="22">
        <f t="array" ref="J3730">IF($D3730="","",IF($I3730="","(trống REF)",IFERROR(INDEX(MASTER_SOURCE!$B$2:$B$495,MATCH($I3730,MASTER_SOURCE!$A$2:$A$495,0)),"(REF không có trong MASTER_SOURCE)")))</f>
        <v/>
      </c>
      <c r="K3730" s="22">
        <f t="array" ref="K3730">IF($D3730="","",IFERROR(INDEX(MASTER_SOURCE!$C$2:$C$495,MATCH($I3730,MASTER_SOURCE!$A$2:$A$495,0)),""))</f>
        <v/>
      </c>
      <c r="L3730" s="22">
        <f t="array" ref="L3730">IF($D3730="","",IFERROR(INDEX(MASTER_SOURCE!$D$2:$D$495,MATCH($I3730,MASTER_SOURCE!$A$2:$A$495,0)),""))</f>
        <v/>
      </c>
      <c r="M3730" s="24" t="n"/>
      <c r="N3730" s="24" t="n"/>
      <c r="O3730" s="24" t="n"/>
      <c r="P3730" s="24" t="n"/>
      <c r="Q3730" s="22">
        <f>IF($D3730="","",IF(AND(OR(DANH_MUC!$L$5&lt;&gt;"Có",M3730="Có"),OR(DANH_MUC!$L$6&lt;&gt;"Có",N3730="Có"),OR(DANH_MUC!$L$7&lt;&gt;"Có",O3730="Có"),OR(DANH_MUC!$L$8&lt;&gt;"Có",P3730="Có")),"Có","Không"))</f>
        <v/>
      </c>
      <c r="R3730" s="22">
        <f>IF($D3730="","",IF(COUNTIF($D$2:$D3730,$D3730)&gt;1,"Trùng",""))</f>
        <v/>
      </c>
      <c r="S3730" s="22">
        <f>IF($D3730="","",IF(AND(LEN($D3730)=10,LEFT($D3730,1)="0",ISNUMBER(--$D3730)),"Có","Không"))</f>
        <v/>
      </c>
      <c r="T3730" s="22">
        <f>IF($D3730="","",IF(AND($C3730&lt;&gt;"",$Q3730="Có",$R3730="",$S3730="Có",AND($L3730&lt;&gt;"",OR($L3730&lt;&gt;"Chưa xác định",DANH_MUC!$L$9="Có"))),"Có","Không"))</f>
        <v/>
      </c>
      <c r="U3730" s="22">
        <f>IF(OR($D3730="",$T3730="Có"),"",IF($C3730="","Thiếu họ tên; ","")&amp;IF($S3730&lt;&gt;"Có","SĐT sai định dạng; ","")&amp;IF($R3730="Trùng","Trùng SĐT; ","")&amp;IF($Q3730&lt;&gt;"Có","Thiếu đồng ý bắt buộc; ","")&amp;IF($L3730="","Thiếu/sai Mã REF; ",IF(AND($L3730="Chưa xác định",DANH_MUC!$L$9&lt;&gt;"Có"),"Nguồn chưa xác định; ","")))</f>
        <v/>
      </c>
      <c r="V3730" s="22">
        <f>IF(OR($D3730="",$R3730="Trùng"),"",IF(COUNTIF(ORDERS!$C$2:$C$4995,$D3730)&gt;0,"Có","Không"))</f>
        <v/>
      </c>
      <c r="W3730" s="22">
        <f>IF(OR($D3730="",$R3730="Trùng"),"",COUNTIFS(ORDERS!$C$2:$C$4995,$D3730,ORDERS!$L$2:$L$4995,"Đã chuyển khoản"))</f>
        <v/>
      </c>
      <c r="X3730" s="23">
        <f>IF(OR($D3730="",$R3730="Trùng"),"",SUMIFS(ORDERS!$J$2:$J$4995,ORDERS!$C$2:$C$4995,$D3730,ORDERS!$L$2:$L$4995,"Đã chuyển khoản"))</f>
        <v/>
      </c>
      <c r="Y3730" s="24" t="n"/>
    </row>
    <row r="3731" ht="14.25" customHeight="1" s="40">
      <c r="A3731" s="24" t="n"/>
      <c r="B3731" s="27" t="n"/>
      <c r="C3731" s="24" t="n"/>
      <c r="D3731" s="28" t="n"/>
      <c r="E3731" s="29" t="n"/>
      <c r="F3731" s="24" t="n"/>
      <c r="G3731" s="24" t="n"/>
      <c r="H3731" s="21">
        <f>IF(ISNUMBER($B3731),INT($B3731)-WEEKDAY($B3731,2)+1,"")</f>
        <v/>
      </c>
      <c r="I3731" s="24" t="n"/>
      <c r="J3731" s="22">
        <f t="array" ref="J3731">IF($D3731="","",IF($I3731="","(trống REF)",IFERROR(INDEX(MASTER_SOURCE!$B$2:$B$495,MATCH($I3731,MASTER_SOURCE!$A$2:$A$495,0)),"(REF không có trong MASTER_SOURCE)")))</f>
        <v/>
      </c>
      <c r="K3731" s="22">
        <f t="array" ref="K3731">IF($D3731="","",IFERROR(INDEX(MASTER_SOURCE!$C$2:$C$495,MATCH($I3731,MASTER_SOURCE!$A$2:$A$495,0)),""))</f>
        <v/>
      </c>
      <c r="L3731" s="22">
        <f t="array" ref="L3731">IF($D3731="","",IFERROR(INDEX(MASTER_SOURCE!$D$2:$D$495,MATCH($I3731,MASTER_SOURCE!$A$2:$A$495,0)),""))</f>
        <v/>
      </c>
      <c r="M3731" s="24" t="n"/>
      <c r="N3731" s="24" t="n"/>
      <c r="O3731" s="24" t="n"/>
      <c r="P3731" s="24" t="n"/>
      <c r="Q3731" s="22">
        <f>IF($D3731="","",IF(AND(OR(DANH_MUC!$L$5&lt;&gt;"Có",M3731="Có"),OR(DANH_MUC!$L$6&lt;&gt;"Có",N3731="Có"),OR(DANH_MUC!$L$7&lt;&gt;"Có",O3731="Có"),OR(DANH_MUC!$L$8&lt;&gt;"Có",P3731="Có")),"Có","Không"))</f>
        <v/>
      </c>
      <c r="R3731" s="22">
        <f>IF($D3731="","",IF(COUNTIF($D$2:$D3731,$D3731)&gt;1,"Trùng",""))</f>
        <v/>
      </c>
      <c r="S3731" s="22">
        <f>IF($D3731="","",IF(AND(LEN($D3731)=10,LEFT($D3731,1)="0",ISNUMBER(--$D3731)),"Có","Không"))</f>
        <v/>
      </c>
      <c r="T3731" s="22">
        <f>IF($D3731="","",IF(AND($C3731&lt;&gt;"",$Q3731="Có",$R3731="",$S3731="Có",AND($L3731&lt;&gt;"",OR($L3731&lt;&gt;"Chưa xác định",DANH_MUC!$L$9="Có"))),"Có","Không"))</f>
        <v/>
      </c>
      <c r="U3731" s="22">
        <f>IF(OR($D3731="",$T3731="Có"),"",IF($C3731="","Thiếu họ tên; ","")&amp;IF($S3731&lt;&gt;"Có","SĐT sai định dạng; ","")&amp;IF($R3731="Trùng","Trùng SĐT; ","")&amp;IF($Q3731&lt;&gt;"Có","Thiếu đồng ý bắt buộc; ","")&amp;IF($L3731="","Thiếu/sai Mã REF; ",IF(AND($L3731="Chưa xác định",DANH_MUC!$L$9&lt;&gt;"Có"),"Nguồn chưa xác định; ","")))</f>
        <v/>
      </c>
      <c r="V3731" s="22">
        <f>IF(OR($D3731="",$R3731="Trùng"),"",IF(COUNTIF(ORDERS!$C$2:$C$4995,$D3731)&gt;0,"Có","Không"))</f>
        <v/>
      </c>
      <c r="W3731" s="22">
        <f>IF(OR($D3731="",$R3731="Trùng"),"",COUNTIFS(ORDERS!$C$2:$C$4995,$D3731,ORDERS!$L$2:$L$4995,"Đã chuyển khoản"))</f>
        <v/>
      </c>
      <c r="X3731" s="23">
        <f>IF(OR($D3731="",$R3731="Trùng"),"",SUMIFS(ORDERS!$J$2:$J$4995,ORDERS!$C$2:$C$4995,$D3731,ORDERS!$L$2:$L$4995,"Đã chuyển khoản"))</f>
        <v/>
      </c>
      <c r="Y3731" s="24" t="n"/>
    </row>
    <row r="3732" ht="14.25" customHeight="1" s="40">
      <c r="A3732" s="24" t="n"/>
      <c r="B3732" s="27" t="n"/>
      <c r="C3732" s="24" t="n"/>
      <c r="D3732" s="28" t="n"/>
      <c r="E3732" s="29" t="n"/>
      <c r="F3732" s="24" t="n"/>
      <c r="G3732" s="24" t="n"/>
      <c r="H3732" s="21">
        <f>IF(ISNUMBER($B3732),INT($B3732)-WEEKDAY($B3732,2)+1,"")</f>
        <v/>
      </c>
      <c r="I3732" s="24" t="n"/>
      <c r="J3732" s="22">
        <f t="array" ref="J3732">IF($D3732="","",IF($I3732="","(trống REF)",IFERROR(INDEX(MASTER_SOURCE!$B$2:$B$495,MATCH($I3732,MASTER_SOURCE!$A$2:$A$495,0)),"(REF không có trong MASTER_SOURCE)")))</f>
        <v/>
      </c>
      <c r="K3732" s="22">
        <f t="array" ref="K3732">IF($D3732="","",IFERROR(INDEX(MASTER_SOURCE!$C$2:$C$495,MATCH($I3732,MASTER_SOURCE!$A$2:$A$495,0)),""))</f>
        <v/>
      </c>
      <c r="L3732" s="22">
        <f t="array" ref="L3732">IF($D3732="","",IFERROR(INDEX(MASTER_SOURCE!$D$2:$D$495,MATCH($I3732,MASTER_SOURCE!$A$2:$A$495,0)),""))</f>
        <v/>
      </c>
      <c r="M3732" s="24" t="n"/>
      <c r="N3732" s="24" t="n"/>
      <c r="O3732" s="24" t="n"/>
      <c r="P3732" s="24" t="n"/>
      <c r="Q3732" s="22">
        <f>IF($D3732="","",IF(AND(OR(DANH_MUC!$L$5&lt;&gt;"Có",M3732="Có"),OR(DANH_MUC!$L$6&lt;&gt;"Có",N3732="Có"),OR(DANH_MUC!$L$7&lt;&gt;"Có",O3732="Có"),OR(DANH_MUC!$L$8&lt;&gt;"Có",P3732="Có")),"Có","Không"))</f>
        <v/>
      </c>
      <c r="R3732" s="22">
        <f>IF($D3732="","",IF(COUNTIF($D$2:$D3732,$D3732)&gt;1,"Trùng",""))</f>
        <v/>
      </c>
      <c r="S3732" s="22">
        <f>IF($D3732="","",IF(AND(LEN($D3732)=10,LEFT($D3732,1)="0",ISNUMBER(--$D3732)),"Có","Không"))</f>
        <v/>
      </c>
      <c r="T3732" s="22">
        <f>IF($D3732="","",IF(AND($C3732&lt;&gt;"",$Q3732="Có",$R3732="",$S3732="Có",AND($L3732&lt;&gt;"",OR($L3732&lt;&gt;"Chưa xác định",DANH_MUC!$L$9="Có"))),"Có","Không"))</f>
        <v/>
      </c>
      <c r="U3732" s="22">
        <f>IF(OR($D3732="",$T3732="Có"),"",IF($C3732="","Thiếu họ tên; ","")&amp;IF($S3732&lt;&gt;"Có","SĐT sai định dạng; ","")&amp;IF($R3732="Trùng","Trùng SĐT; ","")&amp;IF($Q3732&lt;&gt;"Có","Thiếu đồng ý bắt buộc; ","")&amp;IF($L3732="","Thiếu/sai Mã REF; ",IF(AND($L3732="Chưa xác định",DANH_MUC!$L$9&lt;&gt;"Có"),"Nguồn chưa xác định; ","")))</f>
        <v/>
      </c>
      <c r="V3732" s="22">
        <f>IF(OR($D3732="",$R3732="Trùng"),"",IF(COUNTIF(ORDERS!$C$2:$C$4995,$D3732)&gt;0,"Có","Không"))</f>
        <v/>
      </c>
      <c r="W3732" s="22">
        <f>IF(OR($D3732="",$R3732="Trùng"),"",COUNTIFS(ORDERS!$C$2:$C$4995,$D3732,ORDERS!$L$2:$L$4995,"Đã chuyển khoản"))</f>
        <v/>
      </c>
      <c r="X3732" s="23">
        <f>IF(OR($D3732="",$R3732="Trùng"),"",SUMIFS(ORDERS!$J$2:$J$4995,ORDERS!$C$2:$C$4995,$D3732,ORDERS!$L$2:$L$4995,"Đã chuyển khoản"))</f>
        <v/>
      </c>
      <c r="Y3732" s="24" t="n"/>
    </row>
    <row r="3733" ht="14.25" customHeight="1" s="40">
      <c r="A3733" s="24" t="n"/>
      <c r="B3733" s="27" t="n"/>
      <c r="C3733" s="24" t="n"/>
      <c r="D3733" s="28" t="n"/>
      <c r="E3733" s="29" t="n"/>
      <c r="F3733" s="24" t="n"/>
      <c r="G3733" s="24" t="n"/>
      <c r="H3733" s="21">
        <f>IF(ISNUMBER($B3733),INT($B3733)-WEEKDAY($B3733,2)+1,"")</f>
        <v/>
      </c>
      <c r="I3733" s="24" t="n"/>
      <c r="J3733" s="22">
        <f t="array" ref="J3733">IF($D3733="","",IF($I3733="","(trống REF)",IFERROR(INDEX(MASTER_SOURCE!$B$2:$B$495,MATCH($I3733,MASTER_SOURCE!$A$2:$A$495,0)),"(REF không có trong MASTER_SOURCE)")))</f>
        <v/>
      </c>
      <c r="K3733" s="22">
        <f t="array" ref="K3733">IF($D3733="","",IFERROR(INDEX(MASTER_SOURCE!$C$2:$C$495,MATCH($I3733,MASTER_SOURCE!$A$2:$A$495,0)),""))</f>
        <v/>
      </c>
      <c r="L3733" s="22">
        <f t="array" ref="L3733">IF($D3733="","",IFERROR(INDEX(MASTER_SOURCE!$D$2:$D$495,MATCH($I3733,MASTER_SOURCE!$A$2:$A$495,0)),""))</f>
        <v/>
      </c>
      <c r="M3733" s="24" t="n"/>
      <c r="N3733" s="24" t="n"/>
      <c r="O3733" s="24" t="n"/>
      <c r="P3733" s="24" t="n"/>
      <c r="Q3733" s="22">
        <f>IF($D3733="","",IF(AND(OR(DANH_MUC!$L$5&lt;&gt;"Có",M3733="Có"),OR(DANH_MUC!$L$6&lt;&gt;"Có",N3733="Có"),OR(DANH_MUC!$L$7&lt;&gt;"Có",O3733="Có"),OR(DANH_MUC!$L$8&lt;&gt;"Có",P3733="Có")),"Có","Không"))</f>
        <v/>
      </c>
      <c r="R3733" s="22">
        <f>IF($D3733="","",IF(COUNTIF($D$2:$D3733,$D3733)&gt;1,"Trùng",""))</f>
        <v/>
      </c>
      <c r="S3733" s="22">
        <f>IF($D3733="","",IF(AND(LEN($D3733)=10,LEFT($D3733,1)="0",ISNUMBER(--$D3733)),"Có","Không"))</f>
        <v/>
      </c>
      <c r="T3733" s="22">
        <f>IF($D3733="","",IF(AND($C3733&lt;&gt;"",$Q3733="Có",$R3733="",$S3733="Có",AND($L3733&lt;&gt;"",OR($L3733&lt;&gt;"Chưa xác định",DANH_MUC!$L$9="Có"))),"Có","Không"))</f>
        <v/>
      </c>
      <c r="U3733" s="22">
        <f>IF(OR($D3733="",$T3733="Có"),"",IF($C3733="","Thiếu họ tên; ","")&amp;IF($S3733&lt;&gt;"Có","SĐT sai định dạng; ","")&amp;IF($R3733="Trùng","Trùng SĐT; ","")&amp;IF($Q3733&lt;&gt;"Có","Thiếu đồng ý bắt buộc; ","")&amp;IF($L3733="","Thiếu/sai Mã REF; ",IF(AND($L3733="Chưa xác định",DANH_MUC!$L$9&lt;&gt;"Có"),"Nguồn chưa xác định; ","")))</f>
        <v/>
      </c>
      <c r="V3733" s="22">
        <f>IF(OR($D3733="",$R3733="Trùng"),"",IF(COUNTIF(ORDERS!$C$2:$C$4995,$D3733)&gt;0,"Có","Không"))</f>
        <v/>
      </c>
      <c r="W3733" s="22">
        <f>IF(OR($D3733="",$R3733="Trùng"),"",COUNTIFS(ORDERS!$C$2:$C$4995,$D3733,ORDERS!$L$2:$L$4995,"Đã chuyển khoản"))</f>
        <v/>
      </c>
      <c r="X3733" s="23">
        <f>IF(OR($D3733="",$R3733="Trùng"),"",SUMIFS(ORDERS!$J$2:$J$4995,ORDERS!$C$2:$C$4995,$D3733,ORDERS!$L$2:$L$4995,"Đã chuyển khoản"))</f>
        <v/>
      </c>
      <c r="Y3733" s="24" t="n"/>
    </row>
    <row r="3734" ht="14.25" customHeight="1" s="40">
      <c r="A3734" s="24" t="n"/>
      <c r="B3734" s="27" t="n"/>
      <c r="C3734" s="24" t="n"/>
      <c r="D3734" s="28" t="n"/>
      <c r="E3734" s="29" t="n"/>
      <c r="F3734" s="24" t="n"/>
      <c r="G3734" s="24" t="n"/>
      <c r="H3734" s="21">
        <f>IF(ISNUMBER($B3734),INT($B3734)-WEEKDAY($B3734,2)+1,"")</f>
        <v/>
      </c>
      <c r="I3734" s="24" t="n"/>
      <c r="J3734" s="22">
        <f t="array" ref="J3734">IF($D3734="","",IF($I3734="","(trống REF)",IFERROR(INDEX(MASTER_SOURCE!$B$2:$B$495,MATCH($I3734,MASTER_SOURCE!$A$2:$A$495,0)),"(REF không có trong MASTER_SOURCE)")))</f>
        <v/>
      </c>
      <c r="K3734" s="22">
        <f t="array" ref="K3734">IF($D3734="","",IFERROR(INDEX(MASTER_SOURCE!$C$2:$C$495,MATCH($I3734,MASTER_SOURCE!$A$2:$A$495,0)),""))</f>
        <v/>
      </c>
      <c r="L3734" s="22">
        <f t="array" ref="L3734">IF($D3734="","",IFERROR(INDEX(MASTER_SOURCE!$D$2:$D$495,MATCH($I3734,MASTER_SOURCE!$A$2:$A$495,0)),""))</f>
        <v/>
      </c>
      <c r="M3734" s="24" t="n"/>
      <c r="N3734" s="24" t="n"/>
      <c r="O3734" s="24" t="n"/>
      <c r="P3734" s="24" t="n"/>
      <c r="Q3734" s="22">
        <f>IF($D3734="","",IF(AND(OR(DANH_MUC!$L$5&lt;&gt;"Có",M3734="Có"),OR(DANH_MUC!$L$6&lt;&gt;"Có",N3734="Có"),OR(DANH_MUC!$L$7&lt;&gt;"Có",O3734="Có"),OR(DANH_MUC!$L$8&lt;&gt;"Có",P3734="Có")),"Có","Không"))</f>
        <v/>
      </c>
      <c r="R3734" s="22">
        <f>IF($D3734="","",IF(COUNTIF($D$2:$D3734,$D3734)&gt;1,"Trùng",""))</f>
        <v/>
      </c>
      <c r="S3734" s="22">
        <f>IF($D3734="","",IF(AND(LEN($D3734)=10,LEFT($D3734,1)="0",ISNUMBER(--$D3734)),"Có","Không"))</f>
        <v/>
      </c>
      <c r="T3734" s="22">
        <f>IF($D3734="","",IF(AND($C3734&lt;&gt;"",$Q3734="Có",$R3734="",$S3734="Có",AND($L3734&lt;&gt;"",OR($L3734&lt;&gt;"Chưa xác định",DANH_MUC!$L$9="Có"))),"Có","Không"))</f>
        <v/>
      </c>
      <c r="U3734" s="22">
        <f>IF(OR($D3734="",$T3734="Có"),"",IF($C3734="","Thiếu họ tên; ","")&amp;IF($S3734&lt;&gt;"Có","SĐT sai định dạng; ","")&amp;IF($R3734="Trùng","Trùng SĐT; ","")&amp;IF($Q3734&lt;&gt;"Có","Thiếu đồng ý bắt buộc; ","")&amp;IF($L3734="","Thiếu/sai Mã REF; ",IF(AND($L3734="Chưa xác định",DANH_MUC!$L$9&lt;&gt;"Có"),"Nguồn chưa xác định; ","")))</f>
        <v/>
      </c>
      <c r="V3734" s="22">
        <f>IF(OR($D3734="",$R3734="Trùng"),"",IF(COUNTIF(ORDERS!$C$2:$C$4995,$D3734)&gt;0,"Có","Không"))</f>
        <v/>
      </c>
      <c r="W3734" s="22">
        <f>IF(OR($D3734="",$R3734="Trùng"),"",COUNTIFS(ORDERS!$C$2:$C$4995,$D3734,ORDERS!$L$2:$L$4995,"Đã chuyển khoản"))</f>
        <v/>
      </c>
      <c r="X3734" s="23">
        <f>IF(OR($D3734="",$R3734="Trùng"),"",SUMIFS(ORDERS!$J$2:$J$4995,ORDERS!$C$2:$C$4995,$D3734,ORDERS!$L$2:$L$4995,"Đã chuyển khoản"))</f>
        <v/>
      </c>
      <c r="Y3734" s="24" t="n"/>
    </row>
    <row r="3735" ht="14.25" customHeight="1" s="40">
      <c r="A3735" s="24" t="n"/>
      <c r="B3735" s="27" t="n"/>
      <c r="C3735" s="24" t="n"/>
      <c r="D3735" s="28" t="n"/>
      <c r="E3735" s="29" t="n"/>
      <c r="F3735" s="24" t="n"/>
      <c r="G3735" s="24" t="n"/>
      <c r="H3735" s="21">
        <f>IF(ISNUMBER($B3735),INT($B3735)-WEEKDAY($B3735,2)+1,"")</f>
        <v/>
      </c>
      <c r="I3735" s="24" t="n"/>
      <c r="J3735" s="22">
        <f t="array" ref="J3735">IF($D3735="","",IF($I3735="","(trống REF)",IFERROR(INDEX(MASTER_SOURCE!$B$2:$B$495,MATCH($I3735,MASTER_SOURCE!$A$2:$A$495,0)),"(REF không có trong MASTER_SOURCE)")))</f>
        <v/>
      </c>
      <c r="K3735" s="22">
        <f t="array" ref="K3735">IF($D3735="","",IFERROR(INDEX(MASTER_SOURCE!$C$2:$C$495,MATCH($I3735,MASTER_SOURCE!$A$2:$A$495,0)),""))</f>
        <v/>
      </c>
      <c r="L3735" s="22">
        <f t="array" ref="L3735">IF($D3735="","",IFERROR(INDEX(MASTER_SOURCE!$D$2:$D$495,MATCH($I3735,MASTER_SOURCE!$A$2:$A$495,0)),""))</f>
        <v/>
      </c>
      <c r="M3735" s="24" t="n"/>
      <c r="N3735" s="24" t="n"/>
      <c r="O3735" s="24" t="n"/>
      <c r="P3735" s="24" t="n"/>
      <c r="Q3735" s="22">
        <f>IF($D3735="","",IF(AND(OR(DANH_MUC!$L$5&lt;&gt;"Có",M3735="Có"),OR(DANH_MUC!$L$6&lt;&gt;"Có",N3735="Có"),OR(DANH_MUC!$L$7&lt;&gt;"Có",O3735="Có"),OR(DANH_MUC!$L$8&lt;&gt;"Có",P3735="Có")),"Có","Không"))</f>
        <v/>
      </c>
      <c r="R3735" s="22">
        <f>IF($D3735="","",IF(COUNTIF($D$2:$D3735,$D3735)&gt;1,"Trùng",""))</f>
        <v/>
      </c>
      <c r="S3735" s="22">
        <f>IF($D3735="","",IF(AND(LEN($D3735)=10,LEFT($D3735,1)="0",ISNUMBER(--$D3735)),"Có","Không"))</f>
        <v/>
      </c>
      <c r="T3735" s="22">
        <f>IF($D3735="","",IF(AND($C3735&lt;&gt;"",$Q3735="Có",$R3735="",$S3735="Có",AND($L3735&lt;&gt;"",OR($L3735&lt;&gt;"Chưa xác định",DANH_MUC!$L$9="Có"))),"Có","Không"))</f>
        <v/>
      </c>
      <c r="U3735" s="22">
        <f>IF(OR($D3735="",$T3735="Có"),"",IF($C3735="","Thiếu họ tên; ","")&amp;IF($S3735&lt;&gt;"Có","SĐT sai định dạng; ","")&amp;IF($R3735="Trùng","Trùng SĐT; ","")&amp;IF($Q3735&lt;&gt;"Có","Thiếu đồng ý bắt buộc; ","")&amp;IF($L3735="","Thiếu/sai Mã REF; ",IF(AND($L3735="Chưa xác định",DANH_MUC!$L$9&lt;&gt;"Có"),"Nguồn chưa xác định; ","")))</f>
        <v/>
      </c>
      <c r="V3735" s="22">
        <f>IF(OR($D3735="",$R3735="Trùng"),"",IF(COUNTIF(ORDERS!$C$2:$C$4995,$D3735)&gt;0,"Có","Không"))</f>
        <v/>
      </c>
      <c r="W3735" s="22">
        <f>IF(OR($D3735="",$R3735="Trùng"),"",COUNTIFS(ORDERS!$C$2:$C$4995,$D3735,ORDERS!$L$2:$L$4995,"Đã chuyển khoản"))</f>
        <v/>
      </c>
      <c r="X3735" s="23">
        <f>IF(OR($D3735="",$R3735="Trùng"),"",SUMIFS(ORDERS!$J$2:$J$4995,ORDERS!$C$2:$C$4995,$D3735,ORDERS!$L$2:$L$4995,"Đã chuyển khoản"))</f>
        <v/>
      </c>
      <c r="Y3735" s="24" t="n"/>
    </row>
    <row r="3736" ht="14.25" customHeight="1" s="40">
      <c r="A3736" s="24" t="n"/>
      <c r="B3736" s="27" t="n"/>
      <c r="C3736" s="24" t="n"/>
      <c r="D3736" s="28" t="n"/>
      <c r="E3736" s="29" t="n"/>
      <c r="F3736" s="24" t="n"/>
      <c r="G3736" s="24" t="n"/>
      <c r="H3736" s="21">
        <f>IF(ISNUMBER($B3736),INT($B3736)-WEEKDAY($B3736,2)+1,"")</f>
        <v/>
      </c>
      <c r="I3736" s="24" t="n"/>
      <c r="J3736" s="22">
        <f t="array" ref="J3736">IF($D3736="","",IF($I3736="","(trống REF)",IFERROR(INDEX(MASTER_SOURCE!$B$2:$B$495,MATCH($I3736,MASTER_SOURCE!$A$2:$A$495,0)),"(REF không có trong MASTER_SOURCE)")))</f>
        <v/>
      </c>
      <c r="K3736" s="22">
        <f t="array" ref="K3736">IF($D3736="","",IFERROR(INDEX(MASTER_SOURCE!$C$2:$C$495,MATCH($I3736,MASTER_SOURCE!$A$2:$A$495,0)),""))</f>
        <v/>
      </c>
      <c r="L3736" s="22">
        <f t="array" ref="L3736">IF($D3736="","",IFERROR(INDEX(MASTER_SOURCE!$D$2:$D$495,MATCH($I3736,MASTER_SOURCE!$A$2:$A$495,0)),""))</f>
        <v/>
      </c>
      <c r="M3736" s="24" t="n"/>
      <c r="N3736" s="24" t="n"/>
      <c r="O3736" s="24" t="n"/>
      <c r="P3736" s="24" t="n"/>
      <c r="Q3736" s="22">
        <f>IF($D3736="","",IF(AND(OR(DANH_MUC!$L$5&lt;&gt;"Có",M3736="Có"),OR(DANH_MUC!$L$6&lt;&gt;"Có",N3736="Có"),OR(DANH_MUC!$L$7&lt;&gt;"Có",O3736="Có"),OR(DANH_MUC!$L$8&lt;&gt;"Có",P3736="Có")),"Có","Không"))</f>
        <v/>
      </c>
      <c r="R3736" s="22">
        <f>IF($D3736="","",IF(COUNTIF($D$2:$D3736,$D3736)&gt;1,"Trùng",""))</f>
        <v/>
      </c>
      <c r="S3736" s="22">
        <f>IF($D3736="","",IF(AND(LEN($D3736)=10,LEFT($D3736,1)="0",ISNUMBER(--$D3736)),"Có","Không"))</f>
        <v/>
      </c>
      <c r="T3736" s="22">
        <f>IF($D3736="","",IF(AND($C3736&lt;&gt;"",$Q3736="Có",$R3736="",$S3736="Có",AND($L3736&lt;&gt;"",OR($L3736&lt;&gt;"Chưa xác định",DANH_MUC!$L$9="Có"))),"Có","Không"))</f>
        <v/>
      </c>
      <c r="U3736" s="22">
        <f>IF(OR($D3736="",$T3736="Có"),"",IF($C3736="","Thiếu họ tên; ","")&amp;IF($S3736&lt;&gt;"Có","SĐT sai định dạng; ","")&amp;IF($R3736="Trùng","Trùng SĐT; ","")&amp;IF($Q3736&lt;&gt;"Có","Thiếu đồng ý bắt buộc; ","")&amp;IF($L3736="","Thiếu/sai Mã REF; ",IF(AND($L3736="Chưa xác định",DANH_MUC!$L$9&lt;&gt;"Có"),"Nguồn chưa xác định; ","")))</f>
        <v/>
      </c>
      <c r="V3736" s="22">
        <f>IF(OR($D3736="",$R3736="Trùng"),"",IF(COUNTIF(ORDERS!$C$2:$C$4995,$D3736)&gt;0,"Có","Không"))</f>
        <v/>
      </c>
      <c r="W3736" s="22">
        <f>IF(OR($D3736="",$R3736="Trùng"),"",COUNTIFS(ORDERS!$C$2:$C$4995,$D3736,ORDERS!$L$2:$L$4995,"Đã chuyển khoản"))</f>
        <v/>
      </c>
      <c r="X3736" s="23">
        <f>IF(OR($D3736="",$R3736="Trùng"),"",SUMIFS(ORDERS!$J$2:$J$4995,ORDERS!$C$2:$C$4995,$D3736,ORDERS!$L$2:$L$4995,"Đã chuyển khoản"))</f>
        <v/>
      </c>
      <c r="Y3736" s="24" t="n"/>
    </row>
    <row r="3737" ht="14.25" customHeight="1" s="40">
      <c r="A3737" s="24" t="n"/>
      <c r="B3737" s="27" t="n"/>
      <c r="C3737" s="24" t="n"/>
      <c r="D3737" s="28" t="n"/>
      <c r="E3737" s="29" t="n"/>
      <c r="F3737" s="24" t="n"/>
      <c r="G3737" s="24" t="n"/>
      <c r="H3737" s="21">
        <f>IF(ISNUMBER($B3737),INT($B3737)-WEEKDAY($B3737,2)+1,"")</f>
        <v/>
      </c>
      <c r="I3737" s="24" t="n"/>
      <c r="J3737" s="22">
        <f t="array" ref="J3737">IF($D3737="","",IF($I3737="","(trống REF)",IFERROR(INDEX(MASTER_SOURCE!$B$2:$B$495,MATCH($I3737,MASTER_SOURCE!$A$2:$A$495,0)),"(REF không có trong MASTER_SOURCE)")))</f>
        <v/>
      </c>
      <c r="K3737" s="22">
        <f t="array" ref="K3737">IF($D3737="","",IFERROR(INDEX(MASTER_SOURCE!$C$2:$C$495,MATCH($I3737,MASTER_SOURCE!$A$2:$A$495,0)),""))</f>
        <v/>
      </c>
      <c r="L3737" s="22">
        <f t="array" ref="L3737">IF($D3737="","",IFERROR(INDEX(MASTER_SOURCE!$D$2:$D$495,MATCH($I3737,MASTER_SOURCE!$A$2:$A$495,0)),""))</f>
        <v/>
      </c>
      <c r="M3737" s="24" t="n"/>
      <c r="N3737" s="24" t="n"/>
      <c r="O3737" s="24" t="n"/>
      <c r="P3737" s="24" t="n"/>
      <c r="Q3737" s="22">
        <f>IF($D3737="","",IF(AND(OR(DANH_MUC!$L$5&lt;&gt;"Có",M3737="Có"),OR(DANH_MUC!$L$6&lt;&gt;"Có",N3737="Có"),OR(DANH_MUC!$L$7&lt;&gt;"Có",O3737="Có"),OR(DANH_MUC!$L$8&lt;&gt;"Có",P3737="Có")),"Có","Không"))</f>
        <v/>
      </c>
      <c r="R3737" s="22">
        <f>IF($D3737="","",IF(COUNTIF($D$2:$D3737,$D3737)&gt;1,"Trùng",""))</f>
        <v/>
      </c>
      <c r="S3737" s="22">
        <f>IF($D3737="","",IF(AND(LEN($D3737)=10,LEFT($D3737,1)="0",ISNUMBER(--$D3737)),"Có","Không"))</f>
        <v/>
      </c>
      <c r="T3737" s="22">
        <f>IF($D3737="","",IF(AND($C3737&lt;&gt;"",$Q3737="Có",$R3737="",$S3737="Có",AND($L3737&lt;&gt;"",OR($L3737&lt;&gt;"Chưa xác định",DANH_MUC!$L$9="Có"))),"Có","Không"))</f>
        <v/>
      </c>
      <c r="U3737" s="22">
        <f>IF(OR($D3737="",$T3737="Có"),"",IF($C3737="","Thiếu họ tên; ","")&amp;IF($S3737&lt;&gt;"Có","SĐT sai định dạng; ","")&amp;IF($R3737="Trùng","Trùng SĐT; ","")&amp;IF($Q3737&lt;&gt;"Có","Thiếu đồng ý bắt buộc; ","")&amp;IF($L3737="","Thiếu/sai Mã REF; ",IF(AND($L3737="Chưa xác định",DANH_MUC!$L$9&lt;&gt;"Có"),"Nguồn chưa xác định; ","")))</f>
        <v/>
      </c>
      <c r="V3737" s="22">
        <f>IF(OR($D3737="",$R3737="Trùng"),"",IF(COUNTIF(ORDERS!$C$2:$C$4995,$D3737)&gt;0,"Có","Không"))</f>
        <v/>
      </c>
      <c r="W3737" s="22">
        <f>IF(OR($D3737="",$R3737="Trùng"),"",COUNTIFS(ORDERS!$C$2:$C$4995,$D3737,ORDERS!$L$2:$L$4995,"Đã chuyển khoản"))</f>
        <v/>
      </c>
      <c r="X3737" s="23">
        <f>IF(OR($D3737="",$R3737="Trùng"),"",SUMIFS(ORDERS!$J$2:$J$4995,ORDERS!$C$2:$C$4995,$D3737,ORDERS!$L$2:$L$4995,"Đã chuyển khoản"))</f>
        <v/>
      </c>
      <c r="Y3737" s="24" t="n"/>
    </row>
    <row r="3738" ht="14.25" customHeight="1" s="40">
      <c r="A3738" s="24" t="n"/>
      <c r="B3738" s="27" t="n"/>
      <c r="C3738" s="24" t="n"/>
      <c r="D3738" s="28" t="n"/>
      <c r="E3738" s="29" t="n"/>
      <c r="F3738" s="24" t="n"/>
      <c r="G3738" s="24" t="n"/>
      <c r="H3738" s="21">
        <f>IF(ISNUMBER($B3738),INT($B3738)-WEEKDAY($B3738,2)+1,"")</f>
        <v/>
      </c>
      <c r="I3738" s="24" t="n"/>
      <c r="J3738" s="22">
        <f t="array" ref="J3738">IF($D3738="","",IF($I3738="","(trống REF)",IFERROR(INDEX(MASTER_SOURCE!$B$2:$B$495,MATCH($I3738,MASTER_SOURCE!$A$2:$A$495,0)),"(REF không có trong MASTER_SOURCE)")))</f>
        <v/>
      </c>
      <c r="K3738" s="22">
        <f t="array" ref="K3738">IF($D3738="","",IFERROR(INDEX(MASTER_SOURCE!$C$2:$C$495,MATCH($I3738,MASTER_SOURCE!$A$2:$A$495,0)),""))</f>
        <v/>
      </c>
      <c r="L3738" s="22">
        <f t="array" ref="L3738">IF($D3738="","",IFERROR(INDEX(MASTER_SOURCE!$D$2:$D$495,MATCH($I3738,MASTER_SOURCE!$A$2:$A$495,0)),""))</f>
        <v/>
      </c>
      <c r="M3738" s="24" t="n"/>
      <c r="N3738" s="24" t="n"/>
      <c r="O3738" s="24" t="n"/>
      <c r="P3738" s="24" t="n"/>
      <c r="Q3738" s="22">
        <f>IF($D3738="","",IF(AND(OR(DANH_MUC!$L$5&lt;&gt;"Có",M3738="Có"),OR(DANH_MUC!$L$6&lt;&gt;"Có",N3738="Có"),OR(DANH_MUC!$L$7&lt;&gt;"Có",O3738="Có"),OR(DANH_MUC!$L$8&lt;&gt;"Có",P3738="Có")),"Có","Không"))</f>
        <v/>
      </c>
      <c r="R3738" s="22">
        <f>IF($D3738="","",IF(COUNTIF($D$2:$D3738,$D3738)&gt;1,"Trùng",""))</f>
        <v/>
      </c>
      <c r="S3738" s="22">
        <f>IF($D3738="","",IF(AND(LEN($D3738)=10,LEFT($D3738,1)="0",ISNUMBER(--$D3738)),"Có","Không"))</f>
        <v/>
      </c>
      <c r="T3738" s="22">
        <f>IF($D3738="","",IF(AND($C3738&lt;&gt;"",$Q3738="Có",$R3738="",$S3738="Có",AND($L3738&lt;&gt;"",OR($L3738&lt;&gt;"Chưa xác định",DANH_MUC!$L$9="Có"))),"Có","Không"))</f>
        <v/>
      </c>
      <c r="U3738" s="22">
        <f>IF(OR($D3738="",$T3738="Có"),"",IF($C3738="","Thiếu họ tên; ","")&amp;IF($S3738&lt;&gt;"Có","SĐT sai định dạng; ","")&amp;IF($R3738="Trùng","Trùng SĐT; ","")&amp;IF($Q3738&lt;&gt;"Có","Thiếu đồng ý bắt buộc; ","")&amp;IF($L3738="","Thiếu/sai Mã REF; ",IF(AND($L3738="Chưa xác định",DANH_MUC!$L$9&lt;&gt;"Có"),"Nguồn chưa xác định; ","")))</f>
        <v/>
      </c>
      <c r="V3738" s="22">
        <f>IF(OR($D3738="",$R3738="Trùng"),"",IF(COUNTIF(ORDERS!$C$2:$C$4995,$D3738)&gt;0,"Có","Không"))</f>
        <v/>
      </c>
      <c r="W3738" s="22">
        <f>IF(OR($D3738="",$R3738="Trùng"),"",COUNTIFS(ORDERS!$C$2:$C$4995,$D3738,ORDERS!$L$2:$L$4995,"Đã chuyển khoản"))</f>
        <v/>
      </c>
      <c r="X3738" s="23">
        <f>IF(OR($D3738="",$R3738="Trùng"),"",SUMIFS(ORDERS!$J$2:$J$4995,ORDERS!$C$2:$C$4995,$D3738,ORDERS!$L$2:$L$4995,"Đã chuyển khoản"))</f>
        <v/>
      </c>
      <c r="Y3738" s="24" t="n"/>
    </row>
    <row r="3739" ht="14.25" customHeight="1" s="40">
      <c r="A3739" s="24" t="n"/>
      <c r="B3739" s="27" t="n"/>
      <c r="C3739" s="24" t="n"/>
      <c r="D3739" s="28" t="n"/>
      <c r="E3739" s="29" t="n"/>
      <c r="F3739" s="24" t="n"/>
      <c r="G3739" s="24" t="n"/>
      <c r="H3739" s="21">
        <f>IF(ISNUMBER($B3739),INT($B3739)-WEEKDAY($B3739,2)+1,"")</f>
        <v/>
      </c>
      <c r="I3739" s="24" t="n"/>
      <c r="J3739" s="22">
        <f t="array" ref="J3739">IF($D3739="","",IF($I3739="","(trống REF)",IFERROR(INDEX(MASTER_SOURCE!$B$2:$B$495,MATCH($I3739,MASTER_SOURCE!$A$2:$A$495,0)),"(REF không có trong MASTER_SOURCE)")))</f>
        <v/>
      </c>
      <c r="K3739" s="22">
        <f t="array" ref="K3739">IF($D3739="","",IFERROR(INDEX(MASTER_SOURCE!$C$2:$C$495,MATCH($I3739,MASTER_SOURCE!$A$2:$A$495,0)),""))</f>
        <v/>
      </c>
      <c r="L3739" s="22">
        <f t="array" ref="L3739">IF($D3739="","",IFERROR(INDEX(MASTER_SOURCE!$D$2:$D$495,MATCH($I3739,MASTER_SOURCE!$A$2:$A$495,0)),""))</f>
        <v/>
      </c>
      <c r="M3739" s="24" t="n"/>
      <c r="N3739" s="24" t="n"/>
      <c r="O3739" s="24" t="n"/>
      <c r="P3739" s="24" t="n"/>
      <c r="Q3739" s="22">
        <f>IF($D3739="","",IF(AND(OR(DANH_MUC!$L$5&lt;&gt;"Có",M3739="Có"),OR(DANH_MUC!$L$6&lt;&gt;"Có",N3739="Có"),OR(DANH_MUC!$L$7&lt;&gt;"Có",O3739="Có"),OR(DANH_MUC!$L$8&lt;&gt;"Có",P3739="Có")),"Có","Không"))</f>
        <v/>
      </c>
      <c r="R3739" s="22">
        <f>IF($D3739="","",IF(COUNTIF($D$2:$D3739,$D3739)&gt;1,"Trùng",""))</f>
        <v/>
      </c>
      <c r="S3739" s="22">
        <f>IF($D3739="","",IF(AND(LEN($D3739)=10,LEFT($D3739,1)="0",ISNUMBER(--$D3739)),"Có","Không"))</f>
        <v/>
      </c>
      <c r="T3739" s="22">
        <f>IF($D3739="","",IF(AND($C3739&lt;&gt;"",$Q3739="Có",$R3739="",$S3739="Có",AND($L3739&lt;&gt;"",OR($L3739&lt;&gt;"Chưa xác định",DANH_MUC!$L$9="Có"))),"Có","Không"))</f>
        <v/>
      </c>
      <c r="U3739" s="22">
        <f>IF(OR($D3739="",$T3739="Có"),"",IF($C3739="","Thiếu họ tên; ","")&amp;IF($S3739&lt;&gt;"Có","SĐT sai định dạng; ","")&amp;IF($R3739="Trùng","Trùng SĐT; ","")&amp;IF($Q3739&lt;&gt;"Có","Thiếu đồng ý bắt buộc; ","")&amp;IF($L3739="","Thiếu/sai Mã REF; ",IF(AND($L3739="Chưa xác định",DANH_MUC!$L$9&lt;&gt;"Có"),"Nguồn chưa xác định; ","")))</f>
        <v/>
      </c>
      <c r="V3739" s="22">
        <f>IF(OR($D3739="",$R3739="Trùng"),"",IF(COUNTIF(ORDERS!$C$2:$C$4995,$D3739)&gt;0,"Có","Không"))</f>
        <v/>
      </c>
      <c r="W3739" s="22">
        <f>IF(OR($D3739="",$R3739="Trùng"),"",COUNTIFS(ORDERS!$C$2:$C$4995,$D3739,ORDERS!$L$2:$L$4995,"Đã chuyển khoản"))</f>
        <v/>
      </c>
      <c r="X3739" s="23">
        <f>IF(OR($D3739="",$R3739="Trùng"),"",SUMIFS(ORDERS!$J$2:$J$4995,ORDERS!$C$2:$C$4995,$D3739,ORDERS!$L$2:$L$4995,"Đã chuyển khoản"))</f>
        <v/>
      </c>
      <c r="Y3739" s="24" t="n"/>
    </row>
    <row r="3740" ht="14.25" customHeight="1" s="40">
      <c r="A3740" s="24" t="n"/>
      <c r="B3740" s="27" t="n"/>
      <c r="C3740" s="24" t="n"/>
      <c r="D3740" s="28" t="n"/>
      <c r="E3740" s="29" t="n"/>
      <c r="F3740" s="24" t="n"/>
      <c r="G3740" s="24" t="n"/>
      <c r="H3740" s="21">
        <f>IF(ISNUMBER($B3740),INT($B3740)-WEEKDAY($B3740,2)+1,"")</f>
        <v/>
      </c>
      <c r="I3740" s="24" t="n"/>
      <c r="J3740" s="22">
        <f t="array" ref="J3740">IF($D3740="","",IF($I3740="","(trống REF)",IFERROR(INDEX(MASTER_SOURCE!$B$2:$B$495,MATCH($I3740,MASTER_SOURCE!$A$2:$A$495,0)),"(REF không có trong MASTER_SOURCE)")))</f>
        <v/>
      </c>
      <c r="K3740" s="22">
        <f t="array" ref="K3740">IF($D3740="","",IFERROR(INDEX(MASTER_SOURCE!$C$2:$C$495,MATCH($I3740,MASTER_SOURCE!$A$2:$A$495,0)),""))</f>
        <v/>
      </c>
      <c r="L3740" s="22">
        <f t="array" ref="L3740">IF($D3740="","",IFERROR(INDEX(MASTER_SOURCE!$D$2:$D$495,MATCH($I3740,MASTER_SOURCE!$A$2:$A$495,0)),""))</f>
        <v/>
      </c>
      <c r="M3740" s="24" t="n"/>
      <c r="N3740" s="24" t="n"/>
      <c r="O3740" s="24" t="n"/>
      <c r="P3740" s="24" t="n"/>
      <c r="Q3740" s="22">
        <f>IF($D3740="","",IF(AND(OR(DANH_MUC!$L$5&lt;&gt;"Có",M3740="Có"),OR(DANH_MUC!$L$6&lt;&gt;"Có",N3740="Có"),OR(DANH_MUC!$L$7&lt;&gt;"Có",O3740="Có"),OR(DANH_MUC!$L$8&lt;&gt;"Có",P3740="Có")),"Có","Không"))</f>
        <v/>
      </c>
      <c r="R3740" s="22">
        <f>IF($D3740="","",IF(COUNTIF($D$2:$D3740,$D3740)&gt;1,"Trùng",""))</f>
        <v/>
      </c>
      <c r="S3740" s="22">
        <f>IF($D3740="","",IF(AND(LEN($D3740)=10,LEFT($D3740,1)="0",ISNUMBER(--$D3740)),"Có","Không"))</f>
        <v/>
      </c>
      <c r="T3740" s="22">
        <f>IF($D3740="","",IF(AND($C3740&lt;&gt;"",$Q3740="Có",$R3740="",$S3740="Có",AND($L3740&lt;&gt;"",OR($L3740&lt;&gt;"Chưa xác định",DANH_MUC!$L$9="Có"))),"Có","Không"))</f>
        <v/>
      </c>
      <c r="U3740" s="22">
        <f>IF(OR($D3740="",$T3740="Có"),"",IF($C3740="","Thiếu họ tên; ","")&amp;IF($S3740&lt;&gt;"Có","SĐT sai định dạng; ","")&amp;IF($R3740="Trùng","Trùng SĐT; ","")&amp;IF($Q3740&lt;&gt;"Có","Thiếu đồng ý bắt buộc; ","")&amp;IF($L3740="","Thiếu/sai Mã REF; ",IF(AND($L3740="Chưa xác định",DANH_MUC!$L$9&lt;&gt;"Có"),"Nguồn chưa xác định; ","")))</f>
        <v/>
      </c>
      <c r="V3740" s="22">
        <f>IF(OR($D3740="",$R3740="Trùng"),"",IF(COUNTIF(ORDERS!$C$2:$C$4995,$D3740)&gt;0,"Có","Không"))</f>
        <v/>
      </c>
      <c r="W3740" s="22">
        <f>IF(OR($D3740="",$R3740="Trùng"),"",COUNTIFS(ORDERS!$C$2:$C$4995,$D3740,ORDERS!$L$2:$L$4995,"Đã chuyển khoản"))</f>
        <v/>
      </c>
      <c r="X3740" s="23">
        <f>IF(OR($D3740="",$R3740="Trùng"),"",SUMIFS(ORDERS!$J$2:$J$4995,ORDERS!$C$2:$C$4995,$D3740,ORDERS!$L$2:$L$4995,"Đã chuyển khoản"))</f>
        <v/>
      </c>
      <c r="Y3740" s="24" t="n"/>
    </row>
    <row r="3741" ht="14.25" customHeight="1" s="40">
      <c r="A3741" s="24" t="n"/>
      <c r="B3741" s="27" t="n"/>
      <c r="C3741" s="24" t="n"/>
      <c r="D3741" s="28" t="n"/>
      <c r="E3741" s="29" t="n"/>
      <c r="F3741" s="24" t="n"/>
      <c r="G3741" s="24" t="n"/>
      <c r="H3741" s="21">
        <f>IF(ISNUMBER($B3741),INT($B3741)-WEEKDAY($B3741,2)+1,"")</f>
        <v/>
      </c>
      <c r="I3741" s="24" t="n"/>
      <c r="J3741" s="22">
        <f t="array" ref="J3741">IF($D3741="","",IF($I3741="","(trống REF)",IFERROR(INDEX(MASTER_SOURCE!$B$2:$B$495,MATCH($I3741,MASTER_SOURCE!$A$2:$A$495,0)),"(REF không có trong MASTER_SOURCE)")))</f>
        <v/>
      </c>
      <c r="K3741" s="22">
        <f t="array" ref="K3741">IF($D3741="","",IFERROR(INDEX(MASTER_SOURCE!$C$2:$C$495,MATCH($I3741,MASTER_SOURCE!$A$2:$A$495,0)),""))</f>
        <v/>
      </c>
      <c r="L3741" s="22">
        <f t="array" ref="L3741">IF($D3741="","",IFERROR(INDEX(MASTER_SOURCE!$D$2:$D$495,MATCH($I3741,MASTER_SOURCE!$A$2:$A$495,0)),""))</f>
        <v/>
      </c>
      <c r="M3741" s="24" t="n"/>
      <c r="N3741" s="24" t="n"/>
      <c r="O3741" s="24" t="n"/>
      <c r="P3741" s="24" t="n"/>
      <c r="Q3741" s="22">
        <f>IF($D3741="","",IF(AND(OR(DANH_MUC!$L$5&lt;&gt;"Có",M3741="Có"),OR(DANH_MUC!$L$6&lt;&gt;"Có",N3741="Có"),OR(DANH_MUC!$L$7&lt;&gt;"Có",O3741="Có"),OR(DANH_MUC!$L$8&lt;&gt;"Có",P3741="Có")),"Có","Không"))</f>
        <v/>
      </c>
      <c r="R3741" s="22">
        <f>IF($D3741="","",IF(COUNTIF($D$2:$D3741,$D3741)&gt;1,"Trùng",""))</f>
        <v/>
      </c>
      <c r="S3741" s="22">
        <f>IF($D3741="","",IF(AND(LEN($D3741)=10,LEFT($D3741,1)="0",ISNUMBER(--$D3741)),"Có","Không"))</f>
        <v/>
      </c>
      <c r="T3741" s="22">
        <f>IF($D3741="","",IF(AND($C3741&lt;&gt;"",$Q3741="Có",$R3741="",$S3741="Có",AND($L3741&lt;&gt;"",OR($L3741&lt;&gt;"Chưa xác định",DANH_MUC!$L$9="Có"))),"Có","Không"))</f>
        <v/>
      </c>
      <c r="U3741" s="22">
        <f>IF(OR($D3741="",$T3741="Có"),"",IF($C3741="","Thiếu họ tên; ","")&amp;IF($S3741&lt;&gt;"Có","SĐT sai định dạng; ","")&amp;IF($R3741="Trùng","Trùng SĐT; ","")&amp;IF($Q3741&lt;&gt;"Có","Thiếu đồng ý bắt buộc; ","")&amp;IF($L3741="","Thiếu/sai Mã REF; ",IF(AND($L3741="Chưa xác định",DANH_MUC!$L$9&lt;&gt;"Có"),"Nguồn chưa xác định; ","")))</f>
        <v/>
      </c>
      <c r="V3741" s="22">
        <f>IF(OR($D3741="",$R3741="Trùng"),"",IF(COUNTIF(ORDERS!$C$2:$C$4995,$D3741)&gt;0,"Có","Không"))</f>
        <v/>
      </c>
      <c r="W3741" s="22">
        <f>IF(OR($D3741="",$R3741="Trùng"),"",COUNTIFS(ORDERS!$C$2:$C$4995,$D3741,ORDERS!$L$2:$L$4995,"Đã chuyển khoản"))</f>
        <v/>
      </c>
      <c r="X3741" s="23">
        <f>IF(OR($D3741="",$R3741="Trùng"),"",SUMIFS(ORDERS!$J$2:$J$4995,ORDERS!$C$2:$C$4995,$D3741,ORDERS!$L$2:$L$4995,"Đã chuyển khoản"))</f>
        <v/>
      </c>
      <c r="Y3741" s="24" t="n"/>
    </row>
    <row r="3742" ht="14.25" customHeight="1" s="40">
      <c r="A3742" s="24" t="n"/>
      <c r="B3742" s="27" t="n"/>
      <c r="C3742" s="24" t="n"/>
      <c r="D3742" s="28" t="n"/>
      <c r="E3742" s="29" t="n"/>
      <c r="F3742" s="24" t="n"/>
      <c r="G3742" s="24" t="n"/>
      <c r="H3742" s="21">
        <f>IF(ISNUMBER($B3742),INT($B3742)-WEEKDAY($B3742,2)+1,"")</f>
        <v/>
      </c>
      <c r="I3742" s="24" t="n"/>
      <c r="J3742" s="22">
        <f t="array" ref="J3742">IF($D3742="","",IF($I3742="","(trống REF)",IFERROR(INDEX(MASTER_SOURCE!$B$2:$B$495,MATCH($I3742,MASTER_SOURCE!$A$2:$A$495,0)),"(REF không có trong MASTER_SOURCE)")))</f>
        <v/>
      </c>
      <c r="K3742" s="22">
        <f t="array" ref="K3742">IF($D3742="","",IFERROR(INDEX(MASTER_SOURCE!$C$2:$C$495,MATCH($I3742,MASTER_SOURCE!$A$2:$A$495,0)),""))</f>
        <v/>
      </c>
      <c r="L3742" s="22">
        <f t="array" ref="L3742">IF($D3742="","",IFERROR(INDEX(MASTER_SOURCE!$D$2:$D$495,MATCH($I3742,MASTER_SOURCE!$A$2:$A$495,0)),""))</f>
        <v/>
      </c>
      <c r="M3742" s="24" t="n"/>
      <c r="N3742" s="24" t="n"/>
      <c r="O3742" s="24" t="n"/>
      <c r="P3742" s="24" t="n"/>
      <c r="Q3742" s="22">
        <f>IF($D3742="","",IF(AND(OR(DANH_MUC!$L$5&lt;&gt;"Có",M3742="Có"),OR(DANH_MUC!$L$6&lt;&gt;"Có",N3742="Có"),OR(DANH_MUC!$L$7&lt;&gt;"Có",O3742="Có"),OR(DANH_MUC!$L$8&lt;&gt;"Có",P3742="Có")),"Có","Không"))</f>
        <v/>
      </c>
      <c r="R3742" s="22">
        <f>IF($D3742="","",IF(COUNTIF($D$2:$D3742,$D3742)&gt;1,"Trùng",""))</f>
        <v/>
      </c>
      <c r="S3742" s="22">
        <f>IF($D3742="","",IF(AND(LEN($D3742)=10,LEFT($D3742,1)="0",ISNUMBER(--$D3742)),"Có","Không"))</f>
        <v/>
      </c>
      <c r="T3742" s="22">
        <f>IF($D3742="","",IF(AND($C3742&lt;&gt;"",$Q3742="Có",$R3742="",$S3742="Có",AND($L3742&lt;&gt;"",OR($L3742&lt;&gt;"Chưa xác định",DANH_MUC!$L$9="Có"))),"Có","Không"))</f>
        <v/>
      </c>
      <c r="U3742" s="22">
        <f>IF(OR($D3742="",$T3742="Có"),"",IF($C3742="","Thiếu họ tên; ","")&amp;IF($S3742&lt;&gt;"Có","SĐT sai định dạng; ","")&amp;IF($R3742="Trùng","Trùng SĐT; ","")&amp;IF($Q3742&lt;&gt;"Có","Thiếu đồng ý bắt buộc; ","")&amp;IF($L3742="","Thiếu/sai Mã REF; ",IF(AND($L3742="Chưa xác định",DANH_MUC!$L$9&lt;&gt;"Có"),"Nguồn chưa xác định; ","")))</f>
        <v/>
      </c>
      <c r="V3742" s="22">
        <f>IF(OR($D3742="",$R3742="Trùng"),"",IF(COUNTIF(ORDERS!$C$2:$C$4995,$D3742)&gt;0,"Có","Không"))</f>
        <v/>
      </c>
      <c r="W3742" s="22">
        <f>IF(OR($D3742="",$R3742="Trùng"),"",COUNTIFS(ORDERS!$C$2:$C$4995,$D3742,ORDERS!$L$2:$L$4995,"Đã chuyển khoản"))</f>
        <v/>
      </c>
      <c r="X3742" s="23">
        <f>IF(OR($D3742="",$R3742="Trùng"),"",SUMIFS(ORDERS!$J$2:$J$4995,ORDERS!$C$2:$C$4995,$D3742,ORDERS!$L$2:$L$4995,"Đã chuyển khoản"))</f>
        <v/>
      </c>
      <c r="Y3742" s="24" t="n"/>
    </row>
    <row r="3743" ht="14.25" customHeight="1" s="40">
      <c r="A3743" s="24" t="n"/>
      <c r="B3743" s="27" t="n"/>
      <c r="C3743" s="24" t="n"/>
      <c r="D3743" s="28" t="n"/>
      <c r="E3743" s="29" t="n"/>
      <c r="F3743" s="24" t="n"/>
      <c r="G3743" s="24" t="n"/>
      <c r="H3743" s="21">
        <f>IF(ISNUMBER($B3743),INT($B3743)-WEEKDAY($B3743,2)+1,"")</f>
        <v/>
      </c>
      <c r="I3743" s="24" t="n"/>
      <c r="J3743" s="22">
        <f t="array" ref="J3743">IF($D3743="","",IF($I3743="","(trống REF)",IFERROR(INDEX(MASTER_SOURCE!$B$2:$B$495,MATCH($I3743,MASTER_SOURCE!$A$2:$A$495,0)),"(REF không có trong MASTER_SOURCE)")))</f>
        <v/>
      </c>
      <c r="K3743" s="22">
        <f t="array" ref="K3743">IF($D3743="","",IFERROR(INDEX(MASTER_SOURCE!$C$2:$C$495,MATCH($I3743,MASTER_SOURCE!$A$2:$A$495,0)),""))</f>
        <v/>
      </c>
      <c r="L3743" s="22">
        <f t="array" ref="L3743">IF($D3743="","",IFERROR(INDEX(MASTER_SOURCE!$D$2:$D$495,MATCH($I3743,MASTER_SOURCE!$A$2:$A$495,0)),""))</f>
        <v/>
      </c>
      <c r="M3743" s="24" t="n"/>
      <c r="N3743" s="24" t="n"/>
      <c r="O3743" s="24" t="n"/>
      <c r="P3743" s="24" t="n"/>
      <c r="Q3743" s="22">
        <f>IF($D3743="","",IF(AND(OR(DANH_MUC!$L$5&lt;&gt;"Có",M3743="Có"),OR(DANH_MUC!$L$6&lt;&gt;"Có",N3743="Có"),OR(DANH_MUC!$L$7&lt;&gt;"Có",O3743="Có"),OR(DANH_MUC!$L$8&lt;&gt;"Có",P3743="Có")),"Có","Không"))</f>
        <v/>
      </c>
      <c r="R3743" s="22">
        <f>IF($D3743="","",IF(COUNTIF($D$2:$D3743,$D3743)&gt;1,"Trùng",""))</f>
        <v/>
      </c>
      <c r="S3743" s="22">
        <f>IF($D3743="","",IF(AND(LEN($D3743)=10,LEFT($D3743,1)="0",ISNUMBER(--$D3743)),"Có","Không"))</f>
        <v/>
      </c>
      <c r="T3743" s="22">
        <f>IF($D3743="","",IF(AND($C3743&lt;&gt;"",$Q3743="Có",$R3743="",$S3743="Có",AND($L3743&lt;&gt;"",OR($L3743&lt;&gt;"Chưa xác định",DANH_MUC!$L$9="Có"))),"Có","Không"))</f>
        <v/>
      </c>
      <c r="U3743" s="22">
        <f>IF(OR($D3743="",$T3743="Có"),"",IF($C3743="","Thiếu họ tên; ","")&amp;IF($S3743&lt;&gt;"Có","SĐT sai định dạng; ","")&amp;IF($R3743="Trùng","Trùng SĐT; ","")&amp;IF($Q3743&lt;&gt;"Có","Thiếu đồng ý bắt buộc; ","")&amp;IF($L3743="","Thiếu/sai Mã REF; ",IF(AND($L3743="Chưa xác định",DANH_MUC!$L$9&lt;&gt;"Có"),"Nguồn chưa xác định; ","")))</f>
        <v/>
      </c>
      <c r="V3743" s="22">
        <f>IF(OR($D3743="",$R3743="Trùng"),"",IF(COUNTIF(ORDERS!$C$2:$C$4995,$D3743)&gt;0,"Có","Không"))</f>
        <v/>
      </c>
      <c r="W3743" s="22">
        <f>IF(OR($D3743="",$R3743="Trùng"),"",COUNTIFS(ORDERS!$C$2:$C$4995,$D3743,ORDERS!$L$2:$L$4995,"Đã chuyển khoản"))</f>
        <v/>
      </c>
      <c r="X3743" s="23">
        <f>IF(OR($D3743="",$R3743="Trùng"),"",SUMIFS(ORDERS!$J$2:$J$4995,ORDERS!$C$2:$C$4995,$D3743,ORDERS!$L$2:$L$4995,"Đã chuyển khoản"))</f>
        <v/>
      </c>
      <c r="Y3743" s="24" t="n"/>
    </row>
    <row r="3744" ht="14.25" customHeight="1" s="40">
      <c r="A3744" s="24" t="n"/>
      <c r="B3744" s="27" t="n"/>
      <c r="C3744" s="24" t="n"/>
      <c r="D3744" s="28" t="n"/>
      <c r="E3744" s="29" t="n"/>
      <c r="F3744" s="24" t="n"/>
      <c r="G3744" s="24" t="n"/>
      <c r="H3744" s="21">
        <f>IF(ISNUMBER($B3744),INT($B3744)-WEEKDAY($B3744,2)+1,"")</f>
        <v/>
      </c>
      <c r="I3744" s="24" t="n"/>
      <c r="J3744" s="22">
        <f t="array" ref="J3744">IF($D3744="","",IF($I3744="","(trống REF)",IFERROR(INDEX(MASTER_SOURCE!$B$2:$B$495,MATCH($I3744,MASTER_SOURCE!$A$2:$A$495,0)),"(REF không có trong MASTER_SOURCE)")))</f>
        <v/>
      </c>
      <c r="K3744" s="22">
        <f t="array" ref="K3744">IF($D3744="","",IFERROR(INDEX(MASTER_SOURCE!$C$2:$C$495,MATCH($I3744,MASTER_SOURCE!$A$2:$A$495,0)),""))</f>
        <v/>
      </c>
      <c r="L3744" s="22">
        <f t="array" ref="L3744">IF($D3744="","",IFERROR(INDEX(MASTER_SOURCE!$D$2:$D$495,MATCH($I3744,MASTER_SOURCE!$A$2:$A$495,0)),""))</f>
        <v/>
      </c>
      <c r="M3744" s="24" t="n"/>
      <c r="N3744" s="24" t="n"/>
      <c r="O3744" s="24" t="n"/>
      <c r="P3744" s="24" t="n"/>
      <c r="Q3744" s="22">
        <f>IF($D3744="","",IF(AND(OR(DANH_MUC!$L$5&lt;&gt;"Có",M3744="Có"),OR(DANH_MUC!$L$6&lt;&gt;"Có",N3744="Có"),OR(DANH_MUC!$L$7&lt;&gt;"Có",O3744="Có"),OR(DANH_MUC!$L$8&lt;&gt;"Có",P3744="Có")),"Có","Không"))</f>
        <v/>
      </c>
      <c r="R3744" s="22">
        <f>IF($D3744="","",IF(COUNTIF($D$2:$D3744,$D3744)&gt;1,"Trùng",""))</f>
        <v/>
      </c>
      <c r="S3744" s="22">
        <f>IF($D3744="","",IF(AND(LEN($D3744)=10,LEFT($D3744,1)="0",ISNUMBER(--$D3744)),"Có","Không"))</f>
        <v/>
      </c>
      <c r="T3744" s="22">
        <f>IF($D3744="","",IF(AND($C3744&lt;&gt;"",$Q3744="Có",$R3744="",$S3744="Có",AND($L3744&lt;&gt;"",OR($L3744&lt;&gt;"Chưa xác định",DANH_MUC!$L$9="Có"))),"Có","Không"))</f>
        <v/>
      </c>
      <c r="U3744" s="22">
        <f>IF(OR($D3744="",$T3744="Có"),"",IF($C3744="","Thiếu họ tên; ","")&amp;IF($S3744&lt;&gt;"Có","SĐT sai định dạng; ","")&amp;IF($R3744="Trùng","Trùng SĐT; ","")&amp;IF($Q3744&lt;&gt;"Có","Thiếu đồng ý bắt buộc; ","")&amp;IF($L3744="","Thiếu/sai Mã REF; ",IF(AND($L3744="Chưa xác định",DANH_MUC!$L$9&lt;&gt;"Có"),"Nguồn chưa xác định; ","")))</f>
        <v/>
      </c>
      <c r="V3744" s="22">
        <f>IF(OR($D3744="",$R3744="Trùng"),"",IF(COUNTIF(ORDERS!$C$2:$C$4995,$D3744)&gt;0,"Có","Không"))</f>
        <v/>
      </c>
      <c r="W3744" s="22">
        <f>IF(OR($D3744="",$R3744="Trùng"),"",COUNTIFS(ORDERS!$C$2:$C$4995,$D3744,ORDERS!$L$2:$L$4995,"Đã chuyển khoản"))</f>
        <v/>
      </c>
      <c r="X3744" s="23">
        <f>IF(OR($D3744="",$R3744="Trùng"),"",SUMIFS(ORDERS!$J$2:$J$4995,ORDERS!$C$2:$C$4995,$D3744,ORDERS!$L$2:$L$4995,"Đã chuyển khoản"))</f>
        <v/>
      </c>
      <c r="Y3744" s="24" t="n"/>
    </row>
    <row r="3745" ht="14.25" customHeight="1" s="40">
      <c r="A3745" s="24" t="n"/>
      <c r="B3745" s="27" t="n"/>
      <c r="C3745" s="24" t="n"/>
      <c r="D3745" s="28" t="n"/>
      <c r="E3745" s="29" t="n"/>
      <c r="F3745" s="24" t="n"/>
      <c r="G3745" s="24" t="n"/>
      <c r="H3745" s="21">
        <f>IF(ISNUMBER($B3745),INT($B3745)-WEEKDAY($B3745,2)+1,"")</f>
        <v/>
      </c>
      <c r="I3745" s="24" t="n"/>
      <c r="J3745" s="22">
        <f t="array" ref="J3745">IF($D3745="","",IF($I3745="","(trống REF)",IFERROR(INDEX(MASTER_SOURCE!$B$2:$B$495,MATCH($I3745,MASTER_SOURCE!$A$2:$A$495,0)),"(REF không có trong MASTER_SOURCE)")))</f>
        <v/>
      </c>
      <c r="K3745" s="22">
        <f t="array" ref="K3745">IF($D3745="","",IFERROR(INDEX(MASTER_SOURCE!$C$2:$C$495,MATCH($I3745,MASTER_SOURCE!$A$2:$A$495,0)),""))</f>
        <v/>
      </c>
      <c r="L3745" s="22">
        <f t="array" ref="L3745">IF($D3745="","",IFERROR(INDEX(MASTER_SOURCE!$D$2:$D$495,MATCH($I3745,MASTER_SOURCE!$A$2:$A$495,0)),""))</f>
        <v/>
      </c>
      <c r="M3745" s="24" t="n"/>
      <c r="N3745" s="24" t="n"/>
      <c r="O3745" s="24" t="n"/>
      <c r="P3745" s="24" t="n"/>
      <c r="Q3745" s="22">
        <f>IF($D3745="","",IF(AND(OR(DANH_MUC!$L$5&lt;&gt;"Có",M3745="Có"),OR(DANH_MUC!$L$6&lt;&gt;"Có",N3745="Có"),OR(DANH_MUC!$L$7&lt;&gt;"Có",O3745="Có"),OR(DANH_MUC!$L$8&lt;&gt;"Có",P3745="Có")),"Có","Không"))</f>
        <v/>
      </c>
      <c r="R3745" s="22">
        <f>IF($D3745="","",IF(COUNTIF($D$2:$D3745,$D3745)&gt;1,"Trùng",""))</f>
        <v/>
      </c>
      <c r="S3745" s="22">
        <f>IF($D3745="","",IF(AND(LEN($D3745)=10,LEFT($D3745,1)="0",ISNUMBER(--$D3745)),"Có","Không"))</f>
        <v/>
      </c>
      <c r="T3745" s="22">
        <f>IF($D3745="","",IF(AND($C3745&lt;&gt;"",$Q3745="Có",$R3745="",$S3745="Có",AND($L3745&lt;&gt;"",OR($L3745&lt;&gt;"Chưa xác định",DANH_MUC!$L$9="Có"))),"Có","Không"))</f>
        <v/>
      </c>
      <c r="U3745" s="22">
        <f>IF(OR($D3745="",$T3745="Có"),"",IF($C3745="","Thiếu họ tên; ","")&amp;IF($S3745&lt;&gt;"Có","SĐT sai định dạng; ","")&amp;IF($R3745="Trùng","Trùng SĐT; ","")&amp;IF($Q3745&lt;&gt;"Có","Thiếu đồng ý bắt buộc; ","")&amp;IF($L3745="","Thiếu/sai Mã REF; ",IF(AND($L3745="Chưa xác định",DANH_MUC!$L$9&lt;&gt;"Có"),"Nguồn chưa xác định; ","")))</f>
        <v/>
      </c>
      <c r="V3745" s="22">
        <f>IF(OR($D3745="",$R3745="Trùng"),"",IF(COUNTIF(ORDERS!$C$2:$C$4995,$D3745)&gt;0,"Có","Không"))</f>
        <v/>
      </c>
      <c r="W3745" s="22">
        <f>IF(OR($D3745="",$R3745="Trùng"),"",COUNTIFS(ORDERS!$C$2:$C$4995,$D3745,ORDERS!$L$2:$L$4995,"Đã chuyển khoản"))</f>
        <v/>
      </c>
      <c r="X3745" s="23">
        <f>IF(OR($D3745="",$R3745="Trùng"),"",SUMIFS(ORDERS!$J$2:$J$4995,ORDERS!$C$2:$C$4995,$D3745,ORDERS!$L$2:$L$4995,"Đã chuyển khoản"))</f>
        <v/>
      </c>
      <c r="Y3745" s="24" t="n"/>
    </row>
    <row r="3746" ht="14.25" customHeight="1" s="40">
      <c r="A3746" s="24" t="n"/>
      <c r="B3746" s="27" t="n"/>
      <c r="C3746" s="24" t="n"/>
      <c r="D3746" s="28" t="n"/>
      <c r="E3746" s="29" t="n"/>
      <c r="F3746" s="24" t="n"/>
      <c r="G3746" s="24" t="n"/>
      <c r="H3746" s="21">
        <f>IF(ISNUMBER($B3746),INT($B3746)-WEEKDAY($B3746,2)+1,"")</f>
        <v/>
      </c>
      <c r="I3746" s="24" t="n"/>
      <c r="J3746" s="22">
        <f t="array" ref="J3746">IF($D3746="","",IF($I3746="","(trống REF)",IFERROR(INDEX(MASTER_SOURCE!$B$2:$B$495,MATCH($I3746,MASTER_SOURCE!$A$2:$A$495,0)),"(REF không có trong MASTER_SOURCE)")))</f>
        <v/>
      </c>
      <c r="K3746" s="22">
        <f t="array" ref="K3746">IF($D3746="","",IFERROR(INDEX(MASTER_SOURCE!$C$2:$C$495,MATCH($I3746,MASTER_SOURCE!$A$2:$A$495,0)),""))</f>
        <v/>
      </c>
      <c r="L3746" s="22">
        <f t="array" ref="L3746">IF($D3746="","",IFERROR(INDEX(MASTER_SOURCE!$D$2:$D$495,MATCH($I3746,MASTER_SOURCE!$A$2:$A$495,0)),""))</f>
        <v/>
      </c>
      <c r="M3746" s="24" t="n"/>
      <c r="N3746" s="24" t="n"/>
      <c r="O3746" s="24" t="n"/>
      <c r="P3746" s="24" t="n"/>
      <c r="Q3746" s="22">
        <f>IF($D3746="","",IF(AND(OR(DANH_MUC!$L$5&lt;&gt;"Có",M3746="Có"),OR(DANH_MUC!$L$6&lt;&gt;"Có",N3746="Có"),OR(DANH_MUC!$L$7&lt;&gt;"Có",O3746="Có"),OR(DANH_MUC!$L$8&lt;&gt;"Có",P3746="Có")),"Có","Không"))</f>
        <v/>
      </c>
      <c r="R3746" s="22">
        <f>IF($D3746="","",IF(COUNTIF($D$2:$D3746,$D3746)&gt;1,"Trùng",""))</f>
        <v/>
      </c>
      <c r="S3746" s="22">
        <f>IF($D3746="","",IF(AND(LEN($D3746)=10,LEFT($D3746,1)="0",ISNUMBER(--$D3746)),"Có","Không"))</f>
        <v/>
      </c>
      <c r="T3746" s="22">
        <f>IF($D3746="","",IF(AND($C3746&lt;&gt;"",$Q3746="Có",$R3746="",$S3746="Có",AND($L3746&lt;&gt;"",OR($L3746&lt;&gt;"Chưa xác định",DANH_MUC!$L$9="Có"))),"Có","Không"))</f>
        <v/>
      </c>
      <c r="U3746" s="22">
        <f>IF(OR($D3746="",$T3746="Có"),"",IF($C3746="","Thiếu họ tên; ","")&amp;IF($S3746&lt;&gt;"Có","SĐT sai định dạng; ","")&amp;IF($R3746="Trùng","Trùng SĐT; ","")&amp;IF($Q3746&lt;&gt;"Có","Thiếu đồng ý bắt buộc; ","")&amp;IF($L3746="","Thiếu/sai Mã REF; ",IF(AND($L3746="Chưa xác định",DANH_MUC!$L$9&lt;&gt;"Có"),"Nguồn chưa xác định; ","")))</f>
        <v/>
      </c>
      <c r="V3746" s="22">
        <f>IF(OR($D3746="",$R3746="Trùng"),"",IF(COUNTIF(ORDERS!$C$2:$C$4995,$D3746)&gt;0,"Có","Không"))</f>
        <v/>
      </c>
      <c r="W3746" s="22">
        <f>IF(OR($D3746="",$R3746="Trùng"),"",COUNTIFS(ORDERS!$C$2:$C$4995,$D3746,ORDERS!$L$2:$L$4995,"Đã chuyển khoản"))</f>
        <v/>
      </c>
      <c r="X3746" s="23">
        <f>IF(OR($D3746="",$R3746="Trùng"),"",SUMIFS(ORDERS!$J$2:$J$4995,ORDERS!$C$2:$C$4995,$D3746,ORDERS!$L$2:$L$4995,"Đã chuyển khoản"))</f>
        <v/>
      </c>
      <c r="Y3746" s="24" t="n"/>
    </row>
    <row r="3747" ht="14.25" customHeight="1" s="40">
      <c r="A3747" s="24" t="n"/>
      <c r="B3747" s="27" t="n"/>
      <c r="C3747" s="24" t="n"/>
      <c r="D3747" s="28" t="n"/>
      <c r="E3747" s="29" t="n"/>
      <c r="F3747" s="24" t="n"/>
      <c r="G3747" s="24" t="n"/>
      <c r="H3747" s="21">
        <f>IF(ISNUMBER($B3747),INT($B3747)-WEEKDAY($B3747,2)+1,"")</f>
        <v/>
      </c>
      <c r="I3747" s="24" t="n"/>
      <c r="J3747" s="22">
        <f t="array" ref="J3747">IF($D3747="","",IF($I3747="","(trống REF)",IFERROR(INDEX(MASTER_SOURCE!$B$2:$B$495,MATCH($I3747,MASTER_SOURCE!$A$2:$A$495,0)),"(REF không có trong MASTER_SOURCE)")))</f>
        <v/>
      </c>
      <c r="K3747" s="22">
        <f t="array" ref="K3747">IF($D3747="","",IFERROR(INDEX(MASTER_SOURCE!$C$2:$C$495,MATCH($I3747,MASTER_SOURCE!$A$2:$A$495,0)),""))</f>
        <v/>
      </c>
      <c r="L3747" s="22">
        <f t="array" ref="L3747">IF($D3747="","",IFERROR(INDEX(MASTER_SOURCE!$D$2:$D$495,MATCH($I3747,MASTER_SOURCE!$A$2:$A$495,0)),""))</f>
        <v/>
      </c>
      <c r="M3747" s="24" t="n"/>
      <c r="N3747" s="24" t="n"/>
      <c r="O3747" s="24" t="n"/>
      <c r="P3747" s="24" t="n"/>
      <c r="Q3747" s="22">
        <f>IF($D3747="","",IF(AND(OR(DANH_MUC!$L$5&lt;&gt;"Có",M3747="Có"),OR(DANH_MUC!$L$6&lt;&gt;"Có",N3747="Có"),OR(DANH_MUC!$L$7&lt;&gt;"Có",O3747="Có"),OR(DANH_MUC!$L$8&lt;&gt;"Có",P3747="Có")),"Có","Không"))</f>
        <v/>
      </c>
      <c r="R3747" s="22">
        <f>IF($D3747="","",IF(COUNTIF($D$2:$D3747,$D3747)&gt;1,"Trùng",""))</f>
        <v/>
      </c>
      <c r="S3747" s="22">
        <f>IF($D3747="","",IF(AND(LEN($D3747)=10,LEFT($D3747,1)="0",ISNUMBER(--$D3747)),"Có","Không"))</f>
        <v/>
      </c>
      <c r="T3747" s="22">
        <f>IF($D3747="","",IF(AND($C3747&lt;&gt;"",$Q3747="Có",$R3747="",$S3747="Có",AND($L3747&lt;&gt;"",OR($L3747&lt;&gt;"Chưa xác định",DANH_MUC!$L$9="Có"))),"Có","Không"))</f>
        <v/>
      </c>
      <c r="U3747" s="22">
        <f>IF(OR($D3747="",$T3747="Có"),"",IF($C3747="","Thiếu họ tên; ","")&amp;IF($S3747&lt;&gt;"Có","SĐT sai định dạng; ","")&amp;IF($R3747="Trùng","Trùng SĐT; ","")&amp;IF($Q3747&lt;&gt;"Có","Thiếu đồng ý bắt buộc; ","")&amp;IF($L3747="","Thiếu/sai Mã REF; ",IF(AND($L3747="Chưa xác định",DANH_MUC!$L$9&lt;&gt;"Có"),"Nguồn chưa xác định; ","")))</f>
        <v/>
      </c>
      <c r="V3747" s="22">
        <f>IF(OR($D3747="",$R3747="Trùng"),"",IF(COUNTIF(ORDERS!$C$2:$C$4995,$D3747)&gt;0,"Có","Không"))</f>
        <v/>
      </c>
      <c r="W3747" s="22">
        <f>IF(OR($D3747="",$R3747="Trùng"),"",COUNTIFS(ORDERS!$C$2:$C$4995,$D3747,ORDERS!$L$2:$L$4995,"Đã chuyển khoản"))</f>
        <v/>
      </c>
      <c r="X3747" s="23">
        <f>IF(OR($D3747="",$R3747="Trùng"),"",SUMIFS(ORDERS!$J$2:$J$4995,ORDERS!$C$2:$C$4995,$D3747,ORDERS!$L$2:$L$4995,"Đã chuyển khoản"))</f>
        <v/>
      </c>
      <c r="Y3747" s="24" t="n"/>
    </row>
    <row r="3748" ht="14.25" customHeight="1" s="40">
      <c r="A3748" s="24" t="n"/>
      <c r="B3748" s="27" t="n"/>
      <c r="C3748" s="24" t="n"/>
      <c r="D3748" s="28" t="n"/>
      <c r="E3748" s="29" t="n"/>
      <c r="F3748" s="24" t="n"/>
      <c r="G3748" s="24" t="n"/>
      <c r="H3748" s="21">
        <f>IF(ISNUMBER($B3748),INT($B3748)-WEEKDAY($B3748,2)+1,"")</f>
        <v/>
      </c>
      <c r="I3748" s="24" t="n"/>
      <c r="J3748" s="22">
        <f t="array" ref="J3748">IF($D3748="","",IF($I3748="","(trống REF)",IFERROR(INDEX(MASTER_SOURCE!$B$2:$B$495,MATCH($I3748,MASTER_SOURCE!$A$2:$A$495,0)),"(REF không có trong MASTER_SOURCE)")))</f>
        <v/>
      </c>
      <c r="K3748" s="22">
        <f t="array" ref="K3748">IF($D3748="","",IFERROR(INDEX(MASTER_SOURCE!$C$2:$C$495,MATCH($I3748,MASTER_SOURCE!$A$2:$A$495,0)),""))</f>
        <v/>
      </c>
      <c r="L3748" s="22">
        <f t="array" ref="L3748">IF($D3748="","",IFERROR(INDEX(MASTER_SOURCE!$D$2:$D$495,MATCH($I3748,MASTER_SOURCE!$A$2:$A$495,0)),""))</f>
        <v/>
      </c>
      <c r="M3748" s="24" t="n"/>
      <c r="N3748" s="24" t="n"/>
      <c r="O3748" s="24" t="n"/>
      <c r="P3748" s="24" t="n"/>
      <c r="Q3748" s="22">
        <f>IF($D3748="","",IF(AND(OR(DANH_MUC!$L$5&lt;&gt;"Có",M3748="Có"),OR(DANH_MUC!$L$6&lt;&gt;"Có",N3748="Có"),OR(DANH_MUC!$L$7&lt;&gt;"Có",O3748="Có"),OR(DANH_MUC!$L$8&lt;&gt;"Có",P3748="Có")),"Có","Không"))</f>
        <v/>
      </c>
      <c r="R3748" s="22">
        <f>IF($D3748="","",IF(COUNTIF($D$2:$D3748,$D3748)&gt;1,"Trùng",""))</f>
        <v/>
      </c>
      <c r="S3748" s="22">
        <f>IF($D3748="","",IF(AND(LEN($D3748)=10,LEFT($D3748,1)="0",ISNUMBER(--$D3748)),"Có","Không"))</f>
        <v/>
      </c>
      <c r="T3748" s="22">
        <f>IF($D3748="","",IF(AND($C3748&lt;&gt;"",$Q3748="Có",$R3748="",$S3748="Có",AND($L3748&lt;&gt;"",OR($L3748&lt;&gt;"Chưa xác định",DANH_MUC!$L$9="Có"))),"Có","Không"))</f>
        <v/>
      </c>
      <c r="U3748" s="22">
        <f>IF(OR($D3748="",$T3748="Có"),"",IF($C3748="","Thiếu họ tên; ","")&amp;IF($S3748&lt;&gt;"Có","SĐT sai định dạng; ","")&amp;IF($R3748="Trùng","Trùng SĐT; ","")&amp;IF($Q3748&lt;&gt;"Có","Thiếu đồng ý bắt buộc; ","")&amp;IF($L3748="","Thiếu/sai Mã REF; ",IF(AND($L3748="Chưa xác định",DANH_MUC!$L$9&lt;&gt;"Có"),"Nguồn chưa xác định; ","")))</f>
        <v/>
      </c>
      <c r="V3748" s="22">
        <f>IF(OR($D3748="",$R3748="Trùng"),"",IF(COUNTIF(ORDERS!$C$2:$C$4995,$D3748)&gt;0,"Có","Không"))</f>
        <v/>
      </c>
      <c r="W3748" s="22">
        <f>IF(OR($D3748="",$R3748="Trùng"),"",COUNTIFS(ORDERS!$C$2:$C$4995,$D3748,ORDERS!$L$2:$L$4995,"Đã chuyển khoản"))</f>
        <v/>
      </c>
      <c r="X3748" s="23">
        <f>IF(OR($D3748="",$R3748="Trùng"),"",SUMIFS(ORDERS!$J$2:$J$4995,ORDERS!$C$2:$C$4995,$D3748,ORDERS!$L$2:$L$4995,"Đã chuyển khoản"))</f>
        <v/>
      </c>
      <c r="Y3748" s="24" t="n"/>
    </row>
    <row r="3749" ht="14.25" customHeight="1" s="40">
      <c r="A3749" s="24" t="n"/>
      <c r="B3749" s="27" t="n"/>
      <c r="C3749" s="24" t="n"/>
      <c r="D3749" s="28" t="n"/>
      <c r="E3749" s="29" t="n"/>
      <c r="F3749" s="24" t="n"/>
      <c r="G3749" s="24" t="n"/>
      <c r="H3749" s="21">
        <f>IF(ISNUMBER($B3749),INT($B3749)-WEEKDAY($B3749,2)+1,"")</f>
        <v/>
      </c>
      <c r="I3749" s="24" t="n"/>
      <c r="J3749" s="22">
        <f t="array" ref="J3749">IF($D3749="","",IF($I3749="","(trống REF)",IFERROR(INDEX(MASTER_SOURCE!$B$2:$B$495,MATCH($I3749,MASTER_SOURCE!$A$2:$A$495,0)),"(REF không có trong MASTER_SOURCE)")))</f>
        <v/>
      </c>
      <c r="K3749" s="22">
        <f t="array" ref="K3749">IF($D3749="","",IFERROR(INDEX(MASTER_SOURCE!$C$2:$C$495,MATCH($I3749,MASTER_SOURCE!$A$2:$A$495,0)),""))</f>
        <v/>
      </c>
      <c r="L3749" s="22">
        <f t="array" ref="L3749">IF($D3749="","",IFERROR(INDEX(MASTER_SOURCE!$D$2:$D$495,MATCH($I3749,MASTER_SOURCE!$A$2:$A$495,0)),""))</f>
        <v/>
      </c>
      <c r="M3749" s="24" t="n"/>
      <c r="N3749" s="24" t="n"/>
      <c r="O3749" s="24" t="n"/>
      <c r="P3749" s="24" t="n"/>
      <c r="Q3749" s="22">
        <f>IF($D3749="","",IF(AND(OR(DANH_MUC!$L$5&lt;&gt;"Có",M3749="Có"),OR(DANH_MUC!$L$6&lt;&gt;"Có",N3749="Có"),OR(DANH_MUC!$L$7&lt;&gt;"Có",O3749="Có"),OR(DANH_MUC!$L$8&lt;&gt;"Có",P3749="Có")),"Có","Không"))</f>
        <v/>
      </c>
      <c r="R3749" s="22">
        <f>IF($D3749="","",IF(COUNTIF($D$2:$D3749,$D3749)&gt;1,"Trùng",""))</f>
        <v/>
      </c>
      <c r="S3749" s="22">
        <f>IF($D3749="","",IF(AND(LEN($D3749)=10,LEFT($D3749,1)="0",ISNUMBER(--$D3749)),"Có","Không"))</f>
        <v/>
      </c>
      <c r="T3749" s="22">
        <f>IF($D3749="","",IF(AND($C3749&lt;&gt;"",$Q3749="Có",$R3749="",$S3749="Có",AND($L3749&lt;&gt;"",OR($L3749&lt;&gt;"Chưa xác định",DANH_MUC!$L$9="Có"))),"Có","Không"))</f>
        <v/>
      </c>
      <c r="U3749" s="22">
        <f>IF(OR($D3749="",$T3749="Có"),"",IF($C3749="","Thiếu họ tên; ","")&amp;IF($S3749&lt;&gt;"Có","SĐT sai định dạng; ","")&amp;IF($R3749="Trùng","Trùng SĐT; ","")&amp;IF($Q3749&lt;&gt;"Có","Thiếu đồng ý bắt buộc; ","")&amp;IF($L3749="","Thiếu/sai Mã REF; ",IF(AND($L3749="Chưa xác định",DANH_MUC!$L$9&lt;&gt;"Có"),"Nguồn chưa xác định; ","")))</f>
        <v/>
      </c>
      <c r="V3749" s="22">
        <f>IF(OR($D3749="",$R3749="Trùng"),"",IF(COUNTIF(ORDERS!$C$2:$C$4995,$D3749)&gt;0,"Có","Không"))</f>
        <v/>
      </c>
      <c r="W3749" s="22">
        <f>IF(OR($D3749="",$R3749="Trùng"),"",COUNTIFS(ORDERS!$C$2:$C$4995,$D3749,ORDERS!$L$2:$L$4995,"Đã chuyển khoản"))</f>
        <v/>
      </c>
      <c r="X3749" s="23">
        <f>IF(OR($D3749="",$R3749="Trùng"),"",SUMIFS(ORDERS!$J$2:$J$4995,ORDERS!$C$2:$C$4995,$D3749,ORDERS!$L$2:$L$4995,"Đã chuyển khoản"))</f>
        <v/>
      </c>
      <c r="Y3749" s="24" t="n"/>
    </row>
    <row r="3750" ht="14.25" customHeight="1" s="40">
      <c r="A3750" s="24" t="n"/>
      <c r="B3750" s="27" t="n"/>
      <c r="C3750" s="24" t="n"/>
      <c r="D3750" s="28" t="n"/>
      <c r="E3750" s="29" t="n"/>
      <c r="F3750" s="24" t="n"/>
      <c r="G3750" s="24" t="n"/>
      <c r="H3750" s="21">
        <f>IF(ISNUMBER($B3750),INT($B3750)-WEEKDAY($B3750,2)+1,"")</f>
        <v/>
      </c>
      <c r="I3750" s="24" t="n"/>
      <c r="J3750" s="22">
        <f t="array" ref="J3750">IF($D3750="","",IF($I3750="","(trống REF)",IFERROR(INDEX(MASTER_SOURCE!$B$2:$B$495,MATCH($I3750,MASTER_SOURCE!$A$2:$A$495,0)),"(REF không có trong MASTER_SOURCE)")))</f>
        <v/>
      </c>
      <c r="K3750" s="22">
        <f t="array" ref="K3750">IF($D3750="","",IFERROR(INDEX(MASTER_SOURCE!$C$2:$C$495,MATCH($I3750,MASTER_SOURCE!$A$2:$A$495,0)),""))</f>
        <v/>
      </c>
      <c r="L3750" s="22">
        <f t="array" ref="L3750">IF($D3750="","",IFERROR(INDEX(MASTER_SOURCE!$D$2:$D$495,MATCH($I3750,MASTER_SOURCE!$A$2:$A$495,0)),""))</f>
        <v/>
      </c>
      <c r="M3750" s="24" t="n"/>
      <c r="N3750" s="24" t="n"/>
      <c r="O3750" s="24" t="n"/>
      <c r="P3750" s="24" t="n"/>
      <c r="Q3750" s="22">
        <f>IF($D3750="","",IF(AND(OR(DANH_MUC!$L$5&lt;&gt;"Có",M3750="Có"),OR(DANH_MUC!$L$6&lt;&gt;"Có",N3750="Có"),OR(DANH_MUC!$L$7&lt;&gt;"Có",O3750="Có"),OR(DANH_MUC!$L$8&lt;&gt;"Có",P3750="Có")),"Có","Không"))</f>
        <v/>
      </c>
      <c r="R3750" s="22">
        <f>IF($D3750="","",IF(COUNTIF($D$2:$D3750,$D3750)&gt;1,"Trùng",""))</f>
        <v/>
      </c>
      <c r="S3750" s="22">
        <f>IF($D3750="","",IF(AND(LEN($D3750)=10,LEFT($D3750,1)="0",ISNUMBER(--$D3750)),"Có","Không"))</f>
        <v/>
      </c>
      <c r="T3750" s="22">
        <f>IF($D3750="","",IF(AND($C3750&lt;&gt;"",$Q3750="Có",$R3750="",$S3750="Có",AND($L3750&lt;&gt;"",OR($L3750&lt;&gt;"Chưa xác định",DANH_MUC!$L$9="Có"))),"Có","Không"))</f>
        <v/>
      </c>
      <c r="U3750" s="22">
        <f>IF(OR($D3750="",$T3750="Có"),"",IF($C3750="","Thiếu họ tên; ","")&amp;IF($S3750&lt;&gt;"Có","SĐT sai định dạng; ","")&amp;IF($R3750="Trùng","Trùng SĐT; ","")&amp;IF($Q3750&lt;&gt;"Có","Thiếu đồng ý bắt buộc; ","")&amp;IF($L3750="","Thiếu/sai Mã REF; ",IF(AND($L3750="Chưa xác định",DANH_MUC!$L$9&lt;&gt;"Có"),"Nguồn chưa xác định; ","")))</f>
        <v/>
      </c>
      <c r="V3750" s="22">
        <f>IF(OR($D3750="",$R3750="Trùng"),"",IF(COUNTIF(ORDERS!$C$2:$C$4995,$D3750)&gt;0,"Có","Không"))</f>
        <v/>
      </c>
      <c r="W3750" s="22">
        <f>IF(OR($D3750="",$R3750="Trùng"),"",COUNTIFS(ORDERS!$C$2:$C$4995,$D3750,ORDERS!$L$2:$L$4995,"Đã chuyển khoản"))</f>
        <v/>
      </c>
      <c r="X3750" s="23">
        <f>IF(OR($D3750="",$R3750="Trùng"),"",SUMIFS(ORDERS!$J$2:$J$4995,ORDERS!$C$2:$C$4995,$D3750,ORDERS!$L$2:$L$4995,"Đã chuyển khoản"))</f>
        <v/>
      </c>
      <c r="Y3750" s="24" t="n"/>
    </row>
    <row r="3751" ht="14.25" customHeight="1" s="40">
      <c r="A3751" s="24" t="n"/>
      <c r="B3751" s="27" t="n"/>
      <c r="C3751" s="24" t="n"/>
      <c r="D3751" s="28" t="n"/>
      <c r="E3751" s="29" t="n"/>
      <c r="F3751" s="24" t="n"/>
      <c r="G3751" s="24" t="n"/>
      <c r="H3751" s="21">
        <f>IF(ISNUMBER($B3751),INT($B3751)-WEEKDAY($B3751,2)+1,"")</f>
        <v/>
      </c>
      <c r="I3751" s="24" t="n"/>
      <c r="J3751" s="22">
        <f t="array" ref="J3751">IF($D3751="","",IF($I3751="","(trống REF)",IFERROR(INDEX(MASTER_SOURCE!$B$2:$B$495,MATCH($I3751,MASTER_SOURCE!$A$2:$A$495,0)),"(REF không có trong MASTER_SOURCE)")))</f>
        <v/>
      </c>
      <c r="K3751" s="22">
        <f t="array" ref="K3751">IF($D3751="","",IFERROR(INDEX(MASTER_SOURCE!$C$2:$C$495,MATCH($I3751,MASTER_SOURCE!$A$2:$A$495,0)),""))</f>
        <v/>
      </c>
      <c r="L3751" s="22">
        <f t="array" ref="L3751">IF($D3751="","",IFERROR(INDEX(MASTER_SOURCE!$D$2:$D$495,MATCH($I3751,MASTER_SOURCE!$A$2:$A$495,0)),""))</f>
        <v/>
      </c>
      <c r="M3751" s="24" t="n"/>
      <c r="N3751" s="24" t="n"/>
      <c r="O3751" s="24" t="n"/>
      <c r="P3751" s="24" t="n"/>
      <c r="Q3751" s="22">
        <f>IF($D3751="","",IF(AND(OR(DANH_MUC!$L$5&lt;&gt;"Có",M3751="Có"),OR(DANH_MUC!$L$6&lt;&gt;"Có",N3751="Có"),OR(DANH_MUC!$L$7&lt;&gt;"Có",O3751="Có"),OR(DANH_MUC!$L$8&lt;&gt;"Có",P3751="Có")),"Có","Không"))</f>
        <v/>
      </c>
      <c r="R3751" s="22">
        <f>IF($D3751="","",IF(COUNTIF($D$2:$D3751,$D3751)&gt;1,"Trùng",""))</f>
        <v/>
      </c>
      <c r="S3751" s="22">
        <f>IF($D3751="","",IF(AND(LEN($D3751)=10,LEFT($D3751,1)="0",ISNUMBER(--$D3751)),"Có","Không"))</f>
        <v/>
      </c>
      <c r="T3751" s="22">
        <f>IF($D3751="","",IF(AND($C3751&lt;&gt;"",$Q3751="Có",$R3751="",$S3751="Có",AND($L3751&lt;&gt;"",OR($L3751&lt;&gt;"Chưa xác định",DANH_MUC!$L$9="Có"))),"Có","Không"))</f>
        <v/>
      </c>
      <c r="U3751" s="22">
        <f>IF(OR($D3751="",$T3751="Có"),"",IF($C3751="","Thiếu họ tên; ","")&amp;IF($S3751&lt;&gt;"Có","SĐT sai định dạng; ","")&amp;IF($R3751="Trùng","Trùng SĐT; ","")&amp;IF($Q3751&lt;&gt;"Có","Thiếu đồng ý bắt buộc; ","")&amp;IF($L3751="","Thiếu/sai Mã REF; ",IF(AND($L3751="Chưa xác định",DANH_MUC!$L$9&lt;&gt;"Có"),"Nguồn chưa xác định; ","")))</f>
        <v/>
      </c>
      <c r="V3751" s="22">
        <f>IF(OR($D3751="",$R3751="Trùng"),"",IF(COUNTIF(ORDERS!$C$2:$C$4995,$D3751)&gt;0,"Có","Không"))</f>
        <v/>
      </c>
      <c r="W3751" s="22">
        <f>IF(OR($D3751="",$R3751="Trùng"),"",COUNTIFS(ORDERS!$C$2:$C$4995,$D3751,ORDERS!$L$2:$L$4995,"Đã chuyển khoản"))</f>
        <v/>
      </c>
      <c r="X3751" s="23">
        <f>IF(OR($D3751="",$R3751="Trùng"),"",SUMIFS(ORDERS!$J$2:$J$4995,ORDERS!$C$2:$C$4995,$D3751,ORDERS!$L$2:$L$4995,"Đã chuyển khoản"))</f>
        <v/>
      </c>
      <c r="Y3751" s="24" t="n"/>
    </row>
    <row r="3752" ht="14.25" customHeight="1" s="40">
      <c r="A3752" s="24" t="n"/>
      <c r="B3752" s="27" t="n"/>
      <c r="C3752" s="24" t="n"/>
      <c r="D3752" s="28" t="n"/>
      <c r="E3752" s="29" t="n"/>
      <c r="F3752" s="24" t="n"/>
      <c r="G3752" s="24" t="n"/>
      <c r="H3752" s="21">
        <f>IF(ISNUMBER($B3752),INT($B3752)-WEEKDAY($B3752,2)+1,"")</f>
        <v/>
      </c>
      <c r="I3752" s="24" t="n"/>
      <c r="J3752" s="22">
        <f t="array" ref="J3752">IF($D3752="","",IF($I3752="","(trống REF)",IFERROR(INDEX(MASTER_SOURCE!$B$2:$B$495,MATCH($I3752,MASTER_SOURCE!$A$2:$A$495,0)),"(REF không có trong MASTER_SOURCE)")))</f>
        <v/>
      </c>
      <c r="K3752" s="22">
        <f t="array" ref="K3752">IF($D3752="","",IFERROR(INDEX(MASTER_SOURCE!$C$2:$C$495,MATCH($I3752,MASTER_SOURCE!$A$2:$A$495,0)),""))</f>
        <v/>
      </c>
      <c r="L3752" s="22">
        <f t="array" ref="L3752">IF($D3752="","",IFERROR(INDEX(MASTER_SOURCE!$D$2:$D$495,MATCH($I3752,MASTER_SOURCE!$A$2:$A$495,0)),""))</f>
        <v/>
      </c>
      <c r="M3752" s="24" t="n"/>
      <c r="N3752" s="24" t="n"/>
      <c r="O3752" s="24" t="n"/>
      <c r="P3752" s="24" t="n"/>
      <c r="Q3752" s="22">
        <f>IF($D3752="","",IF(AND(OR(DANH_MUC!$L$5&lt;&gt;"Có",M3752="Có"),OR(DANH_MUC!$L$6&lt;&gt;"Có",N3752="Có"),OR(DANH_MUC!$L$7&lt;&gt;"Có",O3752="Có"),OR(DANH_MUC!$L$8&lt;&gt;"Có",P3752="Có")),"Có","Không"))</f>
        <v/>
      </c>
      <c r="R3752" s="22">
        <f>IF($D3752="","",IF(COUNTIF($D$2:$D3752,$D3752)&gt;1,"Trùng",""))</f>
        <v/>
      </c>
      <c r="S3752" s="22">
        <f>IF($D3752="","",IF(AND(LEN($D3752)=10,LEFT($D3752,1)="0",ISNUMBER(--$D3752)),"Có","Không"))</f>
        <v/>
      </c>
      <c r="T3752" s="22">
        <f>IF($D3752="","",IF(AND($C3752&lt;&gt;"",$Q3752="Có",$R3752="",$S3752="Có",AND($L3752&lt;&gt;"",OR($L3752&lt;&gt;"Chưa xác định",DANH_MUC!$L$9="Có"))),"Có","Không"))</f>
        <v/>
      </c>
      <c r="U3752" s="22">
        <f>IF(OR($D3752="",$T3752="Có"),"",IF($C3752="","Thiếu họ tên; ","")&amp;IF($S3752&lt;&gt;"Có","SĐT sai định dạng; ","")&amp;IF($R3752="Trùng","Trùng SĐT; ","")&amp;IF($Q3752&lt;&gt;"Có","Thiếu đồng ý bắt buộc; ","")&amp;IF($L3752="","Thiếu/sai Mã REF; ",IF(AND($L3752="Chưa xác định",DANH_MUC!$L$9&lt;&gt;"Có"),"Nguồn chưa xác định; ","")))</f>
        <v/>
      </c>
      <c r="V3752" s="22">
        <f>IF(OR($D3752="",$R3752="Trùng"),"",IF(COUNTIF(ORDERS!$C$2:$C$4995,$D3752)&gt;0,"Có","Không"))</f>
        <v/>
      </c>
      <c r="W3752" s="22">
        <f>IF(OR($D3752="",$R3752="Trùng"),"",COUNTIFS(ORDERS!$C$2:$C$4995,$D3752,ORDERS!$L$2:$L$4995,"Đã chuyển khoản"))</f>
        <v/>
      </c>
      <c r="X3752" s="23">
        <f>IF(OR($D3752="",$R3752="Trùng"),"",SUMIFS(ORDERS!$J$2:$J$4995,ORDERS!$C$2:$C$4995,$D3752,ORDERS!$L$2:$L$4995,"Đã chuyển khoản"))</f>
        <v/>
      </c>
      <c r="Y3752" s="24" t="n"/>
    </row>
    <row r="3753" ht="14.25" customHeight="1" s="40">
      <c r="A3753" s="24" t="n"/>
      <c r="B3753" s="27" t="n"/>
      <c r="C3753" s="24" t="n"/>
      <c r="D3753" s="28" t="n"/>
      <c r="E3753" s="29" t="n"/>
      <c r="F3753" s="24" t="n"/>
      <c r="G3753" s="24" t="n"/>
      <c r="H3753" s="21">
        <f>IF(ISNUMBER($B3753),INT($B3753)-WEEKDAY($B3753,2)+1,"")</f>
        <v/>
      </c>
      <c r="I3753" s="24" t="n"/>
      <c r="J3753" s="22">
        <f t="array" ref="J3753">IF($D3753="","",IF($I3753="","(trống REF)",IFERROR(INDEX(MASTER_SOURCE!$B$2:$B$495,MATCH($I3753,MASTER_SOURCE!$A$2:$A$495,0)),"(REF không có trong MASTER_SOURCE)")))</f>
        <v/>
      </c>
      <c r="K3753" s="22">
        <f t="array" ref="K3753">IF($D3753="","",IFERROR(INDEX(MASTER_SOURCE!$C$2:$C$495,MATCH($I3753,MASTER_SOURCE!$A$2:$A$495,0)),""))</f>
        <v/>
      </c>
      <c r="L3753" s="22">
        <f t="array" ref="L3753">IF($D3753="","",IFERROR(INDEX(MASTER_SOURCE!$D$2:$D$495,MATCH($I3753,MASTER_SOURCE!$A$2:$A$495,0)),""))</f>
        <v/>
      </c>
      <c r="M3753" s="24" t="n"/>
      <c r="N3753" s="24" t="n"/>
      <c r="O3753" s="24" t="n"/>
      <c r="P3753" s="24" t="n"/>
      <c r="Q3753" s="22">
        <f>IF($D3753="","",IF(AND(OR(DANH_MUC!$L$5&lt;&gt;"Có",M3753="Có"),OR(DANH_MUC!$L$6&lt;&gt;"Có",N3753="Có"),OR(DANH_MUC!$L$7&lt;&gt;"Có",O3753="Có"),OR(DANH_MUC!$L$8&lt;&gt;"Có",P3753="Có")),"Có","Không"))</f>
        <v/>
      </c>
      <c r="R3753" s="22">
        <f>IF($D3753="","",IF(COUNTIF($D$2:$D3753,$D3753)&gt;1,"Trùng",""))</f>
        <v/>
      </c>
      <c r="S3753" s="22">
        <f>IF($D3753="","",IF(AND(LEN($D3753)=10,LEFT($D3753,1)="0",ISNUMBER(--$D3753)),"Có","Không"))</f>
        <v/>
      </c>
      <c r="T3753" s="22">
        <f>IF($D3753="","",IF(AND($C3753&lt;&gt;"",$Q3753="Có",$R3753="",$S3753="Có",AND($L3753&lt;&gt;"",OR($L3753&lt;&gt;"Chưa xác định",DANH_MUC!$L$9="Có"))),"Có","Không"))</f>
        <v/>
      </c>
      <c r="U3753" s="22">
        <f>IF(OR($D3753="",$T3753="Có"),"",IF($C3753="","Thiếu họ tên; ","")&amp;IF($S3753&lt;&gt;"Có","SĐT sai định dạng; ","")&amp;IF($R3753="Trùng","Trùng SĐT; ","")&amp;IF($Q3753&lt;&gt;"Có","Thiếu đồng ý bắt buộc; ","")&amp;IF($L3753="","Thiếu/sai Mã REF; ",IF(AND($L3753="Chưa xác định",DANH_MUC!$L$9&lt;&gt;"Có"),"Nguồn chưa xác định; ","")))</f>
        <v/>
      </c>
      <c r="V3753" s="22">
        <f>IF(OR($D3753="",$R3753="Trùng"),"",IF(COUNTIF(ORDERS!$C$2:$C$4995,$D3753)&gt;0,"Có","Không"))</f>
        <v/>
      </c>
      <c r="W3753" s="22">
        <f>IF(OR($D3753="",$R3753="Trùng"),"",COUNTIFS(ORDERS!$C$2:$C$4995,$D3753,ORDERS!$L$2:$L$4995,"Đã chuyển khoản"))</f>
        <v/>
      </c>
      <c r="X3753" s="23">
        <f>IF(OR($D3753="",$R3753="Trùng"),"",SUMIFS(ORDERS!$J$2:$J$4995,ORDERS!$C$2:$C$4995,$D3753,ORDERS!$L$2:$L$4995,"Đã chuyển khoản"))</f>
        <v/>
      </c>
      <c r="Y3753" s="24" t="n"/>
    </row>
    <row r="3754" ht="14.25" customHeight="1" s="40">
      <c r="A3754" s="24" t="n"/>
      <c r="B3754" s="27" t="n"/>
      <c r="C3754" s="24" t="n"/>
      <c r="D3754" s="28" t="n"/>
      <c r="E3754" s="29" t="n"/>
      <c r="F3754" s="24" t="n"/>
      <c r="G3754" s="24" t="n"/>
      <c r="H3754" s="21">
        <f>IF(ISNUMBER($B3754),INT($B3754)-WEEKDAY($B3754,2)+1,"")</f>
        <v/>
      </c>
      <c r="I3754" s="24" t="n"/>
      <c r="J3754" s="22">
        <f t="array" ref="J3754">IF($D3754="","",IF($I3754="","(trống REF)",IFERROR(INDEX(MASTER_SOURCE!$B$2:$B$495,MATCH($I3754,MASTER_SOURCE!$A$2:$A$495,0)),"(REF không có trong MASTER_SOURCE)")))</f>
        <v/>
      </c>
      <c r="K3754" s="22">
        <f t="array" ref="K3754">IF($D3754="","",IFERROR(INDEX(MASTER_SOURCE!$C$2:$C$495,MATCH($I3754,MASTER_SOURCE!$A$2:$A$495,0)),""))</f>
        <v/>
      </c>
      <c r="L3754" s="22">
        <f t="array" ref="L3754">IF($D3754="","",IFERROR(INDEX(MASTER_SOURCE!$D$2:$D$495,MATCH($I3754,MASTER_SOURCE!$A$2:$A$495,0)),""))</f>
        <v/>
      </c>
      <c r="M3754" s="24" t="n"/>
      <c r="N3754" s="24" t="n"/>
      <c r="O3754" s="24" t="n"/>
      <c r="P3754" s="24" t="n"/>
      <c r="Q3754" s="22">
        <f>IF($D3754="","",IF(AND(OR(DANH_MUC!$L$5&lt;&gt;"Có",M3754="Có"),OR(DANH_MUC!$L$6&lt;&gt;"Có",N3754="Có"),OR(DANH_MUC!$L$7&lt;&gt;"Có",O3754="Có"),OR(DANH_MUC!$L$8&lt;&gt;"Có",P3754="Có")),"Có","Không"))</f>
        <v/>
      </c>
      <c r="R3754" s="22">
        <f>IF($D3754="","",IF(COUNTIF($D$2:$D3754,$D3754)&gt;1,"Trùng",""))</f>
        <v/>
      </c>
      <c r="S3754" s="22">
        <f>IF($D3754="","",IF(AND(LEN($D3754)=10,LEFT($D3754,1)="0",ISNUMBER(--$D3754)),"Có","Không"))</f>
        <v/>
      </c>
      <c r="T3754" s="22">
        <f>IF($D3754="","",IF(AND($C3754&lt;&gt;"",$Q3754="Có",$R3754="",$S3754="Có",AND($L3754&lt;&gt;"",OR($L3754&lt;&gt;"Chưa xác định",DANH_MUC!$L$9="Có"))),"Có","Không"))</f>
        <v/>
      </c>
      <c r="U3754" s="22">
        <f>IF(OR($D3754="",$T3754="Có"),"",IF($C3754="","Thiếu họ tên; ","")&amp;IF($S3754&lt;&gt;"Có","SĐT sai định dạng; ","")&amp;IF($R3754="Trùng","Trùng SĐT; ","")&amp;IF($Q3754&lt;&gt;"Có","Thiếu đồng ý bắt buộc; ","")&amp;IF($L3754="","Thiếu/sai Mã REF; ",IF(AND($L3754="Chưa xác định",DANH_MUC!$L$9&lt;&gt;"Có"),"Nguồn chưa xác định; ","")))</f>
        <v/>
      </c>
      <c r="V3754" s="22">
        <f>IF(OR($D3754="",$R3754="Trùng"),"",IF(COUNTIF(ORDERS!$C$2:$C$4995,$D3754)&gt;0,"Có","Không"))</f>
        <v/>
      </c>
      <c r="W3754" s="22">
        <f>IF(OR($D3754="",$R3754="Trùng"),"",COUNTIFS(ORDERS!$C$2:$C$4995,$D3754,ORDERS!$L$2:$L$4995,"Đã chuyển khoản"))</f>
        <v/>
      </c>
      <c r="X3754" s="23">
        <f>IF(OR($D3754="",$R3754="Trùng"),"",SUMIFS(ORDERS!$J$2:$J$4995,ORDERS!$C$2:$C$4995,$D3754,ORDERS!$L$2:$L$4995,"Đã chuyển khoản"))</f>
        <v/>
      </c>
      <c r="Y3754" s="24" t="n"/>
    </row>
    <row r="3755" ht="14.25" customHeight="1" s="40">
      <c r="A3755" s="24" t="n"/>
      <c r="B3755" s="27" t="n"/>
      <c r="C3755" s="24" t="n"/>
      <c r="D3755" s="28" t="n"/>
      <c r="E3755" s="29" t="n"/>
      <c r="F3755" s="24" t="n"/>
      <c r="G3755" s="24" t="n"/>
      <c r="H3755" s="21">
        <f>IF(ISNUMBER($B3755),INT($B3755)-WEEKDAY($B3755,2)+1,"")</f>
        <v/>
      </c>
      <c r="I3755" s="24" t="n"/>
      <c r="J3755" s="22">
        <f t="array" ref="J3755">IF($D3755="","",IF($I3755="","(trống REF)",IFERROR(INDEX(MASTER_SOURCE!$B$2:$B$495,MATCH($I3755,MASTER_SOURCE!$A$2:$A$495,0)),"(REF không có trong MASTER_SOURCE)")))</f>
        <v/>
      </c>
      <c r="K3755" s="22">
        <f t="array" ref="K3755">IF($D3755="","",IFERROR(INDEX(MASTER_SOURCE!$C$2:$C$495,MATCH($I3755,MASTER_SOURCE!$A$2:$A$495,0)),""))</f>
        <v/>
      </c>
      <c r="L3755" s="22">
        <f t="array" ref="L3755">IF($D3755="","",IFERROR(INDEX(MASTER_SOURCE!$D$2:$D$495,MATCH($I3755,MASTER_SOURCE!$A$2:$A$495,0)),""))</f>
        <v/>
      </c>
      <c r="M3755" s="24" t="n"/>
      <c r="N3755" s="24" t="n"/>
      <c r="O3755" s="24" t="n"/>
      <c r="P3755" s="24" t="n"/>
      <c r="Q3755" s="22">
        <f>IF($D3755="","",IF(AND(OR(DANH_MUC!$L$5&lt;&gt;"Có",M3755="Có"),OR(DANH_MUC!$L$6&lt;&gt;"Có",N3755="Có"),OR(DANH_MUC!$L$7&lt;&gt;"Có",O3755="Có"),OR(DANH_MUC!$L$8&lt;&gt;"Có",P3755="Có")),"Có","Không"))</f>
        <v/>
      </c>
      <c r="R3755" s="22">
        <f>IF($D3755="","",IF(COUNTIF($D$2:$D3755,$D3755)&gt;1,"Trùng",""))</f>
        <v/>
      </c>
      <c r="S3755" s="22">
        <f>IF($D3755="","",IF(AND(LEN($D3755)=10,LEFT($D3755,1)="0",ISNUMBER(--$D3755)),"Có","Không"))</f>
        <v/>
      </c>
      <c r="T3755" s="22">
        <f>IF($D3755="","",IF(AND($C3755&lt;&gt;"",$Q3755="Có",$R3755="",$S3755="Có",AND($L3755&lt;&gt;"",OR($L3755&lt;&gt;"Chưa xác định",DANH_MUC!$L$9="Có"))),"Có","Không"))</f>
        <v/>
      </c>
      <c r="U3755" s="22">
        <f>IF(OR($D3755="",$T3755="Có"),"",IF($C3755="","Thiếu họ tên; ","")&amp;IF($S3755&lt;&gt;"Có","SĐT sai định dạng; ","")&amp;IF($R3755="Trùng","Trùng SĐT; ","")&amp;IF($Q3755&lt;&gt;"Có","Thiếu đồng ý bắt buộc; ","")&amp;IF($L3755="","Thiếu/sai Mã REF; ",IF(AND($L3755="Chưa xác định",DANH_MUC!$L$9&lt;&gt;"Có"),"Nguồn chưa xác định; ","")))</f>
        <v/>
      </c>
      <c r="V3755" s="22">
        <f>IF(OR($D3755="",$R3755="Trùng"),"",IF(COUNTIF(ORDERS!$C$2:$C$4995,$D3755)&gt;0,"Có","Không"))</f>
        <v/>
      </c>
      <c r="W3755" s="22">
        <f>IF(OR($D3755="",$R3755="Trùng"),"",COUNTIFS(ORDERS!$C$2:$C$4995,$D3755,ORDERS!$L$2:$L$4995,"Đã chuyển khoản"))</f>
        <v/>
      </c>
      <c r="X3755" s="23">
        <f>IF(OR($D3755="",$R3755="Trùng"),"",SUMIFS(ORDERS!$J$2:$J$4995,ORDERS!$C$2:$C$4995,$D3755,ORDERS!$L$2:$L$4995,"Đã chuyển khoản"))</f>
        <v/>
      </c>
      <c r="Y3755" s="24" t="n"/>
    </row>
    <row r="3756" ht="14.25" customHeight="1" s="40">
      <c r="A3756" s="24" t="n"/>
      <c r="B3756" s="27" t="n"/>
      <c r="C3756" s="24" t="n"/>
      <c r="D3756" s="28" t="n"/>
      <c r="E3756" s="29" t="n"/>
      <c r="F3756" s="24" t="n"/>
      <c r="G3756" s="24" t="n"/>
      <c r="H3756" s="21">
        <f>IF(ISNUMBER($B3756),INT($B3756)-WEEKDAY($B3756,2)+1,"")</f>
        <v/>
      </c>
      <c r="I3756" s="24" t="n"/>
      <c r="J3756" s="22">
        <f t="array" ref="J3756">IF($D3756="","",IF($I3756="","(trống REF)",IFERROR(INDEX(MASTER_SOURCE!$B$2:$B$495,MATCH($I3756,MASTER_SOURCE!$A$2:$A$495,0)),"(REF không có trong MASTER_SOURCE)")))</f>
        <v/>
      </c>
      <c r="K3756" s="22">
        <f t="array" ref="K3756">IF($D3756="","",IFERROR(INDEX(MASTER_SOURCE!$C$2:$C$495,MATCH($I3756,MASTER_SOURCE!$A$2:$A$495,0)),""))</f>
        <v/>
      </c>
      <c r="L3756" s="22">
        <f t="array" ref="L3756">IF($D3756="","",IFERROR(INDEX(MASTER_SOURCE!$D$2:$D$495,MATCH($I3756,MASTER_SOURCE!$A$2:$A$495,0)),""))</f>
        <v/>
      </c>
      <c r="M3756" s="24" t="n"/>
      <c r="N3756" s="24" t="n"/>
      <c r="O3756" s="24" t="n"/>
      <c r="P3756" s="24" t="n"/>
      <c r="Q3756" s="22">
        <f>IF($D3756="","",IF(AND(OR(DANH_MUC!$L$5&lt;&gt;"Có",M3756="Có"),OR(DANH_MUC!$L$6&lt;&gt;"Có",N3756="Có"),OR(DANH_MUC!$L$7&lt;&gt;"Có",O3756="Có"),OR(DANH_MUC!$L$8&lt;&gt;"Có",P3756="Có")),"Có","Không"))</f>
        <v/>
      </c>
      <c r="R3756" s="22">
        <f>IF($D3756="","",IF(COUNTIF($D$2:$D3756,$D3756)&gt;1,"Trùng",""))</f>
        <v/>
      </c>
      <c r="S3756" s="22">
        <f>IF($D3756="","",IF(AND(LEN($D3756)=10,LEFT($D3756,1)="0",ISNUMBER(--$D3756)),"Có","Không"))</f>
        <v/>
      </c>
      <c r="T3756" s="22">
        <f>IF($D3756="","",IF(AND($C3756&lt;&gt;"",$Q3756="Có",$R3756="",$S3756="Có",AND($L3756&lt;&gt;"",OR($L3756&lt;&gt;"Chưa xác định",DANH_MUC!$L$9="Có"))),"Có","Không"))</f>
        <v/>
      </c>
      <c r="U3756" s="22">
        <f>IF(OR($D3756="",$T3756="Có"),"",IF($C3756="","Thiếu họ tên; ","")&amp;IF($S3756&lt;&gt;"Có","SĐT sai định dạng; ","")&amp;IF($R3756="Trùng","Trùng SĐT; ","")&amp;IF($Q3756&lt;&gt;"Có","Thiếu đồng ý bắt buộc; ","")&amp;IF($L3756="","Thiếu/sai Mã REF; ",IF(AND($L3756="Chưa xác định",DANH_MUC!$L$9&lt;&gt;"Có"),"Nguồn chưa xác định; ","")))</f>
        <v/>
      </c>
      <c r="V3756" s="22">
        <f>IF(OR($D3756="",$R3756="Trùng"),"",IF(COUNTIF(ORDERS!$C$2:$C$4995,$D3756)&gt;0,"Có","Không"))</f>
        <v/>
      </c>
      <c r="W3756" s="22">
        <f>IF(OR($D3756="",$R3756="Trùng"),"",COUNTIFS(ORDERS!$C$2:$C$4995,$D3756,ORDERS!$L$2:$L$4995,"Đã chuyển khoản"))</f>
        <v/>
      </c>
      <c r="X3756" s="23">
        <f>IF(OR($D3756="",$R3756="Trùng"),"",SUMIFS(ORDERS!$J$2:$J$4995,ORDERS!$C$2:$C$4995,$D3756,ORDERS!$L$2:$L$4995,"Đã chuyển khoản"))</f>
        <v/>
      </c>
      <c r="Y3756" s="24" t="n"/>
    </row>
    <row r="3757" ht="14.25" customHeight="1" s="40">
      <c r="A3757" s="24" t="n"/>
      <c r="B3757" s="27" t="n"/>
      <c r="C3757" s="24" t="n"/>
      <c r="D3757" s="28" t="n"/>
      <c r="E3757" s="29" t="n"/>
      <c r="F3757" s="24" t="n"/>
      <c r="G3757" s="24" t="n"/>
      <c r="H3757" s="21">
        <f>IF(ISNUMBER($B3757),INT($B3757)-WEEKDAY($B3757,2)+1,"")</f>
        <v/>
      </c>
      <c r="I3757" s="24" t="n"/>
      <c r="J3757" s="22">
        <f t="array" ref="J3757">IF($D3757="","",IF($I3757="","(trống REF)",IFERROR(INDEX(MASTER_SOURCE!$B$2:$B$495,MATCH($I3757,MASTER_SOURCE!$A$2:$A$495,0)),"(REF không có trong MASTER_SOURCE)")))</f>
        <v/>
      </c>
      <c r="K3757" s="22">
        <f t="array" ref="K3757">IF($D3757="","",IFERROR(INDEX(MASTER_SOURCE!$C$2:$C$495,MATCH($I3757,MASTER_SOURCE!$A$2:$A$495,0)),""))</f>
        <v/>
      </c>
      <c r="L3757" s="22">
        <f t="array" ref="L3757">IF($D3757="","",IFERROR(INDEX(MASTER_SOURCE!$D$2:$D$495,MATCH($I3757,MASTER_SOURCE!$A$2:$A$495,0)),""))</f>
        <v/>
      </c>
      <c r="M3757" s="24" t="n"/>
      <c r="N3757" s="24" t="n"/>
      <c r="O3757" s="24" t="n"/>
      <c r="P3757" s="24" t="n"/>
      <c r="Q3757" s="22">
        <f>IF($D3757="","",IF(AND(OR(DANH_MUC!$L$5&lt;&gt;"Có",M3757="Có"),OR(DANH_MUC!$L$6&lt;&gt;"Có",N3757="Có"),OR(DANH_MUC!$L$7&lt;&gt;"Có",O3757="Có"),OR(DANH_MUC!$L$8&lt;&gt;"Có",P3757="Có")),"Có","Không"))</f>
        <v/>
      </c>
      <c r="R3757" s="22">
        <f>IF($D3757="","",IF(COUNTIF($D$2:$D3757,$D3757)&gt;1,"Trùng",""))</f>
        <v/>
      </c>
      <c r="S3757" s="22">
        <f>IF($D3757="","",IF(AND(LEN($D3757)=10,LEFT($D3757,1)="0",ISNUMBER(--$D3757)),"Có","Không"))</f>
        <v/>
      </c>
      <c r="T3757" s="22">
        <f>IF($D3757="","",IF(AND($C3757&lt;&gt;"",$Q3757="Có",$R3757="",$S3757="Có",AND($L3757&lt;&gt;"",OR($L3757&lt;&gt;"Chưa xác định",DANH_MUC!$L$9="Có"))),"Có","Không"))</f>
        <v/>
      </c>
      <c r="U3757" s="22">
        <f>IF(OR($D3757="",$T3757="Có"),"",IF($C3757="","Thiếu họ tên; ","")&amp;IF($S3757&lt;&gt;"Có","SĐT sai định dạng; ","")&amp;IF($R3757="Trùng","Trùng SĐT; ","")&amp;IF($Q3757&lt;&gt;"Có","Thiếu đồng ý bắt buộc; ","")&amp;IF($L3757="","Thiếu/sai Mã REF; ",IF(AND($L3757="Chưa xác định",DANH_MUC!$L$9&lt;&gt;"Có"),"Nguồn chưa xác định; ","")))</f>
        <v/>
      </c>
      <c r="V3757" s="22">
        <f>IF(OR($D3757="",$R3757="Trùng"),"",IF(COUNTIF(ORDERS!$C$2:$C$4995,$D3757)&gt;0,"Có","Không"))</f>
        <v/>
      </c>
      <c r="W3757" s="22">
        <f>IF(OR($D3757="",$R3757="Trùng"),"",COUNTIFS(ORDERS!$C$2:$C$4995,$D3757,ORDERS!$L$2:$L$4995,"Đã chuyển khoản"))</f>
        <v/>
      </c>
      <c r="X3757" s="23">
        <f>IF(OR($D3757="",$R3757="Trùng"),"",SUMIFS(ORDERS!$J$2:$J$4995,ORDERS!$C$2:$C$4995,$D3757,ORDERS!$L$2:$L$4995,"Đã chuyển khoản"))</f>
        <v/>
      </c>
      <c r="Y3757" s="24" t="n"/>
    </row>
    <row r="3758" ht="14.25" customHeight="1" s="40">
      <c r="A3758" s="24" t="n"/>
      <c r="B3758" s="27" t="n"/>
      <c r="C3758" s="24" t="n"/>
      <c r="D3758" s="28" t="n"/>
      <c r="E3758" s="29" t="n"/>
      <c r="F3758" s="24" t="n"/>
      <c r="G3758" s="24" t="n"/>
      <c r="H3758" s="21">
        <f>IF(ISNUMBER($B3758),INT($B3758)-WEEKDAY($B3758,2)+1,"")</f>
        <v/>
      </c>
      <c r="I3758" s="24" t="n"/>
      <c r="J3758" s="22">
        <f t="array" ref="J3758">IF($D3758="","",IF($I3758="","(trống REF)",IFERROR(INDEX(MASTER_SOURCE!$B$2:$B$495,MATCH($I3758,MASTER_SOURCE!$A$2:$A$495,0)),"(REF không có trong MASTER_SOURCE)")))</f>
        <v/>
      </c>
      <c r="K3758" s="22">
        <f t="array" ref="K3758">IF($D3758="","",IFERROR(INDEX(MASTER_SOURCE!$C$2:$C$495,MATCH($I3758,MASTER_SOURCE!$A$2:$A$495,0)),""))</f>
        <v/>
      </c>
      <c r="L3758" s="22">
        <f t="array" ref="L3758">IF($D3758="","",IFERROR(INDEX(MASTER_SOURCE!$D$2:$D$495,MATCH($I3758,MASTER_SOURCE!$A$2:$A$495,0)),""))</f>
        <v/>
      </c>
      <c r="M3758" s="24" t="n"/>
      <c r="N3758" s="24" t="n"/>
      <c r="O3758" s="24" t="n"/>
      <c r="P3758" s="24" t="n"/>
      <c r="Q3758" s="22">
        <f>IF($D3758="","",IF(AND(OR(DANH_MUC!$L$5&lt;&gt;"Có",M3758="Có"),OR(DANH_MUC!$L$6&lt;&gt;"Có",N3758="Có"),OR(DANH_MUC!$L$7&lt;&gt;"Có",O3758="Có"),OR(DANH_MUC!$L$8&lt;&gt;"Có",P3758="Có")),"Có","Không"))</f>
        <v/>
      </c>
      <c r="R3758" s="22">
        <f>IF($D3758="","",IF(COUNTIF($D$2:$D3758,$D3758)&gt;1,"Trùng",""))</f>
        <v/>
      </c>
      <c r="S3758" s="22">
        <f>IF($D3758="","",IF(AND(LEN($D3758)=10,LEFT($D3758,1)="0",ISNUMBER(--$D3758)),"Có","Không"))</f>
        <v/>
      </c>
      <c r="T3758" s="22">
        <f>IF($D3758="","",IF(AND($C3758&lt;&gt;"",$Q3758="Có",$R3758="",$S3758="Có",AND($L3758&lt;&gt;"",OR($L3758&lt;&gt;"Chưa xác định",DANH_MUC!$L$9="Có"))),"Có","Không"))</f>
        <v/>
      </c>
      <c r="U3758" s="22">
        <f>IF(OR($D3758="",$T3758="Có"),"",IF($C3758="","Thiếu họ tên; ","")&amp;IF($S3758&lt;&gt;"Có","SĐT sai định dạng; ","")&amp;IF($R3758="Trùng","Trùng SĐT; ","")&amp;IF($Q3758&lt;&gt;"Có","Thiếu đồng ý bắt buộc; ","")&amp;IF($L3758="","Thiếu/sai Mã REF; ",IF(AND($L3758="Chưa xác định",DANH_MUC!$L$9&lt;&gt;"Có"),"Nguồn chưa xác định; ","")))</f>
        <v/>
      </c>
      <c r="V3758" s="22">
        <f>IF(OR($D3758="",$R3758="Trùng"),"",IF(COUNTIF(ORDERS!$C$2:$C$4995,$D3758)&gt;0,"Có","Không"))</f>
        <v/>
      </c>
      <c r="W3758" s="22">
        <f>IF(OR($D3758="",$R3758="Trùng"),"",COUNTIFS(ORDERS!$C$2:$C$4995,$D3758,ORDERS!$L$2:$L$4995,"Đã chuyển khoản"))</f>
        <v/>
      </c>
      <c r="X3758" s="23">
        <f>IF(OR($D3758="",$R3758="Trùng"),"",SUMIFS(ORDERS!$J$2:$J$4995,ORDERS!$C$2:$C$4995,$D3758,ORDERS!$L$2:$L$4995,"Đã chuyển khoản"))</f>
        <v/>
      </c>
      <c r="Y3758" s="24" t="n"/>
    </row>
    <row r="3759" ht="14.25" customHeight="1" s="40">
      <c r="A3759" s="24" t="n"/>
      <c r="B3759" s="27" t="n"/>
      <c r="C3759" s="24" t="n"/>
      <c r="D3759" s="28" t="n"/>
      <c r="E3759" s="29" t="n"/>
      <c r="F3759" s="24" t="n"/>
      <c r="G3759" s="24" t="n"/>
      <c r="H3759" s="21">
        <f>IF(ISNUMBER($B3759),INT($B3759)-WEEKDAY($B3759,2)+1,"")</f>
        <v/>
      </c>
      <c r="I3759" s="24" t="n"/>
      <c r="J3759" s="22">
        <f t="array" ref="J3759">IF($D3759="","",IF($I3759="","(trống REF)",IFERROR(INDEX(MASTER_SOURCE!$B$2:$B$495,MATCH($I3759,MASTER_SOURCE!$A$2:$A$495,0)),"(REF không có trong MASTER_SOURCE)")))</f>
        <v/>
      </c>
      <c r="K3759" s="22">
        <f t="array" ref="K3759">IF($D3759="","",IFERROR(INDEX(MASTER_SOURCE!$C$2:$C$495,MATCH($I3759,MASTER_SOURCE!$A$2:$A$495,0)),""))</f>
        <v/>
      </c>
      <c r="L3759" s="22">
        <f t="array" ref="L3759">IF($D3759="","",IFERROR(INDEX(MASTER_SOURCE!$D$2:$D$495,MATCH($I3759,MASTER_SOURCE!$A$2:$A$495,0)),""))</f>
        <v/>
      </c>
      <c r="M3759" s="24" t="n"/>
      <c r="N3759" s="24" t="n"/>
      <c r="O3759" s="24" t="n"/>
      <c r="P3759" s="24" t="n"/>
      <c r="Q3759" s="22">
        <f>IF($D3759="","",IF(AND(OR(DANH_MUC!$L$5&lt;&gt;"Có",M3759="Có"),OR(DANH_MUC!$L$6&lt;&gt;"Có",N3759="Có"),OR(DANH_MUC!$L$7&lt;&gt;"Có",O3759="Có"),OR(DANH_MUC!$L$8&lt;&gt;"Có",P3759="Có")),"Có","Không"))</f>
        <v/>
      </c>
      <c r="R3759" s="22">
        <f>IF($D3759="","",IF(COUNTIF($D$2:$D3759,$D3759)&gt;1,"Trùng",""))</f>
        <v/>
      </c>
      <c r="S3759" s="22">
        <f>IF($D3759="","",IF(AND(LEN($D3759)=10,LEFT($D3759,1)="0",ISNUMBER(--$D3759)),"Có","Không"))</f>
        <v/>
      </c>
      <c r="T3759" s="22">
        <f>IF($D3759="","",IF(AND($C3759&lt;&gt;"",$Q3759="Có",$R3759="",$S3759="Có",AND($L3759&lt;&gt;"",OR($L3759&lt;&gt;"Chưa xác định",DANH_MUC!$L$9="Có"))),"Có","Không"))</f>
        <v/>
      </c>
      <c r="U3759" s="22">
        <f>IF(OR($D3759="",$T3759="Có"),"",IF($C3759="","Thiếu họ tên; ","")&amp;IF($S3759&lt;&gt;"Có","SĐT sai định dạng; ","")&amp;IF($R3759="Trùng","Trùng SĐT; ","")&amp;IF($Q3759&lt;&gt;"Có","Thiếu đồng ý bắt buộc; ","")&amp;IF($L3759="","Thiếu/sai Mã REF; ",IF(AND($L3759="Chưa xác định",DANH_MUC!$L$9&lt;&gt;"Có"),"Nguồn chưa xác định; ","")))</f>
        <v/>
      </c>
      <c r="V3759" s="22">
        <f>IF(OR($D3759="",$R3759="Trùng"),"",IF(COUNTIF(ORDERS!$C$2:$C$4995,$D3759)&gt;0,"Có","Không"))</f>
        <v/>
      </c>
      <c r="W3759" s="22">
        <f>IF(OR($D3759="",$R3759="Trùng"),"",COUNTIFS(ORDERS!$C$2:$C$4995,$D3759,ORDERS!$L$2:$L$4995,"Đã chuyển khoản"))</f>
        <v/>
      </c>
      <c r="X3759" s="23">
        <f>IF(OR($D3759="",$R3759="Trùng"),"",SUMIFS(ORDERS!$J$2:$J$4995,ORDERS!$C$2:$C$4995,$D3759,ORDERS!$L$2:$L$4995,"Đã chuyển khoản"))</f>
        <v/>
      </c>
      <c r="Y3759" s="24" t="n"/>
    </row>
    <row r="3760" ht="14.25" customHeight="1" s="40">
      <c r="A3760" s="24" t="n"/>
      <c r="B3760" s="27" t="n"/>
      <c r="C3760" s="24" t="n"/>
      <c r="D3760" s="28" t="n"/>
      <c r="E3760" s="29" t="n"/>
      <c r="F3760" s="24" t="n"/>
      <c r="G3760" s="24" t="n"/>
      <c r="H3760" s="21">
        <f>IF(ISNUMBER($B3760),INT($B3760)-WEEKDAY($B3760,2)+1,"")</f>
        <v/>
      </c>
      <c r="I3760" s="24" t="n"/>
      <c r="J3760" s="22">
        <f t="array" ref="J3760">IF($D3760="","",IF($I3760="","(trống REF)",IFERROR(INDEX(MASTER_SOURCE!$B$2:$B$495,MATCH($I3760,MASTER_SOURCE!$A$2:$A$495,0)),"(REF không có trong MASTER_SOURCE)")))</f>
        <v/>
      </c>
      <c r="K3760" s="22">
        <f t="array" ref="K3760">IF($D3760="","",IFERROR(INDEX(MASTER_SOURCE!$C$2:$C$495,MATCH($I3760,MASTER_SOURCE!$A$2:$A$495,0)),""))</f>
        <v/>
      </c>
      <c r="L3760" s="22">
        <f t="array" ref="L3760">IF($D3760="","",IFERROR(INDEX(MASTER_SOURCE!$D$2:$D$495,MATCH($I3760,MASTER_SOURCE!$A$2:$A$495,0)),""))</f>
        <v/>
      </c>
      <c r="M3760" s="24" t="n"/>
      <c r="N3760" s="24" t="n"/>
      <c r="O3760" s="24" t="n"/>
      <c r="P3760" s="24" t="n"/>
      <c r="Q3760" s="22">
        <f>IF($D3760="","",IF(AND(OR(DANH_MUC!$L$5&lt;&gt;"Có",M3760="Có"),OR(DANH_MUC!$L$6&lt;&gt;"Có",N3760="Có"),OR(DANH_MUC!$L$7&lt;&gt;"Có",O3760="Có"),OR(DANH_MUC!$L$8&lt;&gt;"Có",P3760="Có")),"Có","Không"))</f>
        <v/>
      </c>
      <c r="R3760" s="22">
        <f>IF($D3760="","",IF(COUNTIF($D$2:$D3760,$D3760)&gt;1,"Trùng",""))</f>
        <v/>
      </c>
      <c r="S3760" s="22">
        <f>IF($D3760="","",IF(AND(LEN($D3760)=10,LEFT($D3760,1)="0",ISNUMBER(--$D3760)),"Có","Không"))</f>
        <v/>
      </c>
      <c r="T3760" s="22">
        <f>IF($D3760="","",IF(AND($C3760&lt;&gt;"",$Q3760="Có",$R3760="",$S3760="Có",AND($L3760&lt;&gt;"",OR($L3760&lt;&gt;"Chưa xác định",DANH_MUC!$L$9="Có"))),"Có","Không"))</f>
        <v/>
      </c>
      <c r="U3760" s="22">
        <f>IF(OR($D3760="",$T3760="Có"),"",IF($C3760="","Thiếu họ tên; ","")&amp;IF($S3760&lt;&gt;"Có","SĐT sai định dạng; ","")&amp;IF($R3760="Trùng","Trùng SĐT; ","")&amp;IF($Q3760&lt;&gt;"Có","Thiếu đồng ý bắt buộc; ","")&amp;IF($L3760="","Thiếu/sai Mã REF; ",IF(AND($L3760="Chưa xác định",DANH_MUC!$L$9&lt;&gt;"Có"),"Nguồn chưa xác định; ","")))</f>
        <v/>
      </c>
      <c r="V3760" s="22">
        <f>IF(OR($D3760="",$R3760="Trùng"),"",IF(COUNTIF(ORDERS!$C$2:$C$4995,$D3760)&gt;0,"Có","Không"))</f>
        <v/>
      </c>
      <c r="W3760" s="22">
        <f>IF(OR($D3760="",$R3760="Trùng"),"",COUNTIFS(ORDERS!$C$2:$C$4995,$D3760,ORDERS!$L$2:$L$4995,"Đã chuyển khoản"))</f>
        <v/>
      </c>
      <c r="X3760" s="23">
        <f>IF(OR($D3760="",$R3760="Trùng"),"",SUMIFS(ORDERS!$J$2:$J$4995,ORDERS!$C$2:$C$4995,$D3760,ORDERS!$L$2:$L$4995,"Đã chuyển khoản"))</f>
        <v/>
      </c>
      <c r="Y3760" s="24" t="n"/>
    </row>
    <row r="3761" ht="14.25" customHeight="1" s="40">
      <c r="A3761" s="24" t="n"/>
      <c r="B3761" s="27" t="n"/>
      <c r="C3761" s="24" t="n"/>
      <c r="D3761" s="28" t="n"/>
      <c r="E3761" s="29" t="n"/>
      <c r="F3761" s="24" t="n"/>
      <c r="G3761" s="24" t="n"/>
      <c r="H3761" s="21">
        <f>IF(ISNUMBER($B3761),INT($B3761)-WEEKDAY($B3761,2)+1,"")</f>
        <v/>
      </c>
      <c r="I3761" s="24" t="n"/>
      <c r="J3761" s="22">
        <f t="array" ref="J3761">IF($D3761="","",IF($I3761="","(trống REF)",IFERROR(INDEX(MASTER_SOURCE!$B$2:$B$495,MATCH($I3761,MASTER_SOURCE!$A$2:$A$495,0)),"(REF không có trong MASTER_SOURCE)")))</f>
        <v/>
      </c>
      <c r="K3761" s="22">
        <f t="array" ref="K3761">IF($D3761="","",IFERROR(INDEX(MASTER_SOURCE!$C$2:$C$495,MATCH($I3761,MASTER_SOURCE!$A$2:$A$495,0)),""))</f>
        <v/>
      </c>
      <c r="L3761" s="22">
        <f t="array" ref="L3761">IF($D3761="","",IFERROR(INDEX(MASTER_SOURCE!$D$2:$D$495,MATCH($I3761,MASTER_SOURCE!$A$2:$A$495,0)),""))</f>
        <v/>
      </c>
      <c r="M3761" s="24" t="n"/>
      <c r="N3761" s="24" t="n"/>
      <c r="O3761" s="24" t="n"/>
      <c r="P3761" s="24" t="n"/>
      <c r="Q3761" s="22">
        <f>IF($D3761="","",IF(AND(OR(DANH_MUC!$L$5&lt;&gt;"Có",M3761="Có"),OR(DANH_MUC!$L$6&lt;&gt;"Có",N3761="Có"),OR(DANH_MUC!$L$7&lt;&gt;"Có",O3761="Có"),OR(DANH_MUC!$L$8&lt;&gt;"Có",P3761="Có")),"Có","Không"))</f>
        <v/>
      </c>
      <c r="R3761" s="22">
        <f>IF($D3761="","",IF(COUNTIF($D$2:$D3761,$D3761)&gt;1,"Trùng",""))</f>
        <v/>
      </c>
      <c r="S3761" s="22">
        <f>IF($D3761="","",IF(AND(LEN($D3761)=10,LEFT($D3761,1)="0",ISNUMBER(--$D3761)),"Có","Không"))</f>
        <v/>
      </c>
      <c r="T3761" s="22">
        <f>IF($D3761="","",IF(AND($C3761&lt;&gt;"",$Q3761="Có",$R3761="",$S3761="Có",AND($L3761&lt;&gt;"",OR($L3761&lt;&gt;"Chưa xác định",DANH_MUC!$L$9="Có"))),"Có","Không"))</f>
        <v/>
      </c>
      <c r="U3761" s="22">
        <f>IF(OR($D3761="",$T3761="Có"),"",IF($C3761="","Thiếu họ tên; ","")&amp;IF($S3761&lt;&gt;"Có","SĐT sai định dạng; ","")&amp;IF($R3761="Trùng","Trùng SĐT; ","")&amp;IF($Q3761&lt;&gt;"Có","Thiếu đồng ý bắt buộc; ","")&amp;IF($L3761="","Thiếu/sai Mã REF; ",IF(AND($L3761="Chưa xác định",DANH_MUC!$L$9&lt;&gt;"Có"),"Nguồn chưa xác định; ","")))</f>
        <v/>
      </c>
      <c r="V3761" s="22">
        <f>IF(OR($D3761="",$R3761="Trùng"),"",IF(COUNTIF(ORDERS!$C$2:$C$4995,$D3761)&gt;0,"Có","Không"))</f>
        <v/>
      </c>
      <c r="W3761" s="22">
        <f>IF(OR($D3761="",$R3761="Trùng"),"",COUNTIFS(ORDERS!$C$2:$C$4995,$D3761,ORDERS!$L$2:$L$4995,"Đã chuyển khoản"))</f>
        <v/>
      </c>
      <c r="X3761" s="23">
        <f>IF(OR($D3761="",$R3761="Trùng"),"",SUMIFS(ORDERS!$J$2:$J$4995,ORDERS!$C$2:$C$4995,$D3761,ORDERS!$L$2:$L$4995,"Đã chuyển khoản"))</f>
        <v/>
      </c>
      <c r="Y3761" s="24" t="n"/>
    </row>
    <row r="3762" ht="14.25" customHeight="1" s="40">
      <c r="A3762" s="24" t="n"/>
      <c r="B3762" s="27" t="n"/>
      <c r="C3762" s="24" t="n"/>
      <c r="D3762" s="28" t="n"/>
      <c r="E3762" s="29" t="n"/>
      <c r="F3762" s="24" t="n"/>
      <c r="G3762" s="24" t="n"/>
      <c r="H3762" s="21">
        <f>IF(ISNUMBER($B3762),INT($B3762)-WEEKDAY($B3762,2)+1,"")</f>
        <v/>
      </c>
      <c r="I3762" s="24" t="n"/>
      <c r="J3762" s="22">
        <f t="array" ref="J3762">IF($D3762="","",IF($I3762="","(trống REF)",IFERROR(INDEX(MASTER_SOURCE!$B$2:$B$495,MATCH($I3762,MASTER_SOURCE!$A$2:$A$495,0)),"(REF không có trong MASTER_SOURCE)")))</f>
        <v/>
      </c>
      <c r="K3762" s="22">
        <f t="array" ref="K3762">IF($D3762="","",IFERROR(INDEX(MASTER_SOURCE!$C$2:$C$495,MATCH($I3762,MASTER_SOURCE!$A$2:$A$495,0)),""))</f>
        <v/>
      </c>
      <c r="L3762" s="22">
        <f t="array" ref="L3762">IF($D3762="","",IFERROR(INDEX(MASTER_SOURCE!$D$2:$D$495,MATCH($I3762,MASTER_SOURCE!$A$2:$A$495,0)),""))</f>
        <v/>
      </c>
      <c r="M3762" s="24" t="n"/>
      <c r="N3762" s="24" t="n"/>
      <c r="O3762" s="24" t="n"/>
      <c r="P3762" s="24" t="n"/>
      <c r="Q3762" s="22">
        <f>IF($D3762="","",IF(AND(OR(DANH_MUC!$L$5&lt;&gt;"Có",M3762="Có"),OR(DANH_MUC!$L$6&lt;&gt;"Có",N3762="Có"),OR(DANH_MUC!$L$7&lt;&gt;"Có",O3762="Có"),OR(DANH_MUC!$L$8&lt;&gt;"Có",P3762="Có")),"Có","Không"))</f>
        <v/>
      </c>
      <c r="R3762" s="22">
        <f>IF($D3762="","",IF(COUNTIF($D$2:$D3762,$D3762)&gt;1,"Trùng",""))</f>
        <v/>
      </c>
      <c r="S3762" s="22">
        <f>IF($D3762="","",IF(AND(LEN($D3762)=10,LEFT($D3762,1)="0",ISNUMBER(--$D3762)),"Có","Không"))</f>
        <v/>
      </c>
      <c r="T3762" s="22">
        <f>IF($D3762="","",IF(AND($C3762&lt;&gt;"",$Q3762="Có",$R3762="",$S3762="Có",AND($L3762&lt;&gt;"",OR($L3762&lt;&gt;"Chưa xác định",DANH_MUC!$L$9="Có"))),"Có","Không"))</f>
        <v/>
      </c>
      <c r="U3762" s="22">
        <f>IF(OR($D3762="",$T3762="Có"),"",IF($C3762="","Thiếu họ tên; ","")&amp;IF($S3762&lt;&gt;"Có","SĐT sai định dạng; ","")&amp;IF($R3762="Trùng","Trùng SĐT; ","")&amp;IF($Q3762&lt;&gt;"Có","Thiếu đồng ý bắt buộc; ","")&amp;IF($L3762="","Thiếu/sai Mã REF; ",IF(AND($L3762="Chưa xác định",DANH_MUC!$L$9&lt;&gt;"Có"),"Nguồn chưa xác định; ","")))</f>
        <v/>
      </c>
      <c r="V3762" s="22">
        <f>IF(OR($D3762="",$R3762="Trùng"),"",IF(COUNTIF(ORDERS!$C$2:$C$4995,$D3762)&gt;0,"Có","Không"))</f>
        <v/>
      </c>
      <c r="W3762" s="22">
        <f>IF(OR($D3762="",$R3762="Trùng"),"",COUNTIFS(ORDERS!$C$2:$C$4995,$D3762,ORDERS!$L$2:$L$4995,"Đã chuyển khoản"))</f>
        <v/>
      </c>
      <c r="X3762" s="23">
        <f>IF(OR($D3762="",$R3762="Trùng"),"",SUMIFS(ORDERS!$J$2:$J$4995,ORDERS!$C$2:$C$4995,$D3762,ORDERS!$L$2:$L$4995,"Đã chuyển khoản"))</f>
        <v/>
      </c>
      <c r="Y3762" s="24" t="n"/>
    </row>
    <row r="3763" ht="14.25" customHeight="1" s="40">
      <c r="A3763" s="24" t="n"/>
      <c r="B3763" s="27" t="n"/>
      <c r="C3763" s="24" t="n"/>
      <c r="D3763" s="28" t="n"/>
      <c r="E3763" s="29" t="n"/>
      <c r="F3763" s="24" t="n"/>
      <c r="G3763" s="24" t="n"/>
      <c r="H3763" s="21">
        <f>IF(ISNUMBER($B3763),INT($B3763)-WEEKDAY($B3763,2)+1,"")</f>
        <v/>
      </c>
      <c r="I3763" s="24" t="n"/>
      <c r="J3763" s="22">
        <f t="array" ref="J3763">IF($D3763="","",IF($I3763="","(trống REF)",IFERROR(INDEX(MASTER_SOURCE!$B$2:$B$495,MATCH($I3763,MASTER_SOURCE!$A$2:$A$495,0)),"(REF không có trong MASTER_SOURCE)")))</f>
        <v/>
      </c>
      <c r="K3763" s="22">
        <f t="array" ref="K3763">IF($D3763="","",IFERROR(INDEX(MASTER_SOURCE!$C$2:$C$495,MATCH($I3763,MASTER_SOURCE!$A$2:$A$495,0)),""))</f>
        <v/>
      </c>
      <c r="L3763" s="22">
        <f t="array" ref="L3763">IF($D3763="","",IFERROR(INDEX(MASTER_SOURCE!$D$2:$D$495,MATCH($I3763,MASTER_SOURCE!$A$2:$A$495,0)),""))</f>
        <v/>
      </c>
      <c r="M3763" s="24" t="n"/>
      <c r="N3763" s="24" t="n"/>
      <c r="O3763" s="24" t="n"/>
      <c r="P3763" s="24" t="n"/>
      <c r="Q3763" s="22">
        <f>IF($D3763="","",IF(AND(OR(DANH_MUC!$L$5&lt;&gt;"Có",M3763="Có"),OR(DANH_MUC!$L$6&lt;&gt;"Có",N3763="Có"),OR(DANH_MUC!$L$7&lt;&gt;"Có",O3763="Có"),OR(DANH_MUC!$L$8&lt;&gt;"Có",P3763="Có")),"Có","Không"))</f>
        <v/>
      </c>
      <c r="R3763" s="22">
        <f>IF($D3763="","",IF(COUNTIF($D$2:$D3763,$D3763)&gt;1,"Trùng",""))</f>
        <v/>
      </c>
      <c r="S3763" s="22">
        <f>IF($D3763="","",IF(AND(LEN($D3763)=10,LEFT($D3763,1)="0",ISNUMBER(--$D3763)),"Có","Không"))</f>
        <v/>
      </c>
      <c r="T3763" s="22">
        <f>IF($D3763="","",IF(AND($C3763&lt;&gt;"",$Q3763="Có",$R3763="",$S3763="Có",AND($L3763&lt;&gt;"",OR($L3763&lt;&gt;"Chưa xác định",DANH_MUC!$L$9="Có"))),"Có","Không"))</f>
        <v/>
      </c>
      <c r="U3763" s="22">
        <f>IF(OR($D3763="",$T3763="Có"),"",IF($C3763="","Thiếu họ tên; ","")&amp;IF($S3763&lt;&gt;"Có","SĐT sai định dạng; ","")&amp;IF($R3763="Trùng","Trùng SĐT; ","")&amp;IF($Q3763&lt;&gt;"Có","Thiếu đồng ý bắt buộc; ","")&amp;IF($L3763="","Thiếu/sai Mã REF; ",IF(AND($L3763="Chưa xác định",DANH_MUC!$L$9&lt;&gt;"Có"),"Nguồn chưa xác định; ","")))</f>
        <v/>
      </c>
      <c r="V3763" s="22">
        <f>IF(OR($D3763="",$R3763="Trùng"),"",IF(COUNTIF(ORDERS!$C$2:$C$4995,$D3763)&gt;0,"Có","Không"))</f>
        <v/>
      </c>
      <c r="W3763" s="22">
        <f>IF(OR($D3763="",$R3763="Trùng"),"",COUNTIFS(ORDERS!$C$2:$C$4995,$D3763,ORDERS!$L$2:$L$4995,"Đã chuyển khoản"))</f>
        <v/>
      </c>
      <c r="X3763" s="23">
        <f>IF(OR($D3763="",$R3763="Trùng"),"",SUMIFS(ORDERS!$J$2:$J$4995,ORDERS!$C$2:$C$4995,$D3763,ORDERS!$L$2:$L$4995,"Đã chuyển khoản"))</f>
        <v/>
      </c>
      <c r="Y3763" s="24" t="n"/>
    </row>
    <row r="3764" ht="14.25" customHeight="1" s="40">
      <c r="A3764" s="24" t="n"/>
      <c r="B3764" s="27" t="n"/>
      <c r="C3764" s="24" t="n"/>
      <c r="D3764" s="28" t="n"/>
      <c r="E3764" s="29" t="n"/>
      <c r="F3764" s="24" t="n"/>
      <c r="G3764" s="24" t="n"/>
      <c r="H3764" s="21">
        <f>IF(ISNUMBER($B3764),INT($B3764)-WEEKDAY($B3764,2)+1,"")</f>
        <v/>
      </c>
      <c r="I3764" s="24" t="n"/>
      <c r="J3764" s="22">
        <f t="array" ref="J3764">IF($D3764="","",IF($I3764="","(trống REF)",IFERROR(INDEX(MASTER_SOURCE!$B$2:$B$495,MATCH($I3764,MASTER_SOURCE!$A$2:$A$495,0)),"(REF không có trong MASTER_SOURCE)")))</f>
        <v/>
      </c>
      <c r="K3764" s="22">
        <f t="array" ref="K3764">IF($D3764="","",IFERROR(INDEX(MASTER_SOURCE!$C$2:$C$495,MATCH($I3764,MASTER_SOURCE!$A$2:$A$495,0)),""))</f>
        <v/>
      </c>
      <c r="L3764" s="22">
        <f t="array" ref="L3764">IF($D3764="","",IFERROR(INDEX(MASTER_SOURCE!$D$2:$D$495,MATCH($I3764,MASTER_SOURCE!$A$2:$A$495,0)),""))</f>
        <v/>
      </c>
      <c r="M3764" s="24" t="n"/>
      <c r="N3764" s="24" t="n"/>
      <c r="O3764" s="24" t="n"/>
      <c r="P3764" s="24" t="n"/>
      <c r="Q3764" s="22">
        <f>IF($D3764="","",IF(AND(OR(DANH_MUC!$L$5&lt;&gt;"Có",M3764="Có"),OR(DANH_MUC!$L$6&lt;&gt;"Có",N3764="Có"),OR(DANH_MUC!$L$7&lt;&gt;"Có",O3764="Có"),OR(DANH_MUC!$L$8&lt;&gt;"Có",P3764="Có")),"Có","Không"))</f>
        <v/>
      </c>
      <c r="R3764" s="22">
        <f>IF($D3764="","",IF(COUNTIF($D$2:$D3764,$D3764)&gt;1,"Trùng",""))</f>
        <v/>
      </c>
      <c r="S3764" s="22">
        <f>IF($D3764="","",IF(AND(LEN($D3764)=10,LEFT($D3764,1)="0",ISNUMBER(--$D3764)),"Có","Không"))</f>
        <v/>
      </c>
      <c r="T3764" s="22">
        <f>IF($D3764="","",IF(AND($C3764&lt;&gt;"",$Q3764="Có",$R3764="",$S3764="Có",AND($L3764&lt;&gt;"",OR($L3764&lt;&gt;"Chưa xác định",DANH_MUC!$L$9="Có"))),"Có","Không"))</f>
        <v/>
      </c>
      <c r="U3764" s="22">
        <f>IF(OR($D3764="",$T3764="Có"),"",IF($C3764="","Thiếu họ tên; ","")&amp;IF($S3764&lt;&gt;"Có","SĐT sai định dạng; ","")&amp;IF($R3764="Trùng","Trùng SĐT; ","")&amp;IF($Q3764&lt;&gt;"Có","Thiếu đồng ý bắt buộc; ","")&amp;IF($L3764="","Thiếu/sai Mã REF; ",IF(AND($L3764="Chưa xác định",DANH_MUC!$L$9&lt;&gt;"Có"),"Nguồn chưa xác định; ","")))</f>
        <v/>
      </c>
      <c r="V3764" s="22">
        <f>IF(OR($D3764="",$R3764="Trùng"),"",IF(COUNTIF(ORDERS!$C$2:$C$4995,$D3764)&gt;0,"Có","Không"))</f>
        <v/>
      </c>
      <c r="W3764" s="22">
        <f>IF(OR($D3764="",$R3764="Trùng"),"",COUNTIFS(ORDERS!$C$2:$C$4995,$D3764,ORDERS!$L$2:$L$4995,"Đã chuyển khoản"))</f>
        <v/>
      </c>
      <c r="X3764" s="23">
        <f>IF(OR($D3764="",$R3764="Trùng"),"",SUMIFS(ORDERS!$J$2:$J$4995,ORDERS!$C$2:$C$4995,$D3764,ORDERS!$L$2:$L$4995,"Đã chuyển khoản"))</f>
        <v/>
      </c>
      <c r="Y3764" s="24" t="n"/>
    </row>
    <row r="3765" ht="14.25" customHeight="1" s="40">
      <c r="A3765" s="24" t="n"/>
      <c r="B3765" s="27" t="n"/>
      <c r="C3765" s="24" t="n"/>
      <c r="D3765" s="28" t="n"/>
      <c r="E3765" s="29" t="n"/>
      <c r="F3765" s="24" t="n"/>
      <c r="G3765" s="24" t="n"/>
      <c r="H3765" s="21">
        <f>IF(ISNUMBER($B3765),INT($B3765)-WEEKDAY($B3765,2)+1,"")</f>
        <v/>
      </c>
      <c r="I3765" s="24" t="n"/>
      <c r="J3765" s="22">
        <f t="array" ref="J3765">IF($D3765="","",IF($I3765="","(trống REF)",IFERROR(INDEX(MASTER_SOURCE!$B$2:$B$495,MATCH($I3765,MASTER_SOURCE!$A$2:$A$495,0)),"(REF không có trong MASTER_SOURCE)")))</f>
        <v/>
      </c>
      <c r="K3765" s="22">
        <f t="array" ref="K3765">IF($D3765="","",IFERROR(INDEX(MASTER_SOURCE!$C$2:$C$495,MATCH($I3765,MASTER_SOURCE!$A$2:$A$495,0)),""))</f>
        <v/>
      </c>
      <c r="L3765" s="22">
        <f t="array" ref="L3765">IF($D3765="","",IFERROR(INDEX(MASTER_SOURCE!$D$2:$D$495,MATCH($I3765,MASTER_SOURCE!$A$2:$A$495,0)),""))</f>
        <v/>
      </c>
      <c r="M3765" s="24" t="n"/>
      <c r="N3765" s="24" t="n"/>
      <c r="O3765" s="24" t="n"/>
      <c r="P3765" s="24" t="n"/>
      <c r="Q3765" s="22">
        <f>IF($D3765="","",IF(AND(OR(DANH_MUC!$L$5&lt;&gt;"Có",M3765="Có"),OR(DANH_MUC!$L$6&lt;&gt;"Có",N3765="Có"),OR(DANH_MUC!$L$7&lt;&gt;"Có",O3765="Có"),OR(DANH_MUC!$L$8&lt;&gt;"Có",P3765="Có")),"Có","Không"))</f>
        <v/>
      </c>
      <c r="R3765" s="22">
        <f>IF($D3765="","",IF(COUNTIF($D$2:$D3765,$D3765)&gt;1,"Trùng",""))</f>
        <v/>
      </c>
      <c r="S3765" s="22">
        <f>IF($D3765="","",IF(AND(LEN($D3765)=10,LEFT($D3765,1)="0",ISNUMBER(--$D3765)),"Có","Không"))</f>
        <v/>
      </c>
      <c r="T3765" s="22">
        <f>IF($D3765="","",IF(AND($C3765&lt;&gt;"",$Q3765="Có",$R3765="",$S3765="Có",AND($L3765&lt;&gt;"",OR($L3765&lt;&gt;"Chưa xác định",DANH_MUC!$L$9="Có"))),"Có","Không"))</f>
        <v/>
      </c>
      <c r="U3765" s="22">
        <f>IF(OR($D3765="",$T3765="Có"),"",IF($C3765="","Thiếu họ tên; ","")&amp;IF($S3765&lt;&gt;"Có","SĐT sai định dạng; ","")&amp;IF($R3765="Trùng","Trùng SĐT; ","")&amp;IF($Q3765&lt;&gt;"Có","Thiếu đồng ý bắt buộc; ","")&amp;IF($L3765="","Thiếu/sai Mã REF; ",IF(AND($L3765="Chưa xác định",DANH_MUC!$L$9&lt;&gt;"Có"),"Nguồn chưa xác định; ","")))</f>
        <v/>
      </c>
      <c r="V3765" s="22">
        <f>IF(OR($D3765="",$R3765="Trùng"),"",IF(COUNTIF(ORDERS!$C$2:$C$4995,$D3765)&gt;0,"Có","Không"))</f>
        <v/>
      </c>
      <c r="W3765" s="22">
        <f>IF(OR($D3765="",$R3765="Trùng"),"",COUNTIFS(ORDERS!$C$2:$C$4995,$D3765,ORDERS!$L$2:$L$4995,"Đã chuyển khoản"))</f>
        <v/>
      </c>
      <c r="X3765" s="23">
        <f>IF(OR($D3765="",$R3765="Trùng"),"",SUMIFS(ORDERS!$J$2:$J$4995,ORDERS!$C$2:$C$4995,$D3765,ORDERS!$L$2:$L$4995,"Đã chuyển khoản"))</f>
        <v/>
      </c>
      <c r="Y3765" s="24" t="n"/>
    </row>
    <row r="3766" ht="14.25" customHeight="1" s="40">
      <c r="A3766" s="24" t="n"/>
      <c r="B3766" s="27" t="n"/>
      <c r="C3766" s="24" t="n"/>
      <c r="D3766" s="28" t="n"/>
      <c r="E3766" s="29" t="n"/>
      <c r="F3766" s="24" t="n"/>
      <c r="G3766" s="24" t="n"/>
      <c r="H3766" s="21">
        <f>IF(ISNUMBER($B3766),INT($B3766)-WEEKDAY($B3766,2)+1,"")</f>
        <v/>
      </c>
      <c r="I3766" s="24" t="n"/>
      <c r="J3766" s="22">
        <f t="array" ref="J3766">IF($D3766="","",IF($I3766="","(trống REF)",IFERROR(INDEX(MASTER_SOURCE!$B$2:$B$495,MATCH($I3766,MASTER_SOURCE!$A$2:$A$495,0)),"(REF không có trong MASTER_SOURCE)")))</f>
        <v/>
      </c>
      <c r="K3766" s="22">
        <f t="array" ref="K3766">IF($D3766="","",IFERROR(INDEX(MASTER_SOURCE!$C$2:$C$495,MATCH($I3766,MASTER_SOURCE!$A$2:$A$495,0)),""))</f>
        <v/>
      </c>
      <c r="L3766" s="22">
        <f t="array" ref="L3766">IF($D3766="","",IFERROR(INDEX(MASTER_SOURCE!$D$2:$D$495,MATCH($I3766,MASTER_SOURCE!$A$2:$A$495,0)),""))</f>
        <v/>
      </c>
      <c r="M3766" s="24" t="n"/>
      <c r="N3766" s="24" t="n"/>
      <c r="O3766" s="24" t="n"/>
      <c r="P3766" s="24" t="n"/>
      <c r="Q3766" s="22">
        <f>IF($D3766="","",IF(AND(OR(DANH_MUC!$L$5&lt;&gt;"Có",M3766="Có"),OR(DANH_MUC!$L$6&lt;&gt;"Có",N3766="Có"),OR(DANH_MUC!$L$7&lt;&gt;"Có",O3766="Có"),OR(DANH_MUC!$L$8&lt;&gt;"Có",P3766="Có")),"Có","Không"))</f>
        <v/>
      </c>
      <c r="R3766" s="22">
        <f>IF($D3766="","",IF(COUNTIF($D$2:$D3766,$D3766)&gt;1,"Trùng",""))</f>
        <v/>
      </c>
      <c r="S3766" s="22">
        <f>IF($D3766="","",IF(AND(LEN($D3766)=10,LEFT($D3766,1)="0",ISNUMBER(--$D3766)),"Có","Không"))</f>
        <v/>
      </c>
      <c r="T3766" s="22">
        <f>IF($D3766="","",IF(AND($C3766&lt;&gt;"",$Q3766="Có",$R3766="",$S3766="Có",AND($L3766&lt;&gt;"",OR($L3766&lt;&gt;"Chưa xác định",DANH_MUC!$L$9="Có"))),"Có","Không"))</f>
        <v/>
      </c>
      <c r="U3766" s="22">
        <f>IF(OR($D3766="",$T3766="Có"),"",IF($C3766="","Thiếu họ tên; ","")&amp;IF($S3766&lt;&gt;"Có","SĐT sai định dạng; ","")&amp;IF($R3766="Trùng","Trùng SĐT; ","")&amp;IF($Q3766&lt;&gt;"Có","Thiếu đồng ý bắt buộc; ","")&amp;IF($L3766="","Thiếu/sai Mã REF; ",IF(AND($L3766="Chưa xác định",DANH_MUC!$L$9&lt;&gt;"Có"),"Nguồn chưa xác định; ","")))</f>
        <v/>
      </c>
      <c r="V3766" s="22">
        <f>IF(OR($D3766="",$R3766="Trùng"),"",IF(COUNTIF(ORDERS!$C$2:$C$4995,$D3766)&gt;0,"Có","Không"))</f>
        <v/>
      </c>
      <c r="W3766" s="22">
        <f>IF(OR($D3766="",$R3766="Trùng"),"",COUNTIFS(ORDERS!$C$2:$C$4995,$D3766,ORDERS!$L$2:$L$4995,"Đã chuyển khoản"))</f>
        <v/>
      </c>
      <c r="X3766" s="23">
        <f>IF(OR($D3766="",$R3766="Trùng"),"",SUMIFS(ORDERS!$J$2:$J$4995,ORDERS!$C$2:$C$4995,$D3766,ORDERS!$L$2:$L$4995,"Đã chuyển khoản"))</f>
        <v/>
      </c>
      <c r="Y3766" s="24" t="n"/>
    </row>
    <row r="3767" ht="14.25" customHeight="1" s="40">
      <c r="A3767" s="24" t="n"/>
      <c r="B3767" s="27" t="n"/>
      <c r="C3767" s="24" t="n"/>
      <c r="D3767" s="28" t="n"/>
      <c r="E3767" s="29" t="n"/>
      <c r="F3767" s="24" t="n"/>
      <c r="G3767" s="24" t="n"/>
      <c r="H3767" s="21">
        <f>IF(ISNUMBER($B3767),INT($B3767)-WEEKDAY($B3767,2)+1,"")</f>
        <v/>
      </c>
      <c r="I3767" s="24" t="n"/>
      <c r="J3767" s="22">
        <f t="array" ref="J3767">IF($D3767="","",IF($I3767="","(trống REF)",IFERROR(INDEX(MASTER_SOURCE!$B$2:$B$495,MATCH($I3767,MASTER_SOURCE!$A$2:$A$495,0)),"(REF không có trong MASTER_SOURCE)")))</f>
        <v/>
      </c>
      <c r="K3767" s="22">
        <f t="array" ref="K3767">IF($D3767="","",IFERROR(INDEX(MASTER_SOURCE!$C$2:$C$495,MATCH($I3767,MASTER_SOURCE!$A$2:$A$495,0)),""))</f>
        <v/>
      </c>
      <c r="L3767" s="22">
        <f t="array" ref="L3767">IF($D3767="","",IFERROR(INDEX(MASTER_SOURCE!$D$2:$D$495,MATCH($I3767,MASTER_SOURCE!$A$2:$A$495,0)),""))</f>
        <v/>
      </c>
      <c r="M3767" s="24" t="n"/>
      <c r="N3767" s="24" t="n"/>
      <c r="O3767" s="24" t="n"/>
      <c r="P3767" s="24" t="n"/>
      <c r="Q3767" s="22">
        <f>IF($D3767="","",IF(AND(OR(DANH_MUC!$L$5&lt;&gt;"Có",M3767="Có"),OR(DANH_MUC!$L$6&lt;&gt;"Có",N3767="Có"),OR(DANH_MUC!$L$7&lt;&gt;"Có",O3767="Có"),OR(DANH_MUC!$L$8&lt;&gt;"Có",P3767="Có")),"Có","Không"))</f>
        <v/>
      </c>
      <c r="R3767" s="22">
        <f>IF($D3767="","",IF(COUNTIF($D$2:$D3767,$D3767)&gt;1,"Trùng",""))</f>
        <v/>
      </c>
      <c r="S3767" s="22">
        <f>IF($D3767="","",IF(AND(LEN($D3767)=10,LEFT($D3767,1)="0",ISNUMBER(--$D3767)),"Có","Không"))</f>
        <v/>
      </c>
      <c r="T3767" s="22">
        <f>IF($D3767="","",IF(AND($C3767&lt;&gt;"",$Q3767="Có",$R3767="",$S3767="Có",AND($L3767&lt;&gt;"",OR($L3767&lt;&gt;"Chưa xác định",DANH_MUC!$L$9="Có"))),"Có","Không"))</f>
        <v/>
      </c>
      <c r="U3767" s="22">
        <f>IF(OR($D3767="",$T3767="Có"),"",IF($C3767="","Thiếu họ tên; ","")&amp;IF($S3767&lt;&gt;"Có","SĐT sai định dạng; ","")&amp;IF($R3767="Trùng","Trùng SĐT; ","")&amp;IF($Q3767&lt;&gt;"Có","Thiếu đồng ý bắt buộc; ","")&amp;IF($L3767="","Thiếu/sai Mã REF; ",IF(AND($L3767="Chưa xác định",DANH_MUC!$L$9&lt;&gt;"Có"),"Nguồn chưa xác định; ","")))</f>
        <v/>
      </c>
      <c r="V3767" s="22">
        <f>IF(OR($D3767="",$R3767="Trùng"),"",IF(COUNTIF(ORDERS!$C$2:$C$4995,$D3767)&gt;0,"Có","Không"))</f>
        <v/>
      </c>
      <c r="W3767" s="22">
        <f>IF(OR($D3767="",$R3767="Trùng"),"",COUNTIFS(ORDERS!$C$2:$C$4995,$D3767,ORDERS!$L$2:$L$4995,"Đã chuyển khoản"))</f>
        <v/>
      </c>
      <c r="X3767" s="23">
        <f>IF(OR($D3767="",$R3767="Trùng"),"",SUMIFS(ORDERS!$J$2:$J$4995,ORDERS!$C$2:$C$4995,$D3767,ORDERS!$L$2:$L$4995,"Đã chuyển khoản"))</f>
        <v/>
      </c>
      <c r="Y3767" s="24" t="n"/>
    </row>
    <row r="3768" ht="14.25" customHeight="1" s="40">
      <c r="A3768" s="24" t="n"/>
      <c r="B3768" s="27" t="n"/>
      <c r="C3768" s="24" t="n"/>
      <c r="D3768" s="28" t="n"/>
      <c r="E3768" s="29" t="n"/>
      <c r="F3768" s="24" t="n"/>
      <c r="G3768" s="24" t="n"/>
      <c r="H3768" s="21">
        <f>IF(ISNUMBER($B3768),INT($B3768)-WEEKDAY($B3768,2)+1,"")</f>
        <v/>
      </c>
      <c r="I3768" s="24" t="n"/>
      <c r="J3768" s="22">
        <f t="array" ref="J3768">IF($D3768="","",IF($I3768="","(trống REF)",IFERROR(INDEX(MASTER_SOURCE!$B$2:$B$495,MATCH($I3768,MASTER_SOURCE!$A$2:$A$495,0)),"(REF không có trong MASTER_SOURCE)")))</f>
        <v/>
      </c>
      <c r="K3768" s="22">
        <f t="array" ref="K3768">IF($D3768="","",IFERROR(INDEX(MASTER_SOURCE!$C$2:$C$495,MATCH($I3768,MASTER_SOURCE!$A$2:$A$495,0)),""))</f>
        <v/>
      </c>
      <c r="L3768" s="22">
        <f t="array" ref="L3768">IF($D3768="","",IFERROR(INDEX(MASTER_SOURCE!$D$2:$D$495,MATCH($I3768,MASTER_SOURCE!$A$2:$A$495,0)),""))</f>
        <v/>
      </c>
      <c r="M3768" s="24" t="n"/>
      <c r="N3768" s="24" t="n"/>
      <c r="O3768" s="24" t="n"/>
      <c r="P3768" s="24" t="n"/>
      <c r="Q3768" s="22">
        <f>IF($D3768="","",IF(AND(OR(DANH_MUC!$L$5&lt;&gt;"Có",M3768="Có"),OR(DANH_MUC!$L$6&lt;&gt;"Có",N3768="Có"),OR(DANH_MUC!$L$7&lt;&gt;"Có",O3768="Có"),OR(DANH_MUC!$L$8&lt;&gt;"Có",P3768="Có")),"Có","Không"))</f>
        <v/>
      </c>
      <c r="R3768" s="22">
        <f>IF($D3768="","",IF(COUNTIF($D$2:$D3768,$D3768)&gt;1,"Trùng",""))</f>
        <v/>
      </c>
      <c r="S3768" s="22">
        <f>IF($D3768="","",IF(AND(LEN($D3768)=10,LEFT($D3768,1)="0",ISNUMBER(--$D3768)),"Có","Không"))</f>
        <v/>
      </c>
      <c r="T3768" s="22">
        <f>IF($D3768="","",IF(AND($C3768&lt;&gt;"",$Q3768="Có",$R3768="",$S3768="Có",AND($L3768&lt;&gt;"",OR($L3768&lt;&gt;"Chưa xác định",DANH_MUC!$L$9="Có"))),"Có","Không"))</f>
        <v/>
      </c>
      <c r="U3768" s="22">
        <f>IF(OR($D3768="",$T3768="Có"),"",IF($C3768="","Thiếu họ tên; ","")&amp;IF($S3768&lt;&gt;"Có","SĐT sai định dạng; ","")&amp;IF($R3768="Trùng","Trùng SĐT; ","")&amp;IF($Q3768&lt;&gt;"Có","Thiếu đồng ý bắt buộc; ","")&amp;IF($L3768="","Thiếu/sai Mã REF; ",IF(AND($L3768="Chưa xác định",DANH_MUC!$L$9&lt;&gt;"Có"),"Nguồn chưa xác định; ","")))</f>
        <v/>
      </c>
      <c r="V3768" s="22">
        <f>IF(OR($D3768="",$R3768="Trùng"),"",IF(COUNTIF(ORDERS!$C$2:$C$4995,$D3768)&gt;0,"Có","Không"))</f>
        <v/>
      </c>
      <c r="W3768" s="22">
        <f>IF(OR($D3768="",$R3768="Trùng"),"",COUNTIFS(ORDERS!$C$2:$C$4995,$D3768,ORDERS!$L$2:$L$4995,"Đã chuyển khoản"))</f>
        <v/>
      </c>
      <c r="X3768" s="23">
        <f>IF(OR($D3768="",$R3768="Trùng"),"",SUMIFS(ORDERS!$J$2:$J$4995,ORDERS!$C$2:$C$4995,$D3768,ORDERS!$L$2:$L$4995,"Đã chuyển khoản"))</f>
        <v/>
      </c>
      <c r="Y3768" s="24" t="n"/>
    </row>
    <row r="3769" ht="14.25" customHeight="1" s="40">
      <c r="A3769" s="24" t="n"/>
      <c r="B3769" s="27" t="n"/>
      <c r="C3769" s="24" t="n"/>
      <c r="D3769" s="28" t="n"/>
      <c r="E3769" s="29" t="n"/>
      <c r="F3769" s="24" t="n"/>
      <c r="G3769" s="24" t="n"/>
      <c r="H3769" s="21">
        <f>IF(ISNUMBER($B3769),INT($B3769)-WEEKDAY($B3769,2)+1,"")</f>
        <v/>
      </c>
      <c r="I3769" s="24" t="n"/>
      <c r="J3769" s="22">
        <f t="array" ref="J3769">IF($D3769="","",IF($I3769="","(trống REF)",IFERROR(INDEX(MASTER_SOURCE!$B$2:$B$495,MATCH($I3769,MASTER_SOURCE!$A$2:$A$495,0)),"(REF không có trong MASTER_SOURCE)")))</f>
        <v/>
      </c>
      <c r="K3769" s="22">
        <f t="array" ref="K3769">IF($D3769="","",IFERROR(INDEX(MASTER_SOURCE!$C$2:$C$495,MATCH($I3769,MASTER_SOURCE!$A$2:$A$495,0)),""))</f>
        <v/>
      </c>
      <c r="L3769" s="22">
        <f t="array" ref="L3769">IF($D3769="","",IFERROR(INDEX(MASTER_SOURCE!$D$2:$D$495,MATCH($I3769,MASTER_SOURCE!$A$2:$A$495,0)),""))</f>
        <v/>
      </c>
      <c r="M3769" s="24" t="n"/>
      <c r="N3769" s="24" t="n"/>
      <c r="O3769" s="24" t="n"/>
      <c r="P3769" s="24" t="n"/>
      <c r="Q3769" s="22">
        <f>IF($D3769="","",IF(AND(OR(DANH_MUC!$L$5&lt;&gt;"Có",M3769="Có"),OR(DANH_MUC!$L$6&lt;&gt;"Có",N3769="Có"),OR(DANH_MUC!$L$7&lt;&gt;"Có",O3769="Có"),OR(DANH_MUC!$L$8&lt;&gt;"Có",P3769="Có")),"Có","Không"))</f>
        <v/>
      </c>
      <c r="R3769" s="22">
        <f>IF($D3769="","",IF(COUNTIF($D$2:$D3769,$D3769)&gt;1,"Trùng",""))</f>
        <v/>
      </c>
      <c r="S3769" s="22">
        <f>IF($D3769="","",IF(AND(LEN($D3769)=10,LEFT($D3769,1)="0",ISNUMBER(--$D3769)),"Có","Không"))</f>
        <v/>
      </c>
      <c r="T3769" s="22">
        <f>IF($D3769="","",IF(AND($C3769&lt;&gt;"",$Q3769="Có",$R3769="",$S3769="Có",AND($L3769&lt;&gt;"",OR($L3769&lt;&gt;"Chưa xác định",DANH_MUC!$L$9="Có"))),"Có","Không"))</f>
        <v/>
      </c>
      <c r="U3769" s="22">
        <f>IF(OR($D3769="",$T3769="Có"),"",IF($C3769="","Thiếu họ tên; ","")&amp;IF($S3769&lt;&gt;"Có","SĐT sai định dạng; ","")&amp;IF($R3769="Trùng","Trùng SĐT; ","")&amp;IF($Q3769&lt;&gt;"Có","Thiếu đồng ý bắt buộc; ","")&amp;IF($L3769="","Thiếu/sai Mã REF; ",IF(AND($L3769="Chưa xác định",DANH_MUC!$L$9&lt;&gt;"Có"),"Nguồn chưa xác định; ","")))</f>
        <v/>
      </c>
      <c r="V3769" s="22">
        <f>IF(OR($D3769="",$R3769="Trùng"),"",IF(COUNTIF(ORDERS!$C$2:$C$4995,$D3769)&gt;0,"Có","Không"))</f>
        <v/>
      </c>
      <c r="W3769" s="22">
        <f>IF(OR($D3769="",$R3769="Trùng"),"",COUNTIFS(ORDERS!$C$2:$C$4995,$D3769,ORDERS!$L$2:$L$4995,"Đã chuyển khoản"))</f>
        <v/>
      </c>
      <c r="X3769" s="23">
        <f>IF(OR($D3769="",$R3769="Trùng"),"",SUMIFS(ORDERS!$J$2:$J$4995,ORDERS!$C$2:$C$4995,$D3769,ORDERS!$L$2:$L$4995,"Đã chuyển khoản"))</f>
        <v/>
      </c>
      <c r="Y3769" s="24" t="n"/>
    </row>
    <row r="3770" ht="14.25" customHeight="1" s="40">
      <c r="A3770" s="24" t="n"/>
      <c r="B3770" s="27" t="n"/>
      <c r="C3770" s="24" t="n"/>
      <c r="D3770" s="28" t="n"/>
      <c r="E3770" s="29" t="n"/>
      <c r="F3770" s="24" t="n"/>
      <c r="G3770" s="24" t="n"/>
      <c r="H3770" s="21">
        <f>IF(ISNUMBER($B3770),INT($B3770)-WEEKDAY($B3770,2)+1,"")</f>
        <v/>
      </c>
      <c r="I3770" s="24" t="n"/>
      <c r="J3770" s="22">
        <f t="array" ref="J3770">IF($D3770="","",IF($I3770="","(trống REF)",IFERROR(INDEX(MASTER_SOURCE!$B$2:$B$495,MATCH($I3770,MASTER_SOURCE!$A$2:$A$495,0)),"(REF không có trong MASTER_SOURCE)")))</f>
        <v/>
      </c>
      <c r="K3770" s="22">
        <f t="array" ref="K3770">IF($D3770="","",IFERROR(INDEX(MASTER_SOURCE!$C$2:$C$495,MATCH($I3770,MASTER_SOURCE!$A$2:$A$495,0)),""))</f>
        <v/>
      </c>
      <c r="L3770" s="22">
        <f t="array" ref="L3770">IF($D3770="","",IFERROR(INDEX(MASTER_SOURCE!$D$2:$D$495,MATCH($I3770,MASTER_SOURCE!$A$2:$A$495,0)),""))</f>
        <v/>
      </c>
      <c r="M3770" s="24" t="n"/>
      <c r="N3770" s="24" t="n"/>
      <c r="O3770" s="24" t="n"/>
      <c r="P3770" s="24" t="n"/>
      <c r="Q3770" s="22">
        <f>IF($D3770="","",IF(AND(OR(DANH_MUC!$L$5&lt;&gt;"Có",M3770="Có"),OR(DANH_MUC!$L$6&lt;&gt;"Có",N3770="Có"),OR(DANH_MUC!$L$7&lt;&gt;"Có",O3770="Có"),OR(DANH_MUC!$L$8&lt;&gt;"Có",P3770="Có")),"Có","Không"))</f>
        <v/>
      </c>
      <c r="R3770" s="22">
        <f>IF($D3770="","",IF(COUNTIF($D$2:$D3770,$D3770)&gt;1,"Trùng",""))</f>
        <v/>
      </c>
      <c r="S3770" s="22">
        <f>IF($D3770="","",IF(AND(LEN($D3770)=10,LEFT($D3770,1)="0",ISNUMBER(--$D3770)),"Có","Không"))</f>
        <v/>
      </c>
      <c r="T3770" s="22">
        <f>IF($D3770="","",IF(AND($C3770&lt;&gt;"",$Q3770="Có",$R3770="",$S3770="Có",AND($L3770&lt;&gt;"",OR($L3770&lt;&gt;"Chưa xác định",DANH_MUC!$L$9="Có"))),"Có","Không"))</f>
        <v/>
      </c>
      <c r="U3770" s="22">
        <f>IF(OR($D3770="",$T3770="Có"),"",IF($C3770="","Thiếu họ tên; ","")&amp;IF($S3770&lt;&gt;"Có","SĐT sai định dạng; ","")&amp;IF($R3770="Trùng","Trùng SĐT; ","")&amp;IF($Q3770&lt;&gt;"Có","Thiếu đồng ý bắt buộc; ","")&amp;IF($L3770="","Thiếu/sai Mã REF; ",IF(AND($L3770="Chưa xác định",DANH_MUC!$L$9&lt;&gt;"Có"),"Nguồn chưa xác định; ","")))</f>
        <v/>
      </c>
      <c r="V3770" s="22">
        <f>IF(OR($D3770="",$R3770="Trùng"),"",IF(COUNTIF(ORDERS!$C$2:$C$4995,$D3770)&gt;0,"Có","Không"))</f>
        <v/>
      </c>
      <c r="W3770" s="22">
        <f>IF(OR($D3770="",$R3770="Trùng"),"",COUNTIFS(ORDERS!$C$2:$C$4995,$D3770,ORDERS!$L$2:$L$4995,"Đã chuyển khoản"))</f>
        <v/>
      </c>
      <c r="X3770" s="23">
        <f>IF(OR($D3770="",$R3770="Trùng"),"",SUMIFS(ORDERS!$J$2:$J$4995,ORDERS!$C$2:$C$4995,$D3770,ORDERS!$L$2:$L$4995,"Đã chuyển khoản"))</f>
        <v/>
      </c>
      <c r="Y3770" s="24" t="n"/>
    </row>
    <row r="3771" ht="14.25" customHeight="1" s="40">
      <c r="A3771" s="24" t="n"/>
      <c r="B3771" s="27" t="n"/>
      <c r="C3771" s="24" t="n"/>
      <c r="D3771" s="28" t="n"/>
      <c r="E3771" s="29" t="n"/>
      <c r="F3771" s="24" t="n"/>
      <c r="G3771" s="24" t="n"/>
      <c r="H3771" s="21">
        <f>IF(ISNUMBER($B3771),INT($B3771)-WEEKDAY($B3771,2)+1,"")</f>
        <v/>
      </c>
      <c r="I3771" s="24" t="n"/>
      <c r="J3771" s="22">
        <f t="array" ref="J3771">IF($D3771="","",IF($I3771="","(trống REF)",IFERROR(INDEX(MASTER_SOURCE!$B$2:$B$495,MATCH($I3771,MASTER_SOURCE!$A$2:$A$495,0)),"(REF không có trong MASTER_SOURCE)")))</f>
        <v/>
      </c>
      <c r="K3771" s="22">
        <f t="array" ref="K3771">IF($D3771="","",IFERROR(INDEX(MASTER_SOURCE!$C$2:$C$495,MATCH($I3771,MASTER_SOURCE!$A$2:$A$495,0)),""))</f>
        <v/>
      </c>
      <c r="L3771" s="22">
        <f t="array" ref="L3771">IF($D3771="","",IFERROR(INDEX(MASTER_SOURCE!$D$2:$D$495,MATCH($I3771,MASTER_SOURCE!$A$2:$A$495,0)),""))</f>
        <v/>
      </c>
      <c r="M3771" s="24" t="n"/>
      <c r="N3771" s="24" t="n"/>
      <c r="O3771" s="24" t="n"/>
      <c r="P3771" s="24" t="n"/>
      <c r="Q3771" s="22">
        <f>IF($D3771="","",IF(AND(OR(DANH_MUC!$L$5&lt;&gt;"Có",M3771="Có"),OR(DANH_MUC!$L$6&lt;&gt;"Có",N3771="Có"),OR(DANH_MUC!$L$7&lt;&gt;"Có",O3771="Có"),OR(DANH_MUC!$L$8&lt;&gt;"Có",P3771="Có")),"Có","Không"))</f>
        <v/>
      </c>
      <c r="R3771" s="22">
        <f>IF($D3771="","",IF(COUNTIF($D$2:$D3771,$D3771)&gt;1,"Trùng",""))</f>
        <v/>
      </c>
      <c r="S3771" s="22">
        <f>IF($D3771="","",IF(AND(LEN($D3771)=10,LEFT($D3771,1)="0",ISNUMBER(--$D3771)),"Có","Không"))</f>
        <v/>
      </c>
      <c r="T3771" s="22">
        <f>IF($D3771="","",IF(AND($C3771&lt;&gt;"",$Q3771="Có",$R3771="",$S3771="Có",AND($L3771&lt;&gt;"",OR($L3771&lt;&gt;"Chưa xác định",DANH_MUC!$L$9="Có"))),"Có","Không"))</f>
        <v/>
      </c>
      <c r="U3771" s="22">
        <f>IF(OR($D3771="",$T3771="Có"),"",IF($C3771="","Thiếu họ tên; ","")&amp;IF($S3771&lt;&gt;"Có","SĐT sai định dạng; ","")&amp;IF($R3771="Trùng","Trùng SĐT; ","")&amp;IF($Q3771&lt;&gt;"Có","Thiếu đồng ý bắt buộc; ","")&amp;IF($L3771="","Thiếu/sai Mã REF; ",IF(AND($L3771="Chưa xác định",DANH_MUC!$L$9&lt;&gt;"Có"),"Nguồn chưa xác định; ","")))</f>
        <v/>
      </c>
      <c r="V3771" s="22">
        <f>IF(OR($D3771="",$R3771="Trùng"),"",IF(COUNTIF(ORDERS!$C$2:$C$4995,$D3771)&gt;0,"Có","Không"))</f>
        <v/>
      </c>
      <c r="W3771" s="22">
        <f>IF(OR($D3771="",$R3771="Trùng"),"",COUNTIFS(ORDERS!$C$2:$C$4995,$D3771,ORDERS!$L$2:$L$4995,"Đã chuyển khoản"))</f>
        <v/>
      </c>
      <c r="X3771" s="23">
        <f>IF(OR($D3771="",$R3771="Trùng"),"",SUMIFS(ORDERS!$J$2:$J$4995,ORDERS!$C$2:$C$4995,$D3771,ORDERS!$L$2:$L$4995,"Đã chuyển khoản"))</f>
        <v/>
      </c>
      <c r="Y3771" s="24" t="n"/>
    </row>
    <row r="3772" ht="14.25" customHeight="1" s="40">
      <c r="A3772" s="24" t="n"/>
      <c r="B3772" s="27" t="n"/>
      <c r="C3772" s="24" t="n"/>
      <c r="D3772" s="28" t="n"/>
      <c r="E3772" s="29" t="n"/>
      <c r="F3772" s="24" t="n"/>
      <c r="G3772" s="24" t="n"/>
      <c r="H3772" s="21">
        <f>IF(ISNUMBER($B3772),INT($B3772)-WEEKDAY($B3772,2)+1,"")</f>
        <v/>
      </c>
      <c r="I3772" s="24" t="n"/>
      <c r="J3772" s="22">
        <f t="array" ref="J3772">IF($D3772="","",IF($I3772="","(trống REF)",IFERROR(INDEX(MASTER_SOURCE!$B$2:$B$495,MATCH($I3772,MASTER_SOURCE!$A$2:$A$495,0)),"(REF không có trong MASTER_SOURCE)")))</f>
        <v/>
      </c>
      <c r="K3772" s="22">
        <f t="array" ref="K3772">IF($D3772="","",IFERROR(INDEX(MASTER_SOURCE!$C$2:$C$495,MATCH($I3772,MASTER_SOURCE!$A$2:$A$495,0)),""))</f>
        <v/>
      </c>
      <c r="L3772" s="22">
        <f t="array" ref="L3772">IF($D3772="","",IFERROR(INDEX(MASTER_SOURCE!$D$2:$D$495,MATCH($I3772,MASTER_SOURCE!$A$2:$A$495,0)),""))</f>
        <v/>
      </c>
      <c r="M3772" s="24" t="n"/>
      <c r="N3772" s="24" t="n"/>
      <c r="O3772" s="24" t="n"/>
      <c r="P3772" s="24" t="n"/>
      <c r="Q3772" s="22">
        <f>IF($D3772="","",IF(AND(OR(DANH_MUC!$L$5&lt;&gt;"Có",M3772="Có"),OR(DANH_MUC!$L$6&lt;&gt;"Có",N3772="Có"),OR(DANH_MUC!$L$7&lt;&gt;"Có",O3772="Có"),OR(DANH_MUC!$L$8&lt;&gt;"Có",P3772="Có")),"Có","Không"))</f>
        <v/>
      </c>
      <c r="R3772" s="22">
        <f>IF($D3772="","",IF(COUNTIF($D$2:$D3772,$D3772)&gt;1,"Trùng",""))</f>
        <v/>
      </c>
      <c r="S3772" s="22">
        <f>IF($D3772="","",IF(AND(LEN($D3772)=10,LEFT($D3772,1)="0",ISNUMBER(--$D3772)),"Có","Không"))</f>
        <v/>
      </c>
      <c r="T3772" s="22">
        <f>IF($D3772="","",IF(AND($C3772&lt;&gt;"",$Q3772="Có",$R3772="",$S3772="Có",AND($L3772&lt;&gt;"",OR($L3772&lt;&gt;"Chưa xác định",DANH_MUC!$L$9="Có"))),"Có","Không"))</f>
        <v/>
      </c>
      <c r="U3772" s="22">
        <f>IF(OR($D3772="",$T3772="Có"),"",IF($C3772="","Thiếu họ tên; ","")&amp;IF($S3772&lt;&gt;"Có","SĐT sai định dạng; ","")&amp;IF($R3772="Trùng","Trùng SĐT; ","")&amp;IF($Q3772&lt;&gt;"Có","Thiếu đồng ý bắt buộc; ","")&amp;IF($L3772="","Thiếu/sai Mã REF; ",IF(AND($L3772="Chưa xác định",DANH_MUC!$L$9&lt;&gt;"Có"),"Nguồn chưa xác định; ","")))</f>
        <v/>
      </c>
      <c r="V3772" s="22">
        <f>IF(OR($D3772="",$R3772="Trùng"),"",IF(COUNTIF(ORDERS!$C$2:$C$4995,$D3772)&gt;0,"Có","Không"))</f>
        <v/>
      </c>
      <c r="W3772" s="22">
        <f>IF(OR($D3772="",$R3772="Trùng"),"",COUNTIFS(ORDERS!$C$2:$C$4995,$D3772,ORDERS!$L$2:$L$4995,"Đã chuyển khoản"))</f>
        <v/>
      </c>
      <c r="X3772" s="23">
        <f>IF(OR($D3772="",$R3772="Trùng"),"",SUMIFS(ORDERS!$J$2:$J$4995,ORDERS!$C$2:$C$4995,$D3772,ORDERS!$L$2:$L$4995,"Đã chuyển khoản"))</f>
        <v/>
      </c>
      <c r="Y3772" s="24" t="n"/>
    </row>
    <row r="3773" ht="14.25" customHeight="1" s="40">
      <c r="A3773" s="24" t="n"/>
      <c r="B3773" s="27" t="n"/>
      <c r="C3773" s="24" t="n"/>
      <c r="D3773" s="28" t="n"/>
      <c r="E3773" s="29" t="n"/>
      <c r="F3773" s="24" t="n"/>
      <c r="G3773" s="24" t="n"/>
      <c r="H3773" s="21">
        <f>IF(ISNUMBER($B3773),INT($B3773)-WEEKDAY($B3773,2)+1,"")</f>
        <v/>
      </c>
      <c r="I3773" s="24" t="n"/>
      <c r="J3773" s="22">
        <f t="array" ref="J3773">IF($D3773="","",IF($I3773="","(trống REF)",IFERROR(INDEX(MASTER_SOURCE!$B$2:$B$495,MATCH($I3773,MASTER_SOURCE!$A$2:$A$495,0)),"(REF không có trong MASTER_SOURCE)")))</f>
        <v/>
      </c>
      <c r="K3773" s="22">
        <f t="array" ref="K3773">IF($D3773="","",IFERROR(INDEX(MASTER_SOURCE!$C$2:$C$495,MATCH($I3773,MASTER_SOURCE!$A$2:$A$495,0)),""))</f>
        <v/>
      </c>
      <c r="L3773" s="22">
        <f t="array" ref="L3773">IF($D3773="","",IFERROR(INDEX(MASTER_SOURCE!$D$2:$D$495,MATCH($I3773,MASTER_SOURCE!$A$2:$A$495,0)),""))</f>
        <v/>
      </c>
      <c r="M3773" s="24" t="n"/>
      <c r="N3773" s="24" t="n"/>
      <c r="O3773" s="24" t="n"/>
      <c r="P3773" s="24" t="n"/>
      <c r="Q3773" s="22">
        <f>IF($D3773="","",IF(AND(OR(DANH_MUC!$L$5&lt;&gt;"Có",M3773="Có"),OR(DANH_MUC!$L$6&lt;&gt;"Có",N3773="Có"),OR(DANH_MUC!$L$7&lt;&gt;"Có",O3773="Có"),OR(DANH_MUC!$L$8&lt;&gt;"Có",P3773="Có")),"Có","Không"))</f>
        <v/>
      </c>
      <c r="R3773" s="22">
        <f>IF($D3773="","",IF(COUNTIF($D$2:$D3773,$D3773)&gt;1,"Trùng",""))</f>
        <v/>
      </c>
      <c r="S3773" s="22">
        <f>IF($D3773="","",IF(AND(LEN($D3773)=10,LEFT($D3773,1)="0",ISNUMBER(--$D3773)),"Có","Không"))</f>
        <v/>
      </c>
      <c r="T3773" s="22">
        <f>IF($D3773="","",IF(AND($C3773&lt;&gt;"",$Q3773="Có",$R3773="",$S3773="Có",AND($L3773&lt;&gt;"",OR($L3773&lt;&gt;"Chưa xác định",DANH_MUC!$L$9="Có"))),"Có","Không"))</f>
        <v/>
      </c>
      <c r="U3773" s="22">
        <f>IF(OR($D3773="",$T3773="Có"),"",IF($C3773="","Thiếu họ tên; ","")&amp;IF($S3773&lt;&gt;"Có","SĐT sai định dạng; ","")&amp;IF($R3773="Trùng","Trùng SĐT; ","")&amp;IF($Q3773&lt;&gt;"Có","Thiếu đồng ý bắt buộc; ","")&amp;IF($L3773="","Thiếu/sai Mã REF; ",IF(AND($L3773="Chưa xác định",DANH_MUC!$L$9&lt;&gt;"Có"),"Nguồn chưa xác định; ","")))</f>
        <v/>
      </c>
      <c r="V3773" s="22">
        <f>IF(OR($D3773="",$R3773="Trùng"),"",IF(COUNTIF(ORDERS!$C$2:$C$4995,$D3773)&gt;0,"Có","Không"))</f>
        <v/>
      </c>
      <c r="W3773" s="22">
        <f>IF(OR($D3773="",$R3773="Trùng"),"",COUNTIFS(ORDERS!$C$2:$C$4995,$D3773,ORDERS!$L$2:$L$4995,"Đã chuyển khoản"))</f>
        <v/>
      </c>
      <c r="X3773" s="23">
        <f>IF(OR($D3773="",$R3773="Trùng"),"",SUMIFS(ORDERS!$J$2:$J$4995,ORDERS!$C$2:$C$4995,$D3773,ORDERS!$L$2:$L$4995,"Đã chuyển khoản"))</f>
        <v/>
      </c>
      <c r="Y3773" s="24" t="n"/>
    </row>
    <row r="3774" ht="14.25" customHeight="1" s="40">
      <c r="A3774" s="24" t="n"/>
      <c r="B3774" s="27" t="n"/>
      <c r="C3774" s="24" t="n"/>
      <c r="D3774" s="28" t="n"/>
      <c r="E3774" s="29" t="n"/>
      <c r="F3774" s="24" t="n"/>
      <c r="G3774" s="24" t="n"/>
      <c r="H3774" s="21">
        <f>IF(ISNUMBER($B3774),INT($B3774)-WEEKDAY($B3774,2)+1,"")</f>
        <v/>
      </c>
      <c r="I3774" s="24" t="n"/>
      <c r="J3774" s="22">
        <f t="array" ref="J3774">IF($D3774="","",IF($I3774="","(trống REF)",IFERROR(INDEX(MASTER_SOURCE!$B$2:$B$495,MATCH($I3774,MASTER_SOURCE!$A$2:$A$495,0)),"(REF không có trong MASTER_SOURCE)")))</f>
        <v/>
      </c>
      <c r="K3774" s="22">
        <f t="array" ref="K3774">IF($D3774="","",IFERROR(INDEX(MASTER_SOURCE!$C$2:$C$495,MATCH($I3774,MASTER_SOURCE!$A$2:$A$495,0)),""))</f>
        <v/>
      </c>
      <c r="L3774" s="22">
        <f t="array" ref="L3774">IF($D3774="","",IFERROR(INDEX(MASTER_SOURCE!$D$2:$D$495,MATCH($I3774,MASTER_SOURCE!$A$2:$A$495,0)),""))</f>
        <v/>
      </c>
      <c r="M3774" s="24" t="n"/>
      <c r="N3774" s="24" t="n"/>
      <c r="O3774" s="24" t="n"/>
      <c r="P3774" s="24" t="n"/>
      <c r="Q3774" s="22">
        <f>IF($D3774="","",IF(AND(OR(DANH_MUC!$L$5&lt;&gt;"Có",M3774="Có"),OR(DANH_MUC!$L$6&lt;&gt;"Có",N3774="Có"),OR(DANH_MUC!$L$7&lt;&gt;"Có",O3774="Có"),OR(DANH_MUC!$L$8&lt;&gt;"Có",P3774="Có")),"Có","Không"))</f>
        <v/>
      </c>
      <c r="R3774" s="22">
        <f>IF($D3774="","",IF(COUNTIF($D$2:$D3774,$D3774)&gt;1,"Trùng",""))</f>
        <v/>
      </c>
      <c r="S3774" s="22">
        <f>IF($D3774="","",IF(AND(LEN($D3774)=10,LEFT($D3774,1)="0",ISNUMBER(--$D3774)),"Có","Không"))</f>
        <v/>
      </c>
      <c r="T3774" s="22">
        <f>IF($D3774="","",IF(AND($C3774&lt;&gt;"",$Q3774="Có",$R3774="",$S3774="Có",AND($L3774&lt;&gt;"",OR($L3774&lt;&gt;"Chưa xác định",DANH_MUC!$L$9="Có"))),"Có","Không"))</f>
        <v/>
      </c>
      <c r="U3774" s="22">
        <f>IF(OR($D3774="",$T3774="Có"),"",IF($C3774="","Thiếu họ tên; ","")&amp;IF($S3774&lt;&gt;"Có","SĐT sai định dạng; ","")&amp;IF($R3774="Trùng","Trùng SĐT; ","")&amp;IF($Q3774&lt;&gt;"Có","Thiếu đồng ý bắt buộc; ","")&amp;IF($L3774="","Thiếu/sai Mã REF; ",IF(AND($L3774="Chưa xác định",DANH_MUC!$L$9&lt;&gt;"Có"),"Nguồn chưa xác định; ","")))</f>
        <v/>
      </c>
      <c r="V3774" s="22">
        <f>IF(OR($D3774="",$R3774="Trùng"),"",IF(COUNTIF(ORDERS!$C$2:$C$4995,$D3774)&gt;0,"Có","Không"))</f>
        <v/>
      </c>
      <c r="W3774" s="22">
        <f>IF(OR($D3774="",$R3774="Trùng"),"",COUNTIFS(ORDERS!$C$2:$C$4995,$D3774,ORDERS!$L$2:$L$4995,"Đã chuyển khoản"))</f>
        <v/>
      </c>
      <c r="X3774" s="23">
        <f>IF(OR($D3774="",$R3774="Trùng"),"",SUMIFS(ORDERS!$J$2:$J$4995,ORDERS!$C$2:$C$4995,$D3774,ORDERS!$L$2:$L$4995,"Đã chuyển khoản"))</f>
        <v/>
      </c>
      <c r="Y3774" s="24" t="n"/>
    </row>
    <row r="3775" ht="14.25" customHeight="1" s="40">
      <c r="A3775" s="24" t="n"/>
      <c r="B3775" s="27" t="n"/>
      <c r="C3775" s="24" t="n"/>
      <c r="D3775" s="28" t="n"/>
      <c r="E3775" s="29" t="n"/>
      <c r="F3775" s="24" t="n"/>
      <c r="G3775" s="24" t="n"/>
      <c r="H3775" s="21">
        <f>IF(ISNUMBER($B3775),INT($B3775)-WEEKDAY($B3775,2)+1,"")</f>
        <v/>
      </c>
      <c r="I3775" s="24" t="n"/>
      <c r="J3775" s="22">
        <f t="array" ref="J3775">IF($D3775="","",IF($I3775="","(trống REF)",IFERROR(INDEX(MASTER_SOURCE!$B$2:$B$495,MATCH($I3775,MASTER_SOURCE!$A$2:$A$495,0)),"(REF không có trong MASTER_SOURCE)")))</f>
        <v/>
      </c>
      <c r="K3775" s="22">
        <f t="array" ref="K3775">IF($D3775="","",IFERROR(INDEX(MASTER_SOURCE!$C$2:$C$495,MATCH($I3775,MASTER_SOURCE!$A$2:$A$495,0)),""))</f>
        <v/>
      </c>
      <c r="L3775" s="22">
        <f t="array" ref="L3775">IF($D3775="","",IFERROR(INDEX(MASTER_SOURCE!$D$2:$D$495,MATCH($I3775,MASTER_SOURCE!$A$2:$A$495,0)),""))</f>
        <v/>
      </c>
      <c r="M3775" s="24" t="n"/>
      <c r="N3775" s="24" t="n"/>
      <c r="O3775" s="24" t="n"/>
      <c r="P3775" s="24" t="n"/>
      <c r="Q3775" s="22">
        <f>IF($D3775="","",IF(AND(OR(DANH_MUC!$L$5&lt;&gt;"Có",M3775="Có"),OR(DANH_MUC!$L$6&lt;&gt;"Có",N3775="Có"),OR(DANH_MUC!$L$7&lt;&gt;"Có",O3775="Có"),OR(DANH_MUC!$L$8&lt;&gt;"Có",P3775="Có")),"Có","Không"))</f>
        <v/>
      </c>
      <c r="R3775" s="22">
        <f>IF($D3775="","",IF(COUNTIF($D$2:$D3775,$D3775)&gt;1,"Trùng",""))</f>
        <v/>
      </c>
      <c r="S3775" s="22">
        <f>IF($D3775="","",IF(AND(LEN($D3775)=10,LEFT($D3775,1)="0",ISNUMBER(--$D3775)),"Có","Không"))</f>
        <v/>
      </c>
      <c r="T3775" s="22">
        <f>IF($D3775="","",IF(AND($C3775&lt;&gt;"",$Q3775="Có",$R3775="",$S3775="Có",AND($L3775&lt;&gt;"",OR($L3775&lt;&gt;"Chưa xác định",DANH_MUC!$L$9="Có"))),"Có","Không"))</f>
        <v/>
      </c>
      <c r="U3775" s="22">
        <f>IF(OR($D3775="",$T3775="Có"),"",IF($C3775="","Thiếu họ tên; ","")&amp;IF($S3775&lt;&gt;"Có","SĐT sai định dạng; ","")&amp;IF($R3775="Trùng","Trùng SĐT; ","")&amp;IF($Q3775&lt;&gt;"Có","Thiếu đồng ý bắt buộc; ","")&amp;IF($L3775="","Thiếu/sai Mã REF; ",IF(AND($L3775="Chưa xác định",DANH_MUC!$L$9&lt;&gt;"Có"),"Nguồn chưa xác định; ","")))</f>
        <v/>
      </c>
      <c r="V3775" s="22">
        <f>IF(OR($D3775="",$R3775="Trùng"),"",IF(COUNTIF(ORDERS!$C$2:$C$4995,$D3775)&gt;0,"Có","Không"))</f>
        <v/>
      </c>
      <c r="W3775" s="22">
        <f>IF(OR($D3775="",$R3775="Trùng"),"",COUNTIFS(ORDERS!$C$2:$C$4995,$D3775,ORDERS!$L$2:$L$4995,"Đã chuyển khoản"))</f>
        <v/>
      </c>
      <c r="X3775" s="23">
        <f>IF(OR($D3775="",$R3775="Trùng"),"",SUMIFS(ORDERS!$J$2:$J$4995,ORDERS!$C$2:$C$4995,$D3775,ORDERS!$L$2:$L$4995,"Đã chuyển khoản"))</f>
        <v/>
      </c>
      <c r="Y3775" s="24" t="n"/>
    </row>
    <row r="3776" ht="14.25" customHeight="1" s="40">
      <c r="A3776" s="24" t="n"/>
      <c r="B3776" s="27" t="n"/>
      <c r="C3776" s="24" t="n"/>
      <c r="D3776" s="28" t="n"/>
      <c r="E3776" s="29" t="n"/>
      <c r="F3776" s="24" t="n"/>
      <c r="G3776" s="24" t="n"/>
      <c r="H3776" s="21">
        <f>IF(ISNUMBER($B3776),INT($B3776)-WEEKDAY($B3776,2)+1,"")</f>
        <v/>
      </c>
      <c r="I3776" s="24" t="n"/>
      <c r="J3776" s="22">
        <f t="array" ref="J3776">IF($D3776="","",IF($I3776="","(trống REF)",IFERROR(INDEX(MASTER_SOURCE!$B$2:$B$495,MATCH($I3776,MASTER_SOURCE!$A$2:$A$495,0)),"(REF không có trong MASTER_SOURCE)")))</f>
        <v/>
      </c>
      <c r="K3776" s="22">
        <f t="array" ref="K3776">IF($D3776="","",IFERROR(INDEX(MASTER_SOURCE!$C$2:$C$495,MATCH($I3776,MASTER_SOURCE!$A$2:$A$495,0)),""))</f>
        <v/>
      </c>
      <c r="L3776" s="22">
        <f t="array" ref="L3776">IF($D3776="","",IFERROR(INDEX(MASTER_SOURCE!$D$2:$D$495,MATCH($I3776,MASTER_SOURCE!$A$2:$A$495,0)),""))</f>
        <v/>
      </c>
      <c r="M3776" s="24" t="n"/>
      <c r="N3776" s="24" t="n"/>
      <c r="O3776" s="24" t="n"/>
      <c r="P3776" s="24" t="n"/>
      <c r="Q3776" s="22">
        <f>IF($D3776="","",IF(AND(OR(DANH_MUC!$L$5&lt;&gt;"Có",M3776="Có"),OR(DANH_MUC!$L$6&lt;&gt;"Có",N3776="Có"),OR(DANH_MUC!$L$7&lt;&gt;"Có",O3776="Có"),OR(DANH_MUC!$L$8&lt;&gt;"Có",P3776="Có")),"Có","Không"))</f>
        <v/>
      </c>
      <c r="R3776" s="22">
        <f>IF($D3776="","",IF(COUNTIF($D$2:$D3776,$D3776)&gt;1,"Trùng",""))</f>
        <v/>
      </c>
      <c r="S3776" s="22">
        <f>IF($D3776="","",IF(AND(LEN($D3776)=10,LEFT($D3776,1)="0",ISNUMBER(--$D3776)),"Có","Không"))</f>
        <v/>
      </c>
      <c r="T3776" s="22">
        <f>IF($D3776="","",IF(AND($C3776&lt;&gt;"",$Q3776="Có",$R3776="",$S3776="Có",AND($L3776&lt;&gt;"",OR($L3776&lt;&gt;"Chưa xác định",DANH_MUC!$L$9="Có"))),"Có","Không"))</f>
        <v/>
      </c>
      <c r="U3776" s="22">
        <f>IF(OR($D3776="",$T3776="Có"),"",IF($C3776="","Thiếu họ tên; ","")&amp;IF($S3776&lt;&gt;"Có","SĐT sai định dạng; ","")&amp;IF($R3776="Trùng","Trùng SĐT; ","")&amp;IF($Q3776&lt;&gt;"Có","Thiếu đồng ý bắt buộc; ","")&amp;IF($L3776="","Thiếu/sai Mã REF; ",IF(AND($L3776="Chưa xác định",DANH_MUC!$L$9&lt;&gt;"Có"),"Nguồn chưa xác định; ","")))</f>
        <v/>
      </c>
      <c r="V3776" s="22">
        <f>IF(OR($D3776="",$R3776="Trùng"),"",IF(COUNTIF(ORDERS!$C$2:$C$4995,$D3776)&gt;0,"Có","Không"))</f>
        <v/>
      </c>
      <c r="W3776" s="22">
        <f>IF(OR($D3776="",$R3776="Trùng"),"",COUNTIFS(ORDERS!$C$2:$C$4995,$D3776,ORDERS!$L$2:$L$4995,"Đã chuyển khoản"))</f>
        <v/>
      </c>
      <c r="X3776" s="23">
        <f>IF(OR($D3776="",$R3776="Trùng"),"",SUMIFS(ORDERS!$J$2:$J$4995,ORDERS!$C$2:$C$4995,$D3776,ORDERS!$L$2:$L$4995,"Đã chuyển khoản"))</f>
        <v/>
      </c>
      <c r="Y3776" s="24" t="n"/>
    </row>
    <row r="3777" ht="14.25" customHeight="1" s="40">
      <c r="A3777" s="24" t="n"/>
      <c r="B3777" s="27" t="n"/>
      <c r="C3777" s="24" t="n"/>
      <c r="D3777" s="28" t="n"/>
      <c r="E3777" s="29" t="n"/>
      <c r="F3777" s="24" t="n"/>
      <c r="G3777" s="24" t="n"/>
      <c r="H3777" s="21">
        <f>IF(ISNUMBER($B3777),INT($B3777)-WEEKDAY($B3777,2)+1,"")</f>
        <v/>
      </c>
      <c r="I3777" s="24" t="n"/>
      <c r="J3777" s="22">
        <f t="array" ref="J3777">IF($D3777="","",IF($I3777="","(trống REF)",IFERROR(INDEX(MASTER_SOURCE!$B$2:$B$495,MATCH($I3777,MASTER_SOURCE!$A$2:$A$495,0)),"(REF không có trong MASTER_SOURCE)")))</f>
        <v/>
      </c>
      <c r="K3777" s="22">
        <f t="array" ref="K3777">IF($D3777="","",IFERROR(INDEX(MASTER_SOURCE!$C$2:$C$495,MATCH($I3777,MASTER_SOURCE!$A$2:$A$495,0)),""))</f>
        <v/>
      </c>
      <c r="L3777" s="22">
        <f t="array" ref="L3777">IF($D3777="","",IFERROR(INDEX(MASTER_SOURCE!$D$2:$D$495,MATCH($I3777,MASTER_SOURCE!$A$2:$A$495,0)),""))</f>
        <v/>
      </c>
      <c r="M3777" s="24" t="n"/>
      <c r="N3777" s="24" t="n"/>
      <c r="O3777" s="24" t="n"/>
      <c r="P3777" s="24" t="n"/>
      <c r="Q3777" s="22">
        <f>IF($D3777="","",IF(AND(OR(DANH_MUC!$L$5&lt;&gt;"Có",M3777="Có"),OR(DANH_MUC!$L$6&lt;&gt;"Có",N3777="Có"),OR(DANH_MUC!$L$7&lt;&gt;"Có",O3777="Có"),OR(DANH_MUC!$L$8&lt;&gt;"Có",P3777="Có")),"Có","Không"))</f>
        <v/>
      </c>
      <c r="R3777" s="22">
        <f>IF($D3777="","",IF(COUNTIF($D$2:$D3777,$D3777)&gt;1,"Trùng",""))</f>
        <v/>
      </c>
      <c r="S3777" s="22">
        <f>IF($D3777="","",IF(AND(LEN($D3777)=10,LEFT($D3777,1)="0",ISNUMBER(--$D3777)),"Có","Không"))</f>
        <v/>
      </c>
      <c r="T3777" s="22">
        <f>IF($D3777="","",IF(AND($C3777&lt;&gt;"",$Q3777="Có",$R3777="",$S3777="Có",AND($L3777&lt;&gt;"",OR($L3777&lt;&gt;"Chưa xác định",DANH_MUC!$L$9="Có"))),"Có","Không"))</f>
        <v/>
      </c>
      <c r="U3777" s="22">
        <f>IF(OR($D3777="",$T3777="Có"),"",IF($C3777="","Thiếu họ tên; ","")&amp;IF($S3777&lt;&gt;"Có","SĐT sai định dạng; ","")&amp;IF($R3777="Trùng","Trùng SĐT; ","")&amp;IF($Q3777&lt;&gt;"Có","Thiếu đồng ý bắt buộc; ","")&amp;IF($L3777="","Thiếu/sai Mã REF; ",IF(AND($L3777="Chưa xác định",DANH_MUC!$L$9&lt;&gt;"Có"),"Nguồn chưa xác định; ","")))</f>
        <v/>
      </c>
      <c r="V3777" s="22">
        <f>IF(OR($D3777="",$R3777="Trùng"),"",IF(COUNTIF(ORDERS!$C$2:$C$4995,$D3777)&gt;0,"Có","Không"))</f>
        <v/>
      </c>
      <c r="W3777" s="22">
        <f>IF(OR($D3777="",$R3777="Trùng"),"",COUNTIFS(ORDERS!$C$2:$C$4995,$D3777,ORDERS!$L$2:$L$4995,"Đã chuyển khoản"))</f>
        <v/>
      </c>
      <c r="X3777" s="23">
        <f>IF(OR($D3777="",$R3777="Trùng"),"",SUMIFS(ORDERS!$J$2:$J$4995,ORDERS!$C$2:$C$4995,$D3777,ORDERS!$L$2:$L$4995,"Đã chuyển khoản"))</f>
        <v/>
      </c>
      <c r="Y3777" s="24" t="n"/>
    </row>
    <row r="3778" ht="14.25" customHeight="1" s="40">
      <c r="A3778" s="24" t="n"/>
      <c r="B3778" s="27" t="n"/>
      <c r="C3778" s="24" t="n"/>
      <c r="D3778" s="28" t="n"/>
      <c r="E3778" s="29" t="n"/>
      <c r="F3778" s="24" t="n"/>
      <c r="G3778" s="24" t="n"/>
      <c r="H3778" s="21">
        <f>IF(ISNUMBER($B3778),INT($B3778)-WEEKDAY($B3778,2)+1,"")</f>
        <v/>
      </c>
      <c r="I3778" s="24" t="n"/>
      <c r="J3778" s="22">
        <f t="array" ref="J3778">IF($D3778="","",IF($I3778="","(trống REF)",IFERROR(INDEX(MASTER_SOURCE!$B$2:$B$495,MATCH($I3778,MASTER_SOURCE!$A$2:$A$495,0)),"(REF không có trong MASTER_SOURCE)")))</f>
        <v/>
      </c>
      <c r="K3778" s="22">
        <f t="array" ref="K3778">IF($D3778="","",IFERROR(INDEX(MASTER_SOURCE!$C$2:$C$495,MATCH($I3778,MASTER_SOURCE!$A$2:$A$495,0)),""))</f>
        <v/>
      </c>
      <c r="L3778" s="22">
        <f t="array" ref="L3778">IF($D3778="","",IFERROR(INDEX(MASTER_SOURCE!$D$2:$D$495,MATCH($I3778,MASTER_SOURCE!$A$2:$A$495,0)),""))</f>
        <v/>
      </c>
      <c r="M3778" s="24" t="n"/>
      <c r="N3778" s="24" t="n"/>
      <c r="O3778" s="24" t="n"/>
      <c r="P3778" s="24" t="n"/>
      <c r="Q3778" s="22">
        <f>IF($D3778="","",IF(AND(OR(DANH_MUC!$L$5&lt;&gt;"Có",M3778="Có"),OR(DANH_MUC!$L$6&lt;&gt;"Có",N3778="Có"),OR(DANH_MUC!$L$7&lt;&gt;"Có",O3778="Có"),OR(DANH_MUC!$L$8&lt;&gt;"Có",P3778="Có")),"Có","Không"))</f>
        <v/>
      </c>
      <c r="R3778" s="22">
        <f>IF($D3778="","",IF(COUNTIF($D$2:$D3778,$D3778)&gt;1,"Trùng",""))</f>
        <v/>
      </c>
      <c r="S3778" s="22">
        <f>IF($D3778="","",IF(AND(LEN($D3778)=10,LEFT($D3778,1)="0",ISNUMBER(--$D3778)),"Có","Không"))</f>
        <v/>
      </c>
      <c r="T3778" s="22">
        <f>IF($D3778="","",IF(AND($C3778&lt;&gt;"",$Q3778="Có",$R3778="",$S3778="Có",AND($L3778&lt;&gt;"",OR($L3778&lt;&gt;"Chưa xác định",DANH_MUC!$L$9="Có"))),"Có","Không"))</f>
        <v/>
      </c>
      <c r="U3778" s="22">
        <f>IF(OR($D3778="",$T3778="Có"),"",IF($C3778="","Thiếu họ tên; ","")&amp;IF($S3778&lt;&gt;"Có","SĐT sai định dạng; ","")&amp;IF($R3778="Trùng","Trùng SĐT; ","")&amp;IF($Q3778&lt;&gt;"Có","Thiếu đồng ý bắt buộc; ","")&amp;IF($L3778="","Thiếu/sai Mã REF; ",IF(AND($L3778="Chưa xác định",DANH_MUC!$L$9&lt;&gt;"Có"),"Nguồn chưa xác định; ","")))</f>
        <v/>
      </c>
      <c r="V3778" s="22">
        <f>IF(OR($D3778="",$R3778="Trùng"),"",IF(COUNTIF(ORDERS!$C$2:$C$4995,$D3778)&gt;0,"Có","Không"))</f>
        <v/>
      </c>
      <c r="W3778" s="22">
        <f>IF(OR($D3778="",$R3778="Trùng"),"",COUNTIFS(ORDERS!$C$2:$C$4995,$D3778,ORDERS!$L$2:$L$4995,"Đã chuyển khoản"))</f>
        <v/>
      </c>
      <c r="X3778" s="23">
        <f>IF(OR($D3778="",$R3778="Trùng"),"",SUMIFS(ORDERS!$J$2:$J$4995,ORDERS!$C$2:$C$4995,$D3778,ORDERS!$L$2:$L$4995,"Đã chuyển khoản"))</f>
        <v/>
      </c>
      <c r="Y3778" s="24" t="n"/>
    </row>
    <row r="3779" ht="14.25" customHeight="1" s="40">
      <c r="A3779" s="24" t="n"/>
      <c r="B3779" s="27" t="n"/>
      <c r="C3779" s="24" t="n"/>
      <c r="D3779" s="28" t="n"/>
      <c r="E3779" s="29" t="n"/>
      <c r="F3779" s="24" t="n"/>
      <c r="G3779" s="24" t="n"/>
      <c r="H3779" s="21">
        <f>IF(ISNUMBER($B3779),INT($B3779)-WEEKDAY($B3779,2)+1,"")</f>
        <v/>
      </c>
      <c r="I3779" s="24" t="n"/>
      <c r="J3779" s="22">
        <f t="array" ref="J3779">IF($D3779="","",IF($I3779="","(trống REF)",IFERROR(INDEX(MASTER_SOURCE!$B$2:$B$495,MATCH($I3779,MASTER_SOURCE!$A$2:$A$495,0)),"(REF không có trong MASTER_SOURCE)")))</f>
        <v/>
      </c>
      <c r="K3779" s="22">
        <f t="array" ref="K3779">IF($D3779="","",IFERROR(INDEX(MASTER_SOURCE!$C$2:$C$495,MATCH($I3779,MASTER_SOURCE!$A$2:$A$495,0)),""))</f>
        <v/>
      </c>
      <c r="L3779" s="22">
        <f t="array" ref="L3779">IF($D3779="","",IFERROR(INDEX(MASTER_SOURCE!$D$2:$D$495,MATCH($I3779,MASTER_SOURCE!$A$2:$A$495,0)),""))</f>
        <v/>
      </c>
      <c r="M3779" s="24" t="n"/>
      <c r="N3779" s="24" t="n"/>
      <c r="O3779" s="24" t="n"/>
      <c r="P3779" s="24" t="n"/>
      <c r="Q3779" s="22">
        <f>IF($D3779="","",IF(AND(OR(DANH_MUC!$L$5&lt;&gt;"Có",M3779="Có"),OR(DANH_MUC!$L$6&lt;&gt;"Có",N3779="Có"),OR(DANH_MUC!$L$7&lt;&gt;"Có",O3779="Có"),OR(DANH_MUC!$L$8&lt;&gt;"Có",P3779="Có")),"Có","Không"))</f>
        <v/>
      </c>
      <c r="R3779" s="22">
        <f>IF($D3779="","",IF(COUNTIF($D$2:$D3779,$D3779)&gt;1,"Trùng",""))</f>
        <v/>
      </c>
      <c r="S3779" s="22">
        <f>IF($D3779="","",IF(AND(LEN($D3779)=10,LEFT($D3779,1)="0",ISNUMBER(--$D3779)),"Có","Không"))</f>
        <v/>
      </c>
      <c r="T3779" s="22">
        <f>IF($D3779="","",IF(AND($C3779&lt;&gt;"",$Q3779="Có",$R3779="",$S3779="Có",AND($L3779&lt;&gt;"",OR($L3779&lt;&gt;"Chưa xác định",DANH_MUC!$L$9="Có"))),"Có","Không"))</f>
        <v/>
      </c>
      <c r="U3779" s="22">
        <f>IF(OR($D3779="",$T3779="Có"),"",IF($C3779="","Thiếu họ tên; ","")&amp;IF($S3779&lt;&gt;"Có","SĐT sai định dạng; ","")&amp;IF($R3779="Trùng","Trùng SĐT; ","")&amp;IF($Q3779&lt;&gt;"Có","Thiếu đồng ý bắt buộc; ","")&amp;IF($L3779="","Thiếu/sai Mã REF; ",IF(AND($L3779="Chưa xác định",DANH_MUC!$L$9&lt;&gt;"Có"),"Nguồn chưa xác định; ","")))</f>
        <v/>
      </c>
      <c r="V3779" s="22">
        <f>IF(OR($D3779="",$R3779="Trùng"),"",IF(COUNTIF(ORDERS!$C$2:$C$4995,$D3779)&gt;0,"Có","Không"))</f>
        <v/>
      </c>
      <c r="W3779" s="22">
        <f>IF(OR($D3779="",$R3779="Trùng"),"",COUNTIFS(ORDERS!$C$2:$C$4995,$D3779,ORDERS!$L$2:$L$4995,"Đã chuyển khoản"))</f>
        <v/>
      </c>
      <c r="X3779" s="23">
        <f>IF(OR($D3779="",$R3779="Trùng"),"",SUMIFS(ORDERS!$J$2:$J$4995,ORDERS!$C$2:$C$4995,$D3779,ORDERS!$L$2:$L$4995,"Đã chuyển khoản"))</f>
        <v/>
      </c>
      <c r="Y3779" s="24" t="n"/>
    </row>
    <row r="3780" ht="14.25" customHeight="1" s="40">
      <c r="A3780" s="24" t="n"/>
      <c r="B3780" s="27" t="n"/>
      <c r="C3780" s="24" t="n"/>
      <c r="D3780" s="28" t="n"/>
      <c r="E3780" s="29" t="n"/>
      <c r="F3780" s="24" t="n"/>
      <c r="G3780" s="24" t="n"/>
      <c r="H3780" s="21">
        <f>IF(ISNUMBER($B3780),INT($B3780)-WEEKDAY($B3780,2)+1,"")</f>
        <v/>
      </c>
      <c r="I3780" s="24" t="n"/>
      <c r="J3780" s="22">
        <f t="array" ref="J3780">IF($D3780="","",IF($I3780="","(trống REF)",IFERROR(INDEX(MASTER_SOURCE!$B$2:$B$495,MATCH($I3780,MASTER_SOURCE!$A$2:$A$495,0)),"(REF không có trong MASTER_SOURCE)")))</f>
        <v/>
      </c>
      <c r="K3780" s="22">
        <f t="array" ref="K3780">IF($D3780="","",IFERROR(INDEX(MASTER_SOURCE!$C$2:$C$495,MATCH($I3780,MASTER_SOURCE!$A$2:$A$495,0)),""))</f>
        <v/>
      </c>
      <c r="L3780" s="22">
        <f t="array" ref="L3780">IF($D3780="","",IFERROR(INDEX(MASTER_SOURCE!$D$2:$D$495,MATCH($I3780,MASTER_SOURCE!$A$2:$A$495,0)),""))</f>
        <v/>
      </c>
      <c r="M3780" s="24" t="n"/>
      <c r="N3780" s="24" t="n"/>
      <c r="O3780" s="24" t="n"/>
      <c r="P3780" s="24" t="n"/>
      <c r="Q3780" s="22">
        <f>IF($D3780="","",IF(AND(OR(DANH_MUC!$L$5&lt;&gt;"Có",M3780="Có"),OR(DANH_MUC!$L$6&lt;&gt;"Có",N3780="Có"),OR(DANH_MUC!$L$7&lt;&gt;"Có",O3780="Có"),OR(DANH_MUC!$L$8&lt;&gt;"Có",P3780="Có")),"Có","Không"))</f>
        <v/>
      </c>
      <c r="R3780" s="22">
        <f>IF($D3780="","",IF(COUNTIF($D$2:$D3780,$D3780)&gt;1,"Trùng",""))</f>
        <v/>
      </c>
      <c r="S3780" s="22">
        <f>IF($D3780="","",IF(AND(LEN($D3780)=10,LEFT($D3780,1)="0",ISNUMBER(--$D3780)),"Có","Không"))</f>
        <v/>
      </c>
      <c r="T3780" s="22">
        <f>IF($D3780="","",IF(AND($C3780&lt;&gt;"",$Q3780="Có",$R3780="",$S3780="Có",AND($L3780&lt;&gt;"",OR($L3780&lt;&gt;"Chưa xác định",DANH_MUC!$L$9="Có"))),"Có","Không"))</f>
        <v/>
      </c>
      <c r="U3780" s="22">
        <f>IF(OR($D3780="",$T3780="Có"),"",IF($C3780="","Thiếu họ tên; ","")&amp;IF($S3780&lt;&gt;"Có","SĐT sai định dạng; ","")&amp;IF($R3780="Trùng","Trùng SĐT; ","")&amp;IF($Q3780&lt;&gt;"Có","Thiếu đồng ý bắt buộc; ","")&amp;IF($L3780="","Thiếu/sai Mã REF; ",IF(AND($L3780="Chưa xác định",DANH_MUC!$L$9&lt;&gt;"Có"),"Nguồn chưa xác định; ","")))</f>
        <v/>
      </c>
      <c r="V3780" s="22">
        <f>IF(OR($D3780="",$R3780="Trùng"),"",IF(COUNTIF(ORDERS!$C$2:$C$4995,$D3780)&gt;0,"Có","Không"))</f>
        <v/>
      </c>
      <c r="W3780" s="22">
        <f>IF(OR($D3780="",$R3780="Trùng"),"",COUNTIFS(ORDERS!$C$2:$C$4995,$D3780,ORDERS!$L$2:$L$4995,"Đã chuyển khoản"))</f>
        <v/>
      </c>
      <c r="X3780" s="23">
        <f>IF(OR($D3780="",$R3780="Trùng"),"",SUMIFS(ORDERS!$J$2:$J$4995,ORDERS!$C$2:$C$4995,$D3780,ORDERS!$L$2:$L$4995,"Đã chuyển khoản"))</f>
        <v/>
      </c>
      <c r="Y3780" s="24" t="n"/>
    </row>
    <row r="3781" ht="14.25" customHeight="1" s="40">
      <c r="A3781" s="24" t="n"/>
      <c r="B3781" s="27" t="n"/>
      <c r="C3781" s="24" t="n"/>
      <c r="D3781" s="28" t="n"/>
      <c r="E3781" s="29" t="n"/>
      <c r="F3781" s="24" t="n"/>
      <c r="G3781" s="24" t="n"/>
      <c r="H3781" s="21">
        <f>IF(ISNUMBER($B3781),INT($B3781)-WEEKDAY($B3781,2)+1,"")</f>
        <v/>
      </c>
      <c r="I3781" s="24" t="n"/>
      <c r="J3781" s="22">
        <f t="array" ref="J3781">IF($D3781="","",IF($I3781="","(trống REF)",IFERROR(INDEX(MASTER_SOURCE!$B$2:$B$495,MATCH($I3781,MASTER_SOURCE!$A$2:$A$495,0)),"(REF không có trong MASTER_SOURCE)")))</f>
        <v/>
      </c>
      <c r="K3781" s="22">
        <f t="array" ref="K3781">IF($D3781="","",IFERROR(INDEX(MASTER_SOURCE!$C$2:$C$495,MATCH($I3781,MASTER_SOURCE!$A$2:$A$495,0)),""))</f>
        <v/>
      </c>
      <c r="L3781" s="22">
        <f t="array" ref="L3781">IF($D3781="","",IFERROR(INDEX(MASTER_SOURCE!$D$2:$D$495,MATCH($I3781,MASTER_SOURCE!$A$2:$A$495,0)),""))</f>
        <v/>
      </c>
      <c r="M3781" s="24" t="n"/>
      <c r="N3781" s="24" t="n"/>
      <c r="O3781" s="24" t="n"/>
      <c r="P3781" s="24" t="n"/>
      <c r="Q3781" s="22">
        <f>IF($D3781="","",IF(AND(OR(DANH_MUC!$L$5&lt;&gt;"Có",M3781="Có"),OR(DANH_MUC!$L$6&lt;&gt;"Có",N3781="Có"),OR(DANH_MUC!$L$7&lt;&gt;"Có",O3781="Có"),OR(DANH_MUC!$L$8&lt;&gt;"Có",P3781="Có")),"Có","Không"))</f>
        <v/>
      </c>
      <c r="R3781" s="22">
        <f>IF($D3781="","",IF(COUNTIF($D$2:$D3781,$D3781)&gt;1,"Trùng",""))</f>
        <v/>
      </c>
      <c r="S3781" s="22">
        <f>IF($D3781="","",IF(AND(LEN($D3781)=10,LEFT($D3781,1)="0",ISNUMBER(--$D3781)),"Có","Không"))</f>
        <v/>
      </c>
      <c r="T3781" s="22">
        <f>IF($D3781="","",IF(AND($C3781&lt;&gt;"",$Q3781="Có",$R3781="",$S3781="Có",AND($L3781&lt;&gt;"",OR($L3781&lt;&gt;"Chưa xác định",DANH_MUC!$L$9="Có"))),"Có","Không"))</f>
        <v/>
      </c>
      <c r="U3781" s="22">
        <f>IF(OR($D3781="",$T3781="Có"),"",IF($C3781="","Thiếu họ tên; ","")&amp;IF($S3781&lt;&gt;"Có","SĐT sai định dạng; ","")&amp;IF($R3781="Trùng","Trùng SĐT; ","")&amp;IF($Q3781&lt;&gt;"Có","Thiếu đồng ý bắt buộc; ","")&amp;IF($L3781="","Thiếu/sai Mã REF; ",IF(AND($L3781="Chưa xác định",DANH_MUC!$L$9&lt;&gt;"Có"),"Nguồn chưa xác định; ","")))</f>
        <v/>
      </c>
      <c r="V3781" s="22">
        <f>IF(OR($D3781="",$R3781="Trùng"),"",IF(COUNTIF(ORDERS!$C$2:$C$4995,$D3781)&gt;0,"Có","Không"))</f>
        <v/>
      </c>
      <c r="W3781" s="22">
        <f>IF(OR($D3781="",$R3781="Trùng"),"",COUNTIFS(ORDERS!$C$2:$C$4995,$D3781,ORDERS!$L$2:$L$4995,"Đã chuyển khoản"))</f>
        <v/>
      </c>
      <c r="X3781" s="23">
        <f>IF(OR($D3781="",$R3781="Trùng"),"",SUMIFS(ORDERS!$J$2:$J$4995,ORDERS!$C$2:$C$4995,$D3781,ORDERS!$L$2:$L$4995,"Đã chuyển khoản"))</f>
        <v/>
      </c>
      <c r="Y3781" s="24" t="n"/>
    </row>
    <row r="3782" ht="14.25" customHeight="1" s="40">
      <c r="A3782" s="24" t="n"/>
      <c r="B3782" s="27" t="n"/>
      <c r="C3782" s="24" t="n"/>
      <c r="D3782" s="28" t="n"/>
      <c r="E3782" s="29" t="n"/>
      <c r="F3782" s="24" t="n"/>
      <c r="G3782" s="24" t="n"/>
      <c r="H3782" s="21">
        <f>IF(ISNUMBER($B3782),INT($B3782)-WEEKDAY($B3782,2)+1,"")</f>
        <v/>
      </c>
      <c r="I3782" s="24" t="n"/>
      <c r="J3782" s="22">
        <f t="array" ref="J3782">IF($D3782="","",IF($I3782="","(trống REF)",IFERROR(INDEX(MASTER_SOURCE!$B$2:$B$495,MATCH($I3782,MASTER_SOURCE!$A$2:$A$495,0)),"(REF không có trong MASTER_SOURCE)")))</f>
        <v/>
      </c>
      <c r="K3782" s="22">
        <f t="array" ref="K3782">IF($D3782="","",IFERROR(INDEX(MASTER_SOURCE!$C$2:$C$495,MATCH($I3782,MASTER_SOURCE!$A$2:$A$495,0)),""))</f>
        <v/>
      </c>
      <c r="L3782" s="22">
        <f t="array" ref="L3782">IF($D3782="","",IFERROR(INDEX(MASTER_SOURCE!$D$2:$D$495,MATCH($I3782,MASTER_SOURCE!$A$2:$A$495,0)),""))</f>
        <v/>
      </c>
      <c r="M3782" s="24" t="n"/>
      <c r="N3782" s="24" t="n"/>
      <c r="O3782" s="24" t="n"/>
      <c r="P3782" s="24" t="n"/>
      <c r="Q3782" s="22">
        <f>IF($D3782="","",IF(AND(OR(DANH_MUC!$L$5&lt;&gt;"Có",M3782="Có"),OR(DANH_MUC!$L$6&lt;&gt;"Có",N3782="Có"),OR(DANH_MUC!$L$7&lt;&gt;"Có",O3782="Có"),OR(DANH_MUC!$L$8&lt;&gt;"Có",P3782="Có")),"Có","Không"))</f>
        <v/>
      </c>
      <c r="R3782" s="22">
        <f>IF($D3782="","",IF(COUNTIF($D$2:$D3782,$D3782)&gt;1,"Trùng",""))</f>
        <v/>
      </c>
      <c r="S3782" s="22">
        <f>IF($D3782="","",IF(AND(LEN($D3782)=10,LEFT($D3782,1)="0",ISNUMBER(--$D3782)),"Có","Không"))</f>
        <v/>
      </c>
      <c r="T3782" s="22">
        <f>IF($D3782="","",IF(AND($C3782&lt;&gt;"",$Q3782="Có",$R3782="",$S3782="Có",AND($L3782&lt;&gt;"",OR($L3782&lt;&gt;"Chưa xác định",DANH_MUC!$L$9="Có"))),"Có","Không"))</f>
        <v/>
      </c>
      <c r="U3782" s="22">
        <f>IF(OR($D3782="",$T3782="Có"),"",IF($C3782="","Thiếu họ tên; ","")&amp;IF($S3782&lt;&gt;"Có","SĐT sai định dạng; ","")&amp;IF($R3782="Trùng","Trùng SĐT; ","")&amp;IF($Q3782&lt;&gt;"Có","Thiếu đồng ý bắt buộc; ","")&amp;IF($L3782="","Thiếu/sai Mã REF; ",IF(AND($L3782="Chưa xác định",DANH_MUC!$L$9&lt;&gt;"Có"),"Nguồn chưa xác định; ","")))</f>
        <v/>
      </c>
      <c r="V3782" s="22">
        <f>IF(OR($D3782="",$R3782="Trùng"),"",IF(COUNTIF(ORDERS!$C$2:$C$4995,$D3782)&gt;0,"Có","Không"))</f>
        <v/>
      </c>
      <c r="W3782" s="22">
        <f>IF(OR($D3782="",$R3782="Trùng"),"",COUNTIFS(ORDERS!$C$2:$C$4995,$D3782,ORDERS!$L$2:$L$4995,"Đã chuyển khoản"))</f>
        <v/>
      </c>
      <c r="X3782" s="23">
        <f>IF(OR($D3782="",$R3782="Trùng"),"",SUMIFS(ORDERS!$J$2:$J$4995,ORDERS!$C$2:$C$4995,$D3782,ORDERS!$L$2:$L$4995,"Đã chuyển khoản"))</f>
        <v/>
      </c>
      <c r="Y3782" s="24" t="n"/>
    </row>
    <row r="3783" ht="14.25" customHeight="1" s="40">
      <c r="A3783" s="24" t="n"/>
      <c r="B3783" s="27" t="n"/>
      <c r="C3783" s="24" t="n"/>
      <c r="D3783" s="28" t="n"/>
      <c r="E3783" s="29" t="n"/>
      <c r="F3783" s="24" t="n"/>
      <c r="G3783" s="24" t="n"/>
      <c r="H3783" s="21">
        <f>IF(ISNUMBER($B3783),INT($B3783)-WEEKDAY($B3783,2)+1,"")</f>
        <v/>
      </c>
      <c r="I3783" s="24" t="n"/>
      <c r="J3783" s="22">
        <f t="array" ref="J3783">IF($D3783="","",IF($I3783="","(trống REF)",IFERROR(INDEX(MASTER_SOURCE!$B$2:$B$495,MATCH($I3783,MASTER_SOURCE!$A$2:$A$495,0)),"(REF không có trong MASTER_SOURCE)")))</f>
        <v/>
      </c>
      <c r="K3783" s="22">
        <f t="array" ref="K3783">IF($D3783="","",IFERROR(INDEX(MASTER_SOURCE!$C$2:$C$495,MATCH($I3783,MASTER_SOURCE!$A$2:$A$495,0)),""))</f>
        <v/>
      </c>
      <c r="L3783" s="22">
        <f t="array" ref="L3783">IF($D3783="","",IFERROR(INDEX(MASTER_SOURCE!$D$2:$D$495,MATCH($I3783,MASTER_SOURCE!$A$2:$A$495,0)),""))</f>
        <v/>
      </c>
      <c r="M3783" s="24" t="n"/>
      <c r="N3783" s="24" t="n"/>
      <c r="O3783" s="24" t="n"/>
      <c r="P3783" s="24" t="n"/>
      <c r="Q3783" s="22">
        <f>IF($D3783="","",IF(AND(OR(DANH_MUC!$L$5&lt;&gt;"Có",M3783="Có"),OR(DANH_MUC!$L$6&lt;&gt;"Có",N3783="Có"),OR(DANH_MUC!$L$7&lt;&gt;"Có",O3783="Có"),OR(DANH_MUC!$L$8&lt;&gt;"Có",P3783="Có")),"Có","Không"))</f>
        <v/>
      </c>
      <c r="R3783" s="22">
        <f>IF($D3783="","",IF(COUNTIF($D$2:$D3783,$D3783)&gt;1,"Trùng",""))</f>
        <v/>
      </c>
      <c r="S3783" s="22">
        <f>IF($D3783="","",IF(AND(LEN($D3783)=10,LEFT($D3783,1)="0",ISNUMBER(--$D3783)),"Có","Không"))</f>
        <v/>
      </c>
      <c r="T3783" s="22">
        <f>IF($D3783="","",IF(AND($C3783&lt;&gt;"",$Q3783="Có",$R3783="",$S3783="Có",AND($L3783&lt;&gt;"",OR($L3783&lt;&gt;"Chưa xác định",DANH_MUC!$L$9="Có"))),"Có","Không"))</f>
        <v/>
      </c>
      <c r="U3783" s="22">
        <f>IF(OR($D3783="",$T3783="Có"),"",IF($C3783="","Thiếu họ tên; ","")&amp;IF($S3783&lt;&gt;"Có","SĐT sai định dạng; ","")&amp;IF($R3783="Trùng","Trùng SĐT; ","")&amp;IF($Q3783&lt;&gt;"Có","Thiếu đồng ý bắt buộc; ","")&amp;IF($L3783="","Thiếu/sai Mã REF; ",IF(AND($L3783="Chưa xác định",DANH_MUC!$L$9&lt;&gt;"Có"),"Nguồn chưa xác định; ","")))</f>
        <v/>
      </c>
      <c r="V3783" s="22">
        <f>IF(OR($D3783="",$R3783="Trùng"),"",IF(COUNTIF(ORDERS!$C$2:$C$4995,$D3783)&gt;0,"Có","Không"))</f>
        <v/>
      </c>
      <c r="W3783" s="22">
        <f>IF(OR($D3783="",$R3783="Trùng"),"",COUNTIFS(ORDERS!$C$2:$C$4995,$D3783,ORDERS!$L$2:$L$4995,"Đã chuyển khoản"))</f>
        <v/>
      </c>
      <c r="X3783" s="23">
        <f>IF(OR($D3783="",$R3783="Trùng"),"",SUMIFS(ORDERS!$J$2:$J$4995,ORDERS!$C$2:$C$4995,$D3783,ORDERS!$L$2:$L$4995,"Đã chuyển khoản"))</f>
        <v/>
      </c>
      <c r="Y3783" s="24" t="n"/>
    </row>
    <row r="3784" ht="14.25" customHeight="1" s="40">
      <c r="A3784" s="24" t="n"/>
      <c r="B3784" s="27" t="n"/>
      <c r="C3784" s="24" t="n"/>
      <c r="D3784" s="28" t="n"/>
      <c r="E3784" s="29" t="n"/>
      <c r="F3784" s="24" t="n"/>
      <c r="G3784" s="24" t="n"/>
      <c r="H3784" s="21">
        <f>IF(ISNUMBER($B3784),INT($B3784)-WEEKDAY($B3784,2)+1,"")</f>
        <v/>
      </c>
      <c r="I3784" s="24" t="n"/>
      <c r="J3784" s="22">
        <f t="array" ref="J3784">IF($D3784="","",IF($I3784="","(trống REF)",IFERROR(INDEX(MASTER_SOURCE!$B$2:$B$495,MATCH($I3784,MASTER_SOURCE!$A$2:$A$495,0)),"(REF không có trong MASTER_SOURCE)")))</f>
        <v/>
      </c>
      <c r="K3784" s="22">
        <f t="array" ref="K3784">IF($D3784="","",IFERROR(INDEX(MASTER_SOURCE!$C$2:$C$495,MATCH($I3784,MASTER_SOURCE!$A$2:$A$495,0)),""))</f>
        <v/>
      </c>
      <c r="L3784" s="22">
        <f t="array" ref="L3784">IF($D3784="","",IFERROR(INDEX(MASTER_SOURCE!$D$2:$D$495,MATCH($I3784,MASTER_SOURCE!$A$2:$A$495,0)),""))</f>
        <v/>
      </c>
      <c r="M3784" s="24" t="n"/>
      <c r="N3784" s="24" t="n"/>
      <c r="O3784" s="24" t="n"/>
      <c r="P3784" s="24" t="n"/>
      <c r="Q3784" s="22">
        <f>IF($D3784="","",IF(AND(OR(DANH_MUC!$L$5&lt;&gt;"Có",M3784="Có"),OR(DANH_MUC!$L$6&lt;&gt;"Có",N3784="Có"),OR(DANH_MUC!$L$7&lt;&gt;"Có",O3784="Có"),OR(DANH_MUC!$L$8&lt;&gt;"Có",P3784="Có")),"Có","Không"))</f>
        <v/>
      </c>
      <c r="R3784" s="22">
        <f>IF($D3784="","",IF(COUNTIF($D$2:$D3784,$D3784)&gt;1,"Trùng",""))</f>
        <v/>
      </c>
      <c r="S3784" s="22">
        <f>IF($D3784="","",IF(AND(LEN($D3784)=10,LEFT($D3784,1)="0",ISNUMBER(--$D3784)),"Có","Không"))</f>
        <v/>
      </c>
      <c r="T3784" s="22">
        <f>IF($D3784="","",IF(AND($C3784&lt;&gt;"",$Q3784="Có",$R3784="",$S3784="Có",AND($L3784&lt;&gt;"",OR($L3784&lt;&gt;"Chưa xác định",DANH_MUC!$L$9="Có"))),"Có","Không"))</f>
        <v/>
      </c>
      <c r="U3784" s="22">
        <f>IF(OR($D3784="",$T3784="Có"),"",IF($C3784="","Thiếu họ tên; ","")&amp;IF($S3784&lt;&gt;"Có","SĐT sai định dạng; ","")&amp;IF($R3784="Trùng","Trùng SĐT; ","")&amp;IF($Q3784&lt;&gt;"Có","Thiếu đồng ý bắt buộc; ","")&amp;IF($L3784="","Thiếu/sai Mã REF; ",IF(AND($L3784="Chưa xác định",DANH_MUC!$L$9&lt;&gt;"Có"),"Nguồn chưa xác định; ","")))</f>
        <v/>
      </c>
      <c r="V3784" s="22">
        <f>IF(OR($D3784="",$R3784="Trùng"),"",IF(COUNTIF(ORDERS!$C$2:$C$4995,$D3784)&gt;0,"Có","Không"))</f>
        <v/>
      </c>
      <c r="W3784" s="22">
        <f>IF(OR($D3784="",$R3784="Trùng"),"",COUNTIFS(ORDERS!$C$2:$C$4995,$D3784,ORDERS!$L$2:$L$4995,"Đã chuyển khoản"))</f>
        <v/>
      </c>
      <c r="X3784" s="23">
        <f>IF(OR($D3784="",$R3784="Trùng"),"",SUMIFS(ORDERS!$J$2:$J$4995,ORDERS!$C$2:$C$4995,$D3784,ORDERS!$L$2:$L$4995,"Đã chuyển khoản"))</f>
        <v/>
      </c>
      <c r="Y3784" s="24" t="n"/>
    </row>
    <row r="3785" ht="14.25" customHeight="1" s="40">
      <c r="A3785" s="24" t="n"/>
      <c r="B3785" s="27" t="n"/>
      <c r="C3785" s="24" t="n"/>
      <c r="D3785" s="28" t="n"/>
      <c r="E3785" s="29" t="n"/>
      <c r="F3785" s="24" t="n"/>
      <c r="G3785" s="24" t="n"/>
      <c r="H3785" s="21">
        <f>IF(ISNUMBER($B3785),INT($B3785)-WEEKDAY($B3785,2)+1,"")</f>
        <v/>
      </c>
      <c r="I3785" s="24" t="n"/>
      <c r="J3785" s="22">
        <f t="array" ref="J3785">IF($D3785="","",IF($I3785="","(trống REF)",IFERROR(INDEX(MASTER_SOURCE!$B$2:$B$495,MATCH($I3785,MASTER_SOURCE!$A$2:$A$495,0)),"(REF không có trong MASTER_SOURCE)")))</f>
        <v/>
      </c>
      <c r="K3785" s="22">
        <f t="array" ref="K3785">IF($D3785="","",IFERROR(INDEX(MASTER_SOURCE!$C$2:$C$495,MATCH($I3785,MASTER_SOURCE!$A$2:$A$495,0)),""))</f>
        <v/>
      </c>
      <c r="L3785" s="22">
        <f t="array" ref="L3785">IF($D3785="","",IFERROR(INDEX(MASTER_SOURCE!$D$2:$D$495,MATCH($I3785,MASTER_SOURCE!$A$2:$A$495,0)),""))</f>
        <v/>
      </c>
      <c r="M3785" s="24" t="n"/>
      <c r="N3785" s="24" t="n"/>
      <c r="O3785" s="24" t="n"/>
      <c r="P3785" s="24" t="n"/>
      <c r="Q3785" s="22">
        <f>IF($D3785="","",IF(AND(OR(DANH_MUC!$L$5&lt;&gt;"Có",M3785="Có"),OR(DANH_MUC!$L$6&lt;&gt;"Có",N3785="Có"),OR(DANH_MUC!$L$7&lt;&gt;"Có",O3785="Có"),OR(DANH_MUC!$L$8&lt;&gt;"Có",P3785="Có")),"Có","Không"))</f>
        <v/>
      </c>
      <c r="R3785" s="22">
        <f>IF($D3785="","",IF(COUNTIF($D$2:$D3785,$D3785)&gt;1,"Trùng",""))</f>
        <v/>
      </c>
      <c r="S3785" s="22">
        <f>IF($D3785="","",IF(AND(LEN($D3785)=10,LEFT($D3785,1)="0",ISNUMBER(--$D3785)),"Có","Không"))</f>
        <v/>
      </c>
      <c r="T3785" s="22">
        <f>IF($D3785="","",IF(AND($C3785&lt;&gt;"",$Q3785="Có",$R3785="",$S3785="Có",AND($L3785&lt;&gt;"",OR($L3785&lt;&gt;"Chưa xác định",DANH_MUC!$L$9="Có"))),"Có","Không"))</f>
        <v/>
      </c>
      <c r="U3785" s="22">
        <f>IF(OR($D3785="",$T3785="Có"),"",IF($C3785="","Thiếu họ tên; ","")&amp;IF($S3785&lt;&gt;"Có","SĐT sai định dạng; ","")&amp;IF($R3785="Trùng","Trùng SĐT; ","")&amp;IF($Q3785&lt;&gt;"Có","Thiếu đồng ý bắt buộc; ","")&amp;IF($L3785="","Thiếu/sai Mã REF; ",IF(AND($L3785="Chưa xác định",DANH_MUC!$L$9&lt;&gt;"Có"),"Nguồn chưa xác định; ","")))</f>
        <v/>
      </c>
      <c r="V3785" s="22">
        <f>IF(OR($D3785="",$R3785="Trùng"),"",IF(COUNTIF(ORDERS!$C$2:$C$4995,$D3785)&gt;0,"Có","Không"))</f>
        <v/>
      </c>
      <c r="W3785" s="22">
        <f>IF(OR($D3785="",$R3785="Trùng"),"",COUNTIFS(ORDERS!$C$2:$C$4995,$D3785,ORDERS!$L$2:$L$4995,"Đã chuyển khoản"))</f>
        <v/>
      </c>
      <c r="X3785" s="23">
        <f>IF(OR($D3785="",$R3785="Trùng"),"",SUMIFS(ORDERS!$J$2:$J$4995,ORDERS!$C$2:$C$4995,$D3785,ORDERS!$L$2:$L$4995,"Đã chuyển khoản"))</f>
        <v/>
      </c>
      <c r="Y3785" s="24" t="n"/>
    </row>
    <row r="3786" ht="14.25" customHeight="1" s="40">
      <c r="A3786" s="24" t="n"/>
      <c r="B3786" s="27" t="n"/>
      <c r="C3786" s="24" t="n"/>
      <c r="D3786" s="28" t="n"/>
      <c r="E3786" s="29" t="n"/>
      <c r="F3786" s="24" t="n"/>
      <c r="G3786" s="24" t="n"/>
      <c r="H3786" s="21">
        <f>IF(ISNUMBER($B3786),INT($B3786)-WEEKDAY($B3786,2)+1,"")</f>
        <v/>
      </c>
      <c r="I3786" s="24" t="n"/>
      <c r="J3786" s="22">
        <f t="array" ref="J3786">IF($D3786="","",IF($I3786="","(trống REF)",IFERROR(INDEX(MASTER_SOURCE!$B$2:$B$495,MATCH($I3786,MASTER_SOURCE!$A$2:$A$495,0)),"(REF không có trong MASTER_SOURCE)")))</f>
        <v/>
      </c>
      <c r="K3786" s="22">
        <f t="array" ref="K3786">IF($D3786="","",IFERROR(INDEX(MASTER_SOURCE!$C$2:$C$495,MATCH($I3786,MASTER_SOURCE!$A$2:$A$495,0)),""))</f>
        <v/>
      </c>
      <c r="L3786" s="22">
        <f t="array" ref="L3786">IF($D3786="","",IFERROR(INDEX(MASTER_SOURCE!$D$2:$D$495,MATCH($I3786,MASTER_SOURCE!$A$2:$A$495,0)),""))</f>
        <v/>
      </c>
      <c r="M3786" s="24" t="n"/>
      <c r="N3786" s="24" t="n"/>
      <c r="O3786" s="24" t="n"/>
      <c r="P3786" s="24" t="n"/>
      <c r="Q3786" s="22">
        <f>IF($D3786="","",IF(AND(OR(DANH_MUC!$L$5&lt;&gt;"Có",M3786="Có"),OR(DANH_MUC!$L$6&lt;&gt;"Có",N3786="Có"),OR(DANH_MUC!$L$7&lt;&gt;"Có",O3786="Có"),OR(DANH_MUC!$L$8&lt;&gt;"Có",P3786="Có")),"Có","Không"))</f>
        <v/>
      </c>
      <c r="R3786" s="22">
        <f>IF($D3786="","",IF(COUNTIF($D$2:$D3786,$D3786)&gt;1,"Trùng",""))</f>
        <v/>
      </c>
      <c r="S3786" s="22">
        <f>IF($D3786="","",IF(AND(LEN($D3786)=10,LEFT($D3786,1)="0",ISNUMBER(--$D3786)),"Có","Không"))</f>
        <v/>
      </c>
      <c r="T3786" s="22">
        <f>IF($D3786="","",IF(AND($C3786&lt;&gt;"",$Q3786="Có",$R3786="",$S3786="Có",AND($L3786&lt;&gt;"",OR($L3786&lt;&gt;"Chưa xác định",DANH_MUC!$L$9="Có"))),"Có","Không"))</f>
        <v/>
      </c>
      <c r="U3786" s="22">
        <f>IF(OR($D3786="",$T3786="Có"),"",IF($C3786="","Thiếu họ tên; ","")&amp;IF($S3786&lt;&gt;"Có","SĐT sai định dạng; ","")&amp;IF($R3786="Trùng","Trùng SĐT; ","")&amp;IF($Q3786&lt;&gt;"Có","Thiếu đồng ý bắt buộc; ","")&amp;IF($L3786="","Thiếu/sai Mã REF; ",IF(AND($L3786="Chưa xác định",DANH_MUC!$L$9&lt;&gt;"Có"),"Nguồn chưa xác định; ","")))</f>
        <v/>
      </c>
      <c r="V3786" s="22">
        <f>IF(OR($D3786="",$R3786="Trùng"),"",IF(COUNTIF(ORDERS!$C$2:$C$4995,$D3786)&gt;0,"Có","Không"))</f>
        <v/>
      </c>
      <c r="W3786" s="22">
        <f>IF(OR($D3786="",$R3786="Trùng"),"",COUNTIFS(ORDERS!$C$2:$C$4995,$D3786,ORDERS!$L$2:$L$4995,"Đã chuyển khoản"))</f>
        <v/>
      </c>
      <c r="X3786" s="23">
        <f>IF(OR($D3786="",$R3786="Trùng"),"",SUMIFS(ORDERS!$J$2:$J$4995,ORDERS!$C$2:$C$4995,$D3786,ORDERS!$L$2:$L$4995,"Đã chuyển khoản"))</f>
        <v/>
      </c>
      <c r="Y3786" s="24" t="n"/>
    </row>
    <row r="3787" ht="14.25" customHeight="1" s="40">
      <c r="A3787" s="24" t="n"/>
      <c r="B3787" s="27" t="n"/>
      <c r="C3787" s="24" t="n"/>
      <c r="D3787" s="28" t="n"/>
      <c r="E3787" s="29" t="n"/>
      <c r="F3787" s="24" t="n"/>
      <c r="G3787" s="24" t="n"/>
      <c r="H3787" s="21">
        <f>IF(ISNUMBER($B3787),INT($B3787)-WEEKDAY($B3787,2)+1,"")</f>
        <v/>
      </c>
      <c r="I3787" s="24" t="n"/>
      <c r="J3787" s="22">
        <f t="array" ref="J3787">IF($D3787="","",IF($I3787="","(trống REF)",IFERROR(INDEX(MASTER_SOURCE!$B$2:$B$495,MATCH($I3787,MASTER_SOURCE!$A$2:$A$495,0)),"(REF không có trong MASTER_SOURCE)")))</f>
        <v/>
      </c>
      <c r="K3787" s="22">
        <f t="array" ref="K3787">IF($D3787="","",IFERROR(INDEX(MASTER_SOURCE!$C$2:$C$495,MATCH($I3787,MASTER_SOURCE!$A$2:$A$495,0)),""))</f>
        <v/>
      </c>
      <c r="L3787" s="22">
        <f t="array" ref="L3787">IF($D3787="","",IFERROR(INDEX(MASTER_SOURCE!$D$2:$D$495,MATCH($I3787,MASTER_SOURCE!$A$2:$A$495,0)),""))</f>
        <v/>
      </c>
      <c r="M3787" s="24" t="n"/>
      <c r="N3787" s="24" t="n"/>
      <c r="O3787" s="24" t="n"/>
      <c r="P3787" s="24" t="n"/>
      <c r="Q3787" s="22">
        <f>IF($D3787="","",IF(AND(OR(DANH_MUC!$L$5&lt;&gt;"Có",M3787="Có"),OR(DANH_MUC!$L$6&lt;&gt;"Có",N3787="Có"),OR(DANH_MUC!$L$7&lt;&gt;"Có",O3787="Có"),OR(DANH_MUC!$L$8&lt;&gt;"Có",P3787="Có")),"Có","Không"))</f>
        <v/>
      </c>
      <c r="R3787" s="22">
        <f>IF($D3787="","",IF(COUNTIF($D$2:$D3787,$D3787)&gt;1,"Trùng",""))</f>
        <v/>
      </c>
      <c r="S3787" s="22">
        <f>IF($D3787="","",IF(AND(LEN($D3787)=10,LEFT($D3787,1)="0",ISNUMBER(--$D3787)),"Có","Không"))</f>
        <v/>
      </c>
      <c r="T3787" s="22">
        <f>IF($D3787="","",IF(AND($C3787&lt;&gt;"",$Q3787="Có",$R3787="",$S3787="Có",AND($L3787&lt;&gt;"",OR($L3787&lt;&gt;"Chưa xác định",DANH_MUC!$L$9="Có"))),"Có","Không"))</f>
        <v/>
      </c>
      <c r="U3787" s="22">
        <f>IF(OR($D3787="",$T3787="Có"),"",IF($C3787="","Thiếu họ tên; ","")&amp;IF($S3787&lt;&gt;"Có","SĐT sai định dạng; ","")&amp;IF($R3787="Trùng","Trùng SĐT; ","")&amp;IF($Q3787&lt;&gt;"Có","Thiếu đồng ý bắt buộc; ","")&amp;IF($L3787="","Thiếu/sai Mã REF; ",IF(AND($L3787="Chưa xác định",DANH_MUC!$L$9&lt;&gt;"Có"),"Nguồn chưa xác định; ","")))</f>
        <v/>
      </c>
      <c r="V3787" s="22">
        <f>IF(OR($D3787="",$R3787="Trùng"),"",IF(COUNTIF(ORDERS!$C$2:$C$4995,$D3787)&gt;0,"Có","Không"))</f>
        <v/>
      </c>
      <c r="W3787" s="22">
        <f>IF(OR($D3787="",$R3787="Trùng"),"",COUNTIFS(ORDERS!$C$2:$C$4995,$D3787,ORDERS!$L$2:$L$4995,"Đã chuyển khoản"))</f>
        <v/>
      </c>
      <c r="X3787" s="23">
        <f>IF(OR($D3787="",$R3787="Trùng"),"",SUMIFS(ORDERS!$J$2:$J$4995,ORDERS!$C$2:$C$4995,$D3787,ORDERS!$L$2:$L$4995,"Đã chuyển khoản"))</f>
        <v/>
      </c>
      <c r="Y3787" s="24" t="n"/>
    </row>
    <row r="3788" ht="14.25" customHeight="1" s="40">
      <c r="A3788" s="24" t="n"/>
      <c r="B3788" s="27" t="n"/>
      <c r="C3788" s="24" t="n"/>
      <c r="D3788" s="28" t="n"/>
      <c r="E3788" s="29" t="n"/>
      <c r="F3788" s="24" t="n"/>
      <c r="G3788" s="24" t="n"/>
      <c r="H3788" s="21">
        <f>IF(ISNUMBER($B3788),INT($B3788)-WEEKDAY($B3788,2)+1,"")</f>
        <v/>
      </c>
      <c r="I3788" s="24" t="n"/>
      <c r="J3788" s="22">
        <f t="array" ref="J3788">IF($D3788="","",IF($I3788="","(trống REF)",IFERROR(INDEX(MASTER_SOURCE!$B$2:$B$495,MATCH($I3788,MASTER_SOURCE!$A$2:$A$495,0)),"(REF không có trong MASTER_SOURCE)")))</f>
        <v/>
      </c>
      <c r="K3788" s="22">
        <f t="array" ref="K3788">IF($D3788="","",IFERROR(INDEX(MASTER_SOURCE!$C$2:$C$495,MATCH($I3788,MASTER_SOURCE!$A$2:$A$495,0)),""))</f>
        <v/>
      </c>
      <c r="L3788" s="22">
        <f t="array" ref="L3788">IF($D3788="","",IFERROR(INDEX(MASTER_SOURCE!$D$2:$D$495,MATCH($I3788,MASTER_SOURCE!$A$2:$A$495,0)),""))</f>
        <v/>
      </c>
      <c r="M3788" s="24" t="n"/>
      <c r="N3788" s="24" t="n"/>
      <c r="O3788" s="24" t="n"/>
      <c r="P3788" s="24" t="n"/>
      <c r="Q3788" s="22">
        <f>IF($D3788="","",IF(AND(OR(DANH_MUC!$L$5&lt;&gt;"Có",M3788="Có"),OR(DANH_MUC!$L$6&lt;&gt;"Có",N3788="Có"),OR(DANH_MUC!$L$7&lt;&gt;"Có",O3788="Có"),OR(DANH_MUC!$L$8&lt;&gt;"Có",P3788="Có")),"Có","Không"))</f>
        <v/>
      </c>
      <c r="R3788" s="22">
        <f>IF($D3788="","",IF(COUNTIF($D$2:$D3788,$D3788)&gt;1,"Trùng",""))</f>
        <v/>
      </c>
      <c r="S3788" s="22">
        <f>IF($D3788="","",IF(AND(LEN($D3788)=10,LEFT($D3788,1)="0",ISNUMBER(--$D3788)),"Có","Không"))</f>
        <v/>
      </c>
      <c r="T3788" s="22">
        <f>IF($D3788="","",IF(AND($C3788&lt;&gt;"",$Q3788="Có",$R3788="",$S3788="Có",AND($L3788&lt;&gt;"",OR($L3788&lt;&gt;"Chưa xác định",DANH_MUC!$L$9="Có"))),"Có","Không"))</f>
        <v/>
      </c>
      <c r="U3788" s="22">
        <f>IF(OR($D3788="",$T3788="Có"),"",IF($C3788="","Thiếu họ tên; ","")&amp;IF($S3788&lt;&gt;"Có","SĐT sai định dạng; ","")&amp;IF($R3788="Trùng","Trùng SĐT; ","")&amp;IF($Q3788&lt;&gt;"Có","Thiếu đồng ý bắt buộc; ","")&amp;IF($L3788="","Thiếu/sai Mã REF; ",IF(AND($L3788="Chưa xác định",DANH_MUC!$L$9&lt;&gt;"Có"),"Nguồn chưa xác định; ","")))</f>
        <v/>
      </c>
      <c r="V3788" s="22">
        <f>IF(OR($D3788="",$R3788="Trùng"),"",IF(COUNTIF(ORDERS!$C$2:$C$4995,$D3788)&gt;0,"Có","Không"))</f>
        <v/>
      </c>
      <c r="W3788" s="22">
        <f>IF(OR($D3788="",$R3788="Trùng"),"",COUNTIFS(ORDERS!$C$2:$C$4995,$D3788,ORDERS!$L$2:$L$4995,"Đã chuyển khoản"))</f>
        <v/>
      </c>
      <c r="X3788" s="23">
        <f>IF(OR($D3788="",$R3788="Trùng"),"",SUMIFS(ORDERS!$J$2:$J$4995,ORDERS!$C$2:$C$4995,$D3788,ORDERS!$L$2:$L$4995,"Đã chuyển khoản"))</f>
        <v/>
      </c>
      <c r="Y3788" s="24" t="n"/>
    </row>
    <row r="3789" ht="14.25" customHeight="1" s="40">
      <c r="A3789" s="24" t="n"/>
      <c r="B3789" s="27" t="n"/>
      <c r="C3789" s="24" t="n"/>
      <c r="D3789" s="28" t="n"/>
      <c r="E3789" s="29" t="n"/>
      <c r="F3789" s="24" t="n"/>
      <c r="G3789" s="24" t="n"/>
      <c r="H3789" s="21">
        <f>IF(ISNUMBER($B3789),INT($B3789)-WEEKDAY($B3789,2)+1,"")</f>
        <v/>
      </c>
      <c r="I3789" s="24" t="n"/>
      <c r="J3789" s="22">
        <f t="array" ref="J3789">IF($D3789="","",IF($I3789="","(trống REF)",IFERROR(INDEX(MASTER_SOURCE!$B$2:$B$495,MATCH($I3789,MASTER_SOURCE!$A$2:$A$495,0)),"(REF không có trong MASTER_SOURCE)")))</f>
        <v/>
      </c>
      <c r="K3789" s="22">
        <f t="array" ref="K3789">IF($D3789="","",IFERROR(INDEX(MASTER_SOURCE!$C$2:$C$495,MATCH($I3789,MASTER_SOURCE!$A$2:$A$495,0)),""))</f>
        <v/>
      </c>
      <c r="L3789" s="22">
        <f t="array" ref="L3789">IF($D3789="","",IFERROR(INDEX(MASTER_SOURCE!$D$2:$D$495,MATCH($I3789,MASTER_SOURCE!$A$2:$A$495,0)),""))</f>
        <v/>
      </c>
      <c r="M3789" s="24" t="n"/>
      <c r="N3789" s="24" t="n"/>
      <c r="O3789" s="24" t="n"/>
      <c r="P3789" s="24" t="n"/>
      <c r="Q3789" s="22">
        <f>IF($D3789="","",IF(AND(OR(DANH_MUC!$L$5&lt;&gt;"Có",M3789="Có"),OR(DANH_MUC!$L$6&lt;&gt;"Có",N3789="Có"),OR(DANH_MUC!$L$7&lt;&gt;"Có",O3789="Có"),OR(DANH_MUC!$L$8&lt;&gt;"Có",P3789="Có")),"Có","Không"))</f>
        <v/>
      </c>
      <c r="R3789" s="22">
        <f>IF($D3789="","",IF(COUNTIF($D$2:$D3789,$D3789)&gt;1,"Trùng",""))</f>
        <v/>
      </c>
      <c r="S3789" s="22">
        <f>IF($D3789="","",IF(AND(LEN($D3789)=10,LEFT($D3789,1)="0",ISNUMBER(--$D3789)),"Có","Không"))</f>
        <v/>
      </c>
      <c r="T3789" s="22">
        <f>IF($D3789="","",IF(AND($C3789&lt;&gt;"",$Q3789="Có",$R3789="",$S3789="Có",AND($L3789&lt;&gt;"",OR($L3789&lt;&gt;"Chưa xác định",DANH_MUC!$L$9="Có"))),"Có","Không"))</f>
        <v/>
      </c>
      <c r="U3789" s="22">
        <f>IF(OR($D3789="",$T3789="Có"),"",IF($C3789="","Thiếu họ tên; ","")&amp;IF($S3789&lt;&gt;"Có","SĐT sai định dạng; ","")&amp;IF($R3789="Trùng","Trùng SĐT; ","")&amp;IF($Q3789&lt;&gt;"Có","Thiếu đồng ý bắt buộc; ","")&amp;IF($L3789="","Thiếu/sai Mã REF; ",IF(AND($L3789="Chưa xác định",DANH_MUC!$L$9&lt;&gt;"Có"),"Nguồn chưa xác định; ","")))</f>
        <v/>
      </c>
      <c r="V3789" s="22">
        <f>IF(OR($D3789="",$R3789="Trùng"),"",IF(COUNTIF(ORDERS!$C$2:$C$4995,$D3789)&gt;0,"Có","Không"))</f>
        <v/>
      </c>
      <c r="W3789" s="22">
        <f>IF(OR($D3789="",$R3789="Trùng"),"",COUNTIFS(ORDERS!$C$2:$C$4995,$D3789,ORDERS!$L$2:$L$4995,"Đã chuyển khoản"))</f>
        <v/>
      </c>
      <c r="X3789" s="23">
        <f>IF(OR($D3789="",$R3789="Trùng"),"",SUMIFS(ORDERS!$J$2:$J$4995,ORDERS!$C$2:$C$4995,$D3789,ORDERS!$L$2:$L$4995,"Đã chuyển khoản"))</f>
        <v/>
      </c>
      <c r="Y3789" s="24" t="n"/>
    </row>
    <row r="3790" ht="14.25" customHeight="1" s="40">
      <c r="A3790" s="24" t="n"/>
      <c r="B3790" s="27" t="n"/>
      <c r="C3790" s="24" t="n"/>
      <c r="D3790" s="28" t="n"/>
      <c r="E3790" s="29" t="n"/>
      <c r="F3790" s="24" t="n"/>
      <c r="G3790" s="24" t="n"/>
      <c r="H3790" s="21">
        <f>IF(ISNUMBER($B3790),INT($B3790)-WEEKDAY($B3790,2)+1,"")</f>
        <v/>
      </c>
      <c r="I3790" s="24" t="n"/>
      <c r="J3790" s="22">
        <f t="array" ref="J3790">IF($D3790="","",IF($I3790="","(trống REF)",IFERROR(INDEX(MASTER_SOURCE!$B$2:$B$495,MATCH($I3790,MASTER_SOURCE!$A$2:$A$495,0)),"(REF không có trong MASTER_SOURCE)")))</f>
        <v/>
      </c>
      <c r="K3790" s="22">
        <f t="array" ref="K3790">IF($D3790="","",IFERROR(INDEX(MASTER_SOURCE!$C$2:$C$495,MATCH($I3790,MASTER_SOURCE!$A$2:$A$495,0)),""))</f>
        <v/>
      </c>
      <c r="L3790" s="22">
        <f t="array" ref="L3790">IF($D3790="","",IFERROR(INDEX(MASTER_SOURCE!$D$2:$D$495,MATCH($I3790,MASTER_SOURCE!$A$2:$A$495,0)),""))</f>
        <v/>
      </c>
      <c r="M3790" s="24" t="n"/>
      <c r="N3790" s="24" t="n"/>
      <c r="O3790" s="24" t="n"/>
      <c r="P3790" s="24" t="n"/>
      <c r="Q3790" s="22">
        <f>IF($D3790="","",IF(AND(OR(DANH_MUC!$L$5&lt;&gt;"Có",M3790="Có"),OR(DANH_MUC!$L$6&lt;&gt;"Có",N3790="Có"),OR(DANH_MUC!$L$7&lt;&gt;"Có",O3790="Có"),OR(DANH_MUC!$L$8&lt;&gt;"Có",P3790="Có")),"Có","Không"))</f>
        <v/>
      </c>
      <c r="R3790" s="22">
        <f>IF($D3790="","",IF(COUNTIF($D$2:$D3790,$D3790)&gt;1,"Trùng",""))</f>
        <v/>
      </c>
      <c r="S3790" s="22">
        <f>IF($D3790="","",IF(AND(LEN($D3790)=10,LEFT($D3790,1)="0",ISNUMBER(--$D3790)),"Có","Không"))</f>
        <v/>
      </c>
      <c r="T3790" s="22">
        <f>IF($D3790="","",IF(AND($C3790&lt;&gt;"",$Q3790="Có",$R3790="",$S3790="Có",AND($L3790&lt;&gt;"",OR($L3790&lt;&gt;"Chưa xác định",DANH_MUC!$L$9="Có"))),"Có","Không"))</f>
        <v/>
      </c>
      <c r="U3790" s="22">
        <f>IF(OR($D3790="",$T3790="Có"),"",IF($C3790="","Thiếu họ tên; ","")&amp;IF($S3790&lt;&gt;"Có","SĐT sai định dạng; ","")&amp;IF($R3790="Trùng","Trùng SĐT; ","")&amp;IF($Q3790&lt;&gt;"Có","Thiếu đồng ý bắt buộc; ","")&amp;IF($L3790="","Thiếu/sai Mã REF; ",IF(AND($L3790="Chưa xác định",DANH_MUC!$L$9&lt;&gt;"Có"),"Nguồn chưa xác định; ","")))</f>
        <v/>
      </c>
      <c r="V3790" s="22">
        <f>IF(OR($D3790="",$R3790="Trùng"),"",IF(COUNTIF(ORDERS!$C$2:$C$4995,$D3790)&gt;0,"Có","Không"))</f>
        <v/>
      </c>
      <c r="W3790" s="22">
        <f>IF(OR($D3790="",$R3790="Trùng"),"",COUNTIFS(ORDERS!$C$2:$C$4995,$D3790,ORDERS!$L$2:$L$4995,"Đã chuyển khoản"))</f>
        <v/>
      </c>
      <c r="X3790" s="23">
        <f>IF(OR($D3790="",$R3790="Trùng"),"",SUMIFS(ORDERS!$J$2:$J$4995,ORDERS!$C$2:$C$4995,$D3790,ORDERS!$L$2:$L$4995,"Đã chuyển khoản"))</f>
        <v/>
      </c>
      <c r="Y3790" s="24" t="n"/>
    </row>
    <row r="3791" ht="14.25" customHeight="1" s="40">
      <c r="A3791" s="24" t="n"/>
      <c r="B3791" s="27" t="n"/>
      <c r="C3791" s="24" t="n"/>
      <c r="D3791" s="28" t="n"/>
      <c r="E3791" s="29" t="n"/>
      <c r="F3791" s="24" t="n"/>
      <c r="G3791" s="24" t="n"/>
      <c r="H3791" s="21">
        <f>IF(ISNUMBER($B3791),INT($B3791)-WEEKDAY($B3791,2)+1,"")</f>
        <v/>
      </c>
      <c r="I3791" s="24" t="n"/>
      <c r="J3791" s="22">
        <f t="array" ref="J3791">IF($D3791="","",IF($I3791="","(trống REF)",IFERROR(INDEX(MASTER_SOURCE!$B$2:$B$495,MATCH($I3791,MASTER_SOURCE!$A$2:$A$495,0)),"(REF không có trong MASTER_SOURCE)")))</f>
        <v/>
      </c>
      <c r="K3791" s="22">
        <f t="array" ref="K3791">IF($D3791="","",IFERROR(INDEX(MASTER_SOURCE!$C$2:$C$495,MATCH($I3791,MASTER_SOURCE!$A$2:$A$495,0)),""))</f>
        <v/>
      </c>
      <c r="L3791" s="22">
        <f t="array" ref="L3791">IF($D3791="","",IFERROR(INDEX(MASTER_SOURCE!$D$2:$D$495,MATCH($I3791,MASTER_SOURCE!$A$2:$A$495,0)),""))</f>
        <v/>
      </c>
      <c r="M3791" s="24" t="n"/>
      <c r="N3791" s="24" t="n"/>
      <c r="O3791" s="24" t="n"/>
      <c r="P3791" s="24" t="n"/>
      <c r="Q3791" s="22">
        <f>IF($D3791="","",IF(AND(OR(DANH_MUC!$L$5&lt;&gt;"Có",M3791="Có"),OR(DANH_MUC!$L$6&lt;&gt;"Có",N3791="Có"),OR(DANH_MUC!$L$7&lt;&gt;"Có",O3791="Có"),OR(DANH_MUC!$L$8&lt;&gt;"Có",P3791="Có")),"Có","Không"))</f>
        <v/>
      </c>
      <c r="R3791" s="22">
        <f>IF($D3791="","",IF(COUNTIF($D$2:$D3791,$D3791)&gt;1,"Trùng",""))</f>
        <v/>
      </c>
      <c r="S3791" s="22">
        <f>IF($D3791="","",IF(AND(LEN($D3791)=10,LEFT($D3791,1)="0",ISNUMBER(--$D3791)),"Có","Không"))</f>
        <v/>
      </c>
      <c r="T3791" s="22">
        <f>IF($D3791="","",IF(AND($C3791&lt;&gt;"",$Q3791="Có",$R3791="",$S3791="Có",AND($L3791&lt;&gt;"",OR($L3791&lt;&gt;"Chưa xác định",DANH_MUC!$L$9="Có"))),"Có","Không"))</f>
        <v/>
      </c>
      <c r="U3791" s="22">
        <f>IF(OR($D3791="",$T3791="Có"),"",IF($C3791="","Thiếu họ tên; ","")&amp;IF($S3791&lt;&gt;"Có","SĐT sai định dạng; ","")&amp;IF($R3791="Trùng","Trùng SĐT; ","")&amp;IF($Q3791&lt;&gt;"Có","Thiếu đồng ý bắt buộc; ","")&amp;IF($L3791="","Thiếu/sai Mã REF; ",IF(AND($L3791="Chưa xác định",DANH_MUC!$L$9&lt;&gt;"Có"),"Nguồn chưa xác định; ","")))</f>
        <v/>
      </c>
      <c r="V3791" s="22">
        <f>IF(OR($D3791="",$R3791="Trùng"),"",IF(COUNTIF(ORDERS!$C$2:$C$4995,$D3791)&gt;0,"Có","Không"))</f>
        <v/>
      </c>
      <c r="W3791" s="22">
        <f>IF(OR($D3791="",$R3791="Trùng"),"",COUNTIFS(ORDERS!$C$2:$C$4995,$D3791,ORDERS!$L$2:$L$4995,"Đã chuyển khoản"))</f>
        <v/>
      </c>
      <c r="X3791" s="23">
        <f>IF(OR($D3791="",$R3791="Trùng"),"",SUMIFS(ORDERS!$J$2:$J$4995,ORDERS!$C$2:$C$4995,$D3791,ORDERS!$L$2:$L$4995,"Đã chuyển khoản"))</f>
        <v/>
      </c>
      <c r="Y3791" s="24" t="n"/>
    </row>
    <row r="3792" ht="14.25" customHeight="1" s="40">
      <c r="A3792" s="24" t="n"/>
      <c r="B3792" s="27" t="n"/>
      <c r="C3792" s="24" t="n"/>
      <c r="D3792" s="28" t="n"/>
      <c r="E3792" s="29" t="n"/>
      <c r="F3792" s="24" t="n"/>
      <c r="G3792" s="24" t="n"/>
      <c r="H3792" s="21">
        <f>IF(ISNUMBER($B3792),INT($B3792)-WEEKDAY($B3792,2)+1,"")</f>
        <v/>
      </c>
      <c r="I3792" s="24" t="n"/>
      <c r="J3792" s="22">
        <f t="array" ref="J3792">IF($D3792="","",IF($I3792="","(trống REF)",IFERROR(INDEX(MASTER_SOURCE!$B$2:$B$495,MATCH($I3792,MASTER_SOURCE!$A$2:$A$495,0)),"(REF không có trong MASTER_SOURCE)")))</f>
        <v/>
      </c>
      <c r="K3792" s="22">
        <f t="array" ref="K3792">IF($D3792="","",IFERROR(INDEX(MASTER_SOURCE!$C$2:$C$495,MATCH($I3792,MASTER_SOURCE!$A$2:$A$495,0)),""))</f>
        <v/>
      </c>
      <c r="L3792" s="22">
        <f t="array" ref="L3792">IF($D3792="","",IFERROR(INDEX(MASTER_SOURCE!$D$2:$D$495,MATCH($I3792,MASTER_SOURCE!$A$2:$A$495,0)),""))</f>
        <v/>
      </c>
      <c r="M3792" s="24" t="n"/>
      <c r="N3792" s="24" t="n"/>
      <c r="O3792" s="24" t="n"/>
      <c r="P3792" s="24" t="n"/>
      <c r="Q3792" s="22">
        <f>IF($D3792="","",IF(AND(OR(DANH_MUC!$L$5&lt;&gt;"Có",M3792="Có"),OR(DANH_MUC!$L$6&lt;&gt;"Có",N3792="Có"),OR(DANH_MUC!$L$7&lt;&gt;"Có",O3792="Có"),OR(DANH_MUC!$L$8&lt;&gt;"Có",P3792="Có")),"Có","Không"))</f>
        <v/>
      </c>
      <c r="R3792" s="22">
        <f>IF($D3792="","",IF(COUNTIF($D$2:$D3792,$D3792)&gt;1,"Trùng",""))</f>
        <v/>
      </c>
      <c r="S3792" s="22">
        <f>IF($D3792="","",IF(AND(LEN($D3792)=10,LEFT($D3792,1)="0",ISNUMBER(--$D3792)),"Có","Không"))</f>
        <v/>
      </c>
      <c r="T3792" s="22">
        <f>IF($D3792="","",IF(AND($C3792&lt;&gt;"",$Q3792="Có",$R3792="",$S3792="Có",AND($L3792&lt;&gt;"",OR($L3792&lt;&gt;"Chưa xác định",DANH_MUC!$L$9="Có"))),"Có","Không"))</f>
        <v/>
      </c>
      <c r="U3792" s="22">
        <f>IF(OR($D3792="",$T3792="Có"),"",IF($C3792="","Thiếu họ tên; ","")&amp;IF($S3792&lt;&gt;"Có","SĐT sai định dạng; ","")&amp;IF($R3792="Trùng","Trùng SĐT; ","")&amp;IF($Q3792&lt;&gt;"Có","Thiếu đồng ý bắt buộc; ","")&amp;IF($L3792="","Thiếu/sai Mã REF; ",IF(AND($L3792="Chưa xác định",DANH_MUC!$L$9&lt;&gt;"Có"),"Nguồn chưa xác định; ","")))</f>
        <v/>
      </c>
      <c r="V3792" s="22">
        <f>IF(OR($D3792="",$R3792="Trùng"),"",IF(COUNTIF(ORDERS!$C$2:$C$4995,$D3792)&gt;0,"Có","Không"))</f>
        <v/>
      </c>
      <c r="W3792" s="22">
        <f>IF(OR($D3792="",$R3792="Trùng"),"",COUNTIFS(ORDERS!$C$2:$C$4995,$D3792,ORDERS!$L$2:$L$4995,"Đã chuyển khoản"))</f>
        <v/>
      </c>
      <c r="X3792" s="23">
        <f>IF(OR($D3792="",$R3792="Trùng"),"",SUMIFS(ORDERS!$J$2:$J$4995,ORDERS!$C$2:$C$4995,$D3792,ORDERS!$L$2:$L$4995,"Đã chuyển khoản"))</f>
        <v/>
      </c>
      <c r="Y3792" s="24" t="n"/>
    </row>
    <row r="3793" ht="14.25" customHeight="1" s="40">
      <c r="A3793" s="24" t="n"/>
      <c r="B3793" s="27" t="n"/>
      <c r="C3793" s="24" t="n"/>
      <c r="D3793" s="28" t="n"/>
      <c r="E3793" s="29" t="n"/>
      <c r="F3793" s="24" t="n"/>
      <c r="G3793" s="24" t="n"/>
      <c r="H3793" s="21">
        <f>IF(ISNUMBER($B3793),INT($B3793)-WEEKDAY($B3793,2)+1,"")</f>
        <v/>
      </c>
      <c r="I3793" s="24" t="n"/>
      <c r="J3793" s="22">
        <f t="array" ref="J3793">IF($D3793="","",IF($I3793="","(trống REF)",IFERROR(INDEX(MASTER_SOURCE!$B$2:$B$495,MATCH($I3793,MASTER_SOURCE!$A$2:$A$495,0)),"(REF không có trong MASTER_SOURCE)")))</f>
        <v/>
      </c>
      <c r="K3793" s="22">
        <f t="array" ref="K3793">IF($D3793="","",IFERROR(INDEX(MASTER_SOURCE!$C$2:$C$495,MATCH($I3793,MASTER_SOURCE!$A$2:$A$495,0)),""))</f>
        <v/>
      </c>
      <c r="L3793" s="22">
        <f t="array" ref="L3793">IF($D3793="","",IFERROR(INDEX(MASTER_SOURCE!$D$2:$D$495,MATCH($I3793,MASTER_SOURCE!$A$2:$A$495,0)),""))</f>
        <v/>
      </c>
      <c r="M3793" s="24" t="n"/>
      <c r="N3793" s="24" t="n"/>
      <c r="O3793" s="24" t="n"/>
      <c r="P3793" s="24" t="n"/>
      <c r="Q3793" s="22">
        <f>IF($D3793="","",IF(AND(OR(DANH_MUC!$L$5&lt;&gt;"Có",M3793="Có"),OR(DANH_MUC!$L$6&lt;&gt;"Có",N3793="Có"),OR(DANH_MUC!$L$7&lt;&gt;"Có",O3793="Có"),OR(DANH_MUC!$L$8&lt;&gt;"Có",P3793="Có")),"Có","Không"))</f>
        <v/>
      </c>
      <c r="R3793" s="22">
        <f>IF($D3793="","",IF(COUNTIF($D$2:$D3793,$D3793)&gt;1,"Trùng",""))</f>
        <v/>
      </c>
      <c r="S3793" s="22">
        <f>IF($D3793="","",IF(AND(LEN($D3793)=10,LEFT($D3793,1)="0",ISNUMBER(--$D3793)),"Có","Không"))</f>
        <v/>
      </c>
      <c r="T3793" s="22">
        <f>IF($D3793="","",IF(AND($C3793&lt;&gt;"",$Q3793="Có",$R3793="",$S3793="Có",AND($L3793&lt;&gt;"",OR($L3793&lt;&gt;"Chưa xác định",DANH_MUC!$L$9="Có"))),"Có","Không"))</f>
        <v/>
      </c>
      <c r="U3793" s="22">
        <f>IF(OR($D3793="",$T3793="Có"),"",IF($C3793="","Thiếu họ tên; ","")&amp;IF($S3793&lt;&gt;"Có","SĐT sai định dạng; ","")&amp;IF($R3793="Trùng","Trùng SĐT; ","")&amp;IF($Q3793&lt;&gt;"Có","Thiếu đồng ý bắt buộc; ","")&amp;IF($L3793="","Thiếu/sai Mã REF; ",IF(AND($L3793="Chưa xác định",DANH_MUC!$L$9&lt;&gt;"Có"),"Nguồn chưa xác định; ","")))</f>
        <v/>
      </c>
      <c r="V3793" s="22">
        <f>IF(OR($D3793="",$R3793="Trùng"),"",IF(COUNTIF(ORDERS!$C$2:$C$4995,$D3793)&gt;0,"Có","Không"))</f>
        <v/>
      </c>
      <c r="W3793" s="22">
        <f>IF(OR($D3793="",$R3793="Trùng"),"",COUNTIFS(ORDERS!$C$2:$C$4995,$D3793,ORDERS!$L$2:$L$4995,"Đã chuyển khoản"))</f>
        <v/>
      </c>
      <c r="X3793" s="23">
        <f>IF(OR($D3793="",$R3793="Trùng"),"",SUMIFS(ORDERS!$J$2:$J$4995,ORDERS!$C$2:$C$4995,$D3793,ORDERS!$L$2:$L$4995,"Đã chuyển khoản"))</f>
        <v/>
      </c>
      <c r="Y3793" s="24" t="n"/>
    </row>
    <row r="3794" ht="14.25" customHeight="1" s="40">
      <c r="A3794" s="24" t="n"/>
      <c r="B3794" s="27" t="n"/>
      <c r="C3794" s="24" t="n"/>
      <c r="D3794" s="28" t="n"/>
      <c r="E3794" s="29" t="n"/>
      <c r="F3794" s="24" t="n"/>
      <c r="G3794" s="24" t="n"/>
      <c r="H3794" s="21">
        <f>IF(ISNUMBER($B3794),INT($B3794)-WEEKDAY($B3794,2)+1,"")</f>
        <v/>
      </c>
      <c r="I3794" s="24" t="n"/>
      <c r="J3794" s="22">
        <f t="array" ref="J3794">IF($D3794="","",IF($I3794="","(trống REF)",IFERROR(INDEX(MASTER_SOURCE!$B$2:$B$495,MATCH($I3794,MASTER_SOURCE!$A$2:$A$495,0)),"(REF không có trong MASTER_SOURCE)")))</f>
        <v/>
      </c>
      <c r="K3794" s="22">
        <f t="array" ref="K3794">IF($D3794="","",IFERROR(INDEX(MASTER_SOURCE!$C$2:$C$495,MATCH($I3794,MASTER_SOURCE!$A$2:$A$495,0)),""))</f>
        <v/>
      </c>
      <c r="L3794" s="22">
        <f t="array" ref="L3794">IF($D3794="","",IFERROR(INDEX(MASTER_SOURCE!$D$2:$D$495,MATCH($I3794,MASTER_SOURCE!$A$2:$A$495,0)),""))</f>
        <v/>
      </c>
      <c r="M3794" s="24" t="n"/>
      <c r="N3794" s="24" t="n"/>
      <c r="O3794" s="24" t="n"/>
      <c r="P3794" s="24" t="n"/>
      <c r="Q3794" s="22">
        <f>IF($D3794="","",IF(AND(OR(DANH_MUC!$L$5&lt;&gt;"Có",M3794="Có"),OR(DANH_MUC!$L$6&lt;&gt;"Có",N3794="Có"),OR(DANH_MUC!$L$7&lt;&gt;"Có",O3794="Có"),OR(DANH_MUC!$L$8&lt;&gt;"Có",P3794="Có")),"Có","Không"))</f>
        <v/>
      </c>
      <c r="R3794" s="22">
        <f>IF($D3794="","",IF(COUNTIF($D$2:$D3794,$D3794)&gt;1,"Trùng",""))</f>
        <v/>
      </c>
      <c r="S3794" s="22">
        <f>IF($D3794="","",IF(AND(LEN($D3794)=10,LEFT($D3794,1)="0",ISNUMBER(--$D3794)),"Có","Không"))</f>
        <v/>
      </c>
      <c r="T3794" s="22">
        <f>IF($D3794="","",IF(AND($C3794&lt;&gt;"",$Q3794="Có",$R3794="",$S3794="Có",AND($L3794&lt;&gt;"",OR($L3794&lt;&gt;"Chưa xác định",DANH_MUC!$L$9="Có"))),"Có","Không"))</f>
        <v/>
      </c>
      <c r="U3794" s="22">
        <f>IF(OR($D3794="",$T3794="Có"),"",IF($C3794="","Thiếu họ tên; ","")&amp;IF($S3794&lt;&gt;"Có","SĐT sai định dạng; ","")&amp;IF($R3794="Trùng","Trùng SĐT; ","")&amp;IF($Q3794&lt;&gt;"Có","Thiếu đồng ý bắt buộc; ","")&amp;IF($L3794="","Thiếu/sai Mã REF; ",IF(AND($L3794="Chưa xác định",DANH_MUC!$L$9&lt;&gt;"Có"),"Nguồn chưa xác định; ","")))</f>
        <v/>
      </c>
      <c r="V3794" s="22">
        <f>IF(OR($D3794="",$R3794="Trùng"),"",IF(COUNTIF(ORDERS!$C$2:$C$4995,$D3794)&gt;0,"Có","Không"))</f>
        <v/>
      </c>
      <c r="W3794" s="22">
        <f>IF(OR($D3794="",$R3794="Trùng"),"",COUNTIFS(ORDERS!$C$2:$C$4995,$D3794,ORDERS!$L$2:$L$4995,"Đã chuyển khoản"))</f>
        <v/>
      </c>
      <c r="X3794" s="23">
        <f>IF(OR($D3794="",$R3794="Trùng"),"",SUMIFS(ORDERS!$J$2:$J$4995,ORDERS!$C$2:$C$4995,$D3794,ORDERS!$L$2:$L$4995,"Đã chuyển khoản"))</f>
        <v/>
      </c>
      <c r="Y3794" s="24" t="n"/>
    </row>
    <row r="3795" ht="14.25" customHeight="1" s="40">
      <c r="A3795" s="24" t="n"/>
      <c r="B3795" s="27" t="n"/>
      <c r="C3795" s="24" t="n"/>
      <c r="D3795" s="28" t="n"/>
      <c r="E3795" s="29" t="n"/>
      <c r="F3795" s="24" t="n"/>
      <c r="G3795" s="24" t="n"/>
      <c r="H3795" s="21">
        <f>IF(ISNUMBER($B3795),INT($B3795)-WEEKDAY($B3795,2)+1,"")</f>
        <v/>
      </c>
      <c r="I3795" s="24" t="n"/>
      <c r="J3795" s="22">
        <f t="array" ref="J3795">IF($D3795="","",IF($I3795="","(trống REF)",IFERROR(INDEX(MASTER_SOURCE!$B$2:$B$495,MATCH($I3795,MASTER_SOURCE!$A$2:$A$495,0)),"(REF không có trong MASTER_SOURCE)")))</f>
        <v/>
      </c>
      <c r="K3795" s="22">
        <f t="array" ref="K3795">IF($D3795="","",IFERROR(INDEX(MASTER_SOURCE!$C$2:$C$495,MATCH($I3795,MASTER_SOURCE!$A$2:$A$495,0)),""))</f>
        <v/>
      </c>
      <c r="L3795" s="22">
        <f t="array" ref="L3795">IF($D3795="","",IFERROR(INDEX(MASTER_SOURCE!$D$2:$D$495,MATCH($I3795,MASTER_SOURCE!$A$2:$A$495,0)),""))</f>
        <v/>
      </c>
      <c r="M3795" s="24" t="n"/>
      <c r="N3795" s="24" t="n"/>
      <c r="O3795" s="24" t="n"/>
      <c r="P3795" s="24" t="n"/>
      <c r="Q3795" s="22">
        <f>IF($D3795="","",IF(AND(OR(DANH_MUC!$L$5&lt;&gt;"Có",M3795="Có"),OR(DANH_MUC!$L$6&lt;&gt;"Có",N3795="Có"),OR(DANH_MUC!$L$7&lt;&gt;"Có",O3795="Có"),OR(DANH_MUC!$L$8&lt;&gt;"Có",P3795="Có")),"Có","Không"))</f>
        <v/>
      </c>
      <c r="R3795" s="22">
        <f>IF($D3795="","",IF(COUNTIF($D$2:$D3795,$D3795)&gt;1,"Trùng",""))</f>
        <v/>
      </c>
      <c r="S3795" s="22">
        <f>IF($D3795="","",IF(AND(LEN($D3795)=10,LEFT($D3795,1)="0",ISNUMBER(--$D3795)),"Có","Không"))</f>
        <v/>
      </c>
      <c r="T3795" s="22">
        <f>IF($D3795="","",IF(AND($C3795&lt;&gt;"",$Q3795="Có",$R3795="",$S3795="Có",AND($L3795&lt;&gt;"",OR($L3795&lt;&gt;"Chưa xác định",DANH_MUC!$L$9="Có"))),"Có","Không"))</f>
        <v/>
      </c>
      <c r="U3795" s="22">
        <f>IF(OR($D3795="",$T3795="Có"),"",IF($C3795="","Thiếu họ tên; ","")&amp;IF($S3795&lt;&gt;"Có","SĐT sai định dạng; ","")&amp;IF($R3795="Trùng","Trùng SĐT; ","")&amp;IF($Q3795&lt;&gt;"Có","Thiếu đồng ý bắt buộc; ","")&amp;IF($L3795="","Thiếu/sai Mã REF; ",IF(AND($L3795="Chưa xác định",DANH_MUC!$L$9&lt;&gt;"Có"),"Nguồn chưa xác định; ","")))</f>
        <v/>
      </c>
      <c r="V3795" s="22">
        <f>IF(OR($D3795="",$R3795="Trùng"),"",IF(COUNTIF(ORDERS!$C$2:$C$4995,$D3795)&gt;0,"Có","Không"))</f>
        <v/>
      </c>
      <c r="W3795" s="22">
        <f>IF(OR($D3795="",$R3795="Trùng"),"",COUNTIFS(ORDERS!$C$2:$C$4995,$D3795,ORDERS!$L$2:$L$4995,"Đã chuyển khoản"))</f>
        <v/>
      </c>
      <c r="X3795" s="23">
        <f>IF(OR($D3795="",$R3795="Trùng"),"",SUMIFS(ORDERS!$J$2:$J$4995,ORDERS!$C$2:$C$4995,$D3795,ORDERS!$L$2:$L$4995,"Đã chuyển khoản"))</f>
        <v/>
      </c>
      <c r="Y3795" s="24" t="n"/>
    </row>
    <row r="3796" ht="14.25" customHeight="1" s="40">
      <c r="A3796" s="24" t="n"/>
      <c r="B3796" s="27" t="n"/>
      <c r="C3796" s="24" t="n"/>
      <c r="D3796" s="28" t="n"/>
      <c r="E3796" s="29" t="n"/>
      <c r="F3796" s="24" t="n"/>
      <c r="G3796" s="24" t="n"/>
      <c r="H3796" s="21">
        <f>IF(ISNUMBER($B3796),INT($B3796)-WEEKDAY($B3796,2)+1,"")</f>
        <v/>
      </c>
      <c r="I3796" s="24" t="n"/>
      <c r="J3796" s="22">
        <f t="array" ref="J3796">IF($D3796="","",IF($I3796="","(trống REF)",IFERROR(INDEX(MASTER_SOURCE!$B$2:$B$495,MATCH($I3796,MASTER_SOURCE!$A$2:$A$495,0)),"(REF không có trong MASTER_SOURCE)")))</f>
        <v/>
      </c>
      <c r="K3796" s="22">
        <f t="array" ref="K3796">IF($D3796="","",IFERROR(INDEX(MASTER_SOURCE!$C$2:$C$495,MATCH($I3796,MASTER_SOURCE!$A$2:$A$495,0)),""))</f>
        <v/>
      </c>
      <c r="L3796" s="22">
        <f t="array" ref="L3796">IF($D3796="","",IFERROR(INDEX(MASTER_SOURCE!$D$2:$D$495,MATCH($I3796,MASTER_SOURCE!$A$2:$A$495,0)),""))</f>
        <v/>
      </c>
      <c r="M3796" s="24" t="n"/>
      <c r="N3796" s="24" t="n"/>
      <c r="O3796" s="24" t="n"/>
      <c r="P3796" s="24" t="n"/>
      <c r="Q3796" s="22">
        <f>IF($D3796="","",IF(AND(OR(DANH_MUC!$L$5&lt;&gt;"Có",M3796="Có"),OR(DANH_MUC!$L$6&lt;&gt;"Có",N3796="Có"),OR(DANH_MUC!$L$7&lt;&gt;"Có",O3796="Có"),OR(DANH_MUC!$L$8&lt;&gt;"Có",P3796="Có")),"Có","Không"))</f>
        <v/>
      </c>
      <c r="R3796" s="22">
        <f>IF($D3796="","",IF(COUNTIF($D$2:$D3796,$D3796)&gt;1,"Trùng",""))</f>
        <v/>
      </c>
      <c r="S3796" s="22">
        <f>IF($D3796="","",IF(AND(LEN($D3796)=10,LEFT($D3796,1)="0",ISNUMBER(--$D3796)),"Có","Không"))</f>
        <v/>
      </c>
      <c r="T3796" s="22">
        <f>IF($D3796="","",IF(AND($C3796&lt;&gt;"",$Q3796="Có",$R3796="",$S3796="Có",AND($L3796&lt;&gt;"",OR($L3796&lt;&gt;"Chưa xác định",DANH_MUC!$L$9="Có"))),"Có","Không"))</f>
        <v/>
      </c>
      <c r="U3796" s="22">
        <f>IF(OR($D3796="",$T3796="Có"),"",IF($C3796="","Thiếu họ tên; ","")&amp;IF($S3796&lt;&gt;"Có","SĐT sai định dạng; ","")&amp;IF($R3796="Trùng","Trùng SĐT; ","")&amp;IF($Q3796&lt;&gt;"Có","Thiếu đồng ý bắt buộc; ","")&amp;IF($L3796="","Thiếu/sai Mã REF; ",IF(AND($L3796="Chưa xác định",DANH_MUC!$L$9&lt;&gt;"Có"),"Nguồn chưa xác định; ","")))</f>
        <v/>
      </c>
      <c r="V3796" s="22">
        <f>IF(OR($D3796="",$R3796="Trùng"),"",IF(COUNTIF(ORDERS!$C$2:$C$4995,$D3796)&gt;0,"Có","Không"))</f>
        <v/>
      </c>
      <c r="W3796" s="22">
        <f>IF(OR($D3796="",$R3796="Trùng"),"",COUNTIFS(ORDERS!$C$2:$C$4995,$D3796,ORDERS!$L$2:$L$4995,"Đã chuyển khoản"))</f>
        <v/>
      </c>
      <c r="X3796" s="23">
        <f>IF(OR($D3796="",$R3796="Trùng"),"",SUMIFS(ORDERS!$J$2:$J$4995,ORDERS!$C$2:$C$4995,$D3796,ORDERS!$L$2:$L$4995,"Đã chuyển khoản"))</f>
        <v/>
      </c>
      <c r="Y3796" s="24" t="n"/>
    </row>
    <row r="3797" ht="14.25" customHeight="1" s="40">
      <c r="A3797" s="24" t="n"/>
      <c r="B3797" s="27" t="n"/>
      <c r="C3797" s="24" t="n"/>
      <c r="D3797" s="28" t="n"/>
      <c r="E3797" s="29" t="n"/>
      <c r="F3797" s="24" t="n"/>
      <c r="G3797" s="24" t="n"/>
      <c r="H3797" s="21">
        <f>IF(ISNUMBER($B3797),INT($B3797)-WEEKDAY($B3797,2)+1,"")</f>
        <v/>
      </c>
      <c r="I3797" s="24" t="n"/>
      <c r="J3797" s="22">
        <f t="array" ref="J3797">IF($D3797="","",IF($I3797="","(trống REF)",IFERROR(INDEX(MASTER_SOURCE!$B$2:$B$495,MATCH($I3797,MASTER_SOURCE!$A$2:$A$495,0)),"(REF không có trong MASTER_SOURCE)")))</f>
        <v/>
      </c>
      <c r="K3797" s="22">
        <f t="array" ref="K3797">IF($D3797="","",IFERROR(INDEX(MASTER_SOURCE!$C$2:$C$495,MATCH($I3797,MASTER_SOURCE!$A$2:$A$495,0)),""))</f>
        <v/>
      </c>
      <c r="L3797" s="22">
        <f t="array" ref="L3797">IF($D3797="","",IFERROR(INDEX(MASTER_SOURCE!$D$2:$D$495,MATCH($I3797,MASTER_SOURCE!$A$2:$A$495,0)),""))</f>
        <v/>
      </c>
      <c r="M3797" s="24" t="n"/>
      <c r="N3797" s="24" t="n"/>
      <c r="O3797" s="24" t="n"/>
      <c r="P3797" s="24" t="n"/>
      <c r="Q3797" s="22">
        <f>IF($D3797="","",IF(AND(OR(DANH_MUC!$L$5&lt;&gt;"Có",M3797="Có"),OR(DANH_MUC!$L$6&lt;&gt;"Có",N3797="Có"),OR(DANH_MUC!$L$7&lt;&gt;"Có",O3797="Có"),OR(DANH_MUC!$L$8&lt;&gt;"Có",P3797="Có")),"Có","Không"))</f>
        <v/>
      </c>
      <c r="R3797" s="22">
        <f>IF($D3797="","",IF(COUNTIF($D$2:$D3797,$D3797)&gt;1,"Trùng",""))</f>
        <v/>
      </c>
      <c r="S3797" s="22">
        <f>IF($D3797="","",IF(AND(LEN($D3797)=10,LEFT($D3797,1)="0",ISNUMBER(--$D3797)),"Có","Không"))</f>
        <v/>
      </c>
      <c r="T3797" s="22">
        <f>IF($D3797="","",IF(AND($C3797&lt;&gt;"",$Q3797="Có",$R3797="",$S3797="Có",AND($L3797&lt;&gt;"",OR($L3797&lt;&gt;"Chưa xác định",DANH_MUC!$L$9="Có"))),"Có","Không"))</f>
        <v/>
      </c>
      <c r="U3797" s="22">
        <f>IF(OR($D3797="",$T3797="Có"),"",IF($C3797="","Thiếu họ tên; ","")&amp;IF($S3797&lt;&gt;"Có","SĐT sai định dạng; ","")&amp;IF($R3797="Trùng","Trùng SĐT; ","")&amp;IF($Q3797&lt;&gt;"Có","Thiếu đồng ý bắt buộc; ","")&amp;IF($L3797="","Thiếu/sai Mã REF; ",IF(AND($L3797="Chưa xác định",DANH_MUC!$L$9&lt;&gt;"Có"),"Nguồn chưa xác định; ","")))</f>
        <v/>
      </c>
      <c r="V3797" s="22">
        <f>IF(OR($D3797="",$R3797="Trùng"),"",IF(COUNTIF(ORDERS!$C$2:$C$4995,$D3797)&gt;0,"Có","Không"))</f>
        <v/>
      </c>
      <c r="W3797" s="22">
        <f>IF(OR($D3797="",$R3797="Trùng"),"",COUNTIFS(ORDERS!$C$2:$C$4995,$D3797,ORDERS!$L$2:$L$4995,"Đã chuyển khoản"))</f>
        <v/>
      </c>
      <c r="X3797" s="23">
        <f>IF(OR($D3797="",$R3797="Trùng"),"",SUMIFS(ORDERS!$J$2:$J$4995,ORDERS!$C$2:$C$4995,$D3797,ORDERS!$L$2:$L$4995,"Đã chuyển khoản"))</f>
        <v/>
      </c>
      <c r="Y3797" s="24" t="n"/>
    </row>
    <row r="3798" ht="14.25" customHeight="1" s="40">
      <c r="A3798" s="24" t="n"/>
      <c r="B3798" s="27" t="n"/>
      <c r="C3798" s="24" t="n"/>
      <c r="D3798" s="28" t="n"/>
      <c r="E3798" s="29" t="n"/>
      <c r="F3798" s="24" t="n"/>
      <c r="G3798" s="24" t="n"/>
      <c r="H3798" s="21">
        <f>IF(ISNUMBER($B3798),INT($B3798)-WEEKDAY($B3798,2)+1,"")</f>
        <v/>
      </c>
      <c r="I3798" s="24" t="n"/>
      <c r="J3798" s="22">
        <f t="array" ref="J3798">IF($D3798="","",IF($I3798="","(trống REF)",IFERROR(INDEX(MASTER_SOURCE!$B$2:$B$495,MATCH($I3798,MASTER_SOURCE!$A$2:$A$495,0)),"(REF không có trong MASTER_SOURCE)")))</f>
        <v/>
      </c>
      <c r="K3798" s="22">
        <f t="array" ref="K3798">IF($D3798="","",IFERROR(INDEX(MASTER_SOURCE!$C$2:$C$495,MATCH($I3798,MASTER_SOURCE!$A$2:$A$495,0)),""))</f>
        <v/>
      </c>
      <c r="L3798" s="22">
        <f t="array" ref="L3798">IF($D3798="","",IFERROR(INDEX(MASTER_SOURCE!$D$2:$D$495,MATCH($I3798,MASTER_SOURCE!$A$2:$A$495,0)),""))</f>
        <v/>
      </c>
      <c r="M3798" s="24" t="n"/>
      <c r="N3798" s="24" t="n"/>
      <c r="O3798" s="24" t="n"/>
      <c r="P3798" s="24" t="n"/>
      <c r="Q3798" s="22">
        <f>IF($D3798="","",IF(AND(OR(DANH_MUC!$L$5&lt;&gt;"Có",M3798="Có"),OR(DANH_MUC!$L$6&lt;&gt;"Có",N3798="Có"),OR(DANH_MUC!$L$7&lt;&gt;"Có",O3798="Có"),OR(DANH_MUC!$L$8&lt;&gt;"Có",P3798="Có")),"Có","Không"))</f>
        <v/>
      </c>
      <c r="R3798" s="22">
        <f>IF($D3798="","",IF(COUNTIF($D$2:$D3798,$D3798)&gt;1,"Trùng",""))</f>
        <v/>
      </c>
      <c r="S3798" s="22">
        <f>IF($D3798="","",IF(AND(LEN($D3798)=10,LEFT($D3798,1)="0",ISNUMBER(--$D3798)),"Có","Không"))</f>
        <v/>
      </c>
      <c r="T3798" s="22">
        <f>IF($D3798="","",IF(AND($C3798&lt;&gt;"",$Q3798="Có",$R3798="",$S3798="Có",AND($L3798&lt;&gt;"",OR($L3798&lt;&gt;"Chưa xác định",DANH_MUC!$L$9="Có"))),"Có","Không"))</f>
        <v/>
      </c>
      <c r="U3798" s="22">
        <f>IF(OR($D3798="",$T3798="Có"),"",IF($C3798="","Thiếu họ tên; ","")&amp;IF($S3798&lt;&gt;"Có","SĐT sai định dạng; ","")&amp;IF($R3798="Trùng","Trùng SĐT; ","")&amp;IF($Q3798&lt;&gt;"Có","Thiếu đồng ý bắt buộc; ","")&amp;IF($L3798="","Thiếu/sai Mã REF; ",IF(AND($L3798="Chưa xác định",DANH_MUC!$L$9&lt;&gt;"Có"),"Nguồn chưa xác định; ","")))</f>
        <v/>
      </c>
      <c r="V3798" s="22">
        <f>IF(OR($D3798="",$R3798="Trùng"),"",IF(COUNTIF(ORDERS!$C$2:$C$4995,$D3798)&gt;0,"Có","Không"))</f>
        <v/>
      </c>
      <c r="W3798" s="22">
        <f>IF(OR($D3798="",$R3798="Trùng"),"",COUNTIFS(ORDERS!$C$2:$C$4995,$D3798,ORDERS!$L$2:$L$4995,"Đã chuyển khoản"))</f>
        <v/>
      </c>
      <c r="X3798" s="23">
        <f>IF(OR($D3798="",$R3798="Trùng"),"",SUMIFS(ORDERS!$J$2:$J$4995,ORDERS!$C$2:$C$4995,$D3798,ORDERS!$L$2:$L$4995,"Đã chuyển khoản"))</f>
        <v/>
      </c>
      <c r="Y3798" s="24" t="n"/>
    </row>
    <row r="3799" ht="14.25" customHeight="1" s="40">
      <c r="A3799" s="24" t="n"/>
      <c r="B3799" s="27" t="n"/>
      <c r="C3799" s="24" t="n"/>
      <c r="D3799" s="28" t="n"/>
      <c r="E3799" s="29" t="n"/>
      <c r="F3799" s="24" t="n"/>
      <c r="G3799" s="24" t="n"/>
      <c r="H3799" s="21">
        <f>IF(ISNUMBER($B3799),INT($B3799)-WEEKDAY($B3799,2)+1,"")</f>
        <v/>
      </c>
      <c r="I3799" s="24" t="n"/>
      <c r="J3799" s="22">
        <f t="array" ref="J3799">IF($D3799="","",IF($I3799="","(trống REF)",IFERROR(INDEX(MASTER_SOURCE!$B$2:$B$495,MATCH($I3799,MASTER_SOURCE!$A$2:$A$495,0)),"(REF không có trong MASTER_SOURCE)")))</f>
        <v/>
      </c>
      <c r="K3799" s="22">
        <f t="array" ref="K3799">IF($D3799="","",IFERROR(INDEX(MASTER_SOURCE!$C$2:$C$495,MATCH($I3799,MASTER_SOURCE!$A$2:$A$495,0)),""))</f>
        <v/>
      </c>
      <c r="L3799" s="22">
        <f t="array" ref="L3799">IF($D3799="","",IFERROR(INDEX(MASTER_SOURCE!$D$2:$D$495,MATCH($I3799,MASTER_SOURCE!$A$2:$A$495,0)),""))</f>
        <v/>
      </c>
      <c r="M3799" s="24" t="n"/>
      <c r="N3799" s="24" t="n"/>
      <c r="O3799" s="24" t="n"/>
      <c r="P3799" s="24" t="n"/>
      <c r="Q3799" s="22">
        <f>IF($D3799="","",IF(AND(OR(DANH_MUC!$L$5&lt;&gt;"Có",M3799="Có"),OR(DANH_MUC!$L$6&lt;&gt;"Có",N3799="Có"),OR(DANH_MUC!$L$7&lt;&gt;"Có",O3799="Có"),OR(DANH_MUC!$L$8&lt;&gt;"Có",P3799="Có")),"Có","Không"))</f>
        <v/>
      </c>
      <c r="R3799" s="22">
        <f>IF($D3799="","",IF(COUNTIF($D$2:$D3799,$D3799)&gt;1,"Trùng",""))</f>
        <v/>
      </c>
      <c r="S3799" s="22">
        <f>IF($D3799="","",IF(AND(LEN($D3799)=10,LEFT($D3799,1)="0",ISNUMBER(--$D3799)),"Có","Không"))</f>
        <v/>
      </c>
      <c r="T3799" s="22">
        <f>IF($D3799="","",IF(AND($C3799&lt;&gt;"",$Q3799="Có",$R3799="",$S3799="Có",AND($L3799&lt;&gt;"",OR($L3799&lt;&gt;"Chưa xác định",DANH_MUC!$L$9="Có"))),"Có","Không"))</f>
        <v/>
      </c>
      <c r="U3799" s="22">
        <f>IF(OR($D3799="",$T3799="Có"),"",IF($C3799="","Thiếu họ tên; ","")&amp;IF($S3799&lt;&gt;"Có","SĐT sai định dạng; ","")&amp;IF($R3799="Trùng","Trùng SĐT; ","")&amp;IF($Q3799&lt;&gt;"Có","Thiếu đồng ý bắt buộc; ","")&amp;IF($L3799="","Thiếu/sai Mã REF; ",IF(AND($L3799="Chưa xác định",DANH_MUC!$L$9&lt;&gt;"Có"),"Nguồn chưa xác định; ","")))</f>
        <v/>
      </c>
      <c r="V3799" s="22">
        <f>IF(OR($D3799="",$R3799="Trùng"),"",IF(COUNTIF(ORDERS!$C$2:$C$4995,$D3799)&gt;0,"Có","Không"))</f>
        <v/>
      </c>
      <c r="W3799" s="22">
        <f>IF(OR($D3799="",$R3799="Trùng"),"",COUNTIFS(ORDERS!$C$2:$C$4995,$D3799,ORDERS!$L$2:$L$4995,"Đã chuyển khoản"))</f>
        <v/>
      </c>
      <c r="X3799" s="23">
        <f>IF(OR($D3799="",$R3799="Trùng"),"",SUMIFS(ORDERS!$J$2:$J$4995,ORDERS!$C$2:$C$4995,$D3799,ORDERS!$L$2:$L$4995,"Đã chuyển khoản"))</f>
        <v/>
      </c>
      <c r="Y3799" s="24" t="n"/>
    </row>
    <row r="3800" ht="14.25" customHeight="1" s="40">
      <c r="A3800" s="24" t="n"/>
      <c r="B3800" s="27" t="n"/>
      <c r="C3800" s="24" t="n"/>
      <c r="D3800" s="28" t="n"/>
      <c r="E3800" s="29" t="n"/>
      <c r="F3800" s="24" t="n"/>
      <c r="G3800" s="24" t="n"/>
      <c r="H3800" s="21">
        <f>IF(ISNUMBER($B3800),INT($B3800)-WEEKDAY($B3800,2)+1,"")</f>
        <v/>
      </c>
      <c r="I3800" s="24" t="n"/>
      <c r="J3800" s="22">
        <f t="array" ref="J3800">IF($D3800="","",IF($I3800="","(trống REF)",IFERROR(INDEX(MASTER_SOURCE!$B$2:$B$495,MATCH($I3800,MASTER_SOURCE!$A$2:$A$495,0)),"(REF không có trong MASTER_SOURCE)")))</f>
        <v/>
      </c>
      <c r="K3800" s="22">
        <f t="array" ref="K3800">IF($D3800="","",IFERROR(INDEX(MASTER_SOURCE!$C$2:$C$495,MATCH($I3800,MASTER_SOURCE!$A$2:$A$495,0)),""))</f>
        <v/>
      </c>
      <c r="L3800" s="22">
        <f t="array" ref="L3800">IF($D3800="","",IFERROR(INDEX(MASTER_SOURCE!$D$2:$D$495,MATCH($I3800,MASTER_SOURCE!$A$2:$A$495,0)),""))</f>
        <v/>
      </c>
      <c r="M3800" s="24" t="n"/>
      <c r="N3800" s="24" t="n"/>
      <c r="O3800" s="24" t="n"/>
      <c r="P3800" s="24" t="n"/>
      <c r="Q3800" s="22">
        <f>IF($D3800="","",IF(AND(OR(DANH_MUC!$L$5&lt;&gt;"Có",M3800="Có"),OR(DANH_MUC!$L$6&lt;&gt;"Có",N3800="Có"),OR(DANH_MUC!$L$7&lt;&gt;"Có",O3800="Có"),OR(DANH_MUC!$L$8&lt;&gt;"Có",P3800="Có")),"Có","Không"))</f>
        <v/>
      </c>
      <c r="R3800" s="22">
        <f>IF($D3800="","",IF(COUNTIF($D$2:$D3800,$D3800)&gt;1,"Trùng",""))</f>
        <v/>
      </c>
      <c r="S3800" s="22">
        <f>IF($D3800="","",IF(AND(LEN($D3800)=10,LEFT($D3800,1)="0",ISNUMBER(--$D3800)),"Có","Không"))</f>
        <v/>
      </c>
      <c r="T3800" s="22">
        <f>IF($D3800="","",IF(AND($C3800&lt;&gt;"",$Q3800="Có",$R3800="",$S3800="Có",AND($L3800&lt;&gt;"",OR($L3800&lt;&gt;"Chưa xác định",DANH_MUC!$L$9="Có"))),"Có","Không"))</f>
        <v/>
      </c>
      <c r="U3800" s="22">
        <f>IF(OR($D3800="",$T3800="Có"),"",IF($C3800="","Thiếu họ tên; ","")&amp;IF($S3800&lt;&gt;"Có","SĐT sai định dạng; ","")&amp;IF($R3800="Trùng","Trùng SĐT; ","")&amp;IF($Q3800&lt;&gt;"Có","Thiếu đồng ý bắt buộc; ","")&amp;IF($L3800="","Thiếu/sai Mã REF; ",IF(AND($L3800="Chưa xác định",DANH_MUC!$L$9&lt;&gt;"Có"),"Nguồn chưa xác định; ","")))</f>
        <v/>
      </c>
      <c r="V3800" s="22">
        <f>IF(OR($D3800="",$R3800="Trùng"),"",IF(COUNTIF(ORDERS!$C$2:$C$4995,$D3800)&gt;0,"Có","Không"))</f>
        <v/>
      </c>
      <c r="W3800" s="22">
        <f>IF(OR($D3800="",$R3800="Trùng"),"",COUNTIFS(ORDERS!$C$2:$C$4995,$D3800,ORDERS!$L$2:$L$4995,"Đã chuyển khoản"))</f>
        <v/>
      </c>
      <c r="X3800" s="23">
        <f>IF(OR($D3800="",$R3800="Trùng"),"",SUMIFS(ORDERS!$J$2:$J$4995,ORDERS!$C$2:$C$4995,$D3800,ORDERS!$L$2:$L$4995,"Đã chuyển khoản"))</f>
        <v/>
      </c>
      <c r="Y3800" s="24" t="n"/>
    </row>
    <row r="3801" ht="14.25" customHeight="1" s="40">
      <c r="A3801" s="24" t="n"/>
      <c r="B3801" s="27" t="n"/>
      <c r="C3801" s="24" t="n"/>
      <c r="D3801" s="28" t="n"/>
      <c r="E3801" s="29" t="n"/>
      <c r="F3801" s="24" t="n"/>
      <c r="G3801" s="24" t="n"/>
      <c r="H3801" s="21">
        <f>IF(ISNUMBER($B3801),INT($B3801)-WEEKDAY($B3801,2)+1,"")</f>
        <v/>
      </c>
      <c r="I3801" s="24" t="n"/>
      <c r="J3801" s="22">
        <f t="array" ref="J3801">IF($D3801="","",IF($I3801="","(trống REF)",IFERROR(INDEX(MASTER_SOURCE!$B$2:$B$495,MATCH($I3801,MASTER_SOURCE!$A$2:$A$495,0)),"(REF không có trong MASTER_SOURCE)")))</f>
        <v/>
      </c>
      <c r="K3801" s="22">
        <f t="array" ref="K3801">IF($D3801="","",IFERROR(INDEX(MASTER_SOURCE!$C$2:$C$495,MATCH($I3801,MASTER_SOURCE!$A$2:$A$495,0)),""))</f>
        <v/>
      </c>
      <c r="L3801" s="22">
        <f t="array" ref="L3801">IF($D3801="","",IFERROR(INDEX(MASTER_SOURCE!$D$2:$D$495,MATCH($I3801,MASTER_SOURCE!$A$2:$A$495,0)),""))</f>
        <v/>
      </c>
      <c r="M3801" s="24" t="n"/>
      <c r="N3801" s="24" t="n"/>
      <c r="O3801" s="24" t="n"/>
      <c r="P3801" s="24" t="n"/>
      <c r="Q3801" s="22">
        <f>IF($D3801="","",IF(AND(OR(DANH_MUC!$L$5&lt;&gt;"Có",M3801="Có"),OR(DANH_MUC!$L$6&lt;&gt;"Có",N3801="Có"),OR(DANH_MUC!$L$7&lt;&gt;"Có",O3801="Có"),OR(DANH_MUC!$L$8&lt;&gt;"Có",P3801="Có")),"Có","Không"))</f>
        <v/>
      </c>
      <c r="R3801" s="22">
        <f>IF($D3801="","",IF(COUNTIF($D$2:$D3801,$D3801)&gt;1,"Trùng",""))</f>
        <v/>
      </c>
      <c r="S3801" s="22">
        <f>IF($D3801="","",IF(AND(LEN($D3801)=10,LEFT($D3801,1)="0",ISNUMBER(--$D3801)),"Có","Không"))</f>
        <v/>
      </c>
      <c r="T3801" s="22">
        <f>IF($D3801="","",IF(AND($C3801&lt;&gt;"",$Q3801="Có",$R3801="",$S3801="Có",AND($L3801&lt;&gt;"",OR($L3801&lt;&gt;"Chưa xác định",DANH_MUC!$L$9="Có"))),"Có","Không"))</f>
        <v/>
      </c>
      <c r="U3801" s="22">
        <f>IF(OR($D3801="",$T3801="Có"),"",IF($C3801="","Thiếu họ tên; ","")&amp;IF($S3801&lt;&gt;"Có","SĐT sai định dạng; ","")&amp;IF($R3801="Trùng","Trùng SĐT; ","")&amp;IF($Q3801&lt;&gt;"Có","Thiếu đồng ý bắt buộc; ","")&amp;IF($L3801="","Thiếu/sai Mã REF; ",IF(AND($L3801="Chưa xác định",DANH_MUC!$L$9&lt;&gt;"Có"),"Nguồn chưa xác định; ","")))</f>
        <v/>
      </c>
      <c r="V3801" s="22">
        <f>IF(OR($D3801="",$R3801="Trùng"),"",IF(COUNTIF(ORDERS!$C$2:$C$4995,$D3801)&gt;0,"Có","Không"))</f>
        <v/>
      </c>
      <c r="W3801" s="22">
        <f>IF(OR($D3801="",$R3801="Trùng"),"",COUNTIFS(ORDERS!$C$2:$C$4995,$D3801,ORDERS!$L$2:$L$4995,"Đã chuyển khoản"))</f>
        <v/>
      </c>
      <c r="X3801" s="23">
        <f>IF(OR($D3801="",$R3801="Trùng"),"",SUMIFS(ORDERS!$J$2:$J$4995,ORDERS!$C$2:$C$4995,$D3801,ORDERS!$L$2:$L$4995,"Đã chuyển khoản"))</f>
        <v/>
      </c>
      <c r="Y3801" s="24" t="n"/>
    </row>
    <row r="3802" ht="14.25" customHeight="1" s="40">
      <c r="A3802" s="24" t="n"/>
      <c r="B3802" s="27" t="n"/>
      <c r="C3802" s="24" t="n"/>
      <c r="D3802" s="28" t="n"/>
      <c r="E3802" s="29" t="n"/>
      <c r="F3802" s="24" t="n"/>
      <c r="G3802" s="24" t="n"/>
      <c r="H3802" s="21">
        <f>IF(ISNUMBER($B3802),INT($B3802)-WEEKDAY($B3802,2)+1,"")</f>
        <v/>
      </c>
      <c r="I3802" s="24" t="n"/>
      <c r="J3802" s="22">
        <f t="array" ref="J3802">IF($D3802="","",IF($I3802="","(trống REF)",IFERROR(INDEX(MASTER_SOURCE!$B$2:$B$495,MATCH($I3802,MASTER_SOURCE!$A$2:$A$495,0)),"(REF không có trong MASTER_SOURCE)")))</f>
        <v/>
      </c>
      <c r="K3802" s="22">
        <f t="array" ref="K3802">IF($D3802="","",IFERROR(INDEX(MASTER_SOURCE!$C$2:$C$495,MATCH($I3802,MASTER_SOURCE!$A$2:$A$495,0)),""))</f>
        <v/>
      </c>
      <c r="L3802" s="22">
        <f t="array" ref="L3802">IF($D3802="","",IFERROR(INDEX(MASTER_SOURCE!$D$2:$D$495,MATCH($I3802,MASTER_SOURCE!$A$2:$A$495,0)),""))</f>
        <v/>
      </c>
      <c r="M3802" s="24" t="n"/>
      <c r="N3802" s="24" t="n"/>
      <c r="O3802" s="24" t="n"/>
      <c r="P3802" s="24" t="n"/>
      <c r="Q3802" s="22">
        <f>IF($D3802="","",IF(AND(OR(DANH_MUC!$L$5&lt;&gt;"Có",M3802="Có"),OR(DANH_MUC!$L$6&lt;&gt;"Có",N3802="Có"),OR(DANH_MUC!$L$7&lt;&gt;"Có",O3802="Có"),OR(DANH_MUC!$L$8&lt;&gt;"Có",P3802="Có")),"Có","Không"))</f>
        <v/>
      </c>
      <c r="R3802" s="22">
        <f>IF($D3802="","",IF(COUNTIF($D$2:$D3802,$D3802)&gt;1,"Trùng",""))</f>
        <v/>
      </c>
      <c r="S3802" s="22">
        <f>IF($D3802="","",IF(AND(LEN($D3802)=10,LEFT($D3802,1)="0",ISNUMBER(--$D3802)),"Có","Không"))</f>
        <v/>
      </c>
      <c r="T3802" s="22">
        <f>IF($D3802="","",IF(AND($C3802&lt;&gt;"",$Q3802="Có",$R3802="",$S3802="Có",AND($L3802&lt;&gt;"",OR($L3802&lt;&gt;"Chưa xác định",DANH_MUC!$L$9="Có"))),"Có","Không"))</f>
        <v/>
      </c>
      <c r="U3802" s="22">
        <f>IF(OR($D3802="",$T3802="Có"),"",IF($C3802="","Thiếu họ tên; ","")&amp;IF($S3802&lt;&gt;"Có","SĐT sai định dạng; ","")&amp;IF($R3802="Trùng","Trùng SĐT; ","")&amp;IF($Q3802&lt;&gt;"Có","Thiếu đồng ý bắt buộc; ","")&amp;IF($L3802="","Thiếu/sai Mã REF; ",IF(AND($L3802="Chưa xác định",DANH_MUC!$L$9&lt;&gt;"Có"),"Nguồn chưa xác định; ","")))</f>
        <v/>
      </c>
      <c r="V3802" s="22">
        <f>IF(OR($D3802="",$R3802="Trùng"),"",IF(COUNTIF(ORDERS!$C$2:$C$4995,$D3802)&gt;0,"Có","Không"))</f>
        <v/>
      </c>
      <c r="W3802" s="22">
        <f>IF(OR($D3802="",$R3802="Trùng"),"",COUNTIFS(ORDERS!$C$2:$C$4995,$D3802,ORDERS!$L$2:$L$4995,"Đã chuyển khoản"))</f>
        <v/>
      </c>
      <c r="X3802" s="23">
        <f>IF(OR($D3802="",$R3802="Trùng"),"",SUMIFS(ORDERS!$J$2:$J$4995,ORDERS!$C$2:$C$4995,$D3802,ORDERS!$L$2:$L$4995,"Đã chuyển khoản"))</f>
        <v/>
      </c>
      <c r="Y3802" s="24" t="n"/>
    </row>
    <row r="3803" ht="14.25" customHeight="1" s="40">
      <c r="A3803" s="24" t="n"/>
      <c r="B3803" s="27" t="n"/>
      <c r="C3803" s="24" t="n"/>
      <c r="D3803" s="28" t="n"/>
      <c r="E3803" s="29" t="n"/>
      <c r="F3803" s="24" t="n"/>
      <c r="G3803" s="24" t="n"/>
      <c r="H3803" s="21">
        <f>IF(ISNUMBER($B3803),INT($B3803)-WEEKDAY($B3803,2)+1,"")</f>
        <v/>
      </c>
      <c r="I3803" s="24" t="n"/>
      <c r="J3803" s="22">
        <f t="array" ref="J3803">IF($D3803="","",IF($I3803="","(trống REF)",IFERROR(INDEX(MASTER_SOURCE!$B$2:$B$495,MATCH($I3803,MASTER_SOURCE!$A$2:$A$495,0)),"(REF không có trong MASTER_SOURCE)")))</f>
        <v/>
      </c>
      <c r="K3803" s="22">
        <f t="array" ref="K3803">IF($D3803="","",IFERROR(INDEX(MASTER_SOURCE!$C$2:$C$495,MATCH($I3803,MASTER_SOURCE!$A$2:$A$495,0)),""))</f>
        <v/>
      </c>
      <c r="L3803" s="22">
        <f t="array" ref="L3803">IF($D3803="","",IFERROR(INDEX(MASTER_SOURCE!$D$2:$D$495,MATCH($I3803,MASTER_SOURCE!$A$2:$A$495,0)),""))</f>
        <v/>
      </c>
      <c r="M3803" s="24" t="n"/>
      <c r="N3803" s="24" t="n"/>
      <c r="O3803" s="24" t="n"/>
      <c r="P3803" s="24" t="n"/>
      <c r="Q3803" s="22">
        <f>IF($D3803="","",IF(AND(OR(DANH_MUC!$L$5&lt;&gt;"Có",M3803="Có"),OR(DANH_MUC!$L$6&lt;&gt;"Có",N3803="Có"),OR(DANH_MUC!$L$7&lt;&gt;"Có",O3803="Có"),OR(DANH_MUC!$L$8&lt;&gt;"Có",P3803="Có")),"Có","Không"))</f>
        <v/>
      </c>
      <c r="R3803" s="22">
        <f>IF($D3803="","",IF(COUNTIF($D$2:$D3803,$D3803)&gt;1,"Trùng",""))</f>
        <v/>
      </c>
      <c r="S3803" s="22">
        <f>IF($D3803="","",IF(AND(LEN($D3803)=10,LEFT($D3803,1)="0",ISNUMBER(--$D3803)),"Có","Không"))</f>
        <v/>
      </c>
      <c r="T3803" s="22">
        <f>IF($D3803="","",IF(AND($C3803&lt;&gt;"",$Q3803="Có",$R3803="",$S3803="Có",AND($L3803&lt;&gt;"",OR($L3803&lt;&gt;"Chưa xác định",DANH_MUC!$L$9="Có"))),"Có","Không"))</f>
        <v/>
      </c>
      <c r="U3803" s="22">
        <f>IF(OR($D3803="",$T3803="Có"),"",IF($C3803="","Thiếu họ tên; ","")&amp;IF($S3803&lt;&gt;"Có","SĐT sai định dạng; ","")&amp;IF($R3803="Trùng","Trùng SĐT; ","")&amp;IF($Q3803&lt;&gt;"Có","Thiếu đồng ý bắt buộc; ","")&amp;IF($L3803="","Thiếu/sai Mã REF; ",IF(AND($L3803="Chưa xác định",DANH_MUC!$L$9&lt;&gt;"Có"),"Nguồn chưa xác định; ","")))</f>
        <v/>
      </c>
      <c r="V3803" s="22">
        <f>IF(OR($D3803="",$R3803="Trùng"),"",IF(COUNTIF(ORDERS!$C$2:$C$4995,$D3803)&gt;0,"Có","Không"))</f>
        <v/>
      </c>
      <c r="W3803" s="22">
        <f>IF(OR($D3803="",$R3803="Trùng"),"",COUNTIFS(ORDERS!$C$2:$C$4995,$D3803,ORDERS!$L$2:$L$4995,"Đã chuyển khoản"))</f>
        <v/>
      </c>
      <c r="X3803" s="23">
        <f>IF(OR($D3803="",$R3803="Trùng"),"",SUMIFS(ORDERS!$J$2:$J$4995,ORDERS!$C$2:$C$4995,$D3803,ORDERS!$L$2:$L$4995,"Đã chuyển khoản"))</f>
        <v/>
      </c>
      <c r="Y3803" s="24" t="n"/>
    </row>
    <row r="3804" ht="14.25" customHeight="1" s="40">
      <c r="A3804" s="24" t="n"/>
      <c r="B3804" s="27" t="n"/>
      <c r="C3804" s="24" t="n"/>
      <c r="D3804" s="28" t="n"/>
      <c r="E3804" s="29" t="n"/>
      <c r="F3804" s="24" t="n"/>
      <c r="G3804" s="24" t="n"/>
      <c r="H3804" s="21">
        <f>IF(ISNUMBER($B3804),INT($B3804)-WEEKDAY($B3804,2)+1,"")</f>
        <v/>
      </c>
      <c r="I3804" s="24" t="n"/>
      <c r="J3804" s="22">
        <f t="array" ref="J3804">IF($D3804="","",IF($I3804="","(trống REF)",IFERROR(INDEX(MASTER_SOURCE!$B$2:$B$495,MATCH($I3804,MASTER_SOURCE!$A$2:$A$495,0)),"(REF không có trong MASTER_SOURCE)")))</f>
        <v/>
      </c>
      <c r="K3804" s="22">
        <f t="array" ref="K3804">IF($D3804="","",IFERROR(INDEX(MASTER_SOURCE!$C$2:$C$495,MATCH($I3804,MASTER_SOURCE!$A$2:$A$495,0)),""))</f>
        <v/>
      </c>
      <c r="L3804" s="22">
        <f t="array" ref="L3804">IF($D3804="","",IFERROR(INDEX(MASTER_SOURCE!$D$2:$D$495,MATCH($I3804,MASTER_SOURCE!$A$2:$A$495,0)),""))</f>
        <v/>
      </c>
      <c r="M3804" s="24" t="n"/>
      <c r="N3804" s="24" t="n"/>
      <c r="O3804" s="24" t="n"/>
      <c r="P3804" s="24" t="n"/>
      <c r="Q3804" s="22">
        <f>IF($D3804="","",IF(AND(OR(DANH_MUC!$L$5&lt;&gt;"Có",M3804="Có"),OR(DANH_MUC!$L$6&lt;&gt;"Có",N3804="Có"),OR(DANH_MUC!$L$7&lt;&gt;"Có",O3804="Có"),OR(DANH_MUC!$L$8&lt;&gt;"Có",P3804="Có")),"Có","Không"))</f>
        <v/>
      </c>
      <c r="R3804" s="22">
        <f>IF($D3804="","",IF(COUNTIF($D$2:$D3804,$D3804)&gt;1,"Trùng",""))</f>
        <v/>
      </c>
      <c r="S3804" s="22">
        <f>IF($D3804="","",IF(AND(LEN($D3804)=10,LEFT($D3804,1)="0",ISNUMBER(--$D3804)),"Có","Không"))</f>
        <v/>
      </c>
      <c r="T3804" s="22">
        <f>IF($D3804="","",IF(AND($C3804&lt;&gt;"",$Q3804="Có",$R3804="",$S3804="Có",AND($L3804&lt;&gt;"",OR($L3804&lt;&gt;"Chưa xác định",DANH_MUC!$L$9="Có"))),"Có","Không"))</f>
        <v/>
      </c>
      <c r="U3804" s="22">
        <f>IF(OR($D3804="",$T3804="Có"),"",IF($C3804="","Thiếu họ tên; ","")&amp;IF($S3804&lt;&gt;"Có","SĐT sai định dạng; ","")&amp;IF($R3804="Trùng","Trùng SĐT; ","")&amp;IF($Q3804&lt;&gt;"Có","Thiếu đồng ý bắt buộc; ","")&amp;IF($L3804="","Thiếu/sai Mã REF; ",IF(AND($L3804="Chưa xác định",DANH_MUC!$L$9&lt;&gt;"Có"),"Nguồn chưa xác định; ","")))</f>
        <v/>
      </c>
      <c r="V3804" s="22">
        <f>IF(OR($D3804="",$R3804="Trùng"),"",IF(COUNTIF(ORDERS!$C$2:$C$4995,$D3804)&gt;0,"Có","Không"))</f>
        <v/>
      </c>
      <c r="W3804" s="22">
        <f>IF(OR($D3804="",$R3804="Trùng"),"",COUNTIFS(ORDERS!$C$2:$C$4995,$D3804,ORDERS!$L$2:$L$4995,"Đã chuyển khoản"))</f>
        <v/>
      </c>
      <c r="X3804" s="23">
        <f>IF(OR($D3804="",$R3804="Trùng"),"",SUMIFS(ORDERS!$J$2:$J$4995,ORDERS!$C$2:$C$4995,$D3804,ORDERS!$L$2:$L$4995,"Đã chuyển khoản"))</f>
        <v/>
      </c>
      <c r="Y3804" s="24" t="n"/>
    </row>
    <row r="3805" ht="14.25" customHeight="1" s="40">
      <c r="A3805" s="24" t="n"/>
      <c r="B3805" s="27" t="n"/>
      <c r="C3805" s="24" t="n"/>
      <c r="D3805" s="28" t="n"/>
      <c r="E3805" s="29" t="n"/>
      <c r="F3805" s="24" t="n"/>
      <c r="G3805" s="24" t="n"/>
      <c r="H3805" s="21">
        <f>IF(ISNUMBER($B3805),INT($B3805)-WEEKDAY($B3805,2)+1,"")</f>
        <v/>
      </c>
      <c r="I3805" s="24" t="n"/>
      <c r="J3805" s="22">
        <f t="array" ref="J3805">IF($D3805="","",IF($I3805="","(trống REF)",IFERROR(INDEX(MASTER_SOURCE!$B$2:$B$495,MATCH($I3805,MASTER_SOURCE!$A$2:$A$495,0)),"(REF không có trong MASTER_SOURCE)")))</f>
        <v/>
      </c>
      <c r="K3805" s="22">
        <f t="array" ref="K3805">IF($D3805="","",IFERROR(INDEX(MASTER_SOURCE!$C$2:$C$495,MATCH($I3805,MASTER_SOURCE!$A$2:$A$495,0)),""))</f>
        <v/>
      </c>
      <c r="L3805" s="22">
        <f t="array" ref="L3805">IF($D3805="","",IFERROR(INDEX(MASTER_SOURCE!$D$2:$D$495,MATCH($I3805,MASTER_SOURCE!$A$2:$A$495,0)),""))</f>
        <v/>
      </c>
      <c r="M3805" s="24" t="n"/>
      <c r="N3805" s="24" t="n"/>
      <c r="O3805" s="24" t="n"/>
      <c r="P3805" s="24" t="n"/>
      <c r="Q3805" s="22">
        <f>IF($D3805="","",IF(AND(OR(DANH_MUC!$L$5&lt;&gt;"Có",M3805="Có"),OR(DANH_MUC!$L$6&lt;&gt;"Có",N3805="Có"),OR(DANH_MUC!$L$7&lt;&gt;"Có",O3805="Có"),OR(DANH_MUC!$L$8&lt;&gt;"Có",P3805="Có")),"Có","Không"))</f>
        <v/>
      </c>
      <c r="R3805" s="22">
        <f>IF($D3805="","",IF(COUNTIF($D$2:$D3805,$D3805)&gt;1,"Trùng",""))</f>
        <v/>
      </c>
      <c r="S3805" s="22">
        <f>IF($D3805="","",IF(AND(LEN($D3805)=10,LEFT($D3805,1)="0",ISNUMBER(--$D3805)),"Có","Không"))</f>
        <v/>
      </c>
      <c r="T3805" s="22">
        <f>IF($D3805="","",IF(AND($C3805&lt;&gt;"",$Q3805="Có",$R3805="",$S3805="Có",AND($L3805&lt;&gt;"",OR($L3805&lt;&gt;"Chưa xác định",DANH_MUC!$L$9="Có"))),"Có","Không"))</f>
        <v/>
      </c>
      <c r="U3805" s="22">
        <f>IF(OR($D3805="",$T3805="Có"),"",IF($C3805="","Thiếu họ tên; ","")&amp;IF($S3805&lt;&gt;"Có","SĐT sai định dạng; ","")&amp;IF($R3805="Trùng","Trùng SĐT; ","")&amp;IF($Q3805&lt;&gt;"Có","Thiếu đồng ý bắt buộc; ","")&amp;IF($L3805="","Thiếu/sai Mã REF; ",IF(AND($L3805="Chưa xác định",DANH_MUC!$L$9&lt;&gt;"Có"),"Nguồn chưa xác định; ","")))</f>
        <v/>
      </c>
      <c r="V3805" s="22">
        <f>IF(OR($D3805="",$R3805="Trùng"),"",IF(COUNTIF(ORDERS!$C$2:$C$4995,$D3805)&gt;0,"Có","Không"))</f>
        <v/>
      </c>
      <c r="W3805" s="22">
        <f>IF(OR($D3805="",$R3805="Trùng"),"",COUNTIFS(ORDERS!$C$2:$C$4995,$D3805,ORDERS!$L$2:$L$4995,"Đã chuyển khoản"))</f>
        <v/>
      </c>
      <c r="X3805" s="23">
        <f>IF(OR($D3805="",$R3805="Trùng"),"",SUMIFS(ORDERS!$J$2:$J$4995,ORDERS!$C$2:$C$4995,$D3805,ORDERS!$L$2:$L$4995,"Đã chuyển khoản"))</f>
        <v/>
      </c>
      <c r="Y3805" s="24" t="n"/>
    </row>
    <row r="3806" ht="14.25" customHeight="1" s="40">
      <c r="A3806" s="24" t="n"/>
      <c r="B3806" s="27" t="n"/>
      <c r="C3806" s="24" t="n"/>
      <c r="D3806" s="28" t="n"/>
      <c r="E3806" s="29" t="n"/>
      <c r="F3806" s="24" t="n"/>
      <c r="G3806" s="24" t="n"/>
      <c r="H3806" s="21">
        <f>IF(ISNUMBER($B3806),INT($B3806)-WEEKDAY($B3806,2)+1,"")</f>
        <v/>
      </c>
      <c r="I3806" s="24" t="n"/>
      <c r="J3806" s="22">
        <f t="array" ref="J3806">IF($D3806="","",IF($I3806="","(trống REF)",IFERROR(INDEX(MASTER_SOURCE!$B$2:$B$495,MATCH($I3806,MASTER_SOURCE!$A$2:$A$495,0)),"(REF không có trong MASTER_SOURCE)")))</f>
        <v/>
      </c>
      <c r="K3806" s="22">
        <f t="array" ref="K3806">IF($D3806="","",IFERROR(INDEX(MASTER_SOURCE!$C$2:$C$495,MATCH($I3806,MASTER_SOURCE!$A$2:$A$495,0)),""))</f>
        <v/>
      </c>
      <c r="L3806" s="22">
        <f t="array" ref="L3806">IF($D3806="","",IFERROR(INDEX(MASTER_SOURCE!$D$2:$D$495,MATCH($I3806,MASTER_SOURCE!$A$2:$A$495,0)),""))</f>
        <v/>
      </c>
      <c r="M3806" s="24" t="n"/>
      <c r="N3806" s="24" t="n"/>
      <c r="O3806" s="24" t="n"/>
      <c r="P3806" s="24" t="n"/>
      <c r="Q3806" s="22">
        <f>IF($D3806="","",IF(AND(OR(DANH_MUC!$L$5&lt;&gt;"Có",M3806="Có"),OR(DANH_MUC!$L$6&lt;&gt;"Có",N3806="Có"),OR(DANH_MUC!$L$7&lt;&gt;"Có",O3806="Có"),OR(DANH_MUC!$L$8&lt;&gt;"Có",P3806="Có")),"Có","Không"))</f>
        <v/>
      </c>
      <c r="R3806" s="22">
        <f>IF($D3806="","",IF(COUNTIF($D$2:$D3806,$D3806)&gt;1,"Trùng",""))</f>
        <v/>
      </c>
      <c r="S3806" s="22">
        <f>IF($D3806="","",IF(AND(LEN($D3806)=10,LEFT($D3806,1)="0",ISNUMBER(--$D3806)),"Có","Không"))</f>
        <v/>
      </c>
      <c r="T3806" s="22">
        <f>IF($D3806="","",IF(AND($C3806&lt;&gt;"",$Q3806="Có",$R3806="",$S3806="Có",AND($L3806&lt;&gt;"",OR($L3806&lt;&gt;"Chưa xác định",DANH_MUC!$L$9="Có"))),"Có","Không"))</f>
        <v/>
      </c>
      <c r="U3806" s="22">
        <f>IF(OR($D3806="",$T3806="Có"),"",IF($C3806="","Thiếu họ tên; ","")&amp;IF($S3806&lt;&gt;"Có","SĐT sai định dạng; ","")&amp;IF($R3806="Trùng","Trùng SĐT; ","")&amp;IF($Q3806&lt;&gt;"Có","Thiếu đồng ý bắt buộc; ","")&amp;IF($L3806="","Thiếu/sai Mã REF; ",IF(AND($L3806="Chưa xác định",DANH_MUC!$L$9&lt;&gt;"Có"),"Nguồn chưa xác định; ","")))</f>
        <v/>
      </c>
      <c r="V3806" s="22">
        <f>IF(OR($D3806="",$R3806="Trùng"),"",IF(COUNTIF(ORDERS!$C$2:$C$4995,$D3806)&gt;0,"Có","Không"))</f>
        <v/>
      </c>
      <c r="W3806" s="22">
        <f>IF(OR($D3806="",$R3806="Trùng"),"",COUNTIFS(ORDERS!$C$2:$C$4995,$D3806,ORDERS!$L$2:$L$4995,"Đã chuyển khoản"))</f>
        <v/>
      </c>
      <c r="X3806" s="23">
        <f>IF(OR($D3806="",$R3806="Trùng"),"",SUMIFS(ORDERS!$J$2:$J$4995,ORDERS!$C$2:$C$4995,$D3806,ORDERS!$L$2:$L$4995,"Đã chuyển khoản"))</f>
        <v/>
      </c>
      <c r="Y3806" s="24" t="n"/>
    </row>
    <row r="3807" ht="14.25" customHeight="1" s="40">
      <c r="A3807" s="24" t="n"/>
      <c r="B3807" s="27" t="n"/>
      <c r="C3807" s="24" t="n"/>
      <c r="D3807" s="28" t="n"/>
      <c r="E3807" s="29" t="n"/>
      <c r="F3807" s="24" t="n"/>
      <c r="G3807" s="24" t="n"/>
      <c r="H3807" s="21">
        <f>IF(ISNUMBER($B3807),INT($B3807)-WEEKDAY($B3807,2)+1,"")</f>
        <v/>
      </c>
      <c r="I3807" s="24" t="n"/>
      <c r="J3807" s="22">
        <f t="array" ref="J3807">IF($D3807="","",IF($I3807="","(trống REF)",IFERROR(INDEX(MASTER_SOURCE!$B$2:$B$495,MATCH($I3807,MASTER_SOURCE!$A$2:$A$495,0)),"(REF không có trong MASTER_SOURCE)")))</f>
        <v/>
      </c>
      <c r="K3807" s="22">
        <f t="array" ref="K3807">IF($D3807="","",IFERROR(INDEX(MASTER_SOURCE!$C$2:$C$495,MATCH($I3807,MASTER_SOURCE!$A$2:$A$495,0)),""))</f>
        <v/>
      </c>
      <c r="L3807" s="22">
        <f t="array" ref="L3807">IF($D3807="","",IFERROR(INDEX(MASTER_SOURCE!$D$2:$D$495,MATCH($I3807,MASTER_SOURCE!$A$2:$A$495,0)),""))</f>
        <v/>
      </c>
      <c r="M3807" s="24" t="n"/>
      <c r="N3807" s="24" t="n"/>
      <c r="O3807" s="24" t="n"/>
      <c r="P3807" s="24" t="n"/>
      <c r="Q3807" s="22">
        <f>IF($D3807="","",IF(AND(OR(DANH_MUC!$L$5&lt;&gt;"Có",M3807="Có"),OR(DANH_MUC!$L$6&lt;&gt;"Có",N3807="Có"),OR(DANH_MUC!$L$7&lt;&gt;"Có",O3807="Có"),OR(DANH_MUC!$L$8&lt;&gt;"Có",P3807="Có")),"Có","Không"))</f>
        <v/>
      </c>
      <c r="R3807" s="22">
        <f>IF($D3807="","",IF(COUNTIF($D$2:$D3807,$D3807)&gt;1,"Trùng",""))</f>
        <v/>
      </c>
      <c r="S3807" s="22">
        <f>IF($D3807="","",IF(AND(LEN($D3807)=10,LEFT($D3807,1)="0",ISNUMBER(--$D3807)),"Có","Không"))</f>
        <v/>
      </c>
      <c r="T3807" s="22">
        <f>IF($D3807="","",IF(AND($C3807&lt;&gt;"",$Q3807="Có",$R3807="",$S3807="Có",AND($L3807&lt;&gt;"",OR($L3807&lt;&gt;"Chưa xác định",DANH_MUC!$L$9="Có"))),"Có","Không"))</f>
        <v/>
      </c>
      <c r="U3807" s="22">
        <f>IF(OR($D3807="",$T3807="Có"),"",IF($C3807="","Thiếu họ tên; ","")&amp;IF($S3807&lt;&gt;"Có","SĐT sai định dạng; ","")&amp;IF($R3807="Trùng","Trùng SĐT; ","")&amp;IF($Q3807&lt;&gt;"Có","Thiếu đồng ý bắt buộc; ","")&amp;IF($L3807="","Thiếu/sai Mã REF; ",IF(AND($L3807="Chưa xác định",DANH_MUC!$L$9&lt;&gt;"Có"),"Nguồn chưa xác định; ","")))</f>
        <v/>
      </c>
      <c r="V3807" s="22">
        <f>IF(OR($D3807="",$R3807="Trùng"),"",IF(COUNTIF(ORDERS!$C$2:$C$4995,$D3807)&gt;0,"Có","Không"))</f>
        <v/>
      </c>
      <c r="W3807" s="22">
        <f>IF(OR($D3807="",$R3807="Trùng"),"",COUNTIFS(ORDERS!$C$2:$C$4995,$D3807,ORDERS!$L$2:$L$4995,"Đã chuyển khoản"))</f>
        <v/>
      </c>
      <c r="X3807" s="23">
        <f>IF(OR($D3807="",$R3807="Trùng"),"",SUMIFS(ORDERS!$J$2:$J$4995,ORDERS!$C$2:$C$4995,$D3807,ORDERS!$L$2:$L$4995,"Đã chuyển khoản"))</f>
        <v/>
      </c>
      <c r="Y3807" s="24" t="n"/>
    </row>
    <row r="3808" ht="14.25" customHeight="1" s="40">
      <c r="A3808" s="24" t="n"/>
      <c r="B3808" s="27" t="n"/>
      <c r="C3808" s="24" t="n"/>
      <c r="D3808" s="28" t="n"/>
      <c r="E3808" s="29" t="n"/>
      <c r="F3808" s="24" t="n"/>
      <c r="G3808" s="24" t="n"/>
      <c r="H3808" s="21">
        <f>IF(ISNUMBER($B3808),INT($B3808)-WEEKDAY($B3808,2)+1,"")</f>
        <v/>
      </c>
      <c r="I3808" s="24" t="n"/>
      <c r="J3808" s="22">
        <f t="array" ref="J3808">IF($D3808="","",IF($I3808="","(trống REF)",IFERROR(INDEX(MASTER_SOURCE!$B$2:$B$495,MATCH($I3808,MASTER_SOURCE!$A$2:$A$495,0)),"(REF không có trong MASTER_SOURCE)")))</f>
        <v/>
      </c>
      <c r="K3808" s="22">
        <f t="array" ref="K3808">IF($D3808="","",IFERROR(INDEX(MASTER_SOURCE!$C$2:$C$495,MATCH($I3808,MASTER_SOURCE!$A$2:$A$495,0)),""))</f>
        <v/>
      </c>
      <c r="L3808" s="22">
        <f t="array" ref="L3808">IF($D3808="","",IFERROR(INDEX(MASTER_SOURCE!$D$2:$D$495,MATCH($I3808,MASTER_SOURCE!$A$2:$A$495,0)),""))</f>
        <v/>
      </c>
      <c r="M3808" s="24" t="n"/>
      <c r="N3808" s="24" t="n"/>
      <c r="O3808" s="24" t="n"/>
      <c r="P3808" s="24" t="n"/>
      <c r="Q3808" s="22">
        <f>IF($D3808="","",IF(AND(OR(DANH_MUC!$L$5&lt;&gt;"Có",M3808="Có"),OR(DANH_MUC!$L$6&lt;&gt;"Có",N3808="Có"),OR(DANH_MUC!$L$7&lt;&gt;"Có",O3808="Có"),OR(DANH_MUC!$L$8&lt;&gt;"Có",P3808="Có")),"Có","Không"))</f>
        <v/>
      </c>
      <c r="R3808" s="22">
        <f>IF($D3808="","",IF(COUNTIF($D$2:$D3808,$D3808)&gt;1,"Trùng",""))</f>
        <v/>
      </c>
      <c r="S3808" s="22">
        <f>IF($D3808="","",IF(AND(LEN($D3808)=10,LEFT($D3808,1)="0",ISNUMBER(--$D3808)),"Có","Không"))</f>
        <v/>
      </c>
      <c r="T3808" s="22">
        <f>IF($D3808="","",IF(AND($C3808&lt;&gt;"",$Q3808="Có",$R3808="",$S3808="Có",AND($L3808&lt;&gt;"",OR($L3808&lt;&gt;"Chưa xác định",DANH_MUC!$L$9="Có"))),"Có","Không"))</f>
        <v/>
      </c>
      <c r="U3808" s="22">
        <f>IF(OR($D3808="",$T3808="Có"),"",IF($C3808="","Thiếu họ tên; ","")&amp;IF($S3808&lt;&gt;"Có","SĐT sai định dạng; ","")&amp;IF($R3808="Trùng","Trùng SĐT; ","")&amp;IF($Q3808&lt;&gt;"Có","Thiếu đồng ý bắt buộc; ","")&amp;IF($L3808="","Thiếu/sai Mã REF; ",IF(AND($L3808="Chưa xác định",DANH_MUC!$L$9&lt;&gt;"Có"),"Nguồn chưa xác định; ","")))</f>
        <v/>
      </c>
      <c r="V3808" s="22">
        <f>IF(OR($D3808="",$R3808="Trùng"),"",IF(COUNTIF(ORDERS!$C$2:$C$4995,$D3808)&gt;0,"Có","Không"))</f>
        <v/>
      </c>
      <c r="W3808" s="22">
        <f>IF(OR($D3808="",$R3808="Trùng"),"",COUNTIFS(ORDERS!$C$2:$C$4995,$D3808,ORDERS!$L$2:$L$4995,"Đã chuyển khoản"))</f>
        <v/>
      </c>
      <c r="X3808" s="23">
        <f>IF(OR($D3808="",$R3808="Trùng"),"",SUMIFS(ORDERS!$J$2:$J$4995,ORDERS!$C$2:$C$4995,$D3808,ORDERS!$L$2:$L$4995,"Đã chuyển khoản"))</f>
        <v/>
      </c>
      <c r="Y3808" s="24" t="n"/>
    </row>
    <row r="3809" ht="14.25" customHeight="1" s="40">
      <c r="A3809" s="24" t="n"/>
      <c r="B3809" s="27" t="n"/>
      <c r="C3809" s="24" t="n"/>
      <c r="D3809" s="28" t="n"/>
      <c r="E3809" s="29" t="n"/>
      <c r="F3809" s="24" t="n"/>
      <c r="G3809" s="24" t="n"/>
      <c r="H3809" s="21">
        <f>IF(ISNUMBER($B3809),INT($B3809)-WEEKDAY($B3809,2)+1,"")</f>
        <v/>
      </c>
      <c r="I3809" s="24" t="n"/>
      <c r="J3809" s="22">
        <f t="array" ref="J3809">IF($D3809="","",IF($I3809="","(trống REF)",IFERROR(INDEX(MASTER_SOURCE!$B$2:$B$495,MATCH($I3809,MASTER_SOURCE!$A$2:$A$495,0)),"(REF không có trong MASTER_SOURCE)")))</f>
        <v/>
      </c>
      <c r="K3809" s="22">
        <f t="array" ref="K3809">IF($D3809="","",IFERROR(INDEX(MASTER_SOURCE!$C$2:$C$495,MATCH($I3809,MASTER_SOURCE!$A$2:$A$495,0)),""))</f>
        <v/>
      </c>
      <c r="L3809" s="22">
        <f t="array" ref="L3809">IF($D3809="","",IFERROR(INDEX(MASTER_SOURCE!$D$2:$D$495,MATCH($I3809,MASTER_SOURCE!$A$2:$A$495,0)),""))</f>
        <v/>
      </c>
      <c r="M3809" s="24" t="n"/>
      <c r="N3809" s="24" t="n"/>
      <c r="O3809" s="24" t="n"/>
      <c r="P3809" s="24" t="n"/>
      <c r="Q3809" s="22">
        <f>IF($D3809="","",IF(AND(OR(DANH_MUC!$L$5&lt;&gt;"Có",M3809="Có"),OR(DANH_MUC!$L$6&lt;&gt;"Có",N3809="Có"),OR(DANH_MUC!$L$7&lt;&gt;"Có",O3809="Có"),OR(DANH_MUC!$L$8&lt;&gt;"Có",P3809="Có")),"Có","Không"))</f>
        <v/>
      </c>
      <c r="R3809" s="22">
        <f>IF($D3809="","",IF(COUNTIF($D$2:$D3809,$D3809)&gt;1,"Trùng",""))</f>
        <v/>
      </c>
      <c r="S3809" s="22">
        <f>IF($D3809="","",IF(AND(LEN($D3809)=10,LEFT($D3809,1)="0",ISNUMBER(--$D3809)),"Có","Không"))</f>
        <v/>
      </c>
      <c r="T3809" s="22">
        <f>IF($D3809="","",IF(AND($C3809&lt;&gt;"",$Q3809="Có",$R3809="",$S3809="Có",AND($L3809&lt;&gt;"",OR($L3809&lt;&gt;"Chưa xác định",DANH_MUC!$L$9="Có"))),"Có","Không"))</f>
        <v/>
      </c>
      <c r="U3809" s="22">
        <f>IF(OR($D3809="",$T3809="Có"),"",IF($C3809="","Thiếu họ tên; ","")&amp;IF($S3809&lt;&gt;"Có","SĐT sai định dạng; ","")&amp;IF($R3809="Trùng","Trùng SĐT; ","")&amp;IF($Q3809&lt;&gt;"Có","Thiếu đồng ý bắt buộc; ","")&amp;IF($L3809="","Thiếu/sai Mã REF; ",IF(AND($L3809="Chưa xác định",DANH_MUC!$L$9&lt;&gt;"Có"),"Nguồn chưa xác định; ","")))</f>
        <v/>
      </c>
      <c r="V3809" s="22">
        <f>IF(OR($D3809="",$R3809="Trùng"),"",IF(COUNTIF(ORDERS!$C$2:$C$4995,$D3809)&gt;0,"Có","Không"))</f>
        <v/>
      </c>
      <c r="W3809" s="22">
        <f>IF(OR($D3809="",$R3809="Trùng"),"",COUNTIFS(ORDERS!$C$2:$C$4995,$D3809,ORDERS!$L$2:$L$4995,"Đã chuyển khoản"))</f>
        <v/>
      </c>
      <c r="X3809" s="23">
        <f>IF(OR($D3809="",$R3809="Trùng"),"",SUMIFS(ORDERS!$J$2:$J$4995,ORDERS!$C$2:$C$4995,$D3809,ORDERS!$L$2:$L$4995,"Đã chuyển khoản"))</f>
        <v/>
      </c>
      <c r="Y3809" s="24" t="n"/>
    </row>
    <row r="3810" ht="14.25" customHeight="1" s="40">
      <c r="A3810" s="24" t="n"/>
      <c r="B3810" s="27" t="n"/>
      <c r="C3810" s="24" t="n"/>
      <c r="D3810" s="28" t="n"/>
      <c r="E3810" s="29" t="n"/>
      <c r="F3810" s="24" t="n"/>
      <c r="G3810" s="24" t="n"/>
      <c r="H3810" s="21">
        <f>IF(ISNUMBER($B3810),INT($B3810)-WEEKDAY($B3810,2)+1,"")</f>
        <v/>
      </c>
      <c r="I3810" s="24" t="n"/>
      <c r="J3810" s="22">
        <f t="array" ref="J3810">IF($D3810="","",IF($I3810="","(trống REF)",IFERROR(INDEX(MASTER_SOURCE!$B$2:$B$495,MATCH($I3810,MASTER_SOURCE!$A$2:$A$495,0)),"(REF không có trong MASTER_SOURCE)")))</f>
        <v/>
      </c>
      <c r="K3810" s="22">
        <f t="array" ref="K3810">IF($D3810="","",IFERROR(INDEX(MASTER_SOURCE!$C$2:$C$495,MATCH($I3810,MASTER_SOURCE!$A$2:$A$495,0)),""))</f>
        <v/>
      </c>
      <c r="L3810" s="22">
        <f t="array" ref="L3810">IF($D3810="","",IFERROR(INDEX(MASTER_SOURCE!$D$2:$D$495,MATCH($I3810,MASTER_SOURCE!$A$2:$A$495,0)),""))</f>
        <v/>
      </c>
      <c r="M3810" s="24" t="n"/>
      <c r="N3810" s="24" t="n"/>
      <c r="O3810" s="24" t="n"/>
      <c r="P3810" s="24" t="n"/>
      <c r="Q3810" s="22">
        <f>IF($D3810="","",IF(AND(OR(DANH_MUC!$L$5&lt;&gt;"Có",M3810="Có"),OR(DANH_MUC!$L$6&lt;&gt;"Có",N3810="Có"),OR(DANH_MUC!$L$7&lt;&gt;"Có",O3810="Có"),OR(DANH_MUC!$L$8&lt;&gt;"Có",P3810="Có")),"Có","Không"))</f>
        <v/>
      </c>
      <c r="R3810" s="22">
        <f>IF($D3810="","",IF(COUNTIF($D$2:$D3810,$D3810)&gt;1,"Trùng",""))</f>
        <v/>
      </c>
      <c r="S3810" s="22">
        <f>IF($D3810="","",IF(AND(LEN($D3810)=10,LEFT($D3810,1)="0",ISNUMBER(--$D3810)),"Có","Không"))</f>
        <v/>
      </c>
      <c r="T3810" s="22">
        <f>IF($D3810="","",IF(AND($C3810&lt;&gt;"",$Q3810="Có",$R3810="",$S3810="Có",AND($L3810&lt;&gt;"",OR($L3810&lt;&gt;"Chưa xác định",DANH_MUC!$L$9="Có"))),"Có","Không"))</f>
        <v/>
      </c>
      <c r="U3810" s="22">
        <f>IF(OR($D3810="",$T3810="Có"),"",IF($C3810="","Thiếu họ tên; ","")&amp;IF($S3810&lt;&gt;"Có","SĐT sai định dạng; ","")&amp;IF($R3810="Trùng","Trùng SĐT; ","")&amp;IF($Q3810&lt;&gt;"Có","Thiếu đồng ý bắt buộc; ","")&amp;IF($L3810="","Thiếu/sai Mã REF; ",IF(AND($L3810="Chưa xác định",DANH_MUC!$L$9&lt;&gt;"Có"),"Nguồn chưa xác định; ","")))</f>
        <v/>
      </c>
      <c r="V3810" s="22">
        <f>IF(OR($D3810="",$R3810="Trùng"),"",IF(COUNTIF(ORDERS!$C$2:$C$4995,$D3810)&gt;0,"Có","Không"))</f>
        <v/>
      </c>
      <c r="W3810" s="22">
        <f>IF(OR($D3810="",$R3810="Trùng"),"",COUNTIFS(ORDERS!$C$2:$C$4995,$D3810,ORDERS!$L$2:$L$4995,"Đã chuyển khoản"))</f>
        <v/>
      </c>
      <c r="X3810" s="23">
        <f>IF(OR($D3810="",$R3810="Trùng"),"",SUMIFS(ORDERS!$J$2:$J$4995,ORDERS!$C$2:$C$4995,$D3810,ORDERS!$L$2:$L$4995,"Đã chuyển khoản"))</f>
        <v/>
      </c>
      <c r="Y3810" s="24" t="n"/>
    </row>
    <row r="3811" ht="14.25" customHeight="1" s="40">
      <c r="A3811" s="24" t="n"/>
      <c r="B3811" s="27" t="n"/>
      <c r="C3811" s="24" t="n"/>
      <c r="D3811" s="28" t="n"/>
      <c r="E3811" s="29" t="n"/>
      <c r="F3811" s="24" t="n"/>
      <c r="G3811" s="24" t="n"/>
      <c r="H3811" s="21">
        <f>IF(ISNUMBER($B3811),INT($B3811)-WEEKDAY($B3811,2)+1,"")</f>
        <v/>
      </c>
      <c r="I3811" s="24" t="n"/>
      <c r="J3811" s="22">
        <f t="array" ref="J3811">IF($D3811="","",IF($I3811="","(trống REF)",IFERROR(INDEX(MASTER_SOURCE!$B$2:$B$495,MATCH($I3811,MASTER_SOURCE!$A$2:$A$495,0)),"(REF không có trong MASTER_SOURCE)")))</f>
        <v/>
      </c>
      <c r="K3811" s="22">
        <f t="array" ref="K3811">IF($D3811="","",IFERROR(INDEX(MASTER_SOURCE!$C$2:$C$495,MATCH($I3811,MASTER_SOURCE!$A$2:$A$495,0)),""))</f>
        <v/>
      </c>
      <c r="L3811" s="22">
        <f t="array" ref="L3811">IF($D3811="","",IFERROR(INDEX(MASTER_SOURCE!$D$2:$D$495,MATCH($I3811,MASTER_SOURCE!$A$2:$A$495,0)),""))</f>
        <v/>
      </c>
      <c r="M3811" s="24" t="n"/>
      <c r="N3811" s="24" t="n"/>
      <c r="O3811" s="24" t="n"/>
      <c r="P3811" s="24" t="n"/>
      <c r="Q3811" s="22">
        <f>IF($D3811="","",IF(AND(OR(DANH_MUC!$L$5&lt;&gt;"Có",M3811="Có"),OR(DANH_MUC!$L$6&lt;&gt;"Có",N3811="Có"),OR(DANH_MUC!$L$7&lt;&gt;"Có",O3811="Có"),OR(DANH_MUC!$L$8&lt;&gt;"Có",P3811="Có")),"Có","Không"))</f>
        <v/>
      </c>
      <c r="R3811" s="22">
        <f>IF($D3811="","",IF(COUNTIF($D$2:$D3811,$D3811)&gt;1,"Trùng",""))</f>
        <v/>
      </c>
      <c r="S3811" s="22">
        <f>IF($D3811="","",IF(AND(LEN($D3811)=10,LEFT($D3811,1)="0",ISNUMBER(--$D3811)),"Có","Không"))</f>
        <v/>
      </c>
      <c r="T3811" s="22">
        <f>IF($D3811="","",IF(AND($C3811&lt;&gt;"",$Q3811="Có",$R3811="",$S3811="Có",AND($L3811&lt;&gt;"",OR($L3811&lt;&gt;"Chưa xác định",DANH_MUC!$L$9="Có"))),"Có","Không"))</f>
        <v/>
      </c>
      <c r="U3811" s="22">
        <f>IF(OR($D3811="",$T3811="Có"),"",IF($C3811="","Thiếu họ tên; ","")&amp;IF($S3811&lt;&gt;"Có","SĐT sai định dạng; ","")&amp;IF($R3811="Trùng","Trùng SĐT; ","")&amp;IF($Q3811&lt;&gt;"Có","Thiếu đồng ý bắt buộc; ","")&amp;IF($L3811="","Thiếu/sai Mã REF; ",IF(AND($L3811="Chưa xác định",DANH_MUC!$L$9&lt;&gt;"Có"),"Nguồn chưa xác định; ","")))</f>
        <v/>
      </c>
      <c r="V3811" s="22">
        <f>IF(OR($D3811="",$R3811="Trùng"),"",IF(COUNTIF(ORDERS!$C$2:$C$4995,$D3811)&gt;0,"Có","Không"))</f>
        <v/>
      </c>
      <c r="W3811" s="22">
        <f>IF(OR($D3811="",$R3811="Trùng"),"",COUNTIFS(ORDERS!$C$2:$C$4995,$D3811,ORDERS!$L$2:$L$4995,"Đã chuyển khoản"))</f>
        <v/>
      </c>
      <c r="X3811" s="23">
        <f>IF(OR($D3811="",$R3811="Trùng"),"",SUMIFS(ORDERS!$J$2:$J$4995,ORDERS!$C$2:$C$4995,$D3811,ORDERS!$L$2:$L$4995,"Đã chuyển khoản"))</f>
        <v/>
      </c>
      <c r="Y3811" s="24" t="n"/>
    </row>
    <row r="3812" ht="14.25" customHeight="1" s="40">
      <c r="A3812" s="24" t="n"/>
      <c r="B3812" s="27" t="n"/>
      <c r="C3812" s="24" t="n"/>
      <c r="D3812" s="28" t="n"/>
      <c r="E3812" s="29" t="n"/>
      <c r="F3812" s="24" t="n"/>
      <c r="G3812" s="24" t="n"/>
      <c r="H3812" s="21">
        <f>IF(ISNUMBER($B3812),INT($B3812)-WEEKDAY($B3812,2)+1,"")</f>
        <v/>
      </c>
      <c r="I3812" s="24" t="n"/>
      <c r="J3812" s="22">
        <f t="array" ref="J3812">IF($D3812="","",IF($I3812="","(trống REF)",IFERROR(INDEX(MASTER_SOURCE!$B$2:$B$495,MATCH($I3812,MASTER_SOURCE!$A$2:$A$495,0)),"(REF không có trong MASTER_SOURCE)")))</f>
        <v/>
      </c>
      <c r="K3812" s="22">
        <f t="array" ref="K3812">IF($D3812="","",IFERROR(INDEX(MASTER_SOURCE!$C$2:$C$495,MATCH($I3812,MASTER_SOURCE!$A$2:$A$495,0)),""))</f>
        <v/>
      </c>
      <c r="L3812" s="22">
        <f t="array" ref="L3812">IF($D3812="","",IFERROR(INDEX(MASTER_SOURCE!$D$2:$D$495,MATCH($I3812,MASTER_SOURCE!$A$2:$A$495,0)),""))</f>
        <v/>
      </c>
      <c r="M3812" s="24" t="n"/>
      <c r="N3812" s="24" t="n"/>
      <c r="O3812" s="24" t="n"/>
      <c r="P3812" s="24" t="n"/>
      <c r="Q3812" s="22">
        <f>IF($D3812="","",IF(AND(OR(DANH_MUC!$L$5&lt;&gt;"Có",M3812="Có"),OR(DANH_MUC!$L$6&lt;&gt;"Có",N3812="Có"),OR(DANH_MUC!$L$7&lt;&gt;"Có",O3812="Có"),OR(DANH_MUC!$L$8&lt;&gt;"Có",P3812="Có")),"Có","Không"))</f>
        <v/>
      </c>
      <c r="R3812" s="22">
        <f>IF($D3812="","",IF(COUNTIF($D$2:$D3812,$D3812)&gt;1,"Trùng",""))</f>
        <v/>
      </c>
      <c r="S3812" s="22">
        <f>IF($D3812="","",IF(AND(LEN($D3812)=10,LEFT($D3812,1)="0",ISNUMBER(--$D3812)),"Có","Không"))</f>
        <v/>
      </c>
      <c r="T3812" s="22">
        <f>IF($D3812="","",IF(AND($C3812&lt;&gt;"",$Q3812="Có",$R3812="",$S3812="Có",AND($L3812&lt;&gt;"",OR($L3812&lt;&gt;"Chưa xác định",DANH_MUC!$L$9="Có"))),"Có","Không"))</f>
        <v/>
      </c>
      <c r="U3812" s="22">
        <f>IF(OR($D3812="",$T3812="Có"),"",IF($C3812="","Thiếu họ tên; ","")&amp;IF($S3812&lt;&gt;"Có","SĐT sai định dạng; ","")&amp;IF($R3812="Trùng","Trùng SĐT; ","")&amp;IF($Q3812&lt;&gt;"Có","Thiếu đồng ý bắt buộc; ","")&amp;IF($L3812="","Thiếu/sai Mã REF; ",IF(AND($L3812="Chưa xác định",DANH_MUC!$L$9&lt;&gt;"Có"),"Nguồn chưa xác định; ","")))</f>
        <v/>
      </c>
      <c r="V3812" s="22">
        <f>IF(OR($D3812="",$R3812="Trùng"),"",IF(COUNTIF(ORDERS!$C$2:$C$4995,$D3812)&gt;0,"Có","Không"))</f>
        <v/>
      </c>
      <c r="W3812" s="22">
        <f>IF(OR($D3812="",$R3812="Trùng"),"",COUNTIFS(ORDERS!$C$2:$C$4995,$D3812,ORDERS!$L$2:$L$4995,"Đã chuyển khoản"))</f>
        <v/>
      </c>
      <c r="X3812" s="23">
        <f>IF(OR($D3812="",$R3812="Trùng"),"",SUMIFS(ORDERS!$J$2:$J$4995,ORDERS!$C$2:$C$4995,$D3812,ORDERS!$L$2:$L$4995,"Đã chuyển khoản"))</f>
        <v/>
      </c>
      <c r="Y3812" s="24" t="n"/>
    </row>
    <row r="3813" ht="14.25" customHeight="1" s="40">
      <c r="A3813" s="24" t="n"/>
      <c r="B3813" s="27" t="n"/>
      <c r="C3813" s="24" t="n"/>
      <c r="D3813" s="28" t="n"/>
      <c r="E3813" s="29" t="n"/>
      <c r="F3813" s="24" t="n"/>
      <c r="G3813" s="24" t="n"/>
      <c r="H3813" s="21">
        <f>IF(ISNUMBER($B3813),INT($B3813)-WEEKDAY($B3813,2)+1,"")</f>
        <v/>
      </c>
      <c r="I3813" s="24" t="n"/>
      <c r="J3813" s="22">
        <f t="array" ref="J3813">IF($D3813="","",IF($I3813="","(trống REF)",IFERROR(INDEX(MASTER_SOURCE!$B$2:$B$495,MATCH($I3813,MASTER_SOURCE!$A$2:$A$495,0)),"(REF không có trong MASTER_SOURCE)")))</f>
        <v/>
      </c>
      <c r="K3813" s="22">
        <f t="array" ref="K3813">IF($D3813="","",IFERROR(INDEX(MASTER_SOURCE!$C$2:$C$495,MATCH($I3813,MASTER_SOURCE!$A$2:$A$495,0)),""))</f>
        <v/>
      </c>
      <c r="L3813" s="22">
        <f t="array" ref="L3813">IF($D3813="","",IFERROR(INDEX(MASTER_SOURCE!$D$2:$D$495,MATCH($I3813,MASTER_SOURCE!$A$2:$A$495,0)),""))</f>
        <v/>
      </c>
      <c r="M3813" s="24" t="n"/>
      <c r="N3813" s="24" t="n"/>
      <c r="O3813" s="24" t="n"/>
      <c r="P3813" s="24" t="n"/>
      <c r="Q3813" s="22">
        <f>IF($D3813="","",IF(AND(OR(DANH_MUC!$L$5&lt;&gt;"Có",M3813="Có"),OR(DANH_MUC!$L$6&lt;&gt;"Có",N3813="Có"),OR(DANH_MUC!$L$7&lt;&gt;"Có",O3813="Có"),OR(DANH_MUC!$L$8&lt;&gt;"Có",P3813="Có")),"Có","Không"))</f>
        <v/>
      </c>
      <c r="R3813" s="22">
        <f>IF($D3813="","",IF(COUNTIF($D$2:$D3813,$D3813)&gt;1,"Trùng",""))</f>
        <v/>
      </c>
      <c r="S3813" s="22">
        <f>IF($D3813="","",IF(AND(LEN($D3813)=10,LEFT($D3813,1)="0",ISNUMBER(--$D3813)),"Có","Không"))</f>
        <v/>
      </c>
      <c r="T3813" s="22">
        <f>IF($D3813="","",IF(AND($C3813&lt;&gt;"",$Q3813="Có",$R3813="",$S3813="Có",AND($L3813&lt;&gt;"",OR($L3813&lt;&gt;"Chưa xác định",DANH_MUC!$L$9="Có"))),"Có","Không"))</f>
        <v/>
      </c>
      <c r="U3813" s="22">
        <f>IF(OR($D3813="",$T3813="Có"),"",IF($C3813="","Thiếu họ tên; ","")&amp;IF($S3813&lt;&gt;"Có","SĐT sai định dạng; ","")&amp;IF($R3813="Trùng","Trùng SĐT; ","")&amp;IF($Q3813&lt;&gt;"Có","Thiếu đồng ý bắt buộc; ","")&amp;IF($L3813="","Thiếu/sai Mã REF; ",IF(AND($L3813="Chưa xác định",DANH_MUC!$L$9&lt;&gt;"Có"),"Nguồn chưa xác định; ","")))</f>
        <v/>
      </c>
      <c r="V3813" s="22">
        <f>IF(OR($D3813="",$R3813="Trùng"),"",IF(COUNTIF(ORDERS!$C$2:$C$4995,$D3813)&gt;0,"Có","Không"))</f>
        <v/>
      </c>
      <c r="W3813" s="22">
        <f>IF(OR($D3813="",$R3813="Trùng"),"",COUNTIFS(ORDERS!$C$2:$C$4995,$D3813,ORDERS!$L$2:$L$4995,"Đã chuyển khoản"))</f>
        <v/>
      </c>
      <c r="X3813" s="23">
        <f>IF(OR($D3813="",$R3813="Trùng"),"",SUMIFS(ORDERS!$J$2:$J$4995,ORDERS!$C$2:$C$4995,$D3813,ORDERS!$L$2:$L$4995,"Đã chuyển khoản"))</f>
        <v/>
      </c>
      <c r="Y3813" s="24" t="n"/>
    </row>
    <row r="3814" ht="14.25" customHeight="1" s="40">
      <c r="A3814" s="24" t="n"/>
      <c r="B3814" s="27" t="n"/>
      <c r="C3814" s="24" t="n"/>
      <c r="D3814" s="28" t="n"/>
      <c r="E3814" s="29" t="n"/>
      <c r="F3814" s="24" t="n"/>
      <c r="G3814" s="24" t="n"/>
      <c r="H3814" s="21">
        <f>IF(ISNUMBER($B3814),INT($B3814)-WEEKDAY($B3814,2)+1,"")</f>
        <v/>
      </c>
      <c r="I3814" s="24" t="n"/>
      <c r="J3814" s="22">
        <f t="array" ref="J3814">IF($D3814="","",IF($I3814="","(trống REF)",IFERROR(INDEX(MASTER_SOURCE!$B$2:$B$495,MATCH($I3814,MASTER_SOURCE!$A$2:$A$495,0)),"(REF không có trong MASTER_SOURCE)")))</f>
        <v/>
      </c>
      <c r="K3814" s="22">
        <f t="array" ref="K3814">IF($D3814="","",IFERROR(INDEX(MASTER_SOURCE!$C$2:$C$495,MATCH($I3814,MASTER_SOURCE!$A$2:$A$495,0)),""))</f>
        <v/>
      </c>
      <c r="L3814" s="22">
        <f t="array" ref="L3814">IF($D3814="","",IFERROR(INDEX(MASTER_SOURCE!$D$2:$D$495,MATCH($I3814,MASTER_SOURCE!$A$2:$A$495,0)),""))</f>
        <v/>
      </c>
      <c r="M3814" s="24" t="n"/>
      <c r="N3814" s="24" t="n"/>
      <c r="O3814" s="24" t="n"/>
      <c r="P3814" s="24" t="n"/>
      <c r="Q3814" s="22">
        <f>IF($D3814="","",IF(AND(OR(DANH_MUC!$L$5&lt;&gt;"Có",M3814="Có"),OR(DANH_MUC!$L$6&lt;&gt;"Có",N3814="Có"),OR(DANH_MUC!$L$7&lt;&gt;"Có",O3814="Có"),OR(DANH_MUC!$L$8&lt;&gt;"Có",P3814="Có")),"Có","Không"))</f>
        <v/>
      </c>
      <c r="R3814" s="22">
        <f>IF($D3814="","",IF(COUNTIF($D$2:$D3814,$D3814)&gt;1,"Trùng",""))</f>
        <v/>
      </c>
      <c r="S3814" s="22">
        <f>IF($D3814="","",IF(AND(LEN($D3814)=10,LEFT($D3814,1)="0",ISNUMBER(--$D3814)),"Có","Không"))</f>
        <v/>
      </c>
      <c r="T3814" s="22">
        <f>IF($D3814="","",IF(AND($C3814&lt;&gt;"",$Q3814="Có",$R3814="",$S3814="Có",AND($L3814&lt;&gt;"",OR($L3814&lt;&gt;"Chưa xác định",DANH_MUC!$L$9="Có"))),"Có","Không"))</f>
        <v/>
      </c>
      <c r="U3814" s="22">
        <f>IF(OR($D3814="",$T3814="Có"),"",IF($C3814="","Thiếu họ tên; ","")&amp;IF($S3814&lt;&gt;"Có","SĐT sai định dạng; ","")&amp;IF($R3814="Trùng","Trùng SĐT; ","")&amp;IF($Q3814&lt;&gt;"Có","Thiếu đồng ý bắt buộc; ","")&amp;IF($L3814="","Thiếu/sai Mã REF; ",IF(AND($L3814="Chưa xác định",DANH_MUC!$L$9&lt;&gt;"Có"),"Nguồn chưa xác định; ","")))</f>
        <v/>
      </c>
      <c r="V3814" s="22">
        <f>IF(OR($D3814="",$R3814="Trùng"),"",IF(COUNTIF(ORDERS!$C$2:$C$4995,$D3814)&gt;0,"Có","Không"))</f>
        <v/>
      </c>
      <c r="W3814" s="22">
        <f>IF(OR($D3814="",$R3814="Trùng"),"",COUNTIFS(ORDERS!$C$2:$C$4995,$D3814,ORDERS!$L$2:$L$4995,"Đã chuyển khoản"))</f>
        <v/>
      </c>
      <c r="X3814" s="23">
        <f>IF(OR($D3814="",$R3814="Trùng"),"",SUMIFS(ORDERS!$J$2:$J$4995,ORDERS!$C$2:$C$4995,$D3814,ORDERS!$L$2:$L$4995,"Đã chuyển khoản"))</f>
        <v/>
      </c>
      <c r="Y3814" s="24" t="n"/>
    </row>
    <row r="3815" ht="14.25" customHeight="1" s="40">
      <c r="A3815" s="24" t="n"/>
      <c r="B3815" s="27" t="n"/>
      <c r="C3815" s="24" t="n"/>
      <c r="D3815" s="28" t="n"/>
      <c r="E3815" s="29" t="n"/>
      <c r="F3815" s="24" t="n"/>
      <c r="G3815" s="24" t="n"/>
      <c r="H3815" s="21">
        <f>IF(ISNUMBER($B3815),INT($B3815)-WEEKDAY($B3815,2)+1,"")</f>
        <v/>
      </c>
      <c r="I3815" s="24" t="n"/>
      <c r="J3815" s="22">
        <f t="array" ref="J3815">IF($D3815="","",IF($I3815="","(trống REF)",IFERROR(INDEX(MASTER_SOURCE!$B$2:$B$495,MATCH($I3815,MASTER_SOURCE!$A$2:$A$495,0)),"(REF không có trong MASTER_SOURCE)")))</f>
        <v/>
      </c>
      <c r="K3815" s="22">
        <f t="array" ref="K3815">IF($D3815="","",IFERROR(INDEX(MASTER_SOURCE!$C$2:$C$495,MATCH($I3815,MASTER_SOURCE!$A$2:$A$495,0)),""))</f>
        <v/>
      </c>
      <c r="L3815" s="22">
        <f t="array" ref="L3815">IF($D3815="","",IFERROR(INDEX(MASTER_SOURCE!$D$2:$D$495,MATCH($I3815,MASTER_SOURCE!$A$2:$A$495,0)),""))</f>
        <v/>
      </c>
      <c r="M3815" s="24" t="n"/>
      <c r="N3815" s="24" t="n"/>
      <c r="O3815" s="24" t="n"/>
      <c r="P3815" s="24" t="n"/>
      <c r="Q3815" s="22">
        <f>IF($D3815="","",IF(AND(OR(DANH_MUC!$L$5&lt;&gt;"Có",M3815="Có"),OR(DANH_MUC!$L$6&lt;&gt;"Có",N3815="Có"),OR(DANH_MUC!$L$7&lt;&gt;"Có",O3815="Có"),OR(DANH_MUC!$L$8&lt;&gt;"Có",P3815="Có")),"Có","Không"))</f>
        <v/>
      </c>
      <c r="R3815" s="22">
        <f>IF($D3815="","",IF(COUNTIF($D$2:$D3815,$D3815)&gt;1,"Trùng",""))</f>
        <v/>
      </c>
      <c r="S3815" s="22">
        <f>IF($D3815="","",IF(AND(LEN($D3815)=10,LEFT($D3815,1)="0",ISNUMBER(--$D3815)),"Có","Không"))</f>
        <v/>
      </c>
      <c r="T3815" s="22">
        <f>IF($D3815="","",IF(AND($C3815&lt;&gt;"",$Q3815="Có",$R3815="",$S3815="Có",AND($L3815&lt;&gt;"",OR($L3815&lt;&gt;"Chưa xác định",DANH_MUC!$L$9="Có"))),"Có","Không"))</f>
        <v/>
      </c>
      <c r="U3815" s="22">
        <f>IF(OR($D3815="",$T3815="Có"),"",IF($C3815="","Thiếu họ tên; ","")&amp;IF($S3815&lt;&gt;"Có","SĐT sai định dạng; ","")&amp;IF($R3815="Trùng","Trùng SĐT; ","")&amp;IF($Q3815&lt;&gt;"Có","Thiếu đồng ý bắt buộc; ","")&amp;IF($L3815="","Thiếu/sai Mã REF; ",IF(AND($L3815="Chưa xác định",DANH_MUC!$L$9&lt;&gt;"Có"),"Nguồn chưa xác định; ","")))</f>
        <v/>
      </c>
      <c r="V3815" s="22">
        <f>IF(OR($D3815="",$R3815="Trùng"),"",IF(COUNTIF(ORDERS!$C$2:$C$4995,$D3815)&gt;0,"Có","Không"))</f>
        <v/>
      </c>
      <c r="W3815" s="22">
        <f>IF(OR($D3815="",$R3815="Trùng"),"",COUNTIFS(ORDERS!$C$2:$C$4995,$D3815,ORDERS!$L$2:$L$4995,"Đã chuyển khoản"))</f>
        <v/>
      </c>
      <c r="X3815" s="23">
        <f>IF(OR($D3815="",$R3815="Trùng"),"",SUMIFS(ORDERS!$J$2:$J$4995,ORDERS!$C$2:$C$4995,$D3815,ORDERS!$L$2:$L$4995,"Đã chuyển khoản"))</f>
        <v/>
      </c>
      <c r="Y3815" s="24" t="n"/>
    </row>
    <row r="3816" ht="14.25" customHeight="1" s="40">
      <c r="A3816" s="24" t="n"/>
      <c r="B3816" s="27" t="n"/>
      <c r="C3816" s="24" t="n"/>
      <c r="D3816" s="28" t="n"/>
      <c r="E3816" s="29" t="n"/>
      <c r="F3816" s="24" t="n"/>
      <c r="G3816" s="24" t="n"/>
      <c r="H3816" s="21">
        <f>IF(ISNUMBER($B3816),INT($B3816)-WEEKDAY($B3816,2)+1,"")</f>
        <v/>
      </c>
      <c r="I3816" s="24" t="n"/>
      <c r="J3816" s="22">
        <f t="array" ref="J3816">IF($D3816="","",IF($I3816="","(trống REF)",IFERROR(INDEX(MASTER_SOURCE!$B$2:$B$495,MATCH($I3816,MASTER_SOURCE!$A$2:$A$495,0)),"(REF không có trong MASTER_SOURCE)")))</f>
        <v/>
      </c>
      <c r="K3816" s="22">
        <f t="array" ref="K3816">IF($D3816="","",IFERROR(INDEX(MASTER_SOURCE!$C$2:$C$495,MATCH($I3816,MASTER_SOURCE!$A$2:$A$495,0)),""))</f>
        <v/>
      </c>
      <c r="L3816" s="22">
        <f t="array" ref="L3816">IF($D3816="","",IFERROR(INDEX(MASTER_SOURCE!$D$2:$D$495,MATCH($I3816,MASTER_SOURCE!$A$2:$A$495,0)),""))</f>
        <v/>
      </c>
      <c r="M3816" s="24" t="n"/>
      <c r="N3816" s="24" t="n"/>
      <c r="O3816" s="24" t="n"/>
      <c r="P3816" s="24" t="n"/>
      <c r="Q3816" s="22">
        <f>IF($D3816="","",IF(AND(OR(DANH_MUC!$L$5&lt;&gt;"Có",M3816="Có"),OR(DANH_MUC!$L$6&lt;&gt;"Có",N3816="Có"),OR(DANH_MUC!$L$7&lt;&gt;"Có",O3816="Có"),OR(DANH_MUC!$L$8&lt;&gt;"Có",P3816="Có")),"Có","Không"))</f>
        <v/>
      </c>
      <c r="R3816" s="22">
        <f>IF($D3816="","",IF(COUNTIF($D$2:$D3816,$D3816)&gt;1,"Trùng",""))</f>
        <v/>
      </c>
      <c r="S3816" s="22">
        <f>IF($D3816="","",IF(AND(LEN($D3816)=10,LEFT($D3816,1)="0",ISNUMBER(--$D3816)),"Có","Không"))</f>
        <v/>
      </c>
      <c r="T3816" s="22">
        <f>IF($D3816="","",IF(AND($C3816&lt;&gt;"",$Q3816="Có",$R3816="",$S3816="Có",AND($L3816&lt;&gt;"",OR($L3816&lt;&gt;"Chưa xác định",DANH_MUC!$L$9="Có"))),"Có","Không"))</f>
        <v/>
      </c>
      <c r="U3816" s="22">
        <f>IF(OR($D3816="",$T3816="Có"),"",IF($C3816="","Thiếu họ tên; ","")&amp;IF($S3816&lt;&gt;"Có","SĐT sai định dạng; ","")&amp;IF($R3816="Trùng","Trùng SĐT; ","")&amp;IF($Q3816&lt;&gt;"Có","Thiếu đồng ý bắt buộc; ","")&amp;IF($L3816="","Thiếu/sai Mã REF; ",IF(AND($L3816="Chưa xác định",DANH_MUC!$L$9&lt;&gt;"Có"),"Nguồn chưa xác định; ","")))</f>
        <v/>
      </c>
      <c r="V3816" s="22">
        <f>IF(OR($D3816="",$R3816="Trùng"),"",IF(COUNTIF(ORDERS!$C$2:$C$4995,$D3816)&gt;0,"Có","Không"))</f>
        <v/>
      </c>
      <c r="W3816" s="22">
        <f>IF(OR($D3816="",$R3816="Trùng"),"",COUNTIFS(ORDERS!$C$2:$C$4995,$D3816,ORDERS!$L$2:$L$4995,"Đã chuyển khoản"))</f>
        <v/>
      </c>
      <c r="X3816" s="23">
        <f>IF(OR($D3816="",$R3816="Trùng"),"",SUMIFS(ORDERS!$J$2:$J$4995,ORDERS!$C$2:$C$4995,$D3816,ORDERS!$L$2:$L$4995,"Đã chuyển khoản"))</f>
        <v/>
      </c>
      <c r="Y3816" s="24" t="n"/>
    </row>
    <row r="3817" ht="14.25" customHeight="1" s="40">
      <c r="A3817" s="24" t="n"/>
      <c r="B3817" s="27" t="n"/>
      <c r="C3817" s="24" t="n"/>
      <c r="D3817" s="28" t="n"/>
      <c r="E3817" s="29" t="n"/>
      <c r="F3817" s="24" t="n"/>
      <c r="G3817" s="24" t="n"/>
      <c r="H3817" s="21">
        <f>IF(ISNUMBER($B3817),INT($B3817)-WEEKDAY($B3817,2)+1,"")</f>
        <v/>
      </c>
      <c r="I3817" s="24" t="n"/>
      <c r="J3817" s="22">
        <f t="array" ref="J3817">IF($D3817="","",IF($I3817="","(trống REF)",IFERROR(INDEX(MASTER_SOURCE!$B$2:$B$495,MATCH($I3817,MASTER_SOURCE!$A$2:$A$495,0)),"(REF không có trong MASTER_SOURCE)")))</f>
        <v/>
      </c>
      <c r="K3817" s="22">
        <f t="array" ref="K3817">IF($D3817="","",IFERROR(INDEX(MASTER_SOURCE!$C$2:$C$495,MATCH($I3817,MASTER_SOURCE!$A$2:$A$495,0)),""))</f>
        <v/>
      </c>
      <c r="L3817" s="22">
        <f t="array" ref="L3817">IF($D3817="","",IFERROR(INDEX(MASTER_SOURCE!$D$2:$D$495,MATCH($I3817,MASTER_SOURCE!$A$2:$A$495,0)),""))</f>
        <v/>
      </c>
      <c r="M3817" s="24" t="n"/>
      <c r="N3817" s="24" t="n"/>
      <c r="O3817" s="24" t="n"/>
      <c r="P3817" s="24" t="n"/>
      <c r="Q3817" s="22">
        <f>IF($D3817="","",IF(AND(OR(DANH_MUC!$L$5&lt;&gt;"Có",M3817="Có"),OR(DANH_MUC!$L$6&lt;&gt;"Có",N3817="Có"),OR(DANH_MUC!$L$7&lt;&gt;"Có",O3817="Có"),OR(DANH_MUC!$L$8&lt;&gt;"Có",P3817="Có")),"Có","Không"))</f>
        <v/>
      </c>
      <c r="R3817" s="22">
        <f>IF($D3817="","",IF(COUNTIF($D$2:$D3817,$D3817)&gt;1,"Trùng",""))</f>
        <v/>
      </c>
      <c r="S3817" s="22">
        <f>IF($D3817="","",IF(AND(LEN($D3817)=10,LEFT($D3817,1)="0",ISNUMBER(--$D3817)),"Có","Không"))</f>
        <v/>
      </c>
      <c r="T3817" s="22">
        <f>IF($D3817="","",IF(AND($C3817&lt;&gt;"",$Q3817="Có",$R3817="",$S3817="Có",AND($L3817&lt;&gt;"",OR($L3817&lt;&gt;"Chưa xác định",DANH_MUC!$L$9="Có"))),"Có","Không"))</f>
        <v/>
      </c>
      <c r="U3817" s="22">
        <f>IF(OR($D3817="",$T3817="Có"),"",IF($C3817="","Thiếu họ tên; ","")&amp;IF($S3817&lt;&gt;"Có","SĐT sai định dạng; ","")&amp;IF($R3817="Trùng","Trùng SĐT; ","")&amp;IF($Q3817&lt;&gt;"Có","Thiếu đồng ý bắt buộc; ","")&amp;IF($L3817="","Thiếu/sai Mã REF; ",IF(AND($L3817="Chưa xác định",DANH_MUC!$L$9&lt;&gt;"Có"),"Nguồn chưa xác định; ","")))</f>
        <v/>
      </c>
      <c r="V3817" s="22">
        <f>IF(OR($D3817="",$R3817="Trùng"),"",IF(COUNTIF(ORDERS!$C$2:$C$4995,$D3817)&gt;0,"Có","Không"))</f>
        <v/>
      </c>
      <c r="W3817" s="22">
        <f>IF(OR($D3817="",$R3817="Trùng"),"",COUNTIFS(ORDERS!$C$2:$C$4995,$D3817,ORDERS!$L$2:$L$4995,"Đã chuyển khoản"))</f>
        <v/>
      </c>
      <c r="X3817" s="23">
        <f>IF(OR($D3817="",$R3817="Trùng"),"",SUMIFS(ORDERS!$J$2:$J$4995,ORDERS!$C$2:$C$4995,$D3817,ORDERS!$L$2:$L$4995,"Đã chuyển khoản"))</f>
        <v/>
      </c>
      <c r="Y3817" s="24" t="n"/>
    </row>
    <row r="3818" ht="14.25" customHeight="1" s="40">
      <c r="A3818" s="24" t="n"/>
      <c r="B3818" s="27" t="n"/>
      <c r="C3818" s="24" t="n"/>
      <c r="D3818" s="28" t="n"/>
      <c r="E3818" s="29" t="n"/>
      <c r="F3818" s="24" t="n"/>
      <c r="G3818" s="24" t="n"/>
      <c r="H3818" s="21">
        <f>IF(ISNUMBER($B3818),INT($B3818)-WEEKDAY($B3818,2)+1,"")</f>
        <v/>
      </c>
      <c r="I3818" s="24" t="n"/>
      <c r="J3818" s="22">
        <f t="array" ref="J3818">IF($D3818="","",IF($I3818="","(trống REF)",IFERROR(INDEX(MASTER_SOURCE!$B$2:$B$495,MATCH($I3818,MASTER_SOURCE!$A$2:$A$495,0)),"(REF không có trong MASTER_SOURCE)")))</f>
        <v/>
      </c>
      <c r="K3818" s="22">
        <f t="array" ref="K3818">IF($D3818="","",IFERROR(INDEX(MASTER_SOURCE!$C$2:$C$495,MATCH($I3818,MASTER_SOURCE!$A$2:$A$495,0)),""))</f>
        <v/>
      </c>
      <c r="L3818" s="22">
        <f t="array" ref="L3818">IF($D3818="","",IFERROR(INDEX(MASTER_SOURCE!$D$2:$D$495,MATCH($I3818,MASTER_SOURCE!$A$2:$A$495,0)),""))</f>
        <v/>
      </c>
      <c r="M3818" s="24" t="n"/>
      <c r="N3818" s="24" t="n"/>
      <c r="O3818" s="24" t="n"/>
      <c r="P3818" s="24" t="n"/>
      <c r="Q3818" s="22">
        <f>IF($D3818="","",IF(AND(OR(DANH_MUC!$L$5&lt;&gt;"Có",M3818="Có"),OR(DANH_MUC!$L$6&lt;&gt;"Có",N3818="Có"),OR(DANH_MUC!$L$7&lt;&gt;"Có",O3818="Có"),OR(DANH_MUC!$L$8&lt;&gt;"Có",P3818="Có")),"Có","Không"))</f>
        <v/>
      </c>
      <c r="R3818" s="22">
        <f>IF($D3818="","",IF(COUNTIF($D$2:$D3818,$D3818)&gt;1,"Trùng",""))</f>
        <v/>
      </c>
      <c r="S3818" s="22">
        <f>IF($D3818="","",IF(AND(LEN($D3818)=10,LEFT($D3818,1)="0",ISNUMBER(--$D3818)),"Có","Không"))</f>
        <v/>
      </c>
      <c r="T3818" s="22">
        <f>IF($D3818="","",IF(AND($C3818&lt;&gt;"",$Q3818="Có",$R3818="",$S3818="Có",AND($L3818&lt;&gt;"",OR($L3818&lt;&gt;"Chưa xác định",DANH_MUC!$L$9="Có"))),"Có","Không"))</f>
        <v/>
      </c>
      <c r="U3818" s="22">
        <f>IF(OR($D3818="",$T3818="Có"),"",IF($C3818="","Thiếu họ tên; ","")&amp;IF($S3818&lt;&gt;"Có","SĐT sai định dạng; ","")&amp;IF($R3818="Trùng","Trùng SĐT; ","")&amp;IF($Q3818&lt;&gt;"Có","Thiếu đồng ý bắt buộc; ","")&amp;IF($L3818="","Thiếu/sai Mã REF; ",IF(AND($L3818="Chưa xác định",DANH_MUC!$L$9&lt;&gt;"Có"),"Nguồn chưa xác định; ","")))</f>
        <v/>
      </c>
      <c r="V3818" s="22">
        <f>IF(OR($D3818="",$R3818="Trùng"),"",IF(COUNTIF(ORDERS!$C$2:$C$4995,$D3818)&gt;0,"Có","Không"))</f>
        <v/>
      </c>
      <c r="W3818" s="22">
        <f>IF(OR($D3818="",$R3818="Trùng"),"",COUNTIFS(ORDERS!$C$2:$C$4995,$D3818,ORDERS!$L$2:$L$4995,"Đã chuyển khoản"))</f>
        <v/>
      </c>
      <c r="X3818" s="23">
        <f>IF(OR($D3818="",$R3818="Trùng"),"",SUMIFS(ORDERS!$J$2:$J$4995,ORDERS!$C$2:$C$4995,$D3818,ORDERS!$L$2:$L$4995,"Đã chuyển khoản"))</f>
        <v/>
      </c>
      <c r="Y3818" s="24" t="n"/>
    </row>
    <row r="3819" ht="14.25" customHeight="1" s="40">
      <c r="A3819" s="24" t="n"/>
      <c r="B3819" s="27" t="n"/>
      <c r="C3819" s="24" t="n"/>
      <c r="D3819" s="28" t="n"/>
      <c r="E3819" s="29" t="n"/>
      <c r="F3819" s="24" t="n"/>
      <c r="G3819" s="24" t="n"/>
      <c r="H3819" s="21">
        <f>IF(ISNUMBER($B3819),INT($B3819)-WEEKDAY($B3819,2)+1,"")</f>
        <v/>
      </c>
      <c r="I3819" s="24" t="n"/>
      <c r="J3819" s="22">
        <f t="array" ref="J3819">IF($D3819="","",IF($I3819="","(trống REF)",IFERROR(INDEX(MASTER_SOURCE!$B$2:$B$495,MATCH($I3819,MASTER_SOURCE!$A$2:$A$495,0)),"(REF không có trong MASTER_SOURCE)")))</f>
        <v/>
      </c>
      <c r="K3819" s="22">
        <f t="array" ref="K3819">IF($D3819="","",IFERROR(INDEX(MASTER_SOURCE!$C$2:$C$495,MATCH($I3819,MASTER_SOURCE!$A$2:$A$495,0)),""))</f>
        <v/>
      </c>
      <c r="L3819" s="22">
        <f t="array" ref="L3819">IF($D3819="","",IFERROR(INDEX(MASTER_SOURCE!$D$2:$D$495,MATCH($I3819,MASTER_SOURCE!$A$2:$A$495,0)),""))</f>
        <v/>
      </c>
      <c r="M3819" s="24" t="n"/>
      <c r="N3819" s="24" t="n"/>
      <c r="O3819" s="24" t="n"/>
      <c r="P3819" s="24" t="n"/>
      <c r="Q3819" s="22">
        <f>IF($D3819="","",IF(AND(OR(DANH_MUC!$L$5&lt;&gt;"Có",M3819="Có"),OR(DANH_MUC!$L$6&lt;&gt;"Có",N3819="Có"),OR(DANH_MUC!$L$7&lt;&gt;"Có",O3819="Có"),OR(DANH_MUC!$L$8&lt;&gt;"Có",P3819="Có")),"Có","Không"))</f>
        <v/>
      </c>
      <c r="R3819" s="22">
        <f>IF($D3819="","",IF(COUNTIF($D$2:$D3819,$D3819)&gt;1,"Trùng",""))</f>
        <v/>
      </c>
      <c r="S3819" s="22">
        <f>IF($D3819="","",IF(AND(LEN($D3819)=10,LEFT($D3819,1)="0",ISNUMBER(--$D3819)),"Có","Không"))</f>
        <v/>
      </c>
      <c r="T3819" s="22">
        <f>IF($D3819="","",IF(AND($C3819&lt;&gt;"",$Q3819="Có",$R3819="",$S3819="Có",AND($L3819&lt;&gt;"",OR($L3819&lt;&gt;"Chưa xác định",DANH_MUC!$L$9="Có"))),"Có","Không"))</f>
        <v/>
      </c>
      <c r="U3819" s="22">
        <f>IF(OR($D3819="",$T3819="Có"),"",IF($C3819="","Thiếu họ tên; ","")&amp;IF($S3819&lt;&gt;"Có","SĐT sai định dạng; ","")&amp;IF($R3819="Trùng","Trùng SĐT; ","")&amp;IF($Q3819&lt;&gt;"Có","Thiếu đồng ý bắt buộc; ","")&amp;IF($L3819="","Thiếu/sai Mã REF; ",IF(AND($L3819="Chưa xác định",DANH_MUC!$L$9&lt;&gt;"Có"),"Nguồn chưa xác định; ","")))</f>
        <v/>
      </c>
      <c r="V3819" s="22">
        <f>IF(OR($D3819="",$R3819="Trùng"),"",IF(COUNTIF(ORDERS!$C$2:$C$4995,$D3819)&gt;0,"Có","Không"))</f>
        <v/>
      </c>
      <c r="W3819" s="22">
        <f>IF(OR($D3819="",$R3819="Trùng"),"",COUNTIFS(ORDERS!$C$2:$C$4995,$D3819,ORDERS!$L$2:$L$4995,"Đã chuyển khoản"))</f>
        <v/>
      </c>
      <c r="X3819" s="23">
        <f>IF(OR($D3819="",$R3819="Trùng"),"",SUMIFS(ORDERS!$J$2:$J$4995,ORDERS!$C$2:$C$4995,$D3819,ORDERS!$L$2:$L$4995,"Đã chuyển khoản"))</f>
        <v/>
      </c>
      <c r="Y3819" s="24" t="n"/>
    </row>
    <row r="3820" ht="14.25" customHeight="1" s="40">
      <c r="A3820" s="24" t="n"/>
      <c r="B3820" s="27" t="n"/>
      <c r="C3820" s="24" t="n"/>
      <c r="D3820" s="28" t="n"/>
      <c r="E3820" s="29" t="n"/>
      <c r="F3820" s="24" t="n"/>
      <c r="G3820" s="24" t="n"/>
      <c r="H3820" s="21">
        <f>IF(ISNUMBER($B3820),INT($B3820)-WEEKDAY($B3820,2)+1,"")</f>
        <v/>
      </c>
      <c r="I3820" s="24" t="n"/>
      <c r="J3820" s="22">
        <f t="array" ref="J3820">IF($D3820="","",IF($I3820="","(trống REF)",IFERROR(INDEX(MASTER_SOURCE!$B$2:$B$495,MATCH($I3820,MASTER_SOURCE!$A$2:$A$495,0)),"(REF không có trong MASTER_SOURCE)")))</f>
        <v/>
      </c>
      <c r="K3820" s="22">
        <f t="array" ref="K3820">IF($D3820="","",IFERROR(INDEX(MASTER_SOURCE!$C$2:$C$495,MATCH($I3820,MASTER_SOURCE!$A$2:$A$495,0)),""))</f>
        <v/>
      </c>
      <c r="L3820" s="22">
        <f t="array" ref="L3820">IF($D3820="","",IFERROR(INDEX(MASTER_SOURCE!$D$2:$D$495,MATCH($I3820,MASTER_SOURCE!$A$2:$A$495,0)),""))</f>
        <v/>
      </c>
      <c r="M3820" s="24" t="n"/>
      <c r="N3820" s="24" t="n"/>
      <c r="O3820" s="24" t="n"/>
      <c r="P3820" s="24" t="n"/>
      <c r="Q3820" s="22">
        <f>IF($D3820="","",IF(AND(OR(DANH_MUC!$L$5&lt;&gt;"Có",M3820="Có"),OR(DANH_MUC!$L$6&lt;&gt;"Có",N3820="Có"),OR(DANH_MUC!$L$7&lt;&gt;"Có",O3820="Có"),OR(DANH_MUC!$L$8&lt;&gt;"Có",P3820="Có")),"Có","Không"))</f>
        <v/>
      </c>
      <c r="R3820" s="22">
        <f>IF($D3820="","",IF(COUNTIF($D$2:$D3820,$D3820)&gt;1,"Trùng",""))</f>
        <v/>
      </c>
      <c r="S3820" s="22">
        <f>IF($D3820="","",IF(AND(LEN($D3820)=10,LEFT($D3820,1)="0",ISNUMBER(--$D3820)),"Có","Không"))</f>
        <v/>
      </c>
      <c r="T3820" s="22">
        <f>IF($D3820="","",IF(AND($C3820&lt;&gt;"",$Q3820="Có",$R3820="",$S3820="Có",AND($L3820&lt;&gt;"",OR($L3820&lt;&gt;"Chưa xác định",DANH_MUC!$L$9="Có"))),"Có","Không"))</f>
        <v/>
      </c>
      <c r="U3820" s="22">
        <f>IF(OR($D3820="",$T3820="Có"),"",IF($C3820="","Thiếu họ tên; ","")&amp;IF($S3820&lt;&gt;"Có","SĐT sai định dạng; ","")&amp;IF($R3820="Trùng","Trùng SĐT; ","")&amp;IF($Q3820&lt;&gt;"Có","Thiếu đồng ý bắt buộc; ","")&amp;IF($L3820="","Thiếu/sai Mã REF; ",IF(AND($L3820="Chưa xác định",DANH_MUC!$L$9&lt;&gt;"Có"),"Nguồn chưa xác định; ","")))</f>
        <v/>
      </c>
      <c r="V3820" s="22">
        <f>IF(OR($D3820="",$R3820="Trùng"),"",IF(COUNTIF(ORDERS!$C$2:$C$4995,$D3820)&gt;0,"Có","Không"))</f>
        <v/>
      </c>
      <c r="W3820" s="22">
        <f>IF(OR($D3820="",$R3820="Trùng"),"",COUNTIFS(ORDERS!$C$2:$C$4995,$D3820,ORDERS!$L$2:$L$4995,"Đã chuyển khoản"))</f>
        <v/>
      </c>
      <c r="X3820" s="23">
        <f>IF(OR($D3820="",$R3820="Trùng"),"",SUMIFS(ORDERS!$J$2:$J$4995,ORDERS!$C$2:$C$4995,$D3820,ORDERS!$L$2:$L$4995,"Đã chuyển khoản"))</f>
        <v/>
      </c>
      <c r="Y3820" s="24" t="n"/>
    </row>
    <row r="3821" ht="14.25" customHeight="1" s="40">
      <c r="A3821" s="24" t="n"/>
      <c r="B3821" s="27" t="n"/>
      <c r="C3821" s="24" t="n"/>
      <c r="D3821" s="28" t="n"/>
      <c r="E3821" s="29" t="n"/>
      <c r="F3821" s="24" t="n"/>
      <c r="G3821" s="24" t="n"/>
      <c r="H3821" s="21">
        <f>IF(ISNUMBER($B3821),INT($B3821)-WEEKDAY($B3821,2)+1,"")</f>
        <v/>
      </c>
      <c r="I3821" s="24" t="n"/>
      <c r="J3821" s="22">
        <f t="array" ref="J3821">IF($D3821="","",IF($I3821="","(trống REF)",IFERROR(INDEX(MASTER_SOURCE!$B$2:$B$495,MATCH($I3821,MASTER_SOURCE!$A$2:$A$495,0)),"(REF không có trong MASTER_SOURCE)")))</f>
        <v/>
      </c>
      <c r="K3821" s="22">
        <f t="array" ref="K3821">IF($D3821="","",IFERROR(INDEX(MASTER_SOURCE!$C$2:$C$495,MATCH($I3821,MASTER_SOURCE!$A$2:$A$495,0)),""))</f>
        <v/>
      </c>
      <c r="L3821" s="22">
        <f t="array" ref="L3821">IF($D3821="","",IFERROR(INDEX(MASTER_SOURCE!$D$2:$D$495,MATCH($I3821,MASTER_SOURCE!$A$2:$A$495,0)),""))</f>
        <v/>
      </c>
      <c r="M3821" s="24" t="n"/>
      <c r="N3821" s="24" t="n"/>
      <c r="O3821" s="24" t="n"/>
      <c r="P3821" s="24" t="n"/>
      <c r="Q3821" s="22">
        <f>IF($D3821="","",IF(AND(OR(DANH_MUC!$L$5&lt;&gt;"Có",M3821="Có"),OR(DANH_MUC!$L$6&lt;&gt;"Có",N3821="Có"),OR(DANH_MUC!$L$7&lt;&gt;"Có",O3821="Có"),OR(DANH_MUC!$L$8&lt;&gt;"Có",P3821="Có")),"Có","Không"))</f>
        <v/>
      </c>
      <c r="R3821" s="22">
        <f>IF($D3821="","",IF(COUNTIF($D$2:$D3821,$D3821)&gt;1,"Trùng",""))</f>
        <v/>
      </c>
      <c r="S3821" s="22">
        <f>IF($D3821="","",IF(AND(LEN($D3821)=10,LEFT($D3821,1)="0",ISNUMBER(--$D3821)),"Có","Không"))</f>
        <v/>
      </c>
      <c r="T3821" s="22">
        <f>IF($D3821="","",IF(AND($C3821&lt;&gt;"",$Q3821="Có",$R3821="",$S3821="Có",AND($L3821&lt;&gt;"",OR($L3821&lt;&gt;"Chưa xác định",DANH_MUC!$L$9="Có"))),"Có","Không"))</f>
        <v/>
      </c>
      <c r="U3821" s="22">
        <f>IF(OR($D3821="",$T3821="Có"),"",IF($C3821="","Thiếu họ tên; ","")&amp;IF($S3821&lt;&gt;"Có","SĐT sai định dạng; ","")&amp;IF($R3821="Trùng","Trùng SĐT; ","")&amp;IF($Q3821&lt;&gt;"Có","Thiếu đồng ý bắt buộc; ","")&amp;IF($L3821="","Thiếu/sai Mã REF; ",IF(AND($L3821="Chưa xác định",DANH_MUC!$L$9&lt;&gt;"Có"),"Nguồn chưa xác định; ","")))</f>
        <v/>
      </c>
      <c r="V3821" s="22">
        <f>IF(OR($D3821="",$R3821="Trùng"),"",IF(COUNTIF(ORDERS!$C$2:$C$4995,$D3821)&gt;0,"Có","Không"))</f>
        <v/>
      </c>
      <c r="W3821" s="22">
        <f>IF(OR($D3821="",$R3821="Trùng"),"",COUNTIFS(ORDERS!$C$2:$C$4995,$D3821,ORDERS!$L$2:$L$4995,"Đã chuyển khoản"))</f>
        <v/>
      </c>
      <c r="X3821" s="23">
        <f>IF(OR($D3821="",$R3821="Trùng"),"",SUMIFS(ORDERS!$J$2:$J$4995,ORDERS!$C$2:$C$4995,$D3821,ORDERS!$L$2:$L$4995,"Đã chuyển khoản"))</f>
        <v/>
      </c>
      <c r="Y3821" s="24" t="n"/>
    </row>
    <row r="3822" ht="14.25" customHeight="1" s="40">
      <c r="A3822" s="24" t="n"/>
      <c r="B3822" s="27" t="n"/>
      <c r="C3822" s="24" t="n"/>
      <c r="D3822" s="28" t="n"/>
      <c r="E3822" s="29" t="n"/>
      <c r="F3822" s="24" t="n"/>
      <c r="G3822" s="24" t="n"/>
      <c r="H3822" s="21">
        <f>IF(ISNUMBER($B3822),INT($B3822)-WEEKDAY($B3822,2)+1,"")</f>
        <v/>
      </c>
      <c r="I3822" s="24" t="n"/>
      <c r="J3822" s="22">
        <f t="array" ref="J3822">IF($D3822="","",IF($I3822="","(trống REF)",IFERROR(INDEX(MASTER_SOURCE!$B$2:$B$495,MATCH($I3822,MASTER_SOURCE!$A$2:$A$495,0)),"(REF không có trong MASTER_SOURCE)")))</f>
        <v/>
      </c>
      <c r="K3822" s="22">
        <f t="array" ref="K3822">IF($D3822="","",IFERROR(INDEX(MASTER_SOURCE!$C$2:$C$495,MATCH($I3822,MASTER_SOURCE!$A$2:$A$495,0)),""))</f>
        <v/>
      </c>
      <c r="L3822" s="22">
        <f t="array" ref="L3822">IF($D3822="","",IFERROR(INDEX(MASTER_SOURCE!$D$2:$D$495,MATCH($I3822,MASTER_SOURCE!$A$2:$A$495,0)),""))</f>
        <v/>
      </c>
      <c r="M3822" s="24" t="n"/>
      <c r="N3822" s="24" t="n"/>
      <c r="O3822" s="24" t="n"/>
      <c r="P3822" s="24" t="n"/>
      <c r="Q3822" s="22">
        <f>IF($D3822="","",IF(AND(OR(DANH_MUC!$L$5&lt;&gt;"Có",M3822="Có"),OR(DANH_MUC!$L$6&lt;&gt;"Có",N3822="Có"),OR(DANH_MUC!$L$7&lt;&gt;"Có",O3822="Có"),OR(DANH_MUC!$L$8&lt;&gt;"Có",P3822="Có")),"Có","Không"))</f>
        <v/>
      </c>
      <c r="R3822" s="22">
        <f>IF($D3822="","",IF(COUNTIF($D$2:$D3822,$D3822)&gt;1,"Trùng",""))</f>
        <v/>
      </c>
      <c r="S3822" s="22">
        <f>IF($D3822="","",IF(AND(LEN($D3822)=10,LEFT($D3822,1)="0",ISNUMBER(--$D3822)),"Có","Không"))</f>
        <v/>
      </c>
      <c r="T3822" s="22">
        <f>IF($D3822="","",IF(AND($C3822&lt;&gt;"",$Q3822="Có",$R3822="",$S3822="Có",AND($L3822&lt;&gt;"",OR($L3822&lt;&gt;"Chưa xác định",DANH_MUC!$L$9="Có"))),"Có","Không"))</f>
        <v/>
      </c>
      <c r="U3822" s="22">
        <f>IF(OR($D3822="",$T3822="Có"),"",IF($C3822="","Thiếu họ tên; ","")&amp;IF($S3822&lt;&gt;"Có","SĐT sai định dạng; ","")&amp;IF($R3822="Trùng","Trùng SĐT; ","")&amp;IF($Q3822&lt;&gt;"Có","Thiếu đồng ý bắt buộc; ","")&amp;IF($L3822="","Thiếu/sai Mã REF; ",IF(AND($L3822="Chưa xác định",DANH_MUC!$L$9&lt;&gt;"Có"),"Nguồn chưa xác định; ","")))</f>
        <v/>
      </c>
      <c r="V3822" s="22">
        <f>IF(OR($D3822="",$R3822="Trùng"),"",IF(COUNTIF(ORDERS!$C$2:$C$4995,$D3822)&gt;0,"Có","Không"))</f>
        <v/>
      </c>
      <c r="W3822" s="22">
        <f>IF(OR($D3822="",$R3822="Trùng"),"",COUNTIFS(ORDERS!$C$2:$C$4995,$D3822,ORDERS!$L$2:$L$4995,"Đã chuyển khoản"))</f>
        <v/>
      </c>
      <c r="X3822" s="23">
        <f>IF(OR($D3822="",$R3822="Trùng"),"",SUMIFS(ORDERS!$J$2:$J$4995,ORDERS!$C$2:$C$4995,$D3822,ORDERS!$L$2:$L$4995,"Đã chuyển khoản"))</f>
        <v/>
      </c>
      <c r="Y3822" s="24" t="n"/>
    </row>
    <row r="3823" ht="14.25" customHeight="1" s="40">
      <c r="A3823" s="24" t="n"/>
      <c r="B3823" s="27" t="n"/>
      <c r="C3823" s="24" t="n"/>
      <c r="D3823" s="28" t="n"/>
      <c r="E3823" s="29" t="n"/>
      <c r="F3823" s="24" t="n"/>
      <c r="G3823" s="24" t="n"/>
      <c r="H3823" s="21">
        <f>IF(ISNUMBER($B3823),INT($B3823)-WEEKDAY($B3823,2)+1,"")</f>
        <v/>
      </c>
      <c r="I3823" s="24" t="n"/>
      <c r="J3823" s="22">
        <f t="array" ref="J3823">IF($D3823="","",IF($I3823="","(trống REF)",IFERROR(INDEX(MASTER_SOURCE!$B$2:$B$495,MATCH($I3823,MASTER_SOURCE!$A$2:$A$495,0)),"(REF không có trong MASTER_SOURCE)")))</f>
        <v/>
      </c>
      <c r="K3823" s="22">
        <f t="array" ref="K3823">IF($D3823="","",IFERROR(INDEX(MASTER_SOURCE!$C$2:$C$495,MATCH($I3823,MASTER_SOURCE!$A$2:$A$495,0)),""))</f>
        <v/>
      </c>
      <c r="L3823" s="22">
        <f t="array" ref="L3823">IF($D3823="","",IFERROR(INDEX(MASTER_SOURCE!$D$2:$D$495,MATCH($I3823,MASTER_SOURCE!$A$2:$A$495,0)),""))</f>
        <v/>
      </c>
      <c r="M3823" s="24" t="n"/>
      <c r="N3823" s="24" t="n"/>
      <c r="O3823" s="24" t="n"/>
      <c r="P3823" s="24" t="n"/>
      <c r="Q3823" s="22">
        <f>IF($D3823="","",IF(AND(OR(DANH_MUC!$L$5&lt;&gt;"Có",M3823="Có"),OR(DANH_MUC!$L$6&lt;&gt;"Có",N3823="Có"),OR(DANH_MUC!$L$7&lt;&gt;"Có",O3823="Có"),OR(DANH_MUC!$L$8&lt;&gt;"Có",P3823="Có")),"Có","Không"))</f>
        <v/>
      </c>
      <c r="R3823" s="22">
        <f>IF($D3823="","",IF(COUNTIF($D$2:$D3823,$D3823)&gt;1,"Trùng",""))</f>
        <v/>
      </c>
      <c r="S3823" s="22">
        <f>IF($D3823="","",IF(AND(LEN($D3823)=10,LEFT($D3823,1)="0",ISNUMBER(--$D3823)),"Có","Không"))</f>
        <v/>
      </c>
      <c r="T3823" s="22">
        <f>IF($D3823="","",IF(AND($C3823&lt;&gt;"",$Q3823="Có",$R3823="",$S3823="Có",AND($L3823&lt;&gt;"",OR($L3823&lt;&gt;"Chưa xác định",DANH_MUC!$L$9="Có"))),"Có","Không"))</f>
        <v/>
      </c>
      <c r="U3823" s="22">
        <f>IF(OR($D3823="",$T3823="Có"),"",IF($C3823="","Thiếu họ tên; ","")&amp;IF($S3823&lt;&gt;"Có","SĐT sai định dạng; ","")&amp;IF($R3823="Trùng","Trùng SĐT; ","")&amp;IF($Q3823&lt;&gt;"Có","Thiếu đồng ý bắt buộc; ","")&amp;IF($L3823="","Thiếu/sai Mã REF; ",IF(AND($L3823="Chưa xác định",DANH_MUC!$L$9&lt;&gt;"Có"),"Nguồn chưa xác định; ","")))</f>
        <v/>
      </c>
      <c r="V3823" s="22">
        <f>IF(OR($D3823="",$R3823="Trùng"),"",IF(COUNTIF(ORDERS!$C$2:$C$4995,$D3823)&gt;0,"Có","Không"))</f>
        <v/>
      </c>
      <c r="W3823" s="22">
        <f>IF(OR($D3823="",$R3823="Trùng"),"",COUNTIFS(ORDERS!$C$2:$C$4995,$D3823,ORDERS!$L$2:$L$4995,"Đã chuyển khoản"))</f>
        <v/>
      </c>
      <c r="X3823" s="23">
        <f>IF(OR($D3823="",$R3823="Trùng"),"",SUMIFS(ORDERS!$J$2:$J$4995,ORDERS!$C$2:$C$4995,$D3823,ORDERS!$L$2:$L$4995,"Đã chuyển khoản"))</f>
        <v/>
      </c>
      <c r="Y3823" s="24" t="n"/>
    </row>
    <row r="3824" ht="14.25" customHeight="1" s="40">
      <c r="A3824" s="24" t="n"/>
      <c r="B3824" s="27" t="n"/>
      <c r="C3824" s="24" t="n"/>
      <c r="D3824" s="28" t="n"/>
      <c r="E3824" s="29" t="n"/>
      <c r="F3824" s="24" t="n"/>
      <c r="G3824" s="24" t="n"/>
      <c r="H3824" s="21">
        <f>IF(ISNUMBER($B3824),INT($B3824)-WEEKDAY($B3824,2)+1,"")</f>
        <v/>
      </c>
      <c r="I3824" s="24" t="n"/>
      <c r="J3824" s="22">
        <f t="array" ref="J3824">IF($D3824="","",IF($I3824="","(trống REF)",IFERROR(INDEX(MASTER_SOURCE!$B$2:$B$495,MATCH($I3824,MASTER_SOURCE!$A$2:$A$495,0)),"(REF không có trong MASTER_SOURCE)")))</f>
        <v/>
      </c>
      <c r="K3824" s="22">
        <f t="array" ref="K3824">IF($D3824="","",IFERROR(INDEX(MASTER_SOURCE!$C$2:$C$495,MATCH($I3824,MASTER_SOURCE!$A$2:$A$495,0)),""))</f>
        <v/>
      </c>
      <c r="L3824" s="22">
        <f t="array" ref="L3824">IF($D3824="","",IFERROR(INDEX(MASTER_SOURCE!$D$2:$D$495,MATCH($I3824,MASTER_SOURCE!$A$2:$A$495,0)),""))</f>
        <v/>
      </c>
      <c r="M3824" s="24" t="n"/>
      <c r="N3824" s="24" t="n"/>
      <c r="O3824" s="24" t="n"/>
      <c r="P3824" s="24" t="n"/>
      <c r="Q3824" s="22">
        <f>IF($D3824="","",IF(AND(OR(DANH_MUC!$L$5&lt;&gt;"Có",M3824="Có"),OR(DANH_MUC!$L$6&lt;&gt;"Có",N3824="Có"),OR(DANH_MUC!$L$7&lt;&gt;"Có",O3824="Có"),OR(DANH_MUC!$L$8&lt;&gt;"Có",P3824="Có")),"Có","Không"))</f>
        <v/>
      </c>
      <c r="R3824" s="22">
        <f>IF($D3824="","",IF(COUNTIF($D$2:$D3824,$D3824)&gt;1,"Trùng",""))</f>
        <v/>
      </c>
      <c r="S3824" s="22">
        <f>IF($D3824="","",IF(AND(LEN($D3824)=10,LEFT($D3824,1)="0",ISNUMBER(--$D3824)),"Có","Không"))</f>
        <v/>
      </c>
      <c r="T3824" s="22">
        <f>IF($D3824="","",IF(AND($C3824&lt;&gt;"",$Q3824="Có",$R3824="",$S3824="Có",AND($L3824&lt;&gt;"",OR($L3824&lt;&gt;"Chưa xác định",DANH_MUC!$L$9="Có"))),"Có","Không"))</f>
        <v/>
      </c>
      <c r="U3824" s="22">
        <f>IF(OR($D3824="",$T3824="Có"),"",IF($C3824="","Thiếu họ tên; ","")&amp;IF($S3824&lt;&gt;"Có","SĐT sai định dạng; ","")&amp;IF($R3824="Trùng","Trùng SĐT; ","")&amp;IF($Q3824&lt;&gt;"Có","Thiếu đồng ý bắt buộc; ","")&amp;IF($L3824="","Thiếu/sai Mã REF; ",IF(AND($L3824="Chưa xác định",DANH_MUC!$L$9&lt;&gt;"Có"),"Nguồn chưa xác định; ","")))</f>
        <v/>
      </c>
      <c r="V3824" s="22">
        <f>IF(OR($D3824="",$R3824="Trùng"),"",IF(COUNTIF(ORDERS!$C$2:$C$4995,$D3824)&gt;0,"Có","Không"))</f>
        <v/>
      </c>
      <c r="W3824" s="22">
        <f>IF(OR($D3824="",$R3824="Trùng"),"",COUNTIFS(ORDERS!$C$2:$C$4995,$D3824,ORDERS!$L$2:$L$4995,"Đã chuyển khoản"))</f>
        <v/>
      </c>
      <c r="X3824" s="23">
        <f>IF(OR($D3824="",$R3824="Trùng"),"",SUMIFS(ORDERS!$J$2:$J$4995,ORDERS!$C$2:$C$4995,$D3824,ORDERS!$L$2:$L$4995,"Đã chuyển khoản"))</f>
        <v/>
      </c>
      <c r="Y3824" s="24" t="n"/>
    </row>
    <row r="3825" ht="14.25" customHeight="1" s="40">
      <c r="A3825" s="24" t="n"/>
      <c r="B3825" s="27" t="n"/>
      <c r="C3825" s="24" t="n"/>
      <c r="D3825" s="28" t="n"/>
      <c r="E3825" s="29" t="n"/>
      <c r="F3825" s="24" t="n"/>
      <c r="G3825" s="24" t="n"/>
      <c r="H3825" s="21">
        <f>IF(ISNUMBER($B3825),INT($B3825)-WEEKDAY($B3825,2)+1,"")</f>
        <v/>
      </c>
      <c r="I3825" s="24" t="n"/>
      <c r="J3825" s="22">
        <f t="array" ref="J3825">IF($D3825="","",IF($I3825="","(trống REF)",IFERROR(INDEX(MASTER_SOURCE!$B$2:$B$495,MATCH($I3825,MASTER_SOURCE!$A$2:$A$495,0)),"(REF không có trong MASTER_SOURCE)")))</f>
        <v/>
      </c>
      <c r="K3825" s="22">
        <f t="array" ref="K3825">IF($D3825="","",IFERROR(INDEX(MASTER_SOURCE!$C$2:$C$495,MATCH($I3825,MASTER_SOURCE!$A$2:$A$495,0)),""))</f>
        <v/>
      </c>
      <c r="L3825" s="22">
        <f t="array" ref="L3825">IF($D3825="","",IFERROR(INDEX(MASTER_SOURCE!$D$2:$D$495,MATCH($I3825,MASTER_SOURCE!$A$2:$A$495,0)),""))</f>
        <v/>
      </c>
      <c r="M3825" s="24" t="n"/>
      <c r="N3825" s="24" t="n"/>
      <c r="O3825" s="24" t="n"/>
      <c r="P3825" s="24" t="n"/>
      <c r="Q3825" s="22">
        <f>IF($D3825="","",IF(AND(OR(DANH_MUC!$L$5&lt;&gt;"Có",M3825="Có"),OR(DANH_MUC!$L$6&lt;&gt;"Có",N3825="Có"),OR(DANH_MUC!$L$7&lt;&gt;"Có",O3825="Có"),OR(DANH_MUC!$L$8&lt;&gt;"Có",P3825="Có")),"Có","Không"))</f>
        <v/>
      </c>
      <c r="R3825" s="22">
        <f>IF($D3825="","",IF(COUNTIF($D$2:$D3825,$D3825)&gt;1,"Trùng",""))</f>
        <v/>
      </c>
      <c r="S3825" s="22">
        <f>IF($D3825="","",IF(AND(LEN($D3825)=10,LEFT($D3825,1)="0",ISNUMBER(--$D3825)),"Có","Không"))</f>
        <v/>
      </c>
      <c r="T3825" s="22">
        <f>IF($D3825="","",IF(AND($C3825&lt;&gt;"",$Q3825="Có",$R3825="",$S3825="Có",AND($L3825&lt;&gt;"",OR($L3825&lt;&gt;"Chưa xác định",DANH_MUC!$L$9="Có"))),"Có","Không"))</f>
        <v/>
      </c>
      <c r="U3825" s="22">
        <f>IF(OR($D3825="",$T3825="Có"),"",IF($C3825="","Thiếu họ tên; ","")&amp;IF($S3825&lt;&gt;"Có","SĐT sai định dạng; ","")&amp;IF($R3825="Trùng","Trùng SĐT; ","")&amp;IF($Q3825&lt;&gt;"Có","Thiếu đồng ý bắt buộc; ","")&amp;IF($L3825="","Thiếu/sai Mã REF; ",IF(AND($L3825="Chưa xác định",DANH_MUC!$L$9&lt;&gt;"Có"),"Nguồn chưa xác định; ","")))</f>
        <v/>
      </c>
      <c r="V3825" s="22">
        <f>IF(OR($D3825="",$R3825="Trùng"),"",IF(COUNTIF(ORDERS!$C$2:$C$4995,$D3825)&gt;0,"Có","Không"))</f>
        <v/>
      </c>
      <c r="W3825" s="22">
        <f>IF(OR($D3825="",$R3825="Trùng"),"",COUNTIFS(ORDERS!$C$2:$C$4995,$D3825,ORDERS!$L$2:$L$4995,"Đã chuyển khoản"))</f>
        <v/>
      </c>
      <c r="X3825" s="23">
        <f>IF(OR($D3825="",$R3825="Trùng"),"",SUMIFS(ORDERS!$J$2:$J$4995,ORDERS!$C$2:$C$4995,$D3825,ORDERS!$L$2:$L$4995,"Đã chuyển khoản"))</f>
        <v/>
      </c>
      <c r="Y3825" s="24" t="n"/>
    </row>
    <row r="3826" ht="14.25" customHeight="1" s="40">
      <c r="A3826" s="24" t="n"/>
      <c r="B3826" s="27" t="n"/>
      <c r="C3826" s="24" t="n"/>
      <c r="D3826" s="28" t="n"/>
      <c r="E3826" s="29" t="n"/>
      <c r="F3826" s="24" t="n"/>
      <c r="G3826" s="24" t="n"/>
      <c r="H3826" s="21">
        <f>IF(ISNUMBER($B3826),INT($B3826)-WEEKDAY($B3826,2)+1,"")</f>
        <v/>
      </c>
      <c r="I3826" s="24" t="n"/>
      <c r="J3826" s="22">
        <f t="array" ref="J3826">IF($D3826="","",IF($I3826="","(trống REF)",IFERROR(INDEX(MASTER_SOURCE!$B$2:$B$495,MATCH($I3826,MASTER_SOURCE!$A$2:$A$495,0)),"(REF không có trong MASTER_SOURCE)")))</f>
        <v/>
      </c>
      <c r="K3826" s="22">
        <f t="array" ref="K3826">IF($D3826="","",IFERROR(INDEX(MASTER_SOURCE!$C$2:$C$495,MATCH($I3826,MASTER_SOURCE!$A$2:$A$495,0)),""))</f>
        <v/>
      </c>
      <c r="L3826" s="22">
        <f t="array" ref="L3826">IF($D3826="","",IFERROR(INDEX(MASTER_SOURCE!$D$2:$D$495,MATCH($I3826,MASTER_SOURCE!$A$2:$A$495,0)),""))</f>
        <v/>
      </c>
      <c r="M3826" s="24" t="n"/>
      <c r="N3826" s="24" t="n"/>
      <c r="O3826" s="24" t="n"/>
      <c r="P3826" s="24" t="n"/>
      <c r="Q3826" s="22">
        <f>IF($D3826="","",IF(AND(OR(DANH_MUC!$L$5&lt;&gt;"Có",M3826="Có"),OR(DANH_MUC!$L$6&lt;&gt;"Có",N3826="Có"),OR(DANH_MUC!$L$7&lt;&gt;"Có",O3826="Có"),OR(DANH_MUC!$L$8&lt;&gt;"Có",P3826="Có")),"Có","Không"))</f>
        <v/>
      </c>
      <c r="R3826" s="22">
        <f>IF($D3826="","",IF(COUNTIF($D$2:$D3826,$D3826)&gt;1,"Trùng",""))</f>
        <v/>
      </c>
      <c r="S3826" s="22">
        <f>IF($D3826="","",IF(AND(LEN($D3826)=10,LEFT($D3826,1)="0",ISNUMBER(--$D3826)),"Có","Không"))</f>
        <v/>
      </c>
      <c r="T3826" s="22">
        <f>IF($D3826="","",IF(AND($C3826&lt;&gt;"",$Q3826="Có",$R3826="",$S3826="Có",AND($L3826&lt;&gt;"",OR($L3826&lt;&gt;"Chưa xác định",DANH_MUC!$L$9="Có"))),"Có","Không"))</f>
        <v/>
      </c>
      <c r="U3826" s="22">
        <f>IF(OR($D3826="",$T3826="Có"),"",IF($C3826="","Thiếu họ tên; ","")&amp;IF($S3826&lt;&gt;"Có","SĐT sai định dạng; ","")&amp;IF($R3826="Trùng","Trùng SĐT; ","")&amp;IF($Q3826&lt;&gt;"Có","Thiếu đồng ý bắt buộc; ","")&amp;IF($L3826="","Thiếu/sai Mã REF; ",IF(AND($L3826="Chưa xác định",DANH_MUC!$L$9&lt;&gt;"Có"),"Nguồn chưa xác định; ","")))</f>
        <v/>
      </c>
      <c r="V3826" s="22">
        <f>IF(OR($D3826="",$R3826="Trùng"),"",IF(COUNTIF(ORDERS!$C$2:$C$4995,$D3826)&gt;0,"Có","Không"))</f>
        <v/>
      </c>
      <c r="W3826" s="22">
        <f>IF(OR($D3826="",$R3826="Trùng"),"",COUNTIFS(ORDERS!$C$2:$C$4995,$D3826,ORDERS!$L$2:$L$4995,"Đã chuyển khoản"))</f>
        <v/>
      </c>
      <c r="X3826" s="23">
        <f>IF(OR($D3826="",$R3826="Trùng"),"",SUMIFS(ORDERS!$J$2:$J$4995,ORDERS!$C$2:$C$4995,$D3826,ORDERS!$L$2:$L$4995,"Đã chuyển khoản"))</f>
        <v/>
      </c>
      <c r="Y3826" s="24" t="n"/>
    </row>
    <row r="3827" ht="14.25" customHeight="1" s="40">
      <c r="A3827" s="24" t="n"/>
      <c r="B3827" s="27" t="n"/>
      <c r="C3827" s="24" t="n"/>
      <c r="D3827" s="28" t="n"/>
      <c r="E3827" s="29" t="n"/>
      <c r="F3827" s="24" t="n"/>
      <c r="G3827" s="24" t="n"/>
      <c r="H3827" s="21">
        <f>IF(ISNUMBER($B3827),INT($B3827)-WEEKDAY($B3827,2)+1,"")</f>
        <v/>
      </c>
      <c r="I3827" s="24" t="n"/>
      <c r="J3827" s="22">
        <f t="array" ref="J3827">IF($D3827="","",IF($I3827="","(trống REF)",IFERROR(INDEX(MASTER_SOURCE!$B$2:$B$495,MATCH($I3827,MASTER_SOURCE!$A$2:$A$495,0)),"(REF không có trong MASTER_SOURCE)")))</f>
        <v/>
      </c>
      <c r="K3827" s="22">
        <f t="array" ref="K3827">IF($D3827="","",IFERROR(INDEX(MASTER_SOURCE!$C$2:$C$495,MATCH($I3827,MASTER_SOURCE!$A$2:$A$495,0)),""))</f>
        <v/>
      </c>
      <c r="L3827" s="22">
        <f t="array" ref="L3827">IF($D3827="","",IFERROR(INDEX(MASTER_SOURCE!$D$2:$D$495,MATCH($I3827,MASTER_SOURCE!$A$2:$A$495,0)),""))</f>
        <v/>
      </c>
      <c r="M3827" s="24" t="n"/>
      <c r="N3827" s="24" t="n"/>
      <c r="O3827" s="24" t="n"/>
      <c r="P3827" s="24" t="n"/>
      <c r="Q3827" s="22">
        <f>IF($D3827="","",IF(AND(OR(DANH_MUC!$L$5&lt;&gt;"Có",M3827="Có"),OR(DANH_MUC!$L$6&lt;&gt;"Có",N3827="Có"),OR(DANH_MUC!$L$7&lt;&gt;"Có",O3827="Có"),OR(DANH_MUC!$L$8&lt;&gt;"Có",P3827="Có")),"Có","Không"))</f>
        <v/>
      </c>
      <c r="R3827" s="22">
        <f>IF($D3827="","",IF(COUNTIF($D$2:$D3827,$D3827)&gt;1,"Trùng",""))</f>
        <v/>
      </c>
      <c r="S3827" s="22">
        <f>IF($D3827="","",IF(AND(LEN($D3827)=10,LEFT($D3827,1)="0",ISNUMBER(--$D3827)),"Có","Không"))</f>
        <v/>
      </c>
      <c r="T3827" s="22">
        <f>IF($D3827="","",IF(AND($C3827&lt;&gt;"",$Q3827="Có",$R3827="",$S3827="Có",AND($L3827&lt;&gt;"",OR($L3827&lt;&gt;"Chưa xác định",DANH_MUC!$L$9="Có"))),"Có","Không"))</f>
        <v/>
      </c>
      <c r="U3827" s="22">
        <f>IF(OR($D3827="",$T3827="Có"),"",IF($C3827="","Thiếu họ tên; ","")&amp;IF($S3827&lt;&gt;"Có","SĐT sai định dạng; ","")&amp;IF($R3827="Trùng","Trùng SĐT; ","")&amp;IF($Q3827&lt;&gt;"Có","Thiếu đồng ý bắt buộc; ","")&amp;IF($L3827="","Thiếu/sai Mã REF; ",IF(AND($L3827="Chưa xác định",DANH_MUC!$L$9&lt;&gt;"Có"),"Nguồn chưa xác định; ","")))</f>
        <v/>
      </c>
      <c r="V3827" s="22">
        <f>IF(OR($D3827="",$R3827="Trùng"),"",IF(COUNTIF(ORDERS!$C$2:$C$4995,$D3827)&gt;0,"Có","Không"))</f>
        <v/>
      </c>
      <c r="W3827" s="22">
        <f>IF(OR($D3827="",$R3827="Trùng"),"",COUNTIFS(ORDERS!$C$2:$C$4995,$D3827,ORDERS!$L$2:$L$4995,"Đã chuyển khoản"))</f>
        <v/>
      </c>
      <c r="X3827" s="23">
        <f>IF(OR($D3827="",$R3827="Trùng"),"",SUMIFS(ORDERS!$J$2:$J$4995,ORDERS!$C$2:$C$4995,$D3827,ORDERS!$L$2:$L$4995,"Đã chuyển khoản"))</f>
        <v/>
      </c>
      <c r="Y3827" s="24" t="n"/>
    </row>
    <row r="3828" ht="14.25" customHeight="1" s="40">
      <c r="A3828" s="24" t="n"/>
      <c r="B3828" s="27" t="n"/>
      <c r="C3828" s="24" t="n"/>
      <c r="D3828" s="28" t="n"/>
      <c r="E3828" s="29" t="n"/>
      <c r="F3828" s="24" t="n"/>
      <c r="G3828" s="24" t="n"/>
      <c r="H3828" s="21">
        <f>IF(ISNUMBER($B3828),INT($B3828)-WEEKDAY($B3828,2)+1,"")</f>
        <v/>
      </c>
      <c r="I3828" s="24" t="n"/>
      <c r="J3828" s="22">
        <f t="array" ref="J3828">IF($D3828="","",IF($I3828="","(trống REF)",IFERROR(INDEX(MASTER_SOURCE!$B$2:$B$495,MATCH($I3828,MASTER_SOURCE!$A$2:$A$495,0)),"(REF không có trong MASTER_SOURCE)")))</f>
        <v/>
      </c>
      <c r="K3828" s="22">
        <f t="array" ref="K3828">IF($D3828="","",IFERROR(INDEX(MASTER_SOURCE!$C$2:$C$495,MATCH($I3828,MASTER_SOURCE!$A$2:$A$495,0)),""))</f>
        <v/>
      </c>
      <c r="L3828" s="22">
        <f t="array" ref="L3828">IF($D3828="","",IFERROR(INDEX(MASTER_SOURCE!$D$2:$D$495,MATCH($I3828,MASTER_SOURCE!$A$2:$A$495,0)),""))</f>
        <v/>
      </c>
      <c r="M3828" s="24" t="n"/>
      <c r="N3828" s="24" t="n"/>
      <c r="O3828" s="24" t="n"/>
      <c r="P3828" s="24" t="n"/>
      <c r="Q3828" s="22">
        <f>IF($D3828="","",IF(AND(OR(DANH_MUC!$L$5&lt;&gt;"Có",M3828="Có"),OR(DANH_MUC!$L$6&lt;&gt;"Có",N3828="Có"),OR(DANH_MUC!$L$7&lt;&gt;"Có",O3828="Có"),OR(DANH_MUC!$L$8&lt;&gt;"Có",P3828="Có")),"Có","Không"))</f>
        <v/>
      </c>
      <c r="R3828" s="22">
        <f>IF($D3828="","",IF(COUNTIF($D$2:$D3828,$D3828)&gt;1,"Trùng",""))</f>
        <v/>
      </c>
      <c r="S3828" s="22">
        <f>IF($D3828="","",IF(AND(LEN($D3828)=10,LEFT($D3828,1)="0",ISNUMBER(--$D3828)),"Có","Không"))</f>
        <v/>
      </c>
      <c r="T3828" s="22">
        <f>IF($D3828="","",IF(AND($C3828&lt;&gt;"",$Q3828="Có",$R3828="",$S3828="Có",AND($L3828&lt;&gt;"",OR($L3828&lt;&gt;"Chưa xác định",DANH_MUC!$L$9="Có"))),"Có","Không"))</f>
        <v/>
      </c>
      <c r="U3828" s="22">
        <f>IF(OR($D3828="",$T3828="Có"),"",IF($C3828="","Thiếu họ tên; ","")&amp;IF($S3828&lt;&gt;"Có","SĐT sai định dạng; ","")&amp;IF($R3828="Trùng","Trùng SĐT; ","")&amp;IF($Q3828&lt;&gt;"Có","Thiếu đồng ý bắt buộc; ","")&amp;IF($L3828="","Thiếu/sai Mã REF; ",IF(AND($L3828="Chưa xác định",DANH_MUC!$L$9&lt;&gt;"Có"),"Nguồn chưa xác định; ","")))</f>
        <v/>
      </c>
      <c r="V3828" s="22">
        <f>IF(OR($D3828="",$R3828="Trùng"),"",IF(COUNTIF(ORDERS!$C$2:$C$4995,$D3828)&gt;0,"Có","Không"))</f>
        <v/>
      </c>
      <c r="W3828" s="22">
        <f>IF(OR($D3828="",$R3828="Trùng"),"",COUNTIFS(ORDERS!$C$2:$C$4995,$D3828,ORDERS!$L$2:$L$4995,"Đã chuyển khoản"))</f>
        <v/>
      </c>
      <c r="X3828" s="23">
        <f>IF(OR($D3828="",$R3828="Trùng"),"",SUMIFS(ORDERS!$J$2:$J$4995,ORDERS!$C$2:$C$4995,$D3828,ORDERS!$L$2:$L$4995,"Đã chuyển khoản"))</f>
        <v/>
      </c>
      <c r="Y3828" s="24" t="n"/>
    </row>
    <row r="3829" ht="14.25" customHeight="1" s="40">
      <c r="A3829" s="24" t="n"/>
      <c r="B3829" s="27" t="n"/>
      <c r="C3829" s="24" t="n"/>
      <c r="D3829" s="28" t="n"/>
      <c r="E3829" s="29" t="n"/>
      <c r="F3829" s="24" t="n"/>
      <c r="G3829" s="24" t="n"/>
      <c r="H3829" s="21">
        <f>IF(ISNUMBER($B3829),INT($B3829)-WEEKDAY($B3829,2)+1,"")</f>
        <v/>
      </c>
      <c r="I3829" s="24" t="n"/>
      <c r="J3829" s="22">
        <f t="array" ref="J3829">IF($D3829="","",IF($I3829="","(trống REF)",IFERROR(INDEX(MASTER_SOURCE!$B$2:$B$495,MATCH($I3829,MASTER_SOURCE!$A$2:$A$495,0)),"(REF không có trong MASTER_SOURCE)")))</f>
        <v/>
      </c>
      <c r="K3829" s="22">
        <f t="array" ref="K3829">IF($D3829="","",IFERROR(INDEX(MASTER_SOURCE!$C$2:$C$495,MATCH($I3829,MASTER_SOURCE!$A$2:$A$495,0)),""))</f>
        <v/>
      </c>
      <c r="L3829" s="22">
        <f t="array" ref="L3829">IF($D3829="","",IFERROR(INDEX(MASTER_SOURCE!$D$2:$D$495,MATCH($I3829,MASTER_SOURCE!$A$2:$A$495,0)),""))</f>
        <v/>
      </c>
      <c r="M3829" s="24" t="n"/>
      <c r="N3829" s="24" t="n"/>
      <c r="O3829" s="24" t="n"/>
      <c r="P3829" s="24" t="n"/>
      <c r="Q3829" s="22">
        <f>IF($D3829="","",IF(AND(OR(DANH_MUC!$L$5&lt;&gt;"Có",M3829="Có"),OR(DANH_MUC!$L$6&lt;&gt;"Có",N3829="Có"),OR(DANH_MUC!$L$7&lt;&gt;"Có",O3829="Có"),OR(DANH_MUC!$L$8&lt;&gt;"Có",P3829="Có")),"Có","Không"))</f>
        <v/>
      </c>
      <c r="R3829" s="22">
        <f>IF($D3829="","",IF(COUNTIF($D$2:$D3829,$D3829)&gt;1,"Trùng",""))</f>
        <v/>
      </c>
      <c r="S3829" s="22">
        <f>IF($D3829="","",IF(AND(LEN($D3829)=10,LEFT($D3829,1)="0",ISNUMBER(--$D3829)),"Có","Không"))</f>
        <v/>
      </c>
      <c r="T3829" s="22">
        <f>IF($D3829="","",IF(AND($C3829&lt;&gt;"",$Q3829="Có",$R3829="",$S3829="Có",AND($L3829&lt;&gt;"",OR($L3829&lt;&gt;"Chưa xác định",DANH_MUC!$L$9="Có"))),"Có","Không"))</f>
        <v/>
      </c>
      <c r="U3829" s="22">
        <f>IF(OR($D3829="",$T3829="Có"),"",IF($C3829="","Thiếu họ tên; ","")&amp;IF($S3829&lt;&gt;"Có","SĐT sai định dạng; ","")&amp;IF($R3829="Trùng","Trùng SĐT; ","")&amp;IF($Q3829&lt;&gt;"Có","Thiếu đồng ý bắt buộc; ","")&amp;IF($L3829="","Thiếu/sai Mã REF; ",IF(AND($L3829="Chưa xác định",DANH_MUC!$L$9&lt;&gt;"Có"),"Nguồn chưa xác định; ","")))</f>
        <v/>
      </c>
      <c r="V3829" s="22">
        <f>IF(OR($D3829="",$R3829="Trùng"),"",IF(COUNTIF(ORDERS!$C$2:$C$4995,$D3829)&gt;0,"Có","Không"))</f>
        <v/>
      </c>
      <c r="W3829" s="22">
        <f>IF(OR($D3829="",$R3829="Trùng"),"",COUNTIFS(ORDERS!$C$2:$C$4995,$D3829,ORDERS!$L$2:$L$4995,"Đã chuyển khoản"))</f>
        <v/>
      </c>
      <c r="X3829" s="23">
        <f>IF(OR($D3829="",$R3829="Trùng"),"",SUMIFS(ORDERS!$J$2:$J$4995,ORDERS!$C$2:$C$4995,$D3829,ORDERS!$L$2:$L$4995,"Đã chuyển khoản"))</f>
        <v/>
      </c>
      <c r="Y3829" s="24" t="n"/>
    </row>
    <row r="3830" ht="14.25" customHeight="1" s="40">
      <c r="A3830" s="24" t="n"/>
      <c r="B3830" s="27" t="n"/>
      <c r="C3830" s="24" t="n"/>
      <c r="D3830" s="28" t="n"/>
      <c r="E3830" s="29" t="n"/>
      <c r="F3830" s="24" t="n"/>
      <c r="G3830" s="24" t="n"/>
      <c r="H3830" s="21">
        <f>IF(ISNUMBER($B3830),INT($B3830)-WEEKDAY($B3830,2)+1,"")</f>
        <v/>
      </c>
      <c r="I3830" s="24" t="n"/>
      <c r="J3830" s="22">
        <f t="array" ref="J3830">IF($D3830="","",IF($I3830="","(trống REF)",IFERROR(INDEX(MASTER_SOURCE!$B$2:$B$495,MATCH($I3830,MASTER_SOURCE!$A$2:$A$495,0)),"(REF không có trong MASTER_SOURCE)")))</f>
        <v/>
      </c>
      <c r="K3830" s="22">
        <f t="array" ref="K3830">IF($D3830="","",IFERROR(INDEX(MASTER_SOURCE!$C$2:$C$495,MATCH($I3830,MASTER_SOURCE!$A$2:$A$495,0)),""))</f>
        <v/>
      </c>
      <c r="L3830" s="22">
        <f t="array" ref="L3830">IF($D3830="","",IFERROR(INDEX(MASTER_SOURCE!$D$2:$D$495,MATCH($I3830,MASTER_SOURCE!$A$2:$A$495,0)),""))</f>
        <v/>
      </c>
      <c r="M3830" s="24" t="n"/>
      <c r="N3830" s="24" t="n"/>
      <c r="O3830" s="24" t="n"/>
      <c r="P3830" s="24" t="n"/>
      <c r="Q3830" s="22">
        <f>IF($D3830="","",IF(AND(OR(DANH_MUC!$L$5&lt;&gt;"Có",M3830="Có"),OR(DANH_MUC!$L$6&lt;&gt;"Có",N3830="Có"),OR(DANH_MUC!$L$7&lt;&gt;"Có",O3830="Có"),OR(DANH_MUC!$L$8&lt;&gt;"Có",P3830="Có")),"Có","Không"))</f>
        <v/>
      </c>
      <c r="R3830" s="22">
        <f>IF($D3830="","",IF(COUNTIF($D$2:$D3830,$D3830)&gt;1,"Trùng",""))</f>
        <v/>
      </c>
      <c r="S3830" s="22">
        <f>IF($D3830="","",IF(AND(LEN($D3830)=10,LEFT($D3830,1)="0",ISNUMBER(--$D3830)),"Có","Không"))</f>
        <v/>
      </c>
      <c r="T3830" s="22">
        <f>IF($D3830="","",IF(AND($C3830&lt;&gt;"",$Q3830="Có",$R3830="",$S3830="Có",AND($L3830&lt;&gt;"",OR($L3830&lt;&gt;"Chưa xác định",DANH_MUC!$L$9="Có"))),"Có","Không"))</f>
        <v/>
      </c>
      <c r="U3830" s="22">
        <f>IF(OR($D3830="",$T3830="Có"),"",IF($C3830="","Thiếu họ tên; ","")&amp;IF($S3830&lt;&gt;"Có","SĐT sai định dạng; ","")&amp;IF($R3830="Trùng","Trùng SĐT; ","")&amp;IF($Q3830&lt;&gt;"Có","Thiếu đồng ý bắt buộc; ","")&amp;IF($L3830="","Thiếu/sai Mã REF; ",IF(AND($L3830="Chưa xác định",DANH_MUC!$L$9&lt;&gt;"Có"),"Nguồn chưa xác định; ","")))</f>
        <v/>
      </c>
      <c r="V3830" s="22">
        <f>IF(OR($D3830="",$R3830="Trùng"),"",IF(COUNTIF(ORDERS!$C$2:$C$4995,$D3830)&gt;0,"Có","Không"))</f>
        <v/>
      </c>
      <c r="W3830" s="22">
        <f>IF(OR($D3830="",$R3830="Trùng"),"",COUNTIFS(ORDERS!$C$2:$C$4995,$D3830,ORDERS!$L$2:$L$4995,"Đã chuyển khoản"))</f>
        <v/>
      </c>
      <c r="X3830" s="23">
        <f>IF(OR($D3830="",$R3830="Trùng"),"",SUMIFS(ORDERS!$J$2:$J$4995,ORDERS!$C$2:$C$4995,$D3830,ORDERS!$L$2:$L$4995,"Đã chuyển khoản"))</f>
        <v/>
      </c>
      <c r="Y3830" s="24" t="n"/>
    </row>
    <row r="3831" ht="14.25" customHeight="1" s="40">
      <c r="A3831" s="24" t="n"/>
      <c r="B3831" s="27" t="n"/>
      <c r="C3831" s="24" t="n"/>
      <c r="D3831" s="28" t="n"/>
      <c r="E3831" s="29" t="n"/>
      <c r="F3831" s="24" t="n"/>
      <c r="G3831" s="24" t="n"/>
      <c r="H3831" s="21">
        <f>IF(ISNUMBER($B3831),INT($B3831)-WEEKDAY($B3831,2)+1,"")</f>
        <v/>
      </c>
      <c r="I3831" s="24" t="n"/>
      <c r="J3831" s="22">
        <f t="array" ref="J3831">IF($D3831="","",IF($I3831="","(trống REF)",IFERROR(INDEX(MASTER_SOURCE!$B$2:$B$495,MATCH($I3831,MASTER_SOURCE!$A$2:$A$495,0)),"(REF không có trong MASTER_SOURCE)")))</f>
        <v/>
      </c>
      <c r="K3831" s="22">
        <f t="array" ref="K3831">IF($D3831="","",IFERROR(INDEX(MASTER_SOURCE!$C$2:$C$495,MATCH($I3831,MASTER_SOURCE!$A$2:$A$495,0)),""))</f>
        <v/>
      </c>
      <c r="L3831" s="22">
        <f t="array" ref="L3831">IF($D3831="","",IFERROR(INDEX(MASTER_SOURCE!$D$2:$D$495,MATCH($I3831,MASTER_SOURCE!$A$2:$A$495,0)),""))</f>
        <v/>
      </c>
      <c r="M3831" s="24" t="n"/>
      <c r="N3831" s="24" t="n"/>
      <c r="O3831" s="24" t="n"/>
      <c r="P3831" s="24" t="n"/>
      <c r="Q3831" s="22">
        <f>IF($D3831="","",IF(AND(OR(DANH_MUC!$L$5&lt;&gt;"Có",M3831="Có"),OR(DANH_MUC!$L$6&lt;&gt;"Có",N3831="Có"),OR(DANH_MUC!$L$7&lt;&gt;"Có",O3831="Có"),OR(DANH_MUC!$L$8&lt;&gt;"Có",P3831="Có")),"Có","Không"))</f>
        <v/>
      </c>
      <c r="R3831" s="22">
        <f>IF($D3831="","",IF(COUNTIF($D$2:$D3831,$D3831)&gt;1,"Trùng",""))</f>
        <v/>
      </c>
      <c r="S3831" s="22">
        <f>IF($D3831="","",IF(AND(LEN($D3831)=10,LEFT($D3831,1)="0",ISNUMBER(--$D3831)),"Có","Không"))</f>
        <v/>
      </c>
      <c r="T3831" s="22">
        <f>IF($D3831="","",IF(AND($C3831&lt;&gt;"",$Q3831="Có",$R3831="",$S3831="Có",AND($L3831&lt;&gt;"",OR($L3831&lt;&gt;"Chưa xác định",DANH_MUC!$L$9="Có"))),"Có","Không"))</f>
        <v/>
      </c>
      <c r="U3831" s="22">
        <f>IF(OR($D3831="",$T3831="Có"),"",IF($C3831="","Thiếu họ tên; ","")&amp;IF($S3831&lt;&gt;"Có","SĐT sai định dạng; ","")&amp;IF($R3831="Trùng","Trùng SĐT; ","")&amp;IF($Q3831&lt;&gt;"Có","Thiếu đồng ý bắt buộc; ","")&amp;IF($L3831="","Thiếu/sai Mã REF; ",IF(AND($L3831="Chưa xác định",DANH_MUC!$L$9&lt;&gt;"Có"),"Nguồn chưa xác định; ","")))</f>
        <v/>
      </c>
      <c r="V3831" s="22">
        <f>IF(OR($D3831="",$R3831="Trùng"),"",IF(COUNTIF(ORDERS!$C$2:$C$4995,$D3831)&gt;0,"Có","Không"))</f>
        <v/>
      </c>
      <c r="W3831" s="22">
        <f>IF(OR($D3831="",$R3831="Trùng"),"",COUNTIFS(ORDERS!$C$2:$C$4995,$D3831,ORDERS!$L$2:$L$4995,"Đã chuyển khoản"))</f>
        <v/>
      </c>
      <c r="X3831" s="23">
        <f>IF(OR($D3831="",$R3831="Trùng"),"",SUMIFS(ORDERS!$J$2:$J$4995,ORDERS!$C$2:$C$4995,$D3831,ORDERS!$L$2:$L$4995,"Đã chuyển khoản"))</f>
        <v/>
      </c>
      <c r="Y3831" s="24" t="n"/>
    </row>
    <row r="3832" ht="14.25" customHeight="1" s="40">
      <c r="A3832" s="24" t="n"/>
      <c r="B3832" s="27" t="n"/>
      <c r="C3832" s="24" t="n"/>
      <c r="D3832" s="28" t="n"/>
      <c r="E3832" s="29" t="n"/>
      <c r="F3832" s="24" t="n"/>
      <c r="G3832" s="24" t="n"/>
      <c r="H3832" s="21">
        <f>IF(ISNUMBER($B3832),INT($B3832)-WEEKDAY($B3832,2)+1,"")</f>
        <v/>
      </c>
      <c r="I3832" s="24" t="n"/>
      <c r="J3832" s="22">
        <f t="array" ref="J3832">IF($D3832="","",IF($I3832="","(trống REF)",IFERROR(INDEX(MASTER_SOURCE!$B$2:$B$495,MATCH($I3832,MASTER_SOURCE!$A$2:$A$495,0)),"(REF không có trong MASTER_SOURCE)")))</f>
        <v/>
      </c>
      <c r="K3832" s="22">
        <f t="array" ref="K3832">IF($D3832="","",IFERROR(INDEX(MASTER_SOURCE!$C$2:$C$495,MATCH($I3832,MASTER_SOURCE!$A$2:$A$495,0)),""))</f>
        <v/>
      </c>
      <c r="L3832" s="22">
        <f t="array" ref="L3832">IF($D3832="","",IFERROR(INDEX(MASTER_SOURCE!$D$2:$D$495,MATCH($I3832,MASTER_SOURCE!$A$2:$A$495,0)),""))</f>
        <v/>
      </c>
      <c r="M3832" s="24" t="n"/>
      <c r="N3832" s="24" t="n"/>
      <c r="O3832" s="24" t="n"/>
      <c r="P3832" s="24" t="n"/>
      <c r="Q3832" s="22">
        <f>IF($D3832="","",IF(AND(OR(DANH_MUC!$L$5&lt;&gt;"Có",M3832="Có"),OR(DANH_MUC!$L$6&lt;&gt;"Có",N3832="Có"),OR(DANH_MUC!$L$7&lt;&gt;"Có",O3832="Có"),OR(DANH_MUC!$L$8&lt;&gt;"Có",P3832="Có")),"Có","Không"))</f>
        <v/>
      </c>
      <c r="R3832" s="22">
        <f>IF($D3832="","",IF(COUNTIF($D$2:$D3832,$D3832)&gt;1,"Trùng",""))</f>
        <v/>
      </c>
      <c r="S3832" s="22">
        <f>IF($D3832="","",IF(AND(LEN($D3832)=10,LEFT($D3832,1)="0",ISNUMBER(--$D3832)),"Có","Không"))</f>
        <v/>
      </c>
      <c r="T3832" s="22">
        <f>IF($D3832="","",IF(AND($C3832&lt;&gt;"",$Q3832="Có",$R3832="",$S3832="Có",AND($L3832&lt;&gt;"",OR($L3832&lt;&gt;"Chưa xác định",DANH_MUC!$L$9="Có"))),"Có","Không"))</f>
        <v/>
      </c>
      <c r="U3832" s="22">
        <f>IF(OR($D3832="",$T3832="Có"),"",IF($C3832="","Thiếu họ tên; ","")&amp;IF($S3832&lt;&gt;"Có","SĐT sai định dạng; ","")&amp;IF($R3832="Trùng","Trùng SĐT; ","")&amp;IF($Q3832&lt;&gt;"Có","Thiếu đồng ý bắt buộc; ","")&amp;IF($L3832="","Thiếu/sai Mã REF; ",IF(AND($L3832="Chưa xác định",DANH_MUC!$L$9&lt;&gt;"Có"),"Nguồn chưa xác định; ","")))</f>
        <v/>
      </c>
      <c r="V3832" s="22">
        <f>IF(OR($D3832="",$R3832="Trùng"),"",IF(COUNTIF(ORDERS!$C$2:$C$4995,$D3832)&gt;0,"Có","Không"))</f>
        <v/>
      </c>
      <c r="W3832" s="22">
        <f>IF(OR($D3832="",$R3832="Trùng"),"",COUNTIFS(ORDERS!$C$2:$C$4995,$D3832,ORDERS!$L$2:$L$4995,"Đã chuyển khoản"))</f>
        <v/>
      </c>
      <c r="X3832" s="23">
        <f>IF(OR($D3832="",$R3832="Trùng"),"",SUMIFS(ORDERS!$J$2:$J$4995,ORDERS!$C$2:$C$4995,$D3832,ORDERS!$L$2:$L$4995,"Đã chuyển khoản"))</f>
        <v/>
      </c>
      <c r="Y3832" s="24" t="n"/>
    </row>
    <row r="3833" ht="14.25" customHeight="1" s="40">
      <c r="A3833" s="24" t="n"/>
      <c r="B3833" s="27" t="n"/>
      <c r="C3833" s="24" t="n"/>
      <c r="D3833" s="28" t="n"/>
      <c r="E3833" s="29" t="n"/>
      <c r="F3833" s="24" t="n"/>
      <c r="G3833" s="24" t="n"/>
      <c r="H3833" s="21">
        <f>IF(ISNUMBER($B3833),INT($B3833)-WEEKDAY($B3833,2)+1,"")</f>
        <v/>
      </c>
      <c r="I3833" s="24" t="n"/>
      <c r="J3833" s="22">
        <f t="array" ref="J3833">IF($D3833="","",IF($I3833="","(trống REF)",IFERROR(INDEX(MASTER_SOURCE!$B$2:$B$495,MATCH($I3833,MASTER_SOURCE!$A$2:$A$495,0)),"(REF không có trong MASTER_SOURCE)")))</f>
        <v/>
      </c>
      <c r="K3833" s="22">
        <f t="array" ref="K3833">IF($D3833="","",IFERROR(INDEX(MASTER_SOURCE!$C$2:$C$495,MATCH($I3833,MASTER_SOURCE!$A$2:$A$495,0)),""))</f>
        <v/>
      </c>
      <c r="L3833" s="22">
        <f t="array" ref="L3833">IF($D3833="","",IFERROR(INDEX(MASTER_SOURCE!$D$2:$D$495,MATCH($I3833,MASTER_SOURCE!$A$2:$A$495,0)),""))</f>
        <v/>
      </c>
      <c r="M3833" s="24" t="n"/>
      <c r="N3833" s="24" t="n"/>
      <c r="O3833" s="24" t="n"/>
      <c r="P3833" s="24" t="n"/>
      <c r="Q3833" s="22">
        <f>IF($D3833="","",IF(AND(OR(DANH_MUC!$L$5&lt;&gt;"Có",M3833="Có"),OR(DANH_MUC!$L$6&lt;&gt;"Có",N3833="Có"),OR(DANH_MUC!$L$7&lt;&gt;"Có",O3833="Có"),OR(DANH_MUC!$L$8&lt;&gt;"Có",P3833="Có")),"Có","Không"))</f>
        <v/>
      </c>
      <c r="R3833" s="22">
        <f>IF($D3833="","",IF(COUNTIF($D$2:$D3833,$D3833)&gt;1,"Trùng",""))</f>
        <v/>
      </c>
      <c r="S3833" s="22">
        <f>IF($D3833="","",IF(AND(LEN($D3833)=10,LEFT($D3833,1)="0",ISNUMBER(--$D3833)),"Có","Không"))</f>
        <v/>
      </c>
      <c r="T3833" s="22">
        <f>IF($D3833="","",IF(AND($C3833&lt;&gt;"",$Q3833="Có",$R3833="",$S3833="Có",AND($L3833&lt;&gt;"",OR($L3833&lt;&gt;"Chưa xác định",DANH_MUC!$L$9="Có"))),"Có","Không"))</f>
        <v/>
      </c>
      <c r="U3833" s="22">
        <f>IF(OR($D3833="",$T3833="Có"),"",IF($C3833="","Thiếu họ tên; ","")&amp;IF($S3833&lt;&gt;"Có","SĐT sai định dạng; ","")&amp;IF($R3833="Trùng","Trùng SĐT; ","")&amp;IF($Q3833&lt;&gt;"Có","Thiếu đồng ý bắt buộc; ","")&amp;IF($L3833="","Thiếu/sai Mã REF; ",IF(AND($L3833="Chưa xác định",DANH_MUC!$L$9&lt;&gt;"Có"),"Nguồn chưa xác định; ","")))</f>
        <v/>
      </c>
      <c r="V3833" s="22">
        <f>IF(OR($D3833="",$R3833="Trùng"),"",IF(COUNTIF(ORDERS!$C$2:$C$4995,$D3833)&gt;0,"Có","Không"))</f>
        <v/>
      </c>
      <c r="W3833" s="22">
        <f>IF(OR($D3833="",$R3833="Trùng"),"",COUNTIFS(ORDERS!$C$2:$C$4995,$D3833,ORDERS!$L$2:$L$4995,"Đã chuyển khoản"))</f>
        <v/>
      </c>
      <c r="X3833" s="23">
        <f>IF(OR($D3833="",$R3833="Trùng"),"",SUMIFS(ORDERS!$J$2:$J$4995,ORDERS!$C$2:$C$4995,$D3833,ORDERS!$L$2:$L$4995,"Đã chuyển khoản"))</f>
        <v/>
      </c>
      <c r="Y3833" s="24" t="n"/>
    </row>
    <row r="3834" ht="14.25" customHeight="1" s="40">
      <c r="A3834" s="24" t="n"/>
      <c r="B3834" s="27" t="n"/>
      <c r="C3834" s="24" t="n"/>
      <c r="D3834" s="28" t="n"/>
      <c r="E3834" s="29" t="n"/>
      <c r="F3834" s="24" t="n"/>
      <c r="G3834" s="24" t="n"/>
      <c r="H3834" s="21">
        <f>IF(ISNUMBER($B3834),INT($B3834)-WEEKDAY($B3834,2)+1,"")</f>
        <v/>
      </c>
      <c r="I3834" s="24" t="n"/>
      <c r="J3834" s="22">
        <f t="array" ref="J3834">IF($D3834="","",IF($I3834="","(trống REF)",IFERROR(INDEX(MASTER_SOURCE!$B$2:$B$495,MATCH($I3834,MASTER_SOURCE!$A$2:$A$495,0)),"(REF không có trong MASTER_SOURCE)")))</f>
        <v/>
      </c>
      <c r="K3834" s="22">
        <f t="array" ref="K3834">IF($D3834="","",IFERROR(INDEX(MASTER_SOURCE!$C$2:$C$495,MATCH($I3834,MASTER_SOURCE!$A$2:$A$495,0)),""))</f>
        <v/>
      </c>
      <c r="L3834" s="22">
        <f t="array" ref="L3834">IF($D3834="","",IFERROR(INDEX(MASTER_SOURCE!$D$2:$D$495,MATCH($I3834,MASTER_SOURCE!$A$2:$A$495,0)),""))</f>
        <v/>
      </c>
      <c r="M3834" s="24" t="n"/>
      <c r="N3834" s="24" t="n"/>
      <c r="O3834" s="24" t="n"/>
      <c r="P3834" s="24" t="n"/>
      <c r="Q3834" s="22">
        <f>IF($D3834="","",IF(AND(OR(DANH_MUC!$L$5&lt;&gt;"Có",M3834="Có"),OR(DANH_MUC!$L$6&lt;&gt;"Có",N3834="Có"),OR(DANH_MUC!$L$7&lt;&gt;"Có",O3834="Có"),OR(DANH_MUC!$L$8&lt;&gt;"Có",P3834="Có")),"Có","Không"))</f>
        <v/>
      </c>
      <c r="R3834" s="22">
        <f>IF($D3834="","",IF(COUNTIF($D$2:$D3834,$D3834)&gt;1,"Trùng",""))</f>
        <v/>
      </c>
      <c r="S3834" s="22">
        <f>IF($D3834="","",IF(AND(LEN($D3834)=10,LEFT($D3834,1)="0",ISNUMBER(--$D3834)),"Có","Không"))</f>
        <v/>
      </c>
      <c r="T3834" s="22">
        <f>IF($D3834="","",IF(AND($C3834&lt;&gt;"",$Q3834="Có",$R3834="",$S3834="Có",AND($L3834&lt;&gt;"",OR($L3834&lt;&gt;"Chưa xác định",DANH_MUC!$L$9="Có"))),"Có","Không"))</f>
        <v/>
      </c>
      <c r="U3834" s="22">
        <f>IF(OR($D3834="",$T3834="Có"),"",IF($C3834="","Thiếu họ tên; ","")&amp;IF($S3834&lt;&gt;"Có","SĐT sai định dạng; ","")&amp;IF($R3834="Trùng","Trùng SĐT; ","")&amp;IF($Q3834&lt;&gt;"Có","Thiếu đồng ý bắt buộc; ","")&amp;IF($L3834="","Thiếu/sai Mã REF; ",IF(AND($L3834="Chưa xác định",DANH_MUC!$L$9&lt;&gt;"Có"),"Nguồn chưa xác định; ","")))</f>
        <v/>
      </c>
      <c r="V3834" s="22">
        <f>IF(OR($D3834="",$R3834="Trùng"),"",IF(COUNTIF(ORDERS!$C$2:$C$4995,$D3834)&gt;0,"Có","Không"))</f>
        <v/>
      </c>
      <c r="W3834" s="22">
        <f>IF(OR($D3834="",$R3834="Trùng"),"",COUNTIFS(ORDERS!$C$2:$C$4995,$D3834,ORDERS!$L$2:$L$4995,"Đã chuyển khoản"))</f>
        <v/>
      </c>
      <c r="X3834" s="23">
        <f>IF(OR($D3834="",$R3834="Trùng"),"",SUMIFS(ORDERS!$J$2:$J$4995,ORDERS!$C$2:$C$4995,$D3834,ORDERS!$L$2:$L$4995,"Đã chuyển khoản"))</f>
        <v/>
      </c>
      <c r="Y3834" s="24" t="n"/>
    </row>
    <row r="3835" ht="14.25" customHeight="1" s="40">
      <c r="A3835" s="24" t="n"/>
      <c r="B3835" s="27" t="n"/>
      <c r="C3835" s="24" t="n"/>
      <c r="D3835" s="28" t="n"/>
      <c r="E3835" s="29" t="n"/>
      <c r="F3835" s="24" t="n"/>
      <c r="G3835" s="24" t="n"/>
      <c r="H3835" s="21">
        <f>IF(ISNUMBER($B3835),INT($B3835)-WEEKDAY($B3835,2)+1,"")</f>
        <v/>
      </c>
      <c r="I3835" s="24" t="n"/>
      <c r="J3835" s="22">
        <f t="array" ref="J3835">IF($D3835="","",IF($I3835="","(trống REF)",IFERROR(INDEX(MASTER_SOURCE!$B$2:$B$495,MATCH($I3835,MASTER_SOURCE!$A$2:$A$495,0)),"(REF không có trong MASTER_SOURCE)")))</f>
        <v/>
      </c>
      <c r="K3835" s="22">
        <f t="array" ref="K3835">IF($D3835="","",IFERROR(INDEX(MASTER_SOURCE!$C$2:$C$495,MATCH($I3835,MASTER_SOURCE!$A$2:$A$495,0)),""))</f>
        <v/>
      </c>
      <c r="L3835" s="22">
        <f t="array" ref="L3835">IF($D3835="","",IFERROR(INDEX(MASTER_SOURCE!$D$2:$D$495,MATCH($I3835,MASTER_SOURCE!$A$2:$A$495,0)),""))</f>
        <v/>
      </c>
      <c r="M3835" s="24" t="n"/>
      <c r="N3835" s="24" t="n"/>
      <c r="O3835" s="24" t="n"/>
      <c r="P3835" s="24" t="n"/>
      <c r="Q3835" s="22">
        <f>IF($D3835="","",IF(AND(OR(DANH_MUC!$L$5&lt;&gt;"Có",M3835="Có"),OR(DANH_MUC!$L$6&lt;&gt;"Có",N3835="Có"),OR(DANH_MUC!$L$7&lt;&gt;"Có",O3835="Có"),OR(DANH_MUC!$L$8&lt;&gt;"Có",P3835="Có")),"Có","Không"))</f>
        <v/>
      </c>
      <c r="R3835" s="22">
        <f>IF($D3835="","",IF(COUNTIF($D$2:$D3835,$D3835)&gt;1,"Trùng",""))</f>
        <v/>
      </c>
      <c r="S3835" s="22">
        <f>IF($D3835="","",IF(AND(LEN($D3835)=10,LEFT($D3835,1)="0",ISNUMBER(--$D3835)),"Có","Không"))</f>
        <v/>
      </c>
      <c r="T3835" s="22">
        <f>IF($D3835="","",IF(AND($C3835&lt;&gt;"",$Q3835="Có",$R3835="",$S3835="Có",AND($L3835&lt;&gt;"",OR($L3835&lt;&gt;"Chưa xác định",DANH_MUC!$L$9="Có"))),"Có","Không"))</f>
        <v/>
      </c>
      <c r="U3835" s="22">
        <f>IF(OR($D3835="",$T3835="Có"),"",IF($C3835="","Thiếu họ tên; ","")&amp;IF($S3835&lt;&gt;"Có","SĐT sai định dạng; ","")&amp;IF($R3835="Trùng","Trùng SĐT; ","")&amp;IF($Q3835&lt;&gt;"Có","Thiếu đồng ý bắt buộc; ","")&amp;IF($L3835="","Thiếu/sai Mã REF; ",IF(AND($L3835="Chưa xác định",DANH_MUC!$L$9&lt;&gt;"Có"),"Nguồn chưa xác định; ","")))</f>
        <v/>
      </c>
      <c r="V3835" s="22">
        <f>IF(OR($D3835="",$R3835="Trùng"),"",IF(COUNTIF(ORDERS!$C$2:$C$4995,$D3835)&gt;0,"Có","Không"))</f>
        <v/>
      </c>
      <c r="W3835" s="22">
        <f>IF(OR($D3835="",$R3835="Trùng"),"",COUNTIFS(ORDERS!$C$2:$C$4995,$D3835,ORDERS!$L$2:$L$4995,"Đã chuyển khoản"))</f>
        <v/>
      </c>
      <c r="X3835" s="23">
        <f>IF(OR($D3835="",$R3835="Trùng"),"",SUMIFS(ORDERS!$J$2:$J$4995,ORDERS!$C$2:$C$4995,$D3835,ORDERS!$L$2:$L$4995,"Đã chuyển khoản"))</f>
        <v/>
      </c>
      <c r="Y3835" s="24" t="n"/>
    </row>
    <row r="3836" ht="14.25" customHeight="1" s="40">
      <c r="A3836" s="24" t="n"/>
      <c r="B3836" s="27" t="n"/>
      <c r="C3836" s="24" t="n"/>
      <c r="D3836" s="28" t="n"/>
      <c r="E3836" s="29" t="n"/>
      <c r="F3836" s="24" t="n"/>
      <c r="G3836" s="24" t="n"/>
      <c r="H3836" s="21">
        <f>IF(ISNUMBER($B3836),INT($B3836)-WEEKDAY($B3836,2)+1,"")</f>
        <v/>
      </c>
      <c r="I3836" s="24" t="n"/>
      <c r="J3836" s="22">
        <f t="array" ref="J3836">IF($D3836="","",IF($I3836="","(trống REF)",IFERROR(INDEX(MASTER_SOURCE!$B$2:$B$495,MATCH($I3836,MASTER_SOURCE!$A$2:$A$495,0)),"(REF không có trong MASTER_SOURCE)")))</f>
        <v/>
      </c>
      <c r="K3836" s="22">
        <f t="array" ref="K3836">IF($D3836="","",IFERROR(INDEX(MASTER_SOURCE!$C$2:$C$495,MATCH($I3836,MASTER_SOURCE!$A$2:$A$495,0)),""))</f>
        <v/>
      </c>
      <c r="L3836" s="22">
        <f t="array" ref="L3836">IF($D3836="","",IFERROR(INDEX(MASTER_SOURCE!$D$2:$D$495,MATCH($I3836,MASTER_SOURCE!$A$2:$A$495,0)),""))</f>
        <v/>
      </c>
      <c r="M3836" s="24" t="n"/>
      <c r="N3836" s="24" t="n"/>
      <c r="O3836" s="24" t="n"/>
      <c r="P3836" s="24" t="n"/>
      <c r="Q3836" s="22">
        <f>IF($D3836="","",IF(AND(OR(DANH_MUC!$L$5&lt;&gt;"Có",M3836="Có"),OR(DANH_MUC!$L$6&lt;&gt;"Có",N3836="Có"),OR(DANH_MUC!$L$7&lt;&gt;"Có",O3836="Có"),OR(DANH_MUC!$L$8&lt;&gt;"Có",P3836="Có")),"Có","Không"))</f>
        <v/>
      </c>
      <c r="R3836" s="22">
        <f>IF($D3836="","",IF(COUNTIF($D$2:$D3836,$D3836)&gt;1,"Trùng",""))</f>
        <v/>
      </c>
      <c r="S3836" s="22">
        <f>IF($D3836="","",IF(AND(LEN($D3836)=10,LEFT($D3836,1)="0",ISNUMBER(--$D3836)),"Có","Không"))</f>
        <v/>
      </c>
      <c r="T3836" s="22">
        <f>IF($D3836="","",IF(AND($C3836&lt;&gt;"",$Q3836="Có",$R3836="",$S3836="Có",AND($L3836&lt;&gt;"",OR($L3836&lt;&gt;"Chưa xác định",DANH_MUC!$L$9="Có"))),"Có","Không"))</f>
        <v/>
      </c>
      <c r="U3836" s="22">
        <f>IF(OR($D3836="",$T3836="Có"),"",IF($C3836="","Thiếu họ tên; ","")&amp;IF($S3836&lt;&gt;"Có","SĐT sai định dạng; ","")&amp;IF($R3836="Trùng","Trùng SĐT; ","")&amp;IF($Q3836&lt;&gt;"Có","Thiếu đồng ý bắt buộc; ","")&amp;IF($L3836="","Thiếu/sai Mã REF; ",IF(AND($L3836="Chưa xác định",DANH_MUC!$L$9&lt;&gt;"Có"),"Nguồn chưa xác định; ","")))</f>
        <v/>
      </c>
      <c r="V3836" s="22">
        <f>IF(OR($D3836="",$R3836="Trùng"),"",IF(COUNTIF(ORDERS!$C$2:$C$4995,$D3836)&gt;0,"Có","Không"))</f>
        <v/>
      </c>
      <c r="W3836" s="22">
        <f>IF(OR($D3836="",$R3836="Trùng"),"",COUNTIFS(ORDERS!$C$2:$C$4995,$D3836,ORDERS!$L$2:$L$4995,"Đã chuyển khoản"))</f>
        <v/>
      </c>
      <c r="X3836" s="23">
        <f>IF(OR($D3836="",$R3836="Trùng"),"",SUMIFS(ORDERS!$J$2:$J$4995,ORDERS!$C$2:$C$4995,$D3836,ORDERS!$L$2:$L$4995,"Đã chuyển khoản"))</f>
        <v/>
      </c>
      <c r="Y3836" s="24" t="n"/>
    </row>
    <row r="3837" ht="14.25" customHeight="1" s="40">
      <c r="A3837" s="24" t="n"/>
      <c r="B3837" s="27" t="n"/>
      <c r="C3837" s="24" t="n"/>
      <c r="D3837" s="28" t="n"/>
      <c r="E3837" s="29" t="n"/>
      <c r="F3837" s="24" t="n"/>
      <c r="G3837" s="24" t="n"/>
      <c r="H3837" s="21">
        <f>IF(ISNUMBER($B3837),INT($B3837)-WEEKDAY($B3837,2)+1,"")</f>
        <v/>
      </c>
      <c r="I3837" s="24" t="n"/>
      <c r="J3837" s="22">
        <f t="array" ref="J3837">IF($D3837="","",IF($I3837="","(trống REF)",IFERROR(INDEX(MASTER_SOURCE!$B$2:$B$495,MATCH($I3837,MASTER_SOURCE!$A$2:$A$495,0)),"(REF không có trong MASTER_SOURCE)")))</f>
        <v/>
      </c>
      <c r="K3837" s="22">
        <f t="array" ref="K3837">IF($D3837="","",IFERROR(INDEX(MASTER_SOURCE!$C$2:$C$495,MATCH($I3837,MASTER_SOURCE!$A$2:$A$495,0)),""))</f>
        <v/>
      </c>
      <c r="L3837" s="22">
        <f t="array" ref="L3837">IF($D3837="","",IFERROR(INDEX(MASTER_SOURCE!$D$2:$D$495,MATCH($I3837,MASTER_SOURCE!$A$2:$A$495,0)),""))</f>
        <v/>
      </c>
      <c r="M3837" s="24" t="n"/>
      <c r="N3837" s="24" t="n"/>
      <c r="O3837" s="24" t="n"/>
      <c r="P3837" s="24" t="n"/>
      <c r="Q3837" s="22">
        <f>IF($D3837="","",IF(AND(OR(DANH_MUC!$L$5&lt;&gt;"Có",M3837="Có"),OR(DANH_MUC!$L$6&lt;&gt;"Có",N3837="Có"),OR(DANH_MUC!$L$7&lt;&gt;"Có",O3837="Có"),OR(DANH_MUC!$L$8&lt;&gt;"Có",P3837="Có")),"Có","Không"))</f>
        <v/>
      </c>
      <c r="R3837" s="22">
        <f>IF($D3837="","",IF(COUNTIF($D$2:$D3837,$D3837)&gt;1,"Trùng",""))</f>
        <v/>
      </c>
      <c r="S3837" s="22">
        <f>IF($D3837="","",IF(AND(LEN($D3837)=10,LEFT($D3837,1)="0",ISNUMBER(--$D3837)),"Có","Không"))</f>
        <v/>
      </c>
      <c r="T3837" s="22">
        <f>IF($D3837="","",IF(AND($C3837&lt;&gt;"",$Q3837="Có",$R3837="",$S3837="Có",AND($L3837&lt;&gt;"",OR($L3837&lt;&gt;"Chưa xác định",DANH_MUC!$L$9="Có"))),"Có","Không"))</f>
        <v/>
      </c>
      <c r="U3837" s="22">
        <f>IF(OR($D3837="",$T3837="Có"),"",IF($C3837="","Thiếu họ tên; ","")&amp;IF($S3837&lt;&gt;"Có","SĐT sai định dạng; ","")&amp;IF($R3837="Trùng","Trùng SĐT; ","")&amp;IF($Q3837&lt;&gt;"Có","Thiếu đồng ý bắt buộc; ","")&amp;IF($L3837="","Thiếu/sai Mã REF; ",IF(AND($L3837="Chưa xác định",DANH_MUC!$L$9&lt;&gt;"Có"),"Nguồn chưa xác định; ","")))</f>
        <v/>
      </c>
      <c r="V3837" s="22">
        <f>IF(OR($D3837="",$R3837="Trùng"),"",IF(COUNTIF(ORDERS!$C$2:$C$4995,$D3837)&gt;0,"Có","Không"))</f>
        <v/>
      </c>
      <c r="W3837" s="22">
        <f>IF(OR($D3837="",$R3837="Trùng"),"",COUNTIFS(ORDERS!$C$2:$C$4995,$D3837,ORDERS!$L$2:$L$4995,"Đã chuyển khoản"))</f>
        <v/>
      </c>
      <c r="X3837" s="23">
        <f>IF(OR($D3837="",$R3837="Trùng"),"",SUMIFS(ORDERS!$J$2:$J$4995,ORDERS!$C$2:$C$4995,$D3837,ORDERS!$L$2:$L$4995,"Đã chuyển khoản"))</f>
        <v/>
      </c>
      <c r="Y3837" s="24" t="n"/>
    </row>
    <row r="3838" ht="14.25" customHeight="1" s="40">
      <c r="A3838" s="24" t="n"/>
      <c r="B3838" s="27" t="n"/>
      <c r="C3838" s="24" t="n"/>
      <c r="D3838" s="28" t="n"/>
      <c r="E3838" s="29" t="n"/>
      <c r="F3838" s="24" t="n"/>
      <c r="G3838" s="24" t="n"/>
      <c r="H3838" s="21">
        <f>IF(ISNUMBER($B3838),INT($B3838)-WEEKDAY($B3838,2)+1,"")</f>
        <v/>
      </c>
      <c r="I3838" s="24" t="n"/>
      <c r="J3838" s="22">
        <f t="array" ref="J3838">IF($D3838="","",IF($I3838="","(trống REF)",IFERROR(INDEX(MASTER_SOURCE!$B$2:$B$495,MATCH($I3838,MASTER_SOURCE!$A$2:$A$495,0)),"(REF không có trong MASTER_SOURCE)")))</f>
        <v/>
      </c>
      <c r="K3838" s="22">
        <f t="array" ref="K3838">IF($D3838="","",IFERROR(INDEX(MASTER_SOURCE!$C$2:$C$495,MATCH($I3838,MASTER_SOURCE!$A$2:$A$495,0)),""))</f>
        <v/>
      </c>
      <c r="L3838" s="22">
        <f t="array" ref="L3838">IF($D3838="","",IFERROR(INDEX(MASTER_SOURCE!$D$2:$D$495,MATCH($I3838,MASTER_SOURCE!$A$2:$A$495,0)),""))</f>
        <v/>
      </c>
      <c r="M3838" s="24" t="n"/>
      <c r="N3838" s="24" t="n"/>
      <c r="O3838" s="24" t="n"/>
      <c r="P3838" s="24" t="n"/>
      <c r="Q3838" s="22">
        <f>IF($D3838="","",IF(AND(OR(DANH_MUC!$L$5&lt;&gt;"Có",M3838="Có"),OR(DANH_MUC!$L$6&lt;&gt;"Có",N3838="Có"),OR(DANH_MUC!$L$7&lt;&gt;"Có",O3838="Có"),OR(DANH_MUC!$L$8&lt;&gt;"Có",P3838="Có")),"Có","Không"))</f>
        <v/>
      </c>
      <c r="R3838" s="22">
        <f>IF($D3838="","",IF(COUNTIF($D$2:$D3838,$D3838)&gt;1,"Trùng",""))</f>
        <v/>
      </c>
      <c r="S3838" s="22">
        <f>IF($D3838="","",IF(AND(LEN($D3838)=10,LEFT($D3838,1)="0",ISNUMBER(--$D3838)),"Có","Không"))</f>
        <v/>
      </c>
      <c r="T3838" s="22">
        <f>IF($D3838="","",IF(AND($C3838&lt;&gt;"",$Q3838="Có",$R3838="",$S3838="Có",AND($L3838&lt;&gt;"",OR($L3838&lt;&gt;"Chưa xác định",DANH_MUC!$L$9="Có"))),"Có","Không"))</f>
        <v/>
      </c>
      <c r="U3838" s="22">
        <f>IF(OR($D3838="",$T3838="Có"),"",IF($C3838="","Thiếu họ tên; ","")&amp;IF($S3838&lt;&gt;"Có","SĐT sai định dạng; ","")&amp;IF($R3838="Trùng","Trùng SĐT; ","")&amp;IF($Q3838&lt;&gt;"Có","Thiếu đồng ý bắt buộc; ","")&amp;IF($L3838="","Thiếu/sai Mã REF; ",IF(AND($L3838="Chưa xác định",DANH_MUC!$L$9&lt;&gt;"Có"),"Nguồn chưa xác định; ","")))</f>
        <v/>
      </c>
      <c r="V3838" s="22">
        <f>IF(OR($D3838="",$R3838="Trùng"),"",IF(COUNTIF(ORDERS!$C$2:$C$4995,$D3838)&gt;0,"Có","Không"))</f>
        <v/>
      </c>
      <c r="W3838" s="22">
        <f>IF(OR($D3838="",$R3838="Trùng"),"",COUNTIFS(ORDERS!$C$2:$C$4995,$D3838,ORDERS!$L$2:$L$4995,"Đã chuyển khoản"))</f>
        <v/>
      </c>
      <c r="X3838" s="23">
        <f>IF(OR($D3838="",$R3838="Trùng"),"",SUMIFS(ORDERS!$J$2:$J$4995,ORDERS!$C$2:$C$4995,$D3838,ORDERS!$L$2:$L$4995,"Đã chuyển khoản"))</f>
        <v/>
      </c>
      <c r="Y3838" s="24" t="n"/>
    </row>
    <row r="3839" ht="14.25" customHeight="1" s="40">
      <c r="A3839" s="24" t="n"/>
      <c r="B3839" s="27" t="n"/>
      <c r="C3839" s="24" t="n"/>
      <c r="D3839" s="28" t="n"/>
      <c r="E3839" s="29" t="n"/>
      <c r="F3839" s="24" t="n"/>
      <c r="G3839" s="24" t="n"/>
      <c r="H3839" s="21">
        <f>IF(ISNUMBER($B3839),INT($B3839)-WEEKDAY($B3839,2)+1,"")</f>
        <v/>
      </c>
      <c r="I3839" s="24" t="n"/>
      <c r="J3839" s="22">
        <f t="array" ref="J3839">IF($D3839="","",IF($I3839="","(trống REF)",IFERROR(INDEX(MASTER_SOURCE!$B$2:$B$495,MATCH($I3839,MASTER_SOURCE!$A$2:$A$495,0)),"(REF không có trong MASTER_SOURCE)")))</f>
        <v/>
      </c>
      <c r="K3839" s="22">
        <f t="array" ref="K3839">IF($D3839="","",IFERROR(INDEX(MASTER_SOURCE!$C$2:$C$495,MATCH($I3839,MASTER_SOURCE!$A$2:$A$495,0)),""))</f>
        <v/>
      </c>
      <c r="L3839" s="22">
        <f t="array" ref="L3839">IF($D3839="","",IFERROR(INDEX(MASTER_SOURCE!$D$2:$D$495,MATCH($I3839,MASTER_SOURCE!$A$2:$A$495,0)),""))</f>
        <v/>
      </c>
      <c r="M3839" s="24" t="n"/>
      <c r="N3839" s="24" t="n"/>
      <c r="O3839" s="24" t="n"/>
      <c r="P3839" s="24" t="n"/>
      <c r="Q3839" s="22">
        <f>IF($D3839="","",IF(AND(OR(DANH_MUC!$L$5&lt;&gt;"Có",M3839="Có"),OR(DANH_MUC!$L$6&lt;&gt;"Có",N3839="Có"),OR(DANH_MUC!$L$7&lt;&gt;"Có",O3839="Có"),OR(DANH_MUC!$L$8&lt;&gt;"Có",P3839="Có")),"Có","Không"))</f>
        <v/>
      </c>
      <c r="R3839" s="22">
        <f>IF($D3839="","",IF(COUNTIF($D$2:$D3839,$D3839)&gt;1,"Trùng",""))</f>
        <v/>
      </c>
      <c r="S3839" s="22">
        <f>IF($D3839="","",IF(AND(LEN($D3839)=10,LEFT($D3839,1)="0",ISNUMBER(--$D3839)),"Có","Không"))</f>
        <v/>
      </c>
      <c r="T3839" s="22">
        <f>IF($D3839="","",IF(AND($C3839&lt;&gt;"",$Q3839="Có",$R3839="",$S3839="Có",AND($L3839&lt;&gt;"",OR($L3839&lt;&gt;"Chưa xác định",DANH_MUC!$L$9="Có"))),"Có","Không"))</f>
        <v/>
      </c>
      <c r="U3839" s="22">
        <f>IF(OR($D3839="",$T3839="Có"),"",IF($C3839="","Thiếu họ tên; ","")&amp;IF($S3839&lt;&gt;"Có","SĐT sai định dạng; ","")&amp;IF($R3839="Trùng","Trùng SĐT; ","")&amp;IF($Q3839&lt;&gt;"Có","Thiếu đồng ý bắt buộc; ","")&amp;IF($L3839="","Thiếu/sai Mã REF; ",IF(AND($L3839="Chưa xác định",DANH_MUC!$L$9&lt;&gt;"Có"),"Nguồn chưa xác định; ","")))</f>
        <v/>
      </c>
      <c r="V3839" s="22">
        <f>IF(OR($D3839="",$R3839="Trùng"),"",IF(COUNTIF(ORDERS!$C$2:$C$4995,$D3839)&gt;0,"Có","Không"))</f>
        <v/>
      </c>
      <c r="W3839" s="22">
        <f>IF(OR($D3839="",$R3839="Trùng"),"",COUNTIFS(ORDERS!$C$2:$C$4995,$D3839,ORDERS!$L$2:$L$4995,"Đã chuyển khoản"))</f>
        <v/>
      </c>
      <c r="X3839" s="23">
        <f>IF(OR($D3839="",$R3839="Trùng"),"",SUMIFS(ORDERS!$J$2:$J$4995,ORDERS!$C$2:$C$4995,$D3839,ORDERS!$L$2:$L$4995,"Đã chuyển khoản"))</f>
        <v/>
      </c>
      <c r="Y3839" s="24" t="n"/>
    </row>
    <row r="3840" ht="14.25" customHeight="1" s="40">
      <c r="A3840" s="24" t="n"/>
      <c r="B3840" s="27" t="n"/>
      <c r="C3840" s="24" t="n"/>
      <c r="D3840" s="28" t="n"/>
      <c r="E3840" s="29" t="n"/>
      <c r="F3840" s="24" t="n"/>
      <c r="G3840" s="24" t="n"/>
      <c r="H3840" s="21">
        <f>IF(ISNUMBER($B3840),INT($B3840)-WEEKDAY($B3840,2)+1,"")</f>
        <v/>
      </c>
      <c r="I3840" s="24" t="n"/>
      <c r="J3840" s="22">
        <f t="array" ref="J3840">IF($D3840="","",IF($I3840="","(trống REF)",IFERROR(INDEX(MASTER_SOURCE!$B$2:$B$495,MATCH($I3840,MASTER_SOURCE!$A$2:$A$495,0)),"(REF không có trong MASTER_SOURCE)")))</f>
        <v/>
      </c>
      <c r="K3840" s="22">
        <f t="array" ref="K3840">IF($D3840="","",IFERROR(INDEX(MASTER_SOURCE!$C$2:$C$495,MATCH($I3840,MASTER_SOURCE!$A$2:$A$495,0)),""))</f>
        <v/>
      </c>
      <c r="L3840" s="22">
        <f t="array" ref="L3840">IF($D3840="","",IFERROR(INDEX(MASTER_SOURCE!$D$2:$D$495,MATCH($I3840,MASTER_SOURCE!$A$2:$A$495,0)),""))</f>
        <v/>
      </c>
      <c r="M3840" s="24" t="n"/>
      <c r="N3840" s="24" t="n"/>
      <c r="O3840" s="24" t="n"/>
      <c r="P3840" s="24" t="n"/>
      <c r="Q3840" s="22">
        <f>IF($D3840="","",IF(AND(OR(DANH_MUC!$L$5&lt;&gt;"Có",M3840="Có"),OR(DANH_MUC!$L$6&lt;&gt;"Có",N3840="Có"),OR(DANH_MUC!$L$7&lt;&gt;"Có",O3840="Có"),OR(DANH_MUC!$L$8&lt;&gt;"Có",P3840="Có")),"Có","Không"))</f>
        <v/>
      </c>
      <c r="R3840" s="22">
        <f>IF($D3840="","",IF(COUNTIF($D$2:$D3840,$D3840)&gt;1,"Trùng",""))</f>
        <v/>
      </c>
      <c r="S3840" s="22">
        <f>IF($D3840="","",IF(AND(LEN($D3840)=10,LEFT($D3840,1)="0",ISNUMBER(--$D3840)),"Có","Không"))</f>
        <v/>
      </c>
      <c r="T3840" s="22">
        <f>IF($D3840="","",IF(AND($C3840&lt;&gt;"",$Q3840="Có",$R3840="",$S3840="Có",AND($L3840&lt;&gt;"",OR($L3840&lt;&gt;"Chưa xác định",DANH_MUC!$L$9="Có"))),"Có","Không"))</f>
        <v/>
      </c>
      <c r="U3840" s="22">
        <f>IF(OR($D3840="",$T3840="Có"),"",IF($C3840="","Thiếu họ tên; ","")&amp;IF($S3840&lt;&gt;"Có","SĐT sai định dạng; ","")&amp;IF($R3840="Trùng","Trùng SĐT; ","")&amp;IF($Q3840&lt;&gt;"Có","Thiếu đồng ý bắt buộc; ","")&amp;IF($L3840="","Thiếu/sai Mã REF; ",IF(AND($L3840="Chưa xác định",DANH_MUC!$L$9&lt;&gt;"Có"),"Nguồn chưa xác định; ","")))</f>
        <v/>
      </c>
      <c r="V3840" s="22">
        <f>IF(OR($D3840="",$R3840="Trùng"),"",IF(COUNTIF(ORDERS!$C$2:$C$4995,$D3840)&gt;0,"Có","Không"))</f>
        <v/>
      </c>
      <c r="W3840" s="22">
        <f>IF(OR($D3840="",$R3840="Trùng"),"",COUNTIFS(ORDERS!$C$2:$C$4995,$D3840,ORDERS!$L$2:$L$4995,"Đã chuyển khoản"))</f>
        <v/>
      </c>
      <c r="X3840" s="23">
        <f>IF(OR($D3840="",$R3840="Trùng"),"",SUMIFS(ORDERS!$J$2:$J$4995,ORDERS!$C$2:$C$4995,$D3840,ORDERS!$L$2:$L$4995,"Đã chuyển khoản"))</f>
        <v/>
      </c>
      <c r="Y3840" s="24" t="n"/>
    </row>
    <row r="3841" ht="14.25" customHeight="1" s="40">
      <c r="A3841" s="24" t="n"/>
      <c r="B3841" s="27" t="n"/>
      <c r="C3841" s="24" t="n"/>
      <c r="D3841" s="28" t="n"/>
      <c r="E3841" s="29" t="n"/>
      <c r="F3841" s="24" t="n"/>
      <c r="G3841" s="24" t="n"/>
      <c r="H3841" s="21">
        <f>IF(ISNUMBER($B3841),INT($B3841)-WEEKDAY($B3841,2)+1,"")</f>
        <v/>
      </c>
      <c r="I3841" s="24" t="n"/>
      <c r="J3841" s="22">
        <f t="array" ref="J3841">IF($D3841="","",IF($I3841="","(trống REF)",IFERROR(INDEX(MASTER_SOURCE!$B$2:$B$495,MATCH($I3841,MASTER_SOURCE!$A$2:$A$495,0)),"(REF không có trong MASTER_SOURCE)")))</f>
        <v/>
      </c>
      <c r="K3841" s="22">
        <f t="array" ref="K3841">IF($D3841="","",IFERROR(INDEX(MASTER_SOURCE!$C$2:$C$495,MATCH($I3841,MASTER_SOURCE!$A$2:$A$495,0)),""))</f>
        <v/>
      </c>
      <c r="L3841" s="22">
        <f t="array" ref="L3841">IF($D3841="","",IFERROR(INDEX(MASTER_SOURCE!$D$2:$D$495,MATCH($I3841,MASTER_SOURCE!$A$2:$A$495,0)),""))</f>
        <v/>
      </c>
      <c r="M3841" s="24" t="n"/>
      <c r="N3841" s="24" t="n"/>
      <c r="O3841" s="24" t="n"/>
      <c r="P3841" s="24" t="n"/>
      <c r="Q3841" s="22">
        <f>IF($D3841="","",IF(AND(OR(DANH_MUC!$L$5&lt;&gt;"Có",M3841="Có"),OR(DANH_MUC!$L$6&lt;&gt;"Có",N3841="Có"),OR(DANH_MUC!$L$7&lt;&gt;"Có",O3841="Có"),OR(DANH_MUC!$L$8&lt;&gt;"Có",P3841="Có")),"Có","Không"))</f>
        <v/>
      </c>
      <c r="R3841" s="22">
        <f>IF($D3841="","",IF(COUNTIF($D$2:$D3841,$D3841)&gt;1,"Trùng",""))</f>
        <v/>
      </c>
      <c r="S3841" s="22">
        <f>IF($D3841="","",IF(AND(LEN($D3841)=10,LEFT($D3841,1)="0",ISNUMBER(--$D3841)),"Có","Không"))</f>
        <v/>
      </c>
      <c r="T3841" s="22">
        <f>IF($D3841="","",IF(AND($C3841&lt;&gt;"",$Q3841="Có",$R3841="",$S3841="Có",AND($L3841&lt;&gt;"",OR($L3841&lt;&gt;"Chưa xác định",DANH_MUC!$L$9="Có"))),"Có","Không"))</f>
        <v/>
      </c>
      <c r="U3841" s="22">
        <f>IF(OR($D3841="",$T3841="Có"),"",IF($C3841="","Thiếu họ tên; ","")&amp;IF($S3841&lt;&gt;"Có","SĐT sai định dạng; ","")&amp;IF($R3841="Trùng","Trùng SĐT; ","")&amp;IF($Q3841&lt;&gt;"Có","Thiếu đồng ý bắt buộc; ","")&amp;IF($L3841="","Thiếu/sai Mã REF; ",IF(AND($L3841="Chưa xác định",DANH_MUC!$L$9&lt;&gt;"Có"),"Nguồn chưa xác định; ","")))</f>
        <v/>
      </c>
      <c r="V3841" s="22">
        <f>IF(OR($D3841="",$R3841="Trùng"),"",IF(COUNTIF(ORDERS!$C$2:$C$4995,$D3841)&gt;0,"Có","Không"))</f>
        <v/>
      </c>
      <c r="W3841" s="22">
        <f>IF(OR($D3841="",$R3841="Trùng"),"",COUNTIFS(ORDERS!$C$2:$C$4995,$D3841,ORDERS!$L$2:$L$4995,"Đã chuyển khoản"))</f>
        <v/>
      </c>
      <c r="X3841" s="23">
        <f>IF(OR($D3841="",$R3841="Trùng"),"",SUMIFS(ORDERS!$J$2:$J$4995,ORDERS!$C$2:$C$4995,$D3841,ORDERS!$L$2:$L$4995,"Đã chuyển khoản"))</f>
        <v/>
      </c>
      <c r="Y3841" s="24" t="n"/>
    </row>
    <row r="3842" ht="14.25" customHeight="1" s="40">
      <c r="A3842" s="24" t="n"/>
      <c r="B3842" s="27" t="n"/>
      <c r="C3842" s="24" t="n"/>
      <c r="D3842" s="28" t="n"/>
      <c r="E3842" s="29" t="n"/>
      <c r="F3842" s="24" t="n"/>
      <c r="G3842" s="24" t="n"/>
      <c r="H3842" s="21">
        <f>IF(ISNUMBER($B3842),INT($B3842)-WEEKDAY($B3842,2)+1,"")</f>
        <v/>
      </c>
      <c r="I3842" s="24" t="n"/>
      <c r="J3842" s="22">
        <f t="array" ref="J3842">IF($D3842="","",IF($I3842="","(trống REF)",IFERROR(INDEX(MASTER_SOURCE!$B$2:$B$495,MATCH($I3842,MASTER_SOURCE!$A$2:$A$495,0)),"(REF không có trong MASTER_SOURCE)")))</f>
        <v/>
      </c>
      <c r="K3842" s="22">
        <f t="array" ref="K3842">IF($D3842="","",IFERROR(INDEX(MASTER_SOURCE!$C$2:$C$495,MATCH($I3842,MASTER_SOURCE!$A$2:$A$495,0)),""))</f>
        <v/>
      </c>
      <c r="L3842" s="22">
        <f t="array" ref="L3842">IF($D3842="","",IFERROR(INDEX(MASTER_SOURCE!$D$2:$D$495,MATCH($I3842,MASTER_SOURCE!$A$2:$A$495,0)),""))</f>
        <v/>
      </c>
      <c r="M3842" s="24" t="n"/>
      <c r="N3842" s="24" t="n"/>
      <c r="O3842" s="24" t="n"/>
      <c r="P3842" s="24" t="n"/>
      <c r="Q3842" s="22">
        <f>IF($D3842="","",IF(AND(OR(DANH_MUC!$L$5&lt;&gt;"Có",M3842="Có"),OR(DANH_MUC!$L$6&lt;&gt;"Có",N3842="Có"),OR(DANH_MUC!$L$7&lt;&gt;"Có",O3842="Có"),OR(DANH_MUC!$L$8&lt;&gt;"Có",P3842="Có")),"Có","Không"))</f>
        <v/>
      </c>
      <c r="R3842" s="22">
        <f>IF($D3842="","",IF(COUNTIF($D$2:$D3842,$D3842)&gt;1,"Trùng",""))</f>
        <v/>
      </c>
      <c r="S3842" s="22">
        <f>IF($D3842="","",IF(AND(LEN($D3842)=10,LEFT($D3842,1)="0",ISNUMBER(--$D3842)),"Có","Không"))</f>
        <v/>
      </c>
      <c r="T3842" s="22">
        <f>IF($D3842="","",IF(AND($C3842&lt;&gt;"",$Q3842="Có",$R3842="",$S3842="Có",AND($L3842&lt;&gt;"",OR($L3842&lt;&gt;"Chưa xác định",DANH_MUC!$L$9="Có"))),"Có","Không"))</f>
        <v/>
      </c>
      <c r="U3842" s="22">
        <f>IF(OR($D3842="",$T3842="Có"),"",IF($C3842="","Thiếu họ tên; ","")&amp;IF($S3842&lt;&gt;"Có","SĐT sai định dạng; ","")&amp;IF($R3842="Trùng","Trùng SĐT; ","")&amp;IF($Q3842&lt;&gt;"Có","Thiếu đồng ý bắt buộc; ","")&amp;IF($L3842="","Thiếu/sai Mã REF; ",IF(AND($L3842="Chưa xác định",DANH_MUC!$L$9&lt;&gt;"Có"),"Nguồn chưa xác định; ","")))</f>
        <v/>
      </c>
      <c r="V3842" s="22">
        <f>IF(OR($D3842="",$R3842="Trùng"),"",IF(COUNTIF(ORDERS!$C$2:$C$4995,$D3842)&gt;0,"Có","Không"))</f>
        <v/>
      </c>
      <c r="W3842" s="22">
        <f>IF(OR($D3842="",$R3842="Trùng"),"",COUNTIFS(ORDERS!$C$2:$C$4995,$D3842,ORDERS!$L$2:$L$4995,"Đã chuyển khoản"))</f>
        <v/>
      </c>
      <c r="X3842" s="23">
        <f>IF(OR($D3842="",$R3842="Trùng"),"",SUMIFS(ORDERS!$J$2:$J$4995,ORDERS!$C$2:$C$4995,$D3842,ORDERS!$L$2:$L$4995,"Đã chuyển khoản"))</f>
        <v/>
      </c>
      <c r="Y3842" s="24" t="n"/>
    </row>
    <row r="3843" ht="14.25" customHeight="1" s="40">
      <c r="A3843" s="24" t="n"/>
      <c r="B3843" s="27" t="n"/>
      <c r="C3843" s="24" t="n"/>
      <c r="D3843" s="28" t="n"/>
      <c r="E3843" s="29" t="n"/>
      <c r="F3843" s="24" t="n"/>
      <c r="G3843" s="24" t="n"/>
      <c r="H3843" s="21">
        <f>IF(ISNUMBER($B3843),INT($B3843)-WEEKDAY($B3843,2)+1,"")</f>
        <v/>
      </c>
      <c r="I3843" s="24" t="n"/>
      <c r="J3843" s="22">
        <f t="array" ref="J3843">IF($D3843="","",IF($I3843="","(trống REF)",IFERROR(INDEX(MASTER_SOURCE!$B$2:$B$495,MATCH($I3843,MASTER_SOURCE!$A$2:$A$495,0)),"(REF không có trong MASTER_SOURCE)")))</f>
        <v/>
      </c>
      <c r="K3843" s="22">
        <f t="array" ref="K3843">IF($D3843="","",IFERROR(INDEX(MASTER_SOURCE!$C$2:$C$495,MATCH($I3843,MASTER_SOURCE!$A$2:$A$495,0)),""))</f>
        <v/>
      </c>
      <c r="L3843" s="22">
        <f t="array" ref="L3843">IF($D3843="","",IFERROR(INDEX(MASTER_SOURCE!$D$2:$D$495,MATCH($I3843,MASTER_SOURCE!$A$2:$A$495,0)),""))</f>
        <v/>
      </c>
      <c r="M3843" s="24" t="n"/>
      <c r="N3843" s="24" t="n"/>
      <c r="O3843" s="24" t="n"/>
      <c r="P3843" s="24" t="n"/>
      <c r="Q3843" s="22">
        <f>IF($D3843="","",IF(AND(OR(DANH_MUC!$L$5&lt;&gt;"Có",M3843="Có"),OR(DANH_MUC!$L$6&lt;&gt;"Có",N3843="Có"),OR(DANH_MUC!$L$7&lt;&gt;"Có",O3843="Có"),OR(DANH_MUC!$L$8&lt;&gt;"Có",P3843="Có")),"Có","Không"))</f>
        <v/>
      </c>
      <c r="R3843" s="22">
        <f>IF($D3843="","",IF(COUNTIF($D$2:$D3843,$D3843)&gt;1,"Trùng",""))</f>
        <v/>
      </c>
      <c r="S3843" s="22">
        <f>IF($D3843="","",IF(AND(LEN($D3843)=10,LEFT($D3843,1)="0",ISNUMBER(--$D3843)),"Có","Không"))</f>
        <v/>
      </c>
      <c r="T3843" s="22">
        <f>IF($D3843="","",IF(AND($C3843&lt;&gt;"",$Q3843="Có",$R3843="",$S3843="Có",AND($L3843&lt;&gt;"",OR($L3843&lt;&gt;"Chưa xác định",DANH_MUC!$L$9="Có"))),"Có","Không"))</f>
        <v/>
      </c>
      <c r="U3843" s="22">
        <f>IF(OR($D3843="",$T3843="Có"),"",IF($C3843="","Thiếu họ tên; ","")&amp;IF($S3843&lt;&gt;"Có","SĐT sai định dạng; ","")&amp;IF($R3843="Trùng","Trùng SĐT; ","")&amp;IF($Q3843&lt;&gt;"Có","Thiếu đồng ý bắt buộc; ","")&amp;IF($L3843="","Thiếu/sai Mã REF; ",IF(AND($L3843="Chưa xác định",DANH_MUC!$L$9&lt;&gt;"Có"),"Nguồn chưa xác định; ","")))</f>
        <v/>
      </c>
      <c r="V3843" s="22">
        <f>IF(OR($D3843="",$R3843="Trùng"),"",IF(COUNTIF(ORDERS!$C$2:$C$4995,$D3843)&gt;0,"Có","Không"))</f>
        <v/>
      </c>
      <c r="W3843" s="22">
        <f>IF(OR($D3843="",$R3843="Trùng"),"",COUNTIFS(ORDERS!$C$2:$C$4995,$D3843,ORDERS!$L$2:$L$4995,"Đã chuyển khoản"))</f>
        <v/>
      </c>
      <c r="X3843" s="23">
        <f>IF(OR($D3843="",$R3843="Trùng"),"",SUMIFS(ORDERS!$J$2:$J$4995,ORDERS!$C$2:$C$4995,$D3843,ORDERS!$L$2:$L$4995,"Đã chuyển khoản"))</f>
        <v/>
      </c>
      <c r="Y3843" s="24" t="n"/>
    </row>
    <row r="3844" ht="14.25" customHeight="1" s="40">
      <c r="A3844" s="24" t="n"/>
      <c r="B3844" s="27" t="n"/>
      <c r="C3844" s="24" t="n"/>
      <c r="D3844" s="28" t="n"/>
      <c r="E3844" s="29" t="n"/>
      <c r="F3844" s="24" t="n"/>
      <c r="G3844" s="24" t="n"/>
      <c r="H3844" s="21">
        <f>IF(ISNUMBER($B3844),INT($B3844)-WEEKDAY($B3844,2)+1,"")</f>
        <v/>
      </c>
      <c r="I3844" s="24" t="n"/>
      <c r="J3844" s="22">
        <f t="array" ref="J3844">IF($D3844="","",IF($I3844="","(trống REF)",IFERROR(INDEX(MASTER_SOURCE!$B$2:$B$495,MATCH($I3844,MASTER_SOURCE!$A$2:$A$495,0)),"(REF không có trong MASTER_SOURCE)")))</f>
        <v/>
      </c>
      <c r="K3844" s="22">
        <f t="array" ref="K3844">IF($D3844="","",IFERROR(INDEX(MASTER_SOURCE!$C$2:$C$495,MATCH($I3844,MASTER_SOURCE!$A$2:$A$495,0)),""))</f>
        <v/>
      </c>
      <c r="L3844" s="22">
        <f t="array" ref="L3844">IF($D3844="","",IFERROR(INDEX(MASTER_SOURCE!$D$2:$D$495,MATCH($I3844,MASTER_SOURCE!$A$2:$A$495,0)),""))</f>
        <v/>
      </c>
      <c r="M3844" s="24" t="n"/>
      <c r="N3844" s="24" t="n"/>
      <c r="O3844" s="24" t="n"/>
      <c r="P3844" s="24" t="n"/>
      <c r="Q3844" s="22">
        <f>IF($D3844="","",IF(AND(OR(DANH_MUC!$L$5&lt;&gt;"Có",M3844="Có"),OR(DANH_MUC!$L$6&lt;&gt;"Có",N3844="Có"),OR(DANH_MUC!$L$7&lt;&gt;"Có",O3844="Có"),OR(DANH_MUC!$L$8&lt;&gt;"Có",P3844="Có")),"Có","Không"))</f>
        <v/>
      </c>
      <c r="R3844" s="22">
        <f>IF($D3844="","",IF(COUNTIF($D$2:$D3844,$D3844)&gt;1,"Trùng",""))</f>
        <v/>
      </c>
      <c r="S3844" s="22">
        <f>IF($D3844="","",IF(AND(LEN($D3844)=10,LEFT($D3844,1)="0",ISNUMBER(--$D3844)),"Có","Không"))</f>
        <v/>
      </c>
      <c r="T3844" s="22">
        <f>IF($D3844="","",IF(AND($C3844&lt;&gt;"",$Q3844="Có",$R3844="",$S3844="Có",AND($L3844&lt;&gt;"",OR($L3844&lt;&gt;"Chưa xác định",DANH_MUC!$L$9="Có"))),"Có","Không"))</f>
        <v/>
      </c>
      <c r="U3844" s="22">
        <f>IF(OR($D3844="",$T3844="Có"),"",IF($C3844="","Thiếu họ tên; ","")&amp;IF($S3844&lt;&gt;"Có","SĐT sai định dạng; ","")&amp;IF($R3844="Trùng","Trùng SĐT; ","")&amp;IF($Q3844&lt;&gt;"Có","Thiếu đồng ý bắt buộc; ","")&amp;IF($L3844="","Thiếu/sai Mã REF; ",IF(AND($L3844="Chưa xác định",DANH_MUC!$L$9&lt;&gt;"Có"),"Nguồn chưa xác định; ","")))</f>
        <v/>
      </c>
      <c r="V3844" s="22">
        <f>IF(OR($D3844="",$R3844="Trùng"),"",IF(COUNTIF(ORDERS!$C$2:$C$4995,$D3844)&gt;0,"Có","Không"))</f>
        <v/>
      </c>
      <c r="W3844" s="22">
        <f>IF(OR($D3844="",$R3844="Trùng"),"",COUNTIFS(ORDERS!$C$2:$C$4995,$D3844,ORDERS!$L$2:$L$4995,"Đã chuyển khoản"))</f>
        <v/>
      </c>
      <c r="X3844" s="23">
        <f>IF(OR($D3844="",$R3844="Trùng"),"",SUMIFS(ORDERS!$J$2:$J$4995,ORDERS!$C$2:$C$4995,$D3844,ORDERS!$L$2:$L$4995,"Đã chuyển khoản"))</f>
        <v/>
      </c>
      <c r="Y3844" s="24" t="n"/>
    </row>
    <row r="3845" ht="14.25" customHeight="1" s="40">
      <c r="A3845" s="24" t="n"/>
      <c r="B3845" s="27" t="n"/>
      <c r="C3845" s="24" t="n"/>
      <c r="D3845" s="28" t="n"/>
      <c r="E3845" s="29" t="n"/>
      <c r="F3845" s="24" t="n"/>
      <c r="G3845" s="24" t="n"/>
      <c r="H3845" s="21">
        <f>IF(ISNUMBER($B3845),INT($B3845)-WEEKDAY($B3845,2)+1,"")</f>
        <v/>
      </c>
      <c r="I3845" s="24" t="n"/>
      <c r="J3845" s="22">
        <f t="array" ref="J3845">IF($D3845="","",IF($I3845="","(trống REF)",IFERROR(INDEX(MASTER_SOURCE!$B$2:$B$495,MATCH($I3845,MASTER_SOURCE!$A$2:$A$495,0)),"(REF không có trong MASTER_SOURCE)")))</f>
        <v/>
      </c>
      <c r="K3845" s="22">
        <f t="array" ref="K3845">IF($D3845="","",IFERROR(INDEX(MASTER_SOURCE!$C$2:$C$495,MATCH($I3845,MASTER_SOURCE!$A$2:$A$495,0)),""))</f>
        <v/>
      </c>
      <c r="L3845" s="22">
        <f t="array" ref="L3845">IF($D3845="","",IFERROR(INDEX(MASTER_SOURCE!$D$2:$D$495,MATCH($I3845,MASTER_SOURCE!$A$2:$A$495,0)),""))</f>
        <v/>
      </c>
      <c r="M3845" s="24" t="n"/>
      <c r="N3845" s="24" t="n"/>
      <c r="O3845" s="24" t="n"/>
      <c r="P3845" s="24" t="n"/>
      <c r="Q3845" s="22">
        <f>IF($D3845="","",IF(AND(OR(DANH_MUC!$L$5&lt;&gt;"Có",M3845="Có"),OR(DANH_MUC!$L$6&lt;&gt;"Có",N3845="Có"),OR(DANH_MUC!$L$7&lt;&gt;"Có",O3845="Có"),OR(DANH_MUC!$L$8&lt;&gt;"Có",P3845="Có")),"Có","Không"))</f>
        <v/>
      </c>
      <c r="R3845" s="22">
        <f>IF($D3845="","",IF(COUNTIF($D$2:$D3845,$D3845)&gt;1,"Trùng",""))</f>
        <v/>
      </c>
      <c r="S3845" s="22">
        <f>IF($D3845="","",IF(AND(LEN($D3845)=10,LEFT($D3845,1)="0",ISNUMBER(--$D3845)),"Có","Không"))</f>
        <v/>
      </c>
      <c r="T3845" s="22">
        <f>IF($D3845="","",IF(AND($C3845&lt;&gt;"",$Q3845="Có",$R3845="",$S3845="Có",AND($L3845&lt;&gt;"",OR($L3845&lt;&gt;"Chưa xác định",DANH_MUC!$L$9="Có"))),"Có","Không"))</f>
        <v/>
      </c>
      <c r="U3845" s="22">
        <f>IF(OR($D3845="",$T3845="Có"),"",IF($C3845="","Thiếu họ tên; ","")&amp;IF($S3845&lt;&gt;"Có","SĐT sai định dạng; ","")&amp;IF($R3845="Trùng","Trùng SĐT; ","")&amp;IF($Q3845&lt;&gt;"Có","Thiếu đồng ý bắt buộc; ","")&amp;IF($L3845="","Thiếu/sai Mã REF; ",IF(AND($L3845="Chưa xác định",DANH_MUC!$L$9&lt;&gt;"Có"),"Nguồn chưa xác định; ","")))</f>
        <v/>
      </c>
      <c r="V3845" s="22">
        <f>IF(OR($D3845="",$R3845="Trùng"),"",IF(COUNTIF(ORDERS!$C$2:$C$4995,$D3845)&gt;0,"Có","Không"))</f>
        <v/>
      </c>
      <c r="W3845" s="22">
        <f>IF(OR($D3845="",$R3845="Trùng"),"",COUNTIFS(ORDERS!$C$2:$C$4995,$D3845,ORDERS!$L$2:$L$4995,"Đã chuyển khoản"))</f>
        <v/>
      </c>
      <c r="X3845" s="23">
        <f>IF(OR($D3845="",$R3845="Trùng"),"",SUMIFS(ORDERS!$J$2:$J$4995,ORDERS!$C$2:$C$4995,$D3845,ORDERS!$L$2:$L$4995,"Đã chuyển khoản"))</f>
        <v/>
      </c>
      <c r="Y3845" s="24" t="n"/>
    </row>
    <row r="3846" ht="14.25" customHeight="1" s="40">
      <c r="A3846" s="24" t="n"/>
      <c r="B3846" s="27" t="n"/>
      <c r="C3846" s="24" t="n"/>
      <c r="D3846" s="28" t="n"/>
      <c r="E3846" s="29" t="n"/>
      <c r="F3846" s="24" t="n"/>
      <c r="G3846" s="24" t="n"/>
      <c r="H3846" s="21">
        <f>IF(ISNUMBER($B3846),INT($B3846)-WEEKDAY($B3846,2)+1,"")</f>
        <v/>
      </c>
      <c r="I3846" s="24" t="n"/>
      <c r="J3846" s="22">
        <f t="array" ref="J3846">IF($D3846="","",IF($I3846="","(trống REF)",IFERROR(INDEX(MASTER_SOURCE!$B$2:$B$495,MATCH($I3846,MASTER_SOURCE!$A$2:$A$495,0)),"(REF không có trong MASTER_SOURCE)")))</f>
        <v/>
      </c>
      <c r="K3846" s="22">
        <f t="array" ref="K3846">IF($D3846="","",IFERROR(INDEX(MASTER_SOURCE!$C$2:$C$495,MATCH($I3846,MASTER_SOURCE!$A$2:$A$495,0)),""))</f>
        <v/>
      </c>
      <c r="L3846" s="22">
        <f t="array" ref="L3846">IF($D3846="","",IFERROR(INDEX(MASTER_SOURCE!$D$2:$D$495,MATCH($I3846,MASTER_SOURCE!$A$2:$A$495,0)),""))</f>
        <v/>
      </c>
      <c r="M3846" s="24" t="n"/>
      <c r="N3846" s="24" t="n"/>
      <c r="O3846" s="24" t="n"/>
      <c r="P3846" s="24" t="n"/>
      <c r="Q3846" s="22">
        <f>IF($D3846="","",IF(AND(OR(DANH_MUC!$L$5&lt;&gt;"Có",M3846="Có"),OR(DANH_MUC!$L$6&lt;&gt;"Có",N3846="Có"),OR(DANH_MUC!$L$7&lt;&gt;"Có",O3846="Có"),OR(DANH_MUC!$L$8&lt;&gt;"Có",P3846="Có")),"Có","Không"))</f>
        <v/>
      </c>
      <c r="R3846" s="22">
        <f>IF($D3846="","",IF(COUNTIF($D$2:$D3846,$D3846)&gt;1,"Trùng",""))</f>
        <v/>
      </c>
      <c r="S3846" s="22">
        <f>IF($D3846="","",IF(AND(LEN($D3846)=10,LEFT($D3846,1)="0",ISNUMBER(--$D3846)),"Có","Không"))</f>
        <v/>
      </c>
      <c r="T3846" s="22">
        <f>IF($D3846="","",IF(AND($C3846&lt;&gt;"",$Q3846="Có",$R3846="",$S3846="Có",AND($L3846&lt;&gt;"",OR($L3846&lt;&gt;"Chưa xác định",DANH_MUC!$L$9="Có"))),"Có","Không"))</f>
        <v/>
      </c>
      <c r="U3846" s="22">
        <f>IF(OR($D3846="",$T3846="Có"),"",IF($C3846="","Thiếu họ tên; ","")&amp;IF($S3846&lt;&gt;"Có","SĐT sai định dạng; ","")&amp;IF($R3846="Trùng","Trùng SĐT; ","")&amp;IF($Q3846&lt;&gt;"Có","Thiếu đồng ý bắt buộc; ","")&amp;IF($L3846="","Thiếu/sai Mã REF; ",IF(AND($L3846="Chưa xác định",DANH_MUC!$L$9&lt;&gt;"Có"),"Nguồn chưa xác định; ","")))</f>
        <v/>
      </c>
      <c r="V3846" s="22">
        <f>IF(OR($D3846="",$R3846="Trùng"),"",IF(COUNTIF(ORDERS!$C$2:$C$4995,$D3846)&gt;0,"Có","Không"))</f>
        <v/>
      </c>
      <c r="W3846" s="22">
        <f>IF(OR($D3846="",$R3846="Trùng"),"",COUNTIFS(ORDERS!$C$2:$C$4995,$D3846,ORDERS!$L$2:$L$4995,"Đã chuyển khoản"))</f>
        <v/>
      </c>
      <c r="X3846" s="23">
        <f>IF(OR($D3846="",$R3846="Trùng"),"",SUMIFS(ORDERS!$J$2:$J$4995,ORDERS!$C$2:$C$4995,$D3846,ORDERS!$L$2:$L$4995,"Đã chuyển khoản"))</f>
        <v/>
      </c>
      <c r="Y3846" s="24" t="n"/>
    </row>
    <row r="3847" ht="14.25" customHeight="1" s="40">
      <c r="A3847" s="24" t="n"/>
      <c r="B3847" s="27" t="n"/>
      <c r="C3847" s="24" t="n"/>
      <c r="D3847" s="28" t="n"/>
      <c r="E3847" s="29" t="n"/>
      <c r="F3847" s="24" t="n"/>
      <c r="G3847" s="24" t="n"/>
      <c r="H3847" s="21">
        <f>IF(ISNUMBER($B3847),INT($B3847)-WEEKDAY($B3847,2)+1,"")</f>
        <v/>
      </c>
      <c r="I3847" s="24" t="n"/>
      <c r="J3847" s="22">
        <f t="array" ref="J3847">IF($D3847="","",IF($I3847="","(trống REF)",IFERROR(INDEX(MASTER_SOURCE!$B$2:$B$495,MATCH($I3847,MASTER_SOURCE!$A$2:$A$495,0)),"(REF không có trong MASTER_SOURCE)")))</f>
        <v/>
      </c>
      <c r="K3847" s="22">
        <f t="array" ref="K3847">IF($D3847="","",IFERROR(INDEX(MASTER_SOURCE!$C$2:$C$495,MATCH($I3847,MASTER_SOURCE!$A$2:$A$495,0)),""))</f>
        <v/>
      </c>
      <c r="L3847" s="22">
        <f t="array" ref="L3847">IF($D3847="","",IFERROR(INDEX(MASTER_SOURCE!$D$2:$D$495,MATCH($I3847,MASTER_SOURCE!$A$2:$A$495,0)),""))</f>
        <v/>
      </c>
      <c r="M3847" s="24" t="n"/>
      <c r="N3847" s="24" t="n"/>
      <c r="O3847" s="24" t="n"/>
      <c r="P3847" s="24" t="n"/>
      <c r="Q3847" s="22">
        <f>IF($D3847="","",IF(AND(OR(DANH_MUC!$L$5&lt;&gt;"Có",M3847="Có"),OR(DANH_MUC!$L$6&lt;&gt;"Có",N3847="Có"),OR(DANH_MUC!$L$7&lt;&gt;"Có",O3847="Có"),OR(DANH_MUC!$L$8&lt;&gt;"Có",P3847="Có")),"Có","Không"))</f>
        <v/>
      </c>
      <c r="R3847" s="22">
        <f>IF($D3847="","",IF(COUNTIF($D$2:$D3847,$D3847)&gt;1,"Trùng",""))</f>
        <v/>
      </c>
      <c r="S3847" s="22">
        <f>IF($D3847="","",IF(AND(LEN($D3847)=10,LEFT($D3847,1)="0",ISNUMBER(--$D3847)),"Có","Không"))</f>
        <v/>
      </c>
      <c r="T3847" s="22">
        <f>IF($D3847="","",IF(AND($C3847&lt;&gt;"",$Q3847="Có",$R3847="",$S3847="Có",AND($L3847&lt;&gt;"",OR($L3847&lt;&gt;"Chưa xác định",DANH_MUC!$L$9="Có"))),"Có","Không"))</f>
        <v/>
      </c>
      <c r="U3847" s="22">
        <f>IF(OR($D3847="",$T3847="Có"),"",IF($C3847="","Thiếu họ tên; ","")&amp;IF($S3847&lt;&gt;"Có","SĐT sai định dạng; ","")&amp;IF($R3847="Trùng","Trùng SĐT; ","")&amp;IF($Q3847&lt;&gt;"Có","Thiếu đồng ý bắt buộc; ","")&amp;IF($L3847="","Thiếu/sai Mã REF; ",IF(AND($L3847="Chưa xác định",DANH_MUC!$L$9&lt;&gt;"Có"),"Nguồn chưa xác định; ","")))</f>
        <v/>
      </c>
      <c r="V3847" s="22">
        <f>IF(OR($D3847="",$R3847="Trùng"),"",IF(COUNTIF(ORDERS!$C$2:$C$4995,$D3847)&gt;0,"Có","Không"))</f>
        <v/>
      </c>
      <c r="W3847" s="22">
        <f>IF(OR($D3847="",$R3847="Trùng"),"",COUNTIFS(ORDERS!$C$2:$C$4995,$D3847,ORDERS!$L$2:$L$4995,"Đã chuyển khoản"))</f>
        <v/>
      </c>
      <c r="X3847" s="23">
        <f>IF(OR($D3847="",$R3847="Trùng"),"",SUMIFS(ORDERS!$J$2:$J$4995,ORDERS!$C$2:$C$4995,$D3847,ORDERS!$L$2:$L$4995,"Đã chuyển khoản"))</f>
        <v/>
      </c>
      <c r="Y3847" s="24" t="n"/>
    </row>
    <row r="3848" ht="14.25" customHeight="1" s="40">
      <c r="A3848" s="24" t="n"/>
      <c r="B3848" s="27" t="n"/>
      <c r="C3848" s="24" t="n"/>
      <c r="D3848" s="28" t="n"/>
      <c r="E3848" s="29" t="n"/>
      <c r="F3848" s="24" t="n"/>
      <c r="G3848" s="24" t="n"/>
      <c r="H3848" s="21">
        <f>IF(ISNUMBER($B3848),INT($B3848)-WEEKDAY($B3848,2)+1,"")</f>
        <v/>
      </c>
      <c r="I3848" s="24" t="n"/>
      <c r="J3848" s="22">
        <f t="array" ref="J3848">IF($D3848="","",IF($I3848="","(trống REF)",IFERROR(INDEX(MASTER_SOURCE!$B$2:$B$495,MATCH($I3848,MASTER_SOURCE!$A$2:$A$495,0)),"(REF không có trong MASTER_SOURCE)")))</f>
        <v/>
      </c>
      <c r="K3848" s="22">
        <f t="array" ref="K3848">IF($D3848="","",IFERROR(INDEX(MASTER_SOURCE!$C$2:$C$495,MATCH($I3848,MASTER_SOURCE!$A$2:$A$495,0)),""))</f>
        <v/>
      </c>
      <c r="L3848" s="22">
        <f t="array" ref="L3848">IF($D3848="","",IFERROR(INDEX(MASTER_SOURCE!$D$2:$D$495,MATCH($I3848,MASTER_SOURCE!$A$2:$A$495,0)),""))</f>
        <v/>
      </c>
      <c r="M3848" s="24" t="n"/>
      <c r="N3848" s="24" t="n"/>
      <c r="O3848" s="24" t="n"/>
      <c r="P3848" s="24" t="n"/>
      <c r="Q3848" s="22">
        <f>IF($D3848="","",IF(AND(OR(DANH_MUC!$L$5&lt;&gt;"Có",M3848="Có"),OR(DANH_MUC!$L$6&lt;&gt;"Có",N3848="Có"),OR(DANH_MUC!$L$7&lt;&gt;"Có",O3848="Có"),OR(DANH_MUC!$L$8&lt;&gt;"Có",P3848="Có")),"Có","Không"))</f>
        <v/>
      </c>
      <c r="R3848" s="22">
        <f>IF($D3848="","",IF(COUNTIF($D$2:$D3848,$D3848)&gt;1,"Trùng",""))</f>
        <v/>
      </c>
      <c r="S3848" s="22">
        <f>IF($D3848="","",IF(AND(LEN($D3848)=10,LEFT($D3848,1)="0",ISNUMBER(--$D3848)),"Có","Không"))</f>
        <v/>
      </c>
      <c r="T3848" s="22">
        <f>IF($D3848="","",IF(AND($C3848&lt;&gt;"",$Q3848="Có",$R3848="",$S3848="Có",AND($L3848&lt;&gt;"",OR($L3848&lt;&gt;"Chưa xác định",DANH_MUC!$L$9="Có"))),"Có","Không"))</f>
        <v/>
      </c>
      <c r="U3848" s="22">
        <f>IF(OR($D3848="",$T3848="Có"),"",IF($C3848="","Thiếu họ tên; ","")&amp;IF($S3848&lt;&gt;"Có","SĐT sai định dạng; ","")&amp;IF($R3848="Trùng","Trùng SĐT; ","")&amp;IF($Q3848&lt;&gt;"Có","Thiếu đồng ý bắt buộc; ","")&amp;IF($L3848="","Thiếu/sai Mã REF; ",IF(AND($L3848="Chưa xác định",DANH_MUC!$L$9&lt;&gt;"Có"),"Nguồn chưa xác định; ","")))</f>
        <v/>
      </c>
      <c r="V3848" s="22">
        <f>IF(OR($D3848="",$R3848="Trùng"),"",IF(COUNTIF(ORDERS!$C$2:$C$4995,$D3848)&gt;0,"Có","Không"))</f>
        <v/>
      </c>
      <c r="W3848" s="22">
        <f>IF(OR($D3848="",$R3848="Trùng"),"",COUNTIFS(ORDERS!$C$2:$C$4995,$D3848,ORDERS!$L$2:$L$4995,"Đã chuyển khoản"))</f>
        <v/>
      </c>
      <c r="X3848" s="23">
        <f>IF(OR($D3848="",$R3848="Trùng"),"",SUMIFS(ORDERS!$J$2:$J$4995,ORDERS!$C$2:$C$4995,$D3848,ORDERS!$L$2:$L$4995,"Đã chuyển khoản"))</f>
        <v/>
      </c>
      <c r="Y3848" s="24" t="n"/>
    </row>
    <row r="3849" ht="14.25" customHeight="1" s="40">
      <c r="A3849" s="24" t="n"/>
      <c r="B3849" s="27" t="n"/>
      <c r="C3849" s="24" t="n"/>
      <c r="D3849" s="28" t="n"/>
      <c r="E3849" s="29" t="n"/>
      <c r="F3849" s="24" t="n"/>
      <c r="G3849" s="24" t="n"/>
      <c r="H3849" s="21">
        <f>IF(ISNUMBER($B3849),INT($B3849)-WEEKDAY($B3849,2)+1,"")</f>
        <v/>
      </c>
      <c r="I3849" s="24" t="n"/>
      <c r="J3849" s="22">
        <f t="array" ref="J3849">IF($D3849="","",IF($I3849="","(trống REF)",IFERROR(INDEX(MASTER_SOURCE!$B$2:$B$495,MATCH($I3849,MASTER_SOURCE!$A$2:$A$495,0)),"(REF không có trong MASTER_SOURCE)")))</f>
        <v/>
      </c>
      <c r="K3849" s="22">
        <f t="array" ref="K3849">IF($D3849="","",IFERROR(INDEX(MASTER_SOURCE!$C$2:$C$495,MATCH($I3849,MASTER_SOURCE!$A$2:$A$495,0)),""))</f>
        <v/>
      </c>
      <c r="L3849" s="22">
        <f t="array" ref="L3849">IF($D3849="","",IFERROR(INDEX(MASTER_SOURCE!$D$2:$D$495,MATCH($I3849,MASTER_SOURCE!$A$2:$A$495,0)),""))</f>
        <v/>
      </c>
      <c r="M3849" s="24" t="n"/>
      <c r="N3849" s="24" t="n"/>
      <c r="O3849" s="24" t="n"/>
      <c r="P3849" s="24" t="n"/>
      <c r="Q3849" s="22">
        <f>IF($D3849="","",IF(AND(OR(DANH_MUC!$L$5&lt;&gt;"Có",M3849="Có"),OR(DANH_MUC!$L$6&lt;&gt;"Có",N3849="Có"),OR(DANH_MUC!$L$7&lt;&gt;"Có",O3849="Có"),OR(DANH_MUC!$L$8&lt;&gt;"Có",P3849="Có")),"Có","Không"))</f>
        <v/>
      </c>
      <c r="R3849" s="22">
        <f>IF($D3849="","",IF(COUNTIF($D$2:$D3849,$D3849)&gt;1,"Trùng",""))</f>
        <v/>
      </c>
      <c r="S3849" s="22">
        <f>IF($D3849="","",IF(AND(LEN($D3849)=10,LEFT($D3849,1)="0",ISNUMBER(--$D3849)),"Có","Không"))</f>
        <v/>
      </c>
      <c r="T3849" s="22">
        <f>IF($D3849="","",IF(AND($C3849&lt;&gt;"",$Q3849="Có",$R3849="",$S3849="Có",AND($L3849&lt;&gt;"",OR($L3849&lt;&gt;"Chưa xác định",DANH_MUC!$L$9="Có"))),"Có","Không"))</f>
        <v/>
      </c>
      <c r="U3849" s="22">
        <f>IF(OR($D3849="",$T3849="Có"),"",IF($C3849="","Thiếu họ tên; ","")&amp;IF($S3849&lt;&gt;"Có","SĐT sai định dạng; ","")&amp;IF($R3849="Trùng","Trùng SĐT; ","")&amp;IF($Q3849&lt;&gt;"Có","Thiếu đồng ý bắt buộc; ","")&amp;IF($L3849="","Thiếu/sai Mã REF; ",IF(AND($L3849="Chưa xác định",DANH_MUC!$L$9&lt;&gt;"Có"),"Nguồn chưa xác định; ","")))</f>
        <v/>
      </c>
      <c r="V3849" s="22">
        <f>IF(OR($D3849="",$R3849="Trùng"),"",IF(COUNTIF(ORDERS!$C$2:$C$4995,$D3849)&gt;0,"Có","Không"))</f>
        <v/>
      </c>
      <c r="W3849" s="22">
        <f>IF(OR($D3849="",$R3849="Trùng"),"",COUNTIFS(ORDERS!$C$2:$C$4995,$D3849,ORDERS!$L$2:$L$4995,"Đã chuyển khoản"))</f>
        <v/>
      </c>
      <c r="X3849" s="23">
        <f>IF(OR($D3849="",$R3849="Trùng"),"",SUMIFS(ORDERS!$J$2:$J$4995,ORDERS!$C$2:$C$4995,$D3849,ORDERS!$L$2:$L$4995,"Đã chuyển khoản"))</f>
        <v/>
      </c>
      <c r="Y3849" s="24" t="n"/>
    </row>
    <row r="3850" ht="14.25" customHeight="1" s="40">
      <c r="A3850" s="24" t="n"/>
      <c r="B3850" s="27" t="n"/>
      <c r="C3850" s="24" t="n"/>
      <c r="D3850" s="28" t="n"/>
      <c r="E3850" s="29" t="n"/>
      <c r="F3850" s="24" t="n"/>
      <c r="G3850" s="24" t="n"/>
      <c r="H3850" s="21">
        <f>IF(ISNUMBER($B3850),INT($B3850)-WEEKDAY($B3850,2)+1,"")</f>
        <v/>
      </c>
      <c r="I3850" s="24" t="n"/>
      <c r="J3850" s="22">
        <f t="array" ref="J3850">IF($D3850="","",IF($I3850="","(trống REF)",IFERROR(INDEX(MASTER_SOURCE!$B$2:$B$495,MATCH($I3850,MASTER_SOURCE!$A$2:$A$495,0)),"(REF không có trong MASTER_SOURCE)")))</f>
        <v/>
      </c>
      <c r="K3850" s="22">
        <f t="array" ref="K3850">IF($D3850="","",IFERROR(INDEX(MASTER_SOURCE!$C$2:$C$495,MATCH($I3850,MASTER_SOURCE!$A$2:$A$495,0)),""))</f>
        <v/>
      </c>
      <c r="L3850" s="22">
        <f t="array" ref="L3850">IF($D3850="","",IFERROR(INDEX(MASTER_SOURCE!$D$2:$D$495,MATCH($I3850,MASTER_SOURCE!$A$2:$A$495,0)),""))</f>
        <v/>
      </c>
      <c r="M3850" s="24" t="n"/>
      <c r="N3850" s="24" t="n"/>
      <c r="O3850" s="24" t="n"/>
      <c r="P3850" s="24" t="n"/>
      <c r="Q3850" s="22">
        <f>IF($D3850="","",IF(AND(OR(DANH_MUC!$L$5&lt;&gt;"Có",M3850="Có"),OR(DANH_MUC!$L$6&lt;&gt;"Có",N3850="Có"),OR(DANH_MUC!$L$7&lt;&gt;"Có",O3850="Có"),OR(DANH_MUC!$L$8&lt;&gt;"Có",P3850="Có")),"Có","Không"))</f>
        <v/>
      </c>
      <c r="R3850" s="22">
        <f>IF($D3850="","",IF(COUNTIF($D$2:$D3850,$D3850)&gt;1,"Trùng",""))</f>
        <v/>
      </c>
      <c r="S3850" s="22">
        <f>IF($D3850="","",IF(AND(LEN($D3850)=10,LEFT($D3850,1)="0",ISNUMBER(--$D3850)),"Có","Không"))</f>
        <v/>
      </c>
      <c r="T3850" s="22">
        <f>IF($D3850="","",IF(AND($C3850&lt;&gt;"",$Q3850="Có",$R3850="",$S3850="Có",AND($L3850&lt;&gt;"",OR($L3850&lt;&gt;"Chưa xác định",DANH_MUC!$L$9="Có"))),"Có","Không"))</f>
        <v/>
      </c>
      <c r="U3850" s="22">
        <f>IF(OR($D3850="",$T3850="Có"),"",IF($C3850="","Thiếu họ tên; ","")&amp;IF($S3850&lt;&gt;"Có","SĐT sai định dạng; ","")&amp;IF($R3850="Trùng","Trùng SĐT; ","")&amp;IF($Q3850&lt;&gt;"Có","Thiếu đồng ý bắt buộc; ","")&amp;IF($L3850="","Thiếu/sai Mã REF; ",IF(AND($L3850="Chưa xác định",DANH_MUC!$L$9&lt;&gt;"Có"),"Nguồn chưa xác định; ","")))</f>
        <v/>
      </c>
      <c r="V3850" s="22">
        <f>IF(OR($D3850="",$R3850="Trùng"),"",IF(COUNTIF(ORDERS!$C$2:$C$4995,$D3850)&gt;0,"Có","Không"))</f>
        <v/>
      </c>
      <c r="W3850" s="22">
        <f>IF(OR($D3850="",$R3850="Trùng"),"",COUNTIFS(ORDERS!$C$2:$C$4995,$D3850,ORDERS!$L$2:$L$4995,"Đã chuyển khoản"))</f>
        <v/>
      </c>
      <c r="X3850" s="23">
        <f>IF(OR($D3850="",$R3850="Trùng"),"",SUMIFS(ORDERS!$J$2:$J$4995,ORDERS!$C$2:$C$4995,$D3850,ORDERS!$L$2:$L$4995,"Đã chuyển khoản"))</f>
        <v/>
      </c>
      <c r="Y3850" s="24" t="n"/>
    </row>
    <row r="3851" ht="14.25" customHeight="1" s="40">
      <c r="A3851" s="24" t="n"/>
      <c r="B3851" s="27" t="n"/>
      <c r="C3851" s="24" t="n"/>
      <c r="D3851" s="28" t="n"/>
      <c r="E3851" s="29" t="n"/>
      <c r="F3851" s="24" t="n"/>
      <c r="G3851" s="24" t="n"/>
      <c r="H3851" s="21">
        <f>IF(ISNUMBER($B3851),INT($B3851)-WEEKDAY($B3851,2)+1,"")</f>
        <v/>
      </c>
      <c r="I3851" s="24" t="n"/>
      <c r="J3851" s="22">
        <f t="array" ref="J3851">IF($D3851="","",IF($I3851="","(trống REF)",IFERROR(INDEX(MASTER_SOURCE!$B$2:$B$495,MATCH($I3851,MASTER_SOURCE!$A$2:$A$495,0)),"(REF không có trong MASTER_SOURCE)")))</f>
        <v/>
      </c>
      <c r="K3851" s="22">
        <f t="array" ref="K3851">IF($D3851="","",IFERROR(INDEX(MASTER_SOURCE!$C$2:$C$495,MATCH($I3851,MASTER_SOURCE!$A$2:$A$495,0)),""))</f>
        <v/>
      </c>
      <c r="L3851" s="22">
        <f t="array" ref="L3851">IF($D3851="","",IFERROR(INDEX(MASTER_SOURCE!$D$2:$D$495,MATCH($I3851,MASTER_SOURCE!$A$2:$A$495,0)),""))</f>
        <v/>
      </c>
      <c r="M3851" s="24" t="n"/>
      <c r="N3851" s="24" t="n"/>
      <c r="O3851" s="24" t="n"/>
      <c r="P3851" s="24" t="n"/>
      <c r="Q3851" s="22">
        <f>IF($D3851="","",IF(AND(OR(DANH_MUC!$L$5&lt;&gt;"Có",M3851="Có"),OR(DANH_MUC!$L$6&lt;&gt;"Có",N3851="Có"),OR(DANH_MUC!$L$7&lt;&gt;"Có",O3851="Có"),OR(DANH_MUC!$L$8&lt;&gt;"Có",P3851="Có")),"Có","Không"))</f>
        <v/>
      </c>
      <c r="R3851" s="22">
        <f>IF($D3851="","",IF(COUNTIF($D$2:$D3851,$D3851)&gt;1,"Trùng",""))</f>
        <v/>
      </c>
      <c r="S3851" s="22">
        <f>IF($D3851="","",IF(AND(LEN($D3851)=10,LEFT($D3851,1)="0",ISNUMBER(--$D3851)),"Có","Không"))</f>
        <v/>
      </c>
      <c r="T3851" s="22">
        <f>IF($D3851="","",IF(AND($C3851&lt;&gt;"",$Q3851="Có",$R3851="",$S3851="Có",AND($L3851&lt;&gt;"",OR($L3851&lt;&gt;"Chưa xác định",DANH_MUC!$L$9="Có"))),"Có","Không"))</f>
        <v/>
      </c>
      <c r="U3851" s="22">
        <f>IF(OR($D3851="",$T3851="Có"),"",IF($C3851="","Thiếu họ tên; ","")&amp;IF($S3851&lt;&gt;"Có","SĐT sai định dạng; ","")&amp;IF($R3851="Trùng","Trùng SĐT; ","")&amp;IF($Q3851&lt;&gt;"Có","Thiếu đồng ý bắt buộc; ","")&amp;IF($L3851="","Thiếu/sai Mã REF; ",IF(AND($L3851="Chưa xác định",DANH_MUC!$L$9&lt;&gt;"Có"),"Nguồn chưa xác định; ","")))</f>
        <v/>
      </c>
      <c r="V3851" s="22">
        <f>IF(OR($D3851="",$R3851="Trùng"),"",IF(COUNTIF(ORDERS!$C$2:$C$4995,$D3851)&gt;0,"Có","Không"))</f>
        <v/>
      </c>
      <c r="W3851" s="22">
        <f>IF(OR($D3851="",$R3851="Trùng"),"",COUNTIFS(ORDERS!$C$2:$C$4995,$D3851,ORDERS!$L$2:$L$4995,"Đã chuyển khoản"))</f>
        <v/>
      </c>
      <c r="X3851" s="23">
        <f>IF(OR($D3851="",$R3851="Trùng"),"",SUMIFS(ORDERS!$J$2:$J$4995,ORDERS!$C$2:$C$4995,$D3851,ORDERS!$L$2:$L$4995,"Đã chuyển khoản"))</f>
        <v/>
      </c>
      <c r="Y3851" s="24" t="n"/>
    </row>
    <row r="3852" ht="14.25" customHeight="1" s="40">
      <c r="A3852" s="24" t="n"/>
      <c r="B3852" s="27" t="n"/>
      <c r="C3852" s="24" t="n"/>
      <c r="D3852" s="28" t="n"/>
      <c r="E3852" s="29" t="n"/>
      <c r="F3852" s="24" t="n"/>
      <c r="G3852" s="24" t="n"/>
      <c r="H3852" s="21">
        <f>IF(ISNUMBER($B3852),INT($B3852)-WEEKDAY($B3852,2)+1,"")</f>
        <v/>
      </c>
      <c r="I3852" s="24" t="n"/>
      <c r="J3852" s="22">
        <f t="array" ref="J3852">IF($D3852="","",IF($I3852="","(trống REF)",IFERROR(INDEX(MASTER_SOURCE!$B$2:$B$495,MATCH($I3852,MASTER_SOURCE!$A$2:$A$495,0)),"(REF không có trong MASTER_SOURCE)")))</f>
        <v/>
      </c>
      <c r="K3852" s="22">
        <f t="array" ref="K3852">IF($D3852="","",IFERROR(INDEX(MASTER_SOURCE!$C$2:$C$495,MATCH($I3852,MASTER_SOURCE!$A$2:$A$495,0)),""))</f>
        <v/>
      </c>
      <c r="L3852" s="22">
        <f t="array" ref="L3852">IF($D3852="","",IFERROR(INDEX(MASTER_SOURCE!$D$2:$D$495,MATCH($I3852,MASTER_SOURCE!$A$2:$A$495,0)),""))</f>
        <v/>
      </c>
      <c r="M3852" s="24" t="n"/>
      <c r="N3852" s="24" t="n"/>
      <c r="O3852" s="24" t="n"/>
      <c r="P3852" s="24" t="n"/>
      <c r="Q3852" s="22">
        <f>IF($D3852="","",IF(AND(OR(DANH_MUC!$L$5&lt;&gt;"Có",M3852="Có"),OR(DANH_MUC!$L$6&lt;&gt;"Có",N3852="Có"),OR(DANH_MUC!$L$7&lt;&gt;"Có",O3852="Có"),OR(DANH_MUC!$L$8&lt;&gt;"Có",P3852="Có")),"Có","Không"))</f>
        <v/>
      </c>
      <c r="R3852" s="22">
        <f>IF($D3852="","",IF(COUNTIF($D$2:$D3852,$D3852)&gt;1,"Trùng",""))</f>
        <v/>
      </c>
      <c r="S3852" s="22">
        <f>IF($D3852="","",IF(AND(LEN($D3852)=10,LEFT($D3852,1)="0",ISNUMBER(--$D3852)),"Có","Không"))</f>
        <v/>
      </c>
      <c r="T3852" s="22">
        <f>IF($D3852="","",IF(AND($C3852&lt;&gt;"",$Q3852="Có",$R3852="",$S3852="Có",AND($L3852&lt;&gt;"",OR($L3852&lt;&gt;"Chưa xác định",DANH_MUC!$L$9="Có"))),"Có","Không"))</f>
        <v/>
      </c>
      <c r="U3852" s="22">
        <f>IF(OR($D3852="",$T3852="Có"),"",IF($C3852="","Thiếu họ tên; ","")&amp;IF($S3852&lt;&gt;"Có","SĐT sai định dạng; ","")&amp;IF($R3852="Trùng","Trùng SĐT; ","")&amp;IF($Q3852&lt;&gt;"Có","Thiếu đồng ý bắt buộc; ","")&amp;IF($L3852="","Thiếu/sai Mã REF; ",IF(AND($L3852="Chưa xác định",DANH_MUC!$L$9&lt;&gt;"Có"),"Nguồn chưa xác định; ","")))</f>
        <v/>
      </c>
      <c r="V3852" s="22">
        <f>IF(OR($D3852="",$R3852="Trùng"),"",IF(COUNTIF(ORDERS!$C$2:$C$4995,$D3852)&gt;0,"Có","Không"))</f>
        <v/>
      </c>
      <c r="W3852" s="22">
        <f>IF(OR($D3852="",$R3852="Trùng"),"",COUNTIFS(ORDERS!$C$2:$C$4995,$D3852,ORDERS!$L$2:$L$4995,"Đã chuyển khoản"))</f>
        <v/>
      </c>
      <c r="X3852" s="23">
        <f>IF(OR($D3852="",$R3852="Trùng"),"",SUMIFS(ORDERS!$J$2:$J$4995,ORDERS!$C$2:$C$4995,$D3852,ORDERS!$L$2:$L$4995,"Đã chuyển khoản"))</f>
        <v/>
      </c>
      <c r="Y3852" s="24" t="n"/>
    </row>
    <row r="3853" ht="14.25" customHeight="1" s="40">
      <c r="A3853" s="24" t="n"/>
      <c r="B3853" s="27" t="n"/>
      <c r="C3853" s="24" t="n"/>
      <c r="D3853" s="28" t="n"/>
      <c r="E3853" s="29" t="n"/>
      <c r="F3853" s="24" t="n"/>
      <c r="G3853" s="24" t="n"/>
      <c r="H3853" s="21">
        <f>IF(ISNUMBER($B3853),INT($B3853)-WEEKDAY($B3853,2)+1,"")</f>
        <v/>
      </c>
      <c r="I3853" s="24" t="n"/>
      <c r="J3853" s="22">
        <f t="array" ref="J3853">IF($D3853="","",IF($I3853="","(trống REF)",IFERROR(INDEX(MASTER_SOURCE!$B$2:$B$495,MATCH($I3853,MASTER_SOURCE!$A$2:$A$495,0)),"(REF không có trong MASTER_SOURCE)")))</f>
        <v/>
      </c>
      <c r="K3853" s="22">
        <f t="array" ref="K3853">IF($D3853="","",IFERROR(INDEX(MASTER_SOURCE!$C$2:$C$495,MATCH($I3853,MASTER_SOURCE!$A$2:$A$495,0)),""))</f>
        <v/>
      </c>
      <c r="L3853" s="22">
        <f t="array" ref="L3853">IF($D3853="","",IFERROR(INDEX(MASTER_SOURCE!$D$2:$D$495,MATCH($I3853,MASTER_SOURCE!$A$2:$A$495,0)),""))</f>
        <v/>
      </c>
      <c r="M3853" s="24" t="n"/>
      <c r="N3853" s="24" t="n"/>
      <c r="O3853" s="24" t="n"/>
      <c r="P3853" s="24" t="n"/>
      <c r="Q3853" s="22">
        <f>IF($D3853="","",IF(AND(OR(DANH_MUC!$L$5&lt;&gt;"Có",M3853="Có"),OR(DANH_MUC!$L$6&lt;&gt;"Có",N3853="Có"),OR(DANH_MUC!$L$7&lt;&gt;"Có",O3853="Có"),OR(DANH_MUC!$L$8&lt;&gt;"Có",P3853="Có")),"Có","Không"))</f>
        <v/>
      </c>
      <c r="R3853" s="22">
        <f>IF($D3853="","",IF(COUNTIF($D$2:$D3853,$D3853)&gt;1,"Trùng",""))</f>
        <v/>
      </c>
      <c r="S3853" s="22">
        <f>IF($D3853="","",IF(AND(LEN($D3853)=10,LEFT($D3853,1)="0",ISNUMBER(--$D3853)),"Có","Không"))</f>
        <v/>
      </c>
      <c r="T3853" s="22">
        <f>IF($D3853="","",IF(AND($C3853&lt;&gt;"",$Q3853="Có",$R3853="",$S3853="Có",AND($L3853&lt;&gt;"",OR($L3853&lt;&gt;"Chưa xác định",DANH_MUC!$L$9="Có"))),"Có","Không"))</f>
        <v/>
      </c>
      <c r="U3853" s="22">
        <f>IF(OR($D3853="",$T3853="Có"),"",IF($C3853="","Thiếu họ tên; ","")&amp;IF($S3853&lt;&gt;"Có","SĐT sai định dạng; ","")&amp;IF($R3853="Trùng","Trùng SĐT; ","")&amp;IF($Q3853&lt;&gt;"Có","Thiếu đồng ý bắt buộc; ","")&amp;IF($L3853="","Thiếu/sai Mã REF; ",IF(AND($L3853="Chưa xác định",DANH_MUC!$L$9&lt;&gt;"Có"),"Nguồn chưa xác định; ","")))</f>
        <v/>
      </c>
      <c r="V3853" s="22">
        <f>IF(OR($D3853="",$R3853="Trùng"),"",IF(COUNTIF(ORDERS!$C$2:$C$4995,$D3853)&gt;0,"Có","Không"))</f>
        <v/>
      </c>
      <c r="W3853" s="22">
        <f>IF(OR($D3853="",$R3853="Trùng"),"",COUNTIFS(ORDERS!$C$2:$C$4995,$D3853,ORDERS!$L$2:$L$4995,"Đã chuyển khoản"))</f>
        <v/>
      </c>
      <c r="X3853" s="23">
        <f>IF(OR($D3853="",$R3853="Trùng"),"",SUMIFS(ORDERS!$J$2:$J$4995,ORDERS!$C$2:$C$4995,$D3853,ORDERS!$L$2:$L$4995,"Đã chuyển khoản"))</f>
        <v/>
      </c>
      <c r="Y3853" s="24" t="n"/>
    </row>
    <row r="3854" ht="14.25" customHeight="1" s="40">
      <c r="A3854" s="24" t="n"/>
      <c r="B3854" s="27" t="n"/>
      <c r="C3854" s="24" t="n"/>
      <c r="D3854" s="28" t="n"/>
      <c r="E3854" s="29" t="n"/>
      <c r="F3854" s="24" t="n"/>
      <c r="G3854" s="24" t="n"/>
      <c r="H3854" s="21">
        <f>IF(ISNUMBER($B3854),INT($B3854)-WEEKDAY($B3854,2)+1,"")</f>
        <v/>
      </c>
      <c r="I3854" s="24" t="n"/>
      <c r="J3854" s="22">
        <f t="array" ref="J3854">IF($D3854="","",IF($I3854="","(trống REF)",IFERROR(INDEX(MASTER_SOURCE!$B$2:$B$495,MATCH($I3854,MASTER_SOURCE!$A$2:$A$495,0)),"(REF không có trong MASTER_SOURCE)")))</f>
        <v/>
      </c>
      <c r="K3854" s="22">
        <f t="array" ref="K3854">IF($D3854="","",IFERROR(INDEX(MASTER_SOURCE!$C$2:$C$495,MATCH($I3854,MASTER_SOURCE!$A$2:$A$495,0)),""))</f>
        <v/>
      </c>
      <c r="L3854" s="22">
        <f t="array" ref="L3854">IF($D3854="","",IFERROR(INDEX(MASTER_SOURCE!$D$2:$D$495,MATCH($I3854,MASTER_SOURCE!$A$2:$A$495,0)),""))</f>
        <v/>
      </c>
      <c r="M3854" s="24" t="n"/>
      <c r="N3854" s="24" t="n"/>
      <c r="O3854" s="24" t="n"/>
      <c r="P3854" s="24" t="n"/>
      <c r="Q3854" s="22">
        <f>IF($D3854="","",IF(AND(OR(DANH_MUC!$L$5&lt;&gt;"Có",M3854="Có"),OR(DANH_MUC!$L$6&lt;&gt;"Có",N3854="Có"),OR(DANH_MUC!$L$7&lt;&gt;"Có",O3854="Có"),OR(DANH_MUC!$L$8&lt;&gt;"Có",P3854="Có")),"Có","Không"))</f>
        <v/>
      </c>
      <c r="R3854" s="22">
        <f>IF($D3854="","",IF(COUNTIF($D$2:$D3854,$D3854)&gt;1,"Trùng",""))</f>
        <v/>
      </c>
      <c r="S3854" s="22">
        <f>IF($D3854="","",IF(AND(LEN($D3854)=10,LEFT($D3854,1)="0",ISNUMBER(--$D3854)),"Có","Không"))</f>
        <v/>
      </c>
      <c r="T3854" s="22">
        <f>IF($D3854="","",IF(AND($C3854&lt;&gt;"",$Q3854="Có",$R3854="",$S3854="Có",AND($L3854&lt;&gt;"",OR($L3854&lt;&gt;"Chưa xác định",DANH_MUC!$L$9="Có"))),"Có","Không"))</f>
        <v/>
      </c>
      <c r="U3854" s="22">
        <f>IF(OR($D3854="",$T3854="Có"),"",IF($C3854="","Thiếu họ tên; ","")&amp;IF($S3854&lt;&gt;"Có","SĐT sai định dạng; ","")&amp;IF($R3854="Trùng","Trùng SĐT; ","")&amp;IF($Q3854&lt;&gt;"Có","Thiếu đồng ý bắt buộc; ","")&amp;IF($L3854="","Thiếu/sai Mã REF; ",IF(AND($L3854="Chưa xác định",DANH_MUC!$L$9&lt;&gt;"Có"),"Nguồn chưa xác định; ","")))</f>
        <v/>
      </c>
      <c r="V3854" s="22">
        <f>IF(OR($D3854="",$R3854="Trùng"),"",IF(COUNTIF(ORDERS!$C$2:$C$4995,$D3854)&gt;0,"Có","Không"))</f>
        <v/>
      </c>
      <c r="W3854" s="22">
        <f>IF(OR($D3854="",$R3854="Trùng"),"",COUNTIFS(ORDERS!$C$2:$C$4995,$D3854,ORDERS!$L$2:$L$4995,"Đã chuyển khoản"))</f>
        <v/>
      </c>
      <c r="X3854" s="23">
        <f>IF(OR($D3854="",$R3854="Trùng"),"",SUMIFS(ORDERS!$J$2:$J$4995,ORDERS!$C$2:$C$4995,$D3854,ORDERS!$L$2:$L$4995,"Đã chuyển khoản"))</f>
        <v/>
      </c>
      <c r="Y3854" s="24" t="n"/>
    </row>
    <row r="3855" ht="14.25" customHeight="1" s="40">
      <c r="A3855" s="24" t="n"/>
      <c r="B3855" s="27" t="n"/>
      <c r="C3855" s="24" t="n"/>
      <c r="D3855" s="28" t="n"/>
      <c r="E3855" s="29" t="n"/>
      <c r="F3855" s="24" t="n"/>
      <c r="G3855" s="24" t="n"/>
      <c r="H3855" s="21">
        <f>IF(ISNUMBER($B3855),INT($B3855)-WEEKDAY($B3855,2)+1,"")</f>
        <v/>
      </c>
      <c r="I3855" s="24" t="n"/>
      <c r="J3855" s="22">
        <f t="array" ref="J3855">IF($D3855="","",IF($I3855="","(trống REF)",IFERROR(INDEX(MASTER_SOURCE!$B$2:$B$495,MATCH($I3855,MASTER_SOURCE!$A$2:$A$495,0)),"(REF không có trong MASTER_SOURCE)")))</f>
        <v/>
      </c>
      <c r="K3855" s="22">
        <f t="array" ref="K3855">IF($D3855="","",IFERROR(INDEX(MASTER_SOURCE!$C$2:$C$495,MATCH($I3855,MASTER_SOURCE!$A$2:$A$495,0)),""))</f>
        <v/>
      </c>
      <c r="L3855" s="22">
        <f t="array" ref="L3855">IF($D3855="","",IFERROR(INDEX(MASTER_SOURCE!$D$2:$D$495,MATCH($I3855,MASTER_SOURCE!$A$2:$A$495,0)),""))</f>
        <v/>
      </c>
      <c r="M3855" s="24" t="n"/>
      <c r="N3855" s="24" t="n"/>
      <c r="O3855" s="24" t="n"/>
      <c r="P3855" s="24" t="n"/>
      <c r="Q3855" s="22">
        <f>IF($D3855="","",IF(AND(OR(DANH_MUC!$L$5&lt;&gt;"Có",M3855="Có"),OR(DANH_MUC!$L$6&lt;&gt;"Có",N3855="Có"),OR(DANH_MUC!$L$7&lt;&gt;"Có",O3855="Có"),OR(DANH_MUC!$L$8&lt;&gt;"Có",P3855="Có")),"Có","Không"))</f>
        <v/>
      </c>
      <c r="R3855" s="22">
        <f>IF($D3855="","",IF(COUNTIF($D$2:$D3855,$D3855)&gt;1,"Trùng",""))</f>
        <v/>
      </c>
      <c r="S3855" s="22">
        <f>IF($D3855="","",IF(AND(LEN($D3855)=10,LEFT($D3855,1)="0",ISNUMBER(--$D3855)),"Có","Không"))</f>
        <v/>
      </c>
      <c r="T3855" s="22">
        <f>IF($D3855="","",IF(AND($C3855&lt;&gt;"",$Q3855="Có",$R3855="",$S3855="Có",AND($L3855&lt;&gt;"",OR($L3855&lt;&gt;"Chưa xác định",DANH_MUC!$L$9="Có"))),"Có","Không"))</f>
        <v/>
      </c>
      <c r="U3855" s="22">
        <f>IF(OR($D3855="",$T3855="Có"),"",IF($C3855="","Thiếu họ tên; ","")&amp;IF($S3855&lt;&gt;"Có","SĐT sai định dạng; ","")&amp;IF($R3855="Trùng","Trùng SĐT; ","")&amp;IF($Q3855&lt;&gt;"Có","Thiếu đồng ý bắt buộc; ","")&amp;IF($L3855="","Thiếu/sai Mã REF; ",IF(AND($L3855="Chưa xác định",DANH_MUC!$L$9&lt;&gt;"Có"),"Nguồn chưa xác định; ","")))</f>
        <v/>
      </c>
      <c r="V3855" s="22">
        <f>IF(OR($D3855="",$R3855="Trùng"),"",IF(COUNTIF(ORDERS!$C$2:$C$4995,$D3855)&gt;0,"Có","Không"))</f>
        <v/>
      </c>
      <c r="W3855" s="22">
        <f>IF(OR($D3855="",$R3855="Trùng"),"",COUNTIFS(ORDERS!$C$2:$C$4995,$D3855,ORDERS!$L$2:$L$4995,"Đã chuyển khoản"))</f>
        <v/>
      </c>
      <c r="X3855" s="23">
        <f>IF(OR($D3855="",$R3855="Trùng"),"",SUMIFS(ORDERS!$J$2:$J$4995,ORDERS!$C$2:$C$4995,$D3855,ORDERS!$L$2:$L$4995,"Đã chuyển khoản"))</f>
        <v/>
      </c>
      <c r="Y3855" s="24" t="n"/>
    </row>
    <row r="3856" ht="14.25" customHeight="1" s="40">
      <c r="A3856" s="24" t="n"/>
      <c r="B3856" s="27" t="n"/>
      <c r="C3856" s="24" t="n"/>
      <c r="D3856" s="28" t="n"/>
      <c r="E3856" s="29" t="n"/>
      <c r="F3856" s="24" t="n"/>
      <c r="G3856" s="24" t="n"/>
      <c r="H3856" s="21">
        <f>IF(ISNUMBER($B3856),INT($B3856)-WEEKDAY($B3856,2)+1,"")</f>
        <v/>
      </c>
      <c r="I3856" s="24" t="n"/>
      <c r="J3856" s="22">
        <f t="array" ref="J3856">IF($D3856="","",IF($I3856="","(trống REF)",IFERROR(INDEX(MASTER_SOURCE!$B$2:$B$495,MATCH($I3856,MASTER_SOURCE!$A$2:$A$495,0)),"(REF không có trong MASTER_SOURCE)")))</f>
        <v/>
      </c>
      <c r="K3856" s="22">
        <f t="array" ref="K3856">IF($D3856="","",IFERROR(INDEX(MASTER_SOURCE!$C$2:$C$495,MATCH($I3856,MASTER_SOURCE!$A$2:$A$495,0)),""))</f>
        <v/>
      </c>
      <c r="L3856" s="22">
        <f t="array" ref="L3856">IF($D3856="","",IFERROR(INDEX(MASTER_SOURCE!$D$2:$D$495,MATCH($I3856,MASTER_SOURCE!$A$2:$A$495,0)),""))</f>
        <v/>
      </c>
      <c r="M3856" s="24" t="n"/>
      <c r="N3856" s="24" t="n"/>
      <c r="O3856" s="24" t="n"/>
      <c r="P3856" s="24" t="n"/>
      <c r="Q3856" s="22">
        <f>IF($D3856="","",IF(AND(OR(DANH_MUC!$L$5&lt;&gt;"Có",M3856="Có"),OR(DANH_MUC!$L$6&lt;&gt;"Có",N3856="Có"),OR(DANH_MUC!$L$7&lt;&gt;"Có",O3856="Có"),OR(DANH_MUC!$L$8&lt;&gt;"Có",P3856="Có")),"Có","Không"))</f>
        <v/>
      </c>
      <c r="R3856" s="22">
        <f>IF($D3856="","",IF(COUNTIF($D$2:$D3856,$D3856)&gt;1,"Trùng",""))</f>
        <v/>
      </c>
      <c r="S3856" s="22">
        <f>IF($D3856="","",IF(AND(LEN($D3856)=10,LEFT($D3856,1)="0",ISNUMBER(--$D3856)),"Có","Không"))</f>
        <v/>
      </c>
      <c r="T3856" s="22">
        <f>IF($D3856="","",IF(AND($C3856&lt;&gt;"",$Q3856="Có",$R3856="",$S3856="Có",AND($L3856&lt;&gt;"",OR($L3856&lt;&gt;"Chưa xác định",DANH_MUC!$L$9="Có"))),"Có","Không"))</f>
        <v/>
      </c>
      <c r="U3856" s="22">
        <f>IF(OR($D3856="",$T3856="Có"),"",IF($C3856="","Thiếu họ tên; ","")&amp;IF($S3856&lt;&gt;"Có","SĐT sai định dạng; ","")&amp;IF($R3856="Trùng","Trùng SĐT; ","")&amp;IF($Q3856&lt;&gt;"Có","Thiếu đồng ý bắt buộc; ","")&amp;IF($L3856="","Thiếu/sai Mã REF; ",IF(AND($L3856="Chưa xác định",DANH_MUC!$L$9&lt;&gt;"Có"),"Nguồn chưa xác định; ","")))</f>
        <v/>
      </c>
      <c r="V3856" s="22">
        <f>IF(OR($D3856="",$R3856="Trùng"),"",IF(COUNTIF(ORDERS!$C$2:$C$4995,$D3856)&gt;0,"Có","Không"))</f>
        <v/>
      </c>
      <c r="W3856" s="22">
        <f>IF(OR($D3856="",$R3856="Trùng"),"",COUNTIFS(ORDERS!$C$2:$C$4995,$D3856,ORDERS!$L$2:$L$4995,"Đã chuyển khoản"))</f>
        <v/>
      </c>
      <c r="X3856" s="23">
        <f>IF(OR($D3856="",$R3856="Trùng"),"",SUMIFS(ORDERS!$J$2:$J$4995,ORDERS!$C$2:$C$4995,$D3856,ORDERS!$L$2:$L$4995,"Đã chuyển khoản"))</f>
        <v/>
      </c>
      <c r="Y3856" s="24" t="n"/>
    </row>
    <row r="3857" ht="14.25" customHeight="1" s="40">
      <c r="A3857" s="24" t="n"/>
      <c r="B3857" s="27" t="n"/>
      <c r="C3857" s="24" t="n"/>
      <c r="D3857" s="28" t="n"/>
      <c r="E3857" s="29" t="n"/>
      <c r="F3857" s="24" t="n"/>
      <c r="G3857" s="24" t="n"/>
      <c r="H3857" s="21">
        <f>IF(ISNUMBER($B3857),INT($B3857)-WEEKDAY($B3857,2)+1,"")</f>
        <v/>
      </c>
      <c r="I3857" s="24" t="n"/>
      <c r="J3857" s="22">
        <f t="array" ref="J3857">IF($D3857="","",IF($I3857="","(trống REF)",IFERROR(INDEX(MASTER_SOURCE!$B$2:$B$495,MATCH($I3857,MASTER_SOURCE!$A$2:$A$495,0)),"(REF không có trong MASTER_SOURCE)")))</f>
        <v/>
      </c>
      <c r="K3857" s="22">
        <f t="array" ref="K3857">IF($D3857="","",IFERROR(INDEX(MASTER_SOURCE!$C$2:$C$495,MATCH($I3857,MASTER_SOURCE!$A$2:$A$495,0)),""))</f>
        <v/>
      </c>
      <c r="L3857" s="22">
        <f t="array" ref="L3857">IF($D3857="","",IFERROR(INDEX(MASTER_SOURCE!$D$2:$D$495,MATCH($I3857,MASTER_SOURCE!$A$2:$A$495,0)),""))</f>
        <v/>
      </c>
      <c r="M3857" s="24" t="n"/>
      <c r="N3857" s="24" t="n"/>
      <c r="O3857" s="24" t="n"/>
      <c r="P3857" s="24" t="n"/>
      <c r="Q3857" s="22">
        <f>IF($D3857="","",IF(AND(OR(DANH_MUC!$L$5&lt;&gt;"Có",M3857="Có"),OR(DANH_MUC!$L$6&lt;&gt;"Có",N3857="Có"),OR(DANH_MUC!$L$7&lt;&gt;"Có",O3857="Có"),OR(DANH_MUC!$L$8&lt;&gt;"Có",P3857="Có")),"Có","Không"))</f>
        <v/>
      </c>
      <c r="R3857" s="22">
        <f>IF($D3857="","",IF(COUNTIF($D$2:$D3857,$D3857)&gt;1,"Trùng",""))</f>
        <v/>
      </c>
      <c r="S3857" s="22">
        <f>IF($D3857="","",IF(AND(LEN($D3857)=10,LEFT($D3857,1)="0",ISNUMBER(--$D3857)),"Có","Không"))</f>
        <v/>
      </c>
      <c r="T3857" s="22">
        <f>IF($D3857="","",IF(AND($C3857&lt;&gt;"",$Q3857="Có",$R3857="",$S3857="Có",AND($L3857&lt;&gt;"",OR($L3857&lt;&gt;"Chưa xác định",DANH_MUC!$L$9="Có"))),"Có","Không"))</f>
        <v/>
      </c>
      <c r="U3857" s="22">
        <f>IF(OR($D3857="",$T3857="Có"),"",IF($C3857="","Thiếu họ tên; ","")&amp;IF($S3857&lt;&gt;"Có","SĐT sai định dạng; ","")&amp;IF($R3857="Trùng","Trùng SĐT; ","")&amp;IF($Q3857&lt;&gt;"Có","Thiếu đồng ý bắt buộc; ","")&amp;IF($L3857="","Thiếu/sai Mã REF; ",IF(AND($L3857="Chưa xác định",DANH_MUC!$L$9&lt;&gt;"Có"),"Nguồn chưa xác định; ","")))</f>
        <v/>
      </c>
      <c r="V3857" s="22">
        <f>IF(OR($D3857="",$R3857="Trùng"),"",IF(COUNTIF(ORDERS!$C$2:$C$4995,$D3857)&gt;0,"Có","Không"))</f>
        <v/>
      </c>
      <c r="W3857" s="22">
        <f>IF(OR($D3857="",$R3857="Trùng"),"",COUNTIFS(ORDERS!$C$2:$C$4995,$D3857,ORDERS!$L$2:$L$4995,"Đã chuyển khoản"))</f>
        <v/>
      </c>
      <c r="X3857" s="23">
        <f>IF(OR($D3857="",$R3857="Trùng"),"",SUMIFS(ORDERS!$J$2:$J$4995,ORDERS!$C$2:$C$4995,$D3857,ORDERS!$L$2:$L$4995,"Đã chuyển khoản"))</f>
        <v/>
      </c>
      <c r="Y3857" s="24" t="n"/>
    </row>
    <row r="3858" ht="14.25" customHeight="1" s="40">
      <c r="A3858" s="24" t="n"/>
      <c r="B3858" s="27" t="n"/>
      <c r="C3858" s="24" t="n"/>
      <c r="D3858" s="28" t="n"/>
      <c r="E3858" s="29" t="n"/>
      <c r="F3858" s="24" t="n"/>
      <c r="G3858" s="24" t="n"/>
      <c r="H3858" s="21">
        <f>IF(ISNUMBER($B3858),INT($B3858)-WEEKDAY($B3858,2)+1,"")</f>
        <v/>
      </c>
      <c r="I3858" s="24" t="n"/>
      <c r="J3858" s="22">
        <f t="array" ref="J3858">IF($D3858="","",IF($I3858="","(trống REF)",IFERROR(INDEX(MASTER_SOURCE!$B$2:$B$495,MATCH($I3858,MASTER_SOURCE!$A$2:$A$495,0)),"(REF không có trong MASTER_SOURCE)")))</f>
        <v/>
      </c>
      <c r="K3858" s="22">
        <f t="array" ref="K3858">IF($D3858="","",IFERROR(INDEX(MASTER_SOURCE!$C$2:$C$495,MATCH($I3858,MASTER_SOURCE!$A$2:$A$495,0)),""))</f>
        <v/>
      </c>
      <c r="L3858" s="22">
        <f t="array" ref="L3858">IF($D3858="","",IFERROR(INDEX(MASTER_SOURCE!$D$2:$D$495,MATCH($I3858,MASTER_SOURCE!$A$2:$A$495,0)),""))</f>
        <v/>
      </c>
      <c r="M3858" s="24" t="n"/>
      <c r="N3858" s="24" t="n"/>
      <c r="O3858" s="24" t="n"/>
      <c r="P3858" s="24" t="n"/>
      <c r="Q3858" s="22">
        <f>IF($D3858="","",IF(AND(OR(DANH_MUC!$L$5&lt;&gt;"Có",M3858="Có"),OR(DANH_MUC!$L$6&lt;&gt;"Có",N3858="Có"),OR(DANH_MUC!$L$7&lt;&gt;"Có",O3858="Có"),OR(DANH_MUC!$L$8&lt;&gt;"Có",P3858="Có")),"Có","Không"))</f>
        <v/>
      </c>
      <c r="R3858" s="22">
        <f>IF($D3858="","",IF(COUNTIF($D$2:$D3858,$D3858)&gt;1,"Trùng",""))</f>
        <v/>
      </c>
      <c r="S3858" s="22">
        <f>IF($D3858="","",IF(AND(LEN($D3858)=10,LEFT($D3858,1)="0",ISNUMBER(--$D3858)),"Có","Không"))</f>
        <v/>
      </c>
      <c r="T3858" s="22">
        <f>IF($D3858="","",IF(AND($C3858&lt;&gt;"",$Q3858="Có",$R3858="",$S3858="Có",AND($L3858&lt;&gt;"",OR($L3858&lt;&gt;"Chưa xác định",DANH_MUC!$L$9="Có"))),"Có","Không"))</f>
        <v/>
      </c>
      <c r="U3858" s="22">
        <f>IF(OR($D3858="",$T3858="Có"),"",IF($C3858="","Thiếu họ tên; ","")&amp;IF($S3858&lt;&gt;"Có","SĐT sai định dạng; ","")&amp;IF($R3858="Trùng","Trùng SĐT; ","")&amp;IF($Q3858&lt;&gt;"Có","Thiếu đồng ý bắt buộc; ","")&amp;IF($L3858="","Thiếu/sai Mã REF; ",IF(AND($L3858="Chưa xác định",DANH_MUC!$L$9&lt;&gt;"Có"),"Nguồn chưa xác định; ","")))</f>
        <v/>
      </c>
      <c r="V3858" s="22">
        <f>IF(OR($D3858="",$R3858="Trùng"),"",IF(COUNTIF(ORDERS!$C$2:$C$4995,$D3858)&gt;0,"Có","Không"))</f>
        <v/>
      </c>
      <c r="W3858" s="22">
        <f>IF(OR($D3858="",$R3858="Trùng"),"",COUNTIFS(ORDERS!$C$2:$C$4995,$D3858,ORDERS!$L$2:$L$4995,"Đã chuyển khoản"))</f>
        <v/>
      </c>
      <c r="X3858" s="23">
        <f>IF(OR($D3858="",$R3858="Trùng"),"",SUMIFS(ORDERS!$J$2:$J$4995,ORDERS!$C$2:$C$4995,$D3858,ORDERS!$L$2:$L$4995,"Đã chuyển khoản"))</f>
        <v/>
      </c>
      <c r="Y3858" s="24" t="n"/>
    </row>
    <row r="3859" ht="14.25" customHeight="1" s="40">
      <c r="A3859" s="24" t="n"/>
      <c r="B3859" s="27" t="n"/>
      <c r="C3859" s="24" t="n"/>
      <c r="D3859" s="28" t="n"/>
      <c r="E3859" s="29" t="n"/>
      <c r="F3859" s="24" t="n"/>
      <c r="G3859" s="24" t="n"/>
      <c r="H3859" s="21">
        <f>IF(ISNUMBER($B3859),INT($B3859)-WEEKDAY($B3859,2)+1,"")</f>
        <v/>
      </c>
      <c r="I3859" s="24" t="n"/>
      <c r="J3859" s="22">
        <f t="array" ref="J3859">IF($D3859="","",IF($I3859="","(trống REF)",IFERROR(INDEX(MASTER_SOURCE!$B$2:$B$495,MATCH($I3859,MASTER_SOURCE!$A$2:$A$495,0)),"(REF không có trong MASTER_SOURCE)")))</f>
        <v/>
      </c>
      <c r="K3859" s="22">
        <f t="array" ref="K3859">IF($D3859="","",IFERROR(INDEX(MASTER_SOURCE!$C$2:$C$495,MATCH($I3859,MASTER_SOURCE!$A$2:$A$495,0)),""))</f>
        <v/>
      </c>
      <c r="L3859" s="22">
        <f t="array" ref="L3859">IF($D3859="","",IFERROR(INDEX(MASTER_SOURCE!$D$2:$D$495,MATCH($I3859,MASTER_SOURCE!$A$2:$A$495,0)),""))</f>
        <v/>
      </c>
      <c r="M3859" s="24" t="n"/>
      <c r="N3859" s="24" t="n"/>
      <c r="O3859" s="24" t="n"/>
      <c r="P3859" s="24" t="n"/>
      <c r="Q3859" s="22">
        <f>IF($D3859="","",IF(AND(OR(DANH_MUC!$L$5&lt;&gt;"Có",M3859="Có"),OR(DANH_MUC!$L$6&lt;&gt;"Có",N3859="Có"),OR(DANH_MUC!$L$7&lt;&gt;"Có",O3859="Có"),OR(DANH_MUC!$L$8&lt;&gt;"Có",P3859="Có")),"Có","Không"))</f>
        <v/>
      </c>
      <c r="R3859" s="22">
        <f>IF($D3859="","",IF(COUNTIF($D$2:$D3859,$D3859)&gt;1,"Trùng",""))</f>
        <v/>
      </c>
      <c r="S3859" s="22">
        <f>IF($D3859="","",IF(AND(LEN($D3859)=10,LEFT($D3859,1)="0",ISNUMBER(--$D3859)),"Có","Không"))</f>
        <v/>
      </c>
      <c r="T3859" s="22">
        <f>IF($D3859="","",IF(AND($C3859&lt;&gt;"",$Q3859="Có",$R3859="",$S3859="Có",AND($L3859&lt;&gt;"",OR($L3859&lt;&gt;"Chưa xác định",DANH_MUC!$L$9="Có"))),"Có","Không"))</f>
        <v/>
      </c>
      <c r="U3859" s="22">
        <f>IF(OR($D3859="",$T3859="Có"),"",IF($C3859="","Thiếu họ tên; ","")&amp;IF($S3859&lt;&gt;"Có","SĐT sai định dạng; ","")&amp;IF($R3859="Trùng","Trùng SĐT; ","")&amp;IF($Q3859&lt;&gt;"Có","Thiếu đồng ý bắt buộc; ","")&amp;IF($L3859="","Thiếu/sai Mã REF; ",IF(AND($L3859="Chưa xác định",DANH_MUC!$L$9&lt;&gt;"Có"),"Nguồn chưa xác định; ","")))</f>
        <v/>
      </c>
      <c r="V3859" s="22">
        <f>IF(OR($D3859="",$R3859="Trùng"),"",IF(COUNTIF(ORDERS!$C$2:$C$4995,$D3859)&gt;0,"Có","Không"))</f>
        <v/>
      </c>
      <c r="W3859" s="22">
        <f>IF(OR($D3859="",$R3859="Trùng"),"",COUNTIFS(ORDERS!$C$2:$C$4995,$D3859,ORDERS!$L$2:$L$4995,"Đã chuyển khoản"))</f>
        <v/>
      </c>
      <c r="X3859" s="23">
        <f>IF(OR($D3859="",$R3859="Trùng"),"",SUMIFS(ORDERS!$J$2:$J$4995,ORDERS!$C$2:$C$4995,$D3859,ORDERS!$L$2:$L$4995,"Đã chuyển khoản"))</f>
        <v/>
      </c>
      <c r="Y3859" s="24" t="n"/>
    </row>
    <row r="3860" ht="14.25" customHeight="1" s="40">
      <c r="A3860" s="24" t="n"/>
      <c r="B3860" s="27" t="n"/>
      <c r="C3860" s="24" t="n"/>
      <c r="D3860" s="28" t="n"/>
      <c r="E3860" s="29" t="n"/>
      <c r="F3860" s="24" t="n"/>
      <c r="G3860" s="24" t="n"/>
      <c r="H3860" s="21">
        <f>IF(ISNUMBER($B3860),INT($B3860)-WEEKDAY($B3860,2)+1,"")</f>
        <v/>
      </c>
      <c r="I3860" s="24" t="n"/>
      <c r="J3860" s="22">
        <f t="array" ref="J3860">IF($D3860="","",IF($I3860="","(trống REF)",IFERROR(INDEX(MASTER_SOURCE!$B$2:$B$495,MATCH($I3860,MASTER_SOURCE!$A$2:$A$495,0)),"(REF không có trong MASTER_SOURCE)")))</f>
        <v/>
      </c>
      <c r="K3860" s="22">
        <f t="array" ref="K3860">IF($D3860="","",IFERROR(INDEX(MASTER_SOURCE!$C$2:$C$495,MATCH($I3860,MASTER_SOURCE!$A$2:$A$495,0)),""))</f>
        <v/>
      </c>
      <c r="L3860" s="22">
        <f t="array" ref="L3860">IF($D3860="","",IFERROR(INDEX(MASTER_SOURCE!$D$2:$D$495,MATCH($I3860,MASTER_SOURCE!$A$2:$A$495,0)),""))</f>
        <v/>
      </c>
      <c r="M3860" s="24" t="n"/>
      <c r="N3860" s="24" t="n"/>
      <c r="O3860" s="24" t="n"/>
      <c r="P3860" s="24" t="n"/>
      <c r="Q3860" s="22">
        <f>IF($D3860="","",IF(AND(OR(DANH_MUC!$L$5&lt;&gt;"Có",M3860="Có"),OR(DANH_MUC!$L$6&lt;&gt;"Có",N3860="Có"),OR(DANH_MUC!$L$7&lt;&gt;"Có",O3860="Có"),OR(DANH_MUC!$L$8&lt;&gt;"Có",P3860="Có")),"Có","Không"))</f>
        <v/>
      </c>
      <c r="R3860" s="22">
        <f>IF($D3860="","",IF(COUNTIF($D$2:$D3860,$D3860)&gt;1,"Trùng",""))</f>
        <v/>
      </c>
      <c r="S3860" s="22">
        <f>IF($D3860="","",IF(AND(LEN($D3860)=10,LEFT($D3860,1)="0",ISNUMBER(--$D3860)),"Có","Không"))</f>
        <v/>
      </c>
      <c r="T3860" s="22">
        <f>IF($D3860="","",IF(AND($C3860&lt;&gt;"",$Q3860="Có",$R3860="",$S3860="Có",AND($L3860&lt;&gt;"",OR($L3860&lt;&gt;"Chưa xác định",DANH_MUC!$L$9="Có"))),"Có","Không"))</f>
        <v/>
      </c>
      <c r="U3860" s="22">
        <f>IF(OR($D3860="",$T3860="Có"),"",IF($C3860="","Thiếu họ tên; ","")&amp;IF($S3860&lt;&gt;"Có","SĐT sai định dạng; ","")&amp;IF($R3860="Trùng","Trùng SĐT; ","")&amp;IF($Q3860&lt;&gt;"Có","Thiếu đồng ý bắt buộc; ","")&amp;IF($L3860="","Thiếu/sai Mã REF; ",IF(AND($L3860="Chưa xác định",DANH_MUC!$L$9&lt;&gt;"Có"),"Nguồn chưa xác định; ","")))</f>
        <v/>
      </c>
      <c r="V3860" s="22">
        <f>IF(OR($D3860="",$R3860="Trùng"),"",IF(COUNTIF(ORDERS!$C$2:$C$4995,$D3860)&gt;0,"Có","Không"))</f>
        <v/>
      </c>
      <c r="W3860" s="22">
        <f>IF(OR($D3860="",$R3860="Trùng"),"",COUNTIFS(ORDERS!$C$2:$C$4995,$D3860,ORDERS!$L$2:$L$4995,"Đã chuyển khoản"))</f>
        <v/>
      </c>
      <c r="X3860" s="23">
        <f>IF(OR($D3860="",$R3860="Trùng"),"",SUMIFS(ORDERS!$J$2:$J$4995,ORDERS!$C$2:$C$4995,$D3860,ORDERS!$L$2:$L$4995,"Đã chuyển khoản"))</f>
        <v/>
      </c>
      <c r="Y3860" s="24" t="n"/>
    </row>
    <row r="3861" ht="14.25" customHeight="1" s="40">
      <c r="A3861" s="24" t="n"/>
      <c r="B3861" s="27" t="n"/>
      <c r="C3861" s="24" t="n"/>
      <c r="D3861" s="28" t="n"/>
      <c r="E3861" s="29" t="n"/>
      <c r="F3861" s="24" t="n"/>
      <c r="G3861" s="24" t="n"/>
      <c r="H3861" s="21">
        <f>IF(ISNUMBER($B3861),INT($B3861)-WEEKDAY($B3861,2)+1,"")</f>
        <v/>
      </c>
      <c r="I3861" s="24" t="n"/>
      <c r="J3861" s="22">
        <f t="array" ref="J3861">IF($D3861="","",IF($I3861="","(trống REF)",IFERROR(INDEX(MASTER_SOURCE!$B$2:$B$495,MATCH($I3861,MASTER_SOURCE!$A$2:$A$495,0)),"(REF không có trong MASTER_SOURCE)")))</f>
        <v/>
      </c>
      <c r="K3861" s="22">
        <f t="array" ref="K3861">IF($D3861="","",IFERROR(INDEX(MASTER_SOURCE!$C$2:$C$495,MATCH($I3861,MASTER_SOURCE!$A$2:$A$495,0)),""))</f>
        <v/>
      </c>
      <c r="L3861" s="22">
        <f t="array" ref="L3861">IF($D3861="","",IFERROR(INDEX(MASTER_SOURCE!$D$2:$D$495,MATCH($I3861,MASTER_SOURCE!$A$2:$A$495,0)),""))</f>
        <v/>
      </c>
      <c r="M3861" s="24" t="n"/>
      <c r="N3861" s="24" t="n"/>
      <c r="O3861" s="24" t="n"/>
      <c r="P3861" s="24" t="n"/>
      <c r="Q3861" s="22">
        <f>IF($D3861="","",IF(AND(OR(DANH_MUC!$L$5&lt;&gt;"Có",M3861="Có"),OR(DANH_MUC!$L$6&lt;&gt;"Có",N3861="Có"),OR(DANH_MUC!$L$7&lt;&gt;"Có",O3861="Có"),OR(DANH_MUC!$L$8&lt;&gt;"Có",P3861="Có")),"Có","Không"))</f>
        <v/>
      </c>
      <c r="R3861" s="22">
        <f>IF($D3861="","",IF(COUNTIF($D$2:$D3861,$D3861)&gt;1,"Trùng",""))</f>
        <v/>
      </c>
      <c r="S3861" s="22">
        <f>IF($D3861="","",IF(AND(LEN($D3861)=10,LEFT($D3861,1)="0",ISNUMBER(--$D3861)),"Có","Không"))</f>
        <v/>
      </c>
      <c r="T3861" s="22">
        <f>IF($D3861="","",IF(AND($C3861&lt;&gt;"",$Q3861="Có",$R3861="",$S3861="Có",AND($L3861&lt;&gt;"",OR($L3861&lt;&gt;"Chưa xác định",DANH_MUC!$L$9="Có"))),"Có","Không"))</f>
        <v/>
      </c>
      <c r="U3861" s="22">
        <f>IF(OR($D3861="",$T3861="Có"),"",IF($C3861="","Thiếu họ tên; ","")&amp;IF($S3861&lt;&gt;"Có","SĐT sai định dạng; ","")&amp;IF($R3861="Trùng","Trùng SĐT; ","")&amp;IF($Q3861&lt;&gt;"Có","Thiếu đồng ý bắt buộc; ","")&amp;IF($L3861="","Thiếu/sai Mã REF; ",IF(AND($L3861="Chưa xác định",DANH_MUC!$L$9&lt;&gt;"Có"),"Nguồn chưa xác định; ","")))</f>
        <v/>
      </c>
      <c r="V3861" s="22">
        <f>IF(OR($D3861="",$R3861="Trùng"),"",IF(COUNTIF(ORDERS!$C$2:$C$4995,$D3861)&gt;0,"Có","Không"))</f>
        <v/>
      </c>
      <c r="W3861" s="22">
        <f>IF(OR($D3861="",$R3861="Trùng"),"",COUNTIFS(ORDERS!$C$2:$C$4995,$D3861,ORDERS!$L$2:$L$4995,"Đã chuyển khoản"))</f>
        <v/>
      </c>
      <c r="X3861" s="23">
        <f>IF(OR($D3861="",$R3861="Trùng"),"",SUMIFS(ORDERS!$J$2:$J$4995,ORDERS!$C$2:$C$4995,$D3861,ORDERS!$L$2:$L$4995,"Đã chuyển khoản"))</f>
        <v/>
      </c>
      <c r="Y3861" s="24" t="n"/>
    </row>
    <row r="3862" ht="14.25" customHeight="1" s="40">
      <c r="A3862" s="24" t="n"/>
      <c r="B3862" s="27" t="n"/>
      <c r="C3862" s="24" t="n"/>
      <c r="D3862" s="28" t="n"/>
      <c r="E3862" s="29" t="n"/>
      <c r="F3862" s="24" t="n"/>
      <c r="G3862" s="24" t="n"/>
      <c r="H3862" s="21">
        <f>IF(ISNUMBER($B3862),INT($B3862)-WEEKDAY($B3862,2)+1,"")</f>
        <v/>
      </c>
      <c r="I3862" s="24" t="n"/>
      <c r="J3862" s="22">
        <f t="array" ref="J3862">IF($D3862="","",IF($I3862="","(trống REF)",IFERROR(INDEX(MASTER_SOURCE!$B$2:$B$495,MATCH($I3862,MASTER_SOURCE!$A$2:$A$495,0)),"(REF không có trong MASTER_SOURCE)")))</f>
        <v/>
      </c>
      <c r="K3862" s="22">
        <f t="array" ref="K3862">IF($D3862="","",IFERROR(INDEX(MASTER_SOURCE!$C$2:$C$495,MATCH($I3862,MASTER_SOURCE!$A$2:$A$495,0)),""))</f>
        <v/>
      </c>
      <c r="L3862" s="22">
        <f t="array" ref="L3862">IF($D3862="","",IFERROR(INDEX(MASTER_SOURCE!$D$2:$D$495,MATCH($I3862,MASTER_SOURCE!$A$2:$A$495,0)),""))</f>
        <v/>
      </c>
      <c r="M3862" s="24" t="n"/>
      <c r="N3862" s="24" t="n"/>
      <c r="O3862" s="24" t="n"/>
      <c r="P3862" s="24" t="n"/>
      <c r="Q3862" s="22">
        <f>IF($D3862="","",IF(AND(OR(DANH_MUC!$L$5&lt;&gt;"Có",M3862="Có"),OR(DANH_MUC!$L$6&lt;&gt;"Có",N3862="Có"),OR(DANH_MUC!$L$7&lt;&gt;"Có",O3862="Có"),OR(DANH_MUC!$L$8&lt;&gt;"Có",P3862="Có")),"Có","Không"))</f>
        <v/>
      </c>
      <c r="R3862" s="22">
        <f>IF($D3862="","",IF(COUNTIF($D$2:$D3862,$D3862)&gt;1,"Trùng",""))</f>
        <v/>
      </c>
      <c r="S3862" s="22">
        <f>IF($D3862="","",IF(AND(LEN($D3862)=10,LEFT($D3862,1)="0",ISNUMBER(--$D3862)),"Có","Không"))</f>
        <v/>
      </c>
      <c r="T3862" s="22">
        <f>IF($D3862="","",IF(AND($C3862&lt;&gt;"",$Q3862="Có",$R3862="",$S3862="Có",AND($L3862&lt;&gt;"",OR($L3862&lt;&gt;"Chưa xác định",DANH_MUC!$L$9="Có"))),"Có","Không"))</f>
        <v/>
      </c>
      <c r="U3862" s="22">
        <f>IF(OR($D3862="",$T3862="Có"),"",IF($C3862="","Thiếu họ tên; ","")&amp;IF($S3862&lt;&gt;"Có","SĐT sai định dạng; ","")&amp;IF($R3862="Trùng","Trùng SĐT; ","")&amp;IF($Q3862&lt;&gt;"Có","Thiếu đồng ý bắt buộc; ","")&amp;IF($L3862="","Thiếu/sai Mã REF; ",IF(AND($L3862="Chưa xác định",DANH_MUC!$L$9&lt;&gt;"Có"),"Nguồn chưa xác định; ","")))</f>
        <v/>
      </c>
      <c r="V3862" s="22">
        <f>IF(OR($D3862="",$R3862="Trùng"),"",IF(COUNTIF(ORDERS!$C$2:$C$4995,$D3862)&gt;0,"Có","Không"))</f>
        <v/>
      </c>
      <c r="W3862" s="22">
        <f>IF(OR($D3862="",$R3862="Trùng"),"",COUNTIFS(ORDERS!$C$2:$C$4995,$D3862,ORDERS!$L$2:$L$4995,"Đã chuyển khoản"))</f>
        <v/>
      </c>
      <c r="X3862" s="23">
        <f>IF(OR($D3862="",$R3862="Trùng"),"",SUMIFS(ORDERS!$J$2:$J$4995,ORDERS!$C$2:$C$4995,$D3862,ORDERS!$L$2:$L$4995,"Đã chuyển khoản"))</f>
        <v/>
      </c>
      <c r="Y3862" s="24" t="n"/>
    </row>
    <row r="3863" ht="14.25" customHeight="1" s="40">
      <c r="A3863" s="24" t="n"/>
      <c r="B3863" s="27" t="n"/>
      <c r="C3863" s="24" t="n"/>
      <c r="D3863" s="28" t="n"/>
      <c r="E3863" s="29" t="n"/>
      <c r="F3863" s="24" t="n"/>
      <c r="G3863" s="24" t="n"/>
      <c r="H3863" s="21">
        <f>IF(ISNUMBER($B3863),INT($B3863)-WEEKDAY($B3863,2)+1,"")</f>
        <v/>
      </c>
      <c r="I3863" s="24" t="n"/>
      <c r="J3863" s="22">
        <f t="array" ref="J3863">IF($D3863="","",IF($I3863="","(trống REF)",IFERROR(INDEX(MASTER_SOURCE!$B$2:$B$495,MATCH($I3863,MASTER_SOURCE!$A$2:$A$495,0)),"(REF không có trong MASTER_SOURCE)")))</f>
        <v/>
      </c>
      <c r="K3863" s="22">
        <f t="array" ref="K3863">IF($D3863="","",IFERROR(INDEX(MASTER_SOURCE!$C$2:$C$495,MATCH($I3863,MASTER_SOURCE!$A$2:$A$495,0)),""))</f>
        <v/>
      </c>
      <c r="L3863" s="22">
        <f t="array" ref="L3863">IF($D3863="","",IFERROR(INDEX(MASTER_SOURCE!$D$2:$D$495,MATCH($I3863,MASTER_SOURCE!$A$2:$A$495,0)),""))</f>
        <v/>
      </c>
      <c r="M3863" s="24" t="n"/>
      <c r="N3863" s="24" t="n"/>
      <c r="O3863" s="24" t="n"/>
      <c r="P3863" s="24" t="n"/>
      <c r="Q3863" s="22">
        <f>IF($D3863="","",IF(AND(OR(DANH_MUC!$L$5&lt;&gt;"Có",M3863="Có"),OR(DANH_MUC!$L$6&lt;&gt;"Có",N3863="Có"),OR(DANH_MUC!$L$7&lt;&gt;"Có",O3863="Có"),OR(DANH_MUC!$L$8&lt;&gt;"Có",P3863="Có")),"Có","Không"))</f>
        <v/>
      </c>
      <c r="R3863" s="22">
        <f>IF($D3863="","",IF(COUNTIF($D$2:$D3863,$D3863)&gt;1,"Trùng",""))</f>
        <v/>
      </c>
      <c r="S3863" s="22">
        <f>IF($D3863="","",IF(AND(LEN($D3863)=10,LEFT($D3863,1)="0",ISNUMBER(--$D3863)),"Có","Không"))</f>
        <v/>
      </c>
      <c r="T3863" s="22">
        <f>IF($D3863="","",IF(AND($C3863&lt;&gt;"",$Q3863="Có",$R3863="",$S3863="Có",AND($L3863&lt;&gt;"",OR($L3863&lt;&gt;"Chưa xác định",DANH_MUC!$L$9="Có"))),"Có","Không"))</f>
        <v/>
      </c>
      <c r="U3863" s="22">
        <f>IF(OR($D3863="",$T3863="Có"),"",IF($C3863="","Thiếu họ tên; ","")&amp;IF($S3863&lt;&gt;"Có","SĐT sai định dạng; ","")&amp;IF($R3863="Trùng","Trùng SĐT; ","")&amp;IF($Q3863&lt;&gt;"Có","Thiếu đồng ý bắt buộc; ","")&amp;IF($L3863="","Thiếu/sai Mã REF; ",IF(AND($L3863="Chưa xác định",DANH_MUC!$L$9&lt;&gt;"Có"),"Nguồn chưa xác định; ","")))</f>
        <v/>
      </c>
      <c r="V3863" s="22">
        <f>IF(OR($D3863="",$R3863="Trùng"),"",IF(COUNTIF(ORDERS!$C$2:$C$4995,$D3863)&gt;0,"Có","Không"))</f>
        <v/>
      </c>
      <c r="W3863" s="22">
        <f>IF(OR($D3863="",$R3863="Trùng"),"",COUNTIFS(ORDERS!$C$2:$C$4995,$D3863,ORDERS!$L$2:$L$4995,"Đã chuyển khoản"))</f>
        <v/>
      </c>
      <c r="X3863" s="23">
        <f>IF(OR($D3863="",$R3863="Trùng"),"",SUMIFS(ORDERS!$J$2:$J$4995,ORDERS!$C$2:$C$4995,$D3863,ORDERS!$L$2:$L$4995,"Đã chuyển khoản"))</f>
        <v/>
      </c>
      <c r="Y3863" s="24" t="n"/>
    </row>
    <row r="3864" ht="14.25" customHeight="1" s="40">
      <c r="A3864" s="24" t="n"/>
      <c r="B3864" s="27" t="n"/>
      <c r="C3864" s="24" t="n"/>
      <c r="D3864" s="28" t="n"/>
      <c r="E3864" s="29" t="n"/>
      <c r="F3864" s="24" t="n"/>
      <c r="G3864" s="24" t="n"/>
      <c r="H3864" s="21">
        <f>IF(ISNUMBER($B3864),INT($B3864)-WEEKDAY($B3864,2)+1,"")</f>
        <v/>
      </c>
      <c r="I3864" s="24" t="n"/>
      <c r="J3864" s="22">
        <f t="array" ref="J3864">IF($D3864="","",IF($I3864="","(trống REF)",IFERROR(INDEX(MASTER_SOURCE!$B$2:$B$495,MATCH($I3864,MASTER_SOURCE!$A$2:$A$495,0)),"(REF không có trong MASTER_SOURCE)")))</f>
        <v/>
      </c>
      <c r="K3864" s="22">
        <f t="array" ref="K3864">IF($D3864="","",IFERROR(INDEX(MASTER_SOURCE!$C$2:$C$495,MATCH($I3864,MASTER_SOURCE!$A$2:$A$495,0)),""))</f>
        <v/>
      </c>
      <c r="L3864" s="22">
        <f t="array" ref="L3864">IF($D3864="","",IFERROR(INDEX(MASTER_SOURCE!$D$2:$D$495,MATCH($I3864,MASTER_SOURCE!$A$2:$A$495,0)),""))</f>
        <v/>
      </c>
      <c r="M3864" s="24" t="n"/>
      <c r="N3864" s="24" t="n"/>
      <c r="O3864" s="24" t="n"/>
      <c r="P3864" s="24" t="n"/>
      <c r="Q3864" s="22">
        <f>IF($D3864="","",IF(AND(OR(DANH_MUC!$L$5&lt;&gt;"Có",M3864="Có"),OR(DANH_MUC!$L$6&lt;&gt;"Có",N3864="Có"),OR(DANH_MUC!$L$7&lt;&gt;"Có",O3864="Có"),OR(DANH_MUC!$L$8&lt;&gt;"Có",P3864="Có")),"Có","Không"))</f>
        <v/>
      </c>
      <c r="R3864" s="22">
        <f>IF($D3864="","",IF(COUNTIF($D$2:$D3864,$D3864)&gt;1,"Trùng",""))</f>
        <v/>
      </c>
      <c r="S3864" s="22">
        <f>IF($D3864="","",IF(AND(LEN($D3864)=10,LEFT($D3864,1)="0",ISNUMBER(--$D3864)),"Có","Không"))</f>
        <v/>
      </c>
      <c r="T3864" s="22">
        <f>IF($D3864="","",IF(AND($C3864&lt;&gt;"",$Q3864="Có",$R3864="",$S3864="Có",AND($L3864&lt;&gt;"",OR($L3864&lt;&gt;"Chưa xác định",DANH_MUC!$L$9="Có"))),"Có","Không"))</f>
        <v/>
      </c>
      <c r="U3864" s="22">
        <f>IF(OR($D3864="",$T3864="Có"),"",IF($C3864="","Thiếu họ tên; ","")&amp;IF($S3864&lt;&gt;"Có","SĐT sai định dạng; ","")&amp;IF($R3864="Trùng","Trùng SĐT; ","")&amp;IF($Q3864&lt;&gt;"Có","Thiếu đồng ý bắt buộc; ","")&amp;IF($L3864="","Thiếu/sai Mã REF; ",IF(AND($L3864="Chưa xác định",DANH_MUC!$L$9&lt;&gt;"Có"),"Nguồn chưa xác định; ","")))</f>
        <v/>
      </c>
      <c r="V3864" s="22">
        <f>IF(OR($D3864="",$R3864="Trùng"),"",IF(COUNTIF(ORDERS!$C$2:$C$4995,$D3864)&gt;0,"Có","Không"))</f>
        <v/>
      </c>
      <c r="W3864" s="22">
        <f>IF(OR($D3864="",$R3864="Trùng"),"",COUNTIFS(ORDERS!$C$2:$C$4995,$D3864,ORDERS!$L$2:$L$4995,"Đã chuyển khoản"))</f>
        <v/>
      </c>
      <c r="X3864" s="23">
        <f>IF(OR($D3864="",$R3864="Trùng"),"",SUMIFS(ORDERS!$J$2:$J$4995,ORDERS!$C$2:$C$4995,$D3864,ORDERS!$L$2:$L$4995,"Đã chuyển khoản"))</f>
        <v/>
      </c>
      <c r="Y3864" s="24" t="n"/>
    </row>
    <row r="3865" ht="14.25" customHeight="1" s="40">
      <c r="A3865" s="24" t="n"/>
      <c r="B3865" s="27" t="n"/>
      <c r="C3865" s="24" t="n"/>
      <c r="D3865" s="28" t="n"/>
      <c r="E3865" s="29" t="n"/>
      <c r="F3865" s="24" t="n"/>
      <c r="G3865" s="24" t="n"/>
      <c r="H3865" s="21">
        <f>IF(ISNUMBER($B3865),INT($B3865)-WEEKDAY($B3865,2)+1,"")</f>
        <v/>
      </c>
      <c r="I3865" s="24" t="n"/>
      <c r="J3865" s="22">
        <f t="array" ref="J3865">IF($D3865="","",IF($I3865="","(trống REF)",IFERROR(INDEX(MASTER_SOURCE!$B$2:$B$495,MATCH($I3865,MASTER_SOURCE!$A$2:$A$495,0)),"(REF không có trong MASTER_SOURCE)")))</f>
        <v/>
      </c>
      <c r="K3865" s="22">
        <f t="array" ref="K3865">IF($D3865="","",IFERROR(INDEX(MASTER_SOURCE!$C$2:$C$495,MATCH($I3865,MASTER_SOURCE!$A$2:$A$495,0)),""))</f>
        <v/>
      </c>
      <c r="L3865" s="22">
        <f t="array" ref="L3865">IF($D3865="","",IFERROR(INDEX(MASTER_SOURCE!$D$2:$D$495,MATCH($I3865,MASTER_SOURCE!$A$2:$A$495,0)),""))</f>
        <v/>
      </c>
      <c r="M3865" s="24" t="n"/>
      <c r="N3865" s="24" t="n"/>
      <c r="O3865" s="24" t="n"/>
      <c r="P3865" s="24" t="n"/>
      <c r="Q3865" s="22">
        <f>IF($D3865="","",IF(AND(OR(DANH_MUC!$L$5&lt;&gt;"Có",M3865="Có"),OR(DANH_MUC!$L$6&lt;&gt;"Có",N3865="Có"),OR(DANH_MUC!$L$7&lt;&gt;"Có",O3865="Có"),OR(DANH_MUC!$L$8&lt;&gt;"Có",P3865="Có")),"Có","Không"))</f>
        <v/>
      </c>
      <c r="R3865" s="22">
        <f>IF($D3865="","",IF(COUNTIF($D$2:$D3865,$D3865)&gt;1,"Trùng",""))</f>
        <v/>
      </c>
      <c r="S3865" s="22">
        <f>IF($D3865="","",IF(AND(LEN($D3865)=10,LEFT($D3865,1)="0",ISNUMBER(--$D3865)),"Có","Không"))</f>
        <v/>
      </c>
      <c r="T3865" s="22">
        <f>IF($D3865="","",IF(AND($C3865&lt;&gt;"",$Q3865="Có",$R3865="",$S3865="Có",AND($L3865&lt;&gt;"",OR($L3865&lt;&gt;"Chưa xác định",DANH_MUC!$L$9="Có"))),"Có","Không"))</f>
        <v/>
      </c>
      <c r="U3865" s="22">
        <f>IF(OR($D3865="",$T3865="Có"),"",IF($C3865="","Thiếu họ tên; ","")&amp;IF($S3865&lt;&gt;"Có","SĐT sai định dạng; ","")&amp;IF($R3865="Trùng","Trùng SĐT; ","")&amp;IF($Q3865&lt;&gt;"Có","Thiếu đồng ý bắt buộc; ","")&amp;IF($L3865="","Thiếu/sai Mã REF; ",IF(AND($L3865="Chưa xác định",DANH_MUC!$L$9&lt;&gt;"Có"),"Nguồn chưa xác định; ","")))</f>
        <v/>
      </c>
      <c r="V3865" s="22">
        <f>IF(OR($D3865="",$R3865="Trùng"),"",IF(COUNTIF(ORDERS!$C$2:$C$4995,$D3865)&gt;0,"Có","Không"))</f>
        <v/>
      </c>
      <c r="W3865" s="22">
        <f>IF(OR($D3865="",$R3865="Trùng"),"",COUNTIFS(ORDERS!$C$2:$C$4995,$D3865,ORDERS!$L$2:$L$4995,"Đã chuyển khoản"))</f>
        <v/>
      </c>
      <c r="X3865" s="23">
        <f>IF(OR($D3865="",$R3865="Trùng"),"",SUMIFS(ORDERS!$J$2:$J$4995,ORDERS!$C$2:$C$4995,$D3865,ORDERS!$L$2:$L$4995,"Đã chuyển khoản"))</f>
        <v/>
      </c>
      <c r="Y3865" s="24" t="n"/>
    </row>
    <row r="3866" ht="14.25" customHeight="1" s="40">
      <c r="A3866" s="24" t="n"/>
      <c r="B3866" s="27" t="n"/>
      <c r="C3866" s="24" t="n"/>
      <c r="D3866" s="28" t="n"/>
      <c r="E3866" s="29" t="n"/>
      <c r="F3866" s="24" t="n"/>
      <c r="G3866" s="24" t="n"/>
      <c r="H3866" s="21">
        <f>IF(ISNUMBER($B3866),INT($B3866)-WEEKDAY($B3866,2)+1,"")</f>
        <v/>
      </c>
      <c r="I3866" s="24" t="n"/>
      <c r="J3866" s="22">
        <f t="array" ref="J3866">IF($D3866="","",IF($I3866="","(trống REF)",IFERROR(INDEX(MASTER_SOURCE!$B$2:$B$495,MATCH($I3866,MASTER_SOURCE!$A$2:$A$495,0)),"(REF không có trong MASTER_SOURCE)")))</f>
        <v/>
      </c>
      <c r="K3866" s="22">
        <f t="array" ref="K3866">IF($D3866="","",IFERROR(INDEX(MASTER_SOURCE!$C$2:$C$495,MATCH($I3866,MASTER_SOURCE!$A$2:$A$495,0)),""))</f>
        <v/>
      </c>
      <c r="L3866" s="22">
        <f t="array" ref="L3866">IF($D3866="","",IFERROR(INDEX(MASTER_SOURCE!$D$2:$D$495,MATCH($I3866,MASTER_SOURCE!$A$2:$A$495,0)),""))</f>
        <v/>
      </c>
      <c r="M3866" s="24" t="n"/>
      <c r="N3866" s="24" t="n"/>
      <c r="O3866" s="24" t="n"/>
      <c r="P3866" s="24" t="n"/>
      <c r="Q3866" s="22">
        <f>IF($D3866="","",IF(AND(OR(DANH_MUC!$L$5&lt;&gt;"Có",M3866="Có"),OR(DANH_MUC!$L$6&lt;&gt;"Có",N3866="Có"),OR(DANH_MUC!$L$7&lt;&gt;"Có",O3866="Có"),OR(DANH_MUC!$L$8&lt;&gt;"Có",P3866="Có")),"Có","Không"))</f>
        <v/>
      </c>
      <c r="R3866" s="22">
        <f>IF($D3866="","",IF(COUNTIF($D$2:$D3866,$D3866)&gt;1,"Trùng",""))</f>
        <v/>
      </c>
      <c r="S3866" s="22">
        <f>IF($D3866="","",IF(AND(LEN($D3866)=10,LEFT($D3866,1)="0",ISNUMBER(--$D3866)),"Có","Không"))</f>
        <v/>
      </c>
      <c r="T3866" s="22">
        <f>IF($D3866="","",IF(AND($C3866&lt;&gt;"",$Q3866="Có",$R3866="",$S3866="Có",AND($L3866&lt;&gt;"",OR($L3866&lt;&gt;"Chưa xác định",DANH_MUC!$L$9="Có"))),"Có","Không"))</f>
        <v/>
      </c>
      <c r="U3866" s="22">
        <f>IF(OR($D3866="",$T3866="Có"),"",IF($C3866="","Thiếu họ tên; ","")&amp;IF($S3866&lt;&gt;"Có","SĐT sai định dạng; ","")&amp;IF($R3866="Trùng","Trùng SĐT; ","")&amp;IF($Q3866&lt;&gt;"Có","Thiếu đồng ý bắt buộc; ","")&amp;IF($L3866="","Thiếu/sai Mã REF; ",IF(AND($L3866="Chưa xác định",DANH_MUC!$L$9&lt;&gt;"Có"),"Nguồn chưa xác định; ","")))</f>
        <v/>
      </c>
      <c r="V3866" s="22">
        <f>IF(OR($D3866="",$R3866="Trùng"),"",IF(COUNTIF(ORDERS!$C$2:$C$4995,$D3866)&gt;0,"Có","Không"))</f>
        <v/>
      </c>
      <c r="W3866" s="22">
        <f>IF(OR($D3866="",$R3866="Trùng"),"",COUNTIFS(ORDERS!$C$2:$C$4995,$D3866,ORDERS!$L$2:$L$4995,"Đã chuyển khoản"))</f>
        <v/>
      </c>
      <c r="X3866" s="23">
        <f>IF(OR($D3866="",$R3866="Trùng"),"",SUMIFS(ORDERS!$J$2:$J$4995,ORDERS!$C$2:$C$4995,$D3866,ORDERS!$L$2:$L$4995,"Đã chuyển khoản"))</f>
        <v/>
      </c>
      <c r="Y3866" s="24" t="n"/>
    </row>
    <row r="3867" ht="14.25" customHeight="1" s="40">
      <c r="A3867" s="24" t="n"/>
      <c r="B3867" s="27" t="n"/>
      <c r="C3867" s="24" t="n"/>
      <c r="D3867" s="28" t="n"/>
      <c r="E3867" s="29" t="n"/>
      <c r="F3867" s="24" t="n"/>
      <c r="G3867" s="24" t="n"/>
      <c r="H3867" s="21">
        <f>IF(ISNUMBER($B3867),INT($B3867)-WEEKDAY($B3867,2)+1,"")</f>
        <v/>
      </c>
      <c r="I3867" s="24" t="n"/>
      <c r="J3867" s="22">
        <f t="array" ref="J3867">IF($D3867="","",IF($I3867="","(trống REF)",IFERROR(INDEX(MASTER_SOURCE!$B$2:$B$495,MATCH($I3867,MASTER_SOURCE!$A$2:$A$495,0)),"(REF không có trong MASTER_SOURCE)")))</f>
        <v/>
      </c>
      <c r="K3867" s="22">
        <f t="array" ref="K3867">IF($D3867="","",IFERROR(INDEX(MASTER_SOURCE!$C$2:$C$495,MATCH($I3867,MASTER_SOURCE!$A$2:$A$495,0)),""))</f>
        <v/>
      </c>
      <c r="L3867" s="22">
        <f t="array" ref="L3867">IF($D3867="","",IFERROR(INDEX(MASTER_SOURCE!$D$2:$D$495,MATCH($I3867,MASTER_SOURCE!$A$2:$A$495,0)),""))</f>
        <v/>
      </c>
      <c r="M3867" s="24" t="n"/>
      <c r="N3867" s="24" t="n"/>
      <c r="O3867" s="24" t="n"/>
      <c r="P3867" s="24" t="n"/>
      <c r="Q3867" s="22">
        <f>IF($D3867="","",IF(AND(OR(DANH_MUC!$L$5&lt;&gt;"Có",M3867="Có"),OR(DANH_MUC!$L$6&lt;&gt;"Có",N3867="Có"),OR(DANH_MUC!$L$7&lt;&gt;"Có",O3867="Có"),OR(DANH_MUC!$L$8&lt;&gt;"Có",P3867="Có")),"Có","Không"))</f>
        <v/>
      </c>
      <c r="R3867" s="22">
        <f>IF($D3867="","",IF(COUNTIF($D$2:$D3867,$D3867)&gt;1,"Trùng",""))</f>
        <v/>
      </c>
      <c r="S3867" s="22">
        <f>IF($D3867="","",IF(AND(LEN($D3867)=10,LEFT($D3867,1)="0",ISNUMBER(--$D3867)),"Có","Không"))</f>
        <v/>
      </c>
      <c r="T3867" s="22">
        <f>IF($D3867="","",IF(AND($C3867&lt;&gt;"",$Q3867="Có",$R3867="",$S3867="Có",AND($L3867&lt;&gt;"",OR($L3867&lt;&gt;"Chưa xác định",DANH_MUC!$L$9="Có"))),"Có","Không"))</f>
        <v/>
      </c>
      <c r="U3867" s="22">
        <f>IF(OR($D3867="",$T3867="Có"),"",IF($C3867="","Thiếu họ tên; ","")&amp;IF($S3867&lt;&gt;"Có","SĐT sai định dạng; ","")&amp;IF($R3867="Trùng","Trùng SĐT; ","")&amp;IF($Q3867&lt;&gt;"Có","Thiếu đồng ý bắt buộc; ","")&amp;IF($L3867="","Thiếu/sai Mã REF; ",IF(AND($L3867="Chưa xác định",DANH_MUC!$L$9&lt;&gt;"Có"),"Nguồn chưa xác định; ","")))</f>
        <v/>
      </c>
      <c r="V3867" s="22">
        <f>IF(OR($D3867="",$R3867="Trùng"),"",IF(COUNTIF(ORDERS!$C$2:$C$4995,$D3867)&gt;0,"Có","Không"))</f>
        <v/>
      </c>
      <c r="W3867" s="22">
        <f>IF(OR($D3867="",$R3867="Trùng"),"",COUNTIFS(ORDERS!$C$2:$C$4995,$D3867,ORDERS!$L$2:$L$4995,"Đã chuyển khoản"))</f>
        <v/>
      </c>
      <c r="X3867" s="23">
        <f>IF(OR($D3867="",$R3867="Trùng"),"",SUMIFS(ORDERS!$J$2:$J$4995,ORDERS!$C$2:$C$4995,$D3867,ORDERS!$L$2:$L$4995,"Đã chuyển khoản"))</f>
        <v/>
      </c>
      <c r="Y3867" s="24" t="n"/>
    </row>
    <row r="3868" ht="14.25" customHeight="1" s="40">
      <c r="A3868" s="24" t="n"/>
      <c r="B3868" s="27" t="n"/>
      <c r="C3868" s="24" t="n"/>
      <c r="D3868" s="28" t="n"/>
      <c r="E3868" s="29" t="n"/>
      <c r="F3868" s="24" t="n"/>
      <c r="G3868" s="24" t="n"/>
      <c r="H3868" s="21">
        <f>IF(ISNUMBER($B3868),INT($B3868)-WEEKDAY($B3868,2)+1,"")</f>
        <v/>
      </c>
      <c r="I3868" s="24" t="n"/>
      <c r="J3868" s="22">
        <f t="array" ref="J3868">IF($D3868="","",IF($I3868="","(trống REF)",IFERROR(INDEX(MASTER_SOURCE!$B$2:$B$495,MATCH($I3868,MASTER_SOURCE!$A$2:$A$495,0)),"(REF không có trong MASTER_SOURCE)")))</f>
        <v/>
      </c>
      <c r="K3868" s="22">
        <f t="array" ref="K3868">IF($D3868="","",IFERROR(INDEX(MASTER_SOURCE!$C$2:$C$495,MATCH($I3868,MASTER_SOURCE!$A$2:$A$495,0)),""))</f>
        <v/>
      </c>
      <c r="L3868" s="22">
        <f t="array" ref="L3868">IF($D3868="","",IFERROR(INDEX(MASTER_SOURCE!$D$2:$D$495,MATCH($I3868,MASTER_SOURCE!$A$2:$A$495,0)),""))</f>
        <v/>
      </c>
      <c r="M3868" s="24" t="n"/>
      <c r="N3868" s="24" t="n"/>
      <c r="O3868" s="24" t="n"/>
      <c r="P3868" s="24" t="n"/>
      <c r="Q3868" s="22">
        <f>IF($D3868="","",IF(AND(OR(DANH_MUC!$L$5&lt;&gt;"Có",M3868="Có"),OR(DANH_MUC!$L$6&lt;&gt;"Có",N3868="Có"),OR(DANH_MUC!$L$7&lt;&gt;"Có",O3868="Có"),OR(DANH_MUC!$L$8&lt;&gt;"Có",P3868="Có")),"Có","Không"))</f>
        <v/>
      </c>
      <c r="R3868" s="22">
        <f>IF($D3868="","",IF(COUNTIF($D$2:$D3868,$D3868)&gt;1,"Trùng",""))</f>
        <v/>
      </c>
      <c r="S3868" s="22">
        <f>IF($D3868="","",IF(AND(LEN($D3868)=10,LEFT($D3868,1)="0",ISNUMBER(--$D3868)),"Có","Không"))</f>
        <v/>
      </c>
      <c r="T3868" s="22">
        <f>IF($D3868="","",IF(AND($C3868&lt;&gt;"",$Q3868="Có",$R3868="",$S3868="Có",AND($L3868&lt;&gt;"",OR($L3868&lt;&gt;"Chưa xác định",DANH_MUC!$L$9="Có"))),"Có","Không"))</f>
        <v/>
      </c>
      <c r="U3868" s="22">
        <f>IF(OR($D3868="",$T3868="Có"),"",IF($C3868="","Thiếu họ tên; ","")&amp;IF($S3868&lt;&gt;"Có","SĐT sai định dạng; ","")&amp;IF($R3868="Trùng","Trùng SĐT; ","")&amp;IF($Q3868&lt;&gt;"Có","Thiếu đồng ý bắt buộc; ","")&amp;IF($L3868="","Thiếu/sai Mã REF; ",IF(AND($L3868="Chưa xác định",DANH_MUC!$L$9&lt;&gt;"Có"),"Nguồn chưa xác định; ","")))</f>
        <v/>
      </c>
      <c r="V3868" s="22">
        <f>IF(OR($D3868="",$R3868="Trùng"),"",IF(COUNTIF(ORDERS!$C$2:$C$4995,$D3868)&gt;0,"Có","Không"))</f>
        <v/>
      </c>
      <c r="W3868" s="22">
        <f>IF(OR($D3868="",$R3868="Trùng"),"",COUNTIFS(ORDERS!$C$2:$C$4995,$D3868,ORDERS!$L$2:$L$4995,"Đã chuyển khoản"))</f>
        <v/>
      </c>
      <c r="X3868" s="23">
        <f>IF(OR($D3868="",$R3868="Trùng"),"",SUMIFS(ORDERS!$J$2:$J$4995,ORDERS!$C$2:$C$4995,$D3868,ORDERS!$L$2:$L$4995,"Đã chuyển khoản"))</f>
        <v/>
      </c>
      <c r="Y3868" s="24" t="n"/>
    </row>
    <row r="3869" ht="14.25" customHeight="1" s="40">
      <c r="A3869" s="24" t="n"/>
      <c r="B3869" s="27" t="n"/>
      <c r="C3869" s="24" t="n"/>
      <c r="D3869" s="28" t="n"/>
      <c r="E3869" s="29" t="n"/>
      <c r="F3869" s="24" t="n"/>
      <c r="G3869" s="24" t="n"/>
      <c r="H3869" s="21">
        <f>IF(ISNUMBER($B3869),INT($B3869)-WEEKDAY($B3869,2)+1,"")</f>
        <v/>
      </c>
      <c r="I3869" s="24" t="n"/>
      <c r="J3869" s="22">
        <f t="array" ref="J3869">IF($D3869="","",IF($I3869="","(trống REF)",IFERROR(INDEX(MASTER_SOURCE!$B$2:$B$495,MATCH($I3869,MASTER_SOURCE!$A$2:$A$495,0)),"(REF không có trong MASTER_SOURCE)")))</f>
        <v/>
      </c>
      <c r="K3869" s="22">
        <f t="array" ref="K3869">IF($D3869="","",IFERROR(INDEX(MASTER_SOURCE!$C$2:$C$495,MATCH($I3869,MASTER_SOURCE!$A$2:$A$495,0)),""))</f>
        <v/>
      </c>
      <c r="L3869" s="22">
        <f t="array" ref="L3869">IF($D3869="","",IFERROR(INDEX(MASTER_SOURCE!$D$2:$D$495,MATCH($I3869,MASTER_SOURCE!$A$2:$A$495,0)),""))</f>
        <v/>
      </c>
      <c r="M3869" s="24" t="n"/>
      <c r="N3869" s="24" t="n"/>
      <c r="O3869" s="24" t="n"/>
      <c r="P3869" s="24" t="n"/>
      <c r="Q3869" s="22">
        <f>IF($D3869="","",IF(AND(OR(DANH_MUC!$L$5&lt;&gt;"Có",M3869="Có"),OR(DANH_MUC!$L$6&lt;&gt;"Có",N3869="Có"),OR(DANH_MUC!$L$7&lt;&gt;"Có",O3869="Có"),OR(DANH_MUC!$L$8&lt;&gt;"Có",P3869="Có")),"Có","Không"))</f>
        <v/>
      </c>
      <c r="R3869" s="22">
        <f>IF($D3869="","",IF(COUNTIF($D$2:$D3869,$D3869)&gt;1,"Trùng",""))</f>
        <v/>
      </c>
      <c r="S3869" s="22">
        <f>IF($D3869="","",IF(AND(LEN($D3869)=10,LEFT($D3869,1)="0",ISNUMBER(--$D3869)),"Có","Không"))</f>
        <v/>
      </c>
      <c r="T3869" s="22">
        <f>IF($D3869="","",IF(AND($C3869&lt;&gt;"",$Q3869="Có",$R3869="",$S3869="Có",AND($L3869&lt;&gt;"",OR($L3869&lt;&gt;"Chưa xác định",DANH_MUC!$L$9="Có"))),"Có","Không"))</f>
        <v/>
      </c>
      <c r="U3869" s="22">
        <f>IF(OR($D3869="",$T3869="Có"),"",IF($C3869="","Thiếu họ tên; ","")&amp;IF($S3869&lt;&gt;"Có","SĐT sai định dạng; ","")&amp;IF($R3869="Trùng","Trùng SĐT; ","")&amp;IF($Q3869&lt;&gt;"Có","Thiếu đồng ý bắt buộc; ","")&amp;IF($L3869="","Thiếu/sai Mã REF; ",IF(AND($L3869="Chưa xác định",DANH_MUC!$L$9&lt;&gt;"Có"),"Nguồn chưa xác định; ","")))</f>
        <v/>
      </c>
      <c r="V3869" s="22">
        <f>IF(OR($D3869="",$R3869="Trùng"),"",IF(COUNTIF(ORDERS!$C$2:$C$4995,$D3869)&gt;0,"Có","Không"))</f>
        <v/>
      </c>
      <c r="W3869" s="22">
        <f>IF(OR($D3869="",$R3869="Trùng"),"",COUNTIFS(ORDERS!$C$2:$C$4995,$D3869,ORDERS!$L$2:$L$4995,"Đã chuyển khoản"))</f>
        <v/>
      </c>
      <c r="X3869" s="23">
        <f>IF(OR($D3869="",$R3869="Trùng"),"",SUMIFS(ORDERS!$J$2:$J$4995,ORDERS!$C$2:$C$4995,$D3869,ORDERS!$L$2:$L$4995,"Đã chuyển khoản"))</f>
        <v/>
      </c>
      <c r="Y3869" s="24" t="n"/>
    </row>
    <row r="3870" ht="14.25" customHeight="1" s="40">
      <c r="A3870" s="24" t="n"/>
      <c r="B3870" s="27" t="n"/>
      <c r="C3870" s="24" t="n"/>
      <c r="D3870" s="28" t="n"/>
      <c r="E3870" s="29" t="n"/>
      <c r="F3870" s="24" t="n"/>
      <c r="G3870" s="24" t="n"/>
      <c r="H3870" s="21">
        <f>IF(ISNUMBER($B3870),INT($B3870)-WEEKDAY($B3870,2)+1,"")</f>
        <v/>
      </c>
      <c r="I3870" s="24" t="n"/>
      <c r="J3870" s="22">
        <f t="array" ref="J3870">IF($D3870="","",IF($I3870="","(trống REF)",IFERROR(INDEX(MASTER_SOURCE!$B$2:$B$495,MATCH($I3870,MASTER_SOURCE!$A$2:$A$495,0)),"(REF không có trong MASTER_SOURCE)")))</f>
        <v/>
      </c>
      <c r="K3870" s="22">
        <f t="array" ref="K3870">IF($D3870="","",IFERROR(INDEX(MASTER_SOURCE!$C$2:$C$495,MATCH($I3870,MASTER_SOURCE!$A$2:$A$495,0)),""))</f>
        <v/>
      </c>
      <c r="L3870" s="22">
        <f t="array" ref="L3870">IF($D3870="","",IFERROR(INDEX(MASTER_SOURCE!$D$2:$D$495,MATCH($I3870,MASTER_SOURCE!$A$2:$A$495,0)),""))</f>
        <v/>
      </c>
      <c r="M3870" s="24" t="n"/>
      <c r="N3870" s="24" t="n"/>
      <c r="O3870" s="24" t="n"/>
      <c r="P3870" s="24" t="n"/>
      <c r="Q3870" s="22">
        <f>IF($D3870="","",IF(AND(OR(DANH_MUC!$L$5&lt;&gt;"Có",M3870="Có"),OR(DANH_MUC!$L$6&lt;&gt;"Có",N3870="Có"),OR(DANH_MUC!$L$7&lt;&gt;"Có",O3870="Có"),OR(DANH_MUC!$L$8&lt;&gt;"Có",P3870="Có")),"Có","Không"))</f>
        <v/>
      </c>
      <c r="R3870" s="22">
        <f>IF($D3870="","",IF(COUNTIF($D$2:$D3870,$D3870)&gt;1,"Trùng",""))</f>
        <v/>
      </c>
      <c r="S3870" s="22">
        <f>IF($D3870="","",IF(AND(LEN($D3870)=10,LEFT($D3870,1)="0",ISNUMBER(--$D3870)),"Có","Không"))</f>
        <v/>
      </c>
      <c r="T3870" s="22">
        <f>IF($D3870="","",IF(AND($C3870&lt;&gt;"",$Q3870="Có",$R3870="",$S3870="Có",AND($L3870&lt;&gt;"",OR($L3870&lt;&gt;"Chưa xác định",DANH_MUC!$L$9="Có"))),"Có","Không"))</f>
        <v/>
      </c>
      <c r="U3870" s="22">
        <f>IF(OR($D3870="",$T3870="Có"),"",IF($C3870="","Thiếu họ tên; ","")&amp;IF($S3870&lt;&gt;"Có","SĐT sai định dạng; ","")&amp;IF($R3870="Trùng","Trùng SĐT; ","")&amp;IF($Q3870&lt;&gt;"Có","Thiếu đồng ý bắt buộc; ","")&amp;IF($L3870="","Thiếu/sai Mã REF; ",IF(AND($L3870="Chưa xác định",DANH_MUC!$L$9&lt;&gt;"Có"),"Nguồn chưa xác định; ","")))</f>
        <v/>
      </c>
      <c r="V3870" s="22">
        <f>IF(OR($D3870="",$R3870="Trùng"),"",IF(COUNTIF(ORDERS!$C$2:$C$4995,$D3870)&gt;0,"Có","Không"))</f>
        <v/>
      </c>
      <c r="W3870" s="22">
        <f>IF(OR($D3870="",$R3870="Trùng"),"",COUNTIFS(ORDERS!$C$2:$C$4995,$D3870,ORDERS!$L$2:$L$4995,"Đã chuyển khoản"))</f>
        <v/>
      </c>
      <c r="X3870" s="23">
        <f>IF(OR($D3870="",$R3870="Trùng"),"",SUMIFS(ORDERS!$J$2:$J$4995,ORDERS!$C$2:$C$4995,$D3870,ORDERS!$L$2:$L$4995,"Đã chuyển khoản"))</f>
        <v/>
      </c>
      <c r="Y3870" s="24" t="n"/>
    </row>
    <row r="3871" ht="14.25" customHeight="1" s="40">
      <c r="A3871" s="24" t="n"/>
      <c r="B3871" s="27" t="n"/>
      <c r="C3871" s="24" t="n"/>
      <c r="D3871" s="28" t="n"/>
      <c r="E3871" s="29" t="n"/>
      <c r="F3871" s="24" t="n"/>
      <c r="G3871" s="24" t="n"/>
      <c r="H3871" s="21">
        <f>IF(ISNUMBER($B3871),INT($B3871)-WEEKDAY($B3871,2)+1,"")</f>
        <v/>
      </c>
      <c r="I3871" s="24" t="n"/>
      <c r="J3871" s="22">
        <f t="array" ref="J3871">IF($D3871="","",IF($I3871="","(trống REF)",IFERROR(INDEX(MASTER_SOURCE!$B$2:$B$495,MATCH($I3871,MASTER_SOURCE!$A$2:$A$495,0)),"(REF không có trong MASTER_SOURCE)")))</f>
        <v/>
      </c>
      <c r="K3871" s="22">
        <f t="array" ref="K3871">IF($D3871="","",IFERROR(INDEX(MASTER_SOURCE!$C$2:$C$495,MATCH($I3871,MASTER_SOURCE!$A$2:$A$495,0)),""))</f>
        <v/>
      </c>
      <c r="L3871" s="22">
        <f t="array" ref="L3871">IF($D3871="","",IFERROR(INDEX(MASTER_SOURCE!$D$2:$D$495,MATCH($I3871,MASTER_SOURCE!$A$2:$A$495,0)),""))</f>
        <v/>
      </c>
      <c r="M3871" s="24" t="n"/>
      <c r="N3871" s="24" t="n"/>
      <c r="O3871" s="24" t="n"/>
      <c r="P3871" s="24" t="n"/>
      <c r="Q3871" s="22">
        <f>IF($D3871="","",IF(AND(OR(DANH_MUC!$L$5&lt;&gt;"Có",M3871="Có"),OR(DANH_MUC!$L$6&lt;&gt;"Có",N3871="Có"),OR(DANH_MUC!$L$7&lt;&gt;"Có",O3871="Có"),OR(DANH_MUC!$L$8&lt;&gt;"Có",P3871="Có")),"Có","Không"))</f>
        <v/>
      </c>
      <c r="R3871" s="22">
        <f>IF($D3871="","",IF(COUNTIF($D$2:$D3871,$D3871)&gt;1,"Trùng",""))</f>
        <v/>
      </c>
      <c r="S3871" s="22">
        <f>IF($D3871="","",IF(AND(LEN($D3871)=10,LEFT($D3871,1)="0",ISNUMBER(--$D3871)),"Có","Không"))</f>
        <v/>
      </c>
      <c r="T3871" s="22">
        <f>IF($D3871="","",IF(AND($C3871&lt;&gt;"",$Q3871="Có",$R3871="",$S3871="Có",AND($L3871&lt;&gt;"",OR($L3871&lt;&gt;"Chưa xác định",DANH_MUC!$L$9="Có"))),"Có","Không"))</f>
        <v/>
      </c>
      <c r="U3871" s="22">
        <f>IF(OR($D3871="",$T3871="Có"),"",IF($C3871="","Thiếu họ tên; ","")&amp;IF($S3871&lt;&gt;"Có","SĐT sai định dạng; ","")&amp;IF($R3871="Trùng","Trùng SĐT; ","")&amp;IF($Q3871&lt;&gt;"Có","Thiếu đồng ý bắt buộc; ","")&amp;IF($L3871="","Thiếu/sai Mã REF; ",IF(AND($L3871="Chưa xác định",DANH_MUC!$L$9&lt;&gt;"Có"),"Nguồn chưa xác định; ","")))</f>
        <v/>
      </c>
      <c r="V3871" s="22">
        <f>IF(OR($D3871="",$R3871="Trùng"),"",IF(COUNTIF(ORDERS!$C$2:$C$4995,$D3871)&gt;0,"Có","Không"))</f>
        <v/>
      </c>
      <c r="W3871" s="22">
        <f>IF(OR($D3871="",$R3871="Trùng"),"",COUNTIFS(ORDERS!$C$2:$C$4995,$D3871,ORDERS!$L$2:$L$4995,"Đã chuyển khoản"))</f>
        <v/>
      </c>
      <c r="X3871" s="23">
        <f>IF(OR($D3871="",$R3871="Trùng"),"",SUMIFS(ORDERS!$J$2:$J$4995,ORDERS!$C$2:$C$4995,$D3871,ORDERS!$L$2:$L$4995,"Đã chuyển khoản"))</f>
        <v/>
      </c>
      <c r="Y3871" s="24" t="n"/>
    </row>
    <row r="3872" ht="14.25" customHeight="1" s="40">
      <c r="A3872" s="24" t="n"/>
      <c r="B3872" s="27" t="n"/>
      <c r="C3872" s="24" t="n"/>
      <c r="D3872" s="28" t="n"/>
      <c r="E3872" s="29" t="n"/>
      <c r="F3872" s="24" t="n"/>
      <c r="G3872" s="24" t="n"/>
      <c r="H3872" s="21">
        <f>IF(ISNUMBER($B3872),INT($B3872)-WEEKDAY($B3872,2)+1,"")</f>
        <v/>
      </c>
      <c r="I3872" s="24" t="n"/>
      <c r="J3872" s="22">
        <f t="array" ref="J3872">IF($D3872="","",IF($I3872="","(trống REF)",IFERROR(INDEX(MASTER_SOURCE!$B$2:$B$495,MATCH($I3872,MASTER_SOURCE!$A$2:$A$495,0)),"(REF không có trong MASTER_SOURCE)")))</f>
        <v/>
      </c>
      <c r="K3872" s="22">
        <f t="array" ref="K3872">IF($D3872="","",IFERROR(INDEX(MASTER_SOURCE!$C$2:$C$495,MATCH($I3872,MASTER_SOURCE!$A$2:$A$495,0)),""))</f>
        <v/>
      </c>
      <c r="L3872" s="22">
        <f t="array" ref="L3872">IF($D3872="","",IFERROR(INDEX(MASTER_SOURCE!$D$2:$D$495,MATCH($I3872,MASTER_SOURCE!$A$2:$A$495,0)),""))</f>
        <v/>
      </c>
      <c r="M3872" s="24" t="n"/>
      <c r="N3872" s="24" t="n"/>
      <c r="O3872" s="24" t="n"/>
      <c r="P3872" s="24" t="n"/>
      <c r="Q3872" s="22">
        <f>IF($D3872="","",IF(AND(OR(DANH_MUC!$L$5&lt;&gt;"Có",M3872="Có"),OR(DANH_MUC!$L$6&lt;&gt;"Có",N3872="Có"),OR(DANH_MUC!$L$7&lt;&gt;"Có",O3872="Có"),OR(DANH_MUC!$L$8&lt;&gt;"Có",P3872="Có")),"Có","Không"))</f>
        <v/>
      </c>
      <c r="R3872" s="22">
        <f>IF($D3872="","",IF(COUNTIF($D$2:$D3872,$D3872)&gt;1,"Trùng",""))</f>
        <v/>
      </c>
      <c r="S3872" s="22">
        <f>IF($D3872="","",IF(AND(LEN($D3872)=10,LEFT($D3872,1)="0",ISNUMBER(--$D3872)),"Có","Không"))</f>
        <v/>
      </c>
      <c r="T3872" s="22">
        <f>IF($D3872="","",IF(AND($C3872&lt;&gt;"",$Q3872="Có",$R3872="",$S3872="Có",AND($L3872&lt;&gt;"",OR($L3872&lt;&gt;"Chưa xác định",DANH_MUC!$L$9="Có"))),"Có","Không"))</f>
        <v/>
      </c>
      <c r="U3872" s="22">
        <f>IF(OR($D3872="",$T3872="Có"),"",IF($C3872="","Thiếu họ tên; ","")&amp;IF($S3872&lt;&gt;"Có","SĐT sai định dạng; ","")&amp;IF($R3872="Trùng","Trùng SĐT; ","")&amp;IF($Q3872&lt;&gt;"Có","Thiếu đồng ý bắt buộc; ","")&amp;IF($L3872="","Thiếu/sai Mã REF; ",IF(AND($L3872="Chưa xác định",DANH_MUC!$L$9&lt;&gt;"Có"),"Nguồn chưa xác định; ","")))</f>
        <v/>
      </c>
      <c r="V3872" s="22">
        <f>IF(OR($D3872="",$R3872="Trùng"),"",IF(COUNTIF(ORDERS!$C$2:$C$4995,$D3872)&gt;0,"Có","Không"))</f>
        <v/>
      </c>
      <c r="W3872" s="22">
        <f>IF(OR($D3872="",$R3872="Trùng"),"",COUNTIFS(ORDERS!$C$2:$C$4995,$D3872,ORDERS!$L$2:$L$4995,"Đã chuyển khoản"))</f>
        <v/>
      </c>
      <c r="X3872" s="23">
        <f>IF(OR($D3872="",$R3872="Trùng"),"",SUMIFS(ORDERS!$J$2:$J$4995,ORDERS!$C$2:$C$4995,$D3872,ORDERS!$L$2:$L$4995,"Đã chuyển khoản"))</f>
        <v/>
      </c>
      <c r="Y3872" s="24" t="n"/>
    </row>
    <row r="3873" ht="14.25" customHeight="1" s="40">
      <c r="A3873" s="24" t="n"/>
      <c r="B3873" s="27" t="n"/>
      <c r="C3873" s="24" t="n"/>
      <c r="D3873" s="28" t="n"/>
      <c r="E3873" s="29" t="n"/>
      <c r="F3873" s="24" t="n"/>
      <c r="G3873" s="24" t="n"/>
      <c r="H3873" s="21">
        <f>IF(ISNUMBER($B3873),INT($B3873)-WEEKDAY($B3873,2)+1,"")</f>
        <v/>
      </c>
      <c r="I3873" s="24" t="n"/>
      <c r="J3873" s="22">
        <f t="array" ref="J3873">IF($D3873="","",IF($I3873="","(trống REF)",IFERROR(INDEX(MASTER_SOURCE!$B$2:$B$495,MATCH($I3873,MASTER_SOURCE!$A$2:$A$495,0)),"(REF không có trong MASTER_SOURCE)")))</f>
        <v/>
      </c>
      <c r="K3873" s="22">
        <f t="array" ref="K3873">IF($D3873="","",IFERROR(INDEX(MASTER_SOURCE!$C$2:$C$495,MATCH($I3873,MASTER_SOURCE!$A$2:$A$495,0)),""))</f>
        <v/>
      </c>
      <c r="L3873" s="22">
        <f t="array" ref="L3873">IF($D3873="","",IFERROR(INDEX(MASTER_SOURCE!$D$2:$D$495,MATCH($I3873,MASTER_SOURCE!$A$2:$A$495,0)),""))</f>
        <v/>
      </c>
      <c r="M3873" s="24" t="n"/>
      <c r="N3873" s="24" t="n"/>
      <c r="O3873" s="24" t="n"/>
      <c r="P3873" s="24" t="n"/>
      <c r="Q3873" s="22">
        <f>IF($D3873="","",IF(AND(OR(DANH_MUC!$L$5&lt;&gt;"Có",M3873="Có"),OR(DANH_MUC!$L$6&lt;&gt;"Có",N3873="Có"),OR(DANH_MUC!$L$7&lt;&gt;"Có",O3873="Có"),OR(DANH_MUC!$L$8&lt;&gt;"Có",P3873="Có")),"Có","Không"))</f>
        <v/>
      </c>
      <c r="R3873" s="22">
        <f>IF($D3873="","",IF(COUNTIF($D$2:$D3873,$D3873)&gt;1,"Trùng",""))</f>
        <v/>
      </c>
      <c r="S3873" s="22">
        <f>IF($D3873="","",IF(AND(LEN($D3873)=10,LEFT($D3873,1)="0",ISNUMBER(--$D3873)),"Có","Không"))</f>
        <v/>
      </c>
      <c r="T3873" s="22">
        <f>IF($D3873="","",IF(AND($C3873&lt;&gt;"",$Q3873="Có",$R3873="",$S3873="Có",AND($L3873&lt;&gt;"",OR($L3873&lt;&gt;"Chưa xác định",DANH_MUC!$L$9="Có"))),"Có","Không"))</f>
        <v/>
      </c>
      <c r="U3873" s="22">
        <f>IF(OR($D3873="",$T3873="Có"),"",IF($C3873="","Thiếu họ tên; ","")&amp;IF($S3873&lt;&gt;"Có","SĐT sai định dạng; ","")&amp;IF($R3873="Trùng","Trùng SĐT; ","")&amp;IF($Q3873&lt;&gt;"Có","Thiếu đồng ý bắt buộc; ","")&amp;IF($L3873="","Thiếu/sai Mã REF; ",IF(AND($L3873="Chưa xác định",DANH_MUC!$L$9&lt;&gt;"Có"),"Nguồn chưa xác định; ","")))</f>
        <v/>
      </c>
      <c r="V3873" s="22">
        <f>IF(OR($D3873="",$R3873="Trùng"),"",IF(COUNTIF(ORDERS!$C$2:$C$4995,$D3873)&gt;0,"Có","Không"))</f>
        <v/>
      </c>
      <c r="W3873" s="22">
        <f>IF(OR($D3873="",$R3873="Trùng"),"",COUNTIFS(ORDERS!$C$2:$C$4995,$D3873,ORDERS!$L$2:$L$4995,"Đã chuyển khoản"))</f>
        <v/>
      </c>
      <c r="X3873" s="23">
        <f>IF(OR($D3873="",$R3873="Trùng"),"",SUMIFS(ORDERS!$J$2:$J$4995,ORDERS!$C$2:$C$4995,$D3873,ORDERS!$L$2:$L$4995,"Đã chuyển khoản"))</f>
        <v/>
      </c>
      <c r="Y3873" s="24" t="n"/>
    </row>
    <row r="3874" ht="14.25" customHeight="1" s="40">
      <c r="A3874" s="24" t="n"/>
      <c r="B3874" s="27" t="n"/>
      <c r="C3874" s="24" t="n"/>
      <c r="D3874" s="28" t="n"/>
      <c r="E3874" s="29" t="n"/>
      <c r="F3874" s="24" t="n"/>
      <c r="G3874" s="24" t="n"/>
      <c r="H3874" s="21">
        <f>IF(ISNUMBER($B3874),INT($B3874)-WEEKDAY($B3874,2)+1,"")</f>
        <v/>
      </c>
      <c r="I3874" s="24" t="n"/>
      <c r="J3874" s="22">
        <f t="array" ref="J3874">IF($D3874="","",IF($I3874="","(trống REF)",IFERROR(INDEX(MASTER_SOURCE!$B$2:$B$495,MATCH($I3874,MASTER_SOURCE!$A$2:$A$495,0)),"(REF không có trong MASTER_SOURCE)")))</f>
        <v/>
      </c>
      <c r="K3874" s="22">
        <f t="array" ref="K3874">IF($D3874="","",IFERROR(INDEX(MASTER_SOURCE!$C$2:$C$495,MATCH($I3874,MASTER_SOURCE!$A$2:$A$495,0)),""))</f>
        <v/>
      </c>
      <c r="L3874" s="22">
        <f t="array" ref="L3874">IF($D3874="","",IFERROR(INDEX(MASTER_SOURCE!$D$2:$D$495,MATCH($I3874,MASTER_SOURCE!$A$2:$A$495,0)),""))</f>
        <v/>
      </c>
      <c r="M3874" s="24" t="n"/>
      <c r="N3874" s="24" t="n"/>
      <c r="O3874" s="24" t="n"/>
      <c r="P3874" s="24" t="n"/>
      <c r="Q3874" s="22">
        <f>IF($D3874="","",IF(AND(OR(DANH_MUC!$L$5&lt;&gt;"Có",M3874="Có"),OR(DANH_MUC!$L$6&lt;&gt;"Có",N3874="Có"),OR(DANH_MUC!$L$7&lt;&gt;"Có",O3874="Có"),OR(DANH_MUC!$L$8&lt;&gt;"Có",P3874="Có")),"Có","Không"))</f>
        <v/>
      </c>
      <c r="R3874" s="22">
        <f>IF($D3874="","",IF(COUNTIF($D$2:$D3874,$D3874)&gt;1,"Trùng",""))</f>
        <v/>
      </c>
      <c r="S3874" s="22">
        <f>IF($D3874="","",IF(AND(LEN($D3874)=10,LEFT($D3874,1)="0",ISNUMBER(--$D3874)),"Có","Không"))</f>
        <v/>
      </c>
      <c r="T3874" s="22">
        <f>IF($D3874="","",IF(AND($C3874&lt;&gt;"",$Q3874="Có",$R3874="",$S3874="Có",AND($L3874&lt;&gt;"",OR($L3874&lt;&gt;"Chưa xác định",DANH_MUC!$L$9="Có"))),"Có","Không"))</f>
        <v/>
      </c>
      <c r="U3874" s="22">
        <f>IF(OR($D3874="",$T3874="Có"),"",IF($C3874="","Thiếu họ tên; ","")&amp;IF($S3874&lt;&gt;"Có","SĐT sai định dạng; ","")&amp;IF($R3874="Trùng","Trùng SĐT; ","")&amp;IF($Q3874&lt;&gt;"Có","Thiếu đồng ý bắt buộc; ","")&amp;IF($L3874="","Thiếu/sai Mã REF; ",IF(AND($L3874="Chưa xác định",DANH_MUC!$L$9&lt;&gt;"Có"),"Nguồn chưa xác định; ","")))</f>
        <v/>
      </c>
      <c r="V3874" s="22">
        <f>IF(OR($D3874="",$R3874="Trùng"),"",IF(COUNTIF(ORDERS!$C$2:$C$4995,$D3874)&gt;0,"Có","Không"))</f>
        <v/>
      </c>
      <c r="W3874" s="22">
        <f>IF(OR($D3874="",$R3874="Trùng"),"",COUNTIFS(ORDERS!$C$2:$C$4995,$D3874,ORDERS!$L$2:$L$4995,"Đã chuyển khoản"))</f>
        <v/>
      </c>
      <c r="X3874" s="23">
        <f>IF(OR($D3874="",$R3874="Trùng"),"",SUMIFS(ORDERS!$J$2:$J$4995,ORDERS!$C$2:$C$4995,$D3874,ORDERS!$L$2:$L$4995,"Đã chuyển khoản"))</f>
        <v/>
      </c>
      <c r="Y3874" s="24" t="n"/>
    </row>
    <row r="3875" ht="14.25" customHeight="1" s="40">
      <c r="A3875" s="24" t="n"/>
      <c r="B3875" s="27" t="n"/>
      <c r="C3875" s="24" t="n"/>
      <c r="D3875" s="28" t="n"/>
      <c r="E3875" s="29" t="n"/>
      <c r="F3875" s="24" t="n"/>
      <c r="G3875" s="24" t="n"/>
      <c r="H3875" s="21">
        <f>IF(ISNUMBER($B3875),INT($B3875)-WEEKDAY($B3875,2)+1,"")</f>
        <v/>
      </c>
      <c r="I3875" s="24" t="n"/>
      <c r="J3875" s="22">
        <f t="array" ref="J3875">IF($D3875="","",IF($I3875="","(trống REF)",IFERROR(INDEX(MASTER_SOURCE!$B$2:$B$495,MATCH($I3875,MASTER_SOURCE!$A$2:$A$495,0)),"(REF không có trong MASTER_SOURCE)")))</f>
        <v/>
      </c>
      <c r="K3875" s="22">
        <f t="array" ref="K3875">IF($D3875="","",IFERROR(INDEX(MASTER_SOURCE!$C$2:$C$495,MATCH($I3875,MASTER_SOURCE!$A$2:$A$495,0)),""))</f>
        <v/>
      </c>
      <c r="L3875" s="22">
        <f t="array" ref="L3875">IF($D3875="","",IFERROR(INDEX(MASTER_SOURCE!$D$2:$D$495,MATCH($I3875,MASTER_SOURCE!$A$2:$A$495,0)),""))</f>
        <v/>
      </c>
      <c r="M3875" s="24" t="n"/>
      <c r="N3875" s="24" t="n"/>
      <c r="O3875" s="24" t="n"/>
      <c r="P3875" s="24" t="n"/>
      <c r="Q3875" s="22">
        <f>IF($D3875="","",IF(AND(OR(DANH_MUC!$L$5&lt;&gt;"Có",M3875="Có"),OR(DANH_MUC!$L$6&lt;&gt;"Có",N3875="Có"),OR(DANH_MUC!$L$7&lt;&gt;"Có",O3875="Có"),OR(DANH_MUC!$L$8&lt;&gt;"Có",P3875="Có")),"Có","Không"))</f>
        <v/>
      </c>
      <c r="R3875" s="22">
        <f>IF($D3875="","",IF(COUNTIF($D$2:$D3875,$D3875)&gt;1,"Trùng",""))</f>
        <v/>
      </c>
      <c r="S3875" s="22">
        <f>IF($D3875="","",IF(AND(LEN($D3875)=10,LEFT($D3875,1)="0",ISNUMBER(--$D3875)),"Có","Không"))</f>
        <v/>
      </c>
      <c r="T3875" s="22">
        <f>IF($D3875="","",IF(AND($C3875&lt;&gt;"",$Q3875="Có",$R3875="",$S3875="Có",AND($L3875&lt;&gt;"",OR($L3875&lt;&gt;"Chưa xác định",DANH_MUC!$L$9="Có"))),"Có","Không"))</f>
        <v/>
      </c>
      <c r="U3875" s="22">
        <f>IF(OR($D3875="",$T3875="Có"),"",IF($C3875="","Thiếu họ tên; ","")&amp;IF($S3875&lt;&gt;"Có","SĐT sai định dạng; ","")&amp;IF($R3875="Trùng","Trùng SĐT; ","")&amp;IF($Q3875&lt;&gt;"Có","Thiếu đồng ý bắt buộc; ","")&amp;IF($L3875="","Thiếu/sai Mã REF; ",IF(AND($L3875="Chưa xác định",DANH_MUC!$L$9&lt;&gt;"Có"),"Nguồn chưa xác định; ","")))</f>
        <v/>
      </c>
      <c r="V3875" s="22">
        <f>IF(OR($D3875="",$R3875="Trùng"),"",IF(COUNTIF(ORDERS!$C$2:$C$4995,$D3875)&gt;0,"Có","Không"))</f>
        <v/>
      </c>
      <c r="W3875" s="22">
        <f>IF(OR($D3875="",$R3875="Trùng"),"",COUNTIFS(ORDERS!$C$2:$C$4995,$D3875,ORDERS!$L$2:$L$4995,"Đã chuyển khoản"))</f>
        <v/>
      </c>
      <c r="X3875" s="23">
        <f>IF(OR($D3875="",$R3875="Trùng"),"",SUMIFS(ORDERS!$J$2:$J$4995,ORDERS!$C$2:$C$4995,$D3875,ORDERS!$L$2:$L$4995,"Đã chuyển khoản"))</f>
        <v/>
      </c>
      <c r="Y3875" s="24" t="n"/>
    </row>
    <row r="3876" ht="14.25" customHeight="1" s="40">
      <c r="A3876" s="24" t="n"/>
      <c r="B3876" s="27" t="n"/>
      <c r="C3876" s="24" t="n"/>
      <c r="D3876" s="28" t="n"/>
      <c r="E3876" s="29" t="n"/>
      <c r="F3876" s="24" t="n"/>
      <c r="G3876" s="24" t="n"/>
      <c r="H3876" s="21">
        <f>IF(ISNUMBER($B3876),INT($B3876)-WEEKDAY($B3876,2)+1,"")</f>
        <v/>
      </c>
      <c r="I3876" s="24" t="n"/>
      <c r="J3876" s="22">
        <f t="array" ref="J3876">IF($D3876="","",IF($I3876="","(trống REF)",IFERROR(INDEX(MASTER_SOURCE!$B$2:$B$495,MATCH($I3876,MASTER_SOURCE!$A$2:$A$495,0)),"(REF không có trong MASTER_SOURCE)")))</f>
        <v/>
      </c>
      <c r="K3876" s="22">
        <f t="array" ref="K3876">IF($D3876="","",IFERROR(INDEX(MASTER_SOURCE!$C$2:$C$495,MATCH($I3876,MASTER_SOURCE!$A$2:$A$495,0)),""))</f>
        <v/>
      </c>
      <c r="L3876" s="22">
        <f t="array" ref="L3876">IF($D3876="","",IFERROR(INDEX(MASTER_SOURCE!$D$2:$D$495,MATCH($I3876,MASTER_SOURCE!$A$2:$A$495,0)),""))</f>
        <v/>
      </c>
      <c r="M3876" s="24" t="n"/>
      <c r="N3876" s="24" t="n"/>
      <c r="O3876" s="24" t="n"/>
      <c r="P3876" s="24" t="n"/>
      <c r="Q3876" s="22">
        <f>IF($D3876="","",IF(AND(OR(DANH_MUC!$L$5&lt;&gt;"Có",M3876="Có"),OR(DANH_MUC!$L$6&lt;&gt;"Có",N3876="Có"),OR(DANH_MUC!$L$7&lt;&gt;"Có",O3876="Có"),OR(DANH_MUC!$L$8&lt;&gt;"Có",P3876="Có")),"Có","Không"))</f>
        <v/>
      </c>
      <c r="R3876" s="22">
        <f>IF($D3876="","",IF(COUNTIF($D$2:$D3876,$D3876)&gt;1,"Trùng",""))</f>
        <v/>
      </c>
      <c r="S3876" s="22">
        <f>IF($D3876="","",IF(AND(LEN($D3876)=10,LEFT($D3876,1)="0",ISNUMBER(--$D3876)),"Có","Không"))</f>
        <v/>
      </c>
      <c r="T3876" s="22">
        <f>IF($D3876="","",IF(AND($C3876&lt;&gt;"",$Q3876="Có",$R3876="",$S3876="Có",AND($L3876&lt;&gt;"",OR($L3876&lt;&gt;"Chưa xác định",DANH_MUC!$L$9="Có"))),"Có","Không"))</f>
        <v/>
      </c>
      <c r="U3876" s="22">
        <f>IF(OR($D3876="",$T3876="Có"),"",IF($C3876="","Thiếu họ tên; ","")&amp;IF($S3876&lt;&gt;"Có","SĐT sai định dạng; ","")&amp;IF($R3876="Trùng","Trùng SĐT; ","")&amp;IF($Q3876&lt;&gt;"Có","Thiếu đồng ý bắt buộc; ","")&amp;IF($L3876="","Thiếu/sai Mã REF; ",IF(AND($L3876="Chưa xác định",DANH_MUC!$L$9&lt;&gt;"Có"),"Nguồn chưa xác định; ","")))</f>
        <v/>
      </c>
      <c r="V3876" s="22">
        <f>IF(OR($D3876="",$R3876="Trùng"),"",IF(COUNTIF(ORDERS!$C$2:$C$4995,$D3876)&gt;0,"Có","Không"))</f>
        <v/>
      </c>
      <c r="W3876" s="22">
        <f>IF(OR($D3876="",$R3876="Trùng"),"",COUNTIFS(ORDERS!$C$2:$C$4995,$D3876,ORDERS!$L$2:$L$4995,"Đã chuyển khoản"))</f>
        <v/>
      </c>
      <c r="X3876" s="23">
        <f>IF(OR($D3876="",$R3876="Trùng"),"",SUMIFS(ORDERS!$J$2:$J$4995,ORDERS!$C$2:$C$4995,$D3876,ORDERS!$L$2:$L$4995,"Đã chuyển khoản"))</f>
        <v/>
      </c>
      <c r="Y3876" s="24" t="n"/>
    </row>
    <row r="3877" ht="14.25" customHeight="1" s="40">
      <c r="A3877" s="24" t="n"/>
      <c r="B3877" s="27" t="n"/>
      <c r="C3877" s="24" t="n"/>
      <c r="D3877" s="28" t="n"/>
      <c r="E3877" s="29" t="n"/>
      <c r="F3877" s="24" t="n"/>
      <c r="G3877" s="24" t="n"/>
      <c r="H3877" s="21">
        <f>IF(ISNUMBER($B3877),INT($B3877)-WEEKDAY($B3877,2)+1,"")</f>
        <v/>
      </c>
      <c r="I3877" s="24" t="n"/>
      <c r="J3877" s="22">
        <f t="array" ref="J3877">IF($D3877="","",IF($I3877="","(trống REF)",IFERROR(INDEX(MASTER_SOURCE!$B$2:$B$495,MATCH($I3877,MASTER_SOURCE!$A$2:$A$495,0)),"(REF không có trong MASTER_SOURCE)")))</f>
        <v/>
      </c>
      <c r="K3877" s="22">
        <f t="array" ref="K3877">IF($D3877="","",IFERROR(INDEX(MASTER_SOURCE!$C$2:$C$495,MATCH($I3877,MASTER_SOURCE!$A$2:$A$495,0)),""))</f>
        <v/>
      </c>
      <c r="L3877" s="22">
        <f t="array" ref="L3877">IF($D3877="","",IFERROR(INDEX(MASTER_SOURCE!$D$2:$D$495,MATCH($I3877,MASTER_SOURCE!$A$2:$A$495,0)),""))</f>
        <v/>
      </c>
      <c r="M3877" s="24" t="n"/>
      <c r="N3877" s="24" t="n"/>
      <c r="O3877" s="24" t="n"/>
      <c r="P3877" s="24" t="n"/>
      <c r="Q3877" s="22">
        <f>IF($D3877="","",IF(AND(OR(DANH_MUC!$L$5&lt;&gt;"Có",M3877="Có"),OR(DANH_MUC!$L$6&lt;&gt;"Có",N3877="Có"),OR(DANH_MUC!$L$7&lt;&gt;"Có",O3877="Có"),OR(DANH_MUC!$L$8&lt;&gt;"Có",P3877="Có")),"Có","Không"))</f>
        <v/>
      </c>
      <c r="R3877" s="22">
        <f>IF($D3877="","",IF(COUNTIF($D$2:$D3877,$D3877)&gt;1,"Trùng",""))</f>
        <v/>
      </c>
      <c r="S3877" s="22">
        <f>IF($D3877="","",IF(AND(LEN($D3877)=10,LEFT($D3877,1)="0",ISNUMBER(--$D3877)),"Có","Không"))</f>
        <v/>
      </c>
      <c r="T3877" s="22">
        <f>IF($D3877="","",IF(AND($C3877&lt;&gt;"",$Q3877="Có",$R3877="",$S3877="Có",AND($L3877&lt;&gt;"",OR($L3877&lt;&gt;"Chưa xác định",DANH_MUC!$L$9="Có"))),"Có","Không"))</f>
        <v/>
      </c>
      <c r="U3877" s="22">
        <f>IF(OR($D3877="",$T3877="Có"),"",IF($C3877="","Thiếu họ tên; ","")&amp;IF($S3877&lt;&gt;"Có","SĐT sai định dạng; ","")&amp;IF($R3877="Trùng","Trùng SĐT; ","")&amp;IF($Q3877&lt;&gt;"Có","Thiếu đồng ý bắt buộc; ","")&amp;IF($L3877="","Thiếu/sai Mã REF; ",IF(AND($L3877="Chưa xác định",DANH_MUC!$L$9&lt;&gt;"Có"),"Nguồn chưa xác định; ","")))</f>
        <v/>
      </c>
      <c r="V3877" s="22">
        <f>IF(OR($D3877="",$R3877="Trùng"),"",IF(COUNTIF(ORDERS!$C$2:$C$4995,$D3877)&gt;0,"Có","Không"))</f>
        <v/>
      </c>
      <c r="W3877" s="22">
        <f>IF(OR($D3877="",$R3877="Trùng"),"",COUNTIFS(ORDERS!$C$2:$C$4995,$D3877,ORDERS!$L$2:$L$4995,"Đã chuyển khoản"))</f>
        <v/>
      </c>
      <c r="X3877" s="23">
        <f>IF(OR($D3877="",$R3877="Trùng"),"",SUMIFS(ORDERS!$J$2:$J$4995,ORDERS!$C$2:$C$4995,$D3877,ORDERS!$L$2:$L$4995,"Đã chuyển khoản"))</f>
        <v/>
      </c>
      <c r="Y3877" s="24" t="n"/>
    </row>
    <row r="3878" ht="14.25" customHeight="1" s="40">
      <c r="A3878" s="24" t="n"/>
      <c r="B3878" s="27" t="n"/>
      <c r="C3878" s="24" t="n"/>
      <c r="D3878" s="28" t="n"/>
      <c r="E3878" s="29" t="n"/>
      <c r="F3878" s="24" t="n"/>
      <c r="G3878" s="24" t="n"/>
      <c r="H3878" s="21">
        <f>IF(ISNUMBER($B3878),INT($B3878)-WEEKDAY($B3878,2)+1,"")</f>
        <v/>
      </c>
      <c r="I3878" s="24" t="n"/>
      <c r="J3878" s="22">
        <f t="array" ref="J3878">IF($D3878="","",IF($I3878="","(trống REF)",IFERROR(INDEX(MASTER_SOURCE!$B$2:$B$495,MATCH($I3878,MASTER_SOURCE!$A$2:$A$495,0)),"(REF không có trong MASTER_SOURCE)")))</f>
        <v/>
      </c>
      <c r="K3878" s="22">
        <f t="array" ref="K3878">IF($D3878="","",IFERROR(INDEX(MASTER_SOURCE!$C$2:$C$495,MATCH($I3878,MASTER_SOURCE!$A$2:$A$495,0)),""))</f>
        <v/>
      </c>
      <c r="L3878" s="22">
        <f t="array" ref="L3878">IF($D3878="","",IFERROR(INDEX(MASTER_SOURCE!$D$2:$D$495,MATCH($I3878,MASTER_SOURCE!$A$2:$A$495,0)),""))</f>
        <v/>
      </c>
      <c r="M3878" s="24" t="n"/>
      <c r="N3878" s="24" t="n"/>
      <c r="O3878" s="24" t="n"/>
      <c r="P3878" s="24" t="n"/>
      <c r="Q3878" s="22">
        <f>IF($D3878="","",IF(AND(OR(DANH_MUC!$L$5&lt;&gt;"Có",M3878="Có"),OR(DANH_MUC!$L$6&lt;&gt;"Có",N3878="Có"),OR(DANH_MUC!$L$7&lt;&gt;"Có",O3878="Có"),OR(DANH_MUC!$L$8&lt;&gt;"Có",P3878="Có")),"Có","Không"))</f>
        <v/>
      </c>
      <c r="R3878" s="22">
        <f>IF($D3878="","",IF(COUNTIF($D$2:$D3878,$D3878)&gt;1,"Trùng",""))</f>
        <v/>
      </c>
      <c r="S3878" s="22">
        <f>IF($D3878="","",IF(AND(LEN($D3878)=10,LEFT($D3878,1)="0",ISNUMBER(--$D3878)),"Có","Không"))</f>
        <v/>
      </c>
      <c r="T3878" s="22">
        <f>IF($D3878="","",IF(AND($C3878&lt;&gt;"",$Q3878="Có",$R3878="",$S3878="Có",AND($L3878&lt;&gt;"",OR($L3878&lt;&gt;"Chưa xác định",DANH_MUC!$L$9="Có"))),"Có","Không"))</f>
        <v/>
      </c>
      <c r="U3878" s="22">
        <f>IF(OR($D3878="",$T3878="Có"),"",IF($C3878="","Thiếu họ tên; ","")&amp;IF($S3878&lt;&gt;"Có","SĐT sai định dạng; ","")&amp;IF($R3878="Trùng","Trùng SĐT; ","")&amp;IF($Q3878&lt;&gt;"Có","Thiếu đồng ý bắt buộc; ","")&amp;IF($L3878="","Thiếu/sai Mã REF; ",IF(AND($L3878="Chưa xác định",DANH_MUC!$L$9&lt;&gt;"Có"),"Nguồn chưa xác định; ","")))</f>
        <v/>
      </c>
      <c r="V3878" s="22">
        <f>IF(OR($D3878="",$R3878="Trùng"),"",IF(COUNTIF(ORDERS!$C$2:$C$4995,$D3878)&gt;0,"Có","Không"))</f>
        <v/>
      </c>
      <c r="W3878" s="22">
        <f>IF(OR($D3878="",$R3878="Trùng"),"",COUNTIFS(ORDERS!$C$2:$C$4995,$D3878,ORDERS!$L$2:$L$4995,"Đã chuyển khoản"))</f>
        <v/>
      </c>
      <c r="X3878" s="23">
        <f>IF(OR($D3878="",$R3878="Trùng"),"",SUMIFS(ORDERS!$J$2:$J$4995,ORDERS!$C$2:$C$4995,$D3878,ORDERS!$L$2:$L$4995,"Đã chuyển khoản"))</f>
        <v/>
      </c>
      <c r="Y3878" s="24" t="n"/>
    </row>
    <row r="3879" ht="14.25" customHeight="1" s="40">
      <c r="A3879" s="24" t="n"/>
      <c r="B3879" s="27" t="n"/>
      <c r="C3879" s="24" t="n"/>
      <c r="D3879" s="28" t="n"/>
      <c r="E3879" s="29" t="n"/>
      <c r="F3879" s="24" t="n"/>
      <c r="G3879" s="24" t="n"/>
      <c r="H3879" s="21">
        <f>IF(ISNUMBER($B3879),INT($B3879)-WEEKDAY($B3879,2)+1,"")</f>
        <v/>
      </c>
      <c r="I3879" s="24" t="n"/>
      <c r="J3879" s="22">
        <f t="array" ref="J3879">IF($D3879="","",IF($I3879="","(trống REF)",IFERROR(INDEX(MASTER_SOURCE!$B$2:$B$495,MATCH($I3879,MASTER_SOURCE!$A$2:$A$495,0)),"(REF không có trong MASTER_SOURCE)")))</f>
        <v/>
      </c>
      <c r="K3879" s="22">
        <f t="array" ref="K3879">IF($D3879="","",IFERROR(INDEX(MASTER_SOURCE!$C$2:$C$495,MATCH($I3879,MASTER_SOURCE!$A$2:$A$495,0)),""))</f>
        <v/>
      </c>
      <c r="L3879" s="22">
        <f t="array" ref="L3879">IF($D3879="","",IFERROR(INDEX(MASTER_SOURCE!$D$2:$D$495,MATCH($I3879,MASTER_SOURCE!$A$2:$A$495,0)),""))</f>
        <v/>
      </c>
      <c r="M3879" s="24" t="n"/>
      <c r="N3879" s="24" t="n"/>
      <c r="O3879" s="24" t="n"/>
      <c r="P3879" s="24" t="n"/>
      <c r="Q3879" s="22">
        <f>IF($D3879="","",IF(AND(OR(DANH_MUC!$L$5&lt;&gt;"Có",M3879="Có"),OR(DANH_MUC!$L$6&lt;&gt;"Có",N3879="Có"),OR(DANH_MUC!$L$7&lt;&gt;"Có",O3879="Có"),OR(DANH_MUC!$L$8&lt;&gt;"Có",P3879="Có")),"Có","Không"))</f>
        <v/>
      </c>
      <c r="R3879" s="22">
        <f>IF($D3879="","",IF(COUNTIF($D$2:$D3879,$D3879)&gt;1,"Trùng",""))</f>
        <v/>
      </c>
      <c r="S3879" s="22">
        <f>IF($D3879="","",IF(AND(LEN($D3879)=10,LEFT($D3879,1)="0",ISNUMBER(--$D3879)),"Có","Không"))</f>
        <v/>
      </c>
      <c r="T3879" s="22">
        <f>IF($D3879="","",IF(AND($C3879&lt;&gt;"",$Q3879="Có",$R3879="",$S3879="Có",AND($L3879&lt;&gt;"",OR($L3879&lt;&gt;"Chưa xác định",DANH_MUC!$L$9="Có"))),"Có","Không"))</f>
        <v/>
      </c>
      <c r="U3879" s="22">
        <f>IF(OR($D3879="",$T3879="Có"),"",IF($C3879="","Thiếu họ tên; ","")&amp;IF($S3879&lt;&gt;"Có","SĐT sai định dạng; ","")&amp;IF($R3879="Trùng","Trùng SĐT; ","")&amp;IF($Q3879&lt;&gt;"Có","Thiếu đồng ý bắt buộc; ","")&amp;IF($L3879="","Thiếu/sai Mã REF; ",IF(AND($L3879="Chưa xác định",DANH_MUC!$L$9&lt;&gt;"Có"),"Nguồn chưa xác định; ","")))</f>
        <v/>
      </c>
      <c r="V3879" s="22">
        <f>IF(OR($D3879="",$R3879="Trùng"),"",IF(COUNTIF(ORDERS!$C$2:$C$4995,$D3879)&gt;0,"Có","Không"))</f>
        <v/>
      </c>
      <c r="W3879" s="22">
        <f>IF(OR($D3879="",$R3879="Trùng"),"",COUNTIFS(ORDERS!$C$2:$C$4995,$D3879,ORDERS!$L$2:$L$4995,"Đã chuyển khoản"))</f>
        <v/>
      </c>
      <c r="X3879" s="23">
        <f>IF(OR($D3879="",$R3879="Trùng"),"",SUMIFS(ORDERS!$J$2:$J$4995,ORDERS!$C$2:$C$4995,$D3879,ORDERS!$L$2:$L$4995,"Đã chuyển khoản"))</f>
        <v/>
      </c>
      <c r="Y3879" s="24" t="n"/>
    </row>
    <row r="3880" ht="14.25" customHeight="1" s="40">
      <c r="A3880" s="24" t="n"/>
      <c r="B3880" s="27" t="n"/>
      <c r="C3880" s="24" t="n"/>
      <c r="D3880" s="28" t="n"/>
      <c r="E3880" s="29" t="n"/>
      <c r="F3880" s="24" t="n"/>
      <c r="G3880" s="24" t="n"/>
      <c r="H3880" s="21">
        <f>IF(ISNUMBER($B3880),INT($B3880)-WEEKDAY($B3880,2)+1,"")</f>
        <v/>
      </c>
      <c r="I3880" s="24" t="n"/>
      <c r="J3880" s="22">
        <f t="array" ref="J3880">IF($D3880="","",IF($I3880="","(trống REF)",IFERROR(INDEX(MASTER_SOURCE!$B$2:$B$495,MATCH($I3880,MASTER_SOURCE!$A$2:$A$495,0)),"(REF không có trong MASTER_SOURCE)")))</f>
        <v/>
      </c>
      <c r="K3880" s="22">
        <f t="array" ref="K3880">IF($D3880="","",IFERROR(INDEX(MASTER_SOURCE!$C$2:$C$495,MATCH($I3880,MASTER_SOURCE!$A$2:$A$495,0)),""))</f>
        <v/>
      </c>
      <c r="L3880" s="22">
        <f t="array" ref="L3880">IF($D3880="","",IFERROR(INDEX(MASTER_SOURCE!$D$2:$D$495,MATCH($I3880,MASTER_SOURCE!$A$2:$A$495,0)),""))</f>
        <v/>
      </c>
      <c r="M3880" s="24" t="n"/>
      <c r="N3880" s="24" t="n"/>
      <c r="O3880" s="24" t="n"/>
      <c r="P3880" s="24" t="n"/>
      <c r="Q3880" s="22">
        <f>IF($D3880="","",IF(AND(OR(DANH_MUC!$L$5&lt;&gt;"Có",M3880="Có"),OR(DANH_MUC!$L$6&lt;&gt;"Có",N3880="Có"),OR(DANH_MUC!$L$7&lt;&gt;"Có",O3880="Có"),OR(DANH_MUC!$L$8&lt;&gt;"Có",P3880="Có")),"Có","Không"))</f>
        <v/>
      </c>
      <c r="R3880" s="22">
        <f>IF($D3880="","",IF(COUNTIF($D$2:$D3880,$D3880)&gt;1,"Trùng",""))</f>
        <v/>
      </c>
      <c r="S3880" s="22">
        <f>IF($D3880="","",IF(AND(LEN($D3880)=10,LEFT($D3880,1)="0",ISNUMBER(--$D3880)),"Có","Không"))</f>
        <v/>
      </c>
      <c r="T3880" s="22">
        <f>IF($D3880="","",IF(AND($C3880&lt;&gt;"",$Q3880="Có",$R3880="",$S3880="Có",AND($L3880&lt;&gt;"",OR($L3880&lt;&gt;"Chưa xác định",DANH_MUC!$L$9="Có"))),"Có","Không"))</f>
        <v/>
      </c>
      <c r="U3880" s="22">
        <f>IF(OR($D3880="",$T3880="Có"),"",IF($C3880="","Thiếu họ tên; ","")&amp;IF($S3880&lt;&gt;"Có","SĐT sai định dạng; ","")&amp;IF($R3880="Trùng","Trùng SĐT; ","")&amp;IF($Q3880&lt;&gt;"Có","Thiếu đồng ý bắt buộc; ","")&amp;IF($L3880="","Thiếu/sai Mã REF; ",IF(AND($L3880="Chưa xác định",DANH_MUC!$L$9&lt;&gt;"Có"),"Nguồn chưa xác định; ","")))</f>
        <v/>
      </c>
      <c r="V3880" s="22">
        <f>IF(OR($D3880="",$R3880="Trùng"),"",IF(COUNTIF(ORDERS!$C$2:$C$4995,$D3880)&gt;0,"Có","Không"))</f>
        <v/>
      </c>
      <c r="W3880" s="22">
        <f>IF(OR($D3880="",$R3880="Trùng"),"",COUNTIFS(ORDERS!$C$2:$C$4995,$D3880,ORDERS!$L$2:$L$4995,"Đã chuyển khoản"))</f>
        <v/>
      </c>
      <c r="X3880" s="23">
        <f>IF(OR($D3880="",$R3880="Trùng"),"",SUMIFS(ORDERS!$J$2:$J$4995,ORDERS!$C$2:$C$4995,$D3880,ORDERS!$L$2:$L$4995,"Đã chuyển khoản"))</f>
        <v/>
      </c>
      <c r="Y3880" s="24" t="n"/>
    </row>
    <row r="3881" ht="14.25" customHeight="1" s="40">
      <c r="A3881" s="24" t="n"/>
      <c r="B3881" s="27" t="n"/>
      <c r="C3881" s="24" t="n"/>
      <c r="D3881" s="28" t="n"/>
      <c r="E3881" s="29" t="n"/>
      <c r="F3881" s="24" t="n"/>
      <c r="G3881" s="24" t="n"/>
      <c r="H3881" s="21">
        <f>IF(ISNUMBER($B3881),INT($B3881)-WEEKDAY($B3881,2)+1,"")</f>
        <v/>
      </c>
      <c r="I3881" s="24" t="n"/>
      <c r="J3881" s="22">
        <f t="array" ref="J3881">IF($D3881="","",IF($I3881="","(trống REF)",IFERROR(INDEX(MASTER_SOURCE!$B$2:$B$495,MATCH($I3881,MASTER_SOURCE!$A$2:$A$495,0)),"(REF không có trong MASTER_SOURCE)")))</f>
        <v/>
      </c>
      <c r="K3881" s="22">
        <f t="array" ref="K3881">IF($D3881="","",IFERROR(INDEX(MASTER_SOURCE!$C$2:$C$495,MATCH($I3881,MASTER_SOURCE!$A$2:$A$495,0)),""))</f>
        <v/>
      </c>
      <c r="L3881" s="22">
        <f t="array" ref="L3881">IF($D3881="","",IFERROR(INDEX(MASTER_SOURCE!$D$2:$D$495,MATCH($I3881,MASTER_SOURCE!$A$2:$A$495,0)),""))</f>
        <v/>
      </c>
      <c r="M3881" s="24" t="n"/>
      <c r="N3881" s="24" t="n"/>
      <c r="O3881" s="24" t="n"/>
      <c r="P3881" s="24" t="n"/>
      <c r="Q3881" s="22">
        <f>IF($D3881="","",IF(AND(OR(DANH_MUC!$L$5&lt;&gt;"Có",M3881="Có"),OR(DANH_MUC!$L$6&lt;&gt;"Có",N3881="Có"),OR(DANH_MUC!$L$7&lt;&gt;"Có",O3881="Có"),OR(DANH_MUC!$L$8&lt;&gt;"Có",P3881="Có")),"Có","Không"))</f>
        <v/>
      </c>
      <c r="R3881" s="22">
        <f>IF($D3881="","",IF(COUNTIF($D$2:$D3881,$D3881)&gt;1,"Trùng",""))</f>
        <v/>
      </c>
      <c r="S3881" s="22">
        <f>IF($D3881="","",IF(AND(LEN($D3881)=10,LEFT($D3881,1)="0",ISNUMBER(--$D3881)),"Có","Không"))</f>
        <v/>
      </c>
      <c r="T3881" s="22">
        <f>IF($D3881="","",IF(AND($C3881&lt;&gt;"",$Q3881="Có",$R3881="",$S3881="Có",AND($L3881&lt;&gt;"",OR($L3881&lt;&gt;"Chưa xác định",DANH_MUC!$L$9="Có"))),"Có","Không"))</f>
        <v/>
      </c>
      <c r="U3881" s="22">
        <f>IF(OR($D3881="",$T3881="Có"),"",IF($C3881="","Thiếu họ tên; ","")&amp;IF($S3881&lt;&gt;"Có","SĐT sai định dạng; ","")&amp;IF($R3881="Trùng","Trùng SĐT; ","")&amp;IF($Q3881&lt;&gt;"Có","Thiếu đồng ý bắt buộc; ","")&amp;IF($L3881="","Thiếu/sai Mã REF; ",IF(AND($L3881="Chưa xác định",DANH_MUC!$L$9&lt;&gt;"Có"),"Nguồn chưa xác định; ","")))</f>
        <v/>
      </c>
      <c r="V3881" s="22">
        <f>IF(OR($D3881="",$R3881="Trùng"),"",IF(COUNTIF(ORDERS!$C$2:$C$4995,$D3881)&gt;0,"Có","Không"))</f>
        <v/>
      </c>
      <c r="W3881" s="22">
        <f>IF(OR($D3881="",$R3881="Trùng"),"",COUNTIFS(ORDERS!$C$2:$C$4995,$D3881,ORDERS!$L$2:$L$4995,"Đã chuyển khoản"))</f>
        <v/>
      </c>
      <c r="X3881" s="23">
        <f>IF(OR($D3881="",$R3881="Trùng"),"",SUMIFS(ORDERS!$J$2:$J$4995,ORDERS!$C$2:$C$4995,$D3881,ORDERS!$L$2:$L$4995,"Đã chuyển khoản"))</f>
        <v/>
      </c>
      <c r="Y3881" s="24" t="n"/>
    </row>
    <row r="3882" ht="14.25" customHeight="1" s="40">
      <c r="A3882" s="24" t="n"/>
      <c r="B3882" s="27" t="n"/>
      <c r="C3882" s="24" t="n"/>
      <c r="D3882" s="28" t="n"/>
      <c r="E3882" s="29" t="n"/>
      <c r="F3882" s="24" t="n"/>
      <c r="G3882" s="24" t="n"/>
      <c r="H3882" s="21">
        <f>IF(ISNUMBER($B3882),INT($B3882)-WEEKDAY($B3882,2)+1,"")</f>
        <v/>
      </c>
      <c r="I3882" s="24" t="n"/>
      <c r="J3882" s="22">
        <f t="array" ref="J3882">IF($D3882="","",IF($I3882="","(trống REF)",IFERROR(INDEX(MASTER_SOURCE!$B$2:$B$495,MATCH($I3882,MASTER_SOURCE!$A$2:$A$495,0)),"(REF không có trong MASTER_SOURCE)")))</f>
        <v/>
      </c>
      <c r="K3882" s="22">
        <f t="array" ref="K3882">IF($D3882="","",IFERROR(INDEX(MASTER_SOURCE!$C$2:$C$495,MATCH($I3882,MASTER_SOURCE!$A$2:$A$495,0)),""))</f>
        <v/>
      </c>
      <c r="L3882" s="22">
        <f t="array" ref="L3882">IF($D3882="","",IFERROR(INDEX(MASTER_SOURCE!$D$2:$D$495,MATCH($I3882,MASTER_SOURCE!$A$2:$A$495,0)),""))</f>
        <v/>
      </c>
      <c r="M3882" s="24" t="n"/>
      <c r="N3882" s="24" t="n"/>
      <c r="O3882" s="24" t="n"/>
      <c r="P3882" s="24" t="n"/>
      <c r="Q3882" s="22">
        <f>IF($D3882="","",IF(AND(OR(DANH_MUC!$L$5&lt;&gt;"Có",M3882="Có"),OR(DANH_MUC!$L$6&lt;&gt;"Có",N3882="Có"),OR(DANH_MUC!$L$7&lt;&gt;"Có",O3882="Có"),OR(DANH_MUC!$L$8&lt;&gt;"Có",P3882="Có")),"Có","Không"))</f>
        <v/>
      </c>
      <c r="R3882" s="22">
        <f>IF($D3882="","",IF(COUNTIF($D$2:$D3882,$D3882)&gt;1,"Trùng",""))</f>
        <v/>
      </c>
      <c r="S3882" s="22">
        <f>IF($D3882="","",IF(AND(LEN($D3882)=10,LEFT($D3882,1)="0",ISNUMBER(--$D3882)),"Có","Không"))</f>
        <v/>
      </c>
      <c r="T3882" s="22">
        <f>IF($D3882="","",IF(AND($C3882&lt;&gt;"",$Q3882="Có",$R3882="",$S3882="Có",AND($L3882&lt;&gt;"",OR($L3882&lt;&gt;"Chưa xác định",DANH_MUC!$L$9="Có"))),"Có","Không"))</f>
        <v/>
      </c>
      <c r="U3882" s="22">
        <f>IF(OR($D3882="",$T3882="Có"),"",IF($C3882="","Thiếu họ tên; ","")&amp;IF($S3882&lt;&gt;"Có","SĐT sai định dạng; ","")&amp;IF($R3882="Trùng","Trùng SĐT; ","")&amp;IF($Q3882&lt;&gt;"Có","Thiếu đồng ý bắt buộc; ","")&amp;IF($L3882="","Thiếu/sai Mã REF; ",IF(AND($L3882="Chưa xác định",DANH_MUC!$L$9&lt;&gt;"Có"),"Nguồn chưa xác định; ","")))</f>
        <v/>
      </c>
      <c r="V3882" s="22">
        <f>IF(OR($D3882="",$R3882="Trùng"),"",IF(COUNTIF(ORDERS!$C$2:$C$4995,$D3882)&gt;0,"Có","Không"))</f>
        <v/>
      </c>
      <c r="W3882" s="22">
        <f>IF(OR($D3882="",$R3882="Trùng"),"",COUNTIFS(ORDERS!$C$2:$C$4995,$D3882,ORDERS!$L$2:$L$4995,"Đã chuyển khoản"))</f>
        <v/>
      </c>
      <c r="X3882" s="23">
        <f>IF(OR($D3882="",$R3882="Trùng"),"",SUMIFS(ORDERS!$J$2:$J$4995,ORDERS!$C$2:$C$4995,$D3882,ORDERS!$L$2:$L$4995,"Đã chuyển khoản"))</f>
        <v/>
      </c>
      <c r="Y3882" s="24" t="n"/>
    </row>
    <row r="3883" ht="14.25" customHeight="1" s="40">
      <c r="A3883" s="24" t="n"/>
      <c r="B3883" s="27" t="n"/>
      <c r="C3883" s="24" t="n"/>
      <c r="D3883" s="28" t="n"/>
      <c r="E3883" s="29" t="n"/>
      <c r="F3883" s="24" t="n"/>
      <c r="G3883" s="24" t="n"/>
      <c r="H3883" s="21">
        <f>IF(ISNUMBER($B3883),INT($B3883)-WEEKDAY($B3883,2)+1,"")</f>
        <v/>
      </c>
      <c r="I3883" s="24" t="n"/>
      <c r="J3883" s="22">
        <f t="array" ref="J3883">IF($D3883="","",IF($I3883="","(trống REF)",IFERROR(INDEX(MASTER_SOURCE!$B$2:$B$495,MATCH($I3883,MASTER_SOURCE!$A$2:$A$495,0)),"(REF không có trong MASTER_SOURCE)")))</f>
        <v/>
      </c>
      <c r="K3883" s="22">
        <f t="array" ref="K3883">IF($D3883="","",IFERROR(INDEX(MASTER_SOURCE!$C$2:$C$495,MATCH($I3883,MASTER_SOURCE!$A$2:$A$495,0)),""))</f>
        <v/>
      </c>
      <c r="L3883" s="22">
        <f t="array" ref="L3883">IF($D3883="","",IFERROR(INDEX(MASTER_SOURCE!$D$2:$D$495,MATCH($I3883,MASTER_SOURCE!$A$2:$A$495,0)),""))</f>
        <v/>
      </c>
      <c r="M3883" s="24" t="n"/>
      <c r="N3883" s="24" t="n"/>
      <c r="O3883" s="24" t="n"/>
      <c r="P3883" s="24" t="n"/>
      <c r="Q3883" s="22">
        <f>IF($D3883="","",IF(AND(OR(DANH_MUC!$L$5&lt;&gt;"Có",M3883="Có"),OR(DANH_MUC!$L$6&lt;&gt;"Có",N3883="Có"),OR(DANH_MUC!$L$7&lt;&gt;"Có",O3883="Có"),OR(DANH_MUC!$L$8&lt;&gt;"Có",P3883="Có")),"Có","Không"))</f>
        <v/>
      </c>
      <c r="R3883" s="22">
        <f>IF($D3883="","",IF(COUNTIF($D$2:$D3883,$D3883)&gt;1,"Trùng",""))</f>
        <v/>
      </c>
      <c r="S3883" s="22">
        <f>IF($D3883="","",IF(AND(LEN($D3883)=10,LEFT($D3883,1)="0",ISNUMBER(--$D3883)),"Có","Không"))</f>
        <v/>
      </c>
      <c r="T3883" s="22">
        <f>IF($D3883="","",IF(AND($C3883&lt;&gt;"",$Q3883="Có",$R3883="",$S3883="Có",AND($L3883&lt;&gt;"",OR($L3883&lt;&gt;"Chưa xác định",DANH_MUC!$L$9="Có"))),"Có","Không"))</f>
        <v/>
      </c>
      <c r="U3883" s="22">
        <f>IF(OR($D3883="",$T3883="Có"),"",IF($C3883="","Thiếu họ tên; ","")&amp;IF($S3883&lt;&gt;"Có","SĐT sai định dạng; ","")&amp;IF($R3883="Trùng","Trùng SĐT; ","")&amp;IF($Q3883&lt;&gt;"Có","Thiếu đồng ý bắt buộc; ","")&amp;IF($L3883="","Thiếu/sai Mã REF; ",IF(AND($L3883="Chưa xác định",DANH_MUC!$L$9&lt;&gt;"Có"),"Nguồn chưa xác định; ","")))</f>
        <v/>
      </c>
      <c r="V3883" s="22">
        <f>IF(OR($D3883="",$R3883="Trùng"),"",IF(COUNTIF(ORDERS!$C$2:$C$4995,$D3883)&gt;0,"Có","Không"))</f>
        <v/>
      </c>
      <c r="W3883" s="22">
        <f>IF(OR($D3883="",$R3883="Trùng"),"",COUNTIFS(ORDERS!$C$2:$C$4995,$D3883,ORDERS!$L$2:$L$4995,"Đã chuyển khoản"))</f>
        <v/>
      </c>
      <c r="X3883" s="23">
        <f>IF(OR($D3883="",$R3883="Trùng"),"",SUMIFS(ORDERS!$J$2:$J$4995,ORDERS!$C$2:$C$4995,$D3883,ORDERS!$L$2:$L$4995,"Đã chuyển khoản"))</f>
        <v/>
      </c>
      <c r="Y3883" s="24" t="n"/>
    </row>
    <row r="3884" ht="14.25" customHeight="1" s="40">
      <c r="A3884" s="24" t="n"/>
      <c r="B3884" s="27" t="n"/>
      <c r="C3884" s="24" t="n"/>
      <c r="D3884" s="28" t="n"/>
      <c r="E3884" s="29" t="n"/>
      <c r="F3884" s="24" t="n"/>
      <c r="G3884" s="24" t="n"/>
      <c r="H3884" s="21">
        <f>IF(ISNUMBER($B3884),INT($B3884)-WEEKDAY($B3884,2)+1,"")</f>
        <v/>
      </c>
      <c r="I3884" s="24" t="n"/>
      <c r="J3884" s="22">
        <f t="array" ref="J3884">IF($D3884="","",IF($I3884="","(trống REF)",IFERROR(INDEX(MASTER_SOURCE!$B$2:$B$495,MATCH($I3884,MASTER_SOURCE!$A$2:$A$495,0)),"(REF không có trong MASTER_SOURCE)")))</f>
        <v/>
      </c>
      <c r="K3884" s="22">
        <f t="array" ref="K3884">IF($D3884="","",IFERROR(INDEX(MASTER_SOURCE!$C$2:$C$495,MATCH($I3884,MASTER_SOURCE!$A$2:$A$495,0)),""))</f>
        <v/>
      </c>
      <c r="L3884" s="22">
        <f t="array" ref="L3884">IF($D3884="","",IFERROR(INDEX(MASTER_SOURCE!$D$2:$D$495,MATCH($I3884,MASTER_SOURCE!$A$2:$A$495,0)),""))</f>
        <v/>
      </c>
      <c r="M3884" s="24" t="n"/>
      <c r="N3884" s="24" t="n"/>
      <c r="O3884" s="24" t="n"/>
      <c r="P3884" s="24" t="n"/>
      <c r="Q3884" s="22">
        <f>IF($D3884="","",IF(AND(OR(DANH_MUC!$L$5&lt;&gt;"Có",M3884="Có"),OR(DANH_MUC!$L$6&lt;&gt;"Có",N3884="Có"),OR(DANH_MUC!$L$7&lt;&gt;"Có",O3884="Có"),OR(DANH_MUC!$L$8&lt;&gt;"Có",P3884="Có")),"Có","Không"))</f>
        <v/>
      </c>
      <c r="R3884" s="22">
        <f>IF($D3884="","",IF(COUNTIF($D$2:$D3884,$D3884)&gt;1,"Trùng",""))</f>
        <v/>
      </c>
      <c r="S3884" s="22">
        <f>IF($D3884="","",IF(AND(LEN($D3884)=10,LEFT($D3884,1)="0",ISNUMBER(--$D3884)),"Có","Không"))</f>
        <v/>
      </c>
      <c r="T3884" s="22">
        <f>IF($D3884="","",IF(AND($C3884&lt;&gt;"",$Q3884="Có",$R3884="",$S3884="Có",AND($L3884&lt;&gt;"",OR($L3884&lt;&gt;"Chưa xác định",DANH_MUC!$L$9="Có"))),"Có","Không"))</f>
        <v/>
      </c>
      <c r="U3884" s="22">
        <f>IF(OR($D3884="",$T3884="Có"),"",IF($C3884="","Thiếu họ tên; ","")&amp;IF($S3884&lt;&gt;"Có","SĐT sai định dạng; ","")&amp;IF($R3884="Trùng","Trùng SĐT; ","")&amp;IF($Q3884&lt;&gt;"Có","Thiếu đồng ý bắt buộc; ","")&amp;IF($L3884="","Thiếu/sai Mã REF; ",IF(AND($L3884="Chưa xác định",DANH_MUC!$L$9&lt;&gt;"Có"),"Nguồn chưa xác định; ","")))</f>
        <v/>
      </c>
      <c r="V3884" s="22">
        <f>IF(OR($D3884="",$R3884="Trùng"),"",IF(COUNTIF(ORDERS!$C$2:$C$4995,$D3884)&gt;0,"Có","Không"))</f>
        <v/>
      </c>
      <c r="W3884" s="22">
        <f>IF(OR($D3884="",$R3884="Trùng"),"",COUNTIFS(ORDERS!$C$2:$C$4995,$D3884,ORDERS!$L$2:$L$4995,"Đã chuyển khoản"))</f>
        <v/>
      </c>
      <c r="X3884" s="23">
        <f>IF(OR($D3884="",$R3884="Trùng"),"",SUMIFS(ORDERS!$J$2:$J$4995,ORDERS!$C$2:$C$4995,$D3884,ORDERS!$L$2:$L$4995,"Đã chuyển khoản"))</f>
        <v/>
      </c>
      <c r="Y3884" s="24" t="n"/>
    </row>
    <row r="3885" ht="14.25" customHeight="1" s="40">
      <c r="A3885" s="24" t="n"/>
      <c r="B3885" s="27" t="n"/>
      <c r="C3885" s="24" t="n"/>
      <c r="D3885" s="28" t="n"/>
      <c r="E3885" s="29" t="n"/>
      <c r="F3885" s="24" t="n"/>
      <c r="G3885" s="24" t="n"/>
      <c r="H3885" s="21">
        <f>IF(ISNUMBER($B3885),INT($B3885)-WEEKDAY($B3885,2)+1,"")</f>
        <v/>
      </c>
      <c r="I3885" s="24" t="n"/>
      <c r="J3885" s="22">
        <f t="array" ref="J3885">IF($D3885="","",IF($I3885="","(trống REF)",IFERROR(INDEX(MASTER_SOURCE!$B$2:$B$495,MATCH($I3885,MASTER_SOURCE!$A$2:$A$495,0)),"(REF không có trong MASTER_SOURCE)")))</f>
        <v/>
      </c>
      <c r="K3885" s="22">
        <f t="array" ref="K3885">IF($D3885="","",IFERROR(INDEX(MASTER_SOURCE!$C$2:$C$495,MATCH($I3885,MASTER_SOURCE!$A$2:$A$495,0)),""))</f>
        <v/>
      </c>
      <c r="L3885" s="22">
        <f t="array" ref="L3885">IF($D3885="","",IFERROR(INDEX(MASTER_SOURCE!$D$2:$D$495,MATCH($I3885,MASTER_SOURCE!$A$2:$A$495,0)),""))</f>
        <v/>
      </c>
      <c r="M3885" s="24" t="n"/>
      <c r="N3885" s="24" t="n"/>
      <c r="O3885" s="24" t="n"/>
      <c r="P3885" s="24" t="n"/>
      <c r="Q3885" s="22">
        <f>IF($D3885="","",IF(AND(OR(DANH_MUC!$L$5&lt;&gt;"Có",M3885="Có"),OR(DANH_MUC!$L$6&lt;&gt;"Có",N3885="Có"),OR(DANH_MUC!$L$7&lt;&gt;"Có",O3885="Có"),OR(DANH_MUC!$L$8&lt;&gt;"Có",P3885="Có")),"Có","Không"))</f>
        <v/>
      </c>
      <c r="R3885" s="22">
        <f>IF($D3885="","",IF(COUNTIF($D$2:$D3885,$D3885)&gt;1,"Trùng",""))</f>
        <v/>
      </c>
      <c r="S3885" s="22">
        <f>IF($D3885="","",IF(AND(LEN($D3885)=10,LEFT($D3885,1)="0",ISNUMBER(--$D3885)),"Có","Không"))</f>
        <v/>
      </c>
      <c r="T3885" s="22">
        <f>IF($D3885="","",IF(AND($C3885&lt;&gt;"",$Q3885="Có",$R3885="",$S3885="Có",AND($L3885&lt;&gt;"",OR($L3885&lt;&gt;"Chưa xác định",DANH_MUC!$L$9="Có"))),"Có","Không"))</f>
        <v/>
      </c>
      <c r="U3885" s="22">
        <f>IF(OR($D3885="",$T3885="Có"),"",IF($C3885="","Thiếu họ tên; ","")&amp;IF($S3885&lt;&gt;"Có","SĐT sai định dạng; ","")&amp;IF($R3885="Trùng","Trùng SĐT; ","")&amp;IF($Q3885&lt;&gt;"Có","Thiếu đồng ý bắt buộc; ","")&amp;IF($L3885="","Thiếu/sai Mã REF; ",IF(AND($L3885="Chưa xác định",DANH_MUC!$L$9&lt;&gt;"Có"),"Nguồn chưa xác định; ","")))</f>
        <v/>
      </c>
      <c r="V3885" s="22">
        <f>IF(OR($D3885="",$R3885="Trùng"),"",IF(COUNTIF(ORDERS!$C$2:$C$4995,$D3885)&gt;0,"Có","Không"))</f>
        <v/>
      </c>
      <c r="W3885" s="22">
        <f>IF(OR($D3885="",$R3885="Trùng"),"",COUNTIFS(ORDERS!$C$2:$C$4995,$D3885,ORDERS!$L$2:$L$4995,"Đã chuyển khoản"))</f>
        <v/>
      </c>
      <c r="X3885" s="23">
        <f>IF(OR($D3885="",$R3885="Trùng"),"",SUMIFS(ORDERS!$J$2:$J$4995,ORDERS!$C$2:$C$4995,$D3885,ORDERS!$L$2:$L$4995,"Đã chuyển khoản"))</f>
        <v/>
      </c>
      <c r="Y3885" s="24" t="n"/>
    </row>
    <row r="3886" ht="14.25" customHeight="1" s="40">
      <c r="A3886" s="24" t="n"/>
      <c r="B3886" s="27" t="n"/>
      <c r="C3886" s="24" t="n"/>
      <c r="D3886" s="28" t="n"/>
      <c r="E3886" s="29" t="n"/>
      <c r="F3886" s="24" t="n"/>
      <c r="G3886" s="24" t="n"/>
      <c r="H3886" s="21">
        <f>IF(ISNUMBER($B3886),INT($B3886)-WEEKDAY($B3886,2)+1,"")</f>
        <v/>
      </c>
      <c r="I3886" s="24" t="n"/>
      <c r="J3886" s="22">
        <f t="array" ref="J3886">IF($D3886="","",IF($I3886="","(trống REF)",IFERROR(INDEX(MASTER_SOURCE!$B$2:$B$495,MATCH($I3886,MASTER_SOURCE!$A$2:$A$495,0)),"(REF không có trong MASTER_SOURCE)")))</f>
        <v/>
      </c>
      <c r="K3886" s="22">
        <f t="array" ref="K3886">IF($D3886="","",IFERROR(INDEX(MASTER_SOURCE!$C$2:$C$495,MATCH($I3886,MASTER_SOURCE!$A$2:$A$495,0)),""))</f>
        <v/>
      </c>
      <c r="L3886" s="22">
        <f t="array" ref="L3886">IF($D3886="","",IFERROR(INDEX(MASTER_SOURCE!$D$2:$D$495,MATCH($I3886,MASTER_SOURCE!$A$2:$A$495,0)),""))</f>
        <v/>
      </c>
      <c r="M3886" s="24" t="n"/>
      <c r="N3886" s="24" t="n"/>
      <c r="O3886" s="24" t="n"/>
      <c r="P3886" s="24" t="n"/>
      <c r="Q3886" s="22">
        <f>IF($D3886="","",IF(AND(OR(DANH_MUC!$L$5&lt;&gt;"Có",M3886="Có"),OR(DANH_MUC!$L$6&lt;&gt;"Có",N3886="Có"),OR(DANH_MUC!$L$7&lt;&gt;"Có",O3886="Có"),OR(DANH_MUC!$L$8&lt;&gt;"Có",P3886="Có")),"Có","Không"))</f>
        <v/>
      </c>
      <c r="R3886" s="22">
        <f>IF($D3886="","",IF(COUNTIF($D$2:$D3886,$D3886)&gt;1,"Trùng",""))</f>
        <v/>
      </c>
      <c r="S3886" s="22">
        <f>IF($D3886="","",IF(AND(LEN($D3886)=10,LEFT($D3886,1)="0",ISNUMBER(--$D3886)),"Có","Không"))</f>
        <v/>
      </c>
      <c r="T3886" s="22">
        <f>IF($D3886="","",IF(AND($C3886&lt;&gt;"",$Q3886="Có",$R3886="",$S3886="Có",AND($L3886&lt;&gt;"",OR($L3886&lt;&gt;"Chưa xác định",DANH_MUC!$L$9="Có"))),"Có","Không"))</f>
        <v/>
      </c>
      <c r="U3886" s="22">
        <f>IF(OR($D3886="",$T3886="Có"),"",IF($C3886="","Thiếu họ tên; ","")&amp;IF($S3886&lt;&gt;"Có","SĐT sai định dạng; ","")&amp;IF($R3886="Trùng","Trùng SĐT; ","")&amp;IF($Q3886&lt;&gt;"Có","Thiếu đồng ý bắt buộc; ","")&amp;IF($L3886="","Thiếu/sai Mã REF; ",IF(AND($L3886="Chưa xác định",DANH_MUC!$L$9&lt;&gt;"Có"),"Nguồn chưa xác định; ","")))</f>
        <v/>
      </c>
      <c r="V3886" s="22">
        <f>IF(OR($D3886="",$R3886="Trùng"),"",IF(COUNTIF(ORDERS!$C$2:$C$4995,$D3886)&gt;0,"Có","Không"))</f>
        <v/>
      </c>
      <c r="W3886" s="22">
        <f>IF(OR($D3886="",$R3886="Trùng"),"",COUNTIFS(ORDERS!$C$2:$C$4995,$D3886,ORDERS!$L$2:$L$4995,"Đã chuyển khoản"))</f>
        <v/>
      </c>
      <c r="X3886" s="23">
        <f>IF(OR($D3886="",$R3886="Trùng"),"",SUMIFS(ORDERS!$J$2:$J$4995,ORDERS!$C$2:$C$4995,$D3886,ORDERS!$L$2:$L$4995,"Đã chuyển khoản"))</f>
        <v/>
      </c>
      <c r="Y3886" s="24" t="n"/>
    </row>
    <row r="3887" ht="14.25" customHeight="1" s="40">
      <c r="A3887" s="24" t="n"/>
      <c r="B3887" s="27" t="n"/>
      <c r="C3887" s="24" t="n"/>
      <c r="D3887" s="28" t="n"/>
      <c r="E3887" s="29" t="n"/>
      <c r="F3887" s="24" t="n"/>
      <c r="G3887" s="24" t="n"/>
      <c r="H3887" s="21">
        <f>IF(ISNUMBER($B3887),INT($B3887)-WEEKDAY($B3887,2)+1,"")</f>
        <v/>
      </c>
      <c r="I3887" s="24" t="n"/>
      <c r="J3887" s="22">
        <f t="array" ref="J3887">IF($D3887="","",IF($I3887="","(trống REF)",IFERROR(INDEX(MASTER_SOURCE!$B$2:$B$495,MATCH($I3887,MASTER_SOURCE!$A$2:$A$495,0)),"(REF không có trong MASTER_SOURCE)")))</f>
        <v/>
      </c>
      <c r="K3887" s="22">
        <f t="array" ref="K3887">IF($D3887="","",IFERROR(INDEX(MASTER_SOURCE!$C$2:$C$495,MATCH($I3887,MASTER_SOURCE!$A$2:$A$495,0)),""))</f>
        <v/>
      </c>
      <c r="L3887" s="22">
        <f t="array" ref="L3887">IF($D3887="","",IFERROR(INDEX(MASTER_SOURCE!$D$2:$D$495,MATCH($I3887,MASTER_SOURCE!$A$2:$A$495,0)),""))</f>
        <v/>
      </c>
      <c r="M3887" s="24" t="n"/>
      <c r="N3887" s="24" t="n"/>
      <c r="O3887" s="24" t="n"/>
      <c r="P3887" s="24" t="n"/>
      <c r="Q3887" s="22">
        <f>IF($D3887="","",IF(AND(OR(DANH_MUC!$L$5&lt;&gt;"Có",M3887="Có"),OR(DANH_MUC!$L$6&lt;&gt;"Có",N3887="Có"),OR(DANH_MUC!$L$7&lt;&gt;"Có",O3887="Có"),OR(DANH_MUC!$L$8&lt;&gt;"Có",P3887="Có")),"Có","Không"))</f>
        <v/>
      </c>
      <c r="R3887" s="22">
        <f>IF($D3887="","",IF(COUNTIF($D$2:$D3887,$D3887)&gt;1,"Trùng",""))</f>
        <v/>
      </c>
      <c r="S3887" s="22">
        <f>IF($D3887="","",IF(AND(LEN($D3887)=10,LEFT($D3887,1)="0",ISNUMBER(--$D3887)),"Có","Không"))</f>
        <v/>
      </c>
      <c r="T3887" s="22">
        <f>IF($D3887="","",IF(AND($C3887&lt;&gt;"",$Q3887="Có",$R3887="",$S3887="Có",AND($L3887&lt;&gt;"",OR($L3887&lt;&gt;"Chưa xác định",DANH_MUC!$L$9="Có"))),"Có","Không"))</f>
        <v/>
      </c>
      <c r="U3887" s="22">
        <f>IF(OR($D3887="",$T3887="Có"),"",IF($C3887="","Thiếu họ tên; ","")&amp;IF($S3887&lt;&gt;"Có","SĐT sai định dạng; ","")&amp;IF($R3887="Trùng","Trùng SĐT; ","")&amp;IF($Q3887&lt;&gt;"Có","Thiếu đồng ý bắt buộc; ","")&amp;IF($L3887="","Thiếu/sai Mã REF; ",IF(AND($L3887="Chưa xác định",DANH_MUC!$L$9&lt;&gt;"Có"),"Nguồn chưa xác định; ","")))</f>
        <v/>
      </c>
      <c r="V3887" s="22">
        <f>IF(OR($D3887="",$R3887="Trùng"),"",IF(COUNTIF(ORDERS!$C$2:$C$4995,$D3887)&gt;0,"Có","Không"))</f>
        <v/>
      </c>
      <c r="W3887" s="22">
        <f>IF(OR($D3887="",$R3887="Trùng"),"",COUNTIFS(ORDERS!$C$2:$C$4995,$D3887,ORDERS!$L$2:$L$4995,"Đã chuyển khoản"))</f>
        <v/>
      </c>
      <c r="X3887" s="23">
        <f>IF(OR($D3887="",$R3887="Trùng"),"",SUMIFS(ORDERS!$J$2:$J$4995,ORDERS!$C$2:$C$4995,$D3887,ORDERS!$L$2:$L$4995,"Đã chuyển khoản"))</f>
        <v/>
      </c>
      <c r="Y3887" s="24" t="n"/>
    </row>
    <row r="3888" ht="14.25" customHeight="1" s="40">
      <c r="A3888" s="24" t="n"/>
      <c r="B3888" s="27" t="n"/>
      <c r="C3888" s="24" t="n"/>
      <c r="D3888" s="28" t="n"/>
      <c r="E3888" s="29" t="n"/>
      <c r="F3888" s="24" t="n"/>
      <c r="G3888" s="24" t="n"/>
      <c r="H3888" s="21">
        <f>IF(ISNUMBER($B3888),INT($B3888)-WEEKDAY($B3888,2)+1,"")</f>
        <v/>
      </c>
      <c r="I3888" s="24" t="n"/>
      <c r="J3888" s="22">
        <f t="array" ref="J3888">IF($D3888="","",IF($I3888="","(trống REF)",IFERROR(INDEX(MASTER_SOURCE!$B$2:$B$495,MATCH($I3888,MASTER_SOURCE!$A$2:$A$495,0)),"(REF không có trong MASTER_SOURCE)")))</f>
        <v/>
      </c>
      <c r="K3888" s="22">
        <f t="array" ref="K3888">IF($D3888="","",IFERROR(INDEX(MASTER_SOURCE!$C$2:$C$495,MATCH($I3888,MASTER_SOURCE!$A$2:$A$495,0)),""))</f>
        <v/>
      </c>
      <c r="L3888" s="22">
        <f t="array" ref="L3888">IF($D3888="","",IFERROR(INDEX(MASTER_SOURCE!$D$2:$D$495,MATCH($I3888,MASTER_SOURCE!$A$2:$A$495,0)),""))</f>
        <v/>
      </c>
      <c r="M3888" s="24" t="n"/>
      <c r="N3888" s="24" t="n"/>
      <c r="O3888" s="24" t="n"/>
      <c r="P3888" s="24" t="n"/>
      <c r="Q3888" s="22">
        <f>IF($D3888="","",IF(AND(OR(DANH_MUC!$L$5&lt;&gt;"Có",M3888="Có"),OR(DANH_MUC!$L$6&lt;&gt;"Có",N3888="Có"),OR(DANH_MUC!$L$7&lt;&gt;"Có",O3888="Có"),OR(DANH_MUC!$L$8&lt;&gt;"Có",P3888="Có")),"Có","Không"))</f>
        <v/>
      </c>
      <c r="R3888" s="22">
        <f>IF($D3888="","",IF(COUNTIF($D$2:$D3888,$D3888)&gt;1,"Trùng",""))</f>
        <v/>
      </c>
      <c r="S3888" s="22">
        <f>IF($D3888="","",IF(AND(LEN($D3888)=10,LEFT($D3888,1)="0",ISNUMBER(--$D3888)),"Có","Không"))</f>
        <v/>
      </c>
      <c r="T3888" s="22">
        <f>IF($D3888="","",IF(AND($C3888&lt;&gt;"",$Q3888="Có",$R3888="",$S3888="Có",AND($L3888&lt;&gt;"",OR($L3888&lt;&gt;"Chưa xác định",DANH_MUC!$L$9="Có"))),"Có","Không"))</f>
        <v/>
      </c>
      <c r="U3888" s="22">
        <f>IF(OR($D3888="",$T3888="Có"),"",IF($C3888="","Thiếu họ tên; ","")&amp;IF($S3888&lt;&gt;"Có","SĐT sai định dạng; ","")&amp;IF($R3888="Trùng","Trùng SĐT; ","")&amp;IF($Q3888&lt;&gt;"Có","Thiếu đồng ý bắt buộc; ","")&amp;IF($L3888="","Thiếu/sai Mã REF; ",IF(AND($L3888="Chưa xác định",DANH_MUC!$L$9&lt;&gt;"Có"),"Nguồn chưa xác định; ","")))</f>
        <v/>
      </c>
      <c r="V3888" s="22">
        <f>IF(OR($D3888="",$R3888="Trùng"),"",IF(COUNTIF(ORDERS!$C$2:$C$4995,$D3888)&gt;0,"Có","Không"))</f>
        <v/>
      </c>
      <c r="W3888" s="22">
        <f>IF(OR($D3888="",$R3888="Trùng"),"",COUNTIFS(ORDERS!$C$2:$C$4995,$D3888,ORDERS!$L$2:$L$4995,"Đã chuyển khoản"))</f>
        <v/>
      </c>
      <c r="X3888" s="23">
        <f>IF(OR($D3888="",$R3888="Trùng"),"",SUMIFS(ORDERS!$J$2:$J$4995,ORDERS!$C$2:$C$4995,$D3888,ORDERS!$L$2:$L$4995,"Đã chuyển khoản"))</f>
        <v/>
      </c>
      <c r="Y3888" s="24" t="n"/>
    </row>
    <row r="3889" ht="14.25" customHeight="1" s="40">
      <c r="A3889" s="24" t="n"/>
      <c r="B3889" s="27" t="n"/>
      <c r="C3889" s="24" t="n"/>
      <c r="D3889" s="28" t="n"/>
      <c r="E3889" s="29" t="n"/>
      <c r="F3889" s="24" t="n"/>
      <c r="G3889" s="24" t="n"/>
      <c r="H3889" s="21">
        <f>IF(ISNUMBER($B3889),INT($B3889)-WEEKDAY($B3889,2)+1,"")</f>
        <v/>
      </c>
      <c r="I3889" s="24" t="n"/>
      <c r="J3889" s="22">
        <f t="array" ref="J3889">IF($D3889="","",IF($I3889="","(trống REF)",IFERROR(INDEX(MASTER_SOURCE!$B$2:$B$495,MATCH($I3889,MASTER_SOURCE!$A$2:$A$495,0)),"(REF không có trong MASTER_SOURCE)")))</f>
        <v/>
      </c>
      <c r="K3889" s="22">
        <f t="array" ref="K3889">IF($D3889="","",IFERROR(INDEX(MASTER_SOURCE!$C$2:$C$495,MATCH($I3889,MASTER_SOURCE!$A$2:$A$495,0)),""))</f>
        <v/>
      </c>
      <c r="L3889" s="22">
        <f t="array" ref="L3889">IF($D3889="","",IFERROR(INDEX(MASTER_SOURCE!$D$2:$D$495,MATCH($I3889,MASTER_SOURCE!$A$2:$A$495,0)),""))</f>
        <v/>
      </c>
      <c r="M3889" s="24" t="n"/>
      <c r="N3889" s="24" t="n"/>
      <c r="O3889" s="24" t="n"/>
      <c r="P3889" s="24" t="n"/>
      <c r="Q3889" s="22">
        <f>IF($D3889="","",IF(AND(OR(DANH_MUC!$L$5&lt;&gt;"Có",M3889="Có"),OR(DANH_MUC!$L$6&lt;&gt;"Có",N3889="Có"),OR(DANH_MUC!$L$7&lt;&gt;"Có",O3889="Có"),OR(DANH_MUC!$L$8&lt;&gt;"Có",P3889="Có")),"Có","Không"))</f>
        <v/>
      </c>
      <c r="R3889" s="22">
        <f>IF($D3889="","",IF(COUNTIF($D$2:$D3889,$D3889)&gt;1,"Trùng",""))</f>
        <v/>
      </c>
      <c r="S3889" s="22">
        <f>IF($D3889="","",IF(AND(LEN($D3889)=10,LEFT($D3889,1)="0",ISNUMBER(--$D3889)),"Có","Không"))</f>
        <v/>
      </c>
      <c r="T3889" s="22">
        <f>IF($D3889="","",IF(AND($C3889&lt;&gt;"",$Q3889="Có",$R3889="",$S3889="Có",AND($L3889&lt;&gt;"",OR($L3889&lt;&gt;"Chưa xác định",DANH_MUC!$L$9="Có"))),"Có","Không"))</f>
        <v/>
      </c>
      <c r="U3889" s="22">
        <f>IF(OR($D3889="",$T3889="Có"),"",IF($C3889="","Thiếu họ tên; ","")&amp;IF($S3889&lt;&gt;"Có","SĐT sai định dạng; ","")&amp;IF($R3889="Trùng","Trùng SĐT; ","")&amp;IF($Q3889&lt;&gt;"Có","Thiếu đồng ý bắt buộc; ","")&amp;IF($L3889="","Thiếu/sai Mã REF; ",IF(AND($L3889="Chưa xác định",DANH_MUC!$L$9&lt;&gt;"Có"),"Nguồn chưa xác định; ","")))</f>
        <v/>
      </c>
      <c r="V3889" s="22">
        <f>IF(OR($D3889="",$R3889="Trùng"),"",IF(COUNTIF(ORDERS!$C$2:$C$4995,$D3889)&gt;0,"Có","Không"))</f>
        <v/>
      </c>
      <c r="W3889" s="22">
        <f>IF(OR($D3889="",$R3889="Trùng"),"",COUNTIFS(ORDERS!$C$2:$C$4995,$D3889,ORDERS!$L$2:$L$4995,"Đã chuyển khoản"))</f>
        <v/>
      </c>
      <c r="X3889" s="23">
        <f>IF(OR($D3889="",$R3889="Trùng"),"",SUMIFS(ORDERS!$J$2:$J$4995,ORDERS!$C$2:$C$4995,$D3889,ORDERS!$L$2:$L$4995,"Đã chuyển khoản"))</f>
        <v/>
      </c>
      <c r="Y3889" s="24" t="n"/>
    </row>
    <row r="3890" ht="14.25" customHeight="1" s="40">
      <c r="A3890" s="24" t="n"/>
      <c r="B3890" s="27" t="n"/>
      <c r="C3890" s="24" t="n"/>
      <c r="D3890" s="28" t="n"/>
      <c r="E3890" s="29" t="n"/>
      <c r="F3890" s="24" t="n"/>
      <c r="G3890" s="24" t="n"/>
      <c r="H3890" s="21">
        <f>IF(ISNUMBER($B3890),INT($B3890)-WEEKDAY($B3890,2)+1,"")</f>
        <v/>
      </c>
      <c r="I3890" s="24" t="n"/>
      <c r="J3890" s="22">
        <f t="array" ref="J3890">IF($D3890="","",IF($I3890="","(trống REF)",IFERROR(INDEX(MASTER_SOURCE!$B$2:$B$495,MATCH($I3890,MASTER_SOURCE!$A$2:$A$495,0)),"(REF không có trong MASTER_SOURCE)")))</f>
        <v/>
      </c>
      <c r="K3890" s="22">
        <f t="array" ref="K3890">IF($D3890="","",IFERROR(INDEX(MASTER_SOURCE!$C$2:$C$495,MATCH($I3890,MASTER_SOURCE!$A$2:$A$495,0)),""))</f>
        <v/>
      </c>
      <c r="L3890" s="22">
        <f t="array" ref="L3890">IF($D3890="","",IFERROR(INDEX(MASTER_SOURCE!$D$2:$D$495,MATCH($I3890,MASTER_SOURCE!$A$2:$A$495,0)),""))</f>
        <v/>
      </c>
      <c r="M3890" s="24" t="n"/>
      <c r="N3890" s="24" t="n"/>
      <c r="O3890" s="24" t="n"/>
      <c r="P3890" s="24" t="n"/>
      <c r="Q3890" s="22">
        <f>IF($D3890="","",IF(AND(OR(DANH_MUC!$L$5&lt;&gt;"Có",M3890="Có"),OR(DANH_MUC!$L$6&lt;&gt;"Có",N3890="Có"),OR(DANH_MUC!$L$7&lt;&gt;"Có",O3890="Có"),OR(DANH_MUC!$L$8&lt;&gt;"Có",P3890="Có")),"Có","Không"))</f>
        <v/>
      </c>
      <c r="R3890" s="22">
        <f>IF($D3890="","",IF(COUNTIF($D$2:$D3890,$D3890)&gt;1,"Trùng",""))</f>
        <v/>
      </c>
      <c r="S3890" s="22">
        <f>IF($D3890="","",IF(AND(LEN($D3890)=10,LEFT($D3890,1)="0",ISNUMBER(--$D3890)),"Có","Không"))</f>
        <v/>
      </c>
      <c r="T3890" s="22">
        <f>IF($D3890="","",IF(AND($C3890&lt;&gt;"",$Q3890="Có",$R3890="",$S3890="Có",AND($L3890&lt;&gt;"",OR($L3890&lt;&gt;"Chưa xác định",DANH_MUC!$L$9="Có"))),"Có","Không"))</f>
        <v/>
      </c>
      <c r="U3890" s="22">
        <f>IF(OR($D3890="",$T3890="Có"),"",IF($C3890="","Thiếu họ tên; ","")&amp;IF($S3890&lt;&gt;"Có","SĐT sai định dạng; ","")&amp;IF($R3890="Trùng","Trùng SĐT; ","")&amp;IF($Q3890&lt;&gt;"Có","Thiếu đồng ý bắt buộc; ","")&amp;IF($L3890="","Thiếu/sai Mã REF; ",IF(AND($L3890="Chưa xác định",DANH_MUC!$L$9&lt;&gt;"Có"),"Nguồn chưa xác định; ","")))</f>
        <v/>
      </c>
      <c r="V3890" s="22">
        <f>IF(OR($D3890="",$R3890="Trùng"),"",IF(COUNTIF(ORDERS!$C$2:$C$4995,$D3890)&gt;0,"Có","Không"))</f>
        <v/>
      </c>
      <c r="W3890" s="22">
        <f>IF(OR($D3890="",$R3890="Trùng"),"",COUNTIFS(ORDERS!$C$2:$C$4995,$D3890,ORDERS!$L$2:$L$4995,"Đã chuyển khoản"))</f>
        <v/>
      </c>
      <c r="X3890" s="23">
        <f>IF(OR($D3890="",$R3890="Trùng"),"",SUMIFS(ORDERS!$J$2:$J$4995,ORDERS!$C$2:$C$4995,$D3890,ORDERS!$L$2:$L$4995,"Đã chuyển khoản"))</f>
        <v/>
      </c>
      <c r="Y3890" s="24" t="n"/>
    </row>
    <row r="3891" ht="14.25" customHeight="1" s="40">
      <c r="A3891" s="24" t="n"/>
      <c r="B3891" s="27" t="n"/>
      <c r="C3891" s="24" t="n"/>
      <c r="D3891" s="28" t="n"/>
      <c r="E3891" s="29" t="n"/>
      <c r="F3891" s="24" t="n"/>
      <c r="G3891" s="24" t="n"/>
      <c r="H3891" s="21">
        <f>IF(ISNUMBER($B3891),INT($B3891)-WEEKDAY($B3891,2)+1,"")</f>
        <v/>
      </c>
      <c r="I3891" s="24" t="n"/>
      <c r="J3891" s="22">
        <f t="array" ref="J3891">IF($D3891="","",IF($I3891="","(trống REF)",IFERROR(INDEX(MASTER_SOURCE!$B$2:$B$495,MATCH($I3891,MASTER_SOURCE!$A$2:$A$495,0)),"(REF không có trong MASTER_SOURCE)")))</f>
        <v/>
      </c>
      <c r="K3891" s="22">
        <f t="array" ref="K3891">IF($D3891="","",IFERROR(INDEX(MASTER_SOURCE!$C$2:$C$495,MATCH($I3891,MASTER_SOURCE!$A$2:$A$495,0)),""))</f>
        <v/>
      </c>
      <c r="L3891" s="22">
        <f t="array" ref="L3891">IF($D3891="","",IFERROR(INDEX(MASTER_SOURCE!$D$2:$D$495,MATCH($I3891,MASTER_SOURCE!$A$2:$A$495,0)),""))</f>
        <v/>
      </c>
      <c r="M3891" s="24" t="n"/>
      <c r="N3891" s="24" t="n"/>
      <c r="O3891" s="24" t="n"/>
      <c r="P3891" s="24" t="n"/>
      <c r="Q3891" s="22">
        <f>IF($D3891="","",IF(AND(OR(DANH_MUC!$L$5&lt;&gt;"Có",M3891="Có"),OR(DANH_MUC!$L$6&lt;&gt;"Có",N3891="Có"),OR(DANH_MUC!$L$7&lt;&gt;"Có",O3891="Có"),OR(DANH_MUC!$L$8&lt;&gt;"Có",P3891="Có")),"Có","Không"))</f>
        <v/>
      </c>
      <c r="R3891" s="22">
        <f>IF($D3891="","",IF(COUNTIF($D$2:$D3891,$D3891)&gt;1,"Trùng",""))</f>
        <v/>
      </c>
      <c r="S3891" s="22">
        <f>IF($D3891="","",IF(AND(LEN($D3891)=10,LEFT($D3891,1)="0",ISNUMBER(--$D3891)),"Có","Không"))</f>
        <v/>
      </c>
      <c r="T3891" s="22">
        <f>IF($D3891="","",IF(AND($C3891&lt;&gt;"",$Q3891="Có",$R3891="",$S3891="Có",AND($L3891&lt;&gt;"",OR($L3891&lt;&gt;"Chưa xác định",DANH_MUC!$L$9="Có"))),"Có","Không"))</f>
        <v/>
      </c>
      <c r="U3891" s="22">
        <f>IF(OR($D3891="",$T3891="Có"),"",IF($C3891="","Thiếu họ tên; ","")&amp;IF($S3891&lt;&gt;"Có","SĐT sai định dạng; ","")&amp;IF($R3891="Trùng","Trùng SĐT; ","")&amp;IF($Q3891&lt;&gt;"Có","Thiếu đồng ý bắt buộc; ","")&amp;IF($L3891="","Thiếu/sai Mã REF; ",IF(AND($L3891="Chưa xác định",DANH_MUC!$L$9&lt;&gt;"Có"),"Nguồn chưa xác định; ","")))</f>
        <v/>
      </c>
      <c r="V3891" s="22">
        <f>IF(OR($D3891="",$R3891="Trùng"),"",IF(COUNTIF(ORDERS!$C$2:$C$4995,$D3891)&gt;0,"Có","Không"))</f>
        <v/>
      </c>
      <c r="W3891" s="22">
        <f>IF(OR($D3891="",$R3891="Trùng"),"",COUNTIFS(ORDERS!$C$2:$C$4995,$D3891,ORDERS!$L$2:$L$4995,"Đã chuyển khoản"))</f>
        <v/>
      </c>
      <c r="X3891" s="23">
        <f>IF(OR($D3891="",$R3891="Trùng"),"",SUMIFS(ORDERS!$J$2:$J$4995,ORDERS!$C$2:$C$4995,$D3891,ORDERS!$L$2:$L$4995,"Đã chuyển khoản"))</f>
        <v/>
      </c>
      <c r="Y3891" s="24" t="n"/>
    </row>
    <row r="3892" ht="14.25" customHeight="1" s="40">
      <c r="A3892" s="24" t="n"/>
      <c r="B3892" s="27" t="n"/>
      <c r="C3892" s="24" t="n"/>
      <c r="D3892" s="28" t="n"/>
      <c r="E3892" s="29" t="n"/>
      <c r="F3892" s="24" t="n"/>
      <c r="G3892" s="24" t="n"/>
      <c r="H3892" s="21">
        <f>IF(ISNUMBER($B3892),INT($B3892)-WEEKDAY($B3892,2)+1,"")</f>
        <v/>
      </c>
      <c r="I3892" s="24" t="n"/>
      <c r="J3892" s="22">
        <f t="array" ref="J3892">IF($D3892="","",IF($I3892="","(trống REF)",IFERROR(INDEX(MASTER_SOURCE!$B$2:$B$495,MATCH($I3892,MASTER_SOURCE!$A$2:$A$495,0)),"(REF không có trong MASTER_SOURCE)")))</f>
        <v/>
      </c>
      <c r="K3892" s="22">
        <f t="array" ref="K3892">IF($D3892="","",IFERROR(INDEX(MASTER_SOURCE!$C$2:$C$495,MATCH($I3892,MASTER_SOURCE!$A$2:$A$495,0)),""))</f>
        <v/>
      </c>
      <c r="L3892" s="22">
        <f t="array" ref="L3892">IF($D3892="","",IFERROR(INDEX(MASTER_SOURCE!$D$2:$D$495,MATCH($I3892,MASTER_SOURCE!$A$2:$A$495,0)),""))</f>
        <v/>
      </c>
      <c r="M3892" s="24" t="n"/>
      <c r="N3892" s="24" t="n"/>
      <c r="O3892" s="24" t="n"/>
      <c r="P3892" s="24" t="n"/>
      <c r="Q3892" s="22">
        <f>IF($D3892="","",IF(AND(OR(DANH_MUC!$L$5&lt;&gt;"Có",M3892="Có"),OR(DANH_MUC!$L$6&lt;&gt;"Có",N3892="Có"),OR(DANH_MUC!$L$7&lt;&gt;"Có",O3892="Có"),OR(DANH_MUC!$L$8&lt;&gt;"Có",P3892="Có")),"Có","Không"))</f>
        <v/>
      </c>
      <c r="R3892" s="22">
        <f>IF($D3892="","",IF(COUNTIF($D$2:$D3892,$D3892)&gt;1,"Trùng",""))</f>
        <v/>
      </c>
      <c r="S3892" s="22">
        <f>IF($D3892="","",IF(AND(LEN($D3892)=10,LEFT($D3892,1)="0",ISNUMBER(--$D3892)),"Có","Không"))</f>
        <v/>
      </c>
      <c r="T3892" s="22">
        <f>IF($D3892="","",IF(AND($C3892&lt;&gt;"",$Q3892="Có",$R3892="",$S3892="Có",AND($L3892&lt;&gt;"",OR($L3892&lt;&gt;"Chưa xác định",DANH_MUC!$L$9="Có"))),"Có","Không"))</f>
        <v/>
      </c>
      <c r="U3892" s="22">
        <f>IF(OR($D3892="",$T3892="Có"),"",IF($C3892="","Thiếu họ tên; ","")&amp;IF($S3892&lt;&gt;"Có","SĐT sai định dạng; ","")&amp;IF($R3892="Trùng","Trùng SĐT; ","")&amp;IF($Q3892&lt;&gt;"Có","Thiếu đồng ý bắt buộc; ","")&amp;IF($L3892="","Thiếu/sai Mã REF; ",IF(AND($L3892="Chưa xác định",DANH_MUC!$L$9&lt;&gt;"Có"),"Nguồn chưa xác định; ","")))</f>
        <v/>
      </c>
      <c r="V3892" s="22">
        <f>IF(OR($D3892="",$R3892="Trùng"),"",IF(COUNTIF(ORDERS!$C$2:$C$4995,$D3892)&gt;0,"Có","Không"))</f>
        <v/>
      </c>
      <c r="W3892" s="22">
        <f>IF(OR($D3892="",$R3892="Trùng"),"",COUNTIFS(ORDERS!$C$2:$C$4995,$D3892,ORDERS!$L$2:$L$4995,"Đã chuyển khoản"))</f>
        <v/>
      </c>
      <c r="X3892" s="23">
        <f>IF(OR($D3892="",$R3892="Trùng"),"",SUMIFS(ORDERS!$J$2:$J$4995,ORDERS!$C$2:$C$4995,$D3892,ORDERS!$L$2:$L$4995,"Đã chuyển khoản"))</f>
        <v/>
      </c>
      <c r="Y3892" s="24" t="n"/>
    </row>
    <row r="3893" ht="14.25" customHeight="1" s="40">
      <c r="A3893" s="24" t="n"/>
      <c r="B3893" s="27" t="n"/>
      <c r="C3893" s="24" t="n"/>
      <c r="D3893" s="28" t="n"/>
      <c r="E3893" s="29" t="n"/>
      <c r="F3893" s="24" t="n"/>
      <c r="G3893" s="24" t="n"/>
      <c r="H3893" s="21">
        <f>IF(ISNUMBER($B3893),INT($B3893)-WEEKDAY($B3893,2)+1,"")</f>
        <v/>
      </c>
      <c r="I3893" s="24" t="n"/>
      <c r="J3893" s="22">
        <f t="array" ref="J3893">IF($D3893="","",IF($I3893="","(trống REF)",IFERROR(INDEX(MASTER_SOURCE!$B$2:$B$495,MATCH($I3893,MASTER_SOURCE!$A$2:$A$495,0)),"(REF không có trong MASTER_SOURCE)")))</f>
        <v/>
      </c>
      <c r="K3893" s="22">
        <f t="array" ref="K3893">IF($D3893="","",IFERROR(INDEX(MASTER_SOURCE!$C$2:$C$495,MATCH($I3893,MASTER_SOURCE!$A$2:$A$495,0)),""))</f>
        <v/>
      </c>
      <c r="L3893" s="22">
        <f t="array" ref="L3893">IF($D3893="","",IFERROR(INDEX(MASTER_SOURCE!$D$2:$D$495,MATCH($I3893,MASTER_SOURCE!$A$2:$A$495,0)),""))</f>
        <v/>
      </c>
      <c r="M3893" s="24" t="n"/>
      <c r="N3893" s="24" t="n"/>
      <c r="O3893" s="24" t="n"/>
      <c r="P3893" s="24" t="n"/>
      <c r="Q3893" s="22">
        <f>IF($D3893="","",IF(AND(OR(DANH_MUC!$L$5&lt;&gt;"Có",M3893="Có"),OR(DANH_MUC!$L$6&lt;&gt;"Có",N3893="Có"),OR(DANH_MUC!$L$7&lt;&gt;"Có",O3893="Có"),OR(DANH_MUC!$L$8&lt;&gt;"Có",P3893="Có")),"Có","Không"))</f>
        <v/>
      </c>
      <c r="R3893" s="22">
        <f>IF($D3893="","",IF(COUNTIF($D$2:$D3893,$D3893)&gt;1,"Trùng",""))</f>
        <v/>
      </c>
      <c r="S3893" s="22">
        <f>IF($D3893="","",IF(AND(LEN($D3893)=10,LEFT($D3893,1)="0",ISNUMBER(--$D3893)),"Có","Không"))</f>
        <v/>
      </c>
      <c r="T3893" s="22">
        <f>IF($D3893="","",IF(AND($C3893&lt;&gt;"",$Q3893="Có",$R3893="",$S3893="Có",AND($L3893&lt;&gt;"",OR($L3893&lt;&gt;"Chưa xác định",DANH_MUC!$L$9="Có"))),"Có","Không"))</f>
        <v/>
      </c>
      <c r="U3893" s="22">
        <f>IF(OR($D3893="",$T3893="Có"),"",IF($C3893="","Thiếu họ tên; ","")&amp;IF($S3893&lt;&gt;"Có","SĐT sai định dạng; ","")&amp;IF($R3893="Trùng","Trùng SĐT; ","")&amp;IF($Q3893&lt;&gt;"Có","Thiếu đồng ý bắt buộc; ","")&amp;IF($L3893="","Thiếu/sai Mã REF; ",IF(AND($L3893="Chưa xác định",DANH_MUC!$L$9&lt;&gt;"Có"),"Nguồn chưa xác định; ","")))</f>
        <v/>
      </c>
      <c r="V3893" s="22">
        <f>IF(OR($D3893="",$R3893="Trùng"),"",IF(COUNTIF(ORDERS!$C$2:$C$4995,$D3893)&gt;0,"Có","Không"))</f>
        <v/>
      </c>
      <c r="W3893" s="22">
        <f>IF(OR($D3893="",$R3893="Trùng"),"",COUNTIFS(ORDERS!$C$2:$C$4995,$D3893,ORDERS!$L$2:$L$4995,"Đã chuyển khoản"))</f>
        <v/>
      </c>
      <c r="X3893" s="23">
        <f>IF(OR($D3893="",$R3893="Trùng"),"",SUMIFS(ORDERS!$J$2:$J$4995,ORDERS!$C$2:$C$4995,$D3893,ORDERS!$L$2:$L$4995,"Đã chuyển khoản"))</f>
        <v/>
      </c>
      <c r="Y3893" s="24" t="n"/>
    </row>
    <row r="3894" ht="14.25" customHeight="1" s="40">
      <c r="A3894" s="24" t="n"/>
      <c r="B3894" s="27" t="n"/>
      <c r="C3894" s="24" t="n"/>
      <c r="D3894" s="28" t="n"/>
      <c r="E3894" s="29" t="n"/>
      <c r="F3894" s="24" t="n"/>
      <c r="G3894" s="24" t="n"/>
      <c r="H3894" s="21">
        <f>IF(ISNUMBER($B3894),INT($B3894)-WEEKDAY($B3894,2)+1,"")</f>
        <v/>
      </c>
      <c r="I3894" s="24" t="n"/>
      <c r="J3894" s="22">
        <f t="array" ref="J3894">IF($D3894="","",IF($I3894="","(trống REF)",IFERROR(INDEX(MASTER_SOURCE!$B$2:$B$495,MATCH($I3894,MASTER_SOURCE!$A$2:$A$495,0)),"(REF không có trong MASTER_SOURCE)")))</f>
        <v/>
      </c>
      <c r="K3894" s="22">
        <f t="array" ref="K3894">IF($D3894="","",IFERROR(INDEX(MASTER_SOURCE!$C$2:$C$495,MATCH($I3894,MASTER_SOURCE!$A$2:$A$495,0)),""))</f>
        <v/>
      </c>
      <c r="L3894" s="22">
        <f t="array" ref="L3894">IF($D3894="","",IFERROR(INDEX(MASTER_SOURCE!$D$2:$D$495,MATCH($I3894,MASTER_SOURCE!$A$2:$A$495,0)),""))</f>
        <v/>
      </c>
      <c r="M3894" s="24" t="n"/>
      <c r="N3894" s="24" t="n"/>
      <c r="O3894" s="24" t="n"/>
      <c r="P3894" s="24" t="n"/>
      <c r="Q3894" s="22">
        <f>IF($D3894="","",IF(AND(OR(DANH_MUC!$L$5&lt;&gt;"Có",M3894="Có"),OR(DANH_MUC!$L$6&lt;&gt;"Có",N3894="Có"),OR(DANH_MUC!$L$7&lt;&gt;"Có",O3894="Có"),OR(DANH_MUC!$L$8&lt;&gt;"Có",P3894="Có")),"Có","Không"))</f>
        <v/>
      </c>
      <c r="R3894" s="22">
        <f>IF($D3894="","",IF(COUNTIF($D$2:$D3894,$D3894)&gt;1,"Trùng",""))</f>
        <v/>
      </c>
      <c r="S3894" s="22">
        <f>IF($D3894="","",IF(AND(LEN($D3894)=10,LEFT($D3894,1)="0",ISNUMBER(--$D3894)),"Có","Không"))</f>
        <v/>
      </c>
      <c r="T3894" s="22">
        <f>IF($D3894="","",IF(AND($C3894&lt;&gt;"",$Q3894="Có",$R3894="",$S3894="Có",AND($L3894&lt;&gt;"",OR($L3894&lt;&gt;"Chưa xác định",DANH_MUC!$L$9="Có"))),"Có","Không"))</f>
        <v/>
      </c>
      <c r="U3894" s="22">
        <f>IF(OR($D3894="",$T3894="Có"),"",IF($C3894="","Thiếu họ tên; ","")&amp;IF($S3894&lt;&gt;"Có","SĐT sai định dạng; ","")&amp;IF($R3894="Trùng","Trùng SĐT; ","")&amp;IF($Q3894&lt;&gt;"Có","Thiếu đồng ý bắt buộc; ","")&amp;IF($L3894="","Thiếu/sai Mã REF; ",IF(AND($L3894="Chưa xác định",DANH_MUC!$L$9&lt;&gt;"Có"),"Nguồn chưa xác định; ","")))</f>
        <v/>
      </c>
      <c r="V3894" s="22">
        <f>IF(OR($D3894="",$R3894="Trùng"),"",IF(COUNTIF(ORDERS!$C$2:$C$4995,$D3894)&gt;0,"Có","Không"))</f>
        <v/>
      </c>
      <c r="W3894" s="22">
        <f>IF(OR($D3894="",$R3894="Trùng"),"",COUNTIFS(ORDERS!$C$2:$C$4995,$D3894,ORDERS!$L$2:$L$4995,"Đã chuyển khoản"))</f>
        <v/>
      </c>
      <c r="X3894" s="23">
        <f>IF(OR($D3894="",$R3894="Trùng"),"",SUMIFS(ORDERS!$J$2:$J$4995,ORDERS!$C$2:$C$4995,$D3894,ORDERS!$L$2:$L$4995,"Đã chuyển khoản"))</f>
        <v/>
      </c>
      <c r="Y3894" s="24" t="n"/>
    </row>
    <row r="3895" ht="14.25" customHeight="1" s="40">
      <c r="A3895" s="24" t="n"/>
      <c r="B3895" s="27" t="n"/>
      <c r="C3895" s="24" t="n"/>
      <c r="D3895" s="28" t="n"/>
      <c r="E3895" s="29" t="n"/>
      <c r="F3895" s="24" t="n"/>
      <c r="G3895" s="24" t="n"/>
      <c r="H3895" s="21">
        <f>IF(ISNUMBER($B3895),INT($B3895)-WEEKDAY($B3895,2)+1,"")</f>
        <v/>
      </c>
      <c r="I3895" s="24" t="n"/>
      <c r="J3895" s="22">
        <f t="array" ref="J3895">IF($D3895="","",IF($I3895="","(trống REF)",IFERROR(INDEX(MASTER_SOURCE!$B$2:$B$495,MATCH($I3895,MASTER_SOURCE!$A$2:$A$495,0)),"(REF không có trong MASTER_SOURCE)")))</f>
        <v/>
      </c>
      <c r="K3895" s="22">
        <f t="array" ref="K3895">IF($D3895="","",IFERROR(INDEX(MASTER_SOURCE!$C$2:$C$495,MATCH($I3895,MASTER_SOURCE!$A$2:$A$495,0)),""))</f>
        <v/>
      </c>
      <c r="L3895" s="22">
        <f t="array" ref="L3895">IF($D3895="","",IFERROR(INDEX(MASTER_SOURCE!$D$2:$D$495,MATCH($I3895,MASTER_SOURCE!$A$2:$A$495,0)),""))</f>
        <v/>
      </c>
      <c r="M3895" s="24" t="n"/>
      <c r="N3895" s="24" t="n"/>
      <c r="O3895" s="24" t="n"/>
      <c r="P3895" s="24" t="n"/>
      <c r="Q3895" s="22">
        <f>IF($D3895="","",IF(AND(OR(DANH_MUC!$L$5&lt;&gt;"Có",M3895="Có"),OR(DANH_MUC!$L$6&lt;&gt;"Có",N3895="Có"),OR(DANH_MUC!$L$7&lt;&gt;"Có",O3895="Có"),OR(DANH_MUC!$L$8&lt;&gt;"Có",P3895="Có")),"Có","Không"))</f>
        <v/>
      </c>
      <c r="R3895" s="22">
        <f>IF($D3895="","",IF(COUNTIF($D$2:$D3895,$D3895)&gt;1,"Trùng",""))</f>
        <v/>
      </c>
      <c r="S3895" s="22">
        <f>IF($D3895="","",IF(AND(LEN($D3895)=10,LEFT($D3895,1)="0",ISNUMBER(--$D3895)),"Có","Không"))</f>
        <v/>
      </c>
      <c r="T3895" s="22">
        <f>IF($D3895="","",IF(AND($C3895&lt;&gt;"",$Q3895="Có",$R3895="",$S3895="Có",AND($L3895&lt;&gt;"",OR($L3895&lt;&gt;"Chưa xác định",DANH_MUC!$L$9="Có"))),"Có","Không"))</f>
        <v/>
      </c>
      <c r="U3895" s="22">
        <f>IF(OR($D3895="",$T3895="Có"),"",IF($C3895="","Thiếu họ tên; ","")&amp;IF($S3895&lt;&gt;"Có","SĐT sai định dạng; ","")&amp;IF($R3895="Trùng","Trùng SĐT; ","")&amp;IF($Q3895&lt;&gt;"Có","Thiếu đồng ý bắt buộc; ","")&amp;IF($L3895="","Thiếu/sai Mã REF; ",IF(AND($L3895="Chưa xác định",DANH_MUC!$L$9&lt;&gt;"Có"),"Nguồn chưa xác định; ","")))</f>
        <v/>
      </c>
      <c r="V3895" s="22">
        <f>IF(OR($D3895="",$R3895="Trùng"),"",IF(COUNTIF(ORDERS!$C$2:$C$4995,$D3895)&gt;0,"Có","Không"))</f>
        <v/>
      </c>
      <c r="W3895" s="22">
        <f>IF(OR($D3895="",$R3895="Trùng"),"",COUNTIFS(ORDERS!$C$2:$C$4995,$D3895,ORDERS!$L$2:$L$4995,"Đã chuyển khoản"))</f>
        <v/>
      </c>
      <c r="X3895" s="23">
        <f>IF(OR($D3895="",$R3895="Trùng"),"",SUMIFS(ORDERS!$J$2:$J$4995,ORDERS!$C$2:$C$4995,$D3895,ORDERS!$L$2:$L$4995,"Đã chuyển khoản"))</f>
        <v/>
      </c>
      <c r="Y3895" s="24" t="n"/>
    </row>
    <row r="3896" ht="14.25" customHeight="1" s="40">
      <c r="A3896" s="24" t="n"/>
      <c r="B3896" s="27" t="n"/>
      <c r="C3896" s="24" t="n"/>
      <c r="D3896" s="28" t="n"/>
      <c r="E3896" s="29" t="n"/>
      <c r="F3896" s="24" t="n"/>
      <c r="G3896" s="24" t="n"/>
      <c r="H3896" s="21">
        <f>IF(ISNUMBER($B3896),INT($B3896)-WEEKDAY($B3896,2)+1,"")</f>
        <v/>
      </c>
      <c r="I3896" s="24" t="n"/>
      <c r="J3896" s="22">
        <f t="array" ref="J3896">IF($D3896="","",IF($I3896="","(trống REF)",IFERROR(INDEX(MASTER_SOURCE!$B$2:$B$495,MATCH($I3896,MASTER_SOURCE!$A$2:$A$495,0)),"(REF không có trong MASTER_SOURCE)")))</f>
        <v/>
      </c>
      <c r="K3896" s="22">
        <f t="array" ref="K3896">IF($D3896="","",IFERROR(INDEX(MASTER_SOURCE!$C$2:$C$495,MATCH($I3896,MASTER_SOURCE!$A$2:$A$495,0)),""))</f>
        <v/>
      </c>
      <c r="L3896" s="22">
        <f t="array" ref="L3896">IF($D3896="","",IFERROR(INDEX(MASTER_SOURCE!$D$2:$D$495,MATCH($I3896,MASTER_SOURCE!$A$2:$A$495,0)),""))</f>
        <v/>
      </c>
      <c r="M3896" s="24" t="n"/>
      <c r="N3896" s="24" t="n"/>
      <c r="O3896" s="24" t="n"/>
      <c r="P3896" s="24" t="n"/>
      <c r="Q3896" s="22">
        <f>IF($D3896="","",IF(AND(OR(DANH_MUC!$L$5&lt;&gt;"Có",M3896="Có"),OR(DANH_MUC!$L$6&lt;&gt;"Có",N3896="Có"),OR(DANH_MUC!$L$7&lt;&gt;"Có",O3896="Có"),OR(DANH_MUC!$L$8&lt;&gt;"Có",P3896="Có")),"Có","Không"))</f>
        <v/>
      </c>
      <c r="R3896" s="22">
        <f>IF($D3896="","",IF(COUNTIF($D$2:$D3896,$D3896)&gt;1,"Trùng",""))</f>
        <v/>
      </c>
      <c r="S3896" s="22">
        <f>IF($D3896="","",IF(AND(LEN($D3896)=10,LEFT($D3896,1)="0",ISNUMBER(--$D3896)),"Có","Không"))</f>
        <v/>
      </c>
      <c r="T3896" s="22">
        <f>IF($D3896="","",IF(AND($C3896&lt;&gt;"",$Q3896="Có",$R3896="",$S3896="Có",AND($L3896&lt;&gt;"",OR($L3896&lt;&gt;"Chưa xác định",DANH_MUC!$L$9="Có"))),"Có","Không"))</f>
        <v/>
      </c>
      <c r="U3896" s="22">
        <f>IF(OR($D3896="",$T3896="Có"),"",IF($C3896="","Thiếu họ tên; ","")&amp;IF($S3896&lt;&gt;"Có","SĐT sai định dạng; ","")&amp;IF($R3896="Trùng","Trùng SĐT; ","")&amp;IF($Q3896&lt;&gt;"Có","Thiếu đồng ý bắt buộc; ","")&amp;IF($L3896="","Thiếu/sai Mã REF; ",IF(AND($L3896="Chưa xác định",DANH_MUC!$L$9&lt;&gt;"Có"),"Nguồn chưa xác định; ","")))</f>
        <v/>
      </c>
      <c r="V3896" s="22">
        <f>IF(OR($D3896="",$R3896="Trùng"),"",IF(COUNTIF(ORDERS!$C$2:$C$4995,$D3896)&gt;0,"Có","Không"))</f>
        <v/>
      </c>
      <c r="W3896" s="22">
        <f>IF(OR($D3896="",$R3896="Trùng"),"",COUNTIFS(ORDERS!$C$2:$C$4995,$D3896,ORDERS!$L$2:$L$4995,"Đã chuyển khoản"))</f>
        <v/>
      </c>
      <c r="X3896" s="23">
        <f>IF(OR($D3896="",$R3896="Trùng"),"",SUMIFS(ORDERS!$J$2:$J$4995,ORDERS!$C$2:$C$4995,$D3896,ORDERS!$L$2:$L$4995,"Đã chuyển khoản"))</f>
        <v/>
      </c>
      <c r="Y3896" s="24" t="n"/>
    </row>
    <row r="3897" ht="14.25" customHeight="1" s="40">
      <c r="A3897" s="24" t="n"/>
      <c r="B3897" s="27" t="n"/>
      <c r="C3897" s="24" t="n"/>
      <c r="D3897" s="28" t="n"/>
      <c r="E3897" s="29" t="n"/>
      <c r="F3897" s="24" t="n"/>
      <c r="G3897" s="24" t="n"/>
      <c r="H3897" s="21">
        <f>IF(ISNUMBER($B3897),INT($B3897)-WEEKDAY($B3897,2)+1,"")</f>
        <v/>
      </c>
      <c r="I3897" s="24" t="n"/>
      <c r="J3897" s="22">
        <f t="array" ref="J3897">IF($D3897="","",IF($I3897="","(trống REF)",IFERROR(INDEX(MASTER_SOURCE!$B$2:$B$495,MATCH($I3897,MASTER_SOURCE!$A$2:$A$495,0)),"(REF không có trong MASTER_SOURCE)")))</f>
        <v/>
      </c>
      <c r="K3897" s="22">
        <f t="array" ref="K3897">IF($D3897="","",IFERROR(INDEX(MASTER_SOURCE!$C$2:$C$495,MATCH($I3897,MASTER_SOURCE!$A$2:$A$495,0)),""))</f>
        <v/>
      </c>
      <c r="L3897" s="22">
        <f t="array" ref="L3897">IF($D3897="","",IFERROR(INDEX(MASTER_SOURCE!$D$2:$D$495,MATCH($I3897,MASTER_SOURCE!$A$2:$A$495,0)),""))</f>
        <v/>
      </c>
      <c r="M3897" s="24" t="n"/>
      <c r="N3897" s="24" t="n"/>
      <c r="O3897" s="24" t="n"/>
      <c r="P3897" s="24" t="n"/>
      <c r="Q3897" s="22">
        <f>IF($D3897="","",IF(AND(OR(DANH_MUC!$L$5&lt;&gt;"Có",M3897="Có"),OR(DANH_MUC!$L$6&lt;&gt;"Có",N3897="Có"),OR(DANH_MUC!$L$7&lt;&gt;"Có",O3897="Có"),OR(DANH_MUC!$L$8&lt;&gt;"Có",P3897="Có")),"Có","Không"))</f>
        <v/>
      </c>
      <c r="R3897" s="22">
        <f>IF($D3897="","",IF(COUNTIF($D$2:$D3897,$D3897)&gt;1,"Trùng",""))</f>
        <v/>
      </c>
      <c r="S3897" s="22">
        <f>IF($D3897="","",IF(AND(LEN($D3897)=10,LEFT($D3897,1)="0",ISNUMBER(--$D3897)),"Có","Không"))</f>
        <v/>
      </c>
      <c r="T3897" s="22">
        <f>IF($D3897="","",IF(AND($C3897&lt;&gt;"",$Q3897="Có",$R3897="",$S3897="Có",AND($L3897&lt;&gt;"",OR($L3897&lt;&gt;"Chưa xác định",DANH_MUC!$L$9="Có"))),"Có","Không"))</f>
        <v/>
      </c>
      <c r="U3897" s="22">
        <f>IF(OR($D3897="",$T3897="Có"),"",IF($C3897="","Thiếu họ tên; ","")&amp;IF($S3897&lt;&gt;"Có","SĐT sai định dạng; ","")&amp;IF($R3897="Trùng","Trùng SĐT; ","")&amp;IF($Q3897&lt;&gt;"Có","Thiếu đồng ý bắt buộc; ","")&amp;IF($L3897="","Thiếu/sai Mã REF; ",IF(AND($L3897="Chưa xác định",DANH_MUC!$L$9&lt;&gt;"Có"),"Nguồn chưa xác định; ","")))</f>
        <v/>
      </c>
      <c r="V3897" s="22">
        <f>IF(OR($D3897="",$R3897="Trùng"),"",IF(COUNTIF(ORDERS!$C$2:$C$4995,$D3897)&gt;0,"Có","Không"))</f>
        <v/>
      </c>
      <c r="W3897" s="22">
        <f>IF(OR($D3897="",$R3897="Trùng"),"",COUNTIFS(ORDERS!$C$2:$C$4995,$D3897,ORDERS!$L$2:$L$4995,"Đã chuyển khoản"))</f>
        <v/>
      </c>
      <c r="X3897" s="23">
        <f>IF(OR($D3897="",$R3897="Trùng"),"",SUMIFS(ORDERS!$J$2:$J$4995,ORDERS!$C$2:$C$4995,$D3897,ORDERS!$L$2:$L$4995,"Đã chuyển khoản"))</f>
        <v/>
      </c>
      <c r="Y3897" s="24" t="n"/>
    </row>
    <row r="3898" ht="14.25" customHeight="1" s="40">
      <c r="A3898" s="24" t="n"/>
      <c r="B3898" s="27" t="n"/>
      <c r="C3898" s="24" t="n"/>
      <c r="D3898" s="28" t="n"/>
      <c r="E3898" s="29" t="n"/>
      <c r="F3898" s="24" t="n"/>
      <c r="G3898" s="24" t="n"/>
      <c r="H3898" s="21">
        <f>IF(ISNUMBER($B3898),INT($B3898)-WEEKDAY($B3898,2)+1,"")</f>
        <v/>
      </c>
      <c r="I3898" s="24" t="n"/>
      <c r="J3898" s="22">
        <f t="array" ref="J3898">IF($D3898="","",IF($I3898="","(trống REF)",IFERROR(INDEX(MASTER_SOURCE!$B$2:$B$495,MATCH($I3898,MASTER_SOURCE!$A$2:$A$495,0)),"(REF không có trong MASTER_SOURCE)")))</f>
        <v/>
      </c>
      <c r="K3898" s="22">
        <f t="array" ref="K3898">IF($D3898="","",IFERROR(INDEX(MASTER_SOURCE!$C$2:$C$495,MATCH($I3898,MASTER_SOURCE!$A$2:$A$495,0)),""))</f>
        <v/>
      </c>
      <c r="L3898" s="22">
        <f t="array" ref="L3898">IF($D3898="","",IFERROR(INDEX(MASTER_SOURCE!$D$2:$D$495,MATCH($I3898,MASTER_SOURCE!$A$2:$A$495,0)),""))</f>
        <v/>
      </c>
      <c r="M3898" s="24" t="n"/>
      <c r="N3898" s="24" t="n"/>
      <c r="O3898" s="24" t="n"/>
      <c r="P3898" s="24" t="n"/>
      <c r="Q3898" s="22">
        <f>IF($D3898="","",IF(AND(OR(DANH_MUC!$L$5&lt;&gt;"Có",M3898="Có"),OR(DANH_MUC!$L$6&lt;&gt;"Có",N3898="Có"),OR(DANH_MUC!$L$7&lt;&gt;"Có",O3898="Có"),OR(DANH_MUC!$L$8&lt;&gt;"Có",P3898="Có")),"Có","Không"))</f>
        <v/>
      </c>
      <c r="R3898" s="22">
        <f>IF($D3898="","",IF(COUNTIF($D$2:$D3898,$D3898)&gt;1,"Trùng",""))</f>
        <v/>
      </c>
      <c r="S3898" s="22">
        <f>IF($D3898="","",IF(AND(LEN($D3898)=10,LEFT($D3898,1)="0",ISNUMBER(--$D3898)),"Có","Không"))</f>
        <v/>
      </c>
      <c r="T3898" s="22">
        <f>IF($D3898="","",IF(AND($C3898&lt;&gt;"",$Q3898="Có",$R3898="",$S3898="Có",AND($L3898&lt;&gt;"",OR($L3898&lt;&gt;"Chưa xác định",DANH_MUC!$L$9="Có"))),"Có","Không"))</f>
        <v/>
      </c>
      <c r="U3898" s="22">
        <f>IF(OR($D3898="",$T3898="Có"),"",IF($C3898="","Thiếu họ tên; ","")&amp;IF($S3898&lt;&gt;"Có","SĐT sai định dạng; ","")&amp;IF($R3898="Trùng","Trùng SĐT; ","")&amp;IF($Q3898&lt;&gt;"Có","Thiếu đồng ý bắt buộc; ","")&amp;IF($L3898="","Thiếu/sai Mã REF; ",IF(AND($L3898="Chưa xác định",DANH_MUC!$L$9&lt;&gt;"Có"),"Nguồn chưa xác định; ","")))</f>
        <v/>
      </c>
      <c r="V3898" s="22">
        <f>IF(OR($D3898="",$R3898="Trùng"),"",IF(COUNTIF(ORDERS!$C$2:$C$4995,$D3898)&gt;0,"Có","Không"))</f>
        <v/>
      </c>
      <c r="W3898" s="22">
        <f>IF(OR($D3898="",$R3898="Trùng"),"",COUNTIFS(ORDERS!$C$2:$C$4995,$D3898,ORDERS!$L$2:$L$4995,"Đã chuyển khoản"))</f>
        <v/>
      </c>
      <c r="X3898" s="23">
        <f>IF(OR($D3898="",$R3898="Trùng"),"",SUMIFS(ORDERS!$J$2:$J$4995,ORDERS!$C$2:$C$4995,$D3898,ORDERS!$L$2:$L$4995,"Đã chuyển khoản"))</f>
        <v/>
      </c>
      <c r="Y3898" s="24" t="n"/>
    </row>
    <row r="3899" ht="14.25" customHeight="1" s="40">
      <c r="A3899" s="24" t="n"/>
      <c r="B3899" s="27" t="n"/>
      <c r="C3899" s="24" t="n"/>
      <c r="D3899" s="28" t="n"/>
      <c r="E3899" s="29" t="n"/>
      <c r="F3899" s="24" t="n"/>
      <c r="G3899" s="24" t="n"/>
      <c r="H3899" s="21">
        <f>IF(ISNUMBER($B3899),INT($B3899)-WEEKDAY($B3899,2)+1,"")</f>
        <v/>
      </c>
      <c r="I3899" s="24" t="n"/>
      <c r="J3899" s="22">
        <f t="array" ref="J3899">IF($D3899="","",IF($I3899="","(trống REF)",IFERROR(INDEX(MASTER_SOURCE!$B$2:$B$495,MATCH($I3899,MASTER_SOURCE!$A$2:$A$495,0)),"(REF không có trong MASTER_SOURCE)")))</f>
        <v/>
      </c>
      <c r="K3899" s="22">
        <f t="array" ref="K3899">IF($D3899="","",IFERROR(INDEX(MASTER_SOURCE!$C$2:$C$495,MATCH($I3899,MASTER_SOURCE!$A$2:$A$495,0)),""))</f>
        <v/>
      </c>
      <c r="L3899" s="22">
        <f t="array" ref="L3899">IF($D3899="","",IFERROR(INDEX(MASTER_SOURCE!$D$2:$D$495,MATCH($I3899,MASTER_SOURCE!$A$2:$A$495,0)),""))</f>
        <v/>
      </c>
      <c r="M3899" s="24" t="n"/>
      <c r="N3899" s="24" t="n"/>
      <c r="O3899" s="24" t="n"/>
      <c r="P3899" s="24" t="n"/>
      <c r="Q3899" s="22">
        <f>IF($D3899="","",IF(AND(OR(DANH_MUC!$L$5&lt;&gt;"Có",M3899="Có"),OR(DANH_MUC!$L$6&lt;&gt;"Có",N3899="Có"),OR(DANH_MUC!$L$7&lt;&gt;"Có",O3899="Có"),OR(DANH_MUC!$L$8&lt;&gt;"Có",P3899="Có")),"Có","Không"))</f>
        <v/>
      </c>
      <c r="R3899" s="22">
        <f>IF($D3899="","",IF(COUNTIF($D$2:$D3899,$D3899)&gt;1,"Trùng",""))</f>
        <v/>
      </c>
      <c r="S3899" s="22">
        <f>IF($D3899="","",IF(AND(LEN($D3899)=10,LEFT($D3899,1)="0",ISNUMBER(--$D3899)),"Có","Không"))</f>
        <v/>
      </c>
      <c r="T3899" s="22">
        <f>IF($D3899="","",IF(AND($C3899&lt;&gt;"",$Q3899="Có",$R3899="",$S3899="Có",AND($L3899&lt;&gt;"",OR($L3899&lt;&gt;"Chưa xác định",DANH_MUC!$L$9="Có"))),"Có","Không"))</f>
        <v/>
      </c>
      <c r="U3899" s="22">
        <f>IF(OR($D3899="",$T3899="Có"),"",IF($C3899="","Thiếu họ tên; ","")&amp;IF($S3899&lt;&gt;"Có","SĐT sai định dạng; ","")&amp;IF($R3899="Trùng","Trùng SĐT; ","")&amp;IF($Q3899&lt;&gt;"Có","Thiếu đồng ý bắt buộc; ","")&amp;IF($L3899="","Thiếu/sai Mã REF; ",IF(AND($L3899="Chưa xác định",DANH_MUC!$L$9&lt;&gt;"Có"),"Nguồn chưa xác định; ","")))</f>
        <v/>
      </c>
      <c r="V3899" s="22">
        <f>IF(OR($D3899="",$R3899="Trùng"),"",IF(COUNTIF(ORDERS!$C$2:$C$4995,$D3899)&gt;0,"Có","Không"))</f>
        <v/>
      </c>
      <c r="W3899" s="22">
        <f>IF(OR($D3899="",$R3899="Trùng"),"",COUNTIFS(ORDERS!$C$2:$C$4995,$D3899,ORDERS!$L$2:$L$4995,"Đã chuyển khoản"))</f>
        <v/>
      </c>
      <c r="X3899" s="23">
        <f>IF(OR($D3899="",$R3899="Trùng"),"",SUMIFS(ORDERS!$J$2:$J$4995,ORDERS!$C$2:$C$4995,$D3899,ORDERS!$L$2:$L$4995,"Đã chuyển khoản"))</f>
        <v/>
      </c>
      <c r="Y3899" s="24" t="n"/>
    </row>
    <row r="3900" ht="14.25" customHeight="1" s="40">
      <c r="A3900" s="24" t="n"/>
      <c r="B3900" s="27" t="n"/>
      <c r="C3900" s="24" t="n"/>
      <c r="D3900" s="28" t="n"/>
      <c r="E3900" s="29" t="n"/>
      <c r="F3900" s="24" t="n"/>
      <c r="G3900" s="24" t="n"/>
      <c r="H3900" s="21">
        <f>IF(ISNUMBER($B3900),INT($B3900)-WEEKDAY($B3900,2)+1,"")</f>
        <v/>
      </c>
      <c r="I3900" s="24" t="n"/>
      <c r="J3900" s="22">
        <f t="array" ref="J3900">IF($D3900="","",IF($I3900="","(trống REF)",IFERROR(INDEX(MASTER_SOURCE!$B$2:$B$495,MATCH($I3900,MASTER_SOURCE!$A$2:$A$495,0)),"(REF không có trong MASTER_SOURCE)")))</f>
        <v/>
      </c>
      <c r="K3900" s="22">
        <f t="array" ref="K3900">IF($D3900="","",IFERROR(INDEX(MASTER_SOURCE!$C$2:$C$495,MATCH($I3900,MASTER_SOURCE!$A$2:$A$495,0)),""))</f>
        <v/>
      </c>
      <c r="L3900" s="22">
        <f t="array" ref="L3900">IF($D3900="","",IFERROR(INDEX(MASTER_SOURCE!$D$2:$D$495,MATCH($I3900,MASTER_SOURCE!$A$2:$A$495,0)),""))</f>
        <v/>
      </c>
      <c r="M3900" s="24" t="n"/>
      <c r="N3900" s="24" t="n"/>
      <c r="O3900" s="24" t="n"/>
      <c r="P3900" s="24" t="n"/>
      <c r="Q3900" s="22">
        <f>IF($D3900="","",IF(AND(OR(DANH_MUC!$L$5&lt;&gt;"Có",M3900="Có"),OR(DANH_MUC!$L$6&lt;&gt;"Có",N3900="Có"),OR(DANH_MUC!$L$7&lt;&gt;"Có",O3900="Có"),OR(DANH_MUC!$L$8&lt;&gt;"Có",P3900="Có")),"Có","Không"))</f>
        <v/>
      </c>
      <c r="R3900" s="22">
        <f>IF($D3900="","",IF(COUNTIF($D$2:$D3900,$D3900)&gt;1,"Trùng",""))</f>
        <v/>
      </c>
      <c r="S3900" s="22">
        <f>IF($D3900="","",IF(AND(LEN($D3900)=10,LEFT($D3900,1)="0",ISNUMBER(--$D3900)),"Có","Không"))</f>
        <v/>
      </c>
      <c r="T3900" s="22">
        <f>IF($D3900="","",IF(AND($C3900&lt;&gt;"",$Q3900="Có",$R3900="",$S3900="Có",AND($L3900&lt;&gt;"",OR($L3900&lt;&gt;"Chưa xác định",DANH_MUC!$L$9="Có"))),"Có","Không"))</f>
        <v/>
      </c>
      <c r="U3900" s="22">
        <f>IF(OR($D3900="",$T3900="Có"),"",IF($C3900="","Thiếu họ tên; ","")&amp;IF($S3900&lt;&gt;"Có","SĐT sai định dạng; ","")&amp;IF($R3900="Trùng","Trùng SĐT; ","")&amp;IF($Q3900&lt;&gt;"Có","Thiếu đồng ý bắt buộc; ","")&amp;IF($L3900="","Thiếu/sai Mã REF; ",IF(AND($L3900="Chưa xác định",DANH_MUC!$L$9&lt;&gt;"Có"),"Nguồn chưa xác định; ","")))</f>
        <v/>
      </c>
      <c r="V3900" s="22">
        <f>IF(OR($D3900="",$R3900="Trùng"),"",IF(COUNTIF(ORDERS!$C$2:$C$4995,$D3900)&gt;0,"Có","Không"))</f>
        <v/>
      </c>
      <c r="W3900" s="22">
        <f>IF(OR($D3900="",$R3900="Trùng"),"",COUNTIFS(ORDERS!$C$2:$C$4995,$D3900,ORDERS!$L$2:$L$4995,"Đã chuyển khoản"))</f>
        <v/>
      </c>
      <c r="X3900" s="23">
        <f>IF(OR($D3900="",$R3900="Trùng"),"",SUMIFS(ORDERS!$J$2:$J$4995,ORDERS!$C$2:$C$4995,$D3900,ORDERS!$L$2:$L$4995,"Đã chuyển khoản"))</f>
        <v/>
      </c>
      <c r="Y3900" s="24" t="n"/>
    </row>
    <row r="3901" ht="14.25" customHeight="1" s="40">
      <c r="A3901" s="24" t="n"/>
      <c r="B3901" s="27" t="n"/>
      <c r="C3901" s="24" t="n"/>
      <c r="D3901" s="28" t="n"/>
      <c r="E3901" s="29" t="n"/>
      <c r="F3901" s="24" t="n"/>
      <c r="G3901" s="24" t="n"/>
      <c r="H3901" s="21">
        <f>IF(ISNUMBER($B3901),INT($B3901)-WEEKDAY($B3901,2)+1,"")</f>
        <v/>
      </c>
      <c r="I3901" s="24" t="n"/>
      <c r="J3901" s="22">
        <f t="array" ref="J3901">IF($D3901="","",IF($I3901="","(trống REF)",IFERROR(INDEX(MASTER_SOURCE!$B$2:$B$495,MATCH($I3901,MASTER_SOURCE!$A$2:$A$495,0)),"(REF không có trong MASTER_SOURCE)")))</f>
        <v/>
      </c>
      <c r="K3901" s="22">
        <f t="array" ref="K3901">IF($D3901="","",IFERROR(INDEX(MASTER_SOURCE!$C$2:$C$495,MATCH($I3901,MASTER_SOURCE!$A$2:$A$495,0)),""))</f>
        <v/>
      </c>
      <c r="L3901" s="22">
        <f t="array" ref="L3901">IF($D3901="","",IFERROR(INDEX(MASTER_SOURCE!$D$2:$D$495,MATCH($I3901,MASTER_SOURCE!$A$2:$A$495,0)),""))</f>
        <v/>
      </c>
      <c r="M3901" s="24" t="n"/>
      <c r="N3901" s="24" t="n"/>
      <c r="O3901" s="24" t="n"/>
      <c r="P3901" s="24" t="n"/>
      <c r="Q3901" s="22">
        <f>IF($D3901="","",IF(AND(OR(DANH_MUC!$L$5&lt;&gt;"Có",M3901="Có"),OR(DANH_MUC!$L$6&lt;&gt;"Có",N3901="Có"),OR(DANH_MUC!$L$7&lt;&gt;"Có",O3901="Có"),OR(DANH_MUC!$L$8&lt;&gt;"Có",P3901="Có")),"Có","Không"))</f>
        <v/>
      </c>
      <c r="R3901" s="22">
        <f>IF($D3901="","",IF(COUNTIF($D$2:$D3901,$D3901)&gt;1,"Trùng",""))</f>
        <v/>
      </c>
      <c r="S3901" s="22">
        <f>IF($D3901="","",IF(AND(LEN($D3901)=10,LEFT($D3901,1)="0",ISNUMBER(--$D3901)),"Có","Không"))</f>
        <v/>
      </c>
      <c r="T3901" s="22">
        <f>IF($D3901="","",IF(AND($C3901&lt;&gt;"",$Q3901="Có",$R3901="",$S3901="Có",AND($L3901&lt;&gt;"",OR($L3901&lt;&gt;"Chưa xác định",DANH_MUC!$L$9="Có"))),"Có","Không"))</f>
        <v/>
      </c>
      <c r="U3901" s="22">
        <f>IF(OR($D3901="",$T3901="Có"),"",IF($C3901="","Thiếu họ tên; ","")&amp;IF($S3901&lt;&gt;"Có","SĐT sai định dạng; ","")&amp;IF($R3901="Trùng","Trùng SĐT; ","")&amp;IF($Q3901&lt;&gt;"Có","Thiếu đồng ý bắt buộc; ","")&amp;IF($L3901="","Thiếu/sai Mã REF; ",IF(AND($L3901="Chưa xác định",DANH_MUC!$L$9&lt;&gt;"Có"),"Nguồn chưa xác định; ","")))</f>
        <v/>
      </c>
      <c r="V3901" s="22">
        <f>IF(OR($D3901="",$R3901="Trùng"),"",IF(COUNTIF(ORDERS!$C$2:$C$4995,$D3901)&gt;0,"Có","Không"))</f>
        <v/>
      </c>
      <c r="W3901" s="22">
        <f>IF(OR($D3901="",$R3901="Trùng"),"",COUNTIFS(ORDERS!$C$2:$C$4995,$D3901,ORDERS!$L$2:$L$4995,"Đã chuyển khoản"))</f>
        <v/>
      </c>
      <c r="X3901" s="23">
        <f>IF(OR($D3901="",$R3901="Trùng"),"",SUMIFS(ORDERS!$J$2:$J$4995,ORDERS!$C$2:$C$4995,$D3901,ORDERS!$L$2:$L$4995,"Đã chuyển khoản"))</f>
        <v/>
      </c>
      <c r="Y3901" s="24" t="n"/>
    </row>
    <row r="3902" ht="14.25" customHeight="1" s="40">
      <c r="A3902" s="24" t="n"/>
      <c r="B3902" s="27" t="n"/>
      <c r="C3902" s="24" t="n"/>
      <c r="D3902" s="28" t="n"/>
      <c r="E3902" s="29" t="n"/>
      <c r="F3902" s="24" t="n"/>
      <c r="G3902" s="24" t="n"/>
      <c r="H3902" s="21">
        <f>IF(ISNUMBER($B3902),INT($B3902)-WEEKDAY($B3902,2)+1,"")</f>
        <v/>
      </c>
      <c r="I3902" s="24" t="n"/>
      <c r="J3902" s="22">
        <f t="array" ref="J3902">IF($D3902="","",IF($I3902="","(trống REF)",IFERROR(INDEX(MASTER_SOURCE!$B$2:$B$495,MATCH($I3902,MASTER_SOURCE!$A$2:$A$495,0)),"(REF không có trong MASTER_SOURCE)")))</f>
        <v/>
      </c>
      <c r="K3902" s="22">
        <f t="array" ref="K3902">IF($D3902="","",IFERROR(INDEX(MASTER_SOURCE!$C$2:$C$495,MATCH($I3902,MASTER_SOURCE!$A$2:$A$495,0)),""))</f>
        <v/>
      </c>
      <c r="L3902" s="22">
        <f t="array" ref="L3902">IF($D3902="","",IFERROR(INDEX(MASTER_SOURCE!$D$2:$D$495,MATCH($I3902,MASTER_SOURCE!$A$2:$A$495,0)),""))</f>
        <v/>
      </c>
      <c r="M3902" s="24" t="n"/>
      <c r="N3902" s="24" t="n"/>
      <c r="O3902" s="24" t="n"/>
      <c r="P3902" s="24" t="n"/>
      <c r="Q3902" s="22">
        <f>IF($D3902="","",IF(AND(OR(DANH_MUC!$L$5&lt;&gt;"Có",M3902="Có"),OR(DANH_MUC!$L$6&lt;&gt;"Có",N3902="Có"),OR(DANH_MUC!$L$7&lt;&gt;"Có",O3902="Có"),OR(DANH_MUC!$L$8&lt;&gt;"Có",P3902="Có")),"Có","Không"))</f>
        <v/>
      </c>
      <c r="R3902" s="22">
        <f>IF($D3902="","",IF(COUNTIF($D$2:$D3902,$D3902)&gt;1,"Trùng",""))</f>
        <v/>
      </c>
      <c r="S3902" s="22">
        <f>IF($D3902="","",IF(AND(LEN($D3902)=10,LEFT($D3902,1)="0",ISNUMBER(--$D3902)),"Có","Không"))</f>
        <v/>
      </c>
      <c r="T3902" s="22">
        <f>IF($D3902="","",IF(AND($C3902&lt;&gt;"",$Q3902="Có",$R3902="",$S3902="Có",AND($L3902&lt;&gt;"",OR($L3902&lt;&gt;"Chưa xác định",DANH_MUC!$L$9="Có"))),"Có","Không"))</f>
        <v/>
      </c>
      <c r="U3902" s="22">
        <f>IF(OR($D3902="",$T3902="Có"),"",IF($C3902="","Thiếu họ tên; ","")&amp;IF($S3902&lt;&gt;"Có","SĐT sai định dạng; ","")&amp;IF($R3902="Trùng","Trùng SĐT; ","")&amp;IF($Q3902&lt;&gt;"Có","Thiếu đồng ý bắt buộc; ","")&amp;IF($L3902="","Thiếu/sai Mã REF; ",IF(AND($L3902="Chưa xác định",DANH_MUC!$L$9&lt;&gt;"Có"),"Nguồn chưa xác định; ","")))</f>
        <v/>
      </c>
      <c r="V3902" s="22">
        <f>IF(OR($D3902="",$R3902="Trùng"),"",IF(COUNTIF(ORDERS!$C$2:$C$4995,$D3902)&gt;0,"Có","Không"))</f>
        <v/>
      </c>
      <c r="W3902" s="22">
        <f>IF(OR($D3902="",$R3902="Trùng"),"",COUNTIFS(ORDERS!$C$2:$C$4995,$D3902,ORDERS!$L$2:$L$4995,"Đã chuyển khoản"))</f>
        <v/>
      </c>
      <c r="X3902" s="23">
        <f>IF(OR($D3902="",$R3902="Trùng"),"",SUMIFS(ORDERS!$J$2:$J$4995,ORDERS!$C$2:$C$4995,$D3902,ORDERS!$L$2:$L$4995,"Đã chuyển khoản"))</f>
        <v/>
      </c>
      <c r="Y3902" s="24" t="n"/>
    </row>
    <row r="3903" ht="14.25" customHeight="1" s="40">
      <c r="A3903" s="24" t="n"/>
      <c r="B3903" s="27" t="n"/>
      <c r="C3903" s="24" t="n"/>
      <c r="D3903" s="28" t="n"/>
      <c r="E3903" s="29" t="n"/>
      <c r="F3903" s="24" t="n"/>
      <c r="G3903" s="24" t="n"/>
      <c r="H3903" s="21">
        <f>IF(ISNUMBER($B3903),INT($B3903)-WEEKDAY($B3903,2)+1,"")</f>
        <v/>
      </c>
      <c r="I3903" s="24" t="n"/>
      <c r="J3903" s="22">
        <f t="array" ref="J3903">IF($D3903="","",IF($I3903="","(trống REF)",IFERROR(INDEX(MASTER_SOURCE!$B$2:$B$495,MATCH($I3903,MASTER_SOURCE!$A$2:$A$495,0)),"(REF không có trong MASTER_SOURCE)")))</f>
        <v/>
      </c>
      <c r="K3903" s="22">
        <f t="array" ref="K3903">IF($D3903="","",IFERROR(INDEX(MASTER_SOURCE!$C$2:$C$495,MATCH($I3903,MASTER_SOURCE!$A$2:$A$495,0)),""))</f>
        <v/>
      </c>
      <c r="L3903" s="22">
        <f t="array" ref="L3903">IF($D3903="","",IFERROR(INDEX(MASTER_SOURCE!$D$2:$D$495,MATCH($I3903,MASTER_SOURCE!$A$2:$A$495,0)),""))</f>
        <v/>
      </c>
      <c r="M3903" s="24" t="n"/>
      <c r="N3903" s="24" t="n"/>
      <c r="O3903" s="24" t="n"/>
      <c r="P3903" s="24" t="n"/>
      <c r="Q3903" s="22">
        <f>IF($D3903="","",IF(AND(OR(DANH_MUC!$L$5&lt;&gt;"Có",M3903="Có"),OR(DANH_MUC!$L$6&lt;&gt;"Có",N3903="Có"),OR(DANH_MUC!$L$7&lt;&gt;"Có",O3903="Có"),OR(DANH_MUC!$L$8&lt;&gt;"Có",P3903="Có")),"Có","Không"))</f>
        <v/>
      </c>
      <c r="R3903" s="22">
        <f>IF($D3903="","",IF(COUNTIF($D$2:$D3903,$D3903)&gt;1,"Trùng",""))</f>
        <v/>
      </c>
      <c r="S3903" s="22">
        <f>IF($D3903="","",IF(AND(LEN($D3903)=10,LEFT($D3903,1)="0",ISNUMBER(--$D3903)),"Có","Không"))</f>
        <v/>
      </c>
      <c r="T3903" s="22">
        <f>IF($D3903="","",IF(AND($C3903&lt;&gt;"",$Q3903="Có",$R3903="",$S3903="Có",AND($L3903&lt;&gt;"",OR($L3903&lt;&gt;"Chưa xác định",DANH_MUC!$L$9="Có"))),"Có","Không"))</f>
        <v/>
      </c>
      <c r="U3903" s="22">
        <f>IF(OR($D3903="",$T3903="Có"),"",IF($C3903="","Thiếu họ tên; ","")&amp;IF($S3903&lt;&gt;"Có","SĐT sai định dạng; ","")&amp;IF($R3903="Trùng","Trùng SĐT; ","")&amp;IF($Q3903&lt;&gt;"Có","Thiếu đồng ý bắt buộc; ","")&amp;IF($L3903="","Thiếu/sai Mã REF; ",IF(AND($L3903="Chưa xác định",DANH_MUC!$L$9&lt;&gt;"Có"),"Nguồn chưa xác định; ","")))</f>
        <v/>
      </c>
      <c r="V3903" s="22">
        <f>IF(OR($D3903="",$R3903="Trùng"),"",IF(COUNTIF(ORDERS!$C$2:$C$4995,$D3903)&gt;0,"Có","Không"))</f>
        <v/>
      </c>
      <c r="W3903" s="22">
        <f>IF(OR($D3903="",$R3903="Trùng"),"",COUNTIFS(ORDERS!$C$2:$C$4995,$D3903,ORDERS!$L$2:$L$4995,"Đã chuyển khoản"))</f>
        <v/>
      </c>
      <c r="X3903" s="23">
        <f>IF(OR($D3903="",$R3903="Trùng"),"",SUMIFS(ORDERS!$J$2:$J$4995,ORDERS!$C$2:$C$4995,$D3903,ORDERS!$L$2:$L$4995,"Đã chuyển khoản"))</f>
        <v/>
      </c>
      <c r="Y3903" s="24" t="n"/>
    </row>
    <row r="3904" ht="14.25" customHeight="1" s="40">
      <c r="A3904" s="24" t="n"/>
      <c r="B3904" s="27" t="n"/>
      <c r="C3904" s="24" t="n"/>
      <c r="D3904" s="28" t="n"/>
      <c r="E3904" s="29" t="n"/>
      <c r="F3904" s="24" t="n"/>
      <c r="G3904" s="24" t="n"/>
      <c r="H3904" s="21">
        <f>IF(ISNUMBER($B3904),INT($B3904)-WEEKDAY($B3904,2)+1,"")</f>
        <v/>
      </c>
      <c r="I3904" s="24" t="n"/>
      <c r="J3904" s="22">
        <f t="array" ref="J3904">IF($D3904="","",IF($I3904="","(trống REF)",IFERROR(INDEX(MASTER_SOURCE!$B$2:$B$495,MATCH($I3904,MASTER_SOURCE!$A$2:$A$495,0)),"(REF không có trong MASTER_SOURCE)")))</f>
        <v/>
      </c>
      <c r="K3904" s="22">
        <f t="array" ref="K3904">IF($D3904="","",IFERROR(INDEX(MASTER_SOURCE!$C$2:$C$495,MATCH($I3904,MASTER_SOURCE!$A$2:$A$495,0)),""))</f>
        <v/>
      </c>
      <c r="L3904" s="22">
        <f t="array" ref="L3904">IF($D3904="","",IFERROR(INDEX(MASTER_SOURCE!$D$2:$D$495,MATCH($I3904,MASTER_SOURCE!$A$2:$A$495,0)),""))</f>
        <v/>
      </c>
      <c r="M3904" s="24" t="n"/>
      <c r="N3904" s="24" t="n"/>
      <c r="O3904" s="24" t="n"/>
      <c r="P3904" s="24" t="n"/>
      <c r="Q3904" s="22">
        <f>IF($D3904="","",IF(AND(OR(DANH_MUC!$L$5&lt;&gt;"Có",M3904="Có"),OR(DANH_MUC!$L$6&lt;&gt;"Có",N3904="Có"),OR(DANH_MUC!$L$7&lt;&gt;"Có",O3904="Có"),OR(DANH_MUC!$L$8&lt;&gt;"Có",P3904="Có")),"Có","Không"))</f>
        <v/>
      </c>
      <c r="R3904" s="22">
        <f>IF($D3904="","",IF(COUNTIF($D$2:$D3904,$D3904)&gt;1,"Trùng",""))</f>
        <v/>
      </c>
      <c r="S3904" s="22">
        <f>IF($D3904="","",IF(AND(LEN($D3904)=10,LEFT($D3904,1)="0",ISNUMBER(--$D3904)),"Có","Không"))</f>
        <v/>
      </c>
      <c r="T3904" s="22">
        <f>IF($D3904="","",IF(AND($C3904&lt;&gt;"",$Q3904="Có",$R3904="",$S3904="Có",AND($L3904&lt;&gt;"",OR($L3904&lt;&gt;"Chưa xác định",DANH_MUC!$L$9="Có"))),"Có","Không"))</f>
        <v/>
      </c>
      <c r="U3904" s="22">
        <f>IF(OR($D3904="",$T3904="Có"),"",IF($C3904="","Thiếu họ tên; ","")&amp;IF($S3904&lt;&gt;"Có","SĐT sai định dạng; ","")&amp;IF($R3904="Trùng","Trùng SĐT; ","")&amp;IF($Q3904&lt;&gt;"Có","Thiếu đồng ý bắt buộc; ","")&amp;IF($L3904="","Thiếu/sai Mã REF; ",IF(AND($L3904="Chưa xác định",DANH_MUC!$L$9&lt;&gt;"Có"),"Nguồn chưa xác định; ","")))</f>
        <v/>
      </c>
      <c r="V3904" s="22">
        <f>IF(OR($D3904="",$R3904="Trùng"),"",IF(COUNTIF(ORDERS!$C$2:$C$4995,$D3904)&gt;0,"Có","Không"))</f>
        <v/>
      </c>
      <c r="W3904" s="22">
        <f>IF(OR($D3904="",$R3904="Trùng"),"",COUNTIFS(ORDERS!$C$2:$C$4995,$D3904,ORDERS!$L$2:$L$4995,"Đã chuyển khoản"))</f>
        <v/>
      </c>
      <c r="X3904" s="23">
        <f>IF(OR($D3904="",$R3904="Trùng"),"",SUMIFS(ORDERS!$J$2:$J$4995,ORDERS!$C$2:$C$4995,$D3904,ORDERS!$L$2:$L$4995,"Đã chuyển khoản"))</f>
        <v/>
      </c>
      <c r="Y3904" s="24" t="n"/>
    </row>
    <row r="3905" ht="14.25" customHeight="1" s="40">
      <c r="A3905" s="24" t="n"/>
      <c r="B3905" s="27" t="n"/>
      <c r="C3905" s="24" t="n"/>
      <c r="D3905" s="28" t="n"/>
      <c r="E3905" s="29" t="n"/>
      <c r="F3905" s="24" t="n"/>
      <c r="G3905" s="24" t="n"/>
      <c r="H3905" s="21">
        <f>IF(ISNUMBER($B3905),INT($B3905)-WEEKDAY($B3905,2)+1,"")</f>
        <v/>
      </c>
      <c r="I3905" s="24" t="n"/>
      <c r="J3905" s="22">
        <f t="array" ref="J3905">IF($D3905="","",IF($I3905="","(trống REF)",IFERROR(INDEX(MASTER_SOURCE!$B$2:$B$495,MATCH($I3905,MASTER_SOURCE!$A$2:$A$495,0)),"(REF không có trong MASTER_SOURCE)")))</f>
        <v/>
      </c>
      <c r="K3905" s="22">
        <f t="array" ref="K3905">IF($D3905="","",IFERROR(INDEX(MASTER_SOURCE!$C$2:$C$495,MATCH($I3905,MASTER_SOURCE!$A$2:$A$495,0)),""))</f>
        <v/>
      </c>
      <c r="L3905" s="22">
        <f t="array" ref="L3905">IF($D3905="","",IFERROR(INDEX(MASTER_SOURCE!$D$2:$D$495,MATCH($I3905,MASTER_SOURCE!$A$2:$A$495,0)),""))</f>
        <v/>
      </c>
      <c r="M3905" s="24" t="n"/>
      <c r="N3905" s="24" t="n"/>
      <c r="O3905" s="24" t="n"/>
      <c r="P3905" s="24" t="n"/>
      <c r="Q3905" s="22">
        <f>IF($D3905="","",IF(AND(OR(DANH_MUC!$L$5&lt;&gt;"Có",M3905="Có"),OR(DANH_MUC!$L$6&lt;&gt;"Có",N3905="Có"),OR(DANH_MUC!$L$7&lt;&gt;"Có",O3905="Có"),OR(DANH_MUC!$L$8&lt;&gt;"Có",P3905="Có")),"Có","Không"))</f>
        <v/>
      </c>
      <c r="R3905" s="22">
        <f>IF($D3905="","",IF(COUNTIF($D$2:$D3905,$D3905)&gt;1,"Trùng",""))</f>
        <v/>
      </c>
      <c r="S3905" s="22">
        <f>IF($D3905="","",IF(AND(LEN($D3905)=10,LEFT($D3905,1)="0",ISNUMBER(--$D3905)),"Có","Không"))</f>
        <v/>
      </c>
      <c r="T3905" s="22">
        <f>IF($D3905="","",IF(AND($C3905&lt;&gt;"",$Q3905="Có",$R3905="",$S3905="Có",AND($L3905&lt;&gt;"",OR($L3905&lt;&gt;"Chưa xác định",DANH_MUC!$L$9="Có"))),"Có","Không"))</f>
        <v/>
      </c>
      <c r="U3905" s="22">
        <f>IF(OR($D3905="",$T3905="Có"),"",IF($C3905="","Thiếu họ tên; ","")&amp;IF($S3905&lt;&gt;"Có","SĐT sai định dạng; ","")&amp;IF($R3905="Trùng","Trùng SĐT; ","")&amp;IF($Q3905&lt;&gt;"Có","Thiếu đồng ý bắt buộc; ","")&amp;IF($L3905="","Thiếu/sai Mã REF; ",IF(AND($L3905="Chưa xác định",DANH_MUC!$L$9&lt;&gt;"Có"),"Nguồn chưa xác định; ","")))</f>
        <v/>
      </c>
      <c r="V3905" s="22">
        <f>IF(OR($D3905="",$R3905="Trùng"),"",IF(COUNTIF(ORDERS!$C$2:$C$4995,$D3905)&gt;0,"Có","Không"))</f>
        <v/>
      </c>
      <c r="W3905" s="22">
        <f>IF(OR($D3905="",$R3905="Trùng"),"",COUNTIFS(ORDERS!$C$2:$C$4995,$D3905,ORDERS!$L$2:$L$4995,"Đã chuyển khoản"))</f>
        <v/>
      </c>
      <c r="X3905" s="23">
        <f>IF(OR($D3905="",$R3905="Trùng"),"",SUMIFS(ORDERS!$J$2:$J$4995,ORDERS!$C$2:$C$4995,$D3905,ORDERS!$L$2:$L$4995,"Đã chuyển khoản"))</f>
        <v/>
      </c>
      <c r="Y3905" s="24" t="n"/>
    </row>
    <row r="3906" ht="14.25" customHeight="1" s="40">
      <c r="A3906" s="24" t="n"/>
      <c r="B3906" s="27" t="n"/>
      <c r="C3906" s="24" t="n"/>
      <c r="D3906" s="28" t="n"/>
      <c r="E3906" s="29" t="n"/>
      <c r="F3906" s="24" t="n"/>
      <c r="G3906" s="24" t="n"/>
      <c r="H3906" s="21">
        <f>IF(ISNUMBER($B3906),INT($B3906)-WEEKDAY($B3906,2)+1,"")</f>
        <v/>
      </c>
      <c r="I3906" s="24" t="n"/>
      <c r="J3906" s="22">
        <f t="array" ref="J3906">IF($D3906="","",IF($I3906="","(trống REF)",IFERROR(INDEX(MASTER_SOURCE!$B$2:$B$495,MATCH($I3906,MASTER_SOURCE!$A$2:$A$495,0)),"(REF không có trong MASTER_SOURCE)")))</f>
        <v/>
      </c>
      <c r="K3906" s="22">
        <f t="array" ref="K3906">IF($D3906="","",IFERROR(INDEX(MASTER_SOURCE!$C$2:$C$495,MATCH($I3906,MASTER_SOURCE!$A$2:$A$495,0)),""))</f>
        <v/>
      </c>
      <c r="L3906" s="22">
        <f t="array" ref="L3906">IF($D3906="","",IFERROR(INDEX(MASTER_SOURCE!$D$2:$D$495,MATCH($I3906,MASTER_SOURCE!$A$2:$A$495,0)),""))</f>
        <v/>
      </c>
      <c r="M3906" s="24" t="n"/>
      <c r="N3906" s="24" t="n"/>
      <c r="O3906" s="24" t="n"/>
      <c r="P3906" s="24" t="n"/>
      <c r="Q3906" s="22">
        <f>IF($D3906="","",IF(AND(OR(DANH_MUC!$L$5&lt;&gt;"Có",M3906="Có"),OR(DANH_MUC!$L$6&lt;&gt;"Có",N3906="Có"),OR(DANH_MUC!$L$7&lt;&gt;"Có",O3906="Có"),OR(DANH_MUC!$L$8&lt;&gt;"Có",P3906="Có")),"Có","Không"))</f>
        <v/>
      </c>
      <c r="R3906" s="22">
        <f>IF($D3906="","",IF(COUNTIF($D$2:$D3906,$D3906)&gt;1,"Trùng",""))</f>
        <v/>
      </c>
      <c r="S3906" s="22">
        <f>IF($D3906="","",IF(AND(LEN($D3906)=10,LEFT($D3906,1)="0",ISNUMBER(--$D3906)),"Có","Không"))</f>
        <v/>
      </c>
      <c r="T3906" s="22">
        <f>IF($D3906="","",IF(AND($C3906&lt;&gt;"",$Q3906="Có",$R3906="",$S3906="Có",AND($L3906&lt;&gt;"",OR($L3906&lt;&gt;"Chưa xác định",DANH_MUC!$L$9="Có"))),"Có","Không"))</f>
        <v/>
      </c>
      <c r="U3906" s="22">
        <f>IF(OR($D3906="",$T3906="Có"),"",IF($C3906="","Thiếu họ tên; ","")&amp;IF($S3906&lt;&gt;"Có","SĐT sai định dạng; ","")&amp;IF($R3906="Trùng","Trùng SĐT; ","")&amp;IF($Q3906&lt;&gt;"Có","Thiếu đồng ý bắt buộc; ","")&amp;IF($L3906="","Thiếu/sai Mã REF; ",IF(AND($L3906="Chưa xác định",DANH_MUC!$L$9&lt;&gt;"Có"),"Nguồn chưa xác định; ","")))</f>
        <v/>
      </c>
      <c r="V3906" s="22">
        <f>IF(OR($D3906="",$R3906="Trùng"),"",IF(COUNTIF(ORDERS!$C$2:$C$4995,$D3906)&gt;0,"Có","Không"))</f>
        <v/>
      </c>
      <c r="W3906" s="22">
        <f>IF(OR($D3906="",$R3906="Trùng"),"",COUNTIFS(ORDERS!$C$2:$C$4995,$D3906,ORDERS!$L$2:$L$4995,"Đã chuyển khoản"))</f>
        <v/>
      </c>
      <c r="X3906" s="23">
        <f>IF(OR($D3906="",$R3906="Trùng"),"",SUMIFS(ORDERS!$J$2:$J$4995,ORDERS!$C$2:$C$4995,$D3906,ORDERS!$L$2:$L$4995,"Đã chuyển khoản"))</f>
        <v/>
      </c>
      <c r="Y3906" s="24" t="n"/>
    </row>
    <row r="3907" ht="14.25" customHeight="1" s="40">
      <c r="A3907" s="24" t="n"/>
      <c r="B3907" s="27" t="n"/>
      <c r="C3907" s="24" t="n"/>
      <c r="D3907" s="28" t="n"/>
      <c r="E3907" s="29" t="n"/>
      <c r="F3907" s="24" t="n"/>
      <c r="G3907" s="24" t="n"/>
      <c r="H3907" s="21">
        <f>IF(ISNUMBER($B3907),INT($B3907)-WEEKDAY($B3907,2)+1,"")</f>
        <v/>
      </c>
      <c r="I3907" s="24" t="n"/>
      <c r="J3907" s="22">
        <f t="array" ref="J3907">IF($D3907="","",IF($I3907="","(trống REF)",IFERROR(INDEX(MASTER_SOURCE!$B$2:$B$495,MATCH($I3907,MASTER_SOURCE!$A$2:$A$495,0)),"(REF không có trong MASTER_SOURCE)")))</f>
        <v/>
      </c>
      <c r="K3907" s="22">
        <f t="array" ref="K3907">IF($D3907="","",IFERROR(INDEX(MASTER_SOURCE!$C$2:$C$495,MATCH($I3907,MASTER_SOURCE!$A$2:$A$495,0)),""))</f>
        <v/>
      </c>
      <c r="L3907" s="22">
        <f t="array" ref="L3907">IF($D3907="","",IFERROR(INDEX(MASTER_SOURCE!$D$2:$D$495,MATCH($I3907,MASTER_SOURCE!$A$2:$A$495,0)),""))</f>
        <v/>
      </c>
      <c r="M3907" s="24" t="n"/>
      <c r="N3907" s="24" t="n"/>
      <c r="O3907" s="24" t="n"/>
      <c r="P3907" s="24" t="n"/>
      <c r="Q3907" s="22">
        <f>IF($D3907="","",IF(AND(OR(DANH_MUC!$L$5&lt;&gt;"Có",M3907="Có"),OR(DANH_MUC!$L$6&lt;&gt;"Có",N3907="Có"),OR(DANH_MUC!$L$7&lt;&gt;"Có",O3907="Có"),OR(DANH_MUC!$L$8&lt;&gt;"Có",P3907="Có")),"Có","Không"))</f>
        <v/>
      </c>
      <c r="R3907" s="22">
        <f>IF($D3907="","",IF(COUNTIF($D$2:$D3907,$D3907)&gt;1,"Trùng",""))</f>
        <v/>
      </c>
      <c r="S3907" s="22">
        <f>IF($D3907="","",IF(AND(LEN($D3907)=10,LEFT($D3907,1)="0",ISNUMBER(--$D3907)),"Có","Không"))</f>
        <v/>
      </c>
      <c r="T3907" s="22">
        <f>IF($D3907="","",IF(AND($C3907&lt;&gt;"",$Q3907="Có",$R3907="",$S3907="Có",AND($L3907&lt;&gt;"",OR($L3907&lt;&gt;"Chưa xác định",DANH_MUC!$L$9="Có"))),"Có","Không"))</f>
        <v/>
      </c>
      <c r="U3907" s="22">
        <f>IF(OR($D3907="",$T3907="Có"),"",IF($C3907="","Thiếu họ tên; ","")&amp;IF($S3907&lt;&gt;"Có","SĐT sai định dạng; ","")&amp;IF($R3907="Trùng","Trùng SĐT; ","")&amp;IF($Q3907&lt;&gt;"Có","Thiếu đồng ý bắt buộc; ","")&amp;IF($L3907="","Thiếu/sai Mã REF; ",IF(AND($L3907="Chưa xác định",DANH_MUC!$L$9&lt;&gt;"Có"),"Nguồn chưa xác định; ","")))</f>
        <v/>
      </c>
      <c r="V3907" s="22">
        <f>IF(OR($D3907="",$R3907="Trùng"),"",IF(COUNTIF(ORDERS!$C$2:$C$4995,$D3907)&gt;0,"Có","Không"))</f>
        <v/>
      </c>
      <c r="W3907" s="22">
        <f>IF(OR($D3907="",$R3907="Trùng"),"",COUNTIFS(ORDERS!$C$2:$C$4995,$D3907,ORDERS!$L$2:$L$4995,"Đã chuyển khoản"))</f>
        <v/>
      </c>
      <c r="X3907" s="23">
        <f>IF(OR($D3907="",$R3907="Trùng"),"",SUMIFS(ORDERS!$J$2:$J$4995,ORDERS!$C$2:$C$4995,$D3907,ORDERS!$L$2:$L$4995,"Đã chuyển khoản"))</f>
        <v/>
      </c>
      <c r="Y3907" s="24" t="n"/>
    </row>
    <row r="3908" ht="14.25" customHeight="1" s="40">
      <c r="A3908" s="24" t="n"/>
      <c r="B3908" s="27" t="n"/>
      <c r="C3908" s="24" t="n"/>
      <c r="D3908" s="28" t="n"/>
      <c r="E3908" s="29" t="n"/>
      <c r="F3908" s="24" t="n"/>
      <c r="G3908" s="24" t="n"/>
      <c r="H3908" s="21">
        <f>IF(ISNUMBER($B3908),INT($B3908)-WEEKDAY($B3908,2)+1,"")</f>
        <v/>
      </c>
      <c r="I3908" s="24" t="n"/>
      <c r="J3908" s="22">
        <f t="array" ref="J3908">IF($D3908="","",IF($I3908="","(trống REF)",IFERROR(INDEX(MASTER_SOURCE!$B$2:$B$495,MATCH($I3908,MASTER_SOURCE!$A$2:$A$495,0)),"(REF không có trong MASTER_SOURCE)")))</f>
        <v/>
      </c>
      <c r="K3908" s="22">
        <f t="array" ref="K3908">IF($D3908="","",IFERROR(INDEX(MASTER_SOURCE!$C$2:$C$495,MATCH($I3908,MASTER_SOURCE!$A$2:$A$495,0)),""))</f>
        <v/>
      </c>
      <c r="L3908" s="22">
        <f t="array" ref="L3908">IF($D3908="","",IFERROR(INDEX(MASTER_SOURCE!$D$2:$D$495,MATCH($I3908,MASTER_SOURCE!$A$2:$A$495,0)),""))</f>
        <v/>
      </c>
      <c r="M3908" s="24" t="n"/>
      <c r="N3908" s="24" t="n"/>
      <c r="O3908" s="24" t="n"/>
      <c r="P3908" s="24" t="n"/>
      <c r="Q3908" s="22">
        <f>IF($D3908="","",IF(AND(OR(DANH_MUC!$L$5&lt;&gt;"Có",M3908="Có"),OR(DANH_MUC!$L$6&lt;&gt;"Có",N3908="Có"),OR(DANH_MUC!$L$7&lt;&gt;"Có",O3908="Có"),OR(DANH_MUC!$L$8&lt;&gt;"Có",P3908="Có")),"Có","Không"))</f>
        <v/>
      </c>
      <c r="R3908" s="22">
        <f>IF($D3908="","",IF(COUNTIF($D$2:$D3908,$D3908)&gt;1,"Trùng",""))</f>
        <v/>
      </c>
      <c r="S3908" s="22">
        <f>IF($D3908="","",IF(AND(LEN($D3908)=10,LEFT($D3908,1)="0",ISNUMBER(--$D3908)),"Có","Không"))</f>
        <v/>
      </c>
      <c r="T3908" s="22">
        <f>IF($D3908="","",IF(AND($C3908&lt;&gt;"",$Q3908="Có",$R3908="",$S3908="Có",AND($L3908&lt;&gt;"",OR($L3908&lt;&gt;"Chưa xác định",DANH_MUC!$L$9="Có"))),"Có","Không"))</f>
        <v/>
      </c>
      <c r="U3908" s="22">
        <f>IF(OR($D3908="",$T3908="Có"),"",IF($C3908="","Thiếu họ tên; ","")&amp;IF($S3908&lt;&gt;"Có","SĐT sai định dạng; ","")&amp;IF($R3908="Trùng","Trùng SĐT; ","")&amp;IF($Q3908&lt;&gt;"Có","Thiếu đồng ý bắt buộc; ","")&amp;IF($L3908="","Thiếu/sai Mã REF; ",IF(AND($L3908="Chưa xác định",DANH_MUC!$L$9&lt;&gt;"Có"),"Nguồn chưa xác định; ","")))</f>
        <v/>
      </c>
      <c r="V3908" s="22">
        <f>IF(OR($D3908="",$R3908="Trùng"),"",IF(COUNTIF(ORDERS!$C$2:$C$4995,$D3908)&gt;0,"Có","Không"))</f>
        <v/>
      </c>
      <c r="W3908" s="22">
        <f>IF(OR($D3908="",$R3908="Trùng"),"",COUNTIFS(ORDERS!$C$2:$C$4995,$D3908,ORDERS!$L$2:$L$4995,"Đã chuyển khoản"))</f>
        <v/>
      </c>
      <c r="X3908" s="23">
        <f>IF(OR($D3908="",$R3908="Trùng"),"",SUMIFS(ORDERS!$J$2:$J$4995,ORDERS!$C$2:$C$4995,$D3908,ORDERS!$L$2:$L$4995,"Đã chuyển khoản"))</f>
        <v/>
      </c>
      <c r="Y3908" s="24" t="n"/>
    </row>
    <row r="3909" ht="14.25" customHeight="1" s="40">
      <c r="A3909" s="24" t="n"/>
      <c r="B3909" s="27" t="n"/>
      <c r="C3909" s="24" t="n"/>
      <c r="D3909" s="28" t="n"/>
      <c r="E3909" s="29" t="n"/>
      <c r="F3909" s="24" t="n"/>
      <c r="G3909" s="24" t="n"/>
      <c r="H3909" s="21">
        <f>IF(ISNUMBER($B3909),INT($B3909)-WEEKDAY($B3909,2)+1,"")</f>
        <v/>
      </c>
      <c r="I3909" s="24" t="n"/>
      <c r="J3909" s="22">
        <f t="array" ref="J3909">IF($D3909="","",IF($I3909="","(trống REF)",IFERROR(INDEX(MASTER_SOURCE!$B$2:$B$495,MATCH($I3909,MASTER_SOURCE!$A$2:$A$495,0)),"(REF không có trong MASTER_SOURCE)")))</f>
        <v/>
      </c>
      <c r="K3909" s="22">
        <f t="array" ref="K3909">IF($D3909="","",IFERROR(INDEX(MASTER_SOURCE!$C$2:$C$495,MATCH($I3909,MASTER_SOURCE!$A$2:$A$495,0)),""))</f>
        <v/>
      </c>
      <c r="L3909" s="22">
        <f t="array" ref="L3909">IF($D3909="","",IFERROR(INDEX(MASTER_SOURCE!$D$2:$D$495,MATCH($I3909,MASTER_SOURCE!$A$2:$A$495,0)),""))</f>
        <v/>
      </c>
      <c r="M3909" s="24" t="n"/>
      <c r="N3909" s="24" t="n"/>
      <c r="O3909" s="24" t="n"/>
      <c r="P3909" s="24" t="n"/>
      <c r="Q3909" s="22">
        <f>IF($D3909="","",IF(AND(OR(DANH_MUC!$L$5&lt;&gt;"Có",M3909="Có"),OR(DANH_MUC!$L$6&lt;&gt;"Có",N3909="Có"),OR(DANH_MUC!$L$7&lt;&gt;"Có",O3909="Có"),OR(DANH_MUC!$L$8&lt;&gt;"Có",P3909="Có")),"Có","Không"))</f>
        <v/>
      </c>
      <c r="R3909" s="22">
        <f>IF($D3909="","",IF(COUNTIF($D$2:$D3909,$D3909)&gt;1,"Trùng",""))</f>
        <v/>
      </c>
      <c r="S3909" s="22">
        <f>IF($D3909="","",IF(AND(LEN($D3909)=10,LEFT($D3909,1)="0",ISNUMBER(--$D3909)),"Có","Không"))</f>
        <v/>
      </c>
      <c r="T3909" s="22">
        <f>IF($D3909="","",IF(AND($C3909&lt;&gt;"",$Q3909="Có",$R3909="",$S3909="Có",AND($L3909&lt;&gt;"",OR($L3909&lt;&gt;"Chưa xác định",DANH_MUC!$L$9="Có"))),"Có","Không"))</f>
        <v/>
      </c>
      <c r="U3909" s="22">
        <f>IF(OR($D3909="",$T3909="Có"),"",IF($C3909="","Thiếu họ tên; ","")&amp;IF($S3909&lt;&gt;"Có","SĐT sai định dạng; ","")&amp;IF($R3909="Trùng","Trùng SĐT; ","")&amp;IF($Q3909&lt;&gt;"Có","Thiếu đồng ý bắt buộc; ","")&amp;IF($L3909="","Thiếu/sai Mã REF; ",IF(AND($L3909="Chưa xác định",DANH_MUC!$L$9&lt;&gt;"Có"),"Nguồn chưa xác định; ","")))</f>
        <v/>
      </c>
      <c r="V3909" s="22">
        <f>IF(OR($D3909="",$R3909="Trùng"),"",IF(COUNTIF(ORDERS!$C$2:$C$4995,$D3909)&gt;0,"Có","Không"))</f>
        <v/>
      </c>
      <c r="W3909" s="22">
        <f>IF(OR($D3909="",$R3909="Trùng"),"",COUNTIFS(ORDERS!$C$2:$C$4995,$D3909,ORDERS!$L$2:$L$4995,"Đã chuyển khoản"))</f>
        <v/>
      </c>
      <c r="X3909" s="23">
        <f>IF(OR($D3909="",$R3909="Trùng"),"",SUMIFS(ORDERS!$J$2:$J$4995,ORDERS!$C$2:$C$4995,$D3909,ORDERS!$L$2:$L$4995,"Đã chuyển khoản"))</f>
        <v/>
      </c>
      <c r="Y3909" s="24" t="n"/>
    </row>
    <row r="3910" ht="14.25" customHeight="1" s="40">
      <c r="A3910" s="24" t="n"/>
      <c r="B3910" s="27" t="n"/>
      <c r="C3910" s="24" t="n"/>
      <c r="D3910" s="28" t="n"/>
      <c r="E3910" s="29" t="n"/>
      <c r="F3910" s="24" t="n"/>
      <c r="G3910" s="24" t="n"/>
      <c r="H3910" s="21">
        <f>IF(ISNUMBER($B3910),INT($B3910)-WEEKDAY($B3910,2)+1,"")</f>
        <v/>
      </c>
      <c r="I3910" s="24" t="n"/>
      <c r="J3910" s="22">
        <f t="array" ref="J3910">IF($D3910="","",IF($I3910="","(trống REF)",IFERROR(INDEX(MASTER_SOURCE!$B$2:$B$495,MATCH($I3910,MASTER_SOURCE!$A$2:$A$495,0)),"(REF không có trong MASTER_SOURCE)")))</f>
        <v/>
      </c>
      <c r="K3910" s="22">
        <f t="array" ref="K3910">IF($D3910="","",IFERROR(INDEX(MASTER_SOURCE!$C$2:$C$495,MATCH($I3910,MASTER_SOURCE!$A$2:$A$495,0)),""))</f>
        <v/>
      </c>
      <c r="L3910" s="22">
        <f t="array" ref="L3910">IF($D3910="","",IFERROR(INDEX(MASTER_SOURCE!$D$2:$D$495,MATCH($I3910,MASTER_SOURCE!$A$2:$A$495,0)),""))</f>
        <v/>
      </c>
      <c r="M3910" s="24" t="n"/>
      <c r="N3910" s="24" t="n"/>
      <c r="O3910" s="24" t="n"/>
      <c r="P3910" s="24" t="n"/>
      <c r="Q3910" s="22">
        <f>IF($D3910="","",IF(AND(OR(DANH_MUC!$L$5&lt;&gt;"Có",M3910="Có"),OR(DANH_MUC!$L$6&lt;&gt;"Có",N3910="Có"),OR(DANH_MUC!$L$7&lt;&gt;"Có",O3910="Có"),OR(DANH_MUC!$L$8&lt;&gt;"Có",P3910="Có")),"Có","Không"))</f>
        <v/>
      </c>
      <c r="R3910" s="22">
        <f>IF($D3910="","",IF(COUNTIF($D$2:$D3910,$D3910)&gt;1,"Trùng",""))</f>
        <v/>
      </c>
      <c r="S3910" s="22">
        <f>IF($D3910="","",IF(AND(LEN($D3910)=10,LEFT($D3910,1)="0",ISNUMBER(--$D3910)),"Có","Không"))</f>
        <v/>
      </c>
      <c r="T3910" s="22">
        <f>IF($D3910="","",IF(AND($C3910&lt;&gt;"",$Q3910="Có",$R3910="",$S3910="Có",AND($L3910&lt;&gt;"",OR($L3910&lt;&gt;"Chưa xác định",DANH_MUC!$L$9="Có"))),"Có","Không"))</f>
        <v/>
      </c>
      <c r="U3910" s="22">
        <f>IF(OR($D3910="",$T3910="Có"),"",IF($C3910="","Thiếu họ tên; ","")&amp;IF($S3910&lt;&gt;"Có","SĐT sai định dạng; ","")&amp;IF($R3910="Trùng","Trùng SĐT; ","")&amp;IF($Q3910&lt;&gt;"Có","Thiếu đồng ý bắt buộc; ","")&amp;IF($L3910="","Thiếu/sai Mã REF; ",IF(AND($L3910="Chưa xác định",DANH_MUC!$L$9&lt;&gt;"Có"),"Nguồn chưa xác định; ","")))</f>
        <v/>
      </c>
      <c r="V3910" s="22">
        <f>IF(OR($D3910="",$R3910="Trùng"),"",IF(COUNTIF(ORDERS!$C$2:$C$4995,$D3910)&gt;0,"Có","Không"))</f>
        <v/>
      </c>
      <c r="W3910" s="22">
        <f>IF(OR($D3910="",$R3910="Trùng"),"",COUNTIFS(ORDERS!$C$2:$C$4995,$D3910,ORDERS!$L$2:$L$4995,"Đã chuyển khoản"))</f>
        <v/>
      </c>
      <c r="X3910" s="23">
        <f>IF(OR($D3910="",$R3910="Trùng"),"",SUMIFS(ORDERS!$J$2:$J$4995,ORDERS!$C$2:$C$4995,$D3910,ORDERS!$L$2:$L$4995,"Đã chuyển khoản"))</f>
        <v/>
      </c>
      <c r="Y3910" s="24" t="n"/>
    </row>
    <row r="3911" ht="14.25" customHeight="1" s="40">
      <c r="A3911" s="24" t="n"/>
      <c r="B3911" s="27" t="n"/>
      <c r="C3911" s="24" t="n"/>
      <c r="D3911" s="28" t="n"/>
      <c r="E3911" s="29" t="n"/>
      <c r="F3911" s="24" t="n"/>
      <c r="G3911" s="24" t="n"/>
      <c r="H3911" s="21">
        <f>IF(ISNUMBER($B3911),INT($B3911)-WEEKDAY($B3911,2)+1,"")</f>
        <v/>
      </c>
      <c r="I3911" s="24" t="n"/>
      <c r="J3911" s="22">
        <f t="array" ref="J3911">IF($D3911="","",IF($I3911="","(trống REF)",IFERROR(INDEX(MASTER_SOURCE!$B$2:$B$495,MATCH($I3911,MASTER_SOURCE!$A$2:$A$495,0)),"(REF không có trong MASTER_SOURCE)")))</f>
        <v/>
      </c>
      <c r="K3911" s="22">
        <f t="array" ref="K3911">IF($D3911="","",IFERROR(INDEX(MASTER_SOURCE!$C$2:$C$495,MATCH($I3911,MASTER_SOURCE!$A$2:$A$495,0)),""))</f>
        <v/>
      </c>
      <c r="L3911" s="22">
        <f t="array" ref="L3911">IF($D3911="","",IFERROR(INDEX(MASTER_SOURCE!$D$2:$D$495,MATCH($I3911,MASTER_SOURCE!$A$2:$A$495,0)),""))</f>
        <v/>
      </c>
      <c r="M3911" s="24" t="n"/>
      <c r="N3911" s="24" t="n"/>
      <c r="O3911" s="24" t="n"/>
      <c r="P3911" s="24" t="n"/>
      <c r="Q3911" s="22">
        <f>IF($D3911="","",IF(AND(OR(DANH_MUC!$L$5&lt;&gt;"Có",M3911="Có"),OR(DANH_MUC!$L$6&lt;&gt;"Có",N3911="Có"),OR(DANH_MUC!$L$7&lt;&gt;"Có",O3911="Có"),OR(DANH_MUC!$L$8&lt;&gt;"Có",P3911="Có")),"Có","Không"))</f>
        <v/>
      </c>
      <c r="R3911" s="22">
        <f>IF($D3911="","",IF(COUNTIF($D$2:$D3911,$D3911)&gt;1,"Trùng",""))</f>
        <v/>
      </c>
      <c r="S3911" s="22">
        <f>IF($D3911="","",IF(AND(LEN($D3911)=10,LEFT($D3911,1)="0",ISNUMBER(--$D3911)),"Có","Không"))</f>
        <v/>
      </c>
      <c r="T3911" s="22">
        <f>IF($D3911="","",IF(AND($C3911&lt;&gt;"",$Q3911="Có",$R3911="",$S3911="Có",AND($L3911&lt;&gt;"",OR($L3911&lt;&gt;"Chưa xác định",DANH_MUC!$L$9="Có"))),"Có","Không"))</f>
        <v/>
      </c>
      <c r="U3911" s="22">
        <f>IF(OR($D3911="",$T3911="Có"),"",IF($C3911="","Thiếu họ tên; ","")&amp;IF($S3911&lt;&gt;"Có","SĐT sai định dạng; ","")&amp;IF($R3911="Trùng","Trùng SĐT; ","")&amp;IF($Q3911&lt;&gt;"Có","Thiếu đồng ý bắt buộc; ","")&amp;IF($L3911="","Thiếu/sai Mã REF; ",IF(AND($L3911="Chưa xác định",DANH_MUC!$L$9&lt;&gt;"Có"),"Nguồn chưa xác định; ","")))</f>
        <v/>
      </c>
      <c r="V3911" s="22">
        <f>IF(OR($D3911="",$R3911="Trùng"),"",IF(COUNTIF(ORDERS!$C$2:$C$4995,$D3911)&gt;0,"Có","Không"))</f>
        <v/>
      </c>
      <c r="W3911" s="22">
        <f>IF(OR($D3911="",$R3911="Trùng"),"",COUNTIFS(ORDERS!$C$2:$C$4995,$D3911,ORDERS!$L$2:$L$4995,"Đã chuyển khoản"))</f>
        <v/>
      </c>
      <c r="X3911" s="23">
        <f>IF(OR($D3911="",$R3911="Trùng"),"",SUMIFS(ORDERS!$J$2:$J$4995,ORDERS!$C$2:$C$4995,$D3911,ORDERS!$L$2:$L$4995,"Đã chuyển khoản"))</f>
        <v/>
      </c>
      <c r="Y3911" s="24" t="n"/>
    </row>
    <row r="3912" ht="14.25" customHeight="1" s="40">
      <c r="A3912" s="24" t="n"/>
      <c r="B3912" s="27" t="n"/>
      <c r="C3912" s="24" t="n"/>
      <c r="D3912" s="28" t="n"/>
      <c r="E3912" s="29" t="n"/>
      <c r="F3912" s="24" t="n"/>
      <c r="G3912" s="24" t="n"/>
      <c r="H3912" s="21">
        <f>IF(ISNUMBER($B3912),INT($B3912)-WEEKDAY($B3912,2)+1,"")</f>
        <v/>
      </c>
      <c r="I3912" s="24" t="n"/>
      <c r="J3912" s="22">
        <f t="array" ref="J3912">IF($D3912="","",IF($I3912="","(trống REF)",IFERROR(INDEX(MASTER_SOURCE!$B$2:$B$495,MATCH($I3912,MASTER_SOURCE!$A$2:$A$495,0)),"(REF không có trong MASTER_SOURCE)")))</f>
        <v/>
      </c>
      <c r="K3912" s="22">
        <f t="array" ref="K3912">IF($D3912="","",IFERROR(INDEX(MASTER_SOURCE!$C$2:$C$495,MATCH($I3912,MASTER_SOURCE!$A$2:$A$495,0)),""))</f>
        <v/>
      </c>
      <c r="L3912" s="22">
        <f t="array" ref="L3912">IF($D3912="","",IFERROR(INDEX(MASTER_SOURCE!$D$2:$D$495,MATCH($I3912,MASTER_SOURCE!$A$2:$A$495,0)),""))</f>
        <v/>
      </c>
      <c r="M3912" s="24" t="n"/>
      <c r="N3912" s="24" t="n"/>
      <c r="O3912" s="24" t="n"/>
      <c r="P3912" s="24" t="n"/>
      <c r="Q3912" s="22">
        <f>IF($D3912="","",IF(AND(OR(DANH_MUC!$L$5&lt;&gt;"Có",M3912="Có"),OR(DANH_MUC!$L$6&lt;&gt;"Có",N3912="Có"),OR(DANH_MUC!$L$7&lt;&gt;"Có",O3912="Có"),OR(DANH_MUC!$L$8&lt;&gt;"Có",P3912="Có")),"Có","Không"))</f>
        <v/>
      </c>
      <c r="R3912" s="22">
        <f>IF($D3912="","",IF(COUNTIF($D$2:$D3912,$D3912)&gt;1,"Trùng",""))</f>
        <v/>
      </c>
      <c r="S3912" s="22">
        <f>IF($D3912="","",IF(AND(LEN($D3912)=10,LEFT($D3912,1)="0",ISNUMBER(--$D3912)),"Có","Không"))</f>
        <v/>
      </c>
      <c r="T3912" s="22">
        <f>IF($D3912="","",IF(AND($C3912&lt;&gt;"",$Q3912="Có",$R3912="",$S3912="Có",AND($L3912&lt;&gt;"",OR($L3912&lt;&gt;"Chưa xác định",DANH_MUC!$L$9="Có"))),"Có","Không"))</f>
        <v/>
      </c>
      <c r="U3912" s="22">
        <f>IF(OR($D3912="",$T3912="Có"),"",IF($C3912="","Thiếu họ tên; ","")&amp;IF($S3912&lt;&gt;"Có","SĐT sai định dạng; ","")&amp;IF($R3912="Trùng","Trùng SĐT; ","")&amp;IF($Q3912&lt;&gt;"Có","Thiếu đồng ý bắt buộc; ","")&amp;IF($L3912="","Thiếu/sai Mã REF; ",IF(AND($L3912="Chưa xác định",DANH_MUC!$L$9&lt;&gt;"Có"),"Nguồn chưa xác định; ","")))</f>
        <v/>
      </c>
      <c r="V3912" s="22">
        <f>IF(OR($D3912="",$R3912="Trùng"),"",IF(COUNTIF(ORDERS!$C$2:$C$4995,$D3912)&gt;0,"Có","Không"))</f>
        <v/>
      </c>
      <c r="W3912" s="22">
        <f>IF(OR($D3912="",$R3912="Trùng"),"",COUNTIFS(ORDERS!$C$2:$C$4995,$D3912,ORDERS!$L$2:$L$4995,"Đã chuyển khoản"))</f>
        <v/>
      </c>
      <c r="X3912" s="23">
        <f>IF(OR($D3912="",$R3912="Trùng"),"",SUMIFS(ORDERS!$J$2:$J$4995,ORDERS!$C$2:$C$4995,$D3912,ORDERS!$L$2:$L$4995,"Đã chuyển khoản"))</f>
        <v/>
      </c>
      <c r="Y3912" s="24" t="n"/>
    </row>
    <row r="3913" ht="14.25" customHeight="1" s="40">
      <c r="A3913" s="24" t="n"/>
      <c r="B3913" s="27" t="n"/>
      <c r="C3913" s="24" t="n"/>
      <c r="D3913" s="28" t="n"/>
      <c r="E3913" s="29" t="n"/>
      <c r="F3913" s="24" t="n"/>
      <c r="G3913" s="24" t="n"/>
      <c r="H3913" s="21">
        <f>IF(ISNUMBER($B3913),INT($B3913)-WEEKDAY($B3913,2)+1,"")</f>
        <v/>
      </c>
      <c r="I3913" s="24" t="n"/>
      <c r="J3913" s="22">
        <f t="array" ref="J3913">IF($D3913="","",IF($I3913="","(trống REF)",IFERROR(INDEX(MASTER_SOURCE!$B$2:$B$495,MATCH($I3913,MASTER_SOURCE!$A$2:$A$495,0)),"(REF không có trong MASTER_SOURCE)")))</f>
        <v/>
      </c>
      <c r="K3913" s="22">
        <f t="array" ref="K3913">IF($D3913="","",IFERROR(INDEX(MASTER_SOURCE!$C$2:$C$495,MATCH($I3913,MASTER_SOURCE!$A$2:$A$495,0)),""))</f>
        <v/>
      </c>
      <c r="L3913" s="22">
        <f t="array" ref="L3913">IF($D3913="","",IFERROR(INDEX(MASTER_SOURCE!$D$2:$D$495,MATCH($I3913,MASTER_SOURCE!$A$2:$A$495,0)),""))</f>
        <v/>
      </c>
      <c r="M3913" s="24" t="n"/>
      <c r="N3913" s="24" t="n"/>
      <c r="O3913" s="24" t="n"/>
      <c r="P3913" s="24" t="n"/>
      <c r="Q3913" s="22">
        <f>IF($D3913="","",IF(AND(OR(DANH_MUC!$L$5&lt;&gt;"Có",M3913="Có"),OR(DANH_MUC!$L$6&lt;&gt;"Có",N3913="Có"),OR(DANH_MUC!$L$7&lt;&gt;"Có",O3913="Có"),OR(DANH_MUC!$L$8&lt;&gt;"Có",P3913="Có")),"Có","Không"))</f>
        <v/>
      </c>
      <c r="R3913" s="22">
        <f>IF($D3913="","",IF(COUNTIF($D$2:$D3913,$D3913)&gt;1,"Trùng",""))</f>
        <v/>
      </c>
      <c r="S3913" s="22">
        <f>IF($D3913="","",IF(AND(LEN($D3913)=10,LEFT($D3913,1)="0",ISNUMBER(--$D3913)),"Có","Không"))</f>
        <v/>
      </c>
      <c r="T3913" s="22">
        <f>IF($D3913="","",IF(AND($C3913&lt;&gt;"",$Q3913="Có",$R3913="",$S3913="Có",AND($L3913&lt;&gt;"",OR($L3913&lt;&gt;"Chưa xác định",DANH_MUC!$L$9="Có"))),"Có","Không"))</f>
        <v/>
      </c>
      <c r="U3913" s="22">
        <f>IF(OR($D3913="",$T3913="Có"),"",IF($C3913="","Thiếu họ tên; ","")&amp;IF($S3913&lt;&gt;"Có","SĐT sai định dạng; ","")&amp;IF($R3913="Trùng","Trùng SĐT; ","")&amp;IF($Q3913&lt;&gt;"Có","Thiếu đồng ý bắt buộc; ","")&amp;IF($L3913="","Thiếu/sai Mã REF; ",IF(AND($L3913="Chưa xác định",DANH_MUC!$L$9&lt;&gt;"Có"),"Nguồn chưa xác định; ","")))</f>
        <v/>
      </c>
      <c r="V3913" s="22">
        <f>IF(OR($D3913="",$R3913="Trùng"),"",IF(COUNTIF(ORDERS!$C$2:$C$4995,$D3913)&gt;0,"Có","Không"))</f>
        <v/>
      </c>
      <c r="W3913" s="22">
        <f>IF(OR($D3913="",$R3913="Trùng"),"",COUNTIFS(ORDERS!$C$2:$C$4995,$D3913,ORDERS!$L$2:$L$4995,"Đã chuyển khoản"))</f>
        <v/>
      </c>
      <c r="X3913" s="23">
        <f>IF(OR($D3913="",$R3913="Trùng"),"",SUMIFS(ORDERS!$J$2:$J$4995,ORDERS!$C$2:$C$4995,$D3913,ORDERS!$L$2:$L$4995,"Đã chuyển khoản"))</f>
        <v/>
      </c>
      <c r="Y3913" s="24" t="n"/>
    </row>
    <row r="3914" ht="14.25" customHeight="1" s="40">
      <c r="A3914" s="24" t="n"/>
      <c r="B3914" s="27" t="n"/>
      <c r="C3914" s="24" t="n"/>
      <c r="D3914" s="28" t="n"/>
      <c r="E3914" s="29" t="n"/>
      <c r="F3914" s="24" t="n"/>
      <c r="G3914" s="24" t="n"/>
      <c r="H3914" s="21">
        <f>IF(ISNUMBER($B3914),INT($B3914)-WEEKDAY($B3914,2)+1,"")</f>
        <v/>
      </c>
      <c r="I3914" s="24" t="n"/>
      <c r="J3914" s="22">
        <f t="array" ref="J3914">IF($D3914="","",IF($I3914="","(trống REF)",IFERROR(INDEX(MASTER_SOURCE!$B$2:$B$495,MATCH($I3914,MASTER_SOURCE!$A$2:$A$495,0)),"(REF không có trong MASTER_SOURCE)")))</f>
        <v/>
      </c>
      <c r="K3914" s="22">
        <f t="array" ref="K3914">IF($D3914="","",IFERROR(INDEX(MASTER_SOURCE!$C$2:$C$495,MATCH($I3914,MASTER_SOURCE!$A$2:$A$495,0)),""))</f>
        <v/>
      </c>
      <c r="L3914" s="22">
        <f t="array" ref="L3914">IF($D3914="","",IFERROR(INDEX(MASTER_SOURCE!$D$2:$D$495,MATCH($I3914,MASTER_SOURCE!$A$2:$A$495,0)),""))</f>
        <v/>
      </c>
      <c r="M3914" s="24" t="n"/>
      <c r="N3914" s="24" t="n"/>
      <c r="O3914" s="24" t="n"/>
      <c r="P3914" s="24" t="n"/>
      <c r="Q3914" s="22">
        <f>IF($D3914="","",IF(AND(OR(DANH_MUC!$L$5&lt;&gt;"Có",M3914="Có"),OR(DANH_MUC!$L$6&lt;&gt;"Có",N3914="Có"),OR(DANH_MUC!$L$7&lt;&gt;"Có",O3914="Có"),OR(DANH_MUC!$L$8&lt;&gt;"Có",P3914="Có")),"Có","Không"))</f>
        <v/>
      </c>
      <c r="R3914" s="22">
        <f>IF($D3914="","",IF(COUNTIF($D$2:$D3914,$D3914)&gt;1,"Trùng",""))</f>
        <v/>
      </c>
      <c r="S3914" s="22">
        <f>IF($D3914="","",IF(AND(LEN($D3914)=10,LEFT($D3914,1)="0",ISNUMBER(--$D3914)),"Có","Không"))</f>
        <v/>
      </c>
      <c r="T3914" s="22">
        <f>IF($D3914="","",IF(AND($C3914&lt;&gt;"",$Q3914="Có",$R3914="",$S3914="Có",AND($L3914&lt;&gt;"",OR($L3914&lt;&gt;"Chưa xác định",DANH_MUC!$L$9="Có"))),"Có","Không"))</f>
        <v/>
      </c>
      <c r="U3914" s="22">
        <f>IF(OR($D3914="",$T3914="Có"),"",IF($C3914="","Thiếu họ tên; ","")&amp;IF($S3914&lt;&gt;"Có","SĐT sai định dạng; ","")&amp;IF($R3914="Trùng","Trùng SĐT; ","")&amp;IF($Q3914&lt;&gt;"Có","Thiếu đồng ý bắt buộc; ","")&amp;IF($L3914="","Thiếu/sai Mã REF; ",IF(AND($L3914="Chưa xác định",DANH_MUC!$L$9&lt;&gt;"Có"),"Nguồn chưa xác định; ","")))</f>
        <v/>
      </c>
      <c r="V3914" s="22">
        <f>IF(OR($D3914="",$R3914="Trùng"),"",IF(COUNTIF(ORDERS!$C$2:$C$4995,$D3914)&gt;0,"Có","Không"))</f>
        <v/>
      </c>
      <c r="W3914" s="22">
        <f>IF(OR($D3914="",$R3914="Trùng"),"",COUNTIFS(ORDERS!$C$2:$C$4995,$D3914,ORDERS!$L$2:$L$4995,"Đã chuyển khoản"))</f>
        <v/>
      </c>
      <c r="X3914" s="23">
        <f>IF(OR($D3914="",$R3914="Trùng"),"",SUMIFS(ORDERS!$J$2:$J$4995,ORDERS!$C$2:$C$4995,$D3914,ORDERS!$L$2:$L$4995,"Đã chuyển khoản"))</f>
        <v/>
      </c>
      <c r="Y3914" s="24" t="n"/>
    </row>
    <row r="3915" ht="14.25" customHeight="1" s="40">
      <c r="A3915" s="24" t="n"/>
      <c r="B3915" s="27" t="n"/>
      <c r="C3915" s="24" t="n"/>
      <c r="D3915" s="28" t="n"/>
      <c r="E3915" s="29" t="n"/>
      <c r="F3915" s="24" t="n"/>
      <c r="G3915" s="24" t="n"/>
      <c r="H3915" s="21">
        <f>IF(ISNUMBER($B3915),INT($B3915)-WEEKDAY($B3915,2)+1,"")</f>
        <v/>
      </c>
      <c r="I3915" s="24" t="n"/>
      <c r="J3915" s="22">
        <f t="array" ref="J3915">IF($D3915="","",IF($I3915="","(trống REF)",IFERROR(INDEX(MASTER_SOURCE!$B$2:$B$495,MATCH($I3915,MASTER_SOURCE!$A$2:$A$495,0)),"(REF không có trong MASTER_SOURCE)")))</f>
        <v/>
      </c>
      <c r="K3915" s="22">
        <f t="array" ref="K3915">IF($D3915="","",IFERROR(INDEX(MASTER_SOURCE!$C$2:$C$495,MATCH($I3915,MASTER_SOURCE!$A$2:$A$495,0)),""))</f>
        <v/>
      </c>
      <c r="L3915" s="22">
        <f t="array" ref="L3915">IF($D3915="","",IFERROR(INDEX(MASTER_SOURCE!$D$2:$D$495,MATCH($I3915,MASTER_SOURCE!$A$2:$A$495,0)),""))</f>
        <v/>
      </c>
      <c r="M3915" s="24" t="n"/>
      <c r="N3915" s="24" t="n"/>
      <c r="O3915" s="24" t="n"/>
      <c r="P3915" s="24" t="n"/>
      <c r="Q3915" s="22">
        <f>IF($D3915="","",IF(AND(OR(DANH_MUC!$L$5&lt;&gt;"Có",M3915="Có"),OR(DANH_MUC!$L$6&lt;&gt;"Có",N3915="Có"),OR(DANH_MUC!$L$7&lt;&gt;"Có",O3915="Có"),OR(DANH_MUC!$L$8&lt;&gt;"Có",P3915="Có")),"Có","Không"))</f>
        <v/>
      </c>
      <c r="R3915" s="22">
        <f>IF($D3915="","",IF(COUNTIF($D$2:$D3915,$D3915)&gt;1,"Trùng",""))</f>
        <v/>
      </c>
      <c r="S3915" s="22">
        <f>IF($D3915="","",IF(AND(LEN($D3915)=10,LEFT($D3915,1)="0",ISNUMBER(--$D3915)),"Có","Không"))</f>
        <v/>
      </c>
      <c r="T3915" s="22">
        <f>IF($D3915="","",IF(AND($C3915&lt;&gt;"",$Q3915="Có",$R3915="",$S3915="Có",AND($L3915&lt;&gt;"",OR($L3915&lt;&gt;"Chưa xác định",DANH_MUC!$L$9="Có"))),"Có","Không"))</f>
        <v/>
      </c>
      <c r="U3915" s="22">
        <f>IF(OR($D3915="",$T3915="Có"),"",IF($C3915="","Thiếu họ tên; ","")&amp;IF($S3915&lt;&gt;"Có","SĐT sai định dạng; ","")&amp;IF($R3915="Trùng","Trùng SĐT; ","")&amp;IF($Q3915&lt;&gt;"Có","Thiếu đồng ý bắt buộc; ","")&amp;IF($L3915="","Thiếu/sai Mã REF; ",IF(AND($L3915="Chưa xác định",DANH_MUC!$L$9&lt;&gt;"Có"),"Nguồn chưa xác định; ","")))</f>
        <v/>
      </c>
      <c r="V3915" s="22">
        <f>IF(OR($D3915="",$R3915="Trùng"),"",IF(COUNTIF(ORDERS!$C$2:$C$4995,$D3915)&gt;0,"Có","Không"))</f>
        <v/>
      </c>
      <c r="W3915" s="22">
        <f>IF(OR($D3915="",$R3915="Trùng"),"",COUNTIFS(ORDERS!$C$2:$C$4995,$D3915,ORDERS!$L$2:$L$4995,"Đã chuyển khoản"))</f>
        <v/>
      </c>
      <c r="X3915" s="23">
        <f>IF(OR($D3915="",$R3915="Trùng"),"",SUMIFS(ORDERS!$J$2:$J$4995,ORDERS!$C$2:$C$4995,$D3915,ORDERS!$L$2:$L$4995,"Đã chuyển khoản"))</f>
        <v/>
      </c>
      <c r="Y3915" s="24" t="n"/>
    </row>
    <row r="3916" ht="14.25" customHeight="1" s="40">
      <c r="A3916" s="24" t="n"/>
      <c r="B3916" s="27" t="n"/>
      <c r="C3916" s="24" t="n"/>
      <c r="D3916" s="28" t="n"/>
      <c r="E3916" s="29" t="n"/>
      <c r="F3916" s="24" t="n"/>
      <c r="G3916" s="24" t="n"/>
      <c r="H3916" s="21">
        <f>IF(ISNUMBER($B3916),INT($B3916)-WEEKDAY($B3916,2)+1,"")</f>
        <v/>
      </c>
      <c r="I3916" s="24" t="n"/>
      <c r="J3916" s="22">
        <f t="array" ref="J3916">IF($D3916="","",IF($I3916="","(trống REF)",IFERROR(INDEX(MASTER_SOURCE!$B$2:$B$495,MATCH($I3916,MASTER_SOURCE!$A$2:$A$495,0)),"(REF không có trong MASTER_SOURCE)")))</f>
        <v/>
      </c>
      <c r="K3916" s="22">
        <f t="array" ref="K3916">IF($D3916="","",IFERROR(INDEX(MASTER_SOURCE!$C$2:$C$495,MATCH($I3916,MASTER_SOURCE!$A$2:$A$495,0)),""))</f>
        <v/>
      </c>
      <c r="L3916" s="22">
        <f t="array" ref="L3916">IF($D3916="","",IFERROR(INDEX(MASTER_SOURCE!$D$2:$D$495,MATCH($I3916,MASTER_SOURCE!$A$2:$A$495,0)),""))</f>
        <v/>
      </c>
      <c r="M3916" s="24" t="n"/>
      <c r="N3916" s="24" t="n"/>
      <c r="O3916" s="24" t="n"/>
      <c r="P3916" s="24" t="n"/>
      <c r="Q3916" s="22">
        <f>IF($D3916="","",IF(AND(OR(DANH_MUC!$L$5&lt;&gt;"Có",M3916="Có"),OR(DANH_MUC!$L$6&lt;&gt;"Có",N3916="Có"),OR(DANH_MUC!$L$7&lt;&gt;"Có",O3916="Có"),OR(DANH_MUC!$L$8&lt;&gt;"Có",P3916="Có")),"Có","Không"))</f>
        <v/>
      </c>
      <c r="R3916" s="22">
        <f>IF($D3916="","",IF(COUNTIF($D$2:$D3916,$D3916)&gt;1,"Trùng",""))</f>
        <v/>
      </c>
      <c r="S3916" s="22">
        <f>IF($D3916="","",IF(AND(LEN($D3916)=10,LEFT($D3916,1)="0",ISNUMBER(--$D3916)),"Có","Không"))</f>
        <v/>
      </c>
      <c r="T3916" s="22">
        <f>IF($D3916="","",IF(AND($C3916&lt;&gt;"",$Q3916="Có",$R3916="",$S3916="Có",AND($L3916&lt;&gt;"",OR($L3916&lt;&gt;"Chưa xác định",DANH_MUC!$L$9="Có"))),"Có","Không"))</f>
        <v/>
      </c>
      <c r="U3916" s="22">
        <f>IF(OR($D3916="",$T3916="Có"),"",IF($C3916="","Thiếu họ tên; ","")&amp;IF($S3916&lt;&gt;"Có","SĐT sai định dạng; ","")&amp;IF($R3916="Trùng","Trùng SĐT; ","")&amp;IF($Q3916&lt;&gt;"Có","Thiếu đồng ý bắt buộc; ","")&amp;IF($L3916="","Thiếu/sai Mã REF; ",IF(AND($L3916="Chưa xác định",DANH_MUC!$L$9&lt;&gt;"Có"),"Nguồn chưa xác định; ","")))</f>
        <v/>
      </c>
      <c r="V3916" s="22">
        <f>IF(OR($D3916="",$R3916="Trùng"),"",IF(COUNTIF(ORDERS!$C$2:$C$4995,$D3916)&gt;0,"Có","Không"))</f>
        <v/>
      </c>
      <c r="W3916" s="22">
        <f>IF(OR($D3916="",$R3916="Trùng"),"",COUNTIFS(ORDERS!$C$2:$C$4995,$D3916,ORDERS!$L$2:$L$4995,"Đã chuyển khoản"))</f>
        <v/>
      </c>
      <c r="X3916" s="23">
        <f>IF(OR($D3916="",$R3916="Trùng"),"",SUMIFS(ORDERS!$J$2:$J$4995,ORDERS!$C$2:$C$4995,$D3916,ORDERS!$L$2:$L$4995,"Đã chuyển khoản"))</f>
        <v/>
      </c>
      <c r="Y3916" s="24" t="n"/>
    </row>
    <row r="3917" ht="14.25" customHeight="1" s="40">
      <c r="A3917" s="24" t="n"/>
      <c r="B3917" s="27" t="n"/>
      <c r="C3917" s="24" t="n"/>
      <c r="D3917" s="28" t="n"/>
      <c r="E3917" s="29" t="n"/>
      <c r="F3917" s="24" t="n"/>
      <c r="G3917" s="24" t="n"/>
      <c r="H3917" s="21">
        <f>IF(ISNUMBER($B3917),INT($B3917)-WEEKDAY($B3917,2)+1,"")</f>
        <v/>
      </c>
      <c r="I3917" s="24" t="n"/>
      <c r="J3917" s="22">
        <f t="array" ref="J3917">IF($D3917="","",IF($I3917="","(trống REF)",IFERROR(INDEX(MASTER_SOURCE!$B$2:$B$495,MATCH($I3917,MASTER_SOURCE!$A$2:$A$495,0)),"(REF không có trong MASTER_SOURCE)")))</f>
        <v/>
      </c>
      <c r="K3917" s="22">
        <f t="array" ref="K3917">IF($D3917="","",IFERROR(INDEX(MASTER_SOURCE!$C$2:$C$495,MATCH($I3917,MASTER_SOURCE!$A$2:$A$495,0)),""))</f>
        <v/>
      </c>
      <c r="L3917" s="22">
        <f t="array" ref="L3917">IF($D3917="","",IFERROR(INDEX(MASTER_SOURCE!$D$2:$D$495,MATCH($I3917,MASTER_SOURCE!$A$2:$A$495,0)),""))</f>
        <v/>
      </c>
      <c r="M3917" s="24" t="n"/>
      <c r="N3917" s="24" t="n"/>
      <c r="O3917" s="24" t="n"/>
      <c r="P3917" s="24" t="n"/>
      <c r="Q3917" s="22">
        <f>IF($D3917="","",IF(AND(OR(DANH_MUC!$L$5&lt;&gt;"Có",M3917="Có"),OR(DANH_MUC!$L$6&lt;&gt;"Có",N3917="Có"),OR(DANH_MUC!$L$7&lt;&gt;"Có",O3917="Có"),OR(DANH_MUC!$L$8&lt;&gt;"Có",P3917="Có")),"Có","Không"))</f>
        <v/>
      </c>
      <c r="R3917" s="22">
        <f>IF($D3917="","",IF(COUNTIF($D$2:$D3917,$D3917)&gt;1,"Trùng",""))</f>
        <v/>
      </c>
      <c r="S3917" s="22">
        <f>IF($D3917="","",IF(AND(LEN($D3917)=10,LEFT($D3917,1)="0",ISNUMBER(--$D3917)),"Có","Không"))</f>
        <v/>
      </c>
      <c r="T3917" s="22">
        <f>IF($D3917="","",IF(AND($C3917&lt;&gt;"",$Q3917="Có",$R3917="",$S3917="Có",AND($L3917&lt;&gt;"",OR($L3917&lt;&gt;"Chưa xác định",DANH_MUC!$L$9="Có"))),"Có","Không"))</f>
        <v/>
      </c>
      <c r="U3917" s="22">
        <f>IF(OR($D3917="",$T3917="Có"),"",IF($C3917="","Thiếu họ tên; ","")&amp;IF($S3917&lt;&gt;"Có","SĐT sai định dạng; ","")&amp;IF($R3917="Trùng","Trùng SĐT; ","")&amp;IF($Q3917&lt;&gt;"Có","Thiếu đồng ý bắt buộc; ","")&amp;IF($L3917="","Thiếu/sai Mã REF; ",IF(AND($L3917="Chưa xác định",DANH_MUC!$L$9&lt;&gt;"Có"),"Nguồn chưa xác định; ","")))</f>
        <v/>
      </c>
      <c r="V3917" s="22">
        <f>IF(OR($D3917="",$R3917="Trùng"),"",IF(COUNTIF(ORDERS!$C$2:$C$4995,$D3917)&gt;0,"Có","Không"))</f>
        <v/>
      </c>
      <c r="W3917" s="22">
        <f>IF(OR($D3917="",$R3917="Trùng"),"",COUNTIFS(ORDERS!$C$2:$C$4995,$D3917,ORDERS!$L$2:$L$4995,"Đã chuyển khoản"))</f>
        <v/>
      </c>
      <c r="X3917" s="23">
        <f>IF(OR($D3917="",$R3917="Trùng"),"",SUMIFS(ORDERS!$J$2:$J$4995,ORDERS!$C$2:$C$4995,$D3917,ORDERS!$L$2:$L$4995,"Đã chuyển khoản"))</f>
        <v/>
      </c>
      <c r="Y3917" s="24" t="n"/>
    </row>
    <row r="3918" ht="14.25" customHeight="1" s="40">
      <c r="A3918" s="24" t="n"/>
      <c r="B3918" s="27" t="n"/>
      <c r="C3918" s="24" t="n"/>
      <c r="D3918" s="28" t="n"/>
      <c r="E3918" s="29" t="n"/>
      <c r="F3918" s="24" t="n"/>
      <c r="G3918" s="24" t="n"/>
      <c r="H3918" s="21">
        <f>IF(ISNUMBER($B3918),INT($B3918)-WEEKDAY($B3918,2)+1,"")</f>
        <v/>
      </c>
      <c r="I3918" s="24" t="n"/>
      <c r="J3918" s="22">
        <f t="array" ref="J3918">IF($D3918="","",IF($I3918="","(trống REF)",IFERROR(INDEX(MASTER_SOURCE!$B$2:$B$495,MATCH($I3918,MASTER_SOURCE!$A$2:$A$495,0)),"(REF không có trong MASTER_SOURCE)")))</f>
        <v/>
      </c>
      <c r="K3918" s="22">
        <f t="array" ref="K3918">IF($D3918="","",IFERROR(INDEX(MASTER_SOURCE!$C$2:$C$495,MATCH($I3918,MASTER_SOURCE!$A$2:$A$495,0)),""))</f>
        <v/>
      </c>
      <c r="L3918" s="22">
        <f t="array" ref="L3918">IF($D3918="","",IFERROR(INDEX(MASTER_SOURCE!$D$2:$D$495,MATCH($I3918,MASTER_SOURCE!$A$2:$A$495,0)),""))</f>
        <v/>
      </c>
      <c r="M3918" s="24" t="n"/>
      <c r="N3918" s="24" t="n"/>
      <c r="O3918" s="24" t="n"/>
      <c r="P3918" s="24" t="n"/>
      <c r="Q3918" s="22">
        <f>IF($D3918="","",IF(AND(OR(DANH_MUC!$L$5&lt;&gt;"Có",M3918="Có"),OR(DANH_MUC!$L$6&lt;&gt;"Có",N3918="Có"),OR(DANH_MUC!$L$7&lt;&gt;"Có",O3918="Có"),OR(DANH_MUC!$L$8&lt;&gt;"Có",P3918="Có")),"Có","Không"))</f>
        <v/>
      </c>
      <c r="R3918" s="22">
        <f>IF($D3918="","",IF(COUNTIF($D$2:$D3918,$D3918)&gt;1,"Trùng",""))</f>
        <v/>
      </c>
      <c r="S3918" s="22">
        <f>IF($D3918="","",IF(AND(LEN($D3918)=10,LEFT($D3918,1)="0",ISNUMBER(--$D3918)),"Có","Không"))</f>
        <v/>
      </c>
      <c r="T3918" s="22">
        <f>IF($D3918="","",IF(AND($C3918&lt;&gt;"",$Q3918="Có",$R3918="",$S3918="Có",AND($L3918&lt;&gt;"",OR($L3918&lt;&gt;"Chưa xác định",DANH_MUC!$L$9="Có"))),"Có","Không"))</f>
        <v/>
      </c>
      <c r="U3918" s="22">
        <f>IF(OR($D3918="",$T3918="Có"),"",IF($C3918="","Thiếu họ tên; ","")&amp;IF($S3918&lt;&gt;"Có","SĐT sai định dạng; ","")&amp;IF($R3918="Trùng","Trùng SĐT; ","")&amp;IF($Q3918&lt;&gt;"Có","Thiếu đồng ý bắt buộc; ","")&amp;IF($L3918="","Thiếu/sai Mã REF; ",IF(AND($L3918="Chưa xác định",DANH_MUC!$L$9&lt;&gt;"Có"),"Nguồn chưa xác định; ","")))</f>
        <v/>
      </c>
      <c r="V3918" s="22">
        <f>IF(OR($D3918="",$R3918="Trùng"),"",IF(COUNTIF(ORDERS!$C$2:$C$4995,$D3918)&gt;0,"Có","Không"))</f>
        <v/>
      </c>
      <c r="W3918" s="22">
        <f>IF(OR($D3918="",$R3918="Trùng"),"",COUNTIFS(ORDERS!$C$2:$C$4995,$D3918,ORDERS!$L$2:$L$4995,"Đã chuyển khoản"))</f>
        <v/>
      </c>
      <c r="X3918" s="23">
        <f>IF(OR($D3918="",$R3918="Trùng"),"",SUMIFS(ORDERS!$J$2:$J$4995,ORDERS!$C$2:$C$4995,$D3918,ORDERS!$L$2:$L$4995,"Đã chuyển khoản"))</f>
        <v/>
      </c>
      <c r="Y3918" s="24" t="n"/>
    </row>
    <row r="3919" ht="14.25" customHeight="1" s="40">
      <c r="A3919" s="24" t="n"/>
      <c r="B3919" s="27" t="n"/>
      <c r="C3919" s="24" t="n"/>
      <c r="D3919" s="28" t="n"/>
      <c r="E3919" s="29" t="n"/>
      <c r="F3919" s="24" t="n"/>
      <c r="G3919" s="24" t="n"/>
      <c r="H3919" s="21">
        <f>IF(ISNUMBER($B3919),INT($B3919)-WEEKDAY($B3919,2)+1,"")</f>
        <v/>
      </c>
      <c r="I3919" s="24" t="n"/>
      <c r="J3919" s="22">
        <f t="array" ref="J3919">IF($D3919="","",IF($I3919="","(trống REF)",IFERROR(INDEX(MASTER_SOURCE!$B$2:$B$495,MATCH($I3919,MASTER_SOURCE!$A$2:$A$495,0)),"(REF không có trong MASTER_SOURCE)")))</f>
        <v/>
      </c>
      <c r="K3919" s="22">
        <f t="array" ref="K3919">IF($D3919="","",IFERROR(INDEX(MASTER_SOURCE!$C$2:$C$495,MATCH($I3919,MASTER_SOURCE!$A$2:$A$495,0)),""))</f>
        <v/>
      </c>
      <c r="L3919" s="22">
        <f t="array" ref="L3919">IF($D3919="","",IFERROR(INDEX(MASTER_SOURCE!$D$2:$D$495,MATCH($I3919,MASTER_SOURCE!$A$2:$A$495,0)),""))</f>
        <v/>
      </c>
      <c r="M3919" s="24" t="n"/>
      <c r="N3919" s="24" t="n"/>
      <c r="O3919" s="24" t="n"/>
      <c r="P3919" s="24" t="n"/>
      <c r="Q3919" s="22">
        <f>IF($D3919="","",IF(AND(OR(DANH_MUC!$L$5&lt;&gt;"Có",M3919="Có"),OR(DANH_MUC!$L$6&lt;&gt;"Có",N3919="Có"),OR(DANH_MUC!$L$7&lt;&gt;"Có",O3919="Có"),OR(DANH_MUC!$L$8&lt;&gt;"Có",P3919="Có")),"Có","Không"))</f>
        <v/>
      </c>
      <c r="R3919" s="22">
        <f>IF($D3919="","",IF(COUNTIF($D$2:$D3919,$D3919)&gt;1,"Trùng",""))</f>
        <v/>
      </c>
      <c r="S3919" s="22">
        <f>IF($D3919="","",IF(AND(LEN($D3919)=10,LEFT($D3919,1)="0",ISNUMBER(--$D3919)),"Có","Không"))</f>
        <v/>
      </c>
      <c r="T3919" s="22">
        <f>IF($D3919="","",IF(AND($C3919&lt;&gt;"",$Q3919="Có",$R3919="",$S3919="Có",AND($L3919&lt;&gt;"",OR($L3919&lt;&gt;"Chưa xác định",DANH_MUC!$L$9="Có"))),"Có","Không"))</f>
        <v/>
      </c>
      <c r="U3919" s="22">
        <f>IF(OR($D3919="",$T3919="Có"),"",IF($C3919="","Thiếu họ tên; ","")&amp;IF($S3919&lt;&gt;"Có","SĐT sai định dạng; ","")&amp;IF($R3919="Trùng","Trùng SĐT; ","")&amp;IF($Q3919&lt;&gt;"Có","Thiếu đồng ý bắt buộc; ","")&amp;IF($L3919="","Thiếu/sai Mã REF; ",IF(AND($L3919="Chưa xác định",DANH_MUC!$L$9&lt;&gt;"Có"),"Nguồn chưa xác định; ","")))</f>
        <v/>
      </c>
      <c r="V3919" s="22">
        <f>IF(OR($D3919="",$R3919="Trùng"),"",IF(COUNTIF(ORDERS!$C$2:$C$4995,$D3919)&gt;0,"Có","Không"))</f>
        <v/>
      </c>
      <c r="W3919" s="22">
        <f>IF(OR($D3919="",$R3919="Trùng"),"",COUNTIFS(ORDERS!$C$2:$C$4995,$D3919,ORDERS!$L$2:$L$4995,"Đã chuyển khoản"))</f>
        <v/>
      </c>
      <c r="X3919" s="23">
        <f>IF(OR($D3919="",$R3919="Trùng"),"",SUMIFS(ORDERS!$J$2:$J$4995,ORDERS!$C$2:$C$4995,$D3919,ORDERS!$L$2:$L$4995,"Đã chuyển khoản"))</f>
        <v/>
      </c>
      <c r="Y3919" s="24" t="n"/>
    </row>
    <row r="3920" ht="14.25" customHeight="1" s="40">
      <c r="A3920" s="24" t="n"/>
      <c r="B3920" s="27" t="n"/>
      <c r="C3920" s="24" t="n"/>
      <c r="D3920" s="28" t="n"/>
      <c r="E3920" s="29" t="n"/>
      <c r="F3920" s="24" t="n"/>
      <c r="G3920" s="24" t="n"/>
      <c r="H3920" s="21">
        <f>IF(ISNUMBER($B3920),INT($B3920)-WEEKDAY($B3920,2)+1,"")</f>
        <v/>
      </c>
      <c r="I3920" s="24" t="n"/>
      <c r="J3920" s="22">
        <f t="array" ref="J3920">IF($D3920="","",IF($I3920="","(trống REF)",IFERROR(INDEX(MASTER_SOURCE!$B$2:$B$495,MATCH($I3920,MASTER_SOURCE!$A$2:$A$495,0)),"(REF không có trong MASTER_SOURCE)")))</f>
        <v/>
      </c>
      <c r="K3920" s="22">
        <f t="array" ref="K3920">IF($D3920="","",IFERROR(INDEX(MASTER_SOURCE!$C$2:$C$495,MATCH($I3920,MASTER_SOURCE!$A$2:$A$495,0)),""))</f>
        <v/>
      </c>
      <c r="L3920" s="22">
        <f t="array" ref="L3920">IF($D3920="","",IFERROR(INDEX(MASTER_SOURCE!$D$2:$D$495,MATCH($I3920,MASTER_SOURCE!$A$2:$A$495,0)),""))</f>
        <v/>
      </c>
      <c r="M3920" s="24" t="n"/>
      <c r="N3920" s="24" t="n"/>
      <c r="O3920" s="24" t="n"/>
      <c r="P3920" s="24" t="n"/>
      <c r="Q3920" s="22">
        <f>IF($D3920="","",IF(AND(OR(DANH_MUC!$L$5&lt;&gt;"Có",M3920="Có"),OR(DANH_MUC!$L$6&lt;&gt;"Có",N3920="Có"),OR(DANH_MUC!$L$7&lt;&gt;"Có",O3920="Có"),OR(DANH_MUC!$L$8&lt;&gt;"Có",P3920="Có")),"Có","Không"))</f>
        <v/>
      </c>
      <c r="R3920" s="22">
        <f>IF($D3920="","",IF(COUNTIF($D$2:$D3920,$D3920)&gt;1,"Trùng",""))</f>
        <v/>
      </c>
      <c r="S3920" s="22">
        <f>IF($D3920="","",IF(AND(LEN($D3920)=10,LEFT($D3920,1)="0",ISNUMBER(--$D3920)),"Có","Không"))</f>
        <v/>
      </c>
      <c r="T3920" s="22">
        <f>IF($D3920="","",IF(AND($C3920&lt;&gt;"",$Q3920="Có",$R3920="",$S3920="Có",AND($L3920&lt;&gt;"",OR($L3920&lt;&gt;"Chưa xác định",DANH_MUC!$L$9="Có"))),"Có","Không"))</f>
        <v/>
      </c>
      <c r="U3920" s="22">
        <f>IF(OR($D3920="",$T3920="Có"),"",IF($C3920="","Thiếu họ tên; ","")&amp;IF($S3920&lt;&gt;"Có","SĐT sai định dạng; ","")&amp;IF($R3920="Trùng","Trùng SĐT; ","")&amp;IF($Q3920&lt;&gt;"Có","Thiếu đồng ý bắt buộc; ","")&amp;IF($L3920="","Thiếu/sai Mã REF; ",IF(AND($L3920="Chưa xác định",DANH_MUC!$L$9&lt;&gt;"Có"),"Nguồn chưa xác định; ","")))</f>
        <v/>
      </c>
      <c r="V3920" s="22">
        <f>IF(OR($D3920="",$R3920="Trùng"),"",IF(COUNTIF(ORDERS!$C$2:$C$4995,$D3920)&gt;0,"Có","Không"))</f>
        <v/>
      </c>
      <c r="W3920" s="22">
        <f>IF(OR($D3920="",$R3920="Trùng"),"",COUNTIFS(ORDERS!$C$2:$C$4995,$D3920,ORDERS!$L$2:$L$4995,"Đã chuyển khoản"))</f>
        <v/>
      </c>
      <c r="X3920" s="23">
        <f>IF(OR($D3920="",$R3920="Trùng"),"",SUMIFS(ORDERS!$J$2:$J$4995,ORDERS!$C$2:$C$4995,$D3920,ORDERS!$L$2:$L$4995,"Đã chuyển khoản"))</f>
        <v/>
      </c>
      <c r="Y3920" s="24" t="n"/>
    </row>
    <row r="3921" ht="14.25" customHeight="1" s="40">
      <c r="A3921" s="24" t="n"/>
      <c r="B3921" s="27" t="n"/>
      <c r="C3921" s="24" t="n"/>
      <c r="D3921" s="28" t="n"/>
      <c r="E3921" s="29" t="n"/>
      <c r="F3921" s="24" t="n"/>
      <c r="G3921" s="24" t="n"/>
      <c r="H3921" s="21">
        <f>IF(ISNUMBER($B3921),INT($B3921)-WEEKDAY($B3921,2)+1,"")</f>
        <v/>
      </c>
      <c r="I3921" s="24" t="n"/>
      <c r="J3921" s="22">
        <f t="array" ref="J3921">IF($D3921="","",IF($I3921="","(trống REF)",IFERROR(INDEX(MASTER_SOURCE!$B$2:$B$495,MATCH($I3921,MASTER_SOURCE!$A$2:$A$495,0)),"(REF không có trong MASTER_SOURCE)")))</f>
        <v/>
      </c>
      <c r="K3921" s="22">
        <f t="array" ref="K3921">IF($D3921="","",IFERROR(INDEX(MASTER_SOURCE!$C$2:$C$495,MATCH($I3921,MASTER_SOURCE!$A$2:$A$495,0)),""))</f>
        <v/>
      </c>
      <c r="L3921" s="22">
        <f t="array" ref="L3921">IF($D3921="","",IFERROR(INDEX(MASTER_SOURCE!$D$2:$D$495,MATCH($I3921,MASTER_SOURCE!$A$2:$A$495,0)),""))</f>
        <v/>
      </c>
      <c r="M3921" s="24" t="n"/>
      <c r="N3921" s="24" t="n"/>
      <c r="O3921" s="24" t="n"/>
      <c r="P3921" s="24" t="n"/>
      <c r="Q3921" s="22">
        <f>IF($D3921="","",IF(AND(OR(DANH_MUC!$L$5&lt;&gt;"Có",M3921="Có"),OR(DANH_MUC!$L$6&lt;&gt;"Có",N3921="Có"),OR(DANH_MUC!$L$7&lt;&gt;"Có",O3921="Có"),OR(DANH_MUC!$L$8&lt;&gt;"Có",P3921="Có")),"Có","Không"))</f>
        <v/>
      </c>
      <c r="R3921" s="22">
        <f>IF($D3921="","",IF(COUNTIF($D$2:$D3921,$D3921)&gt;1,"Trùng",""))</f>
        <v/>
      </c>
      <c r="S3921" s="22">
        <f>IF($D3921="","",IF(AND(LEN($D3921)=10,LEFT($D3921,1)="0",ISNUMBER(--$D3921)),"Có","Không"))</f>
        <v/>
      </c>
      <c r="T3921" s="22">
        <f>IF($D3921="","",IF(AND($C3921&lt;&gt;"",$Q3921="Có",$R3921="",$S3921="Có",AND($L3921&lt;&gt;"",OR($L3921&lt;&gt;"Chưa xác định",DANH_MUC!$L$9="Có"))),"Có","Không"))</f>
        <v/>
      </c>
      <c r="U3921" s="22">
        <f>IF(OR($D3921="",$T3921="Có"),"",IF($C3921="","Thiếu họ tên; ","")&amp;IF($S3921&lt;&gt;"Có","SĐT sai định dạng; ","")&amp;IF($R3921="Trùng","Trùng SĐT; ","")&amp;IF($Q3921&lt;&gt;"Có","Thiếu đồng ý bắt buộc; ","")&amp;IF($L3921="","Thiếu/sai Mã REF; ",IF(AND($L3921="Chưa xác định",DANH_MUC!$L$9&lt;&gt;"Có"),"Nguồn chưa xác định; ","")))</f>
        <v/>
      </c>
      <c r="V3921" s="22">
        <f>IF(OR($D3921="",$R3921="Trùng"),"",IF(COUNTIF(ORDERS!$C$2:$C$4995,$D3921)&gt;0,"Có","Không"))</f>
        <v/>
      </c>
      <c r="W3921" s="22">
        <f>IF(OR($D3921="",$R3921="Trùng"),"",COUNTIFS(ORDERS!$C$2:$C$4995,$D3921,ORDERS!$L$2:$L$4995,"Đã chuyển khoản"))</f>
        <v/>
      </c>
      <c r="X3921" s="23">
        <f>IF(OR($D3921="",$R3921="Trùng"),"",SUMIFS(ORDERS!$J$2:$J$4995,ORDERS!$C$2:$C$4995,$D3921,ORDERS!$L$2:$L$4995,"Đã chuyển khoản"))</f>
        <v/>
      </c>
      <c r="Y3921" s="24" t="n"/>
    </row>
    <row r="3922" ht="14.25" customHeight="1" s="40">
      <c r="A3922" s="24" t="n"/>
      <c r="B3922" s="27" t="n"/>
      <c r="C3922" s="24" t="n"/>
      <c r="D3922" s="28" t="n"/>
      <c r="E3922" s="29" t="n"/>
      <c r="F3922" s="24" t="n"/>
      <c r="G3922" s="24" t="n"/>
      <c r="H3922" s="21">
        <f>IF(ISNUMBER($B3922),INT($B3922)-WEEKDAY($B3922,2)+1,"")</f>
        <v/>
      </c>
      <c r="I3922" s="24" t="n"/>
      <c r="J3922" s="22">
        <f t="array" ref="J3922">IF($D3922="","",IF($I3922="","(trống REF)",IFERROR(INDEX(MASTER_SOURCE!$B$2:$B$495,MATCH($I3922,MASTER_SOURCE!$A$2:$A$495,0)),"(REF không có trong MASTER_SOURCE)")))</f>
        <v/>
      </c>
      <c r="K3922" s="22">
        <f t="array" ref="K3922">IF($D3922="","",IFERROR(INDEX(MASTER_SOURCE!$C$2:$C$495,MATCH($I3922,MASTER_SOURCE!$A$2:$A$495,0)),""))</f>
        <v/>
      </c>
      <c r="L3922" s="22">
        <f t="array" ref="L3922">IF($D3922="","",IFERROR(INDEX(MASTER_SOURCE!$D$2:$D$495,MATCH($I3922,MASTER_SOURCE!$A$2:$A$495,0)),""))</f>
        <v/>
      </c>
      <c r="M3922" s="24" t="n"/>
      <c r="N3922" s="24" t="n"/>
      <c r="O3922" s="24" t="n"/>
      <c r="P3922" s="24" t="n"/>
      <c r="Q3922" s="22">
        <f>IF($D3922="","",IF(AND(OR(DANH_MUC!$L$5&lt;&gt;"Có",M3922="Có"),OR(DANH_MUC!$L$6&lt;&gt;"Có",N3922="Có"),OR(DANH_MUC!$L$7&lt;&gt;"Có",O3922="Có"),OR(DANH_MUC!$L$8&lt;&gt;"Có",P3922="Có")),"Có","Không"))</f>
        <v/>
      </c>
      <c r="R3922" s="22">
        <f>IF($D3922="","",IF(COUNTIF($D$2:$D3922,$D3922)&gt;1,"Trùng",""))</f>
        <v/>
      </c>
      <c r="S3922" s="22">
        <f>IF($D3922="","",IF(AND(LEN($D3922)=10,LEFT($D3922,1)="0",ISNUMBER(--$D3922)),"Có","Không"))</f>
        <v/>
      </c>
      <c r="T3922" s="22">
        <f>IF($D3922="","",IF(AND($C3922&lt;&gt;"",$Q3922="Có",$R3922="",$S3922="Có",AND($L3922&lt;&gt;"",OR($L3922&lt;&gt;"Chưa xác định",DANH_MUC!$L$9="Có"))),"Có","Không"))</f>
        <v/>
      </c>
      <c r="U3922" s="22">
        <f>IF(OR($D3922="",$T3922="Có"),"",IF($C3922="","Thiếu họ tên; ","")&amp;IF($S3922&lt;&gt;"Có","SĐT sai định dạng; ","")&amp;IF($R3922="Trùng","Trùng SĐT; ","")&amp;IF($Q3922&lt;&gt;"Có","Thiếu đồng ý bắt buộc; ","")&amp;IF($L3922="","Thiếu/sai Mã REF; ",IF(AND($L3922="Chưa xác định",DANH_MUC!$L$9&lt;&gt;"Có"),"Nguồn chưa xác định; ","")))</f>
        <v/>
      </c>
      <c r="V3922" s="22">
        <f>IF(OR($D3922="",$R3922="Trùng"),"",IF(COUNTIF(ORDERS!$C$2:$C$4995,$D3922)&gt;0,"Có","Không"))</f>
        <v/>
      </c>
      <c r="W3922" s="22">
        <f>IF(OR($D3922="",$R3922="Trùng"),"",COUNTIFS(ORDERS!$C$2:$C$4995,$D3922,ORDERS!$L$2:$L$4995,"Đã chuyển khoản"))</f>
        <v/>
      </c>
      <c r="X3922" s="23">
        <f>IF(OR($D3922="",$R3922="Trùng"),"",SUMIFS(ORDERS!$J$2:$J$4995,ORDERS!$C$2:$C$4995,$D3922,ORDERS!$L$2:$L$4995,"Đã chuyển khoản"))</f>
        <v/>
      </c>
      <c r="Y3922" s="24" t="n"/>
    </row>
    <row r="3923" ht="14.25" customHeight="1" s="40">
      <c r="A3923" s="24" t="n"/>
      <c r="B3923" s="27" t="n"/>
      <c r="C3923" s="24" t="n"/>
      <c r="D3923" s="28" t="n"/>
      <c r="E3923" s="29" t="n"/>
      <c r="F3923" s="24" t="n"/>
      <c r="G3923" s="24" t="n"/>
      <c r="H3923" s="21">
        <f>IF(ISNUMBER($B3923),INT($B3923)-WEEKDAY($B3923,2)+1,"")</f>
        <v/>
      </c>
      <c r="I3923" s="24" t="n"/>
      <c r="J3923" s="22">
        <f t="array" ref="J3923">IF($D3923="","",IF($I3923="","(trống REF)",IFERROR(INDEX(MASTER_SOURCE!$B$2:$B$495,MATCH($I3923,MASTER_SOURCE!$A$2:$A$495,0)),"(REF không có trong MASTER_SOURCE)")))</f>
        <v/>
      </c>
      <c r="K3923" s="22">
        <f t="array" ref="K3923">IF($D3923="","",IFERROR(INDEX(MASTER_SOURCE!$C$2:$C$495,MATCH($I3923,MASTER_SOURCE!$A$2:$A$495,0)),""))</f>
        <v/>
      </c>
      <c r="L3923" s="22">
        <f t="array" ref="L3923">IF($D3923="","",IFERROR(INDEX(MASTER_SOURCE!$D$2:$D$495,MATCH($I3923,MASTER_SOURCE!$A$2:$A$495,0)),""))</f>
        <v/>
      </c>
      <c r="M3923" s="24" t="n"/>
      <c r="N3923" s="24" t="n"/>
      <c r="O3923" s="24" t="n"/>
      <c r="P3923" s="24" t="n"/>
      <c r="Q3923" s="22">
        <f>IF($D3923="","",IF(AND(OR(DANH_MUC!$L$5&lt;&gt;"Có",M3923="Có"),OR(DANH_MUC!$L$6&lt;&gt;"Có",N3923="Có"),OR(DANH_MUC!$L$7&lt;&gt;"Có",O3923="Có"),OR(DANH_MUC!$L$8&lt;&gt;"Có",P3923="Có")),"Có","Không"))</f>
        <v/>
      </c>
      <c r="R3923" s="22">
        <f>IF($D3923="","",IF(COUNTIF($D$2:$D3923,$D3923)&gt;1,"Trùng",""))</f>
        <v/>
      </c>
      <c r="S3923" s="22">
        <f>IF($D3923="","",IF(AND(LEN($D3923)=10,LEFT($D3923,1)="0",ISNUMBER(--$D3923)),"Có","Không"))</f>
        <v/>
      </c>
      <c r="T3923" s="22">
        <f>IF($D3923="","",IF(AND($C3923&lt;&gt;"",$Q3923="Có",$R3923="",$S3923="Có",AND($L3923&lt;&gt;"",OR($L3923&lt;&gt;"Chưa xác định",DANH_MUC!$L$9="Có"))),"Có","Không"))</f>
        <v/>
      </c>
      <c r="U3923" s="22">
        <f>IF(OR($D3923="",$T3923="Có"),"",IF($C3923="","Thiếu họ tên; ","")&amp;IF($S3923&lt;&gt;"Có","SĐT sai định dạng; ","")&amp;IF($R3923="Trùng","Trùng SĐT; ","")&amp;IF($Q3923&lt;&gt;"Có","Thiếu đồng ý bắt buộc; ","")&amp;IF($L3923="","Thiếu/sai Mã REF; ",IF(AND($L3923="Chưa xác định",DANH_MUC!$L$9&lt;&gt;"Có"),"Nguồn chưa xác định; ","")))</f>
        <v/>
      </c>
      <c r="V3923" s="22">
        <f>IF(OR($D3923="",$R3923="Trùng"),"",IF(COUNTIF(ORDERS!$C$2:$C$4995,$D3923)&gt;0,"Có","Không"))</f>
        <v/>
      </c>
      <c r="W3923" s="22">
        <f>IF(OR($D3923="",$R3923="Trùng"),"",COUNTIFS(ORDERS!$C$2:$C$4995,$D3923,ORDERS!$L$2:$L$4995,"Đã chuyển khoản"))</f>
        <v/>
      </c>
      <c r="X3923" s="23">
        <f>IF(OR($D3923="",$R3923="Trùng"),"",SUMIFS(ORDERS!$J$2:$J$4995,ORDERS!$C$2:$C$4995,$D3923,ORDERS!$L$2:$L$4995,"Đã chuyển khoản"))</f>
        <v/>
      </c>
      <c r="Y3923" s="24" t="n"/>
    </row>
    <row r="3924" ht="14.25" customHeight="1" s="40">
      <c r="A3924" s="24" t="n"/>
      <c r="B3924" s="27" t="n"/>
      <c r="C3924" s="24" t="n"/>
      <c r="D3924" s="28" t="n"/>
      <c r="E3924" s="29" t="n"/>
      <c r="F3924" s="24" t="n"/>
      <c r="G3924" s="24" t="n"/>
      <c r="H3924" s="21">
        <f>IF(ISNUMBER($B3924),INT($B3924)-WEEKDAY($B3924,2)+1,"")</f>
        <v/>
      </c>
      <c r="I3924" s="24" t="n"/>
      <c r="J3924" s="22">
        <f t="array" ref="J3924">IF($D3924="","",IF($I3924="","(trống REF)",IFERROR(INDEX(MASTER_SOURCE!$B$2:$B$495,MATCH($I3924,MASTER_SOURCE!$A$2:$A$495,0)),"(REF không có trong MASTER_SOURCE)")))</f>
        <v/>
      </c>
      <c r="K3924" s="22">
        <f t="array" ref="K3924">IF($D3924="","",IFERROR(INDEX(MASTER_SOURCE!$C$2:$C$495,MATCH($I3924,MASTER_SOURCE!$A$2:$A$495,0)),""))</f>
        <v/>
      </c>
      <c r="L3924" s="22">
        <f t="array" ref="L3924">IF($D3924="","",IFERROR(INDEX(MASTER_SOURCE!$D$2:$D$495,MATCH($I3924,MASTER_SOURCE!$A$2:$A$495,0)),""))</f>
        <v/>
      </c>
      <c r="M3924" s="24" t="n"/>
      <c r="N3924" s="24" t="n"/>
      <c r="O3924" s="24" t="n"/>
      <c r="P3924" s="24" t="n"/>
      <c r="Q3924" s="22">
        <f>IF($D3924="","",IF(AND(OR(DANH_MUC!$L$5&lt;&gt;"Có",M3924="Có"),OR(DANH_MUC!$L$6&lt;&gt;"Có",N3924="Có"),OR(DANH_MUC!$L$7&lt;&gt;"Có",O3924="Có"),OR(DANH_MUC!$L$8&lt;&gt;"Có",P3924="Có")),"Có","Không"))</f>
        <v/>
      </c>
      <c r="R3924" s="22">
        <f>IF($D3924="","",IF(COUNTIF($D$2:$D3924,$D3924)&gt;1,"Trùng",""))</f>
        <v/>
      </c>
      <c r="S3924" s="22">
        <f>IF($D3924="","",IF(AND(LEN($D3924)=10,LEFT($D3924,1)="0",ISNUMBER(--$D3924)),"Có","Không"))</f>
        <v/>
      </c>
      <c r="T3924" s="22">
        <f>IF($D3924="","",IF(AND($C3924&lt;&gt;"",$Q3924="Có",$R3924="",$S3924="Có",AND($L3924&lt;&gt;"",OR($L3924&lt;&gt;"Chưa xác định",DANH_MUC!$L$9="Có"))),"Có","Không"))</f>
        <v/>
      </c>
      <c r="U3924" s="22">
        <f>IF(OR($D3924="",$T3924="Có"),"",IF($C3924="","Thiếu họ tên; ","")&amp;IF($S3924&lt;&gt;"Có","SĐT sai định dạng; ","")&amp;IF($R3924="Trùng","Trùng SĐT; ","")&amp;IF($Q3924&lt;&gt;"Có","Thiếu đồng ý bắt buộc; ","")&amp;IF($L3924="","Thiếu/sai Mã REF; ",IF(AND($L3924="Chưa xác định",DANH_MUC!$L$9&lt;&gt;"Có"),"Nguồn chưa xác định; ","")))</f>
        <v/>
      </c>
      <c r="V3924" s="22">
        <f>IF(OR($D3924="",$R3924="Trùng"),"",IF(COUNTIF(ORDERS!$C$2:$C$4995,$D3924)&gt;0,"Có","Không"))</f>
        <v/>
      </c>
      <c r="W3924" s="22">
        <f>IF(OR($D3924="",$R3924="Trùng"),"",COUNTIFS(ORDERS!$C$2:$C$4995,$D3924,ORDERS!$L$2:$L$4995,"Đã chuyển khoản"))</f>
        <v/>
      </c>
      <c r="X3924" s="23">
        <f>IF(OR($D3924="",$R3924="Trùng"),"",SUMIFS(ORDERS!$J$2:$J$4995,ORDERS!$C$2:$C$4995,$D3924,ORDERS!$L$2:$L$4995,"Đã chuyển khoản"))</f>
        <v/>
      </c>
      <c r="Y3924" s="24" t="n"/>
    </row>
    <row r="3925" ht="14.25" customHeight="1" s="40">
      <c r="A3925" s="24" t="n"/>
      <c r="B3925" s="27" t="n"/>
      <c r="C3925" s="24" t="n"/>
      <c r="D3925" s="28" t="n"/>
      <c r="E3925" s="29" t="n"/>
      <c r="F3925" s="24" t="n"/>
      <c r="G3925" s="24" t="n"/>
      <c r="H3925" s="21">
        <f>IF(ISNUMBER($B3925),INT($B3925)-WEEKDAY($B3925,2)+1,"")</f>
        <v/>
      </c>
      <c r="I3925" s="24" t="n"/>
      <c r="J3925" s="22">
        <f t="array" ref="J3925">IF($D3925="","",IF($I3925="","(trống REF)",IFERROR(INDEX(MASTER_SOURCE!$B$2:$B$495,MATCH($I3925,MASTER_SOURCE!$A$2:$A$495,0)),"(REF không có trong MASTER_SOURCE)")))</f>
        <v/>
      </c>
      <c r="K3925" s="22">
        <f t="array" ref="K3925">IF($D3925="","",IFERROR(INDEX(MASTER_SOURCE!$C$2:$C$495,MATCH($I3925,MASTER_SOURCE!$A$2:$A$495,0)),""))</f>
        <v/>
      </c>
      <c r="L3925" s="22">
        <f t="array" ref="L3925">IF($D3925="","",IFERROR(INDEX(MASTER_SOURCE!$D$2:$D$495,MATCH($I3925,MASTER_SOURCE!$A$2:$A$495,0)),""))</f>
        <v/>
      </c>
      <c r="M3925" s="24" t="n"/>
      <c r="N3925" s="24" t="n"/>
      <c r="O3925" s="24" t="n"/>
      <c r="P3925" s="24" t="n"/>
      <c r="Q3925" s="22">
        <f>IF($D3925="","",IF(AND(OR(DANH_MUC!$L$5&lt;&gt;"Có",M3925="Có"),OR(DANH_MUC!$L$6&lt;&gt;"Có",N3925="Có"),OR(DANH_MUC!$L$7&lt;&gt;"Có",O3925="Có"),OR(DANH_MUC!$L$8&lt;&gt;"Có",P3925="Có")),"Có","Không"))</f>
        <v/>
      </c>
      <c r="R3925" s="22">
        <f>IF($D3925="","",IF(COUNTIF($D$2:$D3925,$D3925)&gt;1,"Trùng",""))</f>
        <v/>
      </c>
      <c r="S3925" s="22">
        <f>IF($D3925="","",IF(AND(LEN($D3925)=10,LEFT($D3925,1)="0",ISNUMBER(--$D3925)),"Có","Không"))</f>
        <v/>
      </c>
      <c r="T3925" s="22">
        <f>IF($D3925="","",IF(AND($C3925&lt;&gt;"",$Q3925="Có",$R3925="",$S3925="Có",AND($L3925&lt;&gt;"",OR($L3925&lt;&gt;"Chưa xác định",DANH_MUC!$L$9="Có"))),"Có","Không"))</f>
        <v/>
      </c>
      <c r="U3925" s="22">
        <f>IF(OR($D3925="",$T3925="Có"),"",IF($C3925="","Thiếu họ tên; ","")&amp;IF($S3925&lt;&gt;"Có","SĐT sai định dạng; ","")&amp;IF($R3925="Trùng","Trùng SĐT; ","")&amp;IF($Q3925&lt;&gt;"Có","Thiếu đồng ý bắt buộc; ","")&amp;IF($L3925="","Thiếu/sai Mã REF; ",IF(AND($L3925="Chưa xác định",DANH_MUC!$L$9&lt;&gt;"Có"),"Nguồn chưa xác định; ","")))</f>
        <v/>
      </c>
      <c r="V3925" s="22">
        <f>IF(OR($D3925="",$R3925="Trùng"),"",IF(COUNTIF(ORDERS!$C$2:$C$4995,$D3925)&gt;0,"Có","Không"))</f>
        <v/>
      </c>
      <c r="W3925" s="22">
        <f>IF(OR($D3925="",$R3925="Trùng"),"",COUNTIFS(ORDERS!$C$2:$C$4995,$D3925,ORDERS!$L$2:$L$4995,"Đã chuyển khoản"))</f>
        <v/>
      </c>
      <c r="X3925" s="23">
        <f>IF(OR($D3925="",$R3925="Trùng"),"",SUMIFS(ORDERS!$J$2:$J$4995,ORDERS!$C$2:$C$4995,$D3925,ORDERS!$L$2:$L$4995,"Đã chuyển khoản"))</f>
        <v/>
      </c>
      <c r="Y3925" s="24" t="n"/>
    </row>
    <row r="3926" ht="14.25" customHeight="1" s="40">
      <c r="A3926" s="24" t="n"/>
      <c r="B3926" s="27" t="n"/>
      <c r="C3926" s="24" t="n"/>
      <c r="D3926" s="28" t="n"/>
      <c r="E3926" s="29" t="n"/>
      <c r="F3926" s="24" t="n"/>
      <c r="G3926" s="24" t="n"/>
      <c r="H3926" s="21">
        <f>IF(ISNUMBER($B3926),INT($B3926)-WEEKDAY($B3926,2)+1,"")</f>
        <v/>
      </c>
      <c r="I3926" s="24" t="n"/>
      <c r="J3926" s="22">
        <f t="array" ref="J3926">IF($D3926="","",IF($I3926="","(trống REF)",IFERROR(INDEX(MASTER_SOURCE!$B$2:$B$495,MATCH($I3926,MASTER_SOURCE!$A$2:$A$495,0)),"(REF không có trong MASTER_SOURCE)")))</f>
        <v/>
      </c>
      <c r="K3926" s="22">
        <f t="array" ref="K3926">IF($D3926="","",IFERROR(INDEX(MASTER_SOURCE!$C$2:$C$495,MATCH($I3926,MASTER_SOURCE!$A$2:$A$495,0)),""))</f>
        <v/>
      </c>
      <c r="L3926" s="22">
        <f t="array" ref="L3926">IF($D3926="","",IFERROR(INDEX(MASTER_SOURCE!$D$2:$D$495,MATCH($I3926,MASTER_SOURCE!$A$2:$A$495,0)),""))</f>
        <v/>
      </c>
      <c r="M3926" s="24" t="n"/>
      <c r="N3926" s="24" t="n"/>
      <c r="O3926" s="24" t="n"/>
      <c r="P3926" s="24" t="n"/>
      <c r="Q3926" s="22">
        <f>IF($D3926="","",IF(AND(OR(DANH_MUC!$L$5&lt;&gt;"Có",M3926="Có"),OR(DANH_MUC!$L$6&lt;&gt;"Có",N3926="Có"),OR(DANH_MUC!$L$7&lt;&gt;"Có",O3926="Có"),OR(DANH_MUC!$L$8&lt;&gt;"Có",P3926="Có")),"Có","Không"))</f>
        <v/>
      </c>
      <c r="R3926" s="22">
        <f>IF($D3926="","",IF(COUNTIF($D$2:$D3926,$D3926)&gt;1,"Trùng",""))</f>
        <v/>
      </c>
      <c r="S3926" s="22">
        <f>IF($D3926="","",IF(AND(LEN($D3926)=10,LEFT($D3926,1)="0",ISNUMBER(--$D3926)),"Có","Không"))</f>
        <v/>
      </c>
      <c r="T3926" s="22">
        <f>IF($D3926="","",IF(AND($C3926&lt;&gt;"",$Q3926="Có",$R3926="",$S3926="Có",AND($L3926&lt;&gt;"",OR($L3926&lt;&gt;"Chưa xác định",DANH_MUC!$L$9="Có"))),"Có","Không"))</f>
        <v/>
      </c>
      <c r="U3926" s="22">
        <f>IF(OR($D3926="",$T3926="Có"),"",IF($C3926="","Thiếu họ tên; ","")&amp;IF($S3926&lt;&gt;"Có","SĐT sai định dạng; ","")&amp;IF($R3926="Trùng","Trùng SĐT; ","")&amp;IF($Q3926&lt;&gt;"Có","Thiếu đồng ý bắt buộc; ","")&amp;IF($L3926="","Thiếu/sai Mã REF; ",IF(AND($L3926="Chưa xác định",DANH_MUC!$L$9&lt;&gt;"Có"),"Nguồn chưa xác định; ","")))</f>
        <v/>
      </c>
      <c r="V3926" s="22">
        <f>IF(OR($D3926="",$R3926="Trùng"),"",IF(COUNTIF(ORDERS!$C$2:$C$4995,$D3926)&gt;0,"Có","Không"))</f>
        <v/>
      </c>
      <c r="W3926" s="22">
        <f>IF(OR($D3926="",$R3926="Trùng"),"",COUNTIFS(ORDERS!$C$2:$C$4995,$D3926,ORDERS!$L$2:$L$4995,"Đã chuyển khoản"))</f>
        <v/>
      </c>
      <c r="X3926" s="23">
        <f>IF(OR($D3926="",$R3926="Trùng"),"",SUMIFS(ORDERS!$J$2:$J$4995,ORDERS!$C$2:$C$4995,$D3926,ORDERS!$L$2:$L$4995,"Đã chuyển khoản"))</f>
        <v/>
      </c>
      <c r="Y3926" s="24" t="n"/>
    </row>
    <row r="3927" ht="14.25" customHeight="1" s="40">
      <c r="A3927" s="24" t="n"/>
      <c r="B3927" s="27" t="n"/>
      <c r="C3927" s="24" t="n"/>
      <c r="D3927" s="28" t="n"/>
      <c r="E3927" s="29" t="n"/>
      <c r="F3927" s="24" t="n"/>
      <c r="G3927" s="24" t="n"/>
      <c r="H3927" s="21">
        <f>IF(ISNUMBER($B3927),INT($B3927)-WEEKDAY($B3927,2)+1,"")</f>
        <v/>
      </c>
      <c r="I3927" s="24" t="n"/>
      <c r="J3927" s="22">
        <f t="array" ref="J3927">IF($D3927="","",IF($I3927="","(trống REF)",IFERROR(INDEX(MASTER_SOURCE!$B$2:$B$495,MATCH($I3927,MASTER_SOURCE!$A$2:$A$495,0)),"(REF không có trong MASTER_SOURCE)")))</f>
        <v/>
      </c>
      <c r="K3927" s="22">
        <f t="array" ref="K3927">IF($D3927="","",IFERROR(INDEX(MASTER_SOURCE!$C$2:$C$495,MATCH($I3927,MASTER_SOURCE!$A$2:$A$495,0)),""))</f>
        <v/>
      </c>
      <c r="L3927" s="22">
        <f t="array" ref="L3927">IF($D3927="","",IFERROR(INDEX(MASTER_SOURCE!$D$2:$D$495,MATCH($I3927,MASTER_SOURCE!$A$2:$A$495,0)),""))</f>
        <v/>
      </c>
      <c r="M3927" s="24" t="n"/>
      <c r="N3927" s="24" t="n"/>
      <c r="O3927" s="24" t="n"/>
      <c r="P3927" s="24" t="n"/>
      <c r="Q3927" s="22">
        <f>IF($D3927="","",IF(AND(OR(DANH_MUC!$L$5&lt;&gt;"Có",M3927="Có"),OR(DANH_MUC!$L$6&lt;&gt;"Có",N3927="Có"),OR(DANH_MUC!$L$7&lt;&gt;"Có",O3927="Có"),OR(DANH_MUC!$L$8&lt;&gt;"Có",P3927="Có")),"Có","Không"))</f>
        <v/>
      </c>
      <c r="R3927" s="22">
        <f>IF($D3927="","",IF(COUNTIF($D$2:$D3927,$D3927)&gt;1,"Trùng",""))</f>
        <v/>
      </c>
      <c r="S3927" s="22">
        <f>IF($D3927="","",IF(AND(LEN($D3927)=10,LEFT($D3927,1)="0",ISNUMBER(--$D3927)),"Có","Không"))</f>
        <v/>
      </c>
      <c r="T3927" s="22">
        <f>IF($D3927="","",IF(AND($C3927&lt;&gt;"",$Q3927="Có",$R3927="",$S3927="Có",AND($L3927&lt;&gt;"",OR($L3927&lt;&gt;"Chưa xác định",DANH_MUC!$L$9="Có"))),"Có","Không"))</f>
        <v/>
      </c>
      <c r="U3927" s="22">
        <f>IF(OR($D3927="",$T3927="Có"),"",IF($C3927="","Thiếu họ tên; ","")&amp;IF($S3927&lt;&gt;"Có","SĐT sai định dạng; ","")&amp;IF($R3927="Trùng","Trùng SĐT; ","")&amp;IF($Q3927&lt;&gt;"Có","Thiếu đồng ý bắt buộc; ","")&amp;IF($L3927="","Thiếu/sai Mã REF; ",IF(AND($L3927="Chưa xác định",DANH_MUC!$L$9&lt;&gt;"Có"),"Nguồn chưa xác định; ","")))</f>
        <v/>
      </c>
      <c r="V3927" s="22">
        <f>IF(OR($D3927="",$R3927="Trùng"),"",IF(COUNTIF(ORDERS!$C$2:$C$4995,$D3927)&gt;0,"Có","Không"))</f>
        <v/>
      </c>
      <c r="W3927" s="22">
        <f>IF(OR($D3927="",$R3927="Trùng"),"",COUNTIFS(ORDERS!$C$2:$C$4995,$D3927,ORDERS!$L$2:$L$4995,"Đã chuyển khoản"))</f>
        <v/>
      </c>
      <c r="X3927" s="23">
        <f>IF(OR($D3927="",$R3927="Trùng"),"",SUMIFS(ORDERS!$J$2:$J$4995,ORDERS!$C$2:$C$4995,$D3927,ORDERS!$L$2:$L$4995,"Đã chuyển khoản"))</f>
        <v/>
      </c>
      <c r="Y3927" s="24" t="n"/>
    </row>
    <row r="3928" ht="14.25" customHeight="1" s="40">
      <c r="A3928" s="24" t="n"/>
      <c r="B3928" s="27" t="n"/>
      <c r="C3928" s="24" t="n"/>
      <c r="D3928" s="28" t="n"/>
      <c r="E3928" s="29" t="n"/>
      <c r="F3928" s="24" t="n"/>
      <c r="G3928" s="24" t="n"/>
      <c r="H3928" s="21">
        <f>IF(ISNUMBER($B3928),INT($B3928)-WEEKDAY($B3928,2)+1,"")</f>
        <v/>
      </c>
      <c r="I3928" s="24" t="n"/>
      <c r="J3928" s="22">
        <f t="array" ref="J3928">IF($D3928="","",IF($I3928="","(trống REF)",IFERROR(INDEX(MASTER_SOURCE!$B$2:$B$495,MATCH($I3928,MASTER_SOURCE!$A$2:$A$495,0)),"(REF không có trong MASTER_SOURCE)")))</f>
        <v/>
      </c>
      <c r="K3928" s="22">
        <f t="array" ref="K3928">IF($D3928="","",IFERROR(INDEX(MASTER_SOURCE!$C$2:$C$495,MATCH($I3928,MASTER_SOURCE!$A$2:$A$495,0)),""))</f>
        <v/>
      </c>
      <c r="L3928" s="22">
        <f t="array" ref="L3928">IF($D3928="","",IFERROR(INDEX(MASTER_SOURCE!$D$2:$D$495,MATCH($I3928,MASTER_SOURCE!$A$2:$A$495,0)),""))</f>
        <v/>
      </c>
      <c r="M3928" s="24" t="n"/>
      <c r="N3928" s="24" t="n"/>
      <c r="O3928" s="24" t="n"/>
      <c r="P3928" s="24" t="n"/>
      <c r="Q3928" s="22">
        <f>IF($D3928="","",IF(AND(OR(DANH_MUC!$L$5&lt;&gt;"Có",M3928="Có"),OR(DANH_MUC!$L$6&lt;&gt;"Có",N3928="Có"),OR(DANH_MUC!$L$7&lt;&gt;"Có",O3928="Có"),OR(DANH_MUC!$L$8&lt;&gt;"Có",P3928="Có")),"Có","Không"))</f>
        <v/>
      </c>
      <c r="R3928" s="22">
        <f>IF($D3928="","",IF(COUNTIF($D$2:$D3928,$D3928)&gt;1,"Trùng",""))</f>
        <v/>
      </c>
      <c r="S3928" s="22">
        <f>IF($D3928="","",IF(AND(LEN($D3928)=10,LEFT($D3928,1)="0",ISNUMBER(--$D3928)),"Có","Không"))</f>
        <v/>
      </c>
      <c r="T3928" s="22">
        <f>IF($D3928="","",IF(AND($C3928&lt;&gt;"",$Q3928="Có",$R3928="",$S3928="Có",AND($L3928&lt;&gt;"",OR($L3928&lt;&gt;"Chưa xác định",DANH_MUC!$L$9="Có"))),"Có","Không"))</f>
        <v/>
      </c>
      <c r="U3928" s="22">
        <f>IF(OR($D3928="",$T3928="Có"),"",IF($C3928="","Thiếu họ tên; ","")&amp;IF($S3928&lt;&gt;"Có","SĐT sai định dạng; ","")&amp;IF($R3928="Trùng","Trùng SĐT; ","")&amp;IF($Q3928&lt;&gt;"Có","Thiếu đồng ý bắt buộc; ","")&amp;IF($L3928="","Thiếu/sai Mã REF; ",IF(AND($L3928="Chưa xác định",DANH_MUC!$L$9&lt;&gt;"Có"),"Nguồn chưa xác định; ","")))</f>
        <v/>
      </c>
      <c r="V3928" s="22">
        <f>IF(OR($D3928="",$R3928="Trùng"),"",IF(COUNTIF(ORDERS!$C$2:$C$4995,$D3928)&gt;0,"Có","Không"))</f>
        <v/>
      </c>
      <c r="W3928" s="22">
        <f>IF(OR($D3928="",$R3928="Trùng"),"",COUNTIFS(ORDERS!$C$2:$C$4995,$D3928,ORDERS!$L$2:$L$4995,"Đã chuyển khoản"))</f>
        <v/>
      </c>
      <c r="X3928" s="23">
        <f>IF(OR($D3928="",$R3928="Trùng"),"",SUMIFS(ORDERS!$J$2:$J$4995,ORDERS!$C$2:$C$4995,$D3928,ORDERS!$L$2:$L$4995,"Đã chuyển khoản"))</f>
        <v/>
      </c>
      <c r="Y3928" s="24" t="n"/>
    </row>
    <row r="3929" ht="14.25" customHeight="1" s="40">
      <c r="A3929" s="24" t="n"/>
      <c r="B3929" s="27" t="n"/>
      <c r="C3929" s="24" t="n"/>
      <c r="D3929" s="28" t="n"/>
      <c r="E3929" s="29" t="n"/>
      <c r="F3929" s="24" t="n"/>
      <c r="G3929" s="24" t="n"/>
      <c r="H3929" s="21">
        <f>IF(ISNUMBER($B3929),INT($B3929)-WEEKDAY($B3929,2)+1,"")</f>
        <v/>
      </c>
      <c r="I3929" s="24" t="n"/>
      <c r="J3929" s="22">
        <f t="array" ref="J3929">IF($D3929="","",IF($I3929="","(trống REF)",IFERROR(INDEX(MASTER_SOURCE!$B$2:$B$495,MATCH($I3929,MASTER_SOURCE!$A$2:$A$495,0)),"(REF không có trong MASTER_SOURCE)")))</f>
        <v/>
      </c>
      <c r="K3929" s="22">
        <f t="array" ref="K3929">IF($D3929="","",IFERROR(INDEX(MASTER_SOURCE!$C$2:$C$495,MATCH($I3929,MASTER_SOURCE!$A$2:$A$495,0)),""))</f>
        <v/>
      </c>
      <c r="L3929" s="22">
        <f t="array" ref="L3929">IF($D3929="","",IFERROR(INDEX(MASTER_SOURCE!$D$2:$D$495,MATCH($I3929,MASTER_SOURCE!$A$2:$A$495,0)),""))</f>
        <v/>
      </c>
      <c r="M3929" s="24" t="n"/>
      <c r="N3929" s="24" t="n"/>
      <c r="O3929" s="24" t="n"/>
      <c r="P3929" s="24" t="n"/>
      <c r="Q3929" s="22">
        <f>IF($D3929="","",IF(AND(OR(DANH_MUC!$L$5&lt;&gt;"Có",M3929="Có"),OR(DANH_MUC!$L$6&lt;&gt;"Có",N3929="Có"),OR(DANH_MUC!$L$7&lt;&gt;"Có",O3929="Có"),OR(DANH_MUC!$L$8&lt;&gt;"Có",P3929="Có")),"Có","Không"))</f>
        <v/>
      </c>
      <c r="R3929" s="22">
        <f>IF($D3929="","",IF(COUNTIF($D$2:$D3929,$D3929)&gt;1,"Trùng",""))</f>
        <v/>
      </c>
      <c r="S3929" s="22">
        <f>IF($D3929="","",IF(AND(LEN($D3929)=10,LEFT($D3929,1)="0",ISNUMBER(--$D3929)),"Có","Không"))</f>
        <v/>
      </c>
      <c r="T3929" s="22">
        <f>IF($D3929="","",IF(AND($C3929&lt;&gt;"",$Q3929="Có",$R3929="",$S3929="Có",AND($L3929&lt;&gt;"",OR($L3929&lt;&gt;"Chưa xác định",DANH_MUC!$L$9="Có"))),"Có","Không"))</f>
        <v/>
      </c>
      <c r="U3929" s="22">
        <f>IF(OR($D3929="",$T3929="Có"),"",IF($C3929="","Thiếu họ tên; ","")&amp;IF($S3929&lt;&gt;"Có","SĐT sai định dạng; ","")&amp;IF($R3929="Trùng","Trùng SĐT; ","")&amp;IF($Q3929&lt;&gt;"Có","Thiếu đồng ý bắt buộc; ","")&amp;IF($L3929="","Thiếu/sai Mã REF; ",IF(AND($L3929="Chưa xác định",DANH_MUC!$L$9&lt;&gt;"Có"),"Nguồn chưa xác định; ","")))</f>
        <v/>
      </c>
      <c r="V3929" s="22">
        <f>IF(OR($D3929="",$R3929="Trùng"),"",IF(COUNTIF(ORDERS!$C$2:$C$4995,$D3929)&gt;0,"Có","Không"))</f>
        <v/>
      </c>
      <c r="W3929" s="22">
        <f>IF(OR($D3929="",$R3929="Trùng"),"",COUNTIFS(ORDERS!$C$2:$C$4995,$D3929,ORDERS!$L$2:$L$4995,"Đã chuyển khoản"))</f>
        <v/>
      </c>
      <c r="X3929" s="23">
        <f>IF(OR($D3929="",$R3929="Trùng"),"",SUMIFS(ORDERS!$J$2:$J$4995,ORDERS!$C$2:$C$4995,$D3929,ORDERS!$L$2:$L$4995,"Đã chuyển khoản"))</f>
        <v/>
      </c>
      <c r="Y3929" s="24" t="n"/>
    </row>
    <row r="3930" ht="14.25" customHeight="1" s="40">
      <c r="A3930" s="24" t="n"/>
      <c r="B3930" s="27" t="n"/>
      <c r="C3930" s="24" t="n"/>
      <c r="D3930" s="28" t="n"/>
      <c r="E3930" s="29" t="n"/>
      <c r="F3930" s="24" t="n"/>
      <c r="G3930" s="24" t="n"/>
      <c r="H3930" s="21">
        <f>IF(ISNUMBER($B3930),INT($B3930)-WEEKDAY($B3930,2)+1,"")</f>
        <v/>
      </c>
      <c r="I3930" s="24" t="n"/>
      <c r="J3930" s="22">
        <f t="array" ref="J3930">IF($D3930="","",IF($I3930="","(trống REF)",IFERROR(INDEX(MASTER_SOURCE!$B$2:$B$495,MATCH($I3930,MASTER_SOURCE!$A$2:$A$495,0)),"(REF không có trong MASTER_SOURCE)")))</f>
        <v/>
      </c>
      <c r="K3930" s="22">
        <f t="array" ref="K3930">IF($D3930="","",IFERROR(INDEX(MASTER_SOURCE!$C$2:$C$495,MATCH($I3930,MASTER_SOURCE!$A$2:$A$495,0)),""))</f>
        <v/>
      </c>
      <c r="L3930" s="22">
        <f t="array" ref="L3930">IF($D3930="","",IFERROR(INDEX(MASTER_SOURCE!$D$2:$D$495,MATCH($I3930,MASTER_SOURCE!$A$2:$A$495,0)),""))</f>
        <v/>
      </c>
      <c r="M3930" s="24" t="n"/>
      <c r="N3930" s="24" t="n"/>
      <c r="O3930" s="24" t="n"/>
      <c r="P3930" s="24" t="n"/>
      <c r="Q3930" s="22">
        <f>IF($D3930="","",IF(AND(OR(DANH_MUC!$L$5&lt;&gt;"Có",M3930="Có"),OR(DANH_MUC!$L$6&lt;&gt;"Có",N3930="Có"),OR(DANH_MUC!$L$7&lt;&gt;"Có",O3930="Có"),OR(DANH_MUC!$L$8&lt;&gt;"Có",P3930="Có")),"Có","Không"))</f>
        <v/>
      </c>
      <c r="R3930" s="22">
        <f>IF($D3930="","",IF(COUNTIF($D$2:$D3930,$D3930)&gt;1,"Trùng",""))</f>
        <v/>
      </c>
      <c r="S3930" s="22">
        <f>IF($D3930="","",IF(AND(LEN($D3930)=10,LEFT($D3930,1)="0",ISNUMBER(--$D3930)),"Có","Không"))</f>
        <v/>
      </c>
      <c r="T3930" s="22">
        <f>IF($D3930="","",IF(AND($C3930&lt;&gt;"",$Q3930="Có",$R3930="",$S3930="Có",AND($L3930&lt;&gt;"",OR($L3930&lt;&gt;"Chưa xác định",DANH_MUC!$L$9="Có"))),"Có","Không"))</f>
        <v/>
      </c>
      <c r="U3930" s="22">
        <f>IF(OR($D3930="",$T3930="Có"),"",IF($C3930="","Thiếu họ tên; ","")&amp;IF($S3930&lt;&gt;"Có","SĐT sai định dạng; ","")&amp;IF($R3930="Trùng","Trùng SĐT; ","")&amp;IF($Q3930&lt;&gt;"Có","Thiếu đồng ý bắt buộc; ","")&amp;IF($L3930="","Thiếu/sai Mã REF; ",IF(AND($L3930="Chưa xác định",DANH_MUC!$L$9&lt;&gt;"Có"),"Nguồn chưa xác định; ","")))</f>
        <v/>
      </c>
      <c r="V3930" s="22">
        <f>IF(OR($D3930="",$R3930="Trùng"),"",IF(COUNTIF(ORDERS!$C$2:$C$4995,$D3930)&gt;0,"Có","Không"))</f>
        <v/>
      </c>
      <c r="W3930" s="22">
        <f>IF(OR($D3930="",$R3930="Trùng"),"",COUNTIFS(ORDERS!$C$2:$C$4995,$D3930,ORDERS!$L$2:$L$4995,"Đã chuyển khoản"))</f>
        <v/>
      </c>
      <c r="X3930" s="23">
        <f>IF(OR($D3930="",$R3930="Trùng"),"",SUMIFS(ORDERS!$J$2:$J$4995,ORDERS!$C$2:$C$4995,$D3930,ORDERS!$L$2:$L$4995,"Đã chuyển khoản"))</f>
        <v/>
      </c>
      <c r="Y3930" s="24" t="n"/>
    </row>
    <row r="3931" ht="14.25" customHeight="1" s="40">
      <c r="A3931" s="24" t="n"/>
      <c r="B3931" s="27" t="n"/>
      <c r="C3931" s="24" t="n"/>
      <c r="D3931" s="28" t="n"/>
      <c r="E3931" s="29" t="n"/>
      <c r="F3931" s="24" t="n"/>
      <c r="G3931" s="24" t="n"/>
      <c r="H3931" s="21">
        <f>IF(ISNUMBER($B3931),INT($B3931)-WEEKDAY($B3931,2)+1,"")</f>
        <v/>
      </c>
      <c r="I3931" s="24" t="n"/>
      <c r="J3931" s="22">
        <f t="array" ref="J3931">IF($D3931="","",IF($I3931="","(trống REF)",IFERROR(INDEX(MASTER_SOURCE!$B$2:$B$495,MATCH($I3931,MASTER_SOURCE!$A$2:$A$495,0)),"(REF không có trong MASTER_SOURCE)")))</f>
        <v/>
      </c>
      <c r="K3931" s="22">
        <f t="array" ref="K3931">IF($D3931="","",IFERROR(INDEX(MASTER_SOURCE!$C$2:$C$495,MATCH($I3931,MASTER_SOURCE!$A$2:$A$495,0)),""))</f>
        <v/>
      </c>
      <c r="L3931" s="22">
        <f t="array" ref="L3931">IF($D3931="","",IFERROR(INDEX(MASTER_SOURCE!$D$2:$D$495,MATCH($I3931,MASTER_SOURCE!$A$2:$A$495,0)),""))</f>
        <v/>
      </c>
      <c r="M3931" s="24" t="n"/>
      <c r="N3931" s="24" t="n"/>
      <c r="O3931" s="24" t="n"/>
      <c r="P3931" s="24" t="n"/>
      <c r="Q3931" s="22">
        <f>IF($D3931="","",IF(AND(OR(DANH_MUC!$L$5&lt;&gt;"Có",M3931="Có"),OR(DANH_MUC!$L$6&lt;&gt;"Có",N3931="Có"),OR(DANH_MUC!$L$7&lt;&gt;"Có",O3931="Có"),OR(DANH_MUC!$L$8&lt;&gt;"Có",P3931="Có")),"Có","Không"))</f>
        <v/>
      </c>
      <c r="R3931" s="22">
        <f>IF($D3931="","",IF(COUNTIF($D$2:$D3931,$D3931)&gt;1,"Trùng",""))</f>
        <v/>
      </c>
      <c r="S3931" s="22">
        <f>IF($D3931="","",IF(AND(LEN($D3931)=10,LEFT($D3931,1)="0",ISNUMBER(--$D3931)),"Có","Không"))</f>
        <v/>
      </c>
      <c r="T3931" s="22">
        <f>IF($D3931="","",IF(AND($C3931&lt;&gt;"",$Q3931="Có",$R3931="",$S3931="Có",AND($L3931&lt;&gt;"",OR($L3931&lt;&gt;"Chưa xác định",DANH_MUC!$L$9="Có"))),"Có","Không"))</f>
        <v/>
      </c>
      <c r="U3931" s="22">
        <f>IF(OR($D3931="",$T3931="Có"),"",IF($C3931="","Thiếu họ tên; ","")&amp;IF($S3931&lt;&gt;"Có","SĐT sai định dạng; ","")&amp;IF($R3931="Trùng","Trùng SĐT; ","")&amp;IF($Q3931&lt;&gt;"Có","Thiếu đồng ý bắt buộc; ","")&amp;IF($L3931="","Thiếu/sai Mã REF; ",IF(AND($L3931="Chưa xác định",DANH_MUC!$L$9&lt;&gt;"Có"),"Nguồn chưa xác định; ","")))</f>
        <v/>
      </c>
      <c r="V3931" s="22">
        <f>IF(OR($D3931="",$R3931="Trùng"),"",IF(COUNTIF(ORDERS!$C$2:$C$4995,$D3931)&gt;0,"Có","Không"))</f>
        <v/>
      </c>
      <c r="W3931" s="22">
        <f>IF(OR($D3931="",$R3931="Trùng"),"",COUNTIFS(ORDERS!$C$2:$C$4995,$D3931,ORDERS!$L$2:$L$4995,"Đã chuyển khoản"))</f>
        <v/>
      </c>
      <c r="X3931" s="23">
        <f>IF(OR($D3931="",$R3931="Trùng"),"",SUMIFS(ORDERS!$J$2:$J$4995,ORDERS!$C$2:$C$4995,$D3931,ORDERS!$L$2:$L$4995,"Đã chuyển khoản"))</f>
        <v/>
      </c>
      <c r="Y3931" s="24" t="n"/>
    </row>
    <row r="3932" ht="14.25" customHeight="1" s="40">
      <c r="A3932" s="24" t="n"/>
      <c r="B3932" s="27" t="n"/>
      <c r="C3932" s="24" t="n"/>
      <c r="D3932" s="28" t="n"/>
      <c r="E3932" s="29" t="n"/>
      <c r="F3932" s="24" t="n"/>
      <c r="G3932" s="24" t="n"/>
      <c r="H3932" s="21">
        <f>IF(ISNUMBER($B3932),INT($B3932)-WEEKDAY($B3932,2)+1,"")</f>
        <v/>
      </c>
      <c r="I3932" s="24" t="n"/>
      <c r="J3932" s="22">
        <f t="array" ref="J3932">IF($D3932="","",IF($I3932="","(trống REF)",IFERROR(INDEX(MASTER_SOURCE!$B$2:$B$495,MATCH($I3932,MASTER_SOURCE!$A$2:$A$495,0)),"(REF không có trong MASTER_SOURCE)")))</f>
        <v/>
      </c>
      <c r="K3932" s="22">
        <f t="array" ref="K3932">IF($D3932="","",IFERROR(INDEX(MASTER_SOURCE!$C$2:$C$495,MATCH($I3932,MASTER_SOURCE!$A$2:$A$495,0)),""))</f>
        <v/>
      </c>
      <c r="L3932" s="22">
        <f t="array" ref="L3932">IF($D3932="","",IFERROR(INDEX(MASTER_SOURCE!$D$2:$D$495,MATCH($I3932,MASTER_SOURCE!$A$2:$A$495,0)),""))</f>
        <v/>
      </c>
      <c r="M3932" s="24" t="n"/>
      <c r="N3932" s="24" t="n"/>
      <c r="O3932" s="24" t="n"/>
      <c r="P3932" s="24" t="n"/>
      <c r="Q3932" s="22">
        <f>IF($D3932="","",IF(AND(OR(DANH_MUC!$L$5&lt;&gt;"Có",M3932="Có"),OR(DANH_MUC!$L$6&lt;&gt;"Có",N3932="Có"),OR(DANH_MUC!$L$7&lt;&gt;"Có",O3932="Có"),OR(DANH_MUC!$L$8&lt;&gt;"Có",P3932="Có")),"Có","Không"))</f>
        <v/>
      </c>
      <c r="R3932" s="22">
        <f>IF($D3932="","",IF(COUNTIF($D$2:$D3932,$D3932)&gt;1,"Trùng",""))</f>
        <v/>
      </c>
      <c r="S3932" s="22">
        <f>IF($D3932="","",IF(AND(LEN($D3932)=10,LEFT($D3932,1)="0",ISNUMBER(--$D3932)),"Có","Không"))</f>
        <v/>
      </c>
      <c r="T3932" s="22">
        <f>IF($D3932="","",IF(AND($C3932&lt;&gt;"",$Q3932="Có",$R3932="",$S3932="Có",AND($L3932&lt;&gt;"",OR($L3932&lt;&gt;"Chưa xác định",DANH_MUC!$L$9="Có"))),"Có","Không"))</f>
        <v/>
      </c>
      <c r="U3932" s="22">
        <f>IF(OR($D3932="",$T3932="Có"),"",IF($C3932="","Thiếu họ tên; ","")&amp;IF($S3932&lt;&gt;"Có","SĐT sai định dạng; ","")&amp;IF($R3932="Trùng","Trùng SĐT; ","")&amp;IF($Q3932&lt;&gt;"Có","Thiếu đồng ý bắt buộc; ","")&amp;IF($L3932="","Thiếu/sai Mã REF; ",IF(AND($L3932="Chưa xác định",DANH_MUC!$L$9&lt;&gt;"Có"),"Nguồn chưa xác định; ","")))</f>
        <v/>
      </c>
      <c r="V3932" s="22">
        <f>IF(OR($D3932="",$R3932="Trùng"),"",IF(COUNTIF(ORDERS!$C$2:$C$4995,$D3932)&gt;0,"Có","Không"))</f>
        <v/>
      </c>
      <c r="W3932" s="22">
        <f>IF(OR($D3932="",$R3932="Trùng"),"",COUNTIFS(ORDERS!$C$2:$C$4995,$D3932,ORDERS!$L$2:$L$4995,"Đã chuyển khoản"))</f>
        <v/>
      </c>
      <c r="X3932" s="23">
        <f>IF(OR($D3932="",$R3932="Trùng"),"",SUMIFS(ORDERS!$J$2:$J$4995,ORDERS!$C$2:$C$4995,$D3932,ORDERS!$L$2:$L$4995,"Đã chuyển khoản"))</f>
        <v/>
      </c>
      <c r="Y3932" s="24" t="n"/>
    </row>
    <row r="3933" ht="14.25" customHeight="1" s="40">
      <c r="A3933" s="24" t="n"/>
      <c r="B3933" s="27" t="n"/>
      <c r="C3933" s="24" t="n"/>
      <c r="D3933" s="28" t="n"/>
      <c r="E3933" s="29" t="n"/>
      <c r="F3933" s="24" t="n"/>
      <c r="G3933" s="24" t="n"/>
      <c r="H3933" s="21">
        <f>IF(ISNUMBER($B3933),INT($B3933)-WEEKDAY($B3933,2)+1,"")</f>
        <v/>
      </c>
      <c r="I3933" s="24" t="n"/>
      <c r="J3933" s="22">
        <f t="array" ref="J3933">IF($D3933="","",IF($I3933="","(trống REF)",IFERROR(INDEX(MASTER_SOURCE!$B$2:$B$495,MATCH($I3933,MASTER_SOURCE!$A$2:$A$495,0)),"(REF không có trong MASTER_SOURCE)")))</f>
        <v/>
      </c>
      <c r="K3933" s="22">
        <f t="array" ref="K3933">IF($D3933="","",IFERROR(INDEX(MASTER_SOURCE!$C$2:$C$495,MATCH($I3933,MASTER_SOURCE!$A$2:$A$495,0)),""))</f>
        <v/>
      </c>
      <c r="L3933" s="22">
        <f t="array" ref="L3933">IF($D3933="","",IFERROR(INDEX(MASTER_SOURCE!$D$2:$D$495,MATCH($I3933,MASTER_SOURCE!$A$2:$A$495,0)),""))</f>
        <v/>
      </c>
      <c r="M3933" s="24" t="n"/>
      <c r="N3933" s="24" t="n"/>
      <c r="O3933" s="24" t="n"/>
      <c r="P3933" s="24" t="n"/>
      <c r="Q3933" s="22">
        <f>IF($D3933="","",IF(AND(OR(DANH_MUC!$L$5&lt;&gt;"Có",M3933="Có"),OR(DANH_MUC!$L$6&lt;&gt;"Có",N3933="Có"),OR(DANH_MUC!$L$7&lt;&gt;"Có",O3933="Có"),OR(DANH_MUC!$L$8&lt;&gt;"Có",P3933="Có")),"Có","Không"))</f>
        <v/>
      </c>
      <c r="R3933" s="22">
        <f>IF($D3933="","",IF(COUNTIF($D$2:$D3933,$D3933)&gt;1,"Trùng",""))</f>
        <v/>
      </c>
      <c r="S3933" s="22">
        <f>IF($D3933="","",IF(AND(LEN($D3933)=10,LEFT($D3933,1)="0",ISNUMBER(--$D3933)),"Có","Không"))</f>
        <v/>
      </c>
      <c r="T3933" s="22">
        <f>IF($D3933="","",IF(AND($C3933&lt;&gt;"",$Q3933="Có",$R3933="",$S3933="Có",AND($L3933&lt;&gt;"",OR($L3933&lt;&gt;"Chưa xác định",DANH_MUC!$L$9="Có"))),"Có","Không"))</f>
        <v/>
      </c>
      <c r="U3933" s="22">
        <f>IF(OR($D3933="",$T3933="Có"),"",IF($C3933="","Thiếu họ tên; ","")&amp;IF($S3933&lt;&gt;"Có","SĐT sai định dạng; ","")&amp;IF($R3933="Trùng","Trùng SĐT; ","")&amp;IF($Q3933&lt;&gt;"Có","Thiếu đồng ý bắt buộc; ","")&amp;IF($L3933="","Thiếu/sai Mã REF; ",IF(AND($L3933="Chưa xác định",DANH_MUC!$L$9&lt;&gt;"Có"),"Nguồn chưa xác định; ","")))</f>
        <v/>
      </c>
      <c r="V3933" s="22">
        <f>IF(OR($D3933="",$R3933="Trùng"),"",IF(COUNTIF(ORDERS!$C$2:$C$4995,$D3933)&gt;0,"Có","Không"))</f>
        <v/>
      </c>
      <c r="W3933" s="22">
        <f>IF(OR($D3933="",$R3933="Trùng"),"",COUNTIFS(ORDERS!$C$2:$C$4995,$D3933,ORDERS!$L$2:$L$4995,"Đã chuyển khoản"))</f>
        <v/>
      </c>
      <c r="X3933" s="23">
        <f>IF(OR($D3933="",$R3933="Trùng"),"",SUMIFS(ORDERS!$J$2:$J$4995,ORDERS!$C$2:$C$4995,$D3933,ORDERS!$L$2:$L$4995,"Đã chuyển khoản"))</f>
        <v/>
      </c>
      <c r="Y3933" s="24" t="n"/>
    </row>
    <row r="3934" ht="14.25" customHeight="1" s="40">
      <c r="A3934" s="24" t="n"/>
      <c r="B3934" s="27" t="n"/>
      <c r="C3934" s="24" t="n"/>
      <c r="D3934" s="28" t="n"/>
      <c r="E3934" s="29" t="n"/>
      <c r="F3934" s="24" t="n"/>
      <c r="G3934" s="24" t="n"/>
      <c r="H3934" s="21">
        <f>IF(ISNUMBER($B3934),INT($B3934)-WEEKDAY($B3934,2)+1,"")</f>
        <v/>
      </c>
      <c r="I3934" s="24" t="n"/>
      <c r="J3934" s="22">
        <f t="array" ref="J3934">IF($D3934="","",IF($I3934="","(trống REF)",IFERROR(INDEX(MASTER_SOURCE!$B$2:$B$495,MATCH($I3934,MASTER_SOURCE!$A$2:$A$495,0)),"(REF không có trong MASTER_SOURCE)")))</f>
        <v/>
      </c>
      <c r="K3934" s="22">
        <f t="array" ref="K3934">IF($D3934="","",IFERROR(INDEX(MASTER_SOURCE!$C$2:$C$495,MATCH($I3934,MASTER_SOURCE!$A$2:$A$495,0)),""))</f>
        <v/>
      </c>
      <c r="L3934" s="22">
        <f t="array" ref="L3934">IF($D3934="","",IFERROR(INDEX(MASTER_SOURCE!$D$2:$D$495,MATCH($I3934,MASTER_SOURCE!$A$2:$A$495,0)),""))</f>
        <v/>
      </c>
      <c r="M3934" s="24" t="n"/>
      <c r="N3934" s="24" t="n"/>
      <c r="O3934" s="24" t="n"/>
      <c r="P3934" s="24" t="n"/>
      <c r="Q3934" s="22">
        <f>IF($D3934="","",IF(AND(OR(DANH_MUC!$L$5&lt;&gt;"Có",M3934="Có"),OR(DANH_MUC!$L$6&lt;&gt;"Có",N3934="Có"),OR(DANH_MUC!$L$7&lt;&gt;"Có",O3934="Có"),OR(DANH_MUC!$L$8&lt;&gt;"Có",P3934="Có")),"Có","Không"))</f>
        <v/>
      </c>
      <c r="R3934" s="22">
        <f>IF($D3934="","",IF(COUNTIF($D$2:$D3934,$D3934)&gt;1,"Trùng",""))</f>
        <v/>
      </c>
      <c r="S3934" s="22">
        <f>IF($D3934="","",IF(AND(LEN($D3934)=10,LEFT($D3934,1)="0",ISNUMBER(--$D3934)),"Có","Không"))</f>
        <v/>
      </c>
      <c r="T3934" s="22">
        <f>IF($D3934="","",IF(AND($C3934&lt;&gt;"",$Q3934="Có",$R3934="",$S3934="Có",AND($L3934&lt;&gt;"",OR($L3934&lt;&gt;"Chưa xác định",DANH_MUC!$L$9="Có"))),"Có","Không"))</f>
        <v/>
      </c>
      <c r="U3934" s="22">
        <f>IF(OR($D3934="",$T3934="Có"),"",IF($C3934="","Thiếu họ tên; ","")&amp;IF($S3934&lt;&gt;"Có","SĐT sai định dạng; ","")&amp;IF($R3934="Trùng","Trùng SĐT; ","")&amp;IF($Q3934&lt;&gt;"Có","Thiếu đồng ý bắt buộc; ","")&amp;IF($L3934="","Thiếu/sai Mã REF; ",IF(AND($L3934="Chưa xác định",DANH_MUC!$L$9&lt;&gt;"Có"),"Nguồn chưa xác định; ","")))</f>
        <v/>
      </c>
      <c r="V3934" s="22">
        <f>IF(OR($D3934="",$R3934="Trùng"),"",IF(COUNTIF(ORDERS!$C$2:$C$4995,$D3934)&gt;0,"Có","Không"))</f>
        <v/>
      </c>
      <c r="W3934" s="22">
        <f>IF(OR($D3934="",$R3934="Trùng"),"",COUNTIFS(ORDERS!$C$2:$C$4995,$D3934,ORDERS!$L$2:$L$4995,"Đã chuyển khoản"))</f>
        <v/>
      </c>
      <c r="X3934" s="23">
        <f>IF(OR($D3934="",$R3934="Trùng"),"",SUMIFS(ORDERS!$J$2:$J$4995,ORDERS!$C$2:$C$4995,$D3934,ORDERS!$L$2:$L$4995,"Đã chuyển khoản"))</f>
        <v/>
      </c>
      <c r="Y3934" s="24" t="n"/>
    </row>
    <row r="3935" ht="14.25" customHeight="1" s="40">
      <c r="A3935" s="24" t="n"/>
      <c r="B3935" s="27" t="n"/>
      <c r="C3935" s="24" t="n"/>
      <c r="D3935" s="28" t="n"/>
      <c r="E3935" s="29" t="n"/>
      <c r="F3935" s="24" t="n"/>
      <c r="G3935" s="24" t="n"/>
      <c r="H3935" s="21">
        <f>IF(ISNUMBER($B3935),INT($B3935)-WEEKDAY($B3935,2)+1,"")</f>
        <v/>
      </c>
      <c r="I3935" s="24" t="n"/>
      <c r="J3935" s="22">
        <f t="array" ref="J3935">IF($D3935="","",IF($I3935="","(trống REF)",IFERROR(INDEX(MASTER_SOURCE!$B$2:$B$495,MATCH($I3935,MASTER_SOURCE!$A$2:$A$495,0)),"(REF không có trong MASTER_SOURCE)")))</f>
        <v/>
      </c>
      <c r="K3935" s="22">
        <f t="array" ref="K3935">IF($D3935="","",IFERROR(INDEX(MASTER_SOURCE!$C$2:$C$495,MATCH($I3935,MASTER_SOURCE!$A$2:$A$495,0)),""))</f>
        <v/>
      </c>
      <c r="L3935" s="22">
        <f t="array" ref="L3935">IF($D3935="","",IFERROR(INDEX(MASTER_SOURCE!$D$2:$D$495,MATCH($I3935,MASTER_SOURCE!$A$2:$A$495,0)),""))</f>
        <v/>
      </c>
      <c r="M3935" s="24" t="n"/>
      <c r="N3935" s="24" t="n"/>
      <c r="O3935" s="24" t="n"/>
      <c r="P3935" s="24" t="n"/>
      <c r="Q3935" s="22">
        <f>IF($D3935="","",IF(AND(OR(DANH_MUC!$L$5&lt;&gt;"Có",M3935="Có"),OR(DANH_MUC!$L$6&lt;&gt;"Có",N3935="Có"),OR(DANH_MUC!$L$7&lt;&gt;"Có",O3935="Có"),OR(DANH_MUC!$L$8&lt;&gt;"Có",P3935="Có")),"Có","Không"))</f>
        <v/>
      </c>
      <c r="R3935" s="22">
        <f>IF($D3935="","",IF(COUNTIF($D$2:$D3935,$D3935)&gt;1,"Trùng",""))</f>
        <v/>
      </c>
      <c r="S3935" s="22">
        <f>IF($D3935="","",IF(AND(LEN($D3935)=10,LEFT($D3935,1)="0",ISNUMBER(--$D3935)),"Có","Không"))</f>
        <v/>
      </c>
      <c r="T3935" s="22">
        <f>IF($D3935="","",IF(AND($C3935&lt;&gt;"",$Q3935="Có",$R3935="",$S3935="Có",AND($L3935&lt;&gt;"",OR($L3935&lt;&gt;"Chưa xác định",DANH_MUC!$L$9="Có"))),"Có","Không"))</f>
        <v/>
      </c>
      <c r="U3935" s="22">
        <f>IF(OR($D3935="",$T3935="Có"),"",IF($C3935="","Thiếu họ tên; ","")&amp;IF($S3935&lt;&gt;"Có","SĐT sai định dạng; ","")&amp;IF($R3935="Trùng","Trùng SĐT; ","")&amp;IF($Q3935&lt;&gt;"Có","Thiếu đồng ý bắt buộc; ","")&amp;IF($L3935="","Thiếu/sai Mã REF; ",IF(AND($L3935="Chưa xác định",DANH_MUC!$L$9&lt;&gt;"Có"),"Nguồn chưa xác định; ","")))</f>
        <v/>
      </c>
      <c r="V3935" s="22">
        <f>IF(OR($D3935="",$R3935="Trùng"),"",IF(COUNTIF(ORDERS!$C$2:$C$4995,$D3935)&gt;0,"Có","Không"))</f>
        <v/>
      </c>
      <c r="W3935" s="22">
        <f>IF(OR($D3935="",$R3935="Trùng"),"",COUNTIFS(ORDERS!$C$2:$C$4995,$D3935,ORDERS!$L$2:$L$4995,"Đã chuyển khoản"))</f>
        <v/>
      </c>
      <c r="X3935" s="23">
        <f>IF(OR($D3935="",$R3935="Trùng"),"",SUMIFS(ORDERS!$J$2:$J$4995,ORDERS!$C$2:$C$4995,$D3935,ORDERS!$L$2:$L$4995,"Đã chuyển khoản"))</f>
        <v/>
      </c>
      <c r="Y3935" s="24" t="n"/>
    </row>
    <row r="3936" ht="14.25" customHeight="1" s="40">
      <c r="A3936" s="24" t="n"/>
      <c r="B3936" s="27" t="n"/>
      <c r="C3936" s="24" t="n"/>
      <c r="D3936" s="28" t="n"/>
      <c r="E3936" s="29" t="n"/>
      <c r="F3936" s="24" t="n"/>
      <c r="G3936" s="24" t="n"/>
      <c r="H3936" s="21">
        <f>IF(ISNUMBER($B3936),INT($B3936)-WEEKDAY($B3936,2)+1,"")</f>
        <v/>
      </c>
      <c r="I3936" s="24" t="n"/>
      <c r="J3936" s="22">
        <f t="array" ref="J3936">IF($D3936="","",IF($I3936="","(trống REF)",IFERROR(INDEX(MASTER_SOURCE!$B$2:$B$495,MATCH($I3936,MASTER_SOURCE!$A$2:$A$495,0)),"(REF không có trong MASTER_SOURCE)")))</f>
        <v/>
      </c>
      <c r="K3936" s="22">
        <f t="array" ref="K3936">IF($D3936="","",IFERROR(INDEX(MASTER_SOURCE!$C$2:$C$495,MATCH($I3936,MASTER_SOURCE!$A$2:$A$495,0)),""))</f>
        <v/>
      </c>
      <c r="L3936" s="22">
        <f t="array" ref="L3936">IF($D3936="","",IFERROR(INDEX(MASTER_SOURCE!$D$2:$D$495,MATCH($I3936,MASTER_SOURCE!$A$2:$A$495,0)),""))</f>
        <v/>
      </c>
      <c r="M3936" s="24" t="n"/>
      <c r="N3936" s="24" t="n"/>
      <c r="O3936" s="24" t="n"/>
      <c r="P3936" s="24" t="n"/>
      <c r="Q3936" s="22">
        <f>IF($D3936="","",IF(AND(OR(DANH_MUC!$L$5&lt;&gt;"Có",M3936="Có"),OR(DANH_MUC!$L$6&lt;&gt;"Có",N3936="Có"),OR(DANH_MUC!$L$7&lt;&gt;"Có",O3936="Có"),OR(DANH_MUC!$L$8&lt;&gt;"Có",P3936="Có")),"Có","Không"))</f>
        <v/>
      </c>
      <c r="R3936" s="22">
        <f>IF($D3936="","",IF(COUNTIF($D$2:$D3936,$D3936)&gt;1,"Trùng",""))</f>
        <v/>
      </c>
      <c r="S3936" s="22">
        <f>IF($D3936="","",IF(AND(LEN($D3936)=10,LEFT($D3936,1)="0",ISNUMBER(--$D3936)),"Có","Không"))</f>
        <v/>
      </c>
      <c r="T3936" s="22">
        <f>IF($D3936="","",IF(AND($C3936&lt;&gt;"",$Q3936="Có",$R3936="",$S3936="Có",AND($L3936&lt;&gt;"",OR($L3936&lt;&gt;"Chưa xác định",DANH_MUC!$L$9="Có"))),"Có","Không"))</f>
        <v/>
      </c>
      <c r="U3936" s="22">
        <f>IF(OR($D3936="",$T3936="Có"),"",IF($C3936="","Thiếu họ tên; ","")&amp;IF($S3936&lt;&gt;"Có","SĐT sai định dạng; ","")&amp;IF($R3936="Trùng","Trùng SĐT; ","")&amp;IF($Q3936&lt;&gt;"Có","Thiếu đồng ý bắt buộc; ","")&amp;IF($L3936="","Thiếu/sai Mã REF; ",IF(AND($L3936="Chưa xác định",DANH_MUC!$L$9&lt;&gt;"Có"),"Nguồn chưa xác định; ","")))</f>
        <v/>
      </c>
      <c r="V3936" s="22">
        <f>IF(OR($D3936="",$R3936="Trùng"),"",IF(COUNTIF(ORDERS!$C$2:$C$4995,$D3936)&gt;0,"Có","Không"))</f>
        <v/>
      </c>
      <c r="W3936" s="22">
        <f>IF(OR($D3936="",$R3936="Trùng"),"",COUNTIFS(ORDERS!$C$2:$C$4995,$D3936,ORDERS!$L$2:$L$4995,"Đã chuyển khoản"))</f>
        <v/>
      </c>
      <c r="X3936" s="23">
        <f>IF(OR($D3936="",$R3936="Trùng"),"",SUMIFS(ORDERS!$J$2:$J$4995,ORDERS!$C$2:$C$4995,$D3936,ORDERS!$L$2:$L$4995,"Đã chuyển khoản"))</f>
        <v/>
      </c>
      <c r="Y3936" s="24" t="n"/>
    </row>
    <row r="3937" ht="14.25" customHeight="1" s="40">
      <c r="A3937" s="24" t="n"/>
      <c r="B3937" s="27" t="n"/>
      <c r="C3937" s="24" t="n"/>
      <c r="D3937" s="28" t="n"/>
      <c r="E3937" s="29" t="n"/>
      <c r="F3937" s="24" t="n"/>
      <c r="G3937" s="24" t="n"/>
      <c r="H3937" s="21">
        <f>IF(ISNUMBER($B3937),INT($B3937)-WEEKDAY($B3937,2)+1,"")</f>
        <v/>
      </c>
      <c r="I3937" s="24" t="n"/>
      <c r="J3937" s="22">
        <f t="array" ref="J3937">IF($D3937="","",IF($I3937="","(trống REF)",IFERROR(INDEX(MASTER_SOURCE!$B$2:$B$495,MATCH($I3937,MASTER_SOURCE!$A$2:$A$495,0)),"(REF không có trong MASTER_SOURCE)")))</f>
        <v/>
      </c>
      <c r="K3937" s="22">
        <f t="array" ref="K3937">IF($D3937="","",IFERROR(INDEX(MASTER_SOURCE!$C$2:$C$495,MATCH($I3937,MASTER_SOURCE!$A$2:$A$495,0)),""))</f>
        <v/>
      </c>
      <c r="L3937" s="22">
        <f t="array" ref="L3937">IF($D3937="","",IFERROR(INDEX(MASTER_SOURCE!$D$2:$D$495,MATCH($I3937,MASTER_SOURCE!$A$2:$A$495,0)),""))</f>
        <v/>
      </c>
      <c r="M3937" s="24" t="n"/>
      <c r="N3937" s="24" t="n"/>
      <c r="O3937" s="24" t="n"/>
      <c r="P3937" s="24" t="n"/>
      <c r="Q3937" s="22">
        <f>IF($D3937="","",IF(AND(OR(DANH_MUC!$L$5&lt;&gt;"Có",M3937="Có"),OR(DANH_MUC!$L$6&lt;&gt;"Có",N3937="Có"),OR(DANH_MUC!$L$7&lt;&gt;"Có",O3937="Có"),OR(DANH_MUC!$L$8&lt;&gt;"Có",P3937="Có")),"Có","Không"))</f>
        <v/>
      </c>
      <c r="R3937" s="22">
        <f>IF($D3937="","",IF(COUNTIF($D$2:$D3937,$D3937)&gt;1,"Trùng",""))</f>
        <v/>
      </c>
      <c r="S3937" s="22">
        <f>IF($D3937="","",IF(AND(LEN($D3937)=10,LEFT($D3937,1)="0",ISNUMBER(--$D3937)),"Có","Không"))</f>
        <v/>
      </c>
      <c r="T3937" s="22">
        <f>IF($D3937="","",IF(AND($C3937&lt;&gt;"",$Q3937="Có",$R3937="",$S3937="Có",AND($L3937&lt;&gt;"",OR($L3937&lt;&gt;"Chưa xác định",DANH_MUC!$L$9="Có"))),"Có","Không"))</f>
        <v/>
      </c>
      <c r="U3937" s="22">
        <f>IF(OR($D3937="",$T3937="Có"),"",IF($C3937="","Thiếu họ tên; ","")&amp;IF($S3937&lt;&gt;"Có","SĐT sai định dạng; ","")&amp;IF($R3937="Trùng","Trùng SĐT; ","")&amp;IF($Q3937&lt;&gt;"Có","Thiếu đồng ý bắt buộc; ","")&amp;IF($L3937="","Thiếu/sai Mã REF; ",IF(AND($L3937="Chưa xác định",DANH_MUC!$L$9&lt;&gt;"Có"),"Nguồn chưa xác định; ","")))</f>
        <v/>
      </c>
      <c r="V3937" s="22">
        <f>IF(OR($D3937="",$R3937="Trùng"),"",IF(COUNTIF(ORDERS!$C$2:$C$4995,$D3937)&gt;0,"Có","Không"))</f>
        <v/>
      </c>
      <c r="W3937" s="22">
        <f>IF(OR($D3937="",$R3937="Trùng"),"",COUNTIFS(ORDERS!$C$2:$C$4995,$D3937,ORDERS!$L$2:$L$4995,"Đã chuyển khoản"))</f>
        <v/>
      </c>
      <c r="X3937" s="23">
        <f>IF(OR($D3937="",$R3937="Trùng"),"",SUMIFS(ORDERS!$J$2:$J$4995,ORDERS!$C$2:$C$4995,$D3937,ORDERS!$L$2:$L$4995,"Đã chuyển khoản"))</f>
        <v/>
      </c>
      <c r="Y3937" s="24" t="n"/>
    </row>
    <row r="3938" ht="14.25" customHeight="1" s="40">
      <c r="A3938" s="24" t="n"/>
      <c r="B3938" s="27" t="n"/>
      <c r="C3938" s="24" t="n"/>
      <c r="D3938" s="28" t="n"/>
      <c r="E3938" s="29" t="n"/>
      <c r="F3938" s="24" t="n"/>
      <c r="G3938" s="24" t="n"/>
      <c r="H3938" s="21">
        <f>IF(ISNUMBER($B3938),INT($B3938)-WEEKDAY($B3938,2)+1,"")</f>
        <v/>
      </c>
      <c r="I3938" s="24" t="n"/>
      <c r="J3938" s="22">
        <f t="array" ref="J3938">IF($D3938="","",IF($I3938="","(trống REF)",IFERROR(INDEX(MASTER_SOURCE!$B$2:$B$495,MATCH($I3938,MASTER_SOURCE!$A$2:$A$495,0)),"(REF không có trong MASTER_SOURCE)")))</f>
        <v/>
      </c>
      <c r="K3938" s="22">
        <f t="array" ref="K3938">IF($D3938="","",IFERROR(INDEX(MASTER_SOURCE!$C$2:$C$495,MATCH($I3938,MASTER_SOURCE!$A$2:$A$495,0)),""))</f>
        <v/>
      </c>
      <c r="L3938" s="22">
        <f t="array" ref="L3938">IF($D3938="","",IFERROR(INDEX(MASTER_SOURCE!$D$2:$D$495,MATCH($I3938,MASTER_SOURCE!$A$2:$A$495,0)),""))</f>
        <v/>
      </c>
      <c r="M3938" s="24" t="n"/>
      <c r="N3938" s="24" t="n"/>
      <c r="O3938" s="24" t="n"/>
      <c r="P3938" s="24" t="n"/>
      <c r="Q3938" s="22">
        <f>IF($D3938="","",IF(AND(OR(DANH_MUC!$L$5&lt;&gt;"Có",M3938="Có"),OR(DANH_MUC!$L$6&lt;&gt;"Có",N3938="Có"),OR(DANH_MUC!$L$7&lt;&gt;"Có",O3938="Có"),OR(DANH_MUC!$L$8&lt;&gt;"Có",P3938="Có")),"Có","Không"))</f>
        <v/>
      </c>
      <c r="R3938" s="22">
        <f>IF($D3938="","",IF(COUNTIF($D$2:$D3938,$D3938)&gt;1,"Trùng",""))</f>
        <v/>
      </c>
      <c r="S3938" s="22">
        <f>IF($D3938="","",IF(AND(LEN($D3938)=10,LEFT($D3938,1)="0",ISNUMBER(--$D3938)),"Có","Không"))</f>
        <v/>
      </c>
      <c r="T3938" s="22">
        <f>IF($D3938="","",IF(AND($C3938&lt;&gt;"",$Q3938="Có",$R3938="",$S3938="Có",AND($L3938&lt;&gt;"",OR($L3938&lt;&gt;"Chưa xác định",DANH_MUC!$L$9="Có"))),"Có","Không"))</f>
        <v/>
      </c>
      <c r="U3938" s="22">
        <f>IF(OR($D3938="",$T3938="Có"),"",IF($C3938="","Thiếu họ tên; ","")&amp;IF($S3938&lt;&gt;"Có","SĐT sai định dạng; ","")&amp;IF($R3938="Trùng","Trùng SĐT; ","")&amp;IF($Q3938&lt;&gt;"Có","Thiếu đồng ý bắt buộc; ","")&amp;IF($L3938="","Thiếu/sai Mã REF; ",IF(AND($L3938="Chưa xác định",DANH_MUC!$L$9&lt;&gt;"Có"),"Nguồn chưa xác định; ","")))</f>
        <v/>
      </c>
      <c r="V3938" s="22">
        <f>IF(OR($D3938="",$R3938="Trùng"),"",IF(COUNTIF(ORDERS!$C$2:$C$4995,$D3938)&gt;0,"Có","Không"))</f>
        <v/>
      </c>
      <c r="W3938" s="22">
        <f>IF(OR($D3938="",$R3938="Trùng"),"",COUNTIFS(ORDERS!$C$2:$C$4995,$D3938,ORDERS!$L$2:$L$4995,"Đã chuyển khoản"))</f>
        <v/>
      </c>
      <c r="X3938" s="23">
        <f>IF(OR($D3938="",$R3938="Trùng"),"",SUMIFS(ORDERS!$J$2:$J$4995,ORDERS!$C$2:$C$4995,$D3938,ORDERS!$L$2:$L$4995,"Đã chuyển khoản"))</f>
        <v/>
      </c>
      <c r="Y3938" s="24" t="n"/>
    </row>
    <row r="3939" ht="14.25" customHeight="1" s="40">
      <c r="A3939" s="24" t="n"/>
      <c r="B3939" s="27" t="n"/>
      <c r="C3939" s="24" t="n"/>
      <c r="D3939" s="28" t="n"/>
      <c r="E3939" s="29" t="n"/>
      <c r="F3939" s="24" t="n"/>
      <c r="G3939" s="24" t="n"/>
      <c r="H3939" s="21">
        <f>IF(ISNUMBER($B3939),INT($B3939)-WEEKDAY($B3939,2)+1,"")</f>
        <v/>
      </c>
      <c r="I3939" s="24" t="n"/>
      <c r="J3939" s="22">
        <f t="array" ref="J3939">IF($D3939="","",IF($I3939="","(trống REF)",IFERROR(INDEX(MASTER_SOURCE!$B$2:$B$495,MATCH($I3939,MASTER_SOURCE!$A$2:$A$495,0)),"(REF không có trong MASTER_SOURCE)")))</f>
        <v/>
      </c>
      <c r="K3939" s="22">
        <f t="array" ref="K3939">IF($D3939="","",IFERROR(INDEX(MASTER_SOURCE!$C$2:$C$495,MATCH($I3939,MASTER_SOURCE!$A$2:$A$495,0)),""))</f>
        <v/>
      </c>
      <c r="L3939" s="22">
        <f t="array" ref="L3939">IF($D3939="","",IFERROR(INDEX(MASTER_SOURCE!$D$2:$D$495,MATCH($I3939,MASTER_SOURCE!$A$2:$A$495,0)),""))</f>
        <v/>
      </c>
      <c r="M3939" s="24" t="n"/>
      <c r="N3939" s="24" t="n"/>
      <c r="O3939" s="24" t="n"/>
      <c r="P3939" s="24" t="n"/>
      <c r="Q3939" s="22">
        <f>IF($D3939="","",IF(AND(OR(DANH_MUC!$L$5&lt;&gt;"Có",M3939="Có"),OR(DANH_MUC!$L$6&lt;&gt;"Có",N3939="Có"),OR(DANH_MUC!$L$7&lt;&gt;"Có",O3939="Có"),OR(DANH_MUC!$L$8&lt;&gt;"Có",P3939="Có")),"Có","Không"))</f>
        <v/>
      </c>
      <c r="R3939" s="22">
        <f>IF($D3939="","",IF(COUNTIF($D$2:$D3939,$D3939)&gt;1,"Trùng",""))</f>
        <v/>
      </c>
      <c r="S3939" s="22">
        <f>IF($D3939="","",IF(AND(LEN($D3939)=10,LEFT($D3939,1)="0",ISNUMBER(--$D3939)),"Có","Không"))</f>
        <v/>
      </c>
      <c r="T3939" s="22">
        <f>IF($D3939="","",IF(AND($C3939&lt;&gt;"",$Q3939="Có",$R3939="",$S3939="Có",AND($L3939&lt;&gt;"",OR($L3939&lt;&gt;"Chưa xác định",DANH_MUC!$L$9="Có"))),"Có","Không"))</f>
        <v/>
      </c>
      <c r="U3939" s="22">
        <f>IF(OR($D3939="",$T3939="Có"),"",IF($C3939="","Thiếu họ tên; ","")&amp;IF($S3939&lt;&gt;"Có","SĐT sai định dạng; ","")&amp;IF($R3939="Trùng","Trùng SĐT; ","")&amp;IF($Q3939&lt;&gt;"Có","Thiếu đồng ý bắt buộc; ","")&amp;IF($L3939="","Thiếu/sai Mã REF; ",IF(AND($L3939="Chưa xác định",DANH_MUC!$L$9&lt;&gt;"Có"),"Nguồn chưa xác định; ","")))</f>
        <v/>
      </c>
      <c r="V3939" s="22">
        <f>IF(OR($D3939="",$R3939="Trùng"),"",IF(COUNTIF(ORDERS!$C$2:$C$4995,$D3939)&gt;0,"Có","Không"))</f>
        <v/>
      </c>
      <c r="W3939" s="22">
        <f>IF(OR($D3939="",$R3939="Trùng"),"",COUNTIFS(ORDERS!$C$2:$C$4995,$D3939,ORDERS!$L$2:$L$4995,"Đã chuyển khoản"))</f>
        <v/>
      </c>
      <c r="X3939" s="23">
        <f>IF(OR($D3939="",$R3939="Trùng"),"",SUMIFS(ORDERS!$J$2:$J$4995,ORDERS!$C$2:$C$4995,$D3939,ORDERS!$L$2:$L$4995,"Đã chuyển khoản"))</f>
        <v/>
      </c>
      <c r="Y3939" s="24" t="n"/>
    </row>
    <row r="3940" ht="14.25" customHeight="1" s="40">
      <c r="A3940" s="24" t="n"/>
      <c r="B3940" s="27" t="n"/>
      <c r="C3940" s="24" t="n"/>
      <c r="D3940" s="28" t="n"/>
      <c r="E3940" s="29" t="n"/>
      <c r="F3940" s="24" t="n"/>
      <c r="G3940" s="24" t="n"/>
      <c r="H3940" s="21">
        <f>IF(ISNUMBER($B3940),INT($B3940)-WEEKDAY($B3940,2)+1,"")</f>
        <v/>
      </c>
      <c r="I3940" s="24" t="n"/>
      <c r="J3940" s="22">
        <f t="array" ref="J3940">IF($D3940="","",IF($I3940="","(trống REF)",IFERROR(INDEX(MASTER_SOURCE!$B$2:$B$495,MATCH($I3940,MASTER_SOURCE!$A$2:$A$495,0)),"(REF không có trong MASTER_SOURCE)")))</f>
        <v/>
      </c>
      <c r="K3940" s="22">
        <f t="array" ref="K3940">IF($D3940="","",IFERROR(INDEX(MASTER_SOURCE!$C$2:$C$495,MATCH($I3940,MASTER_SOURCE!$A$2:$A$495,0)),""))</f>
        <v/>
      </c>
      <c r="L3940" s="22">
        <f t="array" ref="L3940">IF($D3940="","",IFERROR(INDEX(MASTER_SOURCE!$D$2:$D$495,MATCH($I3940,MASTER_SOURCE!$A$2:$A$495,0)),""))</f>
        <v/>
      </c>
      <c r="M3940" s="24" t="n"/>
      <c r="N3940" s="24" t="n"/>
      <c r="O3940" s="24" t="n"/>
      <c r="P3940" s="24" t="n"/>
      <c r="Q3940" s="22">
        <f>IF($D3940="","",IF(AND(OR(DANH_MUC!$L$5&lt;&gt;"Có",M3940="Có"),OR(DANH_MUC!$L$6&lt;&gt;"Có",N3940="Có"),OR(DANH_MUC!$L$7&lt;&gt;"Có",O3940="Có"),OR(DANH_MUC!$L$8&lt;&gt;"Có",P3940="Có")),"Có","Không"))</f>
        <v/>
      </c>
      <c r="R3940" s="22">
        <f>IF($D3940="","",IF(COUNTIF($D$2:$D3940,$D3940)&gt;1,"Trùng",""))</f>
        <v/>
      </c>
      <c r="S3940" s="22">
        <f>IF($D3940="","",IF(AND(LEN($D3940)=10,LEFT($D3940,1)="0",ISNUMBER(--$D3940)),"Có","Không"))</f>
        <v/>
      </c>
      <c r="T3940" s="22">
        <f>IF($D3940="","",IF(AND($C3940&lt;&gt;"",$Q3940="Có",$R3940="",$S3940="Có",AND($L3940&lt;&gt;"",OR($L3940&lt;&gt;"Chưa xác định",DANH_MUC!$L$9="Có"))),"Có","Không"))</f>
        <v/>
      </c>
      <c r="U3940" s="22">
        <f>IF(OR($D3940="",$T3940="Có"),"",IF($C3940="","Thiếu họ tên; ","")&amp;IF($S3940&lt;&gt;"Có","SĐT sai định dạng; ","")&amp;IF($R3940="Trùng","Trùng SĐT; ","")&amp;IF($Q3940&lt;&gt;"Có","Thiếu đồng ý bắt buộc; ","")&amp;IF($L3940="","Thiếu/sai Mã REF; ",IF(AND($L3940="Chưa xác định",DANH_MUC!$L$9&lt;&gt;"Có"),"Nguồn chưa xác định; ","")))</f>
        <v/>
      </c>
      <c r="V3940" s="22">
        <f>IF(OR($D3940="",$R3940="Trùng"),"",IF(COUNTIF(ORDERS!$C$2:$C$4995,$D3940)&gt;0,"Có","Không"))</f>
        <v/>
      </c>
      <c r="W3940" s="22">
        <f>IF(OR($D3940="",$R3940="Trùng"),"",COUNTIFS(ORDERS!$C$2:$C$4995,$D3940,ORDERS!$L$2:$L$4995,"Đã chuyển khoản"))</f>
        <v/>
      </c>
      <c r="X3940" s="23">
        <f>IF(OR($D3940="",$R3940="Trùng"),"",SUMIFS(ORDERS!$J$2:$J$4995,ORDERS!$C$2:$C$4995,$D3940,ORDERS!$L$2:$L$4995,"Đã chuyển khoản"))</f>
        <v/>
      </c>
      <c r="Y3940" s="24" t="n"/>
    </row>
    <row r="3941" ht="14.25" customHeight="1" s="40">
      <c r="A3941" s="24" t="n"/>
      <c r="B3941" s="27" t="n"/>
      <c r="C3941" s="24" t="n"/>
      <c r="D3941" s="28" t="n"/>
      <c r="E3941" s="29" t="n"/>
      <c r="F3941" s="24" t="n"/>
      <c r="G3941" s="24" t="n"/>
      <c r="H3941" s="21">
        <f>IF(ISNUMBER($B3941),INT($B3941)-WEEKDAY($B3941,2)+1,"")</f>
        <v/>
      </c>
      <c r="I3941" s="24" t="n"/>
      <c r="J3941" s="22">
        <f t="array" ref="J3941">IF($D3941="","",IF($I3941="","(trống REF)",IFERROR(INDEX(MASTER_SOURCE!$B$2:$B$495,MATCH($I3941,MASTER_SOURCE!$A$2:$A$495,0)),"(REF không có trong MASTER_SOURCE)")))</f>
        <v/>
      </c>
      <c r="K3941" s="22">
        <f t="array" ref="K3941">IF($D3941="","",IFERROR(INDEX(MASTER_SOURCE!$C$2:$C$495,MATCH($I3941,MASTER_SOURCE!$A$2:$A$495,0)),""))</f>
        <v/>
      </c>
      <c r="L3941" s="22">
        <f t="array" ref="L3941">IF($D3941="","",IFERROR(INDEX(MASTER_SOURCE!$D$2:$D$495,MATCH($I3941,MASTER_SOURCE!$A$2:$A$495,0)),""))</f>
        <v/>
      </c>
      <c r="M3941" s="24" t="n"/>
      <c r="N3941" s="24" t="n"/>
      <c r="O3941" s="24" t="n"/>
      <c r="P3941" s="24" t="n"/>
      <c r="Q3941" s="22">
        <f>IF($D3941="","",IF(AND(OR(DANH_MUC!$L$5&lt;&gt;"Có",M3941="Có"),OR(DANH_MUC!$L$6&lt;&gt;"Có",N3941="Có"),OR(DANH_MUC!$L$7&lt;&gt;"Có",O3941="Có"),OR(DANH_MUC!$L$8&lt;&gt;"Có",P3941="Có")),"Có","Không"))</f>
        <v/>
      </c>
      <c r="R3941" s="22">
        <f>IF($D3941="","",IF(COUNTIF($D$2:$D3941,$D3941)&gt;1,"Trùng",""))</f>
        <v/>
      </c>
      <c r="S3941" s="22">
        <f>IF($D3941="","",IF(AND(LEN($D3941)=10,LEFT($D3941,1)="0",ISNUMBER(--$D3941)),"Có","Không"))</f>
        <v/>
      </c>
      <c r="T3941" s="22">
        <f>IF($D3941="","",IF(AND($C3941&lt;&gt;"",$Q3941="Có",$R3941="",$S3941="Có",AND($L3941&lt;&gt;"",OR($L3941&lt;&gt;"Chưa xác định",DANH_MUC!$L$9="Có"))),"Có","Không"))</f>
        <v/>
      </c>
      <c r="U3941" s="22">
        <f>IF(OR($D3941="",$T3941="Có"),"",IF($C3941="","Thiếu họ tên; ","")&amp;IF($S3941&lt;&gt;"Có","SĐT sai định dạng; ","")&amp;IF($R3941="Trùng","Trùng SĐT; ","")&amp;IF($Q3941&lt;&gt;"Có","Thiếu đồng ý bắt buộc; ","")&amp;IF($L3941="","Thiếu/sai Mã REF; ",IF(AND($L3941="Chưa xác định",DANH_MUC!$L$9&lt;&gt;"Có"),"Nguồn chưa xác định; ","")))</f>
        <v/>
      </c>
      <c r="V3941" s="22">
        <f>IF(OR($D3941="",$R3941="Trùng"),"",IF(COUNTIF(ORDERS!$C$2:$C$4995,$D3941)&gt;0,"Có","Không"))</f>
        <v/>
      </c>
      <c r="W3941" s="22">
        <f>IF(OR($D3941="",$R3941="Trùng"),"",COUNTIFS(ORDERS!$C$2:$C$4995,$D3941,ORDERS!$L$2:$L$4995,"Đã chuyển khoản"))</f>
        <v/>
      </c>
      <c r="X3941" s="23">
        <f>IF(OR($D3941="",$R3941="Trùng"),"",SUMIFS(ORDERS!$J$2:$J$4995,ORDERS!$C$2:$C$4995,$D3941,ORDERS!$L$2:$L$4995,"Đã chuyển khoản"))</f>
        <v/>
      </c>
      <c r="Y3941" s="24" t="n"/>
    </row>
    <row r="3942" ht="14.25" customHeight="1" s="40">
      <c r="A3942" s="24" t="n"/>
      <c r="B3942" s="27" t="n"/>
      <c r="C3942" s="24" t="n"/>
      <c r="D3942" s="28" t="n"/>
      <c r="E3942" s="29" t="n"/>
      <c r="F3942" s="24" t="n"/>
      <c r="G3942" s="24" t="n"/>
      <c r="H3942" s="21">
        <f>IF(ISNUMBER($B3942),INT($B3942)-WEEKDAY($B3942,2)+1,"")</f>
        <v/>
      </c>
      <c r="I3942" s="24" t="n"/>
      <c r="J3942" s="22">
        <f t="array" ref="J3942">IF($D3942="","",IF($I3942="","(trống REF)",IFERROR(INDEX(MASTER_SOURCE!$B$2:$B$495,MATCH($I3942,MASTER_SOURCE!$A$2:$A$495,0)),"(REF không có trong MASTER_SOURCE)")))</f>
        <v/>
      </c>
      <c r="K3942" s="22">
        <f t="array" ref="K3942">IF($D3942="","",IFERROR(INDEX(MASTER_SOURCE!$C$2:$C$495,MATCH($I3942,MASTER_SOURCE!$A$2:$A$495,0)),""))</f>
        <v/>
      </c>
      <c r="L3942" s="22">
        <f t="array" ref="L3942">IF($D3942="","",IFERROR(INDEX(MASTER_SOURCE!$D$2:$D$495,MATCH($I3942,MASTER_SOURCE!$A$2:$A$495,0)),""))</f>
        <v/>
      </c>
      <c r="M3942" s="24" t="n"/>
      <c r="N3942" s="24" t="n"/>
      <c r="O3942" s="24" t="n"/>
      <c r="P3942" s="24" t="n"/>
      <c r="Q3942" s="22">
        <f>IF($D3942="","",IF(AND(OR(DANH_MUC!$L$5&lt;&gt;"Có",M3942="Có"),OR(DANH_MUC!$L$6&lt;&gt;"Có",N3942="Có"),OR(DANH_MUC!$L$7&lt;&gt;"Có",O3942="Có"),OR(DANH_MUC!$L$8&lt;&gt;"Có",P3942="Có")),"Có","Không"))</f>
        <v/>
      </c>
      <c r="R3942" s="22">
        <f>IF($D3942="","",IF(COUNTIF($D$2:$D3942,$D3942)&gt;1,"Trùng",""))</f>
        <v/>
      </c>
      <c r="S3942" s="22">
        <f>IF($D3942="","",IF(AND(LEN($D3942)=10,LEFT($D3942,1)="0",ISNUMBER(--$D3942)),"Có","Không"))</f>
        <v/>
      </c>
      <c r="T3942" s="22">
        <f>IF($D3942="","",IF(AND($C3942&lt;&gt;"",$Q3942="Có",$R3942="",$S3942="Có",AND($L3942&lt;&gt;"",OR($L3942&lt;&gt;"Chưa xác định",DANH_MUC!$L$9="Có"))),"Có","Không"))</f>
        <v/>
      </c>
      <c r="U3942" s="22">
        <f>IF(OR($D3942="",$T3942="Có"),"",IF($C3942="","Thiếu họ tên; ","")&amp;IF($S3942&lt;&gt;"Có","SĐT sai định dạng; ","")&amp;IF($R3942="Trùng","Trùng SĐT; ","")&amp;IF($Q3942&lt;&gt;"Có","Thiếu đồng ý bắt buộc; ","")&amp;IF($L3942="","Thiếu/sai Mã REF; ",IF(AND($L3942="Chưa xác định",DANH_MUC!$L$9&lt;&gt;"Có"),"Nguồn chưa xác định; ","")))</f>
        <v/>
      </c>
      <c r="V3942" s="22">
        <f>IF(OR($D3942="",$R3942="Trùng"),"",IF(COUNTIF(ORDERS!$C$2:$C$4995,$D3942)&gt;0,"Có","Không"))</f>
        <v/>
      </c>
      <c r="W3942" s="22">
        <f>IF(OR($D3942="",$R3942="Trùng"),"",COUNTIFS(ORDERS!$C$2:$C$4995,$D3942,ORDERS!$L$2:$L$4995,"Đã chuyển khoản"))</f>
        <v/>
      </c>
      <c r="X3942" s="23">
        <f>IF(OR($D3942="",$R3942="Trùng"),"",SUMIFS(ORDERS!$J$2:$J$4995,ORDERS!$C$2:$C$4995,$D3942,ORDERS!$L$2:$L$4995,"Đã chuyển khoản"))</f>
        <v/>
      </c>
      <c r="Y3942" s="24" t="n"/>
    </row>
    <row r="3943" ht="14.25" customHeight="1" s="40">
      <c r="A3943" s="24" t="n"/>
      <c r="B3943" s="27" t="n"/>
      <c r="C3943" s="24" t="n"/>
      <c r="D3943" s="28" t="n"/>
      <c r="E3943" s="29" t="n"/>
      <c r="F3943" s="24" t="n"/>
      <c r="G3943" s="24" t="n"/>
      <c r="H3943" s="21">
        <f>IF(ISNUMBER($B3943),INT($B3943)-WEEKDAY($B3943,2)+1,"")</f>
        <v/>
      </c>
      <c r="I3943" s="24" t="n"/>
      <c r="J3943" s="22">
        <f t="array" ref="J3943">IF($D3943="","",IF($I3943="","(trống REF)",IFERROR(INDEX(MASTER_SOURCE!$B$2:$B$495,MATCH($I3943,MASTER_SOURCE!$A$2:$A$495,0)),"(REF không có trong MASTER_SOURCE)")))</f>
        <v/>
      </c>
      <c r="K3943" s="22">
        <f t="array" ref="K3943">IF($D3943="","",IFERROR(INDEX(MASTER_SOURCE!$C$2:$C$495,MATCH($I3943,MASTER_SOURCE!$A$2:$A$495,0)),""))</f>
        <v/>
      </c>
      <c r="L3943" s="22">
        <f t="array" ref="L3943">IF($D3943="","",IFERROR(INDEX(MASTER_SOURCE!$D$2:$D$495,MATCH($I3943,MASTER_SOURCE!$A$2:$A$495,0)),""))</f>
        <v/>
      </c>
      <c r="M3943" s="24" t="n"/>
      <c r="N3943" s="24" t="n"/>
      <c r="O3943" s="24" t="n"/>
      <c r="P3943" s="24" t="n"/>
      <c r="Q3943" s="22">
        <f>IF($D3943="","",IF(AND(OR(DANH_MUC!$L$5&lt;&gt;"Có",M3943="Có"),OR(DANH_MUC!$L$6&lt;&gt;"Có",N3943="Có"),OR(DANH_MUC!$L$7&lt;&gt;"Có",O3943="Có"),OR(DANH_MUC!$L$8&lt;&gt;"Có",P3943="Có")),"Có","Không"))</f>
        <v/>
      </c>
      <c r="R3943" s="22">
        <f>IF($D3943="","",IF(COUNTIF($D$2:$D3943,$D3943)&gt;1,"Trùng",""))</f>
        <v/>
      </c>
      <c r="S3943" s="22">
        <f>IF($D3943="","",IF(AND(LEN($D3943)=10,LEFT($D3943,1)="0",ISNUMBER(--$D3943)),"Có","Không"))</f>
        <v/>
      </c>
      <c r="T3943" s="22">
        <f>IF($D3943="","",IF(AND($C3943&lt;&gt;"",$Q3943="Có",$R3943="",$S3943="Có",AND($L3943&lt;&gt;"",OR($L3943&lt;&gt;"Chưa xác định",DANH_MUC!$L$9="Có"))),"Có","Không"))</f>
        <v/>
      </c>
      <c r="U3943" s="22">
        <f>IF(OR($D3943="",$T3943="Có"),"",IF($C3943="","Thiếu họ tên; ","")&amp;IF($S3943&lt;&gt;"Có","SĐT sai định dạng; ","")&amp;IF($R3943="Trùng","Trùng SĐT; ","")&amp;IF($Q3943&lt;&gt;"Có","Thiếu đồng ý bắt buộc; ","")&amp;IF($L3943="","Thiếu/sai Mã REF; ",IF(AND($L3943="Chưa xác định",DANH_MUC!$L$9&lt;&gt;"Có"),"Nguồn chưa xác định; ","")))</f>
        <v/>
      </c>
      <c r="V3943" s="22">
        <f>IF(OR($D3943="",$R3943="Trùng"),"",IF(COUNTIF(ORDERS!$C$2:$C$4995,$D3943)&gt;0,"Có","Không"))</f>
        <v/>
      </c>
      <c r="W3943" s="22">
        <f>IF(OR($D3943="",$R3943="Trùng"),"",COUNTIFS(ORDERS!$C$2:$C$4995,$D3943,ORDERS!$L$2:$L$4995,"Đã chuyển khoản"))</f>
        <v/>
      </c>
      <c r="X3943" s="23">
        <f>IF(OR($D3943="",$R3943="Trùng"),"",SUMIFS(ORDERS!$J$2:$J$4995,ORDERS!$C$2:$C$4995,$D3943,ORDERS!$L$2:$L$4995,"Đã chuyển khoản"))</f>
        <v/>
      </c>
      <c r="Y3943" s="24" t="n"/>
    </row>
    <row r="3944" ht="14.25" customHeight="1" s="40">
      <c r="A3944" s="24" t="n"/>
      <c r="B3944" s="27" t="n"/>
      <c r="C3944" s="24" t="n"/>
      <c r="D3944" s="28" t="n"/>
      <c r="E3944" s="29" t="n"/>
      <c r="F3944" s="24" t="n"/>
      <c r="G3944" s="24" t="n"/>
      <c r="H3944" s="21">
        <f>IF(ISNUMBER($B3944),INT($B3944)-WEEKDAY($B3944,2)+1,"")</f>
        <v/>
      </c>
      <c r="I3944" s="24" t="n"/>
      <c r="J3944" s="22">
        <f t="array" ref="J3944">IF($D3944="","",IF($I3944="","(trống REF)",IFERROR(INDEX(MASTER_SOURCE!$B$2:$B$495,MATCH($I3944,MASTER_SOURCE!$A$2:$A$495,0)),"(REF không có trong MASTER_SOURCE)")))</f>
        <v/>
      </c>
      <c r="K3944" s="22">
        <f t="array" ref="K3944">IF($D3944="","",IFERROR(INDEX(MASTER_SOURCE!$C$2:$C$495,MATCH($I3944,MASTER_SOURCE!$A$2:$A$495,0)),""))</f>
        <v/>
      </c>
      <c r="L3944" s="22">
        <f t="array" ref="L3944">IF($D3944="","",IFERROR(INDEX(MASTER_SOURCE!$D$2:$D$495,MATCH($I3944,MASTER_SOURCE!$A$2:$A$495,0)),""))</f>
        <v/>
      </c>
      <c r="M3944" s="24" t="n"/>
      <c r="N3944" s="24" t="n"/>
      <c r="O3944" s="24" t="n"/>
      <c r="P3944" s="24" t="n"/>
      <c r="Q3944" s="22">
        <f>IF($D3944="","",IF(AND(OR(DANH_MUC!$L$5&lt;&gt;"Có",M3944="Có"),OR(DANH_MUC!$L$6&lt;&gt;"Có",N3944="Có"),OR(DANH_MUC!$L$7&lt;&gt;"Có",O3944="Có"),OR(DANH_MUC!$L$8&lt;&gt;"Có",P3944="Có")),"Có","Không"))</f>
        <v/>
      </c>
      <c r="R3944" s="22">
        <f>IF($D3944="","",IF(COUNTIF($D$2:$D3944,$D3944)&gt;1,"Trùng",""))</f>
        <v/>
      </c>
      <c r="S3944" s="22">
        <f>IF($D3944="","",IF(AND(LEN($D3944)=10,LEFT($D3944,1)="0",ISNUMBER(--$D3944)),"Có","Không"))</f>
        <v/>
      </c>
      <c r="T3944" s="22">
        <f>IF($D3944="","",IF(AND($C3944&lt;&gt;"",$Q3944="Có",$R3944="",$S3944="Có",AND($L3944&lt;&gt;"",OR($L3944&lt;&gt;"Chưa xác định",DANH_MUC!$L$9="Có"))),"Có","Không"))</f>
        <v/>
      </c>
      <c r="U3944" s="22">
        <f>IF(OR($D3944="",$T3944="Có"),"",IF($C3944="","Thiếu họ tên; ","")&amp;IF($S3944&lt;&gt;"Có","SĐT sai định dạng; ","")&amp;IF($R3944="Trùng","Trùng SĐT; ","")&amp;IF($Q3944&lt;&gt;"Có","Thiếu đồng ý bắt buộc; ","")&amp;IF($L3944="","Thiếu/sai Mã REF; ",IF(AND($L3944="Chưa xác định",DANH_MUC!$L$9&lt;&gt;"Có"),"Nguồn chưa xác định; ","")))</f>
        <v/>
      </c>
      <c r="V3944" s="22">
        <f>IF(OR($D3944="",$R3944="Trùng"),"",IF(COUNTIF(ORDERS!$C$2:$C$4995,$D3944)&gt;0,"Có","Không"))</f>
        <v/>
      </c>
      <c r="W3944" s="22">
        <f>IF(OR($D3944="",$R3944="Trùng"),"",COUNTIFS(ORDERS!$C$2:$C$4995,$D3944,ORDERS!$L$2:$L$4995,"Đã chuyển khoản"))</f>
        <v/>
      </c>
      <c r="X3944" s="23">
        <f>IF(OR($D3944="",$R3944="Trùng"),"",SUMIFS(ORDERS!$J$2:$J$4995,ORDERS!$C$2:$C$4995,$D3944,ORDERS!$L$2:$L$4995,"Đã chuyển khoản"))</f>
        <v/>
      </c>
      <c r="Y3944" s="24" t="n"/>
    </row>
    <row r="3945" ht="14.25" customHeight="1" s="40">
      <c r="A3945" s="24" t="n"/>
      <c r="B3945" s="27" t="n"/>
      <c r="C3945" s="24" t="n"/>
      <c r="D3945" s="28" t="n"/>
      <c r="E3945" s="29" t="n"/>
      <c r="F3945" s="24" t="n"/>
      <c r="G3945" s="24" t="n"/>
      <c r="H3945" s="21">
        <f>IF(ISNUMBER($B3945),INT($B3945)-WEEKDAY($B3945,2)+1,"")</f>
        <v/>
      </c>
      <c r="I3945" s="24" t="n"/>
      <c r="J3945" s="22">
        <f t="array" ref="J3945">IF($D3945="","",IF($I3945="","(trống REF)",IFERROR(INDEX(MASTER_SOURCE!$B$2:$B$495,MATCH($I3945,MASTER_SOURCE!$A$2:$A$495,0)),"(REF không có trong MASTER_SOURCE)")))</f>
        <v/>
      </c>
      <c r="K3945" s="22">
        <f t="array" ref="K3945">IF($D3945="","",IFERROR(INDEX(MASTER_SOURCE!$C$2:$C$495,MATCH($I3945,MASTER_SOURCE!$A$2:$A$495,0)),""))</f>
        <v/>
      </c>
      <c r="L3945" s="22">
        <f t="array" ref="L3945">IF($D3945="","",IFERROR(INDEX(MASTER_SOURCE!$D$2:$D$495,MATCH($I3945,MASTER_SOURCE!$A$2:$A$495,0)),""))</f>
        <v/>
      </c>
      <c r="M3945" s="24" t="n"/>
      <c r="N3945" s="24" t="n"/>
      <c r="O3945" s="24" t="n"/>
      <c r="P3945" s="24" t="n"/>
      <c r="Q3945" s="22">
        <f>IF($D3945="","",IF(AND(OR(DANH_MUC!$L$5&lt;&gt;"Có",M3945="Có"),OR(DANH_MUC!$L$6&lt;&gt;"Có",N3945="Có"),OR(DANH_MUC!$L$7&lt;&gt;"Có",O3945="Có"),OR(DANH_MUC!$L$8&lt;&gt;"Có",P3945="Có")),"Có","Không"))</f>
        <v/>
      </c>
      <c r="R3945" s="22">
        <f>IF($D3945="","",IF(COUNTIF($D$2:$D3945,$D3945)&gt;1,"Trùng",""))</f>
        <v/>
      </c>
      <c r="S3945" s="22">
        <f>IF($D3945="","",IF(AND(LEN($D3945)=10,LEFT($D3945,1)="0",ISNUMBER(--$D3945)),"Có","Không"))</f>
        <v/>
      </c>
      <c r="T3945" s="22">
        <f>IF($D3945="","",IF(AND($C3945&lt;&gt;"",$Q3945="Có",$R3945="",$S3945="Có",AND($L3945&lt;&gt;"",OR($L3945&lt;&gt;"Chưa xác định",DANH_MUC!$L$9="Có"))),"Có","Không"))</f>
        <v/>
      </c>
      <c r="U3945" s="22">
        <f>IF(OR($D3945="",$T3945="Có"),"",IF($C3945="","Thiếu họ tên; ","")&amp;IF($S3945&lt;&gt;"Có","SĐT sai định dạng; ","")&amp;IF($R3945="Trùng","Trùng SĐT; ","")&amp;IF($Q3945&lt;&gt;"Có","Thiếu đồng ý bắt buộc; ","")&amp;IF($L3945="","Thiếu/sai Mã REF; ",IF(AND($L3945="Chưa xác định",DANH_MUC!$L$9&lt;&gt;"Có"),"Nguồn chưa xác định; ","")))</f>
        <v/>
      </c>
      <c r="V3945" s="22">
        <f>IF(OR($D3945="",$R3945="Trùng"),"",IF(COUNTIF(ORDERS!$C$2:$C$4995,$D3945)&gt;0,"Có","Không"))</f>
        <v/>
      </c>
      <c r="W3945" s="22">
        <f>IF(OR($D3945="",$R3945="Trùng"),"",COUNTIFS(ORDERS!$C$2:$C$4995,$D3945,ORDERS!$L$2:$L$4995,"Đã chuyển khoản"))</f>
        <v/>
      </c>
      <c r="X3945" s="23">
        <f>IF(OR($D3945="",$R3945="Trùng"),"",SUMIFS(ORDERS!$J$2:$J$4995,ORDERS!$C$2:$C$4995,$D3945,ORDERS!$L$2:$L$4995,"Đã chuyển khoản"))</f>
        <v/>
      </c>
      <c r="Y3945" s="24" t="n"/>
    </row>
    <row r="3946" ht="14.25" customHeight="1" s="40">
      <c r="A3946" s="24" t="n"/>
      <c r="B3946" s="27" t="n"/>
      <c r="C3946" s="24" t="n"/>
      <c r="D3946" s="28" t="n"/>
      <c r="E3946" s="29" t="n"/>
      <c r="F3946" s="24" t="n"/>
      <c r="G3946" s="24" t="n"/>
      <c r="H3946" s="21">
        <f>IF(ISNUMBER($B3946),INT($B3946)-WEEKDAY($B3946,2)+1,"")</f>
        <v/>
      </c>
      <c r="I3946" s="24" t="n"/>
      <c r="J3946" s="22">
        <f t="array" ref="J3946">IF($D3946="","",IF($I3946="","(trống REF)",IFERROR(INDEX(MASTER_SOURCE!$B$2:$B$495,MATCH($I3946,MASTER_SOURCE!$A$2:$A$495,0)),"(REF không có trong MASTER_SOURCE)")))</f>
        <v/>
      </c>
      <c r="K3946" s="22">
        <f t="array" ref="K3946">IF($D3946="","",IFERROR(INDEX(MASTER_SOURCE!$C$2:$C$495,MATCH($I3946,MASTER_SOURCE!$A$2:$A$495,0)),""))</f>
        <v/>
      </c>
      <c r="L3946" s="22">
        <f t="array" ref="L3946">IF($D3946="","",IFERROR(INDEX(MASTER_SOURCE!$D$2:$D$495,MATCH($I3946,MASTER_SOURCE!$A$2:$A$495,0)),""))</f>
        <v/>
      </c>
      <c r="M3946" s="24" t="n"/>
      <c r="N3946" s="24" t="n"/>
      <c r="O3946" s="24" t="n"/>
      <c r="P3946" s="24" t="n"/>
      <c r="Q3946" s="22">
        <f>IF($D3946="","",IF(AND(OR(DANH_MUC!$L$5&lt;&gt;"Có",M3946="Có"),OR(DANH_MUC!$L$6&lt;&gt;"Có",N3946="Có"),OR(DANH_MUC!$L$7&lt;&gt;"Có",O3946="Có"),OR(DANH_MUC!$L$8&lt;&gt;"Có",P3946="Có")),"Có","Không"))</f>
        <v/>
      </c>
      <c r="R3946" s="22">
        <f>IF($D3946="","",IF(COUNTIF($D$2:$D3946,$D3946)&gt;1,"Trùng",""))</f>
        <v/>
      </c>
      <c r="S3946" s="22">
        <f>IF($D3946="","",IF(AND(LEN($D3946)=10,LEFT($D3946,1)="0",ISNUMBER(--$D3946)),"Có","Không"))</f>
        <v/>
      </c>
      <c r="T3946" s="22">
        <f>IF($D3946="","",IF(AND($C3946&lt;&gt;"",$Q3946="Có",$R3946="",$S3946="Có",AND($L3946&lt;&gt;"",OR($L3946&lt;&gt;"Chưa xác định",DANH_MUC!$L$9="Có"))),"Có","Không"))</f>
        <v/>
      </c>
      <c r="U3946" s="22">
        <f>IF(OR($D3946="",$T3946="Có"),"",IF($C3946="","Thiếu họ tên; ","")&amp;IF($S3946&lt;&gt;"Có","SĐT sai định dạng; ","")&amp;IF($R3946="Trùng","Trùng SĐT; ","")&amp;IF($Q3946&lt;&gt;"Có","Thiếu đồng ý bắt buộc; ","")&amp;IF($L3946="","Thiếu/sai Mã REF; ",IF(AND($L3946="Chưa xác định",DANH_MUC!$L$9&lt;&gt;"Có"),"Nguồn chưa xác định; ","")))</f>
        <v/>
      </c>
      <c r="V3946" s="22">
        <f>IF(OR($D3946="",$R3946="Trùng"),"",IF(COUNTIF(ORDERS!$C$2:$C$4995,$D3946)&gt;0,"Có","Không"))</f>
        <v/>
      </c>
      <c r="W3946" s="22">
        <f>IF(OR($D3946="",$R3946="Trùng"),"",COUNTIFS(ORDERS!$C$2:$C$4995,$D3946,ORDERS!$L$2:$L$4995,"Đã chuyển khoản"))</f>
        <v/>
      </c>
      <c r="X3946" s="23">
        <f>IF(OR($D3946="",$R3946="Trùng"),"",SUMIFS(ORDERS!$J$2:$J$4995,ORDERS!$C$2:$C$4995,$D3946,ORDERS!$L$2:$L$4995,"Đã chuyển khoản"))</f>
        <v/>
      </c>
      <c r="Y3946" s="24" t="n"/>
    </row>
    <row r="3947" ht="14.25" customHeight="1" s="40">
      <c r="A3947" s="24" t="n"/>
      <c r="B3947" s="27" t="n"/>
      <c r="C3947" s="24" t="n"/>
      <c r="D3947" s="28" t="n"/>
      <c r="E3947" s="29" t="n"/>
      <c r="F3947" s="24" t="n"/>
      <c r="G3947" s="24" t="n"/>
      <c r="H3947" s="21">
        <f>IF(ISNUMBER($B3947),INT($B3947)-WEEKDAY($B3947,2)+1,"")</f>
        <v/>
      </c>
      <c r="I3947" s="24" t="n"/>
      <c r="J3947" s="22">
        <f t="array" ref="J3947">IF($D3947="","",IF($I3947="","(trống REF)",IFERROR(INDEX(MASTER_SOURCE!$B$2:$B$495,MATCH($I3947,MASTER_SOURCE!$A$2:$A$495,0)),"(REF không có trong MASTER_SOURCE)")))</f>
        <v/>
      </c>
      <c r="K3947" s="22">
        <f t="array" ref="K3947">IF($D3947="","",IFERROR(INDEX(MASTER_SOURCE!$C$2:$C$495,MATCH($I3947,MASTER_SOURCE!$A$2:$A$495,0)),""))</f>
        <v/>
      </c>
      <c r="L3947" s="22">
        <f t="array" ref="L3947">IF($D3947="","",IFERROR(INDEX(MASTER_SOURCE!$D$2:$D$495,MATCH($I3947,MASTER_SOURCE!$A$2:$A$495,0)),""))</f>
        <v/>
      </c>
      <c r="M3947" s="24" t="n"/>
      <c r="N3947" s="24" t="n"/>
      <c r="O3947" s="24" t="n"/>
      <c r="P3947" s="24" t="n"/>
      <c r="Q3947" s="22">
        <f>IF($D3947="","",IF(AND(OR(DANH_MUC!$L$5&lt;&gt;"Có",M3947="Có"),OR(DANH_MUC!$L$6&lt;&gt;"Có",N3947="Có"),OR(DANH_MUC!$L$7&lt;&gt;"Có",O3947="Có"),OR(DANH_MUC!$L$8&lt;&gt;"Có",P3947="Có")),"Có","Không"))</f>
        <v/>
      </c>
      <c r="R3947" s="22">
        <f>IF($D3947="","",IF(COUNTIF($D$2:$D3947,$D3947)&gt;1,"Trùng",""))</f>
        <v/>
      </c>
      <c r="S3947" s="22">
        <f>IF($D3947="","",IF(AND(LEN($D3947)=10,LEFT($D3947,1)="0",ISNUMBER(--$D3947)),"Có","Không"))</f>
        <v/>
      </c>
      <c r="T3947" s="22">
        <f>IF($D3947="","",IF(AND($C3947&lt;&gt;"",$Q3947="Có",$R3947="",$S3947="Có",AND($L3947&lt;&gt;"",OR($L3947&lt;&gt;"Chưa xác định",DANH_MUC!$L$9="Có"))),"Có","Không"))</f>
        <v/>
      </c>
      <c r="U3947" s="22">
        <f>IF(OR($D3947="",$T3947="Có"),"",IF($C3947="","Thiếu họ tên; ","")&amp;IF($S3947&lt;&gt;"Có","SĐT sai định dạng; ","")&amp;IF($R3947="Trùng","Trùng SĐT; ","")&amp;IF($Q3947&lt;&gt;"Có","Thiếu đồng ý bắt buộc; ","")&amp;IF($L3947="","Thiếu/sai Mã REF; ",IF(AND($L3947="Chưa xác định",DANH_MUC!$L$9&lt;&gt;"Có"),"Nguồn chưa xác định; ","")))</f>
        <v/>
      </c>
      <c r="V3947" s="22">
        <f>IF(OR($D3947="",$R3947="Trùng"),"",IF(COUNTIF(ORDERS!$C$2:$C$4995,$D3947)&gt;0,"Có","Không"))</f>
        <v/>
      </c>
      <c r="W3947" s="22">
        <f>IF(OR($D3947="",$R3947="Trùng"),"",COUNTIFS(ORDERS!$C$2:$C$4995,$D3947,ORDERS!$L$2:$L$4995,"Đã chuyển khoản"))</f>
        <v/>
      </c>
      <c r="X3947" s="23">
        <f>IF(OR($D3947="",$R3947="Trùng"),"",SUMIFS(ORDERS!$J$2:$J$4995,ORDERS!$C$2:$C$4995,$D3947,ORDERS!$L$2:$L$4995,"Đã chuyển khoản"))</f>
        <v/>
      </c>
      <c r="Y3947" s="24" t="n"/>
    </row>
    <row r="3948" ht="14.25" customHeight="1" s="40">
      <c r="A3948" s="24" t="n"/>
      <c r="B3948" s="27" t="n"/>
      <c r="C3948" s="24" t="n"/>
      <c r="D3948" s="28" t="n"/>
      <c r="E3948" s="29" t="n"/>
      <c r="F3948" s="24" t="n"/>
      <c r="G3948" s="24" t="n"/>
      <c r="H3948" s="21">
        <f>IF(ISNUMBER($B3948),INT($B3948)-WEEKDAY($B3948,2)+1,"")</f>
        <v/>
      </c>
      <c r="I3948" s="24" t="n"/>
      <c r="J3948" s="22">
        <f t="array" ref="J3948">IF($D3948="","",IF($I3948="","(trống REF)",IFERROR(INDEX(MASTER_SOURCE!$B$2:$B$495,MATCH($I3948,MASTER_SOURCE!$A$2:$A$495,0)),"(REF không có trong MASTER_SOURCE)")))</f>
        <v/>
      </c>
      <c r="K3948" s="22">
        <f t="array" ref="K3948">IF($D3948="","",IFERROR(INDEX(MASTER_SOURCE!$C$2:$C$495,MATCH($I3948,MASTER_SOURCE!$A$2:$A$495,0)),""))</f>
        <v/>
      </c>
      <c r="L3948" s="22">
        <f t="array" ref="L3948">IF($D3948="","",IFERROR(INDEX(MASTER_SOURCE!$D$2:$D$495,MATCH($I3948,MASTER_SOURCE!$A$2:$A$495,0)),""))</f>
        <v/>
      </c>
      <c r="M3948" s="24" t="n"/>
      <c r="N3948" s="24" t="n"/>
      <c r="O3948" s="24" t="n"/>
      <c r="P3948" s="24" t="n"/>
      <c r="Q3948" s="22">
        <f>IF($D3948="","",IF(AND(OR(DANH_MUC!$L$5&lt;&gt;"Có",M3948="Có"),OR(DANH_MUC!$L$6&lt;&gt;"Có",N3948="Có"),OR(DANH_MUC!$L$7&lt;&gt;"Có",O3948="Có"),OR(DANH_MUC!$L$8&lt;&gt;"Có",P3948="Có")),"Có","Không"))</f>
        <v/>
      </c>
      <c r="R3948" s="22">
        <f>IF($D3948="","",IF(COUNTIF($D$2:$D3948,$D3948)&gt;1,"Trùng",""))</f>
        <v/>
      </c>
      <c r="S3948" s="22">
        <f>IF($D3948="","",IF(AND(LEN($D3948)=10,LEFT($D3948,1)="0",ISNUMBER(--$D3948)),"Có","Không"))</f>
        <v/>
      </c>
      <c r="T3948" s="22">
        <f>IF($D3948="","",IF(AND($C3948&lt;&gt;"",$Q3948="Có",$R3948="",$S3948="Có",AND($L3948&lt;&gt;"",OR($L3948&lt;&gt;"Chưa xác định",DANH_MUC!$L$9="Có"))),"Có","Không"))</f>
        <v/>
      </c>
      <c r="U3948" s="22">
        <f>IF(OR($D3948="",$T3948="Có"),"",IF($C3948="","Thiếu họ tên; ","")&amp;IF($S3948&lt;&gt;"Có","SĐT sai định dạng; ","")&amp;IF($R3948="Trùng","Trùng SĐT; ","")&amp;IF($Q3948&lt;&gt;"Có","Thiếu đồng ý bắt buộc; ","")&amp;IF($L3948="","Thiếu/sai Mã REF; ",IF(AND($L3948="Chưa xác định",DANH_MUC!$L$9&lt;&gt;"Có"),"Nguồn chưa xác định; ","")))</f>
        <v/>
      </c>
      <c r="V3948" s="22">
        <f>IF(OR($D3948="",$R3948="Trùng"),"",IF(COUNTIF(ORDERS!$C$2:$C$4995,$D3948)&gt;0,"Có","Không"))</f>
        <v/>
      </c>
      <c r="W3948" s="22">
        <f>IF(OR($D3948="",$R3948="Trùng"),"",COUNTIFS(ORDERS!$C$2:$C$4995,$D3948,ORDERS!$L$2:$L$4995,"Đã chuyển khoản"))</f>
        <v/>
      </c>
      <c r="X3948" s="23">
        <f>IF(OR($D3948="",$R3948="Trùng"),"",SUMIFS(ORDERS!$J$2:$J$4995,ORDERS!$C$2:$C$4995,$D3948,ORDERS!$L$2:$L$4995,"Đã chuyển khoản"))</f>
        <v/>
      </c>
      <c r="Y3948" s="24" t="n"/>
    </row>
    <row r="3949" ht="14.25" customHeight="1" s="40">
      <c r="A3949" s="24" t="n"/>
      <c r="B3949" s="27" t="n"/>
      <c r="C3949" s="24" t="n"/>
      <c r="D3949" s="28" t="n"/>
      <c r="E3949" s="29" t="n"/>
      <c r="F3949" s="24" t="n"/>
      <c r="G3949" s="24" t="n"/>
      <c r="H3949" s="21">
        <f>IF(ISNUMBER($B3949),INT($B3949)-WEEKDAY($B3949,2)+1,"")</f>
        <v/>
      </c>
      <c r="I3949" s="24" t="n"/>
      <c r="J3949" s="22">
        <f t="array" ref="J3949">IF($D3949="","",IF($I3949="","(trống REF)",IFERROR(INDEX(MASTER_SOURCE!$B$2:$B$495,MATCH($I3949,MASTER_SOURCE!$A$2:$A$495,0)),"(REF không có trong MASTER_SOURCE)")))</f>
        <v/>
      </c>
      <c r="K3949" s="22">
        <f t="array" ref="K3949">IF($D3949="","",IFERROR(INDEX(MASTER_SOURCE!$C$2:$C$495,MATCH($I3949,MASTER_SOURCE!$A$2:$A$495,0)),""))</f>
        <v/>
      </c>
      <c r="L3949" s="22">
        <f t="array" ref="L3949">IF($D3949="","",IFERROR(INDEX(MASTER_SOURCE!$D$2:$D$495,MATCH($I3949,MASTER_SOURCE!$A$2:$A$495,0)),""))</f>
        <v/>
      </c>
      <c r="M3949" s="24" t="n"/>
      <c r="N3949" s="24" t="n"/>
      <c r="O3949" s="24" t="n"/>
      <c r="P3949" s="24" t="n"/>
      <c r="Q3949" s="22">
        <f>IF($D3949="","",IF(AND(OR(DANH_MUC!$L$5&lt;&gt;"Có",M3949="Có"),OR(DANH_MUC!$L$6&lt;&gt;"Có",N3949="Có"),OR(DANH_MUC!$L$7&lt;&gt;"Có",O3949="Có"),OR(DANH_MUC!$L$8&lt;&gt;"Có",P3949="Có")),"Có","Không"))</f>
        <v/>
      </c>
      <c r="R3949" s="22">
        <f>IF($D3949="","",IF(COUNTIF($D$2:$D3949,$D3949)&gt;1,"Trùng",""))</f>
        <v/>
      </c>
      <c r="S3949" s="22">
        <f>IF($D3949="","",IF(AND(LEN($D3949)=10,LEFT($D3949,1)="0",ISNUMBER(--$D3949)),"Có","Không"))</f>
        <v/>
      </c>
      <c r="T3949" s="22">
        <f>IF($D3949="","",IF(AND($C3949&lt;&gt;"",$Q3949="Có",$R3949="",$S3949="Có",AND($L3949&lt;&gt;"",OR($L3949&lt;&gt;"Chưa xác định",DANH_MUC!$L$9="Có"))),"Có","Không"))</f>
        <v/>
      </c>
      <c r="U3949" s="22">
        <f>IF(OR($D3949="",$T3949="Có"),"",IF($C3949="","Thiếu họ tên; ","")&amp;IF($S3949&lt;&gt;"Có","SĐT sai định dạng; ","")&amp;IF($R3949="Trùng","Trùng SĐT; ","")&amp;IF($Q3949&lt;&gt;"Có","Thiếu đồng ý bắt buộc; ","")&amp;IF($L3949="","Thiếu/sai Mã REF; ",IF(AND($L3949="Chưa xác định",DANH_MUC!$L$9&lt;&gt;"Có"),"Nguồn chưa xác định; ","")))</f>
        <v/>
      </c>
      <c r="V3949" s="22">
        <f>IF(OR($D3949="",$R3949="Trùng"),"",IF(COUNTIF(ORDERS!$C$2:$C$4995,$D3949)&gt;0,"Có","Không"))</f>
        <v/>
      </c>
      <c r="W3949" s="22">
        <f>IF(OR($D3949="",$R3949="Trùng"),"",COUNTIFS(ORDERS!$C$2:$C$4995,$D3949,ORDERS!$L$2:$L$4995,"Đã chuyển khoản"))</f>
        <v/>
      </c>
      <c r="X3949" s="23">
        <f>IF(OR($D3949="",$R3949="Trùng"),"",SUMIFS(ORDERS!$J$2:$J$4995,ORDERS!$C$2:$C$4995,$D3949,ORDERS!$L$2:$L$4995,"Đã chuyển khoản"))</f>
        <v/>
      </c>
      <c r="Y3949" s="24" t="n"/>
    </row>
    <row r="3950" ht="14.25" customHeight="1" s="40">
      <c r="A3950" s="24" t="n"/>
      <c r="B3950" s="27" t="n"/>
      <c r="C3950" s="24" t="n"/>
      <c r="D3950" s="28" t="n"/>
      <c r="E3950" s="29" t="n"/>
      <c r="F3950" s="24" t="n"/>
      <c r="G3950" s="24" t="n"/>
      <c r="H3950" s="21">
        <f>IF(ISNUMBER($B3950),INT($B3950)-WEEKDAY($B3950,2)+1,"")</f>
        <v/>
      </c>
      <c r="I3950" s="24" t="n"/>
      <c r="J3950" s="22">
        <f t="array" ref="J3950">IF($D3950="","",IF($I3950="","(trống REF)",IFERROR(INDEX(MASTER_SOURCE!$B$2:$B$495,MATCH($I3950,MASTER_SOURCE!$A$2:$A$495,0)),"(REF không có trong MASTER_SOURCE)")))</f>
        <v/>
      </c>
      <c r="K3950" s="22">
        <f t="array" ref="K3950">IF($D3950="","",IFERROR(INDEX(MASTER_SOURCE!$C$2:$C$495,MATCH($I3950,MASTER_SOURCE!$A$2:$A$495,0)),""))</f>
        <v/>
      </c>
      <c r="L3950" s="22">
        <f t="array" ref="L3950">IF($D3950="","",IFERROR(INDEX(MASTER_SOURCE!$D$2:$D$495,MATCH($I3950,MASTER_SOURCE!$A$2:$A$495,0)),""))</f>
        <v/>
      </c>
      <c r="M3950" s="24" t="n"/>
      <c r="N3950" s="24" t="n"/>
      <c r="O3950" s="24" t="n"/>
      <c r="P3950" s="24" t="n"/>
      <c r="Q3950" s="22">
        <f>IF($D3950="","",IF(AND(OR(DANH_MUC!$L$5&lt;&gt;"Có",M3950="Có"),OR(DANH_MUC!$L$6&lt;&gt;"Có",N3950="Có"),OR(DANH_MUC!$L$7&lt;&gt;"Có",O3950="Có"),OR(DANH_MUC!$L$8&lt;&gt;"Có",P3950="Có")),"Có","Không"))</f>
        <v/>
      </c>
      <c r="R3950" s="22">
        <f>IF($D3950="","",IF(COUNTIF($D$2:$D3950,$D3950)&gt;1,"Trùng",""))</f>
        <v/>
      </c>
      <c r="S3950" s="22">
        <f>IF($D3950="","",IF(AND(LEN($D3950)=10,LEFT($D3950,1)="0",ISNUMBER(--$D3950)),"Có","Không"))</f>
        <v/>
      </c>
      <c r="T3950" s="22">
        <f>IF($D3950="","",IF(AND($C3950&lt;&gt;"",$Q3950="Có",$R3950="",$S3950="Có",AND($L3950&lt;&gt;"",OR($L3950&lt;&gt;"Chưa xác định",DANH_MUC!$L$9="Có"))),"Có","Không"))</f>
        <v/>
      </c>
      <c r="U3950" s="22">
        <f>IF(OR($D3950="",$T3950="Có"),"",IF($C3950="","Thiếu họ tên; ","")&amp;IF($S3950&lt;&gt;"Có","SĐT sai định dạng; ","")&amp;IF($R3950="Trùng","Trùng SĐT; ","")&amp;IF($Q3950&lt;&gt;"Có","Thiếu đồng ý bắt buộc; ","")&amp;IF($L3950="","Thiếu/sai Mã REF; ",IF(AND($L3950="Chưa xác định",DANH_MUC!$L$9&lt;&gt;"Có"),"Nguồn chưa xác định; ","")))</f>
        <v/>
      </c>
      <c r="V3950" s="22">
        <f>IF(OR($D3950="",$R3950="Trùng"),"",IF(COUNTIF(ORDERS!$C$2:$C$4995,$D3950)&gt;0,"Có","Không"))</f>
        <v/>
      </c>
      <c r="W3950" s="22">
        <f>IF(OR($D3950="",$R3950="Trùng"),"",COUNTIFS(ORDERS!$C$2:$C$4995,$D3950,ORDERS!$L$2:$L$4995,"Đã chuyển khoản"))</f>
        <v/>
      </c>
      <c r="X3950" s="23">
        <f>IF(OR($D3950="",$R3950="Trùng"),"",SUMIFS(ORDERS!$J$2:$J$4995,ORDERS!$C$2:$C$4995,$D3950,ORDERS!$L$2:$L$4995,"Đã chuyển khoản"))</f>
        <v/>
      </c>
      <c r="Y3950" s="24" t="n"/>
    </row>
    <row r="3951" ht="14.25" customHeight="1" s="40">
      <c r="A3951" s="24" t="n"/>
      <c r="B3951" s="27" t="n"/>
      <c r="C3951" s="24" t="n"/>
      <c r="D3951" s="28" t="n"/>
      <c r="E3951" s="29" t="n"/>
      <c r="F3951" s="24" t="n"/>
      <c r="G3951" s="24" t="n"/>
      <c r="H3951" s="21">
        <f>IF(ISNUMBER($B3951),INT($B3951)-WEEKDAY($B3951,2)+1,"")</f>
        <v/>
      </c>
      <c r="I3951" s="24" t="n"/>
      <c r="J3951" s="22">
        <f t="array" ref="J3951">IF($D3951="","",IF($I3951="","(trống REF)",IFERROR(INDEX(MASTER_SOURCE!$B$2:$B$495,MATCH($I3951,MASTER_SOURCE!$A$2:$A$495,0)),"(REF không có trong MASTER_SOURCE)")))</f>
        <v/>
      </c>
      <c r="K3951" s="22">
        <f t="array" ref="K3951">IF($D3951="","",IFERROR(INDEX(MASTER_SOURCE!$C$2:$C$495,MATCH($I3951,MASTER_SOURCE!$A$2:$A$495,0)),""))</f>
        <v/>
      </c>
      <c r="L3951" s="22">
        <f t="array" ref="L3951">IF($D3951="","",IFERROR(INDEX(MASTER_SOURCE!$D$2:$D$495,MATCH($I3951,MASTER_SOURCE!$A$2:$A$495,0)),""))</f>
        <v/>
      </c>
      <c r="M3951" s="24" t="n"/>
      <c r="N3951" s="24" t="n"/>
      <c r="O3951" s="24" t="n"/>
      <c r="P3951" s="24" t="n"/>
      <c r="Q3951" s="22">
        <f>IF($D3951="","",IF(AND(OR(DANH_MUC!$L$5&lt;&gt;"Có",M3951="Có"),OR(DANH_MUC!$L$6&lt;&gt;"Có",N3951="Có"),OR(DANH_MUC!$L$7&lt;&gt;"Có",O3951="Có"),OR(DANH_MUC!$L$8&lt;&gt;"Có",P3951="Có")),"Có","Không"))</f>
        <v/>
      </c>
      <c r="R3951" s="22">
        <f>IF($D3951="","",IF(COUNTIF($D$2:$D3951,$D3951)&gt;1,"Trùng",""))</f>
        <v/>
      </c>
      <c r="S3951" s="22">
        <f>IF($D3951="","",IF(AND(LEN($D3951)=10,LEFT($D3951,1)="0",ISNUMBER(--$D3951)),"Có","Không"))</f>
        <v/>
      </c>
      <c r="T3951" s="22">
        <f>IF($D3951="","",IF(AND($C3951&lt;&gt;"",$Q3951="Có",$R3951="",$S3951="Có",AND($L3951&lt;&gt;"",OR($L3951&lt;&gt;"Chưa xác định",DANH_MUC!$L$9="Có"))),"Có","Không"))</f>
        <v/>
      </c>
      <c r="U3951" s="22">
        <f>IF(OR($D3951="",$T3951="Có"),"",IF($C3951="","Thiếu họ tên; ","")&amp;IF($S3951&lt;&gt;"Có","SĐT sai định dạng; ","")&amp;IF($R3951="Trùng","Trùng SĐT; ","")&amp;IF($Q3951&lt;&gt;"Có","Thiếu đồng ý bắt buộc; ","")&amp;IF($L3951="","Thiếu/sai Mã REF; ",IF(AND($L3951="Chưa xác định",DANH_MUC!$L$9&lt;&gt;"Có"),"Nguồn chưa xác định; ","")))</f>
        <v/>
      </c>
      <c r="V3951" s="22">
        <f>IF(OR($D3951="",$R3951="Trùng"),"",IF(COUNTIF(ORDERS!$C$2:$C$4995,$D3951)&gt;0,"Có","Không"))</f>
        <v/>
      </c>
      <c r="W3951" s="22">
        <f>IF(OR($D3951="",$R3951="Trùng"),"",COUNTIFS(ORDERS!$C$2:$C$4995,$D3951,ORDERS!$L$2:$L$4995,"Đã chuyển khoản"))</f>
        <v/>
      </c>
      <c r="X3951" s="23">
        <f>IF(OR($D3951="",$R3951="Trùng"),"",SUMIFS(ORDERS!$J$2:$J$4995,ORDERS!$C$2:$C$4995,$D3951,ORDERS!$L$2:$L$4995,"Đã chuyển khoản"))</f>
        <v/>
      </c>
      <c r="Y3951" s="24" t="n"/>
    </row>
    <row r="3952" ht="14.25" customHeight="1" s="40">
      <c r="A3952" s="24" t="n"/>
      <c r="B3952" s="27" t="n"/>
      <c r="C3952" s="24" t="n"/>
      <c r="D3952" s="28" t="n"/>
      <c r="E3952" s="29" t="n"/>
      <c r="F3952" s="24" t="n"/>
      <c r="G3952" s="24" t="n"/>
      <c r="H3952" s="21">
        <f>IF(ISNUMBER($B3952),INT($B3952)-WEEKDAY($B3952,2)+1,"")</f>
        <v/>
      </c>
      <c r="I3952" s="24" t="n"/>
      <c r="J3952" s="22">
        <f t="array" ref="J3952">IF($D3952="","",IF($I3952="","(trống REF)",IFERROR(INDEX(MASTER_SOURCE!$B$2:$B$495,MATCH($I3952,MASTER_SOURCE!$A$2:$A$495,0)),"(REF không có trong MASTER_SOURCE)")))</f>
        <v/>
      </c>
      <c r="K3952" s="22">
        <f t="array" ref="K3952">IF($D3952="","",IFERROR(INDEX(MASTER_SOURCE!$C$2:$C$495,MATCH($I3952,MASTER_SOURCE!$A$2:$A$495,0)),""))</f>
        <v/>
      </c>
      <c r="L3952" s="22">
        <f t="array" ref="L3952">IF($D3952="","",IFERROR(INDEX(MASTER_SOURCE!$D$2:$D$495,MATCH($I3952,MASTER_SOURCE!$A$2:$A$495,0)),""))</f>
        <v/>
      </c>
      <c r="M3952" s="24" t="n"/>
      <c r="N3952" s="24" t="n"/>
      <c r="O3952" s="24" t="n"/>
      <c r="P3952" s="24" t="n"/>
      <c r="Q3952" s="22">
        <f>IF($D3952="","",IF(AND(OR(DANH_MUC!$L$5&lt;&gt;"Có",M3952="Có"),OR(DANH_MUC!$L$6&lt;&gt;"Có",N3952="Có"),OR(DANH_MUC!$L$7&lt;&gt;"Có",O3952="Có"),OR(DANH_MUC!$L$8&lt;&gt;"Có",P3952="Có")),"Có","Không"))</f>
        <v/>
      </c>
      <c r="R3952" s="22">
        <f>IF($D3952="","",IF(COUNTIF($D$2:$D3952,$D3952)&gt;1,"Trùng",""))</f>
        <v/>
      </c>
      <c r="S3952" s="22">
        <f>IF($D3952="","",IF(AND(LEN($D3952)=10,LEFT($D3952,1)="0",ISNUMBER(--$D3952)),"Có","Không"))</f>
        <v/>
      </c>
      <c r="T3952" s="22">
        <f>IF($D3952="","",IF(AND($C3952&lt;&gt;"",$Q3952="Có",$R3952="",$S3952="Có",AND($L3952&lt;&gt;"",OR($L3952&lt;&gt;"Chưa xác định",DANH_MUC!$L$9="Có"))),"Có","Không"))</f>
        <v/>
      </c>
      <c r="U3952" s="22">
        <f>IF(OR($D3952="",$T3952="Có"),"",IF($C3952="","Thiếu họ tên; ","")&amp;IF($S3952&lt;&gt;"Có","SĐT sai định dạng; ","")&amp;IF($R3952="Trùng","Trùng SĐT; ","")&amp;IF($Q3952&lt;&gt;"Có","Thiếu đồng ý bắt buộc; ","")&amp;IF($L3952="","Thiếu/sai Mã REF; ",IF(AND($L3952="Chưa xác định",DANH_MUC!$L$9&lt;&gt;"Có"),"Nguồn chưa xác định; ","")))</f>
        <v/>
      </c>
      <c r="V3952" s="22">
        <f>IF(OR($D3952="",$R3952="Trùng"),"",IF(COUNTIF(ORDERS!$C$2:$C$4995,$D3952)&gt;0,"Có","Không"))</f>
        <v/>
      </c>
      <c r="W3952" s="22">
        <f>IF(OR($D3952="",$R3952="Trùng"),"",COUNTIFS(ORDERS!$C$2:$C$4995,$D3952,ORDERS!$L$2:$L$4995,"Đã chuyển khoản"))</f>
        <v/>
      </c>
      <c r="X3952" s="23">
        <f>IF(OR($D3952="",$R3952="Trùng"),"",SUMIFS(ORDERS!$J$2:$J$4995,ORDERS!$C$2:$C$4995,$D3952,ORDERS!$L$2:$L$4995,"Đã chuyển khoản"))</f>
        <v/>
      </c>
      <c r="Y3952" s="24" t="n"/>
    </row>
    <row r="3953" ht="14.25" customHeight="1" s="40">
      <c r="A3953" s="24" t="n"/>
      <c r="B3953" s="27" t="n"/>
      <c r="C3953" s="24" t="n"/>
      <c r="D3953" s="28" t="n"/>
      <c r="E3953" s="29" t="n"/>
      <c r="F3953" s="24" t="n"/>
      <c r="G3953" s="24" t="n"/>
      <c r="H3953" s="21">
        <f>IF(ISNUMBER($B3953),INT($B3953)-WEEKDAY($B3953,2)+1,"")</f>
        <v/>
      </c>
      <c r="I3953" s="24" t="n"/>
      <c r="J3953" s="22">
        <f t="array" ref="J3953">IF($D3953="","",IF($I3953="","(trống REF)",IFERROR(INDEX(MASTER_SOURCE!$B$2:$B$495,MATCH($I3953,MASTER_SOURCE!$A$2:$A$495,0)),"(REF không có trong MASTER_SOURCE)")))</f>
        <v/>
      </c>
      <c r="K3953" s="22">
        <f t="array" ref="K3953">IF($D3953="","",IFERROR(INDEX(MASTER_SOURCE!$C$2:$C$495,MATCH($I3953,MASTER_SOURCE!$A$2:$A$495,0)),""))</f>
        <v/>
      </c>
      <c r="L3953" s="22">
        <f t="array" ref="L3953">IF($D3953="","",IFERROR(INDEX(MASTER_SOURCE!$D$2:$D$495,MATCH($I3953,MASTER_SOURCE!$A$2:$A$495,0)),""))</f>
        <v/>
      </c>
      <c r="M3953" s="24" t="n"/>
      <c r="N3953" s="24" t="n"/>
      <c r="O3953" s="24" t="n"/>
      <c r="P3953" s="24" t="n"/>
      <c r="Q3953" s="22">
        <f>IF($D3953="","",IF(AND(OR(DANH_MUC!$L$5&lt;&gt;"Có",M3953="Có"),OR(DANH_MUC!$L$6&lt;&gt;"Có",N3953="Có"),OR(DANH_MUC!$L$7&lt;&gt;"Có",O3953="Có"),OR(DANH_MUC!$L$8&lt;&gt;"Có",P3953="Có")),"Có","Không"))</f>
        <v/>
      </c>
      <c r="R3953" s="22">
        <f>IF($D3953="","",IF(COUNTIF($D$2:$D3953,$D3953)&gt;1,"Trùng",""))</f>
        <v/>
      </c>
      <c r="S3953" s="22">
        <f>IF($D3953="","",IF(AND(LEN($D3953)=10,LEFT($D3953,1)="0",ISNUMBER(--$D3953)),"Có","Không"))</f>
        <v/>
      </c>
      <c r="T3953" s="22">
        <f>IF($D3953="","",IF(AND($C3953&lt;&gt;"",$Q3953="Có",$R3953="",$S3953="Có",AND($L3953&lt;&gt;"",OR($L3953&lt;&gt;"Chưa xác định",DANH_MUC!$L$9="Có"))),"Có","Không"))</f>
        <v/>
      </c>
      <c r="U3953" s="22">
        <f>IF(OR($D3953="",$T3953="Có"),"",IF($C3953="","Thiếu họ tên; ","")&amp;IF($S3953&lt;&gt;"Có","SĐT sai định dạng; ","")&amp;IF($R3953="Trùng","Trùng SĐT; ","")&amp;IF($Q3953&lt;&gt;"Có","Thiếu đồng ý bắt buộc; ","")&amp;IF($L3953="","Thiếu/sai Mã REF; ",IF(AND($L3953="Chưa xác định",DANH_MUC!$L$9&lt;&gt;"Có"),"Nguồn chưa xác định; ","")))</f>
        <v/>
      </c>
      <c r="V3953" s="22">
        <f>IF(OR($D3953="",$R3953="Trùng"),"",IF(COUNTIF(ORDERS!$C$2:$C$4995,$D3953)&gt;0,"Có","Không"))</f>
        <v/>
      </c>
      <c r="W3953" s="22">
        <f>IF(OR($D3953="",$R3953="Trùng"),"",COUNTIFS(ORDERS!$C$2:$C$4995,$D3953,ORDERS!$L$2:$L$4995,"Đã chuyển khoản"))</f>
        <v/>
      </c>
      <c r="X3953" s="23">
        <f>IF(OR($D3953="",$R3953="Trùng"),"",SUMIFS(ORDERS!$J$2:$J$4995,ORDERS!$C$2:$C$4995,$D3953,ORDERS!$L$2:$L$4995,"Đã chuyển khoản"))</f>
        <v/>
      </c>
      <c r="Y3953" s="24" t="n"/>
    </row>
    <row r="3954" ht="14.25" customHeight="1" s="40">
      <c r="A3954" s="24" t="n"/>
      <c r="B3954" s="27" t="n"/>
      <c r="C3954" s="24" t="n"/>
      <c r="D3954" s="28" t="n"/>
      <c r="E3954" s="29" t="n"/>
      <c r="F3954" s="24" t="n"/>
      <c r="G3954" s="24" t="n"/>
      <c r="H3954" s="21">
        <f>IF(ISNUMBER($B3954),INT($B3954)-WEEKDAY($B3954,2)+1,"")</f>
        <v/>
      </c>
      <c r="I3954" s="24" t="n"/>
      <c r="J3954" s="22">
        <f t="array" ref="J3954">IF($D3954="","",IF($I3954="","(trống REF)",IFERROR(INDEX(MASTER_SOURCE!$B$2:$B$495,MATCH($I3954,MASTER_SOURCE!$A$2:$A$495,0)),"(REF không có trong MASTER_SOURCE)")))</f>
        <v/>
      </c>
      <c r="K3954" s="22">
        <f t="array" ref="K3954">IF($D3954="","",IFERROR(INDEX(MASTER_SOURCE!$C$2:$C$495,MATCH($I3954,MASTER_SOURCE!$A$2:$A$495,0)),""))</f>
        <v/>
      </c>
      <c r="L3954" s="22">
        <f t="array" ref="L3954">IF($D3954="","",IFERROR(INDEX(MASTER_SOURCE!$D$2:$D$495,MATCH($I3954,MASTER_SOURCE!$A$2:$A$495,0)),""))</f>
        <v/>
      </c>
      <c r="M3954" s="24" t="n"/>
      <c r="N3954" s="24" t="n"/>
      <c r="O3954" s="24" t="n"/>
      <c r="P3954" s="24" t="n"/>
      <c r="Q3954" s="22">
        <f>IF($D3954="","",IF(AND(OR(DANH_MUC!$L$5&lt;&gt;"Có",M3954="Có"),OR(DANH_MUC!$L$6&lt;&gt;"Có",N3954="Có"),OR(DANH_MUC!$L$7&lt;&gt;"Có",O3954="Có"),OR(DANH_MUC!$L$8&lt;&gt;"Có",P3954="Có")),"Có","Không"))</f>
        <v/>
      </c>
      <c r="R3954" s="22">
        <f>IF($D3954="","",IF(COUNTIF($D$2:$D3954,$D3954)&gt;1,"Trùng",""))</f>
        <v/>
      </c>
      <c r="S3954" s="22">
        <f>IF($D3954="","",IF(AND(LEN($D3954)=10,LEFT($D3954,1)="0",ISNUMBER(--$D3954)),"Có","Không"))</f>
        <v/>
      </c>
      <c r="T3954" s="22">
        <f>IF($D3954="","",IF(AND($C3954&lt;&gt;"",$Q3954="Có",$R3954="",$S3954="Có",AND($L3954&lt;&gt;"",OR($L3954&lt;&gt;"Chưa xác định",DANH_MUC!$L$9="Có"))),"Có","Không"))</f>
        <v/>
      </c>
      <c r="U3954" s="22">
        <f>IF(OR($D3954="",$T3954="Có"),"",IF($C3954="","Thiếu họ tên; ","")&amp;IF($S3954&lt;&gt;"Có","SĐT sai định dạng; ","")&amp;IF($R3954="Trùng","Trùng SĐT; ","")&amp;IF($Q3954&lt;&gt;"Có","Thiếu đồng ý bắt buộc; ","")&amp;IF($L3954="","Thiếu/sai Mã REF; ",IF(AND($L3954="Chưa xác định",DANH_MUC!$L$9&lt;&gt;"Có"),"Nguồn chưa xác định; ","")))</f>
        <v/>
      </c>
      <c r="V3954" s="22">
        <f>IF(OR($D3954="",$R3954="Trùng"),"",IF(COUNTIF(ORDERS!$C$2:$C$4995,$D3954)&gt;0,"Có","Không"))</f>
        <v/>
      </c>
      <c r="W3954" s="22">
        <f>IF(OR($D3954="",$R3954="Trùng"),"",COUNTIFS(ORDERS!$C$2:$C$4995,$D3954,ORDERS!$L$2:$L$4995,"Đã chuyển khoản"))</f>
        <v/>
      </c>
      <c r="X3954" s="23">
        <f>IF(OR($D3954="",$R3954="Trùng"),"",SUMIFS(ORDERS!$J$2:$J$4995,ORDERS!$C$2:$C$4995,$D3954,ORDERS!$L$2:$L$4995,"Đã chuyển khoản"))</f>
        <v/>
      </c>
      <c r="Y3954" s="24" t="n"/>
    </row>
    <row r="3955" ht="14.25" customHeight="1" s="40">
      <c r="A3955" s="24" t="n"/>
      <c r="B3955" s="27" t="n"/>
      <c r="C3955" s="24" t="n"/>
      <c r="D3955" s="28" t="n"/>
      <c r="E3955" s="29" t="n"/>
      <c r="F3955" s="24" t="n"/>
      <c r="G3955" s="24" t="n"/>
      <c r="H3955" s="21">
        <f>IF(ISNUMBER($B3955),INT($B3955)-WEEKDAY($B3955,2)+1,"")</f>
        <v/>
      </c>
      <c r="I3955" s="24" t="n"/>
      <c r="J3955" s="22">
        <f t="array" ref="J3955">IF($D3955="","",IF($I3955="","(trống REF)",IFERROR(INDEX(MASTER_SOURCE!$B$2:$B$495,MATCH($I3955,MASTER_SOURCE!$A$2:$A$495,0)),"(REF không có trong MASTER_SOURCE)")))</f>
        <v/>
      </c>
      <c r="K3955" s="22">
        <f t="array" ref="K3955">IF($D3955="","",IFERROR(INDEX(MASTER_SOURCE!$C$2:$C$495,MATCH($I3955,MASTER_SOURCE!$A$2:$A$495,0)),""))</f>
        <v/>
      </c>
      <c r="L3955" s="22">
        <f t="array" ref="L3955">IF($D3955="","",IFERROR(INDEX(MASTER_SOURCE!$D$2:$D$495,MATCH($I3955,MASTER_SOURCE!$A$2:$A$495,0)),""))</f>
        <v/>
      </c>
      <c r="M3955" s="24" t="n"/>
      <c r="N3955" s="24" t="n"/>
      <c r="O3955" s="24" t="n"/>
      <c r="P3955" s="24" t="n"/>
      <c r="Q3955" s="22">
        <f>IF($D3955="","",IF(AND(OR(DANH_MUC!$L$5&lt;&gt;"Có",M3955="Có"),OR(DANH_MUC!$L$6&lt;&gt;"Có",N3955="Có"),OR(DANH_MUC!$L$7&lt;&gt;"Có",O3955="Có"),OR(DANH_MUC!$L$8&lt;&gt;"Có",P3955="Có")),"Có","Không"))</f>
        <v/>
      </c>
      <c r="R3955" s="22">
        <f>IF($D3955="","",IF(COUNTIF($D$2:$D3955,$D3955)&gt;1,"Trùng",""))</f>
        <v/>
      </c>
      <c r="S3955" s="22">
        <f>IF($D3955="","",IF(AND(LEN($D3955)=10,LEFT($D3955,1)="0",ISNUMBER(--$D3955)),"Có","Không"))</f>
        <v/>
      </c>
      <c r="T3955" s="22">
        <f>IF($D3955="","",IF(AND($C3955&lt;&gt;"",$Q3955="Có",$R3955="",$S3955="Có",AND($L3955&lt;&gt;"",OR($L3955&lt;&gt;"Chưa xác định",DANH_MUC!$L$9="Có"))),"Có","Không"))</f>
        <v/>
      </c>
      <c r="U3955" s="22">
        <f>IF(OR($D3955="",$T3955="Có"),"",IF($C3955="","Thiếu họ tên; ","")&amp;IF($S3955&lt;&gt;"Có","SĐT sai định dạng; ","")&amp;IF($R3955="Trùng","Trùng SĐT; ","")&amp;IF($Q3955&lt;&gt;"Có","Thiếu đồng ý bắt buộc; ","")&amp;IF($L3955="","Thiếu/sai Mã REF; ",IF(AND($L3955="Chưa xác định",DANH_MUC!$L$9&lt;&gt;"Có"),"Nguồn chưa xác định; ","")))</f>
        <v/>
      </c>
      <c r="V3955" s="22">
        <f>IF(OR($D3955="",$R3955="Trùng"),"",IF(COUNTIF(ORDERS!$C$2:$C$4995,$D3955)&gt;0,"Có","Không"))</f>
        <v/>
      </c>
      <c r="W3955" s="22">
        <f>IF(OR($D3955="",$R3955="Trùng"),"",COUNTIFS(ORDERS!$C$2:$C$4995,$D3955,ORDERS!$L$2:$L$4995,"Đã chuyển khoản"))</f>
        <v/>
      </c>
      <c r="X3955" s="23">
        <f>IF(OR($D3955="",$R3955="Trùng"),"",SUMIFS(ORDERS!$J$2:$J$4995,ORDERS!$C$2:$C$4995,$D3955,ORDERS!$L$2:$L$4995,"Đã chuyển khoản"))</f>
        <v/>
      </c>
      <c r="Y3955" s="24" t="n"/>
    </row>
    <row r="3956" ht="14.25" customHeight="1" s="40">
      <c r="A3956" s="24" t="n"/>
      <c r="B3956" s="27" t="n"/>
      <c r="C3956" s="24" t="n"/>
      <c r="D3956" s="28" t="n"/>
      <c r="E3956" s="29" t="n"/>
      <c r="F3956" s="24" t="n"/>
      <c r="G3956" s="24" t="n"/>
      <c r="H3956" s="21">
        <f>IF(ISNUMBER($B3956),INT($B3956)-WEEKDAY($B3956,2)+1,"")</f>
        <v/>
      </c>
      <c r="I3956" s="24" t="n"/>
      <c r="J3956" s="22">
        <f t="array" ref="J3956">IF($D3956="","",IF($I3956="","(trống REF)",IFERROR(INDEX(MASTER_SOURCE!$B$2:$B$495,MATCH($I3956,MASTER_SOURCE!$A$2:$A$495,0)),"(REF không có trong MASTER_SOURCE)")))</f>
        <v/>
      </c>
      <c r="K3956" s="22">
        <f t="array" ref="K3956">IF($D3956="","",IFERROR(INDEX(MASTER_SOURCE!$C$2:$C$495,MATCH($I3956,MASTER_SOURCE!$A$2:$A$495,0)),""))</f>
        <v/>
      </c>
      <c r="L3956" s="22">
        <f t="array" ref="L3956">IF($D3956="","",IFERROR(INDEX(MASTER_SOURCE!$D$2:$D$495,MATCH($I3956,MASTER_SOURCE!$A$2:$A$495,0)),""))</f>
        <v/>
      </c>
      <c r="M3956" s="24" t="n"/>
      <c r="N3956" s="24" t="n"/>
      <c r="O3956" s="24" t="n"/>
      <c r="P3956" s="24" t="n"/>
      <c r="Q3956" s="22">
        <f>IF($D3956="","",IF(AND(OR(DANH_MUC!$L$5&lt;&gt;"Có",M3956="Có"),OR(DANH_MUC!$L$6&lt;&gt;"Có",N3956="Có"),OR(DANH_MUC!$L$7&lt;&gt;"Có",O3956="Có"),OR(DANH_MUC!$L$8&lt;&gt;"Có",P3956="Có")),"Có","Không"))</f>
        <v/>
      </c>
      <c r="R3956" s="22">
        <f>IF($D3956="","",IF(COUNTIF($D$2:$D3956,$D3956)&gt;1,"Trùng",""))</f>
        <v/>
      </c>
      <c r="S3956" s="22">
        <f>IF($D3956="","",IF(AND(LEN($D3956)=10,LEFT($D3956,1)="0",ISNUMBER(--$D3956)),"Có","Không"))</f>
        <v/>
      </c>
      <c r="T3956" s="22">
        <f>IF($D3956="","",IF(AND($C3956&lt;&gt;"",$Q3956="Có",$R3956="",$S3956="Có",AND($L3956&lt;&gt;"",OR($L3956&lt;&gt;"Chưa xác định",DANH_MUC!$L$9="Có"))),"Có","Không"))</f>
        <v/>
      </c>
      <c r="U3956" s="22">
        <f>IF(OR($D3956="",$T3956="Có"),"",IF($C3956="","Thiếu họ tên; ","")&amp;IF($S3956&lt;&gt;"Có","SĐT sai định dạng; ","")&amp;IF($R3956="Trùng","Trùng SĐT; ","")&amp;IF($Q3956&lt;&gt;"Có","Thiếu đồng ý bắt buộc; ","")&amp;IF($L3956="","Thiếu/sai Mã REF; ",IF(AND($L3956="Chưa xác định",DANH_MUC!$L$9&lt;&gt;"Có"),"Nguồn chưa xác định; ","")))</f>
        <v/>
      </c>
      <c r="V3956" s="22">
        <f>IF(OR($D3956="",$R3956="Trùng"),"",IF(COUNTIF(ORDERS!$C$2:$C$4995,$D3956)&gt;0,"Có","Không"))</f>
        <v/>
      </c>
      <c r="W3956" s="22">
        <f>IF(OR($D3956="",$R3956="Trùng"),"",COUNTIFS(ORDERS!$C$2:$C$4995,$D3956,ORDERS!$L$2:$L$4995,"Đã chuyển khoản"))</f>
        <v/>
      </c>
      <c r="X3956" s="23">
        <f>IF(OR($D3956="",$R3956="Trùng"),"",SUMIFS(ORDERS!$J$2:$J$4995,ORDERS!$C$2:$C$4995,$D3956,ORDERS!$L$2:$L$4995,"Đã chuyển khoản"))</f>
        <v/>
      </c>
      <c r="Y3956" s="24" t="n"/>
    </row>
    <row r="3957" ht="14.25" customHeight="1" s="40">
      <c r="A3957" s="24" t="n"/>
      <c r="B3957" s="27" t="n"/>
      <c r="C3957" s="24" t="n"/>
      <c r="D3957" s="28" t="n"/>
      <c r="E3957" s="29" t="n"/>
      <c r="F3957" s="24" t="n"/>
      <c r="G3957" s="24" t="n"/>
      <c r="H3957" s="21">
        <f>IF(ISNUMBER($B3957),INT($B3957)-WEEKDAY($B3957,2)+1,"")</f>
        <v/>
      </c>
      <c r="I3957" s="24" t="n"/>
      <c r="J3957" s="22">
        <f t="array" ref="J3957">IF($D3957="","",IF($I3957="","(trống REF)",IFERROR(INDEX(MASTER_SOURCE!$B$2:$B$495,MATCH($I3957,MASTER_SOURCE!$A$2:$A$495,0)),"(REF không có trong MASTER_SOURCE)")))</f>
        <v/>
      </c>
      <c r="K3957" s="22">
        <f t="array" ref="K3957">IF($D3957="","",IFERROR(INDEX(MASTER_SOURCE!$C$2:$C$495,MATCH($I3957,MASTER_SOURCE!$A$2:$A$495,0)),""))</f>
        <v/>
      </c>
      <c r="L3957" s="22">
        <f t="array" ref="L3957">IF($D3957="","",IFERROR(INDEX(MASTER_SOURCE!$D$2:$D$495,MATCH($I3957,MASTER_SOURCE!$A$2:$A$495,0)),""))</f>
        <v/>
      </c>
      <c r="M3957" s="24" t="n"/>
      <c r="N3957" s="24" t="n"/>
      <c r="O3957" s="24" t="n"/>
      <c r="P3957" s="24" t="n"/>
      <c r="Q3957" s="22">
        <f>IF($D3957="","",IF(AND(OR(DANH_MUC!$L$5&lt;&gt;"Có",M3957="Có"),OR(DANH_MUC!$L$6&lt;&gt;"Có",N3957="Có"),OR(DANH_MUC!$L$7&lt;&gt;"Có",O3957="Có"),OR(DANH_MUC!$L$8&lt;&gt;"Có",P3957="Có")),"Có","Không"))</f>
        <v/>
      </c>
      <c r="R3957" s="22">
        <f>IF($D3957="","",IF(COUNTIF($D$2:$D3957,$D3957)&gt;1,"Trùng",""))</f>
        <v/>
      </c>
      <c r="S3957" s="22">
        <f>IF($D3957="","",IF(AND(LEN($D3957)=10,LEFT($D3957,1)="0",ISNUMBER(--$D3957)),"Có","Không"))</f>
        <v/>
      </c>
      <c r="T3957" s="22">
        <f>IF($D3957="","",IF(AND($C3957&lt;&gt;"",$Q3957="Có",$R3957="",$S3957="Có",AND($L3957&lt;&gt;"",OR($L3957&lt;&gt;"Chưa xác định",DANH_MUC!$L$9="Có"))),"Có","Không"))</f>
        <v/>
      </c>
      <c r="U3957" s="22">
        <f>IF(OR($D3957="",$T3957="Có"),"",IF($C3957="","Thiếu họ tên; ","")&amp;IF($S3957&lt;&gt;"Có","SĐT sai định dạng; ","")&amp;IF($R3957="Trùng","Trùng SĐT; ","")&amp;IF($Q3957&lt;&gt;"Có","Thiếu đồng ý bắt buộc; ","")&amp;IF($L3957="","Thiếu/sai Mã REF; ",IF(AND($L3957="Chưa xác định",DANH_MUC!$L$9&lt;&gt;"Có"),"Nguồn chưa xác định; ","")))</f>
        <v/>
      </c>
      <c r="V3957" s="22">
        <f>IF(OR($D3957="",$R3957="Trùng"),"",IF(COUNTIF(ORDERS!$C$2:$C$4995,$D3957)&gt;0,"Có","Không"))</f>
        <v/>
      </c>
      <c r="W3957" s="22">
        <f>IF(OR($D3957="",$R3957="Trùng"),"",COUNTIFS(ORDERS!$C$2:$C$4995,$D3957,ORDERS!$L$2:$L$4995,"Đã chuyển khoản"))</f>
        <v/>
      </c>
      <c r="X3957" s="23">
        <f>IF(OR($D3957="",$R3957="Trùng"),"",SUMIFS(ORDERS!$J$2:$J$4995,ORDERS!$C$2:$C$4995,$D3957,ORDERS!$L$2:$L$4995,"Đã chuyển khoản"))</f>
        <v/>
      </c>
      <c r="Y3957" s="24" t="n"/>
    </row>
    <row r="3958" ht="14.25" customHeight="1" s="40">
      <c r="A3958" s="24" t="n"/>
      <c r="B3958" s="27" t="n"/>
      <c r="C3958" s="24" t="n"/>
      <c r="D3958" s="28" t="n"/>
      <c r="E3958" s="29" t="n"/>
      <c r="F3958" s="24" t="n"/>
      <c r="G3958" s="24" t="n"/>
      <c r="H3958" s="21">
        <f>IF(ISNUMBER($B3958),INT($B3958)-WEEKDAY($B3958,2)+1,"")</f>
        <v/>
      </c>
      <c r="I3958" s="24" t="n"/>
      <c r="J3958" s="22">
        <f t="array" ref="J3958">IF($D3958="","",IF($I3958="","(trống REF)",IFERROR(INDEX(MASTER_SOURCE!$B$2:$B$495,MATCH($I3958,MASTER_SOURCE!$A$2:$A$495,0)),"(REF không có trong MASTER_SOURCE)")))</f>
        <v/>
      </c>
      <c r="K3958" s="22">
        <f t="array" ref="K3958">IF($D3958="","",IFERROR(INDEX(MASTER_SOURCE!$C$2:$C$495,MATCH($I3958,MASTER_SOURCE!$A$2:$A$495,0)),""))</f>
        <v/>
      </c>
      <c r="L3958" s="22">
        <f t="array" ref="L3958">IF($D3958="","",IFERROR(INDEX(MASTER_SOURCE!$D$2:$D$495,MATCH($I3958,MASTER_SOURCE!$A$2:$A$495,0)),""))</f>
        <v/>
      </c>
      <c r="M3958" s="24" t="n"/>
      <c r="N3958" s="24" t="n"/>
      <c r="O3958" s="24" t="n"/>
      <c r="P3958" s="24" t="n"/>
      <c r="Q3958" s="22">
        <f>IF($D3958="","",IF(AND(OR(DANH_MUC!$L$5&lt;&gt;"Có",M3958="Có"),OR(DANH_MUC!$L$6&lt;&gt;"Có",N3958="Có"),OR(DANH_MUC!$L$7&lt;&gt;"Có",O3958="Có"),OR(DANH_MUC!$L$8&lt;&gt;"Có",P3958="Có")),"Có","Không"))</f>
        <v/>
      </c>
      <c r="R3958" s="22">
        <f>IF($D3958="","",IF(COUNTIF($D$2:$D3958,$D3958)&gt;1,"Trùng",""))</f>
        <v/>
      </c>
      <c r="S3958" s="22">
        <f>IF($D3958="","",IF(AND(LEN($D3958)=10,LEFT($D3958,1)="0",ISNUMBER(--$D3958)),"Có","Không"))</f>
        <v/>
      </c>
      <c r="T3958" s="22">
        <f>IF($D3958="","",IF(AND($C3958&lt;&gt;"",$Q3958="Có",$R3958="",$S3958="Có",AND($L3958&lt;&gt;"",OR($L3958&lt;&gt;"Chưa xác định",DANH_MUC!$L$9="Có"))),"Có","Không"))</f>
        <v/>
      </c>
      <c r="U3958" s="22">
        <f>IF(OR($D3958="",$T3958="Có"),"",IF($C3958="","Thiếu họ tên; ","")&amp;IF($S3958&lt;&gt;"Có","SĐT sai định dạng; ","")&amp;IF($R3958="Trùng","Trùng SĐT; ","")&amp;IF($Q3958&lt;&gt;"Có","Thiếu đồng ý bắt buộc; ","")&amp;IF($L3958="","Thiếu/sai Mã REF; ",IF(AND($L3958="Chưa xác định",DANH_MUC!$L$9&lt;&gt;"Có"),"Nguồn chưa xác định; ","")))</f>
        <v/>
      </c>
      <c r="V3958" s="22">
        <f>IF(OR($D3958="",$R3958="Trùng"),"",IF(COUNTIF(ORDERS!$C$2:$C$4995,$D3958)&gt;0,"Có","Không"))</f>
        <v/>
      </c>
      <c r="W3958" s="22">
        <f>IF(OR($D3958="",$R3958="Trùng"),"",COUNTIFS(ORDERS!$C$2:$C$4995,$D3958,ORDERS!$L$2:$L$4995,"Đã chuyển khoản"))</f>
        <v/>
      </c>
      <c r="X3958" s="23">
        <f>IF(OR($D3958="",$R3958="Trùng"),"",SUMIFS(ORDERS!$J$2:$J$4995,ORDERS!$C$2:$C$4995,$D3958,ORDERS!$L$2:$L$4995,"Đã chuyển khoản"))</f>
        <v/>
      </c>
      <c r="Y3958" s="24" t="n"/>
    </row>
    <row r="3959" ht="14.25" customHeight="1" s="40">
      <c r="A3959" s="24" t="n"/>
      <c r="B3959" s="27" t="n"/>
      <c r="C3959" s="24" t="n"/>
      <c r="D3959" s="28" t="n"/>
      <c r="E3959" s="29" t="n"/>
      <c r="F3959" s="24" t="n"/>
      <c r="G3959" s="24" t="n"/>
      <c r="H3959" s="21">
        <f>IF(ISNUMBER($B3959),INT($B3959)-WEEKDAY($B3959,2)+1,"")</f>
        <v/>
      </c>
      <c r="I3959" s="24" t="n"/>
      <c r="J3959" s="22">
        <f t="array" ref="J3959">IF($D3959="","",IF($I3959="","(trống REF)",IFERROR(INDEX(MASTER_SOURCE!$B$2:$B$495,MATCH($I3959,MASTER_SOURCE!$A$2:$A$495,0)),"(REF không có trong MASTER_SOURCE)")))</f>
        <v/>
      </c>
      <c r="K3959" s="22">
        <f t="array" ref="K3959">IF($D3959="","",IFERROR(INDEX(MASTER_SOURCE!$C$2:$C$495,MATCH($I3959,MASTER_SOURCE!$A$2:$A$495,0)),""))</f>
        <v/>
      </c>
      <c r="L3959" s="22">
        <f t="array" ref="L3959">IF($D3959="","",IFERROR(INDEX(MASTER_SOURCE!$D$2:$D$495,MATCH($I3959,MASTER_SOURCE!$A$2:$A$495,0)),""))</f>
        <v/>
      </c>
      <c r="M3959" s="24" t="n"/>
      <c r="N3959" s="24" t="n"/>
      <c r="O3959" s="24" t="n"/>
      <c r="P3959" s="24" t="n"/>
      <c r="Q3959" s="22">
        <f>IF($D3959="","",IF(AND(OR(DANH_MUC!$L$5&lt;&gt;"Có",M3959="Có"),OR(DANH_MUC!$L$6&lt;&gt;"Có",N3959="Có"),OR(DANH_MUC!$L$7&lt;&gt;"Có",O3959="Có"),OR(DANH_MUC!$L$8&lt;&gt;"Có",P3959="Có")),"Có","Không"))</f>
        <v/>
      </c>
      <c r="R3959" s="22">
        <f>IF($D3959="","",IF(COUNTIF($D$2:$D3959,$D3959)&gt;1,"Trùng",""))</f>
        <v/>
      </c>
      <c r="S3959" s="22">
        <f>IF($D3959="","",IF(AND(LEN($D3959)=10,LEFT($D3959,1)="0",ISNUMBER(--$D3959)),"Có","Không"))</f>
        <v/>
      </c>
      <c r="T3959" s="22">
        <f>IF($D3959="","",IF(AND($C3959&lt;&gt;"",$Q3959="Có",$R3959="",$S3959="Có",AND($L3959&lt;&gt;"",OR($L3959&lt;&gt;"Chưa xác định",DANH_MUC!$L$9="Có"))),"Có","Không"))</f>
        <v/>
      </c>
      <c r="U3959" s="22">
        <f>IF(OR($D3959="",$T3959="Có"),"",IF($C3959="","Thiếu họ tên; ","")&amp;IF($S3959&lt;&gt;"Có","SĐT sai định dạng; ","")&amp;IF($R3959="Trùng","Trùng SĐT; ","")&amp;IF($Q3959&lt;&gt;"Có","Thiếu đồng ý bắt buộc; ","")&amp;IF($L3959="","Thiếu/sai Mã REF; ",IF(AND($L3959="Chưa xác định",DANH_MUC!$L$9&lt;&gt;"Có"),"Nguồn chưa xác định; ","")))</f>
        <v/>
      </c>
      <c r="V3959" s="22">
        <f>IF(OR($D3959="",$R3959="Trùng"),"",IF(COUNTIF(ORDERS!$C$2:$C$4995,$D3959)&gt;0,"Có","Không"))</f>
        <v/>
      </c>
      <c r="W3959" s="22">
        <f>IF(OR($D3959="",$R3959="Trùng"),"",COUNTIFS(ORDERS!$C$2:$C$4995,$D3959,ORDERS!$L$2:$L$4995,"Đã chuyển khoản"))</f>
        <v/>
      </c>
      <c r="X3959" s="23">
        <f>IF(OR($D3959="",$R3959="Trùng"),"",SUMIFS(ORDERS!$J$2:$J$4995,ORDERS!$C$2:$C$4995,$D3959,ORDERS!$L$2:$L$4995,"Đã chuyển khoản"))</f>
        <v/>
      </c>
      <c r="Y3959" s="24" t="n"/>
    </row>
    <row r="3960" ht="14.25" customHeight="1" s="40">
      <c r="A3960" s="24" t="n"/>
      <c r="B3960" s="27" t="n"/>
      <c r="C3960" s="24" t="n"/>
      <c r="D3960" s="28" t="n"/>
      <c r="E3960" s="29" t="n"/>
      <c r="F3960" s="24" t="n"/>
      <c r="G3960" s="24" t="n"/>
      <c r="H3960" s="21">
        <f>IF(ISNUMBER($B3960),INT($B3960)-WEEKDAY($B3960,2)+1,"")</f>
        <v/>
      </c>
      <c r="I3960" s="24" t="n"/>
      <c r="J3960" s="22">
        <f t="array" ref="J3960">IF($D3960="","",IF($I3960="","(trống REF)",IFERROR(INDEX(MASTER_SOURCE!$B$2:$B$495,MATCH($I3960,MASTER_SOURCE!$A$2:$A$495,0)),"(REF không có trong MASTER_SOURCE)")))</f>
        <v/>
      </c>
      <c r="K3960" s="22">
        <f t="array" ref="K3960">IF($D3960="","",IFERROR(INDEX(MASTER_SOURCE!$C$2:$C$495,MATCH($I3960,MASTER_SOURCE!$A$2:$A$495,0)),""))</f>
        <v/>
      </c>
      <c r="L3960" s="22">
        <f t="array" ref="L3960">IF($D3960="","",IFERROR(INDEX(MASTER_SOURCE!$D$2:$D$495,MATCH($I3960,MASTER_SOURCE!$A$2:$A$495,0)),""))</f>
        <v/>
      </c>
      <c r="M3960" s="24" t="n"/>
      <c r="N3960" s="24" t="n"/>
      <c r="O3960" s="24" t="n"/>
      <c r="P3960" s="24" t="n"/>
      <c r="Q3960" s="22">
        <f>IF($D3960="","",IF(AND(OR(DANH_MUC!$L$5&lt;&gt;"Có",M3960="Có"),OR(DANH_MUC!$L$6&lt;&gt;"Có",N3960="Có"),OR(DANH_MUC!$L$7&lt;&gt;"Có",O3960="Có"),OR(DANH_MUC!$L$8&lt;&gt;"Có",P3960="Có")),"Có","Không"))</f>
        <v/>
      </c>
      <c r="R3960" s="22">
        <f>IF($D3960="","",IF(COUNTIF($D$2:$D3960,$D3960)&gt;1,"Trùng",""))</f>
        <v/>
      </c>
      <c r="S3960" s="22">
        <f>IF($D3960="","",IF(AND(LEN($D3960)=10,LEFT($D3960,1)="0",ISNUMBER(--$D3960)),"Có","Không"))</f>
        <v/>
      </c>
      <c r="T3960" s="22">
        <f>IF($D3960="","",IF(AND($C3960&lt;&gt;"",$Q3960="Có",$R3960="",$S3960="Có",AND($L3960&lt;&gt;"",OR($L3960&lt;&gt;"Chưa xác định",DANH_MUC!$L$9="Có"))),"Có","Không"))</f>
        <v/>
      </c>
      <c r="U3960" s="22">
        <f>IF(OR($D3960="",$T3960="Có"),"",IF($C3960="","Thiếu họ tên; ","")&amp;IF($S3960&lt;&gt;"Có","SĐT sai định dạng; ","")&amp;IF($R3960="Trùng","Trùng SĐT; ","")&amp;IF($Q3960&lt;&gt;"Có","Thiếu đồng ý bắt buộc; ","")&amp;IF($L3960="","Thiếu/sai Mã REF; ",IF(AND($L3960="Chưa xác định",DANH_MUC!$L$9&lt;&gt;"Có"),"Nguồn chưa xác định; ","")))</f>
        <v/>
      </c>
      <c r="V3960" s="22">
        <f>IF(OR($D3960="",$R3960="Trùng"),"",IF(COUNTIF(ORDERS!$C$2:$C$4995,$D3960)&gt;0,"Có","Không"))</f>
        <v/>
      </c>
      <c r="W3960" s="22">
        <f>IF(OR($D3960="",$R3960="Trùng"),"",COUNTIFS(ORDERS!$C$2:$C$4995,$D3960,ORDERS!$L$2:$L$4995,"Đã chuyển khoản"))</f>
        <v/>
      </c>
      <c r="X3960" s="23">
        <f>IF(OR($D3960="",$R3960="Trùng"),"",SUMIFS(ORDERS!$J$2:$J$4995,ORDERS!$C$2:$C$4995,$D3960,ORDERS!$L$2:$L$4995,"Đã chuyển khoản"))</f>
        <v/>
      </c>
      <c r="Y3960" s="24" t="n"/>
    </row>
    <row r="3961" ht="14.25" customHeight="1" s="40">
      <c r="A3961" s="24" t="n"/>
      <c r="B3961" s="27" t="n"/>
      <c r="C3961" s="24" t="n"/>
      <c r="D3961" s="28" t="n"/>
      <c r="E3961" s="29" t="n"/>
      <c r="F3961" s="24" t="n"/>
      <c r="G3961" s="24" t="n"/>
      <c r="H3961" s="21">
        <f>IF(ISNUMBER($B3961),INT($B3961)-WEEKDAY($B3961,2)+1,"")</f>
        <v/>
      </c>
      <c r="I3961" s="24" t="n"/>
      <c r="J3961" s="22">
        <f t="array" ref="J3961">IF($D3961="","",IF($I3961="","(trống REF)",IFERROR(INDEX(MASTER_SOURCE!$B$2:$B$495,MATCH($I3961,MASTER_SOURCE!$A$2:$A$495,0)),"(REF không có trong MASTER_SOURCE)")))</f>
        <v/>
      </c>
      <c r="K3961" s="22">
        <f t="array" ref="K3961">IF($D3961="","",IFERROR(INDEX(MASTER_SOURCE!$C$2:$C$495,MATCH($I3961,MASTER_SOURCE!$A$2:$A$495,0)),""))</f>
        <v/>
      </c>
      <c r="L3961" s="22">
        <f t="array" ref="L3961">IF($D3961="","",IFERROR(INDEX(MASTER_SOURCE!$D$2:$D$495,MATCH($I3961,MASTER_SOURCE!$A$2:$A$495,0)),""))</f>
        <v/>
      </c>
      <c r="M3961" s="24" t="n"/>
      <c r="N3961" s="24" t="n"/>
      <c r="O3961" s="24" t="n"/>
      <c r="P3961" s="24" t="n"/>
      <c r="Q3961" s="22">
        <f>IF($D3961="","",IF(AND(OR(DANH_MUC!$L$5&lt;&gt;"Có",M3961="Có"),OR(DANH_MUC!$L$6&lt;&gt;"Có",N3961="Có"),OR(DANH_MUC!$L$7&lt;&gt;"Có",O3961="Có"),OR(DANH_MUC!$L$8&lt;&gt;"Có",P3961="Có")),"Có","Không"))</f>
        <v/>
      </c>
      <c r="R3961" s="22">
        <f>IF($D3961="","",IF(COUNTIF($D$2:$D3961,$D3961)&gt;1,"Trùng",""))</f>
        <v/>
      </c>
      <c r="S3961" s="22">
        <f>IF($D3961="","",IF(AND(LEN($D3961)=10,LEFT($D3961,1)="0",ISNUMBER(--$D3961)),"Có","Không"))</f>
        <v/>
      </c>
      <c r="T3961" s="22">
        <f>IF($D3961="","",IF(AND($C3961&lt;&gt;"",$Q3961="Có",$R3961="",$S3961="Có",AND($L3961&lt;&gt;"",OR($L3961&lt;&gt;"Chưa xác định",DANH_MUC!$L$9="Có"))),"Có","Không"))</f>
        <v/>
      </c>
      <c r="U3961" s="22">
        <f>IF(OR($D3961="",$T3961="Có"),"",IF($C3961="","Thiếu họ tên; ","")&amp;IF($S3961&lt;&gt;"Có","SĐT sai định dạng; ","")&amp;IF($R3961="Trùng","Trùng SĐT; ","")&amp;IF($Q3961&lt;&gt;"Có","Thiếu đồng ý bắt buộc; ","")&amp;IF($L3961="","Thiếu/sai Mã REF; ",IF(AND($L3961="Chưa xác định",DANH_MUC!$L$9&lt;&gt;"Có"),"Nguồn chưa xác định; ","")))</f>
        <v/>
      </c>
      <c r="V3961" s="22">
        <f>IF(OR($D3961="",$R3961="Trùng"),"",IF(COUNTIF(ORDERS!$C$2:$C$4995,$D3961)&gt;0,"Có","Không"))</f>
        <v/>
      </c>
      <c r="W3961" s="22">
        <f>IF(OR($D3961="",$R3961="Trùng"),"",COUNTIFS(ORDERS!$C$2:$C$4995,$D3961,ORDERS!$L$2:$L$4995,"Đã chuyển khoản"))</f>
        <v/>
      </c>
      <c r="X3961" s="23">
        <f>IF(OR($D3961="",$R3961="Trùng"),"",SUMIFS(ORDERS!$J$2:$J$4995,ORDERS!$C$2:$C$4995,$D3961,ORDERS!$L$2:$L$4995,"Đã chuyển khoản"))</f>
        <v/>
      </c>
      <c r="Y3961" s="24" t="n"/>
    </row>
    <row r="3962" ht="14.25" customHeight="1" s="40">
      <c r="A3962" s="24" t="n"/>
      <c r="B3962" s="27" t="n"/>
      <c r="C3962" s="24" t="n"/>
      <c r="D3962" s="28" t="n"/>
      <c r="E3962" s="29" t="n"/>
      <c r="F3962" s="24" t="n"/>
      <c r="G3962" s="24" t="n"/>
      <c r="H3962" s="21">
        <f>IF(ISNUMBER($B3962),INT($B3962)-WEEKDAY($B3962,2)+1,"")</f>
        <v/>
      </c>
      <c r="I3962" s="24" t="n"/>
      <c r="J3962" s="22">
        <f t="array" ref="J3962">IF($D3962="","",IF($I3962="","(trống REF)",IFERROR(INDEX(MASTER_SOURCE!$B$2:$B$495,MATCH($I3962,MASTER_SOURCE!$A$2:$A$495,0)),"(REF không có trong MASTER_SOURCE)")))</f>
        <v/>
      </c>
      <c r="K3962" s="22">
        <f t="array" ref="K3962">IF($D3962="","",IFERROR(INDEX(MASTER_SOURCE!$C$2:$C$495,MATCH($I3962,MASTER_SOURCE!$A$2:$A$495,0)),""))</f>
        <v/>
      </c>
      <c r="L3962" s="22">
        <f t="array" ref="L3962">IF($D3962="","",IFERROR(INDEX(MASTER_SOURCE!$D$2:$D$495,MATCH($I3962,MASTER_SOURCE!$A$2:$A$495,0)),""))</f>
        <v/>
      </c>
      <c r="M3962" s="24" t="n"/>
      <c r="N3962" s="24" t="n"/>
      <c r="O3962" s="24" t="n"/>
      <c r="P3962" s="24" t="n"/>
      <c r="Q3962" s="22">
        <f>IF($D3962="","",IF(AND(OR(DANH_MUC!$L$5&lt;&gt;"Có",M3962="Có"),OR(DANH_MUC!$L$6&lt;&gt;"Có",N3962="Có"),OR(DANH_MUC!$L$7&lt;&gt;"Có",O3962="Có"),OR(DANH_MUC!$L$8&lt;&gt;"Có",P3962="Có")),"Có","Không"))</f>
        <v/>
      </c>
      <c r="R3962" s="22">
        <f>IF($D3962="","",IF(COUNTIF($D$2:$D3962,$D3962)&gt;1,"Trùng",""))</f>
        <v/>
      </c>
      <c r="S3962" s="22">
        <f>IF($D3962="","",IF(AND(LEN($D3962)=10,LEFT($D3962,1)="0",ISNUMBER(--$D3962)),"Có","Không"))</f>
        <v/>
      </c>
      <c r="T3962" s="22">
        <f>IF($D3962="","",IF(AND($C3962&lt;&gt;"",$Q3962="Có",$R3962="",$S3962="Có",AND($L3962&lt;&gt;"",OR($L3962&lt;&gt;"Chưa xác định",DANH_MUC!$L$9="Có"))),"Có","Không"))</f>
        <v/>
      </c>
      <c r="U3962" s="22">
        <f>IF(OR($D3962="",$T3962="Có"),"",IF($C3962="","Thiếu họ tên; ","")&amp;IF($S3962&lt;&gt;"Có","SĐT sai định dạng; ","")&amp;IF($R3962="Trùng","Trùng SĐT; ","")&amp;IF($Q3962&lt;&gt;"Có","Thiếu đồng ý bắt buộc; ","")&amp;IF($L3962="","Thiếu/sai Mã REF; ",IF(AND($L3962="Chưa xác định",DANH_MUC!$L$9&lt;&gt;"Có"),"Nguồn chưa xác định; ","")))</f>
        <v/>
      </c>
      <c r="V3962" s="22">
        <f>IF(OR($D3962="",$R3962="Trùng"),"",IF(COUNTIF(ORDERS!$C$2:$C$4995,$D3962)&gt;0,"Có","Không"))</f>
        <v/>
      </c>
      <c r="W3962" s="22">
        <f>IF(OR($D3962="",$R3962="Trùng"),"",COUNTIFS(ORDERS!$C$2:$C$4995,$D3962,ORDERS!$L$2:$L$4995,"Đã chuyển khoản"))</f>
        <v/>
      </c>
      <c r="X3962" s="23">
        <f>IF(OR($D3962="",$R3962="Trùng"),"",SUMIFS(ORDERS!$J$2:$J$4995,ORDERS!$C$2:$C$4995,$D3962,ORDERS!$L$2:$L$4995,"Đã chuyển khoản"))</f>
        <v/>
      </c>
      <c r="Y3962" s="24" t="n"/>
    </row>
    <row r="3963" ht="14.25" customHeight="1" s="40">
      <c r="A3963" s="24" t="n"/>
      <c r="B3963" s="27" t="n"/>
      <c r="C3963" s="24" t="n"/>
      <c r="D3963" s="28" t="n"/>
      <c r="E3963" s="29" t="n"/>
      <c r="F3963" s="24" t="n"/>
      <c r="G3963" s="24" t="n"/>
      <c r="H3963" s="21">
        <f>IF(ISNUMBER($B3963),INT($B3963)-WEEKDAY($B3963,2)+1,"")</f>
        <v/>
      </c>
      <c r="I3963" s="24" t="n"/>
      <c r="J3963" s="22">
        <f t="array" ref="J3963">IF($D3963="","",IF($I3963="","(trống REF)",IFERROR(INDEX(MASTER_SOURCE!$B$2:$B$495,MATCH($I3963,MASTER_SOURCE!$A$2:$A$495,0)),"(REF không có trong MASTER_SOURCE)")))</f>
        <v/>
      </c>
      <c r="K3963" s="22">
        <f t="array" ref="K3963">IF($D3963="","",IFERROR(INDEX(MASTER_SOURCE!$C$2:$C$495,MATCH($I3963,MASTER_SOURCE!$A$2:$A$495,0)),""))</f>
        <v/>
      </c>
      <c r="L3963" s="22">
        <f t="array" ref="L3963">IF($D3963="","",IFERROR(INDEX(MASTER_SOURCE!$D$2:$D$495,MATCH($I3963,MASTER_SOURCE!$A$2:$A$495,0)),""))</f>
        <v/>
      </c>
      <c r="M3963" s="24" t="n"/>
      <c r="N3963" s="24" t="n"/>
      <c r="O3963" s="24" t="n"/>
      <c r="P3963" s="24" t="n"/>
      <c r="Q3963" s="22">
        <f>IF($D3963="","",IF(AND(OR(DANH_MUC!$L$5&lt;&gt;"Có",M3963="Có"),OR(DANH_MUC!$L$6&lt;&gt;"Có",N3963="Có"),OR(DANH_MUC!$L$7&lt;&gt;"Có",O3963="Có"),OR(DANH_MUC!$L$8&lt;&gt;"Có",P3963="Có")),"Có","Không"))</f>
        <v/>
      </c>
      <c r="R3963" s="22">
        <f>IF($D3963="","",IF(COUNTIF($D$2:$D3963,$D3963)&gt;1,"Trùng",""))</f>
        <v/>
      </c>
      <c r="S3963" s="22">
        <f>IF($D3963="","",IF(AND(LEN($D3963)=10,LEFT($D3963,1)="0",ISNUMBER(--$D3963)),"Có","Không"))</f>
        <v/>
      </c>
      <c r="T3963" s="22">
        <f>IF($D3963="","",IF(AND($C3963&lt;&gt;"",$Q3963="Có",$R3963="",$S3963="Có",AND($L3963&lt;&gt;"",OR($L3963&lt;&gt;"Chưa xác định",DANH_MUC!$L$9="Có"))),"Có","Không"))</f>
        <v/>
      </c>
      <c r="U3963" s="22">
        <f>IF(OR($D3963="",$T3963="Có"),"",IF($C3963="","Thiếu họ tên; ","")&amp;IF($S3963&lt;&gt;"Có","SĐT sai định dạng; ","")&amp;IF($R3963="Trùng","Trùng SĐT; ","")&amp;IF($Q3963&lt;&gt;"Có","Thiếu đồng ý bắt buộc; ","")&amp;IF($L3963="","Thiếu/sai Mã REF; ",IF(AND($L3963="Chưa xác định",DANH_MUC!$L$9&lt;&gt;"Có"),"Nguồn chưa xác định; ","")))</f>
        <v/>
      </c>
      <c r="V3963" s="22">
        <f>IF(OR($D3963="",$R3963="Trùng"),"",IF(COUNTIF(ORDERS!$C$2:$C$4995,$D3963)&gt;0,"Có","Không"))</f>
        <v/>
      </c>
      <c r="W3963" s="22">
        <f>IF(OR($D3963="",$R3963="Trùng"),"",COUNTIFS(ORDERS!$C$2:$C$4995,$D3963,ORDERS!$L$2:$L$4995,"Đã chuyển khoản"))</f>
        <v/>
      </c>
      <c r="X3963" s="23">
        <f>IF(OR($D3963="",$R3963="Trùng"),"",SUMIFS(ORDERS!$J$2:$J$4995,ORDERS!$C$2:$C$4995,$D3963,ORDERS!$L$2:$L$4995,"Đã chuyển khoản"))</f>
        <v/>
      </c>
      <c r="Y3963" s="24" t="n"/>
    </row>
    <row r="3964" ht="14.25" customHeight="1" s="40">
      <c r="A3964" s="24" t="n"/>
      <c r="B3964" s="27" t="n"/>
      <c r="C3964" s="24" t="n"/>
      <c r="D3964" s="28" t="n"/>
      <c r="E3964" s="29" t="n"/>
      <c r="F3964" s="24" t="n"/>
      <c r="G3964" s="24" t="n"/>
      <c r="H3964" s="21">
        <f>IF(ISNUMBER($B3964),INT($B3964)-WEEKDAY($B3964,2)+1,"")</f>
        <v/>
      </c>
      <c r="I3964" s="24" t="n"/>
      <c r="J3964" s="22">
        <f t="array" ref="J3964">IF($D3964="","",IF($I3964="","(trống REF)",IFERROR(INDEX(MASTER_SOURCE!$B$2:$B$495,MATCH($I3964,MASTER_SOURCE!$A$2:$A$495,0)),"(REF không có trong MASTER_SOURCE)")))</f>
        <v/>
      </c>
      <c r="K3964" s="22">
        <f t="array" ref="K3964">IF($D3964="","",IFERROR(INDEX(MASTER_SOURCE!$C$2:$C$495,MATCH($I3964,MASTER_SOURCE!$A$2:$A$495,0)),""))</f>
        <v/>
      </c>
      <c r="L3964" s="22">
        <f t="array" ref="L3964">IF($D3964="","",IFERROR(INDEX(MASTER_SOURCE!$D$2:$D$495,MATCH($I3964,MASTER_SOURCE!$A$2:$A$495,0)),""))</f>
        <v/>
      </c>
      <c r="M3964" s="24" t="n"/>
      <c r="N3964" s="24" t="n"/>
      <c r="O3964" s="24" t="n"/>
      <c r="P3964" s="24" t="n"/>
      <c r="Q3964" s="22">
        <f>IF($D3964="","",IF(AND(OR(DANH_MUC!$L$5&lt;&gt;"Có",M3964="Có"),OR(DANH_MUC!$L$6&lt;&gt;"Có",N3964="Có"),OR(DANH_MUC!$L$7&lt;&gt;"Có",O3964="Có"),OR(DANH_MUC!$L$8&lt;&gt;"Có",P3964="Có")),"Có","Không"))</f>
        <v/>
      </c>
      <c r="R3964" s="22">
        <f>IF($D3964="","",IF(COUNTIF($D$2:$D3964,$D3964)&gt;1,"Trùng",""))</f>
        <v/>
      </c>
      <c r="S3964" s="22">
        <f>IF($D3964="","",IF(AND(LEN($D3964)=10,LEFT($D3964,1)="0",ISNUMBER(--$D3964)),"Có","Không"))</f>
        <v/>
      </c>
      <c r="T3964" s="22">
        <f>IF($D3964="","",IF(AND($C3964&lt;&gt;"",$Q3964="Có",$R3964="",$S3964="Có",AND($L3964&lt;&gt;"",OR($L3964&lt;&gt;"Chưa xác định",DANH_MUC!$L$9="Có"))),"Có","Không"))</f>
        <v/>
      </c>
      <c r="U3964" s="22">
        <f>IF(OR($D3964="",$T3964="Có"),"",IF($C3964="","Thiếu họ tên; ","")&amp;IF($S3964&lt;&gt;"Có","SĐT sai định dạng; ","")&amp;IF($R3964="Trùng","Trùng SĐT; ","")&amp;IF($Q3964&lt;&gt;"Có","Thiếu đồng ý bắt buộc; ","")&amp;IF($L3964="","Thiếu/sai Mã REF; ",IF(AND($L3964="Chưa xác định",DANH_MUC!$L$9&lt;&gt;"Có"),"Nguồn chưa xác định; ","")))</f>
        <v/>
      </c>
      <c r="V3964" s="22">
        <f>IF(OR($D3964="",$R3964="Trùng"),"",IF(COUNTIF(ORDERS!$C$2:$C$4995,$D3964)&gt;0,"Có","Không"))</f>
        <v/>
      </c>
      <c r="W3964" s="22">
        <f>IF(OR($D3964="",$R3964="Trùng"),"",COUNTIFS(ORDERS!$C$2:$C$4995,$D3964,ORDERS!$L$2:$L$4995,"Đã chuyển khoản"))</f>
        <v/>
      </c>
      <c r="X3964" s="23">
        <f>IF(OR($D3964="",$R3964="Trùng"),"",SUMIFS(ORDERS!$J$2:$J$4995,ORDERS!$C$2:$C$4995,$D3964,ORDERS!$L$2:$L$4995,"Đã chuyển khoản"))</f>
        <v/>
      </c>
      <c r="Y3964" s="24" t="n"/>
    </row>
    <row r="3965" ht="14.25" customHeight="1" s="40">
      <c r="A3965" s="24" t="n"/>
      <c r="B3965" s="27" t="n"/>
      <c r="C3965" s="24" t="n"/>
      <c r="D3965" s="28" t="n"/>
      <c r="E3965" s="29" t="n"/>
      <c r="F3965" s="24" t="n"/>
      <c r="G3965" s="24" t="n"/>
      <c r="H3965" s="21">
        <f>IF(ISNUMBER($B3965),INT($B3965)-WEEKDAY($B3965,2)+1,"")</f>
        <v/>
      </c>
      <c r="I3965" s="24" t="n"/>
      <c r="J3965" s="22">
        <f t="array" ref="J3965">IF($D3965="","",IF($I3965="","(trống REF)",IFERROR(INDEX(MASTER_SOURCE!$B$2:$B$495,MATCH($I3965,MASTER_SOURCE!$A$2:$A$495,0)),"(REF không có trong MASTER_SOURCE)")))</f>
        <v/>
      </c>
      <c r="K3965" s="22">
        <f t="array" ref="K3965">IF($D3965="","",IFERROR(INDEX(MASTER_SOURCE!$C$2:$C$495,MATCH($I3965,MASTER_SOURCE!$A$2:$A$495,0)),""))</f>
        <v/>
      </c>
      <c r="L3965" s="22">
        <f t="array" ref="L3965">IF($D3965="","",IFERROR(INDEX(MASTER_SOURCE!$D$2:$D$495,MATCH($I3965,MASTER_SOURCE!$A$2:$A$495,0)),""))</f>
        <v/>
      </c>
      <c r="M3965" s="24" t="n"/>
      <c r="N3965" s="24" t="n"/>
      <c r="O3965" s="24" t="n"/>
      <c r="P3965" s="24" t="n"/>
      <c r="Q3965" s="22">
        <f>IF($D3965="","",IF(AND(OR(DANH_MUC!$L$5&lt;&gt;"Có",M3965="Có"),OR(DANH_MUC!$L$6&lt;&gt;"Có",N3965="Có"),OR(DANH_MUC!$L$7&lt;&gt;"Có",O3965="Có"),OR(DANH_MUC!$L$8&lt;&gt;"Có",P3965="Có")),"Có","Không"))</f>
        <v/>
      </c>
      <c r="R3965" s="22">
        <f>IF($D3965="","",IF(COUNTIF($D$2:$D3965,$D3965)&gt;1,"Trùng",""))</f>
        <v/>
      </c>
      <c r="S3965" s="22">
        <f>IF($D3965="","",IF(AND(LEN($D3965)=10,LEFT($D3965,1)="0",ISNUMBER(--$D3965)),"Có","Không"))</f>
        <v/>
      </c>
      <c r="T3965" s="22">
        <f>IF($D3965="","",IF(AND($C3965&lt;&gt;"",$Q3965="Có",$R3965="",$S3965="Có",AND($L3965&lt;&gt;"",OR($L3965&lt;&gt;"Chưa xác định",DANH_MUC!$L$9="Có"))),"Có","Không"))</f>
        <v/>
      </c>
      <c r="U3965" s="22">
        <f>IF(OR($D3965="",$T3965="Có"),"",IF($C3965="","Thiếu họ tên; ","")&amp;IF($S3965&lt;&gt;"Có","SĐT sai định dạng; ","")&amp;IF($R3965="Trùng","Trùng SĐT; ","")&amp;IF($Q3965&lt;&gt;"Có","Thiếu đồng ý bắt buộc; ","")&amp;IF($L3965="","Thiếu/sai Mã REF; ",IF(AND($L3965="Chưa xác định",DANH_MUC!$L$9&lt;&gt;"Có"),"Nguồn chưa xác định; ","")))</f>
        <v/>
      </c>
      <c r="V3965" s="22">
        <f>IF(OR($D3965="",$R3965="Trùng"),"",IF(COUNTIF(ORDERS!$C$2:$C$4995,$D3965)&gt;0,"Có","Không"))</f>
        <v/>
      </c>
      <c r="W3965" s="22">
        <f>IF(OR($D3965="",$R3965="Trùng"),"",COUNTIFS(ORDERS!$C$2:$C$4995,$D3965,ORDERS!$L$2:$L$4995,"Đã chuyển khoản"))</f>
        <v/>
      </c>
      <c r="X3965" s="23">
        <f>IF(OR($D3965="",$R3965="Trùng"),"",SUMIFS(ORDERS!$J$2:$J$4995,ORDERS!$C$2:$C$4995,$D3965,ORDERS!$L$2:$L$4995,"Đã chuyển khoản"))</f>
        <v/>
      </c>
      <c r="Y3965" s="24" t="n"/>
    </row>
    <row r="3966" ht="14.25" customHeight="1" s="40">
      <c r="A3966" s="24" t="n"/>
      <c r="B3966" s="27" t="n"/>
      <c r="C3966" s="24" t="n"/>
      <c r="D3966" s="28" t="n"/>
      <c r="E3966" s="29" t="n"/>
      <c r="F3966" s="24" t="n"/>
      <c r="G3966" s="24" t="n"/>
      <c r="H3966" s="21">
        <f>IF(ISNUMBER($B3966),INT($B3966)-WEEKDAY($B3966,2)+1,"")</f>
        <v/>
      </c>
      <c r="I3966" s="24" t="n"/>
      <c r="J3966" s="22">
        <f t="array" ref="J3966">IF($D3966="","",IF($I3966="","(trống REF)",IFERROR(INDEX(MASTER_SOURCE!$B$2:$B$495,MATCH($I3966,MASTER_SOURCE!$A$2:$A$495,0)),"(REF không có trong MASTER_SOURCE)")))</f>
        <v/>
      </c>
      <c r="K3966" s="22">
        <f t="array" ref="K3966">IF($D3966="","",IFERROR(INDEX(MASTER_SOURCE!$C$2:$C$495,MATCH($I3966,MASTER_SOURCE!$A$2:$A$495,0)),""))</f>
        <v/>
      </c>
      <c r="L3966" s="22">
        <f t="array" ref="L3966">IF($D3966="","",IFERROR(INDEX(MASTER_SOURCE!$D$2:$D$495,MATCH($I3966,MASTER_SOURCE!$A$2:$A$495,0)),""))</f>
        <v/>
      </c>
      <c r="M3966" s="24" t="n"/>
      <c r="N3966" s="24" t="n"/>
      <c r="O3966" s="24" t="n"/>
      <c r="P3966" s="24" t="n"/>
      <c r="Q3966" s="22">
        <f>IF($D3966="","",IF(AND(OR(DANH_MUC!$L$5&lt;&gt;"Có",M3966="Có"),OR(DANH_MUC!$L$6&lt;&gt;"Có",N3966="Có"),OR(DANH_MUC!$L$7&lt;&gt;"Có",O3966="Có"),OR(DANH_MUC!$L$8&lt;&gt;"Có",P3966="Có")),"Có","Không"))</f>
        <v/>
      </c>
      <c r="R3966" s="22">
        <f>IF($D3966="","",IF(COUNTIF($D$2:$D3966,$D3966)&gt;1,"Trùng",""))</f>
        <v/>
      </c>
      <c r="S3966" s="22">
        <f>IF($D3966="","",IF(AND(LEN($D3966)=10,LEFT($D3966,1)="0",ISNUMBER(--$D3966)),"Có","Không"))</f>
        <v/>
      </c>
      <c r="T3966" s="22">
        <f>IF($D3966="","",IF(AND($C3966&lt;&gt;"",$Q3966="Có",$R3966="",$S3966="Có",AND($L3966&lt;&gt;"",OR($L3966&lt;&gt;"Chưa xác định",DANH_MUC!$L$9="Có"))),"Có","Không"))</f>
        <v/>
      </c>
      <c r="U3966" s="22">
        <f>IF(OR($D3966="",$T3966="Có"),"",IF($C3966="","Thiếu họ tên; ","")&amp;IF($S3966&lt;&gt;"Có","SĐT sai định dạng; ","")&amp;IF($R3966="Trùng","Trùng SĐT; ","")&amp;IF($Q3966&lt;&gt;"Có","Thiếu đồng ý bắt buộc; ","")&amp;IF($L3966="","Thiếu/sai Mã REF; ",IF(AND($L3966="Chưa xác định",DANH_MUC!$L$9&lt;&gt;"Có"),"Nguồn chưa xác định; ","")))</f>
        <v/>
      </c>
      <c r="V3966" s="22">
        <f>IF(OR($D3966="",$R3966="Trùng"),"",IF(COUNTIF(ORDERS!$C$2:$C$4995,$D3966)&gt;0,"Có","Không"))</f>
        <v/>
      </c>
      <c r="W3966" s="22">
        <f>IF(OR($D3966="",$R3966="Trùng"),"",COUNTIFS(ORDERS!$C$2:$C$4995,$D3966,ORDERS!$L$2:$L$4995,"Đã chuyển khoản"))</f>
        <v/>
      </c>
      <c r="X3966" s="23">
        <f>IF(OR($D3966="",$R3966="Trùng"),"",SUMIFS(ORDERS!$J$2:$J$4995,ORDERS!$C$2:$C$4995,$D3966,ORDERS!$L$2:$L$4995,"Đã chuyển khoản"))</f>
        <v/>
      </c>
      <c r="Y3966" s="24" t="n"/>
    </row>
    <row r="3967" ht="14.25" customHeight="1" s="40">
      <c r="A3967" s="24" t="n"/>
      <c r="B3967" s="27" t="n"/>
      <c r="C3967" s="24" t="n"/>
      <c r="D3967" s="28" t="n"/>
      <c r="E3967" s="29" t="n"/>
      <c r="F3967" s="24" t="n"/>
      <c r="G3967" s="24" t="n"/>
      <c r="H3967" s="21">
        <f>IF(ISNUMBER($B3967),INT($B3967)-WEEKDAY($B3967,2)+1,"")</f>
        <v/>
      </c>
      <c r="I3967" s="24" t="n"/>
      <c r="J3967" s="22">
        <f t="array" ref="J3967">IF($D3967="","",IF($I3967="","(trống REF)",IFERROR(INDEX(MASTER_SOURCE!$B$2:$B$495,MATCH($I3967,MASTER_SOURCE!$A$2:$A$495,0)),"(REF không có trong MASTER_SOURCE)")))</f>
        <v/>
      </c>
      <c r="K3967" s="22">
        <f t="array" ref="K3967">IF($D3967="","",IFERROR(INDEX(MASTER_SOURCE!$C$2:$C$495,MATCH($I3967,MASTER_SOURCE!$A$2:$A$495,0)),""))</f>
        <v/>
      </c>
      <c r="L3967" s="22">
        <f t="array" ref="L3967">IF($D3967="","",IFERROR(INDEX(MASTER_SOURCE!$D$2:$D$495,MATCH($I3967,MASTER_SOURCE!$A$2:$A$495,0)),""))</f>
        <v/>
      </c>
      <c r="M3967" s="24" t="n"/>
      <c r="N3967" s="24" t="n"/>
      <c r="O3967" s="24" t="n"/>
      <c r="P3967" s="24" t="n"/>
      <c r="Q3967" s="22">
        <f>IF($D3967="","",IF(AND(OR(DANH_MUC!$L$5&lt;&gt;"Có",M3967="Có"),OR(DANH_MUC!$L$6&lt;&gt;"Có",N3967="Có"),OR(DANH_MUC!$L$7&lt;&gt;"Có",O3967="Có"),OR(DANH_MUC!$L$8&lt;&gt;"Có",P3967="Có")),"Có","Không"))</f>
        <v/>
      </c>
      <c r="R3967" s="22">
        <f>IF($D3967="","",IF(COUNTIF($D$2:$D3967,$D3967)&gt;1,"Trùng",""))</f>
        <v/>
      </c>
      <c r="S3967" s="22">
        <f>IF($D3967="","",IF(AND(LEN($D3967)=10,LEFT($D3967,1)="0",ISNUMBER(--$D3967)),"Có","Không"))</f>
        <v/>
      </c>
      <c r="T3967" s="22">
        <f>IF($D3967="","",IF(AND($C3967&lt;&gt;"",$Q3967="Có",$R3967="",$S3967="Có",AND($L3967&lt;&gt;"",OR($L3967&lt;&gt;"Chưa xác định",DANH_MUC!$L$9="Có"))),"Có","Không"))</f>
        <v/>
      </c>
      <c r="U3967" s="22">
        <f>IF(OR($D3967="",$T3967="Có"),"",IF($C3967="","Thiếu họ tên; ","")&amp;IF($S3967&lt;&gt;"Có","SĐT sai định dạng; ","")&amp;IF($R3967="Trùng","Trùng SĐT; ","")&amp;IF($Q3967&lt;&gt;"Có","Thiếu đồng ý bắt buộc; ","")&amp;IF($L3967="","Thiếu/sai Mã REF; ",IF(AND($L3967="Chưa xác định",DANH_MUC!$L$9&lt;&gt;"Có"),"Nguồn chưa xác định; ","")))</f>
        <v/>
      </c>
      <c r="V3967" s="22">
        <f>IF(OR($D3967="",$R3967="Trùng"),"",IF(COUNTIF(ORDERS!$C$2:$C$4995,$D3967)&gt;0,"Có","Không"))</f>
        <v/>
      </c>
      <c r="W3967" s="22">
        <f>IF(OR($D3967="",$R3967="Trùng"),"",COUNTIFS(ORDERS!$C$2:$C$4995,$D3967,ORDERS!$L$2:$L$4995,"Đã chuyển khoản"))</f>
        <v/>
      </c>
      <c r="X3967" s="23">
        <f>IF(OR($D3967="",$R3967="Trùng"),"",SUMIFS(ORDERS!$J$2:$J$4995,ORDERS!$C$2:$C$4995,$D3967,ORDERS!$L$2:$L$4995,"Đã chuyển khoản"))</f>
        <v/>
      </c>
      <c r="Y3967" s="24" t="n"/>
    </row>
    <row r="3968" ht="14.25" customHeight="1" s="40">
      <c r="A3968" s="24" t="n"/>
      <c r="B3968" s="27" t="n"/>
      <c r="C3968" s="24" t="n"/>
      <c r="D3968" s="28" t="n"/>
      <c r="E3968" s="29" t="n"/>
      <c r="F3968" s="24" t="n"/>
      <c r="G3968" s="24" t="n"/>
      <c r="H3968" s="21">
        <f>IF(ISNUMBER($B3968),INT($B3968)-WEEKDAY($B3968,2)+1,"")</f>
        <v/>
      </c>
      <c r="I3968" s="24" t="n"/>
      <c r="J3968" s="22">
        <f t="array" ref="J3968">IF($D3968="","",IF($I3968="","(trống REF)",IFERROR(INDEX(MASTER_SOURCE!$B$2:$B$495,MATCH($I3968,MASTER_SOURCE!$A$2:$A$495,0)),"(REF không có trong MASTER_SOURCE)")))</f>
        <v/>
      </c>
      <c r="K3968" s="22">
        <f t="array" ref="K3968">IF($D3968="","",IFERROR(INDEX(MASTER_SOURCE!$C$2:$C$495,MATCH($I3968,MASTER_SOURCE!$A$2:$A$495,0)),""))</f>
        <v/>
      </c>
      <c r="L3968" s="22">
        <f t="array" ref="L3968">IF($D3968="","",IFERROR(INDEX(MASTER_SOURCE!$D$2:$D$495,MATCH($I3968,MASTER_SOURCE!$A$2:$A$495,0)),""))</f>
        <v/>
      </c>
      <c r="M3968" s="24" t="n"/>
      <c r="N3968" s="24" t="n"/>
      <c r="O3968" s="24" t="n"/>
      <c r="P3968" s="24" t="n"/>
      <c r="Q3968" s="22">
        <f>IF($D3968="","",IF(AND(OR(DANH_MUC!$L$5&lt;&gt;"Có",M3968="Có"),OR(DANH_MUC!$L$6&lt;&gt;"Có",N3968="Có"),OR(DANH_MUC!$L$7&lt;&gt;"Có",O3968="Có"),OR(DANH_MUC!$L$8&lt;&gt;"Có",P3968="Có")),"Có","Không"))</f>
        <v/>
      </c>
      <c r="R3968" s="22">
        <f>IF($D3968="","",IF(COUNTIF($D$2:$D3968,$D3968)&gt;1,"Trùng",""))</f>
        <v/>
      </c>
      <c r="S3968" s="22">
        <f>IF($D3968="","",IF(AND(LEN($D3968)=10,LEFT($D3968,1)="0",ISNUMBER(--$D3968)),"Có","Không"))</f>
        <v/>
      </c>
      <c r="T3968" s="22">
        <f>IF($D3968="","",IF(AND($C3968&lt;&gt;"",$Q3968="Có",$R3968="",$S3968="Có",AND($L3968&lt;&gt;"",OR($L3968&lt;&gt;"Chưa xác định",DANH_MUC!$L$9="Có"))),"Có","Không"))</f>
        <v/>
      </c>
      <c r="U3968" s="22">
        <f>IF(OR($D3968="",$T3968="Có"),"",IF($C3968="","Thiếu họ tên; ","")&amp;IF($S3968&lt;&gt;"Có","SĐT sai định dạng; ","")&amp;IF($R3968="Trùng","Trùng SĐT; ","")&amp;IF($Q3968&lt;&gt;"Có","Thiếu đồng ý bắt buộc; ","")&amp;IF($L3968="","Thiếu/sai Mã REF; ",IF(AND($L3968="Chưa xác định",DANH_MUC!$L$9&lt;&gt;"Có"),"Nguồn chưa xác định; ","")))</f>
        <v/>
      </c>
      <c r="V3968" s="22">
        <f>IF(OR($D3968="",$R3968="Trùng"),"",IF(COUNTIF(ORDERS!$C$2:$C$4995,$D3968)&gt;0,"Có","Không"))</f>
        <v/>
      </c>
      <c r="W3968" s="22">
        <f>IF(OR($D3968="",$R3968="Trùng"),"",COUNTIFS(ORDERS!$C$2:$C$4995,$D3968,ORDERS!$L$2:$L$4995,"Đã chuyển khoản"))</f>
        <v/>
      </c>
      <c r="X3968" s="23">
        <f>IF(OR($D3968="",$R3968="Trùng"),"",SUMIFS(ORDERS!$J$2:$J$4995,ORDERS!$C$2:$C$4995,$D3968,ORDERS!$L$2:$L$4995,"Đã chuyển khoản"))</f>
        <v/>
      </c>
      <c r="Y3968" s="24" t="n"/>
    </row>
    <row r="3969" ht="14.25" customHeight="1" s="40">
      <c r="A3969" s="24" t="n"/>
      <c r="B3969" s="27" t="n"/>
      <c r="C3969" s="24" t="n"/>
      <c r="D3969" s="28" t="n"/>
      <c r="E3969" s="29" t="n"/>
      <c r="F3969" s="24" t="n"/>
      <c r="G3969" s="24" t="n"/>
      <c r="H3969" s="21">
        <f>IF(ISNUMBER($B3969),INT($B3969)-WEEKDAY($B3969,2)+1,"")</f>
        <v/>
      </c>
      <c r="I3969" s="24" t="n"/>
      <c r="J3969" s="22">
        <f t="array" ref="J3969">IF($D3969="","",IF($I3969="","(trống REF)",IFERROR(INDEX(MASTER_SOURCE!$B$2:$B$495,MATCH($I3969,MASTER_SOURCE!$A$2:$A$495,0)),"(REF không có trong MASTER_SOURCE)")))</f>
        <v/>
      </c>
      <c r="K3969" s="22">
        <f t="array" ref="K3969">IF($D3969="","",IFERROR(INDEX(MASTER_SOURCE!$C$2:$C$495,MATCH($I3969,MASTER_SOURCE!$A$2:$A$495,0)),""))</f>
        <v/>
      </c>
      <c r="L3969" s="22">
        <f t="array" ref="L3969">IF($D3969="","",IFERROR(INDEX(MASTER_SOURCE!$D$2:$D$495,MATCH($I3969,MASTER_SOURCE!$A$2:$A$495,0)),""))</f>
        <v/>
      </c>
      <c r="M3969" s="24" t="n"/>
      <c r="N3969" s="24" t="n"/>
      <c r="O3969" s="24" t="n"/>
      <c r="P3969" s="24" t="n"/>
      <c r="Q3969" s="22">
        <f>IF($D3969="","",IF(AND(OR(DANH_MUC!$L$5&lt;&gt;"Có",M3969="Có"),OR(DANH_MUC!$L$6&lt;&gt;"Có",N3969="Có"),OR(DANH_MUC!$L$7&lt;&gt;"Có",O3969="Có"),OR(DANH_MUC!$L$8&lt;&gt;"Có",P3969="Có")),"Có","Không"))</f>
        <v/>
      </c>
      <c r="R3969" s="22">
        <f>IF($D3969="","",IF(COUNTIF($D$2:$D3969,$D3969)&gt;1,"Trùng",""))</f>
        <v/>
      </c>
      <c r="S3969" s="22">
        <f>IF($D3969="","",IF(AND(LEN($D3969)=10,LEFT($D3969,1)="0",ISNUMBER(--$D3969)),"Có","Không"))</f>
        <v/>
      </c>
      <c r="T3969" s="22">
        <f>IF($D3969="","",IF(AND($C3969&lt;&gt;"",$Q3969="Có",$R3969="",$S3969="Có",AND($L3969&lt;&gt;"",OR($L3969&lt;&gt;"Chưa xác định",DANH_MUC!$L$9="Có"))),"Có","Không"))</f>
        <v/>
      </c>
      <c r="U3969" s="22">
        <f>IF(OR($D3969="",$T3969="Có"),"",IF($C3969="","Thiếu họ tên; ","")&amp;IF($S3969&lt;&gt;"Có","SĐT sai định dạng; ","")&amp;IF($R3969="Trùng","Trùng SĐT; ","")&amp;IF($Q3969&lt;&gt;"Có","Thiếu đồng ý bắt buộc; ","")&amp;IF($L3969="","Thiếu/sai Mã REF; ",IF(AND($L3969="Chưa xác định",DANH_MUC!$L$9&lt;&gt;"Có"),"Nguồn chưa xác định; ","")))</f>
        <v/>
      </c>
      <c r="V3969" s="22">
        <f>IF(OR($D3969="",$R3969="Trùng"),"",IF(COUNTIF(ORDERS!$C$2:$C$4995,$D3969)&gt;0,"Có","Không"))</f>
        <v/>
      </c>
      <c r="W3969" s="22">
        <f>IF(OR($D3969="",$R3969="Trùng"),"",COUNTIFS(ORDERS!$C$2:$C$4995,$D3969,ORDERS!$L$2:$L$4995,"Đã chuyển khoản"))</f>
        <v/>
      </c>
      <c r="X3969" s="23">
        <f>IF(OR($D3969="",$R3969="Trùng"),"",SUMIFS(ORDERS!$J$2:$J$4995,ORDERS!$C$2:$C$4995,$D3969,ORDERS!$L$2:$L$4995,"Đã chuyển khoản"))</f>
        <v/>
      </c>
      <c r="Y3969" s="24" t="n"/>
    </row>
    <row r="3970" ht="14.25" customHeight="1" s="40">
      <c r="A3970" s="24" t="n"/>
      <c r="B3970" s="27" t="n"/>
      <c r="C3970" s="24" t="n"/>
      <c r="D3970" s="28" t="n"/>
      <c r="E3970" s="29" t="n"/>
      <c r="F3970" s="24" t="n"/>
      <c r="G3970" s="24" t="n"/>
      <c r="H3970" s="21">
        <f>IF(ISNUMBER($B3970),INT($B3970)-WEEKDAY($B3970,2)+1,"")</f>
        <v/>
      </c>
      <c r="I3970" s="24" t="n"/>
      <c r="J3970" s="22">
        <f t="array" ref="J3970">IF($D3970="","",IF($I3970="","(trống REF)",IFERROR(INDEX(MASTER_SOURCE!$B$2:$B$495,MATCH($I3970,MASTER_SOURCE!$A$2:$A$495,0)),"(REF không có trong MASTER_SOURCE)")))</f>
        <v/>
      </c>
      <c r="K3970" s="22">
        <f t="array" ref="K3970">IF($D3970="","",IFERROR(INDEX(MASTER_SOURCE!$C$2:$C$495,MATCH($I3970,MASTER_SOURCE!$A$2:$A$495,0)),""))</f>
        <v/>
      </c>
      <c r="L3970" s="22">
        <f t="array" ref="L3970">IF($D3970="","",IFERROR(INDEX(MASTER_SOURCE!$D$2:$D$495,MATCH($I3970,MASTER_SOURCE!$A$2:$A$495,0)),""))</f>
        <v/>
      </c>
      <c r="M3970" s="24" t="n"/>
      <c r="N3970" s="24" t="n"/>
      <c r="O3970" s="24" t="n"/>
      <c r="P3970" s="24" t="n"/>
      <c r="Q3970" s="22">
        <f>IF($D3970="","",IF(AND(OR(DANH_MUC!$L$5&lt;&gt;"Có",M3970="Có"),OR(DANH_MUC!$L$6&lt;&gt;"Có",N3970="Có"),OR(DANH_MUC!$L$7&lt;&gt;"Có",O3970="Có"),OR(DANH_MUC!$L$8&lt;&gt;"Có",P3970="Có")),"Có","Không"))</f>
        <v/>
      </c>
      <c r="R3970" s="22">
        <f>IF($D3970="","",IF(COUNTIF($D$2:$D3970,$D3970)&gt;1,"Trùng",""))</f>
        <v/>
      </c>
      <c r="S3970" s="22">
        <f>IF($D3970="","",IF(AND(LEN($D3970)=10,LEFT($D3970,1)="0",ISNUMBER(--$D3970)),"Có","Không"))</f>
        <v/>
      </c>
      <c r="T3970" s="22">
        <f>IF($D3970="","",IF(AND($C3970&lt;&gt;"",$Q3970="Có",$R3970="",$S3970="Có",AND($L3970&lt;&gt;"",OR($L3970&lt;&gt;"Chưa xác định",DANH_MUC!$L$9="Có"))),"Có","Không"))</f>
        <v/>
      </c>
      <c r="U3970" s="22">
        <f>IF(OR($D3970="",$T3970="Có"),"",IF($C3970="","Thiếu họ tên; ","")&amp;IF($S3970&lt;&gt;"Có","SĐT sai định dạng; ","")&amp;IF($R3970="Trùng","Trùng SĐT; ","")&amp;IF($Q3970&lt;&gt;"Có","Thiếu đồng ý bắt buộc; ","")&amp;IF($L3970="","Thiếu/sai Mã REF; ",IF(AND($L3970="Chưa xác định",DANH_MUC!$L$9&lt;&gt;"Có"),"Nguồn chưa xác định; ","")))</f>
        <v/>
      </c>
      <c r="V3970" s="22">
        <f>IF(OR($D3970="",$R3970="Trùng"),"",IF(COUNTIF(ORDERS!$C$2:$C$4995,$D3970)&gt;0,"Có","Không"))</f>
        <v/>
      </c>
      <c r="W3970" s="22">
        <f>IF(OR($D3970="",$R3970="Trùng"),"",COUNTIFS(ORDERS!$C$2:$C$4995,$D3970,ORDERS!$L$2:$L$4995,"Đã chuyển khoản"))</f>
        <v/>
      </c>
      <c r="X3970" s="23">
        <f>IF(OR($D3970="",$R3970="Trùng"),"",SUMIFS(ORDERS!$J$2:$J$4995,ORDERS!$C$2:$C$4995,$D3970,ORDERS!$L$2:$L$4995,"Đã chuyển khoản"))</f>
        <v/>
      </c>
      <c r="Y3970" s="24" t="n"/>
    </row>
    <row r="3971" ht="14.25" customHeight="1" s="40">
      <c r="A3971" s="24" t="n"/>
      <c r="B3971" s="27" t="n"/>
      <c r="C3971" s="24" t="n"/>
      <c r="D3971" s="28" t="n"/>
      <c r="E3971" s="29" t="n"/>
      <c r="F3971" s="24" t="n"/>
      <c r="G3971" s="24" t="n"/>
      <c r="H3971" s="21">
        <f>IF(ISNUMBER($B3971),INT($B3971)-WEEKDAY($B3971,2)+1,"")</f>
        <v/>
      </c>
      <c r="I3971" s="24" t="n"/>
      <c r="J3971" s="22">
        <f t="array" ref="J3971">IF($D3971="","",IF($I3971="","(trống REF)",IFERROR(INDEX(MASTER_SOURCE!$B$2:$B$495,MATCH($I3971,MASTER_SOURCE!$A$2:$A$495,0)),"(REF không có trong MASTER_SOURCE)")))</f>
        <v/>
      </c>
      <c r="K3971" s="22">
        <f t="array" ref="K3971">IF($D3971="","",IFERROR(INDEX(MASTER_SOURCE!$C$2:$C$495,MATCH($I3971,MASTER_SOURCE!$A$2:$A$495,0)),""))</f>
        <v/>
      </c>
      <c r="L3971" s="22">
        <f t="array" ref="L3971">IF($D3971="","",IFERROR(INDEX(MASTER_SOURCE!$D$2:$D$495,MATCH($I3971,MASTER_SOURCE!$A$2:$A$495,0)),""))</f>
        <v/>
      </c>
      <c r="M3971" s="24" t="n"/>
      <c r="N3971" s="24" t="n"/>
      <c r="O3971" s="24" t="n"/>
      <c r="P3971" s="24" t="n"/>
      <c r="Q3971" s="22">
        <f>IF($D3971="","",IF(AND(OR(DANH_MUC!$L$5&lt;&gt;"Có",M3971="Có"),OR(DANH_MUC!$L$6&lt;&gt;"Có",N3971="Có"),OR(DANH_MUC!$L$7&lt;&gt;"Có",O3971="Có"),OR(DANH_MUC!$L$8&lt;&gt;"Có",P3971="Có")),"Có","Không"))</f>
        <v/>
      </c>
      <c r="R3971" s="22">
        <f>IF($D3971="","",IF(COUNTIF($D$2:$D3971,$D3971)&gt;1,"Trùng",""))</f>
        <v/>
      </c>
      <c r="S3971" s="22">
        <f>IF($D3971="","",IF(AND(LEN($D3971)=10,LEFT($D3971,1)="0",ISNUMBER(--$D3971)),"Có","Không"))</f>
        <v/>
      </c>
      <c r="T3971" s="22">
        <f>IF($D3971="","",IF(AND($C3971&lt;&gt;"",$Q3971="Có",$R3971="",$S3971="Có",AND($L3971&lt;&gt;"",OR($L3971&lt;&gt;"Chưa xác định",DANH_MUC!$L$9="Có"))),"Có","Không"))</f>
        <v/>
      </c>
      <c r="U3971" s="22">
        <f>IF(OR($D3971="",$T3971="Có"),"",IF($C3971="","Thiếu họ tên; ","")&amp;IF($S3971&lt;&gt;"Có","SĐT sai định dạng; ","")&amp;IF($R3971="Trùng","Trùng SĐT; ","")&amp;IF($Q3971&lt;&gt;"Có","Thiếu đồng ý bắt buộc; ","")&amp;IF($L3971="","Thiếu/sai Mã REF; ",IF(AND($L3971="Chưa xác định",DANH_MUC!$L$9&lt;&gt;"Có"),"Nguồn chưa xác định; ","")))</f>
        <v/>
      </c>
      <c r="V3971" s="22">
        <f>IF(OR($D3971="",$R3971="Trùng"),"",IF(COUNTIF(ORDERS!$C$2:$C$4995,$D3971)&gt;0,"Có","Không"))</f>
        <v/>
      </c>
      <c r="W3971" s="22">
        <f>IF(OR($D3971="",$R3971="Trùng"),"",COUNTIFS(ORDERS!$C$2:$C$4995,$D3971,ORDERS!$L$2:$L$4995,"Đã chuyển khoản"))</f>
        <v/>
      </c>
      <c r="X3971" s="23">
        <f>IF(OR($D3971="",$R3971="Trùng"),"",SUMIFS(ORDERS!$J$2:$J$4995,ORDERS!$C$2:$C$4995,$D3971,ORDERS!$L$2:$L$4995,"Đã chuyển khoản"))</f>
        <v/>
      </c>
      <c r="Y3971" s="24" t="n"/>
    </row>
    <row r="3972" ht="14.25" customHeight="1" s="40">
      <c r="A3972" s="24" t="n"/>
      <c r="B3972" s="27" t="n"/>
      <c r="C3972" s="24" t="n"/>
      <c r="D3972" s="28" t="n"/>
      <c r="E3972" s="29" t="n"/>
      <c r="F3972" s="24" t="n"/>
      <c r="G3972" s="24" t="n"/>
      <c r="H3972" s="21">
        <f>IF(ISNUMBER($B3972),INT($B3972)-WEEKDAY($B3972,2)+1,"")</f>
        <v/>
      </c>
      <c r="I3972" s="24" t="n"/>
      <c r="J3972" s="22">
        <f t="array" ref="J3972">IF($D3972="","",IF($I3972="","(trống REF)",IFERROR(INDEX(MASTER_SOURCE!$B$2:$B$495,MATCH($I3972,MASTER_SOURCE!$A$2:$A$495,0)),"(REF không có trong MASTER_SOURCE)")))</f>
        <v/>
      </c>
      <c r="K3972" s="22">
        <f t="array" ref="K3972">IF($D3972="","",IFERROR(INDEX(MASTER_SOURCE!$C$2:$C$495,MATCH($I3972,MASTER_SOURCE!$A$2:$A$495,0)),""))</f>
        <v/>
      </c>
      <c r="L3972" s="22">
        <f t="array" ref="L3972">IF($D3972="","",IFERROR(INDEX(MASTER_SOURCE!$D$2:$D$495,MATCH($I3972,MASTER_SOURCE!$A$2:$A$495,0)),""))</f>
        <v/>
      </c>
      <c r="M3972" s="24" t="n"/>
      <c r="N3972" s="24" t="n"/>
      <c r="O3972" s="24" t="n"/>
      <c r="P3972" s="24" t="n"/>
      <c r="Q3972" s="22">
        <f>IF($D3972="","",IF(AND(OR(DANH_MUC!$L$5&lt;&gt;"Có",M3972="Có"),OR(DANH_MUC!$L$6&lt;&gt;"Có",N3972="Có"),OR(DANH_MUC!$L$7&lt;&gt;"Có",O3972="Có"),OR(DANH_MUC!$L$8&lt;&gt;"Có",P3972="Có")),"Có","Không"))</f>
        <v/>
      </c>
      <c r="R3972" s="22">
        <f>IF($D3972="","",IF(COUNTIF($D$2:$D3972,$D3972)&gt;1,"Trùng",""))</f>
        <v/>
      </c>
      <c r="S3972" s="22">
        <f>IF($D3972="","",IF(AND(LEN($D3972)=10,LEFT($D3972,1)="0",ISNUMBER(--$D3972)),"Có","Không"))</f>
        <v/>
      </c>
      <c r="T3972" s="22">
        <f>IF($D3972="","",IF(AND($C3972&lt;&gt;"",$Q3972="Có",$R3972="",$S3972="Có",AND($L3972&lt;&gt;"",OR($L3972&lt;&gt;"Chưa xác định",DANH_MUC!$L$9="Có"))),"Có","Không"))</f>
        <v/>
      </c>
      <c r="U3972" s="22">
        <f>IF(OR($D3972="",$T3972="Có"),"",IF($C3972="","Thiếu họ tên; ","")&amp;IF($S3972&lt;&gt;"Có","SĐT sai định dạng; ","")&amp;IF($R3972="Trùng","Trùng SĐT; ","")&amp;IF($Q3972&lt;&gt;"Có","Thiếu đồng ý bắt buộc; ","")&amp;IF($L3972="","Thiếu/sai Mã REF; ",IF(AND($L3972="Chưa xác định",DANH_MUC!$L$9&lt;&gt;"Có"),"Nguồn chưa xác định; ","")))</f>
        <v/>
      </c>
      <c r="V3972" s="22">
        <f>IF(OR($D3972="",$R3972="Trùng"),"",IF(COUNTIF(ORDERS!$C$2:$C$4995,$D3972)&gt;0,"Có","Không"))</f>
        <v/>
      </c>
      <c r="W3972" s="22">
        <f>IF(OR($D3972="",$R3972="Trùng"),"",COUNTIFS(ORDERS!$C$2:$C$4995,$D3972,ORDERS!$L$2:$L$4995,"Đã chuyển khoản"))</f>
        <v/>
      </c>
      <c r="X3972" s="23">
        <f>IF(OR($D3972="",$R3972="Trùng"),"",SUMIFS(ORDERS!$J$2:$J$4995,ORDERS!$C$2:$C$4995,$D3972,ORDERS!$L$2:$L$4995,"Đã chuyển khoản"))</f>
        <v/>
      </c>
      <c r="Y3972" s="24" t="n"/>
    </row>
    <row r="3973" ht="14.25" customHeight="1" s="40">
      <c r="A3973" s="24" t="n"/>
      <c r="B3973" s="27" t="n"/>
      <c r="C3973" s="24" t="n"/>
      <c r="D3973" s="28" t="n"/>
      <c r="E3973" s="29" t="n"/>
      <c r="F3973" s="24" t="n"/>
      <c r="G3973" s="24" t="n"/>
      <c r="H3973" s="21">
        <f>IF(ISNUMBER($B3973),INT($B3973)-WEEKDAY($B3973,2)+1,"")</f>
        <v/>
      </c>
      <c r="I3973" s="24" t="n"/>
      <c r="J3973" s="22">
        <f t="array" ref="J3973">IF($D3973="","",IF($I3973="","(trống REF)",IFERROR(INDEX(MASTER_SOURCE!$B$2:$B$495,MATCH($I3973,MASTER_SOURCE!$A$2:$A$495,0)),"(REF không có trong MASTER_SOURCE)")))</f>
        <v/>
      </c>
      <c r="K3973" s="22">
        <f t="array" ref="K3973">IF($D3973="","",IFERROR(INDEX(MASTER_SOURCE!$C$2:$C$495,MATCH($I3973,MASTER_SOURCE!$A$2:$A$495,0)),""))</f>
        <v/>
      </c>
      <c r="L3973" s="22">
        <f t="array" ref="L3973">IF($D3973="","",IFERROR(INDEX(MASTER_SOURCE!$D$2:$D$495,MATCH($I3973,MASTER_SOURCE!$A$2:$A$495,0)),""))</f>
        <v/>
      </c>
      <c r="M3973" s="24" t="n"/>
      <c r="N3973" s="24" t="n"/>
      <c r="O3973" s="24" t="n"/>
      <c r="P3973" s="24" t="n"/>
      <c r="Q3973" s="22">
        <f>IF($D3973="","",IF(AND(OR(DANH_MUC!$L$5&lt;&gt;"Có",M3973="Có"),OR(DANH_MUC!$L$6&lt;&gt;"Có",N3973="Có"),OR(DANH_MUC!$L$7&lt;&gt;"Có",O3973="Có"),OR(DANH_MUC!$L$8&lt;&gt;"Có",P3973="Có")),"Có","Không"))</f>
        <v/>
      </c>
      <c r="R3973" s="22">
        <f>IF($D3973="","",IF(COUNTIF($D$2:$D3973,$D3973)&gt;1,"Trùng",""))</f>
        <v/>
      </c>
      <c r="S3973" s="22">
        <f>IF($D3973="","",IF(AND(LEN($D3973)=10,LEFT($D3973,1)="0",ISNUMBER(--$D3973)),"Có","Không"))</f>
        <v/>
      </c>
      <c r="T3973" s="22">
        <f>IF($D3973="","",IF(AND($C3973&lt;&gt;"",$Q3973="Có",$R3973="",$S3973="Có",AND($L3973&lt;&gt;"",OR($L3973&lt;&gt;"Chưa xác định",DANH_MUC!$L$9="Có"))),"Có","Không"))</f>
        <v/>
      </c>
      <c r="U3973" s="22">
        <f>IF(OR($D3973="",$T3973="Có"),"",IF($C3973="","Thiếu họ tên; ","")&amp;IF($S3973&lt;&gt;"Có","SĐT sai định dạng; ","")&amp;IF($R3973="Trùng","Trùng SĐT; ","")&amp;IF($Q3973&lt;&gt;"Có","Thiếu đồng ý bắt buộc; ","")&amp;IF($L3973="","Thiếu/sai Mã REF; ",IF(AND($L3973="Chưa xác định",DANH_MUC!$L$9&lt;&gt;"Có"),"Nguồn chưa xác định; ","")))</f>
        <v/>
      </c>
      <c r="V3973" s="22">
        <f>IF(OR($D3973="",$R3973="Trùng"),"",IF(COUNTIF(ORDERS!$C$2:$C$4995,$D3973)&gt;0,"Có","Không"))</f>
        <v/>
      </c>
      <c r="W3973" s="22">
        <f>IF(OR($D3973="",$R3973="Trùng"),"",COUNTIFS(ORDERS!$C$2:$C$4995,$D3973,ORDERS!$L$2:$L$4995,"Đã chuyển khoản"))</f>
        <v/>
      </c>
      <c r="X3973" s="23">
        <f>IF(OR($D3973="",$R3973="Trùng"),"",SUMIFS(ORDERS!$J$2:$J$4995,ORDERS!$C$2:$C$4995,$D3973,ORDERS!$L$2:$L$4995,"Đã chuyển khoản"))</f>
        <v/>
      </c>
      <c r="Y3973" s="24" t="n"/>
    </row>
    <row r="3974" ht="14.25" customHeight="1" s="40">
      <c r="A3974" s="24" t="n"/>
      <c r="B3974" s="27" t="n"/>
      <c r="C3974" s="24" t="n"/>
      <c r="D3974" s="28" t="n"/>
      <c r="E3974" s="29" t="n"/>
      <c r="F3974" s="24" t="n"/>
      <c r="G3974" s="24" t="n"/>
      <c r="H3974" s="21">
        <f>IF(ISNUMBER($B3974),INT($B3974)-WEEKDAY($B3974,2)+1,"")</f>
        <v/>
      </c>
      <c r="I3974" s="24" t="n"/>
      <c r="J3974" s="22">
        <f t="array" ref="J3974">IF($D3974="","",IF($I3974="","(trống REF)",IFERROR(INDEX(MASTER_SOURCE!$B$2:$B$495,MATCH($I3974,MASTER_SOURCE!$A$2:$A$495,0)),"(REF không có trong MASTER_SOURCE)")))</f>
        <v/>
      </c>
      <c r="K3974" s="22">
        <f t="array" ref="K3974">IF($D3974="","",IFERROR(INDEX(MASTER_SOURCE!$C$2:$C$495,MATCH($I3974,MASTER_SOURCE!$A$2:$A$495,0)),""))</f>
        <v/>
      </c>
      <c r="L3974" s="22">
        <f t="array" ref="L3974">IF($D3974="","",IFERROR(INDEX(MASTER_SOURCE!$D$2:$D$495,MATCH($I3974,MASTER_SOURCE!$A$2:$A$495,0)),""))</f>
        <v/>
      </c>
      <c r="M3974" s="24" t="n"/>
      <c r="N3974" s="24" t="n"/>
      <c r="O3974" s="24" t="n"/>
      <c r="P3974" s="24" t="n"/>
      <c r="Q3974" s="22">
        <f>IF($D3974="","",IF(AND(OR(DANH_MUC!$L$5&lt;&gt;"Có",M3974="Có"),OR(DANH_MUC!$L$6&lt;&gt;"Có",N3974="Có"),OR(DANH_MUC!$L$7&lt;&gt;"Có",O3974="Có"),OR(DANH_MUC!$L$8&lt;&gt;"Có",P3974="Có")),"Có","Không"))</f>
        <v/>
      </c>
      <c r="R3974" s="22">
        <f>IF($D3974="","",IF(COUNTIF($D$2:$D3974,$D3974)&gt;1,"Trùng",""))</f>
        <v/>
      </c>
      <c r="S3974" s="22">
        <f>IF($D3974="","",IF(AND(LEN($D3974)=10,LEFT($D3974,1)="0",ISNUMBER(--$D3974)),"Có","Không"))</f>
        <v/>
      </c>
      <c r="T3974" s="22">
        <f>IF($D3974="","",IF(AND($C3974&lt;&gt;"",$Q3974="Có",$R3974="",$S3974="Có",AND($L3974&lt;&gt;"",OR($L3974&lt;&gt;"Chưa xác định",DANH_MUC!$L$9="Có"))),"Có","Không"))</f>
        <v/>
      </c>
      <c r="U3974" s="22">
        <f>IF(OR($D3974="",$T3974="Có"),"",IF($C3974="","Thiếu họ tên; ","")&amp;IF($S3974&lt;&gt;"Có","SĐT sai định dạng; ","")&amp;IF($R3974="Trùng","Trùng SĐT; ","")&amp;IF($Q3974&lt;&gt;"Có","Thiếu đồng ý bắt buộc; ","")&amp;IF($L3974="","Thiếu/sai Mã REF; ",IF(AND($L3974="Chưa xác định",DANH_MUC!$L$9&lt;&gt;"Có"),"Nguồn chưa xác định; ","")))</f>
        <v/>
      </c>
      <c r="V3974" s="22">
        <f>IF(OR($D3974="",$R3974="Trùng"),"",IF(COUNTIF(ORDERS!$C$2:$C$4995,$D3974)&gt;0,"Có","Không"))</f>
        <v/>
      </c>
      <c r="W3974" s="22">
        <f>IF(OR($D3974="",$R3974="Trùng"),"",COUNTIFS(ORDERS!$C$2:$C$4995,$D3974,ORDERS!$L$2:$L$4995,"Đã chuyển khoản"))</f>
        <v/>
      </c>
      <c r="X3974" s="23">
        <f>IF(OR($D3974="",$R3974="Trùng"),"",SUMIFS(ORDERS!$J$2:$J$4995,ORDERS!$C$2:$C$4995,$D3974,ORDERS!$L$2:$L$4995,"Đã chuyển khoản"))</f>
        <v/>
      </c>
      <c r="Y3974" s="24" t="n"/>
    </row>
    <row r="3975" ht="14.25" customHeight="1" s="40">
      <c r="A3975" s="24" t="n"/>
      <c r="B3975" s="27" t="n"/>
      <c r="C3975" s="24" t="n"/>
      <c r="D3975" s="28" t="n"/>
      <c r="E3975" s="29" t="n"/>
      <c r="F3975" s="24" t="n"/>
      <c r="G3975" s="24" t="n"/>
      <c r="H3975" s="21">
        <f>IF(ISNUMBER($B3975),INT($B3975)-WEEKDAY($B3975,2)+1,"")</f>
        <v/>
      </c>
      <c r="I3975" s="24" t="n"/>
      <c r="J3975" s="22">
        <f t="array" ref="J3975">IF($D3975="","",IF($I3975="","(trống REF)",IFERROR(INDEX(MASTER_SOURCE!$B$2:$B$495,MATCH($I3975,MASTER_SOURCE!$A$2:$A$495,0)),"(REF không có trong MASTER_SOURCE)")))</f>
        <v/>
      </c>
      <c r="K3975" s="22">
        <f t="array" ref="K3975">IF($D3975="","",IFERROR(INDEX(MASTER_SOURCE!$C$2:$C$495,MATCH($I3975,MASTER_SOURCE!$A$2:$A$495,0)),""))</f>
        <v/>
      </c>
      <c r="L3975" s="22">
        <f t="array" ref="L3975">IF($D3975="","",IFERROR(INDEX(MASTER_SOURCE!$D$2:$D$495,MATCH($I3975,MASTER_SOURCE!$A$2:$A$495,0)),""))</f>
        <v/>
      </c>
      <c r="M3975" s="24" t="n"/>
      <c r="N3975" s="24" t="n"/>
      <c r="O3975" s="24" t="n"/>
      <c r="P3975" s="24" t="n"/>
      <c r="Q3975" s="22">
        <f>IF($D3975="","",IF(AND(OR(DANH_MUC!$L$5&lt;&gt;"Có",M3975="Có"),OR(DANH_MUC!$L$6&lt;&gt;"Có",N3975="Có"),OR(DANH_MUC!$L$7&lt;&gt;"Có",O3975="Có"),OR(DANH_MUC!$L$8&lt;&gt;"Có",P3975="Có")),"Có","Không"))</f>
        <v/>
      </c>
      <c r="R3975" s="22">
        <f>IF($D3975="","",IF(COUNTIF($D$2:$D3975,$D3975)&gt;1,"Trùng",""))</f>
        <v/>
      </c>
      <c r="S3975" s="22">
        <f>IF($D3975="","",IF(AND(LEN($D3975)=10,LEFT($D3975,1)="0",ISNUMBER(--$D3975)),"Có","Không"))</f>
        <v/>
      </c>
      <c r="T3975" s="22">
        <f>IF($D3975="","",IF(AND($C3975&lt;&gt;"",$Q3975="Có",$R3975="",$S3975="Có",AND($L3975&lt;&gt;"",OR($L3975&lt;&gt;"Chưa xác định",DANH_MUC!$L$9="Có"))),"Có","Không"))</f>
        <v/>
      </c>
      <c r="U3975" s="22">
        <f>IF(OR($D3975="",$T3975="Có"),"",IF($C3975="","Thiếu họ tên; ","")&amp;IF($S3975&lt;&gt;"Có","SĐT sai định dạng; ","")&amp;IF($R3975="Trùng","Trùng SĐT; ","")&amp;IF($Q3975&lt;&gt;"Có","Thiếu đồng ý bắt buộc; ","")&amp;IF($L3975="","Thiếu/sai Mã REF; ",IF(AND($L3975="Chưa xác định",DANH_MUC!$L$9&lt;&gt;"Có"),"Nguồn chưa xác định; ","")))</f>
        <v/>
      </c>
      <c r="V3975" s="22">
        <f>IF(OR($D3975="",$R3975="Trùng"),"",IF(COUNTIF(ORDERS!$C$2:$C$4995,$D3975)&gt;0,"Có","Không"))</f>
        <v/>
      </c>
      <c r="W3975" s="22">
        <f>IF(OR($D3975="",$R3975="Trùng"),"",COUNTIFS(ORDERS!$C$2:$C$4995,$D3975,ORDERS!$L$2:$L$4995,"Đã chuyển khoản"))</f>
        <v/>
      </c>
      <c r="X3975" s="23">
        <f>IF(OR($D3975="",$R3975="Trùng"),"",SUMIFS(ORDERS!$J$2:$J$4995,ORDERS!$C$2:$C$4995,$D3975,ORDERS!$L$2:$L$4995,"Đã chuyển khoản"))</f>
        <v/>
      </c>
      <c r="Y3975" s="24" t="n"/>
    </row>
    <row r="3976" ht="14.25" customHeight="1" s="40">
      <c r="A3976" s="24" t="n"/>
      <c r="B3976" s="27" t="n"/>
      <c r="C3976" s="24" t="n"/>
      <c r="D3976" s="28" t="n"/>
      <c r="E3976" s="29" t="n"/>
      <c r="F3976" s="24" t="n"/>
      <c r="G3976" s="24" t="n"/>
      <c r="H3976" s="21">
        <f>IF(ISNUMBER($B3976),INT($B3976)-WEEKDAY($B3976,2)+1,"")</f>
        <v/>
      </c>
      <c r="I3976" s="24" t="n"/>
      <c r="J3976" s="22">
        <f t="array" ref="J3976">IF($D3976="","",IF($I3976="","(trống REF)",IFERROR(INDEX(MASTER_SOURCE!$B$2:$B$495,MATCH($I3976,MASTER_SOURCE!$A$2:$A$495,0)),"(REF không có trong MASTER_SOURCE)")))</f>
        <v/>
      </c>
      <c r="K3976" s="22">
        <f t="array" ref="K3976">IF($D3976="","",IFERROR(INDEX(MASTER_SOURCE!$C$2:$C$495,MATCH($I3976,MASTER_SOURCE!$A$2:$A$495,0)),""))</f>
        <v/>
      </c>
      <c r="L3976" s="22">
        <f t="array" ref="L3976">IF($D3976="","",IFERROR(INDEX(MASTER_SOURCE!$D$2:$D$495,MATCH($I3976,MASTER_SOURCE!$A$2:$A$495,0)),""))</f>
        <v/>
      </c>
      <c r="M3976" s="24" t="n"/>
      <c r="N3976" s="24" t="n"/>
      <c r="O3976" s="24" t="n"/>
      <c r="P3976" s="24" t="n"/>
      <c r="Q3976" s="22">
        <f>IF($D3976="","",IF(AND(OR(DANH_MUC!$L$5&lt;&gt;"Có",M3976="Có"),OR(DANH_MUC!$L$6&lt;&gt;"Có",N3976="Có"),OR(DANH_MUC!$L$7&lt;&gt;"Có",O3976="Có"),OR(DANH_MUC!$L$8&lt;&gt;"Có",P3976="Có")),"Có","Không"))</f>
        <v/>
      </c>
      <c r="R3976" s="22">
        <f>IF($D3976="","",IF(COUNTIF($D$2:$D3976,$D3976)&gt;1,"Trùng",""))</f>
        <v/>
      </c>
      <c r="S3976" s="22">
        <f>IF($D3976="","",IF(AND(LEN($D3976)=10,LEFT($D3976,1)="0",ISNUMBER(--$D3976)),"Có","Không"))</f>
        <v/>
      </c>
      <c r="T3976" s="22">
        <f>IF($D3976="","",IF(AND($C3976&lt;&gt;"",$Q3976="Có",$R3976="",$S3976="Có",AND($L3976&lt;&gt;"",OR($L3976&lt;&gt;"Chưa xác định",DANH_MUC!$L$9="Có"))),"Có","Không"))</f>
        <v/>
      </c>
      <c r="U3976" s="22">
        <f>IF(OR($D3976="",$T3976="Có"),"",IF($C3976="","Thiếu họ tên; ","")&amp;IF($S3976&lt;&gt;"Có","SĐT sai định dạng; ","")&amp;IF($R3976="Trùng","Trùng SĐT; ","")&amp;IF($Q3976&lt;&gt;"Có","Thiếu đồng ý bắt buộc; ","")&amp;IF($L3976="","Thiếu/sai Mã REF; ",IF(AND($L3976="Chưa xác định",DANH_MUC!$L$9&lt;&gt;"Có"),"Nguồn chưa xác định; ","")))</f>
        <v/>
      </c>
      <c r="V3976" s="22">
        <f>IF(OR($D3976="",$R3976="Trùng"),"",IF(COUNTIF(ORDERS!$C$2:$C$4995,$D3976)&gt;0,"Có","Không"))</f>
        <v/>
      </c>
      <c r="W3976" s="22">
        <f>IF(OR($D3976="",$R3976="Trùng"),"",COUNTIFS(ORDERS!$C$2:$C$4995,$D3976,ORDERS!$L$2:$L$4995,"Đã chuyển khoản"))</f>
        <v/>
      </c>
      <c r="X3976" s="23">
        <f>IF(OR($D3976="",$R3976="Trùng"),"",SUMIFS(ORDERS!$J$2:$J$4995,ORDERS!$C$2:$C$4995,$D3976,ORDERS!$L$2:$L$4995,"Đã chuyển khoản"))</f>
        <v/>
      </c>
      <c r="Y3976" s="24" t="n"/>
    </row>
    <row r="3977" ht="14.25" customHeight="1" s="40">
      <c r="A3977" s="24" t="n"/>
      <c r="B3977" s="27" t="n"/>
      <c r="C3977" s="24" t="n"/>
      <c r="D3977" s="28" t="n"/>
      <c r="E3977" s="29" t="n"/>
      <c r="F3977" s="24" t="n"/>
      <c r="G3977" s="24" t="n"/>
      <c r="H3977" s="21">
        <f>IF(ISNUMBER($B3977),INT($B3977)-WEEKDAY($B3977,2)+1,"")</f>
        <v/>
      </c>
      <c r="I3977" s="24" t="n"/>
      <c r="J3977" s="22">
        <f t="array" ref="J3977">IF($D3977="","",IF($I3977="","(trống REF)",IFERROR(INDEX(MASTER_SOURCE!$B$2:$B$495,MATCH($I3977,MASTER_SOURCE!$A$2:$A$495,0)),"(REF không có trong MASTER_SOURCE)")))</f>
        <v/>
      </c>
      <c r="K3977" s="22">
        <f t="array" ref="K3977">IF($D3977="","",IFERROR(INDEX(MASTER_SOURCE!$C$2:$C$495,MATCH($I3977,MASTER_SOURCE!$A$2:$A$495,0)),""))</f>
        <v/>
      </c>
      <c r="L3977" s="22">
        <f t="array" ref="L3977">IF($D3977="","",IFERROR(INDEX(MASTER_SOURCE!$D$2:$D$495,MATCH($I3977,MASTER_SOURCE!$A$2:$A$495,0)),""))</f>
        <v/>
      </c>
      <c r="M3977" s="24" t="n"/>
      <c r="N3977" s="24" t="n"/>
      <c r="O3977" s="24" t="n"/>
      <c r="P3977" s="24" t="n"/>
      <c r="Q3977" s="22">
        <f>IF($D3977="","",IF(AND(OR(DANH_MUC!$L$5&lt;&gt;"Có",M3977="Có"),OR(DANH_MUC!$L$6&lt;&gt;"Có",N3977="Có"),OR(DANH_MUC!$L$7&lt;&gt;"Có",O3977="Có"),OR(DANH_MUC!$L$8&lt;&gt;"Có",P3977="Có")),"Có","Không"))</f>
        <v/>
      </c>
      <c r="R3977" s="22">
        <f>IF($D3977="","",IF(COUNTIF($D$2:$D3977,$D3977)&gt;1,"Trùng",""))</f>
        <v/>
      </c>
      <c r="S3977" s="22">
        <f>IF($D3977="","",IF(AND(LEN($D3977)=10,LEFT($D3977,1)="0",ISNUMBER(--$D3977)),"Có","Không"))</f>
        <v/>
      </c>
      <c r="T3977" s="22">
        <f>IF($D3977="","",IF(AND($C3977&lt;&gt;"",$Q3977="Có",$R3977="",$S3977="Có",AND($L3977&lt;&gt;"",OR($L3977&lt;&gt;"Chưa xác định",DANH_MUC!$L$9="Có"))),"Có","Không"))</f>
        <v/>
      </c>
      <c r="U3977" s="22">
        <f>IF(OR($D3977="",$T3977="Có"),"",IF($C3977="","Thiếu họ tên; ","")&amp;IF($S3977&lt;&gt;"Có","SĐT sai định dạng; ","")&amp;IF($R3977="Trùng","Trùng SĐT; ","")&amp;IF($Q3977&lt;&gt;"Có","Thiếu đồng ý bắt buộc; ","")&amp;IF($L3977="","Thiếu/sai Mã REF; ",IF(AND($L3977="Chưa xác định",DANH_MUC!$L$9&lt;&gt;"Có"),"Nguồn chưa xác định; ","")))</f>
        <v/>
      </c>
      <c r="V3977" s="22">
        <f>IF(OR($D3977="",$R3977="Trùng"),"",IF(COUNTIF(ORDERS!$C$2:$C$4995,$D3977)&gt;0,"Có","Không"))</f>
        <v/>
      </c>
      <c r="W3977" s="22">
        <f>IF(OR($D3977="",$R3977="Trùng"),"",COUNTIFS(ORDERS!$C$2:$C$4995,$D3977,ORDERS!$L$2:$L$4995,"Đã chuyển khoản"))</f>
        <v/>
      </c>
      <c r="X3977" s="23">
        <f>IF(OR($D3977="",$R3977="Trùng"),"",SUMIFS(ORDERS!$J$2:$J$4995,ORDERS!$C$2:$C$4995,$D3977,ORDERS!$L$2:$L$4995,"Đã chuyển khoản"))</f>
        <v/>
      </c>
      <c r="Y3977" s="24" t="n"/>
    </row>
    <row r="3978" ht="14.25" customHeight="1" s="40">
      <c r="A3978" s="24" t="n"/>
      <c r="B3978" s="27" t="n"/>
      <c r="C3978" s="24" t="n"/>
      <c r="D3978" s="28" t="n"/>
      <c r="E3978" s="29" t="n"/>
      <c r="F3978" s="24" t="n"/>
      <c r="G3978" s="24" t="n"/>
      <c r="H3978" s="21">
        <f>IF(ISNUMBER($B3978),INT($B3978)-WEEKDAY($B3978,2)+1,"")</f>
        <v/>
      </c>
      <c r="I3978" s="24" t="n"/>
      <c r="J3978" s="22">
        <f t="array" ref="J3978">IF($D3978="","",IF($I3978="","(trống REF)",IFERROR(INDEX(MASTER_SOURCE!$B$2:$B$495,MATCH($I3978,MASTER_SOURCE!$A$2:$A$495,0)),"(REF không có trong MASTER_SOURCE)")))</f>
        <v/>
      </c>
      <c r="K3978" s="22">
        <f t="array" ref="K3978">IF($D3978="","",IFERROR(INDEX(MASTER_SOURCE!$C$2:$C$495,MATCH($I3978,MASTER_SOURCE!$A$2:$A$495,0)),""))</f>
        <v/>
      </c>
      <c r="L3978" s="22">
        <f t="array" ref="L3978">IF($D3978="","",IFERROR(INDEX(MASTER_SOURCE!$D$2:$D$495,MATCH($I3978,MASTER_SOURCE!$A$2:$A$495,0)),""))</f>
        <v/>
      </c>
      <c r="M3978" s="24" t="n"/>
      <c r="N3978" s="24" t="n"/>
      <c r="O3978" s="24" t="n"/>
      <c r="P3978" s="24" t="n"/>
      <c r="Q3978" s="22">
        <f>IF($D3978="","",IF(AND(OR(DANH_MUC!$L$5&lt;&gt;"Có",M3978="Có"),OR(DANH_MUC!$L$6&lt;&gt;"Có",N3978="Có"),OR(DANH_MUC!$L$7&lt;&gt;"Có",O3978="Có"),OR(DANH_MUC!$L$8&lt;&gt;"Có",P3978="Có")),"Có","Không"))</f>
        <v/>
      </c>
      <c r="R3978" s="22">
        <f>IF($D3978="","",IF(COUNTIF($D$2:$D3978,$D3978)&gt;1,"Trùng",""))</f>
        <v/>
      </c>
      <c r="S3978" s="22">
        <f>IF($D3978="","",IF(AND(LEN($D3978)=10,LEFT($D3978,1)="0",ISNUMBER(--$D3978)),"Có","Không"))</f>
        <v/>
      </c>
      <c r="T3978" s="22">
        <f>IF($D3978="","",IF(AND($C3978&lt;&gt;"",$Q3978="Có",$R3978="",$S3978="Có",AND($L3978&lt;&gt;"",OR($L3978&lt;&gt;"Chưa xác định",DANH_MUC!$L$9="Có"))),"Có","Không"))</f>
        <v/>
      </c>
      <c r="U3978" s="22">
        <f>IF(OR($D3978="",$T3978="Có"),"",IF($C3978="","Thiếu họ tên; ","")&amp;IF($S3978&lt;&gt;"Có","SĐT sai định dạng; ","")&amp;IF($R3978="Trùng","Trùng SĐT; ","")&amp;IF($Q3978&lt;&gt;"Có","Thiếu đồng ý bắt buộc; ","")&amp;IF($L3978="","Thiếu/sai Mã REF; ",IF(AND($L3978="Chưa xác định",DANH_MUC!$L$9&lt;&gt;"Có"),"Nguồn chưa xác định; ","")))</f>
        <v/>
      </c>
      <c r="V3978" s="22">
        <f>IF(OR($D3978="",$R3978="Trùng"),"",IF(COUNTIF(ORDERS!$C$2:$C$4995,$D3978)&gt;0,"Có","Không"))</f>
        <v/>
      </c>
      <c r="W3978" s="22">
        <f>IF(OR($D3978="",$R3978="Trùng"),"",COUNTIFS(ORDERS!$C$2:$C$4995,$D3978,ORDERS!$L$2:$L$4995,"Đã chuyển khoản"))</f>
        <v/>
      </c>
      <c r="X3978" s="23">
        <f>IF(OR($D3978="",$R3978="Trùng"),"",SUMIFS(ORDERS!$J$2:$J$4995,ORDERS!$C$2:$C$4995,$D3978,ORDERS!$L$2:$L$4995,"Đã chuyển khoản"))</f>
        <v/>
      </c>
      <c r="Y3978" s="24" t="n"/>
    </row>
    <row r="3979" ht="14.25" customHeight="1" s="40">
      <c r="A3979" s="24" t="n"/>
      <c r="B3979" s="27" t="n"/>
      <c r="C3979" s="24" t="n"/>
      <c r="D3979" s="28" t="n"/>
      <c r="E3979" s="29" t="n"/>
      <c r="F3979" s="24" t="n"/>
      <c r="G3979" s="24" t="n"/>
      <c r="H3979" s="21">
        <f>IF(ISNUMBER($B3979),INT($B3979)-WEEKDAY($B3979,2)+1,"")</f>
        <v/>
      </c>
      <c r="I3979" s="24" t="n"/>
      <c r="J3979" s="22">
        <f t="array" ref="J3979">IF($D3979="","",IF($I3979="","(trống REF)",IFERROR(INDEX(MASTER_SOURCE!$B$2:$B$495,MATCH($I3979,MASTER_SOURCE!$A$2:$A$495,0)),"(REF không có trong MASTER_SOURCE)")))</f>
        <v/>
      </c>
      <c r="K3979" s="22">
        <f t="array" ref="K3979">IF($D3979="","",IFERROR(INDEX(MASTER_SOURCE!$C$2:$C$495,MATCH($I3979,MASTER_SOURCE!$A$2:$A$495,0)),""))</f>
        <v/>
      </c>
      <c r="L3979" s="22">
        <f t="array" ref="L3979">IF($D3979="","",IFERROR(INDEX(MASTER_SOURCE!$D$2:$D$495,MATCH($I3979,MASTER_SOURCE!$A$2:$A$495,0)),""))</f>
        <v/>
      </c>
      <c r="M3979" s="24" t="n"/>
      <c r="N3979" s="24" t="n"/>
      <c r="O3979" s="24" t="n"/>
      <c r="P3979" s="24" t="n"/>
      <c r="Q3979" s="22">
        <f>IF($D3979="","",IF(AND(OR(DANH_MUC!$L$5&lt;&gt;"Có",M3979="Có"),OR(DANH_MUC!$L$6&lt;&gt;"Có",N3979="Có"),OR(DANH_MUC!$L$7&lt;&gt;"Có",O3979="Có"),OR(DANH_MUC!$L$8&lt;&gt;"Có",P3979="Có")),"Có","Không"))</f>
        <v/>
      </c>
      <c r="R3979" s="22">
        <f>IF($D3979="","",IF(COUNTIF($D$2:$D3979,$D3979)&gt;1,"Trùng",""))</f>
        <v/>
      </c>
      <c r="S3979" s="22">
        <f>IF($D3979="","",IF(AND(LEN($D3979)=10,LEFT($D3979,1)="0",ISNUMBER(--$D3979)),"Có","Không"))</f>
        <v/>
      </c>
      <c r="T3979" s="22">
        <f>IF($D3979="","",IF(AND($C3979&lt;&gt;"",$Q3979="Có",$R3979="",$S3979="Có",AND($L3979&lt;&gt;"",OR($L3979&lt;&gt;"Chưa xác định",DANH_MUC!$L$9="Có"))),"Có","Không"))</f>
        <v/>
      </c>
      <c r="U3979" s="22">
        <f>IF(OR($D3979="",$T3979="Có"),"",IF($C3979="","Thiếu họ tên; ","")&amp;IF($S3979&lt;&gt;"Có","SĐT sai định dạng; ","")&amp;IF($R3979="Trùng","Trùng SĐT; ","")&amp;IF($Q3979&lt;&gt;"Có","Thiếu đồng ý bắt buộc; ","")&amp;IF($L3979="","Thiếu/sai Mã REF; ",IF(AND($L3979="Chưa xác định",DANH_MUC!$L$9&lt;&gt;"Có"),"Nguồn chưa xác định; ","")))</f>
        <v/>
      </c>
      <c r="V3979" s="22">
        <f>IF(OR($D3979="",$R3979="Trùng"),"",IF(COUNTIF(ORDERS!$C$2:$C$4995,$D3979)&gt;0,"Có","Không"))</f>
        <v/>
      </c>
      <c r="W3979" s="22">
        <f>IF(OR($D3979="",$R3979="Trùng"),"",COUNTIFS(ORDERS!$C$2:$C$4995,$D3979,ORDERS!$L$2:$L$4995,"Đã chuyển khoản"))</f>
        <v/>
      </c>
      <c r="X3979" s="23">
        <f>IF(OR($D3979="",$R3979="Trùng"),"",SUMIFS(ORDERS!$J$2:$J$4995,ORDERS!$C$2:$C$4995,$D3979,ORDERS!$L$2:$L$4995,"Đã chuyển khoản"))</f>
        <v/>
      </c>
      <c r="Y3979" s="24" t="n"/>
    </row>
    <row r="3980" ht="14.25" customHeight="1" s="40">
      <c r="A3980" s="24" t="n"/>
      <c r="B3980" s="27" t="n"/>
      <c r="C3980" s="24" t="n"/>
      <c r="D3980" s="28" t="n"/>
      <c r="E3980" s="29" t="n"/>
      <c r="F3980" s="24" t="n"/>
      <c r="G3980" s="24" t="n"/>
      <c r="H3980" s="21">
        <f>IF(ISNUMBER($B3980),INT($B3980)-WEEKDAY($B3980,2)+1,"")</f>
        <v/>
      </c>
      <c r="I3980" s="24" t="n"/>
      <c r="J3980" s="22">
        <f t="array" ref="J3980">IF($D3980="","",IF($I3980="","(trống REF)",IFERROR(INDEX(MASTER_SOURCE!$B$2:$B$495,MATCH($I3980,MASTER_SOURCE!$A$2:$A$495,0)),"(REF không có trong MASTER_SOURCE)")))</f>
        <v/>
      </c>
      <c r="K3980" s="22">
        <f t="array" ref="K3980">IF($D3980="","",IFERROR(INDEX(MASTER_SOURCE!$C$2:$C$495,MATCH($I3980,MASTER_SOURCE!$A$2:$A$495,0)),""))</f>
        <v/>
      </c>
      <c r="L3980" s="22">
        <f t="array" ref="L3980">IF($D3980="","",IFERROR(INDEX(MASTER_SOURCE!$D$2:$D$495,MATCH($I3980,MASTER_SOURCE!$A$2:$A$495,0)),""))</f>
        <v/>
      </c>
      <c r="M3980" s="24" t="n"/>
      <c r="N3980" s="24" t="n"/>
      <c r="O3980" s="24" t="n"/>
      <c r="P3980" s="24" t="n"/>
      <c r="Q3980" s="22">
        <f>IF($D3980="","",IF(AND(OR(DANH_MUC!$L$5&lt;&gt;"Có",M3980="Có"),OR(DANH_MUC!$L$6&lt;&gt;"Có",N3980="Có"),OR(DANH_MUC!$L$7&lt;&gt;"Có",O3980="Có"),OR(DANH_MUC!$L$8&lt;&gt;"Có",P3980="Có")),"Có","Không"))</f>
        <v/>
      </c>
      <c r="R3980" s="22">
        <f>IF($D3980="","",IF(COUNTIF($D$2:$D3980,$D3980)&gt;1,"Trùng",""))</f>
        <v/>
      </c>
      <c r="S3980" s="22">
        <f>IF($D3980="","",IF(AND(LEN($D3980)=10,LEFT($D3980,1)="0",ISNUMBER(--$D3980)),"Có","Không"))</f>
        <v/>
      </c>
      <c r="T3980" s="22">
        <f>IF($D3980="","",IF(AND($C3980&lt;&gt;"",$Q3980="Có",$R3980="",$S3980="Có",AND($L3980&lt;&gt;"",OR($L3980&lt;&gt;"Chưa xác định",DANH_MUC!$L$9="Có"))),"Có","Không"))</f>
        <v/>
      </c>
      <c r="U3980" s="22">
        <f>IF(OR($D3980="",$T3980="Có"),"",IF($C3980="","Thiếu họ tên; ","")&amp;IF($S3980&lt;&gt;"Có","SĐT sai định dạng; ","")&amp;IF($R3980="Trùng","Trùng SĐT; ","")&amp;IF($Q3980&lt;&gt;"Có","Thiếu đồng ý bắt buộc; ","")&amp;IF($L3980="","Thiếu/sai Mã REF; ",IF(AND($L3980="Chưa xác định",DANH_MUC!$L$9&lt;&gt;"Có"),"Nguồn chưa xác định; ","")))</f>
        <v/>
      </c>
      <c r="V3980" s="22">
        <f>IF(OR($D3980="",$R3980="Trùng"),"",IF(COUNTIF(ORDERS!$C$2:$C$4995,$D3980)&gt;0,"Có","Không"))</f>
        <v/>
      </c>
      <c r="W3980" s="22">
        <f>IF(OR($D3980="",$R3980="Trùng"),"",COUNTIFS(ORDERS!$C$2:$C$4995,$D3980,ORDERS!$L$2:$L$4995,"Đã chuyển khoản"))</f>
        <v/>
      </c>
      <c r="X3980" s="23">
        <f>IF(OR($D3980="",$R3980="Trùng"),"",SUMIFS(ORDERS!$J$2:$J$4995,ORDERS!$C$2:$C$4995,$D3980,ORDERS!$L$2:$L$4995,"Đã chuyển khoản"))</f>
        <v/>
      </c>
      <c r="Y3980" s="24" t="n"/>
    </row>
    <row r="3981" ht="14.25" customHeight="1" s="40">
      <c r="A3981" s="24" t="n"/>
      <c r="B3981" s="27" t="n"/>
      <c r="C3981" s="24" t="n"/>
      <c r="D3981" s="28" t="n"/>
      <c r="E3981" s="29" t="n"/>
      <c r="F3981" s="24" t="n"/>
      <c r="G3981" s="24" t="n"/>
      <c r="H3981" s="21">
        <f>IF(ISNUMBER($B3981),INT($B3981)-WEEKDAY($B3981,2)+1,"")</f>
        <v/>
      </c>
      <c r="I3981" s="24" t="n"/>
      <c r="J3981" s="22">
        <f t="array" ref="J3981">IF($D3981="","",IF($I3981="","(trống REF)",IFERROR(INDEX(MASTER_SOURCE!$B$2:$B$495,MATCH($I3981,MASTER_SOURCE!$A$2:$A$495,0)),"(REF không có trong MASTER_SOURCE)")))</f>
        <v/>
      </c>
      <c r="K3981" s="22">
        <f t="array" ref="K3981">IF($D3981="","",IFERROR(INDEX(MASTER_SOURCE!$C$2:$C$495,MATCH($I3981,MASTER_SOURCE!$A$2:$A$495,0)),""))</f>
        <v/>
      </c>
      <c r="L3981" s="22">
        <f t="array" ref="L3981">IF($D3981="","",IFERROR(INDEX(MASTER_SOURCE!$D$2:$D$495,MATCH($I3981,MASTER_SOURCE!$A$2:$A$495,0)),""))</f>
        <v/>
      </c>
      <c r="M3981" s="24" t="n"/>
      <c r="N3981" s="24" t="n"/>
      <c r="O3981" s="24" t="n"/>
      <c r="P3981" s="24" t="n"/>
      <c r="Q3981" s="22">
        <f>IF($D3981="","",IF(AND(OR(DANH_MUC!$L$5&lt;&gt;"Có",M3981="Có"),OR(DANH_MUC!$L$6&lt;&gt;"Có",N3981="Có"),OR(DANH_MUC!$L$7&lt;&gt;"Có",O3981="Có"),OR(DANH_MUC!$L$8&lt;&gt;"Có",P3981="Có")),"Có","Không"))</f>
        <v/>
      </c>
      <c r="R3981" s="22">
        <f>IF($D3981="","",IF(COUNTIF($D$2:$D3981,$D3981)&gt;1,"Trùng",""))</f>
        <v/>
      </c>
      <c r="S3981" s="22">
        <f>IF($D3981="","",IF(AND(LEN($D3981)=10,LEFT($D3981,1)="0",ISNUMBER(--$D3981)),"Có","Không"))</f>
        <v/>
      </c>
      <c r="T3981" s="22">
        <f>IF($D3981="","",IF(AND($C3981&lt;&gt;"",$Q3981="Có",$R3981="",$S3981="Có",AND($L3981&lt;&gt;"",OR($L3981&lt;&gt;"Chưa xác định",DANH_MUC!$L$9="Có"))),"Có","Không"))</f>
        <v/>
      </c>
      <c r="U3981" s="22">
        <f>IF(OR($D3981="",$T3981="Có"),"",IF($C3981="","Thiếu họ tên; ","")&amp;IF($S3981&lt;&gt;"Có","SĐT sai định dạng; ","")&amp;IF($R3981="Trùng","Trùng SĐT; ","")&amp;IF($Q3981&lt;&gt;"Có","Thiếu đồng ý bắt buộc; ","")&amp;IF($L3981="","Thiếu/sai Mã REF; ",IF(AND($L3981="Chưa xác định",DANH_MUC!$L$9&lt;&gt;"Có"),"Nguồn chưa xác định; ","")))</f>
        <v/>
      </c>
      <c r="V3981" s="22">
        <f>IF(OR($D3981="",$R3981="Trùng"),"",IF(COUNTIF(ORDERS!$C$2:$C$4995,$D3981)&gt;0,"Có","Không"))</f>
        <v/>
      </c>
      <c r="W3981" s="22">
        <f>IF(OR($D3981="",$R3981="Trùng"),"",COUNTIFS(ORDERS!$C$2:$C$4995,$D3981,ORDERS!$L$2:$L$4995,"Đã chuyển khoản"))</f>
        <v/>
      </c>
      <c r="X3981" s="23">
        <f>IF(OR($D3981="",$R3981="Trùng"),"",SUMIFS(ORDERS!$J$2:$J$4995,ORDERS!$C$2:$C$4995,$D3981,ORDERS!$L$2:$L$4995,"Đã chuyển khoản"))</f>
        <v/>
      </c>
      <c r="Y3981" s="24" t="n"/>
    </row>
    <row r="3982" ht="14.25" customHeight="1" s="40">
      <c r="A3982" s="24" t="n"/>
      <c r="B3982" s="27" t="n"/>
      <c r="C3982" s="24" t="n"/>
      <c r="D3982" s="28" t="n"/>
      <c r="E3982" s="29" t="n"/>
      <c r="F3982" s="24" t="n"/>
      <c r="G3982" s="24" t="n"/>
      <c r="H3982" s="21">
        <f>IF(ISNUMBER($B3982),INT($B3982)-WEEKDAY($B3982,2)+1,"")</f>
        <v/>
      </c>
      <c r="I3982" s="24" t="n"/>
      <c r="J3982" s="22">
        <f t="array" ref="J3982">IF($D3982="","",IF($I3982="","(trống REF)",IFERROR(INDEX(MASTER_SOURCE!$B$2:$B$495,MATCH($I3982,MASTER_SOURCE!$A$2:$A$495,0)),"(REF không có trong MASTER_SOURCE)")))</f>
        <v/>
      </c>
      <c r="K3982" s="22">
        <f t="array" ref="K3982">IF($D3982="","",IFERROR(INDEX(MASTER_SOURCE!$C$2:$C$495,MATCH($I3982,MASTER_SOURCE!$A$2:$A$495,0)),""))</f>
        <v/>
      </c>
      <c r="L3982" s="22">
        <f t="array" ref="L3982">IF($D3982="","",IFERROR(INDEX(MASTER_SOURCE!$D$2:$D$495,MATCH($I3982,MASTER_SOURCE!$A$2:$A$495,0)),""))</f>
        <v/>
      </c>
      <c r="M3982" s="24" t="n"/>
      <c r="N3982" s="24" t="n"/>
      <c r="O3982" s="24" t="n"/>
      <c r="P3982" s="24" t="n"/>
      <c r="Q3982" s="22">
        <f>IF($D3982="","",IF(AND(OR(DANH_MUC!$L$5&lt;&gt;"Có",M3982="Có"),OR(DANH_MUC!$L$6&lt;&gt;"Có",N3982="Có"),OR(DANH_MUC!$L$7&lt;&gt;"Có",O3982="Có"),OR(DANH_MUC!$L$8&lt;&gt;"Có",P3982="Có")),"Có","Không"))</f>
        <v/>
      </c>
      <c r="R3982" s="22">
        <f>IF($D3982="","",IF(COUNTIF($D$2:$D3982,$D3982)&gt;1,"Trùng",""))</f>
        <v/>
      </c>
      <c r="S3982" s="22">
        <f>IF($D3982="","",IF(AND(LEN($D3982)=10,LEFT($D3982,1)="0",ISNUMBER(--$D3982)),"Có","Không"))</f>
        <v/>
      </c>
      <c r="T3982" s="22">
        <f>IF($D3982="","",IF(AND($C3982&lt;&gt;"",$Q3982="Có",$R3982="",$S3982="Có",AND($L3982&lt;&gt;"",OR($L3982&lt;&gt;"Chưa xác định",DANH_MUC!$L$9="Có"))),"Có","Không"))</f>
        <v/>
      </c>
      <c r="U3982" s="22">
        <f>IF(OR($D3982="",$T3982="Có"),"",IF($C3982="","Thiếu họ tên; ","")&amp;IF($S3982&lt;&gt;"Có","SĐT sai định dạng; ","")&amp;IF($R3982="Trùng","Trùng SĐT; ","")&amp;IF($Q3982&lt;&gt;"Có","Thiếu đồng ý bắt buộc; ","")&amp;IF($L3982="","Thiếu/sai Mã REF; ",IF(AND($L3982="Chưa xác định",DANH_MUC!$L$9&lt;&gt;"Có"),"Nguồn chưa xác định; ","")))</f>
        <v/>
      </c>
      <c r="V3982" s="22">
        <f>IF(OR($D3982="",$R3982="Trùng"),"",IF(COUNTIF(ORDERS!$C$2:$C$4995,$D3982)&gt;0,"Có","Không"))</f>
        <v/>
      </c>
      <c r="W3982" s="22">
        <f>IF(OR($D3982="",$R3982="Trùng"),"",COUNTIFS(ORDERS!$C$2:$C$4995,$D3982,ORDERS!$L$2:$L$4995,"Đã chuyển khoản"))</f>
        <v/>
      </c>
      <c r="X3982" s="23">
        <f>IF(OR($D3982="",$R3982="Trùng"),"",SUMIFS(ORDERS!$J$2:$J$4995,ORDERS!$C$2:$C$4995,$D3982,ORDERS!$L$2:$L$4995,"Đã chuyển khoản"))</f>
        <v/>
      </c>
      <c r="Y3982" s="24" t="n"/>
    </row>
    <row r="3983" ht="14.25" customHeight="1" s="40">
      <c r="A3983" s="24" t="n"/>
      <c r="B3983" s="27" t="n"/>
      <c r="C3983" s="24" t="n"/>
      <c r="D3983" s="28" t="n"/>
      <c r="E3983" s="29" t="n"/>
      <c r="F3983" s="24" t="n"/>
      <c r="G3983" s="24" t="n"/>
      <c r="H3983" s="21">
        <f>IF(ISNUMBER($B3983),INT($B3983)-WEEKDAY($B3983,2)+1,"")</f>
        <v/>
      </c>
      <c r="I3983" s="24" t="n"/>
      <c r="J3983" s="22">
        <f t="array" ref="J3983">IF($D3983="","",IF($I3983="","(trống REF)",IFERROR(INDEX(MASTER_SOURCE!$B$2:$B$495,MATCH($I3983,MASTER_SOURCE!$A$2:$A$495,0)),"(REF không có trong MASTER_SOURCE)")))</f>
        <v/>
      </c>
      <c r="K3983" s="22">
        <f t="array" ref="K3983">IF($D3983="","",IFERROR(INDEX(MASTER_SOURCE!$C$2:$C$495,MATCH($I3983,MASTER_SOURCE!$A$2:$A$495,0)),""))</f>
        <v/>
      </c>
      <c r="L3983" s="22">
        <f t="array" ref="L3983">IF($D3983="","",IFERROR(INDEX(MASTER_SOURCE!$D$2:$D$495,MATCH($I3983,MASTER_SOURCE!$A$2:$A$495,0)),""))</f>
        <v/>
      </c>
      <c r="M3983" s="24" t="n"/>
      <c r="N3983" s="24" t="n"/>
      <c r="O3983" s="24" t="n"/>
      <c r="P3983" s="24" t="n"/>
      <c r="Q3983" s="22">
        <f>IF($D3983="","",IF(AND(OR(DANH_MUC!$L$5&lt;&gt;"Có",M3983="Có"),OR(DANH_MUC!$L$6&lt;&gt;"Có",N3983="Có"),OR(DANH_MUC!$L$7&lt;&gt;"Có",O3983="Có"),OR(DANH_MUC!$L$8&lt;&gt;"Có",P3983="Có")),"Có","Không"))</f>
        <v/>
      </c>
      <c r="R3983" s="22">
        <f>IF($D3983="","",IF(COUNTIF($D$2:$D3983,$D3983)&gt;1,"Trùng",""))</f>
        <v/>
      </c>
      <c r="S3983" s="22">
        <f>IF($D3983="","",IF(AND(LEN($D3983)=10,LEFT($D3983,1)="0",ISNUMBER(--$D3983)),"Có","Không"))</f>
        <v/>
      </c>
      <c r="T3983" s="22">
        <f>IF($D3983="","",IF(AND($C3983&lt;&gt;"",$Q3983="Có",$R3983="",$S3983="Có",AND($L3983&lt;&gt;"",OR($L3983&lt;&gt;"Chưa xác định",DANH_MUC!$L$9="Có"))),"Có","Không"))</f>
        <v/>
      </c>
      <c r="U3983" s="22">
        <f>IF(OR($D3983="",$T3983="Có"),"",IF($C3983="","Thiếu họ tên; ","")&amp;IF($S3983&lt;&gt;"Có","SĐT sai định dạng; ","")&amp;IF($R3983="Trùng","Trùng SĐT; ","")&amp;IF($Q3983&lt;&gt;"Có","Thiếu đồng ý bắt buộc; ","")&amp;IF($L3983="","Thiếu/sai Mã REF; ",IF(AND($L3983="Chưa xác định",DANH_MUC!$L$9&lt;&gt;"Có"),"Nguồn chưa xác định; ","")))</f>
        <v/>
      </c>
      <c r="V3983" s="22">
        <f>IF(OR($D3983="",$R3983="Trùng"),"",IF(COUNTIF(ORDERS!$C$2:$C$4995,$D3983)&gt;0,"Có","Không"))</f>
        <v/>
      </c>
      <c r="W3983" s="22">
        <f>IF(OR($D3983="",$R3983="Trùng"),"",COUNTIFS(ORDERS!$C$2:$C$4995,$D3983,ORDERS!$L$2:$L$4995,"Đã chuyển khoản"))</f>
        <v/>
      </c>
      <c r="X3983" s="23">
        <f>IF(OR($D3983="",$R3983="Trùng"),"",SUMIFS(ORDERS!$J$2:$J$4995,ORDERS!$C$2:$C$4995,$D3983,ORDERS!$L$2:$L$4995,"Đã chuyển khoản"))</f>
        <v/>
      </c>
      <c r="Y3983" s="24" t="n"/>
    </row>
    <row r="3984" ht="14.25" customHeight="1" s="40">
      <c r="A3984" s="24" t="n"/>
      <c r="B3984" s="27" t="n"/>
      <c r="C3984" s="24" t="n"/>
      <c r="D3984" s="28" t="n"/>
      <c r="E3984" s="29" t="n"/>
      <c r="F3984" s="24" t="n"/>
      <c r="G3984" s="24" t="n"/>
      <c r="H3984" s="21">
        <f>IF(ISNUMBER($B3984),INT($B3984)-WEEKDAY($B3984,2)+1,"")</f>
        <v/>
      </c>
      <c r="I3984" s="24" t="n"/>
      <c r="J3984" s="22">
        <f t="array" ref="J3984">IF($D3984="","",IF($I3984="","(trống REF)",IFERROR(INDEX(MASTER_SOURCE!$B$2:$B$495,MATCH($I3984,MASTER_SOURCE!$A$2:$A$495,0)),"(REF không có trong MASTER_SOURCE)")))</f>
        <v/>
      </c>
      <c r="K3984" s="22">
        <f t="array" ref="K3984">IF($D3984="","",IFERROR(INDEX(MASTER_SOURCE!$C$2:$C$495,MATCH($I3984,MASTER_SOURCE!$A$2:$A$495,0)),""))</f>
        <v/>
      </c>
      <c r="L3984" s="22">
        <f t="array" ref="L3984">IF($D3984="","",IFERROR(INDEX(MASTER_SOURCE!$D$2:$D$495,MATCH($I3984,MASTER_SOURCE!$A$2:$A$495,0)),""))</f>
        <v/>
      </c>
      <c r="M3984" s="24" t="n"/>
      <c r="N3984" s="24" t="n"/>
      <c r="O3984" s="24" t="n"/>
      <c r="P3984" s="24" t="n"/>
      <c r="Q3984" s="22">
        <f>IF($D3984="","",IF(AND(OR(DANH_MUC!$L$5&lt;&gt;"Có",M3984="Có"),OR(DANH_MUC!$L$6&lt;&gt;"Có",N3984="Có"),OR(DANH_MUC!$L$7&lt;&gt;"Có",O3984="Có"),OR(DANH_MUC!$L$8&lt;&gt;"Có",P3984="Có")),"Có","Không"))</f>
        <v/>
      </c>
      <c r="R3984" s="22">
        <f>IF($D3984="","",IF(COUNTIF($D$2:$D3984,$D3984)&gt;1,"Trùng",""))</f>
        <v/>
      </c>
      <c r="S3984" s="22">
        <f>IF($D3984="","",IF(AND(LEN($D3984)=10,LEFT($D3984,1)="0",ISNUMBER(--$D3984)),"Có","Không"))</f>
        <v/>
      </c>
      <c r="T3984" s="22">
        <f>IF($D3984="","",IF(AND($C3984&lt;&gt;"",$Q3984="Có",$R3984="",$S3984="Có",AND($L3984&lt;&gt;"",OR($L3984&lt;&gt;"Chưa xác định",DANH_MUC!$L$9="Có"))),"Có","Không"))</f>
        <v/>
      </c>
      <c r="U3984" s="22">
        <f>IF(OR($D3984="",$T3984="Có"),"",IF($C3984="","Thiếu họ tên; ","")&amp;IF($S3984&lt;&gt;"Có","SĐT sai định dạng; ","")&amp;IF($R3984="Trùng","Trùng SĐT; ","")&amp;IF($Q3984&lt;&gt;"Có","Thiếu đồng ý bắt buộc; ","")&amp;IF($L3984="","Thiếu/sai Mã REF; ",IF(AND($L3984="Chưa xác định",DANH_MUC!$L$9&lt;&gt;"Có"),"Nguồn chưa xác định; ","")))</f>
        <v/>
      </c>
      <c r="V3984" s="22">
        <f>IF(OR($D3984="",$R3984="Trùng"),"",IF(COUNTIF(ORDERS!$C$2:$C$4995,$D3984)&gt;0,"Có","Không"))</f>
        <v/>
      </c>
      <c r="W3984" s="22">
        <f>IF(OR($D3984="",$R3984="Trùng"),"",COUNTIFS(ORDERS!$C$2:$C$4995,$D3984,ORDERS!$L$2:$L$4995,"Đã chuyển khoản"))</f>
        <v/>
      </c>
      <c r="X3984" s="23">
        <f>IF(OR($D3984="",$R3984="Trùng"),"",SUMIFS(ORDERS!$J$2:$J$4995,ORDERS!$C$2:$C$4995,$D3984,ORDERS!$L$2:$L$4995,"Đã chuyển khoản"))</f>
        <v/>
      </c>
      <c r="Y3984" s="24" t="n"/>
    </row>
    <row r="3985" ht="14.25" customHeight="1" s="40">
      <c r="A3985" s="24" t="n"/>
      <c r="B3985" s="27" t="n"/>
      <c r="C3985" s="24" t="n"/>
      <c r="D3985" s="28" t="n"/>
      <c r="E3985" s="29" t="n"/>
      <c r="F3985" s="24" t="n"/>
      <c r="G3985" s="24" t="n"/>
      <c r="H3985" s="21">
        <f>IF(ISNUMBER($B3985),INT($B3985)-WEEKDAY($B3985,2)+1,"")</f>
        <v/>
      </c>
      <c r="I3985" s="24" t="n"/>
      <c r="J3985" s="22">
        <f t="array" ref="J3985">IF($D3985="","",IF($I3985="","(trống REF)",IFERROR(INDEX(MASTER_SOURCE!$B$2:$B$495,MATCH($I3985,MASTER_SOURCE!$A$2:$A$495,0)),"(REF không có trong MASTER_SOURCE)")))</f>
        <v/>
      </c>
      <c r="K3985" s="22">
        <f t="array" ref="K3985">IF($D3985="","",IFERROR(INDEX(MASTER_SOURCE!$C$2:$C$495,MATCH($I3985,MASTER_SOURCE!$A$2:$A$495,0)),""))</f>
        <v/>
      </c>
      <c r="L3985" s="22">
        <f t="array" ref="L3985">IF($D3985="","",IFERROR(INDEX(MASTER_SOURCE!$D$2:$D$495,MATCH($I3985,MASTER_SOURCE!$A$2:$A$495,0)),""))</f>
        <v/>
      </c>
      <c r="M3985" s="24" t="n"/>
      <c r="N3985" s="24" t="n"/>
      <c r="O3985" s="24" t="n"/>
      <c r="P3985" s="24" t="n"/>
      <c r="Q3985" s="22">
        <f>IF($D3985="","",IF(AND(OR(DANH_MUC!$L$5&lt;&gt;"Có",M3985="Có"),OR(DANH_MUC!$L$6&lt;&gt;"Có",N3985="Có"),OR(DANH_MUC!$L$7&lt;&gt;"Có",O3985="Có"),OR(DANH_MUC!$L$8&lt;&gt;"Có",P3985="Có")),"Có","Không"))</f>
        <v/>
      </c>
      <c r="R3985" s="22">
        <f>IF($D3985="","",IF(COUNTIF($D$2:$D3985,$D3985)&gt;1,"Trùng",""))</f>
        <v/>
      </c>
      <c r="S3985" s="22">
        <f>IF($D3985="","",IF(AND(LEN($D3985)=10,LEFT($D3985,1)="0",ISNUMBER(--$D3985)),"Có","Không"))</f>
        <v/>
      </c>
      <c r="T3985" s="22">
        <f>IF($D3985="","",IF(AND($C3985&lt;&gt;"",$Q3985="Có",$R3985="",$S3985="Có",AND($L3985&lt;&gt;"",OR($L3985&lt;&gt;"Chưa xác định",DANH_MUC!$L$9="Có"))),"Có","Không"))</f>
        <v/>
      </c>
      <c r="U3985" s="22">
        <f>IF(OR($D3985="",$T3985="Có"),"",IF($C3985="","Thiếu họ tên; ","")&amp;IF($S3985&lt;&gt;"Có","SĐT sai định dạng; ","")&amp;IF($R3985="Trùng","Trùng SĐT; ","")&amp;IF($Q3985&lt;&gt;"Có","Thiếu đồng ý bắt buộc; ","")&amp;IF($L3985="","Thiếu/sai Mã REF; ",IF(AND($L3985="Chưa xác định",DANH_MUC!$L$9&lt;&gt;"Có"),"Nguồn chưa xác định; ","")))</f>
        <v/>
      </c>
      <c r="V3985" s="22">
        <f>IF(OR($D3985="",$R3985="Trùng"),"",IF(COUNTIF(ORDERS!$C$2:$C$4995,$D3985)&gt;0,"Có","Không"))</f>
        <v/>
      </c>
      <c r="W3985" s="22">
        <f>IF(OR($D3985="",$R3985="Trùng"),"",COUNTIFS(ORDERS!$C$2:$C$4995,$D3985,ORDERS!$L$2:$L$4995,"Đã chuyển khoản"))</f>
        <v/>
      </c>
      <c r="X3985" s="23">
        <f>IF(OR($D3985="",$R3985="Trùng"),"",SUMIFS(ORDERS!$J$2:$J$4995,ORDERS!$C$2:$C$4995,$D3985,ORDERS!$L$2:$L$4995,"Đã chuyển khoản"))</f>
        <v/>
      </c>
      <c r="Y3985" s="24" t="n"/>
    </row>
    <row r="3986" ht="14.25" customHeight="1" s="40">
      <c r="A3986" s="24" t="n"/>
      <c r="B3986" s="27" t="n"/>
      <c r="C3986" s="24" t="n"/>
      <c r="D3986" s="28" t="n"/>
      <c r="E3986" s="29" t="n"/>
      <c r="F3986" s="24" t="n"/>
      <c r="G3986" s="24" t="n"/>
      <c r="H3986" s="21">
        <f>IF(ISNUMBER($B3986),INT($B3986)-WEEKDAY($B3986,2)+1,"")</f>
        <v/>
      </c>
      <c r="I3986" s="24" t="n"/>
      <c r="J3986" s="22">
        <f t="array" ref="J3986">IF($D3986="","",IF($I3986="","(trống REF)",IFERROR(INDEX(MASTER_SOURCE!$B$2:$B$495,MATCH($I3986,MASTER_SOURCE!$A$2:$A$495,0)),"(REF không có trong MASTER_SOURCE)")))</f>
        <v/>
      </c>
      <c r="K3986" s="22">
        <f t="array" ref="K3986">IF($D3986="","",IFERROR(INDEX(MASTER_SOURCE!$C$2:$C$495,MATCH($I3986,MASTER_SOURCE!$A$2:$A$495,0)),""))</f>
        <v/>
      </c>
      <c r="L3986" s="22">
        <f t="array" ref="L3986">IF($D3986="","",IFERROR(INDEX(MASTER_SOURCE!$D$2:$D$495,MATCH($I3986,MASTER_SOURCE!$A$2:$A$495,0)),""))</f>
        <v/>
      </c>
      <c r="M3986" s="24" t="n"/>
      <c r="N3986" s="24" t="n"/>
      <c r="O3986" s="24" t="n"/>
      <c r="P3986" s="24" t="n"/>
      <c r="Q3986" s="22">
        <f>IF($D3986="","",IF(AND(OR(DANH_MUC!$L$5&lt;&gt;"Có",M3986="Có"),OR(DANH_MUC!$L$6&lt;&gt;"Có",N3986="Có"),OR(DANH_MUC!$L$7&lt;&gt;"Có",O3986="Có"),OR(DANH_MUC!$L$8&lt;&gt;"Có",P3986="Có")),"Có","Không"))</f>
        <v/>
      </c>
      <c r="R3986" s="22">
        <f>IF($D3986="","",IF(COUNTIF($D$2:$D3986,$D3986)&gt;1,"Trùng",""))</f>
        <v/>
      </c>
      <c r="S3986" s="22">
        <f>IF($D3986="","",IF(AND(LEN($D3986)=10,LEFT($D3986,1)="0",ISNUMBER(--$D3986)),"Có","Không"))</f>
        <v/>
      </c>
      <c r="T3986" s="22">
        <f>IF($D3986="","",IF(AND($C3986&lt;&gt;"",$Q3986="Có",$R3986="",$S3986="Có",AND($L3986&lt;&gt;"",OR($L3986&lt;&gt;"Chưa xác định",DANH_MUC!$L$9="Có"))),"Có","Không"))</f>
        <v/>
      </c>
      <c r="U3986" s="22">
        <f>IF(OR($D3986="",$T3986="Có"),"",IF($C3986="","Thiếu họ tên; ","")&amp;IF($S3986&lt;&gt;"Có","SĐT sai định dạng; ","")&amp;IF($R3986="Trùng","Trùng SĐT; ","")&amp;IF($Q3986&lt;&gt;"Có","Thiếu đồng ý bắt buộc; ","")&amp;IF($L3986="","Thiếu/sai Mã REF; ",IF(AND($L3986="Chưa xác định",DANH_MUC!$L$9&lt;&gt;"Có"),"Nguồn chưa xác định; ","")))</f>
        <v/>
      </c>
      <c r="V3986" s="22">
        <f>IF(OR($D3986="",$R3986="Trùng"),"",IF(COUNTIF(ORDERS!$C$2:$C$4995,$D3986)&gt;0,"Có","Không"))</f>
        <v/>
      </c>
      <c r="W3986" s="22">
        <f>IF(OR($D3986="",$R3986="Trùng"),"",COUNTIFS(ORDERS!$C$2:$C$4995,$D3986,ORDERS!$L$2:$L$4995,"Đã chuyển khoản"))</f>
        <v/>
      </c>
      <c r="X3986" s="23">
        <f>IF(OR($D3986="",$R3986="Trùng"),"",SUMIFS(ORDERS!$J$2:$J$4995,ORDERS!$C$2:$C$4995,$D3986,ORDERS!$L$2:$L$4995,"Đã chuyển khoản"))</f>
        <v/>
      </c>
      <c r="Y3986" s="24" t="n"/>
    </row>
    <row r="3987" ht="14.25" customHeight="1" s="40">
      <c r="A3987" s="24" t="n"/>
      <c r="B3987" s="27" t="n"/>
      <c r="C3987" s="24" t="n"/>
      <c r="D3987" s="28" t="n"/>
      <c r="E3987" s="29" t="n"/>
      <c r="F3987" s="24" t="n"/>
      <c r="G3987" s="24" t="n"/>
      <c r="H3987" s="21">
        <f>IF(ISNUMBER($B3987),INT($B3987)-WEEKDAY($B3987,2)+1,"")</f>
        <v/>
      </c>
      <c r="I3987" s="24" t="n"/>
      <c r="J3987" s="22">
        <f t="array" ref="J3987">IF($D3987="","",IF($I3987="","(trống REF)",IFERROR(INDEX(MASTER_SOURCE!$B$2:$B$495,MATCH($I3987,MASTER_SOURCE!$A$2:$A$495,0)),"(REF không có trong MASTER_SOURCE)")))</f>
        <v/>
      </c>
      <c r="K3987" s="22">
        <f t="array" ref="K3987">IF($D3987="","",IFERROR(INDEX(MASTER_SOURCE!$C$2:$C$495,MATCH($I3987,MASTER_SOURCE!$A$2:$A$495,0)),""))</f>
        <v/>
      </c>
      <c r="L3987" s="22">
        <f t="array" ref="L3987">IF($D3987="","",IFERROR(INDEX(MASTER_SOURCE!$D$2:$D$495,MATCH($I3987,MASTER_SOURCE!$A$2:$A$495,0)),""))</f>
        <v/>
      </c>
      <c r="M3987" s="24" t="n"/>
      <c r="N3987" s="24" t="n"/>
      <c r="O3987" s="24" t="n"/>
      <c r="P3987" s="24" t="n"/>
      <c r="Q3987" s="22">
        <f>IF($D3987="","",IF(AND(OR(DANH_MUC!$L$5&lt;&gt;"Có",M3987="Có"),OR(DANH_MUC!$L$6&lt;&gt;"Có",N3987="Có"),OR(DANH_MUC!$L$7&lt;&gt;"Có",O3987="Có"),OR(DANH_MUC!$L$8&lt;&gt;"Có",P3987="Có")),"Có","Không"))</f>
        <v/>
      </c>
      <c r="R3987" s="22">
        <f>IF($D3987="","",IF(COUNTIF($D$2:$D3987,$D3987)&gt;1,"Trùng",""))</f>
        <v/>
      </c>
      <c r="S3987" s="22">
        <f>IF($D3987="","",IF(AND(LEN($D3987)=10,LEFT($D3987,1)="0",ISNUMBER(--$D3987)),"Có","Không"))</f>
        <v/>
      </c>
      <c r="T3987" s="22">
        <f>IF($D3987="","",IF(AND($C3987&lt;&gt;"",$Q3987="Có",$R3987="",$S3987="Có",AND($L3987&lt;&gt;"",OR($L3987&lt;&gt;"Chưa xác định",DANH_MUC!$L$9="Có"))),"Có","Không"))</f>
        <v/>
      </c>
      <c r="U3987" s="22">
        <f>IF(OR($D3987="",$T3987="Có"),"",IF($C3987="","Thiếu họ tên; ","")&amp;IF($S3987&lt;&gt;"Có","SĐT sai định dạng; ","")&amp;IF($R3987="Trùng","Trùng SĐT; ","")&amp;IF($Q3987&lt;&gt;"Có","Thiếu đồng ý bắt buộc; ","")&amp;IF($L3987="","Thiếu/sai Mã REF; ",IF(AND($L3987="Chưa xác định",DANH_MUC!$L$9&lt;&gt;"Có"),"Nguồn chưa xác định; ","")))</f>
        <v/>
      </c>
      <c r="V3987" s="22">
        <f>IF(OR($D3987="",$R3987="Trùng"),"",IF(COUNTIF(ORDERS!$C$2:$C$4995,$D3987)&gt;0,"Có","Không"))</f>
        <v/>
      </c>
      <c r="W3987" s="22">
        <f>IF(OR($D3987="",$R3987="Trùng"),"",COUNTIFS(ORDERS!$C$2:$C$4995,$D3987,ORDERS!$L$2:$L$4995,"Đã chuyển khoản"))</f>
        <v/>
      </c>
      <c r="X3987" s="23">
        <f>IF(OR($D3987="",$R3987="Trùng"),"",SUMIFS(ORDERS!$J$2:$J$4995,ORDERS!$C$2:$C$4995,$D3987,ORDERS!$L$2:$L$4995,"Đã chuyển khoản"))</f>
        <v/>
      </c>
      <c r="Y3987" s="24" t="n"/>
    </row>
    <row r="3988" ht="14.25" customHeight="1" s="40">
      <c r="A3988" s="24" t="n"/>
      <c r="B3988" s="27" t="n"/>
      <c r="C3988" s="24" t="n"/>
      <c r="D3988" s="28" t="n"/>
      <c r="E3988" s="29" t="n"/>
      <c r="F3988" s="24" t="n"/>
      <c r="G3988" s="24" t="n"/>
      <c r="H3988" s="21">
        <f>IF(ISNUMBER($B3988),INT($B3988)-WEEKDAY($B3988,2)+1,"")</f>
        <v/>
      </c>
      <c r="I3988" s="24" t="n"/>
      <c r="J3988" s="22">
        <f t="array" ref="J3988">IF($D3988="","",IF($I3988="","(trống REF)",IFERROR(INDEX(MASTER_SOURCE!$B$2:$B$495,MATCH($I3988,MASTER_SOURCE!$A$2:$A$495,0)),"(REF không có trong MASTER_SOURCE)")))</f>
        <v/>
      </c>
      <c r="K3988" s="22">
        <f t="array" ref="K3988">IF($D3988="","",IFERROR(INDEX(MASTER_SOURCE!$C$2:$C$495,MATCH($I3988,MASTER_SOURCE!$A$2:$A$495,0)),""))</f>
        <v/>
      </c>
      <c r="L3988" s="22">
        <f t="array" ref="L3988">IF($D3988="","",IFERROR(INDEX(MASTER_SOURCE!$D$2:$D$495,MATCH($I3988,MASTER_SOURCE!$A$2:$A$495,0)),""))</f>
        <v/>
      </c>
      <c r="M3988" s="24" t="n"/>
      <c r="N3988" s="24" t="n"/>
      <c r="O3988" s="24" t="n"/>
      <c r="P3988" s="24" t="n"/>
      <c r="Q3988" s="22">
        <f>IF($D3988="","",IF(AND(OR(DANH_MUC!$L$5&lt;&gt;"Có",M3988="Có"),OR(DANH_MUC!$L$6&lt;&gt;"Có",N3988="Có"),OR(DANH_MUC!$L$7&lt;&gt;"Có",O3988="Có"),OR(DANH_MUC!$L$8&lt;&gt;"Có",P3988="Có")),"Có","Không"))</f>
        <v/>
      </c>
      <c r="R3988" s="22">
        <f>IF($D3988="","",IF(COUNTIF($D$2:$D3988,$D3988)&gt;1,"Trùng",""))</f>
        <v/>
      </c>
      <c r="S3988" s="22">
        <f>IF($D3988="","",IF(AND(LEN($D3988)=10,LEFT($D3988,1)="0",ISNUMBER(--$D3988)),"Có","Không"))</f>
        <v/>
      </c>
      <c r="T3988" s="22">
        <f>IF($D3988="","",IF(AND($C3988&lt;&gt;"",$Q3988="Có",$R3988="",$S3988="Có",AND($L3988&lt;&gt;"",OR($L3988&lt;&gt;"Chưa xác định",DANH_MUC!$L$9="Có"))),"Có","Không"))</f>
        <v/>
      </c>
      <c r="U3988" s="22">
        <f>IF(OR($D3988="",$T3988="Có"),"",IF($C3988="","Thiếu họ tên; ","")&amp;IF($S3988&lt;&gt;"Có","SĐT sai định dạng; ","")&amp;IF($R3988="Trùng","Trùng SĐT; ","")&amp;IF($Q3988&lt;&gt;"Có","Thiếu đồng ý bắt buộc; ","")&amp;IF($L3988="","Thiếu/sai Mã REF; ",IF(AND($L3988="Chưa xác định",DANH_MUC!$L$9&lt;&gt;"Có"),"Nguồn chưa xác định; ","")))</f>
        <v/>
      </c>
      <c r="V3988" s="22">
        <f>IF(OR($D3988="",$R3988="Trùng"),"",IF(COUNTIF(ORDERS!$C$2:$C$4995,$D3988)&gt;0,"Có","Không"))</f>
        <v/>
      </c>
      <c r="W3988" s="22">
        <f>IF(OR($D3988="",$R3988="Trùng"),"",COUNTIFS(ORDERS!$C$2:$C$4995,$D3988,ORDERS!$L$2:$L$4995,"Đã chuyển khoản"))</f>
        <v/>
      </c>
      <c r="X3988" s="23">
        <f>IF(OR($D3988="",$R3988="Trùng"),"",SUMIFS(ORDERS!$J$2:$J$4995,ORDERS!$C$2:$C$4995,$D3988,ORDERS!$L$2:$L$4995,"Đã chuyển khoản"))</f>
        <v/>
      </c>
      <c r="Y3988" s="24" t="n"/>
    </row>
    <row r="3989" ht="14.25" customHeight="1" s="40">
      <c r="A3989" s="24" t="n"/>
      <c r="B3989" s="27" t="n"/>
      <c r="C3989" s="24" t="n"/>
      <c r="D3989" s="28" t="n"/>
      <c r="E3989" s="29" t="n"/>
      <c r="F3989" s="24" t="n"/>
      <c r="G3989" s="24" t="n"/>
      <c r="H3989" s="21">
        <f>IF(ISNUMBER($B3989),INT($B3989)-WEEKDAY($B3989,2)+1,"")</f>
        <v/>
      </c>
      <c r="I3989" s="24" t="n"/>
      <c r="J3989" s="22">
        <f t="array" ref="J3989">IF($D3989="","",IF($I3989="","(trống REF)",IFERROR(INDEX(MASTER_SOURCE!$B$2:$B$495,MATCH($I3989,MASTER_SOURCE!$A$2:$A$495,0)),"(REF không có trong MASTER_SOURCE)")))</f>
        <v/>
      </c>
      <c r="K3989" s="22">
        <f t="array" ref="K3989">IF($D3989="","",IFERROR(INDEX(MASTER_SOURCE!$C$2:$C$495,MATCH($I3989,MASTER_SOURCE!$A$2:$A$495,0)),""))</f>
        <v/>
      </c>
      <c r="L3989" s="22">
        <f t="array" ref="L3989">IF($D3989="","",IFERROR(INDEX(MASTER_SOURCE!$D$2:$D$495,MATCH($I3989,MASTER_SOURCE!$A$2:$A$495,0)),""))</f>
        <v/>
      </c>
      <c r="M3989" s="24" t="n"/>
      <c r="N3989" s="24" t="n"/>
      <c r="O3989" s="24" t="n"/>
      <c r="P3989" s="24" t="n"/>
      <c r="Q3989" s="22">
        <f>IF($D3989="","",IF(AND(OR(DANH_MUC!$L$5&lt;&gt;"Có",M3989="Có"),OR(DANH_MUC!$L$6&lt;&gt;"Có",N3989="Có"),OR(DANH_MUC!$L$7&lt;&gt;"Có",O3989="Có"),OR(DANH_MUC!$L$8&lt;&gt;"Có",P3989="Có")),"Có","Không"))</f>
        <v/>
      </c>
      <c r="R3989" s="22">
        <f>IF($D3989="","",IF(COUNTIF($D$2:$D3989,$D3989)&gt;1,"Trùng",""))</f>
        <v/>
      </c>
      <c r="S3989" s="22">
        <f>IF($D3989="","",IF(AND(LEN($D3989)=10,LEFT($D3989,1)="0",ISNUMBER(--$D3989)),"Có","Không"))</f>
        <v/>
      </c>
      <c r="T3989" s="22">
        <f>IF($D3989="","",IF(AND($C3989&lt;&gt;"",$Q3989="Có",$R3989="",$S3989="Có",AND($L3989&lt;&gt;"",OR($L3989&lt;&gt;"Chưa xác định",DANH_MUC!$L$9="Có"))),"Có","Không"))</f>
        <v/>
      </c>
      <c r="U3989" s="22">
        <f>IF(OR($D3989="",$T3989="Có"),"",IF($C3989="","Thiếu họ tên; ","")&amp;IF($S3989&lt;&gt;"Có","SĐT sai định dạng; ","")&amp;IF($R3989="Trùng","Trùng SĐT; ","")&amp;IF($Q3989&lt;&gt;"Có","Thiếu đồng ý bắt buộc; ","")&amp;IF($L3989="","Thiếu/sai Mã REF; ",IF(AND($L3989="Chưa xác định",DANH_MUC!$L$9&lt;&gt;"Có"),"Nguồn chưa xác định; ","")))</f>
        <v/>
      </c>
      <c r="V3989" s="22">
        <f>IF(OR($D3989="",$R3989="Trùng"),"",IF(COUNTIF(ORDERS!$C$2:$C$4995,$D3989)&gt;0,"Có","Không"))</f>
        <v/>
      </c>
      <c r="W3989" s="22">
        <f>IF(OR($D3989="",$R3989="Trùng"),"",COUNTIFS(ORDERS!$C$2:$C$4995,$D3989,ORDERS!$L$2:$L$4995,"Đã chuyển khoản"))</f>
        <v/>
      </c>
      <c r="X3989" s="23">
        <f>IF(OR($D3989="",$R3989="Trùng"),"",SUMIFS(ORDERS!$J$2:$J$4995,ORDERS!$C$2:$C$4995,$D3989,ORDERS!$L$2:$L$4995,"Đã chuyển khoản"))</f>
        <v/>
      </c>
      <c r="Y3989" s="24" t="n"/>
    </row>
    <row r="3990" ht="14.25" customHeight="1" s="40">
      <c r="A3990" s="24" t="n"/>
      <c r="B3990" s="27" t="n"/>
      <c r="C3990" s="24" t="n"/>
      <c r="D3990" s="28" t="n"/>
      <c r="E3990" s="29" t="n"/>
      <c r="F3990" s="24" t="n"/>
      <c r="G3990" s="24" t="n"/>
      <c r="H3990" s="21">
        <f>IF(ISNUMBER($B3990),INT($B3990)-WEEKDAY($B3990,2)+1,"")</f>
        <v/>
      </c>
      <c r="I3990" s="24" t="n"/>
      <c r="J3990" s="22">
        <f t="array" ref="J3990">IF($D3990="","",IF($I3990="","(trống REF)",IFERROR(INDEX(MASTER_SOURCE!$B$2:$B$495,MATCH($I3990,MASTER_SOURCE!$A$2:$A$495,0)),"(REF không có trong MASTER_SOURCE)")))</f>
        <v/>
      </c>
      <c r="K3990" s="22">
        <f t="array" ref="K3990">IF($D3990="","",IFERROR(INDEX(MASTER_SOURCE!$C$2:$C$495,MATCH($I3990,MASTER_SOURCE!$A$2:$A$495,0)),""))</f>
        <v/>
      </c>
      <c r="L3990" s="22">
        <f t="array" ref="L3990">IF($D3990="","",IFERROR(INDEX(MASTER_SOURCE!$D$2:$D$495,MATCH($I3990,MASTER_SOURCE!$A$2:$A$495,0)),""))</f>
        <v/>
      </c>
      <c r="M3990" s="24" t="n"/>
      <c r="N3990" s="24" t="n"/>
      <c r="O3990" s="24" t="n"/>
      <c r="P3990" s="24" t="n"/>
      <c r="Q3990" s="22">
        <f>IF($D3990="","",IF(AND(OR(DANH_MUC!$L$5&lt;&gt;"Có",M3990="Có"),OR(DANH_MUC!$L$6&lt;&gt;"Có",N3990="Có"),OR(DANH_MUC!$L$7&lt;&gt;"Có",O3990="Có"),OR(DANH_MUC!$L$8&lt;&gt;"Có",P3990="Có")),"Có","Không"))</f>
        <v/>
      </c>
      <c r="R3990" s="22">
        <f>IF($D3990="","",IF(COUNTIF($D$2:$D3990,$D3990)&gt;1,"Trùng",""))</f>
        <v/>
      </c>
      <c r="S3990" s="22">
        <f>IF($D3990="","",IF(AND(LEN($D3990)=10,LEFT($D3990,1)="0",ISNUMBER(--$D3990)),"Có","Không"))</f>
        <v/>
      </c>
      <c r="T3990" s="22">
        <f>IF($D3990="","",IF(AND($C3990&lt;&gt;"",$Q3990="Có",$R3990="",$S3990="Có",AND($L3990&lt;&gt;"",OR($L3990&lt;&gt;"Chưa xác định",DANH_MUC!$L$9="Có"))),"Có","Không"))</f>
        <v/>
      </c>
      <c r="U3990" s="22">
        <f>IF(OR($D3990="",$T3990="Có"),"",IF($C3990="","Thiếu họ tên; ","")&amp;IF($S3990&lt;&gt;"Có","SĐT sai định dạng; ","")&amp;IF($R3990="Trùng","Trùng SĐT; ","")&amp;IF($Q3990&lt;&gt;"Có","Thiếu đồng ý bắt buộc; ","")&amp;IF($L3990="","Thiếu/sai Mã REF; ",IF(AND($L3990="Chưa xác định",DANH_MUC!$L$9&lt;&gt;"Có"),"Nguồn chưa xác định; ","")))</f>
        <v/>
      </c>
      <c r="V3990" s="22">
        <f>IF(OR($D3990="",$R3990="Trùng"),"",IF(COUNTIF(ORDERS!$C$2:$C$4995,$D3990)&gt;0,"Có","Không"))</f>
        <v/>
      </c>
      <c r="W3990" s="22">
        <f>IF(OR($D3990="",$R3990="Trùng"),"",COUNTIFS(ORDERS!$C$2:$C$4995,$D3990,ORDERS!$L$2:$L$4995,"Đã chuyển khoản"))</f>
        <v/>
      </c>
      <c r="X3990" s="23">
        <f>IF(OR($D3990="",$R3990="Trùng"),"",SUMIFS(ORDERS!$J$2:$J$4995,ORDERS!$C$2:$C$4995,$D3990,ORDERS!$L$2:$L$4995,"Đã chuyển khoản"))</f>
        <v/>
      </c>
      <c r="Y3990" s="24" t="n"/>
    </row>
    <row r="3991" ht="14.25" customHeight="1" s="40">
      <c r="A3991" s="24" t="n"/>
      <c r="B3991" s="27" t="n"/>
      <c r="C3991" s="24" t="n"/>
      <c r="D3991" s="28" t="n"/>
      <c r="E3991" s="29" t="n"/>
      <c r="F3991" s="24" t="n"/>
      <c r="G3991" s="24" t="n"/>
      <c r="H3991" s="21">
        <f>IF(ISNUMBER($B3991),INT($B3991)-WEEKDAY($B3991,2)+1,"")</f>
        <v/>
      </c>
      <c r="I3991" s="24" t="n"/>
      <c r="J3991" s="22">
        <f t="array" ref="J3991">IF($D3991="","",IF($I3991="","(trống REF)",IFERROR(INDEX(MASTER_SOURCE!$B$2:$B$495,MATCH($I3991,MASTER_SOURCE!$A$2:$A$495,0)),"(REF không có trong MASTER_SOURCE)")))</f>
        <v/>
      </c>
      <c r="K3991" s="22">
        <f t="array" ref="K3991">IF($D3991="","",IFERROR(INDEX(MASTER_SOURCE!$C$2:$C$495,MATCH($I3991,MASTER_SOURCE!$A$2:$A$495,0)),""))</f>
        <v/>
      </c>
      <c r="L3991" s="22">
        <f t="array" ref="L3991">IF($D3991="","",IFERROR(INDEX(MASTER_SOURCE!$D$2:$D$495,MATCH($I3991,MASTER_SOURCE!$A$2:$A$495,0)),""))</f>
        <v/>
      </c>
      <c r="M3991" s="24" t="n"/>
      <c r="N3991" s="24" t="n"/>
      <c r="O3991" s="24" t="n"/>
      <c r="P3991" s="24" t="n"/>
      <c r="Q3991" s="22">
        <f>IF($D3991="","",IF(AND(OR(DANH_MUC!$L$5&lt;&gt;"Có",M3991="Có"),OR(DANH_MUC!$L$6&lt;&gt;"Có",N3991="Có"),OR(DANH_MUC!$L$7&lt;&gt;"Có",O3991="Có"),OR(DANH_MUC!$L$8&lt;&gt;"Có",P3991="Có")),"Có","Không"))</f>
        <v/>
      </c>
      <c r="R3991" s="22">
        <f>IF($D3991="","",IF(COUNTIF($D$2:$D3991,$D3991)&gt;1,"Trùng",""))</f>
        <v/>
      </c>
      <c r="S3991" s="22">
        <f>IF($D3991="","",IF(AND(LEN($D3991)=10,LEFT($D3991,1)="0",ISNUMBER(--$D3991)),"Có","Không"))</f>
        <v/>
      </c>
      <c r="T3991" s="22">
        <f>IF($D3991="","",IF(AND($C3991&lt;&gt;"",$Q3991="Có",$R3991="",$S3991="Có",AND($L3991&lt;&gt;"",OR($L3991&lt;&gt;"Chưa xác định",DANH_MUC!$L$9="Có"))),"Có","Không"))</f>
        <v/>
      </c>
      <c r="U3991" s="22">
        <f>IF(OR($D3991="",$T3991="Có"),"",IF($C3991="","Thiếu họ tên; ","")&amp;IF($S3991&lt;&gt;"Có","SĐT sai định dạng; ","")&amp;IF($R3991="Trùng","Trùng SĐT; ","")&amp;IF($Q3991&lt;&gt;"Có","Thiếu đồng ý bắt buộc; ","")&amp;IF($L3991="","Thiếu/sai Mã REF; ",IF(AND($L3991="Chưa xác định",DANH_MUC!$L$9&lt;&gt;"Có"),"Nguồn chưa xác định; ","")))</f>
        <v/>
      </c>
      <c r="V3991" s="22">
        <f>IF(OR($D3991="",$R3991="Trùng"),"",IF(COUNTIF(ORDERS!$C$2:$C$4995,$D3991)&gt;0,"Có","Không"))</f>
        <v/>
      </c>
      <c r="W3991" s="22">
        <f>IF(OR($D3991="",$R3991="Trùng"),"",COUNTIFS(ORDERS!$C$2:$C$4995,$D3991,ORDERS!$L$2:$L$4995,"Đã chuyển khoản"))</f>
        <v/>
      </c>
      <c r="X3991" s="23">
        <f>IF(OR($D3991="",$R3991="Trùng"),"",SUMIFS(ORDERS!$J$2:$J$4995,ORDERS!$C$2:$C$4995,$D3991,ORDERS!$L$2:$L$4995,"Đã chuyển khoản"))</f>
        <v/>
      </c>
      <c r="Y3991" s="24" t="n"/>
    </row>
    <row r="3992" ht="14.25" customHeight="1" s="40">
      <c r="A3992" s="24" t="n"/>
      <c r="B3992" s="27" t="n"/>
      <c r="C3992" s="24" t="n"/>
      <c r="D3992" s="28" t="n"/>
      <c r="E3992" s="29" t="n"/>
      <c r="F3992" s="24" t="n"/>
      <c r="G3992" s="24" t="n"/>
      <c r="H3992" s="21">
        <f>IF(ISNUMBER($B3992),INT($B3992)-WEEKDAY($B3992,2)+1,"")</f>
        <v/>
      </c>
      <c r="I3992" s="24" t="n"/>
      <c r="J3992" s="22">
        <f t="array" ref="J3992">IF($D3992="","",IF($I3992="","(trống REF)",IFERROR(INDEX(MASTER_SOURCE!$B$2:$B$495,MATCH($I3992,MASTER_SOURCE!$A$2:$A$495,0)),"(REF không có trong MASTER_SOURCE)")))</f>
        <v/>
      </c>
      <c r="K3992" s="22">
        <f t="array" ref="K3992">IF($D3992="","",IFERROR(INDEX(MASTER_SOURCE!$C$2:$C$495,MATCH($I3992,MASTER_SOURCE!$A$2:$A$495,0)),""))</f>
        <v/>
      </c>
      <c r="L3992" s="22">
        <f t="array" ref="L3992">IF($D3992="","",IFERROR(INDEX(MASTER_SOURCE!$D$2:$D$495,MATCH($I3992,MASTER_SOURCE!$A$2:$A$495,0)),""))</f>
        <v/>
      </c>
      <c r="M3992" s="24" t="n"/>
      <c r="N3992" s="24" t="n"/>
      <c r="O3992" s="24" t="n"/>
      <c r="P3992" s="24" t="n"/>
      <c r="Q3992" s="22">
        <f>IF($D3992="","",IF(AND(OR(DANH_MUC!$L$5&lt;&gt;"Có",M3992="Có"),OR(DANH_MUC!$L$6&lt;&gt;"Có",N3992="Có"),OR(DANH_MUC!$L$7&lt;&gt;"Có",O3992="Có"),OR(DANH_MUC!$L$8&lt;&gt;"Có",P3992="Có")),"Có","Không"))</f>
        <v/>
      </c>
      <c r="R3992" s="22">
        <f>IF($D3992="","",IF(COUNTIF($D$2:$D3992,$D3992)&gt;1,"Trùng",""))</f>
        <v/>
      </c>
      <c r="S3992" s="22">
        <f>IF($D3992="","",IF(AND(LEN($D3992)=10,LEFT($D3992,1)="0",ISNUMBER(--$D3992)),"Có","Không"))</f>
        <v/>
      </c>
      <c r="T3992" s="22">
        <f>IF($D3992="","",IF(AND($C3992&lt;&gt;"",$Q3992="Có",$R3992="",$S3992="Có",AND($L3992&lt;&gt;"",OR($L3992&lt;&gt;"Chưa xác định",DANH_MUC!$L$9="Có"))),"Có","Không"))</f>
        <v/>
      </c>
      <c r="U3992" s="22">
        <f>IF(OR($D3992="",$T3992="Có"),"",IF($C3992="","Thiếu họ tên; ","")&amp;IF($S3992&lt;&gt;"Có","SĐT sai định dạng; ","")&amp;IF($R3992="Trùng","Trùng SĐT; ","")&amp;IF($Q3992&lt;&gt;"Có","Thiếu đồng ý bắt buộc; ","")&amp;IF($L3992="","Thiếu/sai Mã REF; ",IF(AND($L3992="Chưa xác định",DANH_MUC!$L$9&lt;&gt;"Có"),"Nguồn chưa xác định; ","")))</f>
        <v/>
      </c>
      <c r="V3992" s="22">
        <f>IF(OR($D3992="",$R3992="Trùng"),"",IF(COUNTIF(ORDERS!$C$2:$C$4995,$D3992)&gt;0,"Có","Không"))</f>
        <v/>
      </c>
      <c r="W3992" s="22">
        <f>IF(OR($D3992="",$R3992="Trùng"),"",COUNTIFS(ORDERS!$C$2:$C$4995,$D3992,ORDERS!$L$2:$L$4995,"Đã chuyển khoản"))</f>
        <v/>
      </c>
      <c r="X3992" s="23">
        <f>IF(OR($D3992="",$R3992="Trùng"),"",SUMIFS(ORDERS!$J$2:$J$4995,ORDERS!$C$2:$C$4995,$D3992,ORDERS!$L$2:$L$4995,"Đã chuyển khoản"))</f>
        <v/>
      </c>
      <c r="Y3992" s="24" t="n"/>
    </row>
    <row r="3993" ht="14.25" customHeight="1" s="40">
      <c r="A3993" s="24" t="n"/>
      <c r="B3993" s="27" t="n"/>
      <c r="C3993" s="24" t="n"/>
      <c r="D3993" s="28" t="n"/>
      <c r="E3993" s="29" t="n"/>
      <c r="F3993" s="24" t="n"/>
      <c r="G3993" s="24" t="n"/>
      <c r="H3993" s="21">
        <f>IF(ISNUMBER($B3993),INT($B3993)-WEEKDAY($B3993,2)+1,"")</f>
        <v/>
      </c>
      <c r="I3993" s="24" t="n"/>
      <c r="J3993" s="22">
        <f t="array" ref="J3993">IF($D3993="","",IF($I3993="","(trống REF)",IFERROR(INDEX(MASTER_SOURCE!$B$2:$B$495,MATCH($I3993,MASTER_SOURCE!$A$2:$A$495,0)),"(REF không có trong MASTER_SOURCE)")))</f>
        <v/>
      </c>
      <c r="K3993" s="22">
        <f t="array" ref="K3993">IF($D3993="","",IFERROR(INDEX(MASTER_SOURCE!$C$2:$C$495,MATCH($I3993,MASTER_SOURCE!$A$2:$A$495,0)),""))</f>
        <v/>
      </c>
      <c r="L3993" s="22">
        <f t="array" ref="L3993">IF($D3993="","",IFERROR(INDEX(MASTER_SOURCE!$D$2:$D$495,MATCH($I3993,MASTER_SOURCE!$A$2:$A$495,0)),""))</f>
        <v/>
      </c>
      <c r="M3993" s="24" t="n"/>
      <c r="N3993" s="24" t="n"/>
      <c r="O3993" s="24" t="n"/>
      <c r="P3993" s="24" t="n"/>
      <c r="Q3993" s="22">
        <f>IF($D3993="","",IF(AND(OR(DANH_MUC!$L$5&lt;&gt;"Có",M3993="Có"),OR(DANH_MUC!$L$6&lt;&gt;"Có",N3993="Có"),OR(DANH_MUC!$L$7&lt;&gt;"Có",O3993="Có"),OR(DANH_MUC!$L$8&lt;&gt;"Có",P3993="Có")),"Có","Không"))</f>
        <v/>
      </c>
      <c r="R3993" s="22">
        <f>IF($D3993="","",IF(COUNTIF($D$2:$D3993,$D3993)&gt;1,"Trùng",""))</f>
        <v/>
      </c>
      <c r="S3993" s="22">
        <f>IF($D3993="","",IF(AND(LEN($D3993)=10,LEFT($D3993,1)="0",ISNUMBER(--$D3993)),"Có","Không"))</f>
        <v/>
      </c>
      <c r="T3993" s="22">
        <f>IF($D3993="","",IF(AND($C3993&lt;&gt;"",$Q3993="Có",$R3993="",$S3993="Có",AND($L3993&lt;&gt;"",OR($L3993&lt;&gt;"Chưa xác định",DANH_MUC!$L$9="Có"))),"Có","Không"))</f>
        <v/>
      </c>
      <c r="U3993" s="22">
        <f>IF(OR($D3993="",$T3993="Có"),"",IF($C3993="","Thiếu họ tên; ","")&amp;IF($S3993&lt;&gt;"Có","SĐT sai định dạng; ","")&amp;IF($R3993="Trùng","Trùng SĐT; ","")&amp;IF($Q3993&lt;&gt;"Có","Thiếu đồng ý bắt buộc; ","")&amp;IF($L3993="","Thiếu/sai Mã REF; ",IF(AND($L3993="Chưa xác định",DANH_MUC!$L$9&lt;&gt;"Có"),"Nguồn chưa xác định; ","")))</f>
        <v/>
      </c>
      <c r="V3993" s="22">
        <f>IF(OR($D3993="",$R3993="Trùng"),"",IF(COUNTIF(ORDERS!$C$2:$C$4995,$D3993)&gt;0,"Có","Không"))</f>
        <v/>
      </c>
      <c r="W3993" s="22">
        <f>IF(OR($D3993="",$R3993="Trùng"),"",COUNTIFS(ORDERS!$C$2:$C$4995,$D3993,ORDERS!$L$2:$L$4995,"Đã chuyển khoản"))</f>
        <v/>
      </c>
      <c r="X3993" s="23">
        <f>IF(OR($D3993="",$R3993="Trùng"),"",SUMIFS(ORDERS!$J$2:$J$4995,ORDERS!$C$2:$C$4995,$D3993,ORDERS!$L$2:$L$4995,"Đã chuyển khoản"))</f>
        <v/>
      </c>
      <c r="Y3993" s="24" t="n"/>
    </row>
    <row r="3994" ht="14.25" customHeight="1" s="40">
      <c r="A3994" s="24" t="n"/>
      <c r="B3994" s="27" t="n"/>
      <c r="C3994" s="24" t="n"/>
      <c r="D3994" s="28" t="n"/>
      <c r="E3994" s="29" t="n"/>
      <c r="F3994" s="24" t="n"/>
      <c r="G3994" s="24" t="n"/>
      <c r="H3994" s="21">
        <f>IF(ISNUMBER($B3994),INT($B3994)-WEEKDAY($B3994,2)+1,"")</f>
        <v/>
      </c>
      <c r="I3994" s="24" t="n"/>
      <c r="J3994" s="22">
        <f t="array" ref="J3994">IF($D3994="","",IF($I3994="","(trống REF)",IFERROR(INDEX(MASTER_SOURCE!$B$2:$B$495,MATCH($I3994,MASTER_SOURCE!$A$2:$A$495,0)),"(REF không có trong MASTER_SOURCE)")))</f>
        <v/>
      </c>
      <c r="K3994" s="22">
        <f t="array" ref="K3994">IF($D3994="","",IFERROR(INDEX(MASTER_SOURCE!$C$2:$C$495,MATCH($I3994,MASTER_SOURCE!$A$2:$A$495,0)),""))</f>
        <v/>
      </c>
      <c r="L3994" s="22">
        <f t="array" ref="L3994">IF($D3994="","",IFERROR(INDEX(MASTER_SOURCE!$D$2:$D$495,MATCH($I3994,MASTER_SOURCE!$A$2:$A$495,0)),""))</f>
        <v/>
      </c>
      <c r="M3994" s="24" t="n"/>
      <c r="N3994" s="24" t="n"/>
      <c r="O3994" s="24" t="n"/>
      <c r="P3994" s="24" t="n"/>
      <c r="Q3994" s="22">
        <f>IF($D3994="","",IF(AND(OR(DANH_MUC!$L$5&lt;&gt;"Có",M3994="Có"),OR(DANH_MUC!$L$6&lt;&gt;"Có",N3994="Có"),OR(DANH_MUC!$L$7&lt;&gt;"Có",O3994="Có"),OR(DANH_MUC!$L$8&lt;&gt;"Có",P3994="Có")),"Có","Không"))</f>
        <v/>
      </c>
      <c r="R3994" s="22">
        <f>IF($D3994="","",IF(COUNTIF($D$2:$D3994,$D3994)&gt;1,"Trùng",""))</f>
        <v/>
      </c>
      <c r="S3994" s="22">
        <f>IF($D3994="","",IF(AND(LEN($D3994)=10,LEFT($D3994,1)="0",ISNUMBER(--$D3994)),"Có","Không"))</f>
        <v/>
      </c>
      <c r="T3994" s="22">
        <f>IF($D3994="","",IF(AND($C3994&lt;&gt;"",$Q3994="Có",$R3994="",$S3994="Có",AND($L3994&lt;&gt;"",OR($L3994&lt;&gt;"Chưa xác định",DANH_MUC!$L$9="Có"))),"Có","Không"))</f>
        <v/>
      </c>
      <c r="U3994" s="22">
        <f>IF(OR($D3994="",$T3994="Có"),"",IF($C3994="","Thiếu họ tên; ","")&amp;IF($S3994&lt;&gt;"Có","SĐT sai định dạng; ","")&amp;IF($R3994="Trùng","Trùng SĐT; ","")&amp;IF($Q3994&lt;&gt;"Có","Thiếu đồng ý bắt buộc; ","")&amp;IF($L3994="","Thiếu/sai Mã REF; ",IF(AND($L3994="Chưa xác định",DANH_MUC!$L$9&lt;&gt;"Có"),"Nguồn chưa xác định; ","")))</f>
        <v/>
      </c>
      <c r="V3994" s="22">
        <f>IF(OR($D3994="",$R3994="Trùng"),"",IF(COUNTIF(ORDERS!$C$2:$C$4995,$D3994)&gt;0,"Có","Không"))</f>
        <v/>
      </c>
      <c r="W3994" s="22">
        <f>IF(OR($D3994="",$R3994="Trùng"),"",COUNTIFS(ORDERS!$C$2:$C$4995,$D3994,ORDERS!$L$2:$L$4995,"Đã chuyển khoản"))</f>
        <v/>
      </c>
      <c r="X3994" s="23">
        <f>IF(OR($D3994="",$R3994="Trùng"),"",SUMIFS(ORDERS!$J$2:$J$4995,ORDERS!$C$2:$C$4995,$D3994,ORDERS!$L$2:$L$4995,"Đã chuyển khoản"))</f>
        <v/>
      </c>
      <c r="Y3994" s="24" t="n"/>
    </row>
    <row r="3995" ht="14.25" customHeight="1" s="40">
      <c r="A3995" s="24" t="n"/>
      <c r="B3995" s="27" t="n"/>
      <c r="C3995" s="24" t="n"/>
      <c r="D3995" s="28" t="n"/>
      <c r="E3995" s="29" t="n"/>
      <c r="F3995" s="24" t="n"/>
      <c r="G3995" s="24" t="n"/>
      <c r="H3995" s="21">
        <f>IF(ISNUMBER($B3995),INT($B3995)-WEEKDAY($B3995,2)+1,"")</f>
        <v/>
      </c>
      <c r="I3995" s="24" t="n"/>
      <c r="J3995" s="22">
        <f t="array" ref="J3995">IF($D3995="","",IF($I3995="","(trống REF)",IFERROR(INDEX(MASTER_SOURCE!$B$2:$B$495,MATCH($I3995,MASTER_SOURCE!$A$2:$A$495,0)),"(REF không có trong MASTER_SOURCE)")))</f>
        <v/>
      </c>
      <c r="K3995" s="22">
        <f t="array" ref="K3995">IF($D3995="","",IFERROR(INDEX(MASTER_SOURCE!$C$2:$C$495,MATCH($I3995,MASTER_SOURCE!$A$2:$A$495,0)),""))</f>
        <v/>
      </c>
      <c r="L3995" s="22">
        <f t="array" ref="L3995">IF($D3995="","",IFERROR(INDEX(MASTER_SOURCE!$D$2:$D$495,MATCH($I3995,MASTER_SOURCE!$A$2:$A$495,0)),""))</f>
        <v/>
      </c>
      <c r="M3995" s="24" t="n"/>
      <c r="N3995" s="24" t="n"/>
      <c r="O3995" s="24" t="n"/>
      <c r="P3995" s="24" t="n"/>
      <c r="Q3995" s="22">
        <f>IF($D3995="","",IF(AND(OR(DANH_MUC!$L$5&lt;&gt;"Có",M3995="Có"),OR(DANH_MUC!$L$6&lt;&gt;"Có",N3995="Có"),OR(DANH_MUC!$L$7&lt;&gt;"Có",O3995="Có"),OR(DANH_MUC!$L$8&lt;&gt;"Có",P3995="Có")),"Có","Không"))</f>
        <v/>
      </c>
      <c r="R3995" s="22">
        <f>IF($D3995="","",IF(COUNTIF($D$2:$D3995,$D3995)&gt;1,"Trùng",""))</f>
        <v/>
      </c>
      <c r="S3995" s="22">
        <f>IF($D3995="","",IF(AND(LEN($D3995)=10,LEFT($D3995,1)="0",ISNUMBER(--$D3995)),"Có","Không"))</f>
        <v/>
      </c>
      <c r="T3995" s="22">
        <f>IF($D3995="","",IF(AND($C3995&lt;&gt;"",$Q3995="Có",$R3995="",$S3995="Có",AND($L3995&lt;&gt;"",OR($L3995&lt;&gt;"Chưa xác định",DANH_MUC!$L$9="Có"))),"Có","Không"))</f>
        <v/>
      </c>
      <c r="U3995" s="22">
        <f>IF(OR($D3995="",$T3995="Có"),"",IF($C3995="","Thiếu họ tên; ","")&amp;IF($S3995&lt;&gt;"Có","SĐT sai định dạng; ","")&amp;IF($R3995="Trùng","Trùng SĐT; ","")&amp;IF($Q3995&lt;&gt;"Có","Thiếu đồng ý bắt buộc; ","")&amp;IF($L3995="","Thiếu/sai Mã REF; ",IF(AND($L3995="Chưa xác định",DANH_MUC!$L$9&lt;&gt;"Có"),"Nguồn chưa xác định; ","")))</f>
        <v/>
      </c>
      <c r="V3995" s="22">
        <f>IF(OR($D3995="",$R3995="Trùng"),"",IF(COUNTIF(ORDERS!$C$2:$C$4995,$D3995)&gt;0,"Có","Không"))</f>
        <v/>
      </c>
      <c r="W3995" s="22">
        <f>IF(OR($D3995="",$R3995="Trùng"),"",COUNTIFS(ORDERS!$C$2:$C$4995,$D3995,ORDERS!$L$2:$L$4995,"Đã chuyển khoản"))</f>
        <v/>
      </c>
      <c r="X3995" s="23">
        <f>IF(OR($D3995="",$R3995="Trùng"),"",SUMIFS(ORDERS!$J$2:$J$4995,ORDERS!$C$2:$C$4995,$D3995,ORDERS!$L$2:$L$4995,"Đã chuyển khoản"))</f>
        <v/>
      </c>
      <c r="Y3995" s="24" t="n"/>
    </row>
    <row r="3996" ht="14.25" customHeight="1" s="40">
      <c r="A3996" s="24" t="n"/>
      <c r="B3996" s="27" t="n"/>
      <c r="C3996" s="24" t="n"/>
      <c r="D3996" s="28" t="n"/>
      <c r="E3996" s="29" t="n"/>
      <c r="F3996" s="24" t="n"/>
      <c r="G3996" s="24" t="n"/>
      <c r="H3996" s="21">
        <f>IF(ISNUMBER($B3996),INT($B3996)-WEEKDAY($B3996,2)+1,"")</f>
        <v/>
      </c>
      <c r="I3996" s="24" t="n"/>
      <c r="J3996" s="22">
        <f t="array" ref="J3996">IF($D3996="","",IF($I3996="","(trống REF)",IFERROR(INDEX(MASTER_SOURCE!$B$2:$B$495,MATCH($I3996,MASTER_SOURCE!$A$2:$A$495,0)),"(REF không có trong MASTER_SOURCE)")))</f>
        <v/>
      </c>
      <c r="K3996" s="22">
        <f t="array" ref="K3996">IF($D3996="","",IFERROR(INDEX(MASTER_SOURCE!$C$2:$C$495,MATCH($I3996,MASTER_SOURCE!$A$2:$A$495,0)),""))</f>
        <v/>
      </c>
      <c r="L3996" s="22">
        <f t="array" ref="L3996">IF($D3996="","",IFERROR(INDEX(MASTER_SOURCE!$D$2:$D$495,MATCH($I3996,MASTER_SOURCE!$A$2:$A$495,0)),""))</f>
        <v/>
      </c>
      <c r="M3996" s="24" t="n"/>
      <c r="N3996" s="24" t="n"/>
      <c r="O3996" s="24" t="n"/>
      <c r="P3996" s="24" t="n"/>
      <c r="Q3996" s="22">
        <f>IF($D3996="","",IF(AND(OR(DANH_MUC!$L$5&lt;&gt;"Có",M3996="Có"),OR(DANH_MUC!$L$6&lt;&gt;"Có",N3996="Có"),OR(DANH_MUC!$L$7&lt;&gt;"Có",O3996="Có"),OR(DANH_MUC!$L$8&lt;&gt;"Có",P3996="Có")),"Có","Không"))</f>
        <v/>
      </c>
      <c r="R3996" s="22">
        <f>IF($D3996="","",IF(COUNTIF($D$2:$D3996,$D3996)&gt;1,"Trùng",""))</f>
        <v/>
      </c>
      <c r="S3996" s="22">
        <f>IF($D3996="","",IF(AND(LEN($D3996)=10,LEFT($D3996,1)="0",ISNUMBER(--$D3996)),"Có","Không"))</f>
        <v/>
      </c>
      <c r="T3996" s="22">
        <f>IF($D3996="","",IF(AND($C3996&lt;&gt;"",$Q3996="Có",$R3996="",$S3996="Có",AND($L3996&lt;&gt;"",OR($L3996&lt;&gt;"Chưa xác định",DANH_MUC!$L$9="Có"))),"Có","Không"))</f>
        <v/>
      </c>
      <c r="U3996" s="22">
        <f>IF(OR($D3996="",$T3996="Có"),"",IF($C3996="","Thiếu họ tên; ","")&amp;IF($S3996&lt;&gt;"Có","SĐT sai định dạng; ","")&amp;IF($R3996="Trùng","Trùng SĐT; ","")&amp;IF($Q3996&lt;&gt;"Có","Thiếu đồng ý bắt buộc; ","")&amp;IF($L3996="","Thiếu/sai Mã REF; ",IF(AND($L3996="Chưa xác định",DANH_MUC!$L$9&lt;&gt;"Có"),"Nguồn chưa xác định; ","")))</f>
        <v/>
      </c>
      <c r="V3996" s="22">
        <f>IF(OR($D3996="",$R3996="Trùng"),"",IF(COUNTIF(ORDERS!$C$2:$C$4995,$D3996)&gt;0,"Có","Không"))</f>
        <v/>
      </c>
      <c r="W3996" s="22">
        <f>IF(OR($D3996="",$R3996="Trùng"),"",COUNTIFS(ORDERS!$C$2:$C$4995,$D3996,ORDERS!$L$2:$L$4995,"Đã chuyển khoản"))</f>
        <v/>
      </c>
      <c r="X3996" s="23">
        <f>IF(OR($D3996="",$R3996="Trùng"),"",SUMIFS(ORDERS!$J$2:$J$4995,ORDERS!$C$2:$C$4995,$D3996,ORDERS!$L$2:$L$4995,"Đã chuyển khoản"))</f>
        <v/>
      </c>
      <c r="Y3996" s="24" t="n"/>
    </row>
    <row r="3997" ht="14.25" customHeight="1" s="40">
      <c r="A3997" s="24" t="n"/>
      <c r="B3997" s="27" t="n"/>
      <c r="C3997" s="24" t="n"/>
      <c r="D3997" s="28" t="n"/>
      <c r="E3997" s="29" t="n"/>
      <c r="F3997" s="24" t="n"/>
      <c r="G3997" s="24" t="n"/>
      <c r="H3997" s="21">
        <f>IF(ISNUMBER($B3997),INT($B3997)-WEEKDAY($B3997,2)+1,"")</f>
        <v/>
      </c>
      <c r="I3997" s="24" t="n"/>
      <c r="J3997" s="22">
        <f t="array" ref="J3997">IF($D3997="","",IF($I3997="","(trống REF)",IFERROR(INDEX(MASTER_SOURCE!$B$2:$B$495,MATCH($I3997,MASTER_SOURCE!$A$2:$A$495,0)),"(REF không có trong MASTER_SOURCE)")))</f>
        <v/>
      </c>
      <c r="K3997" s="22">
        <f t="array" ref="K3997">IF($D3997="","",IFERROR(INDEX(MASTER_SOURCE!$C$2:$C$495,MATCH($I3997,MASTER_SOURCE!$A$2:$A$495,0)),""))</f>
        <v/>
      </c>
      <c r="L3997" s="22">
        <f t="array" ref="L3997">IF($D3997="","",IFERROR(INDEX(MASTER_SOURCE!$D$2:$D$495,MATCH($I3997,MASTER_SOURCE!$A$2:$A$495,0)),""))</f>
        <v/>
      </c>
      <c r="M3997" s="24" t="n"/>
      <c r="N3997" s="24" t="n"/>
      <c r="O3997" s="24" t="n"/>
      <c r="P3997" s="24" t="n"/>
      <c r="Q3997" s="22">
        <f>IF($D3997="","",IF(AND(OR(DANH_MUC!$L$5&lt;&gt;"Có",M3997="Có"),OR(DANH_MUC!$L$6&lt;&gt;"Có",N3997="Có"),OR(DANH_MUC!$L$7&lt;&gt;"Có",O3997="Có"),OR(DANH_MUC!$L$8&lt;&gt;"Có",P3997="Có")),"Có","Không"))</f>
        <v/>
      </c>
      <c r="R3997" s="22">
        <f>IF($D3997="","",IF(COUNTIF($D$2:$D3997,$D3997)&gt;1,"Trùng",""))</f>
        <v/>
      </c>
      <c r="S3997" s="22">
        <f>IF($D3997="","",IF(AND(LEN($D3997)=10,LEFT($D3997,1)="0",ISNUMBER(--$D3997)),"Có","Không"))</f>
        <v/>
      </c>
      <c r="T3997" s="22">
        <f>IF($D3997="","",IF(AND($C3997&lt;&gt;"",$Q3997="Có",$R3997="",$S3997="Có",AND($L3997&lt;&gt;"",OR($L3997&lt;&gt;"Chưa xác định",DANH_MUC!$L$9="Có"))),"Có","Không"))</f>
        <v/>
      </c>
      <c r="U3997" s="22">
        <f>IF(OR($D3997="",$T3997="Có"),"",IF($C3997="","Thiếu họ tên; ","")&amp;IF($S3997&lt;&gt;"Có","SĐT sai định dạng; ","")&amp;IF($R3997="Trùng","Trùng SĐT; ","")&amp;IF($Q3997&lt;&gt;"Có","Thiếu đồng ý bắt buộc; ","")&amp;IF($L3997="","Thiếu/sai Mã REF; ",IF(AND($L3997="Chưa xác định",DANH_MUC!$L$9&lt;&gt;"Có"),"Nguồn chưa xác định; ","")))</f>
        <v/>
      </c>
      <c r="V3997" s="22">
        <f>IF(OR($D3997="",$R3997="Trùng"),"",IF(COUNTIF(ORDERS!$C$2:$C$4995,$D3997)&gt;0,"Có","Không"))</f>
        <v/>
      </c>
      <c r="W3997" s="22">
        <f>IF(OR($D3997="",$R3997="Trùng"),"",COUNTIFS(ORDERS!$C$2:$C$4995,$D3997,ORDERS!$L$2:$L$4995,"Đã chuyển khoản"))</f>
        <v/>
      </c>
      <c r="X3997" s="23">
        <f>IF(OR($D3997="",$R3997="Trùng"),"",SUMIFS(ORDERS!$J$2:$J$4995,ORDERS!$C$2:$C$4995,$D3997,ORDERS!$L$2:$L$4995,"Đã chuyển khoản"))</f>
        <v/>
      </c>
      <c r="Y3997" s="24" t="n"/>
    </row>
    <row r="3998" ht="14.25" customHeight="1" s="40">
      <c r="A3998" s="24" t="n"/>
      <c r="B3998" s="27" t="n"/>
      <c r="C3998" s="24" t="n"/>
      <c r="D3998" s="28" t="n"/>
      <c r="E3998" s="29" t="n"/>
      <c r="F3998" s="24" t="n"/>
      <c r="G3998" s="24" t="n"/>
      <c r="H3998" s="21">
        <f>IF(ISNUMBER($B3998),INT($B3998)-WEEKDAY($B3998,2)+1,"")</f>
        <v/>
      </c>
      <c r="I3998" s="24" t="n"/>
      <c r="J3998" s="22">
        <f t="array" ref="J3998">IF($D3998="","",IF($I3998="","(trống REF)",IFERROR(INDEX(MASTER_SOURCE!$B$2:$B$495,MATCH($I3998,MASTER_SOURCE!$A$2:$A$495,0)),"(REF không có trong MASTER_SOURCE)")))</f>
        <v/>
      </c>
      <c r="K3998" s="22">
        <f t="array" ref="K3998">IF($D3998="","",IFERROR(INDEX(MASTER_SOURCE!$C$2:$C$495,MATCH($I3998,MASTER_SOURCE!$A$2:$A$495,0)),""))</f>
        <v/>
      </c>
      <c r="L3998" s="22">
        <f t="array" ref="L3998">IF($D3998="","",IFERROR(INDEX(MASTER_SOURCE!$D$2:$D$495,MATCH($I3998,MASTER_SOURCE!$A$2:$A$495,0)),""))</f>
        <v/>
      </c>
      <c r="M3998" s="24" t="n"/>
      <c r="N3998" s="24" t="n"/>
      <c r="O3998" s="24" t="n"/>
      <c r="P3998" s="24" t="n"/>
      <c r="Q3998" s="22">
        <f>IF($D3998="","",IF(AND(OR(DANH_MUC!$L$5&lt;&gt;"Có",M3998="Có"),OR(DANH_MUC!$L$6&lt;&gt;"Có",N3998="Có"),OR(DANH_MUC!$L$7&lt;&gt;"Có",O3998="Có"),OR(DANH_MUC!$L$8&lt;&gt;"Có",P3998="Có")),"Có","Không"))</f>
        <v/>
      </c>
      <c r="R3998" s="22">
        <f>IF($D3998="","",IF(COUNTIF($D$2:$D3998,$D3998)&gt;1,"Trùng",""))</f>
        <v/>
      </c>
      <c r="S3998" s="22">
        <f>IF($D3998="","",IF(AND(LEN($D3998)=10,LEFT($D3998,1)="0",ISNUMBER(--$D3998)),"Có","Không"))</f>
        <v/>
      </c>
      <c r="T3998" s="22">
        <f>IF($D3998="","",IF(AND($C3998&lt;&gt;"",$Q3998="Có",$R3998="",$S3998="Có",AND($L3998&lt;&gt;"",OR($L3998&lt;&gt;"Chưa xác định",DANH_MUC!$L$9="Có"))),"Có","Không"))</f>
        <v/>
      </c>
      <c r="U3998" s="22">
        <f>IF(OR($D3998="",$T3998="Có"),"",IF($C3998="","Thiếu họ tên; ","")&amp;IF($S3998&lt;&gt;"Có","SĐT sai định dạng; ","")&amp;IF($R3998="Trùng","Trùng SĐT; ","")&amp;IF($Q3998&lt;&gt;"Có","Thiếu đồng ý bắt buộc; ","")&amp;IF($L3998="","Thiếu/sai Mã REF; ",IF(AND($L3998="Chưa xác định",DANH_MUC!$L$9&lt;&gt;"Có"),"Nguồn chưa xác định; ","")))</f>
        <v/>
      </c>
      <c r="V3998" s="22">
        <f>IF(OR($D3998="",$R3998="Trùng"),"",IF(COUNTIF(ORDERS!$C$2:$C$4995,$D3998)&gt;0,"Có","Không"))</f>
        <v/>
      </c>
      <c r="W3998" s="22">
        <f>IF(OR($D3998="",$R3998="Trùng"),"",COUNTIFS(ORDERS!$C$2:$C$4995,$D3998,ORDERS!$L$2:$L$4995,"Đã chuyển khoản"))</f>
        <v/>
      </c>
      <c r="X3998" s="23">
        <f>IF(OR($D3998="",$R3998="Trùng"),"",SUMIFS(ORDERS!$J$2:$J$4995,ORDERS!$C$2:$C$4995,$D3998,ORDERS!$L$2:$L$4995,"Đã chuyển khoản"))</f>
        <v/>
      </c>
      <c r="Y3998" s="24" t="n"/>
    </row>
    <row r="3999" ht="14.25" customHeight="1" s="40">
      <c r="A3999" s="24" t="n"/>
      <c r="B3999" s="27" t="n"/>
      <c r="C3999" s="24" t="n"/>
      <c r="D3999" s="28" t="n"/>
      <c r="E3999" s="29" t="n"/>
      <c r="F3999" s="24" t="n"/>
      <c r="G3999" s="24" t="n"/>
      <c r="H3999" s="21">
        <f>IF(ISNUMBER($B3999),INT($B3999)-WEEKDAY($B3999,2)+1,"")</f>
        <v/>
      </c>
      <c r="I3999" s="24" t="n"/>
      <c r="J3999" s="22">
        <f t="array" ref="J3999">IF($D3999="","",IF($I3999="","(trống REF)",IFERROR(INDEX(MASTER_SOURCE!$B$2:$B$495,MATCH($I3999,MASTER_SOURCE!$A$2:$A$495,0)),"(REF không có trong MASTER_SOURCE)")))</f>
        <v/>
      </c>
      <c r="K3999" s="22">
        <f t="array" ref="K3999">IF($D3999="","",IFERROR(INDEX(MASTER_SOURCE!$C$2:$C$495,MATCH($I3999,MASTER_SOURCE!$A$2:$A$495,0)),""))</f>
        <v/>
      </c>
      <c r="L3999" s="22">
        <f t="array" ref="L3999">IF($D3999="","",IFERROR(INDEX(MASTER_SOURCE!$D$2:$D$495,MATCH($I3999,MASTER_SOURCE!$A$2:$A$495,0)),""))</f>
        <v/>
      </c>
      <c r="M3999" s="24" t="n"/>
      <c r="N3999" s="24" t="n"/>
      <c r="O3999" s="24" t="n"/>
      <c r="P3999" s="24" t="n"/>
      <c r="Q3999" s="22">
        <f>IF($D3999="","",IF(AND(OR(DANH_MUC!$L$5&lt;&gt;"Có",M3999="Có"),OR(DANH_MUC!$L$6&lt;&gt;"Có",N3999="Có"),OR(DANH_MUC!$L$7&lt;&gt;"Có",O3999="Có"),OR(DANH_MUC!$L$8&lt;&gt;"Có",P3999="Có")),"Có","Không"))</f>
        <v/>
      </c>
      <c r="R3999" s="22">
        <f>IF($D3999="","",IF(COUNTIF($D$2:$D3999,$D3999)&gt;1,"Trùng",""))</f>
        <v/>
      </c>
      <c r="S3999" s="22">
        <f>IF($D3999="","",IF(AND(LEN($D3999)=10,LEFT($D3999,1)="0",ISNUMBER(--$D3999)),"Có","Không"))</f>
        <v/>
      </c>
      <c r="T3999" s="22">
        <f>IF($D3999="","",IF(AND($C3999&lt;&gt;"",$Q3999="Có",$R3999="",$S3999="Có",AND($L3999&lt;&gt;"",OR($L3999&lt;&gt;"Chưa xác định",DANH_MUC!$L$9="Có"))),"Có","Không"))</f>
        <v/>
      </c>
      <c r="U3999" s="22">
        <f>IF(OR($D3999="",$T3999="Có"),"",IF($C3999="","Thiếu họ tên; ","")&amp;IF($S3999&lt;&gt;"Có","SĐT sai định dạng; ","")&amp;IF($R3999="Trùng","Trùng SĐT; ","")&amp;IF($Q3999&lt;&gt;"Có","Thiếu đồng ý bắt buộc; ","")&amp;IF($L3999="","Thiếu/sai Mã REF; ",IF(AND($L3999="Chưa xác định",DANH_MUC!$L$9&lt;&gt;"Có"),"Nguồn chưa xác định; ","")))</f>
        <v/>
      </c>
      <c r="V3999" s="22">
        <f>IF(OR($D3999="",$R3999="Trùng"),"",IF(COUNTIF(ORDERS!$C$2:$C$4995,$D3999)&gt;0,"Có","Không"))</f>
        <v/>
      </c>
      <c r="W3999" s="22">
        <f>IF(OR($D3999="",$R3999="Trùng"),"",COUNTIFS(ORDERS!$C$2:$C$4995,$D3999,ORDERS!$L$2:$L$4995,"Đã chuyển khoản"))</f>
        <v/>
      </c>
      <c r="X3999" s="23">
        <f>IF(OR($D3999="",$R3999="Trùng"),"",SUMIFS(ORDERS!$J$2:$J$4995,ORDERS!$C$2:$C$4995,$D3999,ORDERS!$L$2:$L$4995,"Đã chuyển khoản"))</f>
        <v/>
      </c>
      <c r="Y3999" s="24" t="n"/>
    </row>
    <row r="4000" ht="14.25" customHeight="1" s="40">
      <c r="A4000" s="24" t="n"/>
      <c r="B4000" s="27" t="n"/>
      <c r="C4000" s="24" t="n"/>
      <c r="D4000" s="28" t="n"/>
      <c r="E4000" s="29" t="n"/>
      <c r="F4000" s="24" t="n"/>
      <c r="G4000" s="24" t="n"/>
      <c r="H4000" s="21">
        <f>IF(ISNUMBER($B4000),INT($B4000)-WEEKDAY($B4000,2)+1,"")</f>
        <v/>
      </c>
      <c r="I4000" s="24" t="n"/>
      <c r="J4000" s="22">
        <f t="array" ref="J4000">IF($D4000="","",IF($I4000="","(trống REF)",IFERROR(INDEX(MASTER_SOURCE!$B$2:$B$495,MATCH($I4000,MASTER_SOURCE!$A$2:$A$495,0)),"(REF không có trong MASTER_SOURCE)")))</f>
        <v/>
      </c>
      <c r="K4000" s="22">
        <f t="array" ref="K4000">IF($D4000="","",IFERROR(INDEX(MASTER_SOURCE!$C$2:$C$495,MATCH($I4000,MASTER_SOURCE!$A$2:$A$495,0)),""))</f>
        <v/>
      </c>
      <c r="L4000" s="22">
        <f t="array" ref="L4000">IF($D4000="","",IFERROR(INDEX(MASTER_SOURCE!$D$2:$D$495,MATCH($I4000,MASTER_SOURCE!$A$2:$A$495,0)),""))</f>
        <v/>
      </c>
      <c r="M4000" s="24" t="n"/>
      <c r="N4000" s="24" t="n"/>
      <c r="O4000" s="24" t="n"/>
      <c r="P4000" s="24" t="n"/>
      <c r="Q4000" s="22">
        <f>IF($D4000="","",IF(AND(OR(DANH_MUC!$L$5&lt;&gt;"Có",M4000="Có"),OR(DANH_MUC!$L$6&lt;&gt;"Có",N4000="Có"),OR(DANH_MUC!$L$7&lt;&gt;"Có",O4000="Có"),OR(DANH_MUC!$L$8&lt;&gt;"Có",P4000="Có")),"Có","Không"))</f>
        <v/>
      </c>
      <c r="R4000" s="22">
        <f>IF($D4000="","",IF(COUNTIF($D$2:$D4000,$D4000)&gt;1,"Trùng",""))</f>
        <v/>
      </c>
      <c r="S4000" s="22">
        <f>IF($D4000="","",IF(AND(LEN($D4000)=10,LEFT($D4000,1)="0",ISNUMBER(--$D4000)),"Có","Không"))</f>
        <v/>
      </c>
      <c r="T4000" s="22">
        <f>IF($D4000="","",IF(AND($C4000&lt;&gt;"",$Q4000="Có",$R4000="",$S4000="Có",AND($L4000&lt;&gt;"",OR($L4000&lt;&gt;"Chưa xác định",DANH_MUC!$L$9="Có"))),"Có","Không"))</f>
        <v/>
      </c>
      <c r="U4000" s="22">
        <f>IF(OR($D4000="",$T4000="Có"),"",IF($C4000="","Thiếu họ tên; ","")&amp;IF($S4000&lt;&gt;"Có","SĐT sai định dạng; ","")&amp;IF($R4000="Trùng","Trùng SĐT; ","")&amp;IF($Q4000&lt;&gt;"Có","Thiếu đồng ý bắt buộc; ","")&amp;IF($L4000="","Thiếu/sai Mã REF; ",IF(AND($L4000="Chưa xác định",DANH_MUC!$L$9&lt;&gt;"Có"),"Nguồn chưa xác định; ","")))</f>
        <v/>
      </c>
      <c r="V4000" s="22">
        <f>IF(OR($D4000="",$R4000="Trùng"),"",IF(COUNTIF(ORDERS!$C$2:$C$4995,$D4000)&gt;0,"Có","Không"))</f>
        <v/>
      </c>
      <c r="W4000" s="22">
        <f>IF(OR($D4000="",$R4000="Trùng"),"",COUNTIFS(ORDERS!$C$2:$C$4995,$D4000,ORDERS!$L$2:$L$4995,"Đã chuyển khoản"))</f>
        <v/>
      </c>
      <c r="X4000" s="23">
        <f>IF(OR($D4000="",$R4000="Trùng"),"",SUMIFS(ORDERS!$J$2:$J$4995,ORDERS!$C$2:$C$4995,$D4000,ORDERS!$L$2:$L$4995,"Đã chuyển khoản"))</f>
        <v/>
      </c>
      <c r="Y4000" s="24" t="n"/>
    </row>
    <row r="4001" ht="14.25" customHeight="1" s="40">
      <c r="A4001" s="24" t="n"/>
      <c r="B4001" s="27" t="n"/>
      <c r="C4001" s="24" t="n"/>
      <c r="D4001" s="28" t="n"/>
      <c r="E4001" s="29" t="n"/>
      <c r="F4001" s="24" t="n"/>
      <c r="G4001" s="24" t="n"/>
      <c r="H4001" s="21">
        <f>IF(ISNUMBER($B4001),INT($B4001)-WEEKDAY($B4001,2)+1,"")</f>
        <v/>
      </c>
      <c r="I4001" s="24" t="n"/>
      <c r="J4001" s="22">
        <f t="array" ref="J4001">IF($D4001="","",IF($I4001="","(trống REF)",IFERROR(INDEX(MASTER_SOURCE!$B$2:$B$495,MATCH($I4001,MASTER_SOURCE!$A$2:$A$495,0)),"(REF không có trong MASTER_SOURCE)")))</f>
        <v/>
      </c>
      <c r="K4001" s="22">
        <f t="array" ref="K4001">IF($D4001="","",IFERROR(INDEX(MASTER_SOURCE!$C$2:$C$495,MATCH($I4001,MASTER_SOURCE!$A$2:$A$495,0)),""))</f>
        <v/>
      </c>
      <c r="L4001" s="22">
        <f t="array" ref="L4001">IF($D4001="","",IFERROR(INDEX(MASTER_SOURCE!$D$2:$D$495,MATCH($I4001,MASTER_SOURCE!$A$2:$A$495,0)),""))</f>
        <v/>
      </c>
      <c r="M4001" s="24" t="n"/>
      <c r="N4001" s="24" t="n"/>
      <c r="O4001" s="24" t="n"/>
      <c r="P4001" s="24" t="n"/>
      <c r="Q4001" s="22">
        <f>IF($D4001="","",IF(AND(OR(DANH_MUC!$L$5&lt;&gt;"Có",M4001="Có"),OR(DANH_MUC!$L$6&lt;&gt;"Có",N4001="Có"),OR(DANH_MUC!$L$7&lt;&gt;"Có",O4001="Có"),OR(DANH_MUC!$L$8&lt;&gt;"Có",P4001="Có")),"Có","Không"))</f>
        <v/>
      </c>
      <c r="R4001" s="22">
        <f>IF($D4001="","",IF(COUNTIF($D$2:$D4001,$D4001)&gt;1,"Trùng",""))</f>
        <v/>
      </c>
      <c r="S4001" s="22">
        <f>IF($D4001="","",IF(AND(LEN($D4001)=10,LEFT($D4001,1)="0",ISNUMBER(--$D4001)),"Có","Không"))</f>
        <v/>
      </c>
      <c r="T4001" s="22">
        <f>IF($D4001="","",IF(AND($C4001&lt;&gt;"",$Q4001="Có",$R4001="",$S4001="Có",AND($L4001&lt;&gt;"",OR($L4001&lt;&gt;"Chưa xác định",DANH_MUC!$L$9="Có"))),"Có","Không"))</f>
        <v/>
      </c>
      <c r="U4001" s="22">
        <f>IF(OR($D4001="",$T4001="Có"),"",IF($C4001="","Thiếu họ tên; ","")&amp;IF($S4001&lt;&gt;"Có","SĐT sai định dạng; ","")&amp;IF($R4001="Trùng","Trùng SĐT; ","")&amp;IF($Q4001&lt;&gt;"Có","Thiếu đồng ý bắt buộc; ","")&amp;IF($L4001="","Thiếu/sai Mã REF; ",IF(AND($L4001="Chưa xác định",DANH_MUC!$L$9&lt;&gt;"Có"),"Nguồn chưa xác định; ","")))</f>
        <v/>
      </c>
      <c r="V4001" s="22">
        <f>IF(OR($D4001="",$R4001="Trùng"),"",IF(COUNTIF(ORDERS!$C$2:$C$4995,$D4001)&gt;0,"Có","Không"))</f>
        <v/>
      </c>
      <c r="W4001" s="22">
        <f>IF(OR($D4001="",$R4001="Trùng"),"",COUNTIFS(ORDERS!$C$2:$C$4995,$D4001,ORDERS!$L$2:$L$4995,"Đã chuyển khoản"))</f>
        <v/>
      </c>
      <c r="X4001" s="23">
        <f>IF(OR($D4001="",$R4001="Trùng"),"",SUMIFS(ORDERS!$J$2:$J$4995,ORDERS!$C$2:$C$4995,$D4001,ORDERS!$L$2:$L$4995,"Đã chuyển khoản"))</f>
        <v/>
      </c>
      <c r="Y4001" s="24" t="n"/>
    </row>
    <row r="4002" ht="14.25" customHeight="1" s="40">
      <c r="A4002" s="24" t="n"/>
      <c r="B4002" s="27" t="n"/>
      <c r="C4002" s="24" t="n"/>
      <c r="D4002" s="28" t="n"/>
      <c r="E4002" s="29" t="n"/>
      <c r="F4002" s="24" t="n"/>
      <c r="G4002" s="24" t="n"/>
      <c r="H4002" s="21">
        <f>IF(ISNUMBER($B4002),INT($B4002)-WEEKDAY($B4002,2)+1,"")</f>
        <v/>
      </c>
      <c r="I4002" s="24" t="n"/>
      <c r="J4002" s="22">
        <f t="array" ref="J4002">IF($D4002="","",IF($I4002="","(trống REF)",IFERROR(INDEX(MASTER_SOURCE!$B$2:$B$495,MATCH($I4002,MASTER_SOURCE!$A$2:$A$495,0)),"(REF không có trong MASTER_SOURCE)")))</f>
        <v/>
      </c>
      <c r="K4002" s="22">
        <f t="array" ref="K4002">IF($D4002="","",IFERROR(INDEX(MASTER_SOURCE!$C$2:$C$495,MATCH($I4002,MASTER_SOURCE!$A$2:$A$495,0)),""))</f>
        <v/>
      </c>
      <c r="L4002" s="22">
        <f t="array" ref="L4002">IF($D4002="","",IFERROR(INDEX(MASTER_SOURCE!$D$2:$D$495,MATCH($I4002,MASTER_SOURCE!$A$2:$A$495,0)),""))</f>
        <v/>
      </c>
      <c r="M4002" s="24" t="n"/>
      <c r="N4002" s="24" t="n"/>
      <c r="O4002" s="24" t="n"/>
      <c r="P4002" s="24" t="n"/>
      <c r="Q4002" s="22">
        <f>IF($D4002="","",IF(AND(OR(DANH_MUC!$L$5&lt;&gt;"Có",M4002="Có"),OR(DANH_MUC!$L$6&lt;&gt;"Có",N4002="Có"),OR(DANH_MUC!$L$7&lt;&gt;"Có",O4002="Có"),OR(DANH_MUC!$L$8&lt;&gt;"Có",P4002="Có")),"Có","Không"))</f>
        <v/>
      </c>
      <c r="R4002" s="22">
        <f>IF($D4002="","",IF(COUNTIF($D$2:$D4002,$D4002)&gt;1,"Trùng",""))</f>
        <v/>
      </c>
      <c r="S4002" s="22">
        <f>IF($D4002="","",IF(AND(LEN($D4002)=10,LEFT($D4002,1)="0",ISNUMBER(--$D4002)),"Có","Không"))</f>
        <v/>
      </c>
      <c r="T4002" s="22">
        <f>IF($D4002="","",IF(AND($C4002&lt;&gt;"",$Q4002="Có",$R4002="",$S4002="Có",AND($L4002&lt;&gt;"",OR($L4002&lt;&gt;"Chưa xác định",DANH_MUC!$L$9="Có"))),"Có","Không"))</f>
        <v/>
      </c>
      <c r="U4002" s="22">
        <f>IF(OR($D4002="",$T4002="Có"),"",IF($C4002="","Thiếu họ tên; ","")&amp;IF($S4002&lt;&gt;"Có","SĐT sai định dạng; ","")&amp;IF($R4002="Trùng","Trùng SĐT; ","")&amp;IF($Q4002&lt;&gt;"Có","Thiếu đồng ý bắt buộc; ","")&amp;IF($L4002="","Thiếu/sai Mã REF; ",IF(AND($L4002="Chưa xác định",DANH_MUC!$L$9&lt;&gt;"Có"),"Nguồn chưa xác định; ","")))</f>
        <v/>
      </c>
      <c r="V4002" s="22">
        <f>IF(OR($D4002="",$R4002="Trùng"),"",IF(COUNTIF(ORDERS!$C$2:$C$4995,$D4002)&gt;0,"Có","Không"))</f>
        <v/>
      </c>
      <c r="W4002" s="22">
        <f>IF(OR($D4002="",$R4002="Trùng"),"",COUNTIFS(ORDERS!$C$2:$C$4995,$D4002,ORDERS!$L$2:$L$4995,"Đã chuyển khoản"))</f>
        <v/>
      </c>
      <c r="X4002" s="23">
        <f>IF(OR($D4002="",$R4002="Trùng"),"",SUMIFS(ORDERS!$J$2:$J$4995,ORDERS!$C$2:$C$4995,$D4002,ORDERS!$L$2:$L$4995,"Đã chuyển khoản"))</f>
        <v/>
      </c>
      <c r="Y4002" s="24" t="n"/>
    </row>
    <row r="4003" ht="14.25" customHeight="1" s="40">
      <c r="A4003" s="24" t="n"/>
      <c r="B4003" s="27" t="n"/>
      <c r="C4003" s="24" t="n"/>
      <c r="D4003" s="28" t="n"/>
      <c r="E4003" s="29" t="n"/>
      <c r="F4003" s="24" t="n"/>
      <c r="G4003" s="24" t="n"/>
      <c r="H4003" s="21">
        <f>IF(ISNUMBER($B4003),INT($B4003)-WEEKDAY($B4003,2)+1,"")</f>
        <v/>
      </c>
      <c r="I4003" s="24" t="n"/>
      <c r="J4003" s="22">
        <f t="array" ref="J4003">IF($D4003="","",IF($I4003="","(trống REF)",IFERROR(INDEX(MASTER_SOURCE!$B$2:$B$495,MATCH($I4003,MASTER_SOURCE!$A$2:$A$495,0)),"(REF không có trong MASTER_SOURCE)")))</f>
        <v/>
      </c>
      <c r="K4003" s="22">
        <f t="array" ref="K4003">IF($D4003="","",IFERROR(INDEX(MASTER_SOURCE!$C$2:$C$495,MATCH($I4003,MASTER_SOURCE!$A$2:$A$495,0)),""))</f>
        <v/>
      </c>
      <c r="L4003" s="22">
        <f t="array" ref="L4003">IF($D4003="","",IFERROR(INDEX(MASTER_SOURCE!$D$2:$D$495,MATCH($I4003,MASTER_SOURCE!$A$2:$A$495,0)),""))</f>
        <v/>
      </c>
      <c r="M4003" s="24" t="n"/>
      <c r="N4003" s="24" t="n"/>
      <c r="O4003" s="24" t="n"/>
      <c r="P4003" s="24" t="n"/>
      <c r="Q4003" s="22">
        <f>IF($D4003="","",IF(AND(OR(DANH_MUC!$L$5&lt;&gt;"Có",M4003="Có"),OR(DANH_MUC!$L$6&lt;&gt;"Có",N4003="Có"),OR(DANH_MUC!$L$7&lt;&gt;"Có",O4003="Có"),OR(DANH_MUC!$L$8&lt;&gt;"Có",P4003="Có")),"Có","Không"))</f>
        <v/>
      </c>
      <c r="R4003" s="22">
        <f>IF($D4003="","",IF(COUNTIF($D$2:$D4003,$D4003)&gt;1,"Trùng",""))</f>
        <v/>
      </c>
      <c r="S4003" s="22">
        <f>IF($D4003="","",IF(AND(LEN($D4003)=10,LEFT($D4003,1)="0",ISNUMBER(--$D4003)),"Có","Không"))</f>
        <v/>
      </c>
      <c r="T4003" s="22">
        <f>IF($D4003="","",IF(AND($C4003&lt;&gt;"",$Q4003="Có",$R4003="",$S4003="Có",AND($L4003&lt;&gt;"",OR($L4003&lt;&gt;"Chưa xác định",DANH_MUC!$L$9="Có"))),"Có","Không"))</f>
        <v/>
      </c>
      <c r="U4003" s="22">
        <f>IF(OR($D4003="",$T4003="Có"),"",IF($C4003="","Thiếu họ tên; ","")&amp;IF($S4003&lt;&gt;"Có","SĐT sai định dạng; ","")&amp;IF($R4003="Trùng","Trùng SĐT; ","")&amp;IF($Q4003&lt;&gt;"Có","Thiếu đồng ý bắt buộc; ","")&amp;IF($L4003="","Thiếu/sai Mã REF; ",IF(AND($L4003="Chưa xác định",DANH_MUC!$L$9&lt;&gt;"Có"),"Nguồn chưa xác định; ","")))</f>
        <v/>
      </c>
      <c r="V4003" s="22">
        <f>IF(OR($D4003="",$R4003="Trùng"),"",IF(COUNTIF(ORDERS!$C$2:$C$4995,$D4003)&gt;0,"Có","Không"))</f>
        <v/>
      </c>
      <c r="W4003" s="22">
        <f>IF(OR($D4003="",$R4003="Trùng"),"",COUNTIFS(ORDERS!$C$2:$C$4995,$D4003,ORDERS!$L$2:$L$4995,"Đã chuyển khoản"))</f>
        <v/>
      </c>
      <c r="X4003" s="23">
        <f>IF(OR($D4003="",$R4003="Trùng"),"",SUMIFS(ORDERS!$J$2:$J$4995,ORDERS!$C$2:$C$4995,$D4003,ORDERS!$L$2:$L$4995,"Đã chuyển khoản"))</f>
        <v/>
      </c>
      <c r="Y4003" s="24" t="n"/>
    </row>
    <row r="4004" ht="14.25" customHeight="1" s="40">
      <c r="A4004" s="24" t="n"/>
      <c r="B4004" s="27" t="n"/>
      <c r="C4004" s="24" t="n"/>
      <c r="D4004" s="28" t="n"/>
      <c r="E4004" s="29" t="n"/>
      <c r="F4004" s="24" t="n"/>
      <c r="G4004" s="24" t="n"/>
      <c r="H4004" s="21">
        <f>IF(ISNUMBER($B4004),INT($B4004)-WEEKDAY($B4004,2)+1,"")</f>
        <v/>
      </c>
      <c r="I4004" s="24" t="n"/>
      <c r="J4004" s="22">
        <f t="array" ref="J4004">IF($D4004="","",IF($I4004="","(trống REF)",IFERROR(INDEX(MASTER_SOURCE!$B$2:$B$495,MATCH($I4004,MASTER_SOURCE!$A$2:$A$495,0)),"(REF không có trong MASTER_SOURCE)")))</f>
        <v/>
      </c>
      <c r="K4004" s="22">
        <f t="array" ref="K4004">IF($D4004="","",IFERROR(INDEX(MASTER_SOURCE!$C$2:$C$495,MATCH($I4004,MASTER_SOURCE!$A$2:$A$495,0)),""))</f>
        <v/>
      </c>
      <c r="L4004" s="22">
        <f t="array" ref="L4004">IF($D4004="","",IFERROR(INDEX(MASTER_SOURCE!$D$2:$D$495,MATCH($I4004,MASTER_SOURCE!$A$2:$A$495,0)),""))</f>
        <v/>
      </c>
      <c r="M4004" s="24" t="n"/>
      <c r="N4004" s="24" t="n"/>
      <c r="O4004" s="24" t="n"/>
      <c r="P4004" s="24" t="n"/>
      <c r="Q4004" s="22">
        <f>IF($D4004="","",IF(AND(OR(DANH_MUC!$L$5&lt;&gt;"Có",M4004="Có"),OR(DANH_MUC!$L$6&lt;&gt;"Có",N4004="Có"),OR(DANH_MUC!$L$7&lt;&gt;"Có",O4004="Có"),OR(DANH_MUC!$L$8&lt;&gt;"Có",P4004="Có")),"Có","Không"))</f>
        <v/>
      </c>
      <c r="R4004" s="22">
        <f>IF($D4004="","",IF(COUNTIF($D$2:$D4004,$D4004)&gt;1,"Trùng",""))</f>
        <v/>
      </c>
      <c r="S4004" s="22">
        <f>IF($D4004="","",IF(AND(LEN($D4004)=10,LEFT($D4004,1)="0",ISNUMBER(--$D4004)),"Có","Không"))</f>
        <v/>
      </c>
      <c r="T4004" s="22">
        <f>IF($D4004="","",IF(AND($C4004&lt;&gt;"",$Q4004="Có",$R4004="",$S4004="Có",AND($L4004&lt;&gt;"",OR($L4004&lt;&gt;"Chưa xác định",DANH_MUC!$L$9="Có"))),"Có","Không"))</f>
        <v/>
      </c>
      <c r="U4004" s="22">
        <f>IF(OR($D4004="",$T4004="Có"),"",IF($C4004="","Thiếu họ tên; ","")&amp;IF($S4004&lt;&gt;"Có","SĐT sai định dạng; ","")&amp;IF($R4004="Trùng","Trùng SĐT; ","")&amp;IF($Q4004&lt;&gt;"Có","Thiếu đồng ý bắt buộc; ","")&amp;IF($L4004="","Thiếu/sai Mã REF; ",IF(AND($L4004="Chưa xác định",DANH_MUC!$L$9&lt;&gt;"Có"),"Nguồn chưa xác định; ","")))</f>
        <v/>
      </c>
      <c r="V4004" s="22">
        <f>IF(OR($D4004="",$R4004="Trùng"),"",IF(COUNTIF(ORDERS!$C$2:$C$4995,$D4004)&gt;0,"Có","Không"))</f>
        <v/>
      </c>
      <c r="W4004" s="22">
        <f>IF(OR($D4004="",$R4004="Trùng"),"",COUNTIFS(ORDERS!$C$2:$C$4995,$D4004,ORDERS!$L$2:$L$4995,"Đã chuyển khoản"))</f>
        <v/>
      </c>
      <c r="X4004" s="23">
        <f>IF(OR($D4004="",$R4004="Trùng"),"",SUMIFS(ORDERS!$J$2:$J$4995,ORDERS!$C$2:$C$4995,$D4004,ORDERS!$L$2:$L$4995,"Đã chuyển khoản"))</f>
        <v/>
      </c>
      <c r="Y4004" s="24" t="n"/>
    </row>
    <row r="4005" ht="14.25" customHeight="1" s="40">
      <c r="A4005" s="24" t="n"/>
      <c r="B4005" s="27" t="n"/>
      <c r="C4005" s="24" t="n"/>
      <c r="D4005" s="28" t="n"/>
      <c r="E4005" s="29" t="n"/>
      <c r="F4005" s="24" t="n"/>
      <c r="G4005" s="24" t="n"/>
      <c r="H4005" s="21">
        <f>IF(ISNUMBER($B4005),INT($B4005)-WEEKDAY($B4005,2)+1,"")</f>
        <v/>
      </c>
      <c r="I4005" s="24" t="n"/>
      <c r="J4005" s="22">
        <f t="array" ref="J4005">IF($D4005="","",IF($I4005="","(trống REF)",IFERROR(INDEX(MASTER_SOURCE!$B$2:$B$495,MATCH($I4005,MASTER_SOURCE!$A$2:$A$495,0)),"(REF không có trong MASTER_SOURCE)")))</f>
        <v/>
      </c>
      <c r="K4005" s="22">
        <f t="array" ref="K4005">IF($D4005="","",IFERROR(INDEX(MASTER_SOURCE!$C$2:$C$495,MATCH($I4005,MASTER_SOURCE!$A$2:$A$495,0)),""))</f>
        <v/>
      </c>
      <c r="L4005" s="22">
        <f t="array" ref="L4005">IF($D4005="","",IFERROR(INDEX(MASTER_SOURCE!$D$2:$D$495,MATCH($I4005,MASTER_SOURCE!$A$2:$A$495,0)),""))</f>
        <v/>
      </c>
      <c r="M4005" s="24" t="n"/>
      <c r="N4005" s="24" t="n"/>
      <c r="O4005" s="24" t="n"/>
      <c r="P4005" s="24" t="n"/>
      <c r="Q4005" s="22">
        <f>IF($D4005="","",IF(AND(OR(DANH_MUC!$L$5&lt;&gt;"Có",M4005="Có"),OR(DANH_MUC!$L$6&lt;&gt;"Có",N4005="Có"),OR(DANH_MUC!$L$7&lt;&gt;"Có",O4005="Có"),OR(DANH_MUC!$L$8&lt;&gt;"Có",P4005="Có")),"Có","Không"))</f>
        <v/>
      </c>
      <c r="R4005" s="22">
        <f>IF($D4005="","",IF(COUNTIF($D$2:$D4005,$D4005)&gt;1,"Trùng",""))</f>
        <v/>
      </c>
      <c r="S4005" s="22">
        <f>IF($D4005="","",IF(AND(LEN($D4005)=10,LEFT($D4005,1)="0",ISNUMBER(--$D4005)),"Có","Không"))</f>
        <v/>
      </c>
      <c r="T4005" s="22">
        <f>IF($D4005="","",IF(AND($C4005&lt;&gt;"",$Q4005="Có",$R4005="",$S4005="Có",AND($L4005&lt;&gt;"",OR($L4005&lt;&gt;"Chưa xác định",DANH_MUC!$L$9="Có"))),"Có","Không"))</f>
        <v/>
      </c>
      <c r="U4005" s="22">
        <f>IF(OR($D4005="",$T4005="Có"),"",IF($C4005="","Thiếu họ tên; ","")&amp;IF($S4005&lt;&gt;"Có","SĐT sai định dạng; ","")&amp;IF($R4005="Trùng","Trùng SĐT; ","")&amp;IF($Q4005&lt;&gt;"Có","Thiếu đồng ý bắt buộc; ","")&amp;IF($L4005="","Thiếu/sai Mã REF; ",IF(AND($L4005="Chưa xác định",DANH_MUC!$L$9&lt;&gt;"Có"),"Nguồn chưa xác định; ","")))</f>
        <v/>
      </c>
      <c r="V4005" s="22">
        <f>IF(OR($D4005="",$R4005="Trùng"),"",IF(COUNTIF(ORDERS!$C$2:$C$4995,$D4005)&gt;0,"Có","Không"))</f>
        <v/>
      </c>
      <c r="W4005" s="22">
        <f>IF(OR($D4005="",$R4005="Trùng"),"",COUNTIFS(ORDERS!$C$2:$C$4995,$D4005,ORDERS!$L$2:$L$4995,"Đã chuyển khoản"))</f>
        <v/>
      </c>
      <c r="X4005" s="23">
        <f>IF(OR($D4005="",$R4005="Trùng"),"",SUMIFS(ORDERS!$J$2:$J$4995,ORDERS!$C$2:$C$4995,$D4005,ORDERS!$L$2:$L$4995,"Đã chuyển khoản"))</f>
        <v/>
      </c>
      <c r="Y4005" s="24" t="n"/>
    </row>
    <row r="4006" ht="14.25" customHeight="1" s="40">
      <c r="A4006" s="24" t="n"/>
      <c r="B4006" s="27" t="n"/>
      <c r="C4006" s="24" t="n"/>
      <c r="D4006" s="28" t="n"/>
      <c r="E4006" s="29" t="n"/>
      <c r="F4006" s="24" t="n"/>
      <c r="G4006" s="24" t="n"/>
      <c r="H4006" s="21">
        <f>IF(ISNUMBER($B4006),INT($B4006)-WEEKDAY($B4006,2)+1,"")</f>
        <v/>
      </c>
      <c r="I4006" s="24" t="n"/>
      <c r="J4006" s="22">
        <f t="array" ref="J4006">IF($D4006="","",IF($I4006="","(trống REF)",IFERROR(INDEX(MASTER_SOURCE!$B$2:$B$495,MATCH($I4006,MASTER_SOURCE!$A$2:$A$495,0)),"(REF không có trong MASTER_SOURCE)")))</f>
        <v/>
      </c>
      <c r="K4006" s="22">
        <f t="array" ref="K4006">IF($D4006="","",IFERROR(INDEX(MASTER_SOURCE!$C$2:$C$495,MATCH($I4006,MASTER_SOURCE!$A$2:$A$495,0)),""))</f>
        <v/>
      </c>
      <c r="L4006" s="22">
        <f t="array" ref="L4006">IF($D4006="","",IFERROR(INDEX(MASTER_SOURCE!$D$2:$D$495,MATCH($I4006,MASTER_SOURCE!$A$2:$A$495,0)),""))</f>
        <v/>
      </c>
      <c r="M4006" s="24" t="n"/>
      <c r="N4006" s="24" t="n"/>
      <c r="O4006" s="24" t="n"/>
      <c r="P4006" s="24" t="n"/>
      <c r="Q4006" s="22">
        <f>IF($D4006="","",IF(AND(OR(DANH_MUC!$L$5&lt;&gt;"Có",M4006="Có"),OR(DANH_MUC!$L$6&lt;&gt;"Có",N4006="Có"),OR(DANH_MUC!$L$7&lt;&gt;"Có",O4006="Có"),OR(DANH_MUC!$L$8&lt;&gt;"Có",P4006="Có")),"Có","Không"))</f>
        <v/>
      </c>
      <c r="R4006" s="22">
        <f>IF($D4006="","",IF(COUNTIF($D$2:$D4006,$D4006)&gt;1,"Trùng",""))</f>
        <v/>
      </c>
      <c r="S4006" s="22">
        <f>IF($D4006="","",IF(AND(LEN($D4006)=10,LEFT($D4006,1)="0",ISNUMBER(--$D4006)),"Có","Không"))</f>
        <v/>
      </c>
      <c r="T4006" s="22">
        <f>IF($D4006="","",IF(AND($C4006&lt;&gt;"",$Q4006="Có",$R4006="",$S4006="Có",AND($L4006&lt;&gt;"",OR($L4006&lt;&gt;"Chưa xác định",DANH_MUC!$L$9="Có"))),"Có","Không"))</f>
        <v/>
      </c>
      <c r="U4006" s="22">
        <f>IF(OR($D4006="",$T4006="Có"),"",IF($C4006="","Thiếu họ tên; ","")&amp;IF($S4006&lt;&gt;"Có","SĐT sai định dạng; ","")&amp;IF($R4006="Trùng","Trùng SĐT; ","")&amp;IF($Q4006&lt;&gt;"Có","Thiếu đồng ý bắt buộc; ","")&amp;IF($L4006="","Thiếu/sai Mã REF; ",IF(AND($L4006="Chưa xác định",DANH_MUC!$L$9&lt;&gt;"Có"),"Nguồn chưa xác định; ","")))</f>
        <v/>
      </c>
      <c r="V4006" s="22">
        <f>IF(OR($D4006="",$R4006="Trùng"),"",IF(COUNTIF(ORDERS!$C$2:$C$4995,$D4006)&gt;0,"Có","Không"))</f>
        <v/>
      </c>
      <c r="W4006" s="22">
        <f>IF(OR($D4006="",$R4006="Trùng"),"",COUNTIFS(ORDERS!$C$2:$C$4995,$D4006,ORDERS!$L$2:$L$4995,"Đã chuyển khoản"))</f>
        <v/>
      </c>
      <c r="X4006" s="23">
        <f>IF(OR($D4006="",$R4006="Trùng"),"",SUMIFS(ORDERS!$J$2:$J$4995,ORDERS!$C$2:$C$4995,$D4006,ORDERS!$L$2:$L$4995,"Đã chuyển khoản"))</f>
        <v/>
      </c>
      <c r="Y4006" s="24" t="n"/>
    </row>
    <row r="4007" ht="14.25" customHeight="1" s="40">
      <c r="A4007" s="24" t="n"/>
      <c r="B4007" s="27" t="n"/>
      <c r="C4007" s="24" t="n"/>
      <c r="D4007" s="28" t="n"/>
      <c r="E4007" s="29" t="n"/>
      <c r="F4007" s="24" t="n"/>
      <c r="G4007" s="24" t="n"/>
      <c r="H4007" s="21">
        <f>IF(ISNUMBER($B4007),INT($B4007)-WEEKDAY($B4007,2)+1,"")</f>
        <v/>
      </c>
      <c r="I4007" s="24" t="n"/>
      <c r="J4007" s="22">
        <f t="array" ref="J4007">IF($D4007="","",IF($I4007="","(trống REF)",IFERROR(INDEX(MASTER_SOURCE!$B$2:$B$495,MATCH($I4007,MASTER_SOURCE!$A$2:$A$495,0)),"(REF không có trong MASTER_SOURCE)")))</f>
        <v/>
      </c>
      <c r="K4007" s="22">
        <f t="array" ref="K4007">IF($D4007="","",IFERROR(INDEX(MASTER_SOURCE!$C$2:$C$495,MATCH($I4007,MASTER_SOURCE!$A$2:$A$495,0)),""))</f>
        <v/>
      </c>
      <c r="L4007" s="22">
        <f t="array" ref="L4007">IF($D4007="","",IFERROR(INDEX(MASTER_SOURCE!$D$2:$D$495,MATCH($I4007,MASTER_SOURCE!$A$2:$A$495,0)),""))</f>
        <v/>
      </c>
      <c r="M4007" s="24" t="n"/>
      <c r="N4007" s="24" t="n"/>
      <c r="O4007" s="24" t="n"/>
      <c r="P4007" s="24" t="n"/>
      <c r="Q4007" s="22">
        <f>IF($D4007="","",IF(AND(OR(DANH_MUC!$L$5&lt;&gt;"Có",M4007="Có"),OR(DANH_MUC!$L$6&lt;&gt;"Có",N4007="Có"),OR(DANH_MUC!$L$7&lt;&gt;"Có",O4007="Có"),OR(DANH_MUC!$L$8&lt;&gt;"Có",P4007="Có")),"Có","Không"))</f>
        <v/>
      </c>
      <c r="R4007" s="22">
        <f>IF($D4007="","",IF(COUNTIF($D$2:$D4007,$D4007)&gt;1,"Trùng",""))</f>
        <v/>
      </c>
      <c r="S4007" s="22">
        <f>IF($D4007="","",IF(AND(LEN($D4007)=10,LEFT($D4007,1)="0",ISNUMBER(--$D4007)),"Có","Không"))</f>
        <v/>
      </c>
      <c r="T4007" s="22">
        <f>IF($D4007="","",IF(AND($C4007&lt;&gt;"",$Q4007="Có",$R4007="",$S4007="Có",AND($L4007&lt;&gt;"",OR($L4007&lt;&gt;"Chưa xác định",DANH_MUC!$L$9="Có"))),"Có","Không"))</f>
        <v/>
      </c>
      <c r="U4007" s="22">
        <f>IF(OR($D4007="",$T4007="Có"),"",IF($C4007="","Thiếu họ tên; ","")&amp;IF($S4007&lt;&gt;"Có","SĐT sai định dạng; ","")&amp;IF($R4007="Trùng","Trùng SĐT; ","")&amp;IF($Q4007&lt;&gt;"Có","Thiếu đồng ý bắt buộc; ","")&amp;IF($L4007="","Thiếu/sai Mã REF; ",IF(AND($L4007="Chưa xác định",DANH_MUC!$L$9&lt;&gt;"Có"),"Nguồn chưa xác định; ","")))</f>
        <v/>
      </c>
      <c r="V4007" s="22">
        <f>IF(OR($D4007="",$R4007="Trùng"),"",IF(COUNTIF(ORDERS!$C$2:$C$4995,$D4007)&gt;0,"Có","Không"))</f>
        <v/>
      </c>
      <c r="W4007" s="22">
        <f>IF(OR($D4007="",$R4007="Trùng"),"",COUNTIFS(ORDERS!$C$2:$C$4995,$D4007,ORDERS!$L$2:$L$4995,"Đã chuyển khoản"))</f>
        <v/>
      </c>
      <c r="X4007" s="23">
        <f>IF(OR($D4007="",$R4007="Trùng"),"",SUMIFS(ORDERS!$J$2:$J$4995,ORDERS!$C$2:$C$4995,$D4007,ORDERS!$L$2:$L$4995,"Đã chuyển khoản"))</f>
        <v/>
      </c>
      <c r="Y4007" s="24" t="n"/>
    </row>
    <row r="4008" ht="14.25" customHeight="1" s="40">
      <c r="A4008" s="24" t="n"/>
      <c r="B4008" s="27" t="n"/>
      <c r="C4008" s="24" t="n"/>
      <c r="D4008" s="28" t="n"/>
      <c r="E4008" s="29" t="n"/>
      <c r="F4008" s="24" t="n"/>
      <c r="G4008" s="24" t="n"/>
      <c r="H4008" s="21">
        <f>IF(ISNUMBER($B4008),INT($B4008)-WEEKDAY($B4008,2)+1,"")</f>
        <v/>
      </c>
      <c r="I4008" s="24" t="n"/>
      <c r="J4008" s="22">
        <f t="array" ref="J4008">IF($D4008="","",IF($I4008="","(trống REF)",IFERROR(INDEX(MASTER_SOURCE!$B$2:$B$495,MATCH($I4008,MASTER_SOURCE!$A$2:$A$495,0)),"(REF không có trong MASTER_SOURCE)")))</f>
        <v/>
      </c>
      <c r="K4008" s="22">
        <f t="array" ref="K4008">IF($D4008="","",IFERROR(INDEX(MASTER_SOURCE!$C$2:$C$495,MATCH($I4008,MASTER_SOURCE!$A$2:$A$495,0)),""))</f>
        <v/>
      </c>
      <c r="L4008" s="22">
        <f t="array" ref="L4008">IF($D4008="","",IFERROR(INDEX(MASTER_SOURCE!$D$2:$D$495,MATCH($I4008,MASTER_SOURCE!$A$2:$A$495,0)),""))</f>
        <v/>
      </c>
      <c r="M4008" s="24" t="n"/>
      <c r="N4008" s="24" t="n"/>
      <c r="O4008" s="24" t="n"/>
      <c r="P4008" s="24" t="n"/>
      <c r="Q4008" s="22">
        <f>IF($D4008="","",IF(AND(OR(DANH_MUC!$L$5&lt;&gt;"Có",M4008="Có"),OR(DANH_MUC!$L$6&lt;&gt;"Có",N4008="Có"),OR(DANH_MUC!$L$7&lt;&gt;"Có",O4008="Có"),OR(DANH_MUC!$L$8&lt;&gt;"Có",P4008="Có")),"Có","Không"))</f>
        <v/>
      </c>
      <c r="R4008" s="22">
        <f>IF($D4008="","",IF(COUNTIF($D$2:$D4008,$D4008)&gt;1,"Trùng",""))</f>
        <v/>
      </c>
      <c r="S4008" s="22">
        <f>IF($D4008="","",IF(AND(LEN($D4008)=10,LEFT($D4008,1)="0",ISNUMBER(--$D4008)),"Có","Không"))</f>
        <v/>
      </c>
      <c r="T4008" s="22">
        <f>IF($D4008="","",IF(AND($C4008&lt;&gt;"",$Q4008="Có",$R4008="",$S4008="Có",AND($L4008&lt;&gt;"",OR($L4008&lt;&gt;"Chưa xác định",DANH_MUC!$L$9="Có"))),"Có","Không"))</f>
        <v/>
      </c>
      <c r="U4008" s="22">
        <f>IF(OR($D4008="",$T4008="Có"),"",IF($C4008="","Thiếu họ tên; ","")&amp;IF($S4008&lt;&gt;"Có","SĐT sai định dạng; ","")&amp;IF($R4008="Trùng","Trùng SĐT; ","")&amp;IF($Q4008&lt;&gt;"Có","Thiếu đồng ý bắt buộc; ","")&amp;IF($L4008="","Thiếu/sai Mã REF; ",IF(AND($L4008="Chưa xác định",DANH_MUC!$L$9&lt;&gt;"Có"),"Nguồn chưa xác định; ","")))</f>
        <v/>
      </c>
      <c r="V4008" s="22">
        <f>IF(OR($D4008="",$R4008="Trùng"),"",IF(COUNTIF(ORDERS!$C$2:$C$4995,$D4008)&gt;0,"Có","Không"))</f>
        <v/>
      </c>
      <c r="W4008" s="22">
        <f>IF(OR($D4008="",$R4008="Trùng"),"",COUNTIFS(ORDERS!$C$2:$C$4995,$D4008,ORDERS!$L$2:$L$4995,"Đã chuyển khoản"))</f>
        <v/>
      </c>
      <c r="X4008" s="23">
        <f>IF(OR($D4008="",$R4008="Trùng"),"",SUMIFS(ORDERS!$J$2:$J$4995,ORDERS!$C$2:$C$4995,$D4008,ORDERS!$L$2:$L$4995,"Đã chuyển khoản"))</f>
        <v/>
      </c>
      <c r="Y4008" s="24" t="n"/>
    </row>
    <row r="4009" ht="14.25" customHeight="1" s="40">
      <c r="A4009" s="24" t="n"/>
      <c r="B4009" s="27" t="n"/>
      <c r="C4009" s="24" t="n"/>
      <c r="D4009" s="28" t="n"/>
      <c r="E4009" s="29" t="n"/>
      <c r="F4009" s="24" t="n"/>
      <c r="G4009" s="24" t="n"/>
      <c r="H4009" s="21">
        <f>IF(ISNUMBER($B4009),INT($B4009)-WEEKDAY($B4009,2)+1,"")</f>
        <v/>
      </c>
      <c r="I4009" s="24" t="n"/>
      <c r="J4009" s="22">
        <f t="array" ref="J4009">IF($D4009="","",IF($I4009="","(trống REF)",IFERROR(INDEX(MASTER_SOURCE!$B$2:$B$495,MATCH($I4009,MASTER_SOURCE!$A$2:$A$495,0)),"(REF không có trong MASTER_SOURCE)")))</f>
        <v/>
      </c>
      <c r="K4009" s="22">
        <f t="array" ref="K4009">IF($D4009="","",IFERROR(INDEX(MASTER_SOURCE!$C$2:$C$495,MATCH($I4009,MASTER_SOURCE!$A$2:$A$495,0)),""))</f>
        <v/>
      </c>
      <c r="L4009" s="22">
        <f t="array" ref="L4009">IF($D4009="","",IFERROR(INDEX(MASTER_SOURCE!$D$2:$D$495,MATCH($I4009,MASTER_SOURCE!$A$2:$A$495,0)),""))</f>
        <v/>
      </c>
      <c r="M4009" s="24" t="n"/>
      <c r="N4009" s="24" t="n"/>
      <c r="O4009" s="24" t="n"/>
      <c r="P4009" s="24" t="n"/>
      <c r="Q4009" s="22">
        <f>IF($D4009="","",IF(AND(OR(DANH_MUC!$L$5&lt;&gt;"Có",M4009="Có"),OR(DANH_MUC!$L$6&lt;&gt;"Có",N4009="Có"),OR(DANH_MUC!$L$7&lt;&gt;"Có",O4009="Có"),OR(DANH_MUC!$L$8&lt;&gt;"Có",P4009="Có")),"Có","Không"))</f>
        <v/>
      </c>
      <c r="R4009" s="22">
        <f>IF($D4009="","",IF(COUNTIF($D$2:$D4009,$D4009)&gt;1,"Trùng",""))</f>
        <v/>
      </c>
      <c r="S4009" s="22">
        <f>IF($D4009="","",IF(AND(LEN($D4009)=10,LEFT($D4009,1)="0",ISNUMBER(--$D4009)),"Có","Không"))</f>
        <v/>
      </c>
      <c r="T4009" s="22">
        <f>IF($D4009="","",IF(AND($C4009&lt;&gt;"",$Q4009="Có",$R4009="",$S4009="Có",AND($L4009&lt;&gt;"",OR($L4009&lt;&gt;"Chưa xác định",DANH_MUC!$L$9="Có"))),"Có","Không"))</f>
        <v/>
      </c>
      <c r="U4009" s="22">
        <f>IF(OR($D4009="",$T4009="Có"),"",IF($C4009="","Thiếu họ tên; ","")&amp;IF($S4009&lt;&gt;"Có","SĐT sai định dạng; ","")&amp;IF($R4009="Trùng","Trùng SĐT; ","")&amp;IF($Q4009&lt;&gt;"Có","Thiếu đồng ý bắt buộc; ","")&amp;IF($L4009="","Thiếu/sai Mã REF; ",IF(AND($L4009="Chưa xác định",DANH_MUC!$L$9&lt;&gt;"Có"),"Nguồn chưa xác định; ","")))</f>
        <v/>
      </c>
      <c r="V4009" s="22">
        <f>IF(OR($D4009="",$R4009="Trùng"),"",IF(COUNTIF(ORDERS!$C$2:$C$4995,$D4009)&gt;0,"Có","Không"))</f>
        <v/>
      </c>
      <c r="W4009" s="22">
        <f>IF(OR($D4009="",$R4009="Trùng"),"",COUNTIFS(ORDERS!$C$2:$C$4995,$D4009,ORDERS!$L$2:$L$4995,"Đã chuyển khoản"))</f>
        <v/>
      </c>
      <c r="X4009" s="23">
        <f>IF(OR($D4009="",$R4009="Trùng"),"",SUMIFS(ORDERS!$J$2:$J$4995,ORDERS!$C$2:$C$4995,$D4009,ORDERS!$L$2:$L$4995,"Đã chuyển khoản"))</f>
        <v/>
      </c>
      <c r="Y4009" s="24" t="n"/>
    </row>
    <row r="4010" ht="14.25" customHeight="1" s="40">
      <c r="A4010" s="24" t="n"/>
      <c r="B4010" s="27" t="n"/>
      <c r="C4010" s="24" t="n"/>
      <c r="D4010" s="28" t="n"/>
      <c r="E4010" s="29" t="n"/>
      <c r="F4010" s="24" t="n"/>
      <c r="G4010" s="24" t="n"/>
      <c r="H4010" s="21">
        <f>IF(ISNUMBER($B4010),INT($B4010)-WEEKDAY($B4010,2)+1,"")</f>
        <v/>
      </c>
      <c r="I4010" s="24" t="n"/>
      <c r="J4010" s="22">
        <f t="array" ref="J4010">IF($D4010="","",IF($I4010="","(trống REF)",IFERROR(INDEX(MASTER_SOURCE!$B$2:$B$495,MATCH($I4010,MASTER_SOURCE!$A$2:$A$495,0)),"(REF không có trong MASTER_SOURCE)")))</f>
        <v/>
      </c>
      <c r="K4010" s="22">
        <f t="array" ref="K4010">IF($D4010="","",IFERROR(INDEX(MASTER_SOURCE!$C$2:$C$495,MATCH($I4010,MASTER_SOURCE!$A$2:$A$495,0)),""))</f>
        <v/>
      </c>
      <c r="L4010" s="22">
        <f t="array" ref="L4010">IF($D4010="","",IFERROR(INDEX(MASTER_SOURCE!$D$2:$D$495,MATCH($I4010,MASTER_SOURCE!$A$2:$A$495,0)),""))</f>
        <v/>
      </c>
      <c r="M4010" s="24" t="n"/>
      <c r="N4010" s="24" t="n"/>
      <c r="O4010" s="24" t="n"/>
      <c r="P4010" s="24" t="n"/>
      <c r="Q4010" s="22">
        <f>IF($D4010="","",IF(AND(OR(DANH_MUC!$L$5&lt;&gt;"Có",M4010="Có"),OR(DANH_MUC!$L$6&lt;&gt;"Có",N4010="Có"),OR(DANH_MUC!$L$7&lt;&gt;"Có",O4010="Có"),OR(DANH_MUC!$L$8&lt;&gt;"Có",P4010="Có")),"Có","Không"))</f>
        <v/>
      </c>
      <c r="R4010" s="22">
        <f>IF($D4010="","",IF(COUNTIF($D$2:$D4010,$D4010)&gt;1,"Trùng",""))</f>
        <v/>
      </c>
      <c r="S4010" s="22">
        <f>IF($D4010="","",IF(AND(LEN($D4010)=10,LEFT($D4010,1)="0",ISNUMBER(--$D4010)),"Có","Không"))</f>
        <v/>
      </c>
      <c r="T4010" s="22">
        <f>IF($D4010="","",IF(AND($C4010&lt;&gt;"",$Q4010="Có",$R4010="",$S4010="Có",AND($L4010&lt;&gt;"",OR($L4010&lt;&gt;"Chưa xác định",DANH_MUC!$L$9="Có"))),"Có","Không"))</f>
        <v/>
      </c>
      <c r="U4010" s="22">
        <f>IF(OR($D4010="",$T4010="Có"),"",IF($C4010="","Thiếu họ tên; ","")&amp;IF($S4010&lt;&gt;"Có","SĐT sai định dạng; ","")&amp;IF($R4010="Trùng","Trùng SĐT; ","")&amp;IF($Q4010&lt;&gt;"Có","Thiếu đồng ý bắt buộc; ","")&amp;IF($L4010="","Thiếu/sai Mã REF; ",IF(AND($L4010="Chưa xác định",DANH_MUC!$L$9&lt;&gt;"Có"),"Nguồn chưa xác định; ","")))</f>
        <v/>
      </c>
      <c r="V4010" s="22">
        <f>IF(OR($D4010="",$R4010="Trùng"),"",IF(COUNTIF(ORDERS!$C$2:$C$4995,$D4010)&gt;0,"Có","Không"))</f>
        <v/>
      </c>
      <c r="W4010" s="22">
        <f>IF(OR($D4010="",$R4010="Trùng"),"",COUNTIFS(ORDERS!$C$2:$C$4995,$D4010,ORDERS!$L$2:$L$4995,"Đã chuyển khoản"))</f>
        <v/>
      </c>
      <c r="X4010" s="23">
        <f>IF(OR($D4010="",$R4010="Trùng"),"",SUMIFS(ORDERS!$J$2:$J$4995,ORDERS!$C$2:$C$4995,$D4010,ORDERS!$L$2:$L$4995,"Đã chuyển khoản"))</f>
        <v/>
      </c>
      <c r="Y4010" s="24" t="n"/>
    </row>
    <row r="4011" ht="14.25" customHeight="1" s="40">
      <c r="A4011" s="24" t="n"/>
      <c r="B4011" s="27" t="n"/>
      <c r="C4011" s="24" t="n"/>
      <c r="D4011" s="28" t="n"/>
      <c r="E4011" s="29" t="n"/>
      <c r="F4011" s="24" t="n"/>
      <c r="G4011" s="24" t="n"/>
      <c r="H4011" s="21">
        <f>IF(ISNUMBER($B4011),INT($B4011)-WEEKDAY($B4011,2)+1,"")</f>
        <v/>
      </c>
      <c r="I4011" s="24" t="n"/>
      <c r="J4011" s="22">
        <f t="array" ref="J4011">IF($D4011="","",IF($I4011="","(trống REF)",IFERROR(INDEX(MASTER_SOURCE!$B$2:$B$495,MATCH($I4011,MASTER_SOURCE!$A$2:$A$495,0)),"(REF không có trong MASTER_SOURCE)")))</f>
        <v/>
      </c>
      <c r="K4011" s="22">
        <f t="array" ref="K4011">IF($D4011="","",IFERROR(INDEX(MASTER_SOURCE!$C$2:$C$495,MATCH($I4011,MASTER_SOURCE!$A$2:$A$495,0)),""))</f>
        <v/>
      </c>
      <c r="L4011" s="22">
        <f t="array" ref="L4011">IF($D4011="","",IFERROR(INDEX(MASTER_SOURCE!$D$2:$D$495,MATCH($I4011,MASTER_SOURCE!$A$2:$A$495,0)),""))</f>
        <v/>
      </c>
      <c r="M4011" s="24" t="n"/>
      <c r="N4011" s="24" t="n"/>
      <c r="O4011" s="24" t="n"/>
      <c r="P4011" s="24" t="n"/>
      <c r="Q4011" s="22">
        <f>IF($D4011="","",IF(AND(OR(DANH_MUC!$L$5&lt;&gt;"Có",M4011="Có"),OR(DANH_MUC!$L$6&lt;&gt;"Có",N4011="Có"),OR(DANH_MUC!$L$7&lt;&gt;"Có",O4011="Có"),OR(DANH_MUC!$L$8&lt;&gt;"Có",P4011="Có")),"Có","Không"))</f>
        <v/>
      </c>
      <c r="R4011" s="22">
        <f>IF($D4011="","",IF(COUNTIF($D$2:$D4011,$D4011)&gt;1,"Trùng",""))</f>
        <v/>
      </c>
      <c r="S4011" s="22">
        <f>IF($D4011="","",IF(AND(LEN($D4011)=10,LEFT($D4011,1)="0",ISNUMBER(--$D4011)),"Có","Không"))</f>
        <v/>
      </c>
      <c r="T4011" s="22">
        <f>IF($D4011="","",IF(AND($C4011&lt;&gt;"",$Q4011="Có",$R4011="",$S4011="Có",AND($L4011&lt;&gt;"",OR($L4011&lt;&gt;"Chưa xác định",DANH_MUC!$L$9="Có"))),"Có","Không"))</f>
        <v/>
      </c>
      <c r="U4011" s="22">
        <f>IF(OR($D4011="",$T4011="Có"),"",IF($C4011="","Thiếu họ tên; ","")&amp;IF($S4011&lt;&gt;"Có","SĐT sai định dạng; ","")&amp;IF($R4011="Trùng","Trùng SĐT; ","")&amp;IF($Q4011&lt;&gt;"Có","Thiếu đồng ý bắt buộc; ","")&amp;IF($L4011="","Thiếu/sai Mã REF; ",IF(AND($L4011="Chưa xác định",DANH_MUC!$L$9&lt;&gt;"Có"),"Nguồn chưa xác định; ","")))</f>
        <v/>
      </c>
      <c r="V4011" s="22">
        <f>IF(OR($D4011="",$R4011="Trùng"),"",IF(COUNTIF(ORDERS!$C$2:$C$4995,$D4011)&gt;0,"Có","Không"))</f>
        <v/>
      </c>
      <c r="W4011" s="22">
        <f>IF(OR($D4011="",$R4011="Trùng"),"",COUNTIFS(ORDERS!$C$2:$C$4995,$D4011,ORDERS!$L$2:$L$4995,"Đã chuyển khoản"))</f>
        <v/>
      </c>
      <c r="X4011" s="23">
        <f>IF(OR($D4011="",$R4011="Trùng"),"",SUMIFS(ORDERS!$J$2:$J$4995,ORDERS!$C$2:$C$4995,$D4011,ORDERS!$L$2:$L$4995,"Đã chuyển khoản"))</f>
        <v/>
      </c>
      <c r="Y4011" s="24" t="n"/>
    </row>
    <row r="4012" ht="14.25" customHeight="1" s="40">
      <c r="A4012" s="24" t="n"/>
      <c r="B4012" s="27" t="n"/>
      <c r="C4012" s="24" t="n"/>
      <c r="D4012" s="28" t="n"/>
      <c r="E4012" s="29" t="n"/>
      <c r="F4012" s="24" t="n"/>
      <c r="G4012" s="24" t="n"/>
      <c r="H4012" s="21">
        <f>IF(ISNUMBER($B4012),INT($B4012)-WEEKDAY($B4012,2)+1,"")</f>
        <v/>
      </c>
      <c r="I4012" s="24" t="n"/>
      <c r="J4012" s="22">
        <f t="array" ref="J4012">IF($D4012="","",IF($I4012="","(trống REF)",IFERROR(INDEX(MASTER_SOURCE!$B$2:$B$495,MATCH($I4012,MASTER_SOURCE!$A$2:$A$495,0)),"(REF không có trong MASTER_SOURCE)")))</f>
        <v/>
      </c>
      <c r="K4012" s="22">
        <f t="array" ref="K4012">IF($D4012="","",IFERROR(INDEX(MASTER_SOURCE!$C$2:$C$495,MATCH($I4012,MASTER_SOURCE!$A$2:$A$495,0)),""))</f>
        <v/>
      </c>
      <c r="L4012" s="22">
        <f t="array" ref="L4012">IF($D4012="","",IFERROR(INDEX(MASTER_SOURCE!$D$2:$D$495,MATCH($I4012,MASTER_SOURCE!$A$2:$A$495,0)),""))</f>
        <v/>
      </c>
      <c r="M4012" s="24" t="n"/>
      <c r="N4012" s="24" t="n"/>
      <c r="O4012" s="24" t="n"/>
      <c r="P4012" s="24" t="n"/>
      <c r="Q4012" s="22">
        <f>IF($D4012="","",IF(AND(OR(DANH_MUC!$L$5&lt;&gt;"Có",M4012="Có"),OR(DANH_MUC!$L$6&lt;&gt;"Có",N4012="Có"),OR(DANH_MUC!$L$7&lt;&gt;"Có",O4012="Có"),OR(DANH_MUC!$L$8&lt;&gt;"Có",P4012="Có")),"Có","Không"))</f>
        <v/>
      </c>
      <c r="R4012" s="22">
        <f>IF($D4012="","",IF(COUNTIF($D$2:$D4012,$D4012)&gt;1,"Trùng",""))</f>
        <v/>
      </c>
      <c r="S4012" s="22">
        <f>IF($D4012="","",IF(AND(LEN($D4012)=10,LEFT($D4012,1)="0",ISNUMBER(--$D4012)),"Có","Không"))</f>
        <v/>
      </c>
      <c r="T4012" s="22">
        <f>IF($D4012="","",IF(AND($C4012&lt;&gt;"",$Q4012="Có",$R4012="",$S4012="Có",AND($L4012&lt;&gt;"",OR($L4012&lt;&gt;"Chưa xác định",DANH_MUC!$L$9="Có"))),"Có","Không"))</f>
        <v/>
      </c>
      <c r="U4012" s="22">
        <f>IF(OR($D4012="",$T4012="Có"),"",IF($C4012="","Thiếu họ tên; ","")&amp;IF($S4012&lt;&gt;"Có","SĐT sai định dạng; ","")&amp;IF($R4012="Trùng","Trùng SĐT; ","")&amp;IF($Q4012&lt;&gt;"Có","Thiếu đồng ý bắt buộc; ","")&amp;IF($L4012="","Thiếu/sai Mã REF; ",IF(AND($L4012="Chưa xác định",DANH_MUC!$L$9&lt;&gt;"Có"),"Nguồn chưa xác định; ","")))</f>
        <v/>
      </c>
      <c r="V4012" s="22">
        <f>IF(OR($D4012="",$R4012="Trùng"),"",IF(COUNTIF(ORDERS!$C$2:$C$4995,$D4012)&gt;0,"Có","Không"))</f>
        <v/>
      </c>
      <c r="W4012" s="22">
        <f>IF(OR($D4012="",$R4012="Trùng"),"",COUNTIFS(ORDERS!$C$2:$C$4995,$D4012,ORDERS!$L$2:$L$4995,"Đã chuyển khoản"))</f>
        <v/>
      </c>
      <c r="X4012" s="23">
        <f>IF(OR($D4012="",$R4012="Trùng"),"",SUMIFS(ORDERS!$J$2:$J$4995,ORDERS!$C$2:$C$4995,$D4012,ORDERS!$L$2:$L$4995,"Đã chuyển khoản"))</f>
        <v/>
      </c>
      <c r="Y4012" s="24" t="n"/>
    </row>
    <row r="4013" ht="14.25" customHeight="1" s="40">
      <c r="A4013" s="24" t="n"/>
      <c r="B4013" s="27" t="n"/>
      <c r="C4013" s="24" t="n"/>
      <c r="D4013" s="28" t="n"/>
      <c r="E4013" s="29" t="n"/>
      <c r="F4013" s="24" t="n"/>
      <c r="G4013" s="24" t="n"/>
      <c r="H4013" s="21">
        <f>IF(ISNUMBER($B4013),INT($B4013)-WEEKDAY($B4013,2)+1,"")</f>
        <v/>
      </c>
      <c r="I4013" s="24" t="n"/>
      <c r="J4013" s="22">
        <f t="array" ref="J4013">IF($D4013="","",IF($I4013="","(trống REF)",IFERROR(INDEX(MASTER_SOURCE!$B$2:$B$495,MATCH($I4013,MASTER_SOURCE!$A$2:$A$495,0)),"(REF không có trong MASTER_SOURCE)")))</f>
        <v/>
      </c>
      <c r="K4013" s="22">
        <f t="array" ref="K4013">IF($D4013="","",IFERROR(INDEX(MASTER_SOURCE!$C$2:$C$495,MATCH($I4013,MASTER_SOURCE!$A$2:$A$495,0)),""))</f>
        <v/>
      </c>
      <c r="L4013" s="22">
        <f t="array" ref="L4013">IF($D4013="","",IFERROR(INDEX(MASTER_SOURCE!$D$2:$D$495,MATCH($I4013,MASTER_SOURCE!$A$2:$A$495,0)),""))</f>
        <v/>
      </c>
      <c r="M4013" s="24" t="n"/>
      <c r="N4013" s="24" t="n"/>
      <c r="O4013" s="24" t="n"/>
      <c r="P4013" s="24" t="n"/>
      <c r="Q4013" s="22">
        <f>IF($D4013="","",IF(AND(OR(DANH_MUC!$L$5&lt;&gt;"Có",M4013="Có"),OR(DANH_MUC!$L$6&lt;&gt;"Có",N4013="Có"),OR(DANH_MUC!$L$7&lt;&gt;"Có",O4013="Có"),OR(DANH_MUC!$L$8&lt;&gt;"Có",P4013="Có")),"Có","Không"))</f>
        <v/>
      </c>
      <c r="R4013" s="22">
        <f>IF($D4013="","",IF(COUNTIF($D$2:$D4013,$D4013)&gt;1,"Trùng",""))</f>
        <v/>
      </c>
      <c r="S4013" s="22">
        <f>IF($D4013="","",IF(AND(LEN($D4013)=10,LEFT($D4013,1)="0",ISNUMBER(--$D4013)),"Có","Không"))</f>
        <v/>
      </c>
      <c r="T4013" s="22">
        <f>IF($D4013="","",IF(AND($C4013&lt;&gt;"",$Q4013="Có",$R4013="",$S4013="Có",AND($L4013&lt;&gt;"",OR($L4013&lt;&gt;"Chưa xác định",DANH_MUC!$L$9="Có"))),"Có","Không"))</f>
        <v/>
      </c>
      <c r="U4013" s="22">
        <f>IF(OR($D4013="",$T4013="Có"),"",IF($C4013="","Thiếu họ tên; ","")&amp;IF($S4013&lt;&gt;"Có","SĐT sai định dạng; ","")&amp;IF($R4013="Trùng","Trùng SĐT; ","")&amp;IF($Q4013&lt;&gt;"Có","Thiếu đồng ý bắt buộc; ","")&amp;IF($L4013="","Thiếu/sai Mã REF; ",IF(AND($L4013="Chưa xác định",DANH_MUC!$L$9&lt;&gt;"Có"),"Nguồn chưa xác định; ","")))</f>
        <v/>
      </c>
      <c r="V4013" s="22">
        <f>IF(OR($D4013="",$R4013="Trùng"),"",IF(COUNTIF(ORDERS!$C$2:$C$4995,$D4013)&gt;0,"Có","Không"))</f>
        <v/>
      </c>
      <c r="W4013" s="22">
        <f>IF(OR($D4013="",$R4013="Trùng"),"",COUNTIFS(ORDERS!$C$2:$C$4995,$D4013,ORDERS!$L$2:$L$4995,"Đã chuyển khoản"))</f>
        <v/>
      </c>
      <c r="X4013" s="23">
        <f>IF(OR($D4013="",$R4013="Trùng"),"",SUMIFS(ORDERS!$J$2:$J$4995,ORDERS!$C$2:$C$4995,$D4013,ORDERS!$L$2:$L$4995,"Đã chuyển khoản"))</f>
        <v/>
      </c>
      <c r="Y4013" s="24" t="n"/>
    </row>
    <row r="4014" ht="14.25" customHeight="1" s="40">
      <c r="A4014" s="24" t="n"/>
      <c r="B4014" s="27" t="n"/>
      <c r="C4014" s="24" t="n"/>
      <c r="D4014" s="28" t="n"/>
      <c r="E4014" s="29" t="n"/>
      <c r="F4014" s="24" t="n"/>
      <c r="G4014" s="24" t="n"/>
      <c r="H4014" s="21">
        <f>IF(ISNUMBER($B4014),INT($B4014)-WEEKDAY($B4014,2)+1,"")</f>
        <v/>
      </c>
      <c r="I4014" s="24" t="n"/>
      <c r="J4014" s="22">
        <f t="array" ref="J4014">IF($D4014="","",IF($I4014="","(trống REF)",IFERROR(INDEX(MASTER_SOURCE!$B$2:$B$495,MATCH($I4014,MASTER_SOURCE!$A$2:$A$495,0)),"(REF không có trong MASTER_SOURCE)")))</f>
        <v/>
      </c>
      <c r="K4014" s="22">
        <f t="array" ref="K4014">IF($D4014="","",IFERROR(INDEX(MASTER_SOURCE!$C$2:$C$495,MATCH($I4014,MASTER_SOURCE!$A$2:$A$495,0)),""))</f>
        <v/>
      </c>
      <c r="L4014" s="22">
        <f t="array" ref="L4014">IF($D4014="","",IFERROR(INDEX(MASTER_SOURCE!$D$2:$D$495,MATCH($I4014,MASTER_SOURCE!$A$2:$A$495,0)),""))</f>
        <v/>
      </c>
      <c r="M4014" s="24" t="n"/>
      <c r="N4014" s="24" t="n"/>
      <c r="O4014" s="24" t="n"/>
      <c r="P4014" s="24" t="n"/>
      <c r="Q4014" s="22">
        <f>IF($D4014="","",IF(AND(OR(DANH_MUC!$L$5&lt;&gt;"Có",M4014="Có"),OR(DANH_MUC!$L$6&lt;&gt;"Có",N4014="Có"),OR(DANH_MUC!$L$7&lt;&gt;"Có",O4014="Có"),OR(DANH_MUC!$L$8&lt;&gt;"Có",P4014="Có")),"Có","Không"))</f>
        <v/>
      </c>
      <c r="R4014" s="22">
        <f>IF($D4014="","",IF(COUNTIF($D$2:$D4014,$D4014)&gt;1,"Trùng",""))</f>
        <v/>
      </c>
      <c r="S4014" s="22">
        <f>IF($D4014="","",IF(AND(LEN($D4014)=10,LEFT($D4014,1)="0",ISNUMBER(--$D4014)),"Có","Không"))</f>
        <v/>
      </c>
      <c r="T4014" s="22">
        <f>IF($D4014="","",IF(AND($C4014&lt;&gt;"",$Q4014="Có",$R4014="",$S4014="Có",AND($L4014&lt;&gt;"",OR($L4014&lt;&gt;"Chưa xác định",DANH_MUC!$L$9="Có"))),"Có","Không"))</f>
        <v/>
      </c>
      <c r="U4014" s="22">
        <f>IF(OR($D4014="",$T4014="Có"),"",IF($C4014="","Thiếu họ tên; ","")&amp;IF($S4014&lt;&gt;"Có","SĐT sai định dạng; ","")&amp;IF($R4014="Trùng","Trùng SĐT; ","")&amp;IF($Q4014&lt;&gt;"Có","Thiếu đồng ý bắt buộc; ","")&amp;IF($L4014="","Thiếu/sai Mã REF; ",IF(AND($L4014="Chưa xác định",DANH_MUC!$L$9&lt;&gt;"Có"),"Nguồn chưa xác định; ","")))</f>
        <v/>
      </c>
      <c r="V4014" s="22">
        <f>IF(OR($D4014="",$R4014="Trùng"),"",IF(COUNTIF(ORDERS!$C$2:$C$4995,$D4014)&gt;0,"Có","Không"))</f>
        <v/>
      </c>
      <c r="W4014" s="22">
        <f>IF(OR($D4014="",$R4014="Trùng"),"",COUNTIFS(ORDERS!$C$2:$C$4995,$D4014,ORDERS!$L$2:$L$4995,"Đã chuyển khoản"))</f>
        <v/>
      </c>
      <c r="X4014" s="23">
        <f>IF(OR($D4014="",$R4014="Trùng"),"",SUMIFS(ORDERS!$J$2:$J$4995,ORDERS!$C$2:$C$4995,$D4014,ORDERS!$L$2:$L$4995,"Đã chuyển khoản"))</f>
        <v/>
      </c>
      <c r="Y4014" s="24" t="n"/>
    </row>
    <row r="4015" ht="14.25" customHeight="1" s="40">
      <c r="A4015" s="24" t="n"/>
      <c r="B4015" s="27" t="n"/>
      <c r="C4015" s="24" t="n"/>
      <c r="D4015" s="28" t="n"/>
      <c r="E4015" s="29" t="n"/>
      <c r="F4015" s="24" t="n"/>
      <c r="G4015" s="24" t="n"/>
      <c r="H4015" s="21">
        <f>IF(ISNUMBER($B4015),INT($B4015)-WEEKDAY($B4015,2)+1,"")</f>
        <v/>
      </c>
      <c r="I4015" s="24" t="n"/>
      <c r="J4015" s="22">
        <f t="array" ref="J4015">IF($D4015="","",IF($I4015="","(trống REF)",IFERROR(INDEX(MASTER_SOURCE!$B$2:$B$495,MATCH($I4015,MASTER_SOURCE!$A$2:$A$495,0)),"(REF không có trong MASTER_SOURCE)")))</f>
        <v/>
      </c>
      <c r="K4015" s="22">
        <f t="array" ref="K4015">IF($D4015="","",IFERROR(INDEX(MASTER_SOURCE!$C$2:$C$495,MATCH($I4015,MASTER_SOURCE!$A$2:$A$495,0)),""))</f>
        <v/>
      </c>
      <c r="L4015" s="22">
        <f t="array" ref="L4015">IF($D4015="","",IFERROR(INDEX(MASTER_SOURCE!$D$2:$D$495,MATCH($I4015,MASTER_SOURCE!$A$2:$A$495,0)),""))</f>
        <v/>
      </c>
      <c r="M4015" s="24" t="n"/>
      <c r="N4015" s="24" t="n"/>
      <c r="O4015" s="24" t="n"/>
      <c r="P4015" s="24" t="n"/>
      <c r="Q4015" s="22">
        <f>IF($D4015="","",IF(AND(OR(DANH_MUC!$L$5&lt;&gt;"Có",M4015="Có"),OR(DANH_MUC!$L$6&lt;&gt;"Có",N4015="Có"),OR(DANH_MUC!$L$7&lt;&gt;"Có",O4015="Có"),OR(DANH_MUC!$L$8&lt;&gt;"Có",P4015="Có")),"Có","Không"))</f>
        <v/>
      </c>
      <c r="R4015" s="22">
        <f>IF($D4015="","",IF(COUNTIF($D$2:$D4015,$D4015)&gt;1,"Trùng",""))</f>
        <v/>
      </c>
      <c r="S4015" s="22">
        <f>IF($D4015="","",IF(AND(LEN($D4015)=10,LEFT($D4015,1)="0",ISNUMBER(--$D4015)),"Có","Không"))</f>
        <v/>
      </c>
      <c r="T4015" s="22">
        <f>IF($D4015="","",IF(AND($C4015&lt;&gt;"",$Q4015="Có",$R4015="",$S4015="Có",AND($L4015&lt;&gt;"",OR($L4015&lt;&gt;"Chưa xác định",DANH_MUC!$L$9="Có"))),"Có","Không"))</f>
        <v/>
      </c>
      <c r="U4015" s="22">
        <f>IF(OR($D4015="",$T4015="Có"),"",IF($C4015="","Thiếu họ tên; ","")&amp;IF($S4015&lt;&gt;"Có","SĐT sai định dạng; ","")&amp;IF($R4015="Trùng","Trùng SĐT; ","")&amp;IF($Q4015&lt;&gt;"Có","Thiếu đồng ý bắt buộc; ","")&amp;IF($L4015="","Thiếu/sai Mã REF; ",IF(AND($L4015="Chưa xác định",DANH_MUC!$L$9&lt;&gt;"Có"),"Nguồn chưa xác định; ","")))</f>
        <v/>
      </c>
      <c r="V4015" s="22">
        <f>IF(OR($D4015="",$R4015="Trùng"),"",IF(COUNTIF(ORDERS!$C$2:$C$4995,$D4015)&gt;0,"Có","Không"))</f>
        <v/>
      </c>
      <c r="W4015" s="22">
        <f>IF(OR($D4015="",$R4015="Trùng"),"",COUNTIFS(ORDERS!$C$2:$C$4995,$D4015,ORDERS!$L$2:$L$4995,"Đã chuyển khoản"))</f>
        <v/>
      </c>
      <c r="X4015" s="23">
        <f>IF(OR($D4015="",$R4015="Trùng"),"",SUMIFS(ORDERS!$J$2:$J$4995,ORDERS!$C$2:$C$4995,$D4015,ORDERS!$L$2:$L$4995,"Đã chuyển khoản"))</f>
        <v/>
      </c>
      <c r="Y4015" s="24" t="n"/>
    </row>
    <row r="4016" ht="14.25" customHeight="1" s="40">
      <c r="A4016" s="24" t="n"/>
      <c r="B4016" s="27" t="n"/>
      <c r="C4016" s="24" t="n"/>
      <c r="D4016" s="28" t="n"/>
      <c r="E4016" s="29" t="n"/>
      <c r="F4016" s="24" t="n"/>
      <c r="G4016" s="24" t="n"/>
      <c r="H4016" s="21">
        <f>IF(ISNUMBER($B4016),INT($B4016)-WEEKDAY($B4016,2)+1,"")</f>
        <v/>
      </c>
      <c r="I4016" s="24" t="n"/>
      <c r="J4016" s="22">
        <f t="array" ref="J4016">IF($D4016="","",IF($I4016="","(trống REF)",IFERROR(INDEX(MASTER_SOURCE!$B$2:$B$495,MATCH($I4016,MASTER_SOURCE!$A$2:$A$495,0)),"(REF không có trong MASTER_SOURCE)")))</f>
        <v/>
      </c>
      <c r="K4016" s="22">
        <f t="array" ref="K4016">IF($D4016="","",IFERROR(INDEX(MASTER_SOURCE!$C$2:$C$495,MATCH($I4016,MASTER_SOURCE!$A$2:$A$495,0)),""))</f>
        <v/>
      </c>
      <c r="L4016" s="22">
        <f t="array" ref="L4016">IF($D4016="","",IFERROR(INDEX(MASTER_SOURCE!$D$2:$D$495,MATCH($I4016,MASTER_SOURCE!$A$2:$A$495,0)),""))</f>
        <v/>
      </c>
      <c r="M4016" s="24" t="n"/>
      <c r="N4016" s="24" t="n"/>
      <c r="O4016" s="24" t="n"/>
      <c r="P4016" s="24" t="n"/>
      <c r="Q4016" s="22">
        <f>IF($D4016="","",IF(AND(OR(DANH_MUC!$L$5&lt;&gt;"Có",M4016="Có"),OR(DANH_MUC!$L$6&lt;&gt;"Có",N4016="Có"),OR(DANH_MUC!$L$7&lt;&gt;"Có",O4016="Có"),OR(DANH_MUC!$L$8&lt;&gt;"Có",P4016="Có")),"Có","Không"))</f>
        <v/>
      </c>
      <c r="R4016" s="22">
        <f>IF($D4016="","",IF(COUNTIF($D$2:$D4016,$D4016)&gt;1,"Trùng",""))</f>
        <v/>
      </c>
      <c r="S4016" s="22">
        <f>IF($D4016="","",IF(AND(LEN($D4016)=10,LEFT($D4016,1)="0",ISNUMBER(--$D4016)),"Có","Không"))</f>
        <v/>
      </c>
      <c r="T4016" s="22">
        <f>IF($D4016="","",IF(AND($C4016&lt;&gt;"",$Q4016="Có",$R4016="",$S4016="Có",AND($L4016&lt;&gt;"",OR($L4016&lt;&gt;"Chưa xác định",DANH_MUC!$L$9="Có"))),"Có","Không"))</f>
        <v/>
      </c>
      <c r="U4016" s="22">
        <f>IF(OR($D4016="",$T4016="Có"),"",IF($C4016="","Thiếu họ tên; ","")&amp;IF($S4016&lt;&gt;"Có","SĐT sai định dạng; ","")&amp;IF($R4016="Trùng","Trùng SĐT; ","")&amp;IF($Q4016&lt;&gt;"Có","Thiếu đồng ý bắt buộc; ","")&amp;IF($L4016="","Thiếu/sai Mã REF; ",IF(AND($L4016="Chưa xác định",DANH_MUC!$L$9&lt;&gt;"Có"),"Nguồn chưa xác định; ","")))</f>
        <v/>
      </c>
      <c r="V4016" s="22">
        <f>IF(OR($D4016="",$R4016="Trùng"),"",IF(COUNTIF(ORDERS!$C$2:$C$4995,$D4016)&gt;0,"Có","Không"))</f>
        <v/>
      </c>
      <c r="W4016" s="22">
        <f>IF(OR($D4016="",$R4016="Trùng"),"",COUNTIFS(ORDERS!$C$2:$C$4995,$D4016,ORDERS!$L$2:$L$4995,"Đã chuyển khoản"))</f>
        <v/>
      </c>
      <c r="X4016" s="23">
        <f>IF(OR($D4016="",$R4016="Trùng"),"",SUMIFS(ORDERS!$J$2:$J$4995,ORDERS!$C$2:$C$4995,$D4016,ORDERS!$L$2:$L$4995,"Đã chuyển khoản"))</f>
        <v/>
      </c>
      <c r="Y4016" s="24" t="n"/>
    </row>
    <row r="4017" ht="14.25" customHeight="1" s="40">
      <c r="A4017" s="24" t="n"/>
      <c r="B4017" s="27" t="n"/>
      <c r="C4017" s="24" t="n"/>
      <c r="D4017" s="28" t="n"/>
      <c r="E4017" s="29" t="n"/>
      <c r="F4017" s="24" t="n"/>
      <c r="G4017" s="24" t="n"/>
      <c r="H4017" s="21">
        <f>IF(ISNUMBER($B4017),INT($B4017)-WEEKDAY($B4017,2)+1,"")</f>
        <v/>
      </c>
      <c r="I4017" s="24" t="n"/>
      <c r="J4017" s="22">
        <f t="array" ref="J4017">IF($D4017="","",IF($I4017="","(trống REF)",IFERROR(INDEX(MASTER_SOURCE!$B$2:$B$495,MATCH($I4017,MASTER_SOURCE!$A$2:$A$495,0)),"(REF không có trong MASTER_SOURCE)")))</f>
        <v/>
      </c>
      <c r="K4017" s="22">
        <f t="array" ref="K4017">IF($D4017="","",IFERROR(INDEX(MASTER_SOURCE!$C$2:$C$495,MATCH($I4017,MASTER_SOURCE!$A$2:$A$495,0)),""))</f>
        <v/>
      </c>
      <c r="L4017" s="22">
        <f t="array" ref="L4017">IF($D4017="","",IFERROR(INDEX(MASTER_SOURCE!$D$2:$D$495,MATCH($I4017,MASTER_SOURCE!$A$2:$A$495,0)),""))</f>
        <v/>
      </c>
      <c r="M4017" s="24" t="n"/>
      <c r="N4017" s="24" t="n"/>
      <c r="O4017" s="24" t="n"/>
      <c r="P4017" s="24" t="n"/>
      <c r="Q4017" s="22">
        <f>IF($D4017="","",IF(AND(OR(DANH_MUC!$L$5&lt;&gt;"Có",M4017="Có"),OR(DANH_MUC!$L$6&lt;&gt;"Có",N4017="Có"),OR(DANH_MUC!$L$7&lt;&gt;"Có",O4017="Có"),OR(DANH_MUC!$L$8&lt;&gt;"Có",P4017="Có")),"Có","Không"))</f>
        <v/>
      </c>
      <c r="R4017" s="22">
        <f>IF($D4017="","",IF(COUNTIF($D$2:$D4017,$D4017)&gt;1,"Trùng",""))</f>
        <v/>
      </c>
      <c r="S4017" s="22">
        <f>IF($D4017="","",IF(AND(LEN($D4017)=10,LEFT($D4017,1)="0",ISNUMBER(--$D4017)),"Có","Không"))</f>
        <v/>
      </c>
      <c r="T4017" s="22">
        <f>IF($D4017="","",IF(AND($C4017&lt;&gt;"",$Q4017="Có",$R4017="",$S4017="Có",AND($L4017&lt;&gt;"",OR($L4017&lt;&gt;"Chưa xác định",DANH_MUC!$L$9="Có"))),"Có","Không"))</f>
        <v/>
      </c>
      <c r="U4017" s="22">
        <f>IF(OR($D4017="",$T4017="Có"),"",IF($C4017="","Thiếu họ tên; ","")&amp;IF($S4017&lt;&gt;"Có","SĐT sai định dạng; ","")&amp;IF($R4017="Trùng","Trùng SĐT; ","")&amp;IF($Q4017&lt;&gt;"Có","Thiếu đồng ý bắt buộc; ","")&amp;IF($L4017="","Thiếu/sai Mã REF; ",IF(AND($L4017="Chưa xác định",DANH_MUC!$L$9&lt;&gt;"Có"),"Nguồn chưa xác định; ","")))</f>
        <v/>
      </c>
      <c r="V4017" s="22">
        <f>IF(OR($D4017="",$R4017="Trùng"),"",IF(COUNTIF(ORDERS!$C$2:$C$4995,$D4017)&gt;0,"Có","Không"))</f>
        <v/>
      </c>
      <c r="W4017" s="22">
        <f>IF(OR($D4017="",$R4017="Trùng"),"",COUNTIFS(ORDERS!$C$2:$C$4995,$D4017,ORDERS!$L$2:$L$4995,"Đã chuyển khoản"))</f>
        <v/>
      </c>
      <c r="X4017" s="23">
        <f>IF(OR($D4017="",$R4017="Trùng"),"",SUMIFS(ORDERS!$J$2:$J$4995,ORDERS!$C$2:$C$4995,$D4017,ORDERS!$L$2:$L$4995,"Đã chuyển khoản"))</f>
        <v/>
      </c>
      <c r="Y4017" s="24" t="n"/>
    </row>
    <row r="4018" ht="14.25" customHeight="1" s="40">
      <c r="A4018" s="24" t="n"/>
      <c r="B4018" s="27" t="n"/>
      <c r="C4018" s="24" t="n"/>
      <c r="D4018" s="28" t="n"/>
      <c r="E4018" s="29" t="n"/>
      <c r="F4018" s="24" t="n"/>
      <c r="G4018" s="24" t="n"/>
      <c r="H4018" s="21">
        <f>IF(ISNUMBER($B4018),INT($B4018)-WEEKDAY($B4018,2)+1,"")</f>
        <v/>
      </c>
      <c r="I4018" s="24" t="n"/>
      <c r="J4018" s="22">
        <f t="array" ref="J4018">IF($D4018="","",IF($I4018="","(trống REF)",IFERROR(INDEX(MASTER_SOURCE!$B$2:$B$495,MATCH($I4018,MASTER_SOURCE!$A$2:$A$495,0)),"(REF không có trong MASTER_SOURCE)")))</f>
        <v/>
      </c>
      <c r="K4018" s="22">
        <f t="array" ref="K4018">IF($D4018="","",IFERROR(INDEX(MASTER_SOURCE!$C$2:$C$495,MATCH($I4018,MASTER_SOURCE!$A$2:$A$495,0)),""))</f>
        <v/>
      </c>
      <c r="L4018" s="22">
        <f t="array" ref="L4018">IF($D4018="","",IFERROR(INDEX(MASTER_SOURCE!$D$2:$D$495,MATCH($I4018,MASTER_SOURCE!$A$2:$A$495,0)),""))</f>
        <v/>
      </c>
      <c r="M4018" s="24" t="n"/>
      <c r="N4018" s="24" t="n"/>
      <c r="O4018" s="24" t="n"/>
      <c r="P4018" s="24" t="n"/>
      <c r="Q4018" s="22">
        <f>IF($D4018="","",IF(AND(OR(DANH_MUC!$L$5&lt;&gt;"Có",M4018="Có"),OR(DANH_MUC!$L$6&lt;&gt;"Có",N4018="Có"),OR(DANH_MUC!$L$7&lt;&gt;"Có",O4018="Có"),OR(DANH_MUC!$L$8&lt;&gt;"Có",P4018="Có")),"Có","Không"))</f>
        <v/>
      </c>
      <c r="R4018" s="22">
        <f>IF($D4018="","",IF(COUNTIF($D$2:$D4018,$D4018)&gt;1,"Trùng",""))</f>
        <v/>
      </c>
      <c r="S4018" s="22">
        <f>IF($D4018="","",IF(AND(LEN($D4018)=10,LEFT($D4018,1)="0",ISNUMBER(--$D4018)),"Có","Không"))</f>
        <v/>
      </c>
      <c r="T4018" s="22">
        <f>IF($D4018="","",IF(AND($C4018&lt;&gt;"",$Q4018="Có",$R4018="",$S4018="Có",AND($L4018&lt;&gt;"",OR($L4018&lt;&gt;"Chưa xác định",DANH_MUC!$L$9="Có"))),"Có","Không"))</f>
        <v/>
      </c>
      <c r="U4018" s="22">
        <f>IF(OR($D4018="",$T4018="Có"),"",IF($C4018="","Thiếu họ tên; ","")&amp;IF($S4018&lt;&gt;"Có","SĐT sai định dạng; ","")&amp;IF($R4018="Trùng","Trùng SĐT; ","")&amp;IF($Q4018&lt;&gt;"Có","Thiếu đồng ý bắt buộc; ","")&amp;IF($L4018="","Thiếu/sai Mã REF; ",IF(AND($L4018="Chưa xác định",DANH_MUC!$L$9&lt;&gt;"Có"),"Nguồn chưa xác định; ","")))</f>
        <v/>
      </c>
      <c r="V4018" s="22">
        <f>IF(OR($D4018="",$R4018="Trùng"),"",IF(COUNTIF(ORDERS!$C$2:$C$4995,$D4018)&gt;0,"Có","Không"))</f>
        <v/>
      </c>
      <c r="W4018" s="22">
        <f>IF(OR($D4018="",$R4018="Trùng"),"",COUNTIFS(ORDERS!$C$2:$C$4995,$D4018,ORDERS!$L$2:$L$4995,"Đã chuyển khoản"))</f>
        <v/>
      </c>
      <c r="X4018" s="23">
        <f>IF(OR($D4018="",$R4018="Trùng"),"",SUMIFS(ORDERS!$J$2:$J$4995,ORDERS!$C$2:$C$4995,$D4018,ORDERS!$L$2:$L$4995,"Đã chuyển khoản"))</f>
        <v/>
      </c>
      <c r="Y4018" s="24" t="n"/>
    </row>
    <row r="4019" ht="14.25" customHeight="1" s="40">
      <c r="A4019" s="24" t="n"/>
      <c r="B4019" s="27" t="n"/>
      <c r="C4019" s="24" t="n"/>
      <c r="D4019" s="28" t="n"/>
      <c r="E4019" s="29" t="n"/>
      <c r="F4019" s="24" t="n"/>
      <c r="G4019" s="24" t="n"/>
      <c r="H4019" s="21">
        <f>IF(ISNUMBER($B4019),INT($B4019)-WEEKDAY($B4019,2)+1,"")</f>
        <v/>
      </c>
      <c r="I4019" s="24" t="n"/>
      <c r="J4019" s="22">
        <f t="array" ref="J4019">IF($D4019="","",IF($I4019="","(trống REF)",IFERROR(INDEX(MASTER_SOURCE!$B$2:$B$495,MATCH($I4019,MASTER_SOURCE!$A$2:$A$495,0)),"(REF không có trong MASTER_SOURCE)")))</f>
        <v/>
      </c>
      <c r="K4019" s="22">
        <f t="array" ref="K4019">IF($D4019="","",IFERROR(INDEX(MASTER_SOURCE!$C$2:$C$495,MATCH($I4019,MASTER_SOURCE!$A$2:$A$495,0)),""))</f>
        <v/>
      </c>
      <c r="L4019" s="22">
        <f t="array" ref="L4019">IF($D4019="","",IFERROR(INDEX(MASTER_SOURCE!$D$2:$D$495,MATCH($I4019,MASTER_SOURCE!$A$2:$A$495,0)),""))</f>
        <v/>
      </c>
      <c r="M4019" s="24" t="n"/>
      <c r="N4019" s="24" t="n"/>
      <c r="O4019" s="24" t="n"/>
      <c r="P4019" s="24" t="n"/>
      <c r="Q4019" s="22">
        <f>IF($D4019="","",IF(AND(OR(DANH_MUC!$L$5&lt;&gt;"Có",M4019="Có"),OR(DANH_MUC!$L$6&lt;&gt;"Có",N4019="Có"),OR(DANH_MUC!$L$7&lt;&gt;"Có",O4019="Có"),OR(DANH_MUC!$L$8&lt;&gt;"Có",P4019="Có")),"Có","Không"))</f>
        <v/>
      </c>
      <c r="R4019" s="22">
        <f>IF($D4019="","",IF(COUNTIF($D$2:$D4019,$D4019)&gt;1,"Trùng",""))</f>
        <v/>
      </c>
      <c r="S4019" s="22">
        <f>IF($D4019="","",IF(AND(LEN($D4019)=10,LEFT($D4019,1)="0",ISNUMBER(--$D4019)),"Có","Không"))</f>
        <v/>
      </c>
      <c r="T4019" s="22">
        <f>IF($D4019="","",IF(AND($C4019&lt;&gt;"",$Q4019="Có",$R4019="",$S4019="Có",AND($L4019&lt;&gt;"",OR($L4019&lt;&gt;"Chưa xác định",DANH_MUC!$L$9="Có"))),"Có","Không"))</f>
        <v/>
      </c>
      <c r="U4019" s="22">
        <f>IF(OR($D4019="",$T4019="Có"),"",IF($C4019="","Thiếu họ tên; ","")&amp;IF($S4019&lt;&gt;"Có","SĐT sai định dạng; ","")&amp;IF($R4019="Trùng","Trùng SĐT; ","")&amp;IF($Q4019&lt;&gt;"Có","Thiếu đồng ý bắt buộc; ","")&amp;IF($L4019="","Thiếu/sai Mã REF; ",IF(AND($L4019="Chưa xác định",DANH_MUC!$L$9&lt;&gt;"Có"),"Nguồn chưa xác định; ","")))</f>
        <v/>
      </c>
      <c r="V4019" s="22">
        <f>IF(OR($D4019="",$R4019="Trùng"),"",IF(COUNTIF(ORDERS!$C$2:$C$4995,$D4019)&gt;0,"Có","Không"))</f>
        <v/>
      </c>
      <c r="W4019" s="22">
        <f>IF(OR($D4019="",$R4019="Trùng"),"",COUNTIFS(ORDERS!$C$2:$C$4995,$D4019,ORDERS!$L$2:$L$4995,"Đã chuyển khoản"))</f>
        <v/>
      </c>
      <c r="X4019" s="23">
        <f>IF(OR($D4019="",$R4019="Trùng"),"",SUMIFS(ORDERS!$J$2:$J$4995,ORDERS!$C$2:$C$4995,$D4019,ORDERS!$L$2:$L$4995,"Đã chuyển khoản"))</f>
        <v/>
      </c>
      <c r="Y4019" s="24" t="n"/>
    </row>
    <row r="4020" ht="14.25" customHeight="1" s="40">
      <c r="A4020" s="24" t="n"/>
      <c r="B4020" s="27" t="n"/>
      <c r="C4020" s="24" t="n"/>
      <c r="D4020" s="28" t="n"/>
      <c r="E4020" s="29" t="n"/>
      <c r="F4020" s="24" t="n"/>
      <c r="G4020" s="24" t="n"/>
      <c r="H4020" s="21">
        <f>IF(ISNUMBER($B4020),INT($B4020)-WEEKDAY($B4020,2)+1,"")</f>
        <v/>
      </c>
      <c r="I4020" s="24" t="n"/>
      <c r="J4020" s="22">
        <f t="array" ref="J4020">IF($D4020="","",IF($I4020="","(trống REF)",IFERROR(INDEX(MASTER_SOURCE!$B$2:$B$495,MATCH($I4020,MASTER_SOURCE!$A$2:$A$495,0)),"(REF không có trong MASTER_SOURCE)")))</f>
        <v/>
      </c>
      <c r="K4020" s="22">
        <f t="array" ref="K4020">IF($D4020="","",IFERROR(INDEX(MASTER_SOURCE!$C$2:$C$495,MATCH($I4020,MASTER_SOURCE!$A$2:$A$495,0)),""))</f>
        <v/>
      </c>
      <c r="L4020" s="22">
        <f t="array" ref="L4020">IF($D4020="","",IFERROR(INDEX(MASTER_SOURCE!$D$2:$D$495,MATCH($I4020,MASTER_SOURCE!$A$2:$A$495,0)),""))</f>
        <v/>
      </c>
      <c r="M4020" s="24" t="n"/>
      <c r="N4020" s="24" t="n"/>
      <c r="O4020" s="24" t="n"/>
      <c r="P4020" s="24" t="n"/>
      <c r="Q4020" s="22">
        <f>IF($D4020="","",IF(AND(OR(DANH_MUC!$L$5&lt;&gt;"Có",M4020="Có"),OR(DANH_MUC!$L$6&lt;&gt;"Có",N4020="Có"),OR(DANH_MUC!$L$7&lt;&gt;"Có",O4020="Có"),OR(DANH_MUC!$L$8&lt;&gt;"Có",P4020="Có")),"Có","Không"))</f>
        <v/>
      </c>
      <c r="R4020" s="22">
        <f>IF($D4020="","",IF(COUNTIF($D$2:$D4020,$D4020)&gt;1,"Trùng",""))</f>
        <v/>
      </c>
      <c r="S4020" s="22">
        <f>IF($D4020="","",IF(AND(LEN($D4020)=10,LEFT($D4020,1)="0",ISNUMBER(--$D4020)),"Có","Không"))</f>
        <v/>
      </c>
      <c r="T4020" s="22">
        <f>IF($D4020="","",IF(AND($C4020&lt;&gt;"",$Q4020="Có",$R4020="",$S4020="Có",AND($L4020&lt;&gt;"",OR($L4020&lt;&gt;"Chưa xác định",DANH_MUC!$L$9="Có"))),"Có","Không"))</f>
        <v/>
      </c>
      <c r="U4020" s="22">
        <f>IF(OR($D4020="",$T4020="Có"),"",IF($C4020="","Thiếu họ tên; ","")&amp;IF($S4020&lt;&gt;"Có","SĐT sai định dạng; ","")&amp;IF($R4020="Trùng","Trùng SĐT; ","")&amp;IF($Q4020&lt;&gt;"Có","Thiếu đồng ý bắt buộc; ","")&amp;IF($L4020="","Thiếu/sai Mã REF; ",IF(AND($L4020="Chưa xác định",DANH_MUC!$L$9&lt;&gt;"Có"),"Nguồn chưa xác định; ","")))</f>
        <v/>
      </c>
      <c r="V4020" s="22">
        <f>IF(OR($D4020="",$R4020="Trùng"),"",IF(COUNTIF(ORDERS!$C$2:$C$4995,$D4020)&gt;0,"Có","Không"))</f>
        <v/>
      </c>
      <c r="W4020" s="22">
        <f>IF(OR($D4020="",$R4020="Trùng"),"",COUNTIFS(ORDERS!$C$2:$C$4995,$D4020,ORDERS!$L$2:$L$4995,"Đã chuyển khoản"))</f>
        <v/>
      </c>
      <c r="X4020" s="23">
        <f>IF(OR($D4020="",$R4020="Trùng"),"",SUMIFS(ORDERS!$J$2:$J$4995,ORDERS!$C$2:$C$4995,$D4020,ORDERS!$L$2:$L$4995,"Đã chuyển khoản"))</f>
        <v/>
      </c>
      <c r="Y4020" s="24" t="n"/>
    </row>
    <row r="4021" ht="14.25" customHeight="1" s="40">
      <c r="A4021" s="24" t="n"/>
      <c r="B4021" s="27" t="n"/>
      <c r="C4021" s="24" t="n"/>
      <c r="D4021" s="28" t="n"/>
      <c r="E4021" s="29" t="n"/>
      <c r="F4021" s="24" t="n"/>
      <c r="G4021" s="24" t="n"/>
      <c r="H4021" s="21">
        <f>IF(ISNUMBER($B4021),INT($B4021)-WEEKDAY($B4021,2)+1,"")</f>
        <v/>
      </c>
      <c r="I4021" s="24" t="n"/>
      <c r="J4021" s="22">
        <f t="array" ref="J4021">IF($D4021="","",IF($I4021="","(trống REF)",IFERROR(INDEX(MASTER_SOURCE!$B$2:$B$495,MATCH($I4021,MASTER_SOURCE!$A$2:$A$495,0)),"(REF không có trong MASTER_SOURCE)")))</f>
        <v/>
      </c>
      <c r="K4021" s="22">
        <f t="array" ref="K4021">IF($D4021="","",IFERROR(INDEX(MASTER_SOURCE!$C$2:$C$495,MATCH($I4021,MASTER_SOURCE!$A$2:$A$495,0)),""))</f>
        <v/>
      </c>
      <c r="L4021" s="22">
        <f t="array" ref="L4021">IF($D4021="","",IFERROR(INDEX(MASTER_SOURCE!$D$2:$D$495,MATCH($I4021,MASTER_SOURCE!$A$2:$A$495,0)),""))</f>
        <v/>
      </c>
      <c r="M4021" s="24" t="n"/>
      <c r="N4021" s="24" t="n"/>
      <c r="O4021" s="24" t="n"/>
      <c r="P4021" s="24" t="n"/>
      <c r="Q4021" s="22">
        <f>IF($D4021="","",IF(AND(OR(DANH_MUC!$L$5&lt;&gt;"Có",M4021="Có"),OR(DANH_MUC!$L$6&lt;&gt;"Có",N4021="Có"),OR(DANH_MUC!$L$7&lt;&gt;"Có",O4021="Có"),OR(DANH_MUC!$L$8&lt;&gt;"Có",P4021="Có")),"Có","Không"))</f>
        <v/>
      </c>
      <c r="R4021" s="22">
        <f>IF($D4021="","",IF(COUNTIF($D$2:$D4021,$D4021)&gt;1,"Trùng",""))</f>
        <v/>
      </c>
      <c r="S4021" s="22">
        <f>IF($D4021="","",IF(AND(LEN($D4021)=10,LEFT($D4021,1)="0",ISNUMBER(--$D4021)),"Có","Không"))</f>
        <v/>
      </c>
      <c r="T4021" s="22">
        <f>IF($D4021="","",IF(AND($C4021&lt;&gt;"",$Q4021="Có",$R4021="",$S4021="Có",AND($L4021&lt;&gt;"",OR($L4021&lt;&gt;"Chưa xác định",DANH_MUC!$L$9="Có"))),"Có","Không"))</f>
        <v/>
      </c>
      <c r="U4021" s="22">
        <f>IF(OR($D4021="",$T4021="Có"),"",IF($C4021="","Thiếu họ tên; ","")&amp;IF($S4021&lt;&gt;"Có","SĐT sai định dạng; ","")&amp;IF($R4021="Trùng","Trùng SĐT; ","")&amp;IF($Q4021&lt;&gt;"Có","Thiếu đồng ý bắt buộc; ","")&amp;IF($L4021="","Thiếu/sai Mã REF; ",IF(AND($L4021="Chưa xác định",DANH_MUC!$L$9&lt;&gt;"Có"),"Nguồn chưa xác định; ","")))</f>
        <v/>
      </c>
      <c r="V4021" s="22">
        <f>IF(OR($D4021="",$R4021="Trùng"),"",IF(COUNTIF(ORDERS!$C$2:$C$4995,$D4021)&gt;0,"Có","Không"))</f>
        <v/>
      </c>
      <c r="W4021" s="22">
        <f>IF(OR($D4021="",$R4021="Trùng"),"",COUNTIFS(ORDERS!$C$2:$C$4995,$D4021,ORDERS!$L$2:$L$4995,"Đã chuyển khoản"))</f>
        <v/>
      </c>
      <c r="X4021" s="23">
        <f>IF(OR($D4021="",$R4021="Trùng"),"",SUMIFS(ORDERS!$J$2:$J$4995,ORDERS!$C$2:$C$4995,$D4021,ORDERS!$L$2:$L$4995,"Đã chuyển khoản"))</f>
        <v/>
      </c>
      <c r="Y4021" s="24" t="n"/>
    </row>
    <row r="4022" ht="14.25" customHeight="1" s="40">
      <c r="A4022" s="24" t="n"/>
      <c r="B4022" s="27" t="n"/>
      <c r="C4022" s="24" t="n"/>
      <c r="D4022" s="28" t="n"/>
      <c r="E4022" s="29" t="n"/>
      <c r="F4022" s="24" t="n"/>
      <c r="G4022" s="24" t="n"/>
      <c r="H4022" s="21">
        <f>IF(ISNUMBER($B4022),INT($B4022)-WEEKDAY($B4022,2)+1,"")</f>
        <v/>
      </c>
      <c r="I4022" s="24" t="n"/>
      <c r="J4022" s="22">
        <f t="array" ref="J4022">IF($D4022="","",IF($I4022="","(trống REF)",IFERROR(INDEX(MASTER_SOURCE!$B$2:$B$495,MATCH($I4022,MASTER_SOURCE!$A$2:$A$495,0)),"(REF không có trong MASTER_SOURCE)")))</f>
        <v/>
      </c>
      <c r="K4022" s="22">
        <f t="array" ref="K4022">IF($D4022="","",IFERROR(INDEX(MASTER_SOURCE!$C$2:$C$495,MATCH($I4022,MASTER_SOURCE!$A$2:$A$495,0)),""))</f>
        <v/>
      </c>
      <c r="L4022" s="22">
        <f t="array" ref="L4022">IF($D4022="","",IFERROR(INDEX(MASTER_SOURCE!$D$2:$D$495,MATCH($I4022,MASTER_SOURCE!$A$2:$A$495,0)),""))</f>
        <v/>
      </c>
      <c r="M4022" s="24" t="n"/>
      <c r="N4022" s="24" t="n"/>
      <c r="O4022" s="24" t="n"/>
      <c r="P4022" s="24" t="n"/>
      <c r="Q4022" s="22">
        <f>IF($D4022="","",IF(AND(OR(DANH_MUC!$L$5&lt;&gt;"Có",M4022="Có"),OR(DANH_MUC!$L$6&lt;&gt;"Có",N4022="Có"),OR(DANH_MUC!$L$7&lt;&gt;"Có",O4022="Có"),OR(DANH_MUC!$L$8&lt;&gt;"Có",P4022="Có")),"Có","Không"))</f>
        <v/>
      </c>
      <c r="R4022" s="22">
        <f>IF($D4022="","",IF(COUNTIF($D$2:$D4022,$D4022)&gt;1,"Trùng",""))</f>
        <v/>
      </c>
      <c r="S4022" s="22">
        <f>IF($D4022="","",IF(AND(LEN($D4022)=10,LEFT($D4022,1)="0",ISNUMBER(--$D4022)),"Có","Không"))</f>
        <v/>
      </c>
      <c r="T4022" s="22">
        <f>IF($D4022="","",IF(AND($C4022&lt;&gt;"",$Q4022="Có",$R4022="",$S4022="Có",AND($L4022&lt;&gt;"",OR($L4022&lt;&gt;"Chưa xác định",DANH_MUC!$L$9="Có"))),"Có","Không"))</f>
        <v/>
      </c>
      <c r="U4022" s="22">
        <f>IF(OR($D4022="",$T4022="Có"),"",IF($C4022="","Thiếu họ tên; ","")&amp;IF($S4022&lt;&gt;"Có","SĐT sai định dạng; ","")&amp;IF($R4022="Trùng","Trùng SĐT; ","")&amp;IF($Q4022&lt;&gt;"Có","Thiếu đồng ý bắt buộc; ","")&amp;IF($L4022="","Thiếu/sai Mã REF; ",IF(AND($L4022="Chưa xác định",DANH_MUC!$L$9&lt;&gt;"Có"),"Nguồn chưa xác định; ","")))</f>
        <v/>
      </c>
      <c r="V4022" s="22">
        <f>IF(OR($D4022="",$R4022="Trùng"),"",IF(COUNTIF(ORDERS!$C$2:$C$4995,$D4022)&gt;0,"Có","Không"))</f>
        <v/>
      </c>
      <c r="W4022" s="22">
        <f>IF(OR($D4022="",$R4022="Trùng"),"",COUNTIFS(ORDERS!$C$2:$C$4995,$D4022,ORDERS!$L$2:$L$4995,"Đã chuyển khoản"))</f>
        <v/>
      </c>
      <c r="X4022" s="23">
        <f>IF(OR($D4022="",$R4022="Trùng"),"",SUMIFS(ORDERS!$J$2:$J$4995,ORDERS!$C$2:$C$4995,$D4022,ORDERS!$L$2:$L$4995,"Đã chuyển khoản"))</f>
        <v/>
      </c>
      <c r="Y4022" s="24" t="n"/>
    </row>
    <row r="4023" ht="14.25" customHeight="1" s="40">
      <c r="A4023" s="24" t="n"/>
      <c r="B4023" s="27" t="n"/>
      <c r="C4023" s="24" t="n"/>
      <c r="D4023" s="28" t="n"/>
      <c r="E4023" s="29" t="n"/>
      <c r="F4023" s="24" t="n"/>
      <c r="G4023" s="24" t="n"/>
      <c r="H4023" s="21">
        <f>IF(ISNUMBER($B4023),INT($B4023)-WEEKDAY($B4023,2)+1,"")</f>
        <v/>
      </c>
      <c r="I4023" s="24" t="n"/>
      <c r="J4023" s="22">
        <f t="array" ref="J4023">IF($D4023="","",IF($I4023="","(trống REF)",IFERROR(INDEX(MASTER_SOURCE!$B$2:$B$495,MATCH($I4023,MASTER_SOURCE!$A$2:$A$495,0)),"(REF không có trong MASTER_SOURCE)")))</f>
        <v/>
      </c>
      <c r="K4023" s="22">
        <f t="array" ref="K4023">IF($D4023="","",IFERROR(INDEX(MASTER_SOURCE!$C$2:$C$495,MATCH($I4023,MASTER_SOURCE!$A$2:$A$495,0)),""))</f>
        <v/>
      </c>
      <c r="L4023" s="22">
        <f t="array" ref="L4023">IF($D4023="","",IFERROR(INDEX(MASTER_SOURCE!$D$2:$D$495,MATCH($I4023,MASTER_SOURCE!$A$2:$A$495,0)),""))</f>
        <v/>
      </c>
      <c r="M4023" s="24" t="n"/>
      <c r="N4023" s="24" t="n"/>
      <c r="O4023" s="24" t="n"/>
      <c r="P4023" s="24" t="n"/>
      <c r="Q4023" s="22">
        <f>IF($D4023="","",IF(AND(OR(DANH_MUC!$L$5&lt;&gt;"Có",M4023="Có"),OR(DANH_MUC!$L$6&lt;&gt;"Có",N4023="Có"),OR(DANH_MUC!$L$7&lt;&gt;"Có",O4023="Có"),OR(DANH_MUC!$L$8&lt;&gt;"Có",P4023="Có")),"Có","Không"))</f>
        <v/>
      </c>
      <c r="R4023" s="22">
        <f>IF($D4023="","",IF(COUNTIF($D$2:$D4023,$D4023)&gt;1,"Trùng",""))</f>
        <v/>
      </c>
      <c r="S4023" s="22">
        <f>IF($D4023="","",IF(AND(LEN($D4023)=10,LEFT($D4023,1)="0",ISNUMBER(--$D4023)),"Có","Không"))</f>
        <v/>
      </c>
      <c r="T4023" s="22">
        <f>IF($D4023="","",IF(AND($C4023&lt;&gt;"",$Q4023="Có",$R4023="",$S4023="Có",AND($L4023&lt;&gt;"",OR($L4023&lt;&gt;"Chưa xác định",DANH_MUC!$L$9="Có"))),"Có","Không"))</f>
        <v/>
      </c>
      <c r="U4023" s="22">
        <f>IF(OR($D4023="",$T4023="Có"),"",IF($C4023="","Thiếu họ tên; ","")&amp;IF($S4023&lt;&gt;"Có","SĐT sai định dạng; ","")&amp;IF($R4023="Trùng","Trùng SĐT; ","")&amp;IF($Q4023&lt;&gt;"Có","Thiếu đồng ý bắt buộc; ","")&amp;IF($L4023="","Thiếu/sai Mã REF; ",IF(AND($L4023="Chưa xác định",DANH_MUC!$L$9&lt;&gt;"Có"),"Nguồn chưa xác định; ","")))</f>
        <v/>
      </c>
      <c r="V4023" s="22">
        <f>IF(OR($D4023="",$R4023="Trùng"),"",IF(COUNTIF(ORDERS!$C$2:$C$4995,$D4023)&gt;0,"Có","Không"))</f>
        <v/>
      </c>
      <c r="W4023" s="22">
        <f>IF(OR($D4023="",$R4023="Trùng"),"",COUNTIFS(ORDERS!$C$2:$C$4995,$D4023,ORDERS!$L$2:$L$4995,"Đã chuyển khoản"))</f>
        <v/>
      </c>
      <c r="X4023" s="23">
        <f>IF(OR($D4023="",$R4023="Trùng"),"",SUMIFS(ORDERS!$J$2:$J$4995,ORDERS!$C$2:$C$4995,$D4023,ORDERS!$L$2:$L$4995,"Đã chuyển khoản"))</f>
        <v/>
      </c>
      <c r="Y4023" s="24" t="n"/>
    </row>
    <row r="4024" ht="14.25" customHeight="1" s="40">
      <c r="A4024" s="24" t="n"/>
      <c r="B4024" s="27" t="n"/>
      <c r="C4024" s="24" t="n"/>
      <c r="D4024" s="28" t="n"/>
      <c r="E4024" s="29" t="n"/>
      <c r="F4024" s="24" t="n"/>
      <c r="G4024" s="24" t="n"/>
      <c r="H4024" s="21">
        <f>IF(ISNUMBER($B4024),INT($B4024)-WEEKDAY($B4024,2)+1,"")</f>
        <v/>
      </c>
      <c r="I4024" s="24" t="n"/>
      <c r="J4024" s="22">
        <f t="array" ref="J4024">IF($D4024="","",IF($I4024="","(trống REF)",IFERROR(INDEX(MASTER_SOURCE!$B$2:$B$495,MATCH($I4024,MASTER_SOURCE!$A$2:$A$495,0)),"(REF không có trong MASTER_SOURCE)")))</f>
        <v/>
      </c>
      <c r="K4024" s="22">
        <f t="array" ref="K4024">IF($D4024="","",IFERROR(INDEX(MASTER_SOURCE!$C$2:$C$495,MATCH($I4024,MASTER_SOURCE!$A$2:$A$495,0)),""))</f>
        <v/>
      </c>
      <c r="L4024" s="22">
        <f t="array" ref="L4024">IF($D4024="","",IFERROR(INDEX(MASTER_SOURCE!$D$2:$D$495,MATCH($I4024,MASTER_SOURCE!$A$2:$A$495,0)),""))</f>
        <v/>
      </c>
      <c r="M4024" s="24" t="n"/>
      <c r="N4024" s="24" t="n"/>
      <c r="O4024" s="24" t="n"/>
      <c r="P4024" s="24" t="n"/>
      <c r="Q4024" s="22">
        <f>IF($D4024="","",IF(AND(OR(DANH_MUC!$L$5&lt;&gt;"Có",M4024="Có"),OR(DANH_MUC!$L$6&lt;&gt;"Có",N4024="Có"),OR(DANH_MUC!$L$7&lt;&gt;"Có",O4024="Có"),OR(DANH_MUC!$L$8&lt;&gt;"Có",P4024="Có")),"Có","Không"))</f>
        <v/>
      </c>
      <c r="R4024" s="22">
        <f>IF($D4024="","",IF(COUNTIF($D$2:$D4024,$D4024)&gt;1,"Trùng",""))</f>
        <v/>
      </c>
      <c r="S4024" s="22">
        <f>IF($D4024="","",IF(AND(LEN($D4024)=10,LEFT($D4024,1)="0",ISNUMBER(--$D4024)),"Có","Không"))</f>
        <v/>
      </c>
      <c r="T4024" s="22">
        <f>IF($D4024="","",IF(AND($C4024&lt;&gt;"",$Q4024="Có",$R4024="",$S4024="Có",AND($L4024&lt;&gt;"",OR($L4024&lt;&gt;"Chưa xác định",DANH_MUC!$L$9="Có"))),"Có","Không"))</f>
        <v/>
      </c>
      <c r="U4024" s="22">
        <f>IF(OR($D4024="",$T4024="Có"),"",IF($C4024="","Thiếu họ tên; ","")&amp;IF($S4024&lt;&gt;"Có","SĐT sai định dạng; ","")&amp;IF($R4024="Trùng","Trùng SĐT; ","")&amp;IF($Q4024&lt;&gt;"Có","Thiếu đồng ý bắt buộc; ","")&amp;IF($L4024="","Thiếu/sai Mã REF; ",IF(AND($L4024="Chưa xác định",DANH_MUC!$L$9&lt;&gt;"Có"),"Nguồn chưa xác định; ","")))</f>
        <v/>
      </c>
      <c r="V4024" s="22">
        <f>IF(OR($D4024="",$R4024="Trùng"),"",IF(COUNTIF(ORDERS!$C$2:$C$4995,$D4024)&gt;0,"Có","Không"))</f>
        <v/>
      </c>
      <c r="W4024" s="22">
        <f>IF(OR($D4024="",$R4024="Trùng"),"",COUNTIFS(ORDERS!$C$2:$C$4995,$D4024,ORDERS!$L$2:$L$4995,"Đã chuyển khoản"))</f>
        <v/>
      </c>
      <c r="X4024" s="23">
        <f>IF(OR($D4024="",$R4024="Trùng"),"",SUMIFS(ORDERS!$J$2:$J$4995,ORDERS!$C$2:$C$4995,$D4024,ORDERS!$L$2:$L$4995,"Đã chuyển khoản"))</f>
        <v/>
      </c>
      <c r="Y4024" s="24" t="n"/>
    </row>
    <row r="4025" ht="14.25" customHeight="1" s="40">
      <c r="A4025" s="24" t="n"/>
      <c r="B4025" s="27" t="n"/>
      <c r="C4025" s="24" t="n"/>
      <c r="D4025" s="28" t="n"/>
      <c r="E4025" s="29" t="n"/>
      <c r="F4025" s="24" t="n"/>
      <c r="G4025" s="24" t="n"/>
      <c r="H4025" s="21">
        <f>IF(ISNUMBER($B4025),INT($B4025)-WEEKDAY($B4025,2)+1,"")</f>
        <v/>
      </c>
      <c r="I4025" s="24" t="n"/>
      <c r="J4025" s="22">
        <f t="array" ref="J4025">IF($D4025="","",IF($I4025="","(trống REF)",IFERROR(INDEX(MASTER_SOURCE!$B$2:$B$495,MATCH($I4025,MASTER_SOURCE!$A$2:$A$495,0)),"(REF không có trong MASTER_SOURCE)")))</f>
        <v/>
      </c>
      <c r="K4025" s="22">
        <f t="array" ref="K4025">IF($D4025="","",IFERROR(INDEX(MASTER_SOURCE!$C$2:$C$495,MATCH($I4025,MASTER_SOURCE!$A$2:$A$495,0)),""))</f>
        <v/>
      </c>
      <c r="L4025" s="22">
        <f t="array" ref="L4025">IF($D4025="","",IFERROR(INDEX(MASTER_SOURCE!$D$2:$D$495,MATCH($I4025,MASTER_SOURCE!$A$2:$A$495,0)),""))</f>
        <v/>
      </c>
      <c r="M4025" s="24" t="n"/>
      <c r="N4025" s="24" t="n"/>
      <c r="O4025" s="24" t="n"/>
      <c r="P4025" s="24" t="n"/>
      <c r="Q4025" s="22">
        <f>IF($D4025="","",IF(AND(OR(DANH_MUC!$L$5&lt;&gt;"Có",M4025="Có"),OR(DANH_MUC!$L$6&lt;&gt;"Có",N4025="Có"),OR(DANH_MUC!$L$7&lt;&gt;"Có",O4025="Có"),OR(DANH_MUC!$L$8&lt;&gt;"Có",P4025="Có")),"Có","Không"))</f>
        <v/>
      </c>
      <c r="R4025" s="22">
        <f>IF($D4025="","",IF(COUNTIF($D$2:$D4025,$D4025)&gt;1,"Trùng",""))</f>
        <v/>
      </c>
      <c r="S4025" s="22">
        <f>IF($D4025="","",IF(AND(LEN($D4025)=10,LEFT($D4025,1)="0",ISNUMBER(--$D4025)),"Có","Không"))</f>
        <v/>
      </c>
      <c r="T4025" s="22">
        <f>IF($D4025="","",IF(AND($C4025&lt;&gt;"",$Q4025="Có",$R4025="",$S4025="Có",AND($L4025&lt;&gt;"",OR($L4025&lt;&gt;"Chưa xác định",DANH_MUC!$L$9="Có"))),"Có","Không"))</f>
        <v/>
      </c>
      <c r="U4025" s="22">
        <f>IF(OR($D4025="",$T4025="Có"),"",IF($C4025="","Thiếu họ tên; ","")&amp;IF($S4025&lt;&gt;"Có","SĐT sai định dạng; ","")&amp;IF($R4025="Trùng","Trùng SĐT; ","")&amp;IF($Q4025&lt;&gt;"Có","Thiếu đồng ý bắt buộc; ","")&amp;IF($L4025="","Thiếu/sai Mã REF; ",IF(AND($L4025="Chưa xác định",DANH_MUC!$L$9&lt;&gt;"Có"),"Nguồn chưa xác định; ","")))</f>
        <v/>
      </c>
      <c r="V4025" s="22">
        <f>IF(OR($D4025="",$R4025="Trùng"),"",IF(COUNTIF(ORDERS!$C$2:$C$4995,$D4025)&gt;0,"Có","Không"))</f>
        <v/>
      </c>
      <c r="W4025" s="22">
        <f>IF(OR($D4025="",$R4025="Trùng"),"",COUNTIFS(ORDERS!$C$2:$C$4995,$D4025,ORDERS!$L$2:$L$4995,"Đã chuyển khoản"))</f>
        <v/>
      </c>
      <c r="X4025" s="23">
        <f>IF(OR($D4025="",$R4025="Trùng"),"",SUMIFS(ORDERS!$J$2:$J$4995,ORDERS!$C$2:$C$4995,$D4025,ORDERS!$L$2:$L$4995,"Đã chuyển khoản"))</f>
        <v/>
      </c>
      <c r="Y4025" s="24" t="n"/>
    </row>
    <row r="4026" ht="14.25" customHeight="1" s="40">
      <c r="A4026" s="24" t="n"/>
      <c r="B4026" s="27" t="n"/>
      <c r="C4026" s="24" t="n"/>
      <c r="D4026" s="28" t="n"/>
      <c r="E4026" s="29" t="n"/>
      <c r="F4026" s="24" t="n"/>
      <c r="G4026" s="24" t="n"/>
      <c r="H4026" s="21">
        <f>IF(ISNUMBER($B4026),INT($B4026)-WEEKDAY($B4026,2)+1,"")</f>
        <v/>
      </c>
      <c r="I4026" s="24" t="n"/>
      <c r="J4026" s="22">
        <f t="array" ref="J4026">IF($D4026="","",IF($I4026="","(trống REF)",IFERROR(INDEX(MASTER_SOURCE!$B$2:$B$495,MATCH($I4026,MASTER_SOURCE!$A$2:$A$495,0)),"(REF không có trong MASTER_SOURCE)")))</f>
        <v/>
      </c>
      <c r="K4026" s="22">
        <f t="array" ref="K4026">IF($D4026="","",IFERROR(INDEX(MASTER_SOURCE!$C$2:$C$495,MATCH($I4026,MASTER_SOURCE!$A$2:$A$495,0)),""))</f>
        <v/>
      </c>
      <c r="L4026" s="22">
        <f t="array" ref="L4026">IF($D4026="","",IFERROR(INDEX(MASTER_SOURCE!$D$2:$D$495,MATCH($I4026,MASTER_SOURCE!$A$2:$A$495,0)),""))</f>
        <v/>
      </c>
      <c r="M4026" s="24" t="n"/>
      <c r="N4026" s="24" t="n"/>
      <c r="O4026" s="24" t="n"/>
      <c r="P4026" s="24" t="n"/>
      <c r="Q4026" s="22">
        <f>IF($D4026="","",IF(AND(OR(DANH_MUC!$L$5&lt;&gt;"Có",M4026="Có"),OR(DANH_MUC!$L$6&lt;&gt;"Có",N4026="Có"),OR(DANH_MUC!$L$7&lt;&gt;"Có",O4026="Có"),OR(DANH_MUC!$L$8&lt;&gt;"Có",P4026="Có")),"Có","Không"))</f>
        <v/>
      </c>
      <c r="R4026" s="22">
        <f>IF($D4026="","",IF(COUNTIF($D$2:$D4026,$D4026)&gt;1,"Trùng",""))</f>
        <v/>
      </c>
      <c r="S4026" s="22">
        <f>IF($D4026="","",IF(AND(LEN($D4026)=10,LEFT($D4026,1)="0",ISNUMBER(--$D4026)),"Có","Không"))</f>
        <v/>
      </c>
      <c r="T4026" s="22">
        <f>IF($D4026="","",IF(AND($C4026&lt;&gt;"",$Q4026="Có",$R4026="",$S4026="Có",AND($L4026&lt;&gt;"",OR($L4026&lt;&gt;"Chưa xác định",DANH_MUC!$L$9="Có"))),"Có","Không"))</f>
        <v/>
      </c>
      <c r="U4026" s="22">
        <f>IF(OR($D4026="",$T4026="Có"),"",IF($C4026="","Thiếu họ tên; ","")&amp;IF($S4026&lt;&gt;"Có","SĐT sai định dạng; ","")&amp;IF($R4026="Trùng","Trùng SĐT; ","")&amp;IF($Q4026&lt;&gt;"Có","Thiếu đồng ý bắt buộc; ","")&amp;IF($L4026="","Thiếu/sai Mã REF; ",IF(AND($L4026="Chưa xác định",DANH_MUC!$L$9&lt;&gt;"Có"),"Nguồn chưa xác định; ","")))</f>
        <v/>
      </c>
      <c r="V4026" s="22">
        <f>IF(OR($D4026="",$R4026="Trùng"),"",IF(COUNTIF(ORDERS!$C$2:$C$4995,$D4026)&gt;0,"Có","Không"))</f>
        <v/>
      </c>
      <c r="W4026" s="22">
        <f>IF(OR($D4026="",$R4026="Trùng"),"",COUNTIFS(ORDERS!$C$2:$C$4995,$D4026,ORDERS!$L$2:$L$4995,"Đã chuyển khoản"))</f>
        <v/>
      </c>
      <c r="X4026" s="23">
        <f>IF(OR($D4026="",$R4026="Trùng"),"",SUMIFS(ORDERS!$J$2:$J$4995,ORDERS!$C$2:$C$4995,$D4026,ORDERS!$L$2:$L$4995,"Đã chuyển khoản"))</f>
        <v/>
      </c>
      <c r="Y4026" s="24" t="n"/>
    </row>
    <row r="4027" ht="14.25" customHeight="1" s="40">
      <c r="A4027" s="24" t="n"/>
      <c r="B4027" s="27" t="n"/>
      <c r="C4027" s="24" t="n"/>
      <c r="D4027" s="28" t="n"/>
      <c r="E4027" s="29" t="n"/>
      <c r="F4027" s="24" t="n"/>
      <c r="G4027" s="24" t="n"/>
      <c r="H4027" s="21">
        <f>IF(ISNUMBER($B4027),INT($B4027)-WEEKDAY($B4027,2)+1,"")</f>
        <v/>
      </c>
      <c r="I4027" s="24" t="n"/>
      <c r="J4027" s="22">
        <f t="array" ref="J4027">IF($D4027="","",IF($I4027="","(trống REF)",IFERROR(INDEX(MASTER_SOURCE!$B$2:$B$495,MATCH($I4027,MASTER_SOURCE!$A$2:$A$495,0)),"(REF không có trong MASTER_SOURCE)")))</f>
        <v/>
      </c>
      <c r="K4027" s="22">
        <f t="array" ref="K4027">IF($D4027="","",IFERROR(INDEX(MASTER_SOURCE!$C$2:$C$495,MATCH($I4027,MASTER_SOURCE!$A$2:$A$495,0)),""))</f>
        <v/>
      </c>
      <c r="L4027" s="22">
        <f t="array" ref="L4027">IF($D4027="","",IFERROR(INDEX(MASTER_SOURCE!$D$2:$D$495,MATCH($I4027,MASTER_SOURCE!$A$2:$A$495,0)),""))</f>
        <v/>
      </c>
      <c r="M4027" s="24" t="n"/>
      <c r="N4027" s="24" t="n"/>
      <c r="O4027" s="24" t="n"/>
      <c r="P4027" s="24" t="n"/>
      <c r="Q4027" s="22">
        <f>IF($D4027="","",IF(AND(OR(DANH_MUC!$L$5&lt;&gt;"Có",M4027="Có"),OR(DANH_MUC!$L$6&lt;&gt;"Có",N4027="Có"),OR(DANH_MUC!$L$7&lt;&gt;"Có",O4027="Có"),OR(DANH_MUC!$L$8&lt;&gt;"Có",P4027="Có")),"Có","Không"))</f>
        <v/>
      </c>
      <c r="R4027" s="22">
        <f>IF($D4027="","",IF(COUNTIF($D$2:$D4027,$D4027)&gt;1,"Trùng",""))</f>
        <v/>
      </c>
      <c r="S4027" s="22">
        <f>IF($D4027="","",IF(AND(LEN($D4027)=10,LEFT($D4027,1)="0",ISNUMBER(--$D4027)),"Có","Không"))</f>
        <v/>
      </c>
      <c r="T4027" s="22">
        <f>IF($D4027="","",IF(AND($C4027&lt;&gt;"",$Q4027="Có",$R4027="",$S4027="Có",AND($L4027&lt;&gt;"",OR($L4027&lt;&gt;"Chưa xác định",DANH_MUC!$L$9="Có"))),"Có","Không"))</f>
        <v/>
      </c>
      <c r="U4027" s="22">
        <f>IF(OR($D4027="",$T4027="Có"),"",IF($C4027="","Thiếu họ tên; ","")&amp;IF($S4027&lt;&gt;"Có","SĐT sai định dạng; ","")&amp;IF($R4027="Trùng","Trùng SĐT; ","")&amp;IF($Q4027&lt;&gt;"Có","Thiếu đồng ý bắt buộc; ","")&amp;IF($L4027="","Thiếu/sai Mã REF; ",IF(AND($L4027="Chưa xác định",DANH_MUC!$L$9&lt;&gt;"Có"),"Nguồn chưa xác định; ","")))</f>
        <v/>
      </c>
      <c r="V4027" s="22">
        <f>IF(OR($D4027="",$R4027="Trùng"),"",IF(COUNTIF(ORDERS!$C$2:$C$4995,$D4027)&gt;0,"Có","Không"))</f>
        <v/>
      </c>
      <c r="W4027" s="22">
        <f>IF(OR($D4027="",$R4027="Trùng"),"",COUNTIFS(ORDERS!$C$2:$C$4995,$D4027,ORDERS!$L$2:$L$4995,"Đã chuyển khoản"))</f>
        <v/>
      </c>
      <c r="X4027" s="23">
        <f>IF(OR($D4027="",$R4027="Trùng"),"",SUMIFS(ORDERS!$J$2:$J$4995,ORDERS!$C$2:$C$4995,$D4027,ORDERS!$L$2:$L$4995,"Đã chuyển khoản"))</f>
        <v/>
      </c>
      <c r="Y4027" s="24" t="n"/>
    </row>
    <row r="4028" ht="14.25" customHeight="1" s="40">
      <c r="A4028" s="24" t="n"/>
      <c r="B4028" s="27" t="n"/>
      <c r="C4028" s="24" t="n"/>
      <c r="D4028" s="28" t="n"/>
      <c r="E4028" s="29" t="n"/>
      <c r="F4028" s="24" t="n"/>
      <c r="G4028" s="24" t="n"/>
      <c r="H4028" s="21">
        <f>IF(ISNUMBER($B4028),INT($B4028)-WEEKDAY($B4028,2)+1,"")</f>
        <v/>
      </c>
      <c r="I4028" s="24" t="n"/>
      <c r="J4028" s="22">
        <f t="array" ref="J4028">IF($D4028="","",IF($I4028="","(trống REF)",IFERROR(INDEX(MASTER_SOURCE!$B$2:$B$495,MATCH($I4028,MASTER_SOURCE!$A$2:$A$495,0)),"(REF không có trong MASTER_SOURCE)")))</f>
        <v/>
      </c>
      <c r="K4028" s="22">
        <f t="array" ref="K4028">IF($D4028="","",IFERROR(INDEX(MASTER_SOURCE!$C$2:$C$495,MATCH($I4028,MASTER_SOURCE!$A$2:$A$495,0)),""))</f>
        <v/>
      </c>
      <c r="L4028" s="22">
        <f t="array" ref="L4028">IF($D4028="","",IFERROR(INDEX(MASTER_SOURCE!$D$2:$D$495,MATCH($I4028,MASTER_SOURCE!$A$2:$A$495,0)),""))</f>
        <v/>
      </c>
      <c r="M4028" s="24" t="n"/>
      <c r="N4028" s="24" t="n"/>
      <c r="O4028" s="24" t="n"/>
      <c r="P4028" s="24" t="n"/>
      <c r="Q4028" s="22">
        <f>IF($D4028="","",IF(AND(OR(DANH_MUC!$L$5&lt;&gt;"Có",M4028="Có"),OR(DANH_MUC!$L$6&lt;&gt;"Có",N4028="Có"),OR(DANH_MUC!$L$7&lt;&gt;"Có",O4028="Có"),OR(DANH_MUC!$L$8&lt;&gt;"Có",P4028="Có")),"Có","Không"))</f>
        <v/>
      </c>
      <c r="R4028" s="22">
        <f>IF($D4028="","",IF(COUNTIF($D$2:$D4028,$D4028)&gt;1,"Trùng",""))</f>
        <v/>
      </c>
      <c r="S4028" s="22">
        <f>IF($D4028="","",IF(AND(LEN($D4028)=10,LEFT($D4028,1)="0",ISNUMBER(--$D4028)),"Có","Không"))</f>
        <v/>
      </c>
      <c r="T4028" s="22">
        <f>IF($D4028="","",IF(AND($C4028&lt;&gt;"",$Q4028="Có",$R4028="",$S4028="Có",AND($L4028&lt;&gt;"",OR($L4028&lt;&gt;"Chưa xác định",DANH_MUC!$L$9="Có"))),"Có","Không"))</f>
        <v/>
      </c>
      <c r="U4028" s="22">
        <f>IF(OR($D4028="",$T4028="Có"),"",IF($C4028="","Thiếu họ tên; ","")&amp;IF($S4028&lt;&gt;"Có","SĐT sai định dạng; ","")&amp;IF($R4028="Trùng","Trùng SĐT; ","")&amp;IF($Q4028&lt;&gt;"Có","Thiếu đồng ý bắt buộc; ","")&amp;IF($L4028="","Thiếu/sai Mã REF; ",IF(AND($L4028="Chưa xác định",DANH_MUC!$L$9&lt;&gt;"Có"),"Nguồn chưa xác định; ","")))</f>
        <v/>
      </c>
      <c r="V4028" s="22">
        <f>IF(OR($D4028="",$R4028="Trùng"),"",IF(COUNTIF(ORDERS!$C$2:$C$4995,$D4028)&gt;0,"Có","Không"))</f>
        <v/>
      </c>
      <c r="W4028" s="22">
        <f>IF(OR($D4028="",$R4028="Trùng"),"",COUNTIFS(ORDERS!$C$2:$C$4995,$D4028,ORDERS!$L$2:$L$4995,"Đã chuyển khoản"))</f>
        <v/>
      </c>
      <c r="X4028" s="23">
        <f>IF(OR($D4028="",$R4028="Trùng"),"",SUMIFS(ORDERS!$J$2:$J$4995,ORDERS!$C$2:$C$4995,$D4028,ORDERS!$L$2:$L$4995,"Đã chuyển khoản"))</f>
        <v/>
      </c>
      <c r="Y4028" s="24" t="n"/>
    </row>
    <row r="4029" ht="14.25" customHeight="1" s="40">
      <c r="A4029" s="24" t="n"/>
      <c r="B4029" s="27" t="n"/>
      <c r="C4029" s="24" t="n"/>
      <c r="D4029" s="28" t="n"/>
      <c r="E4029" s="29" t="n"/>
      <c r="F4029" s="24" t="n"/>
      <c r="G4029" s="24" t="n"/>
      <c r="H4029" s="21">
        <f>IF(ISNUMBER($B4029),INT($B4029)-WEEKDAY($B4029,2)+1,"")</f>
        <v/>
      </c>
      <c r="I4029" s="24" t="n"/>
      <c r="J4029" s="22">
        <f t="array" ref="J4029">IF($D4029="","",IF($I4029="","(trống REF)",IFERROR(INDEX(MASTER_SOURCE!$B$2:$B$495,MATCH($I4029,MASTER_SOURCE!$A$2:$A$495,0)),"(REF không có trong MASTER_SOURCE)")))</f>
        <v/>
      </c>
      <c r="K4029" s="22">
        <f t="array" ref="K4029">IF($D4029="","",IFERROR(INDEX(MASTER_SOURCE!$C$2:$C$495,MATCH($I4029,MASTER_SOURCE!$A$2:$A$495,0)),""))</f>
        <v/>
      </c>
      <c r="L4029" s="22">
        <f t="array" ref="L4029">IF($D4029="","",IFERROR(INDEX(MASTER_SOURCE!$D$2:$D$495,MATCH($I4029,MASTER_SOURCE!$A$2:$A$495,0)),""))</f>
        <v/>
      </c>
      <c r="M4029" s="24" t="n"/>
      <c r="N4029" s="24" t="n"/>
      <c r="O4029" s="24" t="n"/>
      <c r="P4029" s="24" t="n"/>
      <c r="Q4029" s="22">
        <f>IF($D4029="","",IF(AND(OR(DANH_MUC!$L$5&lt;&gt;"Có",M4029="Có"),OR(DANH_MUC!$L$6&lt;&gt;"Có",N4029="Có"),OR(DANH_MUC!$L$7&lt;&gt;"Có",O4029="Có"),OR(DANH_MUC!$L$8&lt;&gt;"Có",P4029="Có")),"Có","Không"))</f>
        <v/>
      </c>
      <c r="R4029" s="22">
        <f>IF($D4029="","",IF(COUNTIF($D$2:$D4029,$D4029)&gt;1,"Trùng",""))</f>
        <v/>
      </c>
      <c r="S4029" s="22">
        <f>IF($D4029="","",IF(AND(LEN($D4029)=10,LEFT($D4029,1)="0",ISNUMBER(--$D4029)),"Có","Không"))</f>
        <v/>
      </c>
      <c r="T4029" s="22">
        <f>IF($D4029="","",IF(AND($C4029&lt;&gt;"",$Q4029="Có",$R4029="",$S4029="Có",AND($L4029&lt;&gt;"",OR($L4029&lt;&gt;"Chưa xác định",DANH_MUC!$L$9="Có"))),"Có","Không"))</f>
        <v/>
      </c>
      <c r="U4029" s="22">
        <f>IF(OR($D4029="",$T4029="Có"),"",IF($C4029="","Thiếu họ tên; ","")&amp;IF($S4029&lt;&gt;"Có","SĐT sai định dạng; ","")&amp;IF($R4029="Trùng","Trùng SĐT; ","")&amp;IF($Q4029&lt;&gt;"Có","Thiếu đồng ý bắt buộc; ","")&amp;IF($L4029="","Thiếu/sai Mã REF; ",IF(AND($L4029="Chưa xác định",DANH_MUC!$L$9&lt;&gt;"Có"),"Nguồn chưa xác định; ","")))</f>
        <v/>
      </c>
      <c r="V4029" s="22">
        <f>IF(OR($D4029="",$R4029="Trùng"),"",IF(COUNTIF(ORDERS!$C$2:$C$4995,$D4029)&gt;0,"Có","Không"))</f>
        <v/>
      </c>
      <c r="W4029" s="22">
        <f>IF(OR($D4029="",$R4029="Trùng"),"",COUNTIFS(ORDERS!$C$2:$C$4995,$D4029,ORDERS!$L$2:$L$4995,"Đã chuyển khoản"))</f>
        <v/>
      </c>
      <c r="X4029" s="23">
        <f>IF(OR($D4029="",$R4029="Trùng"),"",SUMIFS(ORDERS!$J$2:$J$4995,ORDERS!$C$2:$C$4995,$D4029,ORDERS!$L$2:$L$4995,"Đã chuyển khoản"))</f>
        <v/>
      </c>
      <c r="Y4029" s="24" t="n"/>
    </row>
    <row r="4030" ht="14.25" customHeight="1" s="40">
      <c r="A4030" s="24" t="n"/>
      <c r="B4030" s="27" t="n"/>
      <c r="C4030" s="24" t="n"/>
      <c r="D4030" s="28" t="n"/>
      <c r="E4030" s="29" t="n"/>
      <c r="F4030" s="24" t="n"/>
      <c r="G4030" s="24" t="n"/>
      <c r="H4030" s="21">
        <f>IF(ISNUMBER($B4030),INT($B4030)-WEEKDAY($B4030,2)+1,"")</f>
        <v/>
      </c>
      <c r="I4030" s="24" t="n"/>
      <c r="J4030" s="22">
        <f t="array" ref="J4030">IF($D4030="","",IF($I4030="","(trống REF)",IFERROR(INDEX(MASTER_SOURCE!$B$2:$B$495,MATCH($I4030,MASTER_SOURCE!$A$2:$A$495,0)),"(REF không có trong MASTER_SOURCE)")))</f>
        <v/>
      </c>
      <c r="K4030" s="22">
        <f t="array" ref="K4030">IF($D4030="","",IFERROR(INDEX(MASTER_SOURCE!$C$2:$C$495,MATCH($I4030,MASTER_SOURCE!$A$2:$A$495,0)),""))</f>
        <v/>
      </c>
      <c r="L4030" s="22">
        <f t="array" ref="L4030">IF($D4030="","",IFERROR(INDEX(MASTER_SOURCE!$D$2:$D$495,MATCH($I4030,MASTER_SOURCE!$A$2:$A$495,0)),""))</f>
        <v/>
      </c>
      <c r="M4030" s="24" t="n"/>
      <c r="N4030" s="24" t="n"/>
      <c r="O4030" s="24" t="n"/>
      <c r="P4030" s="24" t="n"/>
      <c r="Q4030" s="22">
        <f>IF($D4030="","",IF(AND(OR(DANH_MUC!$L$5&lt;&gt;"Có",M4030="Có"),OR(DANH_MUC!$L$6&lt;&gt;"Có",N4030="Có"),OR(DANH_MUC!$L$7&lt;&gt;"Có",O4030="Có"),OR(DANH_MUC!$L$8&lt;&gt;"Có",P4030="Có")),"Có","Không"))</f>
        <v/>
      </c>
      <c r="R4030" s="22">
        <f>IF($D4030="","",IF(COUNTIF($D$2:$D4030,$D4030)&gt;1,"Trùng",""))</f>
        <v/>
      </c>
      <c r="S4030" s="22">
        <f>IF($D4030="","",IF(AND(LEN($D4030)=10,LEFT($D4030,1)="0",ISNUMBER(--$D4030)),"Có","Không"))</f>
        <v/>
      </c>
      <c r="T4030" s="22">
        <f>IF($D4030="","",IF(AND($C4030&lt;&gt;"",$Q4030="Có",$R4030="",$S4030="Có",AND($L4030&lt;&gt;"",OR($L4030&lt;&gt;"Chưa xác định",DANH_MUC!$L$9="Có"))),"Có","Không"))</f>
        <v/>
      </c>
      <c r="U4030" s="22">
        <f>IF(OR($D4030="",$T4030="Có"),"",IF($C4030="","Thiếu họ tên; ","")&amp;IF($S4030&lt;&gt;"Có","SĐT sai định dạng; ","")&amp;IF($R4030="Trùng","Trùng SĐT; ","")&amp;IF($Q4030&lt;&gt;"Có","Thiếu đồng ý bắt buộc; ","")&amp;IF($L4030="","Thiếu/sai Mã REF; ",IF(AND($L4030="Chưa xác định",DANH_MUC!$L$9&lt;&gt;"Có"),"Nguồn chưa xác định; ","")))</f>
        <v/>
      </c>
      <c r="V4030" s="22">
        <f>IF(OR($D4030="",$R4030="Trùng"),"",IF(COUNTIF(ORDERS!$C$2:$C$4995,$D4030)&gt;0,"Có","Không"))</f>
        <v/>
      </c>
      <c r="W4030" s="22">
        <f>IF(OR($D4030="",$R4030="Trùng"),"",COUNTIFS(ORDERS!$C$2:$C$4995,$D4030,ORDERS!$L$2:$L$4995,"Đã chuyển khoản"))</f>
        <v/>
      </c>
      <c r="X4030" s="23">
        <f>IF(OR($D4030="",$R4030="Trùng"),"",SUMIFS(ORDERS!$J$2:$J$4995,ORDERS!$C$2:$C$4995,$D4030,ORDERS!$L$2:$L$4995,"Đã chuyển khoản"))</f>
        <v/>
      </c>
      <c r="Y4030" s="24" t="n"/>
    </row>
    <row r="4031" ht="14.25" customHeight="1" s="40">
      <c r="A4031" s="24" t="n"/>
      <c r="B4031" s="27" t="n"/>
      <c r="C4031" s="24" t="n"/>
      <c r="D4031" s="28" t="n"/>
      <c r="E4031" s="29" t="n"/>
      <c r="F4031" s="24" t="n"/>
      <c r="G4031" s="24" t="n"/>
      <c r="H4031" s="21">
        <f>IF(ISNUMBER($B4031),INT($B4031)-WEEKDAY($B4031,2)+1,"")</f>
        <v/>
      </c>
      <c r="I4031" s="24" t="n"/>
      <c r="J4031" s="22">
        <f t="array" ref="J4031">IF($D4031="","",IF($I4031="","(trống REF)",IFERROR(INDEX(MASTER_SOURCE!$B$2:$B$495,MATCH($I4031,MASTER_SOURCE!$A$2:$A$495,0)),"(REF không có trong MASTER_SOURCE)")))</f>
        <v/>
      </c>
      <c r="K4031" s="22">
        <f t="array" ref="K4031">IF($D4031="","",IFERROR(INDEX(MASTER_SOURCE!$C$2:$C$495,MATCH($I4031,MASTER_SOURCE!$A$2:$A$495,0)),""))</f>
        <v/>
      </c>
      <c r="L4031" s="22">
        <f t="array" ref="L4031">IF($D4031="","",IFERROR(INDEX(MASTER_SOURCE!$D$2:$D$495,MATCH($I4031,MASTER_SOURCE!$A$2:$A$495,0)),""))</f>
        <v/>
      </c>
      <c r="M4031" s="24" t="n"/>
      <c r="N4031" s="24" t="n"/>
      <c r="O4031" s="24" t="n"/>
      <c r="P4031" s="24" t="n"/>
      <c r="Q4031" s="22">
        <f>IF($D4031="","",IF(AND(OR(DANH_MUC!$L$5&lt;&gt;"Có",M4031="Có"),OR(DANH_MUC!$L$6&lt;&gt;"Có",N4031="Có"),OR(DANH_MUC!$L$7&lt;&gt;"Có",O4031="Có"),OR(DANH_MUC!$L$8&lt;&gt;"Có",P4031="Có")),"Có","Không"))</f>
        <v/>
      </c>
      <c r="R4031" s="22">
        <f>IF($D4031="","",IF(COUNTIF($D$2:$D4031,$D4031)&gt;1,"Trùng",""))</f>
        <v/>
      </c>
      <c r="S4031" s="22">
        <f>IF($D4031="","",IF(AND(LEN($D4031)=10,LEFT($D4031,1)="0",ISNUMBER(--$D4031)),"Có","Không"))</f>
        <v/>
      </c>
      <c r="T4031" s="22">
        <f>IF($D4031="","",IF(AND($C4031&lt;&gt;"",$Q4031="Có",$R4031="",$S4031="Có",AND($L4031&lt;&gt;"",OR($L4031&lt;&gt;"Chưa xác định",DANH_MUC!$L$9="Có"))),"Có","Không"))</f>
        <v/>
      </c>
      <c r="U4031" s="22">
        <f>IF(OR($D4031="",$T4031="Có"),"",IF($C4031="","Thiếu họ tên; ","")&amp;IF($S4031&lt;&gt;"Có","SĐT sai định dạng; ","")&amp;IF($R4031="Trùng","Trùng SĐT; ","")&amp;IF($Q4031&lt;&gt;"Có","Thiếu đồng ý bắt buộc; ","")&amp;IF($L4031="","Thiếu/sai Mã REF; ",IF(AND($L4031="Chưa xác định",DANH_MUC!$L$9&lt;&gt;"Có"),"Nguồn chưa xác định; ","")))</f>
        <v/>
      </c>
      <c r="V4031" s="22">
        <f>IF(OR($D4031="",$R4031="Trùng"),"",IF(COUNTIF(ORDERS!$C$2:$C$4995,$D4031)&gt;0,"Có","Không"))</f>
        <v/>
      </c>
      <c r="W4031" s="22">
        <f>IF(OR($D4031="",$R4031="Trùng"),"",COUNTIFS(ORDERS!$C$2:$C$4995,$D4031,ORDERS!$L$2:$L$4995,"Đã chuyển khoản"))</f>
        <v/>
      </c>
      <c r="X4031" s="23">
        <f>IF(OR($D4031="",$R4031="Trùng"),"",SUMIFS(ORDERS!$J$2:$J$4995,ORDERS!$C$2:$C$4995,$D4031,ORDERS!$L$2:$L$4995,"Đã chuyển khoản"))</f>
        <v/>
      </c>
      <c r="Y4031" s="24" t="n"/>
    </row>
    <row r="4032" ht="14.25" customHeight="1" s="40">
      <c r="A4032" s="24" t="n"/>
      <c r="B4032" s="27" t="n"/>
      <c r="C4032" s="24" t="n"/>
      <c r="D4032" s="28" t="n"/>
      <c r="E4032" s="29" t="n"/>
      <c r="F4032" s="24" t="n"/>
      <c r="G4032" s="24" t="n"/>
      <c r="H4032" s="21">
        <f>IF(ISNUMBER($B4032),INT($B4032)-WEEKDAY($B4032,2)+1,"")</f>
        <v/>
      </c>
      <c r="I4032" s="24" t="n"/>
      <c r="J4032" s="22">
        <f t="array" ref="J4032">IF($D4032="","",IF($I4032="","(trống REF)",IFERROR(INDEX(MASTER_SOURCE!$B$2:$B$495,MATCH($I4032,MASTER_SOURCE!$A$2:$A$495,0)),"(REF không có trong MASTER_SOURCE)")))</f>
        <v/>
      </c>
      <c r="K4032" s="22">
        <f t="array" ref="K4032">IF($D4032="","",IFERROR(INDEX(MASTER_SOURCE!$C$2:$C$495,MATCH($I4032,MASTER_SOURCE!$A$2:$A$495,0)),""))</f>
        <v/>
      </c>
      <c r="L4032" s="22">
        <f t="array" ref="L4032">IF($D4032="","",IFERROR(INDEX(MASTER_SOURCE!$D$2:$D$495,MATCH($I4032,MASTER_SOURCE!$A$2:$A$495,0)),""))</f>
        <v/>
      </c>
      <c r="M4032" s="24" t="n"/>
      <c r="N4032" s="24" t="n"/>
      <c r="O4032" s="24" t="n"/>
      <c r="P4032" s="24" t="n"/>
      <c r="Q4032" s="22">
        <f>IF($D4032="","",IF(AND(OR(DANH_MUC!$L$5&lt;&gt;"Có",M4032="Có"),OR(DANH_MUC!$L$6&lt;&gt;"Có",N4032="Có"),OR(DANH_MUC!$L$7&lt;&gt;"Có",O4032="Có"),OR(DANH_MUC!$L$8&lt;&gt;"Có",P4032="Có")),"Có","Không"))</f>
        <v/>
      </c>
      <c r="R4032" s="22">
        <f>IF($D4032="","",IF(COUNTIF($D$2:$D4032,$D4032)&gt;1,"Trùng",""))</f>
        <v/>
      </c>
      <c r="S4032" s="22">
        <f>IF($D4032="","",IF(AND(LEN($D4032)=10,LEFT($D4032,1)="0",ISNUMBER(--$D4032)),"Có","Không"))</f>
        <v/>
      </c>
      <c r="T4032" s="22">
        <f>IF($D4032="","",IF(AND($C4032&lt;&gt;"",$Q4032="Có",$R4032="",$S4032="Có",AND($L4032&lt;&gt;"",OR($L4032&lt;&gt;"Chưa xác định",DANH_MUC!$L$9="Có"))),"Có","Không"))</f>
        <v/>
      </c>
      <c r="U4032" s="22">
        <f>IF(OR($D4032="",$T4032="Có"),"",IF($C4032="","Thiếu họ tên; ","")&amp;IF($S4032&lt;&gt;"Có","SĐT sai định dạng; ","")&amp;IF($R4032="Trùng","Trùng SĐT; ","")&amp;IF($Q4032&lt;&gt;"Có","Thiếu đồng ý bắt buộc; ","")&amp;IF($L4032="","Thiếu/sai Mã REF; ",IF(AND($L4032="Chưa xác định",DANH_MUC!$L$9&lt;&gt;"Có"),"Nguồn chưa xác định; ","")))</f>
        <v/>
      </c>
      <c r="V4032" s="22">
        <f>IF(OR($D4032="",$R4032="Trùng"),"",IF(COUNTIF(ORDERS!$C$2:$C$4995,$D4032)&gt;0,"Có","Không"))</f>
        <v/>
      </c>
      <c r="W4032" s="22">
        <f>IF(OR($D4032="",$R4032="Trùng"),"",COUNTIFS(ORDERS!$C$2:$C$4995,$D4032,ORDERS!$L$2:$L$4995,"Đã chuyển khoản"))</f>
        <v/>
      </c>
      <c r="X4032" s="23">
        <f>IF(OR($D4032="",$R4032="Trùng"),"",SUMIFS(ORDERS!$J$2:$J$4995,ORDERS!$C$2:$C$4995,$D4032,ORDERS!$L$2:$L$4995,"Đã chuyển khoản"))</f>
        <v/>
      </c>
      <c r="Y4032" s="24" t="n"/>
    </row>
    <row r="4033" ht="14.25" customHeight="1" s="40">
      <c r="A4033" s="24" t="n"/>
      <c r="B4033" s="27" t="n"/>
      <c r="C4033" s="24" t="n"/>
      <c r="D4033" s="28" t="n"/>
      <c r="E4033" s="29" t="n"/>
      <c r="F4033" s="24" t="n"/>
      <c r="G4033" s="24" t="n"/>
      <c r="H4033" s="21">
        <f>IF(ISNUMBER($B4033),INT($B4033)-WEEKDAY($B4033,2)+1,"")</f>
        <v/>
      </c>
      <c r="I4033" s="24" t="n"/>
      <c r="J4033" s="22">
        <f t="array" ref="J4033">IF($D4033="","",IF($I4033="","(trống REF)",IFERROR(INDEX(MASTER_SOURCE!$B$2:$B$495,MATCH($I4033,MASTER_SOURCE!$A$2:$A$495,0)),"(REF không có trong MASTER_SOURCE)")))</f>
        <v/>
      </c>
      <c r="K4033" s="22">
        <f t="array" ref="K4033">IF($D4033="","",IFERROR(INDEX(MASTER_SOURCE!$C$2:$C$495,MATCH($I4033,MASTER_SOURCE!$A$2:$A$495,0)),""))</f>
        <v/>
      </c>
      <c r="L4033" s="22">
        <f t="array" ref="L4033">IF($D4033="","",IFERROR(INDEX(MASTER_SOURCE!$D$2:$D$495,MATCH($I4033,MASTER_SOURCE!$A$2:$A$495,0)),""))</f>
        <v/>
      </c>
      <c r="M4033" s="24" t="n"/>
      <c r="N4033" s="24" t="n"/>
      <c r="O4033" s="24" t="n"/>
      <c r="P4033" s="24" t="n"/>
      <c r="Q4033" s="22">
        <f>IF($D4033="","",IF(AND(OR(DANH_MUC!$L$5&lt;&gt;"Có",M4033="Có"),OR(DANH_MUC!$L$6&lt;&gt;"Có",N4033="Có"),OR(DANH_MUC!$L$7&lt;&gt;"Có",O4033="Có"),OR(DANH_MUC!$L$8&lt;&gt;"Có",P4033="Có")),"Có","Không"))</f>
        <v/>
      </c>
      <c r="R4033" s="22">
        <f>IF($D4033="","",IF(COUNTIF($D$2:$D4033,$D4033)&gt;1,"Trùng",""))</f>
        <v/>
      </c>
      <c r="S4033" s="22">
        <f>IF($D4033="","",IF(AND(LEN($D4033)=10,LEFT($D4033,1)="0",ISNUMBER(--$D4033)),"Có","Không"))</f>
        <v/>
      </c>
      <c r="T4033" s="22">
        <f>IF($D4033="","",IF(AND($C4033&lt;&gt;"",$Q4033="Có",$R4033="",$S4033="Có",AND($L4033&lt;&gt;"",OR($L4033&lt;&gt;"Chưa xác định",DANH_MUC!$L$9="Có"))),"Có","Không"))</f>
        <v/>
      </c>
      <c r="U4033" s="22">
        <f>IF(OR($D4033="",$T4033="Có"),"",IF($C4033="","Thiếu họ tên; ","")&amp;IF($S4033&lt;&gt;"Có","SĐT sai định dạng; ","")&amp;IF($R4033="Trùng","Trùng SĐT; ","")&amp;IF($Q4033&lt;&gt;"Có","Thiếu đồng ý bắt buộc; ","")&amp;IF($L4033="","Thiếu/sai Mã REF; ",IF(AND($L4033="Chưa xác định",DANH_MUC!$L$9&lt;&gt;"Có"),"Nguồn chưa xác định; ","")))</f>
        <v/>
      </c>
      <c r="V4033" s="22">
        <f>IF(OR($D4033="",$R4033="Trùng"),"",IF(COUNTIF(ORDERS!$C$2:$C$4995,$D4033)&gt;0,"Có","Không"))</f>
        <v/>
      </c>
      <c r="W4033" s="22">
        <f>IF(OR($D4033="",$R4033="Trùng"),"",COUNTIFS(ORDERS!$C$2:$C$4995,$D4033,ORDERS!$L$2:$L$4995,"Đã chuyển khoản"))</f>
        <v/>
      </c>
      <c r="X4033" s="23">
        <f>IF(OR($D4033="",$R4033="Trùng"),"",SUMIFS(ORDERS!$J$2:$J$4995,ORDERS!$C$2:$C$4995,$D4033,ORDERS!$L$2:$L$4995,"Đã chuyển khoản"))</f>
        <v/>
      </c>
      <c r="Y4033" s="24" t="n"/>
    </row>
    <row r="4034" ht="14.25" customHeight="1" s="40">
      <c r="A4034" s="24" t="n"/>
      <c r="B4034" s="27" t="n"/>
      <c r="C4034" s="24" t="n"/>
      <c r="D4034" s="28" t="n"/>
      <c r="E4034" s="29" t="n"/>
      <c r="F4034" s="24" t="n"/>
      <c r="G4034" s="24" t="n"/>
      <c r="H4034" s="21">
        <f>IF(ISNUMBER($B4034),INT($B4034)-WEEKDAY($B4034,2)+1,"")</f>
        <v/>
      </c>
      <c r="I4034" s="24" t="n"/>
      <c r="J4034" s="22">
        <f t="array" ref="J4034">IF($D4034="","",IF($I4034="","(trống REF)",IFERROR(INDEX(MASTER_SOURCE!$B$2:$B$495,MATCH($I4034,MASTER_SOURCE!$A$2:$A$495,0)),"(REF không có trong MASTER_SOURCE)")))</f>
        <v/>
      </c>
      <c r="K4034" s="22">
        <f t="array" ref="K4034">IF($D4034="","",IFERROR(INDEX(MASTER_SOURCE!$C$2:$C$495,MATCH($I4034,MASTER_SOURCE!$A$2:$A$495,0)),""))</f>
        <v/>
      </c>
      <c r="L4034" s="22">
        <f t="array" ref="L4034">IF($D4034="","",IFERROR(INDEX(MASTER_SOURCE!$D$2:$D$495,MATCH($I4034,MASTER_SOURCE!$A$2:$A$495,0)),""))</f>
        <v/>
      </c>
      <c r="M4034" s="24" t="n"/>
      <c r="N4034" s="24" t="n"/>
      <c r="O4034" s="24" t="n"/>
      <c r="P4034" s="24" t="n"/>
      <c r="Q4034" s="22">
        <f>IF($D4034="","",IF(AND(OR(DANH_MUC!$L$5&lt;&gt;"Có",M4034="Có"),OR(DANH_MUC!$L$6&lt;&gt;"Có",N4034="Có"),OR(DANH_MUC!$L$7&lt;&gt;"Có",O4034="Có"),OR(DANH_MUC!$L$8&lt;&gt;"Có",P4034="Có")),"Có","Không"))</f>
        <v/>
      </c>
      <c r="R4034" s="22">
        <f>IF($D4034="","",IF(COUNTIF($D$2:$D4034,$D4034)&gt;1,"Trùng",""))</f>
        <v/>
      </c>
      <c r="S4034" s="22">
        <f>IF($D4034="","",IF(AND(LEN($D4034)=10,LEFT($D4034,1)="0",ISNUMBER(--$D4034)),"Có","Không"))</f>
        <v/>
      </c>
      <c r="T4034" s="22">
        <f>IF($D4034="","",IF(AND($C4034&lt;&gt;"",$Q4034="Có",$R4034="",$S4034="Có",AND($L4034&lt;&gt;"",OR($L4034&lt;&gt;"Chưa xác định",DANH_MUC!$L$9="Có"))),"Có","Không"))</f>
        <v/>
      </c>
      <c r="U4034" s="22">
        <f>IF(OR($D4034="",$T4034="Có"),"",IF($C4034="","Thiếu họ tên; ","")&amp;IF($S4034&lt;&gt;"Có","SĐT sai định dạng; ","")&amp;IF($R4034="Trùng","Trùng SĐT; ","")&amp;IF($Q4034&lt;&gt;"Có","Thiếu đồng ý bắt buộc; ","")&amp;IF($L4034="","Thiếu/sai Mã REF; ",IF(AND($L4034="Chưa xác định",DANH_MUC!$L$9&lt;&gt;"Có"),"Nguồn chưa xác định; ","")))</f>
        <v/>
      </c>
      <c r="V4034" s="22">
        <f>IF(OR($D4034="",$R4034="Trùng"),"",IF(COUNTIF(ORDERS!$C$2:$C$4995,$D4034)&gt;0,"Có","Không"))</f>
        <v/>
      </c>
      <c r="W4034" s="22">
        <f>IF(OR($D4034="",$R4034="Trùng"),"",COUNTIFS(ORDERS!$C$2:$C$4995,$D4034,ORDERS!$L$2:$L$4995,"Đã chuyển khoản"))</f>
        <v/>
      </c>
      <c r="X4034" s="23">
        <f>IF(OR($D4034="",$R4034="Trùng"),"",SUMIFS(ORDERS!$J$2:$J$4995,ORDERS!$C$2:$C$4995,$D4034,ORDERS!$L$2:$L$4995,"Đã chuyển khoản"))</f>
        <v/>
      </c>
      <c r="Y4034" s="24" t="n"/>
    </row>
    <row r="4035" ht="14.25" customHeight="1" s="40">
      <c r="A4035" s="24" t="n"/>
      <c r="B4035" s="27" t="n"/>
      <c r="C4035" s="24" t="n"/>
      <c r="D4035" s="28" t="n"/>
      <c r="E4035" s="29" t="n"/>
      <c r="F4035" s="24" t="n"/>
      <c r="G4035" s="24" t="n"/>
      <c r="H4035" s="21">
        <f>IF(ISNUMBER($B4035),INT($B4035)-WEEKDAY($B4035,2)+1,"")</f>
        <v/>
      </c>
      <c r="I4035" s="24" t="n"/>
      <c r="J4035" s="22">
        <f t="array" ref="J4035">IF($D4035="","",IF($I4035="","(trống REF)",IFERROR(INDEX(MASTER_SOURCE!$B$2:$B$495,MATCH($I4035,MASTER_SOURCE!$A$2:$A$495,0)),"(REF không có trong MASTER_SOURCE)")))</f>
        <v/>
      </c>
      <c r="K4035" s="22">
        <f t="array" ref="K4035">IF($D4035="","",IFERROR(INDEX(MASTER_SOURCE!$C$2:$C$495,MATCH($I4035,MASTER_SOURCE!$A$2:$A$495,0)),""))</f>
        <v/>
      </c>
      <c r="L4035" s="22">
        <f t="array" ref="L4035">IF($D4035="","",IFERROR(INDEX(MASTER_SOURCE!$D$2:$D$495,MATCH($I4035,MASTER_SOURCE!$A$2:$A$495,0)),""))</f>
        <v/>
      </c>
      <c r="M4035" s="24" t="n"/>
      <c r="N4035" s="24" t="n"/>
      <c r="O4035" s="24" t="n"/>
      <c r="P4035" s="24" t="n"/>
      <c r="Q4035" s="22">
        <f>IF($D4035="","",IF(AND(OR(DANH_MUC!$L$5&lt;&gt;"Có",M4035="Có"),OR(DANH_MUC!$L$6&lt;&gt;"Có",N4035="Có"),OR(DANH_MUC!$L$7&lt;&gt;"Có",O4035="Có"),OR(DANH_MUC!$L$8&lt;&gt;"Có",P4035="Có")),"Có","Không"))</f>
        <v/>
      </c>
      <c r="R4035" s="22">
        <f>IF($D4035="","",IF(COUNTIF($D$2:$D4035,$D4035)&gt;1,"Trùng",""))</f>
        <v/>
      </c>
      <c r="S4035" s="22">
        <f>IF($D4035="","",IF(AND(LEN($D4035)=10,LEFT($D4035,1)="0",ISNUMBER(--$D4035)),"Có","Không"))</f>
        <v/>
      </c>
      <c r="T4035" s="22">
        <f>IF($D4035="","",IF(AND($C4035&lt;&gt;"",$Q4035="Có",$R4035="",$S4035="Có",AND($L4035&lt;&gt;"",OR($L4035&lt;&gt;"Chưa xác định",DANH_MUC!$L$9="Có"))),"Có","Không"))</f>
        <v/>
      </c>
      <c r="U4035" s="22">
        <f>IF(OR($D4035="",$T4035="Có"),"",IF($C4035="","Thiếu họ tên; ","")&amp;IF($S4035&lt;&gt;"Có","SĐT sai định dạng; ","")&amp;IF($R4035="Trùng","Trùng SĐT; ","")&amp;IF($Q4035&lt;&gt;"Có","Thiếu đồng ý bắt buộc; ","")&amp;IF($L4035="","Thiếu/sai Mã REF; ",IF(AND($L4035="Chưa xác định",DANH_MUC!$L$9&lt;&gt;"Có"),"Nguồn chưa xác định; ","")))</f>
        <v/>
      </c>
      <c r="V4035" s="22">
        <f>IF(OR($D4035="",$R4035="Trùng"),"",IF(COUNTIF(ORDERS!$C$2:$C$4995,$D4035)&gt;0,"Có","Không"))</f>
        <v/>
      </c>
      <c r="W4035" s="22">
        <f>IF(OR($D4035="",$R4035="Trùng"),"",COUNTIFS(ORDERS!$C$2:$C$4995,$D4035,ORDERS!$L$2:$L$4995,"Đã chuyển khoản"))</f>
        <v/>
      </c>
      <c r="X4035" s="23">
        <f>IF(OR($D4035="",$R4035="Trùng"),"",SUMIFS(ORDERS!$J$2:$J$4995,ORDERS!$C$2:$C$4995,$D4035,ORDERS!$L$2:$L$4995,"Đã chuyển khoản"))</f>
        <v/>
      </c>
      <c r="Y4035" s="24" t="n"/>
    </row>
    <row r="4036" ht="14.25" customHeight="1" s="40">
      <c r="A4036" s="24" t="n"/>
      <c r="B4036" s="27" t="n"/>
      <c r="C4036" s="24" t="n"/>
      <c r="D4036" s="28" t="n"/>
      <c r="E4036" s="29" t="n"/>
      <c r="F4036" s="24" t="n"/>
      <c r="G4036" s="24" t="n"/>
      <c r="H4036" s="21">
        <f>IF(ISNUMBER($B4036),INT($B4036)-WEEKDAY($B4036,2)+1,"")</f>
        <v/>
      </c>
      <c r="I4036" s="24" t="n"/>
      <c r="J4036" s="22">
        <f t="array" ref="J4036">IF($D4036="","",IF($I4036="","(trống REF)",IFERROR(INDEX(MASTER_SOURCE!$B$2:$B$495,MATCH($I4036,MASTER_SOURCE!$A$2:$A$495,0)),"(REF không có trong MASTER_SOURCE)")))</f>
        <v/>
      </c>
      <c r="K4036" s="22">
        <f t="array" ref="K4036">IF($D4036="","",IFERROR(INDEX(MASTER_SOURCE!$C$2:$C$495,MATCH($I4036,MASTER_SOURCE!$A$2:$A$495,0)),""))</f>
        <v/>
      </c>
      <c r="L4036" s="22">
        <f t="array" ref="L4036">IF($D4036="","",IFERROR(INDEX(MASTER_SOURCE!$D$2:$D$495,MATCH($I4036,MASTER_SOURCE!$A$2:$A$495,0)),""))</f>
        <v/>
      </c>
      <c r="M4036" s="24" t="n"/>
      <c r="N4036" s="24" t="n"/>
      <c r="O4036" s="24" t="n"/>
      <c r="P4036" s="24" t="n"/>
      <c r="Q4036" s="22">
        <f>IF($D4036="","",IF(AND(OR(DANH_MUC!$L$5&lt;&gt;"Có",M4036="Có"),OR(DANH_MUC!$L$6&lt;&gt;"Có",N4036="Có"),OR(DANH_MUC!$L$7&lt;&gt;"Có",O4036="Có"),OR(DANH_MUC!$L$8&lt;&gt;"Có",P4036="Có")),"Có","Không"))</f>
        <v/>
      </c>
      <c r="R4036" s="22">
        <f>IF($D4036="","",IF(COUNTIF($D$2:$D4036,$D4036)&gt;1,"Trùng",""))</f>
        <v/>
      </c>
      <c r="S4036" s="22">
        <f>IF($D4036="","",IF(AND(LEN($D4036)=10,LEFT($D4036,1)="0",ISNUMBER(--$D4036)),"Có","Không"))</f>
        <v/>
      </c>
      <c r="T4036" s="22">
        <f>IF($D4036="","",IF(AND($C4036&lt;&gt;"",$Q4036="Có",$R4036="",$S4036="Có",AND($L4036&lt;&gt;"",OR($L4036&lt;&gt;"Chưa xác định",DANH_MUC!$L$9="Có"))),"Có","Không"))</f>
        <v/>
      </c>
      <c r="U4036" s="22">
        <f>IF(OR($D4036="",$T4036="Có"),"",IF($C4036="","Thiếu họ tên; ","")&amp;IF($S4036&lt;&gt;"Có","SĐT sai định dạng; ","")&amp;IF($R4036="Trùng","Trùng SĐT; ","")&amp;IF($Q4036&lt;&gt;"Có","Thiếu đồng ý bắt buộc; ","")&amp;IF($L4036="","Thiếu/sai Mã REF; ",IF(AND($L4036="Chưa xác định",DANH_MUC!$L$9&lt;&gt;"Có"),"Nguồn chưa xác định; ","")))</f>
        <v/>
      </c>
      <c r="V4036" s="22">
        <f>IF(OR($D4036="",$R4036="Trùng"),"",IF(COUNTIF(ORDERS!$C$2:$C$4995,$D4036)&gt;0,"Có","Không"))</f>
        <v/>
      </c>
      <c r="W4036" s="22">
        <f>IF(OR($D4036="",$R4036="Trùng"),"",COUNTIFS(ORDERS!$C$2:$C$4995,$D4036,ORDERS!$L$2:$L$4995,"Đã chuyển khoản"))</f>
        <v/>
      </c>
      <c r="X4036" s="23">
        <f>IF(OR($D4036="",$R4036="Trùng"),"",SUMIFS(ORDERS!$J$2:$J$4995,ORDERS!$C$2:$C$4995,$D4036,ORDERS!$L$2:$L$4995,"Đã chuyển khoản"))</f>
        <v/>
      </c>
      <c r="Y4036" s="24" t="n"/>
    </row>
    <row r="4037" ht="14.25" customHeight="1" s="40">
      <c r="A4037" s="24" t="n"/>
      <c r="B4037" s="27" t="n"/>
      <c r="C4037" s="24" t="n"/>
      <c r="D4037" s="28" t="n"/>
      <c r="E4037" s="29" t="n"/>
      <c r="F4037" s="24" t="n"/>
      <c r="G4037" s="24" t="n"/>
      <c r="H4037" s="21">
        <f>IF(ISNUMBER($B4037),INT($B4037)-WEEKDAY($B4037,2)+1,"")</f>
        <v/>
      </c>
      <c r="I4037" s="24" t="n"/>
      <c r="J4037" s="22">
        <f t="array" ref="J4037">IF($D4037="","",IF($I4037="","(trống REF)",IFERROR(INDEX(MASTER_SOURCE!$B$2:$B$495,MATCH($I4037,MASTER_SOURCE!$A$2:$A$495,0)),"(REF không có trong MASTER_SOURCE)")))</f>
        <v/>
      </c>
      <c r="K4037" s="22">
        <f t="array" ref="K4037">IF($D4037="","",IFERROR(INDEX(MASTER_SOURCE!$C$2:$C$495,MATCH($I4037,MASTER_SOURCE!$A$2:$A$495,0)),""))</f>
        <v/>
      </c>
      <c r="L4037" s="22">
        <f t="array" ref="L4037">IF($D4037="","",IFERROR(INDEX(MASTER_SOURCE!$D$2:$D$495,MATCH($I4037,MASTER_SOURCE!$A$2:$A$495,0)),""))</f>
        <v/>
      </c>
      <c r="M4037" s="24" t="n"/>
      <c r="N4037" s="24" t="n"/>
      <c r="O4037" s="24" t="n"/>
      <c r="P4037" s="24" t="n"/>
      <c r="Q4037" s="22">
        <f>IF($D4037="","",IF(AND(OR(DANH_MUC!$L$5&lt;&gt;"Có",M4037="Có"),OR(DANH_MUC!$L$6&lt;&gt;"Có",N4037="Có"),OR(DANH_MUC!$L$7&lt;&gt;"Có",O4037="Có"),OR(DANH_MUC!$L$8&lt;&gt;"Có",P4037="Có")),"Có","Không"))</f>
        <v/>
      </c>
      <c r="R4037" s="22">
        <f>IF($D4037="","",IF(COUNTIF($D$2:$D4037,$D4037)&gt;1,"Trùng",""))</f>
        <v/>
      </c>
      <c r="S4037" s="22">
        <f>IF($D4037="","",IF(AND(LEN($D4037)=10,LEFT($D4037,1)="0",ISNUMBER(--$D4037)),"Có","Không"))</f>
        <v/>
      </c>
      <c r="T4037" s="22">
        <f>IF($D4037="","",IF(AND($C4037&lt;&gt;"",$Q4037="Có",$R4037="",$S4037="Có",AND($L4037&lt;&gt;"",OR($L4037&lt;&gt;"Chưa xác định",DANH_MUC!$L$9="Có"))),"Có","Không"))</f>
        <v/>
      </c>
      <c r="U4037" s="22">
        <f>IF(OR($D4037="",$T4037="Có"),"",IF($C4037="","Thiếu họ tên; ","")&amp;IF($S4037&lt;&gt;"Có","SĐT sai định dạng; ","")&amp;IF($R4037="Trùng","Trùng SĐT; ","")&amp;IF($Q4037&lt;&gt;"Có","Thiếu đồng ý bắt buộc; ","")&amp;IF($L4037="","Thiếu/sai Mã REF; ",IF(AND($L4037="Chưa xác định",DANH_MUC!$L$9&lt;&gt;"Có"),"Nguồn chưa xác định; ","")))</f>
        <v/>
      </c>
      <c r="V4037" s="22">
        <f>IF(OR($D4037="",$R4037="Trùng"),"",IF(COUNTIF(ORDERS!$C$2:$C$4995,$D4037)&gt;0,"Có","Không"))</f>
        <v/>
      </c>
      <c r="W4037" s="22">
        <f>IF(OR($D4037="",$R4037="Trùng"),"",COUNTIFS(ORDERS!$C$2:$C$4995,$D4037,ORDERS!$L$2:$L$4995,"Đã chuyển khoản"))</f>
        <v/>
      </c>
      <c r="X4037" s="23">
        <f>IF(OR($D4037="",$R4037="Trùng"),"",SUMIFS(ORDERS!$J$2:$J$4995,ORDERS!$C$2:$C$4995,$D4037,ORDERS!$L$2:$L$4995,"Đã chuyển khoản"))</f>
        <v/>
      </c>
      <c r="Y4037" s="24" t="n"/>
    </row>
    <row r="4038" ht="14.25" customHeight="1" s="40">
      <c r="A4038" s="24" t="n"/>
      <c r="B4038" s="27" t="n"/>
      <c r="C4038" s="24" t="n"/>
      <c r="D4038" s="28" t="n"/>
      <c r="E4038" s="29" t="n"/>
      <c r="F4038" s="24" t="n"/>
      <c r="G4038" s="24" t="n"/>
      <c r="H4038" s="21">
        <f>IF(ISNUMBER($B4038),INT($B4038)-WEEKDAY($B4038,2)+1,"")</f>
        <v/>
      </c>
      <c r="I4038" s="24" t="n"/>
      <c r="J4038" s="22">
        <f t="array" ref="J4038">IF($D4038="","",IF($I4038="","(trống REF)",IFERROR(INDEX(MASTER_SOURCE!$B$2:$B$495,MATCH($I4038,MASTER_SOURCE!$A$2:$A$495,0)),"(REF không có trong MASTER_SOURCE)")))</f>
        <v/>
      </c>
      <c r="K4038" s="22">
        <f t="array" ref="K4038">IF($D4038="","",IFERROR(INDEX(MASTER_SOURCE!$C$2:$C$495,MATCH($I4038,MASTER_SOURCE!$A$2:$A$495,0)),""))</f>
        <v/>
      </c>
      <c r="L4038" s="22">
        <f t="array" ref="L4038">IF($D4038="","",IFERROR(INDEX(MASTER_SOURCE!$D$2:$D$495,MATCH($I4038,MASTER_SOURCE!$A$2:$A$495,0)),""))</f>
        <v/>
      </c>
      <c r="M4038" s="24" t="n"/>
      <c r="N4038" s="24" t="n"/>
      <c r="O4038" s="24" t="n"/>
      <c r="P4038" s="24" t="n"/>
      <c r="Q4038" s="22">
        <f>IF($D4038="","",IF(AND(OR(DANH_MUC!$L$5&lt;&gt;"Có",M4038="Có"),OR(DANH_MUC!$L$6&lt;&gt;"Có",N4038="Có"),OR(DANH_MUC!$L$7&lt;&gt;"Có",O4038="Có"),OR(DANH_MUC!$L$8&lt;&gt;"Có",P4038="Có")),"Có","Không"))</f>
        <v/>
      </c>
      <c r="R4038" s="22">
        <f>IF($D4038="","",IF(COUNTIF($D$2:$D4038,$D4038)&gt;1,"Trùng",""))</f>
        <v/>
      </c>
      <c r="S4038" s="22">
        <f>IF($D4038="","",IF(AND(LEN($D4038)=10,LEFT($D4038,1)="0",ISNUMBER(--$D4038)),"Có","Không"))</f>
        <v/>
      </c>
      <c r="T4038" s="22">
        <f>IF($D4038="","",IF(AND($C4038&lt;&gt;"",$Q4038="Có",$R4038="",$S4038="Có",AND($L4038&lt;&gt;"",OR($L4038&lt;&gt;"Chưa xác định",DANH_MUC!$L$9="Có"))),"Có","Không"))</f>
        <v/>
      </c>
      <c r="U4038" s="22">
        <f>IF(OR($D4038="",$T4038="Có"),"",IF($C4038="","Thiếu họ tên; ","")&amp;IF($S4038&lt;&gt;"Có","SĐT sai định dạng; ","")&amp;IF($R4038="Trùng","Trùng SĐT; ","")&amp;IF($Q4038&lt;&gt;"Có","Thiếu đồng ý bắt buộc; ","")&amp;IF($L4038="","Thiếu/sai Mã REF; ",IF(AND($L4038="Chưa xác định",DANH_MUC!$L$9&lt;&gt;"Có"),"Nguồn chưa xác định; ","")))</f>
        <v/>
      </c>
      <c r="V4038" s="22">
        <f>IF(OR($D4038="",$R4038="Trùng"),"",IF(COUNTIF(ORDERS!$C$2:$C$4995,$D4038)&gt;0,"Có","Không"))</f>
        <v/>
      </c>
      <c r="W4038" s="22">
        <f>IF(OR($D4038="",$R4038="Trùng"),"",COUNTIFS(ORDERS!$C$2:$C$4995,$D4038,ORDERS!$L$2:$L$4995,"Đã chuyển khoản"))</f>
        <v/>
      </c>
      <c r="X4038" s="23">
        <f>IF(OR($D4038="",$R4038="Trùng"),"",SUMIFS(ORDERS!$J$2:$J$4995,ORDERS!$C$2:$C$4995,$D4038,ORDERS!$L$2:$L$4995,"Đã chuyển khoản"))</f>
        <v/>
      </c>
      <c r="Y4038" s="24" t="n"/>
    </row>
    <row r="4039" ht="14.25" customHeight="1" s="40">
      <c r="A4039" s="24" t="n"/>
      <c r="B4039" s="27" t="n"/>
      <c r="C4039" s="24" t="n"/>
      <c r="D4039" s="28" t="n"/>
      <c r="E4039" s="29" t="n"/>
      <c r="F4039" s="24" t="n"/>
      <c r="G4039" s="24" t="n"/>
      <c r="H4039" s="21">
        <f>IF(ISNUMBER($B4039),INT($B4039)-WEEKDAY($B4039,2)+1,"")</f>
        <v/>
      </c>
      <c r="I4039" s="24" t="n"/>
      <c r="J4039" s="22">
        <f t="array" ref="J4039">IF($D4039="","",IF($I4039="","(trống REF)",IFERROR(INDEX(MASTER_SOURCE!$B$2:$B$495,MATCH($I4039,MASTER_SOURCE!$A$2:$A$495,0)),"(REF không có trong MASTER_SOURCE)")))</f>
        <v/>
      </c>
      <c r="K4039" s="22">
        <f t="array" ref="K4039">IF($D4039="","",IFERROR(INDEX(MASTER_SOURCE!$C$2:$C$495,MATCH($I4039,MASTER_SOURCE!$A$2:$A$495,0)),""))</f>
        <v/>
      </c>
      <c r="L4039" s="22">
        <f t="array" ref="L4039">IF($D4039="","",IFERROR(INDEX(MASTER_SOURCE!$D$2:$D$495,MATCH($I4039,MASTER_SOURCE!$A$2:$A$495,0)),""))</f>
        <v/>
      </c>
      <c r="M4039" s="24" t="n"/>
      <c r="N4039" s="24" t="n"/>
      <c r="O4039" s="24" t="n"/>
      <c r="P4039" s="24" t="n"/>
      <c r="Q4039" s="22">
        <f>IF($D4039="","",IF(AND(OR(DANH_MUC!$L$5&lt;&gt;"Có",M4039="Có"),OR(DANH_MUC!$L$6&lt;&gt;"Có",N4039="Có"),OR(DANH_MUC!$L$7&lt;&gt;"Có",O4039="Có"),OR(DANH_MUC!$L$8&lt;&gt;"Có",P4039="Có")),"Có","Không"))</f>
        <v/>
      </c>
      <c r="R4039" s="22">
        <f>IF($D4039="","",IF(COUNTIF($D$2:$D4039,$D4039)&gt;1,"Trùng",""))</f>
        <v/>
      </c>
      <c r="S4039" s="22">
        <f>IF($D4039="","",IF(AND(LEN($D4039)=10,LEFT($D4039,1)="0",ISNUMBER(--$D4039)),"Có","Không"))</f>
        <v/>
      </c>
      <c r="T4039" s="22">
        <f>IF($D4039="","",IF(AND($C4039&lt;&gt;"",$Q4039="Có",$R4039="",$S4039="Có",AND($L4039&lt;&gt;"",OR($L4039&lt;&gt;"Chưa xác định",DANH_MUC!$L$9="Có"))),"Có","Không"))</f>
        <v/>
      </c>
      <c r="U4039" s="22">
        <f>IF(OR($D4039="",$T4039="Có"),"",IF($C4039="","Thiếu họ tên; ","")&amp;IF($S4039&lt;&gt;"Có","SĐT sai định dạng; ","")&amp;IF($R4039="Trùng","Trùng SĐT; ","")&amp;IF($Q4039&lt;&gt;"Có","Thiếu đồng ý bắt buộc; ","")&amp;IF($L4039="","Thiếu/sai Mã REF; ",IF(AND($L4039="Chưa xác định",DANH_MUC!$L$9&lt;&gt;"Có"),"Nguồn chưa xác định; ","")))</f>
        <v/>
      </c>
      <c r="V4039" s="22">
        <f>IF(OR($D4039="",$R4039="Trùng"),"",IF(COUNTIF(ORDERS!$C$2:$C$4995,$D4039)&gt;0,"Có","Không"))</f>
        <v/>
      </c>
      <c r="W4039" s="22">
        <f>IF(OR($D4039="",$R4039="Trùng"),"",COUNTIFS(ORDERS!$C$2:$C$4995,$D4039,ORDERS!$L$2:$L$4995,"Đã chuyển khoản"))</f>
        <v/>
      </c>
      <c r="X4039" s="23">
        <f>IF(OR($D4039="",$R4039="Trùng"),"",SUMIFS(ORDERS!$J$2:$J$4995,ORDERS!$C$2:$C$4995,$D4039,ORDERS!$L$2:$L$4995,"Đã chuyển khoản"))</f>
        <v/>
      </c>
      <c r="Y4039" s="24" t="n"/>
    </row>
    <row r="4040" ht="14.25" customHeight="1" s="40">
      <c r="A4040" s="24" t="n"/>
      <c r="B4040" s="27" t="n"/>
      <c r="C4040" s="24" t="n"/>
      <c r="D4040" s="28" t="n"/>
      <c r="E4040" s="29" t="n"/>
      <c r="F4040" s="24" t="n"/>
      <c r="G4040" s="24" t="n"/>
      <c r="H4040" s="21">
        <f>IF(ISNUMBER($B4040),INT($B4040)-WEEKDAY($B4040,2)+1,"")</f>
        <v/>
      </c>
      <c r="I4040" s="24" t="n"/>
      <c r="J4040" s="22">
        <f t="array" ref="J4040">IF($D4040="","",IF($I4040="","(trống REF)",IFERROR(INDEX(MASTER_SOURCE!$B$2:$B$495,MATCH($I4040,MASTER_SOURCE!$A$2:$A$495,0)),"(REF không có trong MASTER_SOURCE)")))</f>
        <v/>
      </c>
      <c r="K4040" s="22">
        <f t="array" ref="K4040">IF($D4040="","",IFERROR(INDEX(MASTER_SOURCE!$C$2:$C$495,MATCH($I4040,MASTER_SOURCE!$A$2:$A$495,0)),""))</f>
        <v/>
      </c>
      <c r="L4040" s="22">
        <f t="array" ref="L4040">IF($D4040="","",IFERROR(INDEX(MASTER_SOURCE!$D$2:$D$495,MATCH($I4040,MASTER_SOURCE!$A$2:$A$495,0)),""))</f>
        <v/>
      </c>
      <c r="M4040" s="24" t="n"/>
      <c r="N4040" s="24" t="n"/>
      <c r="O4040" s="24" t="n"/>
      <c r="P4040" s="24" t="n"/>
      <c r="Q4040" s="22">
        <f>IF($D4040="","",IF(AND(OR(DANH_MUC!$L$5&lt;&gt;"Có",M4040="Có"),OR(DANH_MUC!$L$6&lt;&gt;"Có",N4040="Có"),OR(DANH_MUC!$L$7&lt;&gt;"Có",O4040="Có"),OR(DANH_MUC!$L$8&lt;&gt;"Có",P4040="Có")),"Có","Không"))</f>
        <v/>
      </c>
      <c r="R4040" s="22">
        <f>IF($D4040="","",IF(COUNTIF($D$2:$D4040,$D4040)&gt;1,"Trùng",""))</f>
        <v/>
      </c>
      <c r="S4040" s="22">
        <f>IF($D4040="","",IF(AND(LEN($D4040)=10,LEFT($D4040,1)="0",ISNUMBER(--$D4040)),"Có","Không"))</f>
        <v/>
      </c>
      <c r="T4040" s="22">
        <f>IF($D4040="","",IF(AND($C4040&lt;&gt;"",$Q4040="Có",$R4040="",$S4040="Có",AND($L4040&lt;&gt;"",OR($L4040&lt;&gt;"Chưa xác định",DANH_MUC!$L$9="Có"))),"Có","Không"))</f>
        <v/>
      </c>
      <c r="U4040" s="22">
        <f>IF(OR($D4040="",$T4040="Có"),"",IF($C4040="","Thiếu họ tên; ","")&amp;IF($S4040&lt;&gt;"Có","SĐT sai định dạng; ","")&amp;IF($R4040="Trùng","Trùng SĐT; ","")&amp;IF($Q4040&lt;&gt;"Có","Thiếu đồng ý bắt buộc; ","")&amp;IF($L4040="","Thiếu/sai Mã REF; ",IF(AND($L4040="Chưa xác định",DANH_MUC!$L$9&lt;&gt;"Có"),"Nguồn chưa xác định; ","")))</f>
        <v/>
      </c>
      <c r="V4040" s="22">
        <f>IF(OR($D4040="",$R4040="Trùng"),"",IF(COUNTIF(ORDERS!$C$2:$C$4995,$D4040)&gt;0,"Có","Không"))</f>
        <v/>
      </c>
      <c r="W4040" s="22">
        <f>IF(OR($D4040="",$R4040="Trùng"),"",COUNTIFS(ORDERS!$C$2:$C$4995,$D4040,ORDERS!$L$2:$L$4995,"Đã chuyển khoản"))</f>
        <v/>
      </c>
      <c r="X4040" s="23">
        <f>IF(OR($D4040="",$R4040="Trùng"),"",SUMIFS(ORDERS!$J$2:$J$4995,ORDERS!$C$2:$C$4995,$D4040,ORDERS!$L$2:$L$4995,"Đã chuyển khoản"))</f>
        <v/>
      </c>
      <c r="Y4040" s="24" t="n"/>
    </row>
    <row r="4041" ht="14.25" customHeight="1" s="40">
      <c r="A4041" s="24" t="n"/>
      <c r="B4041" s="27" t="n"/>
      <c r="C4041" s="24" t="n"/>
      <c r="D4041" s="28" t="n"/>
      <c r="E4041" s="29" t="n"/>
      <c r="F4041" s="24" t="n"/>
      <c r="G4041" s="24" t="n"/>
      <c r="H4041" s="21">
        <f>IF(ISNUMBER($B4041),INT($B4041)-WEEKDAY($B4041,2)+1,"")</f>
        <v/>
      </c>
      <c r="I4041" s="24" t="n"/>
      <c r="J4041" s="22">
        <f t="array" ref="J4041">IF($D4041="","",IF($I4041="","(trống REF)",IFERROR(INDEX(MASTER_SOURCE!$B$2:$B$495,MATCH($I4041,MASTER_SOURCE!$A$2:$A$495,0)),"(REF không có trong MASTER_SOURCE)")))</f>
        <v/>
      </c>
      <c r="K4041" s="22">
        <f t="array" ref="K4041">IF($D4041="","",IFERROR(INDEX(MASTER_SOURCE!$C$2:$C$495,MATCH($I4041,MASTER_SOURCE!$A$2:$A$495,0)),""))</f>
        <v/>
      </c>
      <c r="L4041" s="22">
        <f t="array" ref="L4041">IF($D4041="","",IFERROR(INDEX(MASTER_SOURCE!$D$2:$D$495,MATCH($I4041,MASTER_SOURCE!$A$2:$A$495,0)),""))</f>
        <v/>
      </c>
      <c r="M4041" s="24" t="n"/>
      <c r="N4041" s="24" t="n"/>
      <c r="O4041" s="24" t="n"/>
      <c r="P4041" s="24" t="n"/>
      <c r="Q4041" s="22">
        <f>IF($D4041="","",IF(AND(OR(DANH_MUC!$L$5&lt;&gt;"Có",M4041="Có"),OR(DANH_MUC!$L$6&lt;&gt;"Có",N4041="Có"),OR(DANH_MUC!$L$7&lt;&gt;"Có",O4041="Có"),OR(DANH_MUC!$L$8&lt;&gt;"Có",P4041="Có")),"Có","Không"))</f>
        <v/>
      </c>
      <c r="R4041" s="22">
        <f>IF($D4041="","",IF(COUNTIF($D$2:$D4041,$D4041)&gt;1,"Trùng",""))</f>
        <v/>
      </c>
      <c r="S4041" s="22">
        <f>IF($D4041="","",IF(AND(LEN($D4041)=10,LEFT($D4041,1)="0",ISNUMBER(--$D4041)),"Có","Không"))</f>
        <v/>
      </c>
      <c r="T4041" s="22">
        <f>IF($D4041="","",IF(AND($C4041&lt;&gt;"",$Q4041="Có",$R4041="",$S4041="Có",AND($L4041&lt;&gt;"",OR($L4041&lt;&gt;"Chưa xác định",DANH_MUC!$L$9="Có"))),"Có","Không"))</f>
        <v/>
      </c>
      <c r="U4041" s="22">
        <f>IF(OR($D4041="",$T4041="Có"),"",IF($C4041="","Thiếu họ tên; ","")&amp;IF($S4041&lt;&gt;"Có","SĐT sai định dạng; ","")&amp;IF($R4041="Trùng","Trùng SĐT; ","")&amp;IF($Q4041&lt;&gt;"Có","Thiếu đồng ý bắt buộc; ","")&amp;IF($L4041="","Thiếu/sai Mã REF; ",IF(AND($L4041="Chưa xác định",DANH_MUC!$L$9&lt;&gt;"Có"),"Nguồn chưa xác định; ","")))</f>
        <v/>
      </c>
      <c r="V4041" s="22">
        <f>IF(OR($D4041="",$R4041="Trùng"),"",IF(COUNTIF(ORDERS!$C$2:$C$4995,$D4041)&gt;0,"Có","Không"))</f>
        <v/>
      </c>
      <c r="W4041" s="22">
        <f>IF(OR($D4041="",$R4041="Trùng"),"",COUNTIFS(ORDERS!$C$2:$C$4995,$D4041,ORDERS!$L$2:$L$4995,"Đã chuyển khoản"))</f>
        <v/>
      </c>
      <c r="X4041" s="23">
        <f>IF(OR($D4041="",$R4041="Trùng"),"",SUMIFS(ORDERS!$J$2:$J$4995,ORDERS!$C$2:$C$4995,$D4041,ORDERS!$L$2:$L$4995,"Đã chuyển khoản"))</f>
        <v/>
      </c>
      <c r="Y4041" s="24" t="n"/>
    </row>
    <row r="4042" ht="14.25" customHeight="1" s="40">
      <c r="A4042" s="24" t="n"/>
      <c r="B4042" s="27" t="n"/>
      <c r="C4042" s="24" t="n"/>
      <c r="D4042" s="28" t="n"/>
      <c r="E4042" s="29" t="n"/>
      <c r="F4042" s="24" t="n"/>
      <c r="G4042" s="24" t="n"/>
      <c r="H4042" s="21">
        <f>IF(ISNUMBER($B4042),INT($B4042)-WEEKDAY($B4042,2)+1,"")</f>
        <v/>
      </c>
      <c r="I4042" s="24" t="n"/>
      <c r="J4042" s="22">
        <f t="array" ref="J4042">IF($D4042="","",IF($I4042="","(trống REF)",IFERROR(INDEX(MASTER_SOURCE!$B$2:$B$495,MATCH($I4042,MASTER_SOURCE!$A$2:$A$495,0)),"(REF không có trong MASTER_SOURCE)")))</f>
        <v/>
      </c>
      <c r="K4042" s="22">
        <f t="array" ref="K4042">IF($D4042="","",IFERROR(INDEX(MASTER_SOURCE!$C$2:$C$495,MATCH($I4042,MASTER_SOURCE!$A$2:$A$495,0)),""))</f>
        <v/>
      </c>
      <c r="L4042" s="22">
        <f t="array" ref="L4042">IF($D4042="","",IFERROR(INDEX(MASTER_SOURCE!$D$2:$D$495,MATCH($I4042,MASTER_SOURCE!$A$2:$A$495,0)),""))</f>
        <v/>
      </c>
      <c r="M4042" s="24" t="n"/>
      <c r="N4042" s="24" t="n"/>
      <c r="O4042" s="24" t="n"/>
      <c r="P4042" s="24" t="n"/>
      <c r="Q4042" s="22">
        <f>IF($D4042="","",IF(AND(OR(DANH_MUC!$L$5&lt;&gt;"Có",M4042="Có"),OR(DANH_MUC!$L$6&lt;&gt;"Có",N4042="Có"),OR(DANH_MUC!$L$7&lt;&gt;"Có",O4042="Có"),OR(DANH_MUC!$L$8&lt;&gt;"Có",P4042="Có")),"Có","Không"))</f>
        <v/>
      </c>
      <c r="R4042" s="22">
        <f>IF($D4042="","",IF(COUNTIF($D$2:$D4042,$D4042)&gt;1,"Trùng",""))</f>
        <v/>
      </c>
      <c r="S4042" s="22">
        <f>IF($D4042="","",IF(AND(LEN($D4042)=10,LEFT($D4042,1)="0",ISNUMBER(--$D4042)),"Có","Không"))</f>
        <v/>
      </c>
      <c r="T4042" s="22">
        <f>IF($D4042="","",IF(AND($C4042&lt;&gt;"",$Q4042="Có",$R4042="",$S4042="Có",AND($L4042&lt;&gt;"",OR($L4042&lt;&gt;"Chưa xác định",DANH_MUC!$L$9="Có"))),"Có","Không"))</f>
        <v/>
      </c>
      <c r="U4042" s="22">
        <f>IF(OR($D4042="",$T4042="Có"),"",IF($C4042="","Thiếu họ tên; ","")&amp;IF($S4042&lt;&gt;"Có","SĐT sai định dạng; ","")&amp;IF($R4042="Trùng","Trùng SĐT; ","")&amp;IF($Q4042&lt;&gt;"Có","Thiếu đồng ý bắt buộc; ","")&amp;IF($L4042="","Thiếu/sai Mã REF; ",IF(AND($L4042="Chưa xác định",DANH_MUC!$L$9&lt;&gt;"Có"),"Nguồn chưa xác định; ","")))</f>
        <v/>
      </c>
      <c r="V4042" s="22">
        <f>IF(OR($D4042="",$R4042="Trùng"),"",IF(COUNTIF(ORDERS!$C$2:$C$4995,$D4042)&gt;0,"Có","Không"))</f>
        <v/>
      </c>
      <c r="W4042" s="22">
        <f>IF(OR($D4042="",$R4042="Trùng"),"",COUNTIFS(ORDERS!$C$2:$C$4995,$D4042,ORDERS!$L$2:$L$4995,"Đã chuyển khoản"))</f>
        <v/>
      </c>
      <c r="X4042" s="23">
        <f>IF(OR($D4042="",$R4042="Trùng"),"",SUMIFS(ORDERS!$J$2:$J$4995,ORDERS!$C$2:$C$4995,$D4042,ORDERS!$L$2:$L$4995,"Đã chuyển khoản"))</f>
        <v/>
      </c>
      <c r="Y4042" s="24" t="n"/>
    </row>
    <row r="4043" ht="14.25" customHeight="1" s="40">
      <c r="A4043" s="24" t="n"/>
      <c r="B4043" s="27" t="n"/>
      <c r="C4043" s="24" t="n"/>
      <c r="D4043" s="28" t="n"/>
      <c r="E4043" s="29" t="n"/>
      <c r="F4043" s="24" t="n"/>
      <c r="G4043" s="24" t="n"/>
      <c r="H4043" s="21">
        <f>IF(ISNUMBER($B4043),INT($B4043)-WEEKDAY($B4043,2)+1,"")</f>
        <v/>
      </c>
      <c r="I4043" s="24" t="n"/>
      <c r="J4043" s="22">
        <f t="array" ref="J4043">IF($D4043="","",IF($I4043="","(trống REF)",IFERROR(INDEX(MASTER_SOURCE!$B$2:$B$495,MATCH($I4043,MASTER_SOURCE!$A$2:$A$495,0)),"(REF không có trong MASTER_SOURCE)")))</f>
        <v/>
      </c>
      <c r="K4043" s="22">
        <f t="array" ref="K4043">IF($D4043="","",IFERROR(INDEX(MASTER_SOURCE!$C$2:$C$495,MATCH($I4043,MASTER_SOURCE!$A$2:$A$495,0)),""))</f>
        <v/>
      </c>
      <c r="L4043" s="22">
        <f t="array" ref="L4043">IF($D4043="","",IFERROR(INDEX(MASTER_SOURCE!$D$2:$D$495,MATCH($I4043,MASTER_SOURCE!$A$2:$A$495,0)),""))</f>
        <v/>
      </c>
      <c r="M4043" s="24" t="n"/>
      <c r="N4043" s="24" t="n"/>
      <c r="O4043" s="24" t="n"/>
      <c r="P4043" s="24" t="n"/>
      <c r="Q4043" s="22">
        <f>IF($D4043="","",IF(AND(OR(DANH_MUC!$L$5&lt;&gt;"Có",M4043="Có"),OR(DANH_MUC!$L$6&lt;&gt;"Có",N4043="Có"),OR(DANH_MUC!$L$7&lt;&gt;"Có",O4043="Có"),OR(DANH_MUC!$L$8&lt;&gt;"Có",P4043="Có")),"Có","Không"))</f>
        <v/>
      </c>
      <c r="R4043" s="22">
        <f>IF($D4043="","",IF(COUNTIF($D$2:$D4043,$D4043)&gt;1,"Trùng",""))</f>
        <v/>
      </c>
      <c r="S4043" s="22">
        <f>IF($D4043="","",IF(AND(LEN($D4043)=10,LEFT($D4043,1)="0",ISNUMBER(--$D4043)),"Có","Không"))</f>
        <v/>
      </c>
      <c r="T4043" s="22">
        <f>IF($D4043="","",IF(AND($C4043&lt;&gt;"",$Q4043="Có",$R4043="",$S4043="Có",AND($L4043&lt;&gt;"",OR($L4043&lt;&gt;"Chưa xác định",DANH_MUC!$L$9="Có"))),"Có","Không"))</f>
        <v/>
      </c>
      <c r="U4043" s="22">
        <f>IF(OR($D4043="",$T4043="Có"),"",IF($C4043="","Thiếu họ tên; ","")&amp;IF($S4043&lt;&gt;"Có","SĐT sai định dạng; ","")&amp;IF($R4043="Trùng","Trùng SĐT; ","")&amp;IF($Q4043&lt;&gt;"Có","Thiếu đồng ý bắt buộc; ","")&amp;IF($L4043="","Thiếu/sai Mã REF; ",IF(AND($L4043="Chưa xác định",DANH_MUC!$L$9&lt;&gt;"Có"),"Nguồn chưa xác định; ","")))</f>
        <v/>
      </c>
      <c r="V4043" s="22">
        <f>IF(OR($D4043="",$R4043="Trùng"),"",IF(COUNTIF(ORDERS!$C$2:$C$4995,$D4043)&gt;0,"Có","Không"))</f>
        <v/>
      </c>
      <c r="W4043" s="22">
        <f>IF(OR($D4043="",$R4043="Trùng"),"",COUNTIFS(ORDERS!$C$2:$C$4995,$D4043,ORDERS!$L$2:$L$4995,"Đã chuyển khoản"))</f>
        <v/>
      </c>
      <c r="X4043" s="23">
        <f>IF(OR($D4043="",$R4043="Trùng"),"",SUMIFS(ORDERS!$J$2:$J$4995,ORDERS!$C$2:$C$4995,$D4043,ORDERS!$L$2:$L$4995,"Đã chuyển khoản"))</f>
        <v/>
      </c>
      <c r="Y4043" s="24" t="n"/>
    </row>
    <row r="4044" ht="14.25" customHeight="1" s="40">
      <c r="A4044" s="24" t="n"/>
      <c r="B4044" s="27" t="n"/>
      <c r="C4044" s="24" t="n"/>
      <c r="D4044" s="28" t="n"/>
      <c r="E4044" s="29" t="n"/>
      <c r="F4044" s="24" t="n"/>
      <c r="G4044" s="24" t="n"/>
      <c r="H4044" s="21">
        <f>IF(ISNUMBER($B4044),INT($B4044)-WEEKDAY($B4044,2)+1,"")</f>
        <v/>
      </c>
      <c r="I4044" s="24" t="n"/>
      <c r="J4044" s="22">
        <f t="array" ref="J4044">IF($D4044="","",IF($I4044="","(trống REF)",IFERROR(INDEX(MASTER_SOURCE!$B$2:$B$495,MATCH($I4044,MASTER_SOURCE!$A$2:$A$495,0)),"(REF không có trong MASTER_SOURCE)")))</f>
        <v/>
      </c>
      <c r="K4044" s="22">
        <f t="array" ref="K4044">IF($D4044="","",IFERROR(INDEX(MASTER_SOURCE!$C$2:$C$495,MATCH($I4044,MASTER_SOURCE!$A$2:$A$495,0)),""))</f>
        <v/>
      </c>
      <c r="L4044" s="22">
        <f t="array" ref="L4044">IF($D4044="","",IFERROR(INDEX(MASTER_SOURCE!$D$2:$D$495,MATCH($I4044,MASTER_SOURCE!$A$2:$A$495,0)),""))</f>
        <v/>
      </c>
      <c r="M4044" s="24" t="n"/>
      <c r="N4044" s="24" t="n"/>
      <c r="O4044" s="24" t="n"/>
      <c r="P4044" s="24" t="n"/>
      <c r="Q4044" s="22">
        <f>IF($D4044="","",IF(AND(OR(DANH_MUC!$L$5&lt;&gt;"Có",M4044="Có"),OR(DANH_MUC!$L$6&lt;&gt;"Có",N4044="Có"),OR(DANH_MUC!$L$7&lt;&gt;"Có",O4044="Có"),OR(DANH_MUC!$L$8&lt;&gt;"Có",P4044="Có")),"Có","Không"))</f>
        <v/>
      </c>
      <c r="R4044" s="22">
        <f>IF($D4044="","",IF(COUNTIF($D$2:$D4044,$D4044)&gt;1,"Trùng",""))</f>
        <v/>
      </c>
      <c r="S4044" s="22">
        <f>IF($D4044="","",IF(AND(LEN($D4044)=10,LEFT($D4044,1)="0",ISNUMBER(--$D4044)),"Có","Không"))</f>
        <v/>
      </c>
      <c r="T4044" s="22">
        <f>IF($D4044="","",IF(AND($C4044&lt;&gt;"",$Q4044="Có",$R4044="",$S4044="Có",AND($L4044&lt;&gt;"",OR($L4044&lt;&gt;"Chưa xác định",DANH_MUC!$L$9="Có"))),"Có","Không"))</f>
        <v/>
      </c>
      <c r="U4044" s="22">
        <f>IF(OR($D4044="",$T4044="Có"),"",IF($C4044="","Thiếu họ tên; ","")&amp;IF($S4044&lt;&gt;"Có","SĐT sai định dạng; ","")&amp;IF($R4044="Trùng","Trùng SĐT; ","")&amp;IF($Q4044&lt;&gt;"Có","Thiếu đồng ý bắt buộc; ","")&amp;IF($L4044="","Thiếu/sai Mã REF; ",IF(AND($L4044="Chưa xác định",DANH_MUC!$L$9&lt;&gt;"Có"),"Nguồn chưa xác định; ","")))</f>
        <v/>
      </c>
      <c r="V4044" s="22">
        <f>IF(OR($D4044="",$R4044="Trùng"),"",IF(COUNTIF(ORDERS!$C$2:$C$4995,$D4044)&gt;0,"Có","Không"))</f>
        <v/>
      </c>
      <c r="W4044" s="22">
        <f>IF(OR($D4044="",$R4044="Trùng"),"",COUNTIFS(ORDERS!$C$2:$C$4995,$D4044,ORDERS!$L$2:$L$4995,"Đã chuyển khoản"))</f>
        <v/>
      </c>
      <c r="X4044" s="23">
        <f>IF(OR($D4044="",$R4044="Trùng"),"",SUMIFS(ORDERS!$J$2:$J$4995,ORDERS!$C$2:$C$4995,$D4044,ORDERS!$L$2:$L$4995,"Đã chuyển khoản"))</f>
        <v/>
      </c>
      <c r="Y4044" s="24" t="n"/>
    </row>
    <row r="4045" ht="14.25" customHeight="1" s="40">
      <c r="A4045" s="24" t="n"/>
      <c r="B4045" s="27" t="n"/>
      <c r="C4045" s="24" t="n"/>
      <c r="D4045" s="28" t="n"/>
      <c r="E4045" s="29" t="n"/>
      <c r="F4045" s="24" t="n"/>
      <c r="G4045" s="24" t="n"/>
      <c r="H4045" s="21">
        <f>IF(ISNUMBER($B4045),INT($B4045)-WEEKDAY($B4045,2)+1,"")</f>
        <v/>
      </c>
      <c r="I4045" s="24" t="n"/>
      <c r="J4045" s="22">
        <f t="array" ref="J4045">IF($D4045="","",IF($I4045="","(trống REF)",IFERROR(INDEX(MASTER_SOURCE!$B$2:$B$495,MATCH($I4045,MASTER_SOURCE!$A$2:$A$495,0)),"(REF không có trong MASTER_SOURCE)")))</f>
        <v/>
      </c>
      <c r="K4045" s="22">
        <f t="array" ref="K4045">IF($D4045="","",IFERROR(INDEX(MASTER_SOURCE!$C$2:$C$495,MATCH($I4045,MASTER_SOURCE!$A$2:$A$495,0)),""))</f>
        <v/>
      </c>
      <c r="L4045" s="22">
        <f t="array" ref="L4045">IF($D4045="","",IFERROR(INDEX(MASTER_SOURCE!$D$2:$D$495,MATCH($I4045,MASTER_SOURCE!$A$2:$A$495,0)),""))</f>
        <v/>
      </c>
      <c r="M4045" s="24" t="n"/>
      <c r="N4045" s="24" t="n"/>
      <c r="O4045" s="24" t="n"/>
      <c r="P4045" s="24" t="n"/>
      <c r="Q4045" s="22">
        <f>IF($D4045="","",IF(AND(OR(DANH_MUC!$L$5&lt;&gt;"Có",M4045="Có"),OR(DANH_MUC!$L$6&lt;&gt;"Có",N4045="Có"),OR(DANH_MUC!$L$7&lt;&gt;"Có",O4045="Có"),OR(DANH_MUC!$L$8&lt;&gt;"Có",P4045="Có")),"Có","Không"))</f>
        <v/>
      </c>
      <c r="R4045" s="22">
        <f>IF($D4045="","",IF(COUNTIF($D$2:$D4045,$D4045)&gt;1,"Trùng",""))</f>
        <v/>
      </c>
      <c r="S4045" s="22">
        <f>IF($D4045="","",IF(AND(LEN($D4045)=10,LEFT($D4045,1)="0",ISNUMBER(--$D4045)),"Có","Không"))</f>
        <v/>
      </c>
      <c r="T4045" s="22">
        <f>IF($D4045="","",IF(AND($C4045&lt;&gt;"",$Q4045="Có",$R4045="",$S4045="Có",AND($L4045&lt;&gt;"",OR($L4045&lt;&gt;"Chưa xác định",DANH_MUC!$L$9="Có"))),"Có","Không"))</f>
        <v/>
      </c>
      <c r="U4045" s="22">
        <f>IF(OR($D4045="",$T4045="Có"),"",IF($C4045="","Thiếu họ tên; ","")&amp;IF($S4045&lt;&gt;"Có","SĐT sai định dạng; ","")&amp;IF($R4045="Trùng","Trùng SĐT; ","")&amp;IF($Q4045&lt;&gt;"Có","Thiếu đồng ý bắt buộc; ","")&amp;IF($L4045="","Thiếu/sai Mã REF; ",IF(AND($L4045="Chưa xác định",DANH_MUC!$L$9&lt;&gt;"Có"),"Nguồn chưa xác định; ","")))</f>
        <v/>
      </c>
      <c r="V4045" s="22">
        <f>IF(OR($D4045="",$R4045="Trùng"),"",IF(COUNTIF(ORDERS!$C$2:$C$4995,$D4045)&gt;0,"Có","Không"))</f>
        <v/>
      </c>
      <c r="W4045" s="22">
        <f>IF(OR($D4045="",$R4045="Trùng"),"",COUNTIFS(ORDERS!$C$2:$C$4995,$D4045,ORDERS!$L$2:$L$4995,"Đã chuyển khoản"))</f>
        <v/>
      </c>
      <c r="X4045" s="23">
        <f>IF(OR($D4045="",$R4045="Trùng"),"",SUMIFS(ORDERS!$J$2:$J$4995,ORDERS!$C$2:$C$4995,$D4045,ORDERS!$L$2:$L$4995,"Đã chuyển khoản"))</f>
        <v/>
      </c>
      <c r="Y4045" s="24" t="n"/>
    </row>
    <row r="4046" ht="14.25" customHeight="1" s="40">
      <c r="A4046" s="24" t="n"/>
      <c r="B4046" s="27" t="n"/>
      <c r="C4046" s="24" t="n"/>
      <c r="D4046" s="28" t="n"/>
      <c r="E4046" s="29" t="n"/>
      <c r="F4046" s="24" t="n"/>
      <c r="G4046" s="24" t="n"/>
      <c r="H4046" s="21">
        <f>IF(ISNUMBER($B4046),INT($B4046)-WEEKDAY($B4046,2)+1,"")</f>
        <v/>
      </c>
      <c r="I4046" s="24" t="n"/>
      <c r="J4046" s="22">
        <f t="array" ref="J4046">IF($D4046="","",IF($I4046="","(trống REF)",IFERROR(INDEX(MASTER_SOURCE!$B$2:$B$495,MATCH($I4046,MASTER_SOURCE!$A$2:$A$495,0)),"(REF không có trong MASTER_SOURCE)")))</f>
        <v/>
      </c>
      <c r="K4046" s="22">
        <f t="array" ref="K4046">IF($D4046="","",IFERROR(INDEX(MASTER_SOURCE!$C$2:$C$495,MATCH($I4046,MASTER_SOURCE!$A$2:$A$495,0)),""))</f>
        <v/>
      </c>
      <c r="L4046" s="22">
        <f t="array" ref="L4046">IF($D4046="","",IFERROR(INDEX(MASTER_SOURCE!$D$2:$D$495,MATCH($I4046,MASTER_SOURCE!$A$2:$A$495,0)),""))</f>
        <v/>
      </c>
      <c r="M4046" s="24" t="n"/>
      <c r="N4046" s="24" t="n"/>
      <c r="O4046" s="24" t="n"/>
      <c r="P4046" s="24" t="n"/>
      <c r="Q4046" s="22">
        <f>IF($D4046="","",IF(AND(OR(DANH_MUC!$L$5&lt;&gt;"Có",M4046="Có"),OR(DANH_MUC!$L$6&lt;&gt;"Có",N4046="Có"),OR(DANH_MUC!$L$7&lt;&gt;"Có",O4046="Có"),OR(DANH_MUC!$L$8&lt;&gt;"Có",P4046="Có")),"Có","Không"))</f>
        <v/>
      </c>
      <c r="R4046" s="22">
        <f>IF($D4046="","",IF(COUNTIF($D$2:$D4046,$D4046)&gt;1,"Trùng",""))</f>
        <v/>
      </c>
      <c r="S4046" s="22">
        <f>IF($D4046="","",IF(AND(LEN($D4046)=10,LEFT($D4046,1)="0",ISNUMBER(--$D4046)),"Có","Không"))</f>
        <v/>
      </c>
      <c r="T4046" s="22">
        <f>IF($D4046="","",IF(AND($C4046&lt;&gt;"",$Q4046="Có",$R4046="",$S4046="Có",AND($L4046&lt;&gt;"",OR($L4046&lt;&gt;"Chưa xác định",DANH_MUC!$L$9="Có"))),"Có","Không"))</f>
        <v/>
      </c>
      <c r="U4046" s="22">
        <f>IF(OR($D4046="",$T4046="Có"),"",IF($C4046="","Thiếu họ tên; ","")&amp;IF($S4046&lt;&gt;"Có","SĐT sai định dạng; ","")&amp;IF($R4046="Trùng","Trùng SĐT; ","")&amp;IF($Q4046&lt;&gt;"Có","Thiếu đồng ý bắt buộc; ","")&amp;IF($L4046="","Thiếu/sai Mã REF; ",IF(AND($L4046="Chưa xác định",DANH_MUC!$L$9&lt;&gt;"Có"),"Nguồn chưa xác định; ","")))</f>
        <v/>
      </c>
      <c r="V4046" s="22">
        <f>IF(OR($D4046="",$R4046="Trùng"),"",IF(COUNTIF(ORDERS!$C$2:$C$4995,$D4046)&gt;0,"Có","Không"))</f>
        <v/>
      </c>
      <c r="W4046" s="22">
        <f>IF(OR($D4046="",$R4046="Trùng"),"",COUNTIFS(ORDERS!$C$2:$C$4995,$D4046,ORDERS!$L$2:$L$4995,"Đã chuyển khoản"))</f>
        <v/>
      </c>
      <c r="X4046" s="23">
        <f>IF(OR($D4046="",$R4046="Trùng"),"",SUMIFS(ORDERS!$J$2:$J$4995,ORDERS!$C$2:$C$4995,$D4046,ORDERS!$L$2:$L$4995,"Đã chuyển khoản"))</f>
        <v/>
      </c>
      <c r="Y4046" s="24" t="n"/>
    </row>
    <row r="4047" ht="14.25" customHeight="1" s="40">
      <c r="A4047" s="24" t="n"/>
      <c r="B4047" s="27" t="n"/>
      <c r="C4047" s="24" t="n"/>
      <c r="D4047" s="28" t="n"/>
      <c r="E4047" s="29" t="n"/>
      <c r="F4047" s="24" t="n"/>
      <c r="G4047" s="24" t="n"/>
      <c r="H4047" s="21">
        <f>IF(ISNUMBER($B4047),INT($B4047)-WEEKDAY($B4047,2)+1,"")</f>
        <v/>
      </c>
      <c r="I4047" s="24" t="n"/>
      <c r="J4047" s="22">
        <f t="array" ref="J4047">IF($D4047="","",IF($I4047="","(trống REF)",IFERROR(INDEX(MASTER_SOURCE!$B$2:$B$495,MATCH($I4047,MASTER_SOURCE!$A$2:$A$495,0)),"(REF không có trong MASTER_SOURCE)")))</f>
        <v/>
      </c>
      <c r="K4047" s="22">
        <f t="array" ref="K4047">IF($D4047="","",IFERROR(INDEX(MASTER_SOURCE!$C$2:$C$495,MATCH($I4047,MASTER_SOURCE!$A$2:$A$495,0)),""))</f>
        <v/>
      </c>
      <c r="L4047" s="22">
        <f t="array" ref="L4047">IF($D4047="","",IFERROR(INDEX(MASTER_SOURCE!$D$2:$D$495,MATCH($I4047,MASTER_SOURCE!$A$2:$A$495,0)),""))</f>
        <v/>
      </c>
      <c r="M4047" s="24" t="n"/>
      <c r="N4047" s="24" t="n"/>
      <c r="O4047" s="24" t="n"/>
      <c r="P4047" s="24" t="n"/>
      <c r="Q4047" s="22">
        <f>IF($D4047="","",IF(AND(OR(DANH_MUC!$L$5&lt;&gt;"Có",M4047="Có"),OR(DANH_MUC!$L$6&lt;&gt;"Có",N4047="Có"),OR(DANH_MUC!$L$7&lt;&gt;"Có",O4047="Có"),OR(DANH_MUC!$L$8&lt;&gt;"Có",P4047="Có")),"Có","Không"))</f>
        <v/>
      </c>
      <c r="R4047" s="22">
        <f>IF($D4047="","",IF(COUNTIF($D$2:$D4047,$D4047)&gt;1,"Trùng",""))</f>
        <v/>
      </c>
      <c r="S4047" s="22">
        <f>IF($D4047="","",IF(AND(LEN($D4047)=10,LEFT($D4047,1)="0",ISNUMBER(--$D4047)),"Có","Không"))</f>
        <v/>
      </c>
      <c r="T4047" s="22">
        <f>IF($D4047="","",IF(AND($C4047&lt;&gt;"",$Q4047="Có",$R4047="",$S4047="Có",AND($L4047&lt;&gt;"",OR($L4047&lt;&gt;"Chưa xác định",DANH_MUC!$L$9="Có"))),"Có","Không"))</f>
        <v/>
      </c>
      <c r="U4047" s="22">
        <f>IF(OR($D4047="",$T4047="Có"),"",IF($C4047="","Thiếu họ tên; ","")&amp;IF($S4047&lt;&gt;"Có","SĐT sai định dạng; ","")&amp;IF($R4047="Trùng","Trùng SĐT; ","")&amp;IF($Q4047&lt;&gt;"Có","Thiếu đồng ý bắt buộc; ","")&amp;IF($L4047="","Thiếu/sai Mã REF; ",IF(AND($L4047="Chưa xác định",DANH_MUC!$L$9&lt;&gt;"Có"),"Nguồn chưa xác định; ","")))</f>
        <v/>
      </c>
      <c r="V4047" s="22">
        <f>IF(OR($D4047="",$R4047="Trùng"),"",IF(COUNTIF(ORDERS!$C$2:$C$4995,$D4047)&gt;0,"Có","Không"))</f>
        <v/>
      </c>
      <c r="W4047" s="22">
        <f>IF(OR($D4047="",$R4047="Trùng"),"",COUNTIFS(ORDERS!$C$2:$C$4995,$D4047,ORDERS!$L$2:$L$4995,"Đã chuyển khoản"))</f>
        <v/>
      </c>
      <c r="X4047" s="23">
        <f>IF(OR($D4047="",$R4047="Trùng"),"",SUMIFS(ORDERS!$J$2:$J$4995,ORDERS!$C$2:$C$4995,$D4047,ORDERS!$L$2:$L$4995,"Đã chuyển khoản"))</f>
        <v/>
      </c>
      <c r="Y4047" s="24" t="n"/>
    </row>
    <row r="4048" ht="14.25" customHeight="1" s="40">
      <c r="A4048" s="24" t="n"/>
      <c r="B4048" s="27" t="n"/>
      <c r="C4048" s="24" t="n"/>
      <c r="D4048" s="28" t="n"/>
      <c r="E4048" s="29" t="n"/>
      <c r="F4048" s="24" t="n"/>
      <c r="G4048" s="24" t="n"/>
      <c r="H4048" s="21">
        <f>IF(ISNUMBER($B4048),INT($B4048)-WEEKDAY($B4048,2)+1,"")</f>
        <v/>
      </c>
      <c r="I4048" s="24" t="n"/>
      <c r="J4048" s="22">
        <f t="array" ref="J4048">IF($D4048="","",IF($I4048="","(trống REF)",IFERROR(INDEX(MASTER_SOURCE!$B$2:$B$495,MATCH($I4048,MASTER_SOURCE!$A$2:$A$495,0)),"(REF không có trong MASTER_SOURCE)")))</f>
        <v/>
      </c>
      <c r="K4048" s="22">
        <f t="array" ref="K4048">IF($D4048="","",IFERROR(INDEX(MASTER_SOURCE!$C$2:$C$495,MATCH($I4048,MASTER_SOURCE!$A$2:$A$495,0)),""))</f>
        <v/>
      </c>
      <c r="L4048" s="22">
        <f t="array" ref="L4048">IF($D4048="","",IFERROR(INDEX(MASTER_SOURCE!$D$2:$D$495,MATCH($I4048,MASTER_SOURCE!$A$2:$A$495,0)),""))</f>
        <v/>
      </c>
      <c r="M4048" s="24" t="n"/>
      <c r="N4048" s="24" t="n"/>
      <c r="O4048" s="24" t="n"/>
      <c r="P4048" s="24" t="n"/>
      <c r="Q4048" s="22">
        <f>IF($D4048="","",IF(AND(OR(DANH_MUC!$L$5&lt;&gt;"Có",M4048="Có"),OR(DANH_MUC!$L$6&lt;&gt;"Có",N4048="Có"),OR(DANH_MUC!$L$7&lt;&gt;"Có",O4048="Có"),OR(DANH_MUC!$L$8&lt;&gt;"Có",P4048="Có")),"Có","Không"))</f>
        <v/>
      </c>
      <c r="R4048" s="22">
        <f>IF($D4048="","",IF(COUNTIF($D$2:$D4048,$D4048)&gt;1,"Trùng",""))</f>
        <v/>
      </c>
      <c r="S4048" s="22">
        <f>IF($D4048="","",IF(AND(LEN($D4048)=10,LEFT($D4048,1)="0",ISNUMBER(--$D4048)),"Có","Không"))</f>
        <v/>
      </c>
      <c r="T4048" s="22">
        <f>IF($D4048="","",IF(AND($C4048&lt;&gt;"",$Q4048="Có",$R4048="",$S4048="Có",AND($L4048&lt;&gt;"",OR($L4048&lt;&gt;"Chưa xác định",DANH_MUC!$L$9="Có"))),"Có","Không"))</f>
        <v/>
      </c>
      <c r="U4048" s="22">
        <f>IF(OR($D4048="",$T4048="Có"),"",IF($C4048="","Thiếu họ tên; ","")&amp;IF($S4048&lt;&gt;"Có","SĐT sai định dạng; ","")&amp;IF($R4048="Trùng","Trùng SĐT; ","")&amp;IF($Q4048&lt;&gt;"Có","Thiếu đồng ý bắt buộc; ","")&amp;IF($L4048="","Thiếu/sai Mã REF; ",IF(AND($L4048="Chưa xác định",DANH_MUC!$L$9&lt;&gt;"Có"),"Nguồn chưa xác định; ","")))</f>
        <v/>
      </c>
      <c r="V4048" s="22">
        <f>IF(OR($D4048="",$R4048="Trùng"),"",IF(COUNTIF(ORDERS!$C$2:$C$4995,$D4048)&gt;0,"Có","Không"))</f>
        <v/>
      </c>
      <c r="W4048" s="22">
        <f>IF(OR($D4048="",$R4048="Trùng"),"",COUNTIFS(ORDERS!$C$2:$C$4995,$D4048,ORDERS!$L$2:$L$4995,"Đã chuyển khoản"))</f>
        <v/>
      </c>
      <c r="X4048" s="23">
        <f>IF(OR($D4048="",$R4048="Trùng"),"",SUMIFS(ORDERS!$J$2:$J$4995,ORDERS!$C$2:$C$4995,$D4048,ORDERS!$L$2:$L$4995,"Đã chuyển khoản"))</f>
        <v/>
      </c>
      <c r="Y4048" s="24" t="n"/>
    </row>
    <row r="4049" ht="14.25" customHeight="1" s="40">
      <c r="A4049" s="24" t="n"/>
      <c r="B4049" s="27" t="n"/>
      <c r="C4049" s="24" t="n"/>
      <c r="D4049" s="28" t="n"/>
      <c r="E4049" s="29" t="n"/>
      <c r="F4049" s="24" t="n"/>
      <c r="G4049" s="24" t="n"/>
      <c r="H4049" s="21">
        <f>IF(ISNUMBER($B4049),INT($B4049)-WEEKDAY($B4049,2)+1,"")</f>
        <v/>
      </c>
      <c r="I4049" s="24" t="n"/>
      <c r="J4049" s="22">
        <f t="array" ref="J4049">IF($D4049="","",IF($I4049="","(trống REF)",IFERROR(INDEX(MASTER_SOURCE!$B$2:$B$495,MATCH($I4049,MASTER_SOURCE!$A$2:$A$495,0)),"(REF không có trong MASTER_SOURCE)")))</f>
        <v/>
      </c>
      <c r="K4049" s="22">
        <f t="array" ref="K4049">IF($D4049="","",IFERROR(INDEX(MASTER_SOURCE!$C$2:$C$495,MATCH($I4049,MASTER_SOURCE!$A$2:$A$495,0)),""))</f>
        <v/>
      </c>
      <c r="L4049" s="22">
        <f t="array" ref="L4049">IF($D4049="","",IFERROR(INDEX(MASTER_SOURCE!$D$2:$D$495,MATCH($I4049,MASTER_SOURCE!$A$2:$A$495,0)),""))</f>
        <v/>
      </c>
      <c r="M4049" s="24" t="n"/>
      <c r="N4049" s="24" t="n"/>
      <c r="O4049" s="24" t="n"/>
      <c r="P4049" s="24" t="n"/>
      <c r="Q4049" s="22">
        <f>IF($D4049="","",IF(AND(OR(DANH_MUC!$L$5&lt;&gt;"Có",M4049="Có"),OR(DANH_MUC!$L$6&lt;&gt;"Có",N4049="Có"),OR(DANH_MUC!$L$7&lt;&gt;"Có",O4049="Có"),OR(DANH_MUC!$L$8&lt;&gt;"Có",P4049="Có")),"Có","Không"))</f>
        <v/>
      </c>
      <c r="R4049" s="22">
        <f>IF($D4049="","",IF(COUNTIF($D$2:$D4049,$D4049)&gt;1,"Trùng",""))</f>
        <v/>
      </c>
      <c r="S4049" s="22">
        <f>IF($D4049="","",IF(AND(LEN($D4049)=10,LEFT($D4049,1)="0",ISNUMBER(--$D4049)),"Có","Không"))</f>
        <v/>
      </c>
      <c r="T4049" s="22">
        <f>IF($D4049="","",IF(AND($C4049&lt;&gt;"",$Q4049="Có",$R4049="",$S4049="Có",AND($L4049&lt;&gt;"",OR($L4049&lt;&gt;"Chưa xác định",DANH_MUC!$L$9="Có"))),"Có","Không"))</f>
        <v/>
      </c>
      <c r="U4049" s="22">
        <f>IF(OR($D4049="",$T4049="Có"),"",IF($C4049="","Thiếu họ tên; ","")&amp;IF($S4049&lt;&gt;"Có","SĐT sai định dạng; ","")&amp;IF($R4049="Trùng","Trùng SĐT; ","")&amp;IF($Q4049&lt;&gt;"Có","Thiếu đồng ý bắt buộc; ","")&amp;IF($L4049="","Thiếu/sai Mã REF; ",IF(AND($L4049="Chưa xác định",DANH_MUC!$L$9&lt;&gt;"Có"),"Nguồn chưa xác định; ","")))</f>
        <v/>
      </c>
      <c r="V4049" s="22">
        <f>IF(OR($D4049="",$R4049="Trùng"),"",IF(COUNTIF(ORDERS!$C$2:$C$4995,$D4049)&gt;0,"Có","Không"))</f>
        <v/>
      </c>
      <c r="W4049" s="22">
        <f>IF(OR($D4049="",$R4049="Trùng"),"",COUNTIFS(ORDERS!$C$2:$C$4995,$D4049,ORDERS!$L$2:$L$4995,"Đã chuyển khoản"))</f>
        <v/>
      </c>
      <c r="X4049" s="23">
        <f>IF(OR($D4049="",$R4049="Trùng"),"",SUMIFS(ORDERS!$J$2:$J$4995,ORDERS!$C$2:$C$4995,$D4049,ORDERS!$L$2:$L$4995,"Đã chuyển khoản"))</f>
        <v/>
      </c>
      <c r="Y4049" s="24" t="n"/>
    </row>
    <row r="4050" ht="14.25" customHeight="1" s="40">
      <c r="A4050" s="24" t="n"/>
      <c r="B4050" s="27" t="n"/>
      <c r="C4050" s="24" t="n"/>
      <c r="D4050" s="28" t="n"/>
      <c r="E4050" s="29" t="n"/>
      <c r="F4050" s="24" t="n"/>
      <c r="G4050" s="24" t="n"/>
      <c r="H4050" s="21">
        <f>IF(ISNUMBER($B4050),INT($B4050)-WEEKDAY($B4050,2)+1,"")</f>
        <v/>
      </c>
      <c r="I4050" s="24" t="n"/>
      <c r="J4050" s="22">
        <f t="array" ref="J4050">IF($D4050="","",IF($I4050="","(trống REF)",IFERROR(INDEX(MASTER_SOURCE!$B$2:$B$495,MATCH($I4050,MASTER_SOURCE!$A$2:$A$495,0)),"(REF không có trong MASTER_SOURCE)")))</f>
        <v/>
      </c>
      <c r="K4050" s="22">
        <f t="array" ref="K4050">IF($D4050="","",IFERROR(INDEX(MASTER_SOURCE!$C$2:$C$495,MATCH($I4050,MASTER_SOURCE!$A$2:$A$495,0)),""))</f>
        <v/>
      </c>
      <c r="L4050" s="22">
        <f t="array" ref="L4050">IF($D4050="","",IFERROR(INDEX(MASTER_SOURCE!$D$2:$D$495,MATCH($I4050,MASTER_SOURCE!$A$2:$A$495,0)),""))</f>
        <v/>
      </c>
      <c r="M4050" s="24" t="n"/>
      <c r="N4050" s="24" t="n"/>
      <c r="O4050" s="24" t="n"/>
      <c r="P4050" s="24" t="n"/>
      <c r="Q4050" s="22">
        <f>IF($D4050="","",IF(AND(OR(DANH_MUC!$L$5&lt;&gt;"Có",M4050="Có"),OR(DANH_MUC!$L$6&lt;&gt;"Có",N4050="Có"),OR(DANH_MUC!$L$7&lt;&gt;"Có",O4050="Có"),OR(DANH_MUC!$L$8&lt;&gt;"Có",P4050="Có")),"Có","Không"))</f>
        <v/>
      </c>
      <c r="R4050" s="22">
        <f>IF($D4050="","",IF(COUNTIF($D$2:$D4050,$D4050)&gt;1,"Trùng",""))</f>
        <v/>
      </c>
      <c r="S4050" s="22">
        <f>IF($D4050="","",IF(AND(LEN($D4050)=10,LEFT($D4050,1)="0",ISNUMBER(--$D4050)),"Có","Không"))</f>
        <v/>
      </c>
      <c r="T4050" s="22">
        <f>IF($D4050="","",IF(AND($C4050&lt;&gt;"",$Q4050="Có",$R4050="",$S4050="Có",AND($L4050&lt;&gt;"",OR($L4050&lt;&gt;"Chưa xác định",DANH_MUC!$L$9="Có"))),"Có","Không"))</f>
        <v/>
      </c>
      <c r="U4050" s="22">
        <f>IF(OR($D4050="",$T4050="Có"),"",IF($C4050="","Thiếu họ tên; ","")&amp;IF($S4050&lt;&gt;"Có","SĐT sai định dạng; ","")&amp;IF($R4050="Trùng","Trùng SĐT; ","")&amp;IF($Q4050&lt;&gt;"Có","Thiếu đồng ý bắt buộc; ","")&amp;IF($L4050="","Thiếu/sai Mã REF; ",IF(AND($L4050="Chưa xác định",DANH_MUC!$L$9&lt;&gt;"Có"),"Nguồn chưa xác định; ","")))</f>
        <v/>
      </c>
      <c r="V4050" s="22">
        <f>IF(OR($D4050="",$R4050="Trùng"),"",IF(COUNTIF(ORDERS!$C$2:$C$4995,$D4050)&gt;0,"Có","Không"))</f>
        <v/>
      </c>
      <c r="W4050" s="22">
        <f>IF(OR($D4050="",$R4050="Trùng"),"",COUNTIFS(ORDERS!$C$2:$C$4995,$D4050,ORDERS!$L$2:$L$4995,"Đã chuyển khoản"))</f>
        <v/>
      </c>
      <c r="X4050" s="23">
        <f>IF(OR($D4050="",$R4050="Trùng"),"",SUMIFS(ORDERS!$J$2:$J$4995,ORDERS!$C$2:$C$4995,$D4050,ORDERS!$L$2:$L$4995,"Đã chuyển khoản"))</f>
        <v/>
      </c>
      <c r="Y4050" s="24" t="n"/>
    </row>
    <row r="4051" ht="14.25" customHeight="1" s="40">
      <c r="A4051" s="24" t="n"/>
      <c r="B4051" s="27" t="n"/>
      <c r="C4051" s="24" t="n"/>
      <c r="D4051" s="28" t="n"/>
      <c r="E4051" s="29" t="n"/>
      <c r="F4051" s="24" t="n"/>
      <c r="G4051" s="24" t="n"/>
      <c r="H4051" s="21">
        <f>IF(ISNUMBER($B4051),INT($B4051)-WEEKDAY($B4051,2)+1,"")</f>
        <v/>
      </c>
      <c r="I4051" s="24" t="n"/>
      <c r="J4051" s="22">
        <f t="array" ref="J4051">IF($D4051="","",IF($I4051="","(trống REF)",IFERROR(INDEX(MASTER_SOURCE!$B$2:$B$495,MATCH($I4051,MASTER_SOURCE!$A$2:$A$495,0)),"(REF không có trong MASTER_SOURCE)")))</f>
        <v/>
      </c>
      <c r="K4051" s="22">
        <f t="array" ref="K4051">IF($D4051="","",IFERROR(INDEX(MASTER_SOURCE!$C$2:$C$495,MATCH($I4051,MASTER_SOURCE!$A$2:$A$495,0)),""))</f>
        <v/>
      </c>
      <c r="L4051" s="22">
        <f t="array" ref="L4051">IF($D4051="","",IFERROR(INDEX(MASTER_SOURCE!$D$2:$D$495,MATCH($I4051,MASTER_SOURCE!$A$2:$A$495,0)),""))</f>
        <v/>
      </c>
      <c r="M4051" s="24" t="n"/>
      <c r="N4051" s="24" t="n"/>
      <c r="O4051" s="24" t="n"/>
      <c r="P4051" s="24" t="n"/>
      <c r="Q4051" s="22">
        <f>IF($D4051="","",IF(AND(OR(DANH_MUC!$L$5&lt;&gt;"Có",M4051="Có"),OR(DANH_MUC!$L$6&lt;&gt;"Có",N4051="Có"),OR(DANH_MUC!$L$7&lt;&gt;"Có",O4051="Có"),OR(DANH_MUC!$L$8&lt;&gt;"Có",P4051="Có")),"Có","Không"))</f>
        <v/>
      </c>
      <c r="R4051" s="22">
        <f>IF($D4051="","",IF(COUNTIF($D$2:$D4051,$D4051)&gt;1,"Trùng",""))</f>
        <v/>
      </c>
      <c r="S4051" s="22">
        <f>IF($D4051="","",IF(AND(LEN($D4051)=10,LEFT($D4051,1)="0",ISNUMBER(--$D4051)),"Có","Không"))</f>
        <v/>
      </c>
      <c r="T4051" s="22">
        <f>IF($D4051="","",IF(AND($C4051&lt;&gt;"",$Q4051="Có",$R4051="",$S4051="Có",AND($L4051&lt;&gt;"",OR($L4051&lt;&gt;"Chưa xác định",DANH_MUC!$L$9="Có"))),"Có","Không"))</f>
        <v/>
      </c>
      <c r="U4051" s="22">
        <f>IF(OR($D4051="",$T4051="Có"),"",IF($C4051="","Thiếu họ tên; ","")&amp;IF($S4051&lt;&gt;"Có","SĐT sai định dạng; ","")&amp;IF($R4051="Trùng","Trùng SĐT; ","")&amp;IF($Q4051&lt;&gt;"Có","Thiếu đồng ý bắt buộc; ","")&amp;IF($L4051="","Thiếu/sai Mã REF; ",IF(AND($L4051="Chưa xác định",DANH_MUC!$L$9&lt;&gt;"Có"),"Nguồn chưa xác định; ","")))</f>
        <v/>
      </c>
      <c r="V4051" s="22">
        <f>IF(OR($D4051="",$R4051="Trùng"),"",IF(COUNTIF(ORDERS!$C$2:$C$4995,$D4051)&gt;0,"Có","Không"))</f>
        <v/>
      </c>
      <c r="W4051" s="22">
        <f>IF(OR($D4051="",$R4051="Trùng"),"",COUNTIFS(ORDERS!$C$2:$C$4995,$D4051,ORDERS!$L$2:$L$4995,"Đã chuyển khoản"))</f>
        <v/>
      </c>
      <c r="X4051" s="23">
        <f>IF(OR($D4051="",$R4051="Trùng"),"",SUMIFS(ORDERS!$J$2:$J$4995,ORDERS!$C$2:$C$4995,$D4051,ORDERS!$L$2:$L$4995,"Đã chuyển khoản"))</f>
        <v/>
      </c>
      <c r="Y4051" s="24" t="n"/>
    </row>
    <row r="4052" ht="14.25" customHeight="1" s="40">
      <c r="A4052" s="24" t="n"/>
      <c r="B4052" s="27" t="n"/>
      <c r="C4052" s="24" t="n"/>
      <c r="D4052" s="28" t="n"/>
      <c r="E4052" s="29" t="n"/>
      <c r="F4052" s="24" t="n"/>
      <c r="G4052" s="24" t="n"/>
      <c r="H4052" s="21">
        <f>IF(ISNUMBER($B4052),INT($B4052)-WEEKDAY($B4052,2)+1,"")</f>
        <v/>
      </c>
      <c r="I4052" s="24" t="n"/>
      <c r="J4052" s="22">
        <f t="array" ref="J4052">IF($D4052="","",IF($I4052="","(trống REF)",IFERROR(INDEX(MASTER_SOURCE!$B$2:$B$495,MATCH($I4052,MASTER_SOURCE!$A$2:$A$495,0)),"(REF không có trong MASTER_SOURCE)")))</f>
        <v/>
      </c>
      <c r="K4052" s="22">
        <f t="array" ref="K4052">IF($D4052="","",IFERROR(INDEX(MASTER_SOURCE!$C$2:$C$495,MATCH($I4052,MASTER_SOURCE!$A$2:$A$495,0)),""))</f>
        <v/>
      </c>
      <c r="L4052" s="22">
        <f t="array" ref="L4052">IF($D4052="","",IFERROR(INDEX(MASTER_SOURCE!$D$2:$D$495,MATCH($I4052,MASTER_SOURCE!$A$2:$A$495,0)),""))</f>
        <v/>
      </c>
      <c r="M4052" s="24" t="n"/>
      <c r="N4052" s="24" t="n"/>
      <c r="O4052" s="24" t="n"/>
      <c r="P4052" s="24" t="n"/>
      <c r="Q4052" s="22">
        <f>IF($D4052="","",IF(AND(OR(DANH_MUC!$L$5&lt;&gt;"Có",M4052="Có"),OR(DANH_MUC!$L$6&lt;&gt;"Có",N4052="Có"),OR(DANH_MUC!$L$7&lt;&gt;"Có",O4052="Có"),OR(DANH_MUC!$L$8&lt;&gt;"Có",P4052="Có")),"Có","Không"))</f>
        <v/>
      </c>
      <c r="R4052" s="22">
        <f>IF($D4052="","",IF(COUNTIF($D$2:$D4052,$D4052)&gt;1,"Trùng",""))</f>
        <v/>
      </c>
      <c r="S4052" s="22">
        <f>IF($D4052="","",IF(AND(LEN($D4052)=10,LEFT($D4052,1)="0",ISNUMBER(--$D4052)),"Có","Không"))</f>
        <v/>
      </c>
      <c r="T4052" s="22">
        <f>IF($D4052="","",IF(AND($C4052&lt;&gt;"",$Q4052="Có",$R4052="",$S4052="Có",AND($L4052&lt;&gt;"",OR($L4052&lt;&gt;"Chưa xác định",DANH_MUC!$L$9="Có"))),"Có","Không"))</f>
        <v/>
      </c>
      <c r="U4052" s="22">
        <f>IF(OR($D4052="",$T4052="Có"),"",IF($C4052="","Thiếu họ tên; ","")&amp;IF($S4052&lt;&gt;"Có","SĐT sai định dạng; ","")&amp;IF($R4052="Trùng","Trùng SĐT; ","")&amp;IF($Q4052&lt;&gt;"Có","Thiếu đồng ý bắt buộc; ","")&amp;IF($L4052="","Thiếu/sai Mã REF; ",IF(AND($L4052="Chưa xác định",DANH_MUC!$L$9&lt;&gt;"Có"),"Nguồn chưa xác định; ","")))</f>
        <v/>
      </c>
      <c r="V4052" s="22">
        <f>IF(OR($D4052="",$R4052="Trùng"),"",IF(COUNTIF(ORDERS!$C$2:$C$4995,$D4052)&gt;0,"Có","Không"))</f>
        <v/>
      </c>
      <c r="W4052" s="22">
        <f>IF(OR($D4052="",$R4052="Trùng"),"",COUNTIFS(ORDERS!$C$2:$C$4995,$D4052,ORDERS!$L$2:$L$4995,"Đã chuyển khoản"))</f>
        <v/>
      </c>
      <c r="X4052" s="23">
        <f>IF(OR($D4052="",$R4052="Trùng"),"",SUMIFS(ORDERS!$J$2:$J$4995,ORDERS!$C$2:$C$4995,$D4052,ORDERS!$L$2:$L$4995,"Đã chuyển khoản"))</f>
        <v/>
      </c>
      <c r="Y4052" s="24" t="n"/>
    </row>
    <row r="4053" ht="14.25" customHeight="1" s="40">
      <c r="A4053" s="24" t="n"/>
      <c r="B4053" s="27" t="n"/>
      <c r="C4053" s="24" t="n"/>
      <c r="D4053" s="28" t="n"/>
      <c r="E4053" s="29" t="n"/>
      <c r="F4053" s="24" t="n"/>
      <c r="G4053" s="24" t="n"/>
      <c r="H4053" s="21">
        <f>IF(ISNUMBER($B4053),INT($B4053)-WEEKDAY($B4053,2)+1,"")</f>
        <v/>
      </c>
      <c r="I4053" s="24" t="n"/>
      <c r="J4053" s="22">
        <f t="array" ref="J4053">IF($D4053="","",IF($I4053="","(trống REF)",IFERROR(INDEX(MASTER_SOURCE!$B$2:$B$495,MATCH($I4053,MASTER_SOURCE!$A$2:$A$495,0)),"(REF không có trong MASTER_SOURCE)")))</f>
        <v/>
      </c>
      <c r="K4053" s="22">
        <f t="array" ref="K4053">IF($D4053="","",IFERROR(INDEX(MASTER_SOURCE!$C$2:$C$495,MATCH($I4053,MASTER_SOURCE!$A$2:$A$495,0)),""))</f>
        <v/>
      </c>
      <c r="L4053" s="22">
        <f t="array" ref="L4053">IF($D4053="","",IFERROR(INDEX(MASTER_SOURCE!$D$2:$D$495,MATCH($I4053,MASTER_SOURCE!$A$2:$A$495,0)),""))</f>
        <v/>
      </c>
      <c r="M4053" s="24" t="n"/>
      <c r="N4053" s="24" t="n"/>
      <c r="O4053" s="24" t="n"/>
      <c r="P4053" s="24" t="n"/>
      <c r="Q4053" s="22">
        <f>IF($D4053="","",IF(AND(OR(DANH_MUC!$L$5&lt;&gt;"Có",M4053="Có"),OR(DANH_MUC!$L$6&lt;&gt;"Có",N4053="Có"),OR(DANH_MUC!$L$7&lt;&gt;"Có",O4053="Có"),OR(DANH_MUC!$L$8&lt;&gt;"Có",P4053="Có")),"Có","Không"))</f>
        <v/>
      </c>
      <c r="R4053" s="22">
        <f>IF($D4053="","",IF(COUNTIF($D$2:$D4053,$D4053)&gt;1,"Trùng",""))</f>
        <v/>
      </c>
      <c r="S4053" s="22">
        <f>IF($D4053="","",IF(AND(LEN($D4053)=10,LEFT($D4053,1)="0",ISNUMBER(--$D4053)),"Có","Không"))</f>
        <v/>
      </c>
      <c r="T4053" s="22">
        <f>IF($D4053="","",IF(AND($C4053&lt;&gt;"",$Q4053="Có",$R4053="",$S4053="Có",AND($L4053&lt;&gt;"",OR($L4053&lt;&gt;"Chưa xác định",DANH_MUC!$L$9="Có"))),"Có","Không"))</f>
        <v/>
      </c>
      <c r="U4053" s="22">
        <f>IF(OR($D4053="",$T4053="Có"),"",IF($C4053="","Thiếu họ tên; ","")&amp;IF($S4053&lt;&gt;"Có","SĐT sai định dạng; ","")&amp;IF($R4053="Trùng","Trùng SĐT; ","")&amp;IF($Q4053&lt;&gt;"Có","Thiếu đồng ý bắt buộc; ","")&amp;IF($L4053="","Thiếu/sai Mã REF; ",IF(AND($L4053="Chưa xác định",DANH_MUC!$L$9&lt;&gt;"Có"),"Nguồn chưa xác định; ","")))</f>
        <v/>
      </c>
      <c r="V4053" s="22">
        <f>IF(OR($D4053="",$R4053="Trùng"),"",IF(COUNTIF(ORDERS!$C$2:$C$4995,$D4053)&gt;0,"Có","Không"))</f>
        <v/>
      </c>
      <c r="W4053" s="22">
        <f>IF(OR($D4053="",$R4053="Trùng"),"",COUNTIFS(ORDERS!$C$2:$C$4995,$D4053,ORDERS!$L$2:$L$4995,"Đã chuyển khoản"))</f>
        <v/>
      </c>
      <c r="X4053" s="23">
        <f>IF(OR($D4053="",$R4053="Trùng"),"",SUMIFS(ORDERS!$J$2:$J$4995,ORDERS!$C$2:$C$4995,$D4053,ORDERS!$L$2:$L$4995,"Đã chuyển khoản"))</f>
        <v/>
      </c>
      <c r="Y4053" s="24" t="n"/>
    </row>
    <row r="4054" ht="14.25" customHeight="1" s="40">
      <c r="A4054" s="24" t="n"/>
      <c r="B4054" s="27" t="n"/>
      <c r="C4054" s="24" t="n"/>
      <c r="D4054" s="28" t="n"/>
      <c r="E4054" s="29" t="n"/>
      <c r="F4054" s="24" t="n"/>
      <c r="G4054" s="24" t="n"/>
      <c r="H4054" s="21">
        <f>IF(ISNUMBER($B4054),INT($B4054)-WEEKDAY($B4054,2)+1,"")</f>
        <v/>
      </c>
      <c r="I4054" s="24" t="n"/>
      <c r="J4054" s="22">
        <f t="array" ref="J4054">IF($D4054="","",IF($I4054="","(trống REF)",IFERROR(INDEX(MASTER_SOURCE!$B$2:$B$495,MATCH($I4054,MASTER_SOURCE!$A$2:$A$495,0)),"(REF không có trong MASTER_SOURCE)")))</f>
        <v/>
      </c>
      <c r="K4054" s="22">
        <f t="array" ref="K4054">IF($D4054="","",IFERROR(INDEX(MASTER_SOURCE!$C$2:$C$495,MATCH($I4054,MASTER_SOURCE!$A$2:$A$495,0)),""))</f>
        <v/>
      </c>
      <c r="L4054" s="22">
        <f t="array" ref="L4054">IF($D4054="","",IFERROR(INDEX(MASTER_SOURCE!$D$2:$D$495,MATCH($I4054,MASTER_SOURCE!$A$2:$A$495,0)),""))</f>
        <v/>
      </c>
      <c r="M4054" s="24" t="n"/>
      <c r="N4054" s="24" t="n"/>
      <c r="O4054" s="24" t="n"/>
      <c r="P4054" s="24" t="n"/>
      <c r="Q4054" s="22">
        <f>IF($D4054="","",IF(AND(OR(DANH_MUC!$L$5&lt;&gt;"Có",M4054="Có"),OR(DANH_MUC!$L$6&lt;&gt;"Có",N4054="Có"),OR(DANH_MUC!$L$7&lt;&gt;"Có",O4054="Có"),OR(DANH_MUC!$L$8&lt;&gt;"Có",P4054="Có")),"Có","Không"))</f>
        <v/>
      </c>
      <c r="R4054" s="22">
        <f>IF($D4054="","",IF(COUNTIF($D$2:$D4054,$D4054)&gt;1,"Trùng",""))</f>
        <v/>
      </c>
      <c r="S4054" s="22">
        <f>IF($D4054="","",IF(AND(LEN($D4054)=10,LEFT($D4054,1)="0",ISNUMBER(--$D4054)),"Có","Không"))</f>
        <v/>
      </c>
      <c r="T4054" s="22">
        <f>IF($D4054="","",IF(AND($C4054&lt;&gt;"",$Q4054="Có",$R4054="",$S4054="Có",AND($L4054&lt;&gt;"",OR($L4054&lt;&gt;"Chưa xác định",DANH_MUC!$L$9="Có"))),"Có","Không"))</f>
        <v/>
      </c>
      <c r="U4054" s="22">
        <f>IF(OR($D4054="",$T4054="Có"),"",IF($C4054="","Thiếu họ tên; ","")&amp;IF($S4054&lt;&gt;"Có","SĐT sai định dạng; ","")&amp;IF($R4054="Trùng","Trùng SĐT; ","")&amp;IF($Q4054&lt;&gt;"Có","Thiếu đồng ý bắt buộc; ","")&amp;IF($L4054="","Thiếu/sai Mã REF; ",IF(AND($L4054="Chưa xác định",DANH_MUC!$L$9&lt;&gt;"Có"),"Nguồn chưa xác định; ","")))</f>
        <v/>
      </c>
      <c r="V4054" s="22">
        <f>IF(OR($D4054="",$R4054="Trùng"),"",IF(COUNTIF(ORDERS!$C$2:$C$4995,$D4054)&gt;0,"Có","Không"))</f>
        <v/>
      </c>
      <c r="W4054" s="22">
        <f>IF(OR($D4054="",$R4054="Trùng"),"",COUNTIFS(ORDERS!$C$2:$C$4995,$D4054,ORDERS!$L$2:$L$4995,"Đã chuyển khoản"))</f>
        <v/>
      </c>
      <c r="X4054" s="23">
        <f>IF(OR($D4054="",$R4054="Trùng"),"",SUMIFS(ORDERS!$J$2:$J$4995,ORDERS!$C$2:$C$4995,$D4054,ORDERS!$L$2:$L$4995,"Đã chuyển khoản"))</f>
        <v/>
      </c>
      <c r="Y4054" s="24" t="n"/>
    </row>
    <row r="4055" ht="14.25" customHeight="1" s="40">
      <c r="A4055" s="24" t="n"/>
      <c r="B4055" s="27" t="n"/>
      <c r="C4055" s="24" t="n"/>
      <c r="D4055" s="28" t="n"/>
      <c r="E4055" s="29" t="n"/>
      <c r="F4055" s="24" t="n"/>
      <c r="G4055" s="24" t="n"/>
      <c r="H4055" s="21">
        <f>IF(ISNUMBER($B4055),INT($B4055)-WEEKDAY($B4055,2)+1,"")</f>
        <v/>
      </c>
      <c r="I4055" s="24" t="n"/>
      <c r="J4055" s="22">
        <f t="array" ref="J4055">IF($D4055="","",IF($I4055="","(trống REF)",IFERROR(INDEX(MASTER_SOURCE!$B$2:$B$495,MATCH($I4055,MASTER_SOURCE!$A$2:$A$495,0)),"(REF không có trong MASTER_SOURCE)")))</f>
        <v/>
      </c>
      <c r="K4055" s="22">
        <f t="array" ref="K4055">IF($D4055="","",IFERROR(INDEX(MASTER_SOURCE!$C$2:$C$495,MATCH($I4055,MASTER_SOURCE!$A$2:$A$495,0)),""))</f>
        <v/>
      </c>
      <c r="L4055" s="22">
        <f t="array" ref="L4055">IF($D4055="","",IFERROR(INDEX(MASTER_SOURCE!$D$2:$D$495,MATCH($I4055,MASTER_SOURCE!$A$2:$A$495,0)),""))</f>
        <v/>
      </c>
      <c r="M4055" s="24" t="n"/>
      <c r="N4055" s="24" t="n"/>
      <c r="O4055" s="24" t="n"/>
      <c r="P4055" s="24" t="n"/>
      <c r="Q4055" s="22">
        <f>IF($D4055="","",IF(AND(OR(DANH_MUC!$L$5&lt;&gt;"Có",M4055="Có"),OR(DANH_MUC!$L$6&lt;&gt;"Có",N4055="Có"),OR(DANH_MUC!$L$7&lt;&gt;"Có",O4055="Có"),OR(DANH_MUC!$L$8&lt;&gt;"Có",P4055="Có")),"Có","Không"))</f>
        <v/>
      </c>
      <c r="R4055" s="22">
        <f>IF($D4055="","",IF(COUNTIF($D$2:$D4055,$D4055)&gt;1,"Trùng",""))</f>
        <v/>
      </c>
      <c r="S4055" s="22">
        <f>IF($D4055="","",IF(AND(LEN($D4055)=10,LEFT($D4055,1)="0",ISNUMBER(--$D4055)),"Có","Không"))</f>
        <v/>
      </c>
      <c r="T4055" s="22">
        <f>IF($D4055="","",IF(AND($C4055&lt;&gt;"",$Q4055="Có",$R4055="",$S4055="Có",AND($L4055&lt;&gt;"",OR($L4055&lt;&gt;"Chưa xác định",DANH_MUC!$L$9="Có"))),"Có","Không"))</f>
        <v/>
      </c>
      <c r="U4055" s="22">
        <f>IF(OR($D4055="",$T4055="Có"),"",IF($C4055="","Thiếu họ tên; ","")&amp;IF($S4055&lt;&gt;"Có","SĐT sai định dạng; ","")&amp;IF($R4055="Trùng","Trùng SĐT; ","")&amp;IF($Q4055&lt;&gt;"Có","Thiếu đồng ý bắt buộc; ","")&amp;IF($L4055="","Thiếu/sai Mã REF; ",IF(AND($L4055="Chưa xác định",DANH_MUC!$L$9&lt;&gt;"Có"),"Nguồn chưa xác định; ","")))</f>
        <v/>
      </c>
      <c r="V4055" s="22">
        <f>IF(OR($D4055="",$R4055="Trùng"),"",IF(COUNTIF(ORDERS!$C$2:$C$4995,$D4055)&gt;0,"Có","Không"))</f>
        <v/>
      </c>
      <c r="W4055" s="22">
        <f>IF(OR($D4055="",$R4055="Trùng"),"",COUNTIFS(ORDERS!$C$2:$C$4995,$D4055,ORDERS!$L$2:$L$4995,"Đã chuyển khoản"))</f>
        <v/>
      </c>
      <c r="X4055" s="23">
        <f>IF(OR($D4055="",$R4055="Trùng"),"",SUMIFS(ORDERS!$J$2:$J$4995,ORDERS!$C$2:$C$4995,$D4055,ORDERS!$L$2:$L$4995,"Đã chuyển khoản"))</f>
        <v/>
      </c>
      <c r="Y4055" s="24" t="n"/>
    </row>
    <row r="4056" ht="14.25" customHeight="1" s="40">
      <c r="A4056" s="24" t="n"/>
      <c r="B4056" s="27" t="n"/>
      <c r="C4056" s="24" t="n"/>
      <c r="D4056" s="28" t="n"/>
      <c r="E4056" s="29" t="n"/>
      <c r="F4056" s="24" t="n"/>
      <c r="G4056" s="24" t="n"/>
      <c r="H4056" s="21">
        <f>IF(ISNUMBER($B4056),INT($B4056)-WEEKDAY($B4056,2)+1,"")</f>
        <v/>
      </c>
      <c r="I4056" s="24" t="n"/>
      <c r="J4056" s="22">
        <f t="array" ref="J4056">IF($D4056="","",IF($I4056="","(trống REF)",IFERROR(INDEX(MASTER_SOURCE!$B$2:$B$495,MATCH($I4056,MASTER_SOURCE!$A$2:$A$495,0)),"(REF không có trong MASTER_SOURCE)")))</f>
        <v/>
      </c>
      <c r="K4056" s="22">
        <f t="array" ref="K4056">IF($D4056="","",IFERROR(INDEX(MASTER_SOURCE!$C$2:$C$495,MATCH($I4056,MASTER_SOURCE!$A$2:$A$495,0)),""))</f>
        <v/>
      </c>
      <c r="L4056" s="22">
        <f t="array" ref="L4056">IF($D4056="","",IFERROR(INDEX(MASTER_SOURCE!$D$2:$D$495,MATCH($I4056,MASTER_SOURCE!$A$2:$A$495,0)),""))</f>
        <v/>
      </c>
      <c r="M4056" s="24" t="n"/>
      <c r="N4056" s="24" t="n"/>
      <c r="O4056" s="24" t="n"/>
      <c r="P4056" s="24" t="n"/>
      <c r="Q4056" s="22">
        <f>IF($D4056="","",IF(AND(OR(DANH_MUC!$L$5&lt;&gt;"Có",M4056="Có"),OR(DANH_MUC!$L$6&lt;&gt;"Có",N4056="Có"),OR(DANH_MUC!$L$7&lt;&gt;"Có",O4056="Có"),OR(DANH_MUC!$L$8&lt;&gt;"Có",P4056="Có")),"Có","Không"))</f>
        <v/>
      </c>
      <c r="R4056" s="22">
        <f>IF($D4056="","",IF(COUNTIF($D$2:$D4056,$D4056)&gt;1,"Trùng",""))</f>
        <v/>
      </c>
      <c r="S4056" s="22">
        <f>IF($D4056="","",IF(AND(LEN($D4056)=10,LEFT($D4056,1)="0",ISNUMBER(--$D4056)),"Có","Không"))</f>
        <v/>
      </c>
      <c r="T4056" s="22">
        <f>IF($D4056="","",IF(AND($C4056&lt;&gt;"",$Q4056="Có",$R4056="",$S4056="Có",AND($L4056&lt;&gt;"",OR($L4056&lt;&gt;"Chưa xác định",DANH_MUC!$L$9="Có"))),"Có","Không"))</f>
        <v/>
      </c>
      <c r="U4056" s="22">
        <f>IF(OR($D4056="",$T4056="Có"),"",IF($C4056="","Thiếu họ tên; ","")&amp;IF($S4056&lt;&gt;"Có","SĐT sai định dạng; ","")&amp;IF($R4056="Trùng","Trùng SĐT; ","")&amp;IF($Q4056&lt;&gt;"Có","Thiếu đồng ý bắt buộc; ","")&amp;IF($L4056="","Thiếu/sai Mã REF; ",IF(AND($L4056="Chưa xác định",DANH_MUC!$L$9&lt;&gt;"Có"),"Nguồn chưa xác định; ","")))</f>
        <v/>
      </c>
      <c r="V4056" s="22">
        <f>IF(OR($D4056="",$R4056="Trùng"),"",IF(COUNTIF(ORDERS!$C$2:$C$4995,$D4056)&gt;0,"Có","Không"))</f>
        <v/>
      </c>
      <c r="W4056" s="22">
        <f>IF(OR($D4056="",$R4056="Trùng"),"",COUNTIFS(ORDERS!$C$2:$C$4995,$D4056,ORDERS!$L$2:$L$4995,"Đã chuyển khoản"))</f>
        <v/>
      </c>
      <c r="X4056" s="23">
        <f>IF(OR($D4056="",$R4056="Trùng"),"",SUMIFS(ORDERS!$J$2:$J$4995,ORDERS!$C$2:$C$4995,$D4056,ORDERS!$L$2:$L$4995,"Đã chuyển khoản"))</f>
        <v/>
      </c>
      <c r="Y4056" s="24" t="n"/>
    </row>
    <row r="4057" ht="14.25" customHeight="1" s="40">
      <c r="A4057" s="24" t="n"/>
      <c r="B4057" s="27" t="n"/>
      <c r="C4057" s="24" t="n"/>
      <c r="D4057" s="28" t="n"/>
      <c r="E4057" s="29" t="n"/>
      <c r="F4057" s="24" t="n"/>
      <c r="G4057" s="24" t="n"/>
      <c r="H4057" s="21">
        <f>IF(ISNUMBER($B4057),INT($B4057)-WEEKDAY($B4057,2)+1,"")</f>
        <v/>
      </c>
      <c r="I4057" s="24" t="n"/>
      <c r="J4057" s="22">
        <f t="array" ref="J4057">IF($D4057="","",IF($I4057="","(trống REF)",IFERROR(INDEX(MASTER_SOURCE!$B$2:$B$495,MATCH($I4057,MASTER_SOURCE!$A$2:$A$495,0)),"(REF không có trong MASTER_SOURCE)")))</f>
        <v/>
      </c>
      <c r="K4057" s="22">
        <f t="array" ref="K4057">IF($D4057="","",IFERROR(INDEX(MASTER_SOURCE!$C$2:$C$495,MATCH($I4057,MASTER_SOURCE!$A$2:$A$495,0)),""))</f>
        <v/>
      </c>
      <c r="L4057" s="22">
        <f t="array" ref="L4057">IF($D4057="","",IFERROR(INDEX(MASTER_SOURCE!$D$2:$D$495,MATCH($I4057,MASTER_SOURCE!$A$2:$A$495,0)),""))</f>
        <v/>
      </c>
      <c r="M4057" s="24" t="n"/>
      <c r="N4057" s="24" t="n"/>
      <c r="O4057" s="24" t="n"/>
      <c r="P4057" s="24" t="n"/>
      <c r="Q4057" s="22">
        <f>IF($D4057="","",IF(AND(OR(DANH_MUC!$L$5&lt;&gt;"Có",M4057="Có"),OR(DANH_MUC!$L$6&lt;&gt;"Có",N4057="Có"),OR(DANH_MUC!$L$7&lt;&gt;"Có",O4057="Có"),OR(DANH_MUC!$L$8&lt;&gt;"Có",P4057="Có")),"Có","Không"))</f>
        <v/>
      </c>
      <c r="R4057" s="22">
        <f>IF($D4057="","",IF(COUNTIF($D$2:$D4057,$D4057)&gt;1,"Trùng",""))</f>
        <v/>
      </c>
      <c r="S4057" s="22">
        <f>IF($D4057="","",IF(AND(LEN($D4057)=10,LEFT($D4057,1)="0",ISNUMBER(--$D4057)),"Có","Không"))</f>
        <v/>
      </c>
      <c r="T4057" s="22">
        <f>IF($D4057="","",IF(AND($C4057&lt;&gt;"",$Q4057="Có",$R4057="",$S4057="Có",AND($L4057&lt;&gt;"",OR($L4057&lt;&gt;"Chưa xác định",DANH_MUC!$L$9="Có"))),"Có","Không"))</f>
        <v/>
      </c>
      <c r="U4057" s="22">
        <f>IF(OR($D4057="",$T4057="Có"),"",IF($C4057="","Thiếu họ tên; ","")&amp;IF($S4057&lt;&gt;"Có","SĐT sai định dạng; ","")&amp;IF($R4057="Trùng","Trùng SĐT; ","")&amp;IF($Q4057&lt;&gt;"Có","Thiếu đồng ý bắt buộc; ","")&amp;IF($L4057="","Thiếu/sai Mã REF; ",IF(AND($L4057="Chưa xác định",DANH_MUC!$L$9&lt;&gt;"Có"),"Nguồn chưa xác định; ","")))</f>
        <v/>
      </c>
      <c r="V4057" s="22">
        <f>IF(OR($D4057="",$R4057="Trùng"),"",IF(COUNTIF(ORDERS!$C$2:$C$4995,$D4057)&gt;0,"Có","Không"))</f>
        <v/>
      </c>
      <c r="W4057" s="22">
        <f>IF(OR($D4057="",$R4057="Trùng"),"",COUNTIFS(ORDERS!$C$2:$C$4995,$D4057,ORDERS!$L$2:$L$4995,"Đã chuyển khoản"))</f>
        <v/>
      </c>
      <c r="X4057" s="23">
        <f>IF(OR($D4057="",$R4057="Trùng"),"",SUMIFS(ORDERS!$J$2:$J$4995,ORDERS!$C$2:$C$4995,$D4057,ORDERS!$L$2:$L$4995,"Đã chuyển khoản"))</f>
        <v/>
      </c>
      <c r="Y4057" s="24" t="n"/>
    </row>
    <row r="4058" ht="14.25" customHeight="1" s="40">
      <c r="A4058" s="24" t="n"/>
      <c r="B4058" s="27" t="n"/>
      <c r="C4058" s="24" t="n"/>
      <c r="D4058" s="28" t="n"/>
      <c r="E4058" s="29" t="n"/>
      <c r="F4058" s="24" t="n"/>
      <c r="G4058" s="24" t="n"/>
      <c r="H4058" s="21">
        <f>IF(ISNUMBER($B4058),INT($B4058)-WEEKDAY($B4058,2)+1,"")</f>
        <v/>
      </c>
      <c r="I4058" s="24" t="n"/>
      <c r="J4058" s="22">
        <f t="array" ref="J4058">IF($D4058="","",IF($I4058="","(trống REF)",IFERROR(INDEX(MASTER_SOURCE!$B$2:$B$495,MATCH($I4058,MASTER_SOURCE!$A$2:$A$495,0)),"(REF không có trong MASTER_SOURCE)")))</f>
        <v/>
      </c>
      <c r="K4058" s="22">
        <f t="array" ref="K4058">IF($D4058="","",IFERROR(INDEX(MASTER_SOURCE!$C$2:$C$495,MATCH($I4058,MASTER_SOURCE!$A$2:$A$495,0)),""))</f>
        <v/>
      </c>
      <c r="L4058" s="22">
        <f t="array" ref="L4058">IF($D4058="","",IFERROR(INDEX(MASTER_SOURCE!$D$2:$D$495,MATCH($I4058,MASTER_SOURCE!$A$2:$A$495,0)),""))</f>
        <v/>
      </c>
      <c r="M4058" s="24" t="n"/>
      <c r="N4058" s="24" t="n"/>
      <c r="O4058" s="24" t="n"/>
      <c r="P4058" s="24" t="n"/>
      <c r="Q4058" s="22">
        <f>IF($D4058="","",IF(AND(OR(DANH_MUC!$L$5&lt;&gt;"Có",M4058="Có"),OR(DANH_MUC!$L$6&lt;&gt;"Có",N4058="Có"),OR(DANH_MUC!$L$7&lt;&gt;"Có",O4058="Có"),OR(DANH_MUC!$L$8&lt;&gt;"Có",P4058="Có")),"Có","Không"))</f>
        <v/>
      </c>
      <c r="R4058" s="22">
        <f>IF($D4058="","",IF(COUNTIF($D$2:$D4058,$D4058)&gt;1,"Trùng",""))</f>
        <v/>
      </c>
      <c r="S4058" s="22">
        <f>IF($D4058="","",IF(AND(LEN($D4058)=10,LEFT($D4058,1)="0",ISNUMBER(--$D4058)),"Có","Không"))</f>
        <v/>
      </c>
      <c r="T4058" s="22">
        <f>IF($D4058="","",IF(AND($C4058&lt;&gt;"",$Q4058="Có",$R4058="",$S4058="Có",AND($L4058&lt;&gt;"",OR($L4058&lt;&gt;"Chưa xác định",DANH_MUC!$L$9="Có"))),"Có","Không"))</f>
        <v/>
      </c>
      <c r="U4058" s="22">
        <f>IF(OR($D4058="",$T4058="Có"),"",IF($C4058="","Thiếu họ tên; ","")&amp;IF($S4058&lt;&gt;"Có","SĐT sai định dạng; ","")&amp;IF($R4058="Trùng","Trùng SĐT; ","")&amp;IF($Q4058&lt;&gt;"Có","Thiếu đồng ý bắt buộc; ","")&amp;IF($L4058="","Thiếu/sai Mã REF; ",IF(AND($L4058="Chưa xác định",DANH_MUC!$L$9&lt;&gt;"Có"),"Nguồn chưa xác định; ","")))</f>
        <v/>
      </c>
      <c r="V4058" s="22">
        <f>IF(OR($D4058="",$R4058="Trùng"),"",IF(COUNTIF(ORDERS!$C$2:$C$4995,$D4058)&gt;0,"Có","Không"))</f>
        <v/>
      </c>
      <c r="W4058" s="22">
        <f>IF(OR($D4058="",$R4058="Trùng"),"",COUNTIFS(ORDERS!$C$2:$C$4995,$D4058,ORDERS!$L$2:$L$4995,"Đã chuyển khoản"))</f>
        <v/>
      </c>
      <c r="X4058" s="23">
        <f>IF(OR($D4058="",$R4058="Trùng"),"",SUMIFS(ORDERS!$J$2:$J$4995,ORDERS!$C$2:$C$4995,$D4058,ORDERS!$L$2:$L$4995,"Đã chuyển khoản"))</f>
        <v/>
      </c>
      <c r="Y4058" s="24" t="n"/>
    </row>
    <row r="4059" ht="14.25" customHeight="1" s="40">
      <c r="A4059" s="24" t="n"/>
      <c r="B4059" s="27" t="n"/>
      <c r="C4059" s="24" t="n"/>
      <c r="D4059" s="28" t="n"/>
      <c r="E4059" s="29" t="n"/>
      <c r="F4059" s="24" t="n"/>
      <c r="G4059" s="24" t="n"/>
      <c r="H4059" s="21">
        <f>IF(ISNUMBER($B4059),INT($B4059)-WEEKDAY($B4059,2)+1,"")</f>
        <v/>
      </c>
      <c r="I4059" s="24" t="n"/>
      <c r="J4059" s="22">
        <f t="array" ref="J4059">IF($D4059="","",IF($I4059="","(trống REF)",IFERROR(INDEX(MASTER_SOURCE!$B$2:$B$495,MATCH($I4059,MASTER_SOURCE!$A$2:$A$495,0)),"(REF không có trong MASTER_SOURCE)")))</f>
        <v/>
      </c>
      <c r="K4059" s="22">
        <f t="array" ref="K4059">IF($D4059="","",IFERROR(INDEX(MASTER_SOURCE!$C$2:$C$495,MATCH($I4059,MASTER_SOURCE!$A$2:$A$495,0)),""))</f>
        <v/>
      </c>
      <c r="L4059" s="22">
        <f t="array" ref="L4059">IF($D4059="","",IFERROR(INDEX(MASTER_SOURCE!$D$2:$D$495,MATCH($I4059,MASTER_SOURCE!$A$2:$A$495,0)),""))</f>
        <v/>
      </c>
      <c r="M4059" s="24" t="n"/>
      <c r="N4059" s="24" t="n"/>
      <c r="O4059" s="24" t="n"/>
      <c r="P4059" s="24" t="n"/>
      <c r="Q4059" s="22">
        <f>IF($D4059="","",IF(AND(OR(DANH_MUC!$L$5&lt;&gt;"Có",M4059="Có"),OR(DANH_MUC!$L$6&lt;&gt;"Có",N4059="Có"),OR(DANH_MUC!$L$7&lt;&gt;"Có",O4059="Có"),OR(DANH_MUC!$L$8&lt;&gt;"Có",P4059="Có")),"Có","Không"))</f>
        <v/>
      </c>
      <c r="R4059" s="22">
        <f>IF($D4059="","",IF(COUNTIF($D$2:$D4059,$D4059)&gt;1,"Trùng",""))</f>
        <v/>
      </c>
      <c r="S4059" s="22">
        <f>IF($D4059="","",IF(AND(LEN($D4059)=10,LEFT($D4059,1)="0",ISNUMBER(--$D4059)),"Có","Không"))</f>
        <v/>
      </c>
      <c r="T4059" s="22">
        <f>IF($D4059="","",IF(AND($C4059&lt;&gt;"",$Q4059="Có",$R4059="",$S4059="Có",AND($L4059&lt;&gt;"",OR($L4059&lt;&gt;"Chưa xác định",DANH_MUC!$L$9="Có"))),"Có","Không"))</f>
        <v/>
      </c>
      <c r="U4059" s="22">
        <f>IF(OR($D4059="",$T4059="Có"),"",IF($C4059="","Thiếu họ tên; ","")&amp;IF($S4059&lt;&gt;"Có","SĐT sai định dạng; ","")&amp;IF($R4059="Trùng","Trùng SĐT; ","")&amp;IF($Q4059&lt;&gt;"Có","Thiếu đồng ý bắt buộc; ","")&amp;IF($L4059="","Thiếu/sai Mã REF; ",IF(AND($L4059="Chưa xác định",DANH_MUC!$L$9&lt;&gt;"Có"),"Nguồn chưa xác định; ","")))</f>
        <v/>
      </c>
      <c r="V4059" s="22">
        <f>IF(OR($D4059="",$R4059="Trùng"),"",IF(COUNTIF(ORDERS!$C$2:$C$4995,$D4059)&gt;0,"Có","Không"))</f>
        <v/>
      </c>
      <c r="W4059" s="22">
        <f>IF(OR($D4059="",$R4059="Trùng"),"",COUNTIFS(ORDERS!$C$2:$C$4995,$D4059,ORDERS!$L$2:$L$4995,"Đã chuyển khoản"))</f>
        <v/>
      </c>
      <c r="X4059" s="23">
        <f>IF(OR($D4059="",$R4059="Trùng"),"",SUMIFS(ORDERS!$J$2:$J$4995,ORDERS!$C$2:$C$4995,$D4059,ORDERS!$L$2:$L$4995,"Đã chuyển khoản"))</f>
        <v/>
      </c>
      <c r="Y4059" s="24" t="n"/>
    </row>
    <row r="4060" ht="14.25" customHeight="1" s="40">
      <c r="A4060" s="24" t="n"/>
      <c r="B4060" s="27" t="n"/>
      <c r="C4060" s="24" t="n"/>
      <c r="D4060" s="28" t="n"/>
      <c r="E4060" s="29" t="n"/>
      <c r="F4060" s="24" t="n"/>
      <c r="G4060" s="24" t="n"/>
      <c r="H4060" s="21">
        <f>IF(ISNUMBER($B4060),INT($B4060)-WEEKDAY($B4060,2)+1,"")</f>
        <v/>
      </c>
      <c r="I4060" s="24" t="n"/>
      <c r="J4060" s="22">
        <f t="array" ref="J4060">IF($D4060="","",IF($I4060="","(trống REF)",IFERROR(INDEX(MASTER_SOURCE!$B$2:$B$495,MATCH($I4060,MASTER_SOURCE!$A$2:$A$495,0)),"(REF không có trong MASTER_SOURCE)")))</f>
        <v/>
      </c>
      <c r="K4060" s="22">
        <f t="array" ref="K4060">IF($D4060="","",IFERROR(INDEX(MASTER_SOURCE!$C$2:$C$495,MATCH($I4060,MASTER_SOURCE!$A$2:$A$495,0)),""))</f>
        <v/>
      </c>
      <c r="L4060" s="22">
        <f t="array" ref="L4060">IF($D4060="","",IFERROR(INDEX(MASTER_SOURCE!$D$2:$D$495,MATCH($I4060,MASTER_SOURCE!$A$2:$A$495,0)),""))</f>
        <v/>
      </c>
      <c r="M4060" s="24" t="n"/>
      <c r="N4060" s="24" t="n"/>
      <c r="O4060" s="24" t="n"/>
      <c r="P4060" s="24" t="n"/>
      <c r="Q4060" s="22">
        <f>IF($D4060="","",IF(AND(OR(DANH_MUC!$L$5&lt;&gt;"Có",M4060="Có"),OR(DANH_MUC!$L$6&lt;&gt;"Có",N4060="Có"),OR(DANH_MUC!$L$7&lt;&gt;"Có",O4060="Có"),OR(DANH_MUC!$L$8&lt;&gt;"Có",P4060="Có")),"Có","Không"))</f>
        <v/>
      </c>
      <c r="R4060" s="22">
        <f>IF($D4060="","",IF(COUNTIF($D$2:$D4060,$D4060)&gt;1,"Trùng",""))</f>
        <v/>
      </c>
      <c r="S4060" s="22">
        <f>IF($D4060="","",IF(AND(LEN($D4060)=10,LEFT($D4060,1)="0",ISNUMBER(--$D4060)),"Có","Không"))</f>
        <v/>
      </c>
      <c r="T4060" s="22">
        <f>IF($D4060="","",IF(AND($C4060&lt;&gt;"",$Q4060="Có",$R4060="",$S4060="Có",AND($L4060&lt;&gt;"",OR($L4060&lt;&gt;"Chưa xác định",DANH_MUC!$L$9="Có"))),"Có","Không"))</f>
        <v/>
      </c>
      <c r="U4060" s="22">
        <f>IF(OR($D4060="",$T4060="Có"),"",IF($C4060="","Thiếu họ tên; ","")&amp;IF($S4060&lt;&gt;"Có","SĐT sai định dạng; ","")&amp;IF($R4060="Trùng","Trùng SĐT; ","")&amp;IF($Q4060&lt;&gt;"Có","Thiếu đồng ý bắt buộc; ","")&amp;IF($L4060="","Thiếu/sai Mã REF; ",IF(AND($L4060="Chưa xác định",DANH_MUC!$L$9&lt;&gt;"Có"),"Nguồn chưa xác định; ","")))</f>
        <v/>
      </c>
      <c r="V4060" s="22">
        <f>IF(OR($D4060="",$R4060="Trùng"),"",IF(COUNTIF(ORDERS!$C$2:$C$4995,$D4060)&gt;0,"Có","Không"))</f>
        <v/>
      </c>
      <c r="W4060" s="22">
        <f>IF(OR($D4060="",$R4060="Trùng"),"",COUNTIFS(ORDERS!$C$2:$C$4995,$D4060,ORDERS!$L$2:$L$4995,"Đã chuyển khoản"))</f>
        <v/>
      </c>
      <c r="X4060" s="23">
        <f>IF(OR($D4060="",$R4060="Trùng"),"",SUMIFS(ORDERS!$J$2:$J$4995,ORDERS!$C$2:$C$4995,$D4060,ORDERS!$L$2:$L$4995,"Đã chuyển khoản"))</f>
        <v/>
      </c>
      <c r="Y4060" s="24" t="n"/>
    </row>
    <row r="4061" ht="14.25" customHeight="1" s="40">
      <c r="A4061" s="24" t="n"/>
      <c r="B4061" s="27" t="n"/>
      <c r="C4061" s="24" t="n"/>
      <c r="D4061" s="28" t="n"/>
      <c r="E4061" s="29" t="n"/>
      <c r="F4061" s="24" t="n"/>
      <c r="G4061" s="24" t="n"/>
      <c r="H4061" s="21">
        <f>IF(ISNUMBER($B4061),INT($B4061)-WEEKDAY($B4061,2)+1,"")</f>
        <v/>
      </c>
      <c r="I4061" s="24" t="n"/>
      <c r="J4061" s="22">
        <f t="array" ref="J4061">IF($D4061="","",IF($I4061="","(trống REF)",IFERROR(INDEX(MASTER_SOURCE!$B$2:$B$495,MATCH($I4061,MASTER_SOURCE!$A$2:$A$495,0)),"(REF không có trong MASTER_SOURCE)")))</f>
        <v/>
      </c>
      <c r="K4061" s="22">
        <f t="array" ref="K4061">IF($D4061="","",IFERROR(INDEX(MASTER_SOURCE!$C$2:$C$495,MATCH($I4061,MASTER_SOURCE!$A$2:$A$495,0)),""))</f>
        <v/>
      </c>
      <c r="L4061" s="22">
        <f t="array" ref="L4061">IF($D4061="","",IFERROR(INDEX(MASTER_SOURCE!$D$2:$D$495,MATCH($I4061,MASTER_SOURCE!$A$2:$A$495,0)),""))</f>
        <v/>
      </c>
      <c r="M4061" s="24" t="n"/>
      <c r="N4061" s="24" t="n"/>
      <c r="O4061" s="24" t="n"/>
      <c r="P4061" s="24" t="n"/>
      <c r="Q4061" s="22">
        <f>IF($D4061="","",IF(AND(OR(DANH_MUC!$L$5&lt;&gt;"Có",M4061="Có"),OR(DANH_MUC!$L$6&lt;&gt;"Có",N4061="Có"),OR(DANH_MUC!$L$7&lt;&gt;"Có",O4061="Có"),OR(DANH_MUC!$L$8&lt;&gt;"Có",P4061="Có")),"Có","Không"))</f>
        <v/>
      </c>
      <c r="R4061" s="22">
        <f>IF($D4061="","",IF(COUNTIF($D$2:$D4061,$D4061)&gt;1,"Trùng",""))</f>
        <v/>
      </c>
      <c r="S4061" s="22">
        <f>IF($D4061="","",IF(AND(LEN($D4061)=10,LEFT($D4061,1)="0",ISNUMBER(--$D4061)),"Có","Không"))</f>
        <v/>
      </c>
      <c r="T4061" s="22">
        <f>IF($D4061="","",IF(AND($C4061&lt;&gt;"",$Q4061="Có",$R4061="",$S4061="Có",AND($L4061&lt;&gt;"",OR($L4061&lt;&gt;"Chưa xác định",DANH_MUC!$L$9="Có"))),"Có","Không"))</f>
        <v/>
      </c>
      <c r="U4061" s="22">
        <f>IF(OR($D4061="",$T4061="Có"),"",IF($C4061="","Thiếu họ tên; ","")&amp;IF($S4061&lt;&gt;"Có","SĐT sai định dạng; ","")&amp;IF($R4061="Trùng","Trùng SĐT; ","")&amp;IF($Q4061&lt;&gt;"Có","Thiếu đồng ý bắt buộc; ","")&amp;IF($L4061="","Thiếu/sai Mã REF; ",IF(AND($L4061="Chưa xác định",DANH_MUC!$L$9&lt;&gt;"Có"),"Nguồn chưa xác định; ","")))</f>
        <v/>
      </c>
      <c r="V4061" s="22">
        <f>IF(OR($D4061="",$R4061="Trùng"),"",IF(COUNTIF(ORDERS!$C$2:$C$4995,$D4061)&gt;0,"Có","Không"))</f>
        <v/>
      </c>
      <c r="W4061" s="22">
        <f>IF(OR($D4061="",$R4061="Trùng"),"",COUNTIFS(ORDERS!$C$2:$C$4995,$D4061,ORDERS!$L$2:$L$4995,"Đã chuyển khoản"))</f>
        <v/>
      </c>
      <c r="X4061" s="23">
        <f>IF(OR($D4061="",$R4061="Trùng"),"",SUMIFS(ORDERS!$J$2:$J$4995,ORDERS!$C$2:$C$4995,$D4061,ORDERS!$L$2:$L$4995,"Đã chuyển khoản"))</f>
        <v/>
      </c>
      <c r="Y4061" s="24" t="n"/>
    </row>
    <row r="4062" ht="14.25" customHeight="1" s="40">
      <c r="A4062" s="24" t="n"/>
      <c r="B4062" s="27" t="n"/>
      <c r="C4062" s="24" t="n"/>
      <c r="D4062" s="28" t="n"/>
      <c r="E4062" s="29" t="n"/>
      <c r="F4062" s="24" t="n"/>
      <c r="G4062" s="24" t="n"/>
      <c r="H4062" s="21">
        <f>IF(ISNUMBER($B4062),INT($B4062)-WEEKDAY($B4062,2)+1,"")</f>
        <v/>
      </c>
      <c r="I4062" s="24" t="n"/>
      <c r="J4062" s="22">
        <f t="array" ref="J4062">IF($D4062="","",IF($I4062="","(trống REF)",IFERROR(INDEX(MASTER_SOURCE!$B$2:$B$495,MATCH($I4062,MASTER_SOURCE!$A$2:$A$495,0)),"(REF không có trong MASTER_SOURCE)")))</f>
        <v/>
      </c>
      <c r="K4062" s="22">
        <f t="array" ref="K4062">IF($D4062="","",IFERROR(INDEX(MASTER_SOURCE!$C$2:$C$495,MATCH($I4062,MASTER_SOURCE!$A$2:$A$495,0)),""))</f>
        <v/>
      </c>
      <c r="L4062" s="22">
        <f t="array" ref="L4062">IF($D4062="","",IFERROR(INDEX(MASTER_SOURCE!$D$2:$D$495,MATCH($I4062,MASTER_SOURCE!$A$2:$A$495,0)),""))</f>
        <v/>
      </c>
      <c r="M4062" s="24" t="n"/>
      <c r="N4062" s="24" t="n"/>
      <c r="O4062" s="24" t="n"/>
      <c r="P4062" s="24" t="n"/>
      <c r="Q4062" s="22">
        <f>IF($D4062="","",IF(AND(OR(DANH_MUC!$L$5&lt;&gt;"Có",M4062="Có"),OR(DANH_MUC!$L$6&lt;&gt;"Có",N4062="Có"),OR(DANH_MUC!$L$7&lt;&gt;"Có",O4062="Có"),OR(DANH_MUC!$L$8&lt;&gt;"Có",P4062="Có")),"Có","Không"))</f>
        <v/>
      </c>
      <c r="R4062" s="22">
        <f>IF($D4062="","",IF(COUNTIF($D$2:$D4062,$D4062)&gt;1,"Trùng",""))</f>
        <v/>
      </c>
      <c r="S4062" s="22">
        <f>IF($D4062="","",IF(AND(LEN($D4062)=10,LEFT($D4062,1)="0",ISNUMBER(--$D4062)),"Có","Không"))</f>
        <v/>
      </c>
      <c r="T4062" s="22">
        <f>IF($D4062="","",IF(AND($C4062&lt;&gt;"",$Q4062="Có",$R4062="",$S4062="Có",AND($L4062&lt;&gt;"",OR($L4062&lt;&gt;"Chưa xác định",DANH_MUC!$L$9="Có"))),"Có","Không"))</f>
        <v/>
      </c>
      <c r="U4062" s="22">
        <f>IF(OR($D4062="",$T4062="Có"),"",IF($C4062="","Thiếu họ tên; ","")&amp;IF($S4062&lt;&gt;"Có","SĐT sai định dạng; ","")&amp;IF($R4062="Trùng","Trùng SĐT; ","")&amp;IF($Q4062&lt;&gt;"Có","Thiếu đồng ý bắt buộc; ","")&amp;IF($L4062="","Thiếu/sai Mã REF; ",IF(AND($L4062="Chưa xác định",DANH_MUC!$L$9&lt;&gt;"Có"),"Nguồn chưa xác định; ","")))</f>
        <v/>
      </c>
      <c r="V4062" s="22">
        <f>IF(OR($D4062="",$R4062="Trùng"),"",IF(COUNTIF(ORDERS!$C$2:$C$4995,$D4062)&gt;0,"Có","Không"))</f>
        <v/>
      </c>
      <c r="W4062" s="22">
        <f>IF(OR($D4062="",$R4062="Trùng"),"",COUNTIFS(ORDERS!$C$2:$C$4995,$D4062,ORDERS!$L$2:$L$4995,"Đã chuyển khoản"))</f>
        <v/>
      </c>
      <c r="X4062" s="23">
        <f>IF(OR($D4062="",$R4062="Trùng"),"",SUMIFS(ORDERS!$J$2:$J$4995,ORDERS!$C$2:$C$4995,$D4062,ORDERS!$L$2:$L$4995,"Đã chuyển khoản"))</f>
        <v/>
      </c>
      <c r="Y4062" s="24" t="n"/>
    </row>
    <row r="4063" ht="14.25" customHeight="1" s="40">
      <c r="A4063" s="24" t="n"/>
      <c r="B4063" s="27" t="n"/>
      <c r="C4063" s="24" t="n"/>
      <c r="D4063" s="28" t="n"/>
      <c r="E4063" s="29" t="n"/>
      <c r="F4063" s="24" t="n"/>
      <c r="G4063" s="24" t="n"/>
      <c r="H4063" s="21">
        <f>IF(ISNUMBER($B4063),INT($B4063)-WEEKDAY($B4063,2)+1,"")</f>
        <v/>
      </c>
      <c r="I4063" s="24" t="n"/>
      <c r="J4063" s="22">
        <f t="array" ref="J4063">IF($D4063="","",IF($I4063="","(trống REF)",IFERROR(INDEX(MASTER_SOURCE!$B$2:$B$495,MATCH($I4063,MASTER_SOURCE!$A$2:$A$495,0)),"(REF không có trong MASTER_SOURCE)")))</f>
        <v/>
      </c>
      <c r="K4063" s="22">
        <f t="array" ref="K4063">IF($D4063="","",IFERROR(INDEX(MASTER_SOURCE!$C$2:$C$495,MATCH($I4063,MASTER_SOURCE!$A$2:$A$495,0)),""))</f>
        <v/>
      </c>
      <c r="L4063" s="22">
        <f t="array" ref="L4063">IF($D4063="","",IFERROR(INDEX(MASTER_SOURCE!$D$2:$D$495,MATCH($I4063,MASTER_SOURCE!$A$2:$A$495,0)),""))</f>
        <v/>
      </c>
      <c r="M4063" s="24" t="n"/>
      <c r="N4063" s="24" t="n"/>
      <c r="O4063" s="24" t="n"/>
      <c r="P4063" s="24" t="n"/>
      <c r="Q4063" s="22">
        <f>IF($D4063="","",IF(AND(OR(DANH_MUC!$L$5&lt;&gt;"Có",M4063="Có"),OR(DANH_MUC!$L$6&lt;&gt;"Có",N4063="Có"),OR(DANH_MUC!$L$7&lt;&gt;"Có",O4063="Có"),OR(DANH_MUC!$L$8&lt;&gt;"Có",P4063="Có")),"Có","Không"))</f>
        <v/>
      </c>
      <c r="R4063" s="22">
        <f>IF($D4063="","",IF(COUNTIF($D$2:$D4063,$D4063)&gt;1,"Trùng",""))</f>
        <v/>
      </c>
      <c r="S4063" s="22">
        <f>IF($D4063="","",IF(AND(LEN($D4063)=10,LEFT($D4063,1)="0",ISNUMBER(--$D4063)),"Có","Không"))</f>
        <v/>
      </c>
      <c r="T4063" s="22">
        <f>IF($D4063="","",IF(AND($C4063&lt;&gt;"",$Q4063="Có",$R4063="",$S4063="Có",AND($L4063&lt;&gt;"",OR($L4063&lt;&gt;"Chưa xác định",DANH_MUC!$L$9="Có"))),"Có","Không"))</f>
        <v/>
      </c>
      <c r="U4063" s="22">
        <f>IF(OR($D4063="",$T4063="Có"),"",IF($C4063="","Thiếu họ tên; ","")&amp;IF($S4063&lt;&gt;"Có","SĐT sai định dạng; ","")&amp;IF($R4063="Trùng","Trùng SĐT; ","")&amp;IF($Q4063&lt;&gt;"Có","Thiếu đồng ý bắt buộc; ","")&amp;IF($L4063="","Thiếu/sai Mã REF; ",IF(AND($L4063="Chưa xác định",DANH_MUC!$L$9&lt;&gt;"Có"),"Nguồn chưa xác định; ","")))</f>
        <v/>
      </c>
      <c r="V4063" s="22">
        <f>IF(OR($D4063="",$R4063="Trùng"),"",IF(COUNTIF(ORDERS!$C$2:$C$4995,$D4063)&gt;0,"Có","Không"))</f>
        <v/>
      </c>
      <c r="W4063" s="22">
        <f>IF(OR($D4063="",$R4063="Trùng"),"",COUNTIFS(ORDERS!$C$2:$C$4995,$D4063,ORDERS!$L$2:$L$4995,"Đã chuyển khoản"))</f>
        <v/>
      </c>
      <c r="X4063" s="23">
        <f>IF(OR($D4063="",$R4063="Trùng"),"",SUMIFS(ORDERS!$J$2:$J$4995,ORDERS!$C$2:$C$4995,$D4063,ORDERS!$L$2:$L$4995,"Đã chuyển khoản"))</f>
        <v/>
      </c>
      <c r="Y4063" s="24" t="n"/>
    </row>
    <row r="4064" ht="14.25" customHeight="1" s="40">
      <c r="A4064" s="24" t="n"/>
      <c r="B4064" s="27" t="n"/>
      <c r="C4064" s="24" t="n"/>
      <c r="D4064" s="28" t="n"/>
      <c r="E4064" s="29" t="n"/>
      <c r="F4064" s="24" t="n"/>
      <c r="G4064" s="24" t="n"/>
      <c r="H4064" s="21">
        <f>IF(ISNUMBER($B4064),INT($B4064)-WEEKDAY($B4064,2)+1,"")</f>
        <v/>
      </c>
      <c r="I4064" s="24" t="n"/>
      <c r="J4064" s="22">
        <f t="array" ref="J4064">IF($D4064="","",IF($I4064="","(trống REF)",IFERROR(INDEX(MASTER_SOURCE!$B$2:$B$495,MATCH($I4064,MASTER_SOURCE!$A$2:$A$495,0)),"(REF không có trong MASTER_SOURCE)")))</f>
        <v/>
      </c>
      <c r="K4064" s="22">
        <f t="array" ref="K4064">IF($D4064="","",IFERROR(INDEX(MASTER_SOURCE!$C$2:$C$495,MATCH($I4064,MASTER_SOURCE!$A$2:$A$495,0)),""))</f>
        <v/>
      </c>
      <c r="L4064" s="22">
        <f t="array" ref="L4064">IF($D4064="","",IFERROR(INDEX(MASTER_SOURCE!$D$2:$D$495,MATCH($I4064,MASTER_SOURCE!$A$2:$A$495,0)),""))</f>
        <v/>
      </c>
      <c r="M4064" s="24" t="n"/>
      <c r="N4064" s="24" t="n"/>
      <c r="O4064" s="24" t="n"/>
      <c r="P4064" s="24" t="n"/>
      <c r="Q4064" s="22">
        <f>IF($D4064="","",IF(AND(OR(DANH_MUC!$L$5&lt;&gt;"Có",M4064="Có"),OR(DANH_MUC!$L$6&lt;&gt;"Có",N4064="Có"),OR(DANH_MUC!$L$7&lt;&gt;"Có",O4064="Có"),OR(DANH_MUC!$L$8&lt;&gt;"Có",P4064="Có")),"Có","Không"))</f>
        <v/>
      </c>
      <c r="R4064" s="22">
        <f>IF($D4064="","",IF(COUNTIF($D$2:$D4064,$D4064)&gt;1,"Trùng",""))</f>
        <v/>
      </c>
      <c r="S4064" s="22">
        <f>IF($D4064="","",IF(AND(LEN($D4064)=10,LEFT($D4064,1)="0",ISNUMBER(--$D4064)),"Có","Không"))</f>
        <v/>
      </c>
      <c r="T4064" s="22">
        <f>IF($D4064="","",IF(AND($C4064&lt;&gt;"",$Q4064="Có",$R4064="",$S4064="Có",AND($L4064&lt;&gt;"",OR($L4064&lt;&gt;"Chưa xác định",DANH_MUC!$L$9="Có"))),"Có","Không"))</f>
        <v/>
      </c>
      <c r="U4064" s="22">
        <f>IF(OR($D4064="",$T4064="Có"),"",IF($C4064="","Thiếu họ tên; ","")&amp;IF($S4064&lt;&gt;"Có","SĐT sai định dạng; ","")&amp;IF($R4064="Trùng","Trùng SĐT; ","")&amp;IF($Q4064&lt;&gt;"Có","Thiếu đồng ý bắt buộc; ","")&amp;IF($L4064="","Thiếu/sai Mã REF; ",IF(AND($L4064="Chưa xác định",DANH_MUC!$L$9&lt;&gt;"Có"),"Nguồn chưa xác định; ","")))</f>
        <v/>
      </c>
      <c r="V4064" s="22">
        <f>IF(OR($D4064="",$R4064="Trùng"),"",IF(COUNTIF(ORDERS!$C$2:$C$4995,$D4064)&gt;0,"Có","Không"))</f>
        <v/>
      </c>
      <c r="W4064" s="22">
        <f>IF(OR($D4064="",$R4064="Trùng"),"",COUNTIFS(ORDERS!$C$2:$C$4995,$D4064,ORDERS!$L$2:$L$4995,"Đã chuyển khoản"))</f>
        <v/>
      </c>
      <c r="X4064" s="23">
        <f>IF(OR($D4064="",$R4064="Trùng"),"",SUMIFS(ORDERS!$J$2:$J$4995,ORDERS!$C$2:$C$4995,$D4064,ORDERS!$L$2:$L$4995,"Đã chuyển khoản"))</f>
        <v/>
      </c>
      <c r="Y4064" s="24" t="n"/>
    </row>
    <row r="4065" ht="14.25" customHeight="1" s="40">
      <c r="A4065" s="24" t="n"/>
      <c r="B4065" s="27" t="n"/>
      <c r="C4065" s="24" t="n"/>
      <c r="D4065" s="28" t="n"/>
      <c r="E4065" s="29" t="n"/>
      <c r="F4065" s="24" t="n"/>
      <c r="G4065" s="24" t="n"/>
      <c r="H4065" s="21">
        <f>IF(ISNUMBER($B4065),INT($B4065)-WEEKDAY($B4065,2)+1,"")</f>
        <v/>
      </c>
      <c r="I4065" s="24" t="n"/>
      <c r="J4065" s="22">
        <f t="array" ref="J4065">IF($D4065="","",IF($I4065="","(trống REF)",IFERROR(INDEX(MASTER_SOURCE!$B$2:$B$495,MATCH($I4065,MASTER_SOURCE!$A$2:$A$495,0)),"(REF không có trong MASTER_SOURCE)")))</f>
        <v/>
      </c>
      <c r="K4065" s="22">
        <f t="array" ref="K4065">IF($D4065="","",IFERROR(INDEX(MASTER_SOURCE!$C$2:$C$495,MATCH($I4065,MASTER_SOURCE!$A$2:$A$495,0)),""))</f>
        <v/>
      </c>
      <c r="L4065" s="22">
        <f t="array" ref="L4065">IF($D4065="","",IFERROR(INDEX(MASTER_SOURCE!$D$2:$D$495,MATCH($I4065,MASTER_SOURCE!$A$2:$A$495,0)),""))</f>
        <v/>
      </c>
      <c r="M4065" s="24" t="n"/>
      <c r="N4065" s="24" t="n"/>
      <c r="O4065" s="24" t="n"/>
      <c r="P4065" s="24" t="n"/>
      <c r="Q4065" s="22">
        <f>IF($D4065="","",IF(AND(OR(DANH_MUC!$L$5&lt;&gt;"Có",M4065="Có"),OR(DANH_MUC!$L$6&lt;&gt;"Có",N4065="Có"),OR(DANH_MUC!$L$7&lt;&gt;"Có",O4065="Có"),OR(DANH_MUC!$L$8&lt;&gt;"Có",P4065="Có")),"Có","Không"))</f>
        <v/>
      </c>
      <c r="R4065" s="22">
        <f>IF($D4065="","",IF(COUNTIF($D$2:$D4065,$D4065)&gt;1,"Trùng",""))</f>
        <v/>
      </c>
      <c r="S4065" s="22">
        <f>IF($D4065="","",IF(AND(LEN($D4065)=10,LEFT($D4065,1)="0",ISNUMBER(--$D4065)),"Có","Không"))</f>
        <v/>
      </c>
      <c r="T4065" s="22">
        <f>IF($D4065="","",IF(AND($C4065&lt;&gt;"",$Q4065="Có",$R4065="",$S4065="Có",AND($L4065&lt;&gt;"",OR($L4065&lt;&gt;"Chưa xác định",DANH_MUC!$L$9="Có"))),"Có","Không"))</f>
        <v/>
      </c>
      <c r="U4065" s="22">
        <f>IF(OR($D4065="",$T4065="Có"),"",IF($C4065="","Thiếu họ tên; ","")&amp;IF($S4065&lt;&gt;"Có","SĐT sai định dạng; ","")&amp;IF($R4065="Trùng","Trùng SĐT; ","")&amp;IF($Q4065&lt;&gt;"Có","Thiếu đồng ý bắt buộc; ","")&amp;IF($L4065="","Thiếu/sai Mã REF; ",IF(AND($L4065="Chưa xác định",DANH_MUC!$L$9&lt;&gt;"Có"),"Nguồn chưa xác định; ","")))</f>
        <v/>
      </c>
      <c r="V4065" s="22">
        <f>IF(OR($D4065="",$R4065="Trùng"),"",IF(COUNTIF(ORDERS!$C$2:$C$4995,$D4065)&gt;0,"Có","Không"))</f>
        <v/>
      </c>
      <c r="W4065" s="22">
        <f>IF(OR($D4065="",$R4065="Trùng"),"",COUNTIFS(ORDERS!$C$2:$C$4995,$D4065,ORDERS!$L$2:$L$4995,"Đã chuyển khoản"))</f>
        <v/>
      </c>
      <c r="X4065" s="23">
        <f>IF(OR($D4065="",$R4065="Trùng"),"",SUMIFS(ORDERS!$J$2:$J$4995,ORDERS!$C$2:$C$4995,$D4065,ORDERS!$L$2:$L$4995,"Đã chuyển khoản"))</f>
        <v/>
      </c>
      <c r="Y4065" s="24" t="n"/>
    </row>
    <row r="4066" ht="14.25" customHeight="1" s="40">
      <c r="A4066" s="24" t="n"/>
      <c r="B4066" s="27" t="n"/>
      <c r="C4066" s="24" t="n"/>
      <c r="D4066" s="28" t="n"/>
      <c r="E4066" s="29" t="n"/>
      <c r="F4066" s="24" t="n"/>
      <c r="G4066" s="24" t="n"/>
      <c r="H4066" s="21">
        <f>IF(ISNUMBER($B4066),INT($B4066)-WEEKDAY($B4066,2)+1,"")</f>
        <v/>
      </c>
      <c r="I4066" s="24" t="n"/>
      <c r="J4066" s="22">
        <f t="array" ref="J4066">IF($D4066="","",IF($I4066="","(trống REF)",IFERROR(INDEX(MASTER_SOURCE!$B$2:$B$495,MATCH($I4066,MASTER_SOURCE!$A$2:$A$495,0)),"(REF không có trong MASTER_SOURCE)")))</f>
        <v/>
      </c>
      <c r="K4066" s="22">
        <f t="array" ref="K4066">IF($D4066="","",IFERROR(INDEX(MASTER_SOURCE!$C$2:$C$495,MATCH($I4066,MASTER_SOURCE!$A$2:$A$495,0)),""))</f>
        <v/>
      </c>
      <c r="L4066" s="22">
        <f t="array" ref="L4066">IF($D4066="","",IFERROR(INDEX(MASTER_SOURCE!$D$2:$D$495,MATCH($I4066,MASTER_SOURCE!$A$2:$A$495,0)),""))</f>
        <v/>
      </c>
      <c r="M4066" s="24" t="n"/>
      <c r="N4066" s="24" t="n"/>
      <c r="O4066" s="24" t="n"/>
      <c r="P4066" s="24" t="n"/>
      <c r="Q4066" s="22">
        <f>IF($D4066="","",IF(AND(OR(DANH_MUC!$L$5&lt;&gt;"Có",M4066="Có"),OR(DANH_MUC!$L$6&lt;&gt;"Có",N4066="Có"),OR(DANH_MUC!$L$7&lt;&gt;"Có",O4066="Có"),OR(DANH_MUC!$L$8&lt;&gt;"Có",P4066="Có")),"Có","Không"))</f>
        <v/>
      </c>
      <c r="R4066" s="22">
        <f>IF($D4066="","",IF(COUNTIF($D$2:$D4066,$D4066)&gt;1,"Trùng",""))</f>
        <v/>
      </c>
      <c r="S4066" s="22">
        <f>IF($D4066="","",IF(AND(LEN($D4066)=10,LEFT($D4066,1)="0",ISNUMBER(--$D4066)),"Có","Không"))</f>
        <v/>
      </c>
      <c r="T4066" s="22">
        <f>IF($D4066="","",IF(AND($C4066&lt;&gt;"",$Q4066="Có",$R4066="",$S4066="Có",AND($L4066&lt;&gt;"",OR($L4066&lt;&gt;"Chưa xác định",DANH_MUC!$L$9="Có"))),"Có","Không"))</f>
        <v/>
      </c>
      <c r="U4066" s="22">
        <f>IF(OR($D4066="",$T4066="Có"),"",IF($C4066="","Thiếu họ tên; ","")&amp;IF($S4066&lt;&gt;"Có","SĐT sai định dạng; ","")&amp;IF($R4066="Trùng","Trùng SĐT; ","")&amp;IF($Q4066&lt;&gt;"Có","Thiếu đồng ý bắt buộc; ","")&amp;IF($L4066="","Thiếu/sai Mã REF; ",IF(AND($L4066="Chưa xác định",DANH_MUC!$L$9&lt;&gt;"Có"),"Nguồn chưa xác định; ","")))</f>
        <v/>
      </c>
      <c r="V4066" s="22">
        <f>IF(OR($D4066="",$R4066="Trùng"),"",IF(COUNTIF(ORDERS!$C$2:$C$4995,$D4066)&gt;0,"Có","Không"))</f>
        <v/>
      </c>
      <c r="W4066" s="22">
        <f>IF(OR($D4066="",$R4066="Trùng"),"",COUNTIFS(ORDERS!$C$2:$C$4995,$D4066,ORDERS!$L$2:$L$4995,"Đã chuyển khoản"))</f>
        <v/>
      </c>
      <c r="X4066" s="23">
        <f>IF(OR($D4066="",$R4066="Trùng"),"",SUMIFS(ORDERS!$J$2:$J$4995,ORDERS!$C$2:$C$4995,$D4066,ORDERS!$L$2:$L$4995,"Đã chuyển khoản"))</f>
        <v/>
      </c>
      <c r="Y4066" s="24" t="n"/>
    </row>
    <row r="4067" ht="14.25" customHeight="1" s="40">
      <c r="A4067" s="24" t="n"/>
      <c r="B4067" s="27" t="n"/>
      <c r="C4067" s="24" t="n"/>
      <c r="D4067" s="28" t="n"/>
      <c r="E4067" s="29" t="n"/>
      <c r="F4067" s="24" t="n"/>
      <c r="G4067" s="24" t="n"/>
      <c r="H4067" s="21">
        <f>IF(ISNUMBER($B4067),INT($B4067)-WEEKDAY($B4067,2)+1,"")</f>
        <v/>
      </c>
      <c r="I4067" s="24" t="n"/>
      <c r="J4067" s="22">
        <f t="array" ref="J4067">IF($D4067="","",IF($I4067="","(trống REF)",IFERROR(INDEX(MASTER_SOURCE!$B$2:$B$495,MATCH($I4067,MASTER_SOURCE!$A$2:$A$495,0)),"(REF không có trong MASTER_SOURCE)")))</f>
        <v/>
      </c>
      <c r="K4067" s="22">
        <f t="array" ref="K4067">IF($D4067="","",IFERROR(INDEX(MASTER_SOURCE!$C$2:$C$495,MATCH($I4067,MASTER_SOURCE!$A$2:$A$495,0)),""))</f>
        <v/>
      </c>
      <c r="L4067" s="22">
        <f t="array" ref="L4067">IF($D4067="","",IFERROR(INDEX(MASTER_SOURCE!$D$2:$D$495,MATCH($I4067,MASTER_SOURCE!$A$2:$A$495,0)),""))</f>
        <v/>
      </c>
      <c r="M4067" s="24" t="n"/>
      <c r="N4067" s="24" t="n"/>
      <c r="O4067" s="24" t="n"/>
      <c r="P4067" s="24" t="n"/>
      <c r="Q4067" s="22">
        <f>IF($D4067="","",IF(AND(OR(DANH_MUC!$L$5&lt;&gt;"Có",M4067="Có"),OR(DANH_MUC!$L$6&lt;&gt;"Có",N4067="Có"),OR(DANH_MUC!$L$7&lt;&gt;"Có",O4067="Có"),OR(DANH_MUC!$L$8&lt;&gt;"Có",P4067="Có")),"Có","Không"))</f>
        <v/>
      </c>
      <c r="R4067" s="22">
        <f>IF($D4067="","",IF(COUNTIF($D$2:$D4067,$D4067)&gt;1,"Trùng",""))</f>
        <v/>
      </c>
      <c r="S4067" s="22">
        <f>IF($D4067="","",IF(AND(LEN($D4067)=10,LEFT($D4067,1)="0",ISNUMBER(--$D4067)),"Có","Không"))</f>
        <v/>
      </c>
      <c r="T4067" s="22">
        <f>IF($D4067="","",IF(AND($C4067&lt;&gt;"",$Q4067="Có",$R4067="",$S4067="Có",AND($L4067&lt;&gt;"",OR($L4067&lt;&gt;"Chưa xác định",DANH_MUC!$L$9="Có"))),"Có","Không"))</f>
        <v/>
      </c>
      <c r="U4067" s="22">
        <f>IF(OR($D4067="",$T4067="Có"),"",IF($C4067="","Thiếu họ tên; ","")&amp;IF($S4067&lt;&gt;"Có","SĐT sai định dạng; ","")&amp;IF($R4067="Trùng","Trùng SĐT; ","")&amp;IF($Q4067&lt;&gt;"Có","Thiếu đồng ý bắt buộc; ","")&amp;IF($L4067="","Thiếu/sai Mã REF; ",IF(AND($L4067="Chưa xác định",DANH_MUC!$L$9&lt;&gt;"Có"),"Nguồn chưa xác định; ","")))</f>
        <v/>
      </c>
      <c r="V4067" s="22">
        <f>IF(OR($D4067="",$R4067="Trùng"),"",IF(COUNTIF(ORDERS!$C$2:$C$4995,$D4067)&gt;0,"Có","Không"))</f>
        <v/>
      </c>
      <c r="W4067" s="22">
        <f>IF(OR($D4067="",$R4067="Trùng"),"",COUNTIFS(ORDERS!$C$2:$C$4995,$D4067,ORDERS!$L$2:$L$4995,"Đã chuyển khoản"))</f>
        <v/>
      </c>
      <c r="X4067" s="23">
        <f>IF(OR($D4067="",$R4067="Trùng"),"",SUMIFS(ORDERS!$J$2:$J$4995,ORDERS!$C$2:$C$4995,$D4067,ORDERS!$L$2:$L$4995,"Đã chuyển khoản"))</f>
        <v/>
      </c>
      <c r="Y4067" s="24" t="n"/>
    </row>
    <row r="4068" ht="14.25" customHeight="1" s="40">
      <c r="A4068" s="24" t="n"/>
      <c r="B4068" s="27" t="n"/>
      <c r="C4068" s="24" t="n"/>
      <c r="D4068" s="28" t="n"/>
      <c r="E4068" s="29" t="n"/>
      <c r="F4068" s="24" t="n"/>
      <c r="G4068" s="24" t="n"/>
      <c r="H4068" s="21">
        <f>IF(ISNUMBER($B4068),INT($B4068)-WEEKDAY($B4068,2)+1,"")</f>
        <v/>
      </c>
      <c r="I4068" s="24" t="n"/>
      <c r="J4068" s="22">
        <f t="array" ref="J4068">IF($D4068="","",IF($I4068="","(trống REF)",IFERROR(INDEX(MASTER_SOURCE!$B$2:$B$495,MATCH($I4068,MASTER_SOURCE!$A$2:$A$495,0)),"(REF không có trong MASTER_SOURCE)")))</f>
        <v/>
      </c>
      <c r="K4068" s="22">
        <f t="array" ref="K4068">IF($D4068="","",IFERROR(INDEX(MASTER_SOURCE!$C$2:$C$495,MATCH($I4068,MASTER_SOURCE!$A$2:$A$495,0)),""))</f>
        <v/>
      </c>
      <c r="L4068" s="22">
        <f t="array" ref="L4068">IF($D4068="","",IFERROR(INDEX(MASTER_SOURCE!$D$2:$D$495,MATCH($I4068,MASTER_SOURCE!$A$2:$A$495,0)),""))</f>
        <v/>
      </c>
      <c r="M4068" s="24" t="n"/>
      <c r="N4068" s="24" t="n"/>
      <c r="O4068" s="24" t="n"/>
      <c r="P4068" s="24" t="n"/>
      <c r="Q4068" s="22">
        <f>IF($D4068="","",IF(AND(OR(DANH_MUC!$L$5&lt;&gt;"Có",M4068="Có"),OR(DANH_MUC!$L$6&lt;&gt;"Có",N4068="Có"),OR(DANH_MUC!$L$7&lt;&gt;"Có",O4068="Có"),OR(DANH_MUC!$L$8&lt;&gt;"Có",P4068="Có")),"Có","Không"))</f>
        <v/>
      </c>
      <c r="R4068" s="22">
        <f>IF($D4068="","",IF(COUNTIF($D$2:$D4068,$D4068)&gt;1,"Trùng",""))</f>
        <v/>
      </c>
      <c r="S4068" s="22">
        <f>IF($D4068="","",IF(AND(LEN($D4068)=10,LEFT($D4068,1)="0",ISNUMBER(--$D4068)),"Có","Không"))</f>
        <v/>
      </c>
      <c r="T4068" s="22">
        <f>IF($D4068="","",IF(AND($C4068&lt;&gt;"",$Q4068="Có",$R4068="",$S4068="Có",AND($L4068&lt;&gt;"",OR($L4068&lt;&gt;"Chưa xác định",DANH_MUC!$L$9="Có"))),"Có","Không"))</f>
        <v/>
      </c>
      <c r="U4068" s="22">
        <f>IF(OR($D4068="",$T4068="Có"),"",IF($C4068="","Thiếu họ tên; ","")&amp;IF($S4068&lt;&gt;"Có","SĐT sai định dạng; ","")&amp;IF($R4068="Trùng","Trùng SĐT; ","")&amp;IF($Q4068&lt;&gt;"Có","Thiếu đồng ý bắt buộc; ","")&amp;IF($L4068="","Thiếu/sai Mã REF; ",IF(AND($L4068="Chưa xác định",DANH_MUC!$L$9&lt;&gt;"Có"),"Nguồn chưa xác định; ","")))</f>
        <v/>
      </c>
      <c r="V4068" s="22">
        <f>IF(OR($D4068="",$R4068="Trùng"),"",IF(COUNTIF(ORDERS!$C$2:$C$4995,$D4068)&gt;0,"Có","Không"))</f>
        <v/>
      </c>
      <c r="W4068" s="22">
        <f>IF(OR($D4068="",$R4068="Trùng"),"",COUNTIFS(ORDERS!$C$2:$C$4995,$D4068,ORDERS!$L$2:$L$4995,"Đã chuyển khoản"))</f>
        <v/>
      </c>
      <c r="X4068" s="23">
        <f>IF(OR($D4068="",$R4068="Trùng"),"",SUMIFS(ORDERS!$J$2:$J$4995,ORDERS!$C$2:$C$4995,$D4068,ORDERS!$L$2:$L$4995,"Đã chuyển khoản"))</f>
        <v/>
      </c>
      <c r="Y4068" s="24" t="n"/>
    </row>
    <row r="4069" ht="14.25" customHeight="1" s="40">
      <c r="A4069" s="24" t="n"/>
      <c r="B4069" s="27" t="n"/>
      <c r="C4069" s="24" t="n"/>
      <c r="D4069" s="28" t="n"/>
      <c r="E4069" s="29" t="n"/>
      <c r="F4069" s="24" t="n"/>
      <c r="G4069" s="24" t="n"/>
      <c r="H4069" s="21">
        <f>IF(ISNUMBER($B4069),INT($B4069)-WEEKDAY($B4069,2)+1,"")</f>
        <v/>
      </c>
      <c r="I4069" s="24" t="n"/>
      <c r="J4069" s="22">
        <f t="array" ref="J4069">IF($D4069="","",IF($I4069="","(trống REF)",IFERROR(INDEX(MASTER_SOURCE!$B$2:$B$495,MATCH($I4069,MASTER_SOURCE!$A$2:$A$495,0)),"(REF không có trong MASTER_SOURCE)")))</f>
        <v/>
      </c>
      <c r="K4069" s="22">
        <f t="array" ref="K4069">IF($D4069="","",IFERROR(INDEX(MASTER_SOURCE!$C$2:$C$495,MATCH($I4069,MASTER_SOURCE!$A$2:$A$495,0)),""))</f>
        <v/>
      </c>
      <c r="L4069" s="22">
        <f t="array" ref="L4069">IF($D4069="","",IFERROR(INDEX(MASTER_SOURCE!$D$2:$D$495,MATCH($I4069,MASTER_SOURCE!$A$2:$A$495,0)),""))</f>
        <v/>
      </c>
      <c r="M4069" s="24" t="n"/>
      <c r="N4069" s="24" t="n"/>
      <c r="O4069" s="24" t="n"/>
      <c r="P4069" s="24" t="n"/>
      <c r="Q4069" s="22">
        <f>IF($D4069="","",IF(AND(OR(DANH_MUC!$L$5&lt;&gt;"Có",M4069="Có"),OR(DANH_MUC!$L$6&lt;&gt;"Có",N4069="Có"),OR(DANH_MUC!$L$7&lt;&gt;"Có",O4069="Có"),OR(DANH_MUC!$L$8&lt;&gt;"Có",P4069="Có")),"Có","Không"))</f>
        <v/>
      </c>
      <c r="R4069" s="22">
        <f>IF($D4069="","",IF(COUNTIF($D$2:$D4069,$D4069)&gt;1,"Trùng",""))</f>
        <v/>
      </c>
      <c r="S4069" s="22">
        <f>IF($D4069="","",IF(AND(LEN($D4069)=10,LEFT($D4069,1)="0",ISNUMBER(--$D4069)),"Có","Không"))</f>
        <v/>
      </c>
      <c r="T4069" s="22">
        <f>IF($D4069="","",IF(AND($C4069&lt;&gt;"",$Q4069="Có",$R4069="",$S4069="Có",AND($L4069&lt;&gt;"",OR($L4069&lt;&gt;"Chưa xác định",DANH_MUC!$L$9="Có"))),"Có","Không"))</f>
        <v/>
      </c>
      <c r="U4069" s="22">
        <f>IF(OR($D4069="",$T4069="Có"),"",IF($C4069="","Thiếu họ tên; ","")&amp;IF($S4069&lt;&gt;"Có","SĐT sai định dạng; ","")&amp;IF($R4069="Trùng","Trùng SĐT; ","")&amp;IF($Q4069&lt;&gt;"Có","Thiếu đồng ý bắt buộc; ","")&amp;IF($L4069="","Thiếu/sai Mã REF; ",IF(AND($L4069="Chưa xác định",DANH_MUC!$L$9&lt;&gt;"Có"),"Nguồn chưa xác định; ","")))</f>
        <v/>
      </c>
      <c r="V4069" s="22">
        <f>IF(OR($D4069="",$R4069="Trùng"),"",IF(COUNTIF(ORDERS!$C$2:$C$4995,$D4069)&gt;0,"Có","Không"))</f>
        <v/>
      </c>
      <c r="W4069" s="22">
        <f>IF(OR($D4069="",$R4069="Trùng"),"",COUNTIFS(ORDERS!$C$2:$C$4995,$D4069,ORDERS!$L$2:$L$4995,"Đã chuyển khoản"))</f>
        <v/>
      </c>
      <c r="X4069" s="23">
        <f>IF(OR($D4069="",$R4069="Trùng"),"",SUMIFS(ORDERS!$J$2:$J$4995,ORDERS!$C$2:$C$4995,$D4069,ORDERS!$L$2:$L$4995,"Đã chuyển khoản"))</f>
        <v/>
      </c>
      <c r="Y4069" s="24" t="n"/>
    </row>
    <row r="4070" ht="14.25" customHeight="1" s="40">
      <c r="A4070" s="24" t="n"/>
      <c r="B4070" s="27" t="n"/>
      <c r="C4070" s="24" t="n"/>
      <c r="D4070" s="28" t="n"/>
      <c r="E4070" s="29" t="n"/>
      <c r="F4070" s="24" t="n"/>
      <c r="G4070" s="24" t="n"/>
      <c r="H4070" s="21">
        <f>IF(ISNUMBER($B4070),INT($B4070)-WEEKDAY($B4070,2)+1,"")</f>
        <v/>
      </c>
      <c r="I4070" s="24" t="n"/>
      <c r="J4070" s="22">
        <f t="array" ref="J4070">IF($D4070="","",IF($I4070="","(trống REF)",IFERROR(INDEX(MASTER_SOURCE!$B$2:$B$495,MATCH($I4070,MASTER_SOURCE!$A$2:$A$495,0)),"(REF không có trong MASTER_SOURCE)")))</f>
        <v/>
      </c>
      <c r="K4070" s="22">
        <f t="array" ref="K4070">IF($D4070="","",IFERROR(INDEX(MASTER_SOURCE!$C$2:$C$495,MATCH($I4070,MASTER_SOURCE!$A$2:$A$495,0)),""))</f>
        <v/>
      </c>
      <c r="L4070" s="22">
        <f t="array" ref="L4070">IF($D4070="","",IFERROR(INDEX(MASTER_SOURCE!$D$2:$D$495,MATCH($I4070,MASTER_SOURCE!$A$2:$A$495,0)),""))</f>
        <v/>
      </c>
      <c r="M4070" s="24" t="n"/>
      <c r="N4070" s="24" t="n"/>
      <c r="O4070" s="24" t="n"/>
      <c r="P4070" s="24" t="n"/>
      <c r="Q4070" s="22">
        <f>IF($D4070="","",IF(AND(OR(DANH_MUC!$L$5&lt;&gt;"Có",M4070="Có"),OR(DANH_MUC!$L$6&lt;&gt;"Có",N4070="Có"),OR(DANH_MUC!$L$7&lt;&gt;"Có",O4070="Có"),OR(DANH_MUC!$L$8&lt;&gt;"Có",P4070="Có")),"Có","Không"))</f>
        <v/>
      </c>
      <c r="R4070" s="22">
        <f>IF($D4070="","",IF(COUNTIF($D$2:$D4070,$D4070)&gt;1,"Trùng",""))</f>
        <v/>
      </c>
      <c r="S4070" s="22">
        <f>IF($D4070="","",IF(AND(LEN($D4070)=10,LEFT($D4070,1)="0",ISNUMBER(--$D4070)),"Có","Không"))</f>
        <v/>
      </c>
      <c r="T4070" s="22">
        <f>IF($D4070="","",IF(AND($C4070&lt;&gt;"",$Q4070="Có",$R4070="",$S4070="Có",AND($L4070&lt;&gt;"",OR($L4070&lt;&gt;"Chưa xác định",DANH_MUC!$L$9="Có"))),"Có","Không"))</f>
        <v/>
      </c>
      <c r="U4070" s="22">
        <f>IF(OR($D4070="",$T4070="Có"),"",IF($C4070="","Thiếu họ tên; ","")&amp;IF($S4070&lt;&gt;"Có","SĐT sai định dạng; ","")&amp;IF($R4070="Trùng","Trùng SĐT; ","")&amp;IF($Q4070&lt;&gt;"Có","Thiếu đồng ý bắt buộc; ","")&amp;IF($L4070="","Thiếu/sai Mã REF; ",IF(AND($L4070="Chưa xác định",DANH_MUC!$L$9&lt;&gt;"Có"),"Nguồn chưa xác định; ","")))</f>
        <v/>
      </c>
      <c r="V4070" s="22">
        <f>IF(OR($D4070="",$R4070="Trùng"),"",IF(COUNTIF(ORDERS!$C$2:$C$4995,$D4070)&gt;0,"Có","Không"))</f>
        <v/>
      </c>
      <c r="W4070" s="22">
        <f>IF(OR($D4070="",$R4070="Trùng"),"",COUNTIFS(ORDERS!$C$2:$C$4995,$D4070,ORDERS!$L$2:$L$4995,"Đã chuyển khoản"))</f>
        <v/>
      </c>
      <c r="X4070" s="23">
        <f>IF(OR($D4070="",$R4070="Trùng"),"",SUMIFS(ORDERS!$J$2:$J$4995,ORDERS!$C$2:$C$4995,$D4070,ORDERS!$L$2:$L$4995,"Đã chuyển khoản"))</f>
        <v/>
      </c>
      <c r="Y4070" s="24" t="n"/>
    </row>
    <row r="4071" ht="14.25" customHeight="1" s="40">
      <c r="A4071" s="24" t="n"/>
      <c r="B4071" s="27" t="n"/>
      <c r="C4071" s="24" t="n"/>
      <c r="D4071" s="28" t="n"/>
      <c r="E4071" s="29" t="n"/>
      <c r="F4071" s="24" t="n"/>
      <c r="G4071" s="24" t="n"/>
      <c r="H4071" s="21">
        <f>IF(ISNUMBER($B4071),INT($B4071)-WEEKDAY($B4071,2)+1,"")</f>
        <v/>
      </c>
      <c r="I4071" s="24" t="n"/>
      <c r="J4071" s="22">
        <f t="array" ref="J4071">IF($D4071="","",IF($I4071="","(trống REF)",IFERROR(INDEX(MASTER_SOURCE!$B$2:$B$495,MATCH($I4071,MASTER_SOURCE!$A$2:$A$495,0)),"(REF không có trong MASTER_SOURCE)")))</f>
        <v/>
      </c>
      <c r="K4071" s="22">
        <f t="array" ref="K4071">IF($D4071="","",IFERROR(INDEX(MASTER_SOURCE!$C$2:$C$495,MATCH($I4071,MASTER_SOURCE!$A$2:$A$495,0)),""))</f>
        <v/>
      </c>
      <c r="L4071" s="22">
        <f t="array" ref="L4071">IF($D4071="","",IFERROR(INDEX(MASTER_SOURCE!$D$2:$D$495,MATCH($I4071,MASTER_SOURCE!$A$2:$A$495,0)),""))</f>
        <v/>
      </c>
      <c r="M4071" s="24" t="n"/>
      <c r="N4071" s="24" t="n"/>
      <c r="O4071" s="24" t="n"/>
      <c r="P4071" s="24" t="n"/>
      <c r="Q4071" s="22">
        <f>IF($D4071="","",IF(AND(OR(DANH_MUC!$L$5&lt;&gt;"Có",M4071="Có"),OR(DANH_MUC!$L$6&lt;&gt;"Có",N4071="Có"),OR(DANH_MUC!$L$7&lt;&gt;"Có",O4071="Có"),OR(DANH_MUC!$L$8&lt;&gt;"Có",P4071="Có")),"Có","Không"))</f>
        <v/>
      </c>
      <c r="R4071" s="22">
        <f>IF($D4071="","",IF(COUNTIF($D$2:$D4071,$D4071)&gt;1,"Trùng",""))</f>
        <v/>
      </c>
      <c r="S4071" s="22">
        <f>IF($D4071="","",IF(AND(LEN($D4071)=10,LEFT($D4071,1)="0",ISNUMBER(--$D4071)),"Có","Không"))</f>
        <v/>
      </c>
      <c r="T4071" s="22">
        <f>IF($D4071="","",IF(AND($C4071&lt;&gt;"",$Q4071="Có",$R4071="",$S4071="Có",AND($L4071&lt;&gt;"",OR($L4071&lt;&gt;"Chưa xác định",DANH_MUC!$L$9="Có"))),"Có","Không"))</f>
        <v/>
      </c>
      <c r="U4071" s="22">
        <f>IF(OR($D4071="",$T4071="Có"),"",IF($C4071="","Thiếu họ tên; ","")&amp;IF($S4071&lt;&gt;"Có","SĐT sai định dạng; ","")&amp;IF($R4071="Trùng","Trùng SĐT; ","")&amp;IF($Q4071&lt;&gt;"Có","Thiếu đồng ý bắt buộc; ","")&amp;IF($L4071="","Thiếu/sai Mã REF; ",IF(AND($L4071="Chưa xác định",DANH_MUC!$L$9&lt;&gt;"Có"),"Nguồn chưa xác định; ","")))</f>
        <v/>
      </c>
      <c r="V4071" s="22">
        <f>IF(OR($D4071="",$R4071="Trùng"),"",IF(COUNTIF(ORDERS!$C$2:$C$4995,$D4071)&gt;0,"Có","Không"))</f>
        <v/>
      </c>
      <c r="W4071" s="22">
        <f>IF(OR($D4071="",$R4071="Trùng"),"",COUNTIFS(ORDERS!$C$2:$C$4995,$D4071,ORDERS!$L$2:$L$4995,"Đã chuyển khoản"))</f>
        <v/>
      </c>
      <c r="X4071" s="23">
        <f>IF(OR($D4071="",$R4071="Trùng"),"",SUMIFS(ORDERS!$J$2:$J$4995,ORDERS!$C$2:$C$4995,$D4071,ORDERS!$L$2:$L$4995,"Đã chuyển khoản"))</f>
        <v/>
      </c>
      <c r="Y4071" s="24" t="n"/>
    </row>
    <row r="4072" ht="14.25" customHeight="1" s="40">
      <c r="A4072" s="24" t="n"/>
      <c r="B4072" s="27" t="n"/>
      <c r="C4072" s="24" t="n"/>
      <c r="D4072" s="28" t="n"/>
      <c r="E4072" s="29" t="n"/>
      <c r="F4072" s="24" t="n"/>
      <c r="G4072" s="24" t="n"/>
      <c r="H4072" s="21">
        <f>IF(ISNUMBER($B4072),INT($B4072)-WEEKDAY($B4072,2)+1,"")</f>
        <v/>
      </c>
      <c r="I4072" s="24" t="n"/>
      <c r="J4072" s="22">
        <f t="array" ref="J4072">IF($D4072="","",IF($I4072="","(trống REF)",IFERROR(INDEX(MASTER_SOURCE!$B$2:$B$495,MATCH($I4072,MASTER_SOURCE!$A$2:$A$495,0)),"(REF không có trong MASTER_SOURCE)")))</f>
        <v/>
      </c>
      <c r="K4072" s="22">
        <f t="array" ref="K4072">IF($D4072="","",IFERROR(INDEX(MASTER_SOURCE!$C$2:$C$495,MATCH($I4072,MASTER_SOURCE!$A$2:$A$495,0)),""))</f>
        <v/>
      </c>
      <c r="L4072" s="22">
        <f t="array" ref="L4072">IF($D4072="","",IFERROR(INDEX(MASTER_SOURCE!$D$2:$D$495,MATCH($I4072,MASTER_SOURCE!$A$2:$A$495,0)),""))</f>
        <v/>
      </c>
      <c r="M4072" s="24" t="n"/>
      <c r="N4072" s="24" t="n"/>
      <c r="O4072" s="24" t="n"/>
      <c r="P4072" s="24" t="n"/>
      <c r="Q4072" s="22">
        <f>IF($D4072="","",IF(AND(OR(DANH_MUC!$L$5&lt;&gt;"Có",M4072="Có"),OR(DANH_MUC!$L$6&lt;&gt;"Có",N4072="Có"),OR(DANH_MUC!$L$7&lt;&gt;"Có",O4072="Có"),OR(DANH_MUC!$L$8&lt;&gt;"Có",P4072="Có")),"Có","Không"))</f>
        <v/>
      </c>
      <c r="R4072" s="22">
        <f>IF($D4072="","",IF(COUNTIF($D$2:$D4072,$D4072)&gt;1,"Trùng",""))</f>
        <v/>
      </c>
      <c r="S4072" s="22">
        <f>IF($D4072="","",IF(AND(LEN($D4072)=10,LEFT($D4072,1)="0",ISNUMBER(--$D4072)),"Có","Không"))</f>
        <v/>
      </c>
      <c r="T4072" s="22">
        <f>IF($D4072="","",IF(AND($C4072&lt;&gt;"",$Q4072="Có",$R4072="",$S4072="Có",AND($L4072&lt;&gt;"",OR($L4072&lt;&gt;"Chưa xác định",DANH_MUC!$L$9="Có"))),"Có","Không"))</f>
        <v/>
      </c>
      <c r="U4072" s="22">
        <f>IF(OR($D4072="",$T4072="Có"),"",IF($C4072="","Thiếu họ tên; ","")&amp;IF($S4072&lt;&gt;"Có","SĐT sai định dạng; ","")&amp;IF($R4072="Trùng","Trùng SĐT; ","")&amp;IF($Q4072&lt;&gt;"Có","Thiếu đồng ý bắt buộc; ","")&amp;IF($L4072="","Thiếu/sai Mã REF; ",IF(AND($L4072="Chưa xác định",DANH_MUC!$L$9&lt;&gt;"Có"),"Nguồn chưa xác định; ","")))</f>
        <v/>
      </c>
      <c r="V4072" s="22">
        <f>IF(OR($D4072="",$R4072="Trùng"),"",IF(COUNTIF(ORDERS!$C$2:$C$4995,$D4072)&gt;0,"Có","Không"))</f>
        <v/>
      </c>
      <c r="W4072" s="22">
        <f>IF(OR($D4072="",$R4072="Trùng"),"",COUNTIFS(ORDERS!$C$2:$C$4995,$D4072,ORDERS!$L$2:$L$4995,"Đã chuyển khoản"))</f>
        <v/>
      </c>
      <c r="X4072" s="23">
        <f>IF(OR($D4072="",$R4072="Trùng"),"",SUMIFS(ORDERS!$J$2:$J$4995,ORDERS!$C$2:$C$4995,$D4072,ORDERS!$L$2:$L$4995,"Đã chuyển khoản"))</f>
        <v/>
      </c>
      <c r="Y4072" s="24" t="n"/>
    </row>
    <row r="4073" ht="14.25" customHeight="1" s="40">
      <c r="A4073" s="24" t="n"/>
      <c r="B4073" s="27" t="n"/>
      <c r="C4073" s="24" t="n"/>
      <c r="D4073" s="28" t="n"/>
      <c r="E4073" s="29" t="n"/>
      <c r="F4073" s="24" t="n"/>
      <c r="G4073" s="24" t="n"/>
      <c r="H4073" s="21">
        <f>IF(ISNUMBER($B4073),INT($B4073)-WEEKDAY($B4073,2)+1,"")</f>
        <v/>
      </c>
      <c r="I4073" s="24" t="n"/>
      <c r="J4073" s="22">
        <f t="array" ref="J4073">IF($D4073="","",IF($I4073="","(trống REF)",IFERROR(INDEX(MASTER_SOURCE!$B$2:$B$495,MATCH($I4073,MASTER_SOURCE!$A$2:$A$495,0)),"(REF không có trong MASTER_SOURCE)")))</f>
        <v/>
      </c>
      <c r="K4073" s="22">
        <f t="array" ref="K4073">IF($D4073="","",IFERROR(INDEX(MASTER_SOURCE!$C$2:$C$495,MATCH($I4073,MASTER_SOURCE!$A$2:$A$495,0)),""))</f>
        <v/>
      </c>
      <c r="L4073" s="22">
        <f t="array" ref="L4073">IF($D4073="","",IFERROR(INDEX(MASTER_SOURCE!$D$2:$D$495,MATCH($I4073,MASTER_SOURCE!$A$2:$A$495,0)),""))</f>
        <v/>
      </c>
      <c r="M4073" s="24" t="n"/>
      <c r="N4073" s="24" t="n"/>
      <c r="O4073" s="24" t="n"/>
      <c r="P4073" s="24" t="n"/>
      <c r="Q4073" s="22">
        <f>IF($D4073="","",IF(AND(OR(DANH_MUC!$L$5&lt;&gt;"Có",M4073="Có"),OR(DANH_MUC!$L$6&lt;&gt;"Có",N4073="Có"),OR(DANH_MUC!$L$7&lt;&gt;"Có",O4073="Có"),OR(DANH_MUC!$L$8&lt;&gt;"Có",P4073="Có")),"Có","Không"))</f>
        <v/>
      </c>
      <c r="R4073" s="22">
        <f>IF($D4073="","",IF(COUNTIF($D$2:$D4073,$D4073)&gt;1,"Trùng",""))</f>
        <v/>
      </c>
      <c r="S4073" s="22">
        <f>IF($D4073="","",IF(AND(LEN($D4073)=10,LEFT($D4073,1)="0",ISNUMBER(--$D4073)),"Có","Không"))</f>
        <v/>
      </c>
      <c r="T4073" s="22">
        <f>IF($D4073="","",IF(AND($C4073&lt;&gt;"",$Q4073="Có",$R4073="",$S4073="Có",AND($L4073&lt;&gt;"",OR($L4073&lt;&gt;"Chưa xác định",DANH_MUC!$L$9="Có"))),"Có","Không"))</f>
        <v/>
      </c>
      <c r="U4073" s="22">
        <f>IF(OR($D4073="",$T4073="Có"),"",IF($C4073="","Thiếu họ tên; ","")&amp;IF($S4073&lt;&gt;"Có","SĐT sai định dạng; ","")&amp;IF($R4073="Trùng","Trùng SĐT; ","")&amp;IF($Q4073&lt;&gt;"Có","Thiếu đồng ý bắt buộc; ","")&amp;IF($L4073="","Thiếu/sai Mã REF; ",IF(AND($L4073="Chưa xác định",DANH_MUC!$L$9&lt;&gt;"Có"),"Nguồn chưa xác định; ","")))</f>
        <v/>
      </c>
      <c r="V4073" s="22">
        <f>IF(OR($D4073="",$R4073="Trùng"),"",IF(COUNTIF(ORDERS!$C$2:$C$4995,$D4073)&gt;0,"Có","Không"))</f>
        <v/>
      </c>
      <c r="W4073" s="22">
        <f>IF(OR($D4073="",$R4073="Trùng"),"",COUNTIFS(ORDERS!$C$2:$C$4995,$D4073,ORDERS!$L$2:$L$4995,"Đã chuyển khoản"))</f>
        <v/>
      </c>
      <c r="X4073" s="23">
        <f>IF(OR($D4073="",$R4073="Trùng"),"",SUMIFS(ORDERS!$J$2:$J$4995,ORDERS!$C$2:$C$4995,$D4073,ORDERS!$L$2:$L$4995,"Đã chuyển khoản"))</f>
        <v/>
      </c>
      <c r="Y4073" s="24" t="n"/>
    </row>
    <row r="4074" ht="14.25" customHeight="1" s="40">
      <c r="A4074" s="24" t="n"/>
      <c r="B4074" s="27" t="n"/>
      <c r="C4074" s="24" t="n"/>
      <c r="D4074" s="28" t="n"/>
      <c r="E4074" s="29" t="n"/>
      <c r="F4074" s="24" t="n"/>
      <c r="G4074" s="24" t="n"/>
      <c r="H4074" s="21">
        <f>IF(ISNUMBER($B4074),INT($B4074)-WEEKDAY($B4074,2)+1,"")</f>
        <v/>
      </c>
      <c r="I4074" s="24" t="n"/>
      <c r="J4074" s="22">
        <f t="array" ref="J4074">IF($D4074="","",IF($I4074="","(trống REF)",IFERROR(INDEX(MASTER_SOURCE!$B$2:$B$495,MATCH($I4074,MASTER_SOURCE!$A$2:$A$495,0)),"(REF không có trong MASTER_SOURCE)")))</f>
        <v/>
      </c>
      <c r="K4074" s="22">
        <f t="array" ref="K4074">IF($D4074="","",IFERROR(INDEX(MASTER_SOURCE!$C$2:$C$495,MATCH($I4074,MASTER_SOURCE!$A$2:$A$495,0)),""))</f>
        <v/>
      </c>
      <c r="L4074" s="22">
        <f t="array" ref="L4074">IF($D4074="","",IFERROR(INDEX(MASTER_SOURCE!$D$2:$D$495,MATCH($I4074,MASTER_SOURCE!$A$2:$A$495,0)),""))</f>
        <v/>
      </c>
      <c r="M4074" s="24" t="n"/>
      <c r="N4074" s="24" t="n"/>
      <c r="O4074" s="24" t="n"/>
      <c r="P4074" s="24" t="n"/>
      <c r="Q4074" s="22">
        <f>IF($D4074="","",IF(AND(OR(DANH_MUC!$L$5&lt;&gt;"Có",M4074="Có"),OR(DANH_MUC!$L$6&lt;&gt;"Có",N4074="Có"),OR(DANH_MUC!$L$7&lt;&gt;"Có",O4074="Có"),OR(DANH_MUC!$L$8&lt;&gt;"Có",P4074="Có")),"Có","Không"))</f>
        <v/>
      </c>
      <c r="R4074" s="22">
        <f>IF($D4074="","",IF(COUNTIF($D$2:$D4074,$D4074)&gt;1,"Trùng",""))</f>
        <v/>
      </c>
      <c r="S4074" s="22">
        <f>IF($D4074="","",IF(AND(LEN($D4074)=10,LEFT($D4074,1)="0",ISNUMBER(--$D4074)),"Có","Không"))</f>
        <v/>
      </c>
      <c r="T4074" s="22">
        <f>IF($D4074="","",IF(AND($C4074&lt;&gt;"",$Q4074="Có",$R4074="",$S4074="Có",AND($L4074&lt;&gt;"",OR($L4074&lt;&gt;"Chưa xác định",DANH_MUC!$L$9="Có"))),"Có","Không"))</f>
        <v/>
      </c>
      <c r="U4074" s="22">
        <f>IF(OR($D4074="",$T4074="Có"),"",IF($C4074="","Thiếu họ tên; ","")&amp;IF($S4074&lt;&gt;"Có","SĐT sai định dạng; ","")&amp;IF($R4074="Trùng","Trùng SĐT; ","")&amp;IF($Q4074&lt;&gt;"Có","Thiếu đồng ý bắt buộc; ","")&amp;IF($L4074="","Thiếu/sai Mã REF; ",IF(AND($L4074="Chưa xác định",DANH_MUC!$L$9&lt;&gt;"Có"),"Nguồn chưa xác định; ","")))</f>
        <v/>
      </c>
      <c r="V4074" s="22">
        <f>IF(OR($D4074="",$R4074="Trùng"),"",IF(COUNTIF(ORDERS!$C$2:$C$4995,$D4074)&gt;0,"Có","Không"))</f>
        <v/>
      </c>
      <c r="W4074" s="22">
        <f>IF(OR($D4074="",$R4074="Trùng"),"",COUNTIFS(ORDERS!$C$2:$C$4995,$D4074,ORDERS!$L$2:$L$4995,"Đã chuyển khoản"))</f>
        <v/>
      </c>
      <c r="X4074" s="23">
        <f>IF(OR($D4074="",$R4074="Trùng"),"",SUMIFS(ORDERS!$J$2:$J$4995,ORDERS!$C$2:$C$4995,$D4074,ORDERS!$L$2:$L$4995,"Đã chuyển khoản"))</f>
        <v/>
      </c>
      <c r="Y4074" s="24" t="n"/>
    </row>
    <row r="4075" ht="14.25" customHeight="1" s="40">
      <c r="A4075" s="24" t="n"/>
      <c r="B4075" s="27" t="n"/>
      <c r="C4075" s="24" t="n"/>
      <c r="D4075" s="28" t="n"/>
      <c r="E4075" s="29" t="n"/>
      <c r="F4075" s="24" t="n"/>
      <c r="G4075" s="24" t="n"/>
      <c r="H4075" s="21">
        <f>IF(ISNUMBER($B4075),INT($B4075)-WEEKDAY($B4075,2)+1,"")</f>
        <v/>
      </c>
      <c r="I4075" s="24" t="n"/>
      <c r="J4075" s="22">
        <f t="array" ref="J4075">IF($D4075="","",IF($I4075="","(trống REF)",IFERROR(INDEX(MASTER_SOURCE!$B$2:$B$495,MATCH($I4075,MASTER_SOURCE!$A$2:$A$495,0)),"(REF không có trong MASTER_SOURCE)")))</f>
        <v/>
      </c>
      <c r="K4075" s="22">
        <f t="array" ref="K4075">IF($D4075="","",IFERROR(INDEX(MASTER_SOURCE!$C$2:$C$495,MATCH($I4075,MASTER_SOURCE!$A$2:$A$495,0)),""))</f>
        <v/>
      </c>
      <c r="L4075" s="22">
        <f t="array" ref="L4075">IF($D4075="","",IFERROR(INDEX(MASTER_SOURCE!$D$2:$D$495,MATCH($I4075,MASTER_SOURCE!$A$2:$A$495,0)),""))</f>
        <v/>
      </c>
      <c r="M4075" s="24" t="n"/>
      <c r="N4075" s="24" t="n"/>
      <c r="O4075" s="24" t="n"/>
      <c r="P4075" s="24" t="n"/>
      <c r="Q4075" s="22">
        <f>IF($D4075="","",IF(AND(OR(DANH_MUC!$L$5&lt;&gt;"Có",M4075="Có"),OR(DANH_MUC!$L$6&lt;&gt;"Có",N4075="Có"),OR(DANH_MUC!$L$7&lt;&gt;"Có",O4075="Có"),OR(DANH_MUC!$L$8&lt;&gt;"Có",P4075="Có")),"Có","Không"))</f>
        <v/>
      </c>
      <c r="R4075" s="22">
        <f>IF($D4075="","",IF(COUNTIF($D$2:$D4075,$D4075)&gt;1,"Trùng",""))</f>
        <v/>
      </c>
      <c r="S4075" s="22">
        <f>IF($D4075="","",IF(AND(LEN($D4075)=10,LEFT($D4075,1)="0",ISNUMBER(--$D4075)),"Có","Không"))</f>
        <v/>
      </c>
      <c r="T4075" s="22">
        <f>IF($D4075="","",IF(AND($C4075&lt;&gt;"",$Q4075="Có",$R4075="",$S4075="Có",AND($L4075&lt;&gt;"",OR($L4075&lt;&gt;"Chưa xác định",DANH_MUC!$L$9="Có"))),"Có","Không"))</f>
        <v/>
      </c>
      <c r="U4075" s="22">
        <f>IF(OR($D4075="",$T4075="Có"),"",IF($C4075="","Thiếu họ tên; ","")&amp;IF($S4075&lt;&gt;"Có","SĐT sai định dạng; ","")&amp;IF($R4075="Trùng","Trùng SĐT; ","")&amp;IF($Q4075&lt;&gt;"Có","Thiếu đồng ý bắt buộc; ","")&amp;IF($L4075="","Thiếu/sai Mã REF; ",IF(AND($L4075="Chưa xác định",DANH_MUC!$L$9&lt;&gt;"Có"),"Nguồn chưa xác định; ","")))</f>
        <v/>
      </c>
      <c r="V4075" s="22">
        <f>IF(OR($D4075="",$R4075="Trùng"),"",IF(COUNTIF(ORDERS!$C$2:$C$4995,$D4075)&gt;0,"Có","Không"))</f>
        <v/>
      </c>
      <c r="W4075" s="22">
        <f>IF(OR($D4075="",$R4075="Trùng"),"",COUNTIFS(ORDERS!$C$2:$C$4995,$D4075,ORDERS!$L$2:$L$4995,"Đã chuyển khoản"))</f>
        <v/>
      </c>
      <c r="X4075" s="23">
        <f>IF(OR($D4075="",$R4075="Trùng"),"",SUMIFS(ORDERS!$J$2:$J$4995,ORDERS!$C$2:$C$4995,$D4075,ORDERS!$L$2:$L$4995,"Đã chuyển khoản"))</f>
        <v/>
      </c>
      <c r="Y4075" s="24" t="n"/>
    </row>
    <row r="4076" ht="14.25" customHeight="1" s="40">
      <c r="A4076" s="24" t="n"/>
      <c r="B4076" s="27" t="n"/>
      <c r="C4076" s="24" t="n"/>
      <c r="D4076" s="28" t="n"/>
      <c r="E4076" s="29" t="n"/>
      <c r="F4076" s="24" t="n"/>
      <c r="G4076" s="24" t="n"/>
      <c r="H4076" s="21">
        <f>IF(ISNUMBER($B4076),INT($B4076)-WEEKDAY($B4076,2)+1,"")</f>
        <v/>
      </c>
      <c r="I4076" s="24" t="n"/>
      <c r="J4076" s="22">
        <f t="array" ref="J4076">IF($D4076="","",IF($I4076="","(trống REF)",IFERROR(INDEX(MASTER_SOURCE!$B$2:$B$495,MATCH($I4076,MASTER_SOURCE!$A$2:$A$495,0)),"(REF không có trong MASTER_SOURCE)")))</f>
        <v/>
      </c>
      <c r="K4076" s="22">
        <f t="array" ref="K4076">IF($D4076="","",IFERROR(INDEX(MASTER_SOURCE!$C$2:$C$495,MATCH($I4076,MASTER_SOURCE!$A$2:$A$495,0)),""))</f>
        <v/>
      </c>
      <c r="L4076" s="22">
        <f t="array" ref="L4076">IF($D4076="","",IFERROR(INDEX(MASTER_SOURCE!$D$2:$D$495,MATCH($I4076,MASTER_SOURCE!$A$2:$A$495,0)),""))</f>
        <v/>
      </c>
      <c r="M4076" s="24" t="n"/>
      <c r="N4076" s="24" t="n"/>
      <c r="O4076" s="24" t="n"/>
      <c r="P4076" s="24" t="n"/>
      <c r="Q4076" s="22">
        <f>IF($D4076="","",IF(AND(OR(DANH_MUC!$L$5&lt;&gt;"Có",M4076="Có"),OR(DANH_MUC!$L$6&lt;&gt;"Có",N4076="Có"),OR(DANH_MUC!$L$7&lt;&gt;"Có",O4076="Có"),OR(DANH_MUC!$L$8&lt;&gt;"Có",P4076="Có")),"Có","Không"))</f>
        <v/>
      </c>
      <c r="R4076" s="22">
        <f>IF($D4076="","",IF(COUNTIF($D$2:$D4076,$D4076)&gt;1,"Trùng",""))</f>
        <v/>
      </c>
      <c r="S4076" s="22">
        <f>IF($D4076="","",IF(AND(LEN($D4076)=10,LEFT($D4076,1)="0",ISNUMBER(--$D4076)),"Có","Không"))</f>
        <v/>
      </c>
      <c r="T4076" s="22">
        <f>IF($D4076="","",IF(AND($C4076&lt;&gt;"",$Q4076="Có",$R4076="",$S4076="Có",AND($L4076&lt;&gt;"",OR($L4076&lt;&gt;"Chưa xác định",DANH_MUC!$L$9="Có"))),"Có","Không"))</f>
        <v/>
      </c>
      <c r="U4076" s="22">
        <f>IF(OR($D4076="",$T4076="Có"),"",IF($C4076="","Thiếu họ tên; ","")&amp;IF($S4076&lt;&gt;"Có","SĐT sai định dạng; ","")&amp;IF($R4076="Trùng","Trùng SĐT; ","")&amp;IF($Q4076&lt;&gt;"Có","Thiếu đồng ý bắt buộc; ","")&amp;IF($L4076="","Thiếu/sai Mã REF; ",IF(AND($L4076="Chưa xác định",DANH_MUC!$L$9&lt;&gt;"Có"),"Nguồn chưa xác định; ","")))</f>
        <v/>
      </c>
      <c r="V4076" s="22">
        <f>IF(OR($D4076="",$R4076="Trùng"),"",IF(COUNTIF(ORDERS!$C$2:$C$4995,$D4076)&gt;0,"Có","Không"))</f>
        <v/>
      </c>
      <c r="W4076" s="22">
        <f>IF(OR($D4076="",$R4076="Trùng"),"",COUNTIFS(ORDERS!$C$2:$C$4995,$D4076,ORDERS!$L$2:$L$4995,"Đã chuyển khoản"))</f>
        <v/>
      </c>
      <c r="X4076" s="23">
        <f>IF(OR($D4076="",$R4076="Trùng"),"",SUMIFS(ORDERS!$J$2:$J$4995,ORDERS!$C$2:$C$4995,$D4076,ORDERS!$L$2:$L$4995,"Đã chuyển khoản"))</f>
        <v/>
      </c>
      <c r="Y4076" s="24" t="n"/>
    </row>
    <row r="4077" ht="14.25" customHeight="1" s="40">
      <c r="A4077" s="24" t="n"/>
      <c r="B4077" s="27" t="n"/>
      <c r="C4077" s="24" t="n"/>
      <c r="D4077" s="28" t="n"/>
      <c r="E4077" s="29" t="n"/>
      <c r="F4077" s="24" t="n"/>
      <c r="G4077" s="24" t="n"/>
      <c r="H4077" s="21">
        <f>IF(ISNUMBER($B4077),INT($B4077)-WEEKDAY($B4077,2)+1,"")</f>
        <v/>
      </c>
      <c r="I4077" s="24" t="n"/>
      <c r="J4077" s="22">
        <f t="array" ref="J4077">IF($D4077="","",IF($I4077="","(trống REF)",IFERROR(INDEX(MASTER_SOURCE!$B$2:$B$495,MATCH($I4077,MASTER_SOURCE!$A$2:$A$495,0)),"(REF không có trong MASTER_SOURCE)")))</f>
        <v/>
      </c>
      <c r="K4077" s="22">
        <f t="array" ref="K4077">IF($D4077="","",IFERROR(INDEX(MASTER_SOURCE!$C$2:$C$495,MATCH($I4077,MASTER_SOURCE!$A$2:$A$495,0)),""))</f>
        <v/>
      </c>
      <c r="L4077" s="22">
        <f t="array" ref="L4077">IF($D4077="","",IFERROR(INDEX(MASTER_SOURCE!$D$2:$D$495,MATCH($I4077,MASTER_SOURCE!$A$2:$A$495,0)),""))</f>
        <v/>
      </c>
      <c r="M4077" s="24" t="n"/>
      <c r="N4077" s="24" t="n"/>
      <c r="O4077" s="24" t="n"/>
      <c r="P4077" s="24" t="n"/>
      <c r="Q4077" s="22">
        <f>IF($D4077="","",IF(AND(OR(DANH_MUC!$L$5&lt;&gt;"Có",M4077="Có"),OR(DANH_MUC!$L$6&lt;&gt;"Có",N4077="Có"),OR(DANH_MUC!$L$7&lt;&gt;"Có",O4077="Có"),OR(DANH_MUC!$L$8&lt;&gt;"Có",P4077="Có")),"Có","Không"))</f>
        <v/>
      </c>
      <c r="R4077" s="22">
        <f>IF($D4077="","",IF(COUNTIF($D$2:$D4077,$D4077)&gt;1,"Trùng",""))</f>
        <v/>
      </c>
      <c r="S4077" s="22">
        <f>IF($D4077="","",IF(AND(LEN($D4077)=10,LEFT($D4077,1)="0",ISNUMBER(--$D4077)),"Có","Không"))</f>
        <v/>
      </c>
      <c r="T4077" s="22">
        <f>IF($D4077="","",IF(AND($C4077&lt;&gt;"",$Q4077="Có",$R4077="",$S4077="Có",AND($L4077&lt;&gt;"",OR($L4077&lt;&gt;"Chưa xác định",DANH_MUC!$L$9="Có"))),"Có","Không"))</f>
        <v/>
      </c>
      <c r="U4077" s="22">
        <f>IF(OR($D4077="",$T4077="Có"),"",IF($C4077="","Thiếu họ tên; ","")&amp;IF($S4077&lt;&gt;"Có","SĐT sai định dạng; ","")&amp;IF($R4077="Trùng","Trùng SĐT; ","")&amp;IF($Q4077&lt;&gt;"Có","Thiếu đồng ý bắt buộc; ","")&amp;IF($L4077="","Thiếu/sai Mã REF; ",IF(AND($L4077="Chưa xác định",DANH_MUC!$L$9&lt;&gt;"Có"),"Nguồn chưa xác định; ","")))</f>
        <v/>
      </c>
      <c r="V4077" s="22">
        <f>IF(OR($D4077="",$R4077="Trùng"),"",IF(COUNTIF(ORDERS!$C$2:$C$4995,$D4077)&gt;0,"Có","Không"))</f>
        <v/>
      </c>
      <c r="W4077" s="22">
        <f>IF(OR($D4077="",$R4077="Trùng"),"",COUNTIFS(ORDERS!$C$2:$C$4995,$D4077,ORDERS!$L$2:$L$4995,"Đã chuyển khoản"))</f>
        <v/>
      </c>
      <c r="X4077" s="23">
        <f>IF(OR($D4077="",$R4077="Trùng"),"",SUMIFS(ORDERS!$J$2:$J$4995,ORDERS!$C$2:$C$4995,$D4077,ORDERS!$L$2:$L$4995,"Đã chuyển khoản"))</f>
        <v/>
      </c>
      <c r="Y4077" s="24" t="n"/>
    </row>
    <row r="4078" ht="14.25" customHeight="1" s="40">
      <c r="A4078" s="24" t="n"/>
      <c r="B4078" s="27" t="n"/>
      <c r="C4078" s="24" t="n"/>
      <c r="D4078" s="28" t="n"/>
      <c r="E4078" s="29" t="n"/>
      <c r="F4078" s="24" t="n"/>
      <c r="G4078" s="24" t="n"/>
      <c r="H4078" s="21">
        <f>IF(ISNUMBER($B4078),INT($B4078)-WEEKDAY($B4078,2)+1,"")</f>
        <v/>
      </c>
      <c r="I4078" s="24" t="n"/>
      <c r="J4078" s="22">
        <f t="array" ref="J4078">IF($D4078="","",IF($I4078="","(trống REF)",IFERROR(INDEX(MASTER_SOURCE!$B$2:$B$495,MATCH($I4078,MASTER_SOURCE!$A$2:$A$495,0)),"(REF không có trong MASTER_SOURCE)")))</f>
        <v/>
      </c>
      <c r="K4078" s="22">
        <f t="array" ref="K4078">IF($D4078="","",IFERROR(INDEX(MASTER_SOURCE!$C$2:$C$495,MATCH($I4078,MASTER_SOURCE!$A$2:$A$495,0)),""))</f>
        <v/>
      </c>
      <c r="L4078" s="22">
        <f t="array" ref="L4078">IF($D4078="","",IFERROR(INDEX(MASTER_SOURCE!$D$2:$D$495,MATCH($I4078,MASTER_SOURCE!$A$2:$A$495,0)),""))</f>
        <v/>
      </c>
      <c r="M4078" s="24" t="n"/>
      <c r="N4078" s="24" t="n"/>
      <c r="O4078" s="24" t="n"/>
      <c r="P4078" s="24" t="n"/>
      <c r="Q4078" s="22">
        <f>IF($D4078="","",IF(AND(OR(DANH_MUC!$L$5&lt;&gt;"Có",M4078="Có"),OR(DANH_MUC!$L$6&lt;&gt;"Có",N4078="Có"),OR(DANH_MUC!$L$7&lt;&gt;"Có",O4078="Có"),OR(DANH_MUC!$L$8&lt;&gt;"Có",P4078="Có")),"Có","Không"))</f>
        <v/>
      </c>
      <c r="R4078" s="22">
        <f>IF($D4078="","",IF(COUNTIF($D$2:$D4078,$D4078)&gt;1,"Trùng",""))</f>
        <v/>
      </c>
      <c r="S4078" s="22">
        <f>IF($D4078="","",IF(AND(LEN($D4078)=10,LEFT($D4078,1)="0",ISNUMBER(--$D4078)),"Có","Không"))</f>
        <v/>
      </c>
      <c r="T4078" s="22">
        <f>IF($D4078="","",IF(AND($C4078&lt;&gt;"",$Q4078="Có",$R4078="",$S4078="Có",AND($L4078&lt;&gt;"",OR($L4078&lt;&gt;"Chưa xác định",DANH_MUC!$L$9="Có"))),"Có","Không"))</f>
        <v/>
      </c>
      <c r="U4078" s="22">
        <f>IF(OR($D4078="",$T4078="Có"),"",IF($C4078="","Thiếu họ tên; ","")&amp;IF($S4078&lt;&gt;"Có","SĐT sai định dạng; ","")&amp;IF($R4078="Trùng","Trùng SĐT; ","")&amp;IF($Q4078&lt;&gt;"Có","Thiếu đồng ý bắt buộc; ","")&amp;IF($L4078="","Thiếu/sai Mã REF; ",IF(AND($L4078="Chưa xác định",DANH_MUC!$L$9&lt;&gt;"Có"),"Nguồn chưa xác định; ","")))</f>
        <v/>
      </c>
      <c r="V4078" s="22">
        <f>IF(OR($D4078="",$R4078="Trùng"),"",IF(COUNTIF(ORDERS!$C$2:$C$4995,$D4078)&gt;0,"Có","Không"))</f>
        <v/>
      </c>
      <c r="W4078" s="22">
        <f>IF(OR($D4078="",$R4078="Trùng"),"",COUNTIFS(ORDERS!$C$2:$C$4995,$D4078,ORDERS!$L$2:$L$4995,"Đã chuyển khoản"))</f>
        <v/>
      </c>
      <c r="X4078" s="23">
        <f>IF(OR($D4078="",$R4078="Trùng"),"",SUMIFS(ORDERS!$J$2:$J$4995,ORDERS!$C$2:$C$4995,$D4078,ORDERS!$L$2:$L$4995,"Đã chuyển khoản"))</f>
        <v/>
      </c>
      <c r="Y4078" s="24" t="n"/>
    </row>
    <row r="4079" ht="14.25" customHeight="1" s="40">
      <c r="A4079" s="24" t="n"/>
      <c r="B4079" s="27" t="n"/>
      <c r="C4079" s="24" t="n"/>
      <c r="D4079" s="28" t="n"/>
      <c r="E4079" s="29" t="n"/>
      <c r="F4079" s="24" t="n"/>
      <c r="G4079" s="24" t="n"/>
      <c r="H4079" s="21">
        <f>IF(ISNUMBER($B4079),INT($B4079)-WEEKDAY($B4079,2)+1,"")</f>
        <v/>
      </c>
      <c r="I4079" s="24" t="n"/>
      <c r="J4079" s="22">
        <f t="array" ref="J4079">IF($D4079="","",IF($I4079="","(trống REF)",IFERROR(INDEX(MASTER_SOURCE!$B$2:$B$495,MATCH($I4079,MASTER_SOURCE!$A$2:$A$495,0)),"(REF không có trong MASTER_SOURCE)")))</f>
        <v/>
      </c>
      <c r="K4079" s="22">
        <f t="array" ref="K4079">IF($D4079="","",IFERROR(INDEX(MASTER_SOURCE!$C$2:$C$495,MATCH($I4079,MASTER_SOURCE!$A$2:$A$495,0)),""))</f>
        <v/>
      </c>
      <c r="L4079" s="22">
        <f t="array" ref="L4079">IF($D4079="","",IFERROR(INDEX(MASTER_SOURCE!$D$2:$D$495,MATCH($I4079,MASTER_SOURCE!$A$2:$A$495,0)),""))</f>
        <v/>
      </c>
      <c r="M4079" s="24" t="n"/>
      <c r="N4079" s="24" t="n"/>
      <c r="O4079" s="24" t="n"/>
      <c r="P4079" s="24" t="n"/>
      <c r="Q4079" s="22">
        <f>IF($D4079="","",IF(AND(OR(DANH_MUC!$L$5&lt;&gt;"Có",M4079="Có"),OR(DANH_MUC!$L$6&lt;&gt;"Có",N4079="Có"),OR(DANH_MUC!$L$7&lt;&gt;"Có",O4079="Có"),OR(DANH_MUC!$L$8&lt;&gt;"Có",P4079="Có")),"Có","Không"))</f>
        <v/>
      </c>
      <c r="R4079" s="22">
        <f>IF($D4079="","",IF(COUNTIF($D$2:$D4079,$D4079)&gt;1,"Trùng",""))</f>
        <v/>
      </c>
      <c r="S4079" s="22">
        <f>IF($D4079="","",IF(AND(LEN($D4079)=10,LEFT($D4079,1)="0",ISNUMBER(--$D4079)),"Có","Không"))</f>
        <v/>
      </c>
      <c r="T4079" s="22">
        <f>IF($D4079="","",IF(AND($C4079&lt;&gt;"",$Q4079="Có",$R4079="",$S4079="Có",AND($L4079&lt;&gt;"",OR($L4079&lt;&gt;"Chưa xác định",DANH_MUC!$L$9="Có"))),"Có","Không"))</f>
        <v/>
      </c>
      <c r="U4079" s="22">
        <f>IF(OR($D4079="",$T4079="Có"),"",IF($C4079="","Thiếu họ tên; ","")&amp;IF($S4079&lt;&gt;"Có","SĐT sai định dạng; ","")&amp;IF($R4079="Trùng","Trùng SĐT; ","")&amp;IF($Q4079&lt;&gt;"Có","Thiếu đồng ý bắt buộc; ","")&amp;IF($L4079="","Thiếu/sai Mã REF; ",IF(AND($L4079="Chưa xác định",DANH_MUC!$L$9&lt;&gt;"Có"),"Nguồn chưa xác định; ","")))</f>
        <v/>
      </c>
      <c r="V4079" s="22">
        <f>IF(OR($D4079="",$R4079="Trùng"),"",IF(COUNTIF(ORDERS!$C$2:$C$4995,$D4079)&gt;0,"Có","Không"))</f>
        <v/>
      </c>
      <c r="W4079" s="22">
        <f>IF(OR($D4079="",$R4079="Trùng"),"",COUNTIFS(ORDERS!$C$2:$C$4995,$D4079,ORDERS!$L$2:$L$4995,"Đã chuyển khoản"))</f>
        <v/>
      </c>
      <c r="X4079" s="23">
        <f>IF(OR($D4079="",$R4079="Trùng"),"",SUMIFS(ORDERS!$J$2:$J$4995,ORDERS!$C$2:$C$4995,$D4079,ORDERS!$L$2:$L$4995,"Đã chuyển khoản"))</f>
        <v/>
      </c>
      <c r="Y4079" s="24" t="n"/>
    </row>
    <row r="4080" ht="14.25" customHeight="1" s="40">
      <c r="A4080" s="24" t="n"/>
      <c r="B4080" s="27" t="n"/>
      <c r="C4080" s="24" t="n"/>
      <c r="D4080" s="28" t="n"/>
      <c r="E4080" s="29" t="n"/>
      <c r="F4080" s="24" t="n"/>
      <c r="G4080" s="24" t="n"/>
      <c r="H4080" s="21">
        <f>IF(ISNUMBER($B4080),INT($B4080)-WEEKDAY($B4080,2)+1,"")</f>
        <v/>
      </c>
      <c r="I4080" s="24" t="n"/>
      <c r="J4080" s="22">
        <f t="array" ref="J4080">IF($D4080="","",IF($I4080="","(trống REF)",IFERROR(INDEX(MASTER_SOURCE!$B$2:$B$495,MATCH($I4080,MASTER_SOURCE!$A$2:$A$495,0)),"(REF không có trong MASTER_SOURCE)")))</f>
        <v/>
      </c>
      <c r="K4080" s="22">
        <f t="array" ref="K4080">IF($D4080="","",IFERROR(INDEX(MASTER_SOURCE!$C$2:$C$495,MATCH($I4080,MASTER_SOURCE!$A$2:$A$495,0)),""))</f>
        <v/>
      </c>
      <c r="L4080" s="22">
        <f t="array" ref="L4080">IF($D4080="","",IFERROR(INDEX(MASTER_SOURCE!$D$2:$D$495,MATCH($I4080,MASTER_SOURCE!$A$2:$A$495,0)),""))</f>
        <v/>
      </c>
      <c r="M4080" s="24" t="n"/>
      <c r="N4080" s="24" t="n"/>
      <c r="O4080" s="24" t="n"/>
      <c r="P4080" s="24" t="n"/>
      <c r="Q4080" s="22">
        <f>IF($D4080="","",IF(AND(OR(DANH_MUC!$L$5&lt;&gt;"Có",M4080="Có"),OR(DANH_MUC!$L$6&lt;&gt;"Có",N4080="Có"),OR(DANH_MUC!$L$7&lt;&gt;"Có",O4080="Có"),OR(DANH_MUC!$L$8&lt;&gt;"Có",P4080="Có")),"Có","Không"))</f>
        <v/>
      </c>
      <c r="R4080" s="22">
        <f>IF($D4080="","",IF(COUNTIF($D$2:$D4080,$D4080)&gt;1,"Trùng",""))</f>
        <v/>
      </c>
      <c r="S4080" s="22">
        <f>IF($D4080="","",IF(AND(LEN($D4080)=10,LEFT($D4080,1)="0",ISNUMBER(--$D4080)),"Có","Không"))</f>
        <v/>
      </c>
      <c r="T4080" s="22">
        <f>IF($D4080="","",IF(AND($C4080&lt;&gt;"",$Q4080="Có",$R4080="",$S4080="Có",AND($L4080&lt;&gt;"",OR($L4080&lt;&gt;"Chưa xác định",DANH_MUC!$L$9="Có"))),"Có","Không"))</f>
        <v/>
      </c>
      <c r="U4080" s="22">
        <f>IF(OR($D4080="",$T4080="Có"),"",IF($C4080="","Thiếu họ tên; ","")&amp;IF($S4080&lt;&gt;"Có","SĐT sai định dạng; ","")&amp;IF($R4080="Trùng","Trùng SĐT; ","")&amp;IF($Q4080&lt;&gt;"Có","Thiếu đồng ý bắt buộc; ","")&amp;IF($L4080="","Thiếu/sai Mã REF; ",IF(AND($L4080="Chưa xác định",DANH_MUC!$L$9&lt;&gt;"Có"),"Nguồn chưa xác định; ","")))</f>
        <v/>
      </c>
      <c r="V4080" s="22">
        <f>IF(OR($D4080="",$R4080="Trùng"),"",IF(COUNTIF(ORDERS!$C$2:$C$4995,$D4080)&gt;0,"Có","Không"))</f>
        <v/>
      </c>
      <c r="W4080" s="22">
        <f>IF(OR($D4080="",$R4080="Trùng"),"",COUNTIFS(ORDERS!$C$2:$C$4995,$D4080,ORDERS!$L$2:$L$4995,"Đã chuyển khoản"))</f>
        <v/>
      </c>
      <c r="X4080" s="23">
        <f>IF(OR($D4080="",$R4080="Trùng"),"",SUMIFS(ORDERS!$J$2:$J$4995,ORDERS!$C$2:$C$4995,$D4080,ORDERS!$L$2:$L$4995,"Đã chuyển khoản"))</f>
        <v/>
      </c>
      <c r="Y4080" s="24" t="n"/>
    </row>
    <row r="4081" ht="14.25" customHeight="1" s="40">
      <c r="A4081" s="24" t="n"/>
      <c r="B4081" s="27" t="n"/>
      <c r="C4081" s="24" t="n"/>
      <c r="D4081" s="28" t="n"/>
      <c r="E4081" s="29" t="n"/>
      <c r="F4081" s="24" t="n"/>
      <c r="G4081" s="24" t="n"/>
      <c r="H4081" s="21">
        <f>IF(ISNUMBER($B4081),INT($B4081)-WEEKDAY($B4081,2)+1,"")</f>
        <v/>
      </c>
      <c r="I4081" s="24" t="n"/>
      <c r="J4081" s="22">
        <f t="array" ref="J4081">IF($D4081="","",IF($I4081="","(trống REF)",IFERROR(INDEX(MASTER_SOURCE!$B$2:$B$495,MATCH($I4081,MASTER_SOURCE!$A$2:$A$495,0)),"(REF không có trong MASTER_SOURCE)")))</f>
        <v/>
      </c>
      <c r="K4081" s="22">
        <f t="array" ref="K4081">IF($D4081="","",IFERROR(INDEX(MASTER_SOURCE!$C$2:$C$495,MATCH($I4081,MASTER_SOURCE!$A$2:$A$495,0)),""))</f>
        <v/>
      </c>
      <c r="L4081" s="22">
        <f t="array" ref="L4081">IF($D4081="","",IFERROR(INDEX(MASTER_SOURCE!$D$2:$D$495,MATCH($I4081,MASTER_SOURCE!$A$2:$A$495,0)),""))</f>
        <v/>
      </c>
      <c r="M4081" s="24" t="n"/>
      <c r="N4081" s="24" t="n"/>
      <c r="O4081" s="24" t="n"/>
      <c r="P4081" s="24" t="n"/>
      <c r="Q4081" s="22">
        <f>IF($D4081="","",IF(AND(OR(DANH_MUC!$L$5&lt;&gt;"Có",M4081="Có"),OR(DANH_MUC!$L$6&lt;&gt;"Có",N4081="Có"),OR(DANH_MUC!$L$7&lt;&gt;"Có",O4081="Có"),OR(DANH_MUC!$L$8&lt;&gt;"Có",P4081="Có")),"Có","Không"))</f>
        <v/>
      </c>
      <c r="R4081" s="22">
        <f>IF($D4081="","",IF(COUNTIF($D$2:$D4081,$D4081)&gt;1,"Trùng",""))</f>
        <v/>
      </c>
      <c r="S4081" s="22">
        <f>IF($D4081="","",IF(AND(LEN($D4081)=10,LEFT($D4081,1)="0",ISNUMBER(--$D4081)),"Có","Không"))</f>
        <v/>
      </c>
      <c r="T4081" s="22">
        <f>IF($D4081="","",IF(AND($C4081&lt;&gt;"",$Q4081="Có",$R4081="",$S4081="Có",AND($L4081&lt;&gt;"",OR($L4081&lt;&gt;"Chưa xác định",DANH_MUC!$L$9="Có"))),"Có","Không"))</f>
        <v/>
      </c>
      <c r="U4081" s="22">
        <f>IF(OR($D4081="",$T4081="Có"),"",IF($C4081="","Thiếu họ tên; ","")&amp;IF($S4081&lt;&gt;"Có","SĐT sai định dạng; ","")&amp;IF($R4081="Trùng","Trùng SĐT; ","")&amp;IF($Q4081&lt;&gt;"Có","Thiếu đồng ý bắt buộc; ","")&amp;IF($L4081="","Thiếu/sai Mã REF; ",IF(AND($L4081="Chưa xác định",DANH_MUC!$L$9&lt;&gt;"Có"),"Nguồn chưa xác định; ","")))</f>
        <v/>
      </c>
      <c r="V4081" s="22">
        <f>IF(OR($D4081="",$R4081="Trùng"),"",IF(COUNTIF(ORDERS!$C$2:$C$4995,$D4081)&gt;0,"Có","Không"))</f>
        <v/>
      </c>
      <c r="W4081" s="22">
        <f>IF(OR($D4081="",$R4081="Trùng"),"",COUNTIFS(ORDERS!$C$2:$C$4995,$D4081,ORDERS!$L$2:$L$4995,"Đã chuyển khoản"))</f>
        <v/>
      </c>
      <c r="X4081" s="23">
        <f>IF(OR($D4081="",$R4081="Trùng"),"",SUMIFS(ORDERS!$J$2:$J$4995,ORDERS!$C$2:$C$4995,$D4081,ORDERS!$L$2:$L$4995,"Đã chuyển khoản"))</f>
        <v/>
      </c>
      <c r="Y4081" s="24" t="n"/>
    </row>
    <row r="4082" ht="14.25" customHeight="1" s="40">
      <c r="A4082" s="24" t="n"/>
      <c r="B4082" s="27" t="n"/>
      <c r="C4082" s="24" t="n"/>
      <c r="D4082" s="28" t="n"/>
      <c r="E4082" s="29" t="n"/>
      <c r="F4082" s="24" t="n"/>
      <c r="G4082" s="24" t="n"/>
      <c r="H4082" s="21">
        <f>IF(ISNUMBER($B4082),INT($B4082)-WEEKDAY($B4082,2)+1,"")</f>
        <v/>
      </c>
      <c r="I4082" s="24" t="n"/>
      <c r="J4082" s="22">
        <f t="array" ref="J4082">IF($D4082="","",IF($I4082="","(trống REF)",IFERROR(INDEX(MASTER_SOURCE!$B$2:$B$495,MATCH($I4082,MASTER_SOURCE!$A$2:$A$495,0)),"(REF không có trong MASTER_SOURCE)")))</f>
        <v/>
      </c>
      <c r="K4082" s="22">
        <f t="array" ref="K4082">IF($D4082="","",IFERROR(INDEX(MASTER_SOURCE!$C$2:$C$495,MATCH($I4082,MASTER_SOURCE!$A$2:$A$495,0)),""))</f>
        <v/>
      </c>
      <c r="L4082" s="22">
        <f t="array" ref="L4082">IF($D4082="","",IFERROR(INDEX(MASTER_SOURCE!$D$2:$D$495,MATCH($I4082,MASTER_SOURCE!$A$2:$A$495,0)),""))</f>
        <v/>
      </c>
      <c r="M4082" s="24" t="n"/>
      <c r="N4082" s="24" t="n"/>
      <c r="O4082" s="24" t="n"/>
      <c r="P4082" s="24" t="n"/>
      <c r="Q4082" s="22">
        <f>IF($D4082="","",IF(AND(OR(DANH_MUC!$L$5&lt;&gt;"Có",M4082="Có"),OR(DANH_MUC!$L$6&lt;&gt;"Có",N4082="Có"),OR(DANH_MUC!$L$7&lt;&gt;"Có",O4082="Có"),OR(DANH_MUC!$L$8&lt;&gt;"Có",P4082="Có")),"Có","Không"))</f>
        <v/>
      </c>
      <c r="R4082" s="22">
        <f>IF($D4082="","",IF(COUNTIF($D$2:$D4082,$D4082)&gt;1,"Trùng",""))</f>
        <v/>
      </c>
      <c r="S4082" s="22">
        <f>IF($D4082="","",IF(AND(LEN($D4082)=10,LEFT($D4082,1)="0",ISNUMBER(--$D4082)),"Có","Không"))</f>
        <v/>
      </c>
      <c r="T4082" s="22">
        <f>IF($D4082="","",IF(AND($C4082&lt;&gt;"",$Q4082="Có",$R4082="",$S4082="Có",AND($L4082&lt;&gt;"",OR($L4082&lt;&gt;"Chưa xác định",DANH_MUC!$L$9="Có"))),"Có","Không"))</f>
        <v/>
      </c>
      <c r="U4082" s="22">
        <f>IF(OR($D4082="",$T4082="Có"),"",IF($C4082="","Thiếu họ tên; ","")&amp;IF($S4082&lt;&gt;"Có","SĐT sai định dạng; ","")&amp;IF($R4082="Trùng","Trùng SĐT; ","")&amp;IF($Q4082&lt;&gt;"Có","Thiếu đồng ý bắt buộc; ","")&amp;IF($L4082="","Thiếu/sai Mã REF; ",IF(AND($L4082="Chưa xác định",DANH_MUC!$L$9&lt;&gt;"Có"),"Nguồn chưa xác định; ","")))</f>
        <v/>
      </c>
      <c r="V4082" s="22">
        <f>IF(OR($D4082="",$R4082="Trùng"),"",IF(COUNTIF(ORDERS!$C$2:$C$4995,$D4082)&gt;0,"Có","Không"))</f>
        <v/>
      </c>
      <c r="W4082" s="22">
        <f>IF(OR($D4082="",$R4082="Trùng"),"",COUNTIFS(ORDERS!$C$2:$C$4995,$D4082,ORDERS!$L$2:$L$4995,"Đã chuyển khoản"))</f>
        <v/>
      </c>
      <c r="X4082" s="23">
        <f>IF(OR($D4082="",$R4082="Trùng"),"",SUMIFS(ORDERS!$J$2:$J$4995,ORDERS!$C$2:$C$4995,$D4082,ORDERS!$L$2:$L$4995,"Đã chuyển khoản"))</f>
        <v/>
      </c>
      <c r="Y4082" s="24" t="n"/>
    </row>
    <row r="4083" ht="14.25" customHeight="1" s="40">
      <c r="A4083" s="24" t="n"/>
      <c r="B4083" s="27" t="n"/>
      <c r="C4083" s="24" t="n"/>
      <c r="D4083" s="28" t="n"/>
      <c r="E4083" s="29" t="n"/>
      <c r="F4083" s="24" t="n"/>
      <c r="G4083" s="24" t="n"/>
      <c r="H4083" s="21">
        <f>IF(ISNUMBER($B4083),INT($B4083)-WEEKDAY($B4083,2)+1,"")</f>
        <v/>
      </c>
      <c r="I4083" s="24" t="n"/>
      <c r="J4083" s="22">
        <f t="array" ref="J4083">IF($D4083="","",IF($I4083="","(trống REF)",IFERROR(INDEX(MASTER_SOURCE!$B$2:$B$495,MATCH($I4083,MASTER_SOURCE!$A$2:$A$495,0)),"(REF không có trong MASTER_SOURCE)")))</f>
        <v/>
      </c>
      <c r="K4083" s="22">
        <f t="array" ref="K4083">IF($D4083="","",IFERROR(INDEX(MASTER_SOURCE!$C$2:$C$495,MATCH($I4083,MASTER_SOURCE!$A$2:$A$495,0)),""))</f>
        <v/>
      </c>
      <c r="L4083" s="22">
        <f t="array" ref="L4083">IF($D4083="","",IFERROR(INDEX(MASTER_SOURCE!$D$2:$D$495,MATCH($I4083,MASTER_SOURCE!$A$2:$A$495,0)),""))</f>
        <v/>
      </c>
      <c r="M4083" s="24" t="n"/>
      <c r="N4083" s="24" t="n"/>
      <c r="O4083" s="24" t="n"/>
      <c r="P4083" s="24" t="n"/>
      <c r="Q4083" s="22">
        <f>IF($D4083="","",IF(AND(OR(DANH_MUC!$L$5&lt;&gt;"Có",M4083="Có"),OR(DANH_MUC!$L$6&lt;&gt;"Có",N4083="Có"),OR(DANH_MUC!$L$7&lt;&gt;"Có",O4083="Có"),OR(DANH_MUC!$L$8&lt;&gt;"Có",P4083="Có")),"Có","Không"))</f>
        <v/>
      </c>
      <c r="R4083" s="22">
        <f>IF($D4083="","",IF(COUNTIF($D$2:$D4083,$D4083)&gt;1,"Trùng",""))</f>
        <v/>
      </c>
      <c r="S4083" s="22">
        <f>IF($D4083="","",IF(AND(LEN($D4083)=10,LEFT($D4083,1)="0",ISNUMBER(--$D4083)),"Có","Không"))</f>
        <v/>
      </c>
      <c r="T4083" s="22">
        <f>IF($D4083="","",IF(AND($C4083&lt;&gt;"",$Q4083="Có",$R4083="",$S4083="Có",AND($L4083&lt;&gt;"",OR($L4083&lt;&gt;"Chưa xác định",DANH_MUC!$L$9="Có"))),"Có","Không"))</f>
        <v/>
      </c>
      <c r="U4083" s="22">
        <f>IF(OR($D4083="",$T4083="Có"),"",IF($C4083="","Thiếu họ tên; ","")&amp;IF($S4083&lt;&gt;"Có","SĐT sai định dạng; ","")&amp;IF($R4083="Trùng","Trùng SĐT; ","")&amp;IF($Q4083&lt;&gt;"Có","Thiếu đồng ý bắt buộc; ","")&amp;IF($L4083="","Thiếu/sai Mã REF; ",IF(AND($L4083="Chưa xác định",DANH_MUC!$L$9&lt;&gt;"Có"),"Nguồn chưa xác định; ","")))</f>
        <v/>
      </c>
      <c r="V4083" s="22">
        <f>IF(OR($D4083="",$R4083="Trùng"),"",IF(COUNTIF(ORDERS!$C$2:$C$4995,$D4083)&gt;0,"Có","Không"))</f>
        <v/>
      </c>
      <c r="W4083" s="22">
        <f>IF(OR($D4083="",$R4083="Trùng"),"",COUNTIFS(ORDERS!$C$2:$C$4995,$D4083,ORDERS!$L$2:$L$4995,"Đã chuyển khoản"))</f>
        <v/>
      </c>
      <c r="X4083" s="23">
        <f>IF(OR($D4083="",$R4083="Trùng"),"",SUMIFS(ORDERS!$J$2:$J$4995,ORDERS!$C$2:$C$4995,$D4083,ORDERS!$L$2:$L$4995,"Đã chuyển khoản"))</f>
        <v/>
      </c>
      <c r="Y4083" s="24" t="n"/>
    </row>
    <row r="4084" ht="14.25" customHeight="1" s="40">
      <c r="A4084" s="24" t="n"/>
      <c r="B4084" s="27" t="n"/>
      <c r="C4084" s="24" t="n"/>
      <c r="D4084" s="28" t="n"/>
      <c r="E4084" s="29" t="n"/>
      <c r="F4084" s="24" t="n"/>
      <c r="G4084" s="24" t="n"/>
      <c r="H4084" s="21">
        <f>IF(ISNUMBER($B4084),INT($B4084)-WEEKDAY($B4084,2)+1,"")</f>
        <v/>
      </c>
      <c r="I4084" s="24" t="n"/>
      <c r="J4084" s="22">
        <f t="array" ref="J4084">IF($D4084="","",IF($I4084="","(trống REF)",IFERROR(INDEX(MASTER_SOURCE!$B$2:$B$495,MATCH($I4084,MASTER_SOURCE!$A$2:$A$495,0)),"(REF không có trong MASTER_SOURCE)")))</f>
        <v/>
      </c>
      <c r="K4084" s="22">
        <f t="array" ref="K4084">IF($D4084="","",IFERROR(INDEX(MASTER_SOURCE!$C$2:$C$495,MATCH($I4084,MASTER_SOURCE!$A$2:$A$495,0)),""))</f>
        <v/>
      </c>
      <c r="L4084" s="22">
        <f t="array" ref="L4084">IF($D4084="","",IFERROR(INDEX(MASTER_SOURCE!$D$2:$D$495,MATCH($I4084,MASTER_SOURCE!$A$2:$A$495,0)),""))</f>
        <v/>
      </c>
      <c r="M4084" s="24" t="n"/>
      <c r="N4084" s="24" t="n"/>
      <c r="O4084" s="24" t="n"/>
      <c r="P4084" s="24" t="n"/>
      <c r="Q4084" s="22">
        <f>IF($D4084="","",IF(AND(OR(DANH_MUC!$L$5&lt;&gt;"Có",M4084="Có"),OR(DANH_MUC!$L$6&lt;&gt;"Có",N4084="Có"),OR(DANH_MUC!$L$7&lt;&gt;"Có",O4084="Có"),OR(DANH_MUC!$L$8&lt;&gt;"Có",P4084="Có")),"Có","Không"))</f>
        <v/>
      </c>
      <c r="R4084" s="22">
        <f>IF($D4084="","",IF(COUNTIF($D$2:$D4084,$D4084)&gt;1,"Trùng",""))</f>
        <v/>
      </c>
      <c r="S4084" s="22">
        <f>IF($D4084="","",IF(AND(LEN($D4084)=10,LEFT($D4084,1)="0",ISNUMBER(--$D4084)),"Có","Không"))</f>
        <v/>
      </c>
      <c r="T4084" s="22">
        <f>IF($D4084="","",IF(AND($C4084&lt;&gt;"",$Q4084="Có",$R4084="",$S4084="Có",AND($L4084&lt;&gt;"",OR($L4084&lt;&gt;"Chưa xác định",DANH_MUC!$L$9="Có"))),"Có","Không"))</f>
        <v/>
      </c>
      <c r="U4084" s="22">
        <f>IF(OR($D4084="",$T4084="Có"),"",IF($C4084="","Thiếu họ tên; ","")&amp;IF($S4084&lt;&gt;"Có","SĐT sai định dạng; ","")&amp;IF($R4084="Trùng","Trùng SĐT; ","")&amp;IF($Q4084&lt;&gt;"Có","Thiếu đồng ý bắt buộc; ","")&amp;IF($L4084="","Thiếu/sai Mã REF; ",IF(AND($L4084="Chưa xác định",DANH_MUC!$L$9&lt;&gt;"Có"),"Nguồn chưa xác định; ","")))</f>
        <v/>
      </c>
      <c r="V4084" s="22">
        <f>IF(OR($D4084="",$R4084="Trùng"),"",IF(COUNTIF(ORDERS!$C$2:$C$4995,$D4084)&gt;0,"Có","Không"))</f>
        <v/>
      </c>
      <c r="W4084" s="22">
        <f>IF(OR($D4084="",$R4084="Trùng"),"",COUNTIFS(ORDERS!$C$2:$C$4995,$D4084,ORDERS!$L$2:$L$4995,"Đã chuyển khoản"))</f>
        <v/>
      </c>
      <c r="X4084" s="23">
        <f>IF(OR($D4084="",$R4084="Trùng"),"",SUMIFS(ORDERS!$J$2:$J$4995,ORDERS!$C$2:$C$4995,$D4084,ORDERS!$L$2:$L$4995,"Đã chuyển khoản"))</f>
        <v/>
      </c>
      <c r="Y4084" s="24" t="n"/>
    </row>
    <row r="4085" ht="14.25" customHeight="1" s="40">
      <c r="A4085" s="24" t="n"/>
      <c r="B4085" s="27" t="n"/>
      <c r="C4085" s="24" t="n"/>
      <c r="D4085" s="28" t="n"/>
      <c r="E4085" s="29" t="n"/>
      <c r="F4085" s="24" t="n"/>
      <c r="G4085" s="24" t="n"/>
      <c r="H4085" s="21">
        <f>IF(ISNUMBER($B4085),INT($B4085)-WEEKDAY($B4085,2)+1,"")</f>
        <v/>
      </c>
      <c r="I4085" s="24" t="n"/>
      <c r="J4085" s="22">
        <f t="array" ref="J4085">IF($D4085="","",IF($I4085="","(trống REF)",IFERROR(INDEX(MASTER_SOURCE!$B$2:$B$495,MATCH($I4085,MASTER_SOURCE!$A$2:$A$495,0)),"(REF không có trong MASTER_SOURCE)")))</f>
        <v/>
      </c>
      <c r="K4085" s="22">
        <f t="array" ref="K4085">IF($D4085="","",IFERROR(INDEX(MASTER_SOURCE!$C$2:$C$495,MATCH($I4085,MASTER_SOURCE!$A$2:$A$495,0)),""))</f>
        <v/>
      </c>
      <c r="L4085" s="22">
        <f t="array" ref="L4085">IF($D4085="","",IFERROR(INDEX(MASTER_SOURCE!$D$2:$D$495,MATCH($I4085,MASTER_SOURCE!$A$2:$A$495,0)),""))</f>
        <v/>
      </c>
      <c r="M4085" s="24" t="n"/>
      <c r="N4085" s="24" t="n"/>
      <c r="O4085" s="24" t="n"/>
      <c r="P4085" s="24" t="n"/>
      <c r="Q4085" s="22">
        <f>IF($D4085="","",IF(AND(OR(DANH_MUC!$L$5&lt;&gt;"Có",M4085="Có"),OR(DANH_MUC!$L$6&lt;&gt;"Có",N4085="Có"),OR(DANH_MUC!$L$7&lt;&gt;"Có",O4085="Có"),OR(DANH_MUC!$L$8&lt;&gt;"Có",P4085="Có")),"Có","Không"))</f>
        <v/>
      </c>
      <c r="R4085" s="22">
        <f>IF($D4085="","",IF(COUNTIF($D$2:$D4085,$D4085)&gt;1,"Trùng",""))</f>
        <v/>
      </c>
      <c r="S4085" s="22">
        <f>IF($D4085="","",IF(AND(LEN($D4085)=10,LEFT($D4085,1)="0",ISNUMBER(--$D4085)),"Có","Không"))</f>
        <v/>
      </c>
      <c r="T4085" s="22">
        <f>IF($D4085="","",IF(AND($C4085&lt;&gt;"",$Q4085="Có",$R4085="",$S4085="Có",AND($L4085&lt;&gt;"",OR($L4085&lt;&gt;"Chưa xác định",DANH_MUC!$L$9="Có"))),"Có","Không"))</f>
        <v/>
      </c>
      <c r="U4085" s="22">
        <f>IF(OR($D4085="",$T4085="Có"),"",IF($C4085="","Thiếu họ tên; ","")&amp;IF($S4085&lt;&gt;"Có","SĐT sai định dạng; ","")&amp;IF($R4085="Trùng","Trùng SĐT; ","")&amp;IF($Q4085&lt;&gt;"Có","Thiếu đồng ý bắt buộc; ","")&amp;IF($L4085="","Thiếu/sai Mã REF; ",IF(AND($L4085="Chưa xác định",DANH_MUC!$L$9&lt;&gt;"Có"),"Nguồn chưa xác định; ","")))</f>
        <v/>
      </c>
      <c r="V4085" s="22">
        <f>IF(OR($D4085="",$R4085="Trùng"),"",IF(COUNTIF(ORDERS!$C$2:$C$4995,$D4085)&gt;0,"Có","Không"))</f>
        <v/>
      </c>
      <c r="W4085" s="22">
        <f>IF(OR($D4085="",$R4085="Trùng"),"",COUNTIFS(ORDERS!$C$2:$C$4995,$D4085,ORDERS!$L$2:$L$4995,"Đã chuyển khoản"))</f>
        <v/>
      </c>
      <c r="X4085" s="23">
        <f>IF(OR($D4085="",$R4085="Trùng"),"",SUMIFS(ORDERS!$J$2:$J$4995,ORDERS!$C$2:$C$4995,$D4085,ORDERS!$L$2:$L$4995,"Đã chuyển khoản"))</f>
        <v/>
      </c>
      <c r="Y4085" s="24" t="n"/>
    </row>
    <row r="4086" ht="14.25" customHeight="1" s="40">
      <c r="A4086" s="24" t="n"/>
      <c r="B4086" s="27" t="n"/>
      <c r="C4086" s="24" t="n"/>
      <c r="D4086" s="28" t="n"/>
      <c r="E4086" s="29" t="n"/>
      <c r="F4086" s="24" t="n"/>
      <c r="G4086" s="24" t="n"/>
      <c r="H4086" s="21">
        <f>IF(ISNUMBER($B4086),INT($B4086)-WEEKDAY($B4086,2)+1,"")</f>
        <v/>
      </c>
      <c r="I4086" s="24" t="n"/>
      <c r="J4086" s="22">
        <f t="array" ref="J4086">IF($D4086="","",IF($I4086="","(trống REF)",IFERROR(INDEX(MASTER_SOURCE!$B$2:$B$495,MATCH($I4086,MASTER_SOURCE!$A$2:$A$495,0)),"(REF không có trong MASTER_SOURCE)")))</f>
        <v/>
      </c>
      <c r="K4086" s="22">
        <f t="array" ref="K4086">IF($D4086="","",IFERROR(INDEX(MASTER_SOURCE!$C$2:$C$495,MATCH($I4086,MASTER_SOURCE!$A$2:$A$495,0)),""))</f>
        <v/>
      </c>
      <c r="L4086" s="22">
        <f t="array" ref="L4086">IF($D4086="","",IFERROR(INDEX(MASTER_SOURCE!$D$2:$D$495,MATCH($I4086,MASTER_SOURCE!$A$2:$A$495,0)),""))</f>
        <v/>
      </c>
      <c r="M4086" s="24" t="n"/>
      <c r="N4086" s="24" t="n"/>
      <c r="O4086" s="24" t="n"/>
      <c r="P4086" s="24" t="n"/>
      <c r="Q4086" s="22">
        <f>IF($D4086="","",IF(AND(OR(DANH_MUC!$L$5&lt;&gt;"Có",M4086="Có"),OR(DANH_MUC!$L$6&lt;&gt;"Có",N4086="Có"),OR(DANH_MUC!$L$7&lt;&gt;"Có",O4086="Có"),OR(DANH_MUC!$L$8&lt;&gt;"Có",P4086="Có")),"Có","Không"))</f>
        <v/>
      </c>
      <c r="R4086" s="22">
        <f>IF($D4086="","",IF(COUNTIF($D$2:$D4086,$D4086)&gt;1,"Trùng",""))</f>
        <v/>
      </c>
      <c r="S4086" s="22">
        <f>IF($D4086="","",IF(AND(LEN($D4086)=10,LEFT($D4086,1)="0",ISNUMBER(--$D4086)),"Có","Không"))</f>
        <v/>
      </c>
      <c r="T4086" s="22">
        <f>IF($D4086="","",IF(AND($C4086&lt;&gt;"",$Q4086="Có",$R4086="",$S4086="Có",AND($L4086&lt;&gt;"",OR($L4086&lt;&gt;"Chưa xác định",DANH_MUC!$L$9="Có"))),"Có","Không"))</f>
        <v/>
      </c>
      <c r="U4086" s="22">
        <f>IF(OR($D4086="",$T4086="Có"),"",IF($C4086="","Thiếu họ tên; ","")&amp;IF($S4086&lt;&gt;"Có","SĐT sai định dạng; ","")&amp;IF($R4086="Trùng","Trùng SĐT; ","")&amp;IF($Q4086&lt;&gt;"Có","Thiếu đồng ý bắt buộc; ","")&amp;IF($L4086="","Thiếu/sai Mã REF; ",IF(AND($L4086="Chưa xác định",DANH_MUC!$L$9&lt;&gt;"Có"),"Nguồn chưa xác định; ","")))</f>
        <v/>
      </c>
      <c r="V4086" s="22">
        <f>IF(OR($D4086="",$R4086="Trùng"),"",IF(COUNTIF(ORDERS!$C$2:$C$4995,$D4086)&gt;0,"Có","Không"))</f>
        <v/>
      </c>
      <c r="W4086" s="22">
        <f>IF(OR($D4086="",$R4086="Trùng"),"",COUNTIFS(ORDERS!$C$2:$C$4995,$D4086,ORDERS!$L$2:$L$4995,"Đã chuyển khoản"))</f>
        <v/>
      </c>
      <c r="X4086" s="23">
        <f>IF(OR($D4086="",$R4086="Trùng"),"",SUMIFS(ORDERS!$J$2:$J$4995,ORDERS!$C$2:$C$4995,$D4086,ORDERS!$L$2:$L$4995,"Đã chuyển khoản"))</f>
        <v/>
      </c>
      <c r="Y4086" s="24" t="n"/>
    </row>
    <row r="4087" ht="14.25" customHeight="1" s="40">
      <c r="A4087" s="24" t="n"/>
      <c r="B4087" s="27" t="n"/>
      <c r="C4087" s="24" t="n"/>
      <c r="D4087" s="28" t="n"/>
      <c r="E4087" s="29" t="n"/>
      <c r="F4087" s="24" t="n"/>
      <c r="G4087" s="24" t="n"/>
      <c r="H4087" s="21">
        <f>IF(ISNUMBER($B4087),INT($B4087)-WEEKDAY($B4087,2)+1,"")</f>
        <v/>
      </c>
      <c r="I4087" s="24" t="n"/>
      <c r="J4087" s="22">
        <f t="array" ref="J4087">IF($D4087="","",IF($I4087="","(trống REF)",IFERROR(INDEX(MASTER_SOURCE!$B$2:$B$495,MATCH($I4087,MASTER_SOURCE!$A$2:$A$495,0)),"(REF không có trong MASTER_SOURCE)")))</f>
        <v/>
      </c>
      <c r="K4087" s="22">
        <f t="array" ref="K4087">IF($D4087="","",IFERROR(INDEX(MASTER_SOURCE!$C$2:$C$495,MATCH($I4087,MASTER_SOURCE!$A$2:$A$495,0)),""))</f>
        <v/>
      </c>
      <c r="L4087" s="22">
        <f t="array" ref="L4087">IF($D4087="","",IFERROR(INDEX(MASTER_SOURCE!$D$2:$D$495,MATCH($I4087,MASTER_SOURCE!$A$2:$A$495,0)),""))</f>
        <v/>
      </c>
      <c r="M4087" s="24" t="n"/>
      <c r="N4087" s="24" t="n"/>
      <c r="O4087" s="24" t="n"/>
      <c r="P4087" s="24" t="n"/>
      <c r="Q4087" s="22">
        <f>IF($D4087="","",IF(AND(OR(DANH_MUC!$L$5&lt;&gt;"Có",M4087="Có"),OR(DANH_MUC!$L$6&lt;&gt;"Có",N4087="Có"),OR(DANH_MUC!$L$7&lt;&gt;"Có",O4087="Có"),OR(DANH_MUC!$L$8&lt;&gt;"Có",P4087="Có")),"Có","Không"))</f>
        <v/>
      </c>
      <c r="R4087" s="22">
        <f>IF($D4087="","",IF(COUNTIF($D$2:$D4087,$D4087)&gt;1,"Trùng",""))</f>
        <v/>
      </c>
      <c r="S4087" s="22">
        <f>IF($D4087="","",IF(AND(LEN($D4087)=10,LEFT($D4087,1)="0",ISNUMBER(--$D4087)),"Có","Không"))</f>
        <v/>
      </c>
      <c r="T4087" s="22">
        <f>IF($D4087="","",IF(AND($C4087&lt;&gt;"",$Q4087="Có",$R4087="",$S4087="Có",AND($L4087&lt;&gt;"",OR($L4087&lt;&gt;"Chưa xác định",DANH_MUC!$L$9="Có"))),"Có","Không"))</f>
        <v/>
      </c>
      <c r="U4087" s="22">
        <f>IF(OR($D4087="",$T4087="Có"),"",IF($C4087="","Thiếu họ tên; ","")&amp;IF($S4087&lt;&gt;"Có","SĐT sai định dạng; ","")&amp;IF($R4087="Trùng","Trùng SĐT; ","")&amp;IF($Q4087&lt;&gt;"Có","Thiếu đồng ý bắt buộc; ","")&amp;IF($L4087="","Thiếu/sai Mã REF; ",IF(AND($L4087="Chưa xác định",DANH_MUC!$L$9&lt;&gt;"Có"),"Nguồn chưa xác định; ","")))</f>
        <v/>
      </c>
      <c r="V4087" s="22">
        <f>IF(OR($D4087="",$R4087="Trùng"),"",IF(COUNTIF(ORDERS!$C$2:$C$4995,$D4087)&gt;0,"Có","Không"))</f>
        <v/>
      </c>
      <c r="W4087" s="22">
        <f>IF(OR($D4087="",$R4087="Trùng"),"",COUNTIFS(ORDERS!$C$2:$C$4995,$D4087,ORDERS!$L$2:$L$4995,"Đã chuyển khoản"))</f>
        <v/>
      </c>
      <c r="X4087" s="23">
        <f>IF(OR($D4087="",$R4087="Trùng"),"",SUMIFS(ORDERS!$J$2:$J$4995,ORDERS!$C$2:$C$4995,$D4087,ORDERS!$L$2:$L$4995,"Đã chuyển khoản"))</f>
        <v/>
      </c>
      <c r="Y4087" s="24" t="n"/>
    </row>
    <row r="4088" ht="14.25" customHeight="1" s="40">
      <c r="A4088" s="24" t="n"/>
      <c r="B4088" s="27" t="n"/>
      <c r="C4088" s="24" t="n"/>
      <c r="D4088" s="28" t="n"/>
      <c r="E4088" s="29" t="n"/>
      <c r="F4088" s="24" t="n"/>
      <c r="G4088" s="24" t="n"/>
      <c r="H4088" s="21">
        <f>IF(ISNUMBER($B4088),INT($B4088)-WEEKDAY($B4088,2)+1,"")</f>
        <v/>
      </c>
      <c r="I4088" s="24" t="n"/>
      <c r="J4088" s="22">
        <f t="array" ref="J4088">IF($D4088="","",IF($I4088="","(trống REF)",IFERROR(INDEX(MASTER_SOURCE!$B$2:$B$495,MATCH($I4088,MASTER_SOURCE!$A$2:$A$495,0)),"(REF không có trong MASTER_SOURCE)")))</f>
        <v/>
      </c>
      <c r="K4088" s="22">
        <f t="array" ref="K4088">IF($D4088="","",IFERROR(INDEX(MASTER_SOURCE!$C$2:$C$495,MATCH($I4088,MASTER_SOURCE!$A$2:$A$495,0)),""))</f>
        <v/>
      </c>
      <c r="L4088" s="22">
        <f t="array" ref="L4088">IF($D4088="","",IFERROR(INDEX(MASTER_SOURCE!$D$2:$D$495,MATCH($I4088,MASTER_SOURCE!$A$2:$A$495,0)),""))</f>
        <v/>
      </c>
      <c r="M4088" s="24" t="n"/>
      <c r="N4088" s="24" t="n"/>
      <c r="O4088" s="24" t="n"/>
      <c r="P4088" s="24" t="n"/>
      <c r="Q4088" s="22">
        <f>IF($D4088="","",IF(AND(OR(DANH_MUC!$L$5&lt;&gt;"Có",M4088="Có"),OR(DANH_MUC!$L$6&lt;&gt;"Có",N4088="Có"),OR(DANH_MUC!$L$7&lt;&gt;"Có",O4088="Có"),OR(DANH_MUC!$L$8&lt;&gt;"Có",P4088="Có")),"Có","Không"))</f>
        <v/>
      </c>
      <c r="R4088" s="22">
        <f>IF($D4088="","",IF(COUNTIF($D$2:$D4088,$D4088)&gt;1,"Trùng",""))</f>
        <v/>
      </c>
      <c r="S4088" s="22">
        <f>IF($D4088="","",IF(AND(LEN($D4088)=10,LEFT($D4088,1)="0",ISNUMBER(--$D4088)),"Có","Không"))</f>
        <v/>
      </c>
      <c r="T4088" s="22">
        <f>IF($D4088="","",IF(AND($C4088&lt;&gt;"",$Q4088="Có",$R4088="",$S4088="Có",AND($L4088&lt;&gt;"",OR($L4088&lt;&gt;"Chưa xác định",DANH_MUC!$L$9="Có"))),"Có","Không"))</f>
        <v/>
      </c>
      <c r="U4088" s="22">
        <f>IF(OR($D4088="",$T4088="Có"),"",IF($C4088="","Thiếu họ tên; ","")&amp;IF($S4088&lt;&gt;"Có","SĐT sai định dạng; ","")&amp;IF($R4088="Trùng","Trùng SĐT; ","")&amp;IF($Q4088&lt;&gt;"Có","Thiếu đồng ý bắt buộc; ","")&amp;IF($L4088="","Thiếu/sai Mã REF; ",IF(AND($L4088="Chưa xác định",DANH_MUC!$L$9&lt;&gt;"Có"),"Nguồn chưa xác định; ","")))</f>
        <v/>
      </c>
      <c r="V4088" s="22">
        <f>IF(OR($D4088="",$R4088="Trùng"),"",IF(COUNTIF(ORDERS!$C$2:$C$4995,$D4088)&gt;0,"Có","Không"))</f>
        <v/>
      </c>
      <c r="W4088" s="22">
        <f>IF(OR($D4088="",$R4088="Trùng"),"",COUNTIFS(ORDERS!$C$2:$C$4995,$D4088,ORDERS!$L$2:$L$4995,"Đã chuyển khoản"))</f>
        <v/>
      </c>
      <c r="X4088" s="23">
        <f>IF(OR($D4088="",$R4088="Trùng"),"",SUMIFS(ORDERS!$J$2:$J$4995,ORDERS!$C$2:$C$4995,$D4088,ORDERS!$L$2:$L$4995,"Đã chuyển khoản"))</f>
        <v/>
      </c>
      <c r="Y4088" s="24" t="n"/>
    </row>
    <row r="4089" ht="14.25" customHeight="1" s="40">
      <c r="A4089" s="24" t="n"/>
      <c r="B4089" s="27" t="n"/>
      <c r="C4089" s="24" t="n"/>
      <c r="D4089" s="28" t="n"/>
      <c r="E4089" s="29" t="n"/>
      <c r="F4089" s="24" t="n"/>
      <c r="G4089" s="24" t="n"/>
      <c r="H4089" s="21">
        <f>IF(ISNUMBER($B4089),INT($B4089)-WEEKDAY($B4089,2)+1,"")</f>
        <v/>
      </c>
      <c r="I4089" s="24" t="n"/>
      <c r="J4089" s="22">
        <f t="array" ref="J4089">IF($D4089="","",IF($I4089="","(trống REF)",IFERROR(INDEX(MASTER_SOURCE!$B$2:$B$495,MATCH($I4089,MASTER_SOURCE!$A$2:$A$495,0)),"(REF không có trong MASTER_SOURCE)")))</f>
        <v/>
      </c>
      <c r="K4089" s="22">
        <f t="array" ref="K4089">IF($D4089="","",IFERROR(INDEX(MASTER_SOURCE!$C$2:$C$495,MATCH($I4089,MASTER_SOURCE!$A$2:$A$495,0)),""))</f>
        <v/>
      </c>
      <c r="L4089" s="22">
        <f t="array" ref="L4089">IF($D4089="","",IFERROR(INDEX(MASTER_SOURCE!$D$2:$D$495,MATCH($I4089,MASTER_SOURCE!$A$2:$A$495,0)),""))</f>
        <v/>
      </c>
      <c r="M4089" s="24" t="n"/>
      <c r="N4089" s="24" t="n"/>
      <c r="O4089" s="24" t="n"/>
      <c r="P4089" s="24" t="n"/>
      <c r="Q4089" s="22">
        <f>IF($D4089="","",IF(AND(OR(DANH_MUC!$L$5&lt;&gt;"Có",M4089="Có"),OR(DANH_MUC!$L$6&lt;&gt;"Có",N4089="Có"),OR(DANH_MUC!$L$7&lt;&gt;"Có",O4089="Có"),OR(DANH_MUC!$L$8&lt;&gt;"Có",P4089="Có")),"Có","Không"))</f>
        <v/>
      </c>
      <c r="R4089" s="22">
        <f>IF($D4089="","",IF(COUNTIF($D$2:$D4089,$D4089)&gt;1,"Trùng",""))</f>
        <v/>
      </c>
      <c r="S4089" s="22">
        <f>IF($D4089="","",IF(AND(LEN($D4089)=10,LEFT($D4089,1)="0",ISNUMBER(--$D4089)),"Có","Không"))</f>
        <v/>
      </c>
      <c r="T4089" s="22">
        <f>IF($D4089="","",IF(AND($C4089&lt;&gt;"",$Q4089="Có",$R4089="",$S4089="Có",AND($L4089&lt;&gt;"",OR($L4089&lt;&gt;"Chưa xác định",DANH_MUC!$L$9="Có"))),"Có","Không"))</f>
        <v/>
      </c>
      <c r="U4089" s="22">
        <f>IF(OR($D4089="",$T4089="Có"),"",IF($C4089="","Thiếu họ tên; ","")&amp;IF($S4089&lt;&gt;"Có","SĐT sai định dạng; ","")&amp;IF($R4089="Trùng","Trùng SĐT; ","")&amp;IF($Q4089&lt;&gt;"Có","Thiếu đồng ý bắt buộc; ","")&amp;IF($L4089="","Thiếu/sai Mã REF; ",IF(AND($L4089="Chưa xác định",DANH_MUC!$L$9&lt;&gt;"Có"),"Nguồn chưa xác định; ","")))</f>
        <v/>
      </c>
      <c r="V4089" s="22">
        <f>IF(OR($D4089="",$R4089="Trùng"),"",IF(COUNTIF(ORDERS!$C$2:$C$4995,$D4089)&gt;0,"Có","Không"))</f>
        <v/>
      </c>
      <c r="W4089" s="22">
        <f>IF(OR($D4089="",$R4089="Trùng"),"",COUNTIFS(ORDERS!$C$2:$C$4995,$D4089,ORDERS!$L$2:$L$4995,"Đã chuyển khoản"))</f>
        <v/>
      </c>
      <c r="X4089" s="23">
        <f>IF(OR($D4089="",$R4089="Trùng"),"",SUMIFS(ORDERS!$J$2:$J$4995,ORDERS!$C$2:$C$4995,$D4089,ORDERS!$L$2:$L$4995,"Đã chuyển khoản"))</f>
        <v/>
      </c>
      <c r="Y4089" s="24" t="n"/>
    </row>
    <row r="4090" ht="14.25" customHeight="1" s="40">
      <c r="A4090" s="24" t="n"/>
      <c r="B4090" s="27" t="n"/>
      <c r="C4090" s="24" t="n"/>
      <c r="D4090" s="28" t="n"/>
      <c r="E4090" s="29" t="n"/>
      <c r="F4090" s="24" t="n"/>
      <c r="G4090" s="24" t="n"/>
      <c r="H4090" s="21">
        <f>IF(ISNUMBER($B4090),INT($B4090)-WEEKDAY($B4090,2)+1,"")</f>
        <v/>
      </c>
      <c r="I4090" s="24" t="n"/>
      <c r="J4090" s="22">
        <f t="array" ref="J4090">IF($D4090="","",IF($I4090="","(trống REF)",IFERROR(INDEX(MASTER_SOURCE!$B$2:$B$495,MATCH($I4090,MASTER_SOURCE!$A$2:$A$495,0)),"(REF không có trong MASTER_SOURCE)")))</f>
        <v/>
      </c>
      <c r="K4090" s="22">
        <f t="array" ref="K4090">IF($D4090="","",IFERROR(INDEX(MASTER_SOURCE!$C$2:$C$495,MATCH($I4090,MASTER_SOURCE!$A$2:$A$495,0)),""))</f>
        <v/>
      </c>
      <c r="L4090" s="22">
        <f t="array" ref="L4090">IF($D4090="","",IFERROR(INDEX(MASTER_SOURCE!$D$2:$D$495,MATCH($I4090,MASTER_SOURCE!$A$2:$A$495,0)),""))</f>
        <v/>
      </c>
      <c r="M4090" s="24" t="n"/>
      <c r="N4090" s="24" t="n"/>
      <c r="O4090" s="24" t="n"/>
      <c r="P4090" s="24" t="n"/>
      <c r="Q4090" s="22">
        <f>IF($D4090="","",IF(AND(OR(DANH_MUC!$L$5&lt;&gt;"Có",M4090="Có"),OR(DANH_MUC!$L$6&lt;&gt;"Có",N4090="Có"),OR(DANH_MUC!$L$7&lt;&gt;"Có",O4090="Có"),OR(DANH_MUC!$L$8&lt;&gt;"Có",P4090="Có")),"Có","Không"))</f>
        <v/>
      </c>
      <c r="R4090" s="22">
        <f>IF($D4090="","",IF(COUNTIF($D$2:$D4090,$D4090)&gt;1,"Trùng",""))</f>
        <v/>
      </c>
      <c r="S4090" s="22">
        <f>IF($D4090="","",IF(AND(LEN($D4090)=10,LEFT($D4090,1)="0",ISNUMBER(--$D4090)),"Có","Không"))</f>
        <v/>
      </c>
      <c r="T4090" s="22">
        <f>IF($D4090="","",IF(AND($C4090&lt;&gt;"",$Q4090="Có",$R4090="",$S4090="Có",AND($L4090&lt;&gt;"",OR($L4090&lt;&gt;"Chưa xác định",DANH_MUC!$L$9="Có"))),"Có","Không"))</f>
        <v/>
      </c>
      <c r="U4090" s="22">
        <f>IF(OR($D4090="",$T4090="Có"),"",IF($C4090="","Thiếu họ tên; ","")&amp;IF($S4090&lt;&gt;"Có","SĐT sai định dạng; ","")&amp;IF($R4090="Trùng","Trùng SĐT; ","")&amp;IF($Q4090&lt;&gt;"Có","Thiếu đồng ý bắt buộc; ","")&amp;IF($L4090="","Thiếu/sai Mã REF; ",IF(AND($L4090="Chưa xác định",DANH_MUC!$L$9&lt;&gt;"Có"),"Nguồn chưa xác định; ","")))</f>
        <v/>
      </c>
      <c r="V4090" s="22">
        <f>IF(OR($D4090="",$R4090="Trùng"),"",IF(COUNTIF(ORDERS!$C$2:$C$4995,$D4090)&gt;0,"Có","Không"))</f>
        <v/>
      </c>
      <c r="W4090" s="22">
        <f>IF(OR($D4090="",$R4090="Trùng"),"",COUNTIFS(ORDERS!$C$2:$C$4995,$D4090,ORDERS!$L$2:$L$4995,"Đã chuyển khoản"))</f>
        <v/>
      </c>
      <c r="X4090" s="23">
        <f>IF(OR($D4090="",$R4090="Trùng"),"",SUMIFS(ORDERS!$J$2:$J$4995,ORDERS!$C$2:$C$4995,$D4090,ORDERS!$L$2:$L$4995,"Đã chuyển khoản"))</f>
        <v/>
      </c>
      <c r="Y4090" s="24" t="n"/>
    </row>
    <row r="4091" ht="14.25" customHeight="1" s="40">
      <c r="A4091" s="24" t="n"/>
      <c r="B4091" s="27" t="n"/>
      <c r="C4091" s="24" t="n"/>
      <c r="D4091" s="28" t="n"/>
      <c r="E4091" s="29" t="n"/>
      <c r="F4091" s="24" t="n"/>
      <c r="G4091" s="24" t="n"/>
      <c r="H4091" s="21">
        <f>IF(ISNUMBER($B4091),INT($B4091)-WEEKDAY($B4091,2)+1,"")</f>
        <v/>
      </c>
      <c r="I4091" s="24" t="n"/>
      <c r="J4091" s="22">
        <f t="array" ref="J4091">IF($D4091="","",IF($I4091="","(trống REF)",IFERROR(INDEX(MASTER_SOURCE!$B$2:$B$495,MATCH($I4091,MASTER_SOURCE!$A$2:$A$495,0)),"(REF không có trong MASTER_SOURCE)")))</f>
        <v/>
      </c>
      <c r="K4091" s="22">
        <f t="array" ref="K4091">IF($D4091="","",IFERROR(INDEX(MASTER_SOURCE!$C$2:$C$495,MATCH($I4091,MASTER_SOURCE!$A$2:$A$495,0)),""))</f>
        <v/>
      </c>
      <c r="L4091" s="22">
        <f t="array" ref="L4091">IF($D4091="","",IFERROR(INDEX(MASTER_SOURCE!$D$2:$D$495,MATCH($I4091,MASTER_SOURCE!$A$2:$A$495,0)),""))</f>
        <v/>
      </c>
      <c r="M4091" s="24" t="n"/>
      <c r="N4091" s="24" t="n"/>
      <c r="O4091" s="24" t="n"/>
      <c r="P4091" s="24" t="n"/>
      <c r="Q4091" s="22">
        <f>IF($D4091="","",IF(AND(OR(DANH_MUC!$L$5&lt;&gt;"Có",M4091="Có"),OR(DANH_MUC!$L$6&lt;&gt;"Có",N4091="Có"),OR(DANH_MUC!$L$7&lt;&gt;"Có",O4091="Có"),OR(DANH_MUC!$L$8&lt;&gt;"Có",P4091="Có")),"Có","Không"))</f>
        <v/>
      </c>
      <c r="R4091" s="22">
        <f>IF($D4091="","",IF(COUNTIF($D$2:$D4091,$D4091)&gt;1,"Trùng",""))</f>
        <v/>
      </c>
      <c r="S4091" s="22">
        <f>IF($D4091="","",IF(AND(LEN($D4091)=10,LEFT($D4091,1)="0",ISNUMBER(--$D4091)),"Có","Không"))</f>
        <v/>
      </c>
      <c r="T4091" s="22">
        <f>IF($D4091="","",IF(AND($C4091&lt;&gt;"",$Q4091="Có",$R4091="",$S4091="Có",AND($L4091&lt;&gt;"",OR($L4091&lt;&gt;"Chưa xác định",DANH_MUC!$L$9="Có"))),"Có","Không"))</f>
        <v/>
      </c>
      <c r="U4091" s="22">
        <f>IF(OR($D4091="",$T4091="Có"),"",IF($C4091="","Thiếu họ tên; ","")&amp;IF($S4091&lt;&gt;"Có","SĐT sai định dạng; ","")&amp;IF($R4091="Trùng","Trùng SĐT; ","")&amp;IF($Q4091&lt;&gt;"Có","Thiếu đồng ý bắt buộc; ","")&amp;IF($L4091="","Thiếu/sai Mã REF; ",IF(AND($L4091="Chưa xác định",DANH_MUC!$L$9&lt;&gt;"Có"),"Nguồn chưa xác định; ","")))</f>
        <v/>
      </c>
      <c r="V4091" s="22">
        <f>IF(OR($D4091="",$R4091="Trùng"),"",IF(COUNTIF(ORDERS!$C$2:$C$4995,$D4091)&gt;0,"Có","Không"))</f>
        <v/>
      </c>
      <c r="W4091" s="22">
        <f>IF(OR($D4091="",$R4091="Trùng"),"",COUNTIFS(ORDERS!$C$2:$C$4995,$D4091,ORDERS!$L$2:$L$4995,"Đã chuyển khoản"))</f>
        <v/>
      </c>
      <c r="X4091" s="23">
        <f>IF(OR($D4091="",$R4091="Trùng"),"",SUMIFS(ORDERS!$J$2:$J$4995,ORDERS!$C$2:$C$4995,$D4091,ORDERS!$L$2:$L$4995,"Đã chuyển khoản"))</f>
        <v/>
      </c>
      <c r="Y4091" s="24" t="n"/>
    </row>
    <row r="4092" ht="14.25" customHeight="1" s="40">
      <c r="A4092" s="24" t="n"/>
      <c r="B4092" s="27" t="n"/>
      <c r="C4092" s="24" t="n"/>
      <c r="D4092" s="28" t="n"/>
      <c r="E4092" s="29" t="n"/>
      <c r="F4092" s="24" t="n"/>
      <c r="G4092" s="24" t="n"/>
      <c r="H4092" s="21">
        <f>IF(ISNUMBER($B4092),INT($B4092)-WEEKDAY($B4092,2)+1,"")</f>
        <v/>
      </c>
      <c r="I4092" s="24" t="n"/>
      <c r="J4092" s="22">
        <f t="array" ref="J4092">IF($D4092="","",IF($I4092="","(trống REF)",IFERROR(INDEX(MASTER_SOURCE!$B$2:$B$495,MATCH($I4092,MASTER_SOURCE!$A$2:$A$495,0)),"(REF không có trong MASTER_SOURCE)")))</f>
        <v/>
      </c>
      <c r="K4092" s="22">
        <f t="array" ref="K4092">IF($D4092="","",IFERROR(INDEX(MASTER_SOURCE!$C$2:$C$495,MATCH($I4092,MASTER_SOURCE!$A$2:$A$495,0)),""))</f>
        <v/>
      </c>
      <c r="L4092" s="22">
        <f t="array" ref="L4092">IF($D4092="","",IFERROR(INDEX(MASTER_SOURCE!$D$2:$D$495,MATCH($I4092,MASTER_SOURCE!$A$2:$A$495,0)),""))</f>
        <v/>
      </c>
      <c r="M4092" s="24" t="n"/>
      <c r="N4092" s="24" t="n"/>
      <c r="O4092" s="24" t="n"/>
      <c r="P4092" s="24" t="n"/>
      <c r="Q4092" s="22">
        <f>IF($D4092="","",IF(AND(OR(DANH_MUC!$L$5&lt;&gt;"Có",M4092="Có"),OR(DANH_MUC!$L$6&lt;&gt;"Có",N4092="Có"),OR(DANH_MUC!$L$7&lt;&gt;"Có",O4092="Có"),OR(DANH_MUC!$L$8&lt;&gt;"Có",P4092="Có")),"Có","Không"))</f>
        <v/>
      </c>
      <c r="R4092" s="22">
        <f>IF($D4092="","",IF(COUNTIF($D$2:$D4092,$D4092)&gt;1,"Trùng",""))</f>
        <v/>
      </c>
      <c r="S4092" s="22">
        <f>IF($D4092="","",IF(AND(LEN($D4092)=10,LEFT($D4092,1)="0",ISNUMBER(--$D4092)),"Có","Không"))</f>
        <v/>
      </c>
      <c r="T4092" s="22">
        <f>IF($D4092="","",IF(AND($C4092&lt;&gt;"",$Q4092="Có",$R4092="",$S4092="Có",AND($L4092&lt;&gt;"",OR($L4092&lt;&gt;"Chưa xác định",DANH_MUC!$L$9="Có"))),"Có","Không"))</f>
        <v/>
      </c>
      <c r="U4092" s="22">
        <f>IF(OR($D4092="",$T4092="Có"),"",IF($C4092="","Thiếu họ tên; ","")&amp;IF($S4092&lt;&gt;"Có","SĐT sai định dạng; ","")&amp;IF($R4092="Trùng","Trùng SĐT; ","")&amp;IF($Q4092&lt;&gt;"Có","Thiếu đồng ý bắt buộc; ","")&amp;IF($L4092="","Thiếu/sai Mã REF; ",IF(AND($L4092="Chưa xác định",DANH_MUC!$L$9&lt;&gt;"Có"),"Nguồn chưa xác định; ","")))</f>
        <v/>
      </c>
      <c r="V4092" s="22">
        <f>IF(OR($D4092="",$R4092="Trùng"),"",IF(COUNTIF(ORDERS!$C$2:$C$4995,$D4092)&gt;0,"Có","Không"))</f>
        <v/>
      </c>
      <c r="W4092" s="22">
        <f>IF(OR($D4092="",$R4092="Trùng"),"",COUNTIFS(ORDERS!$C$2:$C$4995,$D4092,ORDERS!$L$2:$L$4995,"Đã chuyển khoản"))</f>
        <v/>
      </c>
      <c r="X4092" s="23">
        <f>IF(OR($D4092="",$R4092="Trùng"),"",SUMIFS(ORDERS!$J$2:$J$4995,ORDERS!$C$2:$C$4995,$D4092,ORDERS!$L$2:$L$4995,"Đã chuyển khoản"))</f>
        <v/>
      </c>
      <c r="Y4092" s="24" t="n"/>
    </row>
    <row r="4093" ht="14.25" customHeight="1" s="40">
      <c r="A4093" s="24" t="n"/>
      <c r="B4093" s="27" t="n"/>
      <c r="C4093" s="24" t="n"/>
      <c r="D4093" s="28" t="n"/>
      <c r="E4093" s="29" t="n"/>
      <c r="F4093" s="24" t="n"/>
      <c r="G4093" s="24" t="n"/>
      <c r="H4093" s="21">
        <f>IF(ISNUMBER($B4093),INT($B4093)-WEEKDAY($B4093,2)+1,"")</f>
        <v/>
      </c>
      <c r="I4093" s="24" t="n"/>
      <c r="J4093" s="22">
        <f t="array" ref="J4093">IF($D4093="","",IF($I4093="","(trống REF)",IFERROR(INDEX(MASTER_SOURCE!$B$2:$B$495,MATCH($I4093,MASTER_SOURCE!$A$2:$A$495,0)),"(REF không có trong MASTER_SOURCE)")))</f>
        <v/>
      </c>
      <c r="K4093" s="22">
        <f t="array" ref="K4093">IF($D4093="","",IFERROR(INDEX(MASTER_SOURCE!$C$2:$C$495,MATCH($I4093,MASTER_SOURCE!$A$2:$A$495,0)),""))</f>
        <v/>
      </c>
      <c r="L4093" s="22">
        <f t="array" ref="L4093">IF($D4093="","",IFERROR(INDEX(MASTER_SOURCE!$D$2:$D$495,MATCH($I4093,MASTER_SOURCE!$A$2:$A$495,0)),""))</f>
        <v/>
      </c>
      <c r="M4093" s="24" t="n"/>
      <c r="N4093" s="24" t="n"/>
      <c r="O4093" s="24" t="n"/>
      <c r="P4093" s="24" t="n"/>
      <c r="Q4093" s="22">
        <f>IF($D4093="","",IF(AND(OR(DANH_MUC!$L$5&lt;&gt;"Có",M4093="Có"),OR(DANH_MUC!$L$6&lt;&gt;"Có",N4093="Có"),OR(DANH_MUC!$L$7&lt;&gt;"Có",O4093="Có"),OR(DANH_MUC!$L$8&lt;&gt;"Có",P4093="Có")),"Có","Không"))</f>
        <v/>
      </c>
      <c r="R4093" s="22">
        <f>IF($D4093="","",IF(COUNTIF($D$2:$D4093,$D4093)&gt;1,"Trùng",""))</f>
        <v/>
      </c>
      <c r="S4093" s="22">
        <f>IF($D4093="","",IF(AND(LEN($D4093)=10,LEFT($D4093,1)="0",ISNUMBER(--$D4093)),"Có","Không"))</f>
        <v/>
      </c>
      <c r="T4093" s="22">
        <f>IF($D4093="","",IF(AND($C4093&lt;&gt;"",$Q4093="Có",$R4093="",$S4093="Có",AND($L4093&lt;&gt;"",OR($L4093&lt;&gt;"Chưa xác định",DANH_MUC!$L$9="Có"))),"Có","Không"))</f>
        <v/>
      </c>
      <c r="U4093" s="22">
        <f>IF(OR($D4093="",$T4093="Có"),"",IF($C4093="","Thiếu họ tên; ","")&amp;IF($S4093&lt;&gt;"Có","SĐT sai định dạng; ","")&amp;IF($R4093="Trùng","Trùng SĐT; ","")&amp;IF($Q4093&lt;&gt;"Có","Thiếu đồng ý bắt buộc; ","")&amp;IF($L4093="","Thiếu/sai Mã REF; ",IF(AND($L4093="Chưa xác định",DANH_MUC!$L$9&lt;&gt;"Có"),"Nguồn chưa xác định; ","")))</f>
        <v/>
      </c>
      <c r="V4093" s="22">
        <f>IF(OR($D4093="",$R4093="Trùng"),"",IF(COUNTIF(ORDERS!$C$2:$C$4995,$D4093)&gt;0,"Có","Không"))</f>
        <v/>
      </c>
      <c r="W4093" s="22">
        <f>IF(OR($D4093="",$R4093="Trùng"),"",COUNTIFS(ORDERS!$C$2:$C$4995,$D4093,ORDERS!$L$2:$L$4995,"Đã chuyển khoản"))</f>
        <v/>
      </c>
      <c r="X4093" s="23">
        <f>IF(OR($D4093="",$R4093="Trùng"),"",SUMIFS(ORDERS!$J$2:$J$4995,ORDERS!$C$2:$C$4995,$D4093,ORDERS!$L$2:$L$4995,"Đã chuyển khoản"))</f>
        <v/>
      </c>
      <c r="Y4093" s="24" t="n"/>
    </row>
    <row r="4094" ht="14.25" customHeight="1" s="40">
      <c r="A4094" s="24" t="n"/>
      <c r="B4094" s="27" t="n"/>
      <c r="C4094" s="24" t="n"/>
      <c r="D4094" s="28" t="n"/>
      <c r="E4094" s="29" t="n"/>
      <c r="F4094" s="24" t="n"/>
      <c r="G4094" s="24" t="n"/>
      <c r="H4094" s="21">
        <f>IF(ISNUMBER($B4094),INT($B4094)-WEEKDAY($B4094,2)+1,"")</f>
        <v/>
      </c>
      <c r="I4094" s="24" t="n"/>
      <c r="J4094" s="22">
        <f t="array" ref="J4094">IF($D4094="","",IF($I4094="","(trống REF)",IFERROR(INDEX(MASTER_SOURCE!$B$2:$B$495,MATCH($I4094,MASTER_SOURCE!$A$2:$A$495,0)),"(REF không có trong MASTER_SOURCE)")))</f>
        <v/>
      </c>
      <c r="K4094" s="22">
        <f t="array" ref="K4094">IF($D4094="","",IFERROR(INDEX(MASTER_SOURCE!$C$2:$C$495,MATCH($I4094,MASTER_SOURCE!$A$2:$A$495,0)),""))</f>
        <v/>
      </c>
      <c r="L4094" s="22">
        <f t="array" ref="L4094">IF($D4094="","",IFERROR(INDEX(MASTER_SOURCE!$D$2:$D$495,MATCH($I4094,MASTER_SOURCE!$A$2:$A$495,0)),""))</f>
        <v/>
      </c>
      <c r="M4094" s="24" t="n"/>
      <c r="N4094" s="24" t="n"/>
      <c r="O4094" s="24" t="n"/>
      <c r="P4094" s="24" t="n"/>
      <c r="Q4094" s="22">
        <f>IF($D4094="","",IF(AND(OR(DANH_MUC!$L$5&lt;&gt;"Có",M4094="Có"),OR(DANH_MUC!$L$6&lt;&gt;"Có",N4094="Có"),OR(DANH_MUC!$L$7&lt;&gt;"Có",O4094="Có"),OR(DANH_MUC!$L$8&lt;&gt;"Có",P4094="Có")),"Có","Không"))</f>
        <v/>
      </c>
      <c r="R4094" s="22">
        <f>IF($D4094="","",IF(COUNTIF($D$2:$D4094,$D4094)&gt;1,"Trùng",""))</f>
        <v/>
      </c>
      <c r="S4094" s="22">
        <f>IF($D4094="","",IF(AND(LEN($D4094)=10,LEFT($D4094,1)="0",ISNUMBER(--$D4094)),"Có","Không"))</f>
        <v/>
      </c>
      <c r="T4094" s="22">
        <f>IF($D4094="","",IF(AND($C4094&lt;&gt;"",$Q4094="Có",$R4094="",$S4094="Có",AND($L4094&lt;&gt;"",OR($L4094&lt;&gt;"Chưa xác định",DANH_MUC!$L$9="Có"))),"Có","Không"))</f>
        <v/>
      </c>
      <c r="U4094" s="22">
        <f>IF(OR($D4094="",$T4094="Có"),"",IF($C4094="","Thiếu họ tên; ","")&amp;IF($S4094&lt;&gt;"Có","SĐT sai định dạng; ","")&amp;IF($R4094="Trùng","Trùng SĐT; ","")&amp;IF($Q4094&lt;&gt;"Có","Thiếu đồng ý bắt buộc; ","")&amp;IF($L4094="","Thiếu/sai Mã REF; ",IF(AND($L4094="Chưa xác định",DANH_MUC!$L$9&lt;&gt;"Có"),"Nguồn chưa xác định; ","")))</f>
        <v/>
      </c>
      <c r="V4094" s="22">
        <f>IF(OR($D4094="",$R4094="Trùng"),"",IF(COUNTIF(ORDERS!$C$2:$C$4995,$D4094)&gt;0,"Có","Không"))</f>
        <v/>
      </c>
      <c r="W4094" s="22">
        <f>IF(OR($D4094="",$R4094="Trùng"),"",COUNTIFS(ORDERS!$C$2:$C$4995,$D4094,ORDERS!$L$2:$L$4995,"Đã chuyển khoản"))</f>
        <v/>
      </c>
      <c r="X4094" s="23">
        <f>IF(OR($D4094="",$R4094="Trùng"),"",SUMIFS(ORDERS!$J$2:$J$4995,ORDERS!$C$2:$C$4995,$D4094,ORDERS!$L$2:$L$4995,"Đã chuyển khoản"))</f>
        <v/>
      </c>
      <c r="Y4094" s="24" t="n"/>
    </row>
    <row r="4095" ht="14.25" customHeight="1" s="40">
      <c r="A4095" s="24" t="n"/>
      <c r="B4095" s="27" t="n"/>
      <c r="C4095" s="24" t="n"/>
      <c r="D4095" s="28" t="n"/>
      <c r="E4095" s="29" t="n"/>
      <c r="F4095" s="24" t="n"/>
      <c r="G4095" s="24" t="n"/>
      <c r="H4095" s="21">
        <f>IF(ISNUMBER($B4095),INT($B4095)-WEEKDAY($B4095,2)+1,"")</f>
        <v/>
      </c>
      <c r="I4095" s="24" t="n"/>
      <c r="J4095" s="22">
        <f t="array" ref="J4095">IF($D4095="","",IF($I4095="","(trống REF)",IFERROR(INDEX(MASTER_SOURCE!$B$2:$B$495,MATCH($I4095,MASTER_SOURCE!$A$2:$A$495,0)),"(REF không có trong MASTER_SOURCE)")))</f>
        <v/>
      </c>
      <c r="K4095" s="22">
        <f t="array" ref="K4095">IF($D4095="","",IFERROR(INDEX(MASTER_SOURCE!$C$2:$C$495,MATCH($I4095,MASTER_SOURCE!$A$2:$A$495,0)),""))</f>
        <v/>
      </c>
      <c r="L4095" s="22">
        <f t="array" ref="L4095">IF($D4095="","",IFERROR(INDEX(MASTER_SOURCE!$D$2:$D$495,MATCH($I4095,MASTER_SOURCE!$A$2:$A$495,0)),""))</f>
        <v/>
      </c>
      <c r="M4095" s="24" t="n"/>
      <c r="N4095" s="24" t="n"/>
      <c r="O4095" s="24" t="n"/>
      <c r="P4095" s="24" t="n"/>
      <c r="Q4095" s="22">
        <f>IF($D4095="","",IF(AND(OR(DANH_MUC!$L$5&lt;&gt;"Có",M4095="Có"),OR(DANH_MUC!$L$6&lt;&gt;"Có",N4095="Có"),OR(DANH_MUC!$L$7&lt;&gt;"Có",O4095="Có"),OR(DANH_MUC!$L$8&lt;&gt;"Có",P4095="Có")),"Có","Không"))</f>
        <v/>
      </c>
      <c r="R4095" s="22">
        <f>IF($D4095="","",IF(COUNTIF($D$2:$D4095,$D4095)&gt;1,"Trùng",""))</f>
        <v/>
      </c>
      <c r="S4095" s="22">
        <f>IF($D4095="","",IF(AND(LEN($D4095)=10,LEFT($D4095,1)="0",ISNUMBER(--$D4095)),"Có","Không"))</f>
        <v/>
      </c>
      <c r="T4095" s="22">
        <f>IF($D4095="","",IF(AND($C4095&lt;&gt;"",$Q4095="Có",$R4095="",$S4095="Có",AND($L4095&lt;&gt;"",OR($L4095&lt;&gt;"Chưa xác định",DANH_MUC!$L$9="Có"))),"Có","Không"))</f>
        <v/>
      </c>
      <c r="U4095" s="22">
        <f>IF(OR($D4095="",$T4095="Có"),"",IF($C4095="","Thiếu họ tên; ","")&amp;IF($S4095&lt;&gt;"Có","SĐT sai định dạng; ","")&amp;IF($R4095="Trùng","Trùng SĐT; ","")&amp;IF($Q4095&lt;&gt;"Có","Thiếu đồng ý bắt buộc; ","")&amp;IF($L4095="","Thiếu/sai Mã REF; ",IF(AND($L4095="Chưa xác định",DANH_MUC!$L$9&lt;&gt;"Có"),"Nguồn chưa xác định; ","")))</f>
        <v/>
      </c>
      <c r="V4095" s="22">
        <f>IF(OR($D4095="",$R4095="Trùng"),"",IF(COUNTIF(ORDERS!$C$2:$C$4995,$D4095)&gt;0,"Có","Không"))</f>
        <v/>
      </c>
      <c r="W4095" s="22">
        <f>IF(OR($D4095="",$R4095="Trùng"),"",COUNTIFS(ORDERS!$C$2:$C$4995,$D4095,ORDERS!$L$2:$L$4995,"Đã chuyển khoản"))</f>
        <v/>
      </c>
      <c r="X4095" s="23">
        <f>IF(OR($D4095="",$R4095="Trùng"),"",SUMIFS(ORDERS!$J$2:$J$4995,ORDERS!$C$2:$C$4995,$D4095,ORDERS!$L$2:$L$4995,"Đã chuyển khoản"))</f>
        <v/>
      </c>
      <c r="Y4095" s="24" t="n"/>
    </row>
    <row r="4096" ht="14.25" customHeight="1" s="40">
      <c r="A4096" s="24" t="n"/>
      <c r="B4096" s="27" t="n"/>
      <c r="C4096" s="24" t="n"/>
      <c r="D4096" s="28" t="n"/>
      <c r="E4096" s="29" t="n"/>
      <c r="F4096" s="24" t="n"/>
      <c r="G4096" s="24" t="n"/>
      <c r="H4096" s="21">
        <f>IF(ISNUMBER($B4096),INT($B4096)-WEEKDAY($B4096,2)+1,"")</f>
        <v/>
      </c>
      <c r="I4096" s="24" t="n"/>
      <c r="J4096" s="22">
        <f t="array" ref="J4096">IF($D4096="","",IF($I4096="","(trống REF)",IFERROR(INDEX(MASTER_SOURCE!$B$2:$B$495,MATCH($I4096,MASTER_SOURCE!$A$2:$A$495,0)),"(REF không có trong MASTER_SOURCE)")))</f>
        <v/>
      </c>
      <c r="K4096" s="22">
        <f t="array" ref="K4096">IF($D4096="","",IFERROR(INDEX(MASTER_SOURCE!$C$2:$C$495,MATCH($I4096,MASTER_SOURCE!$A$2:$A$495,0)),""))</f>
        <v/>
      </c>
      <c r="L4096" s="22">
        <f t="array" ref="L4096">IF($D4096="","",IFERROR(INDEX(MASTER_SOURCE!$D$2:$D$495,MATCH($I4096,MASTER_SOURCE!$A$2:$A$495,0)),""))</f>
        <v/>
      </c>
      <c r="M4096" s="24" t="n"/>
      <c r="N4096" s="24" t="n"/>
      <c r="O4096" s="24" t="n"/>
      <c r="P4096" s="24" t="n"/>
      <c r="Q4096" s="22">
        <f>IF($D4096="","",IF(AND(OR(DANH_MUC!$L$5&lt;&gt;"Có",M4096="Có"),OR(DANH_MUC!$L$6&lt;&gt;"Có",N4096="Có"),OR(DANH_MUC!$L$7&lt;&gt;"Có",O4096="Có"),OR(DANH_MUC!$L$8&lt;&gt;"Có",P4096="Có")),"Có","Không"))</f>
        <v/>
      </c>
      <c r="R4096" s="22">
        <f>IF($D4096="","",IF(COUNTIF($D$2:$D4096,$D4096)&gt;1,"Trùng",""))</f>
        <v/>
      </c>
      <c r="S4096" s="22">
        <f>IF($D4096="","",IF(AND(LEN($D4096)=10,LEFT($D4096,1)="0",ISNUMBER(--$D4096)),"Có","Không"))</f>
        <v/>
      </c>
      <c r="T4096" s="22">
        <f>IF($D4096="","",IF(AND($C4096&lt;&gt;"",$Q4096="Có",$R4096="",$S4096="Có",AND($L4096&lt;&gt;"",OR($L4096&lt;&gt;"Chưa xác định",DANH_MUC!$L$9="Có"))),"Có","Không"))</f>
        <v/>
      </c>
      <c r="U4096" s="22">
        <f>IF(OR($D4096="",$T4096="Có"),"",IF($C4096="","Thiếu họ tên; ","")&amp;IF($S4096&lt;&gt;"Có","SĐT sai định dạng; ","")&amp;IF($R4096="Trùng","Trùng SĐT; ","")&amp;IF($Q4096&lt;&gt;"Có","Thiếu đồng ý bắt buộc; ","")&amp;IF($L4096="","Thiếu/sai Mã REF; ",IF(AND($L4096="Chưa xác định",DANH_MUC!$L$9&lt;&gt;"Có"),"Nguồn chưa xác định; ","")))</f>
        <v/>
      </c>
      <c r="V4096" s="22">
        <f>IF(OR($D4096="",$R4096="Trùng"),"",IF(COUNTIF(ORDERS!$C$2:$C$4995,$D4096)&gt;0,"Có","Không"))</f>
        <v/>
      </c>
      <c r="W4096" s="22">
        <f>IF(OR($D4096="",$R4096="Trùng"),"",COUNTIFS(ORDERS!$C$2:$C$4995,$D4096,ORDERS!$L$2:$L$4995,"Đã chuyển khoản"))</f>
        <v/>
      </c>
      <c r="X4096" s="23">
        <f>IF(OR($D4096="",$R4096="Trùng"),"",SUMIFS(ORDERS!$J$2:$J$4995,ORDERS!$C$2:$C$4995,$D4096,ORDERS!$L$2:$L$4995,"Đã chuyển khoản"))</f>
        <v/>
      </c>
      <c r="Y4096" s="24" t="n"/>
    </row>
    <row r="4097" ht="14.25" customHeight="1" s="40">
      <c r="A4097" s="24" t="n"/>
      <c r="B4097" s="27" t="n"/>
      <c r="C4097" s="24" t="n"/>
      <c r="D4097" s="28" t="n"/>
      <c r="E4097" s="29" t="n"/>
      <c r="F4097" s="24" t="n"/>
      <c r="G4097" s="24" t="n"/>
      <c r="H4097" s="21">
        <f>IF(ISNUMBER($B4097),INT($B4097)-WEEKDAY($B4097,2)+1,"")</f>
        <v/>
      </c>
      <c r="I4097" s="24" t="n"/>
      <c r="J4097" s="22">
        <f t="array" ref="J4097">IF($D4097="","",IF($I4097="","(trống REF)",IFERROR(INDEX(MASTER_SOURCE!$B$2:$B$495,MATCH($I4097,MASTER_SOURCE!$A$2:$A$495,0)),"(REF không có trong MASTER_SOURCE)")))</f>
        <v/>
      </c>
      <c r="K4097" s="22">
        <f t="array" ref="K4097">IF($D4097="","",IFERROR(INDEX(MASTER_SOURCE!$C$2:$C$495,MATCH($I4097,MASTER_SOURCE!$A$2:$A$495,0)),""))</f>
        <v/>
      </c>
      <c r="L4097" s="22">
        <f t="array" ref="L4097">IF($D4097="","",IFERROR(INDEX(MASTER_SOURCE!$D$2:$D$495,MATCH($I4097,MASTER_SOURCE!$A$2:$A$495,0)),""))</f>
        <v/>
      </c>
      <c r="M4097" s="24" t="n"/>
      <c r="N4097" s="24" t="n"/>
      <c r="O4097" s="24" t="n"/>
      <c r="P4097" s="24" t="n"/>
      <c r="Q4097" s="22">
        <f>IF($D4097="","",IF(AND(OR(DANH_MUC!$L$5&lt;&gt;"Có",M4097="Có"),OR(DANH_MUC!$L$6&lt;&gt;"Có",N4097="Có"),OR(DANH_MUC!$L$7&lt;&gt;"Có",O4097="Có"),OR(DANH_MUC!$L$8&lt;&gt;"Có",P4097="Có")),"Có","Không"))</f>
        <v/>
      </c>
      <c r="R4097" s="22">
        <f>IF($D4097="","",IF(COUNTIF($D$2:$D4097,$D4097)&gt;1,"Trùng",""))</f>
        <v/>
      </c>
      <c r="S4097" s="22">
        <f>IF($D4097="","",IF(AND(LEN($D4097)=10,LEFT($D4097,1)="0",ISNUMBER(--$D4097)),"Có","Không"))</f>
        <v/>
      </c>
      <c r="T4097" s="22">
        <f>IF($D4097="","",IF(AND($C4097&lt;&gt;"",$Q4097="Có",$R4097="",$S4097="Có",AND($L4097&lt;&gt;"",OR($L4097&lt;&gt;"Chưa xác định",DANH_MUC!$L$9="Có"))),"Có","Không"))</f>
        <v/>
      </c>
      <c r="U4097" s="22">
        <f>IF(OR($D4097="",$T4097="Có"),"",IF($C4097="","Thiếu họ tên; ","")&amp;IF($S4097&lt;&gt;"Có","SĐT sai định dạng; ","")&amp;IF($R4097="Trùng","Trùng SĐT; ","")&amp;IF($Q4097&lt;&gt;"Có","Thiếu đồng ý bắt buộc; ","")&amp;IF($L4097="","Thiếu/sai Mã REF; ",IF(AND($L4097="Chưa xác định",DANH_MUC!$L$9&lt;&gt;"Có"),"Nguồn chưa xác định; ","")))</f>
        <v/>
      </c>
      <c r="V4097" s="22">
        <f>IF(OR($D4097="",$R4097="Trùng"),"",IF(COUNTIF(ORDERS!$C$2:$C$4995,$D4097)&gt;0,"Có","Không"))</f>
        <v/>
      </c>
      <c r="W4097" s="22">
        <f>IF(OR($D4097="",$R4097="Trùng"),"",COUNTIFS(ORDERS!$C$2:$C$4995,$D4097,ORDERS!$L$2:$L$4995,"Đã chuyển khoản"))</f>
        <v/>
      </c>
      <c r="X4097" s="23">
        <f>IF(OR($D4097="",$R4097="Trùng"),"",SUMIFS(ORDERS!$J$2:$J$4995,ORDERS!$C$2:$C$4995,$D4097,ORDERS!$L$2:$L$4995,"Đã chuyển khoản"))</f>
        <v/>
      </c>
      <c r="Y4097" s="24" t="n"/>
    </row>
    <row r="4098" ht="14.25" customHeight="1" s="40">
      <c r="A4098" s="24" t="n"/>
      <c r="B4098" s="27" t="n"/>
      <c r="C4098" s="24" t="n"/>
      <c r="D4098" s="28" t="n"/>
      <c r="E4098" s="29" t="n"/>
      <c r="F4098" s="24" t="n"/>
      <c r="G4098" s="24" t="n"/>
      <c r="H4098" s="21">
        <f>IF(ISNUMBER($B4098),INT($B4098)-WEEKDAY($B4098,2)+1,"")</f>
        <v/>
      </c>
      <c r="I4098" s="24" t="n"/>
      <c r="J4098" s="22">
        <f t="array" ref="J4098">IF($D4098="","",IF($I4098="","(trống REF)",IFERROR(INDEX(MASTER_SOURCE!$B$2:$B$495,MATCH($I4098,MASTER_SOURCE!$A$2:$A$495,0)),"(REF không có trong MASTER_SOURCE)")))</f>
        <v/>
      </c>
      <c r="K4098" s="22">
        <f t="array" ref="K4098">IF($D4098="","",IFERROR(INDEX(MASTER_SOURCE!$C$2:$C$495,MATCH($I4098,MASTER_SOURCE!$A$2:$A$495,0)),""))</f>
        <v/>
      </c>
      <c r="L4098" s="22">
        <f t="array" ref="L4098">IF($D4098="","",IFERROR(INDEX(MASTER_SOURCE!$D$2:$D$495,MATCH($I4098,MASTER_SOURCE!$A$2:$A$495,0)),""))</f>
        <v/>
      </c>
      <c r="M4098" s="24" t="n"/>
      <c r="N4098" s="24" t="n"/>
      <c r="O4098" s="24" t="n"/>
      <c r="P4098" s="24" t="n"/>
      <c r="Q4098" s="22">
        <f>IF($D4098="","",IF(AND(OR(DANH_MUC!$L$5&lt;&gt;"Có",M4098="Có"),OR(DANH_MUC!$L$6&lt;&gt;"Có",N4098="Có"),OR(DANH_MUC!$L$7&lt;&gt;"Có",O4098="Có"),OR(DANH_MUC!$L$8&lt;&gt;"Có",P4098="Có")),"Có","Không"))</f>
        <v/>
      </c>
      <c r="R4098" s="22">
        <f>IF($D4098="","",IF(COUNTIF($D$2:$D4098,$D4098)&gt;1,"Trùng",""))</f>
        <v/>
      </c>
      <c r="S4098" s="22">
        <f>IF($D4098="","",IF(AND(LEN($D4098)=10,LEFT($D4098,1)="0",ISNUMBER(--$D4098)),"Có","Không"))</f>
        <v/>
      </c>
      <c r="T4098" s="22">
        <f>IF($D4098="","",IF(AND($C4098&lt;&gt;"",$Q4098="Có",$R4098="",$S4098="Có",AND($L4098&lt;&gt;"",OR($L4098&lt;&gt;"Chưa xác định",DANH_MUC!$L$9="Có"))),"Có","Không"))</f>
        <v/>
      </c>
      <c r="U4098" s="22">
        <f>IF(OR($D4098="",$T4098="Có"),"",IF($C4098="","Thiếu họ tên; ","")&amp;IF($S4098&lt;&gt;"Có","SĐT sai định dạng; ","")&amp;IF($R4098="Trùng","Trùng SĐT; ","")&amp;IF($Q4098&lt;&gt;"Có","Thiếu đồng ý bắt buộc; ","")&amp;IF($L4098="","Thiếu/sai Mã REF; ",IF(AND($L4098="Chưa xác định",DANH_MUC!$L$9&lt;&gt;"Có"),"Nguồn chưa xác định; ","")))</f>
        <v/>
      </c>
      <c r="V4098" s="22">
        <f>IF(OR($D4098="",$R4098="Trùng"),"",IF(COUNTIF(ORDERS!$C$2:$C$4995,$D4098)&gt;0,"Có","Không"))</f>
        <v/>
      </c>
      <c r="W4098" s="22">
        <f>IF(OR($D4098="",$R4098="Trùng"),"",COUNTIFS(ORDERS!$C$2:$C$4995,$D4098,ORDERS!$L$2:$L$4995,"Đã chuyển khoản"))</f>
        <v/>
      </c>
      <c r="X4098" s="23">
        <f>IF(OR($D4098="",$R4098="Trùng"),"",SUMIFS(ORDERS!$J$2:$J$4995,ORDERS!$C$2:$C$4995,$D4098,ORDERS!$L$2:$L$4995,"Đã chuyển khoản"))</f>
        <v/>
      </c>
      <c r="Y4098" s="24" t="n"/>
    </row>
    <row r="4099" ht="14.25" customHeight="1" s="40">
      <c r="A4099" s="24" t="n"/>
      <c r="B4099" s="27" t="n"/>
      <c r="C4099" s="24" t="n"/>
      <c r="D4099" s="28" t="n"/>
      <c r="E4099" s="29" t="n"/>
      <c r="F4099" s="24" t="n"/>
      <c r="G4099" s="24" t="n"/>
      <c r="H4099" s="21">
        <f>IF(ISNUMBER($B4099),INT($B4099)-WEEKDAY($B4099,2)+1,"")</f>
        <v/>
      </c>
      <c r="I4099" s="24" t="n"/>
      <c r="J4099" s="22">
        <f t="array" ref="J4099">IF($D4099="","",IF($I4099="","(trống REF)",IFERROR(INDEX(MASTER_SOURCE!$B$2:$B$495,MATCH($I4099,MASTER_SOURCE!$A$2:$A$495,0)),"(REF không có trong MASTER_SOURCE)")))</f>
        <v/>
      </c>
      <c r="K4099" s="22">
        <f t="array" ref="K4099">IF($D4099="","",IFERROR(INDEX(MASTER_SOURCE!$C$2:$C$495,MATCH($I4099,MASTER_SOURCE!$A$2:$A$495,0)),""))</f>
        <v/>
      </c>
      <c r="L4099" s="22">
        <f t="array" ref="L4099">IF($D4099="","",IFERROR(INDEX(MASTER_SOURCE!$D$2:$D$495,MATCH($I4099,MASTER_SOURCE!$A$2:$A$495,0)),""))</f>
        <v/>
      </c>
      <c r="M4099" s="24" t="n"/>
      <c r="N4099" s="24" t="n"/>
      <c r="O4099" s="24" t="n"/>
      <c r="P4099" s="24" t="n"/>
      <c r="Q4099" s="22">
        <f>IF($D4099="","",IF(AND(OR(DANH_MUC!$L$5&lt;&gt;"Có",M4099="Có"),OR(DANH_MUC!$L$6&lt;&gt;"Có",N4099="Có"),OR(DANH_MUC!$L$7&lt;&gt;"Có",O4099="Có"),OR(DANH_MUC!$L$8&lt;&gt;"Có",P4099="Có")),"Có","Không"))</f>
        <v/>
      </c>
      <c r="R4099" s="22">
        <f>IF($D4099="","",IF(COUNTIF($D$2:$D4099,$D4099)&gt;1,"Trùng",""))</f>
        <v/>
      </c>
      <c r="S4099" s="22">
        <f>IF($D4099="","",IF(AND(LEN($D4099)=10,LEFT($D4099,1)="0",ISNUMBER(--$D4099)),"Có","Không"))</f>
        <v/>
      </c>
      <c r="T4099" s="22">
        <f>IF($D4099="","",IF(AND($C4099&lt;&gt;"",$Q4099="Có",$R4099="",$S4099="Có",AND($L4099&lt;&gt;"",OR($L4099&lt;&gt;"Chưa xác định",DANH_MUC!$L$9="Có"))),"Có","Không"))</f>
        <v/>
      </c>
      <c r="U4099" s="22">
        <f>IF(OR($D4099="",$T4099="Có"),"",IF($C4099="","Thiếu họ tên; ","")&amp;IF($S4099&lt;&gt;"Có","SĐT sai định dạng; ","")&amp;IF($R4099="Trùng","Trùng SĐT; ","")&amp;IF($Q4099&lt;&gt;"Có","Thiếu đồng ý bắt buộc; ","")&amp;IF($L4099="","Thiếu/sai Mã REF; ",IF(AND($L4099="Chưa xác định",DANH_MUC!$L$9&lt;&gt;"Có"),"Nguồn chưa xác định; ","")))</f>
        <v/>
      </c>
      <c r="V4099" s="22">
        <f>IF(OR($D4099="",$R4099="Trùng"),"",IF(COUNTIF(ORDERS!$C$2:$C$4995,$D4099)&gt;0,"Có","Không"))</f>
        <v/>
      </c>
      <c r="W4099" s="22">
        <f>IF(OR($D4099="",$R4099="Trùng"),"",COUNTIFS(ORDERS!$C$2:$C$4995,$D4099,ORDERS!$L$2:$L$4995,"Đã chuyển khoản"))</f>
        <v/>
      </c>
      <c r="X4099" s="23">
        <f>IF(OR($D4099="",$R4099="Trùng"),"",SUMIFS(ORDERS!$J$2:$J$4995,ORDERS!$C$2:$C$4995,$D4099,ORDERS!$L$2:$L$4995,"Đã chuyển khoản"))</f>
        <v/>
      </c>
      <c r="Y4099" s="24" t="n"/>
    </row>
    <row r="4100" ht="14.25" customHeight="1" s="40">
      <c r="A4100" s="24" t="n"/>
      <c r="B4100" s="27" t="n"/>
      <c r="C4100" s="24" t="n"/>
      <c r="D4100" s="28" t="n"/>
      <c r="E4100" s="29" t="n"/>
      <c r="F4100" s="24" t="n"/>
      <c r="G4100" s="24" t="n"/>
      <c r="H4100" s="21">
        <f>IF(ISNUMBER($B4100),INT($B4100)-WEEKDAY($B4100,2)+1,"")</f>
        <v/>
      </c>
      <c r="I4100" s="24" t="n"/>
      <c r="J4100" s="22">
        <f t="array" ref="J4100">IF($D4100="","",IF($I4100="","(trống REF)",IFERROR(INDEX(MASTER_SOURCE!$B$2:$B$495,MATCH($I4100,MASTER_SOURCE!$A$2:$A$495,0)),"(REF không có trong MASTER_SOURCE)")))</f>
        <v/>
      </c>
      <c r="K4100" s="22">
        <f t="array" ref="K4100">IF($D4100="","",IFERROR(INDEX(MASTER_SOURCE!$C$2:$C$495,MATCH($I4100,MASTER_SOURCE!$A$2:$A$495,0)),""))</f>
        <v/>
      </c>
      <c r="L4100" s="22">
        <f t="array" ref="L4100">IF($D4100="","",IFERROR(INDEX(MASTER_SOURCE!$D$2:$D$495,MATCH($I4100,MASTER_SOURCE!$A$2:$A$495,0)),""))</f>
        <v/>
      </c>
      <c r="M4100" s="24" t="n"/>
      <c r="N4100" s="24" t="n"/>
      <c r="O4100" s="24" t="n"/>
      <c r="P4100" s="24" t="n"/>
      <c r="Q4100" s="22">
        <f>IF($D4100="","",IF(AND(OR(DANH_MUC!$L$5&lt;&gt;"Có",M4100="Có"),OR(DANH_MUC!$L$6&lt;&gt;"Có",N4100="Có"),OR(DANH_MUC!$L$7&lt;&gt;"Có",O4100="Có"),OR(DANH_MUC!$L$8&lt;&gt;"Có",P4100="Có")),"Có","Không"))</f>
        <v/>
      </c>
      <c r="R4100" s="22">
        <f>IF($D4100="","",IF(COUNTIF($D$2:$D4100,$D4100)&gt;1,"Trùng",""))</f>
        <v/>
      </c>
      <c r="S4100" s="22">
        <f>IF($D4100="","",IF(AND(LEN($D4100)=10,LEFT($D4100,1)="0",ISNUMBER(--$D4100)),"Có","Không"))</f>
        <v/>
      </c>
      <c r="T4100" s="22">
        <f>IF($D4100="","",IF(AND($C4100&lt;&gt;"",$Q4100="Có",$R4100="",$S4100="Có",AND($L4100&lt;&gt;"",OR($L4100&lt;&gt;"Chưa xác định",DANH_MUC!$L$9="Có"))),"Có","Không"))</f>
        <v/>
      </c>
      <c r="U4100" s="22">
        <f>IF(OR($D4100="",$T4100="Có"),"",IF($C4100="","Thiếu họ tên; ","")&amp;IF($S4100&lt;&gt;"Có","SĐT sai định dạng; ","")&amp;IF($R4100="Trùng","Trùng SĐT; ","")&amp;IF($Q4100&lt;&gt;"Có","Thiếu đồng ý bắt buộc; ","")&amp;IF($L4100="","Thiếu/sai Mã REF; ",IF(AND($L4100="Chưa xác định",DANH_MUC!$L$9&lt;&gt;"Có"),"Nguồn chưa xác định; ","")))</f>
        <v/>
      </c>
      <c r="V4100" s="22">
        <f>IF(OR($D4100="",$R4100="Trùng"),"",IF(COUNTIF(ORDERS!$C$2:$C$4995,$D4100)&gt;0,"Có","Không"))</f>
        <v/>
      </c>
      <c r="W4100" s="22">
        <f>IF(OR($D4100="",$R4100="Trùng"),"",COUNTIFS(ORDERS!$C$2:$C$4995,$D4100,ORDERS!$L$2:$L$4995,"Đã chuyển khoản"))</f>
        <v/>
      </c>
      <c r="X4100" s="23">
        <f>IF(OR($D4100="",$R4100="Trùng"),"",SUMIFS(ORDERS!$J$2:$J$4995,ORDERS!$C$2:$C$4995,$D4100,ORDERS!$L$2:$L$4995,"Đã chuyển khoản"))</f>
        <v/>
      </c>
      <c r="Y4100" s="24" t="n"/>
    </row>
    <row r="4101" ht="14.25" customHeight="1" s="40">
      <c r="A4101" s="24" t="n"/>
      <c r="B4101" s="27" t="n"/>
      <c r="C4101" s="24" t="n"/>
      <c r="D4101" s="28" t="n"/>
      <c r="E4101" s="29" t="n"/>
      <c r="F4101" s="24" t="n"/>
      <c r="G4101" s="24" t="n"/>
      <c r="H4101" s="21">
        <f>IF(ISNUMBER($B4101),INT($B4101)-WEEKDAY($B4101,2)+1,"")</f>
        <v/>
      </c>
      <c r="I4101" s="24" t="n"/>
      <c r="J4101" s="22">
        <f t="array" ref="J4101">IF($D4101="","",IF($I4101="","(trống REF)",IFERROR(INDEX(MASTER_SOURCE!$B$2:$B$495,MATCH($I4101,MASTER_SOURCE!$A$2:$A$495,0)),"(REF không có trong MASTER_SOURCE)")))</f>
        <v/>
      </c>
      <c r="K4101" s="22">
        <f t="array" ref="K4101">IF($D4101="","",IFERROR(INDEX(MASTER_SOURCE!$C$2:$C$495,MATCH($I4101,MASTER_SOURCE!$A$2:$A$495,0)),""))</f>
        <v/>
      </c>
      <c r="L4101" s="22">
        <f t="array" ref="L4101">IF($D4101="","",IFERROR(INDEX(MASTER_SOURCE!$D$2:$D$495,MATCH($I4101,MASTER_SOURCE!$A$2:$A$495,0)),""))</f>
        <v/>
      </c>
      <c r="M4101" s="24" t="n"/>
      <c r="N4101" s="24" t="n"/>
      <c r="O4101" s="24" t="n"/>
      <c r="P4101" s="24" t="n"/>
      <c r="Q4101" s="22">
        <f>IF($D4101="","",IF(AND(OR(DANH_MUC!$L$5&lt;&gt;"Có",M4101="Có"),OR(DANH_MUC!$L$6&lt;&gt;"Có",N4101="Có"),OR(DANH_MUC!$L$7&lt;&gt;"Có",O4101="Có"),OR(DANH_MUC!$L$8&lt;&gt;"Có",P4101="Có")),"Có","Không"))</f>
        <v/>
      </c>
      <c r="R4101" s="22">
        <f>IF($D4101="","",IF(COUNTIF($D$2:$D4101,$D4101)&gt;1,"Trùng",""))</f>
        <v/>
      </c>
      <c r="S4101" s="22">
        <f>IF($D4101="","",IF(AND(LEN($D4101)=10,LEFT($D4101,1)="0",ISNUMBER(--$D4101)),"Có","Không"))</f>
        <v/>
      </c>
      <c r="T4101" s="22">
        <f>IF($D4101="","",IF(AND($C4101&lt;&gt;"",$Q4101="Có",$R4101="",$S4101="Có",AND($L4101&lt;&gt;"",OR($L4101&lt;&gt;"Chưa xác định",DANH_MUC!$L$9="Có"))),"Có","Không"))</f>
        <v/>
      </c>
      <c r="U4101" s="22">
        <f>IF(OR($D4101="",$T4101="Có"),"",IF($C4101="","Thiếu họ tên; ","")&amp;IF($S4101&lt;&gt;"Có","SĐT sai định dạng; ","")&amp;IF($R4101="Trùng","Trùng SĐT; ","")&amp;IF($Q4101&lt;&gt;"Có","Thiếu đồng ý bắt buộc; ","")&amp;IF($L4101="","Thiếu/sai Mã REF; ",IF(AND($L4101="Chưa xác định",DANH_MUC!$L$9&lt;&gt;"Có"),"Nguồn chưa xác định; ","")))</f>
        <v/>
      </c>
      <c r="V4101" s="22">
        <f>IF(OR($D4101="",$R4101="Trùng"),"",IF(COUNTIF(ORDERS!$C$2:$C$4995,$D4101)&gt;0,"Có","Không"))</f>
        <v/>
      </c>
      <c r="W4101" s="22">
        <f>IF(OR($D4101="",$R4101="Trùng"),"",COUNTIFS(ORDERS!$C$2:$C$4995,$D4101,ORDERS!$L$2:$L$4995,"Đã chuyển khoản"))</f>
        <v/>
      </c>
      <c r="X4101" s="23">
        <f>IF(OR($D4101="",$R4101="Trùng"),"",SUMIFS(ORDERS!$J$2:$J$4995,ORDERS!$C$2:$C$4995,$D4101,ORDERS!$L$2:$L$4995,"Đã chuyển khoản"))</f>
        <v/>
      </c>
      <c r="Y4101" s="24" t="n"/>
    </row>
    <row r="4102" ht="14.25" customHeight="1" s="40">
      <c r="A4102" s="24" t="n"/>
      <c r="B4102" s="27" t="n"/>
      <c r="C4102" s="24" t="n"/>
      <c r="D4102" s="28" t="n"/>
      <c r="E4102" s="29" t="n"/>
      <c r="F4102" s="24" t="n"/>
      <c r="G4102" s="24" t="n"/>
      <c r="H4102" s="21">
        <f>IF(ISNUMBER($B4102),INT($B4102)-WEEKDAY($B4102,2)+1,"")</f>
        <v/>
      </c>
      <c r="I4102" s="24" t="n"/>
      <c r="J4102" s="22">
        <f t="array" ref="J4102">IF($D4102="","",IF($I4102="","(trống REF)",IFERROR(INDEX(MASTER_SOURCE!$B$2:$B$495,MATCH($I4102,MASTER_SOURCE!$A$2:$A$495,0)),"(REF không có trong MASTER_SOURCE)")))</f>
        <v/>
      </c>
      <c r="K4102" s="22">
        <f t="array" ref="K4102">IF($D4102="","",IFERROR(INDEX(MASTER_SOURCE!$C$2:$C$495,MATCH($I4102,MASTER_SOURCE!$A$2:$A$495,0)),""))</f>
        <v/>
      </c>
      <c r="L4102" s="22">
        <f t="array" ref="L4102">IF($D4102="","",IFERROR(INDEX(MASTER_SOURCE!$D$2:$D$495,MATCH($I4102,MASTER_SOURCE!$A$2:$A$495,0)),""))</f>
        <v/>
      </c>
      <c r="M4102" s="24" t="n"/>
      <c r="N4102" s="24" t="n"/>
      <c r="O4102" s="24" t="n"/>
      <c r="P4102" s="24" t="n"/>
      <c r="Q4102" s="22">
        <f>IF($D4102="","",IF(AND(OR(DANH_MUC!$L$5&lt;&gt;"Có",M4102="Có"),OR(DANH_MUC!$L$6&lt;&gt;"Có",N4102="Có"),OR(DANH_MUC!$L$7&lt;&gt;"Có",O4102="Có"),OR(DANH_MUC!$L$8&lt;&gt;"Có",P4102="Có")),"Có","Không"))</f>
        <v/>
      </c>
      <c r="R4102" s="22">
        <f>IF($D4102="","",IF(COUNTIF($D$2:$D4102,$D4102)&gt;1,"Trùng",""))</f>
        <v/>
      </c>
      <c r="S4102" s="22">
        <f>IF($D4102="","",IF(AND(LEN($D4102)=10,LEFT($D4102,1)="0",ISNUMBER(--$D4102)),"Có","Không"))</f>
        <v/>
      </c>
      <c r="T4102" s="22">
        <f>IF($D4102="","",IF(AND($C4102&lt;&gt;"",$Q4102="Có",$R4102="",$S4102="Có",AND($L4102&lt;&gt;"",OR($L4102&lt;&gt;"Chưa xác định",DANH_MUC!$L$9="Có"))),"Có","Không"))</f>
        <v/>
      </c>
      <c r="U4102" s="22">
        <f>IF(OR($D4102="",$T4102="Có"),"",IF($C4102="","Thiếu họ tên; ","")&amp;IF($S4102&lt;&gt;"Có","SĐT sai định dạng; ","")&amp;IF($R4102="Trùng","Trùng SĐT; ","")&amp;IF($Q4102&lt;&gt;"Có","Thiếu đồng ý bắt buộc; ","")&amp;IF($L4102="","Thiếu/sai Mã REF; ",IF(AND($L4102="Chưa xác định",DANH_MUC!$L$9&lt;&gt;"Có"),"Nguồn chưa xác định; ","")))</f>
        <v/>
      </c>
      <c r="V4102" s="22">
        <f>IF(OR($D4102="",$R4102="Trùng"),"",IF(COUNTIF(ORDERS!$C$2:$C$4995,$D4102)&gt;0,"Có","Không"))</f>
        <v/>
      </c>
      <c r="W4102" s="22">
        <f>IF(OR($D4102="",$R4102="Trùng"),"",COUNTIFS(ORDERS!$C$2:$C$4995,$D4102,ORDERS!$L$2:$L$4995,"Đã chuyển khoản"))</f>
        <v/>
      </c>
      <c r="X4102" s="23">
        <f>IF(OR($D4102="",$R4102="Trùng"),"",SUMIFS(ORDERS!$J$2:$J$4995,ORDERS!$C$2:$C$4995,$D4102,ORDERS!$L$2:$L$4995,"Đã chuyển khoản"))</f>
        <v/>
      </c>
      <c r="Y4102" s="24" t="n"/>
    </row>
    <row r="4103" ht="14.25" customHeight="1" s="40">
      <c r="A4103" s="24" t="n"/>
      <c r="B4103" s="27" t="n"/>
      <c r="C4103" s="24" t="n"/>
      <c r="D4103" s="28" t="n"/>
      <c r="E4103" s="29" t="n"/>
      <c r="F4103" s="24" t="n"/>
      <c r="G4103" s="24" t="n"/>
      <c r="H4103" s="21">
        <f>IF(ISNUMBER($B4103),INT($B4103)-WEEKDAY($B4103,2)+1,"")</f>
        <v/>
      </c>
      <c r="I4103" s="24" t="n"/>
      <c r="J4103" s="22">
        <f t="array" ref="J4103">IF($D4103="","",IF($I4103="","(trống REF)",IFERROR(INDEX(MASTER_SOURCE!$B$2:$B$495,MATCH($I4103,MASTER_SOURCE!$A$2:$A$495,0)),"(REF không có trong MASTER_SOURCE)")))</f>
        <v/>
      </c>
      <c r="K4103" s="22">
        <f t="array" ref="K4103">IF($D4103="","",IFERROR(INDEX(MASTER_SOURCE!$C$2:$C$495,MATCH($I4103,MASTER_SOURCE!$A$2:$A$495,0)),""))</f>
        <v/>
      </c>
      <c r="L4103" s="22">
        <f t="array" ref="L4103">IF($D4103="","",IFERROR(INDEX(MASTER_SOURCE!$D$2:$D$495,MATCH($I4103,MASTER_SOURCE!$A$2:$A$495,0)),""))</f>
        <v/>
      </c>
      <c r="M4103" s="24" t="n"/>
      <c r="N4103" s="24" t="n"/>
      <c r="O4103" s="24" t="n"/>
      <c r="P4103" s="24" t="n"/>
      <c r="Q4103" s="22">
        <f>IF($D4103="","",IF(AND(OR(DANH_MUC!$L$5&lt;&gt;"Có",M4103="Có"),OR(DANH_MUC!$L$6&lt;&gt;"Có",N4103="Có"),OR(DANH_MUC!$L$7&lt;&gt;"Có",O4103="Có"),OR(DANH_MUC!$L$8&lt;&gt;"Có",P4103="Có")),"Có","Không"))</f>
        <v/>
      </c>
      <c r="R4103" s="22">
        <f>IF($D4103="","",IF(COUNTIF($D$2:$D4103,$D4103)&gt;1,"Trùng",""))</f>
        <v/>
      </c>
      <c r="S4103" s="22">
        <f>IF($D4103="","",IF(AND(LEN($D4103)=10,LEFT($D4103,1)="0",ISNUMBER(--$D4103)),"Có","Không"))</f>
        <v/>
      </c>
      <c r="T4103" s="22">
        <f>IF($D4103="","",IF(AND($C4103&lt;&gt;"",$Q4103="Có",$R4103="",$S4103="Có",AND($L4103&lt;&gt;"",OR($L4103&lt;&gt;"Chưa xác định",DANH_MUC!$L$9="Có"))),"Có","Không"))</f>
        <v/>
      </c>
      <c r="U4103" s="22">
        <f>IF(OR($D4103="",$T4103="Có"),"",IF($C4103="","Thiếu họ tên; ","")&amp;IF($S4103&lt;&gt;"Có","SĐT sai định dạng; ","")&amp;IF($R4103="Trùng","Trùng SĐT; ","")&amp;IF($Q4103&lt;&gt;"Có","Thiếu đồng ý bắt buộc; ","")&amp;IF($L4103="","Thiếu/sai Mã REF; ",IF(AND($L4103="Chưa xác định",DANH_MUC!$L$9&lt;&gt;"Có"),"Nguồn chưa xác định; ","")))</f>
        <v/>
      </c>
      <c r="V4103" s="22">
        <f>IF(OR($D4103="",$R4103="Trùng"),"",IF(COUNTIF(ORDERS!$C$2:$C$4995,$D4103)&gt;0,"Có","Không"))</f>
        <v/>
      </c>
      <c r="W4103" s="22">
        <f>IF(OR($D4103="",$R4103="Trùng"),"",COUNTIFS(ORDERS!$C$2:$C$4995,$D4103,ORDERS!$L$2:$L$4995,"Đã chuyển khoản"))</f>
        <v/>
      </c>
      <c r="X4103" s="23">
        <f>IF(OR($D4103="",$R4103="Trùng"),"",SUMIFS(ORDERS!$J$2:$J$4995,ORDERS!$C$2:$C$4995,$D4103,ORDERS!$L$2:$L$4995,"Đã chuyển khoản"))</f>
        <v/>
      </c>
      <c r="Y4103" s="24" t="n"/>
    </row>
    <row r="4104" ht="14.25" customHeight="1" s="40">
      <c r="A4104" s="24" t="n"/>
      <c r="B4104" s="27" t="n"/>
      <c r="C4104" s="24" t="n"/>
      <c r="D4104" s="28" t="n"/>
      <c r="E4104" s="29" t="n"/>
      <c r="F4104" s="24" t="n"/>
      <c r="G4104" s="24" t="n"/>
      <c r="H4104" s="21">
        <f>IF(ISNUMBER($B4104),INT($B4104)-WEEKDAY($B4104,2)+1,"")</f>
        <v/>
      </c>
      <c r="I4104" s="24" t="n"/>
      <c r="J4104" s="22">
        <f t="array" ref="J4104">IF($D4104="","",IF($I4104="","(trống REF)",IFERROR(INDEX(MASTER_SOURCE!$B$2:$B$495,MATCH($I4104,MASTER_SOURCE!$A$2:$A$495,0)),"(REF không có trong MASTER_SOURCE)")))</f>
        <v/>
      </c>
      <c r="K4104" s="22">
        <f t="array" ref="K4104">IF($D4104="","",IFERROR(INDEX(MASTER_SOURCE!$C$2:$C$495,MATCH($I4104,MASTER_SOURCE!$A$2:$A$495,0)),""))</f>
        <v/>
      </c>
      <c r="L4104" s="22">
        <f t="array" ref="L4104">IF($D4104="","",IFERROR(INDEX(MASTER_SOURCE!$D$2:$D$495,MATCH($I4104,MASTER_SOURCE!$A$2:$A$495,0)),""))</f>
        <v/>
      </c>
      <c r="M4104" s="24" t="n"/>
      <c r="N4104" s="24" t="n"/>
      <c r="O4104" s="24" t="n"/>
      <c r="P4104" s="24" t="n"/>
      <c r="Q4104" s="22">
        <f>IF($D4104="","",IF(AND(OR(DANH_MUC!$L$5&lt;&gt;"Có",M4104="Có"),OR(DANH_MUC!$L$6&lt;&gt;"Có",N4104="Có"),OR(DANH_MUC!$L$7&lt;&gt;"Có",O4104="Có"),OR(DANH_MUC!$L$8&lt;&gt;"Có",P4104="Có")),"Có","Không"))</f>
        <v/>
      </c>
      <c r="R4104" s="22">
        <f>IF($D4104="","",IF(COUNTIF($D$2:$D4104,$D4104)&gt;1,"Trùng",""))</f>
        <v/>
      </c>
      <c r="S4104" s="22">
        <f>IF($D4104="","",IF(AND(LEN($D4104)=10,LEFT($D4104,1)="0",ISNUMBER(--$D4104)),"Có","Không"))</f>
        <v/>
      </c>
      <c r="T4104" s="22">
        <f>IF($D4104="","",IF(AND($C4104&lt;&gt;"",$Q4104="Có",$R4104="",$S4104="Có",AND($L4104&lt;&gt;"",OR($L4104&lt;&gt;"Chưa xác định",DANH_MUC!$L$9="Có"))),"Có","Không"))</f>
        <v/>
      </c>
      <c r="U4104" s="22">
        <f>IF(OR($D4104="",$T4104="Có"),"",IF($C4104="","Thiếu họ tên; ","")&amp;IF($S4104&lt;&gt;"Có","SĐT sai định dạng; ","")&amp;IF($R4104="Trùng","Trùng SĐT; ","")&amp;IF($Q4104&lt;&gt;"Có","Thiếu đồng ý bắt buộc; ","")&amp;IF($L4104="","Thiếu/sai Mã REF; ",IF(AND($L4104="Chưa xác định",DANH_MUC!$L$9&lt;&gt;"Có"),"Nguồn chưa xác định; ","")))</f>
        <v/>
      </c>
      <c r="V4104" s="22">
        <f>IF(OR($D4104="",$R4104="Trùng"),"",IF(COUNTIF(ORDERS!$C$2:$C$4995,$D4104)&gt;0,"Có","Không"))</f>
        <v/>
      </c>
      <c r="W4104" s="22">
        <f>IF(OR($D4104="",$R4104="Trùng"),"",COUNTIFS(ORDERS!$C$2:$C$4995,$D4104,ORDERS!$L$2:$L$4995,"Đã chuyển khoản"))</f>
        <v/>
      </c>
      <c r="X4104" s="23">
        <f>IF(OR($D4104="",$R4104="Trùng"),"",SUMIFS(ORDERS!$J$2:$J$4995,ORDERS!$C$2:$C$4995,$D4104,ORDERS!$L$2:$L$4995,"Đã chuyển khoản"))</f>
        <v/>
      </c>
      <c r="Y4104" s="24" t="n"/>
    </row>
    <row r="4105" ht="14.25" customHeight="1" s="40">
      <c r="A4105" s="24" t="n"/>
      <c r="B4105" s="27" t="n"/>
      <c r="C4105" s="24" t="n"/>
      <c r="D4105" s="28" t="n"/>
      <c r="E4105" s="29" t="n"/>
      <c r="F4105" s="24" t="n"/>
      <c r="G4105" s="24" t="n"/>
      <c r="H4105" s="21">
        <f>IF(ISNUMBER($B4105),INT($B4105)-WEEKDAY($B4105,2)+1,"")</f>
        <v/>
      </c>
      <c r="I4105" s="24" t="n"/>
      <c r="J4105" s="22">
        <f t="array" ref="J4105">IF($D4105="","",IF($I4105="","(trống REF)",IFERROR(INDEX(MASTER_SOURCE!$B$2:$B$495,MATCH($I4105,MASTER_SOURCE!$A$2:$A$495,0)),"(REF không có trong MASTER_SOURCE)")))</f>
        <v/>
      </c>
      <c r="K4105" s="22">
        <f t="array" ref="K4105">IF($D4105="","",IFERROR(INDEX(MASTER_SOURCE!$C$2:$C$495,MATCH($I4105,MASTER_SOURCE!$A$2:$A$495,0)),""))</f>
        <v/>
      </c>
      <c r="L4105" s="22">
        <f t="array" ref="L4105">IF($D4105="","",IFERROR(INDEX(MASTER_SOURCE!$D$2:$D$495,MATCH($I4105,MASTER_SOURCE!$A$2:$A$495,0)),""))</f>
        <v/>
      </c>
      <c r="M4105" s="24" t="n"/>
      <c r="N4105" s="24" t="n"/>
      <c r="O4105" s="24" t="n"/>
      <c r="P4105" s="24" t="n"/>
      <c r="Q4105" s="22">
        <f>IF($D4105="","",IF(AND(OR(DANH_MUC!$L$5&lt;&gt;"Có",M4105="Có"),OR(DANH_MUC!$L$6&lt;&gt;"Có",N4105="Có"),OR(DANH_MUC!$L$7&lt;&gt;"Có",O4105="Có"),OR(DANH_MUC!$L$8&lt;&gt;"Có",P4105="Có")),"Có","Không"))</f>
        <v/>
      </c>
      <c r="R4105" s="22">
        <f>IF($D4105="","",IF(COUNTIF($D$2:$D4105,$D4105)&gt;1,"Trùng",""))</f>
        <v/>
      </c>
      <c r="S4105" s="22">
        <f>IF($D4105="","",IF(AND(LEN($D4105)=10,LEFT($D4105,1)="0",ISNUMBER(--$D4105)),"Có","Không"))</f>
        <v/>
      </c>
      <c r="T4105" s="22">
        <f>IF($D4105="","",IF(AND($C4105&lt;&gt;"",$Q4105="Có",$R4105="",$S4105="Có",AND($L4105&lt;&gt;"",OR($L4105&lt;&gt;"Chưa xác định",DANH_MUC!$L$9="Có"))),"Có","Không"))</f>
        <v/>
      </c>
      <c r="U4105" s="22">
        <f>IF(OR($D4105="",$T4105="Có"),"",IF($C4105="","Thiếu họ tên; ","")&amp;IF($S4105&lt;&gt;"Có","SĐT sai định dạng; ","")&amp;IF($R4105="Trùng","Trùng SĐT; ","")&amp;IF($Q4105&lt;&gt;"Có","Thiếu đồng ý bắt buộc; ","")&amp;IF($L4105="","Thiếu/sai Mã REF; ",IF(AND($L4105="Chưa xác định",DANH_MUC!$L$9&lt;&gt;"Có"),"Nguồn chưa xác định; ","")))</f>
        <v/>
      </c>
      <c r="V4105" s="22">
        <f>IF(OR($D4105="",$R4105="Trùng"),"",IF(COUNTIF(ORDERS!$C$2:$C$4995,$D4105)&gt;0,"Có","Không"))</f>
        <v/>
      </c>
      <c r="W4105" s="22">
        <f>IF(OR($D4105="",$R4105="Trùng"),"",COUNTIFS(ORDERS!$C$2:$C$4995,$D4105,ORDERS!$L$2:$L$4995,"Đã chuyển khoản"))</f>
        <v/>
      </c>
      <c r="X4105" s="23">
        <f>IF(OR($D4105="",$R4105="Trùng"),"",SUMIFS(ORDERS!$J$2:$J$4995,ORDERS!$C$2:$C$4995,$D4105,ORDERS!$L$2:$L$4995,"Đã chuyển khoản"))</f>
        <v/>
      </c>
      <c r="Y4105" s="24" t="n"/>
    </row>
    <row r="4106" ht="14.25" customHeight="1" s="40">
      <c r="A4106" s="24" t="n"/>
      <c r="B4106" s="27" t="n"/>
      <c r="C4106" s="24" t="n"/>
      <c r="D4106" s="28" t="n"/>
      <c r="E4106" s="29" t="n"/>
      <c r="F4106" s="24" t="n"/>
      <c r="G4106" s="24" t="n"/>
      <c r="H4106" s="21">
        <f>IF(ISNUMBER($B4106),INT($B4106)-WEEKDAY($B4106,2)+1,"")</f>
        <v/>
      </c>
      <c r="I4106" s="24" t="n"/>
      <c r="J4106" s="22">
        <f t="array" ref="J4106">IF($D4106="","",IF($I4106="","(trống REF)",IFERROR(INDEX(MASTER_SOURCE!$B$2:$B$495,MATCH($I4106,MASTER_SOURCE!$A$2:$A$495,0)),"(REF không có trong MASTER_SOURCE)")))</f>
        <v/>
      </c>
      <c r="K4106" s="22">
        <f t="array" ref="K4106">IF($D4106="","",IFERROR(INDEX(MASTER_SOURCE!$C$2:$C$495,MATCH($I4106,MASTER_SOURCE!$A$2:$A$495,0)),""))</f>
        <v/>
      </c>
      <c r="L4106" s="22">
        <f t="array" ref="L4106">IF($D4106="","",IFERROR(INDEX(MASTER_SOURCE!$D$2:$D$495,MATCH($I4106,MASTER_SOURCE!$A$2:$A$495,0)),""))</f>
        <v/>
      </c>
      <c r="M4106" s="24" t="n"/>
      <c r="N4106" s="24" t="n"/>
      <c r="O4106" s="24" t="n"/>
      <c r="P4106" s="24" t="n"/>
      <c r="Q4106" s="22">
        <f>IF($D4106="","",IF(AND(OR(DANH_MUC!$L$5&lt;&gt;"Có",M4106="Có"),OR(DANH_MUC!$L$6&lt;&gt;"Có",N4106="Có"),OR(DANH_MUC!$L$7&lt;&gt;"Có",O4106="Có"),OR(DANH_MUC!$L$8&lt;&gt;"Có",P4106="Có")),"Có","Không"))</f>
        <v/>
      </c>
      <c r="R4106" s="22">
        <f>IF($D4106="","",IF(COUNTIF($D$2:$D4106,$D4106)&gt;1,"Trùng",""))</f>
        <v/>
      </c>
      <c r="S4106" s="22">
        <f>IF($D4106="","",IF(AND(LEN($D4106)=10,LEFT($D4106,1)="0",ISNUMBER(--$D4106)),"Có","Không"))</f>
        <v/>
      </c>
      <c r="T4106" s="22">
        <f>IF($D4106="","",IF(AND($C4106&lt;&gt;"",$Q4106="Có",$R4106="",$S4106="Có",AND($L4106&lt;&gt;"",OR($L4106&lt;&gt;"Chưa xác định",DANH_MUC!$L$9="Có"))),"Có","Không"))</f>
        <v/>
      </c>
      <c r="U4106" s="22">
        <f>IF(OR($D4106="",$T4106="Có"),"",IF($C4106="","Thiếu họ tên; ","")&amp;IF($S4106&lt;&gt;"Có","SĐT sai định dạng; ","")&amp;IF($R4106="Trùng","Trùng SĐT; ","")&amp;IF($Q4106&lt;&gt;"Có","Thiếu đồng ý bắt buộc; ","")&amp;IF($L4106="","Thiếu/sai Mã REF; ",IF(AND($L4106="Chưa xác định",DANH_MUC!$L$9&lt;&gt;"Có"),"Nguồn chưa xác định; ","")))</f>
        <v/>
      </c>
      <c r="V4106" s="22">
        <f>IF(OR($D4106="",$R4106="Trùng"),"",IF(COUNTIF(ORDERS!$C$2:$C$4995,$D4106)&gt;0,"Có","Không"))</f>
        <v/>
      </c>
      <c r="W4106" s="22">
        <f>IF(OR($D4106="",$R4106="Trùng"),"",COUNTIFS(ORDERS!$C$2:$C$4995,$D4106,ORDERS!$L$2:$L$4995,"Đã chuyển khoản"))</f>
        <v/>
      </c>
      <c r="X4106" s="23">
        <f>IF(OR($D4106="",$R4106="Trùng"),"",SUMIFS(ORDERS!$J$2:$J$4995,ORDERS!$C$2:$C$4995,$D4106,ORDERS!$L$2:$L$4995,"Đã chuyển khoản"))</f>
        <v/>
      </c>
      <c r="Y4106" s="24" t="n"/>
    </row>
    <row r="4107" ht="14.25" customHeight="1" s="40">
      <c r="A4107" s="24" t="n"/>
      <c r="B4107" s="27" t="n"/>
      <c r="C4107" s="24" t="n"/>
      <c r="D4107" s="28" t="n"/>
      <c r="E4107" s="29" t="n"/>
      <c r="F4107" s="24" t="n"/>
      <c r="G4107" s="24" t="n"/>
      <c r="H4107" s="21">
        <f>IF(ISNUMBER($B4107),INT($B4107)-WEEKDAY($B4107,2)+1,"")</f>
        <v/>
      </c>
      <c r="I4107" s="24" t="n"/>
      <c r="J4107" s="22">
        <f t="array" ref="J4107">IF($D4107="","",IF($I4107="","(trống REF)",IFERROR(INDEX(MASTER_SOURCE!$B$2:$B$495,MATCH($I4107,MASTER_SOURCE!$A$2:$A$495,0)),"(REF không có trong MASTER_SOURCE)")))</f>
        <v/>
      </c>
      <c r="K4107" s="22">
        <f t="array" ref="K4107">IF($D4107="","",IFERROR(INDEX(MASTER_SOURCE!$C$2:$C$495,MATCH($I4107,MASTER_SOURCE!$A$2:$A$495,0)),""))</f>
        <v/>
      </c>
      <c r="L4107" s="22">
        <f t="array" ref="L4107">IF($D4107="","",IFERROR(INDEX(MASTER_SOURCE!$D$2:$D$495,MATCH($I4107,MASTER_SOURCE!$A$2:$A$495,0)),""))</f>
        <v/>
      </c>
      <c r="M4107" s="24" t="n"/>
      <c r="N4107" s="24" t="n"/>
      <c r="O4107" s="24" t="n"/>
      <c r="P4107" s="24" t="n"/>
      <c r="Q4107" s="22">
        <f>IF($D4107="","",IF(AND(OR(DANH_MUC!$L$5&lt;&gt;"Có",M4107="Có"),OR(DANH_MUC!$L$6&lt;&gt;"Có",N4107="Có"),OR(DANH_MUC!$L$7&lt;&gt;"Có",O4107="Có"),OR(DANH_MUC!$L$8&lt;&gt;"Có",P4107="Có")),"Có","Không"))</f>
        <v/>
      </c>
      <c r="R4107" s="22">
        <f>IF($D4107="","",IF(COUNTIF($D$2:$D4107,$D4107)&gt;1,"Trùng",""))</f>
        <v/>
      </c>
      <c r="S4107" s="22">
        <f>IF($D4107="","",IF(AND(LEN($D4107)=10,LEFT($D4107,1)="0",ISNUMBER(--$D4107)),"Có","Không"))</f>
        <v/>
      </c>
      <c r="T4107" s="22">
        <f>IF($D4107="","",IF(AND($C4107&lt;&gt;"",$Q4107="Có",$R4107="",$S4107="Có",AND($L4107&lt;&gt;"",OR($L4107&lt;&gt;"Chưa xác định",DANH_MUC!$L$9="Có"))),"Có","Không"))</f>
        <v/>
      </c>
      <c r="U4107" s="22">
        <f>IF(OR($D4107="",$T4107="Có"),"",IF($C4107="","Thiếu họ tên; ","")&amp;IF($S4107&lt;&gt;"Có","SĐT sai định dạng; ","")&amp;IF($R4107="Trùng","Trùng SĐT; ","")&amp;IF($Q4107&lt;&gt;"Có","Thiếu đồng ý bắt buộc; ","")&amp;IF($L4107="","Thiếu/sai Mã REF; ",IF(AND($L4107="Chưa xác định",DANH_MUC!$L$9&lt;&gt;"Có"),"Nguồn chưa xác định; ","")))</f>
        <v/>
      </c>
      <c r="V4107" s="22">
        <f>IF(OR($D4107="",$R4107="Trùng"),"",IF(COUNTIF(ORDERS!$C$2:$C$4995,$D4107)&gt;0,"Có","Không"))</f>
        <v/>
      </c>
      <c r="W4107" s="22">
        <f>IF(OR($D4107="",$R4107="Trùng"),"",COUNTIFS(ORDERS!$C$2:$C$4995,$D4107,ORDERS!$L$2:$L$4995,"Đã chuyển khoản"))</f>
        <v/>
      </c>
      <c r="X4107" s="23">
        <f>IF(OR($D4107="",$R4107="Trùng"),"",SUMIFS(ORDERS!$J$2:$J$4995,ORDERS!$C$2:$C$4995,$D4107,ORDERS!$L$2:$L$4995,"Đã chuyển khoản"))</f>
        <v/>
      </c>
      <c r="Y4107" s="24" t="n"/>
    </row>
    <row r="4108" ht="14.25" customHeight="1" s="40">
      <c r="A4108" s="24" t="n"/>
      <c r="B4108" s="27" t="n"/>
      <c r="C4108" s="24" t="n"/>
      <c r="D4108" s="28" t="n"/>
      <c r="E4108" s="29" t="n"/>
      <c r="F4108" s="24" t="n"/>
      <c r="G4108" s="24" t="n"/>
      <c r="H4108" s="21">
        <f>IF(ISNUMBER($B4108),INT($B4108)-WEEKDAY($B4108,2)+1,"")</f>
        <v/>
      </c>
      <c r="I4108" s="24" t="n"/>
      <c r="J4108" s="22">
        <f t="array" ref="J4108">IF($D4108="","",IF($I4108="","(trống REF)",IFERROR(INDEX(MASTER_SOURCE!$B$2:$B$495,MATCH($I4108,MASTER_SOURCE!$A$2:$A$495,0)),"(REF không có trong MASTER_SOURCE)")))</f>
        <v/>
      </c>
      <c r="K4108" s="22">
        <f t="array" ref="K4108">IF($D4108="","",IFERROR(INDEX(MASTER_SOURCE!$C$2:$C$495,MATCH($I4108,MASTER_SOURCE!$A$2:$A$495,0)),""))</f>
        <v/>
      </c>
      <c r="L4108" s="22">
        <f t="array" ref="L4108">IF($D4108="","",IFERROR(INDEX(MASTER_SOURCE!$D$2:$D$495,MATCH($I4108,MASTER_SOURCE!$A$2:$A$495,0)),""))</f>
        <v/>
      </c>
      <c r="M4108" s="24" t="n"/>
      <c r="N4108" s="24" t="n"/>
      <c r="O4108" s="24" t="n"/>
      <c r="P4108" s="24" t="n"/>
      <c r="Q4108" s="22">
        <f>IF($D4108="","",IF(AND(OR(DANH_MUC!$L$5&lt;&gt;"Có",M4108="Có"),OR(DANH_MUC!$L$6&lt;&gt;"Có",N4108="Có"),OR(DANH_MUC!$L$7&lt;&gt;"Có",O4108="Có"),OR(DANH_MUC!$L$8&lt;&gt;"Có",P4108="Có")),"Có","Không"))</f>
        <v/>
      </c>
      <c r="R4108" s="22">
        <f>IF($D4108="","",IF(COUNTIF($D$2:$D4108,$D4108)&gt;1,"Trùng",""))</f>
        <v/>
      </c>
      <c r="S4108" s="22">
        <f>IF($D4108="","",IF(AND(LEN($D4108)=10,LEFT($D4108,1)="0",ISNUMBER(--$D4108)),"Có","Không"))</f>
        <v/>
      </c>
      <c r="T4108" s="22">
        <f>IF($D4108="","",IF(AND($C4108&lt;&gt;"",$Q4108="Có",$R4108="",$S4108="Có",AND($L4108&lt;&gt;"",OR($L4108&lt;&gt;"Chưa xác định",DANH_MUC!$L$9="Có"))),"Có","Không"))</f>
        <v/>
      </c>
      <c r="U4108" s="22">
        <f>IF(OR($D4108="",$T4108="Có"),"",IF($C4108="","Thiếu họ tên; ","")&amp;IF($S4108&lt;&gt;"Có","SĐT sai định dạng; ","")&amp;IF($R4108="Trùng","Trùng SĐT; ","")&amp;IF($Q4108&lt;&gt;"Có","Thiếu đồng ý bắt buộc; ","")&amp;IF($L4108="","Thiếu/sai Mã REF; ",IF(AND($L4108="Chưa xác định",DANH_MUC!$L$9&lt;&gt;"Có"),"Nguồn chưa xác định; ","")))</f>
        <v/>
      </c>
      <c r="V4108" s="22">
        <f>IF(OR($D4108="",$R4108="Trùng"),"",IF(COUNTIF(ORDERS!$C$2:$C$4995,$D4108)&gt;0,"Có","Không"))</f>
        <v/>
      </c>
      <c r="W4108" s="22">
        <f>IF(OR($D4108="",$R4108="Trùng"),"",COUNTIFS(ORDERS!$C$2:$C$4995,$D4108,ORDERS!$L$2:$L$4995,"Đã chuyển khoản"))</f>
        <v/>
      </c>
      <c r="X4108" s="23">
        <f>IF(OR($D4108="",$R4108="Trùng"),"",SUMIFS(ORDERS!$J$2:$J$4995,ORDERS!$C$2:$C$4995,$D4108,ORDERS!$L$2:$L$4995,"Đã chuyển khoản"))</f>
        <v/>
      </c>
      <c r="Y4108" s="24" t="n"/>
    </row>
    <row r="4109" ht="14.25" customHeight="1" s="40">
      <c r="A4109" s="24" t="n"/>
      <c r="B4109" s="27" t="n"/>
      <c r="C4109" s="24" t="n"/>
      <c r="D4109" s="28" t="n"/>
      <c r="E4109" s="29" t="n"/>
      <c r="F4109" s="24" t="n"/>
      <c r="G4109" s="24" t="n"/>
      <c r="H4109" s="21">
        <f>IF(ISNUMBER($B4109),INT($B4109)-WEEKDAY($B4109,2)+1,"")</f>
        <v/>
      </c>
      <c r="I4109" s="24" t="n"/>
      <c r="J4109" s="22">
        <f t="array" ref="J4109">IF($D4109="","",IF($I4109="","(trống REF)",IFERROR(INDEX(MASTER_SOURCE!$B$2:$B$495,MATCH($I4109,MASTER_SOURCE!$A$2:$A$495,0)),"(REF không có trong MASTER_SOURCE)")))</f>
        <v/>
      </c>
      <c r="K4109" s="22">
        <f t="array" ref="K4109">IF($D4109="","",IFERROR(INDEX(MASTER_SOURCE!$C$2:$C$495,MATCH($I4109,MASTER_SOURCE!$A$2:$A$495,0)),""))</f>
        <v/>
      </c>
      <c r="L4109" s="22">
        <f t="array" ref="L4109">IF($D4109="","",IFERROR(INDEX(MASTER_SOURCE!$D$2:$D$495,MATCH($I4109,MASTER_SOURCE!$A$2:$A$495,0)),""))</f>
        <v/>
      </c>
      <c r="M4109" s="24" t="n"/>
      <c r="N4109" s="24" t="n"/>
      <c r="O4109" s="24" t="n"/>
      <c r="P4109" s="24" t="n"/>
      <c r="Q4109" s="22">
        <f>IF($D4109="","",IF(AND(OR(DANH_MUC!$L$5&lt;&gt;"Có",M4109="Có"),OR(DANH_MUC!$L$6&lt;&gt;"Có",N4109="Có"),OR(DANH_MUC!$L$7&lt;&gt;"Có",O4109="Có"),OR(DANH_MUC!$L$8&lt;&gt;"Có",P4109="Có")),"Có","Không"))</f>
        <v/>
      </c>
      <c r="R4109" s="22">
        <f>IF($D4109="","",IF(COUNTIF($D$2:$D4109,$D4109)&gt;1,"Trùng",""))</f>
        <v/>
      </c>
      <c r="S4109" s="22">
        <f>IF($D4109="","",IF(AND(LEN($D4109)=10,LEFT($D4109,1)="0",ISNUMBER(--$D4109)),"Có","Không"))</f>
        <v/>
      </c>
      <c r="T4109" s="22">
        <f>IF($D4109="","",IF(AND($C4109&lt;&gt;"",$Q4109="Có",$R4109="",$S4109="Có",AND($L4109&lt;&gt;"",OR($L4109&lt;&gt;"Chưa xác định",DANH_MUC!$L$9="Có"))),"Có","Không"))</f>
        <v/>
      </c>
      <c r="U4109" s="22">
        <f>IF(OR($D4109="",$T4109="Có"),"",IF($C4109="","Thiếu họ tên; ","")&amp;IF($S4109&lt;&gt;"Có","SĐT sai định dạng; ","")&amp;IF($R4109="Trùng","Trùng SĐT; ","")&amp;IF($Q4109&lt;&gt;"Có","Thiếu đồng ý bắt buộc; ","")&amp;IF($L4109="","Thiếu/sai Mã REF; ",IF(AND($L4109="Chưa xác định",DANH_MUC!$L$9&lt;&gt;"Có"),"Nguồn chưa xác định; ","")))</f>
        <v/>
      </c>
      <c r="V4109" s="22">
        <f>IF(OR($D4109="",$R4109="Trùng"),"",IF(COUNTIF(ORDERS!$C$2:$C$4995,$D4109)&gt;0,"Có","Không"))</f>
        <v/>
      </c>
      <c r="W4109" s="22">
        <f>IF(OR($D4109="",$R4109="Trùng"),"",COUNTIFS(ORDERS!$C$2:$C$4995,$D4109,ORDERS!$L$2:$L$4995,"Đã chuyển khoản"))</f>
        <v/>
      </c>
      <c r="X4109" s="23">
        <f>IF(OR($D4109="",$R4109="Trùng"),"",SUMIFS(ORDERS!$J$2:$J$4995,ORDERS!$C$2:$C$4995,$D4109,ORDERS!$L$2:$L$4995,"Đã chuyển khoản"))</f>
        <v/>
      </c>
      <c r="Y4109" s="24" t="n"/>
    </row>
    <row r="4110" ht="14.25" customHeight="1" s="40">
      <c r="A4110" s="24" t="n"/>
      <c r="B4110" s="27" t="n"/>
      <c r="C4110" s="24" t="n"/>
      <c r="D4110" s="28" t="n"/>
      <c r="E4110" s="29" t="n"/>
      <c r="F4110" s="24" t="n"/>
      <c r="G4110" s="24" t="n"/>
      <c r="H4110" s="21">
        <f>IF(ISNUMBER($B4110),INT($B4110)-WEEKDAY($B4110,2)+1,"")</f>
        <v/>
      </c>
      <c r="I4110" s="24" t="n"/>
      <c r="J4110" s="22">
        <f t="array" ref="J4110">IF($D4110="","",IF($I4110="","(trống REF)",IFERROR(INDEX(MASTER_SOURCE!$B$2:$B$495,MATCH($I4110,MASTER_SOURCE!$A$2:$A$495,0)),"(REF không có trong MASTER_SOURCE)")))</f>
        <v/>
      </c>
      <c r="K4110" s="22">
        <f t="array" ref="K4110">IF($D4110="","",IFERROR(INDEX(MASTER_SOURCE!$C$2:$C$495,MATCH($I4110,MASTER_SOURCE!$A$2:$A$495,0)),""))</f>
        <v/>
      </c>
      <c r="L4110" s="22">
        <f t="array" ref="L4110">IF($D4110="","",IFERROR(INDEX(MASTER_SOURCE!$D$2:$D$495,MATCH($I4110,MASTER_SOURCE!$A$2:$A$495,0)),""))</f>
        <v/>
      </c>
      <c r="M4110" s="24" t="n"/>
      <c r="N4110" s="24" t="n"/>
      <c r="O4110" s="24" t="n"/>
      <c r="P4110" s="24" t="n"/>
      <c r="Q4110" s="22">
        <f>IF($D4110="","",IF(AND(OR(DANH_MUC!$L$5&lt;&gt;"Có",M4110="Có"),OR(DANH_MUC!$L$6&lt;&gt;"Có",N4110="Có"),OR(DANH_MUC!$L$7&lt;&gt;"Có",O4110="Có"),OR(DANH_MUC!$L$8&lt;&gt;"Có",P4110="Có")),"Có","Không"))</f>
        <v/>
      </c>
      <c r="R4110" s="22">
        <f>IF($D4110="","",IF(COUNTIF($D$2:$D4110,$D4110)&gt;1,"Trùng",""))</f>
        <v/>
      </c>
      <c r="S4110" s="22">
        <f>IF($D4110="","",IF(AND(LEN($D4110)=10,LEFT($D4110,1)="0",ISNUMBER(--$D4110)),"Có","Không"))</f>
        <v/>
      </c>
      <c r="T4110" s="22">
        <f>IF($D4110="","",IF(AND($C4110&lt;&gt;"",$Q4110="Có",$R4110="",$S4110="Có",AND($L4110&lt;&gt;"",OR($L4110&lt;&gt;"Chưa xác định",DANH_MUC!$L$9="Có"))),"Có","Không"))</f>
        <v/>
      </c>
      <c r="U4110" s="22">
        <f>IF(OR($D4110="",$T4110="Có"),"",IF($C4110="","Thiếu họ tên; ","")&amp;IF($S4110&lt;&gt;"Có","SĐT sai định dạng; ","")&amp;IF($R4110="Trùng","Trùng SĐT; ","")&amp;IF($Q4110&lt;&gt;"Có","Thiếu đồng ý bắt buộc; ","")&amp;IF($L4110="","Thiếu/sai Mã REF; ",IF(AND($L4110="Chưa xác định",DANH_MUC!$L$9&lt;&gt;"Có"),"Nguồn chưa xác định; ","")))</f>
        <v/>
      </c>
      <c r="V4110" s="22">
        <f>IF(OR($D4110="",$R4110="Trùng"),"",IF(COUNTIF(ORDERS!$C$2:$C$4995,$D4110)&gt;0,"Có","Không"))</f>
        <v/>
      </c>
      <c r="W4110" s="22">
        <f>IF(OR($D4110="",$R4110="Trùng"),"",COUNTIFS(ORDERS!$C$2:$C$4995,$D4110,ORDERS!$L$2:$L$4995,"Đã chuyển khoản"))</f>
        <v/>
      </c>
      <c r="X4110" s="23">
        <f>IF(OR($D4110="",$R4110="Trùng"),"",SUMIFS(ORDERS!$J$2:$J$4995,ORDERS!$C$2:$C$4995,$D4110,ORDERS!$L$2:$L$4995,"Đã chuyển khoản"))</f>
        <v/>
      </c>
      <c r="Y4110" s="24" t="n"/>
    </row>
    <row r="4111" ht="14.25" customHeight="1" s="40">
      <c r="A4111" s="24" t="n"/>
      <c r="B4111" s="27" t="n"/>
      <c r="C4111" s="24" t="n"/>
      <c r="D4111" s="28" t="n"/>
      <c r="E4111" s="29" t="n"/>
      <c r="F4111" s="24" t="n"/>
      <c r="G4111" s="24" t="n"/>
      <c r="H4111" s="21">
        <f>IF(ISNUMBER($B4111),INT($B4111)-WEEKDAY($B4111,2)+1,"")</f>
        <v/>
      </c>
      <c r="I4111" s="24" t="n"/>
      <c r="J4111" s="22">
        <f t="array" ref="J4111">IF($D4111="","",IF($I4111="","(trống REF)",IFERROR(INDEX(MASTER_SOURCE!$B$2:$B$495,MATCH($I4111,MASTER_SOURCE!$A$2:$A$495,0)),"(REF không có trong MASTER_SOURCE)")))</f>
        <v/>
      </c>
      <c r="K4111" s="22">
        <f t="array" ref="K4111">IF($D4111="","",IFERROR(INDEX(MASTER_SOURCE!$C$2:$C$495,MATCH($I4111,MASTER_SOURCE!$A$2:$A$495,0)),""))</f>
        <v/>
      </c>
      <c r="L4111" s="22">
        <f t="array" ref="L4111">IF($D4111="","",IFERROR(INDEX(MASTER_SOURCE!$D$2:$D$495,MATCH($I4111,MASTER_SOURCE!$A$2:$A$495,0)),""))</f>
        <v/>
      </c>
      <c r="M4111" s="24" t="n"/>
      <c r="N4111" s="24" t="n"/>
      <c r="O4111" s="24" t="n"/>
      <c r="P4111" s="24" t="n"/>
      <c r="Q4111" s="22">
        <f>IF($D4111="","",IF(AND(OR(DANH_MUC!$L$5&lt;&gt;"Có",M4111="Có"),OR(DANH_MUC!$L$6&lt;&gt;"Có",N4111="Có"),OR(DANH_MUC!$L$7&lt;&gt;"Có",O4111="Có"),OR(DANH_MUC!$L$8&lt;&gt;"Có",P4111="Có")),"Có","Không"))</f>
        <v/>
      </c>
      <c r="R4111" s="22">
        <f>IF($D4111="","",IF(COUNTIF($D$2:$D4111,$D4111)&gt;1,"Trùng",""))</f>
        <v/>
      </c>
      <c r="S4111" s="22">
        <f>IF($D4111="","",IF(AND(LEN($D4111)=10,LEFT($D4111,1)="0",ISNUMBER(--$D4111)),"Có","Không"))</f>
        <v/>
      </c>
      <c r="T4111" s="22">
        <f>IF($D4111="","",IF(AND($C4111&lt;&gt;"",$Q4111="Có",$R4111="",$S4111="Có",AND($L4111&lt;&gt;"",OR($L4111&lt;&gt;"Chưa xác định",DANH_MUC!$L$9="Có"))),"Có","Không"))</f>
        <v/>
      </c>
      <c r="U4111" s="22">
        <f>IF(OR($D4111="",$T4111="Có"),"",IF($C4111="","Thiếu họ tên; ","")&amp;IF($S4111&lt;&gt;"Có","SĐT sai định dạng; ","")&amp;IF($R4111="Trùng","Trùng SĐT; ","")&amp;IF($Q4111&lt;&gt;"Có","Thiếu đồng ý bắt buộc; ","")&amp;IF($L4111="","Thiếu/sai Mã REF; ",IF(AND($L4111="Chưa xác định",DANH_MUC!$L$9&lt;&gt;"Có"),"Nguồn chưa xác định; ","")))</f>
        <v/>
      </c>
      <c r="V4111" s="22">
        <f>IF(OR($D4111="",$R4111="Trùng"),"",IF(COUNTIF(ORDERS!$C$2:$C$4995,$D4111)&gt;0,"Có","Không"))</f>
        <v/>
      </c>
      <c r="W4111" s="22">
        <f>IF(OR($D4111="",$R4111="Trùng"),"",COUNTIFS(ORDERS!$C$2:$C$4995,$D4111,ORDERS!$L$2:$L$4995,"Đã chuyển khoản"))</f>
        <v/>
      </c>
      <c r="X4111" s="23">
        <f>IF(OR($D4111="",$R4111="Trùng"),"",SUMIFS(ORDERS!$J$2:$J$4995,ORDERS!$C$2:$C$4995,$D4111,ORDERS!$L$2:$L$4995,"Đã chuyển khoản"))</f>
        <v/>
      </c>
      <c r="Y4111" s="24" t="n"/>
    </row>
    <row r="4112" ht="14.25" customHeight="1" s="40">
      <c r="A4112" s="24" t="n"/>
      <c r="B4112" s="27" t="n"/>
      <c r="C4112" s="24" t="n"/>
      <c r="D4112" s="28" t="n"/>
      <c r="E4112" s="29" t="n"/>
      <c r="F4112" s="24" t="n"/>
      <c r="G4112" s="24" t="n"/>
      <c r="H4112" s="21">
        <f>IF(ISNUMBER($B4112),INT($B4112)-WEEKDAY($B4112,2)+1,"")</f>
        <v/>
      </c>
      <c r="I4112" s="24" t="n"/>
      <c r="J4112" s="22">
        <f t="array" ref="J4112">IF($D4112="","",IF($I4112="","(trống REF)",IFERROR(INDEX(MASTER_SOURCE!$B$2:$B$495,MATCH($I4112,MASTER_SOURCE!$A$2:$A$495,0)),"(REF không có trong MASTER_SOURCE)")))</f>
        <v/>
      </c>
      <c r="K4112" s="22">
        <f t="array" ref="K4112">IF($D4112="","",IFERROR(INDEX(MASTER_SOURCE!$C$2:$C$495,MATCH($I4112,MASTER_SOURCE!$A$2:$A$495,0)),""))</f>
        <v/>
      </c>
      <c r="L4112" s="22">
        <f t="array" ref="L4112">IF($D4112="","",IFERROR(INDEX(MASTER_SOURCE!$D$2:$D$495,MATCH($I4112,MASTER_SOURCE!$A$2:$A$495,0)),""))</f>
        <v/>
      </c>
      <c r="M4112" s="24" t="n"/>
      <c r="N4112" s="24" t="n"/>
      <c r="O4112" s="24" t="n"/>
      <c r="P4112" s="24" t="n"/>
      <c r="Q4112" s="22">
        <f>IF($D4112="","",IF(AND(OR(DANH_MUC!$L$5&lt;&gt;"Có",M4112="Có"),OR(DANH_MUC!$L$6&lt;&gt;"Có",N4112="Có"),OR(DANH_MUC!$L$7&lt;&gt;"Có",O4112="Có"),OR(DANH_MUC!$L$8&lt;&gt;"Có",P4112="Có")),"Có","Không"))</f>
        <v/>
      </c>
      <c r="R4112" s="22">
        <f>IF($D4112="","",IF(COUNTIF($D$2:$D4112,$D4112)&gt;1,"Trùng",""))</f>
        <v/>
      </c>
      <c r="S4112" s="22">
        <f>IF($D4112="","",IF(AND(LEN($D4112)=10,LEFT($D4112,1)="0",ISNUMBER(--$D4112)),"Có","Không"))</f>
        <v/>
      </c>
      <c r="T4112" s="22">
        <f>IF($D4112="","",IF(AND($C4112&lt;&gt;"",$Q4112="Có",$R4112="",$S4112="Có",AND($L4112&lt;&gt;"",OR($L4112&lt;&gt;"Chưa xác định",DANH_MUC!$L$9="Có"))),"Có","Không"))</f>
        <v/>
      </c>
      <c r="U4112" s="22">
        <f>IF(OR($D4112="",$T4112="Có"),"",IF($C4112="","Thiếu họ tên; ","")&amp;IF($S4112&lt;&gt;"Có","SĐT sai định dạng; ","")&amp;IF($R4112="Trùng","Trùng SĐT; ","")&amp;IF($Q4112&lt;&gt;"Có","Thiếu đồng ý bắt buộc; ","")&amp;IF($L4112="","Thiếu/sai Mã REF; ",IF(AND($L4112="Chưa xác định",DANH_MUC!$L$9&lt;&gt;"Có"),"Nguồn chưa xác định; ","")))</f>
        <v/>
      </c>
      <c r="V4112" s="22">
        <f>IF(OR($D4112="",$R4112="Trùng"),"",IF(COUNTIF(ORDERS!$C$2:$C$4995,$D4112)&gt;0,"Có","Không"))</f>
        <v/>
      </c>
      <c r="W4112" s="22">
        <f>IF(OR($D4112="",$R4112="Trùng"),"",COUNTIFS(ORDERS!$C$2:$C$4995,$D4112,ORDERS!$L$2:$L$4995,"Đã chuyển khoản"))</f>
        <v/>
      </c>
      <c r="X4112" s="23">
        <f>IF(OR($D4112="",$R4112="Trùng"),"",SUMIFS(ORDERS!$J$2:$J$4995,ORDERS!$C$2:$C$4995,$D4112,ORDERS!$L$2:$L$4995,"Đã chuyển khoản"))</f>
        <v/>
      </c>
      <c r="Y4112" s="24" t="n"/>
    </row>
    <row r="4113" ht="14.25" customHeight="1" s="40">
      <c r="A4113" s="24" t="n"/>
      <c r="B4113" s="27" t="n"/>
      <c r="C4113" s="24" t="n"/>
      <c r="D4113" s="28" t="n"/>
      <c r="E4113" s="29" t="n"/>
      <c r="F4113" s="24" t="n"/>
      <c r="G4113" s="24" t="n"/>
      <c r="H4113" s="21">
        <f>IF(ISNUMBER($B4113),INT($B4113)-WEEKDAY($B4113,2)+1,"")</f>
        <v/>
      </c>
      <c r="I4113" s="24" t="n"/>
      <c r="J4113" s="22">
        <f t="array" ref="J4113">IF($D4113="","",IF($I4113="","(trống REF)",IFERROR(INDEX(MASTER_SOURCE!$B$2:$B$495,MATCH($I4113,MASTER_SOURCE!$A$2:$A$495,0)),"(REF không có trong MASTER_SOURCE)")))</f>
        <v/>
      </c>
      <c r="K4113" s="22">
        <f t="array" ref="K4113">IF($D4113="","",IFERROR(INDEX(MASTER_SOURCE!$C$2:$C$495,MATCH($I4113,MASTER_SOURCE!$A$2:$A$495,0)),""))</f>
        <v/>
      </c>
      <c r="L4113" s="22">
        <f t="array" ref="L4113">IF($D4113="","",IFERROR(INDEX(MASTER_SOURCE!$D$2:$D$495,MATCH($I4113,MASTER_SOURCE!$A$2:$A$495,0)),""))</f>
        <v/>
      </c>
      <c r="M4113" s="24" t="n"/>
      <c r="N4113" s="24" t="n"/>
      <c r="O4113" s="24" t="n"/>
      <c r="P4113" s="24" t="n"/>
      <c r="Q4113" s="22">
        <f>IF($D4113="","",IF(AND(OR(DANH_MUC!$L$5&lt;&gt;"Có",M4113="Có"),OR(DANH_MUC!$L$6&lt;&gt;"Có",N4113="Có"),OR(DANH_MUC!$L$7&lt;&gt;"Có",O4113="Có"),OR(DANH_MUC!$L$8&lt;&gt;"Có",P4113="Có")),"Có","Không"))</f>
        <v/>
      </c>
      <c r="R4113" s="22">
        <f>IF($D4113="","",IF(COUNTIF($D$2:$D4113,$D4113)&gt;1,"Trùng",""))</f>
        <v/>
      </c>
      <c r="S4113" s="22">
        <f>IF($D4113="","",IF(AND(LEN($D4113)=10,LEFT($D4113,1)="0",ISNUMBER(--$D4113)),"Có","Không"))</f>
        <v/>
      </c>
      <c r="T4113" s="22">
        <f>IF($D4113="","",IF(AND($C4113&lt;&gt;"",$Q4113="Có",$R4113="",$S4113="Có",AND($L4113&lt;&gt;"",OR($L4113&lt;&gt;"Chưa xác định",DANH_MUC!$L$9="Có"))),"Có","Không"))</f>
        <v/>
      </c>
      <c r="U4113" s="22">
        <f>IF(OR($D4113="",$T4113="Có"),"",IF($C4113="","Thiếu họ tên; ","")&amp;IF($S4113&lt;&gt;"Có","SĐT sai định dạng; ","")&amp;IF($R4113="Trùng","Trùng SĐT; ","")&amp;IF($Q4113&lt;&gt;"Có","Thiếu đồng ý bắt buộc; ","")&amp;IF($L4113="","Thiếu/sai Mã REF; ",IF(AND($L4113="Chưa xác định",DANH_MUC!$L$9&lt;&gt;"Có"),"Nguồn chưa xác định; ","")))</f>
        <v/>
      </c>
      <c r="V4113" s="22">
        <f>IF(OR($D4113="",$R4113="Trùng"),"",IF(COUNTIF(ORDERS!$C$2:$C$4995,$D4113)&gt;0,"Có","Không"))</f>
        <v/>
      </c>
      <c r="W4113" s="22">
        <f>IF(OR($D4113="",$R4113="Trùng"),"",COUNTIFS(ORDERS!$C$2:$C$4995,$D4113,ORDERS!$L$2:$L$4995,"Đã chuyển khoản"))</f>
        <v/>
      </c>
      <c r="X4113" s="23">
        <f>IF(OR($D4113="",$R4113="Trùng"),"",SUMIFS(ORDERS!$J$2:$J$4995,ORDERS!$C$2:$C$4995,$D4113,ORDERS!$L$2:$L$4995,"Đã chuyển khoản"))</f>
        <v/>
      </c>
      <c r="Y4113" s="24" t="n"/>
    </row>
    <row r="4114" ht="14.25" customHeight="1" s="40">
      <c r="A4114" s="24" t="n"/>
      <c r="B4114" s="27" t="n"/>
      <c r="C4114" s="24" t="n"/>
      <c r="D4114" s="28" t="n"/>
      <c r="E4114" s="29" t="n"/>
      <c r="F4114" s="24" t="n"/>
      <c r="G4114" s="24" t="n"/>
      <c r="H4114" s="21">
        <f>IF(ISNUMBER($B4114),INT($B4114)-WEEKDAY($B4114,2)+1,"")</f>
        <v/>
      </c>
      <c r="I4114" s="24" t="n"/>
      <c r="J4114" s="22">
        <f t="array" ref="J4114">IF($D4114="","",IF($I4114="","(trống REF)",IFERROR(INDEX(MASTER_SOURCE!$B$2:$B$495,MATCH($I4114,MASTER_SOURCE!$A$2:$A$495,0)),"(REF không có trong MASTER_SOURCE)")))</f>
        <v/>
      </c>
      <c r="K4114" s="22">
        <f t="array" ref="K4114">IF($D4114="","",IFERROR(INDEX(MASTER_SOURCE!$C$2:$C$495,MATCH($I4114,MASTER_SOURCE!$A$2:$A$495,0)),""))</f>
        <v/>
      </c>
      <c r="L4114" s="22">
        <f t="array" ref="L4114">IF($D4114="","",IFERROR(INDEX(MASTER_SOURCE!$D$2:$D$495,MATCH($I4114,MASTER_SOURCE!$A$2:$A$495,0)),""))</f>
        <v/>
      </c>
      <c r="M4114" s="24" t="n"/>
      <c r="N4114" s="24" t="n"/>
      <c r="O4114" s="24" t="n"/>
      <c r="P4114" s="24" t="n"/>
      <c r="Q4114" s="22">
        <f>IF($D4114="","",IF(AND(OR(DANH_MUC!$L$5&lt;&gt;"Có",M4114="Có"),OR(DANH_MUC!$L$6&lt;&gt;"Có",N4114="Có"),OR(DANH_MUC!$L$7&lt;&gt;"Có",O4114="Có"),OR(DANH_MUC!$L$8&lt;&gt;"Có",P4114="Có")),"Có","Không"))</f>
        <v/>
      </c>
      <c r="R4114" s="22">
        <f>IF($D4114="","",IF(COUNTIF($D$2:$D4114,$D4114)&gt;1,"Trùng",""))</f>
        <v/>
      </c>
      <c r="S4114" s="22">
        <f>IF($D4114="","",IF(AND(LEN($D4114)=10,LEFT($D4114,1)="0",ISNUMBER(--$D4114)),"Có","Không"))</f>
        <v/>
      </c>
      <c r="T4114" s="22">
        <f>IF($D4114="","",IF(AND($C4114&lt;&gt;"",$Q4114="Có",$R4114="",$S4114="Có",AND($L4114&lt;&gt;"",OR($L4114&lt;&gt;"Chưa xác định",DANH_MUC!$L$9="Có"))),"Có","Không"))</f>
        <v/>
      </c>
      <c r="U4114" s="22">
        <f>IF(OR($D4114="",$T4114="Có"),"",IF($C4114="","Thiếu họ tên; ","")&amp;IF($S4114&lt;&gt;"Có","SĐT sai định dạng; ","")&amp;IF($R4114="Trùng","Trùng SĐT; ","")&amp;IF($Q4114&lt;&gt;"Có","Thiếu đồng ý bắt buộc; ","")&amp;IF($L4114="","Thiếu/sai Mã REF; ",IF(AND($L4114="Chưa xác định",DANH_MUC!$L$9&lt;&gt;"Có"),"Nguồn chưa xác định; ","")))</f>
        <v/>
      </c>
      <c r="V4114" s="22">
        <f>IF(OR($D4114="",$R4114="Trùng"),"",IF(COUNTIF(ORDERS!$C$2:$C$4995,$D4114)&gt;0,"Có","Không"))</f>
        <v/>
      </c>
      <c r="W4114" s="22">
        <f>IF(OR($D4114="",$R4114="Trùng"),"",COUNTIFS(ORDERS!$C$2:$C$4995,$D4114,ORDERS!$L$2:$L$4995,"Đã chuyển khoản"))</f>
        <v/>
      </c>
      <c r="X4114" s="23">
        <f>IF(OR($D4114="",$R4114="Trùng"),"",SUMIFS(ORDERS!$J$2:$J$4995,ORDERS!$C$2:$C$4995,$D4114,ORDERS!$L$2:$L$4995,"Đã chuyển khoản"))</f>
        <v/>
      </c>
      <c r="Y4114" s="24" t="n"/>
    </row>
    <row r="4115" ht="14.25" customHeight="1" s="40">
      <c r="A4115" s="24" t="n"/>
      <c r="B4115" s="27" t="n"/>
      <c r="C4115" s="24" t="n"/>
      <c r="D4115" s="28" t="n"/>
      <c r="E4115" s="29" t="n"/>
      <c r="F4115" s="24" t="n"/>
      <c r="G4115" s="24" t="n"/>
      <c r="H4115" s="21">
        <f>IF(ISNUMBER($B4115),INT($B4115)-WEEKDAY($B4115,2)+1,"")</f>
        <v/>
      </c>
      <c r="I4115" s="24" t="n"/>
      <c r="J4115" s="22">
        <f t="array" ref="J4115">IF($D4115="","",IF($I4115="","(trống REF)",IFERROR(INDEX(MASTER_SOURCE!$B$2:$B$495,MATCH($I4115,MASTER_SOURCE!$A$2:$A$495,0)),"(REF không có trong MASTER_SOURCE)")))</f>
        <v/>
      </c>
      <c r="K4115" s="22">
        <f t="array" ref="K4115">IF($D4115="","",IFERROR(INDEX(MASTER_SOURCE!$C$2:$C$495,MATCH($I4115,MASTER_SOURCE!$A$2:$A$495,0)),""))</f>
        <v/>
      </c>
      <c r="L4115" s="22">
        <f t="array" ref="L4115">IF($D4115="","",IFERROR(INDEX(MASTER_SOURCE!$D$2:$D$495,MATCH($I4115,MASTER_SOURCE!$A$2:$A$495,0)),""))</f>
        <v/>
      </c>
      <c r="M4115" s="24" t="n"/>
      <c r="N4115" s="24" t="n"/>
      <c r="O4115" s="24" t="n"/>
      <c r="P4115" s="24" t="n"/>
      <c r="Q4115" s="22">
        <f>IF($D4115="","",IF(AND(OR(DANH_MUC!$L$5&lt;&gt;"Có",M4115="Có"),OR(DANH_MUC!$L$6&lt;&gt;"Có",N4115="Có"),OR(DANH_MUC!$L$7&lt;&gt;"Có",O4115="Có"),OR(DANH_MUC!$L$8&lt;&gt;"Có",P4115="Có")),"Có","Không"))</f>
        <v/>
      </c>
      <c r="R4115" s="22">
        <f>IF($D4115="","",IF(COUNTIF($D$2:$D4115,$D4115)&gt;1,"Trùng",""))</f>
        <v/>
      </c>
      <c r="S4115" s="22">
        <f>IF($D4115="","",IF(AND(LEN($D4115)=10,LEFT($D4115,1)="0",ISNUMBER(--$D4115)),"Có","Không"))</f>
        <v/>
      </c>
      <c r="T4115" s="22">
        <f>IF($D4115="","",IF(AND($C4115&lt;&gt;"",$Q4115="Có",$R4115="",$S4115="Có",AND($L4115&lt;&gt;"",OR($L4115&lt;&gt;"Chưa xác định",DANH_MUC!$L$9="Có"))),"Có","Không"))</f>
        <v/>
      </c>
      <c r="U4115" s="22">
        <f>IF(OR($D4115="",$T4115="Có"),"",IF($C4115="","Thiếu họ tên; ","")&amp;IF($S4115&lt;&gt;"Có","SĐT sai định dạng; ","")&amp;IF($R4115="Trùng","Trùng SĐT; ","")&amp;IF($Q4115&lt;&gt;"Có","Thiếu đồng ý bắt buộc; ","")&amp;IF($L4115="","Thiếu/sai Mã REF; ",IF(AND($L4115="Chưa xác định",DANH_MUC!$L$9&lt;&gt;"Có"),"Nguồn chưa xác định; ","")))</f>
        <v/>
      </c>
      <c r="V4115" s="22">
        <f>IF(OR($D4115="",$R4115="Trùng"),"",IF(COUNTIF(ORDERS!$C$2:$C$4995,$D4115)&gt;0,"Có","Không"))</f>
        <v/>
      </c>
      <c r="W4115" s="22">
        <f>IF(OR($D4115="",$R4115="Trùng"),"",COUNTIFS(ORDERS!$C$2:$C$4995,$D4115,ORDERS!$L$2:$L$4995,"Đã chuyển khoản"))</f>
        <v/>
      </c>
      <c r="X4115" s="23">
        <f>IF(OR($D4115="",$R4115="Trùng"),"",SUMIFS(ORDERS!$J$2:$J$4995,ORDERS!$C$2:$C$4995,$D4115,ORDERS!$L$2:$L$4995,"Đã chuyển khoản"))</f>
        <v/>
      </c>
      <c r="Y4115" s="24" t="n"/>
    </row>
    <row r="4116" ht="14.25" customHeight="1" s="40">
      <c r="A4116" s="24" t="n"/>
      <c r="B4116" s="27" t="n"/>
      <c r="C4116" s="24" t="n"/>
      <c r="D4116" s="28" t="n"/>
      <c r="E4116" s="29" t="n"/>
      <c r="F4116" s="24" t="n"/>
      <c r="G4116" s="24" t="n"/>
      <c r="H4116" s="21">
        <f>IF(ISNUMBER($B4116),INT($B4116)-WEEKDAY($B4116,2)+1,"")</f>
        <v/>
      </c>
      <c r="I4116" s="24" t="n"/>
      <c r="J4116" s="22">
        <f t="array" ref="J4116">IF($D4116="","",IF($I4116="","(trống REF)",IFERROR(INDEX(MASTER_SOURCE!$B$2:$B$495,MATCH($I4116,MASTER_SOURCE!$A$2:$A$495,0)),"(REF không có trong MASTER_SOURCE)")))</f>
        <v/>
      </c>
      <c r="K4116" s="22">
        <f t="array" ref="K4116">IF($D4116="","",IFERROR(INDEX(MASTER_SOURCE!$C$2:$C$495,MATCH($I4116,MASTER_SOURCE!$A$2:$A$495,0)),""))</f>
        <v/>
      </c>
      <c r="L4116" s="22">
        <f t="array" ref="L4116">IF($D4116="","",IFERROR(INDEX(MASTER_SOURCE!$D$2:$D$495,MATCH($I4116,MASTER_SOURCE!$A$2:$A$495,0)),""))</f>
        <v/>
      </c>
      <c r="M4116" s="24" t="n"/>
      <c r="N4116" s="24" t="n"/>
      <c r="O4116" s="24" t="n"/>
      <c r="P4116" s="24" t="n"/>
      <c r="Q4116" s="22">
        <f>IF($D4116="","",IF(AND(OR(DANH_MUC!$L$5&lt;&gt;"Có",M4116="Có"),OR(DANH_MUC!$L$6&lt;&gt;"Có",N4116="Có"),OR(DANH_MUC!$L$7&lt;&gt;"Có",O4116="Có"),OR(DANH_MUC!$L$8&lt;&gt;"Có",P4116="Có")),"Có","Không"))</f>
        <v/>
      </c>
      <c r="R4116" s="22">
        <f>IF($D4116="","",IF(COUNTIF($D$2:$D4116,$D4116)&gt;1,"Trùng",""))</f>
        <v/>
      </c>
      <c r="S4116" s="22">
        <f>IF($D4116="","",IF(AND(LEN($D4116)=10,LEFT($D4116,1)="0",ISNUMBER(--$D4116)),"Có","Không"))</f>
        <v/>
      </c>
      <c r="T4116" s="22">
        <f>IF($D4116="","",IF(AND($C4116&lt;&gt;"",$Q4116="Có",$R4116="",$S4116="Có",AND($L4116&lt;&gt;"",OR($L4116&lt;&gt;"Chưa xác định",DANH_MUC!$L$9="Có"))),"Có","Không"))</f>
        <v/>
      </c>
      <c r="U4116" s="22">
        <f>IF(OR($D4116="",$T4116="Có"),"",IF($C4116="","Thiếu họ tên; ","")&amp;IF($S4116&lt;&gt;"Có","SĐT sai định dạng; ","")&amp;IF($R4116="Trùng","Trùng SĐT; ","")&amp;IF($Q4116&lt;&gt;"Có","Thiếu đồng ý bắt buộc; ","")&amp;IF($L4116="","Thiếu/sai Mã REF; ",IF(AND($L4116="Chưa xác định",DANH_MUC!$L$9&lt;&gt;"Có"),"Nguồn chưa xác định; ","")))</f>
        <v/>
      </c>
      <c r="V4116" s="22">
        <f>IF(OR($D4116="",$R4116="Trùng"),"",IF(COUNTIF(ORDERS!$C$2:$C$4995,$D4116)&gt;0,"Có","Không"))</f>
        <v/>
      </c>
      <c r="W4116" s="22">
        <f>IF(OR($D4116="",$R4116="Trùng"),"",COUNTIFS(ORDERS!$C$2:$C$4995,$D4116,ORDERS!$L$2:$L$4995,"Đã chuyển khoản"))</f>
        <v/>
      </c>
      <c r="X4116" s="23">
        <f>IF(OR($D4116="",$R4116="Trùng"),"",SUMIFS(ORDERS!$J$2:$J$4995,ORDERS!$C$2:$C$4995,$D4116,ORDERS!$L$2:$L$4995,"Đã chuyển khoản"))</f>
        <v/>
      </c>
      <c r="Y4116" s="24" t="n"/>
    </row>
    <row r="4117" ht="14.25" customHeight="1" s="40">
      <c r="A4117" s="24" t="n"/>
      <c r="B4117" s="27" t="n"/>
      <c r="C4117" s="24" t="n"/>
      <c r="D4117" s="28" t="n"/>
      <c r="E4117" s="29" t="n"/>
      <c r="F4117" s="24" t="n"/>
      <c r="G4117" s="24" t="n"/>
      <c r="H4117" s="21">
        <f>IF(ISNUMBER($B4117),INT($B4117)-WEEKDAY($B4117,2)+1,"")</f>
        <v/>
      </c>
      <c r="I4117" s="24" t="n"/>
      <c r="J4117" s="22">
        <f t="array" ref="J4117">IF($D4117="","",IF($I4117="","(trống REF)",IFERROR(INDEX(MASTER_SOURCE!$B$2:$B$495,MATCH($I4117,MASTER_SOURCE!$A$2:$A$495,0)),"(REF không có trong MASTER_SOURCE)")))</f>
        <v/>
      </c>
      <c r="K4117" s="22">
        <f t="array" ref="K4117">IF($D4117="","",IFERROR(INDEX(MASTER_SOURCE!$C$2:$C$495,MATCH($I4117,MASTER_SOURCE!$A$2:$A$495,0)),""))</f>
        <v/>
      </c>
      <c r="L4117" s="22">
        <f t="array" ref="L4117">IF($D4117="","",IFERROR(INDEX(MASTER_SOURCE!$D$2:$D$495,MATCH($I4117,MASTER_SOURCE!$A$2:$A$495,0)),""))</f>
        <v/>
      </c>
      <c r="M4117" s="24" t="n"/>
      <c r="N4117" s="24" t="n"/>
      <c r="O4117" s="24" t="n"/>
      <c r="P4117" s="24" t="n"/>
      <c r="Q4117" s="22">
        <f>IF($D4117="","",IF(AND(OR(DANH_MUC!$L$5&lt;&gt;"Có",M4117="Có"),OR(DANH_MUC!$L$6&lt;&gt;"Có",N4117="Có"),OR(DANH_MUC!$L$7&lt;&gt;"Có",O4117="Có"),OR(DANH_MUC!$L$8&lt;&gt;"Có",P4117="Có")),"Có","Không"))</f>
        <v/>
      </c>
      <c r="R4117" s="22">
        <f>IF($D4117="","",IF(COUNTIF($D$2:$D4117,$D4117)&gt;1,"Trùng",""))</f>
        <v/>
      </c>
      <c r="S4117" s="22">
        <f>IF($D4117="","",IF(AND(LEN($D4117)=10,LEFT($D4117,1)="0",ISNUMBER(--$D4117)),"Có","Không"))</f>
        <v/>
      </c>
      <c r="T4117" s="22">
        <f>IF($D4117="","",IF(AND($C4117&lt;&gt;"",$Q4117="Có",$R4117="",$S4117="Có",AND($L4117&lt;&gt;"",OR($L4117&lt;&gt;"Chưa xác định",DANH_MUC!$L$9="Có"))),"Có","Không"))</f>
        <v/>
      </c>
      <c r="U4117" s="22">
        <f>IF(OR($D4117="",$T4117="Có"),"",IF($C4117="","Thiếu họ tên; ","")&amp;IF($S4117&lt;&gt;"Có","SĐT sai định dạng; ","")&amp;IF($R4117="Trùng","Trùng SĐT; ","")&amp;IF($Q4117&lt;&gt;"Có","Thiếu đồng ý bắt buộc; ","")&amp;IF($L4117="","Thiếu/sai Mã REF; ",IF(AND($L4117="Chưa xác định",DANH_MUC!$L$9&lt;&gt;"Có"),"Nguồn chưa xác định; ","")))</f>
        <v/>
      </c>
      <c r="V4117" s="22">
        <f>IF(OR($D4117="",$R4117="Trùng"),"",IF(COUNTIF(ORDERS!$C$2:$C$4995,$D4117)&gt;0,"Có","Không"))</f>
        <v/>
      </c>
      <c r="W4117" s="22">
        <f>IF(OR($D4117="",$R4117="Trùng"),"",COUNTIFS(ORDERS!$C$2:$C$4995,$D4117,ORDERS!$L$2:$L$4995,"Đã chuyển khoản"))</f>
        <v/>
      </c>
      <c r="X4117" s="23">
        <f>IF(OR($D4117="",$R4117="Trùng"),"",SUMIFS(ORDERS!$J$2:$J$4995,ORDERS!$C$2:$C$4995,$D4117,ORDERS!$L$2:$L$4995,"Đã chuyển khoản"))</f>
        <v/>
      </c>
      <c r="Y4117" s="24" t="n"/>
    </row>
    <row r="4118" ht="14.25" customHeight="1" s="40">
      <c r="A4118" s="24" t="n"/>
      <c r="B4118" s="27" t="n"/>
      <c r="C4118" s="24" t="n"/>
      <c r="D4118" s="28" t="n"/>
      <c r="E4118" s="29" t="n"/>
      <c r="F4118" s="24" t="n"/>
      <c r="G4118" s="24" t="n"/>
      <c r="H4118" s="21">
        <f>IF(ISNUMBER($B4118),INT($B4118)-WEEKDAY($B4118,2)+1,"")</f>
        <v/>
      </c>
      <c r="I4118" s="24" t="n"/>
      <c r="J4118" s="22">
        <f t="array" ref="J4118">IF($D4118="","",IF($I4118="","(trống REF)",IFERROR(INDEX(MASTER_SOURCE!$B$2:$B$495,MATCH($I4118,MASTER_SOURCE!$A$2:$A$495,0)),"(REF không có trong MASTER_SOURCE)")))</f>
        <v/>
      </c>
      <c r="K4118" s="22">
        <f t="array" ref="K4118">IF($D4118="","",IFERROR(INDEX(MASTER_SOURCE!$C$2:$C$495,MATCH($I4118,MASTER_SOURCE!$A$2:$A$495,0)),""))</f>
        <v/>
      </c>
      <c r="L4118" s="22">
        <f t="array" ref="L4118">IF($D4118="","",IFERROR(INDEX(MASTER_SOURCE!$D$2:$D$495,MATCH($I4118,MASTER_SOURCE!$A$2:$A$495,0)),""))</f>
        <v/>
      </c>
      <c r="M4118" s="24" t="n"/>
      <c r="N4118" s="24" t="n"/>
      <c r="O4118" s="24" t="n"/>
      <c r="P4118" s="24" t="n"/>
      <c r="Q4118" s="22">
        <f>IF($D4118="","",IF(AND(OR(DANH_MUC!$L$5&lt;&gt;"Có",M4118="Có"),OR(DANH_MUC!$L$6&lt;&gt;"Có",N4118="Có"),OR(DANH_MUC!$L$7&lt;&gt;"Có",O4118="Có"),OR(DANH_MUC!$L$8&lt;&gt;"Có",P4118="Có")),"Có","Không"))</f>
        <v/>
      </c>
      <c r="R4118" s="22">
        <f>IF($D4118="","",IF(COUNTIF($D$2:$D4118,$D4118)&gt;1,"Trùng",""))</f>
        <v/>
      </c>
      <c r="S4118" s="22">
        <f>IF($D4118="","",IF(AND(LEN($D4118)=10,LEFT($D4118,1)="0",ISNUMBER(--$D4118)),"Có","Không"))</f>
        <v/>
      </c>
      <c r="T4118" s="22">
        <f>IF($D4118="","",IF(AND($C4118&lt;&gt;"",$Q4118="Có",$R4118="",$S4118="Có",AND($L4118&lt;&gt;"",OR($L4118&lt;&gt;"Chưa xác định",DANH_MUC!$L$9="Có"))),"Có","Không"))</f>
        <v/>
      </c>
      <c r="U4118" s="22">
        <f>IF(OR($D4118="",$T4118="Có"),"",IF($C4118="","Thiếu họ tên; ","")&amp;IF($S4118&lt;&gt;"Có","SĐT sai định dạng; ","")&amp;IF($R4118="Trùng","Trùng SĐT; ","")&amp;IF($Q4118&lt;&gt;"Có","Thiếu đồng ý bắt buộc; ","")&amp;IF($L4118="","Thiếu/sai Mã REF; ",IF(AND($L4118="Chưa xác định",DANH_MUC!$L$9&lt;&gt;"Có"),"Nguồn chưa xác định; ","")))</f>
        <v/>
      </c>
      <c r="V4118" s="22">
        <f>IF(OR($D4118="",$R4118="Trùng"),"",IF(COUNTIF(ORDERS!$C$2:$C$4995,$D4118)&gt;0,"Có","Không"))</f>
        <v/>
      </c>
      <c r="W4118" s="22">
        <f>IF(OR($D4118="",$R4118="Trùng"),"",COUNTIFS(ORDERS!$C$2:$C$4995,$D4118,ORDERS!$L$2:$L$4995,"Đã chuyển khoản"))</f>
        <v/>
      </c>
      <c r="X4118" s="23">
        <f>IF(OR($D4118="",$R4118="Trùng"),"",SUMIFS(ORDERS!$J$2:$J$4995,ORDERS!$C$2:$C$4995,$D4118,ORDERS!$L$2:$L$4995,"Đã chuyển khoản"))</f>
        <v/>
      </c>
      <c r="Y4118" s="24" t="n"/>
    </row>
    <row r="4119" ht="14.25" customHeight="1" s="40">
      <c r="A4119" s="24" t="n"/>
      <c r="B4119" s="27" t="n"/>
      <c r="C4119" s="24" t="n"/>
      <c r="D4119" s="28" t="n"/>
      <c r="E4119" s="29" t="n"/>
      <c r="F4119" s="24" t="n"/>
      <c r="G4119" s="24" t="n"/>
      <c r="H4119" s="21">
        <f>IF(ISNUMBER($B4119),INT($B4119)-WEEKDAY($B4119,2)+1,"")</f>
        <v/>
      </c>
      <c r="I4119" s="24" t="n"/>
      <c r="J4119" s="22">
        <f t="array" ref="J4119">IF($D4119="","",IF($I4119="","(trống REF)",IFERROR(INDEX(MASTER_SOURCE!$B$2:$B$495,MATCH($I4119,MASTER_SOURCE!$A$2:$A$495,0)),"(REF không có trong MASTER_SOURCE)")))</f>
        <v/>
      </c>
      <c r="K4119" s="22">
        <f t="array" ref="K4119">IF($D4119="","",IFERROR(INDEX(MASTER_SOURCE!$C$2:$C$495,MATCH($I4119,MASTER_SOURCE!$A$2:$A$495,0)),""))</f>
        <v/>
      </c>
      <c r="L4119" s="22">
        <f t="array" ref="L4119">IF($D4119="","",IFERROR(INDEX(MASTER_SOURCE!$D$2:$D$495,MATCH($I4119,MASTER_SOURCE!$A$2:$A$495,0)),""))</f>
        <v/>
      </c>
      <c r="M4119" s="24" t="n"/>
      <c r="N4119" s="24" t="n"/>
      <c r="O4119" s="24" t="n"/>
      <c r="P4119" s="24" t="n"/>
      <c r="Q4119" s="22">
        <f>IF($D4119="","",IF(AND(OR(DANH_MUC!$L$5&lt;&gt;"Có",M4119="Có"),OR(DANH_MUC!$L$6&lt;&gt;"Có",N4119="Có"),OR(DANH_MUC!$L$7&lt;&gt;"Có",O4119="Có"),OR(DANH_MUC!$L$8&lt;&gt;"Có",P4119="Có")),"Có","Không"))</f>
        <v/>
      </c>
      <c r="R4119" s="22">
        <f>IF($D4119="","",IF(COUNTIF($D$2:$D4119,$D4119)&gt;1,"Trùng",""))</f>
        <v/>
      </c>
      <c r="S4119" s="22">
        <f>IF($D4119="","",IF(AND(LEN($D4119)=10,LEFT($D4119,1)="0",ISNUMBER(--$D4119)),"Có","Không"))</f>
        <v/>
      </c>
      <c r="T4119" s="22">
        <f>IF($D4119="","",IF(AND($C4119&lt;&gt;"",$Q4119="Có",$R4119="",$S4119="Có",AND($L4119&lt;&gt;"",OR($L4119&lt;&gt;"Chưa xác định",DANH_MUC!$L$9="Có"))),"Có","Không"))</f>
        <v/>
      </c>
      <c r="U4119" s="22">
        <f>IF(OR($D4119="",$T4119="Có"),"",IF($C4119="","Thiếu họ tên; ","")&amp;IF($S4119&lt;&gt;"Có","SĐT sai định dạng; ","")&amp;IF($R4119="Trùng","Trùng SĐT; ","")&amp;IF($Q4119&lt;&gt;"Có","Thiếu đồng ý bắt buộc; ","")&amp;IF($L4119="","Thiếu/sai Mã REF; ",IF(AND($L4119="Chưa xác định",DANH_MUC!$L$9&lt;&gt;"Có"),"Nguồn chưa xác định; ","")))</f>
        <v/>
      </c>
      <c r="V4119" s="22">
        <f>IF(OR($D4119="",$R4119="Trùng"),"",IF(COUNTIF(ORDERS!$C$2:$C$4995,$D4119)&gt;0,"Có","Không"))</f>
        <v/>
      </c>
      <c r="W4119" s="22">
        <f>IF(OR($D4119="",$R4119="Trùng"),"",COUNTIFS(ORDERS!$C$2:$C$4995,$D4119,ORDERS!$L$2:$L$4995,"Đã chuyển khoản"))</f>
        <v/>
      </c>
      <c r="X4119" s="23">
        <f>IF(OR($D4119="",$R4119="Trùng"),"",SUMIFS(ORDERS!$J$2:$J$4995,ORDERS!$C$2:$C$4995,$D4119,ORDERS!$L$2:$L$4995,"Đã chuyển khoản"))</f>
        <v/>
      </c>
      <c r="Y4119" s="24" t="n"/>
    </row>
    <row r="4120" ht="14.25" customHeight="1" s="40">
      <c r="A4120" s="24" t="n"/>
      <c r="B4120" s="27" t="n"/>
      <c r="C4120" s="24" t="n"/>
      <c r="D4120" s="28" t="n"/>
      <c r="E4120" s="29" t="n"/>
      <c r="F4120" s="24" t="n"/>
      <c r="G4120" s="24" t="n"/>
      <c r="H4120" s="21">
        <f>IF(ISNUMBER($B4120),INT($B4120)-WEEKDAY($B4120,2)+1,"")</f>
        <v/>
      </c>
      <c r="I4120" s="24" t="n"/>
      <c r="J4120" s="22">
        <f t="array" ref="J4120">IF($D4120="","",IF($I4120="","(trống REF)",IFERROR(INDEX(MASTER_SOURCE!$B$2:$B$495,MATCH($I4120,MASTER_SOURCE!$A$2:$A$495,0)),"(REF không có trong MASTER_SOURCE)")))</f>
        <v/>
      </c>
      <c r="K4120" s="22">
        <f t="array" ref="K4120">IF($D4120="","",IFERROR(INDEX(MASTER_SOURCE!$C$2:$C$495,MATCH($I4120,MASTER_SOURCE!$A$2:$A$495,0)),""))</f>
        <v/>
      </c>
      <c r="L4120" s="22">
        <f t="array" ref="L4120">IF($D4120="","",IFERROR(INDEX(MASTER_SOURCE!$D$2:$D$495,MATCH($I4120,MASTER_SOURCE!$A$2:$A$495,0)),""))</f>
        <v/>
      </c>
      <c r="M4120" s="24" t="n"/>
      <c r="N4120" s="24" t="n"/>
      <c r="O4120" s="24" t="n"/>
      <c r="P4120" s="24" t="n"/>
      <c r="Q4120" s="22">
        <f>IF($D4120="","",IF(AND(OR(DANH_MUC!$L$5&lt;&gt;"Có",M4120="Có"),OR(DANH_MUC!$L$6&lt;&gt;"Có",N4120="Có"),OR(DANH_MUC!$L$7&lt;&gt;"Có",O4120="Có"),OR(DANH_MUC!$L$8&lt;&gt;"Có",P4120="Có")),"Có","Không"))</f>
        <v/>
      </c>
      <c r="R4120" s="22">
        <f>IF($D4120="","",IF(COUNTIF($D$2:$D4120,$D4120)&gt;1,"Trùng",""))</f>
        <v/>
      </c>
      <c r="S4120" s="22">
        <f>IF($D4120="","",IF(AND(LEN($D4120)=10,LEFT($D4120,1)="0",ISNUMBER(--$D4120)),"Có","Không"))</f>
        <v/>
      </c>
      <c r="T4120" s="22">
        <f>IF($D4120="","",IF(AND($C4120&lt;&gt;"",$Q4120="Có",$R4120="",$S4120="Có",AND($L4120&lt;&gt;"",OR($L4120&lt;&gt;"Chưa xác định",DANH_MUC!$L$9="Có"))),"Có","Không"))</f>
        <v/>
      </c>
      <c r="U4120" s="22">
        <f>IF(OR($D4120="",$T4120="Có"),"",IF($C4120="","Thiếu họ tên; ","")&amp;IF($S4120&lt;&gt;"Có","SĐT sai định dạng; ","")&amp;IF($R4120="Trùng","Trùng SĐT; ","")&amp;IF($Q4120&lt;&gt;"Có","Thiếu đồng ý bắt buộc; ","")&amp;IF($L4120="","Thiếu/sai Mã REF; ",IF(AND($L4120="Chưa xác định",DANH_MUC!$L$9&lt;&gt;"Có"),"Nguồn chưa xác định; ","")))</f>
        <v/>
      </c>
      <c r="V4120" s="22">
        <f>IF(OR($D4120="",$R4120="Trùng"),"",IF(COUNTIF(ORDERS!$C$2:$C$4995,$D4120)&gt;0,"Có","Không"))</f>
        <v/>
      </c>
      <c r="W4120" s="22">
        <f>IF(OR($D4120="",$R4120="Trùng"),"",COUNTIFS(ORDERS!$C$2:$C$4995,$D4120,ORDERS!$L$2:$L$4995,"Đã chuyển khoản"))</f>
        <v/>
      </c>
      <c r="X4120" s="23">
        <f>IF(OR($D4120="",$R4120="Trùng"),"",SUMIFS(ORDERS!$J$2:$J$4995,ORDERS!$C$2:$C$4995,$D4120,ORDERS!$L$2:$L$4995,"Đã chuyển khoản"))</f>
        <v/>
      </c>
      <c r="Y4120" s="24" t="n"/>
    </row>
    <row r="4121" ht="14.25" customHeight="1" s="40">
      <c r="A4121" s="24" t="n"/>
      <c r="B4121" s="27" t="n"/>
      <c r="C4121" s="24" t="n"/>
      <c r="D4121" s="28" t="n"/>
      <c r="E4121" s="29" t="n"/>
      <c r="F4121" s="24" t="n"/>
      <c r="G4121" s="24" t="n"/>
      <c r="H4121" s="21">
        <f>IF(ISNUMBER($B4121),INT($B4121)-WEEKDAY($B4121,2)+1,"")</f>
        <v/>
      </c>
      <c r="I4121" s="24" t="n"/>
      <c r="J4121" s="22">
        <f t="array" ref="J4121">IF($D4121="","",IF($I4121="","(trống REF)",IFERROR(INDEX(MASTER_SOURCE!$B$2:$B$495,MATCH($I4121,MASTER_SOURCE!$A$2:$A$495,0)),"(REF không có trong MASTER_SOURCE)")))</f>
        <v/>
      </c>
      <c r="K4121" s="22">
        <f t="array" ref="K4121">IF($D4121="","",IFERROR(INDEX(MASTER_SOURCE!$C$2:$C$495,MATCH($I4121,MASTER_SOURCE!$A$2:$A$495,0)),""))</f>
        <v/>
      </c>
      <c r="L4121" s="22">
        <f t="array" ref="L4121">IF($D4121="","",IFERROR(INDEX(MASTER_SOURCE!$D$2:$D$495,MATCH($I4121,MASTER_SOURCE!$A$2:$A$495,0)),""))</f>
        <v/>
      </c>
      <c r="M4121" s="24" t="n"/>
      <c r="N4121" s="24" t="n"/>
      <c r="O4121" s="24" t="n"/>
      <c r="P4121" s="24" t="n"/>
      <c r="Q4121" s="22">
        <f>IF($D4121="","",IF(AND(OR(DANH_MUC!$L$5&lt;&gt;"Có",M4121="Có"),OR(DANH_MUC!$L$6&lt;&gt;"Có",N4121="Có"),OR(DANH_MUC!$L$7&lt;&gt;"Có",O4121="Có"),OR(DANH_MUC!$L$8&lt;&gt;"Có",P4121="Có")),"Có","Không"))</f>
        <v/>
      </c>
      <c r="R4121" s="22">
        <f>IF($D4121="","",IF(COUNTIF($D$2:$D4121,$D4121)&gt;1,"Trùng",""))</f>
        <v/>
      </c>
      <c r="S4121" s="22">
        <f>IF($D4121="","",IF(AND(LEN($D4121)=10,LEFT($D4121,1)="0",ISNUMBER(--$D4121)),"Có","Không"))</f>
        <v/>
      </c>
      <c r="T4121" s="22">
        <f>IF($D4121="","",IF(AND($C4121&lt;&gt;"",$Q4121="Có",$R4121="",$S4121="Có",AND($L4121&lt;&gt;"",OR($L4121&lt;&gt;"Chưa xác định",DANH_MUC!$L$9="Có"))),"Có","Không"))</f>
        <v/>
      </c>
      <c r="U4121" s="22">
        <f>IF(OR($D4121="",$T4121="Có"),"",IF($C4121="","Thiếu họ tên; ","")&amp;IF($S4121&lt;&gt;"Có","SĐT sai định dạng; ","")&amp;IF($R4121="Trùng","Trùng SĐT; ","")&amp;IF($Q4121&lt;&gt;"Có","Thiếu đồng ý bắt buộc; ","")&amp;IF($L4121="","Thiếu/sai Mã REF; ",IF(AND($L4121="Chưa xác định",DANH_MUC!$L$9&lt;&gt;"Có"),"Nguồn chưa xác định; ","")))</f>
        <v/>
      </c>
      <c r="V4121" s="22">
        <f>IF(OR($D4121="",$R4121="Trùng"),"",IF(COUNTIF(ORDERS!$C$2:$C$4995,$D4121)&gt;0,"Có","Không"))</f>
        <v/>
      </c>
      <c r="W4121" s="22">
        <f>IF(OR($D4121="",$R4121="Trùng"),"",COUNTIFS(ORDERS!$C$2:$C$4995,$D4121,ORDERS!$L$2:$L$4995,"Đã chuyển khoản"))</f>
        <v/>
      </c>
      <c r="X4121" s="23">
        <f>IF(OR($D4121="",$R4121="Trùng"),"",SUMIFS(ORDERS!$J$2:$J$4995,ORDERS!$C$2:$C$4995,$D4121,ORDERS!$L$2:$L$4995,"Đã chuyển khoản"))</f>
        <v/>
      </c>
      <c r="Y4121" s="24" t="n"/>
    </row>
    <row r="4122" ht="14.25" customHeight="1" s="40">
      <c r="A4122" s="24" t="n"/>
      <c r="B4122" s="27" t="n"/>
      <c r="C4122" s="24" t="n"/>
      <c r="D4122" s="28" t="n"/>
      <c r="E4122" s="29" t="n"/>
      <c r="F4122" s="24" t="n"/>
      <c r="G4122" s="24" t="n"/>
      <c r="H4122" s="21">
        <f>IF(ISNUMBER($B4122),INT($B4122)-WEEKDAY($B4122,2)+1,"")</f>
        <v/>
      </c>
      <c r="I4122" s="24" t="n"/>
      <c r="J4122" s="22">
        <f t="array" ref="J4122">IF($D4122="","",IF($I4122="","(trống REF)",IFERROR(INDEX(MASTER_SOURCE!$B$2:$B$495,MATCH($I4122,MASTER_SOURCE!$A$2:$A$495,0)),"(REF không có trong MASTER_SOURCE)")))</f>
        <v/>
      </c>
      <c r="K4122" s="22">
        <f t="array" ref="K4122">IF($D4122="","",IFERROR(INDEX(MASTER_SOURCE!$C$2:$C$495,MATCH($I4122,MASTER_SOURCE!$A$2:$A$495,0)),""))</f>
        <v/>
      </c>
      <c r="L4122" s="22">
        <f t="array" ref="L4122">IF($D4122="","",IFERROR(INDEX(MASTER_SOURCE!$D$2:$D$495,MATCH($I4122,MASTER_SOURCE!$A$2:$A$495,0)),""))</f>
        <v/>
      </c>
      <c r="M4122" s="24" t="n"/>
      <c r="N4122" s="24" t="n"/>
      <c r="O4122" s="24" t="n"/>
      <c r="P4122" s="24" t="n"/>
      <c r="Q4122" s="22">
        <f>IF($D4122="","",IF(AND(OR(DANH_MUC!$L$5&lt;&gt;"Có",M4122="Có"),OR(DANH_MUC!$L$6&lt;&gt;"Có",N4122="Có"),OR(DANH_MUC!$L$7&lt;&gt;"Có",O4122="Có"),OR(DANH_MUC!$L$8&lt;&gt;"Có",P4122="Có")),"Có","Không"))</f>
        <v/>
      </c>
      <c r="R4122" s="22">
        <f>IF($D4122="","",IF(COUNTIF($D$2:$D4122,$D4122)&gt;1,"Trùng",""))</f>
        <v/>
      </c>
      <c r="S4122" s="22">
        <f>IF($D4122="","",IF(AND(LEN($D4122)=10,LEFT($D4122,1)="0",ISNUMBER(--$D4122)),"Có","Không"))</f>
        <v/>
      </c>
      <c r="T4122" s="22">
        <f>IF($D4122="","",IF(AND($C4122&lt;&gt;"",$Q4122="Có",$R4122="",$S4122="Có",AND($L4122&lt;&gt;"",OR($L4122&lt;&gt;"Chưa xác định",DANH_MUC!$L$9="Có"))),"Có","Không"))</f>
        <v/>
      </c>
      <c r="U4122" s="22">
        <f>IF(OR($D4122="",$T4122="Có"),"",IF($C4122="","Thiếu họ tên; ","")&amp;IF($S4122&lt;&gt;"Có","SĐT sai định dạng; ","")&amp;IF($R4122="Trùng","Trùng SĐT; ","")&amp;IF($Q4122&lt;&gt;"Có","Thiếu đồng ý bắt buộc; ","")&amp;IF($L4122="","Thiếu/sai Mã REF; ",IF(AND($L4122="Chưa xác định",DANH_MUC!$L$9&lt;&gt;"Có"),"Nguồn chưa xác định; ","")))</f>
        <v/>
      </c>
      <c r="V4122" s="22">
        <f>IF(OR($D4122="",$R4122="Trùng"),"",IF(COUNTIF(ORDERS!$C$2:$C$4995,$D4122)&gt;0,"Có","Không"))</f>
        <v/>
      </c>
      <c r="W4122" s="22">
        <f>IF(OR($D4122="",$R4122="Trùng"),"",COUNTIFS(ORDERS!$C$2:$C$4995,$D4122,ORDERS!$L$2:$L$4995,"Đã chuyển khoản"))</f>
        <v/>
      </c>
      <c r="X4122" s="23">
        <f>IF(OR($D4122="",$R4122="Trùng"),"",SUMIFS(ORDERS!$J$2:$J$4995,ORDERS!$C$2:$C$4995,$D4122,ORDERS!$L$2:$L$4995,"Đã chuyển khoản"))</f>
        <v/>
      </c>
      <c r="Y4122" s="24" t="n"/>
    </row>
    <row r="4123" ht="14.25" customHeight="1" s="40">
      <c r="A4123" s="24" t="n"/>
      <c r="B4123" s="27" t="n"/>
      <c r="C4123" s="24" t="n"/>
      <c r="D4123" s="28" t="n"/>
      <c r="E4123" s="29" t="n"/>
      <c r="F4123" s="24" t="n"/>
      <c r="G4123" s="24" t="n"/>
      <c r="H4123" s="21">
        <f>IF(ISNUMBER($B4123),INT($B4123)-WEEKDAY($B4123,2)+1,"")</f>
        <v/>
      </c>
      <c r="I4123" s="24" t="n"/>
      <c r="J4123" s="22">
        <f t="array" ref="J4123">IF($D4123="","",IF($I4123="","(trống REF)",IFERROR(INDEX(MASTER_SOURCE!$B$2:$B$495,MATCH($I4123,MASTER_SOURCE!$A$2:$A$495,0)),"(REF không có trong MASTER_SOURCE)")))</f>
        <v/>
      </c>
      <c r="K4123" s="22">
        <f t="array" ref="K4123">IF($D4123="","",IFERROR(INDEX(MASTER_SOURCE!$C$2:$C$495,MATCH($I4123,MASTER_SOURCE!$A$2:$A$495,0)),""))</f>
        <v/>
      </c>
      <c r="L4123" s="22">
        <f t="array" ref="L4123">IF($D4123="","",IFERROR(INDEX(MASTER_SOURCE!$D$2:$D$495,MATCH($I4123,MASTER_SOURCE!$A$2:$A$495,0)),""))</f>
        <v/>
      </c>
      <c r="M4123" s="24" t="n"/>
      <c r="N4123" s="24" t="n"/>
      <c r="O4123" s="24" t="n"/>
      <c r="P4123" s="24" t="n"/>
      <c r="Q4123" s="22">
        <f>IF($D4123="","",IF(AND(OR(DANH_MUC!$L$5&lt;&gt;"Có",M4123="Có"),OR(DANH_MUC!$L$6&lt;&gt;"Có",N4123="Có"),OR(DANH_MUC!$L$7&lt;&gt;"Có",O4123="Có"),OR(DANH_MUC!$L$8&lt;&gt;"Có",P4123="Có")),"Có","Không"))</f>
        <v/>
      </c>
      <c r="R4123" s="22">
        <f>IF($D4123="","",IF(COUNTIF($D$2:$D4123,$D4123)&gt;1,"Trùng",""))</f>
        <v/>
      </c>
      <c r="S4123" s="22">
        <f>IF($D4123="","",IF(AND(LEN($D4123)=10,LEFT($D4123,1)="0",ISNUMBER(--$D4123)),"Có","Không"))</f>
        <v/>
      </c>
      <c r="T4123" s="22">
        <f>IF($D4123="","",IF(AND($C4123&lt;&gt;"",$Q4123="Có",$R4123="",$S4123="Có",AND($L4123&lt;&gt;"",OR($L4123&lt;&gt;"Chưa xác định",DANH_MUC!$L$9="Có"))),"Có","Không"))</f>
        <v/>
      </c>
      <c r="U4123" s="22">
        <f>IF(OR($D4123="",$T4123="Có"),"",IF($C4123="","Thiếu họ tên; ","")&amp;IF($S4123&lt;&gt;"Có","SĐT sai định dạng; ","")&amp;IF($R4123="Trùng","Trùng SĐT; ","")&amp;IF($Q4123&lt;&gt;"Có","Thiếu đồng ý bắt buộc; ","")&amp;IF($L4123="","Thiếu/sai Mã REF; ",IF(AND($L4123="Chưa xác định",DANH_MUC!$L$9&lt;&gt;"Có"),"Nguồn chưa xác định; ","")))</f>
        <v/>
      </c>
      <c r="V4123" s="22">
        <f>IF(OR($D4123="",$R4123="Trùng"),"",IF(COUNTIF(ORDERS!$C$2:$C$4995,$D4123)&gt;0,"Có","Không"))</f>
        <v/>
      </c>
      <c r="W4123" s="22">
        <f>IF(OR($D4123="",$R4123="Trùng"),"",COUNTIFS(ORDERS!$C$2:$C$4995,$D4123,ORDERS!$L$2:$L$4995,"Đã chuyển khoản"))</f>
        <v/>
      </c>
      <c r="X4123" s="23">
        <f>IF(OR($D4123="",$R4123="Trùng"),"",SUMIFS(ORDERS!$J$2:$J$4995,ORDERS!$C$2:$C$4995,$D4123,ORDERS!$L$2:$L$4995,"Đã chuyển khoản"))</f>
        <v/>
      </c>
      <c r="Y4123" s="24" t="n"/>
    </row>
    <row r="4124" ht="14.25" customHeight="1" s="40">
      <c r="A4124" s="24" t="n"/>
      <c r="B4124" s="27" t="n"/>
      <c r="C4124" s="24" t="n"/>
      <c r="D4124" s="28" t="n"/>
      <c r="E4124" s="29" t="n"/>
      <c r="F4124" s="24" t="n"/>
      <c r="G4124" s="24" t="n"/>
      <c r="H4124" s="21">
        <f>IF(ISNUMBER($B4124),INT($B4124)-WEEKDAY($B4124,2)+1,"")</f>
        <v/>
      </c>
      <c r="I4124" s="24" t="n"/>
      <c r="J4124" s="22">
        <f t="array" ref="J4124">IF($D4124="","",IF($I4124="","(trống REF)",IFERROR(INDEX(MASTER_SOURCE!$B$2:$B$495,MATCH($I4124,MASTER_SOURCE!$A$2:$A$495,0)),"(REF không có trong MASTER_SOURCE)")))</f>
        <v/>
      </c>
      <c r="K4124" s="22">
        <f t="array" ref="K4124">IF($D4124="","",IFERROR(INDEX(MASTER_SOURCE!$C$2:$C$495,MATCH($I4124,MASTER_SOURCE!$A$2:$A$495,0)),""))</f>
        <v/>
      </c>
      <c r="L4124" s="22">
        <f t="array" ref="L4124">IF($D4124="","",IFERROR(INDEX(MASTER_SOURCE!$D$2:$D$495,MATCH($I4124,MASTER_SOURCE!$A$2:$A$495,0)),""))</f>
        <v/>
      </c>
      <c r="M4124" s="24" t="n"/>
      <c r="N4124" s="24" t="n"/>
      <c r="O4124" s="24" t="n"/>
      <c r="P4124" s="24" t="n"/>
      <c r="Q4124" s="22">
        <f>IF($D4124="","",IF(AND(OR(DANH_MUC!$L$5&lt;&gt;"Có",M4124="Có"),OR(DANH_MUC!$L$6&lt;&gt;"Có",N4124="Có"),OR(DANH_MUC!$L$7&lt;&gt;"Có",O4124="Có"),OR(DANH_MUC!$L$8&lt;&gt;"Có",P4124="Có")),"Có","Không"))</f>
        <v/>
      </c>
      <c r="R4124" s="22">
        <f>IF($D4124="","",IF(COUNTIF($D$2:$D4124,$D4124)&gt;1,"Trùng",""))</f>
        <v/>
      </c>
      <c r="S4124" s="22">
        <f>IF($D4124="","",IF(AND(LEN($D4124)=10,LEFT($D4124,1)="0",ISNUMBER(--$D4124)),"Có","Không"))</f>
        <v/>
      </c>
      <c r="T4124" s="22">
        <f>IF($D4124="","",IF(AND($C4124&lt;&gt;"",$Q4124="Có",$R4124="",$S4124="Có",AND($L4124&lt;&gt;"",OR($L4124&lt;&gt;"Chưa xác định",DANH_MUC!$L$9="Có"))),"Có","Không"))</f>
        <v/>
      </c>
      <c r="U4124" s="22">
        <f>IF(OR($D4124="",$T4124="Có"),"",IF($C4124="","Thiếu họ tên; ","")&amp;IF($S4124&lt;&gt;"Có","SĐT sai định dạng; ","")&amp;IF($R4124="Trùng","Trùng SĐT; ","")&amp;IF($Q4124&lt;&gt;"Có","Thiếu đồng ý bắt buộc; ","")&amp;IF($L4124="","Thiếu/sai Mã REF; ",IF(AND($L4124="Chưa xác định",DANH_MUC!$L$9&lt;&gt;"Có"),"Nguồn chưa xác định; ","")))</f>
        <v/>
      </c>
      <c r="V4124" s="22">
        <f>IF(OR($D4124="",$R4124="Trùng"),"",IF(COUNTIF(ORDERS!$C$2:$C$4995,$D4124)&gt;0,"Có","Không"))</f>
        <v/>
      </c>
      <c r="W4124" s="22">
        <f>IF(OR($D4124="",$R4124="Trùng"),"",COUNTIFS(ORDERS!$C$2:$C$4995,$D4124,ORDERS!$L$2:$L$4995,"Đã chuyển khoản"))</f>
        <v/>
      </c>
      <c r="X4124" s="23">
        <f>IF(OR($D4124="",$R4124="Trùng"),"",SUMIFS(ORDERS!$J$2:$J$4995,ORDERS!$C$2:$C$4995,$D4124,ORDERS!$L$2:$L$4995,"Đã chuyển khoản"))</f>
        <v/>
      </c>
      <c r="Y4124" s="24" t="n"/>
    </row>
    <row r="4125" ht="14.25" customHeight="1" s="40">
      <c r="A4125" s="24" t="n"/>
      <c r="B4125" s="27" t="n"/>
      <c r="C4125" s="24" t="n"/>
      <c r="D4125" s="28" t="n"/>
      <c r="E4125" s="29" t="n"/>
      <c r="F4125" s="24" t="n"/>
      <c r="G4125" s="24" t="n"/>
      <c r="H4125" s="21">
        <f>IF(ISNUMBER($B4125),INT($B4125)-WEEKDAY($B4125,2)+1,"")</f>
        <v/>
      </c>
      <c r="I4125" s="24" t="n"/>
      <c r="J4125" s="22">
        <f t="array" ref="J4125">IF($D4125="","",IF($I4125="","(trống REF)",IFERROR(INDEX(MASTER_SOURCE!$B$2:$B$495,MATCH($I4125,MASTER_SOURCE!$A$2:$A$495,0)),"(REF không có trong MASTER_SOURCE)")))</f>
        <v/>
      </c>
      <c r="K4125" s="22">
        <f t="array" ref="K4125">IF($D4125="","",IFERROR(INDEX(MASTER_SOURCE!$C$2:$C$495,MATCH($I4125,MASTER_SOURCE!$A$2:$A$495,0)),""))</f>
        <v/>
      </c>
      <c r="L4125" s="22">
        <f t="array" ref="L4125">IF($D4125="","",IFERROR(INDEX(MASTER_SOURCE!$D$2:$D$495,MATCH($I4125,MASTER_SOURCE!$A$2:$A$495,0)),""))</f>
        <v/>
      </c>
      <c r="M4125" s="24" t="n"/>
      <c r="N4125" s="24" t="n"/>
      <c r="O4125" s="24" t="n"/>
      <c r="P4125" s="24" t="n"/>
      <c r="Q4125" s="22">
        <f>IF($D4125="","",IF(AND(OR(DANH_MUC!$L$5&lt;&gt;"Có",M4125="Có"),OR(DANH_MUC!$L$6&lt;&gt;"Có",N4125="Có"),OR(DANH_MUC!$L$7&lt;&gt;"Có",O4125="Có"),OR(DANH_MUC!$L$8&lt;&gt;"Có",P4125="Có")),"Có","Không"))</f>
        <v/>
      </c>
      <c r="R4125" s="22">
        <f>IF($D4125="","",IF(COUNTIF($D$2:$D4125,$D4125)&gt;1,"Trùng",""))</f>
        <v/>
      </c>
      <c r="S4125" s="22">
        <f>IF($D4125="","",IF(AND(LEN($D4125)=10,LEFT($D4125,1)="0",ISNUMBER(--$D4125)),"Có","Không"))</f>
        <v/>
      </c>
      <c r="T4125" s="22">
        <f>IF($D4125="","",IF(AND($C4125&lt;&gt;"",$Q4125="Có",$R4125="",$S4125="Có",AND($L4125&lt;&gt;"",OR($L4125&lt;&gt;"Chưa xác định",DANH_MUC!$L$9="Có"))),"Có","Không"))</f>
        <v/>
      </c>
      <c r="U4125" s="22">
        <f>IF(OR($D4125="",$T4125="Có"),"",IF($C4125="","Thiếu họ tên; ","")&amp;IF($S4125&lt;&gt;"Có","SĐT sai định dạng; ","")&amp;IF($R4125="Trùng","Trùng SĐT; ","")&amp;IF($Q4125&lt;&gt;"Có","Thiếu đồng ý bắt buộc; ","")&amp;IF($L4125="","Thiếu/sai Mã REF; ",IF(AND($L4125="Chưa xác định",DANH_MUC!$L$9&lt;&gt;"Có"),"Nguồn chưa xác định; ","")))</f>
        <v/>
      </c>
      <c r="V4125" s="22">
        <f>IF(OR($D4125="",$R4125="Trùng"),"",IF(COUNTIF(ORDERS!$C$2:$C$4995,$D4125)&gt;0,"Có","Không"))</f>
        <v/>
      </c>
      <c r="W4125" s="22">
        <f>IF(OR($D4125="",$R4125="Trùng"),"",COUNTIFS(ORDERS!$C$2:$C$4995,$D4125,ORDERS!$L$2:$L$4995,"Đã chuyển khoản"))</f>
        <v/>
      </c>
      <c r="X4125" s="23">
        <f>IF(OR($D4125="",$R4125="Trùng"),"",SUMIFS(ORDERS!$J$2:$J$4995,ORDERS!$C$2:$C$4995,$D4125,ORDERS!$L$2:$L$4995,"Đã chuyển khoản"))</f>
        <v/>
      </c>
      <c r="Y4125" s="24" t="n"/>
    </row>
    <row r="4126" ht="14.25" customHeight="1" s="40">
      <c r="A4126" s="24" t="n"/>
      <c r="B4126" s="27" t="n"/>
      <c r="C4126" s="24" t="n"/>
      <c r="D4126" s="28" t="n"/>
      <c r="E4126" s="29" t="n"/>
      <c r="F4126" s="24" t="n"/>
      <c r="G4126" s="24" t="n"/>
      <c r="H4126" s="21">
        <f>IF(ISNUMBER($B4126),INT($B4126)-WEEKDAY($B4126,2)+1,"")</f>
        <v/>
      </c>
      <c r="I4126" s="24" t="n"/>
      <c r="J4126" s="22">
        <f t="array" ref="J4126">IF($D4126="","",IF($I4126="","(trống REF)",IFERROR(INDEX(MASTER_SOURCE!$B$2:$B$495,MATCH($I4126,MASTER_SOURCE!$A$2:$A$495,0)),"(REF không có trong MASTER_SOURCE)")))</f>
        <v/>
      </c>
      <c r="K4126" s="22">
        <f t="array" ref="K4126">IF($D4126="","",IFERROR(INDEX(MASTER_SOURCE!$C$2:$C$495,MATCH($I4126,MASTER_SOURCE!$A$2:$A$495,0)),""))</f>
        <v/>
      </c>
      <c r="L4126" s="22">
        <f t="array" ref="L4126">IF($D4126="","",IFERROR(INDEX(MASTER_SOURCE!$D$2:$D$495,MATCH($I4126,MASTER_SOURCE!$A$2:$A$495,0)),""))</f>
        <v/>
      </c>
      <c r="M4126" s="24" t="n"/>
      <c r="N4126" s="24" t="n"/>
      <c r="O4126" s="24" t="n"/>
      <c r="P4126" s="24" t="n"/>
      <c r="Q4126" s="22">
        <f>IF($D4126="","",IF(AND(OR(DANH_MUC!$L$5&lt;&gt;"Có",M4126="Có"),OR(DANH_MUC!$L$6&lt;&gt;"Có",N4126="Có"),OR(DANH_MUC!$L$7&lt;&gt;"Có",O4126="Có"),OR(DANH_MUC!$L$8&lt;&gt;"Có",P4126="Có")),"Có","Không"))</f>
        <v/>
      </c>
      <c r="R4126" s="22">
        <f>IF($D4126="","",IF(COUNTIF($D$2:$D4126,$D4126)&gt;1,"Trùng",""))</f>
        <v/>
      </c>
      <c r="S4126" s="22">
        <f>IF($D4126="","",IF(AND(LEN($D4126)=10,LEFT($D4126,1)="0",ISNUMBER(--$D4126)),"Có","Không"))</f>
        <v/>
      </c>
      <c r="T4126" s="22">
        <f>IF($D4126="","",IF(AND($C4126&lt;&gt;"",$Q4126="Có",$R4126="",$S4126="Có",AND($L4126&lt;&gt;"",OR($L4126&lt;&gt;"Chưa xác định",DANH_MUC!$L$9="Có"))),"Có","Không"))</f>
        <v/>
      </c>
      <c r="U4126" s="22">
        <f>IF(OR($D4126="",$T4126="Có"),"",IF($C4126="","Thiếu họ tên; ","")&amp;IF($S4126&lt;&gt;"Có","SĐT sai định dạng; ","")&amp;IF($R4126="Trùng","Trùng SĐT; ","")&amp;IF($Q4126&lt;&gt;"Có","Thiếu đồng ý bắt buộc; ","")&amp;IF($L4126="","Thiếu/sai Mã REF; ",IF(AND($L4126="Chưa xác định",DANH_MUC!$L$9&lt;&gt;"Có"),"Nguồn chưa xác định; ","")))</f>
        <v/>
      </c>
      <c r="V4126" s="22">
        <f>IF(OR($D4126="",$R4126="Trùng"),"",IF(COUNTIF(ORDERS!$C$2:$C$4995,$D4126)&gt;0,"Có","Không"))</f>
        <v/>
      </c>
      <c r="W4126" s="22">
        <f>IF(OR($D4126="",$R4126="Trùng"),"",COUNTIFS(ORDERS!$C$2:$C$4995,$D4126,ORDERS!$L$2:$L$4995,"Đã chuyển khoản"))</f>
        <v/>
      </c>
      <c r="X4126" s="23">
        <f>IF(OR($D4126="",$R4126="Trùng"),"",SUMIFS(ORDERS!$J$2:$J$4995,ORDERS!$C$2:$C$4995,$D4126,ORDERS!$L$2:$L$4995,"Đã chuyển khoản"))</f>
        <v/>
      </c>
      <c r="Y4126" s="24" t="n"/>
    </row>
    <row r="4127" ht="14.25" customHeight="1" s="40">
      <c r="A4127" s="24" t="n"/>
      <c r="B4127" s="27" t="n"/>
      <c r="C4127" s="24" t="n"/>
      <c r="D4127" s="28" t="n"/>
      <c r="E4127" s="29" t="n"/>
      <c r="F4127" s="24" t="n"/>
      <c r="G4127" s="24" t="n"/>
      <c r="H4127" s="21">
        <f>IF(ISNUMBER($B4127),INT($B4127)-WEEKDAY($B4127,2)+1,"")</f>
        <v/>
      </c>
      <c r="I4127" s="24" t="n"/>
      <c r="J4127" s="22">
        <f t="array" ref="J4127">IF($D4127="","",IF($I4127="","(trống REF)",IFERROR(INDEX(MASTER_SOURCE!$B$2:$B$495,MATCH($I4127,MASTER_SOURCE!$A$2:$A$495,0)),"(REF không có trong MASTER_SOURCE)")))</f>
        <v/>
      </c>
      <c r="K4127" s="22">
        <f t="array" ref="K4127">IF($D4127="","",IFERROR(INDEX(MASTER_SOURCE!$C$2:$C$495,MATCH($I4127,MASTER_SOURCE!$A$2:$A$495,0)),""))</f>
        <v/>
      </c>
      <c r="L4127" s="22">
        <f t="array" ref="L4127">IF($D4127="","",IFERROR(INDEX(MASTER_SOURCE!$D$2:$D$495,MATCH($I4127,MASTER_SOURCE!$A$2:$A$495,0)),""))</f>
        <v/>
      </c>
      <c r="M4127" s="24" t="n"/>
      <c r="N4127" s="24" t="n"/>
      <c r="O4127" s="24" t="n"/>
      <c r="P4127" s="24" t="n"/>
      <c r="Q4127" s="22">
        <f>IF($D4127="","",IF(AND(OR(DANH_MUC!$L$5&lt;&gt;"Có",M4127="Có"),OR(DANH_MUC!$L$6&lt;&gt;"Có",N4127="Có"),OR(DANH_MUC!$L$7&lt;&gt;"Có",O4127="Có"),OR(DANH_MUC!$L$8&lt;&gt;"Có",P4127="Có")),"Có","Không"))</f>
        <v/>
      </c>
      <c r="R4127" s="22">
        <f>IF($D4127="","",IF(COUNTIF($D$2:$D4127,$D4127)&gt;1,"Trùng",""))</f>
        <v/>
      </c>
      <c r="S4127" s="22">
        <f>IF($D4127="","",IF(AND(LEN($D4127)=10,LEFT($D4127,1)="0",ISNUMBER(--$D4127)),"Có","Không"))</f>
        <v/>
      </c>
      <c r="T4127" s="22">
        <f>IF($D4127="","",IF(AND($C4127&lt;&gt;"",$Q4127="Có",$R4127="",$S4127="Có",AND($L4127&lt;&gt;"",OR($L4127&lt;&gt;"Chưa xác định",DANH_MUC!$L$9="Có"))),"Có","Không"))</f>
        <v/>
      </c>
      <c r="U4127" s="22">
        <f>IF(OR($D4127="",$T4127="Có"),"",IF($C4127="","Thiếu họ tên; ","")&amp;IF($S4127&lt;&gt;"Có","SĐT sai định dạng; ","")&amp;IF($R4127="Trùng","Trùng SĐT; ","")&amp;IF($Q4127&lt;&gt;"Có","Thiếu đồng ý bắt buộc; ","")&amp;IF($L4127="","Thiếu/sai Mã REF; ",IF(AND($L4127="Chưa xác định",DANH_MUC!$L$9&lt;&gt;"Có"),"Nguồn chưa xác định; ","")))</f>
        <v/>
      </c>
      <c r="V4127" s="22">
        <f>IF(OR($D4127="",$R4127="Trùng"),"",IF(COUNTIF(ORDERS!$C$2:$C$4995,$D4127)&gt;0,"Có","Không"))</f>
        <v/>
      </c>
      <c r="W4127" s="22">
        <f>IF(OR($D4127="",$R4127="Trùng"),"",COUNTIFS(ORDERS!$C$2:$C$4995,$D4127,ORDERS!$L$2:$L$4995,"Đã chuyển khoản"))</f>
        <v/>
      </c>
      <c r="X4127" s="23">
        <f>IF(OR($D4127="",$R4127="Trùng"),"",SUMIFS(ORDERS!$J$2:$J$4995,ORDERS!$C$2:$C$4995,$D4127,ORDERS!$L$2:$L$4995,"Đã chuyển khoản"))</f>
        <v/>
      </c>
      <c r="Y4127" s="24" t="n"/>
    </row>
    <row r="4128" ht="14.25" customHeight="1" s="40">
      <c r="A4128" s="24" t="n"/>
      <c r="B4128" s="27" t="n"/>
      <c r="C4128" s="24" t="n"/>
      <c r="D4128" s="28" t="n"/>
      <c r="E4128" s="29" t="n"/>
      <c r="F4128" s="24" t="n"/>
      <c r="G4128" s="24" t="n"/>
      <c r="H4128" s="21">
        <f>IF(ISNUMBER($B4128),INT($B4128)-WEEKDAY($B4128,2)+1,"")</f>
        <v/>
      </c>
      <c r="I4128" s="24" t="n"/>
      <c r="J4128" s="22">
        <f t="array" ref="J4128">IF($D4128="","",IF($I4128="","(trống REF)",IFERROR(INDEX(MASTER_SOURCE!$B$2:$B$495,MATCH($I4128,MASTER_SOURCE!$A$2:$A$495,0)),"(REF không có trong MASTER_SOURCE)")))</f>
        <v/>
      </c>
      <c r="K4128" s="22">
        <f t="array" ref="K4128">IF($D4128="","",IFERROR(INDEX(MASTER_SOURCE!$C$2:$C$495,MATCH($I4128,MASTER_SOURCE!$A$2:$A$495,0)),""))</f>
        <v/>
      </c>
      <c r="L4128" s="22">
        <f t="array" ref="L4128">IF($D4128="","",IFERROR(INDEX(MASTER_SOURCE!$D$2:$D$495,MATCH($I4128,MASTER_SOURCE!$A$2:$A$495,0)),""))</f>
        <v/>
      </c>
      <c r="M4128" s="24" t="n"/>
      <c r="N4128" s="24" t="n"/>
      <c r="O4128" s="24" t="n"/>
      <c r="P4128" s="24" t="n"/>
      <c r="Q4128" s="22">
        <f>IF($D4128="","",IF(AND(OR(DANH_MUC!$L$5&lt;&gt;"Có",M4128="Có"),OR(DANH_MUC!$L$6&lt;&gt;"Có",N4128="Có"),OR(DANH_MUC!$L$7&lt;&gt;"Có",O4128="Có"),OR(DANH_MUC!$L$8&lt;&gt;"Có",P4128="Có")),"Có","Không"))</f>
        <v/>
      </c>
      <c r="R4128" s="22">
        <f>IF($D4128="","",IF(COUNTIF($D$2:$D4128,$D4128)&gt;1,"Trùng",""))</f>
        <v/>
      </c>
      <c r="S4128" s="22">
        <f>IF($D4128="","",IF(AND(LEN($D4128)=10,LEFT($D4128,1)="0",ISNUMBER(--$D4128)),"Có","Không"))</f>
        <v/>
      </c>
      <c r="T4128" s="22">
        <f>IF($D4128="","",IF(AND($C4128&lt;&gt;"",$Q4128="Có",$R4128="",$S4128="Có",AND($L4128&lt;&gt;"",OR($L4128&lt;&gt;"Chưa xác định",DANH_MUC!$L$9="Có"))),"Có","Không"))</f>
        <v/>
      </c>
      <c r="U4128" s="22">
        <f>IF(OR($D4128="",$T4128="Có"),"",IF($C4128="","Thiếu họ tên; ","")&amp;IF($S4128&lt;&gt;"Có","SĐT sai định dạng; ","")&amp;IF($R4128="Trùng","Trùng SĐT; ","")&amp;IF($Q4128&lt;&gt;"Có","Thiếu đồng ý bắt buộc; ","")&amp;IF($L4128="","Thiếu/sai Mã REF; ",IF(AND($L4128="Chưa xác định",DANH_MUC!$L$9&lt;&gt;"Có"),"Nguồn chưa xác định; ","")))</f>
        <v/>
      </c>
      <c r="V4128" s="22">
        <f>IF(OR($D4128="",$R4128="Trùng"),"",IF(COUNTIF(ORDERS!$C$2:$C$4995,$D4128)&gt;0,"Có","Không"))</f>
        <v/>
      </c>
      <c r="W4128" s="22">
        <f>IF(OR($D4128="",$R4128="Trùng"),"",COUNTIFS(ORDERS!$C$2:$C$4995,$D4128,ORDERS!$L$2:$L$4995,"Đã chuyển khoản"))</f>
        <v/>
      </c>
      <c r="X4128" s="23">
        <f>IF(OR($D4128="",$R4128="Trùng"),"",SUMIFS(ORDERS!$J$2:$J$4995,ORDERS!$C$2:$C$4995,$D4128,ORDERS!$L$2:$L$4995,"Đã chuyển khoản"))</f>
        <v/>
      </c>
      <c r="Y4128" s="24" t="n"/>
    </row>
    <row r="4129" ht="14.25" customHeight="1" s="40">
      <c r="A4129" s="24" t="n"/>
      <c r="B4129" s="27" t="n"/>
      <c r="C4129" s="24" t="n"/>
      <c r="D4129" s="28" t="n"/>
      <c r="E4129" s="29" t="n"/>
      <c r="F4129" s="24" t="n"/>
      <c r="G4129" s="24" t="n"/>
      <c r="H4129" s="21">
        <f>IF(ISNUMBER($B4129),INT($B4129)-WEEKDAY($B4129,2)+1,"")</f>
        <v/>
      </c>
      <c r="I4129" s="24" t="n"/>
      <c r="J4129" s="22">
        <f t="array" ref="J4129">IF($D4129="","",IF($I4129="","(trống REF)",IFERROR(INDEX(MASTER_SOURCE!$B$2:$B$495,MATCH($I4129,MASTER_SOURCE!$A$2:$A$495,0)),"(REF không có trong MASTER_SOURCE)")))</f>
        <v/>
      </c>
      <c r="K4129" s="22">
        <f t="array" ref="K4129">IF($D4129="","",IFERROR(INDEX(MASTER_SOURCE!$C$2:$C$495,MATCH($I4129,MASTER_SOURCE!$A$2:$A$495,0)),""))</f>
        <v/>
      </c>
      <c r="L4129" s="22">
        <f t="array" ref="L4129">IF($D4129="","",IFERROR(INDEX(MASTER_SOURCE!$D$2:$D$495,MATCH($I4129,MASTER_SOURCE!$A$2:$A$495,0)),""))</f>
        <v/>
      </c>
      <c r="M4129" s="24" t="n"/>
      <c r="N4129" s="24" t="n"/>
      <c r="O4129" s="24" t="n"/>
      <c r="P4129" s="24" t="n"/>
      <c r="Q4129" s="22">
        <f>IF($D4129="","",IF(AND(OR(DANH_MUC!$L$5&lt;&gt;"Có",M4129="Có"),OR(DANH_MUC!$L$6&lt;&gt;"Có",N4129="Có"),OR(DANH_MUC!$L$7&lt;&gt;"Có",O4129="Có"),OR(DANH_MUC!$L$8&lt;&gt;"Có",P4129="Có")),"Có","Không"))</f>
        <v/>
      </c>
      <c r="R4129" s="22">
        <f>IF($D4129="","",IF(COUNTIF($D$2:$D4129,$D4129)&gt;1,"Trùng",""))</f>
        <v/>
      </c>
      <c r="S4129" s="22">
        <f>IF($D4129="","",IF(AND(LEN($D4129)=10,LEFT($D4129,1)="0",ISNUMBER(--$D4129)),"Có","Không"))</f>
        <v/>
      </c>
      <c r="T4129" s="22">
        <f>IF($D4129="","",IF(AND($C4129&lt;&gt;"",$Q4129="Có",$R4129="",$S4129="Có",AND($L4129&lt;&gt;"",OR($L4129&lt;&gt;"Chưa xác định",DANH_MUC!$L$9="Có"))),"Có","Không"))</f>
        <v/>
      </c>
      <c r="U4129" s="22">
        <f>IF(OR($D4129="",$T4129="Có"),"",IF($C4129="","Thiếu họ tên; ","")&amp;IF($S4129&lt;&gt;"Có","SĐT sai định dạng; ","")&amp;IF($R4129="Trùng","Trùng SĐT; ","")&amp;IF($Q4129&lt;&gt;"Có","Thiếu đồng ý bắt buộc; ","")&amp;IF($L4129="","Thiếu/sai Mã REF; ",IF(AND($L4129="Chưa xác định",DANH_MUC!$L$9&lt;&gt;"Có"),"Nguồn chưa xác định; ","")))</f>
        <v/>
      </c>
      <c r="V4129" s="22">
        <f>IF(OR($D4129="",$R4129="Trùng"),"",IF(COUNTIF(ORDERS!$C$2:$C$4995,$D4129)&gt;0,"Có","Không"))</f>
        <v/>
      </c>
      <c r="W4129" s="22">
        <f>IF(OR($D4129="",$R4129="Trùng"),"",COUNTIFS(ORDERS!$C$2:$C$4995,$D4129,ORDERS!$L$2:$L$4995,"Đã chuyển khoản"))</f>
        <v/>
      </c>
      <c r="X4129" s="23">
        <f>IF(OR($D4129="",$R4129="Trùng"),"",SUMIFS(ORDERS!$J$2:$J$4995,ORDERS!$C$2:$C$4995,$D4129,ORDERS!$L$2:$L$4995,"Đã chuyển khoản"))</f>
        <v/>
      </c>
      <c r="Y4129" s="24" t="n"/>
    </row>
    <row r="4130" ht="14.25" customHeight="1" s="40">
      <c r="A4130" s="24" t="n"/>
      <c r="B4130" s="27" t="n"/>
      <c r="C4130" s="24" t="n"/>
      <c r="D4130" s="28" t="n"/>
      <c r="E4130" s="29" t="n"/>
      <c r="F4130" s="24" t="n"/>
      <c r="G4130" s="24" t="n"/>
      <c r="H4130" s="21">
        <f>IF(ISNUMBER($B4130),INT($B4130)-WEEKDAY($B4130,2)+1,"")</f>
        <v/>
      </c>
      <c r="I4130" s="24" t="n"/>
      <c r="J4130" s="22">
        <f t="array" ref="J4130">IF($D4130="","",IF($I4130="","(trống REF)",IFERROR(INDEX(MASTER_SOURCE!$B$2:$B$495,MATCH($I4130,MASTER_SOURCE!$A$2:$A$495,0)),"(REF không có trong MASTER_SOURCE)")))</f>
        <v/>
      </c>
      <c r="K4130" s="22">
        <f t="array" ref="K4130">IF($D4130="","",IFERROR(INDEX(MASTER_SOURCE!$C$2:$C$495,MATCH($I4130,MASTER_SOURCE!$A$2:$A$495,0)),""))</f>
        <v/>
      </c>
      <c r="L4130" s="22">
        <f t="array" ref="L4130">IF($D4130="","",IFERROR(INDEX(MASTER_SOURCE!$D$2:$D$495,MATCH($I4130,MASTER_SOURCE!$A$2:$A$495,0)),""))</f>
        <v/>
      </c>
      <c r="M4130" s="24" t="n"/>
      <c r="N4130" s="24" t="n"/>
      <c r="O4130" s="24" t="n"/>
      <c r="P4130" s="24" t="n"/>
      <c r="Q4130" s="22">
        <f>IF($D4130="","",IF(AND(OR(DANH_MUC!$L$5&lt;&gt;"Có",M4130="Có"),OR(DANH_MUC!$L$6&lt;&gt;"Có",N4130="Có"),OR(DANH_MUC!$L$7&lt;&gt;"Có",O4130="Có"),OR(DANH_MUC!$L$8&lt;&gt;"Có",P4130="Có")),"Có","Không"))</f>
        <v/>
      </c>
      <c r="R4130" s="22">
        <f>IF($D4130="","",IF(COUNTIF($D$2:$D4130,$D4130)&gt;1,"Trùng",""))</f>
        <v/>
      </c>
      <c r="S4130" s="22">
        <f>IF($D4130="","",IF(AND(LEN($D4130)=10,LEFT($D4130,1)="0",ISNUMBER(--$D4130)),"Có","Không"))</f>
        <v/>
      </c>
      <c r="T4130" s="22">
        <f>IF($D4130="","",IF(AND($C4130&lt;&gt;"",$Q4130="Có",$R4130="",$S4130="Có",AND($L4130&lt;&gt;"",OR($L4130&lt;&gt;"Chưa xác định",DANH_MUC!$L$9="Có"))),"Có","Không"))</f>
        <v/>
      </c>
      <c r="U4130" s="22">
        <f>IF(OR($D4130="",$T4130="Có"),"",IF($C4130="","Thiếu họ tên; ","")&amp;IF($S4130&lt;&gt;"Có","SĐT sai định dạng; ","")&amp;IF($R4130="Trùng","Trùng SĐT; ","")&amp;IF($Q4130&lt;&gt;"Có","Thiếu đồng ý bắt buộc; ","")&amp;IF($L4130="","Thiếu/sai Mã REF; ",IF(AND($L4130="Chưa xác định",DANH_MUC!$L$9&lt;&gt;"Có"),"Nguồn chưa xác định; ","")))</f>
        <v/>
      </c>
      <c r="V4130" s="22">
        <f>IF(OR($D4130="",$R4130="Trùng"),"",IF(COUNTIF(ORDERS!$C$2:$C$4995,$D4130)&gt;0,"Có","Không"))</f>
        <v/>
      </c>
      <c r="W4130" s="22">
        <f>IF(OR($D4130="",$R4130="Trùng"),"",COUNTIFS(ORDERS!$C$2:$C$4995,$D4130,ORDERS!$L$2:$L$4995,"Đã chuyển khoản"))</f>
        <v/>
      </c>
      <c r="X4130" s="23">
        <f>IF(OR($D4130="",$R4130="Trùng"),"",SUMIFS(ORDERS!$J$2:$J$4995,ORDERS!$C$2:$C$4995,$D4130,ORDERS!$L$2:$L$4995,"Đã chuyển khoản"))</f>
        <v/>
      </c>
      <c r="Y4130" s="24" t="n"/>
    </row>
    <row r="4131" ht="14.25" customHeight="1" s="40">
      <c r="A4131" s="24" t="n"/>
      <c r="B4131" s="27" t="n"/>
      <c r="C4131" s="24" t="n"/>
      <c r="D4131" s="28" t="n"/>
      <c r="E4131" s="29" t="n"/>
      <c r="F4131" s="24" t="n"/>
      <c r="G4131" s="24" t="n"/>
      <c r="H4131" s="21">
        <f>IF(ISNUMBER($B4131),INT($B4131)-WEEKDAY($B4131,2)+1,"")</f>
        <v/>
      </c>
      <c r="I4131" s="24" t="n"/>
      <c r="J4131" s="22">
        <f t="array" ref="J4131">IF($D4131="","",IF($I4131="","(trống REF)",IFERROR(INDEX(MASTER_SOURCE!$B$2:$B$495,MATCH($I4131,MASTER_SOURCE!$A$2:$A$495,0)),"(REF không có trong MASTER_SOURCE)")))</f>
        <v/>
      </c>
      <c r="K4131" s="22">
        <f t="array" ref="K4131">IF($D4131="","",IFERROR(INDEX(MASTER_SOURCE!$C$2:$C$495,MATCH($I4131,MASTER_SOURCE!$A$2:$A$495,0)),""))</f>
        <v/>
      </c>
      <c r="L4131" s="22">
        <f t="array" ref="L4131">IF($D4131="","",IFERROR(INDEX(MASTER_SOURCE!$D$2:$D$495,MATCH($I4131,MASTER_SOURCE!$A$2:$A$495,0)),""))</f>
        <v/>
      </c>
      <c r="M4131" s="24" t="n"/>
      <c r="N4131" s="24" t="n"/>
      <c r="O4131" s="24" t="n"/>
      <c r="P4131" s="24" t="n"/>
      <c r="Q4131" s="22">
        <f>IF($D4131="","",IF(AND(OR(DANH_MUC!$L$5&lt;&gt;"Có",M4131="Có"),OR(DANH_MUC!$L$6&lt;&gt;"Có",N4131="Có"),OR(DANH_MUC!$L$7&lt;&gt;"Có",O4131="Có"),OR(DANH_MUC!$L$8&lt;&gt;"Có",P4131="Có")),"Có","Không"))</f>
        <v/>
      </c>
      <c r="R4131" s="22">
        <f>IF($D4131="","",IF(COUNTIF($D$2:$D4131,$D4131)&gt;1,"Trùng",""))</f>
        <v/>
      </c>
      <c r="S4131" s="22">
        <f>IF($D4131="","",IF(AND(LEN($D4131)=10,LEFT($D4131,1)="0",ISNUMBER(--$D4131)),"Có","Không"))</f>
        <v/>
      </c>
      <c r="T4131" s="22">
        <f>IF($D4131="","",IF(AND($C4131&lt;&gt;"",$Q4131="Có",$R4131="",$S4131="Có",AND($L4131&lt;&gt;"",OR($L4131&lt;&gt;"Chưa xác định",DANH_MUC!$L$9="Có"))),"Có","Không"))</f>
        <v/>
      </c>
      <c r="U4131" s="22">
        <f>IF(OR($D4131="",$T4131="Có"),"",IF($C4131="","Thiếu họ tên; ","")&amp;IF($S4131&lt;&gt;"Có","SĐT sai định dạng; ","")&amp;IF($R4131="Trùng","Trùng SĐT; ","")&amp;IF($Q4131&lt;&gt;"Có","Thiếu đồng ý bắt buộc; ","")&amp;IF($L4131="","Thiếu/sai Mã REF; ",IF(AND($L4131="Chưa xác định",DANH_MUC!$L$9&lt;&gt;"Có"),"Nguồn chưa xác định; ","")))</f>
        <v/>
      </c>
      <c r="V4131" s="22">
        <f>IF(OR($D4131="",$R4131="Trùng"),"",IF(COUNTIF(ORDERS!$C$2:$C$4995,$D4131)&gt;0,"Có","Không"))</f>
        <v/>
      </c>
      <c r="W4131" s="22">
        <f>IF(OR($D4131="",$R4131="Trùng"),"",COUNTIFS(ORDERS!$C$2:$C$4995,$D4131,ORDERS!$L$2:$L$4995,"Đã chuyển khoản"))</f>
        <v/>
      </c>
      <c r="X4131" s="23">
        <f>IF(OR($D4131="",$R4131="Trùng"),"",SUMIFS(ORDERS!$J$2:$J$4995,ORDERS!$C$2:$C$4995,$D4131,ORDERS!$L$2:$L$4995,"Đã chuyển khoản"))</f>
        <v/>
      </c>
      <c r="Y4131" s="24" t="n"/>
    </row>
    <row r="4132" ht="14.25" customHeight="1" s="40">
      <c r="A4132" s="24" t="n"/>
      <c r="B4132" s="27" t="n"/>
      <c r="C4132" s="24" t="n"/>
      <c r="D4132" s="28" t="n"/>
      <c r="E4132" s="29" t="n"/>
      <c r="F4132" s="24" t="n"/>
      <c r="G4132" s="24" t="n"/>
      <c r="H4132" s="21">
        <f>IF(ISNUMBER($B4132),INT($B4132)-WEEKDAY($B4132,2)+1,"")</f>
        <v/>
      </c>
      <c r="I4132" s="24" t="n"/>
      <c r="J4132" s="22">
        <f t="array" ref="J4132">IF($D4132="","",IF($I4132="","(trống REF)",IFERROR(INDEX(MASTER_SOURCE!$B$2:$B$495,MATCH($I4132,MASTER_SOURCE!$A$2:$A$495,0)),"(REF không có trong MASTER_SOURCE)")))</f>
        <v/>
      </c>
      <c r="K4132" s="22">
        <f t="array" ref="K4132">IF($D4132="","",IFERROR(INDEX(MASTER_SOURCE!$C$2:$C$495,MATCH($I4132,MASTER_SOURCE!$A$2:$A$495,0)),""))</f>
        <v/>
      </c>
      <c r="L4132" s="22">
        <f t="array" ref="L4132">IF($D4132="","",IFERROR(INDEX(MASTER_SOURCE!$D$2:$D$495,MATCH($I4132,MASTER_SOURCE!$A$2:$A$495,0)),""))</f>
        <v/>
      </c>
      <c r="M4132" s="24" t="n"/>
      <c r="N4132" s="24" t="n"/>
      <c r="O4132" s="24" t="n"/>
      <c r="P4132" s="24" t="n"/>
      <c r="Q4132" s="22">
        <f>IF($D4132="","",IF(AND(OR(DANH_MUC!$L$5&lt;&gt;"Có",M4132="Có"),OR(DANH_MUC!$L$6&lt;&gt;"Có",N4132="Có"),OR(DANH_MUC!$L$7&lt;&gt;"Có",O4132="Có"),OR(DANH_MUC!$L$8&lt;&gt;"Có",P4132="Có")),"Có","Không"))</f>
        <v/>
      </c>
      <c r="R4132" s="22">
        <f>IF($D4132="","",IF(COUNTIF($D$2:$D4132,$D4132)&gt;1,"Trùng",""))</f>
        <v/>
      </c>
      <c r="S4132" s="22">
        <f>IF($D4132="","",IF(AND(LEN($D4132)=10,LEFT($D4132,1)="0",ISNUMBER(--$D4132)),"Có","Không"))</f>
        <v/>
      </c>
      <c r="T4132" s="22">
        <f>IF($D4132="","",IF(AND($C4132&lt;&gt;"",$Q4132="Có",$R4132="",$S4132="Có",AND($L4132&lt;&gt;"",OR($L4132&lt;&gt;"Chưa xác định",DANH_MUC!$L$9="Có"))),"Có","Không"))</f>
        <v/>
      </c>
      <c r="U4132" s="22">
        <f>IF(OR($D4132="",$T4132="Có"),"",IF($C4132="","Thiếu họ tên; ","")&amp;IF($S4132&lt;&gt;"Có","SĐT sai định dạng; ","")&amp;IF($R4132="Trùng","Trùng SĐT; ","")&amp;IF($Q4132&lt;&gt;"Có","Thiếu đồng ý bắt buộc; ","")&amp;IF($L4132="","Thiếu/sai Mã REF; ",IF(AND($L4132="Chưa xác định",DANH_MUC!$L$9&lt;&gt;"Có"),"Nguồn chưa xác định; ","")))</f>
        <v/>
      </c>
      <c r="V4132" s="22">
        <f>IF(OR($D4132="",$R4132="Trùng"),"",IF(COUNTIF(ORDERS!$C$2:$C$4995,$D4132)&gt;0,"Có","Không"))</f>
        <v/>
      </c>
      <c r="W4132" s="22">
        <f>IF(OR($D4132="",$R4132="Trùng"),"",COUNTIFS(ORDERS!$C$2:$C$4995,$D4132,ORDERS!$L$2:$L$4995,"Đã chuyển khoản"))</f>
        <v/>
      </c>
      <c r="X4132" s="23">
        <f>IF(OR($D4132="",$R4132="Trùng"),"",SUMIFS(ORDERS!$J$2:$J$4995,ORDERS!$C$2:$C$4995,$D4132,ORDERS!$L$2:$L$4995,"Đã chuyển khoản"))</f>
        <v/>
      </c>
      <c r="Y4132" s="24" t="n"/>
    </row>
    <row r="4133" ht="14.25" customHeight="1" s="40">
      <c r="A4133" s="24" t="n"/>
      <c r="B4133" s="27" t="n"/>
      <c r="C4133" s="24" t="n"/>
      <c r="D4133" s="28" t="n"/>
      <c r="E4133" s="29" t="n"/>
      <c r="F4133" s="24" t="n"/>
      <c r="G4133" s="24" t="n"/>
      <c r="H4133" s="21">
        <f>IF(ISNUMBER($B4133),INT($B4133)-WEEKDAY($B4133,2)+1,"")</f>
        <v/>
      </c>
      <c r="I4133" s="24" t="n"/>
      <c r="J4133" s="22">
        <f t="array" ref="J4133">IF($D4133="","",IF($I4133="","(trống REF)",IFERROR(INDEX(MASTER_SOURCE!$B$2:$B$495,MATCH($I4133,MASTER_SOURCE!$A$2:$A$495,0)),"(REF không có trong MASTER_SOURCE)")))</f>
        <v/>
      </c>
      <c r="K4133" s="22">
        <f t="array" ref="K4133">IF($D4133="","",IFERROR(INDEX(MASTER_SOURCE!$C$2:$C$495,MATCH($I4133,MASTER_SOURCE!$A$2:$A$495,0)),""))</f>
        <v/>
      </c>
      <c r="L4133" s="22">
        <f t="array" ref="L4133">IF($D4133="","",IFERROR(INDEX(MASTER_SOURCE!$D$2:$D$495,MATCH($I4133,MASTER_SOURCE!$A$2:$A$495,0)),""))</f>
        <v/>
      </c>
      <c r="M4133" s="24" t="n"/>
      <c r="N4133" s="24" t="n"/>
      <c r="O4133" s="24" t="n"/>
      <c r="P4133" s="24" t="n"/>
      <c r="Q4133" s="22">
        <f>IF($D4133="","",IF(AND(OR(DANH_MUC!$L$5&lt;&gt;"Có",M4133="Có"),OR(DANH_MUC!$L$6&lt;&gt;"Có",N4133="Có"),OR(DANH_MUC!$L$7&lt;&gt;"Có",O4133="Có"),OR(DANH_MUC!$L$8&lt;&gt;"Có",P4133="Có")),"Có","Không"))</f>
        <v/>
      </c>
      <c r="R4133" s="22">
        <f>IF($D4133="","",IF(COUNTIF($D$2:$D4133,$D4133)&gt;1,"Trùng",""))</f>
        <v/>
      </c>
      <c r="S4133" s="22">
        <f>IF($D4133="","",IF(AND(LEN($D4133)=10,LEFT($D4133,1)="0",ISNUMBER(--$D4133)),"Có","Không"))</f>
        <v/>
      </c>
      <c r="T4133" s="22">
        <f>IF($D4133="","",IF(AND($C4133&lt;&gt;"",$Q4133="Có",$R4133="",$S4133="Có",AND($L4133&lt;&gt;"",OR($L4133&lt;&gt;"Chưa xác định",DANH_MUC!$L$9="Có"))),"Có","Không"))</f>
        <v/>
      </c>
      <c r="U4133" s="22">
        <f>IF(OR($D4133="",$T4133="Có"),"",IF($C4133="","Thiếu họ tên; ","")&amp;IF($S4133&lt;&gt;"Có","SĐT sai định dạng; ","")&amp;IF($R4133="Trùng","Trùng SĐT; ","")&amp;IF($Q4133&lt;&gt;"Có","Thiếu đồng ý bắt buộc; ","")&amp;IF($L4133="","Thiếu/sai Mã REF; ",IF(AND($L4133="Chưa xác định",DANH_MUC!$L$9&lt;&gt;"Có"),"Nguồn chưa xác định; ","")))</f>
        <v/>
      </c>
      <c r="V4133" s="22">
        <f>IF(OR($D4133="",$R4133="Trùng"),"",IF(COUNTIF(ORDERS!$C$2:$C$4995,$D4133)&gt;0,"Có","Không"))</f>
        <v/>
      </c>
      <c r="W4133" s="22">
        <f>IF(OR($D4133="",$R4133="Trùng"),"",COUNTIFS(ORDERS!$C$2:$C$4995,$D4133,ORDERS!$L$2:$L$4995,"Đã chuyển khoản"))</f>
        <v/>
      </c>
      <c r="X4133" s="23">
        <f>IF(OR($D4133="",$R4133="Trùng"),"",SUMIFS(ORDERS!$J$2:$J$4995,ORDERS!$C$2:$C$4995,$D4133,ORDERS!$L$2:$L$4995,"Đã chuyển khoản"))</f>
        <v/>
      </c>
      <c r="Y4133" s="24" t="n"/>
    </row>
    <row r="4134" ht="14.25" customHeight="1" s="40">
      <c r="A4134" s="24" t="n"/>
      <c r="B4134" s="27" t="n"/>
      <c r="C4134" s="24" t="n"/>
      <c r="D4134" s="28" t="n"/>
      <c r="E4134" s="29" t="n"/>
      <c r="F4134" s="24" t="n"/>
      <c r="G4134" s="24" t="n"/>
      <c r="H4134" s="21">
        <f>IF(ISNUMBER($B4134),INT($B4134)-WEEKDAY($B4134,2)+1,"")</f>
        <v/>
      </c>
      <c r="I4134" s="24" t="n"/>
      <c r="J4134" s="22">
        <f t="array" ref="J4134">IF($D4134="","",IF($I4134="","(trống REF)",IFERROR(INDEX(MASTER_SOURCE!$B$2:$B$495,MATCH($I4134,MASTER_SOURCE!$A$2:$A$495,0)),"(REF không có trong MASTER_SOURCE)")))</f>
        <v/>
      </c>
      <c r="K4134" s="22">
        <f t="array" ref="K4134">IF($D4134="","",IFERROR(INDEX(MASTER_SOURCE!$C$2:$C$495,MATCH($I4134,MASTER_SOURCE!$A$2:$A$495,0)),""))</f>
        <v/>
      </c>
      <c r="L4134" s="22">
        <f t="array" ref="L4134">IF($D4134="","",IFERROR(INDEX(MASTER_SOURCE!$D$2:$D$495,MATCH($I4134,MASTER_SOURCE!$A$2:$A$495,0)),""))</f>
        <v/>
      </c>
      <c r="M4134" s="24" t="n"/>
      <c r="N4134" s="24" t="n"/>
      <c r="O4134" s="24" t="n"/>
      <c r="P4134" s="24" t="n"/>
      <c r="Q4134" s="22">
        <f>IF($D4134="","",IF(AND(OR(DANH_MUC!$L$5&lt;&gt;"Có",M4134="Có"),OR(DANH_MUC!$L$6&lt;&gt;"Có",N4134="Có"),OR(DANH_MUC!$L$7&lt;&gt;"Có",O4134="Có"),OR(DANH_MUC!$L$8&lt;&gt;"Có",P4134="Có")),"Có","Không"))</f>
        <v/>
      </c>
      <c r="R4134" s="22">
        <f>IF($D4134="","",IF(COUNTIF($D$2:$D4134,$D4134)&gt;1,"Trùng",""))</f>
        <v/>
      </c>
      <c r="S4134" s="22">
        <f>IF($D4134="","",IF(AND(LEN($D4134)=10,LEFT($D4134,1)="0",ISNUMBER(--$D4134)),"Có","Không"))</f>
        <v/>
      </c>
      <c r="T4134" s="22">
        <f>IF($D4134="","",IF(AND($C4134&lt;&gt;"",$Q4134="Có",$R4134="",$S4134="Có",AND($L4134&lt;&gt;"",OR($L4134&lt;&gt;"Chưa xác định",DANH_MUC!$L$9="Có"))),"Có","Không"))</f>
        <v/>
      </c>
      <c r="U4134" s="22">
        <f>IF(OR($D4134="",$T4134="Có"),"",IF($C4134="","Thiếu họ tên; ","")&amp;IF($S4134&lt;&gt;"Có","SĐT sai định dạng; ","")&amp;IF($R4134="Trùng","Trùng SĐT; ","")&amp;IF($Q4134&lt;&gt;"Có","Thiếu đồng ý bắt buộc; ","")&amp;IF($L4134="","Thiếu/sai Mã REF; ",IF(AND($L4134="Chưa xác định",DANH_MUC!$L$9&lt;&gt;"Có"),"Nguồn chưa xác định; ","")))</f>
        <v/>
      </c>
      <c r="V4134" s="22">
        <f>IF(OR($D4134="",$R4134="Trùng"),"",IF(COUNTIF(ORDERS!$C$2:$C$4995,$D4134)&gt;0,"Có","Không"))</f>
        <v/>
      </c>
      <c r="W4134" s="22">
        <f>IF(OR($D4134="",$R4134="Trùng"),"",COUNTIFS(ORDERS!$C$2:$C$4995,$D4134,ORDERS!$L$2:$L$4995,"Đã chuyển khoản"))</f>
        <v/>
      </c>
      <c r="X4134" s="23">
        <f>IF(OR($D4134="",$R4134="Trùng"),"",SUMIFS(ORDERS!$J$2:$J$4995,ORDERS!$C$2:$C$4995,$D4134,ORDERS!$L$2:$L$4995,"Đã chuyển khoản"))</f>
        <v/>
      </c>
      <c r="Y4134" s="24" t="n"/>
    </row>
    <row r="4135" ht="14.25" customHeight="1" s="40">
      <c r="A4135" s="24" t="n"/>
      <c r="B4135" s="27" t="n"/>
      <c r="C4135" s="24" t="n"/>
      <c r="D4135" s="28" t="n"/>
      <c r="E4135" s="29" t="n"/>
      <c r="F4135" s="24" t="n"/>
      <c r="G4135" s="24" t="n"/>
      <c r="H4135" s="21">
        <f>IF(ISNUMBER($B4135),INT($B4135)-WEEKDAY($B4135,2)+1,"")</f>
        <v/>
      </c>
      <c r="I4135" s="24" t="n"/>
      <c r="J4135" s="22">
        <f t="array" ref="J4135">IF($D4135="","",IF($I4135="","(trống REF)",IFERROR(INDEX(MASTER_SOURCE!$B$2:$B$495,MATCH($I4135,MASTER_SOURCE!$A$2:$A$495,0)),"(REF không có trong MASTER_SOURCE)")))</f>
        <v/>
      </c>
      <c r="K4135" s="22">
        <f t="array" ref="K4135">IF($D4135="","",IFERROR(INDEX(MASTER_SOURCE!$C$2:$C$495,MATCH($I4135,MASTER_SOURCE!$A$2:$A$495,0)),""))</f>
        <v/>
      </c>
      <c r="L4135" s="22">
        <f t="array" ref="L4135">IF($D4135="","",IFERROR(INDEX(MASTER_SOURCE!$D$2:$D$495,MATCH($I4135,MASTER_SOURCE!$A$2:$A$495,0)),""))</f>
        <v/>
      </c>
      <c r="M4135" s="24" t="n"/>
      <c r="N4135" s="24" t="n"/>
      <c r="O4135" s="24" t="n"/>
      <c r="P4135" s="24" t="n"/>
      <c r="Q4135" s="22">
        <f>IF($D4135="","",IF(AND(OR(DANH_MUC!$L$5&lt;&gt;"Có",M4135="Có"),OR(DANH_MUC!$L$6&lt;&gt;"Có",N4135="Có"),OR(DANH_MUC!$L$7&lt;&gt;"Có",O4135="Có"),OR(DANH_MUC!$L$8&lt;&gt;"Có",P4135="Có")),"Có","Không"))</f>
        <v/>
      </c>
      <c r="R4135" s="22">
        <f>IF($D4135="","",IF(COUNTIF($D$2:$D4135,$D4135)&gt;1,"Trùng",""))</f>
        <v/>
      </c>
      <c r="S4135" s="22">
        <f>IF($D4135="","",IF(AND(LEN($D4135)=10,LEFT($D4135,1)="0",ISNUMBER(--$D4135)),"Có","Không"))</f>
        <v/>
      </c>
      <c r="T4135" s="22">
        <f>IF($D4135="","",IF(AND($C4135&lt;&gt;"",$Q4135="Có",$R4135="",$S4135="Có",AND($L4135&lt;&gt;"",OR($L4135&lt;&gt;"Chưa xác định",DANH_MUC!$L$9="Có"))),"Có","Không"))</f>
        <v/>
      </c>
      <c r="U4135" s="22">
        <f>IF(OR($D4135="",$T4135="Có"),"",IF($C4135="","Thiếu họ tên; ","")&amp;IF($S4135&lt;&gt;"Có","SĐT sai định dạng; ","")&amp;IF($R4135="Trùng","Trùng SĐT; ","")&amp;IF($Q4135&lt;&gt;"Có","Thiếu đồng ý bắt buộc; ","")&amp;IF($L4135="","Thiếu/sai Mã REF; ",IF(AND($L4135="Chưa xác định",DANH_MUC!$L$9&lt;&gt;"Có"),"Nguồn chưa xác định; ","")))</f>
        <v/>
      </c>
      <c r="V4135" s="22">
        <f>IF(OR($D4135="",$R4135="Trùng"),"",IF(COUNTIF(ORDERS!$C$2:$C$4995,$D4135)&gt;0,"Có","Không"))</f>
        <v/>
      </c>
      <c r="W4135" s="22">
        <f>IF(OR($D4135="",$R4135="Trùng"),"",COUNTIFS(ORDERS!$C$2:$C$4995,$D4135,ORDERS!$L$2:$L$4995,"Đã chuyển khoản"))</f>
        <v/>
      </c>
      <c r="X4135" s="23">
        <f>IF(OR($D4135="",$R4135="Trùng"),"",SUMIFS(ORDERS!$J$2:$J$4995,ORDERS!$C$2:$C$4995,$D4135,ORDERS!$L$2:$L$4995,"Đã chuyển khoản"))</f>
        <v/>
      </c>
      <c r="Y4135" s="24" t="n"/>
    </row>
    <row r="4136" ht="14.25" customHeight="1" s="40">
      <c r="A4136" s="24" t="n"/>
      <c r="B4136" s="27" t="n"/>
      <c r="C4136" s="24" t="n"/>
      <c r="D4136" s="28" t="n"/>
      <c r="E4136" s="29" t="n"/>
      <c r="F4136" s="24" t="n"/>
      <c r="G4136" s="24" t="n"/>
      <c r="H4136" s="21">
        <f>IF(ISNUMBER($B4136),INT($B4136)-WEEKDAY($B4136,2)+1,"")</f>
        <v/>
      </c>
      <c r="I4136" s="24" t="n"/>
      <c r="J4136" s="22">
        <f t="array" ref="J4136">IF($D4136="","",IF($I4136="","(trống REF)",IFERROR(INDEX(MASTER_SOURCE!$B$2:$B$495,MATCH($I4136,MASTER_SOURCE!$A$2:$A$495,0)),"(REF không có trong MASTER_SOURCE)")))</f>
        <v/>
      </c>
      <c r="K4136" s="22">
        <f t="array" ref="K4136">IF($D4136="","",IFERROR(INDEX(MASTER_SOURCE!$C$2:$C$495,MATCH($I4136,MASTER_SOURCE!$A$2:$A$495,0)),""))</f>
        <v/>
      </c>
      <c r="L4136" s="22">
        <f t="array" ref="L4136">IF($D4136="","",IFERROR(INDEX(MASTER_SOURCE!$D$2:$D$495,MATCH($I4136,MASTER_SOURCE!$A$2:$A$495,0)),""))</f>
        <v/>
      </c>
      <c r="M4136" s="24" t="n"/>
      <c r="N4136" s="24" t="n"/>
      <c r="O4136" s="24" t="n"/>
      <c r="P4136" s="24" t="n"/>
      <c r="Q4136" s="22">
        <f>IF($D4136="","",IF(AND(OR(DANH_MUC!$L$5&lt;&gt;"Có",M4136="Có"),OR(DANH_MUC!$L$6&lt;&gt;"Có",N4136="Có"),OR(DANH_MUC!$L$7&lt;&gt;"Có",O4136="Có"),OR(DANH_MUC!$L$8&lt;&gt;"Có",P4136="Có")),"Có","Không"))</f>
        <v/>
      </c>
      <c r="R4136" s="22">
        <f>IF($D4136="","",IF(COUNTIF($D$2:$D4136,$D4136)&gt;1,"Trùng",""))</f>
        <v/>
      </c>
      <c r="S4136" s="22">
        <f>IF($D4136="","",IF(AND(LEN($D4136)=10,LEFT($D4136,1)="0",ISNUMBER(--$D4136)),"Có","Không"))</f>
        <v/>
      </c>
      <c r="T4136" s="22">
        <f>IF($D4136="","",IF(AND($C4136&lt;&gt;"",$Q4136="Có",$R4136="",$S4136="Có",AND($L4136&lt;&gt;"",OR($L4136&lt;&gt;"Chưa xác định",DANH_MUC!$L$9="Có"))),"Có","Không"))</f>
        <v/>
      </c>
      <c r="U4136" s="22">
        <f>IF(OR($D4136="",$T4136="Có"),"",IF($C4136="","Thiếu họ tên; ","")&amp;IF($S4136&lt;&gt;"Có","SĐT sai định dạng; ","")&amp;IF($R4136="Trùng","Trùng SĐT; ","")&amp;IF($Q4136&lt;&gt;"Có","Thiếu đồng ý bắt buộc; ","")&amp;IF($L4136="","Thiếu/sai Mã REF; ",IF(AND($L4136="Chưa xác định",DANH_MUC!$L$9&lt;&gt;"Có"),"Nguồn chưa xác định; ","")))</f>
        <v/>
      </c>
      <c r="V4136" s="22">
        <f>IF(OR($D4136="",$R4136="Trùng"),"",IF(COUNTIF(ORDERS!$C$2:$C$4995,$D4136)&gt;0,"Có","Không"))</f>
        <v/>
      </c>
      <c r="W4136" s="22">
        <f>IF(OR($D4136="",$R4136="Trùng"),"",COUNTIFS(ORDERS!$C$2:$C$4995,$D4136,ORDERS!$L$2:$L$4995,"Đã chuyển khoản"))</f>
        <v/>
      </c>
      <c r="X4136" s="23">
        <f>IF(OR($D4136="",$R4136="Trùng"),"",SUMIFS(ORDERS!$J$2:$J$4995,ORDERS!$C$2:$C$4995,$D4136,ORDERS!$L$2:$L$4995,"Đã chuyển khoản"))</f>
        <v/>
      </c>
      <c r="Y4136" s="24" t="n"/>
    </row>
    <row r="4137" ht="14.25" customHeight="1" s="40">
      <c r="A4137" s="24" t="n"/>
      <c r="B4137" s="27" t="n"/>
      <c r="C4137" s="24" t="n"/>
      <c r="D4137" s="28" t="n"/>
      <c r="E4137" s="29" t="n"/>
      <c r="F4137" s="24" t="n"/>
      <c r="G4137" s="24" t="n"/>
      <c r="H4137" s="21">
        <f>IF(ISNUMBER($B4137),INT($B4137)-WEEKDAY($B4137,2)+1,"")</f>
        <v/>
      </c>
      <c r="I4137" s="24" t="n"/>
      <c r="J4137" s="22">
        <f t="array" ref="J4137">IF($D4137="","",IF($I4137="","(trống REF)",IFERROR(INDEX(MASTER_SOURCE!$B$2:$B$495,MATCH($I4137,MASTER_SOURCE!$A$2:$A$495,0)),"(REF không có trong MASTER_SOURCE)")))</f>
        <v/>
      </c>
      <c r="K4137" s="22">
        <f t="array" ref="K4137">IF($D4137="","",IFERROR(INDEX(MASTER_SOURCE!$C$2:$C$495,MATCH($I4137,MASTER_SOURCE!$A$2:$A$495,0)),""))</f>
        <v/>
      </c>
      <c r="L4137" s="22">
        <f t="array" ref="L4137">IF($D4137="","",IFERROR(INDEX(MASTER_SOURCE!$D$2:$D$495,MATCH($I4137,MASTER_SOURCE!$A$2:$A$495,0)),""))</f>
        <v/>
      </c>
      <c r="M4137" s="24" t="n"/>
      <c r="N4137" s="24" t="n"/>
      <c r="O4137" s="24" t="n"/>
      <c r="P4137" s="24" t="n"/>
      <c r="Q4137" s="22">
        <f>IF($D4137="","",IF(AND(OR(DANH_MUC!$L$5&lt;&gt;"Có",M4137="Có"),OR(DANH_MUC!$L$6&lt;&gt;"Có",N4137="Có"),OR(DANH_MUC!$L$7&lt;&gt;"Có",O4137="Có"),OR(DANH_MUC!$L$8&lt;&gt;"Có",P4137="Có")),"Có","Không"))</f>
        <v/>
      </c>
      <c r="R4137" s="22">
        <f>IF($D4137="","",IF(COUNTIF($D$2:$D4137,$D4137)&gt;1,"Trùng",""))</f>
        <v/>
      </c>
      <c r="S4137" s="22">
        <f>IF($D4137="","",IF(AND(LEN($D4137)=10,LEFT($D4137,1)="0",ISNUMBER(--$D4137)),"Có","Không"))</f>
        <v/>
      </c>
      <c r="T4137" s="22">
        <f>IF($D4137="","",IF(AND($C4137&lt;&gt;"",$Q4137="Có",$R4137="",$S4137="Có",AND($L4137&lt;&gt;"",OR($L4137&lt;&gt;"Chưa xác định",DANH_MUC!$L$9="Có"))),"Có","Không"))</f>
        <v/>
      </c>
      <c r="U4137" s="22">
        <f>IF(OR($D4137="",$T4137="Có"),"",IF($C4137="","Thiếu họ tên; ","")&amp;IF($S4137&lt;&gt;"Có","SĐT sai định dạng; ","")&amp;IF($R4137="Trùng","Trùng SĐT; ","")&amp;IF($Q4137&lt;&gt;"Có","Thiếu đồng ý bắt buộc; ","")&amp;IF($L4137="","Thiếu/sai Mã REF; ",IF(AND($L4137="Chưa xác định",DANH_MUC!$L$9&lt;&gt;"Có"),"Nguồn chưa xác định; ","")))</f>
        <v/>
      </c>
      <c r="V4137" s="22">
        <f>IF(OR($D4137="",$R4137="Trùng"),"",IF(COUNTIF(ORDERS!$C$2:$C$4995,$D4137)&gt;0,"Có","Không"))</f>
        <v/>
      </c>
      <c r="W4137" s="22">
        <f>IF(OR($D4137="",$R4137="Trùng"),"",COUNTIFS(ORDERS!$C$2:$C$4995,$D4137,ORDERS!$L$2:$L$4995,"Đã chuyển khoản"))</f>
        <v/>
      </c>
      <c r="X4137" s="23">
        <f>IF(OR($D4137="",$R4137="Trùng"),"",SUMIFS(ORDERS!$J$2:$J$4995,ORDERS!$C$2:$C$4995,$D4137,ORDERS!$L$2:$L$4995,"Đã chuyển khoản"))</f>
        <v/>
      </c>
      <c r="Y4137" s="24" t="n"/>
    </row>
    <row r="4138" ht="14.25" customHeight="1" s="40">
      <c r="A4138" s="24" t="n"/>
      <c r="B4138" s="27" t="n"/>
      <c r="C4138" s="24" t="n"/>
      <c r="D4138" s="28" t="n"/>
      <c r="E4138" s="29" t="n"/>
      <c r="F4138" s="24" t="n"/>
      <c r="G4138" s="24" t="n"/>
      <c r="H4138" s="21">
        <f>IF(ISNUMBER($B4138),INT($B4138)-WEEKDAY($B4138,2)+1,"")</f>
        <v/>
      </c>
      <c r="I4138" s="24" t="n"/>
      <c r="J4138" s="22">
        <f t="array" ref="J4138">IF($D4138="","",IF($I4138="","(trống REF)",IFERROR(INDEX(MASTER_SOURCE!$B$2:$B$495,MATCH($I4138,MASTER_SOURCE!$A$2:$A$495,0)),"(REF không có trong MASTER_SOURCE)")))</f>
        <v/>
      </c>
      <c r="K4138" s="22">
        <f t="array" ref="K4138">IF($D4138="","",IFERROR(INDEX(MASTER_SOURCE!$C$2:$C$495,MATCH($I4138,MASTER_SOURCE!$A$2:$A$495,0)),""))</f>
        <v/>
      </c>
      <c r="L4138" s="22">
        <f t="array" ref="L4138">IF($D4138="","",IFERROR(INDEX(MASTER_SOURCE!$D$2:$D$495,MATCH($I4138,MASTER_SOURCE!$A$2:$A$495,0)),""))</f>
        <v/>
      </c>
      <c r="M4138" s="24" t="n"/>
      <c r="N4138" s="24" t="n"/>
      <c r="O4138" s="24" t="n"/>
      <c r="P4138" s="24" t="n"/>
      <c r="Q4138" s="22">
        <f>IF($D4138="","",IF(AND(OR(DANH_MUC!$L$5&lt;&gt;"Có",M4138="Có"),OR(DANH_MUC!$L$6&lt;&gt;"Có",N4138="Có"),OR(DANH_MUC!$L$7&lt;&gt;"Có",O4138="Có"),OR(DANH_MUC!$L$8&lt;&gt;"Có",P4138="Có")),"Có","Không"))</f>
        <v/>
      </c>
      <c r="R4138" s="22">
        <f>IF($D4138="","",IF(COUNTIF($D$2:$D4138,$D4138)&gt;1,"Trùng",""))</f>
        <v/>
      </c>
      <c r="S4138" s="22">
        <f>IF($D4138="","",IF(AND(LEN($D4138)=10,LEFT($D4138,1)="0",ISNUMBER(--$D4138)),"Có","Không"))</f>
        <v/>
      </c>
      <c r="T4138" s="22">
        <f>IF($D4138="","",IF(AND($C4138&lt;&gt;"",$Q4138="Có",$R4138="",$S4138="Có",AND($L4138&lt;&gt;"",OR($L4138&lt;&gt;"Chưa xác định",DANH_MUC!$L$9="Có"))),"Có","Không"))</f>
        <v/>
      </c>
      <c r="U4138" s="22">
        <f>IF(OR($D4138="",$T4138="Có"),"",IF($C4138="","Thiếu họ tên; ","")&amp;IF($S4138&lt;&gt;"Có","SĐT sai định dạng; ","")&amp;IF($R4138="Trùng","Trùng SĐT; ","")&amp;IF($Q4138&lt;&gt;"Có","Thiếu đồng ý bắt buộc; ","")&amp;IF($L4138="","Thiếu/sai Mã REF; ",IF(AND($L4138="Chưa xác định",DANH_MUC!$L$9&lt;&gt;"Có"),"Nguồn chưa xác định; ","")))</f>
        <v/>
      </c>
      <c r="V4138" s="22">
        <f>IF(OR($D4138="",$R4138="Trùng"),"",IF(COUNTIF(ORDERS!$C$2:$C$4995,$D4138)&gt;0,"Có","Không"))</f>
        <v/>
      </c>
      <c r="W4138" s="22">
        <f>IF(OR($D4138="",$R4138="Trùng"),"",COUNTIFS(ORDERS!$C$2:$C$4995,$D4138,ORDERS!$L$2:$L$4995,"Đã chuyển khoản"))</f>
        <v/>
      </c>
      <c r="X4138" s="23">
        <f>IF(OR($D4138="",$R4138="Trùng"),"",SUMIFS(ORDERS!$J$2:$J$4995,ORDERS!$C$2:$C$4995,$D4138,ORDERS!$L$2:$L$4995,"Đã chuyển khoản"))</f>
        <v/>
      </c>
      <c r="Y4138" s="24" t="n"/>
    </row>
    <row r="4139" ht="14.25" customHeight="1" s="40">
      <c r="A4139" s="24" t="n"/>
      <c r="B4139" s="27" t="n"/>
      <c r="C4139" s="24" t="n"/>
      <c r="D4139" s="28" t="n"/>
      <c r="E4139" s="29" t="n"/>
      <c r="F4139" s="24" t="n"/>
      <c r="G4139" s="24" t="n"/>
      <c r="H4139" s="21">
        <f>IF(ISNUMBER($B4139),INT($B4139)-WEEKDAY($B4139,2)+1,"")</f>
        <v/>
      </c>
      <c r="I4139" s="24" t="n"/>
      <c r="J4139" s="22">
        <f t="array" ref="J4139">IF($D4139="","",IF($I4139="","(trống REF)",IFERROR(INDEX(MASTER_SOURCE!$B$2:$B$495,MATCH($I4139,MASTER_SOURCE!$A$2:$A$495,0)),"(REF không có trong MASTER_SOURCE)")))</f>
        <v/>
      </c>
      <c r="K4139" s="22">
        <f t="array" ref="K4139">IF($D4139="","",IFERROR(INDEX(MASTER_SOURCE!$C$2:$C$495,MATCH($I4139,MASTER_SOURCE!$A$2:$A$495,0)),""))</f>
        <v/>
      </c>
      <c r="L4139" s="22">
        <f t="array" ref="L4139">IF($D4139="","",IFERROR(INDEX(MASTER_SOURCE!$D$2:$D$495,MATCH($I4139,MASTER_SOURCE!$A$2:$A$495,0)),""))</f>
        <v/>
      </c>
      <c r="M4139" s="24" t="n"/>
      <c r="N4139" s="24" t="n"/>
      <c r="O4139" s="24" t="n"/>
      <c r="P4139" s="24" t="n"/>
      <c r="Q4139" s="22">
        <f>IF($D4139="","",IF(AND(OR(DANH_MUC!$L$5&lt;&gt;"Có",M4139="Có"),OR(DANH_MUC!$L$6&lt;&gt;"Có",N4139="Có"),OR(DANH_MUC!$L$7&lt;&gt;"Có",O4139="Có"),OR(DANH_MUC!$L$8&lt;&gt;"Có",P4139="Có")),"Có","Không"))</f>
        <v/>
      </c>
      <c r="R4139" s="22">
        <f>IF($D4139="","",IF(COUNTIF($D$2:$D4139,$D4139)&gt;1,"Trùng",""))</f>
        <v/>
      </c>
      <c r="S4139" s="22">
        <f>IF($D4139="","",IF(AND(LEN($D4139)=10,LEFT($D4139,1)="0",ISNUMBER(--$D4139)),"Có","Không"))</f>
        <v/>
      </c>
      <c r="T4139" s="22">
        <f>IF($D4139="","",IF(AND($C4139&lt;&gt;"",$Q4139="Có",$R4139="",$S4139="Có",AND($L4139&lt;&gt;"",OR($L4139&lt;&gt;"Chưa xác định",DANH_MUC!$L$9="Có"))),"Có","Không"))</f>
        <v/>
      </c>
      <c r="U4139" s="22">
        <f>IF(OR($D4139="",$T4139="Có"),"",IF($C4139="","Thiếu họ tên; ","")&amp;IF($S4139&lt;&gt;"Có","SĐT sai định dạng; ","")&amp;IF($R4139="Trùng","Trùng SĐT; ","")&amp;IF($Q4139&lt;&gt;"Có","Thiếu đồng ý bắt buộc; ","")&amp;IF($L4139="","Thiếu/sai Mã REF; ",IF(AND($L4139="Chưa xác định",DANH_MUC!$L$9&lt;&gt;"Có"),"Nguồn chưa xác định; ","")))</f>
        <v/>
      </c>
      <c r="V4139" s="22">
        <f>IF(OR($D4139="",$R4139="Trùng"),"",IF(COUNTIF(ORDERS!$C$2:$C$4995,$D4139)&gt;0,"Có","Không"))</f>
        <v/>
      </c>
      <c r="W4139" s="22">
        <f>IF(OR($D4139="",$R4139="Trùng"),"",COUNTIFS(ORDERS!$C$2:$C$4995,$D4139,ORDERS!$L$2:$L$4995,"Đã chuyển khoản"))</f>
        <v/>
      </c>
      <c r="X4139" s="23">
        <f>IF(OR($D4139="",$R4139="Trùng"),"",SUMIFS(ORDERS!$J$2:$J$4995,ORDERS!$C$2:$C$4995,$D4139,ORDERS!$L$2:$L$4995,"Đã chuyển khoản"))</f>
        <v/>
      </c>
      <c r="Y4139" s="24" t="n"/>
    </row>
    <row r="4140" ht="14.25" customHeight="1" s="40">
      <c r="A4140" s="24" t="n"/>
      <c r="B4140" s="27" t="n"/>
      <c r="C4140" s="24" t="n"/>
      <c r="D4140" s="28" t="n"/>
      <c r="E4140" s="29" t="n"/>
      <c r="F4140" s="24" t="n"/>
      <c r="G4140" s="24" t="n"/>
      <c r="H4140" s="21">
        <f>IF(ISNUMBER($B4140),INT($B4140)-WEEKDAY($B4140,2)+1,"")</f>
        <v/>
      </c>
      <c r="I4140" s="24" t="n"/>
      <c r="J4140" s="22">
        <f t="array" ref="J4140">IF($D4140="","",IF($I4140="","(trống REF)",IFERROR(INDEX(MASTER_SOURCE!$B$2:$B$495,MATCH($I4140,MASTER_SOURCE!$A$2:$A$495,0)),"(REF không có trong MASTER_SOURCE)")))</f>
        <v/>
      </c>
      <c r="K4140" s="22">
        <f t="array" ref="K4140">IF($D4140="","",IFERROR(INDEX(MASTER_SOURCE!$C$2:$C$495,MATCH($I4140,MASTER_SOURCE!$A$2:$A$495,0)),""))</f>
        <v/>
      </c>
      <c r="L4140" s="22">
        <f t="array" ref="L4140">IF($D4140="","",IFERROR(INDEX(MASTER_SOURCE!$D$2:$D$495,MATCH($I4140,MASTER_SOURCE!$A$2:$A$495,0)),""))</f>
        <v/>
      </c>
      <c r="M4140" s="24" t="n"/>
      <c r="N4140" s="24" t="n"/>
      <c r="O4140" s="24" t="n"/>
      <c r="P4140" s="24" t="n"/>
      <c r="Q4140" s="22">
        <f>IF($D4140="","",IF(AND(OR(DANH_MUC!$L$5&lt;&gt;"Có",M4140="Có"),OR(DANH_MUC!$L$6&lt;&gt;"Có",N4140="Có"),OR(DANH_MUC!$L$7&lt;&gt;"Có",O4140="Có"),OR(DANH_MUC!$L$8&lt;&gt;"Có",P4140="Có")),"Có","Không"))</f>
        <v/>
      </c>
      <c r="R4140" s="22">
        <f>IF($D4140="","",IF(COUNTIF($D$2:$D4140,$D4140)&gt;1,"Trùng",""))</f>
        <v/>
      </c>
      <c r="S4140" s="22">
        <f>IF($D4140="","",IF(AND(LEN($D4140)=10,LEFT($D4140,1)="0",ISNUMBER(--$D4140)),"Có","Không"))</f>
        <v/>
      </c>
      <c r="T4140" s="22">
        <f>IF($D4140="","",IF(AND($C4140&lt;&gt;"",$Q4140="Có",$R4140="",$S4140="Có",AND($L4140&lt;&gt;"",OR($L4140&lt;&gt;"Chưa xác định",DANH_MUC!$L$9="Có"))),"Có","Không"))</f>
        <v/>
      </c>
      <c r="U4140" s="22">
        <f>IF(OR($D4140="",$T4140="Có"),"",IF($C4140="","Thiếu họ tên; ","")&amp;IF($S4140&lt;&gt;"Có","SĐT sai định dạng; ","")&amp;IF($R4140="Trùng","Trùng SĐT; ","")&amp;IF($Q4140&lt;&gt;"Có","Thiếu đồng ý bắt buộc; ","")&amp;IF($L4140="","Thiếu/sai Mã REF; ",IF(AND($L4140="Chưa xác định",DANH_MUC!$L$9&lt;&gt;"Có"),"Nguồn chưa xác định; ","")))</f>
        <v/>
      </c>
      <c r="V4140" s="22">
        <f>IF(OR($D4140="",$R4140="Trùng"),"",IF(COUNTIF(ORDERS!$C$2:$C$4995,$D4140)&gt;0,"Có","Không"))</f>
        <v/>
      </c>
      <c r="W4140" s="22">
        <f>IF(OR($D4140="",$R4140="Trùng"),"",COUNTIFS(ORDERS!$C$2:$C$4995,$D4140,ORDERS!$L$2:$L$4995,"Đã chuyển khoản"))</f>
        <v/>
      </c>
      <c r="X4140" s="23">
        <f>IF(OR($D4140="",$R4140="Trùng"),"",SUMIFS(ORDERS!$J$2:$J$4995,ORDERS!$C$2:$C$4995,$D4140,ORDERS!$L$2:$L$4995,"Đã chuyển khoản"))</f>
        <v/>
      </c>
      <c r="Y4140" s="24" t="n"/>
    </row>
    <row r="4141" ht="14.25" customHeight="1" s="40">
      <c r="A4141" s="24" t="n"/>
      <c r="B4141" s="27" t="n"/>
      <c r="C4141" s="24" t="n"/>
      <c r="D4141" s="28" t="n"/>
      <c r="E4141" s="29" t="n"/>
      <c r="F4141" s="24" t="n"/>
      <c r="G4141" s="24" t="n"/>
      <c r="H4141" s="21">
        <f>IF(ISNUMBER($B4141),INT($B4141)-WEEKDAY($B4141,2)+1,"")</f>
        <v/>
      </c>
      <c r="I4141" s="24" t="n"/>
      <c r="J4141" s="22">
        <f t="array" ref="J4141">IF($D4141="","",IF($I4141="","(trống REF)",IFERROR(INDEX(MASTER_SOURCE!$B$2:$B$495,MATCH($I4141,MASTER_SOURCE!$A$2:$A$495,0)),"(REF không có trong MASTER_SOURCE)")))</f>
        <v/>
      </c>
      <c r="K4141" s="22">
        <f t="array" ref="K4141">IF($D4141="","",IFERROR(INDEX(MASTER_SOURCE!$C$2:$C$495,MATCH($I4141,MASTER_SOURCE!$A$2:$A$495,0)),""))</f>
        <v/>
      </c>
      <c r="L4141" s="22">
        <f t="array" ref="L4141">IF($D4141="","",IFERROR(INDEX(MASTER_SOURCE!$D$2:$D$495,MATCH($I4141,MASTER_SOURCE!$A$2:$A$495,0)),""))</f>
        <v/>
      </c>
      <c r="M4141" s="24" t="n"/>
      <c r="N4141" s="24" t="n"/>
      <c r="O4141" s="24" t="n"/>
      <c r="P4141" s="24" t="n"/>
      <c r="Q4141" s="22">
        <f>IF($D4141="","",IF(AND(OR(DANH_MUC!$L$5&lt;&gt;"Có",M4141="Có"),OR(DANH_MUC!$L$6&lt;&gt;"Có",N4141="Có"),OR(DANH_MUC!$L$7&lt;&gt;"Có",O4141="Có"),OR(DANH_MUC!$L$8&lt;&gt;"Có",P4141="Có")),"Có","Không"))</f>
        <v/>
      </c>
      <c r="R4141" s="22">
        <f>IF($D4141="","",IF(COUNTIF($D$2:$D4141,$D4141)&gt;1,"Trùng",""))</f>
        <v/>
      </c>
      <c r="S4141" s="22">
        <f>IF($D4141="","",IF(AND(LEN($D4141)=10,LEFT($D4141,1)="0",ISNUMBER(--$D4141)),"Có","Không"))</f>
        <v/>
      </c>
      <c r="T4141" s="22">
        <f>IF($D4141="","",IF(AND($C4141&lt;&gt;"",$Q4141="Có",$R4141="",$S4141="Có",AND($L4141&lt;&gt;"",OR($L4141&lt;&gt;"Chưa xác định",DANH_MUC!$L$9="Có"))),"Có","Không"))</f>
        <v/>
      </c>
      <c r="U4141" s="22">
        <f>IF(OR($D4141="",$T4141="Có"),"",IF($C4141="","Thiếu họ tên; ","")&amp;IF($S4141&lt;&gt;"Có","SĐT sai định dạng; ","")&amp;IF($R4141="Trùng","Trùng SĐT; ","")&amp;IF($Q4141&lt;&gt;"Có","Thiếu đồng ý bắt buộc; ","")&amp;IF($L4141="","Thiếu/sai Mã REF; ",IF(AND($L4141="Chưa xác định",DANH_MUC!$L$9&lt;&gt;"Có"),"Nguồn chưa xác định; ","")))</f>
        <v/>
      </c>
      <c r="V4141" s="22">
        <f>IF(OR($D4141="",$R4141="Trùng"),"",IF(COUNTIF(ORDERS!$C$2:$C$4995,$D4141)&gt;0,"Có","Không"))</f>
        <v/>
      </c>
      <c r="W4141" s="22">
        <f>IF(OR($D4141="",$R4141="Trùng"),"",COUNTIFS(ORDERS!$C$2:$C$4995,$D4141,ORDERS!$L$2:$L$4995,"Đã chuyển khoản"))</f>
        <v/>
      </c>
      <c r="X4141" s="23">
        <f>IF(OR($D4141="",$R4141="Trùng"),"",SUMIFS(ORDERS!$J$2:$J$4995,ORDERS!$C$2:$C$4995,$D4141,ORDERS!$L$2:$L$4995,"Đã chuyển khoản"))</f>
        <v/>
      </c>
      <c r="Y4141" s="24" t="n"/>
    </row>
    <row r="4142" ht="14.25" customHeight="1" s="40">
      <c r="A4142" s="24" t="n"/>
      <c r="B4142" s="27" t="n"/>
      <c r="C4142" s="24" t="n"/>
      <c r="D4142" s="28" t="n"/>
      <c r="E4142" s="29" t="n"/>
      <c r="F4142" s="24" t="n"/>
      <c r="G4142" s="24" t="n"/>
      <c r="H4142" s="21">
        <f>IF(ISNUMBER($B4142),INT($B4142)-WEEKDAY($B4142,2)+1,"")</f>
        <v/>
      </c>
      <c r="I4142" s="24" t="n"/>
      <c r="J4142" s="22">
        <f t="array" ref="J4142">IF($D4142="","",IF($I4142="","(trống REF)",IFERROR(INDEX(MASTER_SOURCE!$B$2:$B$495,MATCH($I4142,MASTER_SOURCE!$A$2:$A$495,0)),"(REF không có trong MASTER_SOURCE)")))</f>
        <v/>
      </c>
      <c r="K4142" s="22">
        <f t="array" ref="K4142">IF($D4142="","",IFERROR(INDEX(MASTER_SOURCE!$C$2:$C$495,MATCH($I4142,MASTER_SOURCE!$A$2:$A$495,0)),""))</f>
        <v/>
      </c>
      <c r="L4142" s="22">
        <f t="array" ref="L4142">IF($D4142="","",IFERROR(INDEX(MASTER_SOURCE!$D$2:$D$495,MATCH($I4142,MASTER_SOURCE!$A$2:$A$495,0)),""))</f>
        <v/>
      </c>
      <c r="M4142" s="24" t="n"/>
      <c r="N4142" s="24" t="n"/>
      <c r="O4142" s="24" t="n"/>
      <c r="P4142" s="24" t="n"/>
      <c r="Q4142" s="22">
        <f>IF($D4142="","",IF(AND(OR(DANH_MUC!$L$5&lt;&gt;"Có",M4142="Có"),OR(DANH_MUC!$L$6&lt;&gt;"Có",N4142="Có"),OR(DANH_MUC!$L$7&lt;&gt;"Có",O4142="Có"),OR(DANH_MUC!$L$8&lt;&gt;"Có",P4142="Có")),"Có","Không"))</f>
        <v/>
      </c>
      <c r="R4142" s="22">
        <f>IF($D4142="","",IF(COUNTIF($D$2:$D4142,$D4142)&gt;1,"Trùng",""))</f>
        <v/>
      </c>
      <c r="S4142" s="22">
        <f>IF($D4142="","",IF(AND(LEN($D4142)=10,LEFT($D4142,1)="0",ISNUMBER(--$D4142)),"Có","Không"))</f>
        <v/>
      </c>
      <c r="T4142" s="22">
        <f>IF($D4142="","",IF(AND($C4142&lt;&gt;"",$Q4142="Có",$R4142="",$S4142="Có",AND($L4142&lt;&gt;"",OR($L4142&lt;&gt;"Chưa xác định",DANH_MUC!$L$9="Có"))),"Có","Không"))</f>
        <v/>
      </c>
      <c r="U4142" s="22">
        <f>IF(OR($D4142="",$T4142="Có"),"",IF($C4142="","Thiếu họ tên; ","")&amp;IF($S4142&lt;&gt;"Có","SĐT sai định dạng; ","")&amp;IF($R4142="Trùng","Trùng SĐT; ","")&amp;IF($Q4142&lt;&gt;"Có","Thiếu đồng ý bắt buộc; ","")&amp;IF($L4142="","Thiếu/sai Mã REF; ",IF(AND($L4142="Chưa xác định",DANH_MUC!$L$9&lt;&gt;"Có"),"Nguồn chưa xác định; ","")))</f>
        <v/>
      </c>
      <c r="V4142" s="22">
        <f>IF(OR($D4142="",$R4142="Trùng"),"",IF(COUNTIF(ORDERS!$C$2:$C$4995,$D4142)&gt;0,"Có","Không"))</f>
        <v/>
      </c>
      <c r="W4142" s="22">
        <f>IF(OR($D4142="",$R4142="Trùng"),"",COUNTIFS(ORDERS!$C$2:$C$4995,$D4142,ORDERS!$L$2:$L$4995,"Đã chuyển khoản"))</f>
        <v/>
      </c>
      <c r="X4142" s="23">
        <f>IF(OR($D4142="",$R4142="Trùng"),"",SUMIFS(ORDERS!$J$2:$J$4995,ORDERS!$C$2:$C$4995,$D4142,ORDERS!$L$2:$L$4995,"Đã chuyển khoản"))</f>
        <v/>
      </c>
      <c r="Y4142" s="24" t="n"/>
    </row>
    <row r="4143" ht="14.25" customHeight="1" s="40">
      <c r="A4143" s="24" t="n"/>
      <c r="B4143" s="27" t="n"/>
      <c r="C4143" s="24" t="n"/>
      <c r="D4143" s="28" t="n"/>
      <c r="E4143" s="29" t="n"/>
      <c r="F4143" s="24" t="n"/>
      <c r="G4143" s="24" t="n"/>
      <c r="H4143" s="21">
        <f>IF(ISNUMBER($B4143),INT($B4143)-WEEKDAY($B4143,2)+1,"")</f>
        <v/>
      </c>
      <c r="I4143" s="24" t="n"/>
      <c r="J4143" s="22">
        <f t="array" ref="J4143">IF($D4143="","",IF($I4143="","(trống REF)",IFERROR(INDEX(MASTER_SOURCE!$B$2:$B$495,MATCH($I4143,MASTER_SOURCE!$A$2:$A$495,0)),"(REF không có trong MASTER_SOURCE)")))</f>
        <v/>
      </c>
      <c r="K4143" s="22">
        <f t="array" ref="K4143">IF($D4143="","",IFERROR(INDEX(MASTER_SOURCE!$C$2:$C$495,MATCH($I4143,MASTER_SOURCE!$A$2:$A$495,0)),""))</f>
        <v/>
      </c>
      <c r="L4143" s="22">
        <f t="array" ref="L4143">IF($D4143="","",IFERROR(INDEX(MASTER_SOURCE!$D$2:$D$495,MATCH($I4143,MASTER_SOURCE!$A$2:$A$495,0)),""))</f>
        <v/>
      </c>
      <c r="M4143" s="24" t="n"/>
      <c r="N4143" s="24" t="n"/>
      <c r="O4143" s="24" t="n"/>
      <c r="P4143" s="24" t="n"/>
      <c r="Q4143" s="22">
        <f>IF($D4143="","",IF(AND(OR(DANH_MUC!$L$5&lt;&gt;"Có",M4143="Có"),OR(DANH_MUC!$L$6&lt;&gt;"Có",N4143="Có"),OR(DANH_MUC!$L$7&lt;&gt;"Có",O4143="Có"),OR(DANH_MUC!$L$8&lt;&gt;"Có",P4143="Có")),"Có","Không"))</f>
        <v/>
      </c>
      <c r="R4143" s="22">
        <f>IF($D4143="","",IF(COUNTIF($D$2:$D4143,$D4143)&gt;1,"Trùng",""))</f>
        <v/>
      </c>
      <c r="S4143" s="22">
        <f>IF($D4143="","",IF(AND(LEN($D4143)=10,LEFT($D4143,1)="0",ISNUMBER(--$D4143)),"Có","Không"))</f>
        <v/>
      </c>
      <c r="T4143" s="22">
        <f>IF($D4143="","",IF(AND($C4143&lt;&gt;"",$Q4143="Có",$R4143="",$S4143="Có",AND($L4143&lt;&gt;"",OR($L4143&lt;&gt;"Chưa xác định",DANH_MUC!$L$9="Có"))),"Có","Không"))</f>
        <v/>
      </c>
      <c r="U4143" s="22">
        <f>IF(OR($D4143="",$T4143="Có"),"",IF($C4143="","Thiếu họ tên; ","")&amp;IF($S4143&lt;&gt;"Có","SĐT sai định dạng; ","")&amp;IF($R4143="Trùng","Trùng SĐT; ","")&amp;IF($Q4143&lt;&gt;"Có","Thiếu đồng ý bắt buộc; ","")&amp;IF($L4143="","Thiếu/sai Mã REF; ",IF(AND($L4143="Chưa xác định",DANH_MUC!$L$9&lt;&gt;"Có"),"Nguồn chưa xác định; ","")))</f>
        <v/>
      </c>
      <c r="V4143" s="22">
        <f>IF(OR($D4143="",$R4143="Trùng"),"",IF(COUNTIF(ORDERS!$C$2:$C$4995,$D4143)&gt;0,"Có","Không"))</f>
        <v/>
      </c>
      <c r="W4143" s="22">
        <f>IF(OR($D4143="",$R4143="Trùng"),"",COUNTIFS(ORDERS!$C$2:$C$4995,$D4143,ORDERS!$L$2:$L$4995,"Đã chuyển khoản"))</f>
        <v/>
      </c>
      <c r="X4143" s="23">
        <f>IF(OR($D4143="",$R4143="Trùng"),"",SUMIFS(ORDERS!$J$2:$J$4995,ORDERS!$C$2:$C$4995,$D4143,ORDERS!$L$2:$L$4995,"Đã chuyển khoản"))</f>
        <v/>
      </c>
      <c r="Y4143" s="24" t="n"/>
    </row>
    <row r="4144" ht="14.25" customHeight="1" s="40">
      <c r="A4144" s="24" t="n"/>
      <c r="B4144" s="27" t="n"/>
      <c r="C4144" s="24" t="n"/>
      <c r="D4144" s="28" t="n"/>
      <c r="E4144" s="29" t="n"/>
      <c r="F4144" s="24" t="n"/>
      <c r="G4144" s="24" t="n"/>
      <c r="H4144" s="21">
        <f>IF(ISNUMBER($B4144),INT($B4144)-WEEKDAY($B4144,2)+1,"")</f>
        <v/>
      </c>
      <c r="I4144" s="24" t="n"/>
      <c r="J4144" s="22">
        <f t="array" ref="J4144">IF($D4144="","",IF($I4144="","(trống REF)",IFERROR(INDEX(MASTER_SOURCE!$B$2:$B$495,MATCH($I4144,MASTER_SOURCE!$A$2:$A$495,0)),"(REF không có trong MASTER_SOURCE)")))</f>
        <v/>
      </c>
      <c r="K4144" s="22">
        <f t="array" ref="K4144">IF($D4144="","",IFERROR(INDEX(MASTER_SOURCE!$C$2:$C$495,MATCH($I4144,MASTER_SOURCE!$A$2:$A$495,0)),""))</f>
        <v/>
      </c>
      <c r="L4144" s="22">
        <f t="array" ref="L4144">IF($D4144="","",IFERROR(INDEX(MASTER_SOURCE!$D$2:$D$495,MATCH($I4144,MASTER_SOURCE!$A$2:$A$495,0)),""))</f>
        <v/>
      </c>
      <c r="M4144" s="24" t="n"/>
      <c r="N4144" s="24" t="n"/>
      <c r="O4144" s="24" t="n"/>
      <c r="P4144" s="24" t="n"/>
      <c r="Q4144" s="22">
        <f>IF($D4144="","",IF(AND(OR(DANH_MUC!$L$5&lt;&gt;"Có",M4144="Có"),OR(DANH_MUC!$L$6&lt;&gt;"Có",N4144="Có"),OR(DANH_MUC!$L$7&lt;&gt;"Có",O4144="Có"),OR(DANH_MUC!$L$8&lt;&gt;"Có",P4144="Có")),"Có","Không"))</f>
        <v/>
      </c>
      <c r="R4144" s="22">
        <f>IF($D4144="","",IF(COUNTIF($D$2:$D4144,$D4144)&gt;1,"Trùng",""))</f>
        <v/>
      </c>
      <c r="S4144" s="22">
        <f>IF($D4144="","",IF(AND(LEN($D4144)=10,LEFT($D4144,1)="0",ISNUMBER(--$D4144)),"Có","Không"))</f>
        <v/>
      </c>
      <c r="T4144" s="22">
        <f>IF($D4144="","",IF(AND($C4144&lt;&gt;"",$Q4144="Có",$R4144="",$S4144="Có",AND($L4144&lt;&gt;"",OR($L4144&lt;&gt;"Chưa xác định",DANH_MUC!$L$9="Có"))),"Có","Không"))</f>
        <v/>
      </c>
      <c r="U4144" s="22">
        <f>IF(OR($D4144="",$T4144="Có"),"",IF($C4144="","Thiếu họ tên; ","")&amp;IF($S4144&lt;&gt;"Có","SĐT sai định dạng; ","")&amp;IF($R4144="Trùng","Trùng SĐT; ","")&amp;IF($Q4144&lt;&gt;"Có","Thiếu đồng ý bắt buộc; ","")&amp;IF($L4144="","Thiếu/sai Mã REF; ",IF(AND($L4144="Chưa xác định",DANH_MUC!$L$9&lt;&gt;"Có"),"Nguồn chưa xác định; ","")))</f>
        <v/>
      </c>
      <c r="V4144" s="22">
        <f>IF(OR($D4144="",$R4144="Trùng"),"",IF(COUNTIF(ORDERS!$C$2:$C$4995,$D4144)&gt;0,"Có","Không"))</f>
        <v/>
      </c>
      <c r="W4144" s="22">
        <f>IF(OR($D4144="",$R4144="Trùng"),"",COUNTIFS(ORDERS!$C$2:$C$4995,$D4144,ORDERS!$L$2:$L$4995,"Đã chuyển khoản"))</f>
        <v/>
      </c>
      <c r="X4144" s="23">
        <f>IF(OR($D4144="",$R4144="Trùng"),"",SUMIFS(ORDERS!$J$2:$J$4995,ORDERS!$C$2:$C$4995,$D4144,ORDERS!$L$2:$L$4995,"Đã chuyển khoản"))</f>
        <v/>
      </c>
      <c r="Y4144" s="24" t="n"/>
    </row>
    <row r="4145" ht="14.25" customHeight="1" s="40">
      <c r="A4145" s="24" t="n"/>
      <c r="B4145" s="27" t="n"/>
      <c r="C4145" s="24" t="n"/>
      <c r="D4145" s="28" t="n"/>
      <c r="E4145" s="29" t="n"/>
      <c r="F4145" s="24" t="n"/>
      <c r="G4145" s="24" t="n"/>
      <c r="H4145" s="21">
        <f>IF(ISNUMBER($B4145),INT($B4145)-WEEKDAY($B4145,2)+1,"")</f>
        <v/>
      </c>
      <c r="I4145" s="24" t="n"/>
      <c r="J4145" s="22">
        <f t="array" ref="J4145">IF($D4145="","",IF($I4145="","(trống REF)",IFERROR(INDEX(MASTER_SOURCE!$B$2:$B$495,MATCH($I4145,MASTER_SOURCE!$A$2:$A$495,0)),"(REF không có trong MASTER_SOURCE)")))</f>
        <v/>
      </c>
      <c r="K4145" s="22">
        <f t="array" ref="K4145">IF($D4145="","",IFERROR(INDEX(MASTER_SOURCE!$C$2:$C$495,MATCH($I4145,MASTER_SOURCE!$A$2:$A$495,0)),""))</f>
        <v/>
      </c>
      <c r="L4145" s="22">
        <f t="array" ref="L4145">IF($D4145="","",IFERROR(INDEX(MASTER_SOURCE!$D$2:$D$495,MATCH($I4145,MASTER_SOURCE!$A$2:$A$495,0)),""))</f>
        <v/>
      </c>
      <c r="M4145" s="24" t="n"/>
      <c r="N4145" s="24" t="n"/>
      <c r="O4145" s="24" t="n"/>
      <c r="P4145" s="24" t="n"/>
      <c r="Q4145" s="22">
        <f>IF($D4145="","",IF(AND(OR(DANH_MUC!$L$5&lt;&gt;"Có",M4145="Có"),OR(DANH_MUC!$L$6&lt;&gt;"Có",N4145="Có"),OR(DANH_MUC!$L$7&lt;&gt;"Có",O4145="Có"),OR(DANH_MUC!$L$8&lt;&gt;"Có",P4145="Có")),"Có","Không"))</f>
        <v/>
      </c>
      <c r="R4145" s="22">
        <f>IF($D4145="","",IF(COUNTIF($D$2:$D4145,$D4145)&gt;1,"Trùng",""))</f>
        <v/>
      </c>
      <c r="S4145" s="22">
        <f>IF($D4145="","",IF(AND(LEN($D4145)=10,LEFT($D4145,1)="0",ISNUMBER(--$D4145)),"Có","Không"))</f>
        <v/>
      </c>
      <c r="T4145" s="22">
        <f>IF($D4145="","",IF(AND($C4145&lt;&gt;"",$Q4145="Có",$R4145="",$S4145="Có",AND($L4145&lt;&gt;"",OR($L4145&lt;&gt;"Chưa xác định",DANH_MUC!$L$9="Có"))),"Có","Không"))</f>
        <v/>
      </c>
      <c r="U4145" s="22">
        <f>IF(OR($D4145="",$T4145="Có"),"",IF($C4145="","Thiếu họ tên; ","")&amp;IF($S4145&lt;&gt;"Có","SĐT sai định dạng; ","")&amp;IF($R4145="Trùng","Trùng SĐT; ","")&amp;IF($Q4145&lt;&gt;"Có","Thiếu đồng ý bắt buộc; ","")&amp;IF($L4145="","Thiếu/sai Mã REF; ",IF(AND($L4145="Chưa xác định",DANH_MUC!$L$9&lt;&gt;"Có"),"Nguồn chưa xác định; ","")))</f>
        <v/>
      </c>
      <c r="V4145" s="22">
        <f>IF(OR($D4145="",$R4145="Trùng"),"",IF(COUNTIF(ORDERS!$C$2:$C$4995,$D4145)&gt;0,"Có","Không"))</f>
        <v/>
      </c>
      <c r="W4145" s="22">
        <f>IF(OR($D4145="",$R4145="Trùng"),"",COUNTIFS(ORDERS!$C$2:$C$4995,$D4145,ORDERS!$L$2:$L$4995,"Đã chuyển khoản"))</f>
        <v/>
      </c>
      <c r="X4145" s="23">
        <f>IF(OR($D4145="",$R4145="Trùng"),"",SUMIFS(ORDERS!$J$2:$J$4995,ORDERS!$C$2:$C$4995,$D4145,ORDERS!$L$2:$L$4995,"Đã chuyển khoản"))</f>
        <v/>
      </c>
      <c r="Y4145" s="24" t="n"/>
    </row>
    <row r="4146" ht="14.25" customHeight="1" s="40">
      <c r="A4146" s="24" t="n"/>
      <c r="B4146" s="27" t="n"/>
      <c r="C4146" s="24" t="n"/>
      <c r="D4146" s="28" t="n"/>
      <c r="E4146" s="29" t="n"/>
      <c r="F4146" s="24" t="n"/>
      <c r="G4146" s="24" t="n"/>
      <c r="H4146" s="21">
        <f>IF(ISNUMBER($B4146),INT($B4146)-WEEKDAY($B4146,2)+1,"")</f>
        <v/>
      </c>
      <c r="I4146" s="24" t="n"/>
      <c r="J4146" s="22">
        <f t="array" ref="J4146">IF($D4146="","",IF($I4146="","(trống REF)",IFERROR(INDEX(MASTER_SOURCE!$B$2:$B$495,MATCH($I4146,MASTER_SOURCE!$A$2:$A$495,0)),"(REF không có trong MASTER_SOURCE)")))</f>
        <v/>
      </c>
      <c r="K4146" s="22">
        <f t="array" ref="K4146">IF($D4146="","",IFERROR(INDEX(MASTER_SOURCE!$C$2:$C$495,MATCH($I4146,MASTER_SOURCE!$A$2:$A$495,0)),""))</f>
        <v/>
      </c>
      <c r="L4146" s="22">
        <f t="array" ref="L4146">IF($D4146="","",IFERROR(INDEX(MASTER_SOURCE!$D$2:$D$495,MATCH($I4146,MASTER_SOURCE!$A$2:$A$495,0)),""))</f>
        <v/>
      </c>
      <c r="M4146" s="24" t="n"/>
      <c r="N4146" s="24" t="n"/>
      <c r="O4146" s="24" t="n"/>
      <c r="P4146" s="24" t="n"/>
      <c r="Q4146" s="22">
        <f>IF($D4146="","",IF(AND(OR(DANH_MUC!$L$5&lt;&gt;"Có",M4146="Có"),OR(DANH_MUC!$L$6&lt;&gt;"Có",N4146="Có"),OR(DANH_MUC!$L$7&lt;&gt;"Có",O4146="Có"),OR(DANH_MUC!$L$8&lt;&gt;"Có",P4146="Có")),"Có","Không"))</f>
        <v/>
      </c>
      <c r="R4146" s="22">
        <f>IF($D4146="","",IF(COUNTIF($D$2:$D4146,$D4146)&gt;1,"Trùng",""))</f>
        <v/>
      </c>
      <c r="S4146" s="22">
        <f>IF($D4146="","",IF(AND(LEN($D4146)=10,LEFT($D4146,1)="0",ISNUMBER(--$D4146)),"Có","Không"))</f>
        <v/>
      </c>
      <c r="T4146" s="22">
        <f>IF($D4146="","",IF(AND($C4146&lt;&gt;"",$Q4146="Có",$R4146="",$S4146="Có",AND($L4146&lt;&gt;"",OR($L4146&lt;&gt;"Chưa xác định",DANH_MUC!$L$9="Có"))),"Có","Không"))</f>
        <v/>
      </c>
      <c r="U4146" s="22">
        <f>IF(OR($D4146="",$T4146="Có"),"",IF($C4146="","Thiếu họ tên; ","")&amp;IF($S4146&lt;&gt;"Có","SĐT sai định dạng; ","")&amp;IF($R4146="Trùng","Trùng SĐT; ","")&amp;IF($Q4146&lt;&gt;"Có","Thiếu đồng ý bắt buộc; ","")&amp;IF($L4146="","Thiếu/sai Mã REF; ",IF(AND($L4146="Chưa xác định",DANH_MUC!$L$9&lt;&gt;"Có"),"Nguồn chưa xác định; ","")))</f>
        <v/>
      </c>
      <c r="V4146" s="22">
        <f>IF(OR($D4146="",$R4146="Trùng"),"",IF(COUNTIF(ORDERS!$C$2:$C$4995,$D4146)&gt;0,"Có","Không"))</f>
        <v/>
      </c>
      <c r="W4146" s="22">
        <f>IF(OR($D4146="",$R4146="Trùng"),"",COUNTIFS(ORDERS!$C$2:$C$4995,$D4146,ORDERS!$L$2:$L$4995,"Đã chuyển khoản"))</f>
        <v/>
      </c>
      <c r="X4146" s="23">
        <f>IF(OR($D4146="",$R4146="Trùng"),"",SUMIFS(ORDERS!$J$2:$J$4995,ORDERS!$C$2:$C$4995,$D4146,ORDERS!$L$2:$L$4995,"Đã chuyển khoản"))</f>
        <v/>
      </c>
      <c r="Y4146" s="24" t="n"/>
    </row>
    <row r="4147" ht="14.25" customHeight="1" s="40">
      <c r="A4147" s="24" t="n"/>
      <c r="B4147" s="27" t="n"/>
      <c r="C4147" s="24" t="n"/>
      <c r="D4147" s="28" t="n"/>
      <c r="E4147" s="29" t="n"/>
      <c r="F4147" s="24" t="n"/>
      <c r="G4147" s="24" t="n"/>
      <c r="H4147" s="21">
        <f>IF(ISNUMBER($B4147),INT($B4147)-WEEKDAY($B4147,2)+1,"")</f>
        <v/>
      </c>
      <c r="I4147" s="24" t="n"/>
      <c r="J4147" s="22">
        <f t="array" ref="J4147">IF($D4147="","",IF($I4147="","(trống REF)",IFERROR(INDEX(MASTER_SOURCE!$B$2:$B$495,MATCH($I4147,MASTER_SOURCE!$A$2:$A$495,0)),"(REF không có trong MASTER_SOURCE)")))</f>
        <v/>
      </c>
      <c r="K4147" s="22">
        <f t="array" ref="K4147">IF($D4147="","",IFERROR(INDEX(MASTER_SOURCE!$C$2:$C$495,MATCH($I4147,MASTER_SOURCE!$A$2:$A$495,0)),""))</f>
        <v/>
      </c>
      <c r="L4147" s="22">
        <f t="array" ref="L4147">IF($D4147="","",IFERROR(INDEX(MASTER_SOURCE!$D$2:$D$495,MATCH($I4147,MASTER_SOURCE!$A$2:$A$495,0)),""))</f>
        <v/>
      </c>
      <c r="M4147" s="24" t="n"/>
      <c r="N4147" s="24" t="n"/>
      <c r="O4147" s="24" t="n"/>
      <c r="P4147" s="24" t="n"/>
      <c r="Q4147" s="22">
        <f>IF($D4147="","",IF(AND(OR(DANH_MUC!$L$5&lt;&gt;"Có",M4147="Có"),OR(DANH_MUC!$L$6&lt;&gt;"Có",N4147="Có"),OR(DANH_MUC!$L$7&lt;&gt;"Có",O4147="Có"),OR(DANH_MUC!$L$8&lt;&gt;"Có",P4147="Có")),"Có","Không"))</f>
        <v/>
      </c>
      <c r="R4147" s="22">
        <f>IF($D4147="","",IF(COUNTIF($D$2:$D4147,$D4147)&gt;1,"Trùng",""))</f>
        <v/>
      </c>
      <c r="S4147" s="22">
        <f>IF($D4147="","",IF(AND(LEN($D4147)=10,LEFT($D4147,1)="0",ISNUMBER(--$D4147)),"Có","Không"))</f>
        <v/>
      </c>
      <c r="T4147" s="22">
        <f>IF($D4147="","",IF(AND($C4147&lt;&gt;"",$Q4147="Có",$R4147="",$S4147="Có",AND($L4147&lt;&gt;"",OR($L4147&lt;&gt;"Chưa xác định",DANH_MUC!$L$9="Có"))),"Có","Không"))</f>
        <v/>
      </c>
      <c r="U4147" s="22">
        <f>IF(OR($D4147="",$T4147="Có"),"",IF($C4147="","Thiếu họ tên; ","")&amp;IF($S4147&lt;&gt;"Có","SĐT sai định dạng; ","")&amp;IF($R4147="Trùng","Trùng SĐT; ","")&amp;IF($Q4147&lt;&gt;"Có","Thiếu đồng ý bắt buộc; ","")&amp;IF($L4147="","Thiếu/sai Mã REF; ",IF(AND($L4147="Chưa xác định",DANH_MUC!$L$9&lt;&gt;"Có"),"Nguồn chưa xác định; ","")))</f>
        <v/>
      </c>
      <c r="V4147" s="22">
        <f>IF(OR($D4147="",$R4147="Trùng"),"",IF(COUNTIF(ORDERS!$C$2:$C$4995,$D4147)&gt;0,"Có","Không"))</f>
        <v/>
      </c>
      <c r="W4147" s="22">
        <f>IF(OR($D4147="",$R4147="Trùng"),"",COUNTIFS(ORDERS!$C$2:$C$4995,$D4147,ORDERS!$L$2:$L$4995,"Đã chuyển khoản"))</f>
        <v/>
      </c>
      <c r="X4147" s="23">
        <f>IF(OR($D4147="",$R4147="Trùng"),"",SUMIFS(ORDERS!$J$2:$J$4995,ORDERS!$C$2:$C$4995,$D4147,ORDERS!$L$2:$L$4995,"Đã chuyển khoản"))</f>
        <v/>
      </c>
      <c r="Y4147" s="24" t="n"/>
    </row>
    <row r="4148" ht="14.25" customHeight="1" s="40">
      <c r="A4148" s="24" t="n"/>
      <c r="B4148" s="27" t="n"/>
      <c r="C4148" s="24" t="n"/>
      <c r="D4148" s="28" t="n"/>
      <c r="E4148" s="29" t="n"/>
      <c r="F4148" s="24" t="n"/>
      <c r="G4148" s="24" t="n"/>
      <c r="H4148" s="21">
        <f>IF(ISNUMBER($B4148),INT($B4148)-WEEKDAY($B4148,2)+1,"")</f>
        <v/>
      </c>
      <c r="I4148" s="24" t="n"/>
      <c r="J4148" s="22">
        <f t="array" ref="J4148">IF($D4148="","",IF($I4148="","(trống REF)",IFERROR(INDEX(MASTER_SOURCE!$B$2:$B$495,MATCH($I4148,MASTER_SOURCE!$A$2:$A$495,0)),"(REF không có trong MASTER_SOURCE)")))</f>
        <v/>
      </c>
      <c r="K4148" s="22">
        <f t="array" ref="K4148">IF($D4148="","",IFERROR(INDEX(MASTER_SOURCE!$C$2:$C$495,MATCH($I4148,MASTER_SOURCE!$A$2:$A$495,0)),""))</f>
        <v/>
      </c>
      <c r="L4148" s="22">
        <f t="array" ref="L4148">IF($D4148="","",IFERROR(INDEX(MASTER_SOURCE!$D$2:$D$495,MATCH($I4148,MASTER_SOURCE!$A$2:$A$495,0)),""))</f>
        <v/>
      </c>
      <c r="M4148" s="24" t="n"/>
      <c r="N4148" s="24" t="n"/>
      <c r="O4148" s="24" t="n"/>
      <c r="P4148" s="24" t="n"/>
      <c r="Q4148" s="22">
        <f>IF($D4148="","",IF(AND(OR(DANH_MUC!$L$5&lt;&gt;"Có",M4148="Có"),OR(DANH_MUC!$L$6&lt;&gt;"Có",N4148="Có"),OR(DANH_MUC!$L$7&lt;&gt;"Có",O4148="Có"),OR(DANH_MUC!$L$8&lt;&gt;"Có",P4148="Có")),"Có","Không"))</f>
        <v/>
      </c>
      <c r="R4148" s="22">
        <f>IF($D4148="","",IF(COUNTIF($D$2:$D4148,$D4148)&gt;1,"Trùng",""))</f>
        <v/>
      </c>
      <c r="S4148" s="22">
        <f>IF($D4148="","",IF(AND(LEN($D4148)=10,LEFT($D4148,1)="0",ISNUMBER(--$D4148)),"Có","Không"))</f>
        <v/>
      </c>
      <c r="T4148" s="22">
        <f>IF($D4148="","",IF(AND($C4148&lt;&gt;"",$Q4148="Có",$R4148="",$S4148="Có",AND($L4148&lt;&gt;"",OR($L4148&lt;&gt;"Chưa xác định",DANH_MUC!$L$9="Có"))),"Có","Không"))</f>
        <v/>
      </c>
      <c r="U4148" s="22">
        <f>IF(OR($D4148="",$T4148="Có"),"",IF($C4148="","Thiếu họ tên; ","")&amp;IF($S4148&lt;&gt;"Có","SĐT sai định dạng; ","")&amp;IF($R4148="Trùng","Trùng SĐT; ","")&amp;IF($Q4148&lt;&gt;"Có","Thiếu đồng ý bắt buộc; ","")&amp;IF($L4148="","Thiếu/sai Mã REF; ",IF(AND($L4148="Chưa xác định",DANH_MUC!$L$9&lt;&gt;"Có"),"Nguồn chưa xác định; ","")))</f>
        <v/>
      </c>
      <c r="V4148" s="22">
        <f>IF(OR($D4148="",$R4148="Trùng"),"",IF(COUNTIF(ORDERS!$C$2:$C$4995,$D4148)&gt;0,"Có","Không"))</f>
        <v/>
      </c>
      <c r="W4148" s="22">
        <f>IF(OR($D4148="",$R4148="Trùng"),"",COUNTIFS(ORDERS!$C$2:$C$4995,$D4148,ORDERS!$L$2:$L$4995,"Đã chuyển khoản"))</f>
        <v/>
      </c>
      <c r="X4148" s="23">
        <f>IF(OR($D4148="",$R4148="Trùng"),"",SUMIFS(ORDERS!$J$2:$J$4995,ORDERS!$C$2:$C$4995,$D4148,ORDERS!$L$2:$L$4995,"Đã chuyển khoản"))</f>
        <v/>
      </c>
      <c r="Y4148" s="24" t="n"/>
    </row>
    <row r="4149" ht="14.25" customHeight="1" s="40">
      <c r="A4149" s="24" t="n"/>
      <c r="B4149" s="27" t="n"/>
      <c r="C4149" s="24" t="n"/>
      <c r="D4149" s="28" t="n"/>
      <c r="E4149" s="29" t="n"/>
      <c r="F4149" s="24" t="n"/>
      <c r="G4149" s="24" t="n"/>
      <c r="H4149" s="21">
        <f>IF(ISNUMBER($B4149),INT($B4149)-WEEKDAY($B4149,2)+1,"")</f>
        <v/>
      </c>
      <c r="I4149" s="24" t="n"/>
      <c r="J4149" s="22">
        <f t="array" ref="J4149">IF($D4149="","",IF($I4149="","(trống REF)",IFERROR(INDEX(MASTER_SOURCE!$B$2:$B$495,MATCH($I4149,MASTER_SOURCE!$A$2:$A$495,0)),"(REF không có trong MASTER_SOURCE)")))</f>
        <v/>
      </c>
      <c r="K4149" s="22">
        <f t="array" ref="K4149">IF($D4149="","",IFERROR(INDEX(MASTER_SOURCE!$C$2:$C$495,MATCH($I4149,MASTER_SOURCE!$A$2:$A$495,0)),""))</f>
        <v/>
      </c>
      <c r="L4149" s="22">
        <f t="array" ref="L4149">IF($D4149="","",IFERROR(INDEX(MASTER_SOURCE!$D$2:$D$495,MATCH($I4149,MASTER_SOURCE!$A$2:$A$495,0)),""))</f>
        <v/>
      </c>
      <c r="M4149" s="24" t="n"/>
      <c r="N4149" s="24" t="n"/>
      <c r="O4149" s="24" t="n"/>
      <c r="P4149" s="24" t="n"/>
      <c r="Q4149" s="22">
        <f>IF($D4149="","",IF(AND(OR(DANH_MUC!$L$5&lt;&gt;"Có",M4149="Có"),OR(DANH_MUC!$L$6&lt;&gt;"Có",N4149="Có"),OR(DANH_MUC!$L$7&lt;&gt;"Có",O4149="Có"),OR(DANH_MUC!$L$8&lt;&gt;"Có",P4149="Có")),"Có","Không"))</f>
        <v/>
      </c>
      <c r="R4149" s="22">
        <f>IF($D4149="","",IF(COUNTIF($D$2:$D4149,$D4149)&gt;1,"Trùng",""))</f>
        <v/>
      </c>
      <c r="S4149" s="22">
        <f>IF($D4149="","",IF(AND(LEN($D4149)=10,LEFT($D4149,1)="0",ISNUMBER(--$D4149)),"Có","Không"))</f>
        <v/>
      </c>
      <c r="T4149" s="22">
        <f>IF($D4149="","",IF(AND($C4149&lt;&gt;"",$Q4149="Có",$R4149="",$S4149="Có",AND($L4149&lt;&gt;"",OR($L4149&lt;&gt;"Chưa xác định",DANH_MUC!$L$9="Có"))),"Có","Không"))</f>
        <v/>
      </c>
      <c r="U4149" s="22">
        <f>IF(OR($D4149="",$T4149="Có"),"",IF($C4149="","Thiếu họ tên; ","")&amp;IF($S4149&lt;&gt;"Có","SĐT sai định dạng; ","")&amp;IF($R4149="Trùng","Trùng SĐT; ","")&amp;IF($Q4149&lt;&gt;"Có","Thiếu đồng ý bắt buộc; ","")&amp;IF($L4149="","Thiếu/sai Mã REF; ",IF(AND($L4149="Chưa xác định",DANH_MUC!$L$9&lt;&gt;"Có"),"Nguồn chưa xác định; ","")))</f>
        <v/>
      </c>
      <c r="V4149" s="22">
        <f>IF(OR($D4149="",$R4149="Trùng"),"",IF(COUNTIF(ORDERS!$C$2:$C$4995,$D4149)&gt;0,"Có","Không"))</f>
        <v/>
      </c>
      <c r="W4149" s="22">
        <f>IF(OR($D4149="",$R4149="Trùng"),"",COUNTIFS(ORDERS!$C$2:$C$4995,$D4149,ORDERS!$L$2:$L$4995,"Đã chuyển khoản"))</f>
        <v/>
      </c>
      <c r="X4149" s="23">
        <f>IF(OR($D4149="",$R4149="Trùng"),"",SUMIFS(ORDERS!$J$2:$J$4995,ORDERS!$C$2:$C$4995,$D4149,ORDERS!$L$2:$L$4995,"Đã chuyển khoản"))</f>
        <v/>
      </c>
      <c r="Y4149" s="24" t="n"/>
    </row>
    <row r="4150" ht="14.25" customHeight="1" s="40">
      <c r="A4150" s="24" t="n"/>
      <c r="B4150" s="27" t="n"/>
      <c r="C4150" s="24" t="n"/>
      <c r="D4150" s="28" t="n"/>
      <c r="E4150" s="29" t="n"/>
      <c r="F4150" s="24" t="n"/>
      <c r="G4150" s="24" t="n"/>
      <c r="H4150" s="21">
        <f>IF(ISNUMBER($B4150),INT($B4150)-WEEKDAY($B4150,2)+1,"")</f>
        <v/>
      </c>
      <c r="I4150" s="24" t="n"/>
      <c r="J4150" s="22">
        <f t="array" ref="J4150">IF($D4150="","",IF($I4150="","(trống REF)",IFERROR(INDEX(MASTER_SOURCE!$B$2:$B$495,MATCH($I4150,MASTER_SOURCE!$A$2:$A$495,0)),"(REF không có trong MASTER_SOURCE)")))</f>
        <v/>
      </c>
      <c r="K4150" s="22">
        <f t="array" ref="K4150">IF($D4150="","",IFERROR(INDEX(MASTER_SOURCE!$C$2:$C$495,MATCH($I4150,MASTER_SOURCE!$A$2:$A$495,0)),""))</f>
        <v/>
      </c>
      <c r="L4150" s="22">
        <f t="array" ref="L4150">IF($D4150="","",IFERROR(INDEX(MASTER_SOURCE!$D$2:$D$495,MATCH($I4150,MASTER_SOURCE!$A$2:$A$495,0)),""))</f>
        <v/>
      </c>
      <c r="M4150" s="24" t="n"/>
      <c r="N4150" s="24" t="n"/>
      <c r="O4150" s="24" t="n"/>
      <c r="P4150" s="24" t="n"/>
      <c r="Q4150" s="22">
        <f>IF($D4150="","",IF(AND(OR(DANH_MUC!$L$5&lt;&gt;"Có",M4150="Có"),OR(DANH_MUC!$L$6&lt;&gt;"Có",N4150="Có"),OR(DANH_MUC!$L$7&lt;&gt;"Có",O4150="Có"),OR(DANH_MUC!$L$8&lt;&gt;"Có",P4150="Có")),"Có","Không"))</f>
        <v/>
      </c>
      <c r="R4150" s="22">
        <f>IF($D4150="","",IF(COUNTIF($D$2:$D4150,$D4150)&gt;1,"Trùng",""))</f>
        <v/>
      </c>
      <c r="S4150" s="22">
        <f>IF($D4150="","",IF(AND(LEN($D4150)=10,LEFT($D4150,1)="0",ISNUMBER(--$D4150)),"Có","Không"))</f>
        <v/>
      </c>
      <c r="T4150" s="22">
        <f>IF($D4150="","",IF(AND($C4150&lt;&gt;"",$Q4150="Có",$R4150="",$S4150="Có",AND($L4150&lt;&gt;"",OR($L4150&lt;&gt;"Chưa xác định",DANH_MUC!$L$9="Có"))),"Có","Không"))</f>
        <v/>
      </c>
      <c r="U4150" s="22">
        <f>IF(OR($D4150="",$T4150="Có"),"",IF($C4150="","Thiếu họ tên; ","")&amp;IF($S4150&lt;&gt;"Có","SĐT sai định dạng; ","")&amp;IF($R4150="Trùng","Trùng SĐT; ","")&amp;IF($Q4150&lt;&gt;"Có","Thiếu đồng ý bắt buộc; ","")&amp;IF($L4150="","Thiếu/sai Mã REF; ",IF(AND($L4150="Chưa xác định",DANH_MUC!$L$9&lt;&gt;"Có"),"Nguồn chưa xác định; ","")))</f>
        <v/>
      </c>
      <c r="V4150" s="22">
        <f>IF(OR($D4150="",$R4150="Trùng"),"",IF(COUNTIF(ORDERS!$C$2:$C$4995,$D4150)&gt;0,"Có","Không"))</f>
        <v/>
      </c>
      <c r="W4150" s="22">
        <f>IF(OR($D4150="",$R4150="Trùng"),"",COUNTIFS(ORDERS!$C$2:$C$4995,$D4150,ORDERS!$L$2:$L$4995,"Đã chuyển khoản"))</f>
        <v/>
      </c>
      <c r="X4150" s="23">
        <f>IF(OR($D4150="",$R4150="Trùng"),"",SUMIFS(ORDERS!$J$2:$J$4995,ORDERS!$C$2:$C$4995,$D4150,ORDERS!$L$2:$L$4995,"Đã chuyển khoản"))</f>
        <v/>
      </c>
      <c r="Y4150" s="24" t="n"/>
    </row>
    <row r="4151" ht="14.25" customHeight="1" s="40">
      <c r="A4151" s="24" t="n"/>
      <c r="B4151" s="27" t="n"/>
      <c r="C4151" s="24" t="n"/>
      <c r="D4151" s="28" t="n"/>
      <c r="E4151" s="29" t="n"/>
      <c r="F4151" s="24" t="n"/>
      <c r="G4151" s="24" t="n"/>
      <c r="H4151" s="21">
        <f>IF(ISNUMBER($B4151),INT($B4151)-WEEKDAY($B4151,2)+1,"")</f>
        <v/>
      </c>
      <c r="I4151" s="24" t="n"/>
      <c r="J4151" s="22">
        <f t="array" ref="J4151">IF($D4151="","",IF($I4151="","(trống REF)",IFERROR(INDEX(MASTER_SOURCE!$B$2:$B$495,MATCH($I4151,MASTER_SOURCE!$A$2:$A$495,0)),"(REF không có trong MASTER_SOURCE)")))</f>
        <v/>
      </c>
      <c r="K4151" s="22">
        <f t="array" ref="K4151">IF($D4151="","",IFERROR(INDEX(MASTER_SOURCE!$C$2:$C$495,MATCH($I4151,MASTER_SOURCE!$A$2:$A$495,0)),""))</f>
        <v/>
      </c>
      <c r="L4151" s="22">
        <f t="array" ref="L4151">IF($D4151="","",IFERROR(INDEX(MASTER_SOURCE!$D$2:$D$495,MATCH($I4151,MASTER_SOURCE!$A$2:$A$495,0)),""))</f>
        <v/>
      </c>
      <c r="M4151" s="24" t="n"/>
      <c r="N4151" s="24" t="n"/>
      <c r="O4151" s="24" t="n"/>
      <c r="P4151" s="24" t="n"/>
      <c r="Q4151" s="22">
        <f>IF($D4151="","",IF(AND(OR(DANH_MUC!$L$5&lt;&gt;"Có",M4151="Có"),OR(DANH_MUC!$L$6&lt;&gt;"Có",N4151="Có"),OR(DANH_MUC!$L$7&lt;&gt;"Có",O4151="Có"),OR(DANH_MUC!$L$8&lt;&gt;"Có",P4151="Có")),"Có","Không"))</f>
        <v/>
      </c>
      <c r="R4151" s="22">
        <f>IF($D4151="","",IF(COUNTIF($D$2:$D4151,$D4151)&gt;1,"Trùng",""))</f>
        <v/>
      </c>
      <c r="S4151" s="22">
        <f>IF($D4151="","",IF(AND(LEN($D4151)=10,LEFT($D4151,1)="0",ISNUMBER(--$D4151)),"Có","Không"))</f>
        <v/>
      </c>
      <c r="T4151" s="22">
        <f>IF($D4151="","",IF(AND($C4151&lt;&gt;"",$Q4151="Có",$R4151="",$S4151="Có",AND($L4151&lt;&gt;"",OR($L4151&lt;&gt;"Chưa xác định",DANH_MUC!$L$9="Có"))),"Có","Không"))</f>
        <v/>
      </c>
      <c r="U4151" s="22">
        <f>IF(OR($D4151="",$T4151="Có"),"",IF($C4151="","Thiếu họ tên; ","")&amp;IF($S4151&lt;&gt;"Có","SĐT sai định dạng; ","")&amp;IF($R4151="Trùng","Trùng SĐT; ","")&amp;IF($Q4151&lt;&gt;"Có","Thiếu đồng ý bắt buộc; ","")&amp;IF($L4151="","Thiếu/sai Mã REF; ",IF(AND($L4151="Chưa xác định",DANH_MUC!$L$9&lt;&gt;"Có"),"Nguồn chưa xác định; ","")))</f>
        <v/>
      </c>
      <c r="V4151" s="22">
        <f>IF(OR($D4151="",$R4151="Trùng"),"",IF(COUNTIF(ORDERS!$C$2:$C$4995,$D4151)&gt;0,"Có","Không"))</f>
        <v/>
      </c>
      <c r="W4151" s="22">
        <f>IF(OR($D4151="",$R4151="Trùng"),"",COUNTIFS(ORDERS!$C$2:$C$4995,$D4151,ORDERS!$L$2:$L$4995,"Đã chuyển khoản"))</f>
        <v/>
      </c>
      <c r="X4151" s="23">
        <f>IF(OR($D4151="",$R4151="Trùng"),"",SUMIFS(ORDERS!$J$2:$J$4995,ORDERS!$C$2:$C$4995,$D4151,ORDERS!$L$2:$L$4995,"Đã chuyển khoản"))</f>
        <v/>
      </c>
      <c r="Y4151" s="24" t="n"/>
    </row>
    <row r="4152" ht="14.25" customHeight="1" s="40">
      <c r="A4152" s="24" t="n"/>
      <c r="B4152" s="27" t="n"/>
      <c r="C4152" s="24" t="n"/>
      <c r="D4152" s="28" t="n"/>
      <c r="E4152" s="29" t="n"/>
      <c r="F4152" s="24" t="n"/>
      <c r="G4152" s="24" t="n"/>
      <c r="H4152" s="21">
        <f>IF(ISNUMBER($B4152),INT($B4152)-WEEKDAY($B4152,2)+1,"")</f>
        <v/>
      </c>
      <c r="I4152" s="24" t="n"/>
      <c r="J4152" s="22">
        <f t="array" ref="J4152">IF($D4152="","",IF($I4152="","(trống REF)",IFERROR(INDEX(MASTER_SOURCE!$B$2:$B$495,MATCH($I4152,MASTER_SOURCE!$A$2:$A$495,0)),"(REF không có trong MASTER_SOURCE)")))</f>
        <v/>
      </c>
      <c r="K4152" s="22">
        <f t="array" ref="K4152">IF($D4152="","",IFERROR(INDEX(MASTER_SOURCE!$C$2:$C$495,MATCH($I4152,MASTER_SOURCE!$A$2:$A$495,0)),""))</f>
        <v/>
      </c>
      <c r="L4152" s="22">
        <f t="array" ref="L4152">IF($D4152="","",IFERROR(INDEX(MASTER_SOURCE!$D$2:$D$495,MATCH($I4152,MASTER_SOURCE!$A$2:$A$495,0)),""))</f>
        <v/>
      </c>
      <c r="M4152" s="24" t="n"/>
      <c r="N4152" s="24" t="n"/>
      <c r="O4152" s="24" t="n"/>
      <c r="P4152" s="24" t="n"/>
      <c r="Q4152" s="22">
        <f>IF($D4152="","",IF(AND(OR(DANH_MUC!$L$5&lt;&gt;"Có",M4152="Có"),OR(DANH_MUC!$L$6&lt;&gt;"Có",N4152="Có"),OR(DANH_MUC!$L$7&lt;&gt;"Có",O4152="Có"),OR(DANH_MUC!$L$8&lt;&gt;"Có",P4152="Có")),"Có","Không"))</f>
        <v/>
      </c>
      <c r="R4152" s="22">
        <f>IF($D4152="","",IF(COUNTIF($D$2:$D4152,$D4152)&gt;1,"Trùng",""))</f>
        <v/>
      </c>
      <c r="S4152" s="22">
        <f>IF($D4152="","",IF(AND(LEN($D4152)=10,LEFT($D4152,1)="0",ISNUMBER(--$D4152)),"Có","Không"))</f>
        <v/>
      </c>
      <c r="T4152" s="22">
        <f>IF($D4152="","",IF(AND($C4152&lt;&gt;"",$Q4152="Có",$R4152="",$S4152="Có",AND($L4152&lt;&gt;"",OR($L4152&lt;&gt;"Chưa xác định",DANH_MUC!$L$9="Có"))),"Có","Không"))</f>
        <v/>
      </c>
      <c r="U4152" s="22">
        <f>IF(OR($D4152="",$T4152="Có"),"",IF($C4152="","Thiếu họ tên; ","")&amp;IF($S4152&lt;&gt;"Có","SĐT sai định dạng; ","")&amp;IF($R4152="Trùng","Trùng SĐT; ","")&amp;IF($Q4152&lt;&gt;"Có","Thiếu đồng ý bắt buộc; ","")&amp;IF($L4152="","Thiếu/sai Mã REF; ",IF(AND($L4152="Chưa xác định",DANH_MUC!$L$9&lt;&gt;"Có"),"Nguồn chưa xác định; ","")))</f>
        <v/>
      </c>
      <c r="V4152" s="22">
        <f>IF(OR($D4152="",$R4152="Trùng"),"",IF(COUNTIF(ORDERS!$C$2:$C$4995,$D4152)&gt;0,"Có","Không"))</f>
        <v/>
      </c>
      <c r="W4152" s="22">
        <f>IF(OR($D4152="",$R4152="Trùng"),"",COUNTIFS(ORDERS!$C$2:$C$4995,$D4152,ORDERS!$L$2:$L$4995,"Đã chuyển khoản"))</f>
        <v/>
      </c>
      <c r="X4152" s="23">
        <f>IF(OR($D4152="",$R4152="Trùng"),"",SUMIFS(ORDERS!$J$2:$J$4995,ORDERS!$C$2:$C$4995,$D4152,ORDERS!$L$2:$L$4995,"Đã chuyển khoản"))</f>
        <v/>
      </c>
      <c r="Y4152" s="24" t="n"/>
    </row>
    <row r="4153" ht="14.25" customHeight="1" s="40">
      <c r="A4153" s="24" t="n"/>
      <c r="B4153" s="27" t="n"/>
      <c r="C4153" s="24" t="n"/>
      <c r="D4153" s="28" t="n"/>
      <c r="E4153" s="29" t="n"/>
      <c r="F4153" s="24" t="n"/>
      <c r="G4153" s="24" t="n"/>
      <c r="H4153" s="21">
        <f>IF(ISNUMBER($B4153),INT($B4153)-WEEKDAY($B4153,2)+1,"")</f>
        <v/>
      </c>
      <c r="I4153" s="24" t="n"/>
      <c r="J4153" s="22">
        <f t="array" ref="J4153">IF($D4153="","",IF($I4153="","(trống REF)",IFERROR(INDEX(MASTER_SOURCE!$B$2:$B$495,MATCH($I4153,MASTER_SOURCE!$A$2:$A$495,0)),"(REF không có trong MASTER_SOURCE)")))</f>
        <v/>
      </c>
      <c r="K4153" s="22">
        <f t="array" ref="K4153">IF($D4153="","",IFERROR(INDEX(MASTER_SOURCE!$C$2:$C$495,MATCH($I4153,MASTER_SOURCE!$A$2:$A$495,0)),""))</f>
        <v/>
      </c>
      <c r="L4153" s="22">
        <f t="array" ref="L4153">IF($D4153="","",IFERROR(INDEX(MASTER_SOURCE!$D$2:$D$495,MATCH($I4153,MASTER_SOURCE!$A$2:$A$495,0)),""))</f>
        <v/>
      </c>
      <c r="M4153" s="24" t="n"/>
      <c r="N4153" s="24" t="n"/>
      <c r="O4153" s="24" t="n"/>
      <c r="P4153" s="24" t="n"/>
      <c r="Q4153" s="22">
        <f>IF($D4153="","",IF(AND(OR(DANH_MUC!$L$5&lt;&gt;"Có",M4153="Có"),OR(DANH_MUC!$L$6&lt;&gt;"Có",N4153="Có"),OR(DANH_MUC!$L$7&lt;&gt;"Có",O4153="Có"),OR(DANH_MUC!$L$8&lt;&gt;"Có",P4153="Có")),"Có","Không"))</f>
        <v/>
      </c>
      <c r="R4153" s="22">
        <f>IF($D4153="","",IF(COUNTIF($D$2:$D4153,$D4153)&gt;1,"Trùng",""))</f>
        <v/>
      </c>
      <c r="S4153" s="22">
        <f>IF($D4153="","",IF(AND(LEN($D4153)=10,LEFT($D4153,1)="0",ISNUMBER(--$D4153)),"Có","Không"))</f>
        <v/>
      </c>
      <c r="T4153" s="22">
        <f>IF($D4153="","",IF(AND($C4153&lt;&gt;"",$Q4153="Có",$R4153="",$S4153="Có",AND($L4153&lt;&gt;"",OR($L4153&lt;&gt;"Chưa xác định",DANH_MUC!$L$9="Có"))),"Có","Không"))</f>
        <v/>
      </c>
      <c r="U4153" s="22">
        <f>IF(OR($D4153="",$T4153="Có"),"",IF($C4153="","Thiếu họ tên; ","")&amp;IF($S4153&lt;&gt;"Có","SĐT sai định dạng; ","")&amp;IF($R4153="Trùng","Trùng SĐT; ","")&amp;IF($Q4153&lt;&gt;"Có","Thiếu đồng ý bắt buộc; ","")&amp;IF($L4153="","Thiếu/sai Mã REF; ",IF(AND($L4153="Chưa xác định",DANH_MUC!$L$9&lt;&gt;"Có"),"Nguồn chưa xác định; ","")))</f>
        <v/>
      </c>
      <c r="V4153" s="22">
        <f>IF(OR($D4153="",$R4153="Trùng"),"",IF(COUNTIF(ORDERS!$C$2:$C$4995,$D4153)&gt;0,"Có","Không"))</f>
        <v/>
      </c>
      <c r="W4153" s="22">
        <f>IF(OR($D4153="",$R4153="Trùng"),"",COUNTIFS(ORDERS!$C$2:$C$4995,$D4153,ORDERS!$L$2:$L$4995,"Đã chuyển khoản"))</f>
        <v/>
      </c>
      <c r="X4153" s="23">
        <f>IF(OR($D4153="",$R4153="Trùng"),"",SUMIFS(ORDERS!$J$2:$J$4995,ORDERS!$C$2:$C$4995,$D4153,ORDERS!$L$2:$L$4995,"Đã chuyển khoản"))</f>
        <v/>
      </c>
      <c r="Y4153" s="24" t="n"/>
    </row>
    <row r="4154" ht="14.25" customHeight="1" s="40">
      <c r="A4154" s="24" t="n"/>
      <c r="B4154" s="27" t="n"/>
      <c r="C4154" s="24" t="n"/>
      <c r="D4154" s="28" t="n"/>
      <c r="E4154" s="29" t="n"/>
      <c r="F4154" s="24" t="n"/>
      <c r="G4154" s="24" t="n"/>
      <c r="H4154" s="21">
        <f>IF(ISNUMBER($B4154),INT($B4154)-WEEKDAY($B4154,2)+1,"")</f>
        <v/>
      </c>
      <c r="I4154" s="24" t="n"/>
      <c r="J4154" s="22">
        <f t="array" ref="J4154">IF($D4154="","",IF($I4154="","(trống REF)",IFERROR(INDEX(MASTER_SOURCE!$B$2:$B$495,MATCH($I4154,MASTER_SOURCE!$A$2:$A$495,0)),"(REF không có trong MASTER_SOURCE)")))</f>
        <v/>
      </c>
      <c r="K4154" s="22">
        <f t="array" ref="K4154">IF($D4154="","",IFERROR(INDEX(MASTER_SOURCE!$C$2:$C$495,MATCH($I4154,MASTER_SOURCE!$A$2:$A$495,0)),""))</f>
        <v/>
      </c>
      <c r="L4154" s="22">
        <f t="array" ref="L4154">IF($D4154="","",IFERROR(INDEX(MASTER_SOURCE!$D$2:$D$495,MATCH($I4154,MASTER_SOURCE!$A$2:$A$495,0)),""))</f>
        <v/>
      </c>
      <c r="M4154" s="24" t="n"/>
      <c r="N4154" s="24" t="n"/>
      <c r="O4154" s="24" t="n"/>
      <c r="P4154" s="24" t="n"/>
      <c r="Q4154" s="22">
        <f>IF($D4154="","",IF(AND(OR(DANH_MUC!$L$5&lt;&gt;"Có",M4154="Có"),OR(DANH_MUC!$L$6&lt;&gt;"Có",N4154="Có"),OR(DANH_MUC!$L$7&lt;&gt;"Có",O4154="Có"),OR(DANH_MUC!$L$8&lt;&gt;"Có",P4154="Có")),"Có","Không"))</f>
        <v/>
      </c>
      <c r="R4154" s="22">
        <f>IF($D4154="","",IF(COUNTIF($D$2:$D4154,$D4154)&gt;1,"Trùng",""))</f>
        <v/>
      </c>
      <c r="S4154" s="22">
        <f>IF($D4154="","",IF(AND(LEN($D4154)=10,LEFT($D4154,1)="0",ISNUMBER(--$D4154)),"Có","Không"))</f>
        <v/>
      </c>
      <c r="T4154" s="22">
        <f>IF($D4154="","",IF(AND($C4154&lt;&gt;"",$Q4154="Có",$R4154="",$S4154="Có",AND($L4154&lt;&gt;"",OR($L4154&lt;&gt;"Chưa xác định",DANH_MUC!$L$9="Có"))),"Có","Không"))</f>
        <v/>
      </c>
      <c r="U4154" s="22">
        <f>IF(OR($D4154="",$T4154="Có"),"",IF($C4154="","Thiếu họ tên; ","")&amp;IF($S4154&lt;&gt;"Có","SĐT sai định dạng; ","")&amp;IF($R4154="Trùng","Trùng SĐT; ","")&amp;IF($Q4154&lt;&gt;"Có","Thiếu đồng ý bắt buộc; ","")&amp;IF($L4154="","Thiếu/sai Mã REF; ",IF(AND($L4154="Chưa xác định",DANH_MUC!$L$9&lt;&gt;"Có"),"Nguồn chưa xác định; ","")))</f>
        <v/>
      </c>
      <c r="V4154" s="22">
        <f>IF(OR($D4154="",$R4154="Trùng"),"",IF(COUNTIF(ORDERS!$C$2:$C$4995,$D4154)&gt;0,"Có","Không"))</f>
        <v/>
      </c>
      <c r="W4154" s="22">
        <f>IF(OR($D4154="",$R4154="Trùng"),"",COUNTIFS(ORDERS!$C$2:$C$4995,$D4154,ORDERS!$L$2:$L$4995,"Đã chuyển khoản"))</f>
        <v/>
      </c>
      <c r="X4154" s="23">
        <f>IF(OR($D4154="",$R4154="Trùng"),"",SUMIFS(ORDERS!$J$2:$J$4995,ORDERS!$C$2:$C$4995,$D4154,ORDERS!$L$2:$L$4995,"Đã chuyển khoản"))</f>
        <v/>
      </c>
      <c r="Y4154" s="24" t="n"/>
    </row>
    <row r="4155" ht="14.25" customHeight="1" s="40">
      <c r="A4155" s="24" t="n"/>
      <c r="B4155" s="27" t="n"/>
      <c r="C4155" s="24" t="n"/>
      <c r="D4155" s="28" t="n"/>
      <c r="E4155" s="29" t="n"/>
      <c r="F4155" s="24" t="n"/>
      <c r="G4155" s="24" t="n"/>
      <c r="H4155" s="21">
        <f>IF(ISNUMBER($B4155),INT($B4155)-WEEKDAY($B4155,2)+1,"")</f>
        <v/>
      </c>
      <c r="I4155" s="24" t="n"/>
      <c r="J4155" s="22">
        <f t="array" ref="J4155">IF($D4155="","",IF($I4155="","(trống REF)",IFERROR(INDEX(MASTER_SOURCE!$B$2:$B$495,MATCH($I4155,MASTER_SOURCE!$A$2:$A$495,0)),"(REF không có trong MASTER_SOURCE)")))</f>
        <v/>
      </c>
      <c r="K4155" s="22">
        <f t="array" ref="K4155">IF($D4155="","",IFERROR(INDEX(MASTER_SOURCE!$C$2:$C$495,MATCH($I4155,MASTER_SOURCE!$A$2:$A$495,0)),""))</f>
        <v/>
      </c>
      <c r="L4155" s="22">
        <f t="array" ref="L4155">IF($D4155="","",IFERROR(INDEX(MASTER_SOURCE!$D$2:$D$495,MATCH($I4155,MASTER_SOURCE!$A$2:$A$495,0)),""))</f>
        <v/>
      </c>
      <c r="M4155" s="24" t="n"/>
      <c r="N4155" s="24" t="n"/>
      <c r="O4155" s="24" t="n"/>
      <c r="P4155" s="24" t="n"/>
      <c r="Q4155" s="22">
        <f>IF($D4155="","",IF(AND(OR(DANH_MUC!$L$5&lt;&gt;"Có",M4155="Có"),OR(DANH_MUC!$L$6&lt;&gt;"Có",N4155="Có"),OR(DANH_MUC!$L$7&lt;&gt;"Có",O4155="Có"),OR(DANH_MUC!$L$8&lt;&gt;"Có",P4155="Có")),"Có","Không"))</f>
        <v/>
      </c>
      <c r="R4155" s="22">
        <f>IF($D4155="","",IF(COUNTIF($D$2:$D4155,$D4155)&gt;1,"Trùng",""))</f>
        <v/>
      </c>
      <c r="S4155" s="22">
        <f>IF($D4155="","",IF(AND(LEN($D4155)=10,LEFT($D4155,1)="0",ISNUMBER(--$D4155)),"Có","Không"))</f>
        <v/>
      </c>
      <c r="T4155" s="22">
        <f>IF($D4155="","",IF(AND($C4155&lt;&gt;"",$Q4155="Có",$R4155="",$S4155="Có",AND($L4155&lt;&gt;"",OR($L4155&lt;&gt;"Chưa xác định",DANH_MUC!$L$9="Có"))),"Có","Không"))</f>
        <v/>
      </c>
      <c r="U4155" s="22">
        <f>IF(OR($D4155="",$T4155="Có"),"",IF($C4155="","Thiếu họ tên; ","")&amp;IF($S4155&lt;&gt;"Có","SĐT sai định dạng; ","")&amp;IF($R4155="Trùng","Trùng SĐT; ","")&amp;IF($Q4155&lt;&gt;"Có","Thiếu đồng ý bắt buộc; ","")&amp;IF($L4155="","Thiếu/sai Mã REF; ",IF(AND($L4155="Chưa xác định",DANH_MUC!$L$9&lt;&gt;"Có"),"Nguồn chưa xác định; ","")))</f>
        <v/>
      </c>
      <c r="V4155" s="22">
        <f>IF(OR($D4155="",$R4155="Trùng"),"",IF(COUNTIF(ORDERS!$C$2:$C$4995,$D4155)&gt;0,"Có","Không"))</f>
        <v/>
      </c>
      <c r="W4155" s="22">
        <f>IF(OR($D4155="",$R4155="Trùng"),"",COUNTIFS(ORDERS!$C$2:$C$4995,$D4155,ORDERS!$L$2:$L$4995,"Đã chuyển khoản"))</f>
        <v/>
      </c>
      <c r="X4155" s="23">
        <f>IF(OR($D4155="",$R4155="Trùng"),"",SUMIFS(ORDERS!$J$2:$J$4995,ORDERS!$C$2:$C$4995,$D4155,ORDERS!$L$2:$L$4995,"Đã chuyển khoản"))</f>
        <v/>
      </c>
      <c r="Y4155" s="24" t="n"/>
    </row>
    <row r="4156" ht="14.25" customHeight="1" s="40">
      <c r="A4156" s="24" t="n"/>
      <c r="B4156" s="27" t="n"/>
      <c r="C4156" s="24" t="n"/>
      <c r="D4156" s="28" t="n"/>
      <c r="E4156" s="29" t="n"/>
      <c r="F4156" s="24" t="n"/>
      <c r="G4156" s="24" t="n"/>
      <c r="H4156" s="21">
        <f>IF(ISNUMBER($B4156),INT($B4156)-WEEKDAY($B4156,2)+1,"")</f>
        <v/>
      </c>
      <c r="I4156" s="24" t="n"/>
      <c r="J4156" s="22">
        <f t="array" ref="J4156">IF($D4156="","",IF($I4156="","(trống REF)",IFERROR(INDEX(MASTER_SOURCE!$B$2:$B$495,MATCH($I4156,MASTER_SOURCE!$A$2:$A$495,0)),"(REF không có trong MASTER_SOURCE)")))</f>
        <v/>
      </c>
      <c r="K4156" s="22">
        <f t="array" ref="K4156">IF($D4156="","",IFERROR(INDEX(MASTER_SOURCE!$C$2:$C$495,MATCH($I4156,MASTER_SOURCE!$A$2:$A$495,0)),""))</f>
        <v/>
      </c>
      <c r="L4156" s="22">
        <f t="array" ref="L4156">IF($D4156="","",IFERROR(INDEX(MASTER_SOURCE!$D$2:$D$495,MATCH($I4156,MASTER_SOURCE!$A$2:$A$495,0)),""))</f>
        <v/>
      </c>
      <c r="M4156" s="24" t="n"/>
      <c r="N4156" s="24" t="n"/>
      <c r="O4156" s="24" t="n"/>
      <c r="P4156" s="24" t="n"/>
      <c r="Q4156" s="22">
        <f>IF($D4156="","",IF(AND(OR(DANH_MUC!$L$5&lt;&gt;"Có",M4156="Có"),OR(DANH_MUC!$L$6&lt;&gt;"Có",N4156="Có"),OR(DANH_MUC!$L$7&lt;&gt;"Có",O4156="Có"),OR(DANH_MUC!$L$8&lt;&gt;"Có",P4156="Có")),"Có","Không"))</f>
        <v/>
      </c>
      <c r="R4156" s="22">
        <f>IF($D4156="","",IF(COUNTIF($D$2:$D4156,$D4156)&gt;1,"Trùng",""))</f>
        <v/>
      </c>
      <c r="S4156" s="22">
        <f>IF($D4156="","",IF(AND(LEN($D4156)=10,LEFT($D4156,1)="0",ISNUMBER(--$D4156)),"Có","Không"))</f>
        <v/>
      </c>
      <c r="T4156" s="22">
        <f>IF($D4156="","",IF(AND($C4156&lt;&gt;"",$Q4156="Có",$R4156="",$S4156="Có",AND($L4156&lt;&gt;"",OR($L4156&lt;&gt;"Chưa xác định",DANH_MUC!$L$9="Có"))),"Có","Không"))</f>
        <v/>
      </c>
      <c r="U4156" s="22">
        <f>IF(OR($D4156="",$T4156="Có"),"",IF($C4156="","Thiếu họ tên; ","")&amp;IF($S4156&lt;&gt;"Có","SĐT sai định dạng; ","")&amp;IF($R4156="Trùng","Trùng SĐT; ","")&amp;IF($Q4156&lt;&gt;"Có","Thiếu đồng ý bắt buộc; ","")&amp;IF($L4156="","Thiếu/sai Mã REF; ",IF(AND($L4156="Chưa xác định",DANH_MUC!$L$9&lt;&gt;"Có"),"Nguồn chưa xác định; ","")))</f>
        <v/>
      </c>
      <c r="V4156" s="22">
        <f>IF(OR($D4156="",$R4156="Trùng"),"",IF(COUNTIF(ORDERS!$C$2:$C$4995,$D4156)&gt;0,"Có","Không"))</f>
        <v/>
      </c>
      <c r="W4156" s="22">
        <f>IF(OR($D4156="",$R4156="Trùng"),"",COUNTIFS(ORDERS!$C$2:$C$4995,$D4156,ORDERS!$L$2:$L$4995,"Đã chuyển khoản"))</f>
        <v/>
      </c>
      <c r="X4156" s="23">
        <f>IF(OR($D4156="",$R4156="Trùng"),"",SUMIFS(ORDERS!$J$2:$J$4995,ORDERS!$C$2:$C$4995,$D4156,ORDERS!$L$2:$L$4995,"Đã chuyển khoản"))</f>
        <v/>
      </c>
      <c r="Y4156" s="24" t="n"/>
    </row>
    <row r="4157" ht="14.25" customHeight="1" s="40">
      <c r="A4157" s="24" t="n"/>
      <c r="B4157" s="27" t="n"/>
      <c r="C4157" s="24" t="n"/>
      <c r="D4157" s="28" t="n"/>
      <c r="E4157" s="29" t="n"/>
      <c r="F4157" s="24" t="n"/>
      <c r="G4157" s="24" t="n"/>
      <c r="H4157" s="21">
        <f>IF(ISNUMBER($B4157),INT($B4157)-WEEKDAY($B4157,2)+1,"")</f>
        <v/>
      </c>
      <c r="I4157" s="24" t="n"/>
      <c r="J4157" s="22">
        <f t="array" ref="J4157">IF($D4157="","",IF($I4157="","(trống REF)",IFERROR(INDEX(MASTER_SOURCE!$B$2:$B$495,MATCH($I4157,MASTER_SOURCE!$A$2:$A$495,0)),"(REF không có trong MASTER_SOURCE)")))</f>
        <v/>
      </c>
      <c r="K4157" s="22">
        <f t="array" ref="K4157">IF($D4157="","",IFERROR(INDEX(MASTER_SOURCE!$C$2:$C$495,MATCH($I4157,MASTER_SOURCE!$A$2:$A$495,0)),""))</f>
        <v/>
      </c>
      <c r="L4157" s="22">
        <f t="array" ref="L4157">IF($D4157="","",IFERROR(INDEX(MASTER_SOURCE!$D$2:$D$495,MATCH($I4157,MASTER_SOURCE!$A$2:$A$495,0)),""))</f>
        <v/>
      </c>
      <c r="M4157" s="24" t="n"/>
      <c r="N4157" s="24" t="n"/>
      <c r="O4157" s="24" t="n"/>
      <c r="P4157" s="24" t="n"/>
      <c r="Q4157" s="22">
        <f>IF($D4157="","",IF(AND(OR(DANH_MUC!$L$5&lt;&gt;"Có",M4157="Có"),OR(DANH_MUC!$L$6&lt;&gt;"Có",N4157="Có"),OR(DANH_MUC!$L$7&lt;&gt;"Có",O4157="Có"),OR(DANH_MUC!$L$8&lt;&gt;"Có",P4157="Có")),"Có","Không"))</f>
        <v/>
      </c>
      <c r="R4157" s="22">
        <f>IF($D4157="","",IF(COUNTIF($D$2:$D4157,$D4157)&gt;1,"Trùng",""))</f>
        <v/>
      </c>
      <c r="S4157" s="22">
        <f>IF($D4157="","",IF(AND(LEN($D4157)=10,LEFT($D4157,1)="0",ISNUMBER(--$D4157)),"Có","Không"))</f>
        <v/>
      </c>
      <c r="T4157" s="22">
        <f>IF($D4157="","",IF(AND($C4157&lt;&gt;"",$Q4157="Có",$R4157="",$S4157="Có",AND($L4157&lt;&gt;"",OR($L4157&lt;&gt;"Chưa xác định",DANH_MUC!$L$9="Có"))),"Có","Không"))</f>
        <v/>
      </c>
      <c r="U4157" s="22">
        <f>IF(OR($D4157="",$T4157="Có"),"",IF($C4157="","Thiếu họ tên; ","")&amp;IF($S4157&lt;&gt;"Có","SĐT sai định dạng; ","")&amp;IF($R4157="Trùng","Trùng SĐT; ","")&amp;IF($Q4157&lt;&gt;"Có","Thiếu đồng ý bắt buộc; ","")&amp;IF($L4157="","Thiếu/sai Mã REF; ",IF(AND($L4157="Chưa xác định",DANH_MUC!$L$9&lt;&gt;"Có"),"Nguồn chưa xác định; ","")))</f>
        <v/>
      </c>
      <c r="V4157" s="22">
        <f>IF(OR($D4157="",$R4157="Trùng"),"",IF(COUNTIF(ORDERS!$C$2:$C$4995,$D4157)&gt;0,"Có","Không"))</f>
        <v/>
      </c>
      <c r="W4157" s="22">
        <f>IF(OR($D4157="",$R4157="Trùng"),"",COUNTIFS(ORDERS!$C$2:$C$4995,$D4157,ORDERS!$L$2:$L$4995,"Đã chuyển khoản"))</f>
        <v/>
      </c>
      <c r="X4157" s="23">
        <f>IF(OR($D4157="",$R4157="Trùng"),"",SUMIFS(ORDERS!$J$2:$J$4995,ORDERS!$C$2:$C$4995,$D4157,ORDERS!$L$2:$L$4995,"Đã chuyển khoản"))</f>
        <v/>
      </c>
      <c r="Y4157" s="24" t="n"/>
    </row>
    <row r="4158" ht="14.25" customHeight="1" s="40">
      <c r="A4158" s="24" t="n"/>
      <c r="B4158" s="27" t="n"/>
      <c r="C4158" s="24" t="n"/>
      <c r="D4158" s="28" t="n"/>
      <c r="E4158" s="29" t="n"/>
      <c r="F4158" s="24" t="n"/>
      <c r="G4158" s="24" t="n"/>
      <c r="H4158" s="21">
        <f>IF(ISNUMBER($B4158),INT($B4158)-WEEKDAY($B4158,2)+1,"")</f>
        <v/>
      </c>
      <c r="I4158" s="24" t="n"/>
      <c r="J4158" s="22">
        <f t="array" ref="J4158">IF($D4158="","",IF($I4158="","(trống REF)",IFERROR(INDEX(MASTER_SOURCE!$B$2:$B$495,MATCH($I4158,MASTER_SOURCE!$A$2:$A$495,0)),"(REF không có trong MASTER_SOURCE)")))</f>
        <v/>
      </c>
      <c r="K4158" s="22">
        <f t="array" ref="K4158">IF($D4158="","",IFERROR(INDEX(MASTER_SOURCE!$C$2:$C$495,MATCH($I4158,MASTER_SOURCE!$A$2:$A$495,0)),""))</f>
        <v/>
      </c>
      <c r="L4158" s="22">
        <f t="array" ref="L4158">IF($D4158="","",IFERROR(INDEX(MASTER_SOURCE!$D$2:$D$495,MATCH($I4158,MASTER_SOURCE!$A$2:$A$495,0)),""))</f>
        <v/>
      </c>
      <c r="M4158" s="24" t="n"/>
      <c r="N4158" s="24" t="n"/>
      <c r="O4158" s="24" t="n"/>
      <c r="P4158" s="24" t="n"/>
      <c r="Q4158" s="22">
        <f>IF($D4158="","",IF(AND(OR(DANH_MUC!$L$5&lt;&gt;"Có",M4158="Có"),OR(DANH_MUC!$L$6&lt;&gt;"Có",N4158="Có"),OR(DANH_MUC!$L$7&lt;&gt;"Có",O4158="Có"),OR(DANH_MUC!$L$8&lt;&gt;"Có",P4158="Có")),"Có","Không"))</f>
        <v/>
      </c>
      <c r="R4158" s="22">
        <f>IF($D4158="","",IF(COUNTIF($D$2:$D4158,$D4158)&gt;1,"Trùng",""))</f>
        <v/>
      </c>
      <c r="S4158" s="22">
        <f>IF($D4158="","",IF(AND(LEN($D4158)=10,LEFT($D4158,1)="0",ISNUMBER(--$D4158)),"Có","Không"))</f>
        <v/>
      </c>
      <c r="T4158" s="22">
        <f>IF($D4158="","",IF(AND($C4158&lt;&gt;"",$Q4158="Có",$R4158="",$S4158="Có",AND($L4158&lt;&gt;"",OR($L4158&lt;&gt;"Chưa xác định",DANH_MUC!$L$9="Có"))),"Có","Không"))</f>
        <v/>
      </c>
      <c r="U4158" s="22">
        <f>IF(OR($D4158="",$T4158="Có"),"",IF($C4158="","Thiếu họ tên; ","")&amp;IF($S4158&lt;&gt;"Có","SĐT sai định dạng; ","")&amp;IF($R4158="Trùng","Trùng SĐT; ","")&amp;IF($Q4158&lt;&gt;"Có","Thiếu đồng ý bắt buộc; ","")&amp;IF($L4158="","Thiếu/sai Mã REF; ",IF(AND($L4158="Chưa xác định",DANH_MUC!$L$9&lt;&gt;"Có"),"Nguồn chưa xác định; ","")))</f>
        <v/>
      </c>
      <c r="V4158" s="22">
        <f>IF(OR($D4158="",$R4158="Trùng"),"",IF(COUNTIF(ORDERS!$C$2:$C$4995,$D4158)&gt;0,"Có","Không"))</f>
        <v/>
      </c>
      <c r="W4158" s="22">
        <f>IF(OR($D4158="",$R4158="Trùng"),"",COUNTIFS(ORDERS!$C$2:$C$4995,$D4158,ORDERS!$L$2:$L$4995,"Đã chuyển khoản"))</f>
        <v/>
      </c>
      <c r="X4158" s="23">
        <f>IF(OR($D4158="",$R4158="Trùng"),"",SUMIFS(ORDERS!$J$2:$J$4995,ORDERS!$C$2:$C$4995,$D4158,ORDERS!$L$2:$L$4995,"Đã chuyển khoản"))</f>
        <v/>
      </c>
      <c r="Y4158" s="24" t="n"/>
    </row>
    <row r="4159" ht="14.25" customHeight="1" s="40">
      <c r="A4159" s="24" t="n"/>
      <c r="B4159" s="27" t="n"/>
      <c r="C4159" s="24" t="n"/>
      <c r="D4159" s="28" t="n"/>
      <c r="E4159" s="29" t="n"/>
      <c r="F4159" s="24" t="n"/>
      <c r="G4159" s="24" t="n"/>
      <c r="H4159" s="21">
        <f>IF(ISNUMBER($B4159),INT($B4159)-WEEKDAY($B4159,2)+1,"")</f>
        <v/>
      </c>
      <c r="I4159" s="24" t="n"/>
      <c r="J4159" s="22">
        <f t="array" ref="J4159">IF($D4159="","",IF($I4159="","(trống REF)",IFERROR(INDEX(MASTER_SOURCE!$B$2:$B$495,MATCH($I4159,MASTER_SOURCE!$A$2:$A$495,0)),"(REF không có trong MASTER_SOURCE)")))</f>
        <v/>
      </c>
      <c r="K4159" s="22">
        <f t="array" ref="K4159">IF($D4159="","",IFERROR(INDEX(MASTER_SOURCE!$C$2:$C$495,MATCH($I4159,MASTER_SOURCE!$A$2:$A$495,0)),""))</f>
        <v/>
      </c>
      <c r="L4159" s="22">
        <f t="array" ref="L4159">IF($D4159="","",IFERROR(INDEX(MASTER_SOURCE!$D$2:$D$495,MATCH($I4159,MASTER_SOURCE!$A$2:$A$495,0)),""))</f>
        <v/>
      </c>
      <c r="M4159" s="24" t="n"/>
      <c r="N4159" s="24" t="n"/>
      <c r="O4159" s="24" t="n"/>
      <c r="P4159" s="24" t="n"/>
      <c r="Q4159" s="22">
        <f>IF($D4159="","",IF(AND(OR(DANH_MUC!$L$5&lt;&gt;"Có",M4159="Có"),OR(DANH_MUC!$L$6&lt;&gt;"Có",N4159="Có"),OR(DANH_MUC!$L$7&lt;&gt;"Có",O4159="Có"),OR(DANH_MUC!$L$8&lt;&gt;"Có",P4159="Có")),"Có","Không"))</f>
        <v/>
      </c>
      <c r="R4159" s="22">
        <f>IF($D4159="","",IF(COUNTIF($D$2:$D4159,$D4159)&gt;1,"Trùng",""))</f>
        <v/>
      </c>
      <c r="S4159" s="22">
        <f>IF($D4159="","",IF(AND(LEN($D4159)=10,LEFT($D4159,1)="0",ISNUMBER(--$D4159)),"Có","Không"))</f>
        <v/>
      </c>
      <c r="T4159" s="22">
        <f>IF($D4159="","",IF(AND($C4159&lt;&gt;"",$Q4159="Có",$R4159="",$S4159="Có",AND($L4159&lt;&gt;"",OR($L4159&lt;&gt;"Chưa xác định",DANH_MUC!$L$9="Có"))),"Có","Không"))</f>
        <v/>
      </c>
      <c r="U4159" s="22">
        <f>IF(OR($D4159="",$T4159="Có"),"",IF($C4159="","Thiếu họ tên; ","")&amp;IF($S4159&lt;&gt;"Có","SĐT sai định dạng; ","")&amp;IF($R4159="Trùng","Trùng SĐT; ","")&amp;IF($Q4159&lt;&gt;"Có","Thiếu đồng ý bắt buộc; ","")&amp;IF($L4159="","Thiếu/sai Mã REF; ",IF(AND($L4159="Chưa xác định",DANH_MUC!$L$9&lt;&gt;"Có"),"Nguồn chưa xác định; ","")))</f>
        <v/>
      </c>
      <c r="V4159" s="22">
        <f>IF(OR($D4159="",$R4159="Trùng"),"",IF(COUNTIF(ORDERS!$C$2:$C$4995,$D4159)&gt;0,"Có","Không"))</f>
        <v/>
      </c>
      <c r="W4159" s="22">
        <f>IF(OR($D4159="",$R4159="Trùng"),"",COUNTIFS(ORDERS!$C$2:$C$4995,$D4159,ORDERS!$L$2:$L$4995,"Đã chuyển khoản"))</f>
        <v/>
      </c>
      <c r="X4159" s="23">
        <f>IF(OR($D4159="",$R4159="Trùng"),"",SUMIFS(ORDERS!$J$2:$J$4995,ORDERS!$C$2:$C$4995,$D4159,ORDERS!$L$2:$L$4995,"Đã chuyển khoản"))</f>
        <v/>
      </c>
      <c r="Y4159" s="24" t="n"/>
    </row>
    <row r="4160" ht="14.25" customHeight="1" s="40">
      <c r="A4160" s="24" t="n"/>
      <c r="B4160" s="27" t="n"/>
      <c r="C4160" s="24" t="n"/>
      <c r="D4160" s="28" t="n"/>
      <c r="E4160" s="29" t="n"/>
      <c r="F4160" s="24" t="n"/>
      <c r="G4160" s="24" t="n"/>
      <c r="H4160" s="21">
        <f>IF(ISNUMBER($B4160),INT($B4160)-WEEKDAY($B4160,2)+1,"")</f>
        <v/>
      </c>
      <c r="I4160" s="24" t="n"/>
      <c r="J4160" s="22">
        <f t="array" ref="J4160">IF($D4160="","",IF($I4160="","(trống REF)",IFERROR(INDEX(MASTER_SOURCE!$B$2:$B$495,MATCH($I4160,MASTER_SOURCE!$A$2:$A$495,0)),"(REF không có trong MASTER_SOURCE)")))</f>
        <v/>
      </c>
      <c r="K4160" s="22">
        <f t="array" ref="K4160">IF($D4160="","",IFERROR(INDEX(MASTER_SOURCE!$C$2:$C$495,MATCH($I4160,MASTER_SOURCE!$A$2:$A$495,0)),""))</f>
        <v/>
      </c>
      <c r="L4160" s="22">
        <f t="array" ref="L4160">IF($D4160="","",IFERROR(INDEX(MASTER_SOURCE!$D$2:$D$495,MATCH($I4160,MASTER_SOURCE!$A$2:$A$495,0)),""))</f>
        <v/>
      </c>
      <c r="M4160" s="24" t="n"/>
      <c r="N4160" s="24" t="n"/>
      <c r="O4160" s="24" t="n"/>
      <c r="P4160" s="24" t="n"/>
      <c r="Q4160" s="22">
        <f>IF($D4160="","",IF(AND(OR(DANH_MUC!$L$5&lt;&gt;"Có",M4160="Có"),OR(DANH_MUC!$L$6&lt;&gt;"Có",N4160="Có"),OR(DANH_MUC!$L$7&lt;&gt;"Có",O4160="Có"),OR(DANH_MUC!$L$8&lt;&gt;"Có",P4160="Có")),"Có","Không"))</f>
        <v/>
      </c>
      <c r="R4160" s="22">
        <f>IF($D4160="","",IF(COUNTIF($D$2:$D4160,$D4160)&gt;1,"Trùng",""))</f>
        <v/>
      </c>
      <c r="S4160" s="22">
        <f>IF($D4160="","",IF(AND(LEN($D4160)=10,LEFT($D4160,1)="0",ISNUMBER(--$D4160)),"Có","Không"))</f>
        <v/>
      </c>
      <c r="T4160" s="22">
        <f>IF($D4160="","",IF(AND($C4160&lt;&gt;"",$Q4160="Có",$R4160="",$S4160="Có",AND($L4160&lt;&gt;"",OR($L4160&lt;&gt;"Chưa xác định",DANH_MUC!$L$9="Có"))),"Có","Không"))</f>
        <v/>
      </c>
      <c r="U4160" s="22">
        <f>IF(OR($D4160="",$T4160="Có"),"",IF($C4160="","Thiếu họ tên; ","")&amp;IF($S4160&lt;&gt;"Có","SĐT sai định dạng; ","")&amp;IF($R4160="Trùng","Trùng SĐT; ","")&amp;IF($Q4160&lt;&gt;"Có","Thiếu đồng ý bắt buộc; ","")&amp;IF($L4160="","Thiếu/sai Mã REF; ",IF(AND($L4160="Chưa xác định",DANH_MUC!$L$9&lt;&gt;"Có"),"Nguồn chưa xác định; ","")))</f>
        <v/>
      </c>
      <c r="V4160" s="22">
        <f>IF(OR($D4160="",$R4160="Trùng"),"",IF(COUNTIF(ORDERS!$C$2:$C$4995,$D4160)&gt;0,"Có","Không"))</f>
        <v/>
      </c>
      <c r="W4160" s="22">
        <f>IF(OR($D4160="",$R4160="Trùng"),"",COUNTIFS(ORDERS!$C$2:$C$4995,$D4160,ORDERS!$L$2:$L$4995,"Đã chuyển khoản"))</f>
        <v/>
      </c>
      <c r="X4160" s="23">
        <f>IF(OR($D4160="",$R4160="Trùng"),"",SUMIFS(ORDERS!$J$2:$J$4995,ORDERS!$C$2:$C$4995,$D4160,ORDERS!$L$2:$L$4995,"Đã chuyển khoản"))</f>
        <v/>
      </c>
      <c r="Y4160" s="24" t="n"/>
    </row>
    <row r="4161" ht="14.25" customHeight="1" s="40">
      <c r="A4161" s="24" t="n"/>
      <c r="B4161" s="27" t="n"/>
      <c r="C4161" s="24" t="n"/>
      <c r="D4161" s="28" t="n"/>
      <c r="E4161" s="29" t="n"/>
      <c r="F4161" s="24" t="n"/>
      <c r="G4161" s="24" t="n"/>
      <c r="H4161" s="21">
        <f>IF(ISNUMBER($B4161),INT($B4161)-WEEKDAY($B4161,2)+1,"")</f>
        <v/>
      </c>
      <c r="I4161" s="24" t="n"/>
      <c r="J4161" s="22">
        <f t="array" ref="J4161">IF($D4161="","",IF($I4161="","(trống REF)",IFERROR(INDEX(MASTER_SOURCE!$B$2:$B$495,MATCH($I4161,MASTER_SOURCE!$A$2:$A$495,0)),"(REF không có trong MASTER_SOURCE)")))</f>
        <v/>
      </c>
      <c r="K4161" s="22">
        <f t="array" ref="K4161">IF($D4161="","",IFERROR(INDEX(MASTER_SOURCE!$C$2:$C$495,MATCH($I4161,MASTER_SOURCE!$A$2:$A$495,0)),""))</f>
        <v/>
      </c>
      <c r="L4161" s="22">
        <f t="array" ref="L4161">IF($D4161="","",IFERROR(INDEX(MASTER_SOURCE!$D$2:$D$495,MATCH($I4161,MASTER_SOURCE!$A$2:$A$495,0)),""))</f>
        <v/>
      </c>
      <c r="M4161" s="24" t="n"/>
      <c r="N4161" s="24" t="n"/>
      <c r="O4161" s="24" t="n"/>
      <c r="P4161" s="24" t="n"/>
      <c r="Q4161" s="22">
        <f>IF($D4161="","",IF(AND(OR(DANH_MUC!$L$5&lt;&gt;"Có",M4161="Có"),OR(DANH_MUC!$L$6&lt;&gt;"Có",N4161="Có"),OR(DANH_MUC!$L$7&lt;&gt;"Có",O4161="Có"),OR(DANH_MUC!$L$8&lt;&gt;"Có",P4161="Có")),"Có","Không"))</f>
        <v/>
      </c>
      <c r="R4161" s="22">
        <f>IF($D4161="","",IF(COUNTIF($D$2:$D4161,$D4161)&gt;1,"Trùng",""))</f>
        <v/>
      </c>
      <c r="S4161" s="22">
        <f>IF($D4161="","",IF(AND(LEN($D4161)=10,LEFT($D4161,1)="0",ISNUMBER(--$D4161)),"Có","Không"))</f>
        <v/>
      </c>
      <c r="T4161" s="22">
        <f>IF($D4161="","",IF(AND($C4161&lt;&gt;"",$Q4161="Có",$R4161="",$S4161="Có",AND($L4161&lt;&gt;"",OR($L4161&lt;&gt;"Chưa xác định",DANH_MUC!$L$9="Có"))),"Có","Không"))</f>
        <v/>
      </c>
      <c r="U4161" s="22">
        <f>IF(OR($D4161="",$T4161="Có"),"",IF($C4161="","Thiếu họ tên; ","")&amp;IF($S4161&lt;&gt;"Có","SĐT sai định dạng; ","")&amp;IF($R4161="Trùng","Trùng SĐT; ","")&amp;IF($Q4161&lt;&gt;"Có","Thiếu đồng ý bắt buộc; ","")&amp;IF($L4161="","Thiếu/sai Mã REF; ",IF(AND($L4161="Chưa xác định",DANH_MUC!$L$9&lt;&gt;"Có"),"Nguồn chưa xác định; ","")))</f>
        <v/>
      </c>
      <c r="V4161" s="22">
        <f>IF(OR($D4161="",$R4161="Trùng"),"",IF(COUNTIF(ORDERS!$C$2:$C$4995,$D4161)&gt;0,"Có","Không"))</f>
        <v/>
      </c>
      <c r="W4161" s="22">
        <f>IF(OR($D4161="",$R4161="Trùng"),"",COUNTIFS(ORDERS!$C$2:$C$4995,$D4161,ORDERS!$L$2:$L$4995,"Đã chuyển khoản"))</f>
        <v/>
      </c>
      <c r="X4161" s="23">
        <f>IF(OR($D4161="",$R4161="Trùng"),"",SUMIFS(ORDERS!$J$2:$J$4995,ORDERS!$C$2:$C$4995,$D4161,ORDERS!$L$2:$L$4995,"Đã chuyển khoản"))</f>
        <v/>
      </c>
      <c r="Y4161" s="24" t="n"/>
    </row>
    <row r="4162" ht="14.25" customHeight="1" s="40">
      <c r="A4162" s="24" t="n"/>
      <c r="B4162" s="27" t="n"/>
      <c r="C4162" s="24" t="n"/>
      <c r="D4162" s="28" t="n"/>
      <c r="E4162" s="29" t="n"/>
      <c r="F4162" s="24" t="n"/>
      <c r="G4162" s="24" t="n"/>
      <c r="H4162" s="21">
        <f>IF(ISNUMBER($B4162),INT($B4162)-WEEKDAY($B4162,2)+1,"")</f>
        <v/>
      </c>
      <c r="I4162" s="24" t="n"/>
      <c r="J4162" s="22">
        <f t="array" ref="J4162">IF($D4162="","",IF($I4162="","(trống REF)",IFERROR(INDEX(MASTER_SOURCE!$B$2:$B$495,MATCH($I4162,MASTER_SOURCE!$A$2:$A$495,0)),"(REF không có trong MASTER_SOURCE)")))</f>
        <v/>
      </c>
      <c r="K4162" s="22">
        <f t="array" ref="K4162">IF($D4162="","",IFERROR(INDEX(MASTER_SOURCE!$C$2:$C$495,MATCH($I4162,MASTER_SOURCE!$A$2:$A$495,0)),""))</f>
        <v/>
      </c>
      <c r="L4162" s="22">
        <f t="array" ref="L4162">IF($D4162="","",IFERROR(INDEX(MASTER_SOURCE!$D$2:$D$495,MATCH($I4162,MASTER_SOURCE!$A$2:$A$495,0)),""))</f>
        <v/>
      </c>
      <c r="M4162" s="24" t="n"/>
      <c r="N4162" s="24" t="n"/>
      <c r="O4162" s="24" t="n"/>
      <c r="P4162" s="24" t="n"/>
      <c r="Q4162" s="22">
        <f>IF($D4162="","",IF(AND(OR(DANH_MUC!$L$5&lt;&gt;"Có",M4162="Có"),OR(DANH_MUC!$L$6&lt;&gt;"Có",N4162="Có"),OR(DANH_MUC!$L$7&lt;&gt;"Có",O4162="Có"),OR(DANH_MUC!$L$8&lt;&gt;"Có",P4162="Có")),"Có","Không"))</f>
        <v/>
      </c>
      <c r="R4162" s="22">
        <f>IF($D4162="","",IF(COUNTIF($D$2:$D4162,$D4162)&gt;1,"Trùng",""))</f>
        <v/>
      </c>
      <c r="S4162" s="22">
        <f>IF($D4162="","",IF(AND(LEN($D4162)=10,LEFT($D4162,1)="0",ISNUMBER(--$D4162)),"Có","Không"))</f>
        <v/>
      </c>
      <c r="T4162" s="22">
        <f>IF($D4162="","",IF(AND($C4162&lt;&gt;"",$Q4162="Có",$R4162="",$S4162="Có",AND($L4162&lt;&gt;"",OR($L4162&lt;&gt;"Chưa xác định",DANH_MUC!$L$9="Có"))),"Có","Không"))</f>
        <v/>
      </c>
      <c r="U4162" s="22">
        <f>IF(OR($D4162="",$T4162="Có"),"",IF($C4162="","Thiếu họ tên; ","")&amp;IF($S4162&lt;&gt;"Có","SĐT sai định dạng; ","")&amp;IF($R4162="Trùng","Trùng SĐT; ","")&amp;IF($Q4162&lt;&gt;"Có","Thiếu đồng ý bắt buộc; ","")&amp;IF($L4162="","Thiếu/sai Mã REF; ",IF(AND($L4162="Chưa xác định",DANH_MUC!$L$9&lt;&gt;"Có"),"Nguồn chưa xác định; ","")))</f>
        <v/>
      </c>
      <c r="V4162" s="22">
        <f>IF(OR($D4162="",$R4162="Trùng"),"",IF(COUNTIF(ORDERS!$C$2:$C$4995,$D4162)&gt;0,"Có","Không"))</f>
        <v/>
      </c>
      <c r="W4162" s="22">
        <f>IF(OR($D4162="",$R4162="Trùng"),"",COUNTIFS(ORDERS!$C$2:$C$4995,$D4162,ORDERS!$L$2:$L$4995,"Đã chuyển khoản"))</f>
        <v/>
      </c>
      <c r="X4162" s="23">
        <f>IF(OR($D4162="",$R4162="Trùng"),"",SUMIFS(ORDERS!$J$2:$J$4995,ORDERS!$C$2:$C$4995,$D4162,ORDERS!$L$2:$L$4995,"Đã chuyển khoản"))</f>
        <v/>
      </c>
      <c r="Y4162" s="24" t="n"/>
    </row>
    <row r="4163" ht="14.25" customHeight="1" s="40">
      <c r="A4163" s="24" t="n"/>
      <c r="B4163" s="27" t="n"/>
      <c r="C4163" s="24" t="n"/>
      <c r="D4163" s="28" t="n"/>
      <c r="E4163" s="29" t="n"/>
      <c r="F4163" s="24" t="n"/>
      <c r="G4163" s="24" t="n"/>
      <c r="H4163" s="21">
        <f>IF(ISNUMBER($B4163),INT($B4163)-WEEKDAY($B4163,2)+1,"")</f>
        <v/>
      </c>
      <c r="I4163" s="24" t="n"/>
      <c r="J4163" s="22">
        <f t="array" ref="J4163">IF($D4163="","",IF($I4163="","(trống REF)",IFERROR(INDEX(MASTER_SOURCE!$B$2:$B$495,MATCH($I4163,MASTER_SOURCE!$A$2:$A$495,0)),"(REF không có trong MASTER_SOURCE)")))</f>
        <v/>
      </c>
      <c r="K4163" s="22">
        <f t="array" ref="K4163">IF($D4163="","",IFERROR(INDEX(MASTER_SOURCE!$C$2:$C$495,MATCH($I4163,MASTER_SOURCE!$A$2:$A$495,0)),""))</f>
        <v/>
      </c>
      <c r="L4163" s="22">
        <f t="array" ref="L4163">IF($D4163="","",IFERROR(INDEX(MASTER_SOURCE!$D$2:$D$495,MATCH($I4163,MASTER_SOURCE!$A$2:$A$495,0)),""))</f>
        <v/>
      </c>
      <c r="M4163" s="24" t="n"/>
      <c r="N4163" s="24" t="n"/>
      <c r="O4163" s="24" t="n"/>
      <c r="P4163" s="24" t="n"/>
      <c r="Q4163" s="22">
        <f>IF($D4163="","",IF(AND(OR(DANH_MUC!$L$5&lt;&gt;"Có",M4163="Có"),OR(DANH_MUC!$L$6&lt;&gt;"Có",N4163="Có"),OR(DANH_MUC!$L$7&lt;&gt;"Có",O4163="Có"),OR(DANH_MUC!$L$8&lt;&gt;"Có",P4163="Có")),"Có","Không"))</f>
        <v/>
      </c>
      <c r="R4163" s="22">
        <f>IF($D4163="","",IF(COUNTIF($D$2:$D4163,$D4163)&gt;1,"Trùng",""))</f>
        <v/>
      </c>
      <c r="S4163" s="22">
        <f>IF($D4163="","",IF(AND(LEN($D4163)=10,LEFT($D4163,1)="0",ISNUMBER(--$D4163)),"Có","Không"))</f>
        <v/>
      </c>
      <c r="T4163" s="22">
        <f>IF($D4163="","",IF(AND($C4163&lt;&gt;"",$Q4163="Có",$R4163="",$S4163="Có",AND($L4163&lt;&gt;"",OR($L4163&lt;&gt;"Chưa xác định",DANH_MUC!$L$9="Có"))),"Có","Không"))</f>
        <v/>
      </c>
      <c r="U4163" s="22">
        <f>IF(OR($D4163="",$T4163="Có"),"",IF($C4163="","Thiếu họ tên; ","")&amp;IF($S4163&lt;&gt;"Có","SĐT sai định dạng; ","")&amp;IF($R4163="Trùng","Trùng SĐT; ","")&amp;IF($Q4163&lt;&gt;"Có","Thiếu đồng ý bắt buộc; ","")&amp;IF($L4163="","Thiếu/sai Mã REF; ",IF(AND($L4163="Chưa xác định",DANH_MUC!$L$9&lt;&gt;"Có"),"Nguồn chưa xác định; ","")))</f>
        <v/>
      </c>
      <c r="V4163" s="22">
        <f>IF(OR($D4163="",$R4163="Trùng"),"",IF(COUNTIF(ORDERS!$C$2:$C$4995,$D4163)&gt;0,"Có","Không"))</f>
        <v/>
      </c>
      <c r="W4163" s="22">
        <f>IF(OR($D4163="",$R4163="Trùng"),"",COUNTIFS(ORDERS!$C$2:$C$4995,$D4163,ORDERS!$L$2:$L$4995,"Đã chuyển khoản"))</f>
        <v/>
      </c>
      <c r="X4163" s="23">
        <f>IF(OR($D4163="",$R4163="Trùng"),"",SUMIFS(ORDERS!$J$2:$J$4995,ORDERS!$C$2:$C$4995,$D4163,ORDERS!$L$2:$L$4995,"Đã chuyển khoản"))</f>
        <v/>
      </c>
      <c r="Y4163" s="24" t="n"/>
    </row>
    <row r="4164" ht="14.25" customHeight="1" s="40">
      <c r="A4164" s="24" t="n"/>
      <c r="B4164" s="27" t="n"/>
      <c r="C4164" s="24" t="n"/>
      <c r="D4164" s="28" t="n"/>
      <c r="E4164" s="29" t="n"/>
      <c r="F4164" s="24" t="n"/>
      <c r="G4164" s="24" t="n"/>
      <c r="H4164" s="21">
        <f>IF(ISNUMBER($B4164),INT($B4164)-WEEKDAY($B4164,2)+1,"")</f>
        <v/>
      </c>
      <c r="I4164" s="24" t="n"/>
      <c r="J4164" s="22">
        <f t="array" ref="J4164">IF($D4164="","",IF($I4164="","(trống REF)",IFERROR(INDEX(MASTER_SOURCE!$B$2:$B$495,MATCH($I4164,MASTER_SOURCE!$A$2:$A$495,0)),"(REF không có trong MASTER_SOURCE)")))</f>
        <v/>
      </c>
      <c r="K4164" s="22">
        <f t="array" ref="K4164">IF($D4164="","",IFERROR(INDEX(MASTER_SOURCE!$C$2:$C$495,MATCH($I4164,MASTER_SOURCE!$A$2:$A$495,0)),""))</f>
        <v/>
      </c>
      <c r="L4164" s="22">
        <f t="array" ref="L4164">IF($D4164="","",IFERROR(INDEX(MASTER_SOURCE!$D$2:$D$495,MATCH($I4164,MASTER_SOURCE!$A$2:$A$495,0)),""))</f>
        <v/>
      </c>
      <c r="M4164" s="24" t="n"/>
      <c r="N4164" s="24" t="n"/>
      <c r="O4164" s="24" t="n"/>
      <c r="P4164" s="24" t="n"/>
      <c r="Q4164" s="22">
        <f>IF($D4164="","",IF(AND(OR(DANH_MUC!$L$5&lt;&gt;"Có",M4164="Có"),OR(DANH_MUC!$L$6&lt;&gt;"Có",N4164="Có"),OR(DANH_MUC!$L$7&lt;&gt;"Có",O4164="Có"),OR(DANH_MUC!$L$8&lt;&gt;"Có",P4164="Có")),"Có","Không"))</f>
        <v/>
      </c>
      <c r="R4164" s="22">
        <f>IF($D4164="","",IF(COUNTIF($D$2:$D4164,$D4164)&gt;1,"Trùng",""))</f>
        <v/>
      </c>
      <c r="S4164" s="22">
        <f>IF($D4164="","",IF(AND(LEN($D4164)=10,LEFT($D4164,1)="0",ISNUMBER(--$D4164)),"Có","Không"))</f>
        <v/>
      </c>
      <c r="T4164" s="22">
        <f>IF($D4164="","",IF(AND($C4164&lt;&gt;"",$Q4164="Có",$R4164="",$S4164="Có",AND($L4164&lt;&gt;"",OR($L4164&lt;&gt;"Chưa xác định",DANH_MUC!$L$9="Có"))),"Có","Không"))</f>
        <v/>
      </c>
      <c r="U4164" s="22">
        <f>IF(OR($D4164="",$T4164="Có"),"",IF($C4164="","Thiếu họ tên; ","")&amp;IF($S4164&lt;&gt;"Có","SĐT sai định dạng; ","")&amp;IF($R4164="Trùng","Trùng SĐT; ","")&amp;IF($Q4164&lt;&gt;"Có","Thiếu đồng ý bắt buộc; ","")&amp;IF($L4164="","Thiếu/sai Mã REF; ",IF(AND($L4164="Chưa xác định",DANH_MUC!$L$9&lt;&gt;"Có"),"Nguồn chưa xác định; ","")))</f>
        <v/>
      </c>
      <c r="V4164" s="22">
        <f>IF(OR($D4164="",$R4164="Trùng"),"",IF(COUNTIF(ORDERS!$C$2:$C$4995,$D4164)&gt;0,"Có","Không"))</f>
        <v/>
      </c>
      <c r="W4164" s="22">
        <f>IF(OR($D4164="",$R4164="Trùng"),"",COUNTIFS(ORDERS!$C$2:$C$4995,$D4164,ORDERS!$L$2:$L$4995,"Đã chuyển khoản"))</f>
        <v/>
      </c>
      <c r="X4164" s="23">
        <f>IF(OR($D4164="",$R4164="Trùng"),"",SUMIFS(ORDERS!$J$2:$J$4995,ORDERS!$C$2:$C$4995,$D4164,ORDERS!$L$2:$L$4995,"Đã chuyển khoản"))</f>
        <v/>
      </c>
      <c r="Y4164" s="24" t="n"/>
    </row>
    <row r="4165" ht="14.25" customHeight="1" s="40">
      <c r="A4165" s="24" t="n"/>
      <c r="B4165" s="27" t="n"/>
      <c r="C4165" s="24" t="n"/>
      <c r="D4165" s="28" t="n"/>
      <c r="E4165" s="29" t="n"/>
      <c r="F4165" s="24" t="n"/>
      <c r="G4165" s="24" t="n"/>
      <c r="H4165" s="21">
        <f>IF(ISNUMBER($B4165),INT($B4165)-WEEKDAY($B4165,2)+1,"")</f>
        <v/>
      </c>
      <c r="I4165" s="24" t="n"/>
      <c r="J4165" s="22">
        <f t="array" ref="J4165">IF($D4165="","",IF($I4165="","(trống REF)",IFERROR(INDEX(MASTER_SOURCE!$B$2:$B$495,MATCH($I4165,MASTER_SOURCE!$A$2:$A$495,0)),"(REF không có trong MASTER_SOURCE)")))</f>
        <v/>
      </c>
      <c r="K4165" s="22">
        <f t="array" ref="K4165">IF($D4165="","",IFERROR(INDEX(MASTER_SOURCE!$C$2:$C$495,MATCH($I4165,MASTER_SOURCE!$A$2:$A$495,0)),""))</f>
        <v/>
      </c>
      <c r="L4165" s="22">
        <f t="array" ref="L4165">IF($D4165="","",IFERROR(INDEX(MASTER_SOURCE!$D$2:$D$495,MATCH($I4165,MASTER_SOURCE!$A$2:$A$495,0)),""))</f>
        <v/>
      </c>
      <c r="M4165" s="24" t="n"/>
      <c r="N4165" s="24" t="n"/>
      <c r="O4165" s="24" t="n"/>
      <c r="P4165" s="24" t="n"/>
      <c r="Q4165" s="22">
        <f>IF($D4165="","",IF(AND(OR(DANH_MUC!$L$5&lt;&gt;"Có",M4165="Có"),OR(DANH_MUC!$L$6&lt;&gt;"Có",N4165="Có"),OR(DANH_MUC!$L$7&lt;&gt;"Có",O4165="Có"),OR(DANH_MUC!$L$8&lt;&gt;"Có",P4165="Có")),"Có","Không"))</f>
        <v/>
      </c>
      <c r="R4165" s="22">
        <f>IF($D4165="","",IF(COUNTIF($D$2:$D4165,$D4165)&gt;1,"Trùng",""))</f>
        <v/>
      </c>
      <c r="S4165" s="22">
        <f>IF($D4165="","",IF(AND(LEN($D4165)=10,LEFT($D4165,1)="0",ISNUMBER(--$D4165)),"Có","Không"))</f>
        <v/>
      </c>
      <c r="T4165" s="22">
        <f>IF($D4165="","",IF(AND($C4165&lt;&gt;"",$Q4165="Có",$R4165="",$S4165="Có",AND($L4165&lt;&gt;"",OR($L4165&lt;&gt;"Chưa xác định",DANH_MUC!$L$9="Có"))),"Có","Không"))</f>
        <v/>
      </c>
      <c r="U4165" s="22">
        <f>IF(OR($D4165="",$T4165="Có"),"",IF($C4165="","Thiếu họ tên; ","")&amp;IF($S4165&lt;&gt;"Có","SĐT sai định dạng; ","")&amp;IF($R4165="Trùng","Trùng SĐT; ","")&amp;IF($Q4165&lt;&gt;"Có","Thiếu đồng ý bắt buộc; ","")&amp;IF($L4165="","Thiếu/sai Mã REF; ",IF(AND($L4165="Chưa xác định",DANH_MUC!$L$9&lt;&gt;"Có"),"Nguồn chưa xác định; ","")))</f>
        <v/>
      </c>
      <c r="V4165" s="22">
        <f>IF(OR($D4165="",$R4165="Trùng"),"",IF(COUNTIF(ORDERS!$C$2:$C$4995,$D4165)&gt;0,"Có","Không"))</f>
        <v/>
      </c>
      <c r="W4165" s="22">
        <f>IF(OR($D4165="",$R4165="Trùng"),"",COUNTIFS(ORDERS!$C$2:$C$4995,$D4165,ORDERS!$L$2:$L$4995,"Đã chuyển khoản"))</f>
        <v/>
      </c>
      <c r="X4165" s="23">
        <f>IF(OR($D4165="",$R4165="Trùng"),"",SUMIFS(ORDERS!$J$2:$J$4995,ORDERS!$C$2:$C$4995,$D4165,ORDERS!$L$2:$L$4995,"Đã chuyển khoản"))</f>
        <v/>
      </c>
      <c r="Y4165" s="24" t="n"/>
    </row>
    <row r="4166" ht="14.25" customHeight="1" s="40">
      <c r="A4166" s="24" t="n"/>
      <c r="B4166" s="27" t="n"/>
      <c r="C4166" s="24" t="n"/>
      <c r="D4166" s="28" t="n"/>
      <c r="E4166" s="29" t="n"/>
      <c r="F4166" s="24" t="n"/>
      <c r="G4166" s="24" t="n"/>
      <c r="H4166" s="21">
        <f>IF(ISNUMBER($B4166),INT($B4166)-WEEKDAY($B4166,2)+1,"")</f>
        <v/>
      </c>
      <c r="I4166" s="24" t="n"/>
      <c r="J4166" s="22">
        <f t="array" ref="J4166">IF($D4166="","",IF($I4166="","(trống REF)",IFERROR(INDEX(MASTER_SOURCE!$B$2:$B$495,MATCH($I4166,MASTER_SOURCE!$A$2:$A$495,0)),"(REF không có trong MASTER_SOURCE)")))</f>
        <v/>
      </c>
      <c r="K4166" s="22">
        <f t="array" ref="K4166">IF($D4166="","",IFERROR(INDEX(MASTER_SOURCE!$C$2:$C$495,MATCH($I4166,MASTER_SOURCE!$A$2:$A$495,0)),""))</f>
        <v/>
      </c>
      <c r="L4166" s="22">
        <f t="array" ref="L4166">IF($D4166="","",IFERROR(INDEX(MASTER_SOURCE!$D$2:$D$495,MATCH($I4166,MASTER_SOURCE!$A$2:$A$495,0)),""))</f>
        <v/>
      </c>
      <c r="M4166" s="24" t="n"/>
      <c r="N4166" s="24" t="n"/>
      <c r="O4166" s="24" t="n"/>
      <c r="P4166" s="24" t="n"/>
      <c r="Q4166" s="22">
        <f>IF($D4166="","",IF(AND(OR(DANH_MUC!$L$5&lt;&gt;"Có",M4166="Có"),OR(DANH_MUC!$L$6&lt;&gt;"Có",N4166="Có"),OR(DANH_MUC!$L$7&lt;&gt;"Có",O4166="Có"),OR(DANH_MUC!$L$8&lt;&gt;"Có",P4166="Có")),"Có","Không"))</f>
        <v/>
      </c>
      <c r="R4166" s="22">
        <f>IF($D4166="","",IF(COUNTIF($D$2:$D4166,$D4166)&gt;1,"Trùng",""))</f>
        <v/>
      </c>
      <c r="S4166" s="22">
        <f>IF($D4166="","",IF(AND(LEN($D4166)=10,LEFT($D4166,1)="0",ISNUMBER(--$D4166)),"Có","Không"))</f>
        <v/>
      </c>
      <c r="T4166" s="22">
        <f>IF($D4166="","",IF(AND($C4166&lt;&gt;"",$Q4166="Có",$R4166="",$S4166="Có",AND($L4166&lt;&gt;"",OR($L4166&lt;&gt;"Chưa xác định",DANH_MUC!$L$9="Có"))),"Có","Không"))</f>
        <v/>
      </c>
      <c r="U4166" s="22">
        <f>IF(OR($D4166="",$T4166="Có"),"",IF($C4166="","Thiếu họ tên; ","")&amp;IF($S4166&lt;&gt;"Có","SĐT sai định dạng; ","")&amp;IF($R4166="Trùng","Trùng SĐT; ","")&amp;IF($Q4166&lt;&gt;"Có","Thiếu đồng ý bắt buộc; ","")&amp;IF($L4166="","Thiếu/sai Mã REF; ",IF(AND($L4166="Chưa xác định",DANH_MUC!$L$9&lt;&gt;"Có"),"Nguồn chưa xác định; ","")))</f>
        <v/>
      </c>
      <c r="V4166" s="22">
        <f>IF(OR($D4166="",$R4166="Trùng"),"",IF(COUNTIF(ORDERS!$C$2:$C$4995,$D4166)&gt;0,"Có","Không"))</f>
        <v/>
      </c>
      <c r="W4166" s="22">
        <f>IF(OR($D4166="",$R4166="Trùng"),"",COUNTIFS(ORDERS!$C$2:$C$4995,$D4166,ORDERS!$L$2:$L$4995,"Đã chuyển khoản"))</f>
        <v/>
      </c>
      <c r="X4166" s="23">
        <f>IF(OR($D4166="",$R4166="Trùng"),"",SUMIFS(ORDERS!$J$2:$J$4995,ORDERS!$C$2:$C$4995,$D4166,ORDERS!$L$2:$L$4995,"Đã chuyển khoản"))</f>
        <v/>
      </c>
      <c r="Y4166" s="24" t="n"/>
    </row>
    <row r="4167" ht="14.25" customHeight="1" s="40">
      <c r="A4167" s="24" t="n"/>
      <c r="B4167" s="27" t="n"/>
      <c r="C4167" s="24" t="n"/>
      <c r="D4167" s="28" t="n"/>
      <c r="E4167" s="29" t="n"/>
      <c r="F4167" s="24" t="n"/>
      <c r="G4167" s="24" t="n"/>
      <c r="H4167" s="21">
        <f>IF(ISNUMBER($B4167),INT($B4167)-WEEKDAY($B4167,2)+1,"")</f>
        <v/>
      </c>
      <c r="I4167" s="24" t="n"/>
      <c r="J4167" s="22">
        <f t="array" ref="J4167">IF($D4167="","",IF($I4167="","(trống REF)",IFERROR(INDEX(MASTER_SOURCE!$B$2:$B$495,MATCH($I4167,MASTER_SOURCE!$A$2:$A$495,0)),"(REF không có trong MASTER_SOURCE)")))</f>
        <v/>
      </c>
      <c r="K4167" s="22">
        <f t="array" ref="K4167">IF($D4167="","",IFERROR(INDEX(MASTER_SOURCE!$C$2:$C$495,MATCH($I4167,MASTER_SOURCE!$A$2:$A$495,0)),""))</f>
        <v/>
      </c>
      <c r="L4167" s="22">
        <f t="array" ref="L4167">IF($D4167="","",IFERROR(INDEX(MASTER_SOURCE!$D$2:$D$495,MATCH($I4167,MASTER_SOURCE!$A$2:$A$495,0)),""))</f>
        <v/>
      </c>
      <c r="M4167" s="24" t="n"/>
      <c r="N4167" s="24" t="n"/>
      <c r="O4167" s="24" t="n"/>
      <c r="P4167" s="24" t="n"/>
      <c r="Q4167" s="22">
        <f>IF($D4167="","",IF(AND(OR(DANH_MUC!$L$5&lt;&gt;"Có",M4167="Có"),OR(DANH_MUC!$L$6&lt;&gt;"Có",N4167="Có"),OR(DANH_MUC!$L$7&lt;&gt;"Có",O4167="Có"),OR(DANH_MUC!$L$8&lt;&gt;"Có",P4167="Có")),"Có","Không"))</f>
        <v/>
      </c>
      <c r="R4167" s="22">
        <f>IF($D4167="","",IF(COUNTIF($D$2:$D4167,$D4167)&gt;1,"Trùng",""))</f>
        <v/>
      </c>
      <c r="S4167" s="22">
        <f>IF($D4167="","",IF(AND(LEN($D4167)=10,LEFT($D4167,1)="0",ISNUMBER(--$D4167)),"Có","Không"))</f>
        <v/>
      </c>
      <c r="T4167" s="22">
        <f>IF($D4167="","",IF(AND($C4167&lt;&gt;"",$Q4167="Có",$R4167="",$S4167="Có",AND($L4167&lt;&gt;"",OR($L4167&lt;&gt;"Chưa xác định",DANH_MUC!$L$9="Có"))),"Có","Không"))</f>
        <v/>
      </c>
      <c r="U4167" s="22">
        <f>IF(OR($D4167="",$T4167="Có"),"",IF($C4167="","Thiếu họ tên; ","")&amp;IF($S4167&lt;&gt;"Có","SĐT sai định dạng; ","")&amp;IF($R4167="Trùng","Trùng SĐT; ","")&amp;IF($Q4167&lt;&gt;"Có","Thiếu đồng ý bắt buộc; ","")&amp;IF($L4167="","Thiếu/sai Mã REF; ",IF(AND($L4167="Chưa xác định",DANH_MUC!$L$9&lt;&gt;"Có"),"Nguồn chưa xác định; ","")))</f>
        <v/>
      </c>
      <c r="V4167" s="22">
        <f>IF(OR($D4167="",$R4167="Trùng"),"",IF(COUNTIF(ORDERS!$C$2:$C$4995,$D4167)&gt;0,"Có","Không"))</f>
        <v/>
      </c>
      <c r="W4167" s="22">
        <f>IF(OR($D4167="",$R4167="Trùng"),"",COUNTIFS(ORDERS!$C$2:$C$4995,$D4167,ORDERS!$L$2:$L$4995,"Đã chuyển khoản"))</f>
        <v/>
      </c>
      <c r="X4167" s="23">
        <f>IF(OR($D4167="",$R4167="Trùng"),"",SUMIFS(ORDERS!$J$2:$J$4995,ORDERS!$C$2:$C$4995,$D4167,ORDERS!$L$2:$L$4995,"Đã chuyển khoản"))</f>
        <v/>
      </c>
      <c r="Y4167" s="24" t="n"/>
    </row>
    <row r="4168" ht="14.25" customHeight="1" s="40">
      <c r="A4168" s="24" t="n"/>
      <c r="B4168" s="27" t="n"/>
      <c r="C4168" s="24" t="n"/>
      <c r="D4168" s="28" t="n"/>
      <c r="E4168" s="29" t="n"/>
      <c r="F4168" s="24" t="n"/>
      <c r="G4168" s="24" t="n"/>
      <c r="H4168" s="21">
        <f>IF(ISNUMBER($B4168),INT($B4168)-WEEKDAY($B4168,2)+1,"")</f>
        <v/>
      </c>
      <c r="I4168" s="24" t="n"/>
      <c r="J4168" s="22">
        <f t="array" ref="J4168">IF($D4168="","",IF($I4168="","(trống REF)",IFERROR(INDEX(MASTER_SOURCE!$B$2:$B$495,MATCH($I4168,MASTER_SOURCE!$A$2:$A$495,0)),"(REF không có trong MASTER_SOURCE)")))</f>
        <v/>
      </c>
      <c r="K4168" s="22">
        <f t="array" ref="K4168">IF($D4168="","",IFERROR(INDEX(MASTER_SOURCE!$C$2:$C$495,MATCH($I4168,MASTER_SOURCE!$A$2:$A$495,0)),""))</f>
        <v/>
      </c>
      <c r="L4168" s="22">
        <f t="array" ref="L4168">IF($D4168="","",IFERROR(INDEX(MASTER_SOURCE!$D$2:$D$495,MATCH($I4168,MASTER_SOURCE!$A$2:$A$495,0)),""))</f>
        <v/>
      </c>
      <c r="M4168" s="24" t="n"/>
      <c r="N4168" s="24" t="n"/>
      <c r="O4168" s="24" t="n"/>
      <c r="P4168" s="24" t="n"/>
      <c r="Q4168" s="22">
        <f>IF($D4168="","",IF(AND(OR(DANH_MUC!$L$5&lt;&gt;"Có",M4168="Có"),OR(DANH_MUC!$L$6&lt;&gt;"Có",N4168="Có"),OR(DANH_MUC!$L$7&lt;&gt;"Có",O4168="Có"),OR(DANH_MUC!$L$8&lt;&gt;"Có",P4168="Có")),"Có","Không"))</f>
        <v/>
      </c>
      <c r="R4168" s="22">
        <f>IF($D4168="","",IF(COUNTIF($D$2:$D4168,$D4168)&gt;1,"Trùng",""))</f>
        <v/>
      </c>
      <c r="S4168" s="22">
        <f>IF($D4168="","",IF(AND(LEN($D4168)=10,LEFT($D4168,1)="0",ISNUMBER(--$D4168)),"Có","Không"))</f>
        <v/>
      </c>
      <c r="T4168" s="22">
        <f>IF($D4168="","",IF(AND($C4168&lt;&gt;"",$Q4168="Có",$R4168="",$S4168="Có",AND($L4168&lt;&gt;"",OR($L4168&lt;&gt;"Chưa xác định",DANH_MUC!$L$9="Có"))),"Có","Không"))</f>
        <v/>
      </c>
      <c r="U4168" s="22">
        <f>IF(OR($D4168="",$T4168="Có"),"",IF($C4168="","Thiếu họ tên; ","")&amp;IF($S4168&lt;&gt;"Có","SĐT sai định dạng; ","")&amp;IF($R4168="Trùng","Trùng SĐT; ","")&amp;IF($Q4168&lt;&gt;"Có","Thiếu đồng ý bắt buộc; ","")&amp;IF($L4168="","Thiếu/sai Mã REF; ",IF(AND($L4168="Chưa xác định",DANH_MUC!$L$9&lt;&gt;"Có"),"Nguồn chưa xác định; ","")))</f>
        <v/>
      </c>
      <c r="V4168" s="22">
        <f>IF(OR($D4168="",$R4168="Trùng"),"",IF(COUNTIF(ORDERS!$C$2:$C$4995,$D4168)&gt;0,"Có","Không"))</f>
        <v/>
      </c>
      <c r="W4168" s="22">
        <f>IF(OR($D4168="",$R4168="Trùng"),"",COUNTIFS(ORDERS!$C$2:$C$4995,$D4168,ORDERS!$L$2:$L$4995,"Đã chuyển khoản"))</f>
        <v/>
      </c>
      <c r="X4168" s="23">
        <f>IF(OR($D4168="",$R4168="Trùng"),"",SUMIFS(ORDERS!$J$2:$J$4995,ORDERS!$C$2:$C$4995,$D4168,ORDERS!$L$2:$L$4995,"Đã chuyển khoản"))</f>
        <v/>
      </c>
      <c r="Y4168" s="24" t="n"/>
    </row>
    <row r="4169" ht="14.25" customHeight="1" s="40">
      <c r="A4169" s="24" t="n"/>
      <c r="B4169" s="27" t="n"/>
      <c r="C4169" s="24" t="n"/>
      <c r="D4169" s="28" t="n"/>
      <c r="E4169" s="29" t="n"/>
      <c r="F4169" s="24" t="n"/>
      <c r="G4169" s="24" t="n"/>
      <c r="H4169" s="21">
        <f>IF(ISNUMBER($B4169),INT($B4169)-WEEKDAY($B4169,2)+1,"")</f>
        <v/>
      </c>
      <c r="I4169" s="24" t="n"/>
      <c r="J4169" s="22">
        <f t="array" ref="J4169">IF($D4169="","",IF($I4169="","(trống REF)",IFERROR(INDEX(MASTER_SOURCE!$B$2:$B$495,MATCH($I4169,MASTER_SOURCE!$A$2:$A$495,0)),"(REF không có trong MASTER_SOURCE)")))</f>
        <v/>
      </c>
      <c r="K4169" s="22">
        <f t="array" ref="K4169">IF($D4169="","",IFERROR(INDEX(MASTER_SOURCE!$C$2:$C$495,MATCH($I4169,MASTER_SOURCE!$A$2:$A$495,0)),""))</f>
        <v/>
      </c>
      <c r="L4169" s="22">
        <f t="array" ref="L4169">IF($D4169="","",IFERROR(INDEX(MASTER_SOURCE!$D$2:$D$495,MATCH($I4169,MASTER_SOURCE!$A$2:$A$495,0)),""))</f>
        <v/>
      </c>
      <c r="M4169" s="24" t="n"/>
      <c r="N4169" s="24" t="n"/>
      <c r="O4169" s="24" t="n"/>
      <c r="P4169" s="24" t="n"/>
      <c r="Q4169" s="22">
        <f>IF($D4169="","",IF(AND(OR(DANH_MUC!$L$5&lt;&gt;"Có",M4169="Có"),OR(DANH_MUC!$L$6&lt;&gt;"Có",N4169="Có"),OR(DANH_MUC!$L$7&lt;&gt;"Có",O4169="Có"),OR(DANH_MUC!$L$8&lt;&gt;"Có",P4169="Có")),"Có","Không"))</f>
        <v/>
      </c>
      <c r="R4169" s="22">
        <f>IF($D4169="","",IF(COUNTIF($D$2:$D4169,$D4169)&gt;1,"Trùng",""))</f>
        <v/>
      </c>
      <c r="S4169" s="22">
        <f>IF($D4169="","",IF(AND(LEN($D4169)=10,LEFT($D4169,1)="0",ISNUMBER(--$D4169)),"Có","Không"))</f>
        <v/>
      </c>
      <c r="T4169" s="22">
        <f>IF($D4169="","",IF(AND($C4169&lt;&gt;"",$Q4169="Có",$R4169="",$S4169="Có",AND($L4169&lt;&gt;"",OR($L4169&lt;&gt;"Chưa xác định",DANH_MUC!$L$9="Có"))),"Có","Không"))</f>
        <v/>
      </c>
      <c r="U4169" s="22">
        <f>IF(OR($D4169="",$T4169="Có"),"",IF($C4169="","Thiếu họ tên; ","")&amp;IF($S4169&lt;&gt;"Có","SĐT sai định dạng; ","")&amp;IF($R4169="Trùng","Trùng SĐT; ","")&amp;IF($Q4169&lt;&gt;"Có","Thiếu đồng ý bắt buộc; ","")&amp;IF($L4169="","Thiếu/sai Mã REF; ",IF(AND($L4169="Chưa xác định",DANH_MUC!$L$9&lt;&gt;"Có"),"Nguồn chưa xác định; ","")))</f>
        <v/>
      </c>
      <c r="V4169" s="22">
        <f>IF(OR($D4169="",$R4169="Trùng"),"",IF(COUNTIF(ORDERS!$C$2:$C$4995,$D4169)&gt;0,"Có","Không"))</f>
        <v/>
      </c>
      <c r="W4169" s="22">
        <f>IF(OR($D4169="",$R4169="Trùng"),"",COUNTIFS(ORDERS!$C$2:$C$4995,$D4169,ORDERS!$L$2:$L$4995,"Đã chuyển khoản"))</f>
        <v/>
      </c>
      <c r="X4169" s="23">
        <f>IF(OR($D4169="",$R4169="Trùng"),"",SUMIFS(ORDERS!$J$2:$J$4995,ORDERS!$C$2:$C$4995,$D4169,ORDERS!$L$2:$L$4995,"Đã chuyển khoản"))</f>
        <v/>
      </c>
      <c r="Y4169" s="24" t="n"/>
    </row>
    <row r="4170" ht="14.25" customHeight="1" s="40">
      <c r="A4170" s="24" t="n"/>
      <c r="B4170" s="27" t="n"/>
      <c r="C4170" s="24" t="n"/>
      <c r="D4170" s="28" t="n"/>
      <c r="E4170" s="29" t="n"/>
      <c r="F4170" s="24" t="n"/>
      <c r="G4170" s="24" t="n"/>
      <c r="H4170" s="21">
        <f>IF(ISNUMBER($B4170),INT($B4170)-WEEKDAY($B4170,2)+1,"")</f>
        <v/>
      </c>
      <c r="I4170" s="24" t="n"/>
      <c r="J4170" s="22">
        <f t="array" ref="J4170">IF($D4170="","",IF($I4170="","(trống REF)",IFERROR(INDEX(MASTER_SOURCE!$B$2:$B$495,MATCH($I4170,MASTER_SOURCE!$A$2:$A$495,0)),"(REF không có trong MASTER_SOURCE)")))</f>
        <v/>
      </c>
      <c r="K4170" s="22">
        <f t="array" ref="K4170">IF($D4170="","",IFERROR(INDEX(MASTER_SOURCE!$C$2:$C$495,MATCH($I4170,MASTER_SOURCE!$A$2:$A$495,0)),""))</f>
        <v/>
      </c>
      <c r="L4170" s="22">
        <f t="array" ref="L4170">IF($D4170="","",IFERROR(INDEX(MASTER_SOURCE!$D$2:$D$495,MATCH($I4170,MASTER_SOURCE!$A$2:$A$495,0)),""))</f>
        <v/>
      </c>
      <c r="M4170" s="24" t="n"/>
      <c r="N4170" s="24" t="n"/>
      <c r="O4170" s="24" t="n"/>
      <c r="P4170" s="24" t="n"/>
      <c r="Q4170" s="22">
        <f>IF($D4170="","",IF(AND(OR(DANH_MUC!$L$5&lt;&gt;"Có",M4170="Có"),OR(DANH_MUC!$L$6&lt;&gt;"Có",N4170="Có"),OR(DANH_MUC!$L$7&lt;&gt;"Có",O4170="Có"),OR(DANH_MUC!$L$8&lt;&gt;"Có",P4170="Có")),"Có","Không"))</f>
        <v/>
      </c>
      <c r="R4170" s="22">
        <f>IF($D4170="","",IF(COUNTIF($D$2:$D4170,$D4170)&gt;1,"Trùng",""))</f>
        <v/>
      </c>
      <c r="S4170" s="22">
        <f>IF($D4170="","",IF(AND(LEN($D4170)=10,LEFT($D4170,1)="0",ISNUMBER(--$D4170)),"Có","Không"))</f>
        <v/>
      </c>
      <c r="T4170" s="22">
        <f>IF($D4170="","",IF(AND($C4170&lt;&gt;"",$Q4170="Có",$R4170="",$S4170="Có",AND($L4170&lt;&gt;"",OR($L4170&lt;&gt;"Chưa xác định",DANH_MUC!$L$9="Có"))),"Có","Không"))</f>
        <v/>
      </c>
      <c r="U4170" s="22">
        <f>IF(OR($D4170="",$T4170="Có"),"",IF($C4170="","Thiếu họ tên; ","")&amp;IF($S4170&lt;&gt;"Có","SĐT sai định dạng; ","")&amp;IF($R4170="Trùng","Trùng SĐT; ","")&amp;IF($Q4170&lt;&gt;"Có","Thiếu đồng ý bắt buộc; ","")&amp;IF($L4170="","Thiếu/sai Mã REF; ",IF(AND($L4170="Chưa xác định",DANH_MUC!$L$9&lt;&gt;"Có"),"Nguồn chưa xác định; ","")))</f>
        <v/>
      </c>
      <c r="V4170" s="22">
        <f>IF(OR($D4170="",$R4170="Trùng"),"",IF(COUNTIF(ORDERS!$C$2:$C$4995,$D4170)&gt;0,"Có","Không"))</f>
        <v/>
      </c>
      <c r="W4170" s="22">
        <f>IF(OR($D4170="",$R4170="Trùng"),"",COUNTIFS(ORDERS!$C$2:$C$4995,$D4170,ORDERS!$L$2:$L$4995,"Đã chuyển khoản"))</f>
        <v/>
      </c>
      <c r="X4170" s="23">
        <f>IF(OR($D4170="",$R4170="Trùng"),"",SUMIFS(ORDERS!$J$2:$J$4995,ORDERS!$C$2:$C$4995,$D4170,ORDERS!$L$2:$L$4995,"Đã chuyển khoản"))</f>
        <v/>
      </c>
      <c r="Y4170" s="24" t="n"/>
    </row>
    <row r="4171" ht="14.25" customHeight="1" s="40">
      <c r="A4171" s="24" t="n"/>
      <c r="B4171" s="27" t="n"/>
      <c r="C4171" s="24" t="n"/>
      <c r="D4171" s="28" t="n"/>
      <c r="E4171" s="29" t="n"/>
      <c r="F4171" s="24" t="n"/>
      <c r="G4171" s="24" t="n"/>
      <c r="H4171" s="21">
        <f>IF(ISNUMBER($B4171),INT($B4171)-WEEKDAY($B4171,2)+1,"")</f>
        <v/>
      </c>
      <c r="I4171" s="24" t="n"/>
      <c r="J4171" s="22">
        <f t="array" ref="J4171">IF($D4171="","",IF($I4171="","(trống REF)",IFERROR(INDEX(MASTER_SOURCE!$B$2:$B$495,MATCH($I4171,MASTER_SOURCE!$A$2:$A$495,0)),"(REF không có trong MASTER_SOURCE)")))</f>
        <v/>
      </c>
      <c r="K4171" s="22">
        <f t="array" ref="K4171">IF($D4171="","",IFERROR(INDEX(MASTER_SOURCE!$C$2:$C$495,MATCH($I4171,MASTER_SOURCE!$A$2:$A$495,0)),""))</f>
        <v/>
      </c>
      <c r="L4171" s="22">
        <f t="array" ref="L4171">IF($D4171="","",IFERROR(INDEX(MASTER_SOURCE!$D$2:$D$495,MATCH($I4171,MASTER_SOURCE!$A$2:$A$495,0)),""))</f>
        <v/>
      </c>
      <c r="M4171" s="24" t="n"/>
      <c r="N4171" s="24" t="n"/>
      <c r="O4171" s="24" t="n"/>
      <c r="P4171" s="24" t="n"/>
      <c r="Q4171" s="22">
        <f>IF($D4171="","",IF(AND(OR(DANH_MUC!$L$5&lt;&gt;"Có",M4171="Có"),OR(DANH_MUC!$L$6&lt;&gt;"Có",N4171="Có"),OR(DANH_MUC!$L$7&lt;&gt;"Có",O4171="Có"),OR(DANH_MUC!$L$8&lt;&gt;"Có",P4171="Có")),"Có","Không"))</f>
        <v/>
      </c>
      <c r="R4171" s="22">
        <f>IF($D4171="","",IF(COUNTIF($D$2:$D4171,$D4171)&gt;1,"Trùng",""))</f>
        <v/>
      </c>
      <c r="S4171" s="22">
        <f>IF($D4171="","",IF(AND(LEN($D4171)=10,LEFT($D4171,1)="0",ISNUMBER(--$D4171)),"Có","Không"))</f>
        <v/>
      </c>
      <c r="T4171" s="22">
        <f>IF($D4171="","",IF(AND($C4171&lt;&gt;"",$Q4171="Có",$R4171="",$S4171="Có",AND($L4171&lt;&gt;"",OR($L4171&lt;&gt;"Chưa xác định",DANH_MUC!$L$9="Có"))),"Có","Không"))</f>
        <v/>
      </c>
      <c r="U4171" s="22">
        <f>IF(OR($D4171="",$T4171="Có"),"",IF($C4171="","Thiếu họ tên; ","")&amp;IF($S4171&lt;&gt;"Có","SĐT sai định dạng; ","")&amp;IF($R4171="Trùng","Trùng SĐT; ","")&amp;IF($Q4171&lt;&gt;"Có","Thiếu đồng ý bắt buộc; ","")&amp;IF($L4171="","Thiếu/sai Mã REF; ",IF(AND($L4171="Chưa xác định",DANH_MUC!$L$9&lt;&gt;"Có"),"Nguồn chưa xác định; ","")))</f>
        <v/>
      </c>
      <c r="V4171" s="22">
        <f>IF(OR($D4171="",$R4171="Trùng"),"",IF(COUNTIF(ORDERS!$C$2:$C$4995,$D4171)&gt;0,"Có","Không"))</f>
        <v/>
      </c>
      <c r="W4171" s="22">
        <f>IF(OR($D4171="",$R4171="Trùng"),"",COUNTIFS(ORDERS!$C$2:$C$4995,$D4171,ORDERS!$L$2:$L$4995,"Đã chuyển khoản"))</f>
        <v/>
      </c>
      <c r="X4171" s="23">
        <f>IF(OR($D4171="",$R4171="Trùng"),"",SUMIFS(ORDERS!$J$2:$J$4995,ORDERS!$C$2:$C$4995,$D4171,ORDERS!$L$2:$L$4995,"Đã chuyển khoản"))</f>
        <v/>
      </c>
      <c r="Y4171" s="24" t="n"/>
    </row>
    <row r="4172" ht="14.25" customHeight="1" s="40">
      <c r="A4172" s="24" t="n"/>
      <c r="B4172" s="27" t="n"/>
      <c r="C4172" s="24" t="n"/>
      <c r="D4172" s="28" t="n"/>
      <c r="E4172" s="29" t="n"/>
      <c r="F4172" s="24" t="n"/>
      <c r="G4172" s="24" t="n"/>
      <c r="H4172" s="21">
        <f>IF(ISNUMBER($B4172),INT($B4172)-WEEKDAY($B4172,2)+1,"")</f>
        <v/>
      </c>
      <c r="I4172" s="24" t="n"/>
      <c r="J4172" s="22">
        <f t="array" ref="J4172">IF($D4172="","",IF($I4172="","(trống REF)",IFERROR(INDEX(MASTER_SOURCE!$B$2:$B$495,MATCH($I4172,MASTER_SOURCE!$A$2:$A$495,0)),"(REF không có trong MASTER_SOURCE)")))</f>
        <v/>
      </c>
      <c r="K4172" s="22">
        <f t="array" ref="K4172">IF($D4172="","",IFERROR(INDEX(MASTER_SOURCE!$C$2:$C$495,MATCH($I4172,MASTER_SOURCE!$A$2:$A$495,0)),""))</f>
        <v/>
      </c>
      <c r="L4172" s="22">
        <f t="array" ref="L4172">IF($D4172="","",IFERROR(INDEX(MASTER_SOURCE!$D$2:$D$495,MATCH($I4172,MASTER_SOURCE!$A$2:$A$495,0)),""))</f>
        <v/>
      </c>
      <c r="M4172" s="24" t="n"/>
      <c r="N4172" s="24" t="n"/>
      <c r="O4172" s="24" t="n"/>
      <c r="P4172" s="24" t="n"/>
      <c r="Q4172" s="22">
        <f>IF($D4172="","",IF(AND(OR(DANH_MUC!$L$5&lt;&gt;"Có",M4172="Có"),OR(DANH_MUC!$L$6&lt;&gt;"Có",N4172="Có"),OR(DANH_MUC!$L$7&lt;&gt;"Có",O4172="Có"),OR(DANH_MUC!$L$8&lt;&gt;"Có",P4172="Có")),"Có","Không"))</f>
        <v/>
      </c>
      <c r="R4172" s="22">
        <f>IF($D4172="","",IF(COUNTIF($D$2:$D4172,$D4172)&gt;1,"Trùng",""))</f>
        <v/>
      </c>
      <c r="S4172" s="22">
        <f>IF($D4172="","",IF(AND(LEN($D4172)=10,LEFT($D4172,1)="0",ISNUMBER(--$D4172)),"Có","Không"))</f>
        <v/>
      </c>
      <c r="T4172" s="22">
        <f>IF($D4172="","",IF(AND($C4172&lt;&gt;"",$Q4172="Có",$R4172="",$S4172="Có",AND($L4172&lt;&gt;"",OR($L4172&lt;&gt;"Chưa xác định",DANH_MUC!$L$9="Có"))),"Có","Không"))</f>
        <v/>
      </c>
      <c r="U4172" s="22">
        <f>IF(OR($D4172="",$T4172="Có"),"",IF($C4172="","Thiếu họ tên; ","")&amp;IF($S4172&lt;&gt;"Có","SĐT sai định dạng; ","")&amp;IF($R4172="Trùng","Trùng SĐT; ","")&amp;IF($Q4172&lt;&gt;"Có","Thiếu đồng ý bắt buộc; ","")&amp;IF($L4172="","Thiếu/sai Mã REF; ",IF(AND($L4172="Chưa xác định",DANH_MUC!$L$9&lt;&gt;"Có"),"Nguồn chưa xác định; ","")))</f>
        <v/>
      </c>
      <c r="V4172" s="22">
        <f>IF(OR($D4172="",$R4172="Trùng"),"",IF(COUNTIF(ORDERS!$C$2:$C$4995,$D4172)&gt;0,"Có","Không"))</f>
        <v/>
      </c>
      <c r="W4172" s="22">
        <f>IF(OR($D4172="",$R4172="Trùng"),"",COUNTIFS(ORDERS!$C$2:$C$4995,$D4172,ORDERS!$L$2:$L$4995,"Đã chuyển khoản"))</f>
        <v/>
      </c>
      <c r="X4172" s="23">
        <f>IF(OR($D4172="",$R4172="Trùng"),"",SUMIFS(ORDERS!$J$2:$J$4995,ORDERS!$C$2:$C$4995,$D4172,ORDERS!$L$2:$L$4995,"Đã chuyển khoản"))</f>
        <v/>
      </c>
      <c r="Y4172" s="24" t="n"/>
    </row>
    <row r="4173" ht="14.25" customHeight="1" s="40">
      <c r="A4173" s="24" t="n"/>
      <c r="B4173" s="27" t="n"/>
      <c r="C4173" s="24" t="n"/>
      <c r="D4173" s="28" t="n"/>
      <c r="E4173" s="29" t="n"/>
      <c r="F4173" s="24" t="n"/>
      <c r="G4173" s="24" t="n"/>
      <c r="H4173" s="21">
        <f>IF(ISNUMBER($B4173),INT($B4173)-WEEKDAY($B4173,2)+1,"")</f>
        <v/>
      </c>
      <c r="I4173" s="24" t="n"/>
      <c r="J4173" s="22">
        <f t="array" ref="J4173">IF($D4173="","",IF($I4173="","(trống REF)",IFERROR(INDEX(MASTER_SOURCE!$B$2:$B$495,MATCH($I4173,MASTER_SOURCE!$A$2:$A$495,0)),"(REF không có trong MASTER_SOURCE)")))</f>
        <v/>
      </c>
      <c r="K4173" s="22">
        <f t="array" ref="K4173">IF($D4173="","",IFERROR(INDEX(MASTER_SOURCE!$C$2:$C$495,MATCH($I4173,MASTER_SOURCE!$A$2:$A$495,0)),""))</f>
        <v/>
      </c>
      <c r="L4173" s="22">
        <f t="array" ref="L4173">IF($D4173="","",IFERROR(INDEX(MASTER_SOURCE!$D$2:$D$495,MATCH($I4173,MASTER_SOURCE!$A$2:$A$495,0)),""))</f>
        <v/>
      </c>
      <c r="M4173" s="24" t="n"/>
      <c r="N4173" s="24" t="n"/>
      <c r="O4173" s="24" t="n"/>
      <c r="P4173" s="24" t="n"/>
      <c r="Q4173" s="22">
        <f>IF($D4173="","",IF(AND(OR(DANH_MUC!$L$5&lt;&gt;"Có",M4173="Có"),OR(DANH_MUC!$L$6&lt;&gt;"Có",N4173="Có"),OR(DANH_MUC!$L$7&lt;&gt;"Có",O4173="Có"),OR(DANH_MUC!$L$8&lt;&gt;"Có",P4173="Có")),"Có","Không"))</f>
        <v/>
      </c>
      <c r="R4173" s="22">
        <f>IF($D4173="","",IF(COUNTIF($D$2:$D4173,$D4173)&gt;1,"Trùng",""))</f>
        <v/>
      </c>
      <c r="S4173" s="22">
        <f>IF($D4173="","",IF(AND(LEN($D4173)=10,LEFT($D4173,1)="0",ISNUMBER(--$D4173)),"Có","Không"))</f>
        <v/>
      </c>
      <c r="T4173" s="22">
        <f>IF($D4173="","",IF(AND($C4173&lt;&gt;"",$Q4173="Có",$R4173="",$S4173="Có",AND($L4173&lt;&gt;"",OR($L4173&lt;&gt;"Chưa xác định",DANH_MUC!$L$9="Có"))),"Có","Không"))</f>
        <v/>
      </c>
      <c r="U4173" s="22">
        <f>IF(OR($D4173="",$T4173="Có"),"",IF($C4173="","Thiếu họ tên; ","")&amp;IF($S4173&lt;&gt;"Có","SĐT sai định dạng; ","")&amp;IF($R4173="Trùng","Trùng SĐT; ","")&amp;IF($Q4173&lt;&gt;"Có","Thiếu đồng ý bắt buộc; ","")&amp;IF($L4173="","Thiếu/sai Mã REF; ",IF(AND($L4173="Chưa xác định",DANH_MUC!$L$9&lt;&gt;"Có"),"Nguồn chưa xác định; ","")))</f>
        <v/>
      </c>
      <c r="V4173" s="22">
        <f>IF(OR($D4173="",$R4173="Trùng"),"",IF(COUNTIF(ORDERS!$C$2:$C$4995,$D4173)&gt;0,"Có","Không"))</f>
        <v/>
      </c>
      <c r="W4173" s="22">
        <f>IF(OR($D4173="",$R4173="Trùng"),"",COUNTIFS(ORDERS!$C$2:$C$4995,$D4173,ORDERS!$L$2:$L$4995,"Đã chuyển khoản"))</f>
        <v/>
      </c>
      <c r="X4173" s="23">
        <f>IF(OR($D4173="",$R4173="Trùng"),"",SUMIFS(ORDERS!$J$2:$J$4995,ORDERS!$C$2:$C$4995,$D4173,ORDERS!$L$2:$L$4995,"Đã chuyển khoản"))</f>
        <v/>
      </c>
      <c r="Y4173" s="24" t="n"/>
    </row>
    <row r="4174" ht="14.25" customHeight="1" s="40">
      <c r="A4174" s="24" t="n"/>
      <c r="B4174" s="27" t="n"/>
      <c r="C4174" s="24" t="n"/>
      <c r="D4174" s="28" t="n"/>
      <c r="E4174" s="29" t="n"/>
      <c r="F4174" s="24" t="n"/>
      <c r="G4174" s="24" t="n"/>
      <c r="H4174" s="21">
        <f>IF(ISNUMBER($B4174),INT($B4174)-WEEKDAY($B4174,2)+1,"")</f>
        <v/>
      </c>
      <c r="I4174" s="24" t="n"/>
      <c r="J4174" s="22">
        <f t="array" ref="J4174">IF($D4174="","",IF($I4174="","(trống REF)",IFERROR(INDEX(MASTER_SOURCE!$B$2:$B$495,MATCH($I4174,MASTER_SOURCE!$A$2:$A$495,0)),"(REF không có trong MASTER_SOURCE)")))</f>
        <v/>
      </c>
      <c r="K4174" s="22">
        <f t="array" ref="K4174">IF($D4174="","",IFERROR(INDEX(MASTER_SOURCE!$C$2:$C$495,MATCH($I4174,MASTER_SOURCE!$A$2:$A$495,0)),""))</f>
        <v/>
      </c>
      <c r="L4174" s="22">
        <f t="array" ref="L4174">IF($D4174="","",IFERROR(INDEX(MASTER_SOURCE!$D$2:$D$495,MATCH($I4174,MASTER_SOURCE!$A$2:$A$495,0)),""))</f>
        <v/>
      </c>
      <c r="M4174" s="24" t="n"/>
      <c r="N4174" s="24" t="n"/>
      <c r="O4174" s="24" t="n"/>
      <c r="P4174" s="24" t="n"/>
      <c r="Q4174" s="22">
        <f>IF($D4174="","",IF(AND(OR(DANH_MUC!$L$5&lt;&gt;"Có",M4174="Có"),OR(DANH_MUC!$L$6&lt;&gt;"Có",N4174="Có"),OR(DANH_MUC!$L$7&lt;&gt;"Có",O4174="Có"),OR(DANH_MUC!$L$8&lt;&gt;"Có",P4174="Có")),"Có","Không"))</f>
        <v/>
      </c>
      <c r="R4174" s="22">
        <f>IF($D4174="","",IF(COUNTIF($D$2:$D4174,$D4174)&gt;1,"Trùng",""))</f>
        <v/>
      </c>
      <c r="S4174" s="22">
        <f>IF($D4174="","",IF(AND(LEN($D4174)=10,LEFT($D4174,1)="0",ISNUMBER(--$D4174)),"Có","Không"))</f>
        <v/>
      </c>
      <c r="T4174" s="22">
        <f>IF($D4174="","",IF(AND($C4174&lt;&gt;"",$Q4174="Có",$R4174="",$S4174="Có",AND($L4174&lt;&gt;"",OR($L4174&lt;&gt;"Chưa xác định",DANH_MUC!$L$9="Có"))),"Có","Không"))</f>
        <v/>
      </c>
      <c r="U4174" s="22">
        <f>IF(OR($D4174="",$T4174="Có"),"",IF($C4174="","Thiếu họ tên; ","")&amp;IF($S4174&lt;&gt;"Có","SĐT sai định dạng; ","")&amp;IF($R4174="Trùng","Trùng SĐT; ","")&amp;IF($Q4174&lt;&gt;"Có","Thiếu đồng ý bắt buộc; ","")&amp;IF($L4174="","Thiếu/sai Mã REF; ",IF(AND($L4174="Chưa xác định",DANH_MUC!$L$9&lt;&gt;"Có"),"Nguồn chưa xác định; ","")))</f>
        <v/>
      </c>
      <c r="V4174" s="22">
        <f>IF(OR($D4174="",$R4174="Trùng"),"",IF(COUNTIF(ORDERS!$C$2:$C$4995,$D4174)&gt;0,"Có","Không"))</f>
        <v/>
      </c>
      <c r="W4174" s="22">
        <f>IF(OR($D4174="",$R4174="Trùng"),"",COUNTIFS(ORDERS!$C$2:$C$4995,$D4174,ORDERS!$L$2:$L$4995,"Đã chuyển khoản"))</f>
        <v/>
      </c>
      <c r="X4174" s="23">
        <f>IF(OR($D4174="",$R4174="Trùng"),"",SUMIFS(ORDERS!$J$2:$J$4995,ORDERS!$C$2:$C$4995,$D4174,ORDERS!$L$2:$L$4995,"Đã chuyển khoản"))</f>
        <v/>
      </c>
      <c r="Y4174" s="24" t="n"/>
    </row>
    <row r="4175" ht="14.25" customHeight="1" s="40">
      <c r="A4175" s="24" t="n"/>
      <c r="B4175" s="27" t="n"/>
      <c r="C4175" s="24" t="n"/>
      <c r="D4175" s="28" t="n"/>
      <c r="E4175" s="29" t="n"/>
      <c r="F4175" s="24" t="n"/>
      <c r="G4175" s="24" t="n"/>
      <c r="H4175" s="21">
        <f>IF(ISNUMBER($B4175),INT($B4175)-WEEKDAY($B4175,2)+1,"")</f>
        <v/>
      </c>
      <c r="I4175" s="24" t="n"/>
      <c r="J4175" s="22">
        <f t="array" ref="J4175">IF($D4175="","",IF($I4175="","(trống REF)",IFERROR(INDEX(MASTER_SOURCE!$B$2:$B$495,MATCH($I4175,MASTER_SOURCE!$A$2:$A$495,0)),"(REF không có trong MASTER_SOURCE)")))</f>
        <v/>
      </c>
      <c r="K4175" s="22">
        <f t="array" ref="K4175">IF($D4175="","",IFERROR(INDEX(MASTER_SOURCE!$C$2:$C$495,MATCH($I4175,MASTER_SOURCE!$A$2:$A$495,0)),""))</f>
        <v/>
      </c>
      <c r="L4175" s="22">
        <f t="array" ref="L4175">IF($D4175="","",IFERROR(INDEX(MASTER_SOURCE!$D$2:$D$495,MATCH($I4175,MASTER_SOURCE!$A$2:$A$495,0)),""))</f>
        <v/>
      </c>
      <c r="M4175" s="24" t="n"/>
      <c r="N4175" s="24" t="n"/>
      <c r="O4175" s="24" t="n"/>
      <c r="P4175" s="24" t="n"/>
      <c r="Q4175" s="22">
        <f>IF($D4175="","",IF(AND(OR(DANH_MUC!$L$5&lt;&gt;"Có",M4175="Có"),OR(DANH_MUC!$L$6&lt;&gt;"Có",N4175="Có"),OR(DANH_MUC!$L$7&lt;&gt;"Có",O4175="Có"),OR(DANH_MUC!$L$8&lt;&gt;"Có",P4175="Có")),"Có","Không"))</f>
        <v/>
      </c>
      <c r="R4175" s="22">
        <f>IF($D4175="","",IF(COUNTIF($D$2:$D4175,$D4175)&gt;1,"Trùng",""))</f>
        <v/>
      </c>
      <c r="S4175" s="22">
        <f>IF($D4175="","",IF(AND(LEN($D4175)=10,LEFT($D4175,1)="0",ISNUMBER(--$D4175)),"Có","Không"))</f>
        <v/>
      </c>
      <c r="T4175" s="22">
        <f>IF($D4175="","",IF(AND($C4175&lt;&gt;"",$Q4175="Có",$R4175="",$S4175="Có",AND($L4175&lt;&gt;"",OR($L4175&lt;&gt;"Chưa xác định",DANH_MUC!$L$9="Có"))),"Có","Không"))</f>
        <v/>
      </c>
      <c r="U4175" s="22">
        <f>IF(OR($D4175="",$T4175="Có"),"",IF($C4175="","Thiếu họ tên; ","")&amp;IF($S4175&lt;&gt;"Có","SĐT sai định dạng; ","")&amp;IF($R4175="Trùng","Trùng SĐT; ","")&amp;IF($Q4175&lt;&gt;"Có","Thiếu đồng ý bắt buộc; ","")&amp;IF($L4175="","Thiếu/sai Mã REF; ",IF(AND($L4175="Chưa xác định",DANH_MUC!$L$9&lt;&gt;"Có"),"Nguồn chưa xác định; ","")))</f>
        <v/>
      </c>
      <c r="V4175" s="22">
        <f>IF(OR($D4175="",$R4175="Trùng"),"",IF(COUNTIF(ORDERS!$C$2:$C$4995,$D4175)&gt;0,"Có","Không"))</f>
        <v/>
      </c>
      <c r="W4175" s="22">
        <f>IF(OR($D4175="",$R4175="Trùng"),"",COUNTIFS(ORDERS!$C$2:$C$4995,$D4175,ORDERS!$L$2:$L$4995,"Đã chuyển khoản"))</f>
        <v/>
      </c>
      <c r="X4175" s="23">
        <f>IF(OR($D4175="",$R4175="Trùng"),"",SUMIFS(ORDERS!$J$2:$J$4995,ORDERS!$C$2:$C$4995,$D4175,ORDERS!$L$2:$L$4995,"Đã chuyển khoản"))</f>
        <v/>
      </c>
      <c r="Y4175" s="24" t="n"/>
    </row>
    <row r="4176" ht="14.25" customHeight="1" s="40">
      <c r="A4176" s="24" t="n"/>
      <c r="B4176" s="27" t="n"/>
      <c r="C4176" s="24" t="n"/>
      <c r="D4176" s="28" t="n"/>
      <c r="E4176" s="29" t="n"/>
      <c r="F4176" s="24" t="n"/>
      <c r="G4176" s="24" t="n"/>
      <c r="H4176" s="21">
        <f>IF(ISNUMBER($B4176),INT($B4176)-WEEKDAY($B4176,2)+1,"")</f>
        <v/>
      </c>
      <c r="I4176" s="24" t="n"/>
      <c r="J4176" s="22">
        <f t="array" ref="J4176">IF($D4176="","",IF($I4176="","(trống REF)",IFERROR(INDEX(MASTER_SOURCE!$B$2:$B$495,MATCH($I4176,MASTER_SOURCE!$A$2:$A$495,0)),"(REF không có trong MASTER_SOURCE)")))</f>
        <v/>
      </c>
      <c r="K4176" s="22">
        <f t="array" ref="K4176">IF($D4176="","",IFERROR(INDEX(MASTER_SOURCE!$C$2:$C$495,MATCH($I4176,MASTER_SOURCE!$A$2:$A$495,0)),""))</f>
        <v/>
      </c>
      <c r="L4176" s="22">
        <f t="array" ref="L4176">IF($D4176="","",IFERROR(INDEX(MASTER_SOURCE!$D$2:$D$495,MATCH($I4176,MASTER_SOURCE!$A$2:$A$495,0)),""))</f>
        <v/>
      </c>
      <c r="M4176" s="24" t="n"/>
      <c r="N4176" s="24" t="n"/>
      <c r="O4176" s="24" t="n"/>
      <c r="P4176" s="24" t="n"/>
      <c r="Q4176" s="22">
        <f>IF($D4176="","",IF(AND(OR(DANH_MUC!$L$5&lt;&gt;"Có",M4176="Có"),OR(DANH_MUC!$L$6&lt;&gt;"Có",N4176="Có"),OR(DANH_MUC!$L$7&lt;&gt;"Có",O4176="Có"),OR(DANH_MUC!$L$8&lt;&gt;"Có",P4176="Có")),"Có","Không"))</f>
        <v/>
      </c>
      <c r="R4176" s="22">
        <f>IF($D4176="","",IF(COUNTIF($D$2:$D4176,$D4176)&gt;1,"Trùng",""))</f>
        <v/>
      </c>
      <c r="S4176" s="22">
        <f>IF($D4176="","",IF(AND(LEN($D4176)=10,LEFT($D4176,1)="0",ISNUMBER(--$D4176)),"Có","Không"))</f>
        <v/>
      </c>
      <c r="T4176" s="22">
        <f>IF($D4176="","",IF(AND($C4176&lt;&gt;"",$Q4176="Có",$R4176="",$S4176="Có",AND($L4176&lt;&gt;"",OR($L4176&lt;&gt;"Chưa xác định",DANH_MUC!$L$9="Có"))),"Có","Không"))</f>
        <v/>
      </c>
      <c r="U4176" s="22">
        <f>IF(OR($D4176="",$T4176="Có"),"",IF($C4176="","Thiếu họ tên; ","")&amp;IF($S4176&lt;&gt;"Có","SĐT sai định dạng; ","")&amp;IF($R4176="Trùng","Trùng SĐT; ","")&amp;IF($Q4176&lt;&gt;"Có","Thiếu đồng ý bắt buộc; ","")&amp;IF($L4176="","Thiếu/sai Mã REF; ",IF(AND($L4176="Chưa xác định",DANH_MUC!$L$9&lt;&gt;"Có"),"Nguồn chưa xác định; ","")))</f>
        <v/>
      </c>
      <c r="V4176" s="22">
        <f>IF(OR($D4176="",$R4176="Trùng"),"",IF(COUNTIF(ORDERS!$C$2:$C$4995,$D4176)&gt;0,"Có","Không"))</f>
        <v/>
      </c>
      <c r="W4176" s="22">
        <f>IF(OR($D4176="",$R4176="Trùng"),"",COUNTIFS(ORDERS!$C$2:$C$4995,$D4176,ORDERS!$L$2:$L$4995,"Đã chuyển khoản"))</f>
        <v/>
      </c>
      <c r="X4176" s="23">
        <f>IF(OR($D4176="",$R4176="Trùng"),"",SUMIFS(ORDERS!$J$2:$J$4995,ORDERS!$C$2:$C$4995,$D4176,ORDERS!$L$2:$L$4995,"Đã chuyển khoản"))</f>
        <v/>
      </c>
      <c r="Y4176" s="24" t="n"/>
    </row>
    <row r="4177" ht="14.25" customHeight="1" s="40">
      <c r="A4177" s="24" t="n"/>
      <c r="B4177" s="27" t="n"/>
      <c r="C4177" s="24" t="n"/>
      <c r="D4177" s="28" t="n"/>
      <c r="E4177" s="29" t="n"/>
      <c r="F4177" s="24" t="n"/>
      <c r="G4177" s="24" t="n"/>
      <c r="H4177" s="21">
        <f>IF(ISNUMBER($B4177),INT($B4177)-WEEKDAY($B4177,2)+1,"")</f>
        <v/>
      </c>
      <c r="I4177" s="24" t="n"/>
      <c r="J4177" s="22">
        <f t="array" ref="J4177">IF($D4177="","",IF($I4177="","(trống REF)",IFERROR(INDEX(MASTER_SOURCE!$B$2:$B$495,MATCH($I4177,MASTER_SOURCE!$A$2:$A$495,0)),"(REF không có trong MASTER_SOURCE)")))</f>
        <v/>
      </c>
      <c r="K4177" s="22">
        <f t="array" ref="K4177">IF($D4177="","",IFERROR(INDEX(MASTER_SOURCE!$C$2:$C$495,MATCH($I4177,MASTER_SOURCE!$A$2:$A$495,0)),""))</f>
        <v/>
      </c>
      <c r="L4177" s="22">
        <f t="array" ref="L4177">IF($D4177="","",IFERROR(INDEX(MASTER_SOURCE!$D$2:$D$495,MATCH($I4177,MASTER_SOURCE!$A$2:$A$495,0)),""))</f>
        <v/>
      </c>
      <c r="M4177" s="24" t="n"/>
      <c r="N4177" s="24" t="n"/>
      <c r="O4177" s="24" t="n"/>
      <c r="P4177" s="24" t="n"/>
      <c r="Q4177" s="22">
        <f>IF($D4177="","",IF(AND(OR(DANH_MUC!$L$5&lt;&gt;"Có",M4177="Có"),OR(DANH_MUC!$L$6&lt;&gt;"Có",N4177="Có"),OR(DANH_MUC!$L$7&lt;&gt;"Có",O4177="Có"),OR(DANH_MUC!$L$8&lt;&gt;"Có",P4177="Có")),"Có","Không"))</f>
        <v/>
      </c>
      <c r="R4177" s="22">
        <f>IF($D4177="","",IF(COUNTIF($D$2:$D4177,$D4177)&gt;1,"Trùng",""))</f>
        <v/>
      </c>
      <c r="S4177" s="22">
        <f>IF($D4177="","",IF(AND(LEN($D4177)=10,LEFT($D4177,1)="0",ISNUMBER(--$D4177)),"Có","Không"))</f>
        <v/>
      </c>
      <c r="T4177" s="22">
        <f>IF($D4177="","",IF(AND($C4177&lt;&gt;"",$Q4177="Có",$R4177="",$S4177="Có",AND($L4177&lt;&gt;"",OR($L4177&lt;&gt;"Chưa xác định",DANH_MUC!$L$9="Có"))),"Có","Không"))</f>
        <v/>
      </c>
      <c r="U4177" s="22">
        <f>IF(OR($D4177="",$T4177="Có"),"",IF($C4177="","Thiếu họ tên; ","")&amp;IF($S4177&lt;&gt;"Có","SĐT sai định dạng; ","")&amp;IF($R4177="Trùng","Trùng SĐT; ","")&amp;IF($Q4177&lt;&gt;"Có","Thiếu đồng ý bắt buộc; ","")&amp;IF($L4177="","Thiếu/sai Mã REF; ",IF(AND($L4177="Chưa xác định",DANH_MUC!$L$9&lt;&gt;"Có"),"Nguồn chưa xác định; ","")))</f>
        <v/>
      </c>
      <c r="V4177" s="22">
        <f>IF(OR($D4177="",$R4177="Trùng"),"",IF(COUNTIF(ORDERS!$C$2:$C$4995,$D4177)&gt;0,"Có","Không"))</f>
        <v/>
      </c>
      <c r="W4177" s="22">
        <f>IF(OR($D4177="",$R4177="Trùng"),"",COUNTIFS(ORDERS!$C$2:$C$4995,$D4177,ORDERS!$L$2:$L$4995,"Đã chuyển khoản"))</f>
        <v/>
      </c>
      <c r="X4177" s="23">
        <f>IF(OR($D4177="",$R4177="Trùng"),"",SUMIFS(ORDERS!$J$2:$J$4995,ORDERS!$C$2:$C$4995,$D4177,ORDERS!$L$2:$L$4995,"Đã chuyển khoản"))</f>
        <v/>
      </c>
      <c r="Y4177" s="24" t="n"/>
    </row>
    <row r="4178" ht="14.25" customHeight="1" s="40">
      <c r="A4178" s="24" t="n"/>
      <c r="B4178" s="27" t="n"/>
      <c r="C4178" s="24" t="n"/>
      <c r="D4178" s="28" t="n"/>
      <c r="E4178" s="29" t="n"/>
      <c r="F4178" s="24" t="n"/>
      <c r="G4178" s="24" t="n"/>
      <c r="H4178" s="21">
        <f>IF(ISNUMBER($B4178),INT($B4178)-WEEKDAY($B4178,2)+1,"")</f>
        <v/>
      </c>
      <c r="I4178" s="24" t="n"/>
      <c r="J4178" s="22">
        <f t="array" ref="J4178">IF($D4178="","",IF($I4178="","(trống REF)",IFERROR(INDEX(MASTER_SOURCE!$B$2:$B$495,MATCH($I4178,MASTER_SOURCE!$A$2:$A$495,0)),"(REF không có trong MASTER_SOURCE)")))</f>
        <v/>
      </c>
      <c r="K4178" s="22">
        <f t="array" ref="K4178">IF($D4178="","",IFERROR(INDEX(MASTER_SOURCE!$C$2:$C$495,MATCH($I4178,MASTER_SOURCE!$A$2:$A$495,0)),""))</f>
        <v/>
      </c>
      <c r="L4178" s="22">
        <f t="array" ref="L4178">IF($D4178="","",IFERROR(INDEX(MASTER_SOURCE!$D$2:$D$495,MATCH($I4178,MASTER_SOURCE!$A$2:$A$495,0)),""))</f>
        <v/>
      </c>
      <c r="M4178" s="24" t="n"/>
      <c r="N4178" s="24" t="n"/>
      <c r="O4178" s="24" t="n"/>
      <c r="P4178" s="24" t="n"/>
      <c r="Q4178" s="22">
        <f>IF($D4178="","",IF(AND(OR(DANH_MUC!$L$5&lt;&gt;"Có",M4178="Có"),OR(DANH_MUC!$L$6&lt;&gt;"Có",N4178="Có"),OR(DANH_MUC!$L$7&lt;&gt;"Có",O4178="Có"),OR(DANH_MUC!$L$8&lt;&gt;"Có",P4178="Có")),"Có","Không"))</f>
        <v/>
      </c>
      <c r="R4178" s="22">
        <f>IF($D4178="","",IF(COUNTIF($D$2:$D4178,$D4178)&gt;1,"Trùng",""))</f>
        <v/>
      </c>
      <c r="S4178" s="22">
        <f>IF($D4178="","",IF(AND(LEN($D4178)=10,LEFT($D4178,1)="0",ISNUMBER(--$D4178)),"Có","Không"))</f>
        <v/>
      </c>
      <c r="T4178" s="22">
        <f>IF($D4178="","",IF(AND($C4178&lt;&gt;"",$Q4178="Có",$R4178="",$S4178="Có",AND($L4178&lt;&gt;"",OR($L4178&lt;&gt;"Chưa xác định",DANH_MUC!$L$9="Có"))),"Có","Không"))</f>
        <v/>
      </c>
      <c r="U4178" s="22">
        <f>IF(OR($D4178="",$T4178="Có"),"",IF($C4178="","Thiếu họ tên; ","")&amp;IF($S4178&lt;&gt;"Có","SĐT sai định dạng; ","")&amp;IF($R4178="Trùng","Trùng SĐT; ","")&amp;IF($Q4178&lt;&gt;"Có","Thiếu đồng ý bắt buộc; ","")&amp;IF($L4178="","Thiếu/sai Mã REF; ",IF(AND($L4178="Chưa xác định",DANH_MUC!$L$9&lt;&gt;"Có"),"Nguồn chưa xác định; ","")))</f>
        <v/>
      </c>
      <c r="V4178" s="22">
        <f>IF(OR($D4178="",$R4178="Trùng"),"",IF(COUNTIF(ORDERS!$C$2:$C$4995,$D4178)&gt;0,"Có","Không"))</f>
        <v/>
      </c>
      <c r="W4178" s="22">
        <f>IF(OR($D4178="",$R4178="Trùng"),"",COUNTIFS(ORDERS!$C$2:$C$4995,$D4178,ORDERS!$L$2:$L$4995,"Đã chuyển khoản"))</f>
        <v/>
      </c>
      <c r="X4178" s="23">
        <f>IF(OR($D4178="",$R4178="Trùng"),"",SUMIFS(ORDERS!$J$2:$J$4995,ORDERS!$C$2:$C$4995,$D4178,ORDERS!$L$2:$L$4995,"Đã chuyển khoản"))</f>
        <v/>
      </c>
      <c r="Y4178" s="24" t="n"/>
    </row>
    <row r="4179" ht="14.25" customHeight="1" s="40">
      <c r="A4179" s="24" t="n"/>
      <c r="B4179" s="27" t="n"/>
      <c r="C4179" s="24" t="n"/>
      <c r="D4179" s="28" t="n"/>
      <c r="E4179" s="29" t="n"/>
      <c r="F4179" s="24" t="n"/>
      <c r="G4179" s="24" t="n"/>
      <c r="H4179" s="21">
        <f>IF(ISNUMBER($B4179),INT($B4179)-WEEKDAY($B4179,2)+1,"")</f>
        <v/>
      </c>
      <c r="I4179" s="24" t="n"/>
      <c r="J4179" s="22">
        <f t="array" ref="J4179">IF($D4179="","",IF($I4179="","(trống REF)",IFERROR(INDEX(MASTER_SOURCE!$B$2:$B$495,MATCH($I4179,MASTER_SOURCE!$A$2:$A$495,0)),"(REF không có trong MASTER_SOURCE)")))</f>
        <v/>
      </c>
      <c r="K4179" s="22">
        <f t="array" ref="K4179">IF($D4179="","",IFERROR(INDEX(MASTER_SOURCE!$C$2:$C$495,MATCH($I4179,MASTER_SOURCE!$A$2:$A$495,0)),""))</f>
        <v/>
      </c>
      <c r="L4179" s="22">
        <f t="array" ref="L4179">IF($D4179="","",IFERROR(INDEX(MASTER_SOURCE!$D$2:$D$495,MATCH($I4179,MASTER_SOURCE!$A$2:$A$495,0)),""))</f>
        <v/>
      </c>
      <c r="M4179" s="24" t="n"/>
      <c r="N4179" s="24" t="n"/>
      <c r="O4179" s="24" t="n"/>
      <c r="P4179" s="24" t="n"/>
      <c r="Q4179" s="22">
        <f>IF($D4179="","",IF(AND(OR(DANH_MUC!$L$5&lt;&gt;"Có",M4179="Có"),OR(DANH_MUC!$L$6&lt;&gt;"Có",N4179="Có"),OR(DANH_MUC!$L$7&lt;&gt;"Có",O4179="Có"),OR(DANH_MUC!$L$8&lt;&gt;"Có",P4179="Có")),"Có","Không"))</f>
        <v/>
      </c>
      <c r="R4179" s="22">
        <f>IF($D4179="","",IF(COUNTIF($D$2:$D4179,$D4179)&gt;1,"Trùng",""))</f>
        <v/>
      </c>
      <c r="S4179" s="22">
        <f>IF($D4179="","",IF(AND(LEN($D4179)=10,LEFT($D4179,1)="0",ISNUMBER(--$D4179)),"Có","Không"))</f>
        <v/>
      </c>
      <c r="T4179" s="22">
        <f>IF($D4179="","",IF(AND($C4179&lt;&gt;"",$Q4179="Có",$R4179="",$S4179="Có",AND($L4179&lt;&gt;"",OR($L4179&lt;&gt;"Chưa xác định",DANH_MUC!$L$9="Có"))),"Có","Không"))</f>
        <v/>
      </c>
      <c r="U4179" s="22">
        <f>IF(OR($D4179="",$T4179="Có"),"",IF($C4179="","Thiếu họ tên; ","")&amp;IF($S4179&lt;&gt;"Có","SĐT sai định dạng; ","")&amp;IF($R4179="Trùng","Trùng SĐT; ","")&amp;IF($Q4179&lt;&gt;"Có","Thiếu đồng ý bắt buộc; ","")&amp;IF($L4179="","Thiếu/sai Mã REF; ",IF(AND($L4179="Chưa xác định",DANH_MUC!$L$9&lt;&gt;"Có"),"Nguồn chưa xác định; ","")))</f>
        <v/>
      </c>
      <c r="V4179" s="22">
        <f>IF(OR($D4179="",$R4179="Trùng"),"",IF(COUNTIF(ORDERS!$C$2:$C$4995,$D4179)&gt;0,"Có","Không"))</f>
        <v/>
      </c>
      <c r="W4179" s="22">
        <f>IF(OR($D4179="",$R4179="Trùng"),"",COUNTIFS(ORDERS!$C$2:$C$4995,$D4179,ORDERS!$L$2:$L$4995,"Đã chuyển khoản"))</f>
        <v/>
      </c>
      <c r="X4179" s="23">
        <f>IF(OR($D4179="",$R4179="Trùng"),"",SUMIFS(ORDERS!$J$2:$J$4995,ORDERS!$C$2:$C$4995,$D4179,ORDERS!$L$2:$L$4995,"Đã chuyển khoản"))</f>
        <v/>
      </c>
      <c r="Y4179" s="24" t="n"/>
    </row>
    <row r="4180" ht="14.25" customHeight="1" s="40">
      <c r="A4180" s="24" t="n"/>
      <c r="B4180" s="27" t="n"/>
      <c r="C4180" s="24" t="n"/>
      <c r="D4180" s="28" t="n"/>
      <c r="E4180" s="29" t="n"/>
      <c r="F4180" s="24" t="n"/>
      <c r="G4180" s="24" t="n"/>
      <c r="H4180" s="21">
        <f>IF(ISNUMBER($B4180),INT($B4180)-WEEKDAY($B4180,2)+1,"")</f>
        <v/>
      </c>
      <c r="I4180" s="24" t="n"/>
      <c r="J4180" s="22">
        <f t="array" ref="J4180">IF($D4180="","",IF($I4180="","(trống REF)",IFERROR(INDEX(MASTER_SOURCE!$B$2:$B$495,MATCH($I4180,MASTER_SOURCE!$A$2:$A$495,0)),"(REF không có trong MASTER_SOURCE)")))</f>
        <v/>
      </c>
      <c r="K4180" s="22">
        <f t="array" ref="K4180">IF($D4180="","",IFERROR(INDEX(MASTER_SOURCE!$C$2:$C$495,MATCH($I4180,MASTER_SOURCE!$A$2:$A$495,0)),""))</f>
        <v/>
      </c>
      <c r="L4180" s="22">
        <f t="array" ref="L4180">IF($D4180="","",IFERROR(INDEX(MASTER_SOURCE!$D$2:$D$495,MATCH($I4180,MASTER_SOURCE!$A$2:$A$495,0)),""))</f>
        <v/>
      </c>
      <c r="M4180" s="24" t="n"/>
      <c r="N4180" s="24" t="n"/>
      <c r="O4180" s="24" t="n"/>
      <c r="P4180" s="24" t="n"/>
      <c r="Q4180" s="22">
        <f>IF($D4180="","",IF(AND(OR(DANH_MUC!$L$5&lt;&gt;"Có",M4180="Có"),OR(DANH_MUC!$L$6&lt;&gt;"Có",N4180="Có"),OR(DANH_MUC!$L$7&lt;&gt;"Có",O4180="Có"),OR(DANH_MUC!$L$8&lt;&gt;"Có",P4180="Có")),"Có","Không"))</f>
        <v/>
      </c>
      <c r="R4180" s="22">
        <f>IF($D4180="","",IF(COUNTIF($D$2:$D4180,$D4180)&gt;1,"Trùng",""))</f>
        <v/>
      </c>
      <c r="S4180" s="22">
        <f>IF($D4180="","",IF(AND(LEN($D4180)=10,LEFT($D4180,1)="0",ISNUMBER(--$D4180)),"Có","Không"))</f>
        <v/>
      </c>
      <c r="T4180" s="22">
        <f>IF($D4180="","",IF(AND($C4180&lt;&gt;"",$Q4180="Có",$R4180="",$S4180="Có",AND($L4180&lt;&gt;"",OR($L4180&lt;&gt;"Chưa xác định",DANH_MUC!$L$9="Có"))),"Có","Không"))</f>
        <v/>
      </c>
      <c r="U4180" s="22">
        <f>IF(OR($D4180="",$T4180="Có"),"",IF($C4180="","Thiếu họ tên; ","")&amp;IF($S4180&lt;&gt;"Có","SĐT sai định dạng; ","")&amp;IF($R4180="Trùng","Trùng SĐT; ","")&amp;IF($Q4180&lt;&gt;"Có","Thiếu đồng ý bắt buộc; ","")&amp;IF($L4180="","Thiếu/sai Mã REF; ",IF(AND($L4180="Chưa xác định",DANH_MUC!$L$9&lt;&gt;"Có"),"Nguồn chưa xác định; ","")))</f>
        <v/>
      </c>
      <c r="V4180" s="22">
        <f>IF(OR($D4180="",$R4180="Trùng"),"",IF(COUNTIF(ORDERS!$C$2:$C$4995,$D4180)&gt;0,"Có","Không"))</f>
        <v/>
      </c>
      <c r="W4180" s="22">
        <f>IF(OR($D4180="",$R4180="Trùng"),"",COUNTIFS(ORDERS!$C$2:$C$4995,$D4180,ORDERS!$L$2:$L$4995,"Đã chuyển khoản"))</f>
        <v/>
      </c>
      <c r="X4180" s="23">
        <f>IF(OR($D4180="",$R4180="Trùng"),"",SUMIFS(ORDERS!$J$2:$J$4995,ORDERS!$C$2:$C$4995,$D4180,ORDERS!$L$2:$L$4995,"Đã chuyển khoản"))</f>
        <v/>
      </c>
      <c r="Y4180" s="24" t="n"/>
    </row>
    <row r="4181" ht="14.25" customHeight="1" s="40">
      <c r="A4181" s="24" t="n"/>
      <c r="B4181" s="27" t="n"/>
      <c r="C4181" s="24" t="n"/>
      <c r="D4181" s="28" t="n"/>
      <c r="E4181" s="29" t="n"/>
      <c r="F4181" s="24" t="n"/>
      <c r="G4181" s="24" t="n"/>
      <c r="H4181" s="21">
        <f>IF(ISNUMBER($B4181),INT($B4181)-WEEKDAY($B4181,2)+1,"")</f>
        <v/>
      </c>
      <c r="I4181" s="24" t="n"/>
      <c r="J4181" s="22">
        <f t="array" ref="J4181">IF($D4181="","",IF($I4181="","(trống REF)",IFERROR(INDEX(MASTER_SOURCE!$B$2:$B$495,MATCH($I4181,MASTER_SOURCE!$A$2:$A$495,0)),"(REF không có trong MASTER_SOURCE)")))</f>
        <v/>
      </c>
      <c r="K4181" s="22">
        <f t="array" ref="K4181">IF($D4181="","",IFERROR(INDEX(MASTER_SOURCE!$C$2:$C$495,MATCH($I4181,MASTER_SOURCE!$A$2:$A$495,0)),""))</f>
        <v/>
      </c>
      <c r="L4181" s="22">
        <f t="array" ref="L4181">IF($D4181="","",IFERROR(INDEX(MASTER_SOURCE!$D$2:$D$495,MATCH($I4181,MASTER_SOURCE!$A$2:$A$495,0)),""))</f>
        <v/>
      </c>
      <c r="M4181" s="24" t="n"/>
      <c r="N4181" s="24" t="n"/>
      <c r="O4181" s="24" t="n"/>
      <c r="P4181" s="24" t="n"/>
      <c r="Q4181" s="22">
        <f>IF($D4181="","",IF(AND(OR(DANH_MUC!$L$5&lt;&gt;"Có",M4181="Có"),OR(DANH_MUC!$L$6&lt;&gt;"Có",N4181="Có"),OR(DANH_MUC!$L$7&lt;&gt;"Có",O4181="Có"),OR(DANH_MUC!$L$8&lt;&gt;"Có",P4181="Có")),"Có","Không"))</f>
        <v/>
      </c>
      <c r="R4181" s="22">
        <f>IF($D4181="","",IF(COUNTIF($D$2:$D4181,$D4181)&gt;1,"Trùng",""))</f>
        <v/>
      </c>
      <c r="S4181" s="22">
        <f>IF($D4181="","",IF(AND(LEN($D4181)=10,LEFT($D4181,1)="0",ISNUMBER(--$D4181)),"Có","Không"))</f>
        <v/>
      </c>
      <c r="T4181" s="22">
        <f>IF($D4181="","",IF(AND($C4181&lt;&gt;"",$Q4181="Có",$R4181="",$S4181="Có",AND($L4181&lt;&gt;"",OR($L4181&lt;&gt;"Chưa xác định",DANH_MUC!$L$9="Có"))),"Có","Không"))</f>
        <v/>
      </c>
      <c r="U4181" s="22">
        <f>IF(OR($D4181="",$T4181="Có"),"",IF($C4181="","Thiếu họ tên; ","")&amp;IF($S4181&lt;&gt;"Có","SĐT sai định dạng; ","")&amp;IF($R4181="Trùng","Trùng SĐT; ","")&amp;IF($Q4181&lt;&gt;"Có","Thiếu đồng ý bắt buộc; ","")&amp;IF($L4181="","Thiếu/sai Mã REF; ",IF(AND($L4181="Chưa xác định",DANH_MUC!$L$9&lt;&gt;"Có"),"Nguồn chưa xác định; ","")))</f>
        <v/>
      </c>
      <c r="V4181" s="22">
        <f>IF(OR($D4181="",$R4181="Trùng"),"",IF(COUNTIF(ORDERS!$C$2:$C$4995,$D4181)&gt;0,"Có","Không"))</f>
        <v/>
      </c>
      <c r="W4181" s="22">
        <f>IF(OR($D4181="",$R4181="Trùng"),"",COUNTIFS(ORDERS!$C$2:$C$4995,$D4181,ORDERS!$L$2:$L$4995,"Đã chuyển khoản"))</f>
        <v/>
      </c>
      <c r="X4181" s="23">
        <f>IF(OR($D4181="",$R4181="Trùng"),"",SUMIFS(ORDERS!$J$2:$J$4995,ORDERS!$C$2:$C$4995,$D4181,ORDERS!$L$2:$L$4995,"Đã chuyển khoản"))</f>
        <v/>
      </c>
      <c r="Y4181" s="24" t="n"/>
    </row>
    <row r="4182" ht="14.25" customHeight="1" s="40">
      <c r="A4182" s="24" t="n"/>
      <c r="B4182" s="27" t="n"/>
      <c r="C4182" s="24" t="n"/>
      <c r="D4182" s="28" t="n"/>
      <c r="E4182" s="29" t="n"/>
      <c r="F4182" s="24" t="n"/>
      <c r="G4182" s="24" t="n"/>
      <c r="H4182" s="21">
        <f>IF(ISNUMBER($B4182),INT($B4182)-WEEKDAY($B4182,2)+1,"")</f>
        <v/>
      </c>
      <c r="I4182" s="24" t="n"/>
      <c r="J4182" s="22">
        <f t="array" ref="J4182">IF($D4182="","",IF($I4182="","(trống REF)",IFERROR(INDEX(MASTER_SOURCE!$B$2:$B$495,MATCH($I4182,MASTER_SOURCE!$A$2:$A$495,0)),"(REF không có trong MASTER_SOURCE)")))</f>
        <v/>
      </c>
      <c r="K4182" s="22">
        <f t="array" ref="K4182">IF($D4182="","",IFERROR(INDEX(MASTER_SOURCE!$C$2:$C$495,MATCH($I4182,MASTER_SOURCE!$A$2:$A$495,0)),""))</f>
        <v/>
      </c>
      <c r="L4182" s="22">
        <f t="array" ref="L4182">IF($D4182="","",IFERROR(INDEX(MASTER_SOURCE!$D$2:$D$495,MATCH($I4182,MASTER_SOURCE!$A$2:$A$495,0)),""))</f>
        <v/>
      </c>
      <c r="M4182" s="24" t="n"/>
      <c r="N4182" s="24" t="n"/>
      <c r="O4182" s="24" t="n"/>
      <c r="P4182" s="24" t="n"/>
      <c r="Q4182" s="22">
        <f>IF($D4182="","",IF(AND(OR(DANH_MUC!$L$5&lt;&gt;"Có",M4182="Có"),OR(DANH_MUC!$L$6&lt;&gt;"Có",N4182="Có"),OR(DANH_MUC!$L$7&lt;&gt;"Có",O4182="Có"),OR(DANH_MUC!$L$8&lt;&gt;"Có",P4182="Có")),"Có","Không"))</f>
        <v/>
      </c>
      <c r="R4182" s="22">
        <f>IF($D4182="","",IF(COUNTIF($D$2:$D4182,$D4182)&gt;1,"Trùng",""))</f>
        <v/>
      </c>
      <c r="S4182" s="22">
        <f>IF($D4182="","",IF(AND(LEN($D4182)=10,LEFT($D4182,1)="0",ISNUMBER(--$D4182)),"Có","Không"))</f>
        <v/>
      </c>
      <c r="T4182" s="22">
        <f>IF($D4182="","",IF(AND($C4182&lt;&gt;"",$Q4182="Có",$R4182="",$S4182="Có",AND($L4182&lt;&gt;"",OR($L4182&lt;&gt;"Chưa xác định",DANH_MUC!$L$9="Có"))),"Có","Không"))</f>
        <v/>
      </c>
      <c r="U4182" s="22">
        <f>IF(OR($D4182="",$T4182="Có"),"",IF($C4182="","Thiếu họ tên; ","")&amp;IF($S4182&lt;&gt;"Có","SĐT sai định dạng; ","")&amp;IF($R4182="Trùng","Trùng SĐT; ","")&amp;IF($Q4182&lt;&gt;"Có","Thiếu đồng ý bắt buộc; ","")&amp;IF($L4182="","Thiếu/sai Mã REF; ",IF(AND($L4182="Chưa xác định",DANH_MUC!$L$9&lt;&gt;"Có"),"Nguồn chưa xác định; ","")))</f>
        <v/>
      </c>
      <c r="V4182" s="22">
        <f>IF(OR($D4182="",$R4182="Trùng"),"",IF(COUNTIF(ORDERS!$C$2:$C$4995,$D4182)&gt;0,"Có","Không"))</f>
        <v/>
      </c>
      <c r="W4182" s="22">
        <f>IF(OR($D4182="",$R4182="Trùng"),"",COUNTIFS(ORDERS!$C$2:$C$4995,$D4182,ORDERS!$L$2:$L$4995,"Đã chuyển khoản"))</f>
        <v/>
      </c>
      <c r="X4182" s="23">
        <f>IF(OR($D4182="",$R4182="Trùng"),"",SUMIFS(ORDERS!$J$2:$J$4995,ORDERS!$C$2:$C$4995,$D4182,ORDERS!$L$2:$L$4995,"Đã chuyển khoản"))</f>
        <v/>
      </c>
      <c r="Y4182" s="24" t="n"/>
    </row>
    <row r="4183" ht="14.25" customHeight="1" s="40">
      <c r="A4183" s="24" t="n"/>
      <c r="B4183" s="27" t="n"/>
      <c r="C4183" s="24" t="n"/>
      <c r="D4183" s="28" t="n"/>
      <c r="E4183" s="29" t="n"/>
      <c r="F4183" s="24" t="n"/>
      <c r="G4183" s="24" t="n"/>
      <c r="H4183" s="21">
        <f>IF(ISNUMBER($B4183),INT($B4183)-WEEKDAY($B4183,2)+1,"")</f>
        <v/>
      </c>
      <c r="I4183" s="24" t="n"/>
      <c r="J4183" s="22">
        <f t="array" ref="J4183">IF($D4183="","",IF($I4183="","(trống REF)",IFERROR(INDEX(MASTER_SOURCE!$B$2:$B$495,MATCH($I4183,MASTER_SOURCE!$A$2:$A$495,0)),"(REF không có trong MASTER_SOURCE)")))</f>
        <v/>
      </c>
      <c r="K4183" s="22">
        <f t="array" ref="K4183">IF($D4183="","",IFERROR(INDEX(MASTER_SOURCE!$C$2:$C$495,MATCH($I4183,MASTER_SOURCE!$A$2:$A$495,0)),""))</f>
        <v/>
      </c>
      <c r="L4183" s="22">
        <f t="array" ref="L4183">IF($D4183="","",IFERROR(INDEX(MASTER_SOURCE!$D$2:$D$495,MATCH($I4183,MASTER_SOURCE!$A$2:$A$495,0)),""))</f>
        <v/>
      </c>
      <c r="M4183" s="24" t="n"/>
      <c r="N4183" s="24" t="n"/>
      <c r="O4183" s="24" t="n"/>
      <c r="P4183" s="24" t="n"/>
      <c r="Q4183" s="22">
        <f>IF($D4183="","",IF(AND(OR(DANH_MUC!$L$5&lt;&gt;"Có",M4183="Có"),OR(DANH_MUC!$L$6&lt;&gt;"Có",N4183="Có"),OR(DANH_MUC!$L$7&lt;&gt;"Có",O4183="Có"),OR(DANH_MUC!$L$8&lt;&gt;"Có",P4183="Có")),"Có","Không"))</f>
        <v/>
      </c>
      <c r="R4183" s="22">
        <f>IF($D4183="","",IF(COUNTIF($D$2:$D4183,$D4183)&gt;1,"Trùng",""))</f>
        <v/>
      </c>
      <c r="S4183" s="22">
        <f>IF($D4183="","",IF(AND(LEN($D4183)=10,LEFT($D4183,1)="0",ISNUMBER(--$D4183)),"Có","Không"))</f>
        <v/>
      </c>
      <c r="T4183" s="22">
        <f>IF($D4183="","",IF(AND($C4183&lt;&gt;"",$Q4183="Có",$R4183="",$S4183="Có",AND($L4183&lt;&gt;"",OR($L4183&lt;&gt;"Chưa xác định",DANH_MUC!$L$9="Có"))),"Có","Không"))</f>
        <v/>
      </c>
      <c r="U4183" s="22">
        <f>IF(OR($D4183="",$T4183="Có"),"",IF($C4183="","Thiếu họ tên; ","")&amp;IF($S4183&lt;&gt;"Có","SĐT sai định dạng; ","")&amp;IF($R4183="Trùng","Trùng SĐT; ","")&amp;IF($Q4183&lt;&gt;"Có","Thiếu đồng ý bắt buộc; ","")&amp;IF($L4183="","Thiếu/sai Mã REF; ",IF(AND($L4183="Chưa xác định",DANH_MUC!$L$9&lt;&gt;"Có"),"Nguồn chưa xác định; ","")))</f>
        <v/>
      </c>
      <c r="V4183" s="22">
        <f>IF(OR($D4183="",$R4183="Trùng"),"",IF(COUNTIF(ORDERS!$C$2:$C$4995,$D4183)&gt;0,"Có","Không"))</f>
        <v/>
      </c>
      <c r="W4183" s="22">
        <f>IF(OR($D4183="",$R4183="Trùng"),"",COUNTIFS(ORDERS!$C$2:$C$4995,$D4183,ORDERS!$L$2:$L$4995,"Đã chuyển khoản"))</f>
        <v/>
      </c>
      <c r="X4183" s="23">
        <f>IF(OR($D4183="",$R4183="Trùng"),"",SUMIFS(ORDERS!$J$2:$J$4995,ORDERS!$C$2:$C$4995,$D4183,ORDERS!$L$2:$L$4995,"Đã chuyển khoản"))</f>
        <v/>
      </c>
      <c r="Y4183" s="24" t="n"/>
    </row>
    <row r="4184" ht="14.25" customHeight="1" s="40">
      <c r="A4184" s="24" t="n"/>
      <c r="B4184" s="27" t="n"/>
      <c r="C4184" s="24" t="n"/>
      <c r="D4184" s="28" t="n"/>
      <c r="E4184" s="29" t="n"/>
      <c r="F4184" s="24" t="n"/>
      <c r="G4184" s="24" t="n"/>
      <c r="H4184" s="21">
        <f>IF(ISNUMBER($B4184),INT($B4184)-WEEKDAY($B4184,2)+1,"")</f>
        <v/>
      </c>
      <c r="I4184" s="24" t="n"/>
      <c r="J4184" s="22">
        <f t="array" ref="J4184">IF($D4184="","",IF($I4184="","(trống REF)",IFERROR(INDEX(MASTER_SOURCE!$B$2:$B$495,MATCH($I4184,MASTER_SOURCE!$A$2:$A$495,0)),"(REF không có trong MASTER_SOURCE)")))</f>
        <v/>
      </c>
      <c r="K4184" s="22">
        <f t="array" ref="K4184">IF($D4184="","",IFERROR(INDEX(MASTER_SOURCE!$C$2:$C$495,MATCH($I4184,MASTER_SOURCE!$A$2:$A$495,0)),""))</f>
        <v/>
      </c>
      <c r="L4184" s="22">
        <f t="array" ref="L4184">IF($D4184="","",IFERROR(INDEX(MASTER_SOURCE!$D$2:$D$495,MATCH($I4184,MASTER_SOURCE!$A$2:$A$495,0)),""))</f>
        <v/>
      </c>
      <c r="M4184" s="24" t="n"/>
      <c r="N4184" s="24" t="n"/>
      <c r="O4184" s="24" t="n"/>
      <c r="P4184" s="24" t="n"/>
      <c r="Q4184" s="22">
        <f>IF($D4184="","",IF(AND(OR(DANH_MUC!$L$5&lt;&gt;"Có",M4184="Có"),OR(DANH_MUC!$L$6&lt;&gt;"Có",N4184="Có"),OR(DANH_MUC!$L$7&lt;&gt;"Có",O4184="Có"),OR(DANH_MUC!$L$8&lt;&gt;"Có",P4184="Có")),"Có","Không"))</f>
        <v/>
      </c>
      <c r="R4184" s="22">
        <f>IF($D4184="","",IF(COUNTIF($D$2:$D4184,$D4184)&gt;1,"Trùng",""))</f>
        <v/>
      </c>
      <c r="S4184" s="22">
        <f>IF($D4184="","",IF(AND(LEN($D4184)=10,LEFT($D4184,1)="0",ISNUMBER(--$D4184)),"Có","Không"))</f>
        <v/>
      </c>
      <c r="T4184" s="22">
        <f>IF($D4184="","",IF(AND($C4184&lt;&gt;"",$Q4184="Có",$R4184="",$S4184="Có",AND($L4184&lt;&gt;"",OR($L4184&lt;&gt;"Chưa xác định",DANH_MUC!$L$9="Có"))),"Có","Không"))</f>
        <v/>
      </c>
      <c r="U4184" s="22">
        <f>IF(OR($D4184="",$T4184="Có"),"",IF($C4184="","Thiếu họ tên; ","")&amp;IF($S4184&lt;&gt;"Có","SĐT sai định dạng; ","")&amp;IF($R4184="Trùng","Trùng SĐT; ","")&amp;IF($Q4184&lt;&gt;"Có","Thiếu đồng ý bắt buộc; ","")&amp;IF($L4184="","Thiếu/sai Mã REF; ",IF(AND($L4184="Chưa xác định",DANH_MUC!$L$9&lt;&gt;"Có"),"Nguồn chưa xác định; ","")))</f>
        <v/>
      </c>
      <c r="V4184" s="22">
        <f>IF(OR($D4184="",$R4184="Trùng"),"",IF(COUNTIF(ORDERS!$C$2:$C$4995,$D4184)&gt;0,"Có","Không"))</f>
        <v/>
      </c>
      <c r="W4184" s="22">
        <f>IF(OR($D4184="",$R4184="Trùng"),"",COUNTIFS(ORDERS!$C$2:$C$4995,$D4184,ORDERS!$L$2:$L$4995,"Đã chuyển khoản"))</f>
        <v/>
      </c>
      <c r="X4184" s="23">
        <f>IF(OR($D4184="",$R4184="Trùng"),"",SUMIFS(ORDERS!$J$2:$J$4995,ORDERS!$C$2:$C$4995,$D4184,ORDERS!$L$2:$L$4995,"Đã chuyển khoản"))</f>
        <v/>
      </c>
      <c r="Y4184" s="24" t="n"/>
    </row>
    <row r="4185" ht="14.25" customHeight="1" s="40">
      <c r="A4185" s="24" t="n"/>
      <c r="B4185" s="27" t="n"/>
      <c r="C4185" s="24" t="n"/>
      <c r="D4185" s="28" t="n"/>
      <c r="E4185" s="29" t="n"/>
      <c r="F4185" s="24" t="n"/>
      <c r="G4185" s="24" t="n"/>
      <c r="H4185" s="21">
        <f>IF(ISNUMBER($B4185),INT($B4185)-WEEKDAY($B4185,2)+1,"")</f>
        <v/>
      </c>
      <c r="I4185" s="24" t="n"/>
      <c r="J4185" s="22">
        <f t="array" ref="J4185">IF($D4185="","",IF($I4185="","(trống REF)",IFERROR(INDEX(MASTER_SOURCE!$B$2:$B$495,MATCH($I4185,MASTER_SOURCE!$A$2:$A$495,0)),"(REF không có trong MASTER_SOURCE)")))</f>
        <v/>
      </c>
      <c r="K4185" s="22">
        <f t="array" ref="K4185">IF($D4185="","",IFERROR(INDEX(MASTER_SOURCE!$C$2:$C$495,MATCH($I4185,MASTER_SOURCE!$A$2:$A$495,0)),""))</f>
        <v/>
      </c>
      <c r="L4185" s="22">
        <f t="array" ref="L4185">IF($D4185="","",IFERROR(INDEX(MASTER_SOURCE!$D$2:$D$495,MATCH($I4185,MASTER_SOURCE!$A$2:$A$495,0)),""))</f>
        <v/>
      </c>
      <c r="M4185" s="24" t="n"/>
      <c r="N4185" s="24" t="n"/>
      <c r="O4185" s="24" t="n"/>
      <c r="P4185" s="24" t="n"/>
      <c r="Q4185" s="22">
        <f>IF($D4185="","",IF(AND(OR(DANH_MUC!$L$5&lt;&gt;"Có",M4185="Có"),OR(DANH_MUC!$L$6&lt;&gt;"Có",N4185="Có"),OR(DANH_MUC!$L$7&lt;&gt;"Có",O4185="Có"),OR(DANH_MUC!$L$8&lt;&gt;"Có",P4185="Có")),"Có","Không"))</f>
        <v/>
      </c>
      <c r="R4185" s="22">
        <f>IF($D4185="","",IF(COUNTIF($D$2:$D4185,$D4185)&gt;1,"Trùng",""))</f>
        <v/>
      </c>
      <c r="S4185" s="22">
        <f>IF($D4185="","",IF(AND(LEN($D4185)=10,LEFT($D4185,1)="0",ISNUMBER(--$D4185)),"Có","Không"))</f>
        <v/>
      </c>
      <c r="T4185" s="22">
        <f>IF($D4185="","",IF(AND($C4185&lt;&gt;"",$Q4185="Có",$R4185="",$S4185="Có",AND($L4185&lt;&gt;"",OR($L4185&lt;&gt;"Chưa xác định",DANH_MUC!$L$9="Có"))),"Có","Không"))</f>
        <v/>
      </c>
      <c r="U4185" s="22">
        <f>IF(OR($D4185="",$T4185="Có"),"",IF($C4185="","Thiếu họ tên; ","")&amp;IF($S4185&lt;&gt;"Có","SĐT sai định dạng; ","")&amp;IF($R4185="Trùng","Trùng SĐT; ","")&amp;IF($Q4185&lt;&gt;"Có","Thiếu đồng ý bắt buộc; ","")&amp;IF($L4185="","Thiếu/sai Mã REF; ",IF(AND($L4185="Chưa xác định",DANH_MUC!$L$9&lt;&gt;"Có"),"Nguồn chưa xác định; ","")))</f>
        <v/>
      </c>
      <c r="V4185" s="22">
        <f>IF(OR($D4185="",$R4185="Trùng"),"",IF(COUNTIF(ORDERS!$C$2:$C$4995,$D4185)&gt;0,"Có","Không"))</f>
        <v/>
      </c>
      <c r="W4185" s="22">
        <f>IF(OR($D4185="",$R4185="Trùng"),"",COUNTIFS(ORDERS!$C$2:$C$4995,$D4185,ORDERS!$L$2:$L$4995,"Đã chuyển khoản"))</f>
        <v/>
      </c>
      <c r="X4185" s="23">
        <f>IF(OR($D4185="",$R4185="Trùng"),"",SUMIFS(ORDERS!$J$2:$J$4995,ORDERS!$C$2:$C$4995,$D4185,ORDERS!$L$2:$L$4995,"Đã chuyển khoản"))</f>
        <v/>
      </c>
      <c r="Y4185" s="24" t="n"/>
    </row>
    <row r="4186" ht="14.25" customHeight="1" s="40">
      <c r="A4186" s="24" t="n"/>
      <c r="B4186" s="27" t="n"/>
      <c r="C4186" s="24" t="n"/>
      <c r="D4186" s="28" t="n"/>
      <c r="E4186" s="29" t="n"/>
      <c r="F4186" s="24" t="n"/>
      <c r="G4186" s="24" t="n"/>
      <c r="H4186" s="21">
        <f>IF(ISNUMBER($B4186),INT($B4186)-WEEKDAY($B4186,2)+1,"")</f>
        <v/>
      </c>
      <c r="I4186" s="24" t="n"/>
      <c r="J4186" s="22">
        <f t="array" ref="J4186">IF($D4186="","",IF($I4186="","(trống REF)",IFERROR(INDEX(MASTER_SOURCE!$B$2:$B$495,MATCH($I4186,MASTER_SOURCE!$A$2:$A$495,0)),"(REF không có trong MASTER_SOURCE)")))</f>
        <v/>
      </c>
      <c r="K4186" s="22">
        <f t="array" ref="K4186">IF($D4186="","",IFERROR(INDEX(MASTER_SOURCE!$C$2:$C$495,MATCH($I4186,MASTER_SOURCE!$A$2:$A$495,0)),""))</f>
        <v/>
      </c>
      <c r="L4186" s="22">
        <f t="array" ref="L4186">IF($D4186="","",IFERROR(INDEX(MASTER_SOURCE!$D$2:$D$495,MATCH($I4186,MASTER_SOURCE!$A$2:$A$495,0)),""))</f>
        <v/>
      </c>
      <c r="M4186" s="24" t="n"/>
      <c r="N4186" s="24" t="n"/>
      <c r="O4186" s="24" t="n"/>
      <c r="P4186" s="24" t="n"/>
      <c r="Q4186" s="22">
        <f>IF($D4186="","",IF(AND(OR(DANH_MUC!$L$5&lt;&gt;"Có",M4186="Có"),OR(DANH_MUC!$L$6&lt;&gt;"Có",N4186="Có"),OR(DANH_MUC!$L$7&lt;&gt;"Có",O4186="Có"),OR(DANH_MUC!$L$8&lt;&gt;"Có",P4186="Có")),"Có","Không"))</f>
        <v/>
      </c>
      <c r="R4186" s="22">
        <f>IF($D4186="","",IF(COUNTIF($D$2:$D4186,$D4186)&gt;1,"Trùng",""))</f>
        <v/>
      </c>
      <c r="S4186" s="22">
        <f>IF($D4186="","",IF(AND(LEN($D4186)=10,LEFT($D4186,1)="0",ISNUMBER(--$D4186)),"Có","Không"))</f>
        <v/>
      </c>
      <c r="T4186" s="22">
        <f>IF($D4186="","",IF(AND($C4186&lt;&gt;"",$Q4186="Có",$R4186="",$S4186="Có",AND($L4186&lt;&gt;"",OR($L4186&lt;&gt;"Chưa xác định",DANH_MUC!$L$9="Có"))),"Có","Không"))</f>
        <v/>
      </c>
      <c r="U4186" s="22">
        <f>IF(OR($D4186="",$T4186="Có"),"",IF($C4186="","Thiếu họ tên; ","")&amp;IF($S4186&lt;&gt;"Có","SĐT sai định dạng; ","")&amp;IF($R4186="Trùng","Trùng SĐT; ","")&amp;IF($Q4186&lt;&gt;"Có","Thiếu đồng ý bắt buộc; ","")&amp;IF($L4186="","Thiếu/sai Mã REF; ",IF(AND($L4186="Chưa xác định",DANH_MUC!$L$9&lt;&gt;"Có"),"Nguồn chưa xác định; ","")))</f>
        <v/>
      </c>
      <c r="V4186" s="22">
        <f>IF(OR($D4186="",$R4186="Trùng"),"",IF(COUNTIF(ORDERS!$C$2:$C$4995,$D4186)&gt;0,"Có","Không"))</f>
        <v/>
      </c>
      <c r="W4186" s="22">
        <f>IF(OR($D4186="",$R4186="Trùng"),"",COUNTIFS(ORDERS!$C$2:$C$4995,$D4186,ORDERS!$L$2:$L$4995,"Đã chuyển khoản"))</f>
        <v/>
      </c>
      <c r="X4186" s="23">
        <f>IF(OR($D4186="",$R4186="Trùng"),"",SUMIFS(ORDERS!$J$2:$J$4995,ORDERS!$C$2:$C$4995,$D4186,ORDERS!$L$2:$L$4995,"Đã chuyển khoản"))</f>
        <v/>
      </c>
      <c r="Y4186" s="24" t="n"/>
    </row>
    <row r="4187" ht="14.25" customHeight="1" s="40">
      <c r="A4187" s="24" t="n"/>
      <c r="B4187" s="27" t="n"/>
      <c r="C4187" s="24" t="n"/>
      <c r="D4187" s="28" t="n"/>
      <c r="E4187" s="29" t="n"/>
      <c r="F4187" s="24" t="n"/>
      <c r="G4187" s="24" t="n"/>
      <c r="H4187" s="21">
        <f>IF(ISNUMBER($B4187),INT($B4187)-WEEKDAY($B4187,2)+1,"")</f>
        <v/>
      </c>
      <c r="I4187" s="24" t="n"/>
      <c r="J4187" s="22">
        <f t="array" ref="J4187">IF($D4187="","",IF($I4187="","(trống REF)",IFERROR(INDEX(MASTER_SOURCE!$B$2:$B$495,MATCH($I4187,MASTER_SOURCE!$A$2:$A$495,0)),"(REF không có trong MASTER_SOURCE)")))</f>
        <v/>
      </c>
      <c r="K4187" s="22">
        <f t="array" ref="K4187">IF($D4187="","",IFERROR(INDEX(MASTER_SOURCE!$C$2:$C$495,MATCH($I4187,MASTER_SOURCE!$A$2:$A$495,0)),""))</f>
        <v/>
      </c>
      <c r="L4187" s="22">
        <f t="array" ref="L4187">IF($D4187="","",IFERROR(INDEX(MASTER_SOURCE!$D$2:$D$495,MATCH($I4187,MASTER_SOURCE!$A$2:$A$495,0)),""))</f>
        <v/>
      </c>
      <c r="M4187" s="24" t="n"/>
      <c r="N4187" s="24" t="n"/>
      <c r="O4187" s="24" t="n"/>
      <c r="P4187" s="24" t="n"/>
      <c r="Q4187" s="22">
        <f>IF($D4187="","",IF(AND(OR(DANH_MUC!$L$5&lt;&gt;"Có",M4187="Có"),OR(DANH_MUC!$L$6&lt;&gt;"Có",N4187="Có"),OR(DANH_MUC!$L$7&lt;&gt;"Có",O4187="Có"),OR(DANH_MUC!$L$8&lt;&gt;"Có",P4187="Có")),"Có","Không"))</f>
        <v/>
      </c>
      <c r="R4187" s="22">
        <f>IF($D4187="","",IF(COUNTIF($D$2:$D4187,$D4187)&gt;1,"Trùng",""))</f>
        <v/>
      </c>
      <c r="S4187" s="22">
        <f>IF($D4187="","",IF(AND(LEN($D4187)=10,LEFT($D4187,1)="0",ISNUMBER(--$D4187)),"Có","Không"))</f>
        <v/>
      </c>
      <c r="T4187" s="22">
        <f>IF($D4187="","",IF(AND($C4187&lt;&gt;"",$Q4187="Có",$R4187="",$S4187="Có",AND($L4187&lt;&gt;"",OR($L4187&lt;&gt;"Chưa xác định",DANH_MUC!$L$9="Có"))),"Có","Không"))</f>
        <v/>
      </c>
      <c r="U4187" s="22">
        <f>IF(OR($D4187="",$T4187="Có"),"",IF($C4187="","Thiếu họ tên; ","")&amp;IF($S4187&lt;&gt;"Có","SĐT sai định dạng; ","")&amp;IF($R4187="Trùng","Trùng SĐT; ","")&amp;IF($Q4187&lt;&gt;"Có","Thiếu đồng ý bắt buộc; ","")&amp;IF($L4187="","Thiếu/sai Mã REF; ",IF(AND($L4187="Chưa xác định",DANH_MUC!$L$9&lt;&gt;"Có"),"Nguồn chưa xác định; ","")))</f>
        <v/>
      </c>
      <c r="V4187" s="22">
        <f>IF(OR($D4187="",$R4187="Trùng"),"",IF(COUNTIF(ORDERS!$C$2:$C$4995,$D4187)&gt;0,"Có","Không"))</f>
        <v/>
      </c>
      <c r="W4187" s="22">
        <f>IF(OR($D4187="",$R4187="Trùng"),"",COUNTIFS(ORDERS!$C$2:$C$4995,$D4187,ORDERS!$L$2:$L$4995,"Đã chuyển khoản"))</f>
        <v/>
      </c>
      <c r="X4187" s="23">
        <f>IF(OR($D4187="",$R4187="Trùng"),"",SUMIFS(ORDERS!$J$2:$J$4995,ORDERS!$C$2:$C$4995,$D4187,ORDERS!$L$2:$L$4995,"Đã chuyển khoản"))</f>
        <v/>
      </c>
      <c r="Y4187" s="24" t="n"/>
    </row>
    <row r="4188" ht="14.25" customHeight="1" s="40">
      <c r="A4188" s="24" t="n"/>
      <c r="B4188" s="27" t="n"/>
      <c r="C4188" s="24" t="n"/>
      <c r="D4188" s="28" t="n"/>
      <c r="E4188" s="29" t="n"/>
      <c r="F4188" s="24" t="n"/>
      <c r="G4188" s="24" t="n"/>
      <c r="H4188" s="21">
        <f>IF(ISNUMBER($B4188),INT($B4188)-WEEKDAY($B4188,2)+1,"")</f>
        <v/>
      </c>
      <c r="I4188" s="24" t="n"/>
      <c r="J4188" s="22">
        <f t="array" ref="J4188">IF($D4188="","",IF($I4188="","(trống REF)",IFERROR(INDEX(MASTER_SOURCE!$B$2:$B$495,MATCH($I4188,MASTER_SOURCE!$A$2:$A$495,0)),"(REF không có trong MASTER_SOURCE)")))</f>
        <v/>
      </c>
      <c r="K4188" s="22">
        <f t="array" ref="K4188">IF($D4188="","",IFERROR(INDEX(MASTER_SOURCE!$C$2:$C$495,MATCH($I4188,MASTER_SOURCE!$A$2:$A$495,0)),""))</f>
        <v/>
      </c>
      <c r="L4188" s="22">
        <f t="array" ref="L4188">IF($D4188="","",IFERROR(INDEX(MASTER_SOURCE!$D$2:$D$495,MATCH($I4188,MASTER_SOURCE!$A$2:$A$495,0)),""))</f>
        <v/>
      </c>
      <c r="M4188" s="24" t="n"/>
      <c r="N4188" s="24" t="n"/>
      <c r="O4188" s="24" t="n"/>
      <c r="P4188" s="24" t="n"/>
      <c r="Q4188" s="22">
        <f>IF($D4188="","",IF(AND(OR(DANH_MUC!$L$5&lt;&gt;"Có",M4188="Có"),OR(DANH_MUC!$L$6&lt;&gt;"Có",N4188="Có"),OR(DANH_MUC!$L$7&lt;&gt;"Có",O4188="Có"),OR(DANH_MUC!$L$8&lt;&gt;"Có",P4188="Có")),"Có","Không"))</f>
        <v/>
      </c>
      <c r="R4188" s="22">
        <f>IF($D4188="","",IF(COUNTIF($D$2:$D4188,$D4188)&gt;1,"Trùng",""))</f>
        <v/>
      </c>
      <c r="S4188" s="22">
        <f>IF($D4188="","",IF(AND(LEN($D4188)=10,LEFT($D4188,1)="0",ISNUMBER(--$D4188)),"Có","Không"))</f>
        <v/>
      </c>
      <c r="T4188" s="22">
        <f>IF($D4188="","",IF(AND($C4188&lt;&gt;"",$Q4188="Có",$R4188="",$S4188="Có",AND($L4188&lt;&gt;"",OR($L4188&lt;&gt;"Chưa xác định",DANH_MUC!$L$9="Có"))),"Có","Không"))</f>
        <v/>
      </c>
      <c r="U4188" s="22">
        <f>IF(OR($D4188="",$T4188="Có"),"",IF($C4188="","Thiếu họ tên; ","")&amp;IF($S4188&lt;&gt;"Có","SĐT sai định dạng; ","")&amp;IF($R4188="Trùng","Trùng SĐT; ","")&amp;IF($Q4188&lt;&gt;"Có","Thiếu đồng ý bắt buộc; ","")&amp;IF($L4188="","Thiếu/sai Mã REF; ",IF(AND($L4188="Chưa xác định",DANH_MUC!$L$9&lt;&gt;"Có"),"Nguồn chưa xác định; ","")))</f>
        <v/>
      </c>
      <c r="V4188" s="22">
        <f>IF(OR($D4188="",$R4188="Trùng"),"",IF(COUNTIF(ORDERS!$C$2:$C$4995,$D4188)&gt;0,"Có","Không"))</f>
        <v/>
      </c>
      <c r="W4188" s="22">
        <f>IF(OR($D4188="",$R4188="Trùng"),"",COUNTIFS(ORDERS!$C$2:$C$4995,$D4188,ORDERS!$L$2:$L$4995,"Đã chuyển khoản"))</f>
        <v/>
      </c>
      <c r="X4188" s="23">
        <f>IF(OR($D4188="",$R4188="Trùng"),"",SUMIFS(ORDERS!$J$2:$J$4995,ORDERS!$C$2:$C$4995,$D4188,ORDERS!$L$2:$L$4995,"Đã chuyển khoản"))</f>
        <v/>
      </c>
      <c r="Y4188" s="24" t="n"/>
    </row>
    <row r="4189" ht="14.25" customHeight="1" s="40">
      <c r="A4189" s="24" t="n"/>
      <c r="B4189" s="27" t="n"/>
      <c r="C4189" s="24" t="n"/>
      <c r="D4189" s="28" t="n"/>
      <c r="E4189" s="29" t="n"/>
      <c r="F4189" s="24" t="n"/>
      <c r="G4189" s="24" t="n"/>
      <c r="H4189" s="21">
        <f>IF(ISNUMBER($B4189),INT($B4189)-WEEKDAY($B4189,2)+1,"")</f>
        <v/>
      </c>
      <c r="I4189" s="24" t="n"/>
      <c r="J4189" s="22">
        <f t="array" ref="J4189">IF($D4189="","",IF($I4189="","(trống REF)",IFERROR(INDEX(MASTER_SOURCE!$B$2:$B$495,MATCH($I4189,MASTER_SOURCE!$A$2:$A$495,0)),"(REF không có trong MASTER_SOURCE)")))</f>
        <v/>
      </c>
      <c r="K4189" s="22">
        <f t="array" ref="K4189">IF($D4189="","",IFERROR(INDEX(MASTER_SOURCE!$C$2:$C$495,MATCH($I4189,MASTER_SOURCE!$A$2:$A$495,0)),""))</f>
        <v/>
      </c>
      <c r="L4189" s="22">
        <f t="array" ref="L4189">IF($D4189="","",IFERROR(INDEX(MASTER_SOURCE!$D$2:$D$495,MATCH($I4189,MASTER_SOURCE!$A$2:$A$495,0)),""))</f>
        <v/>
      </c>
      <c r="M4189" s="24" t="n"/>
      <c r="N4189" s="24" t="n"/>
      <c r="O4189" s="24" t="n"/>
      <c r="P4189" s="24" t="n"/>
      <c r="Q4189" s="22">
        <f>IF($D4189="","",IF(AND(OR(DANH_MUC!$L$5&lt;&gt;"Có",M4189="Có"),OR(DANH_MUC!$L$6&lt;&gt;"Có",N4189="Có"),OR(DANH_MUC!$L$7&lt;&gt;"Có",O4189="Có"),OR(DANH_MUC!$L$8&lt;&gt;"Có",P4189="Có")),"Có","Không"))</f>
        <v/>
      </c>
      <c r="R4189" s="22">
        <f>IF($D4189="","",IF(COUNTIF($D$2:$D4189,$D4189)&gt;1,"Trùng",""))</f>
        <v/>
      </c>
      <c r="S4189" s="22">
        <f>IF($D4189="","",IF(AND(LEN($D4189)=10,LEFT($D4189,1)="0",ISNUMBER(--$D4189)),"Có","Không"))</f>
        <v/>
      </c>
      <c r="T4189" s="22">
        <f>IF($D4189="","",IF(AND($C4189&lt;&gt;"",$Q4189="Có",$R4189="",$S4189="Có",AND($L4189&lt;&gt;"",OR($L4189&lt;&gt;"Chưa xác định",DANH_MUC!$L$9="Có"))),"Có","Không"))</f>
        <v/>
      </c>
      <c r="U4189" s="22">
        <f>IF(OR($D4189="",$T4189="Có"),"",IF($C4189="","Thiếu họ tên; ","")&amp;IF($S4189&lt;&gt;"Có","SĐT sai định dạng; ","")&amp;IF($R4189="Trùng","Trùng SĐT; ","")&amp;IF($Q4189&lt;&gt;"Có","Thiếu đồng ý bắt buộc; ","")&amp;IF($L4189="","Thiếu/sai Mã REF; ",IF(AND($L4189="Chưa xác định",DANH_MUC!$L$9&lt;&gt;"Có"),"Nguồn chưa xác định; ","")))</f>
        <v/>
      </c>
      <c r="V4189" s="22">
        <f>IF(OR($D4189="",$R4189="Trùng"),"",IF(COUNTIF(ORDERS!$C$2:$C$4995,$D4189)&gt;0,"Có","Không"))</f>
        <v/>
      </c>
      <c r="W4189" s="22">
        <f>IF(OR($D4189="",$R4189="Trùng"),"",COUNTIFS(ORDERS!$C$2:$C$4995,$D4189,ORDERS!$L$2:$L$4995,"Đã chuyển khoản"))</f>
        <v/>
      </c>
      <c r="X4189" s="23">
        <f>IF(OR($D4189="",$R4189="Trùng"),"",SUMIFS(ORDERS!$J$2:$J$4995,ORDERS!$C$2:$C$4995,$D4189,ORDERS!$L$2:$L$4995,"Đã chuyển khoản"))</f>
        <v/>
      </c>
      <c r="Y4189" s="24" t="n"/>
    </row>
    <row r="4190" ht="14.25" customHeight="1" s="40">
      <c r="A4190" s="24" t="n"/>
      <c r="B4190" s="27" t="n"/>
      <c r="C4190" s="24" t="n"/>
      <c r="D4190" s="28" t="n"/>
      <c r="E4190" s="29" t="n"/>
      <c r="F4190" s="24" t="n"/>
      <c r="G4190" s="24" t="n"/>
      <c r="H4190" s="21">
        <f>IF(ISNUMBER($B4190),INT($B4190)-WEEKDAY($B4190,2)+1,"")</f>
        <v/>
      </c>
      <c r="I4190" s="24" t="n"/>
      <c r="J4190" s="22">
        <f t="array" ref="J4190">IF($D4190="","",IF($I4190="","(trống REF)",IFERROR(INDEX(MASTER_SOURCE!$B$2:$B$495,MATCH($I4190,MASTER_SOURCE!$A$2:$A$495,0)),"(REF không có trong MASTER_SOURCE)")))</f>
        <v/>
      </c>
      <c r="K4190" s="22">
        <f t="array" ref="K4190">IF($D4190="","",IFERROR(INDEX(MASTER_SOURCE!$C$2:$C$495,MATCH($I4190,MASTER_SOURCE!$A$2:$A$495,0)),""))</f>
        <v/>
      </c>
      <c r="L4190" s="22">
        <f t="array" ref="L4190">IF($D4190="","",IFERROR(INDEX(MASTER_SOURCE!$D$2:$D$495,MATCH($I4190,MASTER_SOURCE!$A$2:$A$495,0)),""))</f>
        <v/>
      </c>
      <c r="M4190" s="24" t="n"/>
      <c r="N4190" s="24" t="n"/>
      <c r="O4190" s="24" t="n"/>
      <c r="P4190" s="24" t="n"/>
      <c r="Q4190" s="22">
        <f>IF($D4190="","",IF(AND(OR(DANH_MUC!$L$5&lt;&gt;"Có",M4190="Có"),OR(DANH_MUC!$L$6&lt;&gt;"Có",N4190="Có"),OR(DANH_MUC!$L$7&lt;&gt;"Có",O4190="Có"),OR(DANH_MUC!$L$8&lt;&gt;"Có",P4190="Có")),"Có","Không"))</f>
        <v/>
      </c>
      <c r="R4190" s="22">
        <f>IF($D4190="","",IF(COUNTIF($D$2:$D4190,$D4190)&gt;1,"Trùng",""))</f>
        <v/>
      </c>
      <c r="S4190" s="22">
        <f>IF($D4190="","",IF(AND(LEN($D4190)=10,LEFT($D4190,1)="0",ISNUMBER(--$D4190)),"Có","Không"))</f>
        <v/>
      </c>
      <c r="T4190" s="22">
        <f>IF($D4190="","",IF(AND($C4190&lt;&gt;"",$Q4190="Có",$R4190="",$S4190="Có",AND($L4190&lt;&gt;"",OR($L4190&lt;&gt;"Chưa xác định",DANH_MUC!$L$9="Có"))),"Có","Không"))</f>
        <v/>
      </c>
      <c r="U4190" s="22">
        <f>IF(OR($D4190="",$T4190="Có"),"",IF($C4190="","Thiếu họ tên; ","")&amp;IF($S4190&lt;&gt;"Có","SĐT sai định dạng; ","")&amp;IF($R4190="Trùng","Trùng SĐT; ","")&amp;IF($Q4190&lt;&gt;"Có","Thiếu đồng ý bắt buộc; ","")&amp;IF($L4190="","Thiếu/sai Mã REF; ",IF(AND($L4190="Chưa xác định",DANH_MUC!$L$9&lt;&gt;"Có"),"Nguồn chưa xác định; ","")))</f>
        <v/>
      </c>
      <c r="V4190" s="22">
        <f>IF(OR($D4190="",$R4190="Trùng"),"",IF(COUNTIF(ORDERS!$C$2:$C$4995,$D4190)&gt;0,"Có","Không"))</f>
        <v/>
      </c>
      <c r="W4190" s="22">
        <f>IF(OR($D4190="",$R4190="Trùng"),"",COUNTIFS(ORDERS!$C$2:$C$4995,$D4190,ORDERS!$L$2:$L$4995,"Đã chuyển khoản"))</f>
        <v/>
      </c>
      <c r="X4190" s="23">
        <f>IF(OR($D4190="",$R4190="Trùng"),"",SUMIFS(ORDERS!$J$2:$J$4995,ORDERS!$C$2:$C$4995,$D4190,ORDERS!$L$2:$L$4995,"Đã chuyển khoản"))</f>
        <v/>
      </c>
      <c r="Y4190" s="24" t="n"/>
    </row>
    <row r="4191" ht="14.25" customHeight="1" s="40">
      <c r="A4191" s="24" t="n"/>
      <c r="B4191" s="27" t="n"/>
      <c r="C4191" s="24" t="n"/>
      <c r="D4191" s="28" t="n"/>
      <c r="E4191" s="29" t="n"/>
      <c r="F4191" s="24" t="n"/>
      <c r="G4191" s="24" t="n"/>
      <c r="H4191" s="21">
        <f>IF(ISNUMBER($B4191),INT($B4191)-WEEKDAY($B4191,2)+1,"")</f>
        <v/>
      </c>
      <c r="I4191" s="24" t="n"/>
      <c r="J4191" s="22">
        <f t="array" ref="J4191">IF($D4191="","",IF($I4191="","(trống REF)",IFERROR(INDEX(MASTER_SOURCE!$B$2:$B$495,MATCH($I4191,MASTER_SOURCE!$A$2:$A$495,0)),"(REF không có trong MASTER_SOURCE)")))</f>
        <v/>
      </c>
      <c r="K4191" s="22">
        <f t="array" ref="K4191">IF($D4191="","",IFERROR(INDEX(MASTER_SOURCE!$C$2:$C$495,MATCH($I4191,MASTER_SOURCE!$A$2:$A$495,0)),""))</f>
        <v/>
      </c>
      <c r="L4191" s="22">
        <f t="array" ref="L4191">IF($D4191="","",IFERROR(INDEX(MASTER_SOURCE!$D$2:$D$495,MATCH($I4191,MASTER_SOURCE!$A$2:$A$495,0)),""))</f>
        <v/>
      </c>
      <c r="M4191" s="24" t="n"/>
      <c r="N4191" s="24" t="n"/>
      <c r="O4191" s="24" t="n"/>
      <c r="P4191" s="24" t="n"/>
      <c r="Q4191" s="22">
        <f>IF($D4191="","",IF(AND(OR(DANH_MUC!$L$5&lt;&gt;"Có",M4191="Có"),OR(DANH_MUC!$L$6&lt;&gt;"Có",N4191="Có"),OR(DANH_MUC!$L$7&lt;&gt;"Có",O4191="Có"),OR(DANH_MUC!$L$8&lt;&gt;"Có",P4191="Có")),"Có","Không"))</f>
        <v/>
      </c>
      <c r="R4191" s="22">
        <f>IF($D4191="","",IF(COUNTIF($D$2:$D4191,$D4191)&gt;1,"Trùng",""))</f>
        <v/>
      </c>
      <c r="S4191" s="22">
        <f>IF($D4191="","",IF(AND(LEN($D4191)=10,LEFT($D4191,1)="0",ISNUMBER(--$D4191)),"Có","Không"))</f>
        <v/>
      </c>
      <c r="T4191" s="22">
        <f>IF($D4191="","",IF(AND($C4191&lt;&gt;"",$Q4191="Có",$R4191="",$S4191="Có",AND($L4191&lt;&gt;"",OR($L4191&lt;&gt;"Chưa xác định",DANH_MUC!$L$9="Có"))),"Có","Không"))</f>
        <v/>
      </c>
      <c r="U4191" s="22">
        <f>IF(OR($D4191="",$T4191="Có"),"",IF($C4191="","Thiếu họ tên; ","")&amp;IF($S4191&lt;&gt;"Có","SĐT sai định dạng; ","")&amp;IF($R4191="Trùng","Trùng SĐT; ","")&amp;IF($Q4191&lt;&gt;"Có","Thiếu đồng ý bắt buộc; ","")&amp;IF($L4191="","Thiếu/sai Mã REF; ",IF(AND($L4191="Chưa xác định",DANH_MUC!$L$9&lt;&gt;"Có"),"Nguồn chưa xác định; ","")))</f>
        <v/>
      </c>
      <c r="V4191" s="22">
        <f>IF(OR($D4191="",$R4191="Trùng"),"",IF(COUNTIF(ORDERS!$C$2:$C$4995,$D4191)&gt;0,"Có","Không"))</f>
        <v/>
      </c>
      <c r="W4191" s="22">
        <f>IF(OR($D4191="",$R4191="Trùng"),"",COUNTIFS(ORDERS!$C$2:$C$4995,$D4191,ORDERS!$L$2:$L$4995,"Đã chuyển khoản"))</f>
        <v/>
      </c>
      <c r="X4191" s="23">
        <f>IF(OR($D4191="",$R4191="Trùng"),"",SUMIFS(ORDERS!$J$2:$J$4995,ORDERS!$C$2:$C$4995,$D4191,ORDERS!$L$2:$L$4995,"Đã chuyển khoản"))</f>
        <v/>
      </c>
      <c r="Y4191" s="24" t="n"/>
    </row>
    <row r="4192" ht="14.25" customHeight="1" s="40">
      <c r="A4192" s="24" t="n"/>
      <c r="B4192" s="27" t="n"/>
      <c r="C4192" s="24" t="n"/>
      <c r="D4192" s="28" t="n"/>
      <c r="E4192" s="29" t="n"/>
      <c r="F4192" s="24" t="n"/>
      <c r="G4192" s="24" t="n"/>
      <c r="H4192" s="21">
        <f>IF(ISNUMBER($B4192),INT($B4192)-WEEKDAY($B4192,2)+1,"")</f>
        <v/>
      </c>
      <c r="I4192" s="24" t="n"/>
      <c r="J4192" s="22">
        <f t="array" ref="J4192">IF($D4192="","",IF($I4192="","(trống REF)",IFERROR(INDEX(MASTER_SOURCE!$B$2:$B$495,MATCH($I4192,MASTER_SOURCE!$A$2:$A$495,0)),"(REF không có trong MASTER_SOURCE)")))</f>
        <v/>
      </c>
      <c r="K4192" s="22">
        <f t="array" ref="K4192">IF($D4192="","",IFERROR(INDEX(MASTER_SOURCE!$C$2:$C$495,MATCH($I4192,MASTER_SOURCE!$A$2:$A$495,0)),""))</f>
        <v/>
      </c>
      <c r="L4192" s="22">
        <f t="array" ref="L4192">IF($D4192="","",IFERROR(INDEX(MASTER_SOURCE!$D$2:$D$495,MATCH($I4192,MASTER_SOURCE!$A$2:$A$495,0)),""))</f>
        <v/>
      </c>
      <c r="M4192" s="24" t="n"/>
      <c r="N4192" s="24" t="n"/>
      <c r="O4192" s="24" t="n"/>
      <c r="P4192" s="24" t="n"/>
      <c r="Q4192" s="22">
        <f>IF($D4192="","",IF(AND(OR(DANH_MUC!$L$5&lt;&gt;"Có",M4192="Có"),OR(DANH_MUC!$L$6&lt;&gt;"Có",N4192="Có"),OR(DANH_MUC!$L$7&lt;&gt;"Có",O4192="Có"),OR(DANH_MUC!$L$8&lt;&gt;"Có",P4192="Có")),"Có","Không"))</f>
        <v/>
      </c>
      <c r="R4192" s="22">
        <f>IF($D4192="","",IF(COUNTIF($D$2:$D4192,$D4192)&gt;1,"Trùng",""))</f>
        <v/>
      </c>
      <c r="S4192" s="22">
        <f>IF($D4192="","",IF(AND(LEN($D4192)=10,LEFT($D4192,1)="0",ISNUMBER(--$D4192)),"Có","Không"))</f>
        <v/>
      </c>
      <c r="T4192" s="22">
        <f>IF($D4192="","",IF(AND($C4192&lt;&gt;"",$Q4192="Có",$R4192="",$S4192="Có",AND($L4192&lt;&gt;"",OR($L4192&lt;&gt;"Chưa xác định",DANH_MUC!$L$9="Có"))),"Có","Không"))</f>
        <v/>
      </c>
      <c r="U4192" s="22">
        <f>IF(OR($D4192="",$T4192="Có"),"",IF($C4192="","Thiếu họ tên; ","")&amp;IF($S4192&lt;&gt;"Có","SĐT sai định dạng; ","")&amp;IF($R4192="Trùng","Trùng SĐT; ","")&amp;IF($Q4192&lt;&gt;"Có","Thiếu đồng ý bắt buộc; ","")&amp;IF($L4192="","Thiếu/sai Mã REF; ",IF(AND($L4192="Chưa xác định",DANH_MUC!$L$9&lt;&gt;"Có"),"Nguồn chưa xác định; ","")))</f>
        <v/>
      </c>
      <c r="V4192" s="22">
        <f>IF(OR($D4192="",$R4192="Trùng"),"",IF(COUNTIF(ORDERS!$C$2:$C$4995,$D4192)&gt;0,"Có","Không"))</f>
        <v/>
      </c>
      <c r="W4192" s="22">
        <f>IF(OR($D4192="",$R4192="Trùng"),"",COUNTIFS(ORDERS!$C$2:$C$4995,$D4192,ORDERS!$L$2:$L$4995,"Đã chuyển khoản"))</f>
        <v/>
      </c>
      <c r="X4192" s="23">
        <f>IF(OR($D4192="",$R4192="Trùng"),"",SUMIFS(ORDERS!$J$2:$J$4995,ORDERS!$C$2:$C$4995,$D4192,ORDERS!$L$2:$L$4995,"Đã chuyển khoản"))</f>
        <v/>
      </c>
      <c r="Y4192" s="24" t="n"/>
    </row>
    <row r="4193" ht="14.25" customHeight="1" s="40">
      <c r="A4193" s="24" t="n"/>
      <c r="B4193" s="27" t="n"/>
      <c r="C4193" s="24" t="n"/>
      <c r="D4193" s="28" t="n"/>
      <c r="E4193" s="29" t="n"/>
      <c r="F4193" s="24" t="n"/>
      <c r="G4193" s="24" t="n"/>
      <c r="H4193" s="21">
        <f>IF(ISNUMBER($B4193),INT($B4193)-WEEKDAY($B4193,2)+1,"")</f>
        <v/>
      </c>
      <c r="I4193" s="24" t="n"/>
      <c r="J4193" s="22">
        <f t="array" ref="J4193">IF($D4193="","",IF($I4193="","(trống REF)",IFERROR(INDEX(MASTER_SOURCE!$B$2:$B$495,MATCH($I4193,MASTER_SOURCE!$A$2:$A$495,0)),"(REF không có trong MASTER_SOURCE)")))</f>
        <v/>
      </c>
      <c r="K4193" s="22">
        <f t="array" ref="K4193">IF($D4193="","",IFERROR(INDEX(MASTER_SOURCE!$C$2:$C$495,MATCH($I4193,MASTER_SOURCE!$A$2:$A$495,0)),""))</f>
        <v/>
      </c>
      <c r="L4193" s="22">
        <f t="array" ref="L4193">IF($D4193="","",IFERROR(INDEX(MASTER_SOURCE!$D$2:$D$495,MATCH($I4193,MASTER_SOURCE!$A$2:$A$495,0)),""))</f>
        <v/>
      </c>
      <c r="M4193" s="24" t="n"/>
      <c r="N4193" s="24" t="n"/>
      <c r="O4193" s="24" t="n"/>
      <c r="P4193" s="24" t="n"/>
      <c r="Q4193" s="22">
        <f>IF($D4193="","",IF(AND(OR(DANH_MUC!$L$5&lt;&gt;"Có",M4193="Có"),OR(DANH_MUC!$L$6&lt;&gt;"Có",N4193="Có"),OR(DANH_MUC!$L$7&lt;&gt;"Có",O4193="Có"),OR(DANH_MUC!$L$8&lt;&gt;"Có",P4193="Có")),"Có","Không"))</f>
        <v/>
      </c>
      <c r="R4193" s="22">
        <f>IF($D4193="","",IF(COUNTIF($D$2:$D4193,$D4193)&gt;1,"Trùng",""))</f>
        <v/>
      </c>
      <c r="S4193" s="22">
        <f>IF($D4193="","",IF(AND(LEN($D4193)=10,LEFT($D4193,1)="0",ISNUMBER(--$D4193)),"Có","Không"))</f>
        <v/>
      </c>
      <c r="T4193" s="22">
        <f>IF($D4193="","",IF(AND($C4193&lt;&gt;"",$Q4193="Có",$R4193="",$S4193="Có",AND($L4193&lt;&gt;"",OR($L4193&lt;&gt;"Chưa xác định",DANH_MUC!$L$9="Có"))),"Có","Không"))</f>
        <v/>
      </c>
      <c r="U4193" s="22">
        <f>IF(OR($D4193="",$T4193="Có"),"",IF($C4193="","Thiếu họ tên; ","")&amp;IF($S4193&lt;&gt;"Có","SĐT sai định dạng; ","")&amp;IF($R4193="Trùng","Trùng SĐT; ","")&amp;IF($Q4193&lt;&gt;"Có","Thiếu đồng ý bắt buộc; ","")&amp;IF($L4193="","Thiếu/sai Mã REF; ",IF(AND($L4193="Chưa xác định",DANH_MUC!$L$9&lt;&gt;"Có"),"Nguồn chưa xác định; ","")))</f>
        <v/>
      </c>
      <c r="V4193" s="22">
        <f>IF(OR($D4193="",$R4193="Trùng"),"",IF(COUNTIF(ORDERS!$C$2:$C$4995,$D4193)&gt;0,"Có","Không"))</f>
        <v/>
      </c>
      <c r="W4193" s="22">
        <f>IF(OR($D4193="",$R4193="Trùng"),"",COUNTIFS(ORDERS!$C$2:$C$4995,$D4193,ORDERS!$L$2:$L$4995,"Đã chuyển khoản"))</f>
        <v/>
      </c>
      <c r="X4193" s="23">
        <f>IF(OR($D4193="",$R4193="Trùng"),"",SUMIFS(ORDERS!$J$2:$J$4995,ORDERS!$C$2:$C$4995,$D4193,ORDERS!$L$2:$L$4995,"Đã chuyển khoản"))</f>
        <v/>
      </c>
      <c r="Y4193" s="24" t="n"/>
    </row>
    <row r="4194" ht="14.25" customHeight="1" s="40">
      <c r="A4194" s="24" t="n"/>
      <c r="B4194" s="27" t="n"/>
      <c r="C4194" s="24" t="n"/>
      <c r="D4194" s="28" t="n"/>
      <c r="E4194" s="29" t="n"/>
      <c r="F4194" s="24" t="n"/>
      <c r="G4194" s="24" t="n"/>
      <c r="H4194" s="21">
        <f>IF(ISNUMBER($B4194),INT($B4194)-WEEKDAY($B4194,2)+1,"")</f>
        <v/>
      </c>
      <c r="I4194" s="24" t="n"/>
      <c r="J4194" s="22">
        <f t="array" ref="J4194">IF($D4194="","",IF($I4194="","(trống REF)",IFERROR(INDEX(MASTER_SOURCE!$B$2:$B$495,MATCH($I4194,MASTER_SOURCE!$A$2:$A$495,0)),"(REF không có trong MASTER_SOURCE)")))</f>
        <v/>
      </c>
      <c r="K4194" s="22">
        <f t="array" ref="K4194">IF($D4194="","",IFERROR(INDEX(MASTER_SOURCE!$C$2:$C$495,MATCH($I4194,MASTER_SOURCE!$A$2:$A$495,0)),""))</f>
        <v/>
      </c>
      <c r="L4194" s="22">
        <f t="array" ref="L4194">IF($D4194="","",IFERROR(INDEX(MASTER_SOURCE!$D$2:$D$495,MATCH($I4194,MASTER_SOURCE!$A$2:$A$495,0)),""))</f>
        <v/>
      </c>
      <c r="M4194" s="24" t="n"/>
      <c r="N4194" s="24" t="n"/>
      <c r="O4194" s="24" t="n"/>
      <c r="P4194" s="24" t="n"/>
      <c r="Q4194" s="22">
        <f>IF($D4194="","",IF(AND(OR(DANH_MUC!$L$5&lt;&gt;"Có",M4194="Có"),OR(DANH_MUC!$L$6&lt;&gt;"Có",N4194="Có"),OR(DANH_MUC!$L$7&lt;&gt;"Có",O4194="Có"),OR(DANH_MUC!$L$8&lt;&gt;"Có",P4194="Có")),"Có","Không"))</f>
        <v/>
      </c>
      <c r="R4194" s="22">
        <f>IF($D4194="","",IF(COUNTIF($D$2:$D4194,$D4194)&gt;1,"Trùng",""))</f>
        <v/>
      </c>
      <c r="S4194" s="22">
        <f>IF($D4194="","",IF(AND(LEN($D4194)=10,LEFT($D4194,1)="0",ISNUMBER(--$D4194)),"Có","Không"))</f>
        <v/>
      </c>
      <c r="T4194" s="22">
        <f>IF($D4194="","",IF(AND($C4194&lt;&gt;"",$Q4194="Có",$R4194="",$S4194="Có",AND($L4194&lt;&gt;"",OR($L4194&lt;&gt;"Chưa xác định",DANH_MUC!$L$9="Có"))),"Có","Không"))</f>
        <v/>
      </c>
      <c r="U4194" s="22">
        <f>IF(OR($D4194="",$T4194="Có"),"",IF($C4194="","Thiếu họ tên; ","")&amp;IF($S4194&lt;&gt;"Có","SĐT sai định dạng; ","")&amp;IF($R4194="Trùng","Trùng SĐT; ","")&amp;IF($Q4194&lt;&gt;"Có","Thiếu đồng ý bắt buộc; ","")&amp;IF($L4194="","Thiếu/sai Mã REF; ",IF(AND($L4194="Chưa xác định",DANH_MUC!$L$9&lt;&gt;"Có"),"Nguồn chưa xác định; ","")))</f>
        <v/>
      </c>
      <c r="V4194" s="22">
        <f>IF(OR($D4194="",$R4194="Trùng"),"",IF(COUNTIF(ORDERS!$C$2:$C$4995,$D4194)&gt;0,"Có","Không"))</f>
        <v/>
      </c>
      <c r="W4194" s="22">
        <f>IF(OR($D4194="",$R4194="Trùng"),"",COUNTIFS(ORDERS!$C$2:$C$4995,$D4194,ORDERS!$L$2:$L$4995,"Đã chuyển khoản"))</f>
        <v/>
      </c>
      <c r="X4194" s="23">
        <f>IF(OR($D4194="",$R4194="Trùng"),"",SUMIFS(ORDERS!$J$2:$J$4995,ORDERS!$C$2:$C$4995,$D4194,ORDERS!$L$2:$L$4995,"Đã chuyển khoản"))</f>
        <v/>
      </c>
      <c r="Y4194" s="24" t="n"/>
    </row>
    <row r="4195" ht="14.25" customHeight="1" s="40">
      <c r="A4195" s="24" t="n"/>
      <c r="B4195" s="27" t="n"/>
      <c r="C4195" s="24" t="n"/>
      <c r="D4195" s="28" t="n"/>
      <c r="E4195" s="29" t="n"/>
      <c r="F4195" s="24" t="n"/>
      <c r="G4195" s="24" t="n"/>
      <c r="H4195" s="21">
        <f>IF(ISNUMBER($B4195),INT($B4195)-WEEKDAY($B4195,2)+1,"")</f>
        <v/>
      </c>
      <c r="I4195" s="24" t="n"/>
      <c r="J4195" s="22">
        <f t="array" ref="J4195">IF($D4195="","",IF($I4195="","(trống REF)",IFERROR(INDEX(MASTER_SOURCE!$B$2:$B$495,MATCH($I4195,MASTER_SOURCE!$A$2:$A$495,0)),"(REF không có trong MASTER_SOURCE)")))</f>
        <v/>
      </c>
      <c r="K4195" s="22">
        <f t="array" ref="K4195">IF($D4195="","",IFERROR(INDEX(MASTER_SOURCE!$C$2:$C$495,MATCH($I4195,MASTER_SOURCE!$A$2:$A$495,0)),""))</f>
        <v/>
      </c>
      <c r="L4195" s="22">
        <f t="array" ref="L4195">IF($D4195="","",IFERROR(INDEX(MASTER_SOURCE!$D$2:$D$495,MATCH($I4195,MASTER_SOURCE!$A$2:$A$495,0)),""))</f>
        <v/>
      </c>
      <c r="M4195" s="24" t="n"/>
      <c r="N4195" s="24" t="n"/>
      <c r="O4195" s="24" t="n"/>
      <c r="P4195" s="24" t="n"/>
      <c r="Q4195" s="22">
        <f>IF($D4195="","",IF(AND(OR(DANH_MUC!$L$5&lt;&gt;"Có",M4195="Có"),OR(DANH_MUC!$L$6&lt;&gt;"Có",N4195="Có"),OR(DANH_MUC!$L$7&lt;&gt;"Có",O4195="Có"),OR(DANH_MUC!$L$8&lt;&gt;"Có",P4195="Có")),"Có","Không"))</f>
        <v/>
      </c>
      <c r="R4195" s="22">
        <f>IF($D4195="","",IF(COUNTIF($D$2:$D4195,$D4195)&gt;1,"Trùng",""))</f>
        <v/>
      </c>
      <c r="S4195" s="22">
        <f>IF($D4195="","",IF(AND(LEN($D4195)=10,LEFT($D4195,1)="0",ISNUMBER(--$D4195)),"Có","Không"))</f>
        <v/>
      </c>
      <c r="T4195" s="22">
        <f>IF($D4195="","",IF(AND($C4195&lt;&gt;"",$Q4195="Có",$R4195="",$S4195="Có",AND($L4195&lt;&gt;"",OR($L4195&lt;&gt;"Chưa xác định",DANH_MUC!$L$9="Có"))),"Có","Không"))</f>
        <v/>
      </c>
      <c r="U4195" s="22">
        <f>IF(OR($D4195="",$T4195="Có"),"",IF($C4195="","Thiếu họ tên; ","")&amp;IF($S4195&lt;&gt;"Có","SĐT sai định dạng; ","")&amp;IF($R4195="Trùng","Trùng SĐT; ","")&amp;IF($Q4195&lt;&gt;"Có","Thiếu đồng ý bắt buộc; ","")&amp;IF($L4195="","Thiếu/sai Mã REF; ",IF(AND($L4195="Chưa xác định",DANH_MUC!$L$9&lt;&gt;"Có"),"Nguồn chưa xác định; ","")))</f>
        <v/>
      </c>
      <c r="V4195" s="22">
        <f>IF(OR($D4195="",$R4195="Trùng"),"",IF(COUNTIF(ORDERS!$C$2:$C$4995,$D4195)&gt;0,"Có","Không"))</f>
        <v/>
      </c>
      <c r="W4195" s="22">
        <f>IF(OR($D4195="",$R4195="Trùng"),"",COUNTIFS(ORDERS!$C$2:$C$4995,$D4195,ORDERS!$L$2:$L$4995,"Đã chuyển khoản"))</f>
        <v/>
      </c>
      <c r="X4195" s="23">
        <f>IF(OR($D4195="",$R4195="Trùng"),"",SUMIFS(ORDERS!$J$2:$J$4995,ORDERS!$C$2:$C$4995,$D4195,ORDERS!$L$2:$L$4995,"Đã chuyển khoản"))</f>
        <v/>
      </c>
      <c r="Y4195" s="24" t="n"/>
    </row>
    <row r="4196" ht="14.25" customHeight="1" s="40">
      <c r="A4196" s="24" t="n"/>
      <c r="B4196" s="27" t="n"/>
      <c r="C4196" s="24" t="n"/>
      <c r="D4196" s="28" t="n"/>
      <c r="E4196" s="29" t="n"/>
      <c r="F4196" s="24" t="n"/>
      <c r="G4196" s="24" t="n"/>
      <c r="H4196" s="21">
        <f>IF(ISNUMBER($B4196),INT($B4196)-WEEKDAY($B4196,2)+1,"")</f>
        <v/>
      </c>
      <c r="I4196" s="24" t="n"/>
      <c r="J4196" s="22">
        <f t="array" ref="J4196">IF($D4196="","",IF($I4196="","(trống REF)",IFERROR(INDEX(MASTER_SOURCE!$B$2:$B$495,MATCH($I4196,MASTER_SOURCE!$A$2:$A$495,0)),"(REF không có trong MASTER_SOURCE)")))</f>
        <v/>
      </c>
      <c r="K4196" s="22">
        <f t="array" ref="K4196">IF($D4196="","",IFERROR(INDEX(MASTER_SOURCE!$C$2:$C$495,MATCH($I4196,MASTER_SOURCE!$A$2:$A$495,0)),""))</f>
        <v/>
      </c>
      <c r="L4196" s="22">
        <f t="array" ref="L4196">IF($D4196="","",IFERROR(INDEX(MASTER_SOURCE!$D$2:$D$495,MATCH($I4196,MASTER_SOURCE!$A$2:$A$495,0)),""))</f>
        <v/>
      </c>
      <c r="M4196" s="24" t="n"/>
      <c r="N4196" s="24" t="n"/>
      <c r="O4196" s="24" t="n"/>
      <c r="P4196" s="24" t="n"/>
      <c r="Q4196" s="22">
        <f>IF($D4196="","",IF(AND(OR(DANH_MUC!$L$5&lt;&gt;"Có",M4196="Có"),OR(DANH_MUC!$L$6&lt;&gt;"Có",N4196="Có"),OR(DANH_MUC!$L$7&lt;&gt;"Có",O4196="Có"),OR(DANH_MUC!$L$8&lt;&gt;"Có",P4196="Có")),"Có","Không"))</f>
        <v/>
      </c>
      <c r="R4196" s="22">
        <f>IF($D4196="","",IF(COUNTIF($D$2:$D4196,$D4196)&gt;1,"Trùng",""))</f>
        <v/>
      </c>
      <c r="S4196" s="22">
        <f>IF($D4196="","",IF(AND(LEN($D4196)=10,LEFT($D4196,1)="0",ISNUMBER(--$D4196)),"Có","Không"))</f>
        <v/>
      </c>
      <c r="T4196" s="22">
        <f>IF($D4196="","",IF(AND($C4196&lt;&gt;"",$Q4196="Có",$R4196="",$S4196="Có",AND($L4196&lt;&gt;"",OR($L4196&lt;&gt;"Chưa xác định",DANH_MUC!$L$9="Có"))),"Có","Không"))</f>
        <v/>
      </c>
      <c r="U4196" s="22">
        <f>IF(OR($D4196="",$T4196="Có"),"",IF($C4196="","Thiếu họ tên; ","")&amp;IF($S4196&lt;&gt;"Có","SĐT sai định dạng; ","")&amp;IF($R4196="Trùng","Trùng SĐT; ","")&amp;IF($Q4196&lt;&gt;"Có","Thiếu đồng ý bắt buộc; ","")&amp;IF($L4196="","Thiếu/sai Mã REF; ",IF(AND($L4196="Chưa xác định",DANH_MUC!$L$9&lt;&gt;"Có"),"Nguồn chưa xác định; ","")))</f>
        <v/>
      </c>
      <c r="V4196" s="22">
        <f>IF(OR($D4196="",$R4196="Trùng"),"",IF(COUNTIF(ORDERS!$C$2:$C$4995,$D4196)&gt;0,"Có","Không"))</f>
        <v/>
      </c>
      <c r="W4196" s="22">
        <f>IF(OR($D4196="",$R4196="Trùng"),"",COUNTIFS(ORDERS!$C$2:$C$4995,$D4196,ORDERS!$L$2:$L$4995,"Đã chuyển khoản"))</f>
        <v/>
      </c>
      <c r="X4196" s="23">
        <f>IF(OR($D4196="",$R4196="Trùng"),"",SUMIFS(ORDERS!$J$2:$J$4995,ORDERS!$C$2:$C$4995,$D4196,ORDERS!$L$2:$L$4995,"Đã chuyển khoản"))</f>
        <v/>
      </c>
      <c r="Y4196" s="24" t="n"/>
    </row>
    <row r="4197" ht="14.25" customHeight="1" s="40">
      <c r="A4197" s="24" t="n"/>
      <c r="B4197" s="27" t="n"/>
      <c r="C4197" s="24" t="n"/>
      <c r="D4197" s="28" t="n"/>
      <c r="E4197" s="29" t="n"/>
      <c r="F4197" s="24" t="n"/>
      <c r="G4197" s="24" t="n"/>
      <c r="H4197" s="21">
        <f>IF(ISNUMBER($B4197),INT($B4197)-WEEKDAY($B4197,2)+1,"")</f>
        <v/>
      </c>
      <c r="I4197" s="24" t="n"/>
      <c r="J4197" s="22">
        <f t="array" ref="J4197">IF($D4197="","",IF($I4197="","(trống REF)",IFERROR(INDEX(MASTER_SOURCE!$B$2:$B$495,MATCH($I4197,MASTER_SOURCE!$A$2:$A$495,0)),"(REF không có trong MASTER_SOURCE)")))</f>
        <v/>
      </c>
      <c r="K4197" s="22">
        <f t="array" ref="K4197">IF($D4197="","",IFERROR(INDEX(MASTER_SOURCE!$C$2:$C$495,MATCH($I4197,MASTER_SOURCE!$A$2:$A$495,0)),""))</f>
        <v/>
      </c>
      <c r="L4197" s="22">
        <f t="array" ref="L4197">IF($D4197="","",IFERROR(INDEX(MASTER_SOURCE!$D$2:$D$495,MATCH($I4197,MASTER_SOURCE!$A$2:$A$495,0)),""))</f>
        <v/>
      </c>
      <c r="M4197" s="24" t="n"/>
      <c r="N4197" s="24" t="n"/>
      <c r="O4197" s="24" t="n"/>
      <c r="P4197" s="24" t="n"/>
      <c r="Q4197" s="22">
        <f>IF($D4197="","",IF(AND(OR(DANH_MUC!$L$5&lt;&gt;"Có",M4197="Có"),OR(DANH_MUC!$L$6&lt;&gt;"Có",N4197="Có"),OR(DANH_MUC!$L$7&lt;&gt;"Có",O4197="Có"),OR(DANH_MUC!$L$8&lt;&gt;"Có",P4197="Có")),"Có","Không"))</f>
        <v/>
      </c>
      <c r="R4197" s="22">
        <f>IF($D4197="","",IF(COUNTIF($D$2:$D4197,$D4197)&gt;1,"Trùng",""))</f>
        <v/>
      </c>
      <c r="S4197" s="22">
        <f>IF($D4197="","",IF(AND(LEN($D4197)=10,LEFT($D4197,1)="0",ISNUMBER(--$D4197)),"Có","Không"))</f>
        <v/>
      </c>
      <c r="T4197" s="22">
        <f>IF($D4197="","",IF(AND($C4197&lt;&gt;"",$Q4197="Có",$R4197="",$S4197="Có",AND($L4197&lt;&gt;"",OR($L4197&lt;&gt;"Chưa xác định",DANH_MUC!$L$9="Có"))),"Có","Không"))</f>
        <v/>
      </c>
      <c r="U4197" s="22">
        <f>IF(OR($D4197="",$T4197="Có"),"",IF($C4197="","Thiếu họ tên; ","")&amp;IF($S4197&lt;&gt;"Có","SĐT sai định dạng; ","")&amp;IF($R4197="Trùng","Trùng SĐT; ","")&amp;IF($Q4197&lt;&gt;"Có","Thiếu đồng ý bắt buộc; ","")&amp;IF($L4197="","Thiếu/sai Mã REF; ",IF(AND($L4197="Chưa xác định",DANH_MUC!$L$9&lt;&gt;"Có"),"Nguồn chưa xác định; ","")))</f>
        <v/>
      </c>
      <c r="V4197" s="22">
        <f>IF(OR($D4197="",$R4197="Trùng"),"",IF(COUNTIF(ORDERS!$C$2:$C$4995,$D4197)&gt;0,"Có","Không"))</f>
        <v/>
      </c>
      <c r="W4197" s="22">
        <f>IF(OR($D4197="",$R4197="Trùng"),"",COUNTIFS(ORDERS!$C$2:$C$4995,$D4197,ORDERS!$L$2:$L$4995,"Đã chuyển khoản"))</f>
        <v/>
      </c>
      <c r="X4197" s="23">
        <f>IF(OR($D4197="",$R4197="Trùng"),"",SUMIFS(ORDERS!$J$2:$J$4995,ORDERS!$C$2:$C$4995,$D4197,ORDERS!$L$2:$L$4995,"Đã chuyển khoản"))</f>
        <v/>
      </c>
      <c r="Y4197" s="24" t="n"/>
    </row>
    <row r="4198" ht="14.25" customHeight="1" s="40">
      <c r="A4198" s="24" t="n"/>
      <c r="B4198" s="27" t="n"/>
      <c r="C4198" s="24" t="n"/>
      <c r="D4198" s="28" t="n"/>
      <c r="E4198" s="29" t="n"/>
      <c r="F4198" s="24" t="n"/>
      <c r="G4198" s="24" t="n"/>
      <c r="H4198" s="21">
        <f>IF(ISNUMBER($B4198),INT($B4198)-WEEKDAY($B4198,2)+1,"")</f>
        <v/>
      </c>
      <c r="I4198" s="24" t="n"/>
      <c r="J4198" s="22">
        <f t="array" ref="J4198">IF($D4198="","",IF($I4198="","(trống REF)",IFERROR(INDEX(MASTER_SOURCE!$B$2:$B$495,MATCH($I4198,MASTER_SOURCE!$A$2:$A$495,0)),"(REF không có trong MASTER_SOURCE)")))</f>
        <v/>
      </c>
      <c r="K4198" s="22">
        <f t="array" ref="K4198">IF($D4198="","",IFERROR(INDEX(MASTER_SOURCE!$C$2:$C$495,MATCH($I4198,MASTER_SOURCE!$A$2:$A$495,0)),""))</f>
        <v/>
      </c>
      <c r="L4198" s="22">
        <f t="array" ref="L4198">IF($D4198="","",IFERROR(INDEX(MASTER_SOURCE!$D$2:$D$495,MATCH($I4198,MASTER_SOURCE!$A$2:$A$495,0)),""))</f>
        <v/>
      </c>
      <c r="M4198" s="24" t="n"/>
      <c r="N4198" s="24" t="n"/>
      <c r="O4198" s="24" t="n"/>
      <c r="P4198" s="24" t="n"/>
      <c r="Q4198" s="22">
        <f>IF($D4198="","",IF(AND(OR(DANH_MUC!$L$5&lt;&gt;"Có",M4198="Có"),OR(DANH_MUC!$L$6&lt;&gt;"Có",N4198="Có"),OR(DANH_MUC!$L$7&lt;&gt;"Có",O4198="Có"),OR(DANH_MUC!$L$8&lt;&gt;"Có",P4198="Có")),"Có","Không"))</f>
        <v/>
      </c>
      <c r="R4198" s="22">
        <f>IF($D4198="","",IF(COUNTIF($D$2:$D4198,$D4198)&gt;1,"Trùng",""))</f>
        <v/>
      </c>
      <c r="S4198" s="22">
        <f>IF($D4198="","",IF(AND(LEN($D4198)=10,LEFT($D4198,1)="0",ISNUMBER(--$D4198)),"Có","Không"))</f>
        <v/>
      </c>
      <c r="T4198" s="22">
        <f>IF($D4198="","",IF(AND($C4198&lt;&gt;"",$Q4198="Có",$R4198="",$S4198="Có",AND($L4198&lt;&gt;"",OR($L4198&lt;&gt;"Chưa xác định",DANH_MUC!$L$9="Có"))),"Có","Không"))</f>
        <v/>
      </c>
      <c r="U4198" s="22">
        <f>IF(OR($D4198="",$T4198="Có"),"",IF($C4198="","Thiếu họ tên; ","")&amp;IF($S4198&lt;&gt;"Có","SĐT sai định dạng; ","")&amp;IF($R4198="Trùng","Trùng SĐT; ","")&amp;IF($Q4198&lt;&gt;"Có","Thiếu đồng ý bắt buộc; ","")&amp;IF($L4198="","Thiếu/sai Mã REF; ",IF(AND($L4198="Chưa xác định",DANH_MUC!$L$9&lt;&gt;"Có"),"Nguồn chưa xác định; ","")))</f>
        <v/>
      </c>
      <c r="V4198" s="22">
        <f>IF(OR($D4198="",$R4198="Trùng"),"",IF(COUNTIF(ORDERS!$C$2:$C$4995,$D4198)&gt;0,"Có","Không"))</f>
        <v/>
      </c>
      <c r="W4198" s="22">
        <f>IF(OR($D4198="",$R4198="Trùng"),"",COUNTIFS(ORDERS!$C$2:$C$4995,$D4198,ORDERS!$L$2:$L$4995,"Đã chuyển khoản"))</f>
        <v/>
      </c>
      <c r="X4198" s="23">
        <f>IF(OR($D4198="",$R4198="Trùng"),"",SUMIFS(ORDERS!$J$2:$J$4995,ORDERS!$C$2:$C$4995,$D4198,ORDERS!$L$2:$L$4995,"Đã chuyển khoản"))</f>
        <v/>
      </c>
      <c r="Y4198" s="24" t="n"/>
    </row>
    <row r="4199" ht="14.25" customHeight="1" s="40">
      <c r="A4199" s="24" t="n"/>
      <c r="B4199" s="27" t="n"/>
      <c r="C4199" s="24" t="n"/>
      <c r="D4199" s="28" t="n"/>
      <c r="E4199" s="29" t="n"/>
      <c r="F4199" s="24" t="n"/>
      <c r="G4199" s="24" t="n"/>
      <c r="H4199" s="21">
        <f>IF(ISNUMBER($B4199),INT($B4199)-WEEKDAY($B4199,2)+1,"")</f>
        <v/>
      </c>
      <c r="I4199" s="24" t="n"/>
      <c r="J4199" s="22">
        <f t="array" ref="J4199">IF($D4199="","",IF($I4199="","(trống REF)",IFERROR(INDEX(MASTER_SOURCE!$B$2:$B$495,MATCH($I4199,MASTER_SOURCE!$A$2:$A$495,0)),"(REF không có trong MASTER_SOURCE)")))</f>
        <v/>
      </c>
      <c r="K4199" s="22">
        <f t="array" ref="K4199">IF($D4199="","",IFERROR(INDEX(MASTER_SOURCE!$C$2:$C$495,MATCH($I4199,MASTER_SOURCE!$A$2:$A$495,0)),""))</f>
        <v/>
      </c>
      <c r="L4199" s="22">
        <f t="array" ref="L4199">IF($D4199="","",IFERROR(INDEX(MASTER_SOURCE!$D$2:$D$495,MATCH($I4199,MASTER_SOURCE!$A$2:$A$495,0)),""))</f>
        <v/>
      </c>
      <c r="M4199" s="24" t="n"/>
      <c r="N4199" s="24" t="n"/>
      <c r="O4199" s="24" t="n"/>
      <c r="P4199" s="24" t="n"/>
      <c r="Q4199" s="22">
        <f>IF($D4199="","",IF(AND(OR(DANH_MUC!$L$5&lt;&gt;"Có",M4199="Có"),OR(DANH_MUC!$L$6&lt;&gt;"Có",N4199="Có"),OR(DANH_MUC!$L$7&lt;&gt;"Có",O4199="Có"),OR(DANH_MUC!$L$8&lt;&gt;"Có",P4199="Có")),"Có","Không"))</f>
        <v/>
      </c>
      <c r="R4199" s="22">
        <f>IF($D4199="","",IF(COUNTIF($D$2:$D4199,$D4199)&gt;1,"Trùng",""))</f>
        <v/>
      </c>
      <c r="S4199" s="22">
        <f>IF($D4199="","",IF(AND(LEN($D4199)=10,LEFT($D4199,1)="0",ISNUMBER(--$D4199)),"Có","Không"))</f>
        <v/>
      </c>
      <c r="T4199" s="22">
        <f>IF($D4199="","",IF(AND($C4199&lt;&gt;"",$Q4199="Có",$R4199="",$S4199="Có",AND($L4199&lt;&gt;"",OR($L4199&lt;&gt;"Chưa xác định",DANH_MUC!$L$9="Có"))),"Có","Không"))</f>
        <v/>
      </c>
      <c r="U4199" s="22">
        <f>IF(OR($D4199="",$T4199="Có"),"",IF($C4199="","Thiếu họ tên; ","")&amp;IF($S4199&lt;&gt;"Có","SĐT sai định dạng; ","")&amp;IF($R4199="Trùng","Trùng SĐT; ","")&amp;IF($Q4199&lt;&gt;"Có","Thiếu đồng ý bắt buộc; ","")&amp;IF($L4199="","Thiếu/sai Mã REF; ",IF(AND($L4199="Chưa xác định",DANH_MUC!$L$9&lt;&gt;"Có"),"Nguồn chưa xác định; ","")))</f>
        <v/>
      </c>
      <c r="V4199" s="22">
        <f>IF(OR($D4199="",$R4199="Trùng"),"",IF(COUNTIF(ORDERS!$C$2:$C$4995,$D4199)&gt;0,"Có","Không"))</f>
        <v/>
      </c>
      <c r="W4199" s="22">
        <f>IF(OR($D4199="",$R4199="Trùng"),"",COUNTIFS(ORDERS!$C$2:$C$4995,$D4199,ORDERS!$L$2:$L$4995,"Đã chuyển khoản"))</f>
        <v/>
      </c>
      <c r="X4199" s="23">
        <f>IF(OR($D4199="",$R4199="Trùng"),"",SUMIFS(ORDERS!$J$2:$J$4995,ORDERS!$C$2:$C$4995,$D4199,ORDERS!$L$2:$L$4995,"Đã chuyển khoản"))</f>
        <v/>
      </c>
      <c r="Y4199" s="24" t="n"/>
    </row>
    <row r="4200" ht="14.25" customHeight="1" s="40">
      <c r="A4200" s="24" t="n"/>
      <c r="B4200" s="27" t="n"/>
      <c r="C4200" s="24" t="n"/>
      <c r="D4200" s="28" t="n"/>
      <c r="E4200" s="29" t="n"/>
      <c r="F4200" s="24" t="n"/>
      <c r="G4200" s="24" t="n"/>
      <c r="H4200" s="21">
        <f>IF(ISNUMBER($B4200),INT($B4200)-WEEKDAY($B4200,2)+1,"")</f>
        <v/>
      </c>
      <c r="I4200" s="24" t="n"/>
      <c r="J4200" s="22">
        <f t="array" ref="J4200">IF($D4200="","",IF($I4200="","(trống REF)",IFERROR(INDEX(MASTER_SOURCE!$B$2:$B$495,MATCH($I4200,MASTER_SOURCE!$A$2:$A$495,0)),"(REF không có trong MASTER_SOURCE)")))</f>
        <v/>
      </c>
      <c r="K4200" s="22">
        <f t="array" ref="K4200">IF($D4200="","",IFERROR(INDEX(MASTER_SOURCE!$C$2:$C$495,MATCH($I4200,MASTER_SOURCE!$A$2:$A$495,0)),""))</f>
        <v/>
      </c>
      <c r="L4200" s="22">
        <f t="array" ref="L4200">IF($D4200="","",IFERROR(INDEX(MASTER_SOURCE!$D$2:$D$495,MATCH($I4200,MASTER_SOURCE!$A$2:$A$495,0)),""))</f>
        <v/>
      </c>
      <c r="M4200" s="24" t="n"/>
      <c r="N4200" s="24" t="n"/>
      <c r="O4200" s="24" t="n"/>
      <c r="P4200" s="24" t="n"/>
      <c r="Q4200" s="22">
        <f>IF($D4200="","",IF(AND(OR(DANH_MUC!$L$5&lt;&gt;"Có",M4200="Có"),OR(DANH_MUC!$L$6&lt;&gt;"Có",N4200="Có"),OR(DANH_MUC!$L$7&lt;&gt;"Có",O4200="Có"),OR(DANH_MUC!$L$8&lt;&gt;"Có",P4200="Có")),"Có","Không"))</f>
        <v/>
      </c>
      <c r="R4200" s="22">
        <f>IF($D4200="","",IF(COUNTIF($D$2:$D4200,$D4200)&gt;1,"Trùng",""))</f>
        <v/>
      </c>
      <c r="S4200" s="22">
        <f>IF($D4200="","",IF(AND(LEN($D4200)=10,LEFT($D4200,1)="0",ISNUMBER(--$D4200)),"Có","Không"))</f>
        <v/>
      </c>
      <c r="T4200" s="22">
        <f>IF($D4200="","",IF(AND($C4200&lt;&gt;"",$Q4200="Có",$R4200="",$S4200="Có",AND($L4200&lt;&gt;"",OR($L4200&lt;&gt;"Chưa xác định",DANH_MUC!$L$9="Có"))),"Có","Không"))</f>
        <v/>
      </c>
      <c r="U4200" s="22">
        <f>IF(OR($D4200="",$T4200="Có"),"",IF($C4200="","Thiếu họ tên; ","")&amp;IF($S4200&lt;&gt;"Có","SĐT sai định dạng; ","")&amp;IF($R4200="Trùng","Trùng SĐT; ","")&amp;IF($Q4200&lt;&gt;"Có","Thiếu đồng ý bắt buộc; ","")&amp;IF($L4200="","Thiếu/sai Mã REF; ",IF(AND($L4200="Chưa xác định",DANH_MUC!$L$9&lt;&gt;"Có"),"Nguồn chưa xác định; ","")))</f>
        <v/>
      </c>
      <c r="V4200" s="22">
        <f>IF(OR($D4200="",$R4200="Trùng"),"",IF(COUNTIF(ORDERS!$C$2:$C$4995,$D4200)&gt;0,"Có","Không"))</f>
        <v/>
      </c>
      <c r="W4200" s="22">
        <f>IF(OR($D4200="",$R4200="Trùng"),"",COUNTIFS(ORDERS!$C$2:$C$4995,$D4200,ORDERS!$L$2:$L$4995,"Đã chuyển khoản"))</f>
        <v/>
      </c>
      <c r="X4200" s="23">
        <f>IF(OR($D4200="",$R4200="Trùng"),"",SUMIFS(ORDERS!$J$2:$J$4995,ORDERS!$C$2:$C$4995,$D4200,ORDERS!$L$2:$L$4995,"Đã chuyển khoản"))</f>
        <v/>
      </c>
      <c r="Y4200" s="24" t="n"/>
    </row>
    <row r="4201" ht="14.25" customHeight="1" s="40">
      <c r="A4201" s="24" t="n"/>
      <c r="B4201" s="27" t="n"/>
      <c r="C4201" s="24" t="n"/>
      <c r="D4201" s="28" t="n"/>
      <c r="E4201" s="29" t="n"/>
      <c r="F4201" s="24" t="n"/>
      <c r="G4201" s="24" t="n"/>
      <c r="H4201" s="21">
        <f>IF(ISNUMBER($B4201),INT($B4201)-WEEKDAY($B4201,2)+1,"")</f>
        <v/>
      </c>
      <c r="I4201" s="24" t="n"/>
      <c r="J4201" s="22">
        <f t="array" ref="J4201">IF($D4201="","",IF($I4201="","(trống REF)",IFERROR(INDEX(MASTER_SOURCE!$B$2:$B$495,MATCH($I4201,MASTER_SOURCE!$A$2:$A$495,0)),"(REF không có trong MASTER_SOURCE)")))</f>
        <v/>
      </c>
      <c r="K4201" s="22">
        <f t="array" ref="K4201">IF($D4201="","",IFERROR(INDEX(MASTER_SOURCE!$C$2:$C$495,MATCH($I4201,MASTER_SOURCE!$A$2:$A$495,0)),""))</f>
        <v/>
      </c>
      <c r="L4201" s="22">
        <f t="array" ref="L4201">IF($D4201="","",IFERROR(INDEX(MASTER_SOURCE!$D$2:$D$495,MATCH($I4201,MASTER_SOURCE!$A$2:$A$495,0)),""))</f>
        <v/>
      </c>
      <c r="M4201" s="24" t="n"/>
      <c r="N4201" s="24" t="n"/>
      <c r="O4201" s="24" t="n"/>
      <c r="P4201" s="24" t="n"/>
      <c r="Q4201" s="22">
        <f>IF($D4201="","",IF(AND(OR(DANH_MUC!$L$5&lt;&gt;"Có",M4201="Có"),OR(DANH_MUC!$L$6&lt;&gt;"Có",N4201="Có"),OR(DANH_MUC!$L$7&lt;&gt;"Có",O4201="Có"),OR(DANH_MUC!$L$8&lt;&gt;"Có",P4201="Có")),"Có","Không"))</f>
        <v/>
      </c>
      <c r="R4201" s="22">
        <f>IF($D4201="","",IF(COUNTIF($D$2:$D4201,$D4201)&gt;1,"Trùng",""))</f>
        <v/>
      </c>
      <c r="S4201" s="22">
        <f>IF($D4201="","",IF(AND(LEN($D4201)=10,LEFT($D4201,1)="0",ISNUMBER(--$D4201)),"Có","Không"))</f>
        <v/>
      </c>
      <c r="T4201" s="22">
        <f>IF($D4201="","",IF(AND($C4201&lt;&gt;"",$Q4201="Có",$R4201="",$S4201="Có",AND($L4201&lt;&gt;"",OR($L4201&lt;&gt;"Chưa xác định",DANH_MUC!$L$9="Có"))),"Có","Không"))</f>
        <v/>
      </c>
      <c r="U4201" s="22">
        <f>IF(OR($D4201="",$T4201="Có"),"",IF($C4201="","Thiếu họ tên; ","")&amp;IF($S4201&lt;&gt;"Có","SĐT sai định dạng; ","")&amp;IF($R4201="Trùng","Trùng SĐT; ","")&amp;IF($Q4201&lt;&gt;"Có","Thiếu đồng ý bắt buộc; ","")&amp;IF($L4201="","Thiếu/sai Mã REF; ",IF(AND($L4201="Chưa xác định",DANH_MUC!$L$9&lt;&gt;"Có"),"Nguồn chưa xác định; ","")))</f>
        <v/>
      </c>
      <c r="V4201" s="22">
        <f>IF(OR($D4201="",$R4201="Trùng"),"",IF(COUNTIF(ORDERS!$C$2:$C$4995,$D4201)&gt;0,"Có","Không"))</f>
        <v/>
      </c>
      <c r="W4201" s="22">
        <f>IF(OR($D4201="",$R4201="Trùng"),"",COUNTIFS(ORDERS!$C$2:$C$4995,$D4201,ORDERS!$L$2:$L$4995,"Đã chuyển khoản"))</f>
        <v/>
      </c>
      <c r="X4201" s="23">
        <f>IF(OR($D4201="",$R4201="Trùng"),"",SUMIFS(ORDERS!$J$2:$J$4995,ORDERS!$C$2:$C$4995,$D4201,ORDERS!$L$2:$L$4995,"Đã chuyển khoản"))</f>
        <v/>
      </c>
      <c r="Y4201" s="24" t="n"/>
    </row>
    <row r="4202" ht="14.25" customHeight="1" s="40">
      <c r="A4202" s="24" t="n"/>
      <c r="B4202" s="27" t="n"/>
      <c r="C4202" s="24" t="n"/>
      <c r="D4202" s="28" t="n"/>
      <c r="E4202" s="29" t="n"/>
      <c r="F4202" s="24" t="n"/>
      <c r="G4202" s="24" t="n"/>
      <c r="H4202" s="21">
        <f>IF(ISNUMBER($B4202),INT($B4202)-WEEKDAY($B4202,2)+1,"")</f>
        <v/>
      </c>
      <c r="I4202" s="24" t="n"/>
      <c r="J4202" s="22">
        <f t="array" ref="J4202">IF($D4202="","",IF($I4202="","(trống REF)",IFERROR(INDEX(MASTER_SOURCE!$B$2:$B$495,MATCH($I4202,MASTER_SOURCE!$A$2:$A$495,0)),"(REF không có trong MASTER_SOURCE)")))</f>
        <v/>
      </c>
      <c r="K4202" s="22">
        <f t="array" ref="K4202">IF($D4202="","",IFERROR(INDEX(MASTER_SOURCE!$C$2:$C$495,MATCH($I4202,MASTER_SOURCE!$A$2:$A$495,0)),""))</f>
        <v/>
      </c>
      <c r="L4202" s="22">
        <f t="array" ref="L4202">IF($D4202="","",IFERROR(INDEX(MASTER_SOURCE!$D$2:$D$495,MATCH($I4202,MASTER_SOURCE!$A$2:$A$495,0)),""))</f>
        <v/>
      </c>
      <c r="M4202" s="24" t="n"/>
      <c r="N4202" s="24" t="n"/>
      <c r="O4202" s="24" t="n"/>
      <c r="P4202" s="24" t="n"/>
      <c r="Q4202" s="22">
        <f>IF($D4202="","",IF(AND(OR(DANH_MUC!$L$5&lt;&gt;"Có",M4202="Có"),OR(DANH_MUC!$L$6&lt;&gt;"Có",N4202="Có"),OR(DANH_MUC!$L$7&lt;&gt;"Có",O4202="Có"),OR(DANH_MUC!$L$8&lt;&gt;"Có",P4202="Có")),"Có","Không"))</f>
        <v/>
      </c>
      <c r="R4202" s="22">
        <f>IF($D4202="","",IF(COUNTIF($D$2:$D4202,$D4202)&gt;1,"Trùng",""))</f>
        <v/>
      </c>
      <c r="S4202" s="22">
        <f>IF($D4202="","",IF(AND(LEN($D4202)=10,LEFT($D4202,1)="0",ISNUMBER(--$D4202)),"Có","Không"))</f>
        <v/>
      </c>
      <c r="T4202" s="22">
        <f>IF($D4202="","",IF(AND($C4202&lt;&gt;"",$Q4202="Có",$R4202="",$S4202="Có",AND($L4202&lt;&gt;"",OR($L4202&lt;&gt;"Chưa xác định",DANH_MUC!$L$9="Có"))),"Có","Không"))</f>
        <v/>
      </c>
      <c r="U4202" s="22">
        <f>IF(OR($D4202="",$T4202="Có"),"",IF($C4202="","Thiếu họ tên; ","")&amp;IF($S4202&lt;&gt;"Có","SĐT sai định dạng; ","")&amp;IF($R4202="Trùng","Trùng SĐT; ","")&amp;IF($Q4202&lt;&gt;"Có","Thiếu đồng ý bắt buộc; ","")&amp;IF($L4202="","Thiếu/sai Mã REF; ",IF(AND($L4202="Chưa xác định",DANH_MUC!$L$9&lt;&gt;"Có"),"Nguồn chưa xác định; ","")))</f>
        <v/>
      </c>
      <c r="V4202" s="22">
        <f>IF(OR($D4202="",$R4202="Trùng"),"",IF(COUNTIF(ORDERS!$C$2:$C$4995,$D4202)&gt;0,"Có","Không"))</f>
        <v/>
      </c>
      <c r="W4202" s="22">
        <f>IF(OR($D4202="",$R4202="Trùng"),"",COUNTIFS(ORDERS!$C$2:$C$4995,$D4202,ORDERS!$L$2:$L$4995,"Đã chuyển khoản"))</f>
        <v/>
      </c>
      <c r="X4202" s="23">
        <f>IF(OR($D4202="",$R4202="Trùng"),"",SUMIFS(ORDERS!$J$2:$J$4995,ORDERS!$C$2:$C$4995,$D4202,ORDERS!$L$2:$L$4995,"Đã chuyển khoản"))</f>
        <v/>
      </c>
      <c r="Y4202" s="24" t="n"/>
    </row>
    <row r="4203" ht="14.25" customHeight="1" s="40">
      <c r="A4203" s="24" t="n"/>
      <c r="B4203" s="27" t="n"/>
      <c r="C4203" s="24" t="n"/>
      <c r="D4203" s="28" t="n"/>
      <c r="E4203" s="29" t="n"/>
      <c r="F4203" s="24" t="n"/>
      <c r="G4203" s="24" t="n"/>
      <c r="H4203" s="21">
        <f>IF(ISNUMBER($B4203),INT($B4203)-WEEKDAY($B4203,2)+1,"")</f>
        <v/>
      </c>
      <c r="I4203" s="24" t="n"/>
      <c r="J4203" s="22">
        <f t="array" ref="J4203">IF($D4203="","",IF($I4203="","(trống REF)",IFERROR(INDEX(MASTER_SOURCE!$B$2:$B$495,MATCH($I4203,MASTER_SOURCE!$A$2:$A$495,0)),"(REF không có trong MASTER_SOURCE)")))</f>
        <v/>
      </c>
      <c r="K4203" s="22">
        <f t="array" ref="K4203">IF($D4203="","",IFERROR(INDEX(MASTER_SOURCE!$C$2:$C$495,MATCH($I4203,MASTER_SOURCE!$A$2:$A$495,0)),""))</f>
        <v/>
      </c>
      <c r="L4203" s="22">
        <f t="array" ref="L4203">IF($D4203="","",IFERROR(INDEX(MASTER_SOURCE!$D$2:$D$495,MATCH($I4203,MASTER_SOURCE!$A$2:$A$495,0)),""))</f>
        <v/>
      </c>
      <c r="M4203" s="24" t="n"/>
      <c r="N4203" s="24" t="n"/>
      <c r="O4203" s="24" t="n"/>
      <c r="P4203" s="24" t="n"/>
      <c r="Q4203" s="22">
        <f>IF($D4203="","",IF(AND(OR(DANH_MUC!$L$5&lt;&gt;"Có",M4203="Có"),OR(DANH_MUC!$L$6&lt;&gt;"Có",N4203="Có"),OR(DANH_MUC!$L$7&lt;&gt;"Có",O4203="Có"),OR(DANH_MUC!$L$8&lt;&gt;"Có",P4203="Có")),"Có","Không"))</f>
        <v/>
      </c>
      <c r="R4203" s="22">
        <f>IF($D4203="","",IF(COUNTIF($D$2:$D4203,$D4203)&gt;1,"Trùng",""))</f>
        <v/>
      </c>
      <c r="S4203" s="22">
        <f>IF($D4203="","",IF(AND(LEN($D4203)=10,LEFT($D4203,1)="0",ISNUMBER(--$D4203)),"Có","Không"))</f>
        <v/>
      </c>
      <c r="T4203" s="22">
        <f>IF($D4203="","",IF(AND($C4203&lt;&gt;"",$Q4203="Có",$R4203="",$S4203="Có",AND($L4203&lt;&gt;"",OR($L4203&lt;&gt;"Chưa xác định",DANH_MUC!$L$9="Có"))),"Có","Không"))</f>
        <v/>
      </c>
      <c r="U4203" s="22">
        <f>IF(OR($D4203="",$T4203="Có"),"",IF($C4203="","Thiếu họ tên; ","")&amp;IF($S4203&lt;&gt;"Có","SĐT sai định dạng; ","")&amp;IF($R4203="Trùng","Trùng SĐT; ","")&amp;IF($Q4203&lt;&gt;"Có","Thiếu đồng ý bắt buộc; ","")&amp;IF($L4203="","Thiếu/sai Mã REF; ",IF(AND($L4203="Chưa xác định",DANH_MUC!$L$9&lt;&gt;"Có"),"Nguồn chưa xác định; ","")))</f>
        <v/>
      </c>
      <c r="V4203" s="22">
        <f>IF(OR($D4203="",$R4203="Trùng"),"",IF(COUNTIF(ORDERS!$C$2:$C$4995,$D4203)&gt;0,"Có","Không"))</f>
        <v/>
      </c>
      <c r="W4203" s="22">
        <f>IF(OR($D4203="",$R4203="Trùng"),"",COUNTIFS(ORDERS!$C$2:$C$4995,$D4203,ORDERS!$L$2:$L$4995,"Đã chuyển khoản"))</f>
        <v/>
      </c>
      <c r="X4203" s="23">
        <f>IF(OR($D4203="",$R4203="Trùng"),"",SUMIFS(ORDERS!$J$2:$J$4995,ORDERS!$C$2:$C$4995,$D4203,ORDERS!$L$2:$L$4995,"Đã chuyển khoản"))</f>
        <v/>
      </c>
      <c r="Y4203" s="24" t="n"/>
    </row>
    <row r="4204" ht="14.25" customHeight="1" s="40">
      <c r="A4204" s="24" t="n"/>
      <c r="B4204" s="27" t="n"/>
      <c r="C4204" s="24" t="n"/>
      <c r="D4204" s="28" t="n"/>
      <c r="E4204" s="29" t="n"/>
      <c r="F4204" s="24" t="n"/>
      <c r="G4204" s="24" t="n"/>
      <c r="H4204" s="21">
        <f>IF(ISNUMBER($B4204),INT($B4204)-WEEKDAY($B4204,2)+1,"")</f>
        <v/>
      </c>
      <c r="I4204" s="24" t="n"/>
      <c r="J4204" s="22">
        <f t="array" ref="J4204">IF($D4204="","",IF($I4204="","(trống REF)",IFERROR(INDEX(MASTER_SOURCE!$B$2:$B$495,MATCH($I4204,MASTER_SOURCE!$A$2:$A$495,0)),"(REF không có trong MASTER_SOURCE)")))</f>
        <v/>
      </c>
      <c r="K4204" s="22">
        <f t="array" ref="K4204">IF($D4204="","",IFERROR(INDEX(MASTER_SOURCE!$C$2:$C$495,MATCH($I4204,MASTER_SOURCE!$A$2:$A$495,0)),""))</f>
        <v/>
      </c>
      <c r="L4204" s="22">
        <f t="array" ref="L4204">IF($D4204="","",IFERROR(INDEX(MASTER_SOURCE!$D$2:$D$495,MATCH($I4204,MASTER_SOURCE!$A$2:$A$495,0)),""))</f>
        <v/>
      </c>
      <c r="M4204" s="24" t="n"/>
      <c r="N4204" s="24" t="n"/>
      <c r="O4204" s="24" t="n"/>
      <c r="P4204" s="24" t="n"/>
      <c r="Q4204" s="22">
        <f>IF($D4204="","",IF(AND(OR(DANH_MUC!$L$5&lt;&gt;"Có",M4204="Có"),OR(DANH_MUC!$L$6&lt;&gt;"Có",N4204="Có"),OR(DANH_MUC!$L$7&lt;&gt;"Có",O4204="Có"),OR(DANH_MUC!$L$8&lt;&gt;"Có",P4204="Có")),"Có","Không"))</f>
        <v/>
      </c>
      <c r="R4204" s="22">
        <f>IF($D4204="","",IF(COUNTIF($D$2:$D4204,$D4204)&gt;1,"Trùng",""))</f>
        <v/>
      </c>
      <c r="S4204" s="22">
        <f>IF($D4204="","",IF(AND(LEN($D4204)=10,LEFT($D4204,1)="0",ISNUMBER(--$D4204)),"Có","Không"))</f>
        <v/>
      </c>
      <c r="T4204" s="22">
        <f>IF($D4204="","",IF(AND($C4204&lt;&gt;"",$Q4204="Có",$R4204="",$S4204="Có",AND($L4204&lt;&gt;"",OR($L4204&lt;&gt;"Chưa xác định",DANH_MUC!$L$9="Có"))),"Có","Không"))</f>
        <v/>
      </c>
      <c r="U4204" s="22">
        <f>IF(OR($D4204="",$T4204="Có"),"",IF($C4204="","Thiếu họ tên; ","")&amp;IF($S4204&lt;&gt;"Có","SĐT sai định dạng; ","")&amp;IF($R4204="Trùng","Trùng SĐT; ","")&amp;IF($Q4204&lt;&gt;"Có","Thiếu đồng ý bắt buộc; ","")&amp;IF($L4204="","Thiếu/sai Mã REF; ",IF(AND($L4204="Chưa xác định",DANH_MUC!$L$9&lt;&gt;"Có"),"Nguồn chưa xác định; ","")))</f>
        <v/>
      </c>
      <c r="V4204" s="22">
        <f>IF(OR($D4204="",$R4204="Trùng"),"",IF(COUNTIF(ORDERS!$C$2:$C$4995,$D4204)&gt;0,"Có","Không"))</f>
        <v/>
      </c>
      <c r="W4204" s="22">
        <f>IF(OR($D4204="",$R4204="Trùng"),"",COUNTIFS(ORDERS!$C$2:$C$4995,$D4204,ORDERS!$L$2:$L$4995,"Đã chuyển khoản"))</f>
        <v/>
      </c>
      <c r="X4204" s="23">
        <f>IF(OR($D4204="",$R4204="Trùng"),"",SUMIFS(ORDERS!$J$2:$J$4995,ORDERS!$C$2:$C$4995,$D4204,ORDERS!$L$2:$L$4995,"Đã chuyển khoản"))</f>
        <v/>
      </c>
      <c r="Y4204" s="24" t="n"/>
    </row>
    <row r="4205" ht="14.25" customHeight="1" s="40">
      <c r="A4205" s="24" t="n"/>
      <c r="B4205" s="27" t="n"/>
      <c r="C4205" s="24" t="n"/>
      <c r="D4205" s="28" t="n"/>
      <c r="E4205" s="29" t="n"/>
      <c r="F4205" s="24" t="n"/>
      <c r="G4205" s="24" t="n"/>
      <c r="H4205" s="21">
        <f>IF(ISNUMBER($B4205),INT($B4205)-WEEKDAY($B4205,2)+1,"")</f>
        <v/>
      </c>
      <c r="I4205" s="24" t="n"/>
      <c r="J4205" s="22">
        <f t="array" ref="J4205">IF($D4205="","",IF($I4205="","(trống REF)",IFERROR(INDEX(MASTER_SOURCE!$B$2:$B$495,MATCH($I4205,MASTER_SOURCE!$A$2:$A$495,0)),"(REF không có trong MASTER_SOURCE)")))</f>
        <v/>
      </c>
      <c r="K4205" s="22">
        <f t="array" ref="K4205">IF($D4205="","",IFERROR(INDEX(MASTER_SOURCE!$C$2:$C$495,MATCH($I4205,MASTER_SOURCE!$A$2:$A$495,0)),""))</f>
        <v/>
      </c>
      <c r="L4205" s="22">
        <f t="array" ref="L4205">IF($D4205="","",IFERROR(INDEX(MASTER_SOURCE!$D$2:$D$495,MATCH($I4205,MASTER_SOURCE!$A$2:$A$495,0)),""))</f>
        <v/>
      </c>
      <c r="M4205" s="24" t="n"/>
      <c r="N4205" s="24" t="n"/>
      <c r="O4205" s="24" t="n"/>
      <c r="P4205" s="24" t="n"/>
      <c r="Q4205" s="22">
        <f>IF($D4205="","",IF(AND(OR(DANH_MUC!$L$5&lt;&gt;"Có",M4205="Có"),OR(DANH_MUC!$L$6&lt;&gt;"Có",N4205="Có"),OR(DANH_MUC!$L$7&lt;&gt;"Có",O4205="Có"),OR(DANH_MUC!$L$8&lt;&gt;"Có",P4205="Có")),"Có","Không"))</f>
        <v/>
      </c>
      <c r="R4205" s="22">
        <f>IF($D4205="","",IF(COUNTIF($D$2:$D4205,$D4205)&gt;1,"Trùng",""))</f>
        <v/>
      </c>
      <c r="S4205" s="22">
        <f>IF($D4205="","",IF(AND(LEN($D4205)=10,LEFT($D4205,1)="0",ISNUMBER(--$D4205)),"Có","Không"))</f>
        <v/>
      </c>
      <c r="T4205" s="22">
        <f>IF($D4205="","",IF(AND($C4205&lt;&gt;"",$Q4205="Có",$R4205="",$S4205="Có",AND($L4205&lt;&gt;"",OR($L4205&lt;&gt;"Chưa xác định",DANH_MUC!$L$9="Có"))),"Có","Không"))</f>
        <v/>
      </c>
      <c r="U4205" s="22">
        <f>IF(OR($D4205="",$T4205="Có"),"",IF($C4205="","Thiếu họ tên; ","")&amp;IF($S4205&lt;&gt;"Có","SĐT sai định dạng; ","")&amp;IF($R4205="Trùng","Trùng SĐT; ","")&amp;IF($Q4205&lt;&gt;"Có","Thiếu đồng ý bắt buộc; ","")&amp;IF($L4205="","Thiếu/sai Mã REF; ",IF(AND($L4205="Chưa xác định",DANH_MUC!$L$9&lt;&gt;"Có"),"Nguồn chưa xác định; ","")))</f>
        <v/>
      </c>
      <c r="V4205" s="22">
        <f>IF(OR($D4205="",$R4205="Trùng"),"",IF(COUNTIF(ORDERS!$C$2:$C$4995,$D4205)&gt;0,"Có","Không"))</f>
        <v/>
      </c>
      <c r="W4205" s="22">
        <f>IF(OR($D4205="",$R4205="Trùng"),"",COUNTIFS(ORDERS!$C$2:$C$4995,$D4205,ORDERS!$L$2:$L$4995,"Đã chuyển khoản"))</f>
        <v/>
      </c>
      <c r="X4205" s="23">
        <f>IF(OR($D4205="",$R4205="Trùng"),"",SUMIFS(ORDERS!$J$2:$J$4995,ORDERS!$C$2:$C$4995,$D4205,ORDERS!$L$2:$L$4995,"Đã chuyển khoản"))</f>
        <v/>
      </c>
      <c r="Y4205" s="24" t="n"/>
    </row>
    <row r="4206" ht="14.25" customHeight="1" s="40">
      <c r="A4206" s="24" t="n"/>
      <c r="B4206" s="27" t="n"/>
      <c r="C4206" s="24" t="n"/>
      <c r="D4206" s="28" t="n"/>
      <c r="E4206" s="29" t="n"/>
      <c r="F4206" s="24" t="n"/>
      <c r="G4206" s="24" t="n"/>
      <c r="H4206" s="21">
        <f>IF(ISNUMBER($B4206),INT($B4206)-WEEKDAY($B4206,2)+1,"")</f>
        <v/>
      </c>
      <c r="I4206" s="24" t="n"/>
      <c r="J4206" s="22">
        <f t="array" ref="J4206">IF($D4206="","",IF($I4206="","(trống REF)",IFERROR(INDEX(MASTER_SOURCE!$B$2:$B$495,MATCH($I4206,MASTER_SOURCE!$A$2:$A$495,0)),"(REF không có trong MASTER_SOURCE)")))</f>
        <v/>
      </c>
      <c r="K4206" s="22">
        <f t="array" ref="K4206">IF($D4206="","",IFERROR(INDEX(MASTER_SOURCE!$C$2:$C$495,MATCH($I4206,MASTER_SOURCE!$A$2:$A$495,0)),""))</f>
        <v/>
      </c>
      <c r="L4206" s="22">
        <f t="array" ref="L4206">IF($D4206="","",IFERROR(INDEX(MASTER_SOURCE!$D$2:$D$495,MATCH($I4206,MASTER_SOURCE!$A$2:$A$495,0)),""))</f>
        <v/>
      </c>
      <c r="M4206" s="24" t="n"/>
      <c r="N4206" s="24" t="n"/>
      <c r="O4206" s="24" t="n"/>
      <c r="P4206" s="24" t="n"/>
      <c r="Q4206" s="22">
        <f>IF($D4206="","",IF(AND(OR(DANH_MUC!$L$5&lt;&gt;"Có",M4206="Có"),OR(DANH_MUC!$L$6&lt;&gt;"Có",N4206="Có"),OR(DANH_MUC!$L$7&lt;&gt;"Có",O4206="Có"),OR(DANH_MUC!$L$8&lt;&gt;"Có",P4206="Có")),"Có","Không"))</f>
        <v/>
      </c>
      <c r="R4206" s="22">
        <f>IF($D4206="","",IF(COUNTIF($D$2:$D4206,$D4206)&gt;1,"Trùng",""))</f>
        <v/>
      </c>
      <c r="S4206" s="22">
        <f>IF($D4206="","",IF(AND(LEN($D4206)=10,LEFT($D4206,1)="0",ISNUMBER(--$D4206)),"Có","Không"))</f>
        <v/>
      </c>
      <c r="T4206" s="22">
        <f>IF($D4206="","",IF(AND($C4206&lt;&gt;"",$Q4206="Có",$R4206="",$S4206="Có",AND($L4206&lt;&gt;"",OR($L4206&lt;&gt;"Chưa xác định",DANH_MUC!$L$9="Có"))),"Có","Không"))</f>
        <v/>
      </c>
      <c r="U4206" s="22">
        <f>IF(OR($D4206="",$T4206="Có"),"",IF($C4206="","Thiếu họ tên; ","")&amp;IF($S4206&lt;&gt;"Có","SĐT sai định dạng; ","")&amp;IF($R4206="Trùng","Trùng SĐT; ","")&amp;IF($Q4206&lt;&gt;"Có","Thiếu đồng ý bắt buộc; ","")&amp;IF($L4206="","Thiếu/sai Mã REF; ",IF(AND($L4206="Chưa xác định",DANH_MUC!$L$9&lt;&gt;"Có"),"Nguồn chưa xác định; ","")))</f>
        <v/>
      </c>
      <c r="V4206" s="22">
        <f>IF(OR($D4206="",$R4206="Trùng"),"",IF(COUNTIF(ORDERS!$C$2:$C$4995,$D4206)&gt;0,"Có","Không"))</f>
        <v/>
      </c>
      <c r="W4206" s="22">
        <f>IF(OR($D4206="",$R4206="Trùng"),"",COUNTIFS(ORDERS!$C$2:$C$4995,$D4206,ORDERS!$L$2:$L$4995,"Đã chuyển khoản"))</f>
        <v/>
      </c>
      <c r="X4206" s="23">
        <f>IF(OR($D4206="",$R4206="Trùng"),"",SUMIFS(ORDERS!$J$2:$J$4995,ORDERS!$C$2:$C$4995,$D4206,ORDERS!$L$2:$L$4995,"Đã chuyển khoản"))</f>
        <v/>
      </c>
      <c r="Y4206" s="24" t="n"/>
    </row>
    <row r="4207" ht="14.25" customHeight="1" s="40">
      <c r="A4207" s="24" t="n"/>
      <c r="B4207" s="27" t="n"/>
      <c r="C4207" s="24" t="n"/>
      <c r="D4207" s="28" t="n"/>
      <c r="E4207" s="29" t="n"/>
      <c r="F4207" s="24" t="n"/>
      <c r="G4207" s="24" t="n"/>
      <c r="H4207" s="21">
        <f>IF(ISNUMBER($B4207),INT($B4207)-WEEKDAY($B4207,2)+1,"")</f>
        <v/>
      </c>
      <c r="I4207" s="24" t="n"/>
      <c r="J4207" s="22">
        <f t="array" ref="J4207">IF($D4207="","",IF($I4207="","(trống REF)",IFERROR(INDEX(MASTER_SOURCE!$B$2:$B$495,MATCH($I4207,MASTER_SOURCE!$A$2:$A$495,0)),"(REF không có trong MASTER_SOURCE)")))</f>
        <v/>
      </c>
      <c r="K4207" s="22">
        <f t="array" ref="K4207">IF($D4207="","",IFERROR(INDEX(MASTER_SOURCE!$C$2:$C$495,MATCH($I4207,MASTER_SOURCE!$A$2:$A$495,0)),""))</f>
        <v/>
      </c>
      <c r="L4207" s="22">
        <f t="array" ref="L4207">IF($D4207="","",IFERROR(INDEX(MASTER_SOURCE!$D$2:$D$495,MATCH($I4207,MASTER_SOURCE!$A$2:$A$495,0)),""))</f>
        <v/>
      </c>
      <c r="M4207" s="24" t="n"/>
      <c r="N4207" s="24" t="n"/>
      <c r="O4207" s="24" t="n"/>
      <c r="P4207" s="24" t="n"/>
      <c r="Q4207" s="22">
        <f>IF($D4207="","",IF(AND(OR(DANH_MUC!$L$5&lt;&gt;"Có",M4207="Có"),OR(DANH_MUC!$L$6&lt;&gt;"Có",N4207="Có"),OR(DANH_MUC!$L$7&lt;&gt;"Có",O4207="Có"),OR(DANH_MUC!$L$8&lt;&gt;"Có",P4207="Có")),"Có","Không"))</f>
        <v/>
      </c>
      <c r="R4207" s="22">
        <f>IF($D4207="","",IF(COUNTIF($D$2:$D4207,$D4207)&gt;1,"Trùng",""))</f>
        <v/>
      </c>
      <c r="S4207" s="22">
        <f>IF($D4207="","",IF(AND(LEN($D4207)=10,LEFT($D4207,1)="0",ISNUMBER(--$D4207)),"Có","Không"))</f>
        <v/>
      </c>
      <c r="T4207" s="22">
        <f>IF($D4207="","",IF(AND($C4207&lt;&gt;"",$Q4207="Có",$R4207="",$S4207="Có",AND($L4207&lt;&gt;"",OR($L4207&lt;&gt;"Chưa xác định",DANH_MUC!$L$9="Có"))),"Có","Không"))</f>
        <v/>
      </c>
      <c r="U4207" s="22">
        <f>IF(OR($D4207="",$T4207="Có"),"",IF($C4207="","Thiếu họ tên; ","")&amp;IF($S4207&lt;&gt;"Có","SĐT sai định dạng; ","")&amp;IF($R4207="Trùng","Trùng SĐT; ","")&amp;IF($Q4207&lt;&gt;"Có","Thiếu đồng ý bắt buộc; ","")&amp;IF($L4207="","Thiếu/sai Mã REF; ",IF(AND($L4207="Chưa xác định",DANH_MUC!$L$9&lt;&gt;"Có"),"Nguồn chưa xác định; ","")))</f>
        <v/>
      </c>
      <c r="V4207" s="22">
        <f>IF(OR($D4207="",$R4207="Trùng"),"",IF(COUNTIF(ORDERS!$C$2:$C$4995,$D4207)&gt;0,"Có","Không"))</f>
        <v/>
      </c>
      <c r="W4207" s="22">
        <f>IF(OR($D4207="",$R4207="Trùng"),"",COUNTIFS(ORDERS!$C$2:$C$4995,$D4207,ORDERS!$L$2:$L$4995,"Đã chuyển khoản"))</f>
        <v/>
      </c>
      <c r="X4207" s="23">
        <f>IF(OR($D4207="",$R4207="Trùng"),"",SUMIFS(ORDERS!$J$2:$J$4995,ORDERS!$C$2:$C$4995,$D4207,ORDERS!$L$2:$L$4995,"Đã chuyển khoản"))</f>
        <v/>
      </c>
      <c r="Y4207" s="24" t="n"/>
    </row>
    <row r="4208" ht="14.25" customHeight="1" s="40">
      <c r="A4208" s="24" t="n"/>
      <c r="B4208" s="27" t="n"/>
      <c r="C4208" s="24" t="n"/>
      <c r="D4208" s="28" t="n"/>
      <c r="E4208" s="29" t="n"/>
      <c r="F4208" s="24" t="n"/>
      <c r="G4208" s="24" t="n"/>
      <c r="H4208" s="21">
        <f>IF(ISNUMBER($B4208),INT($B4208)-WEEKDAY($B4208,2)+1,"")</f>
        <v/>
      </c>
      <c r="I4208" s="24" t="n"/>
      <c r="J4208" s="22">
        <f t="array" ref="J4208">IF($D4208="","",IF($I4208="","(trống REF)",IFERROR(INDEX(MASTER_SOURCE!$B$2:$B$495,MATCH($I4208,MASTER_SOURCE!$A$2:$A$495,0)),"(REF không có trong MASTER_SOURCE)")))</f>
        <v/>
      </c>
      <c r="K4208" s="22">
        <f t="array" ref="K4208">IF($D4208="","",IFERROR(INDEX(MASTER_SOURCE!$C$2:$C$495,MATCH($I4208,MASTER_SOURCE!$A$2:$A$495,0)),""))</f>
        <v/>
      </c>
      <c r="L4208" s="22">
        <f t="array" ref="L4208">IF($D4208="","",IFERROR(INDEX(MASTER_SOURCE!$D$2:$D$495,MATCH($I4208,MASTER_SOURCE!$A$2:$A$495,0)),""))</f>
        <v/>
      </c>
      <c r="M4208" s="24" t="n"/>
      <c r="N4208" s="24" t="n"/>
      <c r="O4208" s="24" t="n"/>
      <c r="P4208" s="24" t="n"/>
      <c r="Q4208" s="22">
        <f>IF($D4208="","",IF(AND(OR(DANH_MUC!$L$5&lt;&gt;"Có",M4208="Có"),OR(DANH_MUC!$L$6&lt;&gt;"Có",N4208="Có"),OR(DANH_MUC!$L$7&lt;&gt;"Có",O4208="Có"),OR(DANH_MUC!$L$8&lt;&gt;"Có",P4208="Có")),"Có","Không"))</f>
        <v/>
      </c>
      <c r="R4208" s="22">
        <f>IF($D4208="","",IF(COUNTIF($D$2:$D4208,$D4208)&gt;1,"Trùng",""))</f>
        <v/>
      </c>
      <c r="S4208" s="22">
        <f>IF($D4208="","",IF(AND(LEN($D4208)=10,LEFT($D4208,1)="0",ISNUMBER(--$D4208)),"Có","Không"))</f>
        <v/>
      </c>
      <c r="T4208" s="22">
        <f>IF($D4208="","",IF(AND($C4208&lt;&gt;"",$Q4208="Có",$R4208="",$S4208="Có",AND($L4208&lt;&gt;"",OR($L4208&lt;&gt;"Chưa xác định",DANH_MUC!$L$9="Có"))),"Có","Không"))</f>
        <v/>
      </c>
      <c r="U4208" s="22">
        <f>IF(OR($D4208="",$T4208="Có"),"",IF($C4208="","Thiếu họ tên; ","")&amp;IF($S4208&lt;&gt;"Có","SĐT sai định dạng; ","")&amp;IF($R4208="Trùng","Trùng SĐT; ","")&amp;IF($Q4208&lt;&gt;"Có","Thiếu đồng ý bắt buộc; ","")&amp;IF($L4208="","Thiếu/sai Mã REF; ",IF(AND($L4208="Chưa xác định",DANH_MUC!$L$9&lt;&gt;"Có"),"Nguồn chưa xác định; ","")))</f>
        <v/>
      </c>
      <c r="V4208" s="22">
        <f>IF(OR($D4208="",$R4208="Trùng"),"",IF(COUNTIF(ORDERS!$C$2:$C$4995,$D4208)&gt;0,"Có","Không"))</f>
        <v/>
      </c>
      <c r="W4208" s="22">
        <f>IF(OR($D4208="",$R4208="Trùng"),"",COUNTIFS(ORDERS!$C$2:$C$4995,$D4208,ORDERS!$L$2:$L$4995,"Đã chuyển khoản"))</f>
        <v/>
      </c>
      <c r="X4208" s="23">
        <f>IF(OR($D4208="",$R4208="Trùng"),"",SUMIFS(ORDERS!$J$2:$J$4995,ORDERS!$C$2:$C$4995,$D4208,ORDERS!$L$2:$L$4995,"Đã chuyển khoản"))</f>
        <v/>
      </c>
      <c r="Y4208" s="24" t="n"/>
    </row>
    <row r="4209" ht="14.25" customHeight="1" s="40">
      <c r="A4209" s="24" t="n"/>
      <c r="B4209" s="27" t="n"/>
      <c r="C4209" s="24" t="n"/>
      <c r="D4209" s="28" t="n"/>
      <c r="E4209" s="29" t="n"/>
      <c r="F4209" s="24" t="n"/>
      <c r="G4209" s="24" t="n"/>
      <c r="H4209" s="21">
        <f>IF(ISNUMBER($B4209),INT($B4209)-WEEKDAY($B4209,2)+1,"")</f>
        <v/>
      </c>
      <c r="I4209" s="24" t="n"/>
      <c r="J4209" s="22">
        <f t="array" ref="J4209">IF($D4209="","",IF($I4209="","(trống REF)",IFERROR(INDEX(MASTER_SOURCE!$B$2:$B$495,MATCH($I4209,MASTER_SOURCE!$A$2:$A$495,0)),"(REF không có trong MASTER_SOURCE)")))</f>
        <v/>
      </c>
      <c r="K4209" s="22">
        <f t="array" ref="K4209">IF($D4209="","",IFERROR(INDEX(MASTER_SOURCE!$C$2:$C$495,MATCH($I4209,MASTER_SOURCE!$A$2:$A$495,0)),""))</f>
        <v/>
      </c>
      <c r="L4209" s="22">
        <f t="array" ref="L4209">IF($D4209="","",IFERROR(INDEX(MASTER_SOURCE!$D$2:$D$495,MATCH($I4209,MASTER_SOURCE!$A$2:$A$495,0)),""))</f>
        <v/>
      </c>
      <c r="M4209" s="24" t="n"/>
      <c r="N4209" s="24" t="n"/>
      <c r="O4209" s="24" t="n"/>
      <c r="P4209" s="24" t="n"/>
      <c r="Q4209" s="22">
        <f>IF($D4209="","",IF(AND(OR(DANH_MUC!$L$5&lt;&gt;"Có",M4209="Có"),OR(DANH_MUC!$L$6&lt;&gt;"Có",N4209="Có"),OR(DANH_MUC!$L$7&lt;&gt;"Có",O4209="Có"),OR(DANH_MUC!$L$8&lt;&gt;"Có",P4209="Có")),"Có","Không"))</f>
        <v/>
      </c>
      <c r="R4209" s="22">
        <f>IF($D4209="","",IF(COUNTIF($D$2:$D4209,$D4209)&gt;1,"Trùng",""))</f>
        <v/>
      </c>
      <c r="S4209" s="22">
        <f>IF($D4209="","",IF(AND(LEN($D4209)=10,LEFT($D4209,1)="0",ISNUMBER(--$D4209)),"Có","Không"))</f>
        <v/>
      </c>
      <c r="T4209" s="22">
        <f>IF($D4209="","",IF(AND($C4209&lt;&gt;"",$Q4209="Có",$R4209="",$S4209="Có",AND($L4209&lt;&gt;"",OR($L4209&lt;&gt;"Chưa xác định",DANH_MUC!$L$9="Có"))),"Có","Không"))</f>
        <v/>
      </c>
      <c r="U4209" s="22">
        <f>IF(OR($D4209="",$T4209="Có"),"",IF($C4209="","Thiếu họ tên; ","")&amp;IF($S4209&lt;&gt;"Có","SĐT sai định dạng; ","")&amp;IF($R4209="Trùng","Trùng SĐT; ","")&amp;IF($Q4209&lt;&gt;"Có","Thiếu đồng ý bắt buộc; ","")&amp;IF($L4209="","Thiếu/sai Mã REF; ",IF(AND($L4209="Chưa xác định",DANH_MUC!$L$9&lt;&gt;"Có"),"Nguồn chưa xác định; ","")))</f>
        <v/>
      </c>
      <c r="V4209" s="22">
        <f>IF(OR($D4209="",$R4209="Trùng"),"",IF(COUNTIF(ORDERS!$C$2:$C$4995,$D4209)&gt;0,"Có","Không"))</f>
        <v/>
      </c>
      <c r="W4209" s="22">
        <f>IF(OR($D4209="",$R4209="Trùng"),"",COUNTIFS(ORDERS!$C$2:$C$4995,$D4209,ORDERS!$L$2:$L$4995,"Đã chuyển khoản"))</f>
        <v/>
      </c>
      <c r="X4209" s="23">
        <f>IF(OR($D4209="",$R4209="Trùng"),"",SUMIFS(ORDERS!$J$2:$J$4995,ORDERS!$C$2:$C$4995,$D4209,ORDERS!$L$2:$L$4995,"Đã chuyển khoản"))</f>
        <v/>
      </c>
      <c r="Y4209" s="24" t="n"/>
    </row>
    <row r="4210" ht="14.25" customHeight="1" s="40">
      <c r="A4210" s="24" t="n"/>
      <c r="B4210" s="27" t="n"/>
      <c r="C4210" s="24" t="n"/>
      <c r="D4210" s="28" t="n"/>
      <c r="E4210" s="29" t="n"/>
      <c r="F4210" s="24" t="n"/>
      <c r="G4210" s="24" t="n"/>
      <c r="H4210" s="21">
        <f>IF(ISNUMBER($B4210),INT($B4210)-WEEKDAY($B4210,2)+1,"")</f>
        <v/>
      </c>
      <c r="I4210" s="24" t="n"/>
      <c r="J4210" s="22">
        <f t="array" ref="J4210">IF($D4210="","",IF($I4210="","(trống REF)",IFERROR(INDEX(MASTER_SOURCE!$B$2:$B$495,MATCH($I4210,MASTER_SOURCE!$A$2:$A$495,0)),"(REF không có trong MASTER_SOURCE)")))</f>
        <v/>
      </c>
      <c r="K4210" s="22">
        <f t="array" ref="K4210">IF($D4210="","",IFERROR(INDEX(MASTER_SOURCE!$C$2:$C$495,MATCH($I4210,MASTER_SOURCE!$A$2:$A$495,0)),""))</f>
        <v/>
      </c>
      <c r="L4210" s="22">
        <f t="array" ref="L4210">IF($D4210="","",IFERROR(INDEX(MASTER_SOURCE!$D$2:$D$495,MATCH($I4210,MASTER_SOURCE!$A$2:$A$495,0)),""))</f>
        <v/>
      </c>
      <c r="M4210" s="24" t="n"/>
      <c r="N4210" s="24" t="n"/>
      <c r="O4210" s="24" t="n"/>
      <c r="P4210" s="24" t="n"/>
      <c r="Q4210" s="22">
        <f>IF($D4210="","",IF(AND(OR(DANH_MUC!$L$5&lt;&gt;"Có",M4210="Có"),OR(DANH_MUC!$L$6&lt;&gt;"Có",N4210="Có"),OR(DANH_MUC!$L$7&lt;&gt;"Có",O4210="Có"),OR(DANH_MUC!$L$8&lt;&gt;"Có",P4210="Có")),"Có","Không"))</f>
        <v/>
      </c>
      <c r="R4210" s="22">
        <f>IF($D4210="","",IF(COUNTIF($D$2:$D4210,$D4210)&gt;1,"Trùng",""))</f>
        <v/>
      </c>
      <c r="S4210" s="22">
        <f>IF($D4210="","",IF(AND(LEN($D4210)=10,LEFT($D4210,1)="0",ISNUMBER(--$D4210)),"Có","Không"))</f>
        <v/>
      </c>
      <c r="T4210" s="22">
        <f>IF($D4210="","",IF(AND($C4210&lt;&gt;"",$Q4210="Có",$R4210="",$S4210="Có",AND($L4210&lt;&gt;"",OR($L4210&lt;&gt;"Chưa xác định",DANH_MUC!$L$9="Có"))),"Có","Không"))</f>
        <v/>
      </c>
      <c r="U4210" s="22">
        <f>IF(OR($D4210="",$T4210="Có"),"",IF($C4210="","Thiếu họ tên; ","")&amp;IF($S4210&lt;&gt;"Có","SĐT sai định dạng; ","")&amp;IF($R4210="Trùng","Trùng SĐT; ","")&amp;IF($Q4210&lt;&gt;"Có","Thiếu đồng ý bắt buộc; ","")&amp;IF($L4210="","Thiếu/sai Mã REF; ",IF(AND($L4210="Chưa xác định",DANH_MUC!$L$9&lt;&gt;"Có"),"Nguồn chưa xác định; ","")))</f>
        <v/>
      </c>
      <c r="V4210" s="22">
        <f>IF(OR($D4210="",$R4210="Trùng"),"",IF(COUNTIF(ORDERS!$C$2:$C$4995,$D4210)&gt;0,"Có","Không"))</f>
        <v/>
      </c>
      <c r="W4210" s="22">
        <f>IF(OR($D4210="",$R4210="Trùng"),"",COUNTIFS(ORDERS!$C$2:$C$4995,$D4210,ORDERS!$L$2:$L$4995,"Đã chuyển khoản"))</f>
        <v/>
      </c>
      <c r="X4210" s="23">
        <f>IF(OR($D4210="",$R4210="Trùng"),"",SUMIFS(ORDERS!$J$2:$J$4995,ORDERS!$C$2:$C$4995,$D4210,ORDERS!$L$2:$L$4995,"Đã chuyển khoản"))</f>
        <v/>
      </c>
      <c r="Y4210" s="24" t="n"/>
    </row>
    <row r="4211" ht="14.25" customHeight="1" s="40">
      <c r="A4211" s="24" t="n"/>
      <c r="B4211" s="27" t="n"/>
      <c r="C4211" s="24" t="n"/>
      <c r="D4211" s="28" t="n"/>
      <c r="E4211" s="29" t="n"/>
      <c r="F4211" s="24" t="n"/>
      <c r="G4211" s="24" t="n"/>
      <c r="H4211" s="21">
        <f>IF(ISNUMBER($B4211),INT($B4211)-WEEKDAY($B4211,2)+1,"")</f>
        <v/>
      </c>
      <c r="I4211" s="24" t="n"/>
      <c r="J4211" s="22">
        <f t="array" ref="J4211">IF($D4211="","",IF($I4211="","(trống REF)",IFERROR(INDEX(MASTER_SOURCE!$B$2:$B$495,MATCH($I4211,MASTER_SOURCE!$A$2:$A$495,0)),"(REF không có trong MASTER_SOURCE)")))</f>
        <v/>
      </c>
      <c r="K4211" s="22">
        <f t="array" ref="K4211">IF($D4211="","",IFERROR(INDEX(MASTER_SOURCE!$C$2:$C$495,MATCH($I4211,MASTER_SOURCE!$A$2:$A$495,0)),""))</f>
        <v/>
      </c>
      <c r="L4211" s="22">
        <f t="array" ref="L4211">IF($D4211="","",IFERROR(INDEX(MASTER_SOURCE!$D$2:$D$495,MATCH($I4211,MASTER_SOURCE!$A$2:$A$495,0)),""))</f>
        <v/>
      </c>
      <c r="M4211" s="24" t="n"/>
      <c r="N4211" s="24" t="n"/>
      <c r="O4211" s="24" t="n"/>
      <c r="P4211" s="24" t="n"/>
      <c r="Q4211" s="22">
        <f>IF($D4211="","",IF(AND(OR(DANH_MUC!$L$5&lt;&gt;"Có",M4211="Có"),OR(DANH_MUC!$L$6&lt;&gt;"Có",N4211="Có"),OR(DANH_MUC!$L$7&lt;&gt;"Có",O4211="Có"),OR(DANH_MUC!$L$8&lt;&gt;"Có",P4211="Có")),"Có","Không"))</f>
        <v/>
      </c>
      <c r="R4211" s="22">
        <f>IF($D4211="","",IF(COUNTIF($D$2:$D4211,$D4211)&gt;1,"Trùng",""))</f>
        <v/>
      </c>
      <c r="S4211" s="22">
        <f>IF($D4211="","",IF(AND(LEN($D4211)=10,LEFT($D4211,1)="0",ISNUMBER(--$D4211)),"Có","Không"))</f>
        <v/>
      </c>
      <c r="T4211" s="22">
        <f>IF($D4211="","",IF(AND($C4211&lt;&gt;"",$Q4211="Có",$R4211="",$S4211="Có",AND($L4211&lt;&gt;"",OR($L4211&lt;&gt;"Chưa xác định",DANH_MUC!$L$9="Có"))),"Có","Không"))</f>
        <v/>
      </c>
      <c r="U4211" s="22">
        <f>IF(OR($D4211="",$T4211="Có"),"",IF($C4211="","Thiếu họ tên; ","")&amp;IF($S4211&lt;&gt;"Có","SĐT sai định dạng; ","")&amp;IF($R4211="Trùng","Trùng SĐT; ","")&amp;IF($Q4211&lt;&gt;"Có","Thiếu đồng ý bắt buộc; ","")&amp;IF($L4211="","Thiếu/sai Mã REF; ",IF(AND($L4211="Chưa xác định",DANH_MUC!$L$9&lt;&gt;"Có"),"Nguồn chưa xác định; ","")))</f>
        <v/>
      </c>
      <c r="V4211" s="22">
        <f>IF(OR($D4211="",$R4211="Trùng"),"",IF(COUNTIF(ORDERS!$C$2:$C$4995,$D4211)&gt;0,"Có","Không"))</f>
        <v/>
      </c>
      <c r="W4211" s="22">
        <f>IF(OR($D4211="",$R4211="Trùng"),"",COUNTIFS(ORDERS!$C$2:$C$4995,$D4211,ORDERS!$L$2:$L$4995,"Đã chuyển khoản"))</f>
        <v/>
      </c>
      <c r="X4211" s="23">
        <f>IF(OR($D4211="",$R4211="Trùng"),"",SUMIFS(ORDERS!$J$2:$J$4995,ORDERS!$C$2:$C$4995,$D4211,ORDERS!$L$2:$L$4995,"Đã chuyển khoản"))</f>
        <v/>
      </c>
      <c r="Y4211" s="24" t="n"/>
    </row>
    <row r="4212" ht="14.25" customHeight="1" s="40">
      <c r="A4212" s="24" t="n"/>
      <c r="B4212" s="27" t="n"/>
      <c r="C4212" s="24" t="n"/>
      <c r="D4212" s="28" t="n"/>
      <c r="E4212" s="29" t="n"/>
      <c r="F4212" s="24" t="n"/>
      <c r="G4212" s="24" t="n"/>
      <c r="H4212" s="21">
        <f>IF(ISNUMBER($B4212),INT($B4212)-WEEKDAY($B4212,2)+1,"")</f>
        <v/>
      </c>
      <c r="I4212" s="24" t="n"/>
      <c r="J4212" s="22">
        <f t="array" ref="J4212">IF($D4212="","",IF($I4212="","(trống REF)",IFERROR(INDEX(MASTER_SOURCE!$B$2:$B$495,MATCH($I4212,MASTER_SOURCE!$A$2:$A$495,0)),"(REF không có trong MASTER_SOURCE)")))</f>
        <v/>
      </c>
      <c r="K4212" s="22">
        <f t="array" ref="K4212">IF($D4212="","",IFERROR(INDEX(MASTER_SOURCE!$C$2:$C$495,MATCH($I4212,MASTER_SOURCE!$A$2:$A$495,0)),""))</f>
        <v/>
      </c>
      <c r="L4212" s="22">
        <f t="array" ref="L4212">IF($D4212="","",IFERROR(INDEX(MASTER_SOURCE!$D$2:$D$495,MATCH($I4212,MASTER_SOURCE!$A$2:$A$495,0)),""))</f>
        <v/>
      </c>
      <c r="M4212" s="24" t="n"/>
      <c r="N4212" s="24" t="n"/>
      <c r="O4212" s="24" t="n"/>
      <c r="P4212" s="24" t="n"/>
      <c r="Q4212" s="22">
        <f>IF($D4212="","",IF(AND(OR(DANH_MUC!$L$5&lt;&gt;"Có",M4212="Có"),OR(DANH_MUC!$L$6&lt;&gt;"Có",N4212="Có"),OR(DANH_MUC!$L$7&lt;&gt;"Có",O4212="Có"),OR(DANH_MUC!$L$8&lt;&gt;"Có",P4212="Có")),"Có","Không"))</f>
        <v/>
      </c>
      <c r="R4212" s="22">
        <f>IF($D4212="","",IF(COUNTIF($D$2:$D4212,$D4212)&gt;1,"Trùng",""))</f>
        <v/>
      </c>
      <c r="S4212" s="22">
        <f>IF($D4212="","",IF(AND(LEN($D4212)=10,LEFT($D4212,1)="0",ISNUMBER(--$D4212)),"Có","Không"))</f>
        <v/>
      </c>
      <c r="T4212" s="22">
        <f>IF($D4212="","",IF(AND($C4212&lt;&gt;"",$Q4212="Có",$R4212="",$S4212="Có",AND($L4212&lt;&gt;"",OR($L4212&lt;&gt;"Chưa xác định",DANH_MUC!$L$9="Có"))),"Có","Không"))</f>
        <v/>
      </c>
      <c r="U4212" s="22">
        <f>IF(OR($D4212="",$T4212="Có"),"",IF($C4212="","Thiếu họ tên; ","")&amp;IF($S4212&lt;&gt;"Có","SĐT sai định dạng; ","")&amp;IF($R4212="Trùng","Trùng SĐT; ","")&amp;IF($Q4212&lt;&gt;"Có","Thiếu đồng ý bắt buộc; ","")&amp;IF($L4212="","Thiếu/sai Mã REF; ",IF(AND($L4212="Chưa xác định",DANH_MUC!$L$9&lt;&gt;"Có"),"Nguồn chưa xác định; ","")))</f>
        <v/>
      </c>
      <c r="V4212" s="22">
        <f>IF(OR($D4212="",$R4212="Trùng"),"",IF(COUNTIF(ORDERS!$C$2:$C$4995,$D4212)&gt;0,"Có","Không"))</f>
        <v/>
      </c>
      <c r="W4212" s="22">
        <f>IF(OR($D4212="",$R4212="Trùng"),"",COUNTIFS(ORDERS!$C$2:$C$4995,$D4212,ORDERS!$L$2:$L$4995,"Đã chuyển khoản"))</f>
        <v/>
      </c>
      <c r="X4212" s="23">
        <f>IF(OR($D4212="",$R4212="Trùng"),"",SUMIFS(ORDERS!$J$2:$J$4995,ORDERS!$C$2:$C$4995,$D4212,ORDERS!$L$2:$L$4995,"Đã chuyển khoản"))</f>
        <v/>
      </c>
      <c r="Y4212" s="24" t="n"/>
    </row>
    <row r="4213" ht="14.25" customHeight="1" s="40">
      <c r="A4213" s="24" t="n"/>
      <c r="B4213" s="27" t="n"/>
      <c r="C4213" s="24" t="n"/>
      <c r="D4213" s="28" t="n"/>
      <c r="E4213" s="29" t="n"/>
      <c r="F4213" s="24" t="n"/>
      <c r="G4213" s="24" t="n"/>
      <c r="H4213" s="21">
        <f>IF(ISNUMBER($B4213),INT($B4213)-WEEKDAY($B4213,2)+1,"")</f>
        <v/>
      </c>
      <c r="I4213" s="24" t="n"/>
      <c r="J4213" s="22">
        <f t="array" ref="J4213">IF($D4213="","",IF($I4213="","(trống REF)",IFERROR(INDEX(MASTER_SOURCE!$B$2:$B$495,MATCH($I4213,MASTER_SOURCE!$A$2:$A$495,0)),"(REF không có trong MASTER_SOURCE)")))</f>
        <v/>
      </c>
      <c r="K4213" s="22">
        <f t="array" ref="K4213">IF($D4213="","",IFERROR(INDEX(MASTER_SOURCE!$C$2:$C$495,MATCH($I4213,MASTER_SOURCE!$A$2:$A$495,0)),""))</f>
        <v/>
      </c>
      <c r="L4213" s="22">
        <f t="array" ref="L4213">IF($D4213="","",IFERROR(INDEX(MASTER_SOURCE!$D$2:$D$495,MATCH($I4213,MASTER_SOURCE!$A$2:$A$495,0)),""))</f>
        <v/>
      </c>
      <c r="M4213" s="24" t="n"/>
      <c r="N4213" s="24" t="n"/>
      <c r="O4213" s="24" t="n"/>
      <c r="P4213" s="24" t="n"/>
      <c r="Q4213" s="22">
        <f>IF($D4213="","",IF(AND(OR(DANH_MUC!$L$5&lt;&gt;"Có",M4213="Có"),OR(DANH_MUC!$L$6&lt;&gt;"Có",N4213="Có"),OR(DANH_MUC!$L$7&lt;&gt;"Có",O4213="Có"),OR(DANH_MUC!$L$8&lt;&gt;"Có",P4213="Có")),"Có","Không"))</f>
        <v/>
      </c>
      <c r="R4213" s="22">
        <f>IF($D4213="","",IF(COUNTIF($D$2:$D4213,$D4213)&gt;1,"Trùng",""))</f>
        <v/>
      </c>
      <c r="S4213" s="22">
        <f>IF($D4213="","",IF(AND(LEN($D4213)=10,LEFT($D4213,1)="0",ISNUMBER(--$D4213)),"Có","Không"))</f>
        <v/>
      </c>
      <c r="T4213" s="22">
        <f>IF($D4213="","",IF(AND($C4213&lt;&gt;"",$Q4213="Có",$R4213="",$S4213="Có",AND($L4213&lt;&gt;"",OR($L4213&lt;&gt;"Chưa xác định",DANH_MUC!$L$9="Có"))),"Có","Không"))</f>
        <v/>
      </c>
      <c r="U4213" s="22">
        <f>IF(OR($D4213="",$T4213="Có"),"",IF($C4213="","Thiếu họ tên; ","")&amp;IF($S4213&lt;&gt;"Có","SĐT sai định dạng; ","")&amp;IF($R4213="Trùng","Trùng SĐT; ","")&amp;IF($Q4213&lt;&gt;"Có","Thiếu đồng ý bắt buộc; ","")&amp;IF($L4213="","Thiếu/sai Mã REF; ",IF(AND($L4213="Chưa xác định",DANH_MUC!$L$9&lt;&gt;"Có"),"Nguồn chưa xác định; ","")))</f>
        <v/>
      </c>
      <c r="V4213" s="22">
        <f>IF(OR($D4213="",$R4213="Trùng"),"",IF(COUNTIF(ORDERS!$C$2:$C$4995,$D4213)&gt;0,"Có","Không"))</f>
        <v/>
      </c>
      <c r="W4213" s="22">
        <f>IF(OR($D4213="",$R4213="Trùng"),"",COUNTIFS(ORDERS!$C$2:$C$4995,$D4213,ORDERS!$L$2:$L$4995,"Đã chuyển khoản"))</f>
        <v/>
      </c>
      <c r="X4213" s="23">
        <f>IF(OR($D4213="",$R4213="Trùng"),"",SUMIFS(ORDERS!$J$2:$J$4995,ORDERS!$C$2:$C$4995,$D4213,ORDERS!$L$2:$L$4995,"Đã chuyển khoản"))</f>
        <v/>
      </c>
      <c r="Y4213" s="24" t="n"/>
    </row>
    <row r="4214" ht="14.25" customHeight="1" s="40">
      <c r="A4214" s="24" t="n"/>
      <c r="B4214" s="27" t="n"/>
      <c r="C4214" s="24" t="n"/>
      <c r="D4214" s="28" t="n"/>
      <c r="E4214" s="29" t="n"/>
      <c r="F4214" s="24" t="n"/>
      <c r="G4214" s="24" t="n"/>
      <c r="H4214" s="21">
        <f>IF(ISNUMBER($B4214),INT($B4214)-WEEKDAY($B4214,2)+1,"")</f>
        <v/>
      </c>
      <c r="I4214" s="24" t="n"/>
      <c r="J4214" s="22">
        <f t="array" ref="J4214">IF($D4214="","",IF($I4214="","(trống REF)",IFERROR(INDEX(MASTER_SOURCE!$B$2:$B$495,MATCH($I4214,MASTER_SOURCE!$A$2:$A$495,0)),"(REF không có trong MASTER_SOURCE)")))</f>
        <v/>
      </c>
      <c r="K4214" s="22">
        <f t="array" ref="K4214">IF($D4214="","",IFERROR(INDEX(MASTER_SOURCE!$C$2:$C$495,MATCH($I4214,MASTER_SOURCE!$A$2:$A$495,0)),""))</f>
        <v/>
      </c>
      <c r="L4214" s="22">
        <f t="array" ref="L4214">IF($D4214="","",IFERROR(INDEX(MASTER_SOURCE!$D$2:$D$495,MATCH($I4214,MASTER_SOURCE!$A$2:$A$495,0)),""))</f>
        <v/>
      </c>
      <c r="M4214" s="24" t="n"/>
      <c r="N4214" s="24" t="n"/>
      <c r="O4214" s="24" t="n"/>
      <c r="P4214" s="24" t="n"/>
      <c r="Q4214" s="22">
        <f>IF($D4214="","",IF(AND(OR(DANH_MUC!$L$5&lt;&gt;"Có",M4214="Có"),OR(DANH_MUC!$L$6&lt;&gt;"Có",N4214="Có"),OR(DANH_MUC!$L$7&lt;&gt;"Có",O4214="Có"),OR(DANH_MUC!$L$8&lt;&gt;"Có",P4214="Có")),"Có","Không"))</f>
        <v/>
      </c>
      <c r="R4214" s="22">
        <f>IF($D4214="","",IF(COUNTIF($D$2:$D4214,$D4214)&gt;1,"Trùng",""))</f>
        <v/>
      </c>
      <c r="S4214" s="22">
        <f>IF($D4214="","",IF(AND(LEN($D4214)=10,LEFT($D4214,1)="0",ISNUMBER(--$D4214)),"Có","Không"))</f>
        <v/>
      </c>
      <c r="T4214" s="22">
        <f>IF($D4214="","",IF(AND($C4214&lt;&gt;"",$Q4214="Có",$R4214="",$S4214="Có",AND($L4214&lt;&gt;"",OR($L4214&lt;&gt;"Chưa xác định",DANH_MUC!$L$9="Có"))),"Có","Không"))</f>
        <v/>
      </c>
      <c r="U4214" s="22">
        <f>IF(OR($D4214="",$T4214="Có"),"",IF($C4214="","Thiếu họ tên; ","")&amp;IF($S4214&lt;&gt;"Có","SĐT sai định dạng; ","")&amp;IF($R4214="Trùng","Trùng SĐT; ","")&amp;IF($Q4214&lt;&gt;"Có","Thiếu đồng ý bắt buộc; ","")&amp;IF($L4214="","Thiếu/sai Mã REF; ",IF(AND($L4214="Chưa xác định",DANH_MUC!$L$9&lt;&gt;"Có"),"Nguồn chưa xác định; ","")))</f>
        <v/>
      </c>
      <c r="V4214" s="22">
        <f>IF(OR($D4214="",$R4214="Trùng"),"",IF(COUNTIF(ORDERS!$C$2:$C$4995,$D4214)&gt;0,"Có","Không"))</f>
        <v/>
      </c>
      <c r="W4214" s="22">
        <f>IF(OR($D4214="",$R4214="Trùng"),"",COUNTIFS(ORDERS!$C$2:$C$4995,$D4214,ORDERS!$L$2:$L$4995,"Đã chuyển khoản"))</f>
        <v/>
      </c>
      <c r="X4214" s="23">
        <f>IF(OR($D4214="",$R4214="Trùng"),"",SUMIFS(ORDERS!$J$2:$J$4995,ORDERS!$C$2:$C$4995,$D4214,ORDERS!$L$2:$L$4995,"Đã chuyển khoản"))</f>
        <v/>
      </c>
      <c r="Y4214" s="24" t="n"/>
    </row>
    <row r="4215" ht="14.25" customHeight="1" s="40">
      <c r="A4215" s="24" t="n"/>
      <c r="B4215" s="27" t="n"/>
      <c r="C4215" s="24" t="n"/>
      <c r="D4215" s="28" t="n"/>
      <c r="E4215" s="29" t="n"/>
      <c r="F4215" s="24" t="n"/>
      <c r="G4215" s="24" t="n"/>
      <c r="H4215" s="21">
        <f>IF(ISNUMBER($B4215),INT($B4215)-WEEKDAY($B4215,2)+1,"")</f>
        <v/>
      </c>
      <c r="I4215" s="24" t="n"/>
      <c r="J4215" s="22">
        <f t="array" ref="J4215">IF($D4215="","",IF($I4215="","(trống REF)",IFERROR(INDEX(MASTER_SOURCE!$B$2:$B$495,MATCH($I4215,MASTER_SOURCE!$A$2:$A$495,0)),"(REF không có trong MASTER_SOURCE)")))</f>
        <v/>
      </c>
      <c r="K4215" s="22">
        <f t="array" ref="K4215">IF($D4215="","",IFERROR(INDEX(MASTER_SOURCE!$C$2:$C$495,MATCH($I4215,MASTER_SOURCE!$A$2:$A$495,0)),""))</f>
        <v/>
      </c>
      <c r="L4215" s="22">
        <f t="array" ref="L4215">IF($D4215="","",IFERROR(INDEX(MASTER_SOURCE!$D$2:$D$495,MATCH($I4215,MASTER_SOURCE!$A$2:$A$495,0)),""))</f>
        <v/>
      </c>
      <c r="M4215" s="24" t="n"/>
      <c r="N4215" s="24" t="n"/>
      <c r="O4215" s="24" t="n"/>
      <c r="P4215" s="24" t="n"/>
      <c r="Q4215" s="22">
        <f>IF($D4215="","",IF(AND(OR(DANH_MUC!$L$5&lt;&gt;"Có",M4215="Có"),OR(DANH_MUC!$L$6&lt;&gt;"Có",N4215="Có"),OR(DANH_MUC!$L$7&lt;&gt;"Có",O4215="Có"),OR(DANH_MUC!$L$8&lt;&gt;"Có",P4215="Có")),"Có","Không"))</f>
        <v/>
      </c>
      <c r="R4215" s="22">
        <f>IF($D4215="","",IF(COUNTIF($D$2:$D4215,$D4215)&gt;1,"Trùng",""))</f>
        <v/>
      </c>
      <c r="S4215" s="22">
        <f>IF($D4215="","",IF(AND(LEN($D4215)=10,LEFT($D4215,1)="0",ISNUMBER(--$D4215)),"Có","Không"))</f>
        <v/>
      </c>
      <c r="T4215" s="22">
        <f>IF($D4215="","",IF(AND($C4215&lt;&gt;"",$Q4215="Có",$R4215="",$S4215="Có",AND($L4215&lt;&gt;"",OR($L4215&lt;&gt;"Chưa xác định",DANH_MUC!$L$9="Có"))),"Có","Không"))</f>
        <v/>
      </c>
      <c r="U4215" s="22">
        <f>IF(OR($D4215="",$T4215="Có"),"",IF($C4215="","Thiếu họ tên; ","")&amp;IF($S4215&lt;&gt;"Có","SĐT sai định dạng; ","")&amp;IF($R4215="Trùng","Trùng SĐT; ","")&amp;IF($Q4215&lt;&gt;"Có","Thiếu đồng ý bắt buộc; ","")&amp;IF($L4215="","Thiếu/sai Mã REF; ",IF(AND($L4215="Chưa xác định",DANH_MUC!$L$9&lt;&gt;"Có"),"Nguồn chưa xác định; ","")))</f>
        <v/>
      </c>
      <c r="V4215" s="22">
        <f>IF(OR($D4215="",$R4215="Trùng"),"",IF(COUNTIF(ORDERS!$C$2:$C$4995,$D4215)&gt;0,"Có","Không"))</f>
        <v/>
      </c>
      <c r="W4215" s="22">
        <f>IF(OR($D4215="",$R4215="Trùng"),"",COUNTIFS(ORDERS!$C$2:$C$4995,$D4215,ORDERS!$L$2:$L$4995,"Đã chuyển khoản"))</f>
        <v/>
      </c>
      <c r="X4215" s="23">
        <f>IF(OR($D4215="",$R4215="Trùng"),"",SUMIFS(ORDERS!$J$2:$J$4995,ORDERS!$C$2:$C$4995,$D4215,ORDERS!$L$2:$L$4995,"Đã chuyển khoản"))</f>
        <v/>
      </c>
      <c r="Y4215" s="24" t="n"/>
    </row>
    <row r="4216" ht="14.25" customHeight="1" s="40">
      <c r="A4216" s="24" t="n"/>
      <c r="B4216" s="27" t="n"/>
      <c r="C4216" s="24" t="n"/>
      <c r="D4216" s="28" t="n"/>
      <c r="E4216" s="29" t="n"/>
      <c r="F4216" s="24" t="n"/>
      <c r="G4216" s="24" t="n"/>
      <c r="H4216" s="21">
        <f>IF(ISNUMBER($B4216),INT($B4216)-WEEKDAY($B4216,2)+1,"")</f>
        <v/>
      </c>
      <c r="I4216" s="24" t="n"/>
      <c r="J4216" s="22">
        <f t="array" ref="J4216">IF($D4216="","",IF($I4216="","(trống REF)",IFERROR(INDEX(MASTER_SOURCE!$B$2:$B$495,MATCH($I4216,MASTER_SOURCE!$A$2:$A$495,0)),"(REF không có trong MASTER_SOURCE)")))</f>
        <v/>
      </c>
      <c r="K4216" s="22">
        <f t="array" ref="K4216">IF($D4216="","",IFERROR(INDEX(MASTER_SOURCE!$C$2:$C$495,MATCH($I4216,MASTER_SOURCE!$A$2:$A$495,0)),""))</f>
        <v/>
      </c>
      <c r="L4216" s="22">
        <f t="array" ref="L4216">IF($D4216="","",IFERROR(INDEX(MASTER_SOURCE!$D$2:$D$495,MATCH($I4216,MASTER_SOURCE!$A$2:$A$495,0)),""))</f>
        <v/>
      </c>
      <c r="M4216" s="24" t="n"/>
      <c r="N4216" s="24" t="n"/>
      <c r="O4216" s="24" t="n"/>
      <c r="P4216" s="24" t="n"/>
      <c r="Q4216" s="22">
        <f>IF($D4216="","",IF(AND(OR(DANH_MUC!$L$5&lt;&gt;"Có",M4216="Có"),OR(DANH_MUC!$L$6&lt;&gt;"Có",N4216="Có"),OR(DANH_MUC!$L$7&lt;&gt;"Có",O4216="Có"),OR(DANH_MUC!$L$8&lt;&gt;"Có",P4216="Có")),"Có","Không"))</f>
        <v/>
      </c>
      <c r="R4216" s="22">
        <f>IF($D4216="","",IF(COUNTIF($D$2:$D4216,$D4216)&gt;1,"Trùng",""))</f>
        <v/>
      </c>
      <c r="S4216" s="22">
        <f>IF($D4216="","",IF(AND(LEN($D4216)=10,LEFT($D4216,1)="0",ISNUMBER(--$D4216)),"Có","Không"))</f>
        <v/>
      </c>
      <c r="T4216" s="22">
        <f>IF($D4216="","",IF(AND($C4216&lt;&gt;"",$Q4216="Có",$R4216="",$S4216="Có",AND($L4216&lt;&gt;"",OR($L4216&lt;&gt;"Chưa xác định",DANH_MUC!$L$9="Có"))),"Có","Không"))</f>
        <v/>
      </c>
      <c r="U4216" s="22">
        <f>IF(OR($D4216="",$T4216="Có"),"",IF($C4216="","Thiếu họ tên; ","")&amp;IF($S4216&lt;&gt;"Có","SĐT sai định dạng; ","")&amp;IF($R4216="Trùng","Trùng SĐT; ","")&amp;IF($Q4216&lt;&gt;"Có","Thiếu đồng ý bắt buộc; ","")&amp;IF($L4216="","Thiếu/sai Mã REF; ",IF(AND($L4216="Chưa xác định",DANH_MUC!$L$9&lt;&gt;"Có"),"Nguồn chưa xác định; ","")))</f>
        <v/>
      </c>
      <c r="V4216" s="22">
        <f>IF(OR($D4216="",$R4216="Trùng"),"",IF(COUNTIF(ORDERS!$C$2:$C$4995,$D4216)&gt;0,"Có","Không"))</f>
        <v/>
      </c>
      <c r="W4216" s="22">
        <f>IF(OR($D4216="",$R4216="Trùng"),"",COUNTIFS(ORDERS!$C$2:$C$4995,$D4216,ORDERS!$L$2:$L$4995,"Đã chuyển khoản"))</f>
        <v/>
      </c>
      <c r="X4216" s="23">
        <f>IF(OR($D4216="",$R4216="Trùng"),"",SUMIFS(ORDERS!$J$2:$J$4995,ORDERS!$C$2:$C$4995,$D4216,ORDERS!$L$2:$L$4995,"Đã chuyển khoản"))</f>
        <v/>
      </c>
      <c r="Y4216" s="24" t="n"/>
    </row>
    <row r="4217" ht="14.25" customHeight="1" s="40">
      <c r="A4217" s="24" t="n"/>
      <c r="B4217" s="27" t="n"/>
      <c r="C4217" s="24" t="n"/>
      <c r="D4217" s="28" t="n"/>
      <c r="E4217" s="29" t="n"/>
      <c r="F4217" s="24" t="n"/>
      <c r="G4217" s="24" t="n"/>
      <c r="H4217" s="21">
        <f>IF(ISNUMBER($B4217),INT($B4217)-WEEKDAY($B4217,2)+1,"")</f>
        <v/>
      </c>
      <c r="I4217" s="24" t="n"/>
      <c r="J4217" s="22">
        <f t="array" ref="J4217">IF($D4217="","",IF($I4217="","(trống REF)",IFERROR(INDEX(MASTER_SOURCE!$B$2:$B$495,MATCH($I4217,MASTER_SOURCE!$A$2:$A$495,0)),"(REF không có trong MASTER_SOURCE)")))</f>
        <v/>
      </c>
      <c r="K4217" s="22">
        <f t="array" ref="K4217">IF($D4217="","",IFERROR(INDEX(MASTER_SOURCE!$C$2:$C$495,MATCH($I4217,MASTER_SOURCE!$A$2:$A$495,0)),""))</f>
        <v/>
      </c>
      <c r="L4217" s="22">
        <f t="array" ref="L4217">IF($D4217="","",IFERROR(INDEX(MASTER_SOURCE!$D$2:$D$495,MATCH($I4217,MASTER_SOURCE!$A$2:$A$495,0)),""))</f>
        <v/>
      </c>
      <c r="M4217" s="24" t="n"/>
      <c r="N4217" s="24" t="n"/>
      <c r="O4217" s="24" t="n"/>
      <c r="P4217" s="24" t="n"/>
      <c r="Q4217" s="22">
        <f>IF($D4217="","",IF(AND(OR(DANH_MUC!$L$5&lt;&gt;"Có",M4217="Có"),OR(DANH_MUC!$L$6&lt;&gt;"Có",N4217="Có"),OR(DANH_MUC!$L$7&lt;&gt;"Có",O4217="Có"),OR(DANH_MUC!$L$8&lt;&gt;"Có",P4217="Có")),"Có","Không"))</f>
        <v/>
      </c>
      <c r="R4217" s="22">
        <f>IF($D4217="","",IF(COUNTIF($D$2:$D4217,$D4217)&gt;1,"Trùng",""))</f>
        <v/>
      </c>
      <c r="S4217" s="22">
        <f>IF($D4217="","",IF(AND(LEN($D4217)=10,LEFT($D4217,1)="0",ISNUMBER(--$D4217)),"Có","Không"))</f>
        <v/>
      </c>
      <c r="T4217" s="22">
        <f>IF($D4217="","",IF(AND($C4217&lt;&gt;"",$Q4217="Có",$R4217="",$S4217="Có",AND($L4217&lt;&gt;"",OR($L4217&lt;&gt;"Chưa xác định",DANH_MUC!$L$9="Có"))),"Có","Không"))</f>
        <v/>
      </c>
      <c r="U4217" s="22">
        <f>IF(OR($D4217="",$T4217="Có"),"",IF($C4217="","Thiếu họ tên; ","")&amp;IF($S4217&lt;&gt;"Có","SĐT sai định dạng; ","")&amp;IF($R4217="Trùng","Trùng SĐT; ","")&amp;IF($Q4217&lt;&gt;"Có","Thiếu đồng ý bắt buộc; ","")&amp;IF($L4217="","Thiếu/sai Mã REF; ",IF(AND($L4217="Chưa xác định",DANH_MUC!$L$9&lt;&gt;"Có"),"Nguồn chưa xác định; ","")))</f>
        <v/>
      </c>
      <c r="V4217" s="22">
        <f>IF(OR($D4217="",$R4217="Trùng"),"",IF(COUNTIF(ORDERS!$C$2:$C$4995,$D4217)&gt;0,"Có","Không"))</f>
        <v/>
      </c>
      <c r="W4217" s="22">
        <f>IF(OR($D4217="",$R4217="Trùng"),"",COUNTIFS(ORDERS!$C$2:$C$4995,$D4217,ORDERS!$L$2:$L$4995,"Đã chuyển khoản"))</f>
        <v/>
      </c>
      <c r="X4217" s="23">
        <f>IF(OR($D4217="",$R4217="Trùng"),"",SUMIFS(ORDERS!$J$2:$J$4995,ORDERS!$C$2:$C$4995,$D4217,ORDERS!$L$2:$L$4995,"Đã chuyển khoản"))</f>
        <v/>
      </c>
      <c r="Y4217" s="24" t="n"/>
    </row>
    <row r="4218" ht="14.25" customHeight="1" s="40">
      <c r="A4218" s="24" t="n"/>
      <c r="B4218" s="27" t="n"/>
      <c r="C4218" s="24" t="n"/>
      <c r="D4218" s="28" t="n"/>
      <c r="E4218" s="29" t="n"/>
      <c r="F4218" s="24" t="n"/>
      <c r="G4218" s="24" t="n"/>
      <c r="H4218" s="21">
        <f>IF(ISNUMBER($B4218),INT($B4218)-WEEKDAY($B4218,2)+1,"")</f>
        <v/>
      </c>
      <c r="I4218" s="24" t="n"/>
      <c r="J4218" s="22">
        <f t="array" ref="J4218">IF($D4218="","",IF($I4218="","(trống REF)",IFERROR(INDEX(MASTER_SOURCE!$B$2:$B$495,MATCH($I4218,MASTER_SOURCE!$A$2:$A$495,0)),"(REF không có trong MASTER_SOURCE)")))</f>
        <v/>
      </c>
      <c r="K4218" s="22">
        <f t="array" ref="K4218">IF($D4218="","",IFERROR(INDEX(MASTER_SOURCE!$C$2:$C$495,MATCH($I4218,MASTER_SOURCE!$A$2:$A$495,0)),""))</f>
        <v/>
      </c>
      <c r="L4218" s="22">
        <f t="array" ref="L4218">IF($D4218="","",IFERROR(INDEX(MASTER_SOURCE!$D$2:$D$495,MATCH($I4218,MASTER_SOURCE!$A$2:$A$495,0)),""))</f>
        <v/>
      </c>
      <c r="M4218" s="24" t="n"/>
      <c r="N4218" s="24" t="n"/>
      <c r="O4218" s="24" t="n"/>
      <c r="P4218" s="24" t="n"/>
      <c r="Q4218" s="22">
        <f>IF($D4218="","",IF(AND(OR(DANH_MUC!$L$5&lt;&gt;"Có",M4218="Có"),OR(DANH_MUC!$L$6&lt;&gt;"Có",N4218="Có"),OR(DANH_MUC!$L$7&lt;&gt;"Có",O4218="Có"),OR(DANH_MUC!$L$8&lt;&gt;"Có",P4218="Có")),"Có","Không"))</f>
        <v/>
      </c>
      <c r="R4218" s="22">
        <f>IF($D4218="","",IF(COUNTIF($D$2:$D4218,$D4218)&gt;1,"Trùng",""))</f>
        <v/>
      </c>
      <c r="S4218" s="22">
        <f>IF($D4218="","",IF(AND(LEN($D4218)=10,LEFT($D4218,1)="0",ISNUMBER(--$D4218)),"Có","Không"))</f>
        <v/>
      </c>
      <c r="T4218" s="22">
        <f>IF($D4218="","",IF(AND($C4218&lt;&gt;"",$Q4218="Có",$R4218="",$S4218="Có",AND($L4218&lt;&gt;"",OR($L4218&lt;&gt;"Chưa xác định",DANH_MUC!$L$9="Có"))),"Có","Không"))</f>
        <v/>
      </c>
      <c r="U4218" s="22">
        <f>IF(OR($D4218="",$T4218="Có"),"",IF($C4218="","Thiếu họ tên; ","")&amp;IF($S4218&lt;&gt;"Có","SĐT sai định dạng; ","")&amp;IF($R4218="Trùng","Trùng SĐT; ","")&amp;IF($Q4218&lt;&gt;"Có","Thiếu đồng ý bắt buộc; ","")&amp;IF($L4218="","Thiếu/sai Mã REF; ",IF(AND($L4218="Chưa xác định",DANH_MUC!$L$9&lt;&gt;"Có"),"Nguồn chưa xác định; ","")))</f>
        <v/>
      </c>
      <c r="V4218" s="22">
        <f>IF(OR($D4218="",$R4218="Trùng"),"",IF(COUNTIF(ORDERS!$C$2:$C$4995,$D4218)&gt;0,"Có","Không"))</f>
        <v/>
      </c>
      <c r="W4218" s="22">
        <f>IF(OR($D4218="",$R4218="Trùng"),"",COUNTIFS(ORDERS!$C$2:$C$4995,$D4218,ORDERS!$L$2:$L$4995,"Đã chuyển khoản"))</f>
        <v/>
      </c>
      <c r="X4218" s="23">
        <f>IF(OR($D4218="",$R4218="Trùng"),"",SUMIFS(ORDERS!$J$2:$J$4995,ORDERS!$C$2:$C$4995,$D4218,ORDERS!$L$2:$L$4995,"Đã chuyển khoản"))</f>
        <v/>
      </c>
      <c r="Y4218" s="24" t="n"/>
    </row>
    <row r="4219" ht="14.25" customHeight="1" s="40">
      <c r="A4219" s="24" t="n"/>
      <c r="B4219" s="27" t="n"/>
      <c r="C4219" s="24" t="n"/>
      <c r="D4219" s="28" t="n"/>
      <c r="E4219" s="29" t="n"/>
      <c r="F4219" s="24" t="n"/>
      <c r="G4219" s="24" t="n"/>
      <c r="H4219" s="21">
        <f>IF(ISNUMBER($B4219),INT($B4219)-WEEKDAY($B4219,2)+1,"")</f>
        <v/>
      </c>
      <c r="I4219" s="24" t="n"/>
      <c r="J4219" s="22">
        <f t="array" ref="J4219">IF($D4219="","",IF($I4219="","(trống REF)",IFERROR(INDEX(MASTER_SOURCE!$B$2:$B$495,MATCH($I4219,MASTER_SOURCE!$A$2:$A$495,0)),"(REF không có trong MASTER_SOURCE)")))</f>
        <v/>
      </c>
      <c r="K4219" s="22">
        <f t="array" ref="K4219">IF($D4219="","",IFERROR(INDEX(MASTER_SOURCE!$C$2:$C$495,MATCH($I4219,MASTER_SOURCE!$A$2:$A$495,0)),""))</f>
        <v/>
      </c>
      <c r="L4219" s="22">
        <f t="array" ref="L4219">IF($D4219="","",IFERROR(INDEX(MASTER_SOURCE!$D$2:$D$495,MATCH($I4219,MASTER_SOURCE!$A$2:$A$495,0)),""))</f>
        <v/>
      </c>
      <c r="M4219" s="24" t="n"/>
      <c r="N4219" s="24" t="n"/>
      <c r="O4219" s="24" t="n"/>
      <c r="P4219" s="24" t="n"/>
      <c r="Q4219" s="22">
        <f>IF($D4219="","",IF(AND(OR(DANH_MUC!$L$5&lt;&gt;"Có",M4219="Có"),OR(DANH_MUC!$L$6&lt;&gt;"Có",N4219="Có"),OR(DANH_MUC!$L$7&lt;&gt;"Có",O4219="Có"),OR(DANH_MUC!$L$8&lt;&gt;"Có",P4219="Có")),"Có","Không"))</f>
        <v/>
      </c>
      <c r="R4219" s="22">
        <f>IF($D4219="","",IF(COUNTIF($D$2:$D4219,$D4219)&gt;1,"Trùng",""))</f>
        <v/>
      </c>
      <c r="S4219" s="22">
        <f>IF($D4219="","",IF(AND(LEN($D4219)=10,LEFT($D4219,1)="0",ISNUMBER(--$D4219)),"Có","Không"))</f>
        <v/>
      </c>
      <c r="T4219" s="22">
        <f>IF($D4219="","",IF(AND($C4219&lt;&gt;"",$Q4219="Có",$R4219="",$S4219="Có",AND($L4219&lt;&gt;"",OR($L4219&lt;&gt;"Chưa xác định",DANH_MUC!$L$9="Có"))),"Có","Không"))</f>
        <v/>
      </c>
      <c r="U4219" s="22">
        <f>IF(OR($D4219="",$T4219="Có"),"",IF($C4219="","Thiếu họ tên; ","")&amp;IF($S4219&lt;&gt;"Có","SĐT sai định dạng; ","")&amp;IF($R4219="Trùng","Trùng SĐT; ","")&amp;IF($Q4219&lt;&gt;"Có","Thiếu đồng ý bắt buộc; ","")&amp;IF($L4219="","Thiếu/sai Mã REF; ",IF(AND($L4219="Chưa xác định",DANH_MUC!$L$9&lt;&gt;"Có"),"Nguồn chưa xác định; ","")))</f>
        <v/>
      </c>
      <c r="V4219" s="22">
        <f>IF(OR($D4219="",$R4219="Trùng"),"",IF(COUNTIF(ORDERS!$C$2:$C$4995,$D4219)&gt;0,"Có","Không"))</f>
        <v/>
      </c>
      <c r="W4219" s="22">
        <f>IF(OR($D4219="",$R4219="Trùng"),"",COUNTIFS(ORDERS!$C$2:$C$4995,$D4219,ORDERS!$L$2:$L$4995,"Đã chuyển khoản"))</f>
        <v/>
      </c>
      <c r="X4219" s="23">
        <f>IF(OR($D4219="",$R4219="Trùng"),"",SUMIFS(ORDERS!$J$2:$J$4995,ORDERS!$C$2:$C$4995,$D4219,ORDERS!$L$2:$L$4995,"Đã chuyển khoản"))</f>
        <v/>
      </c>
      <c r="Y4219" s="24" t="n"/>
    </row>
    <row r="4220" ht="14.25" customHeight="1" s="40">
      <c r="A4220" s="24" t="n"/>
      <c r="B4220" s="27" t="n"/>
      <c r="C4220" s="24" t="n"/>
      <c r="D4220" s="28" t="n"/>
      <c r="E4220" s="29" t="n"/>
      <c r="F4220" s="24" t="n"/>
      <c r="G4220" s="24" t="n"/>
      <c r="H4220" s="21">
        <f>IF(ISNUMBER($B4220),INT($B4220)-WEEKDAY($B4220,2)+1,"")</f>
        <v/>
      </c>
      <c r="I4220" s="24" t="n"/>
      <c r="J4220" s="22">
        <f t="array" ref="J4220">IF($D4220="","",IF($I4220="","(trống REF)",IFERROR(INDEX(MASTER_SOURCE!$B$2:$B$495,MATCH($I4220,MASTER_SOURCE!$A$2:$A$495,0)),"(REF không có trong MASTER_SOURCE)")))</f>
        <v/>
      </c>
      <c r="K4220" s="22">
        <f t="array" ref="K4220">IF($D4220="","",IFERROR(INDEX(MASTER_SOURCE!$C$2:$C$495,MATCH($I4220,MASTER_SOURCE!$A$2:$A$495,0)),""))</f>
        <v/>
      </c>
      <c r="L4220" s="22">
        <f t="array" ref="L4220">IF($D4220="","",IFERROR(INDEX(MASTER_SOURCE!$D$2:$D$495,MATCH($I4220,MASTER_SOURCE!$A$2:$A$495,0)),""))</f>
        <v/>
      </c>
      <c r="M4220" s="24" t="n"/>
      <c r="N4220" s="24" t="n"/>
      <c r="O4220" s="24" t="n"/>
      <c r="P4220" s="24" t="n"/>
      <c r="Q4220" s="22">
        <f>IF($D4220="","",IF(AND(OR(DANH_MUC!$L$5&lt;&gt;"Có",M4220="Có"),OR(DANH_MUC!$L$6&lt;&gt;"Có",N4220="Có"),OR(DANH_MUC!$L$7&lt;&gt;"Có",O4220="Có"),OR(DANH_MUC!$L$8&lt;&gt;"Có",P4220="Có")),"Có","Không"))</f>
        <v/>
      </c>
      <c r="R4220" s="22">
        <f>IF($D4220="","",IF(COUNTIF($D$2:$D4220,$D4220)&gt;1,"Trùng",""))</f>
        <v/>
      </c>
      <c r="S4220" s="22">
        <f>IF($D4220="","",IF(AND(LEN($D4220)=10,LEFT($D4220,1)="0",ISNUMBER(--$D4220)),"Có","Không"))</f>
        <v/>
      </c>
      <c r="T4220" s="22">
        <f>IF($D4220="","",IF(AND($C4220&lt;&gt;"",$Q4220="Có",$R4220="",$S4220="Có",AND($L4220&lt;&gt;"",OR($L4220&lt;&gt;"Chưa xác định",DANH_MUC!$L$9="Có"))),"Có","Không"))</f>
        <v/>
      </c>
      <c r="U4220" s="22">
        <f>IF(OR($D4220="",$T4220="Có"),"",IF($C4220="","Thiếu họ tên; ","")&amp;IF($S4220&lt;&gt;"Có","SĐT sai định dạng; ","")&amp;IF($R4220="Trùng","Trùng SĐT; ","")&amp;IF($Q4220&lt;&gt;"Có","Thiếu đồng ý bắt buộc; ","")&amp;IF($L4220="","Thiếu/sai Mã REF; ",IF(AND($L4220="Chưa xác định",DANH_MUC!$L$9&lt;&gt;"Có"),"Nguồn chưa xác định; ","")))</f>
        <v/>
      </c>
      <c r="V4220" s="22">
        <f>IF(OR($D4220="",$R4220="Trùng"),"",IF(COUNTIF(ORDERS!$C$2:$C$4995,$D4220)&gt;0,"Có","Không"))</f>
        <v/>
      </c>
      <c r="W4220" s="22">
        <f>IF(OR($D4220="",$R4220="Trùng"),"",COUNTIFS(ORDERS!$C$2:$C$4995,$D4220,ORDERS!$L$2:$L$4995,"Đã chuyển khoản"))</f>
        <v/>
      </c>
      <c r="X4220" s="23">
        <f>IF(OR($D4220="",$R4220="Trùng"),"",SUMIFS(ORDERS!$J$2:$J$4995,ORDERS!$C$2:$C$4995,$D4220,ORDERS!$L$2:$L$4995,"Đã chuyển khoản"))</f>
        <v/>
      </c>
      <c r="Y4220" s="24" t="n"/>
    </row>
    <row r="4221" ht="14.25" customHeight="1" s="40">
      <c r="A4221" s="24" t="n"/>
      <c r="B4221" s="27" t="n"/>
      <c r="C4221" s="24" t="n"/>
      <c r="D4221" s="28" t="n"/>
      <c r="E4221" s="29" t="n"/>
      <c r="F4221" s="24" t="n"/>
      <c r="G4221" s="24" t="n"/>
      <c r="H4221" s="21">
        <f>IF(ISNUMBER($B4221),INT($B4221)-WEEKDAY($B4221,2)+1,"")</f>
        <v/>
      </c>
      <c r="I4221" s="24" t="n"/>
      <c r="J4221" s="22">
        <f t="array" ref="J4221">IF($D4221="","",IF($I4221="","(trống REF)",IFERROR(INDEX(MASTER_SOURCE!$B$2:$B$495,MATCH($I4221,MASTER_SOURCE!$A$2:$A$495,0)),"(REF không có trong MASTER_SOURCE)")))</f>
        <v/>
      </c>
      <c r="K4221" s="22">
        <f t="array" ref="K4221">IF($D4221="","",IFERROR(INDEX(MASTER_SOURCE!$C$2:$C$495,MATCH($I4221,MASTER_SOURCE!$A$2:$A$495,0)),""))</f>
        <v/>
      </c>
      <c r="L4221" s="22">
        <f t="array" ref="L4221">IF($D4221="","",IFERROR(INDEX(MASTER_SOURCE!$D$2:$D$495,MATCH($I4221,MASTER_SOURCE!$A$2:$A$495,0)),""))</f>
        <v/>
      </c>
      <c r="M4221" s="24" t="n"/>
      <c r="N4221" s="24" t="n"/>
      <c r="O4221" s="24" t="n"/>
      <c r="P4221" s="24" t="n"/>
      <c r="Q4221" s="22">
        <f>IF($D4221="","",IF(AND(OR(DANH_MUC!$L$5&lt;&gt;"Có",M4221="Có"),OR(DANH_MUC!$L$6&lt;&gt;"Có",N4221="Có"),OR(DANH_MUC!$L$7&lt;&gt;"Có",O4221="Có"),OR(DANH_MUC!$L$8&lt;&gt;"Có",P4221="Có")),"Có","Không"))</f>
        <v/>
      </c>
      <c r="R4221" s="22">
        <f>IF($D4221="","",IF(COUNTIF($D$2:$D4221,$D4221)&gt;1,"Trùng",""))</f>
        <v/>
      </c>
      <c r="S4221" s="22">
        <f>IF($D4221="","",IF(AND(LEN($D4221)=10,LEFT($D4221,1)="0",ISNUMBER(--$D4221)),"Có","Không"))</f>
        <v/>
      </c>
      <c r="T4221" s="22">
        <f>IF($D4221="","",IF(AND($C4221&lt;&gt;"",$Q4221="Có",$R4221="",$S4221="Có",AND($L4221&lt;&gt;"",OR($L4221&lt;&gt;"Chưa xác định",DANH_MUC!$L$9="Có"))),"Có","Không"))</f>
        <v/>
      </c>
      <c r="U4221" s="22">
        <f>IF(OR($D4221="",$T4221="Có"),"",IF($C4221="","Thiếu họ tên; ","")&amp;IF($S4221&lt;&gt;"Có","SĐT sai định dạng; ","")&amp;IF($R4221="Trùng","Trùng SĐT; ","")&amp;IF($Q4221&lt;&gt;"Có","Thiếu đồng ý bắt buộc; ","")&amp;IF($L4221="","Thiếu/sai Mã REF; ",IF(AND($L4221="Chưa xác định",DANH_MUC!$L$9&lt;&gt;"Có"),"Nguồn chưa xác định; ","")))</f>
        <v/>
      </c>
      <c r="V4221" s="22">
        <f>IF(OR($D4221="",$R4221="Trùng"),"",IF(COUNTIF(ORDERS!$C$2:$C$4995,$D4221)&gt;0,"Có","Không"))</f>
        <v/>
      </c>
      <c r="W4221" s="22">
        <f>IF(OR($D4221="",$R4221="Trùng"),"",COUNTIFS(ORDERS!$C$2:$C$4995,$D4221,ORDERS!$L$2:$L$4995,"Đã chuyển khoản"))</f>
        <v/>
      </c>
      <c r="X4221" s="23">
        <f>IF(OR($D4221="",$R4221="Trùng"),"",SUMIFS(ORDERS!$J$2:$J$4995,ORDERS!$C$2:$C$4995,$D4221,ORDERS!$L$2:$L$4995,"Đã chuyển khoản"))</f>
        <v/>
      </c>
      <c r="Y4221" s="24" t="n"/>
    </row>
    <row r="4222" ht="14.25" customHeight="1" s="40">
      <c r="A4222" s="24" t="n"/>
      <c r="B4222" s="27" t="n"/>
      <c r="C4222" s="24" t="n"/>
      <c r="D4222" s="28" t="n"/>
      <c r="E4222" s="29" t="n"/>
      <c r="F4222" s="24" t="n"/>
      <c r="G4222" s="24" t="n"/>
      <c r="H4222" s="21">
        <f>IF(ISNUMBER($B4222),INT($B4222)-WEEKDAY($B4222,2)+1,"")</f>
        <v/>
      </c>
      <c r="I4222" s="24" t="n"/>
      <c r="J4222" s="22">
        <f t="array" ref="J4222">IF($D4222="","",IF($I4222="","(trống REF)",IFERROR(INDEX(MASTER_SOURCE!$B$2:$B$495,MATCH($I4222,MASTER_SOURCE!$A$2:$A$495,0)),"(REF không có trong MASTER_SOURCE)")))</f>
        <v/>
      </c>
      <c r="K4222" s="22">
        <f t="array" ref="K4222">IF($D4222="","",IFERROR(INDEX(MASTER_SOURCE!$C$2:$C$495,MATCH($I4222,MASTER_SOURCE!$A$2:$A$495,0)),""))</f>
        <v/>
      </c>
      <c r="L4222" s="22">
        <f t="array" ref="L4222">IF($D4222="","",IFERROR(INDEX(MASTER_SOURCE!$D$2:$D$495,MATCH($I4222,MASTER_SOURCE!$A$2:$A$495,0)),""))</f>
        <v/>
      </c>
      <c r="M4222" s="24" t="n"/>
      <c r="N4222" s="24" t="n"/>
      <c r="O4222" s="24" t="n"/>
      <c r="P4222" s="24" t="n"/>
      <c r="Q4222" s="22">
        <f>IF($D4222="","",IF(AND(OR(DANH_MUC!$L$5&lt;&gt;"Có",M4222="Có"),OR(DANH_MUC!$L$6&lt;&gt;"Có",N4222="Có"),OR(DANH_MUC!$L$7&lt;&gt;"Có",O4222="Có"),OR(DANH_MUC!$L$8&lt;&gt;"Có",P4222="Có")),"Có","Không"))</f>
        <v/>
      </c>
      <c r="R4222" s="22">
        <f>IF($D4222="","",IF(COUNTIF($D$2:$D4222,$D4222)&gt;1,"Trùng",""))</f>
        <v/>
      </c>
      <c r="S4222" s="22">
        <f>IF($D4222="","",IF(AND(LEN($D4222)=10,LEFT($D4222,1)="0",ISNUMBER(--$D4222)),"Có","Không"))</f>
        <v/>
      </c>
      <c r="T4222" s="22">
        <f>IF($D4222="","",IF(AND($C4222&lt;&gt;"",$Q4222="Có",$R4222="",$S4222="Có",AND($L4222&lt;&gt;"",OR($L4222&lt;&gt;"Chưa xác định",DANH_MUC!$L$9="Có"))),"Có","Không"))</f>
        <v/>
      </c>
      <c r="U4222" s="22">
        <f>IF(OR($D4222="",$T4222="Có"),"",IF($C4222="","Thiếu họ tên; ","")&amp;IF($S4222&lt;&gt;"Có","SĐT sai định dạng; ","")&amp;IF($R4222="Trùng","Trùng SĐT; ","")&amp;IF($Q4222&lt;&gt;"Có","Thiếu đồng ý bắt buộc; ","")&amp;IF($L4222="","Thiếu/sai Mã REF; ",IF(AND($L4222="Chưa xác định",DANH_MUC!$L$9&lt;&gt;"Có"),"Nguồn chưa xác định; ","")))</f>
        <v/>
      </c>
      <c r="V4222" s="22">
        <f>IF(OR($D4222="",$R4222="Trùng"),"",IF(COUNTIF(ORDERS!$C$2:$C$4995,$D4222)&gt;0,"Có","Không"))</f>
        <v/>
      </c>
      <c r="W4222" s="22">
        <f>IF(OR($D4222="",$R4222="Trùng"),"",COUNTIFS(ORDERS!$C$2:$C$4995,$D4222,ORDERS!$L$2:$L$4995,"Đã chuyển khoản"))</f>
        <v/>
      </c>
      <c r="X4222" s="23">
        <f>IF(OR($D4222="",$R4222="Trùng"),"",SUMIFS(ORDERS!$J$2:$J$4995,ORDERS!$C$2:$C$4995,$D4222,ORDERS!$L$2:$L$4995,"Đã chuyển khoản"))</f>
        <v/>
      </c>
      <c r="Y4222" s="24" t="n"/>
    </row>
    <row r="4223" ht="14.25" customHeight="1" s="40">
      <c r="A4223" s="24" t="n"/>
      <c r="B4223" s="27" t="n"/>
      <c r="C4223" s="24" t="n"/>
      <c r="D4223" s="28" t="n"/>
      <c r="E4223" s="29" t="n"/>
      <c r="F4223" s="24" t="n"/>
      <c r="G4223" s="24" t="n"/>
      <c r="H4223" s="21">
        <f>IF(ISNUMBER($B4223),INT($B4223)-WEEKDAY($B4223,2)+1,"")</f>
        <v/>
      </c>
      <c r="I4223" s="24" t="n"/>
      <c r="J4223" s="22">
        <f t="array" ref="J4223">IF($D4223="","",IF($I4223="","(trống REF)",IFERROR(INDEX(MASTER_SOURCE!$B$2:$B$495,MATCH($I4223,MASTER_SOURCE!$A$2:$A$495,0)),"(REF không có trong MASTER_SOURCE)")))</f>
        <v/>
      </c>
      <c r="K4223" s="22">
        <f t="array" ref="K4223">IF($D4223="","",IFERROR(INDEX(MASTER_SOURCE!$C$2:$C$495,MATCH($I4223,MASTER_SOURCE!$A$2:$A$495,0)),""))</f>
        <v/>
      </c>
      <c r="L4223" s="22">
        <f t="array" ref="L4223">IF($D4223="","",IFERROR(INDEX(MASTER_SOURCE!$D$2:$D$495,MATCH($I4223,MASTER_SOURCE!$A$2:$A$495,0)),""))</f>
        <v/>
      </c>
      <c r="M4223" s="24" t="n"/>
      <c r="N4223" s="24" t="n"/>
      <c r="O4223" s="24" t="n"/>
      <c r="P4223" s="24" t="n"/>
      <c r="Q4223" s="22">
        <f>IF($D4223="","",IF(AND(OR(DANH_MUC!$L$5&lt;&gt;"Có",M4223="Có"),OR(DANH_MUC!$L$6&lt;&gt;"Có",N4223="Có"),OR(DANH_MUC!$L$7&lt;&gt;"Có",O4223="Có"),OR(DANH_MUC!$L$8&lt;&gt;"Có",P4223="Có")),"Có","Không"))</f>
        <v/>
      </c>
      <c r="R4223" s="22">
        <f>IF($D4223="","",IF(COUNTIF($D$2:$D4223,$D4223)&gt;1,"Trùng",""))</f>
        <v/>
      </c>
      <c r="S4223" s="22">
        <f>IF($D4223="","",IF(AND(LEN($D4223)=10,LEFT($D4223,1)="0",ISNUMBER(--$D4223)),"Có","Không"))</f>
        <v/>
      </c>
      <c r="T4223" s="22">
        <f>IF($D4223="","",IF(AND($C4223&lt;&gt;"",$Q4223="Có",$R4223="",$S4223="Có",AND($L4223&lt;&gt;"",OR($L4223&lt;&gt;"Chưa xác định",DANH_MUC!$L$9="Có"))),"Có","Không"))</f>
        <v/>
      </c>
      <c r="U4223" s="22">
        <f>IF(OR($D4223="",$T4223="Có"),"",IF($C4223="","Thiếu họ tên; ","")&amp;IF($S4223&lt;&gt;"Có","SĐT sai định dạng; ","")&amp;IF($R4223="Trùng","Trùng SĐT; ","")&amp;IF($Q4223&lt;&gt;"Có","Thiếu đồng ý bắt buộc; ","")&amp;IF($L4223="","Thiếu/sai Mã REF; ",IF(AND($L4223="Chưa xác định",DANH_MUC!$L$9&lt;&gt;"Có"),"Nguồn chưa xác định; ","")))</f>
        <v/>
      </c>
      <c r="V4223" s="22">
        <f>IF(OR($D4223="",$R4223="Trùng"),"",IF(COUNTIF(ORDERS!$C$2:$C$4995,$D4223)&gt;0,"Có","Không"))</f>
        <v/>
      </c>
      <c r="W4223" s="22">
        <f>IF(OR($D4223="",$R4223="Trùng"),"",COUNTIFS(ORDERS!$C$2:$C$4995,$D4223,ORDERS!$L$2:$L$4995,"Đã chuyển khoản"))</f>
        <v/>
      </c>
      <c r="X4223" s="23">
        <f>IF(OR($D4223="",$R4223="Trùng"),"",SUMIFS(ORDERS!$J$2:$J$4995,ORDERS!$C$2:$C$4995,$D4223,ORDERS!$L$2:$L$4995,"Đã chuyển khoản"))</f>
        <v/>
      </c>
      <c r="Y4223" s="24" t="n"/>
    </row>
    <row r="4224" ht="14.25" customHeight="1" s="40">
      <c r="A4224" s="24" t="n"/>
      <c r="B4224" s="27" t="n"/>
      <c r="C4224" s="24" t="n"/>
      <c r="D4224" s="28" t="n"/>
      <c r="E4224" s="29" t="n"/>
      <c r="F4224" s="24" t="n"/>
      <c r="G4224" s="24" t="n"/>
      <c r="H4224" s="21">
        <f>IF(ISNUMBER($B4224),INT($B4224)-WEEKDAY($B4224,2)+1,"")</f>
        <v/>
      </c>
      <c r="I4224" s="24" t="n"/>
      <c r="J4224" s="22">
        <f t="array" ref="J4224">IF($D4224="","",IF($I4224="","(trống REF)",IFERROR(INDEX(MASTER_SOURCE!$B$2:$B$495,MATCH($I4224,MASTER_SOURCE!$A$2:$A$495,0)),"(REF không có trong MASTER_SOURCE)")))</f>
        <v/>
      </c>
      <c r="K4224" s="22">
        <f t="array" ref="K4224">IF($D4224="","",IFERROR(INDEX(MASTER_SOURCE!$C$2:$C$495,MATCH($I4224,MASTER_SOURCE!$A$2:$A$495,0)),""))</f>
        <v/>
      </c>
      <c r="L4224" s="22">
        <f t="array" ref="L4224">IF($D4224="","",IFERROR(INDEX(MASTER_SOURCE!$D$2:$D$495,MATCH($I4224,MASTER_SOURCE!$A$2:$A$495,0)),""))</f>
        <v/>
      </c>
      <c r="M4224" s="24" t="n"/>
      <c r="N4224" s="24" t="n"/>
      <c r="O4224" s="24" t="n"/>
      <c r="P4224" s="24" t="n"/>
      <c r="Q4224" s="22">
        <f>IF($D4224="","",IF(AND(OR(DANH_MUC!$L$5&lt;&gt;"Có",M4224="Có"),OR(DANH_MUC!$L$6&lt;&gt;"Có",N4224="Có"),OR(DANH_MUC!$L$7&lt;&gt;"Có",O4224="Có"),OR(DANH_MUC!$L$8&lt;&gt;"Có",P4224="Có")),"Có","Không"))</f>
        <v/>
      </c>
      <c r="R4224" s="22">
        <f>IF($D4224="","",IF(COUNTIF($D$2:$D4224,$D4224)&gt;1,"Trùng",""))</f>
        <v/>
      </c>
      <c r="S4224" s="22">
        <f>IF($D4224="","",IF(AND(LEN($D4224)=10,LEFT($D4224,1)="0",ISNUMBER(--$D4224)),"Có","Không"))</f>
        <v/>
      </c>
      <c r="T4224" s="22">
        <f>IF($D4224="","",IF(AND($C4224&lt;&gt;"",$Q4224="Có",$R4224="",$S4224="Có",AND($L4224&lt;&gt;"",OR($L4224&lt;&gt;"Chưa xác định",DANH_MUC!$L$9="Có"))),"Có","Không"))</f>
        <v/>
      </c>
      <c r="U4224" s="22">
        <f>IF(OR($D4224="",$T4224="Có"),"",IF($C4224="","Thiếu họ tên; ","")&amp;IF($S4224&lt;&gt;"Có","SĐT sai định dạng; ","")&amp;IF($R4224="Trùng","Trùng SĐT; ","")&amp;IF($Q4224&lt;&gt;"Có","Thiếu đồng ý bắt buộc; ","")&amp;IF($L4224="","Thiếu/sai Mã REF; ",IF(AND($L4224="Chưa xác định",DANH_MUC!$L$9&lt;&gt;"Có"),"Nguồn chưa xác định; ","")))</f>
        <v/>
      </c>
      <c r="V4224" s="22">
        <f>IF(OR($D4224="",$R4224="Trùng"),"",IF(COUNTIF(ORDERS!$C$2:$C$4995,$D4224)&gt;0,"Có","Không"))</f>
        <v/>
      </c>
      <c r="W4224" s="22">
        <f>IF(OR($D4224="",$R4224="Trùng"),"",COUNTIFS(ORDERS!$C$2:$C$4995,$D4224,ORDERS!$L$2:$L$4995,"Đã chuyển khoản"))</f>
        <v/>
      </c>
      <c r="X4224" s="23">
        <f>IF(OR($D4224="",$R4224="Trùng"),"",SUMIFS(ORDERS!$J$2:$J$4995,ORDERS!$C$2:$C$4995,$D4224,ORDERS!$L$2:$L$4995,"Đã chuyển khoản"))</f>
        <v/>
      </c>
      <c r="Y4224" s="24" t="n"/>
    </row>
    <row r="4225" ht="14.25" customHeight="1" s="40">
      <c r="A4225" s="24" t="n"/>
      <c r="B4225" s="27" t="n"/>
      <c r="C4225" s="24" t="n"/>
      <c r="D4225" s="28" t="n"/>
      <c r="E4225" s="29" t="n"/>
      <c r="F4225" s="24" t="n"/>
      <c r="G4225" s="24" t="n"/>
      <c r="H4225" s="21">
        <f>IF(ISNUMBER($B4225),INT($B4225)-WEEKDAY($B4225,2)+1,"")</f>
        <v/>
      </c>
      <c r="I4225" s="24" t="n"/>
      <c r="J4225" s="22">
        <f t="array" ref="J4225">IF($D4225="","",IF($I4225="","(trống REF)",IFERROR(INDEX(MASTER_SOURCE!$B$2:$B$495,MATCH($I4225,MASTER_SOURCE!$A$2:$A$495,0)),"(REF không có trong MASTER_SOURCE)")))</f>
        <v/>
      </c>
      <c r="K4225" s="22">
        <f t="array" ref="K4225">IF($D4225="","",IFERROR(INDEX(MASTER_SOURCE!$C$2:$C$495,MATCH($I4225,MASTER_SOURCE!$A$2:$A$495,0)),""))</f>
        <v/>
      </c>
      <c r="L4225" s="22">
        <f t="array" ref="L4225">IF($D4225="","",IFERROR(INDEX(MASTER_SOURCE!$D$2:$D$495,MATCH($I4225,MASTER_SOURCE!$A$2:$A$495,0)),""))</f>
        <v/>
      </c>
      <c r="M4225" s="24" t="n"/>
      <c r="N4225" s="24" t="n"/>
      <c r="O4225" s="24" t="n"/>
      <c r="P4225" s="24" t="n"/>
      <c r="Q4225" s="22">
        <f>IF($D4225="","",IF(AND(OR(DANH_MUC!$L$5&lt;&gt;"Có",M4225="Có"),OR(DANH_MUC!$L$6&lt;&gt;"Có",N4225="Có"),OR(DANH_MUC!$L$7&lt;&gt;"Có",O4225="Có"),OR(DANH_MUC!$L$8&lt;&gt;"Có",P4225="Có")),"Có","Không"))</f>
        <v/>
      </c>
      <c r="R4225" s="22">
        <f>IF($D4225="","",IF(COUNTIF($D$2:$D4225,$D4225)&gt;1,"Trùng",""))</f>
        <v/>
      </c>
      <c r="S4225" s="22">
        <f>IF($D4225="","",IF(AND(LEN($D4225)=10,LEFT($D4225,1)="0",ISNUMBER(--$D4225)),"Có","Không"))</f>
        <v/>
      </c>
      <c r="T4225" s="22">
        <f>IF($D4225="","",IF(AND($C4225&lt;&gt;"",$Q4225="Có",$R4225="",$S4225="Có",AND($L4225&lt;&gt;"",OR($L4225&lt;&gt;"Chưa xác định",DANH_MUC!$L$9="Có"))),"Có","Không"))</f>
        <v/>
      </c>
      <c r="U4225" s="22">
        <f>IF(OR($D4225="",$T4225="Có"),"",IF($C4225="","Thiếu họ tên; ","")&amp;IF($S4225&lt;&gt;"Có","SĐT sai định dạng; ","")&amp;IF($R4225="Trùng","Trùng SĐT; ","")&amp;IF($Q4225&lt;&gt;"Có","Thiếu đồng ý bắt buộc; ","")&amp;IF($L4225="","Thiếu/sai Mã REF; ",IF(AND($L4225="Chưa xác định",DANH_MUC!$L$9&lt;&gt;"Có"),"Nguồn chưa xác định; ","")))</f>
        <v/>
      </c>
      <c r="V4225" s="22">
        <f>IF(OR($D4225="",$R4225="Trùng"),"",IF(COUNTIF(ORDERS!$C$2:$C$4995,$D4225)&gt;0,"Có","Không"))</f>
        <v/>
      </c>
      <c r="W4225" s="22">
        <f>IF(OR($D4225="",$R4225="Trùng"),"",COUNTIFS(ORDERS!$C$2:$C$4995,$D4225,ORDERS!$L$2:$L$4995,"Đã chuyển khoản"))</f>
        <v/>
      </c>
      <c r="X4225" s="23">
        <f>IF(OR($D4225="",$R4225="Trùng"),"",SUMIFS(ORDERS!$J$2:$J$4995,ORDERS!$C$2:$C$4995,$D4225,ORDERS!$L$2:$L$4995,"Đã chuyển khoản"))</f>
        <v/>
      </c>
      <c r="Y4225" s="24" t="n"/>
    </row>
    <row r="4226" ht="14.25" customHeight="1" s="40">
      <c r="A4226" s="24" t="n"/>
      <c r="B4226" s="27" t="n"/>
      <c r="C4226" s="24" t="n"/>
      <c r="D4226" s="28" t="n"/>
      <c r="E4226" s="29" t="n"/>
      <c r="F4226" s="24" t="n"/>
      <c r="G4226" s="24" t="n"/>
      <c r="H4226" s="21">
        <f>IF(ISNUMBER($B4226),INT($B4226)-WEEKDAY($B4226,2)+1,"")</f>
        <v/>
      </c>
      <c r="I4226" s="24" t="n"/>
      <c r="J4226" s="22">
        <f t="array" ref="J4226">IF($D4226="","",IF($I4226="","(trống REF)",IFERROR(INDEX(MASTER_SOURCE!$B$2:$B$495,MATCH($I4226,MASTER_SOURCE!$A$2:$A$495,0)),"(REF không có trong MASTER_SOURCE)")))</f>
        <v/>
      </c>
      <c r="K4226" s="22">
        <f t="array" ref="K4226">IF($D4226="","",IFERROR(INDEX(MASTER_SOURCE!$C$2:$C$495,MATCH($I4226,MASTER_SOURCE!$A$2:$A$495,0)),""))</f>
        <v/>
      </c>
      <c r="L4226" s="22">
        <f t="array" ref="L4226">IF($D4226="","",IFERROR(INDEX(MASTER_SOURCE!$D$2:$D$495,MATCH($I4226,MASTER_SOURCE!$A$2:$A$495,0)),""))</f>
        <v/>
      </c>
      <c r="M4226" s="24" t="n"/>
      <c r="N4226" s="24" t="n"/>
      <c r="O4226" s="24" t="n"/>
      <c r="P4226" s="24" t="n"/>
      <c r="Q4226" s="22">
        <f>IF($D4226="","",IF(AND(OR(DANH_MUC!$L$5&lt;&gt;"Có",M4226="Có"),OR(DANH_MUC!$L$6&lt;&gt;"Có",N4226="Có"),OR(DANH_MUC!$L$7&lt;&gt;"Có",O4226="Có"),OR(DANH_MUC!$L$8&lt;&gt;"Có",P4226="Có")),"Có","Không"))</f>
        <v/>
      </c>
      <c r="R4226" s="22">
        <f>IF($D4226="","",IF(COUNTIF($D$2:$D4226,$D4226)&gt;1,"Trùng",""))</f>
        <v/>
      </c>
      <c r="S4226" s="22">
        <f>IF($D4226="","",IF(AND(LEN($D4226)=10,LEFT($D4226,1)="0",ISNUMBER(--$D4226)),"Có","Không"))</f>
        <v/>
      </c>
      <c r="T4226" s="22">
        <f>IF($D4226="","",IF(AND($C4226&lt;&gt;"",$Q4226="Có",$R4226="",$S4226="Có",AND($L4226&lt;&gt;"",OR($L4226&lt;&gt;"Chưa xác định",DANH_MUC!$L$9="Có"))),"Có","Không"))</f>
        <v/>
      </c>
      <c r="U4226" s="22">
        <f>IF(OR($D4226="",$T4226="Có"),"",IF($C4226="","Thiếu họ tên; ","")&amp;IF($S4226&lt;&gt;"Có","SĐT sai định dạng; ","")&amp;IF($R4226="Trùng","Trùng SĐT; ","")&amp;IF($Q4226&lt;&gt;"Có","Thiếu đồng ý bắt buộc; ","")&amp;IF($L4226="","Thiếu/sai Mã REF; ",IF(AND($L4226="Chưa xác định",DANH_MUC!$L$9&lt;&gt;"Có"),"Nguồn chưa xác định; ","")))</f>
        <v/>
      </c>
      <c r="V4226" s="22">
        <f>IF(OR($D4226="",$R4226="Trùng"),"",IF(COUNTIF(ORDERS!$C$2:$C$4995,$D4226)&gt;0,"Có","Không"))</f>
        <v/>
      </c>
      <c r="W4226" s="22">
        <f>IF(OR($D4226="",$R4226="Trùng"),"",COUNTIFS(ORDERS!$C$2:$C$4995,$D4226,ORDERS!$L$2:$L$4995,"Đã chuyển khoản"))</f>
        <v/>
      </c>
      <c r="X4226" s="23">
        <f>IF(OR($D4226="",$R4226="Trùng"),"",SUMIFS(ORDERS!$J$2:$J$4995,ORDERS!$C$2:$C$4995,$D4226,ORDERS!$L$2:$L$4995,"Đã chuyển khoản"))</f>
        <v/>
      </c>
      <c r="Y4226" s="24" t="n"/>
    </row>
    <row r="4227" ht="14.25" customHeight="1" s="40">
      <c r="A4227" s="24" t="n"/>
      <c r="B4227" s="27" t="n"/>
      <c r="C4227" s="24" t="n"/>
      <c r="D4227" s="28" t="n"/>
      <c r="E4227" s="29" t="n"/>
      <c r="F4227" s="24" t="n"/>
      <c r="G4227" s="24" t="n"/>
      <c r="H4227" s="21">
        <f>IF(ISNUMBER($B4227),INT($B4227)-WEEKDAY($B4227,2)+1,"")</f>
        <v/>
      </c>
      <c r="I4227" s="24" t="n"/>
      <c r="J4227" s="22">
        <f t="array" ref="J4227">IF($D4227="","",IF($I4227="","(trống REF)",IFERROR(INDEX(MASTER_SOURCE!$B$2:$B$495,MATCH($I4227,MASTER_SOURCE!$A$2:$A$495,0)),"(REF không có trong MASTER_SOURCE)")))</f>
        <v/>
      </c>
      <c r="K4227" s="22">
        <f t="array" ref="K4227">IF($D4227="","",IFERROR(INDEX(MASTER_SOURCE!$C$2:$C$495,MATCH($I4227,MASTER_SOURCE!$A$2:$A$495,0)),""))</f>
        <v/>
      </c>
      <c r="L4227" s="22">
        <f t="array" ref="L4227">IF($D4227="","",IFERROR(INDEX(MASTER_SOURCE!$D$2:$D$495,MATCH($I4227,MASTER_SOURCE!$A$2:$A$495,0)),""))</f>
        <v/>
      </c>
      <c r="M4227" s="24" t="n"/>
      <c r="N4227" s="24" t="n"/>
      <c r="O4227" s="24" t="n"/>
      <c r="P4227" s="24" t="n"/>
      <c r="Q4227" s="22">
        <f>IF($D4227="","",IF(AND(OR(DANH_MUC!$L$5&lt;&gt;"Có",M4227="Có"),OR(DANH_MUC!$L$6&lt;&gt;"Có",N4227="Có"),OR(DANH_MUC!$L$7&lt;&gt;"Có",O4227="Có"),OR(DANH_MUC!$L$8&lt;&gt;"Có",P4227="Có")),"Có","Không"))</f>
        <v/>
      </c>
      <c r="R4227" s="22">
        <f>IF($D4227="","",IF(COUNTIF($D$2:$D4227,$D4227)&gt;1,"Trùng",""))</f>
        <v/>
      </c>
      <c r="S4227" s="22">
        <f>IF($D4227="","",IF(AND(LEN($D4227)=10,LEFT($D4227,1)="0",ISNUMBER(--$D4227)),"Có","Không"))</f>
        <v/>
      </c>
      <c r="T4227" s="22">
        <f>IF($D4227="","",IF(AND($C4227&lt;&gt;"",$Q4227="Có",$R4227="",$S4227="Có",AND($L4227&lt;&gt;"",OR($L4227&lt;&gt;"Chưa xác định",DANH_MUC!$L$9="Có"))),"Có","Không"))</f>
        <v/>
      </c>
      <c r="U4227" s="22">
        <f>IF(OR($D4227="",$T4227="Có"),"",IF($C4227="","Thiếu họ tên; ","")&amp;IF($S4227&lt;&gt;"Có","SĐT sai định dạng; ","")&amp;IF($R4227="Trùng","Trùng SĐT; ","")&amp;IF($Q4227&lt;&gt;"Có","Thiếu đồng ý bắt buộc; ","")&amp;IF($L4227="","Thiếu/sai Mã REF; ",IF(AND($L4227="Chưa xác định",DANH_MUC!$L$9&lt;&gt;"Có"),"Nguồn chưa xác định; ","")))</f>
        <v/>
      </c>
      <c r="V4227" s="22">
        <f>IF(OR($D4227="",$R4227="Trùng"),"",IF(COUNTIF(ORDERS!$C$2:$C$4995,$D4227)&gt;0,"Có","Không"))</f>
        <v/>
      </c>
      <c r="W4227" s="22">
        <f>IF(OR($D4227="",$R4227="Trùng"),"",COUNTIFS(ORDERS!$C$2:$C$4995,$D4227,ORDERS!$L$2:$L$4995,"Đã chuyển khoản"))</f>
        <v/>
      </c>
      <c r="X4227" s="23">
        <f>IF(OR($D4227="",$R4227="Trùng"),"",SUMIFS(ORDERS!$J$2:$J$4995,ORDERS!$C$2:$C$4995,$D4227,ORDERS!$L$2:$L$4995,"Đã chuyển khoản"))</f>
        <v/>
      </c>
      <c r="Y4227" s="24" t="n"/>
    </row>
    <row r="4228" ht="14.25" customHeight="1" s="40">
      <c r="A4228" s="24" t="n"/>
      <c r="B4228" s="27" t="n"/>
      <c r="C4228" s="24" t="n"/>
      <c r="D4228" s="28" t="n"/>
      <c r="E4228" s="29" t="n"/>
      <c r="F4228" s="24" t="n"/>
      <c r="G4228" s="24" t="n"/>
      <c r="H4228" s="21">
        <f>IF(ISNUMBER($B4228),INT($B4228)-WEEKDAY($B4228,2)+1,"")</f>
        <v/>
      </c>
      <c r="I4228" s="24" t="n"/>
      <c r="J4228" s="22">
        <f t="array" ref="J4228">IF($D4228="","",IF($I4228="","(trống REF)",IFERROR(INDEX(MASTER_SOURCE!$B$2:$B$495,MATCH($I4228,MASTER_SOURCE!$A$2:$A$495,0)),"(REF không có trong MASTER_SOURCE)")))</f>
        <v/>
      </c>
      <c r="K4228" s="22">
        <f t="array" ref="K4228">IF($D4228="","",IFERROR(INDEX(MASTER_SOURCE!$C$2:$C$495,MATCH($I4228,MASTER_SOURCE!$A$2:$A$495,0)),""))</f>
        <v/>
      </c>
      <c r="L4228" s="22">
        <f t="array" ref="L4228">IF($D4228="","",IFERROR(INDEX(MASTER_SOURCE!$D$2:$D$495,MATCH($I4228,MASTER_SOURCE!$A$2:$A$495,0)),""))</f>
        <v/>
      </c>
      <c r="M4228" s="24" t="n"/>
      <c r="N4228" s="24" t="n"/>
      <c r="O4228" s="24" t="n"/>
      <c r="P4228" s="24" t="n"/>
      <c r="Q4228" s="22">
        <f>IF($D4228="","",IF(AND(OR(DANH_MUC!$L$5&lt;&gt;"Có",M4228="Có"),OR(DANH_MUC!$L$6&lt;&gt;"Có",N4228="Có"),OR(DANH_MUC!$L$7&lt;&gt;"Có",O4228="Có"),OR(DANH_MUC!$L$8&lt;&gt;"Có",P4228="Có")),"Có","Không"))</f>
        <v/>
      </c>
      <c r="R4228" s="22">
        <f>IF($D4228="","",IF(COUNTIF($D$2:$D4228,$D4228)&gt;1,"Trùng",""))</f>
        <v/>
      </c>
      <c r="S4228" s="22">
        <f>IF($D4228="","",IF(AND(LEN($D4228)=10,LEFT($D4228,1)="0",ISNUMBER(--$D4228)),"Có","Không"))</f>
        <v/>
      </c>
      <c r="T4228" s="22">
        <f>IF($D4228="","",IF(AND($C4228&lt;&gt;"",$Q4228="Có",$R4228="",$S4228="Có",AND($L4228&lt;&gt;"",OR($L4228&lt;&gt;"Chưa xác định",DANH_MUC!$L$9="Có"))),"Có","Không"))</f>
        <v/>
      </c>
      <c r="U4228" s="22">
        <f>IF(OR($D4228="",$T4228="Có"),"",IF($C4228="","Thiếu họ tên; ","")&amp;IF($S4228&lt;&gt;"Có","SĐT sai định dạng; ","")&amp;IF($R4228="Trùng","Trùng SĐT; ","")&amp;IF($Q4228&lt;&gt;"Có","Thiếu đồng ý bắt buộc; ","")&amp;IF($L4228="","Thiếu/sai Mã REF; ",IF(AND($L4228="Chưa xác định",DANH_MUC!$L$9&lt;&gt;"Có"),"Nguồn chưa xác định; ","")))</f>
        <v/>
      </c>
      <c r="V4228" s="22">
        <f>IF(OR($D4228="",$R4228="Trùng"),"",IF(COUNTIF(ORDERS!$C$2:$C$4995,$D4228)&gt;0,"Có","Không"))</f>
        <v/>
      </c>
      <c r="W4228" s="22">
        <f>IF(OR($D4228="",$R4228="Trùng"),"",COUNTIFS(ORDERS!$C$2:$C$4995,$D4228,ORDERS!$L$2:$L$4995,"Đã chuyển khoản"))</f>
        <v/>
      </c>
      <c r="X4228" s="23">
        <f>IF(OR($D4228="",$R4228="Trùng"),"",SUMIFS(ORDERS!$J$2:$J$4995,ORDERS!$C$2:$C$4995,$D4228,ORDERS!$L$2:$L$4995,"Đã chuyển khoản"))</f>
        <v/>
      </c>
      <c r="Y4228" s="24" t="n"/>
    </row>
    <row r="4229" ht="14.25" customHeight="1" s="40">
      <c r="A4229" s="24" t="n"/>
      <c r="B4229" s="27" t="n"/>
      <c r="C4229" s="24" t="n"/>
      <c r="D4229" s="28" t="n"/>
      <c r="E4229" s="29" t="n"/>
      <c r="F4229" s="24" t="n"/>
      <c r="G4229" s="24" t="n"/>
      <c r="H4229" s="21">
        <f>IF(ISNUMBER($B4229),INT($B4229)-WEEKDAY($B4229,2)+1,"")</f>
        <v/>
      </c>
      <c r="I4229" s="24" t="n"/>
      <c r="J4229" s="22">
        <f t="array" ref="J4229">IF($D4229="","",IF($I4229="","(trống REF)",IFERROR(INDEX(MASTER_SOURCE!$B$2:$B$495,MATCH($I4229,MASTER_SOURCE!$A$2:$A$495,0)),"(REF không có trong MASTER_SOURCE)")))</f>
        <v/>
      </c>
      <c r="K4229" s="22">
        <f t="array" ref="K4229">IF($D4229="","",IFERROR(INDEX(MASTER_SOURCE!$C$2:$C$495,MATCH($I4229,MASTER_SOURCE!$A$2:$A$495,0)),""))</f>
        <v/>
      </c>
      <c r="L4229" s="22">
        <f t="array" ref="L4229">IF($D4229="","",IFERROR(INDEX(MASTER_SOURCE!$D$2:$D$495,MATCH($I4229,MASTER_SOURCE!$A$2:$A$495,0)),""))</f>
        <v/>
      </c>
      <c r="M4229" s="24" t="n"/>
      <c r="N4229" s="24" t="n"/>
      <c r="O4229" s="24" t="n"/>
      <c r="P4229" s="24" t="n"/>
      <c r="Q4229" s="22">
        <f>IF($D4229="","",IF(AND(OR(DANH_MUC!$L$5&lt;&gt;"Có",M4229="Có"),OR(DANH_MUC!$L$6&lt;&gt;"Có",N4229="Có"),OR(DANH_MUC!$L$7&lt;&gt;"Có",O4229="Có"),OR(DANH_MUC!$L$8&lt;&gt;"Có",P4229="Có")),"Có","Không"))</f>
        <v/>
      </c>
      <c r="R4229" s="22">
        <f>IF($D4229="","",IF(COUNTIF($D$2:$D4229,$D4229)&gt;1,"Trùng",""))</f>
        <v/>
      </c>
      <c r="S4229" s="22">
        <f>IF($D4229="","",IF(AND(LEN($D4229)=10,LEFT($D4229,1)="0",ISNUMBER(--$D4229)),"Có","Không"))</f>
        <v/>
      </c>
      <c r="T4229" s="22">
        <f>IF($D4229="","",IF(AND($C4229&lt;&gt;"",$Q4229="Có",$R4229="",$S4229="Có",AND($L4229&lt;&gt;"",OR($L4229&lt;&gt;"Chưa xác định",DANH_MUC!$L$9="Có"))),"Có","Không"))</f>
        <v/>
      </c>
      <c r="U4229" s="22">
        <f>IF(OR($D4229="",$T4229="Có"),"",IF($C4229="","Thiếu họ tên; ","")&amp;IF($S4229&lt;&gt;"Có","SĐT sai định dạng; ","")&amp;IF($R4229="Trùng","Trùng SĐT; ","")&amp;IF($Q4229&lt;&gt;"Có","Thiếu đồng ý bắt buộc; ","")&amp;IF($L4229="","Thiếu/sai Mã REF; ",IF(AND($L4229="Chưa xác định",DANH_MUC!$L$9&lt;&gt;"Có"),"Nguồn chưa xác định; ","")))</f>
        <v/>
      </c>
      <c r="V4229" s="22">
        <f>IF(OR($D4229="",$R4229="Trùng"),"",IF(COUNTIF(ORDERS!$C$2:$C$4995,$D4229)&gt;0,"Có","Không"))</f>
        <v/>
      </c>
      <c r="W4229" s="22">
        <f>IF(OR($D4229="",$R4229="Trùng"),"",COUNTIFS(ORDERS!$C$2:$C$4995,$D4229,ORDERS!$L$2:$L$4995,"Đã chuyển khoản"))</f>
        <v/>
      </c>
      <c r="X4229" s="23">
        <f>IF(OR($D4229="",$R4229="Trùng"),"",SUMIFS(ORDERS!$J$2:$J$4995,ORDERS!$C$2:$C$4995,$D4229,ORDERS!$L$2:$L$4995,"Đã chuyển khoản"))</f>
        <v/>
      </c>
      <c r="Y4229" s="24" t="n"/>
    </row>
    <row r="4230" ht="14.25" customHeight="1" s="40">
      <c r="A4230" s="24" t="n"/>
      <c r="B4230" s="27" t="n"/>
      <c r="C4230" s="24" t="n"/>
      <c r="D4230" s="28" t="n"/>
      <c r="E4230" s="29" t="n"/>
      <c r="F4230" s="24" t="n"/>
      <c r="G4230" s="24" t="n"/>
      <c r="H4230" s="21">
        <f>IF(ISNUMBER($B4230),INT($B4230)-WEEKDAY($B4230,2)+1,"")</f>
        <v/>
      </c>
      <c r="I4230" s="24" t="n"/>
      <c r="J4230" s="22">
        <f t="array" ref="J4230">IF($D4230="","",IF($I4230="","(trống REF)",IFERROR(INDEX(MASTER_SOURCE!$B$2:$B$495,MATCH($I4230,MASTER_SOURCE!$A$2:$A$495,0)),"(REF không có trong MASTER_SOURCE)")))</f>
        <v/>
      </c>
      <c r="K4230" s="22">
        <f t="array" ref="K4230">IF($D4230="","",IFERROR(INDEX(MASTER_SOURCE!$C$2:$C$495,MATCH($I4230,MASTER_SOURCE!$A$2:$A$495,0)),""))</f>
        <v/>
      </c>
      <c r="L4230" s="22">
        <f t="array" ref="L4230">IF($D4230="","",IFERROR(INDEX(MASTER_SOURCE!$D$2:$D$495,MATCH($I4230,MASTER_SOURCE!$A$2:$A$495,0)),""))</f>
        <v/>
      </c>
      <c r="M4230" s="24" t="n"/>
      <c r="N4230" s="24" t="n"/>
      <c r="O4230" s="24" t="n"/>
      <c r="P4230" s="24" t="n"/>
      <c r="Q4230" s="22">
        <f>IF($D4230="","",IF(AND(OR(DANH_MUC!$L$5&lt;&gt;"Có",M4230="Có"),OR(DANH_MUC!$L$6&lt;&gt;"Có",N4230="Có"),OR(DANH_MUC!$L$7&lt;&gt;"Có",O4230="Có"),OR(DANH_MUC!$L$8&lt;&gt;"Có",P4230="Có")),"Có","Không"))</f>
        <v/>
      </c>
      <c r="R4230" s="22">
        <f>IF($D4230="","",IF(COUNTIF($D$2:$D4230,$D4230)&gt;1,"Trùng",""))</f>
        <v/>
      </c>
      <c r="S4230" s="22">
        <f>IF($D4230="","",IF(AND(LEN($D4230)=10,LEFT($D4230,1)="0",ISNUMBER(--$D4230)),"Có","Không"))</f>
        <v/>
      </c>
      <c r="T4230" s="22">
        <f>IF($D4230="","",IF(AND($C4230&lt;&gt;"",$Q4230="Có",$R4230="",$S4230="Có",AND($L4230&lt;&gt;"",OR($L4230&lt;&gt;"Chưa xác định",DANH_MUC!$L$9="Có"))),"Có","Không"))</f>
        <v/>
      </c>
      <c r="U4230" s="22">
        <f>IF(OR($D4230="",$T4230="Có"),"",IF($C4230="","Thiếu họ tên; ","")&amp;IF($S4230&lt;&gt;"Có","SĐT sai định dạng; ","")&amp;IF($R4230="Trùng","Trùng SĐT; ","")&amp;IF($Q4230&lt;&gt;"Có","Thiếu đồng ý bắt buộc; ","")&amp;IF($L4230="","Thiếu/sai Mã REF; ",IF(AND($L4230="Chưa xác định",DANH_MUC!$L$9&lt;&gt;"Có"),"Nguồn chưa xác định; ","")))</f>
        <v/>
      </c>
      <c r="V4230" s="22">
        <f>IF(OR($D4230="",$R4230="Trùng"),"",IF(COUNTIF(ORDERS!$C$2:$C$4995,$D4230)&gt;0,"Có","Không"))</f>
        <v/>
      </c>
      <c r="W4230" s="22">
        <f>IF(OR($D4230="",$R4230="Trùng"),"",COUNTIFS(ORDERS!$C$2:$C$4995,$D4230,ORDERS!$L$2:$L$4995,"Đã chuyển khoản"))</f>
        <v/>
      </c>
      <c r="X4230" s="23">
        <f>IF(OR($D4230="",$R4230="Trùng"),"",SUMIFS(ORDERS!$J$2:$J$4995,ORDERS!$C$2:$C$4995,$D4230,ORDERS!$L$2:$L$4995,"Đã chuyển khoản"))</f>
        <v/>
      </c>
      <c r="Y4230" s="24" t="n"/>
    </row>
    <row r="4231" ht="14.25" customHeight="1" s="40">
      <c r="A4231" s="24" t="n"/>
      <c r="B4231" s="27" t="n"/>
      <c r="C4231" s="24" t="n"/>
      <c r="D4231" s="28" t="n"/>
      <c r="E4231" s="29" t="n"/>
      <c r="F4231" s="24" t="n"/>
      <c r="G4231" s="24" t="n"/>
      <c r="H4231" s="21">
        <f>IF(ISNUMBER($B4231),INT($B4231)-WEEKDAY($B4231,2)+1,"")</f>
        <v/>
      </c>
      <c r="I4231" s="24" t="n"/>
      <c r="J4231" s="22">
        <f t="array" ref="J4231">IF($D4231="","",IF($I4231="","(trống REF)",IFERROR(INDEX(MASTER_SOURCE!$B$2:$B$495,MATCH($I4231,MASTER_SOURCE!$A$2:$A$495,0)),"(REF không có trong MASTER_SOURCE)")))</f>
        <v/>
      </c>
      <c r="K4231" s="22">
        <f t="array" ref="K4231">IF($D4231="","",IFERROR(INDEX(MASTER_SOURCE!$C$2:$C$495,MATCH($I4231,MASTER_SOURCE!$A$2:$A$495,0)),""))</f>
        <v/>
      </c>
      <c r="L4231" s="22">
        <f t="array" ref="L4231">IF($D4231="","",IFERROR(INDEX(MASTER_SOURCE!$D$2:$D$495,MATCH($I4231,MASTER_SOURCE!$A$2:$A$495,0)),""))</f>
        <v/>
      </c>
      <c r="M4231" s="24" t="n"/>
      <c r="N4231" s="24" t="n"/>
      <c r="O4231" s="24" t="n"/>
      <c r="P4231" s="24" t="n"/>
      <c r="Q4231" s="22">
        <f>IF($D4231="","",IF(AND(OR(DANH_MUC!$L$5&lt;&gt;"Có",M4231="Có"),OR(DANH_MUC!$L$6&lt;&gt;"Có",N4231="Có"),OR(DANH_MUC!$L$7&lt;&gt;"Có",O4231="Có"),OR(DANH_MUC!$L$8&lt;&gt;"Có",P4231="Có")),"Có","Không"))</f>
        <v/>
      </c>
      <c r="R4231" s="22">
        <f>IF($D4231="","",IF(COUNTIF($D$2:$D4231,$D4231)&gt;1,"Trùng",""))</f>
        <v/>
      </c>
      <c r="S4231" s="22">
        <f>IF($D4231="","",IF(AND(LEN($D4231)=10,LEFT($D4231,1)="0",ISNUMBER(--$D4231)),"Có","Không"))</f>
        <v/>
      </c>
      <c r="T4231" s="22">
        <f>IF($D4231="","",IF(AND($C4231&lt;&gt;"",$Q4231="Có",$R4231="",$S4231="Có",AND($L4231&lt;&gt;"",OR($L4231&lt;&gt;"Chưa xác định",DANH_MUC!$L$9="Có"))),"Có","Không"))</f>
        <v/>
      </c>
      <c r="U4231" s="22">
        <f>IF(OR($D4231="",$T4231="Có"),"",IF($C4231="","Thiếu họ tên; ","")&amp;IF($S4231&lt;&gt;"Có","SĐT sai định dạng; ","")&amp;IF($R4231="Trùng","Trùng SĐT; ","")&amp;IF($Q4231&lt;&gt;"Có","Thiếu đồng ý bắt buộc; ","")&amp;IF($L4231="","Thiếu/sai Mã REF; ",IF(AND($L4231="Chưa xác định",DANH_MUC!$L$9&lt;&gt;"Có"),"Nguồn chưa xác định; ","")))</f>
        <v/>
      </c>
      <c r="V4231" s="22">
        <f>IF(OR($D4231="",$R4231="Trùng"),"",IF(COUNTIF(ORDERS!$C$2:$C$4995,$D4231)&gt;0,"Có","Không"))</f>
        <v/>
      </c>
      <c r="W4231" s="22">
        <f>IF(OR($D4231="",$R4231="Trùng"),"",COUNTIFS(ORDERS!$C$2:$C$4995,$D4231,ORDERS!$L$2:$L$4995,"Đã chuyển khoản"))</f>
        <v/>
      </c>
      <c r="X4231" s="23">
        <f>IF(OR($D4231="",$R4231="Trùng"),"",SUMIFS(ORDERS!$J$2:$J$4995,ORDERS!$C$2:$C$4995,$D4231,ORDERS!$L$2:$L$4995,"Đã chuyển khoản"))</f>
        <v/>
      </c>
      <c r="Y4231" s="24" t="n"/>
    </row>
    <row r="4232" ht="14.25" customHeight="1" s="40">
      <c r="A4232" s="24" t="n"/>
      <c r="B4232" s="27" t="n"/>
      <c r="C4232" s="24" t="n"/>
      <c r="D4232" s="28" t="n"/>
      <c r="E4232" s="29" t="n"/>
      <c r="F4232" s="24" t="n"/>
      <c r="G4232" s="24" t="n"/>
      <c r="H4232" s="21">
        <f>IF(ISNUMBER($B4232),INT($B4232)-WEEKDAY($B4232,2)+1,"")</f>
        <v/>
      </c>
      <c r="I4232" s="24" t="n"/>
      <c r="J4232" s="22">
        <f t="array" ref="J4232">IF($D4232="","",IF($I4232="","(trống REF)",IFERROR(INDEX(MASTER_SOURCE!$B$2:$B$495,MATCH($I4232,MASTER_SOURCE!$A$2:$A$495,0)),"(REF không có trong MASTER_SOURCE)")))</f>
        <v/>
      </c>
      <c r="K4232" s="22">
        <f t="array" ref="K4232">IF($D4232="","",IFERROR(INDEX(MASTER_SOURCE!$C$2:$C$495,MATCH($I4232,MASTER_SOURCE!$A$2:$A$495,0)),""))</f>
        <v/>
      </c>
      <c r="L4232" s="22">
        <f t="array" ref="L4232">IF($D4232="","",IFERROR(INDEX(MASTER_SOURCE!$D$2:$D$495,MATCH($I4232,MASTER_SOURCE!$A$2:$A$495,0)),""))</f>
        <v/>
      </c>
      <c r="M4232" s="24" t="n"/>
      <c r="N4232" s="24" t="n"/>
      <c r="O4232" s="24" t="n"/>
      <c r="P4232" s="24" t="n"/>
      <c r="Q4232" s="22">
        <f>IF($D4232="","",IF(AND(OR(DANH_MUC!$L$5&lt;&gt;"Có",M4232="Có"),OR(DANH_MUC!$L$6&lt;&gt;"Có",N4232="Có"),OR(DANH_MUC!$L$7&lt;&gt;"Có",O4232="Có"),OR(DANH_MUC!$L$8&lt;&gt;"Có",P4232="Có")),"Có","Không"))</f>
        <v/>
      </c>
      <c r="R4232" s="22">
        <f>IF($D4232="","",IF(COUNTIF($D$2:$D4232,$D4232)&gt;1,"Trùng",""))</f>
        <v/>
      </c>
      <c r="S4232" s="22">
        <f>IF($D4232="","",IF(AND(LEN($D4232)=10,LEFT($D4232,1)="0",ISNUMBER(--$D4232)),"Có","Không"))</f>
        <v/>
      </c>
      <c r="T4232" s="22">
        <f>IF($D4232="","",IF(AND($C4232&lt;&gt;"",$Q4232="Có",$R4232="",$S4232="Có",AND($L4232&lt;&gt;"",OR($L4232&lt;&gt;"Chưa xác định",DANH_MUC!$L$9="Có"))),"Có","Không"))</f>
        <v/>
      </c>
      <c r="U4232" s="22">
        <f>IF(OR($D4232="",$T4232="Có"),"",IF($C4232="","Thiếu họ tên; ","")&amp;IF($S4232&lt;&gt;"Có","SĐT sai định dạng; ","")&amp;IF($R4232="Trùng","Trùng SĐT; ","")&amp;IF($Q4232&lt;&gt;"Có","Thiếu đồng ý bắt buộc; ","")&amp;IF($L4232="","Thiếu/sai Mã REF; ",IF(AND($L4232="Chưa xác định",DANH_MUC!$L$9&lt;&gt;"Có"),"Nguồn chưa xác định; ","")))</f>
        <v/>
      </c>
      <c r="V4232" s="22">
        <f>IF(OR($D4232="",$R4232="Trùng"),"",IF(COUNTIF(ORDERS!$C$2:$C$4995,$D4232)&gt;0,"Có","Không"))</f>
        <v/>
      </c>
      <c r="W4232" s="22">
        <f>IF(OR($D4232="",$R4232="Trùng"),"",COUNTIFS(ORDERS!$C$2:$C$4995,$D4232,ORDERS!$L$2:$L$4995,"Đã chuyển khoản"))</f>
        <v/>
      </c>
      <c r="X4232" s="23">
        <f>IF(OR($D4232="",$R4232="Trùng"),"",SUMIFS(ORDERS!$J$2:$J$4995,ORDERS!$C$2:$C$4995,$D4232,ORDERS!$L$2:$L$4995,"Đã chuyển khoản"))</f>
        <v/>
      </c>
      <c r="Y4232" s="24" t="n"/>
    </row>
    <row r="4233" ht="14.25" customHeight="1" s="40">
      <c r="A4233" s="24" t="n"/>
      <c r="B4233" s="27" t="n"/>
      <c r="C4233" s="24" t="n"/>
      <c r="D4233" s="28" t="n"/>
      <c r="E4233" s="29" t="n"/>
      <c r="F4233" s="24" t="n"/>
      <c r="G4233" s="24" t="n"/>
      <c r="H4233" s="21">
        <f>IF(ISNUMBER($B4233),INT($B4233)-WEEKDAY($B4233,2)+1,"")</f>
        <v/>
      </c>
      <c r="I4233" s="24" t="n"/>
      <c r="J4233" s="22">
        <f t="array" ref="J4233">IF($D4233="","",IF($I4233="","(trống REF)",IFERROR(INDEX(MASTER_SOURCE!$B$2:$B$495,MATCH($I4233,MASTER_SOURCE!$A$2:$A$495,0)),"(REF không có trong MASTER_SOURCE)")))</f>
        <v/>
      </c>
      <c r="K4233" s="22">
        <f t="array" ref="K4233">IF($D4233="","",IFERROR(INDEX(MASTER_SOURCE!$C$2:$C$495,MATCH($I4233,MASTER_SOURCE!$A$2:$A$495,0)),""))</f>
        <v/>
      </c>
      <c r="L4233" s="22">
        <f t="array" ref="L4233">IF($D4233="","",IFERROR(INDEX(MASTER_SOURCE!$D$2:$D$495,MATCH($I4233,MASTER_SOURCE!$A$2:$A$495,0)),""))</f>
        <v/>
      </c>
      <c r="M4233" s="24" t="n"/>
      <c r="N4233" s="24" t="n"/>
      <c r="O4233" s="24" t="n"/>
      <c r="P4233" s="24" t="n"/>
      <c r="Q4233" s="22">
        <f>IF($D4233="","",IF(AND(OR(DANH_MUC!$L$5&lt;&gt;"Có",M4233="Có"),OR(DANH_MUC!$L$6&lt;&gt;"Có",N4233="Có"),OR(DANH_MUC!$L$7&lt;&gt;"Có",O4233="Có"),OR(DANH_MUC!$L$8&lt;&gt;"Có",P4233="Có")),"Có","Không"))</f>
        <v/>
      </c>
      <c r="R4233" s="22">
        <f>IF($D4233="","",IF(COUNTIF($D$2:$D4233,$D4233)&gt;1,"Trùng",""))</f>
        <v/>
      </c>
      <c r="S4233" s="22">
        <f>IF($D4233="","",IF(AND(LEN($D4233)=10,LEFT($D4233,1)="0",ISNUMBER(--$D4233)),"Có","Không"))</f>
        <v/>
      </c>
      <c r="T4233" s="22">
        <f>IF($D4233="","",IF(AND($C4233&lt;&gt;"",$Q4233="Có",$R4233="",$S4233="Có",AND($L4233&lt;&gt;"",OR($L4233&lt;&gt;"Chưa xác định",DANH_MUC!$L$9="Có"))),"Có","Không"))</f>
        <v/>
      </c>
      <c r="U4233" s="22">
        <f>IF(OR($D4233="",$T4233="Có"),"",IF($C4233="","Thiếu họ tên; ","")&amp;IF($S4233&lt;&gt;"Có","SĐT sai định dạng; ","")&amp;IF($R4233="Trùng","Trùng SĐT; ","")&amp;IF($Q4233&lt;&gt;"Có","Thiếu đồng ý bắt buộc; ","")&amp;IF($L4233="","Thiếu/sai Mã REF; ",IF(AND($L4233="Chưa xác định",DANH_MUC!$L$9&lt;&gt;"Có"),"Nguồn chưa xác định; ","")))</f>
        <v/>
      </c>
      <c r="V4233" s="22">
        <f>IF(OR($D4233="",$R4233="Trùng"),"",IF(COUNTIF(ORDERS!$C$2:$C$4995,$D4233)&gt;0,"Có","Không"))</f>
        <v/>
      </c>
      <c r="W4233" s="22">
        <f>IF(OR($D4233="",$R4233="Trùng"),"",COUNTIFS(ORDERS!$C$2:$C$4995,$D4233,ORDERS!$L$2:$L$4995,"Đã chuyển khoản"))</f>
        <v/>
      </c>
      <c r="X4233" s="23">
        <f>IF(OR($D4233="",$R4233="Trùng"),"",SUMIFS(ORDERS!$J$2:$J$4995,ORDERS!$C$2:$C$4995,$D4233,ORDERS!$L$2:$L$4995,"Đã chuyển khoản"))</f>
        <v/>
      </c>
      <c r="Y4233" s="24" t="n"/>
    </row>
    <row r="4234" ht="14.25" customHeight="1" s="40">
      <c r="A4234" s="24" t="n"/>
      <c r="B4234" s="27" t="n"/>
      <c r="C4234" s="24" t="n"/>
      <c r="D4234" s="28" t="n"/>
      <c r="E4234" s="29" t="n"/>
      <c r="F4234" s="24" t="n"/>
      <c r="G4234" s="24" t="n"/>
      <c r="H4234" s="21">
        <f>IF(ISNUMBER($B4234),INT($B4234)-WEEKDAY($B4234,2)+1,"")</f>
        <v/>
      </c>
      <c r="I4234" s="24" t="n"/>
      <c r="J4234" s="22">
        <f t="array" ref="J4234">IF($D4234="","",IF($I4234="","(trống REF)",IFERROR(INDEX(MASTER_SOURCE!$B$2:$B$495,MATCH($I4234,MASTER_SOURCE!$A$2:$A$495,0)),"(REF không có trong MASTER_SOURCE)")))</f>
        <v/>
      </c>
      <c r="K4234" s="22">
        <f t="array" ref="K4234">IF($D4234="","",IFERROR(INDEX(MASTER_SOURCE!$C$2:$C$495,MATCH($I4234,MASTER_SOURCE!$A$2:$A$495,0)),""))</f>
        <v/>
      </c>
      <c r="L4234" s="22">
        <f t="array" ref="L4234">IF($D4234="","",IFERROR(INDEX(MASTER_SOURCE!$D$2:$D$495,MATCH($I4234,MASTER_SOURCE!$A$2:$A$495,0)),""))</f>
        <v/>
      </c>
      <c r="M4234" s="24" t="n"/>
      <c r="N4234" s="24" t="n"/>
      <c r="O4234" s="24" t="n"/>
      <c r="P4234" s="24" t="n"/>
      <c r="Q4234" s="22">
        <f>IF($D4234="","",IF(AND(OR(DANH_MUC!$L$5&lt;&gt;"Có",M4234="Có"),OR(DANH_MUC!$L$6&lt;&gt;"Có",N4234="Có"),OR(DANH_MUC!$L$7&lt;&gt;"Có",O4234="Có"),OR(DANH_MUC!$L$8&lt;&gt;"Có",P4234="Có")),"Có","Không"))</f>
        <v/>
      </c>
      <c r="R4234" s="22">
        <f>IF($D4234="","",IF(COUNTIF($D$2:$D4234,$D4234)&gt;1,"Trùng",""))</f>
        <v/>
      </c>
      <c r="S4234" s="22">
        <f>IF($D4234="","",IF(AND(LEN($D4234)=10,LEFT($D4234,1)="0",ISNUMBER(--$D4234)),"Có","Không"))</f>
        <v/>
      </c>
      <c r="T4234" s="22">
        <f>IF($D4234="","",IF(AND($C4234&lt;&gt;"",$Q4234="Có",$R4234="",$S4234="Có",AND($L4234&lt;&gt;"",OR($L4234&lt;&gt;"Chưa xác định",DANH_MUC!$L$9="Có"))),"Có","Không"))</f>
        <v/>
      </c>
      <c r="U4234" s="22">
        <f>IF(OR($D4234="",$T4234="Có"),"",IF($C4234="","Thiếu họ tên; ","")&amp;IF($S4234&lt;&gt;"Có","SĐT sai định dạng; ","")&amp;IF($R4234="Trùng","Trùng SĐT; ","")&amp;IF($Q4234&lt;&gt;"Có","Thiếu đồng ý bắt buộc; ","")&amp;IF($L4234="","Thiếu/sai Mã REF; ",IF(AND($L4234="Chưa xác định",DANH_MUC!$L$9&lt;&gt;"Có"),"Nguồn chưa xác định; ","")))</f>
        <v/>
      </c>
      <c r="V4234" s="22">
        <f>IF(OR($D4234="",$R4234="Trùng"),"",IF(COUNTIF(ORDERS!$C$2:$C$4995,$D4234)&gt;0,"Có","Không"))</f>
        <v/>
      </c>
      <c r="W4234" s="22">
        <f>IF(OR($D4234="",$R4234="Trùng"),"",COUNTIFS(ORDERS!$C$2:$C$4995,$D4234,ORDERS!$L$2:$L$4995,"Đã chuyển khoản"))</f>
        <v/>
      </c>
      <c r="X4234" s="23">
        <f>IF(OR($D4234="",$R4234="Trùng"),"",SUMIFS(ORDERS!$J$2:$J$4995,ORDERS!$C$2:$C$4995,$D4234,ORDERS!$L$2:$L$4995,"Đã chuyển khoản"))</f>
        <v/>
      </c>
      <c r="Y4234" s="24" t="n"/>
    </row>
    <row r="4235" ht="14.25" customHeight="1" s="40">
      <c r="A4235" s="24" t="n"/>
      <c r="B4235" s="27" t="n"/>
      <c r="C4235" s="24" t="n"/>
      <c r="D4235" s="28" t="n"/>
      <c r="E4235" s="29" t="n"/>
      <c r="F4235" s="24" t="n"/>
      <c r="G4235" s="24" t="n"/>
      <c r="H4235" s="21">
        <f>IF(ISNUMBER($B4235),INT($B4235)-WEEKDAY($B4235,2)+1,"")</f>
        <v/>
      </c>
      <c r="I4235" s="24" t="n"/>
      <c r="J4235" s="22">
        <f t="array" ref="J4235">IF($D4235="","",IF($I4235="","(trống REF)",IFERROR(INDEX(MASTER_SOURCE!$B$2:$B$495,MATCH($I4235,MASTER_SOURCE!$A$2:$A$495,0)),"(REF không có trong MASTER_SOURCE)")))</f>
        <v/>
      </c>
      <c r="K4235" s="22">
        <f t="array" ref="K4235">IF($D4235="","",IFERROR(INDEX(MASTER_SOURCE!$C$2:$C$495,MATCH($I4235,MASTER_SOURCE!$A$2:$A$495,0)),""))</f>
        <v/>
      </c>
      <c r="L4235" s="22">
        <f t="array" ref="L4235">IF($D4235="","",IFERROR(INDEX(MASTER_SOURCE!$D$2:$D$495,MATCH($I4235,MASTER_SOURCE!$A$2:$A$495,0)),""))</f>
        <v/>
      </c>
      <c r="M4235" s="24" t="n"/>
      <c r="N4235" s="24" t="n"/>
      <c r="O4235" s="24" t="n"/>
      <c r="P4235" s="24" t="n"/>
      <c r="Q4235" s="22">
        <f>IF($D4235="","",IF(AND(OR(DANH_MUC!$L$5&lt;&gt;"Có",M4235="Có"),OR(DANH_MUC!$L$6&lt;&gt;"Có",N4235="Có"),OR(DANH_MUC!$L$7&lt;&gt;"Có",O4235="Có"),OR(DANH_MUC!$L$8&lt;&gt;"Có",P4235="Có")),"Có","Không"))</f>
        <v/>
      </c>
      <c r="R4235" s="22">
        <f>IF($D4235="","",IF(COUNTIF($D$2:$D4235,$D4235)&gt;1,"Trùng",""))</f>
        <v/>
      </c>
      <c r="S4235" s="22">
        <f>IF($D4235="","",IF(AND(LEN($D4235)=10,LEFT($D4235,1)="0",ISNUMBER(--$D4235)),"Có","Không"))</f>
        <v/>
      </c>
      <c r="T4235" s="22">
        <f>IF($D4235="","",IF(AND($C4235&lt;&gt;"",$Q4235="Có",$R4235="",$S4235="Có",AND($L4235&lt;&gt;"",OR($L4235&lt;&gt;"Chưa xác định",DANH_MUC!$L$9="Có"))),"Có","Không"))</f>
        <v/>
      </c>
      <c r="U4235" s="22">
        <f>IF(OR($D4235="",$T4235="Có"),"",IF($C4235="","Thiếu họ tên; ","")&amp;IF($S4235&lt;&gt;"Có","SĐT sai định dạng; ","")&amp;IF($R4235="Trùng","Trùng SĐT; ","")&amp;IF($Q4235&lt;&gt;"Có","Thiếu đồng ý bắt buộc; ","")&amp;IF($L4235="","Thiếu/sai Mã REF; ",IF(AND($L4235="Chưa xác định",DANH_MUC!$L$9&lt;&gt;"Có"),"Nguồn chưa xác định; ","")))</f>
        <v/>
      </c>
      <c r="V4235" s="22">
        <f>IF(OR($D4235="",$R4235="Trùng"),"",IF(COUNTIF(ORDERS!$C$2:$C$4995,$D4235)&gt;0,"Có","Không"))</f>
        <v/>
      </c>
      <c r="W4235" s="22">
        <f>IF(OR($D4235="",$R4235="Trùng"),"",COUNTIFS(ORDERS!$C$2:$C$4995,$D4235,ORDERS!$L$2:$L$4995,"Đã chuyển khoản"))</f>
        <v/>
      </c>
      <c r="X4235" s="23">
        <f>IF(OR($D4235="",$R4235="Trùng"),"",SUMIFS(ORDERS!$J$2:$J$4995,ORDERS!$C$2:$C$4995,$D4235,ORDERS!$L$2:$L$4995,"Đã chuyển khoản"))</f>
        <v/>
      </c>
      <c r="Y4235" s="24" t="n"/>
    </row>
    <row r="4236" ht="14.25" customHeight="1" s="40">
      <c r="A4236" s="24" t="n"/>
      <c r="B4236" s="27" t="n"/>
      <c r="C4236" s="24" t="n"/>
      <c r="D4236" s="28" t="n"/>
      <c r="E4236" s="29" t="n"/>
      <c r="F4236" s="24" t="n"/>
      <c r="G4236" s="24" t="n"/>
      <c r="H4236" s="21">
        <f>IF(ISNUMBER($B4236),INT($B4236)-WEEKDAY($B4236,2)+1,"")</f>
        <v/>
      </c>
      <c r="I4236" s="24" t="n"/>
      <c r="J4236" s="22">
        <f t="array" ref="J4236">IF($D4236="","",IF($I4236="","(trống REF)",IFERROR(INDEX(MASTER_SOURCE!$B$2:$B$495,MATCH($I4236,MASTER_SOURCE!$A$2:$A$495,0)),"(REF không có trong MASTER_SOURCE)")))</f>
        <v/>
      </c>
      <c r="K4236" s="22">
        <f t="array" ref="K4236">IF($D4236="","",IFERROR(INDEX(MASTER_SOURCE!$C$2:$C$495,MATCH($I4236,MASTER_SOURCE!$A$2:$A$495,0)),""))</f>
        <v/>
      </c>
      <c r="L4236" s="22">
        <f t="array" ref="L4236">IF($D4236="","",IFERROR(INDEX(MASTER_SOURCE!$D$2:$D$495,MATCH($I4236,MASTER_SOURCE!$A$2:$A$495,0)),""))</f>
        <v/>
      </c>
      <c r="M4236" s="24" t="n"/>
      <c r="N4236" s="24" t="n"/>
      <c r="O4236" s="24" t="n"/>
      <c r="P4236" s="24" t="n"/>
      <c r="Q4236" s="22">
        <f>IF($D4236="","",IF(AND(OR(DANH_MUC!$L$5&lt;&gt;"Có",M4236="Có"),OR(DANH_MUC!$L$6&lt;&gt;"Có",N4236="Có"),OR(DANH_MUC!$L$7&lt;&gt;"Có",O4236="Có"),OR(DANH_MUC!$L$8&lt;&gt;"Có",P4236="Có")),"Có","Không"))</f>
        <v/>
      </c>
      <c r="R4236" s="22">
        <f>IF($D4236="","",IF(COUNTIF($D$2:$D4236,$D4236)&gt;1,"Trùng",""))</f>
        <v/>
      </c>
      <c r="S4236" s="22">
        <f>IF($D4236="","",IF(AND(LEN($D4236)=10,LEFT($D4236,1)="0",ISNUMBER(--$D4236)),"Có","Không"))</f>
        <v/>
      </c>
      <c r="T4236" s="22">
        <f>IF($D4236="","",IF(AND($C4236&lt;&gt;"",$Q4236="Có",$R4236="",$S4236="Có",AND($L4236&lt;&gt;"",OR($L4236&lt;&gt;"Chưa xác định",DANH_MUC!$L$9="Có"))),"Có","Không"))</f>
        <v/>
      </c>
      <c r="U4236" s="22">
        <f>IF(OR($D4236="",$T4236="Có"),"",IF($C4236="","Thiếu họ tên; ","")&amp;IF($S4236&lt;&gt;"Có","SĐT sai định dạng; ","")&amp;IF($R4236="Trùng","Trùng SĐT; ","")&amp;IF($Q4236&lt;&gt;"Có","Thiếu đồng ý bắt buộc; ","")&amp;IF($L4236="","Thiếu/sai Mã REF; ",IF(AND($L4236="Chưa xác định",DANH_MUC!$L$9&lt;&gt;"Có"),"Nguồn chưa xác định; ","")))</f>
        <v/>
      </c>
      <c r="V4236" s="22">
        <f>IF(OR($D4236="",$R4236="Trùng"),"",IF(COUNTIF(ORDERS!$C$2:$C$4995,$D4236)&gt;0,"Có","Không"))</f>
        <v/>
      </c>
      <c r="W4236" s="22">
        <f>IF(OR($D4236="",$R4236="Trùng"),"",COUNTIFS(ORDERS!$C$2:$C$4995,$D4236,ORDERS!$L$2:$L$4995,"Đã chuyển khoản"))</f>
        <v/>
      </c>
      <c r="X4236" s="23">
        <f>IF(OR($D4236="",$R4236="Trùng"),"",SUMIFS(ORDERS!$J$2:$J$4995,ORDERS!$C$2:$C$4995,$D4236,ORDERS!$L$2:$L$4995,"Đã chuyển khoản"))</f>
        <v/>
      </c>
      <c r="Y4236" s="24" t="n"/>
    </row>
    <row r="4237" ht="14.25" customHeight="1" s="40">
      <c r="A4237" s="24" t="n"/>
      <c r="B4237" s="27" t="n"/>
      <c r="C4237" s="24" t="n"/>
      <c r="D4237" s="28" t="n"/>
      <c r="E4237" s="29" t="n"/>
      <c r="F4237" s="24" t="n"/>
      <c r="G4237" s="24" t="n"/>
      <c r="H4237" s="21">
        <f>IF(ISNUMBER($B4237),INT($B4237)-WEEKDAY($B4237,2)+1,"")</f>
        <v/>
      </c>
      <c r="I4237" s="24" t="n"/>
      <c r="J4237" s="22">
        <f t="array" ref="J4237">IF($D4237="","",IF($I4237="","(trống REF)",IFERROR(INDEX(MASTER_SOURCE!$B$2:$B$495,MATCH($I4237,MASTER_SOURCE!$A$2:$A$495,0)),"(REF không có trong MASTER_SOURCE)")))</f>
        <v/>
      </c>
      <c r="K4237" s="22">
        <f t="array" ref="K4237">IF($D4237="","",IFERROR(INDEX(MASTER_SOURCE!$C$2:$C$495,MATCH($I4237,MASTER_SOURCE!$A$2:$A$495,0)),""))</f>
        <v/>
      </c>
      <c r="L4237" s="22">
        <f t="array" ref="L4237">IF($D4237="","",IFERROR(INDEX(MASTER_SOURCE!$D$2:$D$495,MATCH($I4237,MASTER_SOURCE!$A$2:$A$495,0)),""))</f>
        <v/>
      </c>
      <c r="M4237" s="24" t="n"/>
      <c r="N4237" s="24" t="n"/>
      <c r="O4237" s="24" t="n"/>
      <c r="P4237" s="24" t="n"/>
      <c r="Q4237" s="22">
        <f>IF($D4237="","",IF(AND(OR(DANH_MUC!$L$5&lt;&gt;"Có",M4237="Có"),OR(DANH_MUC!$L$6&lt;&gt;"Có",N4237="Có"),OR(DANH_MUC!$L$7&lt;&gt;"Có",O4237="Có"),OR(DANH_MUC!$L$8&lt;&gt;"Có",P4237="Có")),"Có","Không"))</f>
        <v/>
      </c>
      <c r="R4237" s="22">
        <f>IF($D4237="","",IF(COUNTIF($D$2:$D4237,$D4237)&gt;1,"Trùng",""))</f>
        <v/>
      </c>
      <c r="S4237" s="22">
        <f>IF($D4237="","",IF(AND(LEN($D4237)=10,LEFT($D4237,1)="0",ISNUMBER(--$D4237)),"Có","Không"))</f>
        <v/>
      </c>
      <c r="T4237" s="22">
        <f>IF($D4237="","",IF(AND($C4237&lt;&gt;"",$Q4237="Có",$R4237="",$S4237="Có",AND($L4237&lt;&gt;"",OR($L4237&lt;&gt;"Chưa xác định",DANH_MUC!$L$9="Có"))),"Có","Không"))</f>
        <v/>
      </c>
      <c r="U4237" s="22">
        <f>IF(OR($D4237="",$T4237="Có"),"",IF($C4237="","Thiếu họ tên; ","")&amp;IF($S4237&lt;&gt;"Có","SĐT sai định dạng; ","")&amp;IF($R4237="Trùng","Trùng SĐT; ","")&amp;IF($Q4237&lt;&gt;"Có","Thiếu đồng ý bắt buộc; ","")&amp;IF($L4237="","Thiếu/sai Mã REF; ",IF(AND($L4237="Chưa xác định",DANH_MUC!$L$9&lt;&gt;"Có"),"Nguồn chưa xác định; ","")))</f>
        <v/>
      </c>
      <c r="V4237" s="22">
        <f>IF(OR($D4237="",$R4237="Trùng"),"",IF(COUNTIF(ORDERS!$C$2:$C$4995,$D4237)&gt;0,"Có","Không"))</f>
        <v/>
      </c>
      <c r="W4237" s="22">
        <f>IF(OR($D4237="",$R4237="Trùng"),"",COUNTIFS(ORDERS!$C$2:$C$4995,$D4237,ORDERS!$L$2:$L$4995,"Đã chuyển khoản"))</f>
        <v/>
      </c>
      <c r="X4237" s="23">
        <f>IF(OR($D4237="",$R4237="Trùng"),"",SUMIFS(ORDERS!$J$2:$J$4995,ORDERS!$C$2:$C$4995,$D4237,ORDERS!$L$2:$L$4995,"Đã chuyển khoản"))</f>
        <v/>
      </c>
      <c r="Y4237" s="24" t="n"/>
    </row>
    <row r="4238" ht="14.25" customHeight="1" s="40">
      <c r="A4238" s="24" t="n"/>
      <c r="B4238" s="27" t="n"/>
      <c r="C4238" s="24" t="n"/>
      <c r="D4238" s="28" t="n"/>
      <c r="E4238" s="29" t="n"/>
      <c r="F4238" s="24" t="n"/>
      <c r="G4238" s="24" t="n"/>
      <c r="H4238" s="21">
        <f>IF(ISNUMBER($B4238),INT($B4238)-WEEKDAY($B4238,2)+1,"")</f>
        <v/>
      </c>
      <c r="I4238" s="24" t="n"/>
      <c r="J4238" s="22">
        <f t="array" ref="J4238">IF($D4238="","",IF($I4238="","(trống REF)",IFERROR(INDEX(MASTER_SOURCE!$B$2:$B$495,MATCH($I4238,MASTER_SOURCE!$A$2:$A$495,0)),"(REF không có trong MASTER_SOURCE)")))</f>
        <v/>
      </c>
      <c r="K4238" s="22">
        <f t="array" ref="K4238">IF($D4238="","",IFERROR(INDEX(MASTER_SOURCE!$C$2:$C$495,MATCH($I4238,MASTER_SOURCE!$A$2:$A$495,0)),""))</f>
        <v/>
      </c>
      <c r="L4238" s="22">
        <f t="array" ref="L4238">IF($D4238="","",IFERROR(INDEX(MASTER_SOURCE!$D$2:$D$495,MATCH($I4238,MASTER_SOURCE!$A$2:$A$495,0)),""))</f>
        <v/>
      </c>
      <c r="M4238" s="24" t="n"/>
      <c r="N4238" s="24" t="n"/>
      <c r="O4238" s="24" t="n"/>
      <c r="P4238" s="24" t="n"/>
      <c r="Q4238" s="22">
        <f>IF($D4238="","",IF(AND(OR(DANH_MUC!$L$5&lt;&gt;"Có",M4238="Có"),OR(DANH_MUC!$L$6&lt;&gt;"Có",N4238="Có"),OR(DANH_MUC!$L$7&lt;&gt;"Có",O4238="Có"),OR(DANH_MUC!$L$8&lt;&gt;"Có",P4238="Có")),"Có","Không"))</f>
        <v/>
      </c>
      <c r="R4238" s="22">
        <f>IF($D4238="","",IF(COUNTIF($D$2:$D4238,$D4238)&gt;1,"Trùng",""))</f>
        <v/>
      </c>
      <c r="S4238" s="22">
        <f>IF($D4238="","",IF(AND(LEN($D4238)=10,LEFT($D4238,1)="0",ISNUMBER(--$D4238)),"Có","Không"))</f>
        <v/>
      </c>
      <c r="T4238" s="22">
        <f>IF($D4238="","",IF(AND($C4238&lt;&gt;"",$Q4238="Có",$R4238="",$S4238="Có",AND($L4238&lt;&gt;"",OR($L4238&lt;&gt;"Chưa xác định",DANH_MUC!$L$9="Có"))),"Có","Không"))</f>
        <v/>
      </c>
      <c r="U4238" s="22">
        <f>IF(OR($D4238="",$T4238="Có"),"",IF($C4238="","Thiếu họ tên; ","")&amp;IF($S4238&lt;&gt;"Có","SĐT sai định dạng; ","")&amp;IF($R4238="Trùng","Trùng SĐT; ","")&amp;IF($Q4238&lt;&gt;"Có","Thiếu đồng ý bắt buộc; ","")&amp;IF($L4238="","Thiếu/sai Mã REF; ",IF(AND($L4238="Chưa xác định",DANH_MUC!$L$9&lt;&gt;"Có"),"Nguồn chưa xác định; ","")))</f>
        <v/>
      </c>
      <c r="V4238" s="22">
        <f>IF(OR($D4238="",$R4238="Trùng"),"",IF(COUNTIF(ORDERS!$C$2:$C$4995,$D4238)&gt;0,"Có","Không"))</f>
        <v/>
      </c>
      <c r="W4238" s="22">
        <f>IF(OR($D4238="",$R4238="Trùng"),"",COUNTIFS(ORDERS!$C$2:$C$4995,$D4238,ORDERS!$L$2:$L$4995,"Đã chuyển khoản"))</f>
        <v/>
      </c>
      <c r="X4238" s="23">
        <f>IF(OR($D4238="",$R4238="Trùng"),"",SUMIFS(ORDERS!$J$2:$J$4995,ORDERS!$C$2:$C$4995,$D4238,ORDERS!$L$2:$L$4995,"Đã chuyển khoản"))</f>
        <v/>
      </c>
      <c r="Y4238" s="24" t="n"/>
    </row>
    <row r="4239" ht="14.25" customHeight="1" s="40">
      <c r="A4239" s="24" t="n"/>
      <c r="B4239" s="27" t="n"/>
      <c r="C4239" s="24" t="n"/>
      <c r="D4239" s="28" t="n"/>
      <c r="E4239" s="29" t="n"/>
      <c r="F4239" s="24" t="n"/>
      <c r="G4239" s="24" t="n"/>
      <c r="H4239" s="21">
        <f>IF(ISNUMBER($B4239),INT($B4239)-WEEKDAY($B4239,2)+1,"")</f>
        <v/>
      </c>
      <c r="I4239" s="24" t="n"/>
      <c r="J4239" s="22">
        <f t="array" ref="J4239">IF($D4239="","",IF($I4239="","(trống REF)",IFERROR(INDEX(MASTER_SOURCE!$B$2:$B$495,MATCH($I4239,MASTER_SOURCE!$A$2:$A$495,0)),"(REF không có trong MASTER_SOURCE)")))</f>
        <v/>
      </c>
      <c r="K4239" s="22">
        <f t="array" ref="K4239">IF($D4239="","",IFERROR(INDEX(MASTER_SOURCE!$C$2:$C$495,MATCH($I4239,MASTER_SOURCE!$A$2:$A$495,0)),""))</f>
        <v/>
      </c>
      <c r="L4239" s="22">
        <f t="array" ref="L4239">IF($D4239="","",IFERROR(INDEX(MASTER_SOURCE!$D$2:$D$495,MATCH($I4239,MASTER_SOURCE!$A$2:$A$495,0)),""))</f>
        <v/>
      </c>
      <c r="M4239" s="24" t="n"/>
      <c r="N4239" s="24" t="n"/>
      <c r="O4239" s="24" t="n"/>
      <c r="P4239" s="24" t="n"/>
      <c r="Q4239" s="22">
        <f>IF($D4239="","",IF(AND(OR(DANH_MUC!$L$5&lt;&gt;"Có",M4239="Có"),OR(DANH_MUC!$L$6&lt;&gt;"Có",N4239="Có"),OR(DANH_MUC!$L$7&lt;&gt;"Có",O4239="Có"),OR(DANH_MUC!$L$8&lt;&gt;"Có",P4239="Có")),"Có","Không"))</f>
        <v/>
      </c>
      <c r="R4239" s="22">
        <f>IF($D4239="","",IF(COUNTIF($D$2:$D4239,$D4239)&gt;1,"Trùng",""))</f>
        <v/>
      </c>
      <c r="S4239" s="22">
        <f>IF($D4239="","",IF(AND(LEN($D4239)=10,LEFT($D4239,1)="0",ISNUMBER(--$D4239)),"Có","Không"))</f>
        <v/>
      </c>
      <c r="T4239" s="22">
        <f>IF($D4239="","",IF(AND($C4239&lt;&gt;"",$Q4239="Có",$R4239="",$S4239="Có",AND($L4239&lt;&gt;"",OR($L4239&lt;&gt;"Chưa xác định",DANH_MUC!$L$9="Có"))),"Có","Không"))</f>
        <v/>
      </c>
      <c r="U4239" s="22">
        <f>IF(OR($D4239="",$T4239="Có"),"",IF($C4239="","Thiếu họ tên; ","")&amp;IF($S4239&lt;&gt;"Có","SĐT sai định dạng; ","")&amp;IF($R4239="Trùng","Trùng SĐT; ","")&amp;IF($Q4239&lt;&gt;"Có","Thiếu đồng ý bắt buộc; ","")&amp;IF($L4239="","Thiếu/sai Mã REF; ",IF(AND($L4239="Chưa xác định",DANH_MUC!$L$9&lt;&gt;"Có"),"Nguồn chưa xác định; ","")))</f>
        <v/>
      </c>
      <c r="V4239" s="22">
        <f>IF(OR($D4239="",$R4239="Trùng"),"",IF(COUNTIF(ORDERS!$C$2:$C$4995,$D4239)&gt;0,"Có","Không"))</f>
        <v/>
      </c>
      <c r="W4239" s="22">
        <f>IF(OR($D4239="",$R4239="Trùng"),"",COUNTIFS(ORDERS!$C$2:$C$4995,$D4239,ORDERS!$L$2:$L$4995,"Đã chuyển khoản"))</f>
        <v/>
      </c>
      <c r="X4239" s="23">
        <f>IF(OR($D4239="",$R4239="Trùng"),"",SUMIFS(ORDERS!$J$2:$J$4995,ORDERS!$C$2:$C$4995,$D4239,ORDERS!$L$2:$L$4995,"Đã chuyển khoản"))</f>
        <v/>
      </c>
      <c r="Y4239" s="24" t="n"/>
    </row>
    <row r="4240" ht="14.25" customHeight="1" s="40">
      <c r="A4240" s="24" t="n"/>
      <c r="B4240" s="27" t="n"/>
      <c r="C4240" s="24" t="n"/>
      <c r="D4240" s="28" t="n"/>
      <c r="E4240" s="29" t="n"/>
      <c r="F4240" s="24" t="n"/>
      <c r="G4240" s="24" t="n"/>
      <c r="H4240" s="21">
        <f>IF(ISNUMBER($B4240),INT($B4240)-WEEKDAY($B4240,2)+1,"")</f>
        <v/>
      </c>
      <c r="I4240" s="24" t="n"/>
      <c r="J4240" s="22">
        <f t="array" ref="J4240">IF($D4240="","",IF($I4240="","(trống REF)",IFERROR(INDEX(MASTER_SOURCE!$B$2:$B$495,MATCH($I4240,MASTER_SOURCE!$A$2:$A$495,0)),"(REF không có trong MASTER_SOURCE)")))</f>
        <v/>
      </c>
      <c r="K4240" s="22">
        <f t="array" ref="K4240">IF($D4240="","",IFERROR(INDEX(MASTER_SOURCE!$C$2:$C$495,MATCH($I4240,MASTER_SOURCE!$A$2:$A$495,0)),""))</f>
        <v/>
      </c>
      <c r="L4240" s="22">
        <f t="array" ref="L4240">IF($D4240="","",IFERROR(INDEX(MASTER_SOURCE!$D$2:$D$495,MATCH($I4240,MASTER_SOURCE!$A$2:$A$495,0)),""))</f>
        <v/>
      </c>
      <c r="M4240" s="24" t="n"/>
      <c r="N4240" s="24" t="n"/>
      <c r="O4240" s="24" t="n"/>
      <c r="P4240" s="24" t="n"/>
      <c r="Q4240" s="22">
        <f>IF($D4240="","",IF(AND(OR(DANH_MUC!$L$5&lt;&gt;"Có",M4240="Có"),OR(DANH_MUC!$L$6&lt;&gt;"Có",N4240="Có"),OR(DANH_MUC!$L$7&lt;&gt;"Có",O4240="Có"),OR(DANH_MUC!$L$8&lt;&gt;"Có",P4240="Có")),"Có","Không"))</f>
        <v/>
      </c>
      <c r="R4240" s="22">
        <f>IF($D4240="","",IF(COUNTIF($D$2:$D4240,$D4240)&gt;1,"Trùng",""))</f>
        <v/>
      </c>
      <c r="S4240" s="22">
        <f>IF($D4240="","",IF(AND(LEN($D4240)=10,LEFT($D4240,1)="0",ISNUMBER(--$D4240)),"Có","Không"))</f>
        <v/>
      </c>
      <c r="T4240" s="22">
        <f>IF($D4240="","",IF(AND($C4240&lt;&gt;"",$Q4240="Có",$R4240="",$S4240="Có",AND($L4240&lt;&gt;"",OR($L4240&lt;&gt;"Chưa xác định",DANH_MUC!$L$9="Có"))),"Có","Không"))</f>
        <v/>
      </c>
      <c r="U4240" s="22">
        <f>IF(OR($D4240="",$T4240="Có"),"",IF($C4240="","Thiếu họ tên; ","")&amp;IF($S4240&lt;&gt;"Có","SĐT sai định dạng; ","")&amp;IF($R4240="Trùng","Trùng SĐT; ","")&amp;IF($Q4240&lt;&gt;"Có","Thiếu đồng ý bắt buộc; ","")&amp;IF($L4240="","Thiếu/sai Mã REF; ",IF(AND($L4240="Chưa xác định",DANH_MUC!$L$9&lt;&gt;"Có"),"Nguồn chưa xác định; ","")))</f>
        <v/>
      </c>
      <c r="V4240" s="22">
        <f>IF(OR($D4240="",$R4240="Trùng"),"",IF(COUNTIF(ORDERS!$C$2:$C$4995,$D4240)&gt;0,"Có","Không"))</f>
        <v/>
      </c>
      <c r="W4240" s="22">
        <f>IF(OR($D4240="",$R4240="Trùng"),"",COUNTIFS(ORDERS!$C$2:$C$4995,$D4240,ORDERS!$L$2:$L$4995,"Đã chuyển khoản"))</f>
        <v/>
      </c>
      <c r="X4240" s="23">
        <f>IF(OR($D4240="",$R4240="Trùng"),"",SUMIFS(ORDERS!$J$2:$J$4995,ORDERS!$C$2:$C$4995,$D4240,ORDERS!$L$2:$L$4995,"Đã chuyển khoản"))</f>
        <v/>
      </c>
      <c r="Y4240" s="24" t="n"/>
    </row>
    <row r="4241" ht="14.25" customHeight="1" s="40">
      <c r="A4241" s="24" t="n"/>
      <c r="B4241" s="27" t="n"/>
      <c r="C4241" s="24" t="n"/>
      <c r="D4241" s="28" t="n"/>
      <c r="E4241" s="29" t="n"/>
      <c r="F4241" s="24" t="n"/>
      <c r="G4241" s="24" t="n"/>
      <c r="H4241" s="21">
        <f>IF(ISNUMBER($B4241),INT($B4241)-WEEKDAY($B4241,2)+1,"")</f>
        <v/>
      </c>
      <c r="I4241" s="24" t="n"/>
      <c r="J4241" s="22">
        <f t="array" ref="J4241">IF($D4241="","",IF($I4241="","(trống REF)",IFERROR(INDEX(MASTER_SOURCE!$B$2:$B$495,MATCH($I4241,MASTER_SOURCE!$A$2:$A$495,0)),"(REF không có trong MASTER_SOURCE)")))</f>
        <v/>
      </c>
      <c r="K4241" s="22">
        <f t="array" ref="K4241">IF($D4241="","",IFERROR(INDEX(MASTER_SOURCE!$C$2:$C$495,MATCH($I4241,MASTER_SOURCE!$A$2:$A$495,0)),""))</f>
        <v/>
      </c>
      <c r="L4241" s="22">
        <f t="array" ref="L4241">IF($D4241="","",IFERROR(INDEX(MASTER_SOURCE!$D$2:$D$495,MATCH($I4241,MASTER_SOURCE!$A$2:$A$495,0)),""))</f>
        <v/>
      </c>
      <c r="M4241" s="24" t="n"/>
      <c r="N4241" s="24" t="n"/>
      <c r="O4241" s="24" t="n"/>
      <c r="P4241" s="24" t="n"/>
      <c r="Q4241" s="22">
        <f>IF($D4241="","",IF(AND(OR(DANH_MUC!$L$5&lt;&gt;"Có",M4241="Có"),OR(DANH_MUC!$L$6&lt;&gt;"Có",N4241="Có"),OR(DANH_MUC!$L$7&lt;&gt;"Có",O4241="Có"),OR(DANH_MUC!$L$8&lt;&gt;"Có",P4241="Có")),"Có","Không"))</f>
        <v/>
      </c>
      <c r="R4241" s="22">
        <f>IF($D4241="","",IF(COUNTIF($D$2:$D4241,$D4241)&gt;1,"Trùng",""))</f>
        <v/>
      </c>
      <c r="S4241" s="22">
        <f>IF($D4241="","",IF(AND(LEN($D4241)=10,LEFT($D4241,1)="0",ISNUMBER(--$D4241)),"Có","Không"))</f>
        <v/>
      </c>
      <c r="T4241" s="22">
        <f>IF($D4241="","",IF(AND($C4241&lt;&gt;"",$Q4241="Có",$R4241="",$S4241="Có",AND($L4241&lt;&gt;"",OR($L4241&lt;&gt;"Chưa xác định",DANH_MUC!$L$9="Có"))),"Có","Không"))</f>
        <v/>
      </c>
      <c r="U4241" s="22">
        <f>IF(OR($D4241="",$T4241="Có"),"",IF($C4241="","Thiếu họ tên; ","")&amp;IF($S4241&lt;&gt;"Có","SĐT sai định dạng; ","")&amp;IF($R4241="Trùng","Trùng SĐT; ","")&amp;IF($Q4241&lt;&gt;"Có","Thiếu đồng ý bắt buộc; ","")&amp;IF($L4241="","Thiếu/sai Mã REF; ",IF(AND($L4241="Chưa xác định",DANH_MUC!$L$9&lt;&gt;"Có"),"Nguồn chưa xác định; ","")))</f>
        <v/>
      </c>
      <c r="V4241" s="22">
        <f>IF(OR($D4241="",$R4241="Trùng"),"",IF(COUNTIF(ORDERS!$C$2:$C$4995,$D4241)&gt;0,"Có","Không"))</f>
        <v/>
      </c>
      <c r="W4241" s="22">
        <f>IF(OR($D4241="",$R4241="Trùng"),"",COUNTIFS(ORDERS!$C$2:$C$4995,$D4241,ORDERS!$L$2:$L$4995,"Đã chuyển khoản"))</f>
        <v/>
      </c>
      <c r="X4241" s="23">
        <f>IF(OR($D4241="",$R4241="Trùng"),"",SUMIFS(ORDERS!$J$2:$J$4995,ORDERS!$C$2:$C$4995,$D4241,ORDERS!$L$2:$L$4995,"Đã chuyển khoản"))</f>
        <v/>
      </c>
      <c r="Y4241" s="24" t="n"/>
    </row>
    <row r="4242" ht="14.25" customHeight="1" s="40">
      <c r="A4242" s="24" t="n"/>
      <c r="B4242" s="27" t="n"/>
      <c r="C4242" s="24" t="n"/>
      <c r="D4242" s="28" t="n"/>
      <c r="E4242" s="29" t="n"/>
      <c r="F4242" s="24" t="n"/>
      <c r="G4242" s="24" t="n"/>
      <c r="H4242" s="21">
        <f>IF(ISNUMBER($B4242),INT($B4242)-WEEKDAY($B4242,2)+1,"")</f>
        <v/>
      </c>
      <c r="I4242" s="24" t="n"/>
      <c r="J4242" s="22">
        <f t="array" ref="J4242">IF($D4242="","",IF($I4242="","(trống REF)",IFERROR(INDEX(MASTER_SOURCE!$B$2:$B$495,MATCH($I4242,MASTER_SOURCE!$A$2:$A$495,0)),"(REF không có trong MASTER_SOURCE)")))</f>
        <v/>
      </c>
      <c r="K4242" s="22">
        <f t="array" ref="K4242">IF($D4242="","",IFERROR(INDEX(MASTER_SOURCE!$C$2:$C$495,MATCH($I4242,MASTER_SOURCE!$A$2:$A$495,0)),""))</f>
        <v/>
      </c>
      <c r="L4242" s="22">
        <f t="array" ref="L4242">IF($D4242="","",IFERROR(INDEX(MASTER_SOURCE!$D$2:$D$495,MATCH($I4242,MASTER_SOURCE!$A$2:$A$495,0)),""))</f>
        <v/>
      </c>
      <c r="M4242" s="24" t="n"/>
      <c r="N4242" s="24" t="n"/>
      <c r="O4242" s="24" t="n"/>
      <c r="P4242" s="24" t="n"/>
      <c r="Q4242" s="22">
        <f>IF($D4242="","",IF(AND(OR(DANH_MUC!$L$5&lt;&gt;"Có",M4242="Có"),OR(DANH_MUC!$L$6&lt;&gt;"Có",N4242="Có"),OR(DANH_MUC!$L$7&lt;&gt;"Có",O4242="Có"),OR(DANH_MUC!$L$8&lt;&gt;"Có",P4242="Có")),"Có","Không"))</f>
        <v/>
      </c>
      <c r="R4242" s="22">
        <f>IF($D4242="","",IF(COUNTIF($D$2:$D4242,$D4242)&gt;1,"Trùng",""))</f>
        <v/>
      </c>
      <c r="S4242" s="22">
        <f>IF($D4242="","",IF(AND(LEN($D4242)=10,LEFT($D4242,1)="0",ISNUMBER(--$D4242)),"Có","Không"))</f>
        <v/>
      </c>
      <c r="T4242" s="22">
        <f>IF($D4242="","",IF(AND($C4242&lt;&gt;"",$Q4242="Có",$R4242="",$S4242="Có",AND($L4242&lt;&gt;"",OR($L4242&lt;&gt;"Chưa xác định",DANH_MUC!$L$9="Có"))),"Có","Không"))</f>
        <v/>
      </c>
      <c r="U4242" s="22">
        <f>IF(OR($D4242="",$T4242="Có"),"",IF($C4242="","Thiếu họ tên; ","")&amp;IF($S4242&lt;&gt;"Có","SĐT sai định dạng; ","")&amp;IF($R4242="Trùng","Trùng SĐT; ","")&amp;IF($Q4242&lt;&gt;"Có","Thiếu đồng ý bắt buộc; ","")&amp;IF($L4242="","Thiếu/sai Mã REF; ",IF(AND($L4242="Chưa xác định",DANH_MUC!$L$9&lt;&gt;"Có"),"Nguồn chưa xác định; ","")))</f>
        <v/>
      </c>
      <c r="V4242" s="22">
        <f>IF(OR($D4242="",$R4242="Trùng"),"",IF(COUNTIF(ORDERS!$C$2:$C$4995,$D4242)&gt;0,"Có","Không"))</f>
        <v/>
      </c>
      <c r="W4242" s="22">
        <f>IF(OR($D4242="",$R4242="Trùng"),"",COUNTIFS(ORDERS!$C$2:$C$4995,$D4242,ORDERS!$L$2:$L$4995,"Đã chuyển khoản"))</f>
        <v/>
      </c>
      <c r="X4242" s="23">
        <f>IF(OR($D4242="",$R4242="Trùng"),"",SUMIFS(ORDERS!$J$2:$J$4995,ORDERS!$C$2:$C$4995,$D4242,ORDERS!$L$2:$L$4995,"Đã chuyển khoản"))</f>
        <v/>
      </c>
      <c r="Y4242" s="24" t="n"/>
    </row>
    <row r="4243" ht="14.25" customHeight="1" s="40">
      <c r="A4243" s="24" t="n"/>
      <c r="B4243" s="27" t="n"/>
      <c r="C4243" s="24" t="n"/>
      <c r="D4243" s="28" t="n"/>
      <c r="E4243" s="29" t="n"/>
      <c r="F4243" s="24" t="n"/>
      <c r="G4243" s="24" t="n"/>
      <c r="H4243" s="21">
        <f>IF(ISNUMBER($B4243),INT($B4243)-WEEKDAY($B4243,2)+1,"")</f>
        <v/>
      </c>
      <c r="I4243" s="24" t="n"/>
      <c r="J4243" s="22">
        <f t="array" ref="J4243">IF($D4243="","",IF($I4243="","(trống REF)",IFERROR(INDEX(MASTER_SOURCE!$B$2:$B$495,MATCH($I4243,MASTER_SOURCE!$A$2:$A$495,0)),"(REF không có trong MASTER_SOURCE)")))</f>
        <v/>
      </c>
      <c r="K4243" s="22">
        <f t="array" ref="K4243">IF($D4243="","",IFERROR(INDEX(MASTER_SOURCE!$C$2:$C$495,MATCH($I4243,MASTER_SOURCE!$A$2:$A$495,0)),""))</f>
        <v/>
      </c>
      <c r="L4243" s="22">
        <f t="array" ref="L4243">IF($D4243="","",IFERROR(INDEX(MASTER_SOURCE!$D$2:$D$495,MATCH($I4243,MASTER_SOURCE!$A$2:$A$495,0)),""))</f>
        <v/>
      </c>
      <c r="M4243" s="24" t="n"/>
      <c r="N4243" s="24" t="n"/>
      <c r="O4243" s="24" t="n"/>
      <c r="P4243" s="24" t="n"/>
      <c r="Q4243" s="22">
        <f>IF($D4243="","",IF(AND(OR(DANH_MUC!$L$5&lt;&gt;"Có",M4243="Có"),OR(DANH_MUC!$L$6&lt;&gt;"Có",N4243="Có"),OR(DANH_MUC!$L$7&lt;&gt;"Có",O4243="Có"),OR(DANH_MUC!$L$8&lt;&gt;"Có",P4243="Có")),"Có","Không"))</f>
        <v/>
      </c>
      <c r="R4243" s="22">
        <f>IF($D4243="","",IF(COUNTIF($D$2:$D4243,$D4243)&gt;1,"Trùng",""))</f>
        <v/>
      </c>
      <c r="S4243" s="22">
        <f>IF($D4243="","",IF(AND(LEN($D4243)=10,LEFT($D4243,1)="0",ISNUMBER(--$D4243)),"Có","Không"))</f>
        <v/>
      </c>
      <c r="T4243" s="22">
        <f>IF($D4243="","",IF(AND($C4243&lt;&gt;"",$Q4243="Có",$R4243="",$S4243="Có",AND($L4243&lt;&gt;"",OR($L4243&lt;&gt;"Chưa xác định",DANH_MUC!$L$9="Có"))),"Có","Không"))</f>
        <v/>
      </c>
      <c r="U4243" s="22">
        <f>IF(OR($D4243="",$T4243="Có"),"",IF($C4243="","Thiếu họ tên; ","")&amp;IF($S4243&lt;&gt;"Có","SĐT sai định dạng; ","")&amp;IF($R4243="Trùng","Trùng SĐT; ","")&amp;IF($Q4243&lt;&gt;"Có","Thiếu đồng ý bắt buộc; ","")&amp;IF($L4243="","Thiếu/sai Mã REF; ",IF(AND($L4243="Chưa xác định",DANH_MUC!$L$9&lt;&gt;"Có"),"Nguồn chưa xác định; ","")))</f>
        <v/>
      </c>
      <c r="V4243" s="22">
        <f>IF(OR($D4243="",$R4243="Trùng"),"",IF(COUNTIF(ORDERS!$C$2:$C$4995,$D4243)&gt;0,"Có","Không"))</f>
        <v/>
      </c>
      <c r="W4243" s="22">
        <f>IF(OR($D4243="",$R4243="Trùng"),"",COUNTIFS(ORDERS!$C$2:$C$4995,$D4243,ORDERS!$L$2:$L$4995,"Đã chuyển khoản"))</f>
        <v/>
      </c>
      <c r="X4243" s="23">
        <f>IF(OR($D4243="",$R4243="Trùng"),"",SUMIFS(ORDERS!$J$2:$J$4995,ORDERS!$C$2:$C$4995,$D4243,ORDERS!$L$2:$L$4995,"Đã chuyển khoản"))</f>
        <v/>
      </c>
      <c r="Y4243" s="24" t="n"/>
    </row>
    <row r="4244" ht="14.25" customHeight="1" s="40">
      <c r="A4244" s="24" t="n"/>
      <c r="B4244" s="27" t="n"/>
      <c r="C4244" s="24" t="n"/>
      <c r="D4244" s="28" t="n"/>
      <c r="E4244" s="29" t="n"/>
      <c r="F4244" s="24" t="n"/>
      <c r="G4244" s="24" t="n"/>
      <c r="H4244" s="21">
        <f>IF(ISNUMBER($B4244),INT($B4244)-WEEKDAY($B4244,2)+1,"")</f>
        <v/>
      </c>
      <c r="I4244" s="24" t="n"/>
      <c r="J4244" s="22">
        <f t="array" ref="J4244">IF($D4244="","",IF($I4244="","(trống REF)",IFERROR(INDEX(MASTER_SOURCE!$B$2:$B$495,MATCH($I4244,MASTER_SOURCE!$A$2:$A$495,0)),"(REF không có trong MASTER_SOURCE)")))</f>
        <v/>
      </c>
      <c r="K4244" s="22">
        <f t="array" ref="K4244">IF($D4244="","",IFERROR(INDEX(MASTER_SOURCE!$C$2:$C$495,MATCH($I4244,MASTER_SOURCE!$A$2:$A$495,0)),""))</f>
        <v/>
      </c>
      <c r="L4244" s="22">
        <f t="array" ref="L4244">IF($D4244="","",IFERROR(INDEX(MASTER_SOURCE!$D$2:$D$495,MATCH($I4244,MASTER_SOURCE!$A$2:$A$495,0)),""))</f>
        <v/>
      </c>
      <c r="M4244" s="24" t="n"/>
      <c r="N4244" s="24" t="n"/>
      <c r="O4244" s="24" t="n"/>
      <c r="P4244" s="24" t="n"/>
      <c r="Q4244" s="22">
        <f>IF($D4244="","",IF(AND(OR(DANH_MUC!$L$5&lt;&gt;"Có",M4244="Có"),OR(DANH_MUC!$L$6&lt;&gt;"Có",N4244="Có"),OR(DANH_MUC!$L$7&lt;&gt;"Có",O4244="Có"),OR(DANH_MUC!$L$8&lt;&gt;"Có",P4244="Có")),"Có","Không"))</f>
        <v/>
      </c>
      <c r="R4244" s="22">
        <f>IF($D4244="","",IF(COUNTIF($D$2:$D4244,$D4244)&gt;1,"Trùng",""))</f>
        <v/>
      </c>
      <c r="S4244" s="22">
        <f>IF($D4244="","",IF(AND(LEN($D4244)=10,LEFT($D4244,1)="0",ISNUMBER(--$D4244)),"Có","Không"))</f>
        <v/>
      </c>
      <c r="T4244" s="22">
        <f>IF($D4244="","",IF(AND($C4244&lt;&gt;"",$Q4244="Có",$R4244="",$S4244="Có",AND($L4244&lt;&gt;"",OR($L4244&lt;&gt;"Chưa xác định",DANH_MUC!$L$9="Có"))),"Có","Không"))</f>
        <v/>
      </c>
      <c r="U4244" s="22">
        <f>IF(OR($D4244="",$T4244="Có"),"",IF($C4244="","Thiếu họ tên; ","")&amp;IF($S4244&lt;&gt;"Có","SĐT sai định dạng; ","")&amp;IF($R4244="Trùng","Trùng SĐT; ","")&amp;IF($Q4244&lt;&gt;"Có","Thiếu đồng ý bắt buộc; ","")&amp;IF($L4244="","Thiếu/sai Mã REF; ",IF(AND($L4244="Chưa xác định",DANH_MUC!$L$9&lt;&gt;"Có"),"Nguồn chưa xác định; ","")))</f>
        <v/>
      </c>
      <c r="V4244" s="22">
        <f>IF(OR($D4244="",$R4244="Trùng"),"",IF(COUNTIF(ORDERS!$C$2:$C$4995,$D4244)&gt;0,"Có","Không"))</f>
        <v/>
      </c>
      <c r="W4244" s="22">
        <f>IF(OR($D4244="",$R4244="Trùng"),"",COUNTIFS(ORDERS!$C$2:$C$4995,$D4244,ORDERS!$L$2:$L$4995,"Đã chuyển khoản"))</f>
        <v/>
      </c>
      <c r="X4244" s="23">
        <f>IF(OR($D4244="",$R4244="Trùng"),"",SUMIFS(ORDERS!$J$2:$J$4995,ORDERS!$C$2:$C$4995,$D4244,ORDERS!$L$2:$L$4995,"Đã chuyển khoản"))</f>
        <v/>
      </c>
      <c r="Y4244" s="24" t="n"/>
    </row>
    <row r="4245" ht="14.25" customHeight="1" s="40">
      <c r="A4245" s="24" t="n"/>
      <c r="B4245" s="27" t="n"/>
      <c r="C4245" s="24" t="n"/>
      <c r="D4245" s="28" t="n"/>
      <c r="E4245" s="29" t="n"/>
      <c r="F4245" s="24" t="n"/>
      <c r="G4245" s="24" t="n"/>
      <c r="H4245" s="21">
        <f>IF(ISNUMBER($B4245),INT($B4245)-WEEKDAY($B4245,2)+1,"")</f>
        <v/>
      </c>
      <c r="I4245" s="24" t="n"/>
      <c r="J4245" s="22">
        <f t="array" ref="J4245">IF($D4245="","",IF($I4245="","(trống REF)",IFERROR(INDEX(MASTER_SOURCE!$B$2:$B$495,MATCH($I4245,MASTER_SOURCE!$A$2:$A$495,0)),"(REF không có trong MASTER_SOURCE)")))</f>
        <v/>
      </c>
      <c r="K4245" s="22">
        <f t="array" ref="K4245">IF($D4245="","",IFERROR(INDEX(MASTER_SOURCE!$C$2:$C$495,MATCH($I4245,MASTER_SOURCE!$A$2:$A$495,0)),""))</f>
        <v/>
      </c>
      <c r="L4245" s="22">
        <f t="array" ref="L4245">IF($D4245="","",IFERROR(INDEX(MASTER_SOURCE!$D$2:$D$495,MATCH($I4245,MASTER_SOURCE!$A$2:$A$495,0)),""))</f>
        <v/>
      </c>
      <c r="M4245" s="24" t="n"/>
      <c r="N4245" s="24" t="n"/>
      <c r="O4245" s="24" t="n"/>
      <c r="P4245" s="24" t="n"/>
      <c r="Q4245" s="22">
        <f>IF($D4245="","",IF(AND(OR(DANH_MUC!$L$5&lt;&gt;"Có",M4245="Có"),OR(DANH_MUC!$L$6&lt;&gt;"Có",N4245="Có"),OR(DANH_MUC!$L$7&lt;&gt;"Có",O4245="Có"),OR(DANH_MUC!$L$8&lt;&gt;"Có",P4245="Có")),"Có","Không"))</f>
        <v/>
      </c>
      <c r="R4245" s="22">
        <f>IF($D4245="","",IF(COUNTIF($D$2:$D4245,$D4245)&gt;1,"Trùng",""))</f>
        <v/>
      </c>
      <c r="S4245" s="22">
        <f>IF($D4245="","",IF(AND(LEN($D4245)=10,LEFT($D4245,1)="0",ISNUMBER(--$D4245)),"Có","Không"))</f>
        <v/>
      </c>
      <c r="T4245" s="22">
        <f>IF($D4245="","",IF(AND($C4245&lt;&gt;"",$Q4245="Có",$R4245="",$S4245="Có",AND($L4245&lt;&gt;"",OR($L4245&lt;&gt;"Chưa xác định",DANH_MUC!$L$9="Có"))),"Có","Không"))</f>
        <v/>
      </c>
      <c r="U4245" s="22">
        <f>IF(OR($D4245="",$T4245="Có"),"",IF($C4245="","Thiếu họ tên; ","")&amp;IF($S4245&lt;&gt;"Có","SĐT sai định dạng; ","")&amp;IF($R4245="Trùng","Trùng SĐT; ","")&amp;IF($Q4245&lt;&gt;"Có","Thiếu đồng ý bắt buộc; ","")&amp;IF($L4245="","Thiếu/sai Mã REF; ",IF(AND($L4245="Chưa xác định",DANH_MUC!$L$9&lt;&gt;"Có"),"Nguồn chưa xác định; ","")))</f>
        <v/>
      </c>
      <c r="V4245" s="22">
        <f>IF(OR($D4245="",$R4245="Trùng"),"",IF(COUNTIF(ORDERS!$C$2:$C$4995,$D4245)&gt;0,"Có","Không"))</f>
        <v/>
      </c>
      <c r="W4245" s="22">
        <f>IF(OR($D4245="",$R4245="Trùng"),"",COUNTIFS(ORDERS!$C$2:$C$4995,$D4245,ORDERS!$L$2:$L$4995,"Đã chuyển khoản"))</f>
        <v/>
      </c>
      <c r="X4245" s="23">
        <f>IF(OR($D4245="",$R4245="Trùng"),"",SUMIFS(ORDERS!$J$2:$J$4995,ORDERS!$C$2:$C$4995,$D4245,ORDERS!$L$2:$L$4995,"Đã chuyển khoản"))</f>
        <v/>
      </c>
      <c r="Y4245" s="24" t="n"/>
    </row>
    <row r="4246" ht="14.25" customHeight="1" s="40">
      <c r="A4246" s="24" t="n"/>
      <c r="B4246" s="27" t="n"/>
      <c r="C4246" s="24" t="n"/>
      <c r="D4246" s="28" t="n"/>
      <c r="E4246" s="29" t="n"/>
      <c r="F4246" s="24" t="n"/>
      <c r="G4246" s="24" t="n"/>
      <c r="H4246" s="21">
        <f>IF(ISNUMBER($B4246),INT($B4246)-WEEKDAY($B4246,2)+1,"")</f>
        <v/>
      </c>
      <c r="I4246" s="24" t="n"/>
      <c r="J4246" s="22">
        <f t="array" ref="J4246">IF($D4246="","",IF($I4246="","(trống REF)",IFERROR(INDEX(MASTER_SOURCE!$B$2:$B$495,MATCH($I4246,MASTER_SOURCE!$A$2:$A$495,0)),"(REF không có trong MASTER_SOURCE)")))</f>
        <v/>
      </c>
      <c r="K4246" s="22">
        <f t="array" ref="K4246">IF($D4246="","",IFERROR(INDEX(MASTER_SOURCE!$C$2:$C$495,MATCH($I4246,MASTER_SOURCE!$A$2:$A$495,0)),""))</f>
        <v/>
      </c>
      <c r="L4246" s="22">
        <f t="array" ref="L4246">IF($D4246="","",IFERROR(INDEX(MASTER_SOURCE!$D$2:$D$495,MATCH($I4246,MASTER_SOURCE!$A$2:$A$495,0)),""))</f>
        <v/>
      </c>
      <c r="M4246" s="24" t="n"/>
      <c r="N4246" s="24" t="n"/>
      <c r="O4246" s="24" t="n"/>
      <c r="P4246" s="24" t="n"/>
      <c r="Q4246" s="22">
        <f>IF($D4246="","",IF(AND(OR(DANH_MUC!$L$5&lt;&gt;"Có",M4246="Có"),OR(DANH_MUC!$L$6&lt;&gt;"Có",N4246="Có"),OR(DANH_MUC!$L$7&lt;&gt;"Có",O4246="Có"),OR(DANH_MUC!$L$8&lt;&gt;"Có",P4246="Có")),"Có","Không"))</f>
        <v/>
      </c>
      <c r="R4246" s="22">
        <f>IF($D4246="","",IF(COUNTIF($D$2:$D4246,$D4246)&gt;1,"Trùng",""))</f>
        <v/>
      </c>
      <c r="S4246" s="22">
        <f>IF($D4246="","",IF(AND(LEN($D4246)=10,LEFT($D4246,1)="0",ISNUMBER(--$D4246)),"Có","Không"))</f>
        <v/>
      </c>
      <c r="T4246" s="22">
        <f>IF($D4246="","",IF(AND($C4246&lt;&gt;"",$Q4246="Có",$R4246="",$S4246="Có",AND($L4246&lt;&gt;"",OR($L4246&lt;&gt;"Chưa xác định",DANH_MUC!$L$9="Có"))),"Có","Không"))</f>
        <v/>
      </c>
      <c r="U4246" s="22">
        <f>IF(OR($D4246="",$T4246="Có"),"",IF($C4246="","Thiếu họ tên; ","")&amp;IF($S4246&lt;&gt;"Có","SĐT sai định dạng; ","")&amp;IF($R4246="Trùng","Trùng SĐT; ","")&amp;IF($Q4246&lt;&gt;"Có","Thiếu đồng ý bắt buộc; ","")&amp;IF($L4246="","Thiếu/sai Mã REF; ",IF(AND($L4246="Chưa xác định",DANH_MUC!$L$9&lt;&gt;"Có"),"Nguồn chưa xác định; ","")))</f>
        <v/>
      </c>
      <c r="V4246" s="22">
        <f>IF(OR($D4246="",$R4246="Trùng"),"",IF(COUNTIF(ORDERS!$C$2:$C$4995,$D4246)&gt;0,"Có","Không"))</f>
        <v/>
      </c>
      <c r="W4246" s="22">
        <f>IF(OR($D4246="",$R4246="Trùng"),"",COUNTIFS(ORDERS!$C$2:$C$4995,$D4246,ORDERS!$L$2:$L$4995,"Đã chuyển khoản"))</f>
        <v/>
      </c>
      <c r="X4246" s="23">
        <f>IF(OR($D4246="",$R4246="Trùng"),"",SUMIFS(ORDERS!$J$2:$J$4995,ORDERS!$C$2:$C$4995,$D4246,ORDERS!$L$2:$L$4995,"Đã chuyển khoản"))</f>
        <v/>
      </c>
      <c r="Y4246" s="24" t="n"/>
    </row>
    <row r="4247" ht="14.25" customHeight="1" s="40">
      <c r="A4247" s="24" t="n"/>
      <c r="B4247" s="27" t="n"/>
      <c r="C4247" s="24" t="n"/>
      <c r="D4247" s="28" t="n"/>
      <c r="E4247" s="29" t="n"/>
      <c r="F4247" s="24" t="n"/>
      <c r="G4247" s="24" t="n"/>
      <c r="H4247" s="21">
        <f>IF(ISNUMBER($B4247),INT($B4247)-WEEKDAY($B4247,2)+1,"")</f>
        <v/>
      </c>
      <c r="I4247" s="24" t="n"/>
      <c r="J4247" s="22">
        <f t="array" ref="J4247">IF($D4247="","",IF($I4247="","(trống REF)",IFERROR(INDEX(MASTER_SOURCE!$B$2:$B$495,MATCH($I4247,MASTER_SOURCE!$A$2:$A$495,0)),"(REF không có trong MASTER_SOURCE)")))</f>
        <v/>
      </c>
      <c r="K4247" s="22">
        <f t="array" ref="K4247">IF($D4247="","",IFERROR(INDEX(MASTER_SOURCE!$C$2:$C$495,MATCH($I4247,MASTER_SOURCE!$A$2:$A$495,0)),""))</f>
        <v/>
      </c>
      <c r="L4247" s="22">
        <f t="array" ref="L4247">IF($D4247="","",IFERROR(INDEX(MASTER_SOURCE!$D$2:$D$495,MATCH($I4247,MASTER_SOURCE!$A$2:$A$495,0)),""))</f>
        <v/>
      </c>
      <c r="M4247" s="24" t="n"/>
      <c r="N4247" s="24" t="n"/>
      <c r="O4247" s="24" t="n"/>
      <c r="P4247" s="24" t="n"/>
      <c r="Q4247" s="22">
        <f>IF($D4247="","",IF(AND(OR(DANH_MUC!$L$5&lt;&gt;"Có",M4247="Có"),OR(DANH_MUC!$L$6&lt;&gt;"Có",N4247="Có"),OR(DANH_MUC!$L$7&lt;&gt;"Có",O4247="Có"),OR(DANH_MUC!$L$8&lt;&gt;"Có",P4247="Có")),"Có","Không"))</f>
        <v/>
      </c>
      <c r="R4247" s="22">
        <f>IF($D4247="","",IF(COUNTIF($D$2:$D4247,$D4247)&gt;1,"Trùng",""))</f>
        <v/>
      </c>
      <c r="S4247" s="22">
        <f>IF($D4247="","",IF(AND(LEN($D4247)=10,LEFT($D4247,1)="0",ISNUMBER(--$D4247)),"Có","Không"))</f>
        <v/>
      </c>
      <c r="T4247" s="22">
        <f>IF($D4247="","",IF(AND($C4247&lt;&gt;"",$Q4247="Có",$R4247="",$S4247="Có",AND($L4247&lt;&gt;"",OR($L4247&lt;&gt;"Chưa xác định",DANH_MUC!$L$9="Có"))),"Có","Không"))</f>
        <v/>
      </c>
      <c r="U4247" s="22">
        <f>IF(OR($D4247="",$T4247="Có"),"",IF($C4247="","Thiếu họ tên; ","")&amp;IF($S4247&lt;&gt;"Có","SĐT sai định dạng; ","")&amp;IF($R4247="Trùng","Trùng SĐT; ","")&amp;IF($Q4247&lt;&gt;"Có","Thiếu đồng ý bắt buộc; ","")&amp;IF($L4247="","Thiếu/sai Mã REF; ",IF(AND($L4247="Chưa xác định",DANH_MUC!$L$9&lt;&gt;"Có"),"Nguồn chưa xác định; ","")))</f>
        <v/>
      </c>
      <c r="V4247" s="22">
        <f>IF(OR($D4247="",$R4247="Trùng"),"",IF(COUNTIF(ORDERS!$C$2:$C$4995,$D4247)&gt;0,"Có","Không"))</f>
        <v/>
      </c>
      <c r="W4247" s="22">
        <f>IF(OR($D4247="",$R4247="Trùng"),"",COUNTIFS(ORDERS!$C$2:$C$4995,$D4247,ORDERS!$L$2:$L$4995,"Đã chuyển khoản"))</f>
        <v/>
      </c>
      <c r="X4247" s="23">
        <f>IF(OR($D4247="",$R4247="Trùng"),"",SUMIFS(ORDERS!$J$2:$J$4995,ORDERS!$C$2:$C$4995,$D4247,ORDERS!$L$2:$L$4995,"Đã chuyển khoản"))</f>
        <v/>
      </c>
      <c r="Y4247" s="24" t="n"/>
    </row>
    <row r="4248" ht="14.25" customHeight="1" s="40">
      <c r="A4248" s="24" t="n"/>
      <c r="B4248" s="27" t="n"/>
      <c r="C4248" s="24" t="n"/>
      <c r="D4248" s="28" t="n"/>
      <c r="E4248" s="29" t="n"/>
      <c r="F4248" s="24" t="n"/>
      <c r="G4248" s="24" t="n"/>
      <c r="H4248" s="21">
        <f>IF(ISNUMBER($B4248),INT($B4248)-WEEKDAY($B4248,2)+1,"")</f>
        <v/>
      </c>
      <c r="I4248" s="24" t="n"/>
      <c r="J4248" s="22">
        <f t="array" ref="J4248">IF($D4248="","",IF($I4248="","(trống REF)",IFERROR(INDEX(MASTER_SOURCE!$B$2:$B$495,MATCH($I4248,MASTER_SOURCE!$A$2:$A$495,0)),"(REF không có trong MASTER_SOURCE)")))</f>
        <v/>
      </c>
      <c r="K4248" s="22">
        <f t="array" ref="K4248">IF($D4248="","",IFERROR(INDEX(MASTER_SOURCE!$C$2:$C$495,MATCH($I4248,MASTER_SOURCE!$A$2:$A$495,0)),""))</f>
        <v/>
      </c>
      <c r="L4248" s="22">
        <f t="array" ref="L4248">IF($D4248="","",IFERROR(INDEX(MASTER_SOURCE!$D$2:$D$495,MATCH($I4248,MASTER_SOURCE!$A$2:$A$495,0)),""))</f>
        <v/>
      </c>
      <c r="M4248" s="24" t="n"/>
      <c r="N4248" s="24" t="n"/>
      <c r="O4248" s="24" t="n"/>
      <c r="P4248" s="24" t="n"/>
      <c r="Q4248" s="22">
        <f>IF($D4248="","",IF(AND(OR(DANH_MUC!$L$5&lt;&gt;"Có",M4248="Có"),OR(DANH_MUC!$L$6&lt;&gt;"Có",N4248="Có"),OR(DANH_MUC!$L$7&lt;&gt;"Có",O4248="Có"),OR(DANH_MUC!$L$8&lt;&gt;"Có",P4248="Có")),"Có","Không"))</f>
        <v/>
      </c>
      <c r="R4248" s="22">
        <f>IF($D4248="","",IF(COUNTIF($D$2:$D4248,$D4248)&gt;1,"Trùng",""))</f>
        <v/>
      </c>
      <c r="S4248" s="22">
        <f>IF($D4248="","",IF(AND(LEN($D4248)=10,LEFT($D4248,1)="0",ISNUMBER(--$D4248)),"Có","Không"))</f>
        <v/>
      </c>
      <c r="T4248" s="22">
        <f>IF($D4248="","",IF(AND($C4248&lt;&gt;"",$Q4248="Có",$R4248="",$S4248="Có",AND($L4248&lt;&gt;"",OR($L4248&lt;&gt;"Chưa xác định",DANH_MUC!$L$9="Có"))),"Có","Không"))</f>
        <v/>
      </c>
      <c r="U4248" s="22">
        <f>IF(OR($D4248="",$T4248="Có"),"",IF($C4248="","Thiếu họ tên; ","")&amp;IF($S4248&lt;&gt;"Có","SĐT sai định dạng; ","")&amp;IF($R4248="Trùng","Trùng SĐT; ","")&amp;IF($Q4248&lt;&gt;"Có","Thiếu đồng ý bắt buộc; ","")&amp;IF($L4248="","Thiếu/sai Mã REF; ",IF(AND($L4248="Chưa xác định",DANH_MUC!$L$9&lt;&gt;"Có"),"Nguồn chưa xác định; ","")))</f>
        <v/>
      </c>
      <c r="V4248" s="22">
        <f>IF(OR($D4248="",$R4248="Trùng"),"",IF(COUNTIF(ORDERS!$C$2:$C$4995,$D4248)&gt;0,"Có","Không"))</f>
        <v/>
      </c>
      <c r="W4248" s="22">
        <f>IF(OR($D4248="",$R4248="Trùng"),"",COUNTIFS(ORDERS!$C$2:$C$4995,$D4248,ORDERS!$L$2:$L$4995,"Đã chuyển khoản"))</f>
        <v/>
      </c>
      <c r="X4248" s="23">
        <f>IF(OR($D4248="",$R4248="Trùng"),"",SUMIFS(ORDERS!$J$2:$J$4995,ORDERS!$C$2:$C$4995,$D4248,ORDERS!$L$2:$L$4995,"Đã chuyển khoản"))</f>
        <v/>
      </c>
      <c r="Y4248" s="24" t="n"/>
    </row>
    <row r="4249" ht="14.25" customHeight="1" s="40">
      <c r="A4249" s="24" t="n"/>
      <c r="B4249" s="27" t="n"/>
      <c r="C4249" s="24" t="n"/>
      <c r="D4249" s="28" t="n"/>
      <c r="E4249" s="29" t="n"/>
      <c r="F4249" s="24" t="n"/>
      <c r="G4249" s="24" t="n"/>
      <c r="H4249" s="21">
        <f>IF(ISNUMBER($B4249),INT($B4249)-WEEKDAY($B4249,2)+1,"")</f>
        <v/>
      </c>
      <c r="I4249" s="24" t="n"/>
      <c r="J4249" s="22">
        <f t="array" ref="J4249">IF($D4249="","",IF($I4249="","(trống REF)",IFERROR(INDEX(MASTER_SOURCE!$B$2:$B$495,MATCH($I4249,MASTER_SOURCE!$A$2:$A$495,0)),"(REF không có trong MASTER_SOURCE)")))</f>
        <v/>
      </c>
      <c r="K4249" s="22">
        <f t="array" ref="K4249">IF($D4249="","",IFERROR(INDEX(MASTER_SOURCE!$C$2:$C$495,MATCH($I4249,MASTER_SOURCE!$A$2:$A$495,0)),""))</f>
        <v/>
      </c>
      <c r="L4249" s="22">
        <f t="array" ref="L4249">IF($D4249="","",IFERROR(INDEX(MASTER_SOURCE!$D$2:$D$495,MATCH($I4249,MASTER_SOURCE!$A$2:$A$495,0)),""))</f>
        <v/>
      </c>
      <c r="M4249" s="24" t="n"/>
      <c r="N4249" s="24" t="n"/>
      <c r="O4249" s="24" t="n"/>
      <c r="P4249" s="24" t="n"/>
      <c r="Q4249" s="22">
        <f>IF($D4249="","",IF(AND(OR(DANH_MUC!$L$5&lt;&gt;"Có",M4249="Có"),OR(DANH_MUC!$L$6&lt;&gt;"Có",N4249="Có"),OR(DANH_MUC!$L$7&lt;&gt;"Có",O4249="Có"),OR(DANH_MUC!$L$8&lt;&gt;"Có",P4249="Có")),"Có","Không"))</f>
        <v/>
      </c>
      <c r="R4249" s="22">
        <f>IF($D4249="","",IF(COUNTIF($D$2:$D4249,$D4249)&gt;1,"Trùng",""))</f>
        <v/>
      </c>
      <c r="S4249" s="22">
        <f>IF($D4249="","",IF(AND(LEN($D4249)=10,LEFT($D4249,1)="0",ISNUMBER(--$D4249)),"Có","Không"))</f>
        <v/>
      </c>
      <c r="T4249" s="22">
        <f>IF($D4249="","",IF(AND($C4249&lt;&gt;"",$Q4249="Có",$R4249="",$S4249="Có",AND($L4249&lt;&gt;"",OR($L4249&lt;&gt;"Chưa xác định",DANH_MUC!$L$9="Có"))),"Có","Không"))</f>
        <v/>
      </c>
      <c r="U4249" s="22">
        <f>IF(OR($D4249="",$T4249="Có"),"",IF($C4249="","Thiếu họ tên; ","")&amp;IF($S4249&lt;&gt;"Có","SĐT sai định dạng; ","")&amp;IF($R4249="Trùng","Trùng SĐT; ","")&amp;IF($Q4249&lt;&gt;"Có","Thiếu đồng ý bắt buộc; ","")&amp;IF($L4249="","Thiếu/sai Mã REF; ",IF(AND($L4249="Chưa xác định",DANH_MUC!$L$9&lt;&gt;"Có"),"Nguồn chưa xác định; ","")))</f>
        <v/>
      </c>
      <c r="V4249" s="22">
        <f>IF(OR($D4249="",$R4249="Trùng"),"",IF(COUNTIF(ORDERS!$C$2:$C$4995,$D4249)&gt;0,"Có","Không"))</f>
        <v/>
      </c>
      <c r="W4249" s="22">
        <f>IF(OR($D4249="",$R4249="Trùng"),"",COUNTIFS(ORDERS!$C$2:$C$4995,$D4249,ORDERS!$L$2:$L$4995,"Đã chuyển khoản"))</f>
        <v/>
      </c>
      <c r="X4249" s="23">
        <f>IF(OR($D4249="",$R4249="Trùng"),"",SUMIFS(ORDERS!$J$2:$J$4995,ORDERS!$C$2:$C$4995,$D4249,ORDERS!$L$2:$L$4995,"Đã chuyển khoản"))</f>
        <v/>
      </c>
      <c r="Y4249" s="24" t="n"/>
    </row>
    <row r="4250" ht="14.25" customHeight="1" s="40">
      <c r="A4250" s="24" t="n"/>
      <c r="B4250" s="27" t="n"/>
      <c r="C4250" s="24" t="n"/>
      <c r="D4250" s="28" t="n"/>
      <c r="E4250" s="29" t="n"/>
      <c r="F4250" s="24" t="n"/>
      <c r="G4250" s="24" t="n"/>
      <c r="H4250" s="21">
        <f>IF(ISNUMBER($B4250),INT($B4250)-WEEKDAY($B4250,2)+1,"")</f>
        <v/>
      </c>
      <c r="I4250" s="24" t="n"/>
      <c r="J4250" s="22">
        <f t="array" ref="J4250">IF($D4250="","",IF($I4250="","(trống REF)",IFERROR(INDEX(MASTER_SOURCE!$B$2:$B$495,MATCH($I4250,MASTER_SOURCE!$A$2:$A$495,0)),"(REF không có trong MASTER_SOURCE)")))</f>
        <v/>
      </c>
      <c r="K4250" s="22">
        <f t="array" ref="K4250">IF($D4250="","",IFERROR(INDEX(MASTER_SOURCE!$C$2:$C$495,MATCH($I4250,MASTER_SOURCE!$A$2:$A$495,0)),""))</f>
        <v/>
      </c>
      <c r="L4250" s="22">
        <f t="array" ref="L4250">IF($D4250="","",IFERROR(INDEX(MASTER_SOURCE!$D$2:$D$495,MATCH($I4250,MASTER_SOURCE!$A$2:$A$495,0)),""))</f>
        <v/>
      </c>
      <c r="M4250" s="24" t="n"/>
      <c r="N4250" s="24" t="n"/>
      <c r="O4250" s="24" t="n"/>
      <c r="P4250" s="24" t="n"/>
      <c r="Q4250" s="22">
        <f>IF($D4250="","",IF(AND(OR(DANH_MUC!$L$5&lt;&gt;"Có",M4250="Có"),OR(DANH_MUC!$L$6&lt;&gt;"Có",N4250="Có"),OR(DANH_MUC!$L$7&lt;&gt;"Có",O4250="Có"),OR(DANH_MUC!$L$8&lt;&gt;"Có",P4250="Có")),"Có","Không"))</f>
        <v/>
      </c>
      <c r="R4250" s="22">
        <f>IF($D4250="","",IF(COUNTIF($D$2:$D4250,$D4250)&gt;1,"Trùng",""))</f>
        <v/>
      </c>
      <c r="S4250" s="22">
        <f>IF($D4250="","",IF(AND(LEN($D4250)=10,LEFT($D4250,1)="0",ISNUMBER(--$D4250)),"Có","Không"))</f>
        <v/>
      </c>
      <c r="T4250" s="22">
        <f>IF($D4250="","",IF(AND($C4250&lt;&gt;"",$Q4250="Có",$R4250="",$S4250="Có",AND($L4250&lt;&gt;"",OR($L4250&lt;&gt;"Chưa xác định",DANH_MUC!$L$9="Có"))),"Có","Không"))</f>
        <v/>
      </c>
      <c r="U4250" s="22">
        <f>IF(OR($D4250="",$T4250="Có"),"",IF($C4250="","Thiếu họ tên; ","")&amp;IF($S4250&lt;&gt;"Có","SĐT sai định dạng; ","")&amp;IF($R4250="Trùng","Trùng SĐT; ","")&amp;IF($Q4250&lt;&gt;"Có","Thiếu đồng ý bắt buộc; ","")&amp;IF($L4250="","Thiếu/sai Mã REF; ",IF(AND($L4250="Chưa xác định",DANH_MUC!$L$9&lt;&gt;"Có"),"Nguồn chưa xác định; ","")))</f>
        <v/>
      </c>
      <c r="V4250" s="22">
        <f>IF(OR($D4250="",$R4250="Trùng"),"",IF(COUNTIF(ORDERS!$C$2:$C$4995,$D4250)&gt;0,"Có","Không"))</f>
        <v/>
      </c>
      <c r="W4250" s="22">
        <f>IF(OR($D4250="",$R4250="Trùng"),"",COUNTIFS(ORDERS!$C$2:$C$4995,$D4250,ORDERS!$L$2:$L$4995,"Đã chuyển khoản"))</f>
        <v/>
      </c>
      <c r="X4250" s="23">
        <f>IF(OR($D4250="",$R4250="Trùng"),"",SUMIFS(ORDERS!$J$2:$J$4995,ORDERS!$C$2:$C$4995,$D4250,ORDERS!$L$2:$L$4995,"Đã chuyển khoản"))</f>
        <v/>
      </c>
      <c r="Y4250" s="24" t="n"/>
    </row>
    <row r="4251" ht="14.25" customHeight="1" s="40">
      <c r="A4251" s="24" t="n"/>
      <c r="B4251" s="27" t="n"/>
      <c r="C4251" s="24" t="n"/>
      <c r="D4251" s="28" t="n"/>
      <c r="E4251" s="29" t="n"/>
      <c r="F4251" s="24" t="n"/>
      <c r="G4251" s="24" t="n"/>
      <c r="H4251" s="21">
        <f>IF(ISNUMBER($B4251),INT($B4251)-WEEKDAY($B4251,2)+1,"")</f>
        <v/>
      </c>
      <c r="I4251" s="24" t="n"/>
      <c r="J4251" s="22">
        <f t="array" ref="J4251">IF($D4251="","",IF($I4251="","(trống REF)",IFERROR(INDEX(MASTER_SOURCE!$B$2:$B$495,MATCH($I4251,MASTER_SOURCE!$A$2:$A$495,0)),"(REF không có trong MASTER_SOURCE)")))</f>
        <v/>
      </c>
      <c r="K4251" s="22">
        <f t="array" ref="K4251">IF($D4251="","",IFERROR(INDEX(MASTER_SOURCE!$C$2:$C$495,MATCH($I4251,MASTER_SOURCE!$A$2:$A$495,0)),""))</f>
        <v/>
      </c>
      <c r="L4251" s="22">
        <f t="array" ref="L4251">IF($D4251="","",IFERROR(INDEX(MASTER_SOURCE!$D$2:$D$495,MATCH($I4251,MASTER_SOURCE!$A$2:$A$495,0)),""))</f>
        <v/>
      </c>
      <c r="M4251" s="24" t="n"/>
      <c r="N4251" s="24" t="n"/>
      <c r="O4251" s="24" t="n"/>
      <c r="P4251" s="24" t="n"/>
      <c r="Q4251" s="22">
        <f>IF($D4251="","",IF(AND(OR(DANH_MUC!$L$5&lt;&gt;"Có",M4251="Có"),OR(DANH_MUC!$L$6&lt;&gt;"Có",N4251="Có"),OR(DANH_MUC!$L$7&lt;&gt;"Có",O4251="Có"),OR(DANH_MUC!$L$8&lt;&gt;"Có",P4251="Có")),"Có","Không"))</f>
        <v/>
      </c>
      <c r="R4251" s="22">
        <f>IF($D4251="","",IF(COUNTIF($D$2:$D4251,$D4251)&gt;1,"Trùng",""))</f>
        <v/>
      </c>
      <c r="S4251" s="22">
        <f>IF($D4251="","",IF(AND(LEN($D4251)=10,LEFT($D4251,1)="0",ISNUMBER(--$D4251)),"Có","Không"))</f>
        <v/>
      </c>
      <c r="T4251" s="22">
        <f>IF($D4251="","",IF(AND($C4251&lt;&gt;"",$Q4251="Có",$R4251="",$S4251="Có",AND($L4251&lt;&gt;"",OR($L4251&lt;&gt;"Chưa xác định",DANH_MUC!$L$9="Có"))),"Có","Không"))</f>
        <v/>
      </c>
      <c r="U4251" s="22">
        <f>IF(OR($D4251="",$T4251="Có"),"",IF($C4251="","Thiếu họ tên; ","")&amp;IF($S4251&lt;&gt;"Có","SĐT sai định dạng; ","")&amp;IF($R4251="Trùng","Trùng SĐT; ","")&amp;IF($Q4251&lt;&gt;"Có","Thiếu đồng ý bắt buộc; ","")&amp;IF($L4251="","Thiếu/sai Mã REF; ",IF(AND($L4251="Chưa xác định",DANH_MUC!$L$9&lt;&gt;"Có"),"Nguồn chưa xác định; ","")))</f>
        <v/>
      </c>
      <c r="V4251" s="22">
        <f>IF(OR($D4251="",$R4251="Trùng"),"",IF(COUNTIF(ORDERS!$C$2:$C$4995,$D4251)&gt;0,"Có","Không"))</f>
        <v/>
      </c>
      <c r="W4251" s="22">
        <f>IF(OR($D4251="",$R4251="Trùng"),"",COUNTIFS(ORDERS!$C$2:$C$4995,$D4251,ORDERS!$L$2:$L$4995,"Đã chuyển khoản"))</f>
        <v/>
      </c>
      <c r="X4251" s="23">
        <f>IF(OR($D4251="",$R4251="Trùng"),"",SUMIFS(ORDERS!$J$2:$J$4995,ORDERS!$C$2:$C$4995,$D4251,ORDERS!$L$2:$L$4995,"Đã chuyển khoản"))</f>
        <v/>
      </c>
      <c r="Y4251" s="24" t="n"/>
    </row>
    <row r="4252" ht="14.25" customHeight="1" s="40">
      <c r="A4252" s="24" t="n"/>
      <c r="B4252" s="27" t="n"/>
      <c r="C4252" s="24" t="n"/>
      <c r="D4252" s="28" t="n"/>
      <c r="E4252" s="29" t="n"/>
      <c r="F4252" s="24" t="n"/>
      <c r="G4252" s="24" t="n"/>
      <c r="H4252" s="21">
        <f>IF(ISNUMBER($B4252),INT($B4252)-WEEKDAY($B4252,2)+1,"")</f>
        <v/>
      </c>
      <c r="I4252" s="24" t="n"/>
      <c r="J4252" s="22">
        <f t="array" ref="J4252">IF($D4252="","",IF($I4252="","(trống REF)",IFERROR(INDEX(MASTER_SOURCE!$B$2:$B$495,MATCH($I4252,MASTER_SOURCE!$A$2:$A$495,0)),"(REF không có trong MASTER_SOURCE)")))</f>
        <v/>
      </c>
      <c r="K4252" s="22">
        <f t="array" ref="K4252">IF($D4252="","",IFERROR(INDEX(MASTER_SOURCE!$C$2:$C$495,MATCH($I4252,MASTER_SOURCE!$A$2:$A$495,0)),""))</f>
        <v/>
      </c>
      <c r="L4252" s="22">
        <f t="array" ref="L4252">IF($D4252="","",IFERROR(INDEX(MASTER_SOURCE!$D$2:$D$495,MATCH($I4252,MASTER_SOURCE!$A$2:$A$495,0)),""))</f>
        <v/>
      </c>
      <c r="M4252" s="24" t="n"/>
      <c r="N4252" s="24" t="n"/>
      <c r="O4252" s="24" t="n"/>
      <c r="P4252" s="24" t="n"/>
      <c r="Q4252" s="22">
        <f>IF($D4252="","",IF(AND(OR(DANH_MUC!$L$5&lt;&gt;"Có",M4252="Có"),OR(DANH_MUC!$L$6&lt;&gt;"Có",N4252="Có"),OR(DANH_MUC!$L$7&lt;&gt;"Có",O4252="Có"),OR(DANH_MUC!$L$8&lt;&gt;"Có",P4252="Có")),"Có","Không"))</f>
        <v/>
      </c>
      <c r="R4252" s="22">
        <f>IF($D4252="","",IF(COUNTIF($D$2:$D4252,$D4252)&gt;1,"Trùng",""))</f>
        <v/>
      </c>
      <c r="S4252" s="22">
        <f>IF($D4252="","",IF(AND(LEN($D4252)=10,LEFT($D4252,1)="0",ISNUMBER(--$D4252)),"Có","Không"))</f>
        <v/>
      </c>
      <c r="T4252" s="22">
        <f>IF($D4252="","",IF(AND($C4252&lt;&gt;"",$Q4252="Có",$R4252="",$S4252="Có",AND($L4252&lt;&gt;"",OR($L4252&lt;&gt;"Chưa xác định",DANH_MUC!$L$9="Có"))),"Có","Không"))</f>
        <v/>
      </c>
      <c r="U4252" s="22">
        <f>IF(OR($D4252="",$T4252="Có"),"",IF($C4252="","Thiếu họ tên; ","")&amp;IF($S4252&lt;&gt;"Có","SĐT sai định dạng; ","")&amp;IF($R4252="Trùng","Trùng SĐT; ","")&amp;IF($Q4252&lt;&gt;"Có","Thiếu đồng ý bắt buộc; ","")&amp;IF($L4252="","Thiếu/sai Mã REF; ",IF(AND($L4252="Chưa xác định",DANH_MUC!$L$9&lt;&gt;"Có"),"Nguồn chưa xác định; ","")))</f>
        <v/>
      </c>
      <c r="V4252" s="22">
        <f>IF(OR($D4252="",$R4252="Trùng"),"",IF(COUNTIF(ORDERS!$C$2:$C$4995,$D4252)&gt;0,"Có","Không"))</f>
        <v/>
      </c>
      <c r="W4252" s="22">
        <f>IF(OR($D4252="",$R4252="Trùng"),"",COUNTIFS(ORDERS!$C$2:$C$4995,$D4252,ORDERS!$L$2:$L$4995,"Đã chuyển khoản"))</f>
        <v/>
      </c>
      <c r="X4252" s="23">
        <f>IF(OR($D4252="",$R4252="Trùng"),"",SUMIFS(ORDERS!$J$2:$J$4995,ORDERS!$C$2:$C$4995,$D4252,ORDERS!$L$2:$L$4995,"Đã chuyển khoản"))</f>
        <v/>
      </c>
      <c r="Y4252" s="24" t="n"/>
    </row>
    <row r="4253" ht="14.25" customHeight="1" s="40">
      <c r="A4253" s="24" t="n"/>
      <c r="B4253" s="27" t="n"/>
      <c r="C4253" s="24" t="n"/>
      <c r="D4253" s="28" t="n"/>
      <c r="E4253" s="29" t="n"/>
      <c r="F4253" s="24" t="n"/>
      <c r="G4253" s="24" t="n"/>
      <c r="H4253" s="21">
        <f>IF(ISNUMBER($B4253),INT($B4253)-WEEKDAY($B4253,2)+1,"")</f>
        <v/>
      </c>
      <c r="I4253" s="24" t="n"/>
      <c r="J4253" s="22">
        <f t="array" ref="J4253">IF($D4253="","",IF($I4253="","(trống REF)",IFERROR(INDEX(MASTER_SOURCE!$B$2:$B$495,MATCH($I4253,MASTER_SOURCE!$A$2:$A$495,0)),"(REF không có trong MASTER_SOURCE)")))</f>
        <v/>
      </c>
      <c r="K4253" s="22">
        <f t="array" ref="K4253">IF($D4253="","",IFERROR(INDEX(MASTER_SOURCE!$C$2:$C$495,MATCH($I4253,MASTER_SOURCE!$A$2:$A$495,0)),""))</f>
        <v/>
      </c>
      <c r="L4253" s="22">
        <f t="array" ref="L4253">IF($D4253="","",IFERROR(INDEX(MASTER_SOURCE!$D$2:$D$495,MATCH($I4253,MASTER_SOURCE!$A$2:$A$495,0)),""))</f>
        <v/>
      </c>
      <c r="M4253" s="24" t="n"/>
      <c r="N4253" s="24" t="n"/>
      <c r="O4253" s="24" t="n"/>
      <c r="P4253" s="24" t="n"/>
      <c r="Q4253" s="22">
        <f>IF($D4253="","",IF(AND(OR(DANH_MUC!$L$5&lt;&gt;"Có",M4253="Có"),OR(DANH_MUC!$L$6&lt;&gt;"Có",N4253="Có"),OR(DANH_MUC!$L$7&lt;&gt;"Có",O4253="Có"),OR(DANH_MUC!$L$8&lt;&gt;"Có",P4253="Có")),"Có","Không"))</f>
        <v/>
      </c>
      <c r="R4253" s="22">
        <f>IF($D4253="","",IF(COUNTIF($D$2:$D4253,$D4253)&gt;1,"Trùng",""))</f>
        <v/>
      </c>
      <c r="S4253" s="22">
        <f>IF($D4253="","",IF(AND(LEN($D4253)=10,LEFT($D4253,1)="0",ISNUMBER(--$D4253)),"Có","Không"))</f>
        <v/>
      </c>
      <c r="T4253" s="22">
        <f>IF($D4253="","",IF(AND($C4253&lt;&gt;"",$Q4253="Có",$R4253="",$S4253="Có",AND($L4253&lt;&gt;"",OR($L4253&lt;&gt;"Chưa xác định",DANH_MUC!$L$9="Có"))),"Có","Không"))</f>
        <v/>
      </c>
      <c r="U4253" s="22">
        <f>IF(OR($D4253="",$T4253="Có"),"",IF($C4253="","Thiếu họ tên; ","")&amp;IF($S4253&lt;&gt;"Có","SĐT sai định dạng; ","")&amp;IF($R4253="Trùng","Trùng SĐT; ","")&amp;IF($Q4253&lt;&gt;"Có","Thiếu đồng ý bắt buộc; ","")&amp;IF($L4253="","Thiếu/sai Mã REF; ",IF(AND($L4253="Chưa xác định",DANH_MUC!$L$9&lt;&gt;"Có"),"Nguồn chưa xác định; ","")))</f>
        <v/>
      </c>
      <c r="V4253" s="22">
        <f>IF(OR($D4253="",$R4253="Trùng"),"",IF(COUNTIF(ORDERS!$C$2:$C$4995,$D4253)&gt;0,"Có","Không"))</f>
        <v/>
      </c>
      <c r="W4253" s="22">
        <f>IF(OR($D4253="",$R4253="Trùng"),"",COUNTIFS(ORDERS!$C$2:$C$4995,$D4253,ORDERS!$L$2:$L$4995,"Đã chuyển khoản"))</f>
        <v/>
      </c>
      <c r="X4253" s="23">
        <f>IF(OR($D4253="",$R4253="Trùng"),"",SUMIFS(ORDERS!$J$2:$J$4995,ORDERS!$C$2:$C$4995,$D4253,ORDERS!$L$2:$L$4995,"Đã chuyển khoản"))</f>
        <v/>
      </c>
      <c r="Y4253" s="24" t="n"/>
    </row>
    <row r="4254" ht="14.25" customHeight="1" s="40">
      <c r="A4254" s="24" t="n"/>
      <c r="B4254" s="27" t="n"/>
      <c r="C4254" s="24" t="n"/>
      <c r="D4254" s="28" t="n"/>
      <c r="E4254" s="29" t="n"/>
      <c r="F4254" s="24" t="n"/>
      <c r="G4254" s="24" t="n"/>
      <c r="H4254" s="21">
        <f>IF(ISNUMBER($B4254),INT($B4254)-WEEKDAY($B4254,2)+1,"")</f>
        <v/>
      </c>
      <c r="I4254" s="24" t="n"/>
      <c r="J4254" s="22">
        <f t="array" ref="J4254">IF($D4254="","",IF($I4254="","(trống REF)",IFERROR(INDEX(MASTER_SOURCE!$B$2:$B$495,MATCH($I4254,MASTER_SOURCE!$A$2:$A$495,0)),"(REF không có trong MASTER_SOURCE)")))</f>
        <v/>
      </c>
      <c r="K4254" s="22">
        <f t="array" ref="K4254">IF($D4254="","",IFERROR(INDEX(MASTER_SOURCE!$C$2:$C$495,MATCH($I4254,MASTER_SOURCE!$A$2:$A$495,0)),""))</f>
        <v/>
      </c>
      <c r="L4254" s="22">
        <f t="array" ref="L4254">IF($D4254="","",IFERROR(INDEX(MASTER_SOURCE!$D$2:$D$495,MATCH($I4254,MASTER_SOURCE!$A$2:$A$495,0)),""))</f>
        <v/>
      </c>
      <c r="M4254" s="24" t="n"/>
      <c r="N4254" s="24" t="n"/>
      <c r="O4254" s="24" t="n"/>
      <c r="P4254" s="24" t="n"/>
      <c r="Q4254" s="22">
        <f>IF($D4254="","",IF(AND(OR(DANH_MUC!$L$5&lt;&gt;"Có",M4254="Có"),OR(DANH_MUC!$L$6&lt;&gt;"Có",N4254="Có"),OR(DANH_MUC!$L$7&lt;&gt;"Có",O4254="Có"),OR(DANH_MUC!$L$8&lt;&gt;"Có",P4254="Có")),"Có","Không"))</f>
        <v/>
      </c>
      <c r="R4254" s="22">
        <f>IF($D4254="","",IF(COUNTIF($D$2:$D4254,$D4254)&gt;1,"Trùng",""))</f>
        <v/>
      </c>
      <c r="S4254" s="22">
        <f>IF($D4254="","",IF(AND(LEN($D4254)=10,LEFT($D4254,1)="0",ISNUMBER(--$D4254)),"Có","Không"))</f>
        <v/>
      </c>
      <c r="T4254" s="22">
        <f>IF($D4254="","",IF(AND($C4254&lt;&gt;"",$Q4254="Có",$R4254="",$S4254="Có",AND($L4254&lt;&gt;"",OR($L4254&lt;&gt;"Chưa xác định",DANH_MUC!$L$9="Có"))),"Có","Không"))</f>
        <v/>
      </c>
      <c r="U4254" s="22">
        <f>IF(OR($D4254="",$T4254="Có"),"",IF($C4254="","Thiếu họ tên; ","")&amp;IF($S4254&lt;&gt;"Có","SĐT sai định dạng; ","")&amp;IF($R4254="Trùng","Trùng SĐT; ","")&amp;IF($Q4254&lt;&gt;"Có","Thiếu đồng ý bắt buộc; ","")&amp;IF($L4254="","Thiếu/sai Mã REF; ",IF(AND($L4254="Chưa xác định",DANH_MUC!$L$9&lt;&gt;"Có"),"Nguồn chưa xác định; ","")))</f>
        <v/>
      </c>
      <c r="V4254" s="22">
        <f>IF(OR($D4254="",$R4254="Trùng"),"",IF(COUNTIF(ORDERS!$C$2:$C$4995,$D4254)&gt;0,"Có","Không"))</f>
        <v/>
      </c>
      <c r="W4254" s="22">
        <f>IF(OR($D4254="",$R4254="Trùng"),"",COUNTIFS(ORDERS!$C$2:$C$4995,$D4254,ORDERS!$L$2:$L$4995,"Đã chuyển khoản"))</f>
        <v/>
      </c>
      <c r="X4254" s="23">
        <f>IF(OR($D4254="",$R4254="Trùng"),"",SUMIFS(ORDERS!$J$2:$J$4995,ORDERS!$C$2:$C$4995,$D4254,ORDERS!$L$2:$L$4995,"Đã chuyển khoản"))</f>
        <v/>
      </c>
      <c r="Y4254" s="24" t="n"/>
    </row>
    <row r="4255" ht="14.25" customHeight="1" s="40">
      <c r="A4255" s="24" t="n"/>
      <c r="B4255" s="27" t="n"/>
      <c r="C4255" s="24" t="n"/>
      <c r="D4255" s="28" t="n"/>
      <c r="E4255" s="29" t="n"/>
      <c r="F4255" s="24" t="n"/>
      <c r="G4255" s="24" t="n"/>
      <c r="H4255" s="21">
        <f>IF(ISNUMBER($B4255),INT($B4255)-WEEKDAY($B4255,2)+1,"")</f>
        <v/>
      </c>
      <c r="I4255" s="24" t="n"/>
      <c r="J4255" s="22">
        <f t="array" ref="J4255">IF($D4255="","",IF($I4255="","(trống REF)",IFERROR(INDEX(MASTER_SOURCE!$B$2:$B$495,MATCH($I4255,MASTER_SOURCE!$A$2:$A$495,0)),"(REF không có trong MASTER_SOURCE)")))</f>
        <v/>
      </c>
      <c r="K4255" s="22">
        <f t="array" ref="K4255">IF($D4255="","",IFERROR(INDEX(MASTER_SOURCE!$C$2:$C$495,MATCH($I4255,MASTER_SOURCE!$A$2:$A$495,0)),""))</f>
        <v/>
      </c>
      <c r="L4255" s="22">
        <f t="array" ref="L4255">IF($D4255="","",IFERROR(INDEX(MASTER_SOURCE!$D$2:$D$495,MATCH($I4255,MASTER_SOURCE!$A$2:$A$495,0)),""))</f>
        <v/>
      </c>
      <c r="M4255" s="24" t="n"/>
      <c r="N4255" s="24" t="n"/>
      <c r="O4255" s="24" t="n"/>
      <c r="P4255" s="24" t="n"/>
      <c r="Q4255" s="22">
        <f>IF($D4255="","",IF(AND(OR(DANH_MUC!$L$5&lt;&gt;"Có",M4255="Có"),OR(DANH_MUC!$L$6&lt;&gt;"Có",N4255="Có"),OR(DANH_MUC!$L$7&lt;&gt;"Có",O4255="Có"),OR(DANH_MUC!$L$8&lt;&gt;"Có",P4255="Có")),"Có","Không"))</f>
        <v/>
      </c>
      <c r="R4255" s="22">
        <f>IF($D4255="","",IF(COUNTIF($D$2:$D4255,$D4255)&gt;1,"Trùng",""))</f>
        <v/>
      </c>
      <c r="S4255" s="22">
        <f>IF($D4255="","",IF(AND(LEN($D4255)=10,LEFT($D4255,1)="0",ISNUMBER(--$D4255)),"Có","Không"))</f>
        <v/>
      </c>
      <c r="T4255" s="22">
        <f>IF($D4255="","",IF(AND($C4255&lt;&gt;"",$Q4255="Có",$R4255="",$S4255="Có",AND($L4255&lt;&gt;"",OR($L4255&lt;&gt;"Chưa xác định",DANH_MUC!$L$9="Có"))),"Có","Không"))</f>
        <v/>
      </c>
      <c r="U4255" s="22">
        <f>IF(OR($D4255="",$T4255="Có"),"",IF($C4255="","Thiếu họ tên; ","")&amp;IF($S4255&lt;&gt;"Có","SĐT sai định dạng; ","")&amp;IF($R4255="Trùng","Trùng SĐT; ","")&amp;IF($Q4255&lt;&gt;"Có","Thiếu đồng ý bắt buộc; ","")&amp;IF($L4255="","Thiếu/sai Mã REF; ",IF(AND($L4255="Chưa xác định",DANH_MUC!$L$9&lt;&gt;"Có"),"Nguồn chưa xác định; ","")))</f>
        <v/>
      </c>
      <c r="V4255" s="22">
        <f>IF(OR($D4255="",$R4255="Trùng"),"",IF(COUNTIF(ORDERS!$C$2:$C$4995,$D4255)&gt;0,"Có","Không"))</f>
        <v/>
      </c>
      <c r="W4255" s="22">
        <f>IF(OR($D4255="",$R4255="Trùng"),"",COUNTIFS(ORDERS!$C$2:$C$4995,$D4255,ORDERS!$L$2:$L$4995,"Đã chuyển khoản"))</f>
        <v/>
      </c>
      <c r="X4255" s="23">
        <f>IF(OR($D4255="",$R4255="Trùng"),"",SUMIFS(ORDERS!$J$2:$J$4995,ORDERS!$C$2:$C$4995,$D4255,ORDERS!$L$2:$L$4995,"Đã chuyển khoản"))</f>
        <v/>
      </c>
      <c r="Y4255" s="24" t="n"/>
    </row>
    <row r="4256" ht="14.25" customHeight="1" s="40">
      <c r="A4256" s="24" t="n"/>
      <c r="B4256" s="27" t="n"/>
      <c r="C4256" s="24" t="n"/>
      <c r="D4256" s="28" t="n"/>
      <c r="E4256" s="29" t="n"/>
      <c r="F4256" s="24" t="n"/>
      <c r="G4256" s="24" t="n"/>
      <c r="H4256" s="21">
        <f>IF(ISNUMBER($B4256),INT($B4256)-WEEKDAY($B4256,2)+1,"")</f>
        <v/>
      </c>
      <c r="I4256" s="24" t="n"/>
      <c r="J4256" s="22">
        <f t="array" ref="J4256">IF($D4256="","",IF($I4256="","(trống REF)",IFERROR(INDEX(MASTER_SOURCE!$B$2:$B$495,MATCH($I4256,MASTER_SOURCE!$A$2:$A$495,0)),"(REF không có trong MASTER_SOURCE)")))</f>
        <v/>
      </c>
      <c r="K4256" s="22">
        <f t="array" ref="K4256">IF($D4256="","",IFERROR(INDEX(MASTER_SOURCE!$C$2:$C$495,MATCH($I4256,MASTER_SOURCE!$A$2:$A$495,0)),""))</f>
        <v/>
      </c>
      <c r="L4256" s="22">
        <f t="array" ref="L4256">IF($D4256="","",IFERROR(INDEX(MASTER_SOURCE!$D$2:$D$495,MATCH($I4256,MASTER_SOURCE!$A$2:$A$495,0)),""))</f>
        <v/>
      </c>
      <c r="M4256" s="24" t="n"/>
      <c r="N4256" s="24" t="n"/>
      <c r="O4256" s="24" t="n"/>
      <c r="P4256" s="24" t="n"/>
      <c r="Q4256" s="22">
        <f>IF($D4256="","",IF(AND(OR(DANH_MUC!$L$5&lt;&gt;"Có",M4256="Có"),OR(DANH_MUC!$L$6&lt;&gt;"Có",N4256="Có"),OR(DANH_MUC!$L$7&lt;&gt;"Có",O4256="Có"),OR(DANH_MUC!$L$8&lt;&gt;"Có",P4256="Có")),"Có","Không"))</f>
        <v/>
      </c>
      <c r="R4256" s="22">
        <f>IF($D4256="","",IF(COUNTIF($D$2:$D4256,$D4256)&gt;1,"Trùng",""))</f>
        <v/>
      </c>
      <c r="S4256" s="22">
        <f>IF($D4256="","",IF(AND(LEN($D4256)=10,LEFT($D4256,1)="0",ISNUMBER(--$D4256)),"Có","Không"))</f>
        <v/>
      </c>
      <c r="T4256" s="22">
        <f>IF($D4256="","",IF(AND($C4256&lt;&gt;"",$Q4256="Có",$R4256="",$S4256="Có",AND($L4256&lt;&gt;"",OR($L4256&lt;&gt;"Chưa xác định",DANH_MUC!$L$9="Có"))),"Có","Không"))</f>
        <v/>
      </c>
      <c r="U4256" s="22">
        <f>IF(OR($D4256="",$T4256="Có"),"",IF($C4256="","Thiếu họ tên; ","")&amp;IF($S4256&lt;&gt;"Có","SĐT sai định dạng; ","")&amp;IF($R4256="Trùng","Trùng SĐT; ","")&amp;IF($Q4256&lt;&gt;"Có","Thiếu đồng ý bắt buộc; ","")&amp;IF($L4256="","Thiếu/sai Mã REF; ",IF(AND($L4256="Chưa xác định",DANH_MUC!$L$9&lt;&gt;"Có"),"Nguồn chưa xác định; ","")))</f>
        <v/>
      </c>
      <c r="V4256" s="22">
        <f>IF(OR($D4256="",$R4256="Trùng"),"",IF(COUNTIF(ORDERS!$C$2:$C$4995,$D4256)&gt;0,"Có","Không"))</f>
        <v/>
      </c>
      <c r="W4256" s="22">
        <f>IF(OR($D4256="",$R4256="Trùng"),"",COUNTIFS(ORDERS!$C$2:$C$4995,$D4256,ORDERS!$L$2:$L$4995,"Đã chuyển khoản"))</f>
        <v/>
      </c>
      <c r="X4256" s="23">
        <f>IF(OR($D4256="",$R4256="Trùng"),"",SUMIFS(ORDERS!$J$2:$J$4995,ORDERS!$C$2:$C$4995,$D4256,ORDERS!$L$2:$L$4995,"Đã chuyển khoản"))</f>
        <v/>
      </c>
      <c r="Y4256" s="24" t="n"/>
    </row>
    <row r="4257" ht="14.25" customHeight="1" s="40">
      <c r="A4257" s="24" t="n"/>
      <c r="B4257" s="27" t="n"/>
      <c r="C4257" s="24" t="n"/>
      <c r="D4257" s="28" t="n"/>
      <c r="E4257" s="29" t="n"/>
      <c r="F4257" s="24" t="n"/>
      <c r="G4257" s="24" t="n"/>
      <c r="H4257" s="21">
        <f>IF(ISNUMBER($B4257),INT($B4257)-WEEKDAY($B4257,2)+1,"")</f>
        <v/>
      </c>
      <c r="I4257" s="24" t="n"/>
      <c r="J4257" s="22">
        <f t="array" ref="J4257">IF($D4257="","",IF($I4257="","(trống REF)",IFERROR(INDEX(MASTER_SOURCE!$B$2:$B$495,MATCH($I4257,MASTER_SOURCE!$A$2:$A$495,0)),"(REF không có trong MASTER_SOURCE)")))</f>
        <v/>
      </c>
      <c r="K4257" s="22">
        <f t="array" ref="K4257">IF($D4257="","",IFERROR(INDEX(MASTER_SOURCE!$C$2:$C$495,MATCH($I4257,MASTER_SOURCE!$A$2:$A$495,0)),""))</f>
        <v/>
      </c>
      <c r="L4257" s="22">
        <f t="array" ref="L4257">IF($D4257="","",IFERROR(INDEX(MASTER_SOURCE!$D$2:$D$495,MATCH($I4257,MASTER_SOURCE!$A$2:$A$495,0)),""))</f>
        <v/>
      </c>
      <c r="M4257" s="24" t="n"/>
      <c r="N4257" s="24" t="n"/>
      <c r="O4257" s="24" t="n"/>
      <c r="P4257" s="24" t="n"/>
      <c r="Q4257" s="22">
        <f>IF($D4257="","",IF(AND(OR(DANH_MUC!$L$5&lt;&gt;"Có",M4257="Có"),OR(DANH_MUC!$L$6&lt;&gt;"Có",N4257="Có"),OR(DANH_MUC!$L$7&lt;&gt;"Có",O4257="Có"),OR(DANH_MUC!$L$8&lt;&gt;"Có",P4257="Có")),"Có","Không"))</f>
        <v/>
      </c>
      <c r="R4257" s="22">
        <f>IF($D4257="","",IF(COUNTIF($D$2:$D4257,$D4257)&gt;1,"Trùng",""))</f>
        <v/>
      </c>
      <c r="S4257" s="22">
        <f>IF($D4257="","",IF(AND(LEN($D4257)=10,LEFT($D4257,1)="0",ISNUMBER(--$D4257)),"Có","Không"))</f>
        <v/>
      </c>
      <c r="T4257" s="22">
        <f>IF($D4257="","",IF(AND($C4257&lt;&gt;"",$Q4257="Có",$R4257="",$S4257="Có",AND($L4257&lt;&gt;"",OR($L4257&lt;&gt;"Chưa xác định",DANH_MUC!$L$9="Có"))),"Có","Không"))</f>
        <v/>
      </c>
      <c r="U4257" s="22">
        <f>IF(OR($D4257="",$T4257="Có"),"",IF($C4257="","Thiếu họ tên; ","")&amp;IF($S4257&lt;&gt;"Có","SĐT sai định dạng; ","")&amp;IF($R4257="Trùng","Trùng SĐT; ","")&amp;IF($Q4257&lt;&gt;"Có","Thiếu đồng ý bắt buộc; ","")&amp;IF($L4257="","Thiếu/sai Mã REF; ",IF(AND($L4257="Chưa xác định",DANH_MUC!$L$9&lt;&gt;"Có"),"Nguồn chưa xác định; ","")))</f>
        <v/>
      </c>
      <c r="V4257" s="22">
        <f>IF(OR($D4257="",$R4257="Trùng"),"",IF(COUNTIF(ORDERS!$C$2:$C$4995,$D4257)&gt;0,"Có","Không"))</f>
        <v/>
      </c>
      <c r="W4257" s="22">
        <f>IF(OR($D4257="",$R4257="Trùng"),"",COUNTIFS(ORDERS!$C$2:$C$4995,$D4257,ORDERS!$L$2:$L$4995,"Đã chuyển khoản"))</f>
        <v/>
      </c>
      <c r="X4257" s="23">
        <f>IF(OR($D4257="",$R4257="Trùng"),"",SUMIFS(ORDERS!$J$2:$J$4995,ORDERS!$C$2:$C$4995,$D4257,ORDERS!$L$2:$L$4995,"Đã chuyển khoản"))</f>
        <v/>
      </c>
      <c r="Y4257" s="24" t="n"/>
    </row>
    <row r="4258" ht="14.25" customHeight="1" s="40">
      <c r="A4258" s="24" t="n"/>
      <c r="B4258" s="27" t="n"/>
      <c r="C4258" s="24" t="n"/>
      <c r="D4258" s="28" t="n"/>
      <c r="E4258" s="29" t="n"/>
      <c r="F4258" s="24" t="n"/>
      <c r="G4258" s="24" t="n"/>
      <c r="H4258" s="21">
        <f>IF(ISNUMBER($B4258),INT($B4258)-WEEKDAY($B4258,2)+1,"")</f>
        <v/>
      </c>
      <c r="I4258" s="24" t="n"/>
      <c r="J4258" s="22">
        <f t="array" ref="J4258">IF($D4258="","",IF($I4258="","(trống REF)",IFERROR(INDEX(MASTER_SOURCE!$B$2:$B$495,MATCH($I4258,MASTER_SOURCE!$A$2:$A$495,0)),"(REF không có trong MASTER_SOURCE)")))</f>
        <v/>
      </c>
      <c r="K4258" s="22">
        <f t="array" ref="K4258">IF($D4258="","",IFERROR(INDEX(MASTER_SOURCE!$C$2:$C$495,MATCH($I4258,MASTER_SOURCE!$A$2:$A$495,0)),""))</f>
        <v/>
      </c>
      <c r="L4258" s="22">
        <f t="array" ref="L4258">IF($D4258="","",IFERROR(INDEX(MASTER_SOURCE!$D$2:$D$495,MATCH($I4258,MASTER_SOURCE!$A$2:$A$495,0)),""))</f>
        <v/>
      </c>
      <c r="M4258" s="24" t="n"/>
      <c r="N4258" s="24" t="n"/>
      <c r="O4258" s="24" t="n"/>
      <c r="P4258" s="24" t="n"/>
      <c r="Q4258" s="22">
        <f>IF($D4258="","",IF(AND(OR(DANH_MUC!$L$5&lt;&gt;"Có",M4258="Có"),OR(DANH_MUC!$L$6&lt;&gt;"Có",N4258="Có"),OR(DANH_MUC!$L$7&lt;&gt;"Có",O4258="Có"),OR(DANH_MUC!$L$8&lt;&gt;"Có",P4258="Có")),"Có","Không"))</f>
        <v/>
      </c>
      <c r="R4258" s="22">
        <f>IF($D4258="","",IF(COUNTIF($D$2:$D4258,$D4258)&gt;1,"Trùng",""))</f>
        <v/>
      </c>
      <c r="S4258" s="22">
        <f>IF($D4258="","",IF(AND(LEN($D4258)=10,LEFT($D4258,1)="0",ISNUMBER(--$D4258)),"Có","Không"))</f>
        <v/>
      </c>
      <c r="T4258" s="22">
        <f>IF($D4258="","",IF(AND($C4258&lt;&gt;"",$Q4258="Có",$R4258="",$S4258="Có",AND($L4258&lt;&gt;"",OR($L4258&lt;&gt;"Chưa xác định",DANH_MUC!$L$9="Có"))),"Có","Không"))</f>
        <v/>
      </c>
      <c r="U4258" s="22">
        <f>IF(OR($D4258="",$T4258="Có"),"",IF($C4258="","Thiếu họ tên; ","")&amp;IF($S4258&lt;&gt;"Có","SĐT sai định dạng; ","")&amp;IF($R4258="Trùng","Trùng SĐT; ","")&amp;IF($Q4258&lt;&gt;"Có","Thiếu đồng ý bắt buộc; ","")&amp;IF($L4258="","Thiếu/sai Mã REF; ",IF(AND($L4258="Chưa xác định",DANH_MUC!$L$9&lt;&gt;"Có"),"Nguồn chưa xác định; ","")))</f>
        <v/>
      </c>
      <c r="V4258" s="22">
        <f>IF(OR($D4258="",$R4258="Trùng"),"",IF(COUNTIF(ORDERS!$C$2:$C$4995,$D4258)&gt;0,"Có","Không"))</f>
        <v/>
      </c>
      <c r="W4258" s="22">
        <f>IF(OR($D4258="",$R4258="Trùng"),"",COUNTIFS(ORDERS!$C$2:$C$4995,$D4258,ORDERS!$L$2:$L$4995,"Đã chuyển khoản"))</f>
        <v/>
      </c>
      <c r="X4258" s="23">
        <f>IF(OR($D4258="",$R4258="Trùng"),"",SUMIFS(ORDERS!$J$2:$J$4995,ORDERS!$C$2:$C$4995,$D4258,ORDERS!$L$2:$L$4995,"Đã chuyển khoản"))</f>
        <v/>
      </c>
      <c r="Y4258" s="24" t="n"/>
    </row>
    <row r="4259" ht="14.25" customHeight="1" s="40">
      <c r="A4259" s="24" t="n"/>
      <c r="B4259" s="27" t="n"/>
      <c r="C4259" s="24" t="n"/>
      <c r="D4259" s="28" t="n"/>
      <c r="E4259" s="29" t="n"/>
      <c r="F4259" s="24" t="n"/>
      <c r="G4259" s="24" t="n"/>
      <c r="H4259" s="21">
        <f>IF(ISNUMBER($B4259),INT($B4259)-WEEKDAY($B4259,2)+1,"")</f>
        <v/>
      </c>
      <c r="I4259" s="24" t="n"/>
      <c r="J4259" s="22">
        <f t="array" ref="J4259">IF($D4259="","",IF($I4259="","(trống REF)",IFERROR(INDEX(MASTER_SOURCE!$B$2:$B$495,MATCH($I4259,MASTER_SOURCE!$A$2:$A$495,0)),"(REF không có trong MASTER_SOURCE)")))</f>
        <v/>
      </c>
      <c r="K4259" s="22">
        <f t="array" ref="K4259">IF($D4259="","",IFERROR(INDEX(MASTER_SOURCE!$C$2:$C$495,MATCH($I4259,MASTER_SOURCE!$A$2:$A$495,0)),""))</f>
        <v/>
      </c>
      <c r="L4259" s="22">
        <f t="array" ref="L4259">IF($D4259="","",IFERROR(INDEX(MASTER_SOURCE!$D$2:$D$495,MATCH($I4259,MASTER_SOURCE!$A$2:$A$495,0)),""))</f>
        <v/>
      </c>
      <c r="M4259" s="24" t="n"/>
      <c r="N4259" s="24" t="n"/>
      <c r="O4259" s="24" t="n"/>
      <c r="P4259" s="24" t="n"/>
      <c r="Q4259" s="22">
        <f>IF($D4259="","",IF(AND(OR(DANH_MUC!$L$5&lt;&gt;"Có",M4259="Có"),OR(DANH_MUC!$L$6&lt;&gt;"Có",N4259="Có"),OR(DANH_MUC!$L$7&lt;&gt;"Có",O4259="Có"),OR(DANH_MUC!$L$8&lt;&gt;"Có",P4259="Có")),"Có","Không"))</f>
        <v/>
      </c>
      <c r="R4259" s="22">
        <f>IF($D4259="","",IF(COUNTIF($D$2:$D4259,$D4259)&gt;1,"Trùng",""))</f>
        <v/>
      </c>
      <c r="S4259" s="22">
        <f>IF($D4259="","",IF(AND(LEN($D4259)=10,LEFT($D4259,1)="0",ISNUMBER(--$D4259)),"Có","Không"))</f>
        <v/>
      </c>
      <c r="T4259" s="22">
        <f>IF($D4259="","",IF(AND($C4259&lt;&gt;"",$Q4259="Có",$R4259="",$S4259="Có",AND($L4259&lt;&gt;"",OR($L4259&lt;&gt;"Chưa xác định",DANH_MUC!$L$9="Có"))),"Có","Không"))</f>
        <v/>
      </c>
      <c r="U4259" s="22">
        <f>IF(OR($D4259="",$T4259="Có"),"",IF($C4259="","Thiếu họ tên; ","")&amp;IF($S4259&lt;&gt;"Có","SĐT sai định dạng; ","")&amp;IF($R4259="Trùng","Trùng SĐT; ","")&amp;IF($Q4259&lt;&gt;"Có","Thiếu đồng ý bắt buộc; ","")&amp;IF($L4259="","Thiếu/sai Mã REF; ",IF(AND($L4259="Chưa xác định",DANH_MUC!$L$9&lt;&gt;"Có"),"Nguồn chưa xác định; ","")))</f>
        <v/>
      </c>
      <c r="V4259" s="22">
        <f>IF(OR($D4259="",$R4259="Trùng"),"",IF(COUNTIF(ORDERS!$C$2:$C$4995,$D4259)&gt;0,"Có","Không"))</f>
        <v/>
      </c>
      <c r="W4259" s="22">
        <f>IF(OR($D4259="",$R4259="Trùng"),"",COUNTIFS(ORDERS!$C$2:$C$4995,$D4259,ORDERS!$L$2:$L$4995,"Đã chuyển khoản"))</f>
        <v/>
      </c>
      <c r="X4259" s="23">
        <f>IF(OR($D4259="",$R4259="Trùng"),"",SUMIFS(ORDERS!$J$2:$J$4995,ORDERS!$C$2:$C$4995,$D4259,ORDERS!$L$2:$L$4995,"Đã chuyển khoản"))</f>
        <v/>
      </c>
      <c r="Y4259" s="24" t="n"/>
    </row>
    <row r="4260" ht="14.25" customHeight="1" s="40">
      <c r="A4260" s="24" t="n"/>
      <c r="B4260" s="27" t="n"/>
      <c r="C4260" s="24" t="n"/>
      <c r="D4260" s="28" t="n"/>
      <c r="E4260" s="29" t="n"/>
      <c r="F4260" s="24" t="n"/>
      <c r="G4260" s="24" t="n"/>
      <c r="H4260" s="21">
        <f>IF(ISNUMBER($B4260),INT($B4260)-WEEKDAY($B4260,2)+1,"")</f>
        <v/>
      </c>
      <c r="I4260" s="24" t="n"/>
      <c r="J4260" s="22">
        <f t="array" ref="J4260">IF($D4260="","",IF($I4260="","(trống REF)",IFERROR(INDEX(MASTER_SOURCE!$B$2:$B$495,MATCH($I4260,MASTER_SOURCE!$A$2:$A$495,0)),"(REF không có trong MASTER_SOURCE)")))</f>
        <v/>
      </c>
      <c r="K4260" s="22">
        <f t="array" ref="K4260">IF($D4260="","",IFERROR(INDEX(MASTER_SOURCE!$C$2:$C$495,MATCH($I4260,MASTER_SOURCE!$A$2:$A$495,0)),""))</f>
        <v/>
      </c>
      <c r="L4260" s="22">
        <f t="array" ref="L4260">IF($D4260="","",IFERROR(INDEX(MASTER_SOURCE!$D$2:$D$495,MATCH($I4260,MASTER_SOURCE!$A$2:$A$495,0)),""))</f>
        <v/>
      </c>
      <c r="M4260" s="24" t="n"/>
      <c r="N4260" s="24" t="n"/>
      <c r="O4260" s="24" t="n"/>
      <c r="P4260" s="24" t="n"/>
      <c r="Q4260" s="22">
        <f>IF($D4260="","",IF(AND(OR(DANH_MUC!$L$5&lt;&gt;"Có",M4260="Có"),OR(DANH_MUC!$L$6&lt;&gt;"Có",N4260="Có"),OR(DANH_MUC!$L$7&lt;&gt;"Có",O4260="Có"),OR(DANH_MUC!$L$8&lt;&gt;"Có",P4260="Có")),"Có","Không"))</f>
        <v/>
      </c>
      <c r="R4260" s="22">
        <f>IF($D4260="","",IF(COUNTIF($D$2:$D4260,$D4260)&gt;1,"Trùng",""))</f>
        <v/>
      </c>
      <c r="S4260" s="22">
        <f>IF($D4260="","",IF(AND(LEN($D4260)=10,LEFT($D4260,1)="0",ISNUMBER(--$D4260)),"Có","Không"))</f>
        <v/>
      </c>
      <c r="T4260" s="22">
        <f>IF($D4260="","",IF(AND($C4260&lt;&gt;"",$Q4260="Có",$R4260="",$S4260="Có",AND($L4260&lt;&gt;"",OR($L4260&lt;&gt;"Chưa xác định",DANH_MUC!$L$9="Có"))),"Có","Không"))</f>
        <v/>
      </c>
      <c r="U4260" s="22">
        <f>IF(OR($D4260="",$T4260="Có"),"",IF($C4260="","Thiếu họ tên; ","")&amp;IF($S4260&lt;&gt;"Có","SĐT sai định dạng; ","")&amp;IF($R4260="Trùng","Trùng SĐT; ","")&amp;IF($Q4260&lt;&gt;"Có","Thiếu đồng ý bắt buộc; ","")&amp;IF($L4260="","Thiếu/sai Mã REF; ",IF(AND($L4260="Chưa xác định",DANH_MUC!$L$9&lt;&gt;"Có"),"Nguồn chưa xác định; ","")))</f>
        <v/>
      </c>
      <c r="V4260" s="22">
        <f>IF(OR($D4260="",$R4260="Trùng"),"",IF(COUNTIF(ORDERS!$C$2:$C$4995,$D4260)&gt;0,"Có","Không"))</f>
        <v/>
      </c>
      <c r="W4260" s="22">
        <f>IF(OR($D4260="",$R4260="Trùng"),"",COUNTIFS(ORDERS!$C$2:$C$4995,$D4260,ORDERS!$L$2:$L$4995,"Đã chuyển khoản"))</f>
        <v/>
      </c>
      <c r="X4260" s="23">
        <f>IF(OR($D4260="",$R4260="Trùng"),"",SUMIFS(ORDERS!$J$2:$J$4995,ORDERS!$C$2:$C$4995,$D4260,ORDERS!$L$2:$L$4995,"Đã chuyển khoản"))</f>
        <v/>
      </c>
      <c r="Y4260" s="24" t="n"/>
    </row>
    <row r="4261" ht="14.25" customHeight="1" s="40">
      <c r="A4261" s="24" t="n"/>
      <c r="B4261" s="27" t="n"/>
      <c r="C4261" s="24" t="n"/>
      <c r="D4261" s="28" t="n"/>
      <c r="E4261" s="29" t="n"/>
      <c r="F4261" s="24" t="n"/>
      <c r="G4261" s="24" t="n"/>
      <c r="H4261" s="21">
        <f>IF(ISNUMBER($B4261),INT($B4261)-WEEKDAY($B4261,2)+1,"")</f>
        <v/>
      </c>
      <c r="I4261" s="24" t="n"/>
      <c r="J4261" s="22">
        <f t="array" ref="J4261">IF($D4261="","",IF($I4261="","(trống REF)",IFERROR(INDEX(MASTER_SOURCE!$B$2:$B$495,MATCH($I4261,MASTER_SOURCE!$A$2:$A$495,0)),"(REF không có trong MASTER_SOURCE)")))</f>
        <v/>
      </c>
      <c r="K4261" s="22">
        <f t="array" ref="K4261">IF($D4261="","",IFERROR(INDEX(MASTER_SOURCE!$C$2:$C$495,MATCH($I4261,MASTER_SOURCE!$A$2:$A$495,0)),""))</f>
        <v/>
      </c>
      <c r="L4261" s="22">
        <f t="array" ref="L4261">IF($D4261="","",IFERROR(INDEX(MASTER_SOURCE!$D$2:$D$495,MATCH($I4261,MASTER_SOURCE!$A$2:$A$495,0)),""))</f>
        <v/>
      </c>
      <c r="M4261" s="24" t="n"/>
      <c r="N4261" s="24" t="n"/>
      <c r="O4261" s="24" t="n"/>
      <c r="P4261" s="24" t="n"/>
      <c r="Q4261" s="22">
        <f>IF($D4261="","",IF(AND(OR(DANH_MUC!$L$5&lt;&gt;"Có",M4261="Có"),OR(DANH_MUC!$L$6&lt;&gt;"Có",N4261="Có"),OR(DANH_MUC!$L$7&lt;&gt;"Có",O4261="Có"),OR(DANH_MUC!$L$8&lt;&gt;"Có",P4261="Có")),"Có","Không"))</f>
        <v/>
      </c>
      <c r="R4261" s="22">
        <f>IF($D4261="","",IF(COUNTIF($D$2:$D4261,$D4261)&gt;1,"Trùng",""))</f>
        <v/>
      </c>
      <c r="S4261" s="22">
        <f>IF($D4261="","",IF(AND(LEN($D4261)=10,LEFT($D4261,1)="0",ISNUMBER(--$D4261)),"Có","Không"))</f>
        <v/>
      </c>
      <c r="T4261" s="22">
        <f>IF($D4261="","",IF(AND($C4261&lt;&gt;"",$Q4261="Có",$R4261="",$S4261="Có",AND($L4261&lt;&gt;"",OR($L4261&lt;&gt;"Chưa xác định",DANH_MUC!$L$9="Có"))),"Có","Không"))</f>
        <v/>
      </c>
      <c r="U4261" s="22">
        <f>IF(OR($D4261="",$T4261="Có"),"",IF($C4261="","Thiếu họ tên; ","")&amp;IF($S4261&lt;&gt;"Có","SĐT sai định dạng; ","")&amp;IF($R4261="Trùng","Trùng SĐT; ","")&amp;IF($Q4261&lt;&gt;"Có","Thiếu đồng ý bắt buộc; ","")&amp;IF($L4261="","Thiếu/sai Mã REF; ",IF(AND($L4261="Chưa xác định",DANH_MUC!$L$9&lt;&gt;"Có"),"Nguồn chưa xác định; ","")))</f>
        <v/>
      </c>
      <c r="V4261" s="22">
        <f>IF(OR($D4261="",$R4261="Trùng"),"",IF(COUNTIF(ORDERS!$C$2:$C$4995,$D4261)&gt;0,"Có","Không"))</f>
        <v/>
      </c>
      <c r="W4261" s="22">
        <f>IF(OR($D4261="",$R4261="Trùng"),"",COUNTIFS(ORDERS!$C$2:$C$4995,$D4261,ORDERS!$L$2:$L$4995,"Đã chuyển khoản"))</f>
        <v/>
      </c>
      <c r="X4261" s="23">
        <f>IF(OR($D4261="",$R4261="Trùng"),"",SUMIFS(ORDERS!$J$2:$J$4995,ORDERS!$C$2:$C$4995,$D4261,ORDERS!$L$2:$L$4995,"Đã chuyển khoản"))</f>
        <v/>
      </c>
      <c r="Y4261" s="24" t="n"/>
    </row>
    <row r="4262" ht="14.25" customHeight="1" s="40">
      <c r="A4262" s="24" t="n"/>
      <c r="B4262" s="27" t="n"/>
      <c r="C4262" s="24" t="n"/>
      <c r="D4262" s="28" t="n"/>
      <c r="E4262" s="29" t="n"/>
      <c r="F4262" s="24" t="n"/>
      <c r="G4262" s="24" t="n"/>
      <c r="H4262" s="21">
        <f>IF(ISNUMBER($B4262),INT($B4262)-WEEKDAY($B4262,2)+1,"")</f>
        <v/>
      </c>
      <c r="I4262" s="24" t="n"/>
      <c r="J4262" s="22">
        <f t="array" ref="J4262">IF($D4262="","",IF($I4262="","(trống REF)",IFERROR(INDEX(MASTER_SOURCE!$B$2:$B$495,MATCH($I4262,MASTER_SOURCE!$A$2:$A$495,0)),"(REF không có trong MASTER_SOURCE)")))</f>
        <v/>
      </c>
      <c r="K4262" s="22">
        <f t="array" ref="K4262">IF($D4262="","",IFERROR(INDEX(MASTER_SOURCE!$C$2:$C$495,MATCH($I4262,MASTER_SOURCE!$A$2:$A$495,0)),""))</f>
        <v/>
      </c>
      <c r="L4262" s="22">
        <f t="array" ref="L4262">IF($D4262="","",IFERROR(INDEX(MASTER_SOURCE!$D$2:$D$495,MATCH($I4262,MASTER_SOURCE!$A$2:$A$495,0)),""))</f>
        <v/>
      </c>
      <c r="M4262" s="24" t="n"/>
      <c r="N4262" s="24" t="n"/>
      <c r="O4262" s="24" t="n"/>
      <c r="P4262" s="24" t="n"/>
      <c r="Q4262" s="22">
        <f>IF($D4262="","",IF(AND(OR(DANH_MUC!$L$5&lt;&gt;"Có",M4262="Có"),OR(DANH_MUC!$L$6&lt;&gt;"Có",N4262="Có"),OR(DANH_MUC!$L$7&lt;&gt;"Có",O4262="Có"),OR(DANH_MUC!$L$8&lt;&gt;"Có",P4262="Có")),"Có","Không"))</f>
        <v/>
      </c>
      <c r="R4262" s="22">
        <f>IF($D4262="","",IF(COUNTIF($D$2:$D4262,$D4262)&gt;1,"Trùng",""))</f>
        <v/>
      </c>
      <c r="S4262" s="22">
        <f>IF($D4262="","",IF(AND(LEN($D4262)=10,LEFT($D4262,1)="0",ISNUMBER(--$D4262)),"Có","Không"))</f>
        <v/>
      </c>
      <c r="T4262" s="22">
        <f>IF($D4262="","",IF(AND($C4262&lt;&gt;"",$Q4262="Có",$R4262="",$S4262="Có",AND($L4262&lt;&gt;"",OR($L4262&lt;&gt;"Chưa xác định",DANH_MUC!$L$9="Có"))),"Có","Không"))</f>
        <v/>
      </c>
      <c r="U4262" s="22">
        <f>IF(OR($D4262="",$T4262="Có"),"",IF($C4262="","Thiếu họ tên; ","")&amp;IF($S4262&lt;&gt;"Có","SĐT sai định dạng; ","")&amp;IF($R4262="Trùng","Trùng SĐT; ","")&amp;IF($Q4262&lt;&gt;"Có","Thiếu đồng ý bắt buộc; ","")&amp;IF($L4262="","Thiếu/sai Mã REF; ",IF(AND($L4262="Chưa xác định",DANH_MUC!$L$9&lt;&gt;"Có"),"Nguồn chưa xác định; ","")))</f>
        <v/>
      </c>
      <c r="V4262" s="22">
        <f>IF(OR($D4262="",$R4262="Trùng"),"",IF(COUNTIF(ORDERS!$C$2:$C$4995,$D4262)&gt;0,"Có","Không"))</f>
        <v/>
      </c>
      <c r="W4262" s="22">
        <f>IF(OR($D4262="",$R4262="Trùng"),"",COUNTIFS(ORDERS!$C$2:$C$4995,$D4262,ORDERS!$L$2:$L$4995,"Đã chuyển khoản"))</f>
        <v/>
      </c>
      <c r="X4262" s="23">
        <f>IF(OR($D4262="",$R4262="Trùng"),"",SUMIFS(ORDERS!$J$2:$J$4995,ORDERS!$C$2:$C$4995,$D4262,ORDERS!$L$2:$L$4995,"Đã chuyển khoản"))</f>
        <v/>
      </c>
      <c r="Y4262" s="24" t="n"/>
    </row>
    <row r="4263" ht="14.25" customHeight="1" s="40">
      <c r="A4263" s="24" t="n"/>
      <c r="B4263" s="27" t="n"/>
      <c r="C4263" s="24" t="n"/>
      <c r="D4263" s="28" t="n"/>
      <c r="E4263" s="29" t="n"/>
      <c r="F4263" s="24" t="n"/>
      <c r="G4263" s="24" t="n"/>
      <c r="H4263" s="21">
        <f>IF(ISNUMBER($B4263),INT($B4263)-WEEKDAY($B4263,2)+1,"")</f>
        <v/>
      </c>
      <c r="I4263" s="24" t="n"/>
      <c r="J4263" s="22">
        <f t="array" ref="J4263">IF($D4263="","",IF($I4263="","(trống REF)",IFERROR(INDEX(MASTER_SOURCE!$B$2:$B$495,MATCH($I4263,MASTER_SOURCE!$A$2:$A$495,0)),"(REF không có trong MASTER_SOURCE)")))</f>
        <v/>
      </c>
      <c r="K4263" s="22">
        <f t="array" ref="K4263">IF($D4263="","",IFERROR(INDEX(MASTER_SOURCE!$C$2:$C$495,MATCH($I4263,MASTER_SOURCE!$A$2:$A$495,0)),""))</f>
        <v/>
      </c>
      <c r="L4263" s="22">
        <f t="array" ref="L4263">IF($D4263="","",IFERROR(INDEX(MASTER_SOURCE!$D$2:$D$495,MATCH($I4263,MASTER_SOURCE!$A$2:$A$495,0)),""))</f>
        <v/>
      </c>
      <c r="M4263" s="24" t="n"/>
      <c r="N4263" s="24" t="n"/>
      <c r="O4263" s="24" t="n"/>
      <c r="P4263" s="24" t="n"/>
      <c r="Q4263" s="22">
        <f>IF($D4263="","",IF(AND(OR(DANH_MUC!$L$5&lt;&gt;"Có",M4263="Có"),OR(DANH_MUC!$L$6&lt;&gt;"Có",N4263="Có"),OR(DANH_MUC!$L$7&lt;&gt;"Có",O4263="Có"),OR(DANH_MUC!$L$8&lt;&gt;"Có",P4263="Có")),"Có","Không"))</f>
        <v/>
      </c>
      <c r="R4263" s="22">
        <f>IF($D4263="","",IF(COUNTIF($D$2:$D4263,$D4263)&gt;1,"Trùng",""))</f>
        <v/>
      </c>
      <c r="S4263" s="22">
        <f>IF($D4263="","",IF(AND(LEN($D4263)=10,LEFT($D4263,1)="0",ISNUMBER(--$D4263)),"Có","Không"))</f>
        <v/>
      </c>
      <c r="T4263" s="22">
        <f>IF($D4263="","",IF(AND($C4263&lt;&gt;"",$Q4263="Có",$R4263="",$S4263="Có",AND($L4263&lt;&gt;"",OR($L4263&lt;&gt;"Chưa xác định",DANH_MUC!$L$9="Có"))),"Có","Không"))</f>
        <v/>
      </c>
      <c r="U4263" s="22">
        <f>IF(OR($D4263="",$T4263="Có"),"",IF($C4263="","Thiếu họ tên; ","")&amp;IF($S4263&lt;&gt;"Có","SĐT sai định dạng; ","")&amp;IF($R4263="Trùng","Trùng SĐT; ","")&amp;IF($Q4263&lt;&gt;"Có","Thiếu đồng ý bắt buộc; ","")&amp;IF($L4263="","Thiếu/sai Mã REF; ",IF(AND($L4263="Chưa xác định",DANH_MUC!$L$9&lt;&gt;"Có"),"Nguồn chưa xác định; ","")))</f>
        <v/>
      </c>
      <c r="V4263" s="22">
        <f>IF(OR($D4263="",$R4263="Trùng"),"",IF(COUNTIF(ORDERS!$C$2:$C$4995,$D4263)&gt;0,"Có","Không"))</f>
        <v/>
      </c>
      <c r="W4263" s="22">
        <f>IF(OR($D4263="",$R4263="Trùng"),"",COUNTIFS(ORDERS!$C$2:$C$4995,$D4263,ORDERS!$L$2:$L$4995,"Đã chuyển khoản"))</f>
        <v/>
      </c>
      <c r="X4263" s="23">
        <f>IF(OR($D4263="",$R4263="Trùng"),"",SUMIFS(ORDERS!$J$2:$J$4995,ORDERS!$C$2:$C$4995,$D4263,ORDERS!$L$2:$L$4995,"Đã chuyển khoản"))</f>
        <v/>
      </c>
      <c r="Y4263" s="24" t="n"/>
    </row>
    <row r="4264" ht="14.25" customHeight="1" s="40">
      <c r="A4264" s="24" t="n"/>
      <c r="B4264" s="27" t="n"/>
      <c r="C4264" s="24" t="n"/>
      <c r="D4264" s="28" t="n"/>
      <c r="E4264" s="29" t="n"/>
      <c r="F4264" s="24" t="n"/>
      <c r="G4264" s="24" t="n"/>
      <c r="H4264" s="21">
        <f>IF(ISNUMBER($B4264),INT($B4264)-WEEKDAY($B4264,2)+1,"")</f>
        <v/>
      </c>
      <c r="I4264" s="24" t="n"/>
      <c r="J4264" s="22">
        <f t="array" ref="J4264">IF($D4264="","",IF($I4264="","(trống REF)",IFERROR(INDEX(MASTER_SOURCE!$B$2:$B$495,MATCH($I4264,MASTER_SOURCE!$A$2:$A$495,0)),"(REF không có trong MASTER_SOURCE)")))</f>
        <v/>
      </c>
      <c r="K4264" s="22">
        <f t="array" ref="K4264">IF($D4264="","",IFERROR(INDEX(MASTER_SOURCE!$C$2:$C$495,MATCH($I4264,MASTER_SOURCE!$A$2:$A$495,0)),""))</f>
        <v/>
      </c>
      <c r="L4264" s="22">
        <f t="array" ref="L4264">IF($D4264="","",IFERROR(INDEX(MASTER_SOURCE!$D$2:$D$495,MATCH($I4264,MASTER_SOURCE!$A$2:$A$495,0)),""))</f>
        <v/>
      </c>
      <c r="M4264" s="24" t="n"/>
      <c r="N4264" s="24" t="n"/>
      <c r="O4264" s="24" t="n"/>
      <c r="P4264" s="24" t="n"/>
      <c r="Q4264" s="22">
        <f>IF($D4264="","",IF(AND(OR(DANH_MUC!$L$5&lt;&gt;"Có",M4264="Có"),OR(DANH_MUC!$L$6&lt;&gt;"Có",N4264="Có"),OR(DANH_MUC!$L$7&lt;&gt;"Có",O4264="Có"),OR(DANH_MUC!$L$8&lt;&gt;"Có",P4264="Có")),"Có","Không"))</f>
        <v/>
      </c>
      <c r="R4264" s="22">
        <f>IF($D4264="","",IF(COUNTIF($D$2:$D4264,$D4264)&gt;1,"Trùng",""))</f>
        <v/>
      </c>
      <c r="S4264" s="22">
        <f>IF($D4264="","",IF(AND(LEN($D4264)=10,LEFT($D4264,1)="0",ISNUMBER(--$D4264)),"Có","Không"))</f>
        <v/>
      </c>
      <c r="T4264" s="22">
        <f>IF($D4264="","",IF(AND($C4264&lt;&gt;"",$Q4264="Có",$R4264="",$S4264="Có",AND($L4264&lt;&gt;"",OR($L4264&lt;&gt;"Chưa xác định",DANH_MUC!$L$9="Có"))),"Có","Không"))</f>
        <v/>
      </c>
      <c r="U4264" s="22">
        <f>IF(OR($D4264="",$T4264="Có"),"",IF($C4264="","Thiếu họ tên; ","")&amp;IF($S4264&lt;&gt;"Có","SĐT sai định dạng; ","")&amp;IF($R4264="Trùng","Trùng SĐT; ","")&amp;IF($Q4264&lt;&gt;"Có","Thiếu đồng ý bắt buộc; ","")&amp;IF($L4264="","Thiếu/sai Mã REF; ",IF(AND($L4264="Chưa xác định",DANH_MUC!$L$9&lt;&gt;"Có"),"Nguồn chưa xác định; ","")))</f>
        <v/>
      </c>
      <c r="V4264" s="22">
        <f>IF(OR($D4264="",$R4264="Trùng"),"",IF(COUNTIF(ORDERS!$C$2:$C$4995,$D4264)&gt;0,"Có","Không"))</f>
        <v/>
      </c>
      <c r="W4264" s="22">
        <f>IF(OR($D4264="",$R4264="Trùng"),"",COUNTIFS(ORDERS!$C$2:$C$4995,$D4264,ORDERS!$L$2:$L$4995,"Đã chuyển khoản"))</f>
        <v/>
      </c>
      <c r="X4264" s="23">
        <f>IF(OR($D4264="",$R4264="Trùng"),"",SUMIFS(ORDERS!$J$2:$J$4995,ORDERS!$C$2:$C$4995,$D4264,ORDERS!$L$2:$L$4995,"Đã chuyển khoản"))</f>
        <v/>
      </c>
      <c r="Y4264" s="24" t="n"/>
    </row>
    <row r="4265" ht="14.25" customHeight="1" s="40">
      <c r="A4265" s="24" t="n"/>
      <c r="B4265" s="27" t="n"/>
      <c r="C4265" s="24" t="n"/>
      <c r="D4265" s="28" t="n"/>
      <c r="E4265" s="29" t="n"/>
      <c r="F4265" s="24" t="n"/>
      <c r="G4265" s="24" t="n"/>
      <c r="H4265" s="21">
        <f>IF(ISNUMBER($B4265),INT($B4265)-WEEKDAY($B4265,2)+1,"")</f>
        <v/>
      </c>
      <c r="I4265" s="24" t="n"/>
      <c r="J4265" s="22">
        <f t="array" ref="J4265">IF($D4265="","",IF($I4265="","(trống REF)",IFERROR(INDEX(MASTER_SOURCE!$B$2:$B$495,MATCH($I4265,MASTER_SOURCE!$A$2:$A$495,0)),"(REF không có trong MASTER_SOURCE)")))</f>
        <v/>
      </c>
      <c r="K4265" s="22">
        <f t="array" ref="K4265">IF($D4265="","",IFERROR(INDEX(MASTER_SOURCE!$C$2:$C$495,MATCH($I4265,MASTER_SOURCE!$A$2:$A$495,0)),""))</f>
        <v/>
      </c>
      <c r="L4265" s="22">
        <f t="array" ref="L4265">IF($D4265="","",IFERROR(INDEX(MASTER_SOURCE!$D$2:$D$495,MATCH($I4265,MASTER_SOURCE!$A$2:$A$495,0)),""))</f>
        <v/>
      </c>
      <c r="M4265" s="24" t="n"/>
      <c r="N4265" s="24" t="n"/>
      <c r="O4265" s="24" t="n"/>
      <c r="P4265" s="24" t="n"/>
      <c r="Q4265" s="22">
        <f>IF($D4265="","",IF(AND(OR(DANH_MUC!$L$5&lt;&gt;"Có",M4265="Có"),OR(DANH_MUC!$L$6&lt;&gt;"Có",N4265="Có"),OR(DANH_MUC!$L$7&lt;&gt;"Có",O4265="Có"),OR(DANH_MUC!$L$8&lt;&gt;"Có",P4265="Có")),"Có","Không"))</f>
        <v/>
      </c>
      <c r="R4265" s="22">
        <f>IF($D4265="","",IF(COUNTIF($D$2:$D4265,$D4265)&gt;1,"Trùng",""))</f>
        <v/>
      </c>
      <c r="S4265" s="22">
        <f>IF($D4265="","",IF(AND(LEN($D4265)=10,LEFT($D4265,1)="0",ISNUMBER(--$D4265)),"Có","Không"))</f>
        <v/>
      </c>
      <c r="T4265" s="22">
        <f>IF($D4265="","",IF(AND($C4265&lt;&gt;"",$Q4265="Có",$R4265="",$S4265="Có",AND($L4265&lt;&gt;"",OR($L4265&lt;&gt;"Chưa xác định",DANH_MUC!$L$9="Có"))),"Có","Không"))</f>
        <v/>
      </c>
      <c r="U4265" s="22">
        <f>IF(OR($D4265="",$T4265="Có"),"",IF($C4265="","Thiếu họ tên; ","")&amp;IF($S4265&lt;&gt;"Có","SĐT sai định dạng; ","")&amp;IF($R4265="Trùng","Trùng SĐT; ","")&amp;IF($Q4265&lt;&gt;"Có","Thiếu đồng ý bắt buộc; ","")&amp;IF($L4265="","Thiếu/sai Mã REF; ",IF(AND($L4265="Chưa xác định",DANH_MUC!$L$9&lt;&gt;"Có"),"Nguồn chưa xác định; ","")))</f>
        <v/>
      </c>
      <c r="V4265" s="22">
        <f>IF(OR($D4265="",$R4265="Trùng"),"",IF(COUNTIF(ORDERS!$C$2:$C$4995,$D4265)&gt;0,"Có","Không"))</f>
        <v/>
      </c>
      <c r="W4265" s="22">
        <f>IF(OR($D4265="",$R4265="Trùng"),"",COUNTIFS(ORDERS!$C$2:$C$4995,$D4265,ORDERS!$L$2:$L$4995,"Đã chuyển khoản"))</f>
        <v/>
      </c>
      <c r="X4265" s="23">
        <f>IF(OR($D4265="",$R4265="Trùng"),"",SUMIFS(ORDERS!$J$2:$J$4995,ORDERS!$C$2:$C$4995,$D4265,ORDERS!$L$2:$L$4995,"Đã chuyển khoản"))</f>
        <v/>
      </c>
      <c r="Y4265" s="24" t="n"/>
    </row>
    <row r="4266" ht="14.25" customHeight="1" s="40">
      <c r="A4266" s="24" t="n"/>
      <c r="B4266" s="27" t="n"/>
      <c r="C4266" s="24" t="n"/>
      <c r="D4266" s="28" t="n"/>
      <c r="E4266" s="29" t="n"/>
      <c r="F4266" s="24" t="n"/>
      <c r="G4266" s="24" t="n"/>
      <c r="H4266" s="21">
        <f>IF(ISNUMBER($B4266),INT($B4266)-WEEKDAY($B4266,2)+1,"")</f>
        <v/>
      </c>
      <c r="I4266" s="24" t="n"/>
      <c r="J4266" s="22">
        <f t="array" ref="J4266">IF($D4266="","",IF($I4266="","(trống REF)",IFERROR(INDEX(MASTER_SOURCE!$B$2:$B$495,MATCH($I4266,MASTER_SOURCE!$A$2:$A$495,0)),"(REF không có trong MASTER_SOURCE)")))</f>
        <v/>
      </c>
      <c r="K4266" s="22">
        <f t="array" ref="K4266">IF($D4266="","",IFERROR(INDEX(MASTER_SOURCE!$C$2:$C$495,MATCH($I4266,MASTER_SOURCE!$A$2:$A$495,0)),""))</f>
        <v/>
      </c>
      <c r="L4266" s="22">
        <f t="array" ref="L4266">IF($D4266="","",IFERROR(INDEX(MASTER_SOURCE!$D$2:$D$495,MATCH($I4266,MASTER_SOURCE!$A$2:$A$495,0)),""))</f>
        <v/>
      </c>
      <c r="M4266" s="24" t="n"/>
      <c r="N4266" s="24" t="n"/>
      <c r="O4266" s="24" t="n"/>
      <c r="P4266" s="24" t="n"/>
      <c r="Q4266" s="22">
        <f>IF($D4266="","",IF(AND(OR(DANH_MUC!$L$5&lt;&gt;"Có",M4266="Có"),OR(DANH_MUC!$L$6&lt;&gt;"Có",N4266="Có"),OR(DANH_MUC!$L$7&lt;&gt;"Có",O4266="Có"),OR(DANH_MUC!$L$8&lt;&gt;"Có",P4266="Có")),"Có","Không"))</f>
        <v/>
      </c>
      <c r="R4266" s="22">
        <f>IF($D4266="","",IF(COUNTIF($D$2:$D4266,$D4266)&gt;1,"Trùng",""))</f>
        <v/>
      </c>
      <c r="S4266" s="22">
        <f>IF($D4266="","",IF(AND(LEN($D4266)=10,LEFT($D4266,1)="0",ISNUMBER(--$D4266)),"Có","Không"))</f>
        <v/>
      </c>
      <c r="T4266" s="22">
        <f>IF($D4266="","",IF(AND($C4266&lt;&gt;"",$Q4266="Có",$R4266="",$S4266="Có",AND($L4266&lt;&gt;"",OR($L4266&lt;&gt;"Chưa xác định",DANH_MUC!$L$9="Có"))),"Có","Không"))</f>
        <v/>
      </c>
      <c r="U4266" s="22">
        <f>IF(OR($D4266="",$T4266="Có"),"",IF($C4266="","Thiếu họ tên; ","")&amp;IF($S4266&lt;&gt;"Có","SĐT sai định dạng; ","")&amp;IF($R4266="Trùng","Trùng SĐT; ","")&amp;IF($Q4266&lt;&gt;"Có","Thiếu đồng ý bắt buộc; ","")&amp;IF($L4266="","Thiếu/sai Mã REF; ",IF(AND($L4266="Chưa xác định",DANH_MUC!$L$9&lt;&gt;"Có"),"Nguồn chưa xác định; ","")))</f>
        <v/>
      </c>
      <c r="V4266" s="22">
        <f>IF(OR($D4266="",$R4266="Trùng"),"",IF(COUNTIF(ORDERS!$C$2:$C$4995,$D4266)&gt;0,"Có","Không"))</f>
        <v/>
      </c>
      <c r="W4266" s="22">
        <f>IF(OR($D4266="",$R4266="Trùng"),"",COUNTIFS(ORDERS!$C$2:$C$4995,$D4266,ORDERS!$L$2:$L$4995,"Đã chuyển khoản"))</f>
        <v/>
      </c>
      <c r="X4266" s="23">
        <f>IF(OR($D4266="",$R4266="Trùng"),"",SUMIFS(ORDERS!$J$2:$J$4995,ORDERS!$C$2:$C$4995,$D4266,ORDERS!$L$2:$L$4995,"Đã chuyển khoản"))</f>
        <v/>
      </c>
      <c r="Y4266" s="24" t="n"/>
    </row>
    <row r="4267" ht="14.25" customHeight="1" s="40">
      <c r="A4267" s="24" t="n"/>
      <c r="B4267" s="27" t="n"/>
      <c r="C4267" s="24" t="n"/>
      <c r="D4267" s="28" t="n"/>
      <c r="E4267" s="29" t="n"/>
      <c r="F4267" s="24" t="n"/>
      <c r="G4267" s="24" t="n"/>
      <c r="H4267" s="21">
        <f>IF(ISNUMBER($B4267),INT($B4267)-WEEKDAY($B4267,2)+1,"")</f>
        <v/>
      </c>
      <c r="I4267" s="24" t="n"/>
      <c r="J4267" s="22">
        <f t="array" ref="J4267">IF($D4267="","",IF($I4267="","(trống REF)",IFERROR(INDEX(MASTER_SOURCE!$B$2:$B$495,MATCH($I4267,MASTER_SOURCE!$A$2:$A$495,0)),"(REF không có trong MASTER_SOURCE)")))</f>
        <v/>
      </c>
      <c r="K4267" s="22">
        <f t="array" ref="K4267">IF($D4267="","",IFERROR(INDEX(MASTER_SOURCE!$C$2:$C$495,MATCH($I4267,MASTER_SOURCE!$A$2:$A$495,0)),""))</f>
        <v/>
      </c>
      <c r="L4267" s="22">
        <f t="array" ref="L4267">IF($D4267="","",IFERROR(INDEX(MASTER_SOURCE!$D$2:$D$495,MATCH($I4267,MASTER_SOURCE!$A$2:$A$495,0)),""))</f>
        <v/>
      </c>
      <c r="M4267" s="24" t="n"/>
      <c r="N4267" s="24" t="n"/>
      <c r="O4267" s="24" t="n"/>
      <c r="P4267" s="24" t="n"/>
      <c r="Q4267" s="22">
        <f>IF($D4267="","",IF(AND(OR(DANH_MUC!$L$5&lt;&gt;"Có",M4267="Có"),OR(DANH_MUC!$L$6&lt;&gt;"Có",N4267="Có"),OR(DANH_MUC!$L$7&lt;&gt;"Có",O4267="Có"),OR(DANH_MUC!$L$8&lt;&gt;"Có",P4267="Có")),"Có","Không"))</f>
        <v/>
      </c>
      <c r="R4267" s="22">
        <f>IF($D4267="","",IF(COUNTIF($D$2:$D4267,$D4267)&gt;1,"Trùng",""))</f>
        <v/>
      </c>
      <c r="S4267" s="22">
        <f>IF($D4267="","",IF(AND(LEN($D4267)=10,LEFT($D4267,1)="0",ISNUMBER(--$D4267)),"Có","Không"))</f>
        <v/>
      </c>
      <c r="T4267" s="22">
        <f>IF($D4267="","",IF(AND($C4267&lt;&gt;"",$Q4267="Có",$R4267="",$S4267="Có",AND($L4267&lt;&gt;"",OR($L4267&lt;&gt;"Chưa xác định",DANH_MUC!$L$9="Có"))),"Có","Không"))</f>
        <v/>
      </c>
      <c r="U4267" s="22">
        <f>IF(OR($D4267="",$T4267="Có"),"",IF($C4267="","Thiếu họ tên; ","")&amp;IF($S4267&lt;&gt;"Có","SĐT sai định dạng; ","")&amp;IF($R4267="Trùng","Trùng SĐT; ","")&amp;IF($Q4267&lt;&gt;"Có","Thiếu đồng ý bắt buộc; ","")&amp;IF($L4267="","Thiếu/sai Mã REF; ",IF(AND($L4267="Chưa xác định",DANH_MUC!$L$9&lt;&gt;"Có"),"Nguồn chưa xác định; ","")))</f>
        <v/>
      </c>
      <c r="V4267" s="22">
        <f>IF(OR($D4267="",$R4267="Trùng"),"",IF(COUNTIF(ORDERS!$C$2:$C$4995,$D4267)&gt;0,"Có","Không"))</f>
        <v/>
      </c>
      <c r="W4267" s="22">
        <f>IF(OR($D4267="",$R4267="Trùng"),"",COUNTIFS(ORDERS!$C$2:$C$4995,$D4267,ORDERS!$L$2:$L$4995,"Đã chuyển khoản"))</f>
        <v/>
      </c>
      <c r="X4267" s="23">
        <f>IF(OR($D4267="",$R4267="Trùng"),"",SUMIFS(ORDERS!$J$2:$J$4995,ORDERS!$C$2:$C$4995,$D4267,ORDERS!$L$2:$L$4995,"Đã chuyển khoản"))</f>
        <v/>
      </c>
      <c r="Y4267" s="24" t="n"/>
    </row>
    <row r="4268" ht="14.25" customHeight="1" s="40">
      <c r="A4268" s="24" t="n"/>
      <c r="B4268" s="27" t="n"/>
      <c r="C4268" s="24" t="n"/>
      <c r="D4268" s="28" t="n"/>
      <c r="E4268" s="29" t="n"/>
      <c r="F4268" s="24" t="n"/>
      <c r="G4268" s="24" t="n"/>
      <c r="H4268" s="21">
        <f>IF(ISNUMBER($B4268),INT($B4268)-WEEKDAY($B4268,2)+1,"")</f>
        <v/>
      </c>
      <c r="I4268" s="24" t="n"/>
      <c r="J4268" s="22">
        <f t="array" ref="J4268">IF($D4268="","",IF($I4268="","(trống REF)",IFERROR(INDEX(MASTER_SOURCE!$B$2:$B$495,MATCH($I4268,MASTER_SOURCE!$A$2:$A$495,0)),"(REF không có trong MASTER_SOURCE)")))</f>
        <v/>
      </c>
      <c r="K4268" s="22">
        <f t="array" ref="K4268">IF($D4268="","",IFERROR(INDEX(MASTER_SOURCE!$C$2:$C$495,MATCH($I4268,MASTER_SOURCE!$A$2:$A$495,0)),""))</f>
        <v/>
      </c>
      <c r="L4268" s="22">
        <f t="array" ref="L4268">IF($D4268="","",IFERROR(INDEX(MASTER_SOURCE!$D$2:$D$495,MATCH($I4268,MASTER_SOURCE!$A$2:$A$495,0)),""))</f>
        <v/>
      </c>
      <c r="M4268" s="24" t="n"/>
      <c r="N4268" s="24" t="n"/>
      <c r="O4268" s="24" t="n"/>
      <c r="P4268" s="24" t="n"/>
      <c r="Q4268" s="22">
        <f>IF($D4268="","",IF(AND(OR(DANH_MUC!$L$5&lt;&gt;"Có",M4268="Có"),OR(DANH_MUC!$L$6&lt;&gt;"Có",N4268="Có"),OR(DANH_MUC!$L$7&lt;&gt;"Có",O4268="Có"),OR(DANH_MUC!$L$8&lt;&gt;"Có",P4268="Có")),"Có","Không"))</f>
        <v/>
      </c>
      <c r="R4268" s="22">
        <f>IF($D4268="","",IF(COUNTIF($D$2:$D4268,$D4268)&gt;1,"Trùng",""))</f>
        <v/>
      </c>
      <c r="S4268" s="22">
        <f>IF($D4268="","",IF(AND(LEN($D4268)=10,LEFT($D4268,1)="0",ISNUMBER(--$D4268)),"Có","Không"))</f>
        <v/>
      </c>
      <c r="T4268" s="22">
        <f>IF($D4268="","",IF(AND($C4268&lt;&gt;"",$Q4268="Có",$R4268="",$S4268="Có",AND($L4268&lt;&gt;"",OR($L4268&lt;&gt;"Chưa xác định",DANH_MUC!$L$9="Có"))),"Có","Không"))</f>
        <v/>
      </c>
      <c r="U4268" s="22">
        <f>IF(OR($D4268="",$T4268="Có"),"",IF($C4268="","Thiếu họ tên; ","")&amp;IF($S4268&lt;&gt;"Có","SĐT sai định dạng; ","")&amp;IF($R4268="Trùng","Trùng SĐT; ","")&amp;IF($Q4268&lt;&gt;"Có","Thiếu đồng ý bắt buộc; ","")&amp;IF($L4268="","Thiếu/sai Mã REF; ",IF(AND($L4268="Chưa xác định",DANH_MUC!$L$9&lt;&gt;"Có"),"Nguồn chưa xác định; ","")))</f>
        <v/>
      </c>
      <c r="V4268" s="22">
        <f>IF(OR($D4268="",$R4268="Trùng"),"",IF(COUNTIF(ORDERS!$C$2:$C$4995,$D4268)&gt;0,"Có","Không"))</f>
        <v/>
      </c>
      <c r="W4268" s="22">
        <f>IF(OR($D4268="",$R4268="Trùng"),"",COUNTIFS(ORDERS!$C$2:$C$4995,$D4268,ORDERS!$L$2:$L$4995,"Đã chuyển khoản"))</f>
        <v/>
      </c>
      <c r="X4268" s="23">
        <f>IF(OR($D4268="",$R4268="Trùng"),"",SUMIFS(ORDERS!$J$2:$J$4995,ORDERS!$C$2:$C$4995,$D4268,ORDERS!$L$2:$L$4995,"Đã chuyển khoản"))</f>
        <v/>
      </c>
      <c r="Y4268" s="24" t="n"/>
    </row>
    <row r="4269" ht="14.25" customHeight="1" s="40">
      <c r="A4269" s="24" t="n"/>
      <c r="B4269" s="27" t="n"/>
      <c r="C4269" s="24" t="n"/>
      <c r="D4269" s="28" t="n"/>
      <c r="E4269" s="29" t="n"/>
      <c r="F4269" s="24" t="n"/>
      <c r="G4269" s="24" t="n"/>
      <c r="H4269" s="21">
        <f>IF(ISNUMBER($B4269),INT($B4269)-WEEKDAY($B4269,2)+1,"")</f>
        <v/>
      </c>
      <c r="I4269" s="24" t="n"/>
      <c r="J4269" s="22">
        <f t="array" ref="J4269">IF($D4269="","",IF($I4269="","(trống REF)",IFERROR(INDEX(MASTER_SOURCE!$B$2:$B$495,MATCH($I4269,MASTER_SOURCE!$A$2:$A$495,0)),"(REF không có trong MASTER_SOURCE)")))</f>
        <v/>
      </c>
      <c r="K4269" s="22">
        <f t="array" ref="K4269">IF($D4269="","",IFERROR(INDEX(MASTER_SOURCE!$C$2:$C$495,MATCH($I4269,MASTER_SOURCE!$A$2:$A$495,0)),""))</f>
        <v/>
      </c>
      <c r="L4269" s="22">
        <f t="array" ref="L4269">IF($D4269="","",IFERROR(INDEX(MASTER_SOURCE!$D$2:$D$495,MATCH($I4269,MASTER_SOURCE!$A$2:$A$495,0)),""))</f>
        <v/>
      </c>
      <c r="M4269" s="24" t="n"/>
      <c r="N4269" s="24" t="n"/>
      <c r="O4269" s="24" t="n"/>
      <c r="P4269" s="24" t="n"/>
      <c r="Q4269" s="22">
        <f>IF($D4269="","",IF(AND(OR(DANH_MUC!$L$5&lt;&gt;"Có",M4269="Có"),OR(DANH_MUC!$L$6&lt;&gt;"Có",N4269="Có"),OR(DANH_MUC!$L$7&lt;&gt;"Có",O4269="Có"),OR(DANH_MUC!$L$8&lt;&gt;"Có",P4269="Có")),"Có","Không"))</f>
        <v/>
      </c>
      <c r="R4269" s="22">
        <f>IF($D4269="","",IF(COUNTIF($D$2:$D4269,$D4269)&gt;1,"Trùng",""))</f>
        <v/>
      </c>
      <c r="S4269" s="22">
        <f>IF($D4269="","",IF(AND(LEN($D4269)=10,LEFT($D4269,1)="0",ISNUMBER(--$D4269)),"Có","Không"))</f>
        <v/>
      </c>
      <c r="T4269" s="22">
        <f>IF($D4269="","",IF(AND($C4269&lt;&gt;"",$Q4269="Có",$R4269="",$S4269="Có",AND($L4269&lt;&gt;"",OR($L4269&lt;&gt;"Chưa xác định",DANH_MUC!$L$9="Có"))),"Có","Không"))</f>
        <v/>
      </c>
      <c r="U4269" s="22">
        <f>IF(OR($D4269="",$T4269="Có"),"",IF($C4269="","Thiếu họ tên; ","")&amp;IF($S4269&lt;&gt;"Có","SĐT sai định dạng; ","")&amp;IF($R4269="Trùng","Trùng SĐT; ","")&amp;IF($Q4269&lt;&gt;"Có","Thiếu đồng ý bắt buộc; ","")&amp;IF($L4269="","Thiếu/sai Mã REF; ",IF(AND($L4269="Chưa xác định",DANH_MUC!$L$9&lt;&gt;"Có"),"Nguồn chưa xác định; ","")))</f>
        <v/>
      </c>
      <c r="V4269" s="22">
        <f>IF(OR($D4269="",$R4269="Trùng"),"",IF(COUNTIF(ORDERS!$C$2:$C$4995,$D4269)&gt;0,"Có","Không"))</f>
        <v/>
      </c>
      <c r="W4269" s="22">
        <f>IF(OR($D4269="",$R4269="Trùng"),"",COUNTIFS(ORDERS!$C$2:$C$4995,$D4269,ORDERS!$L$2:$L$4995,"Đã chuyển khoản"))</f>
        <v/>
      </c>
      <c r="X4269" s="23">
        <f>IF(OR($D4269="",$R4269="Trùng"),"",SUMIFS(ORDERS!$J$2:$J$4995,ORDERS!$C$2:$C$4995,$D4269,ORDERS!$L$2:$L$4995,"Đã chuyển khoản"))</f>
        <v/>
      </c>
      <c r="Y4269" s="24" t="n"/>
    </row>
    <row r="4270" ht="14.25" customHeight="1" s="40">
      <c r="A4270" s="24" t="n"/>
      <c r="B4270" s="27" t="n"/>
      <c r="C4270" s="24" t="n"/>
      <c r="D4270" s="28" t="n"/>
      <c r="E4270" s="29" t="n"/>
      <c r="F4270" s="24" t="n"/>
      <c r="G4270" s="24" t="n"/>
      <c r="H4270" s="21">
        <f>IF(ISNUMBER($B4270),INT($B4270)-WEEKDAY($B4270,2)+1,"")</f>
        <v/>
      </c>
      <c r="I4270" s="24" t="n"/>
      <c r="J4270" s="22">
        <f t="array" ref="J4270">IF($D4270="","",IF($I4270="","(trống REF)",IFERROR(INDEX(MASTER_SOURCE!$B$2:$B$495,MATCH($I4270,MASTER_SOURCE!$A$2:$A$495,0)),"(REF không có trong MASTER_SOURCE)")))</f>
        <v/>
      </c>
      <c r="K4270" s="22">
        <f t="array" ref="K4270">IF($D4270="","",IFERROR(INDEX(MASTER_SOURCE!$C$2:$C$495,MATCH($I4270,MASTER_SOURCE!$A$2:$A$495,0)),""))</f>
        <v/>
      </c>
      <c r="L4270" s="22">
        <f t="array" ref="L4270">IF($D4270="","",IFERROR(INDEX(MASTER_SOURCE!$D$2:$D$495,MATCH($I4270,MASTER_SOURCE!$A$2:$A$495,0)),""))</f>
        <v/>
      </c>
      <c r="M4270" s="24" t="n"/>
      <c r="N4270" s="24" t="n"/>
      <c r="O4270" s="24" t="n"/>
      <c r="P4270" s="24" t="n"/>
      <c r="Q4270" s="22">
        <f>IF($D4270="","",IF(AND(OR(DANH_MUC!$L$5&lt;&gt;"Có",M4270="Có"),OR(DANH_MUC!$L$6&lt;&gt;"Có",N4270="Có"),OR(DANH_MUC!$L$7&lt;&gt;"Có",O4270="Có"),OR(DANH_MUC!$L$8&lt;&gt;"Có",P4270="Có")),"Có","Không"))</f>
        <v/>
      </c>
      <c r="R4270" s="22">
        <f>IF($D4270="","",IF(COUNTIF($D$2:$D4270,$D4270)&gt;1,"Trùng",""))</f>
        <v/>
      </c>
      <c r="S4270" s="22">
        <f>IF($D4270="","",IF(AND(LEN($D4270)=10,LEFT($D4270,1)="0",ISNUMBER(--$D4270)),"Có","Không"))</f>
        <v/>
      </c>
      <c r="T4270" s="22">
        <f>IF($D4270="","",IF(AND($C4270&lt;&gt;"",$Q4270="Có",$R4270="",$S4270="Có",AND($L4270&lt;&gt;"",OR($L4270&lt;&gt;"Chưa xác định",DANH_MUC!$L$9="Có"))),"Có","Không"))</f>
        <v/>
      </c>
      <c r="U4270" s="22">
        <f>IF(OR($D4270="",$T4270="Có"),"",IF($C4270="","Thiếu họ tên; ","")&amp;IF($S4270&lt;&gt;"Có","SĐT sai định dạng; ","")&amp;IF($R4270="Trùng","Trùng SĐT; ","")&amp;IF($Q4270&lt;&gt;"Có","Thiếu đồng ý bắt buộc; ","")&amp;IF($L4270="","Thiếu/sai Mã REF; ",IF(AND($L4270="Chưa xác định",DANH_MUC!$L$9&lt;&gt;"Có"),"Nguồn chưa xác định; ","")))</f>
        <v/>
      </c>
      <c r="V4270" s="22">
        <f>IF(OR($D4270="",$R4270="Trùng"),"",IF(COUNTIF(ORDERS!$C$2:$C$4995,$D4270)&gt;0,"Có","Không"))</f>
        <v/>
      </c>
      <c r="W4270" s="22">
        <f>IF(OR($D4270="",$R4270="Trùng"),"",COUNTIFS(ORDERS!$C$2:$C$4995,$D4270,ORDERS!$L$2:$L$4995,"Đã chuyển khoản"))</f>
        <v/>
      </c>
      <c r="X4270" s="23">
        <f>IF(OR($D4270="",$R4270="Trùng"),"",SUMIFS(ORDERS!$J$2:$J$4995,ORDERS!$C$2:$C$4995,$D4270,ORDERS!$L$2:$L$4995,"Đã chuyển khoản"))</f>
        <v/>
      </c>
      <c r="Y4270" s="24" t="n"/>
    </row>
    <row r="4271" ht="14.25" customHeight="1" s="40">
      <c r="A4271" s="24" t="n"/>
      <c r="B4271" s="27" t="n"/>
      <c r="C4271" s="24" t="n"/>
      <c r="D4271" s="28" t="n"/>
      <c r="E4271" s="29" t="n"/>
      <c r="F4271" s="24" t="n"/>
      <c r="G4271" s="24" t="n"/>
      <c r="H4271" s="21">
        <f>IF(ISNUMBER($B4271),INT($B4271)-WEEKDAY($B4271,2)+1,"")</f>
        <v/>
      </c>
      <c r="I4271" s="24" t="n"/>
      <c r="J4271" s="22">
        <f t="array" ref="J4271">IF($D4271="","",IF($I4271="","(trống REF)",IFERROR(INDEX(MASTER_SOURCE!$B$2:$B$495,MATCH($I4271,MASTER_SOURCE!$A$2:$A$495,0)),"(REF không có trong MASTER_SOURCE)")))</f>
        <v/>
      </c>
      <c r="K4271" s="22">
        <f t="array" ref="K4271">IF($D4271="","",IFERROR(INDEX(MASTER_SOURCE!$C$2:$C$495,MATCH($I4271,MASTER_SOURCE!$A$2:$A$495,0)),""))</f>
        <v/>
      </c>
      <c r="L4271" s="22">
        <f t="array" ref="L4271">IF($D4271="","",IFERROR(INDEX(MASTER_SOURCE!$D$2:$D$495,MATCH($I4271,MASTER_SOURCE!$A$2:$A$495,0)),""))</f>
        <v/>
      </c>
      <c r="M4271" s="24" t="n"/>
      <c r="N4271" s="24" t="n"/>
      <c r="O4271" s="24" t="n"/>
      <c r="P4271" s="24" t="n"/>
      <c r="Q4271" s="22">
        <f>IF($D4271="","",IF(AND(OR(DANH_MUC!$L$5&lt;&gt;"Có",M4271="Có"),OR(DANH_MUC!$L$6&lt;&gt;"Có",N4271="Có"),OR(DANH_MUC!$L$7&lt;&gt;"Có",O4271="Có"),OR(DANH_MUC!$L$8&lt;&gt;"Có",P4271="Có")),"Có","Không"))</f>
        <v/>
      </c>
      <c r="R4271" s="22">
        <f>IF($D4271="","",IF(COUNTIF($D$2:$D4271,$D4271)&gt;1,"Trùng",""))</f>
        <v/>
      </c>
      <c r="S4271" s="22">
        <f>IF($D4271="","",IF(AND(LEN($D4271)=10,LEFT($D4271,1)="0",ISNUMBER(--$D4271)),"Có","Không"))</f>
        <v/>
      </c>
      <c r="T4271" s="22">
        <f>IF($D4271="","",IF(AND($C4271&lt;&gt;"",$Q4271="Có",$R4271="",$S4271="Có",AND($L4271&lt;&gt;"",OR($L4271&lt;&gt;"Chưa xác định",DANH_MUC!$L$9="Có"))),"Có","Không"))</f>
        <v/>
      </c>
      <c r="U4271" s="22">
        <f>IF(OR($D4271="",$T4271="Có"),"",IF($C4271="","Thiếu họ tên; ","")&amp;IF($S4271&lt;&gt;"Có","SĐT sai định dạng; ","")&amp;IF($R4271="Trùng","Trùng SĐT; ","")&amp;IF($Q4271&lt;&gt;"Có","Thiếu đồng ý bắt buộc; ","")&amp;IF($L4271="","Thiếu/sai Mã REF; ",IF(AND($L4271="Chưa xác định",DANH_MUC!$L$9&lt;&gt;"Có"),"Nguồn chưa xác định; ","")))</f>
        <v/>
      </c>
      <c r="V4271" s="22">
        <f>IF(OR($D4271="",$R4271="Trùng"),"",IF(COUNTIF(ORDERS!$C$2:$C$4995,$D4271)&gt;0,"Có","Không"))</f>
        <v/>
      </c>
      <c r="W4271" s="22">
        <f>IF(OR($D4271="",$R4271="Trùng"),"",COUNTIFS(ORDERS!$C$2:$C$4995,$D4271,ORDERS!$L$2:$L$4995,"Đã chuyển khoản"))</f>
        <v/>
      </c>
      <c r="X4271" s="23">
        <f>IF(OR($D4271="",$R4271="Trùng"),"",SUMIFS(ORDERS!$J$2:$J$4995,ORDERS!$C$2:$C$4995,$D4271,ORDERS!$L$2:$L$4995,"Đã chuyển khoản"))</f>
        <v/>
      </c>
      <c r="Y4271" s="24" t="n"/>
    </row>
    <row r="4272" ht="14.25" customHeight="1" s="40">
      <c r="A4272" s="24" t="n"/>
      <c r="B4272" s="27" t="n"/>
      <c r="C4272" s="24" t="n"/>
      <c r="D4272" s="28" t="n"/>
      <c r="E4272" s="29" t="n"/>
      <c r="F4272" s="24" t="n"/>
      <c r="G4272" s="24" t="n"/>
      <c r="H4272" s="21">
        <f>IF(ISNUMBER($B4272),INT($B4272)-WEEKDAY($B4272,2)+1,"")</f>
        <v/>
      </c>
      <c r="I4272" s="24" t="n"/>
      <c r="J4272" s="22">
        <f t="array" ref="J4272">IF($D4272="","",IF($I4272="","(trống REF)",IFERROR(INDEX(MASTER_SOURCE!$B$2:$B$495,MATCH($I4272,MASTER_SOURCE!$A$2:$A$495,0)),"(REF không có trong MASTER_SOURCE)")))</f>
        <v/>
      </c>
      <c r="K4272" s="22">
        <f t="array" ref="K4272">IF($D4272="","",IFERROR(INDEX(MASTER_SOURCE!$C$2:$C$495,MATCH($I4272,MASTER_SOURCE!$A$2:$A$495,0)),""))</f>
        <v/>
      </c>
      <c r="L4272" s="22">
        <f t="array" ref="L4272">IF($D4272="","",IFERROR(INDEX(MASTER_SOURCE!$D$2:$D$495,MATCH($I4272,MASTER_SOURCE!$A$2:$A$495,0)),""))</f>
        <v/>
      </c>
      <c r="M4272" s="24" t="n"/>
      <c r="N4272" s="24" t="n"/>
      <c r="O4272" s="24" t="n"/>
      <c r="P4272" s="24" t="n"/>
      <c r="Q4272" s="22">
        <f>IF($D4272="","",IF(AND(OR(DANH_MUC!$L$5&lt;&gt;"Có",M4272="Có"),OR(DANH_MUC!$L$6&lt;&gt;"Có",N4272="Có"),OR(DANH_MUC!$L$7&lt;&gt;"Có",O4272="Có"),OR(DANH_MUC!$L$8&lt;&gt;"Có",P4272="Có")),"Có","Không"))</f>
        <v/>
      </c>
      <c r="R4272" s="22">
        <f>IF($D4272="","",IF(COUNTIF($D$2:$D4272,$D4272)&gt;1,"Trùng",""))</f>
        <v/>
      </c>
      <c r="S4272" s="22">
        <f>IF($D4272="","",IF(AND(LEN($D4272)=10,LEFT($D4272,1)="0",ISNUMBER(--$D4272)),"Có","Không"))</f>
        <v/>
      </c>
      <c r="T4272" s="22">
        <f>IF($D4272="","",IF(AND($C4272&lt;&gt;"",$Q4272="Có",$R4272="",$S4272="Có",AND($L4272&lt;&gt;"",OR($L4272&lt;&gt;"Chưa xác định",DANH_MUC!$L$9="Có"))),"Có","Không"))</f>
        <v/>
      </c>
      <c r="U4272" s="22">
        <f>IF(OR($D4272="",$T4272="Có"),"",IF($C4272="","Thiếu họ tên; ","")&amp;IF($S4272&lt;&gt;"Có","SĐT sai định dạng; ","")&amp;IF($R4272="Trùng","Trùng SĐT; ","")&amp;IF($Q4272&lt;&gt;"Có","Thiếu đồng ý bắt buộc; ","")&amp;IF($L4272="","Thiếu/sai Mã REF; ",IF(AND($L4272="Chưa xác định",DANH_MUC!$L$9&lt;&gt;"Có"),"Nguồn chưa xác định; ","")))</f>
        <v/>
      </c>
      <c r="V4272" s="22">
        <f>IF(OR($D4272="",$R4272="Trùng"),"",IF(COUNTIF(ORDERS!$C$2:$C$4995,$D4272)&gt;0,"Có","Không"))</f>
        <v/>
      </c>
      <c r="W4272" s="22">
        <f>IF(OR($D4272="",$R4272="Trùng"),"",COUNTIFS(ORDERS!$C$2:$C$4995,$D4272,ORDERS!$L$2:$L$4995,"Đã chuyển khoản"))</f>
        <v/>
      </c>
      <c r="X4272" s="23">
        <f>IF(OR($D4272="",$R4272="Trùng"),"",SUMIFS(ORDERS!$J$2:$J$4995,ORDERS!$C$2:$C$4995,$D4272,ORDERS!$L$2:$L$4995,"Đã chuyển khoản"))</f>
        <v/>
      </c>
      <c r="Y4272" s="24" t="n"/>
    </row>
    <row r="4273" ht="14.25" customHeight="1" s="40">
      <c r="A4273" s="24" t="n"/>
      <c r="B4273" s="27" t="n"/>
      <c r="C4273" s="24" t="n"/>
      <c r="D4273" s="28" t="n"/>
      <c r="E4273" s="29" t="n"/>
      <c r="F4273" s="24" t="n"/>
      <c r="G4273" s="24" t="n"/>
      <c r="H4273" s="21">
        <f>IF(ISNUMBER($B4273),INT($B4273)-WEEKDAY($B4273,2)+1,"")</f>
        <v/>
      </c>
      <c r="I4273" s="24" t="n"/>
      <c r="J4273" s="22">
        <f t="array" ref="J4273">IF($D4273="","",IF($I4273="","(trống REF)",IFERROR(INDEX(MASTER_SOURCE!$B$2:$B$495,MATCH($I4273,MASTER_SOURCE!$A$2:$A$495,0)),"(REF không có trong MASTER_SOURCE)")))</f>
        <v/>
      </c>
      <c r="K4273" s="22">
        <f t="array" ref="K4273">IF($D4273="","",IFERROR(INDEX(MASTER_SOURCE!$C$2:$C$495,MATCH($I4273,MASTER_SOURCE!$A$2:$A$495,0)),""))</f>
        <v/>
      </c>
      <c r="L4273" s="22">
        <f t="array" ref="L4273">IF($D4273="","",IFERROR(INDEX(MASTER_SOURCE!$D$2:$D$495,MATCH($I4273,MASTER_SOURCE!$A$2:$A$495,0)),""))</f>
        <v/>
      </c>
      <c r="M4273" s="24" t="n"/>
      <c r="N4273" s="24" t="n"/>
      <c r="O4273" s="24" t="n"/>
      <c r="P4273" s="24" t="n"/>
      <c r="Q4273" s="22">
        <f>IF($D4273="","",IF(AND(OR(DANH_MUC!$L$5&lt;&gt;"Có",M4273="Có"),OR(DANH_MUC!$L$6&lt;&gt;"Có",N4273="Có"),OR(DANH_MUC!$L$7&lt;&gt;"Có",O4273="Có"),OR(DANH_MUC!$L$8&lt;&gt;"Có",P4273="Có")),"Có","Không"))</f>
        <v/>
      </c>
      <c r="R4273" s="22">
        <f>IF($D4273="","",IF(COUNTIF($D$2:$D4273,$D4273)&gt;1,"Trùng",""))</f>
        <v/>
      </c>
      <c r="S4273" s="22">
        <f>IF($D4273="","",IF(AND(LEN($D4273)=10,LEFT($D4273,1)="0",ISNUMBER(--$D4273)),"Có","Không"))</f>
        <v/>
      </c>
      <c r="T4273" s="22">
        <f>IF($D4273="","",IF(AND($C4273&lt;&gt;"",$Q4273="Có",$R4273="",$S4273="Có",AND($L4273&lt;&gt;"",OR($L4273&lt;&gt;"Chưa xác định",DANH_MUC!$L$9="Có"))),"Có","Không"))</f>
        <v/>
      </c>
      <c r="U4273" s="22">
        <f>IF(OR($D4273="",$T4273="Có"),"",IF($C4273="","Thiếu họ tên; ","")&amp;IF($S4273&lt;&gt;"Có","SĐT sai định dạng; ","")&amp;IF($R4273="Trùng","Trùng SĐT; ","")&amp;IF($Q4273&lt;&gt;"Có","Thiếu đồng ý bắt buộc; ","")&amp;IF($L4273="","Thiếu/sai Mã REF; ",IF(AND($L4273="Chưa xác định",DANH_MUC!$L$9&lt;&gt;"Có"),"Nguồn chưa xác định; ","")))</f>
        <v/>
      </c>
      <c r="V4273" s="22">
        <f>IF(OR($D4273="",$R4273="Trùng"),"",IF(COUNTIF(ORDERS!$C$2:$C$4995,$D4273)&gt;0,"Có","Không"))</f>
        <v/>
      </c>
      <c r="W4273" s="22">
        <f>IF(OR($D4273="",$R4273="Trùng"),"",COUNTIFS(ORDERS!$C$2:$C$4995,$D4273,ORDERS!$L$2:$L$4995,"Đã chuyển khoản"))</f>
        <v/>
      </c>
      <c r="X4273" s="23">
        <f>IF(OR($D4273="",$R4273="Trùng"),"",SUMIFS(ORDERS!$J$2:$J$4995,ORDERS!$C$2:$C$4995,$D4273,ORDERS!$L$2:$L$4995,"Đã chuyển khoản"))</f>
        <v/>
      </c>
      <c r="Y4273" s="24" t="n"/>
    </row>
    <row r="4274" ht="14.25" customHeight="1" s="40">
      <c r="A4274" s="24" t="n"/>
      <c r="B4274" s="27" t="n"/>
      <c r="C4274" s="24" t="n"/>
      <c r="D4274" s="28" t="n"/>
      <c r="E4274" s="29" t="n"/>
      <c r="F4274" s="24" t="n"/>
      <c r="G4274" s="24" t="n"/>
      <c r="H4274" s="21">
        <f>IF(ISNUMBER($B4274),INT($B4274)-WEEKDAY($B4274,2)+1,"")</f>
        <v/>
      </c>
      <c r="I4274" s="24" t="n"/>
      <c r="J4274" s="22">
        <f t="array" ref="J4274">IF($D4274="","",IF($I4274="","(trống REF)",IFERROR(INDEX(MASTER_SOURCE!$B$2:$B$495,MATCH($I4274,MASTER_SOURCE!$A$2:$A$495,0)),"(REF không có trong MASTER_SOURCE)")))</f>
        <v/>
      </c>
      <c r="K4274" s="22">
        <f t="array" ref="K4274">IF($D4274="","",IFERROR(INDEX(MASTER_SOURCE!$C$2:$C$495,MATCH($I4274,MASTER_SOURCE!$A$2:$A$495,0)),""))</f>
        <v/>
      </c>
      <c r="L4274" s="22">
        <f t="array" ref="L4274">IF($D4274="","",IFERROR(INDEX(MASTER_SOURCE!$D$2:$D$495,MATCH($I4274,MASTER_SOURCE!$A$2:$A$495,0)),""))</f>
        <v/>
      </c>
      <c r="M4274" s="24" t="n"/>
      <c r="N4274" s="24" t="n"/>
      <c r="O4274" s="24" t="n"/>
      <c r="P4274" s="24" t="n"/>
      <c r="Q4274" s="22">
        <f>IF($D4274="","",IF(AND(OR(DANH_MUC!$L$5&lt;&gt;"Có",M4274="Có"),OR(DANH_MUC!$L$6&lt;&gt;"Có",N4274="Có"),OR(DANH_MUC!$L$7&lt;&gt;"Có",O4274="Có"),OR(DANH_MUC!$L$8&lt;&gt;"Có",P4274="Có")),"Có","Không"))</f>
        <v/>
      </c>
      <c r="R4274" s="22">
        <f>IF($D4274="","",IF(COUNTIF($D$2:$D4274,$D4274)&gt;1,"Trùng",""))</f>
        <v/>
      </c>
      <c r="S4274" s="22">
        <f>IF($D4274="","",IF(AND(LEN($D4274)=10,LEFT($D4274,1)="0",ISNUMBER(--$D4274)),"Có","Không"))</f>
        <v/>
      </c>
      <c r="T4274" s="22">
        <f>IF($D4274="","",IF(AND($C4274&lt;&gt;"",$Q4274="Có",$R4274="",$S4274="Có",AND($L4274&lt;&gt;"",OR($L4274&lt;&gt;"Chưa xác định",DANH_MUC!$L$9="Có"))),"Có","Không"))</f>
        <v/>
      </c>
      <c r="U4274" s="22">
        <f>IF(OR($D4274="",$T4274="Có"),"",IF($C4274="","Thiếu họ tên; ","")&amp;IF($S4274&lt;&gt;"Có","SĐT sai định dạng; ","")&amp;IF($R4274="Trùng","Trùng SĐT; ","")&amp;IF($Q4274&lt;&gt;"Có","Thiếu đồng ý bắt buộc; ","")&amp;IF($L4274="","Thiếu/sai Mã REF; ",IF(AND($L4274="Chưa xác định",DANH_MUC!$L$9&lt;&gt;"Có"),"Nguồn chưa xác định; ","")))</f>
        <v/>
      </c>
      <c r="V4274" s="22">
        <f>IF(OR($D4274="",$R4274="Trùng"),"",IF(COUNTIF(ORDERS!$C$2:$C$4995,$D4274)&gt;0,"Có","Không"))</f>
        <v/>
      </c>
      <c r="W4274" s="22">
        <f>IF(OR($D4274="",$R4274="Trùng"),"",COUNTIFS(ORDERS!$C$2:$C$4995,$D4274,ORDERS!$L$2:$L$4995,"Đã chuyển khoản"))</f>
        <v/>
      </c>
      <c r="X4274" s="23">
        <f>IF(OR($D4274="",$R4274="Trùng"),"",SUMIFS(ORDERS!$J$2:$J$4995,ORDERS!$C$2:$C$4995,$D4274,ORDERS!$L$2:$L$4995,"Đã chuyển khoản"))</f>
        <v/>
      </c>
      <c r="Y4274" s="24" t="n"/>
    </row>
    <row r="4275" ht="14.25" customHeight="1" s="40">
      <c r="A4275" s="24" t="n"/>
      <c r="B4275" s="27" t="n"/>
      <c r="C4275" s="24" t="n"/>
      <c r="D4275" s="28" t="n"/>
      <c r="E4275" s="29" t="n"/>
      <c r="F4275" s="24" t="n"/>
      <c r="G4275" s="24" t="n"/>
      <c r="H4275" s="21">
        <f>IF(ISNUMBER($B4275),INT($B4275)-WEEKDAY($B4275,2)+1,"")</f>
        <v/>
      </c>
      <c r="I4275" s="24" t="n"/>
      <c r="J4275" s="22">
        <f t="array" ref="J4275">IF($D4275="","",IF($I4275="","(trống REF)",IFERROR(INDEX(MASTER_SOURCE!$B$2:$B$495,MATCH($I4275,MASTER_SOURCE!$A$2:$A$495,0)),"(REF không có trong MASTER_SOURCE)")))</f>
        <v/>
      </c>
      <c r="K4275" s="22">
        <f t="array" ref="K4275">IF($D4275="","",IFERROR(INDEX(MASTER_SOURCE!$C$2:$C$495,MATCH($I4275,MASTER_SOURCE!$A$2:$A$495,0)),""))</f>
        <v/>
      </c>
      <c r="L4275" s="22">
        <f t="array" ref="L4275">IF($D4275="","",IFERROR(INDEX(MASTER_SOURCE!$D$2:$D$495,MATCH($I4275,MASTER_SOURCE!$A$2:$A$495,0)),""))</f>
        <v/>
      </c>
      <c r="M4275" s="24" t="n"/>
      <c r="N4275" s="24" t="n"/>
      <c r="O4275" s="24" t="n"/>
      <c r="P4275" s="24" t="n"/>
      <c r="Q4275" s="22">
        <f>IF($D4275="","",IF(AND(OR(DANH_MUC!$L$5&lt;&gt;"Có",M4275="Có"),OR(DANH_MUC!$L$6&lt;&gt;"Có",N4275="Có"),OR(DANH_MUC!$L$7&lt;&gt;"Có",O4275="Có"),OR(DANH_MUC!$L$8&lt;&gt;"Có",P4275="Có")),"Có","Không"))</f>
        <v/>
      </c>
      <c r="R4275" s="22">
        <f>IF($D4275="","",IF(COUNTIF($D$2:$D4275,$D4275)&gt;1,"Trùng",""))</f>
        <v/>
      </c>
      <c r="S4275" s="22">
        <f>IF($D4275="","",IF(AND(LEN($D4275)=10,LEFT($D4275,1)="0",ISNUMBER(--$D4275)),"Có","Không"))</f>
        <v/>
      </c>
      <c r="T4275" s="22">
        <f>IF($D4275="","",IF(AND($C4275&lt;&gt;"",$Q4275="Có",$R4275="",$S4275="Có",AND($L4275&lt;&gt;"",OR($L4275&lt;&gt;"Chưa xác định",DANH_MUC!$L$9="Có"))),"Có","Không"))</f>
        <v/>
      </c>
      <c r="U4275" s="22">
        <f>IF(OR($D4275="",$T4275="Có"),"",IF($C4275="","Thiếu họ tên; ","")&amp;IF($S4275&lt;&gt;"Có","SĐT sai định dạng; ","")&amp;IF($R4275="Trùng","Trùng SĐT; ","")&amp;IF($Q4275&lt;&gt;"Có","Thiếu đồng ý bắt buộc; ","")&amp;IF($L4275="","Thiếu/sai Mã REF; ",IF(AND($L4275="Chưa xác định",DANH_MUC!$L$9&lt;&gt;"Có"),"Nguồn chưa xác định; ","")))</f>
        <v/>
      </c>
      <c r="V4275" s="22">
        <f>IF(OR($D4275="",$R4275="Trùng"),"",IF(COUNTIF(ORDERS!$C$2:$C$4995,$D4275)&gt;0,"Có","Không"))</f>
        <v/>
      </c>
      <c r="W4275" s="22">
        <f>IF(OR($D4275="",$R4275="Trùng"),"",COUNTIFS(ORDERS!$C$2:$C$4995,$D4275,ORDERS!$L$2:$L$4995,"Đã chuyển khoản"))</f>
        <v/>
      </c>
      <c r="X4275" s="23">
        <f>IF(OR($D4275="",$R4275="Trùng"),"",SUMIFS(ORDERS!$J$2:$J$4995,ORDERS!$C$2:$C$4995,$D4275,ORDERS!$L$2:$L$4995,"Đã chuyển khoản"))</f>
        <v/>
      </c>
      <c r="Y4275" s="24" t="n"/>
    </row>
    <row r="4276" ht="14.25" customHeight="1" s="40">
      <c r="A4276" s="24" t="n"/>
      <c r="B4276" s="27" t="n"/>
      <c r="C4276" s="24" t="n"/>
      <c r="D4276" s="28" t="n"/>
      <c r="E4276" s="29" t="n"/>
      <c r="F4276" s="24" t="n"/>
      <c r="G4276" s="24" t="n"/>
      <c r="H4276" s="21">
        <f>IF(ISNUMBER($B4276),INT($B4276)-WEEKDAY($B4276,2)+1,"")</f>
        <v/>
      </c>
      <c r="I4276" s="24" t="n"/>
      <c r="J4276" s="22">
        <f t="array" ref="J4276">IF($D4276="","",IF($I4276="","(trống REF)",IFERROR(INDEX(MASTER_SOURCE!$B$2:$B$495,MATCH($I4276,MASTER_SOURCE!$A$2:$A$495,0)),"(REF không có trong MASTER_SOURCE)")))</f>
        <v/>
      </c>
      <c r="K4276" s="22">
        <f t="array" ref="K4276">IF($D4276="","",IFERROR(INDEX(MASTER_SOURCE!$C$2:$C$495,MATCH($I4276,MASTER_SOURCE!$A$2:$A$495,0)),""))</f>
        <v/>
      </c>
      <c r="L4276" s="22">
        <f t="array" ref="L4276">IF($D4276="","",IFERROR(INDEX(MASTER_SOURCE!$D$2:$D$495,MATCH($I4276,MASTER_SOURCE!$A$2:$A$495,0)),""))</f>
        <v/>
      </c>
      <c r="M4276" s="24" t="n"/>
      <c r="N4276" s="24" t="n"/>
      <c r="O4276" s="24" t="n"/>
      <c r="P4276" s="24" t="n"/>
      <c r="Q4276" s="22">
        <f>IF($D4276="","",IF(AND(OR(DANH_MUC!$L$5&lt;&gt;"Có",M4276="Có"),OR(DANH_MUC!$L$6&lt;&gt;"Có",N4276="Có"),OR(DANH_MUC!$L$7&lt;&gt;"Có",O4276="Có"),OR(DANH_MUC!$L$8&lt;&gt;"Có",P4276="Có")),"Có","Không"))</f>
        <v/>
      </c>
      <c r="R4276" s="22">
        <f>IF($D4276="","",IF(COUNTIF($D$2:$D4276,$D4276)&gt;1,"Trùng",""))</f>
        <v/>
      </c>
      <c r="S4276" s="22">
        <f>IF($D4276="","",IF(AND(LEN($D4276)=10,LEFT($D4276,1)="0",ISNUMBER(--$D4276)),"Có","Không"))</f>
        <v/>
      </c>
      <c r="T4276" s="22">
        <f>IF($D4276="","",IF(AND($C4276&lt;&gt;"",$Q4276="Có",$R4276="",$S4276="Có",AND($L4276&lt;&gt;"",OR($L4276&lt;&gt;"Chưa xác định",DANH_MUC!$L$9="Có"))),"Có","Không"))</f>
        <v/>
      </c>
      <c r="U4276" s="22">
        <f>IF(OR($D4276="",$T4276="Có"),"",IF($C4276="","Thiếu họ tên; ","")&amp;IF($S4276&lt;&gt;"Có","SĐT sai định dạng; ","")&amp;IF($R4276="Trùng","Trùng SĐT; ","")&amp;IF($Q4276&lt;&gt;"Có","Thiếu đồng ý bắt buộc; ","")&amp;IF($L4276="","Thiếu/sai Mã REF; ",IF(AND($L4276="Chưa xác định",DANH_MUC!$L$9&lt;&gt;"Có"),"Nguồn chưa xác định; ","")))</f>
        <v/>
      </c>
      <c r="V4276" s="22">
        <f>IF(OR($D4276="",$R4276="Trùng"),"",IF(COUNTIF(ORDERS!$C$2:$C$4995,$D4276)&gt;0,"Có","Không"))</f>
        <v/>
      </c>
      <c r="W4276" s="22">
        <f>IF(OR($D4276="",$R4276="Trùng"),"",COUNTIFS(ORDERS!$C$2:$C$4995,$D4276,ORDERS!$L$2:$L$4995,"Đã chuyển khoản"))</f>
        <v/>
      </c>
      <c r="X4276" s="23">
        <f>IF(OR($D4276="",$R4276="Trùng"),"",SUMIFS(ORDERS!$J$2:$J$4995,ORDERS!$C$2:$C$4995,$D4276,ORDERS!$L$2:$L$4995,"Đã chuyển khoản"))</f>
        <v/>
      </c>
      <c r="Y4276" s="24" t="n"/>
    </row>
    <row r="4277" ht="14.25" customHeight="1" s="40">
      <c r="A4277" s="24" t="n"/>
      <c r="B4277" s="27" t="n"/>
      <c r="C4277" s="24" t="n"/>
      <c r="D4277" s="28" t="n"/>
      <c r="E4277" s="29" t="n"/>
      <c r="F4277" s="24" t="n"/>
      <c r="G4277" s="24" t="n"/>
      <c r="H4277" s="21">
        <f>IF(ISNUMBER($B4277),INT($B4277)-WEEKDAY($B4277,2)+1,"")</f>
        <v/>
      </c>
      <c r="I4277" s="24" t="n"/>
      <c r="J4277" s="22">
        <f t="array" ref="J4277">IF($D4277="","",IF($I4277="","(trống REF)",IFERROR(INDEX(MASTER_SOURCE!$B$2:$B$495,MATCH($I4277,MASTER_SOURCE!$A$2:$A$495,0)),"(REF không có trong MASTER_SOURCE)")))</f>
        <v/>
      </c>
      <c r="K4277" s="22">
        <f t="array" ref="K4277">IF($D4277="","",IFERROR(INDEX(MASTER_SOURCE!$C$2:$C$495,MATCH($I4277,MASTER_SOURCE!$A$2:$A$495,0)),""))</f>
        <v/>
      </c>
      <c r="L4277" s="22">
        <f t="array" ref="L4277">IF($D4277="","",IFERROR(INDEX(MASTER_SOURCE!$D$2:$D$495,MATCH($I4277,MASTER_SOURCE!$A$2:$A$495,0)),""))</f>
        <v/>
      </c>
      <c r="M4277" s="24" t="n"/>
      <c r="N4277" s="24" t="n"/>
      <c r="O4277" s="24" t="n"/>
      <c r="P4277" s="24" t="n"/>
      <c r="Q4277" s="22">
        <f>IF($D4277="","",IF(AND(OR(DANH_MUC!$L$5&lt;&gt;"Có",M4277="Có"),OR(DANH_MUC!$L$6&lt;&gt;"Có",N4277="Có"),OR(DANH_MUC!$L$7&lt;&gt;"Có",O4277="Có"),OR(DANH_MUC!$L$8&lt;&gt;"Có",P4277="Có")),"Có","Không"))</f>
        <v/>
      </c>
      <c r="R4277" s="22">
        <f>IF($D4277="","",IF(COUNTIF($D$2:$D4277,$D4277)&gt;1,"Trùng",""))</f>
        <v/>
      </c>
      <c r="S4277" s="22">
        <f>IF($D4277="","",IF(AND(LEN($D4277)=10,LEFT($D4277,1)="0",ISNUMBER(--$D4277)),"Có","Không"))</f>
        <v/>
      </c>
      <c r="T4277" s="22">
        <f>IF($D4277="","",IF(AND($C4277&lt;&gt;"",$Q4277="Có",$R4277="",$S4277="Có",AND($L4277&lt;&gt;"",OR($L4277&lt;&gt;"Chưa xác định",DANH_MUC!$L$9="Có"))),"Có","Không"))</f>
        <v/>
      </c>
      <c r="U4277" s="22">
        <f>IF(OR($D4277="",$T4277="Có"),"",IF($C4277="","Thiếu họ tên; ","")&amp;IF($S4277&lt;&gt;"Có","SĐT sai định dạng; ","")&amp;IF($R4277="Trùng","Trùng SĐT; ","")&amp;IF($Q4277&lt;&gt;"Có","Thiếu đồng ý bắt buộc; ","")&amp;IF($L4277="","Thiếu/sai Mã REF; ",IF(AND($L4277="Chưa xác định",DANH_MUC!$L$9&lt;&gt;"Có"),"Nguồn chưa xác định; ","")))</f>
        <v/>
      </c>
      <c r="V4277" s="22">
        <f>IF(OR($D4277="",$R4277="Trùng"),"",IF(COUNTIF(ORDERS!$C$2:$C$4995,$D4277)&gt;0,"Có","Không"))</f>
        <v/>
      </c>
      <c r="W4277" s="22">
        <f>IF(OR($D4277="",$R4277="Trùng"),"",COUNTIFS(ORDERS!$C$2:$C$4995,$D4277,ORDERS!$L$2:$L$4995,"Đã chuyển khoản"))</f>
        <v/>
      </c>
      <c r="X4277" s="23">
        <f>IF(OR($D4277="",$R4277="Trùng"),"",SUMIFS(ORDERS!$J$2:$J$4995,ORDERS!$C$2:$C$4995,$D4277,ORDERS!$L$2:$L$4995,"Đã chuyển khoản"))</f>
        <v/>
      </c>
      <c r="Y4277" s="24" t="n"/>
    </row>
    <row r="4278" ht="14.25" customHeight="1" s="40">
      <c r="A4278" s="24" t="n"/>
      <c r="B4278" s="27" t="n"/>
      <c r="C4278" s="24" t="n"/>
      <c r="D4278" s="28" t="n"/>
      <c r="E4278" s="29" t="n"/>
      <c r="F4278" s="24" t="n"/>
      <c r="G4278" s="24" t="n"/>
      <c r="H4278" s="21">
        <f>IF(ISNUMBER($B4278),INT($B4278)-WEEKDAY($B4278,2)+1,"")</f>
        <v/>
      </c>
      <c r="I4278" s="24" t="n"/>
      <c r="J4278" s="22">
        <f t="array" ref="J4278">IF($D4278="","",IF($I4278="","(trống REF)",IFERROR(INDEX(MASTER_SOURCE!$B$2:$B$495,MATCH($I4278,MASTER_SOURCE!$A$2:$A$495,0)),"(REF không có trong MASTER_SOURCE)")))</f>
        <v/>
      </c>
      <c r="K4278" s="22">
        <f t="array" ref="K4278">IF($D4278="","",IFERROR(INDEX(MASTER_SOURCE!$C$2:$C$495,MATCH($I4278,MASTER_SOURCE!$A$2:$A$495,0)),""))</f>
        <v/>
      </c>
      <c r="L4278" s="22">
        <f t="array" ref="L4278">IF($D4278="","",IFERROR(INDEX(MASTER_SOURCE!$D$2:$D$495,MATCH($I4278,MASTER_SOURCE!$A$2:$A$495,0)),""))</f>
        <v/>
      </c>
      <c r="M4278" s="24" t="n"/>
      <c r="N4278" s="24" t="n"/>
      <c r="O4278" s="24" t="n"/>
      <c r="P4278" s="24" t="n"/>
      <c r="Q4278" s="22">
        <f>IF($D4278="","",IF(AND(OR(DANH_MUC!$L$5&lt;&gt;"Có",M4278="Có"),OR(DANH_MUC!$L$6&lt;&gt;"Có",N4278="Có"),OR(DANH_MUC!$L$7&lt;&gt;"Có",O4278="Có"),OR(DANH_MUC!$L$8&lt;&gt;"Có",P4278="Có")),"Có","Không"))</f>
        <v/>
      </c>
      <c r="R4278" s="22">
        <f>IF($D4278="","",IF(COUNTIF($D$2:$D4278,$D4278)&gt;1,"Trùng",""))</f>
        <v/>
      </c>
      <c r="S4278" s="22">
        <f>IF($D4278="","",IF(AND(LEN($D4278)=10,LEFT($D4278,1)="0",ISNUMBER(--$D4278)),"Có","Không"))</f>
        <v/>
      </c>
      <c r="T4278" s="22">
        <f>IF($D4278="","",IF(AND($C4278&lt;&gt;"",$Q4278="Có",$R4278="",$S4278="Có",AND($L4278&lt;&gt;"",OR($L4278&lt;&gt;"Chưa xác định",DANH_MUC!$L$9="Có"))),"Có","Không"))</f>
        <v/>
      </c>
      <c r="U4278" s="22">
        <f>IF(OR($D4278="",$T4278="Có"),"",IF($C4278="","Thiếu họ tên; ","")&amp;IF($S4278&lt;&gt;"Có","SĐT sai định dạng; ","")&amp;IF($R4278="Trùng","Trùng SĐT; ","")&amp;IF($Q4278&lt;&gt;"Có","Thiếu đồng ý bắt buộc; ","")&amp;IF($L4278="","Thiếu/sai Mã REF; ",IF(AND($L4278="Chưa xác định",DANH_MUC!$L$9&lt;&gt;"Có"),"Nguồn chưa xác định; ","")))</f>
        <v/>
      </c>
      <c r="V4278" s="22">
        <f>IF(OR($D4278="",$R4278="Trùng"),"",IF(COUNTIF(ORDERS!$C$2:$C$4995,$D4278)&gt;0,"Có","Không"))</f>
        <v/>
      </c>
      <c r="W4278" s="22">
        <f>IF(OR($D4278="",$R4278="Trùng"),"",COUNTIFS(ORDERS!$C$2:$C$4995,$D4278,ORDERS!$L$2:$L$4995,"Đã chuyển khoản"))</f>
        <v/>
      </c>
      <c r="X4278" s="23">
        <f>IF(OR($D4278="",$R4278="Trùng"),"",SUMIFS(ORDERS!$J$2:$J$4995,ORDERS!$C$2:$C$4995,$D4278,ORDERS!$L$2:$L$4995,"Đã chuyển khoản"))</f>
        <v/>
      </c>
      <c r="Y4278" s="24" t="n"/>
    </row>
    <row r="4279" ht="14.25" customHeight="1" s="40">
      <c r="A4279" s="24" t="n"/>
      <c r="B4279" s="27" t="n"/>
      <c r="C4279" s="24" t="n"/>
      <c r="D4279" s="28" t="n"/>
      <c r="E4279" s="29" t="n"/>
      <c r="F4279" s="24" t="n"/>
      <c r="G4279" s="24" t="n"/>
      <c r="H4279" s="21">
        <f>IF(ISNUMBER($B4279),INT($B4279)-WEEKDAY($B4279,2)+1,"")</f>
        <v/>
      </c>
      <c r="I4279" s="24" t="n"/>
      <c r="J4279" s="22">
        <f t="array" ref="J4279">IF($D4279="","",IF($I4279="","(trống REF)",IFERROR(INDEX(MASTER_SOURCE!$B$2:$B$495,MATCH($I4279,MASTER_SOURCE!$A$2:$A$495,0)),"(REF không có trong MASTER_SOURCE)")))</f>
        <v/>
      </c>
      <c r="K4279" s="22">
        <f t="array" ref="K4279">IF($D4279="","",IFERROR(INDEX(MASTER_SOURCE!$C$2:$C$495,MATCH($I4279,MASTER_SOURCE!$A$2:$A$495,0)),""))</f>
        <v/>
      </c>
      <c r="L4279" s="22">
        <f t="array" ref="L4279">IF($D4279="","",IFERROR(INDEX(MASTER_SOURCE!$D$2:$D$495,MATCH($I4279,MASTER_SOURCE!$A$2:$A$495,0)),""))</f>
        <v/>
      </c>
      <c r="M4279" s="24" t="n"/>
      <c r="N4279" s="24" t="n"/>
      <c r="O4279" s="24" t="n"/>
      <c r="P4279" s="24" t="n"/>
      <c r="Q4279" s="22">
        <f>IF($D4279="","",IF(AND(OR(DANH_MUC!$L$5&lt;&gt;"Có",M4279="Có"),OR(DANH_MUC!$L$6&lt;&gt;"Có",N4279="Có"),OR(DANH_MUC!$L$7&lt;&gt;"Có",O4279="Có"),OR(DANH_MUC!$L$8&lt;&gt;"Có",P4279="Có")),"Có","Không"))</f>
        <v/>
      </c>
      <c r="R4279" s="22">
        <f>IF($D4279="","",IF(COUNTIF($D$2:$D4279,$D4279)&gt;1,"Trùng",""))</f>
        <v/>
      </c>
      <c r="S4279" s="22">
        <f>IF($D4279="","",IF(AND(LEN($D4279)=10,LEFT($D4279,1)="0",ISNUMBER(--$D4279)),"Có","Không"))</f>
        <v/>
      </c>
      <c r="T4279" s="22">
        <f>IF($D4279="","",IF(AND($C4279&lt;&gt;"",$Q4279="Có",$R4279="",$S4279="Có",AND($L4279&lt;&gt;"",OR($L4279&lt;&gt;"Chưa xác định",DANH_MUC!$L$9="Có"))),"Có","Không"))</f>
        <v/>
      </c>
      <c r="U4279" s="22">
        <f>IF(OR($D4279="",$T4279="Có"),"",IF($C4279="","Thiếu họ tên; ","")&amp;IF($S4279&lt;&gt;"Có","SĐT sai định dạng; ","")&amp;IF($R4279="Trùng","Trùng SĐT; ","")&amp;IF($Q4279&lt;&gt;"Có","Thiếu đồng ý bắt buộc; ","")&amp;IF($L4279="","Thiếu/sai Mã REF; ",IF(AND($L4279="Chưa xác định",DANH_MUC!$L$9&lt;&gt;"Có"),"Nguồn chưa xác định; ","")))</f>
        <v/>
      </c>
      <c r="V4279" s="22">
        <f>IF(OR($D4279="",$R4279="Trùng"),"",IF(COUNTIF(ORDERS!$C$2:$C$4995,$D4279)&gt;0,"Có","Không"))</f>
        <v/>
      </c>
      <c r="W4279" s="22">
        <f>IF(OR($D4279="",$R4279="Trùng"),"",COUNTIFS(ORDERS!$C$2:$C$4995,$D4279,ORDERS!$L$2:$L$4995,"Đã chuyển khoản"))</f>
        <v/>
      </c>
      <c r="X4279" s="23">
        <f>IF(OR($D4279="",$R4279="Trùng"),"",SUMIFS(ORDERS!$J$2:$J$4995,ORDERS!$C$2:$C$4995,$D4279,ORDERS!$L$2:$L$4995,"Đã chuyển khoản"))</f>
        <v/>
      </c>
      <c r="Y4279" s="24" t="n"/>
    </row>
    <row r="4280" ht="14.25" customHeight="1" s="40">
      <c r="A4280" s="24" t="n"/>
      <c r="B4280" s="27" t="n"/>
      <c r="C4280" s="24" t="n"/>
      <c r="D4280" s="28" t="n"/>
      <c r="E4280" s="29" t="n"/>
      <c r="F4280" s="24" t="n"/>
      <c r="G4280" s="24" t="n"/>
      <c r="H4280" s="21">
        <f>IF(ISNUMBER($B4280),INT($B4280)-WEEKDAY($B4280,2)+1,"")</f>
        <v/>
      </c>
      <c r="I4280" s="24" t="n"/>
      <c r="J4280" s="22">
        <f t="array" ref="J4280">IF($D4280="","",IF($I4280="","(trống REF)",IFERROR(INDEX(MASTER_SOURCE!$B$2:$B$495,MATCH($I4280,MASTER_SOURCE!$A$2:$A$495,0)),"(REF không có trong MASTER_SOURCE)")))</f>
        <v/>
      </c>
      <c r="K4280" s="22">
        <f t="array" ref="K4280">IF($D4280="","",IFERROR(INDEX(MASTER_SOURCE!$C$2:$C$495,MATCH($I4280,MASTER_SOURCE!$A$2:$A$495,0)),""))</f>
        <v/>
      </c>
      <c r="L4280" s="22">
        <f t="array" ref="L4280">IF($D4280="","",IFERROR(INDEX(MASTER_SOURCE!$D$2:$D$495,MATCH($I4280,MASTER_SOURCE!$A$2:$A$495,0)),""))</f>
        <v/>
      </c>
      <c r="M4280" s="24" t="n"/>
      <c r="N4280" s="24" t="n"/>
      <c r="O4280" s="24" t="n"/>
      <c r="P4280" s="24" t="n"/>
      <c r="Q4280" s="22">
        <f>IF($D4280="","",IF(AND(OR(DANH_MUC!$L$5&lt;&gt;"Có",M4280="Có"),OR(DANH_MUC!$L$6&lt;&gt;"Có",N4280="Có"),OR(DANH_MUC!$L$7&lt;&gt;"Có",O4280="Có"),OR(DANH_MUC!$L$8&lt;&gt;"Có",P4280="Có")),"Có","Không"))</f>
        <v/>
      </c>
      <c r="R4280" s="22">
        <f>IF($D4280="","",IF(COUNTIF($D$2:$D4280,$D4280)&gt;1,"Trùng",""))</f>
        <v/>
      </c>
      <c r="S4280" s="22">
        <f>IF($D4280="","",IF(AND(LEN($D4280)=10,LEFT($D4280,1)="0",ISNUMBER(--$D4280)),"Có","Không"))</f>
        <v/>
      </c>
      <c r="T4280" s="22">
        <f>IF($D4280="","",IF(AND($C4280&lt;&gt;"",$Q4280="Có",$R4280="",$S4280="Có",AND($L4280&lt;&gt;"",OR($L4280&lt;&gt;"Chưa xác định",DANH_MUC!$L$9="Có"))),"Có","Không"))</f>
        <v/>
      </c>
      <c r="U4280" s="22">
        <f>IF(OR($D4280="",$T4280="Có"),"",IF($C4280="","Thiếu họ tên; ","")&amp;IF($S4280&lt;&gt;"Có","SĐT sai định dạng; ","")&amp;IF($R4280="Trùng","Trùng SĐT; ","")&amp;IF($Q4280&lt;&gt;"Có","Thiếu đồng ý bắt buộc; ","")&amp;IF($L4280="","Thiếu/sai Mã REF; ",IF(AND($L4280="Chưa xác định",DANH_MUC!$L$9&lt;&gt;"Có"),"Nguồn chưa xác định; ","")))</f>
        <v/>
      </c>
      <c r="V4280" s="22">
        <f>IF(OR($D4280="",$R4280="Trùng"),"",IF(COUNTIF(ORDERS!$C$2:$C$4995,$D4280)&gt;0,"Có","Không"))</f>
        <v/>
      </c>
      <c r="W4280" s="22">
        <f>IF(OR($D4280="",$R4280="Trùng"),"",COUNTIFS(ORDERS!$C$2:$C$4995,$D4280,ORDERS!$L$2:$L$4995,"Đã chuyển khoản"))</f>
        <v/>
      </c>
      <c r="X4280" s="23">
        <f>IF(OR($D4280="",$R4280="Trùng"),"",SUMIFS(ORDERS!$J$2:$J$4995,ORDERS!$C$2:$C$4995,$D4280,ORDERS!$L$2:$L$4995,"Đã chuyển khoản"))</f>
        <v/>
      </c>
      <c r="Y4280" s="24" t="n"/>
    </row>
    <row r="4281" ht="14.25" customHeight="1" s="40">
      <c r="A4281" s="24" t="n"/>
      <c r="B4281" s="27" t="n"/>
      <c r="C4281" s="24" t="n"/>
      <c r="D4281" s="28" t="n"/>
      <c r="E4281" s="29" t="n"/>
      <c r="F4281" s="24" t="n"/>
      <c r="G4281" s="24" t="n"/>
      <c r="H4281" s="21">
        <f>IF(ISNUMBER($B4281),INT($B4281)-WEEKDAY($B4281,2)+1,"")</f>
        <v/>
      </c>
      <c r="I4281" s="24" t="n"/>
      <c r="J4281" s="22">
        <f t="array" ref="J4281">IF($D4281="","",IF($I4281="","(trống REF)",IFERROR(INDEX(MASTER_SOURCE!$B$2:$B$495,MATCH($I4281,MASTER_SOURCE!$A$2:$A$495,0)),"(REF không có trong MASTER_SOURCE)")))</f>
        <v/>
      </c>
      <c r="K4281" s="22">
        <f t="array" ref="K4281">IF($D4281="","",IFERROR(INDEX(MASTER_SOURCE!$C$2:$C$495,MATCH($I4281,MASTER_SOURCE!$A$2:$A$495,0)),""))</f>
        <v/>
      </c>
      <c r="L4281" s="22">
        <f t="array" ref="L4281">IF($D4281="","",IFERROR(INDEX(MASTER_SOURCE!$D$2:$D$495,MATCH($I4281,MASTER_SOURCE!$A$2:$A$495,0)),""))</f>
        <v/>
      </c>
      <c r="M4281" s="24" t="n"/>
      <c r="N4281" s="24" t="n"/>
      <c r="O4281" s="24" t="n"/>
      <c r="P4281" s="24" t="n"/>
      <c r="Q4281" s="22">
        <f>IF($D4281="","",IF(AND(OR(DANH_MUC!$L$5&lt;&gt;"Có",M4281="Có"),OR(DANH_MUC!$L$6&lt;&gt;"Có",N4281="Có"),OR(DANH_MUC!$L$7&lt;&gt;"Có",O4281="Có"),OR(DANH_MUC!$L$8&lt;&gt;"Có",P4281="Có")),"Có","Không"))</f>
        <v/>
      </c>
      <c r="R4281" s="22">
        <f>IF($D4281="","",IF(COUNTIF($D$2:$D4281,$D4281)&gt;1,"Trùng",""))</f>
        <v/>
      </c>
      <c r="S4281" s="22">
        <f>IF($D4281="","",IF(AND(LEN($D4281)=10,LEFT($D4281,1)="0",ISNUMBER(--$D4281)),"Có","Không"))</f>
        <v/>
      </c>
      <c r="T4281" s="22">
        <f>IF($D4281="","",IF(AND($C4281&lt;&gt;"",$Q4281="Có",$R4281="",$S4281="Có",AND($L4281&lt;&gt;"",OR($L4281&lt;&gt;"Chưa xác định",DANH_MUC!$L$9="Có"))),"Có","Không"))</f>
        <v/>
      </c>
      <c r="U4281" s="22">
        <f>IF(OR($D4281="",$T4281="Có"),"",IF($C4281="","Thiếu họ tên; ","")&amp;IF($S4281&lt;&gt;"Có","SĐT sai định dạng; ","")&amp;IF($R4281="Trùng","Trùng SĐT; ","")&amp;IF($Q4281&lt;&gt;"Có","Thiếu đồng ý bắt buộc; ","")&amp;IF($L4281="","Thiếu/sai Mã REF; ",IF(AND($L4281="Chưa xác định",DANH_MUC!$L$9&lt;&gt;"Có"),"Nguồn chưa xác định; ","")))</f>
        <v/>
      </c>
      <c r="V4281" s="22">
        <f>IF(OR($D4281="",$R4281="Trùng"),"",IF(COUNTIF(ORDERS!$C$2:$C$4995,$D4281)&gt;0,"Có","Không"))</f>
        <v/>
      </c>
      <c r="W4281" s="22">
        <f>IF(OR($D4281="",$R4281="Trùng"),"",COUNTIFS(ORDERS!$C$2:$C$4995,$D4281,ORDERS!$L$2:$L$4995,"Đã chuyển khoản"))</f>
        <v/>
      </c>
      <c r="X4281" s="23">
        <f>IF(OR($D4281="",$R4281="Trùng"),"",SUMIFS(ORDERS!$J$2:$J$4995,ORDERS!$C$2:$C$4995,$D4281,ORDERS!$L$2:$L$4995,"Đã chuyển khoản"))</f>
        <v/>
      </c>
      <c r="Y4281" s="24" t="n"/>
    </row>
    <row r="4282" ht="14.25" customHeight="1" s="40">
      <c r="A4282" s="24" t="n"/>
      <c r="B4282" s="27" t="n"/>
      <c r="C4282" s="24" t="n"/>
      <c r="D4282" s="28" t="n"/>
      <c r="E4282" s="29" t="n"/>
      <c r="F4282" s="24" t="n"/>
      <c r="G4282" s="24" t="n"/>
      <c r="H4282" s="21">
        <f>IF(ISNUMBER($B4282),INT($B4282)-WEEKDAY($B4282,2)+1,"")</f>
        <v/>
      </c>
      <c r="I4282" s="24" t="n"/>
      <c r="J4282" s="22">
        <f t="array" ref="J4282">IF($D4282="","",IF($I4282="","(trống REF)",IFERROR(INDEX(MASTER_SOURCE!$B$2:$B$495,MATCH($I4282,MASTER_SOURCE!$A$2:$A$495,0)),"(REF không có trong MASTER_SOURCE)")))</f>
        <v/>
      </c>
      <c r="K4282" s="22">
        <f t="array" ref="K4282">IF($D4282="","",IFERROR(INDEX(MASTER_SOURCE!$C$2:$C$495,MATCH($I4282,MASTER_SOURCE!$A$2:$A$495,0)),""))</f>
        <v/>
      </c>
      <c r="L4282" s="22">
        <f t="array" ref="L4282">IF($D4282="","",IFERROR(INDEX(MASTER_SOURCE!$D$2:$D$495,MATCH($I4282,MASTER_SOURCE!$A$2:$A$495,0)),""))</f>
        <v/>
      </c>
      <c r="M4282" s="24" t="n"/>
      <c r="N4282" s="24" t="n"/>
      <c r="O4282" s="24" t="n"/>
      <c r="P4282" s="24" t="n"/>
      <c r="Q4282" s="22">
        <f>IF($D4282="","",IF(AND(OR(DANH_MUC!$L$5&lt;&gt;"Có",M4282="Có"),OR(DANH_MUC!$L$6&lt;&gt;"Có",N4282="Có"),OR(DANH_MUC!$L$7&lt;&gt;"Có",O4282="Có"),OR(DANH_MUC!$L$8&lt;&gt;"Có",P4282="Có")),"Có","Không"))</f>
        <v/>
      </c>
      <c r="R4282" s="22">
        <f>IF($D4282="","",IF(COUNTIF($D$2:$D4282,$D4282)&gt;1,"Trùng",""))</f>
        <v/>
      </c>
      <c r="S4282" s="22">
        <f>IF($D4282="","",IF(AND(LEN($D4282)=10,LEFT($D4282,1)="0",ISNUMBER(--$D4282)),"Có","Không"))</f>
        <v/>
      </c>
      <c r="T4282" s="22">
        <f>IF($D4282="","",IF(AND($C4282&lt;&gt;"",$Q4282="Có",$R4282="",$S4282="Có",AND($L4282&lt;&gt;"",OR($L4282&lt;&gt;"Chưa xác định",DANH_MUC!$L$9="Có"))),"Có","Không"))</f>
        <v/>
      </c>
      <c r="U4282" s="22">
        <f>IF(OR($D4282="",$T4282="Có"),"",IF($C4282="","Thiếu họ tên; ","")&amp;IF($S4282&lt;&gt;"Có","SĐT sai định dạng; ","")&amp;IF($R4282="Trùng","Trùng SĐT; ","")&amp;IF($Q4282&lt;&gt;"Có","Thiếu đồng ý bắt buộc; ","")&amp;IF($L4282="","Thiếu/sai Mã REF; ",IF(AND($L4282="Chưa xác định",DANH_MUC!$L$9&lt;&gt;"Có"),"Nguồn chưa xác định; ","")))</f>
        <v/>
      </c>
      <c r="V4282" s="22">
        <f>IF(OR($D4282="",$R4282="Trùng"),"",IF(COUNTIF(ORDERS!$C$2:$C$4995,$D4282)&gt;0,"Có","Không"))</f>
        <v/>
      </c>
      <c r="W4282" s="22">
        <f>IF(OR($D4282="",$R4282="Trùng"),"",COUNTIFS(ORDERS!$C$2:$C$4995,$D4282,ORDERS!$L$2:$L$4995,"Đã chuyển khoản"))</f>
        <v/>
      </c>
      <c r="X4282" s="23">
        <f>IF(OR($D4282="",$R4282="Trùng"),"",SUMIFS(ORDERS!$J$2:$J$4995,ORDERS!$C$2:$C$4995,$D4282,ORDERS!$L$2:$L$4995,"Đã chuyển khoản"))</f>
        <v/>
      </c>
      <c r="Y4282" s="24" t="n"/>
    </row>
    <row r="4283" ht="14.25" customHeight="1" s="40">
      <c r="A4283" s="24" t="n"/>
      <c r="B4283" s="27" t="n"/>
      <c r="C4283" s="24" t="n"/>
      <c r="D4283" s="28" t="n"/>
      <c r="E4283" s="29" t="n"/>
      <c r="F4283" s="24" t="n"/>
      <c r="G4283" s="24" t="n"/>
      <c r="H4283" s="21">
        <f>IF(ISNUMBER($B4283),INT($B4283)-WEEKDAY($B4283,2)+1,"")</f>
        <v/>
      </c>
      <c r="I4283" s="24" t="n"/>
      <c r="J4283" s="22">
        <f t="array" ref="J4283">IF($D4283="","",IF($I4283="","(trống REF)",IFERROR(INDEX(MASTER_SOURCE!$B$2:$B$495,MATCH($I4283,MASTER_SOURCE!$A$2:$A$495,0)),"(REF không có trong MASTER_SOURCE)")))</f>
        <v/>
      </c>
      <c r="K4283" s="22">
        <f t="array" ref="K4283">IF($D4283="","",IFERROR(INDEX(MASTER_SOURCE!$C$2:$C$495,MATCH($I4283,MASTER_SOURCE!$A$2:$A$495,0)),""))</f>
        <v/>
      </c>
      <c r="L4283" s="22">
        <f t="array" ref="L4283">IF($D4283="","",IFERROR(INDEX(MASTER_SOURCE!$D$2:$D$495,MATCH($I4283,MASTER_SOURCE!$A$2:$A$495,0)),""))</f>
        <v/>
      </c>
      <c r="M4283" s="24" t="n"/>
      <c r="N4283" s="24" t="n"/>
      <c r="O4283" s="24" t="n"/>
      <c r="P4283" s="24" t="n"/>
      <c r="Q4283" s="22">
        <f>IF($D4283="","",IF(AND(OR(DANH_MUC!$L$5&lt;&gt;"Có",M4283="Có"),OR(DANH_MUC!$L$6&lt;&gt;"Có",N4283="Có"),OR(DANH_MUC!$L$7&lt;&gt;"Có",O4283="Có"),OR(DANH_MUC!$L$8&lt;&gt;"Có",P4283="Có")),"Có","Không"))</f>
        <v/>
      </c>
      <c r="R4283" s="22">
        <f>IF($D4283="","",IF(COUNTIF($D$2:$D4283,$D4283)&gt;1,"Trùng",""))</f>
        <v/>
      </c>
      <c r="S4283" s="22">
        <f>IF($D4283="","",IF(AND(LEN($D4283)=10,LEFT($D4283,1)="0",ISNUMBER(--$D4283)),"Có","Không"))</f>
        <v/>
      </c>
      <c r="T4283" s="22">
        <f>IF($D4283="","",IF(AND($C4283&lt;&gt;"",$Q4283="Có",$R4283="",$S4283="Có",AND($L4283&lt;&gt;"",OR($L4283&lt;&gt;"Chưa xác định",DANH_MUC!$L$9="Có"))),"Có","Không"))</f>
        <v/>
      </c>
      <c r="U4283" s="22">
        <f>IF(OR($D4283="",$T4283="Có"),"",IF($C4283="","Thiếu họ tên; ","")&amp;IF($S4283&lt;&gt;"Có","SĐT sai định dạng; ","")&amp;IF($R4283="Trùng","Trùng SĐT; ","")&amp;IF($Q4283&lt;&gt;"Có","Thiếu đồng ý bắt buộc; ","")&amp;IF($L4283="","Thiếu/sai Mã REF; ",IF(AND($L4283="Chưa xác định",DANH_MUC!$L$9&lt;&gt;"Có"),"Nguồn chưa xác định; ","")))</f>
        <v/>
      </c>
      <c r="V4283" s="22">
        <f>IF(OR($D4283="",$R4283="Trùng"),"",IF(COUNTIF(ORDERS!$C$2:$C$4995,$D4283)&gt;0,"Có","Không"))</f>
        <v/>
      </c>
      <c r="W4283" s="22">
        <f>IF(OR($D4283="",$R4283="Trùng"),"",COUNTIFS(ORDERS!$C$2:$C$4995,$D4283,ORDERS!$L$2:$L$4995,"Đã chuyển khoản"))</f>
        <v/>
      </c>
      <c r="X4283" s="23">
        <f>IF(OR($D4283="",$R4283="Trùng"),"",SUMIFS(ORDERS!$J$2:$J$4995,ORDERS!$C$2:$C$4995,$D4283,ORDERS!$L$2:$L$4995,"Đã chuyển khoản"))</f>
        <v/>
      </c>
      <c r="Y4283" s="24" t="n"/>
    </row>
    <row r="4284" ht="14.25" customHeight="1" s="40">
      <c r="A4284" s="24" t="n"/>
      <c r="B4284" s="27" t="n"/>
      <c r="C4284" s="24" t="n"/>
      <c r="D4284" s="28" t="n"/>
      <c r="E4284" s="29" t="n"/>
      <c r="F4284" s="24" t="n"/>
      <c r="G4284" s="24" t="n"/>
      <c r="H4284" s="21">
        <f>IF(ISNUMBER($B4284),INT($B4284)-WEEKDAY($B4284,2)+1,"")</f>
        <v/>
      </c>
      <c r="I4284" s="24" t="n"/>
      <c r="J4284" s="22">
        <f t="array" ref="J4284">IF($D4284="","",IF($I4284="","(trống REF)",IFERROR(INDEX(MASTER_SOURCE!$B$2:$B$495,MATCH($I4284,MASTER_SOURCE!$A$2:$A$495,0)),"(REF không có trong MASTER_SOURCE)")))</f>
        <v/>
      </c>
      <c r="K4284" s="22">
        <f t="array" ref="K4284">IF($D4284="","",IFERROR(INDEX(MASTER_SOURCE!$C$2:$C$495,MATCH($I4284,MASTER_SOURCE!$A$2:$A$495,0)),""))</f>
        <v/>
      </c>
      <c r="L4284" s="22">
        <f t="array" ref="L4284">IF($D4284="","",IFERROR(INDEX(MASTER_SOURCE!$D$2:$D$495,MATCH($I4284,MASTER_SOURCE!$A$2:$A$495,0)),""))</f>
        <v/>
      </c>
      <c r="M4284" s="24" t="n"/>
      <c r="N4284" s="24" t="n"/>
      <c r="O4284" s="24" t="n"/>
      <c r="P4284" s="24" t="n"/>
      <c r="Q4284" s="22">
        <f>IF($D4284="","",IF(AND(OR(DANH_MUC!$L$5&lt;&gt;"Có",M4284="Có"),OR(DANH_MUC!$L$6&lt;&gt;"Có",N4284="Có"),OR(DANH_MUC!$L$7&lt;&gt;"Có",O4284="Có"),OR(DANH_MUC!$L$8&lt;&gt;"Có",P4284="Có")),"Có","Không"))</f>
        <v/>
      </c>
      <c r="R4284" s="22">
        <f>IF($D4284="","",IF(COUNTIF($D$2:$D4284,$D4284)&gt;1,"Trùng",""))</f>
        <v/>
      </c>
      <c r="S4284" s="22">
        <f>IF($D4284="","",IF(AND(LEN($D4284)=10,LEFT($D4284,1)="0",ISNUMBER(--$D4284)),"Có","Không"))</f>
        <v/>
      </c>
      <c r="T4284" s="22">
        <f>IF($D4284="","",IF(AND($C4284&lt;&gt;"",$Q4284="Có",$R4284="",$S4284="Có",AND($L4284&lt;&gt;"",OR($L4284&lt;&gt;"Chưa xác định",DANH_MUC!$L$9="Có"))),"Có","Không"))</f>
        <v/>
      </c>
      <c r="U4284" s="22">
        <f>IF(OR($D4284="",$T4284="Có"),"",IF($C4284="","Thiếu họ tên; ","")&amp;IF($S4284&lt;&gt;"Có","SĐT sai định dạng; ","")&amp;IF($R4284="Trùng","Trùng SĐT; ","")&amp;IF($Q4284&lt;&gt;"Có","Thiếu đồng ý bắt buộc; ","")&amp;IF($L4284="","Thiếu/sai Mã REF; ",IF(AND($L4284="Chưa xác định",DANH_MUC!$L$9&lt;&gt;"Có"),"Nguồn chưa xác định; ","")))</f>
        <v/>
      </c>
      <c r="V4284" s="22">
        <f>IF(OR($D4284="",$R4284="Trùng"),"",IF(COUNTIF(ORDERS!$C$2:$C$4995,$D4284)&gt;0,"Có","Không"))</f>
        <v/>
      </c>
      <c r="W4284" s="22">
        <f>IF(OR($D4284="",$R4284="Trùng"),"",COUNTIFS(ORDERS!$C$2:$C$4995,$D4284,ORDERS!$L$2:$L$4995,"Đã chuyển khoản"))</f>
        <v/>
      </c>
      <c r="X4284" s="23">
        <f>IF(OR($D4284="",$R4284="Trùng"),"",SUMIFS(ORDERS!$J$2:$J$4995,ORDERS!$C$2:$C$4995,$D4284,ORDERS!$L$2:$L$4995,"Đã chuyển khoản"))</f>
        <v/>
      </c>
      <c r="Y4284" s="24" t="n"/>
    </row>
    <row r="4285" ht="14.25" customHeight="1" s="40">
      <c r="A4285" s="24" t="n"/>
      <c r="B4285" s="27" t="n"/>
      <c r="C4285" s="24" t="n"/>
      <c r="D4285" s="28" t="n"/>
      <c r="E4285" s="29" t="n"/>
      <c r="F4285" s="24" t="n"/>
      <c r="G4285" s="24" t="n"/>
      <c r="H4285" s="21">
        <f>IF(ISNUMBER($B4285),INT($B4285)-WEEKDAY($B4285,2)+1,"")</f>
        <v/>
      </c>
      <c r="I4285" s="24" t="n"/>
      <c r="J4285" s="22">
        <f t="array" ref="J4285">IF($D4285="","",IF($I4285="","(trống REF)",IFERROR(INDEX(MASTER_SOURCE!$B$2:$B$495,MATCH($I4285,MASTER_SOURCE!$A$2:$A$495,0)),"(REF không có trong MASTER_SOURCE)")))</f>
        <v/>
      </c>
      <c r="K4285" s="22">
        <f t="array" ref="K4285">IF($D4285="","",IFERROR(INDEX(MASTER_SOURCE!$C$2:$C$495,MATCH($I4285,MASTER_SOURCE!$A$2:$A$495,0)),""))</f>
        <v/>
      </c>
      <c r="L4285" s="22">
        <f t="array" ref="L4285">IF($D4285="","",IFERROR(INDEX(MASTER_SOURCE!$D$2:$D$495,MATCH($I4285,MASTER_SOURCE!$A$2:$A$495,0)),""))</f>
        <v/>
      </c>
      <c r="M4285" s="24" t="n"/>
      <c r="N4285" s="24" t="n"/>
      <c r="O4285" s="24" t="n"/>
      <c r="P4285" s="24" t="n"/>
      <c r="Q4285" s="22">
        <f>IF($D4285="","",IF(AND(OR(DANH_MUC!$L$5&lt;&gt;"Có",M4285="Có"),OR(DANH_MUC!$L$6&lt;&gt;"Có",N4285="Có"),OR(DANH_MUC!$L$7&lt;&gt;"Có",O4285="Có"),OR(DANH_MUC!$L$8&lt;&gt;"Có",P4285="Có")),"Có","Không"))</f>
        <v/>
      </c>
      <c r="R4285" s="22">
        <f>IF($D4285="","",IF(COUNTIF($D$2:$D4285,$D4285)&gt;1,"Trùng",""))</f>
        <v/>
      </c>
      <c r="S4285" s="22">
        <f>IF($D4285="","",IF(AND(LEN($D4285)=10,LEFT($D4285,1)="0",ISNUMBER(--$D4285)),"Có","Không"))</f>
        <v/>
      </c>
      <c r="T4285" s="22">
        <f>IF($D4285="","",IF(AND($C4285&lt;&gt;"",$Q4285="Có",$R4285="",$S4285="Có",AND($L4285&lt;&gt;"",OR($L4285&lt;&gt;"Chưa xác định",DANH_MUC!$L$9="Có"))),"Có","Không"))</f>
        <v/>
      </c>
      <c r="U4285" s="22">
        <f>IF(OR($D4285="",$T4285="Có"),"",IF($C4285="","Thiếu họ tên; ","")&amp;IF($S4285&lt;&gt;"Có","SĐT sai định dạng; ","")&amp;IF($R4285="Trùng","Trùng SĐT; ","")&amp;IF($Q4285&lt;&gt;"Có","Thiếu đồng ý bắt buộc; ","")&amp;IF($L4285="","Thiếu/sai Mã REF; ",IF(AND($L4285="Chưa xác định",DANH_MUC!$L$9&lt;&gt;"Có"),"Nguồn chưa xác định; ","")))</f>
        <v/>
      </c>
      <c r="V4285" s="22">
        <f>IF(OR($D4285="",$R4285="Trùng"),"",IF(COUNTIF(ORDERS!$C$2:$C$4995,$D4285)&gt;0,"Có","Không"))</f>
        <v/>
      </c>
      <c r="W4285" s="22">
        <f>IF(OR($D4285="",$R4285="Trùng"),"",COUNTIFS(ORDERS!$C$2:$C$4995,$D4285,ORDERS!$L$2:$L$4995,"Đã chuyển khoản"))</f>
        <v/>
      </c>
      <c r="X4285" s="23">
        <f>IF(OR($D4285="",$R4285="Trùng"),"",SUMIFS(ORDERS!$J$2:$J$4995,ORDERS!$C$2:$C$4995,$D4285,ORDERS!$L$2:$L$4995,"Đã chuyển khoản"))</f>
        <v/>
      </c>
      <c r="Y4285" s="24" t="n"/>
    </row>
    <row r="4286" ht="14.25" customHeight="1" s="40">
      <c r="A4286" s="24" t="n"/>
      <c r="B4286" s="27" t="n"/>
      <c r="C4286" s="24" t="n"/>
      <c r="D4286" s="28" t="n"/>
      <c r="E4286" s="29" t="n"/>
      <c r="F4286" s="24" t="n"/>
      <c r="G4286" s="24" t="n"/>
      <c r="H4286" s="21">
        <f>IF(ISNUMBER($B4286),INT($B4286)-WEEKDAY($B4286,2)+1,"")</f>
        <v/>
      </c>
      <c r="I4286" s="24" t="n"/>
      <c r="J4286" s="22">
        <f t="array" ref="J4286">IF($D4286="","",IF($I4286="","(trống REF)",IFERROR(INDEX(MASTER_SOURCE!$B$2:$B$495,MATCH($I4286,MASTER_SOURCE!$A$2:$A$495,0)),"(REF không có trong MASTER_SOURCE)")))</f>
        <v/>
      </c>
      <c r="K4286" s="22">
        <f t="array" ref="K4286">IF($D4286="","",IFERROR(INDEX(MASTER_SOURCE!$C$2:$C$495,MATCH($I4286,MASTER_SOURCE!$A$2:$A$495,0)),""))</f>
        <v/>
      </c>
      <c r="L4286" s="22">
        <f t="array" ref="L4286">IF($D4286="","",IFERROR(INDEX(MASTER_SOURCE!$D$2:$D$495,MATCH($I4286,MASTER_SOURCE!$A$2:$A$495,0)),""))</f>
        <v/>
      </c>
      <c r="M4286" s="24" t="n"/>
      <c r="N4286" s="24" t="n"/>
      <c r="O4286" s="24" t="n"/>
      <c r="P4286" s="24" t="n"/>
      <c r="Q4286" s="22">
        <f>IF($D4286="","",IF(AND(OR(DANH_MUC!$L$5&lt;&gt;"Có",M4286="Có"),OR(DANH_MUC!$L$6&lt;&gt;"Có",N4286="Có"),OR(DANH_MUC!$L$7&lt;&gt;"Có",O4286="Có"),OR(DANH_MUC!$L$8&lt;&gt;"Có",P4286="Có")),"Có","Không"))</f>
        <v/>
      </c>
      <c r="R4286" s="22">
        <f>IF($D4286="","",IF(COUNTIF($D$2:$D4286,$D4286)&gt;1,"Trùng",""))</f>
        <v/>
      </c>
      <c r="S4286" s="22">
        <f>IF($D4286="","",IF(AND(LEN($D4286)=10,LEFT($D4286,1)="0",ISNUMBER(--$D4286)),"Có","Không"))</f>
        <v/>
      </c>
      <c r="T4286" s="22">
        <f>IF($D4286="","",IF(AND($C4286&lt;&gt;"",$Q4286="Có",$R4286="",$S4286="Có",AND($L4286&lt;&gt;"",OR($L4286&lt;&gt;"Chưa xác định",DANH_MUC!$L$9="Có"))),"Có","Không"))</f>
        <v/>
      </c>
      <c r="U4286" s="22">
        <f>IF(OR($D4286="",$T4286="Có"),"",IF($C4286="","Thiếu họ tên; ","")&amp;IF($S4286&lt;&gt;"Có","SĐT sai định dạng; ","")&amp;IF($R4286="Trùng","Trùng SĐT; ","")&amp;IF($Q4286&lt;&gt;"Có","Thiếu đồng ý bắt buộc; ","")&amp;IF($L4286="","Thiếu/sai Mã REF; ",IF(AND($L4286="Chưa xác định",DANH_MUC!$L$9&lt;&gt;"Có"),"Nguồn chưa xác định; ","")))</f>
        <v/>
      </c>
      <c r="V4286" s="22">
        <f>IF(OR($D4286="",$R4286="Trùng"),"",IF(COUNTIF(ORDERS!$C$2:$C$4995,$D4286)&gt;0,"Có","Không"))</f>
        <v/>
      </c>
      <c r="W4286" s="22">
        <f>IF(OR($D4286="",$R4286="Trùng"),"",COUNTIFS(ORDERS!$C$2:$C$4995,$D4286,ORDERS!$L$2:$L$4995,"Đã chuyển khoản"))</f>
        <v/>
      </c>
      <c r="X4286" s="23">
        <f>IF(OR($D4286="",$R4286="Trùng"),"",SUMIFS(ORDERS!$J$2:$J$4995,ORDERS!$C$2:$C$4995,$D4286,ORDERS!$L$2:$L$4995,"Đã chuyển khoản"))</f>
        <v/>
      </c>
      <c r="Y4286" s="24" t="n"/>
    </row>
    <row r="4287" ht="14.25" customHeight="1" s="40">
      <c r="A4287" s="24" t="n"/>
      <c r="B4287" s="27" t="n"/>
      <c r="C4287" s="24" t="n"/>
      <c r="D4287" s="28" t="n"/>
      <c r="E4287" s="29" t="n"/>
      <c r="F4287" s="24" t="n"/>
      <c r="G4287" s="24" t="n"/>
      <c r="H4287" s="21">
        <f>IF(ISNUMBER($B4287),INT($B4287)-WEEKDAY($B4287,2)+1,"")</f>
        <v/>
      </c>
      <c r="I4287" s="24" t="n"/>
      <c r="J4287" s="22">
        <f t="array" ref="J4287">IF($D4287="","",IF($I4287="","(trống REF)",IFERROR(INDEX(MASTER_SOURCE!$B$2:$B$495,MATCH($I4287,MASTER_SOURCE!$A$2:$A$495,0)),"(REF không có trong MASTER_SOURCE)")))</f>
        <v/>
      </c>
      <c r="K4287" s="22">
        <f t="array" ref="K4287">IF($D4287="","",IFERROR(INDEX(MASTER_SOURCE!$C$2:$C$495,MATCH($I4287,MASTER_SOURCE!$A$2:$A$495,0)),""))</f>
        <v/>
      </c>
      <c r="L4287" s="22">
        <f t="array" ref="L4287">IF($D4287="","",IFERROR(INDEX(MASTER_SOURCE!$D$2:$D$495,MATCH($I4287,MASTER_SOURCE!$A$2:$A$495,0)),""))</f>
        <v/>
      </c>
      <c r="M4287" s="24" t="n"/>
      <c r="N4287" s="24" t="n"/>
      <c r="O4287" s="24" t="n"/>
      <c r="P4287" s="24" t="n"/>
      <c r="Q4287" s="22">
        <f>IF($D4287="","",IF(AND(OR(DANH_MUC!$L$5&lt;&gt;"Có",M4287="Có"),OR(DANH_MUC!$L$6&lt;&gt;"Có",N4287="Có"),OR(DANH_MUC!$L$7&lt;&gt;"Có",O4287="Có"),OR(DANH_MUC!$L$8&lt;&gt;"Có",P4287="Có")),"Có","Không"))</f>
        <v/>
      </c>
      <c r="R4287" s="22">
        <f>IF($D4287="","",IF(COUNTIF($D$2:$D4287,$D4287)&gt;1,"Trùng",""))</f>
        <v/>
      </c>
      <c r="S4287" s="22">
        <f>IF($D4287="","",IF(AND(LEN($D4287)=10,LEFT($D4287,1)="0",ISNUMBER(--$D4287)),"Có","Không"))</f>
        <v/>
      </c>
      <c r="T4287" s="22">
        <f>IF($D4287="","",IF(AND($C4287&lt;&gt;"",$Q4287="Có",$R4287="",$S4287="Có",AND($L4287&lt;&gt;"",OR($L4287&lt;&gt;"Chưa xác định",DANH_MUC!$L$9="Có"))),"Có","Không"))</f>
        <v/>
      </c>
      <c r="U4287" s="22">
        <f>IF(OR($D4287="",$T4287="Có"),"",IF($C4287="","Thiếu họ tên; ","")&amp;IF($S4287&lt;&gt;"Có","SĐT sai định dạng; ","")&amp;IF($R4287="Trùng","Trùng SĐT; ","")&amp;IF($Q4287&lt;&gt;"Có","Thiếu đồng ý bắt buộc; ","")&amp;IF($L4287="","Thiếu/sai Mã REF; ",IF(AND($L4287="Chưa xác định",DANH_MUC!$L$9&lt;&gt;"Có"),"Nguồn chưa xác định; ","")))</f>
        <v/>
      </c>
      <c r="V4287" s="22">
        <f>IF(OR($D4287="",$R4287="Trùng"),"",IF(COUNTIF(ORDERS!$C$2:$C$4995,$D4287)&gt;0,"Có","Không"))</f>
        <v/>
      </c>
      <c r="W4287" s="22">
        <f>IF(OR($D4287="",$R4287="Trùng"),"",COUNTIFS(ORDERS!$C$2:$C$4995,$D4287,ORDERS!$L$2:$L$4995,"Đã chuyển khoản"))</f>
        <v/>
      </c>
      <c r="X4287" s="23">
        <f>IF(OR($D4287="",$R4287="Trùng"),"",SUMIFS(ORDERS!$J$2:$J$4995,ORDERS!$C$2:$C$4995,$D4287,ORDERS!$L$2:$L$4995,"Đã chuyển khoản"))</f>
        <v/>
      </c>
      <c r="Y4287" s="24" t="n"/>
    </row>
    <row r="4288" ht="14.25" customHeight="1" s="40">
      <c r="A4288" s="24" t="n"/>
      <c r="B4288" s="27" t="n"/>
      <c r="C4288" s="24" t="n"/>
      <c r="D4288" s="28" t="n"/>
      <c r="E4288" s="29" t="n"/>
      <c r="F4288" s="24" t="n"/>
      <c r="G4288" s="24" t="n"/>
      <c r="H4288" s="21">
        <f>IF(ISNUMBER($B4288),INT($B4288)-WEEKDAY($B4288,2)+1,"")</f>
        <v/>
      </c>
      <c r="I4288" s="24" t="n"/>
      <c r="J4288" s="22">
        <f t="array" ref="J4288">IF($D4288="","",IF($I4288="","(trống REF)",IFERROR(INDEX(MASTER_SOURCE!$B$2:$B$495,MATCH($I4288,MASTER_SOURCE!$A$2:$A$495,0)),"(REF không có trong MASTER_SOURCE)")))</f>
        <v/>
      </c>
      <c r="K4288" s="22">
        <f t="array" ref="K4288">IF($D4288="","",IFERROR(INDEX(MASTER_SOURCE!$C$2:$C$495,MATCH($I4288,MASTER_SOURCE!$A$2:$A$495,0)),""))</f>
        <v/>
      </c>
      <c r="L4288" s="22">
        <f t="array" ref="L4288">IF($D4288="","",IFERROR(INDEX(MASTER_SOURCE!$D$2:$D$495,MATCH($I4288,MASTER_SOURCE!$A$2:$A$495,0)),""))</f>
        <v/>
      </c>
      <c r="M4288" s="24" t="n"/>
      <c r="N4288" s="24" t="n"/>
      <c r="O4288" s="24" t="n"/>
      <c r="P4288" s="24" t="n"/>
      <c r="Q4288" s="22">
        <f>IF($D4288="","",IF(AND(OR(DANH_MUC!$L$5&lt;&gt;"Có",M4288="Có"),OR(DANH_MUC!$L$6&lt;&gt;"Có",N4288="Có"),OR(DANH_MUC!$L$7&lt;&gt;"Có",O4288="Có"),OR(DANH_MUC!$L$8&lt;&gt;"Có",P4288="Có")),"Có","Không"))</f>
        <v/>
      </c>
      <c r="R4288" s="22">
        <f>IF($D4288="","",IF(COUNTIF($D$2:$D4288,$D4288)&gt;1,"Trùng",""))</f>
        <v/>
      </c>
      <c r="S4288" s="22">
        <f>IF($D4288="","",IF(AND(LEN($D4288)=10,LEFT($D4288,1)="0",ISNUMBER(--$D4288)),"Có","Không"))</f>
        <v/>
      </c>
      <c r="T4288" s="22">
        <f>IF($D4288="","",IF(AND($C4288&lt;&gt;"",$Q4288="Có",$R4288="",$S4288="Có",AND($L4288&lt;&gt;"",OR($L4288&lt;&gt;"Chưa xác định",DANH_MUC!$L$9="Có"))),"Có","Không"))</f>
        <v/>
      </c>
      <c r="U4288" s="22">
        <f>IF(OR($D4288="",$T4288="Có"),"",IF($C4288="","Thiếu họ tên; ","")&amp;IF($S4288&lt;&gt;"Có","SĐT sai định dạng; ","")&amp;IF($R4288="Trùng","Trùng SĐT; ","")&amp;IF($Q4288&lt;&gt;"Có","Thiếu đồng ý bắt buộc; ","")&amp;IF($L4288="","Thiếu/sai Mã REF; ",IF(AND($L4288="Chưa xác định",DANH_MUC!$L$9&lt;&gt;"Có"),"Nguồn chưa xác định; ","")))</f>
        <v/>
      </c>
      <c r="V4288" s="22">
        <f>IF(OR($D4288="",$R4288="Trùng"),"",IF(COUNTIF(ORDERS!$C$2:$C$4995,$D4288)&gt;0,"Có","Không"))</f>
        <v/>
      </c>
      <c r="W4288" s="22">
        <f>IF(OR($D4288="",$R4288="Trùng"),"",COUNTIFS(ORDERS!$C$2:$C$4995,$D4288,ORDERS!$L$2:$L$4995,"Đã chuyển khoản"))</f>
        <v/>
      </c>
      <c r="X4288" s="23">
        <f>IF(OR($D4288="",$R4288="Trùng"),"",SUMIFS(ORDERS!$J$2:$J$4995,ORDERS!$C$2:$C$4995,$D4288,ORDERS!$L$2:$L$4995,"Đã chuyển khoản"))</f>
        <v/>
      </c>
      <c r="Y4288" s="24" t="n"/>
    </row>
    <row r="4289" ht="14.25" customHeight="1" s="40">
      <c r="A4289" s="24" t="n"/>
      <c r="B4289" s="27" t="n"/>
      <c r="C4289" s="24" t="n"/>
      <c r="D4289" s="28" t="n"/>
      <c r="E4289" s="29" t="n"/>
      <c r="F4289" s="24" t="n"/>
      <c r="G4289" s="24" t="n"/>
      <c r="H4289" s="21">
        <f>IF(ISNUMBER($B4289),INT($B4289)-WEEKDAY($B4289,2)+1,"")</f>
        <v/>
      </c>
      <c r="I4289" s="24" t="n"/>
      <c r="J4289" s="22">
        <f t="array" ref="J4289">IF($D4289="","",IF($I4289="","(trống REF)",IFERROR(INDEX(MASTER_SOURCE!$B$2:$B$495,MATCH($I4289,MASTER_SOURCE!$A$2:$A$495,0)),"(REF không có trong MASTER_SOURCE)")))</f>
        <v/>
      </c>
      <c r="K4289" s="22">
        <f t="array" ref="K4289">IF($D4289="","",IFERROR(INDEX(MASTER_SOURCE!$C$2:$C$495,MATCH($I4289,MASTER_SOURCE!$A$2:$A$495,0)),""))</f>
        <v/>
      </c>
      <c r="L4289" s="22">
        <f t="array" ref="L4289">IF($D4289="","",IFERROR(INDEX(MASTER_SOURCE!$D$2:$D$495,MATCH($I4289,MASTER_SOURCE!$A$2:$A$495,0)),""))</f>
        <v/>
      </c>
      <c r="M4289" s="24" t="n"/>
      <c r="N4289" s="24" t="n"/>
      <c r="O4289" s="24" t="n"/>
      <c r="P4289" s="24" t="n"/>
      <c r="Q4289" s="22">
        <f>IF($D4289="","",IF(AND(OR(DANH_MUC!$L$5&lt;&gt;"Có",M4289="Có"),OR(DANH_MUC!$L$6&lt;&gt;"Có",N4289="Có"),OR(DANH_MUC!$L$7&lt;&gt;"Có",O4289="Có"),OR(DANH_MUC!$L$8&lt;&gt;"Có",P4289="Có")),"Có","Không"))</f>
        <v/>
      </c>
      <c r="R4289" s="22">
        <f>IF($D4289="","",IF(COUNTIF($D$2:$D4289,$D4289)&gt;1,"Trùng",""))</f>
        <v/>
      </c>
      <c r="S4289" s="22">
        <f>IF($D4289="","",IF(AND(LEN($D4289)=10,LEFT($D4289,1)="0",ISNUMBER(--$D4289)),"Có","Không"))</f>
        <v/>
      </c>
      <c r="T4289" s="22">
        <f>IF($D4289="","",IF(AND($C4289&lt;&gt;"",$Q4289="Có",$R4289="",$S4289="Có",AND($L4289&lt;&gt;"",OR($L4289&lt;&gt;"Chưa xác định",DANH_MUC!$L$9="Có"))),"Có","Không"))</f>
        <v/>
      </c>
      <c r="U4289" s="22">
        <f>IF(OR($D4289="",$T4289="Có"),"",IF($C4289="","Thiếu họ tên; ","")&amp;IF($S4289&lt;&gt;"Có","SĐT sai định dạng; ","")&amp;IF($R4289="Trùng","Trùng SĐT; ","")&amp;IF($Q4289&lt;&gt;"Có","Thiếu đồng ý bắt buộc; ","")&amp;IF($L4289="","Thiếu/sai Mã REF; ",IF(AND($L4289="Chưa xác định",DANH_MUC!$L$9&lt;&gt;"Có"),"Nguồn chưa xác định; ","")))</f>
        <v/>
      </c>
      <c r="V4289" s="22">
        <f>IF(OR($D4289="",$R4289="Trùng"),"",IF(COUNTIF(ORDERS!$C$2:$C$4995,$D4289)&gt;0,"Có","Không"))</f>
        <v/>
      </c>
      <c r="W4289" s="22">
        <f>IF(OR($D4289="",$R4289="Trùng"),"",COUNTIFS(ORDERS!$C$2:$C$4995,$D4289,ORDERS!$L$2:$L$4995,"Đã chuyển khoản"))</f>
        <v/>
      </c>
      <c r="X4289" s="23">
        <f>IF(OR($D4289="",$R4289="Trùng"),"",SUMIFS(ORDERS!$J$2:$J$4995,ORDERS!$C$2:$C$4995,$D4289,ORDERS!$L$2:$L$4995,"Đã chuyển khoản"))</f>
        <v/>
      </c>
      <c r="Y4289" s="24" t="n"/>
    </row>
    <row r="4290" ht="14.25" customHeight="1" s="40">
      <c r="A4290" s="24" t="n"/>
      <c r="B4290" s="27" t="n"/>
      <c r="C4290" s="24" t="n"/>
      <c r="D4290" s="28" t="n"/>
      <c r="E4290" s="29" t="n"/>
      <c r="F4290" s="24" t="n"/>
      <c r="G4290" s="24" t="n"/>
      <c r="H4290" s="21">
        <f>IF(ISNUMBER($B4290),INT($B4290)-WEEKDAY($B4290,2)+1,"")</f>
        <v/>
      </c>
      <c r="I4290" s="24" t="n"/>
      <c r="J4290" s="22">
        <f t="array" ref="J4290">IF($D4290="","",IF($I4290="","(trống REF)",IFERROR(INDEX(MASTER_SOURCE!$B$2:$B$495,MATCH($I4290,MASTER_SOURCE!$A$2:$A$495,0)),"(REF không có trong MASTER_SOURCE)")))</f>
        <v/>
      </c>
      <c r="K4290" s="22">
        <f t="array" ref="K4290">IF($D4290="","",IFERROR(INDEX(MASTER_SOURCE!$C$2:$C$495,MATCH($I4290,MASTER_SOURCE!$A$2:$A$495,0)),""))</f>
        <v/>
      </c>
      <c r="L4290" s="22">
        <f t="array" ref="L4290">IF($D4290="","",IFERROR(INDEX(MASTER_SOURCE!$D$2:$D$495,MATCH($I4290,MASTER_SOURCE!$A$2:$A$495,0)),""))</f>
        <v/>
      </c>
      <c r="M4290" s="24" t="n"/>
      <c r="N4290" s="24" t="n"/>
      <c r="O4290" s="24" t="n"/>
      <c r="P4290" s="24" t="n"/>
      <c r="Q4290" s="22">
        <f>IF($D4290="","",IF(AND(OR(DANH_MUC!$L$5&lt;&gt;"Có",M4290="Có"),OR(DANH_MUC!$L$6&lt;&gt;"Có",N4290="Có"),OR(DANH_MUC!$L$7&lt;&gt;"Có",O4290="Có"),OR(DANH_MUC!$L$8&lt;&gt;"Có",P4290="Có")),"Có","Không"))</f>
        <v/>
      </c>
      <c r="R4290" s="22">
        <f>IF($D4290="","",IF(COUNTIF($D$2:$D4290,$D4290)&gt;1,"Trùng",""))</f>
        <v/>
      </c>
      <c r="S4290" s="22">
        <f>IF($D4290="","",IF(AND(LEN($D4290)=10,LEFT($D4290,1)="0",ISNUMBER(--$D4290)),"Có","Không"))</f>
        <v/>
      </c>
      <c r="T4290" s="22">
        <f>IF($D4290="","",IF(AND($C4290&lt;&gt;"",$Q4290="Có",$R4290="",$S4290="Có",AND($L4290&lt;&gt;"",OR($L4290&lt;&gt;"Chưa xác định",DANH_MUC!$L$9="Có"))),"Có","Không"))</f>
        <v/>
      </c>
      <c r="U4290" s="22">
        <f>IF(OR($D4290="",$T4290="Có"),"",IF($C4290="","Thiếu họ tên; ","")&amp;IF($S4290&lt;&gt;"Có","SĐT sai định dạng; ","")&amp;IF($R4290="Trùng","Trùng SĐT; ","")&amp;IF($Q4290&lt;&gt;"Có","Thiếu đồng ý bắt buộc; ","")&amp;IF($L4290="","Thiếu/sai Mã REF; ",IF(AND($L4290="Chưa xác định",DANH_MUC!$L$9&lt;&gt;"Có"),"Nguồn chưa xác định; ","")))</f>
        <v/>
      </c>
      <c r="V4290" s="22">
        <f>IF(OR($D4290="",$R4290="Trùng"),"",IF(COUNTIF(ORDERS!$C$2:$C$4995,$D4290)&gt;0,"Có","Không"))</f>
        <v/>
      </c>
      <c r="W4290" s="22">
        <f>IF(OR($D4290="",$R4290="Trùng"),"",COUNTIFS(ORDERS!$C$2:$C$4995,$D4290,ORDERS!$L$2:$L$4995,"Đã chuyển khoản"))</f>
        <v/>
      </c>
      <c r="X4290" s="23">
        <f>IF(OR($D4290="",$R4290="Trùng"),"",SUMIFS(ORDERS!$J$2:$J$4995,ORDERS!$C$2:$C$4995,$D4290,ORDERS!$L$2:$L$4995,"Đã chuyển khoản"))</f>
        <v/>
      </c>
      <c r="Y4290" s="24" t="n"/>
    </row>
    <row r="4291" ht="14.25" customHeight="1" s="40">
      <c r="A4291" s="24" t="n"/>
      <c r="B4291" s="27" t="n"/>
      <c r="C4291" s="24" t="n"/>
      <c r="D4291" s="28" t="n"/>
      <c r="E4291" s="29" t="n"/>
      <c r="F4291" s="24" t="n"/>
      <c r="G4291" s="24" t="n"/>
      <c r="H4291" s="21">
        <f>IF(ISNUMBER($B4291),INT($B4291)-WEEKDAY($B4291,2)+1,"")</f>
        <v/>
      </c>
      <c r="I4291" s="24" t="n"/>
      <c r="J4291" s="22">
        <f t="array" ref="J4291">IF($D4291="","",IF($I4291="","(trống REF)",IFERROR(INDEX(MASTER_SOURCE!$B$2:$B$495,MATCH($I4291,MASTER_SOURCE!$A$2:$A$495,0)),"(REF không có trong MASTER_SOURCE)")))</f>
        <v/>
      </c>
      <c r="K4291" s="22">
        <f t="array" ref="K4291">IF($D4291="","",IFERROR(INDEX(MASTER_SOURCE!$C$2:$C$495,MATCH($I4291,MASTER_SOURCE!$A$2:$A$495,0)),""))</f>
        <v/>
      </c>
      <c r="L4291" s="22">
        <f t="array" ref="L4291">IF($D4291="","",IFERROR(INDEX(MASTER_SOURCE!$D$2:$D$495,MATCH($I4291,MASTER_SOURCE!$A$2:$A$495,0)),""))</f>
        <v/>
      </c>
      <c r="M4291" s="24" t="n"/>
      <c r="N4291" s="24" t="n"/>
      <c r="O4291" s="24" t="n"/>
      <c r="P4291" s="24" t="n"/>
      <c r="Q4291" s="22">
        <f>IF($D4291="","",IF(AND(OR(DANH_MUC!$L$5&lt;&gt;"Có",M4291="Có"),OR(DANH_MUC!$L$6&lt;&gt;"Có",N4291="Có"),OR(DANH_MUC!$L$7&lt;&gt;"Có",O4291="Có"),OR(DANH_MUC!$L$8&lt;&gt;"Có",P4291="Có")),"Có","Không"))</f>
        <v/>
      </c>
      <c r="R4291" s="22">
        <f>IF($D4291="","",IF(COUNTIF($D$2:$D4291,$D4291)&gt;1,"Trùng",""))</f>
        <v/>
      </c>
      <c r="S4291" s="22">
        <f>IF($D4291="","",IF(AND(LEN($D4291)=10,LEFT($D4291,1)="0",ISNUMBER(--$D4291)),"Có","Không"))</f>
        <v/>
      </c>
      <c r="T4291" s="22">
        <f>IF($D4291="","",IF(AND($C4291&lt;&gt;"",$Q4291="Có",$R4291="",$S4291="Có",AND($L4291&lt;&gt;"",OR($L4291&lt;&gt;"Chưa xác định",DANH_MUC!$L$9="Có"))),"Có","Không"))</f>
        <v/>
      </c>
      <c r="U4291" s="22">
        <f>IF(OR($D4291="",$T4291="Có"),"",IF($C4291="","Thiếu họ tên; ","")&amp;IF($S4291&lt;&gt;"Có","SĐT sai định dạng; ","")&amp;IF($R4291="Trùng","Trùng SĐT; ","")&amp;IF($Q4291&lt;&gt;"Có","Thiếu đồng ý bắt buộc; ","")&amp;IF($L4291="","Thiếu/sai Mã REF; ",IF(AND($L4291="Chưa xác định",DANH_MUC!$L$9&lt;&gt;"Có"),"Nguồn chưa xác định; ","")))</f>
        <v/>
      </c>
      <c r="V4291" s="22">
        <f>IF(OR($D4291="",$R4291="Trùng"),"",IF(COUNTIF(ORDERS!$C$2:$C$4995,$D4291)&gt;0,"Có","Không"))</f>
        <v/>
      </c>
      <c r="W4291" s="22">
        <f>IF(OR($D4291="",$R4291="Trùng"),"",COUNTIFS(ORDERS!$C$2:$C$4995,$D4291,ORDERS!$L$2:$L$4995,"Đã chuyển khoản"))</f>
        <v/>
      </c>
      <c r="X4291" s="23">
        <f>IF(OR($D4291="",$R4291="Trùng"),"",SUMIFS(ORDERS!$J$2:$J$4995,ORDERS!$C$2:$C$4995,$D4291,ORDERS!$L$2:$L$4995,"Đã chuyển khoản"))</f>
        <v/>
      </c>
      <c r="Y4291" s="24" t="n"/>
    </row>
    <row r="4292" ht="14.25" customHeight="1" s="40">
      <c r="A4292" s="24" t="n"/>
      <c r="B4292" s="27" t="n"/>
      <c r="C4292" s="24" t="n"/>
      <c r="D4292" s="28" t="n"/>
      <c r="E4292" s="29" t="n"/>
      <c r="F4292" s="24" t="n"/>
      <c r="G4292" s="24" t="n"/>
      <c r="H4292" s="21">
        <f>IF(ISNUMBER($B4292),INT($B4292)-WEEKDAY($B4292,2)+1,"")</f>
        <v/>
      </c>
      <c r="I4292" s="24" t="n"/>
      <c r="J4292" s="22">
        <f t="array" ref="J4292">IF($D4292="","",IF($I4292="","(trống REF)",IFERROR(INDEX(MASTER_SOURCE!$B$2:$B$495,MATCH($I4292,MASTER_SOURCE!$A$2:$A$495,0)),"(REF không có trong MASTER_SOURCE)")))</f>
        <v/>
      </c>
      <c r="K4292" s="22">
        <f t="array" ref="K4292">IF($D4292="","",IFERROR(INDEX(MASTER_SOURCE!$C$2:$C$495,MATCH($I4292,MASTER_SOURCE!$A$2:$A$495,0)),""))</f>
        <v/>
      </c>
      <c r="L4292" s="22">
        <f t="array" ref="L4292">IF($D4292="","",IFERROR(INDEX(MASTER_SOURCE!$D$2:$D$495,MATCH($I4292,MASTER_SOURCE!$A$2:$A$495,0)),""))</f>
        <v/>
      </c>
      <c r="M4292" s="24" t="n"/>
      <c r="N4292" s="24" t="n"/>
      <c r="O4292" s="24" t="n"/>
      <c r="P4292" s="24" t="n"/>
      <c r="Q4292" s="22">
        <f>IF($D4292="","",IF(AND(OR(DANH_MUC!$L$5&lt;&gt;"Có",M4292="Có"),OR(DANH_MUC!$L$6&lt;&gt;"Có",N4292="Có"),OR(DANH_MUC!$L$7&lt;&gt;"Có",O4292="Có"),OR(DANH_MUC!$L$8&lt;&gt;"Có",P4292="Có")),"Có","Không"))</f>
        <v/>
      </c>
      <c r="R4292" s="22">
        <f>IF($D4292="","",IF(COUNTIF($D$2:$D4292,$D4292)&gt;1,"Trùng",""))</f>
        <v/>
      </c>
      <c r="S4292" s="22">
        <f>IF($D4292="","",IF(AND(LEN($D4292)=10,LEFT($D4292,1)="0",ISNUMBER(--$D4292)),"Có","Không"))</f>
        <v/>
      </c>
      <c r="T4292" s="22">
        <f>IF($D4292="","",IF(AND($C4292&lt;&gt;"",$Q4292="Có",$R4292="",$S4292="Có",AND($L4292&lt;&gt;"",OR($L4292&lt;&gt;"Chưa xác định",DANH_MUC!$L$9="Có"))),"Có","Không"))</f>
        <v/>
      </c>
      <c r="U4292" s="22">
        <f>IF(OR($D4292="",$T4292="Có"),"",IF($C4292="","Thiếu họ tên; ","")&amp;IF($S4292&lt;&gt;"Có","SĐT sai định dạng; ","")&amp;IF($R4292="Trùng","Trùng SĐT; ","")&amp;IF($Q4292&lt;&gt;"Có","Thiếu đồng ý bắt buộc; ","")&amp;IF($L4292="","Thiếu/sai Mã REF; ",IF(AND($L4292="Chưa xác định",DANH_MUC!$L$9&lt;&gt;"Có"),"Nguồn chưa xác định; ","")))</f>
        <v/>
      </c>
      <c r="V4292" s="22">
        <f>IF(OR($D4292="",$R4292="Trùng"),"",IF(COUNTIF(ORDERS!$C$2:$C$4995,$D4292)&gt;0,"Có","Không"))</f>
        <v/>
      </c>
      <c r="W4292" s="22">
        <f>IF(OR($D4292="",$R4292="Trùng"),"",COUNTIFS(ORDERS!$C$2:$C$4995,$D4292,ORDERS!$L$2:$L$4995,"Đã chuyển khoản"))</f>
        <v/>
      </c>
      <c r="X4292" s="23">
        <f>IF(OR($D4292="",$R4292="Trùng"),"",SUMIFS(ORDERS!$J$2:$J$4995,ORDERS!$C$2:$C$4995,$D4292,ORDERS!$L$2:$L$4995,"Đã chuyển khoản"))</f>
        <v/>
      </c>
      <c r="Y4292" s="24" t="n"/>
    </row>
    <row r="4293" ht="14.25" customHeight="1" s="40">
      <c r="A4293" s="24" t="n"/>
      <c r="B4293" s="27" t="n"/>
      <c r="C4293" s="24" t="n"/>
      <c r="D4293" s="28" t="n"/>
      <c r="E4293" s="29" t="n"/>
      <c r="F4293" s="24" t="n"/>
      <c r="G4293" s="24" t="n"/>
      <c r="H4293" s="21">
        <f>IF(ISNUMBER($B4293),INT($B4293)-WEEKDAY($B4293,2)+1,"")</f>
        <v/>
      </c>
      <c r="I4293" s="24" t="n"/>
      <c r="J4293" s="22">
        <f t="array" ref="J4293">IF($D4293="","",IF($I4293="","(trống REF)",IFERROR(INDEX(MASTER_SOURCE!$B$2:$B$495,MATCH($I4293,MASTER_SOURCE!$A$2:$A$495,0)),"(REF không có trong MASTER_SOURCE)")))</f>
        <v/>
      </c>
      <c r="K4293" s="22">
        <f t="array" ref="K4293">IF($D4293="","",IFERROR(INDEX(MASTER_SOURCE!$C$2:$C$495,MATCH($I4293,MASTER_SOURCE!$A$2:$A$495,0)),""))</f>
        <v/>
      </c>
      <c r="L4293" s="22">
        <f t="array" ref="L4293">IF($D4293="","",IFERROR(INDEX(MASTER_SOURCE!$D$2:$D$495,MATCH($I4293,MASTER_SOURCE!$A$2:$A$495,0)),""))</f>
        <v/>
      </c>
      <c r="M4293" s="24" t="n"/>
      <c r="N4293" s="24" t="n"/>
      <c r="O4293" s="24" t="n"/>
      <c r="P4293" s="24" t="n"/>
      <c r="Q4293" s="22">
        <f>IF($D4293="","",IF(AND(OR(DANH_MUC!$L$5&lt;&gt;"Có",M4293="Có"),OR(DANH_MUC!$L$6&lt;&gt;"Có",N4293="Có"),OR(DANH_MUC!$L$7&lt;&gt;"Có",O4293="Có"),OR(DANH_MUC!$L$8&lt;&gt;"Có",P4293="Có")),"Có","Không"))</f>
        <v/>
      </c>
      <c r="R4293" s="22">
        <f>IF($D4293="","",IF(COUNTIF($D$2:$D4293,$D4293)&gt;1,"Trùng",""))</f>
        <v/>
      </c>
      <c r="S4293" s="22">
        <f>IF($D4293="","",IF(AND(LEN($D4293)=10,LEFT($D4293,1)="0",ISNUMBER(--$D4293)),"Có","Không"))</f>
        <v/>
      </c>
      <c r="T4293" s="22">
        <f>IF($D4293="","",IF(AND($C4293&lt;&gt;"",$Q4293="Có",$R4293="",$S4293="Có",AND($L4293&lt;&gt;"",OR($L4293&lt;&gt;"Chưa xác định",DANH_MUC!$L$9="Có"))),"Có","Không"))</f>
        <v/>
      </c>
      <c r="U4293" s="22">
        <f>IF(OR($D4293="",$T4293="Có"),"",IF($C4293="","Thiếu họ tên; ","")&amp;IF($S4293&lt;&gt;"Có","SĐT sai định dạng; ","")&amp;IF($R4293="Trùng","Trùng SĐT; ","")&amp;IF($Q4293&lt;&gt;"Có","Thiếu đồng ý bắt buộc; ","")&amp;IF($L4293="","Thiếu/sai Mã REF; ",IF(AND($L4293="Chưa xác định",DANH_MUC!$L$9&lt;&gt;"Có"),"Nguồn chưa xác định; ","")))</f>
        <v/>
      </c>
      <c r="V4293" s="22">
        <f>IF(OR($D4293="",$R4293="Trùng"),"",IF(COUNTIF(ORDERS!$C$2:$C$4995,$D4293)&gt;0,"Có","Không"))</f>
        <v/>
      </c>
      <c r="W4293" s="22">
        <f>IF(OR($D4293="",$R4293="Trùng"),"",COUNTIFS(ORDERS!$C$2:$C$4995,$D4293,ORDERS!$L$2:$L$4995,"Đã chuyển khoản"))</f>
        <v/>
      </c>
      <c r="X4293" s="23">
        <f>IF(OR($D4293="",$R4293="Trùng"),"",SUMIFS(ORDERS!$J$2:$J$4995,ORDERS!$C$2:$C$4995,$D4293,ORDERS!$L$2:$L$4995,"Đã chuyển khoản"))</f>
        <v/>
      </c>
      <c r="Y4293" s="24" t="n"/>
    </row>
    <row r="4294" ht="14.25" customHeight="1" s="40">
      <c r="A4294" s="24" t="n"/>
      <c r="B4294" s="27" t="n"/>
      <c r="C4294" s="24" t="n"/>
      <c r="D4294" s="28" t="n"/>
      <c r="E4294" s="29" t="n"/>
      <c r="F4294" s="24" t="n"/>
      <c r="G4294" s="24" t="n"/>
      <c r="H4294" s="21">
        <f>IF(ISNUMBER($B4294),INT($B4294)-WEEKDAY($B4294,2)+1,"")</f>
        <v/>
      </c>
      <c r="I4294" s="24" t="n"/>
      <c r="J4294" s="22">
        <f t="array" ref="J4294">IF($D4294="","",IF($I4294="","(trống REF)",IFERROR(INDEX(MASTER_SOURCE!$B$2:$B$495,MATCH($I4294,MASTER_SOURCE!$A$2:$A$495,0)),"(REF không có trong MASTER_SOURCE)")))</f>
        <v/>
      </c>
      <c r="K4294" s="22">
        <f t="array" ref="K4294">IF($D4294="","",IFERROR(INDEX(MASTER_SOURCE!$C$2:$C$495,MATCH($I4294,MASTER_SOURCE!$A$2:$A$495,0)),""))</f>
        <v/>
      </c>
      <c r="L4294" s="22">
        <f t="array" ref="L4294">IF($D4294="","",IFERROR(INDEX(MASTER_SOURCE!$D$2:$D$495,MATCH($I4294,MASTER_SOURCE!$A$2:$A$495,0)),""))</f>
        <v/>
      </c>
      <c r="M4294" s="24" t="n"/>
      <c r="N4294" s="24" t="n"/>
      <c r="O4294" s="24" t="n"/>
      <c r="P4294" s="24" t="n"/>
      <c r="Q4294" s="22">
        <f>IF($D4294="","",IF(AND(OR(DANH_MUC!$L$5&lt;&gt;"Có",M4294="Có"),OR(DANH_MUC!$L$6&lt;&gt;"Có",N4294="Có"),OR(DANH_MUC!$L$7&lt;&gt;"Có",O4294="Có"),OR(DANH_MUC!$L$8&lt;&gt;"Có",P4294="Có")),"Có","Không"))</f>
        <v/>
      </c>
      <c r="R4294" s="22">
        <f>IF($D4294="","",IF(COUNTIF($D$2:$D4294,$D4294)&gt;1,"Trùng",""))</f>
        <v/>
      </c>
      <c r="S4294" s="22">
        <f>IF($D4294="","",IF(AND(LEN($D4294)=10,LEFT($D4294,1)="0",ISNUMBER(--$D4294)),"Có","Không"))</f>
        <v/>
      </c>
      <c r="T4294" s="22">
        <f>IF($D4294="","",IF(AND($C4294&lt;&gt;"",$Q4294="Có",$R4294="",$S4294="Có",AND($L4294&lt;&gt;"",OR($L4294&lt;&gt;"Chưa xác định",DANH_MUC!$L$9="Có"))),"Có","Không"))</f>
        <v/>
      </c>
      <c r="U4294" s="22">
        <f>IF(OR($D4294="",$T4294="Có"),"",IF($C4294="","Thiếu họ tên; ","")&amp;IF($S4294&lt;&gt;"Có","SĐT sai định dạng; ","")&amp;IF($R4294="Trùng","Trùng SĐT; ","")&amp;IF($Q4294&lt;&gt;"Có","Thiếu đồng ý bắt buộc; ","")&amp;IF($L4294="","Thiếu/sai Mã REF; ",IF(AND($L4294="Chưa xác định",DANH_MUC!$L$9&lt;&gt;"Có"),"Nguồn chưa xác định; ","")))</f>
        <v/>
      </c>
      <c r="V4294" s="22">
        <f>IF(OR($D4294="",$R4294="Trùng"),"",IF(COUNTIF(ORDERS!$C$2:$C$4995,$D4294)&gt;0,"Có","Không"))</f>
        <v/>
      </c>
      <c r="W4294" s="22">
        <f>IF(OR($D4294="",$R4294="Trùng"),"",COUNTIFS(ORDERS!$C$2:$C$4995,$D4294,ORDERS!$L$2:$L$4995,"Đã chuyển khoản"))</f>
        <v/>
      </c>
      <c r="X4294" s="23">
        <f>IF(OR($D4294="",$R4294="Trùng"),"",SUMIFS(ORDERS!$J$2:$J$4995,ORDERS!$C$2:$C$4995,$D4294,ORDERS!$L$2:$L$4995,"Đã chuyển khoản"))</f>
        <v/>
      </c>
      <c r="Y4294" s="24" t="n"/>
    </row>
    <row r="4295" ht="14.25" customHeight="1" s="40">
      <c r="A4295" s="24" t="n"/>
      <c r="B4295" s="27" t="n"/>
      <c r="C4295" s="24" t="n"/>
      <c r="D4295" s="28" t="n"/>
      <c r="E4295" s="29" t="n"/>
      <c r="F4295" s="24" t="n"/>
      <c r="G4295" s="24" t="n"/>
      <c r="H4295" s="21">
        <f>IF(ISNUMBER($B4295),INT($B4295)-WEEKDAY($B4295,2)+1,"")</f>
        <v/>
      </c>
      <c r="I4295" s="24" t="n"/>
      <c r="J4295" s="22">
        <f t="array" ref="J4295">IF($D4295="","",IF($I4295="","(trống REF)",IFERROR(INDEX(MASTER_SOURCE!$B$2:$B$495,MATCH($I4295,MASTER_SOURCE!$A$2:$A$495,0)),"(REF không có trong MASTER_SOURCE)")))</f>
        <v/>
      </c>
      <c r="K4295" s="22">
        <f t="array" ref="K4295">IF($D4295="","",IFERROR(INDEX(MASTER_SOURCE!$C$2:$C$495,MATCH($I4295,MASTER_SOURCE!$A$2:$A$495,0)),""))</f>
        <v/>
      </c>
      <c r="L4295" s="22">
        <f t="array" ref="L4295">IF($D4295="","",IFERROR(INDEX(MASTER_SOURCE!$D$2:$D$495,MATCH($I4295,MASTER_SOURCE!$A$2:$A$495,0)),""))</f>
        <v/>
      </c>
      <c r="M4295" s="24" t="n"/>
      <c r="N4295" s="24" t="n"/>
      <c r="O4295" s="24" t="n"/>
      <c r="P4295" s="24" t="n"/>
      <c r="Q4295" s="22">
        <f>IF($D4295="","",IF(AND(OR(DANH_MUC!$L$5&lt;&gt;"Có",M4295="Có"),OR(DANH_MUC!$L$6&lt;&gt;"Có",N4295="Có"),OR(DANH_MUC!$L$7&lt;&gt;"Có",O4295="Có"),OR(DANH_MUC!$L$8&lt;&gt;"Có",P4295="Có")),"Có","Không"))</f>
        <v/>
      </c>
      <c r="R4295" s="22">
        <f>IF($D4295="","",IF(COUNTIF($D$2:$D4295,$D4295)&gt;1,"Trùng",""))</f>
        <v/>
      </c>
      <c r="S4295" s="22">
        <f>IF($D4295="","",IF(AND(LEN($D4295)=10,LEFT($D4295,1)="0",ISNUMBER(--$D4295)),"Có","Không"))</f>
        <v/>
      </c>
      <c r="T4295" s="22">
        <f>IF($D4295="","",IF(AND($C4295&lt;&gt;"",$Q4295="Có",$R4295="",$S4295="Có",AND($L4295&lt;&gt;"",OR($L4295&lt;&gt;"Chưa xác định",DANH_MUC!$L$9="Có"))),"Có","Không"))</f>
        <v/>
      </c>
      <c r="U4295" s="22">
        <f>IF(OR($D4295="",$T4295="Có"),"",IF($C4295="","Thiếu họ tên; ","")&amp;IF($S4295&lt;&gt;"Có","SĐT sai định dạng; ","")&amp;IF($R4295="Trùng","Trùng SĐT; ","")&amp;IF($Q4295&lt;&gt;"Có","Thiếu đồng ý bắt buộc; ","")&amp;IF($L4295="","Thiếu/sai Mã REF; ",IF(AND($L4295="Chưa xác định",DANH_MUC!$L$9&lt;&gt;"Có"),"Nguồn chưa xác định; ","")))</f>
        <v/>
      </c>
      <c r="V4295" s="22">
        <f>IF(OR($D4295="",$R4295="Trùng"),"",IF(COUNTIF(ORDERS!$C$2:$C$4995,$D4295)&gt;0,"Có","Không"))</f>
        <v/>
      </c>
      <c r="W4295" s="22">
        <f>IF(OR($D4295="",$R4295="Trùng"),"",COUNTIFS(ORDERS!$C$2:$C$4995,$D4295,ORDERS!$L$2:$L$4995,"Đã chuyển khoản"))</f>
        <v/>
      </c>
      <c r="X4295" s="23">
        <f>IF(OR($D4295="",$R4295="Trùng"),"",SUMIFS(ORDERS!$J$2:$J$4995,ORDERS!$C$2:$C$4995,$D4295,ORDERS!$L$2:$L$4995,"Đã chuyển khoản"))</f>
        <v/>
      </c>
      <c r="Y4295" s="24" t="n"/>
    </row>
    <row r="4296" ht="14.25" customHeight="1" s="40">
      <c r="A4296" s="24" t="n"/>
      <c r="B4296" s="27" t="n"/>
      <c r="C4296" s="24" t="n"/>
      <c r="D4296" s="28" t="n"/>
      <c r="E4296" s="29" t="n"/>
      <c r="F4296" s="24" t="n"/>
      <c r="G4296" s="24" t="n"/>
      <c r="H4296" s="21">
        <f>IF(ISNUMBER($B4296),INT($B4296)-WEEKDAY($B4296,2)+1,"")</f>
        <v/>
      </c>
      <c r="I4296" s="24" t="n"/>
      <c r="J4296" s="22">
        <f t="array" ref="J4296">IF($D4296="","",IF($I4296="","(trống REF)",IFERROR(INDEX(MASTER_SOURCE!$B$2:$B$495,MATCH($I4296,MASTER_SOURCE!$A$2:$A$495,0)),"(REF không có trong MASTER_SOURCE)")))</f>
        <v/>
      </c>
      <c r="K4296" s="22">
        <f t="array" ref="K4296">IF($D4296="","",IFERROR(INDEX(MASTER_SOURCE!$C$2:$C$495,MATCH($I4296,MASTER_SOURCE!$A$2:$A$495,0)),""))</f>
        <v/>
      </c>
      <c r="L4296" s="22">
        <f t="array" ref="L4296">IF($D4296="","",IFERROR(INDEX(MASTER_SOURCE!$D$2:$D$495,MATCH($I4296,MASTER_SOURCE!$A$2:$A$495,0)),""))</f>
        <v/>
      </c>
      <c r="M4296" s="24" t="n"/>
      <c r="N4296" s="24" t="n"/>
      <c r="O4296" s="24" t="n"/>
      <c r="P4296" s="24" t="n"/>
      <c r="Q4296" s="22">
        <f>IF($D4296="","",IF(AND(OR(DANH_MUC!$L$5&lt;&gt;"Có",M4296="Có"),OR(DANH_MUC!$L$6&lt;&gt;"Có",N4296="Có"),OR(DANH_MUC!$L$7&lt;&gt;"Có",O4296="Có"),OR(DANH_MUC!$L$8&lt;&gt;"Có",P4296="Có")),"Có","Không"))</f>
        <v/>
      </c>
      <c r="R4296" s="22">
        <f>IF($D4296="","",IF(COUNTIF($D$2:$D4296,$D4296)&gt;1,"Trùng",""))</f>
        <v/>
      </c>
      <c r="S4296" s="22">
        <f>IF($D4296="","",IF(AND(LEN($D4296)=10,LEFT($D4296,1)="0",ISNUMBER(--$D4296)),"Có","Không"))</f>
        <v/>
      </c>
      <c r="T4296" s="22">
        <f>IF($D4296="","",IF(AND($C4296&lt;&gt;"",$Q4296="Có",$R4296="",$S4296="Có",AND($L4296&lt;&gt;"",OR($L4296&lt;&gt;"Chưa xác định",DANH_MUC!$L$9="Có"))),"Có","Không"))</f>
        <v/>
      </c>
      <c r="U4296" s="22">
        <f>IF(OR($D4296="",$T4296="Có"),"",IF($C4296="","Thiếu họ tên; ","")&amp;IF($S4296&lt;&gt;"Có","SĐT sai định dạng; ","")&amp;IF($R4296="Trùng","Trùng SĐT; ","")&amp;IF($Q4296&lt;&gt;"Có","Thiếu đồng ý bắt buộc; ","")&amp;IF($L4296="","Thiếu/sai Mã REF; ",IF(AND($L4296="Chưa xác định",DANH_MUC!$L$9&lt;&gt;"Có"),"Nguồn chưa xác định; ","")))</f>
        <v/>
      </c>
      <c r="V4296" s="22">
        <f>IF(OR($D4296="",$R4296="Trùng"),"",IF(COUNTIF(ORDERS!$C$2:$C$4995,$D4296)&gt;0,"Có","Không"))</f>
        <v/>
      </c>
      <c r="W4296" s="22">
        <f>IF(OR($D4296="",$R4296="Trùng"),"",COUNTIFS(ORDERS!$C$2:$C$4995,$D4296,ORDERS!$L$2:$L$4995,"Đã chuyển khoản"))</f>
        <v/>
      </c>
      <c r="X4296" s="23">
        <f>IF(OR($D4296="",$R4296="Trùng"),"",SUMIFS(ORDERS!$J$2:$J$4995,ORDERS!$C$2:$C$4995,$D4296,ORDERS!$L$2:$L$4995,"Đã chuyển khoản"))</f>
        <v/>
      </c>
      <c r="Y4296" s="24" t="n"/>
    </row>
    <row r="4297" ht="14.25" customHeight="1" s="40">
      <c r="A4297" s="24" t="n"/>
      <c r="B4297" s="27" t="n"/>
      <c r="C4297" s="24" t="n"/>
      <c r="D4297" s="28" t="n"/>
      <c r="E4297" s="29" t="n"/>
      <c r="F4297" s="24" t="n"/>
      <c r="G4297" s="24" t="n"/>
      <c r="H4297" s="21">
        <f>IF(ISNUMBER($B4297),INT($B4297)-WEEKDAY($B4297,2)+1,"")</f>
        <v/>
      </c>
      <c r="I4297" s="24" t="n"/>
      <c r="J4297" s="22">
        <f t="array" ref="J4297">IF($D4297="","",IF($I4297="","(trống REF)",IFERROR(INDEX(MASTER_SOURCE!$B$2:$B$495,MATCH($I4297,MASTER_SOURCE!$A$2:$A$495,0)),"(REF không có trong MASTER_SOURCE)")))</f>
        <v/>
      </c>
      <c r="K4297" s="22">
        <f t="array" ref="K4297">IF($D4297="","",IFERROR(INDEX(MASTER_SOURCE!$C$2:$C$495,MATCH($I4297,MASTER_SOURCE!$A$2:$A$495,0)),""))</f>
        <v/>
      </c>
      <c r="L4297" s="22">
        <f t="array" ref="L4297">IF($D4297="","",IFERROR(INDEX(MASTER_SOURCE!$D$2:$D$495,MATCH($I4297,MASTER_SOURCE!$A$2:$A$495,0)),""))</f>
        <v/>
      </c>
      <c r="M4297" s="24" t="n"/>
      <c r="N4297" s="24" t="n"/>
      <c r="O4297" s="24" t="n"/>
      <c r="P4297" s="24" t="n"/>
      <c r="Q4297" s="22">
        <f>IF($D4297="","",IF(AND(OR(DANH_MUC!$L$5&lt;&gt;"Có",M4297="Có"),OR(DANH_MUC!$L$6&lt;&gt;"Có",N4297="Có"),OR(DANH_MUC!$L$7&lt;&gt;"Có",O4297="Có"),OR(DANH_MUC!$L$8&lt;&gt;"Có",P4297="Có")),"Có","Không"))</f>
        <v/>
      </c>
      <c r="R4297" s="22">
        <f>IF($D4297="","",IF(COUNTIF($D$2:$D4297,$D4297)&gt;1,"Trùng",""))</f>
        <v/>
      </c>
      <c r="S4297" s="22">
        <f>IF($D4297="","",IF(AND(LEN($D4297)=10,LEFT($D4297,1)="0",ISNUMBER(--$D4297)),"Có","Không"))</f>
        <v/>
      </c>
      <c r="T4297" s="22">
        <f>IF($D4297="","",IF(AND($C4297&lt;&gt;"",$Q4297="Có",$R4297="",$S4297="Có",AND($L4297&lt;&gt;"",OR($L4297&lt;&gt;"Chưa xác định",DANH_MUC!$L$9="Có"))),"Có","Không"))</f>
        <v/>
      </c>
      <c r="U4297" s="22">
        <f>IF(OR($D4297="",$T4297="Có"),"",IF($C4297="","Thiếu họ tên; ","")&amp;IF($S4297&lt;&gt;"Có","SĐT sai định dạng; ","")&amp;IF($R4297="Trùng","Trùng SĐT; ","")&amp;IF($Q4297&lt;&gt;"Có","Thiếu đồng ý bắt buộc; ","")&amp;IF($L4297="","Thiếu/sai Mã REF; ",IF(AND($L4297="Chưa xác định",DANH_MUC!$L$9&lt;&gt;"Có"),"Nguồn chưa xác định; ","")))</f>
        <v/>
      </c>
      <c r="V4297" s="22">
        <f>IF(OR($D4297="",$R4297="Trùng"),"",IF(COUNTIF(ORDERS!$C$2:$C$4995,$D4297)&gt;0,"Có","Không"))</f>
        <v/>
      </c>
      <c r="W4297" s="22">
        <f>IF(OR($D4297="",$R4297="Trùng"),"",COUNTIFS(ORDERS!$C$2:$C$4995,$D4297,ORDERS!$L$2:$L$4995,"Đã chuyển khoản"))</f>
        <v/>
      </c>
      <c r="X4297" s="23">
        <f>IF(OR($D4297="",$R4297="Trùng"),"",SUMIFS(ORDERS!$J$2:$J$4995,ORDERS!$C$2:$C$4995,$D4297,ORDERS!$L$2:$L$4995,"Đã chuyển khoản"))</f>
        <v/>
      </c>
      <c r="Y4297" s="24" t="n"/>
    </row>
    <row r="4298" ht="14.25" customHeight="1" s="40">
      <c r="A4298" s="24" t="n"/>
      <c r="B4298" s="27" t="n"/>
      <c r="C4298" s="24" t="n"/>
      <c r="D4298" s="28" t="n"/>
      <c r="E4298" s="29" t="n"/>
      <c r="F4298" s="24" t="n"/>
      <c r="G4298" s="24" t="n"/>
      <c r="H4298" s="21">
        <f>IF(ISNUMBER($B4298),INT($B4298)-WEEKDAY($B4298,2)+1,"")</f>
        <v/>
      </c>
      <c r="I4298" s="24" t="n"/>
      <c r="J4298" s="22">
        <f t="array" ref="J4298">IF($D4298="","",IF($I4298="","(trống REF)",IFERROR(INDEX(MASTER_SOURCE!$B$2:$B$495,MATCH($I4298,MASTER_SOURCE!$A$2:$A$495,0)),"(REF không có trong MASTER_SOURCE)")))</f>
        <v/>
      </c>
      <c r="K4298" s="22">
        <f t="array" ref="K4298">IF($D4298="","",IFERROR(INDEX(MASTER_SOURCE!$C$2:$C$495,MATCH($I4298,MASTER_SOURCE!$A$2:$A$495,0)),""))</f>
        <v/>
      </c>
      <c r="L4298" s="22">
        <f t="array" ref="L4298">IF($D4298="","",IFERROR(INDEX(MASTER_SOURCE!$D$2:$D$495,MATCH($I4298,MASTER_SOURCE!$A$2:$A$495,0)),""))</f>
        <v/>
      </c>
      <c r="M4298" s="24" t="n"/>
      <c r="N4298" s="24" t="n"/>
      <c r="O4298" s="24" t="n"/>
      <c r="P4298" s="24" t="n"/>
      <c r="Q4298" s="22">
        <f>IF($D4298="","",IF(AND(OR(DANH_MUC!$L$5&lt;&gt;"Có",M4298="Có"),OR(DANH_MUC!$L$6&lt;&gt;"Có",N4298="Có"),OR(DANH_MUC!$L$7&lt;&gt;"Có",O4298="Có"),OR(DANH_MUC!$L$8&lt;&gt;"Có",P4298="Có")),"Có","Không"))</f>
        <v/>
      </c>
      <c r="R4298" s="22">
        <f>IF($D4298="","",IF(COUNTIF($D$2:$D4298,$D4298)&gt;1,"Trùng",""))</f>
        <v/>
      </c>
      <c r="S4298" s="22">
        <f>IF($D4298="","",IF(AND(LEN($D4298)=10,LEFT($D4298,1)="0",ISNUMBER(--$D4298)),"Có","Không"))</f>
        <v/>
      </c>
      <c r="T4298" s="22">
        <f>IF($D4298="","",IF(AND($C4298&lt;&gt;"",$Q4298="Có",$R4298="",$S4298="Có",AND($L4298&lt;&gt;"",OR($L4298&lt;&gt;"Chưa xác định",DANH_MUC!$L$9="Có"))),"Có","Không"))</f>
        <v/>
      </c>
      <c r="U4298" s="22">
        <f>IF(OR($D4298="",$T4298="Có"),"",IF($C4298="","Thiếu họ tên; ","")&amp;IF($S4298&lt;&gt;"Có","SĐT sai định dạng; ","")&amp;IF($R4298="Trùng","Trùng SĐT; ","")&amp;IF($Q4298&lt;&gt;"Có","Thiếu đồng ý bắt buộc; ","")&amp;IF($L4298="","Thiếu/sai Mã REF; ",IF(AND($L4298="Chưa xác định",DANH_MUC!$L$9&lt;&gt;"Có"),"Nguồn chưa xác định; ","")))</f>
        <v/>
      </c>
      <c r="V4298" s="22">
        <f>IF(OR($D4298="",$R4298="Trùng"),"",IF(COUNTIF(ORDERS!$C$2:$C$4995,$D4298)&gt;0,"Có","Không"))</f>
        <v/>
      </c>
      <c r="W4298" s="22">
        <f>IF(OR($D4298="",$R4298="Trùng"),"",COUNTIFS(ORDERS!$C$2:$C$4995,$D4298,ORDERS!$L$2:$L$4995,"Đã chuyển khoản"))</f>
        <v/>
      </c>
      <c r="X4298" s="23">
        <f>IF(OR($D4298="",$R4298="Trùng"),"",SUMIFS(ORDERS!$J$2:$J$4995,ORDERS!$C$2:$C$4995,$D4298,ORDERS!$L$2:$L$4995,"Đã chuyển khoản"))</f>
        <v/>
      </c>
      <c r="Y4298" s="24" t="n"/>
    </row>
    <row r="4299" ht="14.25" customHeight="1" s="40">
      <c r="A4299" s="24" t="n"/>
      <c r="B4299" s="27" t="n"/>
      <c r="C4299" s="24" t="n"/>
      <c r="D4299" s="28" t="n"/>
      <c r="E4299" s="29" t="n"/>
      <c r="F4299" s="24" t="n"/>
      <c r="G4299" s="24" t="n"/>
      <c r="H4299" s="21">
        <f>IF(ISNUMBER($B4299),INT($B4299)-WEEKDAY($B4299,2)+1,"")</f>
        <v/>
      </c>
      <c r="I4299" s="24" t="n"/>
      <c r="J4299" s="22">
        <f t="array" ref="J4299">IF($D4299="","",IF($I4299="","(trống REF)",IFERROR(INDEX(MASTER_SOURCE!$B$2:$B$495,MATCH($I4299,MASTER_SOURCE!$A$2:$A$495,0)),"(REF không có trong MASTER_SOURCE)")))</f>
        <v/>
      </c>
      <c r="K4299" s="22">
        <f t="array" ref="K4299">IF($D4299="","",IFERROR(INDEX(MASTER_SOURCE!$C$2:$C$495,MATCH($I4299,MASTER_SOURCE!$A$2:$A$495,0)),""))</f>
        <v/>
      </c>
      <c r="L4299" s="22">
        <f t="array" ref="L4299">IF($D4299="","",IFERROR(INDEX(MASTER_SOURCE!$D$2:$D$495,MATCH($I4299,MASTER_SOURCE!$A$2:$A$495,0)),""))</f>
        <v/>
      </c>
      <c r="M4299" s="24" t="n"/>
      <c r="N4299" s="24" t="n"/>
      <c r="O4299" s="24" t="n"/>
      <c r="P4299" s="24" t="n"/>
      <c r="Q4299" s="22">
        <f>IF($D4299="","",IF(AND(OR(DANH_MUC!$L$5&lt;&gt;"Có",M4299="Có"),OR(DANH_MUC!$L$6&lt;&gt;"Có",N4299="Có"),OR(DANH_MUC!$L$7&lt;&gt;"Có",O4299="Có"),OR(DANH_MUC!$L$8&lt;&gt;"Có",P4299="Có")),"Có","Không"))</f>
        <v/>
      </c>
      <c r="R4299" s="22">
        <f>IF($D4299="","",IF(COUNTIF($D$2:$D4299,$D4299)&gt;1,"Trùng",""))</f>
        <v/>
      </c>
      <c r="S4299" s="22">
        <f>IF($D4299="","",IF(AND(LEN($D4299)=10,LEFT($D4299,1)="0",ISNUMBER(--$D4299)),"Có","Không"))</f>
        <v/>
      </c>
      <c r="T4299" s="22">
        <f>IF($D4299="","",IF(AND($C4299&lt;&gt;"",$Q4299="Có",$R4299="",$S4299="Có",AND($L4299&lt;&gt;"",OR($L4299&lt;&gt;"Chưa xác định",DANH_MUC!$L$9="Có"))),"Có","Không"))</f>
        <v/>
      </c>
      <c r="U4299" s="22">
        <f>IF(OR($D4299="",$T4299="Có"),"",IF($C4299="","Thiếu họ tên; ","")&amp;IF($S4299&lt;&gt;"Có","SĐT sai định dạng; ","")&amp;IF($R4299="Trùng","Trùng SĐT; ","")&amp;IF($Q4299&lt;&gt;"Có","Thiếu đồng ý bắt buộc; ","")&amp;IF($L4299="","Thiếu/sai Mã REF; ",IF(AND($L4299="Chưa xác định",DANH_MUC!$L$9&lt;&gt;"Có"),"Nguồn chưa xác định; ","")))</f>
        <v/>
      </c>
      <c r="V4299" s="22">
        <f>IF(OR($D4299="",$R4299="Trùng"),"",IF(COUNTIF(ORDERS!$C$2:$C$4995,$D4299)&gt;0,"Có","Không"))</f>
        <v/>
      </c>
      <c r="W4299" s="22">
        <f>IF(OR($D4299="",$R4299="Trùng"),"",COUNTIFS(ORDERS!$C$2:$C$4995,$D4299,ORDERS!$L$2:$L$4995,"Đã chuyển khoản"))</f>
        <v/>
      </c>
      <c r="X4299" s="23">
        <f>IF(OR($D4299="",$R4299="Trùng"),"",SUMIFS(ORDERS!$J$2:$J$4995,ORDERS!$C$2:$C$4995,$D4299,ORDERS!$L$2:$L$4995,"Đã chuyển khoản"))</f>
        <v/>
      </c>
      <c r="Y4299" s="24" t="n"/>
    </row>
    <row r="4300" ht="14.25" customHeight="1" s="40">
      <c r="A4300" s="24" t="n"/>
      <c r="B4300" s="27" t="n"/>
      <c r="C4300" s="24" t="n"/>
      <c r="D4300" s="28" t="n"/>
      <c r="E4300" s="29" t="n"/>
      <c r="F4300" s="24" t="n"/>
      <c r="G4300" s="24" t="n"/>
      <c r="H4300" s="21">
        <f>IF(ISNUMBER($B4300),INT($B4300)-WEEKDAY($B4300,2)+1,"")</f>
        <v/>
      </c>
      <c r="I4300" s="24" t="n"/>
      <c r="J4300" s="22">
        <f t="array" ref="J4300">IF($D4300="","",IF($I4300="","(trống REF)",IFERROR(INDEX(MASTER_SOURCE!$B$2:$B$495,MATCH($I4300,MASTER_SOURCE!$A$2:$A$495,0)),"(REF không có trong MASTER_SOURCE)")))</f>
        <v/>
      </c>
      <c r="K4300" s="22">
        <f t="array" ref="K4300">IF($D4300="","",IFERROR(INDEX(MASTER_SOURCE!$C$2:$C$495,MATCH($I4300,MASTER_SOURCE!$A$2:$A$495,0)),""))</f>
        <v/>
      </c>
      <c r="L4300" s="22">
        <f t="array" ref="L4300">IF($D4300="","",IFERROR(INDEX(MASTER_SOURCE!$D$2:$D$495,MATCH($I4300,MASTER_SOURCE!$A$2:$A$495,0)),""))</f>
        <v/>
      </c>
      <c r="M4300" s="24" t="n"/>
      <c r="N4300" s="24" t="n"/>
      <c r="O4300" s="24" t="n"/>
      <c r="P4300" s="24" t="n"/>
      <c r="Q4300" s="22">
        <f>IF($D4300="","",IF(AND(OR(DANH_MUC!$L$5&lt;&gt;"Có",M4300="Có"),OR(DANH_MUC!$L$6&lt;&gt;"Có",N4300="Có"),OR(DANH_MUC!$L$7&lt;&gt;"Có",O4300="Có"),OR(DANH_MUC!$L$8&lt;&gt;"Có",P4300="Có")),"Có","Không"))</f>
        <v/>
      </c>
      <c r="R4300" s="22">
        <f>IF($D4300="","",IF(COUNTIF($D$2:$D4300,$D4300)&gt;1,"Trùng",""))</f>
        <v/>
      </c>
      <c r="S4300" s="22">
        <f>IF($D4300="","",IF(AND(LEN($D4300)=10,LEFT($D4300,1)="0",ISNUMBER(--$D4300)),"Có","Không"))</f>
        <v/>
      </c>
      <c r="T4300" s="22">
        <f>IF($D4300="","",IF(AND($C4300&lt;&gt;"",$Q4300="Có",$R4300="",$S4300="Có",AND($L4300&lt;&gt;"",OR($L4300&lt;&gt;"Chưa xác định",DANH_MUC!$L$9="Có"))),"Có","Không"))</f>
        <v/>
      </c>
      <c r="U4300" s="22">
        <f>IF(OR($D4300="",$T4300="Có"),"",IF($C4300="","Thiếu họ tên; ","")&amp;IF($S4300&lt;&gt;"Có","SĐT sai định dạng; ","")&amp;IF($R4300="Trùng","Trùng SĐT; ","")&amp;IF($Q4300&lt;&gt;"Có","Thiếu đồng ý bắt buộc; ","")&amp;IF($L4300="","Thiếu/sai Mã REF; ",IF(AND($L4300="Chưa xác định",DANH_MUC!$L$9&lt;&gt;"Có"),"Nguồn chưa xác định; ","")))</f>
        <v/>
      </c>
      <c r="V4300" s="22">
        <f>IF(OR($D4300="",$R4300="Trùng"),"",IF(COUNTIF(ORDERS!$C$2:$C$4995,$D4300)&gt;0,"Có","Không"))</f>
        <v/>
      </c>
      <c r="W4300" s="22">
        <f>IF(OR($D4300="",$R4300="Trùng"),"",COUNTIFS(ORDERS!$C$2:$C$4995,$D4300,ORDERS!$L$2:$L$4995,"Đã chuyển khoản"))</f>
        <v/>
      </c>
      <c r="X4300" s="23">
        <f>IF(OR($D4300="",$R4300="Trùng"),"",SUMIFS(ORDERS!$J$2:$J$4995,ORDERS!$C$2:$C$4995,$D4300,ORDERS!$L$2:$L$4995,"Đã chuyển khoản"))</f>
        <v/>
      </c>
      <c r="Y4300" s="24" t="n"/>
    </row>
    <row r="4301" ht="14.25" customHeight="1" s="40">
      <c r="A4301" s="24" t="n"/>
      <c r="B4301" s="27" t="n"/>
      <c r="C4301" s="24" t="n"/>
      <c r="D4301" s="28" t="n"/>
      <c r="E4301" s="29" t="n"/>
      <c r="F4301" s="24" t="n"/>
      <c r="G4301" s="24" t="n"/>
      <c r="H4301" s="21">
        <f>IF(ISNUMBER($B4301),INT($B4301)-WEEKDAY($B4301,2)+1,"")</f>
        <v/>
      </c>
      <c r="I4301" s="24" t="n"/>
      <c r="J4301" s="22">
        <f t="array" ref="J4301">IF($D4301="","",IF($I4301="","(trống REF)",IFERROR(INDEX(MASTER_SOURCE!$B$2:$B$495,MATCH($I4301,MASTER_SOURCE!$A$2:$A$495,0)),"(REF không có trong MASTER_SOURCE)")))</f>
        <v/>
      </c>
      <c r="K4301" s="22">
        <f t="array" ref="K4301">IF($D4301="","",IFERROR(INDEX(MASTER_SOURCE!$C$2:$C$495,MATCH($I4301,MASTER_SOURCE!$A$2:$A$495,0)),""))</f>
        <v/>
      </c>
      <c r="L4301" s="22">
        <f t="array" ref="L4301">IF($D4301="","",IFERROR(INDEX(MASTER_SOURCE!$D$2:$D$495,MATCH($I4301,MASTER_SOURCE!$A$2:$A$495,0)),""))</f>
        <v/>
      </c>
      <c r="M4301" s="24" t="n"/>
      <c r="N4301" s="24" t="n"/>
      <c r="O4301" s="24" t="n"/>
      <c r="P4301" s="24" t="n"/>
      <c r="Q4301" s="22">
        <f>IF($D4301="","",IF(AND(OR(DANH_MUC!$L$5&lt;&gt;"Có",M4301="Có"),OR(DANH_MUC!$L$6&lt;&gt;"Có",N4301="Có"),OR(DANH_MUC!$L$7&lt;&gt;"Có",O4301="Có"),OR(DANH_MUC!$L$8&lt;&gt;"Có",P4301="Có")),"Có","Không"))</f>
        <v/>
      </c>
      <c r="R4301" s="22">
        <f>IF($D4301="","",IF(COUNTIF($D$2:$D4301,$D4301)&gt;1,"Trùng",""))</f>
        <v/>
      </c>
      <c r="S4301" s="22">
        <f>IF($D4301="","",IF(AND(LEN($D4301)=10,LEFT($D4301,1)="0",ISNUMBER(--$D4301)),"Có","Không"))</f>
        <v/>
      </c>
      <c r="T4301" s="22">
        <f>IF($D4301="","",IF(AND($C4301&lt;&gt;"",$Q4301="Có",$R4301="",$S4301="Có",AND($L4301&lt;&gt;"",OR($L4301&lt;&gt;"Chưa xác định",DANH_MUC!$L$9="Có"))),"Có","Không"))</f>
        <v/>
      </c>
      <c r="U4301" s="22">
        <f>IF(OR($D4301="",$T4301="Có"),"",IF($C4301="","Thiếu họ tên; ","")&amp;IF($S4301&lt;&gt;"Có","SĐT sai định dạng; ","")&amp;IF($R4301="Trùng","Trùng SĐT; ","")&amp;IF($Q4301&lt;&gt;"Có","Thiếu đồng ý bắt buộc; ","")&amp;IF($L4301="","Thiếu/sai Mã REF; ",IF(AND($L4301="Chưa xác định",DANH_MUC!$L$9&lt;&gt;"Có"),"Nguồn chưa xác định; ","")))</f>
        <v/>
      </c>
      <c r="V4301" s="22">
        <f>IF(OR($D4301="",$R4301="Trùng"),"",IF(COUNTIF(ORDERS!$C$2:$C$4995,$D4301)&gt;0,"Có","Không"))</f>
        <v/>
      </c>
      <c r="W4301" s="22">
        <f>IF(OR($D4301="",$R4301="Trùng"),"",COUNTIFS(ORDERS!$C$2:$C$4995,$D4301,ORDERS!$L$2:$L$4995,"Đã chuyển khoản"))</f>
        <v/>
      </c>
      <c r="X4301" s="23">
        <f>IF(OR($D4301="",$R4301="Trùng"),"",SUMIFS(ORDERS!$J$2:$J$4995,ORDERS!$C$2:$C$4995,$D4301,ORDERS!$L$2:$L$4995,"Đã chuyển khoản"))</f>
        <v/>
      </c>
      <c r="Y4301" s="24" t="n"/>
    </row>
    <row r="4302" ht="14.25" customHeight="1" s="40">
      <c r="A4302" s="24" t="n"/>
      <c r="B4302" s="27" t="n"/>
      <c r="C4302" s="24" t="n"/>
      <c r="D4302" s="28" t="n"/>
      <c r="E4302" s="29" t="n"/>
      <c r="F4302" s="24" t="n"/>
      <c r="G4302" s="24" t="n"/>
      <c r="H4302" s="21">
        <f>IF(ISNUMBER($B4302),INT($B4302)-WEEKDAY($B4302,2)+1,"")</f>
        <v/>
      </c>
      <c r="I4302" s="24" t="n"/>
      <c r="J4302" s="22">
        <f t="array" ref="J4302">IF($D4302="","",IF($I4302="","(trống REF)",IFERROR(INDEX(MASTER_SOURCE!$B$2:$B$495,MATCH($I4302,MASTER_SOURCE!$A$2:$A$495,0)),"(REF không có trong MASTER_SOURCE)")))</f>
        <v/>
      </c>
      <c r="K4302" s="22">
        <f t="array" ref="K4302">IF($D4302="","",IFERROR(INDEX(MASTER_SOURCE!$C$2:$C$495,MATCH($I4302,MASTER_SOURCE!$A$2:$A$495,0)),""))</f>
        <v/>
      </c>
      <c r="L4302" s="22">
        <f t="array" ref="L4302">IF($D4302="","",IFERROR(INDEX(MASTER_SOURCE!$D$2:$D$495,MATCH($I4302,MASTER_SOURCE!$A$2:$A$495,0)),""))</f>
        <v/>
      </c>
      <c r="M4302" s="24" t="n"/>
      <c r="N4302" s="24" t="n"/>
      <c r="O4302" s="24" t="n"/>
      <c r="P4302" s="24" t="n"/>
      <c r="Q4302" s="22">
        <f>IF($D4302="","",IF(AND(OR(DANH_MUC!$L$5&lt;&gt;"Có",M4302="Có"),OR(DANH_MUC!$L$6&lt;&gt;"Có",N4302="Có"),OR(DANH_MUC!$L$7&lt;&gt;"Có",O4302="Có"),OR(DANH_MUC!$L$8&lt;&gt;"Có",P4302="Có")),"Có","Không"))</f>
        <v/>
      </c>
      <c r="R4302" s="22">
        <f>IF($D4302="","",IF(COUNTIF($D$2:$D4302,$D4302)&gt;1,"Trùng",""))</f>
        <v/>
      </c>
      <c r="S4302" s="22">
        <f>IF($D4302="","",IF(AND(LEN($D4302)=10,LEFT($D4302,1)="0",ISNUMBER(--$D4302)),"Có","Không"))</f>
        <v/>
      </c>
      <c r="T4302" s="22">
        <f>IF($D4302="","",IF(AND($C4302&lt;&gt;"",$Q4302="Có",$R4302="",$S4302="Có",AND($L4302&lt;&gt;"",OR($L4302&lt;&gt;"Chưa xác định",DANH_MUC!$L$9="Có"))),"Có","Không"))</f>
        <v/>
      </c>
      <c r="U4302" s="22">
        <f>IF(OR($D4302="",$T4302="Có"),"",IF($C4302="","Thiếu họ tên; ","")&amp;IF($S4302&lt;&gt;"Có","SĐT sai định dạng; ","")&amp;IF($R4302="Trùng","Trùng SĐT; ","")&amp;IF($Q4302&lt;&gt;"Có","Thiếu đồng ý bắt buộc; ","")&amp;IF($L4302="","Thiếu/sai Mã REF; ",IF(AND($L4302="Chưa xác định",DANH_MUC!$L$9&lt;&gt;"Có"),"Nguồn chưa xác định; ","")))</f>
        <v/>
      </c>
      <c r="V4302" s="22">
        <f>IF(OR($D4302="",$R4302="Trùng"),"",IF(COUNTIF(ORDERS!$C$2:$C$4995,$D4302)&gt;0,"Có","Không"))</f>
        <v/>
      </c>
      <c r="W4302" s="22">
        <f>IF(OR($D4302="",$R4302="Trùng"),"",COUNTIFS(ORDERS!$C$2:$C$4995,$D4302,ORDERS!$L$2:$L$4995,"Đã chuyển khoản"))</f>
        <v/>
      </c>
      <c r="X4302" s="23">
        <f>IF(OR($D4302="",$R4302="Trùng"),"",SUMIFS(ORDERS!$J$2:$J$4995,ORDERS!$C$2:$C$4995,$D4302,ORDERS!$L$2:$L$4995,"Đã chuyển khoản"))</f>
        <v/>
      </c>
      <c r="Y4302" s="24" t="n"/>
    </row>
    <row r="4303" ht="14.25" customHeight="1" s="40">
      <c r="A4303" s="24" t="n"/>
      <c r="B4303" s="27" t="n"/>
      <c r="C4303" s="24" t="n"/>
      <c r="D4303" s="28" t="n"/>
      <c r="E4303" s="29" t="n"/>
      <c r="F4303" s="24" t="n"/>
      <c r="G4303" s="24" t="n"/>
      <c r="H4303" s="21">
        <f>IF(ISNUMBER($B4303),INT($B4303)-WEEKDAY($B4303,2)+1,"")</f>
        <v/>
      </c>
      <c r="I4303" s="24" t="n"/>
      <c r="J4303" s="22">
        <f t="array" ref="J4303">IF($D4303="","",IF($I4303="","(trống REF)",IFERROR(INDEX(MASTER_SOURCE!$B$2:$B$495,MATCH($I4303,MASTER_SOURCE!$A$2:$A$495,0)),"(REF không có trong MASTER_SOURCE)")))</f>
        <v/>
      </c>
      <c r="K4303" s="22">
        <f t="array" ref="K4303">IF($D4303="","",IFERROR(INDEX(MASTER_SOURCE!$C$2:$C$495,MATCH($I4303,MASTER_SOURCE!$A$2:$A$495,0)),""))</f>
        <v/>
      </c>
      <c r="L4303" s="22">
        <f t="array" ref="L4303">IF($D4303="","",IFERROR(INDEX(MASTER_SOURCE!$D$2:$D$495,MATCH($I4303,MASTER_SOURCE!$A$2:$A$495,0)),""))</f>
        <v/>
      </c>
      <c r="M4303" s="24" t="n"/>
      <c r="N4303" s="24" t="n"/>
      <c r="O4303" s="24" t="n"/>
      <c r="P4303" s="24" t="n"/>
      <c r="Q4303" s="22">
        <f>IF($D4303="","",IF(AND(OR(DANH_MUC!$L$5&lt;&gt;"Có",M4303="Có"),OR(DANH_MUC!$L$6&lt;&gt;"Có",N4303="Có"),OR(DANH_MUC!$L$7&lt;&gt;"Có",O4303="Có"),OR(DANH_MUC!$L$8&lt;&gt;"Có",P4303="Có")),"Có","Không"))</f>
        <v/>
      </c>
      <c r="R4303" s="22">
        <f>IF($D4303="","",IF(COUNTIF($D$2:$D4303,$D4303)&gt;1,"Trùng",""))</f>
        <v/>
      </c>
      <c r="S4303" s="22">
        <f>IF($D4303="","",IF(AND(LEN($D4303)=10,LEFT($D4303,1)="0",ISNUMBER(--$D4303)),"Có","Không"))</f>
        <v/>
      </c>
      <c r="T4303" s="22">
        <f>IF($D4303="","",IF(AND($C4303&lt;&gt;"",$Q4303="Có",$R4303="",$S4303="Có",AND($L4303&lt;&gt;"",OR($L4303&lt;&gt;"Chưa xác định",DANH_MUC!$L$9="Có"))),"Có","Không"))</f>
        <v/>
      </c>
      <c r="U4303" s="22">
        <f>IF(OR($D4303="",$T4303="Có"),"",IF($C4303="","Thiếu họ tên; ","")&amp;IF($S4303&lt;&gt;"Có","SĐT sai định dạng; ","")&amp;IF($R4303="Trùng","Trùng SĐT; ","")&amp;IF($Q4303&lt;&gt;"Có","Thiếu đồng ý bắt buộc; ","")&amp;IF($L4303="","Thiếu/sai Mã REF; ",IF(AND($L4303="Chưa xác định",DANH_MUC!$L$9&lt;&gt;"Có"),"Nguồn chưa xác định; ","")))</f>
        <v/>
      </c>
      <c r="V4303" s="22">
        <f>IF(OR($D4303="",$R4303="Trùng"),"",IF(COUNTIF(ORDERS!$C$2:$C$4995,$D4303)&gt;0,"Có","Không"))</f>
        <v/>
      </c>
      <c r="W4303" s="22">
        <f>IF(OR($D4303="",$R4303="Trùng"),"",COUNTIFS(ORDERS!$C$2:$C$4995,$D4303,ORDERS!$L$2:$L$4995,"Đã chuyển khoản"))</f>
        <v/>
      </c>
      <c r="X4303" s="23">
        <f>IF(OR($D4303="",$R4303="Trùng"),"",SUMIFS(ORDERS!$J$2:$J$4995,ORDERS!$C$2:$C$4995,$D4303,ORDERS!$L$2:$L$4995,"Đã chuyển khoản"))</f>
        <v/>
      </c>
      <c r="Y4303" s="24" t="n"/>
    </row>
    <row r="4304" ht="14.25" customHeight="1" s="40">
      <c r="A4304" s="24" t="n"/>
      <c r="B4304" s="27" t="n"/>
      <c r="C4304" s="24" t="n"/>
      <c r="D4304" s="28" t="n"/>
      <c r="E4304" s="29" t="n"/>
      <c r="F4304" s="24" t="n"/>
      <c r="G4304" s="24" t="n"/>
      <c r="H4304" s="21">
        <f>IF(ISNUMBER($B4304),INT($B4304)-WEEKDAY($B4304,2)+1,"")</f>
        <v/>
      </c>
      <c r="I4304" s="24" t="n"/>
      <c r="J4304" s="22">
        <f t="array" ref="J4304">IF($D4304="","",IF($I4304="","(trống REF)",IFERROR(INDEX(MASTER_SOURCE!$B$2:$B$495,MATCH($I4304,MASTER_SOURCE!$A$2:$A$495,0)),"(REF không có trong MASTER_SOURCE)")))</f>
        <v/>
      </c>
      <c r="K4304" s="22">
        <f t="array" ref="K4304">IF($D4304="","",IFERROR(INDEX(MASTER_SOURCE!$C$2:$C$495,MATCH($I4304,MASTER_SOURCE!$A$2:$A$495,0)),""))</f>
        <v/>
      </c>
      <c r="L4304" s="22">
        <f t="array" ref="L4304">IF($D4304="","",IFERROR(INDEX(MASTER_SOURCE!$D$2:$D$495,MATCH($I4304,MASTER_SOURCE!$A$2:$A$495,0)),""))</f>
        <v/>
      </c>
      <c r="M4304" s="24" t="n"/>
      <c r="N4304" s="24" t="n"/>
      <c r="O4304" s="24" t="n"/>
      <c r="P4304" s="24" t="n"/>
      <c r="Q4304" s="22">
        <f>IF($D4304="","",IF(AND(OR(DANH_MUC!$L$5&lt;&gt;"Có",M4304="Có"),OR(DANH_MUC!$L$6&lt;&gt;"Có",N4304="Có"),OR(DANH_MUC!$L$7&lt;&gt;"Có",O4304="Có"),OR(DANH_MUC!$L$8&lt;&gt;"Có",P4304="Có")),"Có","Không"))</f>
        <v/>
      </c>
      <c r="R4304" s="22">
        <f>IF($D4304="","",IF(COUNTIF($D$2:$D4304,$D4304)&gt;1,"Trùng",""))</f>
        <v/>
      </c>
      <c r="S4304" s="22">
        <f>IF($D4304="","",IF(AND(LEN($D4304)=10,LEFT($D4304,1)="0",ISNUMBER(--$D4304)),"Có","Không"))</f>
        <v/>
      </c>
      <c r="T4304" s="22">
        <f>IF($D4304="","",IF(AND($C4304&lt;&gt;"",$Q4304="Có",$R4304="",$S4304="Có",AND($L4304&lt;&gt;"",OR($L4304&lt;&gt;"Chưa xác định",DANH_MUC!$L$9="Có"))),"Có","Không"))</f>
        <v/>
      </c>
      <c r="U4304" s="22">
        <f>IF(OR($D4304="",$T4304="Có"),"",IF($C4304="","Thiếu họ tên; ","")&amp;IF($S4304&lt;&gt;"Có","SĐT sai định dạng; ","")&amp;IF($R4304="Trùng","Trùng SĐT; ","")&amp;IF($Q4304&lt;&gt;"Có","Thiếu đồng ý bắt buộc; ","")&amp;IF($L4304="","Thiếu/sai Mã REF; ",IF(AND($L4304="Chưa xác định",DANH_MUC!$L$9&lt;&gt;"Có"),"Nguồn chưa xác định; ","")))</f>
        <v/>
      </c>
      <c r="V4304" s="22">
        <f>IF(OR($D4304="",$R4304="Trùng"),"",IF(COUNTIF(ORDERS!$C$2:$C$4995,$D4304)&gt;0,"Có","Không"))</f>
        <v/>
      </c>
      <c r="W4304" s="22">
        <f>IF(OR($D4304="",$R4304="Trùng"),"",COUNTIFS(ORDERS!$C$2:$C$4995,$D4304,ORDERS!$L$2:$L$4995,"Đã chuyển khoản"))</f>
        <v/>
      </c>
      <c r="X4304" s="23">
        <f>IF(OR($D4304="",$R4304="Trùng"),"",SUMIFS(ORDERS!$J$2:$J$4995,ORDERS!$C$2:$C$4995,$D4304,ORDERS!$L$2:$L$4995,"Đã chuyển khoản"))</f>
        <v/>
      </c>
      <c r="Y4304" s="24" t="n"/>
    </row>
    <row r="4305" ht="14.25" customHeight="1" s="40">
      <c r="A4305" s="24" t="n"/>
      <c r="B4305" s="27" t="n"/>
      <c r="C4305" s="24" t="n"/>
      <c r="D4305" s="28" t="n"/>
      <c r="E4305" s="29" t="n"/>
      <c r="F4305" s="24" t="n"/>
      <c r="G4305" s="24" t="n"/>
      <c r="H4305" s="21">
        <f>IF(ISNUMBER($B4305),INT($B4305)-WEEKDAY($B4305,2)+1,"")</f>
        <v/>
      </c>
      <c r="I4305" s="24" t="n"/>
      <c r="J4305" s="22">
        <f t="array" ref="J4305">IF($D4305="","",IF($I4305="","(trống REF)",IFERROR(INDEX(MASTER_SOURCE!$B$2:$B$495,MATCH($I4305,MASTER_SOURCE!$A$2:$A$495,0)),"(REF không có trong MASTER_SOURCE)")))</f>
        <v/>
      </c>
      <c r="K4305" s="22">
        <f t="array" ref="K4305">IF($D4305="","",IFERROR(INDEX(MASTER_SOURCE!$C$2:$C$495,MATCH($I4305,MASTER_SOURCE!$A$2:$A$495,0)),""))</f>
        <v/>
      </c>
      <c r="L4305" s="22">
        <f t="array" ref="L4305">IF($D4305="","",IFERROR(INDEX(MASTER_SOURCE!$D$2:$D$495,MATCH($I4305,MASTER_SOURCE!$A$2:$A$495,0)),""))</f>
        <v/>
      </c>
      <c r="M4305" s="24" t="n"/>
      <c r="N4305" s="24" t="n"/>
      <c r="O4305" s="24" t="n"/>
      <c r="P4305" s="24" t="n"/>
      <c r="Q4305" s="22">
        <f>IF($D4305="","",IF(AND(OR(DANH_MUC!$L$5&lt;&gt;"Có",M4305="Có"),OR(DANH_MUC!$L$6&lt;&gt;"Có",N4305="Có"),OR(DANH_MUC!$L$7&lt;&gt;"Có",O4305="Có"),OR(DANH_MUC!$L$8&lt;&gt;"Có",P4305="Có")),"Có","Không"))</f>
        <v/>
      </c>
      <c r="R4305" s="22">
        <f>IF($D4305="","",IF(COUNTIF($D$2:$D4305,$D4305)&gt;1,"Trùng",""))</f>
        <v/>
      </c>
      <c r="S4305" s="22">
        <f>IF($D4305="","",IF(AND(LEN($D4305)=10,LEFT($D4305,1)="0",ISNUMBER(--$D4305)),"Có","Không"))</f>
        <v/>
      </c>
      <c r="T4305" s="22">
        <f>IF($D4305="","",IF(AND($C4305&lt;&gt;"",$Q4305="Có",$R4305="",$S4305="Có",AND($L4305&lt;&gt;"",OR($L4305&lt;&gt;"Chưa xác định",DANH_MUC!$L$9="Có"))),"Có","Không"))</f>
        <v/>
      </c>
      <c r="U4305" s="22">
        <f>IF(OR($D4305="",$T4305="Có"),"",IF($C4305="","Thiếu họ tên; ","")&amp;IF($S4305&lt;&gt;"Có","SĐT sai định dạng; ","")&amp;IF($R4305="Trùng","Trùng SĐT; ","")&amp;IF($Q4305&lt;&gt;"Có","Thiếu đồng ý bắt buộc; ","")&amp;IF($L4305="","Thiếu/sai Mã REF; ",IF(AND($L4305="Chưa xác định",DANH_MUC!$L$9&lt;&gt;"Có"),"Nguồn chưa xác định; ","")))</f>
        <v/>
      </c>
      <c r="V4305" s="22">
        <f>IF(OR($D4305="",$R4305="Trùng"),"",IF(COUNTIF(ORDERS!$C$2:$C$4995,$D4305)&gt;0,"Có","Không"))</f>
        <v/>
      </c>
      <c r="W4305" s="22">
        <f>IF(OR($D4305="",$R4305="Trùng"),"",COUNTIFS(ORDERS!$C$2:$C$4995,$D4305,ORDERS!$L$2:$L$4995,"Đã chuyển khoản"))</f>
        <v/>
      </c>
      <c r="X4305" s="23">
        <f>IF(OR($D4305="",$R4305="Trùng"),"",SUMIFS(ORDERS!$J$2:$J$4995,ORDERS!$C$2:$C$4995,$D4305,ORDERS!$L$2:$L$4995,"Đã chuyển khoản"))</f>
        <v/>
      </c>
      <c r="Y4305" s="24" t="n"/>
    </row>
    <row r="4306" ht="14.25" customHeight="1" s="40">
      <c r="A4306" s="24" t="n"/>
      <c r="B4306" s="27" t="n"/>
      <c r="C4306" s="24" t="n"/>
      <c r="D4306" s="28" t="n"/>
      <c r="E4306" s="29" t="n"/>
      <c r="F4306" s="24" t="n"/>
      <c r="G4306" s="24" t="n"/>
      <c r="H4306" s="21">
        <f>IF(ISNUMBER($B4306),INT($B4306)-WEEKDAY($B4306,2)+1,"")</f>
        <v/>
      </c>
      <c r="I4306" s="24" t="n"/>
      <c r="J4306" s="22">
        <f t="array" ref="J4306">IF($D4306="","",IF($I4306="","(trống REF)",IFERROR(INDEX(MASTER_SOURCE!$B$2:$B$495,MATCH($I4306,MASTER_SOURCE!$A$2:$A$495,0)),"(REF không có trong MASTER_SOURCE)")))</f>
        <v/>
      </c>
      <c r="K4306" s="22">
        <f t="array" ref="K4306">IF($D4306="","",IFERROR(INDEX(MASTER_SOURCE!$C$2:$C$495,MATCH($I4306,MASTER_SOURCE!$A$2:$A$495,0)),""))</f>
        <v/>
      </c>
      <c r="L4306" s="22">
        <f t="array" ref="L4306">IF($D4306="","",IFERROR(INDEX(MASTER_SOURCE!$D$2:$D$495,MATCH($I4306,MASTER_SOURCE!$A$2:$A$495,0)),""))</f>
        <v/>
      </c>
      <c r="M4306" s="24" t="n"/>
      <c r="N4306" s="24" t="n"/>
      <c r="O4306" s="24" t="n"/>
      <c r="P4306" s="24" t="n"/>
      <c r="Q4306" s="22">
        <f>IF($D4306="","",IF(AND(OR(DANH_MUC!$L$5&lt;&gt;"Có",M4306="Có"),OR(DANH_MUC!$L$6&lt;&gt;"Có",N4306="Có"),OR(DANH_MUC!$L$7&lt;&gt;"Có",O4306="Có"),OR(DANH_MUC!$L$8&lt;&gt;"Có",P4306="Có")),"Có","Không"))</f>
        <v/>
      </c>
      <c r="R4306" s="22">
        <f>IF($D4306="","",IF(COUNTIF($D$2:$D4306,$D4306)&gt;1,"Trùng",""))</f>
        <v/>
      </c>
      <c r="S4306" s="22">
        <f>IF($D4306="","",IF(AND(LEN($D4306)=10,LEFT($D4306,1)="0",ISNUMBER(--$D4306)),"Có","Không"))</f>
        <v/>
      </c>
      <c r="T4306" s="22">
        <f>IF($D4306="","",IF(AND($C4306&lt;&gt;"",$Q4306="Có",$R4306="",$S4306="Có",AND($L4306&lt;&gt;"",OR($L4306&lt;&gt;"Chưa xác định",DANH_MUC!$L$9="Có"))),"Có","Không"))</f>
        <v/>
      </c>
      <c r="U4306" s="22">
        <f>IF(OR($D4306="",$T4306="Có"),"",IF($C4306="","Thiếu họ tên; ","")&amp;IF($S4306&lt;&gt;"Có","SĐT sai định dạng; ","")&amp;IF($R4306="Trùng","Trùng SĐT; ","")&amp;IF($Q4306&lt;&gt;"Có","Thiếu đồng ý bắt buộc; ","")&amp;IF($L4306="","Thiếu/sai Mã REF; ",IF(AND($L4306="Chưa xác định",DANH_MUC!$L$9&lt;&gt;"Có"),"Nguồn chưa xác định; ","")))</f>
        <v/>
      </c>
      <c r="V4306" s="22">
        <f>IF(OR($D4306="",$R4306="Trùng"),"",IF(COUNTIF(ORDERS!$C$2:$C$4995,$D4306)&gt;0,"Có","Không"))</f>
        <v/>
      </c>
      <c r="W4306" s="22">
        <f>IF(OR($D4306="",$R4306="Trùng"),"",COUNTIFS(ORDERS!$C$2:$C$4995,$D4306,ORDERS!$L$2:$L$4995,"Đã chuyển khoản"))</f>
        <v/>
      </c>
      <c r="X4306" s="23">
        <f>IF(OR($D4306="",$R4306="Trùng"),"",SUMIFS(ORDERS!$J$2:$J$4995,ORDERS!$C$2:$C$4995,$D4306,ORDERS!$L$2:$L$4995,"Đã chuyển khoản"))</f>
        <v/>
      </c>
      <c r="Y4306" s="24" t="n"/>
    </row>
    <row r="4307" ht="14.25" customHeight="1" s="40">
      <c r="A4307" s="24" t="n"/>
      <c r="B4307" s="27" t="n"/>
      <c r="C4307" s="24" t="n"/>
      <c r="D4307" s="28" t="n"/>
      <c r="E4307" s="29" t="n"/>
      <c r="F4307" s="24" t="n"/>
      <c r="G4307" s="24" t="n"/>
      <c r="H4307" s="21">
        <f>IF(ISNUMBER($B4307),INT($B4307)-WEEKDAY($B4307,2)+1,"")</f>
        <v/>
      </c>
      <c r="I4307" s="24" t="n"/>
      <c r="J4307" s="22">
        <f t="array" ref="J4307">IF($D4307="","",IF($I4307="","(trống REF)",IFERROR(INDEX(MASTER_SOURCE!$B$2:$B$495,MATCH($I4307,MASTER_SOURCE!$A$2:$A$495,0)),"(REF không có trong MASTER_SOURCE)")))</f>
        <v/>
      </c>
      <c r="K4307" s="22">
        <f t="array" ref="K4307">IF($D4307="","",IFERROR(INDEX(MASTER_SOURCE!$C$2:$C$495,MATCH($I4307,MASTER_SOURCE!$A$2:$A$495,0)),""))</f>
        <v/>
      </c>
      <c r="L4307" s="22">
        <f t="array" ref="L4307">IF($D4307="","",IFERROR(INDEX(MASTER_SOURCE!$D$2:$D$495,MATCH($I4307,MASTER_SOURCE!$A$2:$A$495,0)),""))</f>
        <v/>
      </c>
      <c r="M4307" s="24" t="n"/>
      <c r="N4307" s="24" t="n"/>
      <c r="O4307" s="24" t="n"/>
      <c r="P4307" s="24" t="n"/>
      <c r="Q4307" s="22">
        <f>IF($D4307="","",IF(AND(OR(DANH_MUC!$L$5&lt;&gt;"Có",M4307="Có"),OR(DANH_MUC!$L$6&lt;&gt;"Có",N4307="Có"),OR(DANH_MUC!$L$7&lt;&gt;"Có",O4307="Có"),OR(DANH_MUC!$L$8&lt;&gt;"Có",P4307="Có")),"Có","Không"))</f>
        <v/>
      </c>
      <c r="R4307" s="22">
        <f>IF($D4307="","",IF(COUNTIF($D$2:$D4307,$D4307)&gt;1,"Trùng",""))</f>
        <v/>
      </c>
      <c r="S4307" s="22">
        <f>IF($D4307="","",IF(AND(LEN($D4307)=10,LEFT($D4307,1)="0",ISNUMBER(--$D4307)),"Có","Không"))</f>
        <v/>
      </c>
      <c r="T4307" s="22">
        <f>IF($D4307="","",IF(AND($C4307&lt;&gt;"",$Q4307="Có",$R4307="",$S4307="Có",AND($L4307&lt;&gt;"",OR($L4307&lt;&gt;"Chưa xác định",DANH_MUC!$L$9="Có"))),"Có","Không"))</f>
        <v/>
      </c>
      <c r="U4307" s="22">
        <f>IF(OR($D4307="",$T4307="Có"),"",IF($C4307="","Thiếu họ tên; ","")&amp;IF($S4307&lt;&gt;"Có","SĐT sai định dạng; ","")&amp;IF($R4307="Trùng","Trùng SĐT; ","")&amp;IF($Q4307&lt;&gt;"Có","Thiếu đồng ý bắt buộc; ","")&amp;IF($L4307="","Thiếu/sai Mã REF; ",IF(AND($L4307="Chưa xác định",DANH_MUC!$L$9&lt;&gt;"Có"),"Nguồn chưa xác định; ","")))</f>
        <v/>
      </c>
      <c r="V4307" s="22">
        <f>IF(OR($D4307="",$R4307="Trùng"),"",IF(COUNTIF(ORDERS!$C$2:$C$4995,$D4307)&gt;0,"Có","Không"))</f>
        <v/>
      </c>
      <c r="W4307" s="22">
        <f>IF(OR($D4307="",$R4307="Trùng"),"",COUNTIFS(ORDERS!$C$2:$C$4995,$D4307,ORDERS!$L$2:$L$4995,"Đã chuyển khoản"))</f>
        <v/>
      </c>
      <c r="X4307" s="23">
        <f>IF(OR($D4307="",$R4307="Trùng"),"",SUMIFS(ORDERS!$J$2:$J$4995,ORDERS!$C$2:$C$4995,$D4307,ORDERS!$L$2:$L$4995,"Đã chuyển khoản"))</f>
        <v/>
      </c>
      <c r="Y4307" s="24" t="n"/>
    </row>
    <row r="4308" ht="14.25" customHeight="1" s="40">
      <c r="A4308" s="24" t="n"/>
      <c r="B4308" s="27" t="n"/>
      <c r="C4308" s="24" t="n"/>
      <c r="D4308" s="28" t="n"/>
      <c r="E4308" s="29" t="n"/>
      <c r="F4308" s="24" t="n"/>
      <c r="G4308" s="24" t="n"/>
      <c r="H4308" s="21">
        <f>IF(ISNUMBER($B4308),INT($B4308)-WEEKDAY($B4308,2)+1,"")</f>
        <v/>
      </c>
      <c r="I4308" s="24" t="n"/>
      <c r="J4308" s="22">
        <f t="array" ref="J4308">IF($D4308="","",IF($I4308="","(trống REF)",IFERROR(INDEX(MASTER_SOURCE!$B$2:$B$495,MATCH($I4308,MASTER_SOURCE!$A$2:$A$495,0)),"(REF không có trong MASTER_SOURCE)")))</f>
        <v/>
      </c>
      <c r="K4308" s="22">
        <f t="array" ref="K4308">IF($D4308="","",IFERROR(INDEX(MASTER_SOURCE!$C$2:$C$495,MATCH($I4308,MASTER_SOURCE!$A$2:$A$495,0)),""))</f>
        <v/>
      </c>
      <c r="L4308" s="22">
        <f t="array" ref="L4308">IF($D4308="","",IFERROR(INDEX(MASTER_SOURCE!$D$2:$D$495,MATCH($I4308,MASTER_SOURCE!$A$2:$A$495,0)),""))</f>
        <v/>
      </c>
      <c r="M4308" s="24" t="n"/>
      <c r="N4308" s="24" t="n"/>
      <c r="O4308" s="24" t="n"/>
      <c r="P4308" s="24" t="n"/>
      <c r="Q4308" s="22">
        <f>IF($D4308="","",IF(AND(OR(DANH_MUC!$L$5&lt;&gt;"Có",M4308="Có"),OR(DANH_MUC!$L$6&lt;&gt;"Có",N4308="Có"),OR(DANH_MUC!$L$7&lt;&gt;"Có",O4308="Có"),OR(DANH_MUC!$L$8&lt;&gt;"Có",P4308="Có")),"Có","Không"))</f>
        <v/>
      </c>
      <c r="R4308" s="22">
        <f>IF($D4308="","",IF(COUNTIF($D$2:$D4308,$D4308)&gt;1,"Trùng",""))</f>
        <v/>
      </c>
      <c r="S4308" s="22">
        <f>IF($D4308="","",IF(AND(LEN($D4308)=10,LEFT($D4308,1)="0",ISNUMBER(--$D4308)),"Có","Không"))</f>
        <v/>
      </c>
      <c r="T4308" s="22">
        <f>IF($D4308="","",IF(AND($C4308&lt;&gt;"",$Q4308="Có",$R4308="",$S4308="Có",AND($L4308&lt;&gt;"",OR($L4308&lt;&gt;"Chưa xác định",DANH_MUC!$L$9="Có"))),"Có","Không"))</f>
        <v/>
      </c>
      <c r="U4308" s="22">
        <f>IF(OR($D4308="",$T4308="Có"),"",IF($C4308="","Thiếu họ tên; ","")&amp;IF($S4308&lt;&gt;"Có","SĐT sai định dạng; ","")&amp;IF($R4308="Trùng","Trùng SĐT; ","")&amp;IF($Q4308&lt;&gt;"Có","Thiếu đồng ý bắt buộc; ","")&amp;IF($L4308="","Thiếu/sai Mã REF; ",IF(AND($L4308="Chưa xác định",DANH_MUC!$L$9&lt;&gt;"Có"),"Nguồn chưa xác định; ","")))</f>
        <v/>
      </c>
      <c r="V4308" s="22">
        <f>IF(OR($D4308="",$R4308="Trùng"),"",IF(COUNTIF(ORDERS!$C$2:$C$4995,$D4308)&gt;0,"Có","Không"))</f>
        <v/>
      </c>
      <c r="W4308" s="22">
        <f>IF(OR($D4308="",$R4308="Trùng"),"",COUNTIFS(ORDERS!$C$2:$C$4995,$D4308,ORDERS!$L$2:$L$4995,"Đã chuyển khoản"))</f>
        <v/>
      </c>
      <c r="X4308" s="23">
        <f>IF(OR($D4308="",$R4308="Trùng"),"",SUMIFS(ORDERS!$J$2:$J$4995,ORDERS!$C$2:$C$4995,$D4308,ORDERS!$L$2:$L$4995,"Đã chuyển khoản"))</f>
        <v/>
      </c>
      <c r="Y4308" s="24" t="n"/>
    </row>
    <row r="4309" ht="14.25" customHeight="1" s="40">
      <c r="A4309" s="24" t="n"/>
      <c r="B4309" s="27" t="n"/>
      <c r="C4309" s="24" t="n"/>
      <c r="D4309" s="28" t="n"/>
      <c r="E4309" s="29" t="n"/>
      <c r="F4309" s="24" t="n"/>
      <c r="G4309" s="24" t="n"/>
      <c r="H4309" s="21">
        <f>IF(ISNUMBER($B4309),INT($B4309)-WEEKDAY($B4309,2)+1,"")</f>
        <v/>
      </c>
      <c r="I4309" s="24" t="n"/>
      <c r="J4309" s="22">
        <f t="array" ref="J4309">IF($D4309="","",IF($I4309="","(trống REF)",IFERROR(INDEX(MASTER_SOURCE!$B$2:$B$495,MATCH($I4309,MASTER_SOURCE!$A$2:$A$495,0)),"(REF không có trong MASTER_SOURCE)")))</f>
        <v/>
      </c>
      <c r="K4309" s="22">
        <f t="array" ref="K4309">IF($D4309="","",IFERROR(INDEX(MASTER_SOURCE!$C$2:$C$495,MATCH($I4309,MASTER_SOURCE!$A$2:$A$495,0)),""))</f>
        <v/>
      </c>
      <c r="L4309" s="22">
        <f t="array" ref="L4309">IF($D4309="","",IFERROR(INDEX(MASTER_SOURCE!$D$2:$D$495,MATCH($I4309,MASTER_SOURCE!$A$2:$A$495,0)),""))</f>
        <v/>
      </c>
      <c r="M4309" s="24" t="n"/>
      <c r="N4309" s="24" t="n"/>
      <c r="O4309" s="24" t="n"/>
      <c r="P4309" s="24" t="n"/>
      <c r="Q4309" s="22">
        <f>IF($D4309="","",IF(AND(OR(DANH_MUC!$L$5&lt;&gt;"Có",M4309="Có"),OR(DANH_MUC!$L$6&lt;&gt;"Có",N4309="Có"),OR(DANH_MUC!$L$7&lt;&gt;"Có",O4309="Có"),OR(DANH_MUC!$L$8&lt;&gt;"Có",P4309="Có")),"Có","Không"))</f>
        <v/>
      </c>
      <c r="R4309" s="22">
        <f>IF($D4309="","",IF(COUNTIF($D$2:$D4309,$D4309)&gt;1,"Trùng",""))</f>
        <v/>
      </c>
      <c r="S4309" s="22">
        <f>IF($D4309="","",IF(AND(LEN($D4309)=10,LEFT($D4309,1)="0",ISNUMBER(--$D4309)),"Có","Không"))</f>
        <v/>
      </c>
      <c r="T4309" s="22">
        <f>IF($D4309="","",IF(AND($C4309&lt;&gt;"",$Q4309="Có",$R4309="",$S4309="Có",AND($L4309&lt;&gt;"",OR($L4309&lt;&gt;"Chưa xác định",DANH_MUC!$L$9="Có"))),"Có","Không"))</f>
        <v/>
      </c>
      <c r="U4309" s="22">
        <f>IF(OR($D4309="",$T4309="Có"),"",IF($C4309="","Thiếu họ tên; ","")&amp;IF($S4309&lt;&gt;"Có","SĐT sai định dạng; ","")&amp;IF($R4309="Trùng","Trùng SĐT; ","")&amp;IF($Q4309&lt;&gt;"Có","Thiếu đồng ý bắt buộc; ","")&amp;IF($L4309="","Thiếu/sai Mã REF; ",IF(AND($L4309="Chưa xác định",DANH_MUC!$L$9&lt;&gt;"Có"),"Nguồn chưa xác định; ","")))</f>
        <v/>
      </c>
      <c r="V4309" s="22">
        <f>IF(OR($D4309="",$R4309="Trùng"),"",IF(COUNTIF(ORDERS!$C$2:$C$4995,$D4309)&gt;0,"Có","Không"))</f>
        <v/>
      </c>
      <c r="W4309" s="22">
        <f>IF(OR($D4309="",$R4309="Trùng"),"",COUNTIFS(ORDERS!$C$2:$C$4995,$D4309,ORDERS!$L$2:$L$4995,"Đã chuyển khoản"))</f>
        <v/>
      </c>
      <c r="X4309" s="23">
        <f>IF(OR($D4309="",$R4309="Trùng"),"",SUMIFS(ORDERS!$J$2:$J$4995,ORDERS!$C$2:$C$4995,$D4309,ORDERS!$L$2:$L$4995,"Đã chuyển khoản"))</f>
        <v/>
      </c>
      <c r="Y4309" s="24" t="n"/>
    </row>
    <row r="4310" ht="14.25" customHeight="1" s="40">
      <c r="A4310" s="24" t="n"/>
      <c r="B4310" s="27" t="n"/>
      <c r="C4310" s="24" t="n"/>
      <c r="D4310" s="28" t="n"/>
      <c r="E4310" s="29" t="n"/>
      <c r="F4310" s="24" t="n"/>
      <c r="G4310" s="24" t="n"/>
      <c r="H4310" s="21">
        <f>IF(ISNUMBER($B4310),INT($B4310)-WEEKDAY($B4310,2)+1,"")</f>
        <v/>
      </c>
      <c r="I4310" s="24" t="n"/>
      <c r="J4310" s="22">
        <f t="array" ref="J4310">IF($D4310="","",IF($I4310="","(trống REF)",IFERROR(INDEX(MASTER_SOURCE!$B$2:$B$495,MATCH($I4310,MASTER_SOURCE!$A$2:$A$495,0)),"(REF không có trong MASTER_SOURCE)")))</f>
        <v/>
      </c>
      <c r="K4310" s="22">
        <f t="array" ref="K4310">IF($D4310="","",IFERROR(INDEX(MASTER_SOURCE!$C$2:$C$495,MATCH($I4310,MASTER_SOURCE!$A$2:$A$495,0)),""))</f>
        <v/>
      </c>
      <c r="L4310" s="22">
        <f t="array" ref="L4310">IF($D4310="","",IFERROR(INDEX(MASTER_SOURCE!$D$2:$D$495,MATCH($I4310,MASTER_SOURCE!$A$2:$A$495,0)),""))</f>
        <v/>
      </c>
      <c r="M4310" s="24" t="n"/>
      <c r="N4310" s="24" t="n"/>
      <c r="O4310" s="24" t="n"/>
      <c r="P4310" s="24" t="n"/>
      <c r="Q4310" s="22">
        <f>IF($D4310="","",IF(AND(OR(DANH_MUC!$L$5&lt;&gt;"Có",M4310="Có"),OR(DANH_MUC!$L$6&lt;&gt;"Có",N4310="Có"),OR(DANH_MUC!$L$7&lt;&gt;"Có",O4310="Có"),OR(DANH_MUC!$L$8&lt;&gt;"Có",P4310="Có")),"Có","Không"))</f>
        <v/>
      </c>
      <c r="R4310" s="22">
        <f>IF($D4310="","",IF(COUNTIF($D$2:$D4310,$D4310)&gt;1,"Trùng",""))</f>
        <v/>
      </c>
      <c r="S4310" s="22">
        <f>IF($D4310="","",IF(AND(LEN($D4310)=10,LEFT($D4310,1)="0",ISNUMBER(--$D4310)),"Có","Không"))</f>
        <v/>
      </c>
      <c r="T4310" s="22">
        <f>IF($D4310="","",IF(AND($C4310&lt;&gt;"",$Q4310="Có",$R4310="",$S4310="Có",AND($L4310&lt;&gt;"",OR($L4310&lt;&gt;"Chưa xác định",DANH_MUC!$L$9="Có"))),"Có","Không"))</f>
        <v/>
      </c>
      <c r="U4310" s="22">
        <f>IF(OR($D4310="",$T4310="Có"),"",IF($C4310="","Thiếu họ tên; ","")&amp;IF($S4310&lt;&gt;"Có","SĐT sai định dạng; ","")&amp;IF($R4310="Trùng","Trùng SĐT; ","")&amp;IF($Q4310&lt;&gt;"Có","Thiếu đồng ý bắt buộc; ","")&amp;IF($L4310="","Thiếu/sai Mã REF; ",IF(AND($L4310="Chưa xác định",DANH_MUC!$L$9&lt;&gt;"Có"),"Nguồn chưa xác định; ","")))</f>
        <v/>
      </c>
      <c r="V4310" s="22">
        <f>IF(OR($D4310="",$R4310="Trùng"),"",IF(COUNTIF(ORDERS!$C$2:$C$4995,$D4310)&gt;0,"Có","Không"))</f>
        <v/>
      </c>
      <c r="W4310" s="22">
        <f>IF(OR($D4310="",$R4310="Trùng"),"",COUNTIFS(ORDERS!$C$2:$C$4995,$D4310,ORDERS!$L$2:$L$4995,"Đã chuyển khoản"))</f>
        <v/>
      </c>
      <c r="X4310" s="23">
        <f>IF(OR($D4310="",$R4310="Trùng"),"",SUMIFS(ORDERS!$J$2:$J$4995,ORDERS!$C$2:$C$4995,$D4310,ORDERS!$L$2:$L$4995,"Đã chuyển khoản"))</f>
        <v/>
      </c>
      <c r="Y4310" s="24" t="n"/>
    </row>
    <row r="4311" ht="14.25" customHeight="1" s="40">
      <c r="A4311" s="24" t="n"/>
      <c r="B4311" s="27" t="n"/>
      <c r="C4311" s="24" t="n"/>
      <c r="D4311" s="28" t="n"/>
      <c r="E4311" s="29" t="n"/>
      <c r="F4311" s="24" t="n"/>
      <c r="G4311" s="24" t="n"/>
      <c r="H4311" s="21">
        <f>IF(ISNUMBER($B4311),INT($B4311)-WEEKDAY($B4311,2)+1,"")</f>
        <v/>
      </c>
      <c r="I4311" s="24" t="n"/>
      <c r="J4311" s="22">
        <f t="array" ref="J4311">IF($D4311="","",IF($I4311="","(trống REF)",IFERROR(INDEX(MASTER_SOURCE!$B$2:$B$495,MATCH($I4311,MASTER_SOURCE!$A$2:$A$495,0)),"(REF không có trong MASTER_SOURCE)")))</f>
        <v/>
      </c>
      <c r="K4311" s="22">
        <f t="array" ref="K4311">IF($D4311="","",IFERROR(INDEX(MASTER_SOURCE!$C$2:$C$495,MATCH($I4311,MASTER_SOURCE!$A$2:$A$495,0)),""))</f>
        <v/>
      </c>
      <c r="L4311" s="22">
        <f t="array" ref="L4311">IF($D4311="","",IFERROR(INDEX(MASTER_SOURCE!$D$2:$D$495,MATCH($I4311,MASTER_SOURCE!$A$2:$A$495,0)),""))</f>
        <v/>
      </c>
      <c r="M4311" s="24" t="n"/>
      <c r="N4311" s="24" t="n"/>
      <c r="O4311" s="24" t="n"/>
      <c r="P4311" s="24" t="n"/>
      <c r="Q4311" s="22">
        <f>IF($D4311="","",IF(AND(OR(DANH_MUC!$L$5&lt;&gt;"Có",M4311="Có"),OR(DANH_MUC!$L$6&lt;&gt;"Có",N4311="Có"),OR(DANH_MUC!$L$7&lt;&gt;"Có",O4311="Có"),OR(DANH_MUC!$L$8&lt;&gt;"Có",P4311="Có")),"Có","Không"))</f>
        <v/>
      </c>
      <c r="R4311" s="22">
        <f>IF($D4311="","",IF(COUNTIF($D$2:$D4311,$D4311)&gt;1,"Trùng",""))</f>
        <v/>
      </c>
      <c r="S4311" s="22">
        <f>IF($D4311="","",IF(AND(LEN($D4311)=10,LEFT($D4311,1)="0",ISNUMBER(--$D4311)),"Có","Không"))</f>
        <v/>
      </c>
      <c r="T4311" s="22">
        <f>IF($D4311="","",IF(AND($C4311&lt;&gt;"",$Q4311="Có",$R4311="",$S4311="Có",AND($L4311&lt;&gt;"",OR($L4311&lt;&gt;"Chưa xác định",DANH_MUC!$L$9="Có"))),"Có","Không"))</f>
        <v/>
      </c>
      <c r="U4311" s="22">
        <f>IF(OR($D4311="",$T4311="Có"),"",IF($C4311="","Thiếu họ tên; ","")&amp;IF($S4311&lt;&gt;"Có","SĐT sai định dạng; ","")&amp;IF($R4311="Trùng","Trùng SĐT; ","")&amp;IF($Q4311&lt;&gt;"Có","Thiếu đồng ý bắt buộc; ","")&amp;IF($L4311="","Thiếu/sai Mã REF; ",IF(AND($L4311="Chưa xác định",DANH_MUC!$L$9&lt;&gt;"Có"),"Nguồn chưa xác định; ","")))</f>
        <v/>
      </c>
      <c r="V4311" s="22">
        <f>IF(OR($D4311="",$R4311="Trùng"),"",IF(COUNTIF(ORDERS!$C$2:$C$4995,$D4311)&gt;0,"Có","Không"))</f>
        <v/>
      </c>
      <c r="W4311" s="22">
        <f>IF(OR($D4311="",$R4311="Trùng"),"",COUNTIFS(ORDERS!$C$2:$C$4995,$D4311,ORDERS!$L$2:$L$4995,"Đã chuyển khoản"))</f>
        <v/>
      </c>
      <c r="X4311" s="23">
        <f>IF(OR($D4311="",$R4311="Trùng"),"",SUMIFS(ORDERS!$J$2:$J$4995,ORDERS!$C$2:$C$4995,$D4311,ORDERS!$L$2:$L$4995,"Đã chuyển khoản"))</f>
        <v/>
      </c>
      <c r="Y4311" s="24" t="n"/>
    </row>
    <row r="4312" ht="14.25" customHeight="1" s="40">
      <c r="A4312" s="24" t="n"/>
      <c r="B4312" s="27" t="n"/>
      <c r="C4312" s="24" t="n"/>
      <c r="D4312" s="28" t="n"/>
      <c r="E4312" s="29" t="n"/>
      <c r="F4312" s="24" t="n"/>
      <c r="G4312" s="24" t="n"/>
      <c r="H4312" s="21">
        <f>IF(ISNUMBER($B4312),INT($B4312)-WEEKDAY($B4312,2)+1,"")</f>
        <v/>
      </c>
      <c r="I4312" s="24" t="n"/>
      <c r="J4312" s="22">
        <f t="array" ref="J4312">IF($D4312="","",IF($I4312="","(trống REF)",IFERROR(INDEX(MASTER_SOURCE!$B$2:$B$495,MATCH($I4312,MASTER_SOURCE!$A$2:$A$495,0)),"(REF không có trong MASTER_SOURCE)")))</f>
        <v/>
      </c>
      <c r="K4312" s="22">
        <f t="array" ref="K4312">IF($D4312="","",IFERROR(INDEX(MASTER_SOURCE!$C$2:$C$495,MATCH($I4312,MASTER_SOURCE!$A$2:$A$495,0)),""))</f>
        <v/>
      </c>
      <c r="L4312" s="22">
        <f t="array" ref="L4312">IF($D4312="","",IFERROR(INDEX(MASTER_SOURCE!$D$2:$D$495,MATCH($I4312,MASTER_SOURCE!$A$2:$A$495,0)),""))</f>
        <v/>
      </c>
      <c r="M4312" s="24" t="n"/>
      <c r="N4312" s="24" t="n"/>
      <c r="O4312" s="24" t="n"/>
      <c r="P4312" s="24" t="n"/>
      <c r="Q4312" s="22">
        <f>IF($D4312="","",IF(AND(OR(DANH_MUC!$L$5&lt;&gt;"Có",M4312="Có"),OR(DANH_MUC!$L$6&lt;&gt;"Có",N4312="Có"),OR(DANH_MUC!$L$7&lt;&gt;"Có",O4312="Có"),OR(DANH_MUC!$L$8&lt;&gt;"Có",P4312="Có")),"Có","Không"))</f>
        <v/>
      </c>
      <c r="R4312" s="22">
        <f>IF($D4312="","",IF(COUNTIF($D$2:$D4312,$D4312)&gt;1,"Trùng",""))</f>
        <v/>
      </c>
      <c r="S4312" s="22">
        <f>IF($D4312="","",IF(AND(LEN($D4312)=10,LEFT($D4312,1)="0",ISNUMBER(--$D4312)),"Có","Không"))</f>
        <v/>
      </c>
      <c r="T4312" s="22">
        <f>IF($D4312="","",IF(AND($C4312&lt;&gt;"",$Q4312="Có",$R4312="",$S4312="Có",AND($L4312&lt;&gt;"",OR($L4312&lt;&gt;"Chưa xác định",DANH_MUC!$L$9="Có"))),"Có","Không"))</f>
        <v/>
      </c>
      <c r="U4312" s="22">
        <f>IF(OR($D4312="",$T4312="Có"),"",IF($C4312="","Thiếu họ tên; ","")&amp;IF($S4312&lt;&gt;"Có","SĐT sai định dạng; ","")&amp;IF($R4312="Trùng","Trùng SĐT; ","")&amp;IF($Q4312&lt;&gt;"Có","Thiếu đồng ý bắt buộc; ","")&amp;IF($L4312="","Thiếu/sai Mã REF; ",IF(AND($L4312="Chưa xác định",DANH_MUC!$L$9&lt;&gt;"Có"),"Nguồn chưa xác định; ","")))</f>
        <v/>
      </c>
      <c r="V4312" s="22">
        <f>IF(OR($D4312="",$R4312="Trùng"),"",IF(COUNTIF(ORDERS!$C$2:$C$4995,$D4312)&gt;0,"Có","Không"))</f>
        <v/>
      </c>
      <c r="W4312" s="22">
        <f>IF(OR($D4312="",$R4312="Trùng"),"",COUNTIFS(ORDERS!$C$2:$C$4995,$D4312,ORDERS!$L$2:$L$4995,"Đã chuyển khoản"))</f>
        <v/>
      </c>
      <c r="X4312" s="23">
        <f>IF(OR($D4312="",$R4312="Trùng"),"",SUMIFS(ORDERS!$J$2:$J$4995,ORDERS!$C$2:$C$4995,$D4312,ORDERS!$L$2:$L$4995,"Đã chuyển khoản"))</f>
        <v/>
      </c>
      <c r="Y4312" s="24" t="n"/>
    </row>
    <row r="4313" ht="14.25" customHeight="1" s="40">
      <c r="A4313" s="24" t="n"/>
      <c r="B4313" s="27" t="n"/>
      <c r="C4313" s="24" t="n"/>
      <c r="D4313" s="28" t="n"/>
      <c r="E4313" s="29" t="n"/>
      <c r="F4313" s="24" t="n"/>
      <c r="G4313" s="24" t="n"/>
      <c r="H4313" s="21">
        <f>IF(ISNUMBER($B4313),INT($B4313)-WEEKDAY($B4313,2)+1,"")</f>
        <v/>
      </c>
      <c r="I4313" s="24" t="n"/>
      <c r="J4313" s="22">
        <f t="array" ref="J4313">IF($D4313="","",IF($I4313="","(trống REF)",IFERROR(INDEX(MASTER_SOURCE!$B$2:$B$495,MATCH($I4313,MASTER_SOURCE!$A$2:$A$495,0)),"(REF không có trong MASTER_SOURCE)")))</f>
        <v/>
      </c>
      <c r="K4313" s="22">
        <f t="array" ref="K4313">IF($D4313="","",IFERROR(INDEX(MASTER_SOURCE!$C$2:$C$495,MATCH($I4313,MASTER_SOURCE!$A$2:$A$495,0)),""))</f>
        <v/>
      </c>
      <c r="L4313" s="22">
        <f t="array" ref="L4313">IF($D4313="","",IFERROR(INDEX(MASTER_SOURCE!$D$2:$D$495,MATCH($I4313,MASTER_SOURCE!$A$2:$A$495,0)),""))</f>
        <v/>
      </c>
      <c r="M4313" s="24" t="n"/>
      <c r="N4313" s="24" t="n"/>
      <c r="O4313" s="24" t="n"/>
      <c r="P4313" s="24" t="n"/>
      <c r="Q4313" s="22">
        <f>IF($D4313="","",IF(AND(OR(DANH_MUC!$L$5&lt;&gt;"Có",M4313="Có"),OR(DANH_MUC!$L$6&lt;&gt;"Có",N4313="Có"),OR(DANH_MUC!$L$7&lt;&gt;"Có",O4313="Có"),OR(DANH_MUC!$L$8&lt;&gt;"Có",P4313="Có")),"Có","Không"))</f>
        <v/>
      </c>
      <c r="R4313" s="22">
        <f>IF($D4313="","",IF(COUNTIF($D$2:$D4313,$D4313)&gt;1,"Trùng",""))</f>
        <v/>
      </c>
      <c r="S4313" s="22">
        <f>IF($D4313="","",IF(AND(LEN($D4313)=10,LEFT($D4313,1)="0",ISNUMBER(--$D4313)),"Có","Không"))</f>
        <v/>
      </c>
      <c r="T4313" s="22">
        <f>IF($D4313="","",IF(AND($C4313&lt;&gt;"",$Q4313="Có",$R4313="",$S4313="Có",AND($L4313&lt;&gt;"",OR($L4313&lt;&gt;"Chưa xác định",DANH_MUC!$L$9="Có"))),"Có","Không"))</f>
        <v/>
      </c>
      <c r="U4313" s="22">
        <f>IF(OR($D4313="",$T4313="Có"),"",IF($C4313="","Thiếu họ tên; ","")&amp;IF($S4313&lt;&gt;"Có","SĐT sai định dạng; ","")&amp;IF($R4313="Trùng","Trùng SĐT; ","")&amp;IF($Q4313&lt;&gt;"Có","Thiếu đồng ý bắt buộc; ","")&amp;IF($L4313="","Thiếu/sai Mã REF; ",IF(AND($L4313="Chưa xác định",DANH_MUC!$L$9&lt;&gt;"Có"),"Nguồn chưa xác định; ","")))</f>
        <v/>
      </c>
      <c r="V4313" s="22">
        <f>IF(OR($D4313="",$R4313="Trùng"),"",IF(COUNTIF(ORDERS!$C$2:$C$4995,$D4313)&gt;0,"Có","Không"))</f>
        <v/>
      </c>
      <c r="W4313" s="22">
        <f>IF(OR($D4313="",$R4313="Trùng"),"",COUNTIFS(ORDERS!$C$2:$C$4995,$D4313,ORDERS!$L$2:$L$4995,"Đã chuyển khoản"))</f>
        <v/>
      </c>
      <c r="X4313" s="23">
        <f>IF(OR($D4313="",$R4313="Trùng"),"",SUMIFS(ORDERS!$J$2:$J$4995,ORDERS!$C$2:$C$4995,$D4313,ORDERS!$L$2:$L$4995,"Đã chuyển khoản"))</f>
        <v/>
      </c>
      <c r="Y4313" s="24" t="n"/>
    </row>
    <row r="4314" ht="14.25" customHeight="1" s="40">
      <c r="A4314" s="24" t="n"/>
      <c r="B4314" s="27" t="n"/>
      <c r="C4314" s="24" t="n"/>
      <c r="D4314" s="28" t="n"/>
      <c r="E4314" s="29" t="n"/>
      <c r="F4314" s="24" t="n"/>
      <c r="G4314" s="24" t="n"/>
      <c r="H4314" s="21">
        <f>IF(ISNUMBER($B4314),INT($B4314)-WEEKDAY($B4314,2)+1,"")</f>
        <v/>
      </c>
      <c r="I4314" s="24" t="n"/>
      <c r="J4314" s="22">
        <f t="array" ref="J4314">IF($D4314="","",IF($I4314="","(trống REF)",IFERROR(INDEX(MASTER_SOURCE!$B$2:$B$495,MATCH($I4314,MASTER_SOURCE!$A$2:$A$495,0)),"(REF không có trong MASTER_SOURCE)")))</f>
        <v/>
      </c>
      <c r="K4314" s="22">
        <f t="array" ref="K4314">IF($D4314="","",IFERROR(INDEX(MASTER_SOURCE!$C$2:$C$495,MATCH($I4314,MASTER_SOURCE!$A$2:$A$495,0)),""))</f>
        <v/>
      </c>
      <c r="L4314" s="22">
        <f t="array" ref="L4314">IF($D4314="","",IFERROR(INDEX(MASTER_SOURCE!$D$2:$D$495,MATCH($I4314,MASTER_SOURCE!$A$2:$A$495,0)),""))</f>
        <v/>
      </c>
      <c r="M4314" s="24" t="n"/>
      <c r="N4314" s="24" t="n"/>
      <c r="O4314" s="24" t="n"/>
      <c r="P4314" s="24" t="n"/>
      <c r="Q4314" s="22">
        <f>IF($D4314="","",IF(AND(OR(DANH_MUC!$L$5&lt;&gt;"Có",M4314="Có"),OR(DANH_MUC!$L$6&lt;&gt;"Có",N4314="Có"),OR(DANH_MUC!$L$7&lt;&gt;"Có",O4314="Có"),OR(DANH_MUC!$L$8&lt;&gt;"Có",P4314="Có")),"Có","Không"))</f>
        <v/>
      </c>
      <c r="R4314" s="22">
        <f>IF($D4314="","",IF(COUNTIF($D$2:$D4314,$D4314)&gt;1,"Trùng",""))</f>
        <v/>
      </c>
      <c r="S4314" s="22">
        <f>IF($D4314="","",IF(AND(LEN($D4314)=10,LEFT($D4314,1)="0",ISNUMBER(--$D4314)),"Có","Không"))</f>
        <v/>
      </c>
      <c r="T4314" s="22">
        <f>IF($D4314="","",IF(AND($C4314&lt;&gt;"",$Q4314="Có",$R4314="",$S4314="Có",AND($L4314&lt;&gt;"",OR($L4314&lt;&gt;"Chưa xác định",DANH_MUC!$L$9="Có"))),"Có","Không"))</f>
        <v/>
      </c>
      <c r="U4314" s="22">
        <f>IF(OR($D4314="",$T4314="Có"),"",IF($C4314="","Thiếu họ tên; ","")&amp;IF($S4314&lt;&gt;"Có","SĐT sai định dạng; ","")&amp;IF($R4314="Trùng","Trùng SĐT; ","")&amp;IF($Q4314&lt;&gt;"Có","Thiếu đồng ý bắt buộc; ","")&amp;IF($L4314="","Thiếu/sai Mã REF; ",IF(AND($L4314="Chưa xác định",DANH_MUC!$L$9&lt;&gt;"Có"),"Nguồn chưa xác định; ","")))</f>
        <v/>
      </c>
      <c r="V4314" s="22">
        <f>IF(OR($D4314="",$R4314="Trùng"),"",IF(COUNTIF(ORDERS!$C$2:$C$4995,$D4314)&gt;0,"Có","Không"))</f>
        <v/>
      </c>
      <c r="W4314" s="22">
        <f>IF(OR($D4314="",$R4314="Trùng"),"",COUNTIFS(ORDERS!$C$2:$C$4995,$D4314,ORDERS!$L$2:$L$4995,"Đã chuyển khoản"))</f>
        <v/>
      </c>
      <c r="X4314" s="23">
        <f>IF(OR($D4314="",$R4314="Trùng"),"",SUMIFS(ORDERS!$J$2:$J$4995,ORDERS!$C$2:$C$4995,$D4314,ORDERS!$L$2:$L$4995,"Đã chuyển khoản"))</f>
        <v/>
      </c>
      <c r="Y4314" s="24" t="n"/>
    </row>
    <row r="4315" ht="14.25" customHeight="1" s="40">
      <c r="A4315" s="24" t="n"/>
      <c r="B4315" s="27" t="n"/>
      <c r="C4315" s="24" t="n"/>
      <c r="D4315" s="28" t="n"/>
      <c r="E4315" s="29" t="n"/>
      <c r="F4315" s="24" t="n"/>
      <c r="G4315" s="24" t="n"/>
      <c r="H4315" s="21">
        <f>IF(ISNUMBER($B4315),INT($B4315)-WEEKDAY($B4315,2)+1,"")</f>
        <v/>
      </c>
      <c r="I4315" s="24" t="n"/>
      <c r="J4315" s="22">
        <f t="array" ref="J4315">IF($D4315="","",IF($I4315="","(trống REF)",IFERROR(INDEX(MASTER_SOURCE!$B$2:$B$495,MATCH($I4315,MASTER_SOURCE!$A$2:$A$495,0)),"(REF không có trong MASTER_SOURCE)")))</f>
        <v/>
      </c>
      <c r="K4315" s="22">
        <f t="array" ref="K4315">IF($D4315="","",IFERROR(INDEX(MASTER_SOURCE!$C$2:$C$495,MATCH($I4315,MASTER_SOURCE!$A$2:$A$495,0)),""))</f>
        <v/>
      </c>
      <c r="L4315" s="22">
        <f t="array" ref="L4315">IF($D4315="","",IFERROR(INDEX(MASTER_SOURCE!$D$2:$D$495,MATCH($I4315,MASTER_SOURCE!$A$2:$A$495,0)),""))</f>
        <v/>
      </c>
      <c r="M4315" s="24" t="n"/>
      <c r="N4315" s="24" t="n"/>
      <c r="O4315" s="24" t="n"/>
      <c r="P4315" s="24" t="n"/>
      <c r="Q4315" s="22">
        <f>IF($D4315="","",IF(AND(OR(DANH_MUC!$L$5&lt;&gt;"Có",M4315="Có"),OR(DANH_MUC!$L$6&lt;&gt;"Có",N4315="Có"),OR(DANH_MUC!$L$7&lt;&gt;"Có",O4315="Có"),OR(DANH_MUC!$L$8&lt;&gt;"Có",P4315="Có")),"Có","Không"))</f>
        <v/>
      </c>
      <c r="R4315" s="22">
        <f>IF($D4315="","",IF(COUNTIF($D$2:$D4315,$D4315)&gt;1,"Trùng",""))</f>
        <v/>
      </c>
      <c r="S4315" s="22">
        <f>IF($D4315="","",IF(AND(LEN($D4315)=10,LEFT($D4315,1)="0",ISNUMBER(--$D4315)),"Có","Không"))</f>
        <v/>
      </c>
      <c r="T4315" s="22">
        <f>IF($D4315="","",IF(AND($C4315&lt;&gt;"",$Q4315="Có",$R4315="",$S4315="Có",AND($L4315&lt;&gt;"",OR($L4315&lt;&gt;"Chưa xác định",DANH_MUC!$L$9="Có"))),"Có","Không"))</f>
        <v/>
      </c>
      <c r="U4315" s="22">
        <f>IF(OR($D4315="",$T4315="Có"),"",IF($C4315="","Thiếu họ tên; ","")&amp;IF($S4315&lt;&gt;"Có","SĐT sai định dạng; ","")&amp;IF($R4315="Trùng","Trùng SĐT; ","")&amp;IF($Q4315&lt;&gt;"Có","Thiếu đồng ý bắt buộc; ","")&amp;IF($L4315="","Thiếu/sai Mã REF; ",IF(AND($L4315="Chưa xác định",DANH_MUC!$L$9&lt;&gt;"Có"),"Nguồn chưa xác định; ","")))</f>
        <v/>
      </c>
      <c r="V4315" s="22">
        <f>IF(OR($D4315="",$R4315="Trùng"),"",IF(COUNTIF(ORDERS!$C$2:$C$4995,$D4315)&gt;0,"Có","Không"))</f>
        <v/>
      </c>
      <c r="W4315" s="22">
        <f>IF(OR($D4315="",$R4315="Trùng"),"",COUNTIFS(ORDERS!$C$2:$C$4995,$D4315,ORDERS!$L$2:$L$4995,"Đã chuyển khoản"))</f>
        <v/>
      </c>
      <c r="X4315" s="23">
        <f>IF(OR($D4315="",$R4315="Trùng"),"",SUMIFS(ORDERS!$J$2:$J$4995,ORDERS!$C$2:$C$4995,$D4315,ORDERS!$L$2:$L$4995,"Đã chuyển khoản"))</f>
        <v/>
      </c>
      <c r="Y4315" s="24" t="n"/>
    </row>
    <row r="4316" ht="14.25" customHeight="1" s="40">
      <c r="A4316" s="24" t="n"/>
      <c r="B4316" s="27" t="n"/>
      <c r="C4316" s="24" t="n"/>
      <c r="D4316" s="28" t="n"/>
      <c r="E4316" s="29" t="n"/>
      <c r="F4316" s="24" t="n"/>
      <c r="G4316" s="24" t="n"/>
      <c r="H4316" s="21">
        <f>IF(ISNUMBER($B4316),INT($B4316)-WEEKDAY($B4316,2)+1,"")</f>
        <v/>
      </c>
      <c r="I4316" s="24" t="n"/>
      <c r="J4316" s="22">
        <f t="array" ref="J4316">IF($D4316="","",IF($I4316="","(trống REF)",IFERROR(INDEX(MASTER_SOURCE!$B$2:$B$495,MATCH($I4316,MASTER_SOURCE!$A$2:$A$495,0)),"(REF không có trong MASTER_SOURCE)")))</f>
        <v/>
      </c>
      <c r="K4316" s="22">
        <f t="array" ref="K4316">IF($D4316="","",IFERROR(INDEX(MASTER_SOURCE!$C$2:$C$495,MATCH($I4316,MASTER_SOURCE!$A$2:$A$495,0)),""))</f>
        <v/>
      </c>
      <c r="L4316" s="22">
        <f t="array" ref="L4316">IF($D4316="","",IFERROR(INDEX(MASTER_SOURCE!$D$2:$D$495,MATCH($I4316,MASTER_SOURCE!$A$2:$A$495,0)),""))</f>
        <v/>
      </c>
      <c r="M4316" s="24" t="n"/>
      <c r="N4316" s="24" t="n"/>
      <c r="O4316" s="24" t="n"/>
      <c r="P4316" s="24" t="n"/>
      <c r="Q4316" s="22">
        <f>IF($D4316="","",IF(AND(OR(DANH_MUC!$L$5&lt;&gt;"Có",M4316="Có"),OR(DANH_MUC!$L$6&lt;&gt;"Có",N4316="Có"),OR(DANH_MUC!$L$7&lt;&gt;"Có",O4316="Có"),OR(DANH_MUC!$L$8&lt;&gt;"Có",P4316="Có")),"Có","Không"))</f>
        <v/>
      </c>
      <c r="R4316" s="22">
        <f>IF($D4316="","",IF(COUNTIF($D$2:$D4316,$D4316)&gt;1,"Trùng",""))</f>
        <v/>
      </c>
      <c r="S4316" s="22">
        <f>IF($D4316="","",IF(AND(LEN($D4316)=10,LEFT($D4316,1)="0",ISNUMBER(--$D4316)),"Có","Không"))</f>
        <v/>
      </c>
      <c r="T4316" s="22">
        <f>IF($D4316="","",IF(AND($C4316&lt;&gt;"",$Q4316="Có",$R4316="",$S4316="Có",AND($L4316&lt;&gt;"",OR($L4316&lt;&gt;"Chưa xác định",DANH_MUC!$L$9="Có"))),"Có","Không"))</f>
        <v/>
      </c>
      <c r="U4316" s="22">
        <f>IF(OR($D4316="",$T4316="Có"),"",IF($C4316="","Thiếu họ tên; ","")&amp;IF($S4316&lt;&gt;"Có","SĐT sai định dạng; ","")&amp;IF($R4316="Trùng","Trùng SĐT; ","")&amp;IF($Q4316&lt;&gt;"Có","Thiếu đồng ý bắt buộc; ","")&amp;IF($L4316="","Thiếu/sai Mã REF; ",IF(AND($L4316="Chưa xác định",DANH_MUC!$L$9&lt;&gt;"Có"),"Nguồn chưa xác định; ","")))</f>
        <v/>
      </c>
      <c r="V4316" s="22">
        <f>IF(OR($D4316="",$R4316="Trùng"),"",IF(COUNTIF(ORDERS!$C$2:$C$4995,$D4316)&gt;0,"Có","Không"))</f>
        <v/>
      </c>
      <c r="W4316" s="22">
        <f>IF(OR($D4316="",$R4316="Trùng"),"",COUNTIFS(ORDERS!$C$2:$C$4995,$D4316,ORDERS!$L$2:$L$4995,"Đã chuyển khoản"))</f>
        <v/>
      </c>
      <c r="X4316" s="23">
        <f>IF(OR($D4316="",$R4316="Trùng"),"",SUMIFS(ORDERS!$J$2:$J$4995,ORDERS!$C$2:$C$4995,$D4316,ORDERS!$L$2:$L$4995,"Đã chuyển khoản"))</f>
        <v/>
      </c>
      <c r="Y4316" s="24" t="n"/>
    </row>
    <row r="4317" ht="14.25" customHeight="1" s="40">
      <c r="A4317" s="24" t="n"/>
      <c r="B4317" s="27" t="n"/>
      <c r="C4317" s="24" t="n"/>
      <c r="D4317" s="28" t="n"/>
      <c r="E4317" s="29" t="n"/>
      <c r="F4317" s="24" t="n"/>
      <c r="G4317" s="24" t="n"/>
      <c r="H4317" s="21">
        <f>IF(ISNUMBER($B4317),INT($B4317)-WEEKDAY($B4317,2)+1,"")</f>
        <v/>
      </c>
      <c r="I4317" s="24" t="n"/>
      <c r="J4317" s="22">
        <f t="array" ref="J4317">IF($D4317="","",IF($I4317="","(trống REF)",IFERROR(INDEX(MASTER_SOURCE!$B$2:$B$495,MATCH($I4317,MASTER_SOURCE!$A$2:$A$495,0)),"(REF không có trong MASTER_SOURCE)")))</f>
        <v/>
      </c>
      <c r="K4317" s="22">
        <f t="array" ref="K4317">IF($D4317="","",IFERROR(INDEX(MASTER_SOURCE!$C$2:$C$495,MATCH($I4317,MASTER_SOURCE!$A$2:$A$495,0)),""))</f>
        <v/>
      </c>
      <c r="L4317" s="22">
        <f t="array" ref="L4317">IF($D4317="","",IFERROR(INDEX(MASTER_SOURCE!$D$2:$D$495,MATCH($I4317,MASTER_SOURCE!$A$2:$A$495,0)),""))</f>
        <v/>
      </c>
      <c r="M4317" s="24" t="n"/>
      <c r="N4317" s="24" t="n"/>
      <c r="O4317" s="24" t="n"/>
      <c r="P4317" s="24" t="n"/>
      <c r="Q4317" s="22">
        <f>IF($D4317="","",IF(AND(OR(DANH_MUC!$L$5&lt;&gt;"Có",M4317="Có"),OR(DANH_MUC!$L$6&lt;&gt;"Có",N4317="Có"),OR(DANH_MUC!$L$7&lt;&gt;"Có",O4317="Có"),OR(DANH_MUC!$L$8&lt;&gt;"Có",P4317="Có")),"Có","Không"))</f>
        <v/>
      </c>
      <c r="R4317" s="22">
        <f>IF($D4317="","",IF(COUNTIF($D$2:$D4317,$D4317)&gt;1,"Trùng",""))</f>
        <v/>
      </c>
      <c r="S4317" s="22">
        <f>IF($D4317="","",IF(AND(LEN($D4317)=10,LEFT($D4317,1)="0",ISNUMBER(--$D4317)),"Có","Không"))</f>
        <v/>
      </c>
      <c r="T4317" s="22">
        <f>IF($D4317="","",IF(AND($C4317&lt;&gt;"",$Q4317="Có",$R4317="",$S4317="Có",AND($L4317&lt;&gt;"",OR($L4317&lt;&gt;"Chưa xác định",DANH_MUC!$L$9="Có"))),"Có","Không"))</f>
        <v/>
      </c>
      <c r="U4317" s="22">
        <f>IF(OR($D4317="",$T4317="Có"),"",IF($C4317="","Thiếu họ tên; ","")&amp;IF($S4317&lt;&gt;"Có","SĐT sai định dạng; ","")&amp;IF($R4317="Trùng","Trùng SĐT; ","")&amp;IF($Q4317&lt;&gt;"Có","Thiếu đồng ý bắt buộc; ","")&amp;IF($L4317="","Thiếu/sai Mã REF; ",IF(AND($L4317="Chưa xác định",DANH_MUC!$L$9&lt;&gt;"Có"),"Nguồn chưa xác định; ","")))</f>
        <v/>
      </c>
      <c r="V4317" s="22">
        <f>IF(OR($D4317="",$R4317="Trùng"),"",IF(COUNTIF(ORDERS!$C$2:$C$4995,$D4317)&gt;0,"Có","Không"))</f>
        <v/>
      </c>
      <c r="W4317" s="22">
        <f>IF(OR($D4317="",$R4317="Trùng"),"",COUNTIFS(ORDERS!$C$2:$C$4995,$D4317,ORDERS!$L$2:$L$4995,"Đã chuyển khoản"))</f>
        <v/>
      </c>
      <c r="X4317" s="23">
        <f>IF(OR($D4317="",$R4317="Trùng"),"",SUMIFS(ORDERS!$J$2:$J$4995,ORDERS!$C$2:$C$4995,$D4317,ORDERS!$L$2:$L$4995,"Đã chuyển khoản"))</f>
        <v/>
      </c>
      <c r="Y4317" s="24" t="n"/>
    </row>
    <row r="4318" ht="14.25" customHeight="1" s="40">
      <c r="A4318" s="24" t="n"/>
      <c r="B4318" s="27" t="n"/>
      <c r="C4318" s="24" t="n"/>
      <c r="D4318" s="28" t="n"/>
      <c r="E4318" s="29" t="n"/>
      <c r="F4318" s="24" t="n"/>
      <c r="G4318" s="24" t="n"/>
      <c r="H4318" s="21">
        <f>IF(ISNUMBER($B4318),INT($B4318)-WEEKDAY($B4318,2)+1,"")</f>
        <v/>
      </c>
      <c r="I4318" s="24" t="n"/>
      <c r="J4318" s="22">
        <f t="array" ref="J4318">IF($D4318="","",IF($I4318="","(trống REF)",IFERROR(INDEX(MASTER_SOURCE!$B$2:$B$495,MATCH($I4318,MASTER_SOURCE!$A$2:$A$495,0)),"(REF không có trong MASTER_SOURCE)")))</f>
        <v/>
      </c>
      <c r="K4318" s="22">
        <f t="array" ref="K4318">IF($D4318="","",IFERROR(INDEX(MASTER_SOURCE!$C$2:$C$495,MATCH($I4318,MASTER_SOURCE!$A$2:$A$495,0)),""))</f>
        <v/>
      </c>
      <c r="L4318" s="22">
        <f t="array" ref="L4318">IF($D4318="","",IFERROR(INDEX(MASTER_SOURCE!$D$2:$D$495,MATCH($I4318,MASTER_SOURCE!$A$2:$A$495,0)),""))</f>
        <v/>
      </c>
      <c r="M4318" s="24" t="n"/>
      <c r="N4318" s="24" t="n"/>
      <c r="O4318" s="24" t="n"/>
      <c r="P4318" s="24" t="n"/>
      <c r="Q4318" s="22">
        <f>IF($D4318="","",IF(AND(OR(DANH_MUC!$L$5&lt;&gt;"Có",M4318="Có"),OR(DANH_MUC!$L$6&lt;&gt;"Có",N4318="Có"),OR(DANH_MUC!$L$7&lt;&gt;"Có",O4318="Có"),OR(DANH_MUC!$L$8&lt;&gt;"Có",P4318="Có")),"Có","Không"))</f>
        <v/>
      </c>
      <c r="R4318" s="22">
        <f>IF($D4318="","",IF(COUNTIF($D$2:$D4318,$D4318)&gt;1,"Trùng",""))</f>
        <v/>
      </c>
      <c r="S4318" s="22">
        <f>IF($D4318="","",IF(AND(LEN($D4318)=10,LEFT($D4318,1)="0",ISNUMBER(--$D4318)),"Có","Không"))</f>
        <v/>
      </c>
      <c r="T4318" s="22">
        <f>IF($D4318="","",IF(AND($C4318&lt;&gt;"",$Q4318="Có",$R4318="",$S4318="Có",AND($L4318&lt;&gt;"",OR($L4318&lt;&gt;"Chưa xác định",DANH_MUC!$L$9="Có"))),"Có","Không"))</f>
        <v/>
      </c>
      <c r="U4318" s="22">
        <f>IF(OR($D4318="",$T4318="Có"),"",IF($C4318="","Thiếu họ tên; ","")&amp;IF($S4318&lt;&gt;"Có","SĐT sai định dạng; ","")&amp;IF($R4318="Trùng","Trùng SĐT; ","")&amp;IF($Q4318&lt;&gt;"Có","Thiếu đồng ý bắt buộc; ","")&amp;IF($L4318="","Thiếu/sai Mã REF; ",IF(AND($L4318="Chưa xác định",DANH_MUC!$L$9&lt;&gt;"Có"),"Nguồn chưa xác định; ","")))</f>
        <v/>
      </c>
      <c r="V4318" s="22">
        <f>IF(OR($D4318="",$R4318="Trùng"),"",IF(COUNTIF(ORDERS!$C$2:$C$4995,$D4318)&gt;0,"Có","Không"))</f>
        <v/>
      </c>
      <c r="W4318" s="22">
        <f>IF(OR($D4318="",$R4318="Trùng"),"",COUNTIFS(ORDERS!$C$2:$C$4995,$D4318,ORDERS!$L$2:$L$4995,"Đã chuyển khoản"))</f>
        <v/>
      </c>
      <c r="X4318" s="23">
        <f>IF(OR($D4318="",$R4318="Trùng"),"",SUMIFS(ORDERS!$J$2:$J$4995,ORDERS!$C$2:$C$4995,$D4318,ORDERS!$L$2:$L$4995,"Đã chuyển khoản"))</f>
        <v/>
      </c>
      <c r="Y4318" s="24" t="n"/>
    </row>
    <row r="4319" ht="14.25" customHeight="1" s="40">
      <c r="A4319" s="24" t="n"/>
      <c r="B4319" s="27" t="n"/>
      <c r="C4319" s="24" t="n"/>
      <c r="D4319" s="28" t="n"/>
      <c r="E4319" s="29" t="n"/>
      <c r="F4319" s="24" t="n"/>
      <c r="G4319" s="24" t="n"/>
      <c r="H4319" s="21">
        <f>IF(ISNUMBER($B4319),INT($B4319)-WEEKDAY($B4319,2)+1,"")</f>
        <v/>
      </c>
      <c r="I4319" s="24" t="n"/>
      <c r="J4319" s="22">
        <f t="array" ref="J4319">IF($D4319="","",IF($I4319="","(trống REF)",IFERROR(INDEX(MASTER_SOURCE!$B$2:$B$495,MATCH($I4319,MASTER_SOURCE!$A$2:$A$495,0)),"(REF không có trong MASTER_SOURCE)")))</f>
        <v/>
      </c>
      <c r="K4319" s="22">
        <f t="array" ref="K4319">IF($D4319="","",IFERROR(INDEX(MASTER_SOURCE!$C$2:$C$495,MATCH($I4319,MASTER_SOURCE!$A$2:$A$495,0)),""))</f>
        <v/>
      </c>
      <c r="L4319" s="22">
        <f t="array" ref="L4319">IF($D4319="","",IFERROR(INDEX(MASTER_SOURCE!$D$2:$D$495,MATCH($I4319,MASTER_SOURCE!$A$2:$A$495,0)),""))</f>
        <v/>
      </c>
      <c r="M4319" s="24" t="n"/>
      <c r="N4319" s="24" t="n"/>
      <c r="O4319" s="24" t="n"/>
      <c r="P4319" s="24" t="n"/>
      <c r="Q4319" s="22">
        <f>IF($D4319="","",IF(AND(OR(DANH_MUC!$L$5&lt;&gt;"Có",M4319="Có"),OR(DANH_MUC!$L$6&lt;&gt;"Có",N4319="Có"),OR(DANH_MUC!$L$7&lt;&gt;"Có",O4319="Có"),OR(DANH_MUC!$L$8&lt;&gt;"Có",P4319="Có")),"Có","Không"))</f>
        <v/>
      </c>
      <c r="R4319" s="22">
        <f>IF($D4319="","",IF(COUNTIF($D$2:$D4319,$D4319)&gt;1,"Trùng",""))</f>
        <v/>
      </c>
      <c r="S4319" s="22">
        <f>IF($D4319="","",IF(AND(LEN($D4319)=10,LEFT($D4319,1)="0",ISNUMBER(--$D4319)),"Có","Không"))</f>
        <v/>
      </c>
      <c r="T4319" s="22">
        <f>IF($D4319="","",IF(AND($C4319&lt;&gt;"",$Q4319="Có",$R4319="",$S4319="Có",AND($L4319&lt;&gt;"",OR($L4319&lt;&gt;"Chưa xác định",DANH_MUC!$L$9="Có"))),"Có","Không"))</f>
        <v/>
      </c>
      <c r="U4319" s="22">
        <f>IF(OR($D4319="",$T4319="Có"),"",IF($C4319="","Thiếu họ tên; ","")&amp;IF($S4319&lt;&gt;"Có","SĐT sai định dạng; ","")&amp;IF($R4319="Trùng","Trùng SĐT; ","")&amp;IF($Q4319&lt;&gt;"Có","Thiếu đồng ý bắt buộc; ","")&amp;IF($L4319="","Thiếu/sai Mã REF; ",IF(AND($L4319="Chưa xác định",DANH_MUC!$L$9&lt;&gt;"Có"),"Nguồn chưa xác định; ","")))</f>
        <v/>
      </c>
      <c r="V4319" s="22">
        <f>IF(OR($D4319="",$R4319="Trùng"),"",IF(COUNTIF(ORDERS!$C$2:$C$4995,$D4319)&gt;0,"Có","Không"))</f>
        <v/>
      </c>
      <c r="W4319" s="22">
        <f>IF(OR($D4319="",$R4319="Trùng"),"",COUNTIFS(ORDERS!$C$2:$C$4995,$D4319,ORDERS!$L$2:$L$4995,"Đã chuyển khoản"))</f>
        <v/>
      </c>
      <c r="X4319" s="23">
        <f>IF(OR($D4319="",$R4319="Trùng"),"",SUMIFS(ORDERS!$J$2:$J$4995,ORDERS!$C$2:$C$4995,$D4319,ORDERS!$L$2:$L$4995,"Đã chuyển khoản"))</f>
        <v/>
      </c>
      <c r="Y4319" s="24" t="n"/>
    </row>
    <row r="4320" ht="14.25" customHeight="1" s="40">
      <c r="A4320" s="24" t="n"/>
      <c r="B4320" s="27" t="n"/>
      <c r="C4320" s="24" t="n"/>
      <c r="D4320" s="28" t="n"/>
      <c r="E4320" s="29" t="n"/>
      <c r="F4320" s="24" t="n"/>
      <c r="G4320" s="24" t="n"/>
      <c r="H4320" s="21">
        <f>IF(ISNUMBER($B4320),INT($B4320)-WEEKDAY($B4320,2)+1,"")</f>
        <v/>
      </c>
      <c r="I4320" s="24" t="n"/>
      <c r="J4320" s="22">
        <f t="array" ref="J4320">IF($D4320="","",IF($I4320="","(trống REF)",IFERROR(INDEX(MASTER_SOURCE!$B$2:$B$495,MATCH($I4320,MASTER_SOURCE!$A$2:$A$495,0)),"(REF không có trong MASTER_SOURCE)")))</f>
        <v/>
      </c>
      <c r="K4320" s="22">
        <f t="array" ref="K4320">IF($D4320="","",IFERROR(INDEX(MASTER_SOURCE!$C$2:$C$495,MATCH($I4320,MASTER_SOURCE!$A$2:$A$495,0)),""))</f>
        <v/>
      </c>
      <c r="L4320" s="22">
        <f t="array" ref="L4320">IF($D4320="","",IFERROR(INDEX(MASTER_SOURCE!$D$2:$D$495,MATCH($I4320,MASTER_SOURCE!$A$2:$A$495,0)),""))</f>
        <v/>
      </c>
      <c r="M4320" s="24" t="n"/>
      <c r="N4320" s="24" t="n"/>
      <c r="O4320" s="24" t="n"/>
      <c r="P4320" s="24" t="n"/>
      <c r="Q4320" s="22">
        <f>IF($D4320="","",IF(AND(OR(DANH_MUC!$L$5&lt;&gt;"Có",M4320="Có"),OR(DANH_MUC!$L$6&lt;&gt;"Có",N4320="Có"),OR(DANH_MUC!$L$7&lt;&gt;"Có",O4320="Có"),OR(DANH_MUC!$L$8&lt;&gt;"Có",P4320="Có")),"Có","Không"))</f>
        <v/>
      </c>
      <c r="R4320" s="22">
        <f>IF($D4320="","",IF(COUNTIF($D$2:$D4320,$D4320)&gt;1,"Trùng",""))</f>
        <v/>
      </c>
      <c r="S4320" s="22">
        <f>IF($D4320="","",IF(AND(LEN($D4320)=10,LEFT($D4320,1)="0",ISNUMBER(--$D4320)),"Có","Không"))</f>
        <v/>
      </c>
      <c r="T4320" s="22">
        <f>IF($D4320="","",IF(AND($C4320&lt;&gt;"",$Q4320="Có",$R4320="",$S4320="Có",AND($L4320&lt;&gt;"",OR($L4320&lt;&gt;"Chưa xác định",DANH_MUC!$L$9="Có"))),"Có","Không"))</f>
        <v/>
      </c>
      <c r="U4320" s="22">
        <f>IF(OR($D4320="",$T4320="Có"),"",IF($C4320="","Thiếu họ tên; ","")&amp;IF($S4320&lt;&gt;"Có","SĐT sai định dạng; ","")&amp;IF($R4320="Trùng","Trùng SĐT; ","")&amp;IF($Q4320&lt;&gt;"Có","Thiếu đồng ý bắt buộc; ","")&amp;IF($L4320="","Thiếu/sai Mã REF; ",IF(AND($L4320="Chưa xác định",DANH_MUC!$L$9&lt;&gt;"Có"),"Nguồn chưa xác định; ","")))</f>
        <v/>
      </c>
      <c r="V4320" s="22">
        <f>IF(OR($D4320="",$R4320="Trùng"),"",IF(COUNTIF(ORDERS!$C$2:$C$4995,$D4320)&gt;0,"Có","Không"))</f>
        <v/>
      </c>
      <c r="W4320" s="22">
        <f>IF(OR($D4320="",$R4320="Trùng"),"",COUNTIFS(ORDERS!$C$2:$C$4995,$D4320,ORDERS!$L$2:$L$4995,"Đã chuyển khoản"))</f>
        <v/>
      </c>
      <c r="X4320" s="23">
        <f>IF(OR($D4320="",$R4320="Trùng"),"",SUMIFS(ORDERS!$J$2:$J$4995,ORDERS!$C$2:$C$4995,$D4320,ORDERS!$L$2:$L$4995,"Đã chuyển khoản"))</f>
        <v/>
      </c>
      <c r="Y4320" s="24" t="n"/>
    </row>
    <row r="4321" ht="14.25" customHeight="1" s="40">
      <c r="A4321" s="24" t="n"/>
      <c r="B4321" s="27" t="n"/>
      <c r="C4321" s="24" t="n"/>
      <c r="D4321" s="28" t="n"/>
      <c r="E4321" s="29" t="n"/>
      <c r="F4321" s="24" t="n"/>
      <c r="G4321" s="24" t="n"/>
      <c r="H4321" s="21">
        <f>IF(ISNUMBER($B4321),INT($B4321)-WEEKDAY($B4321,2)+1,"")</f>
        <v/>
      </c>
      <c r="I4321" s="24" t="n"/>
      <c r="J4321" s="22">
        <f t="array" ref="J4321">IF($D4321="","",IF($I4321="","(trống REF)",IFERROR(INDEX(MASTER_SOURCE!$B$2:$B$495,MATCH($I4321,MASTER_SOURCE!$A$2:$A$495,0)),"(REF không có trong MASTER_SOURCE)")))</f>
        <v/>
      </c>
      <c r="K4321" s="22">
        <f t="array" ref="K4321">IF($D4321="","",IFERROR(INDEX(MASTER_SOURCE!$C$2:$C$495,MATCH($I4321,MASTER_SOURCE!$A$2:$A$495,0)),""))</f>
        <v/>
      </c>
      <c r="L4321" s="22">
        <f t="array" ref="L4321">IF($D4321="","",IFERROR(INDEX(MASTER_SOURCE!$D$2:$D$495,MATCH($I4321,MASTER_SOURCE!$A$2:$A$495,0)),""))</f>
        <v/>
      </c>
      <c r="M4321" s="24" t="n"/>
      <c r="N4321" s="24" t="n"/>
      <c r="O4321" s="24" t="n"/>
      <c r="P4321" s="24" t="n"/>
      <c r="Q4321" s="22">
        <f>IF($D4321="","",IF(AND(OR(DANH_MUC!$L$5&lt;&gt;"Có",M4321="Có"),OR(DANH_MUC!$L$6&lt;&gt;"Có",N4321="Có"),OR(DANH_MUC!$L$7&lt;&gt;"Có",O4321="Có"),OR(DANH_MUC!$L$8&lt;&gt;"Có",P4321="Có")),"Có","Không"))</f>
        <v/>
      </c>
      <c r="R4321" s="22">
        <f>IF($D4321="","",IF(COUNTIF($D$2:$D4321,$D4321)&gt;1,"Trùng",""))</f>
        <v/>
      </c>
      <c r="S4321" s="22">
        <f>IF($D4321="","",IF(AND(LEN($D4321)=10,LEFT($D4321,1)="0",ISNUMBER(--$D4321)),"Có","Không"))</f>
        <v/>
      </c>
      <c r="T4321" s="22">
        <f>IF($D4321="","",IF(AND($C4321&lt;&gt;"",$Q4321="Có",$R4321="",$S4321="Có",AND($L4321&lt;&gt;"",OR($L4321&lt;&gt;"Chưa xác định",DANH_MUC!$L$9="Có"))),"Có","Không"))</f>
        <v/>
      </c>
      <c r="U4321" s="22">
        <f>IF(OR($D4321="",$T4321="Có"),"",IF($C4321="","Thiếu họ tên; ","")&amp;IF($S4321&lt;&gt;"Có","SĐT sai định dạng; ","")&amp;IF($R4321="Trùng","Trùng SĐT; ","")&amp;IF($Q4321&lt;&gt;"Có","Thiếu đồng ý bắt buộc; ","")&amp;IF($L4321="","Thiếu/sai Mã REF; ",IF(AND($L4321="Chưa xác định",DANH_MUC!$L$9&lt;&gt;"Có"),"Nguồn chưa xác định; ","")))</f>
        <v/>
      </c>
      <c r="V4321" s="22">
        <f>IF(OR($D4321="",$R4321="Trùng"),"",IF(COUNTIF(ORDERS!$C$2:$C$4995,$D4321)&gt;0,"Có","Không"))</f>
        <v/>
      </c>
      <c r="W4321" s="22">
        <f>IF(OR($D4321="",$R4321="Trùng"),"",COUNTIFS(ORDERS!$C$2:$C$4995,$D4321,ORDERS!$L$2:$L$4995,"Đã chuyển khoản"))</f>
        <v/>
      </c>
      <c r="X4321" s="23">
        <f>IF(OR($D4321="",$R4321="Trùng"),"",SUMIFS(ORDERS!$J$2:$J$4995,ORDERS!$C$2:$C$4995,$D4321,ORDERS!$L$2:$L$4995,"Đã chuyển khoản"))</f>
        <v/>
      </c>
      <c r="Y4321" s="24" t="n"/>
    </row>
    <row r="4322" ht="14.25" customHeight="1" s="40">
      <c r="A4322" s="24" t="n"/>
      <c r="B4322" s="27" t="n"/>
      <c r="C4322" s="24" t="n"/>
      <c r="D4322" s="28" t="n"/>
      <c r="E4322" s="29" t="n"/>
      <c r="F4322" s="24" t="n"/>
      <c r="G4322" s="24" t="n"/>
      <c r="H4322" s="21">
        <f>IF(ISNUMBER($B4322),INT($B4322)-WEEKDAY($B4322,2)+1,"")</f>
        <v/>
      </c>
      <c r="I4322" s="24" t="n"/>
      <c r="J4322" s="22">
        <f t="array" ref="J4322">IF($D4322="","",IF($I4322="","(trống REF)",IFERROR(INDEX(MASTER_SOURCE!$B$2:$B$495,MATCH($I4322,MASTER_SOURCE!$A$2:$A$495,0)),"(REF không có trong MASTER_SOURCE)")))</f>
        <v/>
      </c>
      <c r="K4322" s="22">
        <f t="array" ref="K4322">IF($D4322="","",IFERROR(INDEX(MASTER_SOURCE!$C$2:$C$495,MATCH($I4322,MASTER_SOURCE!$A$2:$A$495,0)),""))</f>
        <v/>
      </c>
      <c r="L4322" s="22">
        <f t="array" ref="L4322">IF($D4322="","",IFERROR(INDEX(MASTER_SOURCE!$D$2:$D$495,MATCH($I4322,MASTER_SOURCE!$A$2:$A$495,0)),""))</f>
        <v/>
      </c>
      <c r="M4322" s="24" t="n"/>
      <c r="N4322" s="24" t="n"/>
      <c r="O4322" s="24" t="n"/>
      <c r="P4322" s="24" t="n"/>
      <c r="Q4322" s="22">
        <f>IF($D4322="","",IF(AND(OR(DANH_MUC!$L$5&lt;&gt;"Có",M4322="Có"),OR(DANH_MUC!$L$6&lt;&gt;"Có",N4322="Có"),OR(DANH_MUC!$L$7&lt;&gt;"Có",O4322="Có"),OR(DANH_MUC!$L$8&lt;&gt;"Có",P4322="Có")),"Có","Không"))</f>
        <v/>
      </c>
      <c r="R4322" s="22">
        <f>IF($D4322="","",IF(COUNTIF($D$2:$D4322,$D4322)&gt;1,"Trùng",""))</f>
        <v/>
      </c>
      <c r="S4322" s="22">
        <f>IF($D4322="","",IF(AND(LEN($D4322)=10,LEFT($D4322,1)="0",ISNUMBER(--$D4322)),"Có","Không"))</f>
        <v/>
      </c>
      <c r="T4322" s="22">
        <f>IF($D4322="","",IF(AND($C4322&lt;&gt;"",$Q4322="Có",$R4322="",$S4322="Có",AND($L4322&lt;&gt;"",OR($L4322&lt;&gt;"Chưa xác định",DANH_MUC!$L$9="Có"))),"Có","Không"))</f>
        <v/>
      </c>
      <c r="U4322" s="22">
        <f>IF(OR($D4322="",$T4322="Có"),"",IF($C4322="","Thiếu họ tên; ","")&amp;IF($S4322&lt;&gt;"Có","SĐT sai định dạng; ","")&amp;IF($R4322="Trùng","Trùng SĐT; ","")&amp;IF($Q4322&lt;&gt;"Có","Thiếu đồng ý bắt buộc; ","")&amp;IF($L4322="","Thiếu/sai Mã REF; ",IF(AND($L4322="Chưa xác định",DANH_MUC!$L$9&lt;&gt;"Có"),"Nguồn chưa xác định; ","")))</f>
        <v/>
      </c>
      <c r="V4322" s="22">
        <f>IF(OR($D4322="",$R4322="Trùng"),"",IF(COUNTIF(ORDERS!$C$2:$C$4995,$D4322)&gt;0,"Có","Không"))</f>
        <v/>
      </c>
      <c r="W4322" s="22">
        <f>IF(OR($D4322="",$R4322="Trùng"),"",COUNTIFS(ORDERS!$C$2:$C$4995,$D4322,ORDERS!$L$2:$L$4995,"Đã chuyển khoản"))</f>
        <v/>
      </c>
      <c r="X4322" s="23">
        <f>IF(OR($D4322="",$R4322="Trùng"),"",SUMIFS(ORDERS!$J$2:$J$4995,ORDERS!$C$2:$C$4995,$D4322,ORDERS!$L$2:$L$4995,"Đã chuyển khoản"))</f>
        <v/>
      </c>
      <c r="Y4322" s="24" t="n"/>
    </row>
    <row r="4323" ht="14.25" customHeight="1" s="40">
      <c r="A4323" s="24" t="n"/>
      <c r="B4323" s="27" t="n"/>
      <c r="C4323" s="24" t="n"/>
      <c r="D4323" s="28" t="n"/>
      <c r="E4323" s="29" t="n"/>
      <c r="F4323" s="24" t="n"/>
      <c r="G4323" s="24" t="n"/>
      <c r="H4323" s="21">
        <f>IF(ISNUMBER($B4323),INT($B4323)-WEEKDAY($B4323,2)+1,"")</f>
        <v/>
      </c>
      <c r="I4323" s="24" t="n"/>
      <c r="J4323" s="22">
        <f t="array" ref="J4323">IF($D4323="","",IF($I4323="","(trống REF)",IFERROR(INDEX(MASTER_SOURCE!$B$2:$B$495,MATCH($I4323,MASTER_SOURCE!$A$2:$A$495,0)),"(REF không có trong MASTER_SOURCE)")))</f>
        <v/>
      </c>
      <c r="K4323" s="22">
        <f t="array" ref="K4323">IF($D4323="","",IFERROR(INDEX(MASTER_SOURCE!$C$2:$C$495,MATCH($I4323,MASTER_SOURCE!$A$2:$A$495,0)),""))</f>
        <v/>
      </c>
      <c r="L4323" s="22">
        <f t="array" ref="L4323">IF($D4323="","",IFERROR(INDEX(MASTER_SOURCE!$D$2:$D$495,MATCH($I4323,MASTER_SOURCE!$A$2:$A$495,0)),""))</f>
        <v/>
      </c>
      <c r="M4323" s="24" t="n"/>
      <c r="N4323" s="24" t="n"/>
      <c r="O4323" s="24" t="n"/>
      <c r="P4323" s="24" t="n"/>
      <c r="Q4323" s="22">
        <f>IF($D4323="","",IF(AND(OR(DANH_MUC!$L$5&lt;&gt;"Có",M4323="Có"),OR(DANH_MUC!$L$6&lt;&gt;"Có",N4323="Có"),OR(DANH_MUC!$L$7&lt;&gt;"Có",O4323="Có"),OR(DANH_MUC!$L$8&lt;&gt;"Có",P4323="Có")),"Có","Không"))</f>
        <v/>
      </c>
      <c r="R4323" s="22">
        <f>IF($D4323="","",IF(COUNTIF($D$2:$D4323,$D4323)&gt;1,"Trùng",""))</f>
        <v/>
      </c>
      <c r="S4323" s="22">
        <f>IF($D4323="","",IF(AND(LEN($D4323)=10,LEFT($D4323,1)="0",ISNUMBER(--$D4323)),"Có","Không"))</f>
        <v/>
      </c>
      <c r="T4323" s="22">
        <f>IF($D4323="","",IF(AND($C4323&lt;&gt;"",$Q4323="Có",$R4323="",$S4323="Có",AND($L4323&lt;&gt;"",OR($L4323&lt;&gt;"Chưa xác định",DANH_MUC!$L$9="Có"))),"Có","Không"))</f>
        <v/>
      </c>
      <c r="U4323" s="22">
        <f>IF(OR($D4323="",$T4323="Có"),"",IF($C4323="","Thiếu họ tên; ","")&amp;IF($S4323&lt;&gt;"Có","SĐT sai định dạng; ","")&amp;IF($R4323="Trùng","Trùng SĐT; ","")&amp;IF($Q4323&lt;&gt;"Có","Thiếu đồng ý bắt buộc; ","")&amp;IF($L4323="","Thiếu/sai Mã REF; ",IF(AND($L4323="Chưa xác định",DANH_MUC!$L$9&lt;&gt;"Có"),"Nguồn chưa xác định; ","")))</f>
        <v/>
      </c>
      <c r="V4323" s="22">
        <f>IF(OR($D4323="",$R4323="Trùng"),"",IF(COUNTIF(ORDERS!$C$2:$C$4995,$D4323)&gt;0,"Có","Không"))</f>
        <v/>
      </c>
      <c r="W4323" s="22">
        <f>IF(OR($D4323="",$R4323="Trùng"),"",COUNTIFS(ORDERS!$C$2:$C$4995,$D4323,ORDERS!$L$2:$L$4995,"Đã chuyển khoản"))</f>
        <v/>
      </c>
      <c r="X4323" s="23">
        <f>IF(OR($D4323="",$R4323="Trùng"),"",SUMIFS(ORDERS!$J$2:$J$4995,ORDERS!$C$2:$C$4995,$D4323,ORDERS!$L$2:$L$4995,"Đã chuyển khoản"))</f>
        <v/>
      </c>
      <c r="Y4323" s="24" t="n"/>
    </row>
    <row r="4324" ht="14.25" customHeight="1" s="40">
      <c r="A4324" s="24" t="n"/>
      <c r="B4324" s="27" t="n"/>
      <c r="C4324" s="24" t="n"/>
      <c r="D4324" s="28" t="n"/>
      <c r="E4324" s="29" t="n"/>
      <c r="F4324" s="24" t="n"/>
      <c r="G4324" s="24" t="n"/>
      <c r="H4324" s="21">
        <f>IF(ISNUMBER($B4324),INT($B4324)-WEEKDAY($B4324,2)+1,"")</f>
        <v/>
      </c>
      <c r="I4324" s="24" t="n"/>
      <c r="J4324" s="22">
        <f t="array" ref="J4324">IF($D4324="","",IF($I4324="","(trống REF)",IFERROR(INDEX(MASTER_SOURCE!$B$2:$B$495,MATCH($I4324,MASTER_SOURCE!$A$2:$A$495,0)),"(REF không có trong MASTER_SOURCE)")))</f>
        <v/>
      </c>
      <c r="K4324" s="22">
        <f t="array" ref="K4324">IF($D4324="","",IFERROR(INDEX(MASTER_SOURCE!$C$2:$C$495,MATCH($I4324,MASTER_SOURCE!$A$2:$A$495,0)),""))</f>
        <v/>
      </c>
      <c r="L4324" s="22">
        <f t="array" ref="L4324">IF($D4324="","",IFERROR(INDEX(MASTER_SOURCE!$D$2:$D$495,MATCH($I4324,MASTER_SOURCE!$A$2:$A$495,0)),""))</f>
        <v/>
      </c>
      <c r="M4324" s="24" t="n"/>
      <c r="N4324" s="24" t="n"/>
      <c r="O4324" s="24" t="n"/>
      <c r="P4324" s="24" t="n"/>
      <c r="Q4324" s="22">
        <f>IF($D4324="","",IF(AND(OR(DANH_MUC!$L$5&lt;&gt;"Có",M4324="Có"),OR(DANH_MUC!$L$6&lt;&gt;"Có",N4324="Có"),OR(DANH_MUC!$L$7&lt;&gt;"Có",O4324="Có"),OR(DANH_MUC!$L$8&lt;&gt;"Có",P4324="Có")),"Có","Không"))</f>
        <v/>
      </c>
      <c r="R4324" s="22">
        <f>IF($D4324="","",IF(COUNTIF($D$2:$D4324,$D4324)&gt;1,"Trùng",""))</f>
        <v/>
      </c>
      <c r="S4324" s="22">
        <f>IF($D4324="","",IF(AND(LEN($D4324)=10,LEFT($D4324,1)="0",ISNUMBER(--$D4324)),"Có","Không"))</f>
        <v/>
      </c>
      <c r="T4324" s="22">
        <f>IF($D4324="","",IF(AND($C4324&lt;&gt;"",$Q4324="Có",$R4324="",$S4324="Có",AND($L4324&lt;&gt;"",OR($L4324&lt;&gt;"Chưa xác định",DANH_MUC!$L$9="Có"))),"Có","Không"))</f>
        <v/>
      </c>
      <c r="U4324" s="22">
        <f>IF(OR($D4324="",$T4324="Có"),"",IF($C4324="","Thiếu họ tên; ","")&amp;IF($S4324&lt;&gt;"Có","SĐT sai định dạng; ","")&amp;IF($R4324="Trùng","Trùng SĐT; ","")&amp;IF($Q4324&lt;&gt;"Có","Thiếu đồng ý bắt buộc; ","")&amp;IF($L4324="","Thiếu/sai Mã REF; ",IF(AND($L4324="Chưa xác định",DANH_MUC!$L$9&lt;&gt;"Có"),"Nguồn chưa xác định; ","")))</f>
        <v/>
      </c>
      <c r="V4324" s="22">
        <f>IF(OR($D4324="",$R4324="Trùng"),"",IF(COUNTIF(ORDERS!$C$2:$C$4995,$D4324)&gt;0,"Có","Không"))</f>
        <v/>
      </c>
      <c r="W4324" s="22">
        <f>IF(OR($D4324="",$R4324="Trùng"),"",COUNTIFS(ORDERS!$C$2:$C$4995,$D4324,ORDERS!$L$2:$L$4995,"Đã chuyển khoản"))</f>
        <v/>
      </c>
      <c r="X4324" s="23">
        <f>IF(OR($D4324="",$R4324="Trùng"),"",SUMIFS(ORDERS!$J$2:$J$4995,ORDERS!$C$2:$C$4995,$D4324,ORDERS!$L$2:$L$4995,"Đã chuyển khoản"))</f>
        <v/>
      </c>
      <c r="Y4324" s="24" t="n"/>
    </row>
    <row r="4325" ht="14.25" customHeight="1" s="40">
      <c r="A4325" s="24" t="n"/>
      <c r="B4325" s="27" t="n"/>
      <c r="C4325" s="24" t="n"/>
      <c r="D4325" s="28" t="n"/>
      <c r="E4325" s="29" t="n"/>
      <c r="F4325" s="24" t="n"/>
      <c r="G4325" s="24" t="n"/>
      <c r="H4325" s="21">
        <f>IF(ISNUMBER($B4325),INT($B4325)-WEEKDAY($B4325,2)+1,"")</f>
        <v/>
      </c>
      <c r="I4325" s="24" t="n"/>
      <c r="J4325" s="22">
        <f t="array" ref="J4325">IF($D4325="","",IF($I4325="","(trống REF)",IFERROR(INDEX(MASTER_SOURCE!$B$2:$B$495,MATCH($I4325,MASTER_SOURCE!$A$2:$A$495,0)),"(REF không có trong MASTER_SOURCE)")))</f>
        <v/>
      </c>
      <c r="K4325" s="22">
        <f t="array" ref="K4325">IF($D4325="","",IFERROR(INDEX(MASTER_SOURCE!$C$2:$C$495,MATCH($I4325,MASTER_SOURCE!$A$2:$A$495,0)),""))</f>
        <v/>
      </c>
      <c r="L4325" s="22">
        <f t="array" ref="L4325">IF($D4325="","",IFERROR(INDEX(MASTER_SOURCE!$D$2:$D$495,MATCH($I4325,MASTER_SOURCE!$A$2:$A$495,0)),""))</f>
        <v/>
      </c>
      <c r="M4325" s="24" t="n"/>
      <c r="N4325" s="24" t="n"/>
      <c r="O4325" s="24" t="n"/>
      <c r="P4325" s="24" t="n"/>
      <c r="Q4325" s="22">
        <f>IF($D4325="","",IF(AND(OR(DANH_MUC!$L$5&lt;&gt;"Có",M4325="Có"),OR(DANH_MUC!$L$6&lt;&gt;"Có",N4325="Có"),OR(DANH_MUC!$L$7&lt;&gt;"Có",O4325="Có"),OR(DANH_MUC!$L$8&lt;&gt;"Có",P4325="Có")),"Có","Không"))</f>
        <v/>
      </c>
      <c r="R4325" s="22">
        <f>IF($D4325="","",IF(COUNTIF($D$2:$D4325,$D4325)&gt;1,"Trùng",""))</f>
        <v/>
      </c>
      <c r="S4325" s="22">
        <f>IF($D4325="","",IF(AND(LEN($D4325)=10,LEFT($D4325,1)="0",ISNUMBER(--$D4325)),"Có","Không"))</f>
        <v/>
      </c>
      <c r="T4325" s="22">
        <f>IF($D4325="","",IF(AND($C4325&lt;&gt;"",$Q4325="Có",$R4325="",$S4325="Có",AND($L4325&lt;&gt;"",OR($L4325&lt;&gt;"Chưa xác định",DANH_MUC!$L$9="Có"))),"Có","Không"))</f>
        <v/>
      </c>
      <c r="U4325" s="22">
        <f>IF(OR($D4325="",$T4325="Có"),"",IF($C4325="","Thiếu họ tên; ","")&amp;IF($S4325&lt;&gt;"Có","SĐT sai định dạng; ","")&amp;IF($R4325="Trùng","Trùng SĐT; ","")&amp;IF($Q4325&lt;&gt;"Có","Thiếu đồng ý bắt buộc; ","")&amp;IF($L4325="","Thiếu/sai Mã REF; ",IF(AND($L4325="Chưa xác định",DANH_MUC!$L$9&lt;&gt;"Có"),"Nguồn chưa xác định; ","")))</f>
        <v/>
      </c>
      <c r="V4325" s="22">
        <f>IF(OR($D4325="",$R4325="Trùng"),"",IF(COUNTIF(ORDERS!$C$2:$C$4995,$D4325)&gt;0,"Có","Không"))</f>
        <v/>
      </c>
      <c r="W4325" s="22">
        <f>IF(OR($D4325="",$R4325="Trùng"),"",COUNTIFS(ORDERS!$C$2:$C$4995,$D4325,ORDERS!$L$2:$L$4995,"Đã chuyển khoản"))</f>
        <v/>
      </c>
      <c r="X4325" s="23">
        <f>IF(OR($D4325="",$R4325="Trùng"),"",SUMIFS(ORDERS!$J$2:$J$4995,ORDERS!$C$2:$C$4995,$D4325,ORDERS!$L$2:$L$4995,"Đã chuyển khoản"))</f>
        <v/>
      </c>
      <c r="Y4325" s="24" t="n"/>
    </row>
    <row r="4326" ht="14.25" customHeight="1" s="40">
      <c r="A4326" s="24" t="n"/>
      <c r="B4326" s="27" t="n"/>
      <c r="C4326" s="24" t="n"/>
      <c r="D4326" s="28" t="n"/>
      <c r="E4326" s="29" t="n"/>
      <c r="F4326" s="24" t="n"/>
      <c r="G4326" s="24" t="n"/>
      <c r="H4326" s="21">
        <f>IF(ISNUMBER($B4326),INT($B4326)-WEEKDAY($B4326,2)+1,"")</f>
        <v/>
      </c>
      <c r="I4326" s="24" t="n"/>
      <c r="J4326" s="22">
        <f t="array" ref="J4326">IF($D4326="","",IF($I4326="","(trống REF)",IFERROR(INDEX(MASTER_SOURCE!$B$2:$B$495,MATCH($I4326,MASTER_SOURCE!$A$2:$A$495,0)),"(REF không có trong MASTER_SOURCE)")))</f>
        <v/>
      </c>
      <c r="K4326" s="22">
        <f t="array" ref="K4326">IF($D4326="","",IFERROR(INDEX(MASTER_SOURCE!$C$2:$C$495,MATCH($I4326,MASTER_SOURCE!$A$2:$A$495,0)),""))</f>
        <v/>
      </c>
      <c r="L4326" s="22">
        <f t="array" ref="L4326">IF($D4326="","",IFERROR(INDEX(MASTER_SOURCE!$D$2:$D$495,MATCH($I4326,MASTER_SOURCE!$A$2:$A$495,0)),""))</f>
        <v/>
      </c>
      <c r="M4326" s="24" t="n"/>
      <c r="N4326" s="24" t="n"/>
      <c r="O4326" s="24" t="n"/>
      <c r="P4326" s="24" t="n"/>
      <c r="Q4326" s="22">
        <f>IF($D4326="","",IF(AND(OR(DANH_MUC!$L$5&lt;&gt;"Có",M4326="Có"),OR(DANH_MUC!$L$6&lt;&gt;"Có",N4326="Có"),OR(DANH_MUC!$L$7&lt;&gt;"Có",O4326="Có"),OR(DANH_MUC!$L$8&lt;&gt;"Có",P4326="Có")),"Có","Không"))</f>
        <v/>
      </c>
      <c r="R4326" s="22">
        <f>IF($D4326="","",IF(COUNTIF($D$2:$D4326,$D4326)&gt;1,"Trùng",""))</f>
        <v/>
      </c>
      <c r="S4326" s="22">
        <f>IF($D4326="","",IF(AND(LEN($D4326)=10,LEFT($D4326,1)="0",ISNUMBER(--$D4326)),"Có","Không"))</f>
        <v/>
      </c>
      <c r="T4326" s="22">
        <f>IF($D4326="","",IF(AND($C4326&lt;&gt;"",$Q4326="Có",$R4326="",$S4326="Có",AND($L4326&lt;&gt;"",OR($L4326&lt;&gt;"Chưa xác định",DANH_MUC!$L$9="Có"))),"Có","Không"))</f>
        <v/>
      </c>
      <c r="U4326" s="22">
        <f>IF(OR($D4326="",$T4326="Có"),"",IF($C4326="","Thiếu họ tên; ","")&amp;IF($S4326&lt;&gt;"Có","SĐT sai định dạng; ","")&amp;IF($R4326="Trùng","Trùng SĐT; ","")&amp;IF($Q4326&lt;&gt;"Có","Thiếu đồng ý bắt buộc; ","")&amp;IF($L4326="","Thiếu/sai Mã REF; ",IF(AND($L4326="Chưa xác định",DANH_MUC!$L$9&lt;&gt;"Có"),"Nguồn chưa xác định; ","")))</f>
        <v/>
      </c>
      <c r="V4326" s="22">
        <f>IF(OR($D4326="",$R4326="Trùng"),"",IF(COUNTIF(ORDERS!$C$2:$C$4995,$D4326)&gt;0,"Có","Không"))</f>
        <v/>
      </c>
      <c r="W4326" s="22">
        <f>IF(OR($D4326="",$R4326="Trùng"),"",COUNTIFS(ORDERS!$C$2:$C$4995,$D4326,ORDERS!$L$2:$L$4995,"Đã chuyển khoản"))</f>
        <v/>
      </c>
      <c r="X4326" s="23">
        <f>IF(OR($D4326="",$R4326="Trùng"),"",SUMIFS(ORDERS!$J$2:$J$4995,ORDERS!$C$2:$C$4995,$D4326,ORDERS!$L$2:$L$4995,"Đã chuyển khoản"))</f>
        <v/>
      </c>
      <c r="Y4326" s="24" t="n"/>
    </row>
    <row r="4327" ht="14.25" customHeight="1" s="40">
      <c r="A4327" s="24" t="n"/>
      <c r="B4327" s="27" t="n"/>
      <c r="C4327" s="24" t="n"/>
      <c r="D4327" s="28" t="n"/>
      <c r="E4327" s="29" t="n"/>
      <c r="F4327" s="24" t="n"/>
      <c r="G4327" s="24" t="n"/>
      <c r="H4327" s="21">
        <f>IF(ISNUMBER($B4327),INT($B4327)-WEEKDAY($B4327,2)+1,"")</f>
        <v/>
      </c>
      <c r="I4327" s="24" t="n"/>
      <c r="J4327" s="22">
        <f t="array" ref="J4327">IF($D4327="","",IF($I4327="","(trống REF)",IFERROR(INDEX(MASTER_SOURCE!$B$2:$B$495,MATCH($I4327,MASTER_SOURCE!$A$2:$A$495,0)),"(REF không có trong MASTER_SOURCE)")))</f>
        <v/>
      </c>
      <c r="K4327" s="22">
        <f t="array" ref="K4327">IF($D4327="","",IFERROR(INDEX(MASTER_SOURCE!$C$2:$C$495,MATCH($I4327,MASTER_SOURCE!$A$2:$A$495,0)),""))</f>
        <v/>
      </c>
      <c r="L4327" s="22">
        <f t="array" ref="L4327">IF($D4327="","",IFERROR(INDEX(MASTER_SOURCE!$D$2:$D$495,MATCH($I4327,MASTER_SOURCE!$A$2:$A$495,0)),""))</f>
        <v/>
      </c>
      <c r="M4327" s="24" t="n"/>
      <c r="N4327" s="24" t="n"/>
      <c r="O4327" s="24" t="n"/>
      <c r="P4327" s="24" t="n"/>
      <c r="Q4327" s="22">
        <f>IF($D4327="","",IF(AND(OR(DANH_MUC!$L$5&lt;&gt;"Có",M4327="Có"),OR(DANH_MUC!$L$6&lt;&gt;"Có",N4327="Có"),OR(DANH_MUC!$L$7&lt;&gt;"Có",O4327="Có"),OR(DANH_MUC!$L$8&lt;&gt;"Có",P4327="Có")),"Có","Không"))</f>
        <v/>
      </c>
      <c r="R4327" s="22">
        <f>IF($D4327="","",IF(COUNTIF($D$2:$D4327,$D4327)&gt;1,"Trùng",""))</f>
        <v/>
      </c>
      <c r="S4327" s="22">
        <f>IF($D4327="","",IF(AND(LEN($D4327)=10,LEFT($D4327,1)="0",ISNUMBER(--$D4327)),"Có","Không"))</f>
        <v/>
      </c>
      <c r="T4327" s="22">
        <f>IF($D4327="","",IF(AND($C4327&lt;&gt;"",$Q4327="Có",$R4327="",$S4327="Có",AND($L4327&lt;&gt;"",OR($L4327&lt;&gt;"Chưa xác định",DANH_MUC!$L$9="Có"))),"Có","Không"))</f>
        <v/>
      </c>
      <c r="U4327" s="22">
        <f>IF(OR($D4327="",$T4327="Có"),"",IF($C4327="","Thiếu họ tên; ","")&amp;IF($S4327&lt;&gt;"Có","SĐT sai định dạng; ","")&amp;IF($R4327="Trùng","Trùng SĐT; ","")&amp;IF($Q4327&lt;&gt;"Có","Thiếu đồng ý bắt buộc; ","")&amp;IF($L4327="","Thiếu/sai Mã REF; ",IF(AND($L4327="Chưa xác định",DANH_MUC!$L$9&lt;&gt;"Có"),"Nguồn chưa xác định; ","")))</f>
        <v/>
      </c>
      <c r="V4327" s="22">
        <f>IF(OR($D4327="",$R4327="Trùng"),"",IF(COUNTIF(ORDERS!$C$2:$C$4995,$D4327)&gt;0,"Có","Không"))</f>
        <v/>
      </c>
      <c r="W4327" s="22">
        <f>IF(OR($D4327="",$R4327="Trùng"),"",COUNTIFS(ORDERS!$C$2:$C$4995,$D4327,ORDERS!$L$2:$L$4995,"Đã chuyển khoản"))</f>
        <v/>
      </c>
      <c r="X4327" s="23">
        <f>IF(OR($D4327="",$R4327="Trùng"),"",SUMIFS(ORDERS!$J$2:$J$4995,ORDERS!$C$2:$C$4995,$D4327,ORDERS!$L$2:$L$4995,"Đã chuyển khoản"))</f>
        <v/>
      </c>
      <c r="Y4327" s="24" t="n"/>
    </row>
    <row r="4328" ht="14.25" customHeight="1" s="40">
      <c r="A4328" s="24" t="n"/>
      <c r="B4328" s="27" t="n"/>
      <c r="C4328" s="24" t="n"/>
      <c r="D4328" s="28" t="n"/>
      <c r="E4328" s="29" t="n"/>
      <c r="F4328" s="24" t="n"/>
      <c r="G4328" s="24" t="n"/>
      <c r="H4328" s="21">
        <f>IF(ISNUMBER($B4328),INT($B4328)-WEEKDAY($B4328,2)+1,"")</f>
        <v/>
      </c>
      <c r="I4328" s="24" t="n"/>
      <c r="J4328" s="22">
        <f t="array" ref="J4328">IF($D4328="","",IF($I4328="","(trống REF)",IFERROR(INDEX(MASTER_SOURCE!$B$2:$B$495,MATCH($I4328,MASTER_SOURCE!$A$2:$A$495,0)),"(REF không có trong MASTER_SOURCE)")))</f>
        <v/>
      </c>
      <c r="K4328" s="22">
        <f t="array" ref="K4328">IF($D4328="","",IFERROR(INDEX(MASTER_SOURCE!$C$2:$C$495,MATCH($I4328,MASTER_SOURCE!$A$2:$A$495,0)),""))</f>
        <v/>
      </c>
      <c r="L4328" s="22">
        <f t="array" ref="L4328">IF($D4328="","",IFERROR(INDEX(MASTER_SOURCE!$D$2:$D$495,MATCH($I4328,MASTER_SOURCE!$A$2:$A$495,0)),""))</f>
        <v/>
      </c>
      <c r="M4328" s="24" t="n"/>
      <c r="N4328" s="24" t="n"/>
      <c r="O4328" s="24" t="n"/>
      <c r="P4328" s="24" t="n"/>
      <c r="Q4328" s="22">
        <f>IF($D4328="","",IF(AND(OR(DANH_MUC!$L$5&lt;&gt;"Có",M4328="Có"),OR(DANH_MUC!$L$6&lt;&gt;"Có",N4328="Có"),OR(DANH_MUC!$L$7&lt;&gt;"Có",O4328="Có"),OR(DANH_MUC!$L$8&lt;&gt;"Có",P4328="Có")),"Có","Không"))</f>
        <v/>
      </c>
      <c r="R4328" s="22">
        <f>IF($D4328="","",IF(COUNTIF($D$2:$D4328,$D4328)&gt;1,"Trùng",""))</f>
        <v/>
      </c>
      <c r="S4328" s="22">
        <f>IF($D4328="","",IF(AND(LEN($D4328)=10,LEFT($D4328,1)="0",ISNUMBER(--$D4328)),"Có","Không"))</f>
        <v/>
      </c>
      <c r="T4328" s="22">
        <f>IF($D4328="","",IF(AND($C4328&lt;&gt;"",$Q4328="Có",$R4328="",$S4328="Có",AND($L4328&lt;&gt;"",OR($L4328&lt;&gt;"Chưa xác định",DANH_MUC!$L$9="Có"))),"Có","Không"))</f>
        <v/>
      </c>
      <c r="U4328" s="22">
        <f>IF(OR($D4328="",$T4328="Có"),"",IF($C4328="","Thiếu họ tên; ","")&amp;IF($S4328&lt;&gt;"Có","SĐT sai định dạng; ","")&amp;IF($R4328="Trùng","Trùng SĐT; ","")&amp;IF($Q4328&lt;&gt;"Có","Thiếu đồng ý bắt buộc; ","")&amp;IF($L4328="","Thiếu/sai Mã REF; ",IF(AND($L4328="Chưa xác định",DANH_MUC!$L$9&lt;&gt;"Có"),"Nguồn chưa xác định; ","")))</f>
        <v/>
      </c>
      <c r="V4328" s="22">
        <f>IF(OR($D4328="",$R4328="Trùng"),"",IF(COUNTIF(ORDERS!$C$2:$C$4995,$D4328)&gt;0,"Có","Không"))</f>
        <v/>
      </c>
      <c r="W4328" s="22">
        <f>IF(OR($D4328="",$R4328="Trùng"),"",COUNTIFS(ORDERS!$C$2:$C$4995,$D4328,ORDERS!$L$2:$L$4995,"Đã chuyển khoản"))</f>
        <v/>
      </c>
      <c r="X4328" s="23">
        <f>IF(OR($D4328="",$R4328="Trùng"),"",SUMIFS(ORDERS!$J$2:$J$4995,ORDERS!$C$2:$C$4995,$D4328,ORDERS!$L$2:$L$4995,"Đã chuyển khoản"))</f>
        <v/>
      </c>
      <c r="Y4328" s="24" t="n"/>
    </row>
    <row r="4329" ht="14.25" customHeight="1" s="40">
      <c r="A4329" s="24" t="n"/>
      <c r="B4329" s="27" t="n"/>
      <c r="C4329" s="24" t="n"/>
      <c r="D4329" s="28" t="n"/>
      <c r="E4329" s="29" t="n"/>
      <c r="F4329" s="24" t="n"/>
      <c r="G4329" s="24" t="n"/>
      <c r="H4329" s="21">
        <f>IF(ISNUMBER($B4329),INT($B4329)-WEEKDAY($B4329,2)+1,"")</f>
        <v/>
      </c>
      <c r="I4329" s="24" t="n"/>
      <c r="J4329" s="22">
        <f t="array" ref="J4329">IF($D4329="","",IF($I4329="","(trống REF)",IFERROR(INDEX(MASTER_SOURCE!$B$2:$B$495,MATCH($I4329,MASTER_SOURCE!$A$2:$A$495,0)),"(REF không có trong MASTER_SOURCE)")))</f>
        <v/>
      </c>
      <c r="K4329" s="22">
        <f t="array" ref="K4329">IF($D4329="","",IFERROR(INDEX(MASTER_SOURCE!$C$2:$C$495,MATCH($I4329,MASTER_SOURCE!$A$2:$A$495,0)),""))</f>
        <v/>
      </c>
      <c r="L4329" s="22">
        <f t="array" ref="L4329">IF($D4329="","",IFERROR(INDEX(MASTER_SOURCE!$D$2:$D$495,MATCH($I4329,MASTER_SOURCE!$A$2:$A$495,0)),""))</f>
        <v/>
      </c>
      <c r="M4329" s="24" t="n"/>
      <c r="N4329" s="24" t="n"/>
      <c r="O4329" s="24" t="n"/>
      <c r="P4329" s="24" t="n"/>
      <c r="Q4329" s="22">
        <f>IF($D4329="","",IF(AND(OR(DANH_MUC!$L$5&lt;&gt;"Có",M4329="Có"),OR(DANH_MUC!$L$6&lt;&gt;"Có",N4329="Có"),OR(DANH_MUC!$L$7&lt;&gt;"Có",O4329="Có"),OR(DANH_MUC!$L$8&lt;&gt;"Có",P4329="Có")),"Có","Không"))</f>
        <v/>
      </c>
      <c r="R4329" s="22">
        <f>IF($D4329="","",IF(COUNTIF($D$2:$D4329,$D4329)&gt;1,"Trùng",""))</f>
        <v/>
      </c>
      <c r="S4329" s="22">
        <f>IF($D4329="","",IF(AND(LEN($D4329)=10,LEFT($D4329,1)="0",ISNUMBER(--$D4329)),"Có","Không"))</f>
        <v/>
      </c>
      <c r="T4329" s="22">
        <f>IF($D4329="","",IF(AND($C4329&lt;&gt;"",$Q4329="Có",$R4329="",$S4329="Có",AND($L4329&lt;&gt;"",OR($L4329&lt;&gt;"Chưa xác định",DANH_MUC!$L$9="Có"))),"Có","Không"))</f>
        <v/>
      </c>
      <c r="U4329" s="22">
        <f>IF(OR($D4329="",$T4329="Có"),"",IF($C4329="","Thiếu họ tên; ","")&amp;IF($S4329&lt;&gt;"Có","SĐT sai định dạng; ","")&amp;IF($R4329="Trùng","Trùng SĐT; ","")&amp;IF($Q4329&lt;&gt;"Có","Thiếu đồng ý bắt buộc; ","")&amp;IF($L4329="","Thiếu/sai Mã REF; ",IF(AND($L4329="Chưa xác định",DANH_MUC!$L$9&lt;&gt;"Có"),"Nguồn chưa xác định; ","")))</f>
        <v/>
      </c>
      <c r="V4329" s="22">
        <f>IF(OR($D4329="",$R4329="Trùng"),"",IF(COUNTIF(ORDERS!$C$2:$C$4995,$D4329)&gt;0,"Có","Không"))</f>
        <v/>
      </c>
      <c r="W4329" s="22">
        <f>IF(OR($D4329="",$R4329="Trùng"),"",COUNTIFS(ORDERS!$C$2:$C$4995,$D4329,ORDERS!$L$2:$L$4995,"Đã chuyển khoản"))</f>
        <v/>
      </c>
      <c r="X4329" s="23">
        <f>IF(OR($D4329="",$R4329="Trùng"),"",SUMIFS(ORDERS!$J$2:$J$4995,ORDERS!$C$2:$C$4995,$D4329,ORDERS!$L$2:$L$4995,"Đã chuyển khoản"))</f>
        <v/>
      </c>
      <c r="Y4329" s="24" t="n"/>
    </row>
    <row r="4330" ht="14.25" customHeight="1" s="40">
      <c r="A4330" s="24" t="n"/>
      <c r="B4330" s="27" t="n"/>
      <c r="C4330" s="24" t="n"/>
      <c r="D4330" s="28" t="n"/>
      <c r="E4330" s="29" t="n"/>
      <c r="F4330" s="24" t="n"/>
      <c r="G4330" s="24" t="n"/>
      <c r="H4330" s="21">
        <f>IF(ISNUMBER($B4330),INT($B4330)-WEEKDAY($B4330,2)+1,"")</f>
        <v/>
      </c>
      <c r="I4330" s="24" t="n"/>
      <c r="J4330" s="22">
        <f t="array" ref="J4330">IF($D4330="","",IF($I4330="","(trống REF)",IFERROR(INDEX(MASTER_SOURCE!$B$2:$B$495,MATCH($I4330,MASTER_SOURCE!$A$2:$A$495,0)),"(REF không có trong MASTER_SOURCE)")))</f>
        <v/>
      </c>
      <c r="K4330" s="22">
        <f t="array" ref="K4330">IF($D4330="","",IFERROR(INDEX(MASTER_SOURCE!$C$2:$C$495,MATCH($I4330,MASTER_SOURCE!$A$2:$A$495,0)),""))</f>
        <v/>
      </c>
      <c r="L4330" s="22">
        <f t="array" ref="L4330">IF($D4330="","",IFERROR(INDEX(MASTER_SOURCE!$D$2:$D$495,MATCH($I4330,MASTER_SOURCE!$A$2:$A$495,0)),""))</f>
        <v/>
      </c>
      <c r="M4330" s="24" t="n"/>
      <c r="N4330" s="24" t="n"/>
      <c r="O4330" s="24" t="n"/>
      <c r="P4330" s="24" t="n"/>
      <c r="Q4330" s="22">
        <f>IF($D4330="","",IF(AND(OR(DANH_MUC!$L$5&lt;&gt;"Có",M4330="Có"),OR(DANH_MUC!$L$6&lt;&gt;"Có",N4330="Có"),OR(DANH_MUC!$L$7&lt;&gt;"Có",O4330="Có"),OR(DANH_MUC!$L$8&lt;&gt;"Có",P4330="Có")),"Có","Không"))</f>
        <v/>
      </c>
      <c r="R4330" s="22">
        <f>IF($D4330="","",IF(COUNTIF($D$2:$D4330,$D4330)&gt;1,"Trùng",""))</f>
        <v/>
      </c>
      <c r="S4330" s="22">
        <f>IF($D4330="","",IF(AND(LEN($D4330)=10,LEFT($D4330,1)="0",ISNUMBER(--$D4330)),"Có","Không"))</f>
        <v/>
      </c>
      <c r="T4330" s="22">
        <f>IF($D4330="","",IF(AND($C4330&lt;&gt;"",$Q4330="Có",$R4330="",$S4330="Có",AND($L4330&lt;&gt;"",OR($L4330&lt;&gt;"Chưa xác định",DANH_MUC!$L$9="Có"))),"Có","Không"))</f>
        <v/>
      </c>
      <c r="U4330" s="22">
        <f>IF(OR($D4330="",$T4330="Có"),"",IF($C4330="","Thiếu họ tên; ","")&amp;IF($S4330&lt;&gt;"Có","SĐT sai định dạng; ","")&amp;IF($R4330="Trùng","Trùng SĐT; ","")&amp;IF($Q4330&lt;&gt;"Có","Thiếu đồng ý bắt buộc; ","")&amp;IF($L4330="","Thiếu/sai Mã REF; ",IF(AND($L4330="Chưa xác định",DANH_MUC!$L$9&lt;&gt;"Có"),"Nguồn chưa xác định; ","")))</f>
        <v/>
      </c>
      <c r="V4330" s="22">
        <f>IF(OR($D4330="",$R4330="Trùng"),"",IF(COUNTIF(ORDERS!$C$2:$C$4995,$D4330)&gt;0,"Có","Không"))</f>
        <v/>
      </c>
      <c r="W4330" s="22">
        <f>IF(OR($D4330="",$R4330="Trùng"),"",COUNTIFS(ORDERS!$C$2:$C$4995,$D4330,ORDERS!$L$2:$L$4995,"Đã chuyển khoản"))</f>
        <v/>
      </c>
      <c r="X4330" s="23">
        <f>IF(OR($D4330="",$R4330="Trùng"),"",SUMIFS(ORDERS!$J$2:$J$4995,ORDERS!$C$2:$C$4995,$D4330,ORDERS!$L$2:$L$4995,"Đã chuyển khoản"))</f>
        <v/>
      </c>
      <c r="Y4330" s="24" t="n"/>
    </row>
    <row r="4331" ht="14.25" customHeight="1" s="40">
      <c r="A4331" s="24" t="n"/>
      <c r="B4331" s="27" t="n"/>
      <c r="C4331" s="24" t="n"/>
      <c r="D4331" s="28" t="n"/>
      <c r="E4331" s="29" t="n"/>
      <c r="F4331" s="24" t="n"/>
      <c r="G4331" s="24" t="n"/>
      <c r="H4331" s="21">
        <f>IF(ISNUMBER($B4331),INT($B4331)-WEEKDAY($B4331,2)+1,"")</f>
        <v/>
      </c>
      <c r="I4331" s="24" t="n"/>
      <c r="J4331" s="22">
        <f t="array" ref="J4331">IF($D4331="","",IF($I4331="","(trống REF)",IFERROR(INDEX(MASTER_SOURCE!$B$2:$B$495,MATCH($I4331,MASTER_SOURCE!$A$2:$A$495,0)),"(REF không có trong MASTER_SOURCE)")))</f>
        <v/>
      </c>
      <c r="K4331" s="22">
        <f t="array" ref="K4331">IF($D4331="","",IFERROR(INDEX(MASTER_SOURCE!$C$2:$C$495,MATCH($I4331,MASTER_SOURCE!$A$2:$A$495,0)),""))</f>
        <v/>
      </c>
      <c r="L4331" s="22">
        <f t="array" ref="L4331">IF($D4331="","",IFERROR(INDEX(MASTER_SOURCE!$D$2:$D$495,MATCH($I4331,MASTER_SOURCE!$A$2:$A$495,0)),""))</f>
        <v/>
      </c>
      <c r="M4331" s="24" t="n"/>
      <c r="N4331" s="24" t="n"/>
      <c r="O4331" s="24" t="n"/>
      <c r="P4331" s="24" t="n"/>
      <c r="Q4331" s="22">
        <f>IF($D4331="","",IF(AND(OR(DANH_MUC!$L$5&lt;&gt;"Có",M4331="Có"),OR(DANH_MUC!$L$6&lt;&gt;"Có",N4331="Có"),OR(DANH_MUC!$L$7&lt;&gt;"Có",O4331="Có"),OR(DANH_MUC!$L$8&lt;&gt;"Có",P4331="Có")),"Có","Không"))</f>
        <v/>
      </c>
      <c r="R4331" s="22">
        <f>IF($D4331="","",IF(COUNTIF($D$2:$D4331,$D4331)&gt;1,"Trùng",""))</f>
        <v/>
      </c>
      <c r="S4331" s="22">
        <f>IF($D4331="","",IF(AND(LEN($D4331)=10,LEFT($D4331,1)="0",ISNUMBER(--$D4331)),"Có","Không"))</f>
        <v/>
      </c>
      <c r="T4331" s="22">
        <f>IF($D4331="","",IF(AND($C4331&lt;&gt;"",$Q4331="Có",$R4331="",$S4331="Có",AND($L4331&lt;&gt;"",OR($L4331&lt;&gt;"Chưa xác định",DANH_MUC!$L$9="Có"))),"Có","Không"))</f>
        <v/>
      </c>
      <c r="U4331" s="22">
        <f>IF(OR($D4331="",$T4331="Có"),"",IF($C4331="","Thiếu họ tên; ","")&amp;IF($S4331&lt;&gt;"Có","SĐT sai định dạng; ","")&amp;IF($R4331="Trùng","Trùng SĐT; ","")&amp;IF($Q4331&lt;&gt;"Có","Thiếu đồng ý bắt buộc; ","")&amp;IF($L4331="","Thiếu/sai Mã REF; ",IF(AND($L4331="Chưa xác định",DANH_MUC!$L$9&lt;&gt;"Có"),"Nguồn chưa xác định; ","")))</f>
        <v/>
      </c>
      <c r="V4331" s="22">
        <f>IF(OR($D4331="",$R4331="Trùng"),"",IF(COUNTIF(ORDERS!$C$2:$C$4995,$D4331)&gt;0,"Có","Không"))</f>
        <v/>
      </c>
      <c r="W4331" s="22">
        <f>IF(OR($D4331="",$R4331="Trùng"),"",COUNTIFS(ORDERS!$C$2:$C$4995,$D4331,ORDERS!$L$2:$L$4995,"Đã chuyển khoản"))</f>
        <v/>
      </c>
      <c r="X4331" s="23">
        <f>IF(OR($D4331="",$R4331="Trùng"),"",SUMIFS(ORDERS!$J$2:$J$4995,ORDERS!$C$2:$C$4995,$D4331,ORDERS!$L$2:$L$4995,"Đã chuyển khoản"))</f>
        <v/>
      </c>
      <c r="Y4331" s="24" t="n"/>
    </row>
    <row r="4332" ht="14.25" customHeight="1" s="40">
      <c r="A4332" s="24" t="n"/>
      <c r="B4332" s="27" t="n"/>
      <c r="C4332" s="24" t="n"/>
      <c r="D4332" s="28" t="n"/>
      <c r="E4332" s="29" t="n"/>
      <c r="F4332" s="24" t="n"/>
      <c r="G4332" s="24" t="n"/>
      <c r="H4332" s="21">
        <f>IF(ISNUMBER($B4332),INT($B4332)-WEEKDAY($B4332,2)+1,"")</f>
        <v/>
      </c>
      <c r="I4332" s="24" t="n"/>
      <c r="J4332" s="22">
        <f t="array" ref="J4332">IF($D4332="","",IF($I4332="","(trống REF)",IFERROR(INDEX(MASTER_SOURCE!$B$2:$B$495,MATCH($I4332,MASTER_SOURCE!$A$2:$A$495,0)),"(REF không có trong MASTER_SOURCE)")))</f>
        <v/>
      </c>
      <c r="K4332" s="22">
        <f t="array" ref="K4332">IF($D4332="","",IFERROR(INDEX(MASTER_SOURCE!$C$2:$C$495,MATCH($I4332,MASTER_SOURCE!$A$2:$A$495,0)),""))</f>
        <v/>
      </c>
      <c r="L4332" s="22">
        <f t="array" ref="L4332">IF($D4332="","",IFERROR(INDEX(MASTER_SOURCE!$D$2:$D$495,MATCH($I4332,MASTER_SOURCE!$A$2:$A$495,0)),""))</f>
        <v/>
      </c>
      <c r="M4332" s="24" t="n"/>
      <c r="N4332" s="24" t="n"/>
      <c r="O4332" s="24" t="n"/>
      <c r="P4332" s="24" t="n"/>
      <c r="Q4332" s="22">
        <f>IF($D4332="","",IF(AND(OR(DANH_MUC!$L$5&lt;&gt;"Có",M4332="Có"),OR(DANH_MUC!$L$6&lt;&gt;"Có",N4332="Có"),OR(DANH_MUC!$L$7&lt;&gt;"Có",O4332="Có"),OR(DANH_MUC!$L$8&lt;&gt;"Có",P4332="Có")),"Có","Không"))</f>
        <v/>
      </c>
      <c r="R4332" s="22">
        <f>IF($D4332="","",IF(COUNTIF($D$2:$D4332,$D4332)&gt;1,"Trùng",""))</f>
        <v/>
      </c>
      <c r="S4332" s="22">
        <f>IF($D4332="","",IF(AND(LEN($D4332)=10,LEFT($D4332,1)="0",ISNUMBER(--$D4332)),"Có","Không"))</f>
        <v/>
      </c>
      <c r="T4332" s="22">
        <f>IF($D4332="","",IF(AND($C4332&lt;&gt;"",$Q4332="Có",$R4332="",$S4332="Có",AND($L4332&lt;&gt;"",OR($L4332&lt;&gt;"Chưa xác định",DANH_MUC!$L$9="Có"))),"Có","Không"))</f>
        <v/>
      </c>
      <c r="U4332" s="22">
        <f>IF(OR($D4332="",$T4332="Có"),"",IF($C4332="","Thiếu họ tên; ","")&amp;IF($S4332&lt;&gt;"Có","SĐT sai định dạng; ","")&amp;IF($R4332="Trùng","Trùng SĐT; ","")&amp;IF($Q4332&lt;&gt;"Có","Thiếu đồng ý bắt buộc; ","")&amp;IF($L4332="","Thiếu/sai Mã REF; ",IF(AND($L4332="Chưa xác định",DANH_MUC!$L$9&lt;&gt;"Có"),"Nguồn chưa xác định; ","")))</f>
        <v/>
      </c>
      <c r="V4332" s="22">
        <f>IF(OR($D4332="",$R4332="Trùng"),"",IF(COUNTIF(ORDERS!$C$2:$C$4995,$D4332)&gt;0,"Có","Không"))</f>
        <v/>
      </c>
      <c r="W4332" s="22">
        <f>IF(OR($D4332="",$R4332="Trùng"),"",COUNTIFS(ORDERS!$C$2:$C$4995,$D4332,ORDERS!$L$2:$L$4995,"Đã chuyển khoản"))</f>
        <v/>
      </c>
      <c r="X4332" s="23">
        <f>IF(OR($D4332="",$R4332="Trùng"),"",SUMIFS(ORDERS!$J$2:$J$4995,ORDERS!$C$2:$C$4995,$D4332,ORDERS!$L$2:$L$4995,"Đã chuyển khoản"))</f>
        <v/>
      </c>
      <c r="Y4332" s="24" t="n"/>
    </row>
    <row r="4333" ht="14.25" customHeight="1" s="40">
      <c r="A4333" s="24" t="n"/>
      <c r="B4333" s="27" t="n"/>
      <c r="C4333" s="24" t="n"/>
      <c r="D4333" s="28" t="n"/>
      <c r="E4333" s="29" t="n"/>
      <c r="F4333" s="24" t="n"/>
      <c r="G4333" s="24" t="n"/>
      <c r="H4333" s="21">
        <f>IF(ISNUMBER($B4333),INT($B4333)-WEEKDAY($B4333,2)+1,"")</f>
        <v/>
      </c>
      <c r="I4333" s="24" t="n"/>
      <c r="J4333" s="22">
        <f t="array" ref="J4333">IF($D4333="","",IF($I4333="","(trống REF)",IFERROR(INDEX(MASTER_SOURCE!$B$2:$B$495,MATCH($I4333,MASTER_SOURCE!$A$2:$A$495,0)),"(REF không có trong MASTER_SOURCE)")))</f>
        <v/>
      </c>
      <c r="K4333" s="22">
        <f t="array" ref="K4333">IF($D4333="","",IFERROR(INDEX(MASTER_SOURCE!$C$2:$C$495,MATCH($I4333,MASTER_SOURCE!$A$2:$A$495,0)),""))</f>
        <v/>
      </c>
      <c r="L4333" s="22">
        <f t="array" ref="L4333">IF($D4333="","",IFERROR(INDEX(MASTER_SOURCE!$D$2:$D$495,MATCH($I4333,MASTER_SOURCE!$A$2:$A$495,0)),""))</f>
        <v/>
      </c>
      <c r="M4333" s="24" t="n"/>
      <c r="N4333" s="24" t="n"/>
      <c r="O4333" s="24" t="n"/>
      <c r="P4333" s="24" t="n"/>
      <c r="Q4333" s="22">
        <f>IF($D4333="","",IF(AND(OR(DANH_MUC!$L$5&lt;&gt;"Có",M4333="Có"),OR(DANH_MUC!$L$6&lt;&gt;"Có",N4333="Có"),OR(DANH_MUC!$L$7&lt;&gt;"Có",O4333="Có"),OR(DANH_MUC!$L$8&lt;&gt;"Có",P4333="Có")),"Có","Không"))</f>
        <v/>
      </c>
      <c r="R4333" s="22">
        <f>IF($D4333="","",IF(COUNTIF($D$2:$D4333,$D4333)&gt;1,"Trùng",""))</f>
        <v/>
      </c>
      <c r="S4333" s="22">
        <f>IF($D4333="","",IF(AND(LEN($D4333)=10,LEFT($D4333,1)="0",ISNUMBER(--$D4333)),"Có","Không"))</f>
        <v/>
      </c>
      <c r="T4333" s="22">
        <f>IF($D4333="","",IF(AND($C4333&lt;&gt;"",$Q4333="Có",$R4333="",$S4333="Có",AND($L4333&lt;&gt;"",OR($L4333&lt;&gt;"Chưa xác định",DANH_MUC!$L$9="Có"))),"Có","Không"))</f>
        <v/>
      </c>
      <c r="U4333" s="22">
        <f>IF(OR($D4333="",$T4333="Có"),"",IF($C4333="","Thiếu họ tên; ","")&amp;IF($S4333&lt;&gt;"Có","SĐT sai định dạng; ","")&amp;IF($R4333="Trùng","Trùng SĐT; ","")&amp;IF($Q4333&lt;&gt;"Có","Thiếu đồng ý bắt buộc; ","")&amp;IF($L4333="","Thiếu/sai Mã REF; ",IF(AND($L4333="Chưa xác định",DANH_MUC!$L$9&lt;&gt;"Có"),"Nguồn chưa xác định; ","")))</f>
        <v/>
      </c>
      <c r="V4333" s="22">
        <f>IF(OR($D4333="",$R4333="Trùng"),"",IF(COUNTIF(ORDERS!$C$2:$C$4995,$D4333)&gt;0,"Có","Không"))</f>
        <v/>
      </c>
      <c r="W4333" s="22">
        <f>IF(OR($D4333="",$R4333="Trùng"),"",COUNTIFS(ORDERS!$C$2:$C$4995,$D4333,ORDERS!$L$2:$L$4995,"Đã chuyển khoản"))</f>
        <v/>
      </c>
      <c r="X4333" s="23">
        <f>IF(OR($D4333="",$R4333="Trùng"),"",SUMIFS(ORDERS!$J$2:$J$4995,ORDERS!$C$2:$C$4995,$D4333,ORDERS!$L$2:$L$4995,"Đã chuyển khoản"))</f>
        <v/>
      </c>
      <c r="Y4333" s="24" t="n"/>
    </row>
    <row r="4334" ht="14.25" customHeight="1" s="40">
      <c r="A4334" s="24" t="n"/>
      <c r="B4334" s="27" t="n"/>
      <c r="C4334" s="24" t="n"/>
      <c r="D4334" s="28" t="n"/>
      <c r="E4334" s="29" t="n"/>
      <c r="F4334" s="24" t="n"/>
      <c r="G4334" s="24" t="n"/>
      <c r="H4334" s="21">
        <f>IF(ISNUMBER($B4334),INT($B4334)-WEEKDAY($B4334,2)+1,"")</f>
        <v/>
      </c>
      <c r="I4334" s="24" t="n"/>
      <c r="J4334" s="22">
        <f t="array" ref="J4334">IF($D4334="","",IF($I4334="","(trống REF)",IFERROR(INDEX(MASTER_SOURCE!$B$2:$B$495,MATCH($I4334,MASTER_SOURCE!$A$2:$A$495,0)),"(REF không có trong MASTER_SOURCE)")))</f>
        <v/>
      </c>
      <c r="K4334" s="22">
        <f t="array" ref="K4334">IF($D4334="","",IFERROR(INDEX(MASTER_SOURCE!$C$2:$C$495,MATCH($I4334,MASTER_SOURCE!$A$2:$A$495,0)),""))</f>
        <v/>
      </c>
      <c r="L4334" s="22">
        <f t="array" ref="L4334">IF($D4334="","",IFERROR(INDEX(MASTER_SOURCE!$D$2:$D$495,MATCH($I4334,MASTER_SOURCE!$A$2:$A$495,0)),""))</f>
        <v/>
      </c>
      <c r="M4334" s="24" t="n"/>
      <c r="N4334" s="24" t="n"/>
      <c r="O4334" s="24" t="n"/>
      <c r="P4334" s="24" t="n"/>
      <c r="Q4334" s="22">
        <f>IF($D4334="","",IF(AND(OR(DANH_MUC!$L$5&lt;&gt;"Có",M4334="Có"),OR(DANH_MUC!$L$6&lt;&gt;"Có",N4334="Có"),OR(DANH_MUC!$L$7&lt;&gt;"Có",O4334="Có"),OR(DANH_MUC!$L$8&lt;&gt;"Có",P4334="Có")),"Có","Không"))</f>
        <v/>
      </c>
      <c r="R4334" s="22">
        <f>IF($D4334="","",IF(COUNTIF($D$2:$D4334,$D4334)&gt;1,"Trùng",""))</f>
        <v/>
      </c>
      <c r="S4334" s="22">
        <f>IF($D4334="","",IF(AND(LEN($D4334)=10,LEFT($D4334,1)="0",ISNUMBER(--$D4334)),"Có","Không"))</f>
        <v/>
      </c>
      <c r="T4334" s="22">
        <f>IF($D4334="","",IF(AND($C4334&lt;&gt;"",$Q4334="Có",$R4334="",$S4334="Có",AND($L4334&lt;&gt;"",OR($L4334&lt;&gt;"Chưa xác định",DANH_MUC!$L$9="Có"))),"Có","Không"))</f>
        <v/>
      </c>
      <c r="U4334" s="22">
        <f>IF(OR($D4334="",$T4334="Có"),"",IF($C4334="","Thiếu họ tên; ","")&amp;IF($S4334&lt;&gt;"Có","SĐT sai định dạng; ","")&amp;IF($R4334="Trùng","Trùng SĐT; ","")&amp;IF($Q4334&lt;&gt;"Có","Thiếu đồng ý bắt buộc; ","")&amp;IF($L4334="","Thiếu/sai Mã REF; ",IF(AND($L4334="Chưa xác định",DANH_MUC!$L$9&lt;&gt;"Có"),"Nguồn chưa xác định; ","")))</f>
        <v/>
      </c>
      <c r="V4334" s="22">
        <f>IF(OR($D4334="",$R4334="Trùng"),"",IF(COUNTIF(ORDERS!$C$2:$C$4995,$D4334)&gt;0,"Có","Không"))</f>
        <v/>
      </c>
      <c r="W4334" s="22">
        <f>IF(OR($D4334="",$R4334="Trùng"),"",COUNTIFS(ORDERS!$C$2:$C$4995,$D4334,ORDERS!$L$2:$L$4995,"Đã chuyển khoản"))</f>
        <v/>
      </c>
      <c r="X4334" s="23">
        <f>IF(OR($D4334="",$R4334="Trùng"),"",SUMIFS(ORDERS!$J$2:$J$4995,ORDERS!$C$2:$C$4995,$D4334,ORDERS!$L$2:$L$4995,"Đã chuyển khoản"))</f>
        <v/>
      </c>
      <c r="Y4334" s="24" t="n"/>
    </row>
    <row r="4335" ht="14.25" customHeight="1" s="40">
      <c r="A4335" s="24" t="n"/>
      <c r="B4335" s="27" t="n"/>
      <c r="C4335" s="24" t="n"/>
      <c r="D4335" s="28" t="n"/>
      <c r="E4335" s="29" t="n"/>
      <c r="F4335" s="24" t="n"/>
      <c r="G4335" s="24" t="n"/>
      <c r="H4335" s="21">
        <f>IF(ISNUMBER($B4335),INT($B4335)-WEEKDAY($B4335,2)+1,"")</f>
        <v/>
      </c>
      <c r="I4335" s="24" t="n"/>
      <c r="J4335" s="22">
        <f t="array" ref="J4335">IF($D4335="","",IF($I4335="","(trống REF)",IFERROR(INDEX(MASTER_SOURCE!$B$2:$B$495,MATCH($I4335,MASTER_SOURCE!$A$2:$A$495,0)),"(REF không có trong MASTER_SOURCE)")))</f>
        <v/>
      </c>
      <c r="K4335" s="22">
        <f t="array" ref="K4335">IF($D4335="","",IFERROR(INDEX(MASTER_SOURCE!$C$2:$C$495,MATCH($I4335,MASTER_SOURCE!$A$2:$A$495,0)),""))</f>
        <v/>
      </c>
      <c r="L4335" s="22">
        <f t="array" ref="L4335">IF($D4335="","",IFERROR(INDEX(MASTER_SOURCE!$D$2:$D$495,MATCH($I4335,MASTER_SOURCE!$A$2:$A$495,0)),""))</f>
        <v/>
      </c>
      <c r="M4335" s="24" t="n"/>
      <c r="N4335" s="24" t="n"/>
      <c r="O4335" s="24" t="n"/>
      <c r="P4335" s="24" t="n"/>
      <c r="Q4335" s="22">
        <f>IF($D4335="","",IF(AND(OR(DANH_MUC!$L$5&lt;&gt;"Có",M4335="Có"),OR(DANH_MUC!$L$6&lt;&gt;"Có",N4335="Có"),OR(DANH_MUC!$L$7&lt;&gt;"Có",O4335="Có"),OR(DANH_MUC!$L$8&lt;&gt;"Có",P4335="Có")),"Có","Không"))</f>
        <v/>
      </c>
      <c r="R4335" s="22">
        <f>IF($D4335="","",IF(COUNTIF($D$2:$D4335,$D4335)&gt;1,"Trùng",""))</f>
        <v/>
      </c>
      <c r="S4335" s="22">
        <f>IF($D4335="","",IF(AND(LEN($D4335)=10,LEFT($D4335,1)="0",ISNUMBER(--$D4335)),"Có","Không"))</f>
        <v/>
      </c>
      <c r="T4335" s="22">
        <f>IF($D4335="","",IF(AND($C4335&lt;&gt;"",$Q4335="Có",$R4335="",$S4335="Có",AND($L4335&lt;&gt;"",OR($L4335&lt;&gt;"Chưa xác định",DANH_MUC!$L$9="Có"))),"Có","Không"))</f>
        <v/>
      </c>
      <c r="U4335" s="22">
        <f>IF(OR($D4335="",$T4335="Có"),"",IF($C4335="","Thiếu họ tên; ","")&amp;IF($S4335&lt;&gt;"Có","SĐT sai định dạng; ","")&amp;IF($R4335="Trùng","Trùng SĐT; ","")&amp;IF($Q4335&lt;&gt;"Có","Thiếu đồng ý bắt buộc; ","")&amp;IF($L4335="","Thiếu/sai Mã REF; ",IF(AND($L4335="Chưa xác định",DANH_MUC!$L$9&lt;&gt;"Có"),"Nguồn chưa xác định; ","")))</f>
        <v/>
      </c>
      <c r="V4335" s="22">
        <f>IF(OR($D4335="",$R4335="Trùng"),"",IF(COUNTIF(ORDERS!$C$2:$C$4995,$D4335)&gt;0,"Có","Không"))</f>
        <v/>
      </c>
      <c r="W4335" s="22">
        <f>IF(OR($D4335="",$R4335="Trùng"),"",COUNTIFS(ORDERS!$C$2:$C$4995,$D4335,ORDERS!$L$2:$L$4995,"Đã chuyển khoản"))</f>
        <v/>
      </c>
      <c r="X4335" s="23">
        <f>IF(OR($D4335="",$R4335="Trùng"),"",SUMIFS(ORDERS!$J$2:$J$4995,ORDERS!$C$2:$C$4995,$D4335,ORDERS!$L$2:$L$4995,"Đã chuyển khoản"))</f>
        <v/>
      </c>
      <c r="Y4335" s="24" t="n"/>
    </row>
    <row r="4336" ht="14.25" customHeight="1" s="40">
      <c r="A4336" s="24" t="n"/>
      <c r="B4336" s="27" t="n"/>
      <c r="C4336" s="24" t="n"/>
      <c r="D4336" s="28" t="n"/>
      <c r="E4336" s="29" t="n"/>
      <c r="F4336" s="24" t="n"/>
      <c r="G4336" s="24" t="n"/>
      <c r="H4336" s="21">
        <f>IF(ISNUMBER($B4336),INT($B4336)-WEEKDAY($B4336,2)+1,"")</f>
        <v/>
      </c>
      <c r="I4336" s="24" t="n"/>
      <c r="J4336" s="22">
        <f t="array" ref="J4336">IF($D4336="","",IF($I4336="","(trống REF)",IFERROR(INDEX(MASTER_SOURCE!$B$2:$B$495,MATCH($I4336,MASTER_SOURCE!$A$2:$A$495,0)),"(REF không có trong MASTER_SOURCE)")))</f>
        <v/>
      </c>
      <c r="K4336" s="22">
        <f t="array" ref="K4336">IF($D4336="","",IFERROR(INDEX(MASTER_SOURCE!$C$2:$C$495,MATCH($I4336,MASTER_SOURCE!$A$2:$A$495,0)),""))</f>
        <v/>
      </c>
      <c r="L4336" s="22">
        <f t="array" ref="L4336">IF($D4336="","",IFERROR(INDEX(MASTER_SOURCE!$D$2:$D$495,MATCH($I4336,MASTER_SOURCE!$A$2:$A$495,0)),""))</f>
        <v/>
      </c>
      <c r="M4336" s="24" t="n"/>
      <c r="N4336" s="24" t="n"/>
      <c r="O4336" s="24" t="n"/>
      <c r="P4336" s="24" t="n"/>
      <c r="Q4336" s="22">
        <f>IF($D4336="","",IF(AND(OR(DANH_MUC!$L$5&lt;&gt;"Có",M4336="Có"),OR(DANH_MUC!$L$6&lt;&gt;"Có",N4336="Có"),OR(DANH_MUC!$L$7&lt;&gt;"Có",O4336="Có"),OR(DANH_MUC!$L$8&lt;&gt;"Có",P4336="Có")),"Có","Không"))</f>
        <v/>
      </c>
      <c r="R4336" s="22">
        <f>IF($D4336="","",IF(COUNTIF($D$2:$D4336,$D4336)&gt;1,"Trùng",""))</f>
        <v/>
      </c>
      <c r="S4336" s="22">
        <f>IF($D4336="","",IF(AND(LEN($D4336)=10,LEFT($D4336,1)="0",ISNUMBER(--$D4336)),"Có","Không"))</f>
        <v/>
      </c>
      <c r="T4336" s="22">
        <f>IF($D4336="","",IF(AND($C4336&lt;&gt;"",$Q4336="Có",$R4336="",$S4336="Có",AND($L4336&lt;&gt;"",OR($L4336&lt;&gt;"Chưa xác định",DANH_MUC!$L$9="Có"))),"Có","Không"))</f>
        <v/>
      </c>
      <c r="U4336" s="22">
        <f>IF(OR($D4336="",$T4336="Có"),"",IF($C4336="","Thiếu họ tên; ","")&amp;IF($S4336&lt;&gt;"Có","SĐT sai định dạng; ","")&amp;IF($R4336="Trùng","Trùng SĐT; ","")&amp;IF($Q4336&lt;&gt;"Có","Thiếu đồng ý bắt buộc; ","")&amp;IF($L4336="","Thiếu/sai Mã REF; ",IF(AND($L4336="Chưa xác định",DANH_MUC!$L$9&lt;&gt;"Có"),"Nguồn chưa xác định; ","")))</f>
        <v/>
      </c>
      <c r="V4336" s="22">
        <f>IF(OR($D4336="",$R4336="Trùng"),"",IF(COUNTIF(ORDERS!$C$2:$C$4995,$D4336)&gt;0,"Có","Không"))</f>
        <v/>
      </c>
      <c r="W4336" s="22">
        <f>IF(OR($D4336="",$R4336="Trùng"),"",COUNTIFS(ORDERS!$C$2:$C$4995,$D4336,ORDERS!$L$2:$L$4995,"Đã chuyển khoản"))</f>
        <v/>
      </c>
      <c r="X4336" s="23">
        <f>IF(OR($D4336="",$R4336="Trùng"),"",SUMIFS(ORDERS!$J$2:$J$4995,ORDERS!$C$2:$C$4995,$D4336,ORDERS!$L$2:$L$4995,"Đã chuyển khoản"))</f>
        <v/>
      </c>
      <c r="Y4336" s="24" t="n"/>
    </row>
    <row r="4337" ht="14.25" customHeight="1" s="40">
      <c r="A4337" s="24" t="n"/>
      <c r="B4337" s="27" t="n"/>
      <c r="C4337" s="24" t="n"/>
      <c r="D4337" s="28" t="n"/>
      <c r="E4337" s="29" t="n"/>
      <c r="F4337" s="24" t="n"/>
      <c r="G4337" s="24" t="n"/>
      <c r="H4337" s="21">
        <f>IF(ISNUMBER($B4337),INT($B4337)-WEEKDAY($B4337,2)+1,"")</f>
        <v/>
      </c>
      <c r="I4337" s="24" t="n"/>
      <c r="J4337" s="22">
        <f t="array" ref="J4337">IF($D4337="","",IF($I4337="","(trống REF)",IFERROR(INDEX(MASTER_SOURCE!$B$2:$B$495,MATCH($I4337,MASTER_SOURCE!$A$2:$A$495,0)),"(REF không có trong MASTER_SOURCE)")))</f>
        <v/>
      </c>
      <c r="K4337" s="22">
        <f t="array" ref="K4337">IF($D4337="","",IFERROR(INDEX(MASTER_SOURCE!$C$2:$C$495,MATCH($I4337,MASTER_SOURCE!$A$2:$A$495,0)),""))</f>
        <v/>
      </c>
      <c r="L4337" s="22">
        <f t="array" ref="L4337">IF($D4337="","",IFERROR(INDEX(MASTER_SOURCE!$D$2:$D$495,MATCH($I4337,MASTER_SOURCE!$A$2:$A$495,0)),""))</f>
        <v/>
      </c>
      <c r="M4337" s="24" t="n"/>
      <c r="N4337" s="24" t="n"/>
      <c r="O4337" s="24" t="n"/>
      <c r="P4337" s="24" t="n"/>
      <c r="Q4337" s="22">
        <f>IF($D4337="","",IF(AND(OR(DANH_MUC!$L$5&lt;&gt;"Có",M4337="Có"),OR(DANH_MUC!$L$6&lt;&gt;"Có",N4337="Có"),OR(DANH_MUC!$L$7&lt;&gt;"Có",O4337="Có"),OR(DANH_MUC!$L$8&lt;&gt;"Có",P4337="Có")),"Có","Không"))</f>
        <v/>
      </c>
      <c r="R4337" s="22">
        <f>IF($D4337="","",IF(COUNTIF($D$2:$D4337,$D4337)&gt;1,"Trùng",""))</f>
        <v/>
      </c>
      <c r="S4337" s="22">
        <f>IF($D4337="","",IF(AND(LEN($D4337)=10,LEFT($D4337,1)="0",ISNUMBER(--$D4337)),"Có","Không"))</f>
        <v/>
      </c>
      <c r="T4337" s="22">
        <f>IF($D4337="","",IF(AND($C4337&lt;&gt;"",$Q4337="Có",$R4337="",$S4337="Có",AND($L4337&lt;&gt;"",OR($L4337&lt;&gt;"Chưa xác định",DANH_MUC!$L$9="Có"))),"Có","Không"))</f>
        <v/>
      </c>
      <c r="U4337" s="22">
        <f>IF(OR($D4337="",$T4337="Có"),"",IF($C4337="","Thiếu họ tên; ","")&amp;IF($S4337&lt;&gt;"Có","SĐT sai định dạng; ","")&amp;IF($R4337="Trùng","Trùng SĐT; ","")&amp;IF($Q4337&lt;&gt;"Có","Thiếu đồng ý bắt buộc; ","")&amp;IF($L4337="","Thiếu/sai Mã REF; ",IF(AND($L4337="Chưa xác định",DANH_MUC!$L$9&lt;&gt;"Có"),"Nguồn chưa xác định; ","")))</f>
        <v/>
      </c>
      <c r="V4337" s="22">
        <f>IF(OR($D4337="",$R4337="Trùng"),"",IF(COUNTIF(ORDERS!$C$2:$C$4995,$D4337)&gt;0,"Có","Không"))</f>
        <v/>
      </c>
      <c r="W4337" s="22">
        <f>IF(OR($D4337="",$R4337="Trùng"),"",COUNTIFS(ORDERS!$C$2:$C$4995,$D4337,ORDERS!$L$2:$L$4995,"Đã chuyển khoản"))</f>
        <v/>
      </c>
      <c r="X4337" s="23">
        <f>IF(OR($D4337="",$R4337="Trùng"),"",SUMIFS(ORDERS!$J$2:$J$4995,ORDERS!$C$2:$C$4995,$D4337,ORDERS!$L$2:$L$4995,"Đã chuyển khoản"))</f>
        <v/>
      </c>
      <c r="Y4337" s="24" t="n"/>
    </row>
    <row r="4338" ht="14.25" customHeight="1" s="40">
      <c r="A4338" s="24" t="n"/>
      <c r="B4338" s="27" t="n"/>
      <c r="C4338" s="24" t="n"/>
      <c r="D4338" s="28" t="n"/>
      <c r="E4338" s="29" t="n"/>
      <c r="F4338" s="24" t="n"/>
      <c r="G4338" s="24" t="n"/>
      <c r="H4338" s="21">
        <f>IF(ISNUMBER($B4338),INT($B4338)-WEEKDAY($B4338,2)+1,"")</f>
        <v/>
      </c>
      <c r="I4338" s="24" t="n"/>
      <c r="J4338" s="22">
        <f t="array" ref="J4338">IF($D4338="","",IF($I4338="","(trống REF)",IFERROR(INDEX(MASTER_SOURCE!$B$2:$B$495,MATCH($I4338,MASTER_SOURCE!$A$2:$A$495,0)),"(REF không có trong MASTER_SOURCE)")))</f>
        <v/>
      </c>
      <c r="K4338" s="22">
        <f t="array" ref="K4338">IF($D4338="","",IFERROR(INDEX(MASTER_SOURCE!$C$2:$C$495,MATCH($I4338,MASTER_SOURCE!$A$2:$A$495,0)),""))</f>
        <v/>
      </c>
      <c r="L4338" s="22">
        <f t="array" ref="L4338">IF($D4338="","",IFERROR(INDEX(MASTER_SOURCE!$D$2:$D$495,MATCH($I4338,MASTER_SOURCE!$A$2:$A$495,0)),""))</f>
        <v/>
      </c>
      <c r="M4338" s="24" t="n"/>
      <c r="N4338" s="24" t="n"/>
      <c r="O4338" s="24" t="n"/>
      <c r="P4338" s="24" t="n"/>
      <c r="Q4338" s="22">
        <f>IF($D4338="","",IF(AND(OR(DANH_MUC!$L$5&lt;&gt;"Có",M4338="Có"),OR(DANH_MUC!$L$6&lt;&gt;"Có",N4338="Có"),OR(DANH_MUC!$L$7&lt;&gt;"Có",O4338="Có"),OR(DANH_MUC!$L$8&lt;&gt;"Có",P4338="Có")),"Có","Không"))</f>
        <v/>
      </c>
      <c r="R4338" s="22">
        <f>IF($D4338="","",IF(COUNTIF($D$2:$D4338,$D4338)&gt;1,"Trùng",""))</f>
        <v/>
      </c>
      <c r="S4338" s="22">
        <f>IF($D4338="","",IF(AND(LEN($D4338)=10,LEFT($D4338,1)="0",ISNUMBER(--$D4338)),"Có","Không"))</f>
        <v/>
      </c>
      <c r="T4338" s="22">
        <f>IF($D4338="","",IF(AND($C4338&lt;&gt;"",$Q4338="Có",$R4338="",$S4338="Có",AND($L4338&lt;&gt;"",OR($L4338&lt;&gt;"Chưa xác định",DANH_MUC!$L$9="Có"))),"Có","Không"))</f>
        <v/>
      </c>
      <c r="U4338" s="22">
        <f>IF(OR($D4338="",$T4338="Có"),"",IF($C4338="","Thiếu họ tên; ","")&amp;IF($S4338&lt;&gt;"Có","SĐT sai định dạng; ","")&amp;IF($R4338="Trùng","Trùng SĐT; ","")&amp;IF($Q4338&lt;&gt;"Có","Thiếu đồng ý bắt buộc; ","")&amp;IF($L4338="","Thiếu/sai Mã REF; ",IF(AND($L4338="Chưa xác định",DANH_MUC!$L$9&lt;&gt;"Có"),"Nguồn chưa xác định; ","")))</f>
        <v/>
      </c>
      <c r="V4338" s="22">
        <f>IF(OR($D4338="",$R4338="Trùng"),"",IF(COUNTIF(ORDERS!$C$2:$C$4995,$D4338)&gt;0,"Có","Không"))</f>
        <v/>
      </c>
      <c r="W4338" s="22">
        <f>IF(OR($D4338="",$R4338="Trùng"),"",COUNTIFS(ORDERS!$C$2:$C$4995,$D4338,ORDERS!$L$2:$L$4995,"Đã chuyển khoản"))</f>
        <v/>
      </c>
      <c r="X4338" s="23">
        <f>IF(OR($D4338="",$R4338="Trùng"),"",SUMIFS(ORDERS!$J$2:$J$4995,ORDERS!$C$2:$C$4995,$D4338,ORDERS!$L$2:$L$4995,"Đã chuyển khoản"))</f>
        <v/>
      </c>
      <c r="Y4338" s="24" t="n"/>
    </row>
    <row r="4339" ht="14.25" customHeight="1" s="40">
      <c r="A4339" s="24" t="n"/>
      <c r="B4339" s="27" t="n"/>
      <c r="C4339" s="24" t="n"/>
      <c r="D4339" s="28" t="n"/>
      <c r="E4339" s="29" t="n"/>
      <c r="F4339" s="24" t="n"/>
      <c r="G4339" s="24" t="n"/>
      <c r="H4339" s="21">
        <f>IF(ISNUMBER($B4339),INT($B4339)-WEEKDAY($B4339,2)+1,"")</f>
        <v/>
      </c>
      <c r="I4339" s="24" t="n"/>
      <c r="J4339" s="22">
        <f t="array" ref="J4339">IF($D4339="","",IF($I4339="","(trống REF)",IFERROR(INDEX(MASTER_SOURCE!$B$2:$B$495,MATCH($I4339,MASTER_SOURCE!$A$2:$A$495,0)),"(REF không có trong MASTER_SOURCE)")))</f>
        <v/>
      </c>
      <c r="K4339" s="22">
        <f t="array" ref="K4339">IF($D4339="","",IFERROR(INDEX(MASTER_SOURCE!$C$2:$C$495,MATCH($I4339,MASTER_SOURCE!$A$2:$A$495,0)),""))</f>
        <v/>
      </c>
      <c r="L4339" s="22">
        <f t="array" ref="L4339">IF($D4339="","",IFERROR(INDEX(MASTER_SOURCE!$D$2:$D$495,MATCH($I4339,MASTER_SOURCE!$A$2:$A$495,0)),""))</f>
        <v/>
      </c>
      <c r="M4339" s="24" t="n"/>
      <c r="N4339" s="24" t="n"/>
      <c r="O4339" s="24" t="n"/>
      <c r="P4339" s="24" t="n"/>
      <c r="Q4339" s="22">
        <f>IF($D4339="","",IF(AND(OR(DANH_MUC!$L$5&lt;&gt;"Có",M4339="Có"),OR(DANH_MUC!$L$6&lt;&gt;"Có",N4339="Có"),OR(DANH_MUC!$L$7&lt;&gt;"Có",O4339="Có"),OR(DANH_MUC!$L$8&lt;&gt;"Có",P4339="Có")),"Có","Không"))</f>
        <v/>
      </c>
      <c r="R4339" s="22">
        <f>IF($D4339="","",IF(COUNTIF($D$2:$D4339,$D4339)&gt;1,"Trùng",""))</f>
        <v/>
      </c>
      <c r="S4339" s="22">
        <f>IF($D4339="","",IF(AND(LEN($D4339)=10,LEFT($D4339,1)="0",ISNUMBER(--$D4339)),"Có","Không"))</f>
        <v/>
      </c>
      <c r="T4339" s="22">
        <f>IF($D4339="","",IF(AND($C4339&lt;&gt;"",$Q4339="Có",$R4339="",$S4339="Có",AND($L4339&lt;&gt;"",OR($L4339&lt;&gt;"Chưa xác định",DANH_MUC!$L$9="Có"))),"Có","Không"))</f>
        <v/>
      </c>
      <c r="U4339" s="22">
        <f>IF(OR($D4339="",$T4339="Có"),"",IF($C4339="","Thiếu họ tên; ","")&amp;IF($S4339&lt;&gt;"Có","SĐT sai định dạng; ","")&amp;IF($R4339="Trùng","Trùng SĐT; ","")&amp;IF($Q4339&lt;&gt;"Có","Thiếu đồng ý bắt buộc; ","")&amp;IF($L4339="","Thiếu/sai Mã REF; ",IF(AND($L4339="Chưa xác định",DANH_MUC!$L$9&lt;&gt;"Có"),"Nguồn chưa xác định; ","")))</f>
        <v/>
      </c>
      <c r="V4339" s="22">
        <f>IF(OR($D4339="",$R4339="Trùng"),"",IF(COUNTIF(ORDERS!$C$2:$C$4995,$D4339)&gt;0,"Có","Không"))</f>
        <v/>
      </c>
      <c r="W4339" s="22">
        <f>IF(OR($D4339="",$R4339="Trùng"),"",COUNTIFS(ORDERS!$C$2:$C$4995,$D4339,ORDERS!$L$2:$L$4995,"Đã chuyển khoản"))</f>
        <v/>
      </c>
      <c r="X4339" s="23">
        <f>IF(OR($D4339="",$R4339="Trùng"),"",SUMIFS(ORDERS!$J$2:$J$4995,ORDERS!$C$2:$C$4995,$D4339,ORDERS!$L$2:$L$4995,"Đã chuyển khoản"))</f>
        <v/>
      </c>
      <c r="Y4339" s="24" t="n"/>
    </row>
    <row r="4340" ht="14.25" customHeight="1" s="40">
      <c r="A4340" s="24" t="n"/>
      <c r="B4340" s="27" t="n"/>
      <c r="C4340" s="24" t="n"/>
      <c r="D4340" s="28" t="n"/>
      <c r="E4340" s="29" t="n"/>
      <c r="F4340" s="24" t="n"/>
      <c r="G4340" s="24" t="n"/>
      <c r="H4340" s="21">
        <f>IF(ISNUMBER($B4340),INT($B4340)-WEEKDAY($B4340,2)+1,"")</f>
        <v/>
      </c>
      <c r="I4340" s="24" t="n"/>
      <c r="J4340" s="22">
        <f t="array" ref="J4340">IF($D4340="","",IF($I4340="","(trống REF)",IFERROR(INDEX(MASTER_SOURCE!$B$2:$B$495,MATCH($I4340,MASTER_SOURCE!$A$2:$A$495,0)),"(REF không có trong MASTER_SOURCE)")))</f>
        <v/>
      </c>
      <c r="K4340" s="22">
        <f t="array" ref="K4340">IF($D4340="","",IFERROR(INDEX(MASTER_SOURCE!$C$2:$C$495,MATCH($I4340,MASTER_SOURCE!$A$2:$A$495,0)),""))</f>
        <v/>
      </c>
      <c r="L4340" s="22">
        <f t="array" ref="L4340">IF($D4340="","",IFERROR(INDEX(MASTER_SOURCE!$D$2:$D$495,MATCH($I4340,MASTER_SOURCE!$A$2:$A$495,0)),""))</f>
        <v/>
      </c>
      <c r="M4340" s="24" t="n"/>
      <c r="N4340" s="24" t="n"/>
      <c r="O4340" s="24" t="n"/>
      <c r="P4340" s="24" t="n"/>
      <c r="Q4340" s="22">
        <f>IF($D4340="","",IF(AND(OR(DANH_MUC!$L$5&lt;&gt;"Có",M4340="Có"),OR(DANH_MUC!$L$6&lt;&gt;"Có",N4340="Có"),OR(DANH_MUC!$L$7&lt;&gt;"Có",O4340="Có"),OR(DANH_MUC!$L$8&lt;&gt;"Có",P4340="Có")),"Có","Không"))</f>
        <v/>
      </c>
      <c r="R4340" s="22">
        <f>IF($D4340="","",IF(COUNTIF($D$2:$D4340,$D4340)&gt;1,"Trùng",""))</f>
        <v/>
      </c>
      <c r="S4340" s="22">
        <f>IF($D4340="","",IF(AND(LEN($D4340)=10,LEFT($D4340,1)="0",ISNUMBER(--$D4340)),"Có","Không"))</f>
        <v/>
      </c>
      <c r="T4340" s="22">
        <f>IF($D4340="","",IF(AND($C4340&lt;&gt;"",$Q4340="Có",$R4340="",$S4340="Có",AND($L4340&lt;&gt;"",OR($L4340&lt;&gt;"Chưa xác định",DANH_MUC!$L$9="Có"))),"Có","Không"))</f>
        <v/>
      </c>
      <c r="U4340" s="22">
        <f>IF(OR($D4340="",$T4340="Có"),"",IF($C4340="","Thiếu họ tên; ","")&amp;IF($S4340&lt;&gt;"Có","SĐT sai định dạng; ","")&amp;IF($R4340="Trùng","Trùng SĐT; ","")&amp;IF($Q4340&lt;&gt;"Có","Thiếu đồng ý bắt buộc; ","")&amp;IF($L4340="","Thiếu/sai Mã REF; ",IF(AND($L4340="Chưa xác định",DANH_MUC!$L$9&lt;&gt;"Có"),"Nguồn chưa xác định; ","")))</f>
        <v/>
      </c>
      <c r="V4340" s="22">
        <f>IF(OR($D4340="",$R4340="Trùng"),"",IF(COUNTIF(ORDERS!$C$2:$C$4995,$D4340)&gt;0,"Có","Không"))</f>
        <v/>
      </c>
      <c r="W4340" s="22">
        <f>IF(OR($D4340="",$R4340="Trùng"),"",COUNTIFS(ORDERS!$C$2:$C$4995,$D4340,ORDERS!$L$2:$L$4995,"Đã chuyển khoản"))</f>
        <v/>
      </c>
      <c r="X4340" s="23">
        <f>IF(OR($D4340="",$R4340="Trùng"),"",SUMIFS(ORDERS!$J$2:$J$4995,ORDERS!$C$2:$C$4995,$D4340,ORDERS!$L$2:$L$4995,"Đã chuyển khoản"))</f>
        <v/>
      </c>
      <c r="Y4340" s="24" t="n"/>
    </row>
    <row r="4341" ht="14.25" customHeight="1" s="40">
      <c r="A4341" s="24" t="n"/>
      <c r="B4341" s="27" t="n"/>
      <c r="C4341" s="24" t="n"/>
      <c r="D4341" s="28" t="n"/>
      <c r="E4341" s="29" t="n"/>
      <c r="F4341" s="24" t="n"/>
      <c r="G4341" s="24" t="n"/>
      <c r="H4341" s="21">
        <f>IF(ISNUMBER($B4341),INT($B4341)-WEEKDAY($B4341,2)+1,"")</f>
        <v/>
      </c>
      <c r="I4341" s="24" t="n"/>
      <c r="J4341" s="22">
        <f t="array" ref="J4341">IF($D4341="","",IF($I4341="","(trống REF)",IFERROR(INDEX(MASTER_SOURCE!$B$2:$B$495,MATCH($I4341,MASTER_SOURCE!$A$2:$A$495,0)),"(REF không có trong MASTER_SOURCE)")))</f>
        <v/>
      </c>
      <c r="K4341" s="22">
        <f t="array" ref="K4341">IF($D4341="","",IFERROR(INDEX(MASTER_SOURCE!$C$2:$C$495,MATCH($I4341,MASTER_SOURCE!$A$2:$A$495,0)),""))</f>
        <v/>
      </c>
      <c r="L4341" s="22">
        <f t="array" ref="L4341">IF($D4341="","",IFERROR(INDEX(MASTER_SOURCE!$D$2:$D$495,MATCH($I4341,MASTER_SOURCE!$A$2:$A$495,0)),""))</f>
        <v/>
      </c>
      <c r="M4341" s="24" t="n"/>
      <c r="N4341" s="24" t="n"/>
      <c r="O4341" s="24" t="n"/>
      <c r="P4341" s="24" t="n"/>
      <c r="Q4341" s="22">
        <f>IF($D4341="","",IF(AND(OR(DANH_MUC!$L$5&lt;&gt;"Có",M4341="Có"),OR(DANH_MUC!$L$6&lt;&gt;"Có",N4341="Có"),OR(DANH_MUC!$L$7&lt;&gt;"Có",O4341="Có"),OR(DANH_MUC!$L$8&lt;&gt;"Có",P4341="Có")),"Có","Không"))</f>
        <v/>
      </c>
      <c r="R4341" s="22">
        <f>IF($D4341="","",IF(COUNTIF($D$2:$D4341,$D4341)&gt;1,"Trùng",""))</f>
        <v/>
      </c>
      <c r="S4341" s="22">
        <f>IF($D4341="","",IF(AND(LEN($D4341)=10,LEFT($D4341,1)="0",ISNUMBER(--$D4341)),"Có","Không"))</f>
        <v/>
      </c>
      <c r="T4341" s="22">
        <f>IF($D4341="","",IF(AND($C4341&lt;&gt;"",$Q4341="Có",$R4341="",$S4341="Có",AND($L4341&lt;&gt;"",OR($L4341&lt;&gt;"Chưa xác định",DANH_MUC!$L$9="Có"))),"Có","Không"))</f>
        <v/>
      </c>
      <c r="U4341" s="22">
        <f>IF(OR($D4341="",$T4341="Có"),"",IF($C4341="","Thiếu họ tên; ","")&amp;IF($S4341&lt;&gt;"Có","SĐT sai định dạng; ","")&amp;IF($R4341="Trùng","Trùng SĐT; ","")&amp;IF($Q4341&lt;&gt;"Có","Thiếu đồng ý bắt buộc; ","")&amp;IF($L4341="","Thiếu/sai Mã REF; ",IF(AND($L4341="Chưa xác định",DANH_MUC!$L$9&lt;&gt;"Có"),"Nguồn chưa xác định; ","")))</f>
        <v/>
      </c>
      <c r="V4341" s="22">
        <f>IF(OR($D4341="",$R4341="Trùng"),"",IF(COUNTIF(ORDERS!$C$2:$C$4995,$D4341)&gt;0,"Có","Không"))</f>
        <v/>
      </c>
      <c r="W4341" s="22">
        <f>IF(OR($D4341="",$R4341="Trùng"),"",COUNTIFS(ORDERS!$C$2:$C$4995,$D4341,ORDERS!$L$2:$L$4995,"Đã chuyển khoản"))</f>
        <v/>
      </c>
      <c r="X4341" s="23">
        <f>IF(OR($D4341="",$R4341="Trùng"),"",SUMIFS(ORDERS!$J$2:$J$4995,ORDERS!$C$2:$C$4995,$D4341,ORDERS!$L$2:$L$4995,"Đã chuyển khoản"))</f>
        <v/>
      </c>
      <c r="Y4341" s="24" t="n"/>
    </row>
    <row r="4342" ht="14.25" customHeight="1" s="40">
      <c r="A4342" s="24" t="n"/>
      <c r="B4342" s="27" t="n"/>
      <c r="C4342" s="24" t="n"/>
      <c r="D4342" s="28" t="n"/>
      <c r="E4342" s="29" t="n"/>
      <c r="F4342" s="24" t="n"/>
      <c r="G4342" s="24" t="n"/>
      <c r="H4342" s="21">
        <f>IF(ISNUMBER($B4342),INT($B4342)-WEEKDAY($B4342,2)+1,"")</f>
        <v/>
      </c>
      <c r="I4342" s="24" t="n"/>
      <c r="J4342" s="22">
        <f t="array" ref="J4342">IF($D4342="","",IF($I4342="","(trống REF)",IFERROR(INDEX(MASTER_SOURCE!$B$2:$B$495,MATCH($I4342,MASTER_SOURCE!$A$2:$A$495,0)),"(REF không có trong MASTER_SOURCE)")))</f>
        <v/>
      </c>
      <c r="K4342" s="22">
        <f t="array" ref="K4342">IF($D4342="","",IFERROR(INDEX(MASTER_SOURCE!$C$2:$C$495,MATCH($I4342,MASTER_SOURCE!$A$2:$A$495,0)),""))</f>
        <v/>
      </c>
      <c r="L4342" s="22">
        <f t="array" ref="L4342">IF($D4342="","",IFERROR(INDEX(MASTER_SOURCE!$D$2:$D$495,MATCH($I4342,MASTER_SOURCE!$A$2:$A$495,0)),""))</f>
        <v/>
      </c>
      <c r="M4342" s="24" t="n"/>
      <c r="N4342" s="24" t="n"/>
      <c r="O4342" s="24" t="n"/>
      <c r="P4342" s="24" t="n"/>
      <c r="Q4342" s="22">
        <f>IF($D4342="","",IF(AND(OR(DANH_MUC!$L$5&lt;&gt;"Có",M4342="Có"),OR(DANH_MUC!$L$6&lt;&gt;"Có",N4342="Có"),OR(DANH_MUC!$L$7&lt;&gt;"Có",O4342="Có"),OR(DANH_MUC!$L$8&lt;&gt;"Có",P4342="Có")),"Có","Không"))</f>
        <v/>
      </c>
      <c r="R4342" s="22">
        <f>IF($D4342="","",IF(COUNTIF($D$2:$D4342,$D4342)&gt;1,"Trùng",""))</f>
        <v/>
      </c>
      <c r="S4342" s="22">
        <f>IF($D4342="","",IF(AND(LEN($D4342)=10,LEFT($D4342,1)="0",ISNUMBER(--$D4342)),"Có","Không"))</f>
        <v/>
      </c>
      <c r="T4342" s="22">
        <f>IF($D4342="","",IF(AND($C4342&lt;&gt;"",$Q4342="Có",$R4342="",$S4342="Có",AND($L4342&lt;&gt;"",OR($L4342&lt;&gt;"Chưa xác định",DANH_MUC!$L$9="Có"))),"Có","Không"))</f>
        <v/>
      </c>
      <c r="U4342" s="22">
        <f>IF(OR($D4342="",$T4342="Có"),"",IF($C4342="","Thiếu họ tên; ","")&amp;IF($S4342&lt;&gt;"Có","SĐT sai định dạng; ","")&amp;IF($R4342="Trùng","Trùng SĐT; ","")&amp;IF($Q4342&lt;&gt;"Có","Thiếu đồng ý bắt buộc; ","")&amp;IF($L4342="","Thiếu/sai Mã REF; ",IF(AND($L4342="Chưa xác định",DANH_MUC!$L$9&lt;&gt;"Có"),"Nguồn chưa xác định; ","")))</f>
        <v/>
      </c>
      <c r="V4342" s="22">
        <f>IF(OR($D4342="",$R4342="Trùng"),"",IF(COUNTIF(ORDERS!$C$2:$C$4995,$D4342)&gt;0,"Có","Không"))</f>
        <v/>
      </c>
      <c r="W4342" s="22">
        <f>IF(OR($D4342="",$R4342="Trùng"),"",COUNTIFS(ORDERS!$C$2:$C$4995,$D4342,ORDERS!$L$2:$L$4995,"Đã chuyển khoản"))</f>
        <v/>
      </c>
      <c r="X4342" s="23">
        <f>IF(OR($D4342="",$R4342="Trùng"),"",SUMIFS(ORDERS!$J$2:$J$4995,ORDERS!$C$2:$C$4995,$D4342,ORDERS!$L$2:$L$4995,"Đã chuyển khoản"))</f>
        <v/>
      </c>
      <c r="Y4342" s="24" t="n"/>
    </row>
    <row r="4343" ht="14.25" customHeight="1" s="40">
      <c r="A4343" s="24" t="n"/>
      <c r="B4343" s="27" t="n"/>
      <c r="C4343" s="24" t="n"/>
      <c r="D4343" s="28" t="n"/>
      <c r="E4343" s="29" t="n"/>
      <c r="F4343" s="24" t="n"/>
      <c r="G4343" s="24" t="n"/>
      <c r="H4343" s="21">
        <f>IF(ISNUMBER($B4343),INT($B4343)-WEEKDAY($B4343,2)+1,"")</f>
        <v/>
      </c>
      <c r="I4343" s="24" t="n"/>
      <c r="J4343" s="22">
        <f t="array" ref="J4343">IF($D4343="","",IF($I4343="","(trống REF)",IFERROR(INDEX(MASTER_SOURCE!$B$2:$B$495,MATCH($I4343,MASTER_SOURCE!$A$2:$A$495,0)),"(REF không có trong MASTER_SOURCE)")))</f>
        <v/>
      </c>
      <c r="K4343" s="22">
        <f t="array" ref="K4343">IF($D4343="","",IFERROR(INDEX(MASTER_SOURCE!$C$2:$C$495,MATCH($I4343,MASTER_SOURCE!$A$2:$A$495,0)),""))</f>
        <v/>
      </c>
      <c r="L4343" s="22">
        <f t="array" ref="L4343">IF($D4343="","",IFERROR(INDEX(MASTER_SOURCE!$D$2:$D$495,MATCH($I4343,MASTER_SOURCE!$A$2:$A$495,0)),""))</f>
        <v/>
      </c>
      <c r="M4343" s="24" t="n"/>
      <c r="N4343" s="24" t="n"/>
      <c r="O4343" s="24" t="n"/>
      <c r="P4343" s="24" t="n"/>
      <c r="Q4343" s="22">
        <f>IF($D4343="","",IF(AND(OR(DANH_MUC!$L$5&lt;&gt;"Có",M4343="Có"),OR(DANH_MUC!$L$6&lt;&gt;"Có",N4343="Có"),OR(DANH_MUC!$L$7&lt;&gt;"Có",O4343="Có"),OR(DANH_MUC!$L$8&lt;&gt;"Có",P4343="Có")),"Có","Không"))</f>
        <v/>
      </c>
      <c r="R4343" s="22">
        <f>IF($D4343="","",IF(COUNTIF($D$2:$D4343,$D4343)&gt;1,"Trùng",""))</f>
        <v/>
      </c>
      <c r="S4343" s="22">
        <f>IF($D4343="","",IF(AND(LEN($D4343)=10,LEFT($D4343,1)="0",ISNUMBER(--$D4343)),"Có","Không"))</f>
        <v/>
      </c>
      <c r="T4343" s="22">
        <f>IF($D4343="","",IF(AND($C4343&lt;&gt;"",$Q4343="Có",$R4343="",$S4343="Có",AND($L4343&lt;&gt;"",OR($L4343&lt;&gt;"Chưa xác định",DANH_MUC!$L$9="Có"))),"Có","Không"))</f>
        <v/>
      </c>
      <c r="U4343" s="22">
        <f>IF(OR($D4343="",$T4343="Có"),"",IF($C4343="","Thiếu họ tên; ","")&amp;IF($S4343&lt;&gt;"Có","SĐT sai định dạng; ","")&amp;IF($R4343="Trùng","Trùng SĐT; ","")&amp;IF($Q4343&lt;&gt;"Có","Thiếu đồng ý bắt buộc; ","")&amp;IF($L4343="","Thiếu/sai Mã REF; ",IF(AND($L4343="Chưa xác định",DANH_MUC!$L$9&lt;&gt;"Có"),"Nguồn chưa xác định; ","")))</f>
        <v/>
      </c>
      <c r="V4343" s="22">
        <f>IF(OR($D4343="",$R4343="Trùng"),"",IF(COUNTIF(ORDERS!$C$2:$C$4995,$D4343)&gt;0,"Có","Không"))</f>
        <v/>
      </c>
      <c r="W4343" s="22">
        <f>IF(OR($D4343="",$R4343="Trùng"),"",COUNTIFS(ORDERS!$C$2:$C$4995,$D4343,ORDERS!$L$2:$L$4995,"Đã chuyển khoản"))</f>
        <v/>
      </c>
      <c r="X4343" s="23">
        <f>IF(OR($D4343="",$R4343="Trùng"),"",SUMIFS(ORDERS!$J$2:$J$4995,ORDERS!$C$2:$C$4995,$D4343,ORDERS!$L$2:$L$4995,"Đã chuyển khoản"))</f>
        <v/>
      </c>
      <c r="Y4343" s="24" t="n"/>
    </row>
    <row r="4344" ht="14.25" customHeight="1" s="40">
      <c r="A4344" s="24" t="n"/>
      <c r="B4344" s="27" t="n"/>
      <c r="C4344" s="24" t="n"/>
      <c r="D4344" s="28" t="n"/>
      <c r="E4344" s="29" t="n"/>
      <c r="F4344" s="24" t="n"/>
      <c r="G4344" s="24" t="n"/>
      <c r="H4344" s="21">
        <f>IF(ISNUMBER($B4344),INT($B4344)-WEEKDAY($B4344,2)+1,"")</f>
        <v/>
      </c>
      <c r="I4344" s="24" t="n"/>
      <c r="J4344" s="22">
        <f t="array" ref="J4344">IF($D4344="","",IF($I4344="","(trống REF)",IFERROR(INDEX(MASTER_SOURCE!$B$2:$B$495,MATCH($I4344,MASTER_SOURCE!$A$2:$A$495,0)),"(REF không có trong MASTER_SOURCE)")))</f>
        <v/>
      </c>
      <c r="K4344" s="22">
        <f t="array" ref="K4344">IF($D4344="","",IFERROR(INDEX(MASTER_SOURCE!$C$2:$C$495,MATCH($I4344,MASTER_SOURCE!$A$2:$A$495,0)),""))</f>
        <v/>
      </c>
      <c r="L4344" s="22">
        <f t="array" ref="L4344">IF($D4344="","",IFERROR(INDEX(MASTER_SOURCE!$D$2:$D$495,MATCH($I4344,MASTER_SOURCE!$A$2:$A$495,0)),""))</f>
        <v/>
      </c>
      <c r="M4344" s="24" t="n"/>
      <c r="N4344" s="24" t="n"/>
      <c r="O4344" s="24" t="n"/>
      <c r="P4344" s="24" t="n"/>
      <c r="Q4344" s="22">
        <f>IF($D4344="","",IF(AND(OR(DANH_MUC!$L$5&lt;&gt;"Có",M4344="Có"),OR(DANH_MUC!$L$6&lt;&gt;"Có",N4344="Có"),OR(DANH_MUC!$L$7&lt;&gt;"Có",O4344="Có"),OR(DANH_MUC!$L$8&lt;&gt;"Có",P4344="Có")),"Có","Không"))</f>
        <v/>
      </c>
      <c r="R4344" s="22">
        <f>IF($D4344="","",IF(COUNTIF($D$2:$D4344,$D4344)&gt;1,"Trùng",""))</f>
        <v/>
      </c>
      <c r="S4344" s="22">
        <f>IF($D4344="","",IF(AND(LEN($D4344)=10,LEFT($D4344,1)="0",ISNUMBER(--$D4344)),"Có","Không"))</f>
        <v/>
      </c>
      <c r="T4344" s="22">
        <f>IF($D4344="","",IF(AND($C4344&lt;&gt;"",$Q4344="Có",$R4344="",$S4344="Có",AND($L4344&lt;&gt;"",OR($L4344&lt;&gt;"Chưa xác định",DANH_MUC!$L$9="Có"))),"Có","Không"))</f>
        <v/>
      </c>
      <c r="U4344" s="22">
        <f>IF(OR($D4344="",$T4344="Có"),"",IF($C4344="","Thiếu họ tên; ","")&amp;IF($S4344&lt;&gt;"Có","SĐT sai định dạng; ","")&amp;IF($R4344="Trùng","Trùng SĐT; ","")&amp;IF($Q4344&lt;&gt;"Có","Thiếu đồng ý bắt buộc; ","")&amp;IF($L4344="","Thiếu/sai Mã REF; ",IF(AND($L4344="Chưa xác định",DANH_MUC!$L$9&lt;&gt;"Có"),"Nguồn chưa xác định; ","")))</f>
        <v/>
      </c>
      <c r="V4344" s="22">
        <f>IF(OR($D4344="",$R4344="Trùng"),"",IF(COUNTIF(ORDERS!$C$2:$C$4995,$D4344)&gt;0,"Có","Không"))</f>
        <v/>
      </c>
      <c r="W4344" s="22">
        <f>IF(OR($D4344="",$R4344="Trùng"),"",COUNTIFS(ORDERS!$C$2:$C$4995,$D4344,ORDERS!$L$2:$L$4995,"Đã chuyển khoản"))</f>
        <v/>
      </c>
      <c r="X4344" s="23">
        <f>IF(OR($D4344="",$R4344="Trùng"),"",SUMIFS(ORDERS!$J$2:$J$4995,ORDERS!$C$2:$C$4995,$D4344,ORDERS!$L$2:$L$4995,"Đã chuyển khoản"))</f>
        <v/>
      </c>
      <c r="Y4344" s="24" t="n"/>
    </row>
    <row r="4345" ht="14.25" customHeight="1" s="40">
      <c r="A4345" s="24" t="n"/>
      <c r="B4345" s="27" t="n"/>
      <c r="C4345" s="24" t="n"/>
      <c r="D4345" s="28" t="n"/>
      <c r="E4345" s="29" t="n"/>
      <c r="F4345" s="24" t="n"/>
      <c r="G4345" s="24" t="n"/>
      <c r="H4345" s="21">
        <f>IF(ISNUMBER($B4345),INT($B4345)-WEEKDAY($B4345,2)+1,"")</f>
        <v/>
      </c>
      <c r="I4345" s="24" t="n"/>
      <c r="J4345" s="22">
        <f t="array" ref="J4345">IF($D4345="","",IF($I4345="","(trống REF)",IFERROR(INDEX(MASTER_SOURCE!$B$2:$B$495,MATCH($I4345,MASTER_SOURCE!$A$2:$A$495,0)),"(REF không có trong MASTER_SOURCE)")))</f>
        <v/>
      </c>
      <c r="K4345" s="22">
        <f t="array" ref="K4345">IF($D4345="","",IFERROR(INDEX(MASTER_SOURCE!$C$2:$C$495,MATCH($I4345,MASTER_SOURCE!$A$2:$A$495,0)),""))</f>
        <v/>
      </c>
      <c r="L4345" s="22">
        <f t="array" ref="L4345">IF($D4345="","",IFERROR(INDEX(MASTER_SOURCE!$D$2:$D$495,MATCH($I4345,MASTER_SOURCE!$A$2:$A$495,0)),""))</f>
        <v/>
      </c>
      <c r="M4345" s="24" t="n"/>
      <c r="N4345" s="24" t="n"/>
      <c r="O4345" s="24" t="n"/>
      <c r="P4345" s="24" t="n"/>
      <c r="Q4345" s="22">
        <f>IF($D4345="","",IF(AND(OR(DANH_MUC!$L$5&lt;&gt;"Có",M4345="Có"),OR(DANH_MUC!$L$6&lt;&gt;"Có",N4345="Có"),OR(DANH_MUC!$L$7&lt;&gt;"Có",O4345="Có"),OR(DANH_MUC!$L$8&lt;&gt;"Có",P4345="Có")),"Có","Không"))</f>
        <v/>
      </c>
      <c r="R4345" s="22">
        <f>IF($D4345="","",IF(COUNTIF($D$2:$D4345,$D4345)&gt;1,"Trùng",""))</f>
        <v/>
      </c>
      <c r="S4345" s="22">
        <f>IF($D4345="","",IF(AND(LEN($D4345)=10,LEFT($D4345,1)="0",ISNUMBER(--$D4345)),"Có","Không"))</f>
        <v/>
      </c>
      <c r="T4345" s="22">
        <f>IF($D4345="","",IF(AND($C4345&lt;&gt;"",$Q4345="Có",$R4345="",$S4345="Có",AND($L4345&lt;&gt;"",OR($L4345&lt;&gt;"Chưa xác định",DANH_MUC!$L$9="Có"))),"Có","Không"))</f>
        <v/>
      </c>
      <c r="U4345" s="22">
        <f>IF(OR($D4345="",$T4345="Có"),"",IF($C4345="","Thiếu họ tên; ","")&amp;IF($S4345&lt;&gt;"Có","SĐT sai định dạng; ","")&amp;IF($R4345="Trùng","Trùng SĐT; ","")&amp;IF($Q4345&lt;&gt;"Có","Thiếu đồng ý bắt buộc; ","")&amp;IF($L4345="","Thiếu/sai Mã REF; ",IF(AND($L4345="Chưa xác định",DANH_MUC!$L$9&lt;&gt;"Có"),"Nguồn chưa xác định; ","")))</f>
        <v/>
      </c>
      <c r="V4345" s="22">
        <f>IF(OR($D4345="",$R4345="Trùng"),"",IF(COUNTIF(ORDERS!$C$2:$C$4995,$D4345)&gt;0,"Có","Không"))</f>
        <v/>
      </c>
      <c r="W4345" s="22">
        <f>IF(OR($D4345="",$R4345="Trùng"),"",COUNTIFS(ORDERS!$C$2:$C$4995,$D4345,ORDERS!$L$2:$L$4995,"Đã chuyển khoản"))</f>
        <v/>
      </c>
      <c r="X4345" s="23">
        <f>IF(OR($D4345="",$R4345="Trùng"),"",SUMIFS(ORDERS!$J$2:$J$4995,ORDERS!$C$2:$C$4995,$D4345,ORDERS!$L$2:$L$4995,"Đã chuyển khoản"))</f>
        <v/>
      </c>
      <c r="Y4345" s="24" t="n"/>
    </row>
    <row r="4346" ht="14.25" customHeight="1" s="40">
      <c r="A4346" s="24" t="n"/>
      <c r="B4346" s="27" t="n"/>
      <c r="C4346" s="24" t="n"/>
      <c r="D4346" s="28" t="n"/>
      <c r="E4346" s="29" t="n"/>
      <c r="F4346" s="24" t="n"/>
      <c r="G4346" s="24" t="n"/>
      <c r="H4346" s="21">
        <f>IF(ISNUMBER($B4346),INT($B4346)-WEEKDAY($B4346,2)+1,"")</f>
        <v/>
      </c>
      <c r="I4346" s="24" t="n"/>
      <c r="J4346" s="22">
        <f t="array" ref="J4346">IF($D4346="","",IF($I4346="","(trống REF)",IFERROR(INDEX(MASTER_SOURCE!$B$2:$B$495,MATCH($I4346,MASTER_SOURCE!$A$2:$A$495,0)),"(REF không có trong MASTER_SOURCE)")))</f>
        <v/>
      </c>
      <c r="K4346" s="22">
        <f t="array" ref="K4346">IF($D4346="","",IFERROR(INDEX(MASTER_SOURCE!$C$2:$C$495,MATCH($I4346,MASTER_SOURCE!$A$2:$A$495,0)),""))</f>
        <v/>
      </c>
      <c r="L4346" s="22">
        <f t="array" ref="L4346">IF($D4346="","",IFERROR(INDEX(MASTER_SOURCE!$D$2:$D$495,MATCH($I4346,MASTER_SOURCE!$A$2:$A$495,0)),""))</f>
        <v/>
      </c>
      <c r="M4346" s="24" t="n"/>
      <c r="N4346" s="24" t="n"/>
      <c r="O4346" s="24" t="n"/>
      <c r="P4346" s="24" t="n"/>
      <c r="Q4346" s="22">
        <f>IF($D4346="","",IF(AND(OR(DANH_MUC!$L$5&lt;&gt;"Có",M4346="Có"),OR(DANH_MUC!$L$6&lt;&gt;"Có",N4346="Có"),OR(DANH_MUC!$L$7&lt;&gt;"Có",O4346="Có"),OR(DANH_MUC!$L$8&lt;&gt;"Có",P4346="Có")),"Có","Không"))</f>
        <v/>
      </c>
      <c r="R4346" s="22">
        <f>IF($D4346="","",IF(COUNTIF($D$2:$D4346,$D4346)&gt;1,"Trùng",""))</f>
        <v/>
      </c>
      <c r="S4346" s="22">
        <f>IF($D4346="","",IF(AND(LEN($D4346)=10,LEFT($D4346,1)="0",ISNUMBER(--$D4346)),"Có","Không"))</f>
        <v/>
      </c>
      <c r="T4346" s="22">
        <f>IF($D4346="","",IF(AND($C4346&lt;&gt;"",$Q4346="Có",$R4346="",$S4346="Có",AND($L4346&lt;&gt;"",OR($L4346&lt;&gt;"Chưa xác định",DANH_MUC!$L$9="Có"))),"Có","Không"))</f>
        <v/>
      </c>
      <c r="U4346" s="22">
        <f>IF(OR($D4346="",$T4346="Có"),"",IF($C4346="","Thiếu họ tên; ","")&amp;IF($S4346&lt;&gt;"Có","SĐT sai định dạng; ","")&amp;IF($R4346="Trùng","Trùng SĐT; ","")&amp;IF($Q4346&lt;&gt;"Có","Thiếu đồng ý bắt buộc; ","")&amp;IF($L4346="","Thiếu/sai Mã REF; ",IF(AND($L4346="Chưa xác định",DANH_MUC!$L$9&lt;&gt;"Có"),"Nguồn chưa xác định; ","")))</f>
        <v/>
      </c>
      <c r="V4346" s="22">
        <f>IF(OR($D4346="",$R4346="Trùng"),"",IF(COUNTIF(ORDERS!$C$2:$C$4995,$D4346)&gt;0,"Có","Không"))</f>
        <v/>
      </c>
      <c r="W4346" s="22">
        <f>IF(OR($D4346="",$R4346="Trùng"),"",COUNTIFS(ORDERS!$C$2:$C$4995,$D4346,ORDERS!$L$2:$L$4995,"Đã chuyển khoản"))</f>
        <v/>
      </c>
      <c r="X4346" s="23">
        <f>IF(OR($D4346="",$R4346="Trùng"),"",SUMIFS(ORDERS!$J$2:$J$4995,ORDERS!$C$2:$C$4995,$D4346,ORDERS!$L$2:$L$4995,"Đã chuyển khoản"))</f>
        <v/>
      </c>
      <c r="Y4346" s="24" t="n"/>
    </row>
    <row r="4347" ht="14.25" customHeight="1" s="40">
      <c r="A4347" s="24" t="n"/>
      <c r="B4347" s="27" t="n"/>
      <c r="C4347" s="24" t="n"/>
      <c r="D4347" s="28" t="n"/>
      <c r="E4347" s="29" t="n"/>
      <c r="F4347" s="24" t="n"/>
      <c r="G4347" s="24" t="n"/>
      <c r="H4347" s="21">
        <f>IF(ISNUMBER($B4347),INT($B4347)-WEEKDAY($B4347,2)+1,"")</f>
        <v/>
      </c>
      <c r="I4347" s="24" t="n"/>
      <c r="J4347" s="22">
        <f t="array" ref="J4347">IF($D4347="","",IF($I4347="","(trống REF)",IFERROR(INDEX(MASTER_SOURCE!$B$2:$B$495,MATCH($I4347,MASTER_SOURCE!$A$2:$A$495,0)),"(REF không có trong MASTER_SOURCE)")))</f>
        <v/>
      </c>
      <c r="K4347" s="22">
        <f t="array" ref="K4347">IF($D4347="","",IFERROR(INDEX(MASTER_SOURCE!$C$2:$C$495,MATCH($I4347,MASTER_SOURCE!$A$2:$A$495,0)),""))</f>
        <v/>
      </c>
      <c r="L4347" s="22">
        <f t="array" ref="L4347">IF($D4347="","",IFERROR(INDEX(MASTER_SOURCE!$D$2:$D$495,MATCH($I4347,MASTER_SOURCE!$A$2:$A$495,0)),""))</f>
        <v/>
      </c>
      <c r="M4347" s="24" t="n"/>
      <c r="N4347" s="24" t="n"/>
      <c r="O4347" s="24" t="n"/>
      <c r="P4347" s="24" t="n"/>
      <c r="Q4347" s="22">
        <f>IF($D4347="","",IF(AND(OR(DANH_MUC!$L$5&lt;&gt;"Có",M4347="Có"),OR(DANH_MUC!$L$6&lt;&gt;"Có",N4347="Có"),OR(DANH_MUC!$L$7&lt;&gt;"Có",O4347="Có"),OR(DANH_MUC!$L$8&lt;&gt;"Có",P4347="Có")),"Có","Không"))</f>
        <v/>
      </c>
      <c r="R4347" s="22">
        <f>IF($D4347="","",IF(COUNTIF($D$2:$D4347,$D4347)&gt;1,"Trùng",""))</f>
        <v/>
      </c>
      <c r="S4347" s="22">
        <f>IF($D4347="","",IF(AND(LEN($D4347)=10,LEFT($D4347,1)="0",ISNUMBER(--$D4347)),"Có","Không"))</f>
        <v/>
      </c>
      <c r="T4347" s="22">
        <f>IF($D4347="","",IF(AND($C4347&lt;&gt;"",$Q4347="Có",$R4347="",$S4347="Có",AND($L4347&lt;&gt;"",OR($L4347&lt;&gt;"Chưa xác định",DANH_MUC!$L$9="Có"))),"Có","Không"))</f>
        <v/>
      </c>
      <c r="U4347" s="22">
        <f>IF(OR($D4347="",$T4347="Có"),"",IF($C4347="","Thiếu họ tên; ","")&amp;IF($S4347&lt;&gt;"Có","SĐT sai định dạng; ","")&amp;IF($R4347="Trùng","Trùng SĐT; ","")&amp;IF($Q4347&lt;&gt;"Có","Thiếu đồng ý bắt buộc; ","")&amp;IF($L4347="","Thiếu/sai Mã REF; ",IF(AND($L4347="Chưa xác định",DANH_MUC!$L$9&lt;&gt;"Có"),"Nguồn chưa xác định; ","")))</f>
        <v/>
      </c>
      <c r="V4347" s="22">
        <f>IF(OR($D4347="",$R4347="Trùng"),"",IF(COUNTIF(ORDERS!$C$2:$C$4995,$D4347)&gt;0,"Có","Không"))</f>
        <v/>
      </c>
      <c r="W4347" s="22">
        <f>IF(OR($D4347="",$R4347="Trùng"),"",COUNTIFS(ORDERS!$C$2:$C$4995,$D4347,ORDERS!$L$2:$L$4995,"Đã chuyển khoản"))</f>
        <v/>
      </c>
      <c r="X4347" s="23">
        <f>IF(OR($D4347="",$R4347="Trùng"),"",SUMIFS(ORDERS!$J$2:$J$4995,ORDERS!$C$2:$C$4995,$D4347,ORDERS!$L$2:$L$4995,"Đã chuyển khoản"))</f>
        <v/>
      </c>
      <c r="Y4347" s="24" t="n"/>
    </row>
    <row r="4348" ht="14.25" customHeight="1" s="40">
      <c r="A4348" s="24" t="n"/>
      <c r="B4348" s="27" t="n"/>
      <c r="C4348" s="24" t="n"/>
      <c r="D4348" s="28" t="n"/>
      <c r="E4348" s="29" t="n"/>
      <c r="F4348" s="24" t="n"/>
      <c r="G4348" s="24" t="n"/>
      <c r="H4348" s="21">
        <f>IF(ISNUMBER($B4348),INT($B4348)-WEEKDAY($B4348,2)+1,"")</f>
        <v/>
      </c>
      <c r="I4348" s="24" t="n"/>
      <c r="J4348" s="22">
        <f t="array" ref="J4348">IF($D4348="","",IF($I4348="","(trống REF)",IFERROR(INDEX(MASTER_SOURCE!$B$2:$B$495,MATCH($I4348,MASTER_SOURCE!$A$2:$A$495,0)),"(REF không có trong MASTER_SOURCE)")))</f>
        <v/>
      </c>
      <c r="K4348" s="22">
        <f t="array" ref="K4348">IF($D4348="","",IFERROR(INDEX(MASTER_SOURCE!$C$2:$C$495,MATCH($I4348,MASTER_SOURCE!$A$2:$A$495,0)),""))</f>
        <v/>
      </c>
      <c r="L4348" s="22">
        <f t="array" ref="L4348">IF($D4348="","",IFERROR(INDEX(MASTER_SOURCE!$D$2:$D$495,MATCH($I4348,MASTER_SOURCE!$A$2:$A$495,0)),""))</f>
        <v/>
      </c>
      <c r="M4348" s="24" t="n"/>
      <c r="N4348" s="24" t="n"/>
      <c r="O4348" s="24" t="n"/>
      <c r="P4348" s="24" t="n"/>
      <c r="Q4348" s="22">
        <f>IF($D4348="","",IF(AND(OR(DANH_MUC!$L$5&lt;&gt;"Có",M4348="Có"),OR(DANH_MUC!$L$6&lt;&gt;"Có",N4348="Có"),OR(DANH_MUC!$L$7&lt;&gt;"Có",O4348="Có"),OR(DANH_MUC!$L$8&lt;&gt;"Có",P4348="Có")),"Có","Không"))</f>
        <v/>
      </c>
      <c r="R4348" s="22">
        <f>IF($D4348="","",IF(COUNTIF($D$2:$D4348,$D4348)&gt;1,"Trùng",""))</f>
        <v/>
      </c>
      <c r="S4348" s="22">
        <f>IF($D4348="","",IF(AND(LEN($D4348)=10,LEFT($D4348,1)="0",ISNUMBER(--$D4348)),"Có","Không"))</f>
        <v/>
      </c>
      <c r="T4348" s="22">
        <f>IF($D4348="","",IF(AND($C4348&lt;&gt;"",$Q4348="Có",$R4348="",$S4348="Có",AND($L4348&lt;&gt;"",OR($L4348&lt;&gt;"Chưa xác định",DANH_MUC!$L$9="Có"))),"Có","Không"))</f>
        <v/>
      </c>
      <c r="U4348" s="22">
        <f>IF(OR($D4348="",$T4348="Có"),"",IF($C4348="","Thiếu họ tên; ","")&amp;IF($S4348&lt;&gt;"Có","SĐT sai định dạng; ","")&amp;IF($R4348="Trùng","Trùng SĐT; ","")&amp;IF($Q4348&lt;&gt;"Có","Thiếu đồng ý bắt buộc; ","")&amp;IF($L4348="","Thiếu/sai Mã REF; ",IF(AND($L4348="Chưa xác định",DANH_MUC!$L$9&lt;&gt;"Có"),"Nguồn chưa xác định; ","")))</f>
        <v/>
      </c>
      <c r="V4348" s="22">
        <f>IF(OR($D4348="",$R4348="Trùng"),"",IF(COUNTIF(ORDERS!$C$2:$C$4995,$D4348)&gt;0,"Có","Không"))</f>
        <v/>
      </c>
      <c r="W4348" s="22">
        <f>IF(OR($D4348="",$R4348="Trùng"),"",COUNTIFS(ORDERS!$C$2:$C$4995,$D4348,ORDERS!$L$2:$L$4995,"Đã chuyển khoản"))</f>
        <v/>
      </c>
      <c r="X4348" s="23">
        <f>IF(OR($D4348="",$R4348="Trùng"),"",SUMIFS(ORDERS!$J$2:$J$4995,ORDERS!$C$2:$C$4995,$D4348,ORDERS!$L$2:$L$4995,"Đã chuyển khoản"))</f>
        <v/>
      </c>
      <c r="Y4348" s="24" t="n"/>
    </row>
    <row r="4349" ht="14.25" customHeight="1" s="40">
      <c r="A4349" s="24" t="n"/>
      <c r="B4349" s="27" t="n"/>
      <c r="C4349" s="24" t="n"/>
      <c r="D4349" s="28" t="n"/>
      <c r="E4349" s="29" t="n"/>
      <c r="F4349" s="24" t="n"/>
      <c r="G4349" s="24" t="n"/>
      <c r="H4349" s="21">
        <f>IF(ISNUMBER($B4349),INT($B4349)-WEEKDAY($B4349,2)+1,"")</f>
        <v/>
      </c>
      <c r="I4349" s="24" t="n"/>
      <c r="J4349" s="22">
        <f t="array" ref="J4349">IF($D4349="","",IF($I4349="","(trống REF)",IFERROR(INDEX(MASTER_SOURCE!$B$2:$B$495,MATCH($I4349,MASTER_SOURCE!$A$2:$A$495,0)),"(REF không có trong MASTER_SOURCE)")))</f>
        <v/>
      </c>
      <c r="K4349" s="22">
        <f t="array" ref="K4349">IF($D4349="","",IFERROR(INDEX(MASTER_SOURCE!$C$2:$C$495,MATCH($I4349,MASTER_SOURCE!$A$2:$A$495,0)),""))</f>
        <v/>
      </c>
      <c r="L4349" s="22">
        <f t="array" ref="L4349">IF($D4349="","",IFERROR(INDEX(MASTER_SOURCE!$D$2:$D$495,MATCH($I4349,MASTER_SOURCE!$A$2:$A$495,0)),""))</f>
        <v/>
      </c>
      <c r="M4349" s="24" t="n"/>
      <c r="N4349" s="24" t="n"/>
      <c r="O4349" s="24" t="n"/>
      <c r="P4349" s="24" t="n"/>
      <c r="Q4349" s="22">
        <f>IF($D4349="","",IF(AND(OR(DANH_MUC!$L$5&lt;&gt;"Có",M4349="Có"),OR(DANH_MUC!$L$6&lt;&gt;"Có",N4349="Có"),OR(DANH_MUC!$L$7&lt;&gt;"Có",O4349="Có"),OR(DANH_MUC!$L$8&lt;&gt;"Có",P4349="Có")),"Có","Không"))</f>
        <v/>
      </c>
      <c r="R4349" s="22">
        <f>IF($D4349="","",IF(COUNTIF($D$2:$D4349,$D4349)&gt;1,"Trùng",""))</f>
        <v/>
      </c>
      <c r="S4349" s="22">
        <f>IF($D4349="","",IF(AND(LEN($D4349)=10,LEFT($D4349,1)="0",ISNUMBER(--$D4349)),"Có","Không"))</f>
        <v/>
      </c>
      <c r="T4349" s="22">
        <f>IF($D4349="","",IF(AND($C4349&lt;&gt;"",$Q4349="Có",$R4349="",$S4349="Có",AND($L4349&lt;&gt;"",OR($L4349&lt;&gt;"Chưa xác định",DANH_MUC!$L$9="Có"))),"Có","Không"))</f>
        <v/>
      </c>
      <c r="U4349" s="22">
        <f>IF(OR($D4349="",$T4349="Có"),"",IF($C4349="","Thiếu họ tên; ","")&amp;IF($S4349&lt;&gt;"Có","SĐT sai định dạng; ","")&amp;IF($R4349="Trùng","Trùng SĐT; ","")&amp;IF($Q4349&lt;&gt;"Có","Thiếu đồng ý bắt buộc; ","")&amp;IF($L4349="","Thiếu/sai Mã REF; ",IF(AND($L4349="Chưa xác định",DANH_MUC!$L$9&lt;&gt;"Có"),"Nguồn chưa xác định; ","")))</f>
        <v/>
      </c>
      <c r="V4349" s="22">
        <f>IF(OR($D4349="",$R4349="Trùng"),"",IF(COUNTIF(ORDERS!$C$2:$C$4995,$D4349)&gt;0,"Có","Không"))</f>
        <v/>
      </c>
      <c r="W4349" s="22">
        <f>IF(OR($D4349="",$R4349="Trùng"),"",COUNTIFS(ORDERS!$C$2:$C$4995,$D4349,ORDERS!$L$2:$L$4995,"Đã chuyển khoản"))</f>
        <v/>
      </c>
      <c r="X4349" s="23">
        <f>IF(OR($D4349="",$R4349="Trùng"),"",SUMIFS(ORDERS!$J$2:$J$4995,ORDERS!$C$2:$C$4995,$D4349,ORDERS!$L$2:$L$4995,"Đã chuyển khoản"))</f>
        <v/>
      </c>
      <c r="Y4349" s="24" t="n"/>
    </row>
    <row r="4350" ht="14.25" customHeight="1" s="40">
      <c r="A4350" s="24" t="n"/>
      <c r="B4350" s="27" t="n"/>
      <c r="C4350" s="24" t="n"/>
      <c r="D4350" s="28" t="n"/>
      <c r="E4350" s="29" t="n"/>
      <c r="F4350" s="24" t="n"/>
      <c r="G4350" s="24" t="n"/>
      <c r="H4350" s="21">
        <f>IF(ISNUMBER($B4350),INT($B4350)-WEEKDAY($B4350,2)+1,"")</f>
        <v/>
      </c>
      <c r="I4350" s="24" t="n"/>
      <c r="J4350" s="22">
        <f t="array" ref="J4350">IF($D4350="","",IF($I4350="","(trống REF)",IFERROR(INDEX(MASTER_SOURCE!$B$2:$B$495,MATCH($I4350,MASTER_SOURCE!$A$2:$A$495,0)),"(REF không có trong MASTER_SOURCE)")))</f>
        <v/>
      </c>
      <c r="K4350" s="22">
        <f t="array" ref="K4350">IF($D4350="","",IFERROR(INDEX(MASTER_SOURCE!$C$2:$C$495,MATCH($I4350,MASTER_SOURCE!$A$2:$A$495,0)),""))</f>
        <v/>
      </c>
      <c r="L4350" s="22">
        <f t="array" ref="L4350">IF($D4350="","",IFERROR(INDEX(MASTER_SOURCE!$D$2:$D$495,MATCH($I4350,MASTER_SOURCE!$A$2:$A$495,0)),""))</f>
        <v/>
      </c>
      <c r="M4350" s="24" t="n"/>
      <c r="N4350" s="24" t="n"/>
      <c r="O4350" s="24" t="n"/>
      <c r="P4350" s="24" t="n"/>
      <c r="Q4350" s="22">
        <f>IF($D4350="","",IF(AND(OR(DANH_MUC!$L$5&lt;&gt;"Có",M4350="Có"),OR(DANH_MUC!$L$6&lt;&gt;"Có",N4350="Có"),OR(DANH_MUC!$L$7&lt;&gt;"Có",O4350="Có"),OR(DANH_MUC!$L$8&lt;&gt;"Có",P4350="Có")),"Có","Không"))</f>
        <v/>
      </c>
      <c r="R4350" s="22">
        <f>IF($D4350="","",IF(COUNTIF($D$2:$D4350,$D4350)&gt;1,"Trùng",""))</f>
        <v/>
      </c>
      <c r="S4350" s="22">
        <f>IF($D4350="","",IF(AND(LEN($D4350)=10,LEFT($D4350,1)="0",ISNUMBER(--$D4350)),"Có","Không"))</f>
        <v/>
      </c>
      <c r="T4350" s="22">
        <f>IF($D4350="","",IF(AND($C4350&lt;&gt;"",$Q4350="Có",$R4350="",$S4350="Có",AND($L4350&lt;&gt;"",OR($L4350&lt;&gt;"Chưa xác định",DANH_MUC!$L$9="Có"))),"Có","Không"))</f>
        <v/>
      </c>
      <c r="U4350" s="22">
        <f>IF(OR($D4350="",$T4350="Có"),"",IF($C4350="","Thiếu họ tên; ","")&amp;IF($S4350&lt;&gt;"Có","SĐT sai định dạng; ","")&amp;IF($R4350="Trùng","Trùng SĐT; ","")&amp;IF($Q4350&lt;&gt;"Có","Thiếu đồng ý bắt buộc; ","")&amp;IF($L4350="","Thiếu/sai Mã REF; ",IF(AND($L4350="Chưa xác định",DANH_MUC!$L$9&lt;&gt;"Có"),"Nguồn chưa xác định; ","")))</f>
        <v/>
      </c>
      <c r="V4350" s="22">
        <f>IF(OR($D4350="",$R4350="Trùng"),"",IF(COUNTIF(ORDERS!$C$2:$C$4995,$D4350)&gt;0,"Có","Không"))</f>
        <v/>
      </c>
      <c r="W4350" s="22">
        <f>IF(OR($D4350="",$R4350="Trùng"),"",COUNTIFS(ORDERS!$C$2:$C$4995,$D4350,ORDERS!$L$2:$L$4995,"Đã chuyển khoản"))</f>
        <v/>
      </c>
      <c r="X4350" s="23">
        <f>IF(OR($D4350="",$R4350="Trùng"),"",SUMIFS(ORDERS!$J$2:$J$4995,ORDERS!$C$2:$C$4995,$D4350,ORDERS!$L$2:$L$4995,"Đã chuyển khoản"))</f>
        <v/>
      </c>
      <c r="Y4350" s="24" t="n"/>
    </row>
    <row r="4351" ht="14.25" customHeight="1" s="40">
      <c r="A4351" s="24" t="n"/>
      <c r="B4351" s="27" t="n"/>
      <c r="C4351" s="24" t="n"/>
      <c r="D4351" s="28" t="n"/>
      <c r="E4351" s="29" t="n"/>
      <c r="F4351" s="24" t="n"/>
      <c r="G4351" s="24" t="n"/>
      <c r="H4351" s="21">
        <f>IF(ISNUMBER($B4351),INT($B4351)-WEEKDAY($B4351,2)+1,"")</f>
        <v/>
      </c>
      <c r="I4351" s="24" t="n"/>
      <c r="J4351" s="22">
        <f t="array" ref="J4351">IF($D4351="","",IF($I4351="","(trống REF)",IFERROR(INDEX(MASTER_SOURCE!$B$2:$B$495,MATCH($I4351,MASTER_SOURCE!$A$2:$A$495,0)),"(REF không có trong MASTER_SOURCE)")))</f>
        <v/>
      </c>
      <c r="K4351" s="22">
        <f t="array" ref="K4351">IF($D4351="","",IFERROR(INDEX(MASTER_SOURCE!$C$2:$C$495,MATCH($I4351,MASTER_SOURCE!$A$2:$A$495,0)),""))</f>
        <v/>
      </c>
      <c r="L4351" s="22">
        <f t="array" ref="L4351">IF($D4351="","",IFERROR(INDEX(MASTER_SOURCE!$D$2:$D$495,MATCH($I4351,MASTER_SOURCE!$A$2:$A$495,0)),""))</f>
        <v/>
      </c>
      <c r="M4351" s="24" t="n"/>
      <c r="N4351" s="24" t="n"/>
      <c r="O4351" s="24" t="n"/>
      <c r="P4351" s="24" t="n"/>
      <c r="Q4351" s="22">
        <f>IF($D4351="","",IF(AND(OR(DANH_MUC!$L$5&lt;&gt;"Có",M4351="Có"),OR(DANH_MUC!$L$6&lt;&gt;"Có",N4351="Có"),OR(DANH_MUC!$L$7&lt;&gt;"Có",O4351="Có"),OR(DANH_MUC!$L$8&lt;&gt;"Có",P4351="Có")),"Có","Không"))</f>
        <v/>
      </c>
      <c r="R4351" s="22">
        <f>IF($D4351="","",IF(COUNTIF($D$2:$D4351,$D4351)&gt;1,"Trùng",""))</f>
        <v/>
      </c>
      <c r="S4351" s="22">
        <f>IF($D4351="","",IF(AND(LEN($D4351)=10,LEFT($D4351,1)="0",ISNUMBER(--$D4351)),"Có","Không"))</f>
        <v/>
      </c>
      <c r="T4351" s="22">
        <f>IF($D4351="","",IF(AND($C4351&lt;&gt;"",$Q4351="Có",$R4351="",$S4351="Có",AND($L4351&lt;&gt;"",OR($L4351&lt;&gt;"Chưa xác định",DANH_MUC!$L$9="Có"))),"Có","Không"))</f>
        <v/>
      </c>
      <c r="U4351" s="22">
        <f>IF(OR($D4351="",$T4351="Có"),"",IF($C4351="","Thiếu họ tên; ","")&amp;IF($S4351&lt;&gt;"Có","SĐT sai định dạng; ","")&amp;IF($R4351="Trùng","Trùng SĐT; ","")&amp;IF($Q4351&lt;&gt;"Có","Thiếu đồng ý bắt buộc; ","")&amp;IF($L4351="","Thiếu/sai Mã REF; ",IF(AND($L4351="Chưa xác định",DANH_MUC!$L$9&lt;&gt;"Có"),"Nguồn chưa xác định; ","")))</f>
        <v/>
      </c>
      <c r="V4351" s="22">
        <f>IF(OR($D4351="",$R4351="Trùng"),"",IF(COUNTIF(ORDERS!$C$2:$C$4995,$D4351)&gt;0,"Có","Không"))</f>
        <v/>
      </c>
      <c r="W4351" s="22">
        <f>IF(OR($D4351="",$R4351="Trùng"),"",COUNTIFS(ORDERS!$C$2:$C$4995,$D4351,ORDERS!$L$2:$L$4995,"Đã chuyển khoản"))</f>
        <v/>
      </c>
      <c r="X4351" s="23">
        <f>IF(OR($D4351="",$R4351="Trùng"),"",SUMIFS(ORDERS!$J$2:$J$4995,ORDERS!$C$2:$C$4995,$D4351,ORDERS!$L$2:$L$4995,"Đã chuyển khoản"))</f>
        <v/>
      </c>
      <c r="Y4351" s="24" t="n"/>
    </row>
    <row r="4352" ht="14.25" customHeight="1" s="40">
      <c r="A4352" s="24" t="n"/>
      <c r="B4352" s="27" t="n"/>
      <c r="C4352" s="24" t="n"/>
      <c r="D4352" s="28" t="n"/>
      <c r="E4352" s="29" t="n"/>
      <c r="F4352" s="24" t="n"/>
      <c r="G4352" s="24" t="n"/>
      <c r="H4352" s="21">
        <f>IF(ISNUMBER($B4352),INT($B4352)-WEEKDAY($B4352,2)+1,"")</f>
        <v/>
      </c>
      <c r="I4352" s="24" t="n"/>
      <c r="J4352" s="22">
        <f t="array" ref="J4352">IF($D4352="","",IF($I4352="","(trống REF)",IFERROR(INDEX(MASTER_SOURCE!$B$2:$B$495,MATCH($I4352,MASTER_SOURCE!$A$2:$A$495,0)),"(REF không có trong MASTER_SOURCE)")))</f>
        <v/>
      </c>
      <c r="K4352" s="22">
        <f t="array" ref="K4352">IF($D4352="","",IFERROR(INDEX(MASTER_SOURCE!$C$2:$C$495,MATCH($I4352,MASTER_SOURCE!$A$2:$A$495,0)),""))</f>
        <v/>
      </c>
      <c r="L4352" s="22">
        <f t="array" ref="L4352">IF($D4352="","",IFERROR(INDEX(MASTER_SOURCE!$D$2:$D$495,MATCH($I4352,MASTER_SOURCE!$A$2:$A$495,0)),""))</f>
        <v/>
      </c>
      <c r="M4352" s="24" t="n"/>
      <c r="N4352" s="24" t="n"/>
      <c r="O4352" s="24" t="n"/>
      <c r="P4352" s="24" t="n"/>
      <c r="Q4352" s="22">
        <f>IF($D4352="","",IF(AND(OR(DANH_MUC!$L$5&lt;&gt;"Có",M4352="Có"),OR(DANH_MUC!$L$6&lt;&gt;"Có",N4352="Có"),OR(DANH_MUC!$L$7&lt;&gt;"Có",O4352="Có"),OR(DANH_MUC!$L$8&lt;&gt;"Có",P4352="Có")),"Có","Không"))</f>
        <v/>
      </c>
      <c r="R4352" s="22">
        <f>IF($D4352="","",IF(COUNTIF($D$2:$D4352,$D4352)&gt;1,"Trùng",""))</f>
        <v/>
      </c>
      <c r="S4352" s="22">
        <f>IF($D4352="","",IF(AND(LEN($D4352)=10,LEFT($D4352,1)="0",ISNUMBER(--$D4352)),"Có","Không"))</f>
        <v/>
      </c>
      <c r="T4352" s="22">
        <f>IF($D4352="","",IF(AND($C4352&lt;&gt;"",$Q4352="Có",$R4352="",$S4352="Có",AND($L4352&lt;&gt;"",OR($L4352&lt;&gt;"Chưa xác định",DANH_MUC!$L$9="Có"))),"Có","Không"))</f>
        <v/>
      </c>
      <c r="U4352" s="22">
        <f>IF(OR($D4352="",$T4352="Có"),"",IF($C4352="","Thiếu họ tên; ","")&amp;IF($S4352&lt;&gt;"Có","SĐT sai định dạng; ","")&amp;IF($R4352="Trùng","Trùng SĐT; ","")&amp;IF($Q4352&lt;&gt;"Có","Thiếu đồng ý bắt buộc; ","")&amp;IF($L4352="","Thiếu/sai Mã REF; ",IF(AND($L4352="Chưa xác định",DANH_MUC!$L$9&lt;&gt;"Có"),"Nguồn chưa xác định; ","")))</f>
        <v/>
      </c>
      <c r="V4352" s="22">
        <f>IF(OR($D4352="",$R4352="Trùng"),"",IF(COUNTIF(ORDERS!$C$2:$C$4995,$D4352)&gt;0,"Có","Không"))</f>
        <v/>
      </c>
      <c r="W4352" s="22">
        <f>IF(OR($D4352="",$R4352="Trùng"),"",COUNTIFS(ORDERS!$C$2:$C$4995,$D4352,ORDERS!$L$2:$L$4995,"Đã chuyển khoản"))</f>
        <v/>
      </c>
      <c r="X4352" s="23">
        <f>IF(OR($D4352="",$R4352="Trùng"),"",SUMIFS(ORDERS!$J$2:$J$4995,ORDERS!$C$2:$C$4995,$D4352,ORDERS!$L$2:$L$4995,"Đã chuyển khoản"))</f>
        <v/>
      </c>
      <c r="Y4352" s="24" t="n"/>
    </row>
    <row r="4353" ht="14.25" customHeight="1" s="40">
      <c r="A4353" s="24" t="n"/>
      <c r="B4353" s="27" t="n"/>
      <c r="C4353" s="24" t="n"/>
      <c r="D4353" s="28" t="n"/>
      <c r="E4353" s="29" t="n"/>
      <c r="F4353" s="24" t="n"/>
      <c r="G4353" s="24" t="n"/>
      <c r="H4353" s="21">
        <f>IF(ISNUMBER($B4353),INT($B4353)-WEEKDAY($B4353,2)+1,"")</f>
        <v/>
      </c>
      <c r="I4353" s="24" t="n"/>
      <c r="J4353" s="22">
        <f t="array" ref="J4353">IF($D4353="","",IF($I4353="","(trống REF)",IFERROR(INDEX(MASTER_SOURCE!$B$2:$B$495,MATCH($I4353,MASTER_SOURCE!$A$2:$A$495,0)),"(REF không có trong MASTER_SOURCE)")))</f>
        <v/>
      </c>
      <c r="K4353" s="22">
        <f t="array" ref="K4353">IF($D4353="","",IFERROR(INDEX(MASTER_SOURCE!$C$2:$C$495,MATCH($I4353,MASTER_SOURCE!$A$2:$A$495,0)),""))</f>
        <v/>
      </c>
      <c r="L4353" s="22">
        <f t="array" ref="L4353">IF($D4353="","",IFERROR(INDEX(MASTER_SOURCE!$D$2:$D$495,MATCH($I4353,MASTER_SOURCE!$A$2:$A$495,0)),""))</f>
        <v/>
      </c>
      <c r="M4353" s="24" t="n"/>
      <c r="N4353" s="24" t="n"/>
      <c r="O4353" s="24" t="n"/>
      <c r="P4353" s="24" t="n"/>
      <c r="Q4353" s="22">
        <f>IF($D4353="","",IF(AND(OR(DANH_MUC!$L$5&lt;&gt;"Có",M4353="Có"),OR(DANH_MUC!$L$6&lt;&gt;"Có",N4353="Có"),OR(DANH_MUC!$L$7&lt;&gt;"Có",O4353="Có"),OR(DANH_MUC!$L$8&lt;&gt;"Có",P4353="Có")),"Có","Không"))</f>
        <v/>
      </c>
      <c r="R4353" s="22">
        <f>IF($D4353="","",IF(COUNTIF($D$2:$D4353,$D4353)&gt;1,"Trùng",""))</f>
        <v/>
      </c>
      <c r="S4353" s="22">
        <f>IF($D4353="","",IF(AND(LEN($D4353)=10,LEFT($D4353,1)="0",ISNUMBER(--$D4353)),"Có","Không"))</f>
        <v/>
      </c>
      <c r="T4353" s="22">
        <f>IF($D4353="","",IF(AND($C4353&lt;&gt;"",$Q4353="Có",$R4353="",$S4353="Có",AND($L4353&lt;&gt;"",OR($L4353&lt;&gt;"Chưa xác định",DANH_MUC!$L$9="Có"))),"Có","Không"))</f>
        <v/>
      </c>
      <c r="U4353" s="22">
        <f>IF(OR($D4353="",$T4353="Có"),"",IF($C4353="","Thiếu họ tên; ","")&amp;IF($S4353&lt;&gt;"Có","SĐT sai định dạng; ","")&amp;IF($R4353="Trùng","Trùng SĐT; ","")&amp;IF($Q4353&lt;&gt;"Có","Thiếu đồng ý bắt buộc; ","")&amp;IF($L4353="","Thiếu/sai Mã REF; ",IF(AND($L4353="Chưa xác định",DANH_MUC!$L$9&lt;&gt;"Có"),"Nguồn chưa xác định; ","")))</f>
        <v/>
      </c>
      <c r="V4353" s="22">
        <f>IF(OR($D4353="",$R4353="Trùng"),"",IF(COUNTIF(ORDERS!$C$2:$C$4995,$D4353)&gt;0,"Có","Không"))</f>
        <v/>
      </c>
      <c r="W4353" s="22">
        <f>IF(OR($D4353="",$R4353="Trùng"),"",COUNTIFS(ORDERS!$C$2:$C$4995,$D4353,ORDERS!$L$2:$L$4995,"Đã chuyển khoản"))</f>
        <v/>
      </c>
      <c r="X4353" s="23">
        <f>IF(OR($D4353="",$R4353="Trùng"),"",SUMIFS(ORDERS!$J$2:$J$4995,ORDERS!$C$2:$C$4995,$D4353,ORDERS!$L$2:$L$4995,"Đã chuyển khoản"))</f>
        <v/>
      </c>
      <c r="Y4353" s="24" t="n"/>
    </row>
    <row r="4354" ht="14.25" customHeight="1" s="40">
      <c r="A4354" s="24" t="n"/>
      <c r="B4354" s="27" t="n"/>
      <c r="C4354" s="24" t="n"/>
      <c r="D4354" s="28" t="n"/>
      <c r="E4354" s="29" t="n"/>
      <c r="F4354" s="24" t="n"/>
      <c r="G4354" s="24" t="n"/>
      <c r="H4354" s="21">
        <f>IF(ISNUMBER($B4354),INT($B4354)-WEEKDAY($B4354,2)+1,"")</f>
        <v/>
      </c>
      <c r="I4354" s="24" t="n"/>
      <c r="J4354" s="22">
        <f t="array" ref="J4354">IF($D4354="","",IF($I4354="","(trống REF)",IFERROR(INDEX(MASTER_SOURCE!$B$2:$B$495,MATCH($I4354,MASTER_SOURCE!$A$2:$A$495,0)),"(REF không có trong MASTER_SOURCE)")))</f>
        <v/>
      </c>
      <c r="K4354" s="22">
        <f t="array" ref="K4354">IF($D4354="","",IFERROR(INDEX(MASTER_SOURCE!$C$2:$C$495,MATCH($I4354,MASTER_SOURCE!$A$2:$A$495,0)),""))</f>
        <v/>
      </c>
      <c r="L4354" s="22">
        <f t="array" ref="L4354">IF($D4354="","",IFERROR(INDEX(MASTER_SOURCE!$D$2:$D$495,MATCH($I4354,MASTER_SOURCE!$A$2:$A$495,0)),""))</f>
        <v/>
      </c>
      <c r="M4354" s="24" t="n"/>
      <c r="N4354" s="24" t="n"/>
      <c r="O4354" s="24" t="n"/>
      <c r="P4354" s="24" t="n"/>
      <c r="Q4354" s="22">
        <f>IF($D4354="","",IF(AND(OR(DANH_MUC!$L$5&lt;&gt;"Có",M4354="Có"),OR(DANH_MUC!$L$6&lt;&gt;"Có",N4354="Có"),OR(DANH_MUC!$L$7&lt;&gt;"Có",O4354="Có"),OR(DANH_MUC!$L$8&lt;&gt;"Có",P4354="Có")),"Có","Không"))</f>
        <v/>
      </c>
      <c r="R4354" s="22">
        <f>IF($D4354="","",IF(COUNTIF($D$2:$D4354,$D4354)&gt;1,"Trùng",""))</f>
        <v/>
      </c>
      <c r="S4354" s="22">
        <f>IF($D4354="","",IF(AND(LEN($D4354)=10,LEFT($D4354,1)="0",ISNUMBER(--$D4354)),"Có","Không"))</f>
        <v/>
      </c>
      <c r="T4354" s="22">
        <f>IF($D4354="","",IF(AND($C4354&lt;&gt;"",$Q4354="Có",$R4354="",$S4354="Có",AND($L4354&lt;&gt;"",OR($L4354&lt;&gt;"Chưa xác định",DANH_MUC!$L$9="Có"))),"Có","Không"))</f>
        <v/>
      </c>
      <c r="U4354" s="22">
        <f>IF(OR($D4354="",$T4354="Có"),"",IF($C4354="","Thiếu họ tên; ","")&amp;IF($S4354&lt;&gt;"Có","SĐT sai định dạng; ","")&amp;IF($R4354="Trùng","Trùng SĐT; ","")&amp;IF($Q4354&lt;&gt;"Có","Thiếu đồng ý bắt buộc; ","")&amp;IF($L4354="","Thiếu/sai Mã REF; ",IF(AND($L4354="Chưa xác định",DANH_MUC!$L$9&lt;&gt;"Có"),"Nguồn chưa xác định; ","")))</f>
        <v/>
      </c>
      <c r="V4354" s="22">
        <f>IF(OR($D4354="",$R4354="Trùng"),"",IF(COUNTIF(ORDERS!$C$2:$C$4995,$D4354)&gt;0,"Có","Không"))</f>
        <v/>
      </c>
      <c r="W4354" s="22">
        <f>IF(OR($D4354="",$R4354="Trùng"),"",COUNTIFS(ORDERS!$C$2:$C$4995,$D4354,ORDERS!$L$2:$L$4995,"Đã chuyển khoản"))</f>
        <v/>
      </c>
      <c r="X4354" s="23">
        <f>IF(OR($D4354="",$R4354="Trùng"),"",SUMIFS(ORDERS!$J$2:$J$4995,ORDERS!$C$2:$C$4995,$D4354,ORDERS!$L$2:$L$4995,"Đã chuyển khoản"))</f>
        <v/>
      </c>
      <c r="Y4354" s="24" t="n"/>
    </row>
    <row r="4355" ht="14.25" customHeight="1" s="40">
      <c r="A4355" s="24" t="n"/>
      <c r="B4355" s="27" t="n"/>
      <c r="C4355" s="24" t="n"/>
      <c r="D4355" s="28" t="n"/>
      <c r="E4355" s="29" t="n"/>
      <c r="F4355" s="24" t="n"/>
      <c r="G4355" s="24" t="n"/>
      <c r="H4355" s="21">
        <f>IF(ISNUMBER($B4355),INT($B4355)-WEEKDAY($B4355,2)+1,"")</f>
        <v/>
      </c>
      <c r="I4355" s="24" t="n"/>
      <c r="J4355" s="22">
        <f t="array" ref="J4355">IF($D4355="","",IF($I4355="","(trống REF)",IFERROR(INDEX(MASTER_SOURCE!$B$2:$B$495,MATCH($I4355,MASTER_SOURCE!$A$2:$A$495,0)),"(REF không có trong MASTER_SOURCE)")))</f>
        <v/>
      </c>
      <c r="K4355" s="22">
        <f t="array" ref="K4355">IF($D4355="","",IFERROR(INDEX(MASTER_SOURCE!$C$2:$C$495,MATCH($I4355,MASTER_SOURCE!$A$2:$A$495,0)),""))</f>
        <v/>
      </c>
      <c r="L4355" s="22">
        <f t="array" ref="L4355">IF($D4355="","",IFERROR(INDEX(MASTER_SOURCE!$D$2:$D$495,MATCH($I4355,MASTER_SOURCE!$A$2:$A$495,0)),""))</f>
        <v/>
      </c>
      <c r="M4355" s="24" t="n"/>
      <c r="N4355" s="24" t="n"/>
      <c r="O4355" s="24" t="n"/>
      <c r="P4355" s="24" t="n"/>
      <c r="Q4355" s="22">
        <f>IF($D4355="","",IF(AND(OR(DANH_MUC!$L$5&lt;&gt;"Có",M4355="Có"),OR(DANH_MUC!$L$6&lt;&gt;"Có",N4355="Có"),OR(DANH_MUC!$L$7&lt;&gt;"Có",O4355="Có"),OR(DANH_MUC!$L$8&lt;&gt;"Có",P4355="Có")),"Có","Không"))</f>
        <v/>
      </c>
      <c r="R4355" s="22">
        <f>IF($D4355="","",IF(COUNTIF($D$2:$D4355,$D4355)&gt;1,"Trùng",""))</f>
        <v/>
      </c>
      <c r="S4355" s="22">
        <f>IF($D4355="","",IF(AND(LEN($D4355)=10,LEFT($D4355,1)="0",ISNUMBER(--$D4355)),"Có","Không"))</f>
        <v/>
      </c>
      <c r="T4355" s="22">
        <f>IF($D4355="","",IF(AND($C4355&lt;&gt;"",$Q4355="Có",$R4355="",$S4355="Có",AND($L4355&lt;&gt;"",OR($L4355&lt;&gt;"Chưa xác định",DANH_MUC!$L$9="Có"))),"Có","Không"))</f>
        <v/>
      </c>
      <c r="U4355" s="22">
        <f>IF(OR($D4355="",$T4355="Có"),"",IF($C4355="","Thiếu họ tên; ","")&amp;IF($S4355&lt;&gt;"Có","SĐT sai định dạng; ","")&amp;IF($R4355="Trùng","Trùng SĐT; ","")&amp;IF($Q4355&lt;&gt;"Có","Thiếu đồng ý bắt buộc; ","")&amp;IF($L4355="","Thiếu/sai Mã REF; ",IF(AND($L4355="Chưa xác định",DANH_MUC!$L$9&lt;&gt;"Có"),"Nguồn chưa xác định; ","")))</f>
        <v/>
      </c>
      <c r="V4355" s="22">
        <f>IF(OR($D4355="",$R4355="Trùng"),"",IF(COUNTIF(ORDERS!$C$2:$C$4995,$D4355)&gt;0,"Có","Không"))</f>
        <v/>
      </c>
      <c r="W4355" s="22">
        <f>IF(OR($D4355="",$R4355="Trùng"),"",COUNTIFS(ORDERS!$C$2:$C$4995,$D4355,ORDERS!$L$2:$L$4995,"Đã chuyển khoản"))</f>
        <v/>
      </c>
      <c r="X4355" s="23">
        <f>IF(OR($D4355="",$R4355="Trùng"),"",SUMIFS(ORDERS!$J$2:$J$4995,ORDERS!$C$2:$C$4995,$D4355,ORDERS!$L$2:$L$4995,"Đã chuyển khoản"))</f>
        <v/>
      </c>
      <c r="Y4355" s="24" t="n"/>
    </row>
    <row r="4356" ht="14.25" customHeight="1" s="40">
      <c r="A4356" s="24" t="n"/>
      <c r="B4356" s="27" t="n"/>
      <c r="C4356" s="24" t="n"/>
      <c r="D4356" s="28" t="n"/>
      <c r="E4356" s="29" t="n"/>
      <c r="F4356" s="24" t="n"/>
      <c r="G4356" s="24" t="n"/>
      <c r="H4356" s="21">
        <f>IF(ISNUMBER($B4356),INT($B4356)-WEEKDAY($B4356,2)+1,"")</f>
        <v/>
      </c>
      <c r="I4356" s="24" t="n"/>
      <c r="J4356" s="22">
        <f t="array" ref="J4356">IF($D4356="","",IF($I4356="","(trống REF)",IFERROR(INDEX(MASTER_SOURCE!$B$2:$B$495,MATCH($I4356,MASTER_SOURCE!$A$2:$A$495,0)),"(REF không có trong MASTER_SOURCE)")))</f>
        <v/>
      </c>
      <c r="K4356" s="22">
        <f t="array" ref="K4356">IF($D4356="","",IFERROR(INDEX(MASTER_SOURCE!$C$2:$C$495,MATCH($I4356,MASTER_SOURCE!$A$2:$A$495,0)),""))</f>
        <v/>
      </c>
      <c r="L4356" s="22">
        <f t="array" ref="L4356">IF($D4356="","",IFERROR(INDEX(MASTER_SOURCE!$D$2:$D$495,MATCH($I4356,MASTER_SOURCE!$A$2:$A$495,0)),""))</f>
        <v/>
      </c>
      <c r="M4356" s="24" t="n"/>
      <c r="N4356" s="24" t="n"/>
      <c r="O4356" s="24" t="n"/>
      <c r="P4356" s="24" t="n"/>
      <c r="Q4356" s="22">
        <f>IF($D4356="","",IF(AND(OR(DANH_MUC!$L$5&lt;&gt;"Có",M4356="Có"),OR(DANH_MUC!$L$6&lt;&gt;"Có",N4356="Có"),OR(DANH_MUC!$L$7&lt;&gt;"Có",O4356="Có"),OR(DANH_MUC!$L$8&lt;&gt;"Có",P4356="Có")),"Có","Không"))</f>
        <v/>
      </c>
      <c r="R4356" s="22">
        <f>IF($D4356="","",IF(COUNTIF($D$2:$D4356,$D4356)&gt;1,"Trùng",""))</f>
        <v/>
      </c>
      <c r="S4356" s="22">
        <f>IF($D4356="","",IF(AND(LEN($D4356)=10,LEFT($D4356,1)="0",ISNUMBER(--$D4356)),"Có","Không"))</f>
        <v/>
      </c>
      <c r="T4356" s="22">
        <f>IF($D4356="","",IF(AND($C4356&lt;&gt;"",$Q4356="Có",$R4356="",$S4356="Có",AND($L4356&lt;&gt;"",OR($L4356&lt;&gt;"Chưa xác định",DANH_MUC!$L$9="Có"))),"Có","Không"))</f>
        <v/>
      </c>
      <c r="U4356" s="22">
        <f>IF(OR($D4356="",$T4356="Có"),"",IF($C4356="","Thiếu họ tên; ","")&amp;IF($S4356&lt;&gt;"Có","SĐT sai định dạng; ","")&amp;IF($R4356="Trùng","Trùng SĐT; ","")&amp;IF($Q4356&lt;&gt;"Có","Thiếu đồng ý bắt buộc; ","")&amp;IF($L4356="","Thiếu/sai Mã REF; ",IF(AND($L4356="Chưa xác định",DANH_MUC!$L$9&lt;&gt;"Có"),"Nguồn chưa xác định; ","")))</f>
        <v/>
      </c>
      <c r="V4356" s="22">
        <f>IF(OR($D4356="",$R4356="Trùng"),"",IF(COUNTIF(ORDERS!$C$2:$C$4995,$D4356)&gt;0,"Có","Không"))</f>
        <v/>
      </c>
      <c r="W4356" s="22">
        <f>IF(OR($D4356="",$R4356="Trùng"),"",COUNTIFS(ORDERS!$C$2:$C$4995,$D4356,ORDERS!$L$2:$L$4995,"Đã chuyển khoản"))</f>
        <v/>
      </c>
      <c r="X4356" s="23">
        <f>IF(OR($D4356="",$R4356="Trùng"),"",SUMIFS(ORDERS!$J$2:$J$4995,ORDERS!$C$2:$C$4995,$D4356,ORDERS!$L$2:$L$4995,"Đã chuyển khoản"))</f>
        <v/>
      </c>
      <c r="Y4356" s="24" t="n"/>
    </row>
    <row r="4357" ht="14.25" customHeight="1" s="40">
      <c r="A4357" s="24" t="n"/>
      <c r="B4357" s="27" t="n"/>
      <c r="C4357" s="24" t="n"/>
      <c r="D4357" s="28" t="n"/>
      <c r="E4357" s="29" t="n"/>
      <c r="F4357" s="24" t="n"/>
      <c r="G4357" s="24" t="n"/>
      <c r="H4357" s="21">
        <f>IF(ISNUMBER($B4357),INT($B4357)-WEEKDAY($B4357,2)+1,"")</f>
        <v/>
      </c>
      <c r="I4357" s="24" t="n"/>
      <c r="J4357" s="22">
        <f t="array" ref="J4357">IF($D4357="","",IF($I4357="","(trống REF)",IFERROR(INDEX(MASTER_SOURCE!$B$2:$B$495,MATCH($I4357,MASTER_SOURCE!$A$2:$A$495,0)),"(REF không có trong MASTER_SOURCE)")))</f>
        <v/>
      </c>
      <c r="K4357" s="22">
        <f t="array" ref="K4357">IF($D4357="","",IFERROR(INDEX(MASTER_SOURCE!$C$2:$C$495,MATCH($I4357,MASTER_SOURCE!$A$2:$A$495,0)),""))</f>
        <v/>
      </c>
      <c r="L4357" s="22">
        <f t="array" ref="L4357">IF($D4357="","",IFERROR(INDEX(MASTER_SOURCE!$D$2:$D$495,MATCH($I4357,MASTER_SOURCE!$A$2:$A$495,0)),""))</f>
        <v/>
      </c>
      <c r="M4357" s="24" t="n"/>
      <c r="N4357" s="24" t="n"/>
      <c r="O4357" s="24" t="n"/>
      <c r="P4357" s="24" t="n"/>
      <c r="Q4357" s="22">
        <f>IF($D4357="","",IF(AND(OR(DANH_MUC!$L$5&lt;&gt;"Có",M4357="Có"),OR(DANH_MUC!$L$6&lt;&gt;"Có",N4357="Có"),OR(DANH_MUC!$L$7&lt;&gt;"Có",O4357="Có"),OR(DANH_MUC!$L$8&lt;&gt;"Có",P4357="Có")),"Có","Không"))</f>
        <v/>
      </c>
      <c r="R4357" s="22">
        <f>IF($D4357="","",IF(COUNTIF($D$2:$D4357,$D4357)&gt;1,"Trùng",""))</f>
        <v/>
      </c>
      <c r="S4357" s="22">
        <f>IF($D4357="","",IF(AND(LEN($D4357)=10,LEFT($D4357,1)="0",ISNUMBER(--$D4357)),"Có","Không"))</f>
        <v/>
      </c>
      <c r="T4357" s="22">
        <f>IF($D4357="","",IF(AND($C4357&lt;&gt;"",$Q4357="Có",$R4357="",$S4357="Có",AND($L4357&lt;&gt;"",OR($L4357&lt;&gt;"Chưa xác định",DANH_MUC!$L$9="Có"))),"Có","Không"))</f>
        <v/>
      </c>
      <c r="U4357" s="22">
        <f>IF(OR($D4357="",$T4357="Có"),"",IF($C4357="","Thiếu họ tên; ","")&amp;IF($S4357&lt;&gt;"Có","SĐT sai định dạng; ","")&amp;IF($R4357="Trùng","Trùng SĐT; ","")&amp;IF($Q4357&lt;&gt;"Có","Thiếu đồng ý bắt buộc; ","")&amp;IF($L4357="","Thiếu/sai Mã REF; ",IF(AND($L4357="Chưa xác định",DANH_MUC!$L$9&lt;&gt;"Có"),"Nguồn chưa xác định; ","")))</f>
        <v/>
      </c>
      <c r="V4357" s="22">
        <f>IF(OR($D4357="",$R4357="Trùng"),"",IF(COUNTIF(ORDERS!$C$2:$C$4995,$D4357)&gt;0,"Có","Không"))</f>
        <v/>
      </c>
      <c r="W4357" s="22">
        <f>IF(OR($D4357="",$R4357="Trùng"),"",COUNTIFS(ORDERS!$C$2:$C$4995,$D4357,ORDERS!$L$2:$L$4995,"Đã chuyển khoản"))</f>
        <v/>
      </c>
      <c r="X4357" s="23">
        <f>IF(OR($D4357="",$R4357="Trùng"),"",SUMIFS(ORDERS!$J$2:$J$4995,ORDERS!$C$2:$C$4995,$D4357,ORDERS!$L$2:$L$4995,"Đã chuyển khoản"))</f>
        <v/>
      </c>
      <c r="Y4357" s="24" t="n"/>
    </row>
    <row r="4358" ht="14.25" customHeight="1" s="40">
      <c r="A4358" s="24" t="n"/>
      <c r="B4358" s="27" t="n"/>
      <c r="C4358" s="24" t="n"/>
      <c r="D4358" s="28" t="n"/>
      <c r="E4358" s="29" t="n"/>
      <c r="F4358" s="24" t="n"/>
      <c r="G4358" s="24" t="n"/>
      <c r="H4358" s="21">
        <f>IF(ISNUMBER($B4358),INT($B4358)-WEEKDAY($B4358,2)+1,"")</f>
        <v/>
      </c>
      <c r="I4358" s="24" t="n"/>
      <c r="J4358" s="22">
        <f t="array" ref="J4358">IF($D4358="","",IF($I4358="","(trống REF)",IFERROR(INDEX(MASTER_SOURCE!$B$2:$B$495,MATCH($I4358,MASTER_SOURCE!$A$2:$A$495,0)),"(REF không có trong MASTER_SOURCE)")))</f>
        <v/>
      </c>
      <c r="K4358" s="22">
        <f t="array" ref="K4358">IF($D4358="","",IFERROR(INDEX(MASTER_SOURCE!$C$2:$C$495,MATCH($I4358,MASTER_SOURCE!$A$2:$A$495,0)),""))</f>
        <v/>
      </c>
      <c r="L4358" s="22">
        <f t="array" ref="L4358">IF($D4358="","",IFERROR(INDEX(MASTER_SOURCE!$D$2:$D$495,MATCH($I4358,MASTER_SOURCE!$A$2:$A$495,0)),""))</f>
        <v/>
      </c>
      <c r="M4358" s="24" t="n"/>
      <c r="N4358" s="24" t="n"/>
      <c r="O4358" s="24" t="n"/>
      <c r="P4358" s="24" t="n"/>
      <c r="Q4358" s="22">
        <f>IF($D4358="","",IF(AND(OR(DANH_MUC!$L$5&lt;&gt;"Có",M4358="Có"),OR(DANH_MUC!$L$6&lt;&gt;"Có",N4358="Có"),OR(DANH_MUC!$L$7&lt;&gt;"Có",O4358="Có"),OR(DANH_MUC!$L$8&lt;&gt;"Có",P4358="Có")),"Có","Không"))</f>
        <v/>
      </c>
      <c r="R4358" s="22">
        <f>IF($D4358="","",IF(COUNTIF($D$2:$D4358,$D4358)&gt;1,"Trùng",""))</f>
        <v/>
      </c>
      <c r="S4358" s="22">
        <f>IF($D4358="","",IF(AND(LEN($D4358)=10,LEFT($D4358,1)="0",ISNUMBER(--$D4358)),"Có","Không"))</f>
        <v/>
      </c>
      <c r="T4358" s="22">
        <f>IF($D4358="","",IF(AND($C4358&lt;&gt;"",$Q4358="Có",$R4358="",$S4358="Có",AND($L4358&lt;&gt;"",OR($L4358&lt;&gt;"Chưa xác định",DANH_MUC!$L$9="Có"))),"Có","Không"))</f>
        <v/>
      </c>
      <c r="U4358" s="22">
        <f>IF(OR($D4358="",$T4358="Có"),"",IF($C4358="","Thiếu họ tên; ","")&amp;IF($S4358&lt;&gt;"Có","SĐT sai định dạng; ","")&amp;IF($R4358="Trùng","Trùng SĐT; ","")&amp;IF($Q4358&lt;&gt;"Có","Thiếu đồng ý bắt buộc; ","")&amp;IF($L4358="","Thiếu/sai Mã REF; ",IF(AND($L4358="Chưa xác định",DANH_MUC!$L$9&lt;&gt;"Có"),"Nguồn chưa xác định; ","")))</f>
        <v/>
      </c>
      <c r="V4358" s="22">
        <f>IF(OR($D4358="",$R4358="Trùng"),"",IF(COUNTIF(ORDERS!$C$2:$C$4995,$D4358)&gt;0,"Có","Không"))</f>
        <v/>
      </c>
      <c r="W4358" s="22">
        <f>IF(OR($D4358="",$R4358="Trùng"),"",COUNTIFS(ORDERS!$C$2:$C$4995,$D4358,ORDERS!$L$2:$L$4995,"Đã chuyển khoản"))</f>
        <v/>
      </c>
      <c r="X4358" s="23">
        <f>IF(OR($D4358="",$R4358="Trùng"),"",SUMIFS(ORDERS!$J$2:$J$4995,ORDERS!$C$2:$C$4995,$D4358,ORDERS!$L$2:$L$4995,"Đã chuyển khoản"))</f>
        <v/>
      </c>
      <c r="Y4358" s="24" t="n"/>
    </row>
    <row r="4359" ht="14.25" customHeight="1" s="40">
      <c r="A4359" s="24" t="n"/>
      <c r="B4359" s="27" t="n"/>
      <c r="C4359" s="24" t="n"/>
      <c r="D4359" s="28" t="n"/>
      <c r="E4359" s="29" t="n"/>
      <c r="F4359" s="24" t="n"/>
      <c r="G4359" s="24" t="n"/>
      <c r="H4359" s="21">
        <f>IF(ISNUMBER($B4359),INT($B4359)-WEEKDAY($B4359,2)+1,"")</f>
        <v/>
      </c>
      <c r="I4359" s="24" t="n"/>
      <c r="J4359" s="22">
        <f t="array" ref="J4359">IF($D4359="","",IF($I4359="","(trống REF)",IFERROR(INDEX(MASTER_SOURCE!$B$2:$B$495,MATCH($I4359,MASTER_SOURCE!$A$2:$A$495,0)),"(REF không có trong MASTER_SOURCE)")))</f>
        <v/>
      </c>
      <c r="K4359" s="22">
        <f t="array" ref="K4359">IF($D4359="","",IFERROR(INDEX(MASTER_SOURCE!$C$2:$C$495,MATCH($I4359,MASTER_SOURCE!$A$2:$A$495,0)),""))</f>
        <v/>
      </c>
      <c r="L4359" s="22">
        <f t="array" ref="L4359">IF($D4359="","",IFERROR(INDEX(MASTER_SOURCE!$D$2:$D$495,MATCH($I4359,MASTER_SOURCE!$A$2:$A$495,0)),""))</f>
        <v/>
      </c>
      <c r="M4359" s="24" t="n"/>
      <c r="N4359" s="24" t="n"/>
      <c r="O4359" s="24" t="n"/>
      <c r="P4359" s="24" t="n"/>
      <c r="Q4359" s="22">
        <f>IF($D4359="","",IF(AND(OR(DANH_MUC!$L$5&lt;&gt;"Có",M4359="Có"),OR(DANH_MUC!$L$6&lt;&gt;"Có",N4359="Có"),OR(DANH_MUC!$L$7&lt;&gt;"Có",O4359="Có"),OR(DANH_MUC!$L$8&lt;&gt;"Có",P4359="Có")),"Có","Không"))</f>
        <v/>
      </c>
      <c r="R4359" s="22">
        <f>IF($D4359="","",IF(COUNTIF($D$2:$D4359,$D4359)&gt;1,"Trùng",""))</f>
        <v/>
      </c>
      <c r="S4359" s="22">
        <f>IF($D4359="","",IF(AND(LEN($D4359)=10,LEFT($D4359,1)="0",ISNUMBER(--$D4359)),"Có","Không"))</f>
        <v/>
      </c>
      <c r="T4359" s="22">
        <f>IF($D4359="","",IF(AND($C4359&lt;&gt;"",$Q4359="Có",$R4359="",$S4359="Có",AND($L4359&lt;&gt;"",OR($L4359&lt;&gt;"Chưa xác định",DANH_MUC!$L$9="Có"))),"Có","Không"))</f>
        <v/>
      </c>
      <c r="U4359" s="22">
        <f>IF(OR($D4359="",$T4359="Có"),"",IF($C4359="","Thiếu họ tên; ","")&amp;IF($S4359&lt;&gt;"Có","SĐT sai định dạng; ","")&amp;IF($R4359="Trùng","Trùng SĐT; ","")&amp;IF($Q4359&lt;&gt;"Có","Thiếu đồng ý bắt buộc; ","")&amp;IF($L4359="","Thiếu/sai Mã REF; ",IF(AND($L4359="Chưa xác định",DANH_MUC!$L$9&lt;&gt;"Có"),"Nguồn chưa xác định; ","")))</f>
        <v/>
      </c>
      <c r="V4359" s="22">
        <f>IF(OR($D4359="",$R4359="Trùng"),"",IF(COUNTIF(ORDERS!$C$2:$C$4995,$D4359)&gt;0,"Có","Không"))</f>
        <v/>
      </c>
      <c r="W4359" s="22">
        <f>IF(OR($D4359="",$R4359="Trùng"),"",COUNTIFS(ORDERS!$C$2:$C$4995,$D4359,ORDERS!$L$2:$L$4995,"Đã chuyển khoản"))</f>
        <v/>
      </c>
      <c r="X4359" s="23">
        <f>IF(OR($D4359="",$R4359="Trùng"),"",SUMIFS(ORDERS!$J$2:$J$4995,ORDERS!$C$2:$C$4995,$D4359,ORDERS!$L$2:$L$4995,"Đã chuyển khoản"))</f>
        <v/>
      </c>
      <c r="Y4359" s="24" t="n"/>
    </row>
    <row r="4360" ht="14.25" customHeight="1" s="40">
      <c r="A4360" s="24" t="n"/>
      <c r="B4360" s="27" t="n"/>
      <c r="C4360" s="24" t="n"/>
      <c r="D4360" s="28" t="n"/>
      <c r="E4360" s="29" t="n"/>
      <c r="F4360" s="24" t="n"/>
      <c r="G4360" s="24" t="n"/>
      <c r="H4360" s="21">
        <f>IF(ISNUMBER($B4360),INT($B4360)-WEEKDAY($B4360,2)+1,"")</f>
        <v/>
      </c>
      <c r="I4360" s="24" t="n"/>
      <c r="J4360" s="22">
        <f t="array" ref="J4360">IF($D4360="","",IF($I4360="","(trống REF)",IFERROR(INDEX(MASTER_SOURCE!$B$2:$B$495,MATCH($I4360,MASTER_SOURCE!$A$2:$A$495,0)),"(REF không có trong MASTER_SOURCE)")))</f>
        <v/>
      </c>
      <c r="K4360" s="22">
        <f t="array" ref="K4360">IF($D4360="","",IFERROR(INDEX(MASTER_SOURCE!$C$2:$C$495,MATCH($I4360,MASTER_SOURCE!$A$2:$A$495,0)),""))</f>
        <v/>
      </c>
      <c r="L4360" s="22">
        <f t="array" ref="L4360">IF($D4360="","",IFERROR(INDEX(MASTER_SOURCE!$D$2:$D$495,MATCH($I4360,MASTER_SOURCE!$A$2:$A$495,0)),""))</f>
        <v/>
      </c>
      <c r="M4360" s="24" t="n"/>
      <c r="N4360" s="24" t="n"/>
      <c r="O4360" s="24" t="n"/>
      <c r="P4360" s="24" t="n"/>
      <c r="Q4360" s="22">
        <f>IF($D4360="","",IF(AND(OR(DANH_MUC!$L$5&lt;&gt;"Có",M4360="Có"),OR(DANH_MUC!$L$6&lt;&gt;"Có",N4360="Có"),OR(DANH_MUC!$L$7&lt;&gt;"Có",O4360="Có"),OR(DANH_MUC!$L$8&lt;&gt;"Có",P4360="Có")),"Có","Không"))</f>
        <v/>
      </c>
      <c r="R4360" s="22">
        <f>IF($D4360="","",IF(COUNTIF($D$2:$D4360,$D4360)&gt;1,"Trùng",""))</f>
        <v/>
      </c>
      <c r="S4360" s="22">
        <f>IF($D4360="","",IF(AND(LEN($D4360)=10,LEFT($D4360,1)="0",ISNUMBER(--$D4360)),"Có","Không"))</f>
        <v/>
      </c>
      <c r="T4360" s="22">
        <f>IF($D4360="","",IF(AND($C4360&lt;&gt;"",$Q4360="Có",$R4360="",$S4360="Có",AND($L4360&lt;&gt;"",OR($L4360&lt;&gt;"Chưa xác định",DANH_MUC!$L$9="Có"))),"Có","Không"))</f>
        <v/>
      </c>
      <c r="U4360" s="22">
        <f>IF(OR($D4360="",$T4360="Có"),"",IF($C4360="","Thiếu họ tên; ","")&amp;IF($S4360&lt;&gt;"Có","SĐT sai định dạng; ","")&amp;IF($R4360="Trùng","Trùng SĐT; ","")&amp;IF($Q4360&lt;&gt;"Có","Thiếu đồng ý bắt buộc; ","")&amp;IF($L4360="","Thiếu/sai Mã REF; ",IF(AND($L4360="Chưa xác định",DANH_MUC!$L$9&lt;&gt;"Có"),"Nguồn chưa xác định; ","")))</f>
        <v/>
      </c>
      <c r="V4360" s="22">
        <f>IF(OR($D4360="",$R4360="Trùng"),"",IF(COUNTIF(ORDERS!$C$2:$C$4995,$D4360)&gt;0,"Có","Không"))</f>
        <v/>
      </c>
      <c r="W4360" s="22">
        <f>IF(OR($D4360="",$R4360="Trùng"),"",COUNTIFS(ORDERS!$C$2:$C$4995,$D4360,ORDERS!$L$2:$L$4995,"Đã chuyển khoản"))</f>
        <v/>
      </c>
      <c r="X4360" s="23">
        <f>IF(OR($D4360="",$R4360="Trùng"),"",SUMIFS(ORDERS!$J$2:$J$4995,ORDERS!$C$2:$C$4995,$D4360,ORDERS!$L$2:$L$4995,"Đã chuyển khoản"))</f>
        <v/>
      </c>
      <c r="Y4360" s="24" t="n"/>
    </row>
    <row r="4361" ht="14.25" customHeight="1" s="40">
      <c r="A4361" s="24" t="n"/>
      <c r="B4361" s="27" t="n"/>
      <c r="C4361" s="24" t="n"/>
      <c r="D4361" s="28" t="n"/>
      <c r="E4361" s="29" t="n"/>
      <c r="F4361" s="24" t="n"/>
      <c r="G4361" s="24" t="n"/>
      <c r="H4361" s="21">
        <f>IF(ISNUMBER($B4361),INT($B4361)-WEEKDAY($B4361,2)+1,"")</f>
        <v/>
      </c>
      <c r="I4361" s="24" t="n"/>
      <c r="J4361" s="22">
        <f t="array" ref="J4361">IF($D4361="","",IF($I4361="","(trống REF)",IFERROR(INDEX(MASTER_SOURCE!$B$2:$B$495,MATCH($I4361,MASTER_SOURCE!$A$2:$A$495,0)),"(REF không có trong MASTER_SOURCE)")))</f>
        <v/>
      </c>
      <c r="K4361" s="22">
        <f t="array" ref="K4361">IF($D4361="","",IFERROR(INDEX(MASTER_SOURCE!$C$2:$C$495,MATCH($I4361,MASTER_SOURCE!$A$2:$A$495,0)),""))</f>
        <v/>
      </c>
      <c r="L4361" s="22">
        <f t="array" ref="L4361">IF($D4361="","",IFERROR(INDEX(MASTER_SOURCE!$D$2:$D$495,MATCH($I4361,MASTER_SOURCE!$A$2:$A$495,0)),""))</f>
        <v/>
      </c>
      <c r="M4361" s="24" t="n"/>
      <c r="N4361" s="24" t="n"/>
      <c r="O4361" s="24" t="n"/>
      <c r="P4361" s="24" t="n"/>
      <c r="Q4361" s="22">
        <f>IF($D4361="","",IF(AND(OR(DANH_MUC!$L$5&lt;&gt;"Có",M4361="Có"),OR(DANH_MUC!$L$6&lt;&gt;"Có",N4361="Có"),OR(DANH_MUC!$L$7&lt;&gt;"Có",O4361="Có"),OR(DANH_MUC!$L$8&lt;&gt;"Có",P4361="Có")),"Có","Không"))</f>
        <v/>
      </c>
      <c r="R4361" s="22">
        <f>IF($D4361="","",IF(COUNTIF($D$2:$D4361,$D4361)&gt;1,"Trùng",""))</f>
        <v/>
      </c>
      <c r="S4361" s="22">
        <f>IF($D4361="","",IF(AND(LEN($D4361)=10,LEFT($D4361,1)="0",ISNUMBER(--$D4361)),"Có","Không"))</f>
        <v/>
      </c>
      <c r="T4361" s="22">
        <f>IF($D4361="","",IF(AND($C4361&lt;&gt;"",$Q4361="Có",$R4361="",$S4361="Có",AND($L4361&lt;&gt;"",OR($L4361&lt;&gt;"Chưa xác định",DANH_MUC!$L$9="Có"))),"Có","Không"))</f>
        <v/>
      </c>
      <c r="U4361" s="22">
        <f>IF(OR($D4361="",$T4361="Có"),"",IF($C4361="","Thiếu họ tên; ","")&amp;IF($S4361&lt;&gt;"Có","SĐT sai định dạng; ","")&amp;IF($R4361="Trùng","Trùng SĐT; ","")&amp;IF($Q4361&lt;&gt;"Có","Thiếu đồng ý bắt buộc; ","")&amp;IF($L4361="","Thiếu/sai Mã REF; ",IF(AND($L4361="Chưa xác định",DANH_MUC!$L$9&lt;&gt;"Có"),"Nguồn chưa xác định; ","")))</f>
        <v/>
      </c>
      <c r="V4361" s="22">
        <f>IF(OR($D4361="",$R4361="Trùng"),"",IF(COUNTIF(ORDERS!$C$2:$C$4995,$D4361)&gt;0,"Có","Không"))</f>
        <v/>
      </c>
      <c r="W4361" s="22">
        <f>IF(OR($D4361="",$R4361="Trùng"),"",COUNTIFS(ORDERS!$C$2:$C$4995,$D4361,ORDERS!$L$2:$L$4995,"Đã chuyển khoản"))</f>
        <v/>
      </c>
      <c r="X4361" s="23">
        <f>IF(OR($D4361="",$R4361="Trùng"),"",SUMIFS(ORDERS!$J$2:$J$4995,ORDERS!$C$2:$C$4995,$D4361,ORDERS!$L$2:$L$4995,"Đã chuyển khoản"))</f>
        <v/>
      </c>
      <c r="Y4361" s="24" t="n"/>
    </row>
    <row r="4362" ht="14.25" customHeight="1" s="40">
      <c r="A4362" s="24" t="n"/>
      <c r="B4362" s="27" t="n"/>
      <c r="C4362" s="24" t="n"/>
      <c r="D4362" s="28" t="n"/>
      <c r="E4362" s="29" t="n"/>
      <c r="F4362" s="24" t="n"/>
      <c r="G4362" s="24" t="n"/>
      <c r="H4362" s="21">
        <f>IF(ISNUMBER($B4362),INT($B4362)-WEEKDAY($B4362,2)+1,"")</f>
        <v/>
      </c>
      <c r="I4362" s="24" t="n"/>
      <c r="J4362" s="22">
        <f t="array" ref="J4362">IF($D4362="","",IF($I4362="","(trống REF)",IFERROR(INDEX(MASTER_SOURCE!$B$2:$B$495,MATCH($I4362,MASTER_SOURCE!$A$2:$A$495,0)),"(REF không có trong MASTER_SOURCE)")))</f>
        <v/>
      </c>
      <c r="K4362" s="22">
        <f t="array" ref="K4362">IF($D4362="","",IFERROR(INDEX(MASTER_SOURCE!$C$2:$C$495,MATCH($I4362,MASTER_SOURCE!$A$2:$A$495,0)),""))</f>
        <v/>
      </c>
      <c r="L4362" s="22">
        <f t="array" ref="L4362">IF($D4362="","",IFERROR(INDEX(MASTER_SOURCE!$D$2:$D$495,MATCH($I4362,MASTER_SOURCE!$A$2:$A$495,0)),""))</f>
        <v/>
      </c>
      <c r="M4362" s="24" t="n"/>
      <c r="N4362" s="24" t="n"/>
      <c r="O4362" s="24" t="n"/>
      <c r="P4362" s="24" t="n"/>
      <c r="Q4362" s="22">
        <f>IF($D4362="","",IF(AND(OR(DANH_MUC!$L$5&lt;&gt;"Có",M4362="Có"),OR(DANH_MUC!$L$6&lt;&gt;"Có",N4362="Có"),OR(DANH_MUC!$L$7&lt;&gt;"Có",O4362="Có"),OR(DANH_MUC!$L$8&lt;&gt;"Có",P4362="Có")),"Có","Không"))</f>
        <v/>
      </c>
      <c r="R4362" s="22">
        <f>IF($D4362="","",IF(COUNTIF($D$2:$D4362,$D4362)&gt;1,"Trùng",""))</f>
        <v/>
      </c>
      <c r="S4362" s="22">
        <f>IF($D4362="","",IF(AND(LEN($D4362)=10,LEFT($D4362,1)="0",ISNUMBER(--$D4362)),"Có","Không"))</f>
        <v/>
      </c>
      <c r="T4362" s="22">
        <f>IF($D4362="","",IF(AND($C4362&lt;&gt;"",$Q4362="Có",$R4362="",$S4362="Có",AND($L4362&lt;&gt;"",OR($L4362&lt;&gt;"Chưa xác định",DANH_MUC!$L$9="Có"))),"Có","Không"))</f>
        <v/>
      </c>
      <c r="U4362" s="22">
        <f>IF(OR($D4362="",$T4362="Có"),"",IF($C4362="","Thiếu họ tên; ","")&amp;IF($S4362&lt;&gt;"Có","SĐT sai định dạng; ","")&amp;IF($R4362="Trùng","Trùng SĐT; ","")&amp;IF($Q4362&lt;&gt;"Có","Thiếu đồng ý bắt buộc; ","")&amp;IF($L4362="","Thiếu/sai Mã REF; ",IF(AND($L4362="Chưa xác định",DANH_MUC!$L$9&lt;&gt;"Có"),"Nguồn chưa xác định; ","")))</f>
        <v/>
      </c>
      <c r="V4362" s="22">
        <f>IF(OR($D4362="",$R4362="Trùng"),"",IF(COUNTIF(ORDERS!$C$2:$C$4995,$D4362)&gt;0,"Có","Không"))</f>
        <v/>
      </c>
      <c r="W4362" s="22">
        <f>IF(OR($D4362="",$R4362="Trùng"),"",COUNTIFS(ORDERS!$C$2:$C$4995,$D4362,ORDERS!$L$2:$L$4995,"Đã chuyển khoản"))</f>
        <v/>
      </c>
      <c r="X4362" s="23">
        <f>IF(OR($D4362="",$R4362="Trùng"),"",SUMIFS(ORDERS!$J$2:$J$4995,ORDERS!$C$2:$C$4995,$D4362,ORDERS!$L$2:$L$4995,"Đã chuyển khoản"))</f>
        <v/>
      </c>
      <c r="Y4362" s="24" t="n"/>
    </row>
    <row r="4363" ht="14.25" customHeight="1" s="40">
      <c r="A4363" s="24" t="n"/>
      <c r="B4363" s="27" t="n"/>
      <c r="C4363" s="24" t="n"/>
      <c r="D4363" s="28" t="n"/>
      <c r="E4363" s="29" t="n"/>
      <c r="F4363" s="24" t="n"/>
      <c r="G4363" s="24" t="n"/>
      <c r="H4363" s="21">
        <f>IF(ISNUMBER($B4363),INT($B4363)-WEEKDAY($B4363,2)+1,"")</f>
        <v/>
      </c>
      <c r="I4363" s="24" t="n"/>
      <c r="J4363" s="22">
        <f t="array" ref="J4363">IF($D4363="","",IF($I4363="","(trống REF)",IFERROR(INDEX(MASTER_SOURCE!$B$2:$B$495,MATCH($I4363,MASTER_SOURCE!$A$2:$A$495,0)),"(REF không có trong MASTER_SOURCE)")))</f>
        <v/>
      </c>
      <c r="K4363" s="22">
        <f t="array" ref="K4363">IF($D4363="","",IFERROR(INDEX(MASTER_SOURCE!$C$2:$C$495,MATCH($I4363,MASTER_SOURCE!$A$2:$A$495,0)),""))</f>
        <v/>
      </c>
      <c r="L4363" s="22">
        <f t="array" ref="L4363">IF($D4363="","",IFERROR(INDEX(MASTER_SOURCE!$D$2:$D$495,MATCH($I4363,MASTER_SOURCE!$A$2:$A$495,0)),""))</f>
        <v/>
      </c>
      <c r="M4363" s="24" t="n"/>
      <c r="N4363" s="24" t="n"/>
      <c r="O4363" s="24" t="n"/>
      <c r="P4363" s="24" t="n"/>
      <c r="Q4363" s="22">
        <f>IF($D4363="","",IF(AND(OR(DANH_MUC!$L$5&lt;&gt;"Có",M4363="Có"),OR(DANH_MUC!$L$6&lt;&gt;"Có",N4363="Có"),OR(DANH_MUC!$L$7&lt;&gt;"Có",O4363="Có"),OR(DANH_MUC!$L$8&lt;&gt;"Có",P4363="Có")),"Có","Không"))</f>
        <v/>
      </c>
      <c r="R4363" s="22">
        <f>IF($D4363="","",IF(COUNTIF($D$2:$D4363,$D4363)&gt;1,"Trùng",""))</f>
        <v/>
      </c>
      <c r="S4363" s="22">
        <f>IF($D4363="","",IF(AND(LEN($D4363)=10,LEFT($D4363,1)="0",ISNUMBER(--$D4363)),"Có","Không"))</f>
        <v/>
      </c>
      <c r="T4363" s="22">
        <f>IF($D4363="","",IF(AND($C4363&lt;&gt;"",$Q4363="Có",$R4363="",$S4363="Có",AND($L4363&lt;&gt;"",OR($L4363&lt;&gt;"Chưa xác định",DANH_MUC!$L$9="Có"))),"Có","Không"))</f>
        <v/>
      </c>
      <c r="U4363" s="22">
        <f>IF(OR($D4363="",$T4363="Có"),"",IF($C4363="","Thiếu họ tên; ","")&amp;IF($S4363&lt;&gt;"Có","SĐT sai định dạng; ","")&amp;IF($R4363="Trùng","Trùng SĐT; ","")&amp;IF($Q4363&lt;&gt;"Có","Thiếu đồng ý bắt buộc; ","")&amp;IF($L4363="","Thiếu/sai Mã REF; ",IF(AND($L4363="Chưa xác định",DANH_MUC!$L$9&lt;&gt;"Có"),"Nguồn chưa xác định; ","")))</f>
        <v/>
      </c>
      <c r="V4363" s="22">
        <f>IF(OR($D4363="",$R4363="Trùng"),"",IF(COUNTIF(ORDERS!$C$2:$C$4995,$D4363)&gt;0,"Có","Không"))</f>
        <v/>
      </c>
      <c r="W4363" s="22">
        <f>IF(OR($D4363="",$R4363="Trùng"),"",COUNTIFS(ORDERS!$C$2:$C$4995,$D4363,ORDERS!$L$2:$L$4995,"Đã chuyển khoản"))</f>
        <v/>
      </c>
      <c r="X4363" s="23">
        <f>IF(OR($D4363="",$R4363="Trùng"),"",SUMIFS(ORDERS!$J$2:$J$4995,ORDERS!$C$2:$C$4995,$D4363,ORDERS!$L$2:$L$4995,"Đã chuyển khoản"))</f>
        <v/>
      </c>
      <c r="Y4363" s="24" t="n"/>
    </row>
    <row r="4364" ht="14.25" customHeight="1" s="40">
      <c r="A4364" s="24" t="n"/>
      <c r="B4364" s="27" t="n"/>
      <c r="C4364" s="24" t="n"/>
      <c r="D4364" s="28" t="n"/>
      <c r="E4364" s="29" t="n"/>
      <c r="F4364" s="24" t="n"/>
      <c r="G4364" s="24" t="n"/>
      <c r="H4364" s="21">
        <f>IF(ISNUMBER($B4364),INT($B4364)-WEEKDAY($B4364,2)+1,"")</f>
        <v/>
      </c>
      <c r="I4364" s="24" t="n"/>
      <c r="J4364" s="22">
        <f t="array" ref="J4364">IF($D4364="","",IF($I4364="","(trống REF)",IFERROR(INDEX(MASTER_SOURCE!$B$2:$B$495,MATCH($I4364,MASTER_SOURCE!$A$2:$A$495,0)),"(REF không có trong MASTER_SOURCE)")))</f>
        <v/>
      </c>
      <c r="K4364" s="22">
        <f t="array" ref="K4364">IF($D4364="","",IFERROR(INDEX(MASTER_SOURCE!$C$2:$C$495,MATCH($I4364,MASTER_SOURCE!$A$2:$A$495,0)),""))</f>
        <v/>
      </c>
      <c r="L4364" s="22">
        <f t="array" ref="L4364">IF($D4364="","",IFERROR(INDEX(MASTER_SOURCE!$D$2:$D$495,MATCH($I4364,MASTER_SOURCE!$A$2:$A$495,0)),""))</f>
        <v/>
      </c>
      <c r="M4364" s="24" t="n"/>
      <c r="N4364" s="24" t="n"/>
      <c r="O4364" s="24" t="n"/>
      <c r="P4364" s="24" t="n"/>
      <c r="Q4364" s="22">
        <f>IF($D4364="","",IF(AND(OR(DANH_MUC!$L$5&lt;&gt;"Có",M4364="Có"),OR(DANH_MUC!$L$6&lt;&gt;"Có",N4364="Có"),OR(DANH_MUC!$L$7&lt;&gt;"Có",O4364="Có"),OR(DANH_MUC!$L$8&lt;&gt;"Có",P4364="Có")),"Có","Không"))</f>
        <v/>
      </c>
      <c r="R4364" s="22">
        <f>IF($D4364="","",IF(COUNTIF($D$2:$D4364,$D4364)&gt;1,"Trùng",""))</f>
        <v/>
      </c>
      <c r="S4364" s="22">
        <f>IF($D4364="","",IF(AND(LEN($D4364)=10,LEFT($D4364,1)="0",ISNUMBER(--$D4364)),"Có","Không"))</f>
        <v/>
      </c>
      <c r="T4364" s="22">
        <f>IF($D4364="","",IF(AND($C4364&lt;&gt;"",$Q4364="Có",$R4364="",$S4364="Có",AND($L4364&lt;&gt;"",OR($L4364&lt;&gt;"Chưa xác định",DANH_MUC!$L$9="Có"))),"Có","Không"))</f>
        <v/>
      </c>
      <c r="U4364" s="22">
        <f>IF(OR($D4364="",$T4364="Có"),"",IF($C4364="","Thiếu họ tên; ","")&amp;IF($S4364&lt;&gt;"Có","SĐT sai định dạng; ","")&amp;IF($R4364="Trùng","Trùng SĐT; ","")&amp;IF($Q4364&lt;&gt;"Có","Thiếu đồng ý bắt buộc; ","")&amp;IF($L4364="","Thiếu/sai Mã REF; ",IF(AND($L4364="Chưa xác định",DANH_MUC!$L$9&lt;&gt;"Có"),"Nguồn chưa xác định; ","")))</f>
        <v/>
      </c>
      <c r="V4364" s="22">
        <f>IF(OR($D4364="",$R4364="Trùng"),"",IF(COUNTIF(ORDERS!$C$2:$C$4995,$D4364)&gt;0,"Có","Không"))</f>
        <v/>
      </c>
      <c r="W4364" s="22">
        <f>IF(OR($D4364="",$R4364="Trùng"),"",COUNTIFS(ORDERS!$C$2:$C$4995,$D4364,ORDERS!$L$2:$L$4995,"Đã chuyển khoản"))</f>
        <v/>
      </c>
      <c r="X4364" s="23">
        <f>IF(OR($D4364="",$R4364="Trùng"),"",SUMIFS(ORDERS!$J$2:$J$4995,ORDERS!$C$2:$C$4995,$D4364,ORDERS!$L$2:$L$4995,"Đã chuyển khoản"))</f>
        <v/>
      </c>
      <c r="Y4364" s="24" t="n"/>
    </row>
    <row r="4365" ht="14.25" customHeight="1" s="40">
      <c r="A4365" s="24" t="n"/>
      <c r="B4365" s="27" t="n"/>
      <c r="C4365" s="24" t="n"/>
      <c r="D4365" s="28" t="n"/>
      <c r="E4365" s="29" t="n"/>
      <c r="F4365" s="24" t="n"/>
      <c r="G4365" s="24" t="n"/>
      <c r="H4365" s="21">
        <f>IF(ISNUMBER($B4365),INT($B4365)-WEEKDAY($B4365,2)+1,"")</f>
        <v/>
      </c>
      <c r="I4365" s="24" t="n"/>
      <c r="J4365" s="22">
        <f t="array" ref="J4365">IF($D4365="","",IF($I4365="","(trống REF)",IFERROR(INDEX(MASTER_SOURCE!$B$2:$B$495,MATCH($I4365,MASTER_SOURCE!$A$2:$A$495,0)),"(REF không có trong MASTER_SOURCE)")))</f>
        <v/>
      </c>
      <c r="K4365" s="22">
        <f t="array" ref="K4365">IF($D4365="","",IFERROR(INDEX(MASTER_SOURCE!$C$2:$C$495,MATCH($I4365,MASTER_SOURCE!$A$2:$A$495,0)),""))</f>
        <v/>
      </c>
      <c r="L4365" s="22">
        <f t="array" ref="L4365">IF($D4365="","",IFERROR(INDEX(MASTER_SOURCE!$D$2:$D$495,MATCH($I4365,MASTER_SOURCE!$A$2:$A$495,0)),""))</f>
        <v/>
      </c>
      <c r="M4365" s="24" t="n"/>
      <c r="N4365" s="24" t="n"/>
      <c r="O4365" s="24" t="n"/>
      <c r="P4365" s="24" t="n"/>
      <c r="Q4365" s="22">
        <f>IF($D4365="","",IF(AND(OR(DANH_MUC!$L$5&lt;&gt;"Có",M4365="Có"),OR(DANH_MUC!$L$6&lt;&gt;"Có",N4365="Có"),OR(DANH_MUC!$L$7&lt;&gt;"Có",O4365="Có"),OR(DANH_MUC!$L$8&lt;&gt;"Có",P4365="Có")),"Có","Không"))</f>
        <v/>
      </c>
      <c r="R4365" s="22">
        <f>IF($D4365="","",IF(COUNTIF($D$2:$D4365,$D4365)&gt;1,"Trùng",""))</f>
        <v/>
      </c>
      <c r="S4365" s="22">
        <f>IF($D4365="","",IF(AND(LEN($D4365)=10,LEFT($D4365,1)="0",ISNUMBER(--$D4365)),"Có","Không"))</f>
        <v/>
      </c>
      <c r="T4365" s="22">
        <f>IF($D4365="","",IF(AND($C4365&lt;&gt;"",$Q4365="Có",$R4365="",$S4365="Có",AND($L4365&lt;&gt;"",OR($L4365&lt;&gt;"Chưa xác định",DANH_MUC!$L$9="Có"))),"Có","Không"))</f>
        <v/>
      </c>
      <c r="U4365" s="22">
        <f>IF(OR($D4365="",$T4365="Có"),"",IF($C4365="","Thiếu họ tên; ","")&amp;IF($S4365&lt;&gt;"Có","SĐT sai định dạng; ","")&amp;IF($R4365="Trùng","Trùng SĐT; ","")&amp;IF($Q4365&lt;&gt;"Có","Thiếu đồng ý bắt buộc; ","")&amp;IF($L4365="","Thiếu/sai Mã REF; ",IF(AND($L4365="Chưa xác định",DANH_MUC!$L$9&lt;&gt;"Có"),"Nguồn chưa xác định; ","")))</f>
        <v/>
      </c>
      <c r="V4365" s="22">
        <f>IF(OR($D4365="",$R4365="Trùng"),"",IF(COUNTIF(ORDERS!$C$2:$C$4995,$D4365)&gt;0,"Có","Không"))</f>
        <v/>
      </c>
      <c r="W4365" s="22">
        <f>IF(OR($D4365="",$R4365="Trùng"),"",COUNTIFS(ORDERS!$C$2:$C$4995,$D4365,ORDERS!$L$2:$L$4995,"Đã chuyển khoản"))</f>
        <v/>
      </c>
      <c r="X4365" s="23">
        <f>IF(OR($D4365="",$R4365="Trùng"),"",SUMIFS(ORDERS!$J$2:$J$4995,ORDERS!$C$2:$C$4995,$D4365,ORDERS!$L$2:$L$4995,"Đã chuyển khoản"))</f>
        <v/>
      </c>
      <c r="Y4365" s="24" t="n"/>
    </row>
    <row r="4366" ht="14.25" customHeight="1" s="40">
      <c r="A4366" s="24" t="n"/>
      <c r="B4366" s="27" t="n"/>
      <c r="C4366" s="24" t="n"/>
      <c r="D4366" s="28" t="n"/>
      <c r="E4366" s="29" t="n"/>
      <c r="F4366" s="24" t="n"/>
      <c r="G4366" s="24" t="n"/>
      <c r="H4366" s="21">
        <f>IF(ISNUMBER($B4366),INT($B4366)-WEEKDAY($B4366,2)+1,"")</f>
        <v/>
      </c>
      <c r="I4366" s="24" t="n"/>
      <c r="J4366" s="22">
        <f t="array" ref="J4366">IF($D4366="","",IF($I4366="","(trống REF)",IFERROR(INDEX(MASTER_SOURCE!$B$2:$B$495,MATCH($I4366,MASTER_SOURCE!$A$2:$A$495,0)),"(REF không có trong MASTER_SOURCE)")))</f>
        <v/>
      </c>
      <c r="K4366" s="22">
        <f t="array" ref="K4366">IF($D4366="","",IFERROR(INDEX(MASTER_SOURCE!$C$2:$C$495,MATCH($I4366,MASTER_SOURCE!$A$2:$A$495,0)),""))</f>
        <v/>
      </c>
      <c r="L4366" s="22">
        <f t="array" ref="L4366">IF($D4366="","",IFERROR(INDEX(MASTER_SOURCE!$D$2:$D$495,MATCH($I4366,MASTER_SOURCE!$A$2:$A$495,0)),""))</f>
        <v/>
      </c>
      <c r="M4366" s="24" t="n"/>
      <c r="N4366" s="24" t="n"/>
      <c r="O4366" s="24" t="n"/>
      <c r="P4366" s="24" t="n"/>
      <c r="Q4366" s="22">
        <f>IF($D4366="","",IF(AND(OR(DANH_MUC!$L$5&lt;&gt;"Có",M4366="Có"),OR(DANH_MUC!$L$6&lt;&gt;"Có",N4366="Có"),OR(DANH_MUC!$L$7&lt;&gt;"Có",O4366="Có"),OR(DANH_MUC!$L$8&lt;&gt;"Có",P4366="Có")),"Có","Không"))</f>
        <v/>
      </c>
      <c r="R4366" s="22">
        <f>IF($D4366="","",IF(COUNTIF($D$2:$D4366,$D4366)&gt;1,"Trùng",""))</f>
        <v/>
      </c>
      <c r="S4366" s="22">
        <f>IF($D4366="","",IF(AND(LEN($D4366)=10,LEFT($D4366,1)="0",ISNUMBER(--$D4366)),"Có","Không"))</f>
        <v/>
      </c>
      <c r="T4366" s="22">
        <f>IF($D4366="","",IF(AND($C4366&lt;&gt;"",$Q4366="Có",$R4366="",$S4366="Có",AND($L4366&lt;&gt;"",OR($L4366&lt;&gt;"Chưa xác định",DANH_MUC!$L$9="Có"))),"Có","Không"))</f>
        <v/>
      </c>
      <c r="U4366" s="22">
        <f>IF(OR($D4366="",$T4366="Có"),"",IF($C4366="","Thiếu họ tên; ","")&amp;IF($S4366&lt;&gt;"Có","SĐT sai định dạng; ","")&amp;IF($R4366="Trùng","Trùng SĐT; ","")&amp;IF($Q4366&lt;&gt;"Có","Thiếu đồng ý bắt buộc; ","")&amp;IF($L4366="","Thiếu/sai Mã REF; ",IF(AND($L4366="Chưa xác định",DANH_MUC!$L$9&lt;&gt;"Có"),"Nguồn chưa xác định; ","")))</f>
        <v/>
      </c>
      <c r="V4366" s="22">
        <f>IF(OR($D4366="",$R4366="Trùng"),"",IF(COUNTIF(ORDERS!$C$2:$C$4995,$D4366)&gt;0,"Có","Không"))</f>
        <v/>
      </c>
      <c r="W4366" s="22">
        <f>IF(OR($D4366="",$R4366="Trùng"),"",COUNTIFS(ORDERS!$C$2:$C$4995,$D4366,ORDERS!$L$2:$L$4995,"Đã chuyển khoản"))</f>
        <v/>
      </c>
      <c r="X4366" s="23">
        <f>IF(OR($D4366="",$R4366="Trùng"),"",SUMIFS(ORDERS!$J$2:$J$4995,ORDERS!$C$2:$C$4995,$D4366,ORDERS!$L$2:$L$4995,"Đã chuyển khoản"))</f>
        <v/>
      </c>
      <c r="Y4366" s="24" t="n"/>
    </row>
    <row r="4367" ht="14.25" customHeight="1" s="40">
      <c r="A4367" s="24" t="n"/>
      <c r="B4367" s="27" t="n"/>
      <c r="C4367" s="24" t="n"/>
      <c r="D4367" s="28" t="n"/>
      <c r="E4367" s="29" t="n"/>
      <c r="F4367" s="24" t="n"/>
      <c r="G4367" s="24" t="n"/>
      <c r="H4367" s="21">
        <f>IF(ISNUMBER($B4367),INT($B4367)-WEEKDAY($B4367,2)+1,"")</f>
        <v/>
      </c>
      <c r="I4367" s="24" t="n"/>
      <c r="J4367" s="22">
        <f t="array" ref="J4367">IF($D4367="","",IF($I4367="","(trống REF)",IFERROR(INDEX(MASTER_SOURCE!$B$2:$B$495,MATCH($I4367,MASTER_SOURCE!$A$2:$A$495,0)),"(REF không có trong MASTER_SOURCE)")))</f>
        <v/>
      </c>
      <c r="K4367" s="22">
        <f t="array" ref="K4367">IF($D4367="","",IFERROR(INDEX(MASTER_SOURCE!$C$2:$C$495,MATCH($I4367,MASTER_SOURCE!$A$2:$A$495,0)),""))</f>
        <v/>
      </c>
      <c r="L4367" s="22">
        <f t="array" ref="L4367">IF($D4367="","",IFERROR(INDEX(MASTER_SOURCE!$D$2:$D$495,MATCH($I4367,MASTER_SOURCE!$A$2:$A$495,0)),""))</f>
        <v/>
      </c>
      <c r="M4367" s="24" t="n"/>
      <c r="N4367" s="24" t="n"/>
      <c r="O4367" s="24" t="n"/>
      <c r="P4367" s="24" t="n"/>
      <c r="Q4367" s="22">
        <f>IF($D4367="","",IF(AND(OR(DANH_MUC!$L$5&lt;&gt;"Có",M4367="Có"),OR(DANH_MUC!$L$6&lt;&gt;"Có",N4367="Có"),OR(DANH_MUC!$L$7&lt;&gt;"Có",O4367="Có"),OR(DANH_MUC!$L$8&lt;&gt;"Có",P4367="Có")),"Có","Không"))</f>
        <v/>
      </c>
      <c r="R4367" s="22">
        <f>IF($D4367="","",IF(COUNTIF($D$2:$D4367,$D4367)&gt;1,"Trùng",""))</f>
        <v/>
      </c>
      <c r="S4367" s="22">
        <f>IF($D4367="","",IF(AND(LEN($D4367)=10,LEFT($D4367,1)="0",ISNUMBER(--$D4367)),"Có","Không"))</f>
        <v/>
      </c>
      <c r="T4367" s="22">
        <f>IF($D4367="","",IF(AND($C4367&lt;&gt;"",$Q4367="Có",$R4367="",$S4367="Có",AND($L4367&lt;&gt;"",OR($L4367&lt;&gt;"Chưa xác định",DANH_MUC!$L$9="Có"))),"Có","Không"))</f>
        <v/>
      </c>
      <c r="U4367" s="22">
        <f>IF(OR($D4367="",$T4367="Có"),"",IF($C4367="","Thiếu họ tên; ","")&amp;IF($S4367&lt;&gt;"Có","SĐT sai định dạng; ","")&amp;IF($R4367="Trùng","Trùng SĐT; ","")&amp;IF($Q4367&lt;&gt;"Có","Thiếu đồng ý bắt buộc; ","")&amp;IF($L4367="","Thiếu/sai Mã REF; ",IF(AND($L4367="Chưa xác định",DANH_MUC!$L$9&lt;&gt;"Có"),"Nguồn chưa xác định; ","")))</f>
        <v/>
      </c>
      <c r="V4367" s="22">
        <f>IF(OR($D4367="",$R4367="Trùng"),"",IF(COUNTIF(ORDERS!$C$2:$C$4995,$D4367)&gt;0,"Có","Không"))</f>
        <v/>
      </c>
      <c r="W4367" s="22">
        <f>IF(OR($D4367="",$R4367="Trùng"),"",COUNTIFS(ORDERS!$C$2:$C$4995,$D4367,ORDERS!$L$2:$L$4995,"Đã chuyển khoản"))</f>
        <v/>
      </c>
      <c r="X4367" s="23">
        <f>IF(OR($D4367="",$R4367="Trùng"),"",SUMIFS(ORDERS!$J$2:$J$4995,ORDERS!$C$2:$C$4995,$D4367,ORDERS!$L$2:$L$4995,"Đã chuyển khoản"))</f>
        <v/>
      </c>
      <c r="Y4367" s="24" t="n"/>
    </row>
    <row r="4368" ht="14.25" customHeight="1" s="40">
      <c r="A4368" s="24" t="n"/>
      <c r="B4368" s="27" t="n"/>
      <c r="C4368" s="24" t="n"/>
      <c r="D4368" s="28" t="n"/>
      <c r="E4368" s="29" t="n"/>
      <c r="F4368" s="24" t="n"/>
      <c r="G4368" s="24" t="n"/>
      <c r="H4368" s="21">
        <f>IF(ISNUMBER($B4368),INT($B4368)-WEEKDAY($B4368,2)+1,"")</f>
        <v/>
      </c>
      <c r="I4368" s="24" t="n"/>
      <c r="J4368" s="22">
        <f t="array" ref="J4368">IF($D4368="","",IF($I4368="","(trống REF)",IFERROR(INDEX(MASTER_SOURCE!$B$2:$B$495,MATCH($I4368,MASTER_SOURCE!$A$2:$A$495,0)),"(REF không có trong MASTER_SOURCE)")))</f>
        <v/>
      </c>
      <c r="K4368" s="22">
        <f t="array" ref="K4368">IF($D4368="","",IFERROR(INDEX(MASTER_SOURCE!$C$2:$C$495,MATCH($I4368,MASTER_SOURCE!$A$2:$A$495,0)),""))</f>
        <v/>
      </c>
      <c r="L4368" s="22">
        <f t="array" ref="L4368">IF($D4368="","",IFERROR(INDEX(MASTER_SOURCE!$D$2:$D$495,MATCH($I4368,MASTER_SOURCE!$A$2:$A$495,0)),""))</f>
        <v/>
      </c>
      <c r="M4368" s="24" t="n"/>
      <c r="N4368" s="24" t="n"/>
      <c r="O4368" s="24" t="n"/>
      <c r="P4368" s="24" t="n"/>
      <c r="Q4368" s="22">
        <f>IF($D4368="","",IF(AND(OR(DANH_MUC!$L$5&lt;&gt;"Có",M4368="Có"),OR(DANH_MUC!$L$6&lt;&gt;"Có",N4368="Có"),OR(DANH_MUC!$L$7&lt;&gt;"Có",O4368="Có"),OR(DANH_MUC!$L$8&lt;&gt;"Có",P4368="Có")),"Có","Không"))</f>
        <v/>
      </c>
      <c r="R4368" s="22">
        <f>IF($D4368="","",IF(COUNTIF($D$2:$D4368,$D4368)&gt;1,"Trùng",""))</f>
        <v/>
      </c>
      <c r="S4368" s="22">
        <f>IF($D4368="","",IF(AND(LEN($D4368)=10,LEFT($D4368,1)="0",ISNUMBER(--$D4368)),"Có","Không"))</f>
        <v/>
      </c>
      <c r="T4368" s="22">
        <f>IF($D4368="","",IF(AND($C4368&lt;&gt;"",$Q4368="Có",$R4368="",$S4368="Có",AND($L4368&lt;&gt;"",OR($L4368&lt;&gt;"Chưa xác định",DANH_MUC!$L$9="Có"))),"Có","Không"))</f>
        <v/>
      </c>
      <c r="U4368" s="22">
        <f>IF(OR($D4368="",$T4368="Có"),"",IF($C4368="","Thiếu họ tên; ","")&amp;IF($S4368&lt;&gt;"Có","SĐT sai định dạng; ","")&amp;IF($R4368="Trùng","Trùng SĐT; ","")&amp;IF($Q4368&lt;&gt;"Có","Thiếu đồng ý bắt buộc; ","")&amp;IF($L4368="","Thiếu/sai Mã REF; ",IF(AND($L4368="Chưa xác định",DANH_MUC!$L$9&lt;&gt;"Có"),"Nguồn chưa xác định; ","")))</f>
        <v/>
      </c>
      <c r="V4368" s="22">
        <f>IF(OR($D4368="",$R4368="Trùng"),"",IF(COUNTIF(ORDERS!$C$2:$C$4995,$D4368)&gt;0,"Có","Không"))</f>
        <v/>
      </c>
      <c r="W4368" s="22">
        <f>IF(OR($D4368="",$R4368="Trùng"),"",COUNTIFS(ORDERS!$C$2:$C$4995,$D4368,ORDERS!$L$2:$L$4995,"Đã chuyển khoản"))</f>
        <v/>
      </c>
      <c r="X4368" s="23">
        <f>IF(OR($D4368="",$R4368="Trùng"),"",SUMIFS(ORDERS!$J$2:$J$4995,ORDERS!$C$2:$C$4995,$D4368,ORDERS!$L$2:$L$4995,"Đã chuyển khoản"))</f>
        <v/>
      </c>
      <c r="Y4368" s="24" t="n"/>
    </row>
    <row r="4369" ht="14.25" customHeight="1" s="40">
      <c r="A4369" s="24" t="n"/>
      <c r="B4369" s="27" t="n"/>
      <c r="C4369" s="24" t="n"/>
      <c r="D4369" s="28" t="n"/>
      <c r="E4369" s="29" t="n"/>
      <c r="F4369" s="24" t="n"/>
      <c r="G4369" s="24" t="n"/>
      <c r="H4369" s="21">
        <f>IF(ISNUMBER($B4369),INT($B4369)-WEEKDAY($B4369,2)+1,"")</f>
        <v/>
      </c>
      <c r="I4369" s="24" t="n"/>
      <c r="J4369" s="22">
        <f t="array" ref="J4369">IF($D4369="","",IF($I4369="","(trống REF)",IFERROR(INDEX(MASTER_SOURCE!$B$2:$B$495,MATCH($I4369,MASTER_SOURCE!$A$2:$A$495,0)),"(REF không có trong MASTER_SOURCE)")))</f>
        <v/>
      </c>
      <c r="K4369" s="22">
        <f t="array" ref="K4369">IF($D4369="","",IFERROR(INDEX(MASTER_SOURCE!$C$2:$C$495,MATCH($I4369,MASTER_SOURCE!$A$2:$A$495,0)),""))</f>
        <v/>
      </c>
      <c r="L4369" s="22">
        <f t="array" ref="L4369">IF($D4369="","",IFERROR(INDEX(MASTER_SOURCE!$D$2:$D$495,MATCH($I4369,MASTER_SOURCE!$A$2:$A$495,0)),""))</f>
        <v/>
      </c>
      <c r="M4369" s="24" t="n"/>
      <c r="N4369" s="24" t="n"/>
      <c r="O4369" s="24" t="n"/>
      <c r="P4369" s="24" t="n"/>
      <c r="Q4369" s="22">
        <f>IF($D4369="","",IF(AND(OR(DANH_MUC!$L$5&lt;&gt;"Có",M4369="Có"),OR(DANH_MUC!$L$6&lt;&gt;"Có",N4369="Có"),OR(DANH_MUC!$L$7&lt;&gt;"Có",O4369="Có"),OR(DANH_MUC!$L$8&lt;&gt;"Có",P4369="Có")),"Có","Không"))</f>
        <v/>
      </c>
      <c r="R4369" s="22">
        <f>IF($D4369="","",IF(COUNTIF($D$2:$D4369,$D4369)&gt;1,"Trùng",""))</f>
        <v/>
      </c>
      <c r="S4369" s="22">
        <f>IF($D4369="","",IF(AND(LEN($D4369)=10,LEFT($D4369,1)="0",ISNUMBER(--$D4369)),"Có","Không"))</f>
        <v/>
      </c>
      <c r="T4369" s="22">
        <f>IF($D4369="","",IF(AND($C4369&lt;&gt;"",$Q4369="Có",$R4369="",$S4369="Có",AND($L4369&lt;&gt;"",OR($L4369&lt;&gt;"Chưa xác định",DANH_MUC!$L$9="Có"))),"Có","Không"))</f>
        <v/>
      </c>
      <c r="U4369" s="22">
        <f>IF(OR($D4369="",$T4369="Có"),"",IF($C4369="","Thiếu họ tên; ","")&amp;IF($S4369&lt;&gt;"Có","SĐT sai định dạng; ","")&amp;IF($R4369="Trùng","Trùng SĐT; ","")&amp;IF($Q4369&lt;&gt;"Có","Thiếu đồng ý bắt buộc; ","")&amp;IF($L4369="","Thiếu/sai Mã REF; ",IF(AND($L4369="Chưa xác định",DANH_MUC!$L$9&lt;&gt;"Có"),"Nguồn chưa xác định; ","")))</f>
        <v/>
      </c>
      <c r="V4369" s="22">
        <f>IF(OR($D4369="",$R4369="Trùng"),"",IF(COUNTIF(ORDERS!$C$2:$C$4995,$D4369)&gt;0,"Có","Không"))</f>
        <v/>
      </c>
      <c r="W4369" s="22">
        <f>IF(OR($D4369="",$R4369="Trùng"),"",COUNTIFS(ORDERS!$C$2:$C$4995,$D4369,ORDERS!$L$2:$L$4995,"Đã chuyển khoản"))</f>
        <v/>
      </c>
      <c r="X4369" s="23">
        <f>IF(OR($D4369="",$R4369="Trùng"),"",SUMIFS(ORDERS!$J$2:$J$4995,ORDERS!$C$2:$C$4995,$D4369,ORDERS!$L$2:$L$4995,"Đã chuyển khoản"))</f>
        <v/>
      </c>
      <c r="Y4369" s="24" t="n"/>
    </row>
    <row r="4370" ht="14.25" customHeight="1" s="40">
      <c r="A4370" s="24" t="n"/>
      <c r="B4370" s="27" t="n"/>
      <c r="C4370" s="24" t="n"/>
      <c r="D4370" s="28" t="n"/>
      <c r="E4370" s="29" t="n"/>
      <c r="F4370" s="24" t="n"/>
      <c r="G4370" s="24" t="n"/>
      <c r="H4370" s="21">
        <f>IF(ISNUMBER($B4370),INT($B4370)-WEEKDAY($B4370,2)+1,"")</f>
        <v/>
      </c>
      <c r="I4370" s="24" t="n"/>
      <c r="J4370" s="22">
        <f t="array" ref="J4370">IF($D4370="","",IF($I4370="","(trống REF)",IFERROR(INDEX(MASTER_SOURCE!$B$2:$B$495,MATCH($I4370,MASTER_SOURCE!$A$2:$A$495,0)),"(REF không có trong MASTER_SOURCE)")))</f>
        <v/>
      </c>
      <c r="K4370" s="22">
        <f t="array" ref="K4370">IF($D4370="","",IFERROR(INDEX(MASTER_SOURCE!$C$2:$C$495,MATCH($I4370,MASTER_SOURCE!$A$2:$A$495,0)),""))</f>
        <v/>
      </c>
      <c r="L4370" s="22">
        <f t="array" ref="L4370">IF($D4370="","",IFERROR(INDEX(MASTER_SOURCE!$D$2:$D$495,MATCH($I4370,MASTER_SOURCE!$A$2:$A$495,0)),""))</f>
        <v/>
      </c>
      <c r="M4370" s="24" t="n"/>
      <c r="N4370" s="24" t="n"/>
      <c r="O4370" s="24" t="n"/>
      <c r="P4370" s="24" t="n"/>
      <c r="Q4370" s="22">
        <f>IF($D4370="","",IF(AND(OR(DANH_MUC!$L$5&lt;&gt;"Có",M4370="Có"),OR(DANH_MUC!$L$6&lt;&gt;"Có",N4370="Có"),OR(DANH_MUC!$L$7&lt;&gt;"Có",O4370="Có"),OR(DANH_MUC!$L$8&lt;&gt;"Có",P4370="Có")),"Có","Không"))</f>
        <v/>
      </c>
      <c r="R4370" s="22">
        <f>IF($D4370="","",IF(COUNTIF($D$2:$D4370,$D4370)&gt;1,"Trùng",""))</f>
        <v/>
      </c>
      <c r="S4370" s="22">
        <f>IF($D4370="","",IF(AND(LEN($D4370)=10,LEFT($D4370,1)="0",ISNUMBER(--$D4370)),"Có","Không"))</f>
        <v/>
      </c>
      <c r="T4370" s="22">
        <f>IF($D4370="","",IF(AND($C4370&lt;&gt;"",$Q4370="Có",$R4370="",$S4370="Có",AND($L4370&lt;&gt;"",OR($L4370&lt;&gt;"Chưa xác định",DANH_MUC!$L$9="Có"))),"Có","Không"))</f>
        <v/>
      </c>
      <c r="U4370" s="22">
        <f>IF(OR($D4370="",$T4370="Có"),"",IF($C4370="","Thiếu họ tên; ","")&amp;IF($S4370&lt;&gt;"Có","SĐT sai định dạng; ","")&amp;IF($R4370="Trùng","Trùng SĐT; ","")&amp;IF($Q4370&lt;&gt;"Có","Thiếu đồng ý bắt buộc; ","")&amp;IF($L4370="","Thiếu/sai Mã REF; ",IF(AND($L4370="Chưa xác định",DANH_MUC!$L$9&lt;&gt;"Có"),"Nguồn chưa xác định; ","")))</f>
        <v/>
      </c>
      <c r="V4370" s="22">
        <f>IF(OR($D4370="",$R4370="Trùng"),"",IF(COUNTIF(ORDERS!$C$2:$C$4995,$D4370)&gt;0,"Có","Không"))</f>
        <v/>
      </c>
      <c r="W4370" s="22">
        <f>IF(OR($D4370="",$R4370="Trùng"),"",COUNTIFS(ORDERS!$C$2:$C$4995,$D4370,ORDERS!$L$2:$L$4995,"Đã chuyển khoản"))</f>
        <v/>
      </c>
      <c r="X4370" s="23">
        <f>IF(OR($D4370="",$R4370="Trùng"),"",SUMIFS(ORDERS!$J$2:$J$4995,ORDERS!$C$2:$C$4995,$D4370,ORDERS!$L$2:$L$4995,"Đã chuyển khoản"))</f>
        <v/>
      </c>
      <c r="Y4370" s="24" t="n"/>
    </row>
    <row r="4371" ht="14.25" customHeight="1" s="40">
      <c r="A4371" s="24" t="n"/>
      <c r="B4371" s="27" t="n"/>
      <c r="C4371" s="24" t="n"/>
      <c r="D4371" s="28" t="n"/>
      <c r="E4371" s="29" t="n"/>
      <c r="F4371" s="24" t="n"/>
      <c r="G4371" s="24" t="n"/>
      <c r="H4371" s="21">
        <f>IF(ISNUMBER($B4371),INT($B4371)-WEEKDAY($B4371,2)+1,"")</f>
        <v/>
      </c>
      <c r="I4371" s="24" t="n"/>
      <c r="J4371" s="22">
        <f t="array" ref="J4371">IF($D4371="","",IF($I4371="","(trống REF)",IFERROR(INDEX(MASTER_SOURCE!$B$2:$B$495,MATCH($I4371,MASTER_SOURCE!$A$2:$A$495,0)),"(REF không có trong MASTER_SOURCE)")))</f>
        <v/>
      </c>
      <c r="K4371" s="22">
        <f t="array" ref="K4371">IF($D4371="","",IFERROR(INDEX(MASTER_SOURCE!$C$2:$C$495,MATCH($I4371,MASTER_SOURCE!$A$2:$A$495,0)),""))</f>
        <v/>
      </c>
      <c r="L4371" s="22">
        <f t="array" ref="L4371">IF($D4371="","",IFERROR(INDEX(MASTER_SOURCE!$D$2:$D$495,MATCH($I4371,MASTER_SOURCE!$A$2:$A$495,0)),""))</f>
        <v/>
      </c>
      <c r="M4371" s="24" t="n"/>
      <c r="N4371" s="24" t="n"/>
      <c r="O4371" s="24" t="n"/>
      <c r="P4371" s="24" t="n"/>
      <c r="Q4371" s="22">
        <f>IF($D4371="","",IF(AND(OR(DANH_MUC!$L$5&lt;&gt;"Có",M4371="Có"),OR(DANH_MUC!$L$6&lt;&gt;"Có",N4371="Có"),OR(DANH_MUC!$L$7&lt;&gt;"Có",O4371="Có"),OR(DANH_MUC!$L$8&lt;&gt;"Có",P4371="Có")),"Có","Không"))</f>
        <v/>
      </c>
      <c r="R4371" s="22">
        <f>IF($D4371="","",IF(COUNTIF($D$2:$D4371,$D4371)&gt;1,"Trùng",""))</f>
        <v/>
      </c>
      <c r="S4371" s="22">
        <f>IF($D4371="","",IF(AND(LEN($D4371)=10,LEFT($D4371,1)="0",ISNUMBER(--$D4371)),"Có","Không"))</f>
        <v/>
      </c>
      <c r="T4371" s="22">
        <f>IF($D4371="","",IF(AND($C4371&lt;&gt;"",$Q4371="Có",$R4371="",$S4371="Có",AND($L4371&lt;&gt;"",OR($L4371&lt;&gt;"Chưa xác định",DANH_MUC!$L$9="Có"))),"Có","Không"))</f>
        <v/>
      </c>
      <c r="U4371" s="22">
        <f>IF(OR($D4371="",$T4371="Có"),"",IF($C4371="","Thiếu họ tên; ","")&amp;IF($S4371&lt;&gt;"Có","SĐT sai định dạng; ","")&amp;IF($R4371="Trùng","Trùng SĐT; ","")&amp;IF($Q4371&lt;&gt;"Có","Thiếu đồng ý bắt buộc; ","")&amp;IF($L4371="","Thiếu/sai Mã REF; ",IF(AND($L4371="Chưa xác định",DANH_MUC!$L$9&lt;&gt;"Có"),"Nguồn chưa xác định; ","")))</f>
        <v/>
      </c>
      <c r="V4371" s="22">
        <f>IF(OR($D4371="",$R4371="Trùng"),"",IF(COUNTIF(ORDERS!$C$2:$C$4995,$D4371)&gt;0,"Có","Không"))</f>
        <v/>
      </c>
      <c r="W4371" s="22">
        <f>IF(OR($D4371="",$R4371="Trùng"),"",COUNTIFS(ORDERS!$C$2:$C$4995,$D4371,ORDERS!$L$2:$L$4995,"Đã chuyển khoản"))</f>
        <v/>
      </c>
      <c r="X4371" s="23">
        <f>IF(OR($D4371="",$R4371="Trùng"),"",SUMIFS(ORDERS!$J$2:$J$4995,ORDERS!$C$2:$C$4995,$D4371,ORDERS!$L$2:$L$4995,"Đã chuyển khoản"))</f>
        <v/>
      </c>
      <c r="Y4371" s="24" t="n"/>
    </row>
    <row r="4372" ht="14.25" customHeight="1" s="40">
      <c r="A4372" s="24" t="n"/>
      <c r="B4372" s="27" t="n"/>
      <c r="C4372" s="24" t="n"/>
      <c r="D4372" s="28" t="n"/>
      <c r="E4372" s="29" t="n"/>
      <c r="F4372" s="24" t="n"/>
      <c r="G4372" s="24" t="n"/>
      <c r="H4372" s="21">
        <f>IF(ISNUMBER($B4372),INT($B4372)-WEEKDAY($B4372,2)+1,"")</f>
        <v/>
      </c>
      <c r="I4372" s="24" t="n"/>
      <c r="J4372" s="22">
        <f t="array" ref="J4372">IF($D4372="","",IF($I4372="","(trống REF)",IFERROR(INDEX(MASTER_SOURCE!$B$2:$B$495,MATCH($I4372,MASTER_SOURCE!$A$2:$A$495,0)),"(REF không có trong MASTER_SOURCE)")))</f>
        <v/>
      </c>
      <c r="K4372" s="22">
        <f t="array" ref="K4372">IF($D4372="","",IFERROR(INDEX(MASTER_SOURCE!$C$2:$C$495,MATCH($I4372,MASTER_SOURCE!$A$2:$A$495,0)),""))</f>
        <v/>
      </c>
      <c r="L4372" s="22">
        <f t="array" ref="L4372">IF($D4372="","",IFERROR(INDEX(MASTER_SOURCE!$D$2:$D$495,MATCH($I4372,MASTER_SOURCE!$A$2:$A$495,0)),""))</f>
        <v/>
      </c>
      <c r="M4372" s="24" t="n"/>
      <c r="N4372" s="24" t="n"/>
      <c r="O4372" s="24" t="n"/>
      <c r="P4372" s="24" t="n"/>
      <c r="Q4372" s="22">
        <f>IF($D4372="","",IF(AND(OR(DANH_MUC!$L$5&lt;&gt;"Có",M4372="Có"),OR(DANH_MUC!$L$6&lt;&gt;"Có",N4372="Có"),OR(DANH_MUC!$L$7&lt;&gt;"Có",O4372="Có"),OR(DANH_MUC!$L$8&lt;&gt;"Có",P4372="Có")),"Có","Không"))</f>
        <v/>
      </c>
      <c r="R4372" s="22">
        <f>IF($D4372="","",IF(COUNTIF($D$2:$D4372,$D4372)&gt;1,"Trùng",""))</f>
        <v/>
      </c>
      <c r="S4372" s="22">
        <f>IF($D4372="","",IF(AND(LEN($D4372)=10,LEFT($D4372,1)="0",ISNUMBER(--$D4372)),"Có","Không"))</f>
        <v/>
      </c>
      <c r="T4372" s="22">
        <f>IF($D4372="","",IF(AND($C4372&lt;&gt;"",$Q4372="Có",$R4372="",$S4372="Có",AND($L4372&lt;&gt;"",OR($L4372&lt;&gt;"Chưa xác định",DANH_MUC!$L$9="Có"))),"Có","Không"))</f>
        <v/>
      </c>
      <c r="U4372" s="22">
        <f>IF(OR($D4372="",$T4372="Có"),"",IF($C4372="","Thiếu họ tên; ","")&amp;IF($S4372&lt;&gt;"Có","SĐT sai định dạng; ","")&amp;IF($R4372="Trùng","Trùng SĐT; ","")&amp;IF($Q4372&lt;&gt;"Có","Thiếu đồng ý bắt buộc; ","")&amp;IF($L4372="","Thiếu/sai Mã REF; ",IF(AND($L4372="Chưa xác định",DANH_MUC!$L$9&lt;&gt;"Có"),"Nguồn chưa xác định; ","")))</f>
        <v/>
      </c>
      <c r="V4372" s="22">
        <f>IF(OR($D4372="",$R4372="Trùng"),"",IF(COUNTIF(ORDERS!$C$2:$C$4995,$D4372)&gt;0,"Có","Không"))</f>
        <v/>
      </c>
      <c r="W4372" s="22">
        <f>IF(OR($D4372="",$R4372="Trùng"),"",COUNTIFS(ORDERS!$C$2:$C$4995,$D4372,ORDERS!$L$2:$L$4995,"Đã chuyển khoản"))</f>
        <v/>
      </c>
      <c r="X4372" s="23">
        <f>IF(OR($D4372="",$R4372="Trùng"),"",SUMIFS(ORDERS!$J$2:$J$4995,ORDERS!$C$2:$C$4995,$D4372,ORDERS!$L$2:$L$4995,"Đã chuyển khoản"))</f>
        <v/>
      </c>
      <c r="Y4372" s="24" t="n"/>
    </row>
    <row r="4373" ht="14.25" customHeight="1" s="40">
      <c r="A4373" s="24" t="n"/>
      <c r="B4373" s="27" t="n"/>
      <c r="C4373" s="24" t="n"/>
      <c r="D4373" s="28" t="n"/>
      <c r="E4373" s="29" t="n"/>
      <c r="F4373" s="24" t="n"/>
      <c r="G4373" s="24" t="n"/>
      <c r="H4373" s="21">
        <f>IF(ISNUMBER($B4373),INT($B4373)-WEEKDAY($B4373,2)+1,"")</f>
        <v/>
      </c>
      <c r="I4373" s="24" t="n"/>
      <c r="J4373" s="22">
        <f t="array" ref="J4373">IF($D4373="","",IF($I4373="","(trống REF)",IFERROR(INDEX(MASTER_SOURCE!$B$2:$B$495,MATCH($I4373,MASTER_SOURCE!$A$2:$A$495,0)),"(REF không có trong MASTER_SOURCE)")))</f>
        <v/>
      </c>
      <c r="K4373" s="22">
        <f t="array" ref="K4373">IF($D4373="","",IFERROR(INDEX(MASTER_SOURCE!$C$2:$C$495,MATCH($I4373,MASTER_SOURCE!$A$2:$A$495,0)),""))</f>
        <v/>
      </c>
      <c r="L4373" s="22">
        <f t="array" ref="L4373">IF($D4373="","",IFERROR(INDEX(MASTER_SOURCE!$D$2:$D$495,MATCH($I4373,MASTER_SOURCE!$A$2:$A$495,0)),""))</f>
        <v/>
      </c>
      <c r="M4373" s="24" t="n"/>
      <c r="N4373" s="24" t="n"/>
      <c r="O4373" s="24" t="n"/>
      <c r="P4373" s="24" t="n"/>
      <c r="Q4373" s="22">
        <f>IF($D4373="","",IF(AND(OR(DANH_MUC!$L$5&lt;&gt;"Có",M4373="Có"),OR(DANH_MUC!$L$6&lt;&gt;"Có",N4373="Có"),OR(DANH_MUC!$L$7&lt;&gt;"Có",O4373="Có"),OR(DANH_MUC!$L$8&lt;&gt;"Có",P4373="Có")),"Có","Không"))</f>
        <v/>
      </c>
      <c r="R4373" s="22">
        <f>IF($D4373="","",IF(COUNTIF($D$2:$D4373,$D4373)&gt;1,"Trùng",""))</f>
        <v/>
      </c>
      <c r="S4373" s="22">
        <f>IF($D4373="","",IF(AND(LEN($D4373)=10,LEFT($D4373,1)="0",ISNUMBER(--$D4373)),"Có","Không"))</f>
        <v/>
      </c>
      <c r="T4373" s="22">
        <f>IF($D4373="","",IF(AND($C4373&lt;&gt;"",$Q4373="Có",$R4373="",$S4373="Có",AND($L4373&lt;&gt;"",OR($L4373&lt;&gt;"Chưa xác định",DANH_MUC!$L$9="Có"))),"Có","Không"))</f>
        <v/>
      </c>
      <c r="U4373" s="22">
        <f>IF(OR($D4373="",$T4373="Có"),"",IF($C4373="","Thiếu họ tên; ","")&amp;IF($S4373&lt;&gt;"Có","SĐT sai định dạng; ","")&amp;IF($R4373="Trùng","Trùng SĐT; ","")&amp;IF($Q4373&lt;&gt;"Có","Thiếu đồng ý bắt buộc; ","")&amp;IF($L4373="","Thiếu/sai Mã REF; ",IF(AND($L4373="Chưa xác định",DANH_MUC!$L$9&lt;&gt;"Có"),"Nguồn chưa xác định; ","")))</f>
        <v/>
      </c>
      <c r="V4373" s="22">
        <f>IF(OR($D4373="",$R4373="Trùng"),"",IF(COUNTIF(ORDERS!$C$2:$C$4995,$D4373)&gt;0,"Có","Không"))</f>
        <v/>
      </c>
      <c r="W4373" s="22">
        <f>IF(OR($D4373="",$R4373="Trùng"),"",COUNTIFS(ORDERS!$C$2:$C$4995,$D4373,ORDERS!$L$2:$L$4995,"Đã chuyển khoản"))</f>
        <v/>
      </c>
      <c r="X4373" s="23">
        <f>IF(OR($D4373="",$R4373="Trùng"),"",SUMIFS(ORDERS!$J$2:$J$4995,ORDERS!$C$2:$C$4995,$D4373,ORDERS!$L$2:$L$4995,"Đã chuyển khoản"))</f>
        <v/>
      </c>
      <c r="Y4373" s="24" t="n"/>
    </row>
    <row r="4374" ht="14.25" customHeight="1" s="40">
      <c r="A4374" s="24" t="n"/>
      <c r="B4374" s="27" t="n"/>
      <c r="C4374" s="24" t="n"/>
      <c r="D4374" s="28" t="n"/>
      <c r="E4374" s="29" t="n"/>
      <c r="F4374" s="24" t="n"/>
      <c r="G4374" s="24" t="n"/>
      <c r="H4374" s="21">
        <f>IF(ISNUMBER($B4374),INT($B4374)-WEEKDAY($B4374,2)+1,"")</f>
        <v/>
      </c>
      <c r="I4374" s="24" t="n"/>
      <c r="J4374" s="22">
        <f t="array" ref="J4374">IF($D4374="","",IF($I4374="","(trống REF)",IFERROR(INDEX(MASTER_SOURCE!$B$2:$B$495,MATCH($I4374,MASTER_SOURCE!$A$2:$A$495,0)),"(REF không có trong MASTER_SOURCE)")))</f>
        <v/>
      </c>
      <c r="K4374" s="22">
        <f t="array" ref="K4374">IF($D4374="","",IFERROR(INDEX(MASTER_SOURCE!$C$2:$C$495,MATCH($I4374,MASTER_SOURCE!$A$2:$A$495,0)),""))</f>
        <v/>
      </c>
      <c r="L4374" s="22">
        <f t="array" ref="L4374">IF($D4374="","",IFERROR(INDEX(MASTER_SOURCE!$D$2:$D$495,MATCH($I4374,MASTER_SOURCE!$A$2:$A$495,0)),""))</f>
        <v/>
      </c>
      <c r="M4374" s="24" t="n"/>
      <c r="N4374" s="24" t="n"/>
      <c r="O4374" s="24" t="n"/>
      <c r="P4374" s="24" t="n"/>
      <c r="Q4374" s="22">
        <f>IF($D4374="","",IF(AND(OR(DANH_MUC!$L$5&lt;&gt;"Có",M4374="Có"),OR(DANH_MUC!$L$6&lt;&gt;"Có",N4374="Có"),OR(DANH_MUC!$L$7&lt;&gt;"Có",O4374="Có"),OR(DANH_MUC!$L$8&lt;&gt;"Có",P4374="Có")),"Có","Không"))</f>
        <v/>
      </c>
      <c r="R4374" s="22">
        <f>IF($D4374="","",IF(COUNTIF($D$2:$D4374,$D4374)&gt;1,"Trùng",""))</f>
        <v/>
      </c>
      <c r="S4374" s="22">
        <f>IF($D4374="","",IF(AND(LEN($D4374)=10,LEFT($D4374,1)="0",ISNUMBER(--$D4374)),"Có","Không"))</f>
        <v/>
      </c>
      <c r="T4374" s="22">
        <f>IF($D4374="","",IF(AND($C4374&lt;&gt;"",$Q4374="Có",$R4374="",$S4374="Có",AND($L4374&lt;&gt;"",OR($L4374&lt;&gt;"Chưa xác định",DANH_MUC!$L$9="Có"))),"Có","Không"))</f>
        <v/>
      </c>
      <c r="U4374" s="22">
        <f>IF(OR($D4374="",$T4374="Có"),"",IF($C4374="","Thiếu họ tên; ","")&amp;IF($S4374&lt;&gt;"Có","SĐT sai định dạng; ","")&amp;IF($R4374="Trùng","Trùng SĐT; ","")&amp;IF($Q4374&lt;&gt;"Có","Thiếu đồng ý bắt buộc; ","")&amp;IF($L4374="","Thiếu/sai Mã REF; ",IF(AND($L4374="Chưa xác định",DANH_MUC!$L$9&lt;&gt;"Có"),"Nguồn chưa xác định; ","")))</f>
        <v/>
      </c>
      <c r="V4374" s="22">
        <f>IF(OR($D4374="",$R4374="Trùng"),"",IF(COUNTIF(ORDERS!$C$2:$C$4995,$D4374)&gt;0,"Có","Không"))</f>
        <v/>
      </c>
      <c r="W4374" s="22">
        <f>IF(OR($D4374="",$R4374="Trùng"),"",COUNTIFS(ORDERS!$C$2:$C$4995,$D4374,ORDERS!$L$2:$L$4995,"Đã chuyển khoản"))</f>
        <v/>
      </c>
      <c r="X4374" s="23">
        <f>IF(OR($D4374="",$R4374="Trùng"),"",SUMIFS(ORDERS!$J$2:$J$4995,ORDERS!$C$2:$C$4995,$D4374,ORDERS!$L$2:$L$4995,"Đã chuyển khoản"))</f>
        <v/>
      </c>
      <c r="Y4374" s="24" t="n"/>
    </row>
    <row r="4375" ht="14.25" customHeight="1" s="40">
      <c r="A4375" s="24" t="n"/>
      <c r="B4375" s="27" t="n"/>
      <c r="C4375" s="24" t="n"/>
      <c r="D4375" s="28" t="n"/>
      <c r="E4375" s="29" t="n"/>
      <c r="F4375" s="24" t="n"/>
      <c r="G4375" s="24" t="n"/>
      <c r="H4375" s="21">
        <f>IF(ISNUMBER($B4375),INT($B4375)-WEEKDAY($B4375,2)+1,"")</f>
        <v/>
      </c>
      <c r="I4375" s="24" t="n"/>
      <c r="J4375" s="22">
        <f t="array" ref="J4375">IF($D4375="","",IF($I4375="","(trống REF)",IFERROR(INDEX(MASTER_SOURCE!$B$2:$B$495,MATCH($I4375,MASTER_SOURCE!$A$2:$A$495,0)),"(REF không có trong MASTER_SOURCE)")))</f>
        <v/>
      </c>
      <c r="K4375" s="22">
        <f t="array" ref="K4375">IF($D4375="","",IFERROR(INDEX(MASTER_SOURCE!$C$2:$C$495,MATCH($I4375,MASTER_SOURCE!$A$2:$A$495,0)),""))</f>
        <v/>
      </c>
      <c r="L4375" s="22">
        <f t="array" ref="L4375">IF($D4375="","",IFERROR(INDEX(MASTER_SOURCE!$D$2:$D$495,MATCH($I4375,MASTER_SOURCE!$A$2:$A$495,0)),""))</f>
        <v/>
      </c>
      <c r="M4375" s="24" t="n"/>
      <c r="N4375" s="24" t="n"/>
      <c r="O4375" s="24" t="n"/>
      <c r="P4375" s="24" t="n"/>
      <c r="Q4375" s="22">
        <f>IF($D4375="","",IF(AND(OR(DANH_MUC!$L$5&lt;&gt;"Có",M4375="Có"),OR(DANH_MUC!$L$6&lt;&gt;"Có",N4375="Có"),OR(DANH_MUC!$L$7&lt;&gt;"Có",O4375="Có"),OR(DANH_MUC!$L$8&lt;&gt;"Có",P4375="Có")),"Có","Không"))</f>
        <v/>
      </c>
      <c r="R4375" s="22">
        <f>IF($D4375="","",IF(COUNTIF($D$2:$D4375,$D4375)&gt;1,"Trùng",""))</f>
        <v/>
      </c>
      <c r="S4375" s="22">
        <f>IF($D4375="","",IF(AND(LEN($D4375)=10,LEFT($D4375,1)="0",ISNUMBER(--$D4375)),"Có","Không"))</f>
        <v/>
      </c>
      <c r="T4375" s="22">
        <f>IF($D4375="","",IF(AND($C4375&lt;&gt;"",$Q4375="Có",$R4375="",$S4375="Có",AND($L4375&lt;&gt;"",OR($L4375&lt;&gt;"Chưa xác định",DANH_MUC!$L$9="Có"))),"Có","Không"))</f>
        <v/>
      </c>
      <c r="U4375" s="22">
        <f>IF(OR($D4375="",$T4375="Có"),"",IF($C4375="","Thiếu họ tên; ","")&amp;IF($S4375&lt;&gt;"Có","SĐT sai định dạng; ","")&amp;IF($R4375="Trùng","Trùng SĐT; ","")&amp;IF($Q4375&lt;&gt;"Có","Thiếu đồng ý bắt buộc; ","")&amp;IF($L4375="","Thiếu/sai Mã REF; ",IF(AND($L4375="Chưa xác định",DANH_MUC!$L$9&lt;&gt;"Có"),"Nguồn chưa xác định; ","")))</f>
        <v/>
      </c>
      <c r="V4375" s="22">
        <f>IF(OR($D4375="",$R4375="Trùng"),"",IF(COUNTIF(ORDERS!$C$2:$C$4995,$D4375)&gt;0,"Có","Không"))</f>
        <v/>
      </c>
      <c r="W4375" s="22">
        <f>IF(OR($D4375="",$R4375="Trùng"),"",COUNTIFS(ORDERS!$C$2:$C$4995,$D4375,ORDERS!$L$2:$L$4995,"Đã chuyển khoản"))</f>
        <v/>
      </c>
      <c r="X4375" s="23">
        <f>IF(OR($D4375="",$R4375="Trùng"),"",SUMIFS(ORDERS!$J$2:$J$4995,ORDERS!$C$2:$C$4995,$D4375,ORDERS!$L$2:$L$4995,"Đã chuyển khoản"))</f>
        <v/>
      </c>
      <c r="Y4375" s="24" t="n"/>
    </row>
    <row r="4376" ht="14.25" customHeight="1" s="40">
      <c r="A4376" s="24" t="n"/>
      <c r="B4376" s="27" t="n"/>
      <c r="C4376" s="24" t="n"/>
      <c r="D4376" s="28" t="n"/>
      <c r="E4376" s="29" t="n"/>
      <c r="F4376" s="24" t="n"/>
      <c r="G4376" s="24" t="n"/>
      <c r="H4376" s="21">
        <f>IF(ISNUMBER($B4376),INT($B4376)-WEEKDAY($B4376,2)+1,"")</f>
        <v/>
      </c>
      <c r="I4376" s="24" t="n"/>
      <c r="J4376" s="22">
        <f t="array" ref="J4376">IF($D4376="","",IF($I4376="","(trống REF)",IFERROR(INDEX(MASTER_SOURCE!$B$2:$B$495,MATCH($I4376,MASTER_SOURCE!$A$2:$A$495,0)),"(REF không có trong MASTER_SOURCE)")))</f>
        <v/>
      </c>
      <c r="K4376" s="22">
        <f t="array" ref="K4376">IF($D4376="","",IFERROR(INDEX(MASTER_SOURCE!$C$2:$C$495,MATCH($I4376,MASTER_SOURCE!$A$2:$A$495,0)),""))</f>
        <v/>
      </c>
      <c r="L4376" s="22">
        <f t="array" ref="L4376">IF($D4376="","",IFERROR(INDEX(MASTER_SOURCE!$D$2:$D$495,MATCH($I4376,MASTER_SOURCE!$A$2:$A$495,0)),""))</f>
        <v/>
      </c>
      <c r="M4376" s="24" t="n"/>
      <c r="N4376" s="24" t="n"/>
      <c r="O4376" s="24" t="n"/>
      <c r="P4376" s="24" t="n"/>
      <c r="Q4376" s="22">
        <f>IF($D4376="","",IF(AND(OR(DANH_MUC!$L$5&lt;&gt;"Có",M4376="Có"),OR(DANH_MUC!$L$6&lt;&gt;"Có",N4376="Có"),OR(DANH_MUC!$L$7&lt;&gt;"Có",O4376="Có"),OR(DANH_MUC!$L$8&lt;&gt;"Có",P4376="Có")),"Có","Không"))</f>
        <v/>
      </c>
      <c r="R4376" s="22">
        <f>IF($D4376="","",IF(COUNTIF($D$2:$D4376,$D4376)&gt;1,"Trùng",""))</f>
        <v/>
      </c>
      <c r="S4376" s="22">
        <f>IF($D4376="","",IF(AND(LEN($D4376)=10,LEFT($D4376,1)="0",ISNUMBER(--$D4376)),"Có","Không"))</f>
        <v/>
      </c>
      <c r="T4376" s="22">
        <f>IF($D4376="","",IF(AND($C4376&lt;&gt;"",$Q4376="Có",$R4376="",$S4376="Có",AND($L4376&lt;&gt;"",OR($L4376&lt;&gt;"Chưa xác định",DANH_MUC!$L$9="Có"))),"Có","Không"))</f>
        <v/>
      </c>
      <c r="U4376" s="22">
        <f>IF(OR($D4376="",$T4376="Có"),"",IF($C4376="","Thiếu họ tên; ","")&amp;IF($S4376&lt;&gt;"Có","SĐT sai định dạng; ","")&amp;IF($R4376="Trùng","Trùng SĐT; ","")&amp;IF($Q4376&lt;&gt;"Có","Thiếu đồng ý bắt buộc; ","")&amp;IF($L4376="","Thiếu/sai Mã REF; ",IF(AND($L4376="Chưa xác định",DANH_MUC!$L$9&lt;&gt;"Có"),"Nguồn chưa xác định; ","")))</f>
        <v/>
      </c>
      <c r="V4376" s="22">
        <f>IF(OR($D4376="",$R4376="Trùng"),"",IF(COUNTIF(ORDERS!$C$2:$C$4995,$D4376)&gt;0,"Có","Không"))</f>
        <v/>
      </c>
      <c r="W4376" s="22">
        <f>IF(OR($D4376="",$R4376="Trùng"),"",COUNTIFS(ORDERS!$C$2:$C$4995,$D4376,ORDERS!$L$2:$L$4995,"Đã chuyển khoản"))</f>
        <v/>
      </c>
      <c r="X4376" s="23">
        <f>IF(OR($D4376="",$R4376="Trùng"),"",SUMIFS(ORDERS!$J$2:$J$4995,ORDERS!$C$2:$C$4995,$D4376,ORDERS!$L$2:$L$4995,"Đã chuyển khoản"))</f>
        <v/>
      </c>
      <c r="Y4376" s="24" t="n"/>
    </row>
    <row r="4377" ht="14.25" customHeight="1" s="40">
      <c r="A4377" s="24" t="n"/>
      <c r="B4377" s="27" t="n"/>
      <c r="C4377" s="24" t="n"/>
      <c r="D4377" s="28" t="n"/>
      <c r="E4377" s="29" t="n"/>
      <c r="F4377" s="24" t="n"/>
      <c r="G4377" s="24" t="n"/>
      <c r="H4377" s="21">
        <f>IF(ISNUMBER($B4377),INT($B4377)-WEEKDAY($B4377,2)+1,"")</f>
        <v/>
      </c>
      <c r="I4377" s="24" t="n"/>
      <c r="J4377" s="22">
        <f t="array" ref="J4377">IF($D4377="","",IF($I4377="","(trống REF)",IFERROR(INDEX(MASTER_SOURCE!$B$2:$B$495,MATCH($I4377,MASTER_SOURCE!$A$2:$A$495,0)),"(REF không có trong MASTER_SOURCE)")))</f>
        <v/>
      </c>
      <c r="K4377" s="22">
        <f t="array" ref="K4377">IF($D4377="","",IFERROR(INDEX(MASTER_SOURCE!$C$2:$C$495,MATCH($I4377,MASTER_SOURCE!$A$2:$A$495,0)),""))</f>
        <v/>
      </c>
      <c r="L4377" s="22">
        <f t="array" ref="L4377">IF($D4377="","",IFERROR(INDEX(MASTER_SOURCE!$D$2:$D$495,MATCH($I4377,MASTER_SOURCE!$A$2:$A$495,0)),""))</f>
        <v/>
      </c>
      <c r="M4377" s="24" t="n"/>
      <c r="N4377" s="24" t="n"/>
      <c r="O4377" s="24" t="n"/>
      <c r="P4377" s="24" t="n"/>
      <c r="Q4377" s="22">
        <f>IF($D4377="","",IF(AND(OR(DANH_MUC!$L$5&lt;&gt;"Có",M4377="Có"),OR(DANH_MUC!$L$6&lt;&gt;"Có",N4377="Có"),OR(DANH_MUC!$L$7&lt;&gt;"Có",O4377="Có"),OR(DANH_MUC!$L$8&lt;&gt;"Có",P4377="Có")),"Có","Không"))</f>
        <v/>
      </c>
      <c r="R4377" s="22">
        <f>IF($D4377="","",IF(COUNTIF($D$2:$D4377,$D4377)&gt;1,"Trùng",""))</f>
        <v/>
      </c>
      <c r="S4377" s="22">
        <f>IF($D4377="","",IF(AND(LEN($D4377)=10,LEFT($D4377,1)="0",ISNUMBER(--$D4377)),"Có","Không"))</f>
        <v/>
      </c>
      <c r="T4377" s="22">
        <f>IF($D4377="","",IF(AND($C4377&lt;&gt;"",$Q4377="Có",$R4377="",$S4377="Có",AND($L4377&lt;&gt;"",OR($L4377&lt;&gt;"Chưa xác định",DANH_MUC!$L$9="Có"))),"Có","Không"))</f>
        <v/>
      </c>
      <c r="U4377" s="22">
        <f>IF(OR($D4377="",$T4377="Có"),"",IF($C4377="","Thiếu họ tên; ","")&amp;IF($S4377&lt;&gt;"Có","SĐT sai định dạng; ","")&amp;IF($R4377="Trùng","Trùng SĐT; ","")&amp;IF($Q4377&lt;&gt;"Có","Thiếu đồng ý bắt buộc; ","")&amp;IF($L4377="","Thiếu/sai Mã REF; ",IF(AND($L4377="Chưa xác định",DANH_MUC!$L$9&lt;&gt;"Có"),"Nguồn chưa xác định; ","")))</f>
        <v/>
      </c>
      <c r="V4377" s="22">
        <f>IF(OR($D4377="",$R4377="Trùng"),"",IF(COUNTIF(ORDERS!$C$2:$C$4995,$D4377)&gt;0,"Có","Không"))</f>
        <v/>
      </c>
      <c r="W4377" s="22">
        <f>IF(OR($D4377="",$R4377="Trùng"),"",COUNTIFS(ORDERS!$C$2:$C$4995,$D4377,ORDERS!$L$2:$L$4995,"Đã chuyển khoản"))</f>
        <v/>
      </c>
      <c r="X4377" s="23">
        <f>IF(OR($D4377="",$R4377="Trùng"),"",SUMIFS(ORDERS!$J$2:$J$4995,ORDERS!$C$2:$C$4995,$D4377,ORDERS!$L$2:$L$4995,"Đã chuyển khoản"))</f>
        <v/>
      </c>
      <c r="Y4377" s="24" t="n"/>
    </row>
    <row r="4378" ht="14.25" customHeight="1" s="40">
      <c r="A4378" s="24" t="n"/>
      <c r="B4378" s="27" t="n"/>
      <c r="C4378" s="24" t="n"/>
      <c r="D4378" s="28" t="n"/>
      <c r="E4378" s="29" t="n"/>
      <c r="F4378" s="24" t="n"/>
      <c r="G4378" s="24" t="n"/>
      <c r="H4378" s="21">
        <f>IF(ISNUMBER($B4378),INT($B4378)-WEEKDAY($B4378,2)+1,"")</f>
        <v/>
      </c>
      <c r="I4378" s="24" t="n"/>
      <c r="J4378" s="22">
        <f t="array" ref="J4378">IF($D4378="","",IF($I4378="","(trống REF)",IFERROR(INDEX(MASTER_SOURCE!$B$2:$B$495,MATCH($I4378,MASTER_SOURCE!$A$2:$A$495,0)),"(REF không có trong MASTER_SOURCE)")))</f>
        <v/>
      </c>
      <c r="K4378" s="22">
        <f t="array" ref="K4378">IF($D4378="","",IFERROR(INDEX(MASTER_SOURCE!$C$2:$C$495,MATCH($I4378,MASTER_SOURCE!$A$2:$A$495,0)),""))</f>
        <v/>
      </c>
      <c r="L4378" s="22">
        <f t="array" ref="L4378">IF($D4378="","",IFERROR(INDEX(MASTER_SOURCE!$D$2:$D$495,MATCH($I4378,MASTER_SOURCE!$A$2:$A$495,0)),""))</f>
        <v/>
      </c>
      <c r="M4378" s="24" t="n"/>
      <c r="N4378" s="24" t="n"/>
      <c r="O4378" s="24" t="n"/>
      <c r="P4378" s="24" t="n"/>
      <c r="Q4378" s="22">
        <f>IF($D4378="","",IF(AND(OR(DANH_MUC!$L$5&lt;&gt;"Có",M4378="Có"),OR(DANH_MUC!$L$6&lt;&gt;"Có",N4378="Có"),OR(DANH_MUC!$L$7&lt;&gt;"Có",O4378="Có"),OR(DANH_MUC!$L$8&lt;&gt;"Có",P4378="Có")),"Có","Không"))</f>
        <v/>
      </c>
      <c r="R4378" s="22">
        <f>IF($D4378="","",IF(COUNTIF($D$2:$D4378,$D4378)&gt;1,"Trùng",""))</f>
        <v/>
      </c>
      <c r="S4378" s="22">
        <f>IF($D4378="","",IF(AND(LEN($D4378)=10,LEFT($D4378,1)="0",ISNUMBER(--$D4378)),"Có","Không"))</f>
        <v/>
      </c>
      <c r="T4378" s="22">
        <f>IF($D4378="","",IF(AND($C4378&lt;&gt;"",$Q4378="Có",$R4378="",$S4378="Có",AND($L4378&lt;&gt;"",OR($L4378&lt;&gt;"Chưa xác định",DANH_MUC!$L$9="Có"))),"Có","Không"))</f>
        <v/>
      </c>
      <c r="U4378" s="22">
        <f>IF(OR($D4378="",$T4378="Có"),"",IF($C4378="","Thiếu họ tên; ","")&amp;IF($S4378&lt;&gt;"Có","SĐT sai định dạng; ","")&amp;IF($R4378="Trùng","Trùng SĐT; ","")&amp;IF($Q4378&lt;&gt;"Có","Thiếu đồng ý bắt buộc; ","")&amp;IF($L4378="","Thiếu/sai Mã REF; ",IF(AND($L4378="Chưa xác định",DANH_MUC!$L$9&lt;&gt;"Có"),"Nguồn chưa xác định; ","")))</f>
        <v/>
      </c>
      <c r="V4378" s="22">
        <f>IF(OR($D4378="",$R4378="Trùng"),"",IF(COUNTIF(ORDERS!$C$2:$C$4995,$D4378)&gt;0,"Có","Không"))</f>
        <v/>
      </c>
      <c r="W4378" s="22">
        <f>IF(OR($D4378="",$R4378="Trùng"),"",COUNTIFS(ORDERS!$C$2:$C$4995,$D4378,ORDERS!$L$2:$L$4995,"Đã chuyển khoản"))</f>
        <v/>
      </c>
      <c r="X4378" s="23">
        <f>IF(OR($D4378="",$R4378="Trùng"),"",SUMIFS(ORDERS!$J$2:$J$4995,ORDERS!$C$2:$C$4995,$D4378,ORDERS!$L$2:$L$4995,"Đã chuyển khoản"))</f>
        <v/>
      </c>
      <c r="Y4378" s="24" t="n"/>
    </row>
    <row r="4379" ht="14.25" customHeight="1" s="40">
      <c r="A4379" s="24" t="n"/>
      <c r="B4379" s="27" t="n"/>
      <c r="C4379" s="24" t="n"/>
      <c r="D4379" s="28" t="n"/>
      <c r="E4379" s="29" t="n"/>
      <c r="F4379" s="24" t="n"/>
      <c r="G4379" s="24" t="n"/>
      <c r="H4379" s="21">
        <f>IF(ISNUMBER($B4379),INT($B4379)-WEEKDAY($B4379,2)+1,"")</f>
        <v/>
      </c>
      <c r="I4379" s="24" t="n"/>
      <c r="J4379" s="22">
        <f t="array" ref="J4379">IF($D4379="","",IF($I4379="","(trống REF)",IFERROR(INDEX(MASTER_SOURCE!$B$2:$B$495,MATCH($I4379,MASTER_SOURCE!$A$2:$A$495,0)),"(REF không có trong MASTER_SOURCE)")))</f>
        <v/>
      </c>
      <c r="K4379" s="22">
        <f t="array" ref="K4379">IF($D4379="","",IFERROR(INDEX(MASTER_SOURCE!$C$2:$C$495,MATCH($I4379,MASTER_SOURCE!$A$2:$A$495,0)),""))</f>
        <v/>
      </c>
      <c r="L4379" s="22">
        <f t="array" ref="L4379">IF($D4379="","",IFERROR(INDEX(MASTER_SOURCE!$D$2:$D$495,MATCH($I4379,MASTER_SOURCE!$A$2:$A$495,0)),""))</f>
        <v/>
      </c>
      <c r="M4379" s="24" t="n"/>
      <c r="N4379" s="24" t="n"/>
      <c r="O4379" s="24" t="n"/>
      <c r="P4379" s="24" t="n"/>
      <c r="Q4379" s="22">
        <f>IF($D4379="","",IF(AND(OR(DANH_MUC!$L$5&lt;&gt;"Có",M4379="Có"),OR(DANH_MUC!$L$6&lt;&gt;"Có",N4379="Có"),OR(DANH_MUC!$L$7&lt;&gt;"Có",O4379="Có"),OR(DANH_MUC!$L$8&lt;&gt;"Có",P4379="Có")),"Có","Không"))</f>
        <v/>
      </c>
      <c r="R4379" s="22">
        <f>IF($D4379="","",IF(COUNTIF($D$2:$D4379,$D4379)&gt;1,"Trùng",""))</f>
        <v/>
      </c>
      <c r="S4379" s="22">
        <f>IF($D4379="","",IF(AND(LEN($D4379)=10,LEFT($D4379,1)="0",ISNUMBER(--$D4379)),"Có","Không"))</f>
        <v/>
      </c>
      <c r="T4379" s="22">
        <f>IF($D4379="","",IF(AND($C4379&lt;&gt;"",$Q4379="Có",$R4379="",$S4379="Có",AND($L4379&lt;&gt;"",OR($L4379&lt;&gt;"Chưa xác định",DANH_MUC!$L$9="Có"))),"Có","Không"))</f>
        <v/>
      </c>
      <c r="U4379" s="22">
        <f>IF(OR($D4379="",$T4379="Có"),"",IF($C4379="","Thiếu họ tên; ","")&amp;IF($S4379&lt;&gt;"Có","SĐT sai định dạng; ","")&amp;IF($R4379="Trùng","Trùng SĐT; ","")&amp;IF($Q4379&lt;&gt;"Có","Thiếu đồng ý bắt buộc; ","")&amp;IF($L4379="","Thiếu/sai Mã REF; ",IF(AND($L4379="Chưa xác định",DANH_MUC!$L$9&lt;&gt;"Có"),"Nguồn chưa xác định; ","")))</f>
        <v/>
      </c>
      <c r="V4379" s="22">
        <f>IF(OR($D4379="",$R4379="Trùng"),"",IF(COUNTIF(ORDERS!$C$2:$C$4995,$D4379)&gt;0,"Có","Không"))</f>
        <v/>
      </c>
      <c r="W4379" s="22">
        <f>IF(OR($D4379="",$R4379="Trùng"),"",COUNTIFS(ORDERS!$C$2:$C$4995,$D4379,ORDERS!$L$2:$L$4995,"Đã chuyển khoản"))</f>
        <v/>
      </c>
      <c r="X4379" s="23">
        <f>IF(OR($D4379="",$R4379="Trùng"),"",SUMIFS(ORDERS!$J$2:$J$4995,ORDERS!$C$2:$C$4995,$D4379,ORDERS!$L$2:$L$4995,"Đã chuyển khoản"))</f>
        <v/>
      </c>
      <c r="Y4379" s="24" t="n"/>
    </row>
    <row r="4380" ht="14.25" customHeight="1" s="40">
      <c r="A4380" s="24" t="n"/>
      <c r="B4380" s="27" t="n"/>
      <c r="C4380" s="24" t="n"/>
      <c r="D4380" s="28" t="n"/>
      <c r="E4380" s="29" t="n"/>
      <c r="F4380" s="24" t="n"/>
      <c r="G4380" s="24" t="n"/>
      <c r="H4380" s="21">
        <f>IF(ISNUMBER($B4380),INT($B4380)-WEEKDAY($B4380,2)+1,"")</f>
        <v/>
      </c>
      <c r="I4380" s="24" t="n"/>
      <c r="J4380" s="22">
        <f t="array" ref="J4380">IF($D4380="","",IF($I4380="","(trống REF)",IFERROR(INDEX(MASTER_SOURCE!$B$2:$B$495,MATCH($I4380,MASTER_SOURCE!$A$2:$A$495,0)),"(REF không có trong MASTER_SOURCE)")))</f>
        <v/>
      </c>
      <c r="K4380" s="22">
        <f t="array" ref="K4380">IF($D4380="","",IFERROR(INDEX(MASTER_SOURCE!$C$2:$C$495,MATCH($I4380,MASTER_SOURCE!$A$2:$A$495,0)),""))</f>
        <v/>
      </c>
      <c r="L4380" s="22">
        <f t="array" ref="L4380">IF($D4380="","",IFERROR(INDEX(MASTER_SOURCE!$D$2:$D$495,MATCH($I4380,MASTER_SOURCE!$A$2:$A$495,0)),""))</f>
        <v/>
      </c>
      <c r="M4380" s="24" t="n"/>
      <c r="N4380" s="24" t="n"/>
      <c r="O4380" s="24" t="n"/>
      <c r="P4380" s="24" t="n"/>
      <c r="Q4380" s="22">
        <f>IF($D4380="","",IF(AND(OR(DANH_MUC!$L$5&lt;&gt;"Có",M4380="Có"),OR(DANH_MUC!$L$6&lt;&gt;"Có",N4380="Có"),OR(DANH_MUC!$L$7&lt;&gt;"Có",O4380="Có"),OR(DANH_MUC!$L$8&lt;&gt;"Có",P4380="Có")),"Có","Không"))</f>
        <v/>
      </c>
      <c r="R4380" s="22">
        <f>IF($D4380="","",IF(COUNTIF($D$2:$D4380,$D4380)&gt;1,"Trùng",""))</f>
        <v/>
      </c>
      <c r="S4380" s="22">
        <f>IF($D4380="","",IF(AND(LEN($D4380)=10,LEFT($D4380,1)="0",ISNUMBER(--$D4380)),"Có","Không"))</f>
        <v/>
      </c>
      <c r="T4380" s="22">
        <f>IF($D4380="","",IF(AND($C4380&lt;&gt;"",$Q4380="Có",$R4380="",$S4380="Có",AND($L4380&lt;&gt;"",OR($L4380&lt;&gt;"Chưa xác định",DANH_MUC!$L$9="Có"))),"Có","Không"))</f>
        <v/>
      </c>
      <c r="U4380" s="22">
        <f>IF(OR($D4380="",$T4380="Có"),"",IF($C4380="","Thiếu họ tên; ","")&amp;IF($S4380&lt;&gt;"Có","SĐT sai định dạng; ","")&amp;IF($R4380="Trùng","Trùng SĐT; ","")&amp;IF($Q4380&lt;&gt;"Có","Thiếu đồng ý bắt buộc; ","")&amp;IF($L4380="","Thiếu/sai Mã REF; ",IF(AND($L4380="Chưa xác định",DANH_MUC!$L$9&lt;&gt;"Có"),"Nguồn chưa xác định; ","")))</f>
        <v/>
      </c>
      <c r="V4380" s="22">
        <f>IF(OR($D4380="",$R4380="Trùng"),"",IF(COUNTIF(ORDERS!$C$2:$C$4995,$D4380)&gt;0,"Có","Không"))</f>
        <v/>
      </c>
      <c r="W4380" s="22">
        <f>IF(OR($D4380="",$R4380="Trùng"),"",COUNTIFS(ORDERS!$C$2:$C$4995,$D4380,ORDERS!$L$2:$L$4995,"Đã chuyển khoản"))</f>
        <v/>
      </c>
      <c r="X4380" s="23">
        <f>IF(OR($D4380="",$R4380="Trùng"),"",SUMIFS(ORDERS!$J$2:$J$4995,ORDERS!$C$2:$C$4995,$D4380,ORDERS!$L$2:$L$4995,"Đã chuyển khoản"))</f>
        <v/>
      </c>
      <c r="Y4380" s="24" t="n"/>
    </row>
    <row r="4381" ht="14.25" customHeight="1" s="40">
      <c r="A4381" s="24" t="n"/>
      <c r="B4381" s="27" t="n"/>
      <c r="C4381" s="24" t="n"/>
      <c r="D4381" s="28" t="n"/>
      <c r="E4381" s="29" t="n"/>
      <c r="F4381" s="24" t="n"/>
      <c r="G4381" s="24" t="n"/>
      <c r="H4381" s="21">
        <f>IF(ISNUMBER($B4381),INT($B4381)-WEEKDAY($B4381,2)+1,"")</f>
        <v/>
      </c>
      <c r="I4381" s="24" t="n"/>
      <c r="J4381" s="22">
        <f t="array" ref="J4381">IF($D4381="","",IF($I4381="","(trống REF)",IFERROR(INDEX(MASTER_SOURCE!$B$2:$B$495,MATCH($I4381,MASTER_SOURCE!$A$2:$A$495,0)),"(REF không có trong MASTER_SOURCE)")))</f>
        <v/>
      </c>
      <c r="K4381" s="22">
        <f t="array" ref="K4381">IF($D4381="","",IFERROR(INDEX(MASTER_SOURCE!$C$2:$C$495,MATCH($I4381,MASTER_SOURCE!$A$2:$A$495,0)),""))</f>
        <v/>
      </c>
      <c r="L4381" s="22">
        <f t="array" ref="L4381">IF($D4381="","",IFERROR(INDEX(MASTER_SOURCE!$D$2:$D$495,MATCH($I4381,MASTER_SOURCE!$A$2:$A$495,0)),""))</f>
        <v/>
      </c>
      <c r="M4381" s="24" t="n"/>
      <c r="N4381" s="24" t="n"/>
      <c r="O4381" s="24" t="n"/>
      <c r="P4381" s="24" t="n"/>
      <c r="Q4381" s="22">
        <f>IF($D4381="","",IF(AND(OR(DANH_MUC!$L$5&lt;&gt;"Có",M4381="Có"),OR(DANH_MUC!$L$6&lt;&gt;"Có",N4381="Có"),OR(DANH_MUC!$L$7&lt;&gt;"Có",O4381="Có"),OR(DANH_MUC!$L$8&lt;&gt;"Có",P4381="Có")),"Có","Không"))</f>
        <v/>
      </c>
      <c r="R4381" s="22">
        <f>IF($D4381="","",IF(COUNTIF($D$2:$D4381,$D4381)&gt;1,"Trùng",""))</f>
        <v/>
      </c>
      <c r="S4381" s="22">
        <f>IF($D4381="","",IF(AND(LEN($D4381)=10,LEFT($D4381,1)="0",ISNUMBER(--$D4381)),"Có","Không"))</f>
        <v/>
      </c>
      <c r="T4381" s="22">
        <f>IF($D4381="","",IF(AND($C4381&lt;&gt;"",$Q4381="Có",$R4381="",$S4381="Có",AND($L4381&lt;&gt;"",OR($L4381&lt;&gt;"Chưa xác định",DANH_MUC!$L$9="Có"))),"Có","Không"))</f>
        <v/>
      </c>
      <c r="U4381" s="22">
        <f>IF(OR($D4381="",$T4381="Có"),"",IF($C4381="","Thiếu họ tên; ","")&amp;IF($S4381&lt;&gt;"Có","SĐT sai định dạng; ","")&amp;IF($R4381="Trùng","Trùng SĐT; ","")&amp;IF($Q4381&lt;&gt;"Có","Thiếu đồng ý bắt buộc; ","")&amp;IF($L4381="","Thiếu/sai Mã REF; ",IF(AND($L4381="Chưa xác định",DANH_MUC!$L$9&lt;&gt;"Có"),"Nguồn chưa xác định; ","")))</f>
        <v/>
      </c>
      <c r="V4381" s="22">
        <f>IF(OR($D4381="",$R4381="Trùng"),"",IF(COUNTIF(ORDERS!$C$2:$C$4995,$D4381)&gt;0,"Có","Không"))</f>
        <v/>
      </c>
      <c r="W4381" s="22">
        <f>IF(OR($D4381="",$R4381="Trùng"),"",COUNTIFS(ORDERS!$C$2:$C$4995,$D4381,ORDERS!$L$2:$L$4995,"Đã chuyển khoản"))</f>
        <v/>
      </c>
      <c r="X4381" s="23">
        <f>IF(OR($D4381="",$R4381="Trùng"),"",SUMIFS(ORDERS!$J$2:$J$4995,ORDERS!$C$2:$C$4995,$D4381,ORDERS!$L$2:$L$4995,"Đã chuyển khoản"))</f>
        <v/>
      </c>
      <c r="Y4381" s="24" t="n"/>
    </row>
    <row r="4382" ht="14.25" customHeight="1" s="40">
      <c r="A4382" s="24" t="n"/>
      <c r="B4382" s="27" t="n"/>
      <c r="C4382" s="24" t="n"/>
      <c r="D4382" s="28" t="n"/>
      <c r="E4382" s="29" t="n"/>
      <c r="F4382" s="24" t="n"/>
      <c r="G4382" s="24" t="n"/>
      <c r="H4382" s="21">
        <f>IF(ISNUMBER($B4382),INT($B4382)-WEEKDAY($B4382,2)+1,"")</f>
        <v/>
      </c>
      <c r="I4382" s="24" t="n"/>
      <c r="J4382" s="22">
        <f t="array" ref="J4382">IF($D4382="","",IF($I4382="","(trống REF)",IFERROR(INDEX(MASTER_SOURCE!$B$2:$B$495,MATCH($I4382,MASTER_SOURCE!$A$2:$A$495,0)),"(REF không có trong MASTER_SOURCE)")))</f>
        <v/>
      </c>
      <c r="K4382" s="22">
        <f t="array" ref="K4382">IF($D4382="","",IFERROR(INDEX(MASTER_SOURCE!$C$2:$C$495,MATCH($I4382,MASTER_SOURCE!$A$2:$A$495,0)),""))</f>
        <v/>
      </c>
      <c r="L4382" s="22">
        <f t="array" ref="L4382">IF($D4382="","",IFERROR(INDEX(MASTER_SOURCE!$D$2:$D$495,MATCH($I4382,MASTER_SOURCE!$A$2:$A$495,0)),""))</f>
        <v/>
      </c>
      <c r="M4382" s="24" t="n"/>
      <c r="N4382" s="24" t="n"/>
      <c r="O4382" s="24" t="n"/>
      <c r="P4382" s="24" t="n"/>
      <c r="Q4382" s="22">
        <f>IF($D4382="","",IF(AND(OR(DANH_MUC!$L$5&lt;&gt;"Có",M4382="Có"),OR(DANH_MUC!$L$6&lt;&gt;"Có",N4382="Có"),OR(DANH_MUC!$L$7&lt;&gt;"Có",O4382="Có"),OR(DANH_MUC!$L$8&lt;&gt;"Có",P4382="Có")),"Có","Không"))</f>
        <v/>
      </c>
      <c r="R4382" s="22">
        <f>IF($D4382="","",IF(COUNTIF($D$2:$D4382,$D4382)&gt;1,"Trùng",""))</f>
        <v/>
      </c>
      <c r="S4382" s="22">
        <f>IF($D4382="","",IF(AND(LEN($D4382)=10,LEFT($D4382,1)="0",ISNUMBER(--$D4382)),"Có","Không"))</f>
        <v/>
      </c>
      <c r="T4382" s="22">
        <f>IF($D4382="","",IF(AND($C4382&lt;&gt;"",$Q4382="Có",$R4382="",$S4382="Có",AND($L4382&lt;&gt;"",OR($L4382&lt;&gt;"Chưa xác định",DANH_MUC!$L$9="Có"))),"Có","Không"))</f>
        <v/>
      </c>
      <c r="U4382" s="22">
        <f>IF(OR($D4382="",$T4382="Có"),"",IF($C4382="","Thiếu họ tên; ","")&amp;IF($S4382&lt;&gt;"Có","SĐT sai định dạng; ","")&amp;IF($R4382="Trùng","Trùng SĐT; ","")&amp;IF($Q4382&lt;&gt;"Có","Thiếu đồng ý bắt buộc; ","")&amp;IF($L4382="","Thiếu/sai Mã REF; ",IF(AND($L4382="Chưa xác định",DANH_MUC!$L$9&lt;&gt;"Có"),"Nguồn chưa xác định; ","")))</f>
        <v/>
      </c>
      <c r="V4382" s="22">
        <f>IF(OR($D4382="",$R4382="Trùng"),"",IF(COUNTIF(ORDERS!$C$2:$C$4995,$D4382)&gt;0,"Có","Không"))</f>
        <v/>
      </c>
      <c r="W4382" s="22">
        <f>IF(OR($D4382="",$R4382="Trùng"),"",COUNTIFS(ORDERS!$C$2:$C$4995,$D4382,ORDERS!$L$2:$L$4995,"Đã chuyển khoản"))</f>
        <v/>
      </c>
      <c r="X4382" s="23">
        <f>IF(OR($D4382="",$R4382="Trùng"),"",SUMIFS(ORDERS!$J$2:$J$4995,ORDERS!$C$2:$C$4995,$D4382,ORDERS!$L$2:$L$4995,"Đã chuyển khoản"))</f>
        <v/>
      </c>
      <c r="Y4382" s="24" t="n"/>
    </row>
    <row r="4383" ht="14.25" customHeight="1" s="40">
      <c r="A4383" s="24" t="n"/>
      <c r="B4383" s="27" t="n"/>
      <c r="C4383" s="24" t="n"/>
      <c r="D4383" s="28" t="n"/>
      <c r="E4383" s="29" t="n"/>
      <c r="F4383" s="24" t="n"/>
      <c r="G4383" s="24" t="n"/>
      <c r="H4383" s="21">
        <f>IF(ISNUMBER($B4383),INT($B4383)-WEEKDAY($B4383,2)+1,"")</f>
        <v/>
      </c>
      <c r="I4383" s="24" t="n"/>
      <c r="J4383" s="22">
        <f t="array" ref="J4383">IF($D4383="","",IF($I4383="","(trống REF)",IFERROR(INDEX(MASTER_SOURCE!$B$2:$B$495,MATCH($I4383,MASTER_SOURCE!$A$2:$A$495,0)),"(REF không có trong MASTER_SOURCE)")))</f>
        <v/>
      </c>
      <c r="K4383" s="22">
        <f t="array" ref="K4383">IF($D4383="","",IFERROR(INDEX(MASTER_SOURCE!$C$2:$C$495,MATCH($I4383,MASTER_SOURCE!$A$2:$A$495,0)),""))</f>
        <v/>
      </c>
      <c r="L4383" s="22">
        <f t="array" ref="L4383">IF($D4383="","",IFERROR(INDEX(MASTER_SOURCE!$D$2:$D$495,MATCH($I4383,MASTER_SOURCE!$A$2:$A$495,0)),""))</f>
        <v/>
      </c>
      <c r="M4383" s="24" t="n"/>
      <c r="N4383" s="24" t="n"/>
      <c r="O4383" s="24" t="n"/>
      <c r="P4383" s="24" t="n"/>
      <c r="Q4383" s="22">
        <f>IF($D4383="","",IF(AND(OR(DANH_MUC!$L$5&lt;&gt;"Có",M4383="Có"),OR(DANH_MUC!$L$6&lt;&gt;"Có",N4383="Có"),OR(DANH_MUC!$L$7&lt;&gt;"Có",O4383="Có"),OR(DANH_MUC!$L$8&lt;&gt;"Có",P4383="Có")),"Có","Không"))</f>
        <v/>
      </c>
      <c r="R4383" s="22">
        <f>IF($D4383="","",IF(COUNTIF($D$2:$D4383,$D4383)&gt;1,"Trùng",""))</f>
        <v/>
      </c>
      <c r="S4383" s="22">
        <f>IF($D4383="","",IF(AND(LEN($D4383)=10,LEFT($D4383,1)="0",ISNUMBER(--$D4383)),"Có","Không"))</f>
        <v/>
      </c>
      <c r="T4383" s="22">
        <f>IF($D4383="","",IF(AND($C4383&lt;&gt;"",$Q4383="Có",$R4383="",$S4383="Có",AND($L4383&lt;&gt;"",OR($L4383&lt;&gt;"Chưa xác định",DANH_MUC!$L$9="Có"))),"Có","Không"))</f>
        <v/>
      </c>
      <c r="U4383" s="22">
        <f>IF(OR($D4383="",$T4383="Có"),"",IF($C4383="","Thiếu họ tên; ","")&amp;IF($S4383&lt;&gt;"Có","SĐT sai định dạng; ","")&amp;IF($R4383="Trùng","Trùng SĐT; ","")&amp;IF($Q4383&lt;&gt;"Có","Thiếu đồng ý bắt buộc; ","")&amp;IF($L4383="","Thiếu/sai Mã REF; ",IF(AND($L4383="Chưa xác định",DANH_MUC!$L$9&lt;&gt;"Có"),"Nguồn chưa xác định; ","")))</f>
        <v/>
      </c>
      <c r="V4383" s="22">
        <f>IF(OR($D4383="",$R4383="Trùng"),"",IF(COUNTIF(ORDERS!$C$2:$C$4995,$D4383)&gt;0,"Có","Không"))</f>
        <v/>
      </c>
      <c r="W4383" s="22">
        <f>IF(OR($D4383="",$R4383="Trùng"),"",COUNTIFS(ORDERS!$C$2:$C$4995,$D4383,ORDERS!$L$2:$L$4995,"Đã chuyển khoản"))</f>
        <v/>
      </c>
      <c r="X4383" s="23">
        <f>IF(OR($D4383="",$R4383="Trùng"),"",SUMIFS(ORDERS!$J$2:$J$4995,ORDERS!$C$2:$C$4995,$D4383,ORDERS!$L$2:$L$4995,"Đã chuyển khoản"))</f>
        <v/>
      </c>
      <c r="Y4383" s="24" t="n"/>
    </row>
    <row r="4384" ht="14.25" customHeight="1" s="40">
      <c r="A4384" s="24" t="n"/>
      <c r="B4384" s="27" t="n"/>
      <c r="C4384" s="24" t="n"/>
      <c r="D4384" s="28" t="n"/>
      <c r="E4384" s="29" t="n"/>
      <c r="F4384" s="24" t="n"/>
      <c r="G4384" s="24" t="n"/>
      <c r="H4384" s="21">
        <f>IF(ISNUMBER($B4384),INT($B4384)-WEEKDAY($B4384,2)+1,"")</f>
        <v/>
      </c>
      <c r="I4384" s="24" t="n"/>
      <c r="J4384" s="22">
        <f t="array" ref="J4384">IF($D4384="","",IF($I4384="","(trống REF)",IFERROR(INDEX(MASTER_SOURCE!$B$2:$B$495,MATCH($I4384,MASTER_SOURCE!$A$2:$A$495,0)),"(REF không có trong MASTER_SOURCE)")))</f>
        <v/>
      </c>
      <c r="K4384" s="22">
        <f t="array" ref="K4384">IF($D4384="","",IFERROR(INDEX(MASTER_SOURCE!$C$2:$C$495,MATCH($I4384,MASTER_SOURCE!$A$2:$A$495,0)),""))</f>
        <v/>
      </c>
      <c r="L4384" s="22">
        <f t="array" ref="L4384">IF($D4384="","",IFERROR(INDEX(MASTER_SOURCE!$D$2:$D$495,MATCH($I4384,MASTER_SOURCE!$A$2:$A$495,0)),""))</f>
        <v/>
      </c>
      <c r="M4384" s="24" t="n"/>
      <c r="N4384" s="24" t="n"/>
      <c r="O4384" s="24" t="n"/>
      <c r="P4384" s="24" t="n"/>
      <c r="Q4384" s="22">
        <f>IF($D4384="","",IF(AND(OR(DANH_MUC!$L$5&lt;&gt;"Có",M4384="Có"),OR(DANH_MUC!$L$6&lt;&gt;"Có",N4384="Có"),OR(DANH_MUC!$L$7&lt;&gt;"Có",O4384="Có"),OR(DANH_MUC!$L$8&lt;&gt;"Có",P4384="Có")),"Có","Không"))</f>
        <v/>
      </c>
      <c r="R4384" s="22">
        <f>IF($D4384="","",IF(COUNTIF($D$2:$D4384,$D4384)&gt;1,"Trùng",""))</f>
        <v/>
      </c>
      <c r="S4384" s="22">
        <f>IF($D4384="","",IF(AND(LEN($D4384)=10,LEFT($D4384,1)="0",ISNUMBER(--$D4384)),"Có","Không"))</f>
        <v/>
      </c>
      <c r="T4384" s="22">
        <f>IF($D4384="","",IF(AND($C4384&lt;&gt;"",$Q4384="Có",$R4384="",$S4384="Có",AND($L4384&lt;&gt;"",OR($L4384&lt;&gt;"Chưa xác định",DANH_MUC!$L$9="Có"))),"Có","Không"))</f>
        <v/>
      </c>
      <c r="U4384" s="22">
        <f>IF(OR($D4384="",$T4384="Có"),"",IF($C4384="","Thiếu họ tên; ","")&amp;IF($S4384&lt;&gt;"Có","SĐT sai định dạng; ","")&amp;IF($R4384="Trùng","Trùng SĐT; ","")&amp;IF($Q4384&lt;&gt;"Có","Thiếu đồng ý bắt buộc; ","")&amp;IF($L4384="","Thiếu/sai Mã REF; ",IF(AND($L4384="Chưa xác định",DANH_MUC!$L$9&lt;&gt;"Có"),"Nguồn chưa xác định; ","")))</f>
        <v/>
      </c>
      <c r="V4384" s="22">
        <f>IF(OR($D4384="",$R4384="Trùng"),"",IF(COUNTIF(ORDERS!$C$2:$C$4995,$D4384)&gt;0,"Có","Không"))</f>
        <v/>
      </c>
      <c r="W4384" s="22">
        <f>IF(OR($D4384="",$R4384="Trùng"),"",COUNTIFS(ORDERS!$C$2:$C$4995,$D4384,ORDERS!$L$2:$L$4995,"Đã chuyển khoản"))</f>
        <v/>
      </c>
      <c r="X4384" s="23">
        <f>IF(OR($D4384="",$R4384="Trùng"),"",SUMIFS(ORDERS!$J$2:$J$4995,ORDERS!$C$2:$C$4995,$D4384,ORDERS!$L$2:$L$4995,"Đã chuyển khoản"))</f>
        <v/>
      </c>
      <c r="Y4384" s="24" t="n"/>
    </row>
    <row r="4385" ht="14.25" customHeight="1" s="40">
      <c r="A4385" s="24" t="n"/>
      <c r="B4385" s="27" t="n"/>
      <c r="C4385" s="24" t="n"/>
      <c r="D4385" s="28" t="n"/>
      <c r="E4385" s="29" t="n"/>
      <c r="F4385" s="24" t="n"/>
      <c r="G4385" s="24" t="n"/>
      <c r="H4385" s="21">
        <f>IF(ISNUMBER($B4385),INT($B4385)-WEEKDAY($B4385,2)+1,"")</f>
        <v/>
      </c>
      <c r="I4385" s="24" t="n"/>
      <c r="J4385" s="22">
        <f t="array" ref="J4385">IF($D4385="","",IF($I4385="","(trống REF)",IFERROR(INDEX(MASTER_SOURCE!$B$2:$B$495,MATCH($I4385,MASTER_SOURCE!$A$2:$A$495,0)),"(REF không có trong MASTER_SOURCE)")))</f>
        <v/>
      </c>
      <c r="K4385" s="22">
        <f t="array" ref="K4385">IF($D4385="","",IFERROR(INDEX(MASTER_SOURCE!$C$2:$C$495,MATCH($I4385,MASTER_SOURCE!$A$2:$A$495,0)),""))</f>
        <v/>
      </c>
      <c r="L4385" s="22">
        <f t="array" ref="L4385">IF($D4385="","",IFERROR(INDEX(MASTER_SOURCE!$D$2:$D$495,MATCH($I4385,MASTER_SOURCE!$A$2:$A$495,0)),""))</f>
        <v/>
      </c>
      <c r="M4385" s="24" t="n"/>
      <c r="N4385" s="24" t="n"/>
      <c r="O4385" s="24" t="n"/>
      <c r="P4385" s="24" t="n"/>
      <c r="Q4385" s="22">
        <f>IF($D4385="","",IF(AND(OR(DANH_MUC!$L$5&lt;&gt;"Có",M4385="Có"),OR(DANH_MUC!$L$6&lt;&gt;"Có",N4385="Có"),OR(DANH_MUC!$L$7&lt;&gt;"Có",O4385="Có"),OR(DANH_MUC!$L$8&lt;&gt;"Có",P4385="Có")),"Có","Không"))</f>
        <v/>
      </c>
      <c r="R4385" s="22">
        <f>IF($D4385="","",IF(COUNTIF($D$2:$D4385,$D4385)&gt;1,"Trùng",""))</f>
        <v/>
      </c>
      <c r="S4385" s="22">
        <f>IF($D4385="","",IF(AND(LEN($D4385)=10,LEFT($D4385,1)="0",ISNUMBER(--$D4385)),"Có","Không"))</f>
        <v/>
      </c>
      <c r="T4385" s="22">
        <f>IF($D4385="","",IF(AND($C4385&lt;&gt;"",$Q4385="Có",$R4385="",$S4385="Có",AND($L4385&lt;&gt;"",OR($L4385&lt;&gt;"Chưa xác định",DANH_MUC!$L$9="Có"))),"Có","Không"))</f>
        <v/>
      </c>
      <c r="U4385" s="22">
        <f>IF(OR($D4385="",$T4385="Có"),"",IF($C4385="","Thiếu họ tên; ","")&amp;IF($S4385&lt;&gt;"Có","SĐT sai định dạng; ","")&amp;IF($R4385="Trùng","Trùng SĐT; ","")&amp;IF($Q4385&lt;&gt;"Có","Thiếu đồng ý bắt buộc; ","")&amp;IF($L4385="","Thiếu/sai Mã REF; ",IF(AND($L4385="Chưa xác định",DANH_MUC!$L$9&lt;&gt;"Có"),"Nguồn chưa xác định; ","")))</f>
        <v/>
      </c>
      <c r="V4385" s="22">
        <f>IF(OR($D4385="",$R4385="Trùng"),"",IF(COUNTIF(ORDERS!$C$2:$C$4995,$D4385)&gt;0,"Có","Không"))</f>
        <v/>
      </c>
      <c r="W4385" s="22">
        <f>IF(OR($D4385="",$R4385="Trùng"),"",COUNTIFS(ORDERS!$C$2:$C$4995,$D4385,ORDERS!$L$2:$L$4995,"Đã chuyển khoản"))</f>
        <v/>
      </c>
      <c r="X4385" s="23">
        <f>IF(OR($D4385="",$R4385="Trùng"),"",SUMIFS(ORDERS!$J$2:$J$4995,ORDERS!$C$2:$C$4995,$D4385,ORDERS!$L$2:$L$4995,"Đã chuyển khoản"))</f>
        <v/>
      </c>
      <c r="Y4385" s="24" t="n"/>
    </row>
    <row r="4386" ht="14.25" customHeight="1" s="40">
      <c r="A4386" s="24" t="n"/>
      <c r="B4386" s="27" t="n"/>
      <c r="C4386" s="24" t="n"/>
      <c r="D4386" s="28" t="n"/>
      <c r="E4386" s="29" t="n"/>
      <c r="F4386" s="24" t="n"/>
      <c r="G4386" s="24" t="n"/>
      <c r="H4386" s="21">
        <f>IF(ISNUMBER($B4386),INT($B4386)-WEEKDAY($B4386,2)+1,"")</f>
        <v/>
      </c>
      <c r="I4386" s="24" t="n"/>
      <c r="J4386" s="22">
        <f t="array" ref="J4386">IF($D4386="","",IF($I4386="","(trống REF)",IFERROR(INDEX(MASTER_SOURCE!$B$2:$B$495,MATCH($I4386,MASTER_SOURCE!$A$2:$A$495,0)),"(REF không có trong MASTER_SOURCE)")))</f>
        <v/>
      </c>
      <c r="K4386" s="22">
        <f t="array" ref="K4386">IF($D4386="","",IFERROR(INDEX(MASTER_SOURCE!$C$2:$C$495,MATCH($I4386,MASTER_SOURCE!$A$2:$A$495,0)),""))</f>
        <v/>
      </c>
      <c r="L4386" s="22">
        <f t="array" ref="L4386">IF($D4386="","",IFERROR(INDEX(MASTER_SOURCE!$D$2:$D$495,MATCH($I4386,MASTER_SOURCE!$A$2:$A$495,0)),""))</f>
        <v/>
      </c>
      <c r="M4386" s="24" t="n"/>
      <c r="N4386" s="24" t="n"/>
      <c r="O4386" s="24" t="n"/>
      <c r="P4386" s="24" t="n"/>
      <c r="Q4386" s="22">
        <f>IF($D4386="","",IF(AND(OR(DANH_MUC!$L$5&lt;&gt;"Có",M4386="Có"),OR(DANH_MUC!$L$6&lt;&gt;"Có",N4386="Có"),OR(DANH_MUC!$L$7&lt;&gt;"Có",O4386="Có"),OR(DANH_MUC!$L$8&lt;&gt;"Có",P4386="Có")),"Có","Không"))</f>
        <v/>
      </c>
      <c r="R4386" s="22">
        <f>IF($D4386="","",IF(COUNTIF($D$2:$D4386,$D4386)&gt;1,"Trùng",""))</f>
        <v/>
      </c>
      <c r="S4386" s="22">
        <f>IF($D4386="","",IF(AND(LEN($D4386)=10,LEFT($D4386,1)="0",ISNUMBER(--$D4386)),"Có","Không"))</f>
        <v/>
      </c>
      <c r="T4386" s="22">
        <f>IF($D4386="","",IF(AND($C4386&lt;&gt;"",$Q4386="Có",$R4386="",$S4386="Có",AND($L4386&lt;&gt;"",OR($L4386&lt;&gt;"Chưa xác định",DANH_MUC!$L$9="Có"))),"Có","Không"))</f>
        <v/>
      </c>
      <c r="U4386" s="22">
        <f>IF(OR($D4386="",$T4386="Có"),"",IF($C4386="","Thiếu họ tên; ","")&amp;IF($S4386&lt;&gt;"Có","SĐT sai định dạng; ","")&amp;IF($R4386="Trùng","Trùng SĐT; ","")&amp;IF($Q4386&lt;&gt;"Có","Thiếu đồng ý bắt buộc; ","")&amp;IF($L4386="","Thiếu/sai Mã REF; ",IF(AND($L4386="Chưa xác định",DANH_MUC!$L$9&lt;&gt;"Có"),"Nguồn chưa xác định; ","")))</f>
        <v/>
      </c>
      <c r="V4386" s="22">
        <f>IF(OR($D4386="",$R4386="Trùng"),"",IF(COUNTIF(ORDERS!$C$2:$C$4995,$D4386)&gt;0,"Có","Không"))</f>
        <v/>
      </c>
      <c r="W4386" s="22">
        <f>IF(OR($D4386="",$R4386="Trùng"),"",COUNTIFS(ORDERS!$C$2:$C$4995,$D4386,ORDERS!$L$2:$L$4995,"Đã chuyển khoản"))</f>
        <v/>
      </c>
      <c r="X4386" s="23">
        <f>IF(OR($D4386="",$R4386="Trùng"),"",SUMIFS(ORDERS!$J$2:$J$4995,ORDERS!$C$2:$C$4995,$D4386,ORDERS!$L$2:$L$4995,"Đã chuyển khoản"))</f>
        <v/>
      </c>
      <c r="Y4386" s="24" t="n"/>
    </row>
    <row r="4387" ht="14.25" customHeight="1" s="40">
      <c r="A4387" s="24" t="n"/>
      <c r="B4387" s="27" t="n"/>
      <c r="C4387" s="24" t="n"/>
      <c r="D4387" s="28" t="n"/>
      <c r="E4387" s="29" t="n"/>
      <c r="F4387" s="24" t="n"/>
      <c r="G4387" s="24" t="n"/>
      <c r="H4387" s="21">
        <f>IF(ISNUMBER($B4387),INT($B4387)-WEEKDAY($B4387,2)+1,"")</f>
        <v/>
      </c>
      <c r="I4387" s="24" t="n"/>
      <c r="J4387" s="22">
        <f t="array" ref="J4387">IF($D4387="","",IF($I4387="","(trống REF)",IFERROR(INDEX(MASTER_SOURCE!$B$2:$B$495,MATCH($I4387,MASTER_SOURCE!$A$2:$A$495,0)),"(REF không có trong MASTER_SOURCE)")))</f>
        <v/>
      </c>
      <c r="K4387" s="22">
        <f t="array" ref="K4387">IF($D4387="","",IFERROR(INDEX(MASTER_SOURCE!$C$2:$C$495,MATCH($I4387,MASTER_SOURCE!$A$2:$A$495,0)),""))</f>
        <v/>
      </c>
      <c r="L4387" s="22">
        <f t="array" ref="L4387">IF($D4387="","",IFERROR(INDEX(MASTER_SOURCE!$D$2:$D$495,MATCH($I4387,MASTER_SOURCE!$A$2:$A$495,0)),""))</f>
        <v/>
      </c>
      <c r="M4387" s="24" t="n"/>
      <c r="N4387" s="24" t="n"/>
      <c r="O4387" s="24" t="n"/>
      <c r="P4387" s="24" t="n"/>
      <c r="Q4387" s="22">
        <f>IF($D4387="","",IF(AND(OR(DANH_MUC!$L$5&lt;&gt;"Có",M4387="Có"),OR(DANH_MUC!$L$6&lt;&gt;"Có",N4387="Có"),OR(DANH_MUC!$L$7&lt;&gt;"Có",O4387="Có"),OR(DANH_MUC!$L$8&lt;&gt;"Có",P4387="Có")),"Có","Không"))</f>
        <v/>
      </c>
      <c r="R4387" s="22">
        <f>IF($D4387="","",IF(COUNTIF($D$2:$D4387,$D4387)&gt;1,"Trùng",""))</f>
        <v/>
      </c>
      <c r="S4387" s="22">
        <f>IF($D4387="","",IF(AND(LEN($D4387)=10,LEFT($D4387,1)="0",ISNUMBER(--$D4387)),"Có","Không"))</f>
        <v/>
      </c>
      <c r="T4387" s="22">
        <f>IF($D4387="","",IF(AND($C4387&lt;&gt;"",$Q4387="Có",$R4387="",$S4387="Có",AND($L4387&lt;&gt;"",OR($L4387&lt;&gt;"Chưa xác định",DANH_MUC!$L$9="Có"))),"Có","Không"))</f>
        <v/>
      </c>
      <c r="U4387" s="22">
        <f>IF(OR($D4387="",$T4387="Có"),"",IF($C4387="","Thiếu họ tên; ","")&amp;IF($S4387&lt;&gt;"Có","SĐT sai định dạng; ","")&amp;IF($R4387="Trùng","Trùng SĐT; ","")&amp;IF($Q4387&lt;&gt;"Có","Thiếu đồng ý bắt buộc; ","")&amp;IF($L4387="","Thiếu/sai Mã REF; ",IF(AND($L4387="Chưa xác định",DANH_MUC!$L$9&lt;&gt;"Có"),"Nguồn chưa xác định; ","")))</f>
        <v/>
      </c>
      <c r="V4387" s="22">
        <f>IF(OR($D4387="",$R4387="Trùng"),"",IF(COUNTIF(ORDERS!$C$2:$C$4995,$D4387)&gt;0,"Có","Không"))</f>
        <v/>
      </c>
      <c r="W4387" s="22">
        <f>IF(OR($D4387="",$R4387="Trùng"),"",COUNTIFS(ORDERS!$C$2:$C$4995,$D4387,ORDERS!$L$2:$L$4995,"Đã chuyển khoản"))</f>
        <v/>
      </c>
      <c r="X4387" s="23">
        <f>IF(OR($D4387="",$R4387="Trùng"),"",SUMIFS(ORDERS!$J$2:$J$4995,ORDERS!$C$2:$C$4995,$D4387,ORDERS!$L$2:$L$4995,"Đã chuyển khoản"))</f>
        <v/>
      </c>
      <c r="Y4387" s="24" t="n"/>
    </row>
    <row r="4388" ht="14.25" customHeight="1" s="40">
      <c r="A4388" s="24" t="n"/>
      <c r="B4388" s="27" t="n"/>
      <c r="C4388" s="24" t="n"/>
      <c r="D4388" s="28" t="n"/>
      <c r="E4388" s="29" t="n"/>
      <c r="F4388" s="24" t="n"/>
      <c r="G4388" s="24" t="n"/>
      <c r="H4388" s="21">
        <f>IF(ISNUMBER($B4388),INT($B4388)-WEEKDAY($B4388,2)+1,"")</f>
        <v/>
      </c>
      <c r="I4388" s="24" t="n"/>
      <c r="J4388" s="22">
        <f t="array" ref="J4388">IF($D4388="","",IF($I4388="","(trống REF)",IFERROR(INDEX(MASTER_SOURCE!$B$2:$B$495,MATCH($I4388,MASTER_SOURCE!$A$2:$A$495,0)),"(REF không có trong MASTER_SOURCE)")))</f>
        <v/>
      </c>
      <c r="K4388" s="22">
        <f t="array" ref="K4388">IF($D4388="","",IFERROR(INDEX(MASTER_SOURCE!$C$2:$C$495,MATCH($I4388,MASTER_SOURCE!$A$2:$A$495,0)),""))</f>
        <v/>
      </c>
      <c r="L4388" s="22">
        <f t="array" ref="L4388">IF($D4388="","",IFERROR(INDEX(MASTER_SOURCE!$D$2:$D$495,MATCH($I4388,MASTER_SOURCE!$A$2:$A$495,0)),""))</f>
        <v/>
      </c>
      <c r="M4388" s="24" t="n"/>
      <c r="N4388" s="24" t="n"/>
      <c r="O4388" s="24" t="n"/>
      <c r="P4388" s="24" t="n"/>
      <c r="Q4388" s="22">
        <f>IF($D4388="","",IF(AND(OR(DANH_MUC!$L$5&lt;&gt;"Có",M4388="Có"),OR(DANH_MUC!$L$6&lt;&gt;"Có",N4388="Có"),OR(DANH_MUC!$L$7&lt;&gt;"Có",O4388="Có"),OR(DANH_MUC!$L$8&lt;&gt;"Có",P4388="Có")),"Có","Không"))</f>
        <v/>
      </c>
      <c r="R4388" s="22">
        <f>IF($D4388="","",IF(COUNTIF($D$2:$D4388,$D4388)&gt;1,"Trùng",""))</f>
        <v/>
      </c>
      <c r="S4388" s="22">
        <f>IF($D4388="","",IF(AND(LEN($D4388)=10,LEFT($D4388,1)="0",ISNUMBER(--$D4388)),"Có","Không"))</f>
        <v/>
      </c>
      <c r="T4388" s="22">
        <f>IF($D4388="","",IF(AND($C4388&lt;&gt;"",$Q4388="Có",$R4388="",$S4388="Có",AND($L4388&lt;&gt;"",OR($L4388&lt;&gt;"Chưa xác định",DANH_MUC!$L$9="Có"))),"Có","Không"))</f>
        <v/>
      </c>
      <c r="U4388" s="22">
        <f>IF(OR($D4388="",$T4388="Có"),"",IF($C4388="","Thiếu họ tên; ","")&amp;IF($S4388&lt;&gt;"Có","SĐT sai định dạng; ","")&amp;IF($R4388="Trùng","Trùng SĐT; ","")&amp;IF($Q4388&lt;&gt;"Có","Thiếu đồng ý bắt buộc; ","")&amp;IF($L4388="","Thiếu/sai Mã REF; ",IF(AND($L4388="Chưa xác định",DANH_MUC!$L$9&lt;&gt;"Có"),"Nguồn chưa xác định; ","")))</f>
        <v/>
      </c>
      <c r="V4388" s="22">
        <f>IF(OR($D4388="",$R4388="Trùng"),"",IF(COUNTIF(ORDERS!$C$2:$C$4995,$D4388)&gt;0,"Có","Không"))</f>
        <v/>
      </c>
      <c r="W4388" s="22">
        <f>IF(OR($D4388="",$R4388="Trùng"),"",COUNTIFS(ORDERS!$C$2:$C$4995,$D4388,ORDERS!$L$2:$L$4995,"Đã chuyển khoản"))</f>
        <v/>
      </c>
      <c r="X4388" s="23">
        <f>IF(OR($D4388="",$R4388="Trùng"),"",SUMIFS(ORDERS!$J$2:$J$4995,ORDERS!$C$2:$C$4995,$D4388,ORDERS!$L$2:$L$4995,"Đã chuyển khoản"))</f>
        <v/>
      </c>
      <c r="Y4388" s="24" t="n"/>
    </row>
    <row r="4389" ht="14.25" customHeight="1" s="40">
      <c r="A4389" s="24" t="n"/>
      <c r="B4389" s="27" t="n"/>
      <c r="C4389" s="24" t="n"/>
      <c r="D4389" s="28" t="n"/>
      <c r="E4389" s="29" t="n"/>
      <c r="F4389" s="24" t="n"/>
      <c r="G4389" s="24" t="n"/>
      <c r="H4389" s="21">
        <f>IF(ISNUMBER($B4389),INT($B4389)-WEEKDAY($B4389,2)+1,"")</f>
        <v/>
      </c>
      <c r="I4389" s="24" t="n"/>
      <c r="J4389" s="22">
        <f t="array" ref="J4389">IF($D4389="","",IF($I4389="","(trống REF)",IFERROR(INDEX(MASTER_SOURCE!$B$2:$B$495,MATCH($I4389,MASTER_SOURCE!$A$2:$A$495,0)),"(REF không có trong MASTER_SOURCE)")))</f>
        <v/>
      </c>
      <c r="K4389" s="22">
        <f t="array" ref="K4389">IF($D4389="","",IFERROR(INDEX(MASTER_SOURCE!$C$2:$C$495,MATCH($I4389,MASTER_SOURCE!$A$2:$A$495,0)),""))</f>
        <v/>
      </c>
      <c r="L4389" s="22">
        <f t="array" ref="L4389">IF($D4389="","",IFERROR(INDEX(MASTER_SOURCE!$D$2:$D$495,MATCH($I4389,MASTER_SOURCE!$A$2:$A$495,0)),""))</f>
        <v/>
      </c>
      <c r="M4389" s="24" t="n"/>
      <c r="N4389" s="24" t="n"/>
      <c r="O4389" s="24" t="n"/>
      <c r="P4389" s="24" t="n"/>
      <c r="Q4389" s="22">
        <f>IF($D4389="","",IF(AND(OR(DANH_MUC!$L$5&lt;&gt;"Có",M4389="Có"),OR(DANH_MUC!$L$6&lt;&gt;"Có",N4389="Có"),OR(DANH_MUC!$L$7&lt;&gt;"Có",O4389="Có"),OR(DANH_MUC!$L$8&lt;&gt;"Có",P4389="Có")),"Có","Không"))</f>
        <v/>
      </c>
      <c r="R4389" s="22">
        <f>IF($D4389="","",IF(COUNTIF($D$2:$D4389,$D4389)&gt;1,"Trùng",""))</f>
        <v/>
      </c>
      <c r="S4389" s="22">
        <f>IF($D4389="","",IF(AND(LEN($D4389)=10,LEFT($D4389,1)="0",ISNUMBER(--$D4389)),"Có","Không"))</f>
        <v/>
      </c>
      <c r="T4389" s="22">
        <f>IF($D4389="","",IF(AND($C4389&lt;&gt;"",$Q4389="Có",$R4389="",$S4389="Có",AND($L4389&lt;&gt;"",OR($L4389&lt;&gt;"Chưa xác định",DANH_MUC!$L$9="Có"))),"Có","Không"))</f>
        <v/>
      </c>
      <c r="U4389" s="22">
        <f>IF(OR($D4389="",$T4389="Có"),"",IF($C4389="","Thiếu họ tên; ","")&amp;IF($S4389&lt;&gt;"Có","SĐT sai định dạng; ","")&amp;IF($R4389="Trùng","Trùng SĐT; ","")&amp;IF($Q4389&lt;&gt;"Có","Thiếu đồng ý bắt buộc; ","")&amp;IF($L4389="","Thiếu/sai Mã REF; ",IF(AND($L4389="Chưa xác định",DANH_MUC!$L$9&lt;&gt;"Có"),"Nguồn chưa xác định; ","")))</f>
        <v/>
      </c>
      <c r="V4389" s="22">
        <f>IF(OR($D4389="",$R4389="Trùng"),"",IF(COUNTIF(ORDERS!$C$2:$C$4995,$D4389)&gt;0,"Có","Không"))</f>
        <v/>
      </c>
      <c r="W4389" s="22">
        <f>IF(OR($D4389="",$R4389="Trùng"),"",COUNTIFS(ORDERS!$C$2:$C$4995,$D4389,ORDERS!$L$2:$L$4995,"Đã chuyển khoản"))</f>
        <v/>
      </c>
      <c r="X4389" s="23">
        <f>IF(OR($D4389="",$R4389="Trùng"),"",SUMIFS(ORDERS!$J$2:$J$4995,ORDERS!$C$2:$C$4995,$D4389,ORDERS!$L$2:$L$4995,"Đã chuyển khoản"))</f>
        <v/>
      </c>
      <c r="Y4389" s="24" t="n"/>
    </row>
    <row r="4390" ht="14.25" customHeight="1" s="40">
      <c r="A4390" s="24" t="n"/>
      <c r="B4390" s="27" t="n"/>
      <c r="C4390" s="24" t="n"/>
      <c r="D4390" s="28" t="n"/>
      <c r="E4390" s="29" t="n"/>
      <c r="F4390" s="24" t="n"/>
      <c r="G4390" s="24" t="n"/>
      <c r="H4390" s="21">
        <f>IF(ISNUMBER($B4390),INT($B4390)-WEEKDAY($B4390,2)+1,"")</f>
        <v/>
      </c>
      <c r="I4390" s="24" t="n"/>
      <c r="J4390" s="22">
        <f t="array" ref="J4390">IF($D4390="","",IF($I4390="","(trống REF)",IFERROR(INDEX(MASTER_SOURCE!$B$2:$B$495,MATCH($I4390,MASTER_SOURCE!$A$2:$A$495,0)),"(REF không có trong MASTER_SOURCE)")))</f>
        <v/>
      </c>
      <c r="K4390" s="22">
        <f t="array" ref="K4390">IF($D4390="","",IFERROR(INDEX(MASTER_SOURCE!$C$2:$C$495,MATCH($I4390,MASTER_SOURCE!$A$2:$A$495,0)),""))</f>
        <v/>
      </c>
      <c r="L4390" s="22">
        <f t="array" ref="L4390">IF($D4390="","",IFERROR(INDEX(MASTER_SOURCE!$D$2:$D$495,MATCH($I4390,MASTER_SOURCE!$A$2:$A$495,0)),""))</f>
        <v/>
      </c>
      <c r="M4390" s="24" t="n"/>
      <c r="N4390" s="24" t="n"/>
      <c r="O4390" s="24" t="n"/>
      <c r="P4390" s="24" t="n"/>
      <c r="Q4390" s="22">
        <f>IF($D4390="","",IF(AND(OR(DANH_MUC!$L$5&lt;&gt;"Có",M4390="Có"),OR(DANH_MUC!$L$6&lt;&gt;"Có",N4390="Có"),OR(DANH_MUC!$L$7&lt;&gt;"Có",O4390="Có"),OR(DANH_MUC!$L$8&lt;&gt;"Có",P4390="Có")),"Có","Không"))</f>
        <v/>
      </c>
      <c r="R4390" s="22">
        <f>IF($D4390="","",IF(COUNTIF($D$2:$D4390,$D4390)&gt;1,"Trùng",""))</f>
        <v/>
      </c>
      <c r="S4390" s="22">
        <f>IF($D4390="","",IF(AND(LEN($D4390)=10,LEFT($D4390,1)="0",ISNUMBER(--$D4390)),"Có","Không"))</f>
        <v/>
      </c>
      <c r="T4390" s="22">
        <f>IF($D4390="","",IF(AND($C4390&lt;&gt;"",$Q4390="Có",$R4390="",$S4390="Có",AND($L4390&lt;&gt;"",OR($L4390&lt;&gt;"Chưa xác định",DANH_MUC!$L$9="Có"))),"Có","Không"))</f>
        <v/>
      </c>
      <c r="U4390" s="22">
        <f>IF(OR($D4390="",$T4390="Có"),"",IF($C4390="","Thiếu họ tên; ","")&amp;IF($S4390&lt;&gt;"Có","SĐT sai định dạng; ","")&amp;IF($R4390="Trùng","Trùng SĐT; ","")&amp;IF($Q4390&lt;&gt;"Có","Thiếu đồng ý bắt buộc; ","")&amp;IF($L4390="","Thiếu/sai Mã REF; ",IF(AND($L4390="Chưa xác định",DANH_MUC!$L$9&lt;&gt;"Có"),"Nguồn chưa xác định; ","")))</f>
        <v/>
      </c>
      <c r="V4390" s="22">
        <f>IF(OR($D4390="",$R4390="Trùng"),"",IF(COUNTIF(ORDERS!$C$2:$C$4995,$D4390)&gt;0,"Có","Không"))</f>
        <v/>
      </c>
      <c r="W4390" s="22">
        <f>IF(OR($D4390="",$R4390="Trùng"),"",COUNTIFS(ORDERS!$C$2:$C$4995,$D4390,ORDERS!$L$2:$L$4995,"Đã chuyển khoản"))</f>
        <v/>
      </c>
      <c r="X4390" s="23">
        <f>IF(OR($D4390="",$R4390="Trùng"),"",SUMIFS(ORDERS!$J$2:$J$4995,ORDERS!$C$2:$C$4995,$D4390,ORDERS!$L$2:$L$4995,"Đã chuyển khoản"))</f>
        <v/>
      </c>
      <c r="Y4390" s="24" t="n"/>
    </row>
    <row r="4391" ht="14.25" customHeight="1" s="40">
      <c r="A4391" s="24" t="n"/>
      <c r="B4391" s="27" t="n"/>
      <c r="C4391" s="24" t="n"/>
      <c r="D4391" s="28" t="n"/>
      <c r="E4391" s="29" t="n"/>
      <c r="F4391" s="24" t="n"/>
      <c r="G4391" s="24" t="n"/>
      <c r="H4391" s="21">
        <f>IF(ISNUMBER($B4391),INT($B4391)-WEEKDAY($B4391,2)+1,"")</f>
        <v/>
      </c>
      <c r="I4391" s="24" t="n"/>
      <c r="J4391" s="22">
        <f t="array" ref="J4391">IF($D4391="","",IF($I4391="","(trống REF)",IFERROR(INDEX(MASTER_SOURCE!$B$2:$B$495,MATCH($I4391,MASTER_SOURCE!$A$2:$A$495,0)),"(REF không có trong MASTER_SOURCE)")))</f>
        <v/>
      </c>
      <c r="K4391" s="22">
        <f t="array" ref="K4391">IF($D4391="","",IFERROR(INDEX(MASTER_SOURCE!$C$2:$C$495,MATCH($I4391,MASTER_SOURCE!$A$2:$A$495,0)),""))</f>
        <v/>
      </c>
      <c r="L4391" s="22">
        <f t="array" ref="L4391">IF($D4391="","",IFERROR(INDEX(MASTER_SOURCE!$D$2:$D$495,MATCH($I4391,MASTER_SOURCE!$A$2:$A$495,0)),""))</f>
        <v/>
      </c>
      <c r="M4391" s="24" t="n"/>
      <c r="N4391" s="24" t="n"/>
      <c r="O4391" s="24" t="n"/>
      <c r="P4391" s="24" t="n"/>
      <c r="Q4391" s="22">
        <f>IF($D4391="","",IF(AND(OR(DANH_MUC!$L$5&lt;&gt;"Có",M4391="Có"),OR(DANH_MUC!$L$6&lt;&gt;"Có",N4391="Có"),OR(DANH_MUC!$L$7&lt;&gt;"Có",O4391="Có"),OR(DANH_MUC!$L$8&lt;&gt;"Có",P4391="Có")),"Có","Không"))</f>
        <v/>
      </c>
      <c r="R4391" s="22">
        <f>IF($D4391="","",IF(COUNTIF($D$2:$D4391,$D4391)&gt;1,"Trùng",""))</f>
        <v/>
      </c>
      <c r="S4391" s="22">
        <f>IF($D4391="","",IF(AND(LEN($D4391)=10,LEFT($D4391,1)="0",ISNUMBER(--$D4391)),"Có","Không"))</f>
        <v/>
      </c>
      <c r="T4391" s="22">
        <f>IF($D4391="","",IF(AND($C4391&lt;&gt;"",$Q4391="Có",$R4391="",$S4391="Có",AND($L4391&lt;&gt;"",OR($L4391&lt;&gt;"Chưa xác định",DANH_MUC!$L$9="Có"))),"Có","Không"))</f>
        <v/>
      </c>
      <c r="U4391" s="22">
        <f>IF(OR($D4391="",$T4391="Có"),"",IF($C4391="","Thiếu họ tên; ","")&amp;IF($S4391&lt;&gt;"Có","SĐT sai định dạng; ","")&amp;IF($R4391="Trùng","Trùng SĐT; ","")&amp;IF($Q4391&lt;&gt;"Có","Thiếu đồng ý bắt buộc; ","")&amp;IF($L4391="","Thiếu/sai Mã REF; ",IF(AND($L4391="Chưa xác định",DANH_MUC!$L$9&lt;&gt;"Có"),"Nguồn chưa xác định; ","")))</f>
        <v/>
      </c>
      <c r="V4391" s="22">
        <f>IF(OR($D4391="",$R4391="Trùng"),"",IF(COUNTIF(ORDERS!$C$2:$C$4995,$D4391)&gt;0,"Có","Không"))</f>
        <v/>
      </c>
      <c r="W4391" s="22">
        <f>IF(OR($D4391="",$R4391="Trùng"),"",COUNTIFS(ORDERS!$C$2:$C$4995,$D4391,ORDERS!$L$2:$L$4995,"Đã chuyển khoản"))</f>
        <v/>
      </c>
      <c r="X4391" s="23">
        <f>IF(OR($D4391="",$R4391="Trùng"),"",SUMIFS(ORDERS!$J$2:$J$4995,ORDERS!$C$2:$C$4995,$D4391,ORDERS!$L$2:$L$4995,"Đã chuyển khoản"))</f>
        <v/>
      </c>
      <c r="Y4391" s="24" t="n"/>
    </row>
    <row r="4392" ht="14.25" customHeight="1" s="40">
      <c r="A4392" s="24" t="n"/>
      <c r="B4392" s="27" t="n"/>
      <c r="C4392" s="24" t="n"/>
      <c r="D4392" s="28" t="n"/>
      <c r="E4392" s="29" t="n"/>
      <c r="F4392" s="24" t="n"/>
      <c r="G4392" s="24" t="n"/>
      <c r="H4392" s="21">
        <f>IF(ISNUMBER($B4392),INT($B4392)-WEEKDAY($B4392,2)+1,"")</f>
        <v/>
      </c>
      <c r="I4392" s="24" t="n"/>
      <c r="J4392" s="22">
        <f t="array" ref="J4392">IF($D4392="","",IF($I4392="","(trống REF)",IFERROR(INDEX(MASTER_SOURCE!$B$2:$B$495,MATCH($I4392,MASTER_SOURCE!$A$2:$A$495,0)),"(REF không có trong MASTER_SOURCE)")))</f>
        <v/>
      </c>
      <c r="K4392" s="22">
        <f t="array" ref="K4392">IF($D4392="","",IFERROR(INDEX(MASTER_SOURCE!$C$2:$C$495,MATCH($I4392,MASTER_SOURCE!$A$2:$A$495,0)),""))</f>
        <v/>
      </c>
      <c r="L4392" s="22">
        <f t="array" ref="L4392">IF($D4392="","",IFERROR(INDEX(MASTER_SOURCE!$D$2:$D$495,MATCH($I4392,MASTER_SOURCE!$A$2:$A$495,0)),""))</f>
        <v/>
      </c>
      <c r="M4392" s="24" t="n"/>
      <c r="N4392" s="24" t="n"/>
      <c r="O4392" s="24" t="n"/>
      <c r="P4392" s="24" t="n"/>
      <c r="Q4392" s="22">
        <f>IF($D4392="","",IF(AND(OR(DANH_MUC!$L$5&lt;&gt;"Có",M4392="Có"),OR(DANH_MUC!$L$6&lt;&gt;"Có",N4392="Có"),OR(DANH_MUC!$L$7&lt;&gt;"Có",O4392="Có"),OR(DANH_MUC!$L$8&lt;&gt;"Có",P4392="Có")),"Có","Không"))</f>
        <v/>
      </c>
      <c r="R4392" s="22">
        <f>IF($D4392="","",IF(COUNTIF($D$2:$D4392,$D4392)&gt;1,"Trùng",""))</f>
        <v/>
      </c>
      <c r="S4392" s="22">
        <f>IF($D4392="","",IF(AND(LEN($D4392)=10,LEFT($D4392,1)="0",ISNUMBER(--$D4392)),"Có","Không"))</f>
        <v/>
      </c>
      <c r="T4392" s="22">
        <f>IF($D4392="","",IF(AND($C4392&lt;&gt;"",$Q4392="Có",$R4392="",$S4392="Có",AND($L4392&lt;&gt;"",OR($L4392&lt;&gt;"Chưa xác định",DANH_MUC!$L$9="Có"))),"Có","Không"))</f>
        <v/>
      </c>
      <c r="U4392" s="22">
        <f>IF(OR($D4392="",$T4392="Có"),"",IF($C4392="","Thiếu họ tên; ","")&amp;IF($S4392&lt;&gt;"Có","SĐT sai định dạng; ","")&amp;IF($R4392="Trùng","Trùng SĐT; ","")&amp;IF($Q4392&lt;&gt;"Có","Thiếu đồng ý bắt buộc; ","")&amp;IF($L4392="","Thiếu/sai Mã REF; ",IF(AND($L4392="Chưa xác định",DANH_MUC!$L$9&lt;&gt;"Có"),"Nguồn chưa xác định; ","")))</f>
        <v/>
      </c>
      <c r="V4392" s="22">
        <f>IF(OR($D4392="",$R4392="Trùng"),"",IF(COUNTIF(ORDERS!$C$2:$C$4995,$D4392)&gt;0,"Có","Không"))</f>
        <v/>
      </c>
      <c r="W4392" s="22">
        <f>IF(OR($D4392="",$R4392="Trùng"),"",COUNTIFS(ORDERS!$C$2:$C$4995,$D4392,ORDERS!$L$2:$L$4995,"Đã chuyển khoản"))</f>
        <v/>
      </c>
      <c r="X4392" s="23">
        <f>IF(OR($D4392="",$R4392="Trùng"),"",SUMIFS(ORDERS!$J$2:$J$4995,ORDERS!$C$2:$C$4995,$D4392,ORDERS!$L$2:$L$4995,"Đã chuyển khoản"))</f>
        <v/>
      </c>
      <c r="Y4392" s="24" t="n"/>
    </row>
    <row r="4393" ht="14.25" customHeight="1" s="40">
      <c r="A4393" s="24" t="n"/>
      <c r="B4393" s="27" t="n"/>
      <c r="C4393" s="24" t="n"/>
      <c r="D4393" s="28" t="n"/>
      <c r="E4393" s="29" t="n"/>
      <c r="F4393" s="24" t="n"/>
      <c r="G4393" s="24" t="n"/>
      <c r="H4393" s="21">
        <f>IF(ISNUMBER($B4393),INT($B4393)-WEEKDAY($B4393,2)+1,"")</f>
        <v/>
      </c>
      <c r="I4393" s="24" t="n"/>
      <c r="J4393" s="22">
        <f t="array" ref="J4393">IF($D4393="","",IF($I4393="","(trống REF)",IFERROR(INDEX(MASTER_SOURCE!$B$2:$B$495,MATCH($I4393,MASTER_SOURCE!$A$2:$A$495,0)),"(REF không có trong MASTER_SOURCE)")))</f>
        <v/>
      </c>
      <c r="K4393" s="22">
        <f t="array" ref="K4393">IF($D4393="","",IFERROR(INDEX(MASTER_SOURCE!$C$2:$C$495,MATCH($I4393,MASTER_SOURCE!$A$2:$A$495,0)),""))</f>
        <v/>
      </c>
      <c r="L4393" s="22">
        <f t="array" ref="L4393">IF($D4393="","",IFERROR(INDEX(MASTER_SOURCE!$D$2:$D$495,MATCH($I4393,MASTER_SOURCE!$A$2:$A$495,0)),""))</f>
        <v/>
      </c>
      <c r="M4393" s="24" t="n"/>
      <c r="N4393" s="24" t="n"/>
      <c r="O4393" s="24" t="n"/>
      <c r="P4393" s="24" t="n"/>
      <c r="Q4393" s="22">
        <f>IF($D4393="","",IF(AND(OR(DANH_MUC!$L$5&lt;&gt;"Có",M4393="Có"),OR(DANH_MUC!$L$6&lt;&gt;"Có",N4393="Có"),OR(DANH_MUC!$L$7&lt;&gt;"Có",O4393="Có"),OR(DANH_MUC!$L$8&lt;&gt;"Có",P4393="Có")),"Có","Không"))</f>
        <v/>
      </c>
      <c r="R4393" s="22">
        <f>IF($D4393="","",IF(COUNTIF($D$2:$D4393,$D4393)&gt;1,"Trùng",""))</f>
        <v/>
      </c>
      <c r="S4393" s="22">
        <f>IF($D4393="","",IF(AND(LEN($D4393)=10,LEFT($D4393,1)="0",ISNUMBER(--$D4393)),"Có","Không"))</f>
        <v/>
      </c>
      <c r="T4393" s="22">
        <f>IF($D4393="","",IF(AND($C4393&lt;&gt;"",$Q4393="Có",$R4393="",$S4393="Có",AND($L4393&lt;&gt;"",OR($L4393&lt;&gt;"Chưa xác định",DANH_MUC!$L$9="Có"))),"Có","Không"))</f>
        <v/>
      </c>
      <c r="U4393" s="22">
        <f>IF(OR($D4393="",$T4393="Có"),"",IF($C4393="","Thiếu họ tên; ","")&amp;IF($S4393&lt;&gt;"Có","SĐT sai định dạng; ","")&amp;IF($R4393="Trùng","Trùng SĐT; ","")&amp;IF($Q4393&lt;&gt;"Có","Thiếu đồng ý bắt buộc; ","")&amp;IF($L4393="","Thiếu/sai Mã REF; ",IF(AND($L4393="Chưa xác định",DANH_MUC!$L$9&lt;&gt;"Có"),"Nguồn chưa xác định; ","")))</f>
        <v/>
      </c>
      <c r="V4393" s="22">
        <f>IF(OR($D4393="",$R4393="Trùng"),"",IF(COUNTIF(ORDERS!$C$2:$C$4995,$D4393)&gt;0,"Có","Không"))</f>
        <v/>
      </c>
      <c r="W4393" s="22">
        <f>IF(OR($D4393="",$R4393="Trùng"),"",COUNTIFS(ORDERS!$C$2:$C$4995,$D4393,ORDERS!$L$2:$L$4995,"Đã chuyển khoản"))</f>
        <v/>
      </c>
      <c r="X4393" s="23">
        <f>IF(OR($D4393="",$R4393="Trùng"),"",SUMIFS(ORDERS!$J$2:$J$4995,ORDERS!$C$2:$C$4995,$D4393,ORDERS!$L$2:$L$4995,"Đã chuyển khoản"))</f>
        <v/>
      </c>
      <c r="Y4393" s="24" t="n"/>
    </row>
    <row r="4394" ht="14.25" customHeight="1" s="40">
      <c r="A4394" s="24" t="n"/>
      <c r="B4394" s="27" t="n"/>
      <c r="C4394" s="24" t="n"/>
      <c r="D4394" s="28" t="n"/>
      <c r="E4394" s="29" t="n"/>
      <c r="F4394" s="24" t="n"/>
      <c r="G4394" s="24" t="n"/>
      <c r="H4394" s="21">
        <f>IF(ISNUMBER($B4394),INT($B4394)-WEEKDAY($B4394,2)+1,"")</f>
        <v/>
      </c>
      <c r="I4394" s="24" t="n"/>
      <c r="J4394" s="22">
        <f t="array" ref="J4394">IF($D4394="","",IF($I4394="","(trống REF)",IFERROR(INDEX(MASTER_SOURCE!$B$2:$B$495,MATCH($I4394,MASTER_SOURCE!$A$2:$A$495,0)),"(REF không có trong MASTER_SOURCE)")))</f>
        <v/>
      </c>
      <c r="K4394" s="22">
        <f t="array" ref="K4394">IF($D4394="","",IFERROR(INDEX(MASTER_SOURCE!$C$2:$C$495,MATCH($I4394,MASTER_SOURCE!$A$2:$A$495,0)),""))</f>
        <v/>
      </c>
      <c r="L4394" s="22">
        <f t="array" ref="L4394">IF($D4394="","",IFERROR(INDEX(MASTER_SOURCE!$D$2:$D$495,MATCH($I4394,MASTER_SOURCE!$A$2:$A$495,0)),""))</f>
        <v/>
      </c>
      <c r="M4394" s="24" t="n"/>
      <c r="N4394" s="24" t="n"/>
      <c r="O4394" s="24" t="n"/>
      <c r="P4394" s="24" t="n"/>
      <c r="Q4394" s="22">
        <f>IF($D4394="","",IF(AND(OR(DANH_MUC!$L$5&lt;&gt;"Có",M4394="Có"),OR(DANH_MUC!$L$6&lt;&gt;"Có",N4394="Có"),OR(DANH_MUC!$L$7&lt;&gt;"Có",O4394="Có"),OR(DANH_MUC!$L$8&lt;&gt;"Có",P4394="Có")),"Có","Không"))</f>
        <v/>
      </c>
      <c r="R4394" s="22">
        <f>IF($D4394="","",IF(COUNTIF($D$2:$D4394,$D4394)&gt;1,"Trùng",""))</f>
        <v/>
      </c>
      <c r="S4394" s="22">
        <f>IF($D4394="","",IF(AND(LEN($D4394)=10,LEFT($D4394,1)="0",ISNUMBER(--$D4394)),"Có","Không"))</f>
        <v/>
      </c>
      <c r="T4394" s="22">
        <f>IF($D4394="","",IF(AND($C4394&lt;&gt;"",$Q4394="Có",$R4394="",$S4394="Có",AND($L4394&lt;&gt;"",OR($L4394&lt;&gt;"Chưa xác định",DANH_MUC!$L$9="Có"))),"Có","Không"))</f>
        <v/>
      </c>
      <c r="U4394" s="22">
        <f>IF(OR($D4394="",$T4394="Có"),"",IF($C4394="","Thiếu họ tên; ","")&amp;IF($S4394&lt;&gt;"Có","SĐT sai định dạng; ","")&amp;IF($R4394="Trùng","Trùng SĐT; ","")&amp;IF($Q4394&lt;&gt;"Có","Thiếu đồng ý bắt buộc; ","")&amp;IF($L4394="","Thiếu/sai Mã REF; ",IF(AND($L4394="Chưa xác định",DANH_MUC!$L$9&lt;&gt;"Có"),"Nguồn chưa xác định; ","")))</f>
        <v/>
      </c>
      <c r="V4394" s="22">
        <f>IF(OR($D4394="",$R4394="Trùng"),"",IF(COUNTIF(ORDERS!$C$2:$C$4995,$D4394)&gt;0,"Có","Không"))</f>
        <v/>
      </c>
      <c r="W4394" s="22">
        <f>IF(OR($D4394="",$R4394="Trùng"),"",COUNTIFS(ORDERS!$C$2:$C$4995,$D4394,ORDERS!$L$2:$L$4995,"Đã chuyển khoản"))</f>
        <v/>
      </c>
      <c r="X4394" s="23">
        <f>IF(OR($D4394="",$R4394="Trùng"),"",SUMIFS(ORDERS!$J$2:$J$4995,ORDERS!$C$2:$C$4995,$D4394,ORDERS!$L$2:$L$4995,"Đã chuyển khoản"))</f>
        <v/>
      </c>
      <c r="Y4394" s="24" t="n"/>
    </row>
    <row r="4395" ht="14.25" customHeight="1" s="40">
      <c r="A4395" s="24" t="n"/>
      <c r="B4395" s="27" t="n"/>
      <c r="C4395" s="24" t="n"/>
      <c r="D4395" s="28" t="n"/>
      <c r="E4395" s="29" t="n"/>
      <c r="F4395" s="24" t="n"/>
      <c r="G4395" s="24" t="n"/>
      <c r="H4395" s="21">
        <f>IF(ISNUMBER($B4395),INT($B4395)-WEEKDAY($B4395,2)+1,"")</f>
        <v/>
      </c>
      <c r="I4395" s="24" t="n"/>
      <c r="J4395" s="22">
        <f t="array" ref="J4395">IF($D4395="","",IF($I4395="","(trống REF)",IFERROR(INDEX(MASTER_SOURCE!$B$2:$B$495,MATCH($I4395,MASTER_SOURCE!$A$2:$A$495,0)),"(REF không có trong MASTER_SOURCE)")))</f>
        <v/>
      </c>
      <c r="K4395" s="22">
        <f t="array" ref="K4395">IF($D4395="","",IFERROR(INDEX(MASTER_SOURCE!$C$2:$C$495,MATCH($I4395,MASTER_SOURCE!$A$2:$A$495,0)),""))</f>
        <v/>
      </c>
      <c r="L4395" s="22">
        <f t="array" ref="L4395">IF($D4395="","",IFERROR(INDEX(MASTER_SOURCE!$D$2:$D$495,MATCH($I4395,MASTER_SOURCE!$A$2:$A$495,0)),""))</f>
        <v/>
      </c>
      <c r="M4395" s="24" t="n"/>
      <c r="N4395" s="24" t="n"/>
      <c r="O4395" s="24" t="n"/>
      <c r="P4395" s="24" t="n"/>
      <c r="Q4395" s="22">
        <f>IF($D4395="","",IF(AND(OR(DANH_MUC!$L$5&lt;&gt;"Có",M4395="Có"),OR(DANH_MUC!$L$6&lt;&gt;"Có",N4395="Có"),OR(DANH_MUC!$L$7&lt;&gt;"Có",O4395="Có"),OR(DANH_MUC!$L$8&lt;&gt;"Có",P4395="Có")),"Có","Không"))</f>
        <v/>
      </c>
      <c r="R4395" s="22">
        <f>IF($D4395="","",IF(COUNTIF($D$2:$D4395,$D4395)&gt;1,"Trùng",""))</f>
        <v/>
      </c>
      <c r="S4395" s="22">
        <f>IF($D4395="","",IF(AND(LEN($D4395)=10,LEFT($D4395,1)="0",ISNUMBER(--$D4395)),"Có","Không"))</f>
        <v/>
      </c>
      <c r="T4395" s="22">
        <f>IF($D4395="","",IF(AND($C4395&lt;&gt;"",$Q4395="Có",$R4395="",$S4395="Có",AND($L4395&lt;&gt;"",OR($L4395&lt;&gt;"Chưa xác định",DANH_MUC!$L$9="Có"))),"Có","Không"))</f>
        <v/>
      </c>
      <c r="U4395" s="22">
        <f>IF(OR($D4395="",$T4395="Có"),"",IF($C4395="","Thiếu họ tên; ","")&amp;IF($S4395&lt;&gt;"Có","SĐT sai định dạng; ","")&amp;IF($R4395="Trùng","Trùng SĐT; ","")&amp;IF($Q4395&lt;&gt;"Có","Thiếu đồng ý bắt buộc; ","")&amp;IF($L4395="","Thiếu/sai Mã REF; ",IF(AND($L4395="Chưa xác định",DANH_MUC!$L$9&lt;&gt;"Có"),"Nguồn chưa xác định; ","")))</f>
        <v/>
      </c>
      <c r="V4395" s="22">
        <f>IF(OR($D4395="",$R4395="Trùng"),"",IF(COUNTIF(ORDERS!$C$2:$C$4995,$D4395)&gt;0,"Có","Không"))</f>
        <v/>
      </c>
      <c r="W4395" s="22">
        <f>IF(OR($D4395="",$R4395="Trùng"),"",COUNTIFS(ORDERS!$C$2:$C$4995,$D4395,ORDERS!$L$2:$L$4995,"Đã chuyển khoản"))</f>
        <v/>
      </c>
      <c r="X4395" s="23">
        <f>IF(OR($D4395="",$R4395="Trùng"),"",SUMIFS(ORDERS!$J$2:$J$4995,ORDERS!$C$2:$C$4995,$D4395,ORDERS!$L$2:$L$4995,"Đã chuyển khoản"))</f>
        <v/>
      </c>
      <c r="Y4395" s="24" t="n"/>
    </row>
    <row r="4396" ht="14.25" customHeight="1" s="40">
      <c r="A4396" s="24" t="n"/>
      <c r="B4396" s="27" t="n"/>
      <c r="C4396" s="24" t="n"/>
      <c r="D4396" s="28" t="n"/>
      <c r="E4396" s="29" t="n"/>
      <c r="F4396" s="24" t="n"/>
      <c r="G4396" s="24" t="n"/>
      <c r="H4396" s="21">
        <f>IF(ISNUMBER($B4396),INT($B4396)-WEEKDAY($B4396,2)+1,"")</f>
        <v/>
      </c>
      <c r="I4396" s="24" t="n"/>
      <c r="J4396" s="22">
        <f t="array" ref="J4396">IF($D4396="","",IF($I4396="","(trống REF)",IFERROR(INDEX(MASTER_SOURCE!$B$2:$B$495,MATCH($I4396,MASTER_SOURCE!$A$2:$A$495,0)),"(REF không có trong MASTER_SOURCE)")))</f>
        <v/>
      </c>
      <c r="K4396" s="22">
        <f t="array" ref="K4396">IF($D4396="","",IFERROR(INDEX(MASTER_SOURCE!$C$2:$C$495,MATCH($I4396,MASTER_SOURCE!$A$2:$A$495,0)),""))</f>
        <v/>
      </c>
      <c r="L4396" s="22">
        <f t="array" ref="L4396">IF($D4396="","",IFERROR(INDEX(MASTER_SOURCE!$D$2:$D$495,MATCH($I4396,MASTER_SOURCE!$A$2:$A$495,0)),""))</f>
        <v/>
      </c>
      <c r="M4396" s="24" t="n"/>
      <c r="N4396" s="24" t="n"/>
      <c r="O4396" s="24" t="n"/>
      <c r="P4396" s="24" t="n"/>
      <c r="Q4396" s="22">
        <f>IF($D4396="","",IF(AND(OR(DANH_MUC!$L$5&lt;&gt;"Có",M4396="Có"),OR(DANH_MUC!$L$6&lt;&gt;"Có",N4396="Có"),OR(DANH_MUC!$L$7&lt;&gt;"Có",O4396="Có"),OR(DANH_MUC!$L$8&lt;&gt;"Có",P4396="Có")),"Có","Không"))</f>
        <v/>
      </c>
      <c r="R4396" s="22">
        <f>IF($D4396="","",IF(COUNTIF($D$2:$D4396,$D4396)&gt;1,"Trùng",""))</f>
        <v/>
      </c>
      <c r="S4396" s="22">
        <f>IF($D4396="","",IF(AND(LEN($D4396)=10,LEFT($D4396,1)="0",ISNUMBER(--$D4396)),"Có","Không"))</f>
        <v/>
      </c>
      <c r="T4396" s="22">
        <f>IF($D4396="","",IF(AND($C4396&lt;&gt;"",$Q4396="Có",$R4396="",$S4396="Có",AND($L4396&lt;&gt;"",OR($L4396&lt;&gt;"Chưa xác định",DANH_MUC!$L$9="Có"))),"Có","Không"))</f>
        <v/>
      </c>
      <c r="U4396" s="22">
        <f>IF(OR($D4396="",$T4396="Có"),"",IF($C4396="","Thiếu họ tên; ","")&amp;IF($S4396&lt;&gt;"Có","SĐT sai định dạng; ","")&amp;IF($R4396="Trùng","Trùng SĐT; ","")&amp;IF($Q4396&lt;&gt;"Có","Thiếu đồng ý bắt buộc; ","")&amp;IF($L4396="","Thiếu/sai Mã REF; ",IF(AND($L4396="Chưa xác định",DANH_MUC!$L$9&lt;&gt;"Có"),"Nguồn chưa xác định; ","")))</f>
        <v/>
      </c>
      <c r="V4396" s="22">
        <f>IF(OR($D4396="",$R4396="Trùng"),"",IF(COUNTIF(ORDERS!$C$2:$C$4995,$D4396)&gt;0,"Có","Không"))</f>
        <v/>
      </c>
      <c r="W4396" s="22">
        <f>IF(OR($D4396="",$R4396="Trùng"),"",COUNTIFS(ORDERS!$C$2:$C$4995,$D4396,ORDERS!$L$2:$L$4995,"Đã chuyển khoản"))</f>
        <v/>
      </c>
      <c r="X4396" s="23">
        <f>IF(OR($D4396="",$R4396="Trùng"),"",SUMIFS(ORDERS!$J$2:$J$4995,ORDERS!$C$2:$C$4995,$D4396,ORDERS!$L$2:$L$4995,"Đã chuyển khoản"))</f>
        <v/>
      </c>
      <c r="Y4396" s="24" t="n"/>
    </row>
    <row r="4397" ht="14.25" customHeight="1" s="40">
      <c r="A4397" s="24" t="n"/>
      <c r="B4397" s="27" t="n"/>
      <c r="C4397" s="24" t="n"/>
      <c r="D4397" s="28" t="n"/>
      <c r="E4397" s="29" t="n"/>
      <c r="F4397" s="24" t="n"/>
      <c r="G4397" s="24" t="n"/>
      <c r="H4397" s="21">
        <f>IF(ISNUMBER($B4397),INT($B4397)-WEEKDAY($B4397,2)+1,"")</f>
        <v/>
      </c>
      <c r="I4397" s="24" t="n"/>
      <c r="J4397" s="22">
        <f t="array" ref="J4397">IF($D4397="","",IF($I4397="","(trống REF)",IFERROR(INDEX(MASTER_SOURCE!$B$2:$B$495,MATCH($I4397,MASTER_SOURCE!$A$2:$A$495,0)),"(REF không có trong MASTER_SOURCE)")))</f>
        <v/>
      </c>
      <c r="K4397" s="22">
        <f t="array" ref="K4397">IF($D4397="","",IFERROR(INDEX(MASTER_SOURCE!$C$2:$C$495,MATCH($I4397,MASTER_SOURCE!$A$2:$A$495,0)),""))</f>
        <v/>
      </c>
      <c r="L4397" s="22">
        <f t="array" ref="L4397">IF($D4397="","",IFERROR(INDEX(MASTER_SOURCE!$D$2:$D$495,MATCH($I4397,MASTER_SOURCE!$A$2:$A$495,0)),""))</f>
        <v/>
      </c>
      <c r="M4397" s="24" t="n"/>
      <c r="N4397" s="24" t="n"/>
      <c r="O4397" s="24" t="n"/>
      <c r="P4397" s="24" t="n"/>
      <c r="Q4397" s="22">
        <f>IF($D4397="","",IF(AND(OR(DANH_MUC!$L$5&lt;&gt;"Có",M4397="Có"),OR(DANH_MUC!$L$6&lt;&gt;"Có",N4397="Có"),OR(DANH_MUC!$L$7&lt;&gt;"Có",O4397="Có"),OR(DANH_MUC!$L$8&lt;&gt;"Có",P4397="Có")),"Có","Không"))</f>
        <v/>
      </c>
      <c r="R4397" s="22">
        <f>IF($D4397="","",IF(COUNTIF($D$2:$D4397,$D4397)&gt;1,"Trùng",""))</f>
        <v/>
      </c>
      <c r="S4397" s="22">
        <f>IF($D4397="","",IF(AND(LEN($D4397)=10,LEFT($D4397,1)="0",ISNUMBER(--$D4397)),"Có","Không"))</f>
        <v/>
      </c>
      <c r="T4397" s="22">
        <f>IF($D4397="","",IF(AND($C4397&lt;&gt;"",$Q4397="Có",$R4397="",$S4397="Có",AND($L4397&lt;&gt;"",OR($L4397&lt;&gt;"Chưa xác định",DANH_MUC!$L$9="Có"))),"Có","Không"))</f>
        <v/>
      </c>
      <c r="U4397" s="22">
        <f>IF(OR($D4397="",$T4397="Có"),"",IF($C4397="","Thiếu họ tên; ","")&amp;IF($S4397&lt;&gt;"Có","SĐT sai định dạng; ","")&amp;IF($R4397="Trùng","Trùng SĐT; ","")&amp;IF($Q4397&lt;&gt;"Có","Thiếu đồng ý bắt buộc; ","")&amp;IF($L4397="","Thiếu/sai Mã REF; ",IF(AND($L4397="Chưa xác định",DANH_MUC!$L$9&lt;&gt;"Có"),"Nguồn chưa xác định; ","")))</f>
        <v/>
      </c>
      <c r="V4397" s="22">
        <f>IF(OR($D4397="",$R4397="Trùng"),"",IF(COUNTIF(ORDERS!$C$2:$C$4995,$D4397)&gt;0,"Có","Không"))</f>
        <v/>
      </c>
      <c r="W4397" s="22">
        <f>IF(OR($D4397="",$R4397="Trùng"),"",COUNTIFS(ORDERS!$C$2:$C$4995,$D4397,ORDERS!$L$2:$L$4995,"Đã chuyển khoản"))</f>
        <v/>
      </c>
      <c r="X4397" s="23">
        <f>IF(OR($D4397="",$R4397="Trùng"),"",SUMIFS(ORDERS!$J$2:$J$4995,ORDERS!$C$2:$C$4995,$D4397,ORDERS!$L$2:$L$4995,"Đã chuyển khoản"))</f>
        <v/>
      </c>
      <c r="Y4397" s="24" t="n"/>
    </row>
    <row r="4398" ht="14.25" customHeight="1" s="40">
      <c r="A4398" s="24" t="n"/>
      <c r="B4398" s="27" t="n"/>
      <c r="C4398" s="24" t="n"/>
      <c r="D4398" s="28" t="n"/>
      <c r="E4398" s="29" t="n"/>
      <c r="F4398" s="24" t="n"/>
      <c r="G4398" s="24" t="n"/>
      <c r="H4398" s="21">
        <f>IF(ISNUMBER($B4398),INT($B4398)-WEEKDAY($B4398,2)+1,"")</f>
        <v/>
      </c>
      <c r="I4398" s="24" t="n"/>
      <c r="J4398" s="22">
        <f t="array" ref="J4398">IF($D4398="","",IF($I4398="","(trống REF)",IFERROR(INDEX(MASTER_SOURCE!$B$2:$B$495,MATCH($I4398,MASTER_SOURCE!$A$2:$A$495,0)),"(REF không có trong MASTER_SOURCE)")))</f>
        <v/>
      </c>
      <c r="K4398" s="22">
        <f t="array" ref="K4398">IF($D4398="","",IFERROR(INDEX(MASTER_SOURCE!$C$2:$C$495,MATCH($I4398,MASTER_SOURCE!$A$2:$A$495,0)),""))</f>
        <v/>
      </c>
      <c r="L4398" s="22">
        <f t="array" ref="L4398">IF($D4398="","",IFERROR(INDEX(MASTER_SOURCE!$D$2:$D$495,MATCH($I4398,MASTER_SOURCE!$A$2:$A$495,0)),""))</f>
        <v/>
      </c>
      <c r="M4398" s="24" t="n"/>
      <c r="N4398" s="24" t="n"/>
      <c r="O4398" s="24" t="n"/>
      <c r="P4398" s="24" t="n"/>
      <c r="Q4398" s="22">
        <f>IF($D4398="","",IF(AND(OR(DANH_MUC!$L$5&lt;&gt;"Có",M4398="Có"),OR(DANH_MUC!$L$6&lt;&gt;"Có",N4398="Có"),OR(DANH_MUC!$L$7&lt;&gt;"Có",O4398="Có"),OR(DANH_MUC!$L$8&lt;&gt;"Có",P4398="Có")),"Có","Không"))</f>
        <v/>
      </c>
      <c r="R4398" s="22">
        <f>IF($D4398="","",IF(COUNTIF($D$2:$D4398,$D4398)&gt;1,"Trùng",""))</f>
        <v/>
      </c>
      <c r="S4398" s="22">
        <f>IF($D4398="","",IF(AND(LEN($D4398)=10,LEFT($D4398,1)="0",ISNUMBER(--$D4398)),"Có","Không"))</f>
        <v/>
      </c>
      <c r="T4398" s="22">
        <f>IF($D4398="","",IF(AND($C4398&lt;&gt;"",$Q4398="Có",$R4398="",$S4398="Có",AND($L4398&lt;&gt;"",OR($L4398&lt;&gt;"Chưa xác định",DANH_MUC!$L$9="Có"))),"Có","Không"))</f>
        <v/>
      </c>
      <c r="U4398" s="22">
        <f>IF(OR($D4398="",$T4398="Có"),"",IF($C4398="","Thiếu họ tên; ","")&amp;IF($S4398&lt;&gt;"Có","SĐT sai định dạng; ","")&amp;IF($R4398="Trùng","Trùng SĐT; ","")&amp;IF($Q4398&lt;&gt;"Có","Thiếu đồng ý bắt buộc; ","")&amp;IF($L4398="","Thiếu/sai Mã REF; ",IF(AND($L4398="Chưa xác định",DANH_MUC!$L$9&lt;&gt;"Có"),"Nguồn chưa xác định; ","")))</f>
        <v/>
      </c>
      <c r="V4398" s="22">
        <f>IF(OR($D4398="",$R4398="Trùng"),"",IF(COUNTIF(ORDERS!$C$2:$C$4995,$D4398)&gt;0,"Có","Không"))</f>
        <v/>
      </c>
      <c r="W4398" s="22">
        <f>IF(OR($D4398="",$R4398="Trùng"),"",COUNTIFS(ORDERS!$C$2:$C$4995,$D4398,ORDERS!$L$2:$L$4995,"Đã chuyển khoản"))</f>
        <v/>
      </c>
      <c r="X4398" s="23">
        <f>IF(OR($D4398="",$R4398="Trùng"),"",SUMIFS(ORDERS!$J$2:$J$4995,ORDERS!$C$2:$C$4995,$D4398,ORDERS!$L$2:$L$4995,"Đã chuyển khoản"))</f>
        <v/>
      </c>
      <c r="Y4398" s="24" t="n"/>
    </row>
    <row r="4399" ht="14.25" customHeight="1" s="40">
      <c r="A4399" s="24" t="n"/>
      <c r="B4399" s="27" t="n"/>
      <c r="C4399" s="24" t="n"/>
      <c r="D4399" s="28" t="n"/>
      <c r="E4399" s="29" t="n"/>
      <c r="F4399" s="24" t="n"/>
      <c r="G4399" s="24" t="n"/>
      <c r="H4399" s="21">
        <f>IF(ISNUMBER($B4399),INT($B4399)-WEEKDAY($B4399,2)+1,"")</f>
        <v/>
      </c>
      <c r="I4399" s="24" t="n"/>
      <c r="J4399" s="22">
        <f t="array" ref="J4399">IF($D4399="","",IF($I4399="","(trống REF)",IFERROR(INDEX(MASTER_SOURCE!$B$2:$B$495,MATCH($I4399,MASTER_SOURCE!$A$2:$A$495,0)),"(REF không có trong MASTER_SOURCE)")))</f>
        <v/>
      </c>
      <c r="K4399" s="22">
        <f t="array" ref="K4399">IF($D4399="","",IFERROR(INDEX(MASTER_SOURCE!$C$2:$C$495,MATCH($I4399,MASTER_SOURCE!$A$2:$A$495,0)),""))</f>
        <v/>
      </c>
      <c r="L4399" s="22">
        <f t="array" ref="L4399">IF($D4399="","",IFERROR(INDEX(MASTER_SOURCE!$D$2:$D$495,MATCH($I4399,MASTER_SOURCE!$A$2:$A$495,0)),""))</f>
        <v/>
      </c>
      <c r="M4399" s="24" t="n"/>
      <c r="N4399" s="24" t="n"/>
      <c r="O4399" s="24" t="n"/>
      <c r="P4399" s="24" t="n"/>
      <c r="Q4399" s="22">
        <f>IF($D4399="","",IF(AND(OR(DANH_MUC!$L$5&lt;&gt;"Có",M4399="Có"),OR(DANH_MUC!$L$6&lt;&gt;"Có",N4399="Có"),OR(DANH_MUC!$L$7&lt;&gt;"Có",O4399="Có"),OR(DANH_MUC!$L$8&lt;&gt;"Có",P4399="Có")),"Có","Không"))</f>
        <v/>
      </c>
      <c r="R4399" s="22">
        <f>IF($D4399="","",IF(COUNTIF($D$2:$D4399,$D4399)&gt;1,"Trùng",""))</f>
        <v/>
      </c>
      <c r="S4399" s="22">
        <f>IF($D4399="","",IF(AND(LEN($D4399)=10,LEFT($D4399,1)="0",ISNUMBER(--$D4399)),"Có","Không"))</f>
        <v/>
      </c>
      <c r="T4399" s="22">
        <f>IF($D4399="","",IF(AND($C4399&lt;&gt;"",$Q4399="Có",$R4399="",$S4399="Có",AND($L4399&lt;&gt;"",OR($L4399&lt;&gt;"Chưa xác định",DANH_MUC!$L$9="Có"))),"Có","Không"))</f>
        <v/>
      </c>
      <c r="U4399" s="22">
        <f>IF(OR($D4399="",$T4399="Có"),"",IF($C4399="","Thiếu họ tên; ","")&amp;IF($S4399&lt;&gt;"Có","SĐT sai định dạng; ","")&amp;IF($R4399="Trùng","Trùng SĐT; ","")&amp;IF($Q4399&lt;&gt;"Có","Thiếu đồng ý bắt buộc; ","")&amp;IF($L4399="","Thiếu/sai Mã REF; ",IF(AND($L4399="Chưa xác định",DANH_MUC!$L$9&lt;&gt;"Có"),"Nguồn chưa xác định; ","")))</f>
        <v/>
      </c>
      <c r="V4399" s="22">
        <f>IF(OR($D4399="",$R4399="Trùng"),"",IF(COUNTIF(ORDERS!$C$2:$C$4995,$D4399)&gt;0,"Có","Không"))</f>
        <v/>
      </c>
      <c r="W4399" s="22">
        <f>IF(OR($D4399="",$R4399="Trùng"),"",COUNTIFS(ORDERS!$C$2:$C$4995,$D4399,ORDERS!$L$2:$L$4995,"Đã chuyển khoản"))</f>
        <v/>
      </c>
      <c r="X4399" s="23">
        <f>IF(OR($D4399="",$R4399="Trùng"),"",SUMIFS(ORDERS!$J$2:$J$4995,ORDERS!$C$2:$C$4995,$D4399,ORDERS!$L$2:$L$4995,"Đã chuyển khoản"))</f>
        <v/>
      </c>
      <c r="Y4399" s="24" t="n"/>
    </row>
    <row r="4400" ht="14.25" customHeight="1" s="40">
      <c r="A4400" s="24" t="n"/>
      <c r="B4400" s="27" t="n"/>
      <c r="C4400" s="24" t="n"/>
      <c r="D4400" s="28" t="n"/>
      <c r="E4400" s="29" t="n"/>
      <c r="F4400" s="24" t="n"/>
      <c r="G4400" s="24" t="n"/>
      <c r="H4400" s="21">
        <f>IF(ISNUMBER($B4400),INT($B4400)-WEEKDAY($B4400,2)+1,"")</f>
        <v/>
      </c>
      <c r="I4400" s="24" t="n"/>
      <c r="J4400" s="22">
        <f t="array" ref="J4400">IF($D4400="","",IF($I4400="","(trống REF)",IFERROR(INDEX(MASTER_SOURCE!$B$2:$B$495,MATCH($I4400,MASTER_SOURCE!$A$2:$A$495,0)),"(REF không có trong MASTER_SOURCE)")))</f>
        <v/>
      </c>
      <c r="K4400" s="22">
        <f t="array" ref="K4400">IF($D4400="","",IFERROR(INDEX(MASTER_SOURCE!$C$2:$C$495,MATCH($I4400,MASTER_SOURCE!$A$2:$A$495,0)),""))</f>
        <v/>
      </c>
      <c r="L4400" s="22">
        <f t="array" ref="L4400">IF($D4400="","",IFERROR(INDEX(MASTER_SOURCE!$D$2:$D$495,MATCH($I4400,MASTER_SOURCE!$A$2:$A$495,0)),""))</f>
        <v/>
      </c>
      <c r="M4400" s="24" t="n"/>
      <c r="N4400" s="24" t="n"/>
      <c r="O4400" s="24" t="n"/>
      <c r="P4400" s="24" t="n"/>
      <c r="Q4400" s="22">
        <f>IF($D4400="","",IF(AND(OR(DANH_MUC!$L$5&lt;&gt;"Có",M4400="Có"),OR(DANH_MUC!$L$6&lt;&gt;"Có",N4400="Có"),OR(DANH_MUC!$L$7&lt;&gt;"Có",O4400="Có"),OR(DANH_MUC!$L$8&lt;&gt;"Có",P4400="Có")),"Có","Không"))</f>
        <v/>
      </c>
      <c r="R4400" s="22">
        <f>IF($D4400="","",IF(COUNTIF($D$2:$D4400,$D4400)&gt;1,"Trùng",""))</f>
        <v/>
      </c>
      <c r="S4400" s="22">
        <f>IF($D4400="","",IF(AND(LEN($D4400)=10,LEFT($D4400,1)="0",ISNUMBER(--$D4400)),"Có","Không"))</f>
        <v/>
      </c>
      <c r="T4400" s="22">
        <f>IF($D4400="","",IF(AND($C4400&lt;&gt;"",$Q4400="Có",$R4400="",$S4400="Có",AND($L4400&lt;&gt;"",OR($L4400&lt;&gt;"Chưa xác định",DANH_MUC!$L$9="Có"))),"Có","Không"))</f>
        <v/>
      </c>
      <c r="U4400" s="22">
        <f>IF(OR($D4400="",$T4400="Có"),"",IF($C4400="","Thiếu họ tên; ","")&amp;IF($S4400&lt;&gt;"Có","SĐT sai định dạng; ","")&amp;IF($R4400="Trùng","Trùng SĐT; ","")&amp;IF($Q4400&lt;&gt;"Có","Thiếu đồng ý bắt buộc; ","")&amp;IF($L4400="","Thiếu/sai Mã REF; ",IF(AND($L4400="Chưa xác định",DANH_MUC!$L$9&lt;&gt;"Có"),"Nguồn chưa xác định; ","")))</f>
        <v/>
      </c>
      <c r="V4400" s="22">
        <f>IF(OR($D4400="",$R4400="Trùng"),"",IF(COUNTIF(ORDERS!$C$2:$C$4995,$D4400)&gt;0,"Có","Không"))</f>
        <v/>
      </c>
      <c r="W4400" s="22">
        <f>IF(OR($D4400="",$R4400="Trùng"),"",COUNTIFS(ORDERS!$C$2:$C$4995,$D4400,ORDERS!$L$2:$L$4995,"Đã chuyển khoản"))</f>
        <v/>
      </c>
      <c r="X4400" s="23">
        <f>IF(OR($D4400="",$R4400="Trùng"),"",SUMIFS(ORDERS!$J$2:$J$4995,ORDERS!$C$2:$C$4995,$D4400,ORDERS!$L$2:$L$4995,"Đã chuyển khoản"))</f>
        <v/>
      </c>
      <c r="Y4400" s="24" t="n"/>
    </row>
    <row r="4401" ht="14.25" customHeight="1" s="40">
      <c r="A4401" s="24" t="n"/>
      <c r="B4401" s="27" t="n"/>
      <c r="C4401" s="24" t="n"/>
      <c r="D4401" s="28" t="n"/>
      <c r="E4401" s="29" t="n"/>
      <c r="F4401" s="24" t="n"/>
      <c r="G4401" s="24" t="n"/>
      <c r="H4401" s="21">
        <f>IF(ISNUMBER($B4401),INT($B4401)-WEEKDAY($B4401,2)+1,"")</f>
        <v/>
      </c>
      <c r="I4401" s="24" t="n"/>
      <c r="J4401" s="22">
        <f t="array" ref="J4401">IF($D4401="","",IF($I4401="","(trống REF)",IFERROR(INDEX(MASTER_SOURCE!$B$2:$B$495,MATCH($I4401,MASTER_SOURCE!$A$2:$A$495,0)),"(REF không có trong MASTER_SOURCE)")))</f>
        <v/>
      </c>
      <c r="K4401" s="22">
        <f t="array" ref="K4401">IF($D4401="","",IFERROR(INDEX(MASTER_SOURCE!$C$2:$C$495,MATCH($I4401,MASTER_SOURCE!$A$2:$A$495,0)),""))</f>
        <v/>
      </c>
      <c r="L4401" s="22">
        <f t="array" ref="L4401">IF($D4401="","",IFERROR(INDEX(MASTER_SOURCE!$D$2:$D$495,MATCH($I4401,MASTER_SOURCE!$A$2:$A$495,0)),""))</f>
        <v/>
      </c>
      <c r="M4401" s="24" t="n"/>
      <c r="N4401" s="24" t="n"/>
      <c r="O4401" s="24" t="n"/>
      <c r="P4401" s="24" t="n"/>
      <c r="Q4401" s="22">
        <f>IF($D4401="","",IF(AND(OR(DANH_MUC!$L$5&lt;&gt;"Có",M4401="Có"),OR(DANH_MUC!$L$6&lt;&gt;"Có",N4401="Có"),OR(DANH_MUC!$L$7&lt;&gt;"Có",O4401="Có"),OR(DANH_MUC!$L$8&lt;&gt;"Có",P4401="Có")),"Có","Không"))</f>
        <v/>
      </c>
      <c r="R4401" s="22">
        <f>IF($D4401="","",IF(COUNTIF($D$2:$D4401,$D4401)&gt;1,"Trùng",""))</f>
        <v/>
      </c>
      <c r="S4401" s="22">
        <f>IF($D4401="","",IF(AND(LEN($D4401)=10,LEFT($D4401,1)="0",ISNUMBER(--$D4401)),"Có","Không"))</f>
        <v/>
      </c>
      <c r="T4401" s="22">
        <f>IF($D4401="","",IF(AND($C4401&lt;&gt;"",$Q4401="Có",$R4401="",$S4401="Có",AND($L4401&lt;&gt;"",OR($L4401&lt;&gt;"Chưa xác định",DANH_MUC!$L$9="Có"))),"Có","Không"))</f>
        <v/>
      </c>
      <c r="U4401" s="22">
        <f>IF(OR($D4401="",$T4401="Có"),"",IF($C4401="","Thiếu họ tên; ","")&amp;IF($S4401&lt;&gt;"Có","SĐT sai định dạng; ","")&amp;IF($R4401="Trùng","Trùng SĐT; ","")&amp;IF($Q4401&lt;&gt;"Có","Thiếu đồng ý bắt buộc; ","")&amp;IF($L4401="","Thiếu/sai Mã REF; ",IF(AND($L4401="Chưa xác định",DANH_MUC!$L$9&lt;&gt;"Có"),"Nguồn chưa xác định; ","")))</f>
        <v/>
      </c>
      <c r="V4401" s="22">
        <f>IF(OR($D4401="",$R4401="Trùng"),"",IF(COUNTIF(ORDERS!$C$2:$C$4995,$D4401)&gt;0,"Có","Không"))</f>
        <v/>
      </c>
      <c r="W4401" s="22">
        <f>IF(OR($D4401="",$R4401="Trùng"),"",COUNTIFS(ORDERS!$C$2:$C$4995,$D4401,ORDERS!$L$2:$L$4995,"Đã chuyển khoản"))</f>
        <v/>
      </c>
      <c r="X4401" s="23">
        <f>IF(OR($D4401="",$R4401="Trùng"),"",SUMIFS(ORDERS!$J$2:$J$4995,ORDERS!$C$2:$C$4995,$D4401,ORDERS!$L$2:$L$4995,"Đã chuyển khoản"))</f>
        <v/>
      </c>
      <c r="Y4401" s="24" t="n"/>
    </row>
    <row r="4402" ht="14.25" customHeight="1" s="40">
      <c r="A4402" s="24" t="n"/>
      <c r="B4402" s="27" t="n"/>
      <c r="C4402" s="24" t="n"/>
      <c r="D4402" s="28" t="n"/>
      <c r="E4402" s="29" t="n"/>
      <c r="F4402" s="24" t="n"/>
      <c r="G4402" s="24" t="n"/>
      <c r="H4402" s="21">
        <f>IF(ISNUMBER($B4402),INT($B4402)-WEEKDAY($B4402,2)+1,"")</f>
        <v/>
      </c>
      <c r="I4402" s="24" t="n"/>
      <c r="J4402" s="22">
        <f t="array" ref="J4402">IF($D4402="","",IF($I4402="","(trống REF)",IFERROR(INDEX(MASTER_SOURCE!$B$2:$B$495,MATCH($I4402,MASTER_SOURCE!$A$2:$A$495,0)),"(REF không có trong MASTER_SOURCE)")))</f>
        <v/>
      </c>
      <c r="K4402" s="22">
        <f t="array" ref="K4402">IF($D4402="","",IFERROR(INDEX(MASTER_SOURCE!$C$2:$C$495,MATCH($I4402,MASTER_SOURCE!$A$2:$A$495,0)),""))</f>
        <v/>
      </c>
      <c r="L4402" s="22">
        <f t="array" ref="L4402">IF($D4402="","",IFERROR(INDEX(MASTER_SOURCE!$D$2:$D$495,MATCH($I4402,MASTER_SOURCE!$A$2:$A$495,0)),""))</f>
        <v/>
      </c>
      <c r="M4402" s="24" t="n"/>
      <c r="N4402" s="24" t="n"/>
      <c r="O4402" s="24" t="n"/>
      <c r="P4402" s="24" t="n"/>
      <c r="Q4402" s="22">
        <f>IF($D4402="","",IF(AND(OR(DANH_MUC!$L$5&lt;&gt;"Có",M4402="Có"),OR(DANH_MUC!$L$6&lt;&gt;"Có",N4402="Có"),OR(DANH_MUC!$L$7&lt;&gt;"Có",O4402="Có"),OR(DANH_MUC!$L$8&lt;&gt;"Có",P4402="Có")),"Có","Không"))</f>
        <v/>
      </c>
      <c r="R4402" s="22">
        <f>IF($D4402="","",IF(COUNTIF($D$2:$D4402,$D4402)&gt;1,"Trùng",""))</f>
        <v/>
      </c>
      <c r="S4402" s="22">
        <f>IF($D4402="","",IF(AND(LEN($D4402)=10,LEFT($D4402,1)="0",ISNUMBER(--$D4402)),"Có","Không"))</f>
        <v/>
      </c>
      <c r="T4402" s="22">
        <f>IF($D4402="","",IF(AND($C4402&lt;&gt;"",$Q4402="Có",$R4402="",$S4402="Có",AND($L4402&lt;&gt;"",OR($L4402&lt;&gt;"Chưa xác định",DANH_MUC!$L$9="Có"))),"Có","Không"))</f>
        <v/>
      </c>
      <c r="U4402" s="22">
        <f>IF(OR($D4402="",$T4402="Có"),"",IF($C4402="","Thiếu họ tên; ","")&amp;IF($S4402&lt;&gt;"Có","SĐT sai định dạng; ","")&amp;IF($R4402="Trùng","Trùng SĐT; ","")&amp;IF($Q4402&lt;&gt;"Có","Thiếu đồng ý bắt buộc; ","")&amp;IF($L4402="","Thiếu/sai Mã REF; ",IF(AND($L4402="Chưa xác định",DANH_MUC!$L$9&lt;&gt;"Có"),"Nguồn chưa xác định; ","")))</f>
        <v/>
      </c>
      <c r="V4402" s="22">
        <f>IF(OR($D4402="",$R4402="Trùng"),"",IF(COUNTIF(ORDERS!$C$2:$C$4995,$D4402)&gt;0,"Có","Không"))</f>
        <v/>
      </c>
      <c r="W4402" s="22">
        <f>IF(OR($D4402="",$R4402="Trùng"),"",COUNTIFS(ORDERS!$C$2:$C$4995,$D4402,ORDERS!$L$2:$L$4995,"Đã chuyển khoản"))</f>
        <v/>
      </c>
      <c r="X4402" s="23">
        <f>IF(OR($D4402="",$R4402="Trùng"),"",SUMIFS(ORDERS!$J$2:$J$4995,ORDERS!$C$2:$C$4995,$D4402,ORDERS!$L$2:$L$4995,"Đã chuyển khoản"))</f>
        <v/>
      </c>
      <c r="Y4402" s="24" t="n"/>
    </row>
    <row r="4403" ht="14.25" customHeight="1" s="40">
      <c r="A4403" s="24" t="n"/>
      <c r="B4403" s="27" t="n"/>
      <c r="C4403" s="24" t="n"/>
      <c r="D4403" s="28" t="n"/>
      <c r="E4403" s="29" t="n"/>
      <c r="F4403" s="24" t="n"/>
      <c r="G4403" s="24" t="n"/>
      <c r="H4403" s="21">
        <f>IF(ISNUMBER($B4403),INT($B4403)-WEEKDAY($B4403,2)+1,"")</f>
        <v/>
      </c>
      <c r="I4403" s="24" t="n"/>
      <c r="J4403" s="22">
        <f t="array" ref="J4403">IF($D4403="","",IF($I4403="","(trống REF)",IFERROR(INDEX(MASTER_SOURCE!$B$2:$B$495,MATCH($I4403,MASTER_SOURCE!$A$2:$A$495,0)),"(REF không có trong MASTER_SOURCE)")))</f>
        <v/>
      </c>
      <c r="K4403" s="22">
        <f t="array" ref="K4403">IF($D4403="","",IFERROR(INDEX(MASTER_SOURCE!$C$2:$C$495,MATCH($I4403,MASTER_SOURCE!$A$2:$A$495,0)),""))</f>
        <v/>
      </c>
      <c r="L4403" s="22">
        <f t="array" ref="L4403">IF($D4403="","",IFERROR(INDEX(MASTER_SOURCE!$D$2:$D$495,MATCH($I4403,MASTER_SOURCE!$A$2:$A$495,0)),""))</f>
        <v/>
      </c>
      <c r="M4403" s="24" t="n"/>
      <c r="N4403" s="24" t="n"/>
      <c r="O4403" s="24" t="n"/>
      <c r="P4403" s="24" t="n"/>
      <c r="Q4403" s="22">
        <f>IF($D4403="","",IF(AND(OR(DANH_MUC!$L$5&lt;&gt;"Có",M4403="Có"),OR(DANH_MUC!$L$6&lt;&gt;"Có",N4403="Có"),OR(DANH_MUC!$L$7&lt;&gt;"Có",O4403="Có"),OR(DANH_MUC!$L$8&lt;&gt;"Có",P4403="Có")),"Có","Không"))</f>
        <v/>
      </c>
      <c r="R4403" s="22">
        <f>IF($D4403="","",IF(COUNTIF($D$2:$D4403,$D4403)&gt;1,"Trùng",""))</f>
        <v/>
      </c>
      <c r="S4403" s="22">
        <f>IF($D4403="","",IF(AND(LEN($D4403)=10,LEFT($D4403,1)="0",ISNUMBER(--$D4403)),"Có","Không"))</f>
        <v/>
      </c>
      <c r="T4403" s="22">
        <f>IF($D4403="","",IF(AND($C4403&lt;&gt;"",$Q4403="Có",$R4403="",$S4403="Có",AND($L4403&lt;&gt;"",OR($L4403&lt;&gt;"Chưa xác định",DANH_MUC!$L$9="Có"))),"Có","Không"))</f>
        <v/>
      </c>
      <c r="U4403" s="22">
        <f>IF(OR($D4403="",$T4403="Có"),"",IF($C4403="","Thiếu họ tên; ","")&amp;IF($S4403&lt;&gt;"Có","SĐT sai định dạng; ","")&amp;IF($R4403="Trùng","Trùng SĐT; ","")&amp;IF($Q4403&lt;&gt;"Có","Thiếu đồng ý bắt buộc; ","")&amp;IF($L4403="","Thiếu/sai Mã REF; ",IF(AND($L4403="Chưa xác định",DANH_MUC!$L$9&lt;&gt;"Có"),"Nguồn chưa xác định; ","")))</f>
        <v/>
      </c>
      <c r="V4403" s="22">
        <f>IF(OR($D4403="",$R4403="Trùng"),"",IF(COUNTIF(ORDERS!$C$2:$C$4995,$D4403)&gt;0,"Có","Không"))</f>
        <v/>
      </c>
      <c r="W4403" s="22">
        <f>IF(OR($D4403="",$R4403="Trùng"),"",COUNTIFS(ORDERS!$C$2:$C$4995,$D4403,ORDERS!$L$2:$L$4995,"Đã chuyển khoản"))</f>
        <v/>
      </c>
      <c r="X4403" s="23">
        <f>IF(OR($D4403="",$R4403="Trùng"),"",SUMIFS(ORDERS!$J$2:$J$4995,ORDERS!$C$2:$C$4995,$D4403,ORDERS!$L$2:$L$4995,"Đã chuyển khoản"))</f>
        <v/>
      </c>
      <c r="Y4403" s="24" t="n"/>
    </row>
    <row r="4404" ht="14.25" customHeight="1" s="40">
      <c r="A4404" s="24" t="n"/>
      <c r="B4404" s="27" t="n"/>
      <c r="C4404" s="24" t="n"/>
      <c r="D4404" s="28" t="n"/>
      <c r="E4404" s="29" t="n"/>
      <c r="F4404" s="24" t="n"/>
      <c r="G4404" s="24" t="n"/>
      <c r="H4404" s="21">
        <f>IF(ISNUMBER($B4404),INT($B4404)-WEEKDAY($B4404,2)+1,"")</f>
        <v/>
      </c>
      <c r="I4404" s="24" t="n"/>
      <c r="J4404" s="22">
        <f t="array" ref="J4404">IF($D4404="","",IF($I4404="","(trống REF)",IFERROR(INDEX(MASTER_SOURCE!$B$2:$B$495,MATCH($I4404,MASTER_SOURCE!$A$2:$A$495,0)),"(REF không có trong MASTER_SOURCE)")))</f>
        <v/>
      </c>
      <c r="K4404" s="22">
        <f t="array" ref="K4404">IF($D4404="","",IFERROR(INDEX(MASTER_SOURCE!$C$2:$C$495,MATCH($I4404,MASTER_SOURCE!$A$2:$A$495,0)),""))</f>
        <v/>
      </c>
      <c r="L4404" s="22">
        <f t="array" ref="L4404">IF($D4404="","",IFERROR(INDEX(MASTER_SOURCE!$D$2:$D$495,MATCH($I4404,MASTER_SOURCE!$A$2:$A$495,0)),""))</f>
        <v/>
      </c>
      <c r="M4404" s="24" t="n"/>
      <c r="N4404" s="24" t="n"/>
      <c r="O4404" s="24" t="n"/>
      <c r="P4404" s="24" t="n"/>
      <c r="Q4404" s="22">
        <f>IF($D4404="","",IF(AND(OR(DANH_MUC!$L$5&lt;&gt;"Có",M4404="Có"),OR(DANH_MUC!$L$6&lt;&gt;"Có",N4404="Có"),OR(DANH_MUC!$L$7&lt;&gt;"Có",O4404="Có"),OR(DANH_MUC!$L$8&lt;&gt;"Có",P4404="Có")),"Có","Không"))</f>
        <v/>
      </c>
      <c r="R4404" s="22">
        <f>IF($D4404="","",IF(COUNTIF($D$2:$D4404,$D4404)&gt;1,"Trùng",""))</f>
        <v/>
      </c>
      <c r="S4404" s="22">
        <f>IF($D4404="","",IF(AND(LEN($D4404)=10,LEFT($D4404,1)="0",ISNUMBER(--$D4404)),"Có","Không"))</f>
        <v/>
      </c>
      <c r="T4404" s="22">
        <f>IF($D4404="","",IF(AND($C4404&lt;&gt;"",$Q4404="Có",$R4404="",$S4404="Có",AND($L4404&lt;&gt;"",OR($L4404&lt;&gt;"Chưa xác định",DANH_MUC!$L$9="Có"))),"Có","Không"))</f>
        <v/>
      </c>
      <c r="U4404" s="22">
        <f>IF(OR($D4404="",$T4404="Có"),"",IF($C4404="","Thiếu họ tên; ","")&amp;IF($S4404&lt;&gt;"Có","SĐT sai định dạng; ","")&amp;IF($R4404="Trùng","Trùng SĐT; ","")&amp;IF($Q4404&lt;&gt;"Có","Thiếu đồng ý bắt buộc; ","")&amp;IF($L4404="","Thiếu/sai Mã REF; ",IF(AND($L4404="Chưa xác định",DANH_MUC!$L$9&lt;&gt;"Có"),"Nguồn chưa xác định; ","")))</f>
        <v/>
      </c>
      <c r="V4404" s="22">
        <f>IF(OR($D4404="",$R4404="Trùng"),"",IF(COUNTIF(ORDERS!$C$2:$C$4995,$D4404)&gt;0,"Có","Không"))</f>
        <v/>
      </c>
      <c r="W4404" s="22">
        <f>IF(OR($D4404="",$R4404="Trùng"),"",COUNTIFS(ORDERS!$C$2:$C$4995,$D4404,ORDERS!$L$2:$L$4995,"Đã chuyển khoản"))</f>
        <v/>
      </c>
      <c r="X4404" s="23">
        <f>IF(OR($D4404="",$R4404="Trùng"),"",SUMIFS(ORDERS!$J$2:$J$4995,ORDERS!$C$2:$C$4995,$D4404,ORDERS!$L$2:$L$4995,"Đã chuyển khoản"))</f>
        <v/>
      </c>
      <c r="Y4404" s="24" t="n"/>
    </row>
    <row r="4405" ht="14.25" customHeight="1" s="40">
      <c r="A4405" s="24" t="n"/>
      <c r="B4405" s="27" t="n"/>
      <c r="C4405" s="24" t="n"/>
      <c r="D4405" s="28" t="n"/>
      <c r="E4405" s="29" t="n"/>
      <c r="F4405" s="24" t="n"/>
      <c r="G4405" s="24" t="n"/>
      <c r="H4405" s="21">
        <f>IF(ISNUMBER($B4405),INT($B4405)-WEEKDAY($B4405,2)+1,"")</f>
        <v/>
      </c>
      <c r="I4405" s="24" t="n"/>
      <c r="J4405" s="22">
        <f t="array" ref="J4405">IF($D4405="","",IF($I4405="","(trống REF)",IFERROR(INDEX(MASTER_SOURCE!$B$2:$B$495,MATCH($I4405,MASTER_SOURCE!$A$2:$A$495,0)),"(REF không có trong MASTER_SOURCE)")))</f>
        <v/>
      </c>
      <c r="K4405" s="22">
        <f t="array" ref="K4405">IF($D4405="","",IFERROR(INDEX(MASTER_SOURCE!$C$2:$C$495,MATCH($I4405,MASTER_SOURCE!$A$2:$A$495,0)),""))</f>
        <v/>
      </c>
      <c r="L4405" s="22">
        <f t="array" ref="L4405">IF($D4405="","",IFERROR(INDEX(MASTER_SOURCE!$D$2:$D$495,MATCH($I4405,MASTER_SOURCE!$A$2:$A$495,0)),""))</f>
        <v/>
      </c>
      <c r="M4405" s="24" t="n"/>
      <c r="N4405" s="24" t="n"/>
      <c r="O4405" s="24" t="n"/>
      <c r="P4405" s="24" t="n"/>
      <c r="Q4405" s="22">
        <f>IF($D4405="","",IF(AND(OR(DANH_MUC!$L$5&lt;&gt;"Có",M4405="Có"),OR(DANH_MUC!$L$6&lt;&gt;"Có",N4405="Có"),OR(DANH_MUC!$L$7&lt;&gt;"Có",O4405="Có"),OR(DANH_MUC!$L$8&lt;&gt;"Có",P4405="Có")),"Có","Không"))</f>
        <v/>
      </c>
      <c r="R4405" s="22">
        <f>IF($D4405="","",IF(COUNTIF($D$2:$D4405,$D4405)&gt;1,"Trùng",""))</f>
        <v/>
      </c>
      <c r="S4405" s="22">
        <f>IF($D4405="","",IF(AND(LEN($D4405)=10,LEFT($D4405,1)="0",ISNUMBER(--$D4405)),"Có","Không"))</f>
        <v/>
      </c>
      <c r="T4405" s="22">
        <f>IF($D4405="","",IF(AND($C4405&lt;&gt;"",$Q4405="Có",$R4405="",$S4405="Có",AND($L4405&lt;&gt;"",OR($L4405&lt;&gt;"Chưa xác định",DANH_MUC!$L$9="Có"))),"Có","Không"))</f>
        <v/>
      </c>
      <c r="U4405" s="22">
        <f>IF(OR($D4405="",$T4405="Có"),"",IF($C4405="","Thiếu họ tên; ","")&amp;IF($S4405&lt;&gt;"Có","SĐT sai định dạng; ","")&amp;IF($R4405="Trùng","Trùng SĐT; ","")&amp;IF($Q4405&lt;&gt;"Có","Thiếu đồng ý bắt buộc; ","")&amp;IF($L4405="","Thiếu/sai Mã REF; ",IF(AND($L4405="Chưa xác định",DANH_MUC!$L$9&lt;&gt;"Có"),"Nguồn chưa xác định; ","")))</f>
        <v/>
      </c>
      <c r="V4405" s="22">
        <f>IF(OR($D4405="",$R4405="Trùng"),"",IF(COUNTIF(ORDERS!$C$2:$C$4995,$D4405)&gt;0,"Có","Không"))</f>
        <v/>
      </c>
      <c r="W4405" s="22">
        <f>IF(OR($D4405="",$R4405="Trùng"),"",COUNTIFS(ORDERS!$C$2:$C$4995,$D4405,ORDERS!$L$2:$L$4995,"Đã chuyển khoản"))</f>
        <v/>
      </c>
      <c r="X4405" s="23">
        <f>IF(OR($D4405="",$R4405="Trùng"),"",SUMIFS(ORDERS!$J$2:$J$4995,ORDERS!$C$2:$C$4995,$D4405,ORDERS!$L$2:$L$4995,"Đã chuyển khoản"))</f>
        <v/>
      </c>
      <c r="Y4405" s="24" t="n"/>
    </row>
    <row r="4406" ht="14.25" customHeight="1" s="40">
      <c r="A4406" s="24" t="n"/>
      <c r="B4406" s="27" t="n"/>
      <c r="C4406" s="24" t="n"/>
      <c r="D4406" s="28" t="n"/>
      <c r="E4406" s="29" t="n"/>
      <c r="F4406" s="24" t="n"/>
      <c r="G4406" s="24" t="n"/>
      <c r="H4406" s="21">
        <f>IF(ISNUMBER($B4406),INT($B4406)-WEEKDAY($B4406,2)+1,"")</f>
        <v/>
      </c>
      <c r="I4406" s="24" t="n"/>
      <c r="J4406" s="22">
        <f t="array" ref="J4406">IF($D4406="","",IF($I4406="","(trống REF)",IFERROR(INDEX(MASTER_SOURCE!$B$2:$B$495,MATCH($I4406,MASTER_SOURCE!$A$2:$A$495,0)),"(REF không có trong MASTER_SOURCE)")))</f>
        <v/>
      </c>
      <c r="K4406" s="22">
        <f t="array" ref="K4406">IF($D4406="","",IFERROR(INDEX(MASTER_SOURCE!$C$2:$C$495,MATCH($I4406,MASTER_SOURCE!$A$2:$A$495,0)),""))</f>
        <v/>
      </c>
      <c r="L4406" s="22">
        <f t="array" ref="L4406">IF($D4406="","",IFERROR(INDEX(MASTER_SOURCE!$D$2:$D$495,MATCH($I4406,MASTER_SOURCE!$A$2:$A$495,0)),""))</f>
        <v/>
      </c>
      <c r="M4406" s="24" t="n"/>
      <c r="N4406" s="24" t="n"/>
      <c r="O4406" s="24" t="n"/>
      <c r="P4406" s="24" t="n"/>
      <c r="Q4406" s="22">
        <f>IF($D4406="","",IF(AND(OR(DANH_MUC!$L$5&lt;&gt;"Có",M4406="Có"),OR(DANH_MUC!$L$6&lt;&gt;"Có",N4406="Có"),OR(DANH_MUC!$L$7&lt;&gt;"Có",O4406="Có"),OR(DANH_MUC!$L$8&lt;&gt;"Có",P4406="Có")),"Có","Không"))</f>
        <v/>
      </c>
      <c r="R4406" s="22">
        <f>IF($D4406="","",IF(COUNTIF($D$2:$D4406,$D4406)&gt;1,"Trùng",""))</f>
        <v/>
      </c>
      <c r="S4406" s="22">
        <f>IF($D4406="","",IF(AND(LEN($D4406)=10,LEFT($D4406,1)="0",ISNUMBER(--$D4406)),"Có","Không"))</f>
        <v/>
      </c>
      <c r="T4406" s="22">
        <f>IF($D4406="","",IF(AND($C4406&lt;&gt;"",$Q4406="Có",$R4406="",$S4406="Có",AND($L4406&lt;&gt;"",OR($L4406&lt;&gt;"Chưa xác định",DANH_MUC!$L$9="Có"))),"Có","Không"))</f>
        <v/>
      </c>
      <c r="U4406" s="22">
        <f>IF(OR($D4406="",$T4406="Có"),"",IF($C4406="","Thiếu họ tên; ","")&amp;IF($S4406&lt;&gt;"Có","SĐT sai định dạng; ","")&amp;IF($R4406="Trùng","Trùng SĐT; ","")&amp;IF($Q4406&lt;&gt;"Có","Thiếu đồng ý bắt buộc; ","")&amp;IF($L4406="","Thiếu/sai Mã REF; ",IF(AND($L4406="Chưa xác định",DANH_MUC!$L$9&lt;&gt;"Có"),"Nguồn chưa xác định; ","")))</f>
        <v/>
      </c>
      <c r="V4406" s="22">
        <f>IF(OR($D4406="",$R4406="Trùng"),"",IF(COUNTIF(ORDERS!$C$2:$C$4995,$D4406)&gt;0,"Có","Không"))</f>
        <v/>
      </c>
      <c r="W4406" s="22">
        <f>IF(OR($D4406="",$R4406="Trùng"),"",COUNTIFS(ORDERS!$C$2:$C$4995,$D4406,ORDERS!$L$2:$L$4995,"Đã chuyển khoản"))</f>
        <v/>
      </c>
      <c r="X4406" s="23">
        <f>IF(OR($D4406="",$R4406="Trùng"),"",SUMIFS(ORDERS!$J$2:$J$4995,ORDERS!$C$2:$C$4995,$D4406,ORDERS!$L$2:$L$4995,"Đã chuyển khoản"))</f>
        <v/>
      </c>
      <c r="Y4406" s="24" t="n"/>
    </row>
    <row r="4407" ht="14.25" customHeight="1" s="40">
      <c r="A4407" s="24" t="n"/>
      <c r="B4407" s="27" t="n"/>
      <c r="C4407" s="24" t="n"/>
      <c r="D4407" s="28" t="n"/>
      <c r="E4407" s="29" t="n"/>
      <c r="F4407" s="24" t="n"/>
      <c r="G4407" s="24" t="n"/>
      <c r="H4407" s="21">
        <f>IF(ISNUMBER($B4407),INT($B4407)-WEEKDAY($B4407,2)+1,"")</f>
        <v/>
      </c>
      <c r="I4407" s="24" t="n"/>
      <c r="J4407" s="22">
        <f t="array" ref="J4407">IF($D4407="","",IF($I4407="","(trống REF)",IFERROR(INDEX(MASTER_SOURCE!$B$2:$B$495,MATCH($I4407,MASTER_SOURCE!$A$2:$A$495,0)),"(REF không có trong MASTER_SOURCE)")))</f>
        <v/>
      </c>
      <c r="K4407" s="22">
        <f t="array" ref="K4407">IF($D4407="","",IFERROR(INDEX(MASTER_SOURCE!$C$2:$C$495,MATCH($I4407,MASTER_SOURCE!$A$2:$A$495,0)),""))</f>
        <v/>
      </c>
      <c r="L4407" s="22">
        <f t="array" ref="L4407">IF($D4407="","",IFERROR(INDEX(MASTER_SOURCE!$D$2:$D$495,MATCH($I4407,MASTER_SOURCE!$A$2:$A$495,0)),""))</f>
        <v/>
      </c>
      <c r="M4407" s="24" t="n"/>
      <c r="N4407" s="24" t="n"/>
      <c r="O4407" s="24" t="n"/>
      <c r="P4407" s="24" t="n"/>
      <c r="Q4407" s="22">
        <f>IF($D4407="","",IF(AND(OR(DANH_MUC!$L$5&lt;&gt;"Có",M4407="Có"),OR(DANH_MUC!$L$6&lt;&gt;"Có",N4407="Có"),OR(DANH_MUC!$L$7&lt;&gt;"Có",O4407="Có"),OR(DANH_MUC!$L$8&lt;&gt;"Có",P4407="Có")),"Có","Không"))</f>
        <v/>
      </c>
      <c r="R4407" s="22">
        <f>IF($D4407="","",IF(COUNTIF($D$2:$D4407,$D4407)&gt;1,"Trùng",""))</f>
        <v/>
      </c>
      <c r="S4407" s="22">
        <f>IF($D4407="","",IF(AND(LEN($D4407)=10,LEFT($D4407,1)="0",ISNUMBER(--$D4407)),"Có","Không"))</f>
        <v/>
      </c>
      <c r="T4407" s="22">
        <f>IF($D4407="","",IF(AND($C4407&lt;&gt;"",$Q4407="Có",$R4407="",$S4407="Có",AND($L4407&lt;&gt;"",OR($L4407&lt;&gt;"Chưa xác định",DANH_MUC!$L$9="Có"))),"Có","Không"))</f>
        <v/>
      </c>
      <c r="U4407" s="22">
        <f>IF(OR($D4407="",$T4407="Có"),"",IF($C4407="","Thiếu họ tên; ","")&amp;IF($S4407&lt;&gt;"Có","SĐT sai định dạng; ","")&amp;IF($R4407="Trùng","Trùng SĐT; ","")&amp;IF($Q4407&lt;&gt;"Có","Thiếu đồng ý bắt buộc; ","")&amp;IF($L4407="","Thiếu/sai Mã REF; ",IF(AND($L4407="Chưa xác định",DANH_MUC!$L$9&lt;&gt;"Có"),"Nguồn chưa xác định; ","")))</f>
        <v/>
      </c>
      <c r="V4407" s="22">
        <f>IF(OR($D4407="",$R4407="Trùng"),"",IF(COUNTIF(ORDERS!$C$2:$C$4995,$D4407)&gt;0,"Có","Không"))</f>
        <v/>
      </c>
      <c r="W4407" s="22">
        <f>IF(OR($D4407="",$R4407="Trùng"),"",COUNTIFS(ORDERS!$C$2:$C$4995,$D4407,ORDERS!$L$2:$L$4995,"Đã chuyển khoản"))</f>
        <v/>
      </c>
      <c r="X4407" s="23">
        <f>IF(OR($D4407="",$R4407="Trùng"),"",SUMIFS(ORDERS!$J$2:$J$4995,ORDERS!$C$2:$C$4995,$D4407,ORDERS!$L$2:$L$4995,"Đã chuyển khoản"))</f>
        <v/>
      </c>
      <c r="Y4407" s="24" t="n"/>
    </row>
    <row r="4408" ht="14.25" customHeight="1" s="40">
      <c r="A4408" s="24" t="n"/>
      <c r="B4408" s="27" t="n"/>
      <c r="C4408" s="24" t="n"/>
      <c r="D4408" s="28" t="n"/>
      <c r="E4408" s="29" t="n"/>
      <c r="F4408" s="24" t="n"/>
      <c r="G4408" s="24" t="n"/>
      <c r="H4408" s="21">
        <f>IF(ISNUMBER($B4408),INT($B4408)-WEEKDAY($B4408,2)+1,"")</f>
        <v/>
      </c>
      <c r="I4408" s="24" t="n"/>
      <c r="J4408" s="22">
        <f t="array" ref="J4408">IF($D4408="","",IF($I4408="","(trống REF)",IFERROR(INDEX(MASTER_SOURCE!$B$2:$B$495,MATCH($I4408,MASTER_SOURCE!$A$2:$A$495,0)),"(REF không có trong MASTER_SOURCE)")))</f>
        <v/>
      </c>
      <c r="K4408" s="22">
        <f t="array" ref="K4408">IF($D4408="","",IFERROR(INDEX(MASTER_SOURCE!$C$2:$C$495,MATCH($I4408,MASTER_SOURCE!$A$2:$A$495,0)),""))</f>
        <v/>
      </c>
      <c r="L4408" s="22">
        <f t="array" ref="L4408">IF($D4408="","",IFERROR(INDEX(MASTER_SOURCE!$D$2:$D$495,MATCH($I4408,MASTER_SOURCE!$A$2:$A$495,0)),""))</f>
        <v/>
      </c>
      <c r="M4408" s="24" t="n"/>
      <c r="N4408" s="24" t="n"/>
      <c r="O4408" s="24" t="n"/>
      <c r="P4408" s="24" t="n"/>
      <c r="Q4408" s="22">
        <f>IF($D4408="","",IF(AND(OR(DANH_MUC!$L$5&lt;&gt;"Có",M4408="Có"),OR(DANH_MUC!$L$6&lt;&gt;"Có",N4408="Có"),OR(DANH_MUC!$L$7&lt;&gt;"Có",O4408="Có"),OR(DANH_MUC!$L$8&lt;&gt;"Có",P4408="Có")),"Có","Không"))</f>
        <v/>
      </c>
      <c r="R4408" s="22">
        <f>IF($D4408="","",IF(COUNTIF($D$2:$D4408,$D4408)&gt;1,"Trùng",""))</f>
        <v/>
      </c>
      <c r="S4408" s="22">
        <f>IF($D4408="","",IF(AND(LEN($D4408)=10,LEFT($D4408,1)="0",ISNUMBER(--$D4408)),"Có","Không"))</f>
        <v/>
      </c>
      <c r="T4408" s="22">
        <f>IF($D4408="","",IF(AND($C4408&lt;&gt;"",$Q4408="Có",$R4408="",$S4408="Có",AND($L4408&lt;&gt;"",OR($L4408&lt;&gt;"Chưa xác định",DANH_MUC!$L$9="Có"))),"Có","Không"))</f>
        <v/>
      </c>
      <c r="U4408" s="22">
        <f>IF(OR($D4408="",$T4408="Có"),"",IF($C4408="","Thiếu họ tên; ","")&amp;IF($S4408&lt;&gt;"Có","SĐT sai định dạng; ","")&amp;IF($R4408="Trùng","Trùng SĐT; ","")&amp;IF($Q4408&lt;&gt;"Có","Thiếu đồng ý bắt buộc; ","")&amp;IF($L4408="","Thiếu/sai Mã REF; ",IF(AND($L4408="Chưa xác định",DANH_MUC!$L$9&lt;&gt;"Có"),"Nguồn chưa xác định; ","")))</f>
        <v/>
      </c>
      <c r="V4408" s="22">
        <f>IF(OR($D4408="",$R4408="Trùng"),"",IF(COUNTIF(ORDERS!$C$2:$C$4995,$D4408)&gt;0,"Có","Không"))</f>
        <v/>
      </c>
      <c r="W4408" s="22">
        <f>IF(OR($D4408="",$R4408="Trùng"),"",COUNTIFS(ORDERS!$C$2:$C$4995,$D4408,ORDERS!$L$2:$L$4995,"Đã chuyển khoản"))</f>
        <v/>
      </c>
      <c r="X4408" s="23">
        <f>IF(OR($D4408="",$R4408="Trùng"),"",SUMIFS(ORDERS!$J$2:$J$4995,ORDERS!$C$2:$C$4995,$D4408,ORDERS!$L$2:$L$4995,"Đã chuyển khoản"))</f>
        <v/>
      </c>
      <c r="Y4408" s="24" t="n"/>
    </row>
    <row r="4409" ht="14.25" customHeight="1" s="40">
      <c r="A4409" s="24" t="n"/>
      <c r="B4409" s="27" t="n"/>
      <c r="C4409" s="24" t="n"/>
      <c r="D4409" s="28" t="n"/>
      <c r="E4409" s="29" t="n"/>
      <c r="F4409" s="24" t="n"/>
      <c r="G4409" s="24" t="n"/>
      <c r="H4409" s="21">
        <f>IF(ISNUMBER($B4409),INT($B4409)-WEEKDAY($B4409,2)+1,"")</f>
        <v/>
      </c>
      <c r="I4409" s="24" t="n"/>
      <c r="J4409" s="22">
        <f t="array" ref="J4409">IF($D4409="","",IF($I4409="","(trống REF)",IFERROR(INDEX(MASTER_SOURCE!$B$2:$B$495,MATCH($I4409,MASTER_SOURCE!$A$2:$A$495,0)),"(REF không có trong MASTER_SOURCE)")))</f>
        <v/>
      </c>
      <c r="K4409" s="22">
        <f t="array" ref="K4409">IF($D4409="","",IFERROR(INDEX(MASTER_SOURCE!$C$2:$C$495,MATCH($I4409,MASTER_SOURCE!$A$2:$A$495,0)),""))</f>
        <v/>
      </c>
      <c r="L4409" s="22">
        <f t="array" ref="L4409">IF($D4409="","",IFERROR(INDEX(MASTER_SOURCE!$D$2:$D$495,MATCH($I4409,MASTER_SOURCE!$A$2:$A$495,0)),""))</f>
        <v/>
      </c>
      <c r="M4409" s="24" t="n"/>
      <c r="N4409" s="24" t="n"/>
      <c r="O4409" s="24" t="n"/>
      <c r="P4409" s="24" t="n"/>
      <c r="Q4409" s="22">
        <f>IF($D4409="","",IF(AND(OR(DANH_MUC!$L$5&lt;&gt;"Có",M4409="Có"),OR(DANH_MUC!$L$6&lt;&gt;"Có",N4409="Có"),OR(DANH_MUC!$L$7&lt;&gt;"Có",O4409="Có"),OR(DANH_MUC!$L$8&lt;&gt;"Có",P4409="Có")),"Có","Không"))</f>
        <v/>
      </c>
      <c r="R4409" s="22">
        <f>IF($D4409="","",IF(COUNTIF($D$2:$D4409,$D4409)&gt;1,"Trùng",""))</f>
        <v/>
      </c>
      <c r="S4409" s="22">
        <f>IF($D4409="","",IF(AND(LEN($D4409)=10,LEFT($D4409,1)="0",ISNUMBER(--$D4409)),"Có","Không"))</f>
        <v/>
      </c>
      <c r="T4409" s="22">
        <f>IF($D4409="","",IF(AND($C4409&lt;&gt;"",$Q4409="Có",$R4409="",$S4409="Có",AND($L4409&lt;&gt;"",OR($L4409&lt;&gt;"Chưa xác định",DANH_MUC!$L$9="Có"))),"Có","Không"))</f>
        <v/>
      </c>
      <c r="U4409" s="22">
        <f>IF(OR($D4409="",$T4409="Có"),"",IF($C4409="","Thiếu họ tên; ","")&amp;IF($S4409&lt;&gt;"Có","SĐT sai định dạng; ","")&amp;IF($R4409="Trùng","Trùng SĐT; ","")&amp;IF($Q4409&lt;&gt;"Có","Thiếu đồng ý bắt buộc; ","")&amp;IF($L4409="","Thiếu/sai Mã REF; ",IF(AND($L4409="Chưa xác định",DANH_MUC!$L$9&lt;&gt;"Có"),"Nguồn chưa xác định; ","")))</f>
        <v/>
      </c>
      <c r="V4409" s="22">
        <f>IF(OR($D4409="",$R4409="Trùng"),"",IF(COUNTIF(ORDERS!$C$2:$C$4995,$D4409)&gt;0,"Có","Không"))</f>
        <v/>
      </c>
      <c r="W4409" s="22">
        <f>IF(OR($D4409="",$R4409="Trùng"),"",COUNTIFS(ORDERS!$C$2:$C$4995,$D4409,ORDERS!$L$2:$L$4995,"Đã chuyển khoản"))</f>
        <v/>
      </c>
      <c r="X4409" s="23">
        <f>IF(OR($D4409="",$R4409="Trùng"),"",SUMIFS(ORDERS!$J$2:$J$4995,ORDERS!$C$2:$C$4995,$D4409,ORDERS!$L$2:$L$4995,"Đã chuyển khoản"))</f>
        <v/>
      </c>
      <c r="Y4409" s="24" t="n"/>
    </row>
    <row r="4410" ht="14.25" customHeight="1" s="40">
      <c r="A4410" s="24" t="n"/>
      <c r="B4410" s="27" t="n"/>
      <c r="C4410" s="24" t="n"/>
      <c r="D4410" s="28" t="n"/>
      <c r="E4410" s="29" t="n"/>
      <c r="F4410" s="24" t="n"/>
      <c r="G4410" s="24" t="n"/>
      <c r="H4410" s="21">
        <f>IF(ISNUMBER($B4410),INT($B4410)-WEEKDAY($B4410,2)+1,"")</f>
        <v/>
      </c>
      <c r="I4410" s="24" t="n"/>
      <c r="J4410" s="22">
        <f t="array" ref="J4410">IF($D4410="","",IF($I4410="","(trống REF)",IFERROR(INDEX(MASTER_SOURCE!$B$2:$B$495,MATCH($I4410,MASTER_SOURCE!$A$2:$A$495,0)),"(REF không có trong MASTER_SOURCE)")))</f>
        <v/>
      </c>
      <c r="K4410" s="22">
        <f t="array" ref="K4410">IF($D4410="","",IFERROR(INDEX(MASTER_SOURCE!$C$2:$C$495,MATCH($I4410,MASTER_SOURCE!$A$2:$A$495,0)),""))</f>
        <v/>
      </c>
      <c r="L4410" s="22">
        <f t="array" ref="L4410">IF($D4410="","",IFERROR(INDEX(MASTER_SOURCE!$D$2:$D$495,MATCH($I4410,MASTER_SOURCE!$A$2:$A$495,0)),""))</f>
        <v/>
      </c>
      <c r="M4410" s="24" t="n"/>
      <c r="N4410" s="24" t="n"/>
      <c r="O4410" s="24" t="n"/>
      <c r="P4410" s="24" t="n"/>
      <c r="Q4410" s="22">
        <f>IF($D4410="","",IF(AND(OR(DANH_MUC!$L$5&lt;&gt;"Có",M4410="Có"),OR(DANH_MUC!$L$6&lt;&gt;"Có",N4410="Có"),OR(DANH_MUC!$L$7&lt;&gt;"Có",O4410="Có"),OR(DANH_MUC!$L$8&lt;&gt;"Có",P4410="Có")),"Có","Không"))</f>
        <v/>
      </c>
      <c r="R4410" s="22">
        <f>IF($D4410="","",IF(COUNTIF($D$2:$D4410,$D4410)&gt;1,"Trùng",""))</f>
        <v/>
      </c>
      <c r="S4410" s="22">
        <f>IF($D4410="","",IF(AND(LEN($D4410)=10,LEFT($D4410,1)="0",ISNUMBER(--$D4410)),"Có","Không"))</f>
        <v/>
      </c>
      <c r="T4410" s="22">
        <f>IF($D4410="","",IF(AND($C4410&lt;&gt;"",$Q4410="Có",$R4410="",$S4410="Có",AND($L4410&lt;&gt;"",OR($L4410&lt;&gt;"Chưa xác định",DANH_MUC!$L$9="Có"))),"Có","Không"))</f>
        <v/>
      </c>
      <c r="U4410" s="22">
        <f>IF(OR($D4410="",$T4410="Có"),"",IF($C4410="","Thiếu họ tên; ","")&amp;IF($S4410&lt;&gt;"Có","SĐT sai định dạng; ","")&amp;IF($R4410="Trùng","Trùng SĐT; ","")&amp;IF($Q4410&lt;&gt;"Có","Thiếu đồng ý bắt buộc; ","")&amp;IF($L4410="","Thiếu/sai Mã REF; ",IF(AND($L4410="Chưa xác định",DANH_MUC!$L$9&lt;&gt;"Có"),"Nguồn chưa xác định; ","")))</f>
        <v/>
      </c>
      <c r="V4410" s="22">
        <f>IF(OR($D4410="",$R4410="Trùng"),"",IF(COUNTIF(ORDERS!$C$2:$C$4995,$D4410)&gt;0,"Có","Không"))</f>
        <v/>
      </c>
      <c r="W4410" s="22">
        <f>IF(OR($D4410="",$R4410="Trùng"),"",COUNTIFS(ORDERS!$C$2:$C$4995,$D4410,ORDERS!$L$2:$L$4995,"Đã chuyển khoản"))</f>
        <v/>
      </c>
      <c r="X4410" s="23">
        <f>IF(OR($D4410="",$R4410="Trùng"),"",SUMIFS(ORDERS!$J$2:$J$4995,ORDERS!$C$2:$C$4995,$D4410,ORDERS!$L$2:$L$4995,"Đã chuyển khoản"))</f>
        <v/>
      </c>
      <c r="Y4410" s="24" t="n"/>
    </row>
    <row r="4411" ht="14.25" customHeight="1" s="40">
      <c r="A4411" s="24" t="n"/>
      <c r="B4411" s="27" t="n"/>
      <c r="C4411" s="24" t="n"/>
      <c r="D4411" s="28" t="n"/>
      <c r="E4411" s="29" t="n"/>
      <c r="F4411" s="24" t="n"/>
      <c r="G4411" s="24" t="n"/>
      <c r="H4411" s="21">
        <f>IF(ISNUMBER($B4411),INT($B4411)-WEEKDAY($B4411,2)+1,"")</f>
        <v/>
      </c>
      <c r="I4411" s="24" t="n"/>
      <c r="J4411" s="22">
        <f t="array" ref="J4411">IF($D4411="","",IF($I4411="","(trống REF)",IFERROR(INDEX(MASTER_SOURCE!$B$2:$B$495,MATCH($I4411,MASTER_SOURCE!$A$2:$A$495,0)),"(REF không có trong MASTER_SOURCE)")))</f>
        <v/>
      </c>
      <c r="K4411" s="22">
        <f t="array" ref="K4411">IF($D4411="","",IFERROR(INDEX(MASTER_SOURCE!$C$2:$C$495,MATCH($I4411,MASTER_SOURCE!$A$2:$A$495,0)),""))</f>
        <v/>
      </c>
      <c r="L4411" s="22">
        <f t="array" ref="L4411">IF($D4411="","",IFERROR(INDEX(MASTER_SOURCE!$D$2:$D$495,MATCH($I4411,MASTER_SOURCE!$A$2:$A$495,0)),""))</f>
        <v/>
      </c>
      <c r="M4411" s="24" t="n"/>
      <c r="N4411" s="24" t="n"/>
      <c r="O4411" s="24" t="n"/>
      <c r="P4411" s="24" t="n"/>
      <c r="Q4411" s="22">
        <f>IF($D4411="","",IF(AND(OR(DANH_MUC!$L$5&lt;&gt;"Có",M4411="Có"),OR(DANH_MUC!$L$6&lt;&gt;"Có",N4411="Có"),OR(DANH_MUC!$L$7&lt;&gt;"Có",O4411="Có"),OR(DANH_MUC!$L$8&lt;&gt;"Có",P4411="Có")),"Có","Không"))</f>
        <v/>
      </c>
      <c r="R4411" s="22">
        <f>IF($D4411="","",IF(COUNTIF($D$2:$D4411,$D4411)&gt;1,"Trùng",""))</f>
        <v/>
      </c>
      <c r="S4411" s="22">
        <f>IF($D4411="","",IF(AND(LEN($D4411)=10,LEFT($D4411,1)="0",ISNUMBER(--$D4411)),"Có","Không"))</f>
        <v/>
      </c>
      <c r="T4411" s="22">
        <f>IF($D4411="","",IF(AND($C4411&lt;&gt;"",$Q4411="Có",$R4411="",$S4411="Có",AND($L4411&lt;&gt;"",OR($L4411&lt;&gt;"Chưa xác định",DANH_MUC!$L$9="Có"))),"Có","Không"))</f>
        <v/>
      </c>
      <c r="U4411" s="22">
        <f>IF(OR($D4411="",$T4411="Có"),"",IF($C4411="","Thiếu họ tên; ","")&amp;IF($S4411&lt;&gt;"Có","SĐT sai định dạng; ","")&amp;IF($R4411="Trùng","Trùng SĐT; ","")&amp;IF($Q4411&lt;&gt;"Có","Thiếu đồng ý bắt buộc; ","")&amp;IF($L4411="","Thiếu/sai Mã REF; ",IF(AND($L4411="Chưa xác định",DANH_MUC!$L$9&lt;&gt;"Có"),"Nguồn chưa xác định; ","")))</f>
        <v/>
      </c>
      <c r="V4411" s="22">
        <f>IF(OR($D4411="",$R4411="Trùng"),"",IF(COUNTIF(ORDERS!$C$2:$C$4995,$D4411)&gt;0,"Có","Không"))</f>
        <v/>
      </c>
      <c r="W4411" s="22">
        <f>IF(OR($D4411="",$R4411="Trùng"),"",COUNTIFS(ORDERS!$C$2:$C$4995,$D4411,ORDERS!$L$2:$L$4995,"Đã chuyển khoản"))</f>
        <v/>
      </c>
      <c r="X4411" s="23">
        <f>IF(OR($D4411="",$R4411="Trùng"),"",SUMIFS(ORDERS!$J$2:$J$4995,ORDERS!$C$2:$C$4995,$D4411,ORDERS!$L$2:$L$4995,"Đã chuyển khoản"))</f>
        <v/>
      </c>
      <c r="Y4411" s="24" t="n"/>
    </row>
    <row r="4412" ht="14.25" customHeight="1" s="40">
      <c r="A4412" s="24" t="n"/>
      <c r="B4412" s="27" t="n"/>
      <c r="C4412" s="24" t="n"/>
      <c r="D4412" s="28" t="n"/>
      <c r="E4412" s="29" t="n"/>
      <c r="F4412" s="24" t="n"/>
      <c r="G4412" s="24" t="n"/>
      <c r="H4412" s="21">
        <f>IF(ISNUMBER($B4412),INT($B4412)-WEEKDAY($B4412,2)+1,"")</f>
        <v/>
      </c>
      <c r="I4412" s="24" t="n"/>
      <c r="J4412" s="22">
        <f t="array" ref="J4412">IF($D4412="","",IF($I4412="","(trống REF)",IFERROR(INDEX(MASTER_SOURCE!$B$2:$B$495,MATCH($I4412,MASTER_SOURCE!$A$2:$A$495,0)),"(REF không có trong MASTER_SOURCE)")))</f>
        <v/>
      </c>
      <c r="K4412" s="22">
        <f t="array" ref="K4412">IF($D4412="","",IFERROR(INDEX(MASTER_SOURCE!$C$2:$C$495,MATCH($I4412,MASTER_SOURCE!$A$2:$A$495,0)),""))</f>
        <v/>
      </c>
      <c r="L4412" s="22">
        <f t="array" ref="L4412">IF($D4412="","",IFERROR(INDEX(MASTER_SOURCE!$D$2:$D$495,MATCH($I4412,MASTER_SOURCE!$A$2:$A$495,0)),""))</f>
        <v/>
      </c>
      <c r="M4412" s="24" t="n"/>
      <c r="N4412" s="24" t="n"/>
      <c r="O4412" s="24" t="n"/>
      <c r="P4412" s="24" t="n"/>
      <c r="Q4412" s="22">
        <f>IF($D4412="","",IF(AND(OR(DANH_MUC!$L$5&lt;&gt;"Có",M4412="Có"),OR(DANH_MUC!$L$6&lt;&gt;"Có",N4412="Có"),OR(DANH_MUC!$L$7&lt;&gt;"Có",O4412="Có"),OR(DANH_MUC!$L$8&lt;&gt;"Có",P4412="Có")),"Có","Không"))</f>
        <v/>
      </c>
      <c r="R4412" s="22">
        <f>IF($D4412="","",IF(COUNTIF($D$2:$D4412,$D4412)&gt;1,"Trùng",""))</f>
        <v/>
      </c>
      <c r="S4412" s="22">
        <f>IF($D4412="","",IF(AND(LEN($D4412)=10,LEFT($D4412,1)="0",ISNUMBER(--$D4412)),"Có","Không"))</f>
        <v/>
      </c>
      <c r="T4412" s="22">
        <f>IF($D4412="","",IF(AND($C4412&lt;&gt;"",$Q4412="Có",$R4412="",$S4412="Có",AND($L4412&lt;&gt;"",OR($L4412&lt;&gt;"Chưa xác định",DANH_MUC!$L$9="Có"))),"Có","Không"))</f>
        <v/>
      </c>
      <c r="U4412" s="22">
        <f>IF(OR($D4412="",$T4412="Có"),"",IF($C4412="","Thiếu họ tên; ","")&amp;IF($S4412&lt;&gt;"Có","SĐT sai định dạng; ","")&amp;IF($R4412="Trùng","Trùng SĐT; ","")&amp;IF($Q4412&lt;&gt;"Có","Thiếu đồng ý bắt buộc; ","")&amp;IF($L4412="","Thiếu/sai Mã REF; ",IF(AND($L4412="Chưa xác định",DANH_MUC!$L$9&lt;&gt;"Có"),"Nguồn chưa xác định; ","")))</f>
        <v/>
      </c>
      <c r="V4412" s="22">
        <f>IF(OR($D4412="",$R4412="Trùng"),"",IF(COUNTIF(ORDERS!$C$2:$C$4995,$D4412)&gt;0,"Có","Không"))</f>
        <v/>
      </c>
      <c r="W4412" s="22">
        <f>IF(OR($D4412="",$R4412="Trùng"),"",COUNTIFS(ORDERS!$C$2:$C$4995,$D4412,ORDERS!$L$2:$L$4995,"Đã chuyển khoản"))</f>
        <v/>
      </c>
      <c r="X4412" s="23">
        <f>IF(OR($D4412="",$R4412="Trùng"),"",SUMIFS(ORDERS!$J$2:$J$4995,ORDERS!$C$2:$C$4995,$D4412,ORDERS!$L$2:$L$4995,"Đã chuyển khoản"))</f>
        <v/>
      </c>
      <c r="Y4412" s="24" t="n"/>
    </row>
    <row r="4413" ht="14.25" customHeight="1" s="40">
      <c r="A4413" s="24" t="n"/>
      <c r="B4413" s="27" t="n"/>
      <c r="C4413" s="24" t="n"/>
      <c r="D4413" s="28" t="n"/>
      <c r="E4413" s="29" t="n"/>
      <c r="F4413" s="24" t="n"/>
      <c r="G4413" s="24" t="n"/>
      <c r="H4413" s="21">
        <f>IF(ISNUMBER($B4413),INT($B4413)-WEEKDAY($B4413,2)+1,"")</f>
        <v/>
      </c>
      <c r="I4413" s="24" t="n"/>
      <c r="J4413" s="22">
        <f t="array" ref="J4413">IF($D4413="","",IF($I4413="","(trống REF)",IFERROR(INDEX(MASTER_SOURCE!$B$2:$B$495,MATCH($I4413,MASTER_SOURCE!$A$2:$A$495,0)),"(REF không có trong MASTER_SOURCE)")))</f>
        <v/>
      </c>
      <c r="K4413" s="22">
        <f t="array" ref="K4413">IF($D4413="","",IFERROR(INDEX(MASTER_SOURCE!$C$2:$C$495,MATCH($I4413,MASTER_SOURCE!$A$2:$A$495,0)),""))</f>
        <v/>
      </c>
      <c r="L4413" s="22">
        <f t="array" ref="L4413">IF($D4413="","",IFERROR(INDEX(MASTER_SOURCE!$D$2:$D$495,MATCH($I4413,MASTER_SOURCE!$A$2:$A$495,0)),""))</f>
        <v/>
      </c>
      <c r="M4413" s="24" t="n"/>
      <c r="N4413" s="24" t="n"/>
      <c r="O4413" s="24" t="n"/>
      <c r="P4413" s="24" t="n"/>
      <c r="Q4413" s="22">
        <f>IF($D4413="","",IF(AND(OR(DANH_MUC!$L$5&lt;&gt;"Có",M4413="Có"),OR(DANH_MUC!$L$6&lt;&gt;"Có",N4413="Có"),OR(DANH_MUC!$L$7&lt;&gt;"Có",O4413="Có"),OR(DANH_MUC!$L$8&lt;&gt;"Có",P4413="Có")),"Có","Không"))</f>
        <v/>
      </c>
      <c r="R4413" s="22">
        <f>IF($D4413="","",IF(COUNTIF($D$2:$D4413,$D4413)&gt;1,"Trùng",""))</f>
        <v/>
      </c>
      <c r="S4413" s="22">
        <f>IF($D4413="","",IF(AND(LEN($D4413)=10,LEFT($D4413,1)="0",ISNUMBER(--$D4413)),"Có","Không"))</f>
        <v/>
      </c>
      <c r="T4413" s="22">
        <f>IF($D4413="","",IF(AND($C4413&lt;&gt;"",$Q4413="Có",$R4413="",$S4413="Có",AND($L4413&lt;&gt;"",OR($L4413&lt;&gt;"Chưa xác định",DANH_MUC!$L$9="Có"))),"Có","Không"))</f>
        <v/>
      </c>
      <c r="U4413" s="22">
        <f>IF(OR($D4413="",$T4413="Có"),"",IF($C4413="","Thiếu họ tên; ","")&amp;IF($S4413&lt;&gt;"Có","SĐT sai định dạng; ","")&amp;IF($R4413="Trùng","Trùng SĐT; ","")&amp;IF($Q4413&lt;&gt;"Có","Thiếu đồng ý bắt buộc; ","")&amp;IF($L4413="","Thiếu/sai Mã REF; ",IF(AND($L4413="Chưa xác định",DANH_MUC!$L$9&lt;&gt;"Có"),"Nguồn chưa xác định; ","")))</f>
        <v/>
      </c>
      <c r="V4413" s="22">
        <f>IF(OR($D4413="",$R4413="Trùng"),"",IF(COUNTIF(ORDERS!$C$2:$C$4995,$D4413)&gt;0,"Có","Không"))</f>
        <v/>
      </c>
      <c r="W4413" s="22">
        <f>IF(OR($D4413="",$R4413="Trùng"),"",COUNTIFS(ORDERS!$C$2:$C$4995,$D4413,ORDERS!$L$2:$L$4995,"Đã chuyển khoản"))</f>
        <v/>
      </c>
      <c r="X4413" s="23">
        <f>IF(OR($D4413="",$R4413="Trùng"),"",SUMIFS(ORDERS!$J$2:$J$4995,ORDERS!$C$2:$C$4995,$D4413,ORDERS!$L$2:$L$4995,"Đã chuyển khoản"))</f>
        <v/>
      </c>
      <c r="Y4413" s="24" t="n"/>
    </row>
    <row r="4414" ht="14.25" customHeight="1" s="40">
      <c r="A4414" s="24" t="n"/>
      <c r="B4414" s="27" t="n"/>
      <c r="C4414" s="24" t="n"/>
      <c r="D4414" s="28" t="n"/>
      <c r="E4414" s="29" t="n"/>
      <c r="F4414" s="24" t="n"/>
      <c r="G4414" s="24" t="n"/>
      <c r="H4414" s="21">
        <f>IF(ISNUMBER($B4414),INT($B4414)-WEEKDAY($B4414,2)+1,"")</f>
        <v/>
      </c>
      <c r="I4414" s="24" t="n"/>
      <c r="J4414" s="22">
        <f t="array" ref="J4414">IF($D4414="","",IF($I4414="","(trống REF)",IFERROR(INDEX(MASTER_SOURCE!$B$2:$B$495,MATCH($I4414,MASTER_SOURCE!$A$2:$A$495,0)),"(REF không có trong MASTER_SOURCE)")))</f>
        <v/>
      </c>
      <c r="K4414" s="22">
        <f t="array" ref="K4414">IF($D4414="","",IFERROR(INDEX(MASTER_SOURCE!$C$2:$C$495,MATCH($I4414,MASTER_SOURCE!$A$2:$A$495,0)),""))</f>
        <v/>
      </c>
      <c r="L4414" s="22">
        <f t="array" ref="L4414">IF($D4414="","",IFERROR(INDEX(MASTER_SOURCE!$D$2:$D$495,MATCH($I4414,MASTER_SOURCE!$A$2:$A$495,0)),""))</f>
        <v/>
      </c>
      <c r="M4414" s="24" t="n"/>
      <c r="N4414" s="24" t="n"/>
      <c r="O4414" s="24" t="n"/>
      <c r="P4414" s="24" t="n"/>
      <c r="Q4414" s="22">
        <f>IF($D4414="","",IF(AND(OR(DANH_MUC!$L$5&lt;&gt;"Có",M4414="Có"),OR(DANH_MUC!$L$6&lt;&gt;"Có",N4414="Có"),OR(DANH_MUC!$L$7&lt;&gt;"Có",O4414="Có"),OR(DANH_MUC!$L$8&lt;&gt;"Có",P4414="Có")),"Có","Không"))</f>
        <v/>
      </c>
      <c r="R4414" s="22">
        <f>IF($D4414="","",IF(COUNTIF($D$2:$D4414,$D4414)&gt;1,"Trùng",""))</f>
        <v/>
      </c>
      <c r="S4414" s="22">
        <f>IF($D4414="","",IF(AND(LEN($D4414)=10,LEFT($D4414,1)="0",ISNUMBER(--$D4414)),"Có","Không"))</f>
        <v/>
      </c>
      <c r="T4414" s="22">
        <f>IF($D4414="","",IF(AND($C4414&lt;&gt;"",$Q4414="Có",$R4414="",$S4414="Có",AND($L4414&lt;&gt;"",OR($L4414&lt;&gt;"Chưa xác định",DANH_MUC!$L$9="Có"))),"Có","Không"))</f>
        <v/>
      </c>
      <c r="U4414" s="22">
        <f>IF(OR($D4414="",$T4414="Có"),"",IF($C4414="","Thiếu họ tên; ","")&amp;IF($S4414&lt;&gt;"Có","SĐT sai định dạng; ","")&amp;IF($R4414="Trùng","Trùng SĐT; ","")&amp;IF($Q4414&lt;&gt;"Có","Thiếu đồng ý bắt buộc; ","")&amp;IF($L4414="","Thiếu/sai Mã REF; ",IF(AND($L4414="Chưa xác định",DANH_MUC!$L$9&lt;&gt;"Có"),"Nguồn chưa xác định; ","")))</f>
        <v/>
      </c>
      <c r="V4414" s="22">
        <f>IF(OR($D4414="",$R4414="Trùng"),"",IF(COUNTIF(ORDERS!$C$2:$C$4995,$D4414)&gt;0,"Có","Không"))</f>
        <v/>
      </c>
      <c r="W4414" s="22">
        <f>IF(OR($D4414="",$R4414="Trùng"),"",COUNTIFS(ORDERS!$C$2:$C$4995,$D4414,ORDERS!$L$2:$L$4995,"Đã chuyển khoản"))</f>
        <v/>
      </c>
      <c r="X4414" s="23">
        <f>IF(OR($D4414="",$R4414="Trùng"),"",SUMIFS(ORDERS!$J$2:$J$4995,ORDERS!$C$2:$C$4995,$D4414,ORDERS!$L$2:$L$4995,"Đã chuyển khoản"))</f>
        <v/>
      </c>
      <c r="Y4414" s="24" t="n"/>
    </row>
    <row r="4415" ht="14.25" customHeight="1" s="40">
      <c r="A4415" s="24" t="n"/>
      <c r="B4415" s="27" t="n"/>
      <c r="C4415" s="24" t="n"/>
      <c r="D4415" s="28" t="n"/>
      <c r="E4415" s="29" t="n"/>
      <c r="F4415" s="24" t="n"/>
      <c r="G4415" s="24" t="n"/>
      <c r="H4415" s="21">
        <f>IF(ISNUMBER($B4415),INT($B4415)-WEEKDAY($B4415,2)+1,"")</f>
        <v/>
      </c>
      <c r="I4415" s="24" t="n"/>
      <c r="J4415" s="22">
        <f t="array" ref="J4415">IF($D4415="","",IF($I4415="","(trống REF)",IFERROR(INDEX(MASTER_SOURCE!$B$2:$B$495,MATCH($I4415,MASTER_SOURCE!$A$2:$A$495,0)),"(REF không có trong MASTER_SOURCE)")))</f>
        <v/>
      </c>
      <c r="K4415" s="22">
        <f t="array" ref="K4415">IF($D4415="","",IFERROR(INDEX(MASTER_SOURCE!$C$2:$C$495,MATCH($I4415,MASTER_SOURCE!$A$2:$A$495,0)),""))</f>
        <v/>
      </c>
      <c r="L4415" s="22">
        <f t="array" ref="L4415">IF($D4415="","",IFERROR(INDEX(MASTER_SOURCE!$D$2:$D$495,MATCH($I4415,MASTER_SOURCE!$A$2:$A$495,0)),""))</f>
        <v/>
      </c>
      <c r="M4415" s="24" t="n"/>
      <c r="N4415" s="24" t="n"/>
      <c r="O4415" s="24" t="n"/>
      <c r="P4415" s="24" t="n"/>
      <c r="Q4415" s="22">
        <f>IF($D4415="","",IF(AND(OR(DANH_MUC!$L$5&lt;&gt;"Có",M4415="Có"),OR(DANH_MUC!$L$6&lt;&gt;"Có",N4415="Có"),OR(DANH_MUC!$L$7&lt;&gt;"Có",O4415="Có"),OR(DANH_MUC!$L$8&lt;&gt;"Có",P4415="Có")),"Có","Không"))</f>
        <v/>
      </c>
      <c r="R4415" s="22">
        <f>IF($D4415="","",IF(COUNTIF($D$2:$D4415,$D4415)&gt;1,"Trùng",""))</f>
        <v/>
      </c>
      <c r="S4415" s="22">
        <f>IF($D4415="","",IF(AND(LEN($D4415)=10,LEFT($D4415,1)="0",ISNUMBER(--$D4415)),"Có","Không"))</f>
        <v/>
      </c>
      <c r="T4415" s="22">
        <f>IF($D4415="","",IF(AND($C4415&lt;&gt;"",$Q4415="Có",$R4415="",$S4415="Có",AND($L4415&lt;&gt;"",OR($L4415&lt;&gt;"Chưa xác định",DANH_MUC!$L$9="Có"))),"Có","Không"))</f>
        <v/>
      </c>
      <c r="U4415" s="22">
        <f>IF(OR($D4415="",$T4415="Có"),"",IF($C4415="","Thiếu họ tên; ","")&amp;IF($S4415&lt;&gt;"Có","SĐT sai định dạng; ","")&amp;IF($R4415="Trùng","Trùng SĐT; ","")&amp;IF($Q4415&lt;&gt;"Có","Thiếu đồng ý bắt buộc; ","")&amp;IF($L4415="","Thiếu/sai Mã REF; ",IF(AND($L4415="Chưa xác định",DANH_MUC!$L$9&lt;&gt;"Có"),"Nguồn chưa xác định; ","")))</f>
        <v/>
      </c>
      <c r="V4415" s="22">
        <f>IF(OR($D4415="",$R4415="Trùng"),"",IF(COUNTIF(ORDERS!$C$2:$C$4995,$D4415)&gt;0,"Có","Không"))</f>
        <v/>
      </c>
      <c r="W4415" s="22">
        <f>IF(OR($D4415="",$R4415="Trùng"),"",COUNTIFS(ORDERS!$C$2:$C$4995,$D4415,ORDERS!$L$2:$L$4995,"Đã chuyển khoản"))</f>
        <v/>
      </c>
      <c r="X4415" s="23">
        <f>IF(OR($D4415="",$R4415="Trùng"),"",SUMIFS(ORDERS!$J$2:$J$4995,ORDERS!$C$2:$C$4995,$D4415,ORDERS!$L$2:$L$4995,"Đã chuyển khoản"))</f>
        <v/>
      </c>
      <c r="Y4415" s="24" t="n"/>
    </row>
    <row r="4416" ht="14.25" customHeight="1" s="40">
      <c r="A4416" s="24" t="n"/>
      <c r="B4416" s="27" t="n"/>
      <c r="C4416" s="24" t="n"/>
      <c r="D4416" s="28" t="n"/>
      <c r="E4416" s="29" t="n"/>
      <c r="F4416" s="24" t="n"/>
      <c r="G4416" s="24" t="n"/>
      <c r="H4416" s="21">
        <f>IF(ISNUMBER($B4416),INT($B4416)-WEEKDAY($B4416,2)+1,"")</f>
        <v/>
      </c>
      <c r="I4416" s="24" t="n"/>
      <c r="J4416" s="22">
        <f t="array" ref="J4416">IF($D4416="","",IF($I4416="","(trống REF)",IFERROR(INDEX(MASTER_SOURCE!$B$2:$B$495,MATCH($I4416,MASTER_SOURCE!$A$2:$A$495,0)),"(REF không có trong MASTER_SOURCE)")))</f>
        <v/>
      </c>
      <c r="K4416" s="22">
        <f t="array" ref="K4416">IF($D4416="","",IFERROR(INDEX(MASTER_SOURCE!$C$2:$C$495,MATCH($I4416,MASTER_SOURCE!$A$2:$A$495,0)),""))</f>
        <v/>
      </c>
      <c r="L4416" s="22">
        <f t="array" ref="L4416">IF($D4416="","",IFERROR(INDEX(MASTER_SOURCE!$D$2:$D$495,MATCH($I4416,MASTER_SOURCE!$A$2:$A$495,0)),""))</f>
        <v/>
      </c>
      <c r="M4416" s="24" t="n"/>
      <c r="N4416" s="24" t="n"/>
      <c r="O4416" s="24" t="n"/>
      <c r="P4416" s="24" t="n"/>
      <c r="Q4416" s="22">
        <f>IF($D4416="","",IF(AND(OR(DANH_MUC!$L$5&lt;&gt;"Có",M4416="Có"),OR(DANH_MUC!$L$6&lt;&gt;"Có",N4416="Có"),OR(DANH_MUC!$L$7&lt;&gt;"Có",O4416="Có"),OR(DANH_MUC!$L$8&lt;&gt;"Có",P4416="Có")),"Có","Không"))</f>
        <v/>
      </c>
      <c r="R4416" s="22">
        <f>IF($D4416="","",IF(COUNTIF($D$2:$D4416,$D4416)&gt;1,"Trùng",""))</f>
        <v/>
      </c>
      <c r="S4416" s="22">
        <f>IF($D4416="","",IF(AND(LEN($D4416)=10,LEFT($D4416,1)="0",ISNUMBER(--$D4416)),"Có","Không"))</f>
        <v/>
      </c>
      <c r="T4416" s="22">
        <f>IF($D4416="","",IF(AND($C4416&lt;&gt;"",$Q4416="Có",$R4416="",$S4416="Có",AND($L4416&lt;&gt;"",OR($L4416&lt;&gt;"Chưa xác định",DANH_MUC!$L$9="Có"))),"Có","Không"))</f>
        <v/>
      </c>
      <c r="U4416" s="22">
        <f>IF(OR($D4416="",$T4416="Có"),"",IF($C4416="","Thiếu họ tên; ","")&amp;IF($S4416&lt;&gt;"Có","SĐT sai định dạng; ","")&amp;IF($R4416="Trùng","Trùng SĐT; ","")&amp;IF($Q4416&lt;&gt;"Có","Thiếu đồng ý bắt buộc; ","")&amp;IF($L4416="","Thiếu/sai Mã REF; ",IF(AND($L4416="Chưa xác định",DANH_MUC!$L$9&lt;&gt;"Có"),"Nguồn chưa xác định; ","")))</f>
        <v/>
      </c>
      <c r="V4416" s="22">
        <f>IF(OR($D4416="",$R4416="Trùng"),"",IF(COUNTIF(ORDERS!$C$2:$C$4995,$D4416)&gt;0,"Có","Không"))</f>
        <v/>
      </c>
      <c r="W4416" s="22">
        <f>IF(OR($D4416="",$R4416="Trùng"),"",COUNTIFS(ORDERS!$C$2:$C$4995,$D4416,ORDERS!$L$2:$L$4995,"Đã chuyển khoản"))</f>
        <v/>
      </c>
      <c r="X4416" s="23">
        <f>IF(OR($D4416="",$R4416="Trùng"),"",SUMIFS(ORDERS!$J$2:$J$4995,ORDERS!$C$2:$C$4995,$D4416,ORDERS!$L$2:$L$4995,"Đã chuyển khoản"))</f>
        <v/>
      </c>
      <c r="Y4416" s="24" t="n"/>
    </row>
    <row r="4417" ht="14.25" customHeight="1" s="40">
      <c r="A4417" s="24" t="n"/>
      <c r="B4417" s="27" t="n"/>
      <c r="C4417" s="24" t="n"/>
      <c r="D4417" s="28" t="n"/>
      <c r="E4417" s="29" t="n"/>
      <c r="F4417" s="24" t="n"/>
      <c r="G4417" s="24" t="n"/>
      <c r="H4417" s="21">
        <f>IF(ISNUMBER($B4417),INT($B4417)-WEEKDAY($B4417,2)+1,"")</f>
        <v/>
      </c>
      <c r="I4417" s="24" t="n"/>
      <c r="J4417" s="22">
        <f t="array" ref="J4417">IF($D4417="","",IF($I4417="","(trống REF)",IFERROR(INDEX(MASTER_SOURCE!$B$2:$B$495,MATCH($I4417,MASTER_SOURCE!$A$2:$A$495,0)),"(REF không có trong MASTER_SOURCE)")))</f>
        <v/>
      </c>
      <c r="K4417" s="22">
        <f t="array" ref="K4417">IF($D4417="","",IFERROR(INDEX(MASTER_SOURCE!$C$2:$C$495,MATCH($I4417,MASTER_SOURCE!$A$2:$A$495,0)),""))</f>
        <v/>
      </c>
      <c r="L4417" s="22">
        <f t="array" ref="L4417">IF($D4417="","",IFERROR(INDEX(MASTER_SOURCE!$D$2:$D$495,MATCH($I4417,MASTER_SOURCE!$A$2:$A$495,0)),""))</f>
        <v/>
      </c>
      <c r="M4417" s="24" t="n"/>
      <c r="N4417" s="24" t="n"/>
      <c r="O4417" s="24" t="n"/>
      <c r="P4417" s="24" t="n"/>
      <c r="Q4417" s="22">
        <f>IF($D4417="","",IF(AND(OR(DANH_MUC!$L$5&lt;&gt;"Có",M4417="Có"),OR(DANH_MUC!$L$6&lt;&gt;"Có",N4417="Có"),OR(DANH_MUC!$L$7&lt;&gt;"Có",O4417="Có"),OR(DANH_MUC!$L$8&lt;&gt;"Có",P4417="Có")),"Có","Không"))</f>
        <v/>
      </c>
      <c r="R4417" s="22">
        <f>IF($D4417="","",IF(COUNTIF($D$2:$D4417,$D4417)&gt;1,"Trùng",""))</f>
        <v/>
      </c>
      <c r="S4417" s="22">
        <f>IF($D4417="","",IF(AND(LEN($D4417)=10,LEFT($D4417,1)="0",ISNUMBER(--$D4417)),"Có","Không"))</f>
        <v/>
      </c>
      <c r="T4417" s="22">
        <f>IF($D4417="","",IF(AND($C4417&lt;&gt;"",$Q4417="Có",$R4417="",$S4417="Có",AND($L4417&lt;&gt;"",OR($L4417&lt;&gt;"Chưa xác định",DANH_MUC!$L$9="Có"))),"Có","Không"))</f>
        <v/>
      </c>
      <c r="U4417" s="22">
        <f>IF(OR($D4417="",$T4417="Có"),"",IF($C4417="","Thiếu họ tên; ","")&amp;IF($S4417&lt;&gt;"Có","SĐT sai định dạng; ","")&amp;IF($R4417="Trùng","Trùng SĐT; ","")&amp;IF($Q4417&lt;&gt;"Có","Thiếu đồng ý bắt buộc; ","")&amp;IF($L4417="","Thiếu/sai Mã REF; ",IF(AND($L4417="Chưa xác định",DANH_MUC!$L$9&lt;&gt;"Có"),"Nguồn chưa xác định; ","")))</f>
        <v/>
      </c>
      <c r="V4417" s="22">
        <f>IF(OR($D4417="",$R4417="Trùng"),"",IF(COUNTIF(ORDERS!$C$2:$C$4995,$D4417)&gt;0,"Có","Không"))</f>
        <v/>
      </c>
      <c r="W4417" s="22">
        <f>IF(OR($D4417="",$R4417="Trùng"),"",COUNTIFS(ORDERS!$C$2:$C$4995,$D4417,ORDERS!$L$2:$L$4995,"Đã chuyển khoản"))</f>
        <v/>
      </c>
      <c r="X4417" s="23">
        <f>IF(OR($D4417="",$R4417="Trùng"),"",SUMIFS(ORDERS!$J$2:$J$4995,ORDERS!$C$2:$C$4995,$D4417,ORDERS!$L$2:$L$4995,"Đã chuyển khoản"))</f>
        <v/>
      </c>
      <c r="Y4417" s="24" t="n"/>
    </row>
    <row r="4418" ht="14.25" customHeight="1" s="40">
      <c r="A4418" s="24" t="n"/>
      <c r="B4418" s="27" t="n"/>
      <c r="C4418" s="24" t="n"/>
      <c r="D4418" s="28" t="n"/>
      <c r="E4418" s="29" t="n"/>
      <c r="F4418" s="24" t="n"/>
      <c r="G4418" s="24" t="n"/>
      <c r="H4418" s="21">
        <f>IF(ISNUMBER($B4418),INT($B4418)-WEEKDAY($B4418,2)+1,"")</f>
        <v/>
      </c>
      <c r="I4418" s="24" t="n"/>
      <c r="J4418" s="22">
        <f t="array" ref="J4418">IF($D4418="","",IF($I4418="","(trống REF)",IFERROR(INDEX(MASTER_SOURCE!$B$2:$B$495,MATCH($I4418,MASTER_SOURCE!$A$2:$A$495,0)),"(REF không có trong MASTER_SOURCE)")))</f>
        <v/>
      </c>
      <c r="K4418" s="22">
        <f t="array" ref="K4418">IF($D4418="","",IFERROR(INDEX(MASTER_SOURCE!$C$2:$C$495,MATCH($I4418,MASTER_SOURCE!$A$2:$A$495,0)),""))</f>
        <v/>
      </c>
      <c r="L4418" s="22">
        <f t="array" ref="L4418">IF($D4418="","",IFERROR(INDEX(MASTER_SOURCE!$D$2:$D$495,MATCH($I4418,MASTER_SOURCE!$A$2:$A$495,0)),""))</f>
        <v/>
      </c>
      <c r="M4418" s="24" t="n"/>
      <c r="N4418" s="24" t="n"/>
      <c r="O4418" s="24" t="n"/>
      <c r="P4418" s="24" t="n"/>
      <c r="Q4418" s="22">
        <f>IF($D4418="","",IF(AND(OR(DANH_MUC!$L$5&lt;&gt;"Có",M4418="Có"),OR(DANH_MUC!$L$6&lt;&gt;"Có",N4418="Có"),OR(DANH_MUC!$L$7&lt;&gt;"Có",O4418="Có"),OR(DANH_MUC!$L$8&lt;&gt;"Có",P4418="Có")),"Có","Không"))</f>
        <v/>
      </c>
      <c r="R4418" s="22">
        <f>IF($D4418="","",IF(COUNTIF($D$2:$D4418,$D4418)&gt;1,"Trùng",""))</f>
        <v/>
      </c>
      <c r="S4418" s="22">
        <f>IF($D4418="","",IF(AND(LEN($D4418)=10,LEFT($D4418,1)="0",ISNUMBER(--$D4418)),"Có","Không"))</f>
        <v/>
      </c>
      <c r="T4418" s="22">
        <f>IF($D4418="","",IF(AND($C4418&lt;&gt;"",$Q4418="Có",$R4418="",$S4418="Có",AND($L4418&lt;&gt;"",OR($L4418&lt;&gt;"Chưa xác định",DANH_MUC!$L$9="Có"))),"Có","Không"))</f>
        <v/>
      </c>
      <c r="U4418" s="22">
        <f>IF(OR($D4418="",$T4418="Có"),"",IF($C4418="","Thiếu họ tên; ","")&amp;IF($S4418&lt;&gt;"Có","SĐT sai định dạng; ","")&amp;IF($R4418="Trùng","Trùng SĐT; ","")&amp;IF($Q4418&lt;&gt;"Có","Thiếu đồng ý bắt buộc; ","")&amp;IF($L4418="","Thiếu/sai Mã REF; ",IF(AND($L4418="Chưa xác định",DANH_MUC!$L$9&lt;&gt;"Có"),"Nguồn chưa xác định; ","")))</f>
        <v/>
      </c>
      <c r="V4418" s="22">
        <f>IF(OR($D4418="",$R4418="Trùng"),"",IF(COUNTIF(ORDERS!$C$2:$C$4995,$D4418)&gt;0,"Có","Không"))</f>
        <v/>
      </c>
      <c r="W4418" s="22">
        <f>IF(OR($D4418="",$R4418="Trùng"),"",COUNTIFS(ORDERS!$C$2:$C$4995,$D4418,ORDERS!$L$2:$L$4995,"Đã chuyển khoản"))</f>
        <v/>
      </c>
      <c r="X4418" s="23">
        <f>IF(OR($D4418="",$R4418="Trùng"),"",SUMIFS(ORDERS!$J$2:$J$4995,ORDERS!$C$2:$C$4995,$D4418,ORDERS!$L$2:$L$4995,"Đã chuyển khoản"))</f>
        <v/>
      </c>
      <c r="Y4418" s="24" t="n"/>
    </row>
    <row r="4419" ht="14.25" customHeight="1" s="40">
      <c r="A4419" s="24" t="n"/>
      <c r="B4419" s="27" t="n"/>
      <c r="C4419" s="24" t="n"/>
      <c r="D4419" s="28" t="n"/>
      <c r="E4419" s="29" t="n"/>
      <c r="F4419" s="24" t="n"/>
      <c r="G4419" s="24" t="n"/>
      <c r="H4419" s="21">
        <f>IF(ISNUMBER($B4419),INT($B4419)-WEEKDAY($B4419,2)+1,"")</f>
        <v/>
      </c>
      <c r="I4419" s="24" t="n"/>
      <c r="J4419" s="22">
        <f t="array" ref="J4419">IF($D4419="","",IF($I4419="","(trống REF)",IFERROR(INDEX(MASTER_SOURCE!$B$2:$B$495,MATCH($I4419,MASTER_SOURCE!$A$2:$A$495,0)),"(REF không có trong MASTER_SOURCE)")))</f>
        <v/>
      </c>
      <c r="K4419" s="22">
        <f t="array" ref="K4419">IF($D4419="","",IFERROR(INDEX(MASTER_SOURCE!$C$2:$C$495,MATCH($I4419,MASTER_SOURCE!$A$2:$A$495,0)),""))</f>
        <v/>
      </c>
      <c r="L4419" s="22">
        <f t="array" ref="L4419">IF($D4419="","",IFERROR(INDEX(MASTER_SOURCE!$D$2:$D$495,MATCH($I4419,MASTER_SOURCE!$A$2:$A$495,0)),""))</f>
        <v/>
      </c>
      <c r="M4419" s="24" t="n"/>
      <c r="N4419" s="24" t="n"/>
      <c r="O4419" s="24" t="n"/>
      <c r="P4419" s="24" t="n"/>
      <c r="Q4419" s="22">
        <f>IF($D4419="","",IF(AND(OR(DANH_MUC!$L$5&lt;&gt;"Có",M4419="Có"),OR(DANH_MUC!$L$6&lt;&gt;"Có",N4419="Có"),OR(DANH_MUC!$L$7&lt;&gt;"Có",O4419="Có"),OR(DANH_MUC!$L$8&lt;&gt;"Có",P4419="Có")),"Có","Không"))</f>
        <v/>
      </c>
      <c r="R4419" s="22">
        <f>IF($D4419="","",IF(COUNTIF($D$2:$D4419,$D4419)&gt;1,"Trùng",""))</f>
        <v/>
      </c>
      <c r="S4419" s="22">
        <f>IF($D4419="","",IF(AND(LEN($D4419)=10,LEFT($D4419,1)="0",ISNUMBER(--$D4419)),"Có","Không"))</f>
        <v/>
      </c>
      <c r="T4419" s="22">
        <f>IF($D4419="","",IF(AND($C4419&lt;&gt;"",$Q4419="Có",$R4419="",$S4419="Có",AND($L4419&lt;&gt;"",OR($L4419&lt;&gt;"Chưa xác định",DANH_MUC!$L$9="Có"))),"Có","Không"))</f>
        <v/>
      </c>
      <c r="U4419" s="22">
        <f>IF(OR($D4419="",$T4419="Có"),"",IF($C4419="","Thiếu họ tên; ","")&amp;IF($S4419&lt;&gt;"Có","SĐT sai định dạng; ","")&amp;IF($R4419="Trùng","Trùng SĐT; ","")&amp;IF($Q4419&lt;&gt;"Có","Thiếu đồng ý bắt buộc; ","")&amp;IF($L4419="","Thiếu/sai Mã REF; ",IF(AND($L4419="Chưa xác định",DANH_MUC!$L$9&lt;&gt;"Có"),"Nguồn chưa xác định; ","")))</f>
        <v/>
      </c>
      <c r="V4419" s="22">
        <f>IF(OR($D4419="",$R4419="Trùng"),"",IF(COUNTIF(ORDERS!$C$2:$C$4995,$D4419)&gt;0,"Có","Không"))</f>
        <v/>
      </c>
      <c r="W4419" s="22">
        <f>IF(OR($D4419="",$R4419="Trùng"),"",COUNTIFS(ORDERS!$C$2:$C$4995,$D4419,ORDERS!$L$2:$L$4995,"Đã chuyển khoản"))</f>
        <v/>
      </c>
      <c r="X4419" s="23">
        <f>IF(OR($D4419="",$R4419="Trùng"),"",SUMIFS(ORDERS!$J$2:$J$4995,ORDERS!$C$2:$C$4995,$D4419,ORDERS!$L$2:$L$4995,"Đã chuyển khoản"))</f>
        <v/>
      </c>
      <c r="Y4419" s="24" t="n"/>
    </row>
    <row r="4420" ht="14.25" customHeight="1" s="40">
      <c r="A4420" s="24" t="n"/>
      <c r="B4420" s="27" t="n"/>
      <c r="C4420" s="24" t="n"/>
      <c r="D4420" s="28" t="n"/>
      <c r="E4420" s="29" t="n"/>
      <c r="F4420" s="24" t="n"/>
      <c r="G4420" s="24" t="n"/>
      <c r="H4420" s="21">
        <f>IF(ISNUMBER($B4420),INT($B4420)-WEEKDAY($B4420,2)+1,"")</f>
        <v/>
      </c>
      <c r="I4420" s="24" t="n"/>
      <c r="J4420" s="22">
        <f t="array" ref="J4420">IF($D4420="","",IF($I4420="","(trống REF)",IFERROR(INDEX(MASTER_SOURCE!$B$2:$B$495,MATCH($I4420,MASTER_SOURCE!$A$2:$A$495,0)),"(REF không có trong MASTER_SOURCE)")))</f>
        <v/>
      </c>
      <c r="K4420" s="22">
        <f t="array" ref="K4420">IF($D4420="","",IFERROR(INDEX(MASTER_SOURCE!$C$2:$C$495,MATCH($I4420,MASTER_SOURCE!$A$2:$A$495,0)),""))</f>
        <v/>
      </c>
      <c r="L4420" s="22">
        <f t="array" ref="L4420">IF($D4420="","",IFERROR(INDEX(MASTER_SOURCE!$D$2:$D$495,MATCH($I4420,MASTER_SOURCE!$A$2:$A$495,0)),""))</f>
        <v/>
      </c>
      <c r="M4420" s="24" t="n"/>
      <c r="N4420" s="24" t="n"/>
      <c r="O4420" s="24" t="n"/>
      <c r="P4420" s="24" t="n"/>
      <c r="Q4420" s="22">
        <f>IF($D4420="","",IF(AND(OR(DANH_MUC!$L$5&lt;&gt;"Có",M4420="Có"),OR(DANH_MUC!$L$6&lt;&gt;"Có",N4420="Có"),OR(DANH_MUC!$L$7&lt;&gt;"Có",O4420="Có"),OR(DANH_MUC!$L$8&lt;&gt;"Có",P4420="Có")),"Có","Không"))</f>
        <v/>
      </c>
      <c r="R4420" s="22">
        <f>IF($D4420="","",IF(COUNTIF($D$2:$D4420,$D4420)&gt;1,"Trùng",""))</f>
        <v/>
      </c>
      <c r="S4420" s="22">
        <f>IF($D4420="","",IF(AND(LEN($D4420)=10,LEFT($D4420,1)="0",ISNUMBER(--$D4420)),"Có","Không"))</f>
        <v/>
      </c>
      <c r="T4420" s="22">
        <f>IF($D4420="","",IF(AND($C4420&lt;&gt;"",$Q4420="Có",$R4420="",$S4420="Có",AND($L4420&lt;&gt;"",OR($L4420&lt;&gt;"Chưa xác định",DANH_MUC!$L$9="Có"))),"Có","Không"))</f>
        <v/>
      </c>
      <c r="U4420" s="22">
        <f>IF(OR($D4420="",$T4420="Có"),"",IF($C4420="","Thiếu họ tên; ","")&amp;IF($S4420&lt;&gt;"Có","SĐT sai định dạng; ","")&amp;IF($R4420="Trùng","Trùng SĐT; ","")&amp;IF($Q4420&lt;&gt;"Có","Thiếu đồng ý bắt buộc; ","")&amp;IF($L4420="","Thiếu/sai Mã REF; ",IF(AND($L4420="Chưa xác định",DANH_MUC!$L$9&lt;&gt;"Có"),"Nguồn chưa xác định; ","")))</f>
        <v/>
      </c>
      <c r="V4420" s="22">
        <f>IF(OR($D4420="",$R4420="Trùng"),"",IF(COUNTIF(ORDERS!$C$2:$C$4995,$D4420)&gt;0,"Có","Không"))</f>
        <v/>
      </c>
      <c r="W4420" s="22">
        <f>IF(OR($D4420="",$R4420="Trùng"),"",COUNTIFS(ORDERS!$C$2:$C$4995,$D4420,ORDERS!$L$2:$L$4995,"Đã chuyển khoản"))</f>
        <v/>
      </c>
      <c r="X4420" s="23">
        <f>IF(OR($D4420="",$R4420="Trùng"),"",SUMIFS(ORDERS!$J$2:$J$4995,ORDERS!$C$2:$C$4995,$D4420,ORDERS!$L$2:$L$4995,"Đã chuyển khoản"))</f>
        <v/>
      </c>
      <c r="Y4420" s="24" t="n"/>
    </row>
    <row r="4421" ht="14.25" customHeight="1" s="40">
      <c r="A4421" s="24" t="n"/>
      <c r="B4421" s="27" t="n"/>
      <c r="C4421" s="24" t="n"/>
      <c r="D4421" s="28" t="n"/>
      <c r="E4421" s="29" t="n"/>
      <c r="F4421" s="24" t="n"/>
      <c r="G4421" s="24" t="n"/>
      <c r="H4421" s="21">
        <f>IF(ISNUMBER($B4421),INT($B4421)-WEEKDAY($B4421,2)+1,"")</f>
        <v/>
      </c>
      <c r="I4421" s="24" t="n"/>
      <c r="J4421" s="22">
        <f t="array" ref="J4421">IF($D4421="","",IF($I4421="","(trống REF)",IFERROR(INDEX(MASTER_SOURCE!$B$2:$B$495,MATCH($I4421,MASTER_SOURCE!$A$2:$A$495,0)),"(REF không có trong MASTER_SOURCE)")))</f>
        <v/>
      </c>
      <c r="K4421" s="22">
        <f t="array" ref="K4421">IF($D4421="","",IFERROR(INDEX(MASTER_SOURCE!$C$2:$C$495,MATCH($I4421,MASTER_SOURCE!$A$2:$A$495,0)),""))</f>
        <v/>
      </c>
      <c r="L4421" s="22">
        <f t="array" ref="L4421">IF($D4421="","",IFERROR(INDEX(MASTER_SOURCE!$D$2:$D$495,MATCH($I4421,MASTER_SOURCE!$A$2:$A$495,0)),""))</f>
        <v/>
      </c>
      <c r="M4421" s="24" t="n"/>
      <c r="N4421" s="24" t="n"/>
      <c r="O4421" s="24" t="n"/>
      <c r="P4421" s="24" t="n"/>
      <c r="Q4421" s="22">
        <f>IF($D4421="","",IF(AND(OR(DANH_MUC!$L$5&lt;&gt;"Có",M4421="Có"),OR(DANH_MUC!$L$6&lt;&gt;"Có",N4421="Có"),OR(DANH_MUC!$L$7&lt;&gt;"Có",O4421="Có"),OR(DANH_MUC!$L$8&lt;&gt;"Có",P4421="Có")),"Có","Không"))</f>
        <v/>
      </c>
      <c r="R4421" s="22">
        <f>IF($D4421="","",IF(COUNTIF($D$2:$D4421,$D4421)&gt;1,"Trùng",""))</f>
        <v/>
      </c>
      <c r="S4421" s="22">
        <f>IF($D4421="","",IF(AND(LEN($D4421)=10,LEFT($D4421,1)="0",ISNUMBER(--$D4421)),"Có","Không"))</f>
        <v/>
      </c>
      <c r="T4421" s="22">
        <f>IF($D4421="","",IF(AND($C4421&lt;&gt;"",$Q4421="Có",$R4421="",$S4421="Có",AND($L4421&lt;&gt;"",OR($L4421&lt;&gt;"Chưa xác định",DANH_MUC!$L$9="Có"))),"Có","Không"))</f>
        <v/>
      </c>
      <c r="U4421" s="22">
        <f>IF(OR($D4421="",$T4421="Có"),"",IF($C4421="","Thiếu họ tên; ","")&amp;IF($S4421&lt;&gt;"Có","SĐT sai định dạng; ","")&amp;IF($R4421="Trùng","Trùng SĐT; ","")&amp;IF($Q4421&lt;&gt;"Có","Thiếu đồng ý bắt buộc; ","")&amp;IF($L4421="","Thiếu/sai Mã REF; ",IF(AND($L4421="Chưa xác định",DANH_MUC!$L$9&lt;&gt;"Có"),"Nguồn chưa xác định; ","")))</f>
        <v/>
      </c>
      <c r="V4421" s="22">
        <f>IF(OR($D4421="",$R4421="Trùng"),"",IF(COUNTIF(ORDERS!$C$2:$C$4995,$D4421)&gt;0,"Có","Không"))</f>
        <v/>
      </c>
      <c r="W4421" s="22">
        <f>IF(OR($D4421="",$R4421="Trùng"),"",COUNTIFS(ORDERS!$C$2:$C$4995,$D4421,ORDERS!$L$2:$L$4995,"Đã chuyển khoản"))</f>
        <v/>
      </c>
      <c r="X4421" s="23">
        <f>IF(OR($D4421="",$R4421="Trùng"),"",SUMIFS(ORDERS!$J$2:$J$4995,ORDERS!$C$2:$C$4995,$D4421,ORDERS!$L$2:$L$4995,"Đã chuyển khoản"))</f>
        <v/>
      </c>
      <c r="Y4421" s="24" t="n"/>
    </row>
    <row r="4422" ht="14.25" customHeight="1" s="40">
      <c r="A4422" s="24" t="n"/>
      <c r="B4422" s="27" t="n"/>
      <c r="C4422" s="24" t="n"/>
      <c r="D4422" s="28" t="n"/>
      <c r="E4422" s="29" t="n"/>
      <c r="F4422" s="24" t="n"/>
      <c r="G4422" s="24" t="n"/>
      <c r="H4422" s="21">
        <f>IF(ISNUMBER($B4422),INT($B4422)-WEEKDAY($B4422,2)+1,"")</f>
        <v/>
      </c>
      <c r="I4422" s="24" t="n"/>
      <c r="J4422" s="22">
        <f t="array" ref="J4422">IF($D4422="","",IF($I4422="","(trống REF)",IFERROR(INDEX(MASTER_SOURCE!$B$2:$B$495,MATCH($I4422,MASTER_SOURCE!$A$2:$A$495,0)),"(REF không có trong MASTER_SOURCE)")))</f>
        <v/>
      </c>
      <c r="K4422" s="22">
        <f t="array" ref="K4422">IF($D4422="","",IFERROR(INDEX(MASTER_SOURCE!$C$2:$C$495,MATCH($I4422,MASTER_SOURCE!$A$2:$A$495,0)),""))</f>
        <v/>
      </c>
      <c r="L4422" s="22">
        <f t="array" ref="L4422">IF($D4422="","",IFERROR(INDEX(MASTER_SOURCE!$D$2:$D$495,MATCH($I4422,MASTER_SOURCE!$A$2:$A$495,0)),""))</f>
        <v/>
      </c>
      <c r="M4422" s="24" t="n"/>
      <c r="N4422" s="24" t="n"/>
      <c r="O4422" s="24" t="n"/>
      <c r="P4422" s="24" t="n"/>
      <c r="Q4422" s="22">
        <f>IF($D4422="","",IF(AND(OR(DANH_MUC!$L$5&lt;&gt;"Có",M4422="Có"),OR(DANH_MUC!$L$6&lt;&gt;"Có",N4422="Có"),OR(DANH_MUC!$L$7&lt;&gt;"Có",O4422="Có"),OR(DANH_MUC!$L$8&lt;&gt;"Có",P4422="Có")),"Có","Không"))</f>
        <v/>
      </c>
      <c r="R4422" s="22">
        <f>IF($D4422="","",IF(COUNTIF($D$2:$D4422,$D4422)&gt;1,"Trùng",""))</f>
        <v/>
      </c>
      <c r="S4422" s="22">
        <f>IF($D4422="","",IF(AND(LEN($D4422)=10,LEFT($D4422,1)="0",ISNUMBER(--$D4422)),"Có","Không"))</f>
        <v/>
      </c>
      <c r="T4422" s="22">
        <f>IF($D4422="","",IF(AND($C4422&lt;&gt;"",$Q4422="Có",$R4422="",$S4422="Có",AND($L4422&lt;&gt;"",OR($L4422&lt;&gt;"Chưa xác định",DANH_MUC!$L$9="Có"))),"Có","Không"))</f>
        <v/>
      </c>
      <c r="U4422" s="22">
        <f>IF(OR($D4422="",$T4422="Có"),"",IF($C4422="","Thiếu họ tên; ","")&amp;IF($S4422&lt;&gt;"Có","SĐT sai định dạng; ","")&amp;IF($R4422="Trùng","Trùng SĐT; ","")&amp;IF($Q4422&lt;&gt;"Có","Thiếu đồng ý bắt buộc; ","")&amp;IF($L4422="","Thiếu/sai Mã REF; ",IF(AND($L4422="Chưa xác định",DANH_MUC!$L$9&lt;&gt;"Có"),"Nguồn chưa xác định; ","")))</f>
        <v/>
      </c>
      <c r="V4422" s="22">
        <f>IF(OR($D4422="",$R4422="Trùng"),"",IF(COUNTIF(ORDERS!$C$2:$C$4995,$D4422)&gt;0,"Có","Không"))</f>
        <v/>
      </c>
      <c r="W4422" s="22">
        <f>IF(OR($D4422="",$R4422="Trùng"),"",COUNTIFS(ORDERS!$C$2:$C$4995,$D4422,ORDERS!$L$2:$L$4995,"Đã chuyển khoản"))</f>
        <v/>
      </c>
      <c r="X4422" s="23">
        <f>IF(OR($D4422="",$R4422="Trùng"),"",SUMIFS(ORDERS!$J$2:$J$4995,ORDERS!$C$2:$C$4995,$D4422,ORDERS!$L$2:$L$4995,"Đã chuyển khoản"))</f>
        <v/>
      </c>
      <c r="Y4422" s="24" t="n"/>
    </row>
    <row r="4423" ht="14.25" customHeight="1" s="40">
      <c r="A4423" s="24" t="n"/>
      <c r="B4423" s="27" t="n"/>
      <c r="C4423" s="24" t="n"/>
      <c r="D4423" s="28" t="n"/>
      <c r="E4423" s="29" t="n"/>
      <c r="F4423" s="24" t="n"/>
      <c r="G4423" s="24" t="n"/>
      <c r="H4423" s="21">
        <f>IF(ISNUMBER($B4423),INT($B4423)-WEEKDAY($B4423,2)+1,"")</f>
        <v/>
      </c>
      <c r="I4423" s="24" t="n"/>
      <c r="J4423" s="22">
        <f t="array" ref="J4423">IF($D4423="","",IF($I4423="","(trống REF)",IFERROR(INDEX(MASTER_SOURCE!$B$2:$B$495,MATCH($I4423,MASTER_SOURCE!$A$2:$A$495,0)),"(REF không có trong MASTER_SOURCE)")))</f>
        <v/>
      </c>
      <c r="K4423" s="22">
        <f t="array" ref="K4423">IF($D4423="","",IFERROR(INDEX(MASTER_SOURCE!$C$2:$C$495,MATCH($I4423,MASTER_SOURCE!$A$2:$A$495,0)),""))</f>
        <v/>
      </c>
      <c r="L4423" s="22">
        <f t="array" ref="L4423">IF($D4423="","",IFERROR(INDEX(MASTER_SOURCE!$D$2:$D$495,MATCH($I4423,MASTER_SOURCE!$A$2:$A$495,0)),""))</f>
        <v/>
      </c>
      <c r="M4423" s="24" t="n"/>
      <c r="N4423" s="24" t="n"/>
      <c r="O4423" s="24" t="n"/>
      <c r="P4423" s="24" t="n"/>
      <c r="Q4423" s="22">
        <f>IF($D4423="","",IF(AND(OR(DANH_MUC!$L$5&lt;&gt;"Có",M4423="Có"),OR(DANH_MUC!$L$6&lt;&gt;"Có",N4423="Có"),OR(DANH_MUC!$L$7&lt;&gt;"Có",O4423="Có"),OR(DANH_MUC!$L$8&lt;&gt;"Có",P4423="Có")),"Có","Không"))</f>
        <v/>
      </c>
      <c r="R4423" s="22">
        <f>IF($D4423="","",IF(COUNTIF($D$2:$D4423,$D4423)&gt;1,"Trùng",""))</f>
        <v/>
      </c>
      <c r="S4423" s="22">
        <f>IF($D4423="","",IF(AND(LEN($D4423)=10,LEFT($D4423,1)="0",ISNUMBER(--$D4423)),"Có","Không"))</f>
        <v/>
      </c>
      <c r="T4423" s="22">
        <f>IF($D4423="","",IF(AND($C4423&lt;&gt;"",$Q4423="Có",$R4423="",$S4423="Có",AND($L4423&lt;&gt;"",OR($L4423&lt;&gt;"Chưa xác định",DANH_MUC!$L$9="Có"))),"Có","Không"))</f>
        <v/>
      </c>
      <c r="U4423" s="22">
        <f>IF(OR($D4423="",$T4423="Có"),"",IF($C4423="","Thiếu họ tên; ","")&amp;IF($S4423&lt;&gt;"Có","SĐT sai định dạng; ","")&amp;IF($R4423="Trùng","Trùng SĐT; ","")&amp;IF($Q4423&lt;&gt;"Có","Thiếu đồng ý bắt buộc; ","")&amp;IF($L4423="","Thiếu/sai Mã REF; ",IF(AND($L4423="Chưa xác định",DANH_MUC!$L$9&lt;&gt;"Có"),"Nguồn chưa xác định; ","")))</f>
        <v/>
      </c>
      <c r="V4423" s="22">
        <f>IF(OR($D4423="",$R4423="Trùng"),"",IF(COUNTIF(ORDERS!$C$2:$C$4995,$D4423)&gt;0,"Có","Không"))</f>
        <v/>
      </c>
      <c r="W4423" s="22">
        <f>IF(OR($D4423="",$R4423="Trùng"),"",COUNTIFS(ORDERS!$C$2:$C$4995,$D4423,ORDERS!$L$2:$L$4995,"Đã chuyển khoản"))</f>
        <v/>
      </c>
      <c r="X4423" s="23">
        <f>IF(OR($D4423="",$R4423="Trùng"),"",SUMIFS(ORDERS!$J$2:$J$4995,ORDERS!$C$2:$C$4995,$D4423,ORDERS!$L$2:$L$4995,"Đã chuyển khoản"))</f>
        <v/>
      </c>
      <c r="Y4423" s="24" t="n"/>
    </row>
    <row r="4424" ht="14.25" customHeight="1" s="40">
      <c r="A4424" s="24" t="n"/>
      <c r="B4424" s="27" t="n"/>
      <c r="C4424" s="24" t="n"/>
      <c r="D4424" s="28" t="n"/>
      <c r="E4424" s="29" t="n"/>
      <c r="F4424" s="24" t="n"/>
      <c r="G4424" s="24" t="n"/>
      <c r="H4424" s="21">
        <f>IF(ISNUMBER($B4424),INT($B4424)-WEEKDAY($B4424,2)+1,"")</f>
        <v/>
      </c>
      <c r="I4424" s="24" t="n"/>
      <c r="J4424" s="22">
        <f t="array" ref="J4424">IF($D4424="","",IF($I4424="","(trống REF)",IFERROR(INDEX(MASTER_SOURCE!$B$2:$B$495,MATCH($I4424,MASTER_SOURCE!$A$2:$A$495,0)),"(REF không có trong MASTER_SOURCE)")))</f>
        <v/>
      </c>
      <c r="K4424" s="22">
        <f t="array" ref="K4424">IF($D4424="","",IFERROR(INDEX(MASTER_SOURCE!$C$2:$C$495,MATCH($I4424,MASTER_SOURCE!$A$2:$A$495,0)),""))</f>
        <v/>
      </c>
      <c r="L4424" s="22">
        <f t="array" ref="L4424">IF($D4424="","",IFERROR(INDEX(MASTER_SOURCE!$D$2:$D$495,MATCH($I4424,MASTER_SOURCE!$A$2:$A$495,0)),""))</f>
        <v/>
      </c>
      <c r="M4424" s="24" t="n"/>
      <c r="N4424" s="24" t="n"/>
      <c r="O4424" s="24" t="n"/>
      <c r="P4424" s="24" t="n"/>
      <c r="Q4424" s="22">
        <f>IF($D4424="","",IF(AND(OR(DANH_MUC!$L$5&lt;&gt;"Có",M4424="Có"),OR(DANH_MUC!$L$6&lt;&gt;"Có",N4424="Có"),OR(DANH_MUC!$L$7&lt;&gt;"Có",O4424="Có"),OR(DANH_MUC!$L$8&lt;&gt;"Có",P4424="Có")),"Có","Không"))</f>
        <v/>
      </c>
      <c r="R4424" s="22">
        <f>IF($D4424="","",IF(COUNTIF($D$2:$D4424,$D4424)&gt;1,"Trùng",""))</f>
        <v/>
      </c>
      <c r="S4424" s="22">
        <f>IF($D4424="","",IF(AND(LEN($D4424)=10,LEFT($D4424,1)="0",ISNUMBER(--$D4424)),"Có","Không"))</f>
        <v/>
      </c>
      <c r="T4424" s="22">
        <f>IF($D4424="","",IF(AND($C4424&lt;&gt;"",$Q4424="Có",$R4424="",$S4424="Có",AND($L4424&lt;&gt;"",OR($L4424&lt;&gt;"Chưa xác định",DANH_MUC!$L$9="Có"))),"Có","Không"))</f>
        <v/>
      </c>
      <c r="U4424" s="22">
        <f>IF(OR($D4424="",$T4424="Có"),"",IF($C4424="","Thiếu họ tên; ","")&amp;IF($S4424&lt;&gt;"Có","SĐT sai định dạng; ","")&amp;IF($R4424="Trùng","Trùng SĐT; ","")&amp;IF($Q4424&lt;&gt;"Có","Thiếu đồng ý bắt buộc; ","")&amp;IF($L4424="","Thiếu/sai Mã REF; ",IF(AND($L4424="Chưa xác định",DANH_MUC!$L$9&lt;&gt;"Có"),"Nguồn chưa xác định; ","")))</f>
        <v/>
      </c>
      <c r="V4424" s="22">
        <f>IF(OR($D4424="",$R4424="Trùng"),"",IF(COUNTIF(ORDERS!$C$2:$C$4995,$D4424)&gt;0,"Có","Không"))</f>
        <v/>
      </c>
      <c r="W4424" s="22">
        <f>IF(OR($D4424="",$R4424="Trùng"),"",COUNTIFS(ORDERS!$C$2:$C$4995,$D4424,ORDERS!$L$2:$L$4995,"Đã chuyển khoản"))</f>
        <v/>
      </c>
      <c r="X4424" s="23">
        <f>IF(OR($D4424="",$R4424="Trùng"),"",SUMIFS(ORDERS!$J$2:$J$4995,ORDERS!$C$2:$C$4995,$D4424,ORDERS!$L$2:$L$4995,"Đã chuyển khoản"))</f>
        <v/>
      </c>
      <c r="Y4424" s="24" t="n"/>
    </row>
    <row r="4425" ht="14.25" customHeight="1" s="40">
      <c r="A4425" s="24" t="n"/>
      <c r="B4425" s="27" t="n"/>
      <c r="C4425" s="24" t="n"/>
      <c r="D4425" s="28" t="n"/>
      <c r="E4425" s="29" t="n"/>
      <c r="F4425" s="24" t="n"/>
      <c r="G4425" s="24" t="n"/>
      <c r="H4425" s="21">
        <f>IF(ISNUMBER($B4425),INT($B4425)-WEEKDAY($B4425,2)+1,"")</f>
        <v/>
      </c>
      <c r="I4425" s="24" t="n"/>
      <c r="J4425" s="22">
        <f t="array" ref="J4425">IF($D4425="","",IF($I4425="","(trống REF)",IFERROR(INDEX(MASTER_SOURCE!$B$2:$B$495,MATCH($I4425,MASTER_SOURCE!$A$2:$A$495,0)),"(REF không có trong MASTER_SOURCE)")))</f>
        <v/>
      </c>
      <c r="K4425" s="22">
        <f t="array" ref="K4425">IF($D4425="","",IFERROR(INDEX(MASTER_SOURCE!$C$2:$C$495,MATCH($I4425,MASTER_SOURCE!$A$2:$A$495,0)),""))</f>
        <v/>
      </c>
      <c r="L4425" s="22">
        <f t="array" ref="L4425">IF($D4425="","",IFERROR(INDEX(MASTER_SOURCE!$D$2:$D$495,MATCH($I4425,MASTER_SOURCE!$A$2:$A$495,0)),""))</f>
        <v/>
      </c>
      <c r="M4425" s="24" t="n"/>
      <c r="N4425" s="24" t="n"/>
      <c r="O4425" s="24" t="n"/>
      <c r="P4425" s="24" t="n"/>
      <c r="Q4425" s="22">
        <f>IF($D4425="","",IF(AND(OR(DANH_MUC!$L$5&lt;&gt;"Có",M4425="Có"),OR(DANH_MUC!$L$6&lt;&gt;"Có",N4425="Có"),OR(DANH_MUC!$L$7&lt;&gt;"Có",O4425="Có"),OR(DANH_MUC!$L$8&lt;&gt;"Có",P4425="Có")),"Có","Không"))</f>
        <v/>
      </c>
      <c r="R4425" s="22">
        <f>IF($D4425="","",IF(COUNTIF($D$2:$D4425,$D4425)&gt;1,"Trùng",""))</f>
        <v/>
      </c>
      <c r="S4425" s="22">
        <f>IF($D4425="","",IF(AND(LEN($D4425)=10,LEFT($D4425,1)="0",ISNUMBER(--$D4425)),"Có","Không"))</f>
        <v/>
      </c>
      <c r="T4425" s="22">
        <f>IF($D4425="","",IF(AND($C4425&lt;&gt;"",$Q4425="Có",$R4425="",$S4425="Có",AND($L4425&lt;&gt;"",OR($L4425&lt;&gt;"Chưa xác định",DANH_MUC!$L$9="Có"))),"Có","Không"))</f>
        <v/>
      </c>
      <c r="U4425" s="22">
        <f>IF(OR($D4425="",$T4425="Có"),"",IF($C4425="","Thiếu họ tên; ","")&amp;IF($S4425&lt;&gt;"Có","SĐT sai định dạng; ","")&amp;IF($R4425="Trùng","Trùng SĐT; ","")&amp;IF($Q4425&lt;&gt;"Có","Thiếu đồng ý bắt buộc; ","")&amp;IF($L4425="","Thiếu/sai Mã REF; ",IF(AND($L4425="Chưa xác định",DANH_MUC!$L$9&lt;&gt;"Có"),"Nguồn chưa xác định; ","")))</f>
        <v/>
      </c>
      <c r="V4425" s="22">
        <f>IF(OR($D4425="",$R4425="Trùng"),"",IF(COUNTIF(ORDERS!$C$2:$C$4995,$D4425)&gt;0,"Có","Không"))</f>
        <v/>
      </c>
      <c r="W4425" s="22">
        <f>IF(OR($D4425="",$R4425="Trùng"),"",COUNTIFS(ORDERS!$C$2:$C$4995,$D4425,ORDERS!$L$2:$L$4995,"Đã chuyển khoản"))</f>
        <v/>
      </c>
      <c r="X4425" s="23">
        <f>IF(OR($D4425="",$R4425="Trùng"),"",SUMIFS(ORDERS!$J$2:$J$4995,ORDERS!$C$2:$C$4995,$D4425,ORDERS!$L$2:$L$4995,"Đã chuyển khoản"))</f>
        <v/>
      </c>
      <c r="Y4425" s="24" t="n"/>
    </row>
    <row r="4426" ht="14.25" customHeight="1" s="40">
      <c r="A4426" s="24" t="n"/>
      <c r="B4426" s="27" t="n"/>
      <c r="C4426" s="24" t="n"/>
      <c r="D4426" s="28" t="n"/>
      <c r="E4426" s="29" t="n"/>
      <c r="F4426" s="24" t="n"/>
      <c r="G4426" s="24" t="n"/>
      <c r="H4426" s="21">
        <f>IF(ISNUMBER($B4426),INT($B4426)-WEEKDAY($B4426,2)+1,"")</f>
        <v/>
      </c>
      <c r="I4426" s="24" t="n"/>
      <c r="J4426" s="22">
        <f t="array" ref="J4426">IF($D4426="","",IF($I4426="","(trống REF)",IFERROR(INDEX(MASTER_SOURCE!$B$2:$B$495,MATCH($I4426,MASTER_SOURCE!$A$2:$A$495,0)),"(REF không có trong MASTER_SOURCE)")))</f>
        <v/>
      </c>
      <c r="K4426" s="22">
        <f t="array" ref="K4426">IF($D4426="","",IFERROR(INDEX(MASTER_SOURCE!$C$2:$C$495,MATCH($I4426,MASTER_SOURCE!$A$2:$A$495,0)),""))</f>
        <v/>
      </c>
      <c r="L4426" s="22">
        <f t="array" ref="L4426">IF($D4426="","",IFERROR(INDEX(MASTER_SOURCE!$D$2:$D$495,MATCH($I4426,MASTER_SOURCE!$A$2:$A$495,0)),""))</f>
        <v/>
      </c>
      <c r="M4426" s="24" t="n"/>
      <c r="N4426" s="24" t="n"/>
      <c r="O4426" s="24" t="n"/>
      <c r="P4426" s="24" t="n"/>
      <c r="Q4426" s="22">
        <f>IF($D4426="","",IF(AND(OR(DANH_MUC!$L$5&lt;&gt;"Có",M4426="Có"),OR(DANH_MUC!$L$6&lt;&gt;"Có",N4426="Có"),OR(DANH_MUC!$L$7&lt;&gt;"Có",O4426="Có"),OR(DANH_MUC!$L$8&lt;&gt;"Có",P4426="Có")),"Có","Không"))</f>
        <v/>
      </c>
      <c r="R4426" s="22">
        <f>IF($D4426="","",IF(COUNTIF($D$2:$D4426,$D4426)&gt;1,"Trùng",""))</f>
        <v/>
      </c>
      <c r="S4426" s="22">
        <f>IF($D4426="","",IF(AND(LEN($D4426)=10,LEFT($D4426,1)="0",ISNUMBER(--$D4426)),"Có","Không"))</f>
        <v/>
      </c>
      <c r="T4426" s="22">
        <f>IF($D4426="","",IF(AND($C4426&lt;&gt;"",$Q4426="Có",$R4426="",$S4426="Có",AND($L4426&lt;&gt;"",OR($L4426&lt;&gt;"Chưa xác định",DANH_MUC!$L$9="Có"))),"Có","Không"))</f>
        <v/>
      </c>
      <c r="U4426" s="22">
        <f>IF(OR($D4426="",$T4426="Có"),"",IF($C4426="","Thiếu họ tên; ","")&amp;IF($S4426&lt;&gt;"Có","SĐT sai định dạng; ","")&amp;IF($R4426="Trùng","Trùng SĐT; ","")&amp;IF($Q4426&lt;&gt;"Có","Thiếu đồng ý bắt buộc; ","")&amp;IF($L4426="","Thiếu/sai Mã REF; ",IF(AND($L4426="Chưa xác định",DANH_MUC!$L$9&lt;&gt;"Có"),"Nguồn chưa xác định; ","")))</f>
        <v/>
      </c>
      <c r="V4426" s="22">
        <f>IF(OR($D4426="",$R4426="Trùng"),"",IF(COUNTIF(ORDERS!$C$2:$C$4995,$D4426)&gt;0,"Có","Không"))</f>
        <v/>
      </c>
      <c r="W4426" s="22">
        <f>IF(OR($D4426="",$R4426="Trùng"),"",COUNTIFS(ORDERS!$C$2:$C$4995,$D4426,ORDERS!$L$2:$L$4995,"Đã chuyển khoản"))</f>
        <v/>
      </c>
      <c r="X4426" s="23">
        <f>IF(OR($D4426="",$R4426="Trùng"),"",SUMIFS(ORDERS!$J$2:$J$4995,ORDERS!$C$2:$C$4995,$D4426,ORDERS!$L$2:$L$4995,"Đã chuyển khoản"))</f>
        <v/>
      </c>
      <c r="Y4426" s="24" t="n"/>
    </row>
    <row r="4427" ht="14.25" customHeight="1" s="40">
      <c r="A4427" s="24" t="n"/>
      <c r="B4427" s="27" t="n"/>
      <c r="C4427" s="24" t="n"/>
      <c r="D4427" s="28" t="n"/>
      <c r="E4427" s="29" t="n"/>
      <c r="F4427" s="24" t="n"/>
      <c r="G4427" s="24" t="n"/>
      <c r="H4427" s="21">
        <f>IF(ISNUMBER($B4427),INT($B4427)-WEEKDAY($B4427,2)+1,"")</f>
        <v/>
      </c>
      <c r="I4427" s="24" t="n"/>
      <c r="J4427" s="22">
        <f t="array" ref="J4427">IF($D4427="","",IF($I4427="","(trống REF)",IFERROR(INDEX(MASTER_SOURCE!$B$2:$B$495,MATCH($I4427,MASTER_SOURCE!$A$2:$A$495,0)),"(REF không có trong MASTER_SOURCE)")))</f>
        <v/>
      </c>
      <c r="K4427" s="22">
        <f t="array" ref="K4427">IF($D4427="","",IFERROR(INDEX(MASTER_SOURCE!$C$2:$C$495,MATCH($I4427,MASTER_SOURCE!$A$2:$A$495,0)),""))</f>
        <v/>
      </c>
      <c r="L4427" s="22">
        <f t="array" ref="L4427">IF($D4427="","",IFERROR(INDEX(MASTER_SOURCE!$D$2:$D$495,MATCH($I4427,MASTER_SOURCE!$A$2:$A$495,0)),""))</f>
        <v/>
      </c>
      <c r="M4427" s="24" t="n"/>
      <c r="N4427" s="24" t="n"/>
      <c r="O4427" s="24" t="n"/>
      <c r="P4427" s="24" t="n"/>
      <c r="Q4427" s="22">
        <f>IF($D4427="","",IF(AND(OR(DANH_MUC!$L$5&lt;&gt;"Có",M4427="Có"),OR(DANH_MUC!$L$6&lt;&gt;"Có",N4427="Có"),OR(DANH_MUC!$L$7&lt;&gt;"Có",O4427="Có"),OR(DANH_MUC!$L$8&lt;&gt;"Có",P4427="Có")),"Có","Không"))</f>
        <v/>
      </c>
      <c r="R4427" s="22">
        <f>IF($D4427="","",IF(COUNTIF($D$2:$D4427,$D4427)&gt;1,"Trùng",""))</f>
        <v/>
      </c>
      <c r="S4427" s="22">
        <f>IF($D4427="","",IF(AND(LEN($D4427)=10,LEFT($D4427,1)="0",ISNUMBER(--$D4427)),"Có","Không"))</f>
        <v/>
      </c>
      <c r="T4427" s="22">
        <f>IF($D4427="","",IF(AND($C4427&lt;&gt;"",$Q4427="Có",$R4427="",$S4427="Có",AND($L4427&lt;&gt;"",OR($L4427&lt;&gt;"Chưa xác định",DANH_MUC!$L$9="Có"))),"Có","Không"))</f>
        <v/>
      </c>
      <c r="U4427" s="22">
        <f>IF(OR($D4427="",$T4427="Có"),"",IF($C4427="","Thiếu họ tên; ","")&amp;IF($S4427&lt;&gt;"Có","SĐT sai định dạng; ","")&amp;IF($R4427="Trùng","Trùng SĐT; ","")&amp;IF($Q4427&lt;&gt;"Có","Thiếu đồng ý bắt buộc; ","")&amp;IF($L4427="","Thiếu/sai Mã REF; ",IF(AND($L4427="Chưa xác định",DANH_MUC!$L$9&lt;&gt;"Có"),"Nguồn chưa xác định; ","")))</f>
        <v/>
      </c>
      <c r="V4427" s="22">
        <f>IF(OR($D4427="",$R4427="Trùng"),"",IF(COUNTIF(ORDERS!$C$2:$C$4995,$D4427)&gt;0,"Có","Không"))</f>
        <v/>
      </c>
      <c r="W4427" s="22">
        <f>IF(OR($D4427="",$R4427="Trùng"),"",COUNTIFS(ORDERS!$C$2:$C$4995,$D4427,ORDERS!$L$2:$L$4995,"Đã chuyển khoản"))</f>
        <v/>
      </c>
      <c r="X4427" s="23">
        <f>IF(OR($D4427="",$R4427="Trùng"),"",SUMIFS(ORDERS!$J$2:$J$4995,ORDERS!$C$2:$C$4995,$D4427,ORDERS!$L$2:$L$4995,"Đã chuyển khoản"))</f>
        <v/>
      </c>
      <c r="Y4427" s="24" t="n"/>
    </row>
    <row r="4428" ht="14.25" customHeight="1" s="40">
      <c r="A4428" s="24" t="n"/>
      <c r="B4428" s="27" t="n"/>
      <c r="C4428" s="24" t="n"/>
      <c r="D4428" s="28" t="n"/>
      <c r="E4428" s="29" t="n"/>
      <c r="F4428" s="24" t="n"/>
      <c r="G4428" s="24" t="n"/>
      <c r="H4428" s="21">
        <f>IF(ISNUMBER($B4428),INT($B4428)-WEEKDAY($B4428,2)+1,"")</f>
        <v/>
      </c>
      <c r="I4428" s="24" t="n"/>
      <c r="J4428" s="22">
        <f t="array" ref="J4428">IF($D4428="","",IF($I4428="","(trống REF)",IFERROR(INDEX(MASTER_SOURCE!$B$2:$B$495,MATCH($I4428,MASTER_SOURCE!$A$2:$A$495,0)),"(REF không có trong MASTER_SOURCE)")))</f>
        <v/>
      </c>
      <c r="K4428" s="22">
        <f t="array" ref="K4428">IF($D4428="","",IFERROR(INDEX(MASTER_SOURCE!$C$2:$C$495,MATCH($I4428,MASTER_SOURCE!$A$2:$A$495,0)),""))</f>
        <v/>
      </c>
      <c r="L4428" s="22">
        <f t="array" ref="L4428">IF($D4428="","",IFERROR(INDEX(MASTER_SOURCE!$D$2:$D$495,MATCH($I4428,MASTER_SOURCE!$A$2:$A$495,0)),""))</f>
        <v/>
      </c>
      <c r="M4428" s="24" t="n"/>
      <c r="N4428" s="24" t="n"/>
      <c r="O4428" s="24" t="n"/>
      <c r="P4428" s="24" t="n"/>
      <c r="Q4428" s="22">
        <f>IF($D4428="","",IF(AND(OR(DANH_MUC!$L$5&lt;&gt;"Có",M4428="Có"),OR(DANH_MUC!$L$6&lt;&gt;"Có",N4428="Có"),OR(DANH_MUC!$L$7&lt;&gt;"Có",O4428="Có"),OR(DANH_MUC!$L$8&lt;&gt;"Có",P4428="Có")),"Có","Không"))</f>
        <v/>
      </c>
      <c r="R4428" s="22">
        <f>IF($D4428="","",IF(COUNTIF($D$2:$D4428,$D4428)&gt;1,"Trùng",""))</f>
        <v/>
      </c>
      <c r="S4428" s="22">
        <f>IF($D4428="","",IF(AND(LEN($D4428)=10,LEFT($D4428,1)="0",ISNUMBER(--$D4428)),"Có","Không"))</f>
        <v/>
      </c>
      <c r="T4428" s="22">
        <f>IF($D4428="","",IF(AND($C4428&lt;&gt;"",$Q4428="Có",$R4428="",$S4428="Có",AND($L4428&lt;&gt;"",OR($L4428&lt;&gt;"Chưa xác định",DANH_MUC!$L$9="Có"))),"Có","Không"))</f>
        <v/>
      </c>
      <c r="U4428" s="22">
        <f>IF(OR($D4428="",$T4428="Có"),"",IF($C4428="","Thiếu họ tên; ","")&amp;IF($S4428&lt;&gt;"Có","SĐT sai định dạng; ","")&amp;IF($R4428="Trùng","Trùng SĐT; ","")&amp;IF($Q4428&lt;&gt;"Có","Thiếu đồng ý bắt buộc; ","")&amp;IF($L4428="","Thiếu/sai Mã REF; ",IF(AND($L4428="Chưa xác định",DANH_MUC!$L$9&lt;&gt;"Có"),"Nguồn chưa xác định; ","")))</f>
        <v/>
      </c>
      <c r="V4428" s="22">
        <f>IF(OR($D4428="",$R4428="Trùng"),"",IF(COUNTIF(ORDERS!$C$2:$C$4995,$D4428)&gt;0,"Có","Không"))</f>
        <v/>
      </c>
      <c r="W4428" s="22">
        <f>IF(OR($D4428="",$R4428="Trùng"),"",COUNTIFS(ORDERS!$C$2:$C$4995,$D4428,ORDERS!$L$2:$L$4995,"Đã chuyển khoản"))</f>
        <v/>
      </c>
      <c r="X4428" s="23">
        <f>IF(OR($D4428="",$R4428="Trùng"),"",SUMIFS(ORDERS!$J$2:$J$4995,ORDERS!$C$2:$C$4995,$D4428,ORDERS!$L$2:$L$4995,"Đã chuyển khoản"))</f>
        <v/>
      </c>
      <c r="Y4428" s="24" t="n"/>
    </row>
    <row r="4429" ht="14.25" customHeight="1" s="40">
      <c r="A4429" s="24" t="n"/>
      <c r="B4429" s="27" t="n"/>
      <c r="C4429" s="24" t="n"/>
      <c r="D4429" s="28" t="n"/>
      <c r="E4429" s="29" t="n"/>
      <c r="F4429" s="24" t="n"/>
      <c r="G4429" s="24" t="n"/>
      <c r="H4429" s="21">
        <f>IF(ISNUMBER($B4429),INT($B4429)-WEEKDAY($B4429,2)+1,"")</f>
        <v/>
      </c>
      <c r="I4429" s="24" t="n"/>
      <c r="J4429" s="22">
        <f t="array" ref="J4429">IF($D4429="","",IF($I4429="","(trống REF)",IFERROR(INDEX(MASTER_SOURCE!$B$2:$B$495,MATCH($I4429,MASTER_SOURCE!$A$2:$A$495,0)),"(REF không có trong MASTER_SOURCE)")))</f>
        <v/>
      </c>
      <c r="K4429" s="22">
        <f t="array" ref="K4429">IF($D4429="","",IFERROR(INDEX(MASTER_SOURCE!$C$2:$C$495,MATCH($I4429,MASTER_SOURCE!$A$2:$A$495,0)),""))</f>
        <v/>
      </c>
      <c r="L4429" s="22">
        <f t="array" ref="L4429">IF($D4429="","",IFERROR(INDEX(MASTER_SOURCE!$D$2:$D$495,MATCH($I4429,MASTER_SOURCE!$A$2:$A$495,0)),""))</f>
        <v/>
      </c>
      <c r="M4429" s="24" t="n"/>
      <c r="N4429" s="24" t="n"/>
      <c r="O4429" s="24" t="n"/>
      <c r="P4429" s="24" t="n"/>
      <c r="Q4429" s="22">
        <f>IF($D4429="","",IF(AND(OR(DANH_MUC!$L$5&lt;&gt;"Có",M4429="Có"),OR(DANH_MUC!$L$6&lt;&gt;"Có",N4429="Có"),OR(DANH_MUC!$L$7&lt;&gt;"Có",O4429="Có"),OR(DANH_MUC!$L$8&lt;&gt;"Có",P4429="Có")),"Có","Không"))</f>
        <v/>
      </c>
      <c r="R4429" s="22">
        <f>IF($D4429="","",IF(COUNTIF($D$2:$D4429,$D4429)&gt;1,"Trùng",""))</f>
        <v/>
      </c>
      <c r="S4429" s="22">
        <f>IF($D4429="","",IF(AND(LEN($D4429)=10,LEFT($D4429,1)="0",ISNUMBER(--$D4429)),"Có","Không"))</f>
        <v/>
      </c>
      <c r="T4429" s="22">
        <f>IF($D4429="","",IF(AND($C4429&lt;&gt;"",$Q4429="Có",$R4429="",$S4429="Có",AND($L4429&lt;&gt;"",OR($L4429&lt;&gt;"Chưa xác định",DANH_MUC!$L$9="Có"))),"Có","Không"))</f>
        <v/>
      </c>
      <c r="U4429" s="22">
        <f>IF(OR($D4429="",$T4429="Có"),"",IF($C4429="","Thiếu họ tên; ","")&amp;IF($S4429&lt;&gt;"Có","SĐT sai định dạng; ","")&amp;IF($R4429="Trùng","Trùng SĐT; ","")&amp;IF($Q4429&lt;&gt;"Có","Thiếu đồng ý bắt buộc; ","")&amp;IF($L4429="","Thiếu/sai Mã REF; ",IF(AND($L4429="Chưa xác định",DANH_MUC!$L$9&lt;&gt;"Có"),"Nguồn chưa xác định; ","")))</f>
        <v/>
      </c>
      <c r="V4429" s="22">
        <f>IF(OR($D4429="",$R4429="Trùng"),"",IF(COUNTIF(ORDERS!$C$2:$C$4995,$D4429)&gt;0,"Có","Không"))</f>
        <v/>
      </c>
      <c r="W4429" s="22">
        <f>IF(OR($D4429="",$R4429="Trùng"),"",COUNTIFS(ORDERS!$C$2:$C$4995,$D4429,ORDERS!$L$2:$L$4995,"Đã chuyển khoản"))</f>
        <v/>
      </c>
      <c r="X4429" s="23">
        <f>IF(OR($D4429="",$R4429="Trùng"),"",SUMIFS(ORDERS!$J$2:$J$4995,ORDERS!$C$2:$C$4995,$D4429,ORDERS!$L$2:$L$4995,"Đã chuyển khoản"))</f>
        <v/>
      </c>
      <c r="Y4429" s="24" t="n"/>
    </row>
    <row r="4430" ht="14.25" customHeight="1" s="40">
      <c r="A4430" s="24" t="n"/>
      <c r="B4430" s="27" t="n"/>
      <c r="C4430" s="24" t="n"/>
      <c r="D4430" s="28" t="n"/>
      <c r="E4430" s="29" t="n"/>
      <c r="F4430" s="24" t="n"/>
      <c r="G4430" s="24" t="n"/>
      <c r="H4430" s="21">
        <f>IF(ISNUMBER($B4430),INT($B4430)-WEEKDAY($B4430,2)+1,"")</f>
        <v/>
      </c>
      <c r="I4430" s="24" t="n"/>
      <c r="J4430" s="22">
        <f t="array" ref="J4430">IF($D4430="","",IF($I4430="","(trống REF)",IFERROR(INDEX(MASTER_SOURCE!$B$2:$B$495,MATCH($I4430,MASTER_SOURCE!$A$2:$A$495,0)),"(REF không có trong MASTER_SOURCE)")))</f>
        <v/>
      </c>
      <c r="K4430" s="22">
        <f t="array" ref="K4430">IF($D4430="","",IFERROR(INDEX(MASTER_SOURCE!$C$2:$C$495,MATCH($I4430,MASTER_SOURCE!$A$2:$A$495,0)),""))</f>
        <v/>
      </c>
      <c r="L4430" s="22">
        <f t="array" ref="L4430">IF($D4430="","",IFERROR(INDEX(MASTER_SOURCE!$D$2:$D$495,MATCH($I4430,MASTER_SOURCE!$A$2:$A$495,0)),""))</f>
        <v/>
      </c>
      <c r="M4430" s="24" t="n"/>
      <c r="N4430" s="24" t="n"/>
      <c r="O4430" s="24" t="n"/>
      <c r="P4430" s="24" t="n"/>
      <c r="Q4430" s="22">
        <f>IF($D4430="","",IF(AND(OR(DANH_MUC!$L$5&lt;&gt;"Có",M4430="Có"),OR(DANH_MUC!$L$6&lt;&gt;"Có",N4430="Có"),OR(DANH_MUC!$L$7&lt;&gt;"Có",O4430="Có"),OR(DANH_MUC!$L$8&lt;&gt;"Có",P4430="Có")),"Có","Không"))</f>
        <v/>
      </c>
      <c r="R4430" s="22">
        <f>IF($D4430="","",IF(COUNTIF($D$2:$D4430,$D4430)&gt;1,"Trùng",""))</f>
        <v/>
      </c>
      <c r="S4430" s="22">
        <f>IF($D4430="","",IF(AND(LEN($D4430)=10,LEFT($D4430,1)="0",ISNUMBER(--$D4430)),"Có","Không"))</f>
        <v/>
      </c>
      <c r="T4430" s="22">
        <f>IF($D4430="","",IF(AND($C4430&lt;&gt;"",$Q4430="Có",$R4430="",$S4430="Có",AND($L4430&lt;&gt;"",OR($L4430&lt;&gt;"Chưa xác định",DANH_MUC!$L$9="Có"))),"Có","Không"))</f>
        <v/>
      </c>
      <c r="U4430" s="22">
        <f>IF(OR($D4430="",$T4430="Có"),"",IF($C4430="","Thiếu họ tên; ","")&amp;IF($S4430&lt;&gt;"Có","SĐT sai định dạng; ","")&amp;IF($R4430="Trùng","Trùng SĐT; ","")&amp;IF($Q4430&lt;&gt;"Có","Thiếu đồng ý bắt buộc; ","")&amp;IF($L4430="","Thiếu/sai Mã REF; ",IF(AND($L4430="Chưa xác định",DANH_MUC!$L$9&lt;&gt;"Có"),"Nguồn chưa xác định; ","")))</f>
        <v/>
      </c>
      <c r="V4430" s="22">
        <f>IF(OR($D4430="",$R4430="Trùng"),"",IF(COUNTIF(ORDERS!$C$2:$C$4995,$D4430)&gt;0,"Có","Không"))</f>
        <v/>
      </c>
      <c r="W4430" s="22">
        <f>IF(OR($D4430="",$R4430="Trùng"),"",COUNTIFS(ORDERS!$C$2:$C$4995,$D4430,ORDERS!$L$2:$L$4995,"Đã chuyển khoản"))</f>
        <v/>
      </c>
      <c r="X4430" s="23">
        <f>IF(OR($D4430="",$R4430="Trùng"),"",SUMIFS(ORDERS!$J$2:$J$4995,ORDERS!$C$2:$C$4995,$D4430,ORDERS!$L$2:$L$4995,"Đã chuyển khoản"))</f>
        <v/>
      </c>
      <c r="Y4430" s="24" t="n"/>
    </row>
    <row r="4431" ht="14.25" customHeight="1" s="40">
      <c r="A4431" s="24" t="n"/>
      <c r="B4431" s="27" t="n"/>
      <c r="C4431" s="24" t="n"/>
      <c r="D4431" s="28" t="n"/>
      <c r="E4431" s="29" t="n"/>
      <c r="F4431" s="24" t="n"/>
      <c r="G4431" s="24" t="n"/>
      <c r="H4431" s="21">
        <f>IF(ISNUMBER($B4431),INT($B4431)-WEEKDAY($B4431,2)+1,"")</f>
        <v/>
      </c>
      <c r="I4431" s="24" t="n"/>
      <c r="J4431" s="22">
        <f t="array" ref="J4431">IF($D4431="","",IF($I4431="","(trống REF)",IFERROR(INDEX(MASTER_SOURCE!$B$2:$B$495,MATCH($I4431,MASTER_SOURCE!$A$2:$A$495,0)),"(REF không có trong MASTER_SOURCE)")))</f>
        <v/>
      </c>
      <c r="K4431" s="22">
        <f t="array" ref="K4431">IF($D4431="","",IFERROR(INDEX(MASTER_SOURCE!$C$2:$C$495,MATCH($I4431,MASTER_SOURCE!$A$2:$A$495,0)),""))</f>
        <v/>
      </c>
      <c r="L4431" s="22">
        <f t="array" ref="L4431">IF($D4431="","",IFERROR(INDEX(MASTER_SOURCE!$D$2:$D$495,MATCH($I4431,MASTER_SOURCE!$A$2:$A$495,0)),""))</f>
        <v/>
      </c>
      <c r="M4431" s="24" t="n"/>
      <c r="N4431" s="24" t="n"/>
      <c r="O4431" s="24" t="n"/>
      <c r="P4431" s="24" t="n"/>
      <c r="Q4431" s="22">
        <f>IF($D4431="","",IF(AND(OR(DANH_MUC!$L$5&lt;&gt;"Có",M4431="Có"),OR(DANH_MUC!$L$6&lt;&gt;"Có",N4431="Có"),OR(DANH_MUC!$L$7&lt;&gt;"Có",O4431="Có"),OR(DANH_MUC!$L$8&lt;&gt;"Có",P4431="Có")),"Có","Không"))</f>
        <v/>
      </c>
      <c r="R4431" s="22">
        <f>IF($D4431="","",IF(COUNTIF($D$2:$D4431,$D4431)&gt;1,"Trùng",""))</f>
        <v/>
      </c>
      <c r="S4431" s="22">
        <f>IF($D4431="","",IF(AND(LEN($D4431)=10,LEFT($D4431,1)="0",ISNUMBER(--$D4431)),"Có","Không"))</f>
        <v/>
      </c>
      <c r="T4431" s="22">
        <f>IF($D4431="","",IF(AND($C4431&lt;&gt;"",$Q4431="Có",$R4431="",$S4431="Có",AND($L4431&lt;&gt;"",OR($L4431&lt;&gt;"Chưa xác định",DANH_MUC!$L$9="Có"))),"Có","Không"))</f>
        <v/>
      </c>
      <c r="U4431" s="22">
        <f>IF(OR($D4431="",$T4431="Có"),"",IF($C4431="","Thiếu họ tên; ","")&amp;IF($S4431&lt;&gt;"Có","SĐT sai định dạng; ","")&amp;IF($R4431="Trùng","Trùng SĐT; ","")&amp;IF($Q4431&lt;&gt;"Có","Thiếu đồng ý bắt buộc; ","")&amp;IF($L4431="","Thiếu/sai Mã REF; ",IF(AND($L4431="Chưa xác định",DANH_MUC!$L$9&lt;&gt;"Có"),"Nguồn chưa xác định; ","")))</f>
        <v/>
      </c>
      <c r="V4431" s="22">
        <f>IF(OR($D4431="",$R4431="Trùng"),"",IF(COUNTIF(ORDERS!$C$2:$C$4995,$D4431)&gt;0,"Có","Không"))</f>
        <v/>
      </c>
      <c r="W4431" s="22">
        <f>IF(OR($D4431="",$R4431="Trùng"),"",COUNTIFS(ORDERS!$C$2:$C$4995,$D4431,ORDERS!$L$2:$L$4995,"Đã chuyển khoản"))</f>
        <v/>
      </c>
      <c r="X4431" s="23">
        <f>IF(OR($D4431="",$R4431="Trùng"),"",SUMIFS(ORDERS!$J$2:$J$4995,ORDERS!$C$2:$C$4995,$D4431,ORDERS!$L$2:$L$4995,"Đã chuyển khoản"))</f>
        <v/>
      </c>
      <c r="Y4431" s="24" t="n"/>
    </row>
    <row r="4432" ht="14.25" customHeight="1" s="40">
      <c r="A4432" s="24" t="n"/>
      <c r="B4432" s="27" t="n"/>
      <c r="C4432" s="24" t="n"/>
      <c r="D4432" s="28" t="n"/>
      <c r="E4432" s="29" t="n"/>
      <c r="F4432" s="24" t="n"/>
      <c r="G4432" s="24" t="n"/>
      <c r="H4432" s="21">
        <f>IF(ISNUMBER($B4432),INT($B4432)-WEEKDAY($B4432,2)+1,"")</f>
        <v/>
      </c>
      <c r="I4432" s="24" t="n"/>
      <c r="J4432" s="22">
        <f t="array" ref="J4432">IF($D4432="","",IF($I4432="","(trống REF)",IFERROR(INDEX(MASTER_SOURCE!$B$2:$B$495,MATCH($I4432,MASTER_SOURCE!$A$2:$A$495,0)),"(REF không có trong MASTER_SOURCE)")))</f>
        <v/>
      </c>
      <c r="K4432" s="22">
        <f t="array" ref="K4432">IF($D4432="","",IFERROR(INDEX(MASTER_SOURCE!$C$2:$C$495,MATCH($I4432,MASTER_SOURCE!$A$2:$A$495,0)),""))</f>
        <v/>
      </c>
      <c r="L4432" s="22">
        <f t="array" ref="L4432">IF($D4432="","",IFERROR(INDEX(MASTER_SOURCE!$D$2:$D$495,MATCH($I4432,MASTER_SOURCE!$A$2:$A$495,0)),""))</f>
        <v/>
      </c>
      <c r="M4432" s="24" t="n"/>
      <c r="N4432" s="24" t="n"/>
      <c r="O4432" s="24" t="n"/>
      <c r="P4432" s="24" t="n"/>
      <c r="Q4432" s="22">
        <f>IF($D4432="","",IF(AND(OR(DANH_MUC!$L$5&lt;&gt;"Có",M4432="Có"),OR(DANH_MUC!$L$6&lt;&gt;"Có",N4432="Có"),OR(DANH_MUC!$L$7&lt;&gt;"Có",O4432="Có"),OR(DANH_MUC!$L$8&lt;&gt;"Có",P4432="Có")),"Có","Không"))</f>
        <v/>
      </c>
      <c r="R4432" s="22">
        <f>IF($D4432="","",IF(COUNTIF($D$2:$D4432,$D4432)&gt;1,"Trùng",""))</f>
        <v/>
      </c>
      <c r="S4432" s="22">
        <f>IF($D4432="","",IF(AND(LEN($D4432)=10,LEFT($D4432,1)="0",ISNUMBER(--$D4432)),"Có","Không"))</f>
        <v/>
      </c>
      <c r="T4432" s="22">
        <f>IF($D4432="","",IF(AND($C4432&lt;&gt;"",$Q4432="Có",$R4432="",$S4432="Có",AND($L4432&lt;&gt;"",OR($L4432&lt;&gt;"Chưa xác định",DANH_MUC!$L$9="Có"))),"Có","Không"))</f>
        <v/>
      </c>
      <c r="U4432" s="22">
        <f>IF(OR($D4432="",$T4432="Có"),"",IF($C4432="","Thiếu họ tên; ","")&amp;IF($S4432&lt;&gt;"Có","SĐT sai định dạng; ","")&amp;IF($R4432="Trùng","Trùng SĐT; ","")&amp;IF($Q4432&lt;&gt;"Có","Thiếu đồng ý bắt buộc; ","")&amp;IF($L4432="","Thiếu/sai Mã REF; ",IF(AND($L4432="Chưa xác định",DANH_MUC!$L$9&lt;&gt;"Có"),"Nguồn chưa xác định; ","")))</f>
        <v/>
      </c>
      <c r="V4432" s="22">
        <f>IF(OR($D4432="",$R4432="Trùng"),"",IF(COUNTIF(ORDERS!$C$2:$C$4995,$D4432)&gt;0,"Có","Không"))</f>
        <v/>
      </c>
      <c r="W4432" s="22">
        <f>IF(OR($D4432="",$R4432="Trùng"),"",COUNTIFS(ORDERS!$C$2:$C$4995,$D4432,ORDERS!$L$2:$L$4995,"Đã chuyển khoản"))</f>
        <v/>
      </c>
      <c r="X4432" s="23">
        <f>IF(OR($D4432="",$R4432="Trùng"),"",SUMIFS(ORDERS!$J$2:$J$4995,ORDERS!$C$2:$C$4995,$D4432,ORDERS!$L$2:$L$4995,"Đã chuyển khoản"))</f>
        <v/>
      </c>
      <c r="Y4432" s="24" t="n"/>
    </row>
    <row r="4433" ht="14.25" customHeight="1" s="40">
      <c r="A4433" s="24" t="n"/>
      <c r="B4433" s="27" t="n"/>
      <c r="C4433" s="24" t="n"/>
      <c r="D4433" s="28" t="n"/>
      <c r="E4433" s="29" t="n"/>
      <c r="F4433" s="24" t="n"/>
      <c r="G4433" s="24" t="n"/>
      <c r="H4433" s="21">
        <f>IF(ISNUMBER($B4433),INT($B4433)-WEEKDAY($B4433,2)+1,"")</f>
        <v/>
      </c>
      <c r="I4433" s="24" t="n"/>
      <c r="J4433" s="22">
        <f t="array" ref="J4433">IF($D4433="","",IF($I4433="","(trống REF)",IFERROR(INDEX(MASTER_SOURCE!$B$2:$B$495,MATCH($I4433,MASTER_SOURCE!$A$2:$A$495,0)),"(REF không có trong MASTER_SOURCE)")))</f>
        <v/>
      </c>
      <c r="K4433" s="22">
        <f t="array" ref="K4433">IF($D4433="","",IFERROR(INDEX(MASTER_SOURCE!$C$2:$C$495,MATCH($I4433,MASTER_SOURCE!$A$2:$A$495,0)),""))</f>
        <v/>
      </c>
      <c r="L4433" s="22">
        <f t="array" ref="L4433">IF($D4433="","",IFERROR(INDEX(MASTER_SOURCE!$D$2:$D$495,MATCH($I4433,MASTER_SOURCE!$A$2:$A$495,0)),""))</f>
        <v/>
      </c>
      <c r="M4433" s="24" t="n"/>
      <c r="N4433" s="24" t="n"/>
      <c r="O4433" s="24" t="n"/>
      <c r="P4433" s="24" t="n"/>
      <c r="Q4433" s="22">
        <f>IF($D4433="","",IF(AND(OR(DANH_MUC!$L$5&lt;&gt;"Có",M4433="Có"),OR(DANH_MUC!$L$6&lt;&gt;"Có",N4433="Có"),OR(DANH_MUC!$L$7&lt;&gt;"Có",O4433="Có"),OR(DANH_MUC!$L$8&lt;&gt;"Có",P4433="Có")),"Có","Không"))</f>
        <v/>
      </c>
      <c r="R4433" s="22">
        <f>IF($D4433="","",IF(COUNTIF($D$2:$D4433,$D4433)&gt;1,"Trùng",""))</f>
        <v/>
      </c>
      <c r="S4433" s="22">
        <f>IF($D4433="","",IF(AND(LEN($D4433)=10,LEFT($D4433,1)="0",ISNUMBER(--$D4433)),"Có","Không"))</f>
        <v/>
      </c>
      <c r="T4433" s="22">
        <f>IF($D4433="","",IF(AND($C4433&lt;&gt;"",$Q4433="Có",$R4433="",$S4433="Có",AND($L4433&lt;&gt;"",OR($L4433&lt;&gt;"Chưa xác định",DANH_MUC!$L$9="Có"))),"Có","Không"))</f>
        <v/>
      </c>
      <c r="U4433" s="22">
        <f>IF(OR($D4433="",$T4433="Có"),"",IF($C4433="","Thiếu họ tên; ","")&amp;IF($S4433&lt;&gt;"Có","SĐT sai định dạng; ","")&amp;IF($R4433="Trùng","Trùng SĐT; ","")&amp;IF($Q4433&lt;&gt;"Có","Thiếu đồng ý bắt buộc; ","")&amp;IF($L4433="","Thiếu/sai Mã REF; ",IF(AND($L4433="Chưa xác định",DANH_MUC!$L$9&lt;&gt;"Có"),"Nguồn chưa xác định; ","")))</f>
        <v/>
      </c>
      <c r="V4433" s="22">
        <f>IF(OR($D4433="",$R4433="Trùng"),"",IF(COUNTIF(ORDERS!$C$2:$C$4995,$D4433)&gt;0,"Có","Không"))</f>
        <v/>
      </c>
      <c r="W4433" s="22">
        <f>IF(OR($D4433="",$R4433="Trùng"),"",COUNTIFS(ORDERS!$C$2:$C$4995,$D4433,ORDERS!$L$2:$L$4995,"Đã chuyển khoản"))</f>
        <v/>
      </c>
      <c r="X4433" s="23">
        <f>IF(OR($D4433="",$R4433="Trùng"),"",SUMIFS(ORDERS!$J$2:$J$4995,ORDERS!$C$2:$C$4995,$D4433,ORDERS!$L$2:$L$4995,"Đã chuyển khoản"))</f>
        <v/>
      </c>
      <c r="Y4433" s="24" t="n"/>
    </row>
    <row r="4434" ht="14.25" customHeight="1" s="40">
      <c r="A4434" s="24" t="n"/>
      <c r="B4434" s="27" t="n"/>
      <c r="C4434" s="24" t="n"/>
      <c r="D4434" s="28" t="n"/>
      <c r="E4434" s="29" t="n"/>
      <c r="F4434" s="24" t="n"/>
      <c r="G4434" s="24" t="n"/>
      <c r="H4434" s="21">
        <f>IF(ISNUMBER($B4434),INT($B4434)-WEEKDAY($B4434,2)+1,"")</f>
        <v/>
      </c>
      <c r="I4434" s="24" t="n"/>
      <c r="J4434" s="22">
        <f t="array" ref="J4434">IF($D4434="","",IF($I4434="","(trống REF)",IFERROR(INDEX(MASTER_SOURCE!$B$2:$B$495,MATCH($I4434,MASTER_SOURCE!$A$2:$A$495,0)),"(REF không có trong MASTER_SOURCE)")))</f>
        <v/>
      </c>
      <c r="K4434" s="22">
        <f t="array" ref="K4434">IF($D4434="","",IFERROR(INDEX(MASTER_SOURCE!$C$2:$C$495,MATCH($I4434,MASTER_SOURCE!$A$2:$A$495,0)),""))</f>
        <v/>
      </c>
      <c r="L4434" s="22">
        <f t="array" ref="L4434">IF($D4434="","",IFERROR(INDEX(MASTER_SOURCE!$D$2:$D$495,MATCH($I4434,MASTER_SOURCE!$A$2:$A$495,0)),""))</f>
        <v/>
      </c>
      <c r="M4434" s="24" t="n"/>
      <c r="N4434" s="24" t="n"/>
      <c r="O4434" s="24" t="n"/>
      <c r="P4434" s="24" t="n"/>
      <c r="Q4434" s="22">
        <f>IF($D4434="","",IF(AND(OR(DANH_MUC!$L$5&lt;&gt;"Có",M4434="Có"),OR(DANH_MUC!$L$6&lt;&gt;"Có",N4434="Có"),OR(DANH_MUC!$L$7&lt;&gt;"Có",O4434="Có"),OR(DANH_MUC!$L$8&lt;&gt;"Có",P4434="Có")),"Có","Không"))</f>
        <v/>
      </c>
      <c r="R4434" s="22">
        <f>IF($D4434="","",IF(COUNTIF($D$2:$D4434,$D4434)&gt;1,"Trùng",""))</f>
        <v/>
      </c>
      <c r="S4434" s="22">
        <f>IF($D4434="","",IF(AND(LEN($D4434)=10,LEFT($D4434,1)="0",ISNUMBER(--$D4434)),"Có","Không"))</f>
        <v/>
      </c>
      <c r="T4434" s="22">
        <f>IF($D4434="","",IF(AND($C4434&lt;&gt;"",$Q4434="Có",$R4434="",$S4434="Có",AND($L4434&lt;&gt;"",OR($L4434&lt;&gt;"Chưa xác định",DANH_MUC!$L$9="Có"))),"Có","Không"))</f>
        <v/>
      </c>
      <c r="U4434" s="22">
        <f>IF(OR($D4434="",$T4434="Có"),"",IF($C4434="","Thiếu họ tên; ","")&amp;IF($S4434&lt;&gt;"Có","SĐT sai định dạng; ","")&amp;IF($R4434="Trùng","Trùng SĐT; ","")&amp;IF($Q4434&lt;&gt;"Có","Thiếu đồng ý bắt buộc; ","")&amp;IF($L4434="","Thiếu/sai Mã REF; ",IF(AND($L4434="Chưa xác định",DANH_MUC!$L$9&lt;&gt;"Có"),"Nguồn chưa xác định; ","")))</f>
        <v/>
      </c>
      <c r="V4434" s="22">
        <f>IF(OR($D4434="",$R4434="Trùng"),"",IF(COUNTIF(ORDERS!$C$2:$C$4995,$D4434)&gt;0,"Có","Không"))</f>
        <v/>
      </c>
      <c r="W4434" s="22">
        <f>IF(OR($D4434="",$R4434="Trùng"),"",COUNTIFS(ORDERS!$C$2:$C$4995,$D4434,ORDERS!$L$2:$L$4995,"Đã chuyển khoản"))</f>
        <v/>
      </c>
      <c r="X4434" s="23">
        <f>IF(OR($D4434="",$R4434="Trùng"),"",SUMIFS(ORDERS!$J$2:$J$4995,ORDERS!$C$2:$C$4995,$D4434,ORDERS!$L$2:$L$4995,"Đã chuyển khoản"))</f>
        <v/>
      </c>
      <c r="Y4434" s="24" t="n"/>
    </row>
    <row r="4435" ht="14.25" customHeight="1" s="40">
      <c r="A4435" s="24" t="n"/>
      <c r="B4435" s="27" t="n"/>
      <c r="C4435" s="24" t="n"/>
      <c r="D4435" s="28" t="n"/>
      <c r="E4435" s="29" t="n"/>
      <c r="F4435" s="24" t="n"/>
      <c r="G4435" s="24" t="n"/>
      <c r="H4435" s="21">
        <f>IF(ISNUMBER($B4435),INT($B4435)-WEEKDAY($B4435,2)+1,"")</f>
        <v/>
      </c>
      <c r="I4435" s="24" t="n"/>
      <c r="J4435" s="22">
        <f t="array" ref="J4435">IF($D4435="","",IF($I4435="","(trống REF)",IFERROR(INDEX(MASTER_SOURCE!$B$2:$B$495,MATCH($I4435,MASTER_SOURCE!$A$2:$A$495,0)),"(REF không có trong MASTER_SOURCE)")))</f>
        <v/>
      </c>
      <c r="K4435" s="22">
        <f t="array" ref="K4435">IF($D4435="","",IFERROR(INDEX(MASTER_SOURCE!$C$2:$C$495,MATCH($I4435,MASTER_SOURCE!$A$2:$A$495,0)),""))</f>
        <v/>
      </c>
      <c r="L4435" s="22">
        <f t="array" ref="L4435">IF($D4435="","",IFERROR(INDEX(MASTER_SOURCE!$D$2:$D$495,MATCH($I4435,MASTER_SOURCE!$A$2:$A$495,0)),""))</f>
        <v/>
      </c>
      <c r="M4435" s="24" t="n"/>
      <c r="N4435" s="24" t="n"/>
      <c r="O4435" s="24" t="n"/>
      <c r="P4435" s="24" t="n"/>
      <c r="Q4435" s="22">
        <f>IF($D4435="","",IF(AND(OR(DANH_MUC!$L$5&lt;&gt;"Có",M4435="Có"),OR(DANH_MUC!$L$6&lt;&gt;"Có",N4435="Có"),OR(DANH_MUC!$L$7&lt;&gt;"Có",O4435="Có"),OR(DANH_MUC!$L$8&lt;&gt;"Có",P4435="Có")),"Có","Không"))</f>
        <v/>
      </c>
      <c r="R4435" s="22">
        <f>IF($D4435="","",IF(COUNTIF($D$2:$D4435,$D4435)&gt;1,"Trùng",""))</f>
        <v/>
      </c>
      <c r="S4435" s="22">
        <f>IF($D4435="","",IF(AND(LEN($D4435)=10,LEFT($D4435,1)="0",ISNUMBER(--$D4435)),"Có","Không"))</f>
        <v/>
      </c>
      <c r="T4435" s="22">
        <f>IF($D4435="","",IF(AND($C4435&lt;&gt;"",$Q4435="Có",$R4435="",$S4435="Có",AND($L4435&lt;&gt;"",OR($L4435&lt;&gt;"Chưa xác định",DANH_MUC!$L$9="Có"))),"Có","Không"))</f>
        <v/>
      </c>
      <c r="U4435" s="22">
        <f>IF(OR($D4435="",$T4435="Có"),"",IF($C4435="","Thiếu họ tên; ","")&amp;IF($S4435&lt;&gt;"Có","SĐT sai định dạng; ","")&amp;IF($R4435="Trùng","Trùng SĐT; ","")&amp;IF($Q4435&lt;&gt;"Có","Thiếu đồng ý bắt buộc; ","")&amp;IF($L4435="","Thiếu/sai Mã REF; ",IF(AND($L4435="Chưa xác định",DANH_MUC!$L$9&lt;&gt;"Có"),"Nguồn chưa xác định; ","")))</f>
        <v/>
      </c>
      <c r="V4435" s="22">
        <f>IF(OR($D4435="",$R4435="Trùng"),"",IF(COUNTIF(ORDERS!$C$2:$C$4995,$D4435)&gt;0,"Có","Không"))</f>
        <v/>
      </c>
      <c r="W4435" s="22">
        <f>IF(OR($D4435="",$R4435="Trùng"),"",COUNTIFS(ORDERS!$C$2:$C$4995,$D4435,ORDERS!$L$2:$L$4995,"Đã chuyển khoản"))</f>
        <v/>
      </c>
      <c r="X4435" s="23">
        <f>IF(OR($D4435="",$R4435="Trùng"),"",SUMIFS(ORDERS!$J$2:$J$4995,ORDERS!$C$2:$C$4995,$D4435,ORDERS!$L$2:$L$4995,"Đã chuyển khoản"))</f>
        <v/>
      </c>
      <c r="Y4435" s="24" t="n"/>
    </row>
    <row r="4436" ht="14.25" customHeight="1" s="40">
      <c r="A4436" s="24" t="n"/>
      <c r="B4436" s="27" t="n"/>
      <c r="C4436" s="24" t="n"/>
      <c r="D4436" s="28" t="n"/>
      <c r="E4436" s="29" t="n"/>
      <c r="F4436" s="24" t="n"/>
      <c r="G4436" s="24" t="n"/>
      <c r="H4436" s="21">
        <f>IF(ISNUMBER($B4436),INT($B4436)-WEEKDAY($B4436,2)+1,"")</f>
        <v/>
      </c>
      <c r="I4436" s="24" t="n"/>
      <c r="J4436" s="22">
        <f t="array" ref="J4436">IF($D4436="","",IF($I4436="","(trống REF)",IFERROR(INDEX(MASTER_SOURCE!$B$2:$B$495,MATCH($I4436,MASTER_SOURCE!$A$2:$A$495,0)),"(REF không có trong MASTER_SOURCE)")))</f>
        <v/>
      </c>
      <c r="K4436" s="22">
        <f t="array" ref="K4436">IF($D4436="","",IFERROR(INDEX(MASTER_SOURCE!$C$2:$C$495,MATCH($I4436,MASTER_SOURCE!$A$2:$A$495,0)),""))</f>
        <v/>
      </c>
      <c r="L4436" s="22">
        <f t="array" ref="L4436">IF($D4436="","",IFERROR(INDEX(MASTER_SOURCE!$D$2:$D$495,MATCH($I4436,MASTER_SOURCE!$A$2:$A$495,0)),""))</f>
        <v/>
      </c>
      <c r="M4436" s="24" t="n"/>
      <c r="N4436" s="24" t="n"/>
      <c r="O4436" s="24" t="n"/>
      <c r="P4436" s="24" t="n"/>
      <c r="Q4436" s="22">
        <f>IF($D4436="","",IF(AND(OR(DANH_MUC!$L$5&lt;&gt;"Có",M4436="Có"),OR(DANH_MUC!$L$6&lt;&gt;"Có",N4436="Có"),OR(DANH_MUC!$L$7&lt;&gt;"Có",O4436="Có"),OR(DANH_MUC!$L$8&lt;&gt;"Có",P4436="Có")),"Có","Không"))</f>
        <v/>
      </c>
      <c r="R4436" s="22">
        <f>IF($D4436="","",IF(COUNTIF($D$2:$D4436,$D4436)&gt;1,"Trùng",""))</f>
        <v/>
      </c>
      <c r="S4436" s="22">
        <f>IF($D4436="","",IF(AND(LEN($D4436)=10,LEFT($D4436,1)="0",ISNUMBER(--$D4436)),"Có","Không"))</f>
        <v/>
      </c>
      <c r="T4436" s="22">
        <f>IF($D4436="","",IF(AND($C4436&lt;&gt;"",$Q4436="Có",$R4436="",$S4436="Có",AND($L4436&lt;&gt;"",OR($L4436&lt;&gt;"Chưa xác định",DANH_MUC!$L$9="Có"))),"Có","Không"))</f>
        <v/>
      </c>
      <c r="U4436" s="22">
        <f>IF(OR($D4436="",$T4436="Có"),"",IF($C4436="","Thiếu họ tên; ","")&amp;IF($S4436&lt;&gt;"Có","SĐT sai định dạng; ","")&amp;IF($R4436="Trùng","Trùng SĐT; ","")&amp;IF($Q4436&lt;&gt;"Có","Thiếu đồng ý bắt buộc; ","")&amp;IF($L4436="","Thiếu/sai Mã REF; ",IF(AND($L4436="Chưa xác định",DANH_MUC!$L$9&lt;&gt;"Có"),"Nguồn chưa xác định; ","")))</f>
        <v/>
      </c>
      <c r="V4436" s="22">
        <f>IF(OR($D4436="",$R4436="Trùng"),"",IF(COUNTIF(ORDERS!$C$2:$C$4995,$D4436)&gt;0,"Có","Không"))</f>
        <v/>
      </c>
      <c r="W4436" s="22">
        <f>IF(OR($D4436="",$R4436="Trùng"),"",COUNTIFS(ORDERS!$C$2:$C$4995,$D4436,ORDERS!$L$2:$L$4995,"Đã chuyển khoản"))</f>
        <v/>
      </c>
      <c r="X4436" s="23">
        <f>IF(OR($D4436="",$R4436="Trùng"),"",SUMIFS(ORDERS!$J$2:$J$4995,ORDERS!$C$2:$C$4995,$D4436,ORDERS!$L$2:$L$4995,"Đã chuyển khoản"))</f>
        <v/>
      </c>
      <c r="Y4436" s="24" t="n"/>
    </row>
    <row r="4437" ht="14.25" customHeight="1" s="40">
      <c r="A4437" s="24" t="n"/>
      <c r="B4437" s="27" t="n"/>
      <c r="C4437" s="24" t="n"/>
      <c r="D4437" s="28" t="n"/>
      <c r="E4437" s="29" t="n"/>
      <c r="F4437" s="24" t="n"/>
      <c r="G4437" s="24" t="n"/>
      <c r="H4437" s="21">
        <f>IF(ISNUMBER($B4437),INT($B4437)-WEEKDAY($B4437,2)+1,"")</f>
        <v/>
      </c>
      <c r="I4437" s="24" t="n"/>
      <c r="J4437" s="22">
        <f t="array" ref="J4437">IF($D4437="","",IF($I4437="","(trống REF)",IFERROR(INDEX(MASTER_SOURCE!$B$2:$B$495,MATCH($I4437,MASTER_SOURCE!$A$2:$A$495,0)),"(REF không có trong MASTER_SOURCE)")))</f>
        <v/>
      </c>
      <c r="K4437" s="22">
        <f t="array" ref="K4437">IF($D4437="","",IFERROR(INDEX(MASTER_SOURCE!$C$2:$C$495,MATCH($I4437,MASTER_SOURCE!$A$2:$A$495,0)),""))</f>
        <v/>
      </c>
      <c r="L4437" s="22">
        <f t="array" ref="L4437">IF($D4437="","",IFERROR(INDEX(MASTER_SOURCE!$D$2:$D$495,MATCH($I4437,MASTER_SOURCE!$A$2:$A$495,0)),""))</f>
        <v/>
      </c>
      <c r="M4437" s="24" t="n"/>
      <c r="N4437" s="24" t="n"/>
      <c r="O4437" s="24" t="n"/>
      <c r="P4437" s="24" t="n"/>
      <c r="Q4437" s="22">
        <f>IF($D4437="","",IF(AND(OR(DANH_MUC!$L$5&lt;&gt;"Có",M4437="Có"),OR(DANH_MUC!$L$6&lt;&gt;"Có",N4437="Có"),OR(DANH_MUC!$L$7&lt;&gt;"Có",O4437="Có"),OR(DANH_MUC!$L$8&lt;&gt;"Có",P4437="Có")),"Có","Không"))</f>
        <v/>
      </c>
      <c r="R4437" s="22">
        <f>IF($D4437="","",IF(COUNTIF($D$2:$D4437,$D4437)&gt;1,"Trùng",""))</f>
        <v/>
      </c>
      <c r="S4437" s="22">
        <f>IF($D4437="","",IF(AND(LEN($D4437)=10,LEFT($D4437,1)="0",ISNUMBER(--$D4437)),"Có","Không"))</f>
        <v/>
      </c>
      <c r="T4437" s="22">
        <f>IF($D4437="","",IF(AND($C4437&lt;&gt;"",$Q4437="Có",$R4437="",$S4437="Có",AND($L4437&lt;&gt;"",OR($L4437&lt;&gt;"Chưa xác định",DANH_MUC!$L$9="Có"))),"Có","Không"))</f>
        <v/>
      </c>
      <c r="U4437" s="22">
        <f>IF(OR($D4437="",$T4437="Có"),"",IF($C4437="","Thiếu họ tên; ","")&amp;IF($S4437&lt;&gt;"Có","SĐT sai định dạng; ","")&amp;IF($R4437="Trùng","Trùng SĐT; ","")&amp;IF($Q4437&lt;&gt;"Có","Thiếu đồng ý bắt buộc; ","")&amp;IF($L4437="","Thiếu/sai Mã REF; ",IF(AND($L4437="Chưa xác định",DANH_MUC!$L$9&lt;&gt;"Có"),"Nguồn chưa xác định; ","")))</f>
        <v/>
      </c>
      <c r="V4437" s="22">
        <f>IF(OR($D4437="",$R4437="Trùng"),"",IF(COUNTIF(ORDERS!$C$2:$C$4995,$D4437)&gt;0,"Có","Không"))</f>
        <v/>
      </c>
      <c r="W4437" s="22">
        <f>IF(OR($D4437="",$R4437="Trùng"),"",COUNTIFS(ORDERS!$C$2:$C$4995,$D4437,ORDERS!$L$2:$L$4995,"Đã chuyển khoản"))</f>
        <v/>
      </c>
      <c r="X4437" s="23">
        <f>IF(OR($D4437="",$R4437="Trùng"),"",SUMIFS(ORDERS!$J$2:$J$4995,ORDERS!$C$2:$C$4995,$D4437,ORDERS!$L$2:$L$4995,"Đã chuyển khoản"))</f>
        <v/>
      </c>
      <c r="Y4437" s="24" t="n"/>
    </row>
    <row r="4438" ht="14.25" customHeight="1" s="40">
      <c r="A4438" s="24" t="n"/>
      <c r="B4438" s="27" t="n"/>
      <c r="C4438" s="24" t="n"/>
      <c r="D4438" s="28" t="n"/>
      <c r="E4438" s="29" t="n"/>
      <c r="F4438" s="24" t="n"/>
      <c r="G4438" s="24" t="n"/>
      <c r="H4438" s="21">
        <f>IF(ISNUMBER($B4438),INT($B4438)-WEEKDAY($B4438,2)+1,"")</f>
        <v/>
      </c>
      <c r="I4438" s="24" t="n"/>
      <c r="J4438" s="22">
        <f t="array" ref="J4438">IF($D4438="","",IF($I4438="","(trống REF)",IFERROR(INDEX(MASTER_SOURCE!$B$2:$B$495,MATCH($I4438,MASTER_SOURCE!$A$2:$A$495,0)),"(REF không có trong MASTER_SOURCE)")))</f>
        <v/>
      </c>
      <c r="K4438" s="22">
        <f t="array" ref="K4438">IF($D4438="","",IFERROR(INDEX(MASTER_SOURCE!$C$2:$C$495,MATCH($I4438,MASTER_SOURCE!$A$2:$A$495,0)),""))</f>
        <v/>
      </c>
      <c r="L4438" s="22">
        <f t="array" ref="L4438">IF($D4438="","",IFERROR(INDEX(MASTER_SOURCE!$D$2:$D$495,MATCH($I4438,MASTER_SOURCE!$A$2:$A$495,0)),""))</f>
        <v/>
      </c>
      <c r="M4438" s="24" t="n"/>
      <c r="N4438" s="24" t="n"/>
      <c r="O4438" s="24" t="n"/>
      <c r="P4438" s="24" t="n"/>
      <c r="Q4438" s="22">
        <f>IF($D4438="","",IF(AND(OR(DANH_MUC!$L$5&lt;&gt;"Có",M4438="Có"),OR(DANH_MUC!$L$6&lt;&gt;"Có",N4438="Có"),OR(DANH_MUC!$L$7&lt;&gt;"Có",O4438="Có"),OR(DANH_MUC!$L$8&lt;&gt;"Có",P4438="Có")),"Có","Không"))</f>
        <v/>
      </c>
      <c r="R4438" s="22">
        <f>IF($D4438="","",IF(COUNTIF($D$2:$D4438,$D4438)&gt;1,"Trùng",""))</f>
        <v/>
      </c>
      <c r="S4438" s="22">
        <f>IF($D4438="","",IF(AND(LEN($D4438)=10,LEFT($D4438,1)="0",ISNUMBER(--$D4438)),"Có","Không"))</f>
        <v/>
      </c>
      <c r="T4438" s="22">
        <f>IF($D4438="","",IF(AND($C4438&lt;&gt;"",$Q4438="Có",$R4438="",$S4438="Có",AND($L4438&lt;&gt;"",OR($L4438&lt;&gt;"Chưa xác định",DANH_MUC!$L$9="Có"))),"Có","Không"))</f>
        <v/>
      </c>
      <c r="U4438" s="22">
        <f>IF(OR($D4438="",$T4438="Có"),"",IF($C4438="","Thiếu họ tên; ","")&amp;IF($S4438&lt;&gt;"Có","SĐT sai định dạng; ","")&amp;IF($R4438="Trùng","Trùng SĐT; ","")&amp;IF($Q4438&lt;&gt;"Có","Thiếu đồng ý bắt buộc; ","")&amp;IF($L4438="","Thiếu/sai Mã REF; ",IF(AND($L4438="Chưa xác định",DANH_MUC!$L$9&lt;&gt;"Có"),"Nguồn chưa xác định; ","")))</f>
        <v/>
      </c>
      <c r="V4438" s="22">
        <f>IF(OR($D4438="",$R4438="Trùng"),"",IF(COUNTIF(ORDERS!$C$2:$C$4995,$D4438)&gt;0,"Có","Không"))</f>
        <v/>
      </c>
      <c r="W4438" s="22">
        <f>IF(OR($D4438="",$R4438="Trùng"),"",COUNTIFS(ORDERS!$C$2:$C$4995,$D4438,ORDERS!$L$2:$L$4995,"Đã chuyển khoản"))</f>
        <v/>
      </c>
      <c r="X4438" s="23">
        <f>IF(OR($D4438="",$R4438="Trùng"),"",SUMIFS(ORDERS!$J$2:$J$4995,ORDERS!$C$2:$C$4995,$D4438,ORDERS!$L$2:$L$4995,"Đã chuyển khoản"))</f>
        <v/>
      </c>
      <c r="Y4438" s="24" t="n"/>
    </row>
    <row r="4439" ht="14.25" customHeight="1" s="40">
      <c r="A4439" s="24" t="n"/>
      <c r="B4439" s="27" t="n"/>
      <c r="C4439" s="24" t="n"/>
      <c r="D4439" s="28" t="n"/>
      <c r="E4439" s="29" t="n"/>
      <c r="F4439" s="24" t="n"/>
      <c r="G4439" s="24" t="n"/>
      <c r="H4439" s="21">
        <f>IF(ISNUMBER($B4439),INT($B4439)-WEEKDAY($B4439,2)+1,"")</f>
        <v/>
      </c>
      <c r="I4439" s="24" t="n"/>
      <c r="J4439" s="22">
        <f t="array" ref="J4439">IF($D4439="","",IF($I4439="","(trống REF)",IFERROR(INDEX(MASTER_SOURCE!$B$2:$B$495,MATCH($I4439,MASTER_SOURCE!$A$2:$A$495,0)),"(REF không có trong MASTER_SOURCE)")))</f>
        <v/>
      </c>
      <c r="K4439" s="22">
        <f t="array" ref="K4439">IF($D4439="","",IFERROR(INDEX(MASTER_SOURCE!$C$2:$C$495,MATCH($I4439,MASTER_SOURCE!$A$2:$A$495,0)),""))</f>
        <v/>
      </c>
      <c r="L4439" s="22">
        <f t="array" ref="L4439">IF($D4439="","",IFERROR(INDEX(MASTER_SOURCE!$D$2:$D$495,MATCH($I4439,MASTER_SOURCE!$A$2:$A$495,0)),""))</f>
        <v/>
      </c>
      <c r="M4439" s="24" t="n"/>
      <c r="N4439" s="24" t="n"/>
      <c r="O4439" s="24" t="n"/>
      <c r="P4439" s="24" t="n"/>
      <c r="Q4439" s="22">
        <f>IF($D4439="","",IF(AND(OR(DANH_MUC!$L$5&lt;&gt;"Có",M4439="Có"),OR(DANH_MUC!$L$6&lt;&gt;"Có",N4439="Có"),OR(DANH_MUC!$L$7&lt;&gt;"Có",O4439="Có"),OR(DANH_MUC!$L$8&lt;&gt;"Có",P4439="Có")),"Có","Không"))</f>
        <v/>
      </c>
      <c r="R4439" s="22">
        <f>IF($D4439="","",IF(COUNTIF($D$2:$D4439,$D4439)&gt;1,"Trùng",""))</f>
        <v/>
      </c>
      <c r="S4439" s="22">
        <f>IF($D4439="","",IF(AND(LEN($D4439)=10,LEFT($D4439,1)="0",ISNUMBER(--$D4439)),"Có","Không"))</f>
        <v/>
      </c>
      <c r="T4439" s="22">
        <f>IF($D4439="","",IF(AND($C4439&lt;&gt;"",$Q4439="Có",$R4439="",$S4439="Có",AND($L4439&lt;&gt;"",OR($L4439&lt;&gt;"Chưa xác định",DANH_MUC!$L$9="Có"))),"Có","Không"))</f>
        <v/>
      </c>
      <c r="U4439" s="22">
        <f>IF(OR($D4439="",$T4439="Có"),"",IF($C4439="","Thiếu họ tên; ","")&amp;IF($S4439&lt;&gt;"Có","SĐT sai định dạng; ","")&amp;IF($R4439="Trùng","Trùng SĐT; ","")&amp;IF($Q4439&lt;&gt;"Có","Thiếu đồng ý bắt buộc; ","")&amp;IF($L4439="","Thiếu/sai Mã REF; ",IF(AND($L4439="Chưa xác định",DANH_MUC!$L$9&lt;&gt;"Có"),"Nguồn chưa xác định; ","")))</f>
        <v/>
      </c>
      <c r="V4439" s="22">
        <f>IF(OR($D4439="",$R4439="Trùng"),"",IF(COUNTIF(ORDERS!$C$2:$C$4995,$D4439)&gt;0,"Có","Không"))</f>
        <v/>
      </c>
      <c r="W4439" s="22">
        <f>IF(OR($D4439="",$R4439="Trùng"),"",COUNTIFS(ORDERS!$C$2:$C$4995,$D4439,ORDERS!$L$2:$L$4995,"Đã chuyển khoản"))</f>
        <v/>
      </c>
      <c r="X4439" s="23">
        <f>IF(OR($D4439="",$R4439="Trùng"),"",SUMIFS(ORDERS!$J$2:$J$4995,ORDERS!$C$2:$C$4995,$D4439,ORDERS!$L$2:$L$4995,"Đã chuyển khoản"))</f>
        <v/>
      </c>
      <c r="Y4439" s="24" t="n"/>
    </row>
    <row r="4440" ht="14.25" customHeight="1" s="40">
      <c r="A4440" s="24" t="n"/>
      <c r="B4440" s="27" t="n"/>
      <c r="C4440" s="24" t="n"/>
      <c r="D4440" s="28" t="n"/>
      <c r="E4440" s="29" t="n"/>
      <c r="F4440" s="24" t="n"/>
      <c r="G4440" s="24" t="n"/>
      <c r="H4440" s="21">
        <f>IF(ISNUMBER($B4440),INT($B4440)-WEEKDAY($B4440,2)+1,"")</f>
        <v/>
      </c>
      <c r="I4440" s="24" t="n"/>
      <c r="J4440" s="22">
        <f t="array" ref="J4440">IF($D4440="","",IF($I4440="","(trống REF)",IFERROR(INDEX(MASTER_SOURCE!$B$2:$B$495,MATCH($I4440,MASTER_SOURCE!$A$2:$A$495,0)),"(REF không có trong MASTER_SOURCE)")))</f>
        <v/>
      </c>
      <c r="K4440" s="22">
        <f t="array" ref="K4440">IF($D4440="","",IFERROR(INDEX(MASTER_SOURCE!$C$2:$C$495,MATCH($I4440,MASTER_SOURCE!$A$2:$A$495,0)),""))</f>
        <v/>
      </c>
      <c r="L4440" s="22">
        <f t="array" ref="L4440">IF($D4440="","",IFERROR(INDEX(MASTER_SOURCE!$D$2:$D$495,MATCH($I4440,MASTER_SOURCE!$A$2:$A$495,0)),""))</f>
        <v/>
      </c>
      <c r="M4440" s="24" t="n"/>
      <c r="N4440" s="24" t="n"/>
      <c r="O4440" s="24" t="n"/>
      <c r="P4440" s="24" t="n"/>
      <c r="Q4440" s="22">
        <f>IF($D4440="","",IF(AND(OR(DANH_MUC!$L$5&lt;&gt;"Có",M4440="Có"),OR(DANH_MUC!$L$6&lt;&gt;"Có",N4440="Có"),OR(DANH_MUC!$L$7&lt;&gt;"Có",O4440="Có"),OR(DANH_MUC!$L$8&lt;&gt;"Có",P4440="Có")),"Có","Không"))</f>
        <v/>
      </c>
      <c r="R4440" s="22">
        <f>IF($D4440="","",IF(COUNTIF($D$2:$D4440,$D4440)&gt;1,"Trùng",""))</f>
        <v/>
      </c>
      <c r="S4440" s="22">
        <f>IF($D4440="","",IF(AND(LEN($D4440)=10,LEFT($D4440,1)="0",ISNUMBER(--$D4440)),"Có","Không"))</f>
        <v/>
      </c>
      <c r="T4440" s="22">
        <f>IF($D4440="","",IF(AND($C4440&lt;&gt;"",$Q4440="Có",$R4440="",$S4440="Có",AND($L4440&lt;&gt;"",OR($L4440&lt;&gt;"Chưa xác định",DANH_MUC!$L$9="Có"))),"Có","Không"))</f>
        <v/>
      </c>
      <c r="U4440" s="22">
        <f>IF(OR($D4440="",$T4440="Có"),"",IF($C4440="","Thiếu họ tên; ","")&amp;IF($S4440&lt;&gt;"Có","SĐT sai định dạng; ","")&amp;IF($R4440="Trùng","Trùng SĐT; ","")&amp;IF($Q4440&lt;&gt;"Có","Thiếu đồng ý bắt buộc; ","")&amp;IF($L4440="","Thiếu/sai Mã REF; ",IF(AND($L4440="Chưa xác định",DANH_MUC!$L$9&lt;&gt;"Có"),"Nguồn chưa xác định; ","")))</f>
        <v/>
      </c>
      <c r="V4440" s="22">
        <f>IF(OR($D4440="",$R4440="Trùng"),"",IF(COUNTIF(ORDERS!$C$2:$C$4995,$D4440)&gt;0,"Có","Không"))</f>
        <v/>
      </c>
      <c r="W4440" s="22">
        <f>IF(OR($D4440="",$R4440="Trùng"),"",COUNTIFS(ORDERS!$C$2:$C$4995,$D4440,ORDERS!$L$2:$L$4995,"Đã chuyển khoản"))</f>
        <v/>
      </c>
      <c r="X4440" s="23">
        <f>IF(OR($D4440="",$R4440="Trùng"),"",SUMIFS(ORDERS!$J$2:$J$4995,ORDERS!$C$2:$C$4995,$D4440,ORDERS!$L$2:$L$4995,"Đã chuyển khoản"))</f>
        <v/>
      </c>
      <c r="Y4440" s="24" t="n"/>
    </row>
    <row r="4441" ht="14.25" customHeight="1" s="40">
      <c r="A4441" s="24" t="n"/>
      <c r="B4441" s="27" t="n"/>
      <c r="C4441" s="24" t="n"/>
      <c r="D4441" s="28" t="n"/>
      <c r="E4441" s="29" t="n"/>
      <c r="F4441" s="24" t="n"/>
      <c r="G4441" s="24" t="n"/>
      <c r="H4441" s="21">
        <f>IF(ISNUMBER($B4441),INT($B4441)-WEEKDAY($B4441,2)+1,"")</f>
        <v/>
      </c>
      <c r="I4441" s="24" t="n"/>
      <c r="J4441" s="22">
        <f t="array" ref="J4441">IF($D4441="","",IF($I4441="","(trống REF)",IFERROR(INDEX(MASTER_SOURCE!$B$2:$B$495,MATCH($I4441,MASTER_SOURCE!$A$2:$A$495,0)),"(REF không có trong MASTER_SOURCE)")))</f>
        <v/>
      </c>
      <c r="K4441" s="22">
        <f t="array" ref="K4441">IF($D4441="","",IFERROR(INDEX(MASTER_SOURCE!$C$2:$C$495,MATCH($I4441,MASTER_SOURCE!$A$2:$A$495,0)),""))</f>
        <v/>
      </c>
      <c r="L4441" s="22">
        <f t="array" ref="L4441">IF($D4441="","",IFERROR(INDEX(MASTER_SOURCE!$D$2:$D$495,MATCH($I4441,MASTER_SOURCE!$A$2:$A$495,0)),""))</f>
        <v/>
      </c>
      <c r="M4441" s="24" t="n"/>
      <c r="N4441" s="24" t="n"/>
      <c r="O4441" s="24" t="n"/>
      <c r="P4441" s="24" t="n"/>
      <c r="Q4441" s="22">
        <f>IF($D4441="","",IF(AND(OR(DANH_MUC!$L$5&lt;&gt;"Có",M4441="Có"),OR(DANH_MUC!$L$6&lt;&gt;"Có",N4441="Có"),OR(DANH_MUC!$L$7&lt;&gt;"Có",O4441="Có"),OR(DANH_MUC!$L$8&lt;&gt;"Có",P4441="Có")),"Có","Không"))</f>
        <v/>
      </c>
      <c r="R4441" s="22">
        <f>IF($D4441="","",IF(COUNTIF($D$2:$D4441,$D4441)&gt;1,"Trùng",""))</f>
        <v/>
      </c>
      <c r="S4441" s="22">
        <f>IF($D4441="","",IF(AND(LEN($D4441)=10,LEFT($D4441,1)="0",ISNUMBER(--$D4441)),"Có","Không"))</f>
        <v/>
      </c>
      <c r="T4441" s="22">
        <f>IF($D4441="","",IF(AND($C4441&lt;&gt;"",$Q4441="Có",$R4441="",$S4441="Có",AND($L4441&lt;&gt;"",OR($L4441&lt;&gt;"Chưa xác định",DANH_MUC!$L$9="Có"))),"Có","Không"))</f>
        <v/>
      </c>
      <c r="U4441" s="22">
        <f>IF(OR($D4441="",$T4441="Có"),"",IF($C4441="","Thiếu họ tên; ","")&amp;IF($S4441&lt;&gt;"Có","SĐT sai định dạng; ","")&amp;IF($R4441="Trùng","Trùng SĐT; ","")&amp;IF($Q4441&lt;&gt;"Có","Thiếu đồng ý bắt buộc; ","")&amp;IF($L4441="","Thiếu/sai Mã REF; ",IF(AND($L4441="Chưa xác định",DANH_MUC!$L$9&lt;&gt;"Có"),"Nguồn chưa xác định; ","")))</f>
        <v/>
      </c>
      <c r="V4441" s="22">
        <f>IF(OR($D4441="",$R4441="Trùng"),"",IF(COUNTIF(ORDERS!$C$2:$C$4995,$D4441)&gt;0,"Có","Không"))</f>
        <v/>
      </c>
      <c r="W4441" s="22">
        <f>IF(OR($D4441="",$R4441="Trùng"),"",COUNTIFS(ORDERS!$C$2:$C$4995,$D4441,ORDERS!$L$2:$L$4995,"Đã chuyển khoản"))</f>
        <v/>
      </c>
      <c r="X4441" s="23">
        <f>IF(OR($D4441="",$R4441="Trùng"),"",SUMIFS(ORDERS!$J$2:$J$4995,ORDERS!$C$2:$C$4995,$D4441,ORDERS!$L$2:$L$4995,"Đã chuyển khoản"))</f>
        <v/>
      </c>
      <c r="Y4441" s="24" t="n"/>
    </row>
    <row r="4442" ht="14.25" customHeight="1" s="40">
      <c r="A4442" s="24" t="n"/>
      <c r="B4442" s="27" t="n"/>
      <c r="C4442" s="24" t="n"/>
      <c r="D4442" s="28" t="n"/>
      <c r="E4442" s="29" t="n"/>
      <c r="F4442" s="24" t="n"/>
      <c r="G4442" s="24" t="n"/>
      <c r="H4442" s="21">
        <f>IF(ISNUMBER($B4442),INT($B4442)-WEEKDAY($B4442,2)+1,"")</f>
        <v/>
      </c>
      <c r="I4442" s="24" t="n"/>
      <c r="J4442" s="22">
        <f t="array" ref="J4442">IF($D4442="","",IF($I4442="","(trống REF)",IFERROR(INDEX(MASTER_SOURCE!$B$2:$B$495,MATCH($I4442,MASTER_SOURCE!$A$2:$A$495,0)),"(REF không có trong MASTER_SOURCE)")))</f>
        <v/>
      </c>
      <c r="K4442" s="22">
        <f t="array" ref="K4442">IF($D4442="","",IFERROR(INDEX(MASTER_SOURCE!$C$2:$C$495,MATCH($I4442,MASTER_SOURCE!$A$2:$A$495,0)),""))</f>
        <v/>
      </c>
      <c r="L4442" s="22">
        <f t="array" ref="L4442">IF($D4442="","",IFERROR(INDEX(MASTER_SOURCE!$D$2:$D$495,MATCH($I4442,MASTER_SOURCE!$A$2:$A$495,0)),""))</f>
        <v/>
      </c>
      <c r="M4442" s="24" t="n"/>
      <c r="N4442" s="24" t="n"/>
      <c r="O4442" s="24" t="n"/>
      <c r="P4442" s="24" t="n"/>
      <c r="Q4442" s="22">
        <f>IF($D4442="","",IF(AND(OR(DANH_MUC!$L$5&lt;&gt;"Có",M4442="Có"),OR(DANH_MUC!$L$6&lt;&gt;"Có",N4442="Có"),OR(DANH_MUC!$L$7&lt;&gt;"Có",O4442="Có"),OR(DANH_MUC!$L$8&lt;&gt;"Có",P4442="Có")),"Có","Không"))</f>
        <v/>
      </c>
      <c r="R4442" s="22">
        <f>IF($D4442="","",IF(COUNTIF($D$2:$D4442,$D4442)&gt;1,"Trùng",""))</f>
        <v/>
      </c>
      <c r="S4442" s="22">
        <f>IF($D4442="","",IF(AND(LEN($D4442)=10,LEFT($D4442,1)="0",ISNUMBER(--$D4442)),"Có","Không"))</f>
        <v/>
      </c>
      <c r="T4442" s="22">
        <f>IF($D4442="","",IF(AND($C4442&lt;&gt;"",$Q4442="Có",$R4442="",$S4442="Có",AND($L4442&lt;&gt;"",OR($L4442&lt;&gt;"Chưa xác định",DANH_MUC!$L$9="Có"))),"Có","Không"))</f>
        <v/>
      </c>
      <c r="U4442" s="22">
        <f>IF(OR($D4442="",$T4442="Có"),"",IF($C4442="","Thiếu họ tên; ","")&amp;IF($S4442&lt;&gt;"Có","SĐT sai định dạng; ","")&amp;IF($R4442="Trùng","Trùng SĐT; ","")&amp;IF($Q4442&lt;&gt;"Có","Thiếu đồng ý bắt buộc; ","")&amp;IF($L4442="","Thiếu/sai Mã REF; ",IF(AND($L4442="Chưa xác định",DANH_MUC!$L$9&lt;&gt;"Có"),"Nguồn chưa xác định; ","")))</f>
        <v/>
      </c>
      <c r="V4442" s="22">
        <f>IF(OR($D4442="",$R4442="Trùng"),"",IF(COUNTIF(ORDERS!$C$2:$C$4995,$D4442)&gt;0,"Có","Không"))</f>
        <v/>
      </c>
      <c r="W4442" s="22">
        <f>IF(OR($D4442="",$R4442="Trùng"),"",COUNTIFS(ORDERS!$C$2:$C$4995,$D4442,ORDERS!$L$2:$L$4995,"Đã chuyển khoản"))</f>
        <v/>
      </c>
      <c r="X4442" s="23">
        <f>IF(OR($D4442="",$R4442="Trùng"),"",SUMIFS(ORDERS!$J$2:$J$4995,ORDERS!$C$2:$C$4995,$D4442,ORDERS!$L$2:$L$4995,"Đã chuyển khoản"))</f>
        <v/>
      </c>
      <c r="Y4442" s="24" t="n"/>
    </row>
    <row r="4443" ht="14.25" customHeight="1" s="40">
      <c r="A4443" s="24" t="n"/>
      <c r="B4443" s="27" t="n"/>
      <c r="C4443" s="24" t="n"/>
      <c r="D4443" s="28" t="n"/>
      <c r="E4443" s="29" t="n"/>
      <c r="F4443" s="24" t="n"/>
      <c r="G4443" s="24" t="n"/>
      <c r="H4443" s="21">
        <f>IF(ISNUMBER($B4443),INT($B4443)-WEEKDAY($B4443,2)+1,"")</f>
        <v/>
      </c>
      <c r="I4443" s="24" t="n"/>
      <c r="J4443" s="22">
        <f t="array" ref="J4443">IF($D4443="","",IF($I4443="","(trống REF)",IFERROR(INDEX(MASTER_SOURCE!$B$2:$B$495,MATCH($I4443,MASTER_SOURCE!$A$2:$A$495,0)),"(REF không có trong MASTER_SOURCE)")))</f>
        <v/>
      </c>
      <c r="K4443" s="22">
        <f t="array" ref="K4443">IF($D4443="","",IFERROR(INDEX(MASTER_SOURCE!$C$2:$C$495,MATCH($I4443,MASTER_SOURCE!$A$2:$A$495,0)),""))</f>
        <v/>
      </c>
      <c r="L4443" s="22">
        <f t="array" ref="L4443">IF($D4443="","",IFERROR(INDEX(MASTER_SOURCE!$D$2:$D$495,MATCH($I4443,MASTER_SOURCE!$A$2:$A$495,0)),""))</f>
        <v/>
      </c>
      <c r="M4443" s="24" t="n"/>
      <c r="N4443" s="24" t="n"/>
      <c r="O4443" s="24" t="n"/>
      <c r="P4443" s="24" t="n"/>
      <c r="Q4443" s="22">
        <f>IF($D4443="","",IF(AND(OR(DANH_MUC!$L$5&lt;&gt;"Có",M4443="Có"),OR(DANH_MUC!$L$6&lt;&gt;"Có",N4443="Có"),OR(DANH_MUC!$L$7&lt;&gt;"Có",O4443="Có"),OR(DANH_MUC!$L$8&lt;&gt;"Có",P4443="Có")),"Có","Không"))</f>
        <v/>
      </c>
      <c r="R4443" s="22">
        <f>IF($D4443="","",IF(COUNTIF($D$2:$D4443,$D4443)&gt;1,"Trùng",""))</f>
        <v/>
      </c>
      <c r="S4443" s="22">
        <f>IF($D4443="","",IF(AND(LEN($D4443)=10,LEFT($D4443,1)="0",ISNUMBER(--$D4443)),"Có","Không"))</f>
        <v/>
      </c>
      <c r="T4443" s="22">
        <f>IF($D4443="","",IF(AND($C4443&lt;&gt;"",$Q4443="Có",$R4443="",$S4443="Có",AND($L4443&lt;&gt;"",OR($L4443&lt;&gt;"Chưa xác định",DANH_MUC!$L$9="Có"))),"Có","Không"))</f>
        <v/>
      </c>
      <c r="U4443" s="22">
        <f>IF(OR($D4443="",$T4443="Có"),"",IF($C4443="","Thiếu họ tên; ","")&amp;IF($S4443&lt;&gt;"Có","SĐT sai định dạng; ","")&amp;IF($R4443="Trùng","Trùng SĐT; ","")&amp;IF($Q4443&lt;&gt;"Có","Thiếu đồng ý bắt buộc; ","")&amp;IF($L4443="","Thiếu/sai Mã REF; ",IF(AND($L4443="Chưa xác định",DANH_MUC!$L$9&lt;&gt;"Có"),"Nguồn chưa xác định; ","")))</f>
        <v/>
      </c>
      <c r="V4443" s="22">
        <f>IF(OR($D4443="",$R4443="Trùng"),"",IF(COUNTIF(ORDERS!$C$2:$C$4995,$D4443)&gt;0,"Có","Không"))</f>
        <v/>
      </c>
      <c r="W4443" s="22">
        <f>IF(OR($D4443="",$R4443="Trùng"),"",COUNTIFS(ORDERS!$C$2:$C$4995,$D4443,ORDERS!$L$2:$L$4995,"Đã chuyển khoản"))</f>
        <v/>
      </c>
      <c r="X4443" s="23">
        <f>IF(OR($D4443="",$R4443="Trùng"),"",SUMIFS(ORDERS!$J$2:$J$4995,ORDERS!$C$2:$C$4995,$D4443,ORDERS!$L$2:$L$4995,"Đã chuyển khoản"))</f>
        <v/>
      </c>
      <c r="Y4443" s="24" t="n"/>
    </row>
    <row r="4444" ht="14.25" customHeight="1" s="40">
      <c r="A4444" s="24" t="n"/>
      <c r="B4444" s="27" t="n"/>
      <c r="C4444" s="24" t="n"/>
      <c r="D4444" s="28" t="n"/>
      <c r="E4444" s="29" t="n"/>
      <c r="F4444" s="24" t="n"/>
      <c r="G4444" s="24" t="n"/>
      <c r="H4444" s="21">
        <f>IF(ISNUMBER($B4444),INT($B4444)-WEEKDAY($B4444,2)+1,"")</f>
        <v/>
      </c>
      <c r="I4444" s="24" t="n"/>
      <c r="J4444" s="22">
        <f t="array" ref="J4444">IF($D4444="","",IF($I4444="","(trống REF)",IFERROR(INDEX(MASTER_SOURCE!$B$2:$B$495,MATCH($I4444,MASTER_SOURCE!$A$2:$A$495,0)),"(REF không có trong MASTER_SOURCE)")))</f>
        <v/>
      </c>
      <c r="K4444" s="22">
        <f t="array" ref="K4444">IF($D4444="","",IFERROR(INDEX(MASTER_SOURCE!$C$2:$C$495,MATCH($I4444,MASTER_SOURCE!$A$2:$A$495,0)),""))</f>
        <v/>
      </c>
      <c r="L4444" s="22">
        <f t="array" ref="L4444">IF($D4444="","",IFERROR(INDEX(MASTER_SOURCE!$D$2:$D$495,MATCH($I4444,MASTER_SOURCE!$A$2:$A$495,0)),""))</f>
        <v/>
      </c>
      <c r="M4444" s="24" t="n"/>
      <c r="N4444" s="24" t="n"/>
      <c r="O4444" s="24" t="n"/>
      <c r="P4444" s="24" t="n"/>
      <c r="Q4444" s="22">
        <f>IF($D4444="","",IF(AND(OR(DANH_MUC!$L$5&lt;&gt;"Có",M4444="Có"),OR(DANH_MUC!$L$6&lt;&gt;"Có",N4444="Có"),OR(DANH_MUC!$L$7&lt;&gt;"Có",O4444="Có"),OR(DANH_MUC!$L$8&lt;&gt;"Có",P4444="Có")),"Có","Không"))</f>
        <v/>
      </c>
      <c r="R4444" s="22">
        <f>IF($D4444="","",IF(COUNTIF($D$2:$D4444,$D4444)&gt;1,"Trùng",""))</f>
        <v/>
      </c>
      <c r="S4444" s="22">
        <f>IF($D4444="","",IF(AND(LEN($D4444)=10,LEFT($D4444,1)="0",ISNUMBER(--$D4444)),"Có","Không"))</f>
        <v/>
      </c>
      <c r="T4444" s="22">
        <f>IF($D4444="","",IF(AND($C4444&lt;&gt;"",$Q4444="Có",$R4444="",$S4444="Có",AND($L4444&lt;&gt;"",OR($L4444&lt;&gt;"Chưa xác định",DANH_MUC!$L$9="Có"))),"Có","Không"))</f>
        <v/>
      </c>
      <c r="U4444" s="22">
        <f>IF(OR($D4444="",$T4444="Có"),"",IF($C4444="","Thiếu họ tên; ","")&amp;IF($S4444&lt;&gt;"Có","SĐT sai định dạng; ","")&amp;IF($R4444="Trùng","Trùng SĐT; ","")&amp;IF($Q4444&lt;&gt;"Có","Thiếu đồng ý bắt buộc; ","")&amp;IF($L4444="","Thiếu/sai Mã REF; ",IF(AND($L4444="Chưa xác định",DANH_MUC!$L$9&lt;&gt;"Có"),"Nguồn chưa xác định; ","")))</f>
        <v/>
      </c>
      <c r="V4444" s="22">
        <f>IF(OR($D4444="",$R4444="Trùng"),"",IF(COUNTIF(ORDERS!$C$2:$C$4995,$D4444)&gt;0,"Có","Không"))</f>
        <v/>
      </c>
      <c r="W4444" s="22">
        <f>IF(OR($D4444="",$R4444="Trùng"),"",COUNTIFS(ORDERS!$C$2:$C$4995,$D4444,ORDERS!$L$2:$L$4995,"Đã chuyển khoản"))</f>
        <v/>
      </c>
      <c r="X4444" s="23">
        <f>IF(OR($D4444="",$R4444="Trùng"),"",SUMIFS(ORDERS!$J$2:$J$4995,ORDERS!$C$2:$C$4995,$D4444,ORDERS!$L$2:$L$4995,"Đã chuyển khoản"))</f>
        <v/>
      </c>
      <c r="Y4444" s="24" t="n"/>
    </row>
    <row r="4445" ht="14.25" customHeight="1" s="40">
      <c r="A4445" s="24" t="n"/>
      <c r="B4445" s="27" t="n"/>
      <c r="C4445" s="24" t="n"/>
      <c r="D4445" s="28" t="n"/>
      <c r="E4445" s="29" t="n"/>
      <c r="F4445" s="24" t="n"/>
      <c r="G4445" s="24" t="n"/>
      <c r="H4445" s="21">
        <f>IF(ISNUMBER($B4445),INT($B4445)-WEEKDAY($B4445,2)+1,"")</f>
        <v/>
      </c>
      <c r="I4445" s="24" t="n"/>
      <c r="J4445" s="22">
        <f t="array" ref="J4445">IF($D4445="","",IF($I4445="","(trống REF)",IFERROR(INDEX(MASTER_SOURCE!$B$2:$B$495,MATCH($I4445,MASTER_SOURCE!$A$2:$A$495,0)),"(REF không có trong MASTER_SOURCE)")))</f>
        <v/>
      </c>
      <c r="K4445" s="22">
        <f t="array" ref="K4445">IF($D4445="","",IFERROR(INDEX(MASTER_SOURCE!$C$2:$C$495,MATCH($I4445,MASTER_SOURCE!$A$2:$A$495,0)),""))</f>
        <v/>
      </c>
      <c r="L4445" s="22">
        <f t="array" ref="L4445">IF($D4445="","",IFERROR(INDEX(MASTER_SOURCE!$D$2:$D$495,MATCH($I4445,MASTER_SOURCE!$A$2:$A$495,0)),""))</f>
        <v/>
      </c>
      <c r="M4445" s="24" t="n"/>
      <c r="N4445" s="24" t="n"/>
      <c r="O4445" s="24" t="n"/>
      <c r="P4445" s="24" t="n"/>
      <c r="Q4445" s="22">
        <f>IF($D4445="","",IF(AND(OR(DANH_MUC!$L$5&lt;&gt;"Có",M4445="Có"),OR(DANH_MUC!$L$6&lt;&gt;"Có",N4445="Có"),OR(DANH_MUC!$L$7&lt;&gt;"Có",O4445="Có"),OR(DANH_MUC!$L$8&lt;&gt;"Có",P4445="Có")),"Có","Không"))</f>
        <v/>
      </c>
      <c r="R4445" s="22">
        <f>IF($D4445="","",IF(COUNTIF($D$2:$D4445,$D4445)&gt;1,"Trùng",""))</f>
        <v/>
      </c>
      <c r="S4445" s="22">
        <f>IF($D4445="","",IF(AND(LEN($D4445)=10,LEFT($D4445,1)="0",ISNUMBER(--$D4445)),"Có","Không"))</f>
        <v/>
      </c>
      <c r="T4445" s="22">
        <f>IF($D4445="","",IF(AND($C4445&lt;&gt;"",$Q4445="Có",$R4445="",$S4445="Có",AND($L4445&lt;&gt;"",OR($L4445&lt;&gt;"Chưa xác định",DANH_MUC!$L$9="Có"))),"Có","Không"))</f>
        <v/>
      </c>
      <c r="U4445" s="22">
        <f>IF(OR($D4445="",$T4445="Có"),"",IF($C4445="","Thiếu họ tên; ","")&amp;IF($S4445&lt;&gt;"Có","SĐT sai định dạng; ","")&amp;IF($R4445="Trùng","Trùng SĐT; ","")&amp;IF($Q4445&lt;&gt;"Có","Thiếu đồng ý bắt buộc; ","")&amp;IF($L4445="","Thiếu/sai Mã REF; ",IF(AND($L4445="Chưa xác định",DANH_MUC!$L$9&lt;&gt;"Có"),"Nguồn chưa xác định; ","")))</f>
        <v/>
      </c>
      <c r="V4445" s="22">
        <f>IF(OR($D4445="",$R4445="Trùng"),"",IF(COUNTIF(ORDERS!$C$2:$C$4995,$D4445)&gt;0,"Có","Không"))</f>
        <v/>
      </c>
      <c r="W4445" s="22">
        <f>IF(OR($D4445="",$R4445="Trùng"),"",COUNTIFS(ORDERS!$C$2:$C$4995,$D4445,ORDERS!$L$2:$L$4995,"Đã chuyển khoản"))</f>
        <v/>
      </c>
      <c r="X4445" s="23">
        <f>IF(OR($D4445="",$R4445="Trùng"),"",SUMIFS(ORDERS!$J$2:$J$4995,ORDERS!$C$2:$C$4995,$D4445,ORDERS!$L$2:$L$4995,"Đã chuyển khoản"))</f>
        <v/>
      </c>
      <c r="Y4445" s="24" t="n"/>
    </row>
    <row r="4446" ht="14.25" customHeight="1" s="40">
      <c r="A4446" s="24" t="n"/>
      <c r="B4446" s="27" t="n"/>
      <c r="C4446" s="24" t="n"/>
      <c r="D4446" s="28" t="n"/>
      <c r="E4446" s="29" t="n"/>
      <c r="F4446" s="24" t="n"/>
      <c r="G4446" s="24" t="n"/>
      <c r="H4446" s="21">
        <f>IF(ISNUMBER($B4446),INT($B4446)-WEEKDAY($B4446,2)+1,"")</f>
        <v/>
      </c>
      <c r="I4446" s="24" t="n"/>
      <c r="J4446" s="22">
        <f t="array" ref="J4446">IF($D4446="","",IF($I4446="","(trống REF)",IFERROR(INDEX(MASTER_SOURCE!$B$2:$B$495,MATCH($I4446,MASTER_SOURCE!$A$2:$A$495,0)),"(REF không có trong MASTER_SOURCE)")))</f>
        <v/>
      </c>
      <c r="K4446" s="22">
        <f t="array" ref="K4446">IF($D4446="","",IFERROR(INDEX(MASTER_SOURCE!$C$2:$C$495,MATCH($I4446,MASTER_SOURCE!$A$2:$A$495,0)),""))</f>
        <v/>
      </c>
      <c r="L4446" s="22">
        <f t="array" ref="L4446">IF($D4446="","",IFERROR(INDEX(MASTER_SOURCE!$D$2:$D$495,MATCH($I4446,MASTER_SOURCE!$A$2:$A$495,0)),""))</f>
        <v/>
      </c>
      <c r="M4446" s="24" t="n"/>
      <c r="N4446" s="24" t="n"/>
      <c r="O4446" s="24" t="n"/>
      <c r="P4446" s="24" t="n"/>
      <c r="Q4446" s="22">
        <f>IF($D4446="","",IF(AND(OR(DANH_MUC!$L$5&lt;&gt;"Có",M4446="Có"),OR(DANH_MUC!$L$6&lt;&gt;"Có",N4446="Có"),OR(DANH_MUC!$L$7&lt;&gt;"Có",O4446="Có"),OR(DANH_MUC!$L$8&lt;&gt;"Có",P4446="Có")),"Có","Không"))</f>
        <v/>
      </c>
      <c r="R4446" s="22">
        <f>IF($D4446="","",IF(COUNTIF($D$2:$D4446,$D4446)&gt;1,"Trùng",""))</f>
        <v/>
      </c>
      <c r="S4446" s="22">
        <f>IF($D4446="","",IF(AND(LEN($D4446)=10,LEFT($D4446,1)="0",ISNUMBER(--$D4446)),"Có","Không"))</f>
        <v/>
      </c>
      <c r="T4446" s="22">
        <f>IF($D4446="","",IF(AND($C4446&lt;&gt;"",$Q4446="Có",$R4446="",$S4446="Có",AND($L4446&lt;&gt;"",OR($L4446&lt;&gt;"Chưa xác định",DANH_MUC!$L$9="Có"))),"Có","Không"))</f>
        <v/>
      </c>
      <c r="U4446" s="22">
        <f>IF(OR($D4446="",$T4446="Có"),"",IF($C4446="","Thiếu họ tên; ","")&amp;IF($S4446&lt;&gt;"Có","SĐT sai định dạng; ","")&amp;IF($R4446="Trùng","Trùng SĐT; ","")&amp;IF($Q4446&lt;&gt;"Có","Thiếu đồng ý bắt buộc; ","")&amp;IF($L4446="","Thiếu/sai Mã REF; ",IF(AND($L4446="Chưa xác định",DANH_MUC!$L$9&lt;&gt;"Có"),"Nguồn chưa xác định; ","")))</f>
        <v/>
      </c>
      <c r="V4446" s="22">
        <f>IF(OR($D4446="",$R4446="Trùng"),"",IF(COUNTIF(ORDERS!$C$2:$C$4995,$D4446)&gt;0,"Có","Không"))</f>
        <v/>
      </c>
      <c r="W4446" s="22">
        <f>IF(OR($D4446="",$R4446="Trùng"),"",COUNTIFS(ORDERS!$C$2:$C$4995,$D4446,ORDERS!$L$2:$L$4995,"Đã chuyển khoản"))</f>
        <v/>
      </c>
      <c r="X4446" s="23">
        <f>IF(OR($D4446="",$R4446="Trùng"),"",SUMIFS(ORDERS!$J$2:$J$4995,ORDERS!$C$2:$C$4995,$D4446,ORDERS!$L$2:$L$4995,"Đã chuyển khoản"))</f>
        <v/>
      </c>
      <c r="Y4446" s="24" t="n"/>
    </row>
    <row r="4447" ht="14.25" customHeight="1" s="40">
      <c r="A4447" s="24" t="n"/>
      <c r="B4447" s="27" t="n"/>
      <c r="C4447" s="24" t="n"/>
      <c r="D4447" s="28" t="n"/>
      <c r="E4447" s="29" t="n"/>
      <c r="F4447" s="24" t="n"/>
      <c r="G4447" s="24" t="n"/>
      <c r="H4447" s="21">
        <f>IF(ISNUMBER($B4447),INT($B4447)-WEEKDAY($B4447,2)+1,"")</f>
        <v/>
      </c>
      <c r="I4447" s="24" t="n"/>
      <c r="J4447" s="22">
        <f t="array" ref="J4447">IF($D4447="","",IF($I4447="","(trống REF)",IFERROR(INDEX(MASTER_SOURCE!$B$2:$B$495,MATCH($I4447,MASTER_SOURCE!$A$2:$A$495,0)),"(REF không có trong MASTER_SOURCE)")))</f>
        <v/>
      </c>
      <c r="K4447" s="22">
        <f t="array" ref="K4447">IF($D4447="","",IFERROR(INDEX(MASTER_SOURCE!$C$2:$C$495,MATCH($I4447,MASTER_SOURCE!$A$2:$A$495,0)),""))</f>
        <v/>
      </c>
      <c r="L4447" s="22">
        <f t="array" ref="L4447">IF($D4447="","",IFERROR(INDEX(MASTER_SOURCE!$D$2:$D$495,MATCH($I4447,MASTER_SOURCE!$A$2:$A$495,0)),""))</f>
        <v/>
      </c>
      <c r="M4447" s="24" t="n"/>
      <c r="N4447" s="24" t="n"/>
      <c r="O4447" s="24" t="n"/>
      <c r="P4447" s="24" t="n"/>
      <c r="Q4447" s="22">
        <f>IF($D4447="","",IF(AND(OR(DANH_MUC!$L$5&lt;&gt;"Có",M4447="Có"),OR(DANH_MUC!$L$6&lt;&gt;"Có",N4447="Có"),OR(DANH_MUC!$L$7&lt;&gt;"Có",O4447="Có"),OR(DANH_MUC!$L$8&lt;&gt;"Có",P4447="Có")),"Có","Không"))</f>
        <v/>
      </c>
      <c r="R4447" s="22">
        <f>IF($D4447="","",IF(COUNTIF($D$2:$D4447,$D4447)&gt;1,"Trùng",""))</f>
        <v/>
      </c>
      <c r="S4447" s="22">
        <f>IF($D4447="","",IF(AND(LEN($D4447)=10,LEFT($D4447,1)="0",ISNUMBER(--$D4447)),"Có","Không"))</f>
        <v/>
      </c>
      <c r="T4447" s="22">
        <f>IF($D4447="","",IF(AND($C4447&lt;&gt;"",$Q4447="Có",$R4447="",$S4447="Có",AND($L4447&lt;&gt;"",OR($L4447&lt;&gt;"Chưa xác định",DANH_MUC!$L$9="Có"))),"Có","Không"))</f>
        <v/>
      </c>
      <c r="U4447" s="22">
        <f>IF(OR($D4447="",$T4447="Có"),"",IF($C4447="","Thiếu họ tên; ","")&amp;IF($S4447&lt;&gt;"Có","SĐT sai định dạng; ","")&amp;IF($R4447="Trùng","Trùng SĐT; ","")&amp;IF($Q4447&lt;&gt;"Có","Thiếu đồng ý bắt buộc; ","")&amp;IF($L4447="","Thiếu/sai Mã REF; ",IF(AND($L4447="Chưa xác định",DANH_MUC!$L$9&lt;&gt;"Có"),"Nguồn chưa xác định; ","")))</f>
        <v/>
      </c>
      <c r="V4447" s="22">
        <f>IF(OR($D4447="",$R4447="Trùng"),"",IF(COUNTIF(ORDERS!$C$2:$C$4995,$D4447)&gt;0,"Có","Không"))</f>
        <v/>
      </c>
      <c r="W4447" s="22">
        <f>IF(OR($D4447="",$R4447="Trùng"),"",COUNTIFS(ORDERS!$C$2:$C$4995,$D4447,ORDERS!$L$2:$L$4995,"Đã chuyển khoản"))</f>
        <v/>
      </c>
      <c r="X4447" s="23">
        <f>IF(OR($D4447="",$R4447="Trùng"),"",SUMIFS(ORDERS!$J$2:$J$4995,ORDERS!$C$2:$C$4995,$D4447,ORDERS!$L$2:$L$4995,"Đã chuyển khoản"))</f>
        <v/>
      </c>
      <c r="Y4447" s="24" t="n"/>
    </row>
    <row r="4448" ht="14.25" customHeight="1" s="40">
      <c r="A4448" s="24" t="n"/>
      <c r="B4448" s="27" t="n"/>
      <c r="C4448" s="24" t="n"/>
      <c r="D4448" s="28" t="n"/>
      <c r="E4448" s="29" t="n"/>
      <c r="F4448" s="24" t="n"/>
      <c r="G4448" s="24" t="n"/>
      <c r="H4448" s="21">
        <f>IF(ISNUMBER($B4448),INT($B4448)-WEEKDAY($B4448,2)+1,"")</f>
        <v/>
      </c>
      <c r="I4448" s="24" t="n"/>
      <c r="J4448" s="22">
        <f t="array" ref="J4448">IF($D4448="","",IF($I4448="","(trống REF)",IFERROR(INDEX(MASTER_SOURCE!$B$2:$B$495,MATCH($I4448,MASTER_SOURCE!$A$2:$A$495,0)),"(REF không có trong MASTER_SOURCE)")))</f>
        <v/>
      </c>
      <c r="K4448" s="22">
        <f t="array" ref="K4448">IF($D4448="","",IFERROR(INDEX(MASTER_SOURCE!$C$2:$C$495,MATCH($I4448,MASTER_SOURCE!$A$2:$A$495,0)),""))</f>
        <v/>
      </c>
      <c r="L4448" s="22">
        <f t="array" ref="L4448">IF($D4448="","",IFERROR(INDEX(MASTER_SOURCE!$D$2:$D$495,MATCH($I4448,MASTER_SOURCE!$A$2:$A$495,0)),""))</f>
        <v/>
      </c>
      <c r="M4448" s="24" t="n"/>
      <c r="N4448" s="24" t="n"/>
      <c r="O4448" s="24" t="n"/>
      <c r="P4448" s="24" t="n"/>
      <c r="Q4448" s="22">
        <f>IF($D4448="","",IF(AND(OR(DANH_MUC!$L$5&lt;&gt;"Có",M4448="Có"),OR(DANH_MUC!$L$6&lt;&gt;"Có",N4448="Có"),OR(DANH_MUC!$L$7&lt;&gt;"Có",O4448="Có"),OR(DANH_MUC!$L$8&lt;&gt;"Có",P4448="Có")),"Có","Không"))</f>
        <v/>
      </c>
      <c r="R4448" s="22">
        <f>IF($D4448="","",IF(COUNTIF($D$2:$D4448,$D4448)&gt;1,"Trùng",""))</f>
        <v/>
      </c>
      <c r="S4448" s="22">
        <f>IF($D4448="","",IF(AND(LEN($D4448)=10,LEFT($D4448,1)="0",ISNUMBER(--$D4448)),"Có","Không"))</f>
        <v/>
      </c>
      <c r="T4448" s="22">
        <f>IF($D4448="","",IF(AND($C4448&lt;&gt;"",$Q4448="Có",$R4448="",$S4448="Có",AND($L4448&lt;&gt;"",OR($L4448&lt;&gt;"Chưa xác định",DANH_MUC!$L$9="Có"))),"Có","Không"))</f>
        <v/>
      </c>
      <c r="U4448" s="22">
        <f>IF(OR($D4448="",$T4448="Có"),"",IF($C4448="","Thiếu họ tên; ","")&amp;IF($S4448&lt;&gt;"Có","SĐT sai định dạng; ","")&amp;IF($R4448="Trùng","Trùng SĐT; ","")&amp;IF($Q4448&lt;&gt;"Có","Thiếu đồng ý bắt buộc; ","")&amp;IF($L4448="","Thiếu/sai Mã REF; ",IF(AND($L4448="Chưa xác định",DANH_MUC!$L$9&lt;&gt;"Có"),"Nguồn chưa xác định; ","")))</f>
        <v/>
      </c>
      <c r="V4448" s="22">
        <f>IF(OR($D4448="",$R4448="Trùng"),"",IF(COUNTIF(ORDERS!$C$2:$C$4995,$D4448)&gt;0,"Có","Không"))</f>
        <v/>
      </c>
      <c r="W4448" s="22">
        <f>IF(OR($D4448="",$R4448="Trùng"),"",COUNTIFS(ORDERS!$C$2:$C$4995,$D4448,ORDERS!$L$2:$L$4995,"Đã chuyển khoản"))</f>
        <v/>
      </c>
      <c r="X4448" s="23">
        <f>IF(OR($D4448="",$R4448="Trùng"),"",SUMIFS(ORDERS!$J$2:$J$4995,ORDERS!$C$2:$C$4995,$D4448,ORDERS!$L$2:$L$4995,"Đã chuyển khoản"))</f>
        <v/>
      </c>
      <c r="Y4448" s="24" t="n"/>
    </row>
    <row r="4449" ht="14.25" customHeight="1" s="40">
      <c r="A4449" s="24" t="n"/>
      <c r="B4449" s="27" t="n"/>
      <c r="C4449" s="24" t="n"/>
      <c r="D4449" s="28" t="n"/>
      <c r="E4449" s="29" t="n"/>
      <c r="F4449" s="24" t="n"/>
      <c r="G4449" s="24" t="n"/>
      <c r="H4449" s="21">
        <f>IF(ISNUMBER($B4449),INT($B4449)-WEEKDAY($B4449,2)+1,"")</f>
        <v/>
      </c>
      <c r="I4449" s="24" t="n"/>
      <c r="J4449" s="22">
        <f t="array" ref="J4449">IF($D4449="","",IF($I4449="","(trống REF)",IFERROR(INDEX(MASTER_SOURCE!$B$2:$B$495,MATCH($I4449,MASTER_SOURCE!$A$2:$A$495,0)),"(REF không có trong MASTER_SOURCE)")))</f>
        <v/>
      </c>
      <c r="K4449" s="22">
        <f t="array" ref="K4449">IF($D4449="","",IFERROR(INDEX(MASTER_SOURCE!$C$2:$C$495,MATCH($I4449,MASTER_SOURCE!$A$2:$A$495,0)),""))</f>
        <v/>
      </c>
      <c r="L4449" s="22">
        <f t="array" ref="L4449">IF($D4449="","",IFERROR(INDEX(MASTER_SOURCE!$D$2:$D$495,MATCH($I4449,MASTER_SOURCE!$A$2:$A$495,0)),""))</f>
        <v/>
      </c>
      <c r="M4449" s="24" t="n"/>
      <c r="N4449" s="24" t="n"/>
      <c r="O4449" s="24" t="n"/>
      <c r="P4449" s="24" t="n"/>
      <c r="Q4449" s="22">
        <f>IF($D4449="","",IF(AND(OR(DANH_MUC!$L$5&lt;&gt;"Có",M4449="Có"),OR(DANH_MUC!$L$6&lt;&gt;"Có",N4449="Có"),OR(DANH_MUC!$L$7&lt;&gt;"Có",O4449="Có"),OR(DANH_MUC!$L$8&lt;&gt;"Có",P4449="Có")),"Có","Không"))</f>
        <v/>
      </c>
      <c r="R4449" s="22">
        <f>IF($D4449="","",IF(COUNTIF($D$2:$D4449,$D4449)&gt;1,"Trùng",""))</f>
        <v/>
      </c>
      <c r="S4449" s="22">
        <f>IF($D4449="","",IF(AND(LEN($D4449)=10,LEFT($D4449,1)="0",ISNUMBER(--$D4449)),"Có","Không"))</f>
        <v/>
      </c>
      <c r="T4449" s="22">
        <f>IF($D4449="","",IF(AND($C4449&lt;&gt;"",$Q4449="Có",$R4449="",$S4449="Có",AND($L4449&lt;&gt;"",OR($L4449&lt;&gt;"Chưa xác định",DANH_MUC!$L$9="Có"))),"Có","Không"))</f>
        <v/>
      </c>
      <c r="U4449" s="22">
        <f>IF(OR($D4449="",$T4449="Có"),"",IF($C4449="","Thiếu họ tên; ","")&amp;IF($S4449&lt;&gt;"Có","SĐT sai định dạng; ","")&amp;IF($R4449="Trùng","Trùng SĐT; ","")&amp;IF($Q4449&lt;&gt;"Có","Thiếu đồng ý bắt buộc; ","")&amp;IF($L4449="","Thiếu/sai Mã REF; ",IF(AND($L4449="Chưa xác định",DANH_MUC!$L$9&lt;&gt;"Có"),"Nguồn chưa xác định; ","")))</f>
        <v/>
      </c>
      <c r="V4449" s="22">
        <f>IF(OR($D4449="",$R4449="Trùng"),"",IF(COUNTIF(ORDERS!$C$2:$C$4995,$D4449)&gt;0,"Có","Không"))</f>
        <v/>
      </c>
      <c r="W4449" s="22">
        <f>IF(OR($D4449="",$R4449="Trùng"),"",COUNTIFS(ORDERS!$C$2:$C$4995,$D4449,ORDERS!$L$2:$L$4995,"Đã chuyển khoản"))</f>
        <v/>
      </c>
      <c r="X4449" s="23">
        <f>IF(OR($D4449="",$R4449="Trùng"),"",SUMIFS(ORDERS!$J$2:$J$4995,ORDERS!$C$2:$C$4995,$D4449,ORDERS!$L$2:$L$4995,"Đã chuyển khoản"))</f>
        <v/>
      </c>
      <c r="Y4449" s="24" t="n"/>
    </row>
    <row r="4450" ht="14.25" customHeight="1" s="40">
      <c r="A4450" s="24" t="n"/>
      <c r="B4450" s="27" t="n"/>
      <c r="C4450" s="24" t="n"/>
      <c r="D4450" s="28" t="n"/>
      <c r="E4450" s="29" t="n"/>
      <c r="F4450" s="24" t="n"/>
      <c r="G4450" s="24" t="n"/>
      <c r="H4450" s="21">
        <f>IF(ISNUMBER($B4450),INT($B4450)-WEEKDAY($B4450,2)+1,"")</f>
        <v/>
      </c>
      <c r="I4450" s="24" t="n"/>
      <c r="J4450" s="22">
        <f t="array" ref="J4450">IF($D4450="","",IF($I4450="","(trống REF)",IFERROR(INDEX(MASTER_SOURCE!$B$2:$B$495,MATCH($I4450,MASTER_SOURCE!$A$2:$A$495,0)),"(REF không có trong MASTER_SOURCE)")))</f>
        <v/>
      </c>
      <c r="K4450" s="22">
        <f t="array" ref="K4450">IF($D4450="","",IFERROR(INDEX(MASTER_SOURCE!$C$2:$C$495,MATCH($I4450,MASTER_SOURCE!$A$2:$A$495,0)),""))</f>
        <v/>
      </c>
      <c r="L4450" s="22">
        <f t="array" ref="L4450">IF($D4450="","",IFERROR(INDEX(MASTER_SOURCE!$D$2:$D$495,MATCH($I4450,MASTER_SOURCE!$A$2:$A$495,0)),""))</f>
        <v/>
      </c>
      <c r="M4450" s="24" t="n"/>
      <c r="N4450" s="24" t="n"/>
      <c r="O4450" s="24" t="n"/>
      <c r="P4450" s="24" t="n"/>
      <c r="Q4450" s="22">
        <f>IF($D4450="","",IF(AND(OR(DANH_MUC!$L$5&lt;&gt;"Có",M4450="Có"),OR(DANH_MUC!$L$6&lt;&gt;"Có",N4450="Có"),OR(DANH_MUC!$L$7&lt;&gt;"Có",O4450="Có"),OR(DANH_MUC!$L$8&lt;&gt;"Có",P4450="Có")),"Có","Không"))</f>
        <v/>
      </c>
      <c r="R4450" s="22">
        <f>IF($D4450="","",IF(COUNTIF($D$2:$D4450,$D4450)&gt;1,"Trùng",""))</f>
        <v/>
      </c>
      <c r="S4450" s="22">
        <f>IF($D4450="","",IF(AND(LEN($D4450)=10,LEFT($D4450,1)="0",ISNUMBER(--$D4450)),"Có","Không"))</f>
        <v/>
      </c>
      <c r="T4450" s="22">
        <f>IF($D4450="","",IF(AND($C4450&lt;&gt;"",$Q4450="Có",$R4450="",$S4450="Có",AND($L4450&lt;&gt;"",OR($L4450&lt;&gt;"Chưa xác định",DANH_MUC!$L$9="Có"))),"Có","Không"))</f>
        <v/>
      </c>
      <c r="U4450" s="22">
        <f>IF(OR($D4450="",$T4450="Có"),"",IF($C4450="","Thiếu họ tên; ","")&amp;IF($S4450&lt;&gt;"Có","SĐT sai định dạng; ","")&amp;IF($R4450="Trùng","Trùng SĐT; ","")&amp;IF($Q4450&lt;&gt;"Có","Thiếu đồng ý bắt buộc; ","")&amp;IF($L4450="","Thiếu/sai Mã REF; ",IF(AND($L4450="Chưa xác định",DANH_MUC!$L$9&lt;&gt;"Có"),"Nguồn chưa xác định; ","")))</f>
        <v/>
      </c>
      <c r="V4450" s="22">
        <f>IF(OR($D4450="",$R4450="Trùng"),"",IF(COUNTIF(ORDERS!$C$2:$C$4995,$D4450)&gt;0,"Có","Không"))</f>
        <v/>
      </c>
      <c r="W4450" s="22">
        <f>IF(OR($D4450="",$R4450="Trùng"),"",COUNTIFS(ORDERS!$C$2:$C$4995,$D4450,ORDERS!$L$2:$L$4995,"Đã chuyển khoản"))</f>
        <v/>
      </c>
      <c r="X4450" s="23">
        <f>IF(OR($D4450="",$R4450="Trùng"),"",SUMIFS(ORDERS!$J$2:$J$4995,ORDERS!$C$2:$C$4995,$D4450,ORDERS!$L$2:$L$4995,"Đã chuyển khoản"))</f>
        <v/>
      </c>
      <c r="Y4450" s="24" t="n"/>
    </row>
    <row r="4451" ht="14.25" customHeight="1" s="40">
      <c r="A4451" s="24" t="n"/>
      <c r="B4451" s="27" t="n"/>
      <c r="C4451" s="24" t="n"/>
      <c r="D4451" s="28" t="n"/>
      <c r="E4451" s="29" t="n"/>
      <c r="F4451" s="24" t="n"/>
      <c r="G4451" s="24" t="n"/>
      <c r="H4451" s="21">
        <f>IF(ISNUMBER($B4451),INT($B4451)-WEEKDAY($B4451,2)+1,"")</f>
        <v/>
      </c>
      <c r="I4451" s="24" t="n"/>
      <c r="J4451" s="22">
        <f t="array" ref="J4451">IF($D4451="","",IF($I4451="","(trống REF)",IFERROR(INDEX(MASTER_SOURCE!$B$2:$B$495,MATCH($I4451,MASTER_SOURCE!$A$2:$A$495,0)),"(REF không có trong MASTER_SOURCE)")))</f>
        <v/>
      </c>
      <c r="K4451" s="22">
        <f t="array" ref="K4451">IF($D4451="","",IFERROR(INDEX(MASTER_SOURCE!$C$2:$C$495,MATCH($I4451,MASTER_SOURCE!$A$2:$A$495,0)),""))</f>
        <v/>
      </c>
      <c r="L4451" s="22">
        <f t="array" ref="L4451">IF($D4451="","",IFERROR(INDEX(MASTER_SOURCE!$D$2:$D$495,MATCH($I4451,MASTER_SOURCE!$A$2:$A$495,0)),""))</f>
        <v/>
      </c>
      <c r="M4451" s="24" t="n"/>
      <c r="N4451" s="24" t="n"/>
      <c r="O4451" s="24" t="n"/>
      <c r="P4451" s="24" t="n"/>
      <c r="Q4451" s="22">
        <f>IF($D4451="","",IF(AND(OR(DANH_MUC!$L$5&lt;&gt;"Có",M4451="Có"),OR(DANH_MUC!$L$6&lt;&gt;"Có",N4451="Có"),OR(DANH_MUC!$L$7&lt;&gt;"Có",O4451="Có"),OR(DANH_MUC!$L$8&lt;&gt;"Có",P4451="Có")),"Có","Không"))</f>
        <v/>
      </c>
      <c r="R4451" s="22">
        <f>IF($D4451="","",IF(COUNTIF($D$2:$D4451,$D4451)&gt;1,"Trùng",""))</f>
        <v/>
      </c>
      <c r="S4451" s="22">
        <f>IF($D4451="","",IF(AND(LEN($D4451)=10,LEFT($D4451,1)="0",ISNUMBER(--$D4451)),"Có","Không"))</f>
        <v/>
      </c>
      <c r="T4451" s="22">
        <f>IF($D4451="","",IF(AND($C4451&lt;&gt;"",$Q4451="Có",$R4451="",$S4451="Có",AND($L4451&lt;&gt;"",OR($L4451&lt;&gt;"Chưa xác định",DANH_MUC!$L$9="Có"))),"Có","Không"))</f>
        <v/>
      </c>
      <c r="U4451" s="22">
        <f>IF(OR($D4451="",$T4451="Có"),"",IF($C4451="","Thiếu họ tên; ","")&amp;IF($S4451&lt;&gt;"Có","SĐT sai định dạng; ","")&amp;IF($R4451="Trùng","Trùng SĐT; ","")&amp;IF($Q4451&lt;&gt;"Có","Thiếu đồng ý bắt buộc; ","")&amp;IF($L4451="","Thiếu/sai Mã REF; ",IF(AND($L4451="Chưa xác định",DANH_MUC!$L$9&lt;&gt;"Có"),"Nguồn chưa xác định; ","")))</f>
        <v/>
      </c>
      <c r="V4451" s="22">
        <f>IF(OR($D4451="",$R4451="Trùng"),"",IF(COUNTIF(ORDERS!$C$2:$C$4995,$D4451)&gt;0,"Có","Không"))</f>
        <v/>
      </c>
      <c r="W4451" s="22">
        <f>IF(OR($D4451="",$R4451="Trùng"),"",COUNTIFS(ORDERS!$C$2:$C$4995,$D4451,ORDERS!$L$2:$L$4995,"Đã chuyển khoản"))</f>
        <v/>
      </c>
      <c r="X4451" s="23">
        <f>IF(OR($D4451="",$R4451="Trùng"),"",SUMIFS(ORDERS!$J$2:$J$4995,ORDERS!$C$2:$C$4995,$D4451,ORDERS!$L$2:$L$4995,"Đã chuyển khoản"))</f>
        <v/>
      </c>
      <c r="Y4451" s="24" t="n"/>
    </row>
    <row r="4452" ht="14.25" customHeight="1" s="40">
      <c r="A4452" s="24" t="n"/>
      <c r="B4452" s="27" t="n"/>
      <c r="C4452" s="24" t="n"/>
      <c r="D4452" s="28" t="n"/>
      <c r="E4452" s="29" t="n"/>
      <c r="F4452" s="24" t="n"/>
      <c r="G4452" s="24" t="n"/>
      <c r="H4452" s="21">
        <f>IF(ISNUMBER($B4452),INT($B4452)-WEEKDAY($B4452,2)+1,"")</f>
        <v/>
      </c>
      <c r="I4452" s="24" t="n"/>
      <c r="J4452" s="22">
        <f t="array" ref="J4452">IF($D4452="","",IF($I4452="","(trống REF)",IFERROR(INDEX(MASTER_SOURCE!$B$2:$B$495,MATCH($I4452,MASTER_SOURCE!$A$2:$A$495,0)),"(REF không có trong MASTER_SOURCE)")))</f>
        <v/>
      </c>
      <c r="K4452" s="22">
        <f t="array" ref="K4452">IF($D4452="","",IFERROR(INDEX(MASTER_SOURCE!$C$2:$C$495,MATCH($I4452,MASTER_SOURCE!$A$2:$A$495,0)),""))</f>
        <v/>
      </c>
      <c r="L4452" s="22">
        <f t="array" ref="L4452">IF($D4452="","",IFERROR(INDEX(MASTER_SOURCE!$D$2:$D$495,MATCH($I4452,MASTER_SOURCE!$A$2:$A$495,0)),""))</f>
        <v/>
      </c>
      <c r="M4452" s="24" t="n"/>
      <c r="N4452" s="24" t="n"/>
      <c r="O4452" s="24" t="n"/>
      <c r="P4452" s="24" t="n"/>
      <c r="Q4452" s="22">
        <f>IF($D4452="","",IF(AND(OR(DANH_MUC!$L$5&lt;&gt;"Có",M4452="Có"),OR(DANH_MUC!$L$6&lt;&gt;"Có",N4452="Có"),OR(DANH_MUC!$L$7&lt;&gt;"Có",O4452="Có"),OR(DANH_MUC!$L$8&lt;&gt;"Có",P4452="Có")),"Có","Không"))</f>
        <v/>
      </c>
      <c r="R4452" s="22">
        <f>IF($D4452="","",IF(COUNTIF($D$2:$D4452,$D4452)&gt;1,"Trùng",""))</f>
        <v/>
      </c>
      <c r="S4452" s="22">
        <f>IF($D4452="","",IF(AND(LEN($D4452)=10,LEFT($D4452,1)="0",ISNUMBER(--$D4452)),"Có","Không"))</f>
        <v/>
      </c>
      <c r="T4452" s="22">
        <f>IF($D4452="","",IF(AND($C4452&lt;&gt;"",$Q4452="Có",$R4452="",$S4452="Có",AND($L4452&lt;&gt;"",OR($L4452&lt;&gt;"Chưa xác định",DANH_MUC!$L$9="Có"))),"Có","Không"))</f>
        <v/>
      </c>
      <c r="U4452" s="22">
        <f>IF(OR($D4452="",$T4452="Có"),"",IF($C4452="","Thiếu họ tên; ","")&amp;IF($S4452&lt;&gt;"Có","SĐT sai định dạng; ","")&amp;IF($R4452="Trùng","Trùng SĐT; ","")&amp;IF($Q4452&lt;&gt;"Có","Thiếu đồng ý bắt buộc; ","")&amp;IF($L4452="","Thiếu/sai Mã REF; ",IF(AND($L4452="Chưa xác định",DANH_MUC!$L$9&lt;&gt;"Có"),"Nguồn chưa xác định; ","")))</f>
        <v/>
      </c>
      <c r="V4452" s="22">
        <f>IF(OR($D4452="",$R4452="Trùng"),"",IF(COUNTIF(ORDERS!$C$2:$C$4995,$D4452)&gt;0,"Có","Không"))</f>
        <v/>
      </c>
      <c r="W4452" s="22">
        <f>IF(OR($D4452="",$R4452="Trùng"),"",COUNTIFS(ORDERS!$C$2:$C$4995,$D4452,ORDERS!$L$2:$L$4995,"Đã chuyển khoản"))</f>
        <v/>
      </c>
      <c r="X4452" s="23">
        <f>IF(OR($D4452="",$R4452="Trùng"),"",SUMIFS(ORDERS!$J$2:$J$4995,ORDERS!$C$2:$C$4995,$D4452,ORDERS!$L$2:$L$4995,"Đã chuyển khoản"))</f>
        <v/>
      </c>
      <c r="Y4452" s="24" t="n"/>
    </row>
    <row r="4453" ht="14.25" customHeight="1" s="40">
      <c r="A4453" s="24" t="n"/>
      <c r="B4453" s="27" t="n"/>
      <c r="C4453" s="24" t="n"/>
      <c r="D4453" s="28" t="n"/>
      <c r="E4453" s="29" t="n"/>
      <c r="F4453" s="24" t="n"/>
      <c r="G4453" s="24" t="n"/>
      <c r="H4453" s="21">
        <f>IF(ISNUMBER($B4453),INT($B4453)-WEEKDAY($B4453,2)+1,"")</f>
        <v/>
      </c>
      <c r="I4453" s="24" t="n"/>
      <c r="J4453" s="22">
        <f t="array" ref="J4453">IF($D4453="","",IF($I4453="","(trống REF)",IFERROR(INDEX(MASTER_SOURCE!$B$2:$B$495,MATCH($I4453,MASTER_SOURCE!$A$2:$A$495,0)),"(REF không có trong MASTER_SOURCE)")))</f>
        <v/>
      </c>
      <c r="K4453" s="22">
        <f t="array" ref="K4453">IF($D4453="","",IFERROR(INDEX(MASTER_SOURCE!$C$2:$C$495,MATCH($I4453,MASTER_SOURCE!$A$2:$A$495,0)),""))</f>
        <v/>
      </c>
      <c r="L4453" s="22">
        <f t="array" ref="L4453">IF($D4453="","",IFERROR(INDEX(MASTER_SOURCE!$D$2:$D$495,MATCH($I4453,MASTER_SOURCE!$A$2:$A$495,0)),""))</f>
        <v/>
      </c>
      <c r="M4453" s="24" t="n"/>
      <c r="N4453" s="24" t="n"/>
      <c r="O4453" s="24" t="n"/>
      <c r="P4453" s="24" t="n"/>
      <c r="Q4453" s="22">
        <f>IF($D4453="","",IF(AND(OR(DANH_MUC!$L$5&lt;&gt;"Có",M4453="Có"),OR(DANH_MUC!$L$6&lt;&gt;"Có",N4453="Có"),OR(DANH_MUC!$L$7&lt;&gt;"Có",O4453="Có"),OR(DANH_MUC!$L$8&lt;&gt;"Có",P4453="Có")),"Có","Không"))</f>
        <v/>
      </c>
      <c r="R4453" s="22">
        <f>IF($D4453="","",IF(COUNTIF($D$2:$D4453,$D4453)&gt;1,"Trùng",""))</f>
        <v/>
      </c>
      <c r="S4453" s="22">
        <f>IF($D4453="","",IF(AND(LEN($D4453)=10,LEFT($D4453,1)="0",ISNUMBER(--$D4453)),"Có","Không"))</f>
        <v/>
      </c>
      <c r="T4453" s="22">
        <f>IF($D4453="","",IF(AND($C4453&lt;&gt;"",$Q4453="Có",$R4453="",$S4453="Có",AND($L4453&lt;&gt;"",OR($L4453&lt;&gt;"Chưa xác định",DANH_MUC!$L$9="Có"))),"Có","Không"))</f>
        <v/>
      </c>
      <c r="U4453" s="22">
        <f>IF(OR($D4453="",$T4453="Có"),"",IF($C4453="","Thiếu họ tên; ","")&amp;IF($S4453&lt;&gt;"Có","SĐT sai định dạng; ","")&amp;IF($R4453="Trùng","Trùng SĐT; ","")&amp;IF($Q4453&lt;&gt;"Có","Thiếu đồng ý bắt buộc; ","")&amp;IF($L4453="","Thiếu/sai Mã REF; ",IF(AND($L4453="Chưa xác định",DANH_MUC!$L$9&lt;&gt;"Có"),"Nguồn chưa xác định; ","")))</f>
        <v/>
      </c>
      <c r="V4453" s="22">
        <f>IF(OR($D4453="",$R4453="Trùng"),"",IF(COUNTIF(ORDERS!$C$2:$C$4995,$D4453)&gt;0,"Có","Không"))</f>
        <v/>
      </c>
      <c r="W4453" s="22">
        <f>IF(OR($D4453="",$R4453="Trùng"),"",COUNTIFS(ORDERS!$C$2:$C$4995,$D4453,ORDERS!$L$2:$L$4995,"Đã chuyển khoản"))</f>
        <v/>
      </c>
      <c r="X4453" s="23">
        <f>IF(OR($D4453="",$R4453="Trùng"),"",SUMIFS(ORDERS!$J$2:$J$4995,ORDERS!$C$2:$C$4995,$D4453,ORDERS!$L$2:$L$4995,"Đã chuyển khoản"))</f>
        <v/>
      </c>
      <c r="Y4453" s="24" t="n"/>
    </row>
    <row r="4454" ht="14.25" customHeight="1" s="40">
      <c r="A4454" s="24" t="n"/>
      <c r="B4454" s="27" t="n"/>
      <c r="C4454" s="24" t="n"/>
      <c r="D4454" s="28" t="n"/>
      <c r="E4454" s="29" t="n"/>
      <c r="F4454" s="24" t="n"/>
      <c r="G4454" s="24" t="n"/>
      <c r="H4454" s="21">
        <f>IF(ISNUMBER($B4454),INT($B4454)-WEEKDAY($B4454,2)+1,"")</f>
        <v/>
      </c>
      <c r="I4454" s="24" t="n"/>
      <c r="J4454" s="22">
        <f t="array" ref="J4454">IF($D4454="","",IF($I4454="","(trống REF)",IFERROR(INDEX(MASTER_SOURCE!$B$2:$B$495,MATCH($I4454,MASTER_SOURCE!$A$2:$A$495,0)),"(REF không có trong MASTER_SOURCE)")))</f>
        <v/>
      </c>
      <c r="K4454" s="22">
        <f t="array" ref="K4454">IF($D4454="","",IFERROR(INDEX(MASTER_SOURCE!$C$2:$C$495,MATCH($I4454,MASTER_SOURCE!$A$2:$A$495,0)),""))</f>
        <v/>
      </c>
      <c r="L4454" s="22">
        <f t="array" ref="L4454">IF($D4454="","",IFERROR(INDEX(MASTER_SOURCE!$D$2:$D$495,MATCH($I4454,MASTER_SOURCE!$A$2:$A$495,0)),""))</f>
        <v/>
      </c>
      <c r="M4454" s="24" t="n"/>
      <c r="N4454" s="24" t="n"/>
      <c r="O4454" s="24" t="n"/>
      <c r="P4454" s="24" t="n"/>
      <c r="Q4454" s="22">
        <f>IF($D4454="","",IF(AND(OR(DANH_MUC!$L$5&lt;&gt;"Có",M4454="Có"),OR(DANH_MUC!$L$6&lt;&gt;"Có",N4454="Có"),OR(DANH_MUC!$L$7&lt;&gt;"Có",O4454="Có"),OR(DANH_MUC!$L$8&lt;&gt;"Có",P4454="Có")),"Có","Không"))</f>
        <v/>
      </c>
      <c r="R4454" s="22">
        <f>IF($D4454="","",IF(COUNTIF($D$2:$D4454,$D4454)&gt;1,"Trùng",""))</f>
        <v/>
      </c>
      <c r="S4454" s="22">
        <f>IF($D4454="","",IF(AND(LEN($D4454)=10,LEFT($D4454,1)="0",ISNUMBER(--$D4454)),"Có","Không"))</f>
        <v/>
      </c>
      <c r="T4454" s="22">
        <f>IF($D4454="","",IF(AND($C4454&lt;&gt;"",$Q4454="Có",$R4454="",$S4454="Có",AND($L4454&lt;&gt;"",OR($L4454&lt;&gt;"Chưa xác định",DANH_MUC!$L$9="Có"))),"Có","Không"))</f>
        <v/>
      </c>
      <c r="U4454" s="22">
        <f>IF(OR($D4454="",$T4454="Có"),"",IF($C4454="","Thiếu họ tên; ","")&amp;IF($S4454&lt;&gt;"Có","SĐT sai định dạng; ","")&amp;IF($R4454="Trùng","Trùng SĐT; ","")&amp;IF($Q4454&lt;&gt;"Có","Thiếu đồng ý bắt buộc; ","")&amp;IF($L4454="","Thiếu/sai Mã REF; ",IF(AND($L4454="Chưa xác định",DANH_MUC!$L$9&lt;&gt;"Có"),"Nguồn chưa xác định; ","")))</f>
        <v/>
      </c>
      <c r="V4454" s="22">
        <f>IF(OR($D4454="",$R4454="Trùng"),"",IF(COUNTIF(ORDERS!$C$2:$C$4995,$D4454)&gt;0,"Có","Không"))</f>
        <v/>
      </c>
      <c r="W4454" s="22">
        <f>IF(OR($D4454="",$R4454="Trùng"),"",COUNTIFS(ORDERS!$C$2:$C$4995,$D4454,ORDERS!$L$2:$L$4995,"Đã chuyển khoản"))</f>
        <v/>
      </c>
      <c r="X4454" s="23">
        <f>IF(OR($D4454="",$R4454="Trùng"),"",SUMIFS(ORDERS!$J$2:$J$4995,ORDERS!$C$2:$C$4995,$D4454,ORDERS!$L$2:$L$4995,"Đã chuyển khoản"))</f>
        <v/>
      </c>
      <c r="Y4454" s="24" t="n"/>
    </row>
    <row r="4455" ht="14.25" customHeight="1" s="40">
      <c r="A4455" s="24" t="n"/>
      <c r="B4455" s="27" t="n"/>
      <c r="C4455" s="24" t="n"/>
      <c r="D4455" s="28" t="n"/>
      <c r="E4455" s="29" t="n"/>
      <c r="F4455" s="24" t="n"/>
      <c r="G4455" s="24" t="n"/>
      <c r="H4455" s="21">
        <f>IF(ISNUMBER($B4455),INT($B4455)-WEEKDAY($B4455,2)+1,"")</f>
        <v/>
      </c>
      <c r="I4455" s="24" t="n"/>
      <c r="J4455" s="22">
        <f t="array" ref="J4455">IF($D4455="","",IF($I4455="","(trống REF)",IFERROR(INDEX(MASTER_SOURCE!$B$2:$B$495,MATCH($I4455,MASTER_SOURCE!$A$2:$A$495,0)),"(REF không có trong MASTER_SOURCE)")))</f>
        <v/>
      </c>
      <c r="K4455" s="22">
        <f t="array" ref="K4455">IF($D4455="","",IFERROR(INDEX(MASTER_SOURCE!$C$2:$C$495,MATCH($I4455,MASTER_SOURCE!$A$2:$A$495,0)),""))</f>
        <v/>
      </c>
      <c r="L4455" s="22">
        <f t="array" ref="L4455">IF($D4455="","",IFERROR(INDEX(MASTER_SOURCE!$D$2:$D$495,MATCH($I4455,MASTER_SOURCE!$A$2:$A$495,0)),""))</f>
        <v/>
      </c>
      <c r="M4455" s="24" t="n"/>
      <c r="N4455" s="24" t="n"/>
      <c r="O4455" s="24" t="n"/>
      <c r="P4455" s="24" t="n"/>
      <c r="Q4455" s="22">
        <f>IF($D4455="","",IF(AND(OR(DANH_MUC!$L$5&lt;&gt;"Có",M4455="Có"),OR(DANH_MUC!$L$6&lt;&gt;"Có",N4455="Có"),OR(DANH_MUC!$L$7&lt;&gt;"Có",O4455="Có"),OR(DANH_MUC!$L$8&lt;&gt;"Có",P4455="Có")),"Có","Không"))</f>
        <v/>
      </c>
      <c r="R4455" s="22">
        <f>IF($D4455="","",IF(COUNTIF($D$2:$D4455,$D4455)&gt;1,"Trùng",""))</f>
        <v/>
      </c>
      <c r="S4455" s="22">
        <f>IF($D4455="","",IF(AND(LEN($D4455)=10,LEFT($D4455,1)="0",ISNUMBER(--$D4455)),"Có","Không"))</f>
        <v/>
      </c>
      <c r="T4455" s="22">
        <f>IF($D4455="","",IF(AND($C4455&lt;&gt;"",$Q4455="Có",$R4455="",$S4455="Có",AND($L4455&lt;&gt;"",OR($L4455&lt;&gt;"Chưa xác định",DANH_MUC!$L$9="Có"))),"Có","Không"))</f>
        <v/>
      </c>
      <c r="U4455" s="22">
        <f>IF(OR($D4455="",$T4455="Có"),"",IF($C4455="","Thiếu họ tên; ","")&amp;IF($S4455&lt;&gt;"Có","SĐT sai định dạng; ","")&amp;IF($R4455="Trùng","Trùng SĐT; ","")&amp;IF($Q4455&lt;&gt;"Có","Thiếu đồng ý bắt buộc; ","")&amp;IF($L4455="","Thiếu/sai Mã REF; ",IF(AND($L4455="Chưa xác định",DANH_MUC!$L$9&lt;&gt;"Có"),"Nguồn chưa xác định; ","")))</f>
        <v/>
      </c>
      <c r="V4455" s="22">
        <f>IF(OR($D4455="",$R4455="Trùng"),"",IF(COUNTIF(ORDERS!$C$2:$C$4995,$D4455)&gt;0,"Có","Không"))</f>
        <v/>
      </c>
      <c r="W4455" s="22">
        <f>IF(OR($D4455="",$R4455="Trùng"),"",COUNTIFS(ORDERS!$C$2:$C$4995,$D4455,ORDERS!$L$2:$L$4995,"Đã chuyển khoản"))</f>
        <v/>
      </c>
      <c r="X4455" s="23">
        <f>IF(OR($D4455="",$R4455="Trùng"),"",SUMIFS(ORDERS!$J$2:$J$4995,ORDERS!$C$2:$C$4995,$D4455,ORDERS!$L$2:$L$4995,"Đã chuyển khoản"))</f>
        <v/>
      </c>
      <c r="Y4455" s="24" t="n"/>
    </row>
    <row r="4456" ht="14.25" customHeight="1" s="40">
      <c r="A4456" s="24" t="n"/>
      <c r="B4456" s="27" t="n"/>
      <c r="C4456" s="24" t="n"/>
      <c r="D4456" s="28" t="n"/>
      <c r="E4456" s="29" t="n"/>
      <c r="F4456" s="24" t="n"/>
      <c r="G4456" s="24" t="n"/>
      <c r="H4456" s="21">
        <f>IF(ISNUMBER($B4456),INT($B4456)-WEEKDAY($B4456,2)+1,"")</f>
        <v/>
      </c>
      <c r="I4456" s="24" t="n"/>
      <c r="J4456" s="22">
        <f t="array" ref="J4456">IF($D4456="","",IF($I4456="","(trống REF)",IFERROR(INDEX(MASTER_SOURCE!$B$2:$B$495,MATCH($I4456,MASTER_SOURCE!$A$2:$A$495,0)),"(REF không có trong MASTER_SOURCE)")))</f>
        <v/>
      </c>
      <c r="K4456" s="22">
        <f t="array" ref="K4456">IF($D4456="","",IFERROR(INDEX(MASTER_SOURCE!$C$2:$C$495,MATCH($I4456,MASTER_SOURCE!$A$2:$A$495,0)),""))</f>
        <v/>
      </c>
      <c r="L4456" s="22">
        <f t="array" ref="L4456">IF($D4456="","",IFERROR(INDEX(MASTER_SOURCE!$D$2:$D$495,MATCH($I4456,MASTER_SOURCE!$A$2:$A$495,0)),""))</f>
        <v/>
      </c>
      <c r="M4456" s="24" t="n"/>
      <c r="N4456" s="24" t="n"/>
      <c r="O4456" s="24" t="n"/>
      <c r="P4456" s="24" t="n"/>
      <c r="Q4456" s="22">
        <f>IF($D4456="","",IF(AND(OR(DANH_MUC!$L$5&lt;&gt;"Có",M4456="Có"),OR(DANH_MUC!$L$6&lt;&gt;"Có",N4456="Có"),OR(DANH_MUC!$L$7&lt;&gt;"Có",O4456="Có"),OR(DANH_MUC!$L$8&lt;&gt;"Có",P4456="Có")),"Có","Không"))</f>
        <v/>
      </c>
      <c r="R4456" s="22">
        <f>IF($D4456="","",IF(COUNTIF($D$2:$D4456,$D4456)&gt;1,"Trùng",""))</f>
        <v/>
      </c>
      <c r="S4456" s="22">
        <f>IF($D4456="","",IF(AND(LEN($D4456)=10,LEFT($D4456,1)="0",ISNUMBER(--$D4456)),"Có","Không"))</f>
        <v/>
      </c>
      <c r="T4456" s="22">
        <f>IF($D4456="","",IF(AND($C4456&lt;&gt;"",$Q4456="Có",$R4456="",$S4456="Có",AND($L4456&lt;&gt;"",OR($L4456&lt;&gt;"Chưa xác định",DANH_MUC!$L$9="Có"))),"Có","Không"))</f>
        <v/>
      </c>
      <c r="U4456" s="22">
        <f>IF(OR($D4456="",$T4456="Có"),"",IF($C4456="","Thiếu họ tên; ","")&amp;IF($S4456&lt;&gt;"Có","SĐT sai định dạng; ","")&amp;IF($R4456="Trùng","Trùng SĐT; ","")&amp;IF($Q4456&lt;&gt;"Có","Thiếu đồng ý bắt buộc; ","")&amp;IF($L4456="","Thiếu/sai Mã REF; ",IF(AND($L4456="Chưa xác định",DANH_MUC!$L$9&lt;&gt;"Có"),"Nguồn chưa xác định; ","")))</f>
        <v/>
      </c>
      <c r="V4456" s="22">
        <f>IF(OR($D4456="",$R4456="Trùng"),"",IF(COUNTIF(ORDERS!$C$2:$C$4995,$D4456)&gt;0,"Có","Không"))</f>
        <v/>
      </c>
      <c r="W4456" s="22">
        <f>IF(OR($D4456="",$R4456="Trùng"),"",COUNTIFS(ORDERS!$C$2:$C$4995,$D4456,ORDERS!$L$2:$L$4995,"Đã chuyển khoản"))</f>
        <v/>
      </c>
      <c r="X4456" s="23">
        <f>IF(OR($D4456="",$R4456="Trùng"),"",SUMIFS(ORDERS!$J$2:$J$4995,ORDERS!$C$2:$C$4995,$D4456,ORDERS!$L$2:$L$4995,"Đã chuyển khoản"))</f>
        <v/>
      </c>
      <c r="Y4456" s="24" t="n"/>
    </row>
    <row r="4457" ht="14.25" customHeight="1" s="40">
      <c r="A4457" s="24" t="n"/>
      <c r="B4457" s="27" t="n"/>
      <c r="C4457" s="24" t="n"/>
      <c r="D4457" s="28" t="n"/>
      <c r="E4457" s="29" t="n"/>
      <c r="F4457" s="24" t="n"/>
      <c r="G4457" s="24" t="n"/>
      <c r="H4457" s="21">
        <f>IF(ISNUMBER($B4457),INT($B4457)-WEEKDAY($B4457,2)+1,"")</f>
        <v/>
      </c>
      <c r="I4457" s="24" t="n"/>
      <c r="J4457" s="22">
        <f t="array" ref="J4457">IF($D4457="","",IF($I4457="","(trống REF)",IFERROR(INDEX(MASTER_SOURCE!$B$2:$B$495,MATCH($I4457,MASTER_SOURCE!$A$2:$A$495,0)),"(REF không có trong MASTER_SOURCE)")))</f>
        <v/>
      </c>
      <c r="K4457" s="22">
        <f t="array" ref="K4457">IF($D4457="","",IFERROR(INDEX(MASTER_SOURCE!$C$2:$C$495,MATCH($I4457,MASTER_SOURCE!$A$2:$A$495,0)),""))</f>
        <v/>
      </c>
      <c r="L4457" s="22">
        <f t="array" ref="L4457">IF($D4457="","",IFERROR(INDEX(MASTER_SOURCE!$D$2:$D$495,MATCH($I4457,MASTER_SOURCE!$A$2:$A$495,0)),""))</f>
        <v/>
      </c>
      <c r="M4457" s="24" t="n"/>
      <c r="N4457" s="24" t="n"/>
      <c r="O4457" s="24" t="n"/>
      <c r="P4457" s="24" t="n"/>
      <c r="Q4457" s="22">
        <f>IF($D4457="","",IF(AND(OR(DANH_MUC!$L$5&lt;&gt;"Có",M4457="Có"),OR(DANH_MUC!$L$6&lt;&gt;"Có",N4457="Có"),OR(DANH_MUC!$L$7&lt;&gt;"Có",O4457="Có"),OR(DANH_MUC!$L$8&lt;&gt;"Có",P4457="Có")),"Có","Không"))</f>
        <v/>
      </c>
      <c r="R4457" s="22">
        <f>IF($D4457="","",IF(COUNTIF($D$2:$D4457,$D4457)&gt;1,"Trùng",""))</f>
        <v/>
      </c>
      <c r="S4457" s="22">
        <f>IF($D4457="","",IF(AND(LEN($D4457)=10,LEFT($D4457,1)="0",ISNUMBER(--$D4457)),"Có","Không"))</f>
        <v/>
      </c>
      <c r="T4457" s="22">
        <f>IF($D4457="","",IF(AND($C4457&lt;&gt;"",$Q4457="Có",$R4457="",$S4457="Có",AND($L4457&lt;&gt;"",OR($L4457&lt;&gt;"Chưa xác định",DANH_MUC!$L$9="Có"))),"Có","Không"))</f>
        <v/>
      </c>
      <c r="U4457" s="22">
        <f>IF(OR($D4457="",$T4457="Có"),"",IF($C4457="","Thiếu họ tên; ","")&amp;IF($S4457&lt;&gt;"Có","SĐT sai định dạng; ","")&amp;IF($R4457="Trùng","Trùng SĐT; ","")&amp;IF($Q4457&lt;&gt;"Có","Thiếu đồng ý bắt buộc; ","")&amp;IF($L4457="","Thiếu/sai Mã REF; ",IF(AND($L4457="Chưa xác định",DANH_MUC!$L$9&lt;&gt;"Có"),"Nguồn chưa xác định; ","")))</f>
        <v/>
      </c>
      <c r="V4457" s="22">
        <f>IF(OR($D4457="",$R4457="Trùng"),"",IF(COUNTIF(ORDERS!$C$2:$C$4995,$D4457)&gt;0,"Có","Không"))</f>
        <v/>
      </c>
      <c r="W4457" s="22">
        <f>IF(OR($D4457="",$R4457="Trùng"),"",COUNTIFS(ORDERS!$C$2:$C$4995,$D4457,ORDERS!$L$2:$L$4995,"Đã chuyển khoản"))</f>
        <v/>
      </c>
      <c r="X4457" s="23">
        <f>IF(OR($D4457="",$R4457="Trùng"),"",SUMIFS(ORDERS!$J$2:$J$4995,ORDERS!$C$2:$C$4995,$D4457,ORDERS!$L$2:$L$4995,"Đã chuyển khoản"))</f>
        <v/>
      </c>
      <c r="Y4457" s="24" t="n"/>
    </row>
    <row r="4458" ht="14.25" customHeight="1" s="40">
      <c r="A4458" s="24" t="n"/>
      <c r="B4458" s="27" t="n"/>
      <c r="C4458" s="24" t="n"/>
      <c r="D4458" s="28" t="n"/>
      <c r="E4458" s="29" t="n"/>
      <c r="F4458" s="24" t="n"/>
      <c r="G4458" s="24" t="n"/>
      <c r="H4458" s="21">
        <f>IF(ISNUMBER($B4458),INT($B4458)-WEEKDAY($B4458,2)+1,"")</f>
        <v/>
      </c>
      <c r="I4458" s="24" t="n"/>
      <c r="J4458" s="22">
        <f t="array" ref="J4458">IF($D4458="","",IF($I4458="","(trống REF)",IFERROR(INDEX(MASTER_SOURCE!$B$2:$B$495,MATCH($I4458,MASTER_SOURCE!$A$2:$A$495,0)),"(REF không có trong MASTER_SOURCE)")))</f>
        <v/>
      </c>
      <c r="K4458" s="22">
        <f t="array" ref="K4458">IF($D4458="","",IFERROR(INDEX(MASTER_SOURCE!$C$2:$C$495,MATCH($I4458,MASTER_SOURCE!$A$2:$A$495,0)),""))</f>
        <v/>
      </c>
      <c r="L4458" s="22">
        <f t="array" ref="L4458">IF($D4458="","",IFERROR(INDEX(MASTER_SOURCE!$D$2:$D$495,MATCH($I4458,MASTER_SOURCE!$A$2:$A$495,0)),""))</f>
        <v/>
      </c>
      <c r="M4458" s="24" t="n"/>
      <c r="N4458" s="24" t="n"/>
      <c r="O4458" s="24" t="n"/>
      <c r="P4458" s="24" t="n"/>
      <c r="Q4458" s="22">
        <f>IF($D4458="","",IF(AND(OR(DANH_MUC!$L$5&lt;&gt;"Có",M4458="Có"),OR(DANH_MUC!$L$6&lt;&gt;"Có",N4458="Có"),OR(DANH_MUC!$L$7&lt;&gt;"Có",O4458="Có"),OR(DANH_MUC!$L$8&lt;&gt;"Có",P4458="Có")),"Có","Không"))</f>
        <v/>
      </c>
      <c r="R4458" s="22">
        <f>IF($D4458="","",IF(COUNTIF($D$2:$D4458,$D4458)&gt;1,"Trùng",""))</f>
        <v/>
      </c>
      <c r="S4458" s="22">
        <f>IF($D4458="","",IF(AND(LEN($D4458)=10,LEFT($D4458,1)="0",ISNUMBER(--$D4458)),"Có","Không"))</f>
        <v/>
      </c>
      <c r="T4458" s="22">
        <f>IF($D4458="","",IF(AND($C4458&lt;&gt;"",$Q4458="Có",$R4458="",$S4458="Có",AND($L4458&lt;&gt;"",OR($L4458&lt;&gt;"Chưa xác định",DANH_MUC!$L$9="Có"))),"Có","Không"))</f>
        <v/>
      </c>
      <c r="U4458" s="22">
        <f>IF(OR($D4458="",$T4458="Có"),"",IF($C4458="","Thiếu họ tên; ","")&amp;IF($S4458&lt;&gt;"Có","SĐT sai định dạng; ","")&amp;IF($R4458="Trùng","Trùng SĐT; ","")&amp;IF($Q4458&lt;&gt;"Có","Thiếu đồng ý bắt buộc; ","")&amp;IF($L4458="","Thiếu/sai Mã REF; ",IF(AND($L4458="Chưa xác định",DANH_MUC!$L$9&lt;&gt;"Có"),"Nguồn chưa xác định; ","")))</f>
        <v/>
      </c>
      <c r="V4458" s="22">
        <f>IF(OR($D4458="",$R4458="Trùng"),"",IF(COUNTIF(ORDERS!$C$2:$C$4995,$D4458)&gt;0,"Có","Không"))</f>
        <v/>
      </c>
      <c r="W4458" s="22">
        <f>IF(OR($D4458="",$R4458="Trùng"),"",COUNTIFS(ORDERS!$C$2:$C$4995,$D4458,ORDERS!$L$2:$L$4995,"Đã chuyển khoản"))</f>
        <v/>
      </c>
      <c r="X4458" s="23">
        <f>IF(OR($D4458="",$R4458="Trùng"),"",SUMIFS(ORDERS!$J$2:$J$4995,ORDERS!$C$2:$C$4995,$D4458,ORDERS!$L$2:$L$4995,"Đã chuyển khoản"))</f>
        <v/>
      </c>
      <c r="Y4458" s="24" t="n"/>
    </row>
    <row r="4459" ht="14.25" customHeight="1" s="40">
      <c r="A4459" s="24" t="n"/>
      <c r="B4459" s="27" t="n"/>
      <c r="C4459" s="24" t="n"/>
      <c r="D4459" s="28" t="n"/>
      <c r="E4459" s="29" t="n"/>
      <c r="F4459" s="24" t="n"/>
      <c r="G4459" s="24" t="n"/>
      <c r="H4459" s="21">
        <f>IF(ISNUMBER($B4459),INT($B4459)-WEEKDAY($B4459,2)+1,"")</f>
        <v/>
      </c>
      <c r="I4459" s="24" t="n"/>
      <c r="J4459" s="22">
        <f t="array" ref="J4459">IF($D4459="","",IF($I4459="","(trống REF)",IFERROR(INDEX(MASTER_SOURCE!$B$2:$B$495,MATCH($I4459,MASTER_SOURCE!$A$2:$A$495,0)),"(REF không có trong MASTER_SOURCE)")))</f>
        <v/>
      </c>
      <c r="K4459" s="22">
        <f t="array" ref="K4459">IF($D4459="","",IFERROR(INDEX(MASTER_SOURCE!$C$2:$C$495,MATCH($I4459,MASTER_SOURCE!$A$2:$A$495,0)),""))</f>
        <v/>
      </c>
      <c r="L4459" s="22">
        <f t="array" ref="L4459">IF($D4459="","",IFERROR(INDEX(MASTER_SOURCE!$D$2:$D$495,MATCH($I4459,MASTER_SOURCE!$A$2:$A$495,0)),""))</f>
        <v/>
      </c>
      <c r="M4459" s="24" t="n"/>
      <c r="N4459" s="24" t="n"/>
      <c r="O4459" s="24" t="n"/>
      <c r="P4459" s="24" t="n"/>
      <c r="Q4459" s="22">
        <f>IF($D4459="","",IF(AND(OR(DANH_MUC!$L$5&lt;&gt;"Có",M4459="Có"),OR(DANH_MUC!$L$6&lt;&gt;"Có",N4459="Có"),OR(DANH_MUC!$L$7&lt;&gt;"Có",O4459="Có"),OR(DANH_MUC!$L$8&lt;&gt;"Có",P4459="Có")),"Có","Không"))</f>
        <v/>
      </c>
      <c r="R4459" s="22">
        <f>IF($D4459="","",IF(COUNTIF($D$2:$D4459,$D4459)&gt;1,"Trùng",""))</f>
        <v/>
      </c>
      <c r="S4459" s="22">
        <f>IF($D4459="","",IF(AND(LEN($D4459)=10,LEFT($D4459,1)="0",ISNUMBER(--$D4459)),"Có","Không"))</f>
        <v/>
      </c>
      <c r="T4459" s="22">
        <f>IF($D4459="","",IF(AND($C4459&lt;&gt;"",$Q4459="Có",$R4459="",$S4459="Có",AND($L4459&lt;&gt;"",OR($L4459&lt;&gt;"Chưa xác định",DANH_MUC!$L$9="Có"))),"Có","Không"))</f>
        <v/>
      </c>
      <c r="U4459" s="22">
        <f>IF(OR($D4459="",$T4459="Có"),"",IF($C4459="","Thiếu họ tên; ","")&amp;IF($S4459&lt;&gt;"Có","SĐT sai định dạng; ","")&amp;IF($R4459="Trùng","Trùng SĐT; ","")&amp;IF($Q4459&lt;&gt;"Có","Thiếu đồng ý bắt buộc; ","")&amp;IF($L4459="","Thiếu/sai Mã REF; ",IF(AND($L4459="Chưa xác định",DANH_MUC!$L$9&lt;&gt;"Có"),"Nguồn chưa xác định; ","")))</f>
        <v/>
      </c>
      <c r="V4459" s="22">
        <f>IF(OR($D4459="",$R4459="Trùng"),"",IF(COUNTIF(ORDERS!$C$2:$C$4995,$D4459)&gt;0,"Có","Không"))</f>
        <v/>
      </c>
      <c r="W4459" s="22">
        <f>IF(OR($D4459="",$R4459="Trùng"),"",COUNTIFS(ORDERS!$C$2:$C$4995,$D4459,ORDERS!$L$2:$L$4995,"Đã chuyển khoản"))</f>
        <v/>
      </c>
      <c r="X4459" s="23">
        <f>IF(OR($D4459="",$R4459="Trùng"),"",SUMIFS(ORDERS!$J$2:$J$4995,ORDERS!$C$2:$C$4995,$D4459,ORDERS!$L$2:$L$4995,"Đã chuyển khoản"))</f>
        <v/>
      </c>
      <c r="Y4459" s="24" t="n"/>
    </row>
    <row r="4460" ht="14.25" customHeight="1" s="40">
      <c r="A4460" s="24" t="n"/>
      <c r="B4460" s="27" t="n"/>
      <c r="C4460" s="24" t="n"/>
      <c r="D4460" s="28" t="n"/>
      <c r="E4460" s="29" t="n"/>
      <c r="F4460" s="24" t="n"/>
      <c r="G4460" s="24" t="n"/>
      <c r="H4460" s="21">
        <f>IF(ISNUMBER($B4460),INT($B4460)-WEEKDAY($B4460,2)+1,"")</f>
        <v/>
      </c>
      <c r="I4460" s="24" t="n"/>
      <c r="J4460" s="22">
        <f t="array" ref="J4460">IF($D4460="","",IF($I4460="","(trống REF)",IFERROR(INDEX(MASTER_SOURCE!$B$2:$B$495,MATCH($I4460,MASTER_SOURCE!$A$2:$A$495,0)),"(REF không có trong MASTER_SOURCE)")))</f>
        <v/>
      </c>
      <c r="K4460" s="22">
        <f t="array" ref="K4460">IF($D4460="","",IFERROR(INDEX(MASTER_SOURCE!$C$2:$C$495,MATCH($I4460,MASTER_SOURCE!$A$2:$A$495,0)),""))</f>
        <v/>
      </c>
      <c r="L4460" s="22">
        <f t="array" ref="L4460">IF($D4460="","",IFERROR(INDEX(MASTER_SOURCE!$D$2:$D$495,MATCH($I4460,MASTER_SOURCE!$A$2:$A$495,0)),""))</f>
        <v/>
      </c>
      <c r="M4460" s="24" t="n"/>
      <c r="N4460" s="24" t="n"/>
      <c r="O4460" s="24" t="n"/>
      <c r="P4460" s="24" t="n"/>
      <c r="Q4460" s="22">
        <f>IF($D4460="","",IF(AND(OR(DANH_MUC!$L$5&lt;&gt;"Có",M4460="Có"),OR(DANH_MUC!$L$6&lt;&gt;"Có",N4460="Có"),OR(DANH_MUC!$L$7&lt;&gt;"Có",O4460="Có"),OR(DANH_MUC!$L$8&lt;&gt;"Có",P4460="Có")),"Có","Không"))</f>
        <v/>
      </c>
      <c r="R4460" s="22">
        <f>IF($D4460="","",IF(COUNTIF($D$2:$D4460,$D4460)&gt;1,"Trùng",""))</f>
        <v/>
      </c>
      <c r="S4460" s="22">
        <f>IF($D4460="","",IF(AND(LEN($D4460)=10,LEFT($D4460,1)="0",ISNUMBER(--$D4460)),"Có","Không"))</f>
        <v/>
      </c>
      <c r="T4460" s="22">
        <f>IF($D4460="","",IF(AND($C4460&lt;&gt;"",$Q4460="Có",$R4460="",$S4460="Có",AND($L4460&lt;&gt;"",OR($L4460&lt;&gt;"Chưa xác định",DANH_MUC!$L$9="Có"))),"Có","Không"))</f>
        <v/>
      </c>
      <c r="U4460" s="22">
        <f>IF(OR($D4460="",$T4460="Có"),"",IF($C4460="","Thiếu họ tên; ","")&amp;IF($S4460&lt;&gt;"Có","SĐT sai định dạng; ","")&amp;IF($R4460="Trùng","Trùng SĐT; ","")&amp;IF($Q4460&lt;&gt;"Có","Thiếu đồng ý bắt buộc; ","")&amp;IF($L4460="","Thiếu/sai Mã REF; ",IF(AND($L4460="Chưa xác định",DANH_MUC!$L$9&lt;&gt;"Có"),"Nguồn chưa xác định; ","")))</f>
        <v/>
      </c>
      <c r="V4460" s="22">
        <f>IF(OR($D4460="",$R4460="Trùng"),"",IF(COUNTIF(ORDERS!$C$2:$C$4995,$D4460)&gt;0,"Có","Không"))</f>
        <v/>
      </c>
      <c r="W4460" s="22">
        <f>IF(OR($D4460="",$R4460="Trùng"),"",COUNTIFS(ORDERS!$C$2:$C$4995,$D4460,ORDERS!$L$2:$L$4995,"Đã chuyển khoản"))</f>
        <v/>
      </c>
      <c r="X4460" s="23">
        <f>IF(OR($D4460="",$R4460="Trùng"),"",SUMIFS(ORDERS!$J$2:$J$4995,ORDERS!$C$2:$C$4995,$D4460,ORDERS!$L$2:$L$4995,"Đã chuyển khoản"))</f>
        <v/>
      </c>
      <c r="Y4460" s="24" t="n"/>
    </row>
    <row r="4461" ht="14.25" customHeight="1" s="40">
      <c r="A4461" s="24" t="n"/>
      <c r="B4461" s="27" t="n"/>
      <c r="C4461" s="24" t="n"/>
      <c r="D4461" s="28" t="n"/>
      <c r="E4461" s="29" t="n"/>
      <c r="F4461" s="24" t="n"/>
      <c r="G4461" s="24" t="n"/>
      <c r="H4461" s="21">
        <f>IF(ISNUMBER($B4461),INT($B4461)-WEEKDAY($B4461,2)+1,"")</f>
        <v/>
      </c>
      <c r="I4461" s="24" t="n"/>
      <c r="J4461" s="22">
        <f t="array" ref="J4461">IF($D4461="","",IF($I4461="","(trống REF)",IFERROR(INDEX(MASTER_SOURCE!$B$2:$B$495,MATCH($I4461,MASTER_SOURCE!$A$2:$A$495,0)),"(REF không có trong MASTER_SOURCE)")))</f>
        <v/>
      </c>
      <c r="K4461" s="22">
        <f t="array" ref="K4461">IF($D4461="","",IFERROR(INDEX(MASTER_SOURCE!$C$2:$C$495,MATCH($I4461,MASTER_SOURCE!$A$2:$A$495,0)),""))</f>
        <v/>
      </c>
      <c r="L4461" s="22">
        <f t="array" ref="L4461">IF($D4461="","",IFERROR(INDEX(MASTER_SOURCE!$D$2:$D$495,MATCH($I4461,MASTER_SOURCE!$A$2:$A$495,0)),""))</f>
        <v/>
      </c>
      <c r="M4461" s="24" t="n"/>
      <c r="N4461" s="24" t="n"/>
      <c r="O4461" s="24" t="n"/>
      <c r="P4461" s="24" t="n"/>
      <c r="Q4461" s="22">
        <f>IF($D4461="","",IF(AND(OR(DANH_MUC!$L$5&lt;&gt;"Có",M4461="Có"),OR(DANH_MUC!$L$6&lt;&gt;"Có",N4461="Có"),OR(DANH_MUC!$L$7&lt;&gt;"Có",O4461="Có"),OR(DANH_MUC!$L$8&lt;&gt;"Có",P4461="Có")),"Có","Không"))</f>
        <v/>
      </c>
      <c r="R4461" s="22">
        <f>IF($D4461="","",IF(COUNTIF($D$2:$D4461,$D4461)&gt;1,"Trùng",""))</f>
        <v/>
      </c>
      <c r="S4461" s="22">
        <f>IF($D4461="","",IF(AND(LEN($D4461)=10,LEFT($D4461,1)="0",ISNUMBER(--$D4461)),"Có","Không"))</f>
        <v/>
      </c>
      <c r="T4461" s="22">
        <f>IF($D4461="","",IF(AND($C4461&lt;&gt;"",$Q4461="Có",$R4461="",$S4461="Có",AND($L4461&lt;&gt;"",OR($L4461&lt;&gt;"Chưa xác định",DANH_MUC!$L$9="Có"))),"Có","Không"))</f>
        <v/>
      </c>
      <c r="U4461" s="22">
        <f>IF(OR($D4461="",$T4461="Có"),"",IF($C4461="","Thiếu họ tên; ","")&amp;IF($S4461&lt;&gt;"Có","SĐT sai định dạng; ","")&amp;IF($R4461="Trùng","Trùng SĐT; ","")&amp;IF($Q4461&lt;&gt;"Có","Thiếu đồng ý bắt buộc; ","")&amp;IF($L4461="","Thiếu/sai Mã REF; ",IF(AND($L4461="Chưa xác định",DANH_MUC!$L$9&lt;&gt;"Có"),"Nguồn chưa xác định; ","")))</f>
        <v/>
      </c>
      <c r="V4461" s="22">
        <f>IF(OR($D4461="",$R4461="Trùng"),"",IF(COUNTIF(ORDERS!$C$2:$C$4995,$D4461)&gt;0,"Có","Không"))</f>
        <v/>
      </c>
      <c r="W4461" s="22">
        <f>IF(OR($D4461="",$R4461="Trùng"),"",COUNTIFS(ORDERS!$C$2:$C$4995,$D4461,ORDERS!$L$2:$L$4995,"Đã chuyển khoản"))</f>
        <v/>
      </c>
      <c r="X4461" s="23">
        <f>IF(OR($D4461="",$R4461="Trùng"),"",SUMIFS(ORDERS!$J$2:$J$4995,ORDERS!$C$2:$C$4995,$D4461,ORDERS!$L$2:$L$4995,"Đã chuyển khoản"))</f>
        <v/>
      </c>
      <c r="Y4461" s="24" t="n"/>
    </row>
    <row r="4462" ht="14.25" customHeight="1" s="40">
      <c r="A4462" s="24" t="n"/>
      <c r="B4462" s="27" t="n"/>
      <c r="C4462" s="24" t="n"/>
      <c r="D4462" s="28" t="n"/>
      <c r="E4462" s="29" t="n"/>
      <c r="F4462" s="24" t="n"/>
      <c r="G4462" s="24" t="n"/>
      <c r="H4462" s="21">
        <f>IF(ISNUMBER($B4462),INT($B4462)-WEEKDAY($B4462,2)+1,"")</f>
        <v/>
      </c>
      <c r="I4462" s="24" t="n"/>
      <c r="J4462" s="22">
        <f t="array" ref="J4462">IF($D4462="","",IF($I4462="","(trống REF)",IFERROR(INDEX(MASTER_SOURCE!$B$2:$B$495,MATCH($I4462,MASTER_SOURCE!$A$2:$A$495,0)),"(REF không có trong MASTER_SOURCE)")))</f>
        <v/>
      </c>
      <c r="K4462" s="22">
        <f t="array" ref="K4462">IF($D4462="","",IFERROR(INDEX(MASTER_SOURCE!$C$2:$C$495,MATCH($I4462,MASTER_SOURCE!$A$2:$A$495,0)),""))</f>
        <v/>
      </c>
      <c r="L4462" s="22">
        <f t="array" ref="L4462">IF($D4462="","",IFERROR(INDEX(MASTER_SOURCE!$D$2:$D$495,MATCH($I4462,MASTER_SOURCE!$A$2:$A$495,0)),""))</f>
        <v/>
      </c>
      <c r="M4462" s="24" t="n"/>
      <c r="N4462" s="24" t="n"/>
      <c r="O4462" s="24" t="n"/>
      <c r="P4462" s="24" t="n"/>
      <c r="Q4462" s="22">
        <f>IF($D4462="","",IF(AND(OR(DANH_MUC!$L$5&lt;&gt;"Có",M4462="Có"),OR(DANH_MUC!$L$6&lt;&gt;"Có",N4462="Có"),OR(DANH_MUC!$L$7&lt;&gt;"Có",O4462="Có"),OR(DANH_MUC!$L$8&lt;&gt;"Có",P4462="Có")),"Có","Không"))</f>
        <v/>
      </c>
      <c r="R4462" s="22">
        <f>IF($D4462="","",IF(COUNTIF($D$2:$D4462,$D4462)&gt;1,"Trùng",""))</f>
        <v/>
      </c>
      <c r="S4462" s="22">
        <f>IF($D4462="","",IF(AND(LEN($D4462)=10,LEFT($D4462,1)="0",ISNUMBER(--$D4462)),"Có","Không"))</f>
        <v/>
      </c>
      <c r="T4462" s="22">
        <f>IF($D4462="","",IF(AND($C4462&lt;&gt;"",$Q4462="Có",$R4462="",$S4462="Có",AND($L4462&lt;&gt;"",OR($L4462&lt;&gt;"Chưa xác định",DANH_MUC!$L$9="Có"))),"Có","Không"))</f>
        <v/>
      </c>
      <c r="U4462" s="22">
        <f>IF(OR($D4462="",$T4462="Có"),"",IF($C4462="","Thiếu họ tên; ","")&amp;IF($S4462&lt;&gt;"Có","SĐT sai định dạng; ","")&amp;IF($R4462="Trùng","Trùng SĐT; ","")&amp;IF($Q4462&lt;&gt;"Có","Thiếu đồng ý bắt buộc; ","")&amp;IF($L4462="","Thiếu/sai Mã REF; ",IF(AND($L4462="Chưa xác định",DANH_MUC!$L$9&lt;&gt;"Có"),"Nguồn chưa xác định; ","")))</f>
        <v/>
      </c>
      <c r="V4462" s="22">
        <f>IF(OR($D4462="",$R4462="Trùng"),"",IF(COUNTIF(ORDERS!$C$2:$C$4995,$D4462)&gt;0,"Có","Không"))</f>
        <v/>
      </c>
      <c r="W4462" s="22">
        <f>IF(OR($D4462="",$R4462="Trùng"),"",COUNTIFS(ORDERS!$C$2:$C$4995,$D4462,ORDERS!$L$2:$L$4995,"Đã chuyển khoản"))</f>
        <v/>
      </c>
      <c r="X4462" s="23">
        <f>IF(OR($D4462="",$R4462="Trùng"),"",SUMIFS(ORDERS!$J$2:$J$4995,ORDERS!$C$2:$C$4995,$D4462,ORDERS!$L$2:$L$4995,"Đã chuyển khoản"))</f>
        <v/>
      </c>
      <c r="Y4462" s="24" t="n"/>
    </row>
    <row r="4463" ht="14.25" customHeight="1" s="40">
      <c r="A4463" s="24" t="n"/>
      <c r="B4463" s="27" t="n"/>
      <c r="C4463" s="24" t="n"/>
      <c r="D4463" s="28" t="n"/>
      <c r="E4463" s="29" t="n"/>
      <c r="F4463" s="24" t="n"/>
      <c r="G4463" s="24" t="n"/>
      <c r="H4463" s="21">
        <f>IF(ISNUMBER($B4463),INT($B4463)-WEEKDAY($B4463,2)+1,"")</f>
        <v/>
      </c>
      <c r="I4463" s="24" t="n"/>
      <c r="J4463" s="22">
        <f t="array" ref="J4463">IF($D4463="","",IF($I4463="","(trống REF)",IFERROR(INDEX(MASTER_SOURCE!$B$2:$B$495,MATCH($I4463,MASTER_SOURCE!$A$2:$A$495,0)),"(REF không có trong MASTER_SOURCE)")))</f>
        <v/>
      </c>
      <c r="K4463" s="22">
        <f t="array" ref="K4463">IF($D4463="","",IFERROR(INDEX(MASTER_SOURCE!$C$2:$C$495,MATCH($I4463,MASTER_SOURCE!$A$2:$A$495,0)),""))</f>
        <v/>
      </c>
      <c r="L4463" s="22">
        <f t="array" ref="L4463">IF($D4463="","",IFERROR(INDEX(MASTER_SOURCE!$D$2:$D$495,MATCH($I4463,MASTER_SOURCE!$A$2:$A$495,0)),""))</f>
        <v/>
      </c>
      <c r="M4463" s="24" t="n"/>
      <c r="N4463" s="24" t="n"/>
      <c r="O4463" s="24" t="n"/>
      <c r="P4463" s="24" t="n"/>
      <c r="Q4463" s="22">
        <f>IF($D4463="","",IF(AND(OR(DANH_MUC!$L$5&lt;&gt;"Có",M4463="Có"),OR(DANH_MUC!$L$6&lt;&gt;"Có",N4463="Có"),OR(DANH_MUC!$L$7&lt;&gt;"Có",O4463="Có"),OR(DANH_MUC!$L$8&lt;&gt;"Có",P4463="Có")),"Có","Không"))</f>
        <v/>
      </c>
      <c r="R4463" s="22">
        <f>IF($D4463="","",IF(COUNTIF($D$2:$D4463,$D4463)&gt;1,"Trùng",""))</f>
        <v/>
      </c>
      <c r="S4463" s="22">
        <f>IF($D4463="","",IF(AND(LEN($D4463)=10,LEFT($D4463,1)="0",ISNUMBER(--$D4463)),"Có","Không"))</f>
        <v/>
      </c>
      <c r="T4463" s="22">
        <f>IF($D4463="","",IF(AND($C4463&lt;&gt;"",$Q4463="Có",$R4463="",$S4463="Có",AND($L4463&lt;&gt;"",OR($L4463&lt;&gt;"Chưa xác định",DANH_MUC!$L$9="Có"))),"Có","Không"))</f>
        <v/>
      </c>
      <c r="U4463" s="22">
        <f>IF(OR($D4463="",$T4463="Có"),"",IF($C4463="","Thiếu họ tên; ","")&amp;IF($S4463&lt;&gt;"Có","SĐT sai định dạng; ","")&amp;IF($R4463="Trùng","Trùng SĐT; ","")&amp;IF($Q4463&lt;&gt;"Có","Thiếu đồng ý bắt buộc; ","")&amp;IF($L4463="","Thiếu/sai Mã REF; ",IF(AND($L4463="Chưa xác định",DANH_MUC!$L$9&lt;&gt;"Có"),"Nguồn chưa xác định; ","")))</f>
        <v/>
      </c>
      <c r="V4463" s="22">
        <f>IF(OR($D4463="",$R4463="Trùng"),"",IF(COUNTIF(ORDERS!$C$2:$C$4995,$D4463)&gt;0,"Có","Không"))</f>
        <v/>
      </c>
      <c r="W4463" s="22">
        <f>IF(OR($D4463="",$R4463="Trùng"),"",COUNTIFS(ORDERS!$C$2:$C$4995,$D4463,ORDERS!$L$2:$L$4995,"Đã chuyển khoản"))</f>
        <v/>
      </c>
      <c r="X4463" s="23">
        <f>IF(OR($D4463="",$R4463="Trùng"),"",SUMIFS(ORDERS!$J$2:$J$4995,ORDERS!$C$2:$C$4995,$D4463,ORDERS!$L$2:$L$4995,"Đã chuyển khoản"))</f>
        <v/>
      </c>
      <c r="Y4463" s="24" t="n"/>
    </row>
    <row r="4464" ht="14.25" customHeight="1" s="40">
      <c r="A4464" s="24" t="n"/>
      <c r="B4464" s="27" t="n"/>
      <c r="C4464" s="24" t="n"/>
      <c r="D4464" s="28" t="n"/>
      <c r="E4464" s="29" t="n"/>
      <c r="F4464" s="24" t="n"/>
      <c r="G4464" s="24" t="n"/>
      <c r="H4464" s="21">
        <f>IF(ISNUMBER($B4464),INT($B4464)-WEEKDAY($B4464,2)+1,"")</f>
        <v/>
      </c>
      <c r="I4464" s="24" t="n"/>
      <c r="J4464" s="22">
        <f t="array" ref="J4464">IF($D4464="","",IF($I4464="","(trống REF)",IFERROR(INDEX(MASTER_SOURCE!$B$2:$B$495,MATCH($I4464,MASTER_SOURCE!$A$2:$A$495,0)),"(REF không có trong MASTER_SOURCE)")))</f>
        <v/>
      </c>
      <c r="K4464" s="22">
        <f t="array" ref="K4464">IF($D4464="","",IFERROR(INDEX(MASTER_SOURCE!$C$2:$C$495,MATCH($I4464,MASTER_SOURCE!$A$2:$A$495,0)),""))</f>
        <v/>
      </c>
      <c r="L4464" s="22">
        <f t="array" ref="L4464">IF($D4464="","",IFERROR(INDEX(MASTER_SOURCE!$D$2:$D$495,MATCH($I4464,MASTER_SOURCE!$A$2:$A$495,0)),""))</f>
        <v/>
      </c>
      <c r="M4464" s="24" t="n"/>
      <c r="N4464" s="24" t="n"/>
      <c r="O4464" s="24" t="n"/>
      <c r="P4464" s="24" t="n"/>
      <c r="Q4464" s="22">
        <f>IF($D4464="","",IF(AND(OR(DANH_MUC!$L$5&lt;&gt;"Có",M4464="Có"),OR(DANH_MUC!$L$6&lt;&gt;"Có",N4464="Có"),OR(DANH_MUC!$L$7&lt;&gt;"Có",O4464="Có"),OR(DANH_MUC!$L$8&lt;&gt;"Có",P4464="Có")),"Có","Không"))</f>
        <v/>
      </c>
      <c r="R4464" s="22">
        <f>IF($D4464="","",IF(COUNTIF($D$2:$D4464,$D4464)&gt;1,"Trùng",""))</f>
        <v/>
      </c>
      <c r="S4464" s="22">
        <f>IF($D4464="","",IF(AND(LEN($D4464)=10,LEFT($D4464,1)="0",ISNUMBER(--$D4464)),"Có","Không"))</f>
        <v/>
      </c>
      <c r="T4464" s="22">
        <f>IF($D4464="","",IF(AND($C4464&lt;&gt;"",$Q4464="Có",$R4464="",$S4464="Có",AND($L4464&lt;&gt;"",OR($L4464&lt;&gt;"Chưa xác định",DANH_MUC!$L$9="Có"))),"Có","Không"))</f>
        <v/>
      </c>
      <c r="U4464" s="22">
        <f>IF(OR($D4464="",$T4464="Có"),"",IF($C4464="","Thiếu họ tên; ","")&amp;IF($S4464&lt;&gt;"Có","SĐT sai định dạng; ","")&amp;IF($R4464="Trùng","Trùng SĐT; ","")&amp;IF($Q4464&lt;&gt;"Có","Thiếu đồng ý bắt buộc; ","")&amp;IF($L4464="","Thiếu/sai Mã REF; ",IF(AND($L4464="Chưa xác định",DANH_MUC!$L$9&lt;&gt;"Có"),"Nguồn chưa xác định; ","")))</f>
        <v/>
      </c>
      <c r="V4464" s="22">
        <f>IF(OR($D4464="",$R4464="Trùng"),"",IF(COUNTIF(ORDERS!$C$2:$C$4995,$D4464)&gt;0,"Có","Không"))</f>
        <v/>
      </c>
      <c r="W4464" s="22">
        <f>IF(OR($D4464="",$R4464="Trùng"),"",COUNTIFS(ORDERS!$C$2:$C$4995,$D4464,ORDERS!$L$2:$L$4995,"Đã chuyển khoản"))</f>
        <v/>
      </c>
      <c r="X4464" s="23">
        <f>IF(OR($D4464="",$R4464="Trùng"),"",SUMIFS(ORDERS!$J$2:$J$4995,ORDERS!$C$2:$C$4995,$D4464,ORDERS!$L$2:$L$4995,"Đã chuyển khoản"))</f>
        <v/>
      </c>
      <c r="Y4464" s="24" t="n"/>
    </row>
    <row r="4465" ht="14.25" customHeight="1" s="40">
      <c r="A4465" s="24" t="n"/>
      <c r="B4465" s="27" t="n"/>
      <c r="C4465" s="24" t="n"/>
      <c r="D4465" s="28" t="n"/>
      <c r="E4465" s="29" t="n"/>
      <c r="F4465" s="24" t="n"/>
      <c r="G4465" s="24" t="n"/>
      <c r="H4465" s="21">
        <f>IF(ISNUMBER($B4465),INT($B4465)-WEEKDAY($B4465,2)+1,"")</f>
        <v/>
      </c>
      <c r="I4465" s="24" t="n"/>
      <c r="J4465" s="22">
        <f t="array" ref="J4465">IF($D4465="","",IF($I4465="","(trống REF)",IFERROR(INDEX(MASTER_SOURCE!$B$2:$B$495,MATCH($I4465,MASTER_SOURCE!$A$2:$A$495,0)),"(REF không có trong MASTER_SOURCE)")))</f>
        <v/>
      </c>
      <c r="K4465" s="22">
        <f t="array" ref="K4465">IF($D4465="","",IFERROR(INDEX(MASTER_SOURCE!$C$2:$C$495,MATCH($I4465,MASTER_SOURCE!$A$2:$A$495,0)),""))</f>
        <v/>
      </c>
      <c r="L4465" s="22">
        <f t="array" ref="L4465">IF($D4465="","",IFERROR(INDEX(MASTER_SOURCE!$D$2:$D$495,MATCH($I4465,MASTER_SOURCE!$A$2:$A$495,0)),""))</f>
        <v/>
      </c>
      <c r="M4465" s="24" t="n"/>
      <c r="N4465" s="24" t="n"/>
      <c r="O4465" s="24" t="n"/>
      <c r="P4465" s="24" t="n"/>
      <c r="Q4465" s="22">
        <f>IF($D4465="","",IF(AND(OR(DANH_MUC!$L$5&lt;&gt;"Có",M4465="Có"),OR(DANH_MUC!$L$6&lt;&gt;"Có",N4465="Có"),OR(DANH_MUC!$L$7&lt;&gt;"Có",O4465="Có"),OR(DANH_MUC!$L$8&lt;&gt;"Có",P4465="Có")),"Có","Không"))</f>
        <v/>
      </c>
      <c r="R4465" s="22">
        <f>IF($D4465="","",IF(COUNTIF($D$2:$D4465,$D4465)&gt;1,"Trùng",""))</f>
        <v/>
      </c>
      <c r="S4465" s="22">
        <f>IF($D4465="","",IF(AND(LEN($D4465)=10,LEFT($D4465,1)="0",ISNUMBER(--$D4465)),"Có","Không"))</f>
        <v/>
      </c>
      <c r="T4465" s="22">
        <f>IF($D4465="","",IF(AND($C4465&lt;&gt;"",$Q4465="Có",$R4465="",$S4465="Có",AND($L4465&lt;&gt;"",OR($L4465&lt;&gt;"Chưa xác định",DANH_MUC!$L$9="Có"))),"Có","Không"))</f>
        <v/>
      </c>
      <c r="U4465" s="22">
        <f>IF(OR($D4465="",$T4465="Có"),"",IF($C4465="","Thiếu họ tên; ","")&amp;IF($S4465&lt;&gt;"Có","SĐT sai định dạng; ","")&amp;IF($R4465="Trùng","Trùng SĐT; ","")&amp;IF($Q4465&lt;&gt;"Có","Thiếu đồng ý bắt buộc; ","")&amp;IF($L4465="","Thiếu/sai Mã REF; ",IF(AND($L4465="Chưa xác định",DANH_MUC!$L$9&lt;&gt;"Có"),"Nguồn chưa xác định; ","")))</f>
        <v/>
      </c>
      <c r="V4465" s="22">
        <f>IF(OR($D4465="",$R4465="Trùng"),"",IF(COUNTIF(ORDERS!$C$2:$C$4995,$D4465)&gt;0,"Có","Không"))</f>
        <v/>
      </c>
      <c r="W4465" s="22">
        <f>IF(OR($D4465="",$R4465="Trùng"),"",COUNTIFS(ORDERS!$C$2:$C$4995,$D4465,ORDERS!$L$2:$L$4995,"Đã chuyển khoản"))</f>
        <v/>
      </c>
      <c r="X4465" s="23">
        <f>IF(OR($D4465="",$R4465="Trùng"),"",SUMIFS(ORDERS!$J$2:$J$4995,ORDERS!$C$2:$C$4995,$D4465,ORDERS!$L$2:$L$4995,"Đã chuyển khoản"))</f>
        <v/>
      </c>
      <c r="Y4465" s="24" t="n"/>
    </row>
    <row r="4466" ht="14.25" customHeight="1" s="40">
      <c r="A4466" s="24" t="n"/>
      <c r="B4466" s="27" t="n"/>
      <c r="C4466" s="24" t="n"/>
      <c r="D4466" s="28" t="n"/>
      <c r="E4466" s="29" t="n"/>
      <c r="F4466" s="24" t="n"/>
      <c r="G4466" s="24" t="n"/>
      <c r="H4466" s="21">
        <f>IF(ISNUMBER($B4466),INT($B4466)-WEEKDAY($B4466,2)+1,"")</f>
        <v/>
      </c>
      <c r="I4466" s="24" t="n"/>
      <c r="J4466" s="22">
        <f t="array" ref="J4466">IF($D4466="","",IF($I4466="","(trống REF)",IFERROR(INDEX(MASTER_SOURCE!$B$2:$B$495,MATCH($I4466,MASTER_SOURCE!$A$2:$A$495,0)),"(REF không có trong MASTER_SOURCE)")))</f>
        <v/>
      </c>
      <c r="K4466" s="22">
        <f t="array" ref="K4466">IF($D4466="","",IFERROR(INDEX(MASTER_SOURCE!$C$2:$C$495,MATCH($I4466,MASTER_SOURCE!$A$2:$A$495,0)),""))</f>
        <v/>
      </c>
      <c r="L4466" s="22">
        <f t="array" ref="L4466">IF($D4466="","",IFERROR(INDEX(MASTER_SOURCE!$D$2:$D$495,MATCH($I4466,MASTER_SOURCE!$A$2:$A$495,0)),""))</f>
        <v/>
      </c>
      <c r="M4466" s="24" t="n"/>
      <c r="N4466" s="24" t="n"/>
      <c r="O4466" s="24" t="n"/>
      <c r="P4466" s="24" t="n"/>
      <c r="Q4466" s="22">
        <f>IF($D4466="","",IF(AND(OR(DANH_MUC!$L$5&lt;&gt;"Có",M4466="Có"),OR(DANH_MUC!$L$6&lt;&gt;"Có",N4466="Có"),OR(DANH_MUC!$L$7&lt;&gt;"Có",O4466="Có"),OR(DANH_MUC!$L$8&lt;&gt;"Có",P4466="Có")),"Có","Không"))</f>
        <v/>
      </c>
      <c r="R4466" s="22">
        <f>IF($D4466="","",IF(COUNTIF($D$2:$D4466,$D4466)&gt;1,"Trùng",""))</f>
        <v/>
      </c>
      <c r="S4466" s="22">
        <f>IF($D4466="","",IF(AND(LEN($D4466)=10,LEFT($D4466,1)="0",ISNUMBER(--$D4466)),"Có","Không"))</f>
        <v/>
      </c>
      <c r="T4466" s="22">
        <f>IF($D4466="","",IF(AND($C4466&lt;&gt;"",$Q4466="Có",$R4466="",$S4466="Có",AND($L4466&lt;&gt;"",OR($L4466&lt;&gt;"Chưa xác định",DANH_MUC!$L$9="Có"))),"Có","Không"))</f>
        <v/>
      </c>
      <c r="U4466" s="22">
        <f>IF(OR($D4466="",$T4466="Có"),"",IF($C4466="","Thiếu họ tên; ","")&amp;IF($S4466&lt;&gt;"Có","SĐT sai định dạng; ","")&amp;IF($R4466="Trùng","Trùng SĐT; ","")&amp;IF($Q4466&lt;&gt;"Có","Thiếu đồng ý bắt buộc; ","")&amp;IF($L4466="","Thiếu/sai Mã REF; ",IF(AND($L4466="Chưa xác định",DANH_MUC!$L$9&lt;&gt;"Có"),"Nguồn chưa xác định; ","")))</f>
        <v/>
      </c>
      <c r="V4466" s="22">
        <f>IF(OR($D4466="",$R4466="Trùng"),"",IF(COUNTIF(ORDERS!$C$2:$C$4995,$D4466)&gt;0,"Có","Không"))</f>
        <v/>
      </c>
      <c r="W4466" s="22">
        <f>IF(OR($D4466="",$R4466="Trùng"),"",COUNTIFS(ORDERS!$C$2:$C$4995,$D4466,ORDERS!$L$2:$L$4995,"Đã chuyển khoản"))</f>
        <v/>
      </c>
      <c r="X4466" s="23">
        <f>IF(OR($D4466="",$R4466="Trùng"),"",SUMIFS(ORDERS!$J$2:$J$4995,ORDERS!$C$2:$C$4995,$D4466,ORDERS!$L$2:$L$4995,"Đã chuyển khoản"))</f>
        <v/>
      </c>
      <c r="Y4466" s="24" t="n"/>
    </row>
    <row r="4467" ht="14.25" customHeight="1" s="40">
      <c r="A4467" s="24" t="n"/>
      <c r="B4467" s="27" t="n"/>
      <c r="C4467" s="24" t="n"/>
      <c r="D4467" s="28" t="n"/>
      <c r="E4467" s="29" t="n"/>
      <c r="F4467" s="24" t="n"/>
      <c r="G4467" s="24" t="n"/>
      <c r="H4467" s="21">
        <f>IF(ISNUMBER($B4467),INT($B4467)-WEEKDAY($B4467,2)+1,"")</f>
        <v/>
      </c>
      <c r="I4467" s="24" t="n"/>
      <c r="J4467" s="22">
        <f t="array" ref="J4467">IF($D4467="","",IF($I4467="","(trống REF)",IFERROR(INDEX(MASTER_SOURCE!$B$2:$B$495,MATCH($I4467,MASTER_SOURCE!$A$2:$A$495,0)),"(REF không có trong MASTER_SOURCE)")))</f>
        <v/>
      </c>
      <c r="K4467" s="22">
        <f t="array" ref="K4467">IF($D4467="","",IFERROR(INDEX(MASTER_SOURCE!$C$2:$C$495,MATCH($I4467,MASTER_SOURCE!$A$2:$A$495,0)),""))</f>
        <v/>
      </c>
      <c r="L4467" s="22">
        <f t="array" ref="L4467">IF($D4467="","",IFERROR(INDEX(MASTER_SOURCE!$D$2:$D$495,MATCH($I4467,MASTER_SOURCE!$A$2:$A$495,0)),""))</f>
        <v/>
      </c>
      <c r="M4467" s="24" t="n"/>
      <c r="N4467" s="24" t="n"/>
      <c r="O4467" s="24" t="n"/>
      <c r="P4467" s="24" t="n"/>
      <c r="Q4467" s="22">
        <f>IF($D4467="","",IF(AND(OR(DANH_MUC!$L$5&lt;&gt;"Có",M4467="Có"),OR(DANH_MUC!$L$6&lt;&gt;"Có",N4467="Có"),OR(DANH_MUC!$L$7&lt;&gt;"Có",O4467="Có"),OR(DANH_MUC!$L$8&lt;&gt;"Có",P4467="Có")),"Có","Không"))</f>
        <v/>
      </c>
      <c r="R4467" s="22">
        <f>IF($D4467="","",IF(COUNTIF($D$2:$D4467,$D4467)&gt;1,"Trùng",""))</f>
        <v/>
      </c>
      <c r="S4467" s="22">
        <f>IF($D4467="","",IF(AND(LEN($D4467)=10,LEFT($D4467,1)="0",ISNUMBER(--$D4467)),"Có","Không"))</f>
        <v/>
      </c>
      <c r="T4467" s="22">
        <f>IF($D4467="","",IF(AND($C4467&lt;&gt;"",$Q4467="Có",$R4467="",$S4467="Có",AND($L4467&lt;&gt;"",OR($L4467&lt;&gt;"Chưa xác định",DANH_MUC!$L$9="Có"))),"Có","Không"))</f>
        <v/>
      </c>
      <c r="U4467" s="22">
        <f>IF(OR($D4467="",$T4467="Có"),"",IF($C4467="","Thiếu họ tên; ","")&amp;IF($S4467&lt;&gt;"Có","SĐT sai định dạng; ","")&amp;IF($R4467="Trùng","Trùng SĐT; ","")&amp;IF($Q4467&lt;&gt;"Có","Thiếu đồng ý bắt buộc; ","")&amp;IF($L4467="","Thiếu/sai Mã REF; ",IF(AND($L4467="Chưa xác định",DANH_MUC!$L$9&lt;&gt;"Có"),"Nguồn chưa xác định; ","")))</f>
        <v/>
      </c>
      <c r="V4467" s="22">
        <f>IF(OR($D4467="",$R4467="Trùng"),"",IF(COUNTIF(ORDERS!$C$2:$C$4995,$D4467)&gt;0,"Có","Không"))</f>
        <v/>
      </c>
      <c r="W4467" s="22">
        <f>IF(OR($D4467="",$R4467="Trùng"),"",COUNTIFS(ORDERS!$C$2:$C$4995,$D4467,ORDERS!$L$2:$L$4995,"Đã chuyển khoản"))</f>
        <v/>
      </c>
      <c r="X4467" s="23">
        <f>IF(OR($D4467="",$R4467="Trùng"),"",SUMIFS(ORDERS!$J$2:$J$4995,ORDERS!$C$2:$C$4995,$D4467,ORDERS!$L$2:$L$4995,"Đã chuyển khoản"))</f>
        <v/>
      </c>
      <c r="Y4467" s="24" t="n"/>
    </row>
    <row r="4468" ht="14.25" customHeight="1" s="40">
      <c r="A4468" s="24" t="n"/>
      <c r="B4468" s="27" t="n"/>
      <c r="C4468" s="24" t="n"/>
      <c r="D4468" s="28" t="n"/>
      <c r="E4468" s="29" t="n"/>
      <c r="F4468" s="24" t="n"/>
      <c r="G4468" s="24" t="n"/>
      <c r="H4468" s="21">
        <f>IF(ISNUMBER($B4468),INT($B4468)-WEEKDAY($B4468,2)+1,"")</f>
        <v/>
      </c>
      <c r="I4468" s="24" t="n"/>
      <c r="J4468" s="22">
        <f t="array" ref="J4468">IF($D4468="","",IF($I4468="","(trống REF)",IFERROR(INDEX(MASTER_SOURCE!$B$2:$B$495,MATCH($I4468,MASTER_SOURCE!$A$2:$A$495,0)),"(REF không có trong MASTER_SOURCE)")))</f>
        <v/>
      </c>
      <c r="K4468" s="22">
        <f t="array" ref="K4468">IF($D4468="","",IFERROR(INDEX(MASTER_SOURCE!$C$2:$C$495,MATCH($I4468,MASTER_SOURCE!$A$2:$A$495,0)),""))</f>
        <v/>
      </c>
      <c r="L4468" s="22">
        <f t="array" ref="L4468">IF($D4468="","",IFERROR(INDEX(MASTER_SOURCE!$D$2:$D$495,MATCH($I4468,MASTER_SOURCE!$A$2:$A$495,0)),""))</f>
        <v/>
      </c>
      <c r="M4468" s="24" t="n"/>
      <c r="N4468" s="24" t="n"/>
      <c r="O4468" s="24" t="n"/>
      <c r="P4468" s="24" t="n"/>
      <c r="Q4468" s="22">
        <f>IF($D4468="","",IF(AND(OR(DANH_MUC!$L$5&lt;&gt;"Có",M4468="Có"),OR(DANH_MUC!$L$6&lt;&gt;"Có",N4468="Có"),OR(DANH_MUC!$L$7&lt;&gt;"Có",O4468="Có"),OR(DANH_MUC!$L$8&lt;&gt;"Có",P4468="Có")),"Có","Không"))</f>
        <v/>
      </c>
      <c r="R4468" s="22">
        <f>IF($D4468="","",IF(COUNTIF($D$2:$D4468,$D4468)&gt;1,"Trùng",""))</f>
        <v/>
      </c>
      <c r="S4468" s="22">
        <f>IF($D4468="","",IF(AND(LEN($D4468)=10,LEFT($D4468,1)="0",ISNUMBER(--$D4468)),"Có","Không"))</f>
        <v/>
      </c>
      <c r="T4468" s="22">
        <f>IF($D4468="","",IF(AND($C4468&lt;&gt;"",$Q4468="Có",$R4468="",$S4468="Có",AND($L4468&lt;&gt;"",OR($L4468&lt;&gt;"Chưa xác định",DANH_MUC!$L$9="Có"))),"Có","Không"))</f>
        <v/>
      </c>
      <c r="U4468" s="22">
        <f>IF(OR($D4468="",$T4468="Có"),"",IF($C4468="","Thiếu họ tên; ","")&amp;IF($S4468&lt;&gt;"Có","SĐT sai định dạng; ","")&amp;IF($R4468="Trùng","Trùng SĐT; ","")&amp;IF($Q4468&lt;&gt;"Có","Thiếu đồng ý bắt buộc; ","")&amp;IF($L4468="","Thiếu/sai Mã REF; ",IF(AND($L4468="Chưa xác định",DANH_MUC!$L$9&lt;&gt;"Có"),"Nguồn chưa xác định; ","")))</f>
        <v/>
      </c>
      <c r="V4468" s="22">
        <f>IF(OR($D4468="",$R4468="Trùng"),"",IF(COUNTIF(ORDERS!$C$2:$C$4995,$D4468)&gt;0,"Có","Không"))</f>
        <v/>
      </c>
      <c r="W4468" s="22">
        <f>IF(OR($D4468="",$R4468="Trùng"),"",COUNTIFS(ORDERS!$C$2:$C$4995,$D4468,ORDERS!$L$2:$L$4995,"Đã chuyển khoản"))</f>
        <v/>
      </c>
      <c r="X4468" s="23">
        <f>IF(OR($D4468="",$R4468="Trùng"),"",SUMIFS(ORDERS!$J$2:$J$4995,ORDERS!$C$2:$C$4995,$D4468,ORDERS!$L$2:$L$4995,"Đã chuyển khoản"))</f>
        <v/>
      </c>
      <c r="Y4468" s="24" t="n"/>
    </row>
    <row r="4469" ht="14.25" customHeight="1" s="40">
      <c r="A4469" s="24" t="n"/>
      <c r="B4469" s="27" t="n"/>
      <c r="C4469" s="24" t="n"/>
      <c r="D4469" s="28" t="n"/>
      <c r="E4469" s="29" t="n"/>
      <c r="F4469" s="24" t="n"/>
      <c r="G4469" s="24" t="n"/>
      <c r="H4469" s="21">
        <f>IF(ISNUMBER($B4469),INT($B4469)-WEEKDAY($B4469,2)+1,"")</f>
        <v/>
      </c>
      <c r="I4469" s="24" t="n"/>
      <c r="J4469" s="22">
        <f t="array" ref="J4469">IF($D4469="","",IF($I4469="","(trống REF)",IFERROR(INDEX(MASTER_SOURCE!$B$2:$B$495,MATCH($I4469,MASTER_SOURCE!$A$2:$A$495,0)),"(REF không có trong MASTER_SOURCE)")))</f>
        <v/>
      </c>
      <c r="K4469" s="22">
        <f t="array" ref="K4469">IF($D4469="","",IFERROR(INDEX(MASTER_SOURCE!$C$2:$C$495,MATCH($I4469,MASTER_SOURCE!$A$2:$A$495,0)),""))</f>
        <v/>
      </c>
      <c r="L4469" s="22">
        <f t="array" ref="L4469">IF($D4469="","",IFERROR(INDEX(MASTER_SOURCE!$D$2:$D$495,MATCH($I4469,MASTER_SOURCE!$A$2:$A$495,0)),""))</f>
        <v/>
      </c>
      <c r="M4469" s="24" t="n"/>
      <c r="N4469" s="24" t="n"/>
      <c r="O4469" s="24" t="n"/>
      <c r="P4469" s="24" t="n"/>
      <c r="Q4469" s="22">
        <f>IF($D4469="","",IF(AND(OR(DANH_MUC!$L$5&lt;&gt;"Có",M4469="Có"),OR(DANH_MUC!$L$6&lt;&gt;"Có",N4469="Có"),OR(DANH_MUC!$L$7&lt;&gt;"Có",O4469="Có"),OR(DANH_MUC!$L$8&lt;&gt;"Có",P4469="Có")),"Có","Không"))</f>
        <v/>
      </c>
      <c r="R4469" s="22">
        <f>IF($D4469="","",IF(COUNTIF($D$2:$D4469,$D4469)&gt;1,"Trùng",""))</f>
        <v/>
      </c>
      <c r="S4469" s="22">
        <f>IF($D4469="","",IF(AND(LEN($D4469)=10,LEFT($D4469,1)="0",ISNUMBER(--$D4469)),"Có","Không"))</f>
        <v/>
      </c>
      <c r="T4469" s="22">
        <f>IF($D4469="","",IF(AND($C4469&lt;&gt;"",$Q4469="Có",$R4469="",$S4469="Có",AND($L4469&lt;&gt;"",OR($L4469&lt;&gt;"Chưa xác định",DANH_MUC!$L$9="Có"))),"Có","Không"))</f>
        <v/>
      </c>
      <c r="U4469" s="22">
        <f>IF(OR($D4469="",$T4469="Có"),"",IF($C4469="","Thiếu họ tên; ","")&amp;IF($S4469&lt;&gt;"Có","SĐT sai định dạng; ","")&amp;IF($R4469="Trùng","Trùng SĐT; ","")&amp;IF($Q4469&lt;&gt;"Có","Thiếu đồng ý bắt buộc; ","")&amp;IF($L4469="","Thiếu/sai Mã REF; ",IF(AND($L4469="Chưa xác định",DANH_MUC!$L$9&lt;&gt;"Có"),"Nguồn chưa xác định; ","")))</f>
        <v/>
      </c>
      <c r="V4469" s="22">
        <f>IF(OR($D4469="",$R4469="Trùng"),"",IF(COUNTIF(ORDERS!$C$2:$C$4995,$D4469)&gt;0,"Có","Không"))</f>
        <v/>
      </c>
      <c r="W4469" s="22">
        <f>IF(OR($D4469="",$R4469="Trùng"),"",COUNTIFS(ORDERS!$C$2:$C$4995,$D4469,ORDERS!$L$2:$L$4995,"Đã chuyển khoản"))</f>
        <v/>
      </c>
      <c r="X4469" s="23">
        <f>IF(OR($D4469="",$R4469="Trùng"),"",SUMIFS(ORDERS!$J$2:$J$4995,ORDERS!$C$2:$C$4995,$D4469,ORDERS!$L$2:$L$4995,"Đã chuyển khoản"))</f>
        <v/>
      </c>
      <c r="Y4469" s="24" t="n"/>
    </row>
    <row r="4470" ht="14.25" customHeight="1" s="40">
      <c r="A4470" s="24" t="n"/>
      <c r="B4470" s="27" t="n"/>
      <c r="C4470" s="24" t="n"/>
      <c r="D4470" s="28" t="n"/>
      <c r="E4470" s="29" t="n"/>
      <c r="F4470" s="24" t="n"/>
      <c r="G4470" s="24" t="n"/>
      <c r="H4470" s="21">
        <f>IF(ISNUMBER($B4470),INT($B4470)-WEEKDAY($B4470,2)+1,"")</f>
        <v/>
      </c>
      <c r="I4470" s="24" t="n"/>
      <c r="J4470" s="22">
        <f t="array" ref="J4470">IF($D4470="","",IF($I4470="","(trống REF)",IFERROR(INDEX(MASTER_SOURCE!$B$2:$B$495,MATCH($I4470,MASTER_SOURCE!$A$2:$A$495,0)),"(REF không có trong MASTER_SOURCE)")))</f>
        <v/>
      </c>
      <c r="K4470" s="22">
        <f t="array" ref="K4470">IF($D4470="","",IFERROR(INDEX(MASTER_SOURCE!$C$2:$C$495,MATCH($I4470,MASTER_SOURCE!$A$2:$A$495,0)),""))</f>
        <v/>
      </c>
      <c r="L4470" s="22">
        <f t="array" ref="L4470">IF($D4470="","",IFERROR(INDEX(MASTER_SOURCE!$D$2:$D$495,MATCH($I4470,MASTER_SOURCE!$A$2:$A$495,0)),""))</f>
        <v/>
      </c>
      <c r="M4470" s="24" t="n"/>
      <c r="N4470" s="24" t="n"/>
      <c r="O4470" s="24" t="n"/>
      <c r="P4470" s="24" t="n"/>
      <c r="Q4470" s="22">
        <f>IF($D4470="","",IF(AND(OR(DANH_MUC!$L$5&lt;&gt;"Có",M4470="Có"),OR(DANH_MUC!$L$6&lt;&gt;"Có",N4470="Có"),OR(DANH_MUC!$L$7&lt;&gt;"Có",O4470="Có"),OR(DANH_MUC!$L$8&lt;&gt;"Có",P4470="Có")),"Có","Không"))</f>
        <v/>
      </c>
      <c r="R4470" s="22">
        <f>IF($D4470="","",IF(COUNTIF($D$2:$D4470,$D4470)&gt;1,"Trùng",""))</f>
        <v/>
      </c>
      <c r="S4470" s="22">
        <f>IF($D4470="","",IF(AND(LEN($D4470)=10,LEFT($D4470,1)="0",ISNUMBER(--$D4470)),"Có","Không"))</f>
        <v/>
      </c>
      <c r="T4470" s="22">
        <f>IF($D4470="","",IF(AND($C4470&lt;&gt;"",$Q4470="Có",$R4470="",$S4470="Có",AND($L4470&lt;&gt;"",OR($L4470&lt;&gt;"Chưa xác định",DANH_MUC!$L$9="Có"))),"Có","Không"))</f>
        <v/>
      </c>
      <c r="U4470" s="22">
        <f>IF(OR($D4470="",$T4470="Có"),"",IF($C4470="","Thiếu họ tên; ","")&amp;IF($S4470&lt;&gt;"Có","SĐT sai định dạng; ","")&amp;IF($R4470="Trùng","Trùng SĐT; ","")&amp;IF($Q4470&lt;&gt;"Có","Thiếu đồng ý bắt buộc; ","")&amp;IF($L4470="","Thiếu/sai Mã REF; ",IF(AND($L4470="Chưa xác định",DANH_MUC!$L$9&lt;&gt;"Có"),"Nguồn chưa xác định; ","")))</f>
        <v/>
      </c>
      <c r="V4470" s="22">
        <f>IF(OR($D4470="",$R4470="Trùng"),"",IF(COUNTIF(ORDERS!$C$2:$C$4995,$D4470)&gt;0,"Có","Không"))</f>
        <v/>
      </c>
      <c r="W4470" s="22">
        <f>IF(OR($D4470="",$R4470="Trùng"),"",COUNTIFS(ORDERS!$C$2:$C$4995,$D4470,ORDERS!$L$2:$L$4995,"Đã chuyển khoản"))</f>
        <v/>
      </c>
      <c r="X4470" s="23">
        <f>IF(OR($D4470="",$R4470="Trùng"),"",SUMIFS(ORDERS!$J$2:$J$4995,ORDERS!$C$2:$C$4995,$D4470,ORDERS!$L$2:$L$4995,"Đã chuyển khoản"))</f>
        <v/>
      </c>
      <c r="Y4470" s="24" t="n"/>
    </row>
    <row r="4471" ht="14.25" customHeight="1" s="40">
      <c r="A4471" s="24" t="n"/>
      <c r="B4471" s="27" t="n"/>
      <c r="C4471" s="24" t="n"/>
      <c r="D4471" s="28" t="n"/>
      <c r="E4471" s="29" t="n"/>
      <c r="F4471" s="24" t="n"/>
      <c r="G4471" s="24" t="n"/>
      <c r="H4471" s="21">
        <f>IF(ISNUMBER($B4471),INT($B4471)-WEEKDAY($B4471,2)+1,"")</f>
        <v/>
      </c>
      <c r="I4471" s="24" t="n"/>
      <c r="J4471" s="22">
        <f t="array" ref="J4471">IF($D4471="","",IF($I4471="","(trống REF)",IFERROR(INDEX(MASTER_SOURCE!$B$2:$B$495,MATCH($I4471,MASTER_SOURCE!$A$2:$A$495,0)),"(REF không có trong MASTER_SOURCE)")))</f>
        <v/>
      </c>
      <c r="K4471" s="22">
        <f t="array" ref="K4471">IF($D4471="","",IFERROR(INDEX(MASTER_SOURCE!$C$2:$C$495,MATCH($I4471,MASTER_SOURCE!$A$2:$A$495,0)),""))</f>
        <v/>
      </c>
      <c r="L4471" s="22">
        <f t="array" ref="L4471">IF($D4471="","",IFERROR(INDEX(MASTER_SOURCE!$D$2:$D$495,MATCH($I4471,MASTER_SOURCE!$A$2:$A$495,0)),""))</f>
        <v/>
      </c>
      <c r="M4471" s="24" t="n"/>
      <c r="N4471" s="24" t="n"/>
      <c r="O4471" s="24" t="n"/>
      <c r="P4471" s="24" t="n"/>
      <c r="Q4471" s="22">
        <f>IF($D4471="","",IF(AND(OR(DANH_MUC!$L$5&lt;&gt;"Có",M4471="Có"),OR(DANH_MUC!$L$6&lt;&gt;"Có",N4471="Có"),OR(DANH_MUC!$L$7&lt;&gt;"Có",O4471="Có"),OR(DANH_MUC!$L$8&lt;&gt;"Có",P4471="Có")),"Có","Không"))</f>
        <v/>
      </c>
      <c r="R4471" s="22">
        <f>IF($D4471="","",IF(COUNTIF($D$2:$D4471,$D4471)&gt;1,"Trùng",""))</f>
        <v/>
      </c>
      <c r="S4471" s="22">
        <f>IF($D4471="","",IF(AND(LEN($D4471)=10,LEFT($D4471,1)="0",ISNUMBER(--$D4471)),"Có","Không"))</f>
        <v/>
      </c>
      <c r="T4471" s="22">
        <f>IF($D4471="","",IF(AND($C4471&lt;&gt;"",$Q4471="Có",$R4471="",$S4471="Có",AND($L4471&lt;&gt;"",OR($L4471&lt;&gt;"Chưa xác định",DANH_MUC!$L$9="Có"))),"Có","Không"))</f>
        <v/>
      </c>
      <c r="U4471" s="22">
        <f>IF(OR($D4471="",$T4471="Có"),"",IF($C4471="","Thiếu họ tên; ","")&amp;IF($S4471&lt;&gt;"Có","SĐT sai định dạng; ","")&amp;IF($R4471="Trùng","Trùng SĐT; ","")&amp;IF($Q4471&lt;&gt;"Có","Thiếu đồng ý bắt buộc; ","")&amp;IF($L4471="","Thiếu/sai Mã REF; ",IF(AND($L4471="Chưa xác định",DANH_MUC!$L$9&lt;&gt;"Có"),"Nguồn chưa xác định; ","")))</f>
        <v/>
      </c>
      <c r="V4471" s="22">
        <f>IF(OR($D4471="",$R4471="Trùng"),"",IF(COUNTIF(ORDERS!$C$2:$C$4995,$D4471)&gt;0,"Có","Không"))</f>
        <v/>
      </c>
      <c r="W4471" s="22">
        <f>IF(OR($D4471="",$R4471="Trùng"),"",COUNTIFS(ORDERS!$C$2:$C$4995,$D4471,ORDERS!$L$2:$L$4995,"Đã chuyển khoản"))</f>
        <v/>
      </c>
      <c r="X4471" s="23">
        <f>IF(OR($D4471="",$R4471="Trùng"),"",SUMIFS(ORDERS!$J$2:$J$4995,ORDERS!$C$2:$C$4995,$D4471,ORDERS!$L$2:$L$4995,"Đã chuyển khoản"))</f>
        <v/>
      </c>
      <c r="Y4471" s="24" t="n"/>
    </row>
    <row r="4472" ht="14.25" customHeight="1" s="40">
      <c r="A4472" s="24" t="n"/>
      <c r="B4472" s="27" t="n"/>
      <c r="C4472" s="24" t="n"/>
      <c r="D4472" s="28" t="n"/>
      <c r="E4472" s="29" t="n"/>
      <c r="F4472" s="24" t="n"/>
      <c r="G4472" s="24" t="n"/>
      <c r="H4472" s="21">
        <f>IF(ISNUMBER($B4472),INT($B4472)-WEEKDAY($B4472,2)+1,"")</f>
        <v/>
      </c>
      <c r="I4472" s="24" t="n"/>
      <c r="J4472" s="22">
        <f t="array" ref="J4472">IF($D4472="","",IF($I4472="","(trống REF)",IFERROR(INDEX(MASTER_SOURCE!$B$2:$B$495,MATCH($I4472,MASTER_SOURCE!$A$2:$A$495,0)),"(REF không có trong MASTER_SOURCE)")))</f>
        <v/>
      </c>
      <c r="K4472" s="22">
        <f t="array" ref="K4472">IF($D4472="","",IFERROR(INDEX(MASTER_SOURCE!$C$2:$C$495,MATCH($I4472,MASTER_SOURCE!$A$2:$A$495,0)),""))</f>
        <v/>
      </c>
      <c r="L4472" s="22">
        <f t="array" ref="L4472">IF($D4472="","",IFERROR(INDEX(MASTER_SOURCE!$D$2:$D$495,MATCH($I4472,MASTER_SOURCE!$A$2:$A$495,0)),""))</f>
        <v/>
      </c>
      <c r="M4472" s="24" t="n"/>
      <c r="N4472" s="24" t="n"/>
      <c r="O4472" s="24" t="n"/>
      <c r="P4472" s="24" t="n"/>
      <c r="Q4472" s="22">
        <f>IF($D4472="","",IF(AND(OR(DANH_MUC!$L$5&lt;&gt;"Có",M4472="Có"),OR(DANH_MUC!$L$6&lt;&gt;"Có",N4472="Có"),OR(DANH_MUC!$L$7&lt;&gt;"Có",O4472="Có"),OR(DANH_MUC!$L$8&lt;&gt;"Có",P4472="Có")),"Có","Không"))</f>
        <v/>
      </c>
      <c r="R4472" s="22">
        <f>IF($D4472="","",IF(COUNTIF($D$2:$D4472,$D4472)&gt;1,"Trùng",""))</f>
        <v/>
      </c>
      <c r="S4472" s="22">
        <f>IF($D4472="","",IF(AND(LEN($D4472)=10,LEFT($D4472,1)="0",ISNUMBER(--$D4472)),"Có","Không"))</f>
        <v/>
      </c>
      <c r="T4472" s="22">
        <f>IF($D4472="","",IF(AND($C4472&lt;&gt;"",$Q4472="Có",$R4472="",$S4472="Có",AND($L4472&lt;&gt;"",OR($L4472&lt;&gt;"Chưa xác định",DANH_MUC!$L$9="Có"))),"Có","Không"))</f>
        <v/>
      </c>
      <c r="U4472" s="22">
        <f>IF(OR($D4472="",$T4472="Có"),"",IF($C4472="","Thiếu họ tên; ","")&amp;IF($S4472&lt;&gt;"Có","SĐT sai định dạng; ","")&amp;IF($R4472="Trùng","Trùng SĐT; ","")&amp;IF($Q4472&lt;&gt;"Có","Thiếu đồng ý bắt buộc; ","")&amp;IF($L4472="","Thiếu/sai Mã REF; ",IF(AND($L4472="Chưa xác định",DANH_MUC!$L$9&lt;&gt;"Có"),"Nguồn chưa xác định; ","")))</f>
        <v/>
      </c>
      <c r="V4472" s="22">
        <f>IF(OR($D4472="",$R4472="Trùng"),"",IF(COUNTIF(ORDERS!$C$2:$C$4995,$D4472)&gt;0,"Có","Không"))</f>
        <v/>
      </c>
      <c r="W4472" s="22">
        <f>IF(OR($D4472="",$R4472="Trùng"),"",COUNTIFS(ORDERS!$C$2:$C$4995,$D4472,ORDERS!$L$2:$L$4995,"Đã chuyển khoản"))</f>
        <v/>
      </c>
      <c r="X4472" s="23">
        <f>IF(OR($D4472="",$R4472="Trùng"),"",SUMIFS(ORDERS!$J$2:$J$4995,ORDERS!$C$2:$C$4995,$D4472,ORDERS!$L$2:$L$4995,"Đã chuyển khoản"))</f>
        <v/>
      </c>
      <c r="Y4472" s="24" t="n"/>
    </row>
    <row r="4473" ht="14.25" customHeight="1" s="40">
      <c r="A4473" s="24" t="n"/>
      <c r="B4473" s="27" t="n"/>
      <c r="C4473" s="24" t="n"/>
      <c r="D4473" s="28" t="n"/>
      <c r="E4473" s="29" t="n"/>
      <c r="F4473" s="24" t="n"/>
      <c r="G4473" s="24" t="n"/>
      <c r="H4473" s="21">
        <f>IF(ISNUMBER($B4473),INT($B4473)-WEEKDAY($B4473,2)+1,"")</f>
        <v/>
      </c>
      <c r="I4473" s="24" t="n"/>
      <c r="J4473" s="22">
        <f t="array" ref="J4473">IF($D4473="","",IF($I4473="","(trống REF)",IFERROR(INDEX(MASTER_SOURCE!$B$2:$B$495,MATCH($I4473,MASTER_SOURCE!$A$2:$A$495,0)),"(REF không có trong MASTER_SOURCE)")))</f>
        <v/>
      </c>
      <c r="K4473" s="22">
        <f t="array" ref="K4473">IF($D4473="","",IFERROR(INDEX(MASTER_SOURCE!$C$2:$C$495,MATCH($I4473,MASTER_SOURCE!$A$2:$A$495,0)),""))</f>
        <v/>
      </c>
      <c r="L4473" s="22">
        <f t="array" ref="L4473">IF($D4473="","",IFERROR(INDEX(MASTER_SOURCE!$D$2:$D$495,MATCH($I4473,MASTER_SOURCE!$A$2:$A$495,0)),""))</f>
        <v/>
      </c>
      <c r="M4473" s="24" t="n"/>
      <c r="N4473" s="24" t="n"/>
      <c r="O4473" s="24" t="n"/>
      <c r="P4473" s="24" t="n"/>
      <c r="Q4473" s="22">
        <f>IF($D4473="","",IF(AND(OR(DANH_MUC!$L$5&lt;&gt;"Có",M4473="Có"),OR(DANH_MUC!$L$6&lt;&gt;"Có",N4473="Có"),OR(DANH_MUC!$L$7&lt;&gt;"Có",O4473="Có"),OR(DANH_MUC!$L$8&lt;&gt;"Có",P4473="Có")),"Có","Không"))</f>
        <v/>
      </c>
      <c r="R4473" s="22">
        <f>IF($D4473="","",IF(COUNTIF($D$2:$D4473,$D4473)&gt;1,"Trùng",""))</f>
        <v/>
      </c>
      <c r="S4473" s="22">
        <f>IF($D4473="","",IF(AND(LEN($D4473)=10,LEFT($D4473,1)="0",ISNUMBER(--$D4473)),"Có","Không"))</f>
        <v/>
      </c>
      <c r="T4473" s="22">
        <f>IF($D4473="","",IF(AND($C4473&lt;&gt;"",$Q4473="Có",$R4473="",$S4473="Có",AND($L4473&lt;&gt;"",OR($L4473&lt;&gt;"Chưa xác định",DANH_MUC!$L$9="Có"))),"Có","Không"))</f>
        <v/>
      </c>
      <c r="U4473" s="22">
        <f>IF(OR($D4473="",$T4473="Có"),"",IF($C4473="","Thiếu họ tên; ","")&amp;IF($S4473&lt;&gt;"Có","SĐT sai định dạng; ","")&amp;IF($R4473="Trùng","Trùng SĐT; ","")&amp;IF($Q4473&lt;&gt;"Có","Thiếu đồng ý bắt buộc; ","")&amp;IF($L4473="","Thiếu/sai Mã REF; ",IF(AND($L4473="Chưa xác định",DANH_MUC!$L$9&lt;&gt;"Có"),"Nguồn chưa xác định; ","")))</f>
        <v/>
      </c>
      <c r="V4473" s="22">
        <f>IF(OR($D4473="",$R4473="Trùng"),"",IF(COUNTIF(ORDERS!$C$2:$C$4995,$D4473)&gt;0,"Có","Không"))</f>
        <v/>
      </c>
      <c r="W4473" s="22">
        <f>IF(OR($D4473="",$R4473="Trùng"),"",COUNTIFS(ORDERS!$C$2:$C$4995,$D4473,ORDERS!$L$2:$L$4995,"Đã chuyển khoản"))</f>
        <v/>
      </c>
      <c r="X4473" s="23">
        <f>IF(OR($D4473="",$R4473="Trùng"),"",SUMIFS(ORDERS!$J$2:$J$4995,ORDERS!$C$2:$C$4995,$D4473,ORDERS!$L$2:$L$4995,"Đã chuyển khoản"))</f>
        <v/>
      </c>
      <c r="Y4473" s="24" t="n"/>
    </row>
    <row r="4474" ht="14.25" customHeight="1" s="40">
      <c r="A4474" s="24" t="n"/>
      <c r="B4474" s="27" t="n"/>
      <c r="C4474" s="24" t="n"/>
      <c r="D4474" s="28" t="n"/>
      <c r="E4474" s="29" t="n"/>
      <c r="F4474" s="24" t="n"/>
      <c r="G4474" s="24" t="n"/>
      <c r="H4474" s="21">
        <f>IF(ISNUMBER($B4474),INT($B4474)-WEEKDAY($B4474,2)+1,"")</f>
        <v/>
      </c>
      <c r="I4474" s="24" t="n"/>
      <c r="J4474" s="22">
        <f t="array" ref="J4474">IF($D4474="","",IF($I4474="","(trống REF)",IFERROR(INDEX(MASTER_SOURCE!$B$2:$B$495,MATCH($I4474,MASTER_SOURCE!$A$2:$A$495,0)),"(REF không có trong MASTER_SOURCE)")))</f>
        <v/>
      </c>
      <c r="K4474" s="22">
        <f t="array" ref="K4474">IF($D4474="","",IFERROR(INDEX(MASTER_SOURCE!$C$2:$C$495,MATCH($I4474,MASTER_SOURCE!$A$2:$A$495,0)),""))</f>
        <v/>
      </c>
      <c r="L4474" s="22">
        <f t="array" ref="L4474">IF($D4474="","",IFERROR(INDEX(MASTER_SOURCE!$D$2:$D$495,MATCH($I4474,MASTER_SOURCE!$A$2:$A$495,0)),""))</f>
        <v/>
      </c>
      <c r="M4474" s="24" t="n"/>
      <c r="N4474" s="24" t="n"/>
      <c r="O4474" s="24" t="n"/>
      <c r="P4474" s="24" t="n"/>
      <c r="Q4474" s="22">
        <f>IF($D4474="","",IF(AND(OR(DANH_MUC!$L$5&lt;&gt;"Có",M4474="Có"),OR(DANH_MUC!$L$6&lt;&gt;"Có",N4474="Có"),OR(DANH_MUC!$L$7&lt;&gt;"Có",O4474="Có"),OR(DANH_MUC!$L$8&lt;&gt;"Có",P4474="Có")),"Có","Không"))</f>
        <v/>
      </c>
      <c r="R4474" s="22">
        <f>IF($D4474="","",IF(COUNTIF($D$2:$D4474,$D4474)&gt;1,"Trùng",""))</f>
        <v/>
      </c>
      <c r="S4474" s="22">
        <f>IF($D4474="","",IF(AND(LEN($D4474)=10,LEFT($D4474,1)="0",ISNUMBER(--$D4474)),"Có","Không"))</f>
        <v/>
      </c>
      <c r="T4474" s="22">
        <f>IF($D4474="","",IF(AND($C4474&lt;&gt;"",$Q4474="Có",$R4474="",$S4474="Có",AND($L4474&lt;&gt;"",OR($L4474&lt;&gt;"Chưa xác định",DANH_MUC!$L$9="Có"))),"Có","Không"))</f>
        <v/>
      </c>
      <c r="U4474" s="22">
        <f>IF(OR($D4474="",$T4474="Có"),"",IF($C4474="","Thiếu họ tên; ","")&amp;IF($S4474&lt;&gt;"Có","SĐT sai định dạng; ","")&amp;IF($R4474="Trùng","Trùng SĐT; ","")&amp;IF($Q4474&lt;&gt;"Có","Thiếu đồng ý bắt buộc; ","")&amp;IF($L4474="","Thiếu/sai Mã REF; ",IF(AND($L4474="Chưa xác định",DANH_MUC!$L$9&lt;&gt;"Có"),"Nguồn chưa xác định; ","")))</f>
        <v/>
      </c>
      <c r="V4474" s="22">
        <f>IF(OR($D4474="",$R4474="Trùng"),"",IF(COUNTIF(ORDERS!$C$2:$C$4995,$D4474)&gt;0,"Có","Không"))</f>
        <v/>
      </c>
      <c r="W4474" s="22">
        <f>IF(OR($D4474="",$R4474="Trùng"),"",COUNTIFS(ORDERS!$C$2:$C$4995,$D4474,ORDERS!$L$2:$L$4995,"Đã chuyển khoản"))</f>
        <v/>
      </c>
      <c r="X4474" s="23">
        <f>IF(OR($D4474="",$R4474="Trùng"),"",SUMIFS(ORDERS!$J$2:$J$4995,ORDERS!$C$2:$C$4995,$D4474,ORDERS!$L$2:$L$4995,"Đã chuyển khoản"))</f>
        <v/>
      </c>
      <c r="Y4474" s="24" t="n"/>
    </row>
    <row r="4475" ht="14.25" customHeight="1" s="40">
      <c r="A4475" s="24" t="n"/>
      <c r="B4475" s="27" t="n"/>
      <c r="C4475" s="24" t="n"/>
      <c r="D4475" s="28" t="n"/>
      <c r="E4475" s="29" t="n"/>
      <c r="F4475" s="24" t="n"/>
      <c r="G4475" s="24" t="n"/>
      <c r="H4475" s="21">
        <f>IF(ISNUMBER($B4475),INT($B4475)-WEEKDAY($B4475,2)+1,"")</f>
        <v/>
      </c>
      <c r="I4475" s="24" t="n"/>
      <c r="J4475" s="22">
        <f t="array" ref="J4475">IF($D4475="","",IF($I4475="","(trống REF)",IFERROR(INDEX(MASTER_SOURCE!$B$2:$B$495,MATCH($I4475,MASTER_SOURCE!$A$2:$A$495,0)),"(REF không có trong MASTER_SOURCE)")))</f>
        <v/>
      </c>
      <c r="K4475" s="22">
        <f t="array" ref="K4475">IF($D4475="","",IFERROR(INDEX(MASTER_SOURCE!$C$2:$C$495,MATCH($I4475,MASTER_SOURCE!$A$2:$A$495,0)),""))</f>
        <v/>
      </c>
      <c r="L4475" s="22">
        <f t="array" ref="L4475">IF($D4475="","",IFERROR(INDEX(MASTER_SOURCE!$D$2:$D$495,MATCH($I4475,MASTER_SOURCE!$A$2:$A$495,0)),""))</f>
        <v/>
      </c>
      <c r="M4475" s="24" t="n"/>
      <c r="N4475" s="24" t="n"/>
      <c r="O4475" s="24" t="n"/>
      <c r="P4475" s="24" t="n"/>
      <c r="Q4475" s="22">
        <f>IF($D4475="","",IF(AND(OR(DANH_MUC!$L$5&lt;&gt;"Có",M4475="Có"),OR(DANH_MUC!$L$6&lt;&gt;"Có",N4475="Có"),OR(DANH_MUC!$L$7&lt;&gt;"Có",O4475="Có"),OR(DANH_MUC!$L$8&lt;&gt;"Có",P4475="Có")),"Có","Không"))</f>
        <v/>
      </c>
      <c r="R4475" s="22">
        <f>IF($D4475="","",IF(COUNTIF($D$2:$D4475,$D4475)&gt;1,"Trùng",""))</f>
        <v/>
      </c>
      <c r="S4475" s="22">
        <f>IF($D4475="","",IF(AND(LEN($D4475)=10,LEFT($D4475,1)="0",ISNUMBER(--$D4475)),"Có","Không"))</f>
        <v/>
      </c>
      <c r="T4475" s="22">
        <f>IF($D4475="","",IF(AND($C4475&lt;&gt;"",$Q4475="Có",$R4475="",$S4475="Có",AND($L4475&lt;&gt;"",OR($L4475&lt;&gt;"Chưa xác định",DANH_MUC!$L$9="Có"))),"Có","Không"))</f>
        <v/>
      </c>
      <c r="U4475" s="22">
        <f>IF(OR($D4475="",$T4475="Có"),"",IF($C4475="","Thiếu họ tên; ","")&amp;IF($S4475&lt;&gt;"Có","SĐT sai định dạng; ","")&amp;IF($R4475="Trùng","Trùng SĐT; ","")&amp;IF($Q4475&lt;&gt;"Có","Thiếu đồng ý bắt buộc; ","")&amp;IF($L4475="","Thiếu/sai Mã REF; ",IF(AND($L4475="Chưa xác định",DANH_MUC!$L$9&lt;&gt;"Có"),"Nguồn chưa xác định; ","")))</f>
        <v/>
      </c>
      <c r="V4475" s="22">
        <f>IF(OR($D4475="",$R4475="Trùng"),"",IF(COUNTIF(ORDERS!$C$2:$C$4995,$D4475)&gt;0,"Có","Không"))</f>
        <v/>
      </c>
      <c r="W4475" s="22">
        <f>IF(OR($D4475="",$R4475="Trùng"),"",COUNTIFS(ORDERS!$C$2:$C$4995,$D4475,ORDERS!$L$2:$L$4995,"Đã chuyển khoản"))</f>
        <v/>
      </c>
      <c r="X4475" s="23">
        <f>IF(OR($D4475="",$R4475="Trùng"),"",SUMIFS(ORDERS!$J$2:$J$4995,ORDERS!$C$2:$C$4995,$D4475,ORDERS!$L$2:$L$4995,"Đã chuyển khoản"))</f>
        <v/>
      </c>
      <c r="Y4475" s="24" t="n"/>
    </row>
    <row r="4476" ht="14.25" customHeight="1" s="40">
      <c r="A4476" s="24" t="n"/>
      <c r="B4476" s="27" t="n"/>
      <c r="C4476" s="24" t="n"/>
      <c r="D4476" s="28" t="n"/>
      <c r="E4476" s="29" t="n"/>
      <c r="F4476" s="24" t="n"/>
      <c r="G4476" s="24" t="n"/>
      <c r="H4476" s="21">
        <f>IF(ISNUMBER($B4476),INT($B4476)-WEEKDAY($B4476,2)+1,"")</f>
        <v/>
      </c>
      <c r="I4476" s="24" t="n"/>
      <c r="J4476" s="22">
        <f t="array" ref="J4476">IF($D4476="","",IF($I4476="","(trống REF)",IFERROR(INDEX(MASTER_SOURCE!$B$2:$B$495,MATCH($I4476,MASTER_SOURCE!$A$2:$A$495,0)),"(REF không có trong MASTER_SOURCE)")))</f>
        <v/>
      </c>
      <c r="K4476" s="22">
        <f t="array" ref="K4476">IF($D4476="","",IFERROR(INDEX(MASTER_SOURCE!$C$2:$C$495,MATCH($I4476,MASTER_SOURCE!$A$2:$A$495,0)),""))</f>
        <v/>
      </c>
      <c r="L4476" s="22">
        <f t="array" ref="L4476">IF($D4476="","",IFERROR(INDEX(MASTER_SOURCE!$D$2:$D$495,MATCH($I4476,MASTER_SOURCE!$A$2:$A$495,0)),""))</f>
        <v/>
      </c>
      <c r="M4476" s="24" t="n"/>
      <c r="N4476" s="24" t="n"/>
      <c r="O4476" s="24" t="n"/>
      <c r="P4476" s="24" t="n"/>
      <c r="Q4476" s="22">
        <f>IF($D4476="","",IF(AND(OR(DANH_MUC!$L$5&lt;&gt;"Có",M4476="Có"),OR(DANH_MUC!$L$6&lt;&gt;"Có",N4476="Có"),OR(DANH_MUC!$L$7&lt;&gt;"Có",O4476="Có"),OR(DANH_MUC!$L$8&lt;&gt;"Có",P4476="Có")),"Có","Không"))</f>
        <v/>
      </c>
      <c r="R4476" s="22">
        <f>IF($D4476="","",IF(COUNTIF($D$2:$D4476,$D4476)&gt;1,"Trùng",""))</f>
        <v/>
      </c>
      <c r="S4476" s="22">
        <f>IF($D4476="","",IF(AND(LEN($D4476)=10,LEFT($D4476,1)="0",ISNUMBER(--$D4476)),"Có","Không"))</f>
        <v/>
      </c>
      <c r="T4476" s="22">
        <f>IF($D4476="","",IF(AND($C4476&lt;&gt;"",$Q4476="Có",$R4476="",$S4476="Có",AND($L4476&lt;&gt;"",OR($L4476&lt;&gt;"Chưa xác định",DANH_MUC!$L$9="Có"))),"Có","Không"))</f>
        <v/>
      </c>
      <c r="U4476" s="22">
        <f>IF(OR($D4476="",$T4476="Có"),"",IF($C4476="","Thiếu họ tên; ","")&amp;IF($S4476&lt;&gt;"Có","SĐT sai định dạng; ","")&amp;IF($R4476="Trùng","Trùng SĐT; ","")&amp;IF($Q4476&lt;&gt;"Có","Thiếu đồng ý bắt buộc; ","")&amp;IF($L4476="","Thiếu/sai Mã REF; ",IF(AND($L4476="Chưa xác định",DANH_MUC!$L$9&lt;&gt;"Có"),"Nguồn chưa xác định; ","")))</f>
        <v/>
      </c>
      <c r="V4476" s="22">
        <f>IF(OR($D4476="",$R4476="Trùng"),"",IF(COUNTIF(ORDERS!$C$2:$C$4995,$D4476)&gt;0,"Có","Không"))</f>
        <v/>
      </c>
      <c r="W4476" s="22">
        <f>IF(OR($D4476="",$R4476="Trùng"),"",COUNTIFS(ORDERS!$C$2:$C$4995,$D4476,ORDERS!$L$2:$L$4995,"Đã chuyển khoản"))</f>
        <v/>
      </c>
      <c r="X4476" s="23">
        <f>IF(OR($D4476="",$R4476="Trùng"),"",SUMIFS(ORDERS!$J$2:$J$4995,ORDERS!$C$2:$C$4995,$D4476,ORDERS!$L$2:$L$4995,"Đã chuyển khoản"))</f>
        <v/>
      </c>
      <c r="Y4476" s="24" t="n"/>
    </row>
    <row r="4477" ht="14.25" customHeight="1" s="40">
      <c r="A4477" s="24" t="n"/>
      <c r="B4477" s="27" t="n"/>
      <c r="C4477" s="24" t="n"/>
      <c r="D4477" s="28" t="n"/>
      <c r="E4477" s="29" t="n"/>
      <c r="F4477" s="24" t="n"/>
      <c r="G4477" s="24" t="n"/>
      <c r="H4477" s="21">
        <f>IF(ISNUMBER($B4477),INT($B4477)-WEEKDAY($B4477,2)+1,"")</f>
        <v/>
      </c>
      <c r="I4477" s="24" t="n"/>
      <c r="J4477" s="22">
        <f t="array" ref="J4477">IF($D4477="","",IF($I4477="","(trống REF)",IFERROR(INDEX(MASTER_SOURCE!$B$2:$B$495,MATCH($I4477,MASTER_SOURCE!$A$2:$A$495,0)),"(REF không có trong MASTER_SOURCE)")))</f>
        <v/>
      </c>
      <c r="K4477" s="22">
        <f t="array" ref="K4477">IF($D4477="","",IFERROR(INDEX(MASTER_SOURCE!$C$2:$C$495,MATCH($I4477,MASTER_SOURCE!$A$2:$A$495,0)),""))</f>
        <v/>
      </c>
      <c r="L4477" s="22">
        <f t="array" ref="L4477">IF($D4477="","",IFERROR(INDEX(MASTER_SOURCE!$D$2:$D$495,MATCH($I4477,MASTER_SOURCE!$A$2:$A$495,0)),""))</f>
        <v/>
      </c>
      <c r="M4477" s="24" t="n"/>
      <c r="N4477" s="24" t="n"/>
      <c r="O4477" s="24" t="n"/>
      <c r="P4477" s="24" t="n"/>
      <c r="Q4477" s="22">
        <f>IF($D4477="","",IF(AND(OR(DANH_MUC!$L$5&lt;&gt;"Có",M4477="Có"),OR(DANH_MUC!$L$6&lt;&gt;"Có",N4477="Có"),OR(DANH_MUC!$L$7&lt;&gt;"Có",O4477="Có"),OR(DANH_MUC!$L$8&lt;&gt;"Có",P4477="Có")),"Có","Không"))</f>
        <v/>
      </c>
      <c r="R4477" s="22">
        <f>IF($D4477="","",IF(COUNTIF($D$2:$D4477,$D4477)&gt;1,"Trùng",""))</f>
        <v/>
      </c>
      <c r="S4477" s="22">
        <f>IF($D4477="","",IF(AND(LEN($D4477)=10,LEFT($D4477,1)="0",ISNUMBER(--$D4477)),"Có","Không"))</f>
        <v/>
      </c>
      <c r="T4477" s="22">
        <f>IF($D4477="","",IF(AND($C4477&lt;&gt;"",$Q4477="Có",$R4477="",$S4477="Có",AND($L4477&lt;&gt;"",OR($L4477&lt;&gt;"Chưa xác định",DANH_MUC!$L$9="Có"))),"Có","Không"))</f>
        <v/>
      </c>
      <c r="U4477" s="22">
        <f>IF(OR($D4477="",$T4477="Có"),"",IF($C4477="","Thiếu họ tên; ","")&amp;IF($S4477&lt;&gt;"Có","SĐT sai định dạng; ","")&amp;IF($R4477="Trùng","Trùng SĐT; ","")&amp;IF($Q4477&lt;&gt;"Có","Thiếu đồng ý bắt buộc; ","")&amp;IF($L4477="","Thiếu/sai Mã REF; ",IF(AND($L4477="Chưa xác định",DANH_MUC!$L$9&lt;&gt;"Có"),"Nguồn chưa xác định; ","")))</f>
        <v/>
      </c>
      <c r="V4477" s="22">
        <f>IF(OR($D4477="",$R4477="Trùng"),"",IF(COUNTIF(ORDERS!$C$2:$C$4995,$D4477)&gt;0,"Có","Không"))</f>
        <v/>
      </c>
      <c r="W4477" s="22">
        <f>IF(OR($D4477="",$R4477="Trùng"),"",COUNTIFS(ORDERS!$C$2:$C$4995,$D4477,ORDERS!$L$2:$L$4995,"Đã chuyển khoản"))</f>
        <v/>
      </c>
      <c r="X4477" s="23">
        <f>IF(OR($D4477="",$R4477="Trùng"),"",SUMIFS(ORDERS!$J$2:$J$4995,ORDERS!$C$2:$C$4995,$D4477,ORDERS!$L$2:$L$4995,"Đã chuyển khoản"))</f>
        <v/>
      </c>
      <c r="Y4477" s="24" t="n"/>
    </row>
    <row r="4478" ht="14.25" customHeight="1" s="40">
      <c r="A4478" s="24" t="n"/>
      <c r="B4478" s="27" t="n"/>
      <c r="C4478" s="24" t="n"/>
      <c r="D4478" s="28" t="n"/>
      <c r="E4478" s="29" t="n"/>
      <c r="F4478" s="24" t="n"/>
      <c r="G4478" s="24" t="n"/>
      <c r="H4478" s="21">
        <f>IF(ISNUMBER($B4478),INT($B4478)-WEEKDAY($B4478,2)+1,"")</f>
        <v/>
      </c>
      <c r="I4478" s="24" t="n"/>
      <c r="J4478" s="22">
        <f t="array" ref="J4478">IF($D4478="","",IF($I4478="","(trống REF)",IFERROR(INDEX(MASTER_SOURCE!$B$2:$B$495,MATCH($I4478,MASTER_SOURCE!$A$2:$A$495,0)),"(REF không có trong MASTER_SOURCE)")))</f>
        <v/>
      </c>
      <c r="K4478" s="22">
        <f t="array" ref="K4478">IF($D4478="","",IFERROR(INDEX(MASTER_SOURCE!$C$2:$C$495,MATCH($I4478,MASTER_SOURCE!$A$2:$A$495,0)),""))</f>
        <v/>
      </c>
      <c r="L4478" s="22">
        <f t="array" ref="L4478">IF($D4478="","",IFERROR(INDEX(MASTER_SOURCE!$D$2:$D$495,MATCH($I4478,MASTER_SOURCE!$A$2:$A$495,0)),""))</f>
        <v/>
      </c>
      <c r="M4478" s="24" t="n"/>
      <c r="N4478" s="24" t="n"/>
      <c r="O4478" s="24" t="n"/>
      <c r="P4478" s="24" t="n"/>
      <c r="Q4478" s="22">
        <f>IF($D4478="","",IF(AND(OR(DANH_MUC!$L$5&lt;&gt;"Có",M4478="Có"),OR(DANH_MUC!$L$6&lt;&gt;"Có",N4478="Có"),OR(DANH_MUC!$L$7&lt;&gt;"Có",O4478="Có"),OR(DANH_MUC!$L$8&lt;&gt;"Có",P4478="Có")),"Có","Không"))</f>
        <v/>
      </c>
      <c r="R4478" s="22">
        <f>IF($D4478="","",IF(COUNTIF($D$2:$D4478,$D4478)&gt;1,"Trùng",""))</f>
        <v/>
      </c>
      <c r="S4478" s="22">
        <f>IF($D4478="","",IF(AND(LEN($D4478)=10,LEFT($D4478,1)="0",ISNUMBER(--$D4478)),"Có","Không"))</f>
        <v/>
      </c>
      <c r="T4478" s="22">
        <f>IF($D4478="","",IF(AND($C4478&lt;&gt;"",$Q4478="Có",$R4478="",$S4478="Có",AND($L4478&lt;&gt;"",OR($L4478&lt;&gt;"Chưa xác định",DANH_MUC!$L$9="Có"))),"Có","Không"))</f>
        <v/>
      </c>
      <c r="U4478" s="22">
        <f>IF(OR($D4478="",$T4478="Có"),"",IF($C4478="","Thiếu họ tên; ","")&amp;IF($S4478&lt;&gt;"Có","SĐT sai định dạng; ","")&amp;IF($R4478="Trùng","Trùng SĐT; ","")&amp;IF($Q4478&lt;&gt;"Có","Thiếu đồng ý bắt buộc; ","")&amp;IF($L4478="","Thiếu/sai Mã REF; ",IF(AND($L4478="Chưa xác định",DANH_MUC!$L$9&lt;&gt;"Có"),"Nguồn chưa xác định; ","")))</f>
        <v/>
      </c>
      <c r="V4478" s="22">
        <f>IF(OR($D4478="",$R4478="Trùng"),"",IF(COUNTIF(ORDERS!$C$2:$C$4995,$D4478)&gt;0,"Có","Không"))</f>
        <v/>
      </c>
      <c r="W4478" s="22">
        <f>IF(OR($D4478="",$R4478="Trùng"),"",COUNTIFS(ORDERS!$C$2:$C$4995,$D4478,ORDERS!$L$2:$L$4995,"Đã chuyển khoản"))</f>
        <v/>
      </c>
      <c r="X4478" s="23">
        <f>IF(OR($D4478="",$R4478="Trùng"),"",SUMIFS(ORDERS!$J$2:$J$4995,ORDERS!$C$2:$C$4995,$D4478,ORDERS!$L$2:$L$4995,"Đã chuyển khoản"))</f>
        <v/>
      </c>
      <c r="Y4478" s="24" t="n"/>
    </row>
    <row r="4479" ht="14.25" customHeight="1" s="40">
      <c r="A4479" s="24" t="n"/>
      <c r="B4479" s="27" t="n"/>
      <c r="C4479" s="24" t="n"/>
      <c r="D4479" s="28" t="n"/>
      <c r="E4479" s="29" t="n"/>
      <c r="F4479" s="24" t="n"/>
      <c r="G4479" s="24" t="n"/>
      <c r="H4479" s="21">
        <f>IF(ISNUMBER($B4479),INT($B4479)-WEEKDAY($B4479,2)+1,"")</f>
        <v/>
      </c>
      <c r="I4479" s="24" t="n"/>
      <c r="J4479" s="22">
        <f t="array" ref="J4479">IF($D4479="","",IF($I4479="","(trống REF)",IFERROR(INDEX(MASTER_SOURCE!$B$2:$B$495,MATCH($I4479,MASTER_SOURCE!$A$2:$A$495,0)),"(REF không có trong MASTER_SOURCE)")))</f>
        <v/>
      </c>
      <c r="K4479" s="22">
        <f t="array" ref="K4479">IF($D4479="","",IFERROR(INDEX(MASTER_SOURCE!$C$2:$C$495,MATCH($I4479,MASTER_SOURCE!$A$2:$A$495,0)),""))</f>
        <v/>
      </c>
      <c r="L4479" s="22">
        <f t="array" ref="L4479">IF($D4479="","",IFERROR(INDEX(MASTER_SOURCE!$D$2:$D$495,MATCH($I4479,MASTER_SOURCE!$A$2:$A$495,0)),""))</f>
        <v/>
      </c>
      <c r="M4479" s="24" t="n"/>
      <c r="N4479" s="24" t="n"/>
      <c r="O4479" s="24" t="n"/>
      <c r="P4479" s="24" t="n"/>
      <c r="Q4479" s="22">
        <f>IF($D4479="","",IF(AND(OR(DANH_MUC!$L$5&lt;&gt;"Có",M4479="Có"),OR(DANH_MUC!$L$6&lt;&gt;"Có",N4479="Có"),OR(DANH_MUC!$L$7&lt;&gt;"Có",O4479="Có"),OR(DANH_MUC!$L$8&lt;&gt;"Có",P4479="Có")),"Có","Không"))</f>
        <v/>
      </c>
      <c r="R4479" s="22">
        <f>IF($D4479="","",IF(COUNTIF($D$2:$D4479,$D4479)&gt;1,"Trùng",""))</f>
        <v/>
      </c>
      <c r="S4479" s="22">
        <f>IF($D4479="","",IF(AND(LEN($D4479)=10,LEFT($D4479,1)="0",ISNUMBER(--$D4479)),"Có","Không"))</f>
        <v/>
      </c>
      <c r="T4479" s="22">
        <f>IF($D4479="","",IF(AND($C4479&lt;&gt;"",$Q4479="Có",$R4479="",$S4479="Có",AND($L4479&lt;&gt;"",OR($L4479&lt;&gt;"Chưa xác định",DANH_MUC!$L$9="Có"))),"Có","Không"))</f>
        <v/>
      </c>
      <c r="U4479" s="22">
        <f>IF(OR($D4479="",$T4479="Có"),"",IF($C4479="","Thiếu họ tên; ","")&amp;IF($S4479&lt;&gt;"Có","SĐT sai định dạng; ","")&amp;IF($R4479="Trùng","Trùng SĐT; ","")&amp;IF($Q4479&lt;&gt;"Có","Thiếu đồng ý bắt buộc; ","")&amp;IF($L4479="","Thiếu/sai Mã REF; ",IF(AND($L4479="Chưa xác định",DANH_MUC!$L$9&lt;&gt;"Có"),"Nguồn chưa xác định; ","")))</f>
        <v/>
      </c>
      <c r="V4479" s="22">
        <f>IF(OR($D4479="",$R4479="Trùng"),"",IF(COUNTIF(ORDERS!$C$2:$C$4995,$D4479)&gt;0,"Có","Không"))</f>
        <v/>
      </c>
      <c r="W4479" s="22">
        <f>IF(OR($D4479="",$R4479="Trùng"),"",COUNTIFS(ORDERS!$C$2:$C$4995,$D4479,ORDERS!$L$2:$L$4995,"Đã chuyển khoản"))</f>
        <v/>
      </c>
      <c r="X4479" s="23">
        <f>IF(OR($D4479="",$R4479="Trùng"),"",SUMIFS(ORDERS!$J$2:$J$4995,ORDERS!$C$2:$C$4995,$D4479,ORDERS!$L$2:$L$4995,"Đã chuyển khoản"))</f>
        <v/>
      </c>
      <c r="Y4479" s="24" t="n"/>
    </row>
    <row r="4480" ht="14.25" customHeight="1" s="40">
      <c r="A4480" s="24" t="n"/>
      <c r="B4480" s="27" t="n"/>
      <c r="C4480" s="24" t="n"/>
      <c r="D4480" s="28" t="n"/>
      <c r="E4480" s="29" t="n"/>
      <c r="F4480" s="24" t="n"/>
      <c r="G4480" s="24" t="n"/>
      <c r="H4480" s="21">
        <f>IF(ISNUMBER($B4480),INT($B4480)-WEEKDAY($B4480,2)+1,"")</f>
        <v/>
      </c>
      <c r="I4480" s="24" t="n"/>
      <c r="J4480" s="22">
        <f t="array" ref="J4480">IF($D4480="","",IF($I4480="","(trống REF)",IFERROR(INDEX(MASTER_SOURCE!$B$2:$B$495,MATCH($I4480,MASTER_SOURCE!$A$2:$A$495,0)),"(REF không có trong MASTER_SOURCE)")))</f>
        <v/>
      </c>
      <c r="K4480" s="22">
        <f t="array" ref="K4480">IF($D4480="","",IFERROR(INDEX(MASTER_SOURCE!$C$2:$C$495,MATCH($I4480,MASTER_SOURCE!$A$2:$A$495,0)),""))</f>
        <v/>
      </c>
      <c r="L4480" s="22">
        <f t="array" ref="L4480">IF($D4480="","",IFERROR(INDEX(MASTER_SOURCE!$D$2:$D$495,MATCH($I4480,MASTER_SOURCE!$A$2:$A$495,0)),""))</f>
        <v/>
      </c>
      <c r="M4480" s="24" t="n"/>
      <c r="N4480" s="24" t="n"/>
      <c r="O4480" s="24" t="n"/>
      <c r="P4480" s="24" t="n"/>
      <c r="Q4480" s="22">
        <f>IF($D4480="","",IF(AND(OR(DANH_MUC!$L$5&lt;&gt;"Có",M4480="Có"),OR(DANH_MUC!$L$6&lt;&gt;"Có",N4480="Có"),OR(DANH_MUC!$L$7&lt;&gt;"Có",O4480="Có"),OR(DANH_MUC!$L$8&lt;&gt;"Có",P4480="Có")),"Có","Không"))</f>
        <v/>
      </c>
      <c r="R4480" s="22">
        <f>IF($D4480="","",IF(COUNTIF($D$2:$D4480,$D4480)&gt;1,"Trùng",""))</f>
        <v/>
      </c>
      <c r="S4480" s="22">
        <f>IF($D4480="","",IF(AND(LEN($D4480)=10,LEFT($D4480,1)="0",ISNUMBER(--$D4480)),"Có","Không"))</f>
        <v/>
      </c>
      <c r="T4480" s="22">
        <f>IF($D4480="","",IF(AND($C4480&lt;&gt;"",$Q4480="Có",$R4480="",$S4480="Có",AND($L4480&lt;&gt;"",OR($L4480&lt;&gt;"Chưa xác định",DANH_MUC!$L$9="Có"))),"Có","Không"))</f>
        <v/>
      </c>
      <c r="U4480" s="22">
        <f>IF(OR($D4480="",$T4480="Có"),"",IF($C4480="","Thiếu họ tên; ","")&amp;IF($S4480&lt;&gt;"Có","SĐT sai định dạng; ","")&amp;IF($R4480="Trùng","Trùng SĐT; ","")&amp;IF($Q4480&lt;&gt;"Có","Thiếu đồng ý bắt buộc; ","")&amp;IF($L4480="","Thiếu/sai Mã REF; ",IF(AND($L4480="Chưa xác định",DANH_MUC!$L$9&lt;&gt;"Có"),"Nguồn chưa xác định; ","")))</f>
        <v/>
      </c>
      <c r="V4480" s="22">
        <f>IF(OR($D4480="",$R4480="Trùng"),"",IF(COUNTIF(ORDERS!$C$2:$C$4995,$D4480)&gt;0,"Có","Không"))</f>
        <v/>
      </c>
      <c r="W4480" s="22">
        <f>IF(OR($D4480="",$R4480="Trùng"),"",COUNTIFS(ORDERS!$C$2:$C$4995,$D4480,ORDERS!$L$2:$L$4995,"Đã chuyển khoản"))</f>
        <v/>
      </c>
      <c r="X4480" s="23">
        <f>IF(OR($D4480="",$R4480="Trùng"),"",SUMIFS(ORDERS!$J$2:$J$4995,ORDERS!$C$2:$C$4995,$D4480,ORDERS!$L$2:$L$4995,"Đã chuyển khoản"))</f>
        <v/>
      </c>
      <c r="Y4480" s="24" t="n"/>
    </row>
    <row r="4481" ht="14.25" customHeight="1" s="40">
      <c r="A4481" s="24" t="n"/>
      <c r="B4481" s="27" t="n"/>
      <c r="C4481" s="24" t="n"/>
      <c r="D4481" s="28" t="n"/>
      <c r="E4481" s="29" t="n"/>
      <c r="F4481" s="24" t="n"/>
      <c r="G4481" s="24" t="n"/>
      <c r="H4481" s="21">
        <f>IF(ISNUMBER($B4481),INT($B4481)-WEEKDAY($B4481,2)+1,"")</f>
        <v/>
      </c>
      <c r="I4481" s="24" t="n"/>
      <c r="J4481" s="22">
        <f t="array" ref="J4481">IF($D4481="","",IF($I4481="","(trống REF)",IFERROR(INDEX(MASTER_SOURCE!$B$2:$B$495,MATCH($I4481,MASTER_SOURCE!$A$2:$A$495,0)),"(REF không có trong MASTER_SOURCE)")))</f>
        <v/>
      </c>
      <c r="K4481" s="22">
        <f t="array" ref="K4481">IF($D4481="","",IFERROR(INDEX(MASTER_SOURCE!$C$2:$C$495,MATCH($I4481,MASTER_SOURCE!$A$2:$A$495,0)),""))</f>
        <v/>
      </c>
      <c r="L4481" s="22">
        <f t="array" ref="L4481">IF($D4481="","",IFERROR(INDEX(MASTER_SOURCE!$D$2:$D$495,MATCH($I4481,MASTER_SOURCE!$A$2:$A$495,0)),""))</f>
        <v/>
      </c>
      <c r="M4481" s="24" t="n"/>
      <c r="N4481" s="24" t="n"/>
      <c r="O4481" s="24" t="n"/>
      <c r="P4481" s="24" t="n"/>
      <c r="Q4481" s="22">
        <f>IF($D4481="","",IF(AND(OR(DANH_MUC!$L$5&lt;&gt;"Có",M4481="Có"),OR(DANH_MUC!$L$6&lt;&gt;"Có",N4481="Có"),OR(DANH_MUC!$L$7&lt;&gt;"Có",O4481="Có"),OR(DANH_MUC!$L$8&lt;&gt;"Có",P4481="Có")),"Có","Không"))</f>
        <v/>
      </c>
      <c r="R4481" s="22">
        <f>IF($D4481="","",IF(COUNTIF($D$2:$D4481,$D4481)&gt;1,"Trùng",""))</f>
        <v/>
      </c>
      <c r="S4481" s="22">
        <f>IF($D4481="","",IF(AND(LEN($D4481)=10,LEFT($D4481,1)="0",ISNUMBER(--$D4481)),"Có","Không"))</f>
        <v/>
      </c>
      <c r="T4481" s="22">
        <f>IF($D4481="","",IF(AND($C4481&lt;&gt;"",$Q4481="Có",$R4481="",$S4481="Có",AND($L4481&lt;&gt;"",OR($L4481&lt;&gt;"Chưa xác định",DANH_MUC!$L$9="Có"))),"Có","Không"))</f>
        <v/>
      </c>
      <c r="U4481" s="22">
        <f>IF(OR($D4481="",$T4481="Có"),"",IF($C4481="","Thiếu họ tên; ","")&amp;IF($S4481&lt;&gt;"Có","SĐT sai định dạng; ","")&amp;IF($R4481="Trùng","Trùng SĐT; ","")&amp;IF($Q4481&lt;&gt;"Có","Thiếu đồng ý bắt buộc; ","")&amp;IF($L4481="","Thiếu/sai Mã REF; ",IF(AND($L4481="Chưa xác định",DANH_MUC!$L$9&lt;&gt;"Có"),"Nguồn chưa xác định; ","")))</f>
        <v/>
      </c>
      <c r="V4481" s="22">
        <f>IF(OR($D4481="",$R4481="Trùng"),"",IF(COUNTIF(ORDERS!$C$2:$C$4995,$D4481)&gt;0,"Có","Không"))</f>
        <v/>
      </c>
      <c r="W4481" s="22">
        <f>IF(OR($D4481="",$R4481="Trùng"),"",COUNTIFS(ORDERS!$C$2:$C$4995,$D4481,ORDERS!$L$2:$L$4995,"Đã chuyển khoản"))</f>
        <v/>
      </c>
      <c r="X4481" s="23">
        <f>IF(OR($D4481="",$R4481="Trùng"),"",SUMIFS(ORDERS!$J$2:$J$4995,ORDERS!$C$2:$C$4995,$D4481,ORDERS!$L$2:$L$4995,"Đã chuyển khoản"))</f>
        <v/>
      </c>
      <c r="Y4481" s="24" t="n"/>
    </row>
    <row r="4482" ht="14.25" customHeight="1" s="40">
      <c r="A4482" s="24" t="n"/>
      <c r="B4482" s="27" t="n"/>
      <c r="C4482" s="24" t="n"/>
      <c r="D4482" s="28" t="n"/>
      <c r="E4482" s="29" t="n"/>
      <c r="F4482" s="24" t="n"/>
      <c r="G4482" s="24" t="n"/>
      <c r="H4482" s="21">
        <f>IF(ISNUMBER($B4482),INT($B4482)-WEEKDAY($B4482,2)+1,"")</f>
        <v/>
      </c>
      <c r="I4482" s="24" t="n"/>
      <c r="J4482" s="22">
        <f t="array" ref="J4482">IF($D4482="","",IF($I4482="","(trống REF)",IFERROR(INDEX(MASTER_SOURCE!$B$2:$B$495,MATCH($I4482,MASTER_SOURCE!$A$2:$A$495,0)),"(REF không có trong MASTER_SOURCE)")))</f>
        <v/>
      </c>
      <c r="K4482" s="22">
        <f t="array" ref="K4482">IF($D4482="","",IFERROR(INDEX(MASTER_SOURCE!$C$2:$C$495,MATCH($I4482,MASTER_SOURCE!$A$2:$A$495,0)),""))</f>
        <v/>
      </c>
      <c r="L4482" s="22">
        <f t="array" ref="L4482">IF($D4482="","",IFERROR(INDEX(MASTER_SOURCE!$D$2:$D$495,MATCH($I4482,MASTER_SOURCE!$A$2:$A$495,0)),""))</f>
        <v/>
      </c>
      <c r="M4482" s="24" t="n"/>
      <c r="N4482" s="24" t="n"/>
      <c r="O4482" s="24" t="n"/>
      <c r="P4482" s="24" t="n"/>
      <c r="Q4482" s="22">
        <f>IF($D4482="","",IF(AND(OR(DANH_MUC!$L$5&lt;&gt;"Có",M4482="Có"),OR(DANH_MUC!$L$6&lt;&gt;"Có",N4482="Có"),OR(DANH_MUC!$L$7&lt;&gt;"Có",O4482="Có"),OR(DANH_MUC!$L$8&lt;&gt;"Có",P4482="Có")),"Có","Không"))</f>
        <v/>
      </c>
      <c r="R4482" s="22">
        <f>IF($D4482="","",IF(COUNTIF($D$2:$D4482,$D4482)&gt;1,"Trùng",""))</f>
        <v/>
      </c>
      <c r="S4482" s="22">
        <f>IF($D4482="","",IF(AND(LEN($D4482)=10,LEFT($D4482,1)="0",ISNUMBER(--$D4482)),"Có","Không"))</f>
        <v/>
      </c>
      <c r="T4482" s="22">
        <f>IF($D4482="","",IF(AND($C4482&lt;&gt;"",$Q4482="Có",$R4482="",$S4482="Có",AND($L4482&lt;&gt;"",OR($L4482&lt;&gt;"Chưa xác định",DANH_MUC!$L$9="Có"))),"Có","Không"))</f>
        <v/>
      </c>
      <c r="U4482" s="22">
        <f>IF(OR($D4482="",$T4482="Có"),"",IF($C4482="","Thiếu họ tên; ","")&amp;IF($S4482&lt;&gt;"Có","SĐT sai định dạng; ","")&amp;IF($R4482="Trùng","Trùng SĐT; ","")&amp;IF($Q4482&lt;&gt;"Có","Thiếu đồng ý bắt buộc; ","")&amp;IF($L4482="","Thiếu/sai Mã REF; ",IF(AND($L4482="Chưa xác định",DANH_MUC!$L$9&lt;&gt;"Có"),"Nguồn chưa xác định; ","")))</f>
        <v/>
      </c>
      <c r="V4482" s="22">
        <f>IF(OR($D4482="",$R4482="Trùng"),"",IF(COUNTIF(ORDERS!$C$2:$C$4995,$D4482)&gt;0,"Có","Không"))</f>
        <v/>
      </c>
      <c r="W4482" s="22">
        <f>IF(OR($D4482="",$R4482="Trùng"),"",COUNTIFS(ORDERS!$C$2:$C$4995,$D4482,ORDERS!$L$2:$L$4995,"Đã chuyển khoản"))</f>
        <v/>
      </c>
      <c r="X4482" s="23">
        <f>IF(OR($D4482="",$R4482="Trùng"),"",SUMIFS(ORDERS!$J$2:$J$4995,ORDERS!$C$2:$C$4995,$D4482,ORDERS!$L$2:$L$4995,"Đã chuyển khoản"))</f>
        <v/>
      </c>
      <c r="Y4482" s="24" t="n"/>
    </row>
    <row r="4483" ht="14.25" customHeight="1" s="40">
      <c r="A4483" s="24" t="n"/>
      <c r="B4483" s="27" t="n"/>
      <c r="C4483" s="24" t="n"/>
      <c r="D4483" s="28" t="n"/>
      <c r="E4483" s="29" t="n"/>
      <c r="F4483" s="24" t="n"/>
      <c r="G4483" s="24" t="n"/>
      <c r="H4483" s="21">
        <f>IF(ISNUMBER($B4483),INT($B4483)-WEEKDAY($B4483,2)+1,"")</f>
        <v/>
      </c>
      <c r="I4483" s="24" t="n"/>
      <c r="J4483" s="22">
        <f t="array" ref="J4483">IF($D4483="","",IF($I4483="","(trống REF)",IFERROR(INDEX(MASTER_SOURCE!$B$2:$B$495,MATCH($I4483,MASTER_SOURCE!$A$2:$A$495,0)),"(REF không có trong MASTER_SOURCE)")))</f>
        <v/>
      </c>
      <c r="K4483" s="22">
        <f t="array" ref="K4483">IF($D4483="","",IFERROR(INDEX(MASTER_SOURCE!$C$2:$C$495,MATCH($I4483,MASTER_SOURCE!$A$2:$A$495,0)),""))</f>
        <v/>
      </c>
      <c r="L4483" s="22">
        <f t="array" ref="L4483">IF($D4483="","",IFERROR(INDEX(MASTER_SOURCE!$D$2:$D$495,MATCH($I4483,MASTER_SOURCE!$A$2:$A$495,0)),""))</f>
        <v/>
      </c>
      <c r="M4483" s="24" t="n"/>
      <c r="N4483" s="24" t="n"/>
      <c r="O4483" s="24" t="n"/>
      <c r="P4483" s="24" t="n"/>
      <c r="Q4483" s="22">
        <f>IF($D4483="","",IF(AND(OR(DANH_MUC!$L$5&lt;&gt;"Có",M4483="Có"),OR(DANH_MUC!$L$6&lt;&gt;"Có",N4483="Có"),OR(DANH_MUC!$L$7&lt;&gt;"Có",O4483="Có"),OR(DANH_MUC!$L$8&lt;&gt;"Có",P4483="Có")),"Có","Không"))</f>
        <v/>
      </c>
      <c r="R4483" s="22">
        <f>IF($D4483="","",IF(COUNTIF($D$2:$D4483,$D4483)&gt;1,"Trùng",""))</f>
        <v/>
      </c>
      <c r="S4483" s="22">
        <f>IF($D4483="","",IF(AND(LEN($D4483)=10,LEFT($D4483,1)="0",ISNUMBER(--$D4483)),"Có","Không"))</f>
        <v/>
      </c>
      <c r="T4483" s="22">
        <f>IF($D4483="","",IF(AND($C4483&lt;&gt;"",$Q4483="Có",$R4483="",$S4483="Có",AND($L4483&lt;&gt;"",OR($L4483&lt;&gt;"Chưa xác định",DANH_MUC!$L$9="Có"))),"Có","Không"))</f>
        <v/>
      </c>
      <c r="U4483" s="22">
        <f>IF(OR($D4483="",$T4483="Có"),"",IF($C4483="","Thiếu họ tên; ","")&amp;IF($S4483&lt;&gt;"Có","SĐT sai định dạng; ","")&amp;IF($R4483="Trùng","Trùng SĐT; ","")&amp;IF($Q4483&lt;&gt;"Có","Thiếu đồng ý bắt buộc; ","")&amp;IF($L4483="","Thiếu/sai Mã REF; ",IF(AND($L4483="Chưa xác định",DANH_MUC!$L$9&lt;&gt;"Có"),"Nguồn chưa xác định; ","")))</f>
        <v/>
      </c>
      <c r="V4483" s="22">
        <f>IF(OR($D4483="",$R4483="Trùng"),"",IF(COUNTIF(ORDERS!$C$2:$C$4995,$D4483)&gt;0,"Có","Không"))</f>
        <v/>
      </c>
      <c r="W4483" s="22">
        <f>IF(OR($D4483="",$R4483="Trùng"),"",COUNTIFS(ORDERS!$C$2:$C$4995,$D4483,ORDERS!$L$2:$L$4995,"Đã chuyển khoản"))</f>
        <v/>
      </c>
      <c r="X4483" s="23">
        <f>IF(OR($D4483="",$R4483="Trùng"),"",SUMIFS(ORDERS!$J$2:$J$4995,ORDERS!$C$2:$C$4995,$D4483,ORDERS!$L$2:$L$4995,"Đã chuyển khoản"))</f>
        <v/>
      </c>
      <c r="Y4483" s="24" t="n"/>
    </row>
    <row r="4484" ht="14.25" customHeight="1" s="40">
      <c r="A4484" s="24" t="n"/>
      <c r="B4484" s="27" t="n"/>
      <c r="C4484" s="24" t="n"/>
      <c r="D4484" s="28" t="n"/>
      <c r="E4484" s="29" t="n"/>
      <c r="F4484" s="24" t="n"/>
      <c r="G4484" s="24" t="n"/>
      <c r="H4484" s="21">
        <f>IF(ISNUMBER($B4484),INT($B4484)-WEEKDAY($B4484,2)+1,"")</f>
        <v/>
      </c>
      <c r="I4484" s="24" t="n"/>
      <c r="J4484" s="22">
        <f t="array" ref="J4484">IF($D4484="","",IF($I4484="","(trống REF)",IFERROR(INDEX(MASTER_SOURCE!$B$2:$B$495,MATCH($I4484,MASTER_SOURCE!$A$2:$A$495,0)),"(REF không có trong MASTER_SOURCE)")))</f>
        <v/>
      </c>
      <c r="K4484" s="22">
        <f t="array" ref="K4484">IF($D4484="","",IFERROR(INDEX(MASTER_SOURCE!$C$2:$C$495,MATCH($I4484,MASTER_SOURCE!$A$2:$A$495,0)),""))</f>
        <v/>
      </c>
      <c r="L4484" s="22">
        <f t="array" ref="L4484">IF($D4484="","",IFERROR(INDEX(MASTER_SOURCE!$D$2:$D$495,MATCH($I4484,MASTER_SOURCE!$A$2:$A$495,0)),""))</f>
        <v/>
      </c>
      <c r="M4484" s="24" t="n"/>
      <c r="N4484" s="24" t="n"/>
      <c r="O4484" s="24" t="n"/>
      <c r="P4484" s="24" t="n"/>
      <c r="Q4484" s="22">
        <f>IF($D4484="","",IF(AND(OR(DANH_MUC!$L$5&lt;&gt;"Có",M4484="Có"),OR(DANH_MUC!$L$6&lt;&gt;"Có",N4484="Có"),OR(DANH_MUC!$L$7&lt;&gt;"Có",O4484="Có"),OR(DANH_MUC!$L$8&lt;&gt;"Có",P4484="Có")),"Có","Không"))</f>
        <v/>
      </c>
      <c r="R4484" s="22">
        <f>IF($D4484="","",IF(COUNTIF($D$2:$D4484,$D4484)&gt;1,"Trùng",""))</f>
        <v/>
      </c>
      <c r="S4484" s="22">
        <f>IF($D4484="","",IF(AND(LEN($D4484)=10,LEFT($D4484,1)="0",ISNUMBER(--$D4484)),"Có","Không"))</f>
        <v/>
      </c>
      <c r="T4484" s="22">
        <f>IF($D4484="","",IF(AND($C4484&lt;&gt;"",$Q4484="Có",$R4484="",$S4484="Có",AND($L4484&lt;&gt;"",OR($L4484&lt;&gt;"Chưa xác định",DANH_MUC!$L$9="Có"))),"Có","Không"))</f>
        <v/>
      </c>
      <c r="U4484" s="22">
        <f>IF(OR($D4484="",$T4484="Có"),"",IF($C4484="","Thiếu họ tên; ","")&amp;IF($S4484&lt;&gt;"Có","SĐT sai định dạng; ","")&amp;IF($R4484="Trùng","Trùng SĐT; ","")&amp;IF($Q4484&lt;&gt;"Có","Thiếu đồng ý bắt buộc; ","")&amp;IF($L4484="","Thiếu/sai Mã REF; ",IF(AND($L4484="Chưa xác định",DANH_MUC!$L$9&lt;&gt;"Có"),"Nguồn chưa xác định; ","")))</f>
        <v/>
      </c>
      <c r="V4484" s="22">
        <f>IF(OR($D4484="",$R4484="Trùng"),"",IF(COUNTIF(ORDERS!$C$2:$C$4995,$D4484)&gt;0,"Có","Không"))</f>
        <v/>
      </c>
      <c r="W4484" s="22">
        <f>IF(OR($D4484="",$R4484="Trùng"),"",COUNTIFS(ORDERS!$C$2:$C$4995,$D4484,ORDERS!$L$2:$L$4995,"Đã chuyển khoản"))</f>
        <v/>
      </c>
      <c r="X4484" s="23">
        <f>IF(OR($D4484="",$R4484="Trùng"),"",SUMIFS(ORDERS!$J$2:$J$4995,ORDERS!$C$2:$C$4995,$D4484,ORDERS!$L$2:$L$4995,"Đã chuyển khoản"))</f>
        <v/>
      </c>
      <c r="Y4484" s="24" t="n"/>
    </row>
    <row r="4485" ht="14.25" customHeight="1" s="40">
      <c r="A4485" s="24" t="n"/>
      <c r="B4485" s="27" t="n"/>
      <c r="C4485" s="24" t="n"/>
      <c r="D4485" s="28" t="n"/>
      <c r="E4485" s="29" t="n"/>
      <c r="F4485" s="24" t="n"/>
      <c r="G4485" s="24" t="n"/>
      <c r="H4485" s="21">
        <f>IF(ISNUMBER($B4485),INT($B4485)-WEEKDAY($B4485,2)+1,"")</f>
        <v/>
      </c>
      <c r="I4485" s="24" t="n"/>
      <c r="J4485" s="22">
        <f t="array" ref="J4485">IF($D4485="","",IF($I4485="","(trống REF)",IFERROR(INDEX(MASTER_SOURCE!$B$2:$B$495,MATCH($I4485,MASTER_SOURCE!$A$2:$A$495,0)),"(REF không có trong MASTER_SOURCE)")))</f>
        <v/>
      </c>
      <c r="K4485" s="22">
        <f t="array" ref="K4485">IF($D4485="","",IFERROR(INDEX(MASTER_SOURCE!$C$2:$C$495,MATCH($I4485,MASTER_SOURCE!$A$2:$A$495,0)),""))</f>
        <v/>
      </c>
      <c r="L4485" s="22">
        <f t="array" ref="L4485">IF($D4485="","",IFERROR(INDEX(MASTER_SOURCE!$D$2:$D$495,MATCH($I4485,MASTER_SOURCE!$A$2:$A$495,0)),""))</f>
        <v/>
      </c>
      <c r="M4485" s="24" t="n"/>
      <c r="N4485" s="24" t="n"/>
      <c r="O4485" s="24" t="n"/>
      <c r="P4485" s="24" t="n"/>
      <c r="Q4485" s="22">
        <f>IF($D4485="","",IF(AND(OR(DANH_MUC!$L$5&lt;&gt;"Có",M4485="Có"),OR(DANH_MUC!$L$6&lt;&gt;"Có",N4485="Có"),OR(DANH_MUC!$L$7&lt;&gt;"Có",O4485="Có"),OR(DANH_MUC!$L$8&lt;&gt;"Có",P4485="Có")),"Có","Không"))</f>
        <v/>
      </c>
      <c r="R4485" s="22">
        <f>IF($D4485="","",IF(COUNTIF($D$2:$D4485,$D4485)&gt;1,"Trùng",""))</f>
        <v/>
      </c>
      <c r="S4485" s="22">
        <f>IF($D4485="","",IF(AND(LEN($D4485)=10,LEFT($D4485,1)="0",ISNUMBER(--$D4485)),"Có","Không"))</f>
        <v/>
      </c>
      <c r="T4485" s="22">
        <f>IF($D4485="","",IF(AND($C4485&lt;&gt;"",$Q4485="Có",$R4485="",$S4485="Có",AND($L4485&lt;&gt;"",OR($L4485&lt;&gt;"Chưa xác định",DANH_MUC!$L$9="Có"))),"Có","Không"))</f>
        <v/>
      </c>
      <c r="U4485" s="22">
        <f>IF(OR($D4485="",$T4485="Có"),"",IF($C4485="","Thiếu họ tên; ","")&amp;IF($S4485&lt;&gt;"Có","SĐT sai định dạng; ","")&amp;IF($R4485="Trùng","Trùng SĐT; ","")&amp;IF($Q4485&lt;&gt;"Có","Thiếu đồng ý bắt buộc; ","")&amp;IF($L4485="","Thiếu/sai Mã REF; ",IF(AND($L4485="Chưa xác định",DANH_MUC!$L$9&lt;&gt;"Có"),"Nguồn chưa xác định; ","")))</f>
        <v/>
      </c>
      <c r="V4485" s="22">
        <f>IF(OR($D4485="",$R4485="Trùng"),"",IF(COUNTIF(ORDERS!$C$2:$C$4995,$D4485)&gt;0,"Có","Không"))</f>
        <v/>
      </c>
      <c r="W4485" s="22">
        <f>IF(OR($D4485="",$R4485="Trùng"),"",COUNTIFS(ORDERS!$C$2:$C$4995,$D4485,ORDERS!$L$2:$L$4995,"Đã chuyển khoản"))</f>
        <v/>
      </c>
      <c r="X4485" s="23">
        <f>IF(OR($D4485="",$R4485="Trùng"),"",SUMIFS(ORDERS!$J$2:$J$4995,ORDERS!$C$2:$C$4995,$D4485,ORDERS!$L$2:$L$4995,"Đã chuyển khoản"))</f>
        <v/>
      </c>
      <c r="Y4485" s="24" t="n"/>
    </row>
    <row r="4486" ht="14.25" customHeight="1" s="40">
      <c r="A4486" s="24" t="n"/>
      <c r="B4486" s="27" t="n"/>
      <c r="C4486" s="24" t="n"/>
      <c r="D4486" s="28" t="n"/>
      <c r="E4486" s="29" t="n"/>
      <c r="F4486" s="24" t="n"/>
      <c r="G4486" s="24" t="n"/>
      <c r="H4486" s="21">
        <f>IF(ISNUMBER($B4486),INT($B4486)-WEEKDAY($B4486,2)+1,"")</f>
        <v/>
      </c>
      <c r="I4486" s="24" t="n"/>
      <c r="J4486" s="22">
        <f t="array" ref="J4486">IF($D4486="","",IF($I4486="","(trống REF)",IFERROR(INDEX(MASTER_SOURCE!$B$2:$B$495,MATCH($I4486,MASTER_SOURCE!$A$2:$A$495,0)),"(REF không có trong MASTER_SOURCE)")))</f>
        <v/>
      </c>
      <c r="K4486" s="22">
        <f t="array" ref="K4486">IF($D4486="","",IFERROR(INDEX(MASTER_SOURCE!$C$2:$C$495,MATCH($I4486,MASTER_SOURCE!$A$2:$A$495,0)),""))</f>
        <v/>
      </c>
      <c r="L4486" s="22">
        <f t="array" ref="L4486">IF($D4486="","",IFERROR(INDEX(MASTER_SOURCE!$D$2:$D$495,MATCH($I4486,MASTER_SOURCE!$A$2:$A$495,0)),""))</f>
        <v/>
      </c>
      <c r="M4486" s="24" t="n"/>
      <c r="N4486" s="24" t="n"/>
      <c r="O4486" s="24" t="n"/>
      <c r="P4486" s="24" t="n"/>
      <c r="Q4486" s="22">
        <f>IF($D4486="","",IF(AND(OR(DANH_MUC!$L$5&lt;&gt;"Có",M4486="Có"),OR(DANH_MUC!$L$6&lt;&gt;"Có",N4486="Có"),OR(DANH_MUC!$L$7&lt;&gt;"Có",O4486="Có"),OR(DANH_MUC!$L$8&lt;&gt;"Có",P4486="Có")),"Có","Không"))</f>
        <v/>
      </c>
      <c r="R4486" s="22">
        <f>IF($D4486="","",IF(COUNTIF($D$2:$D4486,$D4486)&gt;1,"Trùng",""))</f>
        <v/>
      </c>
      <c r="S4486" s="22">
        <f>IF($D4486="","",IF(AND(LEN($D4486)=10,LEFT($D4486,1)="0",ISNUMBER(--$D4486)),"Có","Không"))</f>
        <v/>
      </c>
      <c r="T4486" s="22">
        <f>IF($D4486="","",IF(AND($C4486&lt;&gt;"",$Q4486="Có",$R4486="",$S4486="Có",AND($L4486&lt;&gt;"",OR($L4486&lt;&gt;"Chưa xác định",DANH_MUC!$L$9="Có"))),"Có","Không"))</f>
        <v/>
      </c>
      <c r="U4486" s="22">
        <f>IF(OR($D4486="",$T4486="Có"),"",IF($C4486="","Thiếu họ tên; ","")&amp;IF($S4486&lt;&gt;"Có","SĐT sai định dạng; ","")&amp;IF($R4486="Trùng","Trùng SĐT; ","")&amp;IF($Q4486&lt;&gt;"Có","Thiếu đồng ý bắt buộc; ","")&amp;IF($L4486="","Thiếu/sai Mã REF; ",IF(AND($L4486="Chưa xác định",DANH_MUC!$L$9&lt;&gt;"Có"),"Nguồn chưa xác định; ","")))</f>
        <v/>
      </c>
      <c r="V4486" s="22">
        <f>IF(OR($D4486="",$R4486="Trùng"),"",IF(COUNTIF(ORDERS!$C$2:$C$4995,$D4486)&gt;0,"Có","Không"))</f>
        <v/>
      </c>
      <c r="W4486" s="22">
        <f>IF(OR($D4486="",$R4486="Trùng"),"",COUNTIFS(ORDERS!$C$2:$C$4995,$D4486,ORDERS!$L$2:$L$4995,"Đã chuyển khoản"))</f>
        <v/>
      </c>
      <c r="X4486" s="23">
        <f>IF(OR($D4486="",$R4486="Trùng"),"",SUMIFS(ORDERS!$J$2:$J$4995,ORDERS!$C$2:$C$4995,$D4486,ORDERS!$L$2:$L$4995,"Đã chuyển khoản"))</f>
        <v/>
      </c>
      <c r="Y4486" s="24" t="n"/>
    </row>
    <row r="4487" ht="14.25" customHeight="1" s="40">
      <c r="A4487" s="24" t="n"/>
      <c r="B4487" s="27" t="n"/>
      <c r="C4487" s="24" t="n"/>
      <c r="D4487" s="28" t="n"/>
      <c r="E4487" s="29" t="n"/>
      <c r="F4487" s="24" t="n"/>
      <c r="G4487" s="24" t="n"/>
      <c r="H4487" s="21">
        <f>IF(ISNUMBER($B4487),INT($B4487)-WEEKDAY($B4487,2)+1,"")</f>
        <v/>
      </c>
      <c r="I4487" s="24" t="n"/>
      <c r="J4487" s="22">
        <f t="array" ref="J4487">IF($D4487="","",IF($I4487="","(trống REF)",IFERROR(INDEX(MASTER_SOURCE!$B$2:$B$495,MATCH($I4487,MASTER_SOURCE!$A$2:$A$495,0)),"(REF không có trong MASTER_SOURCE)")))</f>
        <v/>
      </c>
      <c r="K4487" s="22">
        <f t="array" ref="K4487">IF($D4487="","",IFERROR(INDEX(MASTER_SOURCE!$C$2:$C$495,MATCH($I4487,MASTER_SOURCE!$A$2:$A$495,0)),""))</f>
        <v/>
      </c>
      <c r="L4487" s="22">
        <f t="array" ref="L4487">IF($D4487="","",IFERROR(INDEX(MASTER_SOURCE!$D$2:$D$495,MATCH($I4487,MASTER_SOURCE!$A$2:$A$495,0)),""))</f>
        <v/>
      </c>
      <c r="M4487" s="24" t="n"/>
      <c r="N4487" s="24" t="n"/>
      <c r="O4487" s="24" t="n"/>
      <c r="P4487" s="24" t="n"/>
      <c r="Q4487" s="22">
        <f>IF($D4487="","",IF(AND(OR(DANH_MUC!$L$5&lt;&gt;"Có",M4487="Có"),OR(DANH_MUC!$L$6&lt;&gt;"Có",N4487="Có"),OR(DANH_MUC!$L$7&lt;&gt;"Có",O4487="Có"),OR(DANH_MUC!$L$8&lt;&gt;"Có",P4487="Có")),"Có","Không"))</f>
        <v/>
      </c>
      <c r="R4487" s="22">
        <f>IF($D4487="","",IF(COUNTIF($D$2:$D4487,$D4487)&gt;1,"Trùng",""))</f>
        <v/>
      </c>
      <c r="S4487" s="22">
        <f>IF($D4487="","",IF(AND(LEN($D4487)=10,LEFT($D4487,1)="0",ISNUMBER(--$D4487)),"Có","Không"))</f>
        <v/>
      </c>
      <c r="T4487" s="22">
        <f>IF($D4487="","",IF(AND($C4487&lt;&gt;"",$Q4487="Có",$R4487="",$S4487="Có",AND($L4487&lt;&gt;"",OR($L4487&lt;&gt;"Chưa xác định",DANH_MUC!$L$9="Có"))),"Có","Không"))</f>
        <v/>
      </c>
      <c r="U4487" s="22">
        <f>IF(OR($D4487="",$T4487="Có"),"",IF($C4487="","Thiếu họ tên; ","")&amp;IF($S4487&lt;&gt;"Có","SĐT sai định dạng; ","")&amp;IF($R4487="Trùng","Trùng SĐT; ","")&amp;IF($Q4487&lt;&gt;"Có","Thiếu đồng ý bắt buộc; ","")&amp;IF($L4487="","Thiếu/sai Mã REF; ",IF(AND($L4487="Chưa xác định",DANH_MUC!$L$9&lt;&gt;"Có"),"Nguồn chưa xác định; ","")))</f>
        <v/>
      </c>
      <c r="V4487" s="22">
        <f>IF(OR($D4487="",$R4487="Trùng"),"",IF(COUNTIF(ORDERS!$C$2:$C$4995,$D4487)&gt;0,"Có","Không"))</f>
        <v/>
      </c>
      <c r="W4487" s="22">
        <f>IF(OR($D4487="",$R4487="Trùng"),"",COUNTIFS(ORDERS!$C$2:$C$4995,$D4487,ORDERS!$L$2:$L$4995,"Đã chuyển khoản"))</f>
        <v/>
      </c>
      <c r="X4487" s="23">
        <f>IF(OR($D4487="",$R4487="Trùng"),"",SUMIFS(ORDERS!$J$2:$J$4995,ORDERS!$C$2:$C$4995,$D4487,ORDERS!$L$2:$L$4995,"Đã chuyển khoản"))</f>
        <v/>
      </c>
      <c r="Y4487" s="24" t="n"/>
    </row>
    <row r="4488" ht="14.25" customHeight="1" s="40">
      <c r="A4488" s="24" t="n"/>
      <c r="B4488" s="27" t="n"/>
      <c r="C4488" s="24" t="n"/>
      <c r="D4488" s="28" t="n"/>
      <c r="E4488" s="29" t="n"/>
      <c r="F4488" s="24" t="n"/>
      <c r="G4488" s="24" t="n"/>
      <c r="H4488" s="21">
        <f>IF(ISNUMBER($B4488),INT($B4488)-WEEKDAY($B4488,2)+1,"")</f>
        <v/>
      </c>
      <c r="I4488" s="24" t="n"/>
      <c r="J4488" s="22">
        <f t="array" ref="J4488">IF($D4488="","",IF($I4488="","(trống REF)",IFERROR(INDEX(MASTER_SOURCE!$B$2:$B$495,MATCH($I4488,MASTER_SOURCE!$A$2:$A$495,0)),"(REF không có trong MASTER_SOURCE)")))</f>
        <v/>
      </c>
      <c r="K4488" s="22">
        <f t="array" ref="K4488">IF($D4488="","",IFERROR(INDEX(MASTER_SOURCE!$C$2:$C$495,MATCH($I4488,MASTER_SOURCE!$A$2:$A$495,0)),""))</f>
        <v/>
      </c>
      <c r="L4488" s="22">
        <f t="array" ref="L4488">IF($D4488="","",IFERROR(INDEX(MASTER_SOURCE!$D$2:$D$495,MATCH($I4488,MASTER_SOURCE!$A$2:$A$495,0)),""))</f>
        <v/>
      </c>
      <c r="M4488" s="24" t="n"/>
      <c r="N4488" s="24" t="n"/>
      <c r="O4488" s="24" t="n"/>
      <c r="P4488" s="24" t="n"/>
      <c r="Q4488" s="22">
        <f>IF($D4488="","",IF(AND(OR(DANH_MUC!$L$5&lt;&gt;"Có",M4488="Có"),OR(DANH_MUC!$L$6&lt;&gt;"Có",N4488="Có"),OR(DANH_MUC!$L$7&lt;&gt;"Có",O4488="Có"),OR(DANH_MUC!$L$8&lt;&gt;"Có",P4488="Có")),"Có","Không"))</f>
        <v/>
      </c>
      <c r="R4488" s="22">
        <f>IF($D4488="","",IF(COUNTIF($D$2:$D4488,$D4488)&gt;1,"Trùng",""))</f>
        <v/>
      </c>
      <c r="S4488" s="22">
        <f>IF($D4488="","",IF(AND(LEN($D4488)=10,LEFT($D4488,1)="0",ISNUMBER(--$D4488)),"Có","Không"))</f>
        <v/>
      </c>
      <c r="T4488" s="22">
        <f>IF($D4488="","",IF(AND($C4488&lt;&gt;"",$Q4488="Có",$R4488="",$S4488="Có",AND($L4488&lt;&gt;"",OR($L4488&lt;&gt;"Chưa xác định",DANH_MUC!$L$9="Có"))),"Có","Không"))</f>
        <v/>
      </c>
      <c r="U4488" s="22">
        <f>IF(OR($D4488="",$T4488="Có"),"",IF($C4488="","Thiếu họ tên; ","")&amp;IF($S4488&lt;&gt;"Có","SĐT sai định dạng; ","")&amp;IF($R4488="Trùng","Trùng SĐT; ","")&amp;IF($Q4488&lt;&gt;"Có","Thiếu đồng ý bắt buộc; ","")&amp;IF($L4488="","Thiếu/sai Mã REF; ",IF(AND($L4488="Chưa xác định",DANH_MUC!$L$9&lt;&gt;"Có"),"Nguồn chưa xác định; ","")))</f>
        <v/>
      </c>
      <c r="V4488" s="22">
        <f>IF(OR($D4488="",$R4488="Trùng"),"",IF(COUNTIF(ORDERS!$C$2:$C$4995,$D4488)&gt;0,"Có","Không"))</f>
        <v/>
      </c>
      <c r="W4488" s="22">
        <f>IF(OR($D4488="",$R4488="Trùng"),"",COUNTIFS(ORDERS!$C$2:$C$4995,$D4488,ORDERS!$L$2:$L$4995,"Đã chuyển khoản"))</f>
        <v/>
      </c>
      <c r="X4488" s="23">
        <f>IF(OR($D4488="",$R4488="Trùng"),"",SUMIFS(ORDERS!$J$2:$J$4995,ORDERS!$C$2:$C$4995,$D4488,ORDERS!$L$2:$L$4995,"Đã chuyển khoản"))</f>
        <v/>
      </c>
      <c r="Y4488" s="24" t="n"/>
    </row>
    <row r="4489" ht="14.25" customHeight="1" s="40">
      <c r="A4489" s="24" t="n"/>
      <c r="B4489" s="27" t="n"/>
      <c r="C4489" s="24" t="n"/>
      <c r="D4489" s="28" t="n"/>
      <c r="E4489" s="29" t="n"/>
      <c r="F4489" s="24" t="n"/>
      <c r="G4489" s="24" t="n"/>
      <c r="H4489" s="21">
        <f>IF(ISNUMBER($B4489),INT($B4489)-WEEKDAY($B4489,2)+1,"")</f>
        <v/>
      </c>
      <c r="I4489" s="24" t="n"/>
      <c r="J4489" s="22">
        <f t="array" ref="J4489">IF($D4489="","",IF($I4489="","(trống REF)",IFERROR(INDEX(MASTER_SOURCE!$B$2:$B$495,MATCH($I4489,MASTER_SOURCE!$A$2:$A$495,0)),"(REF không có trong MASTER_SOURCE)")))</f>
        <v/>
      </c>
      <c r="K4489" s="22">
        <f t="array" ref="K4489">IF($D4489="","",IFERROR(INDEX(MASTER_SOURCE!$C$2:$C$495,MATCH($I4489,MASTER_SOURCE!$A$2:$A$495,0)),""))</f>
        <v/>
      </c>
      <c r="L4489" s="22">
        <f t="array" ref="L4489">IF($D4489="","",IFERROR(INDEX(MASTER_SOURCE!$D$2:$D$495,MATCH($I4489,MASTER_SOURCE!$A$2:$A$495,0)),""))</f>
        <v/>
      </c>
      <c r="M4489" s="24" t="n"/>
      <c r="N4489" s="24" t="n"/>
      <c r="O4489" s="24" t="n"/>
      <c r="P4489" s="24" t="n"/>
      <c r="Q4489" s="22">
        <f>IF($D4489="","",IF(AND(OR(DANH_MUC!$L$5&lt;&gt;"Có",M4489="Có"),OR(DANH_MUC!$L$6&lt;&gt;"Có",N4489="Có"),OR(DANH_MUC!$L$7&lt;&gt;"Có",O4489="Có"),OR(DANH_MUC!$L$8&lt;&gt;"Có",P4489="Có")),"Có","Không"))</f>
        <v/>
      </c>
      <c r="R4489" s="22">
        <f>IF($D4489="","",IF(COUNTIF($D$2:$D4489,$D4489)&gt;1,"Trùng",""))</f>
        <v/>
      </c>
      <c r="S4489" s="22">
        <f>IF($D4489="","",IF(AND(LEN($D4489)=10,LEFT($D4489,1)="0",ISNUMBER(--$D4489)),"Có","Không"))</f>
        <v/>
      </c>
      <c r="T4489" s="22">
        <f>IF($D4489="","",IF(AND($C4489&lt;&gt;"",$Q4489="Có",$R4489="",$S4489="Có",AND($L4489&lt;&gt;"",OR($L4489&lt;&gt;"Chưa xác định",DANH_MUC!$L$9="Có"))),"Có","Không"))</f>
        <v/>
      </c>
      <c r="U4489" s="22">
        <f>IF(OR($D4489="",$T4489="Có"),"",IF($C4489="","Thiếu họ tên; ","")&amp;IF($S4489&lt;&gt;"Có","SĐT sai định dạng; ","")&amp;IF($R4489="Trùng","Trùng SĐT; ","")&amp;IF($Q4489&lt;&gt;"Có","Thiếu đồng ý bắt buộc; ","")&amp;IF($L4489="","Thiếu/sai Mã REF; ",IF(AND($L4489="Chưa xác định",DANH_MUC!$L$9&lt;&gt;"Có"),"Nguồn chưa xác định; ","")))</f>
        <v/>
      </c>
      <c r="V4489" s="22">
        <f>IF(OR($D4489="",$R4489="Trùng"),"",IF(COUNTIF(ORDERS!$C$2:$C$4995,$D4489)&gt;0,"Có","Không"))</f>
        <v/>
      </c>
      <c r="W4489" s="22">
        <f>IF(OR($D4489="",$R4489="Trùng"),"",COUNTIFS(ORDERS!$C$2:$C$4995,$D4489,ORDERS!$L$2:$L$4995,"Đã chuyển khoản"))</f>
        <v/>
      </c>
      <c r="X4489" s="23">
        <f>IF(OR($D4489="",$R4489="Trùng"),"",SUMIFS(ORDERS!$J$2:$J$4995,ORDERS!$C$2:$C$4995,$D4489,ORDERS!$L$2:$L$4995,"Đã chuyển khoản"))</f>
        <v/>
      </c>
      <c r="Y4489" s="24" t="n"/>
    </row>
    <row r="4490" ht="14.25" customHeight="1" s="40">
      <c r="A4490" s="24" t="n"/>
      <c r="B4490" s="27" t="n"/>
      <c r="C4490" s="24" t="n"/>
      <c r="D4490" s="28" t="n"/>
      <c r="E4490" s="29" t="n"/>
      <c r="F4490" s="24" t="n"/>
      <c r="G4490" s="24" t="n"/>
      <c r="H4490" s="21">
        <f>IF(ISNUMBER($B4490),INT($B4490)-WEEKDAY($B4490,2)+1,"")</f>
        <v/>
      </c>
      <c r="I4490" s="24" t="n"/>
      <c r="J4490" s="22">
        <f t="array" ref="J4490">IF($D4490="","",IF($I4490="","(trống REF)",IFERROR(INDEX(MASTER_SOURCE!$B$2:$B$495,MATCH($I4490,MASTER_SOURCE!$A$2:$A$495,0)),"(REF không có trong MASTER_SOURCE)")))</f>
        <v/>
      </c>
      <c r="K4490" s="22">
        <f t="array" ref="K4490">IF($D4490="","",IFERROR(INDEX(MASTER_SOURCE!$C$2:$C$495,MATCH($I4490,MASTER_SOURCE!$A$2:$A$495,0)),""))</f>
        <v/>
      </c>
      <c r="L4490" s="22">
        <f t="array" ref="L4490">IF($D4490="","",IFERROR(INDEX(MASTER_SOURCE!$D$2:$D$495,MATCH($I4490,MASTER_SOURCE!$A$2:$A$495,0)),""))</f>
        <v/>
      </c>
      <c r="M4490" s="24" t="n"/>
      <c r="N4490" s="24" t="n"/>
      <c r="O4490" s="24" t="n"/>
      <c r="P4490" s="24" t="n"/>
      <c r="Q4490" s="22">
        <f>IF($D4490="","",IF(AND(OR(DANH_MUC!$L$5&lt;&gt;"Có",M4490="Có"),OR(DANH_MUC!$L$6&lt;&gt;"Có",N4490="Có"),OR(DANH_MUC!$L$7&lt;&gt;"Có",O4490="Có"),OR(DANH_MUC!$L$8&lt;&gt;"Có",P4490="Có")),"Có","Không"))</f>
        <v/>
      </c>
      <c r="R4490" s="22">
        <f>IF($D4490="","",IF(COUNTIF($D$2:$D4490,$D4490)&gt;1,"Trùng",""))</f>
        <v/>
      </c>
      <c r="S4490" s="22">
        <f>IF($D4490="","",IF(AND(LEN($D4490)=10,LEFT($D4490,1)="0",ISNUMBER(--$D4490)),"Có","Không"))</f>
        <v/>
      </c>
      <c r="T4490" s="22">
        <f>IF($D4490="","",IF(AND($C4490&lt;&gt;"",$Q4490="Có",$R4490="",$S4490="Có",AND($L4490&lt;&gt;"",OR($L4490&lt;&gt;"Chưa xác định",DANH_MUC!$L$9="Có"))),"Có","Không"))</f>
        <v/>
      </c>
      <c r="U4490" s="22">
        <f>IF(OR($D4490="",$T4490="Có"),"",IF($C4490="","Thiếu họ tên; ","")&amp;IF($S4490&lt;&gt;"Có","SĐT sai định dạng; ","")&amp;IF($R4490="Trùng","Trùng SĐT; ","")&amp;IF($Q4490&lt;&gt;"Có","Thiếu đồng ý bắt buộc; ","")&amp;IF($L4490="","Thiếu/sai Mã REF; ",IF(AND($L4490="Chưa xác định",DANH_MUC!$L$9&lt;&gt;"Có"),"Nguồn chưa xác định; ","")))</f>
        <v/>
      </c>
      <c r="V4490" s="22">
        <f>IF(OR($D4490="",$R4490="Trùng"),"",IF(COUNTIF(ORDERS!$C$2:$C$4995,$D4490)&gt;0,"Có","Không"))</f>
        <v/>
      </c>
      <c r="W4490" s="22">
        <f>IF(OR($D4490="",$R4490="Trùng"),"",COUNTIFS(ORDERS!$C$2:$C$4995,$D4490,ORDERS!$L$2:$L$4995,"Đã chuyển khoản"))</f>
        <v/>
      </c>
      <c r="X4490" s="23">
        <f>IF(OR($D4490="",$R4490="Trùng"),"",SUMIFS(ORDERS!$J$2:$J$4995,ORDERS!$C$2:$C$4995,$D4490,ORDERS!$L$2:$L$4995,"Đã chuyển khoản"))</f>
        <v/>
      </c>
      <c r="Y4490" s="24" t="n"/>
    </row>
    <row r="4491" ht="14.25" customHeight="1" s="40">
      <c r="A4491" s="24" t="n"/>
      <c r="B4491" s="27" t="n"/>
      <c r="C4491" s="24" t="n"/>
      <c r="D4491" s="28" t="n"/>
      <c r="E4491" s="29" t="n"/>
      <c r="F4491" s="24" t="n"/>
      <c r="G4491" s="24" t="n"/>
      <c r="H4491" s="21">
        <f>IF(ISNUMBER($B4491),INT($B4491)-WEEKDAY($B4491,2)+1,"")</f>
        <v/>
      </c>
      <c r="I4491" s="24" t="n"/>
      <c r="J4491" s="22">
        <f t="array" ref="J4491">IF($D4491="","",IF($I4491="","(trống REF)",IFERROR(INDEX(MASTER_SOURCE!$B$2:$B$495,MATCH($I4491,MASTER_SOURCE!$A$2:$A$495,0)),"(REF không có trong MASTER_SOURCE)")))</f>
        <v/>
      </c>
      <c r="K4491" s="22">
        <f t="array" ref="K4491">IF($D4491="","",IFERROR(INDEX(MASTER_SOURCE!$C$2:$C$495,MATCH($I4491,MASTER_SOURCE!$A$2:$A$495,0)),""))</f>
        <v/>
      </c>
      <c r="L4491" s="22">
        <f t="array" ref="L4491">IF($D4491="","",IFERROR(INDEX(MASTER_SOURCE!$D$2:$D$495,MATCH($I4491,MASTER_SOURCE!$A$2:$A$495,0)),""))</f>
        <v/>
      </c>
      <c r="M4491" s="24" t="n"/>
      <c r="N4491" s="24" t="n"/>
      <c r="O4491" s="24" t="n"/>
      <c r="P4491" s="24" t="n"/>
      <c r="Q4491" s="22">
        <f>IF($D4491="","",IF(AND(OR(DANH_MUC!$L$5&lt;&gt;"Có",M4491="Có"),OR(DANH_MUC!$L$6&lt;&gt;"Có",N4491="Có"),OR(DANH_MUC!$L$7&lt;&gt;"Có",O4491="Có"),OR(DANH_MUC!$L$8&lt;&gt;"Có",P4491="Có")),"Có","Không"))</f>
        <v/>
      </c>
      <c r="R4491" s="22">
        <f>IF($D4491="","",IF(COUNTIF($D$2:$D4491,$D4491)&gt;1,"Trùng",""))</f>
        <v/>
      </c>
      <c r="S4491" s="22">
        <f>IF($D4491="","",IF(AND(LEN($D4491)=10,LEFT($D4491,1)="0",ISNUMBER(--$D4491)),"Có","Không"))</f>
        <v/>
      </c>
      <c r="T4491" s="22">
        <f>IF($D4491="","",IF(AND($C4491&lt;&gt;"",$Q4491="Có",$R4491="",$S4491="Có",AND($L4491&lt;&gt;"",OR($L4491&lt;&gt;"Chưa xác định",DANH_MUC!$L$9="Có"))),"Có","Không"))</f>
        <v/>
      </c>
      <c r="U4491" s="22">
        <f>IF(OR($D4491="",$T4491="Có"),"",IF($C4491="","Thiếu họ tên; ","")&amp;IF($S4491&lt;&gt;"Có","SĐT sai định dạng; ","")&amp;IF($R4491="Trùng","Trùng SĐT; ","")&amp;IF($Q4491&lt;&gt;"Có","Thiếu đồng ý bắt buộc; ","")&amp;IF($L4491="","Thiếu/sai Mã REF; ",IF(AND($L4491="Chưa xác định",DANH_MUC!$L$9&lt;&gt;"Có"),"Nguồn chưa xác định; ","")))</f>
        <v/>
      </c>
      <c r="V4491" s="22">
        <f>IF(OR($D4491="",$R4491="Trùng"),"",IF(COUNTIF(ORDERS!$C$2:$C$4995,$D4491)&gt;0,"Có","Không"))</f>
        <v/>
      </c>
      <c r="W4491" s="22">
        <f>IF(OR($D4491="",$R4491="Trùng"),"",COUNTIFS(ORDERS!$C$2:$C$4995,$D4491,ORDERS!$L$2:$L$4995,"Đã chuyển khoản"))</f>
        <v/>
      </c>
      <c r="X4491" s="23">
        <f>IF(OR($D4491="",$R4491="Trùng"),"",SUMIFS(ORDERS!$J$2:$J$4995,ORDERS!$C$2:$C$4995,$D4491,ORDERS!$L$2:$L$4995,"Đã chuyển khoản"))</f>
        <v/>
      </c>
      <c r="Y4491" s="24" t="n"/>
    </row>
    <row r="4492" ht="14.25" customHeight="1" s="40">
      <c r="A4492" s="24" t="n"/>
      <c r="B4492" s="27" t="n"/>
      <c r="C4492" s="24" t="n"/>
      <c r="D4492" s="28" t="n"/>
      <c r="E4492" s="29" t="n"/>
      <c r="F4492" s="24" t="n"/>
      <c r="G4492" s="24" t="n"/>
      <c r="H4492" s="21">
        <f>IF(ISNUMBER($B4492),INT($B4492)-WEEKDAY($B4492,2)+1,"")</f>
        <v/>
      </c>
      <c r="I4492" s="24" t="n"/>
      <c r="J4492" s="22">
        <f t="array" ref="J4492">IF($D4492="","",IF($I4492="","(trống REF)",IFERROR(INDEX(MASTER_SOURCE!$B$2:$B$495,MATCH($I4492,MASTER_SOURCE!$A$2:$A$495,0)),"(REF không có trong MASTER_SOURCE)")))</f>
        <v/>
      </c>
      <c r="K4492" s="22">
        <f t="array" ref="K4492">IF($D4492="","",IFERROR(INDEX(MASTER_SOURCE!$C$2:$C$495,MATCH($I4492,MASTER_SOURCE!$A$2:$A$495,0)),""))</f>
        <v/>
      </c>
      <c r="L4492" s="22">
        <f t="array" ref="L4492">IF($D4492="","",IFERROR(INDEX(MASTER_SOURCE!$D$2:$D$495,MATCH($I4492,MASTER_SOURCE!$A$2:$A$495,0)),""))</f>
        <v/>
      </c>
      <c r="M4492" s="24" t="n"/>
      <c r="N4492" s="24" t="n"/>
      <c r="O4492" s="24" t="n"/>
      <c r="P4492" s="24" t="n"/>
      <c r="Q4492" s="22">
        <f>IF($D4492="","",IF(AND(OR(DANH_MUC!$L$5&lt;&gt;"Có",M4492="Có"),OR(DANH_MUC!$L$6&lt;&gt;"Có",N4492="Có"),OR(DANH_MUC!$L$7&lt;&gt;"Có",O4492="Có"),OR(DANH_MUC!$L$8&lt;&gt;"Có",P4492="Có")),"Có","Không"))</f>
        <v/>
      </c>
      <c r="R4492" s="22">
        <f>IF($D4492="","",IF(COUNTIF($D$2:$D4492,$D4492)&gt;1,"Trùng",""))</f>
        <v/>
      </c>
      <c r="S4492" s="22">
        <f>IF($D4492="","",IF(AND(LEN($D4492)=10,LEFT($D4492,1)="0",ISNUMBER(--$D4492)),"Có","Không"))</f>
        <v/>
      </c>
      <c r="T4492" s="22">
        <f>IF($D4492="","",IF(AND($C4492&lt;&gt;"",$Q4492="Có",$R4492="",$S4492="Có",AND($L4492&lt;&gt;"",OR($L4492&lt;&gt;"Chưa xác định",DANH_MUC!$L$9="Có"))),"Có","Không"))</f>
        <v/>
      </c>
      <c r="U4492" s="22">
        <f>IF(OR($D4492="",$T4492="Có"),"",IF($C4492="","Thiếu họ tên; ","")&amp;IF($S4492&lt;&gt;"Có","SĐT sai định dạng; ","")&amp;IF($R4492="Trùng","Trùng SĐT; ","")&amp;IF($Q4492&lt;&gt;"Có","Thiếu đồng ý bắt buộc; ","")&amp;IF($L4492="","Thiếu/sai Mã REF; ",IF(AND($L4492="Chưa xác định",DANH_MUC!$L$9&lt;&gt;"Có"),"Nguồn chưa xác định; ","")))</f>
        <v/>
      </c>
      <c r="V4492" s="22">
        <f>IF(OR($D4492="",$R4492="Trùng"),"",IF(COUNTIF(ORDERS!$C$2:$C$4995,$D4492)&gt;0,"Có","Không"))</f>
        <v/>
      </c>
      <c r="W4492" s="22">
        <f>IF(OR($D4492="",$R4492="Trùng"),"",COUNTIFS(ORDERS!$C$2:$C$4995,$D4492,ORDERS!$L$2:$L$4995,"Đã chuyển khoản"))</f>
        <v/>
      </c>
      <c r="X4492" s="23">
        <f>IF(OR($D4492="",$R4492="Trùng"),"",SUMIFS(ORDERS!$J$2:$J$4995,ORDERS!$C$2:$C$4995,$D4492,ORDERS!$L$2:$L$4995,"Đã chuyển khoản"))</f>
        <v/>
      </c>
      <c r="Y4492" s="24" t="n"/>
    </row>
    <row r="4493" ht="14.25" customHeight="1" s="40">
      <c r="A4493" s="24" t="n"/>
      <c r="B4493" s="27" t="n"/>
      <c r="C4493" s="24" t="n"/>
      <c r="D4493" s="28" t="n"/>
      <c r="E4493" s="29" t="n"/>
      <c r="F4493" s="24" t="n"/>
      <c r="G4493" s="24" t="n"/>
      <c r="H4493" s="21">
        <f>IF(ISNUMBER($B4493),INT($B4493)-WEEKDAY($B4493,2)+1,"")</f>
        <v/>
      </c>
      <c r="I4493" s="24" t="n"/>
      <c r="J4493" s="22">
        <f t="array" ref="J4493">IF($D4493="","",IF($I4493="","(trống REF)",IFERROR(INDEX(MASTER_SOURCE!$B$2:$B$495,MATCH($I4493,MASTER_SOURCE!$A$2:$A$495,0)),"(REF không có trong MASTER_SOURCE)")))</f>
        <v/>
      </c>
      <c r="K4493" s="22">
        <f t="array" ref="K4493">IF($D4493="","",IFERROR(INDEX(MASTER_SOURCE!$C$2:$C$495,MATCH($I4493,MASTER_SOURCE!$A$2:$A$495,0)),""))</f>
        <v/>
      </c>
      <c r="L4493" s="22">
        <f t="array" ref="L4493">IF($D4493="","",IFERROR(INDEX(MASTER_SOURCE!$D$2:$D$495,MATCH($I4493,MASTER_SOURCE!$A$2:$A$495,0)),""))</f>
        <v/>
      </c>
      <c r="M4493" s="24" t="n"/>
      <c r="N4493" s="24" t="n"/>
      <c r="O4493" s="24" t="n"/>
      <c r="P4493" s="24" t="n"/>
      <c r="Q4493" s="22">
        <f>IF($D4493="","",IF(AND(OR(DANH_MUC!$L$5&lt;&gt;"Có",M4493="Có"),OR(DANH_MUC!$L$6&lt;&gt;"Có",N4493="Có"),OR(DANH_MUC!$L$7&lt;&gt;"Có",O4493="Có"),OR(DANH_MUC!$L$8&lt;&gt;"Có",P4493="Có")),"Có","Không"))</f>
        <v/>
      </c>
      <c r="R4493" s="22">
        <f>IF($D4493="","",IF(COUNTIF($D$2:$D4493,$D4493)&gt;1,"Trùng",""))</f>
        <v/>
      </c>
      <c r="S4493" s="22">
        <f>IF($D4493="","",IF(AND(LEN($D4493)=10,LEFT($D4493,1)="0",ISNUMBER(--$D4493)),"Có","Không"))</f>
        <v/>
      </c>
      <c r="T4493" s="22">
        <f>IF($D4493="","",IF(AND($C4493&lt;&gt;"",$Q4493="Có",$R4493="",$S4493="Có",AND($L4493&lt;&gt;"",OR($L4493&lt;&gt;"Chưa xác định",DANH_MUC!$L$9="Có"))),"Có","Không"))</f>
        <v/>
      </c>
      <c r="U4493" s="22">
        <f>IF(OR($D4493="",$T4493="Có"),"",IF($C4493="","Thiếu họ tên; ","")&amp;IF($S4493&lt;&gt;"Có","SĐT sai định dạng; ","")&amp;IF($R4493="Trùng","Trùng SĐT; ","")&amp;IF($Q4493&lt;&gt;"Có","Thiếu đồng ý bắt buộc; ","")&amp;IF($L4493="","Thiếu/sai Mã REF; ",IF(AND($L4493="Chưa xác định",DANH_MUC!$L$9&lt;&gt;"Có"),"Nguồn chưa xác định; ","")))</f>
        <v/>
      </c>
      <c r="V4493" s="22">
        <f>IF(OR($D4493="",$R4493="Trùng"),"",IF(COUNTIF(ORDERS!$C$2:$C$4995,$D4493)&gt;0,"Có","Không"))</f>
        <v/>
      </c>
      <c r="W4493" s="22">
        <f>IF(OR($D4493="",$R4493="Trùng"),"",COUNTIFS(ORDERS!$C$2:$C$4995,$D4493,ORDERS!$L$2:$L$4995,"Đã chuyển khoản"))</f>
        <v/>
      </c>
      <c r="X4493" s="23">
        <f>IF(OR($D4493="",$R4493="Trùng"),"",SUMIFS(ORDERS!$J$2:$J$4995,ORDERS!$C$2:$C$4995,$D4493,ORDERS!$L$2:$L$4995,"Đã chuyển khoản"))</f>
        <v/>
      </c>
      <c r="Y4493" s="24" t="n"/>
    </row>
    <row r="4494" ht="14.25" customHeight="1" s="40">
      <c r="A4494" s="24" t="n"/>
      <c r="B4494" s="27" t="n"/>
      <c r="C4494" s="24" t="n"/>
      <c r="D4494" s="28" t="n"/>
      <c r="E4494" s="29" t="n"/>
      <c r="F4494" s="24" t="n"/>
      <c r="G4494" s="24" t="n"/>
      <c r="H4494" s="21">
        <f>IF(ISNUMBER($B4494),INT($B4494)-WEEKDAY($B4494,2)+1,"")</f>
        <v/>
      </c>
      <c r="I4494" s="24" t="n"/>
      <c r="J4494" s="22">
        <f t="array" ref="J4494">IF($D4494="","",IF($I4494="","(trống REF)",IFERROR(INDEX(MASTER_SOURCE!$B$2:$B$495,MATCH($I4494,MASTER_SOURCE!$A$2:$A$495,0)),"(REF không có trong MASTER_SOURCE)")))</f>
        <v/>
      </c>
      <c r="K4494" s="22">
        <f t="array" ref="K4494">IF($D4494="","",IFERROR(INDEX(MASTER_SOURCE!$C$2:$C$495,MATCH($I4494,MASTER_SOURCE!$A$2:$A$495,0)),""))</f>
        <v/>
      </c>
      <c r="L4494" s="22">
        <f t="array" ref="L4494">IF($D4494="","",IFERROR(INDEX(MASTER_SOURCE!$D$2:$D$495,MATCH($I4494,MASTER_SOURCE!$A$2:$A$495,0)),""))</f>
        <v/>
      </c>
      <c r="M4494" s="24" t="n"/>
      <c r="N4494" s="24" t="n"/>
      <c r="O4494" s="24" t="n"/>
      <c r="P4494" s="24" t="n"/>
      <c r="Q4494" s="22">
        <f>IF($D4494="","",IF(AND(OR(DANH_MUC!$L$5&lt;&gt;"Có",M4494="Có"),OR(DANH_MUC!$L$6&lt;&gt;"Có",N4494="Có"),OR(DANH_MUC!$L$7&lt;&gt;"Có",O4494="Có"),OR(DANH_MUC!$L$8&lt;&gt;"Có",P4494="Có")),"Có","Không"))</f>
        <v/>
      </c>
      <c r="R4494" s="22">
        <f>IF($D4494="","",IF(COUNTIF($D$2:$D4494,$D4494)&gt;1,"Trùng",""))</f>
        <v/>
      </c>
      <c r="S4494" s="22">
        <f>IF($D4494="","",IF(AND(LEN($D4494)=10,LEFT($D4494,1)="0",ISNUMBER(--$D4494)),"Có","Không"))</f>
        <v/>
      </c>
      <c r="T4494" s="22">
        <f>IF($D4494="","",IF(AND($C4494&lt;&gt;"",$Q4494="Có",$R4494="",$S4494="Có",AND($L4494&lt;&gt;"",OR($L4494&lt;&gt;"Chưa xác định",DANH_MUC!$L$9="Có"))),"Có","Không"))</f>
        <v/>
      </c>
      <c r="U4494" s="22">
        <f>IF(OR($D4494="",$T4494="Có"),"",IF($C4494="","Thiếu họ tên; ","")&amp;IF($S4494&lt;&gt;"Có","SĐT sai định dạng; ","")&amp;IF($R4494="Trùng","Trùng SĐT; ","")&amp;IF($Q4494&lt;&gt;"Có","Thiếu đồng ý bắt buộc; ","")&amp;IF($L4494="","Thiếu/sai Mã REF; ",IF(AND($L4494="Chưa xác định",DANH_MUC!$L$9&lt;&gt;"Có"),"Nguồn chưa xác định; ","")))</f>
        <v/>
      </c>
      <c r="V4494" s="22">
        <f>IF(OR($D4494="",$R4494="Trùng"),"",IF(COUNTIF(ORDERS!$C$2:$C$4995,$D4494)&gt;0,"Có","Không"))</f>
        <v/>
      </c>
      <c r="W4494" s="22">
        <f>IF(OR($D4494="",$R4494="Trùng"),"",COUNTIFS(ORDERS!$C$2:$C$4995,$D4494,ORDERS!$L$2:$L$4995,"Đã chuyển khoản"))</f>
        <v/>
      </c>
      <c r="X4494" s="23">
        <f>IF(OR($D4494="",$R4494="Trùng"),"",SUMIFS(ORDERS!$J$2:$J$4995,ORDERS!$C$2:$C$4995,$D4494,ORDERS!$L$2:$L$4995,"Đã chuyển khoản"))</f>
        <v/>
      </c>
      <c r="Y4494" s="24" t="n"/>
    </row>
    <row r="4495" ht="14.25" customHeight="1" s="40">
      <c r="A4495" s="24" t="n"/>
      <c r="B4495" s="27" t="n"/>
      <c r="C4495" s="24" t="n"/>
      <c r="D4495" s="28" t="n"/>
      <c r="E4495" s="29" t="n"/>
      <c r="F4495" s="24" t="n"/>
      <c r="G4495" s="24" t="n"/>
      <c r="H4495" s="21">
        <f>IF(ISNUMBER($B4495),INT($B4495)-WEEKDAY($B4495,2)+1,"")</f>
        <v/>
      </c>
      <c r="I4495" s="24" t="n"/>
      <c r="J4495" s="22">
        <f t="array" ref="J4495">IF($D4495="","",IF($I4495="","(trống REF)",IFERROR(INDEX(MASTER_SOURCE!$B$2:$B$495,MATCH($I4495,MASTER_SOURCE!$A$2:$A$495,0)),"(REF không có trong MASTER_SOURCE)")))</f>
        <v/>
      </c>
      <c r="K4495" s="22">
        <f t="array" ref="K4495">IF($D4495="","",IFERROR(INDEX(MASTER_SOURCE!$C$2:$C$495,MATCH($I4495,MASTER_SOURCE!$A$2:$A$495,0)),""))</f>
        <v/>
      </c>
      <c r="L4495" s="22">
        <f t="array" ref="L4495">IF($D4495="","",IFERROR(INDEX(MASTER_SOURCE!$D$2:$D$495,MATCH($I4495,MASTER_SOURCE!$A$2:$A$495,0)),""))</f>
        <v/>
      </c>
      <c r="M4495" s="24" t="n"/>
      <c r="N4495" s="24" t="n"/>
      <c r="O4495" s="24" t="n"/>
      <c r="P4495" s="24" t="n"/>
      <c r="Q4495" s="22">
        <f>IF($D4495="","",IF(AND(OR(DANH_MUC!$L$5&lt;&gt;"Có",M4495="Có"),OR(DANH_MUC!$L$6&lt;&gt;"Có",N4495="Có"),OR(DANH_MUC!$L$7&lt;&gt;"Có",O4495="Có"),OR(DANH_MUC!$L$8&lt;&gt;"Có",P4495="Có")),"Có","Không"))</f>
        <v/>
      </c>
      <c r="R4495" s="22">
        <f>IF($D4495="","",IF(COUNTIF($D$2:$D4495,$D4495)&gt;1,"Trùng",""))</f>
        <v/>
      </c>
      <c r="S4495" s="22">
        <f>IF($D4495="","",IF(AND(LEN($D4495)=10,LEFT($D4495,1)="0",ISNUMBER(--$D4495)),"Có","Không"))</f>
        <v/>
      </c>
      <c r="T4495" s="22">
        <f>IF($D4495="","",IF(AND($C4495&lt;&gt;"",$Q4495="Có",$R4495="",$S4495="Có",AND($L4495&lt;&gt;"",OR($L4495&lt;&gt;"Chưa xác định",DANH_MUC!$L$9="Có"))),"Có","Không"))</f>
        <v/>
      </c>
      <c r="U4495" s="22">
        <f>IF(OR($D4495="",$T4495="Có"),"",IF($C4495="","Thiếu họ tên; ","")&amp;IF($S4495&lt;&gt;"Có","SĐT sai định dạng; ","")&amp;IF($R4495="Trùng","Trùng SĐT; ","")&amp;IF($Q4495&lt;&gt;"Có","Thiếu đồng ý bắt buộc; ","")&amp;IF($L4495="","Thiếu/sai Mã REF; ",IF(AND($L4495="Chưa xác định",DANH_MUC!$L$9&lt;&gt;"Có"),"Nguồn chưa xác định; ","")))</f>
        <v/>
      </c>
      <c r="V4495" s="22">
        <f>IF(OR($D4495="",$R4495="Trùng"),"",IF(COUNTIF(ORDERS!$C$2:$C$4995,$D4495)&gt;0,"Có","Không"))</f>
        <v/>
      </c>
      <c r="W4495" s="22">
        <f>IF(OR($D4495="",$R4495="Trùng"),"",COUNTIFS(ORDERS!$C$2:$C$4995,$D4495,ORDERS!$L$2:$L$4995,"Đã chuyển khoản"))</f>
        <v/>
      </c>
      <c r="X4495" s="23">
        <f>IF(OR($D4495="",$R4495="Trùng"),"",SUMIFS(ORDERS!$J$2:$J$4995,ORDERS!$C$2:$C$4995,$D4495,ORDERS!$L$2:$L$4995,"Đã chuyển khoản"))</f>
        <v/>
      </c>
      <c r="Y4495" s="24" t="n"/>
    </row>
    <row r="4496" ht="14.25" customHeight="1" s="40">
      <c r="A4496" s="24" t="n"/>
      <c r="B4496" s="27" t="n"/>
      <c r="C4496" s="24" t="n"/>
      <c r="D4496" s="28" t="n"/>
      <c r="E4496" s="29" t="n"/>
      <c r="F4496" s="24" t="n"/>
      <c r="G4496" s="24" t="n"/>
      <c r="H4496" s="21">
        <f>IF(ISNUMBER($B4496),INT($B4496)-WEEKDAY($B4496,2)+1,"")</f>
        <v/>
      </c>
      <c r="I4496" s="24" t="n"/>
      <c r="J4496" s="22">
        <f t="array" ref="J4496">IF($D4496="","",IF($I4496="","(trống REF)",IFERROR(INDEX(MASTER_SOURCE!$B$2:$B$495,MATCH($I4496,MASTER_SOURCE!$A$2:$A$495,0)),"(REF không có trong MASTER_SOURCE)")))</f>
        <v/>
      </c>
      <c r="K4496" s="22">
        <f t="array" ref="K4496">IF($D4496="","",IFERROR(INDEX(MASTER_SOURCE!$C$2:$C$495,MATCH($I4496,MASTER_SOURCE!$A$2:$A$495,0)),""))</f>
        <v/>
      </c>
      <c r="L4496" s="22">
        <f t="array" ref="L4496">IF($D4496="","",IFERROR(INDEX(MASTER_SOURCE!$D$2:$D$495,MATCH($I4496,MASTER_SOURCE!$A$2:$A$495,0)),""))</f>
        <v/>
      </c>
      <c r="M4496" s="24" t="n"/>
      <c r="N4496" s="24" t="n"/>
      <c r="O4496" s="24" t="n"/>
      <c r="P4496" s="24" t="n"/>
      <c r="Q4496" s="22">
        <f>IF($D4496="","",IF(AND(OR(DANH_MUC!$L$5&lt;&gt;"Có",M4496="Có"),OR(DANH_MUC!$L$6&lt;&gt;"Có",N4496="Có"),OR(DANH_MUC!$L$7&lt;&gt;"Có",O4496="Có"),OR(DANH_MUC!$L$8&lt;&gt;"Có",P4496="Có")),"Có","Không"))</f>
        <v/>
      </c>
      <c r="R4496" s="22">
        <f>IF($D4496="","",IF(COUNTIF($D$2:$D4496,$D4496)&gt;1,"Trùng",""))</f>
        <v/>
      </c>
      <c r="S4496" s="22">
        <f>IF($D4496="","",IF(AND(LEN($D4496)=10,LEFT($D4496,1)="0",ISNUMBER(--$D4496)),"Có","Không"))</f>
        <v/>
      </c>
      <c r="T4496" s="22">
        <f>IF($D4496="","",IF(AND($C4496&lt;&gt;"",$Q4496="Có",$R4496="",$S4496="Có",AND($L4496&lt;&gt;"",OR($L4496&lt;&gt;"Chưa xác định",DANH_MUC!$L$9="Có"))),"Có","Không"))</f>
        <v/>
      </c>
      <c r="U4496" s="22">
        <f>IF(OR($D4496="",$T4496="Có"),"",IF($C4496="","Thiếu họ tên; ","")&amp;IF($S4496&lt;&gt;"Có","SĐT sai định dạng; ","")&amp;IF($R4496="Trùng","Trùng SĐT; ","")&amp;IF($Q4496&lt;&gt;"Có","Thiếu đồng ý bắt buộc; ","")&amp;IF($L4496="","Thiếu/sai Mã REF; ",IF(AND($L4496="Chưa xác định",DANH_MUC!$L$9&lt;&gt;"Có"),"Nguồn chưa xác định; ","")))</f>
        <v/>
      </c>
      <c r="V4496" s="22">
        <f>IF(OR($D4496="",$R4496="Trùng"),"",IF(COUNTIF(ORDERS!$C$2:$C$4995,$D4496)&gt;0,"Có","Không"))</f>
        <v/>
      </c>
      <c r="W4496" s="22">
        <f>IF(OR($D4496="",$R4496="Trùng"),"",COUNTIFS(ORDERS!$C$2:$C$4995,$D4496,ORDERS!$L$2:$L$4995,"Đã chuyển khoản"))</f>
        <v/>
      </c>
      <c r="X4496" s="23">
        <f>IF(OR($D4496="",$R4496="Trùng"),"",SUMIFS(ORDERS!$J$2:$J$4995,ORDERS!$C$2:$C$4995,$D4496,ORDERS!$L$2:$L$4995,"Đã chuyển khoản"))</f>
        <v/>
      </c>
      <c r="Y4496" s="24" t="n"/>
    </row>
    <row r="4497" ht="14.25" customHeight="1" s="40">
      <c r="A4497" s="24" t="n"/>
      <c r="B4497" s="27" t="n"/>
      <c r="C4497" s="24" t="n"/>
      <c r="D4497" s="28" t="n"/>
      <c r="E4497" s="29" t="n"/>
      <c r="F4497" s="24" t="n"/>
      <c r="G4497" s="24" t="n"/>
      <c r="H4497" s="21">
        <f>IF(ISNUMBER($B4497),INT($B4497)-WEEKDAY($B4497,2)+1,"")</f>
        <v/>
      </c>
      <c r="I4497" s="24" t="n"/>
      <c r="J4497" s="22">
        <f t="array" ref="J4497">IF($D4497="","",IF($I4497="","(trống REF)",IFERROR(INDEX(MASTER_SOURCE!$B$2:$B$495,MATCH($I4497,MASTER_SOURCE!$A$2:$A$495,0)),"(REF không có trong MASTER_SOURCE)")))</f>
        <v/>
      </c>
      <c r="K4497" s="22">
        <f t="array" ref="K4497">IF($D4497="","",IFERROR(INDEX(MASTER_SOURCE!$C$2:$C$495,MATCH($I4497,MASTER_SOURCE!$A$2:$A$495,0)),""))</f>
        <v/>
      </c>
      <c r="L4497" s="22">
        <f t="array" ref="L4497">IF($D4497="","",IFERROR(INDEX(MASTER_SOURCE!$D$2:$D$495,MATCH($I4497,MASTER_SOURCE!$A$2:$A$495,0)),""))</f>
        <v/>
      </c>
      <c r="M4497" s="24" t="n"/>
      <c r="N4497" s="24" t="n"/>
      <c r="O4497" s="24" t="n"/>
      <c r="P4497" s="24" t="n"/>
      <c r="Q4497" s="22">
        <f>IF($D4497="","",IF(AND(OR(DANH_MUC!$L$5&lt;&gt;"Có",M4497="Có"),OR(DANH_MUC!$L$6&lt;&gt;"Có",N4497="Có"),OR(DANH_MUC!$L$7&lt;&gt;"Có",O4497="Có"),OR(DANH_MUC!$L$8&lt;&gt;"Có",P4497="Có")),"Có","Không"))</f>
        <v/>
      </c>
      <c r="R4497" s="22">
        <f>IF($D4497="","",IF(COUNTIF($D$2:$D4497,$D4497)&gt;1,"Trùng",""))</f>
        <v/>
      </c>
      <c r="S4497" s="22">
        <f>IF($D4497="","",IF(AND(LEN($D4497)=10,LEFT($D4497,1)="0",ISNUMBER(--$D4497)),"Có","Không"))</f>
        <v/>
      </c>
      <c r="T4497" s="22">
        <f>IF($D4497="","",IF(AND($C4497&lt;&gt;"",$Q4497="Có",$R4497="",$S4497="Có",AND($L4497&lt;&gt;"",OR($L4497&lt;&gt;"Chưa xác định",DANH_MUC!$L$9="Có"))),"Có","Không"))</f>
        <v/>
      </c>
      <c r="U4497" s="22">
        <f>IF(OR($D4497="",$T4497="Có"),"",IF($C4497="","Thiếu họ tên; ","")&amp;IF($S4497&lt;&gt;"Có","SĐT sai định dạng; ","")&amp;IF($R4497="Trùng","Trùng SĐT; ","")&amp;IF($Q4497&lt;&gt;"Có","Thiếu đồng ý bắt buộc; ","")&amp;IF($L4497="","Thiếu/sai Mã REF; ",IF(AND($L4497="Chưa xác định",DANH_MUC!$L$9&lt;&gt;"Có"),"Nguồn chưa xác định; ","")))</f>
        <v/>
      </c>
      <c r="V4497" s="22">
        <f>IF(OR($D4497="",$R4497="Trùng"),"",IF(COUNTIF(ORDERS!$C$2:$C$4995,$D4497)&gt;0,"Có","Không"))</f>
        <v/>
      </c>
      <c r="W4497" s="22">
        <f>IF(OR($D4497="",$R4497="Trùng"),"",COUNTIFS(ORDERS!$C$2:$C$4995,$D4497,ORDERS!$L$2:$L$4995,"Đã chuyển khoản"))</f>
        <v/>
      </c>
      <c r="X4497" s="23">
        <f>IF(OR($D4497="",$R4497="Trùng"),"",SUMIFS(ORDERS!$J$2:$J$4995,ORDERS!$C$2:$C$4995,$D4497,ORDERS!$L$2:$L$4995,"Đã chuyển khoản"))</f>
        <v/>
      </c>
      <c r="Y4497" s="24" t="n"/>
    </row>
    <row r="4498" ht="14.25" customHeight="1" s="40">
      <c r="A4498" s="24" t="n"/>
      <c r="B4498" s="27" t="n"/>
      <c r="C4498" s="24" t="n"/>
      <c r="D4498" s="28" t="n"/>
      <c r="E4498" s="29" t="n"/>
      <c r="F4498" s="24" t="n"/>
      <c r="G4498" s="24" t="n"/>
      <c r="H4498" s="21">
        <f>IF(ISNUMBER($B4498),INT($B4498)-WEEKDAY($B4498,2)+1,"")</f>
        <v/>
      </c>
      <c r="I4498" s="24" t="n"/>
      <c r="J4498" s="22">
        <f t="array" ref="J4498">IF($D4498="","",IF($I4498="","(trống REF)",IFERROR(INDEX(MASTER_SOURCE!$B$2:$B$495,MATCH($I4498,MASTER_SOURCE!$A$2:$A$495,0)),"(REF không có trong MASTER_SOURCE)")))</f>
        <v/>
      </c>
      <c r="K4498" s="22">
        <f t="array" ref="K4498">IF($D4498="","",IFERROR(INDEX(MASTER_SOURCE!$C$2:$C$495,MATCH($I4498,MASTER_SOURCE!$A$2:$A$495,0)),""))</f>
        <v/>
      </c>
      <c r="L4498" s="22">
        <f t="array" ref="L4498">IF($D4498="","",IFERROR(INDEX(MASTER_SOURCE!$D$2:$D$495,MATCH($I4498,MASTER_SOURCE!$A$2:$A$495,0)),""))</f>
        <v/>
      </c>
      <c r="M4498" s="24" t="n"/>
      <c r="N4498" s="24" t="n"/>
      <c r="O4498" s="24" t="n"/>
      <c r="P4498" s="24" t="n"/>
      <c r="Q4498" s="22">
        <f>IF($D4498="","",IF(AND(OR(DANH_MUC!$L$5&lt;&gt;"Có",M4498="Có"),OR(DANH_MUC!$L$6&lt;&gt;"Có",N4498="Có"),OR(DANH_MUC!$L$7&lt;&gt;"Có",O4498="Có"),OR(DANH_MUC!$L$8&lt;&gt;"Có",P4498="Có")),"Có","Không"))</f>
        <v/>
      </c>
      <c r="R4498" s="22">
        <f>IF($D4498="","",IF(COUNTIF($D$2:$D4498,$D4498)&gt;1,"Trùng",""))</f>
        <v/>
      </c>
      <c r="S4498" s="22">
        <f>IF($D4498="","",IF(AND(LEN($D4498)=10,LEFT($D4498,1)="0",ISNUMBER(--$D4498)),"Có","Không"))</f>
        <v/>
      </c>
      <c r="T4498" s="22">
        <f>IF($D4498="","",IF(AND($C4498&lt;&gt;"",$Q4498="Có",$R4498="",$S4498="Có",AND($L4498&lt;&gt;"",OR($L4498&lt;&gt;"Chưa xác định",DANH_MUC!$L$9="Có"))),"Có","Không"))</f>
        <v/>
      </c>
      <c r="U4498" s="22">
        <f>IF(OR($D4498="",$T4498="Có"),"",IF($C4498="","Thiếu họ tên; ","")&amp;IF($S4498&lt;&gt;"Có","SĐT sai định dạng; ","")&amp;IF($R4498="Trùng","Trùng SĐT; ","")&amp;IF($Q4498&lt;&gt;"Có","Thiếu đồng ý bắt buộc; ","")&amp;IF($L4498="","Thiếu/sai Mã REF; ",IF(AND($L4498="Chưa xác định",DANH_MUC!$L$9&lt;&gt;"Có"),"Nguồn chưa xác định; ","")))</f>
        <v/>
      </c>
      <c r="V4498" s="22">
        <f>IF(OR($D4498="",$R4498="Trùng"),"",IF(COUNTIF(ORDERS!$C$2:$C$4995,$D4498)&gt;0,"Có","Không"))</f>
        <v/>
      </c>
      <c r="W4498" s="22">
        <f>IF(OR($D4498="",$R4498="Trùng"),"",COUNTIFS(ORDERS!$C$2:$C$4995,$D4498,ORDERS!$L$2:$L$4995,"Đã chuyển khoản"))</f>
        <v/>
      </c>
      <c r="X4498" s="23">
        <f>IF(OR($D4498="",$R4498="Trùng"),"",SUMIFS(ORDERS!$J$2:$J$4995,ORDERS!$C$2:$C$4995,$D4498,ORDERS!$L$2:$L$4995,"Đã chuyển khoản"))</f>
        <v/>
      </c>
      <c r="Y4498" s="24" t="n"/>
    </row>
    <row r="4499" ht="14.25" customHeight="1" s="40">
      <c r="A4499" s="24" t="n"/>
      <c r="B4499" s="27" t="n"/>
      <c r="C4499" s="24" t="n"/>
      <c r="D4499" s="28" t="n"/>
      <c r="E4499" s="29" t="n"/>
      <c r="F4499" s="24" t="n"/>
      <c r="G4499" s="24" t="n"/>
      <c r="H4499" s="21">
        <f>IF(ISNUMBER($B4499),INT($B4499)-WEEKDAY($B4499,2)+1,"")</f>
        <v/>
      </c>
      <c r="I4499" s="24" t="n"/>
      <c r="J4499" s="22">
        <f t="array" ref="J4499">IF($D4499="","",IF($I4499="","(trống REF)",IFERROR(INDEX(MASTER_SOURCE!$B$2:$B$495,MATCH($I4499,MASTER_SOURCE!$A$2:$A$495,0)),"(REF không có trong MASTER_SOURCE)")))</f>
        <v/>
      </c>
      <c r="K4499" s="22">
        <f t="array" ref="K4499">IF($D4499="","",IFERROR(INDEX(MASTER_SOURCE!$C$2:$C$495,MATCH($I4499,MASTER_SOURCE!$A$2:$A$495,0)),""))</f>
        <v/>
      </c>
      <c r="L4499" s="22">
        <f t="array" ref="L4499">IF($D4499="","",IFERROR(INDEX(MASTER_SOURCE!$D$2:$D$495,MATCH($I4499,MASTER_SOURCE!$A$2:$A$495,0)),""))</f>
        <v/>
      </c>
      <c r="M4499" s="24" t="n"/>
      <c r="N4499" s="24" t="n"/>
      <c r="O4499" s="24" t="n"/>
      <c r="P4499" s="24" t="n"/>
      <c r="Q4499" s="22">
        <f>IF($D4499="","",IF(AND(OR(DANH_MUC!$L$5&lt;&gt;"Có",M4499="Có"),OR(DANH_MUC!$L$6&lt;&gt;"Có",N4499="Có"),OR(DANH_MUC!$L$7&lt;&gt;"Có",O4499="Có"),OR(DANH_MUC!$L$8&lt;&gt;"Có",P4499="Có")),"Có","Không"))</f>
        <v/>
      </c>
      <c r="R4499" s="22">
        <f>IF($D4499="","",IF(COUNTIF($D$2:$D4499,$D4499)&gt;1,"Trùng",""))</f>
        <v/>
      </c>
      <c r="S4499" s="22">
        <f>IF($D4499="","",IF(AND(LEN($D4499)=10,LEFT($D4499,1)="0",ISNUMBER(--$D4499)),"Có","Không"))</f>
        <v/>
      </c>
      <c r="T4499" s="22">
        <f>IF($D4499="","",IF(AND($C4499&lt;&gt;"",$Q4499="Có",$R4499="",$S4499="Có",AND($L4499&lt;&gt;"",OR($L4499&lt;&gt;"Chưa xác định",DANH_MUC!$L$9="Có"))),"Có","Không"))</f>
        <v/>
      </c>
      <c r="U4499" s="22">
        <f>IF(OR($D4499="",$T4499="Có"),"",IF($C4499="","Thiếu họ tên; ","")&amp;IF($S4499&lt;&gt;"Có","SĐT sai định dạng; ","")&amp;IF($R4499="Trùng","Trùng SĐT; ","")&amp;IF($Q4499&lt;&gt;"Có","Thiếu đồng ý bắt buộc; ","")&amp;IF($L4499="","Thiếu/sai Mã REF; ",IF(AND($L4499="Chưa xác định",DANH_MUC!$L$9&lt;&gt;"Có"),"Nguồn chưa xác định; ","")))</f>
        <v/>
      </c>
      <c r="V4499" s="22">
        <f>IF(OR($D4499="",$R4499="Trùng"),"",IF(COUNTIF(ORDERS!$C$2:$C$4995,$D4499)&gt;0,"Có","Không"))</f>
        <v/>
      </c>
      <c r="W4499" s="22">
        <f>IF(OR($D4499="",$R4499="Trùng"),"",COUNTIFS(ORDERS!$C$2:$C$4995,$D4499,ORDERS!$L$2:$L$4995,"Đã chuyển khoản"))</f>
        <v/>
      </c>
      <c r="X4499" s="23">
        <f>IF(OR($D4499="",$R4499="Trùng"),"",SUMIFS(ORDERS!$J$2:$J$4995,ORDERS!$C$2:$C$4995,$D4499,ORDERS!$L$2:$L$4995,"Đã chuyển khoản"))</f>
        <v/>
      </c>
      <c r="Y4499" s="24" t="n"/>
    </row>
    <row r="4500" ht="14.25" customHeight="1" s="40">
      <c r="A4500" s="24" t="n"/>
      <c r="B4500" s="27" t="n"/>
      <c r="C4500" s="24" t="n"/>
      <c r="D4500" s="28" t="n"/>
      <c r="E4500" s="29" t="n"/>
      <c r="F4500" s="24" t="n"/>
      <c r="G4500" s="24" t="n"/>
      <c r="H4500" s="21">
        <f>IF(ISNUMBER($B4500),INT($B4500)-WEEKDAY($B4500,2)+1,"")</f>
        <v/>
      </c>
      <c r="I4500" s="24" t="n"/>
      <c r="J4500" s="22">
        <f t="array" ref="J4500">IF($D4500="","",IF($I4500="","(trống REF)",IFERROR(INDEX(MASTER_SOURCE!$B$2:$B$495,MATCH($I4500,MASTER_SOURCE!$A$2:$A$495,0)),"(REF không có trong MASTER_SOURCE)")))</f>
        <v/>
      </c>
      <c r="K4500" s="22">
        <f t="array" ref="K4500">IF($D4500="","",IFERROR(INDEX(MASTER_SOURCE!$C$2:$C$495,MATCH($I4500,MASTER_SOURCE!$A$2:$A$495,0)),""))</f>
        <v/>
      </c>
      <c r="L4500" s="22">
        <f t="array" ref="L4500">IF($D4500="","",IFERROR(INDEX(MASTER_SOURCE!$D$2:$D$495,MATCH($I4500,MASTER_SOURCE!$A$2:$A$495,0)),""))</f>
        <v/>
      </c>
      <c r="M4500" s="24" t="n"/>
      <c r="N4500" s="24" t="n"/>
      <c r="O4500" s="24" t="n"/>
      <c r="P4500" s="24" t="n"/>
      <c r="Q4500" s="22">
        <f>IF($D4500="","",IF(AND(OR(DANH_MUC!$L$5&lt;&gt;"Có",M4500="Có"),OR(DANH_MUC!$L$6&lt;&gt;"Có",N4500="Có"),OR(DANH_MUC!$L$7&lt;&gt;"Có",O4500="Có"),OR(DANH_MUC!$L$8&lt;&gt;"Có",P4500="Có")),"Có","Không"))</f>
        <v/>
      </c>
      <c r="R4500" s="22">
        <f>IF($D4500="","",IF(COUNTIF($D$2:$D4500,$D4500)&gt;1,"Trùng",""))</f>
        <v/>
      </c>
      <c r="S4500" s="22">
        <f>IF($D4500="","",IF(AND(LEN($D4500)=10,LEFT($D4500,1)="0",ISNUMBER(--$D4500)),"Có","Không"))</f>
        <v/>
      </c>
      <c r="T4500" s="22">
        <f>IF($D4500="","",IF(AND($C4500&lt;&gt;"",$Q4500="Có",$R4500="",$S4500="Có",AND($L4500&lt;&gt;"",OR($L4500&lt;&gt;"Chưa xác định",DANH_MUC!$L$9="Có"))),"Có","Không"))</f>
        <v/>
      </c>
      <c r="U4500" s="22">
        <f>IF(OR($D4500="",$T4500="Có"),"",IF($C4500="","Thiếu họ tên; ","")&amp;IF($S4500&lt;&gt;"Có","SĐT sai định dạng; ","")&amp;IF($R4500="Trùng","Trùng SĐT; ","")&amp;IF($Q4500&lt;&gt;"Có","Thiếu đồng ý bắt buộc; ","")&amp;IF($L4500="","Thiếu/sai Mã REF; ",IF(AND($L4500="Chưa xác định",DANH_MUC!$L$9&lt;&gt;"Có"),"Nguồn chưa xác định; ","")))</f>
        <v/>
      </c>
      <c r="V4500" s="22">
        <f>IF(OR($D4500="",$R4500="Trùng"),"",IF(COUNTIF(ORDERS!$C$2:$C$4995,$D4500)&gt;0,"Có","Không"))</f>
        <v/>
      </c>
      <c r="W4500" s="22">
        <f>IF(OR($D4500="",$R4500="Trùng"),"",COUNTIFS(ORDERS!$C$2:$C$4995,$D4500,ORDERS!$L$2:$L$4995,"Đã chuyển khoản"))</f>
        <v/>
      </c>
      <c r="X4500" s="23">
        <f>IF(OR($D4500="",$R4500="Trùng"),"",SUMIFS(ORDERS!$J$2:$J$4995,ORDERS!$C$2:$C$4995,$D4500,ORDERS!$L$2:$L$4995,"Đã chuyển khoản"))</f>
        <v/>
      </c>
      <c r="Y4500" s="24" t="n"/>
    </row>
    <row r="4501" ht="14.25" customHeight="1" s="40">
      <c r="A4501" s="24" t="n"/>
      <c r="B4501" s="27" t="n"/>
      <c r="C4501" s="24" t="n"/>
      <c r="D4501" s="28" t="n"/>
      <c r="E4501" s="29" t="n"/>
      <c r="F4501" s="24" t="n"/>
      <c r="G4501" s="24" t="n"/>
      <c r="H4501" s="21">
        <f>IF(ISNUMBER($B4501),INT($B4501)-WEEKDAY($B4501,2)+1,"")</f>
        <v/>
      </c>
      <c r="I4501" s="24" t="n"/>
      <c r="J4501" s="22">
        <f t="array" ref="J4501">IF($D4501="","",IF($I4501="","(trống REF)",IFERROR(INDEX(MASTER_SOURCE!$B$2:$B$495,MATCH($I4501,MASTER_SOURCE!$A$2:$A$495,0)),"(REF không có trong MASTER_SOURCE)")))</f>
        <v/>
      </c>
      <c r="K4501" s="22">
        <f t="array" ref="K4501">IF($D4501="","",IFERROR(INDEX(MASTER_SOURCE!$C$2:$C$495,MATCH($I4501,MASTER_SOURCE!$A$2:$A$495,0)),""))</f>
        <v/>
      </c>
      <c r="L4501" s="22">
        <f t="array" ref="L4501">IF($D4501="","",IFERROR(INDEX(MASTER_SOURCE!$D$2:$D$495,MATCH($I4501,MASTER_SOURCE!$A$2:$A$495,0)),""))</f>
        <v/>
      </c>
      <c r="M4501" s="24" t="n"/>
      <c r="N4501" s="24" t="n"/>
      <c r="O4501" s="24" t="n"/>
      <c r="P4501" s="24" t="n"/>
      <c r="Q4501" s="22">
        <f>IF($D4501="","",IF(AND(OR(DANH_MUC!$L$5&lt;&gt;"Có",M4501="Có"),OR(DANH_MUC!$L$6&lt;&gt;"Có",N4501="Có"),OR(DANH_MUC!$L$7&lt;&gt;"Có",O4501="Có"),OR(DANH_MUC!$L$8&lt;&gt;"Có",P4501="Có")),"Có","Không"))</f>
        <v/>
      </c>
      <c r="R4501" s="22">
        <f>IF($D4501="","",IF(COUNTIF($D$2:$D4501,$D4501)&gt;1,"Trùng",""))</f>
        <v/>
      </c>
      <c r="S4501" s="22">
        <f>IF($D4501="","",IF(AND(LEN($D4501)=10,LEFT($D4501,1)="0",ISNUMBER(--$D4501)),"Có","Không"))</f>
        <v/>
      </c>
      <c r="T4501" s="22">
        <f>IF($D4501="","",IF(AND($C4501&lt;&gt;"",$Q4501="Có",$R4501="",$S4501="Có",AND($L4501&lt;&gt;"",OR($L4501&lt;&gt;"Chưa xác định",DANH_MUC!$L$9="Có"))),"Có","Không"))</f>
        <v/>
      </c>
      <c r="U4501" s="22">
        <f>IF(OR($D4501="",$T4501="Có"),"",IF($C4501="","Thiếu họ tên; ","")&amp;IF($S4501&lt;&gt;"Có","SĐT sai định dạng; ","")&amp;IF($R4501="Trùng","Trùng SĐT; ","")&amp;IF($Q4501&lt;&gt;"Có","Thiếu đồng ý bắt buộc; ","")&amp;IF($L4501="","Thiếu/sai Mã REF; ",IF(AND($L4501="Chưa xác định",DANH_MUC!$L$9&lt;&gt;"Có"),"Nguồn chưa xác định; ","")))</f>
        <v/>
      </c>
      <c r="V4501" s="22">
        <f>IF(OR($D4501="",$R4501="Trùng"),"",IF(COUNTIF(ORDERS!$C$2:$C$4995,$D4501)&gt;0,"Có","Không"))</f>
        <v/>
      </c>
      <c r="W4501" s="22">
        <f>IF(OR($D4501="",$R4501="Trùng"),"",COUNTIFS(ORDERS!$C$2:$C$4995,$D4501,ORDERS!$L$2:$L$4995,"Đã chuyển khoản"))</f>
        <v/>
      </c>
      <c r="X4501" s="23">
        <f>IF(OR($D4501="",$R4501="Trùng"),"",SUMIFS(ORDERS!$J$2:$J$4995,ORDERS!$C$2:$C$4995,$D4501,ORDERS!$L$2:$L$4995,"Đã chuyển khoản"))</f>
        <v/>
      </c>
      <c r="Y4501" s="24" t="n"/>
    </row>
    <row r="4502" ht="14.25" customHeight="1" s="40">
      <c r="A4502" s="24" t="n"/>
      <c r="B4502" s="27" t="n"/>
      <c r="C4502" s="24" t="n"/>
      <c r="D4502" s="28" t="n"/>
      <c r="E4502" s="29" t="n"/>
      <c r="F4502" s="24" t="n"/>
      <c r="G4502" s="24" t="n"/>
      <c r="H4502" s="21">
        <f>IF(ISNUMBER($B4502),INT($B4502)-WEEKDAY($B4502,2)+1,"")</f>
        <v/>
      </c>
      <c r="I4502" s="24" t="n"/>
      <c r="J4502" s="22">
        <f t="array" ref="J4502">IF($D4502="","",IF($I4502="","(trống REF)",IFERROR(INDEX(MASTER_SOURCE!$B$2:$B$495,MATCH($I4502,MASTER_SOURCE!$A$2:$A$495,0)),"(REF không có trong MASTER_SOURCE)")))</f>
        <v/>
      </c>
      <c r="K4502" s="22">
        <f t="array" ref="K4502">IF($D4502="","",IFERROR(INDEX(MASTER_SOURCE!$C$2:$C$495,MATCH($I4502,MASTER_SOURCE!$A$2:$A$495,0)),""))</f>
        <v/>
      </c>
      <c r="L4502" s="22">
        <f t="array" ref="L4502">IF($D4502="","",IFERROR(INDEX(MASTER_SOURCE!$D$2:$D$495,MATCH($I4502,MASTER_SOURCE!$A$2:$A$495,0)),""))</f>
        <v/>
      </c>
      <c r="M4502" s="24" t="n"/>
      <c r="N4502" s="24" t="n"/>
      <c r="O4502" s="24" t="n"/>
      <c r="P4502" s="24" t="n"/>
      <c r="Q4502" s="22">
        <f>IF($D4502="","",IF(AND(OR(DANH_MUC!$L$5&lt;&gt;"Có",M4502="Có"),OR(DANH_MUC!$L$6&lt;&gt;"Có",N4502="Có"),OR(DANH_MUC!$L$7&lt;&gt;"Có",O4502="Có"),OR(DANH_MUC!$L$8&lt;&gt;"Có",P4502="Có")),"Có","Không"))</f>
        <v/>
      </c>
      <c r="R4502" s="22">
        <f>IF($D4502="","",IF(COUNTIF($D$2:$D4502,$D4502)&gt;1,"Trùng",""))</f>
        <v/>
      </c>
      <c r="S4502" s="22">
        <f>IF($D4502="","",IF(AND(LEN($D4502)=10,LEFT($D4502,1)="0",ISNUMBER(--$D4502)),"Có","Không"))</f>
        <v/>
      </c>
      <c r="T4502" s="22">
        <f>IF($D4502="","",IF(AND($C4502&lt;&gt;"",$Q4502="Có",$R4502="",$S4502="Có",AND($L4502&lt;&gt;"",OR($L4502&lt;&gt;"Chưa xác định",DANH_MUC!$L$9="Có"))),"Có","Không"))</f>
        <v/>
      </c>
      <c r="U4502" s="22">
        <f>IF(OR($D4502="",$T4502="Có"),"",IF($C4502="","Thiếu họ tên; ","")&amp;IF($S4502&lt;&gt;"Có","SĐT sai định dạng; ","")&amp;IF($R4502="Trùng","Trùng SĐT; ","")&amp;IF($Q4502&lt;&gt;"Có","Thiếu đồng ý bắt buộc; ","")&amp;IF($L4502="","Thiếu/sai Mã REF; ",IF(AND($L4502="Chưa xác định",DANH_MUC!$L$9&lt;&gt;"Có"),"Nguồn chưa xác định; ","")))</f>
        <v/>
      </c>
      <c r="V4502" s="22">
        <f>IF(OR($D4502="",$R4502="Trùng"),"",IF(COUNTIF(ORDERS!$C$2:$C$4995,$D4502)&gt;0,"Có","Không"))</f>
        <v/>
      </c>
      <c r="W4502" s="22">
        <f>IF(OR($D4502="",$R4502="Trùng"),"",COUNTIFS(ORDERS!$C$2:$C$4995,$D4502,ORDERS!$L$2:$L$4995,"Đã chuyển khoản"))</f>
        <v/>
      </c>
      <c r="X4502" s="23">
        <f>IF(OR($D4502="",$R4502="Trùng"),"",SUMIFS(ORDERS!$J$2:$J$4995,ORDERS!$C$2:$C$4995,$D4502,ORDERS!$L$2:$L$4995,"Đã chuyển khoản"))</f>
        <v/>
      </c>
      <c r="Y4502" s="24" t="n"/>
    </row>
    <row r="4503" ht="14.25" customHeight="1" s="40">
      <c r="A4503" s="24" t="n"/>
      <c r="B4503" s="27" t="n"/>
      <c r="C4503" s="24" t="n"/>
      <c r="D4503" s="28" t="n"/>
      <c r="E4503" s="29" t="n"/>
      <c r="F4503" s="24" t="n"/>
      <c r="G4503" s="24" t="n"/>
      <c r="H4503" s="21">
        <f>IF(ISNUMBER($B4503),INT($B4503)-WEEKDAY($B4503,2)+1,"")</f>
        <v/>
      </c>
      <c r="I4503" s="24" t="n"/>
      <c r="J4503" s="22">
        <f t="array" ref="J4503">IF($D4503="","",IF($I4503="","(trống REF)",IFERROR(INDEX(MASTER_SOURCE!$B$2:$B$495,MATCH($I4503,MASTER_SOURCE!$A$2:$A$495,0)),"(REF không có trong MASTER_SOURCE)")))</f>
        <v/>
      </c>
      <c r="K4503" s="22">
        <f t="array" ref="K4503">IF($D4503="","",IFERROR(INDEX(MASTER_SOURCE!$C$2:$C$495,MATCH($I4503,MASTER_SOURCE!$A$2:$A$495,0)),""))</f>
        <v/>
      </c>
      <c r="L4503" s="22">
        <f t="array" ref="L4503">IF($D4503="","",IFERROR(INDEX(MASTER_SOURCE!$D$2:$D$495,MATCH($I4503,MASTER_SOURCE!$A$2:$A$495,0)),""))</f>
        <v/>
      </c>
      <c r="M4503" s="24" t="n"/>
      <c r="N4503" s="24" t="n"/>
      <c r="O4503" s="24" t="n"/>
      <c r="P4503" s="24" t="n"/>
      <c r="Q4503" s="22">
        <f>IF($D4503="","",IF(AND(OR(DANH_MUC!$L$5&lt;&gt;"Có",M4503="Có"),OR(DANH_MUC!$L$6&lt;&gt;"Có",N4503="Có"),OR(DANH_MUC!$L$7&lt;&gt;"Có",O4503="Có"),OR(DANH_MUC!$L$8&lt;&gt;"Có",P4503="Có")),"Có","Không"))</f>
        <v/>
      </c>
      <c r="R4503" s="22">
        <f>IF($D4503="","",IF(COUNTIF($D$2:$D4503,$D4503)&gt;1,"Trùng",""))</f>
        <v/>
      </c>
      <c r="S4503" s="22">
        <f>IF($D4503="","",IF(AND(LEN($D4503)=10,LEFT($D4503,1)="0",ISNUMBER(--$D4503)),"Có","Không"))</f>
        <v/>
      </c>
      <c r="T4503" s="22">
        <f>IF($D4503="","",IF(AND($C4503&lt;&gt;"",$Q4503="Có",$R4503="",$S4503="Có",AND($L4503&lt;&gt;"",OR($L4503&lt;&gt;"Chưa xác định",DANH_MUC!$L$9="Có"))),"Có","Không"))</f>
        <v/>
      </c>
      <c r="U4503" s="22">
        <f>IF(OR($D4503="",$T4503="Có"),"",IF($C4503="","Thiếu họ tên; ","")&amp;IF($S4503&lt;&gt;"Có","SĐT sai định dạng; ","")&amp;IF($R4503="Trùng","Trùng SĐT; ","")&amp;IF($Q4503&lt;&gt;"Có","Thiếu đồng ý bắt buộc; ","")&amp;IF($L4503="","Thiếu/sai Mã REF; ",IF(AND($L4503="Chưa xác định",DANH_MUC!$L$9&lt;&gt;"Có"),"Nguồn chưa xác định; ","")))</f>
        <v/>
      </c>
      <c r="V4503" s="22">
        <f>IF(OR($D4503="",$R4503="Trùng"),"",IF(COUNTIF(ORDERS!$C$2:$C$4995,$D4503)&gt;0,"Có","Không"))</f>
        <v/>
      </c>
      <c r="W4503" s="22">
        <f>IF(OR($D4503="",$R4503="Trùng"),"",COUNTIFS(ORDERS!$C$2:$C$4995,$D4503,ORDERS!$L$2:$L$4995,"Đã chuyển khoản"))</f>
        <v/>
      </c>
      <c r="X4503" s="23">
        <f>IF(OR($D4503="",$R4503="Trùng"),"",SUMIFS(ORDERS!$J$2:$J$4995,ORDERS!$C$2:$C$4995,$D4503,ORDERS!$L$2:$L$4995,"Đã chuyển khoản"))</f>
        <v/>
      </c>
      <c r="Y4503" s="24" t="n"/>
    </row>
    <row r="4504" ht="14.25" customHeight="1" s="40">
      <c r="A4504" s="24" t="n"/>
      <c r="B4504" s="27" t="n"/>
      <c r="C4504" s="24" t="n"/>
      <c r="D4504" s="28" t="n"/>
      <c r="E4504" s="29" t="n"/>
      <c r="F4504" s="24" t="n"/>
      <c r="G4504" s="24" t="n"/>
      <c r="H4504" s="21">
        <f>IF(ISNUMBER($B4504),INT($B4504)-WEEKDAY($B4504,2)+1,"")</f>
        <v/>
      </c>
      <c r="I4504" s="24" t="n"/>
      <c r="J4504" s="22">
        <f t="array" ref="J4504">IF($D4504="","",IF($I4504="","(trống REF)",IFERROR(INDEX(MASTER_SOURCE!$B$2:$B$495,MATCH($I4504,MASTER_SOURCE!$A$2:$A$495,0)),"(REF không có trong MASTER_SOURCE)")))</f>
        <v/>
      </c>
      <c r="K4504" s="22">
        <f t="array" ref="K4504">IF($D4504="","",IFERROR(INDEX(MASTER_SOURCE!$C$2:$C$495,MATCH($I4504,MASTER_SOURCE!$A$2:$A$495,0)),""))</f>
        <v/>
      </c>
      <c r="L4504" s="22">
        <f t="array" ref="L4504">IF($D4504="","",IFERROR(INDEX(MASTER_SOURCE!$D$2:$D$495,MATCH($I4504,MASTER_SOURCE!$A$2:$A$495,0)),""))</f>
        <v/>
      </c>
      <c r="M4504" s="24" t="n"/>
      <c r="N4504" s="24" t="n"/>
      <c r="O4504" s="24" t="n"/>
      <c r="P4504" s="24" t="n"/>
      <c r="Q4504" s="22">
        <f>IF($D4504="","",IF(AND(OR(DANH_MUC!$L$5&lt;&gt;"Có",M4504="Có"),OR(DANH_MUC!$L$6&lt;&gt;"Có",N4504="Có"),OR(DANH_MUC!$L$7&lt;&gt;"Có",O4504="Có"),OR(DANH_MUC!$L$8&lt;&gt;"Có",P4504="Có")),"Có","Không"))</f>
        <v/>
      </c>
      <c r="R4504" s="22">
        <f>IF($D4504="","",IF(COUNTIF($D$2:$D4504,$D4504)&gt;1,"Trùng",""))</f>
        <v/>
      </c>
      <c r="S4504" s="22">
        <f>IF($D4504="","",IF(AND(LEN($D4504)=10,LEFT($D4504,1)="0",ISNUMBER(--$D4504)),"Có","Không"))</f>
        <v/>
      </c>
      <c r="T4504" s="22">
        <f>IF($D4504="","",IF(AND($C4504&lt;&gt;"",$Q4504="Có",$R4504="",$S4504="Có",AND($L4504&lt;&gt;"",OR($L4504&lt;&gt;"Chưa xác định",DANH_MUC!$L$9="Có"))),"Có","Không"))</f>
        <v/>
      </c>
      <c r="U4504" s="22">
        <f>IF(OR($D4504="",$T4504="Có"),"",IF($C4504="","Thiếu họ tên; ","")&amp;IF($S4504&lt;&gt;"Có","SĐT sai định dạng; ","")&amp;IF($R4504="Trùng","Trùng SĐT; ","")&amp;IF($Q4504&lt;&gt;"Có","Thiếu đồng ý bắt buộc; ","")&amp;IF($L4504="","Thiếu/sai Mã REF; ",IF(AND($L4504="Chưa xác định",DANH_MUC!$L$9&lt;&gt;"Có"),"Nguồn chưa xác định; ","")))</f>
        <v/>
      </c>
      <c r="V4504" s="22">
        <f>IF(OR($D4504="",$R4504="Trùng"),"",IF(COUNTIF(ORDERS!$C$2:$C$4995,$D4504)&gt;0,"Có","Không"))</f>
        <v/>
      </c>
      <c r="W4504" s="22">
        <f>IF(OR($D4504="",$R4504="Trùng"),"",COUNTIFS(ORDERS!$C$2:$C$4995,$D4504,ORDERS!$L$2:$L$4995,"Đã chuyển khoản"))</f>
        <v/>
      </c>
      <c r="X4504" s="23">
        <f>IF(OR($D4504="",$R4504="Trùng"),"",SUMIFS(ORDERS!$J$2:$J$4995,ORDERS!$C$2:$C$4995,$D4504,ORDERS!$L$2:$L$4995,"Đã chuyển khoản"))</f>
        <v/>
      </c>
      <c r="Y4504" s="24" t="n"/>
    </row>
    <row r="4505" ht="14.25" customHeight="1" s="40">
      <c r="A4505" s="24" t="n"/>
      <c r="B4505" s="27" t="n"/>
      <c r="C4505" s="24" t="n"/>
      <c r="D4505" s="28" t="n"/>
      <c r="E4505" s="29" t="n"/>
      <c r="F4505" s="24" t="n"/>
      <c r="G4505" s="24" t="n"/>
      <c r="H4505" s="21">
        <f>IF(ISNUMBER($B4505),INT($B4505)-WEEKDAY($B4505,2)+1,"")</f>
        <v/>
      </c>
      <c r="I4505" s="24" t="n"/>
      <c r="J4505" s="22">
        <f t="array" ref="J4505">IF($D4505="","",IF($I4505="","(trống REF)",IFERROR(INDEX(MASTER_SOURCE!$B$2:$B$495,MATCH($I4505,MASTER_SOURCE!$A$2:$A$495,0)),"(REF không có trong MASTER_SOURCE)")))</f>
        <v/>
      </c>
      <c r="K4505" s="22">
        <f t="array" ref="K4505">IF($D4505="","",IFERROR(INDEX(MASTER_SOURCE!$C$2:$C$495,MATCH($I4505,MASTER_SOURCE!$A$2:$A$495,0)),""))</f>
        <v/>
      </c>
      <c r="L4505" s="22">
        <f t="array" ref="L4505">IF($D4505="","",IFERROR(INDEX(MASTER_SOURCE!$D$2:$D$495,MATCH($I4505,MASTER_SOURCE!$A$2:$A$495,0)),""))</f>
        <v/>
      </c>
      <c r="M4505" s="24" t="n"/>
      <c r="N4505" s="24" t="n"/>
      <c r="O4505" s="24" t="n"/>
      <c r="P4505" s="24" t="n"/>
      <c r="Q4505" s="22">
        <f>IF($D4505="","",IF(AND(OR(DANH_MUC!$L$5&lt;&gt;"Có",M4505="Có"),OR(DANH_MUC!$L$6&lt;&gt;"Có",N4505="Có"),OR(DANH_MUC!$L$7&lt;&gt;"Có",O4505="Có"),OR(DANH_MUC!$L$8&lt;&gt;"Có",P4505="Có")),"Có","Không"))</f>
        <v/>
      </c>
      <c r="R4505" s="22">
        <f>IF($D4505="","",IF(COUNTIF($D$2:$D4505,$D4505)&gt;1,"Trùng",""))</f>
        <v/>
      </c>
      <c r="S4505" s="22">
        <f>IF($D4505="","",IF(AND(LEN($D4505)=10,LEFT($D4505,1)="0",ISNUMBER(--$D4505)),"Có","Không"))</f>
        <v/>
      </c>
      <c r="T4505" s="22">
        <f>IF($D4505="","",IF(AND($C4505&lt;&gt;"",$Q4505="Có",$R4505="",$S4505="Có",AND($L4505&lt;&gt;"",OR($L4505&lt;&gt;"Chưa xác định",DANH_MUC!$L$9="Có"))),"Có","Không"))</f>
        <v/>
      </c>
      <c r="U4505" s="22">
        <f>IF(OR($D4505="",$T4505="Có"),"",IF($C4505="","Thiếu họ tên; ","")&amp;IF($S4505&lt;&gt;"Có","SĐT sai định dạng; ","")&amp;IF($R4505="Trùng","Trùng SĐT; ","")&amp;IF($Q4505&lt;&gt;"Có","Thiếu đồng ý bắt buộc; ","")&amp;IF($L4505="","Thiếu/sai Mã REF; ",IF(AND($L4505="Chưa xác định",DANH_MUC!$L$9&lt;&gt;"Có"),"Nguồn chưa xác định; ","")))</f>
        <v/>
      </c>
      <c r="V4505" s="22">
        <f>IF(OR($D4505="",$R4505="Trùng"),"",IF(COUNTIF(ORDERS!$C$2:$C$4995,$D4505)&gt;0,"Có","Không"))</f>
        <v/>
      </c>
      <c r="W4505" s="22">
        <f>IF(OR($D4505="",$R4505="Trùng"),"",COUNTIFS(ORDERS!$C$2:$C$4995,$D4505,ORDERS!$L$2:$L$4995,"Đã chuyển khoản"))</f>
        <v/>
      </c>
      <c r="X4505" s="23">
        <f>IF(OR($D4505="",$R4505="Trùng"),"",SUMIFS(ORDERS!$J$2:$J$4995,ORDERS!$C$2:$C$4995,$D4505,ORDERS!$L$2:$L$4995,"Đã chuyển khoản"))</f>
        <v/>
      </c>
      <c r="Y4505" s="24" t="n"/>
    </row>
    <row r="4506" ht="14.25" customHeight="1" s="40">
      <c r="A4506" s="24" t="n"/>
      <c r="B4506" s="27" t="n"/>
      <c r="C4506" s="24" t="n"/>
      <c r="D4506" s="28" t="n"/>
      <c r="E4506" s="29" t="n"/>
      <c r="F4506" s="24" t="n"/>
      <c r="G4506" s="24" t="n"/>
      <c r="H4506" s="21">
        <f>IF(ISNUMBER($B4506),INT($B4506)-WEEKDAY($B4506,2)+1,"")</f>
        <v/>
      </c>
      <c r="I4506" s="24" t="n"/>
      <c r="J4506" s="22">
        <f t="array" ref="J4506">IF($D4506="","",IF($I4506="","(trống REF)",IFERROR(INDEX(MASTER_SOURCE!$B$2:$B$495,MATCH($I4506,MASTER_SOURCE!$A$2:$A$495,0)),"(REF không có trong MASTER_SOURCE)")))</f>
        <v/>
      </c>
      <c r="K4506" s="22">
        <f t="array" ref="K4506">IF($D4506="","",IFERROR(INDEX(MASTER_SOURCE!$C$2:$C$495,MATCH($I4506,MASTER_SOURCE!$A$2:$A$495,0)),""))</f>
        <v/>
      </c>
      <c r="L4506" s="22">
        <f t="array" ref="L4506">IF($D4506="","",IFERROR(INDEX(MASTER_SOURCE!$D$2:$D$495,MATCH($I4506,MASTER_SOURCE!$A$2:$A$495,0)),""))</f>
        <v/>
      </c>
      <c r="M4506" s="24" t="n"/>
      <c r="N4506" s="24" t="n"/>
      <c r="O4506" s="24" t="n"/>
      <c r="P4506" s="24" t="n"/>
      <c r="Q4506" s="22">
        <f>IF($D4506="","",IF(AND(OR(DANH_MUC!$L$5&lt;&gt;"Có",M4506="Có"),OR(DANH_MUC!$L$6&lt;&gt;"Có",N4506="Có"),OR(DANH_MUC!$L$7&lt;&gt;"Có",O4506="Có"),OR(DANH_MUC!$L$8&lt;&gt;"Có",P4506="Có")),"Có","Không"))</f>
        <v/>
      </c>
      <c r="R4506" s="22">
        <f>IF($D4506="","",IF(COUNTIF($D$2:$D4506,$D4506)&gt;1,"Trùng",""))</f>
        <v/>
      </c>
      <c r="S4506" s="22">
        <f>IF($D4506="","",IF(AND(LEN($D4506)=10,LEFT($D4506,1)="0",ISNUMBER(--$D4506)),"Có","Không"))</f>
        <v/>
      </c>
      <c r="T4506" s="22">
        <f>IF($D4506="","",IF(AND($C4506&lt;&gt;"",$Q4506="Có",$R4506="",$S4506="Có",AND($L4506&lt;&gt;"",OR($L4506&lt;&gt;"Chưa xác định",DANH_MUC!$L$9="Có"))),"Có","Không"))</f>
        <v/>
      </c>
      <c r="U4506" s="22">
        <f>IF(OR($D4506="",$T4506="Có"),"",IF($C4506="","Thiếu họ tên; ","")&amp;IF($S4506&lt;&gt;"Có","SĐT sai định dạng; ","")&amp;IF($R4506="Trùng","Trùng SĐT; ","")&amp;IF($Q4506&lt;&gt;"Có","Thiếu đồng ý bắt buộc; ","")&amp;IF($L4506="","Thiếu/sai Mã REF; ",IF(AND($L4506="Chưa xác định",DANH_MUC!$L$9&lt;&gt;"Có"),"Nguồn chưa xác định; ","")))</f>
        <v/>
      </c>
      <c r="V4506" s="22">
        <f>IF(OR($D4506="",$R4506="Trùng"),"",IF(COUNTIF(ORDERS!$C$2:$C$4995,$D4506)&gt;0,"Có","Không"))</f>
        <v/>
      </c>
      <c r="W4506" s="22">
        <f>IF(OR($D4506="",$R4506="Trùng"),"",COUNTIFS(ORDERS!$C$2:$C$4995,$D4506,ORDERS!$L$2:$L$4995,"Đã chuyển khoản"))</f>
        <v/>
      </c>
      <c r="X4506" s="23">
        <f>IF(OR($D4506="",$R4506="Trùng"),"",SUMIFS(ORDERS!$J$2:$J$4995,ORDERS!$C$2:$C$4995,$D4506,ORDERS!$L$2:$L$4995,"Đã chuyển khoản"))</f>
        <v/>
      </c>
      <c r="Y4506" s="24" t="n"/>
    </row>
    <row r="4507" ht="14.25" customHeight="1" s="40">
      <c r="A4507" s="24" t="n"/>
      <c r="B4507" s="27" t="n"/>
      <c r="C4507" s="24" t="n"/>
      <c r="D4507" s="28" t="n"/>
      <c r="E4507" s="29" t="n"/>
      <c r="F4507" s="24" t="n"/>
      <c r="G4507" s="24" t="n"/>
      <c r="H4507" s="21">
        <f>IF(ISNUMBER($B4507),INT($B4507)-WEEKDAY($B4507,2)+1,"")</f>
        <v/>
      </c>
      <c r="I4507" s="24" t="n"/>
      <c r="J4507" s="22">
        <f t="array" ref="J4507">IF($D4507="","",IF($I4507="","(trống REF)",IFERROR(INDEX(MASTER_SOURCE!$B$2:$B$495,MATCH($I4507,MASTER_SOURCE!$A$2:$A$495,0)),"(REF không có trong MASTER_SOURCE)")))</f>
        <v/>
      </c>
      <c r="K4507" s="22">
        <f t="array" ref="K4507">IF($D4507="","",IFERROR(INDEX(MASTER_SOURCE!$C$2:$C$495,MATCH($I4507,MASTER_SOURCE!$A$2:$A$495,0)),""))</f>
        <v/>
      </c>
      <c r="L4507" s="22">
        <f t="array" ref="L4507">IF($D4507="","",IFERROR(INDEX(MASTER_SOURCE!$D$2:$D$495,MATCH($I4507,MASTER_SOURCE!$A$2:$A$495,0)),""))</f>
        <v/>
      </c>
      <c r="M4507" s="24" t="n"/>
      <c r="N4507" s="24" t="n"/>
      <c r="O4507" s="24" t="n"/>
      <c r="P4507" s="24" t="n"/>
      <c r="Q4507" s="22">
        <f>IF($D4507="","",IF(AND(OR(DANH_MUC!$L$5&lt;&gt;"Có",M4507="Có"),OR(DANH_MUC!$L$6&lt;&gt;"Có",N4507="Có"),OR(DANH_MUC!$L$7&lt;&gt;"Có",O4507="Có"),OR(DANH_MUC!$L$8&lt;&gt;"Có",P4507="Có")),"Có","Không"))</f>
        <v/>
      </c>
      <c r="R4507" s="22">
        <f>IF($D4507="","",IF(COUNTIF($D$2:$D4507,$D4507)&gt;1,"Trùng",""))</f>
        <v/>
      </c>
      <c r="S4507" s="22">
        <f>IF($D4507="","",IF(AND(LEN($D4507)=10,LEFT($D4507,1)="0",ISNUMBER(--$D4507)),"Có","Không"))</f>
        <v/>
      </c>
      <c r="T4507" s="22">
        <f>IF($D4507="","",IF(AND($C4507&lt;&gt;"",$Q4507="Có",$R4507="",$S4507="Có",AND($L4507&lt;&gt;"",OR($L4507&lt;&gt;"Chưa xác định",DANH_MUC!$L$9="Có"))),"Có","Không"))</f>
        <v/>
      </c>
      <c r="U4507" s="22">
        <f>IF(OR($D4507="",$T4507="Có"),"",IF($C4507="","Thiếu họ tên; ","")&amp;IF($S4507&lt;&gt;"Có","SĐT sai định dạng; ","")&amp;IF($R4507="Trùng","Trùng SĐT; ","")&amp;IF($Q4507&lt;&gt;"Có","Thiếu đồng ý bắt buộc; ","")&amp;IF($L4507="","Thiếu/sai Mã REF; ",IF(AND($L4507="Chưa xác định",DANH_MUC!$L$9&lt;&gt;"Có"),"Nguồn chưa xác định; ","")))</f>
        <v/>
      </c>
      <c r="V4507" s="22">
        <f>IF(OR($D4507="",$R4507="Trùng"),"",IF(COUNTIF(ORDERS!$C$2:$C$4995,$D4507)&gt;0,"Có","Không"))</f>
        <v/>
      </c>
      <c r="W4507" s="22">
        <f>IF(OR($D4507="",$R4507="Trùng"),"",COUNTIFS(ORDERS!$C$2:$C$4995,$D4507,ORDERS!$L$2:$L$4995,"Đã chuyển khoản"))</f>
        <v/>
      </c>
      <c r="X4507" s="23">
        <f>IF(OR($D4507="",$R4507="Trùng"),"",SUMIFS(ORDERS!$J$2:$J$4995,ORDERS!$C$2:$C$4995,$D4507,ORDERS!$L$2:$L$4995,"Đã chuyển khoản"))</f>
        <v/>
      </c>
      <c r="Y4507" s="24" t="n"/>
    </row>
    <row r="4508" ht="14.25" customHeight="1" s="40">
      <c r="A4508" s="24" t="n"/>
      <c r="B4508" s="27" t="n"/>
      <c r="C4508" s="24" t="n"/>
      <c r="D4508" s="28" t="n"/>
      <c r="E4508" s="29" t="n"/>
      <c r="F4508" s="24" t="n"/>
      <c r="G4508" s="24" t="n"/>
      <c r="H4508" s="21">
        <f>IF(ISNUMBER($B4508),INT($B4508)-WEEKDAY($B4508,2)+1,"")</f>
        <v/>
      </c>
      <c r="I4508" s="24" t="n"/>
      <c r="J4508" s="22">
        <f t="array" ref="J4508">IF($D4508="","",IF($I4508="","(trống REF)",IFERROR(INDEX(MASTER_SOURCE!$B$2:$B$495,MATCH($I4508,MASTER_SOURCE!$A$2:$A$495,0)),"(REF không có trong MASTER_SOURCE)")))</f>
        <v/>
      </c>
      <c r="K4508" s="22">
        <f t="array" ref="K4508">IF($D4508="","",IFERROR(INDEX(MASTER_SOURCE!$C$2:$C$495,MATCH($I4508,MASTER_SOURCE!$A$2:$A$495,0)),""))</f>
        <v/>
      </c>
      <c r="L4508" s="22">
        <f t="array" ref="L4508">IF($D4508="","",IFERROR(INDEX(MASTER_SOURCE!$D$2:$D$495,MATCH($I4508,MASTER_SOURCE!$A$2:$A$495,0)),""))</f>
        <v/>
      </c>
      <c r="M4508" s="24" t="n"/>
      <c r="N4508" s="24" t="n"/>
      <c r="O4508" s="24" t="n"/>
      <c r="P4508" s="24" t="n"/>
      <c r="Q4508" s="22">
        <f>IF($D4508="","",IF(AND(OR(DANH_MUC!$L$5&lt;&gt;"Có",M4508="Có"),OR(DANH_MUC!$L$6&lt;&gt;"Có",N4508="Có"),OR(DANH_MUC!$L$7&lt;&gt;"Có",O4508="Có"),OR(DANH_MUC!$L$8&lt;&gt;"Có",P4508="Có")),"Có","Không"))</f>
        <v/>
      </c>
      <c r="R4508" s="22">
        <f>IF($D4508="","",IF(COUNTIF($D$2:$D4508,$D4508)&gt;1,"Trùng",""))</f>
        <v/>
      </c>
      <c r="S4508" s="22">
        <f>IF($D4508="","",IF(AND(LEN($D4508)=10,LEFT($D4508,1)="0",ISNUMBER(--$D4508)),"Có","Không"))</f>
        <v/>
      </c>
      <c r="T4508" s="22">
        <f>IF($D4508="","",IF(AND($C4508&lt;&gt;"",$Q4508="Có",$R4508="",$S4508="Có",AND($L4508&lt;&gt;"",OR($L4508&lt;&gt;"Chưa xác định",DANH_MUC!$L$9="Có"))),"Có","Không"))</f>
        <v/>
      </c>
      <c r="U4508" s="22">
        <f>IF(OR($D4508="",$T4508="Có"),"",IF($C4508="","Thiếu họ tên; ","")&amp;IF($S4508&lt;&gt;"Có","SĐT sai định dạng; ","")&amp;IF($R4508="Trùng","Trùng SĐT; ","")&amp;IF($Q4508&lt;&gt;"Có","Thiếu đồng ý bắt buộc; ","")&amp;IF($L4508="","Thiếu/sai Mã REF; ",IF(AND($L4508="Chưa xác định",DANH_MUC!$L$9&lt;&gt;"Có"),"Nguồn chưa xác định; ","")))</f>
        <v/>
      </c>
      <c r="V4508" s="22">
        <f>IF(OR($D4508="",$R4508="Trùng"),"",IF(COUNTIF(ORDERS!$C$2:$C$4995,$D4508)&gt;0,"Có","Không"))</f>
        <v/>
      </c>
      <c r="W4508" s="22">
        <f>IF(OR($D4508="",$R4508="Trùng"),"",COUNTIFS(ORDERS!$C$2:$C$4995,$D4508,ORDERS!$L$2:$L$4995,"Đã chuyển khoản"))</f>
        <v/>
      </c>
      <c r="X4508" s="23">
        <f>IF(OR($D4508="",$R4508="Trùng"),"",SUMIFS(ORDERS!$J$2:$J$4995,ORDERS!$C$2:$C$4995,$D4508,ORDERS!$L$2:$L$4995,"Đã chuyển khoản"))</f>
        <v/>
      </c>
      <c r="Y4508" s="24" t="n"/>
    </row>
    <row r="4509" ht="14.25" customHeight="1" s="40">
      <c r="A4509" s="24" t="n"/>
      <c r="B4509" s="27" t="n"/>
      <c r="C4509" s="24" t="n"/>
      <c r="D4509" s="28" t="n"/>
      <c r="E4509" s="29" t="n"/>
      <c r="F4509" s="24" t="n"/>
      <c r="G4509" s="24" t="n"/>
      <c r="H4509" s="21">
        <f>IF(ISNUMBER($B4509),INT($B4509)-WEEKDAY($B4509,2)+1,"")</f>
        <v/>
      </c>
      <c r="I4509" s="24" t="n"/>
      <c r="J4509" s="22">
        <f t="array" ref="J4509">IF($D4509="","",IF($I4509="","(trống REF)",IFERROR(INDEX(MASTER_SOURCE!$B$2:$B$495,MATCH($I4509,MASTER_SOURCE!$A$2:$A$495,0)),"(REF không có trong MASTER_SOURCE)")))</f>
        <v/>
      </c>
      <c r="K4509" s="22">
        <f t="array" ref="K4509">IF($D4509="","",IFERROR(INDEX(MASTER_SOURCE!$C$2:$C$495,MATCH($I4509,MASTER_SOURCE!$A$2:$A$495,0)),""))</f>
        <v/>
      </c>
      <c r="L4509" s="22">
        <f t="array" ref="L4509">IF($D4509="","",IFERROR(INDEX(MASTER_SOURCE!$D$2:$D$495,MATCH($I4509,MASTER_SOURCE!$A$2:$A$495,0)),""))</f>
        <v/>
      </c>
      <c r="M4509" s="24" t="n"/>
      <c r="N4509" s="24" t="n"/>
      <c r="O4509" s="24" t="n"/>
      <c r="P4509" s="24" t="n"/>
      <c r="Q4509" s="22">
        <f>IF($D4509="","",IF(AND(OR(DANH_MUC!$L$5&lt;&gt;"Có",M4509="Có"),OR(DANH_MUC!$L$6&lt;&gt;"Có",N4509="Có"),OR(DANH_MUC!$L$7&lt;&gt;"Có",O4509="Có"),OR(DANH_MUC!$L$8&lt;&gt;"Có",P4509="Có")),"Có","Không"))</f>
        <v/>
      </c>
      <c r="R4509" s="22">
        <f>IF($D4509="","",IF(COUNTIF($D$2:$D4509,$D4509)&gt;1,"Trùng",""))</f>
        <v/>
      </c>
      <c r="S4509" s="22">
        <f>IF($D4509="","",IF(AND(LEN($D4509)=10,LEFT($D4509,1)="0",ISNUMBER(--$D4509)),"Có","Không"))</f>
        <v/>
      </c>
      <c r="T4509" s="22">
        <f>IF($D4509="","",IF(AND($C4509&lt;&gt;"",$Q4509="Có",$R4509="",$S4509="Có",AND($L4509&lt;&gt;"",OR($L4509&lt;&gt;"Chưa xác định",DANH_MUC!$L$9="Có"))),"Có","Không"))</f>
        <v/>
      </c>
      <c r="U4509" s="22">
        <f>IF(OR($D4509="",$T4509="Có"),"",IF($C4509="","Thiếu họ tên; ","")&amp;IF($S4509&lt;&gt;"Có","SĐT sai định dạng; ","")&amp;IF($R4509="Trùng","Trùng SĐT; ","")&amp;IF($Q4509&lt;&gt;"Có","Thiếu đồng ý bắt buộc; ","")&amp;IF($L4509="","Thiếu/sai Mã REF; ",IF(AND($L4509="Chưa xác định",DANH_MUC!$L$9&lt;&gt;"Có"),"Nguồn chưa xác định; ","")))</f>
        <v/>
      </c>
      <c r="V4509" s="22">
        <f>IF(OR($D4509="",$R4509="Trùng"),"",IF(COUNTIF(ORDERS!$C$2:$C$4995,$D4509)&gt;0,"Có","Không"))</f>
        <v/>
      </c>
      <c r="W4509" s="22">
        <f>IF(OR($D4509="",$R4509="Trùng"),"",COUNTIFS(ORDERS!$C$2:$C$4995,$D4509,ORDERS!$L$2:$L$4995,"Đã chuyển khoản"))</f>
        <v/>
      </c>
      <c r="X4509" s="23">
        <f>IF(OR($D4509="",$R4509="Trùng"),"",SUMIFS(ORDERS!$J$2:$J$4995,ORDERS!$C$2:$C$4995,$D4509,ORDERS!$L$2:$L$4995,"Đã chuyển khoản"))</f>
        <v/>
      </c>
      <c r="Y4509" s="24" t="n"/>
    </row>
    <row r="4510" ht="14.25" customHeight="1" s="40">
      <c r="A4510" s="24" t="n"/>
      <c r="B4510" s="27" t="n"/>
      <c r="C4510" s="24" t="n"/>
      <c r="D4510" s="28" t="n"/>
      <c r="E4510" s="29" t="n"/>
      <c r="F4510" s="24" t="n"/>
      <c r="G4510" s="24" t="n"/>
      <c r="H4510" s="21">
        <f>IF(ISNUMBER($B4510),INT($B4510)-WEEKDAY($B4510,2)+1,"")</f>
        <v/>
      </c>
      <c r="I4510" s="24" t="n"/>
      <c r="J4510" s="22">
        <f t="array" ref="J4510">IF($D4510="","",IF($I4510="","(trống REF)",IFERROR(INDEX(MASTER_SOURCE!$B$2:$B$495,MATCH($I4510,MASTER_SOURCE!$A$2:$A$495,0)),"(REF không có trong MASTER_SOURCE)")))</f>
        <v/>
      </c>
      <c r="K4510" s="22">
        <f t="array" ref="K4510">IF($D4510="","",IFERROR(INDEX(MASTER_SOURCE!$C$2:$C$495,MATCH($I4510,MASTER_SOURCE!$A$2:$A$495,0)),""))</f>
        <v/>
      </c>
      <c r="L4510" s="22">
        <f t="array" ref="L4510">IF($D4510="","",IFERROR(INDEX(MASTER_SOURCE!$D$2:$D$495,MATCH($I4510,MASTER_SOURCE!$A$2:$A$495,0)),""))</f>
        <v/>
      </c>
      <c r="M4510" s="24" t="n"/>
      <c r="N4510" s="24" t="n"/>
      <c r="O4510" s="24" t="n"/>
      <c r="P4510" s="24" t="n"/>
      <c r="Q4510" s="22">
        <f>IF($D4510="","",IF(AND(OR(DANH_MUC!$L$5&lt;&gt;"Có",M4510="Có"),OR(DANH_MUC!$L$6&lt;&gt;"Có",N4510="Có"),OR(DANH_MUC!$L$7&lt;&gt;"Có",O4510="Có"),OR(DANH_MUC!$L$8&lt;&gt;"Có",P4510="Có")),"Có","Không"))</f>
        <v/>
      </c>
      <c r="R4510" s="22">
        <f>IF($D4510="","",IF(COUNTIF($D$2:$D4510,$D4510)&gt;1,"Trùng",""))</f>
        <v/>
      </c>
      <c r="S4510" s="22">
        <f>IF($D4510="","",IF(AND(LEN($D4510)=10,LEFT($D4510,1)="0",ISNUMBER(--$D4510)),"Có","Không"))</f>
        <v/>
      </c>
      <c r="T4510" s="22">
        <f>IF($D4510="","",IF(AND($C4510&lt;&gt;"",$Q4510="Có",$R4510="",$S4510="Có",AND($L4510&lt;&gt;"",OR($L4510&lt;&gt;"Chưa xác định",DANH_MUC!$L$9="Có"))),"Có","Không"))</f>
        <v/>
      </c>
      <c r="U4510" s="22">
        <f>IF(OR($D4510="",$T4510="Có"),"",IF($C4510="","Thiếu họ tên; ","")&amp;IF($S4510&lt;&gt;"Có","SĐT sai định dạng; ","")&amp;IF($R4510="Trùng","Trùng SĐT; ","")&amp;IF($Q4510&lt;&gt;"Có","Thiếu đồng ý bắt buộc; ","")&amp;IF($L4510="","Thiếu/sai Mã REF; ",IF(AND($L4510="Chưa xác định",DANH_MUC!$L$9&lt;&gt;"Có"),"Nguồn chưa xác định; ","")))</f>
        <v/>
      </c>
      <c r="V4510" s="22">
        <f>IF(OR($D4510="",$R4510="Trùng"),"",IF(COUNTIF(ORDERS!$C$2:$C$4995,$D4510)&gt;0,"Có","Không"))</f>
        <v/>
      </c>
      <c r="W4510" s="22">
        <f>IF(OR($D4510="",$R4510="Trùng"),"",COUNTIFS(ORDERS!$C$2:$C$4995,$D4510,ORDERS!$L$2:$L$4995,"Đã chuyển khoản"))</f>
        <v/>
      </c>
      <c r="X4510" s="23">
        <f>IF(OR($D4510="",$R4510="Trùng"),"",SUMIFS(ORDERS!$J$2:$J$4995,ORDERS!$C$2:$C$4995,$D4510,ORDERS!$L$2:$L$4995,"Đã chuyển khoản"))</f>
        <v/>
      </c>
      <c r="Y4510" s="24" t="n"/>
    </row>
    <row r="4511" ht="14.25" customHeight="1" s="40">
      <c r="A4511" s="24" t="n"/>
      <c r="B4511" s="27" t="n"/>
      <c r="C4511" s="24" t="n"/>
      <c r="D4511" s="28" t="n"/>
      <c r="E4511" s="29" t="n"/>
      <c r="F4511" s="24" t="n"/>
      <c r="G4511" s="24" t="n"/>
      <c r="H4511" s="21">
        <f>IF(ISNUMBER($B4511),INT($B4511)-WEEKDAY($B4511,2)+1,"")</f>
        <v/>
      </c>
      <c r="I4511" s="24" t="n"/>
      <c r="J4511" s="22">
        <f t="array" ref="J4511">IF($D4511="","",IF($I4511="","(trống REF)",IFERROR(INDEX(MASTER_SOURCE!$B$2:$B$495,MATCH($I4511,MASTER_SOURCE!$A$2:$A$495,0)),"(REF không có trong MASTER_SOURCE)")))</f>
        <v/>
      </c>
      <c r="K4511" s="22">
        <f t="array" ref="K4511">IF($D4511="","",IFERROR(INDEX(MASTER_SOURCE!$C$2:$C$495,MATCH($I4511,MASTER_SOURCE!$A$2:$A$495,0)),""))</f>
        <v/>
      </c>
      <c r="L4511" s="22">
        <f t="array" ref="L4511">IF($D4511="","",IFERROR(INDEX(MASTER_SOURCE!$D$2:$D$495,MATCH($I4511,MASTER_SOURCE!$A$2:$A$495,0)),""))</f>
        <v/>
      </c>
      <c r="M4511" s="24" t="n"/>
      <c r="N4511" s="24" t="n"/>
      <c r="O4511" s="24" t="n"/>
      <c r="P4511" s="24" t="n"/>
      <c r="Q4511" s="22">
        <f>IF($D4511="","",IF(AND(OR(DANH_MUC!$L$5&lt;&gt;"Có",M4511="Có"),OR(DANH_MUC!$L$6&lt;&gt;"Có",N4511="Có"),OR(DANH_MUC!$L$7&lt;&gt;"Có",O4511="Có"),OR(DANH_MUC!$L$8&lt;&gt;"Có",P4511="Có")),"Có","Không"))</f>
        <v/>
      </c>
      <c r="R4511" s="22">
        <f>IF($D4511="","",IF(COUNTIF($D$2:$D4511,$D4511)&gt;1,"Trùng",""))</f>
        <v/>
      </c>
      <c r="S4511" s="22">
        <f>IF($D4511="","",IF(AND(LEN($D4511)=10,LEFT($D4511,1)="0",ISNUMBER(--$D4511)),"Có","Không"))</f>
        <v/>
      </c>
      <c r="T4511" s="22">
        <f>IF($D4511="","",IF(AND($C4511&lt;&gt;"",$Q4511="Có",$R4511="",$S4511="Có",AND($L4511&lt;&gt;"",OR($L4511&lt;&gt;"Chưa xác định",DANH_MUC!$L$9="Có"))),"Có","Không"))</f>
        <v/>
      </c>
      <c r="U4511" s="22">
        <f>IF(OR($D4511="",$T4511="Có"),"",IF($C4511="","Thiếu họ tên; ","")&amp;IF($S4511&lt;&gt;"Có","SĐT sai định dạng; ","")&amp;IF($R4511="Trùng","Trùng SĐT; ","")&amp;IF($Q4511&lt;&gt;"Có","Thiếu đồng ý bắt buộc; ","")&amp;IF($L4511="","Thiếu/sai Mã REF; ",IF(AND($L4511="Chưa xác định",DANH_MUC!$L$9&lt;&gt;"Có"),"Nguồn chưa xác định; ","")))</f>
        <v/>
      </c>
      <c r="V4511" s="22">
        <f>IF(OR($D4511="",$R4511="Trùng"),"",IF(COUNTIF(ORDERS!$C$2:$C$4995,$D4511)&gt;0,"Có","Không"))</f>
        <v/>
      </c>
      <c r="W4511" s="22">
        <f>IF(OR($D4511="",$R4511="Trùng"),"",COUNTIFS(ORDERS!$C$2:$C$4995,$D4511,ORDERS!$L$2:$L$4995,"Đã chuyển khoản"))</f>
        <v/>
      </c>
      <c r="X4511" s="23">
        <f>IF(OR($D4511="",$R4511="Trùng"),"",SUMIFS(ORDERS!$J$2:$J$4995,ORDERS!$C$2:$C$4995,$D4511,ORDERS!$L$2:$L$4995,"Đã chuyển khoản"))</f>
        <v/>
      </c>
      <c r="Y4511" s="24" t="n"/>
    </row>
    <row r="4512" ht="14.25" customHeight="1" s="40">
      <c r="A4512" s="24" t="n"/>
      <c r="B4512" s="27" t="n"/>
      <c r="C4512" s="24" t="n"/>
      <c r="D4512" s="28" t="n"/>
      <c r="E4512" s="29" t="n"/>
      <c r="F4512" s="24" t="n"/>
      <c r="G4512" s="24" t="n"/>
      <c r="H4512" s="21">
        <f>IF(ISNUMBER($B4512),INT($B4512)-WEEKDAY($B4512,2)+1,"")</f>
        <v/>
      </c>
      <c r="I4512" s="24" t="n"/>
      <c r="J4512" s="22">
        <f t="array" ref="J4512">IF($D4512="","",IF($I4512="","(trống REF)",IFERROR(INDEX(MASTER_SOURCE!$B$2:$B$495,MATCH($I4512,MASTER_SOURCE!$A$2:$A$495,0)),"(REF không có trong MASTER_SOURCE)")))</f>
        <v/>
      </c>
      <c r="K4512" s="22">
        <f t="array" ref="K4512">IF($D4512="","",IFERROR(INDEX(MASTER_SOURCE!$C$2:$C$495,MATCH($I4512,MASTER_SOURCE!$A$2:$A$495,0)),""))</f>
        <v/>
      </c>
      <c r="L4512" s="22">
        <f t="array" ref="L4512">IF($D4512="","",IFERROR(INDEX(MASTER_SOURCE!$D$2:$D$495,MATCH($I4512,MASTER_SOURCE!$A$2:$A$495,0)),""))</f>
        <v/>
      </c>
      <c r="M4512" s="24" t="n"/>
      <c r="N4512" s="24" t="n"/>
      <c r="O4512" s="24" t="n"/>
      <c r="P4512" s="24" t="n"/>
      <c r="Q4512" s="22">
        <f>IF($D4512="","",IF(AND(OR(DANH_MUC!$L$5&lt;&gt;"Có",M4512="Có"),OR(DANH_MUC!$L$6&lt;&gt;"Có",N4512="Có"),OR(DANH_MUC!$L$7&lt;&gt;"Có",O4512="Có"),OR(DANH_MUC!$L$8&lt;&gt;"Có",P4512="Có")),"Có","Không"))</f>
        <v/>
      </c>
      <c r="R4512" s="22">
        <f>IF($D4512="","",IF(COUNTIF($D$2:$D4512,$D4512)&gt;1,"Trùng",""))</f>
        <v/>
      </c>
      <c r="S4512" s="22">
        <f>IF($D4512="","",IF(AND(LEN($D4512)=10,LEFT($D4512,1)="0",ISNUMBER(--$D4512)),"Có","Không"))</f>
        <v/>
      </c>
      <c r="T4512" s="22">
        <f>IF($D4512="","",IF(AND($C4512&lt;&gt;"",$Q4512="Có",$R4512="",$S4512="Có",AND($L4512&lt;&gt;"",OR($L4512&lt;&gt;"Chưa xác định",DANH_MUC!$L$9="Có"))),"Có","Không"))</f>
        <v/>
      </c>
      <c r="U4512" s="22">
        <f>IF(OR($D4512="",$T4512="Có"),"",IF($C4512="","Thiếu họ tên; ","")&amp;IF($S4512&lt;&gt;"Có","SĐT sai định dạng; ","")&amp;IF($R4512="Trùng","Trùng SĐT; ","")&amp;IF($Q4512&lt;&gt;"Có","Thiếu đồng ý bắt buộc; ","")&amp;IF($L4512="","Thiếu/sai Mã REF; ",IF(AND($L4512="Chưa xác định",DANH_MUC!$L$9&lt;&gt;"Có"),"Nguồn chưa xác định; ","")))</f>
        <v/>
      </c>
      <c r="V4512" s="22">
        <f>IF(OR($D4512="",$R4512="Trùng"),"",IF(COUNTIF(ORDERS!$C$2:$C$4995,$D4512)&gt;0,"Có","Không"))</f>
        <v/>
      </c>
      <c r="W4512" s="22">
        <f>IF(OR($D4512="",$R4512="Trùng"),"",COUNTIFS(ORDERS!$C$2:$C$4995,$D4512,ORDERS!$L$2:$L$4995,"Đã chuyển khoản"))</f>
        <v/>
      </c>
      <c r="X4512" s="23">
        <f>IF(OR($D4512="",$R4512="Trùng"),"",SUMIFS(ORDERS!$J$2:$J$4995,ORDERS!$C$2:$C$4995,$D4512,ORDERS!$L$2:$L$4995,"Đã chuyển khoản"))</f>
        <v/>
      </c>
      <c r="Y4512" s="24" t="n"/>
    </row>
    <row r="4513" ht="14.25" customHeight="1" s="40">
      <c r="A4513" s="24" t="n"/>
      <c r="B4513" s="27" t="n"/>
      <c r="C4513" s="24" t="n"/>
      <c r="D4513" s="28" t="n"/>
      <c r="E4513" s="29" t="n"/>
      <c r="F4513" s="24" t="n"/>
      <c r="G4513" s="24" t="n"/>
      <c r="H4513" s="21">
        <f>IF(ISNUMBER($B4513),INT($B4513)-WEEKDAY($B4513,2)+1,"")</f>
        <v/>
      </c>
      <c r="I4513" s="24" t="n"/>
      <c r="J4513" s="22">
        <f t="array" ref="J4513">IF($D4513="","",IF($I4513="","(trống REF)",IFERROR(INDEX(MASTER_SOURCE!$B$2:$B$495,MATCH($I4513,MASTER_SOURCE!$A$2:$A$495,0)),"(REF không có trong MASTER_SOURCE)")))</f>
        <v/>
      </c>
      <c r="K4513" s="22">
        <f t="array" ref="K4513">IF($D4513="","",IFERROR(INDEX(MASTER_SOURCE!$C$2:$C$495,MATCH($I4513,MASTER_SOURCE!$A$2:$A$495,0)),""))</f>
        <v/>
      </c>
      <c r="L4513" s="22">
        <f t="array" ref="L4513">IF($D4513="","",IFERROR(INDEX(MASTER_SOURCE!$D$2:$D$495,MATCH($I4513,MASTER_SOURCE!$A$2:$A$495,0)),""))</f>
        <v/>
      </c>
      <c r="M4513" s="24" t="n"/>
      <c r="N4513" s="24" t="n"/>
      <c r="O4513" s="24" t="n"/>
      <c r="P4513" s="24" t="n"/>
      <c r="Q4513" s="22">
        <f>IF($D4513="","",IF(AND(OR(DANH_MUC!$L$5&lt;&gt;"Có",M4513="Có"),OR(DANH_MUC!$L$6&lt;&gt;"Có",N4513="Có"),OR(DANH_MUC!$L$7&lt;&gt;"Có",O4513="Có"),OR(DANH_MUC!$L$8&lt;&gt;"Có",P4513="Có")),"Có","Không"))</f>
        <v/>
      </c>
      <c r="R4513" s="22">
        <f>IF($D4513="","",IF(COUNTIF($D$2:$D4513,$D4513)&gt;1,"Trùng",""))</f>
        <v/>
      </c>
      <c r="S4513" s="22">
        <f>IF($D4513="","",IF(AND(LEN($D4513)=10,LEFT($D4513,1)="0",ISNUMBER(--$D4513)),"Có","Không"))</f>
        <v/>
      </c>
      <c r="T4513" s="22">
        <f>IF($D4513="","",IF(AND($C4513&lt;&gt;"",$Q4513="Có",$R4513="",$S4513="Có",AND($L4513&lt;&gt;"",OR($L4513&lt;&gt;"Chưa xác định",DANH_MUC!$L$9="Có"))),"Có","Không"))</f>
        <v/>
      </c>
      <c r="U4513" s="22">
        <f>IF(OR($D4513="",$T4513="Có"),"",IF($C4513="","Thiếu họ tên; ","")&amp;IF($S4513&lt;&gt;"Có","SĐT sai định dạng; ","")&amp;IF($R4513="Trùng","Trùng SĐT; ","")&amp;IF($Q4513&lt;&gt;"Có","Thiếu đồng ý bắt buộc; ","")&amp;IF($L4513="","Thiếu/sai Mã REF; ",IF(AND($L4513="Chưa xác định",DANH_MUC!$L$9&lt;&gt;"Có"),"Nguồn chưa xác định; ","")))</f>
        <v/>
      </c>
      <c r="V4513" s="22">
        <f>IF(OR($D4513="",$R4513="Trùng"),"",IF(COUNTIF(ORDERS!$C$2:$C$4995,$D4513)&gt;0,"Có","Không"))</f>
        <v/>
      </c>
      <c r="W4513" s="22">
        <f>IF(OR($D4513="",$R4513="Trùng"),"",COUNTIFS(ORDERS!$C$2:$C$4995,$D4513,ORDERS!$L$2:$L$4995,"Đã chuyển khoản"))</f>
        <v/>
      </c>
      <c r="X4513" s="23">
        <f>IF(OR($D4513="",$R4513="Trùng"),"",SUMIFS(ORDERS!$J$2:$J$4995,ORDERS!$C$2:$C$4995,$D4513,ORDERS!$L$2:$L$4995,"Đã chuyển khoản"))</f>
        <v/>
      </c>
      <c r="Y4513" s="24" t="n"/>
    </row>
    <row r="4514" ht="14.25" customHeight="1" s="40">
      <c r="A4514" s="24" t="n"/>
      <c r="B4514" s="27" t="n"/>
      <c r="C4514" s="24" t="n"/>
      <c r="D4514" s="28" t="n"/>
      <c r="E4514" s="29" t="n"/>
      <c r="F4514" s="24" t="n"/>
      <c r="G4514" s="24" t="n"/>
      <c r="H4514" s="21">
        <f>IF(ISNUMBER($B4514),INT($B4514)-WEEKDAY($B4514,2)+1,"")</f>
        <v/>
      </c>
      <c r="I4514" s="24" t="n"/>
      <c r="J4514" s="22">
        <f t="array" ref="J4514">IF($D4514="","",IF($I4514="","(trống REF)",IFERROR(INDEX(MASTER_SOURCE!$B$2:$B$495,MATCH($I4514,MASTER_SOURCE!$A$2:$A$495,0)),"(REF không có trong MASTER_SOURCE)")))</f>
        <v/>
      </c>
      <c r="K4514" s="22">
        <f t="array" ref="K4514">IF($D4514="","",IFERROR(INDEX(MASTER_SOURCE!$C$2:$C$495,MATCH($I4514,MASTER_SOURCE!$A$2:$A$495,0)),""))</f>
        <v/>
      </c>
      <c r="L4514" s="22">
        <f t="array" ref="L4514">IF($D4514="","",IFERROR(INDEX(MASTER_SOURCE!$D$2:$D$495,MATCH($I4514,MASTER_SOURCE!$A$2:$A$495,0)),""))</f>
        <v/>
      </c>
      <c r="M4514" s="24" t="n"/>
      <c r="N4514" s="24" t="n"/>
      <c r="O4514" s="24" t="n"/>
      <c r="P4514" s="24" t="n"/>
      <c r="Q4514" s="22">
        <f>IF($D4514="","",IF(AND(OR(DANH_MUC!$L$5&lt;&gt;"Có",M4514="Có"),OR(DANH_MUC!$L$6&lt;&gt;"Có",N4514="Có"),OR(DANH_MUC!$L$7&lt;&gt;"Có",O4514="Có"),OR(DANH_MUC!$L$8&lt;&gt;"Có",P4514="Có")),"Có","Không"))</f>
        <v/>
      </c>
      <c r="R4514" s="22">
        <f>IF($D4514="","",IF(COUNTIF($D$2:$D4514,$D4514)&gt;1,"Trùng",""))</f>
        <v/>
      </c>
      <c r="S4514" s="22">
        <f>IF($D4514="","",IF(AND(LEN($D4514)=10,LEFT($D4514,1)="0",ISNUMBER(--$D4514)),"Có","Không"))</f>
        <v/>
      </c>
      <c r="T4514" s="22">
        <f>IF($D4514="","",IF(AND($C4514&lt;&gt;"",$Q4514="Có",$R4514="",$S4514="Có",AND($L4514&lt;&gt;"",OR($L4514&lt;&gt;"Chưa xác định",DANH_MUC!$L$9="Có"))),"Có","Không"))</f>
        <v/>
      </c>
      <c r="U4514" s="22">
        <f>IF(OR($D4514="",$T4514="Có"),"",IF($C4514="","Thiếu họ tên; ","")&amp;IF($S4514&lt;&gt;"Có","SĐT sai định dạng; ","")&amp;IF($R4514="Trùng","Trùng SĐT; ","")&amp;IF($Q4514&lt;&gt;"Có","Thiếu đồng ý bắt buộc; ","")&amp;IF($L4514="","Thiếu/sai Mã REF; ",IF(AND($L4514="Chưa xác định",DANH_MUC!$L$9&lt;&gt;"Có"),"Nguồn chưa xác định; ","")))</f>
        <v/>
      </c>
      <c r="V4514" s="22">
        <f>IF(OR($D4514="",$R4514="Trùng"),"",IF(COUNTIF(ORDERS!$C$2:$C$4995,$D4514)&gt;0,"Có","Không"))</f>
        <v/>
      </c>
      <c r="W4514" s="22">
        <f>IF(OR($D4514="",$R4514="Trùng"),"",COUNTIFS(ORDERS!$C$2:$C$4995,$D4514,ORDERS!$L$2:$L$4995,"Đã chuyển khoản"))</f>
        <v/>
      </c>
      <c r="X4514" s="23">
        <f>IF(OR($D4514="",$R4514="Trùng"),"",SUMIFS(ORDERS!$J$2:$J$4995,ORDERS!$C$2:$C$4995,$D4514,ORDERS!$L$2:$L$4995,"Đã chuyển khoản"))</f>
        <v/>
      </c>
      <c r="Y4514" s="24" t="n"/>
    </row>
    <row r="4515" ht="14.25" customHeight="1" s="40">
      <c r="A4515" s="24" t="n"/>
      <c r="B4515" s="27" t="n"/>
      <c r="C4515" s="24" t="n"/>
      <c r="D4515" s="28" t="n"/>
      <c r="E4515" s="29" t="n"/>
      <c r="F4515" s="24" t="n"/>
      <c r="G4515" s="24" t="n"/>
      <c r="H4515" s="21">
        <f>IF(ISNUMBER($B4515),INT($B4515)-WEEKDAY($B4515,2)+1,"")</f>
        <v/>
      </c>
      <c r="I4515" s="24" t="n"/>
      <c r="J4515" s="22">
        <f t="array" ref="J4515">IF($D4515="","",IF($I4515="","(trống REF)",IFERROR(INDEX(MASTER_SOURCE!$B$2:$B$495,MATCH($I4515,MASTER_SOURCE!$A$2:$A$495,0)),"(REF không có trong MASTER_SOURCE)")))</f>
        <v/>
      </c>
      <c r="K4515" s="22">
        <f t="array" ref="K4515">IF($D4515="","",IFERROR(INDEX(MASTER_SOURCE!$C$2:$C$495,MATCH($I4515,MASTER_SOURCE!$A$2:$A$495,0)),""))</f>
        <v/>
      </c>
      <c r="L4515" s="22">
        <f t="array" ref="L4515">IF($D4515="","",IFERROR(INDEX(MASTER_SOURCE!$D$2:$D$495,MATCH($I4515,MASTER_SOURCE!$A$2:$A$495,0)),""))</f>
        <v/>
      </c>
      <c r="M4515" s="24" t="n"/>
      <c r="N4515" s="24" t="n"/>
      <c r="O4515" s="24" t="n"/>
      <c r="P4515" s="24" t="n"/>
      <c r="Q4515" s="22">
        <f>IF($D4515="","",IF(AND(OR(DANH_MUC!$L$5&lt;&gt;"Có",M4515="Có"),OR(DANH_MUC!$L$6&lt;&gt;"Có",N4515="Có"),OR(DANH_MUC!$L$7&lt;&gt;"Có",O4515="Có"),OR(DANH_MUC!$L$8&lt;&gt;"Có",P4515="Có")),"Có","Không"))</f>
        <v/>
      </c>
      <c r="R4515" s="22">
        <f>IF($D4515="","",IF(COUNTIF($D$2:$D4515,$D4515)&gt;1,"Trùng",""))</f>
        <v/>
      </c>
      <c r="S4515" s="22">
        <f>IF($D4515="","",IF(AND(LEN($D4515)=10,LEFT($D4515,1)="0",ISNUMBER(--$D4515)),"Có","Không"))</f>
        <v/>
      </c>
      <c r="T4515" s="22">
        <f>IF($D4515="","",IF(AND($C4515&lt;&gt;"",$Q4515="Có",$R4515="",$S4515="Có",AND($L4515&lt;&gt;"",OR($L4515&lt;&gt;"Chưa xác định",DANH_MUC!$L$9="Có"))),"Có","Không"))</f>
        <v/>
      </c>
      <c r="U4515" s="22">
        <f>IF(OR($D4515="",$T4515="Có"),"",IF($C4515="","Thiếu họ tên; ","")&amp;IF($S4515&lt;&gt;"Có","SĐT sai định dạng; ","")&amp;IF($R4515="Trùng","Trùng SĐT; ","")&amp;IF($Q4515&lt;&gt;"Có","Thiếu đồng ý bắt buộc; ","")&amp;IF($L4515="","Thiếu/sai Mã REF; ",IF(AND($L4515="Chưa xác định",DANH_MUC!$L$9&lt;&gt;"Có"),"Nguồn chưa xác định; ","")))</f>
        <v/>
      </c>
      <c r="V4515" s="22">
        <f>IF(OR($D4515="",$R4515="Trùng"),"",IF(COUNTIF(ORDERS!$C$2:$C$4995,$D4515)&gt;0,"Có","Không"))</f>
        <v/>
      </c>
      <c r="W4515" s="22">
        <f>IF(OR($D4515="",$R4515="Trùng"),"",COUNTIFS(ORDERS!$C$2:$C$4995,$D4515,ORDERS!$L$2:$L$4995,"Đã chuyển khoản"))</f>
        <v/>
      </c>
      <c r="X4515" s="23">
        <f>IF(OR($D4515="",$R4515="Trùng"),"",SUMIFS(ORDERS!$J$2:$J$4995,ORDERS!$C$2:$C$4995,$D4515,ORDERS!$L$2:$L$4995,"Đã chuyển khoản"))</f>
        <v/>
      </c>
      <c r="Y4515" s="24" t="n"/>
    </row>
    <row r="4516" ht="14.25" customHeight="1" s="40">
      <c r="A4516" s="24" t="n"/>
      <c r="B4516" s="27" t="n"/>
      <c r="C4516" s="24" t="n"/>
      <c r="D4516" s="28" t="n"/>
      <c r="E4516" s="29" t="n"/>
      <c r="F4516" s="24" t="n"/>
      <c r="G4516" s="24" t="n"/>
      <c r="H4516" s="21">
        <f>IF(ISNUMBER($B4516),INT($B4516)-WEEKDAY($B4516,2)+1,"")</f>
        <v/>
      </c>
      <c r="I4516" s="24" t="n"/>
      <c r="J4516" s="22">
        <f t="array" ref="J4516">IF($D4516="","",IF($I4516="","(trống REF)",IFERROR(INDEX(MASTER_SOURCE!$B$2:$B$495,MATCH($I4516,MASTER_SOURCE!$A$2:$A$495,0)),"(REF không có trong MASTER_SOURCE)")))</f>
        <v/>
      </c>
      <c r="K4516" s="22">
        <f t="array" ref="K4516">IF($D4516="","",IFERROR(INDEX(MASTER_SOURCE!$C$2:$C$495,MATCH($I4516,MASTER_SOURCE!$A$2:$A$495,0)),""))</f>
        <v/>
      </c>
      <c r="L4516" s="22">
        <f t="array" ref="L4516">IF($D4516="","",IFERROR(INDEX(MASTER_SOURCE!$D$2:$D$495,MATCH($I4516,MASTER_SOURCE!$A$2:$A$495,0)),""))</f>
        <v/>
      </c>
      <c r="M4516" s="24" t="n"/>
      <c r="N4516" s="24" t="n"/>
      <c r="O4516" s="24" t="n"/>
      <c r="P4516" s="24" t="n"/>
      <c r="Q4516" s="22">
        <f>IF($D4516="","",IF(AND(OR(DANH_MUC!$L$5&lt;&gt;"Có",M4516="Có"),OR(DANH_MUC!$L$6&lt;&gt;"Có",N4516="Có"),OR(DANH_MUC!$L$7&lt;&gt;"Có",O4516="Có"),OR(DANH_MUC!$L$8&lt;&gt;"Có",P4516="Có")),"Có","Không"))</f>
        <v/>
      </c>
      <c r="R4516" s="22">
        <f>IF($D4516="","",IF(COUNTIF($D$2:$D4516,$D4516)&gt;1,"Trùng",""))</f>
        <v/>
      </c>
      <c r="S4516" s="22">
        <f>IF($D4516="","",IF(AND(LEN($D4516)=10,LEFT($D4516,1)="0",ISNUMBER(--$D4516)),"Có","Không"))</f>
        <v/>
      </c>
      <c r="T4516" s="22">
        <f>IF($D4516="","",IF(AND($C4516&lt;&gt;"",$Q4516="Có",$R4516="",$S4516="Có",AND($L4516&lt;&gt;"",OR($L4516&lt;&gt;"Chưa xác định",DANH_MUC!$L$9="Có"))),"Có","Không"))</f>
        <v/>
      </c>
      <c r="U4516" s="22">
        <f>IF(OR($D4516="",$T4516="Có"),"",IF($C4516="","Thiếu họ tên; ","")&amp;IF($S4516&lt;&gt;"Có","SĐT sai định dạng; ","")&amp;IF($R4516="Trùng","Trùng SĐT; ","")&amp;IF($Q4516&lt;&gt;"Có","Thiếu đồng ý bắt buộc; ","")&amp;IF($L4516="","Thiếu/sai Mã REF; ",IF(AND($L4516="Chưa xác định",DANH_MUC!$L$9&lt;&gt;"Có"),"Nguồn chưa xác định; ","")))</f>
        <v/>
      </c>
      <c r="V4516" s="22">
        <f>IF(OR($D4516="",$R4516="Trùng"),"",IF(COUNTIF(ORDERS!$C$2:$C$4995,$D4516)&gt;0,"Có","Không"))</f>
        <v/>
      </c>
      <c r="W4516" s="22">
        <f>IF(OR($D4516="",$R4516="Trùng"),"",COUNTIFS(ORDERS!$C$2:$C$4995,$D4516,ORDERS!$L$2:$L$4995,"Đã chuyển khoản"))</f>
        <v/>
      </c>
      <c r="X4516" s="23">
        <f>IF(OR($D4516="",$R4516="Trùng"),"",SUMIFS(ORDERS!$J$2:$J$4995,ORDERS!$C$2:$C$4995,$D4516,ORDERS!$L$2:$L$4995,"Đã chuyển khoản"))</f>
        <v/>
      </c>
      <c r="Y4516" s="24" t="n"/>
    </row>
    <row r="4517" ht="14.25" customHeight="1" s="40">
      <c r="A4517" s="24" t="n"/>
      <c r="B4517" s="27" t="n"/>
      <c r="C4517" s="24" t="n"/>
      <c r="D4517" s="28" t="n"/>
      <c r="E4517" s="29" t="n"/>
      <c r="F4517" s="24" t="n"/>
      <c r="G4517" s="24" t="n"/>
      <c r="H4517" s="21">
        <f>IF(ISNUMBER($B4517),INT($B4517)-WEEKDAY($B4517,2)+1,"")</f>
        <v/>
      </c>
      <c r="I4517" s="24" t="n"/>
      <c r="J4517" s="22">
        <f t="array" ref="J4517">IF($D4517="","",IF($I4517="","(trống REF)",IFERROR(INDEX(MASTER_SOURCE!$B$2:$B$495,MATCH($I4517,MASTER_SOURCE!$A$2:$A$495,0)),"(REF không có trong MASTER_SOURCE)")))</f>
        <v/>
      </c>
      <c r="K4517" s="22">
        <f t="array" ref="K4517">IF($D4517="","",IFERROR(INDEX(MASTER_SOURCE!$C$2:$C$495,MATCH($I4517,MASTER_SOURCE!$A$2:$A$495,0)),""))</f>
        <v/>
      </c>
      <c r="L4517" s="22">
        <f t="array" ref="L4517">IF($D4517="","",IFERROR(INDEX(MASTER_SOURCE!$D$2:$D$495,MATCH($I4517,MASTER_SOURCE!$A$2:$A$495,0)),""))</f>
        <v/>
      </c>
      <c r="M4517" s="24" t="n"/>
      <c r="N4517" s="24" t="n"/>
      <c r="O4517" s="24" t="n"/>
      <c r="P4517" s="24" t="n"/>
      <c r="Q4517" s="22">
        <f>IF($D4517="","",IF(AND(OR(DANH_MUC!$L$5&lt;&gt;"Có",M4517="Có"),OR(DANH_MUC!$L$6&lt;&gt;"Có",N4517="Có"),OR(DANH_MUC!$L$7&lt;&gt;"Có",O4517="Có"),OR(DANH_MUC!$L$8&lt;&gt;"Có",P4517="Có")),"Có","Không"))</f>
        <v/>
      </c>
      <c r="R4517" s="22">
        <f>IF($D4517="","",IF(COUNTIF($D$2:$D4517,$D4517)&gt;1,"Trùng",""))</f>
        <v/>
      </c>
      <c r="S4517" s="22">
        <f>IF($D4517="","",IF(AND(LEN($D4517)=10,LEFT($D4517,1)="0",ISNUMBER(--$D4517)),"Có","Không"))</f>
        <v/>
      </c>
      <c r="T4517" s="22">
        <f>IF($D4517="","",IF(AND($C4517&lt;&gt;"",$Q4517="Có",$R4517="",$S4517="Có",AND($L4517&lt;&gt;"",OR($L4517&lt;&gt;"Chưa xác định",DANH_MUC!$L$9="Có"))),"Có","Không"))</f>
        <v/>
      </c>
      <c r="U4517" s="22">
        <f>IF(OR($D4517="",$T4517="Có"),"",IF($C4517="","Thiếu họ tên; ","")&amp;IF($S4517&lt;&gt;"Có","SĐT sai định dạng; ","")&amp;IF($R4517="Trùng","Trùng SĐT; ","")&amp;IF($Q4517&lt;&gt;"Có","Thiếu đồng ý bắt buộc; ","")&amp;IF($L4517="","Thiếu/sai Mã REF; ",IF(AND($L4517="Chưa xác định",DANH_MUC!$L$9&lt;&gt;"Có"),"Nguồn chưa xác định; ","")))</f>
        <v/>
      </c>
      <c r="V4517" s="22">
        <f>IF(OR($D4517="",$R4517="Trùng"),"",IF(COUNTIF(ORDERS!$C$2:$C$4995,$D4517)&gt;0,"Có","Không"))</f>
        <v/>
      </c>
      <c r="W4517" s="22">
        <f>IF(OR($D4517="",$R4517="Trùng"),"",COUNTIFS(ORDERS!$C$2:$C$4995,$D4517,ORDERS!$L$2:$L$4995,"Đã chuyển khoản"))</f>
        <v/>
      </c>
      <c r="X4517" s="23">
        <f>IF(OR($D4517="",$R4517="Trùng"),"",SUMIFS(ORDERS!$J$2:$J$4995,ORDERS!$C$2:$C$4995,$D4517,ORDERS!$L$2:$L$4995,"Đã chuyển khoản"))</f>
        <v/>
      </c>
      <c r="Y4517" s="24" t="n"/>
    </row>
    <row r="4518" ht="14.25" customHeight="1" s="40">
      <c r="A4518" s="24" t="n"/>
      <c r="B4518" s="27" t="n"/>
      <c r="C4518" s="24" t="n"/>
      <c r="D4518" s="28" t="n"/>
      <c r="E4518" s="29" t="n"/>
      <c r="F4518" s="24" t="n"/>
      <c r="G4518" s="24" t="n"/>
      <c r="H4518" s="21">
        <f>IF(ISNUMBER($B4518),INT($B4518)-WEEKDAY($B4518,2)+1,"")</f>
        <v/>
      </c>
      <c r="I4518" s="24" t="n"/>
      <c r="J4518" s="22">
        <f t="array" ref="J4518">IF($D4518="","",IF($I4518="","(trống REF)",IFERROR(INDEX(MASTER_SOURCE!$B$2:$B$495,MATCH($I4518,MASTER_SOURCE!$A$2:$A$495,0)),"(REF không có trong MASTER_SOURCE)")))</f>
        <v/>
      </c>
      <c r="K4518" s="22">
        <f t="array" ref="K4518">IF($D4518="","",IFERROR(INDEX(MASTER_SOURCE!$C$2:$C$495,MATCH($I4518,MASTER_SOURCE!$A$2:$A$495,0)),""))</f>
        <v/>
      </c>
      <c r="L4518" s="22">
        <f t="array" ref="L4518">IF($D4518="","",IFERROR(INDEX(MASTER_SOURCE!$D$2:$D$495,MATCH($I4518,MASTER_SOURCE!$A$2:$A$495,0)),""))</f>
        <v/>
      </c>
      <c r="M4518" s="24" t="n"/>
      <c r="N4518" s="24" t="n"/>
      <c r="O4518" s="24" t="n"/>
      <c r="P4518" s="24" t="n"/>
      <c r="Q4518" s="22">
        <f>IF($D4518="","",IF(AND(OR(DANH_MUC!$L$5&lt;&gt;"Có",M4518="Có"),OR(DANH_MUC!$L$6&lt;&gt;"Có",N4518="Có"),OR(DANH_MUC!$L$7&lt;&gt;"Có",O4518="Có"),OR(DANH_MUC!$L$8&lt;&gt;"Có",P4518="Có")),"Có","Không"))</f>
        <v/>
      </c>
      <c r="R4518" s="22">
        <f>IF($D4518="","",IF(COUNTIF($D$2:$D4518,$D4518)&gt;1,"Trùng",""))</f>
        <v/>
      </c>
      <c r="S4518" s="22">
        <f>IF($D4518="","",IF(AND(LEN($D4518)=10,LEFT($D4518,1)="0",ISNUMBER(--$D4518)),"Có","Không"))</f>
        <v/>
      </c>
      <c r="T4518" s="22">
        <f>IF($D4518="","",IF(AND($C4518&lt;&gt;"",$Q4518="Có",$R4518="",$S4518="Có",AND($L4518&lt;&gt;"",OR($L4518&lt;&gt;"Chưa xác định",DANH_MUC!$L$9="Có"))),"Có","Không"))</f>
        <v/>
      </c>
      <c r="U4518" s="22">
        <f>IF(OR($D4518="",$T4518="Có"),"",IF($C4518="","Thiếu họ tên; ","")&amp;IF($S4518&lt;&gt;"Có","SĐT sai định dạng; ","")&amp;IF($R4518="Trùng","Trùng SĐT; ","")&amp;IF($Q4518&lt;&gt;"Có","Thiếu đồng ý bắt buộc; ","")&amp;IF($L4518="","Thiếu/sai Mã REF; ",IF(AND($L4518="Chưa xác định",DANH_MUC!$L$9&lt;&gt;"Có"),"Nguồn chưa xác định; ","")))</f>
        <v/>
      </c>
      <c r="V4518" s="22">
        <f>IF(OR($D4518="",$R4518="Trùng"),"",IF(COUNTIF(ORDERS!$C$2:$C$4995,$D4518)&gt;0,"Có","Không"))</f>
        <v/>
      </c>
      <c r="W4518" s="22">
        <f>IF(OR($D4518="",$R4518="Trùng"),"",COUNTIFS(ORDERS!$C$2:$C$4995,$D4518,ORDERS!$L$2:$L$4995,"Đã chuyển khoản"))</f>
        <v/>
      </c>
      <c r="X4518" s="23">
        <f>IF(OR($D4518="",$R4518="Trùng"),"",SUMIFS(ORDERS!$J$2:$J$4995,ORDERS!$C$2:$C$4995,$D4518,ORDERS!$L$2:$L$4995,"Đã chuyển khoản"))</f>
        <v/>
      </c>
      <c r="Y4518" s="24" t="n"/>
    </row>
    <row r="4519" ht="14.25" customHeight="1" s="40">
      <c r="A4519" s="24" t="n"/>
      <c r="B4519" s="27" t="n"/>
      <c r="C4519" s="24" t="n"/>
      <c r="D4519" s="28" t="n"/>
      <c r="E4519" s="29" t="n"/>
      <c r="F4519" s="24" t="n"/>
      <c r="G4519" s="24" t="n"/>
      <c r="H4519" s="21">
        <f>IF(ISNUMBER($B4519),INT($B4519)-WEEKDAY($B4519,2)+1,"")</f>
        <v/>
      </c>
      <c r="I4519" s="24" t="n"/>
      <c r="J4519" s="22">
        <f t="array" ref="J4519">IF($D4519="","",IF($I4519="","(trống REF)",IFERROR(INDEX(MASTER_SOURCE!$B$2:$B$495,MATCH($I4519,MASTER_SOURCE!$A$2:$A$495,0)),"(REF không có trong MASTER_SOURCE)")))</f>
        <v/>
      </c>
      <c r="K4519" s="22">
        <f t="array" ref="K4519">IF($D4519="","",IFERROR(INDEX(MASTER_SOURCE!$C$2:$C$495,MATCH($I4519,MASTER_SOURCE!$A$2:$A$495,0)),""))</f>
        <v/>
      </c>
      <c r="L4519" s="22">
        <f t="array" ref="L4519">IF($D4519="","",IFERROR(INDEX(MASTER_SOURCE!$D$2:$D$495,MATCH($I4519,MASTER_SOURCE!$A$2:$A$495,0)),""))</f>
        <v/>
      </c>
      <c r="M4519" s="24" t="n"/>
      <c r="N4519" s="24" t="n"/>
      <c r="O4519" s="24" t="n"/>
      <c r="P4519" s="24" t="n"/>
      <c r="Q4519" s="22">
        <f>IF($D4519="","",IF(AND(OR(DANH_MUC!$L$5&lt;&gt;"Có",M4519="Có"),OR(DANH_MUC!$L$6&lt;&gt;"Có",N4519="Có"),OR(DANH_MUC!$L$7&lt;&gt;"Có",O4519="Có"),OR(DANH_MUC!$L$8&lt;&gt;"Có",P4519="Có")),"Có","Không"))</f>
        <v/>
      </c>
      <c r="R4519" s="22">
        <f>IF($D4519="","",IF(COUNTIF($D$2:$D4519,$D4519)&gt;1,"Trùng",""))</f>
        <v/>
      </c>
      <c r="S4519" s="22">
        <f>IF($D4519="","",IF(AND(LEN($D4519)=10,LEFT($D4519,1)="0",ISNUMBER(--$D4519)),"Có","Không"))</f>
        <v/>
      </c>
      <c r="T4519" s="22">
        <f>IF($D4519="","",IF(AND($C4519&lt;&gt;"",$Q4519="Có",$R4519="",$S4519="Có",AND($L4519&lt;&gt;"",OR($L4519&lt;&gt;"Chưa xác định",DANH_MUC!$L$9="Có"))),"Có","Không"))</f>
        <v/>
      </c>
      <c r="U4519" s="22">
        <f>IF(OR($D4519="",$T4519="Có"),"",IF($C4519="","Thiếu họ tên; ","")&amp;IF($S4519&lt;&gt;"Có","SĐT sai định dạng; ","")&amp;IF($R4519="Trùng","Trùng SĐT; ","")&amp;IF($Q4519&lt;&gt;"Có","Thiếu đồng ý bắt buộc; ","")&amp;IF($L4519="","Thiếu/sai Mã REF; ",IF(AND($L4519="Chưa xác định",DANH_MUC!$L$9&lt;&gt;"Có"),"Nguồn chưa xác định; ","")))</f>
        <v/>
      </c>
      <c r="V4519" s="22">
        <f>IF(OR($D4519="",$R4519="Trùng"),"",IF(COUNTIF(ORDERS!$C$2:$C$4995,$D4519)&gt;0,"Có","Không"))</f>
        <v/>
      </c>
      <c r="W4519" s="22">
        <f>IF(OR($D4519="",$R4519="Trùng"),"",COUNTIFS(ORDERS!$C$2:$C$4995,$D4519,ORDERS!$L$2:$L$4995,"Đã chuyển khoản"))</f>
        <v/>
      </c>
      <c r="X4519" s="23">
        <f>IF(OR($D4519="",$R4519="Trùng"),"",SUMIFS(ORDERS!$J$2:$J$4995,ORDERS!$C$2:$C$4995,$D4519,ORDERS!$L$2:$L$4995,"Đã chuyển khoản"))</f>
        <v/>
      </c>
      <c r="Y4519" s="24" t="n"/>
    </row>
    <row r="4520" ht="14.25" customHeight="1" s="40">
      <c r="A4520" s="24" t="n"/>
      <c r="B4520" s="27" t="n"/>
      <c r="C4520" s="24" t="n"/>
      <c r="D4520" s="28" t="n"/>
      <c r="E4520" s="29" t="n"/>
      <c r="F4520" s="24" t="n"/>
      <c r="G4520" s="24" t="n"/>
      <c r="H4520" s="21">
        <f>IF(ISNUMBER($B4520),INT($B4520)-WEEKDAY($B4520,2)+1,"")</f>
        <v/>
      </c>
      <c r="I4520" s="24" t="n"/>
      <c r="J4520" s="22">
        <f t="array" ref="J4520">IF($D4520="","",IF($I4520="","(trống REF)",IFERROR(INDEX(MASTER_SOURCE!$B$2:$B$495,MATCH($I4520,MASTER_SOURCE!$A$2:$A$495,0)),"(REF không có trong MASTER_SOURCE)")))</f>
        <v/>
      </c>
      <c r="K4520" s="22">
        <f t="array" ref="K4520">IF($D4520="","",IFERROR(INDEX(MASTER_SOURCE!$C$2:$C$495,MATCH($I4520,MASTER_SOURCE!$A$2:$A$495,0)),""))</f>
        <v/>
      </c>
      <c r="L4520" s="22">
        <f t="array" ref="L4520">IF($D4520="","",IFERROR(INDEX(MASTER_SOURCE!$D$2:$D$495,MATCH($I4520,MASTER_SOURCE!$A$2:$A$495,0)),""))</f>
        <v/>
      </c>
      <c r="M4520" s="24" t="n"/>
      <c r="N4520" s="24" t="n"/>
      <c r="O4520" s="24" t="n"/>
      <c r="P4520" s="24" t="n"/>
      <c r="Q4520" s="22">
        <f>IF($D4520="","",IF(AND(OR(DANH_MUC!$L$5&lt;&gt;"Có",M4520="Có"),OR(DANH_MUC!$L$6&lt;&gt;"Có",N4520="Có"),OR(DANH_MUC!$L$7&lt;&gt;"Có",O4520="Có"),OR(DANH_MUC!$L$8&lt;&gt;"Có",P4520="Có")),"Có","Không"))</f>
        <v/>
      </c>
      <c r="R4520" s="22">
        <f>IF($D4520="","",IF(COUNTIF($D$2:$D4520,$D4520)&gt;1,"Trùng",""))</f>
        <v/>
      </c>
      <c r="S4520" s="22">
        <f>IF($D4520="","",IF(AND(LEN($D4520)=10,LEFT($D4520,1)="0",ISNUMBER(--$D4520)),"Có","Không"))</f>
        <v/>
      </c>
      <c r="T4520" s="22">
        <f>IF($D4520="","",IF(AND($C4520&lt;&gt;"",$Q4520="Có",$R4520="",$S4520="Có",AND($L4520&lt;&gt;"",OR($L4520&lt;&gt;"Chưa xác định",DANH_MUC!$L$9="Có"))),"Có","Không"))</f>
        <v/>
      </c>
      <c r="U4520" s="22">
        <f>IF(OR($D4520="",$T4520="Có"),"",IF($C4520="","Thiếu họ tên; ","")&amp;IF($S4520&lt;&gt;"Có","SĐT sai định dạng; ","")&amp;IF($R4520="Trùng","Trùng SĐT; ","")&amp;IF($Q4520&lt;&gt;"Có","Thiếu đồng ý bắt buộc; ","")&amp;IF($L4520="","Thiếu/sai Mã REF; ",IF(AND($L4520="Chưa xác định",DANH_MUC!$L$9&lt;&gt;"Có"),"Nguồn chưa xác định; ","")))</f>
        <v/>
      </c>
      <c r="V4520" s="22">
        <f>IF(OR($D4520="",$R4520="Trùng"),"",IF(COUNTIF(ORDERS!$C$2:$C$4995,$D4520)&gt;0,"Có","Không"))</f>
        <v/>
      </c>
      <c r="W4520" s="22">
        <f>IF(OR($D4520="",$R4520="Trùng"),"",COUNTIFS(ORDERS!$C$2:$C$4995,$D4520,ORDERS!$L$2:$L$4995,"Đã chuyển khoản"))</f>
        <v/>
      </c>
      <c r="X4520" s="23">
        <f>IF(OR($D4520="",$R4520="Trùng"),"",SUMIFS(ORDERS!$J$2:$J$4995,ORDERS!$C$2:$C$4995,$D4520,ORDERS!$L$2:$L$4995,"Đã chuyển khoản"))</f>
        <v/>
      </c>
      <c r="Y4520" s="24" t="n"/>
    </row>
    <row r="4521" ht="14.25" customHeight="1" s="40">
      <c r="A4521" s="24" t="n"/>
      <c r="B4521" s="27" t="n"/>
      <c r="C4521" s="24" t="n"/>
      <c r="D4521" s="28" t="n"/>
      <c r="E4521" s="29" t="n"/>
      <c r="F4521" s="24" t="n"/>
      <c r="G4521" s="24" t="n"/>
      <c r="H4521" s="21">
        <f>IF(ISNUMBER($B4521),INT($B4521)-WEEKDAY($B4521,2)+1,"")</f>
        <v/>
      </c>
      <c r="I4521" s="24" t="n"/>
      <c r="J4521" s="22">
        <f t="array" ref="J4521">IF($D4521="","",IF($I4521="","(trống REF)",IFERROR(INDEX(MASTER_SOURCE!$B$2:$B$495,MATCH($I4521,MASTER_SOURCE!$A$2:$A$495,0)),"(REF không có trong MASTER_SOURCE)")))</f>
        <v/>
      </c>
      <c r="K4521" s="22">
        <f t="array" ref="K4521">IF($D4521="","",IFERROR(INDEX(MASTER_SOURCE!$C$2:$C$495,MATCH($I4521,MASTER_SOURCE!$A$2:$A$495,0)),""))</f>
        <v/>
      </c>
      <c r="L4521" s="22">
        <f t="array" ref="L4521">IF($D4521="","",IFERROR(INDEX(MASTER_SOURCE!$D$2:$D$495,MATCH($I4521,MASTER_SOURCE!$A$2:$A$495,0)),""))</f>
        <v/>
      </c>
      <c r="M4521" s="24" t="n"/>
      <c r="N4521" s="24" t="n"/>
      <c r="O4521" s="24" t="n"/>
      <c r="P4521" s="24" t="n"/>
      <c r="Q4521" s="22">
        <f>IF($D4521="","",IF(AND(OR(DANH_MUC!$L$5&lt;&gt;"Có",M4521="Có"),OR(DANH_MUC!$L$6&lt;&gt;"Có",N4521="Có"),OR(DANH_MUC!$L$7&lt;&gt;"Có",O4521="Có"),OR(DANH_MUC!$L$8&lt;&gt;"Có",P4521="Có")),"Có","Không"))</f>
        <v/>
      </c>
      <c r="R4521" s="22">
        <f>IF($D4521="","",IF(COUNTIF($D$2:$D4521,$D4521)&gt;1,"Trùng",""))</f>
        <v/>
      </c>
      <c r="S4521" s="22">
        <f>IF($D4521="","",IF(AND(LEN($D4521)=10,LEFT($D4521,1)="0",ISNUMBER(--$D4521)),"Có","Không"))</f>
        <v/>
      </c>
      <c r="T4521" s="22">
        <f>IF($D4521="","",IF(AND($C4521&lt;&gt;"",$Q4521="Có",$R4521="",$S4521="Có",AND($L4521&lt;&gt;"",OR($L4521&lt;&gt;"Chưa xác định",DANH_MUC!$L$9="Có"))),"Có","Không"))</f>
        <v/>
      </c>
      <c r="U4521" s="22">
        <f>IF(OR($D4521="",$T4521="Có"),"",IF($C4521="","Thiếu họ tên; ","")&amp;IF($S4521&lt;&gt;"Có","SĐT sai định dạng; ","")&amp;IF($R4521="Trùng","Trùng SĐT; ","")&amp;IF($Q4521&lt;&gt;"Có","Thiếu đồng ý bắt buộc; ","")&amp;IF($L4521="","Thiếu/sai Mã REF; ",IF(AND($L4521="Chưa xác định",DANH_MUC!$L$9&lt;&gt;"Có"),"Nguồn chưa xác định; ","")))</f>
        <v/>
      </c>
      <c r="V4521" s="22">
        <f>IF(OR($D4521="",$R4521="Trùng"),"",IF(COUNTIF(ORDERS!$C$2:$C$4995,$D4521)&gt;0,"Có","Không"))</f>
        <v/>
      </c>
      <c r="W4521" s="22">
        <f>IF(OR($D4521="",$R4521="Trùng"),"",COUNTIFS(ORDERS!$C$2:$C$4995,$D4521,ORDERS!$L$2:$L$4995,"Đã chuyển khoản"))</f>
        <v/>
      </c>
      <c r="X4521" s="23">
        <f>IF(OR($D4521="",$R4521="Trùng"),"",SUMIFS(ORDERS!$J$2:$J$4995,ORDERS!$C$2:$C$4995,$D4521,ORDERS!$L$2:$L$4995,"Đã chuyển khoản"))</f>
        <v/>
      </c>
      <c r="Y4521" s="24" t="n"/>
    </row>
    <row r="4522" ht="14.25" customHeight="1" s="40">
      <c r="A4522" s="24" t="n"/>
      <c r="B4522" s="27" t="n"/>
      <c r="C4522" s="24" t="n"/>
      <c r="D4522" s="28" t="n"/>
      <c r="E4522" s="29" t="n"/>
      <c r="F4522" s="24" t="n"/>
      <c r="G4522" s="24" t="n"/>
      <c r="H4522" s="21">
        <f>IF(ISNUMBER($B4522),INT($B4522)-WEEKDAY($B4522,2)+1,"")</f>
        <v/>
      </c>
      <c r="I4522" s="24" t="n"/>
      <c r="J4522" s="22">
        <f t="array" ref="J4522">IF($D4522="","",IF($I4522="","(trống REF)",IFERROR(INDEX(MASTER_SOURCE!$B$2:$B$495,MATCH($I4522,MASTER_SOURCE!$A$2:$A$495,0)),"(REF không có trong MASTER_SOURCE)")))</f>
        <v/>
      </c>
      <c r="K4522" s="22">
        <f t="array" ref="K4522">IF($D4522="","",IFERROR(INDEX(MASTER_SOURCE!$C$2:$C$495,MATCH($I4522,MASTER_SOURCE!$A$2:$A$495,0)),""))</f>
        <v/>
      </c>
      <c r="L4522" s="22">
        <f t="array" ref="L4522">IF($D4522="","",IFERROR(INDEX(MASTER_SOURCE!$D$2:$D$495,MATCH($I4522,MASTER_SOURCE!$A$2:$A$495,0)),""))</f>
        <v/>
      </c>
      <c r="M4522" s="24" t="n"/>
      <c r="N4522" s="24" t="n"/>
      <c r="O4522" s="24" t="n"/>
      <c r="P4522" s="24" t="n"/>
      <c r="Q4522" s="22">
        <f>IF($D4522="","",IF(AND(OR(DANH_MUC!$L$5&lt;&gt;"Có",M4522="Có"),OR(DANH_MUC!$L$6&lt;&gt;"Có",N4522="Có"),OR(DANH_MUC!$L$7&lt;&gt;"Có",O4522="Có"),OR(DANH_MUC!$L$8&lt;&gt;"Có",P4522="Có")),"Có","Không"))</f>
        <v/>
      </c>
      <c r="R4522" s="22">
        <f>IF($D4522="","",IF(COUNTIF($D$2:$D4522,$D4522)&gt;1,"Trùng",""))</f>
        <v/>
      </c>
      <c r="S4522" s="22">
        <f>IF($D4522="","",IF(AND(LEN($D4522)=10,LEFT($D4522,1)="0",ISNUMBER(--$D4522)),"Có","Không"))</f>
        <v/>
      </c>
      <c r="T4522" s="22">
        <f>IF($D4522="","",IF(AND($C4522&lt;&gt;"",$Q4522="Có",$R4522="",$S4522="Có",AND($L4522&lt;&gt;"",OR($L4522&lt;&gt;"Chưa xác định",DANH_MUC!$L$9="Có"))),"Có","Không"))</f>
        <v/>
      </c>
      <c r="U4522" s="22">
        <f>IF(OR($D4522="",$T4522="Có"),"",IF($C4522="","Thiếu họ tên; ","")&amp;IF($S4522&lt;&gt;"Có","SĐT sai định dạng; ","")&amp;IF($R4522="Trùng","Trùng SĐT; ","")&amp;IF($Q4522&lt;&gt;"Có","Thiếu đồng ý bắt buộc; ","")&amp;IF($L4522="","Thiếu/sai Mã REF; ",IF(AND($L4522="Chưa xác định",DANH_MUC!$L$9&lt;&gt;"Có"),"Nguồn chưa xác định; ","")))</f>
        <v/>
      </c>
      <c r="V4522" s="22">
        <f>IF(OR($D4522="",$R4522="Trùng"),"",IF(COUNTIF(ORDERS!$C$2:$C$4995,$D4522)&gt;0,"Có","Không"))</f>
        <v/>
      </c>
      <c r="W4522" s="22">
        <f>IF(OR($D4522="",$R4522="Trùng"),"",COUNTIFS(ORDERS!$C$2:$C$4995,$D4522,ORDERS!$L$2:$L$4995,"Đã chuyển khoản"))</f>
        <v/>
      </c>
      <c r="X4522" s="23">
        <f>IF(OR($D4522="",$R4522="Trùng"),"",SUMIFS(ORDERS!$J$2:$J$4995,ORDERS!$C$2:$C$4995,$D4522,ORDERS!$L$2:$L$4995,"Đã chuyển khoản"))</f>
        <v/>
      </c>
      <c r="Y4522" s="24" t="n"/>
    </row>
    <row r="4523" ht="14.25" customHeight="1" s="40">
      <c r="A4523" s="24" t="n"/>
      <c r="B4523" s="27" t="n"/>
      <c r="C4523" s="24" t="n"/>
      <c r="D4523" s="28" t="n"/>
      <c r="E4523" s="29" t="n"/>
      <c r="F4523" s="24" t="n"/>
      <c r="G4523" s="24" t="n"/>
      <c r="H4523" s="21">
        <f>IF(ISNUMBER($B4523),INT($B4523)-WEEKDAY($B4523,2)+1,"")</f>
        <v/>
      </c>
      <c r="I4523" s="24" t="n"/>
      <c r="J4523" s="22">
        <f t="array" ref="J4523">IF($D4523="","",IF($I4523="","(trống REF)",IFERROR(INDEX(MASTER_SOURCE!$B$2:$B$495,MATCH($I4523,MASTER_SOURCE!$A$2:$A$495,0)),"(REF không có trong MASTER_SOURCE)")))</f>
        <v/>
      </c>
      <c r="K4523" s="22">
        <f t="array" ref="K4523">IF($D4523="","",IFERROR(INDEX(MASTER_SOURCE!$C$2:$C$495,MATCH($I4523,MASTER_SOURCE!$A$2:$A$495,0)),""))</f>
        <v/>
      </c>
      <c r="L4523" s="22">
        <f t="array" ref="L4523">IF($D4523="","",IFERROR(INDEX(MASTER_SOURCE!$D$2:$D$495,MATCH($I4523,MASTER_SOURCE!$A$2:$A$495,0)),""))</f>
        <v/>
      </c>
      <c r="M4523" s="24" t="n"/>
      <c r="N4523" s="24" t="n"/>
      <c r="O4523" s="24" t="n"/>
      <c r="P4523" s="24" t="n"/>
      <c r="Q4523" s="22">
        <f>IF($D4523="","",IF(AND(OR(DANH_MUC!$L$5&lt;&gt;"Có",M4523="Có"),OR(DANH_MUC!$L$6&lt;&gt;"Có",N4523="Có"),OR(DANH_MUC!$L$7&lt;&gt;"Có",O4523="Có"),OR(DANH_MUC!$L$8&lt;&gt;"Có",P4523="Có")),"Có","Không"))</f>
        <v/>
      </c>
      <c r="R4523" s="22">
        <f>IF($D4523="","",IF(COUNTIF($D$2:$D4523,$D4523)&gt;1,"Trùng",""))</f>
        <v/>
      </c>
      <c r="S4523" s="22">
        <f>IF($D4523="","",IF(AND(LEN($D4523)=10,LEFT($D4523,1)="0",ISNUMBER(--$D4523)),"Có","Không"))</f>
        <v/>
      </c>
      <c r="T4523" s="22">
        <f>IF($D4523="","",IF(AND($C4523&lt;&gt;"",$Q4523="Có",$R4523="",$S4523="Có",AND($L4523&lt;&gt;"",OR($L4523&lt;&gt;"Chưa xác định",DANH_MUC!$L$9="Có"))),"Có","Không"))</f>
        <v/>
      </c>
      <c r="U4523" s="22">
        <f>IF(OR($D4523="",$T4523="Có"),"",IF($C4523="","Thiếu họ tên; ","")&amp;IF($S4523&lt;&gt;"Có","SĐT sai định dạng; ","")&amp;IF($R4523="Trùng","Trùng SĐT; ","")&amp;IF($Q4523&lt;&gt;"Có","Thiếu đồng ý bắt buộc; ","")&amp;IF($L4523="","Thiếu/sai Mã REF; ",IF(AND($L4523="Chưa xác định",DANH_MUC!$L$9&lt;&gt;"Có"),"Nguồn chưa xác định; ","")))</f>
        <v/>
      </c>
      <c r="V4523" s="22">
        <f>IF(OR($D4523="",$R4523="Trùng"),"",IF(COUNTIF(ORDERS!$C$2:$C$4995,$D4523)&gt;0,"Có","Không"))</f>
        <v/>
      </c>
      <c r="W4523" s="22">
        <f>IF(OR($D4523="",$R4523="Trùng"),"",COUNTIFS(ORDERS!$C$2:$C$4995,$D4523,ORDERS!$L$2:$L$4995,"Đã chuyển khoản"))</f>
        <v/>
      </c>
      <c r="X4523" s="23">
        <f>IF(OR($D4523="",$R4523="Trùng"),"",SUMIFS(ORDERS!$J$2:$J$4995,ORDERS!$C$2:$C$4995,$D4523,ORDERS!$L$2:$L$4995,"Đã chuyển khoản"))</f>
        <v/>
      </c>
      <c r="Y4523" s="24" t="n"/>
    </row>
    <row r="4524" ht="14.25" customHeight="1" s="40">
      <c r="A4524" s="24" t="n"/>
      <c r="B4524" s="27" t="n"/>
      <c r="C4524" s="24" t="n"/>
      <c r="D4524" s="28" t="n"/>
      <c r="E4524" s="29" t="n"/>
      <c r="F4524" s="24" t="n"/>
      <c r="G4524" s="24" t="n"/>
      <c r="H4524" s="21">
        <f>IF(ISNUMBER($B4524),INT($B4524)-WEEKDAY($B4524,2)+1,"")</f>
        <v/>
      </c>
      <c r="I4524" s="24" t="n"/>
      <c r="J4524" s="22">
        <f t="array" ref="J4524">IF($D4524="","",IF($I4524="","(trống REF)",IFERROR(INDEX(MASTER_SOURCE!$B$2:$B$495,MATCH($I4524,MASTER_SOURCE!$A$2:$A$495,0)),"(REF không có trong MASTER_SOURCE)")))</f>
        <v/>
      </c>
      <c r="K4524" s="22">
        <f t="array" ref="K4524">IF($D4524="","",IFERROR(INDEX(MASTER_SOURCE!$C$2:$C$495,MATCH($I4524,MASTER_SOURCE!$A$2:$A$495,0)),""))</f>
        <v/>
      </c>
      <c r="L4524" s="22">
        <f t="array" ref="L4524">IF($D4524="","",IFERROR(INDEX(MASTER_SOURCE!$D$2:$D$495,MATCH($I4524,MASTER_SOURCE!$A$2:$A$495,0)),""))</f>
        <v/>
      </c>
      <c r="M4524" s="24" t="n"/>
      <c r="N4524" s="24" t="n"/>
      <c r="O4524" s="24" t="n"/>
      <c r="P4524" s="24" t="n"/>
      <c r="Q4524" s="22">
        <f>IF($D4524="","",IF(AND(OR(DANH_MUC!$L$5&lt;&gt;"Có",M4524="Có"),OR(DANH_MUC!$L$6&lt;&gt;"Có",N4524="Có"),OR(DANH_MUC!$L$7&lt;&gt;"Có",O4524="Có"),OR(DANH_MUC!$L$8&lt;&gt;"Có",P4524="Có")),"Có","Không"))</f>
        <v/>
      </c>
      <c r="R4524" s="22">
        <f>IF($D4524="","",IF(COUNTIF($D$2:$D4524,$D4524)&gt;1,"Trùng",""))</f>
        <v/>
      </c>
      <c r="S4524" s="22">
        <f>IF($D4524="","",IF(AND(LEN($D4524)=10,LEFT($D4524,1)="0",ISNUMBER(--$D4524)),"Có","Không"))</f>
        <v/>
      </c>
      <c r="T4524" s="22">
        <f>IF($D4524="","",IF(AND($C4524&lt;&gt;"",$Q4524="Có",$R4524="",$S4524="Có",AND($L4524&lt;&gt;"",OR($L4524&lt;&gt;"Chưa xác định",DANH_MUC!$L$9="Có"))),"Có","Không"))</f>
        <v/>
      </c>
      <c r="U4524" s="22">
        <f>IF(OR($D4524="",$T4524="Có"),"",IF($C4524="","Thiếu họ tên; ","")&amp;IF($S4524&lt;&gt;"Có","SĐT sai định dạng; ","")&amp;IF($R4524="Trùng","Trùng SĐT; ","")&amp;IF($Q4524&lt;&gt;"Có","Thiếu đồng ý bắt buộc; ","")&amp;IF($L4524="","Thiếu/sai Mã REF; ",IF(AND($L4524="Chưa xác định",DANH_MUC!$L$9&lt;&gt;"Có"),"Nguồn chưa xác định; ","")))</f>
        <v/>
      </c>
      <c r="V4524" s="22">
        <f>IF(OR($D4524="",$R4524="Trùng"),"",IF(COUNTIF(ORDERS!$C$2:$C$4995,$D4524)&gt;0,"Có","Không"))</f>
        <v/>
      </c>
      <c r="W4524" s="22">
        <f>IF(OR($D4524="",$R4524="Trùng"),"",COUNTIFS(ORDERS!$C$2:$C$4995,$D4524,ORDERS!$L$2:$L$4995,"Đã chuyển khoản"))</f>
        <v/>
      </c>
      <c r="X4524" s="23">
        <f>IF(OR($D4524="",$R4524="Trùng"),"",SUMIFS(ORDERS!$J$2:$J$4995,ORDERS!$C$2:$C$4995,$D4524,ORDERS!$L$2:$L$4995,"Đã chuyển khoản"))</f>
        <v/>
      </c>
      <c r="Y4524" s="24" t="n"/>
    </row>
    <row r="4525" ht="14.25" customHeight="1" s="40">
      <c r="A4525" s="24" t="n"/>
      <c r="B4525" s="27" t="n"/>
      <c r="C4525" s="24" t="n"/>
      <c r="D4525" s="28" t="n"/>
      <c r="E4525" s="29" t="n"/>
      <c r="F4525" s="24" t="n"/>
      <c r="G4525" s="24" t="n"/>
      <c r="H4525" s="21">
        <f>IF(ISNUMBER($B4525),INT($B4525)-WEEKDAY($B4525,2)+1,"")</f>
        <v/>
      </c>
      <c r="I4525" s="24" t="n"/>
      <c r="J4525" s="22">
        <f t="array" ref="J4525">IF($D4525="","",IF($I4525="","(trống REF)",IFERROR(INDEX(MASTER_SOURCE!$B$2:$B$495,MATCH($I4525,MASTER_SOURCE!$A$2:$A$495,0)),"(REF không có trong MASTER_SOURCE)")))</f>
        <v/>
      </c>
      <c r="K4525" s="22">
        <f t="array" ref="K4525">IF($D4525="","",IFERROR(INDEX(MASTER_SOURCE!$C$2:$C$495,MATCH($I4525,MASTER_SOURCE!$A$2:$A$495,0)),""))</f>
        <v/>
      </c>
      <c r="L4525" s="22">
        <f t="array" ref="L4525">IF($D4525="","",IFERROR(INDEX(MASTER_SOURCE!$D$2:$D$495,MATCH($I4525,MASTER_SOURCE!$A$2:$A$495,0)),""))</f>
        <v/>
      </c>
      <c r="M4525" s="24" t="n"/>
      <c r="N4525" s="24" t="n"/>
      <c r="O4525" s="24" t="n"/>
      <c r="P4525" s="24" t="n"/>
      <c r="Q4525" s="22">
        <f>IF($D4525="","",IF(AND(OR(DANH_MUC!$L$5&lt;&gt;"Có",M4525="Có"),OR(DANH_MUC!$L$6&lt;&gt;"Có",N4525="Có"),OR(DANH_MUC!$L$7&lt;&gt;"Có",O4525="Có"),OR(DANH_MUC!$L$8&lt;&gt;"Có",P4525="Có")),"Có","Không"))</f>
        <v/>
      </c>
      <c r="R4525" s="22">
        <f>IF($D4525="","",IF(COUNTIF($D$2:$D4525,$D4525)&gt;1,"Trùng",""))</f>
        <v/>
      </c>
      <c r="S4525" s="22">
        <f>IF($D4525="","",IF(AND(LEN($D4525)=10,LEFT($D4525,1)="0",ISNUMBER(--$D4525)),"Có","Không"))</f>
        <v/>
      </c>
      <c r="T4525" s="22">
        <f>IF($D4525="","",IF(AND($C4525&lt;&gt;"",$Q4525="Có",$R4525="",$S4525="Có",AND($L4525&lt;&gt;"",OR($L4525&lt;&gt;"Chưa xác định",DANH_MUC!$L$9="Có"))),"Có","Không"))</f>
        <v/>
      </c>
      <c r="U4525" s="22">
        <f>IF(OR($D4525="",$T4525="Có"),"",IF($C4525="","Thiếu họ tên; ","")&amp;IF($S4525&lt;&gt;"Có","SĐT sai định dạng; ","")&amp;IF($R4525="Trùng","Trùng SĐT; ","")&amp;IF($Q4525&lt;&gt;"Có","Thiếu đồng ý bắt buộc; ","")&amp;IF($L4525="","Thiếu/sai Mã REF; ",IF(AND($L4525="Chưa xác định",DANH_MUC!$L$9&lt;&gt;"Có"),"Nguồn chưa xác định; ","")))</f>
        <v/>
      </c>
      <c r="V4525" s="22">
        <f>IF(OR($D4525="",$R4525="Trùng"),"",IF(COUNTIF(ORDERS!$C$2:$C$4995,$D4525)&gt;0,"Có","Không"))</f>
        <v/>
      </c>
      <c r="W4525" s="22">
        <f>IF(OR($D4525="",$R4525="Trùng"),"",COUNTIFS(ORDERS!$C$2:$C$4995,$D4525,ORDERS!$L$2:$L$4995,"Đã chuyển khoản"))</f>
        <v/>
      </c>
      <c r="X4525" s="23">
        <f>IF(OR($D4525="",$R4525="Trùng"),"",SUMIFS(ORDERS!$J$2:$J$4995,ORDERS!$C$2:$C$4995,$D4525,ORDERS!$L$2:$L$4995,"Đã chuyển khoản"))</f>
        <v/>
      </c>
      <c r="Y4525" s="24" t="n"/>
    </row>
    <row r="4526" ht="14.25" customHeight="1" s="40">
      <c r="A4526" s="24" t="n"/>
      <c r="B4526" s="27" t="n"/>
      <c r="C4526" s="24" t="n"/>
      <c r="D4526" s="28" t="n"/>
      <c r="E4526" s="29" t="n"/>
      <c r="F4526" s="24" t="n"/>
      <c r="G4526" s="24" t="n"/>
      <c r="H4526" s="21">
        <f>IF(ISNUMBER($B4526),INT($B4526)-WEEKDAY($B4526,2)+1,"")</f>
        <v/>
      </c>
      <c r="I4526" s="24" t="n"/>
      <c r="J4526" s="22">
        <f t="array" ref="J4526">IF($D4526="","",IF($I4526="","(trống REF)",IFERROR(INDEX(MASTER_SOURCE!$B$2:$B$495,MATCH($I4526,MASTER_SOURCE!$A$2:$A$495,0)),"(REF không có trong MASTER_SOURCE)")))</f>
        <v/>
      </c>
      <c r="K4526" s="22">
        <f t="array" ref="K4526">IF($D4526="","",IFERROR(INDEX(MASTER_SOURCE!$C$2:$C$495,MATCH($I4526,MASTER_SOURCE!$A$2:$A$495,0)),""))</f>
        <v/>
      </c>
      <c r="L4526" s="22">
        <f t="array" ref="L4526">IF($D4526="","",IFERROR(INDEX(MASTER_SOURCE!$D$2:$D$495,MATCH($I4526,MASTER_SOURCE!$A$2:$A$495,0)),""))</f>
        <v/>
      </c>
      <c r="M4526" s="24" t="n"/>
      <c r="N4526" s="24" t="n"/>
      <c r="O4526" s="24" t="n"/>
      <c r="P4526" s="24" t="n"/>
      <c r="Q4526" s="22">
        <f>IF($D4526="","",IF(AND(OR(DANH_MUC!$L$5&lt;&gt;"Có",M4526="Có"),OR(DANH_MUC!$L$6&lt;&gt;"Có",N4526="Có"),OR(DANH_MUC!$L$7&lt;&gt;"Có",O4526="Có"),OR(DANH_MUC!$L$8&lt;&gt;"Có",P4526="Có")),"Có","Không"))</f>
        <v/>
      </c>
      <c r="R4526" s="22">
        <f>IF($D4526="","",IF(COUNTIF($D$2:$D4526,$D4526)&gt;1,"Trùng",""))</f>
        <v/>
      </c>
      <c r="S4526" s="22">
        <f>IF($D4526="","",IF(AND(LEN($D4526)=10,LEFT($D4526,1)="0",ISNUMBER(--$D4526)),"Có","Không"))</f>
        <v/>
      </c>
      <c r="T4526" s="22">
        <f>IF($D4526="","",IF(AND($C4526&lt;&gt;"",$Q4526="Có",$R4526="",$S4526="Có",AND($L4526&lt;&gt;"",OR($L4526&lt;&gt;"Chưa xác định",DANH_MUC!$L$9="Có"))),"Có","Không"))</f>
        <v/>
      </c>
      <c r="U4526" s="22">
        <f>IF(OR($D4526="",$T4526="Có"),"",IF($C4526="","Thiếu họ tên; ","")&amp;IF($S4526&lt;&gt;"Có","SĐT sai định dạng; ","")&amp;IF($R4526="Trùng","Trùng SĐT; ","")&amp;IF($Q4526&lt;&gt;"Có","Thiếu đồng ý bắt buộc; ","")&amp;IF($L4526="","Thiếu/sai Mã REF; ",IF(AND($L4526="Chưa xác định",DANH_MUC!$L$9&lt;&gt;"Có"),"Nguồn chưa xác định; ","")))</f>
        <v/>
      </c>
      <c r="V4526" s="22">
        <f>IF(OR($D4526="",$R4526="Trùng"),"",IF(COUNTIF(ORDERS!$C$2:$C$4995,$D4526)&gt;0,"Có","Không"))</f>
        <v/>
      </c>
      <c r="W4526" s="22">
        <f>IF(OR($D4526="",$R4526="Trùng"),"",COUNTIFS(ORDERS!$C$2:$C$4995,$D4526,ORDERS!$L$2:$L$4995,"Đã chuyển khoản"))</f>
        <v/>
      </c>
      <c r="X4526" s="23">
        <f>IF(OR($D4526="",$R4526="Trùng"),"",SUMIFS(ORDERS!$J$2:$J$4995,ORDERS!$C$2:$C$4995,$D4526,ORDERS!$L$2:$L$4995,"Đã chuyển khoản"))</f>
        <v/>
      </c>
      <c r="Y4526" s="24" t="n"/>
    </row>
    <row r="4527" ht="14.25" customHeight="1" s="40">
      <c r="A4527" s="24" t="n"/>
      <c r="B4527" s="27" t="n"/>
      <c r="C4527" s="24" t="n"/>
      <c r="D4527" s="28" t="n"/>
      <c r="E4527" s="29" t="n"/>
      <c r="F4527" s="24" t="n"/>
      <c r="G4527" s="24" t="n"/>
      <c r="H4527" s="21">
        <f>IF(ISNUMBER($B4527),INT($B4527)-WEEKDAY($B4527,2)+1,"")</f>
        <v/>
      </c>
      <c r="I4527" s="24" t="n"/>
      <c r="J4527" s="22">
        <f t="array" ref="J4527">IF($D4527="","",IF($I4527="","(trống REF)",IFERROR(INDEX(MASTER_SOURCE!$B$2:$B$495,MATCH($I4527,MASTER_SOURCE!$A$2:$A$495,0)),"(REF không có trong MASTER_SOURCE)")))</f>
        <v/>
      </c>
      <c r="K4527" s="22">
        <f t="array" ref="K4527">IF($D4527="","",IFERROR(INDEX(MASTER_SOURCE!$C$2:$C$495,MATCH($I4527,MASTER_SOURCE!$A$2:$A$495,0)),""))</f>
        <v/>
      </c>
      <c r="L4527" s="22">
        <f t="array" ref="L4527">IF($D4527="","",IFERROR(INDEX(MASTER_SOURCE!$D$2:$D$495,MATCH($I4527,MASTER_SOURCE!$A$2:$A$495,0)),""))</f>
        <v/>
      </c>
      <c r="M4527" s="24" t="n"/>
      <c r="N4527" s="24" t="n"/>
      <c r="O4527" s="24" t="n"/>
      <c r="P4527" s="24" t="n"/>
      <c r="Q4527" s="22">
        <f>IF($D4527="","",IF(AND(OR(DANH_MUC!$L$5&lt;&gt;"Có",M4527="Có"),OR(DANH_MUC!$L$6&lt;&gt;"Có",N4527="Có"),OR(DANH_MUC!$L$7&lt;&gt;"Có",O4527="Có"),OR(DANH_MUC!$L$8&lt;&gt;"Có",P4527="Có")),"Có","Không"))</f>
        <v/>
      </c>
      <c r="R4527" s="22">
        <f>IF($D4527="","",IF(COUNTIF($D$2:$D4527,$D4527)&gt;1,"Trùng",""))</f>
        <v/>
      </c>
      <c r="S4527" s="22">
        <f>IF($D4527="","",IF(AND(LEN($D4527)=10,LEFT($D4527,1)="0",ISNUMBER(--$D4527)),"Có","Không"))</f>
        <v/>
      </c>
      <c r="T4527" s="22">
        <f>IF($D4527="","",IF(AND($C4527&lt;&gt;"",$Q4527="Có",$R4527="",$S4527="Có",AND($L4527&lt;&gt;"",OR($L4527&lt;&gt;"Chưa xác định",DANH_MUC!$L$9="Có"))),"Có","Không"))</f>
        <v/>
      </c>
      <c r="U4527" s="22">
        <f>IF(OR($D4527="",$T4527="Có"),"",IF($C4527="","Thiếu họ tên; ","")&amp;IF($S4527&lt;&gt;"Có","SĐT sai định dạng; ","")&amp;IF($R4527="Trùng","Trùng SĐT; ","")&amp;IF($Q4527&lt;&gt;"Có","Thiếu đồng ý bắt buộc; ","")&amp;IF($L4527="","Thiếu/sai Mã REF; ",IF(AND($L4527="Chưa xác định",DANH_MUC!$L$9&lt;&gt;"Có"),"Nguồn chưa xác định; ","")))</f>
        <v/>
      </c>
      <c r="V4527" s="22">
        <f>IF(OR($D4527="",$R4527="Trùng"),"",IF(COUNTIF(ORDERS!$C$2:$C$4995,$D4527)&gt;0,"Có","Không"))</f>
        <v/>
      </c>
      <c r="W4527" s="22">
        <f>IF(OR($D4527="",$R4527="Trùng"),"",COUNTIFS(ORDERS!$C$2:$C$4995,$D4527,ORDERS!$L$2:$L$4995,"Đã chuyển khoản"))</f>
        <v/>
      </c>
      <c r="X4527" s="23">
        <f>IF(OR($D4527="",$R4527="Trùng"),"",SUMIFS(ORDERS!$J$2:$J$4995,ORDERS!$C$2:$C$4995,$D4527,ORDERS!$L$2:$L$4995,"Đã chuyển khoản"))</f>
        <v/>
      </c>
      <c r="Y4527" s="24" t="n"/>
    </row>
    <row r="4528" ht="14.25" customHeight="1" s="40">
      <c r="A4528" s="24" t="n"/>
      <c r="B4528" s="27" t="n"/>
      <c r="C4528" s="24" t="n"/>
      <c r="D4528" s="28" t="n"/>
      <c r="E4528" s="29" t="n"/>
      <c r="F4528" s="24" t="n"/>
      <c r="G4528" s="24" t="n"/>
      <c r="H4528" s="21">
        <f>IF(ISNUMBER($B4528),INT($B4528)-WEEKDAY($B4528,2)+1,"")</f>
        <v/>
      </c>
      <c r="I4528" s="24" t="n"/>
      <c r="J4528" s="22">
        <f t="array" ref="J4528">IF($D4528="","",IF($I4528="","(trống REF)",IFERROR(INDEX(MASTER_SOURCE!$B$2:$B$495,MATCH($I4528,MASTER_SOURCE!$A$2:$A$495,0)),"(REF không có trong MASTER_SOURCE)")))</f>
        <v/>
      </c>
      <c r="K4528" s="22">
        <f t="array" ref="K4528">IF($D4528="","",IFERROR(INDEX(MASTER_SOURCE!$C$2:$C$495,MATCH($I4528,MASTER_SOURCE!$A$2:$A$495,0)),""))</f>
        <v/>
      </c>
      <c r="L4528" s="22">
        <f t="array" ref="L4528">IF($D4528="","",IFERROR(INDEX(MASTER_SOURCE!$D$2:$D$495,MATCH($I4528,MASTER_SOURCE!$A$2:$A$495,0)),""))</f>
        <v/>
      </c>
      <c r="M4528" s="24" t="n"/>
      <c r="N4528" s="24" t="n"/>
      <c r="O4528" s="24" t="n"/>
      <c r="P4528" s="24" t="n"/>
      <c r="Q4528" s="22">
        <f>IF($D4528="","",IF(AND(OR(DANH_MUC!$L$5&lt;&gt;"Có",M4528="Có"),OR(DANH_MUC!$L$6&lt;&gt;"Có",N4528="Có"),OR(DANH_MUC!$L$7&lt;&gt;"Có",O4528="Có"),OR(DANH_MUC!$L$8&lt;&gt;"Có",P4528="Có")),"Có","Không"))</f>
        <v/>
      </c>
      <c r="R4528" s="22">
        <f>IF($D4528="","",IF(COUNTIF($D$2:$D4528,$D4528)&gt;1,"Trùng",""))</f>
        <v/>
      </c>
      <c r="S4528" s="22">
        <f>IF($D4528="","",IF(AND(LEN($D4528)=10,LEFT($D4528,1)="0",ISNUMBER(--$D4528)),"Có","Không"))</f>
        <v/>
      </c>
      <c r="T4528" s="22">
        <f>IF($D4528="","",IF(AND($C4528&lt;&gt;"",$Q4528="Có",$R4528="",$S4528="Có",AND($L4528&lt;&gt;"",OR($L4528&lt;&gt;"Chưa xác định",DANH_MUC!$L$9="Có"))),"Có","Không"))</f>
        <v/>
      </c>
      <c r="U4528" s="22">
        <f>IF(OR($D4528="",$T4528="Có"),"",IF($C4528="","Thiếu họ tên; ","")&amp;IF($S4528&lt;&gt;"Có","SĐT sai định dạng; ","")&amp;IF($R4528="Trùng","Trùng SĐT; ","")&amp;IF($Q4528&lt;&gt;"Có","Thiếu đồng ý bắt buộc; ","")&amp;IF($L4528="","Thiếu/sai Mã REF; ",IF(AND($L4528="Chưa xác định",DANH_MUC!$L$9&lt;&gt;"Có"),"Nguồn chưa xác định; ","")))</f>
        <v/>
      </c>
      <c r="V4528" s="22">
        <f>IF(OR($D4528="",$R4528="Trùng"),"",IF(COUNTIF(ORDERS!$C$2:$C$4995,$D4528)&gt;0,"Có","Không"))</f>
        <v/>
      </c>
      <c r="W4528" s="22">
        <f>IF(OR($D4528="",$R4528="Trùng"),"",COUNTIFS(ORDERS!$C$2:$C$4995,$D4528,ORDERS!$L$2:$L$4995,"Đã chuyển khoản"))</f>
        <v/>
      </c>
      <c r="X4528" s="23">
        <f>IF(OR($D4528="",$R4528="Trùng"),"",SUMIFS(ORDERS!$J$2:$J$4995,ORDERS!$C$2:$C$4995,$D4528,ORDERS!$L$2:$L$4995,"Đã chuyển khoản"))</f>
        <v/>
      </c>
      <c r="Y4528" s="24" t="n"/>
    </row>
    <row r="4529" ht="14.25" customHeight="1" s="40">
      <c r="A4529" s="24" t="n"/>
      <c r="B4529" s="27" t="n"/>
      <c r="C4529" s="24" t="n"/>
      <c r="D4529" s="28" t="n"/>
      <c r="E4529" s="29" t="n"/>
      <c r="F4529" s="24" t="n"/>
      <c r="G4529" s="24" t="n"/>
      <c r="H4529" s="21">
        <f>IF(ISNUMBER($B4529),INT($B4529)-WEEKDAY($B4529,2)+1,"")</f>
        <v/>
      </c>
      <c r="I4529" s="24" t="n"/>
      <c r="J4529" s="22">
        <f t="array" ref="J4529">IF($D4529="","",IF($I4529="","(trống REF)",IFERROR(INDEX(MASTER_SOURCE!$B$2:$B$495,MATCH($I4529,MASTER_SOURCE!$A$2:$A$495,0)),"(REF không có trong MASTER_SOURCE)")))</f>
        <v/>
      </c>
      <c r="K4529" s="22">
        <f t="array" ref="K4529">IF($D4529="","",IFERROR(INDEX(MASTER_SOURCE!$C$2:$C$495,MATCH($I4529,MASTER_SOURCE!$A$2:$A$495,0)),""))</f>
        <v/>
      </c>
      <c r="L4529" s="22">
        <f t="array" ref="L4529">IF($D4529="","",IFERROR(INDEX(MASTER_SOURCE!$D$2:$D$495,MATCH($I4529,MASTER_SOURCE!$A$2:$A$495,0)),""))</f>
        <v/>
      </c>
      <c r="M4529" s="24" t="n"/>
      <c r="N4529" s="24" t="n"/>
      <c r="O4529" s="24" t="n"/>
      <c r="P4529" s="24" t="n"/>
      <c r="Q4529" s="22">
        <f>IF($D4529="","",IF(AND(OR(DANH_MUC!$L$5&lt;&gt;"Có",M4529="Có"),OR(DANH_MUC!$L$6&lt;&gt;"Có",N4529="Có"),OR(DANH_MUC!$L$7&lt;&gt;"Có",O4529="Có"),OR(DANH_MUC!$L$8&lt;&gt;"Có",P4529="Có")),"Có","Không"))</f>
        <v/>
      </c>
      <c r="R4529" s="22">
        <f>IF($D4529="","",IF(COUNTIF($D$2:$D4529,$D4529)&gt;1,"Trùng",""))</f>
        <v/>
      </c>
      <c r="S4529" s="22">
        <f>IF($D4529="","",IF(AND(LEN($D4529)=10,LEFT($D4529,1)="0",ISNUMBER(--$D4529)),"Có","Không"))</f>
        <v/>
      </c>
      <c r="T4529" s="22">
        <f>IF($D4529="","",IF(AND($C4529&lt;&gt;"",$Q4529="Có",$R4529="",$S4529="Có",AND($L4529&lt;&gt;"",OR($L4529&lt;&gt;"Chưa xác định",DANH_MUC!$L$9="Có"))),"Có","Không"))</f>
        <v/>
      </c>
      <c r="U4529" s="22">
        <f>IF(OR($D4529="",$T4529="Có"),"",IF($C4529="","Thiếu họ tên; ","")&amp;IF($S4529&lt;&gt;"Có","SĐT sai định dạng; ","")&amp;IF($R4529="Trùng","Trùng SĐT; ","")&amp;IF($Q4529&lt;&gt;"Có","Thiếu đồng ý bắt buộc; ","")&amp;IF($L4529="","Thiếu/sai Mã REF; ",IF(AND($L4529="Chưa xác định",DANH_MUC!$L$9&lt;&gt;"Có"),"Nguồn chưa xác định; ","")))</f>
        <v/>
      </c>
      <c r="V4529" s="22">
        <f>IF(OR($D4529="",$R4529="Trùng"),"",IF(COUNTIF(ORDERS!$C$2:$C$4995,$D4529)&gt;0,"Có","Không"))</f>
        <v/>
      </c>
      <c r="W4529" s="22">
        <f>IF(OR($D4529="",$R4529="Trùng"),"",COUNTIFS(ORDERS!$C$2:$C$4995,$D4529,ORDERS!$L$2:$L$4995,"Đã chuyển khoản"))</f>
        <v/>
      </c>
      <c r="X4529" s="23">
        <f>IF(OR($D4529="",$R4529="Trùng"),"",SUMIFS(ORDERS!$J$2:$J$4995,ORDERS!$C$2:$C$4995,$D4529,ORDERS!$L$2:$L$4995,"Đã chuyển khoản"))</f>
        <v/>
      </c>
      <c r="Y4529" s="24" t="n"/>
    </row>
    <row r="4530" ht="14.25" customHeight="1" s="40">
      <c r="A4530" s="24" t="n"/>
      <c r="B4530" s="27" t="n"/>
      <c r="C4530" s="24" t="n"/>
      <c r="D4530" s="28" t="n"/>
      <c r="E4530" s="29" t="n"/>
      <c r="F4530" s="24" t="n"/>
      <c r="G4530" s="24" t="n"/>
      <c r="H4530" s="21">
        <f>IF(ISNUMBER($B4530),INT($B4530)-WEEKDAY($B4530,2)+1,"")</f>
        <v/>
      </c>
      <c r="I4530" s="24" t="n"/>
      <c r="J4530" s="22">
        <f t="array" ref="J4530">IF($D4530="","",IF($I4530="","(trống REF)",IFERROR(INDEX(MASTER_SOURCE!$B$2:$B$495,MATCH($I4530,MASTER_SOURCE!$A$2:$A$495,0)),"(REF không có trong MASTER_SOURCE)")))</f>
        <v/>
      </c>
      <c r="K4530" s="22">
        <f t="array" ref="K4530">IF($D4530="","",IFERROR(INDEX(MASTER_SOURCE!$C$2:$C$495,MATCH($I4530,MASTER_SOURCE!$A$2:$A$495,0)),""))</f>
        <v/>
      </c>
      <c r="L4530" s="22">
        <f t="array" ref="L4530">IF($D4530="","",IFERROR(INDEX(MASTER_SOURCE!$D$2:$D$495,MATCH($I4530,MASTER_SOURCE!$A$2:$A$495,0)),""))</f>
        <v/>
      </c>
      <c r="M4530" s="24" t="n"/>
      <c r="N4530" s="24" t="n"/>
      <c r="O4530" s="24" t="n"/>
      <c r="P4530" s="24" t="n"/>
      <c r="Q4530" s="22">
        <f>IF($D4530="","",IF(AND(OR(DANH_MUC!$L$5&lt;&gt;"Có",M4530="Có"),OR(DANH_MUC!$L$6&lt;&gt;"Có",N4530="Có"),OR(DANH_MUC!$L$7&lt;&gt;"Có",O4530="Có"),OR(DANH_MUC!$L$8&lt;&gt;"Có",P4530="Có")),"Có","Không"))</f>
        <v/>
      </c>
      <c r="R4530" s="22">
        <f>IF($D4530="","",IF(COUNTIF($D$2:$D4530,$D4530)&gt;1,"Trùng",""))</f>
        <v/>
      </c>
      <c r="S4530" s="22">
        <f>IF($D4530="","",IF(AND(LEN($D4530)=10,LEFT($D4530,1)="0",ISNUMBER(--$D4530)),"Có","Không"))</f>
        <v/>
      </c>
      <c r="T4530" s="22">
        <f>IF($D4530="","",IF(AND($C4530&lt;&gt;"",$Q4530="Có",$R4530="",$S4530="Có",AND($L4530&lt;&gt;"",OR($L4530&lt;&gt;"Chưa xác định",DANH_MUC!$L$9="Có"))),"Có","Không"))</f>
        <v/>
      </c>
      <c r="U4530" s="22">
        <f>IF(OR($D4530="",$T4530="Có"),"",IF($C4530="","Thiếu họ tên; ","")&amp;IF($S4530&lt;&gt;"Có","SĐT sai định dạng; ","")&amp;IF($R4530="Trùng","Trùng SĐT; ","")&amp;IF($Q4530&lt;&gt;"Có","Thiếu đồng ý bắt buộc; ","")&amp;IF($L4530="","Thiếu/sai Mã REF; ",IF(AND($L4530="Chưa xác định",DANH_MUC!$L$9&lt;&gt;"Có"),"Nguồn chưa xác định; ","")))</f>
        <v/>
      </c>
      <c r="V4530" s="22">
        <f>IF(OR($D4530="",$R4530="Trùng"),"",IF(COUNTIF(ORDERS!$C$2:$C$4995,$D4530)&gt;0,"Có","Không"))</f>
        <v/>
      </c>
      <c r="W4530" s="22">
        <f>IF(OR($D4530="",$R4530="Trùng"),"",COUNTIFS(ORDERS!$C$2:$C$4995,$D4530,ORDERS!$L$2:$L$4995,"Đã chuyển khoản"))</f>
        <v/>
      </c>
      <c r="X4530" s="23">
        <f>IF(OR($D4530="",$R4530="Trùng"),"",SUMIFS(ORDERS!$J$2:$J$4995,ORDERS!$C$2:$C$4995,$D4530,ORDERS!$L$2:$L$4995,"Đã chuyển khoản"))</f>
        <v/>
      </c>
      <c r="Y4530" s="24" t="n"/>
    </row>
    <row r="4531" ht="14.25" customHeight="1" s="40">
      <c r="A4531" s="24" t="n"/>
      <c r="B4531" s="27" t="n"/>
      <c r="C4531" s="24" t="n"/>
      <c r="D4531" s="28" t="n"/>
      <c r="E4531" s="29" t="n"/>
      <c r="F4531" s="24" t="n"/>
      <c r="G4531" s="24" t="n"/>
      <c r="H4531" s="21">
        <f>IF(ISNUMBER($B4531),INT($B4531)-WEEKDAY($B4531,2)+1,"")</f>
        <v/>
      </c>
      <c r="I4531" s="24" t="n"/>
      <c r="J4531" s="22">
        <f t="array" ref="J4531">IF($D4531="","",IF($I4531="","(trống REF)",IFERROR(INDEX(MASTER_SOURCE!$B$2:$B$495,MATCH($I4531,MASTER_SOURCE!$A$2:$A$495,0)),"(REF không có trong MASTER_SOURCE)")))</f>
        <v/>
      </c>
      <c r="K4531" s="22">
        <f t="array" ref="K4531">IF($D4531="","",IFERROR(INDEX(MASTER_SOURCE!$C$2:$C$495,MATCH($I4531,MASTER_SOURCE!$A$2:$A$495,0)),""))</f>
        <v/>
      </c>
      <c r="L4531" s="22">
        <f t="array" ref="L4531">IF($D4531="","",IFERROR(INDEX(MASTER_SOURCE!$D$2:$D$495,MATCH($I4531,MASTER_SOURCE!$A$2:$A$495,0)),""))</f>
        <v/>
      </c>
      <c r="M4531" s="24" t="n"/>
      <c r="N4531" s="24" t="n"/>
      <c r="O4531" s="24" t="n"/>
      <c r="P4531" s="24" t="n"/>
      <c r="Q4531" s="22">
        <f>IF($D4531="","",IF(AND(OR(DANH_MUC!$L$5&lt;&gt;"Có",M4531="Có"),OR(DANH_MUC!$L$6&lt;&gt;"Có",N4531="Có"),OR(DANH_MUC!$L$7&lt;&gt;"Có",O4531="Có"),OR(DANH_MUC!$L$8&lt;&gt;"Có",P4531="Có")),"Có","Không"))</f>
        <v/>
      </c>
      <c r="R4531" s="22">
        <f>IF($D4531="","",IF(COUNTIF($D$2:$D4531,$D4531)&gt;1,"Trùng",""))</f>
        <v/>
      </c>
      <c r="S4531" s="22">
        <f>IF($D4531="","",IF(AND(LEN($D4531)=10,LEFT($D4531,1)="0",ISNUMBER(--$D4531)),"Có","Không"))</f>
        <v/>
      </c>
      <c r="T4531" s="22">
        <f>IF($D4531="","",IF(AND($C4531&lt;&gt;"",$Q4531="Có",$R4531="",$S4531="Có",AND($L4531&lt;&gt;"",OR($L4531&lt;&gt;"Chưa xác định",DANH_MUC!$L$9="Có"))),"Có","Không"))</f>
        <v/>
      </c>
      <c r="U4531" s="22">
        <f>IF(OR($D4531="",$T4531="Có"),"",IF($C4531="","Thiếu họ tên; ","")&amp;IF($S4531&lt;&gt;"Có","SĐT sai định dạng; ","")&amp;IF($R4531="Trùng","Trùng SĐT; ","")&amp;IF($Q4531&lt;&gt;"Có","Thiếu đồng ý bắt buộc; ","")&amp;IF($L4531="","Thiếu/sai Mã REF; ",IF(AND($L4531="Chưa xác định",DANH_MUC!$L$9&lt;&gt;"Có"),"Nguồn chưa xác định; ","")))</f>
        <v/>
      </c>
      <c r="V4531" s="22">
        <f>IF(OR($D4531="",$R4531="Trùng"),"",IF(COUNTIF(ORDERS!$C$2:$C$4995,$D4531)&gt;0,"Có","Không"))</f>
        <v/>
      </c>
      <c r="W4531" s="22">
        <f>IF(OR($D4531="",$R4531="Trùng"),"",COUNTIFS(ORDERS!$C$2:$C$4995,$D4531,ORDERS!$L$2:$L$4995,"Đã chuyển khoản"))</f>
        <v/>
      </c>
      <c r="X4531" s="23">
        <f>IF(OR($D4531="",$R4531="Trùng"),"",SUMIFS(ORDERS!$J$2:$J$4995,ORDERS!$C$2:$C$4995,$D4531,ORDERS!$L$2:$L$4995,"Đã chuyển khoản"))</f>
        <v/>
      </c>
      <c r="Y4531" s="24" t="n"/>
    </row>
    <row r="4532" ht="14.25" customHeight="1" s="40">
      <c r="A4532" s="24" t="n"/>
      <c r="B4532" s="27" t="n"/>
      <c r="C4532" s="24" t="n"/>
      <c r="D4532" s="28" t="n"/>
      <c r="E4532" s="29" t="n"/>
      <c r="F4532" s="24" t="n"/>
      <c r="G4532" s="24" t="n"/>
      <c r="H4532" s="21">
        <f>IF(ISNUMBER($B4532),INT($B4532)-WEEKDAY($B4532,2)+1,"")</f>
        <v/>
      </c>
      <c r="I4532" s="24" t="n"/>
      <c r="J4532" s="22">
        <f t="array" ref="J4532">IF($D4532="","",IF($I4532="","(trống REF)",IFERROR(INDEX(MASTER_SOURCE!$B$2:$B$495,MATCH($I4532,MASTER_SOURCE!$A$2:$A$495,0)),"(REF không có trong MASTER_SOURCE)")))</f>
        <v/>
      </c>
      <c r="K4532" s="22">
        <f t="array" ref="K4532">IF($D4532="","",IFERROR(INDEX(MASTER_SOURCE!$C$2:$C$495,MATCH($I4532,MASTER_SOURCE!$A$2:$A$495,0)),""))</f>
        <v/>
      </c>
      <c r="L4532" s="22">
        <f t="array" ref="L4532">IF($D4532="","",IFERROR(INDEX(MASTER_SOURCE!$D$2:$D$495,MATCH($I4532,MASTER_SOURCE!$A$2:$A$495,0)),""))</f>
        <v/>
      </c>
      <c r="M4532" s="24" t="n"/>
      <c r="N4532" s="24" t="n"/>
      <c r="O4532" s="24" t="n"/>
      <c r="P4532" s="24" t="n"/>
      <c r="Q4532" s="22">
        <f>IF($D4532="","",IF(AND(OR(DANH_MUC!$L$5&lt;&gt;"Có",M4532="Có"),OR(DANH_MUC!$L$6&lt;&gt;"Có",N4532="Có"),OR(DANH_MUC!$L$7&lt;&gt;"Có",O4532="Có"),OR(DANH_MUC!$L$8&lt;&gt;"Có",P4532="Có")),"Có","Không"))</f>
        <v/>
      </c>
      <c r="R4532" s="22">
        <f>IF($D4532="","",IF(COUNTIF($D$2:$D4532,$D4532)&gt;1,"Trùng",""))</f>
        <v/>
      </c>
      <c r="S4532" s="22">
        <f>IF($D4532="","",IF(AND(LEN($D4532)=10,LEFT($D4532,1)="0",ISNUMBER(--$D4532)),"Có","Không"))</f>
        <v/>
      </c>
      <c r="T4532" s="22">
        <f>IF($D4532="","",IF(AND($C4532&lt;&gt;"",$Q4532="Có",$R4532="",$S4532="Có",AND($L4532&lt;&gt;"",OR($L4532&lt;&gt;"Chưa xác định",DANH_MUC!$L$9="Có"))),"Có","Không"))</f>
        <v/>
      </c>
      <c r="U4532" s="22">
        <f>IF(OR($D4532="",$T4532="Có"),"",IF($C4532="","Thiếu họ tên; ","")&amp;IF($S4532&lt;&gt;"Có","SĐT sai định dạng; ","")&amp;IF($R4532="Trùng","Trùng SĐT; ","")&amp;IF($Q4532&lt;&gt;"Có","Thiếu đồng ý bắt buộc; ","")&amp;IF($L4532="","Thiếu/sai Mã REF; ",IF(AND($L4532="Chưa xác định",DANH_MUC!$L$9&lt;&gt;"Có"),"Nguồn chưa xác định; ","")))</f>
        <v/>
      </c>
      <c r="V4532" s="22">
        <f>IF(OR($D4532="",$R4532="Trùng"),"",IF(COUNTIF(ORDERS!$C$2:$C$4995,$D4532)&gt;0,"Có","Không"))</f>
        <v/>
      </c>
      <c r="W4532" s="22">
        <f>IF(OR($D4532="",$R4532="Trùng"),"",COUNTIFS(ORDERS!$C$2:$C$4995,$D4532,ORDERS!$L$2:$L$4995,"Đã chuyển khoản"))</f>
        <v/>
      </c>
      <c r="X4532" s="23">
        <f>IF(OR($D4532="",$R4532="Trùng"),"",SUMIFS(ORDERS!$J$2:$J$4995,ORDERS!$C$2:$C$4995,$D4532,ORDERS!$L$2:$L$4995,"Đã chuyển khoản"))</f>
        <v/>
      </c>
      <c r="Y4532" s="24" t="n"/>
    </row>
    <row r="4533" ht="14.25" customHeight="1" s="40">
      <c r="A4533" s="24" t="n"/>
      <c r="B4533" s="27" t="n"/>
      <c r="C4533" s="24" t="n"/>
      <c r="D4533" s="28" t="n"/>
      <c r="E4533" s="29" t="n"/>
      <c r="F4533" s="24" t="n"/>
      <c r="G4533" s="24" t="n"/>
      <c r="H4533" s="21">
        <f>IF(ISNUMBER($B4533),INT($B4533)-WEEKDAY($B4533,2)+1,"")</f>
        <v/>
      </c>
      <c r="I4533" s="24" t="n"/>
      <c r="J4533" s="22">
        <f t="array" ref="J4533">IF($D4533="","",IF($I4533="","(trống REF)",IFERROR(INDEX(MASTER_SOURCE!$B$2:$B$495,MATCH($I4533,MASTER_SOURCE!$A$2:$A$495,0)),"(REF không có trong MASTER_SOURCE)")))</f>
        <v/>
      </c>
      <c r="K4533" s="22">
        <f t="array" ref="K4533">IF($D4533="","",IFERROR(INDEX(MASTER_SOURCE!$C$2:$C$495,MATCH($I4533,MASTER_SOURCE!$A$2:$A$495,0)),""))</f>
        <v/>
      </c>
      <c r="L4533" s="22">
        <f t="array" ref="L4533">IF($D4533="","",IFERROR(INDEX(MASTER_SOURCE!$D$2:$D$495,MATCH($I4533,MASTER_SOURCE!$A$2:$A$495,0)),""))</f>
        <v/>
      </c>
      <c r="M4533" s="24" t="n"/>
      <c r="N4533" s="24" t="n"/>
      <c r="O4533" s="24" t="n"/>
      <c r="P4533" s="24" t="n"/>
      <c r="Q4533" s="22">
        <f>IF($D4533="","",IF(AND(OR(DANH_MUC!$L$5&lt;&gt;"Có",M4533="Có"),OR(DANH_MUC!$L$6&lt;&gt;"Có",N4533="Có"),OR(DANH_MUC!$L$7&lt;&gt;"Có",O4533="Có"),OR(DANH_MUC!$L$8&lt;&gt;"Có",P4533="Có")),"Có","Không"))</f>
        <v/>
      </c>
      <c r="R4533" s="22">
        <f>IF($D4533="","",IF(COUNTIF($D$2:$D4533,$D4533)&gt;1,"Trùng",""))</f>
        <v/>
      </c>
      <c r="S4533" s="22">
        <f>IF($D4533="","",IF(AND(LEN($D4533)=10,LEFT($D4533,1)="0",ISNUMBER(--$D4533)),"Có","Không"))</f>
        <v/>
      </c>
      <c r="T4533" s="22">
        <f>IF($D4533="","",IF(AND($C4533&lt;&gt;"",$Q4533="Có",$R4533="",$S4533="Có",AND($L4533&lt;&gt;"",OR($L4533&lt;&gt;"Chưa xác định",DANH_MUC!$L$9="Có"))),"Có","Không"))</f>
        <v/>
      </c>
      <c r="U4533" s="22">
        <f>IF(OR($D4533="",$T4533="Có"),"",IF($C4533="","Thiếu họ tên; ","")&amp;IF($S4533&lt;&gt;"Có","SĐT sai định dạng; ","")&amp;IF($R4533="Trùng","Trùng SĐT; ","")&amp;IF($Q4533&lt;&gt;"Có","Thiếu đồng ý bắt buộc; ","")&amp;IF($L4533="","Thiếu/sai Mã REF; ",IF(AND($L4533="Chưa xác định",DANH_MUC!$L$9&lt;&gt;"Có"),"Nguồn chưa xác định; ","")))</f>
        <v/>
      </c>
      <c r="V4533" s="22">
        <f>IF(OR($D4533="",$R4533="Trùng"),"",IF(COUNTIF(ORDERS!$C$2:$C$4995,$D4533)&gt;0,"Có","Không"))</f>
        <v/>
      </c>
      <c r="W4533" s="22">
        <f>IF(OR($D4533="",$R4533="Trùng"),"",COUNTIFS(ORDERS!$C$2:$C$4995,$D4533,ORDERS!$L$2:$L$4995,"Đã chuyển khoản"))</f>
        <v/>
      </c>
      <c r="X4533" s="23">
        <f>IF(OR($D4533="",$R4533="Trùng"),"",SUMIFS(ORDERS!$J$2:$J$4995,ORDERS!$C$2:$C$4995,$D4533,ORDERS!$L$2:$L$4995,"Đã chuyển khoản"))</f>
        <v/>
      </c>
      <c r="Y4533" s="24" t="n"/>
    </row>
    <row r="4534" ht="14.25" customHeight="1" s="40">
      <c r="A4534" s="24" t="n"/>
      <c r="B4534" s="27" t="n"/>
      <c r="C4534" s="24" t="n"/>
      <c r="D4534" s="28" t="n"/>
      <c r="E4534" s="29" t="n"/>
      <c r="F4534" s="24" t="n"/>
      <c r="G4534" s="24" t="n"/>
      <c r="H4534" s="21">
        <f>IF(ISNUMBER($B4534),INT($B4534)-WEEKDAY($B4534,2)+1,"")</f>
        <v/>
      </c>
      <c r="I4534" s="24" t="n"/>
      <c r="J4534" s="22">
        <f t="array" ref="J4534">IF($D4534="","",IF($I4534="","(trống REF)",IFERROR(INDEX(MASTER_SOURCE!$B$2:$B$495,MATCH($I4534,MASTER_SOURCE!$A$2:$A$495,0)),"(REF không có trong MASTER_SOURCE)")))</f>
        <v/>
      </c>
      <c r="K4534" s="22">
        <f t="array" ref="K4534">IF($D4534="","",IFERROR(INDEX(MASTER_SOURCE!$C$2:$C$495,MATCH($I4534,MASTER_SOURCE!$A$2:$A$495,0)),""))</f>
        <v/>
      </c>
      <c r="L4534" s="22">
        <f t="array" ref="L4534">IF($D4534="","",IFERROR(INDEX(MASTER_SOURCE!$D$2:$D$495,MATCH($I4534,MASTER_SOURCE!$A$2:$A$495,0)),""))</f>
        <v/>
      </c>
      <c r="M4534" s="24" t="n"/>
      <c r="N4534" s="24" t="n"/>
      <c r="O4534" s="24" t="n"/>
      <c r="P4534" s="24" t="n"/>
      <c r="Q4534" s="22">
        <f>IF($D4534="","",IF(AND(OR(DANH_MUC!$L$5&lt;&gt;"Có",M4534="Có"),OR(DANH_MUC!$L$6&lt;&gt;"Có",N4534="Có"),OR(DANH_MUC!$L$7&lt;&gt;"Có",O4534="Có"),OR(DANH_MUC!$L$8&lt;&gt;"Có",P4534="Có")),"Có","Không"))</f>
        <v/>
      </c>
      <c r="R4534" s="22">
        <f>IF($D4534="","",IF(COUNTIF($D$2:$D4534,$D4534)&gt;1,"Trùng",""))</f>
        <v/>
      </c>
      <c r="S4534" s="22">
        <f>IF($D4534="","",IF(AND(LEN($D4534)=10,LEFT($D4534,1)="0",ISNUMBER(--$D4534)),"Có","Không"))</f>
        <v/>
      </c>
      <c r="T4534" s="22">
        <f>IF($D4534="","",IF(AND($C4534&lt;&gt;"",$Q4534="Có",$R4534="",$S4534="Có",AND($L4534&lt;&gt;"",OR($L4534&lt;&gt;"Chưa xác định",DANH_MUC!$L$9="Có"))),"Có","Không"))</f>
        <v/>
      </c>
      <c r="U4534" s="22">
        <f>IF(OR($D4534="",$T4534="Có"),"",IF($C4534="","Thiếu họ tên; ","")&amp;IF($S4534&lt;&gt;"Có","SĐT sai định dạng; ","")&amp;IF($R4534="Trùng","Trùng SĐT; ","")&amp;IF($Q4534&lt;&gt;"Có","Thiếu đồng ý bắt buộc; ","")&amp;IF($L4534="","Thiếu/sai Mã REF; ",IF(AND($L4534="Chưa xác định",DANH_MUC!$L$9&lt;&gt;"Có"),"Nguồn chưa xác định; ","")))</f>
        <v/>
      </c>
      <c r="V4534" s="22">
        <f>IF(OR($D4534="",$R4534="Trùng"),"",IF(COUNTIF(ORDERS!$C$2:$C$4995,$D4534)&gt;0,"Có","Không"))</f>
        <v/>
      </c>
      <c r="W4534" s="22">
        <f>IF(OR($D4534="",$R4534="Trùng"),"",COUNTIFS(ORDERS!$C$2:$C$4995,$D4534,ORDERS!$L$2:$L$4995,"Đã chuyển khoản"))</f>
        <v/>
      </c>
      <c r="X4534" s="23">
        <f>IF(OR($D4534="",$R4534="Trùng"),"",SUMIFS(ORDERS!$J$2:$J$4995,ORDERS!$C$2:$C$4995,$D4534,ORDERS!$L$2:$L$4995,"Đã chuyển khoản"))</f>
        <v/>
      </c>
      <c r="Y4534" s="24" t="n"/>
    </row>
    <row r="4535" ht="14.25" customHeight="1" s="40">
      <c r="A4535" s="24" t="n"/>
      <c r="B4535" s="27" t="n"/>
      <c r="C4535" s="24" t="n"/>
      <c r="D4535" s="28" t="n"/>
      <c r="E4535" s="29" t="n"/>
      <c r="F4535" s="24" t="n"/>
      <c r="G4535" s="24" t="n"/>
      <c r="H4535" s="21">
        <f>IF(ISNUMBER($B4535),INT($B4535)-WEEKDAY($B4535,2)+1,"")</f>
        <v/>
      </c>
      <c r="I4535" s="24" t="n"/>
      <c r="J4535" s="22">
        <f t="array" ref="J4535">IF($D4535="","",IF($I4535="","(trống REF)",IFERROR(INDEX(MASTER_SOURCE!$B$2:$B$495,MATCH($I4535,MASTER_SOURCE!$A$2:$A$495,0)),"(REF không có trong MASTER_SOURCE)")))</f>
        <v/>
      </c>
      <c r="K4535" s="22">
        <f t="array" ref="K4535">IF($D4535="","",IFERROR(INDEX(MASTER_SOURCE!$C$2:$C$495,MATCH($I4535,MASTER_SOURCE!$A$2:$A$495,0)),""))</f>
        <v/>
      </c>
      <c r="L4535" s="22">
        <f t="array" ref="L4535">IF($D4535="","",IFERROR(INDEX(MASTER_SOURCE!$D$2:$D$495,MATCH($I4535,MASTER_SOURCE!$A$2:$A$495,0)),""))</f>
        <v/>
      </c>
      <c r="M4535" s="24" t="n"/>
      <c r="N4535" s="24" t="n"/>
      <c r="O4535" s="24" t="n"/>
      <c r="P4535" s="24" t="n"/>
      <c r="Q4535" s="22">
        <f>IF($D4535="","",IF(AND(OR(DANH_MUC!$L$5&lt;&gt;"Có",M4535="Có"),OR(DANH_MUC!$L$6&lt;&gt;"Có",N4535="Có"),OR(DANH_MUC!$L$7&lt;&gt;"Có",O4535="Có"),OR(DANH_MUC!$L$8&lt;&gt;"Có",P4535="Có")),"Có","Không"))</f>
        <v/>
      </c>
      <c r="R4535" s="22">
        <f>IF($D4535="","",IF(COUNTIF($D$2:$D4535,$D4535)&gt;1,"Trùng",""))</f>
        <v/>
      </c>
      <c r="S4535" s="22">
        <f>IF($D4535="","",IF(AND(LEN($D4535)=10,LEFT($D4535,1)="0",ISNUMBER(--$D4535)),"Có","Không"))</f>
        <v/>
      </c>
      <c r="T4535" s="22">
        <f>IF($D4535="","",IF(AND($C4535&lt;&gt;"",$Q4535="Có",$R4535="",$S4535="Có",AND($L4535&lt;&gt;"",OR($L4535&lt;&gt;"Chưa xác định",DANH_MUC!$L$9="Có"))),"Có","Không"))</f>
        <v/>
      </c>
      <c r="U4535" s="22">
        <f>IF(OR($D4535="",$T4535="Có"),"",IF($C4535="","Thiếu họ tên; ","")&amp;IF($S4535&lt;&gt;"Có","SĐT sai định dạng; ","")&amp;IF($R4535="Trùng","Trùng SĐT; ","")&amp;IF($Q4535&lt;&gt;"Có","Thiếu đồng ý bắt buộc; ","")&amp;IF($L4535="","Thiếu/sai Mã REF; ",IF(AND($L4535="Chưa xác định",DANH_MUC!$L$9&lt;&gt;"Có"),"Nguồn chưa xác định; ","")))</f>
        <v/>
      </c>
      <c r="V4535" s="22">
        <f>IF(OR($D4535="",$R4535="Trùng"),"",IF(COUNTIF(ORDERS!$C$2:$C$4995,$D4535)&gt;0,"Có","Không"))</f>
        <v/>
      </c>
      <c r="W4535" s="22">
        <f>IF(OR($D4535="",$R4535="Trùng"),"",COUNTIFS(ORDERS!$C$2:$C$4995,$D4535,ORDERS!$L$2:$L$4995,"Đã chuyển khoản"))</f>
        <v/>
      </c>
      <c r="X4535" s="23">
        <f>IF(OR($D4535="",$R4535="Trùng"),"",SUMIFS(ORDERS!$J$2:$J$4995,ORDERS!$C$2:$C$4995,$D4535,ORDERS!$L$2:$L$4995,"Đã chuyển khoản"))</f>
        <v/>
      </c>
      <c r="Y4535" s="24" t="n"/>
    </row>
    <row r="4536" ht="14.25" customHeight="1" s="40">
      <c r="A4536" s="24" t="n"/>
      <c r="B4536" s="27" t="n"/>
      <c r="C4536" s="24" t="n"/>
      <c r="D4536" s="28" t="n"/>
      <c r="E4536" s="29" t="n"/>
      <c r="F4536" s="24" t="n"/>
      <c r="G4536" s="24" t="n"/>
      <c r="H4536" s="21">
        <f>IF(ISNUMBER($B4536),INT($B4536)-WEEKDAY($B4536,2)+1,"")</f>
        <v/>
      </c>
      <c r="I4536" s="24" t="n"/>
      <c r="J4536" s="22">
        <f t="array" ref="J4536">IF($D4536="","",IF($I4536="","(trống REF)",IFERROR(INDEX(MASTER_SOURCE!$B$2:$B$495,MATCH($I4536,MASTER_SOURCE!$A$2:$A$495,0)),"(REF không có trong MASTER_SOURCE)")))</f>
        <v/>
      </c>
      <c r="K4536" s="22">
        <f t="array" ref="K4536">IF($D4536="","",IFERROR(INDEX(MASTER_SOURCE!$C$2:$C$495,MATCH($I4536,MASTER_SOURCE!$A$2:$A$495,0)),""))</f>
        <v/>
      </c>
      <c r="L4536" s="22">
        <f t="array" ref="L4536">IF($D4536="","",IFERROR(INDEX(MASTER_SOURCE!$D$2:$D$495,MATCH($I4536,MASTER_SOURCE!$A$2:$A$495,0)),""))</f>
        <v/>
      </c>
      <c r="M4536" s="24" t="n"/>
      <c r="N4536" s="24" t="n"/>
      <c r="O4536" s="24" t="n"/>
      <c r="P4536" s="24" t="n"/>
      <c r="Q4536" s="22">
        <f>IF($D4536="","",IF(AND(OR(DANH_MUC!$L$5&lt;&gt;"Có",M4536="Có"),OR(DANH_MUC!$L$6&lt;&gt;"Có",N4536="Có"),OR(DANH_MUC!$L$7&lt;&gt;"Có",O4536="Có"),OR(DANH_MUC!$L$8&lt;&gt;"Có",P4536="Có")),"Có","Không"))</f>
        <v/>
      </c>
      <c r="R4536" s="22">
        <f>IF($D4536="","",IF(COUNTIF($D$2:$D4536,$D4536)&gt;1,"Trùng",""))</f>
        <v/>
      </c>
      <c r="S4536" s="22">
        <f>IF($D4536="","",IF(AND(LEN($D4536)=10,LEFT($D4536,1)="0",ISNUMBER(--$D4536)),"Có","Không"))</f>
        <v/>
      </c>
      <c r="T4536" s="22">
        <f>IF($D4536="","",IF(AND($C4536&lt;&gt;"",$Q4536="Có",$R4536="",$S4536="Có",AND($L4536&lt;&gt;"",OR($L4536&lt;&gt;"Chưa xác định",DANH_MUC!$L$9="Có"))),"Có","Không"))</f>
        <v/>
      </c>
      <c r="U4536" s="22">
        <f>IF(OR($D4536="",$T4536="Có"),"",IF($C4536="","Thiếu họ tên; ","")&amp;IF($S4536&lt;&gt;"Có","SĐT sai định dạng; ","")&amp;IF($R4536="Trùng","Trùng SĐT; ","")&amp;IF($Q4536&lt;&gt;"Có","Thiếu đồng ý bắt buộc; ","")&amp;IF($L4536="","Thiếu/sai Mã REF; ",IF(AND($L4536="Chưa xác định",DANH_MUC!$L$9&lt;&gt;"Có"),"Nguồn chưa xác định; ","")))</f>
        <v/>
      </c>
      <c r="V4536" s="22">
        <f>IF(OR($D4536="",$R4536="Trùng"),"",IF(COUNTIF(ORDERS!$C$2:$C$4995,$D4536)&gt;0,"Có","Không"))</f>
        <v/>
      </c>
      <c r="W4536" s="22">
        <f>IF(OR($D4536="",$R4536="Trùng"),"",COUNTIFS(ORDERS!$C$2:$C$4995,$D4536,ORDERS!$L$2:$L$4995,"Đã chuyển khoản"))</f>
        <v/>
      </c>
      <c r="X4536" s="23">
        <f>IF(OR($D4536="",$R4536="Trùng"),"",SUMIFS(ORDERS!$J$2:$J$4995,ORDERS!$C$2:$C$4995,$D4536,ORDERS!$L$2:$L$4995,"Đã chuyển khoản"))</f>
        <v/>
      </c>
      <c r="Y4536" s="24" t="n"/>
    </row>
    <row r="4537" ht="14.25" customHeight="1" s="40">
      <c r="A4537" s="24" t="n"/>
      <c r="B4537" s="27" t="n"/>
      <c r="C4537" s="24" t="n"/>
      <c r="D4537" s="28" t="n"/>
      <c r="E4537" s="29" t="n"/>
      <c r="F4537" s="24" t="n"/>
      <c r="G4537" s="24" t="n"/>
      <c r="H4537" s="21">
        <f>IF(ISNUMBER($B4537),INT($B4537)-WEEKDAY($B4537,2)+1,"")</f>
        <v/>
      </c>
      <c r="I4537" s="24" t="n"/>
      <c r="J4537" s="22">
        <f t="array" ref="J4537">IF($D4537="","",IF($I4537="","(trống REF)",IFERROR(INDEX(MASTER_SOURCE!$B$2:$B$495,MATCH($I4537,MASTER_SOURCE!$A$2:$A$495,0)),"(REF không có trong MASTER_SOURCE)")))</f>
        <v/>
      </c>
      <c r="K4537" s="22">
        <f t="array" ref="K4537">IF($D4537="","",IFERROR(INDEX(MASTER_SOURCE!$C$2:$C$495,MATCH($I4537,MASTER_SOURCE!$A$2:$A$495,0)),""))</f>
        <v/>
      </c>
      <c r="L4537" s="22">
        <f t="array" ref="L4537">IF($D4537="","",IFERROR(INDEX(MASTER_SOURCE!$D$2:$D$495,MATCH($I4537,MASTER_SOURCE!$A$2:$A$495,0)),""))</f>
        <v/>
      </c>
      <c r="M4537" s="24" t="n"/>
      <c r="N4537" s="24" t="n"/>
      <c r="O4537" s="24" t="n"/>
      <c r="P4537" s="24" t="n"/>
      <c r="Q4537" s="22">
        <f>IF($D4537="","",IF(AND(OR(DANH_MUC!$L$5&lt;&gt;"Có",M4537="Có"),OR(DANH_MUC!$L$6&lt;&gt;"Có",N4537="Có"),OR(DANH_MUC!$L$7&lt;&gt;"Có",O4537="Có"),OR(DANH_MUC!$L$8&lt;&gt;"Có",P4537="Có")),"Có","Không"))</f>
        <v/>
      </c>
      <c r="R4537" s="22">
        <f>IF($D4537="","",IF(COUNTIF($D$2:$D4537,$D4537)&gt;1,"Trùng",""))</f>
        <v/>
      </c>
      <c r="S4537" s="22">
        <f>IF($D4537="","",IF(AND(LEN($D4537)=10,LEFT($D4537,1)="0",ISNUMBER(--$D4537)),"Có","Không"))</f>
        <v/>
      </c>
      <c r="T4537" s="22">
        <f>IF($D4537="","",IF(AND($C4537&lt;&gt;"",$Q4537="Có",$R4537="",$S4537="Có",AND($L4537&lt;&gt;"",OR($L4537&lt;&gt;"Chưa xác định",DANH_MUC!$L$9="Có"))),"Có","Không"))</f>
        <v/>
      </c>
      <c r="U4537" s="22">
        <f>IF(OR($D4537="",$T4537="Có"),"",IF($C4537="","Thiếu họ tên; ","")&amp;IF($S4537&lt;&gt;"Có","SĐT sai định dạng; ","")&amp;IF($R4537="Trùng","Trùng SĐT; ","")&amp;IF($Q4537&lt;&gt;"Có","Thiếu đồng ý bắt buộc; ","")&amp;IF($L4537="","Thiếu/sai Mã REF; ",IF(AND($L4537="Chưa xác định",DANH_MUC!$L$9&lt;&gt;"Có"),"Nguồn chưa xác định; ","")))</f>
        <v/>
      </c>
      <c r="V4537" s="22">
        <f>IF(OR($D4537="",$R4537="Trùng"),"",IF(COUNTIF(ORDERS!$C$2:$C$4995,$D4537)&gt;0,"Có","Không"))</f>
        <v/>
      </c>
      <c r="W4537" s="22">
        <f>IF(OR($D4537="",$R4537="Trùng"),"",COUNTIFS(ORDERS!$C$2:$C$4995,$D4537,ORDERS!$L$2:$L$4995,"Đã chuyển khoản"))</f>
        <v/>
      </c>
      <c r="X4537" s="23">
        <f>IF(OR($D4537="",$R4537="Trùng"),"",SUMIFS(ORDERS!$J$2:$J$4995,ORDERS!$C$2:$C$4995,$D4537,ORDERS!$L$2:$L$4995,"Đã chuyển khoản"))</f>
        <v/>
      </c>
      <c r="Y4537" s="24" t="n"/>
    </row>
    <row r="4538" ht="14.25" customHeight="1" s="40">
      <c r="A4538" s="24" t="n"/>
      <c r="B4538" s="27" t="n"/>
      <c r="C4538" s="24" t="n"/>
      <c r="D4538" s="28" t="n"/>
      <c r="E4538" s="29" t="n"/>
      <c r="F4538" s="24" t="n"/>
      <c r="G4538" s="24" t="n"/>
      <c r="H4538" s="21">
        <f>IF(ISNUMBER($B4538),INT($B4538)-WEEKDAY($B4538,2)+1,"")</f>
        <v/>
      </c>
      <c r="I4538" s="24" t="n"/>
      <c r="J4538" s="22">
        <f t="array" ref="J4538">IF($D4538="","",IF($I4538="","(trống REF)",IFERROR(INDEX(MASTER_SOURCE!$B$2:$B$495,MATCH($I4538,MASTER_SOURCE!$A$2:$A$495,0)),"(REF không có trong MASTER_SOURCE)")))</f>
        <v/>
      </c>
      <c r="K4538" s="22">
        <f t="array" ref="K4538">IF($D4538="","",IFERROR(INDEX(MASTER_SOURCE!$C$2:$C$495,MATCH($I4538,MASTER_SOURCE!$A$2:$A$495,0)),""))</f>
        <v/>
      </c>
      <c r="L4538" s="22">
        <f t="array" ref="L4538">IF($D4538="","",IFERROR(INDEX(MASTER_SOURCE!$D$2:$D$495,MATCH($I4538,MASTER_SOURCE!$A$2:$A$495,0)),""))</f>
        <v/>
      </c>
      <c r="M4538" s="24" t="n"/>
      <c r="N4538" s="24" t="n"/>
      <c r="O4538" s="24" t="n"/>
      <c r="P4538" s="24" t="n"/>
      <c r="Q4538" s="22">
        <f>IF($D4538="","",IF(AND(OR(DANH_MUC!$L$5&lt;&gt;"Có",M4538="Có"),OR(DANH_MUC!$L$6&lt;&gt;"Có",N4538="Có"),OR(DANH_MUC!$L$7&lt;&gt;"Có",O4538="Có"),OR(DANH_MUC!$L$8&lt;&gt;"Có",P4538="Có")),"Có","Không"))</f>
        <v/>
      </c>
      <c r="R4538" s="22">
        <f>IF($D4538="","",IF(COUNTIF($D$2:$D4538,$D4538)&gt;1,"Trùng",""))</f>
        <v/>
      </c>
      <c r="S4538" s="22">
        <f>IF($D4538="","",IF(AND(LEN($D4538)=10,LEFT($D4538,1)="0",ISNUMBER(--$D4538)),"Có","Không"))</f>
        <v/>
      </c>
      <c r="T4538" s="22">
        <f>IF($D4538="","",IF(AND($C4538&lt;&gt;"",$Q4538="Có",$R4538="",$S4538="Có",AND($L4538&lt;&gt;"",OR($L4538&lt;&gt;"Chưa xác định",DANH_MUC!$L$9="Có"))),"Có","Không"))</f>
        <v/>
      </c>
      <c r="U4538" s="22">
        <f>IF(OR($D4538="",$T4538="Có"),"",IF($C4538="","Thiếu họ tên; ","")&amp;IF($S4538&lt;&gt;"Có","SĐT sai định dạng; ","")&amp;IF($R4538="Trùng","Trùng SĐT; ","")&amp;IF($Q4538&lt;&gt;"Có","Thiếu đồng ý bắt buộc; ","")&amp;IF($L4538="","Thiếu/sai Mã REF; ",IF(AND($L4538="Chưa xác định",DANH_MUC!$L$9&lt;&gt;"Có"),"Nguồn chưa xác định; ","")))</f>
        <v/>
      </c>
      <c r="V4538" s="22">
        <f>IF(OR($D4538="",$R4538="Trùng"),"",IF(COUNTIF(ORDERS!$C$2:$C$4995,$D4538)&gt;0,"Có","Không"))</f>
        <v/>
      </c>
      <c r="W4538" s="22">
        <f>IF(OR($D4538="",$R4538="Trùng"),"",COUNTIFS(ORDERS!$C$2:$C$4995,$D4538,ORDERS!$L$2:$L$4995,"Đã chuyển khoản"))</f>
        <v/>
      </c>
      <c r="X4538" s="23">
        <f>IF(OR($D4538="",$R4538="Trùng"),"",SUMIFS(ORDERS!$J$2:$J$4995,ORDERS!$C$2:$C$4995,$D4538,ORDERS!$L$2:$L$4995,"Đã chuyển khoản"))</f>
        <v/>
      </c>
      <c r="Y4538" s="24" t="n"/>
    </row>
    <row r="4539" ht="14.25" customHeight="1" s="40">
      <c r="A4539" s="24" t="n"/>
      <c r="B4539" s="27" t="n"/>
      <c r="C4539" s="24" t="n"/>
      <c r="D4539" s="28" t="n"/>
      <c r="E4539" s="29" t="n"/>
      <c r="F4539" s="24" t="n"/>
      <c r="G4539" s="24" t="n"/>
      <c r="H4539" s="21">
        <f>IF(ISNUMBER($B4539),INT($B4539)-WEEKDAY($B4539,2)+1,"")</f>
        <v/>
      </c>
      <c r="I4539" s="24" t="n"/>
      <c r="J4539" s="22">
        <f t="array" ref="J4539">IF($D4539="","",IF($I4539="","(trống REF)",IFERROR(INDEX(MASTER_SOURCE!$B$2:$B$495,MATCH($I4539,MASTER_SOURCE!$A$2:$A$495,0)),"(REF không có trong MASTER_SOURCE)")))</f>
        <v/>
      </c>
      <c r="K4539" s="22">
        <f t="array" ref="K4539">IF($D4539="","",IFERROR(INDEX(MASTER_SOURCE!$C$2:$C$495,MATCH($I4539,MASTER_SOURCE!$A$2:$A$495,0)),""))</f>
        <v/>
      </c>
      <c r="L4539" s="22">
        <f t="array" ref="L4539">IF($D4539="","",IFERROR(INDEX(MASTER_SOURCE!$D$2:$D$495,MATCH($I4539,MASTER_SOURCE!$A$2:$A$495,0)),""))</f>
        <v/>
      </c>
      <c r="M4539" s="24" t="n"/>
      <c r="N4539" s="24" t="n"/>
      <c r="O4539" s="24" t="n"/>
      <c r="P4539" s="24" t="n"/>
      <c r="Q4539" s="22">
        <f>IF($D4539="","",IF(AND(OR(DANH_MUC!$L$5&lt;&gt;"Có",M4539="Có"),OR(DANH_MUC!$L$6&lt;&gt;"Có",N4539="Có"),OR(DANH_MUC!$L$7&lt;&gt;"Có",O4539="Có"),OR(DANH_MUC!$L$8&lt;&gt;"Có",P4539="Có")),"Có","Không"))</f>
        <v/>
      </c>
      <c r="R4539" s="22">
        <f>IF($D4539="","",IF(COUNTIF($D$2:$D4539,$D4539)&gt;1,"Trùng",""))</f>
        <v/>
      </c>
      <c r="S4539" s="22">
        <f>IF($D4539="","",IF(AND(LEN($D4539)=10,LEFT($D4539,1)="0",ISNUMBER(--$D4539)),"Có","Không"))</f>
        <v/>
      </c>
      <c r="T4539" s="22">
        <f>IF($D4539="","",IF(AND($C4539&lt;&gt;"",$Q4539="Có",$R4539="",$S4539="Có",AND($L4539&lt;&gt;"",OR($L4539&lt;&gt;"Chưa xác định",DANH_MUC!$L$9="Có"))),"Có","Không"))</f>
        <v/>
      </c>
      <c r="U4539" s="22">
        <f>IF(OR($D4539="",$T4539="Có"),"",IF($C4539="","Thiếu họ tên; ","")&amp;IF($S4539&lt;&gt;"Có","SĐT sai định dạng; ","")&amp;IF($R4539="Trùng","Trùng SĐT; ","")&amp;IF($Q4539&lt;&gt;"Có","Thiếu đồng ý bắt buộc; ","")&amp;IF($L4539="","Thiếu/sai Mã REF; ",IF(AND($L4539="Chưa xác định",DANH_MUC!$L$9&lt;&gt;"Có"),"Nguồn chưa xác định; ","")))</f>
        <v/>
      </c>
      <c r="V4539" s="22">
        <f>IF(OR($D4539="",$R4539="Trùng"),"",IF(COUNTIF(ORDERS!$C$2:$C$4995,$D4539)&gt;0,"Có","Không"))</f>
        <v/>
      </c>
      <c r="W4539" s="22">
        <f>IF(OR($D4539="",$R4539="Trùng"),"",COUNTIFS(ORDERS!$C$2:$C$4995,$D4539,ORDERS!$L$2:$L$4995,"Đã chuyển khoản"))</f>
        <v/>
      </c>
      <c r="X4539" s="23">
        <f>IF(OR($D4539="",$R4539="Trùng"),"",SUMIFS(ORDERS!$J$2:$J$4995,ORDERS!$C$2:$C$4995,$D4539,ORDERS!$L$2:$L$4995,"Đã chuyển khoản"))</f>
        <v/>
      </c>
      <c r="Y4539" s="24" t="n"/>
    </row>
    <row r="4540" ht="14.25" customHeight="1" s="40">
      <c r="A4540" s="24" t="n"/>
      <c r="B4540" s="27" t="n"/>
      <c r="C4540" s="24" t="n"/>
      <c r="D4540" s="28" t="n"/>
      <c r="E4540" s="29" t="n"/>
      <c r="F4540" s="24" t="n"/>
      <c r="G4540" s="24" t="n"/>
      <c r="H4540" s="21">
        <f>IF(ISNUMBER($B4540),INT($B4540)-WEEKDAY($B4540,2)+1,"")</f>
        <v/>
      </c>
      <c r="I4540" s="24" t="n"/>
      <c r="J4540" s="22">
        <f t="array" ref="J4540">IF($D4540="","",IF($I4540="","(trống REF)",IFERROR(INDEX(MASTER_SOURCE!$B$2:$B$495,MATCH($I4540,MASTER_SOURCE!$A$2:$A$495,0)),"(REF không có trong MASTER_SOURCE)")))</f>
        <v/>
      </c>
      <c r="K4540" s="22">
        <f t="array" ref="K4540">IF($D4540="","",IFERROR(INDEX(MASTER_SOURCE!$C$2:$C$495,MATCH($I4540,MASTER_SOURCE!$A$2:$A$495,0)),""))</f>
        <v/>
      </c>
      <c r="L4540" s="22">
        <f t="array" ref="L4540">IF($D4540="","",IFERROR(INDEX(MASTER_SOURCE!$D$2:$D$495,MATCH($I4540,MASTER_SOURCE!$A$2:$A$495,0)),""))</f>
        <v/>
      </c>
      <c r="M4540" s="24" t="n"/>
      <c r="N4540" s="24" t="n"/>
      <c r="O4540" s="24" t="n"/>
      <c r="P4540" s="24" t="n"/>
      <c r="Q4540" s="22">
        <f>IF($D4540="","",IF(AND(OR(DANH_MUC!$L$5&lt;&gt;"Có",M4540="Có"),OR(DANH_MUC!$L$6&lt;&gt;"Có",N4540="Có"),OR(DANH_MUC!$L$7&lt;&gt;"Có",O4540="Có"),OR(DANH_MUC!$L$8&lt;&gt;"Có",P4540="Có")),"Có","Không"))</f>
        <v/>
      </c>
      <c r="R4540" s="22">
        <f>IF($D4540="","",IF(COUNTIF($D$2:$D4540,$D4540)&gt;1,"Trùng",""))</f>
        <v/>
      </c>
      <c r="S4540" s="22">
        <f>IF($D4540="","",IF(AND(LEN($D4540)=10,LEFT($D4540,1)="0",ISNUMBER(--$D4540)),"Có","Không"))</f>
        <v/>
      </c>
      <c r="T4540" s="22">
        <f>IF($D4540="","",IF(AND($C4540&lt;&gt;"",$Q4540="Có",$R4540="",$S4540="Có",AND($L4540&lt;&gt;"",OR($L4540&lt;&gt;"Chưa xác định",DANH_MUC!$L$9="Có"))),"Có","Không"))</f>
        <v/>
      </c>
      <c r="U4540" s="22">
        <f>IF(OR($D4540="",$T4540="Có"),"",IF($C4540="","Thiếu họ tên; ","")&amp;IF($S4540&lt;&gt;"Có","SĐT sai định dạng; ","")&amp;IF($R4540="Trùng","Trùng SĐT; ","")&amp;IF($Q4540&lt;&gt;"Có","Thiếu đồng ý bắt buộc; ","")&amp;IF($L4540="","Thiếu/sai Mã REF; ",IF(AND($L4540="Chưa xác định",DANH_MUC!$L$9&lt;&gt;"Có"),"Nguồn chưa xác định; ","")))</f>
        <v/>
      </c>
      <c r="V4540" s="22">
        <f>IF(OR($D4540="",$R4540="Trùng"),"",IF(COUNTIF(ORDERS!$C$2:$C$4995,$D4540)&gt;0,"Có","Không"))</f>
        <v/>
      </c>
      <c r="W4540" s="22">
        <f>IF(OR($D4540="",$R4540="Trùng"),"",COUNTIFS(ORDERS!$C$2:$C$4995,$D4540,ORDERS!$L$2:$L$4995,"Đã chuyển khoản"))</f>
        <v/>
      </c>
      <c r="X4540" s="23">
        <f>IF(OR($D4540="",$R4540="Trùng"),"",SUMIFS(ORDERS!$J$2:$J$4995,ORDERS!$C$2:$C$4995,$D4540,ORDERS!$L$2:$L$4995,"Đã chuyển khoản"))</f>
        <v/>
      </c>
      <c r="Y4540" s="24" t="n"/>
    </row>
    <row r="4541" ht="14.25" customHeight="1" s="40">
      <c r="A4541" s="24" t="n"/>
      <c r="B4541" s="27" t="n"/>
      <c r="C4541" s="24" t="n"/>
      <c r="D4541" s="28" t="n"/>
      <c r="E4541" s="29" t="n"/>
      <c r="F4541" s="24" t="n"/>
      <c r="G4541" s="24" t="n"/>
      <c r="H4541" s="21">
        <f>IF(ISNUMBER($B4541),INT($B4541)-WEEKDAY($B4541,2)+1,"")</f>
        <v/>
      </c>
      <c r="I4541" s="24" t="n"/>
      <c r="J4541" s="22">
        <f t="array" ref="J4541">IF($D4541="","",IF($I4541="","(trống REF)",IFERROR(INDEX(MASTER_SOURCE!$B$2:$B$495,MATCH($I4541,MASTER_SOURCE!$A$2:$A$495,0)),"(REF không có trong MASTER_SOURCE)")))</f>
        <v/>
      </c>
      <c r="K4541" s="22">
        <f t="array" ref="K4541">IF($D4541="","",IFERROR(INDEX(MASTER_SOURCE!$C$2:$C$495,MATCH($I4541,MASTER_SOURCE!$A$2:$A$495,0)),""))</f>
        <v/>
      </c>
      <c r="L4541" s="22">
        <f t="array" ref="L4541">IF($D4541="","",IFERROR(INDEX(MASTER_SOURCE!$D$2:$D$495,MATCH($I4541,MASTER_SOURCE!$A$2:$A$495,0)),""))</f>
        <v/>
      </c>
      <c r="M4541" s="24" t="n"/>
      <c r="N4541" s="24" t="n"/>
      <c r="O4541" s="24" t="n"/>
      <c r="P4541" s="24" t="n"/>
      <c r="Q4541" s="22">
        <f>IF($D4541="","",IF(AND(OR(DANH_MUC!$L$5&lt;&gt;"Có",M4541="Có"),OR(DANH_MUC!$L$6&lt;&gt;"Có",N4541="Có"),OR(DANH_MUC!$L$7&lt;&gt;"Có",O4541="Có"),OR(DANH_MUC!$L$8&lt;&gt;"Có",P4541="Có")),"Có","Không"))</f>
        <v/>
      </c>
      <c r="R4541" s="22">
        <f>IF($D4541="","",IF(COUNTIF($D$2:$D4541,$D4541)&gt;1,"Trùng",""))</f>
        <v/>
      </c>
      <c r="S4541" s="22">
        <f>IF($D4541="","",IF(AND(LEN($D4541)=10,LEFT($D4541,1)="0",ISNUMBER(--$D4541)),"Có","Không"))</f>
        <v/>
      </c>
      <c r="T4541" s="22">
        <f>IF($D4541="","",IF(AND($C4541&lt;&gt;"",$Q4541="Có",$R4541="",$S4541="Có",AND($L4541&lt;&gt;"",OR($L4541&lt;&gt;"Chưa xác định",DANH_MUC!$L$9="Có"))),"Có","Không"))</f>
        <v/>
      </c>
      <c r="U4541" s="22">
        <f>IF(OR($D4541="",$T4541="Có"),"",IF($C4541="","Thiếu họ tên; ","")&amp;IF($S4541&lt;&gt;"Có","SĐT sai định dạng; ","")&amp;IF($R4541="Trùng","Trùng SĐT; ","")&amp;IF($Q4541&lt;&gt;"Có","Thiếu đồng ý bắt buộc; ","")&amp;IF($L4541="","Thiếu/sai Mã REF; ",IF(AND($L4541="Chưa xác định",DANH_MUC!$L$9&lt;&gt;"Có"),"Nguồn chưa xác định; ","")))</f>
        <v/>
      </c>
      <c r="V4541" s="22">
        <f>IF(OR($D4541="",$R4541="Trùng"),"",IF(COUNTIF(ORDERS!$C$2:$C$4995,$D4541)&gt;0,"Có","Không"))</f>
        <v/>
      </c>
      <c r="W4541" s="22">
        <f>IF(OR($D4541="",$R4541="Trùng"),"",COUNTIFS(ORDERS!$C$2:$C$4995,$D4541,ORDERS!$L$2:$L$4995,"Đã chuyển khoản"))</f>
        <v/>
      </c>
      <c r="X4541" s="23">
        <f>IF(OR($D4541="",$R4541="Trùng"),"",SUMIFS(ORDERS!$J$2:$J$4995,ORDERS!$C$2:$C$4995,$D4541,ORDERS!$L$2:$L$4995,"Đã chuyển khoản"))</f>
        <v/>
      </c>
      <c r="Y4541" s="24" t="n"/>
    </row>
    <row r="4542" ht="14.25" customHeight="1" s="40">
      <c r="A4542" s="24" t="n"/>
      <c r="B4542" s="27" t="n"/>
      <c r="C4542" s="24" t="n"/>
      <c r="D4542" s="28" t="n"/>
      <c r="E4542" s="29" t="n"/>
      <c r="F4542" s="24" t="n"/>
      <c r="G4542" s="24" t="n"/>
      <c r="H4542" s="21">
        <f>IF(ISNUMBER($B4542),INT($B4542)-WEEKDAY($B4542,2)+1,"")</f>
        <v/>
      </c>
      <c r="I4542" s="24" t="n"/>
      <c r="J4542" s="22">
        <f t="array" ref="J4542">IF($D4542="","",IF($I4542="","(trống REF)",IFERROR(INDEX(MASTER_SOURCE!$B$2:$B$495,MATCH($I4542,MASTER_SOURCE!$A$2:$A$495,0)),"(REF không có trong MASTER_SOURCE)")))</f>
        <v/>
      </c>
      <c r="K4542" s="22">
        <f t="array" ref="K4542">IF($D4542="","",IFERROR(INDEX(MASTER_SOURCE!$C$2:$C$495,MATCH($I4542,MASTER_SOURCE!$A$2:$A$495,0)),""))</f>
        <v/>
      </c>
      <c r="L4542" s="22">
        <f t="array" ref="L4542">IF($D4542="","",IFERROR(INDEX(MASTER_SOURCE!$D$2:$D$495,MATCH($I4542,MASTER_SOURCE!$A$2:$A$495,0)),""))</f>
        <v/>
      </c>
      <c r="M4542" s="24" t="n"/>
      <c r="N4542" s="24" t="n"/>
      <c r="O4542" s="24" t="n"/>
      <c r="P4542" s="24" t="n"/>
      <c r="Q4542" s="22">
        <f>IF($D4542="","",IF(AND(OR(DANH_MUC!$L$5&lt;&gt;"Có",M4542="Có"),OR(DANH_MUC!$L$6&lt;&gt;"Có",N4542="Có"),OR(DANH_MUC!$L$7&lt;&gt;"Có",O4542="Có"),OR(DANH_MUC!$L$8&lt;&gt;"Có",P4542="Có")),"Có","Không"))</f>
        <v/>
      </c>
      <c r="R4542" s="22">
        <f>IF($D4542="","",IF(COUNTIF($D$2:$D4542,$D4542)&gt;1,"Trùng",""))</f>
        <v/>
      </c>
      <c r="S4542" s="22">
        <f>IF($D4542="","",IF(AND(LEN($D4542)=10,LEFT($D4542,1)="0",ISNUMBER(--$D4542)),"Có","Không"))</f>
        <v/>
      </c>
      <c r="T4542" s="22">
        <f>IF($D4542="","",IF(AND($C4542&lt;&gt;"",$Q4542="Có",$R4542="",$S4542="Có",AND($L4542&lt;&gt;"",OR($L4542&lt;&gt;"Chưa xác định",DANH_MUC!$L$9="Có"))),"Có","Không"))</f>
        <v/>
      </c>
      <c r="U4542" s="22">
        <f>IF(OR($D4542="",$T4542="Có"),"",IF($C4542="","Thiếu họ tên; ","")&amp;IF($S4542&lt;&gt;"Có","SĐT sai định dạng; ","")&amp;IF($R4542="Trùng","Trùng SĐT; ","")&amp;IF($Q4542&lt;&gt;"Có","Thiếu đồng ý bắt buộc; ","")&amp;IF($L4542="","Thiếu/sai Mã REF; ",IF(AND($L4542="Chưa xác định",DANH_MUC!$L$9&lt;&gt;"Có"),"Nguồn chưa xác định; ","")))</f>
        <v/>
      </c>
      <c r="V4542" s="22">
        <f>IF(OR($D4542="",$R4542="Trùng"),"",IF(COUNTIF(ORDERS!$C$2:$C$4995,$D4542)&gt;0,"Có","Không"))</f>
        <v/>
      </c>
      <c r="W4542" s="22">
        <f>IF(OR($D4542="",$R4542="Trùng"),"",COUNTIFS(ORDERS!$C$2:$C$4995,$D4542,ORDERS!$L$2:$L$4995,"Đã chuyển khoản"))</f>
        <v/>
      </c>
      <c r="X4542" s="23">
        <f>IF(OR($D4542="",$R4542="Trùng"),"",SUMIFS(ORDERS!$J$2:$J$4995,ORDERS!$C$2:$C$4995,$D4542,ORDERS!$L$2:$L$4995,"Đã chuyển khoản"))</f>
        <v/>
      </c>
      <c r="Y4542" s="24" t="n"/>
    </row>
    <row r="4543" ht="14.25" customHeight="1" s="40">
      <c r="A4543" s="24" t="n"/>
      <c r="B4543" s="27" t="n"/>
      <c r="C4543" s="24" t="n"/>
      <c r="D4543" s="28" t="n"/>
      <c r="E4543" s="29" t="n"/>
      <c r="F4543" s="24" t="n"/>
      <c r="G4543" s="24" t="n"/>
      <c r="H4543" s="21">
        <f>IF(ISNUMBER($B4543),INT($B4543)-WEEKDAY($B4543,2)+1,"")</f>
        <v/>
      </c>
      <c r="I4543" s="24" t="n"/>
      <c r="J4543" s="22">
        <f t="array" ref="J4543">IF($D4543="","",IF($I4543="","(trống REF)",IFERROR(INDEX(MASTER_SOURCE!$B$2:$B$495,MATCH($I4543,MASTER_SOURCE!$A$2:$A$495,0)),"(REF không có trong MASTER_SOURCE)")))</f>
        <v/>
      </c>
      <c r="K4543" s="22">
        <f t="array" ref="K4543">IF($D4543="","",IFERROR(INDEX(MASTER_SOURCE!$C$2:$C$495,MATCH($I4543,MASTER_SOURCE!$A$2:$A$495,0)),""))</f>
        <v/>
      </c>
      <c r="L4543" s="22">
        <f t="array" ref="L4543">IF($D4543="","",IFERROR(INDEX(MASTER_SOURCE!$D$2:$D$495,MATCH($I4543,MASTER_SOURCE!$A$2:$A$495,0)),""))</f>
        <v/>
      </c>
      <c r="M4543" s="24" t="n"/>
      <c r="N4543" s="24" t="n"/>
      <c r="O4543" s="24" t="n"/>
      <c r="P4543" s="24" t="n"/>
      <c r="Q4543" s="22">
        <f>IF($D4543="","",IF(AND(OR(DANH_MUC!$L$5&lt;&gt;"Có",M4543="Có"),OR(DANH_MUC!$L$6&lt;&gt;"Có",N4543="Có"),OR(DANH_MUC!$L$7&lt;&gt;"Có",O4543="Có"),OR(DANH_MUC!$L$8&lt;&gt;"Có",P4543="Có")),"Có","Không"))</f>
        <v/>
      </c>
      <c r="R4543" s="22">
        <f>IF($D4543="","",IF(COUNTIF($D$2:$D4543,$D4543)&gt;1,"Trùng",""))</f>
        <v/>
      </c>
      <c r="S4543" s="22">
        <f>IF($D4543="","",IF(AND(LEN($D4543)=10,LEFT($D4543,1)="0",ISNUMBER(--$D4543)),"Có","Không"))</f>
        <v/>
      </c>
      <c r="T4543" s="22">
        <f>IF($D4543="","",IF(AND($C4543&lt;&gt;"",$Q4543="Có",$R4543="",$S4543="Có",AND($L4543&lt;&gt;"",OR($L4543&lt;&gt;"Chưa xác định",DANH_MUC!$L$9="Có"))),"Có","Không"))</f>
        <v/>
      </c>
      <c r="U4543" s="22">
        <f>IF(OR($D4543="",$T4543="Có"),"",IF($C4543="","Thiếu họ tên; ","")&amp;IF($S4543&lt;&gt;"Có","SĐT sai định dạng; ","")&amp;IF($R4543="Trùng","Trùng SĐT; ","")&amp;IF($Q4543&lt;&gt;"Có","Thiếu đồng ý bắt buộc; ","")&amp;IF($L4543="","Thiếu/sai Mã REF; ",IF(AND($L4543="Chưa xác định",DANH_MUC!$L$9&lt;&gt;"Có"),"Nguồn chưa xác định; ","")))</f>
        <v/>
      </c>
      <c r="V4543" s="22">
        <f>IF(OR($D4543="",$R4543="Trùng"),"",IF(COUNTIF(ORDERS!$C$2:$C$4995,$D4543)&gt;0,"Có","Không"))</f>
        <v/>
      </c>
      <c r="W4543" s="22">
        <f>IF(OR($D4543="",$R4543="Trùng"),"",COUNTIFS(ORDERS!$C$2:$C$4995,$D4543,ORDERS!$L$2:$L$4995,"Đã chuyển khoản"))</f>
        <v/>
      </c>
      <c r="X4543" s="23">
        <f>IF(OR($D4543="",$R4543="Trùng"),"",SUMIFS(ORDERS!$J$2:$J$4995,ORDERS!$C$2:$C$4995,$D4543,ORDERS!$L$2:$L$4995,"Đã chuyển khoản"))</f>
        <v/>
      </c>
      <c r="Y4543" s="24" t="n"/>
    </row>
    <row r="4544" ht="14.25" customHeight="1" s="40">
      <c r="A4544" s="24" t="n"/>
      <c r="B4544" s="27" t="n"/>
      <c r="C4544" s="24" t="n"/>
      <c r="D4544" s="28" t="n"/>
      <c r="E4544" s="29" t="n"/>
      <c r="F4544" s="24" t="n"/>
      <c r="G4544" s="24" t="n"/>
      <c r="H4544" s="21">
        <f>IF(ISNUMBER($B4544),INT($B4544)-WEEKDAY($B4544,2)+1,"")</f>
        <v/>
      </c>
      <c r="I4544" s="24" t="n"/>
      <c r="J4544" s="22">
        <f t="array" ref="J4544">IF($D4544="","",IF($I4544="","(trống REF)",IFERROR(INDEX(MASTER_SOURCE!$B$2:$B$495,MATCH($I4544,MASTER_SOURCE!$A$2:$A$495,0)),"(REF không có trong MASTER_SOURCE)")))</f>
        <v/>
      </c>
      <c r="K4544" s="22">
        <f t="array" ref="K4544">IF($D4544="","",IFERROR(INDEX(MASTER_SOURCE!$C$2:$C$495,MATCH($I4544,MASTER_SOURCE!$A$2:$A$495,0)),""))</f>
        <v/>
      </c>
      <c r="L4544" s="22">
        <f t="array" ref="L4544">IF($D4544="","",IFERROR(INDEX(MASTER_SOURCE!$D$2:$D$495,MATCH($I4544,MASTER_SOURCE!$A$2:$A$495,0)),""))</f>
        <v/>
      </c>
      <c r="M4544" s="24" t="n"/>
      <c r="N4544" s="24" t="n"/>
      <c r="O4544" s="24" t="n"/>
      <c r="P4544" s="24" t="n"/>
      <c r="Q4544" s="22">
        <f>IF($D4544="","",IF(AND(OR(DANH_MUC!$L$5&lt;&gt;"Có",M4544="Có"),OR(DANH_MUC!$L$6&lt;&gt;"Có",N4544="Có"),OR(DANH_MUC!$L$7&lt;&gt;"Có",O4544="Có"),OR(DANH_MUC!$L$8&lt;&gt;"Có",P4544="Có")),"Có","Không"))</f>
        <v/>
      </c>
      <c r="R4544" s="22">
        <f>IF($D4544="","",IF(COUNTIF($D$2:$D4544,$D4544)&gt;1,"Trùng",""))</f>
        <v/>
      </c>
      <c r="S4544" s="22">
        <f>IF($D4544="","",IF(AND(LEN($D4544)=10,LEFT($D4544,1)="0",ISNUMBER(--$D4544)),"Có","Không"))</f>
        <v/>
      </c>
      <c r="T4544" s="22">
        <f>IF($D4544="","",IF(AND($C4544&lt;&gt;"",$Q4544="Có",$R4544="",$S4544="Có",AND($L4544&lt;&gt;"",OR($L4544&lt;&gt;"Chưa xác định",DANH_MUC!$L$9="Có"))),"Có","Không"))</f>
        <v/>
      </c>
      <c r="U4544" s="22">
        <f>IF(OR($D4544="",$T4544="Có"),"",IF($C4544="","Thiếu họ tên; ","")&amp;IF($S4544&lt;&gt;"Có","SĐT sai định dạng; ","")&amp;IF($R4544="Trùng","Trùng SĐT; ","")&amp;IF($Q4544&lt;&gt;"Có","Thiếu đồng ý bắt buộc; ","")&amp;IF($L4544="","Thiếu/sai Mã REF; ",IF(AND($L4544="Chưa xác định",DANH_MUC!$L$9&lt;&gt;"Có"),"Nguồn chưa xác định; ","")))</f>
        <v/>
      </c>
      <c r="V4544" s="22">
        <f>IF(OR($D4544="",$R4544="Trùng"),"",IF(COUNTIF(ORDERS!$C$2:$C$4995,$D4544)&gt;0,"Có","Không"))</f>
        <v/>
      </c>
      <c r="W4544" s="22">
        <f>IF(OR($D4544="",$R4544="Trùng"),"",COUNTIFS(ORDERS!$C$2:$C$4995,$D4544,ORDERS!$L$2:$L$4995,"Đã chuyển khoản"))</f>
        <v/>
      </c>
      <c r="X4544" s="23">
        <f>IF(OR($D4544="",$R4544="Trùng"),"",SUMIFS(ORDERS!$J$2:$J$4995,ORDERS!$C$2:$C$4995,$D4544,ORDERS!$L$2:$L$4995,"Đã chuyển khoản"))</f>
        <v/>
      </c>
      <c r="Y4544" s="24" t="n"/>
    </row>
    <row r="4545" ht="14.25" customHeight="1" s="40">
      <c r="A4545" s="24" t="n"/>
      <c r="B4545" s="27" t="n"/>
      <c r="C4545" s="24" t="n"/>
      <c r="D4545" s="28" t="n"/>
      <c r="E4545" s="29" t="n"/>
      <c r="F4545" s="24" t="n"/>
      <c r="G4545" s="24" t="n"/>
      <c r="H4545" s="21">
        <f>IF(ISNUMBER($B4545),INT($B4545)-WEEKDAY($B4545,2)+1,"")</f>
        <v/>
      </c>
      <c r="I4545" s="24" t="n"/>
      <c r="J4545" s="22">
        <f t="array" ref="J4545">IF($D4545="","",IF($I4545="","(trống REF)",IFERROR(INDEX(MASTER_SOURCE!$B$2:$B$495,MATCH($I4545,MASTER_SOURCE!$A$2:$A$495,0)),"(REF không có trong MASTER_SOURCE)")))</f>
        <v/>
      </c>
      <c r="K4545" s="22">
        <f t="array" ref="K4545">IF($D4545="","",IFERROR(INDEX(MASTER_SOURCE!$C$2:$C$495,MATCH($I4545,MASTER_SOURCE!$A$2:$A$495,0)),""))</f>
        <v/>
      </c>
      <c r="L4545" s="22">
        <f t="array" ref="L4545">IF($D4545="","",IFERROR(INDEX(MASTER_SOURCE!$D$2:$D$495,MATCH($I4545,MASTER_SOURCE!$A$2:$A$495,0)),""))</f>
        <v/>
      </c>
      <c r="M4545" s="24" t="n"/>
      <c r="N4545" s="24" t="n"/>
      <c r="O4545" s="24" t="n"/>
      <c r="P4545" s="24" t="n"/>
      <c r="Q4545" s="22">
        <f>IF($D4545="","",IF(AND(OR(DANH_MUC!$L$5&lt;&gt;"Có",M4545="Có"),OR(DANH_MUC!$L$6&lt;&gt;"Có",N4545="Có"),OR(DANH_MUC!$L$7&lt;&gt;"Có",O4545="Có"),OR(DANH_MUC!$L$8&lt;&gt;"Có",P4545="Có")),"Có","Không"))</f>
        <v/>
      </c>
      <c r="R4545" s="22">
        <f>IF($D4545="","",IF(COUNTIF($D$2:$D4545,$D4545)&gt;1,"Trùng",""))</f>
        <v/>
      </c>
      <c r="S4545" s="22">
        <f>IF($D4545="","",IF(AND(LEN($D4545)=10,LEFT($D4545,1)="0",ISNUMBER(--$D4545)),"Có","Không"))</f>
        <v/>
      </c>
      <c r="T4545" s="22">
        <f>IF($D4545="","",IF(AND($C4545&lt;&gt;"",$Q4545="Có",$R4545="",$S4545="Có",AND($L4545&lt;&gt;"",OR($L4545&lt;&gt;"Chưa xác định",DANH_MUC!$L$9="Có"))),"Có","Không"))</f>
        <v/>
      </c>
      <c r="U4545" s="22">
        <f>IF(OR($D4545="",$T4545="Có"),"",IF($C4545="","Thiếu họ tên; ","")&amp;IF($S4545&lt;&gt;"Có","SĐT sai định dạng; ","")&amp;IF($R4545="Trùng","Trùng SĐT; ","")&amp;IF($Q4545&lt;&gt;"Có","Thiếu đồng ý bắt buộc; ","")&amp;IF($L4545="","Thiếu/sai Mã REF; ",IF(AND($L4545="Chưa xác định",DANH_MUC!$L$9&lt;&gt;"Có"),"Nguồn chưa xác định; ","")))</f>
        <v/>
      </c>
      <c r="V4545" s="22">
        <f>IF(OR($D4545="",$R4545="Trùng"),"",IF(COUNTIF(ORDERS!$C$2:$C$4995,$D4545)&gt;0,"Có","Không"))</f>
        <v/>
      </c>
      <c r="W4545" s="22">
        <f>IF(OR($D4545="",$R4545="Trùng"),"",COUNTIFS(ORDERS!$C$2:$C$4995,$D4545,ORDERS!$L$2:$L$4995,"Đã chuyển khoản"))</f>
        <v/>
      </c>
      <c r="X4545" s="23">
        <f>IF(OR($D4545="",$R4545="Trùng"),"",SUMIFS(ORDERS!$J$2:$J$4995,ORDERS!$C$2:$C$4995,$D4545,ORDERS!$L$2:$L$4995,"Đã chuyển khoản"))</f>
        <v/>
      </c>
      <c r="Y4545" s="24" t="n"/>
    </row>
    <row r="4546" ht="14.25" customHeight="1" s="40">
      <c r="A4546" s="24" t="n"/>
      <c r="B4546" s="27" t="n"/>
      <c r="C4546" s="24" t="n"/>
      <c r="D4546" s="28" t="n"/>
      <c r="E4546" s="29" t="n"/>
      <c r="F4546" s="24" t="n"/>
      <c r="G4546" s="24" t="n"/>
      <c r="H4546" s="21">
        <f>IF(ISNUMBER($B4546),INT($B4546)-WEEKDAY($B4546,2)+1,"")</f>
        <v/>
      </c>
      <c r="I4546" s="24" t="n"/>
      <c r="J4546" s="22">
        <f t="array" ref="J4546">IF($D4546="","",IF($I4546="","(trống REF)",IFERROR(INDEX(MASTER_SOURCE!$B$2:$B$495,MATCH($I4546,MASTER_SOURCE!$A$2:$A$495,0)),"(REF không có trong MASTER_SOURCE)")))</f>
        <v/>
      </c>
      <c r="K4546" s="22">
        <f t="array" ref="K4546">IF($D4546="","",IFERROR(INDEX(MASTER_SOURCE!$C$2:$C$495,MATCH($I4546,MASTER_SOURCE!$A$2:$A$495,0)),""))</f>
        <v/>
      </c>
      <c r="L4546" s="22">
        <f t="array" ref="L4546">IF($D4546="","",IFERROR(INDEX(MASTER_SOURCE!$D$2:$D$495,MATCH($I4546,MASTER_SOURCE!$A$2:$A$495,0)),""))</f>
        <v/>
      </c>
      <c r="M4546" s="24" t="n"/>
      <c r="N4546" s="24" t="n"/>
      <c r="O4546" s="24" t="n"/>
      <c r="P4546" s="24" t="n"/>
      <c r="Q4546" s="22">
        <f>IF($D4546="","",IF(AND(OR(DANH_MUC!$L$5&lt;&gt;"Có",M4546="Có"),OR(DANH_MUC!$L$6&lt;&gt;"Có",N4546="Có"),OR(DANH_MUC!$L$7&lt;&gt;"Có",O4546="Có"),OR(DANH_MUC!$L$8&lt;&gt;"Có",P4546="Có")),"Có","Không"))</f>
        <v/>
      </c>
      <c r="R4546" s="22">
        <f>IF($D4546="","",IF(COUNTIF($D$2:$D4546,$D4546)&gt;1,"Trùng",""))</f>
        <v/>
      </c>
      <c r="S4546" s="22">
        <f>IF($D4546="","",IF(AND(LEN($D4546)=10,LEFT($D4546,1)="0",ISNUMBER(--$D4546)),"Có","Không"))</f>
        <v/>
      </c>
      <c r="T4546" s="22">
        <f>IF($D4546="","",IF(AND($C4546&lt;&gt;"",$Q4546="Có",$R4546="",$S4546="Có",AND($L4546&lt;&gt;"",OR($L4546&lt;&gt;"Chưa xác định",DANH_MUC!$L$9="Có"))),"Có","Không"))</f>
        <v/>
      </c>
      <c r="U4546" s="22">
        <f>IF(OR($D4546="",$T4546="Có"),"",IF($C4546="","Thiếu họ tên; ","")&amp;IF($S4546&lt;&gt;"Có","SĐT sai định dạng; ","")&amp;IF($R4546="Trùng","Trùng SĐT; ","")&amp;IF($Q4546&lt;&gt;"Có","Thiếu đồng ý bắt buộc; ","")&amp;IF($L4546="","Thiếu/sai Mã REF; ",IF(AND($L4546="Chưa xác định",DANH_MUC!$L$9&lt;&gt;"Có"),"Nguồn chưa xác định; ","")))</f>
        <v/>
      </c>
      <c r="V4546" s="22">
        <f>IF(OR($D4546="",$R4546="Trùng"),"",IF(COUNTIF(ORDERS!$C$2:$C$4995,$D4546)&gt;0,"Có","Không"))</f>
        <v/>
      </c>
      <c r="W4546" s="22">
        <f>IF(OR($D4546="",$R4546="Trùng"),"",COUNTIFS(ORDERS!$C$2:$C$4995,$D4546,ORDERS!$L$2:$L$4995,"Đã chuyển khoản"))</f>
        <v/>
      </c>
      <c r="X4546" s="23">
        <f>IF(OR($D4546="",$R4546="Trùng"),"",SUMIFS(ORDERS!$J$2:$J$4995,ORDERS!$C$2:$C$4995,$D4546,ORDERS!$L$2:$L$4995,"Đã chuyển khoản"))</f>
        <v/>
      </c>
      <c r="Y4546" s="24" t="n"/>
    </row>
    <row r="4547" ht="14.25" customHeight="1" s="40">
      <c r="A4547" s="24" t="n"/>
      <c r="B4547" s="27" t="n"/>
      <c r="C4547" s="24" t="n"/>
      <c r="D4547" s="28" t="n"/>
      <c r="E4547" s="29" t="n"/>
      <c r="F4547" s="24" t="n"/>
      <c r="G4547" s="24" t="n"/>
      <c r="H4547" s="21">
        <f>IF(ISNUMBER($B4547),INT($B4547)-WEEKDAY($B4547,2)+1,"")</f>
        <v/>
      </c>
      <c r="I4547" s="24" t="n"/>
      <c r="J4547" s="22">
        <f t="array" ref="J4547">IF($D4547="","",IF($I4547="","(trống REF)",IFERROR(INDEX(MASTER_SOURCE!$B$2:$B$495,MATCH($I4547,MASTER_SOURCE!$A$2:$A$495,0)),"(REF không có trong MASTER_SOURCE)")))</f>
        <v/>
      </c>
      <c r="K4547" s="22">
        <f t="array" ref="K4547">IF($D4547="","",IFERROR(INDEX(MASTER_SOURCE!$C$2:$C$495,MATCH($I4547,MASTER_SOURCE!$A$2:$A$495,0)),""))</f>
        <v/>
      </c>
      <c r="L4547" s="22">
        <f t="array" ref="L4547">IF($D4547="","",IFERROR(INDEX(MASTER_SOURCE!$D$2:$D$495,MATCH($I4547,MASTER_SOURCE!$A$2:$A$495,0)),""))</f>
        <v/>
      </c>
      <c r="M4547" s="24" t="n"/>
      <c r="N4547" s="24" t="n"/>
      <c r="O4547" s="24" t="n"/>
      <c r="P4547" s="24" t="n"/>
      <c r="Q4547" s="22">
        <f>IF($D4547="","",IF(AND(OR(DANH_MUC!$L$5&lt;&gt;"Có",M4547="Có"),OR(DANH_MUC!$L$6&lt;&gt;"Có",N4547="Có"),OR(DANH_MUC!$L$7&lt;&gt;"Có",O4547="Có"),OR(DANH_MUC!$L$8&lt;&gt;"Có",P4547="Có")),"Có","Không"))</f>
        <v/>
      </c>
      <c r="R4547" s="22">
        <f>IF($D4547="","",IF(COUNTIF($D$2:$D4547,$D4547)&gt;1,"Trùng",""))</f>
        <v/>
      </c>
      <c r="S4547" s="22">
        <f>IF($D4547="","",IF(AND(LEN($D4547)=10,LEFT($D4547,1)="0",ISNUMBER(--$D4547)),"Có","Không"))</f>
        <v/>
      </c>
      <c r="T4547" s="22">
        <f>IF($D4547="","",IF(AND($C4547&lt;&gt;"",$Q4547="Có",$R4547="",$S4547="Có",AND($L4547&lt;&gt;"",OR($L4547&lt;&gt;"Chưa xác định",DANH_MUC!$L$9="Có"))),"Có","Không"))</f>
        <v/>
      </c>
      <c r="U4547" s="22">
        <f>IF(OR($D4547="",$T4547="Có"),"",IF($C4547="","Thiếu họ tên; ","")&amp;IF($S4547&lt;&gt;"Có","SĐT sai định dạng; ","")&amp;IF($R4547="Trùng","Trùng SĐT; ","")&amp;IF($Q4547&lt;&gt;"Có","Thiếu đồng ý bắt buộc; ","")&amp;IF($L4547="","Thiếu/sai Mã REF; ",IF(AND($L4547="Chưa xác định",DANH_MUC!$L$9&lt;&gt;"Có"),"Nguồn chưa xác định; ","")))</f>
        <v/>
      </c>
      <c r="V4547" s="22">
        <f>IF(OR($D4547="",$R4547="Trùng"),"",IF(COUNTIF(ORDERS!$C$2:$C$4995,$D4547)&gt;0,"Có","Không"))</f>
        <v/>
      </c>
      <c r="W4547" s="22">
        <f>IF(OR($D4547="",$R4547="Trùng"),"",COUNTIFS(ORDERS!$C$2:$C$4995,$D4547,ORDERS!$L$2:$L$4995,"Đã chuyển khoản"))</f>
        <v/>
      </c>
      <c r="X4547" s="23">
        <f>IF(OR($D4547="",$R4547="Trùng"),"",SUMIFS(ORDERS!$J$2:$J$4995,ORDERS!$C$2:$C$4995,$D4547,ORDERS!$L$2:$L$4995,"Đã chuyển khoản"))</f>
        <v/>
      </c>
      <c r="Y4547" s="24" t="n"/>
    </row>
    <row r="4548" ht="14.25" customHeight="1" s="40">
      <c r="A4548" s="24" t="n"/>
      <c r="B4548" s="27" t="n"/>
      <c r="C4548" s="24" t="n"/>
      <c r="D4548" s="28" t="n"/>
      <c r="E4548" s="29" t="n"/>
      <c r="F4548" s="24" t="n"/>
      <c r="G4548" s="24" t="n"/>
      <c r="H4548" s="21">
        <f>IF(ISNUMBER($B4548),INT($B4548)-WEEKDAY($B4548,2)+1,"")</f>
        <v/>
      </c>
      <c r="I4548" s="24" t="n"/>
      <c r="J4548" s="22">
        <f t="array" ref="J4548">IF($D4548="","",IF($I4548="","(trống REF)",IFERROR(INDEX(MASTER_SOURCE!$B$2:$B$495,MATCH($I4548,MASTER_SOURCE!$A$2:$A$495,0)),"(REF không có trong MASTER_SOURCE)")))</f>
        <v/>
      </c>
      <c r="K4548" s="22">
        <f t="array" ref="K4548">IF($D4548="","",IFERROR(INDEX(MASTER_SOURCE!$C$2:$C$495,MATCH($I4548,MASTER_SOURCE!$A$2:$A$495,0)),""))</f>
        <v/>
      </c>
      <c r="L4548" s="22">
        <f t="array" ref="L4548">IF($D4548="","",IFERROR(INDEX(MASTER_SOURCE!$D$2:$D$495,MATCH($I4548,MASTER_SOURCE!$A$2:$A$495,0)),""))</f>
        <v/>
      </c>
      <c r="M4548" s="24" t="n"/>
      <c r="N4548" s="24" t="n"/>
      <c r="O4548" s="24" t="n"/>
      <c r="P4548" s="24" t="n"/>
      <c r="Q4548" s="22">
        <f>IF($D4548="","",IF(AND(OR(DANH_MUC!$L$5&lt;&gt;"Có",M4548="Có"),OR(DANH_MUC!$L$6&lt;&gt;"Có",N4548="Có"),OR(DANH_MUC!$L$7&lt;&gt;"Có",O4548="Có"),OR(DANH_MUC!$L$8&lt;&gt;"Có",P4548="Có")),"Có","Không"))</f>
        <v/>
      </c>
      <c r="R4548" s="22">
        <f>IF($D4548="","",IF(COUNTIF($D$2:$D4548,$D4548)&gt;1,"Trùng",""))</f>
        <v/>
      </c>
      <c r="S4548" s="22">
        <f>IF($D4548="","",IF(AND(LEN($D4548)=10,LEFT($D4548,1)="0",ISNUMBER(--$D4548)),"Có","Không"))</f>
        <v/>
      </c>
      <c r="T4548" s="22">
        <f>IF($D4548="","",IF(AND($C4548&lt;&gt;"",$Q4548="Có",$R4548="",$S4548="Có",AND($L4548&lt;&gt;"",OR($L4548&lt;&gt;"Chưa xác định",DANH_MUC!$L$9="Có"))),"Có","Không"))</f>
        <v/>
      </c>
      <c r="U4548" s="22">
        <f>IF(OR($D4548="",$T4548="Có"),"",IF($C4548="","Thiếu họ tên; ","")&amp;IF($S4548&lt;&gt;"Có","SĐT sai định dạng; ","")&amp;IF($R4548="Trùng","Trùng SĐT; ","")&amp;IF($Q4548&lt;&gt;"Có","Thiếu đồng ý bắt buộc; ","")&amp;IF($L4548="","Thiếu/sai Mã REF; ",IF(AND($L4548="Chưa xác định",DANH_MUC!$L$9&lt;&gt;"Có"),"Nguồn chưa xác định; ","")))</f>
        <v/>
      </c>
      <c r="V4548" s="22">
        <f>IF(OR($D4548="",$R4548="Trùng"),"",IF(COUNTIF(ORDERS!$C$2:$C$4995,$D4548)&gt;0,"Có","Không"))</f>
        <v/>
      </c>
      <c r="W4548" s="22">
        <f>IF(OR($D4548="",$R4548="Trùng"),"",COUNTIFS(ORDERS!$C$2:$C$4995,$D4548,ORDERS!$L$2:$L$4995,"Đã chuyển khoản"))</f>
        <v/>
      </c>
      <c r="X4548" s="23">
        <f>IF(OR($D4548="",$R4548="Trùng"),"",SUMIFS(ORDERS!$J$2:$J$4995,ORDERS!$C$2:$C$4995,$D4548,ORDERS!$L$2:$L$4995,"Đã chuyển khoản"))</f>
        <v/>
      </c>
      <c r="Y4548" s="24" t="n"/>
    </row>
    <row r="4549" ht="14.25" customHeight="1" s="40">
      <c r="A4549" s="24" t="n"/>
      <c r="B4549" s="27" t="n"/>
      <c r="C4549" s="24" t="n"/>
      <c r="D4549" s="28" t="n"/>
      <c r="E4549" s="29" t="n"/>
      <c r="F4549" s="24" t="n"/>
      <c r="G4549" s="24" t="n"/>
      <c r="H4549" s="21">
        <f>IF(ISNUMBER($B4549),INT($B4549)-WEEKDAY($B4549,2)+1,"")</f>
        <v/>
      </c>
      <c r="I4549" s="24" t="n"/>
      <c r="J4549" s="22">
        <f t="array" ref="J4549">IF($D4549="","",IF($I4549="","(trống REF)",IFERROR(INDEX(MASTER_SOURCE!$B$2:$B$495,MATCH($I4549,MASTER_SOURCE!$A$2:$A$495,0)),"(REF không có trong MASTER_SOURCE)")))</f>
        <v/>
      </c>
      <c r="K4549" s="22">
        <f t="array" ref="K4549">IF($D4549="","",IFERROR(INDEX(MASTER_SOURCE!$C$2:$C$495,MATCH($I4549,MASTER_SOURCE!$A$2:$A$495,0)),""))</f>
        <v/>
      </c>
      <c r="L4549" s="22">
        <f t="array" ref="L4549">IF($D4549="","",IFERROR(INDEX(MASTER_SOURCE!$D$2:$D$495,MATCH($I4549,MASTER_SOURCE!$A$2:$A$495,0)),""))</f>
        <v/>
      </c>
      <c r="M4549" s="24" t="n"/>
      <c r="N4549" s="24" t="n"/>
      <c r="O4549" s="24" t="n"/>
      <c r="P4549" s="24" t="n"/>
      <c r="Q4549" s="22">
        <f>IF($D4549="","",IF(AND(OR(DANH_MUC!$L$5&lt;&gt;"Có",M4549="Có"),OR(DANH_MUC!$L$6&lt;&gt;"Có",N4549="Có"),OR(DANH_MUC!$L$7&lt;&gt;"Có",O4549="Có"),OR(DANH_MUC!$L$8&lt;&gt;"Có",P4549="Có")),"Có","Không"))</f>
        <v/>
      </c>
      <c r="R4549" s="22">
        <f>IF($D4549="","",IF(COUNTIF($D$2:$D4549,$D4549)&gt;1,"Trùng",""))</f>
        <v/>
      </c>
      <c r="S4549" s="22">
        <f>IF($D4549="","",IF(AND(LEN($D4549)=10,LEFT($D4549,1)="0",ISNUMBER(--$D4549)),"Có","Không"))</f>
        <v/>
      </c>
      <c r="T4549" s="22">
        <f>IF($D4549="","",IF(AND($C4549&lt;&gt;"",$Q4549="Có",$R4549="",$S4549="Có",AND($L4549&lt;&gt;"",OR($L4549&lt;&gt;"Chưa xác định",DANH_MUC!$L$9="Có"))),"Có","Không"))</f>
        <v/>
      </c>
      <c r="U4549" s="22">
        <f>IF(OR($D4549="",$T4549="Có"),"",IF($C4549="","Thiếu họ tên; ","")&amp;IF($S4549&lt;&gt;"Có","SĐT sai định dạng; ","")&amp;IF($R4549="Trùng","Trùng SĐT; ","")&amp;IF($Q4549&lt;&gt;"Có","Thiếu đồng ý bắt buộc; ","")&amp;IF($L4549="","Thiếu/sai Mã REF; ",IF(AND($L4549="Chưa xác định",DANH_MUC!$L$9&lt;&gt;"Có"),"Nguồn chưa xác định; ","")))</f>
        <v/>
      </c>
      <c r="V4549" s="22">
        <f>IF(OR($D4549="",$R4549="Trùng"),"",IF(COUNTIF(ORDERS!$C$2:$C$4995,$D4549)&gt;0,"Có","Không"))</f>
        <v/>
      </c>
      <c r="W4549" s="22">
        <f>IF(OR($D4549="",$R4549="Trùng"),"",COUNTIFS(ORDERS!$C$2:$C$4995,$D4549,ORDERS!$L$2:$L$4995,"Đã chuyển khoản"))</f>
        <v/>
      </c>
      <c r="X4549" s="23">
        <f>IF(OR($D4549="",$R4549="Trùng"),"",SUMIFS(ORDERS!$J$2:$J$4995,ORDERS!$C$2:$C$4995,$D4549,ORDERS!$L$2:$L$4995,"Đã chuyển khoản"))</f>
        <v/>
      </c>
      <c r="Y4549" s="24" t="n"/>
    </row>
    <row r="4550" ht="14.25" customHeight="1" s="40">
      <c r="A4550" s="24" t="n"/>
      <c r="B4550" s="27" t="n"/>
      <c r="C4550" s="24" t="n"/>
      <c r="D4550" s="28" t="n"/>
      <c r="E4550" s="29" t="n"/>
      <c r="F4550" s="24" t="n"/>
      <c r="G4550" s="24" t="n"/>
      <c r="H4550" s="21">
        <f>IF(ISNUMBER($B4550),INT($B4550)-WEEKDAY($B4550,2)+1,"")</f>
        <v/>
      </c>
      <c r="I4550" s="24" t="n"/>
      <c r="J4550" s="22">
        <f t="array" ref="J4550">IF($D4550="","",IF($I4550="","(trống REF)",IFERROR(INDEX(MASTER_SOURCE!$B$2:$B$495,MATCH($I4550,MASTER_SOURCE!$A$2:$A$495,0)),"(REF không có trong MASTER_SOURCE)")))</f>
        <v/>
      </c>
      <c r="K4550" s="22">
        <f t="array" ref="K4550">IF($D4550="","",IFERROR(INDEX(MASTER_SOURCE!$C$2:$C$495,MATCH($I4550,MASTER_SOURCE!$A$2:$A$495,0)),""))</f>
        <v/>
      </c>
      <c r="L4550" s="22">
        <f t="array" ref="L4550">IF($D4550="","",IFERROR(INDEX(MASTER_SOURCE!$D$2:$D$495,MATCH($I4550,MASTER_SOURCE!$A$2:$A$495,0)),""))</f>
        <v/>
      </c>
      <c r="M4550" s="24" t="n"/>
      <c r="N4550" s="24" t="n"/>
      <c r="O4550" s="24" t="n"/>
      <c r="P4550" s="24" t="n"/>
      <c r="Q4550" s="22">
        <f>IF($D4550="","",IF(AND(OR(DANH_MUC!$L$5&lt;&gt;"Có",M4550="Có"),OR(DANH_MUC!$L$6&lt;&gt;"Có",N4550="Có"),OR(DANH_MUC!$L$7&lt;&gt;"Có",O4550="Có"),OR(DANH_MUC!$L$8&lt;&gt;"Có",P4550="Có")),"Có","Không"))</f>
        <v/>
      </c>
      <c r="R4550" s="22">
        <f>IF($D4550="","",IF(COUNTIF($D$2:$D4550,$D4550)&gt;1,"Trùng",""))</f>
        <v/>
      </c>
      <c r="S4550" s="22">
        <f>IF($D4550="","",IF(AND(LEN($D4550)=10,LEFT($D4550,1)="0",ISNUMBER(--$D4550)),"Có","Không"))</f>
        <v/>
      </c>
      <c r="T4550" s="22">
        <f>IF($D4550="","",IF(AND($C4550&lt;&gt;"",$Q4550="Có",$R4550="",$S4550="Có",AND($L4550&lt;&gt;"",OR($L4550&lt;&gt;"Chưa xác định",DANH_MUC!$L$9="Có"))),"Có","Không"))</f>
        <v/>
      </c>
      <c r="U4550" s="22">
        <f>IF(OR($D4550="",$T4550="Có"),"",IF($C4550="","Thiếu họ tên; ","")&amp;IF($S4550&lt;&gt;"Có","SĐT sai định dạng; ","")&amp;IF($R4550="Trùng","Trùng SĐT; ","")&amp;IF($Q4550&lt;&gt;"Có","Thiếu đồng ý bắt buộc; ","")&amp;IF($L4550="","Thiếu/sai Mã REF; ",IF(AND($L4550="Chưa xác định",DANH_MUC!$L$9&lt;&gt;"Có"),"Nguồn chưa xác định; ","")))</f>
        <v/>
      </c>
      <c r="V4550" s="22">
        <f>IF(OR($D4550="",$R4550="Trùng"),"",IF(COUNTIF(ORDERS!$C$2:$C$4995,$D4550)&gt;0,"Có","Không"))</f>
        <v/>
      </c>
      <c r="W4550" s="22">
        <f>IF(OR($D4550="",$R4550="Trùng"),"",COUNTIFS(ORDERS!$C$2:$C$4995,$D4550,ORDERS!$L$2:$L$4995,"Đã chuyển khoản"))</f>
        <v/>
      </c>
      <c r="X4550" s="23">
        <f>IF(OR($D4550="",$R4550="Trùng"),"",SUMIFS(ORDERS!$J$2:$J$4995,ORDERS!$C$2:$C$4995,$D4550,ORDERS!$L$2:$L$4995,"Đã chuyển khoản"))</f>
        <v/>
      </c>
      <c r="Y4550" s="24" t="n"/>
    </row>
    <row r="4551" ht="14.25" customHeight="1" s="40">
      <c r="A4551" s="24" t="n"/>
      <c r="B4551" s="27" t="n"/>
      <c r="C4551" s="24" t="n"/>
      <c r="D4551" s="28" t="n"/>
      <c r="E4551" s="29" t="n"/>
      <c r="F4551" s="24" t="n"/>
      <c r="G4551" s="24" t="n"/>
      <c r="H4551" s="21">
        <f>IF(ISNUMBER($B4551),INT($B4551)-WEEKDAY($B4551,2)+1,"")</f>
        <v/>
      </c>
      <c r="I4551" s="24" t="n"/>
      <c r="J4551" s="22">
        <f t="array" ref="J4551">IF($D4551="","",IF($I4551="","(trống REF)",IFERROR(INDEX(MASTER_SOURCE!$B$2:$B$495,MATCH($I4551,MASTER_SOURCE!$A$2:$A$495,0)),"(REF không có trong MASTER_SOURCE)")))</f>
        <v/>
      </c>
      <c r="K4551" s="22">
        <f t="array" ref="K4551">IF($D4551="","",IFERROR(INDEX(MASTER_SOURCE!$C$2:$C$495,MATCH($I4551,MASTER_SOURCE!$A$2:$A$495,0)),""))</f>
        <v/>
      </c>
      <c r="L4551" s="22">
        <f t="array" ref="L4551">IF($D4551="","",IFERROR(INDEX(MASTER_SOURCE!$D$2:$D$495,MATCH($I4551,MASTER_SOURCE!$A$2:$A$495,0)),""))</f>
        <v/>
      </c>
      <c r="M4551" s="24" t="n"/>
      <c r="N4551" s="24" t="n"/>
      <c r="O4551" s="24" t="n"/>
      <c r="P4551" s="24" t="n"/>
      <c r="Q4551" s="22">
        <f>IF($D4551="","",IF(AND(OR(DANH_MUC!$L$5&lt;&gt;"Có",M4551="Có"),OR(DANH_MUC!$L$6&lt;&gt;"Có",N4551="Có"),OR(DANH_MUC!$L$7&lt;&gt;"Có",O4551="Có"),OR(DANH_MUC!$L$8&lt;&gt;"Có",P4551="Có")),"Có","Không"))</f>
        <v/>
      </c>
      <c r="R4551" s="22">
        <f>IF($D4551="","",IF(COUNTIF($D$2:$D4551,$D4551)&gt;1,"Trùng",""))</f>
        <v/>
      </c>
      <c r="S4551" s="22">
        <f>IF($D4551="","",IF(AND(LEN($D4551)=10,LEFT($D4551,1)="0",ISNUMBER(--$D4551)),"Có","Không"))</f>
        <v/>
      </c>
      <c r="T4551" s="22">
        <f>IF($D4551="","",IF(AND($C4551&lt;&gt;"",$Q4551="Có",$R4551="",$S4551="Có",AND($L4551&lt;&gt;"",OR($L4551&lt;&gt;"Chưa xác định",DANH_MUC!$L$9="Có"))),"Có","Không"))</f>
        <v/>
      </c>
      <c r="U4551" s="22">
        <f>IF(OR($D4551="",$T4551="Có"),"",IF($C4551="","Thiếu họ tên; ","")&amp;IF($S4551&lt;&gt;"Có","SĐT sai định dạng; ","")&amp;IF($R4551="Trùng","Trùng SĐT; ","")&amp;IF($Q4551&lt;&gt;"Có","Thiếu đồng ý bắt buộc; ","")&amp;IF($L4551="","Thiếu/sai Mã REF; ",IF(AND($L4551="Chưa xác định",DANH_MUC!$L$9&lt;&gt;"Có"),"Nguồn chưa xác định; ","")))</f>
        <v/>
      </c>
      <c r="V4551" s="22">
        <f>IF(OR($D4551="",$R4551="Trùng"),"",IF(COUNTIF(ORDERS!$C$2:$C$4995,$D4551)&gt;0,"Có","Không"))</f>
        <v/>
      </c>
      <c r="W4551" s="22">
        <f>IF(OR($D4551="",$R4551="Trùng"),"",COUNTIFS(ORDERS!$C$2:$C$4995,$D4551,ORDERS!$L$2:$L$4995,"Đã chuyển khoản"))</f>
        <v/>
      </c>
      <c r="X4551" s="23">
        <f>IF(OR($D4551="",$R4551="Trùng"),"",SUMIFS(ORDERS!$J$2:$J$4995,ORDERS!$C$2:$C$4995,$D4551,ORDERS!$L$2:$L$4995,"Đã chuyển khoản"))</f>
        <v/>
      </c>
      <c r="Y4551" s="24" t="n"/>
    </row>
    <row r="4552" ht="14.25" customHeight="1" s="40">
      <c r="A4552" s="24" t="n"/>
      <c r="B4552" s="27" t="n"/>
      <c r="C4552" s="24" t="n"/>
      <c r="D4552" s="28" t="n"/>
      <c r="E4552" s="29" t="n"/>
      <c r="F4552" s="24" t="n"/>
      <c r="G4552" s="24" t="n"/>
      <c r="H4552" s="21">
        <f>IF(ISNUMBER($B4552),INT($B4552)-WEEKDAY($B4552,2)+1,"")</f>
        <v/>
      </c>
      <c r="I4552" s="24" t="n"/>
      <c r="J4552" s="22">
        <f t="array" ref="J4552">IF($D4552="","",IF($I4552="","(trống REF)",IFERROR(INDEX(MASTER_SOURCE!$B$2:$B$495,MATCH($I4552,MASTER_SOURCE!$A$2:$A$495,0)),"(REF không có trong MASTER_SOURCE)")))</f>
        <v/>
      </c>
      <c r="K4552" s="22">
        <f t="array" ref="K4552">IF($D4552="","",IFERROR(INDEX(MASTER_SOURCE!$C$2:$C$495,MATCH($I4552,MASTER_SOURCE!$A$2:$A$495,0)),""))</f>
        <v/>
      </c>
      <c r="L4552" s="22">
        <f t="array" ref="L4552">IF($D4552="","",IFERROR(INDEX(MASTER_SOURCE!$D$2:$D$495,MATCH($I4552,MASTER_SOURCE!$A$2:$A$495,0)),""))</f>
        <v/>
      </c>
      <c r="M4552" s="24" t="n"/>
      <c r="N4552" s="24" t="n"/>
      <c r="O4552" s="24" t="n"/>
      <c r="P4552" s="24" t="n"/>
      <c r="Q4552" s="22">
        <f>IF($D4552="","",IF(AND(OR(DANH_MUC!$L$5&lt;&gt;"Có",M4552="Có"),OR(DANH_MUC!$L$6&lt;&gt;"Có",N4552="Có"),OR(DANH_MUC!$L$7&lt;&gt;"Có",O4552="Có"),OR(DANH_MUC!$L$8&lt;&gt;"Có",P4552="Có")),"Có","Không"))</f>
        <v/>
      </c>
      <c r="R4552" s="22">
        <f>IF($D4552="","",IF(COUNTIF($D$2:$D4552,$D4552)&gt;1,"Trùng",""))</f>
        <v/>
      </c>
      <c r="S4552" s="22">
        <f>IF($D4552="","",IF(AND(LEN($D4552)=10,LEFT($D4552,1)="0",ISNUMBER(--$D4552)),"Có","Không"))</f>
        <v/>
      </c>
      <c r="T4552" s="22">
        <f>IF($D4552="","",IF(AND($C4552&lt;&gt;"",$Q4552="Có",$R4552="",$S4552="Có",AND($L4552&lt;&gt;"",OR($L4552&lt;&gt;"Chưa xác định",DANH_MUC!$L$9="Có"))),"Có","Không"))</f>
        <v/>
      </c>
      <c r="U4552" s="22">
        <f>IF(OR($D4552="",$T4552="Có"),"",IF($C4552="","Thiếu họ tên; ","")&amp;IF($S4552&lt;&gt;"Có","SĐT sai định dạng; ","")&amp;IF($R4552="Trùng","Trùng SĐT; ","")&amp;IF($Q4552&lt;&gt;"Có","Thiếu đồng ý bắt buộc; ","")&amp;IF($L4552="","Thiếu/sai Mã REF; ",IF(AND($L4552="Chưa xác định",DANH_MUC!$L$9&lt;&gt;"Có"),"Nguồn chưa xác định; ","")))</f>
        <v/>
      </c>
      <c r="V4552" s="22">
        <f>IF(OR($D4552="",$R4552="Trùng"),"",IF(COUNTIF(ORDERS!$C$2:$C$4995,$D4552)&gt;0,"Có","Không"))</f>
        <v/>
      </c>
      <c r="W4552" s="22">
        <f>IF(OR($D4552="",$R4552="Trùng"),"",COUNTIFS(ORDERS!$C$2:$C$4995,$D4552,ORDERS!$L$2:$L$4995,"Đã chuyển khoản"))</f>
        <v/>
      </c>
      <c r="X4552" s="23">
        <f>IF(OR($D4552="",$R4552="Trùng"),"",SUMIFS(ORDERS!$J$2:$J$4995,ORDERS!$C$2:$C$4995,$D4552,ORDERS!$L$2:$L$4995,"Đã chuyển khoản"))</f>
        <v/>
      </c>
      <c r="Y4552" s="24" t="n"/>
    </row>
    <row r="4553" ht="14.25" customHeight="1" s="40">
      <c r="A4553" s="24" t="n"/>
      <c r="B4553" s="27" t="n"/>
      <c r="C4553" s="24" t="n"/>
      <c r="D4553" s="28" t="n"/>
      <c r="E4553" s="29" t="n"/>
      <c r="F4553" s="24" t="n"/>
      <c r="G4553" s="24" t="n"/>
      <c r="H4553" s="21">
        <f>IF(ISNUMBER($B4553),INT($B4553)-WEEKDAY($B4553,2)+1,"")</f>
        <v/>
      </c>
      <c r="I4553" s="24" t="n"/>
      <c r="J4553" s="22">
        <f t="array" ref="J4553">IF($D4553="","",IF($I4553="","(trống REF)",IFERROR(INDEX(MASTER_SOURCE!$B$2:$B$495,MATCH($I4553,MASTER_SOURCE!$A$2:$A$495,0)),"(REF không có trong MASTER_SOURCE)")))</f>
        <v/>
      </c>
      <c r="K4553" s="22">
        <f t="array" ref="K4553">IF($D4553="","",IFERROR(INDEX(MASTER_SOURCE!$C$2:$C$495,MATCH($I4553,MASTER_SOURCE!$A$2:$A$495,0)),""))</f>
        <v/>
      </c>
      <c r="L4553" s="22">
        <f t="array" ref="L4553">IF($D4553="","",IFERROR(INDEX(MASTER_SOURCE!$D$2:$D$495,MATCH($I4553,MASTER_SOURCE!$A$2:$A$495,0)),""))</f>
        <v/>
      </c>
      <c r="M4553" s="24" t="n"/>
      <c r="N4553" s="24" t="n"/>
      <c r="O4553" s="24" t="n"/>
      <c r="P4553" s="24" t="n"/>
      <c r="Q4553" s="22">
        <f>IF($D4553="","",IF(AND(OR(DANH_MUC!$L$5&lt;&gt;"Có",M4553="Có"),OR(DANH_MUC!$L$6&lt;&gt;"Có",N4553="Có"),OR(DANH_MUC!$L$7&lt;&gt;"Có",O4553="Có"),OR(DANH_MUC!$L$8&lt;&gt;"Có",P4553="Có")),"Có","Không"))</f>
        <v/>
      </c>
      <c r="R4553" s="22">
        <f>IF($D4553="","",IF(COUNTIF($D$2:$D4553,$D4553)&gt;1,"Trùng",""))</f>
        <v/>
      </c>
      <c r="S4553" s="22">
        <f>IF($D4553="","",IF(AND(LEN($D4553)=10,LEFT($D4553,1)="0",ISNUMBER(--$D4553)),"Có","Không"))</f>
        <v/>
      </c>
      <c r="T4553" s="22">
        <f>IF($D4553="","",IF(AND($C4553&lt;&gt;"",$Q4553="Có",$R4553="",$S4553="Có",AND($L4553&lt;&gt;"",OR($L4553&lt;&gt;"Chưa xác định",DANH_MUC!$L$9="Có"))),"Có","Không"))</f>
        <v/>
      </c>
      <c r="U4553" s="22">
        <f>IF(OR($D4553="",$T4553="Có"),"",IF($C4553="","Thiếu họ tên; ","")&amp;IF($S4553&lt;&gt;"Có","SĐT sai định dạng; ","")&amp;IF($R4553="Trùng","Trùng SĐT; ","")&amp;IF($Q4553&lt;&gt;"Có","Thiếu đồng ý bắt buộc; ","")&amp;IF($L4553="","Thiếu/sai Mã REF; ",IF(AND($L4553="Chưa xác định",DANH_MUC!$L$9&lt;&gt;"Có"),"Nguồn chưa xác định; ","")))</f>
        <v/>
      </c>
      <c r="V4553" s="22">
        <f>IF(OR($D4553="",$R4553="Trùng"),"",IF(COUNTIF(ORDERS!$C$2:$C$4995,$D4553)&gt;0,"Có","Không"))</f>
        <v/>
      </c>
      <c r="W4553" s="22">
        <f>IF(OR($D4553="",$R4553="Trùng"),"",COUNTIFS(ORDERS!$C$2:$C$4995,$D4553,ORDERS!$L$2:$L$4995,"Đã chuyển khoản"))</f>
        <v/>
      </c>
      <c r="X4553" s="23">
        <f>IF(OR($D4553="",$R4553="Trùng"),"",SUMIFS(ORDERS!$J$2:$J$4995,ORDERS!$C$2:$C$4995,$D4553,ORDERS!$L$2:$L$4995,"Đã chuyển khoản"))</f>
        <v/>
      </c>
      <c r="Y4553" s="24" t="n"/>
    </row>
    <row r="4554" ht="14.25" customHeight="1" s="40">
      <c r="A4554" s="24" t="n"/>
      <c r="B4554" s="27" t="n"/>
      <c r="C4554" s="24" t="n"/>
      <c r="D4554" s="28" t="n"/>
      <c r="E4554" s="29" t="n"/>
      <c r="F4554" s="24" t="n"/>
      <c r="G4554" s="24" t="n"/>
      <c r="H4554" s="21">
        <f>IF(ISNUMBER($B4554),INT($B4554)-WEEKDAY($B4554,2)+1,"")</f>
        <v/>
      </c>
      <c r="I4554" s="24" t="n"/>
      <c r="J4554" s="22">
        <f t="array" ref="J4554">IF($D4554="","",IF($I4554="","(trống REF)",IFERROR(INDEX(MASTER_SOURCE!$B$2:$B$495,MATCH($I4554,MASTER_SOURCE!$A$2:$A$495,0)),"(REF không có trong MASTER_SOURCE)")))</f>
        <v/>
      </c>
      <c r="K4554" s="22">
        <f t="array" ref="K4554">IF($D4554="","",IFERROR(INDEX(MASTER_SOURCE!$C$2:$C$495,MATCH($I4554,MASTER_SOURCE!$A$2:$A$495,0)),""))</f>
        <v/>
      </c>
      <c r="L4554" s="22">
        <f t="array" ref="L4554">IF($D4554="","",IFERROR(INDEX(MASTER_SOURCE!$D$2:$D$495,MATCH($I4554,MASTER_SOURCE!$A$2:$A$495,0)),""))</f>
        <v/>
      </c>
      <c r="M4554" s="24" t="n"/>
      <c r="N4554" s="24" t="n"/>
      <c r="O4554" s="24" t="n"/>
      <c r="P4554" s="24" t="n"/>
      <c r="Q4554" s="22">
        <f>IF($D4554="","",IF(AND(OR(DANH_MUC!$L$5&lt;&gt;"Có",M4554="Có"),OR(DANH_MUC!$L$6&lt;&gt;"Có",N4554="Có"),OR(DANH_MUC!$L$7&lt;&gt;"Có",O4554="Có"),OR(DANH_MUC!$L$8&lt;&gt;"Có",P4554="Có")),"Có","Không"))</f>
        <v/>
      </c>
      <c r="R4554" s="22">
        <f>IF($D4554="","",IF(COUNTIF($D$2:$D4554,$D4554)&gt;1,"Trùng",""))</f>
        <v/>
      </c>
      <c r="S4554" s="22">
        <f>IF($D4554="","",IF(AND(LEN($D4554)=10,LEFT($D4554,1)="0",ISNUMBER(--$D4554)),"Có","Không"))</f>
        <v/>
      </c>
      <c r="T4554" s="22">
        <f>IF($D4554="","",IF(AND($C4554&lt;&gt;"",$Q4554="Có",$R4554="",$S4554="Có",AND($L4554&lt;&gt;"",OR($L4554&lt;&gt;"Chưa xác định",DANH_MUC!$L$9="Có"))),"Có","Không"))</f>
        <v/>
      </c>
      <c r="U4554" s="22">
        <f>IF(OR($D4554="",$T4554="Có"),"",IF($C4554="","Thiếu họ tên; ","")&amp;IF($S4554&lt;&gt;"Có","SĐT sai định dạng; ","")&amp;IF($R4554="Trùng","Trùng SĐT; ","")&amp;IF($Q4554&lt;&gt;"Có","Thiếu đồng ý bắt buộc; ","")&amp;IF($L4554="","Thiếu/sai Mã REF; ",IF(AND($L4554="Chưa xác định",DANH_MUC!$L$9&lt;&gt;"Có"),"Nguồn chưa xác định; ","")))</f>
        <v/>
      </c>
      <c r="V4554" s="22">
        <f>IF(OR($D4554="",$R4554="Trùng"),"",IF(COUNTIF(ORDERS!$C$2:$C$4995,$D4554)&gt;0,"Có","Không"))</f>
        <v/>
      </c>
      <c r="W4554" s="22">
        <f>IF(OR($D4554="",$R4554="Trùng"),"",COUNTIFS(ORDERS!$C$2:$C$4995,$D4554,ORDERS!$L$2:$L$4995,"Đã chuyển khoản"))</f>
        <v/>
      </c>
      <c r="X4554" s="23">
        <f>IF(OR($D4554="",$R4554="Trùng"),"",SUMIFS(ORDERS!$J$2:$J$4995,ORDERS!$C$2:$C$4995,$D4554,ORDERS!$L$2:$L$4995,"Đã chuyển khoản"))</f>
        <v/>
      </c>
      <c r="Y4554" s="24" t="n"/>
    </row>
    <row r="4555" ht="14.25" customHeight="1" s="40">
      <c r="A4555" s="24" t="n"/>
      <c r="B4555" s="27" t="n"/>
      <c r="C4555" s="24" t="n"/>
      <c r="D4555" s="28" t="n"/>
      <c r="E4555" s="29" t="n"/>
      <c r="F4555" s="24" t="n"/>
      <c r="G4555" s="24" t="n"/>
      <c r="H4555" s="21">
        <f>IF(ISNUMBER($B4555),INT($B4555)-WEEKDAY($B4555,2)+1,"")</f>
        <v/>
      </c>
      <c r="I4555" s="24" t="n"/>
      <c r="J4555" s="22">
        <f t="array" ref="J4555">IF($D4555="","",IF($I4555="","(trống REF)",IFERROR(INDEX(MASTER_SOURCE!$B$2:$B$495,MATCH($I4555,MASTER_SOURCE!$A$2:$A$495,0)),"(REF không có trong MASTER_SOURCE)")))</f>
        <v/>
      </c>
      <c r="K4555" s="22">
        <f t="array" ref="K4555">IF($D4555="","",IFERROR(INDEX(MASTER_SOURCE!$C$2:$C$495,MATCH($I4555,MASTER_SOURCE!$A$2:$A$495,0)),""))</f>
        <v/>
      </c>
      <c r="L4555" s="22">
        <f t="array" ref="L4555">IF($D4555="","",IFERROR(INDEX(MASTER_SOURCE!$D$2:$D$495,MATCH($I4555,MASTER_SOURCE!$A$2:$A$495,0)),""))</f>
        <v/>
      </c>
      <c r="M4555" s="24" t="n"/>
      <c r="N4555" s="24" t="n"/>
      <c r="O4555" s="24" t="n"/>
      <c r="P4555" s="24" t="n"/>
      <c r="Q4555" s="22">
        <f>IF($D4555="","",IF(AND(OR(DANH_MUC!$L$5&lt;&gt;"Có",M4555="Có"),OR(DANH_MUC!$L$6&lt;&gt;"Có",N4555="Có"),OR(DANH_MUC!$L$7&lt;&gt;"Có",O4555="Có"),OR(DANH_MUC!$L$8&lt;&gt;"Có",P4555="Có")),"Có","Không"))</f>
        <v/>
      </c>
      <c r="R4555" s="22">
        <f>IF($D4555="","",IF(COUNTIF($D$2:$D4555,$D4555)&gt;1,"Trùng",""))</f>
        <v/>
      </c>
      <c r="S4555" s="22">
        <f>IF($D4555="","",IF(AND(LEN($D4555)=10,LEFT($D4555,1)="0",ISNUMBER(--$D4555)),"Có","Không"))</f>
        <v/>
      </c>
      <c r="T4555" s="22">
        <f>IF($D4555="","",IF(AND($C4555&lt;&gt;"",$Q4555="Có",$R4555="",$S4555="Có",AND($L4555&lt;&gt;"",OR($L4555&lt;&gt;"Chưa xác định",DANH_MUC!$L$9="Có"))),"Có","Không"))</f>
        <v/>
      </c>
      <c r="U4555" s="22">
        <f>IF(OR($D4555="",$T4555="Có"),"",IF($C4555="","Thiếu họ tên; ","")&amp;IF($S4555&lt;&gt;"Có","SĐT sai định dạng; ","")&amp;IF($R4555="Trùng","Trùng SĐT; ","")&amp;IF($Q4555&lt;&gt;"Có","Thiếu đồng ý bắt buộc; ","")&amp;IF($L4555="","Thiếu/sai Mã REF; ",IF(AND($L4555="Chưa xác định",DANH_MUC!$L$9&lt;&gt;"Có"),"Nguồn chưa xác định; ","")))</f>
        <v/>
      </c>
      <c r="V4555" s="22">
        <f>IF(OR($D4555="",$R4555="Trùng"),"",IF(COUNTIF(ORDERS!$C$2:$C$4995,$D4555)&gt;0,"Có","Không"))</f>
        <v/>
      </c>
      <c r="W4555" s="22">
        <f>IF(OR($D4555="",$R4555="Trùng"),"",COUNTIFS(ORDERS!$C$2:$C$4995,$D4555,ORDERS!$L$2:$L$4995,"Đã chuyển khoản"))</f>
        <v/>
      </c>
      <c r="X4555" s="23">
        <f>IF(OR($D4555="",$R4555="Trùng"),"",SUMIFS(ORDERS!$J$2:$J$4995,ORDERS!$C$2:$C$4995,$D4555,ORDERS!$L$2:$L$4995,"Đã chuyển khoản"))</f>
        <v/>
      </c>
      <c r="Y4555" s="24" t="n"/>
    </row>
    <row r="4556" ht="14.25" customHeight="1" s="40">
      <c r="A4556" s="24" t="n"/>
      <c r="B4556" s="27" t="n"/>
      <c r="C4556" s="24" t="n"/>
      <c r="D4556" s="28" t="n"/>
      <c r="E4556" s="29" t="n"/>
      <c r="F4556" s="24" t="n"/>
      <c r="G4556" s="24" t="n"/>
      <c r="H4556" s="21">
        <f>IF(ISNUMBER($B4556),INT($B4556)-WEEKDAY($B4556,2)+1,"")</f>
        <v/>
      </c>
      <c r="I4556" s="24" t="n"/>
      <c r="J4556" s="22">
        <f t="array" ref="J4556">IF($D4556="","",IF($I4556="","(trống REF)",IFERROR(INDEX(MASTER_SOURCE!$B$2:$B$495,MATCH($I4556,MASTER_SOURCE!$A$2:$A$495,0)),"(REF không có trong MASTER_SOURCE)")))</f>
        <v/>
      </c>
      <c r="K4556" s="22">
        <f t="array" ref="K4556">IF($D4556="","",IFERROR(INDEX(MASTER_SOURCE!$C$2:$C$495,MATCH($I4556,MASTER_SOURCE!$A$2:$A$495,0)),""))</f>
        <v/>
      </c>
      <c r="L4556" s="22">
        <f t="array" ref="L4556">IF($D4556="","",IFERROR(INDEX(MASTER_SOURCE!$D$2:$D$495,MATCH($I4556,MASTER_SOURCE!$A$2:$A$495,0)),""))</f>
        <v/>
      </c>
      <c r="M4556" s="24" t="n"/>
      <c r="N4556" s="24" t="n"/>
      <c r="O4556" s="24" t="n"/>
      <c r="P4556" s="24" t="n"/>
      <c r="Q4556" s="22">
        <f>IF($D4556="","",IF(AND(OR(DANH_MUC!$L$5&lt;&gt;"Có",M4556="Có"),OR(DANH_MUC!$L$6&lt;&gt;"Có",N4556="Có"),OR(DANH_MUC!$L$7&lt;&gt;"Có",O4556="Có"),OR(DANH_MUC!$L$8&lt;&gt;"Có",P4556="Có")),"Có","Không"))</f>
        <v/>
      </c>
      <c r="R4556" s="22">
        <f>IF($D4556="","",IF(COUNTIF($D$2:$D4556,$D4556)&gt;1,"Trùng",""))</f>
        <v/>
      </c>
      <c r="S4556" s="22">
        <f>IF($D4556="","",IF(AND(LEN($D4556)=10,LEFT($D4556,1)="0",ISNUMBER(--$D4556)),"Có","Không"))</f>
        <v/>
      </c>
      <c r="T4556" s="22">
        <f>IF($D4556="","",IF(AND($C4556&lt;&gt;"",$Q4556="Có",$R4556="",$S4556="Có",AND($L4556&lt;&gt;"",OR($L4556&lt;&gt;"Chưa xác định",DANH_MUC!$L$9="Có"))),"Có","Không"))</f>
        <v/>
      </c>
      <c r="U4556" s="22">
        <f>IF(OR($D4556="",$T4556="Có"),"",IF($C4556="","Thiếu họ tên; ","")&amp;IF($S4556&lt;&gt;"Có","SĐT sai định dạng; ","")&amp;IF($R4556="Trùng","Trùng SĐT; ","")&amp;IF($Q4556&lt;&gt;"Có","Thiếu đồng ý bắt buộc; ","")&amp;IF($L4556="","Thiếu/sai Mã REF; ",IF(AND($L4556="Chưa xác định",DANH_MUC!$L$9&lt;&gt;"Có"),"Nguồn chưa xác định; ","")))</f>
        <v/>
      </c>
      <c r="V4556" s="22">
        <f>IF(OR($D4556="",$R4556="Trùng"),"",IF(COUNTIF(ORDERS!$C$2:$C$4995,$D4556)&gt;0,"Có","Không"))</f>
        <v/>
      </c>
      <c r="W4556" s="22">
        <f>IF(OR($D4556="",$R4556="Trùng"),"",COUNTIFS(ORDERS!$C$2:$C$4995,$D4556,ORDERS!$L$2:$L$4995,"Đã chuyển khoản"))</f>
        <v/>
      </c>
      <c r="X4556" s="23">
        <f>IF(OR($D4556="",$R4556="Trùng"),"",SUMIFS(ORDERS!$J$2:$J$4995,ORDERS!$C$2:$C$4995,$D4556,ORDERS!$L$2:$L$4995,"Đã chuyển khoản"))</f>
        <v/>
      </c>
      <c r="Y4556" s="24" t="n"/>
    </row>
    <row r="4557" ht="14.25" customHeight="1" s="40">
      <c r="A4557" s="24" t="n"/>
      <c r="B4557" s="27" t="n"/>
      <c r="C4557" s="24" t="n"/>
      <c r="D4557" s="28" t="n"/>
      <c r="E4557" s="29" t="n"/>
      <c r="F4557" s="24" t="n"/>
      <c r="G4557" s="24" t="n"/>
      <c r="H4557" s="21">
        <f>IF(ISNUMBER($B4557),INT($B4557)-WEEKDAY($B4557,2)+1,"")</f>
        <v/>
      </c>
      <c r="I4557" s="24" t="n"/>
      <c r="J4557" s="22">
        <f t="array" ref="J4557">IF($D4557="","",IF($I4557="","(trống REF)",IFERROR(INDEX(MASTER_SOURCE!$B$2:$B$495,MATCH($I4557,MASTER_SOURCE!$A$2:$A$495,0)),"(REF không có trong MASTER_SOURCE)")))</f>
        <v/>
      </c>
      <c r="K4557" s="22">
        <f t="array" ref="K4557">IF($D4557="","",IFERROR(INDEX(MASTER_SOURCE!$C$2:$C$495,MATCH($I4557,MASTER_SOURCE!$A$2:$A$495,0)),""))</f>
        <v/>
      </c>
      <c r="L4557" s="22">
        <f t="array" ref="L4557">IF($D4557="","",IFERROR(INDEX(MASTER_SOURCE!$D$2:$D$495,MATCH($I4557,MASTER_SOURCE!$A$2:$A$495,0)),""))</f>
        <v/>
      </c>
      <c r="M4557" s="24" t="n"/>
      <c r="N4557" s="24" t="n"/>
      <c r="O4557" s="24" t="n"/>
      <c r="P4557" s="24" t="n"/>
      <c r="Q4557" s="22">
        <f>IF($D4557="","",IF(AND(OR(DANH_MUC!$L$5&lt;&gt;"Có",M4557="Có"),OR(DANH_MUC!$L$6&lt;&gt;"Có",N4557="Có"),OR(DANH_MUC!$L$7&lt;&gt;"Có",O4557="Có"),OR(DANH_MUC!$L$8&lt;&gt;"Có",P4557="Có")),"Có","Không"))</f>
        <v/>
      </c>
      <c r="R4557" s="22">
        <f>IF($D4557="","",IF(COUNTIF($D$2:$D4557,$D4557)&gt;1,"Trùng",""))</f>
        <v/>
      </c>
      <c r="S4557" s="22">
        <f>IF($D4557="","",IF(AND(LEN($D4557)=10,LEFT($D4557,1)="0",ISNUMBER(--$D4557)),"Có","Không"))</f>
        <v/>
      </c>
      <c r="T4557" s="22">
        <f>IF($D4557="","",IF(AND($C4557&lt;&gt;"",$Q4557="Có",$R4557="",$S4557="Có",AND($L4557&lt;&gt;"",OR($L4557&lt;&gt;"Chưa xác định",DANH_MUC!$L$9="Có"))),"Có","Không"))</f>
        <v/>
      </c>
      <c r="U4557" s="22">
        <f>IF(OR($D4557="",$T4557="Có"),"",IF($C4557="","Thiếu họ tên; ","")&amp;IF($S4557&lt;&gt;"Có","SĐT sai định dạng; ","")&amp;IF($R4557="Trùng","Trùng SĐT; ","")&amp;IF($Q4557&lt;&gt;"Có","Thiếu đồng ý bắt buộc; ","")&amp;IF($L4557="","Thiếu/sai Mã REF; ",IF(AND($L4557="Chưa xác định",DANH_MUC!$L$9&lt;&gt;"Có"),"Nguồn chưa xác định; ","")))</f>
        <v/>
      </c>
      <c r="V4557" s="22">
        <f>IF(OR($D4557="",$R4557="Trùng"),"",IF(COUNTIF(ORDERS!$C$2:$C$4995,$D4557)&gt;0,"Có","Không"))</f>
        <v/>
      </c>
      <c r="W4557" s="22">
        <f>IF(OR($D4557="",$R4557="Trùng"),"",COUNTIFS(ORDERS!$C$2:$C$4995,$D4557,ORDERS!$L$2:$L$4995,"Đã chuyển khoản"))</f>
        <v/>
      </c>
      <c r="X4557" s="23">
        <f>IF(OR($D4557="",$R4557="Trùng"),"",SUMIFS(ORDERS!$J$2:$J$4995,ORDERS!$C$2:$C$4995,$D4557,ORDERS!$L$2:$L$4995,"Đã chuyển khoản"))</f>
        <v/>
      </c>
      <c r="Y4557" s="24" t="n"/>
    </row>
    <row r="4558" ht="14.25" customHeight="1" s="40">
      <c r="A4558" s="24" t="n"/>
      <c r="B4558" s="27" t="n"/>
      <c r="C4558" s="24" t="n"/>
      <c r="D4558" s="28" t="n"/>
      <c r="E4558" s="29" t="n"/>
      <c r="F4558" s="24" t="n"/>
      <c r="G4558" s="24" t="n"/>
      <c r="H4558" s="21">
        <f>IF(ISNUMBER($B4558),INT($B4558)-WEEKDAY($B4558,2)+1,"")</f>
        <v/>
      </c>
      <c r="I4558" s="24" t="n"/>
      <c r="J4558" s="22">
        <f t="array" ref="J4558">IF($D4558="","",IF($I4558="","(trống REF)",IFERROR(INDEX(MASTER_SOURCE!$B$2:$B$495,MATCH($I4558,MASTER_SOURCE!$A$2:$A$495,0)),"(REF không có trong MASTER_SOURCE)")))</f>
        <v/>
      </c>
      <c r="K4558" s="22">
        <f t="array" ref="K4558">IF($D4558="","",IFERROR(INDEX(MASTER_SOURCE!$C$2:$C$495,MATCH($I4558,MASTER_SOURCE!$A$2:$A$495,0)),""))</f>
        <v/>
      </c>
      <c r="L4558" s="22">
        <f t="array" ref="L4558">IF($D4558="","",IFERROR(INDEX(MASTER_SOURCE!$D$2:$D$495,MATCH($I4558,MASTER_SOURCE!$A$2:$A$495,0)),""))</f>
        <v/>
      </c>
      <c r="M4558" s="24" t="n"/>
      <c r="N4558" s="24" t="n"/>
      <c r="O4558" s="24" t="n"/>
      <c r="P4558" s="24" t="n"/>
      <c r="Q4558" s="22">
        <f>IF($D4558="","",IF(AND(OR(DANH_MUC!$L$5&lt;&gt;"Có",M4558="Có"),OR(DANH_MUC!$L$6&lt;&gt;"Có",N4558="Có"),OR(DANH_MUC!$L$7&lt;&gt;"Có",O4558="Có"),OR(DANH_MUC!$L$8&lt;&gt;"Có",P4558="Có")),"Có","Không"))</f>
        <v/>
      </c>
      <c r="R4558" s="22">
        <f>IF($D4558="","",IF(COUNTIF($D$2:$D4558,$D4558)&gt;1,"Trùng",""))</f>
        <v/>
      </c>
      <c r="S4558" s="22">
        <f>IF($D4558="","",IF(AND(LEN($D4558)=10,LEFT($D4558,1)="0",ISNUMBER(--$D4558)),"Có","Không"))</f>
        <v/>
      </c>
      <c r="T4558" s="22">
        <f>IF($D4558="","",IF(AND($C4558&lt;&gt;"",$Q4558="Có",$R4558="",$S4558="Có",AND($L4558&lt;&gt;"",OR($L4558&lt;&gt;"Chưa xác định",DANH_MUC!$L$9="Có"))),"Có","Không"))</f>
        <v/>
      </c>
      <c r="U4558" s="22">
        <f>IF(OR($D4558="",$T4558="Có"),"",IF($C4558="","Thiếu họ tên; ","")&amp;IF($S4558&lt;&gt;"Có","SĐT sai định dạng; ","")&amp;IF($R4558="Trùng","Trùng SĐT; ","")&amp;IF($Q4558&lt;&gt;"Có","Thiếu đồng ý bắt buộc; ","")&amp;IF($L4558="","Thiếu/sai Mã REF; ",IF(AND($L4558="Chưa xác định",DANH_MUC!$L$9&lt;&gt;"Có"),"Nguồn chưa xác định; ","")))</f>
        <v/>
      </c>
      <c r="V4558" s="22">
        <f>IF(OR($D4558="",$R4558="Trùng"),"",IF(COUNTIF(ORDERS!$C$2:$C$4995,$D4558)&gt;0,"Có","Không"))</f>
        <v/>
      </c>
      <c r="W4558" s="22">
        <f>IF(OR($D4558="",$R4558="Trùng"),"",COUNTIFS(ORDERS!$C$2:$C$4995,$D4558,ORDERS!$L$2:$L$4995,"Đã chuyển khoản"))</f>
        <v/>
      </c>
      <c r="X4558" s="23">
        <f>IF(OR($D4558="",$R4558="Trùng"),"",SUMIFS(ORDERS!$J$2:$J$4995,ORDERS!$C$2:$C$4995,$D4558,ORDERS!$L$2:$L$4995,"Đã chuyển khoản"))</f>
        <v/>
      </c>
      <c r="Y4558" s="24" t="n"/>
    </row>
    <row r="4559" ht="14.25" customHeight="1" s="40">
      <c r="A4559" s="24" t="n"/>
      <c r="B4559" s="27" t="n"/>
      <c r="C4559" s="24" t="n"/>
      <c r="D4559" s="28" t="n"/>
      <c r="E4559" s="29" t="n"/>
      <c r="F4559" s="24" t="n"/>
      <c r="G4559" s="24" t="n"/>
      <c r="H4559" s="21">
        <f>IF(ISNUMBER($B4559),INT($B4559)-WEEKDAY($B4559,2)+1,"")</f>
        <v/>
      </c>
      <c r="I4559" s="24" t="n"/>
      <c r="J4559" s="22">
        <f t="array" ref="J4559">IF($D4559="","",IF($I4559="","(trống REF)",IFERROR(INDEX(MASTER_SOURCE!$B$2:$B$495,MATCH($I4559,MASTER_SOURCE!$A$2:$A$495,0)),"(REF không có trong MASTER_SOURCE)")))</f>
        <v/>
      </c>
      <c r="K4559" s="22">
        <f t="array" ref="K4559">IF($D4559="","",IFERROR(INDEX(MASTER_SOURCE!$C$2:$C$495,MATCH($I4559,MASTER_SOURCE!$A$2:$A$495,0)),""))</f>
        <v/>
      </c>
      <c r="L4559" s="22">
        <f t="array" ref="L4559">IF($D4559="","",IFERROR(INDEX(MASTER_SOURCE!$D$2:$D$495,MATCH($I4559,MASTER_SOURCE!$A$2:$A$495,0)),""))</f>
        <v/>
      </c>
      <c r="M4559" s="24" t="n"/>
      <c r="N4559" s="24" t="n"/>
      <c r="O4559" s="24" t="n"/>
      <c r="P4559" s="24" t="n"/>
      <c r="Q4559" s="22">
        <f>IF($D4559="","",IF(AND(OR(DANH_MUC!$L$5&lt;&gt;"Có",M4559="Có"),OR(DANH_MUC!$L$6&lt;&gt;"Có",N4559="Có"),OR(DANH_MUC!$L$7&lt;&gt;"Có",O4559="Có"),OR(DANH_MUC!$L$8&lt;&gt;"Có",P4559="Có")),"Có","Không"))</f>
        <v/>
      </c>
      <c r="R4559" s="22">
        <f>IF($D4559="","",IF(COUNTIF($D$2:$D4559,$D4559)&gt;1,"Trùng",""))</f>
        <v/>
      </c>
      <c r="S4559" s="22">
        <f>IF($D4559="","",IF(AND(LEN($D4559)=10,LEFT($D4559,1)="0",ISNUMBER(--$D4559)),"Có","Không"))</f>
        <v/>
      </c>
      <c r="T4559" s="22">
        <f>IF($D4559="","",IF(AND($C4559&lt;&gt;"",$Q4559="Có",$R4559="",$S4559="Có",AND($L4559&lt;&gt;"",OR($L4559&lt;&gt;"Chưa xác định",DANH_MUC!$L$9="Có"))),"Có","Không"))</f>
        <v/>
      </c>
      <c r="U4559" s="22">
        <f>IF(OR($D4559="",$T4559="Có"),"",IF($C4559="","Thiếu họ tên; ","")&amp;IF($S4559&lt;&gt;"Có","SĐT sai định dạng; ","")&amp;IF($R4559="Trùng","Trùng SĐT; ","")&amp;IF($Q4559&lt;&gt;"Có","Thiếu đồng ý bắt buộc; ","")&amp;IF($L4559="","Thiếu/sai Mã REF; ",IF(AND($L4559="Chưa xác định",DANH_MUC!$L$9&lt;&gt;"Có"),"Nguồn chưa xác định; ","")))</f>
        <v/>
      </c>
      <c r="V4559" s="22">
        <f>IF(OR($D4559="",$R4559="Trùng"),"",IF(COUNTIF(ORDERS!$C$2:$C$4995,$D4559)&gt;0,"Có","Không"))</f>
        <v/>
      </c>
      <c r="W4559" s="22">
        <f>IF(OR($D4559="",$R4559="Trùng"),"",COUNTIFS(ORDERS!$C$2:$C$4995,$D4559,ORDERS!$L$2:$L$4995,"Đã chuyển khoản"))</f>
        <v/>
      </c>
      <c r="X4559" s="23">
        <f>IF(OR($D4559="",$R4559="Trùng"),"",SUMIFS(ORDERS!$J$2:$J$4995,ORDERS!$C$2:$C$4995,$D4559,ORDERS!$L$2:$L$4995,"Đã chuyển khoản"))</f>
        <v/>
      </c>
      <c r="Y4559" s="24" t="n"/>
    </row>
    <row r="4560" ht="14.25" customHeight="1" s="40">
      <c r="A4560" s="24" t="n"/>
      <c r="B4560" s="27" t="n"/>
      <c r="C4560" s="24" t="n"/>
      <c r="D4560" s="28" t="n"/>
      <c r="E4560" s="29" t="n"/>
      <c r="F4560" s="24" t="n"/>
      <c r="G4560" s="24" t="n"/>
      <c r="H4560" s="21">
        <f>IF(ISNUMBER($B4560),INT($B4560)-WEEKDAY($B4560,2)+1,"")</f>
        <v/>
      </c>
      <c r="I4560" s="24" t="n"/>
      <c r="J4560" s="22">
        <f t="array" ref="J4560">IF($D4560="","",IF($I4560="","(trống REF)",IFERROR(INDEX(MASTER_SOURCE!$B$2:$B$495,MATCH($I4560,MASTER_SOURCE!$A$2:$A$495,0)),"(REF không có trong MASTER_SOURCE)")))</f>
        <v/>
      </c>
      <c r="K4560" s="22">
        <f t="array" ref="K4560">IF($D4560="","",IFERROR(INDEX(MASTER_SOURCE!$C$2:$C$495,MATCH($I4560,MASTER_SOURCE!$A$2:$A$495,0)),""))</f>
        <v/>
      </c>
      <c r="L4560" s="22">
        <f t="array" ref="L4560">IF($D4560="","",IFERROR(INDEX(MASTER_SOURCE!$D$2:$D$495,MATCH($I4560,MASTER_SOURCE!$A$2:$A$495,0)),""))</f>
        <v/>
      </c>
      <c r="M4560" s="24" t="n"/>
      <c r="N4560" s="24" t="n"/>
      <c r="O4560" s="24" t="n"/>
      <c r="P4560" s="24" t="n"/>
      <c r="Q4560" s="22">
        <f>IF($D4560="","",IF(AND(OR(DANH_MUC!$L$5&lt;&gt;"Có",M4560="Có"),OR(DANH_MUC!$L$6&lt;&gt;"Có",N4560="Có"),OR(DANH_MUC!$L$7&lt;&gt;"Có",O4560="Có"),OR(DANH_MUC!$L$8&lt;&gt;"Có",P4560="Có")),"Có","Không"))</f>
        <v/>
      </c>
      <c r="R4560" s="22">
        <f>IF($D4560="","",IF(COUNTIF($D$2:$D4560,$D4560)&gt;1,"Trùng",""))</f>
        <v/>
      </c>
      <c r="S4560" s="22">
        <f>IF($D4560="","",IF(AND(LEN($D4560)=10,LEFT($D4560,1)="0",ISNUMBER(--$D4560)),"Có","Không"))</f>
        <v/>
      </c>
      <c r="T4560" s="22">
        <f>IF($D4560="","",IF(AND($C4560&lt;&gt;"",$Q4560="Có",$R4560="",$S4560="Có",AND($L4560&lt;&gt;"",OR($L4560&lt;&gt;"Chưa xác định",DANH_MUC!$L$9="Có"))),"Có","Không"))</f>
        <v/>
      </c>
      <c r="U4560" s="22">
        <f>IF(OR($D4560="",$T4560="Có"),"",IF($C4560="","Thiếu họ tên; ","")&amp;IF($S4560&lt;&gt;"Có","SĐT sai định dạng; ","")&amp;IF($R4560="Trùng","Trùng SĐT; ","")&amp;IF($Q4560&lt;&gt;"Có","Thiếu đồng ý bắt buộc; ","")&amp;IF($L4560="","Thiếu/sai Mã REF; ",IF(AND($L4560="Chưa xác định",DANH_MUC!$L$9&lt;&gt;"Có"),"Nguồn chưa xác định; ","")))</f>
        <v/>
      </c>
      <c r="V4560" s="22">
        <f>IF(OR($D4560="",$R4560="Trùng"),"",IF(COUNTIF(ORDERS!$C$2:$C$4995,$D4560)&gt;0,"Có","Không"))</f>
        <v/>
      </c>
      <c r="W4560" s="22">
        <f>IF(OR($D4560="",$R4560="Trùng"),"",COUNTIFS(ORDERS!$C$2:$C$4995,$D4560,ORDERS!$L$2:$L$4995,"Đã chuyển khoản"))</f>
        <v/>
      </c>
      <c r="X4560" s="23">
        <f>IF(OR($D4560="",$R4560="Trùng"),"",SUMIFS(ORDERS!$J$2:$J$4995,ORDERS!$C$2:$C$4995,$D4560,ORDERS!$L$2:$L$4995,"Đã chuyển khoản"))</f>
        <v/>
      </c>
      <c r="Y4560" s="24" t="n"/>
    </row>
    <row r="4561" ht="14.25" customHeight="1" s="40">
      <c r="A4561" s="24" t="n"/>
      <c r="B4561" s="27" t="n"/>
      <c r="C4561" s="24" t="n"/>
      <c r="D4561" s="28" t="n"/>
      <c r="E4561" s="29" t="n"/>
      <c r="F4561" s="24" t="n"/>
      <c r="G4561" s="24" t="n"/>
      <c r="H4561" s="21">
        <f>IF(ISNUMBER($B4561),INT($B4561)-WEEKDAY($B4561,2)+1,"")</f>
        <v/>
      </c>
      <c r="I4561" s="24" t="n"/>
      <c r="J4561" s="22">
        <f t="array" ref="J4561">IF($D4561="","",IF($I4561="","(trống REF)",IFERROR(INDEX(MASTER_SOURCE!$B$2:$B$495,MATCH($I4561,MASTER_SOURCE!$A$2:$A$495,0)),"(REF không có trong MASTER_SOURCE)")))</f>
        <v/>
      </c>
      <c r="K4561" s="22">
        <f t="array" ref="K4561">IF($D4561="","",IFERROR(INDEX(MASTER_SOURCE!$C$2:$C$495,MATCH($I4561,MASTER_SOURCE!$A$2:$A$495,0)),""))</f>
        <v/>
      </c>
      <c r="L4561" s="22">
        <f t="array" ref="L4561">IF($D4561="","",IFERROR(INDEX(MASTER_SOURCE!$D$2:$D$495,MATCH($I4561,MASTER_SOURCE!$A$2:$A$495,0)),""))</f>
        <v/>
      </c>
      <c r="M4561" s="24" t="n"/>
      <c r="N4561" s="24" t="n"/>
      <c r="O4561" s="24" t="n"/>
      <c r="P4561" s="24" t="n"/>
      <c r="Q4561" s="22">
        <f>IF($D4561="","",IF(AND(OR(DANH_MUC!$L$5&lt;&gt;"Có",M4561="Có"),OR(DANH_MUC!$L$6&lt;&gt;"Có",N4561="Có"),OR(DANH_MUC!$L$7&lt;&gt;"Có",O4561="Có"),OR(DANH_MUC!$L$8&lt;&gt;"Có",P4561="Có")),"Có","Không"))</f>
        <v/>
      </c>
      <c r="R4561" s="22">
        <f>IF($D4561="","",IF(COUNTIF($D$2:$D4561,$D4561)&gt;1,"Trùng",""))</f>
        <v/>
      </c>
      <c r="S4561" s="22">
        <f>IF($D4561="","",IF(AND(LEN($D4561)=10,LEFT($D4561,1)="0",ISNUMBER(--$D4561)),"Có","Không"))</f>
        <v/>
      </c>
      <c r="T4561" s="22">
        <f>IF($D4561="","",IF(AND($C4561&lt;&gt;"",$Q4561="Có",$R4561="",$S4561="Có",AND($L4561&lt;&gt;"",OR($L4561&lt;&gt;"Chưa xác định",DANH_MUC!$L$9="Có"))),"Có","Không"))</f>
        <v/>
      </c>
      <c r="U4561" s="22">
        <f>IF(OR($D4561="",$T4561="Có"),"",IF($C4561="","Thiếu họ tên; ","")&amp;IF($S4561&lt;&gt;"Có","SĐT sai định dạng; ","")&amp;IF($R4561="Trùng","Trùng SĐT; ","")&amp;IF($Q4561&lt;&gt;"Có","Thiếu đồng ý bắt buộc; ","")&amp;IF($L4561="","Thiếu/sai Mã REF; ",IF(AND($L4561="Chưa xác định",DANH_MUC!$L$9&lt;&gt;"Có"),"Nguồn chưa xác định; ","")))</f>
        <v/>
      </c>
      <c r="V4561" s="22">
        <f>IF(OR($D4561="",$R4561="Trùng"),"",IF(COUNTIF(ORDERS!$C$2:$C$4995,$D4561)&gt;0,"Có","Không"))</f>
        <v/>
      </c>
      <c r="W4561" s="22">
        <f>IF(OR($D4561="",$R4561="Trùng"),"",COUNTIFS(ORDERS!$C$2:$C$4995,$D4561,ORDERS!$L$2:$L$4995,"Đã chuyển khoản"))</f>
        <v/>
      </c>
      <c r="X4561" s="23">
        <f>IF(OR($D4561="",$R4561="Trùng"),"",SUMIFS(ORDERS!$J$2:$J$4995,ORDERS!$C$2:$C$4995,$D4561,ORDERS!$L$2:$L$4995,"Đã chuyển khoản"))</f>
        <v/>
      </c>
      <c r="Y4561" s="24" t="n"/>
    </row>
    <row r="4562" ht="14.25" customHeight="1" s="40">
      <c r="A4562" s="24" t="n"/>
      <c r="B4562" s="27" t="n"/>
      <c r="C4562" s="24" t="n"/>
      <c r="D4562" s="28" t="n"/>
      <c r="E4562" s="29" t="n"/>
      <c r="F4562" s="24" t="n"/>
      <c r="G4562" s="24" t="n"/>
      <c r="H4562" s="21">
        <f>IF(ISNUMBER($B4562),INT($B4562)-WEEKDAY($B4562,2)+1,"")</f>
        <v/>
      </c>
      <c r="I4562" s="24" t="n"/>
      <c r="J4562" s="22">
        <f t="array" ref="J4562">IF($D4562="","",IF($I4562="","(trống REF)",IFERROR(INDEX(MASTER_SOURCE!$B$2:$B$495,MATCH($I4562,MASTER_SOURCE!$A$2:$A$495,0)),"(REF không có trong MASTER_SOURCE)")))</f>
        <v/>
      </c>
      <c r="K4562" s="22">
        <f t="array" ref="K4562">IF($D4562="","",IFERROR(INDEX(MASTER_SOURCE!$C$2:$C$495,MATCH($I4562,MASTER_SOURCE!$A$2:$A$495,0)),""))</f>
        <v/>
      </c>
      <c r="L4562" s="22">
        <f t="array" ref="L4562">IF($D4562="","",IFERROR(INDEX(MASTER_SOURCE!$D$2:$D$495,MATCH($I4562,MASTER_SOURCE!$A$2:$A$495,0)),""))</f>
        <v/>
      </c>
      <c r="M4562" s="24" t="n"/>
      <c r="N4562" s="24" t="n"/>
      <c r="O4562" s="24" t="n"/>
      <c r="P4562" s="24" t="n"/>
      <c r="Q4562" s="22">
        <f>IF($D4562="","",IF(AND(OR(DANH_MUC!$L$5&lt;&gt;"Có",M4562="Có"),OR(DANH_MUC!$L$6&lt;&gt;"Có",N4562="Có"),OR(DANH_MUC!$L$7&lt;&gt;"Có",O4562="Có"),OR(DANH_MUC!$L$8&lt;&gt;"Có",P4562="Có")),"Có","Không"))</f>
        <v/>
      </c>
      <c r="R4562" s="22">
        <f>IF($D4562="","",IF(COUNTIF($D$2:$D4562,$D4562)&gt;1,"Trùng",""))</f>
        <v/>
      </c>
      <c r="S4562" s="22">
        <f>IF($D4562="","",IF(AND(LEN($D4562)=10,LEFT($D4562,1)="0",ISNUMBER(--$D4562)),"Có","Không"))</f>
        <v/>
      </c>
      <c r="T4562" s="22">
        <f>IF($D4562="","",IF(AND($C4562&lt;&gt;"",$Q4562="Có",$R4562="",$S4562="Có",AND($L4562&lt;&gt;"",OR($L4562&lt;&gt;"Chưa xác định",DANH_MUC!$L$9="Có"))),"Có","Không"))</f>
        <v/>
      </c>
      <c r="U4562" s="22">
        <f>IF(OR($D4562="",$T4562="Có"),"",IF($C4562="","Thiếu họ tên; ","")&amp;IF($S4562&lt;&gt;"Có","SĐT sai định dạng; ","")&amp;IF($R4562="Trùng","Trùng SĐT; ","")&amp;IF($Q4562&lt;&gt;"Có","Thiếu đồng ý bắt buộc; ","")&amp;IF($L4562="","Thiếu/sai Mã REF; ",IF(AND($L4562="Chưa xác định",DANH_MUC!$L$9&lt;&gt;"Có"),"Nguồn chưa xác định; ","")))</f>
        <v/>
      </c>
      <c r="V4562" s="22">
        <f>IF(OR($D4562="",$R4562="Trùng"),"",IF(COUNTIF(ORDERS!$C$2:$C$4995,$D4562)&gt;0,"Có","Không"))</f>
        <v/>
      </c>
      <c r="W4562" s="22">
        <f>IF(OR($D4562="",$R4562="Trùng"),"",COUNTIFS(ORDERS!$C$2:$C$4995,$D4562,ORDERS!$L$2:$L$4995,"Đã chuyển khoản"))</f>
        <v/>
      </c>
      <c r="X4562" s="23">
        <f>IF(OR($D4562="",$R4562="Trùng"),"",SUMIFS(ORDERS!$J$2:$J$4995,ORDERS!$C$2:$C$4995,$D4562,ORDERS!$L$2:$L$4995,"Đã chuyển khoản"))</f>
        <v/>
      </c>
      <c r="Y4562" s="24" t="n"/>
    </row>
    <row r="4563" ht="14.25" customHeight="1" s="40">
      <c r="A4563" s="24" t="n"/>
      <c r="B4563" s="27" t="n"/>
      <c r="C4563" s="24" t="n"/>
      <c r="D4563" s="28" t="n"/>
      <c r="E4563" s="29" t="n"/>
      <c r="F4563" s="24" t="n"/>
      <c r="G4563" s="24" t="n"/>
      <c r="H4563" s="21">
        <f>IF(ISNUMBER($B4563),INT($B4563)-WEEKDAY($B4563,2)+1,"")</f>
        <v/>
      </c>
      <c r="I4563" s="24" t="n"/>
      <c r="J4563" s="22">
        <f t="array" ref="J4563">IF($D4563="","",IF($I4563="","(trống REF)",IFERROR(INDEX(MASTER_SOURCE!$B$2:$B$495,MATCH($I4563,MASTER_SOURCE!$A$2:$A$495,0)),"(REF không có trong MASTER_SOURCE)")))</f>
        <v/>
      </c>
      <c r="K4563" s="22">
        <f t="array" ref="K4563">IF($D4563="","",IFERROR(INDEX(MASTER_SOURCE!$C$2:$C$495,MATCH($I4563,MASTER_SOURCE!$A$2:$A$495,0)),""))</f>
        <v/>
      </c>
      <c r="L4563" s="22">
        <f t="array" ref="L4563">IF($D4563="","",IFERROR(INDEX(MASTER_SOURCE!$D$2:$D$495,MATCH($I4563,MASTER_SOURCE!$A$2:$A$495,0)),""))</f>
        <v/>
      </c>
      <c r="M4563" s="24" t="n"/>
      <c r="N4563" s="24" t="n"/>
      <c r="O4563" s="24" t="n"/>
      <c r="P4563" s="24" t="n"/>
      <c r="Q4563" s="22">
        <f>IF($D4563="","",IF(AND(OR(DANH_MUC!$L$5&lt;&gt;"Có",M4563="Có"),OR(DANH_MUC!$L$6&lt;&gt;"Có",N4563="Có"),OR(DANH_MUC!$L$7&lt;&gt;"Có",O4563="Có"),OR(DANH_MUC!$L$8&lt;&gt;"Có",P4563="Có")),"Có","Không"))</f>
        <v/>
      </c>
      <c r="R4563" s="22">
        <f>IF($D4563="","",IF(COUNTIF($D$2:$D4563,$D4563)&gt;1,"Trùng",""))</f>
        <v/>
      </c>
      <c r="S4563" s="22">
        <f>IF($D4563="","",IF(AND(LEN($D4563)=10,LEFT($D4563,1)="0",ISNUMBER(--$D4563)),"Có","Không"))</f>
        <v/>
      </c>
      <c r="T4563" s="22">
        <f>IF($D4563="","",IF(AND($C4563&lt;&gt;"",$Q4563="Có",$R4563="",$S4563="Có",AND($L4563&lt;&gt;"",OR($L4563&lt;&gt;"Chưa xác định",DANH_MUC!$L$9="Có"))),"Có","Không"))</f>
        <v/>
      </c>
      <c r="U4563" s="22">
        <f>IF(OR($D4563="",$T4563="Có"),"",IF($C4563="","Thiếu họ tên; ","")&amp;IF($S4563&lt;&gt;"Có","SĐT sai định dạng; ","")&amp;IF($R4563="Trùng","Trùng SĐT; ","")&amp;IF($Q4563&lt;&gt;"Có","Thiếu đồng ý bắt buộc; ","")&amp;IF($L4563="","Thiếu/sai Mã REF; ",IF(AND($L4563="Chưa xác định",DANH_MUC!$L$9&lt;&gt;"Có"),"Nguồn chưa xác định; ","")))</f>
        <v/>
      </c>
      <c r="V4563" s="22">
        <f>IF(OR($D4563="",$R4563="Trùng"),"",IF(COUNTIF(ORDERS!$C$2:$C$4995,$D4563)&gt;0,"Có","Không"))</f>
        <v/>
      </c>
      <c r="W4563" s="22">
        <f>IF(OR($D4563="",$R4563="Trùng"),"",COUNTIFS(ORDERS!$C$2:$C$4995,$D4563,ORDERS!$L$2:$L$4995,"Đã chuyển khoản"))</f>
        <v/>
      </c>
      <c r="X4563" s="23">
        <f>IF(OR($D4563="",$R4563="Trùng"),"",SUMIFS(ORDERS!$J$2:$J$4995,ORDERS!$C$2:$C$4995,$D4563,ORDERS!$L$2:$L$4995,"Đã chuyển khoản"))</f>
        <v/>
      </c>
      <c r="Y4563" s="24" t="n"/>
    </row>
    <row r="4564" ht="14.25" customHeight="1" s="40">
      <c r="A4564" s="24" t="n"/>
      <c r="B4564" s="27" t="n"/>
      <c r="C4564" s="24" t="n"/>
      <c r="D4564" s="28" t="n"/>
      <c r="E4564" s="29" t="n"/>
      <c r="F4564" s="24" t="n"/>
      <c r="G4564" s="24" t="n"/>
      <c r="H4564" s="21">
        <f>IF(ISNUMBER($B4564),INT($B4564)-WEEKDAY($B4564,2)+1,"")</f>
        <v/>
      </c>
      <c r="I4564" s="24" t="n"/>
      <c r="J4564" s="22">
        <f t="array" ref="J4564">IF($D4564="","",IF($I4564="","(trống REF)",IFERROR(INDEX(MASTER_SOURCE!$B$2:$B$495,MATCH($I4564,MASTER_SOURCE!$A$2:$A$495,0)),"(REF không có trong MASTER_SOURCE)")))</f>
        <v/>
      </c>
      <c r="K4564" s="22">
        <f t="array" ref="K4564">IF($D4564="","",IFERROR(INDEX(MASTER_SOURCE!$C$2:$C$495,MATCH($I4564,MASTER_SOURCE!$A$2:$A$495,0)),""))</f>
        <v/>
      </c>
      <c r="L4564" s="22">
        <f t="array" ref="L4564">IF($D4564="","",IFERROR(INDEX(MASTER_SOURCE!$D$2:$D$495,MATCH($I4564,MASTER_SOURCE!$A$2:$A$495,0)),""))</f>
        <v/>
      </c>
      <c r="M4564" s="24" t="n"/>
      <c r="N4564" s="24" t="n"/>
      <c r="O4564" s="24" t="n"/>
      <c r="P4564" s="24" t="n"/>
      <c r="Q4564" s="22">
        <f>IF($D4564="","",IF(AND(OR(DANH_MUC!$L$5&lt;&gt;"Có",M4564="Có"),OR(DANH_MUC!$L$6&lt;&gt;"Có",N4564="Có"),OR(DANH_MUC!$L$7&lt;&gt;"Có",O4564="Có"),OR(DANH_MUC!$L$8&lt;&gt;"Có",P4564="Có")),"Có","Không"))</f>
        <v/>
      </c>
      <c r="R4564" s="22">
        <f>IF($D4564="","",IF(COUNTIF($D$2:$D4564,$D4564)&gt;1,"Trùng",""))</f>
        <v/>
      </c>
      <c r="S4564" s="22">
        <f>IF($D4564="","",IF(AND(LEN($D4564)=10,LEFT($D4564,1)="0",ISNUMBER(--$D4564)),"Có","Không"))</f>
        <v/>
      </c>
      <c r="T4564" s="22">
        <f>IF($D4564="","",IF(AND($C4564&lt;&gt;"",$Q4564="Có",$R4564="",$S4564="Có",AND($L4564&lt;&gt;"",OR($L4564&lt;&gt;"Chưa xác định",DANH_MUC!$L$9="Có"))),"Có","Không"))</f>
        <v/>
      </c>
      <c r="U4564" s="22">
        <f>IF(OR($D4564="",$T4564="Có"),"",IF($C4564="","Thiếu họ tên; ","")&amp;IF($S4564&lt;&gt;"Có","SĐT sai định dạng; ","")&amp;IF($R4564="Trùng","Trùng SĐT; ","")&amp;IF($Q4564&lt;&gt;"Có","Thiếu đồng ý bắt buộc; ","")&amp;IF($L4564="","Thiếu/sai Mã REF; ",IF(AND($L4564="Chưa xác định",DANH_MUC!$L$9&lt;&gt;"Có"),"Nguồn chưa xác định; ","")))</f>
        <v/>
      </c>
      <c r="V4564" s="22">
        <f>IF(OR($D4564="",$R4564="Trùng"),"",IF(COUNTIF(ORDERS!$C$2:$C$4995,$D4564)&gt;0,"Có","Không"))</f>
        <v/>
      </c>
      <c r="W4564" s="22">
        <f>IF(OR($D4564="",$R4564="Trùng"),"",COUNTIFS(ORDERS!$C$2:$C$4995,$D4564,ORDERS!$L$2:$L$4995,"Đã chuyển khoản"))</f>
        <v/>
      </c>
      <c r="X4564" s="23">
        <f>IF(OR($D4564="",$R4564="Trùng"),"",SUMIFS(ORDERS!$J$2:$J$4995,ORDERS!$C$2:$C$4995,$D4564,ORDERS!$L$2:$L$4995,"Đã chuyển khoản"))</f>
        <v/>
      </c>
      <c r="Y4564" s="24" t="n"/>
    </row>
    <row r="4565" ht="14.25" customHeight="1" s="40">
      <c r="A4565" s="24" t="n"/>
      <c r="B4565" s="27" t="n"/>
      <c r="C4565" s="24" t="n"/>
      <c r="D4565" s="28" t="n"/>
      <c r="E4565" s="29" t="n"/>
      <c r="F4565" s="24" t="n"/>
      <c r="G4565" s="24" t="n"/>
      <c r="H4565" s="21">
        <f>IF(ISNUMBER($B4565),INT($B4565)-WEEKDAY($B4565,2)+1,"")</f>
        <v/>
      </c>
      <c r="I4565" s="24" t="n"/>
      <c r="J4565" s="22">
        <f t="array" ref="J4565">IF($D4565="","",IF($I4565="","(trống REF)",IFERROR(INDEX(MASTER_SOURCE!$B$2:$B$495,MATCH($I4565,MASTER_SOURCE!$A$2:$A$495,0)),"(REF không có trong MASTER_SOURCE)")))</f>
        <v/>
      </c>
      <c r="K4565" s="22">
        <f t="array" ref="K4565">IF($D4565="","",IFERROR(INDEX(MASTER_SOURCE!$C$2:$C$495,MATCH($I4565,MASTER_SOURCE!$A$2:$A$495,0)),""))</f>
        <v/>
      </c>
      <c r="L4565" s="22">
        <f t="array" ref="L4565">IF($D4565="","",IFERROR(INDEX(MASTER_SOURCE!$D$2:$D$495,MATCH($I4565,MASTER_SOURCE!$A$2:$A$495,0)),""))</f>
        <v/>
      </c>
      <c r="M4565" s="24" t="n"/>
      <c r="N4565" s="24" t="n"/>
      <c r="O4565" s="24" t="n"/>
      <c r="P4565" s="24" t="n"/>
      <c r="Q4565" s="22">
        <f>IF($D4565="","",IF(AND(OR(DANH_MUC!$L$5&lt;&gt;"Có",M4565="Có"),OR(DANH_MUC!$L$6&lt;&gt;"Có",N4565="Có"),OR(DANH_MUC!$L$7&lt;&gt;"Có",O4565="Có"),OR(DANH_MUC!$L$8&lt;&gt;"Có",P4565="Có")),"Có","Không"))</f>
        <v/>
      </c>
      <c r="R4565" s="22">
        <f>IF($D4565="","",IF(COUNTIF($D$2:$D4565,$D4565)&gt;1,"Trùng",""))</f>
        <v/>
      </c>
      <c r="S4565" s="22">
        <f>IF($D4565="","",IF(AND(LEN($D4565)=10,LEFT($D4565,1)="0",ISNUMBER(--$D4565)),"Có","Không"))</f>
        <v/>
      </c>
      <c r="T4565" s="22">
        <f>IF($D4565="","",IF(AND($C4565&lt;&gt;"",$Q4565="Có",$R4565="",$S4565="Có",AND($L4565&lt;&gt;"",OR($L4565&lt;&gt;"Chưa xác định",DANH_MUC!$L$9="Có"))),"Có","Không"))</f>
        <v/>
      </c>
      <c r="U4565" s="22">
        <f>IF(OR($D4565="",$T4565="Có"),"",IF($C4565="","Thiếu họ tên; ","")&amp;IF($S4565&lt;&gt;"Có","SĐT sai định dạng; ","")&amp;IF($R4565="Trùng","Trùng SĐT; ","")&amp;IF($Q4565&lt;&gt;"Có","Thiếu đồng ý bắt buộc; ","")&amp;IF($L4565="","Thiếu/sai Mã REF; ",IF(AND($L4565="Chưa xác định",DANH_MUC!$L$9&lt;&gt;"Có"),"Nguồn chưa xác định; ","")))</f>
        <v/>
      </c>
      <c r="V4565" s="22">
        <f>IF(OR($D4565="",$R4565="Trùng"),"",IF(COUNTIF(ORDERS!$C$2:$C$4995,$D4565)&gt;0,"Có","Không"))</f>
        <v/>
      </c>
      <c r="W4565" s="22">
        <f>IF(OR($D4565="",$R4565="Trùng"),"",COUNTIFS(ORDERS!$C$2:$C$4995,$D4565,ORDERS!$L$2:$L$4995,"Đã chuyển khoản"))</f>
        <v/>
      </c>
      <c r="X4565" s="23">
        <f>IF(OR($D4565="",$R4565="Trùng"),"",SUMIFS(ORDERS!$J$2:$J$4995,ORDERS!$C$2:$C$4995,$D4565,ORDERS!$L$2:$L$4995,"Đã chuyển khoản"))</f>
        <v/>
      </c>
      <c r="Y4565" s="24" t="n"/>
    </row>
    <row r="4566" ht="14.25" customHeight="1" s="40">
      <c r="A4566" s="24" t="n"/>
      <c r="B4566" s="27" t="n"/>
      <c r="C4566" s="24" t="n"/>
      <c r="D4566" s="28" t="n"/>
      <c r="E4566" s="29" t="n"/>
      <c r="F4566" s="24" t="n"/>
      <c r="G4566" s="24" t="n"/>
      <c r="H4566" s="21">
        <f>IF(ISNUMBER($B4566),INT($B4566)-WEEKDAY($B4566,2)+1,"")</f>
        <v/>
      </c>
      <c r="I4566" s="24" t="n"/>
      <c r="J4566" s="22">
        <f t="array" ref="J4566">IF($D4566="","",IF($I4566="","(trống REF)",IFERROR(INDEX(MASTER_SOURCE!$B$2:$B$495,MATCH($I4566,MASTER_SOURCE!$A$2:$A$495,0)),"(REF không có trong MASTER_SOURCE)")))</f>
        <v/>
      </c>
      <c r="K4566" s="22">
        <f t="array" ref="K4566">IF($D4566="","",IFERROR(INDEX(MASTER_SOURCE!$C$2:$C$495,MATCH($I4566,MASTER_SOURCE!$A$2:$A$495,0)),""))</f>
        <v/>
      </c>
      <c r="L4566" s="22">
        <f t="array" ref="L4566">IF($D4566="","",IFERROR(INDEX(MASTER_SOURCE!$D$2:$D$495,MATCH($I4566,MASTER_SOURCE!$A$2:$A$495,0)),""))</f>
        <v/>
      </c>
      <c r="M4566" s="24" t="n"/>
      <c r="N4566" s="24" t="n"/>
      <c r="O4566" s="24" t="n"/>
      <c r="P4566" s="24" t="n"/>
      <c r="Q4566" s="22">
        <f>IF($D4566="","",IF(AND(OR(DANH_MUC!$L$5&lt;&gt;"Có",M4566="Có"),OR(DANH_MUC!$L$6&lt;&gt;"Có",N4566="Có"),OR(DANH_MUC!$L$7&lt;&gt;"Có",O4566="Có"),OR(DANH_MUC!$L$8&lt;&gt;"Có",P4566="Có")),"Có","Không"))</f>
        <v/>
      </c>
      <c r="R4566" s="22">
        <f>IF($D4566="","",IF(COUNTIF($D$2:$D4566,$D4566)&gt;1,"Trùng",""))</f>
        <v/>
      </c>
      <c r="S4566" s="22">
        <f>IF($D4566="","",IF(AND(LEN($D4566)=10,LEFT($D4566,1)="0",ISNUMBER(--$D4566)),"Có","Không"))</f>
        <v/>
      </c>
      <c r="T4566" s="22">
        <f>IF($D4566="","",IF(AND($C4566&lt;&gt;"",$Q4566="Có",$R4566="",$S4566="Có",AND($L4566&lt;&gt;"",OR($L4566&lt;&gt;"Chưa xác định",DANH_MUC!$L$9="Có"))),"Có","Không"))</f>
        <v/>
      </c>
      <c r="U4566" s="22">
        <f>IF(OR($D4566="",$T4566="Có"),"",IF($C4566="","Thiếu họ tên; ","")&amp;IF($S4566&lt;&gt;"Có","SĐT sai định dạng; ","")&amp;IF($R4566="Trùng","Trùng SĐT; ","")&amp;IF($Q4566&lt;&gt;"Có","Thiếu đồng ý bắt buộc; ","")&amp;IF($L4566="","Thiếu/sai Mã REF; ",IF(AND($L4566="Chưa xác định",DANH_MUC!$L$9&lt;&gt;"Có"),"Nguồn chưa xác định; ","")))</f>
        <v/>
      </c>
      <c r="V4566" s="22">
        <f>IF(OR($D4566="",$R4566="Trùng"),"",IF(COUNTIF(ORDERS!$C$2:$C$4995,$D4566)&gt;0,"Có","Không"))</f>
        <v/>
      </c>
      <c r="W4566" s="22">
        <f>IF(OR($D4566="",$R4566="Trùng"),"",COUNTIFS(ORDERS!$C$2:$C$4995,$D4566,ORDERS!$L$2:$L$4995,"Đã chuyển khoản"))</f>
        <v/>
      </c>
      <c r="X4566" s="23">
        <f>IF(OR($D4566="",$R4566="Trùng"),"",SUMIFS(ORDERS!$J$2:$J$4995,ORDERS!$C$2:$C$4995,$D4566,ORDERS!$L$2:$L$4995,"Đã chuyển khoản"))</f>
        <v/>
      </c>
      <c r="Y4566" s="24" t="n"/>
    </row>
    <row r="4567" ht="14.25" customHeight="1" s="40">
      <c r="A4567" s="24" t="n"/>
      <c r="B4567" s="27" t="n"/>
      <c r="C4567" s="24" t="n"/>
      <c r="D4567" s="28" t="n"/>
      <c r="E4567" s="29" t="n"/>
      <c r="F4567" s="24" t="n"/>
      <c r="G4567" s="24" t="n"/>
      <c r="H4567" s="21">
        <f>IF(ISNUMBER($B4567),INT($B4567)-WEEKDAY($B4567,2)+1,"")</f>
        <v/>
      </c>
      <c r="I4567" s="24" t="n"/>
      <c r="J4567" s="22">
        <f t="array" ref="J4567">IF($D4567="","",IF($I4567="","(trống REF)",IFERROR(INDEX(MASTER_SOURCE!$B$2:$B$495,MATCH($I4567,MASTER_SOURCE!$A$2:$A$495,0)),"(REF không có trong MASTER_SOURCE)")))</f>
        <v/>
      </c>
      <c r="K4567" s="22">
        <f t="array" ref="K4567">IF($D4567="","",IFERROR(INDEX(MASTER_SOURCE!$C$2:$C$495,MATCH($I4567,MASTER_SOURCE!$A$2:$A$495,0)),""))</f>
        <v/>
      </c>
      <c r="L4567" s="22">
        <f t="array" ref="L4567">IF($D4567="","",IFERROR(INDEX(MASTER_SOURCE!$D$2:$D$495,MATCH($I4567,MASTER_SOURCE!$A$2:$A$495,0)),""))</f>
        <v/>
      </c>
      <c r="M4567" s="24" t="n"/>
      <c r="N4567" s="24" t="n"/>
      <c r="O4567" s="24" t="n"/>
      <c r="P4567" s="24" t="n"/>
      <c r="Q4567" s="22">
        <f>IF($D4567="","",IF(AND(OR(DANH_MUC!$L$5&lt;&gt;"Có",M4567="Có"),OR(DANH_MUC!$L$6&lt;&gt;"Có",N4567="Có"),OR(DANH_MUC!$L$7&lt;&gt;"Có",O4567="Có"),OR(DANH_MUC!$L$8&lt;&gt;"Có",P4567="Có")),"Có","Không"))</f>
        <v/>
      </c>
      <c r="R4567" s="22">
        <f>IF($D4567="","",IF(COUNTIF($D$2:$D4567,$D4567)&gt;1,"Trùng",""))</f>
        <v/>
      </c>
      <c r="S4567" s="22">
        <f>IF($D4567="","",IF(AND(LEN($D4567)=10,LEFT($D4567,1)="0",ISNUMBER(--$D4567)),"Có","Không"))</f>
        <v/>
      </c>
      <c r="T4567" s="22">
        <f>IF($D4567="","",IF(AND($C4567&lt;&gt;"",$Q4567="Có",$R4567="",$S4567="Có",AND($L4567&lt;&gt;"",OR($L4567&lt;&gt;"Chưa xác định",DANH_MUC!$L$9="Có"))),"Có","Không"))</f>
        <v/>
      </c>
      <c r="U4567" s="22">
        <f>IF(OR($D4567="",$T4567="Có"),"",IF($C4567="","Thiếu họ tên; ","")&amp;IF($S4567&lt;&gt;"Có","SĐT sai định dạng; ","")&amp;IF($R4567="Trùng","Trùng SĐT; ","")&amp;IF($Q4567&lt;&gt;"Có","Thiếu đồng ý bắt buộc; ","")&amp;IF($L4567="","Thiếu/sai Mã REF; ",IF(AND($L4567="Chưa xác định",DANH_MUC!$L$9&lt;&gt;"Có"),"Nguồn chưa xác định; ","")))</f>
        <v/>
      </c>
      <c r="V4567" s="22">
        <f>IF(OR($D4567="",$R4567="Trùng"),"",IF(COUNTIF(ORDERS!$C$2:$C$4995,$D4567)&gt;0,"Có","Không"))</f>
        <v/>
      </c>
      <c r="W4567" s="22">
        <f>IF(OR($D4567="",$R4567="Trùng"),"",COUNTIFS(ORDERS!$C$2:$C$4995,$D4567,ORDERS!$L$2:$L$4995,"Đã chuyển khoản"))</f>
        <v/>
      </c>
      <c r="X4567" s="23">
        <f>IF(OR($D4567="",$R4567="Trùng"),"",SUMIFS(ORDERS!$J$2:$J$4995,ORDERS!$C$2:$C$4995,$D4567,ORDERS!$L$2:$L$4995,"Đã chuyển khoản"))</f>
        <v/>
      </c>
      <c r="Y4567" s="24" t="n"/>
    </row>
    <row r="4568" ht="14.25" customHeight="1" s="40">
      <c r="A4568" s="24" t="n"/>
      <c r="B4568" s="27" t="n"/>
      <c r="C4568" s="24" t="n"/>
      <c r="D4568" s="28" t="n"/>
      <c r="E4568" s="29" t="n"/>
      <c r="F4568" s="24" t="n"/>
      <c r="G4568" s="24" t="n"/>
      <c r="H4568" s="21">
        <f>IF(ISNUMBER($B4568),INT($B4568)-WEEKDAY($B4568,2)+1,"")</f>
        <v/>
      </c>
      <c r="I4568" s="24" t="n"/>
      <c r="J4568" s="22">
        <f t="array" ref="J4568">IF($D4568="","",IF($I4568="","(trống REF)",IFERROR(INDEX(MASTER_SOURCE!$B$2:$B$495,MATCH($I4568,MASTER_SOURCE!$A$2:$A$495,0)),"(REF không có trong MASTER_SOURCE)")))</f>
        <v/>
      </c>
      <c r="K4568" s="22">
        <f t="array" ref="K4568">IF($D4568="","",IFERROR(INDEX(MASTER_SOURCE!$C$2:$C$495,MATCH($I4568,MASTER_SOURCE!$A$2:$A$495,0)),""))</f>
        <v/>
      </c>
      <c r="L4568" s="22">
        <f t="array" ref="L4568">IF($D4568="","",IFERROR(INDEX(MASTER_SOURCE!$D$2:$D$495,MATCH($I4568,MASTER_SOURCE!$A$2:$A$495,0)),""))</f>
        <v/>
      </c>
      <c r="M4568" s="24" t="n"/>
      <c r="N4568" s="24" t="n"/>
      <c r="O4568" s="24" t="n"/>
      <c r="P4568" s="24" t="n"/>
      <c r="Q4568" s="22">
        <f>IF($D4568="","",IF(AND(OR(DANH_MUC!$L$5&lt;&gt;"Có",M4568="Có"),OR(DANH_MUC!$L$6&lt;&gt;"Có",N4568="Có"),OR(DANH_MUC!$L$7&lt;&gt;"Có",O4568="Có"),OR(DANH_MUC!$L$8&lt;&gt;"Có",P4568="Có")),"Có","Không"))</f>
        <v/>
      </c>
      <c r="R4568" s="22">
        <f>IF($D4568="","",IF(COUNTIF($D$2:$D4568,$D4568)&gt;1,"Trùng",""))</f>
        <v/>
      </c>
      <c r="S4568" s="22">
        <f>IF($D4568="","",IF(AND(LEN($D4568)=10,LEFT($D4568,1)="0",ISNUMBER(--$D4568)),"Có","Không"))</f>
        <v/>
      </c>
      <c r="T4568" s="22">
        <f>IF($D4568="","",IF(AND($C4568&lt;&gt;"",$Q4568="Có",$R4568="",$S4568="Có",AND($L4568&lt;&gt;"",OR($L4568&lt;&gt;"Chưa xác định",DANH_MUC!$L$9="Có"))),"Có","Không"))</f>
        <v/>
      </c>
      <c r="U4568" s="22">
        <f>IF(OR($D4568="",$T4568="Có"),"",IF($C4568="","Thiếu họ tên; ","")&amp;IF($S4568&lt;&gt;"Có","SĐT sai định dạng; ","")&amp;IF($R4568="Trùng","Trùng SĐT; ","")&amp;IF($Q4568&lt;&gt;"Có","Thiếu đồng ý bắt buộc; ","")&amp;IF($L4568="","Thiếu/sai Mã REF; ",IF(AND($L4568="Chưa xác định",DANH_MUC!$L$9&lt;&gt;"Có"),"Nguồn chưa xác định; ","")))</f>
        <v/>
      </c>
      <c r="V4568" s="22">
        <f>IF(OR($D4568="",$R4568="Trùng"),"",IF(COUNTIF(ORDERS!$C$2:$C$4995,$D4568)&gt;0,"Có","Không"))</f>
        <v/>
      </c>
      <c r="W4568" s="22">
        <f>IF(OR($D4568="",$R4568="Trùng"),"",COUNTIFS(ORDERS!$C$2:$C$4995,$D4568,ORDERS!$L$2:$L$4995,"Đã chuyển khoản"))</f>
        <v/>
      </c>
      <c r="X4568" s="23">
        <f>IF(OR($D4568="",$R4568="Trùng"),"",SUMIFS(ORDERS!$J$2:$J$4995,ORDERS!$C$2:$C$4995,$D4568,ORDERS!$L$2:$L$4995,"Đã chuyển khoản"))</f>
        <v/>
      </c>
      <c r="Y4568" s="24" t="n"/>
    </row>
    <row r="4569" ht="14.25" customHeight="1" s="40">
      <c r="A4569" s="24" t="n"/>
      <c r="B4569" s="27" t="n"/>
      <c r="C4569" s="24" t="n"/>
      <c r="D4569" s="28" t="n"/>
      <c r="E4569" s="29" t="n"/>
      <c r="F4569" s="24" t="n"/>
      <c r="G4569" s="24" t="n"/>
      <c r="H4569" s="21">
        <f>IF(ISNUMBER($B4569),INT($B4569)-WEEKDAY($B4569,2)+1,"")</f>
        <v/>
      </c>
      <c r="I4569" s="24" t="n"/>
      <c r="J4569" s="22">
        <f t="array" ref="J4569">IF($D4569="","",IF($I4569="","(trống REF)",IFERROR(INDEX(MASTER_SOURCE!$B$2:$B$495,MATCH($I4569,MASTER_SOURCE!$A$2:$A$495,0)),"(REF không có trong MASTER_SOURCE)")))</f>
        <v/>
      </c>
      <c r="K4569" s="22">
        <f t="array" ref="K4569">IF($D4569="","",IFERROR(INDEX(MASTER_SOURCE!$C$2:$C$495,MATCH($I4569,MASTER_SOURCE!$A$2:$A$495,0)),""))</f>
        <v/>
      </c>
      <c r="L4569" s="22">
        <f t="array" ref="L4569">IF($D4569="","",IFERROR(INDEX(MASTER_SOURCE!$D$2:$D$495,MATCH($I4569,MASTER_SOURCE!$A$2:$A$495,0)),""))</f>
        <v/>
      </c>
      <c r="M4569" s="24" t="n"/>
      <c r="N4569" s="24" t="n"/>
      <c r="O4569" s="24" t="n"/>
      <c r="P4569" s="24" t="n"/>
      <c r="Q4569" s="22">
        <f>IF($D4569="","",IF(AND(OR(DANH_MUC!$L$5&lt;&gt;"Có",M4569="Có"),OR(DANH_MUC!$L$6&lt;&gt;"Có",N4569="Có"),OR(DANH_MUC!$L$7&lt;&gt;"Có",O4569="Có"),OR(DANH_MUC!$L$8&lt;&gt;"Có",P4569="Có")),"Có","Không"))</f>
        <v/>
      </c>
      <c r="R4569" s="22">
        <f>IF($D4569="","",IF(COUNTIF($D$2:$D4569,$D4569)&gt;1,"Trùng",""))</f>
        <v/>
      </c>
      <c r="S4569" s="22">
        <f>IF($D4569="","",IF(AND(LEN($D4569)=10,LEFT($D4569,1)="0",ISNUMBER(--$D4569)),"Có","Không"))</f>
        <v/>
      </c>
      <c r="T4569" s="22">
        <f>IF($D4569="","",IF(AND($C4569&lt;&gt;"",$Q4569="Có",$R4569="",$S4569="Có",AND($L4569&lt;&gt;"",OR($L4569&lt;&gt;"Chưa xác định",DANH_MUC!$L$9="Có"))),"Có","Không"))</f>
        <v/>
      </c>
      <c r="U4569" s="22">
        <f>IF(OR($D4569="",$T4569="Có"),"",IF($C4569="","Thiếu họ tên; ","")&amp;IF($S4569&lt;&gt;"Có","SĐT sai định dạng; ","")&amp;IF($R4569="Trùng","Trùng SĐT; ","")&amp;IF($Q4569&lt;&gt;"Có","Thiếu đồng ý bắt buộc; ","")&amp;IF($L4569="","Thiếu/sai Mã REF; ",IF(AND($L4569="Chưa xác định",DANH_MUC!$L$9&lt;&gt;"Có"),"Nguồn chưa xác định; ","")))</f>
        <v/>
      </c>
      <c r="V4569" s="22">
        <f>IF(OR($D4569="",$R4569="Trùng"),"",IF(COUNTIF(ORDERS!$C$2:$C$4995,$D4569)&gt;0,"Có","Không"))</f>
        <v/>
      </c>
      <c r="W4569" s="22">
        <f>IF(OR($D4569="",$R4569="Trùng"),"",COUNTIFS(ORDERS!$C$2:$C$4995,$D4569,ORDERS!$L$2:$L$4995,"Đã chuyển khoản"))</f>
        <v/>
      </c>
      <c r="X4569" s="23">
        <f>IF(OR($D4569="",$R4569="Trùng"),"",SUMIFS(ORDERS!$J$2:$J$4995,ORDERS!$C$2:$C$4995,$D4569,ORDERS!$L$2:$L$4995,"Đã chuyển khoản"))</f>
        <v/>
      </c>
      <c r="Y4569" s="24" t="n"/>
    </row>
    <row r="4570" ht="14.25" customHeight="1" s="40">
      <c r="A4570" s="24" t="n"/>
      <c r="B4570" s="27" t="n"/>
      <c r="C4570" s="24" t="n"/>
      <c r="D4570" s="28" t="n"/>
      <c r="E4570" s="29" t="n"/>
      <c r="F4570" s="24" t="n"/>
      <c r="G4570" s="24" t="n"/>
      <c r="H4570" s="21">
        <f>IF(ISNUMBER($B4570),INT($B4570)-WEEKDAY($B4570,2)+1,"")</f>
        <v/>
      </c>
      <c r="I4570" s="24" t="n"/>
      <c r="J4570" s="22">
        <f t="array" ref="J4570">IF($D4570="","",IF($I4570="","(trống REF)",IFERROR(INDEX(MASTER_SOURCE!$B$2:$B$495,MATCH($I4570,MASTER_SOURCE!$A$2:$A$495,0)),"(REF không có trong MASTER_SOURCE)")))</f>
        <v/>
      </c>
      <c r="K4570" s="22">
        <f t="array" ref="K4570">IF($D4570="","",IFERROR(INDEX(MASTER_SOURCE!$C$2:$C$495,MATCH($I4570,MASTER_SOURCE!$A$2:$A$495,0)),""))</f>
        <v/>
      </c>
      <c r="L4570" s="22">
        <f t="array" ref="L4570">IF($D4570="","",IFERROR(INDEX(MASTER_SOURCE!$D$2:$D$495,MATCH($I4570,MASTER_SOURCE!$A$2:$A$495,0)),""))</f>
        <v/>
      </c>
      <c r="M4570" s="24" t="n"/>
      <c r="N4570" s="24" t="n"/>
      <c r="O4570" s="24" t="n"/>
      <c r="P4570" s="24" t="n"/>
      <c r="Q4570" s="22">
        <f>IF($D4570="","",IF(AND(OR(DANH_MUC!$L$5&lt;&gt;"Có",M4570="Có"),OR(DANH_MUC!$L$6&lt;&gt;"Có",N4570="Có"),OR(DANH_MUC!$L$7&lt;&gt;"Có",O4570="Có"),OR(DANH_MUC!$L$8&lt;&gt;"Có",P4570="Có")),"Có","Không"))</f>
        <v/>
      </c>
      <c r="R4570" s="22">
        <f>IF($D4570="","",IF(COUNTIF($D$2:$D4570,$D4570)&gt;1,"Trùng",""))</f>
        <v/>
      </c>
      <c r="S4570" s="22">
        <f>IF($D4570="","",IF(AND(LEN($D4570)=10,LEFT($D4570,1)="0",ISNUMBER(--$D4570)),"Có","Không"))</f>
        <v/>
      </c>
      <c r="T4570" s="22">
        <f>IF($D4570="","",IF(AND($C4570&lt;&gt;"",$Q4570="Có",$R4570="",$S4570="Có",AND($L4570&lt;&gt;"",OR($L4570&lt;&gt;"Chưa xác định",DANH_MUC!$L$9="Có"))),"Có","Không"))</f>
        <v/>
      </c>
      <c r="U4570" s="22">
        <f>IF(OR($D4570="",$T4570="Có"),"",IF($C4570="","Thiếu họ tên; ","")&amp;IF($S4570&lt;&gt;"Có","SĐT sai định dạng; ","")&amp;IF($R4570="Trùng","Trùng SĐT; ","")&amp;IF($Q4570&lt;&gt;"Có","Thiếu đồng ý bắt buộc; ","")&amp;IF($L4570="","Thiếu/sai Mã REF; ",IF(AND($L4570="Chưa xác định",DANH_MUC!$L$9&lt;&gt;"Có"),"Nguồn chưa xác định; ","")))</f>
        <v/>
      </c>
      <c r="V4570" s="22">
        <f>IF(OR($D4570="",$R4570="Trùng"),"",IF(COUNTIF(ORDERS!$C$2:$C$4995,$D4570)&gt;0,"Có","Không"))</f>
        <v/>
      </c>
      <c r="W4570" s="22">
        <f>IF(OR($D4570="",$R4570="Trùng"),"",COUNTIFS(ORDERS!$C$2:$C$4995,$D4570,ORDERS!$L$2:$L$4995,"Đã chuyển khoản"))</f>
        <v/>
      </c>
      <c r="X4570" s="23">
        <f>IF(OR($D4570="",$R4570="Trùng"),"",SUMIFS(ORDERS!$J$2:$J$4995,ORDERS!$C$2:$C$4995,$D4570,ORDERS!$L$2:$L$4995,"Đã chuyển khoản"))</f>
        <v/>
      </c>
      <c r="Y4570" s="24" t="n"/>
    </row>
    <row r="4571" ht="14.25" customHeight="1" s="40">
      <c r="A4571" s="24" t="n"/>
      <c r="B4571" s="27" t="n"/>
      <c r="C4571" s="24" t="n"/>
      <c r="D4571" s="28" t="n"/>
      <c r="E4571" s="29" t="n"/>
      <c r="F4571" s="24" t="n"/>
      <c r="G4571" s="24" t="n"/>
      <c r="H4571" s="21">
        <f>IF(ISNUMBER($B4571),INT($B4571)-WEEKDAY($B4571,2)+1,"")</f>
        <v/>
      </c>
      <c r="I4571" s="24" t="n"/>
      <c r="J4571" s="22">
        <f t="array" ref="J4571">IF($D4571="","",IF($I4571="","(trống REF)",IFERROR(INDEX(MASTER_SOURCE!$B$2:$B$495,MATCH($I4571,MASTER_SOURCE!$A$2:$A$495,0)),"(REF không có trong MASTER_SOURCE)")))</f>
        <v/>
      </c>
      <c r="K4571" s="22">
        <f t="array" ref="K4571">IF($D4571="","",IFERROR(INDEX(MASTER_SOURCE!$C$2:$C$495,MATCH($I4571,MASTER_SOURCE!$A$2:$A$495,0)),""))</f>
        <v/>
      </c>
      <c r="L4571" s="22">
        <f t="array" ref="L4571">IF($D4571="","",IFERROR(INDEX(MASTER_SOURCE!$D$2:$D$495,MATCH($I4571,MASTER_SOURCE!$A$2:$A$495,0)),""))</f>
        <v/>
      </c>
      <c r="M4571" s="24" t="n"/>
      <c r="N4571" s="24" t="n"/>
      <c r="O4571" s="24" t="n"/>
      <c r="P4571" s="24" t="n"/>
      <c r="Q4571" s="22">
        <f>IF($D4571="","",IF(AND(OR(DANH_MUC!$L$5&lt;&gt;"Có",M4571="Có"),OR(DANH_MUC!$L$6&lt;&gt;"Có",N4571="Có"),OR(DANH_MUC!$L$7&lt;&gt;"Có",O4571="Có"),OR(DANH_MUC!$L$8&lt;&gt;"Có",P4571="Có")),"Có","Không"))</f>
        <v/>
      </c>
      <c r="R4571" s="22">
        <f>IF($D4571="","",IF(COUNTIF($D$2:$D4571,$D4571)&gt;1,"Trùng",""))</f>
        <v/>
      </c>
      <c r="S4571" s="22">
        <f>IF($D4571="","",IF(AND(LEN($D4571)=10,LEFT($D4571,1)="0",ISNUMBER(--$D4571)),"Có","Không"))</f>
        <v/>
      </c>
      <c r="T4571" s="22">
        <f>IF($D4571="","",IF(AND($C4571&lt;&gt;"",$Q4571="Có",$R4571="",$S4571="Có",AND($L4571&lt;&gt;"",OR($L4571&lt;&gt;"Chưa xác định",DANH_MUC!$L$9="Có"))),"Có","Không"))</f>
        <v/>
      </c>
      <c r="U4571" s="22">
        <f>IF(OR($D4571="",$T4571="Có"),"",IF($C4571="","Thiếu họ tên; ","")&amp;IF($S4571&lt;&gt;"Có","SĐT sai định dạng; ","")&amp;IF($R4571="Trùng","Trùng SĐT; ","")&amp;IF($Q4571&lt;&gt;"Có","Thiếu đồng ý bắt buộc; ","")&amp;IF($L4571="","Thiếu/sai Mã REF; ",IF(AND($L4571="Chưa xác định",DANH_MUC!$L$9&lt;&gt;"Có"),"Nguồn chưa xác định; ","")))</f>
        <v/>
      </c>
      <c r="V4571" s="22">
        <f>IF(OR($D4571="",$R4571="Trùng"),"",IF(COUNTIF(ORDERS!$C$2:$C$4995,$D4571)&gt;0,"Có","Không"))</f>
        <v/>
      </c>
      <c r="W4571" s="22">
        <f>IF(OR($D4571="",$R4571="Trùng"),"",COUNTIFS(ORDERS!$C$2:$C$4995,$D4571,ORDERS!$L$2:$L$4995,"Đã chuyển khoản"))</f>
        <v/>
      </c>
      <c r="X4571" s="23">
        <f>IF(OR($D4571="",$R4571="Trùng"),"",SUMIFS(ORDERS!$J$2:$J$4995,ORDERS!$C$2:$C$4995,$D4571,ORDERS!$L$2:$L$4995,"Đã chuyển khoản"))</f>
        <v/>
      </c>
      <c r="Y4571" s="24" t="n"/>
    </row>
    <row r="4572" ht="14.25" customHeight="1" s="40">
      <c r="A4572" s="24" t="n"/>
      <c r="B4572" s="27" t="n"/>
      <c r="C4572" s="24" t="n"/>
      <c r="D4572" s="28" t="n"/>
      <c r="E4572" s="29" t="n"/>
      <c r="F4572" s="24" t="n"/>
      <c r="G4572" s="24" t="n"/>
      <c r="H4572" s="21">
        <f>IF(ISNUMBER($B4572),INT($B4572)-WEEKDAY($B4572,2)+1,"")</f>
        <v/>
      </c>
      <c r="I4572" s="24" t="n"/>
      <c r="J4572" s="22">
        <f t="array" ref="J4572">IF($D4572="","",IF($I4572="","(trống REF)",IFERROR(INDEX(MASTER_SOURCE!$B$2:$B$495,MATCH($I4572,MASTER_SOURCE!$A$2:$A$495,0)),"(REF không có trong MASTER_SOURCE)")))</f>
        <v/>
      </c>
      <c r="K4572" s="22">
        <f t="array" ref="K4572">IF($D4572="","",IFERROR(INDEX(MASTER_SOURCE!$C$2:$C$495,MATCH($I4572,MASTER_SOURCE!$A$2:$A$495,0)),""))</f>
        <v/>
      </c>
      <c r="L4572" s="22">
        <f t="array" ref="L4572">IF($D4572="","",IFERROR(INDEX(MASTER_SOURCE!$D$2:$D$495,MATCH($I4572,MASTER_SOURCE!$A$2:$A$495,0)),""))</f>
        <v/>
      </c>
      <c r="M4572" s="24" t="n"/>
      <c r="N4572" s="24" t="n"/>
      <c r="O4572" s="24" t="n"/>
      <c r="P4572" s="24" t="n"/>
      <c r="Q4572" s="22">
        <f>IF($D4572="","",IF(AND(OR(DANH_MUC!$L$5&lt;&gt;"Có",M4572="Có"),OR(DANH_MUC!$L$6&lt;&gt;"Có",N4572="Có"),OR(DANH_MUC!$L$7&lt;&gt;"Có",O4572="Có"),OR(DANH_MUC!$L$8&lt;&gt;"Có",P4572="Có")),"Có","Không"))</f>
        <v/>
      </c>
      <c r="R4572" s="22">
        <f>IF($D4572="","",IF(COUNTIF($D$2:$D4572,$D4572)&gt;1,"Trùng",""))</f>
        <v/>
      </c>
      <c r="S4572" s="22">
        <f>IF($D4572="","",IF(AND(LEN($D4572)=10,LEFT($D4572,1)="0",ISNUMBER(--$D4572)),"Có","Không"))</f>
        <v/>
      </c>
      <c r="T4572" s="22">
        <f>IF($D4572="","",IF(AND($C4572&lt;&gt;"",$Q4572="Có",$R4572="",$S4572="Có",AND($L4572&lt;&gt;"",OR($L4572&lt;&gt;"Chưa xác định",DANH_MUC!$L$9="Có"))),"Có","Không"))</f>
        <v/>
      </c>
      <c r="U4572" s="22">
        <f>IF(OR($D4572="",$T4572="Có"),"",IF($C4572="","Thiếu họ tên; ","")&amp;IF($S4572&lt;&gt;"Có","SĐT sai định dạng; ","")&amp;IF($R4572="Trùng","Trùng SĐT; ","")&amp;IF($Q4572&lt;&gt;"Có","Thiếu đồng ý bắt buộc; ","")&amp;IF($L4572="","Thiếu/sai Mã REF; ",IF(AND($L4572="Chưa xác định",DANH_MUC!$L$9&lt;&gt;"Có"),"Nguồn chưa xác định; ","")))</f>
        <v/>
      </c>
      <c r="V4572" s="22">
        <f>IF(OR($D4572="",$R4572="Trùng"),"",IF(COUNTIF(ORDERS!$C$2:$C$4995,$D4572)&gt;0,"Có","Không"))</f>
        <v/>
      </c>
      <c r="W4572" s="22">
        <f>IF(OR($D4572="",$R4572="Trùng"),"",COUNTIFS(ORDERS!$C$2:$C$4995,$D4572,ORDERS!$L$2:$L$4995,"Đã chuyển khoản"))</f>
        <v/>
      </c>
      <c r="X4572" s="23">
        <f>IF(OR($D4572="",$R4572="Trùng"),"",SUMIFS(ORDERS!$J$2:$J$4995,ORDERS!$C$2:$C$4995,$D4572,ORDERS!$L$2:$L$4995,"Đã chuyển khoản"))</f>
        <v/>
      </c>
      <c r="Y4572" s="24" t="n"/>
    </row>
    <row r="4573" ht="14.25" customHeight="1" s="40">
      <c r="A4573" s="24" t="n"/>
      <c r="B4573" s="27" t="n"/>
      <c r="C4573" s="24" t="n"/>
      <c r="D4573" s="28" t="n"/>
      <c r="E4573" s="29" t="n"/>
      <c r="F4573" s="24" t="n"/>
      <c r="G4573" s="24" t="n"/>
      <c r="H4573" s="21">
        <f>IF(ISNUMBER($B4573),INT($B4573)-WEEKDAY($B4573,2)+1,"")</f>
        <v/>
      </c>
      <c r="I4573" s="24" t="n"/>
      <c r="J4573" s="22">
        <f t="array" ref="J4573">IF($D4573="","",IF($I4573="","(trống REF)",IFERROR(INDEX(MASTER_SOURCE!$B$2:$B$495,MATCH($I4573,MASTER_SOURCE!$A$2:$A$495,0)),"(REF không có trong MASTER_SOURCE)")))</f>
        <v/>
      </c>
      <c r="K4573" s="22">
        <f t="array" ref="K4573">IF($D4573="","",IFERROR(INDEX(MASTER_SOURCE!$C$2:$C$495,MATCH($I4573,MASTER_SOURCE!$A$2:$A$495,0)),""))</f>
        <v/>
      </c>
      <c r="L4573" s="22">
        <f t="array" ref="L4573">IF($D4573="","",IFERROR(INDEX(MASTER_SOURCE!$D$2:$D$495,MATCH($I4573,MASTER_SOURCE!$A$2:$A$495,0)),""))</f>
        <v/>
      </c>
      <c r="M4573" s="24" t="n"/>
      <c r="N4573" s="24" t="n"/>
      <c r="O4573" s="24" t="n"/>
      <c r="P4573" s="24" t="n"/>
      <c r="Q4573" s="22">
        <f>IF($D4573="","",IF(AND(OR(DANH_MUC!$L$5&lt;&gt;"Có",M4573="Có"),OR(DANH_MUC!$L$6&lt;&gt;"Có",N4573="Có"),OR(DANH_MUC!$L$7&lt;&gt;"Có",O4573="Có"),OR(DANH_MUC!$L$8&lt;&gt;"Có",P4573="Có")),"Có","Không"))</f>
        <v/>
      </c>
      <c r="R4573" s="22">
        <f>IF($D4573="","",IF(COUNTIF($D$2:$D4573,$D4573)&gt;1,"Trùng",""))</f>
        <v/>
      </c>
      <c r="S4573" s="22">
        <f>IF($D4573="","",IF(AND(LEN($D4573)=10,LEFT($D4573,1)="0",ISNUMBER(--$D4573)),"Có","Không"))</f>
        <v/>
      </c>
      <c r="T4573" s="22">
        <f>IF($D4573="","",IF(AND($C4573&lt;&gt;"",$Q4573="Có",$R4573="",$S4573="Có",AND($L4573&lt;&gt;"",OR($L4573&lt;&gt;"Chưa xác định",DANH_MUC!$L$9="Có"))),"Có","Không"))</f>
        <v/>
      </c>
      <c r="U4573" s="22">
        <f>IF(OR($D4573="",$T4573="Có"),"",IF($C4573="","Thiếu họ tên; ","")&amp;IF($S4573&lt;&gt;"Có","SĐT sai định dạng; ","")&amp;IF($R4573="Trùng","Trùng SĐT; ","")&amp;IF($Q4573&lt;&gt;"Có","Thiếu đồng ý bắt buộc; ","")&amp;IF($L4573="","Thiếu/sai Mã REF; ",IF(AND($L4573="Chưa xác định",DANH_MUC!$L$9&lt;&gt;"Có"),"Nguồn chưa xác định; ","")))</f>
        <v/>
      </c>
      <c r="V4573" s="22">
        <f>IF(OR($D4573="",$R4573="Trùng"),"",IF(COUNTIF(ORDERS!$C$2:$C$4995,$D4573)&gt;0,"Có","Không"))</f>
        <v/>
      </c>
      <c r="W4573" s="22">
        <f>IF(OR($D4573="",$R4573="Trùng"),"",COUNTIFS(ORDERS!$C$2:$C$4995,$D4573,ORDERS!$L$2:$L$4995,"Đã chuyển khoản"))</f>
        <v/>
      </c>
      <c r="X4573" s="23">
        <f>IF(OR($D4573="",$R4573="Trùng"),"",SUMIFS(ORDERS!$J$2:$J$4995,ORDERS!$C$2:$C$4995,$D4573,ORDERS!$L$2:$L$4995,"Đã chuyển khoản"))</f>
        <v/>
      </c>
      <c r="Y4573" s="24" t="n"/>
    </row>
    <row r="4574" ht="14.25" customHeight="1" s="40">
      <c r="A4574" s="24" t="n"/>
      <c r="B4574" s="27" t="n"/>
      <c r="C4574" s="24" t="n"/>
      <c r="D4574" s="28" t="n"/>
      <c r="E4574" s="29" t="n"/>
      <c r="F4574" s="24" t="n"/>
      <c r="G4574" s="24" t="n"/>
      <c r="H4574" s="21">
        <f>IF(ISNUMBER($B4574),INT($B4574)-WEEKDAY($B4574,2)+1,"")</f>
        <v/>
      </c>
      <c r="I4574" s="24" t="n"/>
      <c r="J4574" s="22">
        <f t="array" ref="J4574">IF($D4574="","",IF($I4574="","(trống REF)",IFERROR(INDEX(MASTER_SOURCE!$B$2:$B$495,MATCH($I4574,MASTER_SOURCE!$A$2:$A$495,0)),"(REF không có trong MASTER_SOURCE)")))</f>
        <v/>
      </c>
      <c r="K4574" s="22">
        <f t="array" ref="K4574">IF($D4574="","",IFERROR(INDEX(MASTER_SOURCE!$C$2:$C$495,MATCH($I4574,MASTER_SOURCE!$A$2:$A$495,0)),""))</f>
        <v/>
      </c>
      <c r="L4574" s="22">
        <f t="array" ref="L4574">IF($D4574="","",IFERROR(INDEX(MASTER_SOURCE!$D$2:$D$495,MATCH($I4574,MASTER_SOURCE!$A$2:$A$495,0)),""))</f>
        <v/>
      </c>
      <c r="M4574" s="24" t="n"/>
      <c r="N4574" s="24" t="n"/>
      <c r="O4574" s="24" t="n"/>
      <c r="P4574" s="24" t="n"/>
      <c r="Q4574" s="22">
        <f>IF($D4574="","",IF(AND(OR(DANH_MUC!$L$5&lt;&gt;"Có",M4574="Có"),OR(DANH_MUC!$L$6&lt;&gt;"Có",N4574="Có"),OR(DANH_MUC!$L$7&lt;&gt;"Có",O4574="Có"),OR(DANH_MUC!$L$8&lt;&gt;"Có",P4574="Có")),"Có","Không"))</f>
        <v/>
      </c>
      <c r="R4574" s="22">
        <f>IF($D4574="","",IF(COUNTIF($D$2:$D4574,$D4574)&gt;1,"Trùng",""))</f>
        <v/>
      </c>
      <c r="S4574" s="22">
        <f>IF($D4574="","",IF(AND(LEN($D4574)=10,LEFT($D4574,1)="0",ISNUMBER(--$D4574)),"Có","Không"))</f>
        <v/>
      </c>
      <c r="T4574" s="22">
        <f>IF($D4574="","",IF(AND($C4574&lt;&gt;"",$Q4574="Có",$R4574="",$S4574="Có",AND($L4574&lt;&gt;"",OR($L4574&lt;&gt;"Chưa xác định",DANH_MUC!$L$9="Có"))),"Có","Không"))</f>
        <v/>
      </c>
      <c r="U4574" s="22">
        <f>IF(OR($D4574="",$T4574="Có"),"",IF($C4574="","Thiếu họ tên; ","")&amp;IF($S4574&lt;&gt;"Có","SĐT sai định dạng; ","")&amp;IF($R4574="Trùng","Trùng SĐT; ","")&amp;IF($Q4574&lt;&gt;"Có","Thiếu đồng ý bắt buộc; ","")&amp;IF($L4574="","Thiếu/sai Mã REF; ",IF(AND($L4574="Chưa xác định",DANH_MUC!$L$9&lt;&gt;"Có"),"Nguồn chưa xác định; ","")))</f>
        <v/>
      </c>
      <c r="V4574" s="22">
        <f>IF(OR($D4574="",$R4574="Trùng"),"",IF(COUNTIF(ORDERS!$C$2:$C$4995,$D4574)&gt;0,"Có","Không"))</f>
        <v/>
      </c>
      <c r="W4574" s="22">
        <f>IF(OR($D4574="",$R4574="Trùng"),"",COUNTIFS(ORDERS!$C$2:$C$4995,$D4574,ORDERS!$L$2:$L$4995,"Đã chuyển khoản"))</f>
        <v/>
      </c>
      <c r="X4574" s="23">
        <f>IF(OR($D4574="",$R4574="Trùng"),"",SUMIFS(ORDERS!$J$2:$J$4995,ORDERS!$C$2:$C$4995,$D4574,ORDERS!$L$2:$L$4995,"Đã chuyển khoản"))</f>
        <v/>
      </c>
      <c r="Y4574" s="24" t="n"/>
    </row>
    <row r="4575" ht="14.25" customHeight="1" s="40">
      <c r="A4575" s="24" t="n"/>
      <c r="B4575" s="27" t="n"/>
      <c r="C4575" s="24" t="n"/>
      <c r="D4575" s="28" t="n"/>
      <c r="E4575" s="29" t="n"/>
      <c r="F4575" s="24" t="n"/>
      <c r="G4575" s="24" t="n"/>
      <c r="H4575" s="21">
        <f>IF(ISNUMBER($B4575),INT($B4575)-WEEKDAY($B4575,2)+1,"")</f>
        <v/>
      </c>
      <c r="I4575" s="24" t="n"/>
      <c r="J4575" s="22">
        <f t="array" ref="J4575">IF($D4575="","",IF($I4575="","(trống REF)",IFERROR(INDEX(MASTER_SOURCE!$B$2:$B$495,MATCH($I4575,MASTER_SOURCE!$A$2:$A$495,0)),"(REF không có trong MASTER_SOURCE)")))</f>
        <v/>
      </c>
      <c r="K4575" s="22">
        <f t="array" ref="K4575">IF($D4575="","",IFERROR(INDEX(MASTER_SOURCE!$C$2:$C$495,MATCH($I4575,MASTER_SOURCE!$A$2:$A$495,0)),""))</f>
        <v/>
      </c>
      <c r="L4575" s="22">
        <f t="array" ref="L4575">IF($D4575="","",IFERROR(INDEX(MASTER_SOURCE!$D$2:$D$495,MATCH($I4575,MASTER_SOURCE!$A$2:$A$495,0)),""))</f>
        <v/>
      </c>
      <c r="M4575" s="24" t="n"/>
      <c r="N4575" s="24" t="n"/>
      <c r="O4575" s="24" t="n"/>
      <c r="P4575" s="24" t="n"/>
      <c r="Q4575" s="22">
        <f>IF($D4575="","",IF(AND(OR(DANH_MUC!$L$5&lt;&gt;"Có",M4575="Có"),OR(DANH_MUC!$L$6&lt;&gt;"Có",N4575="Có"),OR(DANH_MUC!$L$7&lt;&gt;"Có",O4575="Có"),OR(DANH_MUC!$L$8&lt;&gt;"Có",P4575="Có")),"Có","Không"))</f>
        <v/>
      </c>
      <c r="R4575" s="22">
        <f>IF($D4575="","",IF(COUNTIF($D$2:$D4575,$D4575)&gt;1,"Trùng",""))</f>
        <v/>
      </c>
      <c r="S4575" s="22">
        <f>IF($D4575="","",IF(AND(LEN($D4575)=10,LEFT($D4575,1)="0",ISNUMBER(--$D4575)),"Có","Không"))</f>
        <v/>
      </c>
      <c r="T4575" s="22">
        <f>IF($D4575="","",IF(AND($C4575&lt;&gt;"",$Q4575="Có",$R4575="",$S4575="Có",AND($L4575&lt;&gt;"",OR($L4575&lt;&gt;"Chưa xác định",DANH_MUC!$L$9="Có"))),"Có","Không"))</f>
        <v/>
      </c>
      <c r="U4575" s="22">
        <f>IF(OR($D4575="",$T4575="Có"),"",IF($C4575="","Thiếu họ tên; ","")&amp;IF($S4575&lt;&gt;"Có","SĐT sai định dạng; ","")&amp;IF($R4575="Trùng","Trùng SĐT; ","")&amp;IF($Q4575&lt;&gt;"Có","Thiếu đồng ý bắt buộc; ","")&amp;IF($L4575="","Thiếu/sai Mã REF; ",IF(AND($L4575="Chưa xác định",DANH_MUC!$L$9&lt;&gt;"Có"),"Nguồn chưa xác định; ","")))</f>
        <v/>
      </c>
      <c r="V4575" s="22">
        <f>IF(OR($D4575="",$R4575="Trùng"),"",IF(COUNTIF(ORDERS!$C$2:$C$4995,$D4575)&gt;0,"Có","Không"))</f>
        <v/>
      </c>
      <c r="W4575" s="22">
        <f>IF(OR($D4575="",$R4575="Trùng"),"",COUNTIFS(ORDERS!$C$2:$C$4995,$D4575,ORDERS!$L$2:$L$4995,"Đã chuyển khoản"))</f>
        <v/>
      </c>
      <c r="X4575" s="23">
        <f>IF(OR($D4575="",$R4575="Trùng"),"",SUMIFS(ORDERS!$J$2:$J$4995,ORDERS!$C$2:$C$4995,$D4575,ORDERS!$L$2:$L$4995,"Đã chuyển khoản"))</f>
        <v/>
      </c>
      <c r="Y4575" s="24" t="n"/>
    </row>
    <row r="4576" ht="14.25" customHeight="1" s="40">
      <c r="A4576" s="24" t="n"/>
      <c r="B4576" s="27" t="n"/>
      <c r="C4576" s="24" t="n"/>
      <c r="D4576" s="28" t="n"/>
      <c r="E4576" s="29" t="n"/>
      <c r="F4576" s="24" t="n"/>
      <c r="G4576" s="24" t="n"/>
      <c r="H4576" s="21">
        <f>IF(ISNUMBER($B4576),INT($B4576)-WEEKDAY($B4576,2)+1,"")</f>
        <v/>
      </c>
      <c r="I4576" s="24" t="n"/>
      <c r="J4576" s="22">
        <f t="array" ref="J4576">IF($D4576="","",IF($I4576="","(trống REF)",IFERROR(INDEX(MASTER_SOURCE!$B$2:$B$495,MATCH($I4576,MASTER_SOURCE!$A$2:$A$495,0)),"(REF không có trong MASTER_SOURCE)")))</f>
        <v/>
      </c>
      <c r="K4576" s="22">
        <f t="array" ref="K4576">IF($D4576="","",IFERROR(INDEX(MASTER_SOURCE!$C$2:$C$495,MATCH($I4576,MASTER_SOURCE!$A$2:$A$495,0)),""))</f>
        <v/>
      </c>
      <c r="L4576" s="22">
        <f t="array" ref="L4576">IF($D4576="","",IFERROR(INDEX(MASTER_SOURCE!$D$2:$D$495,MATCH($I4576,MASTER_SOURCE!$A$2:$A$495,0)),""))</f>
        <v/>
      </c>
      <c r="M4576" s="24" t="n"/>
      <c r="N4576" s="24" t="n"/>
      <c r="O4576" s="24" t="n"/>
      <c r="P4576" s="24" t="n"/>
      <c r="Q4576" s="22">
        <f>IF($D4576="","",IF(AND(OR(DANH_MUC!$L$5&lt;&gt;"Có",M4576="Có"),OR(DANH_MUC!$L$6&lt;&gt;"Có",N4576="Có"),OR(DANH_MUC!$L$7&lt;&gt;"Có",O4576="Có"),OR(DANH_MUC!$L$8&lt;&gt;"Có",P4576="Có")),"Có","Không"))</f>
        <v/>
      </c>
      <c r="R4576" s="22">
        <f>IF($D4576="","",IF(COUNTIF($D$2:$D4576,$D4576)&gt;1,"Trùng",""))</f>
        <v/>
      </c>
      <c r="S4576" s="22">
        <f>IF($D4576="","",IF(AND(LEN($D4576)=10,LEFT($D4576,1)="0",ISNUMBER(--$D4576)),"Có","Không"))</f>
        <v/>
      </c>
      <c r="T4576" s="22">
        <f>IF($D4576="","",IF(AND($C4576&lt;&gt;"",$Q4576="Có",$R4576="",$S4576="Có",AND($L4576&lt;&gt;"",OR($L4576&lt;&gt;"Chưa xác định",DANH_MUC!$L$9="Có"))),"Có","Không"))</f>
        <v/>
      </c>
      <c r="U4576" s="22">
        <f>IF(OR($D4576="",$T4576="Có"),"",IF($C4576="","Thiếu họ tên; ","")&amp;IF($S4576&lt;&gt;"Có","SĐT sai định dạng; ","")&amp;IF($R4576="Trùng","Trùng SĐT; ","")&amp;IF($Q4576&lt;&gt;"Có","Thiếu đồng ý bắt buộc; ","")&amp;IF($L4576="","Thiếu/sai Mã REF; ",IF(AND($L4576="Chưa xác định",DANH_MUC!$L$9&lt;&gt;"Có"),"Nguồn chưa xác định; ","")))</f>
        <v/>
      </c>
      <c r="V4576" s="22">
        <f>IF(OR($D4576="",$R4576="Trùng"),"",IF(COUNTIF(ORDERS!$C$2:$C$4995,$D4576)&gt;0,"Có","Không"))</f>
        <v/>
      </c>
      <c r="W4576" s="22">
        <f>IF(OR($D4576="",$R4576="Trùng"),"",COUNTIFS(ORDERS!$C$2:$C$4995,$D4576,ORDERS!$L$2:$L$4995,"Đã chuyển khoản"))</f>
        <v/>
      </c>
      <c r="X4576" s="23">
        <f>IF(OR($D4576="",$R4576="Trùng"),"",SUMIFS(ORDERS!$J$2:$J$4995,ORDERS!$C$2:$C$4995,$D4576,ORDERS!$L$2:$L$4995,"Đã chuyển khoản"))</f>
        <v/>
      </c>
      <c r="Y4576" s="24" t="n"/>
    </row>
    <row r="4577" ht="14.25" customHeight="1" s="40">
      <c r="A4577" s="24" t="n"/>
      <c r="B4577" s="27" t="n"/>
      <c r="C4577" s="24" t="n"/>
      <c r="D4577" s="28" t="n"/>
      <c r="E4577" s="29" t="n"/>
      <c r="F4577" s="24" t="n"/>
      <c r="G4577" s="24" t="n"/>
      <c r="H4577" s="21">
        <f>IF(ISNUMBER($B4577),INT($B4577)-WEEKDAY($B4577,2)+1,"")</f>
        <v/>
      </c>
      <c r="I4577" s="24" t="n"/>
      <c r="J4577" s="22">
        <f t="array" ref="J4577">IF($D4577="","",IF($I4577="","(trống REF)",IFERROR(INDEX(MASTER_SOURCE!$B$2:$B$495,MATCH($I4577,MASTER_SOURCE!$A$2:$A$495,0)),"(REF không có trong MASTER_SOURCE)")))</f>
        <v/>
      </c>
      <c r="K4577" s="22">
        <f t="array" ref="K4577">IF($D4577="","",IFERROR(INDEX(MASTER_SOURCE!$C$2:$C$495,MATCH($I4577,MASTER_SOURCE!$A$2:$A$495,0)),""))</f>
        <v/>
      </c>
      <c r="L4577" s="22">
        <f t="array" ref="L4577">IF($D4577="","",IFERROR(INDEX(MASTER_SOURCE!$D$2:$D$495,MATCH($I4577,MASTER_SOURCE!$A$2:$A$495,0)),""))</f>
        <v/>
      </c>
      <c r="M4577" s="24" t="n"/>
      <c r="N4577" s="24" t="n"/>
      <c r="O4577" s="24" t="n"/>
      <c r="P4577" s="24" t="n"/>
      <c r="Q4577" s="22">
        <f>IF($D4577="","",IF(AND(OR(DANH_MUC!$L$5&lt;&gt;"Có",M4577="Có"),OR(DANH_MUC!$L$6&lt;&gt;"Có",N4577="Có"),OR(DANH_MUC!$L$7&lt;&gt;"Có",O4577="Có"),OR(DANH_MUC!$L$8&lt;&gt;"Có",P4577="Có")),"Có","Không"))</f>
        <v/>
      </c>
      <c r="R4577" s="22">
        <f>IF($D4577="","",IF(COUNTIF($D$2:$D4577,$D4577)&gt;1,"Trùng",""))</f>
        <v/>
      </c>
      <c r="S4577" s="22">
        <f>IF($D4577="","",IF(AND(LEN($D4577)=10,LEFT($D4577,1)="0",ISNUMBER(--$D4577)),"Có","Không"))</f>
        <v/>
      </c>
      <c r="T4577" s="22">
        <f>IF($D4577="","",IF(AND($C4577&lt;&gt;"",$Q4577="Có",$R4577="",$S4577="Có",AND($L4577&lt;&gt;"",OR($L4577&lt;&gt;"Chưa xác định",DANH_MUC!$L$9="Có"))),"Có","Không"))</f>
        <v/>
      </c>
      <c r="U4577" s="22">
        <f>IF(OR($D4577="",$T4577="Có"),"",IF($C4577="","Thiếu họ tên; ","")&amp;IF($S4577&lt;&gt;"Có","SĐT sai định dạng; ","")&amp;IF($R4577="Trùng","Trùng SĐT; ","")&amp;IF($Q4577&lt;&gt;"Có","Thiếu đồng ý bắt buộc; ","")&amp;IF($L4577="","Thiếu/sai Mã REF; ",IF(AND($L4577="Chưa xác định",DANH_MUC!$L$9&lt;&gt;"Có"),"Nguồn chưa xác định; ","")))</f>
        <v/>
      </c>
      <c r="V4577" s="22">
        <f>IF(OR($D4577="",$R4577="Trùng"),"",IF(COUNTIF(ORDERS!$C$2:$C$4995,$D4577)&gt;0,"Có","Không"))</f>
        <v/>
      </c>
      <c r="W4577" s="22">
        <f>IF(OR($D4577="",$R4577="Trùng"),"",COUNTIFS(ORDERS!$C$2:$C$4995,$D4577,ORDERS!$L$2:$L$4995,"Đã chuyển khoản"))</f>
        <v/>
      </c>
      <c r="X4577" s="23">
        <f>IF(OR($D4577="",$R4577="Trùng"),"",SUMIFS(ORDERS!$J$2:$J$4995,ORDERS!$C$2:$C$4995,$D4577,ORDERS!$L$2:$L$4995,"Đã chuyển khoản"))</f>
        <v/>
      </c>
      <c r="Y4577" s="24" t="n"/>
    </row>
    <row r="4578" ht="14.25" customHeight="1" s="40">
      <c r="A4578" s="24" t="n"/>
      <c r="B4578" s="27" t="n"/>
      <c r="C4578" s="24" t="n"/>
      <c r="D4578" s="28" t="n"/>
      <c r="E4578" s="29" t="n"/>
      <c r="F4578" s="24" t="n"/>
      <c r="G4578" s="24" t="n"/>
      <c r="H4578" s="21">
        <f>IF(ISNUMBER($B4578),INT($B4578)-WEEKDAY($B4578,2)+1,"")</f>
        <v/>
      </c>
      <c r="I4578" s="24" t="n"/>
      <c r="J4578" s="22">
        <f t="array" ref="J4578">IF($D4578="","",IF($I4578="","(trống REF)",IFERROR(INDEX(MASTER_SOURCE!$B$2:$B$495,MATCH($I4578,MASTER_SOURCE!$A$2:$A$495,0)),"(REF không có trong MASTER_SOURCE)")))</f>
        <v/>
      </c>
      <c r="K4578" s="22">
        <f t="array" ref="K4578">IF($D4578="","",IFERROR(INDEX(MASTER_SOURCE!$C$2:$C$495,MATCH($I4578,MASTER_SOURCE!$A$2:$A$495,0)),""))</f>
        <v/>
      </c>
      <c r="L4578" s="22">
        <f t="array" ref="L4578">IF($D4578="","",IFERROR(INDEX(MASTER_SOURCE!$D$2:$D$495,MATCH($I4578,MASTER_SOURCE!$A$2:$A$495,0)),""))</f>
        <v/>
      </c>
      <c r="M4578" s="24" t="n"/>
      <c r="N4578" s="24" t="n"/>
      <c r="O4578" s="24" t="n"/>
      <c r="P4578" s="24" t="n"/>
      <c r="Q4578" s="22">
        <f>IF($D4578="","",IF(AND(OR(DANH_MUC!$L$5&lt;&gt;"Có",M4578="Có"),OR(DANH_MUC!$L$6&lt;&gt;"Có",N4578="Có"),OR(DANH_MUC!$L$7&lt;&gt;"Có",O4578="Có"),OR(DANH_MUC!$L$8&lt;&gt;"Có",P4578="Có")),"Có","Không"))</f>
        <v/>
      </c>
      <c r="R4578" s="22">
        <f>IF($D4578="","",IF(COUNTIF($D$2:$D4578,$D4578)&gt;1,"Trùng",""))</f>
        <v/>
      </c>
      <c r="S4578" s="22">
        <f>IF($D4578="","",IF(AND(LEN($D4578)=10,LEFT($D4578,1)="0",ISNUMBER(--$D4578)),"Có","Không"))</f>
        <v/>
      </c>
      <c r="T4578" s="22">
        <f>IF($D4578="","",IF(AND($C4578&lt;&gt;"",$Q4578="Có",$R4578="",$S4578="Có",AND($L4578&lt;&gt;"",OR($L4578&lt;&gt;"Chưa xác định",DANH_MUC!$L$9="Có"))),"Có","Không"))</f>
        <v/>
      </c>
      <c r="U4578" s="22">
        <f>IF(OR($D4578="",$T4578="Có"),"",IF($C4578="","Thiếu họ tên; ","")&amp;IF($S4578&lt;&gt;"Có","SĐT sai định dạng; ","")&amp;IF($R4578="Trùng","Trùng SĐT; ","")&amp;IF($Q4578&lt;&gt;"Có","Thiếu đồng ý bắt buộc; ","")&amp;IF($L4578="","Thiếu/sai Mã REF; ",IF(AND($L4578="Chưa xác định",DANH_MUC!$L$9&lt;&gt;"Có"),"Nguồn chưa xác định; ","")))</f>
        <v/>
      </c>
      <c r="V4578" s="22">
        <f>IF(OR($D4578="",$R4578="Trùng"),"",IF(COUNTIF(ORDERS!$C$2:$C$4995,$D4578)&gt;0,"Có","Không"))</f>
        <v/>
      </c>
      <c r="W4578" s="22">
        <f>IF(OR($D4578="",$R4578="Trùng"),"",COUNTIFS(ORDERS!$C$2:$C$4995,$D4578,ORDERS!$L$2:$L$4995,"Đã chuyển khoản"))</f>
        <v/>
      </c>
      <c r="X4578" s="23">
        <f>IF(OR($D4578="",$R4578="Trùng"),"",SUMIFS(ORDERS!$J$2:$J$4995,ORDERS!$C$2:$C$4995,$D4578,ORDERS!$L$2:$L$4995,"Đã chuyển khoản"))</f>
        <v/>
      </c>
      <c r="Y4578" s="24" t="n"/>
    </row>
    <row r="4579" ht="14.25" customHeight="1" s="40">
      <c r="A4579" s="24" t="n"/>
      <c r="B4579" s="27" t="n"/>
      <c r="C4579" s="24" t="n"/>
      <c r="D4579" s="28" t="n"/>
      <c r="E4579" s="29" t="n"/>
      <c r="F4579" s="24" t="n"/>
      <c r="G4579" s="24" t="n"/>
      <c r="H4579" s="21">
        <f>IF(ISNUMBER($B4579),INT($B4579)-WEEKDAY($B4579,2)+1,"")</f>
        <v/>
      </c>
      <c r="I4579" s="24" t="n"/>
      <c r="J4579" s="22">
        <f t="array" ref="J4579">IF($D4579="","",IF($I4579="","(trống REF)",IFERROR(INDEX(MASTER_SOURCE!$B$2:$B$495,MATCH($I4579,MASTER_SOURCE!$A$2:$A$495,0)),"(REF không có trong MASTER_SOURCE)")))</f>
        <v/>
      </c>
      <c r="K4579" s="22">
        <f t="array" ref="K4579">IF($D4579="","",IFERROR(INDEX(MASTER_SOURCE!$C$2:$C$495,MATCH($I4579,MASTER_SOURCE!$A$2:$A$495,0)),""))</f>
        <v/>
      </c>
      <c r="L4579" s="22">
        <f t="array" ref="L4579">IF($D4579="","",IFERROR(INDEX(MASTER_SOURCE!$D$2:$D$495,MATCH($I4579,MASTER_SOURCE!$A$2:$A$495,0)),""))</f>
        <v/>
      </c>
      <c r="M4579" s="24" t="n"/>
      <c r="N4579" s="24" t="n"/>
      <c r="O4579" s="24" t="n"/>
      <c r="P4579" s="24" t="n"/>
      <c r="Q4579" s="22">
        <f>IF($D4579="","",IF(AND(OR(DANH_MUC!$L$5&lt;&gt;"Có",M4579="Có"),OR(DANH_MUC!$L$6&lt;&gt;"Có",N4579="Có"),OR(DANH_MUC!$L$7&lt;&gt;"Có",O4579="Có"),OR(DANH_MUC!$L$8&lt;&gt;"Có",P4579="Có")),"Có","Không"))</f>
        <v/>
      </c>
      <c r="R4579" s="22">
        <f>IF($D4579="","",IF(COUNTIF($D$2:$D4579,$D4579)&gt;1,"Trùng",""))</f>
        <v/>
      </c>
      <c r="S4579" s="22">
        <f>IF($D4579="","",IF(AND(LEN($D4579)=10,LEFT($D4579,1)="0",ISNUMBER(--$D4579)),"Có","Không"))</f>
        <v/>
      </c>
      <c r="T4579" s="22">
        <f>IF($D4579="","",IF(AND($C4579&lt;&gt;"",$Q4579="Có",$R4579="",$S4579="Có",AND($L4579&lt;&gt;"",OR($L4579&lt;&gt;"Chưa xác định",DANH_MUC!$L$9="Có"))),"Có","Không"))</f>
        <v/>
      </c>
      <c r="U4579" s="22">
        <f>IF(OR($D4579="",$T4579="Có"),"",IF($C4579="","Thiếu họ tên; ","")&amp;IF($S4579&lt;&gt;"Có","SĐT sai định dạng; ","")&amp;IF($R4579="Trùng","Trùng SĐT; ","")&amp;IF($Q4579&lt;&gt;"Có","Thiếu đồng ý bắt buộc; ","")&amp;IF($L4579="","Thiếu/sai Mã REF; ",IF(AND($L4579="Chưa xác định",DANH_MUC!$L$9&lt;&gt;"Có"),"Nguồn chưa xác định; ","")))</f>
        <v/>
      </c>
      <c r="V4579" s="22">
        <f>IF(OR($D4579="",$R4579="Trùng"),"",IF(COUNTIF(ORDERS!$C$2:$C$4995,$D4579)&gt;0,"Có","Không"))</f>
        <v/>
      </c>
      <c r="W4579" s="22">
        <f>IF(OR($D4579="",$R4579="Trùng"),"",COUNTIFS(ORDERS!$C$2:$C$4995,$D4579,ORDERS!$L$2:$L$4995,"Đã chuyển khoản"))</f>
        <v/>
      </c>
      <c r="X4579" s="23">
        <f>IF(OR($D4579="",$R4579="Trùng"),"",SUMIFS(ORDERS!$J$2:$J$4995,ORDERS!$C$2:$C$4995,$D4579,ORDERS!$L$2:$L$4995,"Đã chuyển khoản"))</f>
        <v/>
      </c>
      <c r="Y4579" s="24" t="n"/>
    </row>
    <row r="4580" ht="14.25" customHeight="1" s="40">
      <c r="A4580" s="24" t="n"/>
      <c r="B4580" s="27" t="n"/>
      <c r="C4580" s="24" t="n"/>
      <c r="D4580" s="28" t="n"/>
      <c r="E4580" s="29" t="n"/>
      <c r="F4580" s="24" t="n"/>
      <c r="G4580" s="24" t="n"/>
      <c r="H4580" s="21">
        <f>IF(ISNUMBER($B4580),INT($B4580)-WEEKDAY($B4580,2)+1,"")</f>
        <v/>
      </c>
      <c r="I4580" s="24" t="n"/>
      <c r="J4580" s="22">
        <f t="array" ref="J4580">IF($D4580="","",IF($I4580="","(trống REF)",IFERROR(INDEX(MASTER_SOURCE!$B$2:$B$495,MATCH($I4580,MASTER_SOURCE!$A$2:$A$495,0)),"(REF không có trong MASTER_SOURCE)")))</f>
        <v/>
      </c>
      <c r="K4580" s="22">
        <f t="array" ref="K4580">IF($D4580="","",IFERROR(INDEX(MASTER_SOURCE!$C$2:$C$495,MATCH($I4580,MASTER_SOURCE!$A$2:$A$495,0)),""))</f>
        <v/>
      </c>
      <c r="L4580" s="22">
        <f t="array" ref="L4580">IF($D4580="","",IFERROR(INDEX(MASTER_SOURCE!$D$2:$D$495,MATCH($I4580,MASTER_SOURCE!$A$2:$A$495,0)),""))</f>
        <v/>
      </c>
      <c r="M4580" s="24" t="n"/>
      <c r="N4580" s="24" t="n"/>
      <c r="O4580" s="24" t="n"/>
      <c r="P4580" s="24" t="n"/>
      <c r="Q4580" s="22">
        <f>IF($D4580="","",IF(AND(OR(DANH_MUC!$L$5&lt;&gt;"Có",M4580="Có"),OR(DANH_MUC!$L$6&lt;&gt;"Có",N4580="Có"),OR(DANH_MUC!$L$7&lt;&gt;"Có",O4580="Có"),OR(DANH_MUC!$L$8&lt;&gt;"Có",P4580="Có")),"Có","Không"))</f>
        <v/>
      </c>
      <c r="R4580" s="22">
        <f>IF($D4580="","",IF(COUNTIF($D$2:$D4580,$D4580)&gt;1,"Trùng",""))</f>
        <v/>
      </c>
      <c r="S4580" s="22">
        <f>IF($D4580="","",IF(AND(LEN($D4580)=10,LEFT($D4580,1)="0",ISNUMBER(--$D4580)),"Có","Không"))</f>
        <v/>
      </c>
      <c r="T4580" s="22">
        <f>IF($D4580="","",IF(AND($C4580&lt;&gt;"",$Q4580="Có",$R4580="",$S4580="Có",AND($L4580&lt;&gt;"",OR($L4580&lt;&gt;"Chưa xác định",DANH_MUC!$L$9="Có"))),"Có","Không"))</f>
        <v/>
      </c>
      <c r="U4580" s="22">
        <f>IF(OR($D4580="",$T4580="Có"),"",IF($C4580="","Thiếu họ tên; ","")&amp;IF($S4580&lt;&gt;"Có","SĐT sai định dạng; ","")&amp;IF($R4580="Trùng","Trùng SĐT; ","")&amp;IF($Q4580&lt;&gt;"Có","Thiếu đồng ý bắt buộc; ","")&amp;IF($L4580="","Thiếu/sai Mã REF; ",IF(AND($L4580="Chưa xác định",DANH_MUC!$L$9&lt;&gt;"Có"),"Nguồn chưa xác định; ","")))</f>
        <v/>
      </c>
      <c r="V4580" s="22">
        <f>IF(OR($D4580="",$R4580="Trùng"),"",IF(COUNTIF(ORDERS!$C$2:$C$4995,$D4580)&gt;0,"Có","Không"))</f>
        <v/>
      </c>
      <c r="W4580" s="22">
        <f>IF(OR($D4580="",$R4580="Trùng"),"",COUNTIFS(ORDERS!$C$2:$C$4995,$D4580,ORDERS!$L$2:$L$4995,"Đã chuyển khoản"))</f>
        <v/>
      </c>
      <c r="X4580" s="23">
        <f>IF(OR($D4580="",$R4580="Trùng"),"",SUMIFS(ORDERS!$J$2:$J$4995,ORDERS!$C$2:$C$4995,$D4580,ORDERS!$L$2:$L$4995,"Đã chuyển khoản"))</f>
        <v/>
      </c>
      <c r="Y4580" s="24" t="n"/>
    </row>
    <row r="4581" ht="14.25" customHeight="1" s="40">
      <c r="A4581" s="24" t="n"/>
      <c r="B4581" s="27" t="n"/>
      <c r="C4581" s="24" t="n"/>
      <c r="D4581" s="28" t="n"/>
      <c r="E4581" s="29" t="n"/>
      <c r="F4581" s="24" t="n"/>
      <c r="G4581" s="24" t="n"/>
      <c r="H4581" s="21">
        <f>IF(ISNUMBER($B4581),INT($B4581)-WEEKDAY($B4581,2)+1,"")</f>
        <v/>
      </c>
      <c r="I4581" s="24" t="n"/>
      <c r="J4581" s="22">
        <f t="array" ref="J4581">IF($D4581="","",IF($I4581="","(trống REF)",IFERROR(INDEX(MASTER_SOURCE!$B$2:$B$495,MATCH($I4581,MASTER_SOURCE!$A$2:$A$495,0)),"(REF không có trong MASTER_SOURCE)")))</f>
        <v/>
      </c>
      <c r="K4581" s="22">
        <f t="array" ref="K4581">IF($D4581="","",IFERROR(INDEX(MASTER_SOURCE!$C$2:$C$495,MATCH($I4581,MASTER_SOURCE!$A$2:$A$495,0)),""))</f>
        <v/>
      </c>
      <c r="L4581" s="22">
        <f t="array" ref="L4581">IF($D4581="","",IFERROR(INDEX(MASTER_SOURCE!$D$2:$D$495,MATCH($I4581,MASTER_SOURCE!$A$2:$A$495,0)),""))</f>
        <v/>
      </c>
      <c r="M4581" s="24" t="n"/>
      <c r="N4581" s="24" t="n"/>
      <c r="O4581" s="24" t="n"/>
      <c r="P4581" s="24" t="n"/>
      <c r="Q4581" s="22">
        <f>IF($D4581="","",IF(AND(OR(DANH_MUC!$L$5&lt;&gt;"Có",M4581="Có"),OR(DANH_MUC!$L$6&lt;&gt;"Có",N4581="Có"),OR(DANH_MUC!$L$7&lt;&gt;"Có",O4581="Có"),OR(DANH_MUC!$L$8&lt;&gt;"Có",P4581="Có")),"Có","Không"))</f>
        <v/>
      </c>
      <c r="R4581" s="22">
        <f>IF($D4581="","",IF(COUNTIF($D$2:$D4581,$D4581)&gt;1,"Trùng",""))</f>
        <v/>
      </c>
      <c r="S4581" s="22">
        <f>IF($D4581="","",IF(AND(LEN($D4581)=10,LEFT($D4581,1)="0",ISNUMBER(--$D4581)),"Có","Không"))</f>
        <v/>
      </c>
      <c r="T4581" s="22">
        <f>IF($D4581="","",IF(AND($C4581&lt;&gt;"",$Q4581="Có",$R4581="",$S4581="Có",AND($L4581&lt;&gt;"",OR($L4581&lt;&gt;"Chưa xác định",DANH_MUC!$L$9="Có"))),"Có","Không"))</f>
        <v/>
      </c>
      <c r="U4581" s="22">
        <f>IF(OR($D4581="",$T4581="Có"),"",IF($C4581="","Thiếu họ tên; ","")&amp;IF($S4581&lt;&gt;"Có","SĐT sai định dạng; ","")&amp;IF($R4581="Trùng","Trùng SĐT; ","")&amp;IF($Q4581&lt;&gt;"Có","Thiếu đồng ý bắt buộc; ","")&amp;IF($L4581="","Thiếu/sai Mã REF; ",IF(AND($L4581="Chưa xác định",DANH_MUC!$L$9&lt;&gt;"Có"),"Nguồn chưa xác định; ","")))</f>
        <v/>
      </c>
      <c r="V4581" s="22">
        <f>IF(OR($D4581="",$R4581="Trùng"),"",IF(COUNTIF(ORDERS!$C$2:$C$4995,$D4581)&gt;0,"Có","Không"))</f>
        <v/>
      </c>
      <c r="W4581" s="22">
        <f>IF(OR($D4581="",$R4581="Trùng"),"",COUNTIFS(ORDERS!$C$2:$C$4995,$D4581,ORDERS!$L$2:$L$4995,"Đã chuyển khoản"))</f>
        <v/>
      </c>
      <c r="X4581" s="23">
        <f>IF(OR($D4581="",$R4581="Trùng"),"",SUMIFS(ORDERS!$J$2:$J$4995,ORDERS!$C$2:$C$4995,$D4581,ORDERS!$L$2:$L$4995,"Đã chuyển khoản"))</f>
        <v/>
      </c>
      <c r="Y4581" s="24" t="n"/>
    </row>
    <row r="4582" ht="14.25" customHeight="1" s="40">
      <c r="A4582" s="24" t="n"/>
      <c r="B4582" s="27" t="n"/>
      <c r="C4582" s="24" t="n"/>
      <c r="D4582" s="28" t="n"/>
      <c r="E4582" s="29" t="n"/>
      <c r="F4582" s="24" t="n"/>
      <c r="G4582" s="24" t="n"/>
      <c r="H4582" s="21">
        <f>IF(ISNUMBER($B4582),INT($B4582)-WEEKDAY($B4582,2)+1,"")</f>
        <v/>
      </c>
      <c r="I4582" s="24" t="n"/>
      <c r="J4582" s="22">
        <f t="array" ref="J4582">IF($D4582="","",IF($I4582="","(trống REF)",IFERROR(INDEX(MASTER_SOURCE!$B$2:$B$495,MATCH($I4582,MASTER_SOURCE!$A$2:$A$495,0)),"(REF không có trong MASTER_SOURCE)")))</f>
        <v/>
      </c>
      <c r="K4582" s="22">
        <f t="array" ref="K4582">IF($D4582="","",IFERROR(INDEX(MASTER_SOURCE!$C$2:$C$495,MATCH($I4582,MASTER_SOURCE!$A$2:$A$495,0)),""))</f>
        <v/>
      </c>
      <c r="L4582" s="22">
        <f t="array" ref="L4582">IF($D4582="","",IFERROR(INDEX(MASTER_SOURCE!$D$2:$D$495,MATCH($I4582,MASTER_SOURCE!$A$2:$A$495,0)),""))</f>
        <v/>
      </c>
      <c r="M4582" s="24" t="n"/>
      <c r="N4582" s="24" t="n"/>
      <c r="O4582" s="24" t="n"/>
      <c r="P4582" s="24" t="n"/>
      <c r="Q4582" s="22">
        <f>IF($D4582="","",IF(AND(OR(DANH_MUC!$L$5&lt;&gt;"Có",M4582="Có"),OR(DANH_MUC!$L$6&lt;&gt;"Có",N4582="Có"),OR(DANH_MUC!$L$7&lt;&gt;"Có",O4582="Có"),OR(DANH_MUC!$L$8&lt;&gt;"Có",P4582="Có")),"Có","Không"))</f>
        <v/>
      </c>
      <c r="R4582" s="22">
        <f>IF($D4582="","",IF(COUNTIF($D$2:$D4582,$D4582)&gt;1,"Trùng",""))</f>
        <v/>
      </c>
      <c r="S4582" s="22">
        <f>IF($D4582="","",IF(AND(LEN($D4582)=10,LEFT($D4582,1)="0",ISNUMBER(--$D4582)),"Có","Không"))</f>
        <v/>
      </c>
      <c r="T4582" s="22">
        <f>IF($D4582="","",IF(AND($C4582&lt;&gt;"",$Q4582="Có",$R4582="",$S4582="Có",AND($L4582&lt;&gt;"",OR($L4582&lt;&gt;"Chưa xác định",DANH_MUC!$L$9="Có"))),"Có","Không"))</f>
        <v/>
      </c>
      <c r="U4582" s="22">
        <f>IF(OR($D4582="",$T4582="Có"),"",IF($C4582="","Thiếu họ tên; ","")&amp;IF($S4582&lt;&gt;"Có","SĐT sai định dạng; ","")&amp;IF($R4582="Trùng","Trùng SĐT; ","")&amp;IF($Q4582&lt;&gt;"Có","Thiếu đồng ý bắt buộc; ","")&amp;IF($L4582="","Thiếu/sai Mã REF; ",IF(AND($L4582="Chưa xác định",DANH_MUC!$L$9&lt;&gt;"Có"),"Nguồn chưa xác định; ","")))</f>
        <v/>
      </c>
      <c r="V4582" s="22">
        <f>IF(OR($D4582="",$R4582="Trùng"),"",IF(COUNTIF(ORDERS!$C$2:$C$4995,$D4582)&gt;0,"Có","Không"))</f>
        <v/>
      </c>
      <c r="W4582" s="22">
        <f>IF(OR($D4582="",$R4582="Trùng"),"",COUNTIFS(ORDERS!$C$2:$C$4995,$D4582,ORDERS!$L$2:$L$4995,"Đã chuyển khoản"))</f>
        <v/>
      </c>
      <c r="X4582" s="23">
        <f>IF(OR($D4582="",$R4582="Trùng"),"",SUMIFS(ORDERS!$J$2:$J$4995,ORDERS!$C$2:$C$4995,$D4582,ORDERS!$L$2:$L$4995,"Đã chuyển khoản"))</f>
        <v/>
      </c>
      <c r="Y4582" s="24" t="n"/>
    </row>
    <row r="4583" ht="14.25" customHeight="1" s="40">
      <c r="A4583" s="24" t="n"/>
      <c r="B4583" s="27" t="n"/>
      <c r="C4583" s="24" t="n"/>
      <c r="D4583" s="28" t="n"/>
      <c r="E4583" s="29" t="n"/>
      <c r="F4583" s="24" t="n"/>
      <c r="G4583" s="24" t="n"/>
      <c r="H4583" s="21">
        <f>IF(ISNUMBER($B4583),INT($B4583)-WEEKDAY($B4583,2)+1,"")</f>
        <v/>
      </c>
      <c r="I4583" s="24" t="n"/>
      <c r="J4583" s="22">
        <f t="array" ref="J4583">IF($D4583="","",IF($I4583="","(trống REF)",IFERROR(INDEX(MASTER_SOURCE!$B$2:$B$495,MATCH($I4583,MASTER_SOURCE!$A$2:$A$495,0)),"(REF không có trong MASTER_SOURCE)")))</f>
        <v/>
      </c>
      <c r="K4583" s="22">
        <f t="array" ref="K4583">IF($D4583="","",IFERROR(INDEX(MASTER_SOURCE!$C$2:$C$495,MATCH($I4583,MASTER_SOURCE!$A$2:$A$495,0)),""))</f>
        <v/>
      </c>
      <c r="L4583" s="22">
        <f t="array" ref="L4583">IF($D4583="","",IFERROR(INDEX(MASTER_SOURCE!$D$2:$D$495,MATCH($I4583,MASTER_SOURCE!$A$2:$A$495,0)),""))</f>
        <v/>
      </c>
      <c r="M4583" s="24" t="n"/>
      <c r="N4583" s="24" t="n"/>
      <c r="O4583" s="24" t="n"/>
      <c r="P4583" s="24" t="n"/>
      <c r="Q4583" s="22">
        <f>IF($D4583="","",IF(AND(OR(DANH_MUC!$L$5&lt;&gt;"Có",M4583="Có"),OR(DANH_MUC!$L$6&lt;&gt;"Có",N4583="Có"),OR(DANH_MUC!$L$7&lt;&gt;"Có",O4583="Có"),OR(DANH_MUC!$L$8&lt;&gt;"Có",P4583="Có")),"Có","Không"))</f>
        <v/>
      </c>
      <c r="R4583" s="22">
        <f>IF($D4583="","",IF(COUNTIF($D$2:$D4583,$D4583)&gt;1,"Trùng",""))</f>
        <v/>
      </c>
      <c r="S4583" s="22">
        <f>IF($D4583="","",IF(AND(LEN($D4583)=10,LEFT($D4583,1)="0",ISNUMBER(--$D4583)),"Có","Không"))</f>
        <v/>
      </c>
      <c r="T4583" s="22">
        <f>IF($D4583="","",IF(AND($C4583&lt;&gt;"",$Q4583="Có",$R4583="",$S4583="Có",AND($L4583&lt;&gt;"",OR($L4583&lt;&gt;"Chưa xác định",DANH_MUC!$L$9="Có"))),"Có","Không"))</f>
        <v/>
      </c>
      <c r="U4583" s="22">
        <f>IF(OR($D4583="",$T4583="Có"),"",IF($C4583="","Thiếu họ tên; ","")&amp;IF($S4583&lt;&gt;"Có","SĐT sai định dạng; ","")&amp;IF($R4583="Trùng","Trùng SĐT; ","")&amp;IF($Q4583&lt;&gt;"Có","Thiếu đồng ý bắt buộc; ","")&amp;IF($L4583="","Thiếu/sai Mã REF; ",IF(AND($L4583="Chưa xác định",DANH_MUC!$L$9&lt;&gt;"Có"),"Nguồn chưa xác định; ","")))</f>
        <v/>
      </c>
      <c r="V4583" s="22">
        <f>IF(OR($D4583="",$R4583="Trùng"),"",IF(COUNTIF(ORDERS!$C$2:$C$4995,$D4583)&gt;0,"Có","Không"))</f>
        <v/>
      </c>
      <c r="W4583" s="22">
        <f>IF(OR($D4583="",$R4583="Trùng"),"",COUNTIFS(ORDERS!$C$2:$C$4995,$D4583,ORDERS!$L$2:$L$4995,"Đã chuyển khoản"))</f>
        <v/>
      </c>
      <c r="X4583" s="23">
        <f>IF(OR($D4583="",$R4583="Trùng"),"",SUMIFS(ORDERS!$J$2:$J$4995,ORDERS!$C$2:$C$4995,$D4583,ORDERS!$L$2:$L$4995,"Đã chuyển khoản"))</f>
        <v/>
      </c>
      <c r="Y4583" s="24" t="n"/>
    </row>
    <row r="4584" ht="14.25" customHeight="1" s="40">
      <c r="A4584" s="24" t="n"/>
      <c r="B4584" s="27" t="n"/>
      <c r="C4584" s="24" t="n"/>
      <c r="D4584" s="28" t="n"/>
      <c r="E4584" s="29" t="n"/>
      <c r="F4584" s="24" t="n"/>
      <c r="G4584" s="24" t="n"/>
      <c r="H4584" s="21">
        <f>IF(ISNUMBER($B4584),INT($B4584)-WEEKDAY($B4584,2)+1,"")</f>
        <v/>
      </c>
      <c r="I4584" s="24" t="n"/>
      <c r="J4584" s="22">
        <f t="array" ref="J4584">IF($D4584="","",IF($I4584="","(trống REF)",IFERROR(INDEX(MASTER_SOURCE!$B$2:$B$495,MATCH($I4584,MASTER_SOURCE!$A$2:$A$495,0)),"(REF không có trong MASTER_SOURCE)")))</f>
        <v/>
      </c>
      <c r="K4584" s="22">
        <f t="array" ref="K4584">IF($D4584="","",IFERROR(INDEX(MASTER_SOURCE!$C$2:$C$495,MATCH($I4584,MASTER_SOURCE!$A$2:$A$495,0)),""))</f>
        <v/>
      </c>
      <c r="L4584" s="22">
        <f t="array" ref="L4584">IF($D4584="","",IFERROR(INDEX(MASTER_SOURCE!$D$2:$D$495,MATCH($I4584,MASTER_SOURCE!$A$2:$A$495,0)),""))</f>
        <v/>
      </c>
      <c r="M4584" s="24" t="n"/>
      <c r="N4584" s="24" t="n"/>
      <c r="O4584" s="24" t="n"/>
      <c r="P4584" s="24" t="n"/>
      <c r="Q4584" s="22">
        <f>IF($D4584="","",IF(AND(OR(DANH_MUC!$L$5&lt;&gt;"Có",M4584="Có"),OR(DANH_MUC!$L$6&lt;&gt;"Có",N4584="Có"),OR(DANH_MUC!$L$7&lt;&gt;"Có",O4584="Có"),OR(DANH_MUC!$L$8&lt;&gt;"Có",P4584="Có")),"Có","Không"))</f>
        <v/>
      </c>
      <c r="R4584" s="22">
        <f>IF($D4584="","",IF(COUNTIF($D$2:$D4584,$D4584)&gt;1,"Trùng",""))</f>
        <v/>
      </c>
      <c r="S4584" s="22">
        <f>IF($D4584="","",IF(AND(LEN($D4584)=10,LEFT($D4584,1)="0",ISNUMBER(--$D4584)),"Có","Không"))</f>
        <v/>
      </c>
      <c r="T4584" s="22">
        <f>IF($D4584="","",IF(AND($C4584&lt;&gt;"",$Q4584="Có",$R4584="",$S4584="Có",AND($L4584&lt;&gt;"",OR($L4584&lt;&gt;"Chưa xác định",DANH_MUC!$L$9="Có"))),"Có","Không"))</f>
        <v/>
      </c>
      <c r="U4584" s="22">
        <f>IF(OR($D4584="",$T4584="Có"),"",IF($C4584="","Thiếu họ tên; ","")&amp;IF($S4584&lt;&gt;"Có","SĐT sai định dạng; ","")&amp;IF($R4584="Trùng","Trùng SĐT; ","")&amp;IF($Q4584&lt;&gt;"Có","Thiếu đồng ý bắt buộc; ","")&amp;IF($L4584="","Thiếu/sai Mã REF; ",IF(AND($L4584="Chưa xác định",DANH_MUC!$L$9&lt;&gt;"Có"),"Nguồn chưa xác định; ","")))</f>
        <v/>
      </c>
      <c r="V4584" s="22">
        <f>IF(OR($D4584="",$R4584="Trùng"),"",IF(COUNTIF(ORDERS!$C$2:$C$4995,$D4584)&gt;0,"Có","Không"))</f>
        <v/>
      </c>
      <c r="W4584" s="22">
        <f>IF(OR($D4584="",$R4584="Trùng"),"",COUNTIFS(ORDERS!$C$2:$C$4995,$D4584,ORDERS!$L$2:$L$4995,"Đã chuyển khoản"))</f>
        <v/>
      </c>
      <c r="X4584" s="23">
        <f>IF(OR($D4584="",$R4584="Trùng"),"",SUMIFS(ORDERS!$J$2:$J$4995,ORDERS!$C$2:$C$4995,$D4584,ORDERS!$L$2:$L$4995,"Đã chuyển khoản"))</f>
        <v/>
      </c>
      <c r="Y4584" s="24" t="n"/>
    </row>
    <row r="4585" ht="14.25" customHeight="1" s="40">
      <c r="A4585" s="24" t="n"/>
      <c r="B4585" s="27" t="n"/>
      <c r="C4585" s="24" t="n"/>
      <c r="D4585" s="28" t="n"/>
      <c r="E4585" s="29" t="n"/>
      <c r="F4585" s="24" t="n"/>
      <c r="G4585" s="24" t="n"/>
      <c r="H4585" s="21">
        <f>IF(ISNUMBER($B4585),INT($B4585)-WEEKDAY($B4585,2)+1,"")</f>
        <v/>
      </c>
      <c r="I4585" s="24" t="n"/>
      <c r="J4585" s="22">
        <f t="array" ref="J4585">IF($D4585="","",IF($I4585="","(trống REF)",IFERROR(INDEX(MASTER_SOURCE!$B$2:$B$495,MATCH($I4585,MASTER_SOURCE!$A$2:$A$495,0)),"(REF không có trong MASTER_SOURCE)")))</f>
        <v/>
      </c>
      <c r="K4585" s="22">
        <f t="array" ref="K4585">IF($D4585="","",IFERROR(INDEX(MASTER_SOURCE!$C$2:$C$495,MATCH($I4585,MASTER_SOURCE!$A$2:$A$495,0)),""))</f>
        <v/>
      </c>
      <c r="L4585" s="22">
        <f t="array" ref="L4585">IF($D4585="","",IFERROR(INDEX(MASTER_SOURCE!$D$2:$D$495,MATCH($I4585,MASTER_SOURCE!$A$2:$A$495,0)),""))</f>
        <v/>
      </c>
      <c r="M4585" s="24" t="n"/>
      <c r="N4585" s="24" t="n"/>
      <c r="O4585" s="24" t="n"/>
      <c r="P4585" s="24" t="n"/>
      <c r="Q4585" s="22">
        <f>IF($D4585="","",IF(AND(OR(DANH_MUC!$L$5&lt;&gt;"Có",M4585="Có"),OR(DANH_MUC!$L$6&lt;&gt;"Có",N4585="Có"),OR(DANH_MUC!$L$7&lt;&gt;"Có",O4585="Có"),OR(DANH_MUC!$L$8&lt;&gt;"Có",P4585="Có")),"Có","Không"))</f>
        <v/>
      </c>
      <c r="R4585" s="22">
        <f>IF($D4585="","",IF(COUNTIF($D$2:$D4585,$D4585)&gt;1,"Trùng",""))</f>
        <v/>
      </c>
      <c r="S4585" s="22">
        <f>IF($D4585="","",IF(AND(LEN($D4585)=10,LEFT($D4585,1)="0",ISNUMBER(--$D4585)),"Có","Không"))</f>
        <v/>
      </c>
      <c r="T4585" s="22">
        <f>IF($D4585="","",IF(AND($C4585&lt;&gt;"",$Q4585="Có",$R4585="",$S4585="Có",AND($L4585&lt;&gt;"",OR($L4585&lt;&gt;"Chưa xác định",DANH_MUC!$L$9="Có"))),"Có","Không"))</f>
        <v/>
      </c>
      <c r="U4585" s="22">
        <f>IF(OR($D4585="",$T4585="Có"),"",IF($C4585="","Thiếu họ tên; ","")&amp;IF($S4585&lt;&gt;"Có","SĐT sai định dạng; ","")&amp;IF($R4585="Trùng","Trùng SĐT; ","")&amp;IF($Q4585&lt;&gt;"Có","Thiếu đồng ý bắt buộc; ","")&amp;IF($L4585="","Thiếu/sai Mã REF; ",IF(AND($L4585="Chưa xác định",DANH_MUC!$L$9&lt;&gt;"Có"),"Nguồn chưa xác định; ","")))</f>
        <v/>
      </c>
      <c r="V4585" s="22">
        <f>IF(OR($D4585="",$R4585="Trùng"),"",IF(COUNTIF(ORDERS!$C$2:$C$4995,$D4585)&gt;0,"Có","Không"))</f>
        <v/>
      </c>
      <c r="W4585" s="22">
        <f>IF(OR($D4585="",$R4585="Trùng"),"",COUNTIFS(ORDERS!$C$2:$C$4995,$D4585,ORDERS!$L$2:$L$4995,"Đã chuyển khoản"))</f>
        <v/>
      </c>
      <c r="X4585" s="23">
        <f>IF(OR($D4585="",$R4585="Trùng"),"",SUMIFS(ORDERS!$J$2:$J$4995,ORDERS!$C$2:$C$4995,$D4585,ORDERS!$L$2:$L$4995,"Đã chuyển khoản"))</f>
        <v/>
      </c>
      <c r="Y4585" s="24" t="n"/>
    </row>
    <row r="4586" ht="14.25" customHeight="1" s="40">
      <c r="A4586" s="24" t="n"/>
      <c r="B4586" s="27" t="n"/>
      <c r="C4586" s="24" t="n"/>
      <c r="D4586" s="28" t="n"/>
      <c r="E4586" s="29" t="n"/>
      <c r="F4586" s="24" t="n"/>
      <c r="G4586" s="24" t="n"/>
      <c r="H4586" s="21">
        <f>IF(ISNUMBER($B4586),INT($B4586)-WEEKDAY($B4586,2)+1,"")</f>
        <v/>
      </c>
      <c r="I4586" s="24" t="n"/>
      <c r="J4586" s="22">
        <f t="array" ref="J4586">IF($D4586="","",IF($I4586="","(trống REF)",IFERROR(INDEX(MASTER_SOURCE!$B$2:$B$495,MATCH($I4586,MASTER_SOURCE!$A$2:$A$495,0)),"(REF không có trong MASTER_SOURCE)")))</f>
        <v/>
      </c>
      <c r="K4586" s="22">
        <f t="array" ref="K4586">IF($D4586="","",IFERROR(INDEX(MASTER_SOURCE!$C$2:$C$495,MATCH($I4586,MASTER_SOURCE!$A$2:$A$495,0)),""))</f>
        <v/>
      </c>
      <c r="L4586" s="22">
        <f t="array" ref="L4586">IF($D4586="","",IFERROR(INDEX(MASTER_SOURCE!$D$2:$D$495,MATCH($I4586,MASTER_SOURCE!$A$2:$A$495,0)),""))</f>
        <v/>
      </c>
      <c r="M4586" s="24" t="n"/>
      <c r="N4586" s="24" t="n"/>
      <c r="O4586" s="24" t="n"/>
      <c r="P4586" s="24" t="n"/>
      <c r="Q4586" s="22">
        <f>IF($D4586="","",IF(AND(OR(DANH_MUC!$L$5&lt;&gt;"Có",M4586="Có"),OR(DANH_MUC!$L$6&lt;&gt;"Có",N4586="Có"),OR(DANH_MUC!$L$7&lt;&gt;"Có",O4586="Có"),OR(DANH_MUC!$L$8&lt;&gt;"Có",P4586="Có")),"Có","Không"))</f>
        <v/>
      </c>
      <c r="R4586" s="22">
        <f>IF($D4586="","",IF(COUNTIF($D$2:$D4586,$D4586)&gt;1,"Trùng",""))</f>
        <v/>
      </c>
      <c r="S4586" s="22">
        <f>IF($D4586="","",IF(AND(LEN($D4586)=10,LEFT($D4586,1)="0",ISNUMBER(--$D4586)),"Có","Không"))</f>
        <v/>
      </c>
      <c r="T4586" s="22">
        <f>IF($D4586="","",IF(AND($C4586&lt;&gt;"",$Q4586="Có",$R4586="",$S4586="Có",AND($L4586&lt;&gt;"",OR($L4586&lt;&gt;"Chưa xác định",DANH_MUC!$L$9="Có"))),"Có","Không"))</f>
        <v/>
      </c>
      <c r="U4586" s="22">
        <f>IF(OR($D4586="",$T4586="Có"),"",IF($C4586="","Thiếu họ tên; ","")&amp;IF($S4586&lt;&gt;"Có","SĐT sai định dạng; ","")&amp;IF($R4586="Trùng","Trùng SĐT; ","")&amp;IF($Q4586&lt;&gt;"Có","Thiếu đồng ý bắt buộc; ","")&amp;IF($L4586="","Thiếu/sai Mã REF; ",IF(AND($L4586="Chưa xác định",DANH_MUC!$L$9&lt;&gt;"Có"),"Nguồn chưa xác định; ","")))</f>
        <v/>
      </c>
      <c r="V4586" s="22">
        <f>IF(OR($D4586="",$R4586="Trùng"),"",IF(COUNTIF(ORDERS!$C$2:$C$4995,$D4586)&gt;0,"Có","Không"))</f>
        <v/>
      </c>
      <c r="W4586" s="22">
        <f>IF(OR($D4586="",$R4586="Trùng"),"",COUNTIFS(ORDERS!$C$2:$C$4995,$D4586,ORDERS!$L$2:$L$4995,"Đã chuyển khoản"))</f>
        <v/>
      </c>
      <c r="X4586" s="23">
        <f>IF(OR($D4586="",$R4586="Trùng"),"",SUMIFS(ORDERS!$J$2:$J$4995,ORDERS!$C$2:$C$4995,$D4586,ORDERS!$L$2:$L$4995,"Đã chuyển khoản"))</f>
        <v/>
      </c>
      <c r="Y4586" s="24" t="n"/>
    </row>
    <row r="4587" ht="14.25" customHeight="1" s="40">
      <c r="A4587" s="24" t="n"/>
      <c r="B4587" s="27" t="n"/>
      <c r="C4587" s="24" t="n"/>
      <c r="D4587" s="28" t="n"/>
      <c r="E4587" s="29" t="n"/>
      <c r="F4587" s="24" t="n"/>
      <c r="G4587" s="24" t="n"/>
      <c r="H4587" s="21">
        <f>IF(ISNUMBER($B4587),INT($B4587)-WEEKDAY($B4587,2)+1,"")</f>
        <v/>
      </c>
      <c r="I4587" s="24" t="n"/>
      <c r="J4587" s="22">
        <f t="array" ref="J4587">IF($D4587="","",IF($I4587="","(trống REF)",IFERROR(INDEX(MASTER_SOURCE!$B$2:$B$495,MATCH($I4587,MASTER_SOURCE!$A$2:$A$495,0)),"(REF không có trong MASTER_SOURCE)")))</f>
        <v/>
      </c>
      <c r="K4587" s="22">
        <f t="array" ref="K4587">IF($D4587="","",IFERROR(INDEX(MASTER_SOURCE!$C$2:$C$495,MATCH($I4587,MASTER_SOURCE!$A$2:$A$495,0)),""))</f>
        <v/>
      </c>
      <c r="L4587" s="22">
        <f t="array" ref="L4587">IF($D4587="","",IFERROR(INDEX(MASTER_SOURCE!$D$2:$D$495,MATCH($I4587,MASTER_SOURCE!$A$2:$A$495,0)),""))</f>
        <v/>
      </c>
      <c r="M4587" s="24" t="n"/>
      <c r="N4587" s="24" t="n"/>
      <c r="O4587" s="24" t="n"/>
      <c r="P4587" s="24" t="n"/>
      <c r="Q4587" s="22">
        <f>IF($D4587="","",IF(AND(OR(DANH_MUC!$L$5&lt;&gt;"Có",M4587="Có"),OR(DANH_MUC!$L$6&lt;&gt;"Có",N4587="Có"),OR(DANH_MUC!$L$7&lt;&gt;"Có",O4587="Có"),OR(DANH_MUC!$L$8&lt;&gt;"Có",P4587="Có")),"Có","Không"))</f>
        <v/>
      </c>
      <c r="R4587" s="22">
        <f>IF($D4587="","",IF(COUNTIF($D$2:$D4587,$D4587)&gt;1,"Trùng",""))</f>
        <v/>
      </c>
      <c r="S4587" s="22">
        <f>IF($D4587="","",IF(AND(LEN($D4587)=10,LEFT($D4587,1)="0",ISNUMBER(--$D4587)),"Có","Không"))</f>
        <v/>
      </c>
      <c r="T4587" s="22">
        <f>IF($D4587="","",IF(AND($C4587&lt;&gt;"",$Q4587="Có",$R4587="",$S4587="Có",AND($L4587&lt;&gt;"",OR($L4587&lt;&gt;"Chưa xác định",DANH_MUC!$L$9="Có"))),"Có","Không"))</f>
        <v/>
      </c>
      <c r="U4587" s="22">
        <f>IF(OR($D4587="",$T4587="Có"),"",IF($C4587="","Thiếu họ tên; ","")&amp;IF($S4587&lt;&gt;"Có","SĐT sai định dạng; ","")&amp;IF($R4587="Trùng","Trùng SĐT; ","")&amp;IF($Q4587&lt;&gt;"Có","Thiếu đồng ý bắt buộc; ","")&amp;IF($L4587="","Thiếu/sai Mã REF; ",IF(AND($L4587="Chưa xác định",DANH_MUC!$L$9&lt;&gt;"Có"),"Nguồn chưa xác định; ","")))</f>
        <v/>
      </c>
      <c r="V4587" s="22">
        <f>IF(OR($D4587="",$R4587="Trùng"),"",IF(COUNTIF(ORDERS!$C$2:$C$4995,$D4587)&gt;0,"Có","Không"))</f>
        <v/>
      </c>
      <c r="W4587" s="22">
        <f>IF(OR($D4587="",$R4587="Trùng"),"",COUNTIFS(ORDERS!$C$2:$C$4995,$D4587,ORDERS!$L$2:$L$4995,"Đã chuyển khoản"))</f>
        <v/>
      </c>
      <c r="X4587" s="23">
        <f>IF(OR($D4587="",$R4587="Trùng"),"",SUMIFS(ORDERS!$J$2:$J$4995,ORDERS!$C$2:$C$4995,$D4587,ORDERS!$L$2:$L$4995,"Đã chuyển khoản"))</f>
        <v/>
      </c>
      <c r="Y4587" s="24" t="n"/>
    </row>
    <row r="4588" ht="14.25" customHeight="1" s="40">
      <c r="A4588" s="24" t="n"/>
      <c r="B4588" s="27" t="n"/>
      <c r="C4588" s="24" t="n"/>
      <c r="D4588" s="28" t="n"/>
      <c r="E4588" s="29" t="n"/>
      <c r="F4588" s="24" t="n"/>
      <c r="G4588" s="24" t="n"/>
      <c r="H4588" s="21">
        <f>IF(ISNUMBER($B4588),INT($B4588)-WEEKDAY($B4588,2)+1,"")</f>
        <v/>
      </c>
      <c r="I4588" s="24" t="n"/>
      <c r="J4588" s="22">
        <f t="array" ref="J4588">IF($D4588="","",IF($I4588="","(trống REF)",IFERROR(INDEX(MASTER_SOURCE!$B$2:$B$495,MATCH($I4588,MASTER_SOURCE!$A$2:$A$495,0)),"(REF không có trong MASTER_SOURCE)")))</f>
        <v/>
      </c>
      <c r="K4588" s="22">
        <f t="array" ref="K4588">IF($D4588="","",IFERROR(INDEX(MASTER_SOURCE!$C$2:$C$495,MATCH($I4588,MASTER_SOURCE!$A$2:$A$495,0)),""))</f>
        <v/>
      </c>
      <c r="L4588" s="22">
        <f t="array" ref="L4588">IF($D4588="","",IFERROR(INDEX(MASTER_SOURCE!$D$2:$D$495,MATCH($I4588,MASTER_SOURCE!$A$2:$A$495,0)),""))</f>
        <v/>
      </c>
      <c r="M4588" s="24" t="n"/>
      <c r="N4588" s="24" t="n"/>
      <c r="O4588" s="24" t="n"/>
      <c r="P4588" s="24" t="n"/>
      <c r="Q4588" s="22">
        <f>IF($D4588="","",IF(AND(OR(DANH_MUC!$L$5&lt;&gt;"Có",M4588="Có"),OR(DANH_MUC!$L$6&lt;&gt;"Có",N4588="Có"),OR(DANH_MUC!$L$7&lt;&gt;"Có",O4588="Có"),OR(DANH_MUC!$L$8&lt;&gt;"Có",P4588="Có")),"Có","Không"))</f>
        <v/>
      </c>
      <c r="R4588" s="22">
        <f>IF($D4588="","",IF(COUNTIF($D$2:$D4588,$D4588)&gt;1,"Trùng",""))</f>
        <v/>
      </c>
      <c r="S4588" s="22">
        <f>IF($D4588="","",IF(AND(LEN($D4588)=10,LEFT($D4588,1)="0",ISNUMBER(--$D4588)),"Có","Không"))</f>
        <v/>
      </c>
      <c r="T4588" s="22">
        <f>IF($D4588="","",IF(AND($C4588&lt;&gt;"",$Q4588="Có",$R4588="",$S4588="Có",AND($L4588&lt;&gt;"",OR($L4588&lt;&gt;"Chưa xác định",DANH_MUC!$L$9="Có"))),"Có","Không"))</f>
        <v/>
      </c>
      <c r="U4588" s="22">
        <f>IF(OR($D4588="",$T4588="Có"),"",IF($C4588="","Thiếu họ tên; ","")&amp;IF($S4588&lt;&gt;"Có","SĐT sai định dạng; ","")&amp;IF($R4588="Trùng","Trùng SĐT; ","")&amp;IF($Q4588&lt;&gt;"Có","Thiếu đồng ý bắt buộc; ","")&amp;IF($L4588="","Thiếu/sai Mã REF; ",IF(AND($L4588="Chưa xác định",DANH_MUC!$L$9&lt;&gt;"Có"),"Nguồn chưa xác định; ","")))</f>
        <v/>
      </c>
      <c r="V4588" s="22">
        <f>IF(OR($D4588="",$R4588="Trùng"),"",IF(COUNTIF(ORDERS!$C$2:$C$4995,$D4588)&gt;0,"Có","Không"))</f>
        <v/>
      </c>
      <c r="W4588" s="22">
        <f>IF(OR($D4588="",$R4588="Trùng"),"",COUNTIFS(ORDERS!$C$2:$C$4995,$D4588,ORDERS!$L$2:$L$4995,"Đã chuyển khoản"))</f>
        <v/>
      </c>
      <c r="X4588" s="23">
        <f>IF(OR($D4588="",$R4588="Trùng"),"",SUMIFS(ORDERS!$J$2:$J$4995,ORDERS!$C$2:$C$4995,$D4588,ORDERS!$L$2:$L$4995,"Đã chuyển khoản"))</f>
        <v/>
      </c>
      <c r="Y4588" s="24" t="n"/>
    </row>
    <row r="4589" ht="14.25" customHeight="1" s="40">
      <c r="A4589" s="24" t="n"/>
      <c r="B4589" s="27" t="n"/>
      <c r="C4589" s="24" t="n"/>
      <c r="D4589" s="28" t="n"/>
      <c r="E4589" s="29" t="n"/>
      <c r="F4589" s="24" t="n"/>
      <c r="G4589" s="24" t="n"/>
      <c r="H4589" s="21">
        <f>IF(ISNUMBER($B4589),INT($B4589)-WEEKDAY($B4589,2)+1,"")</f>
        <v/>
      </c>
      <c r="I4589" s="24" t="n"/>
      <c r="J4589" s="22">
        <f t="array" ref="J4589">IF($D4589="","",IF($I4589="","(trống REF)",IFERROR(INDEX(MASTER_SOURCE!$B$2:$B$495,MATCH($I4589,MASTER_SOURCE!$A$2:$A$495,0)),"(REF không có trong MASTER_SOURCE)")))</f>
        <v/>
      </c>
      <c r="K4589" s="22">
        <f t="array" ref="K4589">IF($D4589="","",IFERROR(INDEX(MASTER_SOURCE!$C$2:$C$495,MATCH($I4589,MASTER_SOURCE!$A$2:$A$495,0)),""))</f>
        <v/>
      </c>
      <c r="L4589" s="22">
        <f t="array" ref="L4589">IF($D4589="","",IFERROR(INDEX(MASTER_SOURCE!$D$2:$D$495,MATCH($I4589,MASTER_SOURCE!$A$2:$A$495,0)),""))</f>
        <v/>
      </c>
      <c r="M4589" s="24" t="n"/>
      <c r="N4589" s="24" t="n"/>
      <c r="O4589" s="24" t="n"/>
      <c r="P4589" s="24" t="n"/>
      <c r="Q4589" s="22">
        <f>IF($D4589="","",IF(AND(OR(DANH_MUC!$L$5&lt;&gt;"Có",M4589="Có"),OR(DANH_MUC!$L$6&lt;&gt;"Có",N4589="Có"),OR(DANH_MUC!$L$7&lt;&gt;"Có",O4589="Có"),OR(DANH_MUC!$L$8&lt;&gt;"Có",P4589="Có")),"Có","Không"))</f>
        <v/>
      </c>
      <c r="R4589" s="22">
        <f>IF($D4589="","",IF(COUNTIF($D$2:$D4589,$D4589)&gt;1,"Trùng",""))</f>
        <v/>
      </c>
      <c r="S4589" s="22">
        <f>IF($D4589="","",IF(AND(LEN($D4589)=10,LEFT($D4589,1)="0",ISNUMBER(--$D4589)),"Có","Không"))</f>
        <v/>
      </c>
      <c r="T4589" s="22">
        <f>IF($D4589="","",IF(AND($C4589&lt;&gt;"",$Q4589="Có",$R4589="",$S4589="Có",AND($L4589&lt;&gt;"",OR($L4589&lt;&gt;"Chưa xác định",DANH_MUC!$L$9="Có"))),"Có","Không"))</f>
        <v/>
      </c>
      <c r="U4589" s="22">
        <f>IF(OR($D4589="",$T4589="Có"),"",IF($C4589="","Thiếu họ tên; ","")&amp;IF($S4589&lt;&gt;"Có","SĐT sai định dạng; ","")&amp;IF($R4589="Trùng","Trùng SĐT; ","")&amp;IF($Q4589&lt;&gt;"Có","Thiếu đồng ý bắt buộc; ","")&amp;IF($L4589="","Thiếu/sai Mã REF; ",IF(AND($L4589="Chưa xác định",DANH_MUC!$L$9&lt;&gt;"Có"),"Nguồn chưa xác định; ","")))</f>
        <v/>
      </c>
      <c r="V4589" s="22">
        <f>IF(OR($D4589="",$R4589="Trùng"),"",IF(COUNTIF(ORDERS!$C$2:$C$4995,$D4589)&gt;0,"Có","Không"))</f>
        <v/>
      </c>
      <c r="W4589" s="22">
        <f>IF(OR($D4589="",$R4589="Trùng"),"",COUNTIFS(ORDERS!$C$2:$C$4995,$D4589,ORDERS!$L$2:$L$4995,"Đã chuyển khoản"))</f>
        <v/>
      </c>
      <c r="X4589" s="23">
        <f>IF(OR($D4589="",$R4589="Trùng"),"",SUMIFS(ORDERS!$J$2:$J$4995,ORDERS!$C$2:$C$4995,$D4589,ORDERS!$L$2:$L$4995,"Đã chuyển khoản"))</f>
        <v/>
      </c>
      <c r="Y4589" s="24" t="n"/>
    </row>
    <row r="4590" ht="14.25" customHeight="1" s="40">
      <c r="A4590" s="24" t="n"/>
      <c r="B4590" s="27" t="n"/>
      <c r="C4590" s="24" t="n"/>
      <c r="D4590" s="28" t="n"/>
      <c r="E4590" s="29" t="n"/>
      <c r="F4590" s="24" t="n"/>
      <c r="G4590" s="24" t="n"/>
      <c r="H4590" s="21">
        <f>IF(ISNUMBER($B4590),INT($B4590)-WEEKDAY($B4590,2)+1,"")</f>
        <v/>
      </c>
      <c r="I4590" s="24" t="n"/>
      <c r="J4590" s="22">
        <f t="array" ref="J4590">IF($D4590="","",IF($I4590="","(trống REF)",IFERROR(INDEX(MASTER_SOURCE!$B$2:$B$495,MATCH($I4590,MASTER_SOURCE!$A$2:$A$495,0)),"(REF không có trong MASTER_SOURCE)")))</f>
        <v/>
      </c>
      <c r="K4590" s="22">
        <f t="array" ref="K4590">IF($D4590="","",IFERROR(INDEX(MASTER_SOURCE!$C$2:$C$495,MATCH($I4590,MASTER_SOURCE!$A$2:$A$495,0)),""))</f>
        <v/>
      </c>
      <c r="L4590" s="22">
        <f t="array" ref="L4590">IF($D4590="","",IFERROR(INDEX(MASTER_SOURCE!$D$2:$D$495,MATCH($I4590,MASTER_SOURCE!$A$2:$A$495,0)),""))</f>
        <v/>
      </c>
      <c r="M4590" s="24" t="n"/>
      <c r="N4590" s="24" t="n"/>
      <c r="O4590" s="24" t="n"/>
      <c r="P4590" s="24" t="n"/>
      <c r="Q4590" s="22">
        <f>IF($D4590="","",IF(AND(OR(DANH_MUC!$L$5&lt;&gt;"Có",M4590="Có"),OR(DANH_MUC!$L$6&lt;&gt;"Có",N4590="Có"),OR(DANH_MUC!$L$7&lt;&gt;"Có",O4590="Có"),OR(DANH_MUC!$L$8&lt;&gt;"Có",P4590="Có")),"Có","Không"))</f>
        <v/>
      </c>
      <c r="R4590" s="22">
        <f>IF($D4590="","",IF(COUNTIF($D$2:$D4590,$D4590)&gt;1,"Trùng",""))</f>
        <v/>
      </c>
      <c r="S4590" s="22">
        <f>IF($D4590="","",IF(AND(LEN($D4590)=10,LEFT($D4590,1)="0",ISNUMBER(--$D4590)),"Có","Không"))</f>
        <v/>
      </c>
      <c r="T4590" s="22">
        <f>IF($D4590="","",IF(AND($C4590&lt;&gt;"",$Q4590="Có",$R4590="",$S4590="Có",AND($L4590&lt;&gt;"",OR($L4590&lt;&gt;"Chưa xác định",DANH_MUC!$L$9="Có"))),"Có","Không"))</f>
        <v/>
      </c>
      <c r="U4590" s="22">
        <f>IF(OR($D4590="",$T4590="Có"),"",IF($C4590="","Thiếu họ tên; ","")&amp;IF($S4590&lt;&gt;"Có","SĐT sai định dạng; ","")&amp;IF($R4590="Trùng","Trùng SĐT; ","")&amp;IF($Q4590&lt;&gt;"Có","Thiếu đồng ý bắt buộc; ","")&amp;IF($L4590="","Thiếu/sai Mã REF; ",IF(AND($L4590="Chưa xác định",DANH_MUC!$L$9&lt;&gt;"Có"),"Nguồn chưa xác định; ","")))</f>
        <v/>
      </c>
      <c r="V4590" s="22">
        <f>IF(OR($D4590="",$R4590="Trùng"),"",IF(COUNTIF(ORDERS!$C$2:$C$4995,$D4590)&gt;0,"Có","Không"))</f>
        <v/>
      </c>
      <c r="W4590" s="22">
        <f>IF(OR($D4590="",$R4590="Trùng"),"",COUNTIFS(ORDERS!$C$2:$C$4995,$D4590,ORDERS!$L$2:$L$4995,"Đã chuyển khoản"))</f>
        <v/>
      </c>
      <c r="X4590" s="23">
        <f>IF(OR($D4590="",$R4590="Trùng"),"",SUMIFS(ORDERS!$J$2:$J$4995,ORDERS!$C$2:$C$4995,$D4590,ORDERS!$L$2:$L$4995,"Đã chuyển khoản"))</f>
        <v/>
      </c>
      <c r="Y4590" s="24" t="n"/>
    </row>
    <row r="4591" ht="14.25" customHeight="1" s="40">
      <c r="A4591" s="24" t="n"/>
      <c r="B4591" s="27" t="n"/>
      <c r="C4591" s="24" t="n"/>
      <c r="D4591" s="28" t="n"/>
      <c r="E4591" s="29" t="n"/>
      <c r="F4591" s="24" t="n"/>
      <c r="G4591" s="24" t="n"/>
      <c r="H4591" s="21">
        <f>IF(ISNUMBER($B4591),INT($B4591)-WEEKDAY($B4591,2)+1,"")</f>
        <v/>
      </c>
      <c r="I4591" s="24" t="n"/>
      <c r="J4591" s="22">
        <f t="array" ref="J4591">IF($D4591="","",IF($I4591="","(trống REF)",IFERROR(INDEX(MASTER_SOURCE!$B$2:$B$495,MATCH($I4591,MASTER_SOURCE!$A$2:$A$495,0)),"(REF không có trong MASTER_SOURCE)")))</f>
        <v/>
      </c>
      <c r="K4591" s="22">
        <f t="array" ref="K4591">IF($D4591="","",IFERROR(INDEX(MASTER_SOURCE!$C$2:$C$495,MATCH($I4591,MASTER_SOURCE!$A$2:$A$495,0)),""))</f>
        <v/>
      </c>
      <c r="L4591" s="22">
        <f t="array" ref="L4591">IF($D4591="","",IFERROR(INDEX(MASTER_SOURCE!$D$2:$D$495,MATCH($I4591,MASTER_SOURCE!$A$2:$A$495,0)),""))</f>
        <v/>
      </c>
      <c r="M4591" s="24" t="n"/>
      <c r="N4591" s="24" t="n"/>
      <c r="O4591" s="24" t="n"/>
      <c r="P4591" s="24" t="n"/>
      <c r="Q4591" s="22">
        <f>IF($D4591="","",IF(AND(OR(DANH_MUC!$L$5&lt;&gt;"Có",M4591="Có"),OR(DANH_MUC!$L$6&lt;&gt;"Có",N4591="Có"),OR(DANH_MUC!$L$7&lt;&gt;"Có",O4591="Có"),OR(DANH_MUC!$L$8&lt;&gt;"Có",P4591="Có")),"Có","Không"))</f>
        <v/>
      </c>
      <c r="R4591" s="22">
        <f>IF($D4591="","",IF(COUNTIF($D$2:$D4591,$D4591)&gt;1,"Trùng",""))</f>
        <v/>
      </c>
      <c r="S4591" s="22">
        <f>IF($D4591="","",IF(AND(LEN($D4591)=10,LEFT($D4591,1)="0",ISNUMBER(--$D4591)),"Có","Không"))</f>
        <v/>
      </c>
      <c r="T4591" s="22">
        <f>IF($D4591="","",IF(AND($C4591&lt;&gt;"",$Q4591="Có",$R4591="",$S4591="Có",AND($L4591&lt;&gt;"",OR($L4591&lt;&gt;"Chưa xác định",DANH_MUC!$L$9="Có"))),"Có","Không"))</f>
        <v/>
      </c>
      <c r="U4591" s="22">
        <f>IF(OR($D4591="",$T4591="Có"),"",IF($C4591="","Thiếu họ tên; ","")&amp;IF($S4591&lt;&gt;"Có","SĐT sai định dạng; ","")&amp;IF($R4591="Trùng","Trùng SĐT; ","")&amp;IF($Q4591&lt;&gt;"Có","Thiếu đồng ý bắt buộc; ","")&amp;IF($L4591="","Thiếu/sai Mã REF; ",IF(AND($L4591="Chưa xác định",DANH_MUC!$L$9&lt;&gt;"Có"),"Nguồn chưa xác định; ","")))</f>
        <v/>
      </c>
      <c r="V4591" s="22">
        <f>IF(OR($D4591="",$R4591="Trùng"),"",IF(COUNTIF(ORDERS!$C$2:$C$4995,$D4591)&gt;0,"Có","Không"))</f>
        <v/>
      </c>
      <c r="W4591" s="22">
        <f>IF(OR($D4591="",$R4591="Trùng"),"",COUNTIFS(ORDERS!$C$2:$C$4995,$D4591,ORDERS!$L$2:$L$4995,"Đã chuyển khoản"))</f>
        <v/>
      </c>
      <c r="X4591" s="23">
        <f>IF(OR($D4591="",$R4591="Trùng"),"",SUMIFS(ORDERS!$J$2:$J$4995,ORDERS!$C$2:$C$4995,$D4591,ORDERS!$L$2:$L$4995,"Đã chuyển khoản"))</f>
        <v/>
      </c>
      <c r="Y4591" s="24" t="n"/>
    </row>
    <row r="4592" ht="14.25" customHeight="1" s="40">
      <c r="A4592" s="24" t="n"/>
      <c r="B4592" s="27" t="n"/>
      <c r="C4592" s="24" t="n"/>
      <c r="D4592" s="28" t="n"/>
      <c r="E4592" s="29" t="n"/>
      <c r="F4592" s="24" t="n"/>
      <c r="G4592" s="24" t="n"/>
      <c r="H4592" s="21">
        <f>IF(ISNUMBER($B4592),INT($B4592)-WEEKDAY($B4592,2)+1,"")</f>
        <v/>
      </c>
      <c r="I4592" s="24" t="n"/>
      <c r="J4592" s="22">
        <f t="array" ref="J4592">IF($D4592="","",IF($I4592="","(trống REF)",IFERROR(INDEX(MASTER_SOURCE!$B$2:$B$495,MATCH($I4592,MASTER_SOURCE!$A$2:$A$495,0)),"(REF không có trong MASTER_SOURCE)")))</f>
        <v/>
      </c>
      <c r="K4592" s="22">
        <f t="array" ref="K4592">IF($D4592="","",IFERROR(INDEX(MASTER_SOURCE!$C$2:$C$495,MATCH($I4592,MASTER_SOURCE!$A$2:$A$495,0)),""))</f>
        <v/>
      </c>
      <c r="L4592" s="22">
        <f t="array" ref="L4592">IF($D4592="","",IFERROR(INDEX(MASTER_SOURCE!$D$2:$D$495,MATCH($I4592,MASTER_SOURCE!$A$2:$A$495,0)),""))</f>
        <v/>
      </c>
      <c r="M4592" s="24" t="n"/>
      <c r="N4592" s="24" t="n"/>
      <c r="O4592" s="24" t="n"/>
      <c r="P4592" s="24" t="n"/>
      <c r="Q4592" s="22">
        <f>IF($D4592="","",IF(AND(OR(DANH_MUC!$L$5&lt;&gt;"Có",M4592="Có"),OR(DANH_MUC!$L$6&lt;&gt;"Có",N4592="Có"),OR(DANH_MUC!$L$7&lt;&gt;"Có",O4592="Có"),OR(DANH_MUC!$L$8&lt;&gt;"Có",P4592="Có")),"Có","Không"))</f>
        <v/>
      </c>
      <c r="R4592" s="22">
        <f>IF($D4592="","",IF(COUNTIF($D$2:$D4592,$D4592)&gt;1,"Trùng",""))</f>
        <v/>
      </c>
      <c r="S4592" s="22">
        <f>IF($D4592="","",IF(AND(LEN($D4592)=10,LEFT($D4592,1)="0",ISNUMBER(--$D4592)),"Có","Không"))</f>
        <v/>
      </c>
      <c r="T4592" s="22">
        <f>IF($D4592="","",IF(AND($C4592&lt;&gt;"",$Q4592="Có",$R4592="",$S4592="Có",AND($L4592&lt;&gt;"",OR($L4592&lt;&gt;"Chưa xác định",DANH_MUC!$L$9="Có"))),"Có","Không"))</f>
        <v/>
      </c>
      <c r="U4592" s="22">
        <f>IF(OR($D4592="",$T4592="Có"),"",IF($C4592="","Thiếu họ tên; ","")&amp;IF($S4592&lt;&gt;"Có","SĐT sai định dạng; ","")&amp;IF($R4592="Trùng","Trùng SĐT; ","")&amp;IF($Q4592&lt;&gt;"Có","Thiếu đồng ý bắt buộc; ","")&amp;IF($L4592="","Thiếu/sai Mã REF; ",IF(AND($L4592="Chưa xác định",DANH_MUC!$L$9&lt;&gt;"Có"),"Nguồn chưa xác định; ","")))</f>
        <v/>
      </c>
      <c r="V4592" s="22">
        <f>IF(OR($D4592="",$R4592="Trùng"),"",IF(COUNTIF(ORDERS!$C$2:$C$4995,$D4592)&gt;0,"Có","Không"))</f>
        <v/>
      </c>
      <c r="W4592" s="22">
        <f>IF(OR($D4592="",$R4592="Trùng"),"",COUNTIFS(ORDERS!$C$2:$C$4995,$D4592,ORDERS!$L$2:$L$4995,"Đã chuyển khoản"))</f>
        <v/>
      </c>
      <c r="X4592" s="23">
        <f>IF(OR($D4592="",$R4592="Trùng"),"",SUMIFS(ORDERS!$J$2:$J$4995,ORDERS!$C$2:$C$4995,$D4592,ORDERS!$L$2:$L$4995,"Đã chuyển khoản"))</f>
        <v/>
      </c>
      <c r="Y4592" s="24" t="n"/>
    </row>
    <row r="4593" ht="14.25" customHeight="1" s="40">
      <c r="A4593" s="24" t="n"/>
      <c r="B4593" s="27" t="n"/>
      <c r="C4593" s="24" t="n"/>
      <c r="D4593" s="28" t="n"/>
      <c r="E4593" s="29" t="n"/>
      <c r="F4593" s="24" t="n"/>
      <c r="G4593" s="24" t="n"/>
      <c r="H4593" s="21">
        <f>IF(ISNUMBER($B4593),INT($B4593)-WEEKDAY($B4593,2)+1,"")</f>
        <v/>
      </c>
      <c r="I4593" s="24" t="n"/>
      <c r="J4593" s="22">
        <f t="array" ref="J4593">IF($D4593="","",IF($I4593="","(trống REF)",IFERROR(INDEX(MASTER_SOURCE!$B$2:$B$495,MATCH($I4593,MASTER_SOURCE!$A$2:$A$495,0)),"(REF không có trong MASTER_SOURCE)")))</f>
        <v/>
      </c>
      <c r="K4593" s="22">
        <f t="array" ref="K4593">IF($D4593="","",IFERROR(INDEX(MASTER_SOURCE!$C$2:$C$495,MATCH($I4593,MASTER_SOURCE!$A$2:$A$495,0)),""))</f>
        <v/>
      </c>
      <c r="L4593" s="22">
        <f t="array" ref="L4593">IF($D4593="","",IFERROR(INDEX(MASTER_SOURCE!$D$2:$D$495,MATCH($I4593,MASTER_SOURCE!$A$2:$A$495,0)),""))</f>
        <v/>
      </c>
      <c r="M4593" s="24" t="n"/>
      <c r="N4593" s="24" t="n"/>
      <c r="O4593" s="24" t="n"/>
      <c r="P4593" s="24" t="n"/>
      <c r="Q4593" s="22">
        <f>IF($D4593="","",IF(AND(OR(DANH_MUC!$L$5&lt;&gt;"Có",M4593="Có"),OR(DANH_MUC!$L$6&lt;&gt;"Có",N4593="Có"),OR(DANH_MUC!$L$7&lt;&gt;"Có",O4593="Có"),OR(DANH_MUC!$L$8&lt;&gt;"Có",P4593="Có")),"Có","Không"))</f>
        <v/>
      </c>
      <c r="R4593" s="22">
        <f>IF($D4593="","",IF(COUNTIF($D$2:$D4593,$D4593)&gt;1,"Trùng",""))</f>
        <v/>
      </c>
      <c r="S4593" s="22">
        <f>IF($D4593="","",IF(AND(LEN($D4593)=10,LEFT($D4593,1)="0",ISNUMBER(--$D4593)),"Có","Không"))</f>
        <v/>
      </c>
      <c r="T4593" s="22">
        <f>IF($D4593="","",IF(AND($C4593&lt;&gt;"",$Q4593="Có",$R4593="",$S4593="Có",AND($L4593&lt;&gt;"",OR($L4593&lt;&gt;"Chưa xác định",DANH_MUC!$L$9="Có"))),"Có","Không"))</f>
        <v/>
      </c>
      <c r="U4593" s="22">
        <f>IF(OR($D4593="",$T4593="Có"),"",IF($C4593="","Thiếu họ tên; ","")&amp;IF($S4593&lt;&gt;"Có","SĐT sai định dạng; ","")&amp;IF($R4593="Trùng","Trùng SĐT; ","")&amp;IF($Q4593&lt;&gt;"Có","Thiếu đồng ý bắt buộc; ","")&amp;IF($L4593="","Thiếu/sai Mã REF; ",IF(AND($L4593="Chưa xác định",DANH_MUC!$L$9&lt;&gt;"Có"),"Nguồn chưa xác định; ","")))</f>
        <v/>
      </c>
      <c r="V4593" s="22">
        <f>IF(OR($D4593="",$R4593="Trùng"),"",IF(COUNTIF(ORDERS!$C$2:$C$4995,$D4593)&gt;0,"Có","Không"))</f>
        <v/>
      </c>
      <c r="W4593" s="22">
        <f>IF(OR($D4593="",$R4593="Trùng"),"",COUNTIFS(ORDERS!$C$2:$C$4995,$D4593,ORDERS!$L$2:$L$4995,"Đã chuyển khoản"))</f>
        <v/>
      </c>
      <c r="X4593" s="23">
        <f>IF(OR($D4593="",$R4593="Trùng"),"",SUMIFS(ORDERS!$J$2:$J$4995,ORDERS!$C$2:$C$4995,$D4593,ORDERS!$L$2:$L$4995,"Đã chuyển khoản"))</f>
        <v/>
      </c>
      <c r="Y4593" s="24" t="n"/>
    </row>
    <row r="4594" ht="14.25" customHeight="1" s="40">
      <c r="A4594" s="24" t="n"/>
      <c r="B4594" s="27" t="n"/>
      <c r="C4594" s="24" t="n"/>
      <c r="D4594" s="28" t="n"/>
      <c r="E4594" s="29" t="n"/>
      <c r="F4594" s="24" t="n"/>
      <c r="G4594" s="24" t="n"/>
      <c r="H4594" s="21">
        <f>IF(ISNUMBER($B4594),INT($B4594)-WEEKDAY($B4594,2)+1,"")</f>
        <v/>
      </c>
      <c r="I4594" s="24" t="n"/>
      <c r="J4594" s="22">
        <f t="array" ref="J4594">IF($D4594="","",IF($I4594="","(trống REF)",IFERROR(INDEX(MASTER_SOURCE!$B$2:$B$495,MATCH($I4594,MASTER_SOURCE!$A$2:$A$495,0)),"(REF không có trong MASTER_SOURCE)")))</f>
        <v/>
      </c>
      <c r="K4594" s="22">
        <f t="array" ref="K4594">IF($D4594="","",IFERROR(INDEX(MASTER_SOURCE!$C$2:$C$495,MATCH($I4594,MASTER_SOURCE!$A$2:$A$495,0)),""))</f>
        <v/>
      </c>
      <c r="L4594" s="22">
        <f t="array" ref="L4594">IF($D4594="","",IFERROR(INDEX(MASTER_SOURCE!$D$2:$D$495,MATCH($I4594,MASTER_SOURCE!$A$2:$A$495,0)),""))</f>
        <v/>
      </c>
      <c r="M4594" s="24" t="n"/>
      <c r="N4594" s="24" t="n"/>
      <c r="O4594" s="24" t="n"/>
      <c r="P4594" s="24" t="n"/>
      <c r="Q4594" s="22">
        <f>IF($D4594="","",IF(AND(OR(DANH_MUC!$L$5&lt;&gt;"Có",M4594="Có"),OR(DANH_MUC!$L$6&lt;&gt;"Có",N4594="Có"),OR(DANH_MUC!$L$7&lt;&gt;"Có",O4594="Có"),OR(DANH_MUC!$L$8&lt;&gt;"Có",P4594="Có")),"Có","Không"))</f>
        <v/>
      </c>
      <c r="R4594" s="22">
        <f>IF($D4594="","",IF(COUNTIF($D$2:$D4594,$D4594)&gt;1,"Trùng",""))</f>
        <v/>
      </c>
      <c r="S4594" s="22">
        <f>IF($D4594="","",IF(AND(LEN($D4594)=10,LEFT($D4594,1)="0",ISNUMBER(--$D4594)),"Có","Không"))</f>
        <v/>
      </c>
      <c r="T4594" s="22">
        <f>IF($D4594="","",IF(AND($C4594&lt;&gt;"",$Q4594="Có",$R4594="",$S4594="Có",AND($L4594&lt;&gt;"",OR($L4594&lt;&gt;"Chưa xác định",DANH_MUC!$L$9="Có"))),"Có","Không"))</f>
        <v/>
      </c>
      <c r="U4594" s="22">
        <f>IF(OR($D4594="",$T4594="Có"),"",IF($C4594="","Thiếu họ tên; ","")&amp;IF($S4594&lt;&gt;"Có","SĐT sai định dạng; ","")&amp;IF($R4594="Trùng","Trùng SĐT; ","")&amp;IF($Q4594&lt;&gt;"Có","Thiếu đồng ý bắt buộc; ","")&amp;IF($L4594="","Thiếu/sai Mã REF; ",IF(AND($L4594="Chưa xác định",DANH_MUC!$L$9&lt;&gt;"Có"),"Nguồn chưa xác định; ","")))</f>
        <v/>
      </c>
      <c r="V4594" s="22">
        <f>IF(OR($D4594="",$R4594="Trùng"),"",IF(COUNTIF(ORDERS!$C$2:$C$4995,$D4594)&gt;0,"Có","Không"))</f>
        <v/>
      </c>
      <c r="W4594" s="22">
        <f>IF(OR($D4594="",$R4594="Trùng"),"",COUNTIFS(ORDERS!$C$2:$C$4995,$D4594,ORDERS!$L$2:$L$4995,"Đã chuyển khoản"))</f>
        <v/>
      </c>
      <c r="X4594" s="23">
        <f>IF(OR($D4594="",$R4594="Trùng"),"",SUMIFS(ORDERS!$J$2:$J$4995,ORDERS!$C$2:$C$4995,$D4594,ORDERS!$L$2:$L$4995,"Đã chuyển khoản"))</f>
        <v/>
      </c>
      <c r="Y4594" s="24" t="n"/>
    </row>
    <row r="4595" ht="14.25" customHeight="1" s="40">
      <c r="A4595" s="24" t="n"/>
      <c r="B4595" s="27" t="n"/>
      <c r="C4595" s="24" t="n"/>
      <c r="D4595" s="28" t="n"/>
      <c r="E4595" s="29" t="n"/>
      <c r="F4595" s="24" t="n"/>
      <c r="G4595" s="24" t="n"/>
      <c r="H4595" s="21">
        <f>IF(ISNUMBER($B4595),INT($B4595)-WEEKDAY($B4595,2)+1,"")</f>
        <v/>
      </c>
      <c r="I4595" s="24" t="n"/>
      <c r="J4595" s="22">
        <f t="array" ref="J4595">IF($D4595="","",IF($I4595="","(trống REF)",IFERROR(INDEX(MASTER_SOURCE!$B$2:$B$495,MATCH($I4595,MASTER_SOURCE!$A$2:$A$495,0)),"(REF không có trong MASTER_SOURCE)")))</f>
        <v/>
      </c>
      <c r="K4595" s="22">
        <f t="array" ref="K4595">IF($D4595="","",IFERROR(INDEX(MASTER_SOURCE!$C$2:$C$495,MATCH($I4595,MASTER_SOURCE!$A$2:$A$495,0)),""))</f>
        <v/>
      </c>
      <c r="L4595" s="22">
        <f t="array" ref="L4595">IF($D4595="","",IFERROR(INDEX(MASTER_SOURCE!$D$2:$D$495,MATCH($I4595,MASTER_SOURCE!$A$2:$A$495,0)),""))</f>
        <v/>
      </c>
      <c r="M4595" s="24" t="n"/>
      <c r="N4595" s="24" t="n"/>
      <c r="O4595" s="24" t="n"/>
      <c r="P4595" s="24" t="n"/>
      <c r="Q4595" s="22">
        <f>IF($D4595="","",IF(AND(OR(DANH_MUC!$L$5&lt;&gt;"Có",M4595="Có"),OR(DANH_MUC!$L$6&lt;&gt;"Có",N4595="Có"),OR(DANH_MUC!$L$7&lt;&gt;"Có",O4595="Có"),OR(DANH_MUC!$L$8&lt;&gt;"Có",P4595="Có")),"Có","Không"))</f>
        <v/>
      </c>
      <c r="R4595" s="22">
        <f>IF($D4595="","",IF(COUNTIF($D$2:$D4595,$D4595)&gt;1,"Trùng",""))</f>
        <v/>
      </c>
      <c r="S4595" s="22">
        <f>IF($D4595="","",IF(AND(LEN($D4595)=10,LEFT($D4595,1)="0",ISNUMBER(--$D4595)),"Có","Không"))</f>
        <v/>
      </c>
      <c r="T4595" s="22">
        <f>IF($D4595="","",IF(AND($C4595&lt;&gt;"",$Q4595="Có",$R4595="",$S4595="Có",AND($L4595&lt;&gt;"",OR($L4595&lt;&gt;"Chưa xác định",DANH_MUC!$L$9="Có"))),"Có","Không"))</f>
        <v/>
      </c>
      <c r="U4595" s="22">
        <f>IF(OR($D4595="",$T4595="Có"),"",IF($C4595="","Thiếu họ tên; ","")&amp;IF($S4595&lt;&gt;"Có","SĐT sai định dạng; ","")&amp;IF($R4595="Trùng","Trùng SĐT; ","")&amp;IF($Q4595&lt;&gt;"Có","Thiếu đồng ý bắt buộc; ","")&amp;IF($L4595="","Thiếu/sai Mã REF; ",IF(AND($L4595="Chưa xác định",DANH_MUC!$L$9&lt;&gt;"Có"),"Nguồn chưa xác định; ","")))</f>
        <v/>
      </c>
      <c r="V4595" s="22">
        <f>IF(OR($D4595="",$R4595="Trùng"),"",IF(COUNTIF(ORDERS!$C$2:$C$4995,$D4595)&gt;0,"Có","Không"))</f>
        <v/>
      </c>
      <c r="W4595" s="22">
        <f>IF(OR($D4595="",$R4595="Trùng"),"",COUNTIFS(ORDERS!$C$2:$C$4995,$D4595,ORDERS!$L$2:$L$4995,"Đã chuyển khoản"))</f>
        <v/>
      </c>
      <c r="X4595" s="23">
        <f>IF(OR($D4595="",$R4595="Trùng"),"",SUMIFS(ORDERS!$J$2:$J$4995,ORDERS!$C$2:$C$4995,$D4595,ORDERS!$L$2:$L$4995,"Đã chuyển khoản"))</f>
        <v/>
      </c>
      <c r="Y4595" s="24" t="n"/>
    </row>
    <row r="4596" ht="14.25" customHeight="1" s="40">
      <c r="A4596" s="24" t="n"/>
      <c r="B4596" s="27" t="n"/>
      <c r="C4596" s="24" t="n"/>
      <c r="D4596" s="28" t="n"/>
      <c r="E4596" s="29" t="n"/>
      <c r="F4596" s="24" t="n"/>
      <c r="G4596" s="24" t="n"/>
      <c r="H4596" s="21">
        <f>IF(ISNUMBER($B4596),INT($B4596)-WEEKDAY($B4596,2)+1,"")</f>
        <v/>
      </c>
      <c r="I4596" s="24" t="n"/>
      <c r="J4596" s="22">
        <f t="array" ref="J4596">IF($D4596="","",IF($I4596="","(trống REF)",IFERROR(INDEX(MASTER_SOURCE!$B$2:$B$495,MATCH($I4596,MASTER_SOURCE!$A$2:$A$495,0)),"(REF không có trong MASTER_SOURCE)")))</f>
        <v/>
      </c>
      <c r="K4596" s="22">
        <f t="array" ref="K4596">IF($D4596="","",IFERROR(INDEX(MASTER_SOURCE!$C$2:$C$495,MATCH($I4596,MASTER_SOURCE!$A$2:$A$495,0)),""))</f>
        <v/>
      </c>
      <c r="L4596" s="22">
        <f t="array" ref="L4596">IF($D4596="","",IFERROR(INDEX(MASTER_SOURCE!$D$2:$D$495,MATCH($I4596,MASTER_SOURCE!$A$2:$A$495,0)),""))</f>
        <v/>
      </c>
      <c r="M4596" s="24" t="n"/>
      <c r="N4596" s="24" t="n"/>
      <c r="O4596" s="24" t="n"/>
      <c r="P4596" s="24" t="n"/>
      <c r="Q4596" s="22">
        <f>IF($D4596="","",IF(AND(OR(DANH_MUC!$L$5&lt;&gt;"Có",M4596="Có"),OR(DANH_MUC!$L$6&lt;&gt;"Có",N4596="Có"),OR(DANH_MUC!$L$7&lt;&gt;"Có",O4596="Có"),OR(DANH_MUC!$L$8&lt;&gt;"Có",P4596="Có")),"Có","Không"))</f>
        <v/>
      </c>
      <c r="R4596" s="22">
        <f>IF($D4596="","",IF(COUNTIF($D$2:$D4596,$D4596)&gt;1,"Trùng",""))</f>
        <v/>
      </c>
      <c r="S4596" s="22">
        <f>IF($D4596="","",IF(AND(LEN($D4596)=10,LEFT($D4596,1)="0",ISNUMBER(--$D4596)),"Có","Không"))</f>
        <v/>
      </c>
      <c r="T4596" s="22">
        <f>IF($D4596="","",IF(AND($C4596&lt;&gt;"",$Q4596="Có",$R4596="",$S4596="Có",AND($L4596&lt;&gt;"",OR($L4596&lt;&gt;"Chưa xác định",DANH_MUC!$L$9="Có"))),"Có","Không"))</f>
        <v/>
      </c>
      <c r="U4596" s="22">
        <f>IF(OR($D4596="",$T4596="Có"),"",IF($C4596="","Thiếu họ tên; ","")&amp;IF($S4596&lt;&gt;"Có","SĐT sai định dạng; ","")&amp;IF($R4596="Trùng","Trùng SĐT; ","")&amp;IF($Q4596&lt;&gt;"Có","Thiếu đồng ý bắt buộc; ","")&amp;IF($L4596="","Thiếu/sai Mã REF; ",IF(AND($L4596="Chưa xác định",DANH_MUC!$L$9&lt;&gt;"Có"),"Nguồn chưa xác định; ","")))</f>
        <v/>
      </c>
      <c r="V4596" s="22">
        <f>IF(OR($D4596="",$R4596="Trùng"),"",IF(COUNTIF(ORDERS!$C$2:$C$4995,$D4596)&gt;0,"Có","Không"))</f>
        <v/>
      </c>
      <c r="W4596" s="22">
        <f>IF(OR($D4596="",$R4596="Trùng"),"",COUNTIFS(ORDERS!$C$2:$C$4995,$D4596,ORDERS!$L$2:$L$4995,"Đã chuyển khoản"))</f>
        <v/>
      </c>
      <c r="X4596" s="23">
        <f>IF(OR($D4596="",$R4596="Trùng"),"",SUMIFS(ORDERS!$J$2:$J$4995,ORDERS!$C$2:$C$4995,$D4596,ORDERS!$L$2:$L$4995,"Đã chuyển khoản"))</f>
        <v/>
      </c>
      <c r="Y4596" s="24" t="n"/>
    </row>
    <row r="4597" ht="14.25" customHeight="1" s="40">
      <c r="A4597" s="24" t="n"/>
      <c r="B4597" s="27" t="n"/>
      <c r="C4597" s="24" t="n"/>
      <c r="D4597" s="28" t="n"/>
      <c r="E4597" s="29" t="n"/>
      <c r="F4597" s="24" t="n"/>
      <c r="G4597" s="24" t="n"/>
      <c r="H4597" s="21">
        <f>IF(ISNUMBER($B4597),INT($B4597)-WEEKDAY($B4597,2)+1,"")</f>
        <v/>
      </c>
      <c r="I4597" s="24" t="n"/>
      <c r="J4597" s="22">
        <f t="array" ref="J4597">IF($D4597="","",IF($I4597="","(trống REF)",IFERROR(INDEX(MASTER_SOURCE!$B$2:$B$495,MATCH($I4597,MASTER_SOURCE!$A$2:$A$495,0)),"(REF không có trong MASTER_SOURCE)")))</f>
        <v/>
      </c>
      <c r="K4597" s="22">
        <f t="array" ref="K4597">IF($D4597="","",IFERROR(INDEX(MASTER_SOURCE!$C$2:$C$495,MATCH($I4597,MASTER_SOURCE!$A$2:$A$495,0)),""))</f>
        <v/>
      </c>
      <c r="L4597" s="22">
        <f t="array" ref="L4597">IF($D4597="","",IFERROR(INDEX(MASTER_SOURCE!$D$2:$D$495,MATCH($I4597,MASTER_SOURCE!$A$2:$A$495,0)),""))</f>
        <v/>
      </c>
      <c r="M4597" s="24" t="n"/>
      <c r="N4597" s="24" t="n"/>
      <c r="O4597" s="24" t="n"/>
      <c r="P4597" s="24" t="n"/>
      <c r="Q4597" s="22">
        <f>IF($D4597="","",IF(AND(OR(DANH_MUC!$L$5&lt;&gt;"Có",M4597="Có"),OR(DANH_MUC!$L$6&lt;&gt;"Có",N4597="Có"),OR(DANH_MUC!$L$7&lt;&gt;"Có",O4597="Có"),OR(DANH_MUC!$L$8&lt;&gt;"Có",P4597="Có")),"Có","Không"))</f>
        <v/>
      </c>
      <c r="R4597" s="22">
        <f>IF($D4597="","",IF(COUNTIF($D$2:$D4597,$D4597)&gt;1,"Trùng",""))</f>
        <v/>
      </c>
      <c r="S4597" s="22">
        <f>IF($D4597="","",IF(AND(LEN($D4597)=10,LEFT($D4597,1)="0",ISNUMBER(--$D4597)),"Có","Không"))</f>
        <v/>
      </c>
      <c r="T4597" s="22">
        <f>IF($D4597="","",IF(AND($C4597&lt;&gt;"",$Q4597="Có",$R4597="",$S4597="Có",AND($L4597&lt;&gt;"",OR($L4597&lt;&gt;"Chưa xác định",DANH_MUC!$L$9="Có"))),"Có","Không"))</f>
        <v/>
      </c>
      <c r="U4597" s="22">
        <f>IF(OR($D4597="",$T4597="Có"),"",IF($C4597="","Thiếu họ tên; ","")&amp;IF($S4597&lt;&gt;"Có","SĐT sai định dạng; ","")&amp;IF($R4597="Trùng","Trùng SĐT; ","")&amp;IF($Q4597&lt;&gt;"Có","Thiếu đồng ý bắt buộc; ","")&amp;IF($L4597="","Thiếu/sai Mã REF; ",IF(AND($L4597="Chưa xác định",DANH_MUC!$L$9&lt;&gt;"Có"),"Nguồn chưa xác định; ","")))</f>
        <v/>
      </c>
      <c r="V4597" s="22">
        <f>IF(OR($D4597="",$R4597="Trùng"),"",IF(COUNTIF(ORDERS!$C$2:$C$4995,$D4597)&gt;0,"Có","Không"))</f>
        <v/>
      </c>
      <c r="W4597" s="22">
        <f>IF(OR($D4597="",$R4597="Trùng"),"",COUNTIFS(ORDERS!$C$2:$C$4995,$D4597,ORDERS!$L$2:$L$4995,"Đã chuyển khoản"))</f>
        <v/>
      </c>
      <c r="X4597" s="23">
        <f>IF(OR($D4597="",$R4597="Trùng"),"",SUMIFS(ORDERS!$J$2:$J$4995,ORDERS!$C$2:$C$4995,$D4597,ORDERS!$L$2:$L$4995,"Đã chuyển khoản"))</f>
        <v/>
      </c>
      <c r="Y4597" s="24" t="n"/>
    </row>
    <row r="4598" ht="14.25" customHeight="1" s="40">
      <c r="A4598" s="24" t="n"/>
      <c r="B4598" s="27" t="n"/>
      <c r="C4598" s="24" t="n"/>
      <c r="D4598" s="28" t="n"/>
      <c r="E4598" s="29" t="n"/>
      <c r="F4598" s="24" t="n"/>
      <c r="G4598" s="24" t="n"/>
      <c r="H4598" s="21">
        <f>IF(ISNUMBER($B4598),INT($B4598)-WEEKDAY($B4598,2)+1,"")</f>
        <v/>
      </c>
      <c r="I4598" s="24" t="n"/>
      <c r="J4598" s="22">
        <f t="array" ref="J4598">IF($D4598="","",IF($I4598="","(trống REF)",IFERROR(INDEX(MASTER_SOURCE!$B$2:$B$495,MATCH($I4598,MASTER_SOURCE!$A$2:$A$495,0)),"(REF không có trong MASTER_SOURCE)")))</f>
        <v/>
      </c>
      <c r="K4598" s="22">
        <f t="array" ref="K4598">IF($D4598="","",IFERROR(INDEX(MASTER_SOURCE!$C$2:$C$495,MATCH($I4598,MASTER_SOURCE!$A$2:$A$495,0)),""))</f>
        <v/>
      </c>
      <c r="L4598" s="22">
        <f t="array" ref="L4598">IF($D4598="","",IFERROR(INDEX(MASTER_SOURCE!$D$2:$D$495,MATCH($I4598,MASTER_SOURCE!$A$2:$A$495,0)),""))</f>
        <v/>
      </c>
      <c r="M4598" s="24" t="n"/>
      <c r="N4598" s="24" t="n"/>
      <c r="O4598" s="24" t="n"/>
      <c r="P4598" s="24" t="n"/>
      <c r="Q4598" s="22">
        <f>IF($D4598="","",IF(AND(OR(DANH_MUC!$L$5&lt;&gt;"Có",M4598="Có"),OR(DANH_MUC!$L$6&lt;&gt;"Có",N4598="Có"),OR(DANH_MUC!$L$7&lt;&gt;"Có",O4598="Có"),OR(DANH_MUC!$L$8&lt;&gt;"Có",P4598="Có")),"Có","Không"))</f>
        <v/>
      </c>
      <c r="R4598" s="22">
        <f>IF($D4598="","",IF(COUNTIF($D$2:$D4598,$D4598)&gt;1,"Trùng",""))</f>
        <v/>
      </c>
      <c r="S4598" s="22">
        <f>IF($D4598="","",IF(AND(LEN($D4598)=10,LEFT($D4598,1)="0",ISNUMBER(--$D4598)),"Có","Không"))</f>
        <v/>
      </c>
      <c r="T4598" s="22">
        <f>IF($D4598="","",IF(AND($C4598&lt;&gt;"",$Q4598="Có",$R4598="",$S4598="Có",AND($L4598&lt;&gt;"",OR($L4598&lt;&gt;"Chưa xác định",DANH_MUC!$L$9="Có"))),"Có","Không"))</f>
        <v/>
      </c>
      <c r="U4598" s="22">
        <f>IF(OR($D4598="",$T4598="Có"),"",IF($C4598="","Thiếu họ tên; ","")&amp;IF($S4598&lt;&gt;"Có","SĐT sai định dạng; ","")&amp;IF($R4598="Trùng","Trùng SĐT; ","")&amp;IF($Q4598&lt;&gt;"Có","Thiếu đồng ý bắt buộc; ","")&amp;IF($L4598="","Thiếu/sai Mã REF; ",IF(AND($L4598="Chưa xác định",DANH_MUC!$L$9&lt;&gt;"Có"),"Nguồn chưa xác định; ","")))</f>
        <v/>
      </c>
      <c r="V4598" s="22">
        <f>IF(OR($D4598="",$R4598="Trùng"),"",IF(COUNTIF(ORDERS!$C$2:$C$4995,$D4598)&gt;0,"Có","Không"))</f>
        <v/>
      </c>
      <c r="W4598" s="22">
        <f>IF(OR($D4598="",$R4598="Trùng"),"",COUNTIFS(ORDERS!$C$2:$C$4995,$D4598,ORDERS!$L$2:$L$4995,"Đã chuyển khoản"))</f>
        <v/>
      </c>
      <c r="X4598" s="23">
        <f>IF(OR($D4598="",$R4598="Trùng"),"",SUMIFS(ORDERS!$J$2:$J$4995,ORDERS!$C$2:$C$4995,$D4598,ORDERS!$L$2:$L$4995,"Đã chuyển khoản"))</f>
        <v/>
      </c>
      <c r="Y4598" s="24" t="n"/>
    </row>
    <row r="4599" ht="14.25" customHeight="1" s="40">
      <c r="A4599" s="24" t="n"/>
      <c r="B4599" s="27" t="n"/>
      <c r="C4599" s="24" t="n"/>
      <c r="D4599" s="28" t="n"/>
      <c r="E4599" s="29" t="n"/>
      <c r="F4599" s="24" t="n"/>
      <c r="G4599" s="24" t="n"/>
      <c r="H4599" s="21">
        <f>IF(ISNUMBER($B4599),INT($B4599)-WEEKDAY($B4599,2)+1,"")</f>
        <v/>
      </c>
      <c r="I4599" s="24" t="n"/>
      <c r="J4599" s="22">
        <f t="array" ref="J4599">IF($D4599="","",IF($I4599="","(trống REF)",IFERROR(INDEX(MASTER_SOURCE!$B$2:$B$495,MATCH($I4599,MASTER_SOURCE!$A$2:$A$495,0)),"(REF không có trong MASTER_SOURCE)")))</f>
        <v/>
      </c>
      <c r="K4599" s="22">
        <f t="array" ref="K4599">IF($D4599="","",IFERROR(INDEX(MASTER_SOURCE!$C$2:$C$495,MATCH($I4599,MASTER_SOURCE!$A$2:$A$495,0)),""))</f>
        <v/>
      </c>
      <c r="L4599" s="22">
        <f t="array" ref="L4599">IF($D4599="","",IFERROR(INDEX(MASTER_SOURCE!$D$2:$D$495,MATCH($I4599,MASTER_SOURCE!$A$2:$A$495,0)),""))</f>
        <v/>
      </c>
      <c r="M4599" s="24" t="n"/>
      <c r="N4599" s="24" t="n"/>
      <c r="O4599" s="24" t="n"/>
      <c r="P4599" s="24" t="n"/>
      <c r="Q4599" s="22">
        <f>IF($D4599="","",IF(AND(OR(DANH_MUC!$L$5&lt;&gt;"Có",M4599="Có"),OR(DANH_MUC!$L$6&lt;&gt;"Có",N4599="Có"),OR(DANH_MUC!$L$7&lt;&gt;"Có",O4599="Có"),OR(DANH_MUC!$L$8&lt;&gt;"Có",P4599="Có")),"Có","Không"))</f>
        <v/>
      </c>
      <c r="R4599" s="22">
        <f>IF($D4599="","",IF(COUNTIF($D$2:$D4599,$D4599)&gt;1,"Trùng",""))</f>
        <v/>
      </c>
      <c r="S4599" s="22">
        <f>IF($D4599="","",IF(AND(LEN($D4599)=10,LEFT($D4599,1)="0",ISNUMBER(--$D4599)),"Có","Không"))</f>
        <v/>
      </c>
      <c r="T4599" s="22">
        <f>IF($D4599="","",IF(AND($C4599&lt;&gt;"",$Q4599="Có",$R4599="",$S4599="Có",AND($L4599&lt;&gt;"",OR($L4599&lt;&gt;"Chưa xác định",DANH_MUC!$L$9="Có"))),"Có","Không"))</f>
        <v/>
      </c>
      <c r="U4599" s="22">
        <f>IF(OR($D4599="",$T4599="Có"),"",IF($C4599="","Thiếu họ tên; ","")&amp;IF($S4599&lt;&gt;"Có","SĐT sai định dạng; ","")&amp;IF($R4599="Trùng","Trùng SĐT; ","")&amp;IF($Q4599&lt;&gt;"Có","Thiếu đồng ý bắt buộc; ","")&amp;IF($L4599="","Thiếu/sai Mã REF; ",IF(AND($L4599="Chưa xác định",DANH_MUC!$L$9&lt;&gt;"Có"),"Nguồn chưa xác định; ","")))</f>
        <v/>
      </c>
      <c r="V4599" s="22">
        <f>IF(OR($D4599="",$R4599="Trùng"),"",IF(COUNTIF(ORDERS!$C$2:$C$4995,$D4599)&gt;0,"Có","Không"))</f>
        <v/>
      </c>
      <c r="W4599" s="22">
        <f>IF(OR($D4599="",$R4599="Trùng"),"",COUNTIFS(ORDERS!$C$2:$C$4995,$D4599,ORDERS!$L$2:$L$4995,"Đã chuyển khoản"))</f>
        <v/>
      </c>
      <c r="X4599" s="23">
        <f>IF(OR($D4599="",$R4599="Trùng"),"",SUMIFS(ORDERS!$J$2:$J$4995,ORDERS!$C$2:$C$4995,$D4599,ORDERS!$L$2:$L$4995,"Đã chuyển khoản"))</f>
        <v/>
      </c>
      <c r="Y4599" s="24" t="n"/>
    </row>
    <row r="4600" ht="14.25" customHeight="1" s="40">
      <c r="A4600" s="24" t="n"/>
      <c r="B4600" s="27" t="n"/>
      <c r="C4600" s="24" t="n"/>
      <c r="D4600" s="28" t="n"/>
      <c r="E4600" s="29" t="n"/>
      <c r="F4600" s="24" t="n"/>
      <c r="G4600" s="24" t="n"/>
      <c r="H4600" s="21">
        <f>IF(ISNUMBER($B4600),INT($B4600)-WEEKDAY($B4600,2)+1,"")</f>
        <v/>
      </c>
      <c r="I4600" s="24" t="n"/>
      <c r="J4600" s="22">
        <f t="array" ref="J4600">IF($D4600="","",IF($I4600="","(trống REF)",IFERROR(INDEX(MASTER_SOURCE!$B$2:$B$495,MATCH($I4600,MASTER_SOURCE!$A$2:$A$495,0)),"(REF không có trong MASTER_SOURCE)")))</f>
        <v/>
      </c>
      <c r="K4600" s="22">
        <f t="array" ref="K4600">IF($D4600="","",IFERROR(INDEX(MASTER_SOURCE!$C$2:$C$495,MATCH($I4600,MASTER_SOURCE!$A$2:$A$495,0)),""))</f>
        <v/>
      </c>
      <c r="L4600" s="22">
        <f t="array" ref="L4600">IF($D4600="","",IFERROR(INDEX(MASTER_SOURCE!$D$2:$D$495,MATCH($I4600,MASTER_SOURCE!$A$2:$A$495,0)),""))</f>
        <v/>
      </c>
      <c r="M4600" s="24" t="n"/>
      <c r="N4600" s="24" t="n"/>
      <c r="O4600" s="24" t="n"/>
      <c r="P4600" s="24" t="n"/>
      <c r="Q4600" s="22">
        <f>IF($D4600="","",IF(AND(OR(DANH_MUC!$L$5&lt;&gt;"Có",M4600="Có"),OR(DANH_MUC!$L$6&lt;&gt;"Có",N4600="Có"),OR(DANH_MUC!$L$7&lt;&gt;"Có",O4600="Có"),OR(DANH_MUC!$L$8&lt;&gt;"Có",P4600="Có")),"Có","Không"))</f>
        <v/>
      </c>
      <c r="R4600" s="22">
        <f>IF($D4600="","",IF(COUNTIF($D$2:$D4600,$D4600)&gt;1,"Trùng",""))</f>
        <v/>
      </c>
      <c r="S4600" s="22">
        <f>IF($D4600="","",IF(AND(LEN($D4600)=10,LEFT($D4600,1)="0",ISNUMBER(--$D4600)),"Có","Không"))</f>
        <v/>
      </c>
      <c r="T4600" s="22">
        <f>IF($D4600="","",IF(AND($C4600&lt;&gt;"",$Q4600="Có",$R4600="",$S4600="Có",AND($L4600&lt;&gt;"",OR($L4600&lt;&gt;"Chưa xác định",DANH_MUC!$L$9="Có"))),"Có","Không"))</f>
        <v/>
      </c>
      <c r="U4600" s="22">
        <f>IF(OR($D4600="",$T4600="Có"),"",IF($C4600="","Thiếu họ tên; ","")&amp;IF($S4600&lt;&gt;"Có","SĐT sai định dạng; ","")&amp;IF($R4600="Trùng","Trùng SĐT; ","")&amp;IF($Q4600&lt;&gt;"Có","Thiếu đồng ý bắt buộc; ","")&amp;IF($L4600="","Thiếu/sai Mã REF; ",IF(AND($L4600="Chưa xác định",DANH_MUC!$L$9&lt;&gt;"Có"),"Nguồn chưa xác định; ","")))</f>
        <v/>
      </c>
      <c r="V4600" s="22">
        <f>IF(OR($D4600="",$R4600="Trùng"),"",IF(COUNTIF(ORDERS!$C$2:$C$4995,$D4600)&gt;0,"Có","Không"))</f>
        <v/>
      </c>
      <c r="W4600" s="22">
        <f>IF(OR($D4600="",$R4600="Trùng"),"",COUNTIFS(ORDERS!$C$2:$C$4995,$D4600,ORDERS!$L$2:$L$4995,"Đã chuyển khoản"))</f>
        <v/>
      </c>
      <c r="X4600" s="23">
        <f>IF(OR($D4600="",$R4600="Trùng"),"",SUMIFS(ORDERS!$J$2:$J$4995,ORDERS!$C$2:$C$4995,$D4600,ORDERS!$L$2:$L$4995,"Đã chuyển khoản"))</f>
        <v/>
      </c>
      <c r="Y4600" s="24" t="n"/>
    </row>
    <row r="4601" ht="14.25" customHeight="1" s="40">
      <c r="A4601" s="24" t="n"/>
      <c r="B4601" s="27" t="n"/>
      <c r="C4601" s="24" t="n"/>
      <c r="D4601" s="28" t="n"/>
      <c r="E4601" s="29" t="n"/>
      <c r="F4601" s="24" t="n"/>
      <c r="G4601" s="24" t="n"/>
      <c r="H4601" s="21">
        <f>IF(ISNUMBER($B4601),INT($B4601)-WEEKDAY($B4601,2)+1,"")</f>
        <v/>
      </c>
      <c r="I4601" s="24" t="n"/>
      <c r="J4601" s="22">
        <f t="array" ref="J4601">IF($D4601="","",IF($I4601="","(trống REF)",IFERROR(INDEX(MASTER_SOURCE!$B$2:$B$495,MATCH($I4601,MASTER_SOURCE!$A$2:$A$495,0)),"(REF không có trong MASTER_SOURCE)")))</f>
        <v/>
      </c>
      <c r="K4601" s="22">
        <f t="array" ref="K4601">IF($D4601="","",IFERROR(INDEX(MASTER_SOURCE!$C$2:$C$495,MATCH($I4601,MASTER_SOURCE!$A$2:$A$495,0)),""))</f>
        <v/>
      </c>
      <c r="L4601" s="22">
        <f t="array" ref="L4601">IF($D4601="","",IFERROR(INDEX(MASTER_SOURCE!$D$2:$D$495,MATCH($I4601,MASTER_SOURCE!$A$2:$A$495,0)),""))</f>
        <v/>
      </c>
      <c r="M4601" s="24" t="n"/>
      <c r="N4601" s="24" t="n"/>
      <c r="O4601" s="24" t="n"/>
      <c r="P4601" s="24" t="n"/>
      <c r="Q4601" s="22">
        <f>IF($D4601="","",IF(AND(OR(DANH_MUC!$L$5&lt;&gt;"Có",M4601="Có"),OR(DANH_MUC!$L$6&lt;&gt;"Có",N4601="Có"),OR(DANH_MUC!$L$7&lt;&gt;"Có",O4601="Có"),OR(DANH_MUC!$L$8&lt;&gt;"Có",P4601="Có")),"Có","Không"))</f>
        <v/>
      </c>
      <c r="R4601" s="22">
        <f>IF($D4601="","",IF(COUNTIF($D$2:$D4601,$D4601)&gt;1,"Trùng",""))</f>
        <v/>
      </c>
      <c r="S4601" s="22">
        <f>IF($D4601="","",IF(AND(LEN($D4601)=10,LEFT($D4601,1)="0",ISNUMBER(--$D4601)),"Có","Không"))</f>
        <v/>
      </c>
      <c r="T4601" s="22">
        <f>IF($D4601="","",IF(AND($C4601&lt;&gt;"",$Q4601="Có",$R4601="",$S4601="Có",AND($L4601&lt;&gt;"",OR($L4601&lt;&gt;"Chưa xác định",DANH_MUC!$L$9="Có"))),"Có","Không"))</f>
        <v/>
      </c>
      <c r="U4601" s="22">
        <f>IF(OR($D4601="",$T4601="Có"),"",IF($C4601="","Thiếu họ tên; ","")&amp;IF($S4601&lt;&gt;"Có","SĐT sai định dạng; ","")&amp;IF($R4601="Trùng","Trùng SĐT; ","")&amp;IF($Q4601&lt;&gt;"Có","Thiếu đồng ý bắt buộc; ","")&amp;IF($L4601="","Thiếu/sai Mã REF; ",IF(AND($L4601="Chưa xác định",DANH_MUC!$L$9&lt;&gt;"Có"),"Nguồn chưa xác định; ","")))</f>
        <v/>
      </c>
      <c r="V4601" s="22">
        <f>IF(OR($D4601="",$R4601="Trùng"),"",IF(COUNTIF(ORDERS!$C$2:$C$4995,$D4601)&gt;0,"Có","Không"))</f>
        <v/>
      </c>
      <c r="W4601" s="22">
        <f>IF(OR($D4601="",$R4601="Trùng"),"",COUNTIFS(ORDERS!$C$2:$C$4995,$D4601,ORDERS!$L$2:$L$4995,"Đã chuyển khoản"))</f>
        <v/>
      </c>
      <c r="X4601" s="23">
        <f>IF(OR($D4601="",$R4601="Trùng"),"",SUMIFS(ORDERS!$J$2:$J$4995,ORDERS!$C$2:$C$4995,$D4601,ORDERS!$L$2:$L$4995,"Đã chuyển khoản"))</f>
        <v/>
      </c>
      <c r="Y4601" s="24" t="n"/>
    </row>
    <row r="4602" ht="14.25" customHeight="1" s="40">
      <c r="A4602" s="24" t="n"/>
      <c r="B4602" s="27" t="n"/>
      <c r="C4602" s="24" t="n"/>
      <c r="D4602" s="28" t="n"/>
      <c r="E4602" s="29" t="n"/>
      <c r="F4602" s="24" t="n"/>
      <c r="G4602" s="24" t="n"/>
      <c r="H4602" s="21">
        <f>IF(ISNUMBER($B4602),INT($B4602)-WEEKDAY($B4602,2)+1,"")</f>
        <v/>
      </c>
      <c r="I4602" s="24" t="n"/>
      <c r="J4602" s="22">
        <f t="array" ref="J4602">IF($D4602="","",IF($I4602="","(trống REF)",IFERROR(INDEX(MASTER_SOURCE!$B$2:$B$495,MATCH($I4602,MASTER_SOURCE!$A$2:$A$495,0)),"(REF không có trong MASTER_SOURCE)")))</f>
        <v/>
      </c>
      <c r="K4602" s="22">
        <f t="array" ref="K4602">IF($D4602="","",IFERROR(INDEX(MASTER_SOURCE!$C$2:$C$495,MATCH($I4602,MASTER_SOURCE!$A$2:$A$495,0)),""))</f>
        <v/>
      </c>
      <c r="L4602" s="22">
        <f t="array" ref="L4602">IF($D4602="","",IFERROR(INDEX(MASTER_SOURCE!$D$2:$D$495,MATCH($I4602,MASTER_SOURCE!$A$2:$A$495,0)),""))</f>
        <v/>
      </c>
      <c r="M4602" s="24" t="n"/>
      <c r="N4602" s="24" t="n"/>
      <c r="O4602" s="24" t="n"/>
      <c r="P4602" s="24" t="n"/>
      <c r="Q4602" s="22">
        <f>IF($D4602="","",IF(AND(OR(DANH_MUC!$L$5&lt;&gt;"Có",M4602="Có"),OR(DANH_MUC!$L$6&lt;&gt;"Có",N4602="Có"),OR(DANH_MUC!$L$7&lt;&gt;"Có",O4602="Có"),OR(DANH_MUC!$L$8&lt;&gt;"Có",P4602="Có")),"Có","Không"))</f>
        <v/>
      </c>
      <c r="R4602" s="22">
        <f>IF($D4602="","",IF(COUNTIF($D$2:$D4602,$D4602)&gt;1,"Trùng",""))</f>
        <v/>
      </c>
      <c r="S4602" s="22">
        <f>IF($D4602="","",IF(AND(LEN($D4602)=10,LEFT($D4602,1)="0",ISNUMBER(--$D4602)),"Có","Không"))</f>
        <v/>
      </c>
      <c r="T4602" s="22">
        <f>IF($D4602="","",IF(AND($C4602&lt;&gt;"",$Q4602="Có",$R4602="",$S4602="Có",AND($L4602&lt;&gt;"",OR($L4602&lt;&gt;"Chưa xác định",DANH_MUC!$L$9="Có"))),"Có","Không"))</f>
        <v/>
      </c>
      <c r="U4602" s="22">
        <f>IF(OR($D4602="",$T4602="Có"),"",IF($C4602="","Thiếu họ tên; ","")&amp;IF($S4602&lt;&gt;"Có","SĐT sai định dạng; ","")&amp;IF($R4602="Trùng","Trùng SĐT; ","")&amp;IF($Q4602&lt;&gt;"Có","Thiếu đồng ý bắt buộc; ","")&amp;IF($L4602="","Thiếu/sai Mã REF; ",IF(AND($L4602="Chưa xác định",DANH_MUC!$L$9&lt;&gt;"Có"),"Nguồn chưa xác định; ","")))</f>
        <v/>
      </c>
      <c r="V4602" s="22">
        <f>IF(OR($D4602="",$R4602="Trùng"),"",IF(COUNTIF(ORDERS!$C$2:$C$4995,$D4602)&gt;0,"Có","Không"))</f>
        <v/>
      </c>
      <c r="W4602" s="22">
        <f>IF(OR($D4602="",$R4602="Trùng"),"",COUNTIFS(ORDERS!$C$2:$C$4995,$D4602,ORDERS!$L$2:$L$4995,"Đã chuyển khoản"))</f>
        <v/>
      </c>
      <c r="X4602" s="23">
        <f>IF(OR($D4602="",$R4602="Trùng"),"",SUMIFS(ORDERS!$J$2:$J$4995,ORDERS!$C$2:$C$4995,$D4602,ORDERS!$L$2:$L$4995,"Đã chuyển khoản"))</f>
        <v/>
      </c>
      <c r="Y4602" s="24" t="n"/>
    </row>
    <row r="4603" ht="14.25" customHeight="1" s="40">
      <c r="A4603" s="24" t="n"/>
      <c r="B4603" s="27" t="n"/>
      <c r="C4603" s="24" t="n"/>
      <c r="D4603" s="28" t="n"/>
      <c r="E4603" s="29" t="n"/>
      <c r="F4603" s="24" t="n"/>
      <c r="G4603" s="24" t="n"/>
      <c r="H4603" s="21">
        <f>IF(ISNUMBER($B4603),INT($B4603)-WEEKDAY($B4603,2)+1,"")</f>
        <v/>
      </c>
      <c r="I4603" s="24" t="n"/>
      <c r="J4603" s="22">
        <f t="array" ref="J4603">IF($D4603="","",IF($I4603="","(trống REF)",IFERROR(INDEX(MASTER_SOURCE!$B$2:$B$495,MATCH($I4603,MASTER_SOURCE!$A$2:$A$495,0)),"(REF không có trong MASTER_SOURCE)")))</f>
        <v/>
      </c>
      <c r="K4603" s="22">
        <f t="array" ref="K4603">IF($D4603="","",IFERROR(INDEX(MASTER_SOURCE!$C$2:$C$495,MATCH($I4603,MASTER_SOURCE!$A$2:$A$495,0)),""))</f>
        <v/>
      </c>
      <c r="L4603" s="22">
        <f t="array" ref="L4603">IF($D4603="","",IFERROR(INDEX(MASTER_SOURCE!$D$2:$D$495,MATCH($I4603,MASTER_SOURCE!$A$2:$A$495,0)),""))</f>
        <v/>
      </c>
      <c r="M4603" s="24" t="n"/>
      <c r="N4603" s="24" t="n"/>
      <c r="O4603" s="24" t="n"/>
      <c r="P4603" s="24" t="n"/>
      <c r="Q4603" s="22">
        <f>IF($D4603="","",IF(AND(OR(DANH_MUC!$L$5&lt;&gt;"Có",M4603="Có"),OR(DANH_MUC!$L$6&lt;&gt;"Có",N4603="Có"),OR(DANH_MUC!$L$7&lt;&gt;"Có",O4603="Có"),OR(DANH_MUC!$L$8&lt;&gt;"Có",P4603="Có")),"Có","Không"))</f>
        <v/>
      </c>
      <c r="R4603" s="22">
        <f>IF($D4603="","",IF(COUNTIF($D$2:$D4603,$D4603)&gt;1,"Trùng",""))</f>
        <v/>
      </c>
      <c r="S4603" s="22">
        <f>IF($D4603="","",IF(AND(LEN($D4603)=10,LEFT($D4603,1)="0",ISNUMBER(--$D4603)),"Có","Không"))</f>
        <v/>
      </c>
      <c r="T4603" s="22">
        <f>IF($D4603="","",IF(AND($C4603&lt;&gt;"",$Q4603="Có",$R4603="",$S4603="Có",AND($L4603&lt;&gt;"",OR($L4603&lt;&gt;"Chưa xác định",DANH_MUC!$L$9="Có"))),"Có","Không"))</f>
        <v/>
      </c>
      <c r="U4603" s="22">
        <f>IF(OR($D4603="",$T4603="Có"),"",IF($C4603="","Thiếu họ tên; ","")&amp;IF($S4603&lt;&gt;"Có","SĐT sai định dạng; ","")&amp;IF($R4603="Trùng","Trùng SĐT; ","")&amp;IF($Q4603&lt;&gt;"Có","Thiếu đồng ý bắt buộc; ","")&amp;IF($L4603="","Thiếu/sai Mã REF; ",IF(AND($L4603="Chưa xác định",DANH_MUC!$L$9&lt;&gt;"Có"),"Nguồn chưa xác định; ","")))</f>
        <v/>
      </c>
      <c r="V4603" s="22">
        <f>IF(OR($D4603="",$R4603="Trùng"),"",IF(COUNTIF(ORDERS!$C$2:$C$4995,$D4603)&gt;0,"Có","Không"))</f>
        <v/>
      </c>
      <c r="W4603" s="22">
        <f>IF(OR($D4603="",$R4603="Trùng"),"",COUNTIFS(ORDERS!$C$2:$C$4995,$D4603,ORDERS!$L$2:$L$4995,"Đã chuyển khoản"))</f>
        <v/>
      </c>
      <c r="X4603" s="23">
        <f>IF(OR($D4603="",$R4603="Trùng"),"",SUMIFS(ORDERS!$J$2:$J$4995,ORDERS!$C$2:$C$4995,$D4603,ORDERS!$L$2:$L$4995,"Đã chuyển khoản"))</f>
        <v/>
      </c>
      <c r="Y4603" s="24" t="n"/>
    </row>
    <row r="4604" ht="14.25" customHeight="1" s="40">
      <c r="A4604" s="24" t="n"/>
      <c r="B4604" s="27" t="n"/>
      <c r="C4604" s="24" t="n"/>
      <c r="D4604" s="28" t="n"/>
      <c r="E4604" s="29" t="n"/>
      <c r="F4604" s="24" t="n"/>
      <c r="G4604" s="24" t="n"/>
      <c r="H4604" s="21">
        <f>IF(ISNUMBER($B4604),INT($B4604)-WEEKDAY($B4604,2)+1,"")</f>
        <v/>
      </c>
      <c r="I4604" s="24" t="n"/>
      <c r="J4604" s="22">
        <f t="array" ref="J4604">IF($D4604="","",IF($I4604="","(trống REF)",IFERROR(INDEX(MASTER_SOURCE!$B$2:$B$495,MATCH($I4604,MASTER_SOURCE!$A$2:$A$495,0)),"(REF không có trong MASTER_SOURCE)")))</f>
        <v/>
      </c>
      <c r="K4604" s="22">
        <f t="array" ref="K4604">IF($D4604="","",IFERROR(INDEX(MASTER_SOURCE!$C$2:$C$495,MATCH($I4604,MASTER_SOURCE!$A$2:$A$495,0)),""))</f>
        <v/>
      </c>
      <c r="L4604" s="22">
        <f t="array" ref="L4604">IF($D4604="","",IFERROR(INDEX(MASTER_SOURCE!$D$2:$D$495,MATCH($I4604,MASTER_SOURCE!$A$2:$A$495,0)),""))</f>
        <v/>
      </c>
      <c r="M4604" s="24" t="n"/>
      <c r="N4604" s="24" t="n"/>
      <c r="O4604" s="24" t="n"/>
      <c r="P4604" s="24" t="n"/>
      <c r="Q4604" s="22">
        <f>IF($D4604="","",IF(AND(OR(DANH_MUC!$L$5&lt;&gt;"Có",M4604="Có"),OR(DANH_MUC!$L$6&lt;&gt;"Có",N4604="Có"),OR(DANH_MUC!$L$7&lt;&gt;"Có",O4604="Có"),OR(DANH_MUC!$L$8&lt;&gt;"Có",P4604="Có")),"Có","Không"))</f>
        <v/>
      </c>
      <c r="R4604" s="22">
        <f>IF($D4604="","",IF(COUNTIF($D$2:$D4604,$D4604)&gt;1,"Trùng",""))</f>
        <v/>
      </c>
      <c r="S4604" s="22">
        <f>IF($D4604="","",IF(AND(LEN($D4604)=10,LEFT($D4604,1)="0",ISNUMBER(--$D4604)),"Có","Không"))</f>
        <v/>
      </c>
      <c r="T4604" s="22">
        <f>IF($D4604="","",IF(AND($C4604&lt;&gt;"",$Q4604="Có",$R4604="",$S4604="Có",AND($L4604&lt;&gt;"",OR($L4604&lt;&gt;"Chưa xác định",DANH_MUC!$L$9="Có"))),"Có","Không"))</f>
        <v/>
      </c>
      <c r="U4604" s="22">
        <f>IF(OR($D4604="",$T4604="Có"),"",IF($C4604="","Thiếu họ tên; ","")&amp;IF($S4604&lt;&gt;"Có","SĐT sai định dạng; ","")&amp;IF($R4604="Trùng","Trùng SĐT; ","")&amp;IF($Q4604&lt;&gt;"Có","Thiếu đồng ý bắt buộc; ","")&amp;IF($L4604="","Thiếu/sai Mã REF; ",IF(AND($L4604="Chưa xác định",DANH_MUC!$L$9&lt;&gt;"Có"),"Nguồn chưa xác định; ","")))</f>
        <v/>
      </c>
      <c r="V4604" s="22">
        <f>IF(OR($D4604="",$R4604="Trùng"),"",IF(COUNTIF(ORDERS!$C$2:$C$4995,$D4604)&gt;0,"Có","Không"))</f>
        <v/>
      </c>
      <c r="W4604" s="22">
        <f>IF(OR($D4604="",$R4604="Trùng"),"",COUNTIFS(ORDERS!$C$2:$C$4995,$D4604,ORDERS!$L$2:$L$4995,"Đã chuyển khoản"))</f>
        <v/>
      </c>
      <c r="X4604" s="23">
        <f>IF(OR($D4604="",$R4604="Trùng"),"",SUMIFS(ORDERS!$J$2:$J$4995,ORDERS!$C$2:$C$4995,$D4604,ORDERS!$L$2:$L$4995,"Đã chuyển khoản"))</f>
        <v/>
      </c>
      <c r="Y4604" s="24" t="n"/>
    </row>
    <row r="4605" ht="14.25" customHeight="1" s="40">
      <c r="A4605" s="24" t="n"/>
      <c r="B4605" s="27" t="n"/>
      <c r="C4605" s="24" t="n"/>
      <c r="D4605" s="28" t="n"/>
      <c r="E4605" s="29" t="n"/>
      <c r="F4605" s="24" t="n"/>
      <c r="G4605" s="24" t="n"/>
      <c r="H4605" s="21">
        <f>IF(ISNUMBER($B4605),INT($B4605)-WEEKDAY($B4605,2)+1,"")</f>
        <v/>
      </c>
      <c r="I4605" s="24" t="n"/>
      <c r="J4605" s="22">
        <f t="array" ref="J4605">IF($D4605="","",IF($I4605="","(trống REF)",IFERROR(INDEX(MASTER_SOURCE!$B$2:$B$495,MATCH($I4605,MASTER_SOURCE!$A$2:$A$495,0)),"(REF không có trong MASTER_SOURCE)")))</f>
        <v/>
      </c>
      <c r="K4605" s="22">
        <f t="array" ref="K4605">IF($D4605="","",IFERROR(INDEX(MASTER_SOURCE!$C$2:$C$495,MATCH($I4605,MASTER_SOURCE!$A$2:$A$495,0)),""))</f>
        <v/>
      </c>
      <c r="L4605" s="22">
        <f t="array" ref="L4605">IF($D4605="","",IFERROR(INDEX(MASTER_SOURCE!$D$2:$D$495,MATCH($I4605,MASTER_SOURCE!$A$2:$A$495,0)),""))</f>
        <v/>
      </c>
      <c r="M4605" s="24" t="n"/>
      <c r="N4605" s="24" t="n"/>
      <c r="O4605" s="24" t="n"/>
      <c r="P4605" s="24" t="n"/>
      <c r="Q4605" s="22">
        <f>IF($D4605="","",IF(AND(OR(DANH_MUC!$L$5&lt;&gt;"Có",M4605="Có"),OR(DANH_MUC!$L$6&lt;&gt;"Có",N4605="Có"),OR(DANH_MUC!$L$7&lt;&gt;"Có",O4605="Có"),OR(DANH_MUC!$L$8&lt;&gt;"Có",P4605="Có")),"Có","Không"))</f>
        <v/>
      </c>
      <c r="R4605" s="22">
        <f>IF($D4605="","",IF(COUNTIF($D$2:$D4605,$D4605)&gt;1,"Trùng",""))</f>
        <v/>
      </c>
      <c r="S4605" s="22">
        <f>IF($D4605="","",IF(AND(LEN($D4605)=10,LEFT($D4605,1)="0",ISNUMBER(--$D4605)),"Có","Không"))</f>
        <v/>
      </c>
      <c r="T4605" s="22">
        <f>IF($D4605="","",IF(AND($C4605&lt;&gt;"",$Q4605="Có",$R4605="",$S4605="Có",AND($L4605&lt;&gt;"",OR($L4605&lt;&gt;"Chưa xác định",DANH_MUC!$L$9="Có"))),"Có","Không"))</f>
        <v/>
      </c>
      <c r="U4605" s="22">
        <f>IF(OR($D4605="",$T4605="Có"),"",IF($C4605="","Thiếu họ tên; ","")&amp;IF($S4605&lt;&gt;"Có","SĐT sai định dạng; ","")&amp;IF($R4605="Trùng","Trùng SĐT; ","")&amp;IF($Q4605&lt;&gt;"Có","Thiếu đồng ý bắt buộc; ","")&amp;IF($L4605="","Thiếu/sai Mã REF; ",IF(AND($L4605="Chưa xác định",DANH_MUC!$L$9&lt;&gt;"Có"),"Nguồn chưa xác định; ","")))</f>
        <v/>
      </c>
      <c r="V4605" s="22">
        <f>IF(OR($D4605="",$R4605="Trùng"),"",IF(COUNTIF(ORDERS!$C$2:$C$4995,$D4605)&gt;0,"Có","Không"))</f>
        <v/>
      </c>
      <c r="W4605" s="22">
        <f>IF(OR($D4605="",$R4605="Trùng"),"",COUNTIFS(ORDERS!$C$2:$C$4995,$D4605,ORDERS!$L$2:$L$4995,"Đã chuyển khoản"))</f>
        <v/>
      </c>
      <c r="X4605" s="23">
        <f>IF(OR($D4605="",$R4605="Trùng"),"",SUMIFS(ORDERS!$J$2:$J$4995,ORDERS!$C$2:$C$4995,$D4605,ORDERS!$L$2:$L$4995,"Đã chuyển khoản"))</f>
        <v/>
      </c>
      <c r="Y4605" s="24" t="n"/>
    </row>
    <row r="4606" ht="14.25" customHeight="1" s="40">
      <c r="A4606" s="24" t="n"/>
      <c r="B4606" s="27" t="n"/>
      <c r="C4606" s="24" t="n"/>
      <c r="D4606" s="28" t="n"/>
      <c r="E4606" s="29" t="n"/>
      <c r="F4606" s="24" t="n"/>
      <c r="G4606" s="24" t="n"/>
      <c r="H4606" s="21">
        <f>IF(ISNUMBER($B4606),INT($B4606)-WEEKDAY($B4606,2)+1,"")</f>
        <v/>
      </c>
      <c r="I4606" s="24" t="n"/>
      <c r="J4606" s="22">
        <f t="array" ref="J4606">IF($D4606="","",IF($I4606="","(trống REF)",IFERROR(INDEX(MASTER_SOURCE!$B$2:$B$495,MATCH($I4606,MASTER_SOURCE!$A$2:$A$495,0)),"(REF không có trong MASTER_SOURCE)")))</f>
        <v/>
      </c>
      <c r="K4606" s="22">
        <f t="array" ref="K4606">IF($D4606="","",IFERROR(INDEX(MASTER_SOURCE!$C$2:$C$495,MATCH($I4606,MASTER_SOURCE!$A$2:$A$495,0)),""))</f>
        <v/>
      </c>
      <c r="L4606" s="22">
        <f t="array" ref="L4606">IF($D4606="","",IFERROR(INDEX(MASTER_SOURCE!$D$2:$D$495,MATCH($I4606,MASTER_SOURCE!$A$2:$A$495,0)),""))</f>
        <v/>
      </c>
      <c r="M4606" s="24" t="n"/>
      <c r="N4606" s="24" t="n"/>
      <c r="O4606" s="24" t="n"/>
      <c r="P4606" s="24" t="n"/>
      <c r="Q4606" s="22">
        <f>IF($D4606="","",IF(AND(OR(DANH_MUC!$L$5&lt;&gt;"Có",M4606="Có"),OR(DANH_MUC!$L$6&lt;&gt;"Có",N4606="Có"),OR(DANH_MUC!$L$7&lt;&gt;"Có",O4606="Có"),OR(DANH_MUC!$L$8&lt;&gt;"Có",P4606="Có")),"Có","Không"))</f>
        <v/>
      </c>
      <c r="R4606" s="22">
        <f>IF($D4606="","",IF(COUNTIF($D$2:$D4606,$D4606)&gt;1,"Trùng",""))</f>
        <v/>
      </c>
      <c r="S4606" s="22">
        <f>IF($D4606="","",IF(AND(LEN($D4606)=10,LEFT($D4606,1)="0",ISNUMBER(--$D4606)),"Có","Không"))</f>
        <v/>
      </c>
      <c r="T4606" s="22">
        <f>IF($D4606="","",IF(AND($C4606&lt;&gt;"",$Q4606="Có",$R4606="",$S4606="Có",AND($L4606&lt;&gt;"",OR($L4606&lt;&gt;"Chưa xác định",DANH_MUC!$L$9="Có"))),"Có","Không"))</f>
        <v/>
      </c>
      <c r="U4606" s="22">
        <f>IF(OR($D4606="",$T4606="Có"),"",IF($C4606="","Thiếu họ tên; ","")&amp;IF($S4606&lt;&gt;"Có","SĐT sai định dạng; ","")&amp;IF($R4606="Trùng","Trùng SĐT; ","")&amp;IF($Q4606&lt;&gt;"Có","Thiếu đồng ý bắt buộc; ","")&amp;IF($L4606="","Thiếu/sai Mã REF; ",IF(AND($L4606="Chưa xác định",DANH_MUC!$L$9&lt;&gt;"Có"),"Nguồn chưa xác định; ","")))</f>
        <v/>
      </c>
      <c r="V4606" s="22">
        <f>IF(OR($D4606="",$R4606="Trùng"),"",IF(COUNTIF(ORDERS!$C$2:$C$4995,$D4606)&gt;0,"Có","Không"))</f>
        <v/>
      </c>
      <c r="W4606" s="22">
        <f>IF(OR($D4606="",$R4606="Trùng"),"",COUNTIFS(ORDERS!$C$2:$C$4995,$D4606,ORDERS!$L$2:$L$4995,"Đã chuyển khoản"))</f>
        <v/>
      </c>
      <c r="X4606" s="23">
        <f>IF(OR($D4606="",$R4606="Trùng"),"",SUMIFS(ORDERS!$J$2:$J$4995,ORDERS!$C$2:$C$4995,$D4606,ORDERS!$L$2:$L$4995,"Đã chuyển khoản"))</f>
        <v/>
      </c>
      <c r="Y4606" s="24" t="n"/>
    </row>
    <row r="4607" ht="14.25" customHeight="1" s="40">
      <c r="A4607" s="24" t="n"/>
      <c r="B4607" s="27" t="n"/>
      <c r="C4607" s="24" t="n"/>
      <c r="D4607" s="28" t="n"/>
      <c r="E4607" s="29" t="n"/>
      <c r="F4607" s="24" t="n"/>
      <c r="G4607" s="24" t="n"/>
      <c r="H4607" s="21">
        <f>IF(ISNUMBER($B4607),INT($B4607)-WEEKDAY($B4607,2)+1,"")</f>
        <v/>
      </c>
      <c r="I4607" s="24" t="n"/>
      <c r="J4607" s="22">
        <f t="array" ref="J4607">IF($D4607="","",IF($I4607="","(trống REF)",IFERROR(INDEX(MASTER_SOURCE!$B$2:$B$495,MATCH($I4607,MASTER_SOURCE!$A$2:$A$495,0)),"(REF không có trong MASTER_SOURCE)")))</f>
        <v/>
      </c>
      <c r="K4607" s="22">
        <f t="array" ref="K4607">IF($D4607="","",IFERROR(INDEX(MASTER_SOURCE!$C$2:$C$495,MATCH($I4607,MASTER_SOURCE!$A$2:$A$495,0)),""))</f>
        <v/>
      </c>
      <c r="L4607" s="22">
        <f t="array" ref="L4607">IF($D4607="","",IFERROR(INDEX(MASTER_SOURCE!$D$2:$D$495,MATCH($I4607,MASTER_SOURCE!$A$2:$A$495,0)),""))</f>
        <v/>
      </c>
      <c r="M4607" s="24" t="n"/>
      <c r="N4607" s="24" t="n"/>
      <c r="O4607" s="24" t="n"/>
      <c r="P4607" s="24" t="n"/>
      <c r="Q4607" s="22">
        <f>IF($D4607="","",IF(AND(OR(DANH_MUC!$L$5&lt;&gt;"Có",M4607="Có"),OR(DANH_MUC!$L$6&lt;&gt;"Có",N4607="Có"),OR(DANH_MUC!$L$7&lt;&gt;"Có",O4607="Có"),OR(DANH_MUC!$L$8&lt;&gt;"Có",P4607="Có")),"Có","Không"))</f>
        <v/>
      </c>
      <c r="R4607" s="22">
        <f>IF($D4607="","",IF(COUNTIF($D$2:$D4607,$D4607)&gt;1,"Trùng",""))</f>
        <v/>
      </c>
      <c r="S4607" s="22">
        <f>IF($D4607="","",IF(AND(LEN($D4607)=10,LEFT($D4607,1)="0",ISNUMBER(--$D4607)),"Có","Không"))</f>
        <v/>
      </c>
      <c r="T4607" s="22">
        <f>IF($D4607="","",IF(AND($C4607&lt;&gt;"",$Q4607="Có",$R4607="",$S4607="Có",AND($L4607&lt;&gt;"",OR($L4607&lt;&gt;"Chưa xác định",DANH_MUC!$L$9="Có"))),"Có","Không"))</f>
        <v/>
      </c>
      <c r="U4607" s="22">
        <f>IF(OR($D4607="",$T4607="Có"),"",IF($C4607="","Thiếu họ tên; ","")&amp;IF($S4607&lt;&gt;"Có","SĐT sai định dạng; ","")&amp;IF($R4607="Trùng","Trùng SĐT; ","")&amp;IF($Q4607&lt;&gt;"Có","Thiếu đồng ý bắt buộc; ","")&amp;IF($L4607="","Thiếu/sai Mã REF; ",IF(AND($L4607="Chưa xác định",DANH_MUC!$L$9&lt;&gt;"Có"),"Nguồn chưa xác định; ","")))</f>
        <v/>
      </c>
      <c r="V4607" s="22">
        <f>IF(OR($D4607="",$R4607="Trùng"),"",IF(COUNTIF(ORDERS!$C$2:$C$4995,$D4607)&gt;0,"Có","Không"))</f>
        <v/>
      </c>
      <c r="W4607" s="22">
        <f>IF(OR($D4607="",$R4607="Trùng"),"",COUNTIFS(ORDERS!$C$2:$C$4995,$D4607,ORDERS!$L$2:$L$4995,"Đã chuyển khoản"))</f>
        <v/>
      </c>
      <c r="X4607" s="23">
        <f>IF(OR($D4607="",$R4607="Trùng"),"",SUMIFS(ORDERS!$J$2:$J$4995,ORDERS!$C$2:$C$4995,$D4607,ORDERS!$L$2:$L$4995,"Đã chuyển khoản"))</f>
        <v/>
      </c>
      <c r="Y4607" s="24" t="n"/>
    </row>
    <row r="4608" ht="14.25" customHeight="1" s="40">
      <c r="A4608" s="24" t="n"/>
      <c r="B4608" s="27" t="n"/>
      <c r="C4608" s="24" t="n"/>
      <c r="D4608" s="28" t="n"/>
      <c r="E4608" s="29" t="n"/>
      <c r="F4608" s="24" t="n"/>
      <c r="G4608" s="24" t="n"/>
      <c r="H4608" s="21">
        <f>IF(ISNUMBER($B4608),INT($B4608)-WEEKDAY($B4608,2)+1,"")</f>
        <v/>
      </c>
      <c r="I4608" s="24" t="n"/>
      <c r="J4608" s="22">
        <f t="array" ref="J4608">IF($D4608="","",IF($I4608="","(trống REF)",IFERROR(INDEX(MASTER_SOURCE!$B$2:$B$495,MATCH($I4608,MASTER_SOURCE!$A$2:$A$495,0)),"(REF không có trong MASTER_SOURCE)")))</f>
        <v/>
      </c>
      <c r="K4608" s="22">
        <f t="array" ref="K4608">IF($D4608="","",IFERROR(INDEX(MASTER_SOURCE!$C$2:$C$495,MATCH($I4608,MASTER_SOURCE!$A$2:$A$495,0)),""))</f>
        <v/>
      </c>
      <c r="L4608" s="22">
        <f t="array" ref="L4608">IF($D4608="","",IFERROR(INDEX(MASTER_SOURCE!$D$2:$D$495,MATCH($I4608,MASTER_SOURCE!$A$2:$A$495,0)),""))</f>
        <v/>
      </c>
      <c r="M4608" s="24" t="n"/>
      <c r="N4608" s="24" t="n"/>
      <c r="O4608" s="24" t="n"/>
      <c r="P4608" s="24" t="n"/>
      <c r="Q4608" s="22">
        <f>IF($D4608="","",IF(AND(OR(DANH_MUC!$L$5&lt;&gt;"Có",M4608="Có"),OR(DANH_MUC!$L$6&lt;&gt;"Có",N4608="Có"),OR(DANH_MUC!$L$7&lt;&gt;"Có",O4608="Có"),OR(DANH_MUC!$L$8&lt;&gt;"Có",P4608="Có")),"Có","Không"))</f>
        <v/>
      </c>
      <c r="R4608" s="22">
        <f>IF($D4608="","",IF(COUNTIF($D$2:$D4608,$D4608)&gt;1,"Trùng",""))</f>
        <v/>
      </c>
      <c r="S4608" s="22">
        <f>IF($D4608="","",IF(AND(LEN($D4608)=10,LEFT($D4608,1)="0",ISNUMBER(--$D4608)),"Có","Không"))</f>
        <v/>
      </c>
      <c r="T4608" s="22">
        <f>IF($D4608="","",IF(AND($C4608&lt;&gt;"",$Q4608="Có",$R4608="",$S4608="Có",AND($L4608&lt;&gt;"",OR($L4608&lt;&gt;"Chưa xác định",DANH_MUC!$L$9="Có"))),"Có","Không"))</f>
        <v/>
      </c>
      <c r="U4608" s="22">
        <f>IF(OR($D4608="",$T4608="Có"),"",IF($C4608="","Thiếu họ tên; ","")&amp;IF($S4608&lt;&gt;"Có","SĐT sai định dạng; ","")&amp;IF($R4608="Trùng","Trùng SĐT; ","")&amp;IF($Q4608&lt;&gt;"Có","Thiếu đồng ý bắt buộc; ","")&amp;IF($L4608="","Thiếu/sai Mã REF; ",IF(AND($L4608="Chưa xác định",DANH_MUC!$L$9&lt;&gt;"Có"),"Nguồn chưa xác định; ","")))</f>
        <v/>
      </c>
      <c r="V4608" s="22">
        <f>IF(OR($D4608="",$R4608="Trùng"),"",IF(COUNTIF(ORDERS!$C$2:$C$4995,$D4608)&gt;0,"Có","Không"))</f>
        <v/>
      </c>
      <c r="W4608" s="22">
        <f>IF(OR($D4608="",$R4608="Trùng"),"",COUNTIFS(ORDERS!$C$2:$C$4995,$D4608,ORDERS!$L$2:$L$4995,"Đã chuyển khoản"))</f>
        <v/>
      </c>
      <c r="X4608" s="23">
        <f>IF(OR($D4608="",$R4608="Trùng"),"",SUMIFS(ORDERS!$J$2:$J$4995,ORDERS!$C$2:$C$4995,$D4608,ORDERS!$L$2:$L$4995,"Đã chuyển khoản"))</f>
        <v/>
      </c>
      <c r="Y4608" s="24" t="n"/>
    </row>
    <row r="4609" ht="14.25" customHeight="1" s="40">
      <c r="A4609" s="24" t="n"/>
      <c r="B4609" s="27" t="n"/>
      <c r="C4609" s="24" t="n"/>
      <c r="D4609" s="28" t="n"/>
      <c r="E4609" s="29" t="n"/>
      <c r="F4609" s="24" t="n"/>
      <c r="G4609" s="24" t="n"/>
      <c r="H4609" s="21">
        <f>IF(ISNUMBER($B4609),INT($B4609)-WEEKDAY($B4609,2)+1,"")</f>
        <v/>
      </c>
      <c r="I4609" s="24" t="n"/>
      <c r="J4609" s="22">
        <f t="array" ref="J4609">IF($D4609="","",IF($I4609="","(trống REF)",IFERROR(INDEX(MASTER_SOURCE!$B$2:$B$495,MATCH($I4609,MASTER_SOURCE!$A$2:$A$495,0)),"(REF không có trong MASTER_SOURCE)")))</f>
        <v/>
      </c>
      <c r="K4609" s="22">
        <f t="array" ref="K4609">IF($D4609="","",IFERROR(INDEX(MASTER_SOURCE!$C$2:$C$495,MATCH($I4609,MASTER_SOURCE!$A$2:$A$495,0)),""))</f>
        <v/>
      </c>
      <c r="L4609" s="22">
        <f t="array" ref="L4609">IF($D4609="","",IFERROR(INDEX(MASTER_SOURCE!$D$2:$D$495,MATCH($I4609,MASTER_SOURCE!$A$2:$A$495,0)),""))</f>
        <v/>
      </c>
      <c r="M4609" s="24" t="n"/>
      <c r="N4609" s="24" t="n"/>
      <c r="O4609" s="24" t="n"/>
      <c r="P4609" s="24" t="n"/>
      <c r="Q4609" s="22">
        <f>IF($D4609="","",IF(AND(OR(DANH_MUC!$L$5&lt;&gt;"Có",M4609="Có"),OR(DANH_MUC!$L$6&lt;&gt;"Có",N4609="Có"),OR(DANH_MUC!$L$7&lt;&gt;"Có",O4609="Có"),OR(DANH_MUC!$L$8&lt;&gt;"Có",P4609="Có")),"Có","Không"))</f>
        <v/>
      </c>
      <c r="R4609" s="22">
        <f>IF($D4609="","",IF(COUNTIF($D$2:$D4609,$D4609)&gt;1,"Trùng",""))</f>
        <v/>
      </c>
      <c r="S4609" s="22">
        <f>IF($D4609="","",IF(AND(LEN($D4609)=10,LEFT($D4609,1)="0",ISNUMBER(--$D4609)),"Có","Không"))</f>
        <v/>
      </c>
      <c r="T4609" s="22">
        <f>IF($D4609="","",IF(AND($C4609&lt;&gt;"",$Q4609="Có",$R4609="",$S4609="Có",AND($L4609&lt;&gt;"",OR($L4609&lt;&gt;"Chưa xác định",DANH_MUC!$L$9="Có"))),"Có","Không"))</f>
        <v/>
      </c>
      <c r="U4609" s="22">
        <f>IF(OR($D4609="",$T4609="Có"),"",IF($C4609="","Thiếu họ tên; ","")&amp;IF($S4609&lt;&gt;"Có","SĐT sai định dạng; ","")&amp;IF($R4609="Trùng","Trùng SĐT; ","")&amp;IF($Q4609&lt;&gt;"Có","Thiếu đồng ý bắt buộc; ","")&amp;IF($L4609="","Thiếu/sai Mã REF; ",IF(AND($L4609="Chưa xác định",DANH_MUC!$L$9&lt;&gt;"Có"),"Nguồn chưa xác định; ","")))</f>
        <v/>
      </c>
      <c r="V4609" s="22">
        <f>IF(OR($D4609="",$R4609="Trùng"),"",IF(COUNTIF(ORDERS!$C$2:$C$4995,$D4609)&gt;0,"Có","Không"))</f>
        <v/>
      </c>
      <c r="W4609" s="22">
        <f>IF(OR($D4609="",$R4609="Trùng"),"",COUNTIFS(ORDERS!$C$2:$C$4995,$D4609,ORDERS!$L$2:$L$4995,"Đã chuyển khoản"))</f>
        <v/>
      </c>
      <c r="X4609" s="23">
        <f>IF(OR($D4609="",$R4609="Trùng"),"",SUMIFS(ORDERS!$J$2:$J$4995,ORDERS!$C$2:$C$4995,$D4609,ORDERS!$L$2:$L$4995,"Đã chuyển khoản"))</f>
        <v/>
      </c>
      <c r="Y4609" s="24" t="n"/>
    </row>
    <row r="4610" ht="14.25" customHeight="1" s="40">
      <c r="A4610" s="24" t="n"/>
      <c r="B4610" s="27" t="n"/>
      <c r="C4610" s="24" t="n"/>
      <c r="D4610" s="28" t="n"/>
      <c r="E4610" s="29" t="n"/>
      <c r="F4610" s="24" t="n"/>
      <c r="G4610" s="24" t="n"/>
      <c r="H4610" s="21">
        <f>IF(ISNUMBER($B4610),INT($B4610)-WEEKDAY($B4610,2)+1,"")</f>
        <v/>
      </c>
      <c r="I4610" s="24" t="n"/>
      <c r="J4610" s="22">
        <f t="array" ref="J4610">IF($D4610="","",IF($I4610="","(trống REF)",IFERROR(INDEX(MASTER_SOURCE!$B$2:$B$495,MATCH($I4610,MASTER_SOURCE!$A$2:$A$495,0)),"(REF không có trong MASTER_SOURCE)")))</f>
        <v/>
      </c>
      <c r="K4610" s="22">
        <f t="array" ref="K4610">IF($D4610="","",IFERROR(INDEX(MASTER_SOURCE!$C$2:$C$495,MATCH($I4610,MASTER_SOURCE!$A$2:$A$495,0)),""))</f>
        <v/>
      </c>
      <c r="L4610" s="22">
        <f t="array" ref="L4610">IF($D4610="","",IFERROR(INDEX(MASTER_SOURCE!$D$2:$D$495,MATCH($I4610,MASTER_SOURCE!$A$2:$A$495,0)),""))</f>
        <v/>
      </c>
      <c r="M4610" s="24" t="n"/>
      <c r="N4610" s="24" t="n"/>
      <c r="O4610" s="24" t="n"/>
      <c r="P4610" s="24" t="n"/>
      <c r="Q4610" s="22">
        <f>IF($D4610="","",IF(AND(OR(DANH_MUC!$L$5&lt;&gt;"Có",M4610="Có"),OR(DANH_MUC!$L$6&lt;&gt;"Có",N4610="Có"),OR(DANH_MUC!$L$7&lt;&gt;"Có",O4610="Có"),OR(DANH_MUC!$L$8&lt;&gt;"Có",P4610="Có")),"Có","Không"))</f>
        <v/>
      </c>
      <c r="R4610" s="22">
        <f>IF($D4610="","",IF(COUNTIF($D$2:$D4610,$D4610)&gt;1,"Trùng",""))</f>
        <v/>
      </c>
      <c r="S4610" s="22">
        <f>IF($D4610="","",IF(AND(LEN($D4610)=10,LEFT($D4610,1)="0",ISNUMBER(--$D4610)),"Có","Không"))</f>
        <v/>
      </c>
      <c r="T4610" s="22">
        <f>IF($D4610="","",IF(AND($C4610&lt;&gt;"",$Q4610="Có",$R4610="",$S4610="Có",AND($L4610&lt;&gt;"",OR($L4610&lt;&gt;"Chưa xác định",DANH_MUC!$L$9="Có"))),"Có","Không"))</f>
        <v/>
      </c>
      <c r="U4610" s="22">
        <f>IF(OR($D4610="",$T4610="Có"),"",IF($C4610="","Thiếu họ tên; ","")&amp;IF($S4610&lt;&gt;"Có","SĐT sai định dạng; ","")&amp;IF($R4610="Trùng","Trùng SĐT; ","")&amp;IF($Q4610&lt;&gt;"Có","Thiếu đồng ý bắt buộc; ","")&amp;IF($L4610="","Thiếu/sai Mã REF; ",IF(AND($L4610="Chưa xác định",DANH_MUC!$L$9&lt;&gt;"Có"),"Nguồn chưa xác định; ","")))</f>
        <v/>
      </c>
      <c r="V4610" s="22">
        <f>IF(OR($D4610="",$R4610="Trùng"),"",IF(COUNTIF(ORDERS!$C$2:$C$4995,$D4610)&gt;0,"Có","Không"))</f>
        <v/>
      </c>
      <c r="W4610" s="22">
        <f>IF(OR($D4610="",$R4610="Trùng"),"",COUNTIFS(ORDERS!$C$2:$C$4995,$D4610,ORDERS!$L$2:$L$4995,"Đã chuyển khoản"))</f>
        <v/>
      </c>
      <c r="X4610" s="23">
        <f>IF(OR($D4610="",$R4610="Trùng"),"",SUMIFS(ORDERS!$J$2:$J$4995,ORDERS!$C$2:$C$4995,$D4610,ORDERS!$L$2:$L$4995,"Đã chuyển khoản"))</f>
        <v/>
      </c>
      <c r="Y4610" s="24" t="n"/>
    </row>
    <row r="4611" ht="14.25" customHeight="1" s="40">
      <c r="A4611" s="24" t="n"/>
      <c r="B4611" s="27" t="n"/>
      <c r="C4611" s="24" t="n"/>
      <c r="D4611" s="28" t="n"/>
      <c r="E4611" s="29" t="n"/>
      <c r="F4611" s="24" t="n"/>
      <c r="G4611" s="24" t="n"/>
      <c r="H4611" s="21">
        <f>IF(ISNUMBER($B4611),INT($B4611)-WEEKDAY($B4611,2)+1,"")</f>
        <v/>
      </c>
      <c r="I4611" s="24" t="n"/>
      <c r="J4611" s="22">
        <f t="array" ref="J4611">IF($D4611="","",IF($I4611="","(trống REF)",IFERROR(INDEX(MASTER_SOURCE!$B$2:$B$495,MATCH($I4611,MASTER_SOURCE!$A$2:$A$495,0)),"(REF không có trong MASTER_SOURCE)")))</f>
        <v/>
      </c>
      <c r="K4611" s="22">
        <f t="array" ref="K4611">IF($D4611="","",IFERROR(INDEX(MASTER_SOURCE!$C$2:$C$495,MATCH($I4611,MASTER_SOURCE!$A$2:$A$495,0)),""))</f>
        <v/>
      </c>
      <c r="L4611" s="22">
        <f t="array" ref="L4611">IF($D4611="","",IFERROR(INDEX(MASTER_SOURCE!$D$2:$D$495,MATCH($I4611,MASTER_SOURCE!$A$2:$A$495,0)),""))</f>
        <v/>
      </c>
      <c r="M4611" s="24" t="n"/>
      <c r="N4611" s="24" t="n"/>
      <c r="O4611" s="24" t="n"/>
      <c r="P4611" s="24" t="n"/>
      <c r="Q4611" s="22">
        <f>IF($D4611="","",IF(AND(OR(DANH_MUC!$L$5&lt;&gt;"Có",M4611="Có"),OR(DANH_MUC!$L$6&lt;&gt;"Có",N4611="Có"),OR(DANH_MUC!$L$7&lt;&gt;"Có",O4611="Có"),OR(DANH_MUC!$L$8&lt;&gt;"Có",P4611="Có")),"Có","Không"))</f>
        <v/>
      </c>
      <c r="R4611" s="22">
        <f>IF($D4611="","",IF(COUNTIF($D$2:$D4611,$D4611)&gt;1,"Trùng",""))</f>
        <v/>
      </c>
      <c r="S4611" s="22">
        <f>IF($D4611="","",IF(AND(LEN($D4611)=10,LEFT($D4611,1)="0",ISNUMBER(--$D4611)),"Có","Không"))</f>
        <v/>
      </c>
      <c r="T4611" s="22">
        <f>IF($D4611="","",IF(AND($C4611&lt;&gt;"",$Q4611="Có",$R4611="",$S4611="Có",AND($L4611&lt;&gt;"",OR($L4611&lt;&gt;"Chưa xác định",DANH_MUC!$L$9="Có"))),"Có","Không"))</f>
        <v/>
      </c>
      <c r="U4611" s="22">
        <f>IF(OR($D4611="",$T4611="Có"),"",IF($C4611="","Thiếu họ tên; ","")&amp;IF($S4611&lt;&gt;"Có","SĐT sai định dạng; ","")&amp;IF($R4611="Trùng","Trùng SĐT; ","")&amp;IF($Q4611&lt;&gt;"Có","Thiếu đồng ý bắt buộc; ","")&amp;IF($L4611="","Thiếu/sai Mã REF; ",IF(AND($L4611="Chưa xác định",DANH_MUC!$L$9&lt;&gt;"Có"),"Nguồn chưa xác định; ","")))</f>
        <v/>
      </c>
      <c r="V4611" s="22">
        <f>IF(OR($D4611="",$R4611="Trùng"),"",IF(COUNTIF(ORDERS!$C$2:$C$4995,$D4611)&gt;0,"Có","Không"))</f>
        <v/>
      </c>
      <c r="W4611" s="22">
        <f>IF(OR($D4611="",$R4611="Trùng"),"",COUNTIFS(ORDERS!$C$2:$C$4995,$D4611,ORDERS!$L$2:$L$4995,"Đã chuyển khoản"))</f>
        <v/>
      </c>
      <c r="X4611" s="23">
        <f>IF(OR($D4611="",$R4611="Trùng"),"",SUMIFS(ORDERS!$J$2:$J$4995,ORDERS!$C$2:$C$4995,$D4611,ORDERS!$L$2:$L$4995,"Đã chuyển khoản"))</f>
        <v/>
      </c>
      <c r="Y4611" s="24" t="n"/>
    </row>
    <row r="4612" ht="14.25" customHeight="1" s="40">
      <c r="A4612" s="24" t="n"/>
      <c r="B4612" s="27" t="n"/>
      <c r="C4612" s="24" t="n"/>
      <c r="D4612" s="28" t="n"/>
      <c r="E4612" s="29" t="n"/>
      <c r="F4612" s="24" t="n"/>
      <c r="G4612" s="24" t="n"/>
      <c r="H4612" s="21">
        <f>IF(ISNUMBER($B4612),INT($B4612)-WEEKDAY($B4612,2)+1,"")</f>
        <v/>
      </c>
      <c r="I4612" s="24" t="n"/>
      <c r="J4612" s="22">
        <f t="array" ref="J4612">IF($D4612="","",IF($I4612="","(trống REF)",IFERROR(INDEX(MASTER_SOURCE!$B$2:$B$495,MATCH($I4612,MASTER_SOURCE!$A$2:$A$495,0)),"(REF không có trong MASTER_SOURCE)")))</f>
        <v/>
      </c>
      <c r="K4612" s="22">
        <f t="array" ref="K4612">IF($D4612="","",IFERROR(INDEX(MASTER_SOURCE!$C$2:$C$495,MATCH($I4612,MASTER_SOURCE!$A$2:$A$495,0)),""))</f>
        <v/>
      </c>
      <c r="L4612" s="22">
        <f t="array" ref="L4612">IF($D4612="","",IFERROR(INDEX(MASTER_SOURCE!$D$2:$D$495,MATCH($I4612,MASTER_SOURCE!$A$2:$A$495,0)),""))</f>
        <v/>
      </c>
      <c r="M4612" s="24" t="n"/>
      <c r="N4612" s="24" t="n"/>
      <c r="O4612" s="24" t="n"/>
      <c r="P4612" s="24" t="n"/>
      <c r="Q4612" s="22">
        <f>IF($D4612="","",IF(AND(OR(DANH_MUC!$L$5&lt;&gt;"Có",M4612="Có"),OR(DANH_MUC!$L$6&lt;&gt;"Có",N4612="Có"),OR(DANH_MUC!$L$7&lt;&gt;"Có",O4612="Có"),OR(DANH_MUC!$L$8&lt;&gt;"Có",P4612="Có")),"Có","Không"))</f>
        <v/>
      </c>
      <c r="R4612" s="22">
        <f>IF($D4612="","",IF(COUNTIF($D$2:$D4612,$D4612)&gt;1,"Trùng",""))</f>
        <v/>
      </c>
      <c r="S4612" s="22">
        <f>IF($D4612="","",IF(AND(LEN($D4612)=10,LEFT($D4612,1)="0",ISNUMBER(--$D4612)),"Có","Không"))</f>
        <v/>
      </c>
      <c r="T4612" s="22">
        <f>IF($D4612="","",IF(AND($C4612&lt;&gt;"",$Q4612="Có",$R4612="",$S4612="Có",AND($L4612&lt;&gt;"",OR($L4612&lt;&gt;"Chưa xác định",DANH_MUC!$L$9="Có"))),"Có","Không"))</f>
        <v/>
      </c>
      <c r="U4612" s="22">
        <f>IF(OR($D4612="",$T4612="Có"),"",IF($C4612="","Thiếu họ tên; ","")&amp;IF($S4612&lt;&gt;"Có","SĐT sai định dạng; ","")&amp;IF($R4612="Trùng","Trùng SĐT; ","")&amp;IF($Q4612&lt;&gt;"Có","Thiếu đồng ý bắt buộc; ","")&amp;IF($L4612="","Thiếu/sai Mã REF; ",IF(AND($L4612="Chưa xác định",DANH_MUC!$L$9&lt;&gt;"Có"),"Nguồn chưa xác định; ","")))</f>
        <v/>
      </c>
      <c r="V4612" s="22">
        <f>IF(OR($D4612="",$R4612="Trùng"),"",IF(COUNTIF(ORDERS!$C$2:$C$4995,$D4612)&gt;0,"Có","Không"))</f>
        <v/>
      </c>
      <c r="W4612" s="22">
        <f>IF(OR($D4612="",$R4612="Trùng"),"",COUNTIFS(ORDERS!$C$2:$C$4995,$D4612,ORDERS!$L$2:$L$4995,"Đã chuyển khoản"))</f>
        <v/>
      </c>
      <c r="X4612" s="23">
        <f>IF(OR($D4612="",$R4612="Trùng"),"",SUMIFS(ORDERS!$J$2:$J$4995,ORDERS!$C$2:$C$4995,$D4612,ORDERS!$L$2:$L$4995,"Đã chuyển khoản"))</f>
        <v/>
      </c>
      <c r="Y4612" s="24" t="n"/>
    </row>
    <row r="4613" ht="14.25" customHeight="1" s="40">
      <c r="A4613" s="24" t="n"/>
      <c r="B4613" s="27" t="n"/>
      <c r="C4613" s="24" t="n"/>
      <c r="D4613" s="28" t="n"/>
      <c r="E4613" s="29" t="n"/>
      <c r="F4613" s="24" t="n"/>
      <c r="G4613" s="24" t="n"/>
      <c r="H4613" s="21">
        <f>IF(ISNUMBER($B4613),INT($B4613)-WEEKDAY($B4613,2)+1,"")</f>
        <v/>
      </c>
      <c r="I4613" s="24" t="n"/>
      <c r="J4613" s="22">
        <f t="array" ref="J4613">IF($D4613="","",IF($I4613="","(trống REF)",IFERROR(INDEX(MASTER_SOURCE!$B$2:$B$495,MATCH($I4613,MASTER_SOURCE!$A$2:$A$495,0)),"(REF không có trong MASTER_SOURCE)")))</f>
        <v/>
      </c>
      <c r="K4613" s="22">
        <f t="array" ref="K4613">IF($D4613="","",IFERROR(INDEX(MASTER_SOURCE!$C$2:$C$495,MATCH($I4613,MASTER_SOURCE!$A$2:$A$495,0)),""))</f>
        <v/>
      </c>
      <c r="L4613" s="22">
        <f t="array" ref="L4613">IF($D4613="","",IFERROR(INDEX(MASTER_SOURCE!$D$2:$D$495,MATCH($I4613,MASTER_SOURCE!$A$2:$A$495,0)),""))</f>
        <v/>
      </c>
      <c r="M4613" s="24" t="n"/>
      <c r="N4613" s="24" t="n"/>
      <c r="O4613" s="24" t="n"/>
      <c r="P4613" s="24" t="n"/>
      <c r="Q4613" s="22">
        <f>IF($D4613="","",IF(AND(OR(DANH_MUC!$L$5&lt;&gt;"Có",M4613="Có"),OR(DANH_MUC!$L$6&lt;&gt;"Có",N4613="Có"),OR(DANH_MUC!$L$7&lt;&gt;"Có",O4613="Có"),OR(DANH_MUC!$L$8&lt;&gt;"Có",P4613="Có")),"Có","Không"))</f>
        <v/>
      </c>
      <c r="R4613" s="22">
        <f>IF($D4613="","",IF(COUNTIF($D$2:$D4613,$D4613)&gt;1,"Trùng",""))</f>
        <v/>
      </c>
      <c r="S4613" s="22">
        <f>IF($D4613="","",IF(AND(LEN($D4613)=10,LEFT($D4613,1)="0",ISNUMBER(--$D4613)),"Có","Không"))</f>
        <v/>
      </c>
      <c r="T4613" s="22">
        <f>IF($D4613="","",IF(AND($C4613&lt;&gt;"",$Q4613="Có",$R4613="",$S4613="Có",AND($L4613&lt;&gt;"",OR($L4613&lt;&gt;"Chưa xác định",DANH_MUC!$L$9="Có"))),"Có","Không"))</f>
        <v/>
      </c>
      <c r="U4613" s="22">
        <f>IF(OR($D4613="",$T4613="Có"),"",IF($C4613="","Thiếu họ tên; ","")&amp;IF($S4613&lt;&gt;"Có","SĐT sai định dạng; ","")&amp;IF($R4613="Trùng","Trùng SĐT; ","")&amp;IF($Q4613&lt;&gt;"Có","Thiếu đồng ý bắt buộc; ","")&amp;IF($L4613="","Thiếu/sai Mã REF; ",IF(AND($L4613="Chưa xác định",DANH_MUC!$L$9&lt;&gt;"Có"),"Nguồn chưa xác định; ","")))</f>
        <v/>
      </c>
      <c r="V4613" s="22">
        <f>IF(OR($D4613="",$R4613="Trùng"),"",IF(COUNTIF(ORDERS!$C$2:$C$4995,$D4613)&gt;0,"Có","Không"))</f>
        <v/>
      </c>
      <c r="W4613" s="22">
        <f>IF(OR($D4613="",$R4613="Trùng"),"",COUNTIFS(ORDERS!$C$2:$C$4995,$D4613,ORDERS!$L$2:$L$4995,"Đã chuyển khoản"))</f>
        <v/>
      </c>
      <c r="X4613" s="23">
        <f>IF(OR($D4613="",$R4613="Trùng"),"",SUMIFS(ORDERS!$J$2:$J$4995,ORDERS!$C$2:$C$4995,$D4613,ORDERS!$L$2:$L$4995,"Đã chuyển khoản"))</f>
        <v/>
      </c>
      <c r="Y4613" s="24" t="n"/>
    </row>
    <row r="4614" ht="14.25" customHeight="1" s="40">
      <c r="A4614" s="24" t="n"/>
      <c r="B4614" s="27" t="n"/>
      <c r="C4614" s="24" t="n"/>
      <c r="D4614" s="28" t="n"/>
      <c r="E4614" s="29" t="n"/>
      <c r="F4614" s="24" t="n"/>
      <c r="G4614" s="24" t="n"/>
      <c r="H4614" s="21">
        <f>IF(ISNUMBER($B4614),INT($B4614)-WEEKDAY($B4614,2)+1,"")</f>
        <v/>
      </c>
      <c r="I4614" s="24" t="n"/>
      <c r="J4614" s="22">
        <f t="array" ref="J4614">IF($D4614="","",IF($I4614="","(trống REF)",IFERROR(INDEX(MASTER_SOURCE!$B$2:$B$495,MATCH($I4614,MASTER_SOURCE!$A$2:$A$495,0)),"(REF không có trong MASTER_SOURCE)")))</f>
        <v/>
      </c>
      <c r="K4614" s="22">
        <f t="array" ref="K4614">IF($D4614="","",IFERROR(INDEX(MASTER_SOURCE!$C$2:$C$495,MATCH($I4614,MASTER_SOURCE!$A$2:$A$495,0)),""))</f>
        <v/>
      </c>
      <c r="L4614" s="22">
        <f t="array" ref="L4614">IF($D4614="","",IFERROR(INDEX(MASTER_SOURCE!$D$2:$D$495,MATCH($I4614,MASTER_SOURCE!$A$2:$A$495,0)),""))</f>
        <v/>
      </c>
      <c r="M4614" s="24" t="n"/>
      <c r="N4614" s="24" t="n"/>
      <c r="O4614" s="24" t="n"/>
      <c r="P4614" s="24" t="n"/>
      <c r="Q4614" s="22">
        <f>IF($D4614="","",IF(AND(OR(DANH_MUC!$L$5&lt;&gt;"Có",M4614="Có"),OR(DANH_MUC!$L$6&lt;&gt;"Có",N4614="Có"),OR(DANH_MUC!$L$7&lt;&gt;"Có",O4614="Có"),OR(DANH_MUC!$L$8&lt;&gt;"Có",P4614="Có")),"Có","Không"))</f>
        <v/>
      </c>
      <c r="R4614" s="22">
        <f>IF($D4614="","",IF(COUNTIF($D$2:$D4614,$D4614)&gt;1,"Trùng",""))</f>
        <v/>
      </c>
      <c r="S4614" s="22">
        <f>IF($D4614="","",IF(AND(LEN($D4614)=10,LEFT($D4614,1)="0",ISNUMBER(--$D4614)),"Có","Không"))</f>
        <v/>
      </c>
      <c r="T4614" s="22">
        <f>IF($D4614="","",IF(AND($C4614&lt;&gt;"",$Q4614="Có",$R4614="",$S4614="Có",AND($L4614&lt;&gt;"",OR($L4614&lt;&gt;"Chưa xác định",DANH_MUC!$L$9="Có"))),"Có","Không"))</f>
        <v/>
      </c>
      <c r="U4614" s="22">
        <f>IF(OR($D4614="",$T4614="Có"),"",IF($C4614="","Thiếu họ tên; ","")&amp;IF($S4614&lt;&gt;"Có","SĐT sai định dạng; ","")&amp;IF($R4614="Trùng","Trùng SĐT; ","")&amp;IF($Q4614&lt;&gt;"Có","Thiếu đồng ý bắt buộc; ","")&amp;IF($L4614="","Thiếu/sai Mã REF; ",IF(AND($L4614="Chưa xác định",DANH_MUC!$L$9&lt;&gt;"Có"),"Nguồn chưa xác định; ","")))</f>
        <v/>
      </c>
      <c r="V4614" s="22">
        <f>IF(OR($D4614="",$R4614="Trùng"),"",IF(COUNTIF(ORDERS!$C$2:$C$4995,$D4614)&gt;0,"Có","Không"))</f>
        <v/>
      </c>
      <c r="W4614" s="22">
        <f>IF(OR($D4614="",$R4614="Trùng"),"",COUNTIFS(ORDERS!$C$2:$C$4995,$D4614,ORDERS!$L$2:$L$4995,"Đã chuyển khoản"))</f>
        <v/>
      </c>
      <c r="X4614" s="23">
        <f>IF(OR($D4614="",$R4614="Trùng"),"",SUMIFS(ORDERS!$J$2:$J$4995,ORDERS!$C$2:$C$4995,$D4614,ORDERS!$L$2:$L$4995,"Đã chuyển khoản"))</f>
        <v/>
      </c>
      <c r="Y4614" s="24" t="n"/>
    </row>
    <row r="4615" ht="14.25" customHeight="1" s="40">
      <c r="A4615" s="24" t="n"/>
      <c r="B4615" s="27" t="n"/>
      <c r="C4615" s="24" t="n"/>
      <c r="D4615" s="28" t="n"/>
      <c r="E4615" s="29" t="n"/>
      <c r="F4615" s="24" t="n"/>
      <c r="G4615" s="24" t="n"/>
      <c r="H4615" s="21">
        <f>IF(ISNUMBER($B4615),INT($B4615)-WEEKDAY($B4615,2)+1,"")</f>
        <v/>
      </c>
      <c r="I4615" s="24" t="n"/>
      <c r="J4615" s="22">
        <f t="array" ref="J4615">IF($D4615="","",IF($I4615="","(trống REF)",IFERROR(INDEX(MASTER_SOURCE!$B$2:$B$495,MATCH($I4615,MASTER_SOURCE!$A$2:$A$495,0)),"(REF không có trong MASTER_SOURCE)")))</f>
        <v/>
      </c>
      <c r="K4615" s="22">
        <f t="array" ref="K4615">IF($D4615="","",IFERROR(INDEX(MASTER_SOURCE!$C$2:$C$495,MATCH($I4615,MASTER_SOURCE!$A$2:$A$495,0)),""))</f>
        <v/>
      </c>
      <c r="L4615" s="22">
        <f t="array" ref="L4615">IF($D4615="","",IFERROR(INDEX(MASTER_SOURCE!$D$2:$D$495,MATCH($I4615,MASTER_SOURCE!$A$2:$A$495,0)),""))</f>
        <v/>
      </c>
      <c r="M4615" s="24" t="n"/>
      <c r="N4615" s="24" t="n"/>
      <c r="O4615" s="24" t="n"/>
      <c r="P4615" s="24" t="n"/>
      <c r="Q4615" s="22">
        <f>IF($D4615="","",IF(AND(OR(DANH_MUC!$L$5&lt;&gt;"Có",M4615="Có"),OR(DANH_MUC!$L$6&lt;&gt;"Có",N4615="Có"),OR(DANH_MUC!$L$7&lt;&gt;"Có",O4615="Có"),OR(DANH_MUC!$L$8&lt;&gt;"Có",P4615="Có")),"Có","Không"))</f>
        <v/>
      </c>
      <c r="R4615" s="22">
        <f>IF($D4615="","",IF(COUNTIF($D$2:$D4615,$D4615)&gt;1,"Trùng",""))</f>
        <v/>
      </c>
      <c r="S4615" s="22">
        <f>IF($D4615="","",IF(AND(LEN($D4615)=10,LEFT($D4615,1)="0",ISNUMBER(--$D4615)),"Có","Không"))</f>
        <v/>
      </c>
      <c r="T4615" s="22">
        <f>IF($D4615="","",IF(AND($C4615&lt;&gt;"",$Q4615="Có",$R4615="",$S4615="Có",AND($L4615&lt;&gt;"",OR($L4615&lt;&gt;"Chưa xác định",DANH_MUC!$L$9="Có"))),"Có","Không"))</f>
        <v/>
      </c>
      <c r="U4615" s="22">
        <f>IF(OR($D4615="",$T4615="Có"),"",IF($C4615="","Thiếu họ tên; ","")&amp;IF($S4615&lt;&gt;"Có","SĐT sai định dạng; ","")&amp;IF($R4615="Trùng","Trùng SĐT; ","")&amp;IF($Q4615&lt;&gt;"Có","Thiếu đồng ý bắt buộc; ","")&amp;IF($L4615="","Thiếu/sai Mã REF; ",IF(AND($L4615="Chưa xác định",DANH_MUC!$L$9&lt;&gt;"Có"),"Nguồn chưa xác định; ","")))</f>
        <v/>
      </c>
      <c r="V4615" s="22">
        <f>IF(OR($D4615="",$R4615="Trùng"),"",IF(COUNTIF(ORDERS!$C$2:$C$4995,$D4615)&gt;0,"Có","Không"))</f>
        <v/>
      </c>
      <c r="W4615" s="22">
        <f>IF(OR($D4615="",$R4615="Trùng"),"",COUNTIFS(ORDERS!$C$2:$C$4995,$D4615,ORDERS!$L$2:$L$4995,"Đã chuyển khoản"))</f>
        <v/>
      </c>
      <c r="X4615" s="23">
        <f>IF(OR($D4615="",$R4615="Trùng"),"",SUMIFS(ORDERS!$J$2:$J$4995,ORDERS!$C$2:$C$4995,$D4615,ORDERS!$L$2:$L$4995,"Đã chuyển khoản"))</f>
        <v/>
      </c>
      <c r="Y4615" s="24" t="n"/>
    </row>
    <row r="4616" ht="14.25" customHeight="1" s="40">
      <c r="A4616" s="24" t="n"/>
      <c r="B4616" s="27" t="n"/>
      <c r="C4616" s="24" t="n"/>
      <c r="D4616" s="28" t="n"/>
      <c r="E4616" s="29" t="n"/>
      <c r="F4616" s="24" t="n"/>
      <c r="G4616" s="24" t="n"/>
      <c r="H4616" s="21">
        <f>IF(ISNUMBER($B4616),INT($B4616)-WEEKDAY($B4616,2)+1,"")</f>
        <v/>
      </c>
      <c r="I4616" s="24" t="n"/>
      <c r="J4616" s="22">
        <f t="array" ref="J4616">IF($D4616="","",IF($I4616="","(trống REF)",IFERROR(INDEX(MASTER_SOURCE!$B$2:$B$495,MATCH($I4616,MASTER_SOURCE!$A$2:$A$495,0)),"(REF không có trong MASTER_SOURCE)")))</f>
        <v/>
      </c>
      <c r="K4616" s="22">
        <f t="array" ref="K4616">IF($D4616="","",IFERROR(INDEX(MASTER_SOURCE!$C$2:$C$495,MATCH($I4616,MASTER_SOURCE!$A$2:$A$495,0)),""))</f>
        <v/>
      </c>
      <c r="L4616" s="22">
        <f t="array" ref="L4616">IF($D4616="","",IFERROR(INDEX(MASTER_SOURCE!$D$2:$D$495,MATCH($I4616,MASTER_SOURCE!$A$2:$A$495,0)),""))</f>
        <v/>
      </c>
      <c r="M4616" s="24" t="n"/>
      <c r="N4616" s="24" t="n"/>
      <c r="O4616" s="24" t="n"/>
      <c r="P4616" s="24" t="n"/>
      <c r="Q4616" s="22">
        <f>IF($D4616="","",IF(AND(OR(DANH_MUC!$L$5&lt;&gt;"Có",M4616="Có"),OR(DANH_MUC!$L$6&lt;&gt;"Có",N4616="Có"),OR(DANH_MUC!$L$7&lt;&gt;"Có",O4616="Có"),OR(DANH_MUC!$L$8&lt;&gt;"Có",P4616="Có")),"Có","Không"))</f>
        <v/>
      </c>
      <c r="R4616" s="22">
        <f>IF($D4616="","",IF(COUNTIF($D$2:$D4616,$D4616)&gt;1,"Trùng",""))</f>
        <v/>
      </c>
      <c r="S4616" s="22">
        <f>IF($D4616="","",IF(AND(LEN($D4616)=10,LEFT($D4616,1)="0",ISNUMBER(--$D4616)),"Có","Không"))</f>
        <v/>
      </c>
      <c r="T4616" s="22">
        <f>IF($D4616="","",IF(AND($C4616&lt;&gt;"",$Q4616="Có",$R4616="",$S4616="Có",AND($L4616&lt;&gt;"",OR($L4616&lt;&gt;"Chưa xác định",DANH_MUC!$L$9="Có"))),"Có","Không"))</f>
        <v/>
      </c>
      <c r="U4616" s="22">
        <f>IF(OR($D4616="",$T4616="Có"),"",IF($C4616="","Thiếu họ tên; ","")&amp;IF($S4616&lt;&gt;"Có","SĐT sai định dạng; ","")&amp;IF($R4616="Trùng","Trùng SĐT; ","")&amp;IF($Q4616&lt;&gt;"Có","Thiếu đồng ý bắt buộc; ","")&amp;IF($L4616="","Thiếu/sai Mã REF; ",IF(AND($L4616="Chưa xác định",DANH_MUC!$L$9&lt;&gt;"Có"),"Nguồn chưa xác định; ","")))</f>
        <v/>
      </c>
      <c r="V4616" s="22">
        <f>IF(OR($D4616="",$R4616="Trùng"),"",IF(COUNTIF(ORDERS!$C$2:$C$4995,$D4616)&gt;0,"Có","Không"))</f>
        <v/>
      </c>
      <c r="W4616" s="22">
        <f>IF(OR($D4616="",$R4616="Trùng"),"",COUNTIFS(ORDERS!$C$2:$C$4995,$D4616,ORDERS!$L$2:$L$4995,"Đã chuyển khoản"))</f>
        <v/>
      </c>
      <c r="X4616" s="23">
        <f>IF(OR($D4616="",$R4616="Trùng"),"",SUMIFS(ORDERS!$J$2:$J$4995,ORDERS!$C$2:$C$4995,$D4616,ORDERS!$L$2:$L$4995,"Đã chuyển khoản"))</f>
        <v/>
      </c>
      <c r="Y4616" s="24" t="n"/>
    </row>
    <row r="4617" ht="14.25" customHeight="1" s="40">
      <c r="A4617" s="24" t="n"/>
      <c r="B4617" s="27" t="n"/>
      <c r="C4617" s="24" t="n"/>
      <c r="D4617" s="28" t="n"/>
      <c r="E4617" s="29" t="n"/>
      <c r="F4617" s="24" t="n"/>
      <c r="G4617" s="24" t="n"/>
      <c r="H4617" s="21">
        <f>IF(ISNUMBER($B4617),INT($B4617)-WEEKDAY($B4617,2)+1,"")</f>
        <v/>
      </c>
      <c r="I4617" s="24" t="n"/>
      <c r="J4617" s="22">
        <f t="array" ref="J4617">IF($D4617="","",IF($I4617="","(trống REF)",IFERROR(INDEX(MASTER_SOURCE!$B$2:$B$495,MATCH($I4617,MASTER_SOURCE!$A$2:$A$495,0)),"(REF không có trong MASTER_SOURCE)")))</f>
        <v/>
      </c>
      <c r="K4617" s="22">
        <f t="array" ref="K4617">IF($D4617="","",IFERROR(INDEX(MASTER_SOURCE!$C$2:$C$495,MATCH($I4617,MASTER_SOURCE!$A$2:$A$495,0)),""))</f>
        <v/>
      </c>
      <c r="L4617" s="22">
        <f t="array" ref="L4617">IF($D4617="","",IFERROR(INDEX(MASTER_SOURCE!$D$2:$D$495,MATCH($I4617,MASTER_SOURCE!$A$2:$A$495,0)),""))</f>
        <v/>
      </c>
      <c r="M4617" s="24" t="n"/>
      <c r="N4617" s="24" t="n"/>
      <c r="O4617" s="24" t="n"/>
      <c r="P4617" s="24" t="n"/>
      <c r="Q4617" s="22">
        <f>IF($D4617="","",IF(AND(OR(DANH_MUC!$L$5&lt;&gt;"Có",M4617="Có"),OR(DANH_MUC!$L$6&lt;&gt;"Có",N4617="Có"),OR(DANH_MUC!$L$7&lt;&gt;"Có",O4617="Có"),OR(DANH_MUC!$L$8&lt;&gt;"Có",P4617="Có")),"Có","Không"))</f>
        <v/>
      </c>
      <c r="R4617" s="22">
        <f>IF($D4617="","",IF(COUNTIF($D$2:$D4617,$D4617)&gt;1,"Trùng",""))</f>
        <v/>
      </c>
      <c r="S4617" s="22">
        <f>IF($D4617="","",IF(AND(LEN($D4617)=10,LEFT($D4617,1)="0",ISNUMBER(--$D4617)),"Có","Không"))</f>
        <v/>
      </c>
      <c r="T4617" s="22">
        <f>IF($D4617="","",IF(AND($C4617&lt;&gt;"",$Q4617="Có",$R4617="",$S4617="Có",AND($L4617&lt;&gt;"",OR($L4617&lt;&gt;"Chưa xác định",DANH_MUC!$L$9="Có"))),"Có","Không"))</f>
        <v/>
      </c>
      <c r="U4617" s="22">
        <f>IF(OR($D4617="",$T4617="Có"),"",IF($C4617="","Thiếu họ tên; ","")&amp;IF($S4617&lt;&gt;"Có","SĐT sai định dạng; ","")&amp;IF($R4617="Trùng","Trùng SĐT; ","")&amp;IF($Q4617&lt;&gt;"Có","Thiếu đồng ý bắt buộc; ","")&amp;IF($L4617="","Thiếu/sai Mã REF; ",IF(AND($L4617="Chưa xác định",DANH_MUC!$L$9&lt;&gt;"Có"),"Nguồn chưa xác định; ","")))</f>
        <v/>
      </c>
      <c r="V4617" s="22">
        <f>IF(OR($D4617="",$R4617="Trùng"),"",IF(COUNTIF(ORDERS!$C$2:$C$4995,$D4617)&gt;0,"Có","Không"))</f>
        <v/>
      </c>
      <c r="W4617" s="22">
        <f>IF(OR($D4617="",$R4617="Trùng"),"",COUNTIFS(ORDERS!$C$2:$C$4995,$D4617,ORDERS!$L$2:$L$4995,"Đã chuyển khoản"))</f>
        <v/>
      </c>
      <c r="X4617" s="23">
        <f>IF(OR($D4617="",$R4617="Trùng"),"",SUMIFS(ORDERS!$J$2:$J$4995,ORDERS!$C$2:$C$4995,$D4617,ORDERS!$L$2:$L$4995,"Đã chuyển khoản"))</f>
        <v/>
      </c>
      <c r="Y4617" s="24" t="n"/>
    </row>
    <row r="4618" ht="14.25" customHeight="1" s="40">
      <c r="A4618" s="24" t="n"/>
      <c r="B4618" s="27" t="n"/>
      <c r="C4618" s="24" t="n"/>
      <c r="D4618" s="28" t="n"/>
      <c r="E4618" s="29" t="n"/>
      <c r="F4618" s="24" t="n"/>
      <c r="G4618" s="24" t="n"/>
      <c r="H4618" s="21">
        <f>IF(ISNUMBER($B4618),INT($B4618)-WEEKDAY($B4618,2)+1,"")</f>
        <v/>
      </c>
      <c r="I4618" s="24" t="n"/>
      <c r="J4618" s="22">
        <f t="array" ref="J4618">IF($D4618="","",IF($I4618="","(trống REF)",IFERROR(INDEX(MASTER_SOURCE!$B$2:$B$495,MATCH($I4618,MASTER_SOURCE!$A$2:$A$495,0)),"(REF không có trong MASTER_SOURCE)")))</f>
        <v/>
      </c>
      <c r="K4618" s="22">
        <f t="array" ref="K4618">IF($D4618="","",IFERROR(INDEX(MASTER_SOURCE!$C$2:$C$495,MATCH($I4618,MASTER_SOURCE!$A$2:$A$495,0)),""))</f>
        <v/>
      </c>
      <c r="L4618" s="22">
        <f t="array" ref="L4618">IF($D4618="","",IFERROR(INDEX(MASTER_SOURCE!$D$2:$D$495,MATCH($I4618,MASTER_SOURCE!$A$2:$A$495,0)),""))</f>
        <v/>
      </c>
      <c r="M4618" s="24" t="n"/>
      <c r="N4618" s="24" t="n"/>
      <c r="O4618" s="24" t="n"/>
      <c r="P4618" s="24" t="n"/>
      <c r="Q4618" s="22">
        <f>IF($D4618="","",IF(AND(OR(DANH_MUC!$L$5&lt;&gt;"Có",M4618="Có"),OR(DANH_MUC!$L$6&lt;&gt;"Có",N4618="Có"),OR(DANH_MUC!$L$7&lt;&gt;"Có",O4618="Có"),OR(DANH_MUC!$L$8&lt;&gt;"Có",P4618="Có")),"Có","Không"))</f>
        <v/>
      </c>
      <c r="R4618" s="22">
        <f>IF($D4618="","",IF(COUNTIF($D$2:$D4618,$D4618)&gt;1,"Trùng",""))</f>
        <v/>
      </c>
      <c r="S4618" s="22">
        <f>IF($D4618="","",IF(AND(LEN($D4618)=10,LEFT($D4618,1)="0",ISNUMBER(--$D4618)),"Có","Không"))</f>
        <v/>
      </c>
      <c r="T4618" s="22">
        <f>IF($D4618="","",IF(AND($C4618&lt;&gt;"",$Q4618="Có",$R4618="",$S4618="Có",AND($L4618&lt;&gt;"",OR($L4618&lt;&gt;"Chưa xác định",DANH_MUC!$L$9="Có"))),"Có","Không"))</f>
        <v/>
      </c>
      <c r="U4618" s="22">
        <f>IF(OR($D4618="",$T4618="Có"),"",IF($C4618="","Thiếu họ tên; ","")&amp;IF($S4618&lt;&gt;"Có","SĐT sai định dạng; ","")&amp;IF($R4618="Trùng","Trùng SĐT; ","")&amp;IF($Q4618&lt;&gt;"Có","Thiếu đồng ý bắt buộc; ","")&amp;IF($L4618="","Thiếu/sai Mã REF; ",IF(AND($L4618="Chưa xác định",DANH_MUC!$L$9&lt;&gt;"Có"),"Nguồn chưa xác định; ","")))</f>
        <v/>
      </c>
      <c r="V4618" s="22">
        <f>IF(OR($D4618="",$R4618="Trùng"),"",IF(COUNTIF(ORDERS!$C$2:$C$4995,$D4618)&gt;0,"Có","Không"))</f>
        <v/>
      </c>
      <c r="W4618" s="22">
        <f>IF(OR($D4618="",$R4618="Trùng"),"",COUNTIFS(ORDERS!$C$2:$C$4995,$D4618,ORDERS!$L$2:$L$4995,"Đã chuyển khoản"))</f>
        <v/>
      </c>
      <c r="X4618" s="23">
        <f>IF(OR($D4618="",$R4618="Trùng"),"",SUMIFS(ORDERS!$J$2:$J$4995,ORDERS!$C$2:$C$4995,$D4618,ORDERS!$L$2:$L$4995,"Đã chuyển khoản"))</f>
        <v/>
      </c>
      <c r="Y4618" s="24" t="n"/>
    </row>
    <row r="4619" ht="14.25" customHeight="1" s="40">
      <c r="A4619" s="24" t="n"/>
      <c r="B4619" s="27" t="n"/>
      <c r="C4619" s="24" t="n"/>
      <c r="D4619" s="28" t="n"/>
      <c r="E4619" s="29" t="n"/>
      <c r="F4619" s="24" t="n"/>
      <c r="G4619" s="24" t="n"/>
      <c r="H4619" s="21">
        <f>IF(ISNUMBER($B4619),INT($B4619)-WEEKDAY($B4619,2)+1,"")</f>
        <v/>
      </c>
      <c r="I4619" s="24" t="n"/>
      <c r="J4619" s="22">
        <f t="array" ref="J4619">IF($D4619="","",IF($I4619="","(trống REF)",IFERROR(INDEX(MASTER_SOURCE!$B$2:$B$495,MATCH($I4619,MASTER_SOURCE!$A$2:$A$495,0)),"(REF không có trong MASTER_SOURCE)")))</f>
        <v/>
      </c>
      <c r="K4619" s="22">
        <f t="array" ref="K4619">IF($D4619="","",IFERROR(INDEX(MASTER_SOURCE!$C$2:$C$495,MATCH($I4619,MASTER_SOURCE!$A$2:$A$495,0)),""))</f>
        <v/>
      </c>
      <c r="L4619" s="22">
        <f t="array" ref="L4619">IF($D4619="","",IFERROR(INDEX(MASTER_SOURCE!$D$2:$D$495,MATCH($I4619,MASTER_SOURCE!$A$2:$A$495,0)),""))</f>
        <v/>
      </c>
      <c r="M4619" s="24" t="n"/>
      <c r="N4619" s="24" t="n"/>
      <c r="O4619" s="24" t="n"/>
      <c r="P4619" s="24" t="n"/>
      <c r="Q4619" s="22">
        <f>IF($D4619="","",IF(AND(OR(DANH_MUC!$L$5&lt;&gt;"Có",M4619="Có"),OR(DANH_MUC!$L$6&lt;&gt;"Có",N4619="Có"),OR(DANH_MUC!$L$7&lt;&gt;"Có",O4619="Có"),OR(DANH_MUC!$L$8&lt;&gt;"Có",P4619="Có")),"Có","Không"))</f>
        <v/>
      </c>
      <c r="R4619" s="22">
        <f>IF($D4619="","",IF(COUNTIF($D$2:$D4619,$D4619)&gt;1,"Trùng",""))</f>
        <v/>
      </c>
      <c r="S4619" s="22">
        <f>IF($D4619="","",IF(AND(LEN($D4619)=10,LEFT($D4619,1)="0",ISNUMBER(--$D4619)),"Có","Không"))</f>
        <v/>
      </c>
      <c r="T4619" s="22">
        <f>IF($D4619="","",IF(AND($C4619&lt;&gt;"",$Q4619="Có",$R4619="",$S4619="Có",AND($L4619&lt;&gt;"",OR($L4619&lt;&gt;"Chưa xác định",DANH_MUC!$L$9="Có"))),"Có","Không"))</f>
        <v/>
      </c>
      <c r="U4619" s="22">
        <f>IF(OR($D4619="",$T4619="Có"),"",IF($C4619="","Thiếu họ tên; ","")&amp;IF($S4619&lt;&gt;"Có","SĐT sai định dạng; ","")&amp;IF($R4619="Trùng","Trùng SĐT; ","")&amp;IF($Q4619&lt;&gt;"Có","Thiếu đồng ý bắt buộc; ","")&amp;IF($L4619="","Thiếu/sai Mã REF; ",IF(AND($L4619="Chưa xác định",DANH_MUC!$L$9&lt;&gt;"Có"),"Nguồn chưa xác định; ","")))</f>
        <v/>
      </c>
      <c r="V4619" s="22">
        <f>IF(OR($D4619="",$R4619="Trùng"),"",IF(COUNTIF(ORDERS!$C$2:$C$4995,$D4619)&gt;0,"Có","Không"))</f>
        <v/>
      </c>
      <c r="W4619" s="22">
        <f>IF(OR($D4619="",$R4619="Trùng"),"",COUNTIFS(ORDERS!$C$2:$C$4995,$D4619,ORDERS!$L$2:$L$4995,"Đã chuyển khoản"))</f>
        <v/>
      </c>
      <c r="X4619" s="23">
        <f>IF(OR($D4619="",$R4619="Trùng"),"",SUMIFS(ORDERS!$J$2:$J$4995,ORDERS!$C$2:$C$4995,$D4619,ORDERS!$L$2:$L$4995,"Đã chuyển khoản"))</f>
        <v/>
      </c>
      <c r="Y4619" s="24" t="n"/>
    </row>
    <row r="4620" ht="14.25" customHeight="1" s="40">
      <c r="A4620" s="24" t="n"/>
      <c r="B4620" s="27" t="n"/>
      <c r="C4620" s="24" t="n"/>
      <c r="D4620" s="28" t="n"/>
      <c r="E4620" s="29" t="n"/>
      <c r="F4620" s="24" t="n"/>
      <c r="G4620" s="24" t="n"/>
      <c r="H4620" s="21">
        <f>IF(ISNUMBER($B4620),INT($B4620)-WEEKDAY($B4620,2)+1,"")</f>
        <v/>
      </c>
      <c r="I4620" s="24" t="n"/>
      <c r="J4620" s="22">
        <f t="array" ref="J4620">IF($D4620="","",IF($I4620="","(trống REF)",IFERROR(INDEX(MASTER_SOURCE!$B$2:$B$495,MATCH($I4620,MASTER_SOURCE!$A$2:$A$495,0)),"(REF không có trong MASTER_SOURCE)")))</f>
        <v/>
      </c>
      <c r="K4620" s="22">
        <f t="array" ref="K4620">IF($D4620="","",IFERROR(INDEX(MASTER_SOURCE!$C$2:$C$495,MATCH($I4620,MASTER_SOURCE!$A$2:$A$495,0)),""))</f>
        <v/>
      </c>
      <c r="L4620" s="22">
        <f t="array" ref="L4620">IF($D4620="","",IFERROR(INDEX(MASTER_SOURCE!$D$2:$D$495,MATCH($I4620,MASTER_SOURCE!$A$2:$A$495,0)),""))</f>
        <v/>
      </c>
      <c r="M4620" s="24" t="n"/>
      <c r="N4620" s="24" t="n"/>
      <c r="O4620" s="24" t="n"/>
      <c r="P4620" s="24" t="n"/>
      <c r="Q4620" s="22">
        <f>IF($D4620="","",IF(AND(OR(DANH_MUC!$L$5&lt;&gt;"Có",M4620="Có"),OR(DANH_MUC!$L$6&lt;&gt;"Có",N4620="Có"),OR(DANH_MUC!$L$7&lt;&gt;"Có",O4620="Có"),OR(DANH_MUC!$L$8&lt;&gt;"Có",P4620="Có")),"Có","Không"))</f>
        <v/>
      </c>
      <c r="R4620" s="22">
        <f>IF($D4620="","",IF(COUNTIF($D$2:$D4620,$D4620)&gt;1,"Trùng",""))</f>
        <v/>
      </c>
      <c r="S4620" s="22">
        <f>IF($D4620="","",IF(AND(LEN($D4620)=10,LEFT($D4620,1)="0",ISNUMBER(--$D4620)),"Có","Không"))</f>
        <v/>
      </c>
      <c r="T4620" s="22">
        <f>IF($D4620="","",IF(AND($C4620&lt;&gt;"",$Q4620="Có",$R4620="",$S4620="Có",AND($L4620&lt;&gt;"",OR($L4620&lt;&gt;"Chưa xác định",DANH_MUC!$L$9="Có"))),"Có","Không"))</f>
        <v/>
      </c>
      <c r="U4620" s="22">
        <f>IF(OR($D4620="",$T4620="Có"),"",IF($C4620="","Thiếu họ tên; ","")&amp;IF($S4620&lt;&gt;"Có","SĐT sai định dạng; ","")&amp;IF($R4620="Trùng","Trùng SĐT; ","")&amp;IF($Q4620&lt;&gt;"Có","Thiếu đồng ý bắt buộc; ","")&amp;IF($L4620="","Thiếu/sai Mã REF; ",IF(AND($L4620="Chưa xác định",DANH_MUC!$L$9&lt;&gt;"Có"),"Nguồn chưa xác định; ","")))</f>
        <v/>
      </c>
      <c r="V4620" s="22">
        <f>IF(OR($D4620="",$R4620="Trùng"),"",IF(COUNTIF(ORDERS!$C$2:$C$4995,$D4620)&gt;0,"Có","Không"))</f>
        <v/>
      </c>
      <c r="W4620" s="22">
        <f>IF(OR($D4620="",$R4620="Trùng"),"",COUNTIFS(ORDERS!$C$2:$C$4995,$D4620,ORDERS!$L$2:$L$4995,"Đã chuyển khoản"))</f>
        <v/>
      </c>
      <c r="X4620" s="23">
        <f>IF(OR($D4620="",$R4620="Trùng"),"",SUMIFS(ORDERS!$J$2:$J$4995,ORDERS!$C$2:$C$4995,$D4620,ORDERS!$L$2:$L$4995,"Đã chuyển khoản"))</f>
        <v/>
      </c>
      <c r="Y4620" s="24" t="n"/>
    </row>
    <row r="4621" ht="14.25" customHeight="1" s="40">
      <c r="A4621" s="24" t="n"/>
      <c r="B4621" s="27" t="n"/>
      <c r="C4621" s="24" t="n"/>
      <c r="D4621" s="28" t="n"/>
      <c r="E4621" s="29" t="n"/>
      <c r="F4621" s="24" t="n"/>
      <c r="G4621" s="24" t="n"/>
      <c r="H4621" s="21">
        <f>IF(ISNUMBER($B4621),INT($B4621)-WEEKDAY($B4621,2)+1,"")</f>
        <v/>
      </c>
      <c r="I4621" s="24" t="n"/>
      <c r="J4621" s="22">
        <f t="array" ref="J4621">IF($D4621="","",IF($I4621="","(trống REF)",IFERROR(INDEX(MASTER_SOURCE!$B$2:$B$495,MATCH($I4621,MASTER_SOURCE!$A$2:$A$495,0)),"(REF không có trong MASTER_SOURCE)")))</f>
        <v/>
      </c>
      <c r="K4621" s="22">
        <f t="array" ref="K4621">IF($D4621="","",IFERROR(INDEX(MASTER_SOURCE!$C$2:$C$495,MATCH($I4621,MASTER_SOURCE!$A$2:$A$495,0)),""))</f>
        <v/>
      </c>
      <c r="L4621" s="22">
        <f t="array" ref="L4621">IF($D4621="","",IFERROR(INDEX(MASTER_SOURCE!$D$2:$D$495,MATCH($I4621,MASTER_SOURCE!$A$2:$A$495,0)),""))</f>
        <v/>
      </c>
      <c r="M4621" s="24" t="n"/>
      <c r="N4621" s="24" t="n"/>
      <c r="O4621" s="24" t="n"/>
      <c r="P4621" s="24" t="n"/>
      <c r="Q4621" s="22">
        <f>IF($D4621="","",IF(AND(OR(DANH_MUC!$L$5&lt;&gt;"Có",M4621="Có"),OR(DANH_MUC!$L$6&lt;&gt;"Có",N4621="Có"),OR(DANH_MUC!$L$7&lt;&gt;"Có",O4621="Có"),OR(DANH_MUC!$L$8&lt;&gt;"Có",P4621="Có")),"Có","Không"))</f>
        <v/>
      </c>
      <c r="R4621" s="22">
        <f>IF($D4621="","",IF(COUNTIF($D$2:$D4621,$D4621)&gt;1,"Trùng",""))</f>
        <v/>
      </c>
      <c r="S4621" s="22">
        <f>IF($D4621="","",IF(AND(LEN($D4621)=10,LEFT($D4621,1)="0",ISNUMBER(--$D4621)),"Có","Không"))</f>
        <v/>
      </c>
      <c r="T4621" s="22">
        <f>IF($D4621="","",IF(AND($C4621&lt;&gt;"",$Q4621="Có",$R4621="",$S4621="Có",AND($L4621&lt;&gt;"",OR($L4621&lt;&gt;"Chưa xác định",DANH_MUC!$L$9="Có"))),"Có","Không"))</f>
        <v/>
      </c>
      <c r="U4621" s="22">
        <f>IF(OR($D4621="",$T4621="Có"),"",IF($C4621="","Thiếu họ tên; ","")&amp;IF($S4621&lt;&gt;"Có","SĐT sai định dạng; ","")&amp;IF($R4621="Trùng","Trùng SĐT; ","")&amp;IF($Q4621&lt;&gt;"Có","Thiếu đồng ý bắt buộc; ","")&amp;IF($L4621="","Thiếu/sai Mã REF; ",IF(AND($L4621="Chưa xác định",DANH_MUC!$L$9&lt;&gt;"Có"),"Nguồn chưa xác định; ","")))</f>
        <v/>
      </c>
      <c r="V4621" s="22">
        <f>IF(OR($D4621="",$R4621="Trùng"),"",IF(COUNTIF(ORDERS!$C$2:$C$4995,$D4621)&gt;0,"Có","Không"))</f>
        <v/>
      </c>
      <c r="W4621" s="22">
        <f>IF(OR($D4621="",$R4621="Trùng"),"",COUNTIFS(ORDERS!$C$2:$C$4995,$D4621,ORDERS!$L$2:$L$4995,"Đã chuyển khoản"))</f>
        <v/>
      </c>
      <c r="X4621" s="23">
        <f>IF(OR($D4621="",$R4621="Trùng"),"",SUMIFS(ORDERS!$J$2:$J$4995,ORDERS!$C$2:$C$4995,$D4621,ORDERS!$L$2:$L$4995,"Đã chuyển khoản"))</f>
        <v/>
      </c>
      <c r="Y4621" s="24" t="n"/>
    </row>
    <row r="4622" ht="14.25" customHeight="1" s="40">
      <c r="A4622" s="24" t="n"/>
      <c r="B4622" s="27" t="n"/>
      <c r="C4622" s="24" t="n"/>
      <c r="D4622" s="28" t="n"/>
      <c r="E4622" s="29" t="n"/>
      <c r="F4622" s="24" t="n"/>
      <c r="G4622" s="24" t="n"/>
      <c r="H4622" s="21">
        <f>IF(ISNUMBER($B4622),INT($B4622)-WEEKDAY($B4622,2)+1,"")</f>
        <v/>
      </c>
      <c r="I4622" s="24" t="n"/>
      <c r="J4622" s="22">
        <f t="array" ref="J4622">IF($D4622="","",IF($I4622="","(trống REF)",IFERROR(INDEX(MASTER_SOURCE!$B$2:$B$495,MATCH($I4622,MASTER_SOURCE!$A$2:$A$495,0)),"(REF không có trong MASTER_SOURCE)")))</f>
        <v/>
      </c>
      <c r="K4622" s="22">
        <f t="array" ref="K4622">IF($D4622="","",IFERROR(INDEX(MASTER_SOURCE!$C$2:$C$495,MATCH($I4622,MASTER_SOURCE!$A$2:$A$495,0)),""))</f>
        <v/>
      </c>
      <c r="L4622" s="22">
        <f t="array" ref="L4622">IF($D4622="","",IFERROR(INDEX(MASTER_SOURCE!$D$2:$D$495,MATCH($I4622,MASTER_SOURCE!$A$2:$A$495,0)),""))</f>
        <v/>
      </c>
      <c r="M4622" s="24" t="n"/>
      <c r="N4622" s="24" t="n"/>
      <c r="O4622" s="24" t="n"/>
      <c r="P4622" s="24" t="n"/>
      <c r="Q4622" s="22">
        <f>IF($D4622="","",IF(AND(OR(DANH_MUC!$L$5&lt;&gt;"Có",M4622="Có"),OR(DANH_MUC!$L$6&lt;&gt;"Có",N4622="Có"),OR(DANH_MUC!$L$7&lt;&gt;"Có",O4622="Có"),OR(DANH_MUC!$L$8&lt;&gt;"Có",P4622="Có")),"Có","Không"))</f>
        <v/>
      </c>
      <c r="R4622" s="22">
        <f>IF($D4622="","",IF(COUNTIF($D$2:$D4622,$D4622)&gt;1,"Trùng",""))</f>
        <v/>
      </c>
      <c r="S4622" s="22">
        <f>IF($D4622="","",IF(AND(LEN($D4622)=10,LEFT($D4622,1)="0",ISNUMBER(--$D4622)),"Có","Không"))</f>
        <v/>
      </c>
      <c r="T4622" s="22">
        <f>IF($D4622="","",IF(AND($C4622&lt;&gt;"",$Q4622="Có",$R4622="",$S4622="Có",AND($L4622&lt;&gt;"",OR($L4622&lt;&gt;"Chưa xác định",DANH_MUC!$L$9="Có"))),"Có","Không"))</f>
        <v/>
      </c>
      <c r="U4622" s="22">
        <f>IF(OR($D4622="",$T4622="Có"),"",IF($C4622="","Thiếu họ tên; ","")&amp;IF($S4622&lt;&gt;"Có","SĐT sai định dạng; ","")&amp;IF($R4622="Trùng","Trùng SĐT; ","")&amp;IF($Q4622&lt;&gt;"Có","Thiếu đồng ý bắt buộc; ","")&amp;IF($L4622="","Thiếu/sai Mã REF; ",IF(AND($L4622="Chưa xác định",DANH_MUC!$L$9&lt;&gt;"Có"),"Nguồn chưa xác định; ","")))</f>
        <v/>
      </c>
      <c r="V4622" s="22">
        <f>IF(OR($D4622="",$R4622="Trùng"),"",IF(COUNTIF(ORDERS!$C$2:$C$4995,$D4622)&gt;0,"Có","Không"))</f>
        <v/>
      </c>
      <c r="W4622" s="22">
        <f>IF(OR($D4622="",$R4622="Trùng"),"",COUNTIFS(ORDERS!$C$2:$C$4995,$D4622,ORDERS!$L$2:$L$4995,"Đã chuyển khoản"))</f>
        <v/>
      </c>
      <c r="X4622" s="23">
        <f>IF(OR($D4622="",$R4622="Trùng"),"",SUMIFS(ORDERS!$J$2:$J$4995,ORDERS!$C$2:$C$4995,$D4622,ORDERS!$L$2:$L$4995,"Đã chuyển khoản"))</f>
        <v/>
      </c>
      <c r="Y4622" s="24" t="n"/>
    </row>
    <row r="4623" ht="14.25" customHeight="1" s="40">
      <c r="A4623" s="24" t="n"/>
      <c r="B4623" s="27" t="n"/>
      <c r="C4623" s="24" t="n"/>
      <c r="D4623" s="28" t="n"/>
      <c r="E4623" s="29" t="n"/>
      <c r="F4623" s="24" t="n"/>
      <c r="G4623" s="24" t="n"/>
      <c r="H4623" s="21">
        <f>IF(ISNUMBER($B4623),INT($B4623)-WEEKDAY($B4623,2)+1,"")</f>
        <v/>
      </c>
      <c r="I4623" s="24" t="n"/>
      <c r="J4623" s="22">
        <f t="array" ref="J4623">IF($D4623="","",IF($I4623="","(trống REF)",IFERROR(INDEX(MASTER_SOURCE!$B$2:$B$495,MATCH($I4623,MASTER_SOURCE!$A$2:$A$495,0)),"(REF không có trong MASTER_SOURCE)")))</f>
        <v/>
      </c>
      <c r="K4623" s="22">
        <f t="array" ref="K4623">IF($D4623="","",IFERROR(INDEX(MASTER_SOURCE!$C$2:$C$495,MATCH($I4623,MASTER_SOURCE!$A$2:$A$495,0)),""))</f>
        <v/>
      </c>
      <c r="L4623" s="22">
        <f t="array" ref="L4623">IF($D4623="","",IFERROR(INDEX(MASTER_SOURCE!$D$2:$D$495,MATCH($I4623,MASTER_SOURCE!$A$2:$A$495,0)),""))</f>
        <v/>
      </c>
      <c r="M4623" s="24" t="n"/>
      <c r="N4623" s="24" t="n"/>
      <c r="O4623" s="24" t="n"/>
      <c r="P4623" s="24" t="n"/>
      <c r="Q4623" s="22">
        <f>IF($D4623="","",IF(AND(OR(DANH_MUC!$L$5&lt;&gt;"Có",M4623="Có"),OR(DANH_MUC!$L$6&lt;&gt;"Có",N4623="Có"),OR(DANH_MUC!$L$7&lt;&gt;"Có",O4623="Có"),OR(DANH_MUC!$L$8&lt;&gt;"Có",P4623="Có")),"Có","Không"))</f>
        <v/>
      </c>
      <c r="R4623" s="22">
        <f>IF($D4623="","",IF(COUNTIF($D$2:$D4623,$D4623)&gt;1,"Trùng",""))</f>
        <v/>
      </c>
      <c r="S4623" s="22">
        <f>IF($D4623="","",IF(AND(LEN($D4623)=10,LEFT($D4623,1)="0",ISNUMBER(--$D4623)),"Có","Không"))</f>
        <v/>
      </c>
      <c r="T4623" s="22">
        <f>IF($D4623="","",IF(AND($C4623&lt;&gt;"",$Q4623="Có",$R4623="",$S4623="Có",AND($L4623&lt;&gt;"",OR($L4623&lt;&gt;"Chưa xác định",DANH_MUC!$L$9="Có"))),"Có","Không"))</f>
        <v/>
      </c>
      <c r="U4623" s="22">
        <f>IF(OR($D4623="",$T4623="Có"),"",IF($C4623="","Thiếu họ tên; ","")&amp;IF($S4623&lt;&gt;"Có","SĐT sai định dạng; ","")&amp;IF($R4623="Trùng","Trùng SĐT; ","")&amp;IF($Q4623&lt;&gt;"Có","Thiếu đồng ý bắt buộc; ","")&amp;IF($L4623="","Thiếu/sai Mã REF; ",IF(AND($L4623="Chưa xác định",DANH_MUC!$L$9&lt;&gt;"Có"),"Nguồn chưa xác định; ","")))</f>
        <v/>
      </c>
      <c r="V4623" s="22">
        <f>IF(OR($D4623="",$R4623="Trùng"),"",IF(COUNTIF(ORDERS!$C$2:$C$4995,$D4623)&gt;0,"Có","Không"))</f>
        <v/>
      </c>
      <c r="W4623" s="22">
        <f>IF(OR($D4623="",$R4623="Trùng"),"",COUNTIFS(ORDERS!$C$2:$C$4995,$D4623,ORDERS!$L$2:$L$4995,"Đã chuyển khoản"))</f>
        <v/>
      </c>
      <c r="X4623" s="23">
        <f>IF(OR($D4623="",$R4623="Trùng"),"",SUMIFS(ORDERS!$J$2:$J$4995,ORDERS!$C$2:$C$4995,$D4623,ORDERS!$L$2:$L$4995,"Đã chuyển khoản"))</f>
        <v/>
      </c>
      <c r="Y4623" s="24" t="n"/>
    </row>
    <row r="4624" ht="14.25" customHeight="1" s="40">
      <c r="A4624" s="24" t="n"/>
      <c r="B4624" s="27" t="n"/>
      <c r="C4624" s="24" t="n"/>
      <c r="D4624" s="28" t="n"/>
      <c r="E4624" s="29" t="n"/>
      <c r="F4624" s="24" t="n"/>
      <c r="G4624" s="24" t="n"/>
      <c r="H4624" s="21">
        <f>IF(ISNUMBER($B4624),INT($B4624)-WEEKDAY($B4624,2)+1,"")</f>
        <v/>
      </c>
      <c r="I4624" s="24" t="n"/>
      <c r="J4624" s="22">
        <f t="array" ref="J4624">IF($D4624="","",IF($I4624="","(trống REF)",IFERROR(INDEX(MASTER_SOURCE!$B$2:$B$495,MATCH($I4624,MASTER_SOURCE!$A$2:$A$495,0)),"(REF không có trong MASTER_SOURCE)")))</f>
        <v/>
      </c>
      <c r="K4624" s="22">
        <f t="array" ref="K4624">IF($D4624="","",IFERROR(INDEX(MASTER_SOURCE!$C$2:$C$495,MATCH($I4624,MASTER_SOURCE!$A$2:$A$495,0)),""))</f>
        <v/>
      </c>
      <c r="L4624" s="22">
        <f t="array" ref="L4624">IF($D4624="","",IFERROR(INDEX(MASTER_SOURCE!$D$2:$D$495,MATCH($I4624,MASTER_SOURCE!$A$2:$A$495,0)),""))</f>
        <v/>
      </c>
      <c r="M4624" s="24" t="n"/>
      <c r="N4624" s="24" t="n"/>
      <c r="O4624" s="24" t="n"/>
      <c r="P4624" s="24" t="n"/>
      <c r="Q4624" s="22">
        <f>IF($D4624="","",IF(AND(OR(DANH_MUC!$L$5&lt;&gt;"Có",M4624="Có"),OR(DANH_MUC!$L$6&lt;&gt;"Có",N4624="Có"),OR(DANH_MUC!$L$7&lt;&gt;"Có",O4624="Có"),OR(DANH_MUC!$L$8&lt;&gt;"Có",P4624="Có")),"Có","Không"))</f>
        <v/>
      </c>
      <c r="R4624" s="22">
        <f>IF($D4624="","",IF(COUNTIF($D$2:$D4624,$D4624)&gt;1,"Trùng",""))</f>
        <v/>
      </c>
      <c r="S4624" s="22">
        <f>IF($D4624="","",IF(AND(LEN($D4624)=10,LEFT($D4624,1)="0",ISNUMBER(--$D4624)),"Có","Không"))</f>
        <v/>
      </c>
      <c r="T4624" s="22">
        <f>IF($D4624="","",IF(AND($C4624&lt;&gt;"",$Q4624="Có",$R4624="",$S4624="Có",AND($L4624&lt;&gt;"",OR($L4624&lt;&gt;"Chưa xác định",DANH_MUC!$L$9="Có"))),"Có","Không"))</f>
        <v/>
      </c>
      <c r="U4624" s="22">
        <f>IF(OR($D4624="",$T4624="Có"),"",IF($C4624="","Thiếu họ tên; ","")&amp;IF($S4624&lt;&gt;"Có","SĐT sai định dạng; ","")&amp;IF($R4624="Trùng","Trùng SĐT; ","")&amp;IF($Q4624&lt;&gt;"Có","Thiếu đồng ý bắt buộc; ","")&amp;IF($L4624="","Thiếu/sai Mã REF; ",IF(AND($L4624="Chưa xác định",DANH_MUC!$L$9&lt;&gt;"Có"),"Nguồn chưa xác định; ","")))</f>
        <v/>
      </c>
      <c r="V4624" s="22">
        <f>IF(OR($D4624="",$R4624="Trùng"),"",IF(COUNTIF(ORDERS!$C$2:$C$4995,$D4624)&gt;0,"Có","Không"))</f>
        <v/>
      </c>
      <c r="W4624" s="22">
        <f>IF(OR($D4624="",$R4624="Trùng"),"",COUNTIFS(ORDERS!$C$2:$C$4995,$D4624,ORDERS!$L$2:$L$4995,"Đã chuyển khoản"))</f>
        <v/>
      </c>
      <c r="X4624" s="23">
        <f>IF(OR($D4624="",$R4624="Trùng"),"",SUMIFS(ORDERS!$J$2:$J$4995,ORDERS!$C$2:$C$4995,$D4624,ORDERS!$L$2:$L$4995,"Đã chuyển khoản"))</f>
        <v/>
      </c>
      <c r="Y4624" s="24" t="n"/>
    </row>
    <row r="4625" ht="14.25" customHeight="1" s="40">
      <c r="A4625" s="24" t="n"/>
      <c r="B4625" s="27" t="n"/>
      <c r="C4625" s="24" t="n"/>
      <c r="D4625" s="28" t="n"/>
      <c r="E4625" s="29" t="n"/>
      <c r="F4625" s="24" t="n"/>
      <c r="G4625" s="24" t="n"/>
      <c r="H4625" s="21">
        <f>IF(ISNUMBER($B4625),INT($B4625)-WEEKDAY($B4625,2)+1,"")</f>
        <v/>
      </c>
      <c r="I4625" s="24" t="n"/>
      <c r="J4625" s="22">
        <f t="array" ref="J4625">IF($D4625="","",IF($I4625="","(trống REF)",IFERROR(INDEX(MASTER_SOURCE!$B$2:$B$495,MATCH($I4625,MASTER_SOURCE!$A$2:$A$495,0)),"(REF không có trong MASTER_SOURCE)")))</f>
        <v/>
      </c>
      <c r="K4625" s="22">
        <f t="array" ref="K4625">IF($D4625="","",IFERROR(INDEX(MASTER_SOURCE!$C$2:$C$495,MATCH($I4625,MASTER_SOURCE!$A$2:$A$495,0)),""))</f>
        <v/>
      </c>
      <c r="L4625" s="22">
        <f t="array" ref="L4625">IF($D4625="","",IFERROR(INDEX(MASTER_SOURCE!$D$2:$D$495,MATCH($I4625,MASTER_SOURCE!$A$2:$A$495,0)),""))</f>
        <v/>
      </c>
      <c r="M4625" s="24" t="n"/>
      <c r="N4625" s="24" t="n"/>
      <c r="O4625" s="24" t="n"/>
      <c r="P4625" s="24" t="n"/>
      <c r="Q4625" s="22">
        <f>IF($D4625="","",IF(AND(OR(DANH_MUC!$L$5&lt;&gt;"Có",M4625="Có"),OR(DANH_MUC!$L$6&lt;&gt;"Có",N4625="Có"),OR(DANH_MUC!$L$7&lt;&gt;"Có",O4625="Có"),OR(DANH_MUC!$L$8&lt;&gt;"Có",P4625="Có")),"Có","Không"))</f>
        <v/>
      </c>
      <c r="R4625" s="22">
        <f>IF($D4625="","",IF(COUNTIF($D$2:$D4625,$D4625)&gt;1,"Trùng",""))</f>
        <v/>
      </c>
      <c r="S4625" s="22">
        <f>IF($D4625="","",IF(AND(LEN($D4625)=10,LEFT($D4625,1)="0",ISNUMBER(--$D4625)),"Có","Không"))</f>
        <v/>
      </c>
      <c r="T4625" s="22">
        <f>IF($D4625="","",IF(AND($C4625&lt;&gt;"",$Q4625="Có",$R4625="",$S4625="Có",AND($L4625&lt;&gt;"",OR($L4625&lt;&gt;"Chưa xác định",DANH_MUC!$L$9="Có"))),"Có","Không"))</f>
        <v/>
      </c>
      <c r="U4625" s="22">
        <f>IF(OR($D4625="",$T4625="Có"),"",IF($C4625="","Thiếu họ tên; ","")&amp;IF($S4625&lt;&gt;"Có","SĐT sai định dạng; ","")&amp;IF($R4625="Trùng","Trùng SĐT; ","")&amp;IF($Q4625&lt;&gt;"Có","Thiếu đồng ý bắt buộc; ","")&amp;IF($L4625="","Thiếu/sai Mã REF; ",IF(AND($L4625="Chưa xác định",DANH_MUC!$L$9&lt;&gt;"Có"),"Nguồn chưa xác định; ","")))</f>
        <v/>
      </c>
      <c r="V4625" s="22">
        <f>IF(OR($D4625="",$R4625="Trùng"),"",IF(COUNTIF(ORDERS!$C$2:$C$4995,$D4625)&gt;0,"Có","Không"))</f>
        <v/>
      </c>
      <c r="W4625" s="22">
        <f>IF(OR($D4625="",$R4625="Trùng"),"",COUNTIFS(ORDERS!$C$2:$C$4995,$D4625,ORDERS!$L$2:$L$4995,"Đã chuyển khoản"))</f>
        <v/>
      </c>
      <c r="X4625" s="23">
        <f>IF(OR($D4625="",$R4625="Trùng"),"",SUMIFS(ORDERS!$J$2:$J$4995,ORDERS!$C$2:$C$4995,$D4625,ORDERS!$L$2:$L$4995,"Đã chuyển khoản"))</f>
        <v/>
      </c>
      <c r="Y4625" s="24" t="n"/>
    </row>
    <row r="4626" ht="14.25" customHeight="1" s="40">
      <c r="A4626" s="24" t="n"/>
      <c r="B4626" s="27" t="n"/>
      <c r="C4626" s="24" t="n"/>
      <c r="D4626" s="28" t="n"/>
      <c r="E4626" s="29" t="n"/>
      <c r="F4626" s="24" t="n"/>
      <c r="G4626" s="24" t="n"/>
      <c r="H4626" s="21">
        <f>IF(ISNUMBER($B4626),INT($B4626)-WEEKDAY($B4626,2)+1,"")</f>
        <v/>
      </c>
      <c r="I4626" s="24" t="n"/>
      <c r="J4626" s="22">
        <f t="array" ref="J4626">IF($D4626="","",IF($I4626="","(trống REF)",IFERROR(INDEX(MASTER_SOURCE!$B$2:$B$495,MATCH($I4626,MASTER_SOURCE!$A$2:$A$495,0)),"(REF không có trong MASTER_SOURCE)")))</f>
        <v/>
      </c>
      <c r="K4626" s="22">
        <f t="array" ref="K4626">IF($D4626="","",IFERROR(INDEX(MASTER_SOURCE!$C$2:$C$495,MATCH($I4626,MASTER_SOURCE!$A$2:$A$495,0)),""))</f>
        <v/>
      </c>
      <c r="L4626" s="22">
        <f t="array" ref="L4626">IF($D4626="","",IFERROR(INDEX(MASTER_SOURCE!$D$2:$D$495,MATCH($I4626,MASTER_SOURCE!$A$2:$A$495,0)),""))</f>
        <v/>
      </c>
      <c r="M4626" s="24" t="n"/>
      <c r="N4626" s="24" t="n"/>
      <c r="O4626" s="24" t="n"/>
      <c r="P4626" s="24" t="n"/>
      <c r="Q4626" s="22">
        <f>IF($D4626="","",IF(AND(OR(DANH_MUC!$L$5&lt;&gt;"Có",M4626="Có"),OR(DANH_MUC!$L$6&lt;&gt;"Có",N4626="Có"),OR(DANH_MUC!$L$7&lt;&gt;"Có",O4626="Có"),OR(DANH_MUC!$L$8&lt;&gt;"Có",P4626="Có")),"Có","Không"))</f>
        <v/>
      </c>
      <c r="R4626" s="22">
        <f>IF($D4626="","",IF(COUNTIF($D$2:$D4626,$D4626)&gt;1,"Trùng",""))</f>
        <v/>
      </c>
      <c r="S4626" s="22">
        <f>IF($D4626="","",IF(AND(LEN($D4626)=10,LEFT($D4626,1)="0",ISNUMBER(--$D4626)),"Có","Không"))</f>
        <v/>
      </c>
      <c r="T4626" s="22">
        <f>IF($D4626="","",IF(AND($C4626&lt;&gt;"",$Q4626="Có",$R4626="",$S4626="Có",AND($L4626&lt;&gt;"",OR($L4626&lt;&gt;"Chưa xác định",DANH_MUC!$L$9="Có"))),"Có","Không"))</f>
        <v/>
      </c>
      <c r="U4626" s="22">
        <f>IF(OR($D4626="",$T4626="Có"),"",IF($C4626="","Thiếu họ tên; ","")&amp;IF($S4626&lt;&gt;"Có","SĐT sai định dạng; ","")&amp;IF($R4626="Trùng","Trùng SĐT; ","")&amp;IF($Q4626&lt;&gt;"Có","Thiếu đồng ý bắt buộc; ","")&amp;IF($L4626="","Thiếu/sai Mã REF; ",IF(AND($L4626="Chưa xác định",DANH_MUC!$L$9&lt;&gt;"Có"),"Nguồn chưa xác định; ","")))</f>
        <v/>
      </c>
      <c r="V4626" s="22">
        <f>IF(OR($D4626="",$R4626="Trùng"),"",IF(COUNTIF(ORDERS!$C$2:$C$4995,$D4626)&gt;0,"Có","Không"))</f>
        <v/>
      </c>
      <c r="W4626" s="22">
        <f>IF(OR($D4626="",$R4626="Trùng"),"",COUNTIFS(ORDERS!$C$2:$C$4995,$D4626,ORDERS!$L$2:$L$4995,"Đã chuyển khoản"))</f>
        <v/>
      </c>
      <c r="X4626" s="23">
        <f>IF(OR($D4626="",$R4626="Trùng"),"",SUMIFS(ORDERS!$J$2:$J$4995,ORDERS!$C$2:$C$4995,$D4626,ORDERS!$L$2:$L$4995,"Đã chuyển khoản"))</f>
        <v/>
      </c>
      <c r="Y4626" s="24" t="n"/>
    </row>
    <row r="4627" ht="14.25" customHeight="1" s="40">
      <c r="A4627" s="24" t="n"/>
      <c r="B4627" s="27" t="n"/>
      <c r="C4627" s="24" t="n"/>
      <c r="D4627" s="28" t="n"/>
      <c r="E4627" s="29" t="n"/>
      <c r="F4627" s="24" t="n"/>
      <c r="G4627" s="24" t="n"/>
      <c r="H4627" s="21">
        <f>IF(ISNUMBER($B4627),INT($B4627)-WEEKDAY($B4627,2)+1,"")</f>
        <v/>
      </c>
      <c r="I4627" s="24" t="n"/>
      <c r="J4627" s="22">
        <f t="array" ref="J4627">IF($D4627="","",IF($I4627="","(trống REF)",IFERROR(INDEX(MASTER_SOURCE!$B$2:$B$495,MATCH($I4627,MASTER_SOURCE!$A$2:$A$495,0)),"(REF không có trong MASTER_SOURCE)")))</f>
        <v/>
      </c>
      <c r="K4627" s="22">
        <f t="array" ref="K4627">IF($D4627="","",IFERROR(INDEX(MASTER_SOURCE!$C$2:$C$495,MATCH($I4627,MASTER_SOURCE!$A$2:$A$495,0)),""))</f>
        <v/>
      </c>
      <c r="L4627" s="22">
        <f t="array" ref="L4627">IF($D4627="","",IFERROR(INDEX(MASTER_SOURCE!$D$2:$D$495,MATCH($I4627,MASTER_SOURCE!$A$2:$A$495,0)),""))</f>
        <v/>
      </c>
      <c r="M4627" s="24" t="n"/>
      <c r="N4627" s="24" t="n"/>
      <c r="O4627" s="24" t="n"/>
      <c r="P4627" s="24" t="n"/>
      <c r="Q4627" s="22">
        <f>IF($D4627="","",IF(AND(OR(DANH_MUC!$L$5&lt;&gt;"Có",M4627="Có"),OR(DANH_MUC!$L$6&lt;&gt;"Có",N4627="Có"),OR(DANH_MUC!$L$7&lt;&gt;"Có",O4627="Có"),OR(DANH_MUC!$L$8&lt;&gt;"Có",P4627="Có")),"Có","Không"))</f>
        <v/>
      </c>
      <c r="R4627" s="22">
        <f>IF($D4627="","",IF(COUNTIF($D$2:$D4627,$D4627)&gt;1,"Trùng",""))</f>
        <v/>
      </c>
      <c r="S4627" s="22">
        <f>IF($D4627="","",IF(AND(LEN($D4627)=10,LEFT($D4627,1)="0",ISNUMBER(--$D4627)),"Có","Không"))</f>
        <v/>
      </c>
      <c r="T4627" s="22">
        <f>IF($D4627="","",IF(AND($C4627&lt;&gt;"",$Q4627="Có",$R4627="",$S4627="Có",AND($L4627&lt;&gt;"",OR($L4627&lt;&gt;"Chưa xác định",DANH_MUC!$L$9="Có"))),"Có","Không"))</f>
        <v/>
      </c>
      <c r="U4627" s="22">
        <f>IF(OR($D4627="",$T4627="Có"),"",IF($C4627="","Thiếu họ tên; ","")&amp;IF($S4627&lt;&gt;"Có","SĐT sai định dạng; ","")&amp;IF($R4627="Trùng","Trùng SĐT; ","")&amp;IF($Q4627&lt;&gt;"Có","Thiếu đồng ý bắt buộc; ","")&amp;IF($L4627="","Thiếu/sai Mã REF; ",IF(AND($L4627="Chưa xác định",DANH_MUC!$L$9&lt;&gt;"Có"),"Nguồn chưa xác định; ","")))</f>
        <v/>
      </c>
      <c r="V4627" s="22">
        <f>IF(OR($D4627="",$R4627="Trùng"),"",IF(COUNTIF(ORDERS!$C$2:$C$4995,$D4627)&gt;0,"Có","Không"))</f>
        <v/>
      </c>
      <c r="W4627" s="22">
        <f>IF(OR($D4627="",$R4627="Trùng"),"",COUNTIFS(ORDERS!$C$2:$C$4995,$D4627,ORDERS!$L$2:$L$4995,"Đã chuyển khoản"))</f>
        <v/>
      </c>
      <c r="X4627" s="23">
        <f>IF(OR($D4627="",$R4627="Trùng"),"",SUMIFS(ORDERS!$J$2:$J$4995,ORDERS!$C$2:$C$4995,$D4627,ORDERS!$L$2:$L$4995,"Đã chuyển khoản"))</f>
        <v/>
      </c>
      <c r="Y4627" s="24" t="n"/>
    </row>
    <row r="4628" ht="14.25" customHeight="1" s="40">
      <c r="A4628" s="24" t="n"/>
      <c r="B4628" s="27" t="n"/>
      <c r="C4628" s="24" t="n"/>
      <c r="D4628" s="28" t="n"/>
      <c r="E4628" s="29" t="n"/>
      <c r="F4628" s="24" t="n"/>
      <c r="G4628" s="24" t="n"/>
      <c r="H4628" s="21">
        <f>IF(ISNUMBER($B4628),INT($B4628)-WEEKDAY($B4628,2)+1,"")</f>
        <v/>
      </c>
      <c r="I4628" s="24" t="n"/>
      <c r="J4628" s="22">
        <f t="array" ref="J4628">IF($D4628="","",IF($I4628="","(trống REF)",IFERROR(INDEX(MASTER_SOURCE!$B$2:$B$495,MATCH($I4628,MASTER_SOURCE!$A$2:$A$495,0)),"(REF không có trong MASTER_SOURCE)")))</f>
        <v/>
      </c>
      <c r="K4628" s="22">
        <f t="array" ref="K4628">IF($D4628="","",IFERROR(INDEX(MASTER_SOURCE!$C$2:$C$495,MATCH($I4628,MASTER_SOURCE!$A$2:$A$495,0)),""))</f>
        <v/>
      </c>
      <c r="L4628" s="22">
        <f t="array" ref="L4628">IF($D4628="","",IFERROR(INDEX(MASTER_SOURCE!$D$2:$D$495,MATCH($I4628,MASTER_SOURCE!$A$2:$A$495,0)),""))</f>
        <v/>
      </c>
      <c r="M4628" s="24" t="n"/>
      <c r="N4628" s="24" t="n"/>
      <c r="O4628" s="24" t="n"/>
      <c r="P4628" s="24" t="n"/>
      <c r="Q4628" s="22">
        <f>IF($D4628="","",IF(AND(OR(DANH_MUC!$L$5&lt;&gt;"Có",M4628="Có"),OR(DANH_MUC!$L$6&lt;&gt;"Có",N4628="Có"),OR(DANH_MUC!$L$7&lt;&gt;"Có",O4628="Có"),OR(DANH_MUC!$L$8&lt;&gt;"Có",P4628="Có")),"Có","Không"))</f>
        <v/>
      </c>
      <c r="R4628" s="22">
        <f>IF($D4628="","",IF(COUNTIF($D$2:$D4628,$D4628)&gt;1,"Trùng",""))</f>
        <v/>
      </c>
      <c r="S4628" s="22">
        <f>IF($D4628="","",IF(AND(LEN($D4628)=10,LEFT($D4628,1)="0",ISNUMBER(--$D4628)),"Có","Không"))</f>
        <v/>
      </c>
      <c r="T4628" s="22">
        <f>IF($D4628="","",IF(AND($C4628&lt;&gt;"",$Q4628="Có",$R4628="",$S4628="Có",AND($L4628&lt;&gt;"",OR($L4628&lt;&gt;"Chưa xác định",DANH_MUC!$L$9="Có"))),"Có","Không"))</f>
        <v/>
      </c>
      <c r="U4628" s="22">
        <f>IF(OR($D4628="",$T4628="Có"),"",IF($C4628="","Thiếu họ tên; ","")&amp;IF($S4628&lt;&gt;"Có","SĐT sai định dạng; ","")&amp;IF($R4628="Trùng","Trùng SĐT; ","")&amp;IF($Q4628&lt;&gt;"Có","Thiếu đồng ý bắt buộc; ","")&amp;IF($L4628="","Thiếu/sai Mã REF; ",IF(AND($L4628="Chưa xác định",DANH_MUC!$L$9&lt;&gt;"Có"),"Nguồn chưa xác định; ","")))</f>
        <v/>
      </c>
      <c r="V4628" s="22">
        <f>IF(OR($D4628="",$R4628="Trùng"),"",IF(COUNTIF(ORDERS!$C$2:$C$4995,$D4628)&gt;0,"Có","Không"))</f>
        <v/>
      </c>
      <c r="W4628" s="22">
        <f>IF(OR($D4628="",$R4628="Trùng"),"",COUNTIFS(ORDERS!$C$2:$C$4995,$D4628,ORDERS!$L$2:$L$4995,"Đã chuyển khoản"))</f>
        <v/>
      </c>
      <c r="X4628" s="23">
        <f>IF(OR($D4628="",$R4628="Trùng"),"",SUMIFS(ORDERS!$J$2:$J$4995,ORDERS!$C$2:$C$4995,$D4628,ORDERS!$L$2:$L$4995,"Đã chuyển khoản"))</f>
        <v/>
      </c>
      <c r="Y4628" s="24" t="n"/>
    </row>
    <row r="4629" ht="14.25" customHeight="1" s="40">
      <c r="A4629" s="24" t="n"/>
      <c r="B4629" s="27" t="n"/>
      <c r="C4629" s="24" t="n"/>
      <c r="D4629" s="28" t="n"/>
      <c r="E4629" s="29" t="n"/>
      <c r="F4629" s="24" t="n"/>
      <c r="G4629" s="24" t="n"/>
      <c r="H4629" s="21">
        <f>IF(ISNUMBER($B4629),INT($B4629)-WEEKDAY($B4629,2)+1,"")</f>
        <v/>
      </c>
      <c r="I4629" s="24" t="n"/>
      <c r="J4629" s="22">
        <f t="array" ref="J4629">IF($D4629="","",IF($I4629="","(trống REF)",IFERROR(INDEX(MASTER_SOURCE!$B$2:$B$495,MATCH($I4629,MASTER_SOURCE!$A$2:$A$495,0)),"(REF không có trong MASTER_SOURCE)")))</f>
        <v/>
      </c>
      <c r="K4629" s="22">
        <f t="array" ref="K4629">IF($D4629="","",IFERROR(INDEX(MASTER_SOURCE!$C$2:$C$495,MATCH($I4629,MASTER_SOURCE!$A$2:$A$495,0)),""))</f>
        <v/>
      </c>
      <c r="L4629" s="22">
        <f t="array" ref="L4629">IF($D4629="","",IFERROR(INDEX(MASTER_SOURCE!$D$2:$D$495,MATCH($I4629,MASTER_SOURCE!$A$2:$A$495,0)),""))</f>
        <v/>
      </c>
      <c r="M4629" s="24" t="n"/>
      <c r="N4629" s="24" t="n"/>
      <c r="O4629" s="24" t="n"/>
      <c r="P4629" s="24" t="n"/>
      <c r="Q4629" s="22">
        <f>IF($D4629="","",IF(AND(OR(DANH_MUC!$L$5&lt;&gt;"Có",M4629="Có"),OR(DANH_MUC!$L$6&lt;&gt;"Có",N4629="Có"),OR(DANH_MUC!$L$7&lt;&gt;"Có",O4629="Có"),OR(DANH_MUC!$L$8&lt;&gt;"Có",P4629="Có")),"Có","Không"))</f>
        <v/>
      </c>
      <c r="R4629" s="22">
        <f>IF($D4629="","",IF(COUNTIF($D$2:$D4629,$D4629)&gt;1,"Trùng",""))</f>
        <v/>
      </c>
      <c r="S4629" s="22">
        <f>IF($D4629="","",IF(AND(LEN($D4629)=10,LEFT($D4629,1)="0",ISNUMBER(--$D4629)),"Có","Không"))</f>
        <v/>
      </c>
      <c r="T4629" s="22">
        <f>IF($D4629="","",IF(AND($C4629&lt;&gt;"",$Q4629="Có",$R4629="",$S4629="Có",AND($L4629&lt;&gt;"",OR($L4629&lt;&gt;"Chưa xác định",DANH_MUC!$L$9="Có"))),"Có","Không"))</f>
        <v/>
      </c>
      <c r="U4629" s="22">
        <f>IF(OR($D4629="",$T4629="Có"),"",IF($C4629="","Thiếu họ tên; ","")&amp;IF($S4629&lt;&gt;"Có","SĐT sai định dạng; ","")&amp;IF($R4629="Trùng","Trùng SĐT; ","")&amp;IF($Q4629&lt;&gt;"Có","Thiếu đồng ý bắt buộc; ","")&amp;IF($L4629="","Thiếu/sai Mã REF; ",IF(AND($L4629="Chưa xác định",DANH_MUC!$L$9&lt;&gt;"Có"),"Nguồn chưa xác định; ","")))</f>
        <v/>
      </c>
      <c r="V4629" s="22">
        <f>IF(OR($D4629="",$R4629="Trùng"),"",IF(COUNTIF(ORDERS!$C$2:$C$4995,$D4629)&gt;0,"Có","Không"))</f>
        <v/>
      </c>
      <c r="W4629" s="22">
        <f>IF(OR($D4629="",$R4629="Trùng"),"",COUNTIFS(ORDERS!$C$2:$C$4995,$D4629,ORDERS!$L$2:$L$4995,"Đã chuyển khoản"))</f>
        <v/>
      </c>
      <c r="X4629" s="23">
        <f>IF(OR($D4629="",$R4629="Trùng"),"",SUMIFS(ORDERS!$J$2:$J$4995,ORDERS!$C$2:$C$4995,$D4629,ORDERS!$L$2:$L$4995,"Đã chuyển khoản"))</f>
        <v/>
      </c>
      <c r="Y4629" s="24" t="n"/>
    </row>
    <row r="4630" ht="14.25" customHeight="1" s="40">
      <c r="A4630" s="24" t="n"/>
      <c r="B4630" s="27" t="n"/>
      <c r="C4630" s="24" t="n"/>
      <c r="D4630" s="28" t="n"/>
      <c r="E4630" s="29" t="n"/>
      <c r="F4630" s="24" t="n"/>
      <c r="G4630" s="24" t="n"/>
      <c r="H4630" s="21">
        <f>IF(ISNUMBER($B4630),INT($B4630)-WEEKDAY($B4630,2)+1,"")</f>
        <v/>
      </c>
      <c r="I4630" s="24" t="n"/>
      <c r="J4630" s="22">
        <f t="array" ref="J4630">IF($D4630="","",IF($I4630="","(trống REF)",IFERROR(INDEX(MASTER_SOURCE!$B$2:$B$495,MATCH($I4630,MASTER_SOURCE!$A$2:$A$495,0)),"(REF không có trong MASTER_SOURCE)")))</f>
        <v/>
      </c>
      <c r="K4630" s="22">
        <f t="array" ref="K4630">IF($D4630="","",IFERROR(INDEX(MASTER_SOURCE!$C$2:$C$495,MATCH($I4630,MASTER_SOURCE!$A$2:$A$495,0)),""))</f>
        <v/>
      </c>
      <c r="L4630" s="22">
        <f t="array" ref="L4630">IF($D4630="","",IFERROR(INDEX(MASTER_SOURCE!$D$2:$D$495,MATCH($I4630,MASTER_SOURCE!$A$2:$A$495,0)),""))</f>
        <v/>
      </c>
      <c r="M4630" s="24" t="n"/>
      <c r="N4630" s="24" t="n"/>
      <c r="O4630" s="24" t="n"/>
      <c r="P4630" s="24" t="n"/>
      <c r="Q4630" s="22">
        <f>IF($D4630="","",IF(AND(OR(DANH_MUC!$L$5&lt;&gt;"Có",M4630="Có"),OR(DANH_MUC!$L$6&lt;&gt;"Có",N4630="Có"),OR(DANH_MUC!$L$7&lt;&gt;"Có",O4630="Có"),OR(DANH_MUC!$L$8&lt;&gt;"Có",P4630="Có")),"Có","Không"))</f>
        <v/>
      </c>
      <c r="R4630" s="22">
        <f>IF($D4630="","",IF(COUNTIF($D$2:$D4630,$D4630)&gt;1,"Trùng",""))</f>
        <v/>
      </c>
      <c r="S4630" s="22">
        <f>IF($D4630="","",IF(AND(LEN($D4630)=10,LEFT($D4630,1)="0",ISNUMBER(--$D4630)),"Có","Không"))</f>
        <v/>
      </c>
      <c r="T4630" s="22">
        <f>IF($D4630="","",IF(AND($C4630&lt;&gt;"",$Q4630="Có",$R4630="",$S4630="Có",AND($L4630&lt;&gt;"",OR($L4630&lt;&gt;"Chưa xác định",DANH_MUC!$L$9="Có"))),"Có","Không"))</f>
        <v/>
      </c>
      <c r="U4630" s="22">
        <f>IF(OR($D4630="",$T4630="Có"),"",IF($C4630="","Thiếu họ tên; ","")&amp;IF($S4630&lt;&gt;"Có","SĐT sai định dạng; ","")&amp;IF($R4630="Trùng","Trùng SĐT; ","")&amp;IF($Q4630&lt;&gt;"Có","Thiếu đồng ý bắt buộc; ","")&amp;IF($L4630="","Thiếu/sai Mã REF; ",IF(AND($L4630="Chưa xác định",DANH_MUC!$L$9&lt;&gt;"Có"),"Nguồn chưa xác định; ","")))</f>
        <v/>
      </c>
      <c r="V4630" s="22">
        <f>IF(OR($D4630="",$R4630="Trùng"),"",IF(COUNTIF(ORDERS!$C$2:$C$4995,$D4630)&gt;0,"Có","Không"))</f>
        <v/>
      </c>
      <c r="W4630" s="22">
        <f>IF(OR($D4630="",$R4630="Trùng"),"",COUNTIFS(ORDERS!$C$2:$C$4995,$D4630,ORDERS!$L$2:$L$4995,"Đã chuyển khoản"))</f>
        <v/>
      </c>
      <c r="X4630" s="23">
        <f>IF(OR($D4630="",$R4630="Trùng"),"",SUMIFS(ORDERS!$J$2:$J$4995,ORDERS!$C$2:$C$4995,$D4630,ORDERS!$L$2:$L$4995,"Đã chuyển khoản"))</f>
        <v/>
      </c>
      <c r="Y4630" s="24" t="n"/>
    </row>
    <row r="4631" ht="14.25" customHeight="1" s="40">
      <c r="A4631" s="24" t="n"/>
      <c r="B4631" s="27" t="n"/>
      <c r="C4631" s="24" t="n"/>
      <c r="D4631" s="28" t="n"/>
      <c r="E4631" s="29" t="n"/>
      <c r="F4631" s="24" t="n"/>
      <c r="G4631" s="24" t="n"/>
      <c r="H4631" s="21">
        <f>IF(ISNUMBER($B4631),INT($B4631)-WEEKDAY($B4631,2)+1,"")</f>
        <v/>
      </c>
      <c r="I4631" s="24" t="n"/>
      <c r="J4631" s="22">
        <f t="array" ref="J4631">IF($D4631="","",IF($I4631="","(trống REF)",IFERROR(INDEX(MASTER_SOURCE!$B$2:$B$495,MATCH($I4631,MASTER_SOURCE!$A$2:$A$495,0)),"(REF không có trong MASTER_SOURCE)")))</f>
        <v/>
      </c>
      <c r="K4631" s="22">
        <f t="array" ref="K4631">IF($D4631="","",IFERROR(INDEX(MASTER_SOURCE!$C$2:$C$495,MATCH($I4631,MASTER_SOURCE!$A$2:$A$495,0)),""))</f>
        <v/>
      </c>
      <c r="L4631" s="22">
        <f t="array" ref="L4631">IF($D4631="","",IFERROR(INDEX(MASTER_SOURCE!$D$2:$D$495,MATCH($I4631,MASTER_SOURCE!$A$2:$A$495,0)),""))</f>
        <v/>
      </c>
      <c r="M4631" s="24" t="n"/>
      <c r="N4631" s="24" t="n"/>
      <c r="O4631" s="24" t="n"/>
      <c r="P4631" s="24" t="n"/>
      <c r="Q4631" s="22">
        <f>IF($D4631="","",IF(AND(OR(DANH_MUC!$L$5&lt;&gt;"Có",M4631="Có"),OR(DANH_MUC!$L$6&lt;&gt;"Có",N4631="Có"),OR(DANH_MUC!$L$7&lt;&gt;"Có",O4631="Có"),OR(DANH_MUC!$L$8&lt;&gt;"Có",P4631="Có")),"Có","Không"))</f>
        <v/>
      </c>
      <c r="R4631" s="22">
        <f>IF($D4631="","",IF(COUNTIF($D$2:$D4631,$D4631)&gt;1,"Trùng",""))</f>
        <v/>
      </c>
      <c r="S4631" s="22">
        <f>IF($D4631="","",IF(AND(LEN($D4631)=10,LEFT($D4631,1)="0",ISNUMBER(--$D4631)),"Có","Không"))</f>
        <v/>
      </c>
      <c r="T4631" s="22">
        <f>IF($D4631="","",IF(AND($C4631&lt;&gt;"",$Q4631="Có",$R4631="",$S4631="Có",AND($L4631&lt;&gt;"",OR($L4631&lt;&gt;"Chưa xác định",DANH_MUC!$L$9="Có"))),"Có","Không"))</f>
        <v/>
      </c>
      <c r="U4631" s="22">
        <f>IF(OR($D4631="",$T4631="Có"),"",IF($C4631="","Thiếu họ tên; ","")&amp;IF($S4631&lt;&gt;"Có","SĐT sai định dạng; ","")&amp;IF($R4631="Trùng","Trùng SĐT; ","")&amp;IF($Q4631&lt;&gt;"Có","Thiếu đồng ý bắt buộc; ","")&amp;IF($L4631="","Thiếu/sai Mã REF; ",IF(AND($L4631="Chưa xác định",DANH_MUC!$L$9&lt;&gt;"Có"),"Nguồn chưa xác định; ","")))</f>
        <v/>
      </c>
      <c r="V4631" s="22">
        <f>IF(OR($D4631="",$R4631="Trùng"),"",IF(COUNTIF(ORDERS!$C$2:$C$4995,$D4631)&gt;0,"Có","Không"))</f>
        <v/>
      </c>
      <c r="W4631" s="22">
        <f>IF(OR($D4631="",$R4631="Trùng"),"",COUNTIFS(ORDERS!$C$2:$C$4995,$D4631,ORDERS!$L$2:$L$4995,"Đã chuyển khoản"))</f>
        <v/>
      </c>
      <c r="X4631" s="23">
        <f>IF(OR($D4631="",$R4631="Trùng"),"",SUMIFS(ORDERS!$J$2:$J$4995,ORDERS!$C$2:$C$4995,$D4631,ORDERS!$L$2:$L$4995,"Đã chuyển khoản"))</f>
        <v/>
      </c>
      <c r="Y4631" s="24" t="n"/>
    </row>
    <row r="4632" ht="14.25" customHeight="1" s="40">
      <c r="A4632" s="24" t="n"/>
      <c r="B4632" s="27" t="n"/>
      <c r="C4632" s="24" t="n"/>
      <c r="D4632" s="28" t="n"/>
      <c r="E4632" s="29" t="n"/>
      <c r="F4632" s="24" t="n"/>
      <c r="G4632" s="24" t="n"/>
      <c r="H4632" s="21">
        <f>IF(ISNUMBER($B4632),INT($B4632)-WEEKDAY($B4632,2)+1,"")</f>
        <v/>
      </c>
      <c r="I4632" s="24" t="n"/>
      <c r="J4632" s="22">
        <f t="array" ref="J4632">IF($D4632="","",IF($I4632="","(trống REF)",IFERROR(INDEX(MASTER_SOURCE!$B$2:$B$495,MATCH($I4632,MASTER_SOURCE!$A$2:$A$495,0)),"(REF không có trong MASTER_SOURCE)")))</f>
        <v/>
      </c>
      <c r="K4632" s="22">
        <f t="array" ref="K4632">IF($D4632="","",IFERROR(INDEX(MASTER_SOURCE!$C$2:$C$495,MATCH($I4632,MASTER_SOURCE!$A$2:$A$495,0)),""))</f>
        <v/>
      </c>
      <c r="L4632" s="22">
        <f t="array" ref="L4632">IF($D4632="","",IFERROR(INDEX(MASTER_SOURCE!$D$2:$D$495,MATCH($I4632,MASTER_SOURCE!$A$2:$A$495,0)),""))</f>
        <v/>
      </c>
      <c r="M4632" s="24" t="n"/>
      <c r="N4632" s="24" t="n"/>
      <c r="O4632" s="24" t="n"/>
      <c r="P4632" s="24" t="n"/>
      <c r="Q4632" s="22">
        <f>IF($D4632="","",IF(AND(OR(DANH_MUC!$L$5&lt;&gt;"Có",M4632="Có"),OR(DANH_MUC!$L$6&lt;&gt;"Có",N4632="Có"),OR(DANH_MUC!$L$7&lt;&gt;"Có",O4632="Có"),OR(DANH_MUC!$L$8&lt;&gt;"Có",P4632="Có")),"Có","Không"))</f>
        <v/>
      </c>
      <c r="R4632" s="22">
        <f>IF($D4632="","",IF(COUNTIF($D$2:$D4632,$D4632)&gt;1,"Trùng",""))</f>
        <v/>
      </c>
      <c r="S4632" s="22">
        <f>IF($D4632="","",IF(AND(LEN($D4632)=10,LEFT($D4632,1)="0",ISNUMBER(--$D4632)),"Có","Không"))</f>
        <v/>
      </c>
      <c r="T4632" s="22">
        <f>IF($D4632="","",IF(AND($C4632&lt;&gt;"",$Q4632="Có",$R4632="",$S4632="Có",AND($L4632&lt;&gt;"",OR($L4632&lt;&gt;"Chưa xác định",DANH_MUC!$L$9="Có"))),"Có","Không"))</f>
        <v/>
      </c>
      <c r="U4632" s="22">
        <f>IF(OR($D4632="",$T4632="Có"),"",IF($C4632="","Thiếu họ tên; ","")&amp;IF($S4632&lt;&gt;"Có","SĐT sai định dạng; ","")&amp;IF($R4632="Trùng","Trùng SĐT; ","")&amp;IF($Q4632&lt;&gt;"Có","Thiếu đồng ý bắt buộc; ","")&amp;IF($L4632="","Thiếu/sai Mã REF; ",IF(AND($L4632="Chưa xác định",DANH_MUC!$L$9&lt;&gt;"Có"),"Nguồn chưa xác định; ","")))</f>
        <v/>
      </c>
      <c r="V4632" s="22">
        <f>IF(OR($D4632="",$R4632="Trùng"),"",IF(COUNTIF(ORDERS!$C$2:$C$4995,$D4632)&gt;0,"Có","Không"))</f>
        <v/>
      </c>
      <c r="W4632" s="22">
        <f>IF(OR($D4632="",$R4632="Trùng"),"",COUNTIFS(ORDERS!$C$2:$C$4995,$D4632,ORDERS!$L$2:$L$4995,"Đã chuyển khoản"))</f>
        <v/>
      </c>
      <c r="X4632" s="23">
        <f>IF(OR($D4632="",$R4632="Trùng"),"",SUMIFS(ORDERS!$J$2:$J$4995,ORDERS!$C$2:$C$4995,$D4632,ORDERS!$L$2:$L$4995,"Đã chuyển khoản"))</f>
        <v/>
      </c>
      <c r="Y4632" s="24" t="n"/>
    </row>
    <row r="4633" ht="14.25" customHeight="1" s="40">
      <c r="A4633" s="24" t="n"/>
      <c r="B4633" s="27" t="n"/>
      <c r="C4633" s="24" t="n"/>
      <c r="D4633" s="28" t="n"/>
      <c r="E4633" s="29" t="n"/>
      <c r="F4633" s="24" t="n"/>
      <c r="G4633" s="24" t="n"/>
      <c r="H4633" s="21">
        <f>IF(ISNUMBER($B4633),INT($B4633)-WEEKDAY($B4633,2)+1,"")</f>
        <v/>
      </c>
      <c r="I4633" s="24" t="n"/>
      <c r="J4633" s="22">
        <f t="array" ref="J4633">IF($D4633="","",IF($I4633="","(trống REF)",IFERROR(INDEX(MASTER_SOURCE!$B$2:$B$495,MATCH($I4633,MASTER_SOURCE!$A$2:$A$495,0)),"(REF không có trong MASTER_SOURCE)")))</f>
        <v/>
      </c>
      <c r="K4633" s="22">
        <f t="array" ref="K4633">IF($D4633="","",IFERROR(INDEX(MASTER_SOURCE!$C$2:$C$495,MATCH($I4633,MASTER_SOURCE!$A$2:$A$495,0)),""))</f>
        <v/>
      </c>
      <c r="L4633" s="22">
        <f t="array" ref="L4633">IF($D4633="","",IFERROR(INDEX(MASTER_SOURCE!$D$2:$D$495,MATCH($I4633,MASTER_SOURCE!$A$2:$A$495,0)),""))</f>
        <v/>
      </c>
      <c r="M4633" s="24" t="n"/>
      <c r="N4633" s="24" t="n"/>
      <c r="O4633" s="24" t="n"/>
      <c r="P4633" s="24" t="n"/>
      <c r="Q4633" s="22">
        <f>IF($D4633="","",IF(AND(OR(DANH_MUC!$L$5&lt;&gt;"Có",M4633="Có"),OR(DANH_MUC!$L$6&lt;&gt;"Có",N4633="Có"),OR(DANH_MUC!$L$7&lt;&gt;"Có",O4633="Có"),OR(DANH_MUC!$L$8&lt;&gt;"Có",P4633="Có")),"Có","Không"))</f>
        <v/>
      </c>
      <c r="R4633" s="22">
        <f>IF($D4633="","",IF(COUNTIF($D$2:$D4633,$D4633)&gt;1,"Trùng",""))</f>
        <v/>
      </c>
      <c r="S4633" s="22">
        <f>IF($D4633="","",IF(AND(LEN($D4633)=10,LEFT($D4633,1)="0",ISNUMBER(--$D4633)),"Có","Không"))</f>
        <v/>
      </c>
      <c r="T4633" s="22">
        <f>IF($D4633="","",IF(AND($C4633&lt;&gt;"",$Q4633="Có",$R4633="",$S4633="Có",AND($L4633&lt;&gt;"",OR($L4633&lt;&gt;"Chưa xác định",DANH_MUC!$L$9="Có"))),"Có","Không"))</f>
        <v/>
      </c>
      <c r="U4633" s="22">
        <f>IF(OR($D4633="",$T4633="Có"),"",IF($C4633="","Thiếu họ tên; ","")&amp;IF($S4633&lt;&gt;"Có","SĐT sai định dạng; ","")&amp;IF($R4633="Trùng","Trùng SĐT; ","")&amp;IF($Q4633&lt;&gt;"Có","Thiếu đồng ý bắt buộc; ","")&amp;IF($L4633="","Thiếu/sai Mã REF; ",IF(AND($L4633="Chưa xác định",DANH_MUC!$L$9&lt;&gt;"Có"),"Nguồn chưa xác định; ","")))</f>
        <v/>
      </c>
      <c r="V4633" s="22">
        <f>IF(OR($D4633="",$R4633="Trùng"),"",IF(COUNTIF(ORDERS!$C$2:$C$4995,$D4633)&gt;0,"Có","Không"))</f>
        <v/>
      </c>
      <c r="W4633" s="22">
        <f>IF(OR($D4633="",$R4633="Trùng"),"",COUNTIFS(ORDERS!$C$2:$C$4995,$D4633,ORDERS!$L$2:$L$4995,"Đã chuyển khoản"))</f>
        <v/>
      </c>
      <c r="X4633" s="23">
        <f>IF(OR($D4633="",$R4633="Trùng"),"",SUMIFS(ORDERS!$J$2:$J$4995,ORDERS!$C$2:$C$4995,$D4633,ORDERS!$L$2:$L$4995,"Đã chuyển khoản"))</f>
        <v/>
      </c>
      <c r="Y4633" s="24" t="n"/>
    </row>
    <row r="4634" ht="14.25" customHeight="1" s="40">
      <c r="A4634" s="24" t="n"/>
      <c r="B4634" s="27" t="n"/>
      <c r="C4634" s="24" t="n"/>
      <c r="D4634" s="28" t="n"/>
      <c r="E4634" s="29" t="n"/>
      <c r="F4634" s="24" t="n"/>
      <c r="G4634" s="24" t="n"/>
      <c r="H4634" s="21">
        <f>IF(ISNUMBER($B4634),INT($B4634)-WEEKDAY($B4634,2)+1,"")</f>
        <v/>
      </c>
      <c r="I4634" s="24" t="n"/>
      <c r="J4634" s="22">
        <f t="array" ref="J4634">IF($D4634="","",IF($I4634="","(trống REF)",IFERROR(INDEX(MASTER_SOURCE!$B$2:$B$495,MATCH($I4634,MASTER_SOURCE!$A$2:$A$495,0)),"(REF không có trong MASTER_SOURCE)")))</f>
        <v/>
      </c>
      <c r="K4634" s="22">
        <f t="array" ref="K4634">IF($D4634="","",IFERROR(INDEX(MASTER_SOURCE!$C$2:$C$495,MATCH($I4634,MASTER_SOURCE!$A$2:$A$495,0)),""))</f>
        <v/>
      </c>
      <c r="L4634" s="22">
        <f t="array" ref="L4634">IF($D4634="","",IFERROR(INDEX(MASTER_SOURCE!$D$2:$D$495,MATCH($I4634,MASTER_SOURCE!$A$2:$A$495,0)),""))</f>
        <v/>
      </c>
      <c r="M4634" s="24" t="n"/>
      <c r="N4634" s="24" t="n"/>
      <c r="O4634" s="24" t="n"/>
      <c r="P4634" s="24" t="n"/>
      <c r="Q4634" s="22">
        <f>IF($D4634="","",IF(AND(OR(DANH_MUC!$L$5&lt;&gt;"Có",M4634="Có"),OR(DANH_MUC!$L$6&lt;&gt;"Có",N4634="Có"),OR(DANH_MUC!$L$7&lt;&gt;"Có",O4634="Có"),OR(DANH_MUC!$L$8&lt;&gt;"Có",P4634="Có")),"Có","Không"))</f>
        <v/>
      </c>
      <c r="R4634" s="22">
        <f>IF($D4634="","",IF(COUNTIF($D$2:$D4634,$D4634)&gt;1,"Trùng",""))</f>
        <v/>
      </c>
      <c r="S4634" s="22">
        <f>IF($D4634="","",IF(AND(LEN($D4634)=10,LEFT($D4634,1)="0",ISNUMBER(--$D4634)),"Có","Không"))</f>
        <v/>
      </c>
      <c r="T4634" s="22">
        <f>IF($D4634="","",IF(AND($C4634&lt;&gt;"",$Q4634="Có",$R4634="",$S4634="Có",AND($L4634&lt;&gt;"",OR($L4634&lt;&gt;"Chưa xác định",DANH_MUC!$L$9="Có"))),"Có","Không"))</f>
        <v/>
      </c>
      <c r="U4634" s="22">
        <f>IF(OR($D4634="",$T4634="Có"),"",IF($C4634="","Thiếu họ tên; ","")&amp;IF($S4634&lt;&gt;"Có","SĐT sai định dạng; ","")&amp;IF($R4634="Trùng","Trùng SĐT; ","")&amp;IF($Q4634&lt;&gt;"Có","Thiếu đồng ý bắt buộc; ","")&amp;IF($L4634="","Thiếu/sai Mã REF; ",IF(AND($L4634="Chưa xác định",DANH_MUC!$L$9&lt;&gt;"Có"),"Nguồn chưa xác định; ","")))</f>
        <v/>
      </c>
      <c r="V4634" s="22">
        <f>IF(OR($D4634="",$R4634="Trùng"),"",IF(COUNTIF(ORDERS!$C$2:$C$4995,$D4634)&gt;0,"Có","Không"))</f>
        <v/>
      </c>
      <c r="W4634" s="22">
        <f>IF(OR($D4634="",$R4634="Trùng"),"",COUNTIFS(ORDERS!$C$2:$C$4995,$D4634,ORDERS!$L$2:$L$4995,"Đã chuyển khoản"))</f>
        <v/>
      </c>
      <c r="X4634" s="23">
        <f>IF(OR($D4634="",$R4634="Trùng"),"",SUMIFS(ORDERS!$J$2:$J$4995,ORDERS!$C$2:$C$4995,$D4634,ORDERS!$L$2:$L$4995,"Đã chuyển khoản"))</f>
        <v/>
      </c>
      <c r="Y4634" s="24" t="n"/>
    </row>
    <row r="4635" ht="14.25" customHeight="1" s="40">
      <c r="A4635" s="24" t="n"/>
      <c r="B4635" s="27" t="n"/>
      <c r="C4635" s="24" t="n"/>
      <c r="D4635" s="28" t="n"/>
      <c r="E4635" s="29" t="n"/>
      <c r="F4635" s="24" t="n"/>
      <c r="G4635" s="24" t="n"/>
      <c r="H4635" s="21">
        <f>IF(ISNUMBER($B4635),INT($B4635)-WEEKDAY($B4635,2)+1,"")</f>
        <v/>
      </c>
      <c r="I4635" s="24" t="n"/>
      <c r="J4635" s="22">
        <f t="array" ref="J4635">IF($D4635="","",IF($I4635="","(trống REF)",IFERROR(INDEX(MASTER_SOURCE!$B$2:$B$495,MATCH($I4635,MASTER_SOURCE!$A$2:$A$495,0)),"(REF không có trong MASTER_SOURCE)")))</f>
        <v/>
      </c>
      <c r="K4635" s="22">
        <f t="array" ref="K4635">IF($D4635="","",IFERROR(INDEX(MASTER_SOURCE!$C$2:$C$495,MATCH($I4635,MASTER_SOURCE!$A$2:$A$495,0)),""))</f>
        <v/>
      </c>
      <c r="L4635" s="22">
        <f t="array" ref="L4635">IF($D4635="","",IFERROR(INDEX(MASTER_SOURCE!$D$2:$D$495,MATCH($I4635,MASTER_SOURCE!$A$2:$A$495,0)),""))</f>
        <v/>
      </c>
      <c r="M4635" s="24" t="n"/>
      <c r="N4635" s="24" t="n"/>
      <c r="O4635" s="24" t="n"/>
      <c r="P4635" s="24" t="n"/>
      <c r="Q4635" s="22">
        <f>IF($D4635="","",IF(AND(OR(DANH_MUC!$L$5&lt;&gt;"Có",M4635="Có"),OR(DANH_MUC!$L$6&lt;&gt;"Có",N4635="Có"),OR(DANH_MUC!$L$7&lt;&gt;"Có",O4635="Có"),OR(DANH_MUC!$L$8&lt;&gt;"Có",P4635="Có")),"Có","Không"))</f>
        <v/>
      </c>
      <c r="R4635" s="22">
        <f>IF($D4635="","",IF(COUNTIF($D$2:$D4635,$D4635)&gt;1,"Trùng",""))</f>
        <v/>
      </c>
      <c r="S4635" s="22">
        <f>IF($D4635="","",IF(AND(LEN($D4635)=10,LEFT($D4635,1)="0",ISNUMBER(--$D4635)),"Có","Không"))</f>
        <v/>
      </c>
      <c r="T4635" s="22">
        <f>IF($D4635="","",IF(AND($C4635&lt;&gt;"",$Q4635="Có",$R4635="",$S4635="Có",AND($L4635&lt;&gt;"",OR($L4635&lt;&gt;"Chưa xác định",DANH_MUC!$L$9="Có"))),"Có","Không"))</f>
        <v/>
      </c>
      <c r="U4635" s="22">
        <f>IF(OR($D4635="",$T4635="Có"),"",IF($C4635="","Thiếu họ tên; ","")&amp;IF($S4635&lt;&gt;"Có","SĐT sai định dạng; ","")&amp;IF($R4635="Trùng","Trùng SĐT; ","")&amp;IF($Q4635&lt;&gt;"Có","Thiếu đồng ý bắt buộc; ","")&amp;IF($L4635="","Thiếu/sai Mã REF; ",IF(AND($L4635="Chưa xác định",DANH_MUC!$L$9&lt;&gt;"Có"),"Nguồn chưa xác định; ","")))</f>
        <v/>
      </c>
      <c r="V4635" s="22">
        <f>IF(OR($D4635="",$R4635="Trùng"),"",IF(COUNTIF(ORDERS!$C$2:$C$4995,$D4635)&gt;0,"Có","Không"))</f>
        <v/>
      </c>
      <c r="W4635" s="22">
        <f>IF(OR($D4635="",$R4635="Trùng"),"",COUNTIFS(ORDERS!$C$2:$C$4995,$D4635,ORDERS!$L$2:$L$4995,"Đã chuyển khoản"))</f>
        <v/>
      </c>
      <c r="X4635" s="23">
        <f>IF(OR($D4635="",$R4635="Trùng"),"",SUMIFS(ORDERS!$J$2:$J$4995,ORDERS!$C$2:$C$4995,$D4635,ORDERS!$L$2:$L$4995,"Đã chuyển khoản"))</f>
        <v/>
      </c>
      <c r="Y4635" s="24" t="n"/>
    </row>
    <row r="4636" ht="14.25" customHeight="1" s="40">
      <c r="A4636" s="24" t="n"/>
      <c r="B4636" s="27" t="n"/>
      <c r="C4636" s="24" t="n"/>
      <c r="D4636" s="28" t="n"/>
      <c r="E4636" s="29" t="n"/>
      <c r="F4636" s="24" t="n"/>
      <c r="G4636" s="24" t="n"/>
      <c r="H4636" s="21">
        <f>IF(ISNUMBER($B4636),INT($B4636)-WEEKDAY($B4636,2)+1,"")</f>
        <v/>
      </c>
      <c r="I4636" s="24" t="n"/>
      <c r="J4636" s="22">
        <f t="array" ref="J4636">IF($D4636="","",IF($I4636="","(trống REF)",IFERROR(INDEX(MASTER_SOURCE!$B$2:$B$495,MATCH($I4636,MASTER_SOURCE!$A$2:$A$495,0)),"(REF không có trong MASTER_SOURCE)")))</f>
        <v/>
      </c>
      <c r="K4636" s="22">
        <f t="array" ref="K4636">IF($D4636="","",IFERROR(INDEX(MASTER_SOURCE!$C$2:$C$495,MATCH($I4636,MASTER_SOURCE!$A$2:$A$495,0)),""))</f>
        <v/>
      </c>
      <c r="L4636" s="22">
        <f t="array" ref="L4636">IF($D4636="","",IFERROR(INDEX(MASTER_SOURCE!$D$2:$D$495,MATCH($I4636,MASTER_SOURCE!$A$2:$A$495,0)),""))</f>
        <v/>
      </c>
      <c r="M4636" s="24" t="n"/>
      <c r="N4636" s="24" t="n"/>
      <c r="O4636" s="24" t="n"/>
      <c r="P4636" s="24" t="n"/>
      <c r="Q4636" s="22">
        <f>IF($D4636="","",IF(AND(OR(DANH_MUC!$L$5&lt;&gt;"Có",M4636="Có"),OR(DANH_MUC!$L$6&lt;&gt;"Có",N4636="Có"),OR(DANH_MUC!$L$7&lt;&gt;"Có",O4636="Có"),OR(DANH_MUC!$L$8&lt;&gt;"Có",P4636="Có")),"Có","Không"))</f>
        <v/>
      </c>
      <c r="R4636" s="22">
        <f>IF($D4636="","",IF(COUNTIF($D$2:$D4636,$D4636)&gt;1,"Trùng",""))</f>
        <v/>
      </c>
      <c r="S4636" s="22">
        <f>IF($D4636="","",IF(AND(LEN($D4636)=10,LEFT($D4636,1)="0",ISNUMBER(--$D4636)),"Có","Không"))</f>
        <v/>
      </c>
      <c r="T4636" s="22">
        <f>IF($D4636="","",IF(AND($C4636&lt;&gt;"",$Q4636="Có",$R4636="",$S4636="Có",AND($L4636&lt;&gt;"",OR($L4636&lt;&gt;"Chưa xác định",DANH_MUC!$L$9="Có"))),"Có","Không"))</f>
        <v/>
      </c>
      <c r="U4636" s="22">
        <f>IF(OR($D4636="",$T4636="Có"),"",IF($C4636="","Thiếu họ tên; ","")&amp;IF($S4636&lt;&gt;"Có","SĐT sai định dạng; ","")&amp;IF($R4636="Trùng","Trùng SĐT; ","")&amp;IF($Q4636&lt;&gt;"Có","Thiếu đồng ý bắt buộc; ","")&amp;IF($L4636="","Thiếu/sai Mã REF; ",IF(AND($L4636="Chưa xác định",DANH_MUC!$L$9&lt;&gt;"Có"),"Nguồn chưa xác định; ","")))</f>
        <v/>
      </c>
      <c r="V4636" s="22">
        <f>IF(OR($D4636="",$R4636="Trùng"),"",IF(COUNTIF(ORDERS!$C$2:$C$4995,$D4636)&gt;0,"Có","Không"))</f>
        <v/>
      </c>
      <c r="W4636" s="22">
        <f>IF(OR($D4636="",$R4636="Trùng"),"",COUNTIFS(ORDERS!$C$2:$C$4995,$D4636,ORDERS!$L$2:$L$4995,"Đã chuyển khoản"))</f>
        <v/>
      </c>
      <c r="X4636" s="23">
        <f>IF(OR($D4636="",$R4636="Trùng"),"",SUMIFS(ORDERS!$J$2:$J$4995,ORDERS!$C$2:$C$4995,$D4636,ORDERS!$L$2:$L$4995,"Đã chuyển khoản"))</f>
        <v/>
      </c>
      <c r="Y4636" s="24" t="n"/>
    </row>
    <row r="4637" ht="14.25" customHeight="1" s="40">
      <c r="A4637" s="24" t="n"/>
      <c r="B4637" s="27" t="n"/>
      <c r="C4637" s="24" t="n"/>
      <c r="D4637" s="28" t="n"/>
      <c r="E4637" s="29" t="n"/>
      <c r="F4637" s="24" t="n"/>
      <c r="G4637" s="24" t="n"/>
      <c r="H4637" s="21">
        <f>IF(ISNUMBER($B4637),INT($B4637)-WEEKDAY($B4637,2)+1,"")</f>
        <v/>
      </c>
      <c r="I4637" s="24" t="n"/>
      <c r="J4637" s="22">
        <f t="array" ref="J4637">IF($D4637="","",IF($I4637="","(trống REF)",IFERROR(INDEX(MASTER_SOURCE!$B$2:$B$495,MATCH($I4637,MASTER_SOURCE!$A$2:$A$495,0)),"(REF không có trong MASTER_SOURCE)")))</f>
        <v/>
      </c>
      <c r="K4637" s="22">
        <f t="array" ref="K4637">IF($D4637="","",IFERROR(INDEX(MASTER_SOURCE!$C$2:$C$495,MATCH($I4637,MASTER_SOURCE!$A$2:$A$495,0)),""))</f>
        <v/>
      </c>
      <c r="L4637" s="22">
        <f t="array" ref="L4637">IF($D4637="","",IFERROR(INDEX(MASTER_SOURCE!$D$2:$D$495,MATCH($I4637,MASTER_SOURCE!$A$2:$A$495,0)),""))</f>
        <v/>
      </c>
      <c r="M4637" s="24" t="n"/>
      <c r="N4637" s="24" t="n"/>
      <c r="O4637" s="24" t="n"/>
      <c r="P4637" s="24" t="n"/>
      <c r="Q4637" s="22">
        <f>IF($D4637="","",IF(AND(OR(DANH_MUC!$L$5&lt;&gt;"Có",M4637="Có"),OR(DANH_MUC!$L$6&lt;&gt;"Có",N4637="Có"),OR(DANH_MUC!$L$7&lt;&gt;"Có",O4637="Có"),OR(DANH_MUC!$L$8&lt;&gt;"Có",P4637="Có")),"Có","Không"))</f>
        <v/>
      </c>
      <c r="R4637" s="22">
        <f>IF($D4637="","",IF(COUNTIF($D$2:$D4637,$D4637)&gt;1,"Trùng",""))</f>
        <v/>
      </c>
      <c r="S4637" s="22">
        <f>IF($D4637="","",IF(AND(LEN($D4637)=10,LEFT($D4637,1)="0",ISNUMBER(--$D4637)),"Có","Không"))</f>
        <v/>
      </c>
      <c r="T4637" s="22">
        <f>IF($D4637="","",IF(AND($C4637&lt;&gt;"",$Q4637="Có",$R4637="",$S4637="Có",AND($L4637&lt;&gt;"",OR($L4637&lt;&gt;"Chưa xác định",DANH_MUC!$L$9="Có"))),"Có","Không"))</f>
        <v/>
      </c>
      <c r="U4637" s="22">
        <f>IF(OR($D4637="",$T4637="Có"),"",IF($C4637="","Thiếu họ tên; ","")&amp;IF($S4637&lt;&gt;"Có","SĐT sai định dạng; ","")&amp;IF($R4637="Trùng","Trùng SĐT; ","")&amp;IF($Q4637&lt;&gt;"Có","Thiếu đồng ý bắt buộc; ","")&amp;IF($L4637="","Thiếu/sai Mã REF; ",IF(AND($L4637="Chưa xác định",DANH_MUC!$L$9&lt;&gt;"Có"),"Nguồn chưa xác định; ","")))</f>
        <v/>
      </c>
      <c r="V4637" s="22">
        <f>IF(OR($D4637="",$R4637="Trùng"),"",IF(COUNTIF(ORDERS!$C$2:$C$4995,$D4637)&gt;0,"Có","Không"))</f>
        <v/>
      </c>
      <c r="W4637" s="22">
        <f>IF(OR($D4637="",$R4637="Trùng"),"",COUNTIFS(ORDERS!$C$2:$C$4995,$D4637,ORDERS!$L$2:$L$4995,"Đã chuyển khoản"))</f>
        <v/>
      </c>
      <c r="X4637" s="23">
        <f>IF(OR($D4637="",$R4637="Trùng"),"",SUMIFS(ORDERS!$J$2:$J$4995,ORDERS!$C$2:$C$4995,$D4637,ORDERS!$L$2:$L$4995,"Đã chuyển khoản"))</f>
        <v/>
      </c>
      <c r="Y4637" s="24" t="n"/>
    </row>
    <row r="4638" ht="14.25" customHeight="1" s="40">
      <c r="A4638" s="24" t="n"/>
      <c r="B4638" s="27" t="n"/>
      <c r="C4638" s="24" t="n"/>
      <c r="D4638" s="28" t="n"/>
      <c r="E4638" s="29" t="n"/>
      <c r="F4638" s="24" t="n"/>
      <c r="G4638" s="24" t="n"/>
      <c r="H4638" s="21">
        <f>IF(ISNUMBER($B4638),INT($B4638)-WEEKDAY($B4638,2)+1,"")</f>
        <v/>
      </c>
      <c r="I4638" s="24" t="n"/>
      <c r="J4638" s="22">
        <f t="array" ref="J4638">IF($D4638="","",IF($I4638="","(trống REF)",IFERROR(INDEX(MASTER_SOURCE!$B$2:$B$495,MATCH($I4638,MASTER_SOURCE!$A$2:$A$495,0)),"(REF không có trong MASTER_SOURCE)")))</f>
        <v/>
      </c>
      <c r="K4638" s="22">
        <f t="array" ref="K4638">IF($D4638="","",IFERROR(INDEX(MASTER_SOURCE!$C$2:$C$495,MATCH($I4638,MASTER_SOURCE!$A$2:$A$495,0)),""))</f>
        <v/>
      </c>
      <c r="L4638" s="22">
        <f t="array" ref="L4638">IF($D4638="","",IFERROR(INDEX(MASTER_SOURCE!$D$2:$D$495,MATCH($I4638,MASTER_SOURCE!$A$2:$A$495,0)),""))</f>
        <v/>
      </c>
      <c r="M4638" s="24" t="n"/>
      <c r="N4638" s="24" t="n"/>
      <c r="O4638" s="24" t="n"/>
      <c r="P4638" s="24" t="n"/>
      <c r="Q4638" s="22">
        <f>IF($D4638="","",IF(AND(OR(DANH_MUC!$L$5&lt;&gt;"Có",M4638="Có"),OR(DANH_MUC!$L$6&lt;&gt;"Có",N4638="Có"),OR(DANH_MUC!$L$7&lt;&gt;"Có",O4638="Có"),OR(DANH_MUC!$L$8&lt;&gt;"Có",P4638="Có")),"Có","Không"))</f>
        <v/>
      </c>
      <c r="R4638" s="22">
        <f>IF($D4638="","",IF(COUNTIF($D$2:$D4638,$D4638)&gt;1,"Trùng",""))</f>
        <v/>
      </c>
      <c r="S4638" s="22">
        <f>IF($D4638="","",IF(AND(LEN($D4638)=10,LEFT($D4638,1)="0",ISNUMBER(--$D4638)),"Có","Không"))</f>
        <v/>
      </c>
      <c r="T4638" s="22">
        <f>IF($D4638="","",IF(AND($C4638&lt;&gt;"",$Q4638="Có",$R4638="",$S4638="Có",AND($L4638&lt;&gt;"",OR($L4638&lt;&gt;"Chưa xác định",DANH_MUC!$L$9="Có"))),"Có","Không"))</f>
        <v/>
      </c>
      <c r="U4638" s="22">
        <f>IF(OR($D4638="",$T4638="Có"),"",IF($C4638="","Thiếu họ tên; ","")&amp;IF($S4638&lt;&gt;"Có","SĐT sai định dạng; ","")&amp;IF($R4638="Trùng","Trùng SĐT; ","")&amp;IF($Q4638&lt;&gt;"Có","Thiếu đồng ý bắt buộc; ","")&amp;IF($L4638="","Thiếu/sai Mã REF; ",IF(AND($L4638="Chưa xác định",DANH_MUC!$L$9&lt;&gt;"Có"),"Nguồn chưa xác định; ","")))</f>
        <v/>
      </c>
      <c r="V4638" s="22">
        <f>IF(OR($D4638="",$R4638="Trùng"),"",IF(COUNTIF(ORDERS!$C$2:$C$4995,$D4638)&gt;0,"Có","Không"))</f>
        <v/>
      </c>
      <c r="W4638" s="22">
        <f>IF(OR($D4638="",$R4638="Trùng"),"",COUNTIFS(ORDERS!$C$2:$C$4995,$D4638,ORDERS!$L$2:$L$4995,"Đã chuyển khoản"))</f>
        <v/>
      </c>
      <c r="X4638" s="23">
        <f>IF(OR($D4638="",$R4638="Trùng"),"",SUMIFS(ORDERS!$J$2:$J$4995,ORDERS!$C$2:$C$4995,$D4638,ORDERS!$L$2:$L$4995,"Đã chuyển khoản"))</f>
        <v/>
      </c>
      <c r="Y4638" s="24" t="n"/>
    </row>
    <row r="4639" ht="14.25" customHeight="1" s="40">
      <c r="A4639" s="24" t="n"/>
      <c r="B4639" s="27" t="n"/>
      <c r="C4639" s="24" t="n"/>
      <c r="D4639" s="28" t="n"/>
      <c r="E4639" s="29" t="n"/>
      <c r="F4639" s="24" t="n"/>
      <c r="G4639" s="24" t="n"/>
      <c r="H4639" s="21">
        <f>IF(ISNUMBER($B4639),INT($B4639)-WEEKDAY($B4639,2)+1,"")</f>
        <v/>
      </c>
      <c r="I4639" s="24" t="n"/>
      <c r="J4639" s="22">
        <f t="array" ref="J4639">IF($D4639="","",IF($I4639="","(trống REF)",IFERROR(INDEX(MASTER_SOURCE!$B$2:$B$495,MATCH($I4639,MASTER_SOURCE!$A$2:$A$495,0)),"(REF không có trong MASTER_SOURCE)")))</f>
        <v/>
      </c>
      <c r="K4639" s="22">
        <f t="array" ref="K4639">IF($D4639="","",IFERROR(INDEX(MASTER_SOURCE!$C$2:$C$495,MATCH($I4639,MASTER_SOURCE!$A$2:$A$495,0)),""))</f>
        <v/>
      </c>
      <c r="L4639" s="22">
        <f t="array" ref="L4639">IF($D4639="","",IFERROR(INDEX(MASTER_SOURCE!$D$2:$D$495,MATCH($I4639,MASTER_SOURCE!$A$2:$A$495,0)),""))</f>
        <v/>
      </c>
      <c r="M4639" s="24" t="n"/>
      <c r="N4639" s="24" t="n"/>
      <c r="O4639" s="24" t="n"/>
      <c r="P4639" s="24" t="n"/>
      <c r="Q4639" s="22">
        <f>IF($D4639="","",IF(AND(OR(DANH_MUC!$L$5&lt;&gt;"Có",M4639="Có"),OR(DANH_MUC!$L$6&lt;&gt;"Có",N4639="Có"),OR(DANH_MUC!$L$7&lt;&gt;"Có",O4639="Có"),OR(DANH_MUC!$L$8&lt;&gt;"Có",P4639="Có")),"Có","Không"))</f>
        <v/>
      </c>
      <c r="R4639" s="22">
        <f>IF($D4639="","",IF(COUNTIF($D$2:$D4639,$D4639)&gt;1,"Trùng",""))</f>
        <v/>
      </c>
      <c r="S4639" s="22">
        <f>IF($D4639="","",IF(AND(LEN($D4639)=10,LEFT($D4639,1)="0",ISNUMBER(--$D4639)),"Có","Không"))</f>
        <v/>
      </c>
      <c r="T4639" s="22">
        <f>IF($D4639="","",IF(AND($C4639&lt;&gt;"",$Q4639="Có",$R4639="",$S4639="Có",AND($L4639&lt;&gt;"",OR($L4639&lt;&gt;"Chưa xác định",DANH_MUC!$L$9="Có"))),"Có","Không"))</f>
        <v/>
      </c>
      <c r="U4639" s="22">
        <f>IF(OR($D4639="",$T4639="Có"),"",IF($C4639="","Thiếu họ tên; ","")&amp;IF($S4639&lt;&gt;"Có","SĐT sai định dạng; ","")&amp;IF($R4639="Trùng","Trùng SĐT; ","")&amp;IF($Q4639&lt;&gt;"Có","Thiếu đồng ý bắt buộc; ","")&amp;IF($L4639="","Thiếu/sai Mã REF; ",IF(AND($L4639="Chưa xác định",DANH_MUC!$L$9&lt;&gt;"Có"),"Nguồn chưa xác định; ","")))</f>
        <v/>
      </c>
      <c r="V4639" s="22">
        <f>IF(OR($D4639="",$R4639="Trùng"),"",IF(COUNTIF(ORDERS!$C$2:$C$4995,$D4639)&gt;0,"Có","Không"))</f>
        <v/>
      </c>
      <c r="W4639" s="22">
        <f>IF(OR($D4639="",$R4639="Trùng"),"",COUNTIFS(ORDERS!$C$2:$C$4995,$D4639,ORDERS!$L$2:$L$4995,"Đã chuyển khoản"))</f>
        <v/>
      </c>
      <c r="X4639" s="23">
        <f>IF(OR($D4639="",$R4639="Trùng"),"",SUMIFS(ORDERS!$J$2:$J$4995,ORDERS!$C$2:$C$4995,$D4639,ORDERS!$L$2:$L$4995,"Đã chuyển khoản"))</f>
        <v/>
      </c>
      <c r="Y4639" s="24" t="n"/>
    </row>
    <row r="4640" ht="14.25" customHeight="1" s="40">
      <c r="A4640" s="24" t="n"/>
      <c r="B4640" s="27" t="n"/>
      <c r="C4640" s="24" t="n"/>
      <c r="D4640" s="28" t="n"/>
      <c r="E4640" s="29" t="n"/>
      <c r="F4640" s="24" t="n"/>
      <c r="G4640" s="24" t="n"/>
      <c r="H4640" s="21">
        <f>IF(ISNUMBER($B4640),INT($B4640)-WEEKDAY($B4640,2)+1,"")</f>
        <v/>
      </c>
      <c r="I4640" s="24" t="n"/>
      <c r="J4640" s="22">
        <f t="array" ref="J4640">IF($D4640="","",IF($I4640="","(trống REF)",IFERROR(INDEX(MASTER_SOURCE!$B$2:$B$495,MATCH($I4640,MASTER_SOURCE!$A$2:$A$495,0)),"(REF không có trong MASTER_SOURCE)")))</f>
        <v/>
      </c>
      <c r="K4640" s="22">
        <f t="array" ref="K4640">IF($D4640="","",IFERROR(INDEX(MASTER_SOURCE!$C$2:$C$495,MATCH($I4640,MASTER_SOURCE!$A$2:$A$495,0)),""))</f>
        <v/>
      </c>
      <c r="L4640" s="22">
        <f t="array" ref="L4640">IF($D4640="","",IFERROR(INDEX(MASTER_SOURCE!$D$2:$D$495,MATCH($I4640,MASTER_SOURCE!$A$2:$A$495,0)),""))</f>
        <v/>
      </c>
      <c r="M4640" s="24" t="n"/>
      <c r="N4640" s="24" t="n"/>
      <c r="O4640" s="24" t="n"/>
      <c r="P4640" s="24" t="n"/>
      <c r="Q4640" s="22">
        <f>IF($D4640="","",IF(AND(OR(DANH_MUC!$L$5&lt;&gt;"Có",M4640="Có"),OR(DANH_MUC!$L$6&lt;&gt;"Có",N4640="Có"),OR(DANH_MUC!$L$7&lt;&gt;"Có",O4640="Có"),OR(DANH_MUC!$L$8&lt;&gt;"Có",P4640="Có")),"Có","Không"))</f>
        <v/>
      </c>
      <c r="R4640" s="22">
        <f>IF($D4640="","",IF(COUNTIF($D$2:$D4640,$D4640)&gt;1,"Trùng",""))</f>
        <v/>
      </c>
      <c r="S4640" s="22">
        <f>IF($D4640="","",IF(AND(LEN($D4640)=10,LEFT($D4640,1)="0",ISNUMBER(--$D4640)),"Có","Không"))</f>
        <v/>
      </c>
      <c r="T4640" s="22">
        <f>IF($D4640="","",IF(AND($C4640&lt;&gt;"",$Q4640="Có",$R4640="",$S4640="Có",AND($L4640&lt;&gt;"",OR($L4640&lt;&gt;"Chưa xác định",DANH_MUC!$L$9="Có"))),"Có","Không"))</f>
        <v/>
      </c>
      <c r="U4640" s="22">
        <f>IF(OR($D4640="",$T4640="Có"),"",IF($C4640="","Thiếu họ tên; ","")&amp;IF($S4640&lt;&gt;"Có","SĐT sai định dạng; ","")&amp;IF($R4640="Trùng","Trùng SĐT; ","")&amp;IF($Q4640&lt;&gt;"Có","Thiếu đồng ý bắt buộc; ","")&amp;IF($L4640="","Thiếu/sai Mã REF; ",IF(AND($L4640="Chưa xác định",DANH_MUC!$L$9&lt;&gt;"Có"),"Nguồn chưa xác định; ","")))</f>
        <v/>
      </c>
      <c r="V4640" s="22">
        <f>IF(OR($D4640="",$R4640="Trùng"),"",IF(COUNTIF(ORDERS!$C$2:$C$4995,$D4640)&gt;0,"Có","Không"))</f>
        <v/>
      </c>
      <c r="W4640" s="22">
        <f>IF(OR($D4640="",$R4640="Trùng"),"",COUNTIFS(ORDERS!$C$2:$C$4995,$D4640,ORDERS!$L$2:$L$4995,"Đã chuyển khoản"))</f>
        <v/>
      </c>
      <c r="X4640" s="23">
        <f>IF(OR($D4640="",$R4640="Trùng"),"",SUMIFS(ORDERS!$J$2:$J$4995,ORDERS!$C$2:$C$4995,$D4640,ORDERS!$L$2:$L$4995,"Đã chuyển khoản"))</f>
        <v/>
      </c>
      <c r="Y4640" s="24" t="n"/>
    </row>
    <row r="4641" ht="14.25" customHeight="1" s="40">
      <c r="A4641" s="24" t="n"/>
      <c r="B4641" s="27" t="n"/>
      <c r="C4641" s="24" t="n"/>
      <c r="D4641" s="28" t="n"/>
      <c r="E4641" s="29" t="n"/>
      <c r="F4641" s="24" t="n"/>
      <c r="G4641" s="24" t="n"/>
      <c r="H4641" s="21">
        <f>IF(ISNUMBER($B4641),INT($B4641)-WEEKDAY($B4641,2)+1,"")</f>
        <v/>
      </c>
      <c r="I4641" s="24" t="n"/>
      <c r="J4641" s="22">
        <f t="array" ref="J4641">IF($D4641="","",IF($I4641="","(trống REF)",IFERROR(INDEX(MASTER_SOURCE!$B$2:$B$495,MATCH($I4641,MASTER_SOURCE!$A$2:$A$495,0)),"(REF không có trong MASTER_SOURCE)")))</f>
        <v/>
      </c>
      <c r="K4641" s="22">
        <f t="array" ref="K4641">IF($D4641="","",IFERROR(INDEX(MASTER_SOURCE!$C$2:$C$495,MATCH($I4641,MASTER_SOURCE!$A$2:$A$495,0)),""))</f>
        <v/>
      </c>
      <c r="L4641" s="22">
        <f t="array" ref="L4641">IF($D4641="","",IFERROR(INDEX(MASTER_SOURCE!$D$2:$D$495,MATCH($I4641,MASTER_SOURCE!$A$2:$A$495,0)),""))</f>
        <v/>
      </c>
      <c r="M4641" s="24" t="n"/>
      <c r="N4641" s="24" t="n"/>
      <c r="O4641" s="24" t="n"/>
      <c r="P4641" s="24" t="n"/>
      <c r="Q4641" s="22">
        <f>IF($D4641="","",IF(AND(OR(DANH_MUC!$L$5&lt;&gt;"Có",M4641="Có"),OR(DANH_MUC!$L$6&lt;&gt;"Có",N4641="Có"),OR(DANH_MUC!$L$7&lt;&gt;"Có",O4641="Có"),OR(DANH_MUC!$L$8&lt;&gt;"Có",P4641="Có")),"Có","Không"))</f>
        <v/>
      </c>
      <c r="R4641" s="22">
        <f>IF($D4641="","",IF(COUNTIF($D$2:$D4641,$D4641)&gt;1,"Trùng",""))</f>
        <v/>
      </c>
      <c r="S4641" s="22">
        <f>IF($D4641="","",IF(AND(LEN($D4641)=10,LEFT($D4641,1)="0",ISNUMBER(--$D4641)),"Có","Không"))</f>
        <v/>
      </c>
      <c r="T4641" s="22">
        <f>IF($D4641="","",IF(AND($C4641&lt;&gt;"",$Q4641="Có",$R4641="",$S4641="Có",AND($L4641&lt;&gt;"",OR($L4641&lt;&gt;"Chưa xác định",DANH_MUC!$L$9="Có"))),"Có","Không"))</f>
        <v/>
      </c>
      <c r="U4641" s="22">
        <f>IF(OR($D4641="",$T4641="Có"),"",IF($C4641="","Thiếu họ tên; ","")&amp;IF($S4641&lt;&gt;"Có","SĐT sai định dạng; ","")&amp;IF($R4641="Trùng","Trùng SĐT; ","")&amp;IF($Q4641&lt;&gt;"Có","Thiếu đồng ý bắt buộc; ","")&amp;IF($L4641="","Thiếu/sai Mã REF; ",IF(AND($L4641="Chưa xác định",DANH_MUC!$L$9&lt;&gt;"Có"),"Nguồn chưa xác định; ","")))</f>
        <v/>
      </c>
      <c r="V4641" s="22">
        <f>IF(OR($D4641="",$R4641="Trùng"),"",IF(COUNTIF(ORDERS!$C$2:$C$4995,$D4641)&gt;0,"Có","Không"))</f>
        <v/>
      </c>
      <c r="W4641" s="22">
        <f>IF(OR($D4641="",$R4641="Trùng"),"",COUNTIFS(ORDERS!$C$2:$C$4995,$D4641,ORDERS!$L$2:$L$4995,"Đã chuyển khoản"))</f>
        <v/>
      </c>
      <c r="X4641" s="23">
        <f>IF(OR($D4641="",$R4641="Trùng"),"",SUMIFS(ORDERS!$J$2:$J$4995,ORDERS!$C$2:$C$4995,$D4641,ORDERS!$L$2:$L$4995,"Đã chuyển khoản"))</f>
        <v/>
      </c>
      <c r="Y4641" s="24" t="n"/>
    </row>
    <row r="4642" ht="14.25" customHeight="1" s="40">
      <c r="A4642" s="24" t="n"/>
      <c r="B4642" s="27" t="n"/>
      <c r="C4642" s="24" t="n"/>
      <c r="D4642" s="28" t="n"/>
      <c r="E4642" s="29" t="n"/>
      <c r="F4642" s="24" t="n"/>
      <c r="G4642" s="24" t="n"/>
      <c r="H4642" s="21">
        <f>IF(ISNUMBER($B4642),INT($B4642)-WEEKDAY($B4642,2)+1,"")</f>
        <v/>
      </c>
      <c r="I4642" s="24" t="n"/>
      <c r="J4642" s="22">
        <f t="array" ref="J4642">IF($D4642="","",IF($I4642="","(trống REF)",IFERROR(INDEX(MASTER_SOURCE!$B$2:$B$495,MATCH($I4642,MASTER_SOURCE!$A$2:$A$495,0)),"(REF không có trong MASTER_SOURCE)")))</f>
        <v/>
      </c>
      <c r="K4642" s="22">
        <f t="array" ref="K4642">IF($D4642="","",IFERROR(INDEX(MASTER_SOURCE!$C$2:$C$495,MATCH($I4642,MASTER_SOURCE!$A$2:$A$495,0)),""))</f>
        <v/>
      </c>
      <c r="L4642" s="22">
        <f t="array" ref="L4642">IF($D4642="","",IFERROR(INDEX(MASTER_SOURCE!$D$2:$D$495,MATCH($I4642,MASTER_SOURCE!$A$2:$A$495,0)),""))</f>
        <v/>
      </c>
      <c r="M4642" s="24" t="n"/>
      <c r="N4642" s="24" t="n"/>
      <c r="O4642" s="24" t="n"/>
      <c r="P4642" s="24" t="n"/>
      <c r="Q4642" s="22">
        <f>IF($D4642="","",IF(AND(OR(DANH_MUC!$L$5&lt;&gt;"Có",M4642="Có"),OR(DANH_MUC!$L$6&lt;&gt;"Có",N4642="Có"),OR(DANH_MUC!$L$7&lt;&gt;"Có",O4642="Có"),OR(DANH_MUC!$L$8&lt;&gt;"Có",P4642="Có")),"Có","Không"))</f>
        <v/>
      </c>
      <c r="R4642" s="22">
        <f>IF($D4642="","",IF(COUNTIF($D$2:$D4642,$D4642)&gt;1,"Trùng",""))</f>
        <v/>
      </c>
      <c r="S4642" s="22">
        <f>IF($D4642="","",IF(AND(LEN($D4642)=10,LEFT($D4642,1)="0",ISNUMBER(--$D4642)),"Có","Không"))</f>
        <v/>
      </c>
      <c r="T4642" s="22">
        <f>IF($D4642="","",IF(AND($C4642&lt;&gt;"",$Q4642="Có",$R4642="",$S4642="Có",AND($L4642&lt;&gt;"",OR($L4642&lt;&gt;"Chưa xác định",DANH_MUC!$L$9="Có"))),"Có","Không"))</f>
        <v/>
      </c>
      <c r="U4642" s="22">
        <f>IF(OR($D4642="",$T4642="Có"),"",IF($C4642="","Thiếu họ tên; ","")&amp;IF($S4642&lt;&gt;"Có","SĐT sai định dạng; ","")&amp;IF($R4642="Trùng","Trùng SĐT; ","")&amp;IF($Q4642&lt;&gt;"Có","Thiếu đồng ý bắt buộc; ","")&amp;IF($L4642="","Thiếu/sai Mã REF; ",IF(AND($L4642="Chưa xác định",DANH_MUC!$L$9&lt;&gt;"Có"),"Nguồn chưa xác định; ","")))</f>
        <v/>
      </c>
      <c r="V4642" s="22">
        <f>IF(OR($D4642="",$R4642="Trùng"),"",IF(COUNTIF(ORDERS!$C$2:$C$4995,$D4642)&gt;0,"Có","Không"))</f>
        <v/>
      </c>
      <c r="W4642" s="22">
        <f>IF(OR($D4642="",$R4642="Trùng"),"",COUNTIFS(ORDERS!$C$2:$C$4995,$D4642,ORDERS!$L$2:$L$4995,"Đã chuyển khoản"))</f>
        <v/>
      </c>
      <c r="X4642" s="23">
        <f>IF(OR($D4642="",$R4642="Trùng"),"",SUMIFS(ORDERS!$J$2:$J$4995,ORDERS!$C$2:$C$4995,$D4642,ORDERS!$L$2:$L$4995,"Đã chuyển khoản"))</f>
        <v/>
      </c>
      <c r="Y4642" s="24" t="n"/>
    </row>
    <row r="4643" ht="14.25" customHeight="1" s="40">
      <c r="A4643" s="24" t="n"/>
      <c r="B4643" s="27" t="n"/>
      <c r="C4643" s="24" t="n"/>
      <c r="D4643" s="28" t="n"/>
      <c r="E4643" s="29" t="n"/>
      <c r="F4643" s="24" t="n"/>
      <c r="G4643" s="24" t="n"/>
      <c r="H4643" s="21">
        <f>IF(ISNUMBER($B4643),INT($B4643)-WEEKDAY($B4643,2)+1,"")</f>
        <v/>
      </c>
      <c r="I4643" s="24" t="n"/>
      <c r="J4643" s="22">
        <f t="array" ref="J4643">IF($D4643="","",IF($I4643="","(trống REF)",IFERROR(INDEX(MASTER_SOURCE!$B$2:$B$495,MATCH($I4643,MASTER_SOURCE!$A$2:$A$495,0)),"(REF không có trong MASTER_SOURCE)")))</f>
        <v/>
      </c>
      <c r="K4643" s="22">
        <f t="array" ref="K4643">IF($D4643="","",IFERROR(INDEX(MASTER_SOURCE!$C$2:$C$495,MATCH($I4643,MASTER_SOURCE!$A$2:$A$495,0)),""))</f>
        <v/>
      </c>
      <c r="L4643" s="22">
        <f t="array" ref="L4643">IF($D4643="","",IFERROR(INDEX(MASTER_SOURCE!$D$2:$D$495,MATCH($I4643,MASTER_SOURCE!$A$2:$A$495,0)),""))</f>
        <v/>
      </c>
      <c r="M4643" s="24" t="n"/>
      <c r="N4643" s="24" t="n"/>
      <c r="O4643" s="24" t="n"/>
      <c r="P4643" s="24" t="n"/>
      <c r="Q4643" s="22">
        <f>IF($D4643="","",IF(AND(OR(DANH_MUC!$L$5&lt;&gt;"Có",M4643="Có"),OR(DANH_MUC!$L$6&lt;&gt;"Có",N4643="Có"),OR(DANH_MUC!$L$7&lt;&gt;"Có",O4643="Có"),OR(DANH_MUC!$L$8&lt;&gt;"Có",P4643="Có")),"Có","Không"))</f>
        <v/>
      </c>
      <c r="R4643" s="22">
        <f>IF($D4643="","",IF(COUNTIF($D$2:$D4643,$D4643)&gt;1,"Trùng",""))</f>
        <v/>
      </c>
      <c r="S4643" s="22">
        <f>IF($D4643="","",IF(AND(LEN($D4643)=10,LEFT($D4643,1)="0",ISNUMBER(--$D4643)),"Có","Không"))</f>
        <v/>
      </c>
      <c r="T4643" s="22">
        <f>IF($D4643="","",IF(AND($C4643&lt;&gt;"",$Q4643="Có",$R4643="",$S4643="Có",AND($L4643&lt;&gt;"",OR($L4643&lt;&gt;"Chưa xác định",DANH_MUC!$L$9="Có"))),"Có","Không"))</f>
        <v/>
      </c>
      <c r="U4643" s="22">
        <f>IF(OR($D4643="",$T4643="Có"),"",IF($C4643="","Thiếu họ tên; ","")&amp;IF($S4643&lt;&gt;"Có","SĐT sai định dạng; ","")&amp;IF($R4643="Trùng","Trùng SĐT; ","")&amp;IF($Q4643&lt;&gt;"Có","Thiếu đồng ý bắt buộc; ","")&amp;IF($L4643="","Thiếu/sai Mã REF; ",IF(AND($L4643="Chưa xác định",DANH_MUC!$L$9&lt;&gt;"Có"),"Nguồn chưa xác định; ","")))</f>
        <v/>
      </c>
      <c r="V4643" s="22">
        <f>IF(OR($D4643="",$R4643="Trùng"),"",IF(COUNTIF(ORDERS!$C$2:$C$4995,$D4643)&gt;0,"Có","Không"))</f>
        <v/>
      </c>
      <c r="W4643" s="22">
        <f>IF(OR($D4643="",$R4643="Trùng"),"",COUNTIFS(ORDERS!$C$2:$C$4995,$D4643,ORDERS!$L$2:$L$4995,"Đã chuyển khoản"))</f>
        <v/>
      </c>
      <c r="X4643" s="23">
        <f>IF(OR($D4643="",$R4643="Trùng"),"",SUMIFS(ORDERS!$J$2:$J$4995,ORDERS!$C$2:$C$4995,$D4643,ORDERS!$L$2:$L$4995,"Đã chuyển khoản"))</f>
        <v/>
      </c>
      <c r="Y4643" s="24" t="n"/>
    </row>
    <row r="4644" ht="14.25" customHeight="1" s="40">
      <c r="A4644" s="24" t="n"/>
      <c r="B4644" s="27" t="n"/>
      <c r="C4644" s="24" t="n"/>
      <c r="D4644" s="28" t="n"/>
      <c r="E4644" s="29" t="n"/>
      <c r="F4644" s="24" t="n"/>
      <c r="G4644" s="24" t="n"/>
      <c r="H4644" s="21">
        <f>IF(ISNUMBER($B4644),INT($B4644)-WEEKDAY($B4644,2)+1,"")</f>
        <v/>
      </c>
      <c r="I4644" s="24" t="n"/>
      <c r="J4644" s="22">
        <f t="array" ref="J4644">IF($D4644="","",IF($I4644="","(trống REF)",IFERROR(INDEX(MASTER_SOURCE!$B$2:$B$495,MATCH($I4644,MASTER_SOURCE!$A$2:$A$495,0)),"(REF không có trong MASTER_SOURCE)")))</f>
        <v/>
      </c>
      <c r="K4644" s="22">
        <f t="array" ref="K4644">IF($D4644="","",IFERROR(INDEX(MASTER_SOURCE!$C$2:$C$495,MATCH($I4644,MASTER_SOURCE!$A$2:$A$495,0)),""))</f>
        <v/>
      </c>
      <c r="L4644" s="22">
        <f t="array" ref="L4644">IF($D4644="","",IFERROR(INDEX(MASTER_SOURCE!$D$2:$D$495,MATCH($I4644,MASTER_SOURCE!$A$2:$A$495,0)),""))</f>
        <v/>
      </c>
      <c r="M4644" s="24" t="n"/>
      <c r="N4644" s="24" t="n"/>
      <c r="O4644" s="24" t="n"/>
      <c r="P4644" s="24" t="n"/>
      <c r="Q4644" s="22">
        <f>IF($D4644="","",IF(AND(OR(DANH_MUC!$L$5&lt;&gt;"Có",M4644="Có"),OR(DANH_MUC!$L$6&lt;&gt;"Có",N4644="Có"),OR(DANH_MUC!$L$7&lt;&gt;"Có",O4644="Có"),OR(DANH_MUC!$L$8&lt;&gt;"Có",P4644="Có")),"Có","Không"))</f>
        <v/>
      </c>
      <c r="R4644" s="22">
        <f>IF($D4644="","",IF(COUNTIF($D$2:$D4644,$D4644)&gt;1,"Trùng",""))</f>
        <v/>
      </c>
      <c r="S4644" s="22">
        <f>IF($D4644="","",IF(AND(LEN($D4644)=10,LEFT($D4644,1)="0",ISNUMBER(--$D4644)),"Có","Không"))</f>
        <v/>
      </c>
      <c r="T4644" s="22">
        <f>IF($D4644="","",IF(AND($C4644&lt;&gt;"",$Q4644="Có",$R4644="",$S4644="Có",AND($L4644&lt;&gt;"",OR($L4644&lt;&gt;"Chưa xác định",DANH_MUC!$L$9="Có"))),"Có","Không"))</f>
        <v/>
      </c>
      <c r="U4644" s="22">
        <f>IF(OR($D4644="",$T4644="Có"),"",IF($C4644="","Thiếu họ tên; ","")&amp;IF($S4644&lt;&gt;"Có","SĐT sai định dạng; ","")&amp;IF($R4644="Trùng","Trùng SĐT; ","")&amp;IF($Q4644&lt;&gt;"Có","Thiếu đồng ý bắt buộc; ","")&amp;IF($L4644="","Thiếu/sai Mã REF; ",IF(AND($L4644="Chưa xác định",DANH_MUC!$L$9&lt;&gt;"Có"),"Nguồn chưa xác định; ","")))</f>
        <v/>
      </c>
      <c r="V4644" s="22">
        <f>IF(OR($D4644="",$R4644="Trùng"),"",IF(COUNTIF(ORDERS!$C$2:$C$4995,$D4644)&gt;0,"Có","Không"))</f>
        <v/>
      </c>
      <c r="W4644" s="22">
        <f>IF(OR($D4644="",$R4644="Trùng"),"",COUNTIFS(ORDERS!$C$2:$C$4995,$D4644,ORDERS!$L$2:$L$4995,"Đã chuyển khoản"))</f>
        <v/>
      </c>
      <c r="X4644" s="23">
        <f>IF(OR($D4644="",$R4644="Trùng"),"",SUMIFS(ORDERS!$J$2:$J$4995,ORDERS!$C$2:$C$4995,$D4644,ORDERS!$L$2:$L$4995,"Đã chuyển khoản"))</f>
        <v/>
      </c>
      <c r="Y4644" s="24" t="n"/>
    </row>
    <row r="4645" ht="14.25" customHeight="1" s="40">
      <c r="A4645" s="24" t="n"/>
      <c r="B4645" s="27" t="n"/>
      <c r="C4645" s="24" t="n"/>
      <c r="D4645" s="28" t="n"/>
      <c r="E4645" s="29" t="n"/>
      <c r="F4645" s="24" t="n"/>
      <c r="G4645" s="24" t="n"/>
      <c r="H4645" s="21">
        <f>IF(ISNUMBER($B4645),INT($B4645)-WEEKDAY($B4645,2)+1,"")</f>
        <v/>
      </c>
      <c r="I4645" s="24" t="n"/>
      <c r="J4645" s="22">
        <f t="array" ref="J4645">IF($D4645="","",IF($I4645="","(trống REF)",IFERROR(INDEX(MASTER_SOURCE!$B$2:$B$495,MATCH($I4645,MASTER_SOURCE!$A$2:$A$495,0)),"(REF không có trong MASTER_SOURCE)")))</f>
        <v/>
      </c>
      <c r="K4645" s="22">
        <f t="array" ref="K4645">IF($D4645="","",IFERROR(INDEX(MASTER_SOURCE!$C$2:$C$495,MATCH($I4645,MASTER_SOURCE!$A$2:$A$495,0)),""))</f>
        <v/>
      </c>
      <c r="L4645" s="22">
        <f t="array" ref="L4645">IF($D4645="","",IFERROR(INDEX(MASTER_SOURCE!$D$2:$D$495,MATCH($I4645,MASTER_SOURCE!$A$2:$A$495,0)),""))</f>
        <v/>
      </c>
      <c r="M4645" s="24" t="n"/>
      <c r="N4645" s="24" t="n"/>
      <c r="O4645" s="24" t="n"/>
      <c r="P4645" s="24" t="n"/>
      <c r="Q4645" s="22">
        <f>IF($D4645="","",IF(AND(OR(DANH_MUC!$L$5&lt;&gt;"Có",M4645="Có"),OR(DANH_MUC!$L$6&lt;&gt;"Có",N4645="Có"),OR(DANH_MUC!$L$7&lt;&gt;"Có",O4645="Có"),OR(DANH_MUC!$L$8&lt;&gt;"Có",P4645="Có")),"Có","Không"))</f>
        <v/>
      </c>
      <c r="R4645" s="22">
        <f>IF($D4645="","",IF(COUNTIF($D$2:$D4645,$D4645)&gt;1,"Trùng",""))</f>
        <v/>
      </c>
      <c r="S4645" s="22">
        <f>IF($D4645="","",IF(AND(LEN($D4645)=10,LEFT($D4645,1)="0",ISNUMBER(--$D4645)),"Có","Không"))</f>
        <v/>
      </c>
      <c r="T4645" s="22">
        <f>IF($D4645="","",IF(AND($C4645&lt;&gt;"",$Q4645="Có",$R4645="",$S4645="Có",AND($L4645&lt;&gt;"",OR($L4645&lt;&gt;"Chưa xác định",DANH_MUC!$L$9="Có"))),"Có","Không"))</f>
        <v/>
      </c>
      <c r="U4645" s="22">
        <f>IF(OR($D4645="",$T4645="Có"),"",IF($C4645="","Thiếu họ tên; ","")&amp;IF($S4645&lt;&gt;"Có","SĐT sai định dạng; ","")&amp;IF($R4645="Trùng","Trùng SĐT; ","")&amp;IF($Q4645&lt;&gt;"Có","Thiếu đồng ý bắt buộc; ","")&amp;IF($L4645="","Thiếu/sai Mã REF; ",IF(AND($L4645="Chưa xác định",DANH_MUC!$L$9&lt;&gt;"Có"),"Nguồn chưa xác định; ","")))</f>
        <v/>
      </c>
      <c r="V4645" s="22">
        <f>IF(OR($D4645="",$R4645="Trùng"),"",IF(COUNTIF(ORDERS!$C$2:$C$4995,$D4645)&gt;0,"Có","Không"))</f>
        <v/>
      </c>
      <c r="W4645" s="22">
        <f>IF(OR($D4645="",$R4645="Trùng"),"",COUNTIFS(ORDERS!$C$2:$C$4995,$D4645,ORDERS!$L$2:$L$4995,"Đã chuyển khoản"))</f>
        <v/>
      </c>
      <c r="X4645" s="23">
        <f>IF(OR($D4645="",$R4645="Trùng"),"",SUMIFS(ORDERS!$J$2:$J$4995,ORDERS!$C$2:$C$4995,$D4645,ORDERS!$L$2:$L$4995,"Đã chuyển khoản"))</f>
        <v/>
      </c>
      <c r="Y4645" s="24" t="n"/>
    </row>
    <row r="4646" ht="14.25" customHeight="1" s="40">
      <c r="A4646" s="24" t="n"/>
      <c r="B4646" s="27" t="n"/>
      <c r="C4646" s="24" t="n"/>
      <c r="D4646" s="28" t="n"/>
      <c r="E4646" s="29" t="n"/>
      <c r="F4646" s="24" t="n"/>
      <c r="G4646" s="24" t="n"/>
      <c r="H4646" s="21">
        <f>IF(ISNUMBER($B4646),INT($B4646)-WEEKDAY($B4646,2)+1,"")</f>
        <v/>
      </c>
      <c r="I4646" s="24" t="n"/>
      <c r="J4646" s="22">
        <f t="array" ref="J4646">IF($D4646="","",IF($I4646="","(trống REF)",IFERROR(INDEX(MASTER_SOURCE!$B$2:$B$495,MATCH($I4646,MASTER_SOURCE!$A$2:$A$495,0)),"(REF không có trong MASTER_SOURCE)")))</f>
        <v/>
      </c>
      <c r="K4646" s="22">
        <f t="array" ref="K4646">IF($D4646="","",IFERROR(INDEX(MASTER_SOURCE!$C$2:$C$495,MATCH($I4646,MASTER_SOURCE!$A$2:$A$495,0)),""))</f>
        <v/>
      </c>
      <c r="L4646" s="22">
        <f t="array" ref="L4646">IF($D4646="","",IFERROR(INDEX(MASTER_SOURCE!$D$2:$D$495,MATCH($I4646,MASTER_SOURCE!$A$2:$A$495,0)),""))</f>
        <v/>
      </c>
      <c r="M4646" s="24" t="n"/>
      <c r="N4646" s="24" t="n"/>
      <c r="O4646" s="24" t="n"/>
      <c r="P4646" s="24" t="n"/>
      <c r="Q4646" s="22">
        <f>IF($D4646="","",IF(AND(OR(DANH_MUC!$L$5&lt;&gt;"Có",M4646="Có"),OR(DANH_MUC!$L$6&lt;&gt;"Có",N4646="Có"),OR(DANH_MUC!$L$7&lt;&gt;"Có",O4646="Có"),OR(DANH_MUC!$L$8&lt;&gt;"Có",P4646="Có")),"Có","Không"))</f>
        <v/>
      </c>
      <c r="R4646" s="22">
        <f>IF($D4646="","",IF(COUNTIF($D$2:$D4646,$D4646)&gt;1,"Trùng",""))</f>
        <v/>
      </c>
      <c r="S4646" s="22">
        <f>IF($D4646="","",IF(AND(LEN($D4646)=10,LEFT($D4646,1)="0",ISNUMBER(--$D4646)),"Có","Không"))</f>
        <v/>
      </c>
      <c r="T4646" s="22">
        <f>IF($D4646="","",IF(AND($C4646&lt;&gt;"",$Q4646="Có",$R4646="",$S4646="Có",AND($L4646&lt;&gt;"",OR($L4646&lt;&gt;"Chưa xác định",DANH_MUC!$L$9="Có"))),"Có","Không"))</f>
        <v/>
      </c>
      <c r="U4646" s="22">
        <f>IF(OR($D4646="",$T4646="Có"),"",IF($C4646="","Thiếu họ tên; ","")&amp;IF($S4646&lt;&gt;"Có","SĐT sai định dạng; ","")&amp;IF($R4646="Trùng","Trùng SĐT; ","")&amp;IF($Q4646&lt;&gt;"Có","Thiếu đồng ý bắt buộc; ","")&amp;IF($L4646="","Thiếu/sai Mã REF; ",IF(AND($L4646="Chưa xác định",DANH_MUC!$L$9&lt;&gt;"Có"),"Nguồn chưa xác định; ","")))</f>
        <v/>
      </c>
      <c r="V4646" s="22">
        <f>IF(OR($D4646="",$R4646="Trùng"),"",IF(COUNTIF(ORDERS!$C$2:$C$4995,$D4646)&gt;0,"Có","Không"))</f>
        <v/>
      </c>
      <c r="W4646" s="22">
        <f>IF(OR($D4646="",$R4646="Trùng"),"",COUNTIFS(ORDERS!$C$2:$C$4995,$D4646,ORDERS!$L$2:$L$4995,"Đã chuyển khoản"))</f>
        <v/>
      </c>
      <c r="X4646" s="23">
        <f>IF(OR($D4646="",$R4646="Trùng"),"",SUMIFS(ORDERS!$J$2:$J$4995,ORDERS!$C$2:$C$4995,$D4646,ORDERS!$L$2:$L$4995,"Đã chuyển khoản"))</f>
        <v/>
      </c>
      <c r="Y4646" s="24" t="n"/>
    </row>
    <row r="4647" ht="14.25" customHeight="1" s="40">
      <c r="A4647" s="24" t="n"/>
      <c r="B4647" s="27" t="n"/>
      <c r="C4647" s="24" t="n"/>
      <c r="D4647" s="28" t="n"/>
      <c r="E4647" s="29" t="n"/>
      <c r="F4647" s="24" t="n"/>
      <c r="G4647" s="24" t="n"/>
      <c r="H4647" s="21">
        <f>IF(ISNUMBER($B4647),INT($B4647)-WEEKDAY($B4647,2)+1,"")</f>
        <v/>
      </c>
      <c r="I4647" s="24" t="n"/>
      <c r="J4647" s="22">
        <f t="array" ref="J4647">IF($D4647="","",IF($I4647="","(trống REF)",IFERROR(INDEX(MASTER_SOURCE!$B$2:$B$495,MATCH($I4647,MASTER_SOURCE!$A$2:$A$495,0)),"(REF không có trong MASTER_SOURCE)")))</f>
        <v/>
      </c>
      <c r="K4647" s="22">
        <f t="array" ref="K4647">IF($D4647="","",IFERROR(INDEX(MASTER_SOURCE!$C$2:$C$495,MATCH($I4647,MASTER_SOURCE!$A$2:$A$495,0)),""))</f>
        <v/>
      </c>
      <c r="L4647" s="22">
        <f t="array" ref="L4647">IF($D4647="","",IFERROR(INDEX(MASTER_SOURCE!$D$2:$D$495,MATCH($I4647,MASTER_SOURCE!$A$2:$A$495,0)),""))</f>
        <v/>
      </c>
      <c r="M4647" s="24" t="n"/>
      <c r="N4647" s="24" t="n"/>
      <c r="O4647" s="24" t="n"/>
      <c r="P4647" s="24" t="n"/>
      <c r="Q4647" s="22">
        <f>IF($D4647="","",IF(AND(OR(DANH_MUC!$L$5&lt;&gt;"Có",M4647="Có"),OR(DANH_MUC!$L$6&lt;&gt;"Có",N4647="Có"),OR(DANH_MUC!$L$7&lt;&gt;"Có",O4647="Có"),OR(DANH_MUC!$L$8&lt;&gt;"Có",P4647="Có")),"Có","Không"))</f>
        <v/>
      </c>
      <c r="R4647" s="22">
        <f>IF($D4647="","",IF(COUNTIF($D$2:$D4647,$D4647)&gt;1,"Trùng",""))</f>
        <v/>
      </c>
      <c r="S4647" s="22">
        <f>IF($D4647="","",IF(AND(LEN($D4647)=10,LEFT($D4647,1)="0",ISNUMBER(--$D4647)),"Có","Không"))</f>
        <v/>
      </c>
      <c r="T4647" s="22">
        <f>IF($D4647="","",IF(AND($C4647&lt;&gt;"",$Q4647="Có",$R4647="",$S4647="Có",AND($L4647&lt;&gt;"",OR($L4647&lt;&gt;"Chưa xác định",DANH_MUC!$L$9="Có"))),"Có","Không"))</f>
        <v/>
      </c>
      <c r="U4647" s="22">
        <f>IF(OR($D4647="",$T4647="Có"),"",IF($C4647="","Thiếu họ tên; ","")&amp;IF($S4647&lt;&gt;"Có","SĐT sai định dạng; ","")&amp;IF($R4647="Trùng","Trùng SĐT; ","")&amp;IF($Q4647&lt;&gt;"Có","Thiếu đồng ý bắt buộc; ","")&amp;IF($L4647="","Thiếu/sai Mã REF; ",IF(AND($L4647="Chưa xác định",DANH_MUC!$L$9&lt;&gt;"Có"),"Nguồn chưa xác định; ","")))</f>
        <v/>
      </c>
      <c r="V4647" s="22">
        <f>IF(OR($D4647="",$R4647="Trùng"),"",IF(COUNTIF(ORDERS!$C$2:$C$4995,$D4647)&gt;0,"Có","Không"))</f>
        <v/>
      </c>
      <c r="W4647" s="22">
        <f>IF(OR($D4647="",$R4647="Trùng"),"",COUNTIFS(ORDERS!$C$2:$C$4995,$D4647,ORDERS!$L$2:$L$4995,"Đã chuyển khoản"))</f>
        <v/>
      </c>
      <c r="X4647" s="23">
        <f>IF(OR($D4647="",$R4647="Trùng"),"",SUMIFS(ORDERS!$J$2:$J$4995,ORDERS!$C$2:$C$4995,$D4647,ORDERS!$L$2:$L$4995,"Đã chuyển khoản"))</f>
        <v/>
      </c>
      <c r="Y4647" s="24" t="n"/>
    </row>
    <row r="4648" ht="14.25" customHeight="1" s="40">
      <c r="A4648" s="24" t="n"/>
      <c r="B4648" s="27" t="n"/>
      <c r="C4648" s="24" t="n"/>
      <c r="D4648" s="28" t="n"/>
      <c r="E4648" s="29" t="n"/>
      <c r="F4648" s="24" t="n"/>
      <c r="G4648" s="24" t="n"/>
      <c r="H4648" s="21">
        <f>IF(ISNUMBER($B4648),INT($B4648)-WEEKDAY($B4648,2)+1,"")</f>
        <v/>
      </c>
      <c r="I4648" s="24" t="n"/>
      <c r="J4648" s="22">
        <f t="array" ref="J4648">IF($D4648="","",IF($I4648="","(trống REF)",IFERROR(INDEX(MASTER_SOURCE!$B$2:$B$495,MATCH($I4648,MASTER_SOURCE!$A$2:$A$495,0)),"(REF không có trong MASTER_SOURCE)")))</f>
        <v/>
      </c>
      <c r="K4648" s="22">
        <f t="array" ref="K4648">IF($D4648="","",IFERROR(INDEX(MASTER_SOURCE!$C$2:$C$495,MATCH($I4648,MASTER_SOURCE!$A$2:$A$495,0)),""))</f>
        <v/>
      </c>
      <c r="L4648" s="22">
        <f t="array" ref="L4648">IF($D4648="","",IFERROR(INDEX(MASTER_SOURCE!$D$2:$D$495,MATCH($I4648,MASTER_SOURCE!$A$2:$A$495,0)),""))</f>
        <v/>
      </c>
      <c r="M4648" s="24" t="n"/>
      <c r="N4648" s="24" t="n"/>
      <c r="O4648" s="24" t="n"/>
      <c r="P4648" s="24" t="n"/>
      <c r="Q4648" s="22">
        <f>IF($D4648="","",IF(AND(OR(DANH_MUC!$L$5&lt;&gt;"Có",M4648="Có"),OR(DANH_MUC!$L$6&lt;&gt;"Có",N4648="Có"),OR(DANH_MUC!$L$7&lt;&gt;"Có",O4648="Có"),OR(DANH_MUC!$L$8&lt;&gt;"Có",P4648="Có")),"Có","Không"))</f>
        <v/>
      </c>
      <c r="R4648" s="22">
        <f>IF($D4648="","",IF(COUNTIF($D$2:$D4648,$D4648)&gt;1,"Trùng",""))</f>
        <v/>
      </c>
      <c r="S4648" s="22">
        <f>IF($D4648="","",IF(AND(LEN($D4648)=10,LEFT($D4648,1)="0",ISNUMBER(--$D4648)),"Có","Không"))</f>
        <v/>
      </c>
      <c r="T4648" s="22">
        <f>IF($D4648="","",IF(AND($C4648&lt;&gt;"",$Q4648="Có",$R4648="",$S4648="Có",AND($L4648&lt;&gt;"",OR($L4648&lt;&gt;"Chưa xác định",DANH_MUC!$L$9="Có"))),"Có","Không"))</f>
        <v/>
      </c>
      <c r="U4648" s="22">
        <f>IF(OR($D4648="",$T4648="Có"),"",IF($C4648="","Thiếu họ tên; ","")&amp;IF($S4648&lt;&gt;"Có","SĐT sai định dạng; ","")&amp;IF($R4648="Trùng","Trùng SĐT; ","")&amp;IF($Q4648&lt;&gt;"Có","Thiếu đồng ý bắt buộc; ","")&amp;IF($L4648="","Thiếu/sai Mã REF; ",IF(AND($L4648="Chưa xác định",DANH_MUC!$L$9&lt;&gt;"Có"),"Nguồn chưa xác định; ","")))</f>
        <v/>
      </c>
      <c r="V4648" s="22">
        <f>IF(OR($D4648="",$R4648="Trùng"),"",IF(COUNTIF(ORDERS!$C$2:$C$4995,$D4648)&gt;0,"Có","Không"))</f>
        <v/>
      </c>
      <c r="W4648" s="22">
        <f>IF(OR($D4648="",$R4648="Trùng"),"",COUNTIFS(ORDERS!$C$2:$C$4995,$D4648,ORDERS!$L$2:$L$4995,"Đã chuyển khoản"))</f>
        <v/>
      </c>
      <c r="X4648" s="23">
        <f>IF(OR($D4648="",$R4648="Trùng"),"",SUMIFS(ORDERS!$J$2:$J$4995,ORDERS!$C$2:$C$4995,$D4648,ORDERS!$L$2:$L$4995,"Đã chuyển khoản"))</f>
        <v/>
      </c>
      <c r="Y4648" s="24" t="n"/>
    </row>
    <row r="4649" ht="14.25" customHeight="1" s="40">
      <c r="A4649" s="24" t="n"/>
      <c r="B4649" s="27" t="n"/>
      <c r="C4649" s="24" t="n"/>
      <c r="D4649" s="28" t="n"/>
      <c r="E4649" s="29" t="n"/>
      <c r="F4649" s="24" t="n"/>
      <c r="G4649" s="24" t="n"/>
      <c r="H4649" s="21">
        <f>IF(ISNUMBER($B4649),INT($B4649)-WEEKDAY($B4649,2)+1,"")</f>
        <v/>
      </c>
      <c r="I4649" s="24" t="n"/>
      <c r="J4649" s="22">
        <f t="array" ref="J4649">IF($D4649="","",IF($I4649="","(trống REF)",IFERROR(INDEX(MASTER_SOURCE!$B$2:$B$495,MATCH($I4649,MASTER_SOURCE!$A$2:$A$495,0)),"(REF không có trong MASTER_SOURCE)")))</f>
        <v/>
      </c>
      <c r="K4649" s="22">
        <f t="array" ref="K4649">IF($D4649="","",IFERROR(INDEX(MASTER_SOURCE!$C$2:$C$495,MATCH($I4649,MASTER_SOURCE!$A$2:$A$495,0)),""))</f>
        <v/>
      </c>
      <c r="L4649" s="22">
        <f t="array" ref="L4649">IF($D4649="","",IFERROR(INDEX(MASTER_SOURCE!$D$2:$D$495,MATCH($I4649,MASTER_SOURCE!$A$2:$A$495,0)),""))</f>
        <v/>
      </c>
      <c r="M4649" s="24" t="n"/>
      <c r="N4649" s="24" t="n"/>
      <c r="O4649" s="24" t="n"/>
      <c r="P4649" s="24" t="n"/>
      <c r="Q4649" s="22">
        <f>IF($D4649="","",IF(AND(OR(DANH_MUC!$L$5&lt;&gt;"Có",M4649="Có"),OR(DANH_MUC!$L$6&lt;&gt;"Có",N4649="Có"),OR(DANH_MUC!$L$7&lt;&gt;"Có",O4649="Có"),OR(DANH_MUC!$L$8&lt;&gt;"Có",P4649="Có")),"Có","Không"))</f>
        <v/>
      </c>
      <c r="R4649" s="22">
        <f>IF($D4649="","",IF(COUNTIF($D$2:$D4649,$D4649)&gt;1,"Trùng",""))</f>
        <v/>
      </c>
      <c r="S4649" s="22">
        <f>IF($D4649="","",IF(AND(LEN($D4649)=10,LEFT($D4649,1)="0",ISNUMBER(--$D4649)),"Có","Không"))</f>
        <v/>
      </c>
      <c r="T4649" s="22">
        <f>IF($D4649="","",IF(AND($C4649&lt;&gt;"",$Q4649="Có",$R4649="",$S4649="Có",AND($L4649&lt;&gt;"",OR($L4649&lt;&gt;"Chưa xác định",DANH_MUC!$L$9="Có"))),"Có","Không"))</f>
        <v/>
      </c>
      <c r="U4649" s="22">
        <f>IF(OR($D4649="",$T4649="Có"),"",IF($C4649="","Thiếu họ tên; ","")&amp;IF($S4649&lt;&gt;"Có","SĐT sai định dạng; ","")&amp;IF($R4649="Trùng","Trùng SĐT; ","")&amp;IF($Q4649&lt;&gt;"Có","Thiếu đồng ý bắt buộc; ","")&amp;IF($L4649="","Thiếu/sai Mã REF; ",IF(AND($L4649="Chưa xác định",DANH_MUC!$L$9&lt;&gt;"Có"),"Nguồn chưa xác định; ","")))</f>
        <v/>
      </c>
      <c r="V4649" s="22">
        <f>IF(OR($D4649="",$R4649="Trùng"),"",IF(COUNTIF(ORDERS!$C$2:$C$4995,$D4649)&gt;0,"Có","Không"))</f>
        <v/>
      </c>
      <c r="W4649" s="22">
        <f>IF(OR($D4649="",$R4649="Trùng"),"",COUNTIFS(ORDERS!$C$2:$C$4995,$D4649,ORDERS!$L$2:$L$4995,"Đã chuyển khoản"))</f>
        <v/>
      </c>
      <c r="X4649" s="23">
        <f>IF(OR($D4649="",$R4649="Trùng"),"",SUMIFS(ORDERS!$J$2:$J$4995,ORDERS!$C$2:$C$4995,$D4649,ORDERS!$L$2:$L$4995,"Đã chuyển khoản"))</f>
        <v/>
      </c>
      <c r="Y4649" s="24" t="n"/>
    </row>
    <row r="4650" ht="14.25" customHeight="1" s="40">
      <c r="A4650" s="24" t="n"/>
      <c r="B4650" s="27" t="n"/>
      <c r="C4650" s="24" t="n"/>
      <c r="D4650" s="28" t="n"/>
      <c r="E4650" s="29" t="n"/>
      <c r="F4650" s="24" t="n"/>
      <c r="G4650" s="24" t="n"/>
      <c r="H4650" s="21">
        <f>IF(ISNUMBER($B4650),INT($B4650)-WEEKDAY($B4650,2)+1,"")</f>
        <v/>
      </c>
      <c r="I4650" s="24" t="n"/>
      <c r="J4650" s="22">
        <f t="array" ref="J4650">IF($D4650="","",IF($I4650="","(trống REF)",IFERROR(INDEX(MASTER_SOURCE!$B$2:$B$495,MATCH($I4650,MASTER_SOURCE!$A$2:$A$495,0)),"(REF không có trong MASTER_SOURCE)")))</f>
        <v/>
      </c>
      <c r="K4650" s="22">
        <f t="array" ref="K4650">IF($D4650="","",IFERROR(INDEX(MASTER_SOURCE!$C$2:$C$495,MATCH($I4650,MASTER_SOURCE!$A$2:$A$495,0)),""))</f>
        <v/>
      </c>
      <c r="L4650" s="22">
        <f t="array" ref="L4650">IF($D4650="","",IFERROR(INDEX(MASTER_SOURCE!$D$2:$D$495,MATCH($I4650,MASTER_SOURCE!$A$2:$A$495,0)),""))</f>
        <v/>
      </c>
      <c r="M4650" s="24" t="n"/>
      <c r="N4650" s="24" t="n"/>
      <c r="O4650" s="24" t="n"/>
      <c r="P4650" s="24" t="n"/>
      <c r="Q4650" s="22">
        <f>IF($D4650="","",IF(AND(OR(DANH_MUC!$L$5&lt;&gt;"Có",M4650="Có"),OR(DANH_MUC!$L$6&lt;&gt;"Có",N4650="Có"),OR(DANH_MUC!$L$7&lt;&gt;"Có",O4650="Có"),OR(DANH_MUC!$L$8&lt;&gt;"Có",P4650="Có")),"Có","Không"))</f>
        <v/>
      </c>
      <c r="R4650" s="22">
        <f>IF($D4650="","",IF(COUNTIF($D$2:$D4650,$D4650)&gt;1,"Trùng",""))</f>
        <v/>
      </c>
      <c r="S4650" s="22">
        <f>IF($D4650="","",IF(AND(LEN($D4650)=10,LEFT($D4650,1)="0",ISNUMBER(--$D4650)),"Có","Không"))</f>
        <v/>
      </c>
      <c r="T4650" s="22">
        <f>IF($D4650="","",IF(AND($C4650&lt;&gt;"",$Q4650="Có",$R4650="",$S4650="Có",AND($L4650&lt;&gt;"",OR($L4650&lt;&gt;"Chưa xác định",DANH_MUC!$L$9="Có"))),"Có","Không"))</f>
        <v/>
      </c>
      <c r="U4650" s="22">
        <f>IF(OR($D4650="",$T4650="Có"),"",IF($C4650="","Thiếu họ tên; ","")&amp;IF($S4650&lt;&gt;"Có","SĐT sai định dạng; ","")&amp;IF($R4650="Trùng","Trùng SĐT; ","")&amp;IF($Q4650&lt;&gt;"Có","Thiếu đồng ý bắt buộc; ","")&amp;IF($L4650="","Thiếu/sai Mã REF; ",IF(AND($L4650="Chưa xác định",DANH_MUC!$L$9&lt;&gt;"Có"),"Nguồn chưa xác định; ","")))</f>
        <v/>
      </c>
      <c r="V4650" s="22">
        <f>IF(OR($D4650="",$R4650="Trùng"),"",IF(COUNTIF(ORDERS!$C$2:$C$4995,$D4650)&gt;0,"Có","Không"))</f>
        <v/>
      </c>
      <c r="W4650" s="22">
        <f>IF(OR($D4650="",$R4650="Trùng"),"",COUNTIFS(ORDERS!$C$2:$C$4995,$D4650,ORDERS!$L$2:$L$4995,"Đã chuyển khoản"))</f>
        <v/>
      </c>
      <c r="X4650" s="23">
        <f>IF(OR($D4650="",$R4650="Trùng"),"",SUMIFS(ORDERS!$J$2:$J$4995,ORDERS!$C$2:$C$4995,$D4650,ORDERS!$L$2:$L$4995,"Đã chuyển khoản"))</f>
        <v/>
      </c>
      <c r="Y4650" s="24" t="n"/>
    </row>
    <row r="4651" ht="14.25" customHeight="1" s="40">
      <c r="A4651" s="24" t="n"/>
      <c r="B4651" s="27" t="n"/>
      <c r="C4651" s="24" t="n"/>
      <c r="D4651" s="28" t="n"/>
      <c r="E4651" s="29" t="n"/>
      <c r="F4651" s="24" t="n"/>
      <c r="G4651" s="24" t="n"/>
      <c r="H4651" s="21">
        <f>IF(ISNUMBER($B4651),INT($B4651)-WEEKDAY($B4651,2)+1,"")</f>
        <v/>
      </c>
      <c r="I4651" s="24" t="n"/>
      <c r="J4651" s="22">
        <f t="array" ref="J4651">IF($D4651="","",IF($I4651="","(trống REF)",IFERROR(INDEX(MASTER_SOURCE!$B$2:$B$495,MATCH($I4651,MASTER_SOURCE!$A$2:$A$495,0)),"(REF không có trong MASTER_SOURCE)")))</f>
        <v/>
      </c>
      <c r="K4651" s="22">
        <f t="array" ref="K4651">IF($D4651="","",IFERROR(INDEX(MASTER_SOURCE!$C$2:$C$495,MATCH($I4651,MASTER_SOURCE!$A$2:$A$495,0)),""))</f>
        <v/>
      </c>
      <c r="L4651" s="22">
        <f t="array" ref="L4651">IF($D4651="","",IFERROR(INDEX(MASTER_SOURCE!$D$2:$D$495,MATCH($I4651,MASTER_SOURCE!$A$2:$A$495,0)),""))</f>
        <v/>
      </c>
      <c r="M4651" s="24" t="n"/>
      <c r="N4651" s="24" t="n"/>
      <c r="O4651" s="24" t="n"/>
      <c r="P4651" s="24" t="n"/>
      <c r="Q4651" s="22">
        <f>IF($D4651="","",IF(AND(OR(DANH_MUC!$L$5&lt;&gt;"Có",M4651="Có"),OR(DANH_MUC!$L$6&lt;&gt;"Có",N4651="Có"),OR(DANH_MUC!$L$7&lt;&gt;"Có",O4651="Có"),OR(DANH_MUC!$L$8&lt;&gt;"Có",P4651="Có")),"Có","Không"))</f>
        <v/>
      </c>
      <c r="R4651" s="22">
        <f>IF($D4651="","",IF(COUNTIF($D$2:$D4651,$D4651)&gt;1,"Trùng",""))</f>
        <v/>
      </c>
      <c r="S4651" s="22">
        <f>IF($D4651="","",IF(AND(LEN($D4651)=10,LEFT($D4651,1)="0",ISNUMBER(--$D4651)),"Có","Không"))</f>
        <v/>
      </c>
      <c r="T4651" s="22">
        <f>IF($D4651="","",IF(AND($C4651&lt;&gt;"",$Q4651="Có",$R4651="",$S4651="Có",AND($L4651&lt;&gt;"",OR($L4651&lt;&gt;"Chưa xác định",DANH_MUC!$L$9="Có"))),"Có","Không"))</f>
        <v/>
      </c>
      <c r="U4651" s="22">
        <f>IF(OR($D4651="",$T4651="Có"),"",IF($C4651="","Thiếu họ tên; ","")&amp;IF($S4651&lt;&gt;"Có","SĐT sai định dạng; ","")&amp;IF($R4651="Trùng","Trùng SĐT; ","")&amp;IF($Q4651&lt;&gt;"Có","Thiếu đồng ý bắt buộc; ","")&amp;IF($L4651="","Thiếu/sai Mã REF; ",IF(AND($L4651="Chưa xác định",DANH_MUC!$L$9&lt;&gt;"Có"),"Nguồn chưa xác định; ","")))</f>
        <v/>
      </c>
      <c r="V4651" s="22">
        <f>IF(OR($D4651="",$R4651="Trùng"),"",IF(COUNTIF(ORDERS!$C$2:$C$4995,$D4651)&gt;0,"Có","Không"))</f>
        <v/>
      </c>
      <c r="W4651" s="22">
        <f>IF(OR($D4651="",$R4651="Trùng"),"",COUNTIFS(ORDERS!$C$2:$C$4995,$D4651,ORDERS!$L$2:$L$4995,"Đã chuyển khoản"))</f>
        <v/>
      </c>
      <c r="X4651" s="23">
        <f>IF(OR($D4651="",$R4651="Trùng"),"",SUMIFS(ORDERS!$J$2:$J$4995,ORDERS!$C$2:$C$4995,$D4651,ORDERS!$L$2:$L$4995,"Đã chuyển khoản"))</f>
        <v/>
      </c>
      <c r="Y4651" s="24" t="n"/>
    </row>
    <row r="4652" ht="14.25" customHeight="1" s="40">
      <c r="A4652" s="24" t="n"/>
      <c r="B4652" s="27" t="n"/>
      <c r="C4652" s="24" t="n"/>
      <c r="D4652" s="28" t="n"/>
      <c r="E4652" s="29" t="n"/>
      <c r="F4652" s="24" t="n"/>
      <c r="G4652" s="24" t="n"/>
      <c r="H4652" s="21">
        <f>IF(ISNUMBER($B4652),INT($B4652)-WEEKDAY($B4652,2)+1,"")</f>
        <v/>
      </c>
      <c r="I4652" s="24" t="n"/>
      <c r="J4652" s="22">
        <f t="array" ref="J4652">IF($D4652="","",IF($I4652="","(trống REF)",IFERROR(INDEX(MASTER_SOURCE!$B$2:$B$495,MATCH($I4652,MASTER_SOURCE!$A$2:$A$495,0)),"(REF không có trong MASTER_SOURCE)")))</f>
        <v/>
      </c>
      <c r="K4652" s="22">
        <f t="array" ref="K4652">IF($D4652="","",IFERROR(INDEX(MASTER_SOURCE!$C$2:$C$495,MATCH($I4652,MASTER_SOURCE!$A$2:$A$495,0)),""))</f>
        <v/>
      </c>
      <c r="L4652" s="22">
        <f t="array" ref="L4652">IF($D4652="","",IFERROR(INDEX(MASTER_SOURCE!$D$2:$D$495,MATCH($I4652,MASTER_SOURCE!$A$2:$A$495,0)),""))</f>
        <v/>
      </c>
      <c r="M4652" s="24" t="n"/>
      <c r="N4652" s="24" t="n"/>
      <c r="O4652" s="24" t="n"/>
      <c r="P4652" s="24" t="n"/>
      <c r="Q4652" s="22">
        <f>IF($D4652="","",IF(AND(OR(DANH_MUC!$L$5&lt;&gt;"Có",M4652="Có"),OR(DANH_MUC!$L$6&lt;&gt;"Có",N4652="Có"),OR(DANH_MUC!$L$7&lt;&gt;"Có",O4652="Có"),OR(DANH_MUC!$L$8&lt;&gt;"Có",P4652="Có")),"Có","Không"))</f>
        <v/>
      </c>
      <c r="R4652" s="22">
        <f>IF($D4652="","",IF(COUNTIF($D$2:$D4652,$D4652)&gt;1,"Trùng",""))</f>
        <v/>
      </c>
      <c r="S4652" s="22">
        <f>IF($D4652="","",IF(AND(LEN($D4652)=10,LEFT($D4652,1)="0",ISNUMBER(--$D4652)),"Có","Không"))</f>
        <v/>
      </c>
      <c r="T4652" s="22">
        <f>IF($D4652="","",IF(AND($C4652&lt;&gt;"",$Q4652="Có",$R4652="",$S4652="Có",AND($L4652&lt;&gt;"",OR($L4652&lt;&gt;"Chưa xác định",DANH_MUC!$L$9="Có"))),"Có","Không"))</f>
        <v/>
      </c>
      <c r="U4652" s="22">
        <f>IF(OR($D4652="",$T4652="Có"),"",IF($C4652="","Thiếu họ tên; ","")&amp;IF($S4652&lt;&gt;"Có","SĐT sai định dạng; ","")&amp;IF($R4652="Trùng","Trùng SĐT; ","")&amp;IF($Q4652&lt;&gt;"Có","Thiếu đồng ý bắt buộc; ","")&amp;IF($L4652="","Thiếu/sai Mã REF; ",IF(AND($L4652="Chưa xác định",DANH_MUC!$L$9&lt;&gt;"Có"),"Nguồn chưa xác định; ","")))</f>
        <v/>
      </c>
      <c r="V4652" s="22">
        <f>IF(OR($D4652="",$R4652="Trùng"),"",IF(COUNTIF(ORDERS!$C$2:$C$4995,$D4652)&gt;0,"Có","Không"))</f>
        <v/>
      </c>
      <c r="W4652" s="22">
        <f>IF(OR($D4652="",$R4652="Trùng"),"",COUNTIFS(ORDERS!$C$2:$C$4995,$D4652,ORDERS!$L$2:$L$4995,"Đã chuyển khoản"))</f>
        <v/>
      </c>
      <c r="X4652" s="23">
        <f>IF(OR($D4652="",$R4652="Trùng"),"",SUMIFS(ORDERS!$J$2:$J$4995,ORDERS!$C$2:$C$4995,$D4652,ORDERS!$L$2:$L$4995,"Đã chuyển khoản"))</f>
        <v/>
      </c>
      <c r="Y4652" s="24" t="n"/>
    </row>
    <row r="4653" ht="14.25" customHeight="1" s="40">
      <c r="A4653" s="24" t="n"/>
      <c r="B4653" s="27" t="n"/>
      <c r="C4653" s="24" t="n"/>
      <c r="D4653" s="28" t="n"/>
      <c r="E4653" s="29" t="n"/>
      <c r="F4653" s="24" t="n"/>
      <c r="G4653" s="24" t="n"/>
      <c r="H4653" s="21">
        <f>IF(ISNUMBER($B4653),INT($B4653)-WEEKDAY($B4653,2)+1,"")</f>
        <v/>
      </c>
      <c r="I4653" s="24" t="n"/>
      <c r="J4653" s="22">
        <f t="array" ref="J4653">IF($D4653="","",IF($I4653="","(trống REF)",IFERROR(INDEX(MASTER_SOURCE!$B$2:$B$495,MATCH($I4653,MASTER_SOURCE!$A$2:$A$495,0)),"(REF không có trong MASTER_SOURCE)")))</f>
        <v/>
      </c>
      <c r="K4653" s="22">
        <f t="array" ref="K4653">IF($D4653="","",IFERROR(INDEX(MASTER_SOURCE!$C$2:$C$495,MATCH($I4653,MASTER_SOURCE!$A$2:$A$495,0)),""))</f>
        <v/>
      </c>
      <c r="L4653" s="22">
        <f t="array" ref="L4653">IF($D4653="","",IFERROR(INDEX(MASTER_SOURCE!$D$2:$D$495,MATCH($I4653,MASTER_SOURCE!$A$2:$A$495,0)),""))</f>
        <v/>
      </c>
      <c r="M4653" s="24" t="n"/>
      <c r="N4653" s="24" t="n"/>
      <c r="O4653" s="24" t="n"/>
      <c r="P4653" s="24" t="n"/>
      <c r="Q4653" s="22">
        <f>IF($D4653="","",IF(AND(OR(DANH_MUC!$L$5&lt;&gt;"Có",M4653="Có"),OR(DANH_MUC!$L$6&lt;&gt;"Có",N4653="Có"),OR(DANH_MUC!$L$7&lt;&gt;"Có",O4653="Có"),OR(DANH_MUC!$L$8&lt;&gt;"Có",P4653="Có")),"Có","Không"))</f>
        <v/>
      </c>
      <c r="R4653" s="22">
        <f>IF($D4653="","",IF(COUNTIF($D$2:$D4653,$D4653)&gt;1,"Trùng",""))</f>
        <v/>
      </c>
      <c r="S4653" s="22">
        <f>IF($D4653="","",IF(AND(LEN($D4653)=10,LEFT($D4653,1)="0",ISNUMBER(--$D4653)),"Có","Không"))</f>
        <v/>
      </c>
      <c r="T4653" s="22">
        <f>IF($D4653="","",IF(AND($C4653&lt;&gt;"",$Q4653="Có",$R4653="",$S4653="Có",AND($L4653&lt;&gt;"",OR($L4653&lt;&gt;"Chưa xác định",DANH_MUC!$L$9="Có"))),"Có","Không"))</f>
        <v/>
      </c>
      <c r="U4653" s="22">
        <f>IF(OR($D4653="",$T4653="Có"),"",IF($C4653="","Thiếu họ tên; ","")&amp;IF($S4653&lt;&gt;"Có","SĐT sai định dạng; ","")&amp;IF($R4653="Trùng","Trùng SĐT; ","")&amp;IF($Q4653&lt;&gt;"Có","Thiếu đồng ý bắt buộc; ","")&amp;IF($L4653="","Thiếu/sai Mã REF; ",IF(AND($L4653="Chưa xác định",DANH_MUC!$L$9&lt;&gt;"Có"),"Nguồn chưa xác định; ","")))</f>
        <v/>
      </c>
      <c r="V4653" s="22">
        <f>IF(OR($D4653="",$R4653="Trùng"),"",IF(COUNTIF(ORDERS!$C$2:$C$4995,$D4653)&gt;0,"Có","Không"))</f>
        <v/>
      </c>
      <c r="W4653" s="22">
        <f>IF(OR($D4653="",$R4653="Trùng"),"",COUNTIFS(ORDERS!$C$2:$C$4995,$D4653,ORDERS!$L$2:$L$4995,"Đã chuyển khoản"))</f>
        <v/>
      </c>
      <c r="X4653" s="23">
        <f>IF(OR($D4653="",$R4653="Trùng"),"",SUMIFS(ORDERS!$J$2:$J$4995,ORDERS!$C$2:$C$4995,$D4653,ORDERS!$L$2:$L$4995,"Đã chuyển khoản"))</f>
        <v/>
      </c>
      <c r="Y4653" s="24" t="n"/>
    </row>
    <row r="4654" ht="14.25" customHeight="1" s="40">
      <c r="A4654" s="24" t="n"/>
      <c r="B4654" s="27" t="n"/>
      <c r="C4654" s="24" t="n"/>
      <c r="D4654" s="28" t="n"/>
      <c r="E4654" s="29" t="n"/>
      <c r="F4654" s="24" t="n"/>
      <c r="G4654" s="24" t="n"/>
      <c r="H4654" s="21">
        <f>IF(ISNUMBER($B4654),INT($B4654)-WEEKDAY($B4654,2)+1,"")</f>
        <v/>
      </c>
      <c r="I4654" s="24" t="n"/>
      <c r="J4654" s="22">
        <f t="array" ref="J4654">IF($D4654="","",IF($I4654="","(trống REF)",IFERROR(INDEX(MASTER_SOURCE!$B$2:$B$495,MATCH($I4654,MASTER_SOURCE!$A$2:$A$495,0)),"(REF không có trong MASTER_SOURCE)")))</f>
        <v/>
      </c>
      <c r="K4654" s="22">
        <f t="array" ref="K4654">IF($D4654="","",IFERROR(INDEX(MASTER_SOURCE!$C$2:$C$495,MATCH($I4654,MASTER_SOURCE!$A$2:$A$495,0)),""))</f>
        <v/>
      </c>
      <c r="L4654" s="22">
        <f t="array" ref="L4654">IF($D4654="","",IFERROR(INDEX(MASTER_SOURCE!$D$2:$D$495,MATCH($I4654,MASTER_SOURCE!$A$2:$A$495,0)),""))</f>
        <v/>
      </c>
      <c r="M4654" s="24" t="n"/>
      <c r="N4654" s="24" t="n"/>
      <c r="O4654" s="24" t="n"/>
      <c r="P4654" s="24" t="n"/>
      <c r="Q4654" s="22">
        <f>IF($D4654="","",IF(AND(OR(DANH_MUC!$L$5&lt;&gt;"Có",M4654="Có"),OR(DANH_MUC!$L$6&lt;&gt;"Có",N4654="Có"),OR(DANH_MUC!$L$7&lt;&gt;"Có",O4654="Có"),OR(DANH_MUC!$L$8&lt;&gt;"Có",P4654="Có")),"Có","Không"))</f>
        <v/>
      </c>
      <c r="R4654" s="22">
        <f>IF($D4654="","",IF(COUNTIF($D$2:$D4654,$D4654)&gt;1,"Trùng",""))</f>
        <v/>
      </c>
      <c r="S4654" s="22">
        <f>IF($D4654="","",IF(AND(LEN($D4654)=10,LEFT($D4654,1)="0",ISNUMBER(--$D4654)),"Có","Không"))</f>
        <v/>
      </c>
      <c r="T4654" s="22">
        <f>IF($D4654="","",IF(AND($C4654&lt;&gt;"",$Q4654="Có",$R4654="",$S4654="Có",AND($L4654&lt;&gt;"",OR($L4654&lt;&gt;"Chưa xác định",DANH_MUC!$L$9="Có"))),"Có","Không"))</f>
        <v/>
      </c>
      <c r="U4654" s="22">
        <f>IF(OR($D4654="",$T4654="Có"),"",IF($C4654="","Thiếu họ tên; ","")&amp;IF($S4654&lt;&gt;"Có","SĐT sai định dạng; ","")&amp;IF($R4654="Trùng","Trùng SĐT; ","")&amp;IF($Q4654&lt;&gt;"Có","Thiếu đồng ý bắt buộc; ","")&amp;IF($L4654="","Thiếu/sai Mã REF; ",IF(AND($L4654="Chưa xác định",DANH_MUC!$L$9&lt;&gt;"Có"),"Nguồn chưa xác định; ","")))</f>
        <v/>
      </c>
      <c r="V4654" s="22">
        <f>IF(OR($D4654="",$R4654="Trùng"),"",IF(COUNTIF(ORDERS!$C$2:$C$4995,$D4654)&gt;0,"Có","Không"))</f>
        <v/>
      </c>
      <c r="W4654" s="22">
        <f>IF(OR($D4654="",$R4654="Trùng"),"",COUNTIFS(ORDERS!$C$2:$C$4995,$D4654,ORDERS!$L$2:$L$4995,"Đã chuyển khoản"))</f>
        <v/>
      </c>
      <c r="X4654" s="23">
        <f>IF(OR($D4654="",$R4654="Trùng"),"",SUMIFS(ORDERS!$J$2:$J$4995,ORDERS!$C$2:$C$4995,$D4654,ORDERS!$L$2:$L$4995,"Đã chuyển khoản"))</f>
        <v/>
      </c>
      <c r="Y4654" s="24" t="n"/>
    </row>
    <row r="4655" ht="14.25" customHeight="1" s="40">
      <c r="A4655" s="24" t="n"/>
      <c r="B4655" s="27" t="n"/>
      <c r="C4655" s="24" t="n"/>
      <c r="D4655" s="28" t="n"/>
      <c r="E4655" s="29" t="n"/>
      <c r="F4655" s="24" t="n"/>
      <c r="G4655" s="24" t="n"/>
      <c r="H4655" s="21">
        <f>IF(ISNUMBER($B4655),INT($B4655)-WEEKDAY($B4655,2)+1,"")</f>
        <v/>
      </c>
      <c r="I4655" s="24" t="n"/>
      <c r="J4655" s="22">
        <f t="array" ref="J4655">IF($D4655="","",IF($I4655="","(trống REF)",IFERROR(INDEX(MASTER_SOURCE!$B$2:$B$495,MATCH($I4655,MASTER_SOURCE!$A$2:$A$495,0)),"(REF không có trong MASTER_SOURCE)")))</f>
        <v/>
      </c>
      <c r="K4655" s="22">
        <f t="array" ref="K4655">IF($D4655="","",IFERROR(INDEX(MASTER_SOURCE!$C$2:$C$495,MATCH($I4655,MASTER_SOURCE!$A$2:$A$495,0)),""))</f>
        <v/>
      </c>
      <c r="L4655" s="22">
        <f t="array" ref="L4655">IF($D4655="","",IFERROR(INDEX(MASTER_SOURCE!$D$2:$D$495,MATCH($I4655,MASTER_SOURCE!$A$2:$A$495,0)),""))</f>
        <v/>
      </c>
      <c r="M4655" s="24" t="n"/>
      <c r="N4655" s="24" t="n"/>
      <c r="O4655" s="24" t="n"/>
      <c r="P4655" s="24" t="n"/>
      <c r="Q4655" s="22">
        <f>IF($D4655="","",IF(AND(OR(DANH_MUC!$L$5&lt;&gt;"Có",M4655="Có"),OR(DANH_MUC!$L$6&lt;&gt;"Có",N4655="Có"),OR(DANH_MUC!$L$7&lt;&gt;"Có",O4655="Có"),OR(DANH_MUC!$L$8&lt;&gt;"Có",P4655="Có")),"Có","Không"))</f>
        <v/>
      </c>
      <c r="R4655" s="22">
        <f>IF($D4655="","",IF(COUNTIF($D$2:$D4655,$D4655)&gt;1,"Trùng",""))</f>
        <v/>
      </c>
      <c r="S4655" s="22">
        <f>IF($D4655="","",IF(AND(LEN($D4655)=10,LEFT($D4655,1)="0",ISNUMBER(--$D4655)),"Có","Không"))</f>
        <v/>
      </c>
      <c r="T4655" s="22">
        <f>IF($D4655="","",IF(AND($C4655&lt;&gt;"",$Q4655="Có",$R4655="",$S4655="Có",AND($L4655&lt;&gt;"",OR($L4655&lt;&gt;"Chưa xác định",DANH_MUC!$L$9="Có"))),"Có","Không"))</f>
        <v/>
      </c>
      <c r="U4655" s="22">
        <f>IF(OR($D4655="",$T4655="Có"),"",IF($C4655="","Thiếu họ tên; ","")&amp;IF($S4655&lt;&gt;"Có","SĐT sai định dạng; ","")&amp;IF($R4655="Trùng","Trùng SĐT; ","")&amp;IF($Q4655&lt;&gt;"Có","Thiếu đồng ý bắt buộc; ","")&amp;IF($L4655="","Thiếu/sai Mã REF; ",IF(AND($L4655="Chưa xác định",DANH_MUC!$L$9&lt;&gt;"Có"),"Nguồn chưa xác định; ","")))</f>
        <v/>
      </c>
      <c r="V4655" s="22">
        <f>IF(OR($D4655="",$R4655="Trùng"),"",IF(COUNTIF(ORDERS!$C$2:$C$4995,$D4655)&gt;0,"Có","Không"))</f>
        <v/>
      </c>
      <c r="W4655" s="22">
        <f>IF(OR($D4655="",$R4655="Trùng"),"",COUNTIFS(ORDERS!$C$2:$C$4995,$D4655,ORDERS!$L$2:$L$4995,"Đã chuyển khoản"))</f>
        <v/>
      </c>
      <c r="X4655" s="23">
        <f>IF(OR($D4655="",$R4655="Trùng"),"",SUMIFS(ORDERS!$J$2:$J$4995,ORDERS!$C$2:$C$4995,$D4655,ORDERS!$L$2:$L$4995,"Đã chuyển khoản"))</f>
        <v/>
      </c>
      <c r="Y4655" s="24" t="n"/>
    </row>
    <row r="4656" ht="14.25" customHeight="1" s="40">
      <c r="A4656" s="24" t="n"/>
      <c r="B4656" s="27" t="n"/>
      <c r="C4656" s="24" t="n"/>
      <c r="D4656" s="28" t="n"/>
      <c r="E4656" s="29" t="n"/>
      <c r="F4656" s="24" t="n"/>
      <c r="G4656" s="24" t="n"/>
      <c r="H4656" s="21">
        <f>IF(ISNUMBER($B4656),INT($B4656)-WEEKDAY($B4656,2)+1,"")</f>
        <v/>
      </c>
      <c r="I4656" s="24" t="n"/>
      <c r="J4656" s="22">
        <f t="array" ref="J4656">IF($D4656="","",IF($I4656="","(trống REF)",IFERROR(INDEX(MASTER_SOURCE!$B$2:$B$495,MATCH($I4656,MASTER_SOURCE!$A$2:$A$495,0)),"(REF không có trong MASTER_SOURCE)")))</f>
        <v/>
      </c>
      <c r="K4656" s="22">
        <f t="array" ref="K4656">IF($D4656="","",IFERROR(INDEX(MASTER_SOURCE!$C$2:$C$495,MATCH($I4656,MASTER_SOURCE!$A$2:$A$495,0)),""))</f>
        <v/>
      </c>
      <c r="L4656" s="22">
        <f t="array" ref="L4656">IF($D4656="","",IFERROR(INDEX(MASTER_SOURCE!$D$2:$D$495,MATCH($I4656,MASTER_SOURCE!$A$2:$A$495,0)),""))</f>
        <v/>
      </c>
      <c r="M4656" s="24" t="n"/>
      <c r="N4656" s="24" t="n"/>
      <c r="O4656" s="24" t="n"/>
      <c r="P4656" s="24" t="n"/>
      <c r="Q4656" s="22">
        <f>IF($D4656="","",IF(AND(OR(DANH_MUC!$L$5&lt;&gt;"Có",M4656="Có"),OR(DANH_MUC!$L$6&lt;&gt;"Có",N4656="Có"),OR(DANH_MUC!$L$7&lt;&gt;"Có",O4656="Có"),OR(DANH_MUC!$L$8&lt;&gt;"Có",P4656="Có")),"Có","Không"))</f>
        <v/>
      </c>
      <c r="R4656" s="22">
        <f>IF($D4656="","",IF(COUNTIF($D$2:$D4656,$D4656)&gt;1,"Trùng",""))</f>
        <v/>
      </c>
      <c r="S4656" s="22">
        <f>IF($D4656="","",IF(AND(LEN($D4656)=10,LEFT($D4656,1)="0",ISNUMBER(--$D4656)),"Có","Không"))</f>
        <v/>
      </c>
      <c r="T4656" s="22">
        <f>IF($D4656="","",IF(AND($C4656&lt;&gt;"",$Q4656="Có",$R4656="",$S4656="Có",AND($L4656&lt;&gt;"",OR($L4656&lt;&gt;"Chưa xác định",DANH_MUC!$L$9="Có"))),"Có","Không"))</f>
        <v/>
      </c>
      <c r="U4656" s="22">
        <f>IF(OR($D4656="",$T4656="Có"),"",IF($C4656="","Thiếu họ tên; ","")&amp;IF($S4656&lt;&gt;"Có","SĐT sai định dạng; ","")&amp;IF($R4656="Trùng","Trùng SĐT; ","")&amp;IF($Q4656&lt;&gt;"Có","Thiếu đồng ý bắt buộc; ","")&amp;IF($L4656="","Thiếu/sai Mã REF; ",IF(AND($L4656="Chưa xác định",DANH_MUC!$L$9&lt;&gt;"Có"),"Nguồn chưa xác định; ","")))</f>
        <v/>
      </c>
      <c r="V4656" s="22">
        <f>IF(OR($D4656="",$R4656="Trùng"),"",IF(COUNTIF(ORDERS!$C$2:$C$4995,$D4656)&gt;0,"Có","Không"))</f>
        <v/>
      </c>
      <c r="W4656" s="22">
        <f>IF(OR($D4656="",$R4656="Trùng"),"",COUNTIFS(ORDERS!$C$2:$C$4995,$D4656,ORDERS!$L$2:$L$4995,"Đã chuyển khoản"))</f>
        <v/>
      </c>
      <c r="X4656" s="23">
        <f>IF(OR($D4656="",$R4656="Trùng"),"",SUMIFS(ORDERS!$J$2:$J$4995,ORDERS!$C$2:$C$4995,$D4656,ORDERS!$L$2:$L$4995,"Đã chuyển khoản"))</f>
        <v/>
      </c>
      <c r="Y4656" s="24" t="n"/>
    </row>
    <row r="4657" ht="14.25" customHeight="1" s="40">
      <c r="A4657" s="24" t="n"/>
      <c r="B4657" s="27" t="n"/>
      <c r="C4657" s="24" t="n"/>
      <c r="D4657" s="28" t="n"/>
      <c r="E4657" s="29" t="n"/>
      <c r="F4657" s="24" t="n"/>
      <c r="G4657" s="24" t="n"/>
      <c r="H4657" s="21">
        <f>IF(ISNUMBER($B4657),INT($B4657)-WEEKDAY($B4657,2)+1,"")</f>
        <v/>
      </c>
      <c r="I4657" s="24" t="n"/>
      <c r="J4657" s="22">
        <f t="array" ref="J4657">IF($D4657="","",IF($I4657="","(trống REF)",IFERROR(INDEX(MASTER_SOURCE!$B$2:$B$495,MATCH($I4657,MASTER_SOURCE!$A$2:$A$495,0)),"(REF không có trong MASTER_SOURCE)")))</f>
        <v/>
      </c>
      <c r="K4657" s="22">
        <f t="array" ref="K4657">IF($D4657="","",IFERROR(INDEX(MASTER_SOURCE!$C$2:$C$495,MATCH($I4657,MASTER_SOURCE!$A$2:$A$495,0)),""))</f>
        <v/>
      </c>
      <c r="L4657" s="22">
        <f t="array" ref="L4657">IF($D4657="","",IFERROR(INDEX(MASTER_SOURCE!$D$2:$D$495,MATCH($I4657,MASTER_SOURCE!$A$2:$A$495,0)),""))</f>
        <v/>
      </c>
      <c r="M4657" s="24" t="n"/>
      <c r="N4657" s="24" t="n"/>
      <c r="O4657" s="24" t="n"/>
      <c r="P4657" s="24" t="n"/>
      <c r="Q4657" s="22">
        <f>IF($D4657="","",IF(AND(OR(DANH_MUC!$L$5&lt;&gt;"Có",M4657="Có"),OR(DANH_MUC!$L$6&lt;&gt;"Có",N4657="Có"),OR(DANH_MUC!$L$7&lt;&gt;"Có",O4657="Có"),OR(DANH_MUC!$L$8&lt;&gt;"Có",P4657="Có")),"Có","Không"))</f>
        <v/>
      </c>
      <c r="R4657" s="22">
        <f>IF($D4657="","",IF(COUNTIF($D$2:$D4657,$D4657)&gt;1,"Trùng",""))</f>
        <v/>
      </c>
      <c r="S4657" s="22">
        <f>IF($D4657="","",IF(AND(LEN($D4657)=10,LEFT($D4657,1)="0",ISNUMBER(--$D4657)),"Có","Không"))</f>
        <v/>
      </c>
      <c r="T4657" s="22">
        <f>IF($D4657="","",IF(AND($C4657&lt;&gt;"",$Q4657="Có",$R4657="",$S4657="Có",AND($L4657&lt;&gt;"",OR($L4657&lt;&gt;"Chưa xác định",DANH_MUC!$L$9="Có"))),"Có","Không"))</f>
        <v/>
      </c>
      <c r="U4657" s="22">
        <f>IF(OR($D4657="",$T4657="Có"),"",IF($C4657="","Thiếu họ tên; ","")&amp;IF($S4657&lt;&gt;"Có","SĐT sai định dạng; ","")&amp;IF($R4657="Trùng","Trùng SĐT; ","")&amp;IF($Q4657&lt;&gt;"Có","Thiếu đồng ý bắt buộc; ","")&amp;IF($L4657="","Thiếu/sai Mã REF; ",IF(AND($L4657="Chưa xác định",DANH_MUC!$L$9&lt;&gt;"Có"),"Nguồn chưa xác định; ","")))</f>
        <v/>
      </c>
      <c r="V4657" s="22">
        <f>IF(OR($D4657="",$R4657="Trùng"),"",IF(COUNTIF(ORDERS!$C$2:$C$4995,$D4657)&gt;0,"Có","Không"))</f>
        <v/>
      </c>
      <c r="W4657" s="22">
        <f>IF(OR($D4657="",$R4657="Trùng"),"",COUNTIFS(ORDERS!$C$2:$C$4995,$D4657,ORDERS!$L$2:$L$4995,"Đã chuyển khoản"))</f>
        <v/>
      </c>
      <c r="X4657" s="23">
        <f>IF(OR($D4657="",$R4657="Trùng"),"",SUMIFS(ORDERS!$J$2:$J$4995,ORDERS!$C$2:$C$4995,$D4657,ORDERS!$L$2:$L$4995,"Đã chuyển khoản"))</f>
        <v/>
      </c>
      <c r="Y4657" s="24" t="n"/>
    </row>
    <row r="4658" ht="14.25" customHeight="1" s="40">
      <c r="A4658" s="24" t="n"/>
      <c r="B4658" s="27" t="n"/>
      <c r="C4658" s="24" t="n"/>
      <c r="D4658" s="28" t="n"/>
      <c r="E4658" s="29" t="n"/>
      <c r="F4658" s="24" t="n"/>
      <c r="G4658" s="24" t="n"/>
      <c r="H4658" s="21">
        <f>IF(ISNUMBER($B4658),INT($B4658)-WEEKDAY($B4658,2)+1,"")</f>
        <v/>
      </c>
      <c r="I4658" s="24" t="n"/>
      <c r="J4658" s="22">
        <f t="array" ref="J4658">IF($D4658="","",IF($I4658="","(trống REF)",IFERROR(INDEX(MASTER_SOURCE!$B$2:$B$495,MATCH($I4658,MASTER_SOURCE!$A$2:$A$495,0)),"(REF không có trong MASTER_SOURCE)")))</f>
        <v/>
      </c>
      <c r="K4658" s="22">
        <f t="array" ref="K4658">IF($D4658="","",IFERROR(INDEX(MASTER_SOURCE!$C$2:$C$495,MATCH($I4658,MASTER_SOURCE!$A$2:$A$495,0)),""))</f>
        <v/>
      </c>
      <c r="L4658" s="22">
        <f t="array" ref="L4658">IF($D4658="","",IFERROR(INDEX(MASTER_SOURCE!$D$2:$D$495,MATCH($I4658,MASTER_SOURCE!$A$2:$A$495,0)),""))</f>
        <v/>
      </c>
      <c r="M4658" s="24" t="n"/>
      <c r="N4658" s="24" t="n"/>
      <c r="O4658" s="24" t="n"/>
      <c r="P4658" s="24" t="n"/>
      <c r="Q4658" s="22">
        <f>IF($D4658="","",IF(AND(OR(DANH_MUC!$L$5&lt;&gt;"Có",M4658="Có"),OR(DANH_MUC!$L$6&lt;&gt;"Có",N4658="Có"),OR(DANH_MUC!$L$7&lt;&gt;"Có",O4658="Có"),OR(DANH_MUC!$L$8&lt;&gt;"Có",P4658="Có")),"Có","Không"))</f>
        <v/>
      </c>
      <c r="R4658" s="22">
        <f>IF($D4658="","",IF(COUNTIF($D$2:$D4658,$D4658)&gt;1,"Trùng",""))</f>
        <v/>
      </c>
      <c r="S4658" s="22">
        <f>IF($D4658="","",IF(AND(LEN($D4658)=10,LEFT($D4658,1)="0",ISNUMBER(--$D4658)),"Có","Không"))</f>
        <v/>
      </c>
      <c r="T4658" s="22">
        <f>IF($D4658="","",IF(AND($C4658&lt;&gt;"",$Q4658="Có",$R4658="",$S4658="Có",AND($L4658&lt;&gt;"",OR($L4658&lt;&gt;"Chưa xác định",DANH_MUC!$L$9="Có"))),"Có","Không"))</f>
        <v/>
      </c>
      <c r="U4658" s="22">
        <f>IF(OR($D4658="",$T4658="Có"),"",IF($C4658="","Thiếu họ tên; ","")&amp;IF($S4658&lt;&gt;"Có","SĐT sai định dạng; ","")&amp;IF($R4658="Trùng","Trùng SĐT; ","")&amp;IF($Q4658&lt;&gt;"Có","Thiếu đồng ý bắt buộc; ","")&amp;IF($L4658="","Thiếu/sai Mã REF; ",IF(AND($L4658="Chưa xác định",DANH_MUC!$L$9&lt;&gt;"Có"),"Nguồn chưa xác định; ","")))</f>
        <v/>
      </c>
      <c r="V4658" s="22">
        <f>IF(OR($D4658="",$R4658="Trùng"),"",IF(COUNTIF(ORDERS!$C$2:$C$4995,$D4658)&gt;0,"Có","Không"))</f>
        <v/>
      </c>
      <c r="W4658" s="22">
        <f>IF(OR($D4658="",$R4658="Trùng"),"",COUNTIFS(ORDERS!$C$2:$C$4995,$D4658,ORDERS!$L$2:$L$4995,"Đã chuyển khoản"))</f>
        <v/>
      </c>
      <c r="X4658" s="23">
        <f>IF(OR($D4658="",$R4658="Trùng"),"",SUMIFS(ORDERS!$J$2:$J$4995,ORDERS!$C$2:$C$4995,$D4658,ORDERS!$L$2:$L$4995,"Đã chuyển khoản"))</f>
        <v/>
      </c>
      <c r="Y4658" s="24" t="n"/>
    </row>
    <row r="4659" ht="14.25" customHeight="1" s="40">
      <c r="A4659" s="24" t="n"/>
      <c r="B4659" s="27" t="n"/>
      <c r="C4659" s="24" t="n"/>
      <c r="D4659" s="28" t="n"/>
      <c r="E4659" s="29" t="n"/>
      <c r="F4659" s="24" t="n"/>
      <c r="G4659" s="24" t="n"/>
      <c r="H4659" s="21">
        <f>IF(ISNUMBER($B4659),INT($B4659)-WEEKDAY($B4659,2)+1,"")</f>
        <v/>
      </c>
      <c r="I4659" s="24" t="n"/>
      <c r="J4659" s="22">
        <f t="array" ref="J4659">IF($D4659="","",IF($I4659="","(trống REF)",IFERROR(INDEX(MASTER_SOURCE!$B$2:$B$495,MATCH($I4659,MASTER_SOURCE!$A$2:$A$495,0)),"(REF không có trong MASTER_SOURCE)")))</f>
        <v/>
      </c>
      <c r="K4659" s="22">
        <f t="array" ref="K4659">IF($D4659="","",IFERROR(INDEX(MASTER_SOURCE!$C$2:$C$495,MATCH($I4659,MASTER_SOURCE!$A$2:$A$495,0)),""))</f>
        <v/>
      </c>
      <c r="L4659" s="22">
        <f t="array" ref="L4659">IF($D4659="","",IFERROR(INDEX(MASTER_SOURCE!$D$2:$D$495,MATCH($I4659,MASTER_SOURCE!$A$2:$A$495,0)),""))</f>
        <v/>
      </c>
      <c r="M4659" s="24" t="n"/>
      <c r="N4659" s="24" t="n"/>
      <c r="O4659" s="24" t="n"/>
      <c r="P4659" s="24" t="n"/>
      <c r="Q4659" s="22">
        <f>IF($D4659="","",IF(AND(OR(DANH_MUC!$L$5&lt;&gt;"Có",M4659="Có"),OR(DANH_MUC!$L$6&lt;&gt;"Có",N4659="Có"),OR(DANH_MUC!$L$7&lt;&gt;"Có",O4659="Có"),OR(DANH_MUC!$L$8&lt;&gt;"Có",P4659="Có")),"Có","Không"))</f>
        <v/>
      </c>
      <c r="R4659" s="22">
        <f>IF($D4659="","",IF(COUNTIF($D$2:$D4659,$D4659)&gt;1,"Trùng",""))</f>
        <v/>
      </c>
      <c r="S4659" s="22">
        <f>IF($D4659="","",IF(AND(LEN($D4659)=10,LEFT($D4659,1)="0",ISNUMBER(--$D4659)),"Có","Không"))</f>
        <v/>
      </c>
      <c r="T4659" s="22">
        <f>IF($D4659="","",IF(AND($C4659&lt;&gt;"",$Q4659="Có",$R4659="",$S4659="Có",AND($L4659&lt;&gt;"",OR($L4659&lt;&gt;"Chưa xác định",DANH_MUC!$L$9="Có"))),"Có","Không"))</f>
        <v/>
      </c>
      <c r="U4659" s="22">
        <f>IF(OR($D4659="",$T4659="Có"),"",IF($C4659="","Thiếu họ tên; ","")&amp;IF($S4659&lt;&gt;"Có","SĐT sai định dạng; ","")&amp;IF($R4659="Trùng","Trùng SĐT; ","")&amp;IF($Q4659&lt;&gt;"Có","Thiếu đồng ý bắt buộc; ","")&amp;IF($L4659="","Thiếu/sai Mã REF; ",IF(AND($L4659="Chưa xác định",DANH_MUC!$L$9&lt;&gt;"Có"),"Nguồn chưa xác định; ","")))</f>
        <v/>
      </c>
      <c r="V4659" s="22">
        <f>IF(OR($D4659="",$R4659="Trùng"),"",IF(COUNTIF(ORDERS!$C$2:$C$4995,$D4659)&gt;0,"Có","Không"))</f>
        <v/>
      </c>
      <c r="W4659" s="22">
        <f>IF(OR($D4659="",$R4659="Trùng"),"",COUNTIFS(ORDERS!$C$2:$C$4995,$D4659,ORDERS!$L$2:$L$4995,"Đã chuyển khoản"))</f>
        <v/>
      </c>
      <c r="X4659" s="23">
        <f>IF(OR($D4659="",$R4659="Trùng"),"",SUMIFS(ORDERS!$J$2:$J$4995,ORDERS!$C$2:$C$4995,$D4659,ORDERS!$L$2:$L$4995,"Đã chuyển khoản"))</f>
        <v/>
      </c>
      <c r="Y4659" s="24" t="n"/>
    </row>
    <row r="4660" ht="14.25" customHeight="1" s="40">
      <c r="A4660" s="24" t="n"/>
      <c r="B4660" s="27" t="n"/>
      <c r="C4660" s="24" t="n"/>
      <c r="D4660" s="28" t="n"/>
      <c r="E4660" s="29" t="n"/>
      <c r="F4660" s="24" t="n"/>
      <c r="G4660" s="24" t="n"/>
      <c r="H4660" s="21">
        <f>IF(ISNUMBER($B4660),INT($B4660)-WEEKDAY($B4660,2)+1,"")</f>
        <v/>
      </c>
      <c r="I4660" s="24" t="n"/>
      <c r="J4660" s="22">
        <f t="array" ref="J4660">IF($D4660="","",IF($I4660="","(trống REF)",IFERROR(INDEX(MASTER_SOURCE!$B$2:$B$495,MATCH($I4660,MASTER_SOURCE!$A$2:$A$495,0)),"(REF không có trong MASTER_SOURCE)")))</f>
        <v/>
      </c>
      <c r="K4660" s="22">
        <f t="array" ref="K4660">IF($D4660="","",IFERROR(INDEX(MASTER_SOURCE!$C$2:$C$495,MATCH($I4660,MASTER_SOURCE!$A$2:$A$495,0)),""))</f>
        <v/>
      </c>
      <c r="L4660" s="22">
        <f t="array" ref="L4660">IF($D4660="","",IFERROR(INDEX(MASTER_SOURCE!$D$2:$D$495,MATCH($I4660,MASTER_SOURCE!$A$2:$A$495,0)),""))</f>
        <v/>
      </c>
      <c r="M4660" s="24" t="n"/>
      <c r="N4660" s="24" t="n"/>
      <c r="O4660" s="24" t="n"/>
      <c r="P4660" s="24" t="n"/>
      <c r="Q4660" s="22">
        <f>IF($D4660="","",IF(AND(OR(DANH_MUC!$L$5&lt;&gt;"Có",M4660="Có"),OR(DANH_MUC!$L$6&lt;&gt;"Có",N4660="Có"),OR(DANH_MUC!$L$7&lt;&gt;"Có",O4660="Có"),OR(DANH_MUC!$L$8&lt;&gt;"Có",P4660="Có")),"Có","Không"))</f>
        <v/>
      </c>
      <c r="R4660" s="22">
        <f>IF($D4660="","",IF(COUNTIF($D$2:$D4660,$D4660)&gt;1,"Trùng",""))</f>
        <v/>
      </c>
      <c r="S4660" s="22">
        <f>IF($D4660="","",IF(AND(LEN($D4660)=10,LEFT($D4660,1)="0",ISNUMBER(--$D4660)),"Có","Không"))</f>
        <v/>
      </c>
      <c r="T4660" s="22">
        <f>IF($D4660="","",IF(AND($C4660&lt;&gt;"",$Q4660="Có",$R4660="",$S4660="Có",AND($L4660&lt;&gt;"",OR($L4660&lt;&gt;"Chưa xác định",DANH_MUC!$L$9="Có"))),"Có","Không"))</f>
        <v/>
      </c>
      <c r="U4660" s="22">
        <f>IF(OR($D4660="",$T4660="Có"),"",IF($C4660="","Thiếu họ tên; ","")&amp;IF($S4660&lt;&gt;"Có","SĐT sai định dạng; ","")&amp;IF($R4660="Trùng","Trùng SĐT; ","")&amp;IF($Q4660&lt;&gt;"Có","Thiếu đồng ý bắt buộc; ","")&amp;IF($L4660="","Thiếu/sai Mã REF; ",IF(AND($L4660="Chưa xác định",DANH_MUC!$L$9&lt;&gt;"Có"),"Nguồn chưa xác định; ","")))</f>
        <v/>
      </c>
      <c r="V4660" s="22">
        <f>IF(OR($D4660="",$R4660="Trùng"),"",IF(COUNTIF(ORDERS!$C$2:$C$4995,$D4660)&gt;0,"Có","Không"))</f>
        <v/>
      </c>
      <c r="W4660" s="22">
        <f>IF(OR($D4660="",$R4660="Trùng"),"",COUNTIFS(ORDERS!$C$2:$C$4995,$D4660,ORDERS!$L$2:$L$4995,"Đã chuyển khoản"))</f>
        <v/>
      </c>
      <c r="X4660" s="23">
        <f>IF(OR($D4660="",$R4660="Trùng"),"",SUMIFS(ORDERS!$J$2:$J$4995,ORDERS!$C$2:$C$4995,$D4660,ORDERS!$L$2:$L$4995,"Đã chuyển khoản"))</f>
        <v/>
      </c>
      <c r="Y4660" s="24" t="n"/>
    </row>
    <row r="4661" ht="14.25" customHeight="1" s="40">
      <c r="A4661" s="24" t="n"/>
      <c r="B4661" s="27" t="n"/>
      <c r="C4661" s="24" t="n"/>
      <c r="D4661" s="28" t="n"/>
      <c r="E4661" s="29" t="n"/>
      <c r="F4661" s="24" t="n"/>
      <c r="G4661" s="24" t="n"/>
      <c r="H4661" s="21">
        <f>IF(ISNUMBER($B4661),INT($B4661)-WEEKDAY($B4661,2)+1,"")</f>
        <v/>
      </c>
      <c r="I4661" s="24" t="n"/>
      <c r="J4661" s="22">
        <f t="array" ref="J4661">IF($D4661="","",IF($I4661="","(trống REF)",IFERROR(INDEX(MASTER_SOURCE!$B$2:$B$495,MATCH($I4661,MASTER_SOURCE!$A$2:$A$495,0)),"(REF không có trong MASTER_SOURCE)")))</f>
        <v/>
      </c>
      <c r="K4661" s="22">
        <f t="array" ref="K4661">IF($D4661="","",IFERROR(INDEX(MASTER_SOURCE!$C$2:$C$495,MATCH($I4661,MASTER_SOURCE!$A$2:$A$495,0)),""))</f>
        <v/>
      </c>
      <c r="L4661" s="22">
        <f t="array" ref="L4661">IF($D4661="","",IFERROR(INDEX(MASTER_SOURCE!$D$2:$D$495,MATCH($I4661,MASTER_SOURCE!$A$2:$A$495,0)),""))</f>
        <v/>
      </c>
      <c r="M4661" s="24" t="n"/>
      <c r="N4661" s="24" t="n"/>
      <c r="O4661" s="24" t="n"/>
      <c r="P4661" s="24" t="n"/>
      <c r="Q4661" s="22">
        <f>IF($D4661="","",IF(AND(OR(DANH_MUC!$L$5&lt;&gt;"Có",M4661="Có"),OR(DANH_MUC!$L$6&lt;&gt;"Có",N4661="Có"),OR(DANH_MUC!$L$7&lt;&gt;"Có",O4661="Có"),OR(DANH_MUC!$L$8&lt;&gt;"Có",P4661="Có")),"Có","Không"))</f>
        <v/>
      </c>
      <c r="R4661" s="22">
        <f>IF($D4661="","",IF(COUNTIF($D$2:$D4661,$D4661)&gt;1,"Trùng",""))</f>
        <v/>
      </c>
      <c r="S4661" s="22">
        <f>IF($D4661="","",IF(AND(LEN($D4661)=10,LEFT($D4661,1)="0",ISNUMBER(--$D4661)),"Có","Không"))</f>
        <v/>
      </c>
      <c r="T4661" s="22">
        <f>IF($D4661="","",IF(AND($C4661&lt;&gt;"",$Q4661="Có",$R4661="",$S4661="Có",AND($L4661&lt;&gt;"",OR($L4661&lt;&gt;"Chưa xác định",DANH_MUC!$L$9="Có"))),"Có","Không"))</f>
        <v/>
      </c>
      <c r="U4661" s="22">
        <f>IF(OR($D4661="",$T4661="Có"),"",IF($C4661="","Thiếu họ tên; ","")&amp;IF($S4661&lt;&gt;"Có","SĐT sai định dạng; ","")&amp;IF($R4661="Trùng","Trùng SĐT; ","")&amp;IF($Q4661&lt;&gt;"Có","Thiếu đồng ý bắt buộc; ","")&amp;IF($L4661="","Thiếu/sai Mã REF; ",IF(AND($L4661="Chưa xác định",DANH_MUC!$L$9&lt;&gt;"Có"),"Nguồn chưa xác định; ","")))</f>
        <v/>
      </c>
      <c r="V4661" s="22">
        <f>IF(OR($D4661="",$R4661="Trùng"),"",IF(COUNTIF(ORDERS!$C$2:$C$4995,$D4661)&gt;0,"Có","Không"))</f>
        <v/>
      </c>
      <c r="W4661" s="22">
        <f>IF(OR($D4661="",$R4661="Trùng"),"",COUNTIFS(ORDERS!$C$2:$C$4995,$D4661,ORDERS!$L$2:$L$4995,"Đã chuyển khoản"))</f>
        <v/>
      </c>
      <c r="X4661" s="23">
        <f>IF(OR($D4661="",$R4661="Trùng"),"",SUMIFS(ORDERS!$J$2:$J$4995,ORDERS!$C$2:$C$4995,$D4661,ORDERS!$L$2:$L$4995,"Đã chuyển khoản"))</f>
        <v/>
      </c>
      <c r="Y4661" s="24" t="n"/>
    </row>
    <row r="4662" ht="14.25" customHeight="1" s="40">
      <c r="A4662" s="24" t="n"/>
      <c r="B4662" s="27" t="n"/>
      <c r="C4662" s="24" t="n"/>
      <c r="D4662" s="28" t="n"/>
      <c r="E4662" s="29" t="n"/>
      <c r="F4662" s="24" t="n"/>
      <c r="G4662" s="24" t="n"/>
      <c r="H4662" s="21">
        <f>IF(ISNUMBER($B4662),INT($B4662)-WEEKDAY($B4662,2)+1,"")</f>
        <v/>
      </c>
      <c r="I4662" s="24" t="n"/>
      <c r="J4662" s="22">
        <f t="array" ref="J4662">IF($D4662="","",IF($I4662="","(trống REF)",IFERROR(INDEX(MASTER_SOURCE!$B$2:$B$495,MATCH($I4662,MASTER_SOURCE!$A$2:$A$495,0)),"(REF không có trong MASTER_SOURCE)")))</f>
        <v/>
      </c>
      <c r="K4662" s="22">
        <f t="array" ref="K4662">IF($D4662="","",IFERROR(INDEX(MASTER_SOURCE!$C$2:$C$495,MATCH($I4662,MASTER_SOURCE!$A$2:$A$495,0)),""))</f>
        <v/>
      </c>
      <c r="L4662" s="22">
        <f t="array" ref="L4662">IF($D4662="","",IFERROR(INDEX(MASTER_SOURCE!$D$2:$D$495,MATCH($I4662,MASTER_SOURCE!$A$2:$A$495,0)),""))</f>
        <v/>
      </c>
      <c r="M4662" s="24" t="n"/>
      <c r="N4662" s="24" t="n"/>
      <c r="O4662" s="24" t="n"/>
      <c r="P4662" s="24" t="n"/>
      <c r="Q4662" s="22">
        <f>IF($D4662="","",IF(AND(OR(DANH_MUC!$L$5&lt;&gt;"Có",M4662="Có"),OR(DANH_MUC!$L$6&lt;&gt;"Có",N4662="Có"),OR(DANH_MUC!$L$7&lt;&gt;"Có",O4662="Có"),OR(DANH_MUC!$L$8&lt;&gt;"Có",P4662="Có")),"Có","Không"))</f>
        <v/>
      </c>
      <c r="R4662" s="22">
        <f>IF($D4662="","",IF(COUNTIF($D$2:$D4662,$D4662)&gt;1,"Trùng",""))</f>
        <v/>
      </c>
      <c r="S4662" s="22">
        <f>IF($D4662="","",IF(AND(LEN($D4662)=10,LEFT($D4662,1)="0",ISNUMBER(--$D4662)),"Có","Không"))</f>
        <v/>
      </c>
      <c r="T4662" s="22">
        <f>IF($D4662="","",IF(AND($C4662&lt;&gt;"",$Q4662="Có",$R4662="",$S4662="Có",AND($L4662&lt;&gt;"",OR($L4662&lt;&gt;"Chưa xác định",DANH_MUC!$L$9="Có"))),"Có","Không"))</f>
        <v/>
      </c>
      <c r="U4662" s="22">
        <f>IF(OR($D4662="",$T4662="Có"),"",IF($C4662="","Thiếu họ tên; ","")&amp;IF($S4662&lt;&gt;"Có","SĐT sai định dạng; ","")&amp;IF($R4662="Trùng","Trùng SĐT; ","")&amp;IF($Q4662&lt;&gt;"Có","Thiếu đồng ý bắt buộc; ","")&amp;IF($L4662="","Thiếu/sai Mã REF; ",IF(AND($L4662="Chưa xác định",DANH_MUC!$L$9&lt;&gt;"Có"),"Nguồn chưa xác định; ","")))</f>
        <v/>
      </c>
      <c r="V4662" s="22">
        <f>IF(OR($D4662="",$R4662="Trùng"),"",IF(COUNTIF(ORDERS!$C$2:$C$4995,$D4662)&gt;0,"Có","Không"))</f>
        <v/>
      </c>
      <c r="W4662" s="22">
        <f>IF(OR($D4662="",$R4662="Trùng"),"",COUNTIFS(ORDERS!$C$2:$C$4995,$D4662,ORDERS!$L$2:$L$4995,"Đã chuyển khoản"))</f>
        <v/>
      </c>
      <c r="X4662" s="23">
        <f>IF(OR($D4662="",$R4662="Trùng"),"",SUMIFS(ORDERS!$J$2:$J$4995,ORDERS!$C$2:$C$4995,$D4662,ORDERS!$L$2:$L$4995,"Đã chuyển khoản"))</f>
        <v/>
      </c>
      <c r="Y4662" s="24" t="n"/>
    </row>
    <row r="4663" ht="14.25" customHeight="1" s="40">
      <c r="A4663" s="24" t="n"/>
      <c r="B4663" s="27" t="n"/>
      <c r="C4663" s="24" t="n"/>
      <c r="D4663" s="28" t="n"/>
      <c r="E4663" s="29" t="n"/>
      <c r="F4663" s="24" t="n"/>
      <c r="G4663" s="24" t="n"/>
      <c r="H4663" s="21">
        <f>IF(ISNUMBER($B4663),INT($B4663)-WEEKDAY($B4663,2)+1,"")</f>
        <v/>
      </c>
      <c r="I4663" s="24" t="n"/>
      <c r="J4663" s="22">
        <f t="array" ref="J4663">IF($D4663="","",IF($I4663="","(trống REF)",IFERROR(INDEX(MASTER_SOURCE!$B$2:$B$495,MATCH($I4663,MASTER_SOURCE!$A$2:$A$495,0)),"(REF không có trong MASTER_SOURCE)")))</f>
        <v/>
      </c>
      <c r="K4663" s="22">
        <f t="array" ref="K4663">IF($D4663="","",IFERROR(INDEX(MASTER_SOURCE!$C$2:$C$495,MATCH($I4663,MASTER_SOURCE!$A$2:$A$495,0)),""))</f>
        <v/>
      </c>
      <c r="L4663" s="22">
        <f t="array" ref="L4663">IF($D4663="","",IFERROR(INDEX(MASTER_SOURCE!$D$2:$D$495,MATCH($I4663,MASTER_SOURCE!$A$2:$A$495,0)),""))</f>
        <v/>
      </c>
      <c r="M4663" s="24" t="n"/>
      <c r="N4663" s="24" t="n"/>
      <c r="O4663" s="24" t="n"/>
      <c r="P4663" s="24" t="n"/>
      <c r="Q4663" s="22">
        <f>IF($D4663="","",IF(AND(OR(DANH_MUC!$L$5&lt;&gt;"Có",M4663="Có"),OR(DANH_MUC!$L$6&lt;&gt;"Có",N4663="Có"),OR(DANH_MUC!$L$7&lt;&gt;"Có",O4663="Có"),OR(DANH_MUC!$L$8&lt;&gt;"Có",P4663="Có")),"Có","Không"))</f>
        <v/>
      </c>
      <c r="R4663" s="22">
        <f>IF($D4663="","",IF(COUNTIF($D$2:$D4663,$D4663)&gt;1,"Trùng",""))</f>
        <v/>
      </c>
      <c r="S4663" s="22">
        <f>IF($D4663="","",IF(AND(LEN($D4663)=10,LEFT($D4663,1)="0",ISNUMBER(--$D4663)),"Có","Không"))</f>
        <v/>
      </c>
      <c r="T4663" s="22">
        <f>IF($D4663="","",IF(AND($C4663&lt;&gt;"",$Q4663="Có",$R4663="",$S4663="Có",AND($L4663&lt;&gt;"",OR($L4663&lt;&gt;"Chưa xác định",DANH_MUC!$L$9="Có"))),"Có","Không"))</f>
        <v/>
      </c>
      <c r="U4663" s="22">
        <f>IF(OR($D4663="",$T4663="Có"),"",IF($C4663="","Thiếu họ tên; ","")&amp;IF($S4663&lt;&gt;"Có","SĐT sai định dạng; ","")&amp;IF($R4663="Trùng","Trùng SĐT; ","")&amp;IF($Q4663&lt;&gt;"Có","Thiếu đồng ý bắt buộc; ","")&amp;IF($L4663="","Thiếu/sai Mã REF; ",IF(AND($L4663="Chưa xác định",DANH_MUC!$L$9&lt;&gt;"Có"),"Nguồn chưa xác định; ","")))</f>
        <v/>
      </c>
      <c r="V4663" s="22">
        <f>IF(OR($D4663="",$R4663="Trùng"),"",IF(COUNTIF(ORDERS!$C$2:$C$4995,$D4663)&gt;0,"Có","Không"))</f>
        <v/>
      </c>
      <c r="W4663" s="22">
        <f>IF(OR($D4663="",$R4663="Trùng"),"",COUNTIFS(ORDERS!$C$2:$C$4995,$D4663,ORDERS!$L$2:$L$4995,"Đã chuyển khoản"))</f>
        <v/>
      </c>
      <c r="X4663" s="23">
        <f>IF(OR($D4663="",$R4663="Trùng"),"",SUMIFS(ORDERS!$J$2:$J$4995,ORDERS!$C$2:$C$4995,$D4663,ORDERS!$L$2:$L$4995,"Đã chuyển khoản"))</f>
        <v/>
      </c>
      <c r="Y4663" s="24" t="n"/>
    </row>
    <row r="4664" ht="14.25" customHeight="1" s="40">
      <c r="A4664" s="24" t="n"/>
      <c r="B4664" s="27" t="n"/>
      <c r="C4664" s="24" t="n"/>
      <c r="D4664" s="28" t="n"/>
      <c r="E4664" s="29" t="n"/>
      <c r="F4664" s="24" t="n"/>
      <c r="G4664" s="24" t="n"/>
      <c r="H4664" s="21">
        <f>IF(ISNUMBER($B4664),INT($B4664)-WEEKDAY($B4664,2)+1,"")</f>
        <v/>
      </c>
      <c r="I4664" s="24" t="n"/>
      <c r="J4664" s="22">
        <f t="array" ref="J4664">IF($D4664="","",IF($I4664="","(trống REF)",IFERROR(INDEX(MASTER_SOURCE!$B$2:$B$495,MATCH($I4664,MASTER_SOURCE!$A$2:$A$495,0)),"(REF không có trong MASTER_SOURCE)")))</f>
        <v/>
      </c>
      <c r="K4664" s="22">
        <f t="array" ref="K4664">IF($D4664="","",IFERROR(INDEX(MASTER_SOURCE!$C$2:$C$495,MATCH($I4664,MASTER_SOURCE!$A$2:$A$495,0)),""))</f>
        <v/>
      </c>
      <c r="L4664" s="22">
        <f t="array" ref="L4664">IF($D4664="","",IFERROR(INDEX(MASTER_SOURCE!$D$2:$D$495,MATCH($I4664,MASTER_SOURCE!$A$2:$A$495,0)),""))</f>
        <v/>
      </c>
      <c r="M4664" s="24" t="n"/>
      <c r="N4664" s="24" t="n"/>
      <c r="O4664" s="24" t="n"/>
      <c r="P4664" s="24" t="n"/>
      <c r="Q4664" s="22">
        <f>IF($D4664="","",IF(AND(OR(DANH_MUC!$L$5&lt;&gt;"Có",M4664="Có"),OR(DANH_MUC!$L$6&lt;&gt;"Có",N4664="Có"),OR(DANH_MUC!$L$7&lt;&gt;"Có",O4664="Có"),OR(DANH_MUC!$L$8&lt;&gt;"Có",P4664="Có")),"Có","Không"))</f>
        <v/>
      </c>
      <c r="R4664" s="22">
        <f>IF($D4664="","",IF(COUNTIF($D$2:$D4664,$D4664)&gt;1,"Trùng",""))</f>
        <v/>
      </c>
      <c r="S4664" s="22">
        <f>IF($D4664="","",IF(AND(LEN($D4664)=10,LEFT($D4664,1)="0",ISNUMBER(--$D4664)),"Có","Không"))</f>
        <v/>
      </c>
      <c r="T4664" s="22">
        <f>IF($D4664="","",IF(AND($C4664&lt;&gt;"",$Q4664="Có",$R4664="",$S4664="Có",AND($L4664&lt;&gt;"",OR($L4664&lt;&gt;"Chưa xác định",DANH_MUC!$L$9="Có"))),"Có","Không"))</f>
        <v/>
      </c>
      <c r="U4664" s="22">
        <f>IF(OR($D4664="",$T4664="Có"),"",IF($C4664="","Thiếu họ tên; ","")&amp;IF($S4664&lt;&gt;"Có","SĐT sai định dạng; ","")&amp;IF($R4664="Trùng","Trùng SĐT; ","")&amp;IF($Q4664&lt;&gt;"Có","Thiếu đồng ý bắt buộc; ","")&amp;IF($L4664="","Thiếu/sai Mã REF; ",IF(AND($L4664="Chưa xác định",DANH_MUC!$L$9&lt;&gt;"Có"),"Nguồn chưa xác định; ","")))</f>
        <v/>
      </c>
      <c r="V4664" s="22">
        <f>IF(OR($D4664="",$R4664="Trùng"),"",IF(COUNTIF(ORDERS!$C$2:$C$4995,$D4664)&gt;0,"Có","Không"))</f>
        <v/>
      </c>
      <c r="W4664" s="22">
        <f>IF(OR($D4664="",$R4664="Trùng"),"",COUNTIFS(ORDERS!$C$2:$C$4995,$D4664,ORDERS!$L$2:$L$4995,"Đã chuyển khoản"))</f>
        <v/>
      </c>
      <c r="X4664" s="23">
        <f>IF(OR($D4664="",$R4664="Trùng"),"",SUMIFS(ORDERS!$J$2:$J$4995,ORDERS!$C$2:$C$4995,$D4664,ORDERS!$L$2:$L$4995,"Đã chuyển khoản"))</f>
        <v/>
      </c>
      <c r="Y4664" s="24" t="n"/>
    </row>
    <row r="4665" ht="14.25" customHeight="1" s="40">
      <c r="A4665" s="24" t="n"/>
      <c r="B4665" s="27" t="n"/>
      <c r="C4665" s="24" t="n"/>
      <c r="D4665" s="28" t="n"/>
      <c r="E4665" s="29" t="n"/>
      <c r="F4665" s="24" t="n"/>
      <c r="G4665" s="24" t="n"/>
      <c r="H4665" s="21">
        <f>IF(ISNUMBER($B4665),INT($B4665)-WEEKDAY($B4665,2)+1,"")</f>
        <v/>
      </c>
      <c r="I4665" s="24" t="n"/>
      <c r="J4665" s="22">
        <f t="array" ref="J4665">IF($D4665="","",IF($I4665="","(trống REF)",IFERROR(INDEX(MASTER_SOURCE!$B$2:$B$495,MATCH($I4665,MASTER_SOURCE!$A$2:$A$495,0)),"(REF không có trong MASTER_SOURCE)")))</f>
        <v/>
      </c>
      <c r="K4665" s="22">
        <f t="array" ref="K4665">IF($D4665="","",IFERROR(INDEX(MASTER_SOURCE!$C$2:$C$495,MATCH($I4665,MASTER_SOURCE!$A$2:$A$495,0)),""))</f>
        <v/>
      </c>
      <c r="L4665" s="22">
        <f t="array" ref="L4665">IF($D4665="","",IFERROR(INDEX(MASTER_SOURCE!$D$2:$D$495,MATCH($I4665,MASTER_SOURCE!$A$2:$A$495,0)),""))</f>
        <v/>
      </c>
      <c r="M4665" s="24" t="n"/>
      <c r="N4665" s="24" t="n"/>
      <c r="O4665" s="24" t="n"/>
      <c r="P4665" s="24" t="n"/>
      <c r="Q4665" s="22">
        <f>IF($D4665="","",IF(AND(OR(DANH_MUC!$L$5&lt;&gt;"Có",M4665="Có"),OR(DANH_MUC!$L$6&lt;&gt;"Có",N4665="Có"),OR(DANH_MUC!$L$7&lt;&gt;"Có",O4665="Có"),OR(DANH_MUC!$L$8&lt;&gt;"Có",P4665="Có")),"Có","Không"))</f>
        <v/>
      </c>
      <c r="R4665" s="22">
        <f>IF($D4665="","",IF(COUNTIF($D$2:$D4665,$D4665)&gt;1,"Trùng",""))</f>
        <v/>
      </c>
      <c r="S4665" s="22">
        <f>IF($D4665="","",IF(AND(LEN($D4665)=10,LEFT($D4665,1)="0",ISNUMBER(--$D4665)),"Có","Không"))</f>
        <v/>
      </c>
      <c r="T4665" s="22">
        <f>IF($D4665="","",IF(AND($C4665&lt;&gt;"",$Q4665="Có",$R4665="",$S4665="Có",AND($L4665&lt;&gt;"",OR($L4665&lt;&gt;"Chưa xác định",DANH_MUC!$L$9="Có"))),"Có","Không"))</f>
        <v/>
      </c>
      <c r="U4665" s="22">
        <f>IF(OR($D4665="",$T4665="Có"),"",IF($C4665="","Thiếu họ tên; ","")&amp;IF($S4665&lt;&gt;"Có","SĐT sai định dạng; ","")&amp;IF($R4665="Trùng","Trùng SĐT; ","")&amp;IF($Q4665&lt;&gt;"Có","Thiếu đồng ý bắt buộc; ","")&amp;IF($L4665="","Thiếu/sai Mã REF; ",IF(AND($L4665="Chưa xác định",DANH_MUC!$L$9&lt;&gt;"Có"),"Nguồn chưa xác định; ","")))</f>
        <v/>
      </c>
      <c r="V4665" s="22">
        <f>IF(OR($D4665="",$R4665="Trùng"),"",IF(COUNTIF(ORDERS!$C$2:$C$4995,$D4665)&gt;0,"Có","Không"))</f>
        <v/>
      </c>
      <c r="W4665" s="22">
        <f>IF(OR($D4665="",$R4665="Trùng"),"",COUNTIFS(ORDERS!$C$2:$C$4995,$D4665,ORDERS!$L$2:$L$4995,"Đã chuyển khoản"))</f>
        <v/>
      </c>
      <c r="X4665" s="23">
        <f>IF(OR($D4665="",$R4665="Trùng"),"",SUMIFS(ORDERS!$J$2:$J$4995,ORDERS!$C$2:$C$4995,$D4665,ORDERS!$L$2:$L$4995,"Đã chuyển khoản"))</f>
        <v/>
      </c>
      <c r="Y4665" s="24" t="n"/>
    </row>
    <row r="4666" ht="14.25" customHeight="1" s="40">
      <c r="A4666" s="24" t="n"/>
      <c r="B4666" s="27" t="n"/>
      <c r="C4666" s="24" t="n"/>
      <c r="D4666" s="28" t="n"/>
      <c r="E4666" s="29" t="n"/>
      <c r="F4666" s="24" t="n"/>
      <c r="G4666" s="24" t="n"/>
      <c r="H4666" s="21">
        <f>IF(ISNUMBER($B4666),INT($B4666)-WEEKDAY($B4666,2)+1,"")</f>
        <v/>
      </c>
      <c r="I4666" s="24" t="n"/>
      <c r="J4666" s="22">
        <f t="array" ref="J4666">IF($D4666="","",IF($I4666="","(trống REF)",IFERROR(INDEX(MASTER_SOURCE!$B$2:$B$495,MATCH($I4666,MASTER_SOURCE!$A$2:$A$495,0)),"(REF không có trong MASTER_SOURCE)")))</f>
        <v/>
      </c>
      <c r="K4666" s="22">
        <f t="array" ref="K4666">IF($D4666="","",IFERROR(INDEX(MASTER_SOURCE!$C$2:$C$495,MATCH($I4666,MASTER_SOURCE!$A$2:$A$495,0)),""))</f>
        <v/>
      </c>
      <c r="L4666" s="22">
        <f t="array" ref="L4666">IF($D4666="","",IFERROR(INDEX(MASTER_SOURCE!$D$2:$D$495,MATCH($I4666,MASTER_SOURCE!$A$2:$A$495,0)),""))</f>
        <v/>
      </c>
      <c r="M4666" s="24" t="n"/>
      <c r="N4666" s="24" t="n"/>
      <c r="O4666" s="24" t="n"/>
      <c r="P4666" s="24" t="n"/>
      <c r="Q4666" s="22">
        <f>IF($D4666="","",IF(AND(OR(DANH_MUC!$L$5&lt;&gt;"Có",M4666="Có"),OR(DANH_MUC!$L$6&lt;&gt;"Có",N4666="Có"),OR(DANH_MUC!$L$7&lt;&gt;"Có",O4666="Có"),OR(DANH_MUC!$L$8&lt;&gt;"Có",P4666="Có")),"Có","Không"))</f>
        <v/>
      </c>
      <c r="R4666" s="22">
        <f>IF($D4666="","",IF(COUNTIF($D$2:$D4666,$D4666)&gt;1,"Trùng",""))</f>
        <v/>
      </c>
      <c r="S4666" s="22">
        <f>IF($D4666="","",IF(AND(LEN($D4666)=10,LEFT($D4666,1)="0",ISNUMBER(--$D4666)),"Có","Không"))</f>
        <v/>
      </c>
      <c r="T4666" s="22">
        <f>IF($D4666="","",IF(AND($C4666&lt;&gt;"",$Q4666="Có",$R4666="",$S4666="Có",AND($L4666&lt;&gt;"",OR($L4666&lt;&gt;"Chưa xác định",DANH_MUC!$L$9="Có"))),"Có","Không"))</f>
        <v/>
      </c>
      <c r="U4666" s="22">
        <f>IF(OR($D4666="",$T4666="Có"),"",IF($C4666="","Thiếu họ tên; ","")&amp;IF($S4666&lt;&gt;"Có","SĐT sai định dạng; ","")&amp;IF($R4666="Trùng","Trùng SĐT; ","")&amp;IF($Q4666&lt;&gt;"Có","Thiếu đồng ý bắt buộc; ","")&amp;IF($L4666="","Thiếu/sai Mã REF; ",IF(AND($L4666="Chưa xác định",DANH_MUC!$L$9&lt;&gt;"Có"),"Nguồn chưa xác định; ","")))</f>
        <v/>
      </c>
      <c r="V4666" s="22">
        <f>IF(OR($D4666="",$R4666="Trùng"),"",IF(COUNTIF(ORDERS!$C$2:$C$4995,$D4666)&gt;0,"Có","Không"))</f>
        <v/>
      </c>
      <c r="W4666" s="22">
        <f>IF(OR($D4666="",$R4666="Trùng"),"",COUNTIFS(ORDERS!$C$2:$C$4995,$D4666,ORDERS!$L$2:$L$4995,"Đã chuyển khoản"))</f>
        <v/>
      </c>
      <c r="X4666" s="23">
        <f>IF(OR($D4666="",$R4666="Trùng"),"",SUMIFS(ORDERS!$J$2:$J$4995,ORDERS!$C$2:$C$4995,$D4666,ORDERS!$L$2:$L$4995,"Đã chuyển khoản"))</f>
        <v/>
      </c>
      <c r="Y4666" s="24" t="n"/>
    </row>
    <row r="4667" ht="14.25" customHeight="1" s="40">
      <c r="A4667" s="24" t="n"/>
      <c r="B4667" s="27" t="n"/>
      <c r="C4667" s="24" t="n"/>
      <c r="D4667" s="28" t="n"/>
      <c r="E4667" s="29" t="n"/>
      <c r="F4667" s="24" t="n"/>
      <c r="G4667" s="24" t="n"/>
      <c r="H4667" s="21">
        <f>IF(ISNUMBER($B4667),INT($B4667)-WEEKDAY($B4667,2)+1,"")</f>
        <v/>
      </c>
      <c r="I4667" s="24" t="n"/>
      <c r="J4667" s="22">
        <f t="array" ref="J4667">IF($D4667="","",IF($I4667="","(trống REF)",IFERROR(INDEX(MASTER_SOURCE!$B$2:$B$495,MATCH($I4667,MASTER_SOURCE!$A$2:$A$495,0)),"(REF không có trong MASTER_SOURCE)")))</f>
        <v/>
      </c>
      <c r="K4667" s="22">
        <f t="array" ref="K4667">IF($D4667="","",IFERROR(INDEX(MASTER_SOURCE!$C$2:$C$495,MATCH($I4667,MASTER_SOURCE!$A$2:$A$495,0)),""))</f>
        <v/>
      </c>
      <c r="L4667" s="22">
        <f t="array" ref="L4667">IF($D4667="","",IFERROR(INDEX(MASTER_SOURCE!$D$2:$D$495,MATCH($I4667,MASTER_SOURCE!$A$2:$A$495,0)),""))</f>
        <v/>
      </c>
      <c r="M4667" s="24" t="n"/>
      <c r="N4667" s="24" t="n"/>
      <c r="O4667" s="24" t="n"/>
      <c r="P4667" s="24" t="n"/>
      <c r="Q4667" s="22">
        <f>IF($D4667="","",IF(AND(OR(DANH_MUC!$L$5&lt;&gt;"Có",M4667="Có"),OR(DANH_MUC!$L$6&lt;&gt;"Có",N4667="Có"),OR(DANH_MUC!$L$7&lt;&gt;"Có",O4667="Có"),OR(DANH_MUC!$L$8&lt;&gt;"Có",P4667="Có")),"Có","Không"))</f>
        <v/>
      </c>
      <c r="R4667" s="22">
        <f>IF($D4667="","",IF(COUNTIF($D$2:$D4667,$D4667)&gt;1,"Trùng",""))</f>
        <v/>
      </c>
      <c r="S4667" s="22">
        <f>IF($D4667="","",IF(AND(LEN($D4667)=10,LEFT($D4667,1)="0",ISNUMBER(--$D4667)),"Có","Không"))</f>
        <v/>
      </c>
      <c r="T4667" s="22">
        <f>IF($D4667="","",IF(AND($C4667&lt;&gt;"",$Q4667="Có",$R4667="",$S4667="Có",AND($L4667&lt;&gt;"",OR($L4667&lt;&gt;"Chưa xác định",DANH_MUC!$L$9="Có"))),"Có","Không"))</f>
        <v/>
      </c>
      <c r="U4667" s="22">
        <f>IF(OR($D4667="",$T4667="Có"),"",IF($C4667="","Thiếu họ tên; ","")&amp;IF($S4667&lt;&gt;"Có","SĐT sai định dạng; ","")&amp;IF($R4667="Trùng","Trùng SĐT; ","")&amp;IF($Q4667&lt;&gt;"Có","Thiếu đồng ý bắt buộc; ","")&amp;IF($L4667="","Thiếu/sai Mã REF; ",IF(AND($L4667="Chưa xác định",DANH_MUC!$L$9&lt;&gt;"Có"),"Nguồn chưa xác định; ","")))</f>
        <v/>
      </c>
      <c r="V4667" s="22">
        <f>IF(OR($D4667="",$R4667="Trùng"),"",IF(COUNTIF(ORDERS!$C$2:$C$4995,$D4667)&gt;0,"Có","Không"))</f>
        <v/>
      </c>
      <c r="W4667" s="22">
        <f>IF(OR($D4667="",$R4667="Trùng"),"",COUNTIFS(ORDERS!$C$2:$C$4995,$D4667,ORDERS!$L$2:$L$4995,"Đã chuyển khoản"))</f>
        <v/>
      </c>
      <c r="X4667" s="23">
        <f>IF(OR($D4667="",$R4667="Trùng"),"",SUMIFS(ORDERS!$J$2:$J$4995,ORDERS!$C$2:$C$4995,$D4667,ORDERS!$L$2:$L$4995,"Đã chuyển khoản"))</f>
        <v/>
      </c>
      <c r="Y4667" s="24" t="n"/>
    </row>
    <row r="4668" ht="14.25" customHeight="1" s="40">
      <c r="A4668" s="24" t="n"/>
      <c r="B4668" s="27" t="n"/>
      <c r="C4668" s="24" t="n"/>
      <c r="D4668" s="28" t="n"/>
      <c r="E4668" s="29" t="n"/>
      <c r="F4668" s="24" t="n"/>
      <c r="G4668" s="24" t="n"/>
      <c r="H4668" s="21">
        <f>IF(ISNUMBER($B4668),INT($B4668)-WEEKDAY($B4668,2)+1,"")</f>
        <v/>
      </c>
      <c r="I4668" s="24" t="n"/>
      <c r="J4668" s="22">
        <f t="array" ref="J4668">IF($D4668="","",IF($I4668="","(trống REF)",IFERROR(INDEX(MASTER_SOURCE!$B$2:$B$495,MATCH($I4668,MASTER_SOURCE!$A$2:$A$495,0)),"(REF không có trong MASTER_SOURCE)")))</f>
        <v/>
      </c>
      <c r="K4668" s="22">
        <f t="array" ref="K4668">IF($D4668="","",IFERROR(INDEX(MASTER_SOURCE!$C$2:$C$495,MATCH($I4668,MASTER_SOURCE!$A$2:$A$495,0)),""))</f>
        <v/>
      </c>
      <c r="L4668" s="22">
        <f t="array" ref="L4668">IF($D4668="","",IFERROR(INDEX(MASTER_SOURCE!$D$2:$D$495,MATCH($I4668,MASTER_SOURCE!$A$2:$A$495,0)),""))</f>
        <v/>
      </c>
      <c r="M4668" s="24" t="n"/>
      <c r="N4668" s="24" t="n"/>
      <c r="O4668" s="24" t="n"/>
      <c r="P4668" s="24" t="n"/>
      <c r="Q4668" s="22">
        <f>IF($D4668="","",IF(AND(OR(DANH_MUC!$L$5&lt;&gt;"Có",M4668="Có"),OR(DANH_MUC!$L$6&lt;&gt;"Có",N4668="Có"),OR(DANH_MUC!$L$7&lt;&gt;"Có",O4668="Có"),OR(DANH_MUC!$L$8&lt;&gt;"Có",P4668="Có")),"Có","Không"))</f>
        <v/>
      </c>
      <c r="R4668" s="22">
        <f>IF($D4668="","",IF(COUNTIF($D$2:$D4668,$D4668)&gt;1,"Trùng",""))</f>
        <v/>
      </c>
      <c r="S4668" s="22">
        <f>IF($D4668="","",IF(AND(LEN($D4668)=10,LEFT($D4668,1)="0",ISNUMBER(--$D4668)),"Có","Không"))</f>
        <v/>
      </c>
      <c r="T4668" s="22">
        <f>IF($D4668="","",IF(AND($C4668&lt;&gt;"",$Q4668="Có",$R4668="",$S4668="Có",AND($L4668&lt;&gt;"",OR($L4668&lt;&gt;"Chưa xác định",DANH_MUC!$L$9="Có"))),"Có","Không"))</f>
        <v/>
      </c>
      <c r="U4668" s="22">
        <f>IF(OR($D4668="",$T4668="Có"),"",IF($C4668="","Thiếu họ tên; ","")&amp;IF($S4668&lt;&gt;"Có","SĐT sai định dạng; ","")&amp;IF($R4668="Trùng","Trùng SĐT; ","")&amp;IF($Q4668&lt;&gt;"Có","Thiếu đồng ý bắt buộc; ","")&amp;IF($L4668="","Thiếu/sai Mã REF; ",IF(AND($L4668="Chưa xác định",DANH_MUC!$L$9&lt;&gt;"Có"),"Nguồn chưa xác định; ","")))</f>
        <v/>
      </c>
      <c r="V4668" s="22">
        <f>IF(OR($D4668="",$R4668="Trùng"),"",IF(COUNTIF(ORDERS!$C$2:$C$4995,$D4668)&gt;0,"Có","Không"))</f>
        <v/>
      </c>
      <c r="W4668" s="22">
        <f>IF(OR($D4668="",$R4668="Trùng"),"",COUNTIFS(ORDERS!$C$2:$C$4995,$D4668,ORDERS!$L$2:$L$4995,"Đã chuyển khoản"))</f>
        <v/>
      </c>
      <c r="X4668" s="23">
        <f>IF(OR($D4668="",$R4668="Trùng"),"",SUMIFS(ORDERS!$J$2:$J$4995,ORDERS!$C$2:$C$4995,$D4668,ORDERS!$L$2:$L$4995,"Đã chuyển khoản"))</f>
        <v/>
      </c>
      <c r="Y4668" s="24" t="n"/>
    </row>
    <row r="4669" ht="14.25" customHeight="1" s="40">
      <c r="A4669" s="24" t="n"/>
      <c r="B4669" s="27" t="n"/>
      <c r="C4669" s="24" t="n"/>
      <c r="D4669" s="28" t="n"/>
      <c r="E4669" s="29" t="n"/>
      <c r="F4669" s="24" t="n"/>
      <c r="G4669" s="24" t="n"/>
      <c r="H4669" s="21">
        <f>IF(ISNUMBER($B4669),INT($B4669)-WEEKDAY($B4669,2)+1,"")</f>
        <v/>
      </c>
      <c r="I4669" s="24" t="n"/>
      <c r="J4669" s="22">
        <f t="array" ref="J4669">IF($D4669="","",IF($I4669="","(trống REF)",IFERROR(INDEX(MASTER_SOURCE!$B$2:$B$495,MATCH($I4669,MASTER_SOURCE!$A$2:$A$495,0)),"(REF không có trong MASTER_SOURCE)")))</f>
        <v/>
      </c>
      <c r="K4669" s="22">
        <f t="array" ref="K4669">IF($D4669="","",IFERROR(INDEX(MASTER_SOURCE!$C$2:$C$495,MATCH($I4669,MASTER_SOURCE!$A$2:$A$495,0)),""))</f>
        <v/>
      </c>
      <c r="L4669" s="22">
        <f t="array" ref="L4669">IF($D4669="","",IFERROR(INDEX(MASTER_SOURCE!$D$2:$D$495,MATCH($I4669,MASTER_SOURCE!$A$2:$A$495,0)),""))</f>
        <v/>
      </c>
      <c r="M4669" s="24" t="n"/>
      <c r="N4669" s="24" t="n"/>
      <c r="O4669" s="24" t="n"/>
      <c r="P4669" s="24" t="n"/>
      <c r="Q4669" s="22">
        <f>IF($D4669="","",IF(AND(OR(DANH_MUC!$L$5&lt;&gt;"Có",M4669="Có"),OR(DANH_MUC!$L$6&lt;&gt;"Có",N4669="Có"),OR(DANH_MUC!$L$7&lt;&gt;"Có",O4669="Có"),OR(DANH_MUC!$L$8&lt;&gt;"Có",P4669="Có")),"Có","Không"))</f>
        <v/>
      </c>
      <c r="R4669" s="22">
        <f>IF($D4669="","",IF(COUNTIF($D$2:$D4669,$D4669)&gt;1,"Trùng",""))</f>
        <v/>
      </c>
      <c r="S4669" s="22">
        <f>IF($D4669="","",IF(AND(LEN($D4669)=10,LEFT($D4669,1)="0",ISNUMBER(--$D4669)),"Có","Không"))</f>
        <v/>
      </c>
      <c r="T4669" s="22">
        <f>IF($D4669="","",IF(AND($C4669&lt;&gt;"",$Q4669="Có",$R4669="",$S4669="Có",AND($L4669&lt;&gt;"",OR($L4669&lt;&gt;"Chưa xác định",DANH_MUC!$L$9="Có"))),"Có","Không"))</f>
        <v/>
      </c>
      <c r="U4669" s="22">
        <f>IF(OR($D4669="",$T4669="Có"),"",IF($C4669="","Thiếu họ tên; ","")&amp;IF($S4669&lt;&gt;"Có","SĐT sai định dạng; ","")&amp;IF($R4669="Trùng","Trùng SĐT; ","")&amp;IF($Q4669&lt;&gt;"Có","Thiếu đồng ý bắt buộc; ","")&amp;IF($L4669="","Thiếu/sai Mã REF; ",IF(AND($L4669="Chưa xác định",DANH_MUC!$L$9&lt;&gt;"Có"),"Nguồn chưa xác định; ","")))</f>
        <v/>
      </c>
      <c r="V4669" s="22">
        <f>IF(OR($D4669="",$R4669="Trùng"),"",IF(COUNTIF(ORDERS!$C$2:$C$4995,$D4669)&gt;0,"Có","Không"))</f>
        <v/>
      </c>
      <c r="W4669" s="22">
        <f>IF(OR($D4669="",$R4669="Trùng"),"",COUNTIFS(ORDERS!$C$2:$C$4995,$D4669,ORDERS!$L$2:$L$4995,"Đã chuyển khoản"))</f>
        <v/>
      </c>
      <c r="X4669" s="23">
        <f>IF(OR($D4669="",$R4669="Trùng"),"",SUMIFS(ORDERS!$J$2:$J$4995,ORDERS!$C$2:$C$4995,$D4669,ORDERS!$L$2:$L$4995,"Đã chuyển khoản"))</f>
        <v/>
      </c>
      <c r="Y4669" s="24" t="n"/>
    </row>
    <row r="4670" ht="14.25" customHeight="1" s="40">
      <c r="A4670" s="24" t="n"/>
      <c r="B4670" s="27" t="n"/>
      <c r="C4670" s="24" t="n"/>
      <c r="D4670" s="28" t="n"/>
      <c r="E4670" s="29" t="n"/>
      <c r="F4670" s="24" t="n"/>
      <c r="G4670" s="24" t="n"/>
      <c r="H4670" s="21">
        <f>IF(ISNUMBER($B4670),INT($B4670)-WEEKDAY($B4670,2)+1,"")</f>
        <v/>
      </c>
      <c r="I4670" s="24" t="n"/>
      <c r="J4670" s="22">
        <f t="array" ref="J4670">IF($D4670="","",IF($I4670="","(trống REF)",IFERROR(INDEX(MASTER_SOURCE!$B$2:$B$495,MATCH($I4670,MASTER_SOURCE!$A$2:$A$495,0)),"(REF không có trong MASTER_SOURCE)")))</f>
        <v/>
      </c>
      <c r="K4670" s="22">
        <f t="array" ref="K4670">IF($D4670="","",IFERROR(INDEX(MASTER_SOURCE!$C$2:$C$495,MATCH($I4670,MASTER_SOURCE!$A$2:$A$495,0)),""))</f>
        <v/>
      </c>
      <c r="L4670" s="22">
        <f t="array" ref="L4670">IF($D4670="","",IFERROR(INDEX(MASTER_SOURCE!$D$2:$D$495,MATCH($I4670,MASTER_SOURCE!$A$2:$A$495,0)),""))</f>
        <v/>
      </c>
      <c r="M4670" s="24" t="n"/>
      <c r="N4670" s="24" t="n"/>
      <c r="O4670" s="24" t="n"/>
      <c r="P4670" s="24" t="n"/>
      <c r="Q4670" s="22">
        <f>IF($D4670="","",IF(AND(OR(DANH_MUC!$L$5&lt;&gt;"Có",M4670="Có"),OR(DANH_MUC!$L$6&lt;&gt;"Có",N4670="Có"),OR(DANH_MUC!$L$7&lt;&gt;"Có",O4670="Có"),OR(DANH_MUC!$L$8&lt;&gt;"Có",P4670="Có")),"Có","Không"))</f>
        <v/>
      </c>
      <c r="R4670" s="22">
        <f>IF($D4670="","",IF(COUNTIF($D$2:$D4670,$D4670)&gt;1,"Trùng",""))</f>
        <v/>
      </c>
      <c r="S4670" s="22">
        <f>IF($D4670="","",IF(AND(LEN($D4670)=10,LEFT($D4670,1)="0",ISNUMBER(--$D4670)),"Có","Không"))</f>
        <v/>
      </c>
      <c r="T4670" s="22">
        <f>IF($D4670="","",IF(AND($C4670&lt;&gt;"",$Q4670="Có",$R4670="",$S4670="Có",AND($L4670&lt;&gt;"",OR($L4670&lt;&gt;"Chưa xác định",DANH_MUC!$L$9="Có"))),"Có","Không"))</f>
        <v/>
      </c>
      <c r="U4670" s="22">
        <f>IF(OR($D4670="",$T4670="Có"),"",IF($C4670="","Thiếu họ tên; ","")&amp;IF($S4670&lt;&gt;"Có","SĐT sai định dạng; ","")&amp;IF($R4670="Trùng","Trùng SĐT; ","")&amp;IF($Q4670&lt;&gt;"Có","Thiếu đồng ý bắt buộc; ","")&amp;IF($L4670="","Thiếu/sai Mã REF; ",IF(AND($L4670="Chưa xác định",DANH_MUC!$L$9&lt;&gt;"Có"),"Nguồn chưa xác định; ","")))</f>
        <v/>
      </c>
      <c r="V4670" s="22">
        <f>IF(OR($D4670="",$R4670="Trùng"),"",IF(COUNTIF(ORDERS!$C$2:$C$4995,$D4670)&gt;0,"Có","Không"))</f>
        <v/>
      </c>
      <c r="W4670" s="22">
        <f>IF(OR($D4670="",$R4670="Trùng"),"",COUNTIFS(ORDERS!$C$2:$C$4995,$D4670,ORDERS!$L$2:$L$4995,"Đã chuyển khoản"))</f>
        <v/>
      </c>
      <c r="X4670" s="23">
        <f>IF(OR($D4670="",$R4670="Trùng"),"",SUMIFS(ORDERS!$J$2:$J$4995,ORDERS!$C$2:$C$4995,$D4670,ORDERS!$L$2:$L$4995,"Đã chuyển khoản"))</f>
        <v/>
      </c>
      <c r="Y4670" s="24" t="n"/>
    </row>
    <row r="4671" ht="14.25" customHeight="1" s="40">
      <c r="A4671" s="24" t="n"/>
      <c r="B4671" s="27" t="n"/>
      <c r="C4671" s="24" t="n"/>
      <c r="D4671" s="28" t="n"/>
      <c r="E4671" s="29" t="n"/>
      <c r="F4671" s="24" t="n"/>
      <c r="G4671" s="24" t="n"/>
      <c r="H4671" s="21">
        <f>IF(ISNUMBER($B4671),INT($B4671)-WEEKDAY($B4671,2)+1,"")</f>
        <v/>
      </c>
      <c r="I4671" s="24" t="n"/>
      <c r="J4671" s="22">
        <f t="array" ref="J4671">IF($D4671="","",IF($I4671="","(trống REF)",IFERROR(INDEX(MASTER_SOURCE!$B$2:$B$495,MATCH($I4671,MASTER_SOURCE!$A$2:$A$495,0)),"(REF không có trong MASTER_SOURCE)")))</f>
        <v/>
      </c>
      <c r="K4671" s="22">
        <f t="array" ref="K4671">IF($D4671="","",IFERROR(INDEX(MASTER_SOURCE!$C$2:$C$495,MATCH($I4671,MASTER_SOURCE!$A$2:$A$495,0)),""))</f>
        <v/>
      </c>
      <c r="L4671" s="22">
        <f t="array" ref="L4671">IF($D4671="","",IFERROR(INDEX(MASTER_SOURCE!$D$2:$D$495,MATCH($I4671,MASTER_SOURCE!$A$2:$A$495,0)),""))</f>
        <v/>
      </c>
      <c r="M4671" s="24" t="n"/>
      <c r="N4671" s="24" t="n"/>
      <c r="O4671" s="24" t="n"/>
      <c r="P4671" s="24" t="n"/>
      <c r="Q4671" s="22">
        <f>IF($D4671="","",IF(AND(OR(DANH_MUC!$L$5&lt;&gt;"Có",M4671="Có"),OR(DANH_MUC!$L$6&lt;&gt;"Có",N4671="Có"),OR(DANH_MUC!$L$7&lt;&gt;"Có",O4671="Có"),OR(DANH_MUC!$L$8&lt;&gt;"Có",P4671="Có")),"Có","Không"))</f>
        <v/>
      </c>
      <c r="R4671" s="22">
        <f>IF($D4671="","",IF(COUNTIF($D$2:$D4671,$D4671)&gt;1,"Trùng",""))</f>
        <v/>
      </c>
      <c r="S4671" s="22">
        <f>IF($D4671="","",IF(AND(LEN($D4671)=10,LEFT($D4671,1)="0",ISNUMBER(--$D4671)),"Có","Không"))</f>
        <v/>
      </c>
      <c r="T4671" s="22">
        <f>IF($D4671="","",IF(AND($C4671&lt;&gt;"",$Q4671="Có",$R4671="",$S4671="Có",AND($L4671&lt;&gt;"",OR($L4671&lt;&gt;"Chưa xác định",DANH_MUC!$L$9="Có"))),"Có","Không"))</f>
        <v/>
      </c>
      <c r="U4671" s="22">
        <f>IF(OR($D4671="",$T4671="Có"),"",IF($C4671="","Thiếu họ tên; ","")&amp;IF($S4671&lt;&gt;"Có","SĐT sai định dạng; ","")&amp;IF($R4671="Trùng","Trùng SĐT; ","")&amp;IF($Q4671&lt;&gt;"Có","Thiếu đồng ý bắt buộc; ","")&amp;IF($L4671="","Thiếu/sai Mã REF; ",IF(AND($L4671="Chưa xác định",DANH_MUC!$L$9&lt;&gt;"Có"),"Nguồn chưa xác định; ","")))</f>
        <v/>
      </c>
      <c r="V4671" s="22">
        <f>IF(OR($D4671="",$R4671="Trùng"),"",IF(COUNTIF(ORDERS!$C$2:$C$4995,$D4671)&gt;0,"Có","Không"))</f>
        <v/>
      </c>
      <c r="W4671" s="22">
        <f>IF(OR($D4671="",$R4671="Trùng"),"",COUNTIFS(ORDERS!$C$2:$C$4995,$D4671,ORDERS!$L$2:$L$4995,"Đã chuyển khoản"))</f>
        <v/>
      </c>
      <c r="X4671" s="23">
        <f>IF(OR($D4671="",$R4671="Trùng"),"",SUMIFS(ORDERS!$J$2:$J$4995,ORDERS!$C$2:$C$4995,$D4671,ORDERS!$L$2:$L$4995,"Đã chuyển khoản"))</f>
        <v/>
      </c>
      <c r="Y4671" s="24" t="n"/>
    </row>
    <row r="4672" ht="14.25" customHeight="1" s="40">
      <c r="A4672" s="24" t="n"/>
      <c r="B4672" s="27" t="n"/>
      <c r="C4672" s="24" t="n"/>
      <c r="D4672" s="28" t="n"/>
      <c r="E4672" s="29" t="n"/>
      <c r="F4672" s="24" t="n"/>
      <c r="G4672" s="24" t="n"/>
      <c r="H4672" s="21">
        <f>IF(ISNUMBER($B4672),INT($B4672)-WEEKDAY($B4672,2)+1,"")</f>
        <v/>
      </c>
      <c r="I4672" s="24" t="n"/>
      <c r="J4672" s="22">
        <f t="array" ref="J4672">IF($D4672="","",IF($I4672="","(trống REF)",IFERROR(INDEX(MASTER_SOURCE!$B$2:$B$495,MATCH($I4672,MASTER_SOURCE!$A$2:$A$495,0)),"(REF không có trong MASTER_SOURCE)")))</f>
        <v/>
      </c>
      <c r="K4672" s="22">
        <f t="array" ref="K4672">IF($D4672="","",IFERROR(INDEX(MASTER_SOURCE!$C$2:$C$495,MATCH($I4672,MASTER_SOURCE!$A$2:$A$495,0)),""))</f>
        <v/>
      </c>
      <c r="L4672" s="22">
        <f t="array" ref="L4672">IF($D4672="","",IFERROR(INDEX(MASTER_SOURCE!$D$2:$D$495,MATCH($I4672,MASTER_SOURCE!$A$2:$A$495,0)),""))</f>
        <v/>
      </c>
      <c r="M4672" s="24" t="n"/>
      <c r="N4672" s="24" t="n"/>
      <c r="O4672" s="24" t="n"/>
      <c r="P4672" s="24" t="n"/>
      <c r="Q4672" s="22">
        <f>IF($D4672="","",IF(AND(OR(DANH_MUC!$L$5&lt;&gt;"Có",M4672="Có"),OR(DANH_MUC!$L$6&lt;&gt;"Có",N4672="Có"),OR(DANH_MUC!$L$7&lt;&gt;"Có",O4672="Có"),OR(DANH_MUC!$L$8&lt;&gt;"Có",P4672="Có")),"Có","Không"))</f>
        <v/>
      </c>
      <c r="R4672" s="22">
        <f>IF($D4672="","",IF(COUNTIF($D$2:$D4672,$D4672)&gt;1,"Trùng",""))</f>
        <v/>
      </c>
      <c r="S4672" s="22">
        <f>IF($D4672="","",IF(AND(LEN($D4672)=10,LEFT($D4672,1)="0",ISNUMBER(--$D4672)),"Có","Không"))</f>
        <v/>
      </c>
      <c r="T4672" s="22">
        <f>IF($D4672="","",IF(AND($C4672&lt;&gt;"",$Q4672="Có",$R4672="",$S4672="Có",AND($L4672&lt;&gt;"",OR($L4672&lt;&gt;"Chưa xác định",DANH_MUC!$L$9="Có"))),"Có","Không"))</f>
        <v/>
      </c>
      <c r="U4672" s="22">
        <f>IF(OR($D4672="",$T4672="Có"),"",IF($C4672="","Thiếu họ tên; ","")&amp;IF($S4672&lt;&gt;"Có","SĐT sai định dạng; ","")&amp;IF($R4672="Trùng","Trùng SĐT; ","")&amp;IF($Q4672&lt;&gt;"Có","Thiếu đồng ý bắt buộc; ","")&amp;IF($L4672="","Thiếu/sai Mã REF; ",IF(AND($L4672="Chưa xác định",DANH_MUC!$L$9&lt;&gt;"Có"),"Nguồn chưa xác định; ","")))</f>
        <v/>
      </c>
      <c r="V4672" s="22">
        <f>IF(OR($D4672="",$R4672="Trùng"),"",IF(COUNTIF(ORDERS!$C$2:$C$4995,$D4672)&gt;0,"Có","Không"))</f>
        <v/>
      </c>
      <c r="W4672" s="22">
        <f>IF(OR($D4672="",$R4672="Trùng"),"",COUNTIFS(ORDERS!$C$2:$C$4995,$D4672,ORDERS!$L$2:$L$4995,"Đã chuyển khoản"))</f>
        <v/>
      </c>
      <c r="X4672" s="23">
        <f>IF(OR($D4672="",$R4672="Trùng"),"",SUMIFS(ORDERS!$J$2:$J$4995,ORDERS!$C$2:$C$4995,$D4672,ORDERS!$L$2:$L$4995,"Đã chuyển khoản"))</f>
        <v/>
      </c>
      <c r="Y4672" s="24" t="n"/>
    </row>
    <row r="4673" ht="14.25" customHeight="1" s="40">
      <c r="A4673" s="24" t="n"/>
      <c r="B4673" s="27" t="n"/>
      <c r="C4673" s="24" t="n"/>
      <c r="D4673" s="28" t="n"/>
      <c r="E4673" s="29" t="n"/>
      <c r="F4673" s="24" t="n"/>
      <c r="G4673" s="24" t="n"/>
      <c r="H4673" s="21">
        <f>IF(ISNUMBER($B4673),INT($B4673)-WEEKDAY($B4673,2)+1,"")</f>
        <v/>
      </c>
      <c r="I4673" s="24" t="n"/>
      <c r="J4673" s="22">
        <f t="array" ref="J4673">IF($D4673="","",IF($I4673="","(trống REF)",IFERROR(INDEX(MASTER_SOURCE!$B$2:$B$495,MATCH($I4673,MASTER_SOURCE!$A$2:$A$495,0)),"(REF không có trong MASTER_SOURCE)")))</f>
        <v/>
      </c>
      <c r="K4673" s="22">
        <f t="array" ref="K4673">IF($D4673="","",IFERROR(INDEX(MASTER_SOURCE!$C$2:$C$495,MATCH($I4673,MASTER_SOURCE!$A$2:$A$495,0)),""))</f>
        <v/>
      </c>
      <c r="L4673" s="22">
        <f t="array" ref="L4673">IF($D4673="","",IFERROR(INDEX(MASTER_SOURCE!$D$2:$D$495,MATCH($I4673,MASTER_SOURCE!$A$2:$A$495,0)),""))</f>
        <v/>
      </c>
      <c r="M4673" s="24" t="n"/>
      <c r="N4673" s="24" t="n"/>
      <c r="O4673" s="24" t="n"/>
      <c r="P4673" s="24" t="n"/>
      <c r="Q4673" s="22">
        <f>IF($D4673="","",IF(AND(OR(DANH_MUC!$L$5&lt;&gt;"Có",M4673="Có"),OR(DANH_MUC!$L$6&lt;&gt;"Có",N4673="Có"),OR(DANH_MUC!$L$7&lt;&gt;"Có",O4673="Có"),OR(DANH_MUC!$L$8&lt;&gt;"Có",P4673="Có")),"Có","Không"))</f>
        <v/>
      </c>
      <c r="R4673" s="22">
        <f>IF($D4673="","",IF(COUNTIF($D$2:$D4673,$D4673)&gt;1,"Trùng",""))</f>
        <v/>
      </c>
      <c r="S4673" s="22">
        <f>IF($D4673="","",IF(AND(LEN($D4673)=10,LEFT($D4673,1)="0",ISNUMBER(--$D4673)),"Có","Không"))</f>
        <v/>
      </c>
      <c r="T4673" s="22">
        <f>IF($D4673="","",IF(AND($C4673&lt;&gt;"",$Q4673="Có",$R4673="",$S4673="Có",AND($L4673&lt;&gt;"",OR($L4673&lt;&gt;"Chưa xác định",DANH_MUC!$L$9="Có"))),"Có","Không"))</f>
        <v/>
      </c>
      <c r="U4673" s="22">
        <f>IF(OR($D4673="",$T4673="Có"),"",IF($C4673="","Thiếu họ tên; ","")&amp;IF($S4673&lt;&gt;"Có","SĐT sai định dạng; ","")&amp;IF($R4673="Trùng","Trùng SĐT; ","")&amp;IF($Q4673&lt;&gt;"Có","Thiếu đồng ý bắt buộc; ","")&amp;IF($L4673="","Thiếu/sai Mã REF; ",IF(AND($L4673="Chưa xác định",DANH_MUC!$L$9&lt;&gt;"Có"),"Nguồn chưa xác định; ","")))</f>
        <v/>
      </c>
      <c r="V4673" s="22">
        <f>IF(OR($D4673="",$R4673="Trùng"),"",IF(COUNTIF(ORDERS!$C$2:$C$4995,$D4673)&gt;0,"Có","Không"))</f>
        <v/>
      </c>
      <c r="W4673" s="22">
        <f>IF(OR($D4673="",$R4673="Trùng"),"",COUNTIFS(ORDERS!$C$2:$C$4995,$D4673,ORDERS!$L$2:$L$4995,"Đã chuyển khoản"))</f>
        <v/>
      </c>
      <c r="X4673" s="23">
        <f>IF(OR($D4673="",$R4673="Trùng"),"",SUMIFS(ORDERS!$J$2:$J$4995,ORDERS!$C$2:$C$4995,$D4673,ORDERS!$L$2:$L$4995,"Đã chuyển khoản"))</f>
        <v/>
      </c>
      <c r="Y4673" s="24" t="n"/>
    </row>
    <row r="4674" ht="14.25" customHeight="1" s="40">
      <c r="A4674" s="24" t="n"/>
      <c r="B4674" s="27" t="n"/>
      <c r="C4674" s="24" t="n"/>
      <c r="D4674" s="28" t="n"/>
      <c r="E4674" s="29" t="n"/>
      <c r="F4674" s="24" t="n"/>
      <c r="G4674" s="24" t="n"/>
      <c r="H4674" s="21">
        <f>IF(ISNUMBER($B4674),INT($B4674)-WEEKDAY($B4674,2)+1,"")</f>
        <v/>
      </c>
      <c r="I4674" s="24" t="n"/>
      <c r="J4674" s="22">
        <f t="array" ref="J4674">IF($D4674="","",IF($I4674="","(trống REF)",IFERROR(INDEX(MASTER_SOURCE!$B$2:$B$495,MATCH($I4674,MASTER_SOURCE!$A$2:$A$495,0)),"(REF không có trong MASTER_SOURCE)")))</f>
        <v/>
      </c>
      <c r="K4674" s="22">
        <f t="array" ref="K4674">IF($D4674="","",IFERROR(INDEX(MASTER_SOURCE!$C$2:$C$495,MATCH($I4674,MASTER_SOURCE!$A$2:$A$495,0)),""))</f>
        <v/>
      </c>
      <c r="L4674" s="22">
        <f t="array" ref="L4674">IF($D4674="","",IFERROR(INDEX(MASTER_SOURCE!$D$2:$D$495,MATCH($I4674,MASTER_SOURCE!$A$2:$A$495,0)),""))</f>
        <v/>
      </c>
      <c r="M4674" s="24" t="n"/>
      <c r="N4674" s="24" t="n"/>
      <c r="O4674" s="24" t="n"/>
      <c r="P4674" s="24" t="n"/>
      <c r="Q4674" s="22">
        <f>IF($D4674="","",IF(AND(OR(DANH_MUC!$L$5&lt;&gt;"Có",M4674="Có"),OR(DANH_MUC!$L$6&lt;&gt;"Có",N4674="Có"),OR(DANH_MUC!$L$7&lt;&gt;"Có",O4674="Có"),OR(DANH_MUC!$L$8&lt;&gt;"Có",P4674="Có")),"Có","Không"))</f>
        <v/>
      </c>
      <c r="R4674" s="22">
        <f>IF($D4674="","",IF(COUNTIF($D$2:$D4674,$D4674)&gt;1,"Trùng",""))</f>
        <v/>
      </c>
      <c r="S4674" s="22">
        <f>IF($D4674="","",IF(AND(LEN($D4674)=10,LEFT($D4674,1)="0",ISNUMBER(--$D4674)),"Có","Không"))</f>
        <v/>
      </c>
      <c r="T4674" s="22">
        <f>IF($D4674="","",IF(AND($C4674&lt;&gt;"",$Q4674="Có",$R4674="",$S4674="Có",AND($L4674&lt;&gt;"",OR($L4674&lt;&gt;"Chưa xác định",DANH_MUC!$L$9="Có"))),"Có","Không"))</f>
        <v/>
      </c>
      <c r="U4674" s="22">
        <f>IF(OR($D4674="",$T4674="Có"),"",IF($C4674="","Thiếu họ tên; ","")&amp;IF($S4674&lt;&gt;"Có","SĐT sai định dạng; ","")&amp;IF($R4674="Trùng","Trùng SĐT; ","")&amp;IF($Q4674&lt;&gt;"Có","Thiếu đồng ý bắt buộc; ","")&amp;IF($L4674="","Thiếu/sai Mã REF; ",IF(AND($L4674="Chưa xác định",DANH_MUC!$L$9&lt;&gt;"Có"),"Nguồn chưa xác định; ","")))</f>
        <v/>
      </c>
      <c r="V4674" s="22">
        <f>IF(OR($D4674="",$R4674="Trùng"),"",IF(COUNTIF(ORDERS!$C$2:$C$4995,$D4674)&gt;0,"Có","Không"))</f>
        <v/>
      </c>
      <c r="W4674" s="22">
        <f>IF(OR($D4674="",$R4674="Trùng"),"",COUNTIFS(ORDERS!$C$2:$C$4995,$D4674,ORDERS!$L$2:$L$4995,"Đã chuyển khoản"))</f>
        <v/>
      </c>
      <c r="X4674" s="23">
        <f>IF(OR($D4674="",$R4674="Trùng"),"",SUMIFS(ORDERS!$J$2:$J$4995,ORDERS!$C$2:$C$4995,$D4674,ORDERS!$L$2:$L$4995,"Đã chuyển khoản"))</f>
        <v/>
      </c>
      <c r="Y4674" s="24" t="n"/>
    </row>
    <row r="4675" ht="14.25" customHeight="1" s="40">
      <c r="A4675" s="24" t="n"/>
      <c r="B4675" s="27" t="n"/>
      <c r="C4675" s="24" t="n"/>
      <c r="D4675" s="28" t="n"/>
      <c r="E4675" s="29" t="n"/>
      <c r="F4675" s="24" t="n"/>
      <c r="G4675" s="24" t="n"/>
      <c r="H4675" s="21">
        <f>IF(ISNUMBER($B4675),INT($B4675)-WEEKDAY($B4675,2)+1,"")</f>
        <v/>
      </c>
      <c r="I4675" s="24" t="n"/>
      <c r="J4675" s="22">
        <f t="array" ref="J4675">IF($D4675="","",IF($I4675="","(trống REF)",IFERROR(INDEX(MASTER_SOURCE!$B$2:$B$495,MATCH($I4675,MASTER_SOURCE!$A$2:$A$495,0)),"(REF không có trong MASTER_SOURCE)")))</f>
        <v/>
      </c>
      <c r="K4675" s="22">
        <f t="array" ref="K4675">IF($D4675="","",IFERROR(INDEX(MASTER_SOURCE!$C$2:$C$495,MATCH($I4675,MASTER_SOURCE!$A$2:$A$495,0)),""))</f>
        <v/>
      </c>
      <c r="L4675" s="22">
        <f t="array" ref="L4675">IF($D4675="","",IFERROR(INDEX(MASTER_SOURCE!$D$2:$D$495,MATCH($I4675,MASTER_SOURCE!$A$2:$A$495,0)),""))</f>
        <v/>
      </c>
      <c r="M4675" s="24" t="n"/>
      <c r="N4675" s="24" t="n"/>
      <c r="O4675" s="24" t="n"/>
      <c r="P4675" s="24" t="n"/>
      <c r="Q4675" s="22">
        <f>IF($D4675="","",IF(AND(OR(DANH_MUC!$L$5&lt;&gt;"Có",M4675="Có"),OR(DANH_MUC!$L$6&lt;&gt;"Có",N4675="Có"),OR(DANH_MUC!$L$7&lt;&gt;"Có",O4675="Có"),OR(DANH_MUC!$L$8&lt;&gt;"Có",P4675="Có")),"Có","Không"))</f>
        <v/>
      </c>
      <c r="R4675" s="22">
        <f>IF($D4675="","",IF(COUNTIF($D$2:$D4675,$D4675)&gt;1,"Trùng",""))</f>
        <v/>
      </c>
      <c r="S4675" s="22">
        <f>IF($D4675="","",IF(AND(LEN($D4675)=10,LEFT($D4675,1)="0",ISNUMBER(--$D4675)),"Có","Không"))</f>
        <v/>
      </c>
      <c r="T4675" s="22">
        <f>IF($D4675="","",IF(AND($C4675&lt;&gt;"",$Q4675="Có",$R4675="",$S4675="Có",AND($L4675&lt;&gt;"",OR($L4675&lt;&gt;"Chưa xác định",DANH_MUC!$L$9="Có"))),"Có","Không"))</f>
        <v/>
      </c>
      <c r="U4675" s="22">
        <f>IF(OR($D4675="",$T4675="Có"),"",IF($C4675="","Thiếu họ tên; ","")&amp;IF($S4675&lt;&gt;"Có","SĐT sai định dạng; ","")&amp;IF($R4675="Trùng","Trùng SĐT; ","")&amp;IF($Q4675&lt;&gt;"Có","Thiếu đồng ý bắt buộc; ","")&amp;IF($L4675="","Thiếu/sai Mã REF; ",IF(AND($L4675="Chưa xác định",DANH_MUC!$L$9&lt;&gt;"Có"),"Nguồn chưa xác định; ","")))</f>
        <v/>
      </c>
      <c r="V4675" s="22">
        <f>IF(OR($D4675="",$R4675="Trùng"),"",IF(COUNTIF(ORDERS!$C$2:$C$4995,$D4675)&gt;0,"Có","Không"))</f>
        <v/>
      </c>
      <c r="W4675" s="22">
        <f>IF(OR($D4675="",$R4675="Trùng"),"",COUNTIFS(ORDERS!$C$2:$C$4995,$D4675,ORDERS!$L$2:$L$4995,"Đã chuyển khoản"))</f>
        <v/>
      </c>
      <c r="X4675" s="23">
        <f>IF(OR($D4675="",$R4675="Trùng"),"",SUMIFS(ORDERS!$J$2:$J$4995,ORDERS!$C$2:$C$4995,$D4675,ORDERS!$L$2:$L$4995,"Đã chuyển khoản"))</f>
        <v/>
      </c>
      <c r="Y4675" s="24" t="n"/>
    </row>
    <row r="4676" ht="14.25" customHeight="1" s="40">
      <c r="A4676" s="24" t="n"/>
      <c r="B4676" s="27" t="n"/>
      <c r="C4676" s="24" t="n"/>
      <c r="D4676" s="28" t="n"/>
      <c r="E4676" s="29" t="n"/>
      <c r="F4676" s="24" t="n"/>
      <c r="G4676" s="24" t="n"/>
      <c r="H4676" s="21">
        <f>IF(ISNUMBER($B4676),INT($B4676)-WEEKDAY($B4676,2)+1,"")</f>
        <v/>
      </c>
      <c r="I4676" s="24" t="n"/>
      <c r="J4676" s="22">
        <f t="array" ref="J4676">IF($D4676="","",IF($I4676="","(trống REF)",IFERROR(INDEX(MASTER_SOURCE!$B$2:$B$495,MATCH($I4676,MASTER_SOURCE!$A$2:$A$495,0)),"(REF không có trong MASTER_SOURCE)")))</f>
        <v/>
      </c>
      <c r="K4676" s="22">
        <f t="array" ref="K4676">IF($D4676="","",IFERROR(INDEX(MASTER_SOURCE!$C$2:$C$495,MATCH($I4676,MASTER_SOURCE!$A$2:$A$495,0)),""))</f>
        <v/>
      </c>
      <c r="L4676" s="22">
        <f t="array" ref="L4676">IF($D4676="","",IFERROR(INDEX(MASTER_SOURCE!$D$2:$D$495,MATCH($I4676,MASTER_SOURCE!$A$2:$A$495,0)),""))</f>
        <v/>
      </c>
      <c r="M4676" s="24" t="n"/>
      <c r="N4676" s="24" t="n"/>
      <c r="O4676" s="24" t="n"/>
      <c r="P4676" s="24" t="n"/>
      <c r="Q4676" s="22">
        <f>IF($D4676="","",IF(AND(OR(DANH_MUC!$L$5&lt;&gt;"Có",M4676="Có"),OR(DANH_MUC!$L$6&lt;&gt;"Có",N4676="Có"),OR(DANH_MUC!$L$7&lt;&gt;"Có",O4676="Có"),OR(DANH_MUC!$L$8&lt;&gt;"Có",P4676="Có")),"Có","Không"))</f>
        <v/>
      </c>
      <c r="R4676" s="22">
        <f>IF($D4676="","",IF(COUNTIF($D$2:$D4676,$D4676)&gt;1,"Trùng",""))</f>
        <v/>
      </c>
      <c r="S4676" s="22">
        <f>IF($D4676="","",IF(AND(LEN($D4676)=10,LEFT($D4676,1)="0",ISNUMBER(--$D4676)),"Có","Không"))</f>
        <v/>
      </c>
      <c r="T4676" s="22">
        <f>IF($D4676="","",IF(AND($C4676&lt;&gt;"",$Q4676="Có",$R4676="",$S4676="Có",AND($L4676&lt;&gt;"",OR($L4676&lt;&gt;"Chưa xác định",DANH_MUC!$L$9="Có"))),"Có","Không"))</f>
        <v/>
      </c>
      <c r="U4676" s="22">
        <f>IF(OR($D4676="",$T4676="Có"),"",IF($C4676="","Thiếu họ tên; ","")&amp;IF($S4676&lt;&gt;"Có","SĐT sai định dạng; ","")&amp;IF($R4676="Trùng","Trùng SĐT; ","")&amp;IF($Q4676&lt;&gt;"Có","Thiếu đồng ý bắt buộc; ","")&amp;IF($L4676="","Thiếu/sai Mã REF; ",IF(AND($L4676="Chưa xác định",DANH_MUC!$L$9&lt;&gt;"Có"),"Nguồn chưa xác định; ","")))</f>
        <v/>
      </c>
      <c r="V4676" s="22">
        <f>IF(OR($D4676="",$R4676="Trùng"),"",IF(COUNTIF(ORDERS!$C$2:$C$4995,$D4676)&gt;0,"Có","Không"))</f>
        <v/>
      </c>
      <c r="W4676" s="22">
        <f>IF(OR($D4676="",$R4676="Trùng"),"",COUNTIFS(ORDERS!$C$2:$C$4995,$D4676,ORDERS!$L$2:$L$4995,"Đã chuyển khoản"))</f>
        <v/>
      </c>
      <c r="X4676" s="23">
        <f>IF(OR($D4676="",$R4676="Trùng"),"",SUMIFS(ORDERS!$J$2:$J$4995,ORDERS!$C$2:$C$4995,$D4676,ORDERS!$L$2:$L$4995,"Đã chuyển khoản"))</f>
        <v/>
      </c>
      <c r="Y4676" s="24" t="n"/>
    </row>
    <row r="4677" ht="14.25" customHeight="1" s="40">
      <c r="A4677" s="24" t="n"/>
      <c r="B4677" s="27" t="n"/>
      <c r="C4677" s="24" t="n"/>
      <c r="D4677" s="28" t="n"/>
      <c r="E4677" s="29" t="n"/>
      <c r="F4677" s="24" t="n"/>
      <c r="G4677" s="24" t="n"/>
      <c r="H4677" s="21">
        <f>IF(ISNUMBER($B4677),INT($B4677)-WEEKDAY($B4677,2)+1,"")</f>
        <v/>
      </c>
      <c r="I4677" s="24" t="n"/>
      <c r="J4677" s="22">
        <f t="array" ref="J4677">IF($D4677="","",IF($I4677="","(trống REF)",IFERROR(INDEX(MASTER_SOURCE!$B$2:$B$495,MATCH($I4677,MASTER_SOURCE!$A$2:$A$495,0)),"(REF không có trong MASTER_SOURCE)")))</f>
        <v/>
      </c>
      <c r="K4677" s="22">
        <f t="array" ref="K4677">IF($D4677="","",IFERROR(INDEX(MASTER_SOURCE!$C$2:$C$495,MATCH($I4677,MASTER_SOURCE!$A$2:$A$495,0)),""))</f>
        <v/>
      </c>
      <c r="L4677" s="22">
        <f t="array" ref="L4677">IF($D4677="","",IFERROR(INDEX(MASTER_SOURCE!$D$2:$D$495,MATCH($I4677,MASTER_SOURCE!$A$2:$A$495,0)),""))</f>
        <v/>
      </c>
      <c r="M4677" s="24" t="n"/>
      <c r="N4677" s="24" t="n"/>
      <c r="O4677" s="24" t="n"/>
      <c r="P4677" s="24" t="n"/>
      <c r="Q4677" s="22">
        <f>IF($D4677="","",IF(AND(OR(DANH_MUC!$L$5&lt;&gt;"Có",M4677="Có"),OR(DANH_MUC!$L$6&lt;&gt;"Có",N4677="Có"),OR(DANH_MUC!$L$7&lt;&gt;"Có",O4677="Có"),OR(DANH_MUC!$L$8&lt;&gt;"Có",P4677="Có")),"Có","Không"))</f>
        <v/>
      </c>
      <c r="R4677" s="22">
        <f>IF($D4677="","",IF(COUNTIF($D$2:$D4677,$D4677)&gt;1,"Trùng",""))</f>
        <v/>
      </c>
      <c r="S4677" s="22">
        <f>IF($D4677="","",IF(AND(LEN($D4677)=10,LEFT($D4677,1)="0",ISNUMBER(--$D4677)),"Có","Không"))</f>
        <v/>
      </c>
      <c r="T4677" s="22">
        <f>IF($D4677="","",IF(AND($C4677&lt;&gt;"",$Q4677="Có",$R4677="",$S4677="Có",AND($L4677&lt;&gt;"",OR($L4677&lt;&gt;"Chưa xác định",DANH_MUC!$L$9="Có"))),"Có","Không"))</f>
        <v/>
      </c>
      <c r="U4677" s="22">
        <f>IF(OR($D4677="",$T4677="Có"),"",IF($C4677="","Thiếu họ tên; ","")&amp;IF($S4677&lt;&gt;"Có","SĐT sai định dạng; ","")&amp;IF($R4677="Trùng","Trùng SĐT; ","")&amp;IF($Q4677&lt;&gt;"Có","Thiếu đồng ý bắt buộc; ","")&amp;IF($L4677="","Thiếu/sai Mã REF; ",IF(AND($L4677="Chưa xác định",DANH_MUC!$L$9&lt;&gt;"Có"),"Nguồn chưa xác định; ","")))</f>
        <v/>
      </c>
      <c r="V4677" s="22">
        <f>IF(OR($D4677="",$R4677="Trùng"),"",IF(COUNTIF(ORDERS!$C$2:$C$4995,$D4677)&gt;0,"Có","Không"))</f>
        <v/>
      </c>
      <c r="W4677" s="22">
        <f>IF(OR($D4677="",$R4677="Trùng"),"",COUNTIFS(ORDERS!$C$2:$C$4995,$D4677,ORDERS!$L$2:$L$4995,"Đã chuyển khoản"))</f>
        <v/>
      </c>
      <c r="X4677" s="23">
        <f>IF(OR($D4677="",$R4677="Trùng"),"",SUMIFS(ORDERS!$J$2:$J$4995,ORDERS!$C$2:$C$4995,$D4677,ORDERS!$L$2:$L$4995,"Đã chuyển khoản"))</f>
        <v/>
      </c>
      <c r="Y4677" s="24" t="n"/>
    </row>
    <row r="4678" ht="14.25" customHeight="1" s="40">
      <c r="A4678" s="24" t="n"/>
      <c r="B4678" s="27" t="n"/>
      <c r="C4678" s="24" t="n"/>
      <c r="D4678" s="28" t="n"/>
      <c r="E4678" s="29" t="n"/>
      <c r="F4678" s="24" t="n"/>
      <c r="G4678" s="24" t="n"/>
      <c r="H4678" s="21">
        <f>IF(ISNUMBER($B4678),INT($B4678)-WEEKDAY($B4678,2)+1,"")</f>
        <v/>
      </c>
      <c r="I4678" s="24" t="n"/>
      <c r="J4678" s="22">
        <f t="array" ref="J4678">IF($D4678="","",IF($I4678="","(trống REF)",IFERROR(INDEX(MASTER_SOURCE!$B$2:$B$495,MATCH($I4678,MASTER_SOURCE!$A$2:$A$495,0)),"(REF không có trong MASTER_SOURCE)")))</f>
        <v/>
      </c>
      <c r="K4678" s="22">
        <f t="array" ref="K4678">IF($D4678="","",IFERROR(INDEX(MASTER_SOURCE!$C$2:$C$495,MATCH($I4678,MASTER_SOURCE!$A$2:$A$495,0)),""))</f>
        <v/>
      </c>
      <c r="L4678" s="22">
        <f t="array" ref="L4678">IF($D4678="","",IFERROR(INDEX(MASTER_SOURCE!$D$2:$D$495,MATCH($I4678,MASTER_SOURCE!$A$2:$A$495,0)),""))</f>
        <v/>
      </c>
      <c r="M4678" s="24" t="n"/>
      <c r="N4678" s="24" t="n"/>
      <c r="O4678" s="24" t="n"/>
      <c r="P4678" s="24" t="n"/>
      <c r="Q4678" s="22">
        <f>IF($D4678="","",IF(AND(OR(DANH_MUC!$L$5&lt;&gt;"Có",M4678="Có"),OR(DANH_MUC!$L$6&lt;&gt;"Có",N4678="Có"),OR(DANH_MUC!$L$7&lt;&gt;"Có",O4678="Có"),OR(DANH_MUC!$L$8&lt;&gt;"Có",P4678="Có")),"Có","Không"))</f>
        <v/>
      </c>
      <c r="R4678" s="22">
        <f>IF($D4678="","",IF(COUNTIF($D$2:$D4678,$D4678)&gt;1,"Trùng",""))</f>
        <v/>
      </c>
      <c r="S4678" s="22">
        <f>IF($D4678="","",IF(AND(LEN($D4678)=10,LEFT($D4678,1)="0",ISNUMBER(--$D4678)),"Có","Không"))</f>
        <v/>
      </c>
      <c r="T4678" s="22">
        <f>IF($D4678="","",IF(AND($C4678&lt;&gt;"",$Q4678="Có",$R4678="",$S4678="Có",AND($L4678&lt;&gt;"",OR($L4678&lt;&gt;"Chưa xác định",DANH_MUC!$L$9="Có"))),"Có","Không"))</f>
        <v/>
      </c>
      <c r="U4678" s="22">
        <f>IF(OR($D4678="",$T4678="Có"),"",IF($C4678="","Thiếu họ tên; ","")&amp;IF($S4678&lt;&gt;"Có","SĐT sai định dạng; ","")&amp;IF($R4678="Trùng","Trùng SĐT; ","")&amp;IF($Q4678&lt;&gt;"Có","Thiếu đồng ý bắt buộc; ","")&amp;IF($L4678="","Thiếu/sai Mã REF; ",IF(AND($L4678="Chưa xác định",DANH_MUC!$L$9&lt;&gt;"Có"),"Nguồn chưa xác định; ","")))</f>
        <v/>
      </c>
      <c r="V4678" s="22">
        <f>IF(OR($D4678="",$R4678="Trùng"),"",IF(COUNTIF(ORDERS!$C$2:$C$4995,$D4678)&gt;0,"Có","Không"))</f>
        <v/>
      </c>
      <c r="W4678" s="22">
        <f>IF(OR($D4678="",$R4678="Trùng"),"",COUNTIFS(ORDERS!$C$2:$C$4995,$D4678,ORDERS!$L$2:$L$4995,"Đã chuyển khoản"))</f>
        <v/>
      </c>
      <c r="X4678" s="23">
        <f>IF(OR($D4678="",$R4678="Trùng"),"",SUMIFS(ORDERS!$J$2:$J$4995,ORDERS!$C$2:$C$4995,$D4678,ORDERS!$L$2:$L$4995,"Đã chuyển khoản"))</f>
        <v/>
      </c>
      <c r="Y4678" s="24" t="n"/>
    </row>
    <row r="4679" ht="14.25" customHeight="1" s="40">
      <c r="A4679" s="24" t="n"/>
      <c r="B4679" s="27" t="n"/>
      <c r="C4679" s="24" t="n"/>
      <c r="D4679" s="28" t="n"/>
      <c r="E4679" s="29" t="n"/>
      <c r="F4679" s="24" t="n"/>
      <c r="G4679" s="24" t="n"/>
      <c r="H4679" s="21">
        <f>IF(ISNUMBER($B4679),INT($B4679)-WEEKDAY($B4679,2)+1,"")</f>
        <v/>
      </c>
      <c r="I4679" s="24" t="n"/>
      <c r="J4679" s="22">
        <f t="array" ref="J4679">IF($D4679="","",IF($I4679="","(trống REF)",IFERROR(INDEX(MASTER_SOURCE!$B$2:$B$495,MATCH($I4679,MASTER_SOURCE!$A$2:$A$495,0)),"(REF không có trong MASTER_SOURCE)")))</f>
        <v/>
      </c>
      <c r="K4679" s="22">
        <f t="array" ref="K4679">IF($D4679="","",IFERROR(INDEX(MASTER_SOURCE!$C$2:$C$495,MATCH($I4679,MASTER_SOURCE!$A$2:$A$495,0)),""))</f>
        <v/>
      </c>
      <c r="L4679" s="22">
        <f t="array" ref="L4679">IF($D4679="","",IFERROR(INDEX(MASTER_SOURCE!$D$2:$D$495,MATCH($I4679,MASTER_SOURCE!$A$2:$A$495,0)),""))</f>
        <v/>
      </c>
      <c r="M4679" s="24" t="n"/>
      <c r="N4679" s="24" t="n"/>
      <c r="O4679" s="24" t="n"/>
      <c r="P4679" s="24" t="n"/>
      <c r="Q4679" s="22">
        <f>IF($D4679="","",IF(AND(OR(DANH_MUC!$L$5&lt;&gt;"Có",M4679="Có"),OR(DANH_MUC!$L$6&lt;&gt;"Có",N4679="Có"),OR(DANH_MUC!$L$7&lt;&gt;"Có",O4679="Có"),OR(DANH_MUC!$L$8&lt;&gt;"Có",P4679="Có")),"Có","Không"))</f>
        <v/>
      </c>
      <c r="R4679" s="22">
        <f>IF($D4679="","",IF(COUNTIF($D$2:$D4679,$D4679)&gt;1,"Trùng",""))</f>
        <v/>
      </c>
      <c r="S4679" s="22">
        <f>IF($D4679="","",IF(AND(LEN($D4679)=10,LEFT($D4679,1)="0",ISNUMBER(--$D4679)),"Có","Không"))</f>
        <v/>
      </c>
      <c r="T4679" s="22">
        <f>IF($D4679="","",IF(AND($C4679&lt;&gt;"",$Q4679="Có",$R4679="",$S4679="Có",AND($L4679&lt;&gt;"",OR($L4679&lt;&gt;"Chưa xác định",DANH_MUC!$L$9="Có"))),"Có","Không"))</f>
        <v/>
      </c>
      <c r="U4679" s="22">
        <f>IF(OR($D4679="",$T4679="Có"),"",IF($C4679="","Thiếu họ tên; ","")&amp;IF($S4679&lt;&gt;"Có","SĐT sai định dạng; ","")&amp;IF($R4679="Trùng","Trùng SĐT; ","")&amp;IF($Q4679&lt;&gt;"Có","Thiếu đồng ý bắt buộc; ","")&amp;IF($L4679="","Thiếu/sai Mã REF; ",IF(AND($L4679="Chưa xác định",DANH_MUC!$L$9&lt;&gt;"Có"),"Nguồn chưa xác định; ","")))</f>
        <v/>
      </c>
      <c r="V4679" s="22">
        <f>IF(OR($D4679="",$R4679="Trùng"),"",IF(COUNTIF(ORDERS!$C$2:$C$4995,$D4679)&gt;0,"Có","Không"))</f>
        <v/>
      </c>
      <c r="W4679" s="22">
        <f>IF(OR($D4679="",$R4679="Trùng"),"",COUNTIFS(ORDERS!$C$2:$C$4995,$D4679,ORDERS!$L$2:$L$4995,"Đã chuyển khoản"))</f>
        <v/>
      </c>
      <c r="X4679" s="23">
        <f>IF(OR($D4679="",$R4679="Trùng"),"",SUMIFS(ORDERS!$J$2:$J$4995,ORDERS!$C$2:$C$4995,$D4679,ORDERS!$L$2:$L$4995,"Đã chuyển khoản"))</f>
        <v/>
      </c>
      <c r="Y4679" s="24" t="n"/>
    </row>
    <row r="4680" ht="14.25" customHeight="1" s="40">
      <c r="A4680" s="24" t="n"/>
      <c r="B4680" s="27" t="n"/>
      <c r="C4680" s="24" t="n"/>
      <c r="D4680" s="28" t="n"/>
      <c r="E4680" s="29" t="n"/>
      <c r="F4680" s="24" t="n"/>
      <c r="G4680" s="24" t="n"/>
      <c r="H4680" s="21">
        <f>IF(ISNUMBER($B4680),INT($B4680)-WEEKDAY($B4680,2)+1,"")</f>
        <v/>
      </c>
      <c r="I4680" s="24" t="n"/>
      <c r="J4680" s="22">
        <f t="array" ref="J4680">IF($D4680="","",IF($I4680="","(trống REF)",IFERROR(INDEX(MASTER_SOURCE!$B$2:$B$495,MATCH($I4680,MASTER_SOURCE!$A$2:$A$495,0)),"(REF không có trong MASTER_SOURCE)")))</f>
        <v/>
      </c>
      <c r="K4680" s="22">
        <f t="array" ref="K4680">IF($D4680="","",IFERROR(INDEX(MASTER_SOURCE!$C$2:$C$495,MATCH($I4680,MASTER_SOURCE!$A$2:$A$495,0)),""))</f>
        <v/>
      </c>
      <c r="L4680" s="22">
        <f t="array" ref="L4680">IF($D4680="","",IFERROR(INDEX(MASTER_SOURCE!$D$2:$D$495,MATCH($I4680,MASTER_SOURCE!$A$2:$A$495,0)),""))</f>
        <v/>
      </c>
      <c r="M4680" s="24" t="n"/>
      <c r="N4680" s="24" t="n"/>
      <c r="O4680" s="24" t="n"/>
      <c r="P4680" s="24" t="n"/>
      <c r="Q4680" s="22">
        <f>IF($D4680="","",IF(AND(OR(DANH_MUC!$L$5&lt;&gt;"Có",M4680="Có"),OR(DANH_MUC!$L$6&lt;&gt;"Có",N4680="Có"),OR(DANH_MUC!$L$7&lt;&gt;"Có",O4680="Có"),OR(DANH_MUC!$L$8&lt;&gt;"Có",P4680="Có")),"Có","Không"))</f>
        <v/>
      </c>
      <c r="R4680" s="22">
        <f>IF($D4680="","",IF(COUNTIF($D$2:$D4680,$D4680)&gt;1,"Trùng",""))</f>
        <v/>
      </c>
      <c r="S4680" s="22">
        <f>IF($D4680="","",IF(AND(LEN($D4680)=10,LEFT($D4680,1)="0",ISNUMBER(--$D4680)),"Có","Không"))</f>
        <v/>
      </c>
      <c r="T4680" s="22">
        <f>IF($D4680="","",IF(AND($C4680&lt;&gt;"",$Q4680="Có",$R4680="",$S4680="Có",AND($L4680&lt;&gt;"",OR($L4680&lt;&gt;"Chưa xác định",DANH_MUC!$L$9="Có"))),"Có","Không"))</f>
        <v/>
      </c>
      <c r="U4680" s="22">
        <f>IF(OR($D4680="",$T4680="Có"),"",IF($C4680="","Thiếu họ tên; ","")&amp;IF($S4680&lt;&gt;"Có","SĐT sai định dạng; ","")&amp;IF($R4680="Trùng","Trùng SĐT; ","")&amp;IF($Q4680&lt;&gt;"Có","Thiếu đồng ý bắt buộc; ","")&amp;IF($L4680="","Thiếu/sai Mã REF; ",IF(AND($L4680="Chưa xác định",DANH_MUC!$L$9&lt;&gt;"Có"),"Nguồn chưa xác định; ","")))</f>
        <v/>
      </c>
      <c r="V4680" s="22">
        <f>IF(OR($D4680="",$R4680="Trùng"),"",IF(COUNTIF(ORDERS!$C$2:$C$4995,$D4680)&gt;0,"Có","Không"))</f>
        <v/>
      </c>
      <c r="W4680" s="22">
        <f>IF(OR($D4680="",$R4680="Trùng"),"",COUNTIFS(ORDERS!$C$2:$C$4995,$D4680,ORDERS!$L$2:$L$4995,"Đã chuyển khoản"))</f>
        <v/>
      </c>
      <c r="X4680" s="23">
        <f>IF(OR($D4680="",$R4680="Trùng"),"",SUMIFS(ORDERS!$J$2:$J$4995,ORDERS!$C$2:$C$4995,$D4680,ORDERS!$L$2:$L$4995,"Đã chuyển khoản"))</f>
        <v/>
      </c>
      <c r="Y4680" s="24" t="n"/>
    </row>
    <row r="4681" ht="14.25" customHeight="1" s="40">
      <c r="A4681" s="24" t="n"/>
      <c r="B4681" s="27" t="n"/>
      <c r="C4681" s="24" t="n"/>
      <c r="D4681" s="28" t="n"/>
      <c r="E4681" s="29" t="n"/>
      <c r="F4681" s="24" t="n"/>
      <c r="G4681" s="24" t="n"/>
      <c r="H4681" s="21">
        <f>IF(ISNUMBER($B4681),INT($B4681)-WEEKDAY($B4681,2)+1,"")</f>
        <v/>
      </c>
      <c r="I4681" s="24" t="n"/>
      <c r="J4681" s="22">
        <f t="array" ref="J4681">IF($D4681="","",IF($I4681="","(trống REF)",IFERROR(INDEX(MASTER_SOURCE!$B$2:$B$495,MATCH($I4681,MASTER_SOURCE!$A$2:$A$495,0)),"(REF không có trong MASTER_SOURCE)")))</f>
        <v/>
      </c>
      <c r="K4681" s="22">
        <f t="array" ref="K4681">IF($D4681="","",IFERROR(INDEX(MASTER_SOURCE!$C$2:$C$495,MATCH($I4681,MASTER_SOURCE!$A$2:$A$495,0)),""))</f>
        <v/>
      </c>
      <c r="L4681" s="22">
        <f t="array" ref="L4681">IF($D4681="","",IFERROR(INDEX(MASTER_SOURCE!$D$2:$D$495,MATCH($I4681,MASTER_SOURCE!$A$2:$A$495,0)),""))</f>
        <v/>
      </c>
      <c r="M4681" s="24" t="n"/>
      <c r="N4681" s="24" t="n"/>
      <c r="O4681" s="24" t="n"/>
      <c r="P4681" s="24" t="n"/>
      <c r="Q4681" s="22">
        <f>IF($D4681="","",IF(AND(OR(DANH_MUC!$L$5&lt;&gt;"Có",M4681="Có"),OR(DANH_MUC!$L$6&lt;&gt;"Có",N4681="Có"),OR(DANH_MUC!$L$7&lt;&gt;"Có",O4681="Có"),OR(DANH_MUC!$L$8&lt;&gt;"Có",P4681="Có")),"Có","Không"))</f>
        <v/>
      </c>
      <c r="R4681" s="22">
        <f>IF($D4681="","",IF(COUNTIF($D$2:$D4681,$D4681)&gt;1,"Trùng",""))</f>
        <v/>
      </c>
      <c r="S4681" s="22">
        <f>IF($D4681="","",IF(AND(LEN($D4681)=10,LEFT($D4681,1)="0",ISNUMBER(--$D4681)),"Có","Không"))</f>
        <v/>
      </c>
      <c r="T4681" s="22">
        <f>IF($D4681="","",IF(AND($C4681&lt;&gt;"",$Q4681="Có",$R4681="",$S4681="Có",AND($L4681&lt;&gt;"",OR($L4681&lt;&gt;"Chưa xác định",DANH_MUC!$L$9="Có"))),"Có","Không"))</f>
        <v/>
      </c>
      <c r="U4681" s="22">
        <f>IF(OR($D4681="",$T4681="Có"),"",IF($C4681="","Thiếu họ tên; ","")&amp;IF($S4681&lt;&gt;"Có","SĐT sai định dạng; ","")&amp;IF($R4681="Trùng","Trùng SĐT; ","")&amp;IF($Q4681&lt;&gt;"Có","Thiếu đồng ý bắt buộc; ","")&amp;IF($L4681="","Thiếu/sai Mã REF; ",IF(AND($L4681="Chưa xác định",DANH_MUC!$L$9&lt;&gt;"Có"),"Nguồn chưa xác định; ","")))</f>
        <v/>
      </c>
      <c r="V4681" s="22">
        <f>IF(OR($D4681="",$R4681="Trùng"),"",IF(COUNTIF(ORDERS!$C$2:$C$4995,$D4681)&gt;0,"Có","Không"))</f>
        <v/>
      </c>
      <c r="W4681" s="22">
        <f>IF(OR($D4681="",$R4681="Trùng"),"",COUNTIFS(ORDERS!$C$2:$C$4995,$D4681,ORDERS!$L$2:$L$4995,"Đã chuyển khoản"))</f>
        <v/>
      </c>
      <c r="X4681" s="23">
        <f>IF(OR($D4681="",$R4681="Trùng"),"",SUMIFS(ORDERS!$J$2:$J$4995,ORDERS!$C$2:$C$4995,$D4681,ORDERS!$L$2:$L$4995,"Đã chuyển khoản"))</f>
        <v/>
      </c>
      <c r="Y4681" s="24" t="n"/>
    </row>
    <row r="4682" ht="14.25" customHeight="1" s="40">
      <c r="A4682" s="24" t="n"/>
      <c r="B4682" s="27" t="n"/>
      <c r="C4682" s="24" t="n"/>
      <c r="D4682" s="28" t="n"/>
      <c r="E4682" s="29" t="n"/>
      <c r="F4682" s="24" t="n"/>
      <c r="G4682" s="24" t="n"/>
      <c r="H4682" s="21">
        <f>IF(ISNUMBER($B4682),INT($B4682)-WEEKDAY($B4682,2)+1,"")</f>
        <v/>
      </c>
      <c r="I4682" s="24" t="n"/>
      <c r="J4682" s="22">
        <f t="array" ref="J4682">IF($D4682="","",IF($I4682="","(trống REF)",IFERROR(INDEX(MASTER_SOURCE!$B$2:$B$495,MATCH($I4682,MASTER_SOURCE!$A$2:$A$495,0)),"(REF không có trong MASTER_SOURCE)")))</f>
        <v/>
      </c>
      <c r="K4682" s="22">
        <f t="array" ref="K4682">IF($D4682="","",IFERROR(INDEX(MASTER_SOURCE!$C$2:$C$495,MATCH($I4682,MASTER_SOURCE!$A$2:$A$495,0)),""))</f>
        <v/>
      </c>
      <c r="L4682" s="22">
        <f t="array" ref="L4682">IF($D4682="","",IFERROR(INDEX(MASTER_SOURCE!$D$2:$D$495,MATCH($I4682,MASTER_SOURCE!$A$2:$A$495,0)),""))</f>
        <v/>
      </c>
      <c r="M4682" s="24" t="n"/>
      <c r="N4682" s="24" t="n"/>
      <c r="O4682" s="24" t="n"/>
      <c r="P4682" s="24" t="n"/>
      <c r="Q4682" s="22">
        <f>IF($D4682="","",IF(AND(OR(DANH_MUC!$L$5&lt;&gt;"Có",M4682="Có"),OR(DANH_MUC!$L$6&lt;&gt;"Có",N4682="Có"),OR(DANH_MUC!$L$7&lt;&gt;"Có",O4682="Có"),OR(DANH_MUC!$L$8&lt;&gt;"Có",P4682="Có")),"Có","Không"))</f>
        <v/>
      </c>
      <c r="R4682" s="22">
        <f>IF($D4682="","",IF(COUNTIF($D$2:$D4682,$D4682)&gt;1,"Trùng",""))</f>
        <v/>
      </c>
      <c r="S4682" s="22">
        <f>IF($D4682="","",IF(AND(LEN($D4682)=10,LEFT($D4682,1)="0",ISNUMBER(--$D4682)),"Có","Không"))</f>
        <v/>
      </c>
      <c r="T4682" s="22">
        <f>IF($D4682="","",IF(AND($C4682&lt;&gt;"",$Q4682="Có",$R4682="",$S4682="Có",AND($L4682&lt;&gt;"",OR($L4682&lt;&gt;"Chưa xác định",DANH_MUC!$L$9="Có"))),"Có","Không"))</f>
        <v/>
      </c>
      <c r="U4682" s="22">
        <f>IF(OR($D4682="",$T4682="Có"),"",IF($C4682="","Thiếu họ tên; ","")&amp;IF($S4682&lt;&gt;"Có","SĐT sai định dạng; ","")&amp;IF($R4682="Trùng","Trùng SĐT; ","")&amp;IF($Q4682&lt;&gt;"Có","Thiếu đồng ý bắt buộc; ","")&amp;IF($L4682="","Thiếu/sai Mã REF; ",IF(AND($L4682="Chưa xác định",DANH_MUC!$L$9&lt;&gt;"Có"),"Nguồn chưa xác định; ","")))</f>
        <v/>
      </c>
      <c r="V4682" s="22">
        <f>IF(OR($D4682="",$R4682="Trùng"),"",IF(COUNTIF(ORDERS!$C$2:$C$4995,$D4682)&gt;0,"Có","Không"))</f>
        <v/>
      </c>
      <c r="W4682" s="22">
        <f>IF(OR($D4682="",$R4682="Trùng"),"",COUNTIFS(ORDERS!$C$2:$C$4995,$D4682,ORDERS!$L$2:$L$4995,"Đã chuyển khoản"))</f>
        <v/>
      </c>
      <c r="X4682" s="23">
        <f>IF(OR($D4682="",$R4682="Trùng"),"",SUMIFS(ORDERS!$J$2:$J$4995,ORDERS!$C$2:$C$4995,$D4682,ORDERS!$L$2:$L$4995,"Đã chuyển khoản"))</f>
        <v/>
      </c>
      <c r="Y4682" s="24" t="n"/>
    </row>
    <row r="4683" ht="14.25" customHeight="1" s="40">
      <c r="A4683" s="24" t="n"/>
      <c r="B4683" s="27" t="n"/>
      <c r="C4683" s="24" t="n"/>
      <c r="D4683" s="28" t="n"/>
      <c r="E4683" s="29" t="n"/>
      <c r="F4683" s="24" t="n"/>
      <c r="G4683" s="24" t="n"/>
      <c r="H4683" s="21">
        <f>IF(ISNUMBER($B4683),INT($B4683)-WEEKDAY($B4683,2)+1,"")</f>
        <v/>
      </c>
      <c r="I4683" s="24" t="n"/>
      <c r="J4683" s="22">
        <f t="array" ref="J4683">IF($D4683="","",IF($I4683="","(trống REF)",IFERROR(INDEX(MASTER_SOURCE!$B$2:$B$495,MATCH($I4683,MASTER_SOURCE!$A$2:$A$495,0)),"(REF không có trong MASTER_SOURCE)")))</f>
        <v/>
      </c>
      <c r="K4683" s="22">
        <f t="array" ref="K4683">IF($D4683="","",IFERROR(INDEX(MASTER_SOURCE!$C$2:$C$495,MATCH($I4683,MASTER_SOURCE!$A$2:$A$495,0)),""))</f>
        <v/>
      </c>
      <c r="L4683" s="22">
        <f t="array" ref="L4683">IF($D4683="","",IFERROR(INDEX(MASTER_SOURCE!$D$2:$D$495,MATCH($I4683,MASTER_SOURCE!$A$2:$A$495,0)),""))</f>
        <v/>
      </c>
      <c r="M4683" s="24" t="n"/>
      <c r="N4683" s="24" t="n"/>
      <c r="O4683" s="24" t="n"/>
      <c r="P4683" s="24" t="n"/>
      <c r="Q4683" s="22">
        <f>IF($D4683="","",IF(AND(OR(DANH_MUC!$L$5&lt;&gt;"Có",M4683="Có"),OR(DANH_MUC!$L$6&lt;&gt;"Có",N4683="Có"),OR(DANH_MUC!$L$7&lt;&gt;"Có",O4683="Có"),OR(DANH_MUC!$L$8&lt;&gt;"Có",P4683="Có")),"Có","Không"))</f>
        <v/>
      </c>
      <c r="R4683" s="22">
        <f>IF($D4683="","",IF(COUNTIF($D$2:$D4683,$D4683)&gt;1,"Trùng",""))</f>
        <v/>
      </c>
      <c r="S4683" s="22">
        <f>IF($D4683="","",IF(AND(LEN($D4683)=10,LEFT($D4683,1)="0",ISNUMBER(--$D4683)),"Có","Không"))</f>
        <v/>
      </c>
      <c r="T4683" s="22">
        <f>IF($D4683="","",IF(AND($C4683&lt;&gt;"",$Q4683="Có",$R4683="",$S4683="Có",AND($L4683&lt;&gt;"",OR($L4683&lt;&gt;"Chưa xác định",DANH_MUC!$L$9="Có"))),"Có","Không"))</f>
        <v/>
      </c>
      <c r="U4683" s="22">
        <f>IF(OR($D4683="",$T4683="Có"),"",IF($C4683="","Thiếu họ tên; ","")&amp;IF($S4683&lt;&gt;"Có","SĐT sai định dạng; ","")&amp;IF($R4683="Trùng","Trùng SĐT; ","")&amp;IF($Q4683&lt;&gt;"Có","Thiếu đồng ý bắt buộc; ","")&amp;IF($L4683="","Thiếu/sai Mã REF; ",IF(AND($L4683="Chưa xác định",DANH_MUC!$L$9&lt;&gt;"Có"),"Nguồn chưa xác định; ","")))</f>
        <v/>
      </c>
      <c r="V4683" s="22">
        <f>IF(OR($D4683="",$R4683="Trùng"),"",IF(COUNTIF(ORDERS!$C$2:$C$4995,$D4683)&gt;0,"Có","Không"))</f>
        <v/>
      </c>
      <c r="W4683" s="22">
        <f>IF(OR($D4683="",$R4683="Trùng"),"",COUNTIFS(ORDERS!$C$2:$C$4995,$D4683,ORDERS!$L$2:$L$4995,"Đã chuyển khoản"))</f>
        <v/>
      </c>
      <c r="X4683" s="23">
        <f>IF(OR($D4683="",$R4683="Trùng"),"",SUMIFS(ORDERS!$J$2:$J$4995,ORDERS!$C$2:$C$4995,$D4683,ORDERS!$L$2:$L$4995,"Đã chuyển khoản"))</f>
        <v/>
      </c>
      <c r="Y4683" s="24" t="n"/>
    </row>
    <row r="4684" ht="14.25" customHeight="1" s="40">
      <c r="A4684" s="24" t="n"/>
      <c r="B4684" s="27" t="n"/>
      <c r="C4684" s="24" t="n"/>
      <c r="D4684" s="28" t="n"/>
      <c r="E4684" s="29" t="n"/>
      <c r="F4684" s="24" t="n"/>
      <c r="G4684" s="24" t="n"/>
      <c r="H4684" s="21">
        <f>IF(ISNUMBER($B4684),INT($B4684)-WEEKDAY($B4684,2)+1,"")</f>
        <v/>
      </c>
      <c r="I4684" s="24" t="n"/>
      <c r="J4684" s="22">
        <f t="array" ref="J4684">IF($D4684="","",IF($I4684="","(trống REF)",IFERROR(INDEX(MASTER_SOURCE!$B$2:$B$495,MATCH($I4684,MASTER_SOURCE!$A$2:$A$495,0)),"(REF không có trong MASTER_SOURCE)")))</f>
        <v/>
      </c>
      <c r="K4684" s="22">
        <f t="array" ref="K4684">IF($D4684="","",IFERROR(INDEX(MASTER_SOURCE!$C$2:$C$495,MATCH($I4684,MASTER_SOURCE!$A$2:$A$495,0)),""))</f>
        <v/>
      </c>
      <c r="L4684" s="22">
        <f t="array" ref="L4684">IF($D4684="","",IFERROR(INDEX(MASTER_SOURCE!$D$2:$D$495,MATCH($I4684,MASTER_SOURCE!$A$2:$A$495,0)),""))</f>
        <v/>
      </c>
      <c r="M4684" s="24" t="n"/>
      <c r="N4684" s="24" t="n"/>
      <c r="O4684" s="24" t="n"/>
      <c r="P4684" s="24" t="n"/>
      <c r="Q4684" s="22">
        <f>IF($D4684="","",IF(AND(OR(DANH_MUC!$L$5&lt;&gt;"Có",M4684="Có"),OR(DANH_MUC!$L$6&lt;&gt;"Có",N4684="Có"),OR(DANH_MUC!$L$7&lt;&gt;"Có",O4684="Có"),OR(DANH_MUC!$L$8&lt;&gt;"Có",P4684="Có")),"Có","Không"))</f>
        <v/>
      </c>
      <c r="R4684" s="22">
        <f>IF($D4684="","",IF(COUNTIF($D$2:$D4684,$D4684)&gt;1,"Trùng",""))</f>
        <v/>
      </c>
      <c r="S4684" s="22">
        <f>IF($D4684="","",IF(AND(LEN($D4684)=10,LEFT($D4684,1)="0",ISNUMBER(--$D4684)),"Có","Không"))</f>
        <v/>
      </c>
      <c r="T4684" s="22">
        <f>IF($D4684="","",IF(AND($C4684&lt;&gt;"",$Q4684="Có",$R4684="",$S4684="Có",AND($L4684&lt;&gt;"",OR($L4684&lt;&gt;"Chưa xác định",DANH_MUC!$L$9="Có"))),"Có","Không"))</f>
        <v/>
      </c>
      <c r="U4684" s="22">
        <f>IF(OR($D4684="",$T4684="Có"),"",IF($C4684="","Thiếu họ tên; ","")&amp;IF($S4684&lt;&gt;"Có","SĐT sai định dạng; ","")&amp;IF($R4684="Trùng","Trùng SĐT; ","")&amp;IF($Q4684&lt;&gt;"Có","Thiếu đồng ý bắt buộc; ","")&amp;IF($L4684="","Thiếu/sai Mã REF; ",IF(AND($L4684="Chưa xác định",DANH_MUC!$L$9&lt;&gt;"Có"),"Nguồn chưa xác định; ","")))</f>
        <v/>
      </c>
      <c r="V4684" s="22">
        <f>IF(OR($D4684="",$R4684="Trùng"),"",IF(COUNTIF(ORDERS!$C$2:$C$4995,$D4684)&gt;0,"Có","Không"))</f>
        <v/>
      </c>
      <c r="W4684" s="22">
        <f>IF(OR($D4684="",$R4684="Trùng"),"",COUNTIFS(ORDERS!$C$2:$C$4995,$D4684,ORDERS!$L$2:$L$4995,"Đã chuyển khoản"))</f>
        <v/>
      </c>
      <c r="X4684" s="23">
        <f>IF(OR($D4684="",$R4684="Trùng"),"",SUMIFS(ORDERS!$J$2:$J$4995,ORDERS!$C$2:$C$4995,$D4684,ORDERS!$L$2:$L$4995,"Đã chuyển khoản"))</f>
        <v/>
      </c>
      <c r="Y4684" s="24" t="n"/>
    </row>
    <row r="4685" ht="14.25" customHeight="1" s="40">
      <c r="A4685" s="24" t="n"/>
      <c r="B4685" s="27" t="n"/>
      <c r="C4685" s="24" t="n"/>
      <c r="D4685" s="28" t="n"/>
      <c r="E4685" s="29" t="n"/>
      <c r="F4685" s="24" t="n"/>
      <c r="G4685" s="24" t="n"/>
      <c r="H4685" s="21">
        <f>IF(ISNUMBER($B4685),INT($B4685)-WEEKDAY($B4685,2)+1,"")</f>
        <v/>
      </c>
      <c r="I4685" s="24" t="n"/>
      <c r="J4685" s="22">
        <f t="array" ref="J4685">IF($D4685="","",IF($I4685="","(trống REF)",IFERROR(INDEX(MASTER_SOURCE!$B$2:$B$495,MATCH($I4685,MASTER_SOURCE!$A$2:$A$495,0)),"(REF không có trong MASTER_SOURCE)")))</f>
        <v/>
      </c>
      <c r="K4685" s="22">
        <f t="array" ref="K4685">IF($D4685="","",IFERROR(INDEX(MASTER_SOURCE!$C$2:$C$495,MATCH($I4685,MASTER_SOURCE!$A$2:$A$495,0)),""))</f>
        <v/>
      </c>
      <c r="L4685" s="22">
        <f t="array" ref="L4685">IF($D4685="","",IFERROR(INDEX(MASTER_SOURCE!$D$2:$D$495,MATCH($I4685,MASTER_SOURCE!$A$2:$A$495,0)),""))</f>
        <v/>
      </c>
      <c r="M4685" s="24" t="n"/>
      <c r="N4685" s="24" t="n"/>
      <c r="O4685" s="24" t="n"/>
      <c r="P4685" s="24" t="n"/>
      <c r="Q4685" s="22">
        <f>IF($D4685="","",IF(AND(OR(DANH_MUC!$L$5&lt;&gt;"Có",M4685="Có"),OR(DANH_MUC!$L$6&lt;&gt;"Có",N4685="Có"),OR(DANH_MUC!$L$7&lt;&gt;"Có",O4685="Có"),OR(DANH_MUC!$L$8&lt;&gt;"Có",P4685="Có")),"Có","Không"))</f>
        <v/>
      </c>
      <c r="R4685" s="22">
        <f>IF($D4685="","",IF(COUNTIF($D$2:$D4685,$D4685)&gt;1,"Trùng",""))</f>
        <v/>
      </c>
      <c r="S4685" s="22">
        <f>IF($D4685="","",IF(AND(LEN($D4685)=10,LEFT($D4685,1)="0",ISNUMBER(--$D4685)),"Có","Không"))</f>
        <v/>
      </c>
      <c r="T4685" s="22">
        <f>IF($D4685="","",IF(AND($C4685&lt;&gt;"",$Q4685="Có",$R4685="",$S4685="Có",AND($L4685&lt;&gt;"",OR($L4685&lt;&gt;"Chưa xác định",DANH_MUC!$L$9="Có"))),"Có","Không"))</f>
        <v/>
      </c>
      <c r="U4685" s="22">
        <f>IF(OR($D4685="",$T4685="Có"),"",IF($C4685="","Thiếu họ tên; ","")&amp;IF($S4685&lt;&gt;"Có","SĐT sai định dạng; ","")&amp;IF($R4685="Trùng","Trùng SĐT; ","")&amp;IF($Q4685&lt;&gt;"Có","Thiếu đồng ý bắt buộc; ","")&amp;IF($L4685="","Thiếu/sai Mã REF; ",IF(AND($L4685="Chưa xác định",DANH_MUC!$L$9&lt;&gt;"Có"),"Nguồn chưa xác định; ","")))</f>
        <v/>
      </c>
      <c r="V4685" s="22">
        <f>IF(OR($D4685="",$R4685="Trùng"),"",IF(COUNTIF(ORDERS!$C$2:$C$4995,$D4685)&gt;0,"Có","Không"))</f>
        <v/>
      </c>
      <c r="W4685" s="22">
        <f>IF(OR($D4685="",$R4685="Trùng"),"",COUNTIFS(ORDERS!$C$2:$C$4995,$D4685,ORDERS!$L$2:$L$4995,"Đã chuyển khoản"))</f>
        <v/>
      </c>
      <c r="X4685" s="23">
        <f>IF(OR($D4685="",$R4685="Trùng"),"",SUMIFS(ORDERS!$J$2:$J$4995,ORDERS!$C$2:$C$4995,$D4685,ORDERS!$L$2:$L$4995,"Đã chuyển khoản"))</f>
        <v/>
      </c>
      <c r="Y4685" s="24" t="n"/>
    </row>
    <row r="4686" ht="14.25" customHeight="1" s="40">
      <c r="A4686" s="24" t="n"/>
      <c r="B4686" s="27" t="n"/>
      <c r="C4686" s="24" t="n"/>
      <c r="D4686" s="28" t="n"/>
      <c r="E4686" s="29" t="n"/>
      <c r="F4686" s="24" t="n"/>
      <c r="G4686" s="24" t="n"/>
      <c r="H4686" s="21">
        <f>IF(ISNUMBER($B4686),INT($B4686)-WEEKDAY($B4686,2)+1,"")</f>
        <v/>
      </c>
      <c r="I4686" s="24" t="n"/>
      <c r="J4686" s="22">
        <f t="array" ref="J4686">IF($D4686="","",IF($I4686="","(trống REF)",IFERROR(INDEX(MASTER_SOURCE!$B$2:$B$495,MATCH($I4686,MASTER_SOURCE!$A$2:$A$495,0)),"(REF không có trong MASTER_SOURCE)")))</f>
        <v/>
      </c>
      <c r="K4686" s="22">
        <f t="array" ref="K4686">IF($D4686="","",IFERROR(INDEX(MASTER_SOURCE!$C$2:$C$495,MATCH($I4686,MASTER_SOURCE!$A$2:$A$495,0)),""))</f>
        <v/>
      </c>
      <c r="L4686" s="22">
        <f t="array" ref="L4686">IF($D4686="","",IFERROR(INDEX(MASTER_SOURCE!$D$2:$D$495,MATCH($I4686,MASTER_SOURCE!$A$2:$A$495,0)),""))</f>
        <v/>
      </c>
      <c r="M4686" s="24" t="n"/>
      <c r="N4686" s="24" t="n"/>
      <c r="O4686" s="24" t="n"/>
      <c r="P4686" s="24" t="n"/>
      <c r="Q4686" s="22">
        <f>IF($D4686="","",IF(AND(OR(DANH_MUC!$L$5&lt;&gt;"Có",M4686="Có"),OR(DANH_MUC!$L$6&lt;&gt;"Có",N4686="Có"),OR(DANH_MUC!$L$7&lt;&gt;"Có",O4686="Có"),OR(DANH_MUC!$L$8&lt;&gt;"Có",P4686="Có")),"Có","Không"))</f>
        <v/>
      </c>
      <c r="R4686" s="22">
        <f>IF($D4686="","",IF(COUNTIF($D$2:$D4686,$D4686)&gt;1,"Trùng",""))</f>
        <v/>
      </c>
      <c r="S4686" s="22">
        <f>IF($D4686="","",IF(AND(LEN($D4686)=10,LEFT($D4686,1)="0",ISNUMBER(--$D4686)),"Có","Không"))</f>
        <v/>
      </c>
      <c r="T4686" s="22">
        <f>IF($D4686="","",IF(AND($C4686&lt;&gt;"",$Q4686="Có",$R4686="",$S4686="Có",AND($L4686&lt;&gt;"",OR($L4686&lt;&gt;"Chưa xác định",DANH_MUC!$L$9="Có"))),"Có","Không"))</f>
        <v/>
      </c>
      <c r="U4686" s="22">
        <f>IF(OR($D4686="",$T4686="Có"),"",IF($C4686="","Thiếu họ tên; ","")&amp;IF($S4686&lt;&gt;"Có","SĐT sai định dạng; ","")&amp;IF($R4686="Trùng","Trùng SĐT; ","")&amp;IF($Q4686&lt;&gt;"Có","Thiếu đồng ý bắt buộc; ","")&amp;IF($L4686="","Thiếu/sai Mã REF; ",IF(AND($L4686="Chưa xác định",DANH_MUC!$L$9&lt;&gt;"Có"),"Nguồn chưa xác định; ","")))</f>
        <v/>
      </c>
      <c r="V4686" s="22">
        <f>IF(OR($D4686="",$R4686="Trùng"),"",IF(COUNTIF(ORDERS!$C$2:$C$4995,$D4686)&gt;0,"Có","Không"))</f>
        <v/>
      </c>
      <c r="W4686" s="22">
        <f>IF(OR($D4686="",$R4686="Trùng"),"",COUNTIFS(ORDERS!$C$2:$C$4995,$D4686,ORDERS!$L$2:$L$4995,"Đã chuyển khoản"))</f>
        <v/>
      </c>
      <c r="X4686" s="23">
        <f>IF(OR($D4686="",$R4686="Trùng"),"",SUMIFS(ORDERS!$J$2:$J$4995,ORDERS!$C$2:$C$4995,$D4686,ORDERS!$L$2:$L$4995,"Đã chuyển khoản"))</f>
        <v/>
      </c>
      <c r="Y4686" s="24" t="n"/>
    </row>
    <row r="4687" ht="14.25" customHeight="1" s="40">
      <c r="A4687" s="24" t="n"/>
      <c r="B4687" s="27" t="n"/>
      <c r="C4687" s="24" t="n"/>
      <c r="D4687" s="28" t="n"/>
      <c r="E4687" s="29" t="n"/>
      <c r="F4687" s="24" t="n"/>
      <c r="G4687" s="24" t="n"/>
      <c r="H4687" s="21">
        <f>IF(ISNUMBER($B4687),INT($B4687)-WEEKDAY($B4687,2)+1,"")</f>
        <v/>
      </c>
      <c r="I4687" s="24" t="n"/>
      <c r="J4687" s="22">
        <f t="array" ref="J4687">IF($D4687="","",IF($I4687="","(trống REF)",IFERROR(INDEX(MASTER_SOURCE!$B$2:$B$495,MATCH($I4687,MASTER_SOURCE!$A$2:$A$495,0)),"(REF không có trong MASTER_SOURCE)")))</f>
        <v/>
      </c>
      <c r="K4687" s="22">
        <f t="array" ref="K4687">IF($D4687="","",IFERROR(INDEX(MASTER_SOURCE!$C$2:$C$495,MATCH($I4687,MASTER_SOURCE!$A$2:$A$495,0)),""))</f>
        <v/>
      </c>
      <c r="L4687" s="22">
        <f t="array" ref="L4687">IF($D4687="","",IFERROR(INDEX(MASTER_SOURCE!$D$2:$D$495,MATCH($I4687,MASTER_SOURCE!$A$2:$A$495,0)),""))</f>
        <v/>
      </c>
      <c r="M4687" s="24" t="n"/>
      <c r="N4687" s="24" t="n"/>
      <c r="O4687" s="24" t="n"/>
      <c r="P4687" s="24" t="n"/>
      <c r="Q4687" s="22">
        <f>IF($D4687="","",IF(AND(OR(DANH_MUC!$L$5&lt;&gt;"Có",M4687="Có"),OR(DANH_MUC!$L$6&lt;&gt;"Có",N4687="Có"),OR(DANH_MUC!$L$7&lt;&gt;"Có",O4687="Có"),OR(DANH_MUC!$L$8&lt;&gt;"Có",P4687="Có")),"Có","Không"))</f>
        <v/>
      </c>
      <c r="R4687" s="22">
        <f>IF($D4687="","",IF(COUNTIF($D$2:$D4687,$D4687)&gt;1,"Trùng",""))</f>
        <v/>
      </c>
      <c r="S4687" s="22">
        <f>IF($D4687="","",IF(AND(LEN($D4687)=10,LEFT($D4687,1)="0",ISNUMBER(--$D4687)),"Có","Không"))</f>
        <v/>
      </c>
      <c r="T4687" s="22">
        <f>IF($D4687="","",IF(AND($C4687&lt;&gt;"",$Q4687="Có",$R4687="",$S4687="Có",AND($L4687&lt;&gt;"",OR($L4687&lt;&gt;"Chưa xác định",DANH_MUC!$L$9="Có"))),"Có","Không"))</f>
        <v/>
      </c>
      <c r="U4687" s="22">
        <f>IF(OR($D4687="",$T4687="Có"),"",IF($C4687="","Thiếu họ tên; ","")&amp;IF($S4687&lt;&gt;"Có","SĐT sai định dạng; ","")&amp;IF($R4687="Trùng","Trùng SĐT; ","")&amp;IF($Q4687&lt;&gt;"Có","Thiếu đồng ý bắt buộc; ","")&amp;IF($L4687="","Thiếu/sai Mã REF; ",IF(AND($L4687="Chưa xác định",DANH_MUC!$L$9&lt;&gt;"Có"),"Nguồn chưa xác định; ","")))</f>
        <v/>
      </c>
      <c r="V4687" s="22">
        <f>IF(OR($D4687="",$R4687="Trùng"),"",IF(COUNTIF(ORDERS!$C$2:$C$4995,$D4687)&gt;0,"Có","Không"))</f>
        <v/>
      </c>
      <c r="W4687" s="22">
        <f>IF(OR($D4687="",$R4687="Trùng"),"",COUNTIFS(ORDERS!$C$2:$C$4995,$D4687,ORDERS!$L$2:$L$4995,"Đã chuyển khoản"))</f>
        <v/>
      </c>
      <c r="X4687" s="23">
        <f>IF(OR($D4687="",$R4687="Trùng"),"",SUMIFS(ORDERS!$J$2:$J$4995,ORDERS!$C$2:$C$4995,$D4687,ORDERS!$L$2:$L$4995,"Đã chuyển khoản"))</f>
        <v/>
      </c>
      <c r="Y4687" s="24" t="n"/>
    </row>
    <row r="4688" ht="14.25" customHeight="1" s="40">
      <c r="A4688" s="24" t="n"/>
      <c r="B4688" s="27" t="n"/>
      <c r="C4688" s="24" t="n"/>
      <c r="D4688" s="28" t="n"/>
      <c r="E4688" s="29" t="n"/>
      <c r="F4688" s="24" t="n"/>
      <c r="G4688" s="24" t="n"/>
      <c r="H4688" s="21">
        <f>IF(ISNUMBER($B4688),INT($B4688)-WEEKDAY($B4688,2)+1,"")</f>
        <v/>
      </c>
      <c r="I4688" s="24" t="n"/>
      <c r="J4688" s="22">
        <f t="array" ref="J4688">IF($D4688="","",IF($I4688="","(trống REF)",IFERROR(INDEX(MASTER_SOURCE!$B$2:$B$495,MATCH($I4688,MASTER_SOURCE!$A$2:$A$495,0)),"(REF không có trong MASTER_SOURCE)")))</f>
        <v/>
      </c>
      <c r="K4688" s="22">
        <f t="array" ref="K4688">IF($D4688="","",IFERROR(INDEX(MASTER_SOURCE!$C$2:$C$495,MATCH($I4688,MASTER_SOURCE!$A$2:$A$495,0)),""))</f>
        <v/>
      </c>
      <c r="L4688" s="22">
        <f t="array" ref="L4688">IF($D4688="","",IFERROR(INDEX(MASTER_SOURCE!$D$2:$D$495,MATCH($I4688,MASTER_SOURCE!$A$2:$A$495,0)),""))</f>
        <v/>
      </c>
      <c r="M4688" s="24" t="n"/>
      <c r="N4688" s="24" t="n"/>
      <c r="O4688" s="24" t="n"/>
      <c r="P4688" s="24" t="n"/>
      <c r="Q4688" s="22">
        <f>IF($D4688="","",IF(AND(OR(DANH_MUC!$L$5&lt;&gt;"Có",M4688="Có"),OR(DANH_MUC!$L$6&lt;&gt;"Có",N4688="Có"),OR(DANH_MUC!$L$7&lt;&gt;"Có",O4688="Có"),OR(DANH_MUC!$L$8&lt;&gt;"Có",P4688="Có")),"Có","Không"))</f>
        <v/>
      </c>
      <c r="R4688" s="22">
        <f>IF($D4688="","",IF(COUNTIF($D$2:$D4688,$D4688)&gt;1,"Trùng",""))</f>
        <v/>
      </c>
      <c r="S4688" s="22">
        <f>IF($D4688="","",IF(AND(LEN($D4688)=10,LEFT($D4688,1)="0",ISNUMBER(--$D4688)),"Có","Không"))</f>
        <v/>
      </c>
      <c r="T4688" s="22">
        <f>IF($D4688="","",IF(AND($C4688&lt;&gt;"",$Q4688="Có",$R4688="",$S4688="Có",AND($L4688&lt;&gt;"",OR($L4688&lt;&gt;"Chưa xác định",DANH_MUC!$L$9="Có"))),"Có","Không"))</f>
        <v/>
      </c>
      <c r="U4688" s="22">
        <f>IF(OR($D4688="",$T4688="Có"),"",IF($C4688="","Thiếu họ tên; ","")&amp;IF($S4688&lt;&gt;"Có","SĐT sai định dạng; ","")&amp;IF($R4688="Trùng","Trùng SĐT; ","")&amp;IF($Q4688&lt;&gt;"Có","Thiếu đồng ý bắt buộc; ","")&amp;IF($L4688="","Thiếu/sai Mã REF; ",IF(AND($L4688="Chưa xác định",DANH_MUC!$L$9&lt;&gt;"Có"),"Nguồn chưa xác định; ","")))</f>
        <v/>
      </c>
      <c r="V4688" s="22">
        <f>IF(OR($D4688="",$R4688="Trùng"),"",IF(COUNTIF(ORDERS!$C$2:$C$4995,$D4688)&gt;0,"Có","Không"))</f>
        <v/>
      </c>
      <c r="W4688" s="22">
        <f>IF(OR($D4688="",$R4688="Trùng"),"",COUNTIFS(ORDERS!$C$2:$C$4995,$D4688,ORDERS!$L$2:$L$4995,"Đã chuyển khoản"))</f>
        <v/>
      </c>
      <c r="X4688" s="23">
        <f>IF(OR($D4688="",$R4688="Trùng"),"",SUMIFS(ORDERS!$J$2:$J$4995,ORDERS!$C$2:$C$4995,$D4688,ORDERS!$L$2:$L$4995,"Đã chuyển khoản"))</f>
        <v/>
      </c>
      <c r="Y4688" s="24" t="n"/>
    </row>
    <row r="4689" ht="14.25" customHeight="1" s="40">
      <c r="A4689" s="24" t="n"/>
      <c r="B4689" s="27" t="n"/>
      <c r="C4689" s="24" t="n"/>
      <c r="D4689" s="28" t="n"/>
      <c r="E4689" s="29" t="n"/>
      <c r="F4689" s="24" t="n"/>
      <c r="G4689" s="24" t="n"/>
      <c r="H4689" s="21">
        <f>IF(ISNUMBER($B4689),INT($B4689)-WEEKDAY($B4689,2)+1,"")</f>
        <v/>
      </c>
      <c r="I4689" s="24" t="n"/>
      <c r="J4689" s="22">
        <f t="array" ref="J4689">IF($D4689="","",IF($I4689="","(trống REF)",IFERROR(INDEX(MASTER_SOURCE!$B$2:$B$495,MATCH($I4689,MASTER_SOURCE!$A$2:$A$495,0)),"(REF không có trong MASTER_SOURCE)")))</f>
        <v/>
      </c>
      <c r="K4689" s="22">
        <f t="array" ref="K4689">IF($D4689="","",IFERROR(INDEX(MASTER_SOURCE!$C$2:$C$495,MATCH($I4689,MASTER_SOURCE!$A$2:$A$495,0)),""))</f>
        <v/>
      </c>
      <c r="L4689" s="22">
        <f t="array" ref="L4689">IF($D4689="","",IFERROR(INDEX(MASTER_SOURCE!$D$2:$D$495,MATCH($I4689,MASTER_SOURCE!$A$2:$A$495,0)),""))</f>
        <v/>
      </c>
      <c r="M4689" s="24" t="n"/>
      <c r="N4689" s="24" t="n"/>
      <c r="O4689" s="24" t="n"/>
      <c r="P4689" s="24" t="n"/>
      <c r="Q4689" s="22">
        <f>IF($D4689="","",IF(AND(OR(DANH_MUC!$L$5&lt;&gt;"Có",M4689="Có"),OR(DANH_MUC!$L$6&lt;&gt;"Có",N4689="Có"),OR(DANH_MUC!$L$7&lt;&gt;"Có",O4689="Có"),OR(DANH_MUC!$L$8&lt;&gt;"Có",P4689="Có")),"Có","Không"))</f>
        <v/>
      </c>
      <c r="R4689" s="22">
        <f>IF($D4689="","",IF(COUNTIF($D$2:$D4689,$D4689)&gt;1,"Trùng",""))</f>
        <v/>
      </c>
      <c r="S4689" s="22">
        <f>IF($D4689="","",IF(AND(LEN($D4689)=10,LEFT($D4689,1)="0",ISNUMBER(--$D4689)),"Có","Không"))</f>
        <v/>
      </c>
      <c r="T4689" s="22">
        <f>IF($D4689="","",IF(AND($C4689&lt;&gt;"",$Q4689="Có",$R4689="",$S4689="Có",AND($L4689&lt;&gt;"",OR($L4689&lt;&gt;"Chưa xác định",DANH_MUC!$L$9="Có"))),"Có","Không"))</f>
        <v/>
      </c>
      <c r="U4689" s="22">
        <f>IF(OR($D4689="",$T4689="Có"),"",IF($C4689="","Thiếu họ tên; ","")&amp;IF($S4689&lt;&gt;"Có","SĐT sai định dạng; ","")&amp;IF($R4689="Trùng","Trùng SĐT; ","")&amp;IF($Q4689&lt;&gt;"Có","Thiếu đồng ý bắt buộc; ","")&amp;IF($L4689="","Thiếu/sai Mã REF; ",IF(AND($L4689="Chưa xác định",DANH_MUC!$L$9&lt;&gt;"Có"),"Nguồn chưa xác định; ","")))</f>
        <v/>
      </c>
      <c r="V4689" s="22">
        <f>IF(OR($D4689="",$R4689="Trùng"),"",IF(COUNTIF(ORDERS!$C$2:$C$4995,$D4689)&gt;0,"Có","Không"))</f>
        <v/>
      </c>
      <c r="W4689" s="22">
        <f>IF(OR($D4689="",$R4689="Trùng"),"",COUNTIFS(ORDERS!$C$2:$C$4995,$D4689,ORDERS!$L$2:$L$4995,"Đã chuyển khoản"))</f>
        <v/>
      </c>
      <c r="X4689" s="23">
        <f>IF(OR($D4689="",$R4689="Trùng"),"",SUMIFS(ORDERS!$J$2:$J$4995,ORDERS!$C$2:$C$4995,$D4689,ORDERS!$L$2:$L$4995,"Đã chuyển khoản"))</f>
        <v/>
      </c>
      <c r="Y4689" s="24" t="n"/>
    </row>
    <row r="4690" ht="14.25" customHeight="1" s="40">
      <c r="A4690" s="24" t="n"/>
      <c r="B4690" s="27" t="n"/>
      <c r="C4690" s="24" t="n"/>
      <c r="D4690" s="28" t="n"/>
      <c r="E4690" s="29" t="n"/>
      <c r="F4690" s="24" t="n"/>
      <c r="G4690" s="24" t="n"/>
      <c r="H4690" s="21">
        <f>IF(ISNUMBER($B4690),INT($B4690)-WEEKDAY($B4690,2)+1,"")</f>
        <v/>
      </c>
      <c r="I4690" s="24" t="n"/>
      <c r="J4690" s="22">
        <f t="array" ref="J4690">IF($D4690="","",IF($I4690="","(trống REF)",IFERROR(INDEX(MASTER_SOURCE!$B$2:$B$495,MATCH($I4690,MASTER_SOURCE!$A$2:$A$495,0)),"(REF không có trong MASTER_SOURCE)")))</f>
        <v/>
      </c>
      <c r="K4690" s="22">
        <f t="array" ref="K4690">IF($D4690="","",IFERROR(INDEX(MASTER_SOURCE!$C$2:$C$495,MATCH($I4690,MASTER_SOURCE!$A$2:$A$495,0)),""))</f>
        <v/>
      </c>
      <c r="L4690" s="22">
        <f t="array" ref="L4690">IF($D4690="","",IFERROR(INDEX(MASTER_SOURCE!$D$2:$D$495,MATCH($I4690,MASTER_SOURCE!$A$2:$A$495,0)),""))</f>
        <v/>
      </c>
      <c r="M4690" s="24" t="n"/>
      <c r="N4690" s="24" t="n"/>
      <c r="O4690" s="24" t="n"/>
      <c r="P4690" s="24" t="n"/>
      <c r="Q4690" s="22">
        <f>IF($D4690="","",IF(AND(OR(DANH_MUC!$L$5&lt;&gt;"Có",M4690="Có"),OR(DANH_MUC!$L$6&lt;&gt;"Có",N4690="Có"),OR(DANH_MUC!$L$7&lt;&gt;"Có",O4690="Có"),OR(DANH_MUC!$L$8&lt;&gt;"Có",P4690="Có")),"Có","Không"))</f>
        <v/>
      </c>
      <c r="R4690" s="22">
        <f>IF($D4690="","",IF(COUNTIF($D$2:$D4690,$D4690)&gt;1,"Trùng",""))</f>
        <v/>
      </c>
      <c r="S4690" s="22">
        <f>IF($D4690="","",IF(AND(LEN($D4690)=10,LEFT($D4690,1)="0",ISNUMBER(--$D4690)),"Có","Không"))</f>
        <v/>
      </c>
      <c r="T4690" s="22">
        <f>IF($D4690="","",IF(AND($C4690&lt;&gt;"",$Q4690="Có",$R4690="",$S4690="Có",AND($L4690&lt;&gt;"",OR($L4690&lt;&gt;"Chưa xác định",DANH_MUC!$L$9="Có"))),"Có","Không"))</f>
        <v/>
      </c>
      <c r="U4690" s="22">
        <f>IF(OR($D4690="",$T4690="Có"),"",IF($C4690="","Thiếu họ tên; ","")&amp;IF($S4690&lt;&gt;"Có","SĐT sai định dạng; ","")&amp;IF($R4690="Trùng","Trùng SĐT; ","")&amp;IF($Q4690&lt;&gt;"Có","Thiếu đồng ý bắt buộc; ","")&amp;IF($L4690="","Thiếu/sai Mã REF; ",IF(AND($L4690="Chưa xác định",DANH_MUC!$L$9&lt;&gt;"Có"),"Nguồn chưa xác định; ","")))</f>
        <v/>
      </c>
      <c r="V4690" s="22">
        <f>IF(OR($D4690="",$R4690="Trùng"),"",IF(COUNTIF(ORDERS!$C$2:$C$4995,$D4690)&gt;0,"Có","Không"))</f>
        <v/>
      </c>
      <c r="W4690" s="22">
        <f>IF(OR($D4690="",$R4690="Trùng"),"",COUNTIFS(ORDERS!$C$2:$C$4995,$D4690,ORDERS!$L$2:$L$4995,"Đã chuyển khoản"))</f>
        <v/>
      </c>
      <c r="X4690" s="23">
        <f>IF(OR($D4690="",$R4690="Trùng"),"",SUMIFS(ORDERS!$J$2:$J$4995,ORDERS!$C$2:$C$4995,$D4690,ORDERS!$L$2:$L$4995,"Đã chuyển khoản"))</f>
        <v/>
      </c>
      <c r="Y4690" s="24" t="n"/>
    </row>
    <row r="4691" ht="14.25" customHeight="1" s="40">
      <c r="A4691" s="24" t="n"/>
      <c r="B4691" s="27" t="n"/>
      <c r="C4691" s="24" t="n"/>
      <c r="D4691" s="28" t="n"/>
      <c r="E4691" s="29" t="n"/>
      <c r="F4691" s="24" t="n"/>
      <c r="G4691" s="24" t="n"/>
      <c r="H4691" s="21">
        <f>IF(ISNUMBER($B4691),INT($B4691)-WEEKDAY($B4691,2)+1,"")</f>
        <v/>
      </c>
      <c r="I4691" s="24" t="n"/>
      <c r="J4691" s="22">
        <f t="array" ref="J4691">IF($D4691="","",IF($I4691="","(trống REF)",IFERROR(INDEX(MASTER_SOURCE!$B$2:$B$495,MATCH($I4691,MASTER_SOURCE!$A$2:$A$495,0)),"(REF không có trong MASTER_SOURCE)")))</f>
        <v/>
      </c>
      <c r="K4691" s="22">
        <f t="array" ref="K4691">IF($D4691="","",IFERROR(INDEX(MASTER_SOURCE!$C$2:$C$495,MATCH($I4691,MASTER_SOURCE!$A$2:$A$495,0)),""))</f>
        <v/>
      </c>
      <c r="L4691" s="22">
        <f t="array" ref="L4691">IF($D4691="","",IFERROR(INDEX(MASTER_SOURCE!$D$2:$D$495,MATCH($I4691,MASTER_SOURCE!$A$2:$A$495,0)),""))</f>
        <v/>
      </c>
      <c r="M4691" s="24" t="n"/>
      <c r="N4691" s="24" t="n"/>
      <c r="O4691" s="24" t="n"/>
      <c r="P4691" s="24" t="n"/>
      <c r="Q4691" s="22">
        <f>IF($D4691="","",IF(AND(OR(DANH_MUC!$L$5&lt;&gt;"Có",M4691="Có"),OR(DANH_MUC!$L$6&lt;&gt;"Có",N4691="Có"),OR(DANH_MUC!$L$7&lt;&gt;"Có",O4691="Có"),OR(DANH_MUC!$L$8&lt;&gt;"Có",P4691="Có")),"Có","Không"))</f>
        <v/>
      </c>
      <c r="R4691" s="22">
        <f>IF($D4691="","",IF(COUNTIF($D$2:$D4691,$D4691)&gt;1,"Trùng",""))</f>
        <v/>
      </c>
      <c r="S4691" s="22">
        <f>IF($D4691="","",IF(AND(LEN($D4691)=10,LEFT($D4691,1)="0",ISNUMBER(--$D4691)),"Có","Không"))</f>
        <v/>
      </c>
      <c r="T4691" s="22">
        <f>IF($D4691="","",IF(AND($C4691&lt;&gt;"",$Q4691="Có",$R4691="",$S4691="Có",AND($L4691&lt;&gt;"",OR($L4691&lt;&gt;"Chưa xác định",DANH_MUC!$L$9="Có"))),"Có","Không"))</f>
        <v/>
      </c>
      <c r="U4691" s="22">
        <f>IF(OR($D4691="",$T4691="Có"),"",IF($C4691="","Thiếu họ tên; ","")&amp;IF($S4691&lt;&gt;"Có","SĐT sai định dạng; ","")&amp;IF($R4691="Trùng","Trùng SĐT; ","")&amp;IF($Q4691&lt;&gt;"Có","Thiếu đồng ý bắt buộc; ","")&amp;IF($L4691="","Thiếu/sai Mã REF; ",IF(AND($L4691="Chưa xác định",DANH_MUC!$L$9&lt;&gt;"Có"),"Nguồn chưa xác định; ","")))</f>
        <v/>
      </c>
      <c r="V4691" s="22">
        <f>IF(OR($D4691="",$R4691="Trùng"),"",IF(COUNTIF(ORDERS!$C$2:$C$4995,$D4691)&gt;0,"Có","Không"))</f>
        <v/>
      </c>
      <c r="W4691" s="22">
        <f>IF(OR($D4691="",$R4691="Trùng"),"",COUNTIFS(ORDERS!$C$2:$C$4995,$D4691,ORDERS!$L$2:$L$4995,"Đã chuyển khoản"))</f>
        <v/>
      </c>
      <c r="X4691" s="23">
        <f>IF(OR($D4691="",$R4691="Trùng"),"",SUMIFS(ORDERS!$J$2:$J$4995,ORDERS!$C$2:$C$4995,$D4691,ORDERS!$L$2:$L$4995,"Đã chuyển khoản"))</f>
        <v/>
      </c>
      <c r="Y4691" s="24" t="n"/>
    </row>
    <row r="4692" ht="14.25" customHeight="1" s="40">
      <c r="A4692" s="24" t="n"/>
      <c r="B4692" s="27" t="n"/>
      <c r="C4692" s="24" t="n"/>
      <c r="D4692" s="28" t="n"/>
      <c r="E4692" s="29" t="n"/>
      <c r="F4692" s="24" t="n"/>
      <c r="G4692" s="24" t="n"/>
      <c r="H4692" s="21">
        <f>IF(ISNUMBER($B4692),INT($B4692)-WEEKDAY($B4692,2)+1,"")</f>
        <v/>
      </c>
      <c r="I4692" s="24" t="n"/>
      <c r="J4692" s="22">
        <f t="array" ref="J4692">IF($D4692="","",IF($I4692="","(trống REF)",IFERROR(INDEX(MASTER_SOURCE!$B$2:$B$495,MATCH($I4692,MASTER_SOURCE!$A$2:$A$495,0)),"(REF không có trong MASTER_SOURCE)")))</f>
        <v/>
      </c>
      <c r="K4692" s="22">
        <f t="array" ref="K4692">IF($D4692="","",IFERROR(INDEX(MASTER_SOURCE!$C$2:$C$495,MATCH($I4692,MASTER_SOURCE!$A$2:$A$495,0)),""))</f>
        <v/>
      </c>
      <c r="L4692" s="22">
        <f t="array" ref="L4692">IF($D4692="","",IFERROR(INDEX(MASTER_SOURCE!$D$2:$D$495,MATCH($I4692,MASTER_SOURCE!$A$2:$A$495,0)),""))</f>
        <v/>
      </c>
      <c r="M4692" s="24" t="n"/>
      <c r="N4692" s="24" t="n"/>
      <c r="O4692" s="24" t="n"/>
      <c r="P4692" s="24" t="n"/>
      <c r="Q4692" s="22">
        <f>IF($D4692="","",IF(AND(OR(DANH_MUC!$L$5&lt;&gt;"Có",M4692="Có"),OR(DANH_MUC!$L$6&lt;&gt;"Có",N4692="Có"),OR(DANH_MUC!$L$7&lt;&gt;"Có",O4692="Có"),OR(DANH_MUC!$L$8&lt;&gt;"Có",P4692="Có")),"Có","Không"))</f>
        <v/>
      </c>
      <c r="R4692" s="22">
        <f>IF($D4692="","",IF(COUNTIF($D$2:$D4692,$D4692)&gt;1,"Trùng",""))</f>
        <v/>
      </c>
      <c r="S4692" s="22">
        <f>IF($D4692="","",IF(AND(LEN($D4692)=10,LEFT($D4692,1)="0",ISNUMBER(--$D4692)),"Có","Không"))</f>
        <v/>
      </c>
      <c r="T4692" s="22">
        <f>IF($D4692="","",IF(AND($C4692&lt;&gt;"",$Q4692="Có",$R4692="",$S4692="Có",AND($L4692&lt;&gt;"",OR($L4692&lt;&gt;"Chưa xác định",DANH_MUC!$L$9="Có"))),"Có","Không"))</f>
        <v/>
      </c>
      <c r="U4692" s="22">
        <f>IF(OR($D4692="",$T4692="Có"),"",IF($C4692="","Thiếu họ tên; ","")&amp;IF($S4692&lt;&gt;"Có","SĐT sai định dạng; ","")&amp;IF($R4692="Trùng","Trùng SĐT; ","")&amp;IF($Q4692&lt;&gt;"Có","Thiếu đồng ý bắt buộc; ","")&amp;IF($L4692="","Thiếu/sai Mã REF; ",IF(AND($L4692="Chưa xác định",DANH_MUC!$L$9&lt;&gt;"Có"),"Nguồn chưa xác định; ","")))</f>
        <v/>
      </c>
      <c r="V4692" s="22">
        <f>IF(OR($D4692="",$R4692="Trùng"),"",IF(COUNTIF(ORDERS!$C$2:$C$4995,$D4692)&gt;0,"Có","Không"))</f>
        <v/>
      </c>
      <c r="W4692" s="22">
        <f>IF(OR($D4692="",$R4692="Trùng"),"",COUNTIFS(ORDERS!$C$2:$C$4995,$D4692,ORDERS!$L$2:$L$4995,"Đã chuyển khoản"))</f>
        <v/>
      </c>
      <c r="X4692" s="23">
        <f>IF(OR($D4692="",$R4692="Trùng"),"",SUMIFS(ORDERS!$J$2:$J$4995,ORDERS!$C$2:$C$4995,$D4692,ORDERS!$L$2:$L$4995,"Đã chuyển khoản"))</f>
        <v/>
      </c>
      <c r="Y4692" s="24" t="n"/>
    </row>
    <row r="4693" ht="14.25" customHeight="1" s="40">
      <c r="A4693" s="24" t="n"/>
      <c r="B4693" s="27" t="n"/>
      <c r="C4693" s="24" t="n"/>
      <c r="D4693" s="28" t="n"/>
      <c r="E4693" s="29" t="n"/>
      <c r="F4693" s="24" t="n"/>
      <c r="G4693" s="24" t="n"/>
      <c r="H4693" s="21">
        <f>IF(ISNUMBER($B4693),INT($B4693)-WEEKDAY($B4693,2)+1,"")</f>
        <v/>
      </c>
      <c r="I4693" s="24" t="n"/>
      <c r="J4693" s="22">
        <f t="array" ref="J4693">IF($D4693="","",IF($I4693="","(trống REF)",IFERROR(INDEX(MASTER_SOURCE!$B$2:$B$495,MATCH($I4693,MASTER_SOURCE!$A$2:$A$495,0)),"(REF không có trong MASTER_SOURCE)")))</f>
        <v/>
      </c>
      <c r="K4693" s="22">
        <f t="array" ref="K4693">IF($D4693="","",IFERROR(INDEX(MASTER_SOURCE!$C$2:$C$495,MATCH($I4693,MASTER_SOURCE!$A$2:$A$495,0)),""))</f>
        <v/>
      </c>
      <c r="L4693" s="22">
        <f t="array" ref="L4693">IF($D4693="","",IFERROR(INDEX(MASTER_SOURCE!$D$2:$D$495,MATCH($I4693,MASTER_SOURCE!$A$2:$A$495,0)),""))</f>
        <v/>
      </c>
      <c r="M4693" s="24" t="n"/>
      <c r="N4693" s="24" t="n"/>
      <c r="O4693" s="24" t="n"/>
      <c r="P4693" s="24" t="n"/>
      <c r="Q4693" s="22">
        <f>IF($D4693="","",IF(AND(OR(DANH_MUC!$L$5&lt;&gt;"Có",M4693="Có"),OR(DANH_MUC!$L$6&lt;&gt;"Có",N4693="Có"),OR(DANH_MUC!$L$7&lt;&gt;"Có",O4693="Có"),OR(DANH_MUC!$L$8&lt;&gt;"Có",P4693="Có")),"Có","Không"))</f>
        <v/>
      </c>
      <c r="R4693" s="22">
        <f>IF($D4693="","",IF(COUNTIF($D$2:$D4693,$D4693)&gt;1,"Trùng",""))</f>
        <v/>
      </c>
      <c r="S4693" s="22">
        <f>IF($D4693="","",IF(AND(LEN($D4693)=10,LEFT($D4693,1)="0",ISNUMBER(--$D4693)),"Có","Không"))</f>
        <v/>
      </c>
      <c r="T4693" s="22">
        <f>IF($D4693="","",IF(AND($C4693&lt;&gt;"",$Q4693="Có",$R4693="",$S4693="Có",AND($L4693&lt;&gt;"",OR($L4693&lt;&gt;"Chưa xác định",DANH_MUC!$L$9="Có"))),"Có","Không"))</f>
        <v/>
      </c>
      <c r="U4693" s="22">
        <f>IF(OR($D4693="",$T4693="Có"),"",IF($C4693="","Thiếu họ tên; ","")&amp;IF($S4693&lt;&gt;"Có","SĐT sai định dạng; ","")&amp;IF($R4693="Trùng","Trùng SĐT; ","")&amp;IF($Q4693&lt;&gt;"Có","Thiếu đồng ý bắt buộc; ","")&amp;IF($L4693="","Thiếu/sai Mã REF; ",IF(AND($L4693="Chưa xác định",DANH_MUC!$L$9&lt;&gt;"Có"),"Nguồn chưa xác định; ","")))</f>
        <v/>
      </c>
      <c r="V4693" s="22">
        <f>IF(OR($D4693="",$R4693="Trùng"),"",IF(COUNTIF(ORDERS!$C$2:$C$4995,$D4693)&gt;0,"Có","Không"))</f>
        <v/>
      </c>
      <c r="W4693" s="22">
        <f>IF(OR($D4693="",$R4693="Trùng"),"",COUNTIFS(ORDERS!$C$2:$C$4995,$D4693,ORDERS!$L$2:$L$4995,"Đã chuyển khoản"))</f>
        <v/>
      </c>
      <c r="X4693" s="23">
        <f>IF(OR($D4693="",$R4693="Trùng"),"",SUMIFS(ORDERS!$J$2:$J$4995,ORDERS!$C$2:$C$4995,$D4693,ORDERS!$L$2:$L$4995,"Đã chuyển khoản"))</f>
        <v/>
      </c>
      <c r="Y4693" s="24" t="n"/>
    </row>
    <row r="4694" ht="14.25" customHeight="1" s="40">
      <c r="A4694" s="24" t="n"/>
      <c r="B4694" s="27" t="n"/>
      <c r="C4694" s="24" t="n"/>
      <c r="D4694" s="28" t="n"/>
      <c r="E4694" s="29" t="n"/>
      <c r="F4694" s="24" t="n"/>
      <c r="G4694" s="24" t="n"/>
      <c r="H4694" s="21">
        <f>IF(ISNUMBER($B4694),INT($B4694)-WEEKDAY($B4694,2)+1,"")</f>
        <v/>
      </c>
      <c r="I4694" s="24" t="n"/>
      <c r="J4694" s="22">
        <f t="array" ref="J4694">IF($D4694="","",IF($I4694="","(trống REF)",IFERROR(INDEX(MASTER_SOURCE!$B$2:$B$495,MATCH($I4694,MASTER_SOURCE!$A$2:$A$495,0)),"(REF không có trong MASTER_SOURCE)")))</f>
        <v/>
      </c>
      <c r="K4694" s="22">
        <f t="array" ref="K4694">IF($D4694="","",IFERROR(INDEX(MASTER_SOURCE!$C$2:$C$495,MATCH($I4694,MASTER_SOURCE!$A$2:$A$495,0)),""))</f>
        <v/>
      </c>
      <c r="L4694" s="22">
        <f t="array" ref="L4694">IF($D4694="","",IFERROR(INDEX(MASTER_SOURCE!$D$2:$D$495,MATCH($I4694,MASTER_SOURCE!$A$2:$A$495,0)),""))</f>
        <v/>
      </c>
      <c r="M4694" s="24" t="n"/>
      <c r="N4694" s="24" t="n"/>
      <c r="O4694" s="24" t="n"/>
      <c r="P4694" s="24" t="n"/>
      <c r="Q4694" s="22">
        <f>IF($D4694="","",IF(AND(OR(DANH_MUC!$L$5&lt;&gt;"Có",M4694="Có"),OR(DANH_MUC!$L$6&lt;&gt;"Có",N4694="Có"),OR(DANH_MUC!$L$7&lt;&gt;"Có",O4694="Có"),OR(DANH_MUC!$L$8&lt;&gt;"Có",P4694="Có")),"Có","Không"))</f>
        <v/>
      </c>
      <c r="R4694" s="22">
        <f>IF($D4694="","",IF(COUNTIF($D$2:$D4694,$D4694)&gt;1,"Trùng",""))</f>
        <v/>
      </c>
      <c r="S4694" s="22">
        <f>IF($D4694="","",IF(AND(LEN($D4694)=10,LEFT($D4694,1)="0",ISNUMBER(--$D4694)),"Có","Không"))</f>
        <v/>
      </c>
      <c r="T4694" s="22">
        <f>IF($D4694="","",IF(AND($C4694&lt;&gt;"",$Q4694="Có",$R4694="",$S4694="Có",AND($L4694&lt;&gt;"",OR($L4694&lt;&gt;"Chưa xác định",DANH_MUC!$L$9="Có"))),"Có","Không"))</f>
        <v/>
      </c>
      <c r="U4694" s="22">
        <f>IF(OR($D4694="",$T4694="Có"),"",IF($C4694="","Thiếu họ tên; ","")&amp;IF($S4694&lt;&gt;"Có","SĐT sai định dạng; ","")&amp;IF($R4694="Trùng","Trùng SĐT; ","")&amp;IF($Q4694&lt;&gt;"Có","Thiếu đồng ý bắt buộc; ","")&amp;IF($L4694="","Thiếu/sai Mã REF; ",IF(AND($L4694="Chưa xác định",DANH_MUC!$L$9&lt;&gt;"Có"),"Nguồn chưa xác định; ","")))</f>
        <v/>
      </c>
      <c r="V4694" s="22">
        <f>IF(OR($D4694="",$R4694="Trùng"),"",IF(COUNTIF(ORDERS!$C$2:$C$4995,$D4694)&gt;0,"Có","Không"))</f>
        <v/>
      </c>
      <c r="W4694" s="22">
        <f>IF(OR($D4694="",$R4694="Trùng"),"",COUNTIFS(ORDERS!$C$2:$C$4995,$D4694,ORDERS!$L$2:$L$4995,"Đã chuyển khoản"))</f>
        <v/>
      </c>
      <c r="X4694" s="23">
        <f>IF(OR($D4694="",$R4694="Trùng"),"",SUMIFS(ORDERS!$J$2:$J$4995,ORDERS!$C$2:$C$4995,$D4694,ORDERS!$L$2:$L$4995,"Đã chuyển khoản"))</f>
        <v/>
      </c>
      <c r="Y4694" s="24" t="n"/>
    </row>
    <row r="4695" ht="14.25" customHeight="1" s="40">
      <c r="A4695" s="24" t="n"/>
      <c r="B4695" s="27" t="n"/>
      <c r="C4695" s="24" t="n"/>
      <c r="D4695" s="28" t="n"/>
      <c r="E4695" s="29" t="n"/>
      <c r="F4695" s="24" t="n"/>
      <c r="G4695" s="24" t="n"/>
      <c r="H4695" s="21">
        <f>IF(ISNUMBER($B4695),INT($B4695)-WEEKDAY($B4695,2)+1,"")</f>
        <v/>
      </c>
      <c r="I4695" s="24" t="n"/>
      <c r="J4695" s="22">
        <f t="array" ref="J4695">IF($D4695="","",IF($I4695="","(trống REF)",IFERROR(INDEX(MASTER_SOURCE!$B$2:$B$495,MATCH($I4695,MASTER_SOURCE!$A$2:$A$495,0)),"(REF không có trong MASTER_SOURCE)")))</f>
        <v/>
      </c>
      <c r="K4695" s="22">
        <f t="array" ref="K4695">IF($D4695="","",IFERROR(INDEX(MASTER_SOURCE!$C$2:$C$495,MATCH($I4695,MASTER_SOURCE!$A$2:$A$495,0)),""))</f>
        <v/>
      </c>
      <c r="L4695" s="22">
        <f t="array" ref="L4695">IF($D4695="","",IFERROR(INDEX(MASTER_SOURCE!$D$2:$D$495,MATCH($I4695,MASTER_SOURCE!$A$2:$A$495,0)),""))</f>
        <v/>
      </c>
      <c r="M4695" s="24" t="n"/>
      <c r="N4695" s="24" t="n"/>
      <c r="O4695" s="24" t="n"/>
      <c r="P4695" s="24" t="n"/>
      <c r="Q4695" s="22">
        <f>IF($D4695="","",IF(AND(OR(DANH_MUC!$L$5&lt;&gt;"Có",M4695="Có"),OR(DANH_MUC!$L$6&lt;&gt;"Có",N4695="Có"),OR(DANH_MUC!$L$7&lt;&gt;"Có",O4695="Có"),OR(DANH_MUC!$L$8&lt;&gt;"Có",P4695="Có")),"Có","Không"))</f>
        <v/>
      </c>
      <c r="R4695" s="22">
        <f>IF($D4695="","",IF(COUNTIF($D$2:$D4695,$D4695)&gt;1,"Trùng",""))</f>
        <v/>
      </c>
      <c r="S4695" s="22">
        <f>IF($D4695="","",IF(AND(LEN($D4695)=10,LEFT($D4695,1)="0",ISNUMBER(--$D4695)),"Có","Không"))</f>
        <v/>
      </c>
      <c r="T4695" s="22">
        <f>IF($D4695="","",IF(AND($C4695&lt;&gt;"",$Q4695="Có",$R4695="",$S4695="Có",AND($L4695&lt;&gt;"",OR($L4695&lt;&gt;"Chưa xác định",DANH_MUC!$L$9="Có"))),"Có","Không"))</f>
        <v/>
      </c>
      <c r="U4695" s="22">
        <f>IF(OR($D4695="",$T4695="Có"),"",IF($C4695="","Thiếu họ tên; ","")&amp;IF($S4695&lt;&gt;"Có","SĐT sai định dạng; ","")&amp;IF($R4695="Trùng","Trùng SĐT; ","")&amp;IF($Q4695&lt;&gt;"Có","Thiếu đồng ý bắt buộc; ","")&amp;IF($L4695="","Thiếu/sai Mã REF; ",IF(AND($L4695="Chưa xác định",DANH_MUC!$L$9&lt;&gt;"Có"),"Nguồn chưa xác định; ","")))</f>
        <v/>
      </c>
      <c r="V4695" s="22">
        <f>IF(OR($D4695="",$R4695="Trùng"),"",IF(COUNTIF(ORDERS!$C$2:$C$4995,$D4695)&gt;0,"Có","Không"))</f>
        <v/>
      </c>
      <c r="W4695" s="22">
        <f>IF(OR($D4695="",$R4695="Trùng"),"",COUNTIFS(ORDERS!$C$2:$C$4995,$D4695,ORDERS!$L$2:$L$4995,"Đã chuyển khoản"))</f>
        <v/>
      </c>
      <c r="X4695" s="23">
        <f>IF(OR($D4695="",$R4695="Trùng"),"",SUMIFS(ORDERS!$J$2:$J$4995,ORDERS!$C$2:$C$4995,$D4695,ORDERS!$L$2:$L$4995,"Đã chuyển khoản"))</f>
        <v/>
      </c>
      <c r="Y4695" s="24" t="n"/>
    </row>
    <row r="4696" ht="14.25" customHeight="1" s="40">
      <c r="A4696" s="24" t="n"/>
      <c r="B4696" s="27" t="n"/>
      <c r="C4696" s="24" t="n"/>
      <c r="D4696" s="28" t="n"/>
      <c r="E4696" s="29" t="n"/>
      <c r="F4696" s="24" t="n"/>
      <c r="G4696" s="24" t="n"/>
      <c r="H4696" s="21">
        <f>IF(ISNUMBER($B4696),INT($B4696)-WEEKDAY($B4696,2)+1,"")</f>
        <v/>
      </c>
      <c r="I4696" s="24" t="n"/>
      <c r="J4696" s="22">
        <f t="array" ref="J4696">IF($D4696="","",IF($I4696="","(trống REF)",IFERROR(INDEX(MASTER_SOURCE!$B$2:$B$495,MATCH($I4696,MASTER_SOURCE!$A$2:$A$495,0)),"(REF không có trong MASTER_SOURCE)")))</f>
        <v/>
      </c>
      <c r="K4696" s="22">
        <f t="array" ref="K4696">IF($D4696="","",IFERROR(INDEX(MASTER_SOURCE!$C$2:$C$495,MATCH($I4696,MASTER_SOURCE!$A$2:$A$495,0)),""))</f>
        <v/>
      </c>
      <c r="L4696" s="22">
        <f t="array" ref="L4696">IF($D4696="","",IFERROR(INDEX(MASTER_SOURCE!$D$2:$D$495,MATCH($I4696,MASTER_SOURCE!$A$2:$A$495,0)),""))</f>
        <v/>
      </c>
      <c r="M4696" s="24" t="n"/>
      <c r="N4696" s="24" t="n"/>
      <c r="O4696" s="24" t="n"/>
      <c r="P4696" s="24" t="n"/>
      <c r="Q4696" s="22">
        <f>IF($D4696="","",IF(AND(OR(DANH_MUC!$L$5&lt;&gt;"Có",M4696="Có"),OR(DANH_MUC!$L$6&lt;&gt;"Có",N4696="Có"),OR(DANH_MUC!$L$7&lt;&gt;"Có",O4696="Có"),OR(DANH_MUC!$L$8&lt;&gt;"Có",P4696="Có")),"Có","Không"))</f>
        <v/>
      </c>
      <c r="R4696" s="22">
        <f>IF($D4696="","",IF(COUNTIF($D$2:$D4696,$D4696)&gt;1,"Trùng",""))</f>
        <v/>
      </c>
      <c r="S4696" s="22">
        <f>IF($D4696="","",IF(AND(LEN($D4696)=10,LEFT($D4696,1)="0",ISNUMBER(--$D4696)),"Có","Không"))</f>
        <v/>
      </c>
      <c r="T4696" s="22">
        <f>IF($D4696="","",IF(AND($C4696&lt;&gt;"",$Q4696="Có",$R4696="",$S4696="Có",AND($L4696&lt;&gt;"",OR($L4696&lt;&gt;"Chưa xác định",DANH_MUC!$L$9="Có"))),"Có","Không"))</f>
        <v/>
      </c>
      <c r="U4696" s="22">
        <f>IF(OR($D4696="",$T4696="Có"),"",IF($C4696="","Thiếu họ tên; ","")&amp;IF($S4696&lt;&gt;"Có","SĐT sai định dạng; ","")&amp;IF($R4696="Trùng","Trùng SĐT; ","")&amp;IF($Q4696&lt;&gt;"Có","Thiếu đồng ý bắt buộc; ","")&amp;IF($L4696="","Thiếu/sai Mã REF; ",IF(AND($L4696="Chưa xác định",DANH_MUC!$L$9&lt;&gt;"Có"),"Nguồn chưa xác định; ","")))</f>
        <v/>
      </c>
      <c r="V4696" s="22">
        <f>IF(OR($D4696="",$R4696="Trùng"),"",IF(COUNTIF(ORDERS!$C$2:$C$4995,$D4696)&gt;0,"Có","Không"))</f>
        <v/>
      </c>
      <c r="W4696" s="22">
        <f>IF(OR($D4696="",$R4696="Trùng"),"",COUNTIFS(ORDERS!$C$2:$C$4995,$D4696,ORDERS!$L$2:$L$4995,"Đã chuyển khoản"))</f>
        <v/>
      </c>
      <c r="X4696" s="23">
        <f>IF(OR($D4696="",$R4696="Trùng"),"",SUMIFS(ORDERS!$J$2:$J$4995,ORDERS!$C$2:$C$4995,$D4696,ORDERS!$L$2:$L$4995,"Đã chuyển khoản"))</f>
        <v/>
      </c>
      <c r="Y4696" s="24" t="n"/>
    </row>
    <row r="4697" ht="14.25" customHeight="1" s="40">
      <c r="A4697" s="24" t="n"/>
      <c r="B4697" s="27" t="n"/>
      <c r="C4697" s="24" t="n"/>
      <c r="D4697" s="28" t="n"/>
      <c r="E4697" s="29" t="n"/>
      <c r="F4697" s="24" t="n"/>
      <c r="G4697" s="24" t="n"/>
      <c r="H4697" s="21">
        <f>IF(ISNUMBER($B4697),INT($B4697)-WEEKDAY($B4697,2)+1,"")</f>
        <v/>
      </c>
      <c r="I4697" s="24" t="n"/>
      <c r="J4697" s="22">
        <f t="array" ref="J4697">IF($D4697="","",IF($I4697="","(trống REF)",IFERROR(INDEX(MASTER_SOURCE!$B$2:$B$495,MATCH($I4697,MASTER_SOURCE!$A$2:$A$495,0)),"(REF không có trong MASTER_SOURCE)")))</f>
        <v/>
      </c>
      <c r="K4697" s="22">
        <f t="array" ref="K4697">IF($D4697="","",IFERROR(INDEX(MASTER_SOURCE!$C$2:$C$495,MATCH($I4697,MASTER_SOURCE!$A$2:$A$495,0)),""))</f>
        <v/>
      </c>
      <c r="L4697" s="22">
        <f t="array" ref="L4697">IF($D4697="","",IFERROR(INDEX(MASTER_SOURCE!$D$2:$D$495,MATCH($I4697,MASTER_SOURCE!$A$2:$A$495,0)),""))</f>
        <v/>
      </c>
      <c r="M4697" s="24" t="n"/>
      <c r="N4697" s="24" t="n"/>
      <c r="O4697" s="24" t="n"/>
      <c r="P4697" s="24" t="n"/>
      <c r="Q4697" s="22">
        <f>IF($D4697="","",IF(AND(OR(DANH_MUC!$L$5&lt;&gt;"Có",M4697="Có"),OR(DANH_MUC!$L$6&lt;&gt;"Có",N4697="Có"),OR(DANH_MUC!$L$7&lt;&gt;"Có",O4697="Có"),OR(DANH_MUC!$L$8&lt;&gt;"Có",P4697="Có")),"Có","Không"))</f>
        <v/>
      </c>
      <c r="R4697" s="22">
        <f>IF($D4697="","",IF(COUNTIF($D$2:$D4697,$D4697)&gt;1,"Trùng",""))</f>
        <v/>
      </c>
      <c r="S4697" s="22">
        <f>IF($D4697="","",IF(AND(LEN($D4697)=10,LEFT($D4697,1)="0",ISNUMBER(--$D4697)),"Có","Không"))</f>
        <v/>
      </c>
      <c r="T4697" s="22">
        <f>IF($D4697="","",IF(AND($C4697&lt;&gt;"",$Q4697="Có",$R4697="",$S4697="Có",AND($L4697&lt;&gt;"",OR($L4697&lt;&gt;"Chưa xác định",DANH_MUC!$L$9="Có"))),"Có","Không"))</f>
        <v/>
      </c>
      <c r="U4697" s="22">
        <f>IF(OR($D4697="",$T4697="Có"),"",IF($C4697="","Thiếu họ tên; ","")&amp;IF($S4697&lt;&gt;"Có","SĐT sai định dạng; ","")&amp;IF($R4697="Trùng","Trùng SĐT; ","")&amp;IF($Q4697&lt;&gt;"Có","Thiếu đồng ý bắt buộc; ","")&amp;IF($L4697="","Thiếu/sai Mã REF; ",IF(AND($L4697="Chưa xác định",DANH_MUC!$L$9&lt;&gt;"Có"),"Nguồn chưa xác định; ","")))</f>
        <v/>
      </c>
      <c r="V4697" s="22">
        <f>IF(OR($D4697="",$R4697="Trùng"),"",IF(COUNTIF(ORDERS!$C$2:$C$4995,$D4697)&gt;0,"Có","Không"))</f>
        <v/>
      </c>
      <c r="W4697" s="22">
        <f>IF(OR($D4697="",$R4697="Trùng"),"",COUNTIFS(ORDERS!$C$2:$C$4995,$D4697,ORDERS!$L$2:$L$4995,"Đã chuyển khoản"))</f>
        <v/>
      </c>
      <c r="X4697" s="23">
        <f>IF(OR($D4697="",$R4697="Trùng"),"",SUMIFS(ORDERS!$J$2:$J$4995,ORDERS!$C$2:$C$4995,$D4697,ORDERS!$L$2:$L$4995,"Đã chuyển khoản"))</f>
        <v/>
      </c>
      <c r="Y4697" s="24" t="n"/>
    </row>
    <row r="4698" ht="14.25" customHeight="1" s="40">
      <c r="A4698" s="24" t="n"/>
      <c r="B4698" s="27" t="n"/>
      <c r="C4698" s="24" t="n"/>
      <c r="D4698" s="28" t="n"/>
      <c r="E4698" s="29" t="n"/>
      <c r="F4698" s="24" t="n"/>
      <c r="G4698" s="24" t="n"/>
      <c r="H4698" s="21">
        <f>IF(ISNUMBER($B4698),INT($B4698)-WEEKDAY($B4698,2)+1,"")</f>
        <v/>
      </c>
      <c r="I4698" s="24" t="n"/>
      <c r="J4698" s="22">
        <f t="array" ref="J4698">IF($D4698="","",IF($I4698="","(trống REF)",IFERROR(INDEX(MASTER_SOURCE!$B$2:$B$495,MATCH($I4698,MASTER_SOURCE!$A$2:$A$495,0)),"(REF không có trong MASTER_SOURCE)")))</f>
        <v/>
      </c>
      <c r="K4698" s="22">
        <f t="array" ref="K4698">IF($D4698="","",IFERROR(INDEX(MASTER_SOURCE!$C$2:$C$495,MATCH($I4698,MASTER_SOURCE!$A$2:$A$495,0)),""))</f>
        <v/>
      </c>
      <c r="L4698" s="22">
        <f t="array" ref="L4698">IF($D4698="","",IFERROR(INDEX(MASTER_SOURCE!$D$2:$D$495,MATCH($I4698,MASTER_SOURCE!$A$2:$A$495,0)),""))</f>
        <v/>
      </c>
      <c r="M4698" s="24" t="n"/>
      <c r="N4698" s="24" t="n"/>
      <c r="O4698" s="24" t="n"/>
      <c r="P4698" s="24" t="n"/>
      <c r="Q4698" s="22">
        <f>IF($D4698="","",IF(AND(OR(DANH_MUC!$L$5&lt;&gt;"Có",M4698="Có"),OR(DANH_MUC!$L$6&lt;&gt;"Có",N4698="Có"),OR(DANH_MUC!$L$7&lt;&gt;"Có",O4698="Có"),OR(DANH_MUC!$L$8&lt;&gt;"Có",P4698="Có")),"Có","Không"))</f>
        <v/>
      </c>
      <c r="R4698" s="22">
        <f>IF($D4698="","",IF(COUNTIF($D$2:$D4698,$D4698)&gt;1,"Trùng",""))</f>
        <v/>
      </c>
      <c r="S4698" s="22">
        <f>IF($D4698="","",IF(AND(LEN($D4698)=10,LEFT($D4698,1)="0",ISNUMBER(--$D4698)),"Có","Không"))</f>
        <v/>
      </c>
      <c r="T4698" s="22">
        <f>IF($D4698="","",IF(AND($C4698&lt;&gt;"",$Q4698="Có",$R4698="",$S4698="Có",AND($L4698&lt;&gt;"",OR($L4698&lt;&gt;"Chưa xác định",DANH_MUC!$L$9="Có"))),"Có","Không"))</f>
        <v/>
      </c>
      <c r="U4698" s="22">
        <f>IF(OR($D4698="",$T4698="Có"),"",IF($C4698="","Thiếu họ tên; ","")&amp;IF($S4698&lt;&gt;"Có","SĐT sai định dạng; ","")&amp;IF($R4698="Trùng","Trùng SĐT; ","")&amp;IF($Q4698&lt;&gt;"Có","Thiếu đồng ý bắt buộc; ","")&amp;IF($L4698="","Thiếu/sai Mã REF; ",IF(AND($L4698="Chưa xác định",DANH_MUC!$L$9&lt;&gt;"Có"),"Nguồn chưa xác định; ","")))</f>
        <v/>
      </c>
      <c r="V4698" s="22">
        <f>IF(OR($D4698="",$R4698="Trùng"),"",IF(COUNTIF(ORDERS!$C$2:$C$4995,$D4698)&gt;0,"Có","Không"))</f>
        <v/>
      </c>
      <c r="W4698" s="22">
        <f>IF(OR($D4698="",$R4698="Trùng"),"",COUNTIFS(ORDERS!$C$2:$C$4995,$D4698,ORDERS!$L$2:$L$4995,"Đã chuyển khoản"))</f>
        <v/>
      </c>
      <c r="X4698" s="23">
        <f>IF(OR($D4698="",$R4698="Trùng"),"",SUMIFS(ORDERS!$J$2:$J$4995,ORDERS!$C$2:$C$4995,$D4698,ORDERS!$L$2:$L$4995,"Đã chuyển khoản"))</f>
        <v/>
      </c>
      <c r="Y4698" s="24" t="n"/>
    </row>
    <row r="4699" ht="14.25" customHeight="1" s="40">
      <c r="A4699" s="24" t="n"/>
      <c r="B4699" s="27" t="n"/>
      <c r="C4699" s="24" t="n"/>
      <c r="D4699" s="28" t="n"/>
      <c r="E4699" s="29" t="n"/>
      <c r="F4699" s="24" t="n"/>
      <c r="G4699" s="24" t="n"/>
      <c r="H4699" s="21">
        <f>IF(ISNUMBER($B4699),INT($B4699)-WEEKDAY($B4699,2)+1,"")</f>
        <v/>
      </c>
      <c r="I4699" s="24" t="n"/>
      <c r="J4699" s="22">
        <f t="array" ref="J4699">IF($D4699="","",IF($I4699="","(trống REF)",IFERROR(INDEX(MASTER_SOURCE!$B$2:$B$495,MATCH($I4699,MASTER_SOURCE!$A$2:$A$495,0)),"(REF không có trong MASTER_SOURCE)")))</f>
        <v/>
      </c>
      <c r="K4699" s="22">
        <f t="array" ref="K4699">IF($D4699="","",IFERROR(INDEX(MASTER_SOURCE!$C$2:$C$495,MATCH($I4699,MASTER_SOURCE!$A$2:$A$495,0)),""))</f>
        <v/>
      </c>
      <c r="L4699" s="22">
        <f t="array" ref="L4699">IF($D4699="","",IFERROR(INDEX(MASTER_SOURCE!$D$2:$D$495,MATCH($I4699,MASTER_SOURCE!$A$2:$A$495,0)),""))</f>
        <v/>
      </c>
      <c r="M4699" s="24" t="n"/>
      <c r="N4699" s="24" t="n"/>
      <c r="O4699" s="24" t="n"/>
      <c r="P4699" s="24" t="n"/>
      <c r="Q4699" s="22">
        <f>IF($D4699="","",IF(AND(OR(DANH_MUC!$L$5&lt;&gt;"Có",M4699="Có"),OR(DANH_MUC!$L$6&lt;&gt;"Có",N4699="Có"),OR(DANH_MUC!$L$7&lt;&gt;"Có",O4699="Có"),OR(DANH_MUC!$L$8&lt;&gt;"Có",P4699="Có")),"Có","Không"))</f>
        <v/>
      </c>
      <c r="R4699" s="22">
        <f>IF($D4699="","",IF(COUNTIF($D$2:$D4699,$D4699)&gt;1,"Trùng",""))</f>
        <v/>
      </c>
      <c r="S4699" s="22">
        <f>IF($D4699="","",IF(AND(LEN($D4699)=10,LEFT($D4699,1)="0",ISNUMBER(--$D4699)),"Có","Không"))</f>
        <v/>
      </c>
      <c r="T4699" s="22">
        <f>IF($D4699="","",IF(AND($C4699&lt;&gt;"",$Q4699="Có",$R4699="",$S4699="Có",AND($L4699&lt;&gt;"",OR($L4699&lt;&gt;"Chưa xác định",DANH_MUC!$L$9="Có"))),"Có","Không"))</f>
        <v/>
      </c>
      <c r="U4699" s="22">
        <f>IF(OR($D4699="",$T4699="Có"),"",IF($C4699="","Thiếu họ tên; ","")&amp;IF($S4699&lt;&gt;"Có","SĐT sai định dạng; ","")&amp;IF($R4699="Trùng","Trùng SĐT; ","")&amp;IF($Q4699&lt;&gt;"Có","Thiếu đồng ý bắt buộc; ","")&amp;IF($L4699="","Thiếu/sai Mã REF; ",IF(AND($L4699="Chưa xác định",DANH_MUC!$L$9&lt;&gt;"Có"),"Nguồn chưa xác định; ","")))</f>
        <v/>
      </c>
      <c r="V4699" s="22">
        <f>IF(OR($D4699="",$R4699="Trùng"),"",IF(COUNTIF(ORDERS!$C$2:$C$4995,$D4699)&gt;0,"Có","Không"))</f>
        <v/>
      </c>
      <c r="W4699" s="22">
        <f>IF(OR($D4699="",$R4699="Trùng"),"",COUNTIFS(ORDERS!$C$2:$C$4995,$D4699,ORDERS!$L$2:$L$4995,"Đã chuyển khoản"))</f>
        <v/>
      </c>
      <c r="X4699" s="23">
        <f>IF(OR($D4699="",$R4699="Trùng"),"",SUMIFS(ORDERS!$J$2:$J$4995,ORDERS!$C$2:$C$4995,$D4699,ORDERS!$L$2:$L$4995,"Đã chuyển khoản"))</f>
        <v/>
      </c>
      <c r="Y4699" s="24" t="n"/>
    </row>
    <row r="4700" ht="14.25" customHeight="1" s="40">
      <c r="A4700" s="24" t="n"/>
      <c r="B4700" s="27" t="n"/>
      <c r="C4700" s="24" t="n"/>
      <c r="D4700" s="28" t="n"/>
      <c r="E4700" s="29" t="n"/>
      <c r="F4700" s="24" t="n"/>
      <c r="G4700" s="24" t="n"/>
      <c r="H4700" s="21">
        <f>IF(ISNUMBER($B4700),INT($B4700)-WEEKDAY($B4700,2)+1,"")</f>
        <v/>
      </c>
      <c r="I4700" s="24" t="n"/>
      <c r="J4700" s="22">
        <f t="array" ref="J4700">IF($D4700="","",IF($I4700="","(trống REF)",IFERROR(INDEX(MASTER_SOURCE!$B$2:$B$495,MATCH($I4700,MASTER_SOURCE!$A$2:$A$495,0)),"(REF không có trong MASTER_SOURCE)")))</f>
        <v/>
      </c>
      <c r="K4700" s="22">
        <f t="array" ref="K4700">IF($D4700="","",IFERROR(INDEX(MASTER_SOURCE!$C$2:$C$495,MATCH($I4700,MASTER_SOURCE!$A$2:$A$495,0)),""))</f>
        <v/>
      </c>
      <c r="L4700" s="22">
        <f t="array" ref="L4700">IF($D4700="","",IFERROR(INDEX(MASTER_SOURCE!$D$2:$D$495,MATCH($I4700,MASTER_SOURCE!$A$2:$A$495,0)),""))</f>
        <v/>
      </c>
      <c r="M4700" s="24" t="n"/>
      <c r="N4700" s="24" t="n"/>
      <c r="O4700" s="24" t="n"/>
      <c r="P4700" s="24" t="n"/>
      <c r="Q4700" s="22">
        <f>IF($D4700="","",IF(AND(OR(DANH_MUC!$L$5&lt;&gt;"Có",M4700="Có"),OR(DANH_MUC!$L$6&lt;&gt;"Có",N4700="Có"),OR(DANH_MUC!$L$7&lt;&gt;"Có",O4700="Có"),OR(DANH_MUC!$L$8&lt;&gt;"Có",P4700="Có")),"Có","Không"))</f>
        <v/>
      </c>
      <c r="R4700" s="22">
        <f>IF($D4700="","",IF(COUNTIF($D$2:$D4700,$D4700)&gt;1,"Trùng",""))</f>
        <v/>
      </c>
      <c r="S4700" s="22">
        <f>IF($D4700="","",IF(AND(LEN($D4700)=10,LEFT($D4700,1)="0",ISNUMBER(--$D4700)),"Có","Không"))</f>
        <v/>
      </c>
      <c r="T4700" s="22">
        <f>IF($D4700="","",IF(AND($C4700&lt;&gt;"",$Q4700="Có",$R4700="",$S4700="Có",AND($L4700&lt;&gt;"",OR($L4700&lt;&gt;"Chưa xác định",DANH_MUC!$L$9="Có"))),"Có","Không"))</f>
        <v/>
      </c>
      <c r="U4700" s="22">
        <f>IF(OR($D4700="",$T4700="Có"),"",IF($C4700="","Thiếu họ tên; ","")&amp;IF($S4700&lt;&gt;"Có","SĐT sai định dạng; ","")&amp;IF($R4700="Trùng","Trùng SĐT; ","")&amp;IF($Q4700&lt;&gt;"Có","Thiếu đồng ý bắt buộc; ","")&amp;IF($L4700="","Thiếu/sai Mã REF; ",IF(AND($L4700="Chưa xác định",DANH_MUC!$L$9&lt;&gt;"Có"),"Nguồn chưa xác định; ","")))</f>
        <v/>
      </c>
      <c r="V4700" s="22">
        <f>IF(OR($D4700="",$R4700="Trùng"),"",IF(COUNTIF(ORDERS!$C$2:$C$4995,$D4700)&gt;0,"Có","Không"))</f>
        <v/>
      </c>
      <c r="W4700" s="22">
        <f>IF(OR($D4700="",$R4700="Trùng"),"",COUNTIFS(ORDERS!$C$2:$C$4995,$D4700,ORDERS!$L$2:$L$4995,"Đã chuyển khoản"))</f>
        <v/>
      </c>
      <c r="X4700" s="23">
        <f>IF(OR($D4700="",$R4700="Trùng"),"",SUMIFS(ORDERS!$J$2:$J$4995,ORDERS!$C$2:$C$4995,$D4700,ORDERS!$L$2:$L$4995,"Đã chuyển khoản"))</f>
        <v/>
      </c>
      <c r="Y4700" s="24" t="n"/>
    </row>
    <row r="4701" ht="14.25" customHeight="1" s="40">
      <c r="A4701" s="24" t="n"/>
      <c r="B4701" s="27" t="n"/>
      <c r="C4701" s="24" t="n"/>
      <c r="D4701" s="28" t="n"/>
      <c r="E4701" s="29" t="n"/>
      <c r="F4701" s="24" t="n"/>
      <c r="G4701" s="24" t="n"/>
      <c r="H4701" s="21">
        <f>IF(ISNUMBER($B4701),INT($B4701)-WEEKDAY($B4701,2)+1,"")</f>
        <v/>
      </c>
      <c r="I4701" s="24" t="n"/>
      <c r="J4701" s="22">
        <f t="array" ref="J4701">IF($D4701="","",IF($I4701="","(trống REF)",IFERROR(INDEX(MASTER_SOURCE!$B$2:$B$495,MATCH($I4701,MASTER_SOURCE!$A$2:$A$495,0)),"(REF không có trong MASTER_SOURCE)")))</f>
        <v/>
      </c>
      <c r="K4701" s="22">
        <f t="array" ref="K4701">IF($D4701="","",IFERROR(INDEX(MASTER_SOURCE!$C$2:$C$495,MATCH($I4701,MASTER_SOURCE!$A$2:$A$495,0)),""))</f>
        <v/>
      </c>
      <c r="L4701" s="22">
        <f t="array" ref="L4701">IF($D4701="","",IFERROR(INDEX(MASTER_SOURCE!$D$2:$D$495,MATCH($I4701,MASTER_SOURCE!$A$2:$A$495,0)),""))</f>
        <v/>
      </c>
      <c r="M4701" s="24" t="n"/>
      <c r="N4701" s="24" t="n"/>
      <c r="O4701" s="24" t="n"/>
      <c r="P4701" s="24" t="n"/>
      <c r="Q4701" s="22">
        <f>IF($D4701="","",IF(AND(OR(DANH_MUC!$L$5&lt;&gt;"Có",M4701="Có"),OR(DANH_MUC!$L$6&lt;&gt;"Có",N4701="Có"),OR(DANH_MUC!$L$7&lt;&gt;"Có",O4701="Có"),OR(DANH_MUC!$L$8&lt;&gt;"Có",P4701="Có")),"Có","Không"))</f>
        <v/>
      </c>
      <c r="R4701" s="22">
        <f>IF($D4701="","",IF(COUNTIF($D$2:$D4701,$D4701)&gt;1,"Trùng",""))</f>
        <v/>
      </c>
      <c r="S4701" s="22">
        <f>IF($D4701="","",IF(AND(LEN($D4701)=10,LEFT($D4701,1)="0",ISNUMBER(--$D4701)),"Có","Không"))</f>
        <v/>
      </c>
      <c r="T4701" s="22">
        <f>IF($D4701="","",IF(AND($C4701&lt;&gt;"",$Q4701="Có",$R4701="",$S4701="Có",AND($L4701&lt;&gt;"",OR($L4701&lt;&gt;"Chưa xác định",DANH_MUC!$L$9="Có"))),"Có","Không"))</f>
        <v/>
      </c>
      <c r="U4701" s="22">
        <f>IF(OR($D4701="",$T4701="Có"),"",IF($C4701="","Thiếu họ tên; ","")&amp;IF($S4701&lt;&gt;"Có","SĐT sai định dạng; ","")&amp;IF($R4701="Trùng","Trùng SĐT; ","")&amp;IF($Q4701&lt;&gt;"Có","Thiếu đồng ý bắt buộc; ","")&amp;IF($L4701="","Thiếu/sai Mã REF; ",IF(AND($L4701="Chưa xác định",DANH_MUC!$L$9&lt;&gt;"Có"),"Nguồn chưa xác định; ","")))</f>
        <v/>
      </c>
      <c r="V4701" s="22">
        <f>IF(OR($D4701="",$R4701="Trùng"),"",IF(COUNTIF(ORDERS!$C$2:$C$4995,$D4701)&gt;0,"Có","Không"))</f>
        <v/>
      </c>
      <c r="W4701" s="22">
        <f>IF(OR($D4701="",$R4701="Trùng"),"",COUNTIFS(ORDERS!$C$2:$C$4995,$D4701,ORDERS!$L$2:$L$4995,"Đã chuyển khoản"))</f>
        <v/>
      </c>
      <c r="X4701" s="23">
        <f>IF(OR($D4701="",$R4701="Trùng"),"",SUMIFS(ORDERS!$J$2:$J$4995,ORDERS!$C$2:$C$4995,$D4701,ORDERS!$L$2:$L$4995,"Đã chuyển khoản"))</f>
        <v/>
      </c>
      <c r="Y4701" s="24" t="n"/>
    </row>
    <row r="4702" ht="14.25" customHeight="1" s="40">
      <c r="A4702" s="24" t="n"/>
      <c r="B4702" s="27" t="n"/>
      <c r="C4702" s="24" t="n"/>
      <c r="D4702" s="28" t="n"/>
      <c r="E4702" s="29" t="n"/>
      <c r="F4702" s="24" t="n"/>
      <c r="G4702" s="24" t="n"/>
      <c r="H4702" s="21">
        <f>IF(ISNUMBER($B4702),INT($B4702)-WEEKDAY($B4702,2)+1,"")</f>
        <v/>
      </c>
      <c r="I4702" s="24" t="n"/>
      <c r="J4702" s="22">
        <f t="array" ref="J4702">IF($D4702="","",IF($I4702="","(trống REF)",IFERROR(INDEX(MASTER_SOURCE!$B$2:$B$495,MATCH($I4702,MASTER_SOURCE!$A$2:$A$495,0)),"(REF không có trong MASTER_SOURCE)")))</f>
        <v/>
      </c>
      <c r="K4702" s="22">
        <f t="array" ref="K4702">IF($D4702="","",IFERROR(INDEX(MASTER_SOURCE!$C$2:$C$495,MATCH($I4702,MASTER_SOURCE!$A$2:$A$495,0)),""))</f>
        <v/>
      </c>
      <c r="L4702" s="22">
        <f t="array" ref="L4702">IF($D4702="","",IFERROR(INDEX(MASTER_SOURCE!$D$2:$D$495,MATCH($I4702,MASTER_SOURCE!$A$2:$A$495,0)),""))</f>
        <v/>
      </c>
      <c r="M4702" s="24" t="n"/>
      <c r="N4702" s="24" t="n"/>
      <c r="O4702" s="24" t="n"/>
      <c r="P4702" s="24" t="n"/>
      <c r="Q4702" s="22">
        <f>IF($D4702="","",IF(AND(OR(DANH_MUC!$L$5&lt;&gt;"Có",M4702="Có"),OR(DANH_MUC!$L$6&lt;&gt;"Có",N4702="Có"),OR(DANH_MUC!$L$7&lt;&gt;"Có",O4702="Có"),OR(DANH_MUC!$L$8&lt;&gt;"Có",P4702="Có")),"Có","Không"))</f>
        <v/>
      </c>
      <c r="R4702" s="22">
        <f>IF($D4702="","",IF(COUNTIF($D$2:$D4702,$D4702)&gt;1,"Trùng",""))</f>
        <v/>
      </c>
      <c r="S4702" s="22">
        <f>IF($D4702="","",IF(AND(LEN($D4702)=10,LEFT($D4702,1)="0",ISNUMBER(--$D4702)),"Có","Không"))</f>
        <v/>
      </c>
      <c r="T4702" s="22">
        <f>IF($D4702="","",IF(AND($C4702&lt;&gt;"",$Q4702="Có",$R4702="",$S4702="Có",AND($L4702&lt;&gt;"",OR($L4702&lt;&gt;"Chưa xác định",DANH_MUC!$L$9="Có"))),"Có","Không"))</f>
        <v/>
      </c>
      <c r="U4702" s="22">
        <f>IF(OR($D4702="",$T4702="Có"),"",IF($C4702="","Thiếu họ tên; ","")&amp;IF($S4702&lt;&gt;"Có","SĐT sai định dạng; ","")&amp;IF($R4702="Trùng","Trùng SĐT; ","")&amp;IF($Q4702&lt;&gt;"Có","Thiếu đồng ý bắt buộc; ","")&amp;IF($L4702="","Thiếu/sai Mã REF; ",IF(AND($L4702="Chưa xác định",DANH_MUC!$L$9&lt;&gt;"Có"),"Nguồn chưa xác định; ","")))</f>
        <v/>
      </c>
      <c r="V4702" s="22">
        <f>IF(OR($D4702="",$R4702="Trùng"),"",IF(COUNTIF(ORDERS!$C$2:$C$4995,$D4702)&gt;0,"Có","Không"))</f>
        <v/>
      </c>
      <c r="W4702" s="22">
        <f>IF(OR($D4702="",$R4702="Trùng"),"",COUNTIFS(ORDERS!$C$2:$C$4995,$D4702,ORDERS!$L$2:$L$4995,"Đã chuyển khoản"))</f>
        <v/>
      </c>
      <c r="X4702" s="23">
        <f>IF(OR($D4702="",$R4702="Trùng"),"",SUMIFS(ORDERS!$J$2:$J$4995,ORDERS!$C$2:$C$4995,$D4702,ORDERS!$L$2:$L$4995,"Đã chuyển khoản"))</f>
        <v/>
      </c>
      <c r="Y4702" s="24" t="n"/>
    </row>
    <row r="4703" ht="14.25" customHeight="1" s="40">
      <c r="A4703" s="24" t="n"/>
      <c r="B4703" s="27" t="n"/>
      <c r="C4703" s="24" t="n"/>
      <c r="D4703" s="28" t="n"/>
      <c r="E4703" s="29" t="n"/>
      <c r="F4703" s="24" t="n"/>
      <c r="G4703" s="24" t="n"/>
      <c r="H4703" s="21">
        <f>IF(ISNUMBER($B4703),INT($B4703)-WEEKDAY($B4703,2)+1,"")</f>
        <v/>
      </c>
      <c r="I4703" s="24" t="n"/>
      <c r="J4703" s="22">
        <f t="array" ref="J4703">IF($D4703="","",IF($I4703="","(trống REF)",IFERROR(INDEX(MASTER_SOURCE!$B$2:$B$495,MATCH($I4703,MASTER_SOURCE!$A$2:$A$495,0)),"(REF không có trong MASTER_SOURCE)")))</f>
        <v/>
      </c>
      <c r="K4703" s="22">
        <f t="array" ref="K4703">IF($D4703="","",IFERROR(INDEX(MASTER_SOURCE!$C$2:$C$495,MATCH($I4703,MASTER_SOURCE!$A$2:$A$495,0)),""))</f>
        <v/>
      </c>
      <c r="L4703" s="22">
        <f t="array" ref="L4703">IF($D4703="","",IFERROR(INDEX(MASTER_SOURCE!$D$2:$D$495,MATCH($I4703,MASTER_SOURCE!$A$2:$A$495,0)),""))</f>
        <v/>
      </c>
      <c r="M4703" s="24" t="n"/>
      <c r="N4703" s="24" t="n"/>
      <c r="O4703" s="24" t="n"/>
      <c r="P4703" s="24" t="n"/>
      <c r="Q4703" s="22">
        <f>IF($D4703="","",IF(AND(OR(DANH_MUC!$L$5&lt;&gt;"Có",M4703="Có"),OR(DANH_MUC!$L$6&lt;&gt;"Có",N4703="Có"),OR(DANH_MUC!$L$7&lt;&gt;"Có",O4703="Có"),OR(DANH_MUC!$L$8&lt;&gt;"Có",P4703="Có")),"Có","Không"))</f>
        <v/>
      </c>
      <c r="R4703" s="22">
        <f>IF($D4703="","",IF(COUNTIF($D$2:$D4703,$D4703)&gt;1,"Trùng",""))</f>
        <v/>
      </c>
      <c r="S4703" s="22">
        <f>IF($D4703="","",IF(AND(LEN($D4703)=10,LEFT($D4703,1)="0",ISNUMBER(--$D4703)),"Có","Không"))</f>
        <v/>
      </c>
      <c r="T4703" s="22">
        <f>IF($D4703="","",IF(AND($C4703&lt;&gt;"",$Q4703="Có",$R4703="",$S4703="Có",AND($L4703&lt;&gt;"",OR($L4703&lt;&gt;"Chưa xác định",DANH_MUC!$L$9="Có"))),"Có","Không"))</f>
        <v/>
      </c>
      <c r="U4703" s="22">
        <f>IF(OR($D4703="",$T4703="Có"),"",IF($C4703="","Thiếu họ tên; ","")&amp;IF($S4703&lt;&gt;"Có","SĐT sai định dạng; ","")&amp;IF($R4703="Trùng","Trùng SĐT; ","")&amp;IF($Q4703&lt;&gt;"Có","Thiếu đồng ý bắt buộc; ","")&amp;IF($L4703="","Thiếu/sai Mã REF; ",IF(AND($L4703="Chưa xác định",DANH_MUC!$L$9&lt;&gt;"Có"),"Nguồn chưa xác định; ","")))</f>
        <v/>
      </c>
      <c r="V4703" s="22">
        <f>IF(OR($D4703="",$R4703="Trùng"),"",IF(COUNTIF(ORDERS!$C$2:$C$4995,$D4703)&gt;0,"Có","Không"))</f>
        <v/>
      </c>
      <c r="W4703" s="22">
        <f>IF(OR($D4703="",$R4703="Trùng"),"",COUNTIFS(ORDERS!$C$2:$C$4995,$D4703,ORDERS!$L$2:$L$4995,"Đã chuyển khoản"))</f>
        <v/>
      </c>
      <c r="X4703" s="23">
        <f>IF(OR($D4703="",$R4703="Trùng"),"",SUMIFS(ORDERS!$J$2:$J$4995,ORDERS!$C$2:$C$4995,$D4703,ORDERS!$L$2:$L$4995,"Đã chuyển khoản"))</f>
        <v/>
      </c>
      <c r="Y4703" s="24" t="n"/>
    </row>
    <row r="4704" ht="14.25" customHeight="1" s="40">
      <c r="A4704" s="24" t="n"/>
      <c r="B4704" s="27" t="n"/>
      <c r="C4704" s="24" t="n"/>
      <c r="D4704" s="28" t="n"/>
      <c r="E4704" s="29" t="n"/>
      <c r="F4704" s="24" t="n"/>
      <c r="G4704" s="24" t="n"/>
      <c r="H4704" s="21">
        <f>IF(ISNUMBER($B4704),INT($B4704)-WEEKDAY($B4704,2)+1,"")</f>
        <v/>
      </c>
      <c r="I4704" s="24" t="n"/>
      <c r="J4704" s="22">
        <f t="array" ref="J4704">IF($D4704="","",IF($I4704="","(trống REF)",IFERROR(INDEX(MASTER_SOURCE!$B$2:$B$495,MATCH($I4704,MASTER_SOURCE!$A$2:$A$495,0)),"(REF không có trong MASTER_SOURCE)")))</f>
        <v/>
      </c>
      <c r="K4704" s="22">
        <f t="array" ref="K4704">IF($D4704="","",IFERROR(INDEX(MASTER_SOURCE!$C$2:$C$495,MATCH($I4704,MASTER_SOURCE!$A$2:$A$495,0)),""))</f>
        <v/>
      </c>
      <c r="L4704" s="22">
        <f t="array" ref="L4704">IF($D4704="","",IFERROR(INDEX(MASTER_SOURCE!$D$2:$D$495,MATCH($I4704,MASTER_SOURCE!$A$2:$A$495,0)),""))</f>
        <v/>
      </c>
      <c r="M4704" s="24" t="n"/>
      <c r="N4704" s="24" t="n"/>
      <c r="O4704" s="24" t="n"/>
      <c r="P4704" s="24" t="n"/>
      <c r="Q4704" s="22">
        <f>IF($D4704="","",IF(AND(OR(DANH_MUC!$L$5&lt;&gt;"Có",M4704="Có"),OR(DANH_MUC!$L$6&lt;&gt;"Có",N4704="Có"),OR(DANH_MUC!$L$7&lt;&gt;"Có",O4704="Có"),OR(DANH_MUC!$L$8&lt;&gt;"Có",P4704="Có")),"Có","Không"))</f>
        <v/>
      </c>
      <c r="R4704" s="22">
        <f>IF($D4704="","",IF(COUNTIF($D$2:$D4704,$D4704)&gt;1,"Trùng",""))</f>
        <v/>
      </c>
      <c r="S4704" s="22">
        <f>IF($D4704="","",IF(AND(LEN($D4704)=10,LEFT($D4704,1)="0",ISNUMBER(--$D4704)),"Có","Không"))</f>
        <v/>
      </c>
      <c r="T4704" s="22">
        <f>IF($D4704="","",IF(AND($C4704&lt;&gt;"",$Q4704="Có",$R4704="",$S4704="Có",AND($L4704&lt;&gt;"",OR($L4704&lt;&gt;"Chưa xác định",DANH_MUC!$L$9="Có"))),"Có","Không"))</f>
        <v/>
      </c>
      <c r="U4704" s="22">
        <f>IF(OR($D4704="",$T4704="Có"),"",IF($C4704="","Thiếu họ tên; ","")&amp;IF($S4704&lt;&gt;"Có","SĐT sai định dạng; ","")&amp;IF($R4704="Trùng","Trùng SĐT; ","")&amp;IF($Q4704&lt;&gt;"Có","Thiếu đồng ý bắt buộc; ","")&amp;IF($L4704="","Thiếu/sai Mã REF; ",IF(AND($L4704="Chưa xác định",DANH_MUC!$L$9&lt;&gt;"Có"),"Nguồn chưa xác định; ","")))</f>
        <v/>
      </c>
      <c r="V4704" s="22">
        <f>IF(OR($D4704="",$R4704="Trùng"),"",IF(COUNTIF(ORDERS!$C$2:$C$4995,$D4704)&gt;0,"Có","Không"))</f>
        <v/>
      </c>
      <c r="W4704" s="22">
        <f>IF(OR($D4704="",$R4704="Trùng"),"",COUNTIFS(ORDERS!$C$2:$C$4995,$D4704,ORDERS!$L$2:$L$4995,"Đã chuyển khoản"))</f>
        <v/>
      </c>
      <c r="X4704" s="23">
        <f>IF(OR($D4704="",$R4704="Trùng"),"",SUMIFS(ORDERS!$J$2:$J$4995,ORDERS!$C$2:$C$4995,$D4704,ORDERS!$L$2:$L$4995,"Đã chuyển khoản"))</f>
        <v/>
      </c>
      <c r="Y4704" s="24" t="n"/>
    </row>
    <row r="4705" ht="14.25" customHeight="1" s="40">
      <c r="A4705" s="24" t="n"/>
      <c r="B4705" s="27" t="n"/>
      <c r="C4705" s="24" t="n"/>
      <c r="D4705" s="28" t="n"/>
      <c r="E4705" s="29" t="n"/>
      <c r="F4705" s="24" t="n"/>
      <c r="G4705" s="24" t="n"/>
      <c r="H4705" s="21">
        <f>IF(ISNUMBER($B4705),INT($B4705)-WEEKDAY($B4705,2)+1,"")</f>
        <v/>
      </c>
      <c r="I4705" s="24" t="n"/>
      <c r="J4705" s="22">
        <f t="array" ref="J4705">IF($D4705="","",IF($I4705="","(trống REF)",IFERROR(INDEX(MASTER_SOURCE!$B$2:$B$495,MATCH($I4705,MASTER_SOURCE!$A$2:$A$495,0)),"(REF không có trong MASTER_SOURCE)")))</f>
        <v/>
      </c>
      <c r="K4705" s="22">
        <f t="array" ref="K4705">IF($D4705="","",IFERROR(INDEX(MASTER_SOURCE!$C$2:$C$495,MATCH($I4705,MASTER_SOURCE!$A$2:$A$495,0)),""))</f>
        <v/>
      </c>
      <c r="L4705" s="22">
        <f t="array" ref="L4705">IF($D4705="","",IFERROR(INDEX(MASTER_SOURCE!$D$2:$D$495,MATCH($I4705,MASTER_SOURCE!$A$2:$A$495,0)),""))</f>
        <v/>
      </c>
      <c r="M4705" s="24" t="n"/>
      <c r="N4705" s="24" t="n"/>
      <c r="O4705" s="24" t="n"/>
      <c r="P4705" s="24" t="n"/>
      <c r="Q4705" s="22">
        <f>IF($D4705="","",IF(AND(OR(DANH_MUC!$L$5&lt;&gt;"Có",M4705="Có"),OR(DANH_MUC!$L$6&lt;&gt;"Có",N4705="Có"),OR(DANH_MUC!$L$7&lt;&gt;"Có",O4705="Có"),OR(DANH_MUC!$L$8&lt;&gt;"Có",P4705="Có")),"Có","Không"))</f>
        <v/>
      </c>
      <c r="R4705" s="22">
        <f>IF($D4705="","",IF(COUNTIF($D$2:$D4705,$D4705)&gt;1,"Trùng",""))</f>
        <v/>
      </c>
      <c r="S4705" s="22">
        <f>IF($D4705="","",IF(AND(LEN($D4705)=10,LEFT($D4705,1)="0",ISNUMBER(--$D4705)),"Có","Không"))</f>
        <v/>
      </c>
      <c r="T4705" s="22">
        <f>IF($D4705="","",IF(AND($C4705&lt;&gt;"",$Q4705="Có",$R4705="",$S4705="Có",AND($L4705&lt;&gt;"",OR($L4705&lt;&gt;"Chưa xác định",DANH_MUC!$L$9="Có"))),"Có","Không"))</f>
        <v/>
      </c>
      <c r="U4705" s="22">
        <f>IF(OR($D4705="",$T4705="Có"),"",IF($C4705="","Thiếu họ tên; ","")&amp;IF($S4705&lt;&gt;"Có","SĐT sai định dạng; ","")&amp;IF($R4705="Trùng","Trùng SĐT; ","")&amp;IF($Q4705&lt;&gt;"Có","Thiếu đồng ý bắt buộc; ","")&amp;IF($L4705="","Thiếu/sai Mã REF; ",IF(AND($L4705="Chưa xác định",DANH_MUC!$L$9&lt;&gt;"Có"),"Nguồn chưa xác định; ","")))</f>
        <v/>
      </c>
      <c r="V4705" s="22">
        <f>IF(OR($D4705="",$R4705="Trùng"),"",IF(COUNTIF(ORDERS!$C$2:$C$4995,$D4705)&gt;0,"Có","Không"))</f>
        <v/>
      </c>
      <c r="W4705" s="22">
        <f>IF(OR($D4705="",$R4705="Trùng"),"",COUNTIFS(ORDERS!$C$2:$C$4995,$D4705,ORDERS!$L$2:$L$4995,"Đã chuyển khoản"))</f>
        <v/>
      </c>
      <c r="X4705" s="23">
        <f>IF(OR($D4705="",$R4705="Trùng"),"",SUMIFS(ORDERS!$J$2:$J$4995,ORDERS!$C$2:$C$4995,$D4705,ORDERS!$L$2:$L$4995,"Đã chuyển khoản"))</f>
        <v/>
      </c>
      <c r="Y4705" s="24" t="n"/>
    </row>
    <row r="4706" ht="14.25" customHeight="1" s="40">
      <c r="A4706" s="24" t="n"/>
      <c r="B4706" s="27" t="n"/>
      <c r="C4706" s="24" t="n"/>
      <c r="D4706" s="28" t="n"/>
      <c r="E4706" s="29" t="n"/>
      <c r="F4706" s="24" t="n"/>
      <c r="G4706" s="24" t="n"/>
      <c r="H4706" s="21">
        <f>IF(ISNUMBER($B4706),INT($B4706)-WEEKDAY($B4706,2)+1,"")</f>
        <v/>
      </c>
      <c r="I4706" s="24" t="n"/>
      <c r="J4706" s="22">
        <f t="array" ref="J4706">IF($D4706="","",IF($I4706="","(trống REF)",IFERROR(INDEX(MASTER_SOURCE!$B$2:$B$495,MATCH($I4706,MASTER_SOURCE!$A$2:$A$495,0)),"(REF không có trong MASTER_SOURCE)")))</f>
        <v/>
      </c>
      <c r="K4706" s="22">
        <f t="array" ref="K4706">IF($D4706="","",IFERROR(INDEX(MASTER_SOURCE!$C$2:$C$495,MATCH($I4706,MASTER_SOURCE!$A$2:$A$495,0)),""))</f>
        <v/>
      </c>
      <c r="L4706" s="22">
        <f t="array" ref="L4706">IF($D4706="","",IFERROR(INDEX(MASTER_SOURCE!$D$2:$D$495,MATCH($I4706,MASTER_SOURCE!$A$2:$A$495,0)),""))</f>
        <v/>
      </c>
      <c r="M4706" s="24" t="n"/>
      <c r="N4706" s="24" t="n"/>
      <c r="O4706" s="24" t="n"/>
      <c r="P4706" s="24" t="n"/>
      <c r="Q4706" s="22">
        <f>IF($D4706="","",IF(AND(OR(DANH_MUC!$L$5&lt;&gt;"Có",M4706="Có"),OR(DANH_MUC!$L$6&lt;&gt;"Có",N4706="Có"),OR(DANH_MUC!$L$7&lt;&gt;"Có",O4706="Có"),OR(DANH_MUC!$L$8&lt;&gt;"Có",P4706="Có")),"Có","Không"))</f>
        <v/>
      </c>
      <c r="R4706" s="22">
        <f>IF($D4706="","",IF(COUNTIF($D$2:$D4706,$D4706)&gt;1,"Trùng",""))</f>
        <v/>
      </c>
      <c r="S4706" s="22">
        <f>IF($D4706="","",IF(AND(LEN($D4706)=10,LEFT($D4706,1)="0",ISNUMBER(--$D4706)),"Có","Không"))</f>
        <v/>
      </c>
      <c r="T4706" s="22">
        <f>IF($D4706="","",IF(AND($C4706&lt;&gt;"",$Q4706="Có",$R4706="",$S4706="Có",AND($L4706&lt;&gt;"",OR($L4706&lt;&gt;"Chưa xác định",DANH_MUC!$L$9="Có"))),"Có","Không"))</f>
        <v/>
      </c>
      <c r="U4706" s="22">
        <f>IF(OR($D4706="",$T4706="Có"),"",IF($C4706="","Thiếu họ tên; ","")&amp;IF($S4706&lt;&gt;"Có","SĐT sai định dạng; ","")&amp;IF($R4706="Trùng","Trùng SĐT; ","")&amp;IF($Q4706&lt;&gt;"Có","Thiếu đồng ý bắt buộc; ","")&amp;IF($L4706="","Thiếu/sai Mã REF; ",IF(AND($L4706="Chưa xác định",DANH_MUC!$L$9&lt;&gt;"Có"),"Nguồn chưa xác định; ","")))</f>
        <v/>
      </c>
      <c r="V4706" s="22">
        <f>IF(OR($D4706="",$R4706="Trùng"),"",IF(COUNTIF(ORDERS!$C$2:$C$4995,$D4706)&gt;0,"Có","Không"))</f>
        <v/>
      </c>
      <c r="W4706" s="22">
        <f>IF(OR($D4706="",$R4706="Trùng"),"",COUNTIFS(ORDERS!$C$2:$C$4995,$D4706,ORDERS!$L$2:$L$4995,"Đã chuyển khoản"))</f>
        <v/>
      </c>
      <c r="X4706" s="23">
        <f>IF(OR($D4706="",$R4706="Trùng"),"",SUMIFS(ORDERS!$J$2:$J$4995,ORDERS!$C$2:$C$4995,$D4706,ORDERS!$L$2:$L$4995,"Đã chuyển khoản"))</f>
        <v/>
      </c>
      <c r="Y4706" s="24" t="n"/>
    </row>
    <row r="4707" ht="14.25" customHeight="1" s="40">
      <c r="A4707" s="24" t="n"/>
      <c r="B4707" s="27" t="n"/>
      <c r="C4707" s="24" t="n"/>
      <c r="D4707" s="28" t="n"/>
      <c r="E4707" s="29" t="n"/>
      <c r="F4707" s="24" t="n"/>
      <c r="G4707" s="24" t="n"/>
      <c r="H4707" s="21">
        <f>IF(ISNUMBER($B4707),INT($B4707)-WEEKDAY($B4707,2)+1,"")</f>
        <v/>
      </c>
      <c r="I4707" s="24" t="n"/>
      <c r="J4707" s="22">
        <f t="array" ref="J4707">IF($D4707="","",IF($I4707="","(trống REF)",IFERROR(INDEX(MASTER_SOURCE!$B$2:$B$495,MATCH($I4707,MASTER_SOURCE!$A$2:$A$495,0)),"(REF không có trong MASTER_SOURCE)")))</f>
        <v/>
      </c>
      <c r="K4707" s="22">
        <f t="array" ref="K4707">IF($D4707="","",IFERROR(INDEX(MASTER_SOURCE!$C$2:$C$495,MATCH($I4707,MASTER_SOURCE!$A$2:$A$495,0)),""))</f>
        <v/>
      </c>
      <c r="L4707" s="22">
        <f t="array" ref="L4707">IF($D4707="","",IFERROR(INDEX(MASTER_SOURCE!$D$2:$D$495,MATCH($I4707,MASTER_SOURCE!$A$2:$A$495,0)),""))</f>
        <v/>
      </c>
      <c r="M4707" s="24" t="n"/>
      <c r="N4707" s="24" t="n"/>
      <c r="O4707" s="24" t="n"/>
      <c r="P4707" s="24" t="n"/>
      <c r="Q4707" s="22">
        <f>IF($D4707="","",IF(AND(OR(DANH_MUC!$L$5&lt;&gt;"Có",M4707="Có"),OR(DANH_MUC!$L$6&lt;&gt;"Có",N4707="Có"),OR(DANH_MUC!$L$7&lt;&gt;"Có",O4707="Có"),OR(DANH_MUC!$L$8&lt;&gt;"Có",P4707="Có")),"Có","Không"))</f>
        <v/>
      </c>
      <c r="R4707" s="22">
        <f>IF($D4707="","",IF(COUNTIF($D$2:$D4707,$D4707)&gt;1,"Trùng",""))</f>
        <v/>
      </c>
      <c r="S4707" s="22">
        <f>IF($D4707="","",IF(AND(LEN($D4707)=10,LEFT($D4707,1)="0",ISNUMBER(--$D4707)),"Có","Không"))</f>
        <v/>
      </c>
      <c r="T4707" s="22">
        <f>IF($D4707="","",IF(AND($C4707&lt;&gt;"",$Q4707="Có",$R4707="",$S4707="Có",AND($L4707&lt;&gt;"",OR($L4707&lt;&gt;"Chưa xác định",DANH_MUC!$L$9="Có"))),"Có","Không"))</f>
        <v/>
      </c>
      <c r="U4707" s="22">
        <f>IF(OR($D4707="",$T4707="Có"),"",IF($C4707="","Thiếu họ tên; ","")&amp;IF($S4707&lt;&gt;"Có","SĐT sai định dạng; ","")&amp;IF($R4707="Trùng","Trùng SĐT; ","")&amp;IF($Q4707&lt;&gt;"Có","Thiếu đồng ý bắt buộc; ","")&amp;IF($L4707="","Thiếu/sai Mã REF; ",IF(AND($L4707="Chưa xác định",DANH_MUC!$L$9&lt;&gt;"Có"),"Nguồn chưa xác định; ","")))</f>
        <v/>
      </c>
      <c r="V4707" s="22">
        <f>IF(OR($D4707="",$R4707="Trùng"),"",IF(COUNTIF(ORDERS!$C$2:$C$4995,$D4707)&gt;0,"Có","Không"))</f>
        <v/>
      </c>
      <c r="W4707" s="22">
        <f>IF(OR($D4707="",$R4707="Trùng"),"",COUNTIFS(ORDERS!$C$2:$C$4995,$D4707,ORDERS!$L$2:$L$4995,"Đã chuyển khoản"))</f>
        <v/>
      </c>
      <c r="X4707" s="23">
        <f>IF(OR($D4707="",$R4707="Trùng"),"",SUMIFS(ORDERS!$J$2:$J$4995,ORDERS!$C$2:$C$4995,$D4707,ORDERS!$L$2:$L$4995,"Đã chuyển khoản"))</f>
        <v/>
      </c>
      <c r="Y4707" s="24" t="n"/>
    </row>
    <row r="4708" ht="14.25" customHeight="1" s="40">
      <c r="A4708" s="24" t="n"/>
      <c r="B4708" s="27" t="n"/>
      <c r="C4708" s="24" t="n"/>
      <c r="D4708" s="28" t="n"/>
      <c r="E4708" s="29" t="n"/>
      <c r="F4708" s="24" t="n"/>
      <c r="G4708" s="24" t="n"/>
      <c r="H4708" s="21">
        <f>IF(ISNUMBER($B4708),INT($B4708)-WEEKDAY($B4708,2)+1,"")</f>
        <v/>
      </c>
      <c r="I4708" s="24" t="n"/>
      <c r="J4708" s="22">
        <f t="array" ref="J4708">IF($D4708="","",IF($I4708="","(trống REF)",IFERROR(INDEX(MASTER_SOURCE!$B$2:$B$495,MATCH($I4708,MASTER_SOURCE!$A$2:$A$495,0)),"(REF không có trong MASTER_SOURCE)")))</f>
        <v/>
      </c>
      <c r="K4708" s="22">
        <f t="array" ref="K4708">IF($D4708="","",IFERROR(INDEX(MASTER_SOURCE!$C$2:$C$495,MATCH($I4708,MASTER_SOURCE!$A$2:$A$495,0)),""))</f>
        <v/>
      </c>
      <c r="L4708" s="22">
        <f t="array" ref="L4708">IF($D4708="","",IFERROR(INDEX(MASTER_SOURCE!$D$2:$D$495,MATCH($I4708,MASTER_SOURCE!$A$2:$A$495,0)),""))</f>
        <v/>
      </c>
      <c r="M4708" s="24" t="n"/>
      <c r="N4708" s="24" t="n"/>
      <c r="O4708" s="24" t="n"/>
      <c r="P4708" s="24" t="n"/>
      <c r="Q4708" s="22">
        <f>IF($D4708="","",IF(AND(OR(DANH_MUC!$L$5&lt;&gt;"Có",M4708="Có"),OR(DANH_MUC!$L$6&lt;&gt;"Có",N4708="Có"),OR(DANH_MUC!$L$7&lt;&gt;"Có",O4708="Có"),OR(DANH_MUC!$L$8&lt;&gt;"Có",P4708="Có")),"Có","Không"))</f>
        <v/>
      </c>
      <c r="R4708" s="22">
        <f>IF($D4708="","",IF(COUNTIF($D$2:$D4708,$D4708)&gt;1,"Trùng",""))</f>
        <v/>
      </c>
      <c r="S4708" s="22">
        <f>IF($D4708="","",IF(AND(LEN($D4708)=10,LEFT($D4708,1)="0",ISNUMBER(--$D4708)),"Có","Không"))</f>
        <v/>
      </c>
      <c r="T4708" s="22">
        <f>IF($D4708="","",IF(AND($C4708&lt;&gt;"",$Q4708="Có",$R4708="",$S4708="Có",AND($L4708&lt;&gt;"",OR($L4708&lt;&gt;"Chưa xác định",DANH_MUC!$L$9="Có"))),"Có","Không"))</f>
        <v/>
      </c>
      <c r="U4708" s="22">
        <f>IF(OR($D4708="",$T4708="Có"),"",IF($C4708="","Thiếu họ tên; ","")&amp;IF($S4708&lt;&gt;"Có","SĐT sai định dạng; ","")&amp;IF($R4708="Trùng","Trùng SĐT; ","")&amp;IF($Q4708&lt;&gt;"Có","Thiếu đồng ý bắt buộc; ","")&amp;IF($L4708="","Thiếu/sai Mã REF; ",IF(AND($L4708="Chưa xác định",DANH_MUC!$L$9&lt;&gt;"Có"),"Nguồn chưa xác định; ","")))</f>
        <v/>
      </c>
      <c r="V4708" s="22">
        <f>IF(OR($D4708="",$R4708="Trùng"),"",IF(COUNTIF(ORDERS!$C$2:$C$4995,$D4708)&gt;0,"Có","Không"))</f>
        <v/>
      </c>
      <c r="W4708" s="22">
        <f>IF(OR($D4708="",$R4708="Trùng"),"",COUNTIFS(ORDERS!$C$2:$C$4995,$D4708,ORDERS!$L$2:$L$4995,"Đã chuyển khoản"))</f>
        <v/>
      </c>
      <c r="X4708" s="23">
        <f>IF(OR($D4708="",$R4708="Trùng"),"",SUMIFS(ORDERS!$J$2:$J$4995,ORDERS!$C$2:$C$4995,$D4708,ORDERS!$L$2:$L$4995,"Đã chuyển khoản"))</f>
        <v/>
      </c>
      <c r="Y4708" s="24" t="n"/>
    </row>
    <row r="4709" ht="14.25" customHeight="1" s="40">
      <c r="A4709" s="24" t="n"/>
      <c r="B4709" s="27" t="n"/>
      <c r="C4709" s="24" t="n"/>
      <c r="D4709" s="28" t="n"/>
      <c r="E4709" s="29" t="n"/>
      <c r="F4709" s="24" t="n"/>
      <c r="G4709" s="24" t="n"/>
      <c r="H4709" s="21">
        <f>IF(ISNUMBER($B4709),INT($B4709)-WEEKDAY($B4709,2)+1,"")</f>
        <v/>
      </c>
      <c r="I4709" s="24" t="n"/>
      <c r="J4709" s="22">
        <f t="array" ref="J4709">IF($D4709="","",IF($I4709="","(trống REF)",IFERROR(INDEX(MASTER_SOURCE!$B$2:$B$495,MATCH($I4709,MASTER_SOURCE!$A$2:$A$495,0)),"(REF không có trong MASTER_SOURCE)")))</f>
        <v/>
      </c>
      <c r="K4709" s="22">
        <f t="array" ref="K4709">IF($D4709="","",IFERROR(INDEX(MASTER_SOURCE!$C$2:$C$495,MATCH($I4709,MASTER_SOURCE!$A$2:$A$495,0)),""))</f>
        <v/>
      </c>
      <c r="L4709" s="22">
        <f t="array" ref="L4709">IF($D4709="","",IFERROR(INDEX(MASTER_SOURCE!$D$2:$D$495,MATCH($I4709,MASTER_SOURCE!$A$2:$A$495,0)),""))</f>
        <v/>
      </c>
      <c r="M4709" s="24" t="n"/>
      <c r="N4709" s="24" t="n"/>
      <c r="O4709" s="24" t="n"/>
      <c r="P4709" s="24" t="n"/>
      <c r="Q4709" s="22">
        <f>IF($D4709="","",IF(AND(OR(DANH_MUC!$L$5&lt;&gt;"Có",M4709="Có"),OR(DANH_MUC!$L$6&lt;&gt;"Có",N4709="Có"),OR(DANH_MUC!$L$7&lt;&gt;"Có",O4709="Có"),OR(DANH_MUC!$L$8&lt;&gt;"Có",P4709="Có")),"Có","Không"))</f>
        <v/>
      </c>
      <c r="R4709" s="22">
        <f>IF($D4709="","",IF(COUNTIF($D$2:$D4709,$D4709)&gt;1,"Trùng",""))</f>
        <v/>
      </c>
      <c r="S4709" s="22">
        <f>IF($D4709="","",IF(AND(LEN($D4709)=10,LEFT($D4709,1)="0",ISNUMBER(--$D4709)),"Có","Không"))</f>
        <v/>
      </c>
      <c r="T4709" s="22">
        <f>IF($D4709="","",IF(AND($C4709&lt;&gt;"",$Q4709="Có",$R4709="",$S4709="Có",AND($L4709&lt;&gt;"",OR($L4709&lt;&gt;"Chưa xác định",DANH_MUC!$L$9="Có"))),"Có","Không"))</f>
        <v/>
      </c>
      <c r="U4709" s="22">
        <f>IF(OR($D4709="",$T4709="Có"),"",IF($C4709="","Thiếu họ tên; ","")&amp;IF($S4709&lt;&gt;"Có","SĐT sai định dạng; ","")&amp;IF($R4709="Trùng","Trùng SĐT; ","")&amp;IF($Q4709&lt;&gt;"Có","Thiếu đồng ý bắt buộc; ","")&amp;IF($L4709="","Thiếu/sai Mã REF; ",IF(AND($L4709="Chưa xác định",DANH_MUC!$L$9&lt;&gt;"Có"),"Nguồn chưa xác định; ","")))</f>
        <v/>
      </c>
      <c r="V4709" s="22">
        <f>IF(OR($D4709="",$R4709="Trùng"),"",IF(COUNTIF(ORDERS!$C$2:$C$4995,$D4709)&gt;0,"Có","Không"))</f>
        <v/>
      </c>
      <c r="W4709" s="22">
        <f>IF(OR($D4709="",$R4709="Trùng"),"",COUNTIFS(ORDERS!$C$2:$C$4995,$D4709,ORDERS!$L$2:$L$4995,"Đã chuyển khoản"))</f>
        <v/>
      </c>
      <c r="X4709" s="23">
        <f>IF(OR($D4709="",$R4709="Trùng"),"",SUMIFS(ORDERS!$J$2:$J$4995,ORDERS!$C$2:$C$4995,$D4709,ORDERS!$L$2:$L$4995,"Đã chuyển khoản"))</f>
        <v/>
      </c>
      <c r="Y4709" s="24" t="n"/>
    </row>
    <row r="4710" ht="14.25" customHeight="1" s="40">
      <c r="A4710" s="24" t="n"/>
      <c r="B4710" s="27" t="n"/>
      <c r="C4710" s="24" t="n"/>
      <c r="D4710" s="28" t="n"/>
      <c r="E4710" s="29" t="n"/>
      <c r="F4710" s="24" t="n"/>
      <c r="G4710" s="24" t="n"/>
      <c r="H4710" s="21">
        <f>IF(ISNUMBER($B4710),INT($B4710)-WEEKDAY($B4710,2)+1,"")</f>
        <v/>
      </c>
      <c r="I4710" s="24" t="n"/>
      <c r="J4710" s="22">
        <f t="array" ref="J4710">IF($D4710="","",IF($I4710="","(trống REF)",IFERROR(INDEX(MASTER_SOURCE!$B$2:$B$495,MATCH($I4710,MASTER_SOURCE!$A$2:$A$495,0)),"(REF không có trong MASTER_SOURCE)")))</f>
        <v/>
      </c>
      <c r="K4710" s="22">
        <f t="array" ref="K4710">IF($D4710="","",IFERROR(INDEX(MASTER_SOURCE!$C$2:$C$495,MATCH($I4710,MASTER_SOURCE!$A$2:$A$495,0)),""))</f>
        <v/>
      </c>
      <c r="L4710" s="22">
        <f t="array" ref="L4710">IF($D4710="","",IFERROR(INDEX(MASTER_SOURCE!$D$2:$D$495,MATCH($I4710,MASTER_SOURCE!$A$2:$A$495,0)),""))</f>
        <v/>
      </c>
      <c r="M4710" s="24" t="n"/>
      <c r="N4710" s="24" t="n"/>
      <c r="O4710" s="24" t="n"/>
      <c r="P4710" s="24" t="n"/>
      <c r="Q4710" s="22">
        <f>IF($D4710="","",IF(AND(OR(DANH_MUC!$L$5&lt;&gt;"Có",M4710="Có"),OR(DANH_MUC!$L$6&lt;&gt;"Có",N4710="Có"),OR(DANH_MUC!$L$7&lt;&gt;"Có",O4710="Có"),OR(DANH_MUC!$L$8&lt;&gt;"Có",P4710="Có")),"Có","Không"))</f>
        <v/>
      </c>
      <c r="R4710" s="22">
        <f>IF($D4710="","",IF(COUNTIF($D$2:$D4710,$D4710)&gt;1,"Trùng",""))</f>
        <v/>
      </c>
      <c r="S4710" s="22">
        <f>IF($D4710="","",IF(AND(LEN($D4710)=10,LEFT($D4710,1)="0",ISNUMBER(--$D4710)),"Có","Không"))</f>
        <v/>
      </c>
      <c r="T4710" s="22">
        <f>IF($D4710="","",IF(AND($C4710&lt;&gt;"",$Q4710="Có",$R4710="",$S4710="Có",AND($L4710&lt;&gt;"",OR($L4710&lt;&gt;"Chưa xác định",DANH_MUC!$L$9="Có"))),"Có","Không"))</f>
        <v/>
      </c>
      <c r="U4710" s="22">
        <f>IF(OR($D4710="",$T4710="Có"),"",IF($C4710="","Thiếu họ tên; ","")&amp;IF($S4710&lt;&gt;"Có","SĐT sai định dạng; ","")&amp;IF($R4710="Trùng","Trùng SĐT; ","")&amp;IF($Q4710&lt;&gt;"Có","Thiếu đồng ý bắt buộc; ","")&amp;IF($L4710="","Thiếu/sai Mã REF; ",IF(AND($L4710="Chưa xác định",DANH_MUC!$L$9&lt;&gt;"Có"),"Nguồn chưa xác định; ","")))</f>
        <v/>
      </c>
      <c r="V4710" s="22">
        <f>IF(OR($D4710="",$R4710="Trùng"),"",IF(COUNTIF(ORDERS!$C$2:$C$4995,$D4710)&gt;0,"Có","Không"))</f>
        <v/>
      </c>
      <c r="W4710" s="22">
        <f>IF(OR($D4710="",$R4710="Trùng"),"",COUNTIFS(ORDERS!$C$2:$C$4995,$D4710,ORDERS!$L$2:$L$4995,"Đã chuyển khoản"))</f>
        <v/>
      </c>
      <c r="X4710" s="23">
        <f>IF(OR($D4710="",$R4710="Trùng"),"",SUMIFS(ORDERS!$J$2:$J$4995,ORDERS!$C$2:$C$4995,$D4710,ORDERS!$L$2:$L$4995,"Đã chuyển khoản"))</f>
        <v/>
      </c>
      <c r="Y4710" s="24" t="n"/>
    </row>
    <row r="4711" ht="14.25" customHeight="1" s="40">
      <c r="A4711" s="24" t="n"/>
      <c r="B4711" s="27" t="n"/>
      <c r="C4711" s="24" t="n"/>
      <c r="D4711" s="28" t="n"/>
      <c r="E4711" s="29" t="n"/>
      <c r="F4711" s="24" t="n"/>
      <c r="G4711" s="24" t="n"/>
      <c r="H4711" s="21">
        <f>IF(ISNUMBER($B4711),INT($B4711)-WEEKDAY($B4711,2)+1,"")</f>
        <v/>
      </c>
      <c r="I4711" s="24" t="n"/>
      <c r="J4711" s="22">
        <f t="array" ref="J4711">IF($D4711="","",IF($I4711="","(trống REF)",IFERROR(INDEX(MASTER_SOURCE!$B$2:$B$495,MATCH($I4711,MASTER_SOURCE!$A$2:$A$495,0)),"(REF không có trong MASTER_SOURCE)")))</f>
        <v/>
      </c>
      <c r="K4711" s="22">
        <f t="array" ref="K4711">IF($D4711="","",IFERROR(INDEX(MASTER_SOURCE!$C$2:$C$495,MATCH($I4711,MASTER_SOURCE!$A$2:$A$495,0)),""))</f>
        <v/>
      </c>
      <c r="L4711" s="22">
        <f t="array" ref="L4711">IF($D4711="","",IFERROR(INDEX(MASTER_SOURCE!$D$2:$D$495,MATCH($I4711,MASTER_SOURCE!$A$2:$A$495,0)),""))</f>
        <v/>
      </c>
      <c r="M4711" s="24" t="n"/>
      <c r="N4711" s="24" t="n"/>
      <c r="O4711" s="24" t="n"/>
      <c r="P4711" s="24" t="n"/>
      <c r="Q4711" s="22">
        <f>IF($D4711="","",IF(AND(OR(DANH_MUC!$L$5&lt;&gt;"Có",M4711="Có"),OR(DANH_MUC!$L$6&lt;&gt;"Có",N4711="Có"),OR(DANH_MUC!$L$7&lt;&gt;"Có",O4711="Có"),OR(DANH_MUC!$L$8&lt;&gt;"Có",P4711="Có")),"Có","Không"))</f>
        <v/>
      </c>
      <c r="R4711" s="22">
        <f>IF($D4711="","",IF(COUNTIF($D$2:$D4711,$D4711)&gt;1,"Trùng",""))</f>
        <v/>
      </c>
      <c r="S4711" s="22">
        <f>IF($D4711="","",IF(AND(LEN($D4711)=10,LEFT($D4711,1)="0",ISNUMBER(--$D4711)),"Có","Không"))</f>
        <v/>
      </c>
      <c r="T4711" s="22">
        <f>IF($D4711="","",IF(AND($C4711&lt;&gt;"",$Q4711="Có",$R4711="",$S4711="Có",AND($L4711&lt;&gt;"",OR($L4711&lt;&gt;"Chưa xác định",DANH_MUC!$L$9="Có"))),"Có","Không"))</f>
        <v/>
      </c>
      <c r="U4711" s="22">
        <f>IF(OR($D4711="",$T4711="Có"),"",IF($C4711="","Thiếu họ tên; ","")&amp;IF($S4711&lt;&gt;"Có","SĐT sai định dạng; ","")&amp;IF($R4711="Trùng","Trùng SĐT; ","")&amp;IF($Q4711&lt;&gt;"Có","Thiếu đồng ý bắt buộc; ","")&amp;IF($L4711="","Thiếu/sai Mã REF; ",IF(AND($L4711="Chưa xác định",DANH_MUC!$L$9&lt;&gt;"Có"),"Nguồn chưa xác định; ","")))</f>
        <v/>
      </c>
      <c r="V4711" s="22">
        <f>IF(OR($D4711="",$R4711="Trùng"),"",IF(COUNTIF(ORDERS!$C$2:$C$4995,$D4711)&gt;0,"Có","Không"))</f>
        <v/>
      </c>
      <c r="W4711" s="22">
        <f>IF(OR($D4711="",$R4711="Trùng"),"",COUNTIFS(ORDERS!$C$2:$C$4995,$D4711,ORDERS!$L$2:$L$4995,"Đã chuyển khoản"))</f>
        <v/>
      </c>
      <c r="X4711" s="23">
        <f>IF(OR($D4711="",$R4711="Trùng"),"",SUMIFS(ORDERS!$J$2:$J$4995,ORDERS!$C$2:$C$4995,$D4711,ORDERS!$L$2:$L$4995,"Đã chuyển khoản"))</f>
        <v/>
      </c>
      <c r="Y4711" s="24" t="n"/>
    </row>
    <row r="4712" ht="14.25" customHeight="1" s="40">
      <c r="A4712" s="24" t="n"/>
      <c r="B4712" s="27" t="n"/>
      <c r="C4712" s="24" t="n"/>
      <c r="D4712" s="28" t="n"/>
      <c r="E4712" s="29" t="n"/>
      <c r="F4712" s="24" t="n"/>
      <c r="G4712" s="24" t="n"/>
      <c r="H4712" s="21">
        <f>IF(ISNUMBER($B4712),INT($B4712)-WEEKDAY($B4712,2)+1,"")</f>
        <v/>
      </c>
      <c r="I4712" s="24" t="n"/>
      <c r="J4712" s="22">
        <f t="array" ref="J4712">IF($D4712="","",IF($I4712="","(trống REF)",IFERROR(INDEX(MASTER_SOURCE!$B$2:$B$495,MATCH($I4712,MASTER_SOURCE!$A$2:$A$495,0)),"(REF không có trong MASTER_SOURCE)")))</f>
        <v/>
      </c>
      <c r="K4712" s="22">
        <f t="array" ref="K4712">IF($D4712="","",IFERROR(INDEX(MASTER_SOURCE!$C$2:$C$495,MATCH($I4712,MASTER_SOURCE!$A$2:$A$495,0)),""))</f>
        <v/>
      </c>
      <c r="L4712" s="22">
        <f t="array" ref="L4712">IF($D4712="","",IFERROR(INDEX(MASTER_SOURCE!$D$2:$D$495,MATCH($I4712,MASTER_SOURCE!$A$2:$A$495,0)),""))</f>
        <v/>
      </c>
      <c r="M4712" s="24" t="n"/>
      <c r="N4712" s="24" t="n"/>
      <c r="O4712" s="24" t="n"/>
      <c r="P4712" s="24" t="n"/>
      <c r="Q4712" s="22">
        <f>IF($D4712="","",IF(AND(OR(DANH_MUC!$L$5&lt;&gt;"Có",M4712="Có"),OR(DANH_MUC!$L$6&lt;&gt;"Có",N4712="Có"),OR(DANH_MUC!$L$7&lt;&gt;"Có",O4712="Có"),OR(DANH_MUC!$L$8&lt;&gt;"Có",P4712="Có")),"Có","Không"))</f>
        <v/>
      </c>
      <c r="R4712" s="22">
        <f>IF($D4712="","",IF(COUNTIF($D$2:$D4712,$D4712)&gt;1,"Trùng",""))</f>
        <v/>
      </c>
      <c r="S4712" s="22">
        <f>IF($D4712="","",IF(AND(LEN($D4712)=10,LEFT($D4712,1)="0",ISNUMBER(--$D4712)),"Có","Không"))</f>
        <v/>
      </c>
      <c r="T4712" s="22">
        <f>IF($D4712="","",IF(AND($C4712&lt;&gt;"",$Q4712="Có",$R4712="",$S4712="Có",AND($L4712&lt;&gt;"",OR($L4712&lt;&gt;"Chưa xác định",DANH_MUC!$L$9="Có"))),"Có","Không"))</f>
        <v/>
      </c>
      <c r="U4712" s="22">
        <f>IF(OR($D4712="",$T4712="Có"),"",IF($C4712="","Thiếu họ tên; ","")&amp;IF($S4712&lt;&gt;"Có","SĐT sai định dạng; ","")&amp;IF($R4712="Trùng","Trùng SĐT; ","")&amp;IF($Q4712&lt;&gt;"Có","Thiếu đồng ý bắt buộc; ","")&amp;IF($L4712="","Thiếu/sai Mã REF; ",IF(AND($L4712="Chưa xác định",DANH_MUC!$L$9&lt;&gt;"Có"),"Nguồn chưa xác định; ","")))</f>
        <v/>
      </c>
      <c r="V4712" s="22">
        <f>IF(OR($D4712="",$R4712="Trùng"),"",IF(COUNTIF(ORDERS!$C$2:$C$4995,$D4712)&gt;0,"Có","Không"))</f>
        <v/>
      </c>
      <c r="W4712" s="22">
        <f>IF(OR($D4712="",$R4712="Trùng"),"",COUNTIFS(ORDERS!$C$2:$C$4995,$D4712,ORDERS!$L$2:$L$4995,"Đã chuyển khoản"))</f>
        <v/>
      </c>
      <c r="X4712" s="23">
        <f>IF(OR($D4712="",$R4712="Trùng"),"",SUMIFS(ORDERS!$J$2:$J$4995,ORDERS!$C$2:$C$4995,$D4712,ORDERS!$L$2:$L$4995,"Đã chuyển khoản"))</f>
        <v/>
      </c>
      <c r="Y4712" s="24" t="n"/>
    </row>
    <row r="4713" ht="14.25" customHeight="1" s="40">
      <c r="A4713" s="24" t="n"/>
      <c r="B4713" s="27" t="n"/>
      <c r="C4713" s="24" t="n"/>
      <c r="D4713" s="28" t="n"/>
      <c r="E4713" s="29" t="n"/>
      <c r="F4713" s="24" t="n"/>
      <c r="G4713" s="24" t="n"/>
      <c r="H4713" s="21">
        <f>IF(ISNUMBER($B4713),INT($B4713)-WEEKDAY($B4713,2)+1,"")</f>
        <v/>
      </c>
      <c r="I4713" s="24" t="n"/>
      <c r="J4713" s="22">
        <f t="array" ref="J4713">IF($D4713="","",IF($I4713="","(trống REF)",IFERROR(INDEX(MASTER_SOURCE!$B$2:$B$495,MATCH($I4713,MASTER_SOURCE!$A$2:$A$495,0)),"(REF không có trong MASTER_SOURCE)")))</f>
        <v/>
      </c>
      <c r="K4713" s="22">
        <f t="array" ref="K4713">IF($D4713="","",IFERROR(INDEX(MASTER_SOURCE!$C$2:$C$495,MATCH($I4713,MASTER_SOURCE!$A$2:$A$495,0)),""))</f>
        <v/>
      </c>
      <c r="L4713" s="22">
        <f t="array" ref="L4713">IF($D4713="","",IFERROR(INDEX(MASTER_SOURCE!$D$2:$D$495,MATCH($I4713,MASTER_SOURCE!$A$2:$A$495,0)),""))</f>
        <v/>
      </c>
      <c r="M4713" s="24" t="n"/>
      <c r="N4713" s="24" t="n"/>
      <c r="O4713" s="24" t="n"/>
      <c r="P4713" s="24" t="n"/>
      <c r="Q4713" s="22">
        <f>IF($D4713="","",IF(AND(OR(DANH_MUC!$L$5&lt;&gt;"Có",M4713="Có"),OR(DANH_MUC!$L$6&lt;&gt;"Có",N4713="Có"),OR(DANH_MUC!$L$7&lt;&gt;"Có",O4713="Có"),OR(DANH_MUC!$L$8&lt;&gt;"Có",P4713="Có")),"Có","Không"))</f>
        <v/>
      </c>
      <c r="R4713" s="22">
        <f>IF($D4713="","",IF(COUNTIF($D$2:$D4713,$D4713)&gt;1,"Trùng",""))</f>
        <v/>
      </c>
      <c r="S4713" s="22">
        <f>IF($D4713="","",IF(AND(LEN($D4713)=10,LEFT($D4713,1)="0",ISNUMBER(--$D4713)),"Có","Không"))</f>
        <v/>
      </c>
      <c r="T4713" s="22">
        <f>IF($D4713="","",IF(AND($C4713&lt;&gt;"",$Q4713="Có",$R4713="",$S4713="Có",AND($L4713&lt;&gt;"",OR($L4713&lt;&gt;"Chưa xác định",DANH_MUC!$L$9="Có"))),"Có","Không"))</f>
        <v/>
      </c>
      <c r="U4713" s="22">
        <f>IF(OR($D4713="",$T4713="Có"),"",IF($C4713="","Thiếu họ tên; ","")&amp;IF($S4713&lt;&gt;"Có","SĐT sai định dạng; ","")&amp;IF($R4713="Trùng","Trùng SĐT; ","")&amp;IF($Q4713&lt;&gt;"Có","Thiếu đồng ý bắt buộc; ","")&amp;IF($L4713="","Thiếu/sai Mã REF; ",IF(AND($L4713="Chưa xác định",DANH_MUC!$L$9&lt;&gt;"Có"),"Nguồn chưa xác định; ","")))</f>
        <v/>
      </c>
      <c r="V4713" s="22">
        <f>IF(OR($D4713="",$R4713="Trùng"),"",IF(COUNTIF(ORDERS!$C$2:$C$4995,$D4713)&gt;0,"Có","Không"))</f>
        <v/>
      </c>
      <c r="W4713" s="22">
        <f>IF(OR($D4713="",$R4713="Trùng"),"",COUNTIFS(ORDERS!$C$2:$C$4995,$D4713,ORDERS!$L$2:$L$4995,"Đã chuyển khoản"))</f>
        <v/>
      </c>
      <c r="X4713" s="23">
        <f>IF(OR($D4713="",$R4713="Trùng"),"",SUMIFS(ORDERS!$J$2:$J$4995,ORDERS!$C$2:$C$4995,$D4713,ORDERS!$L$2:$L$4995,"Đã chuyển khoản"))</f>
        <v/>
      </c>
      <c r="Y4713" s="24" t="n"/>
    </row>
    <row r="4714" ht="14.25" customHeight="1" s="40">
      <c r="A4714" s="24" t="n"/>
      <c r="B4714" s="27" t="n"/>
      <c r="C4714" s="24" t="n"/>
      <c r="D4714" s="28" t="n"/>
      <c r="E4714" s="29" t="n"/>
      <c r="F4714" s="24" t="n"/>
      <c r="G4714" s="24" t="n"/>
      <c r="H4714" s="21">
        <f>IF(ISNUMBER($B4714),INT($B4714)-WEEKDAY($B4714,2)+1,"")</f>
        <v/>
      </c>
      <c r="I4714" s="24" t="n"/>
      <c r="J4714" s="22">
        <f t="array" ref="J4714">IF($D4714="","",IF($I4714="","(trống REF)",IFERROR(INDEX(MASTER_SOURCE!$B$2:$B$495,MATCH($I4714,MASTER_SOURCE!$A$2:$A$495,0)),"(REF không có trong MASTER_SOURCE)")))</f>
        <v/>
      </c>
      <c r="K4714" s="22">
        <f t="array" ref="K4714">IF($D4714="","",IFERROR(INDEX(MASTER_SOURCE!$C$2:$C$495,MATCH($I4714,MASTER_SOURCE!$A$2:$A$495,0)),""))</f>
        <v/>
      </c>
      <c r="L4714" s="22">
        <f t="array" ref="L4714">IF($D4714="","",IFERROR(INDEX(MASTER_SOURCE!$D$2:$D$495,MATCH($I4714,MASTER_SOURCE!$A$2:$A$495,0)),""))</f>
        <v/>
      </c>
      <c r="M4714" s="24" t="n"/>
      <c r="N4714" s="24" t="n"/>
      <c r="O4714" s="24" t="n"/>
      <c r="P4714" s="24" t="n"/>
      <c r="Q4714" s="22">
        <f>IF($D4714="","",IF(AND(OR(DANH_MUC!$L$5&lt;&gt;"Có",M4714="Có"),OR(DANH_MUC!$L$6&lt;&gt;"Có",N4714="Có"),OR(DANH_MUC!$L$7&lt;&gt;"Có",O4714="Có"),OR(DANH_MUC!$L$8&lt;&gt;"Có",P4714="Có")),"Có","Không"))</f>
        <v/>
      </c>
      <c r="R4714" s="22">
        <f>IF($D4714="","",IF(COUNTIF($D$2:$D4714,$D4714)&gt;1,"Trùng",""))</f>
        <v/>
      </c>
      <c r="S4714" s="22">
        <f>IF($D4714="","",IF(AND(LEN($D4714)=10,LEFT($D4714,1)="0",ISNUMBER(--$D4714)),"Có","Không"))</f>
        <v/>
      </c>
      <c r="T4714" s="22">
        <f>IF($D4714="","",IF(AND($C4714&lt;&gt;"",$Q4714="Có",$R4714="",$S4714="Có",AND($L4714&lt;&gt;"",OR($L4714&lt;&gt;"Chưa xác định",DANH_MUC!$L$9="Có"))),"Có","Không"))</f>
        <v/>
      </c>
      <c r="U4714" s="22">
        <f>IF(OR($D4714="",$T4714="Có"),"",IF($C4714="","Thiếu họ tên; ","")&amp;IF($S4714&lt;&gt;"Có","SĐT sai định dạng; ","")&amp;IF($R4714="Trùng","Trùng SĐT; ","")&amp;IF($Q4714&lt;&gt;"Có","Thiếu đồng ý bắt buộc; ","")&amp;IF($L4714="","Thiếu/sai Mã REF; ",IF(AND($L4714="Chưa xác định",DANH_MUC!$L$9&lt;&gt;"Có"),"Nguồn chưa xác định; ","")))</f>
        <v/>
      </c>
      <c r="V4714" s="22">
        <f>IF(OR($D4714="",$R4714="Trùng"),"",IF(COUNTIF(ORDERS!$C$2:$C$4995,$D4714)&gt;0,"Có","Không"))</f>
        <v/>
      </c>
      <c r="W4714" s="22">
        <f>IF(OR($D4714="",$R4714="Trùng"),"",COUNTIFS(ORDERS!$C$2:$C$4995,$D4714,ORDERS!$L$2:$L$4995,"Đã chuyển khoản"))</f>
        <v/>
      </c>
      <c r="X4714" s="23">
        <f>IF(OR($D4714="",$R4714="Trùng"),"",SUMIFS(ORDERS!$J$2:$J$4995,ORDERS!$C$2:$C$4995,$D4714,ORDERS!$L$2:$L$4995,"Đã chuyển khoản"))</f>
        <v/>
      </c>
      <c r="Y4714" s="24" t="n"/>
    </row>
    <row r="4715" ht="14.25" customHeight="1" s="40">
      <c r="A4715" s="24" t="n"/>
      <c r="B4715" s="27" t="n"/>
      <c r="C4715" s="24" t="n"/>
      <c r="D4715" s="28" t="n"/>
      <c r="E4715" s="29" t="n"/>
      <c r="F4715" s="24" t="n"/>
      <c r="G4715" s="24" t="n"/>
      <c r="H4715" s="21">
        <f>IF(ISNUMBER($B4715),INT($B4715)-WEEKDAY($B4715,2)+1,"")</f>
        <v/>
      </c>
      <c r="I4715" s="24" t="n"/>
      <c r="J4715" s="22">
        <f t="array" ref="J4715">IF($D4715="","",IF($I4715="","(trống REF)",IFERROR(INDEX(MASTER_SOURCE!$B$2:$B$495,MATCH($I4715,MASTER_SOURCE!$A$2:$A$495,0)),"(REF không có trong MASTER_SOURCE)")))</f>
        <v/>
      </c>
      <c r="K4715" s="22">
        <f t="array" ref="K4715">IF($D4715="","",IFERROR(INDEX(MASTER_SOURCE!$C$2:$C$495,MATCH($I4715,MASTER_SOURCE!$A$2:$A$495,0)),""))</f>
        <v/>
      </c>
      <c r="L4715" s="22">
        <f t="array" ref="L4715">IF($D4715="","",IFERROR(INDEX(MASTER_SOURCE!$D$2:$D$495,MATCH($I4715,MASTER_SOURCE!$A$2:$A$495,0)),""))</f>
        <v/>
      </c>
      <c r="M4715" s="24" t="n"/>
      <c r="N4715" s="24" t="n"/>
      <c r="O4715" s="24" t="n"/>
      <c r="P4715" s="24" t="n"/>
      <c r="Q4715" s="22">
        <f>IF($D4715="","",IF(AND(OR(DANH_MUC!$L$5&lt;&gt;"Có",M4715="Có"),OR(DANH_MUC!$L$6&lt;&gt;"Có",N4715="Có"),OR(DANH_MUC!$L$7&lt;&gt;"Có",O4715="Có"),OR(DANH_MUC!$L$8&lt;&gt;"Có",P4715="Có")),"Có","Không"))</f>
        <v/>
      </c>
      <c r="R4715" s="22">
        <f>IF($D4715="","",IF(COUNTIF($D$2:$D4715,$D4715)&gt;1,"Trùng",""))</f>
        <v/>
      </c>
      <c r="S4715" s="22">
        <f>IF($D4715="","",IF(AND(LEN($D4715)=10,LEFT($D4715,1)="0",ISNUMBER(--$D4715)),"Có","Không"))</f>
        <v/>
      </c>
      <c r="T4715" s="22">
        <f>IF($D4715="","",IF(AND($C4715&lt;&gt;"",$Q4715="Có",$R4715="",$S4715="Có",AND($L4715&lt;&gt;"",OR($L4715&lt;&gt;"Chưa xác định",DANH_MUC!$L$9="Có"))),"Có","Không"))</f>
        <v/>
      </c>
      <c r="U4715" s="22">
        <f>IF(OR($D4715="",$T4715="Có"),"",IF($C4715="","Thiếu họ tên; ","")&amp;IF($S4715&lt;&gt;"Có","SĐT sai định dạng; ","")&amp;IF($R4715="Trùng","Trùng SĐT; ","")&amp;IF($Q4715&lt;&gt;"Có","Thiếu đồng ý bắt buộc; ","")&amp;IF($L4715="","Thiếu/sai Mã REF; ",IF(AND($L4715="Chưa xác định",DANH_MUC!$L$9&lt;&gt;"Có"),"Nguồn chưa xác định; ","")))</f>
        <v/>
      </c>
      <c r="V4715" s="22">
        <f>IF(OR($D4715="",$R4715="Trùng"),"",IF(COUNTIF(ORDERS!$C$2:$C$4995,$D4715)&gt;0,"Có","Không"))</f>
        <v/>
      </c>
      <c r="W4715" s="22">
        <f>IF(OR($D4715="",$R4715="Trùng"),"",COUNTIFS(ORDERS!$C$2:$C$4995,$D4715,ORDERS!$L$2:$L$4995,"Đã chuyển khoản"))</f>
        <v/>
      </c>
      <c r="X4715" s="23">
        <f>IF(OR($D4715="",$R4715="Trùng"),"",SUMIFS(ORDERS!$J$2:$J$4995,ORDERS!$C$2:$C$4995,$D4715,ORDERS!$L$2:$L$4995,"Đã chuyển khoản"))</f>
        <v/>
      </c>
      <c r="Y4715" s="24" t="n"/>
    </row>
    <row r="4716" ht="14.25" customHeight="1" s="40">
      <c r="A4716" s="24" t="n"/>
      <c r="B4716" s="27" t="n"/>
      <c r="C4716" s="24" t="n"/>
      <c r="D4716" s="28" t="n"/>
      <c r="E4716" s="29" t="n"/>
      <c r="F4716" s="24" t="n"/>
      <c r="G4716" s="24" t="n"/>
      <c r="H4716" s="21">
        <f>IF(ISNUMBER($B4716),INT($B4716)-WEEKDAY($B4716,2)+1,"")</f>
        <v/>
      </c>
      <c r="I4716" s="24" t="n"/>
      <c r="J4716" s="22">
        <f t="array" ref="J4716">IF($D4716="","",IF($I4716="","(trống REF)",IFERROR(INDEX(MASTER_SOURCE!$B$2:$B$495,MATCH($I4716,MASTER_SOURCE!$A$2:$A$495,0)),"(REF không có trong MASTER_SOURCE)")))</f>
        <v/>
      </c>
      <c r="K4716" s="22">
        <f t="array" ref="K4716">IF($D4716="","",IFERROR(INDEX(MASTER_SOURCE!$C$2:$C$495,MATCH($I4716,MASTER_SOURCE!$A$2:$A$495,0)),""))</f>
        <v/>
      </c>
      <c r="L4716" s="22">
        <f t="array" ref="L4716">IF($D4716="","",IFERROR(INDEX(MASTER_SOURCE!$D$2:$D$495,MATCH($I4716,MASTER_SOURCE!$A$2:$A$495,0)),""))</f>
        <v/>
      </c>
      <c r="M4716" s="24" t="n"/>
      <c r="N4716" s="24" t="n"/>
      <c r="O4716" s="24" t="n"/>
      <c r="P4716" s="24" t="n"/>
      <c r="Q4716" s="22">
        <f>IF($D4716="","",IF(AND(OR(DANH_MUC!$L$5&lt;&gt;"Có",M4716="Có"),OR(DANH_MUC!$L$6&lt;&gt;"Có",N4716="Có"),OR(DANH_MUC!$L$7&lt;&gt;"Có",O4716="Có"),OR(DANH_MUC!$L$8&lt;&gt;"Có",P4716="Có")),"Có","Không"))</f>
        <v/>
      </c>
      <c r="R4716" s="22">
        <f>IF($D4716="","",IF(COUNTIF($D$2:$D4716,$D4716)&gt;1,"Trùng",""))</f>
        <v/>
      </c>
      <c r="S4716" s="22">
        <f>IF($D4716="","",IF(AND(LEN($D4716)=10,LEFT($D4716,1)="0",ISNUMBER(--$D4716)),"Có","Không"))</f>
        <v/>
      </c>
      <c r="T4716" s="22">
        <f>IF($D4716="","",IF(AND($C4716&lt;&gt;"",$Q4716="Có",$R4716="",$S4716="Có",AND($L4716&lt;&gt;"",OR($L4716&lt;&gt;"Chưa xác định",DANH_MUC!$L$9="Có"))),"Có","Không"))</f>
        <v/>
      </c>
      <c r="U4716" s="22">
        <f>IF(OR($D4716="",$T4716="Có"),"",IF($C4716="","Thiếu họ tên; ","")&amp;IF($S4716&lt;&gt;"Có","SĐT sai định dạng; ","")&amp;IF($R4716="Trùng","Trùng SĐT; ","")&amp;IF($Q4716&lt;&gt;"Có","Thiếu đồng ý bắt buộc; ","")&amp;IF($L4716="","Thiếu/sai Mã REF; ",IF(AND($L4716="Chưa xác định",DANH_MUC!$L$9&lt;&gt;"Có"),"Nguồn chưa xác định; ","")))</f>
        <v/>
      </c>
      <c r="V4716" s="22">
        <f>IF(OR($D4716="",$R4716="Trùng"),"",IF(COUNTIF(ORDERS!$C$2:$C$4995,$D4716)&gt;0,"Có","Không"))</f>
        <v/>
      </c>
      <c r="W4716" s="22">
        <f>IF(OR($D4716="",$R4716="Trùng"),"",COUNTIFS(ORDERS!$C$2:$C$4995,$D4716,ORDERS!$L$2:$L$4995,"Đã chuyển khoản"))</f>
        <v/>
      </c>
      <c r="X4716" s="23">
        <f>IF(OR($D4716="",$R4716="Trùng"),"",SUMIFS(ORDERS!$J$2:$J$4995,ORDERS!$C$2:$C$4995,$D4716,ORDERS!$L$2:$L$4995,"Đã chuyển khoản"))</f>
        <v/>
      </c>
      <c r="Y4716" s="24" t="n"/>
    </row>
    <row r="4717" ht="14.25" customHeight="1" s="40">
      <c r="A4717" s="24" t="n"/>
      <c r="B4717" s="27" t="n"/>
      <c r="C4717" s="24" t="n"/>
      <c r="D4717" s="28" t="n"/>
      <c r="E4717" s="29" t="n"/>
      <c r="F4717" s="24" t="n"/>
      <c r="G4717" s="24" t="n"/>
      <c r="H4717" s="21">
        <f>IF(ISNUMBER($B4717),INT($B4717)-WEEKDAY($B4717,2)+1,"")</f>
        <v/>
      </c>
      <c r="I4717" s="24" t="n"/>
      <c r="J4717" s="22">
        <f t="array" ref="J4717">IF($D4717="","",IF($I4717="","(trống REF)",IFERROR(INDEX(MASTER_SOURCE!$B$2:$B$495,MATCH($I4717,MASTER_SOURCE!$A$2:$A$495,0)),"(REF không có trong MASTER_SOURCE)")))</f>
        <v/>
      </c>
      <c r="K4717" s="22">
        <f t="array" ref="K4717">IF($D4717="","",IFERROR(INDEX(MASTER_SOURCE!$C$2:$C$495,MATCH($I4717,MASTER_SOURCE!$A$2:$A$495,0)),""))</f>
        <v/>
      </c>
      <c r="L4717" s="22">
        <f t="array" ref="L4717">IF($D4717="","",IFERROR(INDEX(MASTER_SOURCE!$D$2:$D$495,MATCH($I4717,MASTER_SOURCE!$A$2:$A$495,0)),""))</f>
        <v/>
      </c>
      <c r="M4717" s="24" t="n"/>
      <c r="N4717" s="24" t="n"/>
      <c r="O4717" s="24" t="n"/>
      <c r="P4717" s="24" t="n"/>
      <c r="Q4717" s="22">
        <f>IF($D4717="","",IF(AND(OR(DANH_MUC!$L$5&lt;&gt;"Có",M4717="Có"),OR(DANH_MUC!$L$6&lt;&gt;"Có",N4717="Có"),OR(DANH_MUC!$L$7&lt;&gt;"Có",O4717="Có"),OR(DANH_MUC!$L$8&lt;&gt;"Có",P4717="Có")),"Có","Không"))</f>
        <v/>
      </c>
      <c r="R4717" s="22">
        <f>IF($D4717="","",IF(COUNTIF($D$2:$D4717,$D4717)&gt;1,"Trùng",""))</f>
        <v/>
      </c>
      <c r="S4717" s="22">
        <f>IF($D4717="","",IF(AND(LEN($D4717)=10,LEFT($D4717,1)="0",ISNUMBER(--$D4717)),"Có","Không"))</f>
        <v/>
      </c>
      <c r="T4717" s="22">
        <f>IF($D4717="","",IF(AND($C4717&lt;&gt;"",$Q4717="Có",$R4717="",$S4717="Có",AND($L4717&lt;&gt;"",OR($L4717&lt;&gt;"Chưa xác định",DANH_MUC!$L$9="Có"))),"Có","Không"))</f>
        <v/>
      </c>
      <c r="U4717" s="22">
        <f>IF(OR($D4717="",$T4717="Có"),"",IF($C4717="","Thiếu họ tên; ","")&amp;IF($S4717&lt;&gt;"Có","SĐT sai định dạng; ","")&amp;IF($R4717="Trùng","Trùng SĐT; ","")&amp;IF($Q4717&lt;&gt;"Có","Thiếu đồng ý bắt buộc; ","")&amp;IF($L4717="","Thiếu/sai Mã REF; ",IF(AND($L4717="Chưa xác định",DANH_MUC!$L$9&lt;&gt;"Có"),"Nguồn chưa xác định; ","")))</f>
        <v/>
      </c>
      <c r="V4717" s="22">
        <f>IF(OR($D4717="",$R4717="Trùng"),"",IF(COUNTIF(ORDERS!$C$2:$C$4995,$D4717)&gt;0,"Có","Không"))</f>
        <v/>
      </c>
      <c r="W4717" s="22">
        <f>IF(OR($D4717="",$R4717="Trùng"),"",COUNTIFS(ORDERS!$C$2:$C$4995,$D4717,ORDERS!$L$2:$L$4995,"Đã chuyển khoản"))</f>
        <v/>
      </c>
      <c r="X4717" s="23">
        <f>IF(OR($D4717="",$R4717="Trùng"),"",SUMIFS(ORDERS!$J$2:$J$4995,ORDERS!$C$2:$C$4995,$D4717,ORDERS!$L$2:$L$4995,"Đã chuyển khoản"))</f>
        <v/>
      </c>
      <c r="Y4717" s="24" t="n"/>
    </row>
    <row r="4718" ht="14.25" customHeight="1" s="40">
      <c r="A4718" s="24" t="n"/>
      <c r="B4718" s="27" t="n"/>
      <c r="C4718" s="24" t="n"/>
      <c r="D4718" s="28" t="n"/>
      <c r="E4718" s="29" t="n"/>
      <c r="F4718" s="24" t="n"/>
      <c r="G4718" s="24" t="n"/>
      <c r="H4718" s="21">
        <f>IF(ISNUMBER($B4718),INT($B4718)-WEEKDAY($B4718,2)+1,"")</f>
        <v/>
      </c>
      <c r="I4718" s="24" t="n"/>
      <c r="J4718" s="22">
        <f t="array" ref="J4718">IF($D4718="","",IF($I4718="","(trống REF)",IFERROR(INDEX(MASTER_SOURCE!$B$2:$B$495,MATCH($I4718,MASTER_SOURCE!$A$2:$A$495,0)),"(REF không có trong MASTER_SOURCE)")))</f>
        <v/>
      </c>
      <c r="K4718" s="22">
        <f t="array" ref="K4718">IF($D4718="","",IFERROR(INDEX(MASTER_SOURCE!$C$2:$C$495,MATCH($I4718,MASTER_SOURCE!$A$2:$A$495,0)),""))</f>
        <v/>
      </c>
      <c r="L4718" s="22">
        <f t="array" ref="L4718">IF($D4718="","",IFERROR(INDEX(MASTER_SOURCE!$D$2:$D$495,MATCH($I4718,MASTER_SOURCE!$A$2:$A$495,0)),""))</f>
        <v/>
      </c>
      <c r="M4718" s="24" t="n"/>
      <c r="N4718" s="24" t="n"/>
      <c r="O4718" s="24" t="n"/>
      <c r="P4718" s="24" t="n"/>
      <c r="Q4718" s="22">
        <f>IF($D4718="","",IF(AND(OR(DANH_MUC!$L$5&lt;&gt;"Có",M4718="Có"),OR(DANH_MUC!$L$6&lt;&gt;"Có",N4718="Có"),OR(DANH_MUC!$L$7&lt;&gt;"Có",O4718="Có"),OR(DANH_MUC!$L$8&lt;&gt;"Có",P4718="Có")),"Có","Không"))</f>
        <v/>
      </c>
      <c r="R4718" s="22">
        <f>IF($D4718="","",IF(COUNTIF($D$2:$D4718,$D4718)&gt;1,"Trùng",""))</f>
        <v/>
      </c>
      <c r="S4718" s="22">
        <f>IF($D4718="","",IF(AND(LEN($D4718)=10,LEFT($D4718,1)="0",ISNUMBER(--$D4718)),"Có","Không"))</f>
        <v/>
      </c>
      <c r="T4718" s="22">
        <f>IF($D4718="","",IF(AND($C4718&lt;&gt;"",$Q4718="Có",$R4718="",$S4718="Có",AND($L4718&lt;&gt;"",OR($L4718&lt;&gt;"Chưa xác định",DANH_MUC!$L$9="Có"))),"Có","Không"))</f>
        <v/>
      </c>
      <c r="U4718" s="22">
        <f>IF(OR($D4718="",$T4718="Có"),"",IF($C4718="","Thiếu họ tên; ","")&amp;IF($S4718&lt;&gt;"Có","SĐT sai định dạng; ","")&amp;IF($R4718="Trùng","Trùng SĐT; ","")&amp;IF($Q4718&lt;&gt;"Có","Thiếu đồng ý bắt buộc; ","")&amp;IF($L4718="","Thiếu/sai Mã REF; ",IF(AND($L4718="Chưa xác định",DANH_MUC!$L$9&lt;&gt;"Có"),"Nguồn chưa xác định; ","")))</f>
        <v/>
      </c>
      <c r="V4718" s="22">
        <f>IF(OR($D4718="",$R4718="Trùng"),"",IF(COUNTIF(ORDERS!$C$2:$C$4995,$D4718)&gt;0,"Có","Không"))</f>
        <v/>
      </c>
      <c r="W4718" s="22">
        <f>IF(OR($D4718="",$R4718="Trùng"),"",COUNTIFS(ORDERS!$C$2:$C$4995,$D4718,ORDERS!$L$2:$L$4995,"Đã chuyển khoản"))</f>
        <v/>
      </c>
      <c r="X4718" s="23">
        <f>IF(OR($D4718="",$R4718="Trùng"),"",SUMIFS(ORDERS!$J$2:$J$4995,ORDERS!$C$2:$C$4995,$D4718,ORDERS!$L$2:$L$4995,"Đã chuyển khoản"))</f>
        <v/>
      </c>
      <c r="Y4718" s="24" t="n"/>
    </row>
    <row r="4719" ht="14.25" customHeight="1" s="40">
      <c r="A4719" s="24" t="n"/>
      <c r="B4719" s="27" t="n"/>
      <c r="C4719" s="24" t="n"/>
      <c r="D4719" s="28" t="n"/>
      <c r="E4719" s="29" t="n"/>
      <c r="F4719" s="24" t="n"/>
      <c r="G4719" s="24" t="n"/>
      <c r="H4719" s="21">
        <f>IF(ISNUMBER($B4719),INT($B4719)-WEEKDAY($B4719,2)+1,"")</f>
        <v/>
      </c>
      <c r="I4719" s="24" t="n"/>
      <c r="J4719" s="22">
        <f t="array" ref="J4719">IF($D4719="","",IF($I4719="","(trống REF)",IFERROR(INDEX(MASTER_SOURCE!$B$2:$B$495,MATCH($I4719,MASTER_SOURCE!$A$2:$A$495,0)),"(REF không có trong MASTER_SOURCE)")))</f>
        <v/>
      </c>
      <c r="K4719" s="22">
        <f t="array" ref="K4719">IF($D4719="","",IFERROR(INDEX(MASTER_SOURCE!$C$2:$C$495,MATCH($I4719,MASTER_SOURCE!$A$2:$A$495,0)),""))</f>
        <v/>
      </c>
      <c r="L4719" s="22">
        <f t="array" ref="L4719">IF($D4719="","",IFERROR(INDEX(MASTER_SOURCE!$D$2:$D$495,MATCH($I4719,MASTER_SOURCE!$A$2:$A$495,0)),""))</f>
        <v/>
      </c>
      <c r="M4719" s="24" t="n"/>
      <c r="N4719" s="24" t="n"/>
      <c r="O4719" s="24" t="n"/>
      <c r="P4719" s="24" t="n"/>
      <c r="Q4719" s="22">
        <f>IF($D4719="","",IF(AND(OR(DANH_MUC!$L$5&lt;&gt;"Có",M4719="Có"),OR(DANH_MUC!$L$6&lt;&gt;"Có",N4719="Có"),OR(DANH_MUC!$L$7&lt;&gt;"Có",O4719="Có"),OR(DANH_MUC!$L$8&lt;&gt;"Có",P4719="Có")),"Có","Không"))</f>
        <v/>
      </c>
      <c r="R4719" s="22">
        <f>IF($D4719="","",IF(COUNTIF($D$2:$D4719,$D4719)&gt;1,"Trùng",""))</f>
        <v/>
      </c>
      <c r="S4719" s="22">
        <f>IF($D4719="","",IF(AND(LEN($D4719)=10,LEFT($D4719,1)="0",ISNUMBER(--$D4719)),"Có","Không"))</f>
        <v/>
      </c>
      <c r="T4719" s="22">
        <f>IF($D4719="","",IF(AND($C4719&lt;&gt;"",$Q4719="Có",$R4719="",$S4719="Có",AND($L4719&lt;&gt;"",OR($L4719&lt;&gt;"Chưa xác định",DANH_MUC!$L$9="Có"))),"Có","Không"))</f>
        <v/>
      </c>
      <c r="U4719" s="22">
        <f>IF(OR($D4719="",$T4719="Có"),"",IF($C4719="","Thiếu họ tên; ","")&amp;IF($S4719&lt;&gt;"Có","SĐT sai định dạng; ","")&amp;IF($R4719="Trùng","Trùng SĐT; ","")&amp;IF($Q4719&lt;&gt;"Có","Thiếu đồng ý bắt buộc; ","")&amp;IF($L4719="","Thiếu/sai Mã REF; ",IF(AND($L4719="Chưa xác định",DANH_MUC!$L$9&lt;&gt;"Có"),"Nguồn chưa xác định; ","")))</f>
        <v/>
      </c>
      <c r="V4719" s="22">
        <f>IF(OR($D4719="",$R4719="Trùng"),"",IF(COUNTIF(ORDERS!$C$2:$C$4995,$D4719)&gt;0,"Có","Không"))</f>
        <v/>
      </c>
      <c r="W4719" s="22">
        <f>IF(OR($D4719="",$R4719="Trùng"),"",COUNTIFS(ORDERS!$C$2:$C$4995,$D4719,ORDERS!$L$2:$L$4995,"Đã chuyển khoản"))</f>
        <v/>
      </c>
      <c r="X4719" s="23">
        <f>IF(OR($D4719="",$R4719="Trùng"),"",SUMIFS(ORDERS!$J$2:$J$4995,ORDERS!$C$2:$C$4995,$D4719,ORDERS!$L$2:$L$4995,"Đã chuyển khoản"))</f>
        <v/>
      </c>
      <c r="Y4719" s="24" t="n"/>
    </row>
    <row r="4720" ht="14.25" customHeight="1" s="40">
      <c r="A4720" s="24" t="n"/>
      <c r="B4720" s="27" t="n"/>
      <c r="C4720" s="24" t="n"/>
      <c r="D4720" s="28" t="n"/>
      <c r="E4720" s="29" t="n"/>
      <c r="F4720" s="24" t="n"/>
      <c r="G4720" s="24" t="n"/>
      <c r="H4720" s="21">
        <f>IF(ISNUMBER($B4720),INT($B4720)-WEEKDAY($B4720,2)+1,"")</f>
        <v/>
      </c>
      <c r="I4720" s="24" t="n"/>
      <c r="J4720" s="22">
        <f t="array" ref="J4720">IF($D4720="","",IF($I4720="","(trống REF)",IFERROR(INDEX(MASTER_SOURCE!$B$2:$B$495,MATCH($I4720,MASTER_SOURCE!$A$2:$A$495,0)),"(REF không có trong MASTER_SOURCE)")))</f>
        <v/>
      </c>
      <c r="K4720" s="22">
        <f t="array" ref="K4720">IF($D4720="","",IFERROR(INDEX(MASTER_SOURCE!$C$2:$C$495,MATCH($I4720,MASTER_SOURCE!$A$2:$A$495,0)),""))</f>
        <v/>
      </c>
      <c r="L4720" s="22">
        <f t="array" ref="L4720">IF($D4720="","",IFERROR(INDEX(MASTER_SOURCE!$D$2:$D$495,MATCH($I4720,MASTER_SOURCE!$A$2:$A$495,0)),""))</f>
        <v/>
      </c>
      <c r="M4720" s="24" t="n"/>
      <c r="N4720" s="24" t="n"/>
      <c r="O4720" s="24" t="n"/>
      <c r="P4720" s="24" t="n"/>
      <c r="Q4720" s="22">
        <f>IF($D4720="","",IF(AND(OR(DANH_MUC!$L$5&lt;&gt;"Có",M4720="Có"),OR(DANH_MUC!$L$6&lt;&gt;"Có",N4720="Có"),OR(DANH_MUC!$L$7&lt;&gt;"Có",O4720="Có"),OR(DANH_MUC!$L$8&lt;&gt;"Có",P4720="Có")),"Có","Không"))</f>
        <v/>
      </c>
      <c r="R4720" s="22">
        <f>IF($D4720="","",IF(COUNTIF($D$2:$D4720,$D4720)&gt;1,"Trùng",""))</f>
        <v/>
      </c>
      <c r="S4720" s="22">
        <f>IF($D4720="","",IF(AND(LEN($D4720)=10,LEFT($D4720,1)="0",ISNUMBER(--$D4720)),"Có","Không"))</f>
        <v/>
      </c>
      <c r="T4720" s="22">
        <f>IF($D4720="","",IF(AND($C4720&lt;&gt;"",$Q4720="Có",$R4720="",$S4720="Có",AND($L4720&lt;&gt;"",OR($L4720&lt;&gt;"Chưa xác định",DANH_MUC!$L$9="Có"))),"Có","Không"))</f>
        <v/>
      </c>
      <c r="U4720" s="22">
        <f>IF(OR($D4720="",$T4720="Có"),"",IF($C4720="","Thiếu họ tên; ","")&amp;IF($S4720&lt;&gt;"Có","SĐT sai định dạng; ","")&amp;IF($R4720="Trùng","Trùng SĐT; ","")&amp;IF($Q4720&lt;&gt;"Có","Thiếu đồng ý bắt buộc; ","")&amp;IF($L4720="","Thiếu/sai Mã REF; ",IF(AND($L4720="Chưa xác định",DANH_MUC!$L$9&lt;&gt;"Có"),"Nguồn chưa xác định; ","")))</f>
        <v/>
      </c>
      <c r="V4720" s="22">
        <f>IF(OR($D4720="",$R4720="Trùng"),"",IF(COUNTIF(ORDERS!$C$2:$C$4995,$D4720)&gt;0,"Có","Không"))</f>
        <v/>
      </c>
      <c r="W4720" s="22">
        <f>IF(OR($D4720="",$R4720="Trùng"),"",COUNTIFS(ORDERS!$C$2:$C$4995,$D4720,ORDERS!$L$2:$L$4995,"Đã chuyển khoản"))</f>
        <v/>
      </c>
      <c r="X4720" s="23">
        <f>IF(OR($D4720="",$R4720="Trùng"),"",SUMIFS(ORDERS!$J$2:$J$4995,ORDERS!$C$2:$C$4995,$D4720,ORDERS!$L$2:$L$4995,"Đã chuyển khoản"))</f>
        <v/>
      </c>
      <c r="Y4720" s="24" t="n"/>
    </row>
    <row r="4721" ht="14.25" customHeight="1" s="40">
      <c r="A4721" s="24" t="n"/>
      <c r="B4721" s="27" t="n"/>
      <c r="C4721" s="24" t="n"/>
      <c r="D4721" s="28" t="n"/>
      <c r="E4721" s="29" t="n"/>
      <c r="F4721" s="24" t="n"/>
      <c r="G4721" s="24" t="n"/>
      <c r="H4721" s="21">
        <f>IF(ISNUMBER($B4721),INT($B4721)-WEEKDAY($B4721,2)+1,"")</f>
        <v/>
      </c>
      <c r="I4721" s="24" t="n"/>
      <c r="J4721" s="22">
        <f t="array" ref="J4721">IF($D4721="","",IF($I4721="","(trống REF)",IFERROR(INDEX(MASTER_SOURCE!$B$2:$B$495,MATCH($I4721,MASTER_SOURCE!$A$2:$A$495,0)),"(REF không có trong MASTER_SOURCE)")))</f>
        <v/>
      </c>
      <c r="K4721" s="22">
        <f t="array" ref="K4721">IF($D4721="","",IFERROR(INDEX(MASTER_SOURCE!$C$2:$C$495,MATCH($I4721,MASTER_SOURCE!$A$2:$A$495,0)),""))</f>
        <v/>
      </c>
      <c r="L4721" s="22">
        <f t="array" ref="L4721">IF($D4721="","",IFERROR(INDEX(MASTER_SOURCE!$D$2:$D$495,MATCH($I4721,MASTER_SOURCE!$A$2:$A$495,0)),""))</f>
        <v/>
      </c>
      <c r="M4721" s="24" t="n"/>
      <c r="N4721" s="24" t="n"/>
      <c r="O4721" s="24" t="n"/>
      <c r="P4721" s="24" t="n"/>
      <c r="Q4721" s="22">
        <f>IF($D4721="","",IF(AND(OR(DANH_MUC!$L$5&lt;&gt;"Có",M4721="Có"),OR(DANH_MUC!$L$6&lt;&gt;"Có",N4721="Có"),OR(DANH_MUC!$L$7&lt;&gt;"Có",O4721="Có"),OR(DANH_MUC!$L$8&lt;&gt;"Có",P4721="Có")),"Có","Không"))</f>
        <v/>
      </c>
      <c r="R4721" s="22">
        <f>IF($D4721="","",IF(COUNTIF($D$2:$D4721,$D4721)&gt;1,"Trùng",""))</f>
        <v/>
      </c>
      <c r="S4721" s="22">
        <f>IF($D4721="","",IF(AND(LEN($D4721)=10,LEFT($D4721,1)="0",ISNUMBER(--$D4721)),"Có","Không"))</f>
        <v/>
      </c>
      <c r="T4721" s="22">
        <f>IF($D4721="","",IF(AND($C4721&lt;&gt;"",$Q4721="Có",$R4721="",$S4721="Có",AND($L4721&lt;&gt;"",OR($L4721&lt;&gt;"Chưa xác định",DANH_MUC!$L$9="Có"))),"Có","Không"))</f>
        <v/>
      </c>
      <c r="U4721" s="22">
        <f>IF(OR($D4721="",$T4721="Có"),"",IF($C4721="","Thiếu họ tên; ","")&amp;IF($S4721&lt;&gt;"Có","SĐT sai định dạng; ","")&amp;IF($R4721="Trùng","Trùng SĐT; ","")&amp;IF($Q4721&lt;&gt;"Có","Thiếu đồng ý bắt buộc; ","")&amp;IF($L4721="","Thiếu/sai Mã REF; ",IF(AND($L4721="Chưa xác định",DANH_MUC!$L$9&lt;&gt;"Có"),"Nguồn chưa xác định; ","")))</f>
        <v/>
      </c>
      <c r="V4721" s="22">
        <f>IF(OR($D4721="",$R4721="Trùng"),"",IF(COUNTIF(ORDERS!$C$2:$C$4995,$D4721)&gt;0,"Có","Không"))</f>
        <v/>
      </c>
      <c r="W4721" s="22">
        <f>IF(OR($D4721="",$R4721="Trùng"),"",COUNTIFS(ORDERS!$C$2:$C$4995,$D4721,ORDERS!$L$2:$L$4995,"Đã chuyển khoản"))</f>
        <v/>
      </c>
      <c r="X4721" s="23">
        <f>IF(OR($D4721="",$R4721="Trùng"),"",SUMIFS(ORDERS!$J$2:$J$4995,ORDERS!$C$2:$C$4995,$D4721,ORDERS!$L$2:$L$4995,"Đã chuyển khoản"))</f>
        <v/>
      </c>
      <c r="Y4721" s="24" t="n"/>
    </row>
    <row r="4722" ht="14.25" customHeight="1" s="40">
      <c r="A4722" s="24" t="n"/>
      <c r="B4722" s="27" t="n"/>
      <c r="C4722" s="24" t="n"/>
      <c r="D4722" s="28" t="n"/>
      <c r="E4722" s="29" t="n"/>
      <c r="F4722" s="24" t="n"/>
      <c r="G4722" s="24" t="n"/>
      <c r="H4722" s="21">
        <f>IF(ISNUMBER($B4722),INT($B4722)-WEEKDAY($B4722,2)+1,"")</f>
        <v/>
      </c>
      <c r="I4722" s="24" t="n"/>
      <c r="J4722" s="22">
        <f t="array" ref="J4722">IF($D4722="","",IF($I4722="","(trống REF)",IFERROR(INDEX(MASTER_SOURCE!$B$2:$B$495,MATCH($I4722,MASTER_SOURCE!$A$2:$A$495,0)),"(REF không có trong MASTER_SOURCE)")))</f>
        <v/>
      </c>
      <c r="K4722" s="22">
        <f t="array" ref="K4722">IF($D4722="","",IFERROR(INDEX(MASTER_SOURCE!$C$2:$C$495,MATCH($I4722,MASTER_SOURCE!$A$2:$A$495,0)),""))</f>
        <v/>
      </c>
      <c r="L4722" s="22">
        <f t="array" ref="L4722">IF($D4722="","",IFERROR(INDEX(MASTER_SOURCE!$D$2:$D$495,MATCH($I4722,MASTER_SOURCE!$A$2:$A$495,0)),""))</f>
        <v/>
      </c>
      <c r="M4722" s="24" t="n"/>
      <c r="N4722" s="24" t="n"/>
      <c r="O4722" s="24" t="n"/>
      <c r="P4722" s="24" t="n"/>
      <c r="Q4722" s="22">
        <f>IF($D4722="","",IF(AND(OR(DANH_MUC!$L$5&lt;&gt;"Có",M4722="Có"),OR(DANH_MUC!$L$6&lt;&gt;"Có",N4722="Có"),OR(DANH_MUC!$L$7&lt;&gt;"Có",O4722="Có"),OR(DANH_MUC!$L$8&lt;&gt;"Có",P4722="Có")),"Có","Không"))</f>
        <v/>
      </c>
      <c r="R4722" s="22">
        <f>IF($D4722="","",IF(COUNTIF($D$2:$D4722,$D4722)&gt;1,"Trùng",""))</f>
        <v/>
      </c>
      <c r="S4722" s="22">
        <f>IF($D4722="","",IF(AND(LEN($D4722)=10,LEFT($D4722,1)="0",ISNUMBER(--$D4722)),"Có","Không"))</f>
        <v/>
      </c>
      <c r="T4722" s="22">
        <f>IF($D4722="","",IF(AND($C4722&lt;&gt;"",$Q4722="Có",$R4722="",$S4722="Có",AND($L4722&lt;&gt;"",OR($L4722&lt;&gt;"Chưa xác định",DANH_MUC!$L$9="Có"))),"Có","Không"))</f>
        <v/>
      </c>
      <c r="U4722" s="22">
        <f>IF(OR($D4722="",$T4722="Có"),"",IF($C4722="","Thiếu họ tên; ","")&amp;IF($S4722&lt;&gt;"Có","SĐT sai định dạng; ","")&amp;IF($R4722="Trùng","Trùng SĐT; ","")&amp;IF($Q4722&lt;&gt;"Có","Thiếu đồng ý bắt buộc; ","")&amp;IF($L4722="","Thiếu/sai Mã REF; ",IF(AND($L4722="Chưa xác định",DANH_MUC!$L$9&lt;&gt;"Có"),"Nguồn chưa xác định; ","")))</f>
        <v/>
      </c>
      <c r="V4722" s="22">
        <f>IF(OR($D4722="",$R4722="Trùng"),"",IF(COUNTIF(ORDERS!$C$2:$C$4995,$D4722)&gt;0,"Có","Không"))</f>
        <v/>
      </c>
      <c r="W4722" s="22">
        <f>IF(OR($D4722="",$R4722="Trùng"),"",COUNTIFS(ORDERS!$C$2:$C$4995,$D4722,ORDERS!$L$2:$L$4995,"Đã chuyển khoản"))</f>
        <v/>
      </c>
      <c r="X4722" s="23">
        <f>IF(OR($D4722="",$R4722="Trùng"),"",SUMIFS(ORDERS!$J$2:$J$4995,ORDERS!$C$2:$C$4995,$D4722,ORDERS!$L$2:$L$4995,"Đã chuyển khoản"))</f>
        <v/>
      </c>
      <c r="Y4722" s="24" t="n"/>
    </row>
    <row r="4723" ht="14.25" customHeight="1" s="40">
      <c r="A4723" s="24" t="n"/>
      <c r="B4723" s="27" t="n"/>
      <c r="C4723" s="24" t="n"/>
      <c r="D4723" s="28" t="n"/>
      <c r="E4723" s="29" t="n"/>
      <c r="F4723" s="24" t="n"/>
      <c r="G4723" s="24" t="n"/>
      <c r="H4723" s="21">
        <f>IF(ISNUMBER($B4723),INT($B4723)-WEEKDAY($B4723,2)+1,"")</f>
        <v/>
      </c>
      <c r="I4723" s="24" t="n"/>
      <c r="J4723" s="22">
        <f t="array" ref="J4723">IF($D4723="","",IF($I4723="","(trống REF)",IFERROR(INDEX(MASTER_SOURCE!$B$2:$B$495,MATCH($I4723,MASTER_SOURCE!$A$2:$A$495,0)),"(REF không có trong MASTER_SOURCE)")))</f>
        <v/>
      </c>
      <c r="K4723" s="22">
        <f t="array" ref="K4723">IF($D4723="","",IFERROR(INDEX(MASTER_SOURCE!$C$2:$C$495,MATCH($I4723,MASTER_SOURCE!$A$2:$A$495,0)),""))</f>
        <v/>
      </c>
      <c r="L4723" s="22">
        <f t="array" ref="L4723">IF($D4723="","",IFERROR(INDEX(MASTER_SOURCE!$D$2:$D$495,MATCH($I4723,MASTER_SOURCE!$A$2:$A$495,0)),""))</f>
        <v/>
      </c>
      <c r="M4723" s="24" t="n"/>
      <c r="N4723" s="24" t="n"/>
      <c r="O4723" s="24" t="n"/>
      <c r="P4723" s="24" t="n"/>
      <c r="Q4723" s="22">
        <f>IF($D4723="","",IF(AND(OR(DANH_MUC!$L$5&lt;&gt;"Có",M4723="Có"),OR(DANH_MUC!$L$6&lt;&gt;"Có",N4723="Có"),OR(DANH_MUC!$L$7&lt;&gt;"Có",O4723="Có"),OR(DANH_MUC!$L$8&lt;&gt;"Có",P4723="Có")),"Có","Không"))</f>
        <v/>
      </c>
      <c r="R4723" s="22">
        <f>IF($D4723="","",IF(COUNTIF($D$2:$D4723,$D4723)&gt;1,"Trùng",""))</f>
        <v/>
      </c>
      <c r="S4723" s="22">
        <f>IF($D4723="","",IF(AND(LEN($D4723)=10,LEFT($D4723,1)="0",ISNUMBER(--$D4723)),"Có","Không"))</f>
        <v/>
      </c>
      <c r="T4723" s="22">
        <f>IF($D4723="","",IF(AND($C4723&lt;&gt;"",$Q4723="Có",$R4723="",$S4723="Có",AND($L4723&lt;&gt;"",OR($L4723&lt;&gt;"Chưa xác định",DANH_MUC!$L$9="Có"))),"Có","Không"))</f>
        <v/>
      </c>
      <c r="U4723" s="22">
        <f>IF(OR($D4723="",$T4723="Có"),"",IF($C4723="","Thiếu họ tên; ","")&amp;IF($S4723&lt;&gt;"Có","SĐT sai định dạng; ","")&amp;IF($R4723="Trùng","Trùng SĐT; ","")&amp;IF($Q4723&lt;&gt;"Có","Thiếu đồng ý bắt buộc; ","")&amp;IF($L4723="","Thiếu/sai Mã REF; ",IF(AND($L4723="Chưa xác định",DANH_MUC!$L$9&lt;&gt;"Có"),"Nguồn chưa xác định; ","")))</f>
        <v/>
      </c>
      <c r="V4723" s="22">
        <f>IF(OR($D4723="",$R4723="Trùng"),"",IF(COUNTIF(ORDERS!$C$2:$C$4995,$D4723)&gt;0,"Có","Không"))</f>
        <v/>
      </c>
      <c r="W4723" s="22">
        <f>IF(OR($D4723="",$R4723="Trùng"),"",COUNTIFS(ORDERS!$C$2:$C$4995,$D4723,ORDERS!$L$2:$L$4995,"Đã chuyển khoản"))</f>
        <v/>
      </c>
      <c r="X4723" s="23">
        <f>IF(OR($D4723="",$R4723="Trùng"),"",SUMIFS(ORDERS!$J$2:$J$4995,ORDERS!$C$2:$C$4995,$D4723,ORDERS!$L$2:$L$4995,"Đã chuyển khoản"))</f>
        <v/>
      </c>
      <c r="Y4723" s="24" t="n"/>
    </row>
    <row r="4724" ht="14.25" customHeight="1" s="40">
      <c r="A4724" s="24" t="n"/>
      <c r="B4724" s="27" t="n"/>
      <c r="C4724" s="24" t="n"/>
      <c r="D4724" s="28" t="n"/>
      <c r="E4724" s="29" t="n"/>
      <c r="F4724" s="24" t="n"/>
      <c r="G4724" s="24" t="n"/>
      <c r="H4724" s="21">
        <f>IF(ISNUMBER($B4724),INT($B4724)-WEEKDAY($B4724,2)+1,"")</f>
        <v/>
      </c>
      <c r="I4724" s="24" t="n"/>
      <c r="J4724" s="22">
        <f t="array" ref="J4724">IF($D4724="","",IF($I4724="","(trống REF)",IFERROR(INDEX(MASTER_SOURCE!$B$2:$B$495,MATCH($I4724,MASTER_SOURCE!$A$2:$A$495,0)),"(REF không có trong MASTER_SOURCE)")))</f>
        <v/>
      </c>
      <c r="K4724" s="22">
        <f t="array" ref="K4724">IF($D4724="","",IFERROR(INDEX(MASTER_SOURCE!$C$2:$C$495,MATCH($I4724,MASTER_SOURCE!$A$2:$A$495,0)),""))</f>
        <v/>
      </c>
      <c r="L4724" s="22">
        <f t="array" ref="L4724">IF($D4724="","",IFERROR(INDEX(MASTER_SOURCE!$D$2:$D$495,MATCH($I4724,MASTER_SOURCE!$A$2:$A$495,0)),""))</f>
        <v/>
      </c>
      <c r="M4724" s="24" t="n"/>
      <c r="N4724" s="24" t="n"/>
      <c r="O4724" s="24" t="n"/>
      <c r="P4724" s="24" t="n"/>
      <c r="Q4724" s="22">
        <f>IF($D4724="","",IF(AND(OR(DANH_MUC!$L$5&lt;&gt;"Có",M4724="Có"),OR(DANH_MUC!$L$6&lt;&gt;"Có",N4724="Có"),OR(DANH_MUC!$L$7&lt;&gt;"Có",O4724="Có"),OR(DANH_MUC!$L$8&lt;&gt;"Có",P4724="Có")),"Có","Không"))</f>
        <v/>
      </c>
      <c r="R4724" s="22">
        <f>IF($D4724="","",IF(COUNTIF($D$2:$D4724,$D4724)&gt;1,"Trùng",""))</f>
        <v/>
      </c>
      <c r="S4724" s="22">
        <f>IF($D4724="","",IF(AND(LEN($D4724)=10,LEFT($D4724,1)="0",ISNUMBER(--$D4724)),"Có","Không"))</f>
        <v/>
      </c>
      <c r="T4724" s="22">
        <f>IF($D4724="","",IF(AND($C4724&lt;&gt;"",$Q4724="Có",$R4724="",$S4724="Có",AND($L4724&lt;&gt;"",OR($L4724&lt;&gt;"Chưa xác định",DANH_MUC!$L$9="Có"))),"Có","Không"))</f>
        <v/>
      </c>
      <c r="U4724" s="22">
        <f>IF(OR($D4724="",$T4724="Có"),"",IF($C4724="","Thiếu họ tên; ","")&amp;IF($S4724&lt;&gt;"Có","SĐT sai định dạng; ","")&amp;IF($R4724="Trùng","Trùng SĐT; ","")&amp;IF($Q4724&lt;&gt;"Có","Thiếu đồng ý bắt buộc; ","")&amp;IF($L4724="","Thiếu/sai Mã REF; ",IF(AND($L4724="Chưa xác định",DANH_MUC!$L$9&lt;&gt;"Có"),"Nguồn chưa xác định; ","")))</f>
        <v/>
      </c>
      <c r="V4724" s="22">
        <f>IF(OR($D4724="",$R4724="Trùng"),"",IF(COUNTIF(ORDERS!$C$2:$C$4995,$D4724)&gt;0,"Có","Không"))</f>
        <v/>
      </c>
      <c r="W4724" s="22">
        <f>IF(OR($D4724="",$R4724="Trùng"),"",COUNTIFS(ORDERS!$C$2:$C$4995,$D4724,ORDERS!$L$2:$L$4995,"Đã chuyển khoản"))</f>
        <v/>
      </c>
      <c r="X4724" s="23">
        <f>IF(OR($D4724="",$R4724="Trùng"),"",SUMIFS(ORDERS!$J$2:$J$4995,ORDERS!$C$2:$C$4995,$D4724,ORDERS!$L$2:$L$4995,"Đã chuyển khoản"))</f>
        <v/>
      </c>
      <c r="Y4724" s="24" t="n"/>
    </row>
    <row r="4725" ht="14.25" customHeight="1" s="40">
      <c r="A4725" s="24" t="n"/>
      <c r="B4725" s="27" t="n"/>
      <c r="C4725" s="24" t="n"/>
      <c r="D4725" s="28" t="n"/>
      <c r="E4725" s="29" t="n"/>
      <c r="F4725" s="24" t="n"/>
      <c r="G4725" s="24" t="n"/>
      <c r="H4725" s="21">
        <f>IF(ISNUMBER($B4725),INT($B4725)-WEEKDAY($B4725,2)+1,"")</f>
        <v/>
      </c>
      <c r="I4725" s="24" t="n"/>
      <c r="J4725" s="22">
        <f t="array" ref="J4725">IF($D4725="","",IF($I4725="","(trống REF)",IFERROR(INDEX(MASTER_SOURCE!$B$2:$B$495,MATCH($I4725,MASTER_SOURCE!$A$2:$A$495,0)),"(REF không có trong MASTER_SOURCE)")))</f>
        <v/>
      </c>
      <c r="K4725" s="22">
        <f t="array" ref="K4725">IF($D4725="","",IFERROR(INDEX(MASTER_SOURCE!$C$2:$C$495,MATCH($I4725,MASTER_SOURCE!$A$2:$A$495,0)),""))</f>
        <v/>
      </c>
      <c r="L4725" s="22">
        <f t="array" ref="L4725">IF($D4725="","",IFERROR(INDEX(MASTER_SOURCE!$D$2:$D$495,MATCH($I4725,MASTER_SOURCE!$A$2:$A$495,0)),""))</f>
        <v/>
      </c>
      <c r="M4725" s="24" t="n"/>
      <c r="N4725" s="24" t="n"/>
      <c r="O4725" s="24" t="n"/>
      <c r="P4725" s="24" t="n"/>
      <c r="Q4725" s="22">
        <f>IF($D4725="","",IF(AND(OR(DANH_MUC!$L$5&lt;&gt;"Có",M4725="Có"),OR(DANH_MUC!$L$6&lt;&gt;"Có",N4725="Có"),OR(DANH_MUC!$L$7&lt;&gt;"Có",O4725="Có"),OR(DANH_MUC!$L$8&lt;&gt;"Có",P4725="Có")),"Có","Không"))</f>
        <v/>
      </c>
      <c r="R4725" s="22">
        <f>IF($D4725="","",IF(COUNTIF($D$2:$D4725,$D4725)&gt;1,"Trùng",""))</f>
        <v/>
      </c>
      <c r="S4725" s="22">
        <f>IF($D4725="","",IF(AND(LEN($D4725)=10,LEFT($D4725,1)="0",ISNUMBER(--$D4725)),"Có","Không"))</f>
        <v/>
      </c>
      <c r="T4725" s="22">
        <f>IF($D4725="","",IF(AND($C4725&lt;&gt;"",$Q4725="Có",$R4725="",$S4725="Có",AND($L4725&lt;&gt;"",OR($L4725&lt;&gt;"Chưa xác định",DANH_MUC!$L$9="Có"))),"Có","Không"))</f>
        <v/>
      </c>
      <c r="U4725" s="22">
        <f>IF(OR($D4725="",$T4725="Có"),"",IF($C4725="","Thiếu họ tên; ","")&amp;IF($S4725&lt;&gt;"Có","SĐT sai định dạng; ","")&amp;IF($R4725="Trùng","Trùng SĐT; ","")&amp;IF($Q4725&lt;&gt;"Có","Thiếu đồng ý bắt buộc; ","")&amp;IF($L4725="","Thiếu/sai Mã REF; ",IF(AND($L4725="Chưa xác định",DANH_MUC!$L$9&lt;&gt;"Có"),"Nguồn chưa xác định; ","")))</f>
        <v/>
      </c>
      <c r="V4725" s="22">
        <f>IF(OR($D4725="",$R4725="Trùng"),"",IF(COUNTIF(ORDERS!$C$2:$C$4995,$D4725)&gt;0,"Có","Không"))</f>
        <v/>
      </c>
      <c r="W4725" s="22">
        <f>IF(OR($D4725="",$R4725="Trùng"),"",COUNTIFS(ORDERS!$C$2:$C$4995,$D4725,ORDERS!$L$2:$L$4995,"Đã chuyển khoản"))</f>
        <v/>
      </c>
      <c r="X4725" s="23">
        <f>IF(OR($D4725="",$R4725="Trùng"),"",SUMIFS(ORDERS!$J$2:$J$4995,ORDERS!$C$2:$C$4995,$D4725,ORDERS!$L$2:$L$4995,"Đã chuyển khoản"))</f>
        <v/>
      </c>
      <c r="Y4725" s="24" t="n"/>
    </row>
    <row r="4726" ht="14.25" customHeight="1" s="40">
      <c r="A4726" s="24" t="n"/>
      <c r="B4726" s="27" t="n"/>
      <c r="C4726" s="24" t="n"/>
      <c r="D4726" s="28" t="n"/>
      <c r="E4726" s="29" t="n"/>
      <c r="F4726" s="24" t="n"/>
      <c r="G4726" s="24" t="n"/>
      <c r="H4726" s="21">
        <f>IF(ISNUMBER($B4726),INT($B4726)-WEEKDAY($B4726,2)+1,"")</f>
        <v/>
      </c>
      <c r="I4726" s="24" t="n"/>
      <c r="J4726" s="22">
        <f t="array" ref="J4726">IF($D4726="","",IF($I4726="","(trống REF)",IFERROR(INDEX(MASTER_SOURCE!$B$2:$B$495,MATCH($I4726,MASTER_SOURCE!$A$2:$A$495,0)),"(REF không có trong MASTER_SOURCE)")))</f>
        <v/>
      </c>
      <c r="K4726" s="22">
        <f t="array" ref="K4726">IF($D4726="","",IFERROR(INDEX(MASTER_SOURCE!$C$2:$C$495,MATCH($I4726,MASTER_SOURCE!$A$2:$A$495,0)),""))</f>
        <v/>
      </c>
      <c r="L4726" s="22">
        <f t="array" ref="L4726">IF($D4726="","",IFERROR(INDEX(MASTER_SOURCE!$D$2:$D$495,MATCH($I4726,MASTER_SOURCE!$A$2:$A$495,0)),""))</f>
        <v/>
      </c>
      <c r="M4726" s="24" t="n"/>
      <c r="N4726" s="24" t="n"/>
      <c r="O4726" s="24" t="n"/>
      <c r="P4726" s="24" t="n"/>
      <c r="Q4726" s="22">
        <f>IF($D4726="","",IF(AND(OR(DANH_MUC!$L$5&lt;&gt;"Có",M4726="Có"),OR(DANH_MUC!$L$6&lt;&gt;"Có",N4726="Có"),OR(DANH_MUC!$L$7&lt;&gt;"Có",O4726="Có"),OR(DANH_MUC!$L$8&lt;&gt;"Có",P4726="Có")),"Có","Không"))</f>
        <v/>
      </c>
      <c r="R4726" s="22">
        <f>IF($D4726="","",IF(COUNTIF($D$2:$D4726,$D4726)&gt;1,"Trùng",""))</f>
        <v/>
      </c>
      <c r="S4726" s="22">
        <f>IF($D4726="","",IF(AND(LEN($D4726)=10,LEFT($D4726,1)="0",ISNUMBER(--$D4726)),"Có","Không"))</f>
        <v/>
      </c>
      <c r="T4726" s="22">
        <f>IF($D4726="","",IF(AND($C4726&lt;&gt;"",$Q4726="Có",$R4726="",$S4726="Có",AND($L4726&lt;&gt;"",OR($L4726&lt;&gt;"Chưa xác định",DANH_MUC!$L$9="Có"))),"Có","Không"))</f>
        <v/>
      </c>
      <c r="U4726" s="22">
        <f>IF(OR($D4726="",$T4726="Có"),"",IF($C4726="","Thiếu họ tên; ","")&amp;IF($S4726&lt;&gt;"Có","SĐT sai định dạng; ","")&amp;IF($R4726="Trùng","Trùng SĐT; ","")&amp;IF($Q4726&lt;&gt;"Có","Thiếu đồng ý bắt buộc; ","")&amp;IF($L4726="","Thiếu/sai Mã REF; ",IF(AND($L4726="Chưa xác định",DANH_MUC!$L$9&lt;&gt;"Có"),"Nguồn chưa xác định; ","")))</f>
        <v/>
      </c>
      <c r="V4726" s="22">
        <f>IF(OR($D4726="",$R4726="Trùng"),"",IF(COUNTIF(ORDERS!$C$2:$C$4995,$D4726)&gt;0,"Có","Không"))</f>
        <v/>
      </c>
      <c r="W4726" s="22">
        <f>IF(OR($D4726="",$R4726="Trùng"),"",COUNTIFS(ORDERS!$C$2:$C$4995,$D4726,ORDERS!$L$2:$L$4995,"Đã chuyển khoản"))</f>
        <v/>
      </c>
      <c r="X4726" s="23">
        <f>IF(OR($D4726="",$R4726="Trùng"),"",SUMIFS(ORDERS!$J$2:$J$4995,ORDERS!$C$2:$C$4995,$D4726,ORDERS!$L$2:$L$4995,"Đã chuyển khoản"))</f>
        <v/>
      </c>
      <c r="Y4726" s="24" t="n"/>
    </row>
    <row r="4727" ht="14.25" customHeight="1" s="40">
      <c r="A4727" s="24" t="n"/>
      <c r="B4727" s="27" t="n"/>
      <c r="C4727" s="24" t="n"/>
      <c r="D4727" s="28" t="n"/>
      <c r="E4727" s="29" t="n"/>
      <c r="F4727" s="24" t="n"/>
      <c r="G4727" s="24" t="n"/>
      <c r="H4727" s="21">
        <f>IF(ISNUMBER($B4727),INT($B4727)-WEEKDAY($B4727,2)+1,"")</f>
        <v/>
      </c>
      <c r="I4727" s="24" t="n"/>
      <c r="J4727" s="22">
        <f t="array" ref="J4727">IF($D4727="","",IF($I4727="","(trống REF)",IFERROR(INDEX(MASTER_SOURCE!$B$2:$B$495,MATCH($I4727,MASTER_SOURCE!$A$2:$A$495,0)),"(REF không có trong MASTER_SOURCE)")))</f>
        <v/>
      </c>
      <c r="K4727" s="22">
        <f t="array" ref="K4727">IF($D4727="","",IFERROR(INDEX(MASTER_SOURCE!$C$2:$C$495,MATCH($I4727,MASTER_SOURCE!$A$2:$A$495,0)),""))</f>
        <v/>
      </c>
      <c r="L4727" s="22">
        <f t="array" ref="L4727">IF($D4727="","",IFERROR(INDEX(MASTER_SOURCE!$D$2:$D$495,MATCH($I4727,MASTER_SOURCE!$A$2:$A$495,0)),""))</f>
        <v/>
      </c>
      <c r="M4727" s="24" t="n"/>
      <c r="N4727" s="24" t="n"/>
      <c r="O4727" s="24" t="n"/>
      <c r="P4727" s="24" t="n"/>
      <c r="Q4727" s="22">
        <f>IF($D4727="","",IF(AND(OR(DANH_MUC!$L$5&lt;&gt;"Có",M4727="Có"),OR(DANH_MUC!$L$6&lt;&gt;"Có",N4727="Có"),OR(DANH_MUC!$L$7&lt;&gt;"Có",O4727="Có"),OR(DANH_MUC!$L$8&lt;&gt;"Có",P4727="Có")),"Có","Không"))</f>
        <v/>
      </c>
      <c r="R4727" s="22">
        <f>IF($D4727="","",IF(COUNTIF($D$2:$D4727,$D4727)&gt;1,"Trùng",""))</f>
        <v/>
      </c>
      <c r="S4727" s="22">
        <f>IF($D4727="","",IF(AND(LEN($D4727)=10,LEFT($D4727,1)="0",ISNUMBER(--$D4727)),"Có","Không"))</f>
        <v/>
      </c>
      <c r="T4727" s="22">
        <f>IF($D4727="","",IF(AND($C4727&lt;&gt;"",$Q4727="Có",$R4727="",$S4727="Có",AND($L4727&lt;&gt;"",OR($L4727&lt;&gt;"Chưa xác định",DANH_MUC!$L$9="Có"))),"Có","Không"))</f>
        <v/>
      </c>
      <c r="U4727" s="22">
        <f>IF(OR($D4727="",$T4727="Có"),"",IF($C4727="","Thiếu họ tên; ","")&amp;IF($S4727&lt;&gt;"Có","SĐT sai định dạng; ","")&amp;IF($R4727="Trùng","Trùng SĐT; ","")&amp;IF($Q4727&lt;&gt;"Có","Thiếu đồng ý bắt buộc; ","")&amp;IF($L4727="","Thiếu/sai Mã REF; ",IF(AND($L4727="Chưa xác định",DANH_MUC!$L$9&lt;&gt;"Có"),"Nguồn chưa xác định; ","")))</f>
        <v/>
      </c>
      <c r="V4727" s="22">
        <f>IF(OR($D4727="",$R4727="Trùng"),"",IF(COUNTIF(ORDERS!$C$2:$C$4995,$D4727)&gt;0,"Có","Không"))</f>
        <v/>
      </c>
      <c r="W4727" s="22">
        <f>IF(OR($D4727="",$R4727="Trùng"),"",COUNTIFS(ORDERS!$C$2:$C$4995,$D4727,ORDERS!$L$2:$L$4995,"Đã chuyển khoản"))</f>
        <v/>
      </c>
      <c r="X4727" s="23">
        <f>IF(OR($D4727="",$R4727="Trùng"),"",SUMIFS(ORDERS!$J$2:$J$4995,ORDERS!$C$2:$C$4995,$D4727,ORDERS!$L$2:$L$4995,"Đã chuyển khoản"))</f>
        <v/>
      </c>
      <c r="Y4727" s="24" t="n"/>
    </row>
    <row r="4728" ht="14.25" customHeight="1" s="40">
      <c r="A4728" s="24" t="n"/>
      <c r="B4728" s="27" t="n"/>
      <c r="C4728" s="24" t="n"/>
      <c r="D4728" s="28" t="n"/>
      <c r="E4728" s="29" t="n"/>
      <c r="F4728" s="24" t="n"/>
      <c r="G4728" s="24" t="n"/>
      <c r="H4728" s="21">
        <f>IF(ISNUMBER($B4728),INT($B4728)-WEEKDAY($B4728,2)+1,"")</f>
        <v/>
      </c>
      <c r="I4728" s="24" t="n"/>
      <c r="J4728" s="22">
        <f t="array" ref="J4728">IF($D4728="","",IF($I4728="","(trống REF)",IFERROR(INDEX(MASTER_SOURCE!$B$2:$B$495,MATCH($I4728,MASTER_SOURCE!$A$2:$A$495,0)),"(REF không có trong MASTER_SOURCE)")))</f>
        <v/>
      </c>
      <c r="K4728" s="22">
        <f t="array" ref="K4728">IF($D4728="","",IFERROR(INDEX(MASTER_SOURCE!$C$2:$C$495,MATCH($I4728,MASTER_SOURCE!$A$2:$A$495,0)),""))</f>
        <v/>
      </c>
      <c r="L4728" s="22">
        <f t="array" ref="L4728">IF($D4728="","",IFERROR(INDEX(MASTER_SOURCE!$D$2:$D$495,MATCH($I4728,MASTER_SOURCE!$A$2:$A$495,0)),""))</f>
        <v/>
      </c>
      <c r="M4728" s="24" t="n"/>
      <c r="N4728" s="24" t="n"/>
      <c r="O4728" s="24" t="n"/>
      <c r="P4728" s="24" t="n"/>
      <c r="Q4728" s="22">
        <f>IF($D4728="","",IF(AND(OR(DANH_MUC!$L$5&lt;&gt;"Có",M4728="Có"),OR(DANH_MUC!$L$6&lt;&gt;"Có",N4728="Có"),OR(DANH_MUC!$L$7&lt;&gt;"Có",O4728="Có"),OR(DANH_MUC!$L$8&lt;&gt;"Có",P4728="Có")),"Có","Không"))</f>
        <v/>
      </c>
      <c r="R4728" s="22">
        <f>IF($D4728="","",IF(COUNTIF($D$2:$D4728,$D4728)&gt;1,"Trùng",""))</f>
        <v/>
      </c>
      <c r="S4728" s="22">
        <f>IF($D4728="","",IF(AND(LEN($D4728)=10,LEFT($D4728,1)="0",ISNUMBER(--$D4728)),"Có","Không"))</f>
        <v/>
      </c>
      <c r="T4728" s="22">
        <f>IF($D4728="","",IF(AND($C4728&lt;&gt;"",$Q4728="Có",$R4728="",$S4728="Có",AND($L4728&lt;&gt;"",OR($L4728&lt;&gt;"Chưa xác định",DANH_MUC!$L$9="Có"))),"Có","Không"))</f>
        <v/>
      </c>
      <c r="U4728" s="22">
        <f>IF(OR($D4728="",$T4728="Có"),"",IF($C4728="","Thiếu họ tên; ","")&amp;IF($S4728&lt;&gt;"Có","SĐT sai định dạng; ","")&amp;IF($R4728="Trùng","Trùng SĐT; ","")&amp;IF($Q4728&lt;&gt;"Có","Thiếu đồng ý bắt buộc; ","")&amp;IF($L4728="","Thiếu/sai Mã REF; ",IF(AND($L4728="Chưa xác định",DANH_MUC!$L$9&lt;&gt;"Có"),"Nguồn chưa xác định; ","")))</f>
        <v/>
      </c>
      <c r="V4728" s="22">
        <f>IF(OR($D4728="",$R4728="Trùng"),"",IF(COUNTIF(ORDERS!$C$2:$C$4995,$D4728)&gt;0,"Có","Không"))</f>
        <v/>
      </c>
      <c r="W4728" s="22">
        <f>IF(OR($D4728="",$R4728="Trùng"),"",COUNTIFS(ORDERS!$C$2:$C$4995,$D4728,ORDERS!$L$2:$L$4995,"Đã chuyển khoản"))</f>
        <v/>
      </c>
      <c r="X4728" s="23">
        <f>IF(OR($D4728="",$R4728="Trùng"),"",SUMIFS(ORDERS!$J$2:$J$4995,ORDERS!$C$2:$C$4995,$D4728,ORDERS!$L$2:$L$4995,"Đã chuyển khoản"))</f>
        <v/>
      </c>
      <c r="Y4728" s="24" t="n"/>
    </row>
    <row r="4729" ht="14.25" customHeight="1" s="40">
      <c r="A4729" s="24" t="n"/>
      <c r="B4729" s="27" t="n"/>
      <c r="C4729" s="24" t="n"/>
      <c r="D4729" s="28" t="n"/>
      <c r="E4729" s="29" t="n"/>
      <c r="F4729" s="24" t="n"/>
      <c r="G4729" s="24" t="n"/>
      <c r="H4729" s="21">
        <f>IF(ISNUMBER($B4729),INT($B4729)-WEEKDAY($B4729,2)+1,"")</f>
        <v/>
      </c>
      <c r="I4729" s="24" t="n"/>
      <c r="J4729" s="22">
        <f t="array" ref="J4729">IF($D4729="","",IF($I4729="","(trống REF)",IFERROR(INDEX(MASTER_SOURCE!$B$2:$B$495,MATCH($I4729,MASTER_SOURCE!$A$2:$A$495,0)),"(REF không có trong MASTER_SOURCE)")))</f>
        <v/>
      </c>
      <c r="K4729" s="22">
        <f t="array" ref="K4729">IF($D4729="","",IFERROR(INDEX(MASTER_SOURCE!$C$2:$C$495,MATCH($I4729,MASTER_SOURCE!$A$2:$A$495,0)),""))</f>
        <v/>
      </c>
      <c r="L4729" s="22">
        <f t="array" ref="L4729">IF($D4729="","",IFERROR(INDEX(MASTER_SOURCE!$D$2:$D$495,MATCH($I4729,MASTER_SOURCE!$A$2:$A$495,0)),""))</f>
        <v/>
      </c>
      <c r="M4729" s="24" t="n"/>
      <c r="N4729" s="24" t="n"/>
      <c r="O4729" s="24" t="n"/>
      <c r="P4729" s="24" t="n"/>
      <c r="Q4729" s="22">
        <f>IF($D4729="","",IF(AND(OR(DANH_MUC!$L$5&lt;&gt;"Có",M4729="Có"),OR(DANH_MUC!$L$6&lt;&gt;"Có",N4729="Có"),OR(DANH_MUC!$L$7&lt;&gt;"Có",O4729="Có"),OR(DANH_MUC!$L$8&lt;&gt;"Có",P4729="Có")),"Có","Không"))</f>
        <v/>
      </c>
      <c r="R4729" s="22">
        <f>IF($D4729="","",IF(COUNTIF($D$2:$D4729,$D4729)&gt;1,"Trùng",""))</f>
        <v/>
      </c>
      <c r="S4729" s="22">
        <f>IF($D4729="","",IF(AND(LEN($D4729)=10,LEFT($D4729,1)="0",ISNUMBER(--$D4729)),"Có","Không"))</f>
        <v/>
      </c>
      <c r="T4729" s="22">
        <f>IF($D4729="","",IF(AND($C4729&lt;&gt;"",$Q4729="Có",$R4729="",$S4729="Có",AND($L4729&lt;&gt;"",OR($L4729&lt;&gt;"Chưa xác định",DANH_MUC!$L$9="Có"))),"Có","Không"))</f>
        <v/>
      </c>
      <c r="U4729" s="22">
        <f>IF(OR($D4729="",$T4729="Có"),"",IF($C4729="","Thiếu họ tên; ","")&amp;IF($S4729&lt;&gt;"Có","SĐT sai định dạng; ","")&amp;IF($R4729="Trùng","Trùng SĐT; ","")&amp;IF($Q4729&lt;&gt;"Có","Thiếu đồng ý bắt buộc; ","")&amp;IF($L4729="","Thiếu/sai Mã REF; ",IF(AND($L4729="Chưa xác định",DANH_MUC!$L$9&lt;&gt;"Có"),"Nguồn chưa xác định; ","")))</f>
        <v/>
      </c>
      <c r="V4729" s="22">
        <f>IF(OR($D4729="",$R4729="Trùng"),"",IF(COUNTIF(ORDERS!$C$2:$C$4995,$D4729)&gt;0,"Có","Không"))</f>
        <v/>
      </c>
      <c r="W4729" s="22">
        <f>IF(OR($D4729="",$R4729="Trùng"),"",COUNTIFS(ORDERS!$C$2:$C$4995,$D4729,ORDERS!$L$2:$L$4995,"Đã chuyển khoản"))</f>
        <v/>
      </c>
      <c r="X4729" s="23">
        <f>IF(OR($D4729="",$R4729="Trùng"),"",SUMIFS(ORDERS!$J$2:$J$4995,ORDERS!$C$2:$C$4995,$D4729,ORDERS!$L$2:$L$4995,"Đã chuyển khoản"))</f>
        <v/>
      </c>
      <c r="Y4729" s="24" t="n"/>
    </row>
    <row r="4730" ht="14.25" customHeight="1" s="40">
      <c r="A4730" s="24" t="n"/>
      <c r="B4730" s="27" t="n"/>
      <c r="C4730" s="24" t="n"/>
      <c r="D4730" s="28" t="n"/>
      <c r="E4730" s="29" t="n"/>
      <c r="F4730" s="24" t="n"/>
      <c r="G4730" s="24" t="n"/>
      <c r="H4730" s="21">
        <f>IF(ISNUMBER($B4730),INT($B4730)-WEEKDAY($B4730,2)+1,"")</f>
        <v/>
      </c>
      <c r="I4730" s="24" t="n"/>
      <c r="J4730" s="22">
        <f t="array" ref="J4730">IF($D4730="","",IF($I4730="","(trống REF)",IFERROR(INDEX(MASTER_SOURCE!$B$2:$B$495,MATCH($I4730,MASTER_SOURCE!$A$2:$A$495,0)),"(REF không có trong MASTER_SOURCE)")))</f>
        <v/>
      </c>
      <c r="K4730" s="22">
        <f t="array" ref="K4730">IF($D4730="","",IFERROR(INDEX(MASTER_SOURCE!$C$2:$C$495,MATCH($I4730,MASTER_SOURCE!$A$2:$A$495,0)),""))</f>
        <v/>
      </c>
      <c r="L4730" s="22">
        <f t="array" ref="L4730">IF($D4730="","",IFERROR(INDEX(MASTER_SOURCE!$D$2:$D$495,MATCH($I4730,MASTER_SOURCE!$A$2:$A$495,0)),""))</f>
        <v/>
      </c>
      <c r="M4730" s="24" t="n"/>
      <c r="N4730" s="24" t="n"/>
      <c r="O4730" s="24" t="n"/>
      <c r="P4730" s="24" t="n"/>
      <c r="Q4730" s="22">
        <f>IF($D4730="","",IF(AND(OR(DANH_MUC!$L$5&lt;&gt;"Có",M4730="Có"),OR(DANH_MUC!$L$6&lt;&gt;"Có",N4730="Có"),OR(DANH_MUC!$L$7&lt;&gt;"Có",O4730="Có"),OR(DANH_MUC!$L$8&lt;&gt;"Có",P4730="Có")),"Có","Không"))</f>
        <v/>
      </c>
      <c r="R4730" s="22">
        <f>IF($D4730="","",IF(COUNTIF($D$2:$D4730,$D4730)&gt;1,"Trùng",""))</f>
        <v/>
      </c>
      <c r="S4730" s="22">
        <f>IF($D4730="","",IF(AND(LEN($D4730)=10,LEFT($D4730,1)="0",ISNUMBER(--$D4730)),"Có","Không"))</f>
        <v/>
      </c>
      <c r="T4730" s="22">
        <f>IF($D4730="","",IF(AND($C4730&lt;&gt;"",$Q4730="Có",$R4730="",$S4730="Có",AND($L4730&lt;&gt;"",OR($L4730&lt;&gt;"Chưa xác định",DANH_MUC!$L$9="Có"))),"Có","Không"))</f>
        <v/>
      </c>
      <c r="U4730" s="22">
        <f>IF(OR($D4730="",$T4730="Có"),"",IF($C4730="","Thiếu họ tên; ","")&amp;IF($S4730&lt;&gt;"Có","SĐT sai định dạng; ","")&amp;IF($R4730="Trùng","Trùng SĐT; ","")&amp;IF($Q4730&lt;&gt;"Có","Thiếu đồng ý bắt buộc; ","")&amp;IF($L4730="","Thiếu/sai Mã REF; ",IF(AND($L4730="Chưa xác định",DANH_MUC!$L$9&lt;&gt;"Có"),"Nguồn chưa xác định; ","")))</f>
        <v/>
      </c>
      <c r="V4730" s="22">
        <f>IF(OR($D4730="",$R4730="Trùng"),"",IF(COUNTIF(ORDERS!$C$2:$C$4995,$D4730)&gt;0,"Có","Không"))</f>
        <v/>
      </c>
      <c r="W4730" s="22">
        <f>IF(OR($D4730="",$R4730="Trùng"),"",COUNTIFS(ORDERS!$C$2:$C$4995,$D4730,ORDERS!$L$2:$L$4995,"Đã chuyển khoản"))</f>
        <v/>
      </c>
      <c r="X4730" s="23">
        <f>IF(OR($D4730="",$R4730="Trùng"),"",SUMIFS(ORDERS!$J$2:$J$4995,ORDERS!$C$2:$C$4995,$D4730,ORDERS!$L$2:$L$4995,"Đã chuyển khoản"))</f>
        <v/>
      </c>
      <c r="Y4730" s="24" t="n"/>
    </row>
    <row r="4731" ht="14.25" customHeight="1" s="40">
      <c r="A4731" s="24" t="n"/>
      <c r="B4731" s="27" t="n"/>
      <c r="C4731" s="24" t="n"/>
      <c r="D4731" s="28" t="n"/>
      <c r="E4731" s="29" t="n"/>
      <c r="F4731" s="24" t="n"/>
      <c r="G4731" s="24" t="n"/>
      <c r="H4731" s="21">
        <f>IF(ISNUMBER($B4731),INT($B4731)-WEEKDAY($B4731,2)+1,"")</f>
        <v/>
      </c>
      <c r="I4731" s="24" t="n"/>
      <c r="J4731" s="22">
        <f t="array" ref="J4731">IF($D4731="","",IF($I4731="","(trống REF)",IFERROR(INDEX(MASTER_SOURCE!$B$2:$B$495,MATCH($I4731,MASTER_SOURCE!$A$2:$A$495,0)),"(REF không có trong MASTER_SOURCE)")))</f>
        <v/>
      </c>
      <c r="K4731" s="22">
        <f t="array" ref="K4731">IF($D4731="","",IFERROR(INDEX(MASTER_SOURCE!$C$2:$C$495,MATCH($I4731,MASTER_SOURCE!$A$2:$A$495,0)),""))</f>
        <v/>
      </c>
      <c r="L4731" s="22">
        <f t="array" ref="L4731">IF($D4731="","",IFERROR(INDEX(MASTER_SOURCE!$D$2:$D$495,MATCH($I4731,MASTER_SOURCE!$A$2:$A$495,0)),""))</f>
        <v/>
      </c>
      <c r="M4731" s="24" t="n"/>
      <c r="N4731" s="24" t="n"/>
      <c r="O4731" s="24" t="n"/>
      <c r="P4731" s="24" t="n"/>
      <c r="Q4731" s="22">
        <f>IF($D4731="","",IF(AND(OR(DANH_MUC!$L$5&lt;&gt;"Có",M4731="Có"),OR(DANH_MUC!$L$6&lt;&gt;"Có",N4731="Có"),OR(DANH_MUC!$L$7&lt;&gt;"Có",O4731="Có"),OR(DANH_MUC!$L$8&lt;&gt;"Có",P4731="Có")),"Có","Không"))</f>
        <v/>
      </c>
      <c r="R4731" s="22">
        <f>IF($D4731="","",IF(COUNTIF($D$2:$D4731,$D4731)&gt;1,"Trùng",""))</f>
        <v/>
      </c>
      <c r="S4731" s="22">
        <f>IF($D4731="","",IF(AND(LEN($D4731)=10,LEFT($D4731,1)="0",ISNUMBER(--$D4731)),"Có","Không"))</f>
        <v/>
      </c>
      <c r="T4731" s="22">
        <f>IF($D4731="","",IF(AND($C4731&lt;&gt;"",$Q4731="Có",$R4731="",$S4731="Có",AND($L4731&lt;&gt;"",OR($L4731&lt;&gt;"Chưa xác định",DANH_MUC!$L$9="Có"))),"Có","Không"))</f>
        <v/>
      </c>
      <c r="U4731" s="22">
        <f>IF(OR($D4731="",$T4731="Có"),"",IF($C4731="","Thiếu họ tên; ","")&amp;IF($S4731&lt;&gt;"Có","SĐT sai định dạng; ","")&amp;IF($R4731="Trùng","Trùng SĐT; ","")&amp;IF($Q4731&lt;&gt;"Có","Thiếu đồng ý bắt buộc; ","")&amp;IF($L4731="","Thiếu/sai Mã REF; ",IF(AND($L4731="Chưa xác định",DANH_MUC!$L$9&lt;&gt;"Có"),"Nguồn chưa xác định; ","")))</f>
        <v/>
      </c>
      <c r="V4731" s="22">
        <f>IF(OR($D4731="",$R4731="Trùng"),"",IF(COUNTIF(ORDERS!$C$2:$C$4995,$D4731)&gt;0,"Có","Không"))</f>
        <v/>
      </c>
      <c r="W4731" s="22">
        <f>IF(OR($D4731="",$R4731="Trùng"),"",COUNTIFS(ORDERS!$C$2:$C$4995,$D4731,ORDERS!$L$2:$L$4995,"Đã chuyển khoản"))</f>
        <v/>
      </c>
      <c r="X4731" s="23">
        <f>IF(OR($D4731="",$R4731="Trùng"),"",SUMIFS(ORDERS!$J$2:$J$4995,ORDERS!$C$2:$C$4995,$D4731,ORDERS!$L$2:$L$4995,"Đã chuyển khoản"))</f>
        <v/>
      </c>
      <c r="Y4731" s="24" t="n"/>
    </row>
    <row r="4732" ht="14.25" customHeight="1" s="40">
      <c r="A4732" s="24" t="n"/>
      <c r="B4732" s="27" t="n"/>
      <c r="C4732" s="24" t="n"/>
      <c r="D4732" s="28" t="n"/>
      <c r="E4732" s="29" t="n"/>
      <c r="F4732" s="24" t="n"/>
      <c r="G4732" s="24" t="n"/>
      <c r="H4732" s="21">
        <f>IF(ISNUMBER($B4732),INT($B4732)-WEEKDAY($B4732,2)+1,"")</f>
        <v/>
      </c>
      <c r="I4732" s="24" t="n"/>
      <c r="J4732" s="22">
        <f t="array" ref="J4732">IF($D4732="","",IF($I4732="","(trống REF)",IFERROR(INDEX(MASTER_SOURCE!$B$2:$B$495,MATCH($I4732,MASTER_SOURCE!$A$2:$A$495,0)),"(REF không có trong MASTER_SOURCE)")))</f>
        <v/>
      </c>
      <c r="K4732" s="22">
        <f t="array" ref="K4732">IF($D4732="","",IFERROR(INDEX(MASTER_SOURCE!$C$2:$C$495,MATCH($I4732,MASTER_SOURCE!$A$2:$A$495,0)),""))</f>
        <v/>
      </c>
      <c r="L4732" s="22">
        <f t="array" ref="L4732">IF($D4732="","",IFERROR(INDEX(MASTER_SOURCE!$D$2:$D$495,MATCH($I4732,MASTER_SOURCE!$A$2:$A$495,0)),""))</f>
        <v/>
      </c>
      <c r="M4732" s="24" t="n"/>
      <c r="N4732" s="24" t="n"/>
      <c r="O4732" s="24" t="n"/>
      <c r="P4732" s="24" t="n"/>
      <c r="Q4732" s="22">
        <f>IF($D4732="","",IF(AND(OR(DANH_MUC!$L$5&lt;&gt;"Có",M4732="Có"),OR(DANH_MUC!$L$6&lt;&gt;"Có",N4732="Có"),OR(DANH_MUC!$L$7&lt;&gt;"Có",O4732="Có"),OR(DANH_MUC!$L$8&lt;&gt;"Có",P4732="Có")),"Có","Không"))</f>
        <v/>
      </c>
      <c r="R4732" s="22">
        <f>IF($D4732="","",IF(COUNTIF($D$2:$D4732,$D4732)&gt;1,"Trùng",""))</f>
        <v/>
      </c>
      <c r="S4732" s="22">
        <f>IF($D4732="","",IF(AND(LEN($D4732)=10,LEFT($D4732,1)="0",ISNUMBER(--$D4732)),"Có","Không"))</f>
        <v/>
      </c>
      <c r="T4732" s="22">
        <f>IF($D4732="","",IF(AND($C4732&lt;&gt;"",$Q4732="Có",$R4732="",$S4732="Có",AND($L4732&lt;&gt;"",OR($L4732&lt;&gt;"Chưa xác định",DANH_MUC!$L$9="Có"))),"Có","Không"))</f>
        <v/>
      </c>
      <c r="U4732" s="22">
        <f>IF(OR($D4732="",$T4732="Có"),"",IF($C4732="","Thiếu họ tên; ","")&amp;IF($S4732&lt;&gt;"Có","SĐT sai định dạng; ","")&amp;IF($R4732="Trùng","Trùng SĐT; ","")&amp;IF($Q4732&lt;&gt;"Có","Thiếu đồng ý bắt buộc; ","")&amp;IF($L4732="","Thiếu/sai Mã REF; ",IF(AND($L4732="Chưa xác định",DANH_MUC!$L$9&lt;&gt;"Có"),"Nguồn chưa xác định; ","")))</f>
        <v/>
      </c>
      <c r="V4732" s="22">
        <f>IF(OR($D4732="",$R4732="Trùng"),"",IF(COUNTIF(ORDERS!$C$2:$C$4995,$D4732)&gt;0,"Có","Không"))</f>
        <v/>
      </c>
      <c r="W4732" s="22">
        <f>IF(OR($D4732="",$R4732="Trùng"),"",COUNTIFS(ORDERS!$C$2:$C$4995,$D4732,ORDERS!$L$2:$L$4995,"Đã chuyển khoản"))</f>
        <v/>
      </c>
      <c r="X4732" s="23">
        <f>IF(OR($D4732="",$R4732="Trùng"),"",SUMIFS(ORDERS!$J$2:$J$4995,ORDERS!$C$2:$C$4995,$D4732,ORDERS!$L$2:$L$4995,"Đã chuyển khoản"))</f>
        <v/>
      </c>
      <c r="Y4732" s="24" t="n"/>
    </row>
    <row r="4733" ht="14.25" customHeight="1" s="40">
      <c r="A4733" s="24" t="n"/>
      <c r="B4733" s="27" t="n"/>
      <c r="C4733" s="24" t="n"/>
      <c r="D4733" s="28" t="n"/>
      <c r="E4733" s="29" t="n"/>
      <c r="F4733" s="24" t="n"/>
      <c r="G4733" s="24" t="n"/>
      <c r="H4733" s="21">
        <f>IF(ISNUMBER($B4733),INT($B4733)-WEEKDAY($B4733,2)+1,"")</f>
        <v/>
      </c>
      <c r="I4733" s="24" t="n"/>
      <c r="J4733" s="22">
        <f t="array" ref="J4733">IF($D4733="","",IF($I4733="","(trống REF)",IFERROR(INDEX(MASTER_SOURCE!$B$2:$B$495,MATCH($I4733,MASTER_SOURCE!$A$2:$A$495,0)),"(REF không có trong MASTER_SOURCE)")))</f>
        <v/>
      </c>
      <c r="K4733" s="22">
        <f t="array" ref="K4733">IF($D4733="","",IFERROR(INDEX(MASTER_SOURCE!$C$2:$C$495,MATCH($I4733,MASTER_SOURCE!$A$2:$A$495,0)),""))</f>
        <v/>
      </c>
      <c r="L4733" s="22">
        <f t="array" ref="L4733">IF($D4733="","",IFERROR(INDEX(MASTER_SOURCE!$D$2:$D$495,MATCH($I4733,MASTER_SOURCE!$A$2:$A$495,0)),""))</f>
        <v/>
      </c>
      <c r="M4733" s="24" t="n"/>
      <c r="N4733" s="24" t="n"/>
      <c r="O4733" s="24" t="n"/>
      <c r="P4733" s="24" t="n"/>
      <c r="Q4733" s="22">
        <f>IF($D4733="","",IF(AND(OR(DANH_MUC!$L$5&lt;&gt;"Có",M4733="Có"),OR(DANH_MUC!$L$6&lt;&gt;"Có",N4733="Có"),OR(DANH_MUC!$L$7&lt;&gt;"Có",O4733="Có"),OR(DANH_MUC!$L$8&lt;&gt;"Có",P4733="Có")),"Có","Không"))</f>
        <v/>
      </c>
      <c r="R4733" s="22">
        <f>IF($D4733="","",IF(COUNTIF($D$2:$D4733,$D4733)&gt;1,"Trùng",""))</f>
        <v/>
      </c>
      <c r="S4733" s="22">
        <f>IF($D4733="","",IF(AND(LEN($D4733)=10,LEFT($D4733,1)="0",ISNUMBER(--$D4733)),"Có","Không"))</f>
        <v/>
      </c>
      <c r="T4733" s="22">
        <f>IF($D4733="","",IF(AND($C4733&lt;&gt;"",$Q4733="Có",$R4733="",$S4733="Có",AND($L4733&lt;&gt;"",OR($L4733&lt;&gt;"Chưa xác định",DANH_MUC!$L$9="Có"))),"Có","Không"))</f>
        <v/>
      </c>
      <c r="U4733" s="22">
        <f>IF(OR($D4733="",$T4733="Có"),"",IF($C4733="","Thiếu họ tên; ","")&amp;IF($S4733&lt;&gt;"Có","SĐT sai định dạng; ","")&amp;IF($R4733="Trùng","Trùng SĐT; ","")&amp;IF($Q4733&lt;&gt;"Có","Thiếu đồng ý bắt buộc; ","")&amp;IF($L4733="","Thiếu/sai Mã REF; ",IF(AND($L4733="Chưa xác định",DANH_MUC!$L$9&lt;&gt;"Có"),"Nguồn chưa xác định; ","")))</f>
        <v/>
      </c>
      <c r="V4733" s="22">
        <f>IF(OR($D4733="",$R4733="Trùng"),"",IF(COUNTIF(ORDERS!$C$2:$C$4995,$D4733)&gt;0,"Có","Không"))</f>
        <v/>
      </c>
      <c r="W4733" s="22">
        <f>IF(OR($D4733="",$R4733="Trùng"),"",COUNTIFS(ORDERS!$C$2:$C$4995,$D4733,ORDERS!$L$2:$L$4995,"Đã chuyển khoản"))</f>
        <v/>
      </c>
      <c r="X4733" s="23">
        <f>IF(OR($D4733="",$R4733="Trùng"),"",SUMIFS(ORDERS!$J$2:$J$4995,ORDERS!$C$2:$C$4995,$D4733,ORDERS!$L$2:$L$4995,"Đã chuyển khoản"))</f>
        <v/>
      </c>
      <c r="Y4733" s="24" t="n"/>
    </row>
    <row r="4734" ht="14.25" customHeight="1" s="40">
      <c r="A4734" s="24" t="n"/>
      <c r="B4734" s="27" t="n"/>
      <c r="C4734" s="24" t="n"/>
      <c r="D4734" s="28" t="n"/>
      <c r="E4734" s="29" t="n"/>
      <c r="F4734" s="24" t="n"/>
      <c r="G4734" s="24" t="n"/>
      <c r="H4734" s="21">
        <f>IF(ISNUMBER($B4734),INT($B4734)-WEEKDAY($B4734,2)+1,"")</f>
        <v/>
      </c>
      <c r="I4734" s="24" t="n"/>
      <c r="J4734" s="22">
        <f t="array" ref="J4734">IF($D4734="","",IF($I4734="","(trống REF)",IFERROR(INDEX(MASTER_SOURCE!$B$2:$B$495,MATCH($I4734,MASTER_SOURCE!$A$2:$A$495,0)),"(REF không có trong MASTER_SOURCE)")))</f>
        <v/>
      </c>
      <c r="K4734" s="22">
        <f t="array" ref="K4734">IF($D4734="","",IFERROR(INDEX(MASTER_SOURCE!$C$2:$C$495,MATCH($I4734,MASTER_SOURCE!$A$2:$A$495,0)),""))</f>
        <v/>
      </c>
      <c r="L4734" s="22">
        <f t="array" ref="L4734">IF($D4734="","",IFERROR(INDEX(MASTER_SOURCE!$D$2:$D$495,MATCH($I4734,MASTER_SOURCE!$A$2:$A$495,0)),""))</f>
        <v/>
      </c>
      <c r="M4734" s="24" t="n"/>
      <c r="N4734" s="24" t="n"/>
      <c r="O4734" s="24" t="n"/>
      <c r="P4734" s="24" t="n"/>
      <c r="Q4734" s="22">
        <f>IF($D4734="","",IF(AND(OR(DANH_MUC!$L$5&lt;&gt;"Có",M4734="Có"),OR(DANH_MUC!$L$6&lt;&gt;"Có",N4734="Có"),OR(DANH_MUC!$L$7&lt;&gt;"Có",O4734="Có"),OR(DANH_MUC!$L$8&lt;&gt;"Có",P4734="Có")),"Có","Không"))</f>
        <v/>
      </c>
      <c r="R4734" s="22">
        <f>IF($D4734="","",IF(COUNTIF($D$2:$D4734,$D4734)&gt;1,"Trùng",""))</f>
        <v/>
      </c>
      <c r="S4734" s="22">
        <f>IF($D4734="","",IF(AND(LEN($D4734)=10,LEFT($D4734,1)="0",ISNUMBER(--$D4734)),"Có","Không"))</f>
        <v/>
      </c>
      <c r="T4734" s="22">
        <f>IF($D4734="","",IF(AND($C4734&lt;&gt;"",$Q4734="Có",$R4734="",$S4734="Có",AND($L4734&lt;&gt;"",OR($L4734&lt;&gt;"Chưa xác định",DANH_MUC!$L$9="Có"))),"Có","Không"))</f>
        <v/>
      </c>
      <c r="U4734" s="22">
        <f>IF(OR($D4734="",$T4734="Có"),"",IF($C4734="","Thiếu họ tên; ","")&amp;IF($S4734&lt;&gt;"Có","SĐT sai định dạng; ","")&amp;IF($R4734="Trùng","Trùng SĐT; ","")&amp;IF($Q4734&lt;&gt;"Có","Thiếu đồng ý bắt buộc; ","")&amp;IF($L4734="","Thiếu/sai Mã REF; ",IF(AND($L4734="Chưa xác định",DANH_MUC!$L$9&lt;&gt;"Có"),"Nguồn chưa xác định; ","")))</f>
        <v/>
      </c>
      <c r="V4734" s="22">
        <f>IF(OR($D4734="",$R4734="Trùng"),"",IF(COUNTIF(ORDERS!$C$2:$C$4995,$D4734)&gt;0,"Có","Không"))</f>
        <v/>
      </c>
      <c r="W4734" s="22">
        <f>IF(OR($D4734="",$R4734="Trùng"),"",COUNTIFS(ORDERS!$C$2:$C$4995,$D4734,ORDERS!$L$2:$L$4995,"Đã chuyển khoản"))</f>
        <v/>
      </c>
      <c r="X4734" s="23">
        <f>IF(OR($D4734="",$R4734="Trùng"),"",SUMIFS(ORDERS!$J$2:$J$4995,ORDERS!$C$2:$C$4995,$D4734,ORDERS!$L$2:$L$4995,"Đã chuyển khoản"))</f>
        <v/>
      </c>
      <c r="Y4734" s="24" t="n"/>
    </row>
    <row r="4735" ht="14.25" customHeight="1" s="40">
      <c r="A4735" s="24" t="n"/>
      <c r="B4735" s="27" t="n"/>
      <c r="C4735" s="24" t="n"/>
      <c r="D4735" s="28" t="n"/>
      <c r="E4735" s="29" t="n"/>
      <c r="F4735" s="24" t="n"/>
      <c r="G4735" s="24" t="n"/>
      <c r="H4735" s="21">
        <f>IF(ISNUMBER($B4735),INT($B4735)-WEEKDAY($B4735,2)+1,"")</f>
        <v/>
      </c>
      <c r="I4735" s="24" t="n"/>
      <c r="J4735" s="22">
        <f t="array" ref="J4735">IF($D4735="","",IF($I4735="","(trống REF)",IFERROR(INDEX(MASTER_SOURCE!$B$2:$B$495,MATCH($I4735,MASTER_SOURCE!$A$2:$A$495,0)),"(REF không có trong MASTER_SOURCE)")))</f>
        <v/>
      </c>
      <c r="K4735" s="22">
        <f t="array" ref="K4735">IF($D4735="","",IFERROR(INDEX(MASTER_SOURCE!$C$2:$C$495,MATCH($I4735,MASTER_SOURCE!$A$2:$A$495,0)),""))</f>
        <v/>
      </c>
      <c r="L4735" s="22">
        <f t="array" ref="L4735">IF($D4735="","",IFERROR(INDEX(MASTER_SOURCE!$D$2:$D$495,MATCH($I4735,MASTER_SOURCE!$A$2:$A$495,0)),""))</f>
        <v/>
      </c>
      <c r="M4735" s="24" t="n"/>
      <c r="N4735" s="24" t="n"/>
      <c r="O4735" s="24" t="n"/>
      <c r="P4735" s="24" t="n"/>
      <c r="Q4735" s="22">
        <f>IF($D4735="","",IF(AND(OR(DANH_MUC!$L$5&lt;&gt;"Có",M4735="Có"),OR(DANH_MUC!$L$6&lt;&gt;"Có",N4735="Có"),OR(DANH_MUC!$L$7&lt;&gt;"Có",O4735="Có"),OR(DANH_MUC!$L$8&lt;&gt;"Có",P4735="Có")),"Có","Không"))</f>
        <v/>
      </c>
      <c r="R4735" s="22">
        <f>IF($D4735="","",IF(COUNTIF($D$2:$D4735,$D4735)&gt;1,"Trùng",""))</f>
        <v/>
      </c>
      <c r="S4735" s="22">
        <f>IF($D4735="","",IF(AND(LEN($D4735)=10,LEFT($D4735,1)="0",ISNUMBER(--$D4735)),"Có","Không"))</f>
        <v/>
      </c>
      <c r="T4735" s="22">
        <f>IF($D4735="","",IF(AND($C4735&lt;&gt;"",$Q4735="Có",$R4735="",$S4735="Có",AND($L4735&lt;&gt;"",OR($L4735&lt;&gt;"Chưa xác định",DANH_MUC!$L$9="Có"))),"Có","Không"))</f>
        <v/>
      </c>
      <c r="U4735" s="22">
        <f>IF(OR($D4735="",$T4735="Có"),"",IF($C4735="","Thiếu họ tên; ","")&amp;IF($S4735&lt;&gt;"Có","SĐT sai định dạng; ","")&amp;IF($R4735="Trùng","Trùng SĐT; ","")&amp;IF($Q4735&lt;&gt;"Có","Thiếu đồng ý bắt buộc; ","")&amp;IF($L4735="","Thiếu/sai Mã REF; ",IF(AND($L4735="Chưa xác định",DANH_MUC!$L$9&lt;&gt;"Có"),"Nguồn chưa xác định; ","")))</f>
        <v/>
      </c>
      <c r="V4735" s="22">
        <f>IF(OR($D4735="",$R4735="Trùng"),"",IF(COUNTIF(ORDERS!$C$2:$C$4995,$D4735)&gt;0,"Có","Không"))</f>
        <v/>
      </c>
      <c r="W4735" s="22">
        <f>IF(OR($D4735="",$R4735="Trùng"),"",COUNTIFS(ORDERS!$C$2:$C$4995,$D4735,ORDERS!$L$2:$L$4995,"Đã chuyển khoản"))</f>
        <v/>
      </c>
      <c r="X4735" s="23">
        <f>IF(OR($D4735="",$R4735="Trùng"),"",SUMIFS(ORDERS!$J$2:$J$4995,ORDERS!$C$2:$C$4995,$D4735,ORDERS!$L$2:$L$4995,"Đã chuyển khoản"))</f>
        <v/>
      </c>
      <c r="Y4735" s="24" t="n"/>
    </row>
    <row r="4736" ht="14.25" customHeight="1" s="40">
      <c r="A4736" s="24" t="n"/>
      <c r="B4736" s="27" t="n"/>
      <c r="C4736" s="24" t="n"/>
      <c r="D4736" s="28" t="n"/>
      <c r="E4736" s="29" t="n"/>
      <c r="F4736" s="24" t="n"/>
      <c r="G4736" s="24" t="n"/>
      <c r="H4736" s="21">
        <f>IF(ISNUMBER($B4736),INT($B4736)-WEEKDAY($B4736,2)+1,"")</f>
        <v/>
      </c>
      <c r="I4736" s="24" t="n"/>
      <c r="J4736" s="22">
        <f t="array" ref="J4736">IF($D4736="","",IF($I4736="","(trống REF)",IFERROR(INDEX(MASTER_SOURCE!$B$2:$B$495,MATCH($I4736,MASTER_SOURCE!$A$2:$A$495,0)),"(REF không có trong MASTER_SOURCE)")))</f>
        <v/>
      </c>
      <c r="K4736" s="22">
        <f t="array" ref="K4736">IF($D4736="","",IFERROR(INDEX(MASTER_SOURCE!$C$2:$C$495,MATCH($I4736,MASTER_SOURCE!$A$2:$A$495,0)),""))</f>
        <v/>
      </c>
      <c r="L4736" s="22">
        <f t="array" ref="L4736">IF($D4736="","",IFERROR(INDEX(MASTER_SOURCE!$D$2:$D$495,MATCH($I4736,MASTER_SOURCE!$A$2:$A$495,0)),""))</f>
        <v/>
      </c>
      <c r="M4736" s="24" t="n"/>
      <c r="N4736" s="24" t="n"/>
      <c r="O4736" s="24" t="n"/>
      <c r="P4736" s="24" t="n"/>
      <c r="Q4736" s="22">
        <f>IF($D4736="","",IF(AND(OR(DANH_MUC!$L$5&lt;&gt;"Có",M4736="Có"),OR(DANH_MUC!$L$6&lt;&gt;"Có",N4736="Có"),OR(DANH_MUC!$L$7&lt;&gt;"Có",O4736="Có"),OR(DANH_MUC!$L$8&lt;&gt;"Có",P4736="Có")),"Có","Không"))</f>
        <v/>
      </c>
      <c r="R4736" s="22">
        <f>IF($D4736="","",IF(COUNTIF($D$2:$D4736,$D4736)&gt;1,"Trùng",""))</f>
        <v/>
      </c>
      <c r="S4736" s="22">
        <f>IF($D4736="","",IF(AND(LEN($D4736)=10,LEFT($D4736,1)="0",ISNUMBER(--$D4736)),"Có","Không"))</f>
        <v/>
      </c>
      <c r="T4736" s="22">
        <f>IF($D4736="","",IF(AND($C4736&lt;&gt;"",$Q4736="Có",$R4736="",$S4736="Có",AND($L4736&lt;&gt;"",OR($L4736&lt;&gt;"Chưa xác định",DANH_MUC!$L$9="Có"))),"Có","Không"))</f>
        <v/>
      </c>
      <c r="U4736" s="22">
        <f>IF(OR($D4736="",$T4736="Có"),"",IF($C4736="","Thiếu họ tên; ","")&amp;IF($S4736&lt;&gt;"Có","SĐT sai định dạng; ","")&amp;IF($R4736="Trùng","Trùng SĐT; ","")&amp;IF($Q4736&lt;&gt;"Có","Thiếu đồng ý bắt buộc; ","")&amp;IF($L4736="","Thiếu/sai Mã REF; ",IF(AND($L4736="Chưa xác định",DANH_MUC!$L$9&lt;&gt;"Có"),"Nguồn chưa xác định; ","")))</f>
        <v/>
      </c>
      <c r="V4736" s="22">
        <f>IF(OR($D4736="",$R4736="Trùng"),"",IF(COUNTIF(ORDERS!$C$2:$C$4995,$D4736)&gt;0,"Có","Không"))</f>
        <v/>
      </c>
      <c r="W4736" s="22">
        <f>IF(OR($D4736="",$R4736="Trùng"),"",COUNTIFS(ORDERS!$C$2:$C$4995,$D4736,ORDERS!$L$2:$L$4995,"Đã chuyển khoản"))</f>
        <v/>
      </c>
      <c r="X4736" s="23">
        <f>IF(OR($D4736="",$R4736="Trùng"),"",SUMIFS(ORDERS!$J$2:$J$4995,ORDERS!$C$2:$C$4995,$D4736,ORDERS!$L$2:$L$4995,"Đã chuyển khoản"))</f>
        <v/>
      </c>
      <c r="Y4736" s="24" t="n"/>
    </row>
    <row r="4737" ht="14.25" customHeight="1" s="40">
      <c r="A4737" s="24" t="n"/>
      <c r="B4737" s="27" t="n"/>
      <c r="C4737" s="24" t="n"/>
      <c r="D4737" s="28" t="n"/>
      <c r="E4737" s="29" t="n"/>
      <c r="F4737" s="24" t="n"/>
      <c r="G4737" s="24" t="n"/>
      <c r="H4737" s="21">
        <f>IF(ISNUMBER($B4737),INT($B4737)-WEEKDAY($B4737,2)+1,"")</f>
        <v/>
      </c>
      <c r="I4737" s="24" t="n"/>
      <c r="J4737" s="22">
        <f t="array" ref="J4737">IF($D4737="","",IF($I4737="","(trống REF)",IFERROR(INDEX(MASTER_SOURCE!$B$2:$B$495,MATCH($I4737,MASTER_SOURCE!$A$2:$A$495,0)),"(REF không có trong MASTER_SOURCE)")))</f>
        <v/>
      </c>
      <c r="K4737" s="22">
        <f t="array" ref="K4737">IF($D4737="","",IFERROR(INDEX(MASTER_SOURCE!$C$2:$C$495,MATCH($I4737,MASTER_SOURCE!$A$2:$A$495,0)),""))</f>
        <v/>
      </c>
      <c r="L4737" s="22">
        <f t="array" ref="L4737">IF($D4737="","",IFERROR(INDEX(MASTER_SOURCE!$D$2:$D$495,MATCH($I4737,MASTER_SOURCE!$A$2:$A$495,0)),""))</f>
        <v/>
      </c>
      <c r="M4737" s="24" t="n"/>
      <c r="N4737" s="24" t="n"/>
      <c r="O4737" s="24" t="n"/>
      <c r="P4737" s="24" t="n"/>
      <c r="Q4737" s="22">
        <f>IF($D4737="","",IF(AND(OR(DANH_MUC!$L$5&lt;&gt;"Có",M4737="Có"),OR(DANH_MUC!$L$6&lt;&gt;"Có",N4737="Có"),OR(DANH_MUC!$L$7&lt;&gt;"Có",O4737="Có"),OR(DANH_MUC!$L$8&lt;&gt;"Có",P4737="Có")),"Có","Không"))</f>
        <v/>
      </c>
      <c r="R4737" s="22">
        <f>IF($D4737="","",IF(COUNTIF($D$2:$D4737,$D4737)&gt;1,"Trùng",""))</f>
        <v/>
      </c>
      <c r="S4737" s="22">
        <f>IF($D4737="","",IF(AND(LEN($D4737)=10,LEFT($D4737,1)="0",ISNUMBER(--$D4737)),"Có","Không"))</f>
        <v/>
      </c>
      <c r="T4737" s="22">
        <f>IF($D4737="","",IF(AND($C4737&lt;&gt;"",$Q4737="Có",$R4737="",$S4737="Có",AND($L4737&lt;&gt;"",OR($L4737&lt;&gt;"Chưa xác định",DANH_MUC!$L$9="Có"))),"Có","Không"))</f>
        <v/>
      </c>
      <c r="U4737" s="22">
        <f>IF(OR($D4737="",$T4737="Có"),"",IF($C4737="","Thiếu họ tên; ","")&amp;IF($S4737&lt;&gt;"Có","SĐT sai định dạng; ","")&amp;IF($R4737="Trùng","Trùng SĐT; ","")&amp;IF($Q4737&lt;&gt;"Có","Thiếu đồng ý bắt buộc; ","")&amp;IF($L4737="","Thiếu/sai Mã REF; ",IF(AND($L4737="Chưa xác định",DANH_MUC!$L$9&lt;&gt;"Có"),"Nguồn chưa xác định; ","")))</f>
        <v/>
      </c>
      <c r="V4737" s="22">
        <f>IF(OR($D4737="",$R4737="Trùng"),"",IF(COUNTIF(ORDERS!$C$2:$C$4995,$D4737)&gt;0,"Có","Không"))</f>
        <v/>
      </c>
      <c r="W4737" s="22">
        <f>IF(OR($D4737="",$R4737="Trùng"),"",COUNTIFS(ORDERS!$C$2:$C$4995,$D4737,ORDERS!$L$2:$L$4995,"Đã chuyển khoản"))</f>
        <v/>
      </c>
      <c r="X4737" s="23">
        <f>IF(OR($D4737="",$R4737="Trùng"),"",SUMIFS(ORDERS!$J$2:$J$4995,ORDERS!$C$2:$C$4995,$D4737,ORDERS!$L$2:$L$4995,"Đã chuyển khoản"))</f>
        <v/>
      </c>
      <c r="Y4737" s="24" t="n"/>
    </row>
    <row r="4738" ht="14.25" customHeight="1" s="40">
      <c r="A4738" s="24" t="n"/>
      <c r="B4738" s="27" t="n"/>
      <c r="C4738" s="24" t="n"/>
      <c r="D4738" s="28" t="n"/>
      <c r="E4738" s="29" t="n"/>
      <c r="F4738" s="24" t="n"/>
      <c r="G4738" s="24" t="n"/>
      <c r="H4738" s="21">
        <f>IF(ISNUMBER($B4738),INT($B4738)-WEEKDAY($B4738,2)+1,"")</f>
        <v/>
      </c>
      <c r="I4738" s="24" t="n"/>
      <c r="J4738" s="22">
        <f t="array" ref="J4738">IF($D4738="","",IF($I4738="","(trống REF)",IFERROR(INDEX(MASTER_SOURCE!$B$2:$B$495,MATCH($I4738,MASTER_SOURCE!$A$2:$A$495,0)),"(REF không có trong MASTER_SOURCE)")))</f>
        <v/>
      </c>
      <c r="K4738" s="22">
        <f t="array" ref="K4738">IF($D4738="","",IFERROR(INDEX(MASTER_SOURCE!$C$2:$C$495,MATCH($I4738,MASTER_SOURCE!$A$2:$A$495,0)),""))</f>
        <v/>
      </c>
      <c r="L4738" s="22">
        <f t="array" ref="L4738">IF($D4738="","",IFERROR(INDEX(MASTER_SOURCE!$D$2:$D$495,MATCH($I4738,MASTER_SOURCE!$A$2:$A$495,0)),""))</f>
        <v/>
      </c>
      <c r="M4738" s="24" t="n"/>
      <c r="N4738" s="24" t="n"/>
      <c r="O4738" s="24" t="n"/>
      <c r="P4738" s="24" t="n"/>
      <c r="Q4738" s="22">
        <f>IF($D4738="","",IF(AND(OR(DANH_MUC!$L$5&lt;&gt;"Có",M4738="Có"),OR(DANH_MUC!$L$6&lt;&gt;"Có",N4738="Có"),OR(DANH_MUC!$L$7&lt;&gt;"Có",O4738="Có"),OR(DANH_MUC!$L$8&lt;&gt;"Có",P4738="Có")),"Có","Không"))</f>
        <v/>
      </c>
      <c r="R4738" s="22">
        <f>IF($D4738="","",IF(COUNTIF($D$2:$D4738,$D4738)&gt;1,"Trùng",""))</f>
        <v/>
      </c>
      <c r="S4738" s="22">
        <f>IF($D4738="","",IF(AND(LEN($D4738)=10,LEFT($D4738,1)="0",ISNUMBER(--$D4738)),"Có","Không"))</f>
        <v/>
      </c>
      <c r="T4738" s="22">
        <f>IF($D4738="","",IF(AND($C4738&lt;&gt;"",$Q4738="Có",$R4738="",$S4738="Có",AND($L4738&lt;&gt;"",OR($L4738&lt;&gt;"Chưa xác định",DANH_MUC!$L$9="Có"))),"Có","Không"))</f>
        <v/>
      </c>
      <c r="U4738" s="22">
        <f>IF(OR($D4738="",$T4738="Có"),"",IF($C4738="","Thiếu họ tên; ","")&amp;IF($S4738&lt;&gt;"Có","SĐT sai định dạng; ","")&amp;IF($R4738="Trùng","Trùng SĐT; ","")&amp;IF($Q4738&lt;&gt;"Có","Thiếu đồng ý bắt buộc; ","")&amp;IF($L4738="","Thiếu/sai Mã REF; ",IF(AND($L4738="Chưa xác định",DANH_MUC!$L$9&lt;&gt;"Có"),"Nguồn chưa xác định; ","")))</f>
        <v/>
      </c>
      <c r="V4738" s="22">
        <f>IF(OR($D4738="",$R4738="Trùng"),"",IF(COUNTIF(ORDERS!$C$2:$C$4995,$D4738)&gt;0,"Có","Không"))</f>
        <v/>
      </c>
      <c r="W4738" s="22">
        <f>IF(OR($D4738="",$R4738="Trùng"),"",COUNTIFS(ORDERS!$C$2:$C$4995,$D4738,ORDERS!$L$2:$L$4995,"Đã chuyển khoản"))</f>
        <v/>
      </c>
      <c r="X4738" s="23">
        <f>IF(OR($D4738="",$R4738="Trùng"),"",SUMIFS(ORDERS!$J$2:$J$4995,ORDERS!$C$2:$C$4995,$D4738,ORDERS!$L$2:$L$4995,"Đã chuyển khoản"))</f>
        <v/>
      </c>
      <c r="Y4738" s="24" t="n"/>
    </row>
    <row r="4739" ht="14.25" customHeight="1" s="40">
      <c r="A4739" s="24" t="n"/>
      <c r="B4739" s="27" t="n"/>
      <c r="C4739" s="24" t="n"/>
      <c r="D4739" s="28" t="n"/>
      <c r="E4739" s="29" t="n"/>
      <c r="F4739" s="24" t="n"/>
      <c r="G4739" s="24" t="n"/>
      <c r="H4739" s="21">
        <f>IF(ISNUMBER($B4739),INT($B4739)-WEEKDAY($B4739,2)+1,"")</f>
        <v/>
      </c>
      <c r="I4739" s="24" t="n"/>
      <c r="J4739" s="22">
        <f t="array" ref="J4739">IF($D4739="","",IF($I4739="","(trống REF)",IFERROR(INDEX(MASTER_SOURCE!$B$2:$B$495,MATCH($I4739,MASTER_SOURCE!$A$2:$A$495,0)),"(REF không có trong MASTER_SOURCE)")))</f>
        <v/>
      </c>
      <c r="K4739" s="22">
        <f t="array" ref="K4739">IF($D4739="","",IFERROR(INDEX(MASTER_SOURCE!$C$2:$C$495,MATCH($I4739,MASTER_SOURCE!$A$2:$A$495,0)),""))</f>
        <v/>
      </c>
      <c r="L4739" s="22">
        <f t="array" ref="L4739">IF($D4739="","",IFERROR(INDEX(MASTER_SOURCE!$D$2:$D$495,MATCH($I4739,MASTER_SOURCE!$A$2:$A$495,0)),""))</f>
        <v/>
      </c>
      <c r="M4739" s="24" t="n"/>
      <c r="N4739" s="24" t="n"/>
      <c r="O4739" s="24" t="n"/>
      <c r="P4739" s="24" t="n"/>
      <c r="Q4739" s="22">
        <f>IF($D4739="","",IF(AND(OR(DANH_MUC!$L$5&lt;&gt;"Có",M4739="Có"),OR(DANH_MUC!$L$6&lt;&gt;"Có",N4739="Có"),OR(DANH_MUC!$L$7&lt;&gt;"Có",O4739="Có"),OR(DANH_MUC!$L$8&lt;&gt;"Có",P4739="Có")),"Có","Không"))</f>
        <v/>
      </c>
      <c r="R4739" s="22">
        <f>IF($D4739="","",IF(COUNTIF($D$2:$D4739,$D4739)&gt;1,"Trùng",""))</f>
        <v/>
      </c>
      <c r="S4739" s="22">
        <f>IF($D4739="","",IF(AND(LEN($D4739)=10,LEFT($D4739,1)="0",ISNUMBER(--$D4739)),"Có","Không"))</f>
        <v/>
      </c>
      <c r="T4739" s="22">
        <f>IF($D4739="","",IF(AND($C4739&lt;&gt;"",$Q4739="Có",$R4739="",$S4739="Có",AND($L4739&lt;&gt;"",OR($L4739&lt;&gt;"Chưa xác định",DANH_MUC!$L$9="Có"))),"Có","Không"))</f>
        <v/>
      </c>
      <c r="U4739" s="22">
        <f>IF(OR($D4739="",$T4739="Có"),"",IF($C4739="","Thiếu họ tên; ","")&amp;IF($S4739&lt;&gt;"Có","SĐT sai định dạng; ","")&amp;IF($R4739="Trùng","Trùng SĐT; ","")&amp;IF($Q4739&lt;&gt;"Có","Thiếu đồng ý bắt buộc; ","")&amp;IF($L4739="","Thiếu/sai Mã REF; ",IF(AND($L4739="Chưa xác định",DANH_MUC!$L$9&lt;&gt;"Có"),"Nguồn chưa xác định; ","")))</f>
        <v/>
      </c>
      <c r="V4739" s="22">
        <f>IF(OR($D4739="",$R4739="Trùng"),"",IF(COUNTIF(ORDERS!$C$2:$C$4995,$D4739)&gt;0,"Có","Không"))</f>
        <v/>
      </c>
      <c r="W4739" s="22">
        <f>IF(OR($D4739="",$R4739="Trùng"),"",COUNTIFS(ORDERS!$C$2:$C$4995,$D4739,ORDERS!$L$2:$L$4995,"Đã chuyển khoản"))</f>
        <v/>
      </c>
      <c r="X4739" s="23">
        <f>IF(OR($D4739="",$R4739="Trùng"),"",SUMIFS(ORDERS!$J$2:$J$4995,ORDERS!$C$2:$C$4995,$D4739,ORDERS!$L$2:$L$4995,"Đã chuyển khoản"))</f>
        <v/>
      </c>
      <c r="Y4739" s="24" t="n"/>
    </row>
    <row r="4740" ht="14.25" customHeight="1" s="40">
      <c r="A4740" s="24" t="n"/>
      <c r="B4740" s="27" t="n"/>
      <c r="C4740" s="24" t="n"/>
      <c r="D4740" s="28" t="n"/>
      <c r="E4740" s="29" t="n"/>
      <c r="F4740" s="24" t="n"/>
      <c r="G4740" s="24" t="n"/>
      <c r="H4740" s="21">
        <f>IF(ISNUMBER($B4740),INT($B4740)-WEEKDAY($B4740,2)+1,"")</f>
        <v/>
      </c>
      <c r="I4740" s="24" t="n"/>
      <c r="J4740" s="22">
        <f t="array" ref="J4740">IF($D4740="","",IF($I4740="","(trống REF)",IFERROR(INDEX(MASTER_SOURCE!$B$2:$B$495,MATCH($I4740,MASTER_SOURCE!$A$2:$A$495,0)),"(REF không có trong MASTER_SOURCE)")))</f>
        <v/>
      </c>
      <c r="K4740" s="22">
        <f t="array" ref="K4740">IF($D4740="","",IFERROR(INDEX(MASTER_SOURCE!$C$2:$C$495,MATCH($I4740,MASTER_SOURCE!$A$2:$A$495,0)),""))</f>
        <v/>
      </c>
      <c r="L4740" s="22">
        <f t="array" ref="L4740">IF($D4740="","",IFERROR(INDEX(MASTER_SOURCE!$D$2:$D$495,MATCH($I4740,MASTER_SOURCE!$A$2:$A$495,0)),""))</f>
        <v/>
      </c>
      <c r="M4740" s="24" t="n"/>
      <c r="N4740" s="24" t="n"/>
      <c r="O4740" s="24" t="n"/>
      <c r="P4740" s="24" t="n"/>
      <c r="Q4740" s="22">
        <f>IF($D4740="","",IF(AND(OR(DANH_MUC!$L$5&lt;&gt;"Có",M4740="Có"),OR(DANH_MUC!$L$6&lt;&gt;"Có",N4740="Có"),OR(DANH_MUC!$L$7&lt;&gt;"Có",O4740="Có"),OR(DANH_MUC!$L$8&lt;&gt;"Có",P4740="Có")),"Có","Không"))</f>
        <v/>
      </c>
      <c r="R4740" s="22">
        <f>IF($D4740="","",IF(COUNTIF($D$2:$D4740,$D4740)&gt;1,"Trùng",""))</f>
        <v/>
      </c>
      <c r="S4740" s="22">
        <f>IF($D4740="","",IF(AND(LEN($D4740)=10,LEFT($D4740,1)="0",ISNUMBER(--$D4740)),"Có","Không"))</f>
        <v/>
      </c>
      <c r="T4740" s="22">
        <f>IF($D4740="","",IF(AND($C4740&lt;&gt;"",$Q4740="Có",$R4740="",$S4740="Có",AND($L4740&lt;&gt;"",OR($L4740&lt;&gt;"Chưa xác định",DANH_MUC!$L$9="Có"))),"Có","Không"))</f>
        <v/>
      </c>
      <c r="U4740" s="22">
        <f>IF(OR($D4740="",$T4740="Có"),"",IF($C4740="","Thiếu họ tên; ","")&amp;IF($S4740&lt;&gt;"Có","SĐT sai định dạng; ","")&amp;IF($R4740="Trùng","Trùng SĐT; ","")&amp;IF($Q4740&lt;&gt;"Có","Thiếu đồng ý bắt buộc; ","")&amp;IF($L4740="","Thiếu/sai Mã REF; ",IF(AND($L4740="Chưa xác định",DANH_MUC!$L$9&lt;&gt;"Có"),"Nguồn chưa xác định; ","")))</f>
        <v/>
      </c>
      <c r="V4740" s="22">
        <f>IF(OR($D4740="",$R4740="Trùng"),"",IF(COUNTIF(ORDERS!$C$2:$C$4995,$D4740)&gt;0,"Có","Không"))</f>
        <v/>
      </c>
      <c r="W4740" s="22">
        <f>IF(OR($D4740="",$R4740="Trùng"),"",COUNTIFS(ORDERS!$C$2:$C$4995,$D4740,ORDERS!$L$2:$L$4995,"Đã chuyển khoản"))</f>
        <v/>
      </c>
      <c r="X4740" s="23">
        <f>IF(OR($D4740="",$R4740="Trùng"),"",SUMIFS(ORDERS!$J$2:$J$4995,ORDERS!$C$2:$C$4995,$D4740,ORDERS!$L$2:$L$4995,"Đã chuyển khoản"))</f>
        <v/>
      </c>
      <c r="Y4740" s="24" t="n"/>
    </row>
    <row r="4741" ht="14.25" customHeight="1" s="40">
      <c r="A4741" s="24" t="n"/>
      <c r="B4741" s="27" t="n"/>
      <c r="C4741" s="24" t="n"/>
      <c r="D4741" s="28" t="n"/>
      <c r="E4741" s="29" t="n"/>
      <c r="F4741" s="24" t="n"/>
      <c r="G4741" s="24" t="n"/>
      <c r="H4741" s="21">
        <f>IF(ISNUMBER($B4741),INT($B4741)-WEEKDAY($B4741,2)+1,"")</f>
        <v/>
      </c>
      <c r="I4741" s="24" t="n"/>
      <c r="J4741" s="22">
        <f t="array" ref="J4741">IF($D4741="","",IF($I4741="","(trống REF)",IFERROR(INDEX(MASTER_SOURCE!$B$2:$B$495,MATCH($I4741,MASTER_SOURCE!$A$2:$A$495,0)),"(REF không có trong MASTER_SOURCE)")))</f>
        <v/>
      </c>
      <c r="K4741" s="22">
        <f t="array" ref="K4741">IF($D4741="","",IFERROR(INDEX(MASTER_SOURCE!$C$2:$C$495,MATCH($I4741,MASTER_SOURCE!$A$2:$A$495,0)),""))</f>
        <v/>
      </c>
      <c r="L4741" s="22">
        <f t="array" ref="L4741">IF($D4741="","",IFERROR(INDEX(MASTER_SOURCE!$D$2:$D$495,MATCH($I4741,MASTER_SOURCE!$A$2:$A$495,0)),""))</f>
        <v/>
      </c>
      <c r="M4741" s="24" t="n"/>
      <c r="N4741" s="24" t="n"/>
      <c r="O4741" s="24" t="n"/>
      <c r="P4741" s="24" t="n"/>
      <c r="Q4741" s="22">
        <f>IF($D4741="","",IF(AND(OR(DANH_MUC!$L$5&lt;&gt;"Có",M4741="Có"),OR(DANH_MUC!$L$6&lt;&gt;"Có",N4741="Có"),OR(DANH_MUC!$L$7&lt;&gt;"Có",O4741="Có"),OR(DANH_MUC!$L$8&lt;&gt;"Có",P4741="Có")),"Có","Không"))</f>
        <v/>
      </c>
      <c r="R4741" s="22">
        <f>IF($D4741="","",IF(COUNTIF($D$2:$D4741,$D4741)&gt;1,"Trùng",""))</f>
        <v/>
      </c>
      <c r="S4741" s="22">
        <f>IF($D4741="","",IF(AND(LEN($D4741)=10,LEFT($D4741,1)="0",ISNUMBER(--$D4741)),"Có","Không"))</f>
        <v/>
      </c>
      <c r="T4741" s="22">
        <f>IF($D4741="","",IF(AND($C4741&lt;&gt;"",$Q4741="Có",$R4741="",$S4741="Có",AND($L4741&lt;&gt;"",OR($L4741&lt;&gt;"Chưa xác định",DANH_MUC!$L$9="Có"))),"Có","Không"))</f>
        <v/>
      </c>
      <c r="U4741" s="22">
        <f>IF(OR($D4741="",$T4741="Có"),"",IF($C4741="","Thiếu họ tên; ","")&amp;IF($S4741&lt;&gt;"Có","SĐT sai định dạng; ","")&amp;IF($R4741="Trùng","Trùng SĐT; ","")&amp;IF($Q4741&lt;&gt;"Có","Thiếu đồng ý bắt buộc; ","")&amp;IF($L4741="","Thiếu/sai Mã REF; ",IF(AND($L4741="Chưa xác định",DANH_MUC!$L$9&lt;&gt;"Có"),"Nguồn chưa xác định; ","")))</f>
        <v/>
      </c>
      <c r="V4741" s="22">
        <f>IF(OR($D4741="",$R4741="Trùng"),"",IF(COUNTIF(ORDERS!$C$2:$C$4995,$D4741)&gt;0,"Có","Không"))</f>
        <v/>
      </c>
      <c r="W4741" s="22">
        <f>IF(OR($D4741="",$R4741="Trùng"),"",COUNTIFS(ORDERS!$C$2:$C$4995,$D4741,ORDERS!$L$2:$L$4995,"Đã chuyển khoản"))</f>
        <v/>
      </c>
      <c r="X4741" s="23">
        <f>IF(OR($D4741="",$R4741="Trùng"),"",SUMIFS(ORDERS!$J$2:$J$4995,ORDERS!$C$2:$C$4995,$D4741,ORDERS!$L$2:$L$4995,"Đã chuyển khoản"))</f>
        <v/>
      </c>
      <c r="Y4741" s="24" t="n"/>
    </row>
    <row r="4742" ht="14.25" customHeight="1" s="40">
      <c r="A4742" s="24" t="n"/>
      <c r="B4742" s="27" t="n"/>
      <c r="C4742" s="24" t="n"/>
      <c r="D4742" s="28" t="n"/>
      <c r="E4742" s="29" t="n"/>
      <c r="F4742" s="24" t="n"/>
      <c r="G4742" s="24" t="n"/>
      <c r="H4742" s="21">
        <f>IF(ISNUMBER($B4742),INT($B4742)-WEEKDAY($B4742,2)+1,"")</f>
        <v/>
      </c>
      <c r="I4742" s="24" t="n"/>
      <c r="J4742" s="22">
        <f t="array" ref="J4742">IF($D4742="","",IF($I4742="","(trống REF)",IFERROR(INDEX(MASTER_SOURCE!$B$2:$B$495,MATCH($I4742,MASTER_SOURCE!$A$2:$A$495,0)),"(REF không có trong MASTER_SOURCE)")))</f>
        <v/>
      </c>
      <c r="K4742" s="22">
        <f t="array" ref="K4742">IF($D4742="","",IFERROR(INDEX(MASTER_SOURCE!$C$2:$C$495,MATCH($I4742,MASTER_SOURCE!$A$2:$A$495,0)),""))</f>
        <v/>
      </c>
      <c r="L4742" s="22">
        <f t="array" ref="L4742">IF($D4742="","",IFERROR(INDEX(MASTER_SOURCE!$D$2:$D$495,MATCH($I4742,MASTER_SOURCE!$A$2:$A$495,0)),""))</f>
        <v/>
      </c>
      <c r="M4742" s="24" t="n"/>
      <c r="N4742" s="24" t="n"/>
      <c r="O4742" s="24" t="n"/>
      <c r="P4742" s="24" t="n"/>
      <c r="Q4742" s="22">
        <f>IF($D4742="","",IF(AND(OR(DANH_MUC!$L$5&lt;&gt;"Có",M4742="Có"),OR(DANH_MUC!$L$6&lt;&gt;"Có",N4742="Có"),OR(DANH_MUC!$L$7&lt;&gt;"Có",O4742="Có"),OR(DANH_MUC!$L$8&lt;&gt;"Có",P4742="Có")),"Có","Không"))</f>
        <v/>
      </c>
      <c r="R4742" s="22">
        <f>IF($D4742="","",IF(COUNTIF($D$2:$D4742,$D4742)&gt;1,"Trùng",""))</f>
        <v/>
      </c>
      <c r="S4742" s="22">
        <f>IF($D4742="","",IF(AND(LEN($D4742)=10,LEFT($D4742,1)="0",ISNUMBER(--$D4742)),"Có","Không"))</f>
        <v/>
      </c>
      <c r="T4742" s="22">
        <f>IF($D4742="","",IF(AND($C4742&lt;&gt;"",$Q4742="Có",$R4742="",$S4742="Có",AND($L4742&lt;&gt;"",OR($L4742&lt;&gt;"Chưa xác định",DANH_MUC!$L$9="Có"))),"Có","Không"))</f>
        <v/>
      </c>
      <c r="U4742" s="22">
        <f>IF(OR($D4742="",$T4742="Có"),"",IF($C4742="","Thiếu họ tên; ","")&amp;IF($S4742&lt;&gt;"Có","SĐT sai định dạng; ","")&amp;IF($R4742="Trùng","Trùng SĐT; ","")&amp;IF($Q4742&lt;&gt;"Có","Thiếu đồng ý bắt buộc; ","")&amp;IF($L4742="","Thiếu/sai Mã REF; ",IF(AND($L4742="Chưa xác định",DANH_MUC!$L$9&lt;&gt;"Có"),"Nguồn chưa xác định; ","")))</f>
        <v/>
      </c>
      <c r="V4742" s="22">
        <f>IF(OR($D4742="",$R4742="Trùng"),"",IF(COUNTIF(ORDERS!$C$2:$C$4995,$D4742)&gt;0,"Có","Không"))</f>
        <v/>
      </c>
      <c r="W4742" s="22">
        <f>IF(OR($D4742="",$R4742="Trùng"),"",COUNTIFS(ORDERS!$C$2:$C$4995,$D4742,ORDERS!$L$2:$L$4995,"Đã chuyển khoản"))</f>
        <v/>
      </c>
      <c r="X4742" s="23">
        <f>IF(OR($D4742="",$R4742="Trùng"),"",SUMIFS(ORDERS!$J$2:$J$4995,ORDERS!$C$2:$C$4995,$D4742,ORDERS!$L$2:$L$4995,"Đã chuyển khoản"))</f>
        <v/>
      </c>
      <c r="Y4742" s="24" t="n"/>
    </row>
    <row r="4743" ht="14.25" customHeight="1" s="40">
      <c r="A4743" s="24" t="n"/>
      <c r="B4743" s="27" t="n"/>
      <c r="C4743" s="24" t="n"/>
      <c r="D4743" s="28" t="n"/>
      <c r="E4743" s="29" t="n"/>
      <c r="F4743" s="24" t="n"/>
      <c r="G4743" s="24" t="n"/>
      <c r="H4743" s="21">
        <f>IF(ISNUMBER($B4743),INT($B4743)-WEEKDAY($B4743,2)+1,"")</f>
        <v/>
      </c>
      <c r="I4743" s="24" t="n"/>
      <c r="J4743" s="22">
        <f t="array" ref="J4743">IF($D4743="","",IF($I4743="","(trống REF)",IFERROR(INDEX(MASTER_SOURCE!$B$2:$B$495,MATCH($I4743,MASTER_SOURCE!$A$2:$A$495,0)),"(REF không có trong MASTER_SOURCE)")))</f>
        <v/>
      </c>
      <c r="K4743" s="22">
        <f t="array" ref="K4743">IF($D4743="","",IFERROR(INDEX(MASTER_SOURCE!$C$2:$C$495,MATCH($I4743,MASTER_SOURCE!$A$2:$A$495,0)),""))</f>
        <v/>
      </c>
      <c r="L4743" s="22">
        <f t="array" ref="L4743">IF($D4743="","",IFERROR(INDEX(MASTER_SOURCE!$D$2:$D$495,MATCH($I4743,MASTER_SOURCE!$A$2:$A$495,0)),""))</f>
        <v/>
      </c>
      <c r="M4743" s="24" t="n"/>
      <c r="N4743" s="24" t="n"/>
      <c r="O4743" s="24" t="n"/>
      <c r="P4743" s="24" t="n"/>
      <c r="Q4743" s="22">
        <f>IF($D4743="","",IF(AND(OR(DANH_MUC!$L$5&lt;&gt;"Có",M4743="Có"),OR(DANH_MUC!$L$6&lt;&gt;"Có",N4743="Có"),OR(DANH_MUC!$L$7&lt;&gt;"Có",O4743="Có"),OR(DANH_MUC!$L$8&lt;&gt;"Có",P4743="Có")),"Có","Không"))</f>
        <v/>
      </c>
      <c r="R4743" s="22">
        <f>IF($D4743="","",IF(COUNTIF($D$2:$D4743,$D4743)&gt;1,"Trùng",""))</f>
        <v/>
      </c>
      <c r="S4743" s="22">
        <f>IF($D4743="","",IF(AND(LEN($D4743)=10,LEFT($D4743,1)="0",ISNUMBER(--$D4743)),"Có","Không"))</f>
        <v/>
      </c>
      <c r="T4743" s="22">
        <f>IF($D4743="","",IF(AND($C4743&lt;&gt;"",$Q4743="Có",$R4743="",$S4743="Có",AND($L4743&lt;&gt;"",OR($L4743&lt;&gt;"Chưa xác định",DANH_MUC!$L$9="Có"))),"Có","Không"))</f>
        <v/>
      </c>
      <c r="U4743" s="22">
        <f>IF(OR($D4743="",$T4743="Có"),"",IF($C4743="","Thiếu họ tên; ","")&amp;IF($S4743&lt;&gt;"Có","SĐT sai định dạng; ","")&amp;IF($R4743="Trùng","Trùng SĐT; ","")&amp;IF($Q4743&lt;&gt;"Có","Thiếu đồng ý bắt buộc; ","")&amp;IF($L4743="","Thiếu/sai Mã REF; ",IF(AND($L4743="Chưa xác định",DANH_MUC!$L$9&lt;&gt;"Có"),"Nguồn chưa xác định; ","")))</f>
        <v/>
      </c>
      <c r="V4743" s="22">
        <f>IF(OR($D4743="",$R4743="Trùng"),"",IF(COUNTIF(ORDERS!$C$2:$C$4995,$D4743)&gt;0,"Có","Không"))</f>
        <v/>
      </c>
      <c r="W4743" s="22">
        <f>IF(OR($D4743="",$R4743="Trùng"),"",COUNTIFS(ORDERS!$C$2:$C$4995,$D4743,ORDERS!$L$2:$L$4995,"Đã chuyển khoản"))</f>
        <v/>
      </c>
      <c r="X4743" s="23">
        <f>IF(OR($D4743="",$R4743="Trùng"),"",SUMIFS(ORDERS!$J$2:$J$4995,ORDERS!$C$2:$C$4995,$D4743,ORDERS!$L$2:$L$4995,"Đã chuyển khoản"))</f>
        <v/>
      </c>
      <c r="Y4743" s="24" t="n"/>
    </row>
    <row r="4744" ht="14.25" customHeight="1" s="40">
      <c r="A4744" s="24" t="n"/>
      <c r="B4744" s="27" t="n"/>
      <c r="C4744" s="24" t="n"/>
      <c r="D4744" s="28" t="n"/>
      <c r="E4744" s="29" t="n"/>
      <c r="F4744" s="24" t="n"/>
      <c r="G4744" s="24" t="n"/>
      <c r="H4744" s="21">
        <f>IF(ISNUMBER($B4744),INT($B4744)-WEEKDAY($B4744,2)+1,"")</f>
        <v/>
      </c>
      <c r="I4744" s="24" t="n"/>
      <c r="J4744" s="22">
        <f t="array" ref="J4744">IF($D4744="","",IF($I4744="","(trống REF)",IFERROR(INDEX(MASTER_SOURCE!$B$2:$B$495,MATCH($I4744,MASTER_SOURCE!$A$2:$A$495,0)),"(REF không có trong MASTER_SOURCE)")))</f>
        <v/>
      </c>
      <c r="K4744" s="22">
        <f t="array" ref="K4744">IF($D4744="","",IFERROR(INDEX(MASTER_SOURCE!$C$2:$C$495,MATCH($I4744,MASTER_SOURCE!$A$2:$A$495,0)),""))</f>
        <v/>
      </c>
      <c r="L4744" s="22">
        <f t="array" ref="L4744">IF($D4744="","",IFERROR(INDEX(MASTER_SOURCE!$D$2:$D$495,MATCH($I4744,MASTER_SOURCE!$A$2:$A$495,0)),""))</f>
        <v/>
      </c>
      <c r="M4744" s="24" t="n"/>
      <c r="N4744" s="24" t="n"/>
      <c r="O4744" s="24" t="n"/>
      <c r="P4744" s="24" t="n"/>
      <c r="Q4744" s="22">
        <f>IF($D4744="","",IF(AND(OR(DANH_MUC!$L$5&lt;&gt;"Có",M4744="Có"),OR(DANH_MUC!$L$6&lt;&gt;"Có",N4744="Có"),OR(DANH_MUC!$L$7&lt;&gt;"Có",O4744="Có"),OR(DANH_MUC!$L$8&lt;&gt;"Có",P4744="Có")),"Có","Không"))</f>
        <v/>
      </c>
      <c r="R4744" s="22">
        <f>IF($D4744="","",IF(COUNTIF($D$2:$D4744,$D4744)&gt;1,"Trùng",""))</f>
        <v/>
      </c>
      <c r="S4744" s="22">
        <f>IF($D4744="","",IF(AND(LEN($D4744)=10,LEFT($D4744,1)="0",ISNUMBER(--$D4744)),"Có","Không"))</f>
        <v/>
      </c>
      <c r="T4744" s="22">
        <f>IF($D4744="","",IF(AND($C4744&lt;&gt;"",$Q4744="Có",$R4744="",$S4744="Có",AND($L4744&lt;&gt;"",OR($L4744&lt;&gt;"Chưa xác định",DANH_MUC!$L$9="Có"))),"Có","Không"))</f>
        <v/>
      </c>
      <c r="U4744" s="22">
        <f>IF(OR($D4744="",$T4744="Có"),"",IF($C4744="","Thiếu họ tên; ","")&amp;IF($S4744&lt;&gt;"Có","SĐT sai định dạng; ","")&amp;IF($R4744="Trùng","Trùng SĐT; ","")&amp;IF($Q4744&lt;&gt;"Có","Thiếu đồng ý bắt buộc; ","")&amp;IF($L4744="","Thiếu/sai Mã REF; ",IF(AND($L4744="Chưa xác định",DANH_MUC!$L$9&lt;&gt;"Có"),"Nguồn chưa xác định; ","")))</f>
        <v/>
      </c>
      <c r="V4744" s="22">
        <f>IF(OR($D4744="",$R4744="Trùng"),"",IF(COUNTIF(ORDERS!$C$2:$C$4995,$D4744)&gt;0,"Có","Không"))</f>
        <v/>
      </c>
      <c r="W4744" s="22">
        <f>IF(OR($D4744="",$R4744="Trùng"),"",COUNTIFS(ORDERS!$C$2:$C$4995,$D4744,ORDERS!$L$2:$L$4995,"Đã chuyển khoản"))</f>
        <v/>
      </c>
      <c r="X4744" s="23">
        <f>IF(OR($D4744="",$R4744="Trùng"),"",SUMIFS(ORDERS!$J$2:$J$4995,ORDERS!$C$2:$C$4995,$D4744,ORDERS!$L$2:$L$4995,"Đã chuyển khoản"))</f>
        <v/>
      </c>
      <c r="Y4744" s="24" t="n"/>
    </row>
    <row r="4745" ht="14.25" customHeight="1" s="40">
      <c r="A4745" s="24" t="n"/>
      <c r="B4745" s="27" t="n"/>
      <c r="C4745" s="24" t="n"/>
      <c r="D4745" s="28" t="n"/>
      <c r="E4745" s="29" t="n"/>
      <c r="F4745" s="24" t="n"/>
      <c r="G4745" s="24" t="n"/>
      <c r="H4745" s="21">
        <f>IF(ISNUMBER($B4745),INT($B4745)-WEEKDAY($B4745,2)+1,"")</f>
        <v/>
      </c>
      <c r="I4745" s="24" t="n"/>
      <c r="J4745" s="22">
        <f t="array" ref="J4745">IF($D4745="","",IF($I4745="","(trống REF)",IFERROR(INDEX(MASTER_SOURCE!$B$2:$B$495,MATCH($I4745,MASTER_SOURCE!$A$2:$A$495,0)),"(REF không có trong MASTER_SOURCE)")))</f>
        <v/>
      </c>
      <c r="K4745" s="22">
        <f t="array" ref="K4745">IF($D4745="","",IFERROR(INDEX(MASTER_SOURCE!$C$2:$C$495,MATCH($I4745,MASTER_SOURCE!$A$2:$A$495,0)),""))</f>
        <v/>
      </c>
      <c r="L4745" s="22">
        <f t="array" ref="L4745">IF($D4745="","",IFERROR(INDEX(MASTER_SOURCE!$D$2:$D$495,MATCH($I4745,MASTER_SOURCE!$A$2:$A$495,0)),""))</f>
        <v/>
      </c>
      <c r="M4745" s="24" t="n"/>
      <c r="N4745" s="24" t="n"/>
      <c r="O4745" s="24" t="n"/>
      <c r="P4745" s="24" t="n"/>
      <c r="Q4745" s="22">
        <f>IF($D4745="","",IF(AND(OR(DANH_MUC!$L$5&lt;&gt;"Có",M4745="Có"),OR(DANH_MUC!$L$6&lt;&gt;"Có",N4745="Có"),OR(DANH_MUC!$L$7&lt;&gt;"Có",O4745="Có"),OR(DANH_MUC!$L$8&lt;&gt;"Có",P4745="Có")),"Có","Không"))</f>
        <v/>
      </c>
      <c r="R4745" s="22">
        <f>IF($D4745="","",IF(COUNTIF($D$2:$D4745,$D4745)&gt;1,"Trùng",""))</f>
        <v/>
      </c>
      <c r="S4745" s="22">
        <f>IF($D4745="","",IF(AND(LEN($D4745)=10,LEFT($D4745,1)="0",ISNUMBER(--$D4745)),"Có","Không"))</f>
        <v/>
      </c>
      <c r="T4745" s="22">
        <f>IF($D4745="","",IF(AND($C4745&lt;&gt;"",$Q4745="Có",$R4745="",$S4745="Có",AND($L4745&lt;&gt;"",OR($L4745&lt;&gt;"Chưa xác định",DANH_MUC!$L$9="Có"))),"Có","Không"))</f>
        <v/>
      </c>
      <c r="U4745" s="22">
        <f>IF(OR($D4745="",$T4745="Có"),"",IF($C4745="","Thiếu họ tên; ","")&amp;IF($S4745&lt;&gt;"Có","SĐT sai định dạng; ","")&amp;IF($R4745="Trùng","Trùng SĐT; ","")&amp;IF($Q4745&lt;&gt;"Có","Thiếu đồng ý bắt buộc; ","")&amp;IF($L4745="","Thiếu/sai Mã REF; ",IF(AND($L4745="Chưa xác định",DANH_MUC!$L$9&lt;&gt;"Có"),"Nguồn chưa xác định; ","")))</f>
        <v/>
      </c>
      <c r="V4745" s="22">
        <f>IF(OR($D4745="",$R4745="Trùng"),"",IF(COUNTIF(ORDERS!$C$2:$C$4995,$D4745)&gt;0,"Có","Không"))</f>
        <v/>
      </c>
      <c r="W4745" s="22">
        <f>IF(OR($D4745="",$R4745="Trùng"),"",COUNTIFS(ORDERS!$C$2:$C$4995,$D4745,ORDERS!$L$2:$L$4995,"Đã chuyển khoản"))</f>
        <v/>
      </c>
      <c r="X4745" s="23">
        <f>IF(OR($D4745="",$R4745="Trùng"),"",SUMIFS(ORDERS!$J$2:$J$4995,ORDERS!$C$2:$C$4995,$D4745,ORDERS!$L$2:$L$4995,"Đã chuyển khoản"))</f>
        <v/>
      </c>
      <c r="Y4745" s="24" t="n"/>
    </row>
    <row r="4746" ht="14.25" customHeight="1" s="40">
      <c r="A4746" s="24" t="n"/>
      <c r="B4746" s="27" t="n"/>
      <c r="C4746" s="24" t="n"/>
      <c r="D4746" s="28" t="n"/>
      <c r="E4746" s="29" t="n"/>
      <c r="F4746" s="24" t="n"/>
      <c r="G4746" s="24" t="n"/>
      <c r="H4746" s="21">
        <f>IF(ISNUMBER($B4746),INT($B4746)-WEEKDAY($B4746,2)+1,"")</f>
        <v/>
      </c>
      <c r="I4746" s="24" t="n"/>
      <c r="J4746" s="22">
        <f t="array" ref="J4746">IF($D4746="","",IF($I4746="","(trống REF)",IFERROR(INDEX(MASTER_SOURCE!$B$2:$B$495,MATCH($I4746,MASTER_SOURCE!$A$2:$A$495,0)),"(REF không có trong MASTER_SOURCE)")))</f>
        <v/>
      </c>
      <c r="K4746" s="22">
        <f t="array" ref="K4746">IF($D4746="","",IFERROR(INDEX(MASTER_SOURCE!$C$2:$C$495,MATCH($I4746,MASTER_SOURCE!$A$2:$A$495,0)),""))</f>
        <v/>
      </c>
      <c r="L4746" s="22">
        <f t="array" ref="L4746">IF($D4746="","",IFERROR(INDEX(MASTER_SOURCE!$D$2:$D$495,MATCH($I4746,MASTER_SOURCE!$A$2:$A$495,0)),""))</f>
        <v/>
      </c>
      <c r="M4746" s="24" t="n"/>
      <c r="N4746" s="24" t="n"/>
      <c r="O4746" s="24" t="n"/>
      <c r="P4746" s="24" t="n"/>
      <c r="Q4746" s="22">
        <f>IF($D4746="","",IF(AND(OR(DANH_MUC!$L$5&lt;&gt;"Có",M4746="Có"),OR(DANH_MUC!$L$6&lt;&gt;"Có",N4746="Có"),OR(DANH_MUC!$L$7&lt;&gt;"Có",O4746="Có"),OR(DANH_MUC!$L$8&lt;&gt;"Có",P4746="Có")),"Có","Không"))</f>
        <v/>
      </c>
      <c r="R4746" s="22">
        <f>IF($D4746="","",IF(COUNTIF($D$2:$D4746,$D4746)&gt;1,"Trùng",""))</f>
        <v/>
      </c>
      <c r="S4746" s="22">
        <f>IF($D4746="","",IF(AND(LEN($D4746)=10,LEFT($D4746,1)="0",ISNUMBER(--$D4746)),"Có","Không"))</f>
        <v/>
      </c>
      <c r="T4746" s="22">
        <f>IF($D4746="","",IF(AND($C4746&lt;&gt;"",$Q4746="Có",$R4746="",$S4746="Có",AND($L4746&lt;&gt;"",OR($L4746&lt;&gt;"Chưa xác định",DANH_MUC!$L$9="Có"))),"Có","Không"))</f>
        <v/>
      </c>
      <c r="U4746" s="22">
        <f>IF(OR($D4746="",$T4746="Có"),"",IF($C4746="","Thiếu họ tên; ","")&amp;IF($S4746&lt;&gt;"Có","SĐT sai định dạng; ","")&amp;IF($R4746="Trùng","Trùng SĐT; ","")&amp;IF($Q4746&lt;&gt;"Có","Thiếu đồng ý bắt buộc; ","")&amp;IF($L4746="","Thiếu/sai Mã REF; ",IF(AND($L4746="Chưa xác định",DANH_MUC!$L$9&lt;&gt;"Có"),"Nguồn chưa xác định; ","")))</f>
        <v/>
      </c>
      <c r="V4746" s="22">
        <f>IF(OR($D4746="",$R4746="Trùng"),"",IF(COUNTIF(ORDERS!$C$2:$C$4995,$D4746)&gt;0,"Có","Không"))</f>
        <v/>
      </c>
      <c r="W4746" s="22">
        <f>IF(OR($D4746="",$R4746="Trùng"),"",COUNTIFS(ORDERS!$C$2:$C$4995,$D4746,ORDERS!$L$2:$L$4995,"Đã chuyển khoản"))</f>
        <v/>
      </c>
      <c r="X4746" s="23">
        <f>IF(OR($D4746="",$R4746="Trùng"),"",SUMIFS(ORDERS!$J$2:$J$4995,ORDERS!$C$2:$C$4995,$D4746,ORDERS!$L$2:$L$4995,"Đã chuyển khoản"))</f>
        <v/>
      </c>
      <c r="Y4746" s="24" t="n"/>
    </row>
    <row r="4747" ht="14.25" customHeight="1" s="40">
      <c r="A4747" s="24" t="n"/>
      <c r="B4747" s="27" t="n"/>
      <c r="C4747" s="24" t="n"/>
      <c r="D4747" s="28" t="n"/>
      <c r="E4747" s="29" t="n"/>
      <c r="F4747" s="24" t="n"/>
      <c r="G4747" s="24" t="n"/>
      <c r="H4747" s="21">
        <f>IF(ISNUMBER($B4747),INT($B4747)-WEEKDAY($B4747,2)+1,"")</f>
        <v/>
      </c>
      <c r="I4747" s="24" t="n"/>
      <c r="J4747" s="22">
        <f t="array" ref="J4747">IF($D4747="","",IF($I4747="","(trống REF)",IFERROR(INDEX(MASTER_SOURCE!$B$2:$B$495,MATCH($I4747,MASTER_SOURCE!$A$2:$A$495,0)),"(REF không có trong MASTER_SOURCE)")))</f>
        <v/>
      </c>
      <c r="K4747" s="22">
        <f t="array" ref="K4747">IF($D4747="","",IFERROR(INDEX(MASTER_SOURCE!$C$2:$C$495,MATCH($I4747,MASTER_SOURCE!$A$2:$A$495,0)),""))</f>
        <v/>
      </c>
      <c r="L4747" s="22">
        <f t="array" ref="L4747">IF($D4747="","",IFERROR(INDEX(MASTER_SOURCE!$D$2:$D$495,MATCH($I4747,MASTER_SOURCE!$A$2:$A$495,0)),""))</f>
        <v/>
      </c>
      <c r="M4747" s="24" t="n"/>
      <c r="N4747" s="24" t="n"/>
      <c r="O4747" s="24" t="n"/>
      <c r="P4747" s="24" t="n"/>
      <c r="Q4747" s="22">
        <f>IF($D4747="","",IF(AND(OR(DANH_MUC!$L$5&lt;&gt;"Có",M4747="Có"),OR(DANH_MUC!$L$6&lt;&gt;"Có",N4747="Có"),OR(DANH_MUC!$L$7&lt;&gt;"Có",O4747="Có"),OR(DANH_MUC!$L$8&lt;&gt;"Có",P4747="Có")),"Có","Không"))</f>
        <v/>
      </c>
      <c r="R4747" s="22">
        <f>IF($D4747="","",IF(COUNTIF($D$2:$D4747,$D4747)&gt;1,"Trùng",""))</f>
        <v/>
      </c>
      <c r="S4747" s="22">
        <f>IF($D4747="","",IF(AND(LEN($D4747)=10,LEFT($D4747,1)="0",ISNUMBER(--$D4747)),"Có","Không"))</f>
        <v/>
      </c>
      <c r="T4747" s="22">
        <f>IF($D4747="","",IF(AND($C4747&lt;&gt;"",$Q4747="Có",$R4747="",$S4747="Có",AND($L4747&lt;&gt;"",OR($L4747&lt;&gt;"Chưa xác định",DANH_MUC!$L$9="Có"))),"Có","Không"))</f>
        <v/>
      </c>
      <c r="U4747" s="22">
        <f>IF(OR($D4747="",$T4747="Có"),"",IF($C4747="","Thiếu họ tên; ","")&amp;IF($S4747&lt;&gt;"Có","SĐT sai định dạng; ","")&amp;IF($R4747="Trùng","Trùng SĐT; ","")&amp;IF($Q4747&lt;&gt;"Có","Thiếu đồng ý bắt buộc; ","")&amp;IF($L4747="","Thiếu/sai Mã REF; ",IF(AND($L4747="Chưa xác định",DANH_MUC!$L$9&lt;&gt;"Có"),"Nguồn chưa xác định; ","")))</f>
        <v/>
      </c>
      <c r="V4747" s="22">
        <f>IF(OR($D4747="",$R4747="Trùng"),"",IF(COUNTIF(ORDERS!$C$2:$C$4995,$D4747)&gt;0,"Có","Không"))</f>
        <v/>
      </c>
      <c r="W4747" s="22">
        <f>IF(OR($D4747="",$R4747="Trùng"),"",COUNTIFS(ORDERS!$C$2:$C$4995,$D4747,ORDERS!$L$2:$L$4995,"Đã chuyển khoản"))</f>
        <v/>
      </c>
      <c r="X4747" s="23">
        <f>IF(OR($D4747="",$R4747="Trùng"),"",SUMIFS(ORDERS!$J$2:$J$4995,ORDERS!$C$2:$C$4995,$D4747,ORDERS!$L$2:$L$4995,"Đã chuyển khoản"))</f>
        <v/>
      </c>
      <c r="Y4747" s="24" t="n"/>
    </row>
    <row r="4748" ht="14.25" customHeight="1" s="40">
      <c r="A4748" s="24" t="n"/>
      <c r="B4748" s="27" t="n"/>
      <c r="C4748" s="24" t="n"/>
      <c r="D4748" s="28" t="n"/>
      <c r="E4748" s="29" t="n"/>
      <c r="F4748" s="24" t="n"/>
      <c r="G4748" s="24" t="n"/>
      <c r="H4748" s="21">
        <f>IF(ISNUMBER($B4748),INT($B4748)-WEEKDAY($B4748,2)+1,"")</f>
        <v/>
      </c>
      <c r="I4748" s="24" t="n"/>
      <c r="J4748" s="22">
        <f t="array" ref="J4748">IF($D4748="","",IF($I4748="","(trống REF)",IFERROR(INDEX(MASTER_SOURCE!$B$2:$B$495,MATCH($I4748,MASTER_SOURCE!$A$2:$A$495,0)),"(REF không có trong MASTER_SOURCE)")))</f>
        <v/>
      </c>
      <c r="K4748" s="22">
        <f t="array" ref="K4748">IF($D4748="","",IFERROR(INDEX(MASTER_SOURCE!$C$2:$C$495,MATCH($I4748,MASTER_SOURCE!$A$2:$A$495,0)),""))</f>
        <v/>
      </c>
      <c r="L4748" s="22">
        <f t="array" ref="L4748">IF($D4748="","",IFERROR(INDEX(MASTER_SOURCE!$D$2:$D$495,MATCH($I4748,MASTER_SOURCE!$A$2:$A$495,0)),""))</f>
        <v/>
      </c>
      <c r="M4748" s="24" t="n"/>
      <c r="N4748" s="24" t="n"/>
      <c r="O4748" s="24" t="n"/>
      <c r="P4748" s="24" t="n"/>
      <c r="Q4748" s="22">
        <f>IF($D4748="","",IF(AND(OR(DANH_MUC!$L$5&lt;&gt;"Có",M4748="Có"),OR(DANH_MUC!$L$6&lt;&gt;"Có",N4748="Có"),OR(DANH_MUC!$L$7&lt;&gt;"Có",O4748="Có"),OR(DANH_MUC!$L$8&lt;&gt;"Có",P4748="Có")),"Có","Không"))</f>
        <v/>
      </c>
      <c r="R4748" s="22">
        <f>IF($D4748="","",IF(COUNTIF($D$2:$D4748,$D4748)&gt;1,"Trùng",""))</f>
        <v/>
      </c>
      <c r="S4748" s="22">
        <f>IF($D4748="","",IF(AND(LEN($D4748)=10,LEFT($D4748,1)="0",ISNUMBER(--$D4748)),"Có","Không"))</f>
        <v/>
      </c>
      <c r="T4748" s="22">
        <f>IF($D4748="","",IF(AND($C4748&lt;&gt;"",$Q4748="Có",$R4748="",$S4748="Có",AND($L4748&lt;&gt;"",OR($L4748&lt;&gt;"Chưa xác định",DANH_MUC!$L$9="Có"))),"Có","Không"))</f>
        <v/>
      </c>
      <c r="U4748" s="22">
        <f>IF(OR($D4748="",$T4748="Có"),"",IF($C4748="","Thiếu họ tên; ","")&amp;IF($S4748&lt;&gt;"Có","SĐT sai định dạng; ","")&amp;IF($R4748="Trùng","Trùng SĐT; ","")&amp;IF($Q4748&lt;&gt;"Có","Thiếu đồng ý bắt buộc; ","")&amp;IF($L4748="","Thiếu/sai Mã REF; ",IF(AND($L4748="Chưa xác định",DANH_MUC!$L$9&lt;&gt;"Có"),"Nguồn chưa xác định; ","")))</f>
        <v/>
      </c>
      <c r="V4748" s="22">
        <f>IF(OR($D4748="",$R4748="Trùng"),"",IF(COUNTIF(ORDERS!$C$2:$C$4995,$D4748)&gt;0,"Có","Không"))</f>
        <v/>
      </c>
      <c r="W4748" s="22">
        <f>IF(OR($D4748="",$R4748="Trùng"),"",COUNTIFS(ORDERS!$C$2:$C$4995,$D4748,ORDERS!$L$2:$L$4995,"Đã chuyển khoản"))</f>
        <v/>
      </c>
      <c r="X4748" s="23">
        <f>IF(OR($D4748="",$R4748="Trùng"),"",SUMIFS(ORDERS!$J$2:$J$4995,ORDERS!$C$2:$C$4995,$D4748,ORDERS!$L$2:$L$4995,"Đã chuyển khoản"))</f>
        <v/>
      </c>
      <c r="Y4748" s="24" t="n"/>
    </row>
    <row r="4749" ht="14.25" customHeight="1" s="40">
      <c r="A4749" s="24" t="n"/>
      <c r="B4749" s="27" t="n"/>
      <c r="C4749" s="24" t="n"/>
      <c r="D4749" s="28" t="n"/>
      <c r="E4749" s="29" t="n"/>
      <c r="F4749" s="24" t="n"/>
      <c r="G4749" s="24" t="n"/>
      <c r="H4749" s="21">
        <f>IF(ISNUMBER($B4749),INT($B4749)-WEEKDAY($B4749,2)+1,"")</f>
        <v/>
      </c>
      <c r="I4749" s="24" t="n"/>
      <c r="J4749" s="22">
        <f t="array" ref="J4749">IF($D4749="","",IF($I4749="","(trống REF)",IFERROR(INDEX(MASTER_SOURCE!$B$2:$B$495,MATCH($I4749,MASTER_SOURCE!$A$2:$A$495,0)),"(REF không có trong MASTER_SOURCE)")))</f>
        <v/>
      </c>
      <c r="K4749" s="22">
        <f t="array" ref="K4749">IF($D4749="","",IFERROR(INDEX(MASTER_SOURCE!$C$2:$C$495,MATCH($I4749,MASTER_SOURCE!$A$2:$A$495,0)),""))</f>
        <v/>
      </c>
      <c r="L4749" s="22">
        <f t="array" ref="L4749">IF($D4749="","",IFERROR(INDEX(MASTER_SOURCE!$D$2:$D$495,MATCH($I4749,MASTER_SOURCE!$A$2:$A$495,0)),""))</f>
        <v/>
      </c>
      <c r="M4749" s="24" t="n"/>
      <c r="N4749" s="24" t="n"/>
      <c r="O4749" s="24" t="n"/>
      <c r="P4749" s="24" t="n"/>
      <c r="Q4749" s="22">
        <f>IF($D4749="","",IF(AND(OR(DANH_MUC!$L$5&lt;&gt;"Có",M4749="Có"),OR(DANH_MUC!$L$6&lt;&gt;"Có",N4749="Có"),OR(DANH_MUC!$L$7&lt;&gt;"Có",O4749="Có"),OR(DANH_MUC!$L$8&lt;&gt;"Có",P4749="Có")),"Có","Không"))</f>
        <v/>
      </c>
      <c r="R4749" s="22">
        <f>IF($D4749="","",IF(COUNTIF($D$2:$D4749,$D4749)&gt;1,"Trùng",""))</f>
        <v/>
      </c>
      <c r="S4749" s="22">
        <f>IF($D4749="","",IF(AND(LEN($D4749)=10,LEFT($D4749,1)="0",ISNUMBER(--$D4749)),"Có","Không"))</f>
        <v/>
      </c>
      <c r="T4749" s="22">
        <f>IF($D4749="","",IF(AND($C4749&lt;&gt;"",$Q4749="Có",$R4749="",$S4749="Có",AND($L4749&lt;&gt;"",OR($L4749&lt;&gt;"Chưa xác định",DANH_MUC!$L$9="Có"))),"Có","Không"))</f>
        <v/>
      </c>
      <c r="U4749" s="22">
        <f>IF(OR($D4749="",$T4749="Có"),"",IF($C4749="","Thiếu họ tên; ","")&amp;IF($S4749&lt;&gt;"Có","SĐT sai định dạng; ","")&amp;IF($R4749="Trùng","Trùng SĐT; ","")&amp;IF($Q4749&lt;&gt;"Có","Thiếu đồng ý bắt buộc; ","")&amp;IF($L4749="","Thiếu/sai Mã REF; ",IF(AND($L4749="Chưa xác định",DANH_MUC!$L$9&lt;&gt;"Có"),"Nguồn chưa xác định; ","")))</f>
        <v/>
      </c>
      <c r="V4749" s="22">
        <f>IF(OR($D4749="",$R4749="Trùng"),"",IF(COUNTIF(ORDERS!$C$2:$C$4995,$D4749)&gt;0,"Có","Không"))</f>
        <v/>
      </c>
      <c r="W4749" s="22">
        <f>IF(OR($D4749="",$R4749="Trùng"),"",COUNTIFS(ORDERS!$C$2:$C$4995,$D4749,ORDERS!$L$2:$L$4995,"Đã chuyển khoản"))</f>
        <v/>
      </c>
      <c r="X4749" s="23">
        <f>IF(OR($D4749="",$R4749="Trùng"),"",SUMIFS(ORDERS!$J$2:$J$4995,ORDERS!$C$2:$C$4995,$D4749,ORDERS!$L$2:$L$4995,"Đã chuyển khoản"))</f>
        <v/>
      </c>
      <c r="Y4749" s="24" t="n"/>
    </row>
    <row r="4750" ht="14.25" customHeight="1" s="40">
      <c r="A4750" s="24" t="n"/>
      <c r="B4750" s="27" t="n"/>
      <c r="C4750" s="24" t="n"/>
      <c r="D4750" s="28" t="n"/>
      <c r="E4750" s="29" t="n"/>
      <c r="F4750" s="24" t="n"/>
      <c r="G4750" s="24" t="n"/>
      <c r="H4750" s="21">
        <f>IF(ISNUMBER($B4750),INT($B4750)-WEEKDAY($B4750,2)+1,"")</f>
        <v/>
      </c>
      <c r="I4750" s="24" t="n"/>
      <c r="J4750" s="22">
        <f t="array" ref="J4750">IF($D4750="","",IF($I4750="","(trống REF)",IFERROR(INDEX(MASTER_SOURCE!$B$2:$B$495,MATCH($I4750,MASTER_SOURCE!$A$2:$A$495,0)),"(REF không có trong MASTER_SOURCE)")))</f>
        <v/>
      </c>
      <c r="K4750" s="22">
        <f t="array" ref="K4750">IF($D4750="","",IFERROR(INDEX(MASTER_SOURCE!$C$2:$C$495,MATCH($I4750,MASTER_SOURCE!$A$2:$A$495,0)),""))</f>
        <v/>
      </c>
      <c r="L4750" s="22">
        <f t="array" ref="L4750">IF($D4750="","",IFERROR(INDEX(MASTER_SOURCE!$D$2:$D$495,MATCH($I4750,MASTER_SOURCE!$A$2:$A$495,0)),""))</f>
        <v/>
      </c>
      <c r="M4750" s="24" t="n"/>
      <c r="N4750" s="24" t="n"/>
      <c r="O4750" s="24" t="n"/>
      <c r="P4750" s="24" t="n"/>
      <c r="Q4750" s="22">
        <f>IF($D4750="","",IF(AND(OR(DANH_MUC!$L$5&lt;&gt;"Có",M4750="Có"),OR(DANH_MUC!$L$6&lt;&gt;"Có",N4750="Có"),OR(DANH_MUC!$L$7&lt;&gt;"Có",O4750="Có"),OR(DANH_MUC!$L$8&lt;&gt;"Có",P4750="Có")),"Có","Không"))</f>
        <v/>
      </c>
      <c r="R4750" s="22">
        <f>IF($D4750="","",IF(COUNTIF($D$2:$D4750,$D4750)&gt;1,"Trùng",""))</f>
        <v/>
      </c>
      <c r="S4750" s="22">
        <f>IF($D4750="","",IF(AND(LEN($D4750)=10,LEFT($D4750,1)="0",ISNUMBER(--$D4750)),"Có","Không"))</f>
        <v/>
      </c>
      <c r="T4750" s="22">
        <f>IF($D4750="","",IF(AND($C4750&lt;&gt;"",$Q4750="Có",$R4750="",$S4750="Có",AND($L4750&lt;&gt;"",OR($L4750&lt;&gt;"Chưa xác định",DANH_MUC!$L$9="Có"))),"Có","Không"))</f>
        <v/>
      </c>
      <c r="U4750" s="22">
        <f>IF(OR($D4750="",$T4750="Có"),"",IF($C4750="","Thiếu họ tên; ","")&amp;IF($S4750&lt;&gt;"Có","SĐT sai định dạng; ","")&amp;IF($R4750="Trùng","Trùng SĐT; ","")&amp;IF($Q4750&lt;&gt;"Có","Thiếu đồng ý bắt buộc; ","")&amp;IF($L4750="","Thiếu/sai Mã REF; ",IF(AND($L4750="Chưa xác định",DANH_MUC!$L$9&lt;&gt;"Có"),"Nguồn chưa xác định; ","")))</f>
        <v/>
      </c>
      <c r="V4750" s="22">
        <f>IF(OR($D4750="",$R4750="Trùng"),"",IF(COUNTIF(ORDERS!$C$2:$C$4995,$D4750)&gt;0,"Có","Không"))</f>
        <v/>
      </c>
      <c r="W4750" s="22">
        <f>IF(OR($D4750="",$R4750="Trùng"),"",COUNTIFS(ORDERS!$C$2:$C$4995,$D4750,ORDERS!$L$2:$L$4995,"Đã chuyển khoản"))</f>
        <v/>
      </c>
      <c r="X4750" s="23">
        <f>IF(OR($D4750="",$R4750="Trùng"),"",SUMIFS(ORDERS!$J$2:$J$4995,ORDERS!$C$2:$C$4995,$D4750,ORDERS!$L$2:$L$4995,"Đã chuyển khoản"))</f>
        <v/>
      </c>
      <c r="Y4750" s="24" t="n"/>
    </row>
    <row r="4751" ht="14.25" customHeight="1" s="40">
      <c r="A4751" s="24" t="n"/>
      <c r="B4751" s="27" t="n"/>
      <c r="C4751" s="24" t="n"/>
      <c r="D4751" s="28" t="n"/>
      <c r="E4751" s="29" t="n"/>
      <c r="F4751" s="24" t="n"/>
      <c r="G4751" s="24" t="n"/>
      <c r="H4751" s="21">
        <f>IF(ISNUMBER($B4751),INT($B4751)-WEEKDAY($B4751,2)+1,"")</f>
        <v/>
      </c>
      <c r="I4751" s="24" t="n"/>
      <c r="J4751" s="22">
        <f t="array" ref="J4751">IF($D4751="","",IF($I4751="","(trống REF)",IFERROR(INDEX(MASTER_SOURCE!$B$2:$B$495,MATCH($I4751,MASTER_SOURCE!$A$2:$A$495,0)),"(REF không có trong MASTER_SOURCE)")))</f>
        <v/>
      </c>
      <c r="K4751" s="22">
        <f t="array" ref="K4751">IF($D4751="","",IFERROR(INDEX(MASTER_SOURCE!$C$2:$C$495,MATCH($I4751,MASTER_SOURCE!$A$2:$A$495,0)),""))</f>
        <v/>
      </c>
      <c r="L4751" s="22">
        <f t="array" ref="L4751">IF($D4751="","",IFERROR(INDEX(MASTER_SOURCE!$D$2:$D$495,MATCH($I4751,MASTER_SOURCE!$A$2:$A$495,0)),""))</f>
        <v/>
      </c>
      <c r="M4751" s="24" t="n"/>
      <c r="N4751" s="24" t="n"/>
      <c r="O4751" s="24" t="n"/>
      <c r="P4751" s="24" t="n"/>
      <c r="Q4751" s="22">
        <f>IF($D4751="","",IF(AND(OR(DANH_MUC!$L$5&lt;&gt;"Có",M4751="Có"),OR(DANH_MUC!$L$6&lt;&gt;"Có",N4751="Có"),OR(DANH_MUC!$L$7&lt;&gt;"Có",O4751="Có"),OR(DANH_MUC!$L$8&lt;&gt;"Có",P4751="Có")),"Có","Không"))</f>
        <v/>
      </c>
      <c r="R4751" s="22">
        <f>IF($D4751="","",IF(COUNTIF($D$2:$D4751,$D4751)&gt;1,"Trùng",""))</f>
        <v/>
      </c>
      <c r="S4751" s="22">
        <f>IF($D4751="","",IF(AND(LEN($D4751)=10,LEFT($D4751,1)="0",ISNUMBER(--$D4751)),"Có","Không"))</f>
        <v/>
      </c>
      <c r="T4751" s="22">
        <f>IF($D4751="","",IF(AND($C4751&lt;&gt;"",$Q4751="Có",$R4751="",$S4751="Có",AND($L4751&lt;&gt;"",OR($L4751&lt;&gt;"Chưa xác định",DANH_MUC!$L$9="Có"))),"Có","Không"))</f>
        <v/>
      </c>
      <c r="U4751" s="22">
        <f>IF(OR($D4751="",$T4751="Có"),"",IF($C4751="","Thiếu họ tên; ","")&amp;IF($S4751&lt;&gt;"Có","SĐT sai định dạng; ","")&amp;IF($R4751="Trùng","Trùng SĐT; ","")&amp;IF($Q4751&lt;&gt;"Có","Thiếu đồng ý bắt buộc; ","")&amp;IF($L4751="","Thiếu/sai Mã REF; ",IF(AND($L4751="Chưa xác định",DANH_MUC!$L$9&lt;&gt;"Có"),"Nguồn chưa xác định; ","")))</f>
        <v/>
      </c>
      <c r="V4751" s="22">
        <f>IF(OR($D4751="",$R4751="Trùng"),"",IF(COUNTIF(ORDERS!$C$2:$C$4995,$D4751)&gt;0,"Có","Không"))</f>
        <v/>
      </c>
      <c r="W4751" s="22">
        <f>IF(OR($D4751="",$R4751="Trùng"),"",COUNTIFS(ORDERS!$C$2:$C$4995,$D4751,ORDERS!$L$2:$L$4995,"Đã chuyển khoản"))</f>
        <v/>
      </c>
      <c r="X4751" s="23">
        <f>IF(OR($D4751="",$R4751="Trùng"),"",SUMIFS(ORDERS!$J$2:$J$4995,ORDERS!$C$2:$C$4995,$D4751,ORDERS!$L$2:$L$4995,"Đã chuyển khoản"))</f>
        <v/>
      </c>
      <c r="Y4751" s="24" t="n"/>
    </row>
    <row r="4752" ht="14.25" customHeight="1" s="40">
      <c r="A4752" s="24" t="n"/>
      <c r="B4752" s="27" t="n"/>
      <c r="C4752" s="24" t="n"/>
      <c r="D4752" s="28" t="n"/>
      <c r="E4752" s="29" t="n"/>
      <c r="F4752" s="24" t="n"/>
      <c r="G4752" s="24" t="n"/>
      <c r="H4752" s="21">
        <f>IF(ISNUMBER($B4752),INT($B4752)-WEEKDAY($B4752,2)+1,"")</f>
        <v/>
      </c>
      <c r="I4752" s="24" t="n"/>
      <c r="J4752" s="22">
        <f t="array" ref="J4752">IF($D4752="","",IF($I4752="","(trống REF)",IFERROR(INDEX(MASTER_SOURCE!$B$2:$B$495,MATCH($I4752,MASTER_SOURCE!$A$2:$A$495,0)),"(REF không có trong MASTER_SOURCE)")))</f>
        <v/>
      </c>
      <c r="K4752" s="22">
        <f t="array" ref="K4752">IF($D4752="","",IFERROR(INDEX(MASTER_SOURCE!$C$2:$C$495,MATCH($I4752,MASTER_SOURCE!$A$2:$A$495,0)),""))</f>
        <v/>
      </c>
      <c r="L4752" s="22">
        <f t="array" ref="L4752">IF($D4752="","",IFERROR(INDEX(MASTER_SOURCE!$D$2:$D$495,MATCH($I4752,MASTER_SOURCE!$A$2:$A$495,0)),""))</f>
        <v/>
      </c>
      <c r="M4752" s="24" t="n"/>
      <c r="N4752" s="24" t="n"/>
      <c r="O4752" s="24" t="n"/>
      <c r="P4752" s="24" t="n"/>
      <c r="Q4752" s="22">
        <f>IF($D4752="","",IF(AND(OR(DANH_MUC!$L$5&lt;&gt;"Có",M4752="Có"),OR(DANH_MUC!$L$6&lt;&gt;"Có",N4752="Có"),OR(DANH_MUC!$L$7&lt;&gt;"Có",O4752="Có"),OR(DANH_MUC!$L$8&lt;&gt;"Có",P4752="Có")),"Có","Không"))</f>
        <v/>
      </c>
      <c r="R4752" s="22">
        <f>IF($D4752="","",IF(COUNTIF($D$2:$D4752,$D4752)&gt;1,"Trùng",""))</f>
        <v/>
      </c>
      <c r="S4752" s="22">
        <f>IF($D4752="","",IF(AND(LEN($D4752)=10,LEFT($D4752,1)="0",ISNUMBER(--$D4752)),"Có","Không"))</f>
        <v/>
      </c>
      <c r="T4752" s="22">
        <f>IF($D4752="","",IF(AND($C4752&lt;&gt;"",$Q4752="Có",$R4752="",$S4752="Có",AND($L4752&lt;&gt;"",OR($L4752&lt;&gt;"Chưa xác định",DANH_MUC!$L$9="Có"))),"Có","Không"))</f>
        <v/>
      </c>
      <c r="U4752" s="22">
        <f>IF(OR($D4752="",$T4752="Có"),"",IF($C4752="","Thiếu họ tên; ","")&amp;IF($S4752&lt;&gt;"Có","SĐT sai định dạng; ","")&amp;IF($R4752="Trùng","Trùng SĐT; ","")&amp;IF($Q4752&lt;&gt;"Có","Thiếu đồng ý bắt buộc; ","")&amp;IF($L4752="","Thiếu/sai Mã REF; ",IF(AND($L4752="Chưa xác định",DANH_MUC!$L$9&lt;&gt;"Có"),"Nguồn chưa xác định; ","")))</f>
        <v/>
      </c>
      <c r="V4752" s="22">
        <f>IF(OR($D4752="",$R4752="Trùng"),"",IF(COUNTIF(ORDERS!$C$2:$C$4995,$D4752)&gt;0,"Có","Không"))</f>
        <v/>
      </c>
      <c r="W4752" s="22">
        <f>IF(OR($D4752="",$R4752="Trùng"),"",COUNTIFS(ORDERS!$C$2:$C$4995,$D4752,ORDERS!$L$2:$L$4995,"Đã chuyển khoản"))</f>
        <v/>
      </c>
      <c r="X4752" s="23">
        <f>IF(OR($D4752="",$R4752="Trùng"),"",SUMIFS(ORDERS!$J$2:$J$4995,ORDERS!$C$2:$C$4995,$D4752,ORDERS!$L$2:$L$4995,"Đã chuyển khoản"))</f>
        <v/>
      </c>
      <c r="Y4752" s="24" t="n"/>
    </row>
    <row r="4753" ht="14.25" customHeight="1" s="40">
      <c r="A4753" s="24" t="n"/>
      <c r="B4753" s="27" t="n"/>
      <c r="C4753" s="24" t="n"/>
      <c r="D4753" s="28" t="n"/>
      <c r="E4753" s="29" t="n"/>
      <c r="F4753" s="24" t="n"/>
      <c r="G4753" s="24" t="n"/>
      <c r="H4753" s="21">
        <f>IF(ISNUMBER($B4753),INT($B4753)-WEEKDAY($B4753,2)+1,"")</f>
        <v/>
      </c>
      <c r="I4753" s="24" t="n"/>
      <c r="J4753" s="22">
        <f t="array" ref="J4753">IF($D4753="","",IF($I4753="","(trống REF)",IFERROR(INDEX(MASTER_SOURCE!$B$2:$B$495,MATCH($I4753,MASTER_SOURCE!$A$2:$A$495,0)),"(REF không có trong MASTER_SOURCE)")))</f>
        <v/>
      </c>
      <c r="K4753" s="22">
        <f t="array" ref="K4753">IF($D4753="","",IFERROR(INDEX(MASTER_SOURCE!$C$2:$C$495,MATCH($I4753,MASTER_SOURCE!$A$2:$A$495,0)),""))</f>
        <v/>
      </c>
      <c r="L4753" s="22">
        <f t="array" ref="L4753">IF($D4753="","",IFERROR(INDEX(MASTER_SOURCE!$D$2:$D$495,MATCH($I4753,MASTER_SOURCE!$A$2:$A$495,0)),""))</f>
        <v/>
      </c>
      <c r="M4753" s="24" t="n"/>
      <c r="N4753" s="24" t="n"/>
      <c r="O4753" s="24" t="n"/>
      <c r="P4753" s="24" t="n"/>
      <c r="Q4753" s="22">
        <f>IF($D4753="","",IF(AND(OR(DANH_MUC!$L$5&lt;&gt;"Có",M4753="Có"),OR(DANH_MUC!$L$6&lt;&gt;"Có",N4753="Có"),OR(DANH_MUC!$L$7&lt;&gt;"Có",O4753="Có"),OR(DANH_MUC!$L$8&lt;&gt;"Có",P4753="Có")),"Có","Không"))</f>
        <v/>
      </c>
      <c r="R4753" s="22">
        <f>IF($D4753="","",IF(COUNTIF($D$2:$D4753,$D4753)&gt;1,"Trùng",""))</f>
        <v/>
      </c>
      <c r="S4753" s="22">
        <f>IF($D4753="","",IF(AND(LEN($D4753)=10,LEFT($D4753,1)="0",ISNUMBER(--$D4753)),"Có","Không"))</f>
        <v/>
      </c>
      <c r="T4753" s="22">
        <f>IF($D4753="","",IF(AND($C4753&lt;&gt;"",$Q4753="Có",$R4753="",$S4753="Có",AND($L4753&lt;&gt;"",OR($L4753&lt;&gt;"Chưa xác định",DANH_MUC!$L$9="Có"))),"Có","Không"))</f>
        <v/>
      </c>
      <c r="U4753" s="22">
        <f>IF(OR($D4753="",$T4753="Có"),"",IF($C4753="","Thiếu họ tên; ","")&amp;IF($S4753&lt;&gt;"Có","SĐT sai định dạng; ","")&amp;IF($R4753="Trùng","Trùng SĐT; ","")&amp;IF($Q4753&lt;&gt;"Có","Thiếu đồng ý bắt buộc; ","")&amp;IF($L4753="","Thiếu/sai Mã REF; ",IF(AND($L4753="Chưa xác định",DANH_MUC!$L$9&lt;&gt;"Có"),"Nguồn chưa xác định; ","")))</f>
        <v/>
      </c>
      <c r="V4753" s="22">
        <f>IF(OR($D4753="",$R4753="Trùng"),"",IF(COUNTIF(ORDERS!$C$2:$C$4995,$D4753)&gt;0,"Có","Không"))</f>
        <v/>
      </c>
      <c r="W4753" s="22">
        <f>IF(OR($D4753="",$R4753="Trùng"),"",COUNTIFS(ORDERS!$C$2:$C$4995,$D4753,ORDERS!$L$2:$L$4995,"Đã chuyển khoản"))</f>
        <v/>
      </c>
      <c r="X4753" s="23">
        <f>IF(OR($D4753="",$R4753="Trùng"),"",SUMIFS(ORDERS!$J$2:$J$4995,ORDERS!$C$2:$C$4995,$D4753,ORDERS!$L$2:$L$4995,"Đã chuyển khoản"))</f>
        <v/>
      </c>
      <c r="Y4753" s="24" t="n"/>
    </row>
    <row r="4754" ht="14.25" customHeight="1" s="40">
      <c r="A4754" s="24" t="n"/>
      <c r="B4754" s="27" t="n"/>
      <c r="C4754" s="24" t="n"/>
      <c r="D4754" s="28" t="n"/>
      <c r="E4754" s="29" t="n"/>
      <c r="F4754" s="24" t="n"/>
      <c r="G4754" s="24" t="n"/>
      <c r="H4754" s="21">
        <f>IF(ISNUMBER($B4754),INT($B4754)-WEEKDAY($B4754,2)+1,"")</f>
        <v/>
      </c>
      <c r="I4754" s="24" t="n"/>
      <c r="J4754" s="22">
        <f t="array" ref="J4754">IF($D4754="","",IF($I4754="","(trống REF)",IFERROR(INDEX(MASTER_SOURCE!$B$2:$B$495,MATCH($I4754,MASTER_SOURCE!$A$2:$A$495,0)),"(REF không có trong MASTER_SOURCE)")))</f>
        <v/>
      </c>
      <c r="K4754" s="22">
        <f t="array" ref="K4754">IF($D4754="","",IFERROR(INDEX(MASTER_SOURCE!$C$2:$C$495,MATCH($I4754,MASTER_SOURCE!$A$2:$A$495,0)),""))</f>
        <v/>
      </c>
      <c r="L4754" s="22">
        <f t="array" ref="L4754">IF($D4754="","",IFERROR(INDEX(MASTER_SOURCE!$D$2:$D$495,MATCH($I4754,MASTER_SOURCE!$A$2:$A$495,0)),""))</f>
        <v/>
      </c>
      <c r="M4754" s="24" t="n"/>
      <c r="N4754" s="24" t="n"/>
      <c r="O4754" s="24" t="n"/>
      <c r="P4754" s="24" t="n"/>
      <c r="Q4754" s="22">
        <f>IF($D4754="","",IF(AND(OR(DANH_MUC!$L$5&lt;&gt;"Có",M4754="Có"),OR(DANH_MUC!$L$6&lt;&gt;"Có",N4754="Có"),OR(DANH_MUC!$L$7&lt;&gt;"Có",O4754="Có"),OR(DANH_MUC!$L$8&lt;&gt;"Có",P4754="Có")),"Có","Không"))</f>
        <v/>
      </c>
      <c r="R4754" s="22">
        <f>IF($D4754="","",IF(COUNTIF($D$2:$D4754,$D4754)&gt;1,"Trùng",""))</f>
        <v/>
      </c>
      <c r="S4754" s="22">
        <f>IF($D4754="","",IF(AND(LEN($D4754)=10,LEFT($D4754,1)="0",ISNUMBER(--$D4754)),"Có","Không"))</f>
        <v/>
      </c>
      <c r="T4754" s="22">
        <f>IF($D4754="","",IF(AND($C4754&lt;&gt;"",$Q4754="Có",$R4754="",$S4754="Có",AND($L4754&lt;&gt;"",OR($L4754&lt;&gt;"Chưa xác định",DANH_MUC!$L$9="Có"))),"Có","Không"))</f>
        <v/>
      </c>
      <c r="U4754" s="22">
        <f>IF(OR($D4754="",$T4754="Có"),"",IF($C4754="","Thiếu họ tên; ","")&amp;IF($S4754&lt;&gt;"Có","SĐT sai định dạng; ","")&amp;IF($R4754="Trùng","Trùng SĐT; ","")&amp;IF($Q4754&lt;&gt;"Có","Thiếu đồng ý bắt buộc; ","")&amp;IF($L4754="","Thiếu/sai Mã REF; ",IF(AND($L4754="Chưa xác định",DANH_MUC!$L$9&lt;&gt;"Có"),"Nguồn chưa xác định; ","")))</f>
        <v/>
      </c>
      <c r="V4754" s="22">
        <f>IF(OR($D4754="",$R4754="Trùng"),"",IF(COUNTIF(ORDERS!$C$2:$C$4995,$D4754)&gt;0,"Có","Không"))</f>
        <v/>
      </c>
      <c r="W4754" s="22">
        <f>IF(OR($D4754="",$R4754="Trùng"),"",COUNTIFS(ORDERS!$C$2:$C$4995,$D4754,ORDERS!$L$2:$L$4995,"Đã chuyển khoản"))</f>
        <v/>
      </c>
      <c r="X4754" s="23">
        <f>IF(OR($D4754="",$R4754="Trùng"),"",SUMIFS(ORDERS!$J$2:$J$4995,ORDERS!$C$2:$C$4995,$D4754,ORDERS!$L$2:$L$4995,"Đã chuyển khoản"))</f>
        <v/>
      </c>
      <c r="Y4754" s="24" t="n"/>
    </row>
    <row r="4755" ht="14.25" customHeight="1" s="40">
      <c r="A4755" s="24" t="n"/>
      <c r="B4755" s="27" t="n"/>
      <c r="C4755" s="24" t="n"/>
      <c r="D4755" s="28" t="n"/>
      <c r="E4755" s="29" t="n"/>
      <c r="F4755" s="24" t="n"/>
      <c r="G4755" s="24" t="n"/>
      <c r="H4755" s="21">
        <f>IF(ISNUMBER($B4755),INT($B4755)-WEEKDAY($B4755,2)+1,"")</f>
        <v/>
      </c>
      <c r="I4755" s="24" t="n"/>
      <c r="J4755" s="22">
        <f t="array" ref="J4755">IF($D4755="","",IF($I4755="","(trống REF)",IFERROR(INDEX(MASTER_SOURCE!$B$2:$B$495,MATCH($I4755,MASTER_SOURCE!$A$2:$A$495,0)),"(REF không có trong MASTER_SOURCE)")))</f>
        <v/>
      </c>
      <c r="K4755" s="22">
        <f t="array" ref="K4755">IF($D4755="","",IFERROR(INDEX(MASTER_SOURCE!$C$2:$C$495,MATCH($I4755,MASTER_SOURCE!$A$2:$A$495,0)),""))</f>
        <v/>
      </c>
      <c r="L4755" s="22">
        <f t="array" ref="L4755">IF($D4755="","",IFERROR(INDEX(MASTER_SOURCE!$D$2:$D$495,MATCH($I4755,MASTER_SOURCE!$A$2:$A$495,0)),""))</f>
        <v/>
      </c>
      <c r="M4755" s="24" t="n"/>
      <c r="N4755" s="24" t="n"/>
      <c r="O4755" s="24" t="n"/>
      <c r="P4755" s="24" t="n"/>
      <c r="Q4755" s="22">
        <f>IF($D4755="","",IF(AND(OR(DANH_MUC!$L$5&lt;&gt;"Có",M4755="Có"),OR(DANH_MUC!$L$6&lt;&gt;"Có",N4755="Có"),OR(DANH_MUC!$L$7&lt;&gt;"Có",O4755="Có"),OR(DANH_MUC!$L$8&lt;&gt;"Có",P4755="Có")),"Có","Không"))</f>
        <v/>
      </c>
      <c r="R4755" s="22">
        <f>IF($D4755="","",IF(COUNTIF($D$2:$D4755,$D4755)&gt;1,"Trùng",""))</f>
        <v/>
      </c>
      <c r="S4755" s="22">
        <f>IF($D4755="","",IF(AND(LEN($D4755)=10,LEFT($D4755,1)="0",ISNUMBER(--$D4755)),"Có","Không"))</f>
        <v/>
      </c>
      <c r="T4755" s="22">
        <f>IF($D4755="","",IF(AND($C4755&lt;&gt;"",$Q4755="Có",$R4755="",$S4755="Có",AND($L4755&lt;&gt;"",OR($L4755&lt;&gt;"Chưa xác định",DANH_MUC!$L$9="Có"))),"Có","Không"))</f>
        <v/>
      </c>
      <c r="U4755" s="22">
        <f>IF(OR($D4755="",$T4755="Có"),"",IF($C4755="","Thiếu họ tên; ","")&amp;IF($S4755&lt;&gt;"Có","SĐT sai định dạng; ","")&amp;IF($R4755="Trùng","Trùng SĐT; ","")&amp;IF($Q4755&lt;&gt;"Có","Thiếu đồng ý bắt buộc; ","")&amp;IF($L4755="","Thiếu/sai Mã REF; ",IF(AND($L4755="Chưa xác định",DANH_MUC!$L$9&lt;&gt;"Có"),"Nguồn chưa xác định; ","")))</f>
        <v/>
      </c>
      <c r="V4755" s="22">
        <f>IF(OR($D4755="",$R4755="Trùng"),"",IF(COUNTIF(ORDERS!$C$2:$C$4995,$D4755)&gt;0,"Có","Không"))</f>
        <v/>
      </c>
      <c r="W4755" s="22">
        <f>IF(OR($D4755="",$R4755="Trùng"),"",COUNTIFS(ORDERS!$C$2:$C$4995,$D4755,ORDERS!$L$2:$L$4995,"Đã chuyển khoản"))</f>
        <v/>
      </c>
      <c r="X4755" s="23">
        <f>IF(OR($D4755="",$R4755="Trùng"),"",SUMIFS(ORDERS!$J$2:$J$4995,ORDERS!$C$2:$C$4995,$D4755,ORDERS!$L$2:$L$4995,"Đã chuyển khoản"))</f>
        <v/>
      </c>
      <c r="Y4755" s="24" t="n"/>
    </row>
    <row r="4756" ht="14.25" customHeight="1" s="40">
      <c r="A4756" s="24" t="n"/>
      <c r="B4756" s="27" t="n"/>
      <c r="C4756" s="24" t="n"/>
      <c r="D4756" s="28" t="n"/>
      <c r="E4756" s="29" t="n"/>
      <c r="F4756" s="24" t="n"/>
      <c r="G4756" s="24" t="n"/>
      <c r="H4756" s="21">
        <f>IF(ISNUMBER($B4756),INT($B4756)-WEEKDAY($B4756,2)+1,"")</f>
        <v/>
      </c>
      <c r="I4756" s="24" t="n"/>
      <c r="J4756" s="22">
        <f t="array" ref="J4756">IF($D4756="","",IF($I4756="","(trống REF)",IFERROR(INDEX(MASTER_SOURCE!$B$2:$B$495,MATCH($I4756,MASTER_SOURCE!$A$2:$A$495,0)),"(REF không có trong MASTER_SOURCE)")))</f>
        <v/>
      </c>
      <c r="K4756" s="22">
        <f t="array" ref="K4756">IF($D4756="","",IFERROR(INDEX(MASTER_SOURCE!$C$2:$C$495,MATCH($I4756,MASTER_SOURCE!$A$2:$A$495,0)),""))</f>
        <v/>
      </c>
      <c r="L4756" s="22">
        <f t="array" ref="L4756">IF($D4756="","",IFERROR(INDEX(MASTER_SOURCE!$D$2:$D$495,MATCH($I4756,MASTER_SOURCE!$A$2:$A$495,0)),""))</f>
        <v/>
      </c>
      <c r="M4756" s="24" t="n"/>
      <c r="N4756" s="24" t="n"/>
      <c r="O4756" s="24" t="n"/>
      <c r="P4756" s="24" t="n"/>
      <c r="Q4756" s="22">
        <f>IF($D4756="","",IF(AND(OR(DANH_MUC!$L$5&lt;&gt;"Có",M4756="Có"),OR(DANH_MUC!$L$6&lt;&gt;"Có",N4756="Có"),OR(DANH_MUC!$L$7&lt;&gt;"Có",O4756="Có"),OR(DANH_MUC!$L$8&lt;&gt;"Có",P4756="Có")),"Có","Không"))</f>
        <v/>
      </c>
      <c r="R4756" s="22">
        <f>IF($D4756="","",IF(COUNTIF($D$2:$D4756,$D4756)&gt;1,"Trùng",""))</f>
        <v/>
      </c>
      <c r="S4756" s="22">
        <f>IF($D4756="","",IF(AND(LEN($D4756)=10,LEFT($D4756,1)="0",ISNUMBER(--$D4756)),"Có","Không"))</f>
        <v/>
      </c>
      <c r="T4756" s="22">
        <f>IF($D4756="","",IF(AND($C4756&lt;&gt;"",$Q4756="Có",$R4756="",$S4756="Có",AND($L4756&lt;&gt;"",OR($L4756&lt;&gt;"Chưa xác định",DANH_MUC!$L$9="Có"))),"Có","Không"))</f>
        <v/>
      </c>
      <c r="U4756" s="22">
        <f>IF(OR($D4756="",$T4756="Có"),"",IF($C4756="","Thiếu họ tên; ","")&amp;IF($S4756&lt;&gt;"Có","SĐT sai định dạng; ","")&amp;IF($R4756="Trùng","Trùng SĐT; ","")&amp;IF($Q4756&lt;&gt;"Có","Thiếu đồng ý bắt buộc; ","")&amp;IF($L4756="","Thiếu/sai Mã REF; ",IF(AND($L4756="Chưa xác định",DANH_MUC!$L$9&lt;&gt;"Có"),"Nguồn chưa xác định; ","")))</f>
        <v/>
      </c>
      <c r="V4756" s="22">
        <f>IF(OR($D4756="",$R4756="Trùng"),"",IF(COUNTIF(ORDERS!$C$2:$C$4995,$D4756)&gt;0,"Có","Không"))</f>
        <v/>
      </c>
      <c r="W4756" s="22">
        <f>IF(OR($D4756="",$R4756="Trùng"),"",COUNTIFS(ORDERS!$C$2:$C$4995,$D4756,ORDERS!$L$2:$L$4995,"Đã chuyển khoản"))</f>
        <v/>
      </c>
      <c r="X4756" s="23">
        <f>IF(OR($D4756="",$R4756="Trùng"),"",SUMIFS(ORDERS!$J$2:$J$4995,ORDERS!$C$2:$C$4995,$D4756,ORDERS!$L$2:$L$4995,"Đã chuyển khoản"))</f>
        <v/>
      </c>
      <c r="Y4756" s="24" t="n"/>
    </row>
    <row r="4757" ht="14.25" customHeight="1" s="40">
      <c r="A4757" s="24" t="n"/>
      <c r="B4757" s="27" t="n"/>
      <c r="C4757" s="24" t="n"/>
      <c r="D4757" s="28" t="n"/>
      <c r="E4757" s="29" t="n"/>
      <c r="F4757" s="24" t="n"/>
      <c r="G4757" s="24" t="n"/>
      <c r="H4757" s="21">
        <f>IF(ISNUMBER($B4757),INT($B4757)-WEEKDAY($B4757,2)+1,"")</f>
        <v/>
      </c>
      <c r="I4757" s="24" t="n"/>
      <c r="J4757" s="22">
        <f t="array" ref="J4757">IF($D4757="","",IF($I4757="","(trống REF)",IFERROR(INDEX(MASTER_SOURCE!$B$2:$B$495,MATCH($I4757,MASTER_SOURCE!$A$2:$A$495,0)),"(REF không có trong MASTER_SOURCE)")))</f>
        <v/>
      </c>
      <c r="K4757" s="22">
        <f t="array" ref="K4757">IF($D4757="","",IFERROR(INDEX(MASTER_SOURCE!$C$2:$C$495,MATCH($I4757,MASTER_SOURCE!$A$2:$A$495,0)),""))</f>
        <v/>
      </c>
      <c r="L4757" s="22">
        <f t="array" ref="L4757">IF($D4757="","",IFERROR(INDEX(MASTER_SOURCE!$D$2:$D$495,MATCH($I4757,MASTER_SOURCE!$A$2:$A$495,0)),""))</f>
        <v/>
      </c>
      <c r="M4757" s="24" t="n"/>
      <c r="N4757" s="24" t="n"/>
      <c r="O4757" s="24" t="n"/>
      <c r="P4757" s="24" t="n"/>
      <c r="Q4757" s="22">
        <f>IF($D4757="","",IF(AND(OR(DANH_MUC!$L$5&lt;&gt;"Có",M4757="Có"),OR(DANH_MUC!$L$6&lt;&gt;"Có",N4757="Có"),OR(DANH_MUC!$L$7&lt;&gt;"Có",O4757="Có"),OR(DANH_MUC!$L$8&lt;&gt;"Có",P4757="Có")),"Có","Không"))</f>
        <v/>
      </c>
      <c r="R4757" s="22">
        <f>IF($D4757="","",IF(COUNTIF($D$2:$D4757,$D4757)&gt;1,"Trùng",""))</f>
        <v/>
      </c>
      <c r="S4757" s="22">
        <f>IF($D4757="","",IF(AND(LEN($D4757)=10,LEFT($D4757,1)="0",ISNUMBER(--$D4757)),"Có","Không"))</f>
        <v/>
      </c>
      <c r="T4757" s="22">
        <f>IF($D4757="","",IF(AND($C4757&lt;&gt;"",$Q4757="Có",$R4757="",$S4757="Có",AND($L4757&lt;&gt;"",OR($L4757&lt;&gt;"Chưa xác định",DANH_MUC!$L$9="Có"))),"Có","Không"))</f>
        <v/>
      </c>
      <c r="U4757" s="22">
        <f>IF(OR($D4757="",$T4757="Có"),"",IF($C4757="","Thiếu họ tên; ","")&amp;IF($S4757&lt;&gt;"Có","SĐT sai định dạng; ","")&amp;IF($R4757="Trùng","Trùng SĐT; ","")&amp;IF($Q4757&lt;&gt;"Có","Thiếu đồng ý bắt buộc; ","")&amp;IF($L4757="","Thiếu/sai Mã REF; ",IF(AND($L4757="Chưa xác định",DANH_MUC!$L$9&lt;&gt;"Có"),"Nguồn chưa xác định; ","")))</f>
        <v/>
      </c>
      <c r="V4757" s="22">
        <f>IF(OR($D4757="",$R4757="Trùng"),"",IF(COUNTIF(ORDERS!$C$2:$C$4995,$D4757)&gt;0,"Có","Không"))</f>
        <v/>
      </c>
      <c r="W4757" s="22">
        <f>IF(OR($D4757="",$R4757="Trùng"),"",COUNTIFS(ORDERS!$C$2:$C$4995,$D4757,ORDERS!$L$2:$L$4995,"Đã chuyển khoản"))</f>
        <v/>
      </c>
      <c r="X4757" s="23">
        <f>IF(OR($D4757="",$R4757="Trùng"),"",SUMIFS(ORDERS!$J$2:$J$4995,ORDERS!$C$2:$C$4995,$D4757,ORDERS!$L$2:$L$4995,"Đã chuyển khoản"))</f>
        <v/>
      </c>
      <c r="Y4757" s="24" t="n"/>
    </row>
    <row r="4758" ht="14.25" customHeight="1" s="40">
      <c r="A4758" s="24" t="n"/>
      <c r="B4758" s="27" t="n"/>
      <c r="C4758" s="24" t="n"/>
      <c r="D4758" s="28" t="n"/>
      <c r="E4758" s="29" t="n"/>
      <c r="F4758" s="24" t="n"/>
      <c r="G4758" s="24" t="n"/>
      <c r="H4758" s="21">
        <f>IF(ISNUMBER($B4758),INT($B4758)-WEEKDAY($B4758,2)+1,"")</f>
        <v/>
      </c>
      <c r="I4758" s="24" t="n"/>
      <c r="J4758" s="22">
        <f t="array" ref="J4758">IF($D4758="","",IF($I4758="","(trống REF)",IFERROR(INDEX(MASTER_SOURCE!$B$2:$B$495,MATCH($I4758,MASTER_SOURCE!$A$2:$A$495,0)),"(REF không có trong MASTER_SOURCE)")))</f>
        <v/>
      </c>
      <c r="K4758" s="22">
        <f t="array" ref="K4758">IF($D4758="","",IFERROR(INDEX(MASTER_SOURCE!$C$2:$C$495,MATCH($I4758,MASTER_SOURCE!$A$2:$A$495,0)),""))</f>
        <v/>
      </c>
      <c r="L4758" s="22">
        <f t="array" ref="L4758">IF($D4758="","",IFERROR(INDEX(MASTER_SOURCE!$D$2:$D$495,MATCH($I4758,MASTER_SOURCE!$A$2:$A$495,0)),""))</f>
        <v/>
      </c>
      <c r="M4758" s="24" t="n"/>
      <c r="N4758" s="24" t="n"/>
      <c r="O4758" s="24" t="n"/>
      <c r="P4758" s="24" t="n"/>
      <c r="Q4758" s="22">
        <f>IF($D4758="","",IF(AND(OR(DANH_MUC!$L$5&lt;&gt;"Có",M4758="Có"),OR(DANH_MUC!$L$6&lt;&gt;"Có",N4758="Có"),OR(DANH_MUC!$L$7&lt;&gt;"Có",O4758="Có"),OR(DANH_MUC!$L$8&lt;&gt;"Có",P4758="Có")),"Có","Không"))</f>
        <v/>
      </c>
      <c r="R4758" s="22">
        <f>IF($D4758="","",IF(COUNTIF($D$2:$D4758,$D4758)&gt;1,"Trùng",""))</f>
        <v/>
      </c>
      <c r="S4758" s="22">
        <f>IF($D4758="","",IF(AND(LEN($D4758)=10,LEFT($D4758,1)="0",ISNUMBER(--$D4758)),"Có","Không"))</f>
        <v/>
      </c>
      <c r="T4758" s="22">
        <f>IF($D4758="","",IF(AND($C4758&lt;&gt;"",$Q4758="Có",$R4758="",$S4758="Có",AND($L4758&lt;&gt;"",OR($L4758&lt;&gt;"Chưa xác định",DANH_MUC!$L$9="Có"))),"Có","Không"))</f>
        <v/>
      </c>
      <c r="U4758" s="22">
        <f>IF(OR($D4758="",$T4758="Có"),"",IF($C4758="","Thiếu họ tên; ","")&amp;IF($S4758&lt;&gt;"Có","SĐT sai định dạng; ","")&amp;IF($R4758="Trùng","Trùng SĐT; ","")&amp;IF($Q4758&lt;&gt;"Có","Thiếu đồng ý bắt buộc; ","")&amp;IF($L4758="","Thiếu/sai Mã REF; ",IF(AND($L4758="Chưa xác định",DANH_MUC!$L$9&lt;&gt;"Có"),"Nguồn chưa xác định; ","")))</f>
        <v/>
      </c>
      <c r="V4758" s="22">
        <f>IF(OR($D4758="",$R4758="Trùng"),"",IF(COUNTIF(ORDERS!$C$2:$C$4995,$D4758)&gt;0,"Có","Không"))</f>
        <v/>
      </c>
      <c r="W4758" s="22">
        <f>IF(OR($D4758="",$R4758="Trùng"),"",COUNTIFS(ORDERS!$C$2:$C$4995,$D4758,ORDERS!$L$2:$L$4995,"Đã chuyển khoản"))</f>
        <v/>
      </c>
      <c r="X4758" s="23">
        <f>IF(OR($D4758="",$R4758="Trùng"),"",SUMIFS(ORDERS!$J$2:$J$4995,ORDERS!$C$2:$C$4995,$D4758,ORDERS!$L$2:$L$4995,"Đã chuyển khoản"))</f>
        <v/>
      </c>
      <c r="Y4758" s="24" t="n"/>
    </row>
    <row r="4759" ht="14.25" customHeight="1" s="40">
      <c r="A4759" s="24" t="n"/>
      <c r="B4759" s="27" t="n"/>
      <c r="C4759" s="24" t="n"/>
      <c r="D4759" s="28" t="n"/>
      <c r="E4759" s="29" t="n"/>
      <c r="F4759" s="24" t="n"/>
      <c r="G4759" s="24" t="n"/>
      <c r="H4759" s="21">
        <f>IF(ISNUMBER($B4759),INT($B4759)-WEEKDAY($B4759,2)+1,"")</f>
        <v/>
      </c>
      <c r="I4759" s="24" t="n"/>
      <c r="J4759" s="22">
        <f t="array" ref="J4759">IF($D4759="","",IF($I4759="","(trống REF)",IFERROR(INDEX(MASTER_SOURCE!$B$2:$B$495,MATCH($I4759,MASTER_SOURCE!$A$2:$A$495,0)),"(REF không có trong MASTER_SOURCE)")))</f>
        <v/>
      </c>
      <c r="K4759" s="22">
        <f t="array" ref="K4759">IF($D4759="","",IFERROR(INDEX(MASTER_SOURCE!$C$2:$C$495,MATCH($I4759,MASTER_SOURCE!$A$2:$A$495,0)),""))</f>
        <v/>
      </c>
      <c r="L4759" s="22">
        <f t="array" ref="L4759">IF($D4759="","",IFERROR(INDEX(MASTER_SOURCE!$D$2:$D$495,MATCH($I4759,MASTER_SOURCE!$A$2:$A$495,0)),""))</f>
        <v/>
      </c>
      <c r="M4759" s="24" t="n"/>
      <c r="N4759" s="24" t="n"/>
      <c r="O4759" s="24" t="n"/>
      <c r="P4759" s="24" t="n"/>
      <c r="Q4759" s="22">
        <f>IF($D4759="","",IF(AND(OR(DANH_MUC!$L$5&lt;&gt;"Có",M4759="Có"),OR(DANH_MUC!$L$6&lt;&gt;"Có",N4759="Có"),OR(DANH_MUC!$L$7&lt;&gt;"Có",O4759="Có"),OR(DANH_MUC!$L$8&lt;&gt;"Có",P4759="Có")),"Có","Không"))</f>
        <v/>
      </c>
      <c r="R4759" s="22">
        <f>IF($D4759="","",IF(COUNTIF($D$2:$D4759,$D4759)&gt;1,"Trùng",""))</f>
        <v/>
      </c>
      <c r="S4759" s="22">
        <f>IF($D4759="","",IF(AND(LEN($D4759)=10,LEFT($D4759,1)="0",ISNUMBER(--$D4759)),"Có","Không"))</f>
        <v/>
      </c>
      <c r="T4759" s="22">
        <f>IF($D4759="","",IF(AND($C4759&lt;&gt;"",$Q4759="Có",$R4759="",$S4759="Có",AND($L4759&lt;&gt;"",OR($L4759&lt;&gt;"Chưa xác định",DANH_MUC!$L$9="Có"))),"Có","Không"))</f>
        <v/>
      </c>
      <c r="U4759" s="22">
        <f>IF(OR($D4759="",$T4759="Có"),"",IF($C4759="","Thiếu họ tên; ","")&amp;IF($S4759&lt;&gt;"Có","SĐT sai định dạng; ","")&amp;IF($R4759="Trùng","Trùng SĐT; ","")&amp;IF($Q4759&lt;&gt;"Có","Thiếu đồng ý bắt buộc; ","")&amp;IF($L4759="","Thiếu/sai Mã REF; ",IF(AND($L4759="Chưa xác định",DANH_MUC!$L$9&lt;&gt;"Có"),"Nguồn chưa xác định; ","")))</f>
        <v/>
      </c>
      <c r="V4759" s="22">
        <f>IF(OR($D4759="",$R4759="Trùng"),"",IF(COUNTIF(ORDERS!$C$2:$C$4995,$D4759)&gt;0,"Có","Không"))</f>
        <v/>
      </c>
      <c r="W4759" s="22">
        <f>IF(OR($D4759="",$R4759="Trùng"),"",COUNTIFS(ORDERS!$C$2:$C$4995,$D4759,ORDERS!$L$2:$L$4995,"Đã chuyển khoản"))</f>
        <v/>
      </c>
      <c r="X4759" s="23">
        <f>IF(OR($D4759="",$R4759="Trùng"),"",SUMIFS(ORDERS!$J$2:$J$4995,ORDERS!$C$2:$C$4995,$D4759,ORDERS!$L$2:$L$4995,"Đã chuyển khoản"))</f>
        <v/>
      </c>
      <c r="Y4759" s="24" t="n"/>
    </row>
    <row r="4760" ht="14.25" customHeight="1" s="40">
      <c r="A4760" s="24" t="n"/>
      <c r="B4760" s="27" t="n"/>
      <c r="C4760" s="24" t="n"/>
      <c r="D4760" s="28" t="n"/>
      <c r="E4760" s="29" t="n"/>
      <c r="F4760" s="24" t="n"/>
      <c r="G4760" s="24" t="n"/>
      <c r="H4760" s="21">
        <f>IF(ISNUMBER($B4760),INT($B4760)-WEEKDAY($B4760,2)+1,"")</f>
        <v/>
      </c>
      <c r="I4760" s="24" t="n"/>
      <c r="J4760" s="22">
        <f t="array" ref="J4760">IF($D4760="","",IF($I4760="","(trống REF)",IFERROR(INDEX(MASTER_SOURCE!$B$2:$B$495,MATCH($I4760,MASTER_SOURCE!$A$2:$A$495,0)),"(REF không có trong MASTER_SOURCE)")))</f>
        <v/>
      </c>
      <c r="K4760" s="22">
        <f t="array" ref="K4760">IF($D4760="","",IFERROR(INDEX(MASTER_SOURCE!$C$2:$C$495,MATCH($I4760,MASTER_SOURCE!$A$2:$A$495,0)),""))</f>
        <v/>
      </c>
      <c r="L4760" s="22">
        <f t="array" ref="L4760">IF($D4760="","",IFERROR(INDEX(MASTER_SOURCE!$D$2:$D$495,MATCH($I4760,MASTER_SOURCE!$A$2:$A$495,0)),""))</f>
        <v/>
      </c>
      <c r="M4760" s="24" t="n"/>
      <c r="N4760" s="24" t="n"/>
      <c r="O4760" s="24" t="n"/>
      <c r="P4760" s="24" t="n"/>
      <c r="Q4760" s="22">
        <f>IF($D4760="","",IF(AND(OR(DANH_MUC!$L$5&lt;&gt;"Có",M4760="Có"),OR(DANH_MUC!$L$6&lt;&gt;"Có",N4760="Có"),OR(DANH_MUC!$L$7&lt;&gt;"Có",O4760="Có"),OR(DANH_MUC!$L$8&lt;&gt;"Có",P4760="Có")),"Có","Không"))</f>
        <v/>
      </c>
      <c r="R4760" s="22">
        <f>IF($D4760="","",IF(COUNTIF($D$2:$D4760,$D4760)&gt;1,"Trùng",""))</f>
        <v/>
      </c>
      <c r="S4760" s="22">
        <f>IF($D4760="","",IF(AND(LEN($D4760)=10,LEFT($D4760,1)="0",ISNUMBER(--$D4760)),"Có","Không"))</f>
        <v/>
      </c>
      <c r="T4760" s="22">
        <f>IF($D4760="","",IF(AND($C4760&lt;&gt;"",$Q4760="Có",$R4760="",$S4760="Có",AND($L4760&lt;&gt;"",OR($L4760&lt;&gt;"Chưa xác định",DANH_MUC!$L$9="Có"))),"Có","Không"))</f>
        <v/>
      </c>
      <c r="U4760" s="22">
        <f>IF(OR($D4760="",$T4760="Có"),"",IF($C4760="","Thiếu họ tên; ","")&amp;IF($S4760&lt;&gt;"Có","SĐT sai định dạng; ","")&amp;IF($R4760="Trùng","Trùng SĐT; ","")&amp;IF($Q4760&lt;&gt;"Có","Thiếu đồng ý bắt buộc; ","")&amp;IF($L4760="","Thiếu/sai Mã REF; ",IF(AND($L4760="Chưa xác định",DANH_MUC!$L$9&lt;&gt;"Có"),"Nguồn chưa xác định; ","")))</f>
        <v/>
      </c>
      <c r="V4760" s="22">
        <f>IF(OR($D4760="",$R4760="Trùng"),"",IF(COUNTIF(ORDERS!$C$2:$C$4995,$D4760)&gt;0,"Có","Không"))</f>
        <v/>
      </c>
      <c r="W4760" s="22">
        <f>IF(OR($D4760="",$R4760="Trùng"),"",COUNTIFS(ORDERS!$C$2:$C$4995,$D4760,ORDERS!$L$2:$L$4995,"Đã chuyển khoản"))</f>
        <v/>
      </c>
      <c r="X4760" s="23">
        <f>IF(OR($D4760="",$R4760="Trùng"),"",SUMIFS(ORDERS!$J$2:$J$4995,ORDERS!$C$2:$C$4995,$D4760,ORDERS!$L$2:$L$4995,"Đã chuyển khoản"))</f>
        <v/>
      </c>
      <c r="Y4760" s="24" t="n"/>
    </row>
    <row r="4761" ht="14.25" customHeight="1" s="40">
      <c r="A4761" s="24" t="n"/>
      <c r="B4761" s="27" t="n"/>
      <c r="C4761" s="24" t="n"/>
      <c r="D4761" s="28" t="n"/>
      <c r="E4761" s="29" t="n"/>
      <c r="F4761" s="24" t="n"/>
      <c r="G4761" s="24" t="n"/>
      <c r="H4761" s="21">
        <f>IF(ISNUMBER($B4761),INT($B4761)-WEEKDAY($B4761,2)+1,"")</f>
        <v/>
      </c>
      <c r="I4761" s="24" t="n"/>
      <c r="J4761" s="22">
        <f t="array" ref="J4761">IF($D4761="","",IF($I4761="","(trống REF)",IFERROR(INDEX(MASTER_SOURCE!$B$2:$B$495,MATCH($I4761,MASTER_SOURCE!$A$2:$A$495,0)),"(REF không có trong MASTER_SOURCE)")))</f>
        <v/>
      </c>
      <c r="K4761" s="22">
        <f t="array" ref="K4761">IF($D4761="","",IFERROR(INDEX(MASTER_SOURCE!$C$2:$C$495,MATCH($I4761,MASTER_SOURCE!$A$2:$A$495,0)),""))</f>
        <v/>
      </c>
      <c r="L4761" s="22">
        <f t="array" ref="L4761">IF($D4761="","",IFERROR(INDEX(MASTER_SOURCE!$D$2:$D$495,MATCH($I4761,MASTER_SOURCE!$A$2:$A$495,0)),""))</f>
        <v/>
      </c>
      <c r="M4761" s="24" t="n"/>
      <c r="N4761" s="24" t="n"/>
      <c r="O4761" s="24" t="n"/>
      <c r="P4761" s="24" t="n"/>
      <c r="Q4761" s="22">
        <f>IF($D4761="","",IF(AND(OR(DANH_MUC!$L$5&lt;&gt;"Có",M4761="Có"),OR(DANH_MUC!$L$6&lt;&gt;"Có",N4761="Có"),OR(DANH_MUC!$L$7&lt;&gt;"Có",O4761="Có"),OR(DANH_MUC!$L$8&lt;&gt;"Có",P4761="Có")),"Có","Không"))</f>
        <v/>
      </c>
      <c r="R4761" s="22">
        <f>IF($D4761="","",IF(COUNTIF($D$2:$D4761,$D4761)&gt;1,"Trùng",""))</f>
        <v/>
      </c>
      <c r="S4761" s="22">
        <f>IF($D4761="","",IF(AND(LEN($D4761)=10,LEFT($D4761,1)="0",ISNUMBER(--$D4761)),"Có","Không"))</f>
        <v/>
      </c>
      <c r="T4761" s="22">
        <f>IF($D4761="","",IF(AND($C4761&lt;&gt;"",$Q4761="Có",$R4761="",$S4761="Có",AND($L4761&lt;&gt;"",OR($L4761&lt;&gt;"Chưa xác định",DANH_MUC!$L$9="Có"))),"Có","Không"))</f>
        <v/>
      </c>
      <c r="U4761" s="22">
        <f>IF(OR($D4761="",$T4761="Có"),"",IF($C4761="","Thiếu họ tên; ","")&amp;IF($S4761&lt;&gt;"Có","SĐT sai định dạng; ","")&amp;IF($R4761="Trùng","Trùng SĐT; ","")&amp;IF($Q4761&lt;&gt;"Có","Thiếu đồng ý bắt buộc; ","")&amp;IF($L4761="","Thiếu/sai Mã REF; ",IF(AND($L4761="Chưa xác định",DANH_MUC!$L$9&lt;&gt;"Có"),"Nguồn chưa xác định; ","")))</f>
        <v/>
      </c>
      <c r="V4761" s="22">
        <f>IF(OR($D4761="",$R4761="Trùng"),"",IF(COUNTIF(ORDERS!$C$2:$C$4995,$D4761)&gt;0,"Có","Không"))</f>
        <v/>
      </c>
      <c r="W4761" s="22">
        <f>IF(OR($D4761="",$R4761="Trùng"),"",COUNTIFS(ORDERS!$C$2:$C$4995,$D4761,ORDERS!$L$2:$L$4995,"Đã chuyển khoản"))</f>
        <v/>
      </c>
      <c r="X4761" s="23">
        <f>IF(OR($D4761="",$R4761="Trùng"),"",SUMIFS(ORDERS!$J$2:$J$4995,ORDERS!$C$2:$C$4995,$D4761,ORDERS!$L$2:$L$4995,"Đã chuyển khoản"))</f>
        <v/>
      </c>
      <c r="Y4761" s="24" t="n"/>
    </row>
    <row r="4762" ht="14.25" customHeight="1" s="40">
      <c r="A4762" s="24" t="n"/>
      <c r="B4762" s="27" t="n"/>
      <c r="C4762" s="24" t="n"/>
      <c r="D4762" s="28" t="n"/>
      <c r="E4762" s="29" t="n"/>
      <c r="F4762" s="24" t="n"/>
      <c r="G4762" s="24" t="n"/>
      <c r="H4762" s="21">
        <f>IF(ISNUMBER($B4762),INT($B4762)-WEEKDAY($B4762,2)+1,"")</f>
        <v/>
      </c>
      <c r="I4762" s="24" t="n"/>
      <c r="J4762" s="22">
        <f t="array" ref="J4762">IF($D4762="","",IF($I4762="","(trống REF)",IFERROR(INDEX(MASTER_SOURCE!$B$2:$B$495,MATCH($I4762,MASTER_SOURCE!$A$2:$A$495,0)),"(REF không có trong MASTER_SOURCE)")))</f>
        <v/>
      </c>
      <c r="K4762" s="22">
        <f t="array" ref="K4762">IF($D4762="","",IFERROR(INDEX(MASTER_SOURCE!$C$2:$C$495,MATCH($I4762,MASTER_SOURCE!$A$2:$A$495,0)),""))</f>
        <v/>
      </c>
      <c r="L4762" s="22">
        <f t="array" ref="L4762">IF($D4762="","",IFERROR(INDEX(MASTER_SOURCE!$D$2:$D$495,MATCH($I4762,MASTER_SOURCE!$A$2:$A$495,0)),""))</f>
        <v/>
      </c>
      <c r="M4762" s="24" t="n"/>
      <c r="N4762" s="24" t="n"/>
      <c r="O4762" s="24" t="n"/>
      <c r="P4762" s="24" t="n"/>
      <c r="Q4762" s="22">
        <f>IF($D4762="","",IF(AND(OR(DANH_MUC!$L$5&lt;&gt;"Có",M4762="Có"),OR(DANH_MUC!$L$6&lt;&gt;"Có",N4762="Có"),OR(DANH_MUC!$L$7&lt;&gt;"Có",O4762="Có"),OR(DANH_MUC!$L$8&lt;&gt;"Có",P4762="Có")),"Có","Không"))</f>
        <v/>
      </c>
      <c r="R4762" s="22">
        <f>IF($D4762="","",IF(COUNTIF($D$2:$D4762,$D4762)&gt;1,"Trùng",""))</f>
        <v/>
      </c>
      <c r="S4762" s="22">
        <f>IF($D4762="","",IF(AND(LEN($D4762)=10,LEFT($D4762,1)="0",ISNUMBER(--$D4762)),"Có","Không"))</f>
        <v/>
      </c>
      <c r="T4762" s="22">
        <f>IF($D4762="","",IF(AND($C4762&lt;&gt;"",$Q4762="Có",$R4762="",$S4762="Có",AND($L4762&lt;&gt;"",OR($L4762&lt;&gt;"Chưa xác định",DANH_MUC!$L$9="Có"))),"Có","Không"))</f>
        <v/>
      </c>
      <c r="U4762" s="22">
        <f>IF(OR($D4762="",$T4762="Có"),"",IF($C4762="","Thiếu họ tên; ","")&amp;IF($S4762&lt;&gt;"Có","SĐT sai định dạng; ","")&amp;IF($R4762="Trùng","Trùng SĐT; ","")&amp;IF($Q4762&lt;&gt;"Có","Thiếu đồng ý bắt buộc; ","")&amp;IF($L4762="","Thiếu/sai Mã REF; ",IF(AND($L4762="Chưa xác định",DANH_MUC!$L$9&lt;&gt;"Có"),"Nguồn chưa xác định; ","")))</f>
        <v/>
      </c>
      <c r="V4762" s="22">
        <f>IF(OR($D4762="",$R4762="Trùng"),"",IF(COUNTIF(ORDERS!$C$2:$C$4995,$D4762)&gt;0,"Có","Không"))</f>
        <v/>
      </c>
      <c r="W4762" s="22">
        <f>IF(OR($D4762="",$R4762="Trùng"),"",COUNTIFS(ORDERS!$C$2:$C$4995,$D4762,ORDERS!$L$2:$L$4995,"Đã chuyển khoản"))</f>
        <v/>
      </c>
      <c r="X4762" s="23">
        <f>IF(OR($D4762="",$R4762="Trùng"),"",SUMIFS(ORDERS!$J$2:$J$4995,ORDERS!$C$2:$C$4995,$D4762,ORDERS!$L$2:$L$4995,"Đã chuyển khoản"))</f>
        <v/>
      </c>
      <c r="Y4762" s="24" t="n"/>
    </row>
    <row r="4763" ht="14.25" customHeight="1" s="40">
      <c r="A4763" s="24" t="n"/>
      <c r="B4763" s="27" t="n"/>
      <c r="C4763" s="24" t="n"/>
      <c r="D4763" s="28" t="n"/>
      <c r="E4763" s="29" t="n"/>
      <c r="F4763" s="24" t="n"/>
      <c r="G4763" s="24" t="n"/>
      <c r="H4763" s="21">
        <f>IF(ISNUMBER($B4763),INT($B4763)-WEEKDAY($B4763,2)+1,"")</f>
        <v/>
      </c>
      <c r="I4763" s="24" t="n"/>
      <c r="J4763" s="22">
        <f t="array" ref="J4763">IF($D4763="","",IF($I4763="","(trống REF)",IFERROR(INDEX(MASTER_SOURCE!$B$2:$B$495,MATCH($I4763,MASTER_SOURCE!$A$2:$A$495,0)),"(REF không có trong MASTER_SOURCE)")))</f>
        <v/>
      </c>
      <c r="K4763" s="22">
        <f t="array" ref="K4763">IF($D4763="","",IFERROR(INDEX(MASTER_SOURCE!$C$2:$C$495,MATCH($I4763,MASTER_SOURCE!$A$2:$A$495,0)),""))</f>
        <v/>
      </c>
      <c r="L4763" s="22">
        <f t="array" ref="L4763">IF($D4763="","",IFERROR(INDEX(MASTER_SOURCE!$D$2:$D$495,MATCH($I4763,MASTER_SOURCE!$A$2:$A$495,0)),""))</f>
        <v/>
      </c>
      <c r="M4763" s="24" t="n"/>
      <c r="N4763" s="24" t="n"/>
      <c r="O4763" s="24" t="n"/>
      <c r="P4763" s="24" t="n"/>
      <c r="Q4763" s="22">
        <f>IF($D4763="","",IF(AND(OR(DANH_MUC!$L$5&lt;&gt;"Có",M4763="Có"),OR(DANH_MUC!$L$6&lt;&gt;"Có",N4763="Có"),OR(DANH_MUC!$L$7&lt;&gt;"Có",O4763="Có"),OR(DANH_MUC!$L$8&lt;&gt;"Có",P4763="Có")),"Có","Không"))</f>
        <v/>
      </c>
      <c r="R4763" s="22">
        <f>IF($D4763="","",IF(COUNTIF($D$2:$D4763,$D4763)&gt;1,"Trùng",""))</f>
        <v/>
      </c>
      <c r="S4763" s="22">
        <f>IF($D4763="","",IF(AND(LEN($D4763)=10,LEFT($D4763,1)="0",ISNUMBER(--$D4763)),"Có","Không"))</f>
        <v/>
      </c>
      <c r="T4763" s="22">
        <f>IF($D4763="","",IF(AND($C4763&lt;&gt;"",$Q4763="Có",$R4763="",$S4763="Có",AND($L4763&lt;&gt;"",OR($L4763&lt;&gt;"Chưa xác định",DANH_MUC!$L$9="Có"))),"Có","Không"))</f>
        <v/>
      </c>
      <c r="U4763" s="22">
        <f>IF(OR($D4763="",$T4763="Có"),"",IF($C4763="","Thiếu họ tên; ","")&amp;IF($S4763&lt;&gt;"Có","SĐT sai định dạng; ","")&amp;IF($R4763="Trùng","Trùng SĐT; ","")&amp;IF($Q4763&lt;&gt;"Có","Thiếu đồng ý bắt buộc; ","")&amp;IF($L4763="","Thiếu/sai Mã REF; ",IF(AND($L4763="Chưa xác định",DANH_MUC!$L$9&lt;&gt;"Có"),"Nguồn chưa xác định; ","")))</f>
        <v/>
      </c>
      <c r="V4763" s="22">
        <f>IF(OR($D4763="",$R4763="Trùng"),"",IF(COUNTIF(ORDERS!$C$2:$C$4995,$D4763)&gt;0,"Có","Không"))</f>
        <v/>
      </c>
      <c r="W4763" s="22">
        <f>IF(OR($D4763="",$R4763="Trùng"),"",COUNTIFS(ORDERS!$C$2:$C$4995,$D4763,ORDERS!$L$2:$L$4995,"Đã chuyển khoản"))</f>
        <v/>
      </c>
      <c r="X4763" s="23">
        <f>IF(OR($D4763="",$R4763="Trùng"),"",SUMIFS(ORDERS!$J$2:$J$4995,ORDERS!$C$2:$C$4995,$D4763,ORDERS!$L$2:$L$4995,"Đã chuyển khoản"))</f>
        <v/>
      </c>
      <c r="Y4763" s="24" t="n"/>
    </row>
    <row r="4764" ht="14.25" customHeight="1" s="40">
      <c r="A4764" s="24" t="n"/>
      <c r="B4764" s="27" t="n"/>
      <c r="C4764" s="24" t="n"/>
      <c r="D4764" s="28" t="n"/>
      <c r="E4764" s="29" t="n"/>
      <c r="F4764" s="24" t="n"/>
      <c r="G4764" s="24" t="n"/>
      <c r="H4764" s="21">
        <f>IF(ISNUMBER($B4764),INT($B4764)-WEEKDAY($B4764,2)+1,"")</f>
        <v/>
      </c>
      <c r="I4764" s="24" t="n"/>
      <c r="J4764" s="22">
        <f t="array" ref="J4764">IF($D4764="","",IF($I4764="","(trống REF)",IFERROR(INDEX(MASTER_SOURCE!$B$2:$B$495,MATCH($I4764,MASTER_SOURCE!$A$2:$A$495,0)),"(REF không có trong MASTER_SOURCE)")))</f>
        <v/>
      </c>
      <c r="K4764" s="22">
        <f t="array" ref="K4764">IF($D4764="","",IFERROR(INDEX(MASTER_SOURCE!$C$2:$C$495,MATCH($I4764,MASTER_SOURCE!$A$2:$A$495,0)),""))</f>
        <v/>
      </c>
      <c r="L4764" s="22">
        <f t="array" ref="L4764">IF($D4764="","",IFERROR(INDEX(MASTER_SOURCE!$D$2:$D$495,MATCH($I4764,MASTER_SOURCE!$A$2:$A$495,0)),""))</f>
        <v/>
      </c>
      <c r="M4764" s="24" t="n"/>
      <c r="N4764" s="24" t="n"/>
      <c r="O4764" s="24" t="n"/>
      <c r="P4764" s="24" t="n"/>
      <c r="Q4764" s="22">
        <f>IF($D4764="","",IF(AND(OR(DANH_MUC!$L$5&lt;&gt;"Có",M4764="Có"),OR(DANH_MUC!$L$6&lt;&gt;"Có",N4764="Có"),OR(DANH_MUC!$L$7&lt;&gt;"Có",O4764="Có"),OR(DANH_MUC!$L$8&lt;&gt;"Có",P4764="Có")),"Có","Không"))</f>
        <v/>
      </c>
      <c r="R4764" s="22">
        <f>IF($D4764="","",IF(COUNTIF($D$2:$D4764,$D4764)&gt;1,"Trùng",""))</f>
        <v/>
      </c>
      <c r="S4764" s="22">
        <f>IF($D4764="","",IF(AND(LEN($D4764)=10,LEFT($D4764,1)="0",ISNUMBER(--$D4764)),"Có","Không"))</f>
        <v/>
      </c>
      <c r="T4764" s="22">
        <f>IF($D4764="","",IF(AND($C4764&lt;&gt;"",$Q4764="Có",$R4764="",$S4764="Có",AND($L4764&lt;&gt;"",OR($L4764&lt;&gt;"Chưa xác định",DANH_MUC!$L$9="Có"))),"Có","Không"))</f>
        <v/>
      </c>
      <c r="U4764" s="22">
        <f>IF(OR($D4764="",$T4764="Có"),"",IF($C4764="","Thiếu họ tên; ","")&amp;IF($S4764&lt;&gt;"Có","SĐT sai định dạng; ","")&amp;IF($R4764="Trùng","Trùng SĐT; ","")&amp;IF($Q4764&lt;&gt;"Có","Thiếu đồng ý bắt buộc; ","")&amp;IF($L4764="","Thiếu/sai Mã REF; ",IF(AND($L4764="Chưa xác định",DANH_MUC!$L$9&lt;&gt;"Có"),"Nguồn chưa xác định; ","")))</f>
        <v/>
      </c>
      <c r="V4764" s="22">
        <f>IF(OR($D4764="",$R4764="Trùng"),"",IF(COUNTIF(ORDERS!$C$2:$C$4995,$D4764)&gt;0,"Có","Không"))</f>
        <v/>
      </c>
      <c r="W4764" s="22">
        <f>IF(OR($D4764="",$R4764="Trùng"),"",COUNTIFS(ORDERS!$C$2:$C$4995,$D4764,ORDERS!$L$2:$L$4995,"Đã chuyển khoản"))</f>
        <v/>
      </c>
      <c r="X4764" s="23">
        <f>IF(OR($D4764="",$R4764="Trùng"),"",SUMIFS(ORDERS!$J$2:$J$4995,ORDERS!$C$2:$C$4995,$D4764,ORDERS!$L$2:$L$4995,"Đã chuyển khoản"))</f>
        <v/>
      </c>
      <c r="Y4764" s="24" t="n"/>
    </row>
    <row r="4765" ht="14.25" customHeight="1" s="40">
      <c r="A4765" s="24" t="n"/>
      <c r="B4765" s="27" t="n"/>
      <c r="C4765" s="24" t="n"/>
      <c r="D4765" s="28" t="n"/>
      <c r="E4765" s="29" t="n"/>
      <c r="F4765" s="24" t="n"/>
      <c r="G4765" s="24" t="n"/>
      <c r="H4765" s="21">
        <f>IF(ISNUMBER($B4765),INT($B4765)-WEEKDAY($B4765,2)+1,"")</f>
        <v/>
      </c>
      <c r="I4765" s="24" t="n"/>
      <c r="J4765" s="22">
        <f t="array" ref="J4765">IF($D4765="","",IF($I4765="","(trống REF)",IFERROR(INDEX(MASTER_SOURCE!$B$2:$B$495,MATCH($I4765,MASTER_SOURCE!$A$2:$A$495,0)),"(REF không có trong MASTER_SOURCE)")))</f>
        <v/>
      </c>
      <c r="K4765" s="22">
        <f t="array" ref="K4765">IF($D4765="","",IFERROR(INDEX(MASTER_SOURCE!$C$2:$C$495,MATCH($I4765,MASTER_SOURCE!$A$2:$A$495,0)),""))</f>
        <v/>
      </c>
      <c r="L4765" s="22">
        <f t="array" ref="L4765">IF($D4765="","",IFERROR(INDEX(MASTER_SOURCE!$D$2:$D$495,MATCH($I4765,MASTER_SOURCE!$A$2:$A$495,0)),""))</f>
        <v/>
      </c>
      <c r="M4765" s="24" t="n"/>
      <c r="N4765" s="24" t="n"/>
      <c r="O4765" s="24" t="n"/>
      <c r="P4765" s="24" t="n"/>
      <c r="Q4765" s="22">
        <f>IF($D4765="","",IF(AND(OR(DANH_MUC!$L$5&lt;&gt;"Có",M4765="Có"),OR(DANH_MUC!$L$6&lt;&gt;"Có",N4765="Có"),OR(DANH_MUC!$L$7&lt;&gt;"Có",O4765="Có"),OR(DANH_MUC!$L$8&lt;&gt;"Có",P4765="Có")),"Có","Không"))</f>
        <v/>
      </c>
      <c r="R4765" s="22">
        <f>IF($D4765="","",IF(COUNTIF($D$2:$D4765,$D4765)&gt;1,"Trùng",""))</f>
        <v/>
      </c>
      <c r="S4765" s="22">
        <f>IF($D4765="","",IF(AND(LEN($D4765)=10,LEFT($D4765,1)="0",ISNUMBER(--$D4765)),"Có","Không"))</f>
        <v/>
      </c>
      <c r="T4765" s="22">
        <f>IF($D4765="","",IF(AND($C4765&lt;&gt;"",$Q4765="Có",$R4765="",$S4765="Có",AND($L4765&lt;&gt;"",OR($L4765&lt;&gt;"Chưa xác định",DANH_MUC!$L$9="Có"))),"Có","Không"))</f>
        <v/>
      </c>
      <c r="U4765" s="22">
        <f>IF(OR($D4765="",$T4765="Có"),"",IF($C4765="","Thiếu họ tên; ","")&amp;IF($S4765&lt;&gt;"Có","SĐT sai định dạng; ","")&amp;IF($R4765="Trùng","Trùng SĐT; ","")&amp;IF($Q4765&lt;&gt;"Có","Thiếu đồng ý bắt buộc; ","")&amp;IF($L4765="","Thiếu/sai Mã REF; ",IF(AND($L4765="Chưa xác định",DANH_MUC!$L$9&lt;&gt;"Có"),"Nguồn chưa xác định; ","")))</f>
        <v/>
      </c>
      <c r="V4765" s="22">
        <f>IF(OR($D4765="",$R4765="Trùng"),"",IF(COUNTIF(ORDERS!$C$2:$C$4995,$D4765)&gt;0,"Có","Không"))</f>
        <v/>
      </c>
      <c r="W4765" s="22">
        <f>IF(OR($D4765="",$R4765="Trùng"),"",COUNTIFS(ORDERS!$C$2:$C$4995,$D4765,ORDERS!$L$2:$L$4995,"Đã chuyển khoản"))</f>
        <v/>
      </c>
      <c r="X4765" s="23">
        <f>IF(OR($D4765="",$R4765="Trùng"),"",SUMIFS(ORDERS!$J$2:$J$4995,ORDERS!$C$2:$C$4995,$D4765,ORDERS!$L$2:$L$4995,"Đã chuyển khoản"))</f>
        <v/>
      </c>
      <c r="Y4765" s="24" t="n"/>
    </row>
    <row r="4766" ht="14.25" customHeight="1" s="40">
      <c r="A4766" s="24" t="n"/>
      <c r="B4766" s="27" t="n"/>
      <c r="C4766" s="24" t="n"/>
      <c r="D4766" s="28" t="n"/>
      <c r="E4766" s="29" t="n"/>
      <c r="F4766" s="24" t="n"/>
      <c r="G4766" s="24" t="n"/>
      <c r="H4766" s="21">
        <f>IF(ISNUMBER($B4766),INT($B4766)-WEEKDAY($B4766,2)+1,"")</f>
        <v/>
      </c>
      <c r="I4766" s="24" t="n"/>
      <c r="J4766" s="22">
        <f t="array" ref="J4766">IF($D4766="","",IF($I4766="","(trống REF)",IFERROR(INDEX(MASTER_SOURCE!$B$2:$B$495,MATCH($I4766,MASTER_SOURCE!$A$2:$A$495,0)),"(REF không có trong MASTER_SOURCE)")))</f>
        <v/>
      </c>
      <c r="K4766" s="22">
        <f t="array" ref="K4766">IF($D4766="","",IFERROR(INDEX(MASTER_SOURCE!$C$2:$C$495,MATCH($I4766,MASTER_SOURCE!$A$2:$A$495,0)),""))</f>
        <v/>
      </c>
      <c r="L4766" s="22">
        <f t="array" ref="L4766">IF($D4766="","",IFERROR(INDEX(MASTER_SOURCE!$D$2:$D$495,MATCH($I4766,MASTER_SOURCE!$A$2:$A$495,0)),""))</f>
        <v/>
      </c>
      <c r="M4766" s="24" t="n"/>
      <c r="N4766" s="24" t="n"/>
      <c r="O4766" s="24" t="n"/>
      <c r="P4766" s="24" t="n"/>
      <c r="Q4766" s="22">
        <f>IF($D4766="","",IF(AND(OR(DANH_MUC!$L$5&lt;&gt;"Có",M4766="Có"),OR(DANH_MUC!$L$6&lt;&gt;"Có",N4766="Có"),OR(DANH_MUC!$L$7&lt;&gt;"Có",O4766="Có"),OR(DANH_MUC!$L$8&lt;&gt;"Có",P4766="Có")),"Có","Không"))</f>
        <v/>
      </c>
      <c r="R4766" s="22">
        <f>IF($D4766="","",IF(COUNTIF($D$2:$D4766,$D4766)&gt;1,"Trùng",""))</f>
        <v/>
      </c>
      <c r="S4766" s="22">
        <f>IF($D4766="","",IF(AND(LEN($D4766)=10,LEFT($D4766,1)="0",ISNUMBER(--$D4766)),"Có","Không"))</f>
        <v/>
      </c>
      <c r="T4766" s="22">
        <f>IF($D4766="","",IF(AND($C4766&lt;&gt;"",$Q4766="Có",$R4766="",$S4766="Có",AND($L4766&lt;&gt;"",OR($L4766&lt;&gt;"Chưa xác định",DANH_MUC!$L$9="Có"))),"Có","Không"))</f>
        <v/>
      </c>
      <c r="U4766" s="22">
        <f>IF(OR($D4766="",$T4766="Có"),"",IF($C4766="","Thiếu họ tên; ","")&amp;IF($S4766&lt;&gt;"Có","SĐT sai định dạng; ","")&amp;IF($R4766="Trùng","Trùng SĐT; ","")&amp;IF($Q4766&lt;&gt;"Có","Thiếu đồng ý bắt buộc; ","")&amp;IF($L4766="","Thiếu/sai Mã REF; ",IF(AND($L4766="Chưa xác định",DANH_MUC!$L$9&lt;&gt;"Có"),"Nguồn chưa xác định; ","")))</f>
        <v/>
      </c>
      <c r="V4766" s="22">
        <f>IF(OR($D4766="",$R4766="Trùng"),"",IF(COUNTIF(ORDERS!$C$2:$C$4995,$D4766)&gt;0,"Có","Không"))</f>
        <v/>
      </c>
      <c r="W4766" s="22">
        <f>IF(OR($D4766="",$R4766="Trùng"),"",COUNTIFS(ORDERS!$C$2:$C$4995,$D4766,ORDERS!$L$2:$L$4995,"Đã chuyển khoản"))</f>
        <v/>
      </c>
      <c r="X4766" s="23">
        <f>IF(OR($D4766="",$R4766="Trùng"),"",SUMIFS(ORDERS!$J$2:$J$4995,ORDERS!$C$2:$C$4995,$D4766,ORDERS!$L$2:$L$4995,"Đã chuyển khoản"))</f>
        <v/>
      </c>
      <c r="Y4766" s="24" t="n"/>
    </row>
    <row r="4767" ht="14.25" customHeight="1" s="40">
      <c r="A4767" s="24" t="n"/>
      <c r="B4767" s="27" t="n"/>
      <c r="C4767" s="24" t="n"/>
      <c r="D4767" s="28" t="n"/>
      <c r="E4767" s="29" t="n"/>
      <c r="F4767" s="24" t="n"/>
      <c r="G4767" s="24" t="n"/>
      <c r="H4767" s="21">
        <f>IF(ISNUMBER($B4767),INT($B4767)-WEEKDAY($B4767,2)+1,"")</f>
        <v/>
      </c>
      <c r="I4767" s="24" t="n"/>
      <c r="J4767" s="22">
        <f t="array" ref="J4767">IF($D4767="","",IF($I4767="","(trống REF)",IFERROR(INDEX(MASTER_SOURCE!$B$2:$B$495,MATCH($I4767,MASTER_SOURCE!$A$2:$A$495,0)),"(REF không có trong MASTER_SOURCE)")))</f>
        <v/>
      </c>
      <c r="K4767" s="22">
        <f t="array" ref="K4767">IF($D4767="","",IFERROR(INDEX(MASTER_SOURCE!$C$2:$C$495,MATCH($I4767,MASTER_SOURCE!$A$2:$A$495,0)),""))</f>
        <v/>
      </c>
      <c r="L4767" s="22">
        <f t="array" ref="L4767">IF($D4767="","",IFERROR(INDEX(MASTER_SOURCE!$D$2:$D$495,MATCH($I4767,MASTER_SOURCE!$A$2:$A$495,0)),""))</f>
        <v/>
      </c>
      <c r="M4767" s="24" t="n"/>
      <c r="N4767" s="24" t="n"/>
      <c r="O4767" s="24" t="n"/>
      <c r="P4767" s="24" t="n"/>
      <c r="Q4767" s="22">
        <f>IF($D4767="","",IF(AND(OR(DANH_MUC!$L$5&lt;&gt;"Có",M4767="Có"),OR(DANH_MUC!$L$6&lt;&gt;"Có",N4767="Có"),OR(DANH_MUC!$L$7&lt;&gt;"Có",O4767="Có"),OR(DANH_MUC!$L$8&lt;&gt;"Có",P4767="Có")),"Có","Không"))</f>
        <v/>
      </c>
      <c r="R4767" s="22">
        <f>IF($D4767="","",IF(COUNTIF($D$2:$D4767,$D4767)&gt;1,"Trùng",""))</f>
        <v/>
      </c>
      <c r="S4767" s="22">
        <f>IF($D4767="","",IF(AND(LEN($D4767)=10,LEFT($D4767,1)="0",ISNUMBER(--$D4767)),"Có","Không"))</f>
        <v/>
      </c>
      <c r="T4767" s="22">
        <f>IF($D4767="","",IF(AND($C4767&lt;&gt;"",$Q4767="Có",$R4767="",$S4767="Có",AND($L4767&lt;&gt;"",OR($L4767&lt;&gt;"Chưa xác định",DANH_MUC!$L$9="Có"))),"Có","Không"))</f>
        <v/>
      </c>
      <c r="U4767" s="22">
        <f>IF(OR($D4767="",$T4767="Có"),"",IF($C4767="","Thiếu họ tên; ","")&amp;IF($S4767&lt;&gt;"Có","SĐT sai định dạng; ","")&amp;IF($R4767="Trùng","Trùng SĐT; ","")&amp;IF($Q4767&lt;&gt;"Có","Thiếu đồng ý bắt buộc; ","")&amp;IF($L4767="","Thiếu/sai Mã REF; ",IF(AND($L4767="Chưa xác định",DANH_MUC!$L$9&lt;&gt;"Có"),"Nguồn chưa xác định; ","")))</f>
        <v/>
      </c>
      <c r="V4767" s="22">
        <f>IF(OR($D4767="",$R4767="Trùng"),"",IF(COUNTIF(ORDERS!$C$2:$C$4995,$D4767)&gt;0,"Có","Không"))</f>
        <v/>
      </c>
      <c r="W4767" s="22">
        <f>IF(OR($D4767="",$R4767="Trùng"),"",COUNTIFS(ORDERS!$C$2:$C$4995,$D4767,ORDERS!$L$2:$L$4995,"Đã chuyển khoản"))</f>
        <v/>
      </c>
      <c r="X4767" s="23">
        <f>IF(OR($D4767="",$R4767="Trùng"),"",SUMIFS(ORDERS!$J$2:$J$4995,ORDERS!$C$2:$C$4995,$D4767,ORDERS!$L$2:$L$4995,"Đã chuyển khoản"))</f>
        <v/>
      </c>
      <c r="Y4767" s="24" t="n"/>
    </row>
    <row r="4768" ht="14.25" customHeight="1" s="40">
      <c r="A4768" s="24" t="n"/>
      <c r="B4768" s="27" t="n"/>
      <c r="C4768" s="24" t="n"/>
      <c r="D4768" s="28" t="n"/>
      <c r="E4768" s="29" t="n"/>
      <c r="F4768" s="24" t="n"/>
      <c r="G4768" s="24" t="n"/>
      <c r="H4768" s="21">
        <f>IF(ISNUMBER($B4768),INT($B4768)-WEEKDAY($B4768,2)+1,"")</f>
        <v/>
      </c>
      <c r="I4768" s="24" t="n"/>
      <c r="J4768" s="22">
        <f t="array" ref="J4768">IF($D4768="","",IF($I4768="","(trống REF)",IFERROR(INDEX(MASTER_SOURCE!$B$2:$B$495,MATCH($I4768,MASTER_SOURCE!$A$2:$A$495,0)),"(REF không có trong MASTER_SOURCE)")))</f>
        <v/>
      </c>
      <c r="K4768" s="22">
        <f t="array" ref="K4768">IF($D4768="","",IFERROR(INDEX(MASTER_SOURCE!$C$2:$C$495,MATCH($I4768,MASTER_SOURCE!$A$2:$A$495,0)),""))</f>
        <v/>
      </c>
      <c r="L4768" s="22">
        <f t="array" ref="L4768">IF($D4768="","",IFERROR(INDEX(MASTER_SOURCE!$D$2:$D$495,MATCH($I4768,MASTER_SOURCE!$A$2:$A$495,0)),""))</f>
        <v/>
      </c>
      <c r="M4768" s="24" t="n"/>
      <c r="N4768" s="24" t="n"/>
      <c r="O4768" s="24" t="n"/>
      <c r="P4768" s="24" t="n"/>
      <c r="Q4768" s="22">
        <f>IF($D4768="","",IF(AND(OR(DANH_MUC!$L$5&lt;&gt;"Có",M4768="Có"),OR(DANH_MUC!$L$6&lt;&gt;"Có",N4768="Có"),OR(DANH_MUC!$L$7&lt;&gt;"Có",O4768="Có"),OR(DANH_MUC!$L$8&lt;&gt;"Có",P4768="Có")),"Có","Không"))</f>
        <v/>
      </c>
      <c r="R4768" s="22">
        <f>IF($D4768="","",IF(COUNTIF($D$2:$D4768,$D4768)&gt;1,"Trùng",""))</f>
        <v/>
      </c>
      <c r="S4768" s="22">
        <f>IF($D4768="","",IF(AND(LEN($D4768)=10,LEFT($D4768,1)="0",ISNUMBER(--$D4768)),"Có","Không"))</f>
        <v/>
      </c>
      <c r="T4768" s="22">
        <f>IF($D4768="","",IF(AND($C4768&lt;&gt;"",$Q4768="Có",$R4768="",$S4768="Có",AND($L4768&lt;&gt;"",OR($L4768&lt;&gt;"Chưa xác định",DANH_MUC!$L$9="Có"))),"Có","Không"))</f>
        <v/>
      </c>
      <c r="U4768" s="22">
        <f>IF(OR($D4768="",$T4768="Có"),"",IF($C4768="","Thiếu họ tên; ","")&amp;IF($S4768&lt;&gt;"Có","SĐT sai định dạng; ","")&amp;IF($R4768="Trùng","Trùng SĐT; ","")&amp;IF($Q4768&lt;&gt;"Có","Thiếu đồng ý bắt buộc; ","")&amp;IF($L4768="","Thiếu/sai Mã REF; ",IF(AND($L4768="Chưa xác định",DANH_MUC!$L$9&lt;&gt;"Có"),"Nguồn chưa xác định; ","")))</f>
        <v/>
      </c>
      <c r="V4768" s="22">
        <f>IF(OR($D4768="",$R4768="Trùng"),"",IF(COUNTIF(ORDERS!$C$2:$C$4995,$D4768)&gt;0,"Có","Không"))</f>
        <v/>
      </c>
      <c r="W4768" s="22">
        <f>IF(OR($D4768="",$R4768="Trùng"),"",COUNTIFS(ORDERS!$C$2:$C$4995,$D4768,ORDERS!$L$2:$L$4995,"Đã chuyển khoản"))</f>
        <v/>
      </c>
      <c r="X4768" s="23">
        <f>IF(OR($D4768="",$R4768="Trùng"),"",SUMIFS(ORDERS!$J$2:$J$4995,ORDERS!$C$2:$C$4995,$D4768,ORDERS!$L$2:$L$4995,"Đã chuyển khoản"))</f>
        <v/>
      </c>
      <c r="Y4768" s="24" t="n"/>
    </row>
    <row r="4769" ht="14.25" customHeight="1" s="40">
      <c r="A4769" s="24" t="n"/>
      <c r="B4769" s="27" t="n"/>
      <c r="C4769" s="24" t="n"/>
      <c r="D4769" s="28" t="n"/>
      <c r="E4769" s="29" t="n"/>
      <c r="F4769" s="24" t="n"/>
      <c r="G4769" s="24" t="n"/>
      <c r="H4769" s="21">
        <f>IF(ISNUMBER($B4769),INT($B4769)-WEEKDAY($B4769,2)+1,"")</f>
        <v/>
      </c>
      <c r="I4769" s="24" t="n"/>
      <c r="J4769" s="22">
        <f t="array" ref="J4769">IF($D4769="","",IF($I4769="","(trống REF)",IFERROR(INDEX(MASTER_SOURCE!$B$2:$B$495,MATCH($I4769,MASTER_SOURCE!$A$2:$A$495,0)),"(REF không có trong MASTER_SOURCE)")))</f>
        <v/>
      </c>
      <c r="K4769" s="22">
        <f t="array" ref="K4769">IF($D4769="","",IFERROR(INDEX(MASTER_SOURCE!$C$2:$C$495,MATCH($I4769,MASTER_SOURCE!$A$2:$A$495,0)),""))</f>
        <v/>
      </c>
      <c r="L4769" s="22">
        <f t="array" ref="L4769">IF($D4769="","",IFERROR(INDEX(MASTER_SOURCE!$D$2:$D$495,MATCH($I4769,MASTER_SOURCE!$A$2:$A$495,0)),""))</f>
        <v/>
      </c>
      <c r="M4769" s="24" t="n"/>
      <c r="N4769" s="24" t="n"/>
      <c r="O4769" s="24" t="n"/>
      <c r="P4769" s="24" t="n"/>
      <c r="Q4769" s="22">
        <f>IF($D4769="","",IF(AND(OR(DANH_MUC!$L$5&lt;&gt;"Có",M4769="Có"),OR(DANH_MUC!$L$6&lt;&gt;"Có",N4769="Có"),OR(DANH_MUC!$L$7&lt;&gt;"Có",O4769="Có"),OR(DANH_MUC!$L$8&lt;&gt;"Có",P4769="Có")),"Có","Không"))</f>
        <v/>
      </c>
      <c r="R4769" s="22">
        <f>IF($D4769="","",IF(COUNTIF($D$2:$D4769,$D4769)&gt;1,"Trùng",""))</f>
        <v/>
      </c>
      <c r="S4769" s="22">
        <f>IF($D4769="","",IF(AND(LEN($D4769)=10,LEFT($D4769,1)="0",ISNUMBER(--$D4769)),"Có","Không"))</f>
        <v/>
      </c>
      <c r="T4769" s="22">
        <f>IF($D4769="","",IF(AND($C4769&lt;&gt;"",$Q4769="Có",$R4769="",$S4769="Có",AND($L4769&lt;&gt;"",OR($L4769&lt;&gt;"Chưa xác định",DANH_MUC!$L$9="Có"))),"Có","Không"))</f>
        <v/>
      </c>
      <c r="U4769" s="22">
        <f>IF(OR($D4769="",$T4769="Có"),"",IF($C4769="","Thiếu họ tên; ","")&amp;IF($S4769&lt;&gt;"Có","SĐT sai định dạng; ","")&amp;IF($R4769="Trùng","Trùng SĐT; ","")&amp;IF($Q4769&lt;&gt;"Có","Thiếu đồng ý bắt buộc; ","")&amp;IF($L4769="","Thiếu/sai Mã REF; ",IF(AND($L4769="Chưa xác định",DANH_MUC!$L$9&lt;&gt;"Có"),"Nguồn chưa xác định; ","")))</f>
        <v/>
      </c>
      <c r="V4769" s="22">
        <f>IF(OR($D4769="",$R4769="Trùng"),"",IF(COUNTIF(ORDERS!$C$2:$C$4995,$D4769)&gt;0,"Có","Không"))</f>
        <v/>
      </c>
      <c r="W4769" s="22">
        <f>IF(OR($D4769="",$R4769="Trùng"),"",COUNTIFS(ORDERS!$C$2:$C$4995,$D4769,ORDERS!$L$2:$L$4995,"Đã chuyển khoản"))</f>
        <v/>
      </c>
      <c r="X4769" s="23">
        <f>IF(OR($D4769="",$R4769="Trùng"),"",SUMIFS(ORDERS!$J$2:$J$4995,ORDERS!$C$2:$C$4995,$D4769,ORDERS!$L$2:$L$4995,"Đã chuyển khoản"))</f>
        <v/>
      </c>
      <c r="Y4769" s="24" t="n"/>
    </row>
    <row r="4770" ht="14.25" customHeight="1" s="40">
      <c r="A4770" s="24" t="n"/>
      <c r="B4770" s="27" t="n"/>
      <c r="C4770" s="24" t="n"/>
      <c r="D4770" s="28" t="n"/>
      <c r="E4770" s="29" t="n"/>
      <c r="F4770" s="24" t="n"/>
      <c r="G4770" s="24" t="n"/>
      <c r="H4770" s="21">
        <f>IF(ISNUMBER($B4770),INT($B4770)-WEEKDAY($B4770,2)+1,"")</f>
        <v/>
      </c>
      <c r="I4770" s="24" t="n"/>
      <c r="J4770" s="22">
        <f t="array" ref="J4770">IF($D4770="","",IF($I4770="","(trống REF)",IFERROR(INDEX(MASTER_SOURCE!$B$2:$B$495,MATCH($I4770,MASTER_SOURCE!$A$2:$A$495,0)),"(REF không có trong MASTER_SOURCE)")))</f>
        <v/>
      </c>
      <c r="K4770" s="22">
        <f t="array" ref="K4770">IF($D4770="","",IFERROR(INDEX(MASTER_SOURCE!$C$2:$C$495,MATCH($I4770,MASTER_SOURCE!$A$2:$A$495,0)),""))</f>
        <v/>
      </c>
      <c r="L4770" s="22">
        <f t="array" ref="L4770">IF($D4770="","",IFERROR(INDEX(MASTER_SOURCE!$D$2:$D$495,MATCH($I4770,MASTER_SOURCE!$A$2:$A$495,0)),""))</f>
        <v/>
      </c>
      <c r="M4770" s="24" t="n"/>
      <c r="N4770" s="24" t="n"/>
      <c r="O4770" s="24" t="n"/>
      <c r="P4770" s="24" t="n"/>
      <c r="Q4770" s="22">
        <f>IF($D4770="","",IF(AND(OR(DANH_MUC!$L$5&lt;&gt;"Có",M4770="Có"),OR(DANH_MUC!$L$6&lt;&gt;"Có",N4770="Có"),OR(DANH_MUC!$L$7&lt;&gt;"Có",O4770="Có"),OR(DANH_MUC!$L$8&lt;&gt;"Có",P4770="Có")),"Có","Không"))</f>
        <v/>
      </c>
      <c r="R4770" s="22">
        <f>IF($D4770="","",IF(COUNTIF($D$2:$D4770,$D4770)&gt;1,"Trùng",""))</f>
        <v/>
      </c>
      <c r="S4770" s="22">
        <f>IF($D4770="","",IF(AND(LEN($D4770)=10,LEFT($D4770,1)="0",ISNUMBER(--$D4770)),"Có","Không"))</f>
        <v/>
      </c>
      <c r="T4770" s="22">
        <f>IF($D4770="","",IF(AND($C4770&lt;&gt;"",$Q4770="Có",$R4770="",$S4770="Có",AND($L4770&lt;&gt;"",OR($L4770&lt;&gt;"Chưa xác định",DANH_MUC!$L$9="Có"))),"Có","Không"))</f>
        <v/>
      </c>
      <c r="U4770" s="22">
        <f>IF(OR($D4770="",$T4770="Có"),"",IF($C4770="","Thiếu họ tên; ","")&amp;IF($S4770&lt;&gt;"Có","SĐT sai định dạng; ","")&amp;IF($R4770="Trùng","Trùng SĐT; ","")&amp;IF($Q4770&lt;&gt;"Có","Thiếu đồng ý bắt buộc; ","")&amp;IF($L4770="","Thiếu/sai Mã REF; ",IF(AND($L4770="Chưa xác định",DANH_MUC!$L$9&lt;&gt;"Có"),"Nguồn chưa xác định; ","")))</f>
        <v/>
      </c>
      <c r="V4770" s="22">
        <f>IF(OR($D4770="",$R4770="Trùng"),"",IF(COUNTIF(ORDERS!$C$2:$C$4995,$D4770)&gt;0,"Có","Không"))</f>
        <v/>
      </c>
      <c r="W4770" s="22">
        <f>IF(OR($D4770="",$R4770="Trùng"),"",COUNTIFS(ORDERS!$C$2:$C$4995,$D4770,ORDERS!$L$2:$L$4995,"Đã chuyển khoản"))</f>
        <v/>
      </c>
      <c r="X4770" s="23">
        <f>IF(OR($D4770="",$R4770="Trùng"),"",SUMIFS(ORDERS!$J$2:$J$4995,ORDERS!$C$2:$C$4995,$D4770,ORDERS!$L$2:$L$4995,"Đã chuyển khoản"))</f>
        <v/>
      </c>
      <c r="Y4770" s="24" t="n"/>
    </row>
    <row r="4771" ht="14.25" customHeight="1" s="40">
      <c r="A4771" s="24" t="n"/>
      <c r="B4771" s="27" t="n"/>
      <c r="C4771" s="24" t="n"/>
      <c r="D4771" s="28" t="n"/>
      <c r="E4771" s="29" t="n"/>
      <c r="F4771" s="24" t="n"/>
      <c r="G4771" s="24" t="n"/>
      <c r="H4771" s="21">
        <f>IF(ISNUMBER($B4771),INT($B4771)-WEEKDAY($B4771,2)+1,"")</f>
        <v/>
      </c>
      <c r="I4771" s="24" t="n"/>
      <c r="J4771" s="22">
        <f t="array" ref="J4771">IF($D4771="","",IF($I4771="","(trống REF)",IFERROR(INDEX(MASTER_SOURCE!$B$2:$B$495,MATCH($I4771,MASTER_SOURCE!$A$2:$A$495,0)),"(REF không có trong MASTER_SOURCE)")))</f>
        <v/>
      </c>
      <c r="K4771" s="22">
        <f t="array" ref="K4771">IF($D4771="","",IFERROR(INDEX(MASTER_SOURCE!$C$2:$C$495,MATCH($I4771,MASTER_SOURCE!$A$2:$A$495,0)),""))</f>
        <v/>
      </c>
      <c r="L4771" s="22">
        <f t="array" ref="L4771">IF($D4771="","",IFERROR(INDEX(MASTER_SOURCE!$D$2:$D$495,MATCH($I4771,MASTER_SOURCE!$A$2:$A$495,0)),""))</f>
        <v/>
      </c>
      <c r="M4771" s="24" t="n"/>
      <c r="N4771" s="24" t="n"/>
      <c r="O4771" s="24" t="n"/>
      <c r="P4771" s="24" t="n"/>
      <c r="Q4771" s="22">
        <f>IF($D4771="","",IF(AND(OR(DANH_MUC!$L$5&lt;&gt;"Có",M4771="Có"),OR(DANH_MUC!$L$6&lt;&gt;"Có",N4771="Có"),OR(DANH_MUC!$L$7&lt;&gt;"Có",O4771="Có"),OR(DANH_MUC!$L$8&lt;&gt;"Có",P4771="Có")),"Có","Không"))</f>
        <v/>
      </c>
      <c r="R4771" s="22">
        <f>IF($D4771="","",IF(COUNTIF($D$2:$D4771,$D4771)&gt;1,"Trùng",""))</f>
        <v/>
      </c>
      <c r="S4771" s="22">
        <f>IF($D4771="","",IF(AND(LEN($D4771)=10,LEFT($D4771,1)="0",ISNUMBER(--$D4771)),"Có","Không"))</f>
        <v/>
      </c>
      <c r="T4771" s="22">
        <f>IF($D4771="","",IF(AND($C4771&lt;&gt;"",$Q4771="Có",$R4771="",$S4771="Có",AND($L4771&lt;&gt;"",OR($L4771&lt;&gt;"Chưa xác định",DANH_MUC!$L$9="Có"))),"Có","Không"))</f>
        <v/>
      </c>
      <c r="U4771" s="22">
        <f>IF(OR($D4771="",$T4771="Có"),"",IF($C4771="","Thiếu họ tên; ","")&amp;IF($S4771&lt;&gt;"Có","SĐT sai định dạng; ","")&amp;IF($R4771="Trùng","Trùng SĐT; ","")&amp;IF($Q4771&lt;&gt;"Có","Thiếu đồng ý bắt buộc; ","")&amp;IF($L4771="","Thiếu/sai Mã REF; ",IF(AND($L4771="Chưa xác định",DANH_MUC!$L$9&lt;&gt;"Có"),"Nguồn chưa xác định; ","")))</f>
        <v/>
      </c>
      <c r="V4771" s="22">
        <f>IF(OR($D4771="",$R4771="Trùng"),"",IF(COUNTIF(ORDERS!$C$2:$C$4995,$D4771)&gt;0,"Có","Không"))</f>
        <v/>
      </c>
      <c r="W4771" s="22">
        <f>IF(OR($D4771="",$R4771="Trùng"),"",COUNTIFS(ORDERS!$C$2:$C$4995,$D4771,ORDERS!$L$2:$L$4995,"Đã chuyển khoản"))</f>
        <v/>
      </c>
      <c r="X4771" s="23">
        <f>IF(OR($D4771="",$R4771="Trùng"),"",SUMIFS(ORDERS!$J$2:$J$4995,ORDERS!$C$2:$C$4995,$D4771,ORDERS!$L$2:$L$4995,"Đã chuyển khoản"))</f>
        <v/>
      </c>
      <c r="Y4771" s="24" t="n"/>
    </row>
    <row r="4772" ht="14.25" customHeight="1" s="40">
      <c r="A4772" s="24" t="n"/>
      <c r="B4772" s="27" t="n"/>
      <c r="C4772" s="24" t="n"/>
      <c r="D4772" s="28" t="n"/>
      <c r="E4772" s="29" t="n"/>
      <c r="F4772" s="24" t="n"/>
      <c r="G4772" s="24" t="n"/>
      <c r="H4772" s="21">
        <f>IF(ISNUMBER($B4772),INT($B4772)-WEEKDAY($B4772,2)+1,"")</f>
        <v/>
      </c>
      <c r="I4772" s="24" t="n"/>
      <c r="J4772" s="22">
        <f t="array" ref="J4772">IF($D4772="","",IF($I4772="","(trống REF)",IFERROR(INDEX(MASTER_SOURCE!$B$2:$B$495,MATCH($I4772,MASTER_SOURCE!$A$2:$A$495,0)),"(REF không có trong MASTER_SOURCE)")))</f>
        <v/>
      </c>
      <c r="K4772" s="22">
        <f t="array" ref="K4772">IF($D4772="","",IFERROR(INDEX(MASTER_SOURCE!$C$2:$C$495,MATCH($I4772,MASTER_SOURCE!$A$2:$A$495,0)),""))</f>
        <v/>
      </c>
      <c r="L4772" s="22">
        <f t="array" ref="L4772">IF($D4772="","",IFERROR(INDEX(MASTER_SOURCE!$D$2:$D$495,MATCH($I4772,MASTER_SOURCE!$A$2:$A$495,0)),""))</f>
        <v/>
      </c>
      <c r="M4772" s="24" t="n"/>
      <c r="N4772" s="24" t="n"/>
      <c r="O4772" s="24" t="n"/>
      <c r="P4772" s="24" t="n"/>
      <c r="Q4772" s="22">
        <f>IF($D4772="","",IF(AND(OR(DANH_MUC!$L$5&lt;&gt;"Có",M4772="Có"),OR(DANH_MUC!$L$6&lt;&gt;"Có",N4772="Có"),OR(DANH_MUC!$L$7&lt;&gt;"Có",O4772="Có"),OR(DANH_MUC!$L$8&lt;&gt;"Có",P4772="Có")),"Có","Không"))</f>
        <v/>
      </c>
      <c r="R4772" s="22">
        <f>IF($D4772="","",IF(COUNTIF($D$2:$D4772,$D4772)&gt;1,"Trùng",""))</f>
        <v/>
      </c>
      <c r="S4772" s="22">
        <f>IF($D4772="","",IF(AND(LEN($D4772)=10,LEFT($D4772,1)="0",ISNUMBER(--$D4772)),"Có","Không"))</f>
        <v/>
      </c>
      <c r="T4772" s="22">
        <f>IF($D4772="","",IF(AND($C4772&lt;&gt;"",$Q4772="Có",$R4772="",$S4772="Có",AND($L4772&lt;&gt;"",OR($L4772&lt;&gt;"Chưa xác định",DANH_MUC!$L$9="Có"))),"Có","Không"))</f>
        <v/>
      </c>
      <c r="U4772" s="22">
        <f>IF(OR($D4772="",$T4772="Có"),"",IF($C4772="","Thiếu họ tên; ","")&amp;IF($S4772&lt;&gt;"Có","SĐT sai định dạng; ","")&amp;IF($R4772="Trùng","Trùng SĐT; ","")&amp;IF($Q4772&lt;&gt;"Có","Thiếu đồng ý bắt buộc; ","")&amp;IF($L4772="","Thiếu/sai Mã REF; ",IF(AND($L4772="Chưa xác định",DANH_MUC!$L$9&lt;&gt;"Có"),"Nguồn chưa xác định; ","")))</f>
        <v/>
      </c>
      <c r="V4772" s="22">
        <f>IF(OR($D4772="",$R4772="Trùng"),"",IF(COUNTIF(ORDERS!$C$2:$C$4995,$D4772)&gt;0,"Có","Không"))</f>
        <v/>
      </c>
      <c r="W4772" s="22">
        <f>IF(OR($D4772="",$R4772="Trùng"),"",COUNTIFS(ORDERS!$C$2:$C$4995,$D4772,ORDERS!$L$2:$L$4995,"Đã chuyển khoản"))</f>
        <v/>
      </c>
      <c r="X4772" s="23">
        <f>IF(OR($D4772="",$R4772="Trùng"),"",SUMIFS(ORDERS!$J$2:$J$4995,ORDERS!$C$2:$C$4995,$D4772,ORDERS!$L$2:$L$4995,"Đã chuyển khoản"))</f>
        <v/>
      </c>
      <c r="Y4772" s="24" t="n"/>
    </row>
    <row r="4773" ht="14.25" customHeight="1" s="40">
      <c r="A4773" s="24" t="n"/>
      <c r="B4773" s="27" t="n"/>
      <c r="C4773" s="24" t="n"/>
      <c r="D4773" s="28" t="n"/>
      <c r="E4773" s="29" t="n"/>
      <c r="F4773" s="24" t="n"/>
      <c r="G4773" s="24" t="n"/>
      <c r="H4773" s="21">
        <f>IF(ISNUMBER($B4773),INT($B4773)-WEEKDAY($B4773,2)+1,"")</f>
        <v/>
      </c>
      <c r="I4773" s="24" t="n"/>
      <c r="J4773" s="22">
        <f t="array" ref="J4773">IF($D4773="","",IF($I4773="","(trống REF)",IFERROR(INDEX(MASTER_SOURCE!$B$2:$B$495,MATCH($I4773,MASTER_SOURCE!$A$2:$A$495,0)),"(REF không có trong MASTER_SOURCE)")))</f>
        <v/>
      </c>
      <c r="K4773" s="22">
        <f t="array" ref="K4773">IF($D4773="","",IFERROR(INDEX(MASTER_SOURCE!$C$2:$C$495,MATCH($I4773,MASTER_SOURCE!$A$2:$A$495,0)),""))</f>
        <v/>
      </c>
      <c r="L4773" s="22">
        <f t="array" ref="L4773">IF($D4773="","",IFERROR(INDEX(MASTER_SOURCE!$D$2:$D$495,MATCH($I4773,MASTER_SOURCE!$A$2:$A$495,0)),""))</f>
        <v/>
      </c>
      <c r="M4773" s="24" t="n"/>
      <c r="N4773" s="24" t="n"/>
      <c r="O4773" s="24" t="n"/>
      <c r="P4773" s="24" t="n"/>
      <c r="Q4773" s="22">
        <f>IF($D4773="","",IF(AND(OR(DANH_MUC!$L$5&lt;&gt;"Có",M4773="Có"),OR(DANH_MUC!$L$6&lt;&gt;"Có",N4773="Có"),OR(DANH_MUC!$L$7&lt;&gt;"Có",O4773="Có"),OR(DANH_MUC!$L$8&lt;&gt;"Có",P4773="Có")),"Có","Không"))</f>
        <v/>
      </c>
      <c r="R4773" s="22">
        <f>IF($D4773="","",IF(COUNTIF($D$2:$D4773,$D4773)&gt;1,"Trùng",""))</f>
        <v/>
      </c>
      <c r="S4773" s="22">
        <f>IF($D4773="","",IF(AND(LEN($D4773)=10,LEFT($D4773,1)="0",ISNUMBER(--$D4773)),"Có","Không"))</f>
        <v/>
      </c>
      <c r="T4773" s="22">
        <f>IF($D4773="","",IF(AND($C4773&lt;&gt;"",$Q4773="Có",$R4773="",$S4773="Có",AND($L4773&lt;&gt;"",OR($L4773&lt;&gt;"Chưa xác định",DANH_MUC!$L$9="Có"))),"Có","Không"))</f>
        <v/>
      </c>
      <c r="U4773" s="22">
        <f>IF(OR($D4773="",$T4773="Có"),"",IF($C4773="","Thiếu họ tên; ","")&amp;IF($S4773&lt;&gt;"Có","SĐT sai định dạng; ","")&amp;IF($R4773="Trùng","Trùng SĐT; ","")&amp;IF($Q4773&lt;&gt;"Có","Thiếu đồng ý bắt buộc; ","")&amp;IF($L4773="","Thiếu/sai Mã REF; ",IF(AND($L4773="Chưa xác định",DANH_MUC!$L$9&lt;&gt;"Có"),"Nguồn chưa xác định; ","")))</f>
        <v/>
      </c>
      <c r="V4773" s="22">
        <f>IF(OR($D4773="",$R4773="Trùng"),"",IF(COUNTIF(ORDERS!$C$2:$C$4995,$D4773)&gt;0,"Có","Không"))</f>
        <v/>
      </c>
      <c r="W4773" s="22">
        <f>IF(OR($D4773="",$R4773="Trùng"),"",COUNTIFS(ORDERS!$C$2:$C$4995,$D4773,ORDERS!$L$2:$L$4995,"Đã chuyển khoản"))</f>
        <v/>
      </c>
      <c r="X4773" s="23">
        <f>IF(OR($D4773="",$R4773="Trùng"),"",SUMIFS(ORDERS!$J$2:$J$4995,ORDERS!$C$2:$C$4995,$D4773,ORDERS!$L$2:$L$4995,"Đã chuyển khoản"))</f>
        <v/>
      </c>
      <c r="Y4773" s="24" t="n"/>
    </row>
    <row r="4774" ht="14.25" customHeight="1" s="40">
      <c r="A4774" s="24" t="n"/>
      <c r="B4774" s="27" t="n"/>
      <c r="C4774" s="24" t="n"/>
      <c r="D4774" s="28" t="n"/>
      <c r="E4774" s="29" t="n"/>
      <c r="F4774" s="24" t="n"/>
      <c r="G4774" s="24" t="n"/>
      <c r="H4774" s="21">
        <f>IF(ISNUMBER($B4774),INT($B4774)-WEEKDAY($B4774,2)+1,"")</f>
        <v/>
      </c>
      <c r="I4774" s="24" t="n"/>
      <c r="J4774" s="22">
        <f t="array" ref="J4774">IF($D4774="","",IF($I4774="","(trống REF)",IFERROR(INDEX(MASTER_SOURCE!$B$2:$B$495,MATCH($I4774,MASTER_SOURCE!$A$2:$A$495,0)),"(REF không có trong MASTER_SOURCE)")))</f>
        <v/>
      </c>
      <c r="K4774" s="22">
        <f t="array" ref="K4774">IF($D4774="","",IFERROR(INDEX(MASTER_SOURCE!$C$2:$C$495,MATCH($I4774,MASTER_SOURCE!$A$2:$A$495,0)),""))</f>
        <v/>
      </c>
      <c r="L4774" s="22">
        <f t="array" ref="L4774">IF($D4774="","",IFERROR(INDEX(MASTER_SOURCE!$D$2:$D$495,MATCH($I4774,MASTER_SOURCE!$A$2:$A$495,0)),""))</f>
        <v/>
      </c>
      <c r="M4774" s="24" t="n"/>
      <c r="N4774" s="24" t="n"/>
      <c r="O4774" s="24" t="n"/>
      <c r="P4774" s="24" t="n"/>
      <c r="Q4774" s="22">
        <f>IF($D4774="","",IF(AND(OR(DANH_MUC!$L$5&lt;&gt;"Có",M4774="Có"),OR(DANH_MUC!$L$6&lt;&gt;"Có",N4774="Có"),OR(DANH_MUC!$L$7&lt;&gt;"Có",O4774="Có"),OR(DANH_MUC!$L$8&lt;&gt;"Có",P4774="Có")),"Có","Không"))</f>
        <v/>
      </c>
      <c r="R4774" s="22">
        <f>IF($D4774="","",IF(COUNTIF($D$2:$D4774,$D4774)&gt;1,"Trùng",""))</f>
        <v/>
      </c>
      <c r="S4774" s="22">
        <f>IF($D4774="","",IF(AND(LEN($D4774)=10,LEFT($D4774,1)="0",ISNUMBER(--$D4774)),"Có","Không"))</f>
        <v/>
      </c>
      <c r="T4774" s="22">
        <f>IF($D4774="","",IF(AND($C4774&lt;&gt;"",$Q4774="Có",$R4774="",$S4774="Có",AND($L4774&lt;&gt;"",OR($L4774&lt;&gt;"Chưa xác định",DANH_MUC!$L$9="Có"))),"Có","Không"))</f>
        <v/>
      </c>
      <c r="U4774" s="22">
        <f>IF(OR($D4774="",$T4774="Có"),"",IF($C4774="","Thiếu họ tên; ","")&amp;IF($S4774&lt;&gt;"Có","SĐT sai định dạng; ","")&amp;IF($R4774="Trùng","Trùng SĐT; ","")&amp;IF($Q4774&lt;&gt;"Có","Thiếu đồng ý bắt buộc; ","")&amp;IF($L4774="","Thiếu/sai Mã REF; ",IF(AND($L4774="Chưa xác định",DANH_MUC!$L$9&lt;&gt;"Có"),"Nguồn chưa xác định; ","")))</f>
        <v/>
      </c>
      <c r="V4774" s="22">
        <f>IF(OR($D4774="",$R4774="Trùng"),"",IF(COUNTIF(ORDERS!$C$2:$C$4995,$D4774)&gt;0,"Có","Không"))</f>
        <v/>
      </c>
      <c r="W4774" s="22">
        <f>IF(OR($D4774="",$R4774="Trùng"),"",COUNTIFS(ORDERS!$C$2:$C$4995,$D4774,ORDERS!$L$2:$L$4995,"Đã chuyển khoản"))</f>
        <v/>
      </c>
      <c r="X4774" s="23">
        <f>IF(OR($D4774="",$R4774="Trùng"),"",SUMIFS(ORDERS!$J$2:$J$4995,ORDERS!$C$2:$C$4995,$D4774,ORDERS!$L$2:$L$4995,"Đã chuyển khoản"))</f>
        <v/>
      </c>
      <c r="Y4774" s="24" t="n"/>
    </row>
    <row r="4775" ht="14.25" customHeight="1" s="40">
      <c r="A4775" s="24" t="n"/>
      <c r="B4775" s="27" t="n"/>
      <c r="C4775" s="24" t="n"/>
      <c r="D4775" s="28" t="n"/>
      <c r="E4775" s="29" t="n"/>
      <c r="F4775" s="24" t="n"/>
      <c r="G4775" s="24" t="n"/>
      <c r="H4775" s="21">
        <f>IF(ISNUMBER($B4775),INT($B4775)-WEEKDAY($B4775,2)+1,"")</f>
        <v/>
      </c>
      <c r="I4775" s="24" t="n"/>
      <c r="J4775" s="22">
        <f t="array" ref="J4775">IF($D4775="","",IF($I4775="","(trống REF)",IFERROR(INDEX(MASTER_SOURCE!$B$2:$B$495,MATCH($I4775,MASTER_SOURCE!$A$2:$A$495,0)),"(REF không có trong MASTER_SOURCE)")))</f>
        <v/>
      </c>
      <c r="K4775" s="22">
        <f t="array" ref="K4775">IF($D4775="","",IFERROR(INDEX(MASTER_SOURCE!$C$2:$C$495,MATCH($I4775,MASTER_SOURCE!$A$2:$A$495,0)),""))</f>
        <v/>
      </c>
      <c r="L4775" s="22">
        <f t="array" ref="L4775">IF($D4775="","",IFERROR(INDEX(MASTER_SOURCE!$D$2:$D$495,MATCH($I4775,MASTER_SOURCE!$A$2:$A$495,0)),""))</f>
        <v/>
      </c>
      <c r="M4775" s="24" t="n"/>
      <c r="N4775" s="24" t="n"/>
      <c r="O4775" s="24" t="n"/>
      <c r="P4775" s="24" t="n"/>
      <c r="Q4775" s="22">
        <f>IF($D4775="","",IF(AND(OR(DANH_MUC!$L$5&lt;&gt;"Có",M4775="Có"),OR(DANH_MUC!$L$6&lt;&gt;"Có",N4775="Có"),OR(DANH_MUC!$L$7&lt;&gt;"Có",O4775="Có"),OR(DANH_MUC!$L$8&lt;&gt;"Có",P4775="Có")),"Có","Không"))</f>
        <v/>
      </c>
      <c r="R4775" s="22">
        <f>IF($D4775="","",IF(COUNTIF($D$2:$D4775,$D4775)&gt;1,"Trùng",""))</f>
        <v/>
      </c>
      <c r="S4775" s="22">
        <f>IF($D4775="","",IF(AND(LEN($D4775)=10,LEFT($D4775,1)="0",ISNUMBER(--$D4775)),"Có","Không"))</f>
        <v/>
      </c>
      <c r="T4775" s="22">
        <f>IF($D4775="","",IF(AND($C4775&lt;&gt;"",$Q4775="Có",$R4775="",$S4775="Có",AND($L4775&lt;&gt;"",OR($L4775&lt;&gt;"Chưa xác định",DANH_MUC!$L$9="Có"))),"Có","Không"))</f>
        <v/>
      </c>
      <c r="U4775" s="22">
        <f>IF(OR($D4775="",$T4775="Có"),"",IF($C4775="","Thiếu họ tên; ","")&amp;IF($S4775&lt;&gt;"Có","SĐT sai định dạng; ","")&amp;IF($R4775="Trùng","Trùng SĐT; ","")&amp;IF($Q4775&lt;&gt;"Có","Thiếu đồng ý bắt buộc; ","")&amp;IF($L4775="","Thiếu/sai Mã REF; ",IF(AND($L4775="Chưa xác định",DANH_MUC!$L$9&lt;&gt;"Có"),"Nguồn chưa xác định; ","")))</f>
        <v/>
      </c>
      <c r="V4775" s="22">
        <f>IF(OR($D4775="",$R4775="Trùng"),"",IF(COUNTIF(ORDERS!$C$2:$C$4995,$D4775)&gt;0,"Có","Không"))</f>
        <v/>
      </c>
      <c r="W4775" s="22">
        <f>IF(OR($D4775="",$R4775="Trùng"),"",COUNTIFS(ORDERS!$C$2:$C$4995,$D4775,ORDERS!$L$2:$L$4995,"Đã chuyển khoản"))</f>
        <v/>
      </c>
      <c r="X4775" s="23">
        <f>IF(OR($D4775="",$R4775="Trùng"),"",SUMIFS(ORDERS!$J$2:$J$4995,ORDERS!$C$2:$C$4995,$D4775,ORDERS!$L$2:$L$4995,"Đã chuyển khoản"))</f>
        <v/>
      </c>
      <c r="Y4775" s="24" t="n"/>
    </row>
    <row r="4776" ht="14.25" customHeight="1" s="40">
      <c r="A4776" s="24" t="n"/>
      <c r="B4776" s="27" t="n"/>
      <c r="C4776" s="24" t="n"/>
      <c r="D4776" s="28" t="n"/>
      <c r="E4776" s="29" t="n"/>
      <c r="F4776" s="24" t="n"/>
      <c r="G4776" s="24" t="n"/>
      <c r="H4776" s="21">
        <f>IF(ISNUMBER($B4776),INT($B4776)-WEEKDAY($B4776,2)+1,"")</f>
        <v/>
      </c>
      <c r="I4776" s="24" t="n"/>
      <c r="J4776" s="22">
        <f t="array" ref="J4776">IF($D4776="","",IF($I4776="","(trống REF)",IFERROR(INDEX(MASTER_SOURCE!$B$2:$B$495,MATCH($I4776,MASTER_SOURCE!$A$2:$A$495,0)),"(REF không có trong MASTER_SOURCE)")))</f>
        <v/>
      </c>
      <c r="K4776" s="22">
        <f t="array" ref="K4776">IF($D4776="","",IFERROR(INDEX(MASTER_SOURCE!$C$2:$C$495,MATCH($I4776,MASTER_SOURCE!$A$2:$A$495,0)),""))</f>
        <v/>
      </c>
      <c r="L4776" s="22">
        <f t="array" ref="L4776">IF($D4776="","",IFERROR(INDEX(MASTER_SOURCE!$D$2:$D$495,MATCH($I4776,MASTER_SOURCE!$A$2:$A$495,0)),""))</f>
        <v/>
      </c>
      <c r="M4776" s="24" t="n"/>
      <c r="N4776" s="24" t="n"/>
      <c r="O4776" s="24" t="n"/>
      <c r="P4776" s="24" t="n"/>
      <c r="Q4776" s="22">
        <f>IF($D4776="","",IF(AND(OR(DANH_MUC!$L$5&lt;&gt;"Có",M4776="Có"),OR(DANH_MUC!$L$6&lt;&gt;"Có",N4776="Có"),OR(DANH_MUC!$L$7&lt;&gt;"Có",O4776="Có"),OR(DANH_MUC!$L$8&lt;&gt;"Có",P4776="Có")),"Có","Không"))</f>
        <v/>
      </c>
      <c r="R4776" s="22">
        <f>IF($D4776="","",IF(COUNTIF($D$2:$D4776,$D4776)&gt;1,"Trùng",""))</f>
        <v/>
      </c>
      <c r="S4776" s="22">
        <f>IF($D4776="","",IF(AND(LEN($D4776)=10,LEFT($D4776,1)="0",ISNUMBER(--$D4776)),"Có","Không"))</f>
        <v/>
      </c>
      <c r="T4776" s="22">
        <f>IF($D4776="","",IF(AND($C4776&lt;&gt;"",$Q4776="Có",$R4776="",$S4776="Có",AND($L4776&lt;&gt;"",OR($L4776&lt;&gt;"Chưa xác định",DANH_MUC!$L$9="Có"))),"Có","Không"))</f>
        <v/>
      </c>
      <c r="U4776" s="22">
        <f>IF(OR($D4776="",$T4776="Có"),"",IF($C4776="","Thiếu họ tên; ","")&amp;IF($S4776&lt;&gt;"Có","SĐT sai định dạng; ","")&amp;IF($R4776="Trùng","Trùng SĐT; ","")&amp;IF($Q4776&lt;&gt;"Có","Thiếu đồng ý bắt buộc; ","")&amp;IF($L4776="","Thiếu/sai Mã REF; ",IF(AND($L4776="Chưa xác định",DANH_MUC!$L$9&lt;&gt;"Có"),"Nguồn chưa xác định; ","")))</f>
        <v/>
      </c>
      <c r="V4776" s="22">
        <f>IF(OR($D4776="",$R4776="Trùng"),"",IF(COUNTIF(ORDERS!$C$2:$C$4995,$D4776)&gt;0,"Có","Không"))</f>
        <v/>
      </c>
      <c r="W4776" s="22">
        <f>IF(OR($D4776="",$R4776="Trùng"),"",COUNTIFS(ORDERS!$C$2:$C$4995,$D4776,ORDERS!$L$2:$L$4995,"Đã chuyển khoản"))</f>
        <v/>
      </c>
      <c r="X4776" s="23">
        <f>IF(OR($D4776="",$R4776="Trùng"),"",SUMIFS(ORDERS!$J$2:$J$4995,ORDERS!$C$2:$C$4995,$D4776,ORDERS!$L$2:$L$4995,"Đã chuyển khoản"))</f>
        <v/>
      </c>
      <c r="Y4776" s="24" t="n"/>
    </row>
    <row r="4777" ht="14.25" customHeight="1" s="40">
      <c r="A4777" s="24" t="n"/>
      <c r="B4777" s="27" t="n"/>
      <c r="C4777" s="24" t="n"/>
      <c r="D4777" s="28" t="n"/>
      <c r="E4777" s="29" t="n"/>
      <c r="F4777" s="24" t="n"/>
      <c r="G4777" s="24" t="n"/>
      <c r="H4777" s="21">
        <f>IF(ISNUMBER($B4777),INT($B4777)-WEEKDAY($B4777,2)+1,"")</f>
        <v/>
      </c>
      <c r="I4777" s="24" t="n"/>
      <c r="J4777" s="22">
        <f t="array" ref="J4777">IF($D4777="","",IF($I4777="","(trống REF)",IFERROR(INDEX(MASTER_SOURCE!$B$2:$B$495,MATCH($I4777,MASTER_SOURCE!$A$2:$A$495,0)),"(REF không có trong MASTER_SOURCE)")))</f>
        <v/>
      </c>
      <c r="K4777" s="22">
        <f t="array" ref="K4777">IF($D4777="","",IFERROR(INDEX(MASTER_SOURCE!$C$2:$C$495,MATCH($I4777,MASTER_SOURCE!$A$2:$A$495,0)),""))</f>
        <v/>
      </c>
      <c r="L4777" s="22">
        <f t="array" ref="L4777">IF($D4777="","",IFERROR(INDEX(MASTER_SOURCE!$D$2:$D$495,MATCH($I4777,MASTER_SOURCE!$A$2:$A$495,0)),""))</f>
        <v/>
      </c>
      <c r="M4777" s="24" t="n"/>
      <c r="N4777" s="24" t="n"/>
      <c r="O4777" s="24" t="n"/>
      <c r="P4777" s="24" t="n"/>
      <c r="Q4777" s="22">
        <f>IF($D4777="","",IF(AND(OR(DANH_MUC!$L$5&lt;&gt;"Có",M4777="Có"),OR(DANH_MUC!$L$6&lt;&gt;"Có",N4777="Có"),OR(DANH_MUC!$L$7&lt;&gt;"Có",O4777="Có"),OR(DANH_MUC!$L$8&lt;&gt;"Có",P4777="Có")),"Có","Không"))</f>
        <v/>
      </c>
      <c r="R4777" s="22">
        <f>IF($D4777="","",IF(COUNTIF($D$2:$D4777,$D4777)&gt;1,"Trùng",""))</f>
        <v/>
      </c>
      <c r="S4777" s="22">
        <f>IF($D4777="","",IF(AND(LEN($D4777)=10,LEFT($D4777,1)="0",ISNUMBER(--$D4777)),"Có","Không"))</f>
        <v/>
      </c>
      <c r="T4777" s="22">
        <f>IF($D4777="","",IF(AND($C4777&lt;&gt;"",$Q4777="Có",$R4777="",$S4777="Có",AND($L4777&lt;&gt;"",OR($L4777&lt;&gt;"Chưa xác định",DANH_MUC!$L$9="Có"))),"Có","Không"))</f>
        <v/>
      </c>
      <c r="U4777" s="22">
        <f>IF(OR($D4777="",$T4777="Có"),"",IF($C4777="","Thiếu họ tên; ","")&amp;IF($S4777&lt;&gt;"Có","SĐT sai định dạng; ","")&amp;IF($R4777="Trùng","Trùng SĐT; ","")&amp;IF($Q4777&lt;&gt;"Có","Thiếu đồng ý bắt buộc; ","")&amp;IF($L4777="","Thiếu/sai Mã REF; ",IF(AND($L4777="Chưa xác định",DANH_MUC!$L$9&lt;&gt;"Có"),"Nguồn chưa xác định; ","")))</f>
        <v/>
      </c>
      <c r="V4777" s="22">
        <f>IF(OR($D4777="",$R4777="Trùng"),"",IF(COUNTIF(ORDERS!$C$2:$C$4995,$D4777)&gt;0,"Có","Không"))</f>
        <v/>
      </c>
      <c r="W4777" s="22">
        <f>IF(OR($D4777="",$R4777="Trùng"),"",COUNTIFS(ORDERS!$C$2:$C$4995,$D4777,ORDERS!$L$2:$L$4995,"Đã chuyển khoản"))</f>
        <v/>
      </c>
      <c r="X4777" s="23">
        <f>IF(OR($D4777="",$R4777="Trùng"),"",SUMIFS(ORDERS!$J$2:$J$4995,ORDERS!$C$2:$C$4995,$D4777,ORDERS!$L$2:$L$4995,"Đã chuyển khoản"))</f>
        <v/>
      </c>
      <c r="Y4777" s="24" t="n"/>
    </row>
    <row r="4778" ht="14.25" customHeight="1" s="40">
      <c r="A4778" s="24" t="n"/>
      <c r="B4778" s="27" t="n"/>
      <c r="C4778" s="24" t="n"/>
      <c r="D4778" s="28" t="n"/>
      <c r="E4778" s="29" t="n"/>
      <c r="F4778" s="24" t="n"/>
      <c r="G4778" s="24" t="n"/>
      <c r="H4778" s="21">
        <f>IF(ISNUMBER($B4778),INT($B4778)-WEEKDAY($B4778,2)+1,"")</f>
        <v/>
      </c>
      <c r="I4778" s="24" t="n"/>
      <c r="J4778" s="22">
        <f t="array" ref="J4778">IF($D4778="","",IF($I4778="","(trống REF)",IFERROR(INDEX(MASTER_SOURCE!$B$2:$B$495,MATCH($I4778,MASTER_SOURCE!$A$2:$A$495,0)),"(REF không có trong MASTER_SOURCE)")))</f>
        <v/>
      </c>
      <c r="K4778" s="22">
        <f t="array" ref="K4778">IF($D4778="","",IFERROR(INDEX(MASTER_SOURCE!$C$2:$C$495,MATCH($I4778,MASTER_SOURCE!$A$2:$A$495,0)),""))</f>
        <v/>
      </c>
      <c r="L4778" s="22">
        <f t="array" ref="L4778">IF($D4778="","",IFERROR(INDEX(MASTER_SOURCE!$D$2:$D$495,MATCH($I4778,MASTER_SOURCE!$A$2:$A$495,0)),""))</f>
        <v/>
      </c>
      <c r="M4778" s="24" t="n"/>
      <c r="N4778" s="24" t="n"/>
      <c r="O4778" s="24" t="n"/>
      <c r="P4778" s="24" t="n"/>
      <c r="Q4778" s="22">
        <f>IF($D4778="","",IF(AND(OR(DANH_MUC!$L$5&lt;&gt;"Có",M4778="Có"),OR(DANH_MUC!$L$6&lt;&gt;"Có",N4778="Có"),OR(DANH_MUC!$L$7&lt;&gt;"Có",O4778="Có"),OR(DANH_MUC!$L$8&lt;&gt;"Có",P4778="Có")),"Có","Không"))</f>
        <v/>
      </c>
      <c r="R4778" s="22">
        <f>IF($D4778="","",IF(COUNTIF($D$2:$D4778,$D4778)&gt;1,"Trùng",""))</f>
        <v/>
      </c>
      <c r="S4778" s="22">
        <f>IF($D4778="","",IF(AND(LEN($D4778)=10,LEFT($D4778,1)="0",ISNUMBER(--$D4778)),"Có","Không"))</f>
        <v/>
      </c>
      <c r="T4778" s="22">
        <f>IF($D4778="","",IF(AND($C4778&lt;&gt;"",$Q4778="Có",$R4778="",$S4778="Có",AND($L4778&lt;&gt;"",OR($L4778&lt;&gt;"Chưa xác định",DANH_MUC!$L$9="Có"))),"Có","Không"))</f>
        <v/>
      </c>
      <c r="U4778" s="22">
        <f>IF(OR($D4778="",$T4778="Có"),"",IF($C4778="","Thiếu họ tên; ","")&amp;IF($S4778&lt;&gt;"Có","SĐT sai định dạng; ","")&amp;IF($R4778="Trùng","Trùng SĐT; ","")&amp;IF($Q4778&lt;&gt;"Có","Thiếu đồng ý bắt buộc; ","")&amp;IF($L4778="","Thiếu/sai Mã REF; ",IF(AND($L4778="Chưa xác định",DANH_MUC!$L$9&lt;&gt;"Có"),"Nguồn chưa xác định; ","")))</f>
        <v/>
      </c>
      <c r="V4778" s="22">
        <f>IF(OR($D4778="",$R4778="Trùng"),"",IF(COUNTIF(ORDERS!$C$2:$C$4995,$D4778)&gt;0,"Có","Không"))</f>
        <v/>
      </c>
      <c r="W4778" s="22">
        <f>IF(OR($D4778="",$R4778="Trùng"),"",COUNTIFS(ORDERS!$C$2:$C$4995,$D4778,ORDERS!$L$2:$L$4995,"Đã chuyển khoản"))</f>
        <v/>
      </c>
      <c r="X4778" s="23">
        <f>IF(OR($D4778="",$R4778="Trùng"),"",SUMIFS(ORDERS!$J$2:$J$4995,ORDERS!$C$2:$C$4995,$D4778,ORDERS!$L$2:$L$4995,"Đã chuyển khoản"))</f>
        <v/>
      </c>
      <c r="Y4778" s="24" t="n"/>
    </row>
    <row r="4779" ht="14.25" customHeight="1" s="40">
      <c r="A4779" s="24" t="n"/>
      <c r="B4779" s="27" t="n"/>
      <c r="C4779" s="24" t="n"/>
      <c r="D4779" s="28" t="n"/>
      <c r="E4779" s="29" t="n"/>
      <c r="F4779" s="24" t="n"/>
      <c r="G4779" s="24" t="n"/>
      <c r="H4779" s="21">
        <f>IF(ISNUMBER($B4779),INT($B4779)-WEEKDAY($B4779,2)+1,"")</f>
        <v/>
      </c>
      <c r="I4779" s="24" t="n"/>
      <c r="J4779" s="22">
        <f t="array" ref="J4779">IF($D4779="","",IF($I4779="","(trống REF)",IFERROR(INDEX(MASTER_SOURCE!$B$2:$B$495,MATCH($I4779,MASTER_SOURCE!$A$2:$A$495,0)),"(REF không có trong MASTER_SOURCE)")))</f>
        <v/>
      </c>
      <c r="K4779" s="22">
        <f t="array" ref="K4779">IF($D4779="","",IFERROR(INDEX(MASTER_SOURCE!$C$2:$C$495,MATCH($I4779,MASTER_SOURCE!$A$2:$A$495,0)),""))</f>
        <v/>
      </c>
      <c r="L4779" s="22">
        <f t="array" ref="L4779">IF($D4779="","",IFERROR(INDEX(MASTER_SOURCE!$D$2:$D$495,MATCH($I4779,MASTER_SOURCE!$A$2:$A$495,0)),""))</f>
        <v/>
      </c>
      <c r="M4779" s="24" t="n"/>
      <c r="N4779" s="24" t="n"/>
      <c r="O4779" s="24" t="n"/>
      <c r="P4779" s="24" t="n"/>
      <c r="Q4779" s="22">
        <f>IF($D4779="","",IF(AND(OR(DANH_MUC!$L$5&lt;&gt;"Có",M4779="Có"),OR(DANH_MUC!$L$6&lt;&gt;"Có",N4779="Có"),OR(DANH_MUC!$L$7&lt;&gt;"Có",O4779="Có"),OR(DANH_MUC!$L$8&lt;&gt;"Có",P4779="Có")),"Có","Không"))</f>
        <v/>
      </c>
      <c r="R4779" s="22">
        <f>IF($D4779="","",IF(COUNTIF($D$2:$D4779,$D4779)&gt;1,"Trùng",""))</f>
        <v/>
      </c>
      <c r="S4779" s="22">
        <f>IF($D4779="","",IF(AND(LEN($D4779)=10,LEFT($D4779,1)="0",ISNUMBER(--$D4779)),"Có","Không"))</f>
        <v/>
      </c>
      <c r="T4779" s="22">
        <f>IF($D4779="","",IF(AND($C4779&lt;&gt;"",$Q4779="Có",$R4779="",$S4779="Có",AND($L4779&lt;&gt;"",OR($L4779&lt;&gt;"Chưa xác định",DANH_MUC!$L$9="Có"))),"Có","Không"))</f>
        <v/>
      </c>
      <c r="U4779" s="22">
        <f>IF(OR($D4779="",$T4779="Có"),"",IF($C4779="","Thiếu họ tên; ","")&amp;IF($S4779&lt;&gt;"Có","SĐT sai định dạng; ","")&amp;IF($R4779="Trùng","Trùng SĐT; ","")&amp;IF($Q4779&lt;&gt;"Có","Thiếu đồng ý bắt buộc; ","")&amp;IF($L4779="","Thiếu/sai Mã REF; ",IF(AND($L4779="Chưa xác định",DANH_MUC!$L$9&lt;&gt;"Có"),"Nguồn chưa xác định; ","")))</f>
        <v/>
      </c>
      <c r="V4779" s="22">
        <f>IF(OR($D4779="",$R4779="Trùng"),"",IF(COUNTIF(ORDERS!$C$2:$C$4995,$D4779)&gt;0,"Có","Không"))</f>
        <v/>
      </c>
      <c r="W4779" s="22">
        <f>IF(OR($D4779="",$R4779="Trùng"),"",COUNTIFS(ORDERS!$C$2:$C$4995,$D4779,ORDERS!$L$2:$L$4995,"Đã chuyển khoản"))</f>
        <v/>
      </c>
      <c r="X4779" s="23">
        <f>IF(OR($D4779="",$R4779="Trùng"),"",SUMIFS(ORDERS!$J$2:$J$4995,ORDERS!$C$2:$C$4995,$D4779,ORDERS!$L$2:$L$4995,"Đã chuyển khoản"))</f>
        <v/>
      </c>
      <c r="Y4779" s="24" t="n"/>
    </row>
    <row r="4780" ht="14.25" customHeight="1" s="40">
      <c r="A4780" s="24" t="n"/>
      <c r="B4780" s="27" t="n"/>
      <c r="C4780" s="24" t="n"/>
      <c r="D4780" s="28" t="n"/>
      <c r="E4780" s="29" t="n"/>
      <c r="F4780" s="24" t="n"/>
      <c r="G4780" s="24" t="n"/>
      <c r="H4780" s="21">
        <f>IF(ISNUMBER($B4780),INT($B4780)-WEEKDAY($B4780,2)+1,"")</f>
        <v/>
      </c>
      <c r="I4780" s="24" t="n"/>
      <c r="J4780" s="22">
        <f t="array" ref="J4780">IF($D4780="","",IF($I4780="","(trống REF)",IFERROR(INDEX(MASTER_SOURCE!$B$2:$B$495,MATCH($I4780,MASTER_SOURCE!$A$2:$A$495,0)),"(REF không có trong MASTER_SOURCE)")))</f>
        <v/>
      </c>
      <c r="K4780" s="22">
        <f t="array" ref="K4780">IF($D4780="","",IFERROR(INDEX(MASTER_SOURCE!$C$2:$C$495,MATCH($I4780,MASTER_SOURCE!$A$2:$A$495,0)),""))</f>
        <v/>
      </c>
      <c r="L4780" s="22">
        <f t="array" ref="L4780">IF($D4780="","",IFERROR(INDEX(MASTER_SOURCE!$D$2:$D$495,MATCH($I4780,MASTER_SOURCE!$A$2:$A$495,0)),""))</f>
        <v/>
      </c>
      <c r="M4780" s="24" t="n"/>
      <c r="N4780" s="24" t="n"/>
      <c r="O4780" s="24" t="n"/>
      <c r="P4780" s="24" t="n"/>
      <c r="Q4780" s="22">
        <f>IF($D4780="","",IF(AND(OR(DANH_MUC!$L$5&lt;&gt;"Có",M4780="Có"),OR(DANH_MUC!$L$6&lt;&gt;"Có",N4780="Có"),OR(DANH_MUC!$L$7&lt;&gt;"Có",O4780="Có"),OR(DANH_MUC!$L$8&lt;&gt;"Có",P4780="Có")),"Có","Không"))</f>
        <v/>
      </c>
      <c r="R4780" s="22">
        <f>IF($D4780="","",IF(COUNTIF($D$2:$D4780,$D4780)&gt;1,"Trùng",""))</f>
        <v/>
      </c>
      <c r="S4780" s="22">
        <f>IF($D4780="","",IF(AND(LEN($D4780)=10,LEFT($D4780,1)="0",ISNUMBER(--$D4780)),"Có","Không"))</f>
        <v/>
      </c>
      <c r="T4780" s="22">
        <f>IF($D4780="","",IF(AND($C4780&lt;&gt;"",$Q4780="Có",$R4780="",$S4780="Có",AND($L4780&lt;&gt;"",OR($L4780&lt;&gt;"Chưa xác định",DANH_MUC!$L$9="Có"))),"Có","Không"))</f>
        <v/>
      </c>
      <c r="U4780" s="22">
        <f>IF(OR($D4780="",$T4780="Có"),"",IF($C4780="","Thiếu họ tên; ","")&amp;IF($S4780&lt;&gt;"Có","SĐT sai định dạng; ","")&amp;IF($R4780="Trùng","Trùng SĐT; ","")&amp;IF($Q4780&lt;&gt;"Có","Thiếu đồng ý bắt buộc; ","")&amp;IF($L4780="","Thiếu/sai Mã REF; ",IF(AND($L4780="Chưa xác định",DANH_MUC!$L$9&lt;&gt;"Có"),"Nguồn chưa xác định; ","")))</f>
        <v/>
      </c>
      <c r="V4780" s="22">
        <f>IF(OR($D4780="",$R4780="Trùng"),"",IF(COUNTIF(ORDERS!$C$2:$C$4995,$D4780)&gt;0,"Có","Không"))</f>
        <v/>
      </c>
      <c r="W4780" s="22">
        <f>IF(OR($D4780="",$R4780="Trùng"),"",COUNTIFS(ORDERS!$C$2:$C$4995,$D4780,ORDERS!$L$2:$L$4995,"Đã chuyển khoản"))</f>
        <v/>
      </c>
      <c r="X4780" s="23">
        <f>IF(OR($D4780="",$R4780="Trùng"),"",SUMIFS(ORDERS!$J$2:$J$4995,ORDERS!$C$2:$C$4995,$D4780,ORDERS!$L$2:$L$4995,"Đã chuyển khoản"))</f>
        <v/>
      </c>
      <c r="Y4780" s="24" t="n"/>
    </row>
    <row r="4781" ht="14.25" customHeight="1" s="40">
      <c r="A4781" s="24" t="n"/>
      <c r="B4781" s="27" t="n"/>
      <c r="C4781" s="24" t="n"/>
      <c r="D4781" s="28" t="n"/>
      <c r="E4781" s="29" t="n"/>
      <c r="F4781" s="24" t="n"/>
      <c r="G4781" s="24" t="n"/>
      <c r="H4781" s="21">
        <f>IF(ISNUMBER($B4781),INT($B4781)-WEEKDAY($B4781,2)+1,"")</f>
        <v/>
      </c>
      <c r="I4781" s="24" t="n"/>
      <c r="J4781" s="22">
        <f t="array" ref="J4781">IF($D4781="","",IF($I4781="","(trống REF)",IFERROR(INDEX(MASTER_SOURCE!$B$2:$B$495,MATCH($I4781,MASTER_SOURCE!$A$2:$A$495,0)),"(REF không có trong MASTER_SOURCE)")))</f>
        <v/>
      </c>
      <c r="K4781" s="22">
        <f t="array" ref="K4781">IF($D4781="","",IFERROR(INDEX(MASTER_SOURCE!$C$2:$C$495,MATCH($I4781,MASTER_SOURCE!$A$2:$A$495,0)),""))</f>
        <v/>
      </c>
      <c r="L4781" s="22">
        <f t="array" ref="L4781">IF($D4781="","",IFERROR(INDEX(MASTER_SOURCE!$D$2:$D$495,MATCH($I4781,MASTER_SOURCE!$A$2:$A$495,0)),""))</f>
        <v/>
      </c>
      <c r="M4781" s="24" t="n"/>
      <c r="N4781" s="24" t="n"/>
      <c r="O4781" s="24" t="n"/>
      <c r="P4781" s="24" t="n"/>
      <c r="Q4781" s="22">
        <f>IF($D4781="","",IF(AND(OR(DANH_MUC!$L$5&lt;&gt;"Có",M4781="Có"),OR(DANH_MUC!$L$6&lt;&gt;"Có",N4781="Có"),OR(DANH_MUC!$L$7&lt;&gt;"Có",O4781="Có"),OR(DANH_MUC!$L$8&lt;&gt;"Có",P4781="Có")),"Có","Không"))</f>
        <v/>
      </c>
      <c r="R4781" s="22">
        <f>IF($D4781="","",IF(COUNTIF($D$2:$D4781,$D4781)&gt;1,"Trùng",""))</f>
        <v/>
      </c>
      <c r="S4781" s="22">
        <f>IF($D4781="","",IF(AND(LEN($D4781)=10,LEFT($D4781,1)="0",ISNUMBER(--$D4781)),"Có","Không"))</f>
        <v/>
      </c>
      <c r="T4781" s="22">
        <f>IF($D4781="","",IF(AND($C4781&lt;&gt;"",$Q4781="Có",$R4781="",$S4781="Có",AND($L4781&lt;&gt;"",OR($L4781&lt;&gt;"Chưa xác định",DANH_MUC!$L$9="Có"))),"Có","Không"))</f>
        <v/>
      </c>
      <c r="U4781" s="22">
        <f>IF(OR($D4781="",$T4781="Có"),"",IF($C4781="","Thiếu họ tên; ","")&amp;IF($S4781&lt;&gt;"Có","SĐT sai định dạng; ","")&amp;IF($R4781="Trùng","Trùng SĐT; ","")&amp;IF($Q4781&lt;&gt;"Có","Thiếu đồng ý bắt buộc; ","")&amp;IF($L4781="","Thiếu/sai Mã REF; ",IF(AND($L4781="Chưa xác định",DANH_MUC!$L$9&lt;&gt;"Có"),"Nguồn chưa xác định; ","")))</f>
        <v/>
      </c>
      <c r="V4781" s="22">
        <f>IF(OR($D4781="",$R4781="Trùng"),"",IF(COUNTIF(ORDERS!$C$2:$C$4995,$D4781)&gt;0,"Có","Không"))</f>
        <v/>
      </c>
      <c r="W4781" s="22">
        <f>IF(OR($D4781="",$R4781="Trùng"),"",COUNTIFS(ORDERS!$C$2:$C$4995,$D4781,ORDERS!$L$2:$L$4995,"Đã chuyển khoản"))</f>
        <v/>
      </c>
      <c r="X4781" s="23">
        <f>IF(OR($D4781="",$R4781="Trùng"),"",SUMIFS(ORDERS!$J$2:$J$4995,ORDERS!$C$2:$C$4995,$D4781,ORDERS!$L$2:$L$4995,"Đã chuyển khoản"))</f>
        <v/>
      </c>
      <c r="Y4781" s="24" t="n"/>
    </row>
    <row r="4782" ht="14.25" customHeight="1" s="40">
      <c r="A4782" s="24" t="n"/>
      <c r="B4782" s="27" t="n"/>
      <c r="C4782" s="24" t="n"/>
      <c r="D4782" s="28" t="n"/>
      <c r="E4782" s="29" t="n"/>
      <c r="F4782" s="24" t="n"/>
      <c r="G4782" s="24" t="n"/>
      <c r="H4782" s="21">
        <f>IF(ISNUMBER($B4782),INT($B4782)-WEEKDAY($B4782,2)+1,"")</f>
        <v/>
      </c>
      <c r="I4782" s="24" t="n"/>
      <c r="J4782" s="22">
        <f t="array" ref="J4782">IF($D4782="","",IF($I4782="","(trống REF)",IFERROR(INDEX(MASTER_SOURCE!$B$2:$B$495,MATCH($I4782,MASTER_SOURCE!$A$2:$A$495,0)),"(REF không có trong MASTER_SOURCE)")))</f>
        <v/>
      </c>
      <c r="K4782" s="22">
        <f t="array" ref="K4782">IF($D4782="","",IFERROR(INDEX(MASTER_SOURCE!$C$2:$C$495,MATCH($I4782,MASTER_SOURCE!$A$2:$A$495,0)),""))</f>
        <v/>
      </c>
      <c r="L4782" s="22">
        <f t="array" ref="L4782">IF($D4782="","",IFERROR(INDEX(MASTER_SOURCE!$D$2:$D$495,MATCH($I4782,MASTER_SOURCE!$A$2:$A$495,0)),""))</f>
        <v/>
      </c>
      <c r="M4782" s="24" t="n"/>
      <c r="N4782" s="24" t="n"/>
      <c r="O4782" s="24" t="n"/>
      <c r="P4782" s="24" t="n"/>
      <c r="Q4782" s="22">
        <f>IF($D4782="","",IF(AND(OR(DANH_MUC!$L$5&lt;&gt;"Có",M4782="Có"),OR(DANH_MUC!$L$6&lt;&gt;"Có",N4782="Có"),OR(DANH_MUC!$L$7&lt;&gt;"Có",O4782="Có"),OR(DANH_MUC!$L$8&lt;&gt;"Có",P4782="Có")),"Có","Không"))</f>
        <v/>
      </c>
      <c r="R4782" s="22">
        <f>IF($D4782="","",IF(COUNTIF($D$2:$D4782,$D4782)&gt;1,"Trùng",""))</f>
        <v/>
      </c>
      <c r="S4782" s="22">
        <f>IF($D4782="","",IF(AND(LEN($D4782)=10,LEFT($D4782,1)="0",ISNUMBER(--$D4782)),"Có","Không"))</f>
        <v/>
      </c>
      <c r="T4782" s="22">
        <f>IF($D4782="","",IF(AND($C4782&lt;&gt;"",$Q4782="Có",$R4782="",$S4782="Có",AND($L4782&lt;&gt;"",OR($L4782&lt;&gt;"Chưa xác định",DANH_MUC!$L$9="Có"))),"Có","Không"))</f>
        <v/>
      </c>
      <c r="U4782" s="22">
        <f>IF(OR($D4782="",$T4782="Có"),"",IF($C4782="","Thiếu họ tên; ","")&amp;IF($S4782&lt;&gt;"Có","SĐT sai định dạng; ","")&amp;IF($R4782="Trùng","Trùng SĐT; ","")&amp;IF($Q4782&lt;&gt;"Có","Thiếu đồng ý bắt buộc; ","")&amp;IF($L4782="","Thiếu/sai Mã REF; ",IF(AND($L4782="Chưa xác định",DANH_MUC!$L$9&lt;&gt;"Có"),"Nguồn chưa xác định; ","")))</f>
        <v/>
      </c>
      <c r="V4782" s="22">
        <f>IF(OR($D4782="",$R4782="Trùng"),"",IF(COUNTIF(ORDERS!$C$2:$C$4995,$D4782)&gt;0,"Có","Không"))</f>
        <v/>
      </c>
      <c r="W4782" s="22">
        <f>IF(OR($D4782="",$R4782="Trùng"),"",COUNTIFS(ORDERS!$C$2:$C$4995,$D4782,ORDERS!$L$2:$L$4995,"Đã chuyển khoản"))</f>
        <v/>
      </c>
      <c r="X4782" s="23">
        <f>IF(OR($D4782="",$R4782="Trùng"),"",SUMIFS(ORDERS!$J$2:$J$4995,ORDERS!$C$2:$C$4995,$D4782,ORDERS!$L$2:$L$4995,"Đã chuyển khoản"))</f>
        <v/>
      </c>
      <c r="Y4782" s="24" t="n"/>
    </row>
    <row r="4783" ht="14.25" customHeight="1" s="40">
      <c r="A4783" s="24" t="n"/>
      <c r="B4783" s="27" t="n"/>
      <c r="C4783" s="24" t="n"/>
      <c r="D4783" s="28" t="n"/>
      <c r="E4783" s="29" t="n"/>
      <c r="F4783" s="24" t="n"/>
      <c r="G4783" s="24" t="n"/>
      <c r="H4783" s="21">
        <f>IF(ISNUMBER($B4783),INT($B4783)-WEEKDAY($B4783,2)+1,"")</f>
        <v/>
      </c>
      <c r="I4783" s="24" t="n"/>
      <c r="J4783" s="22">
        <f t="array" ref="J4783">IF($D4783="","",IF($I4783="","(trống REF)",IFERROR(INDEX(MASTER_SOURCE!$B$2:$B$495,MATCH($I4783,MASTER_SOURCE!$A$2:$A$495,0)),"(REF không có trong MASTER_SOURCE)")))</f>
        <v/>
      </c>
      <c r="K4783" s="22">
        <f t="array" ref="K4783">IF($D4783="","",IFERROR(INDEX(MASTER_SOURCE!$C$2:$C$495,MATCH($I4783,MASTER_SOURCE!$A$2:$A$495,0)),""))</f>
        <v/>
      </c>
      <c r="L4783" s="22">
        <f t="array" ref="L4783">IF($D4783="","",IFERROR(INDEX(MASTER_SOURCE!$D$2:$D$495,MATCH($I4783,MASTER_SOURCE!$A$2:$A$495,0)),""))</f>
        <v/>
      </c>
      <c r="M4783" s="24" t="n"/>
      <c r="N4783" s="24" t="n"/>
      <c r="O4783" s="24" t="n"/>
      <c r="P4783" s="24" t="n"/>
      <c r="Q4783" s="22">
        <f>IF($D4783="","",IF(AND(OR(DANH_MUC!$L$5&lt;&gt;"Có",M4783="Có"),OR(DANH_MUC!$L$6&lt;&gt;"Có",N4783="Có"),OR(DANH_MUC!$L$7&lt;&gt;"Có",O4783="Có"),OR(DANH_MUC!$L$8&lt;&gt;"Có",P4783="Có")),"Có","Không"))</f>
        <v/>
      </c>
      <c r="R4783" s="22">
        <f>IF($D4783="","",IF(COUNTIF($D$2:$D4783,$D4783)&gt;1,"Trùng",""))</f>
        <v/>
      </c>
      <c r="S4783" s="22">
        <f>IF($D4783="","",IF(AND(LEN($D4783)=10,LEFT($D4783,1)="0",ISNUMBER(--$D4783)),"Có","Không"))</f>
        <v/>
      </c>
      <c r="T4783" s="22">
        <f>IF($D4783="","",IF(AND($C4783&lt;&gt;"",$Q4783="Có",$R4783="",$S4783="Có",AND($L4783&lt;&gt;"",OR($L4783&lt;&gt;"Chưa xác định",DANH_MUC!$L$9="Có"))),"Có","Không"))</f>
        <v/>
      </c>
      <c r="U4783" s="22">
        <f>IF(OR($D4783="",$T4783="Có"),"",IF($C4783="","Thiếu họ tên; ","")&amp;IF($S4783&lt;&gt;"Có","SĐT sai định dạng; ","")&amp;IF($R4783="Trùng","Trùng SĐT; ","")&amp;IF($Q4783&lt;&gt;"Có","Thiếu đồng ý bắt buộc; ","")&amp;IF($L4783="","Thiếu/sai Mã REF; ",IF(AND($L4783="Chưa xác định",DANH_MUC!$L$9&lt;&gt;"Có"),"Nguồn chưa xác định; ","")))</f>
        <v/>
      </c>
      <c r="V4783" s="22">
        <f>IF(OR($D4783="",$R4783="Trùng"),"",IF(COUNTIF(ORDERS!$C$2:$C$4995,$D4783)&gt;0,"Có","Không"))</f>
        <v/>
      </c>
      <c r="W4783" s="22">
        <f>IF(OR($D4783="",$R4783="Trùng"),"",COUNTIFS(ORDERS!$C$2:$C$4995,$D4783,ORDERS!$L$2:$L$4995,"Đã chuyển khoản"))</f>
        <v/>
      </c>
      <c r="X4783" s="23">
        <f>IF(OR($D4783="",$R4783="Trùng"),"",SUMIFS(ORDERS!$J$2:$J$4995,ORDERS!$C$2:$C$4995,$D4783,ORDERS!$L$2:$L$4995,"Đã chuyển khoản"))</f>
        <v/>
      </c>
      <c r="Y4783" s="24" t="n"/>
    </row>
    <row r="4784" ht="14.25" customHeight="1" s="40">
      <c r="A4784" s="24" t="n"/>
      <c r="B4784" s="27" t="n"/>
      <c r="C4784" s="24" t="n"/>
      <c r="D4784" s="28" t="n"/>
      <c r="E4784" s="29" t="n"/>
      <c r="F4784" s="24" t="n"/>
      <c r="G4784" s="24" t="n"/>
      <c r="H4784" s="21">
        <f>IF(ISNUMBER($B4784),INT($B4784)-WEEKDAY($B4784,2)+1,"")</f>
        <v/>
      </c>
      <c r="I4784" s="24" t="n"/>
      <c r="J4784" s="22">
        <f t="array" ref="J4784">IF($D4784="","",IF($I4784="","(trống REF)",IFERROR(INDEX(MASTER_SOURCE!$B$2:$B$495,MATCH($I4784,MASTER_SOURCE!$A$2:$A$495,0)),"(REF không có trong MASTER_SOURCE)")))</f>
        <v/>
      </c>
      <c r="K4784" s="22">
        <f t="array" ref="K4784">IF($D4784="","",IFERROR(INDEX(MASTER_SOURCE!$C$2:$C$495,MATCH($I4784,MASTER_SOURCE!$A$2:$A$495,0)),""))</f>
        <v/>
      </c>
      <c r="L4784" s="22">
        <f t="array" ref="L4784">IF($D4784="","",IFERROR(INDEX(MASTER_SOURCE!$D$2:$D$495,MATCH($I4784,MASTER_SOURCE!$A$2:$A$495,0)),""))</f>
        <v/>
      </c>
      <c r="M4784" s="24" t="n"/>
      <c r="N4784" s="24" t="n"/>
      <c r="O4784" s="24" t="n"/>
      <c r="P4784" s="24" t="n"/>
      <c r="Q4784" s="22">
        <f>IF($D4784="","",IF(AND(OR(DANH_MUC!$L$5&lt;&gt;"Có",M4784="Có"),OR(DANH_MUC!$L$6&lt;&gt;"Có",N4784="Có"),OR(DANH_MUC!$L$7&lt;&gt;"Có",O4784="Có"),OR(DANH_MUC!$L$8&lt;&gt;"Có",P4784="Có")),"Có","Không"))</f>
        <v/>
      </c>
      <c r="R4784" s="22">
        <f>IF($D4784="","",IF(COUNTIF($D$2:$D4784,$D4784)&gt;1,"Trùng",""))</f>
        <v/>
      </c>
      <c r="S4784" s="22">
        <f>IF($D4784="","",IF(AND(LEN($D4784)=10,LEFT($D4784,1)="0",ISNUMBER(--$D4784)),"Có","Không"))</f>
        <v/>
      </c>
      <c r="T4784" s="22">
        <f>IF($D4784="","",IF(AND($C4784&lt;&gt;"",$Q4784="Có",$R4784="",$S4784="Có",AND($L4784&lt;&gt;"",OR($L4784&lt;&gt;"Chưa xác định",DANH_MUC!$L$9="Có"))),"Có","Không"))</f>
        <v/>
      </c>
      <c r="U4784" s="22">
        <f>IF(OR($D4784="",$T4784="Có"),"",IF($C4784="","Thiếu họ tên; ","")&amp;IF($S4784&lt;&gt;"Có","SĐT sai định dạng; ","")&amp;IF($R4784="Trùng","Trùng SĐT; ","")&amp;IF($Q4784&lt;&gt;"Có","Thiếu đồng ý bắt buộc; ","")&amp;IF($L4784="","Thiếu/sai Mã REF; ",IF(AND($L4784="Chưa xác định",DANH_MUC!$L$9&lt;&gt;"Có"),"Nguồn chưa xác định; ","")))</f>
        <v/>
      </c>
      <c r="V4784" s="22">
        <f>IF(OR($D4784="",$R4784="Trùng"),"",IF(COUNTIF(ORDERS!$C$2:$C$4995,$D4784)&gt;0,"Có","Không"))</f>
        <v/>
      </c>
      <c r="W4784" s="22">
        <f>IF(OR($D4784="",$R4784="Trùng"),"",COUNTIFS(ORDERS!$C$2:$C$4995,$D4784,ORDERS!$L$2:$L$4995,"Đã chuyển khoản"))</f>
        <v/>
      </c>
      <c r="X4784" s="23">
        <f>IF(OR($D4784="",$R4784="Trùng"),"",SUMIFS(ORDERS!$J$2:$J$4995,ORDERS!$C$2:$C$4995,$D4784,ORDERS!$L$2:$L$4995,"Đã chuyển khoản"))</f>
        <v/>
      </c>
      <c r="Y4784" s="24" t="n"/>
    </row>
    <row r="4785" ht="14.25" customHeight="1" s="40">
      <c r="A4785" s="24" t="n"/>
      <c r="B4785" s="27" t="n"/>
      <c r="C4785" s="24" t="n"/>
      <c r="D4785" s="28" t="n"/>
      <c r="E4785" s="29" t="n"/>
      <c r="F4785" s="24" t="n"/>
      <c r="G4785" s="24" t="n"/>
      <c r="H4785" s="21">
        <f>IF(ISNUMBER($B4785),INT($B4785)-WEEKDAY($B4785,2)+1,"")</f>
        <v/>
      </c>
      <c r="I4785" s="24" t="n"/>
      <c r="J4785" s="22">
        <f t="array" ref="J4785">IF($D4785="","",IF($I4785="","(trống REF)",IFERROR(INDEX(MASTER_SOURCE!$B$2:$B$495,MATCH($I4785,MASTER_SOURCE!$A$2:$A$495,0)),"(REF không có trong MASTER_SOURCE)")))</f>
        <v/>
      </c>
      <c r="K4785" s="22">
        <f t="array" ref="K4785">IF($D4785="","",IFERROR(INDEX(MASTER_SOURCE!$C$2:$C$495,MATCH($I4785,MASTER_SOURCE!$A$2:$A$495,0)),""))</f>
        <v/>
      </c>
      <c r="L4785" s="22">
        <f t="array" ref="L4785">IF($D4785="","",IFERROR(INDEX(MASTER_SOURCE!$D$2:$D$495,MATCH($I4785,MASTER_SOURCE!$A$2:$A$495,0)),""))</f>
        <v/>
      </c>
      <c r="M4785" s="24" t="n"/>
      <c r="N4785" s="24" t="n"/>
      <c r="O4785" s="24" t="n"/>
      <c r="P4785" s="24" t="n"/>
      <c r="Q4785" s="22">
        <f>IF($D4785="","",IF(AND(OR(DANH_MUC!$L$5&lt;&gt;"Có",M4785="Có"),OR(DANH_MUC!$L$6&lt;&gt;"Có",N4785="Có"),OR(DANH_MUC!$L$7&lt;&gt;"Có",O4785="Có"),OR(DANH_MUC!$L$8&lt;&gt;"Có",P4785="Có")),"Có","Không"))</f>
        <v/>
      </c>
      <c r="R4785" s="22">
        <f>IF($D4785="","",IF(COUNTIF($D$2:$D4785,$D4785)&gt;1,"Trùng",""))</f>
        <v/>
      </c>
      <c r="S4785" s="22">
        <f>IF($D4785="","",IF(AND(LEN($D4785)=10,LEFT($D4785,1)="0",ISNUMBER(--$D4785)),"Có","Không"))</f>
        <v/>
      </c>
      <c r="T4785" s="22">
        <f>IF($D4785="","",IF(AND($C4785&lt;&gt;"",$Q4785="Có",$R4785="",$S4785="Có",AND($L4785&lt;&gt;"",OR($L4785&lt;&gt;"Chưa xác định",DANH_MUC!$L$9="Có"))),"Có","Không"))</f>
        <v/>
      </c>
      <c r="U4785" s="22">
        <f>IF(OR($D4785="",$T4785="Có"),"",IF($C4785="","Thiếu họ tên; ","")&amp;IF($S4785&lt;&gt;"Có","SĐT sai định dạng; ","")&amp;IF($R4785="Trùng","Trùng SĐT; ","")&amp;IF($Q4785&lt;&gt;"Có","Thiếu đồng ý bắt buộc; ","")&amp;IF($L4785="","Thiếu/sai Mã REF; ",IF(AND($L4785="Chưa xác định",DANH_MUC!$L$9&lt;&gt;"Có"),"Nguồn chưa xác định; ","")))</f>
        <v/>
      </c>
      <c r="V4785" s="22">
        <f>IF(OR($D4785="",$R4785="Trùng"),"",IF(COUNTIF(ORDERS!$C$2:$C$4995,$D4785)&gt;0,"Có","Không"))</f>
        <v/>
      </c>
      <c r="W4785" s="22">
        <f>IF(OR($D4785="",$R4785="Trùng"),"",COUNTIFS(ORDERS!$C$2:$C$4995,$D4785,ORDERS!$L$2:$L$4995,"Đã chuyển khoản"))</f>
        <v/>
      </c>
      <c r="X4785" s="23">
        <f>IF(OR($D4785="",$R4785="Trùng"),"",SUMIFS(ORDERS!$J$2:$J$4995,ORDERS!$C$2:$C$4995,$D4785,ORDERS!$L$2:$L$4995,"Đã chuyển khoản"))</f>
        <v/>
      </c>
      <c r="Y4785" s="24" t="n"/>
    </row>
    <row r="4786" ht="14.25" customHeight="1" s="40">
      <c r="A4786" s="24" t="n"/>
      <c r="B4786" s="27" t="n"/>
      <c r="C4786" s="24" t="n"/>
      <c r="D4786" s="28" t="n"/>
      <c r="E4786" s="29" t="n"/>
      <c r="F4786" s="24" t="n"/>
      <c r="G4786" s="24" t="n"/>
      <c r="H4786" s="21">
        <f>IF(ISNUMBER($B4786),INT($B4786)-WEEKDAY($B4786,2)+1,"")</f>
        <v/>
      </c>
      <c r="I4786" s="24" t="n"/>
      <c r="J4786" s="22">
        <f t="array" ref="J4786">IF($D4786="","",IF($I4786="","(trống REF)",IFERROR(INDEX(MASTER_SOURCE!$B$2:$B$495,MATCH($I4786,MASTER_SOURCE!$A$2:$A$495,0)),"(REF không có trong MASTER_SOURCE)")))</f>
        <v/>
      </c>
      <c r="K4786" s="22">
        <f t="array" ref="K4786">IF($D4786="","",IFERROR(INDEX(MASTER_SOURCE!$C$2:$C$495,MATCH($I4786,MASTER_SOURCE!$A$2:$A$495,0)),""))</f>
        <v/>
      </c>
      <c r="L4786" s="22">
        <f t="array" ref="L4786">IF($D4786="","",IFERROR(INDEX(MASTER_SOURCE!$D$2:$D$495,MATCH($I4786,MASTER_SOURCE!$A$2:$A$495,0)),""))</f>
        <v/>
      </c>
      <c r="M4786" s="24" t="n"/>
      <c r="N4786" s="24" t="n"/>
      <c r="O4786" s="24" t="n"/>
      <c r="P4786" s="24" t="n"/>
      <c r="Q4786" s="22">
        <f>IF($D4786="","",IF(AND(OR(DANH_MUC!$L$5&lt;&gt;"Có",M4786="Có"),OR(DANH_MUC!$L$6&lt;&gt;"Có",N4786="Có"),OR(DANH_MUC!$L$7&lt;&gt;"Có",O4786="Có"),OR(DANH_MUC!$L$8&lt;&gt;"Có",P4786="Có")),"Có","Không"))</f>
        <v/>
      </c>
      <c r="R4786" s="22">
        <f>IF($D4786="","",IF(COUNTIF($D$2:$D4786,$D4786)&gt;1,"Trùng",""))</f>
        <v/>
      </c>
      <c r="S4786" s="22">
        <f>IF($D4786="","",IF(AND(LEN($D4786)=10,LEFT($D4786,1)="0",ISNUMBER(--$D4786)),"Có","Không"))</f>
        <v/>
      </c>
      <c r="T4786" s="22">
        <f>IF($D4786="","",IF(AND($C4786&lt;&gt;"",$Q4786="Có",$R4786="",$S4786="Có",AND($L4786&lt;&gt;"",OR($L4786&lt;&gt;"Chưa xác định",DANH_MUC!$L$9="Có"))),"Có","Không"))</f>
        <v/>
      </c>
      <c r="U4786" s="22">
        <f>IF(OR($D4786="",$T4786="Có"),"",IF($C4786="","Thiếu họ tên; ","")&amp;IF($S4786&lt;&gt;"Có","SĐT sai định dạng; ","")&amp;IF($R4786="Trùng","Trùng SĐT; ","")&amp;IF($Q4786&lt;&gt;"Có","Thiếu đồng ý bắt buộc; ","")&amp;IF($L4786="","Thiếu/sai Mã REF; ",IF(AND($L4786="Chưa xác định",DANH_MUC!$L$9&lt;&gt;"Có"),"Nguồn chưa xác định; ","")))</f>
        <v/>
      </c>
      <c r="V4786" s="22">
        <f>IF(OR($D4786="",$R4786="Trùng"),"",IF(COUNTIF(ORDERS!$C$2:$C$4995,$D4786)&gt;0,"Có","Không"))</f>
        <v/>
      </c>
      <c r="W4786" s="22">
        <f>IF(OR($D4786="",$R4786="Trùng"),"",COUNTIFS(ORDERS!$C$2:$C$4995,$D4786,ORDERS!$L$2:$L$4995,"Đã chuyển khoản"))</f>
        <v/>
      </c>
      <c r="X4786" s="23">
        <f>IF(OR($D4786="",$R4786="Trùng"),"",SUMIFS(ORDERS!$J$2:$J$4995,ORDERS!$C$2:$C$4995,$D4786,ORDERS!$L$2:$L$4995,"Đã chuyển khoản"))</f>
        <v/>
      </c>
      <c r="Y4786" s="24" t="n"/>
    </row>
    <row r="4787" ht="14.25" customHeight="1" s="40">
      <c r="A4787" s="24" t="n"/>
      <c r="B4787" s="27" t="n"/>
      <c r="C4787" s="24" t="n"/>
      <c r="D4787" s="28" t="n"/>
      <c r="E4787" s="29" t="n"/>
      <c r="F4787" s="24" t="n"/>
      <c r="G4787" s="24" t="n"/>
      <c r="H4787" s="21">
        <f>IF(ISNUMBER($B4787),INT($B4787)-WEEKDAY($B4787,2)+1,"")</f>
        <v/>
      </c>
      <c r="I4787" s="24" t="n"/>
      <c r="J4787" s="22">
        <f t="array" ref="J4787">IF($D4787="","",IF($I4787="","(trống REF)",IFERROR(INDEX(MASTER_SOURCE!$B$2:$B$495,MATCH($I4787,MASTER_SOURCE!$A$2:$A$495,0)),"(REF không có trong MASTER_SOURCE)")))</f>
        <v/>
      </c>
      <c r="K4787" s="22">
        <f t="array" ref="K4787">IF($D4787="","",IFERROR(INDEX(MASTER_SOURCE!$C$2:$C$495,MATCH($I4787,MASTER_SOURCE!$A$2:$A$495,0)),""))</f>
        <v/>
      </c>
      <c r="L4787" s="22">
        <f t="array" ref="L4787">IF($D4787="","",IFERROR(INDEX(MASTER_SOURCE!$D$2:$D$495,MATCH($I4787,MASTER_SOURCE!$A$2:$A$495,0)),""))</f>
        <v/>
      </c>
      <c r="M4787" s="24" t="n"/>
      <c r="N4787" s="24" t="n"/>
      <c r="O4787" s="24" t="n"/>
      <c r="P4787" s="24" t="n"/>
      <c r="Q4787" s="22">
        <f>IF($D4787="","",IF(AND(OR(DANH_MUC!$L$5&lt;&gt;"Có",M4787="Có"),OR(DANH_MUC!$L$6&lt;&gt;"Có",N4787="Có"),OR(DANH_MUC!$L$7&lt;&gt;"Có",O4787="Có"),OR(DANH_MUC!$L$8&lt;&gt;"Có",P4787="Có")),"Có","Không"))</f>
        <v/>
      </c>
      <c r="R4787" s="22">
        <f>IF($D4787="","",IF(COUNTIF($D$2:$D4787,$D4787)&gt;1,"Trùng",""))</f>
        <v/>
      </c>
      <c r="S4787" s="22">
        <f>IF($D4787="","",IF(AND(LEN($D4787)=10,LEFT($D4787,1)="0",ISNUMBER(--$D4787)),"Có","Không"))</f>
        <v/>
      </c>
      <c r="T4787" s="22">
        <f>IF($D4787="","",IF(AND($C4787&lt;&gt;"",$Q4787="Có",$R4787="",$S4787="Có",AND($L4787&lt;&gt;"",OR($L4787&lt;&gt;"Chưa xác định",DANH_MUC!$L$9="Có"))),"Có","Không"))</f>
        <v/>
      </c>
      <c r="U4787" s="22">
        <f>IF(OR($D4787="",$T4787="Có"),"",IF($C4787="","Thiếu họ tên; ","")&amp;IF($S4787&lt;&gt;"Có","SĐT sai định dạng; ","")&amp;IF($R4787="Trùng","Trùng SĐT; ","")&amp;IF($Q4787&lt;&gt;"Có","Thiếu đồng ý bắt buộc; ","")&amp;IF($L4787="","Thiếu/sai Mã REF; ",IF(AND($L4787="Chưa xác định",DANH_MUC!$L$9&lt;&gt;"Có"),"Nguồn chưa xác định; ","")))</f>
        <v/>
      </c>
      <c r="V4787" s="22">
        <f>IF(OR($D4787="",$R4787="Trùng"),"",IF(COUNTIF(ORDERS!$C$2:$C$4995,$D4787)&gt;0,"Có","Không"))</f>
        <v/>
      </c>
      <c r="W4787" s="22">
        <f>IF(OR($D4787="",$R4787="Trùng"),"",COUNTIFS(ORDERS!$C$2:$C$4995,$D4787,ORDERS!$L$2:$L$4995,"Đã chuyển khoản"))</f>
        <v/>
      </c>
      <c r="X4787" s="23">
        <f>IF(OR($D4787="",$R4787="Trùng"),"",SUMIFS(ORDERS!$J$2:$J$4995,ORDERS!$C$2:$C$4995,$D4787,ORDERS!$L$2:$L$4995,"Đã chuyển khoản"))</f>
        <v/>
      </c>
      <c r="Y4787" s="24" t="n"/>
    </row>
    <row r="4788" ht="14.25" customHeight="1" s="40">
      <c r="A4788" s="24" t="n"/>
      <c r="B4788" s="27" t="n"/>
      <c r="C4788" s="24" t="n"/>
      <c r="D4788" s="28" t="n"/>
      <c r="E4788" s="29" t="n"/>
      <c r="F4788" s="24" t="n"/>
      <c r="G4788" s="24" t="n"/>
      <c r="H4788" s="21">
        <f>IF(ISNUMBER($B4788),INT($B4788)-WEEKDAY($B4788,2)+1,"")</f>
        <v/>
      </c>
      <c r="I4788" s="24" t="n"/>
      <c r="J4788" s="22">
        <f t="array" ref="J4788">IF($D4788="","",IF($I4788="","(trống REF)",IFERROR(INDEX(MASTER_SOURCE!$B$2:$B$495,MATCH($I4788,MASTER_SOURCE!$A$2:$A$495,0)),"(REF không có trong MASTER_SOURCE)")))</f>
        <v/>
      </c>
      <c r="K4788" s="22">
        <f t="array" ref="K4788">IF($D4788="","",IFERROR(INDEX(MASTER_SOURCE!$C$2:$C$495,MATCH($I4788,MASTER_SOURCE!$A$2:$A$495,0)),""))</f>
        <v/>
      </c>
      <c r="L4788" s="22">
        <f t="array" ref="L4788">IF($D4788="","",IFERROR(INDEX(MASTER_SOURCE!$D$2:$D$495,MATCH($I4788,MASTER_SOURCE!$A$2:$A$495,0)),""))</f>
        <v/>
      </c>
      <c r="M4788" s="24" t="n"/>
      <c r="N4788" s="24" t="n"/>
      <c r="O4788" s="24" t="n"/>
      <c r="P4788" s="24" t="n"/>
      <c r="Q4788" s="22">
        <f>IF($D4788="","",IF(AND(OR(DANH_MUC!$L$5&lt;&gt;"Có",M4788="Có"),OR(DANH_MUC!$L$6&lt;&gt;"Có",N4788="Có"),OR(DANH_MUC!$L$7&lt;&gt;"Có",O4788="Có"),OR(DANH_MUC!$L$8&lt;&gt;"Có",P4788="Có")),"Có","Không"))</f>
        <v/>
      </c>
      <c r="R4788" s="22">
        <f>IF($D4788="","",IF(COUNTIF($D$2:$D4788,$D4788)&gt;1,"Trùng",""))</f>
        <v/>
      </c>
      <c r="S4788" s="22">
        <f>IF($D4788="","",IF(AND(LEN($D4788)=10,LEFT($D4788,1)="0",ISNUMBER(--$D4788)),"Có","Không"))</f>
        <v/>
      </c>
      <c r="T4788" s="22">
        <f>IF($D4788="","",IF(AND($C4788&lt;&gt;"",$Q4788="Có",$R4788="",$S4788="Có",AND($L4788&lt;&gt;"",OR($L4788&lt;&gt;"Chưa xác định",DANH_MUC!$L$9="Có"))),"Có","Không"))</f>
        <v/>
      </c>
      <c r="U4788" s="22">
        <f>IF(OR($D4788="",$T4788="Có"),"",IF($C4788="","Thiếu họ tên; ","")&amp;IF($S4788&lt;&gt;"Có","SĐT sai định dạng; ","")&amp;IF($R4788="Trùng","Trùng SĐT; ","")&amp;IF($Q4788&lt;&gt;"Có","Thiếu đồng ý bắt buộc; ","")&amp;IF($L4788="","Thiếu/sai Mã REF; ",IF(AND($L4788="Chưa xác định",DANH_MUC!$L$9&lt;&gt;"Có"),"Nguồn chưa xác định; ","")))</f>
        <v/>
      </c>
      <c r="V4788" s="22">
        <f>IF(OR($D4788="",$R4788="Trùng"),"",IF(COUNTIF(ORDERS!$C$2:$C$4995,$D4788)&gt;0,"Có","Không"))</f>
        <v/>
      </c>
      <c r="W4788" s="22">
        <f>IF(OR($D4788="",$R4788="Trùng"),"",COUNTIFS(ORDERS!$C$2:$C$4995,$D4788,ORDERS!$L$2:$L$4995,"Đã chuyển khoản"))</f>
        <v/>
      </c>
      <c r="X4788" s="23">
        <f>IF(OR($D4788="",$R4788="Trùng"),"",SUMIFS(ORDERS!$J$2:$J$4995,ORDERS!$C$2:$C$4995,$D4788,ORDERS!$L$2:$L$4995,"Đã chuyển khoản"))</f>
        <v/>
      </c>
      <c r="Y4788" s="24" t="n"/>
    </row>
    <row r="4789" ht="14.25" customHeight="1" s="40">
      <c r="A4789" s="24" t="n"/>
      <c r="B4789" s="27" t="n"/>
      <c r="C4789" s="24" t="n"/>
      <c r="D4789" s="28" t="n"/>
      <c r="E4789" s="29" t="n"/>
      <c r="F4789" s="24" t="n"/>
      <c r="G4789" s="24" t="n"/>
      <c r="H4789" s="21">
        <f>IF(ISNUMBER($B4789),INT($B4789)-WEEKDAY($B4789,2)+1,"")</f>
        <v/>
      </c>
      <c r="I4789" s="24" t="n"/>
      <c r="J4789" s="22">
        <f t="array" ref="J4789">IF($D4789="","",IF($I4789="","(trống REF)",IFERROR(INDEX(MASTER_SOURCE!$B$2:$B$495,MATCH($I4789,MASTER_SOURCE!$A$2:$A$495,0)),"(REF không có trong MASTER_SOURCE)")))</f>
        <v/>
      </c>
      <c r="K4789" s="22">
        <f t="array" ref="K4789">IF($D4789="","",IFERROR(INDEX(MASTER_SOURCE!$C$2:$C$495,MATCH($I4789,MASTER_SOURCE!$A$2:$A$495,0)),""))</f>
        <v/>
      </c>
      <c r="L4789" s="22">
        <f t="array" ref="L4789">IF($D4789="","",IFERROR(INDEX(MASTER_SOURCE!$D$2:$D$495,MATCH($I4789,MASTER_SOURCE!$A$2:$A$495,0)),""))</f>
        <v/>
      </c>
      <c r="M4789" s="24" t="n"/>
      <c r="N4789" s="24" t="n"/>
      <c r="O4789" s="24" t="n"/>
      <c r="P4789" s="24" t="n"/>
      <c r="Q4789" s="22">
        <f>IF($D4789="","",IF(AND(OR(DANH_MUC!$L$5&lt;&gt;"Có",M4789="Có"),OR(DANH_MUC!$L$6&lt;&gt;"Có",N4789="Có"),OR(DANH_MUC!$L$7&lt;&gt;"Có",O4789="Có"),OR(DANH_MUC!$L$8&lt;&gt;"Có",P4789="Có")),"Có","Không"))</f>
        <v/>
      </c>
      <c r="R4789" s="22">
        <f>IF($D4789="","",IF(COUNTIF($D$2:$D4789,$D4789)&gt;1,"Trùng",""))</f>
        <v/>
      </c>
      <c r="S4789" s="22">
        <f>IF($D4789="","",IF(AND(LEN($D4789)=10,LEFT($D4789,1)="0",ISNUMBER(--$D4789)),"Có","Không"))</f>
        <v/>
      </c>
      <c r="T4789" s="22">
        <f>IF($D4789="","",IF(AND($C4789&lt;&gt;"",$Q4789="Có",$R4789="",$S4789="Có",AND($L4789&lt;&gt;"",OR($L4789&lt;&gt;"Chưa xác định",DANH_MUC!$L$9="Có"))),"Có","Không"))</f>
        <v/>
      </c>
      <c r="U4789" s="22">
        <f>IF(OR($D4789="",$T4789="Có"),"",IF($C4789="","Thiếu họ tên; ","")&amp;IF($S4789&lt;&gt;"Có","SĐT sai định dạng; ","")&amp;IF($R4789="Trùng","Trùng SĐT; ","")&amp;IF($Q4789&lt;&gt;"Có","Thiếu đồng ý bắt buộc; ","")&amp;IF($L4789="","Thiếu/sai Mã REF; ",IF(AND($L4789="Chưa xác định",DANH_MUC!$L$9&lt;&gt;"Có"),"Nguồn chưa xác định; ","")))</f>
        <v/>
      </c>
      <c r="V4789" s="22">
        <f>IF(OR($D4789="",$R4789="Trùng"),"",IF(COUNTIF(ORDERS!$C$2:$C$4995,$D4789)&gt;0,"Có","Không"))</f>
        <v/>
      </c>
      <c r="W4789" s="22">
        <f>IF(OR($D4789="",$R4789="Trùng"),"",COUNTIFS(ORDERS!$C$2:$C$4995,$D4789,ORDERS!$L$2:$L$4995,"Đã chuyển khoản"))</f>
        <v/>
      </c>
      <c r="X4789" s="23">
        <f>IF(OR($D4789="",$R4789="Trùng"),"",SUMIFS(ORDERS!$J$2:$J$4995,ORDERS!$C$2:$C$4995,$D4789,ORDERS!$L$2:$L$4995,"Đã chuyển khoản"))</f>
        <v/>
      </c>
      <c r="Y4789" s="24" t="n"/>
    </row>
    <row r="4790" ht="14.25" customHeight="1" s="40">
      <c r="A4790" s="24" t="n"/>
      <c r="B4790" s="27" t="n"/>
      <c r="C4790" s="24" t="n"/>
      <c r="D4790" s="28" t="n"/>
      <c r="E4790" s="29" t="n"/>
      <c r="F4790" s="24" t="n"/>
      <c r="G4790" s="24" t="n"/>
      <c r="H4790" s="21">
        <f>IF(ISNUMBER($B4790),INT($B4790)-WEEKDAY($B4790,2)+1,"")</f>
        <v/>
      </c>
      <c r="I4790" s="24" t="n"/>
      <c r="J4790" s="22">
        <f t="array" ref="J4790">IF($D4790="","",IF($I4790="","(trống REF)",IFERROR(INDEX(MASTER_SOURCE!$B$2:$B$495,MATCH($I4790,MASTER_SOURCE!$A$2:$A$495,0)),"(REF không có trong MASTER_SOURCE)")))</f>
        <v/>
      </c>
      <c r="K4790" s="22">
        <f t="array" ref="K4790">IF($D4790="","",IFERROR(INDEX(MASTER_SOURCE!$C$2:$C$495,MATCH($I4790,MASTER_SOURCE!$A$2:$A$495,0)),""))</f>
        <v/>
      </c>
      <c r="L4790" s="22">
        <f t="array" ref="L4790">IF($D4790="","",IFERROR(INDEX(MASTER_SOURCE!$D$2:$D$495,MATCH($I4790,MASTER_SOURCE!$A$2:$A$495,0)),""))</f>
        <v/>
      </c>
      <c r="M4790" s="24" t="n"/>
      <c r="N4790" s="24" t="n"/>
      <c r="O4790" s="24" t="n"/>
      <c r="P4790" s="24" t="n"/>
      <c r="Q4790" s="22">
        <f>IF($D4790="","",IF(AND(OR(DANH_MUC!$L$5&lt;&gt;"Có",M4790="Có"),OR(DANH_MUC!$L$6&lt;&gt;"Có",N4790="Có"),OR(DANH_MUC!$L$7&lt;&gt;"Có",O4790="Có"),OR(DANH_MUC!$L$8&lt;&gt;"Có",P4790="Có")),"Có","Không"))</f>
        <v/>
      </c>
      <c r="R4790" s="22">
        <f>IF($D4790="","",IF(COUNTIF($D$2:$D4790,$D4790)&gt;1,"Trùng",""))</f>
        <v/>
      </c>
      <c r="S4790" s="22">
        <f>IF($D4790="","",IF(AND(LEN($D4790)=10,LEFT($D4790,1)="0",ISNUMBER(--$D4790)),"Có","Không"))</f>
        <v/>
      </c>
      <c r="T4790" s="22">
        <f>IF($D4790="","",IF(AND($C4790&lt;&gt;"",$Q4790="Có",$R4790="",$S4790="Có",AND($L4790&lt;&gt;"",OR($L4790&lt;&gt;"Chưa xác định",DANH_MUC!$L$9="Có"))),"Có","Không"))</f>
        <v/>
      </c>
      <c r="U4790" s="22">
        <f>IF(OR($D4790="",$T4790="Có"),"",IF($C4790="","Thiếu họ tên; ","")&amp;IF($S4790&lt;&gt;"Có","SĐT sai định dạng; ","")&amp;IF($R4790="Trùng","Trùng SĐT; ","")&amp;IF($Q4790&lt;&gt;"Có","Thiếu đồng ý bắt buộc; ","")&amp;IF($L4790="","Thiếu/sai Mã REF; ",IF(AND($L4790="Chưa xác định",DANH_MUC!$L$9&lt;&gt;"Có"),"Nguồn chưa xác định; ","")))</f>
        <v/>
      </c>
      <c r="V4790" s="22">
        <f>IF(OR($D4790="",$R4790="Trùng"),"",IF(COUNTIF(ORDERS!$C$2:$C$4995,$D4790)&gt;0,"Có","Không"))</f>
        <v/>
      </c>
      <c r="W4790" s="22">
        <f>IF(OR($D4790="",$R4790="Trùng"),"",COUNTIFS(ORDERS!$C$2:$C$4995,$D4790,ORDERS!$L$2:$L$4995,"Đã chuyển khoản"))</f>
        <v/>
      </c>
      <c r="X4790" s="23">
        <f>IF(OR($D4790="",$R4790="Trùng"),"",SUMIFS(ORDERS!$J$2:$J$4995,ORDERS!$C$2:$C$4995,$D4790,ORDERS!$L$2:$L$4995,"Đã chuyển khoản"))</f>
        <v/>
      </c>
      <c r="Y4790" s="24" t="n"/>
    </row>
    <row r="4791" ht="14.25" customHeight="1" s="40">
      <c r="A4791" s="24" t="n"/>
      <c r="B4791" s="27" t="n"/>
      <c r="C4791" s="24" t="n"/>
      <c r="D4791" s="28" t="n"/>
      <c r="E4791" s="29" t="n"/>
      <c r="F4791" s="24" t="n"/>
      <c r="G4791" s="24" t="n"/>
      <c r="H4791" s="21">
        <f>IF(ISNUMBER($B4791),INT($B4791)-WEEKDAY($B4791,2)+1,"")</f>
        <v/>
      </c>
      <c r="I4791" s="24" t="n"/>
      <c r="J4791" s="22">
        <f t="array" ref="J4791">IF($D4791="","",IF($I4791="","(trống REF)",IFERROR(INDEX(MASTER_SOURCE!$B$2:$B$495,MATCH($I4791,MASTER_SOURCE!$A$2:$A$495,0)),"(REF không có trong MASTER_SOURCE)")))</f>
        <v/>
      </c>
      <c r="K4791" s="22">
        <f t="array" ref="K4791">IF($D4791="","",IFERROR(INDEX(MASTER_SOURCE!$C$2:$C$495,MATCH($I4791,MASTER_SOURCE!$A$2:$A$495,0)),""))</f>
        <v/>
      </c>
      <c r="L4791" s="22">
        <f t="array" ref="L4791">IF($D4791="","",IFERROR(INDEX(MASTER_SOURCE!$D$2:$D$495,MATCH($I4791,MASTER_SOURCE!$A$2:$A$495,0)),""))</f>
        <v/>
      </c>
      <c r="M4791" s="24" t="n"/>
      <c r="N4791" s="24" t="n"/>
      <c r="O4791" s="24" t="n"/>
      <c r="P4791" s="24" t="n"/>
      <c r="Q4791" s="22">
        <f>IF($D4791="","",IF(AND(OR(DANH_MUC!$L$5&lt;&gt;"Có",M4791="Có"),OR(DANH_MUC!$L$6&lt;&gt;"Có",N4791="Có"),OR(DANH_MUC!$L$7&lt;&gt;"Có",O4791="Có"),OR(DANH_MUC!$L$8&lt;&gt;"Có",P4791="Có")),"Có","Không"))</f>
        <v/>
      </c>
      <c r="R4791" s="22">
        <f>IF($D4791="","",IF(COUNTIF($D$2:$D4791,$D4791)&gt;1,"Trùng",""))</f>
        <v/>
      </c>
      <c r="S4791" s="22">
        <f>IF($D4791="","",IF(AND(LEN($D4791)=10,LEFT($D4791,1)="0",ISNUMBER(--$D4791)),"Có","Không"))</f>
        <v/>
      </c>
      <c r="T4791" s="22">
        <f>IF($D4791="","",IF(AND($C4791&lt;&gt;"",$Q4791="Có",$R4791="",$S4791="Có",AND($L4791&lt;&gt;"",OR($L4791&lt;&gt;"Chưa xác định",DANH_MUC!$L$9="Có"))),"Có","Không"))</f>
        <v/>
      </c>
      <c r="U4791" s="22">
        <f>IF(OR($D4791="",$T4791="Có"),"",IF($C4791="","Thiếu họ tên; ","")&amp;IF($S4791&lt;&gt;"Có","SĐT sai định dạng; ","")&amp;IF($R4791="Trùng","Trùng SĐT; ","")&amp;IF($Q4791&lt;&gt;"Có","Thiếu đồng ý bắt buộc; ","")&amp;IF($L4791="","Thiếu/sai Mã REF; ",IF(AND($L4791="Chưa xác định",DANH_MUC!$L$9&lt;&gt;"Có"),"Nguồn chưa xác định; ","")))</f>
        <v/>
      </c>
      <c r="V4791" s="22">
        <f>IF(OR($D4791="",$R4791="Trùng"),"",IF(COUNTIF(ORDERS!$C$2:$C$4995,$D4791)&gt;0,"Có","Không"))</f>
        <v/>
      </c>
      <c r="W4791" s="22">
        <f>IF(OR($D4791="",$R4791="Trùng"),"",COUNTIFS(ORDERS!$C$2:$C$4995,$D4791,ORDERS!$L$2:$L$4995,"Đã chuyển khoản"))</f>
        <v/>
      </c>
      <c r="X4791" s="23">
        <f>IF(OR($D4791="",$R4791="Trùng"),"",SUMIFS(ORDERS!$J$2:$J$4995,ORDERS!$C$2:$C$4995,$D4791,ORDERS!$L$2:$L$4995,"Đã chuyển khoản"))</f>
        <v/>
      </c>
      <c r="Y4791" s="24" t="n"/>
    </row>
    <row r="4792" ht="14.25" customHeight="1" s="40">
      <c r="A4792" s="24" t="n"/>
      <c r="B4792" s="27" t="n"/>
      <c r="C4792" s="24" t="n"/>
      <c r="D4792" s="28" t="n"/>
      <c r="E4792" s="29" t="n"/>
      <c r="F4792" s="24" t="n"/>
      <c r="G4792" s="24" t="n"/>
      <c r="H4792" s="21">
        <f>IF(ISNUMBER($B4792),INT($B4792)-WEEKDAY($B4792,2)+1,"")</f>
        <v/>
      </c>
      <c r="I4792" s="24" t="n"/>
      <c r="J4792" s="22">
        <f t="array" ref="J4792">IF($D4792="","",IF($I4792="","(trống REF)",IFERROR(INDEX(MASTER_SOURCE!$B$2:$B$495,MATCH($I4792,MASTER_SOURCE!$A$2:$A$495,0)),"(REF không có trong MASTER_SOURCE)")))</f>
        <v/>
      </c>
      <c r="K4792" s="22">
        <f t="array" ref="K4792">IF($D4792="","",IFERROR(INDEX(MASTER_SOURCE!$C$2:$C$495,MATCH($I4792,MASTER_SOURCE!$A$2:$A$495,0)),""))</f>
        <v/>
      </c>
      <c r="L4792" s="22">
        <f t="array" ref="L4792">IF($D4792="","",IFERROR(INDEX(MASTER_SOURCE!$D$2:$D$495,MATCH($I4792,MASTER_SOURCE!$A$2:$A$495,0)),""))</f>
        <v/>
      </c>
      <c r="M4792" s="24" t="n"/>
      <c r="N4792" s="24" t="n"/>
      <c r="O4792" s="24" t="n"/>
      <c r="P4792" s="24" t="n"/>
      <c r="Q4792" s="22">
        <f>IF($D4792="","",IF(AND(OR(DANH_MUC!$L$5&lt;&gt;"Có",M4792="Có"),OR(DANH_MUC!$L$6&lt;&gt;"Có",N4792="Có"),OR(DANH_MUC!$L$7&lt;&gt;"Có",O4792="Có"),OR(DANH_MUC!$L$8&lt;&gt;"Có",P4792="Có")),"Có","Không"))</f>
        <v/>
      </c>
      <c r="R4792" s="22">
        <f>IF($D4792="","",IF(COUNTIF($D$2:$D4792,$D4792)&gt;1,"Trùng",""))</f>
        <v/>
      </c>
      <c r="S4792" s="22">
        <f>IF($D4792="","",IF(AND(LEN($D4792)=10,LEFT($D4792,1)="0",ISNUMBER(--$D4792)),"Có","Không"))</f>
        <v/>
      </c>
      <c r="T4792" s="22">
        <f>IF($D4792="","",IF(AND($C4792&lt;&gt;"",$Q4792="Có",$R4792="",$S4792="Có",AND($L4792&lt;&gt;"",OR($L4792&lt;&gt;"Chưa xác định",DANH_MUC!$L$9="Có"))),"Có","Không"))</f>
        <v/>
      </c>
      <c r="U4792" s="22">
        <f>IF(OR($D4792="",$T4792="Có"),"",IF($C4792="","Thiếu họ tên; ","")&amp;IF($S4792&lt;&gt;"Có","SĐT sai định dạng; ","")&amp;IF($R4792="Trùng","Trùng SĐT; ","")&amp;IF($Q4792&lt;&gt;"Có","Thiếu đồng ý bắt buộc; ","")&amp;IF($L4792="","Thiếu/sai Mã REF; ",IF(AND($L4792="Chưa xác định",DANH_MUC!$L$9&lt;&gt;"Có"),"Nguồn chưa xác định; ","")))</f>
        <v/>
      </c>
      <c r="V4792" s="22">
        <f>IF(OR($D4792="",$R4792="Trùng"),"",IF(COUNTIF(ORDERS!$C$2:$C$4995,$D4792)&gt;0,"Có","Không"))</f>
        <v/>
      </c>
      <c r="W4792" s="22">
        <f>IF(OR($D4792="",$R4792="Trùng"),"",COUNTIFS(ORDERS!$C$2:$C$4995,$D4792,ORDERS!$L$2:$L$4995,"Đã chuyển khoản"))</f>
        <v/>
      </c>
      <c r="X4792" s="23">
        <f>IF(OR($D4792="",$R4792="Trùng"),"",SUMIFS(ORDERS!$J$2:$J$4995,ORDERS!$C$2:$C$4995,$D4792,ORDERS!$L$2:$L$4995,"Đã chuyển khoản"))</f>
        <v/>
      </c>
      <c r="Y4792" s="24" t="n"/>
    </row>
    <row r="4793" ht="14.25" customHeight="1" s="40">
      <c r="A4793" s="24" t="n"/>
      <c r="B4793" s="27" t="n"/>
      <c r="C4793" s="24" t="n"/>
      <c r="D4793" s="28" t="n"/>
      <c r="E4793" s="29" t="n"/>
      <c r="F4793" s="24" t="n"/>
      <c r="G4793" s="24" t="n"/>
      <c r="H4793" s="21">
        <f>IF(ISNUMBER($B4793),INT($B4793)-WEEKDAY($B4793,2)+1,"")</f>
        <v/>
      </c>
      <c r="I4793" s="24" t="n"/>
      <c r="J4793" s="22">
        <f t="array" ref="J4793">IF($D4793="","",IF($I4793="","(trống REF)",IFERROR(INDEX(MASTER_SOURCE!$B$2:$B$495,MATCH($I4793,MASTER_SOURCE!$A$2:$A$495,0)),"(REF không có trong MASTER_SOURCE)")))</f>
        <v/>
      </c>
      <c r="K4793" s="22">
        <f t="array" ref="K4793">IF($D4793="","",IFERROR(INDEX(MASTER_SOURCE!$C$2:$C$495,MATCH($I4793,MASTER_SOURCE!$A$2:$A$495,0)),""))</f>
        <v/>
      </c>
      <c r="L4793" s="22">
        <f t="array" ref="L4793">IF($D4793="","",IFERROR(INDEX(MASTER_SOURCE!$D$2:$D$495,MATCH($I4793,MASTER_SOURCE!$A$2:$A$495,0)),""))</f>
        <v/>
      </c>
      <c r="M4793" s="24" t="n"/>
      <c r="N4793" s="24" t="n"/>
      <c r="O4793" s="24" t="n"/>
      <c r="P4793" s="24" t="n"/>
      <c r="Q4793" s="22">
        <f>IF($D4793="","",IF(AND(OR(DANH_MUC!$L$5&lt;&gt;"Có",M4793="Có"),OR(DANH_MUC!$L$6&lt;&gt;"Có",N4793="Có"),OR(DANH_MUC!$L$7&lt;&gt;"Có",O4793="Có"),OR(DANH_MUC!$L$8&lt;&gt;"Có",P4793="Có")),"Có","Không"))</f>
        <v/>
      </c>
      <c r="R4793" s="22">
        <f>IF($D4793="","",IF(COUNTIF($D$2:$D4793,$D4793)&gt;1,"Trùng",""))</f>
        <v/>
      </c>
      <c r="S4793" s="22">
        <f>IF($D4793="","",IF(AND(LEN($D4793)=10,LEFT($D4793,1)="0",ISNUMBER(--$D4793)),"Có","Không"))</f>
        <v/>
      </c>
      <c r="T4793" s="22">
        <f>IF($D4793="","",IF(AND($C4793&lt;&gt;"",$Q4793="Có",$R4793="",$S4793="Có",AND($L4793&lt;&gt;"",OR($L4793&lt;&gt;"Chưa xác định",DANH_MUC!$L$9="Có"))),"Có","Không"))</f>
        <v/>
      </c>
      <c r="U4793" s="22">
        <f>IF(OR($D4793="",$T4793="Có"),"",IF($C4793="","Thiếu họ tên; ","")&amp;IF($S4793&lt;&gt;"Có","SĐT sai định dạng; ","")&amp;IF($R4793="Trùng","Trùng SĐT; ","")&amp;IF($Q4793&lt;&gt;"Có","Thiếu đồng ý bắt buộc; ","")&amp;IF($L4793="","Thiếu/sai Mã REF; ",IF(AND($L4793="Chưa xác định",DANH_MUC!$L$9&lt;&gt;"Có"),"Nguồn chưa xác định; ","")))</f>
        <v/>
      </c>
      <c r="V4793" s="22">
        <f>IF(OR($D4793="",$R4793="Trùng"),"",IF(COUNTIF(ORDERS!$C$2:$C$4995,$D4793)&gt;0,"Có","Không"))</f>
        <v/>
      </c>
      <c r="W4793" s="22">
        <f>IF(OR($D4793="",$R4793="Trùng"),"",COUNTIFS(ORDERS!$C$2:$C$4995,$D4793,ORDERS!$L$2:$L$4995,"Đã chuyển khoản"))</f>
        <v/>
      </c>
      <c r="X4793" s="23">
        <f>IF(OR($D4793="",$R4793="Trùng"),"",SUMIFS(ORDERS!$J$2:$J$4995,ORDERS!$C$2:$C$4995,$D4793,ORDERS!$L$2:$L$4995,"Đã chuyển khoản"))</f>
        <v/>
      </c>
      <c r="Y4793" s="24" t="n"/>
    </row>
    <row r="4794" ht="14.25" customHeight="1" s="40">
      <c r="A4794" s="24" t="n"/>
      <c r="B4794" s="27" t="n"/>
      <c r="C4794" s="24" t="n"/>
      <c r="D4794" s="28" t="n"/>
      <c r="E4794" s="29" t="n"/>
      <c r="F4794" s="24" t="n"/>
      <c r="G4794" s="24" t="n"/>
      <c r="H4794" s="21">
        <f>IF(ISNUMBER($B4794),INT($B4794)-WEEKDAY($B4794,2)+1,"")</f>
        <v/>
      </c>
      <c r="I4794" s="24" t="n"/>
      <c r="J4794" s="22">
        <f t="array" ref="J4794">IF($D4794="","",IF($I4794="","(trống REF)",IFERROR(INDEX(MASTER_SOURCE!$B$2:$B$495,MATCH($I4794,MASTER_SOURCE!$A$2:$A$495,0)),"(REF không có trong MASTER_SOURCE)")))</f>
        <v/>
      </c>
      <c r="K4794" s="22">
        <f t="array" ref="K4794">IF($D4794="","",IFERROR(INDEX(MASTER_SOURCE!$C$2:$C$495,MATCH($I4794,MASTER_SOURCE!$A$2:$A$495,0)),""))</f>
        <v/>
      </c>
      <c r="L4794" s="22">
        <f t="array" ref="L4794">IF($D4794="","",IFERROR(INDEX(MASTER_SOURCE!$D$2:$D$495,MATCH($I4794,MASTER_SOURCE!$A$2:$A$495,0)),""))</f>
        <v/>
      </c>
      <c r="M4794" s="24" t="n"/>
      <c r="N4794" s="24" t="n"/>
      <c r="O4794" s="24" t="n"/>
      <c r="P4794" s="24" t="n"/>
      <c r="Q4794" s="22">
        <f>IF($D4794="","",IF(AND(OR(DANH_MUC!$L$5&lt;&gt;"Có",M4794="Có"),OR(DANH_MUC!$L$6&lt;&gt;"Có",N4794="Có"),OR(DANH_MUC!$L$7&lt;&gt;"Có",O4794="Có"),OR(DANH_MUC!$L$8&lt;&gt;"Có",P4794="Có")),"Có","Không"))</f>
        <v/>
      </c>
      <c r="R4794" s="22">
        <f>IF($D4794="","",IF(COUNTIF($D$2:$D4794,$D4794)&gt;1,"Trùng",""))</f>
        <v/>
      </c>
      <c r="S4794" s="22">
        <f>IF($D4794="","",IF(AND(LEN($D4794)=10,LEFT($D4794,1)="0",ISNUMBER(--$D4794)),"Có","Không"))</f>
        <v/>
      </c>
      <c r="T4794" s="22">
        <f>IF($D4794="","",IF(AND($C4794&lt;&gt;"",$Q4794="Có",$R4794="",$S4794="Có",AND($L4794&lt;&gt;"",OR($L4794&lt;&gt;"Chưa xác định",DANH_MUC!$L$9="Có"))),"Có","Không"))</f>
        <v/>
      </c>
      <c r="U4794" s="22">
        <f>IF(OR($D4794="",$T4794="Có"),"",IF($C4794="","Thiếu họ tên; ","")&amp;IF($S4794&lt;&gt;"Có","SĐT sai định dạng; ","")&amp;IF($R4794="Trùng","Trùng SĐT; ","")&amp;IF($Q4794&lt;&gt;"Có","Thiếu đồng ý bắt buộc; ","")&amp;IF($L4794="","Thiếu/sai Mã REF; ",IF(AND($L4794="Chưa xác định",DANH_MUC!$L$9&lt;&gt;"Có"),"Nguồn chưa xác định; ","")))</f>
        <v/>
      </c>
      <c r="V4794" s="22">
        <f>IF(OR($D4794="",$R4794="Trùng"),"",IF(COUNTIF(ORDERS!$C$2:$C$4995,$D4794)&gt;0,"Có","Không"))</f>
        <v/>
      </c>
      <c r="W4794" s="22">
        <f>IF(OR($D4794="",$R4794="Trùng"),"",COUNTIFS(ORDERS!$C$2:$C$4995,$D4794,ORDERS!$L$2:$L$4995,"Đã chuyển khoản"))</f>
        <v/>
      </c>
      <c r="X4794" s="23">
        <f>IF(OR($D4794="",$R4794="Trùng"),"",SUMIFS(ORDERS!$J$2:$J$4995,ORDERS!$C$2:$C$4995,$D4794,ORDERS!$L$2:$L$4995,"Đã chuyển khoản"))</f>
        <v/>
      </c>
      <c r="Y4794" s="24" t="n"/>
    </row>
    <row r="4795" ht="14.25" customHeight="1" s="40">
      <c r="A4795" s="24" t="n"/>
      <c r="B4795" s="27" t="n"/>
      <c r="C4795" s="24" t="n"/>
      <c r="D4795" s="28" t="n"/>
      <c r="E4795" s="29" t="n"/>
      <c r="F4795" s="24" t="n"/>
      <c r="G4795" s="24" t="n"/>
      <c r="H4795" s="21">
        <f>IF(ISNUMBER($B4795),INT($B4795)-WEEKDAY($B4795,2)+1,"")</f>
        <v/>
      </c>
      <c r="I4795" s="24" t="n"/>
      <c r="J4795" s="22">
        <f t="array" ref="J4795">IF($D4795="","",IF($I4795="","(trống REF)",IFERROR(INDEX(MASTER_SOURCE!$B$2:$B$495,MATCH($I4795,MASTER_SOURCE!$A$2:$A$495,0)),"(REF không có trong MASTER_SOURCE)")))</f>
        <v/>
      </c>
      <c r="K4795" s="22">
        <f t="array" ref="K4795">IF($D4795="","",IFERROR(INDEX(MASTER_SOURCE!$C$2:$C$495,MATCH($I4795,MASTER_SOURCE!$A$2:$A$495,0)),""))</f>
        <v/>
      </c>
      <c r="L4795" s="22">
        <f t="array" ref="L4795">IF($D4795="","",IFERROR(INDEX(MASTER_SOURCE!$D$2:$D$495,MATCH($I4795,MASTER_SOURCE!$A$2:$A$495,0)),""))</f>
        <v/>
      </c>
      <c r="M4795" s="24" t="n"/>
      <c r="N4795" s="24" t="n"/>
      <c r="O4795" s="24" t="n"/>
      <c r="P4795" s="24" t="n"/>
      <c r="Q4795" s="22">
        <f>IF($D4795="","",IF(AND(OR(DANH_MUC!$L$5&lt;&gt;"Có",M4795="Có"),OR(DANH_MUC!$L$6&lt;&gt;"Có",N4795="Có"),OR(DANH_MUC!$L$7&lt;&gt;"Có",O4795="Có"),OR(DANH_MUC!$L$8&lt;&gt;"Có",P4795="Có")),"Có","Không"))</f>
        <v/>
      </c>
      <c r="R4795" s="22">
        <f>IF($D4795="","",IF(COUNTIF($D$2:$D4795,$D4795)&gt;1,"Trùng",""))</f>
        <v/>
      </c>
      <c r="S4795" s="22">
        <f>IF($D4795="","",IF(AND(LEN($D4795)=10,LEFT($D4795,1)="0",ISNUMBER(--$D4795)),"Có","Không"))</f>
        <v/>
      </c>
      <c r="T4795" s="22">
        <f>IF($D4795="","",IF(AND($C4795&lt;&gt;"",$Q4795="Có",$R4795="",$S4795="Có",AND($L4795&lt;&gt;"",OR($L4795&lt;&gt;"Chưa xác định",DANH_MUC!$L$9="Có"))),"Có","Không"))</f>
        <v/>
      </c>
      <c r="U4795" s="22">
        <f>IF(OR($D4795="",$T4795="Có"),"",IF($C4795="","Thiếu họ tên; ","")&amp;IF($S4795&lt;&gt;"Có","SĐT sai định dạng; ","")&amp;IF($R4795="Trùng","Trùng SĐT; ","")&amp;IF($Q4795&lt;&gt;"Có","Thiếu đồng ý bắt buộc; ","")&amp;IF($L4795="","Thiếu/sai Mã REF; ",IF(AND($L4795="Chưa xác định",DANH_MUC!$L$9&lt;&gt;"Có"),"Nguồn chưa xác định; ","")))</f>
        <v/>
      </c>
      <c r="V4795" s="22">
        <f>IF(OR($D4795="",$R4795="Trùng"),"",IF(COUNTIF(ORDERS!$C$2:$C$4995,$D4795)&gt;0,"Có","Không"))</f>
        <v/>
      </c>
      <c r="W4795" s="22">
        <f>IF(OR($D4795="",$R4795="Trùng"),"",COUNTIFS(ORDERS!$C$2:$C$4995,$D4795,ORDERS!$L$2:$L$4995,"Đã chuyển khoản"))</f>
        <v/>
      </c>
      <c r="X4795" s="23">
        <f>IF(OR($D4795="",$R4795="Trùng"),"",SUMIFS(ORDERS!$J$2:$J$4995,ORDERS!$C$2:$C$4995,$D4795,ORDERS!$L$2:$L$4995,"Đã chuyển khoản"))</f>
        <v/>
      </c>
      <c r="Y4795" s="24" t="n"/>
    </row>
    <row r="4796" ht="14.25" customHeight="1" s="40">
      <c r="A4796" s="24" t="n"/>
      <c r="B4796" s="27" t="n"/>
      <c r="C4796" s="24" t="n"/>
      <c r="D4796" s="28" t="n"/>
      <c r="E4796" s="29" t="n"/>
      <c r="F4796" s="24" t="n"/>
      <c r="G4796" s="24" t="n"/>
      <c r="H4796" s="21">
        <f>IF(ISNUMBER($B4796),INT($B4796)-WEEKDAY($B4796,2)+1,"")</f>
        <v/>
      </c>
      <c r="I4796" s="24" t="n"/>
      <c r="J4796" s="22">
        <f t="array" ref="J4796">IF($D4796="","",IF($I4796="","(trống REF)",IFERROR(INDEX(MASTER_SOURCE!$B$2:$B$495,MATCH($I4796,MASTER_SOURCE!$A$2:$A$495,0)),"(REF không có trong MASTER_SOURCE)")))</f>
        <v/>
      </c>
      <c r="K4796" s="22">
        <f t="array" ref="K4796">IF($D4796="","",IFERROR(INDEX(MASTER_SOURCE!$C$2:$C$495,MATCH($I4796,MASTER_SOURCE!$A$2:$A$495,0)),""))</f>
        <v/>
      </c>
      <c r="L4796" s="22">
        <f t="array" ref="L4796">IF($D4796="","",IFERROR(INDEX(MASTER_SOURCE!$D$2:$D$495,MATCH($I4796,MASTER_SOURCE!$A$2:$A$495,0)),""))</f>
        <v/>
      </c>
      <c r="M4796" s="24" t="n"/>
      <c r="N4796" s="24" t="n"/>
      <c r="O4796" s="24" t="n"/>
      <c r="P4796" s="24" t="n"/>
      <c r="Q4796" s="22">
        <f>IF($D4796="","",IF(AND(OR(DANH_MUC!$L$5&lt;&gt;"Có",M4796="Có"),OR(DANH_MUC!$L$6&lt;&gt;"Có",N4796="Có"),OR(DANH_MUC!$L$7&lt;&gt;"Có",O4796="Có"),OR(DANH_MUC!$L$8&lt;&gt;"Có",P4796="Có")),"Có","Không"))</f>
        <v/>
      </c>
      <c r="R4796" s="22">
        <f>IF($D4796="","",IF(COUNTIF($D$2:$D4796,$D4796)&gt;1,"Trùng",""))</f>
        <v/>
      </c>
      <c r="S4796" s="22">
        <f>IF($D4796="","",IF(AND(LEN($D4796)=10,LEFT($D4796,1)="0",ISNUMBER(--$D4796)),"Có","Không"))</f>
        <v/>
      </c>
      <c r="T4796" s="22">
        <f>IF($D4796="","",IF(AND($C4796&lt;&gt;"",$Q4796="Có",$R4796="",$S4796="Có",AND($L4796&lt;&gt;"",OR($L4796&lt;&gt;"Chưa xác định",DANH_MUC!$L$9="Có"))),"Có","Không"))</f>
        <v/>
      </c>
      <c r="U4796" s="22">
        <f>IF(OR($D4796="",$T4796="Có"),"",IF($C4796="","Thiếu họ tên; ","")&amp;IF($S4796&lt;&gt;"Có","SĐT sai định dạng; ","")&amp;IF($R4796="Trùng","Trùng SĐT; ","")&amp;IF($Q4796&lt;&gt;"Có","Thiếu đồng ý bắt buộc; ","")&amp;IF($L4796="","Thiếu/sai Mã REF; ",IF(AND($L4796="Chưa xác định",DANH_MUC!$L$9&lt;&gt;"Có"),"Nguồn chưa xác định; ","")))</f>
        <v/>
      </c>
      <c r="V4796" s="22">
        <f>IF(OR($D4796="",$R4796="Trùng"),"",IF(COUNTIF(ORDERS!$C$2:$C$4995,$D4796)&gt;0,"Có","Không"))</f>
        <v/>
      </c>
      <c r="W4796" s="22">
        <f>IF(OR($D4796="",$R4796="Trùng"),"",COUNTIFS(ORDERS!$C$2:$C$4995,$D4796,ORDERS!$L$2:$L$4995,"Đã chuyển khoản"))</f>
        <v/>
      </c>
      <c r="X4796" s="23">
        <f>IF(OR($D4796="",$R4796="Trùng"),"",SUMIFS(ORDERS!$J$2:$J$4995,ORDERS!$C$2:$C$4995,$D4796,ORDERS!$L$2:$L$4995,"Đã chuyển khoản"))</f>
        <v/>
      </c>
      <c r="Y4796" s="24" t="n"/>
    </row>
    <row r="4797" ht="14.25" customHeight="1" s="40">
      <c r="A4797" s="24" t="n"/>
      <c r="B4797" s="27" t="n"/>
      <c r="C4797" s="24" t="n"/>
      <c r="D4797" s="28" t="n"/>
      <c r="E4797" s="29" t="n"/>
      <c r="F4797" s="24" t="n"/>
      <c r="G4797" s="24" t="n"/>
      <c r="H4797" s="21">
        <f>IF(ISNUMBER($B4797),INT($B4797)-WEEKDAY($B4797,2)+1,"")</f>
        <v/>
      </c>
      <c r="I4797" s="24" t="n"/>
      <c r="J4797" s="22">
        <f t="array" ref="J4797">IF($D4797="","",IF($I4797="","(trống REF)",IFERROR(INDEX(MASTER_SOURCE!$B$2:$B$495,MATCH($I4797,MASTER_SOURCE!$A$2:$A$495,0)),"(REF không có trong MASTER_SOURCE)")))</f>
        <v/>
      </c>
      <c r="K4797" s="22">
        <f t="array" ref="K4797">IF($D4797="","",IFERROR(INDEX(MASTER_SOURCE!$C$2:$C$495,MATCH($I4797,MASTER_SOURCE!$A$2:$A$495,0)),""))</f>
        <v/>
      </c>
      <c r="L4797" s="22">
        <f t="array" ref="L4797">IF($D4797="","",IFERROR(INDEX(MASTER_SOURCE!$D$2:$D$495,MATCH($I4797,MASTER_SOURCE!$A$2:$A$495,0)),""))</f>
        <v/>
      </c>
      <c r="M4797" s="24" t="n"/>
      <c r="N4797" s="24" t="n"/>
      <c r="O4797" s="24" t="n"/>
      <c r="P4797" s="24" t="n"/>
      <c r="Q4797" s="22">
        <f>IF($D4797="","",IF(AND(OR(DANH_MUC!$L$5&lt;&gt;"Có",M4797="Có"),OR(DANH_MUC!$L$6&lt;&gt;"Có",N4797="Có"),OR(DANH_MUC!$L$7&lt;&gt;"Có",O4797="Có"),OR(DANH_MUC!$L$8&lt;&gt;"Có",P4797="Có")),"Có","Không"))</f>
        <v/>
      </c>
      <c r="R4797" s="22">
        <f>IF($D4797="","",IF(COUNTIF($D$2:$D4797,$D4797)&gt;1,"Trùng",""))</f>
        <v/>
      </c>
      <c r="S4797" s="22">
        <f>IF($D4797="","",IF(AND(LEN($D4797)=10,LEFT($D4797,1)="0",ISNUMBER(--$D4797)),"Có","Không"))</f>
        <v/>
      </c>
      <c r="T4797" s="22">
        <f>IF($D4797="","",IF(AND($C4797&lt;&gt;"",$Q4797="Có",$R4797="",$S4797="Có",AND($L4797&lt;&gt;"",OR($L4797&lt;&gt;"Chưa xác định",DANH_MUC!$L$9="Có"))),"Có","Không"))</f>
        <v/>
      </c>
      <c r="U4797" s="22">
        <f>IF(OR($D4797="",$T4797="Có"),"",IF($C4797="","Thiếu họ tên; ","")&amp;IF($S4797&lt;&gt;"Có","SĐT sai định dạng; ","")&amp;IF($R4797="Trùng","Trùng SĐT; ","")&amp;IF($Q4797&lt;&gt;"Có","Thiếu đồng ý bắt buộc; ","")&amp;IF($L4797="","Thiếu/sai Mã REF; ",IF(AND($L4797="Chưa xác định",DANH_MUC!$L$9&lt;&gt;"Có"),"Nguồn chưa xác định; ","")))</f>
        <v/>
      </c>
      <c r="V4797" s="22">
        <f>IF(OR($D4797="",$R4797="Trùng"),"",IF(COUNTIF(ORDERS!$C$2:$C$4995,$D4797)&gt;0,"Có","Không"))</f>
        <v/>
      </c>
      <c r="W4797" s="22">
        <f>IF(OR($D4797="",$R4797="Trùng"),"",COUNTIFS(ORDERS!$C$2:$C$4995,$D4797,ORDERS!$L$2:$L$4995,"Đã chuyển khoản"))</f>
        <v/>
      </c>
      <c r="X4797" s="23">
        <f>IF(OR($D4797="",$R4797="Trùng"),"",SUMIFS(ORDERS!$J$2:$J$4995,ORDERS!$C$2:$C$4995,$D4797,ORDERS!$L$2:$L$4995,"Đã chuyển khoản"))</f>
        <v/>
      </c>
      <c r="Y4797" s="24" t="n"/>
    </row>
    <row r="4798" ht="14.25" customHeight="1" s="40">
      <c r="A4798" s="24" t="n"/>
      <c r="B4798" s="27" t="n"/>
      <c r="C4798" s="24" t="n"/>
      <c r="D4798" s="28" t="n"/>
      <c r="E4798" s="29" t="n"/>
      <c r="F4798" s="24" t="n"/>
      <c r="G4798" s="24" t="n"/>
      <c r="H4798" s="21">
        <f>IF(ISNUMBER($B4798),INT($B4798)-WEEKDAY($B4798,2)+1,"")</f>
        <v/>
      </c>
      <c r="I4798" s="24" t="n"/>
      <c r="J4798" s="22">
        <f t="array" ref="J4798">IF($D4798="","",IF($I4798="","(trống REF)",IFERROR(INDEX(MASTER_SOURCE!$B$2:$B$495,MATCH($I4798,MASTER_SOURCE!$A$2:$A$495,0)),"(REF không có trong MASTER_SOURCE)")))</f>
        <v/>
      </c>
      <c r="K4798" s="22">
        <f t="array" ref="K4798">IF($D4798="","",IFERROR(INDEX(MASTER_SOURCE!$C$2:$C$495,MATCH($I4798,MASTER_SOURCE!$A$2:$A$495,0)),""))</f>
        <v/>
      </c>
      <c r="L4798" s="22">
        <f t="array" ref="L4798">IF($D4798="","",IFERROR(INDEX(MASTER_SOURCE!$D$2:$D$495,MATCH($I4798,MASTER_SOURCE!$A$2:$A$495,0)),""))</f>
        <v/>
      </c>
      <c r="M4798" s="24" t="n"/>
      <c r="N4798" s="24" t="n"/>
      <c r="O4798" s="24" t="n"/>
      <c r="P4798" s="24" t="n"/>
      <c r="Q4798" s="22">
        <f>IF($D4798="","",IF(AND(OR(DANH_MUC!$L$5&lt;&gt;"Có",M4798="Có"),OR(DANH_MUC!$L$6&lt;&gt;"Có",N4798="Có"),OR(DANH_MUC!$L$7&lt;&gt;"Có",O4798="Có"),OR(DANH_MUC!$L$8&lt;&gt;"Có",P4798="Có")),"Có","Không"))</f>
        <v/>
      </c>
      <c r="R4798" s="22">
        <f>IF($D4798="","",IF(COUNTIF($D$2:$D4798,$D4798)&gt;1,"Trùng",""))</f>
        <v/>
      </c>
      <c r="S4798" s="22">
        <f>IF($D4798="","",IF(AND(LEN($D4798)=10,LEFT($D4798,1)="0",ISNUMBER(--$D4798)),"Có","Không"))</f>
        <v/>
      </c>
      <c r="T4798" s="22">
        <f>IF($D4798="","",IF(AND($C4798&lt;&gt;"",$Q4798="Có",$R4798="",$S4798="Có",AND($L4798&lt;&gt;"",OR($L4798&lt;&gt;"Chưa xác định",DANH_MUC!$L$9="Có"))),"Có","Không"))</f>
        <v/>
      </c>
      <c r="U4798" s="22">
        <f>IF(OR($D4798="",$T4798="Có"),"",IF($C4798="","Thiếu họ tên; ","")&amp;IF($S4798&lt;&gt;"Có","SĐT sai định dạng; ","")&amp;IF($R4798="Trùng","Trùng SĐT; ","")&amp;IF($Q4798&lt;&gt;"Có","Thiếu đồng ý bắt buộc; ","")&amp;IF($L4798="","Thiếu/sai Mã REF; ",IF(AND($L4798="Chưa xác định",DANH_MUC!$L$9&lt;&gt;"Có"),"Nguồn chưa xác định; ","")))</f>
        <v/>
      </c>
      <c r="V4798" s="22">
        <f>IF(OR($D4798="",$R4798="Trùng"),"",IF(COUNTIF(ORDERS!$C$2:$C$4995,$D4798)&gt;0,"Có","Không"))</f>
        <v/>
      </c>
      <c r="W4798" s="22">
        <f>IF(OR($D4798="",$R4798="Trùng"),"",COUNTIFS(ORDERS!$C$2:$C$4995,$D4798,ORDERS!$L$2:$L$4995,"Đã chuyển khoản"))</f>
        <v/>
      </c>
      <c r="X4798" s="23">
        <f>IF(OR($D4798="",$R4798="Trùng"),"",SUMIFS(ORDERS!$J$2:$J$4995,ORDERS!$C$2:$C$4995,$D4798,ORDERS!$L$2:$L$4995,"Đã chuyển khoản"))</f>
        <v/>
      </c>
      <c r="Y4798" s="24" t="n"/>
    </row>
    <row r="4799" ht="14.25" customHeight="1" s="40">
      <c r="A4799" s="24" t="n"/>
      <c r="B4799" s="27" t="n"/>
      <c r="C4799" s="24" t="n"/>
      <c r="D4799" s="28" t="n"/>
      <c r="E4799" s="29" t="n"/>
      <c r="F4799" s="24" t="n"/>
      <c r="G4799" s="24" t="n"/>
      <c r="H4799" s="21">
        <f>IF(ISNUMBER($B4799),INT($B4799)-WEEKDAY($B4799,2)+1,"")</f>
        <v/>
      </c>
      <c r="I4799" s="24" t="n"/>
      <c r="J4799" s="22">
        <f t="array" ref="J4799">IF($D4799="","",IF($I4799="","(trống REF)",IFERROR(INDEX(MASTER_SOURCE!$B$2:$B$495,MATCH($I4799,MASTER_SOURCE!$A$2:$A$495,0)),"(REF không có trong MASTER_SOURCE)")))</f>
        <v/>
      </c>
      <c r="K4799" s="22">
        <f t="array" ref="K4799">IF($D4799="","",IFERROR(INDEX(MASTER_SOURCE!$C$2:$C$495,MATCH($I4799,MASTER_SOURCE!$A$2:$A$495,0)),""))</f>
        <v/>
      </c>
      <c r="L4799" s="22">
        <f t="array" ref="L4799">IF($D4799="","",IFERROR(INDEX(MASTER_SOURCE!$D$2:$D$495,MATCH($I4799,MASTER_SOURCE!$A$2:$A$495,0)),""))</f>
        <v/>
      </c>
      <c r="M4799" s="24" t="n"/>
      <c r="N4799" s="24" t="n"/>
      <c r="O4799" s="24" t="n"/>
      <c r="P4799" s="24" t="n"/>
      <c r="Q4799" s="22">
        <f>IF($D4799="","",IF(AND(OR(DANH_MUC!$L$5&lt;&gt;"Có",M4799="Có"),OR(DANH_MUC!$L$6&lt;&gt;"Có",N4799="Có"),OR(DANH_MUC!$L$7&lt;&gt;"Có",O4799="Có"),OR(DANH_MUC!$L$8&lt;&gt;"Có",P4799="Có")),"Có","Không"))</f>
        <v/>
      </c>
      <c r="R4799" s="22">
        <f>IF($D4799="","",IF(COUNTIF($D$2:$D4799,$D4799)&gt;1,"Trùng",""))</f>
        <v/>
      </c>
      <c r="S4799" s="22">
        <f>IF($D4799="","",IF(AND(LEN($D4799)=10,LEFT($D4799,1)="0",ISNUMBER(--$D4799)),"Có","Không"))</f>
        <v/>
      </c>
      <c r="T4799" s="22">
        <f>IF($D4799="","",IF(AND($C4799&lt;&gt;"",$Q4799="Có",$R4799="",$S4799="Có",AND($L4799&lt;&gt;"",OR($L4799&lt;&gt;"Chưa xác định",DANH_MUC!$L$9="Có"))),"Có","Không"))</f>
        <v/>
      </c>
      <c r="U4799" s="22">
        <f>IF(OR($D4799="",$T4799="Có"),"",IF($C4799="","Thiếu họ tên; ","")&amp;IF($S4799&lt;&gt;"Có","SĐT sai định dạng; ","")&amp;IF($R4799="Trùng","Trùng SĐT; ","")&amp;IF($Q4799&lt;&gt;"Có","Thiếu đồng ý bắt buộc; ","")&amp;IF($L4799="","Thiếu/sai Mã REF; ",IF(AND($L4799="Chưa xác định",DANH_MUC!$L$9&lt;&gt;"Có"),"Nguồn chưa xác định; ","")))</f>
        <v/>
      </c>
      <c r="V4799" s="22">
        <f>IF(OR($D4799="",$R4799="Trùng"),"",IF(COUNTIF(ORDERS!$C$2:$C$4995,$D4799)&gt;0,"Có","Không"))</f>
        <v/>
      </c>
      <c r="W4799" s="22">
        <f>IF(OR($D4799="",$R4799="Trùng"),"",COUNTIFS(ORDERS!$C$2:$C$4995,$D4799,ORDERS!$L$2:$L$4995,"Đã chuyển khoản"))</f>
        <v/>
      </c>
      <c r="X4799" s="23">
        <f>IF(OR($D4799="",$R4799="Trùng"),"",SUMIFS(ORDERS!$J$2:$J$4995,ORDERS!$C$2:$C$4995,$D4799,ORDERS!$L$2:$L$4995,"Đã chuyển khoản"))</f>
        <v/>
      </c>
      <c r="Y4799" s="24" t="n"/>
    </row>
    <row r="4800" ht="14.25" customHeight="1" s="40">
      <c r="A4800" s="24" t="n"/>
      <c r="B4800" s="27" t="n"/>
      <c r="C4800" s="24" t="n"/>
      <c r="D4800" s="28" t="n"/>
      <c r="E4800" s="29" t="n"/>
      <c r="F4800" s="24" t="n"/>
      <c r="G4800" s="24" t="n"/>
      <c r="H4800" s="21">
        <f>IF(ISNUMBER($B4800),INT($B4800)-WEEKDAY($B4800,2)+1,"")</f>
        <v/>
      </c>
      <c r="I4800" s="24" t="n"/>
      <c r="J4800" s="22">
        <f t="array" ref="J4800">IF($D4800="","",IF($I4800="","(trống REF)",IFERROR(INDEX(MASTER_SOURCE!$B$2:$B$495,MATCH($I4800,MASTER_SOURCE!$A$2:$A$495,0)),"(REF không có trong MASTER_SOURCE)")))</f>
        <v/>
      </c>
      <c r="K4800" s="22">
        <f t="array" ref="K4800">IF($D4800="","",IFERROR(INDEX(MASTER_SOURCE!$C$2:$C$495,MATCH($I4800,MASTER_SOURCE!$A$2:$A$495,0)),""))</f>
        <v/>
      </c>
      <c r="L4800" s="22">
        <f t="array" ref="L4800">IF($D4800="","",IFERROR(INDEX(MASTER_SOURCE!$D$2:$D$495,MATCH($I4800,MASTER_SOURCE!$A$2:$A$495,0)),""))</f>
        <v/>
      </c>
      <c r="M4800" s="24" t="n"/>
      <c r="N4800" s="24" t="n"/>
      <c r="O4800" s="24" t="n"/>
      <c r="P4800" s="24" t="n"/>
      <c r="Q4800" s="22">
        <f>IF($D4800="","",IF(AND(OR(DANH_MUC!$L$5&lt;&gt;"Có",M4800="Có"),OR(DANH_MUC!$L$6&lt;&gt;"Có",N4800="Có"),OR(DANH_MUC!$L$7&lt;&gt;"Có",O4800="Có"),OR(DANH_MUC!$L$8&lt;&gt;"Có",P4800="Có")),"Có","Không"))</f>
        <v/>
      </c>
      <c r="R4800" s="22">
        <f>IF($D4800="","",IF(COUNTIF($D$2:$D4800,$D4800)&gt;1,"Trùng",""))</f>
        <v/>
      </c>
      <c r="S4800" s="22">
        <f>IF($D4800="","",IF(AND(LEN($D4800)=10,LEFT($D4800,1)="0",ISNUMBER(--$D4800)),"Có","Không"))</f>
        <v/>
      </c>
      <c r="T4800" s="22">
        <f>IF($D4800="","",IF(AND($C4800&lt;&gt;"",$Q4800="Có",$R4800="",$S4800="Có",AND($L4800&lt;&gt;"",OR($L4800&lt;&gt;"Chưa xác định",DANH_MUC!$L$9="Có"))),"Có","Không"))</f>
        <v/>
      </c>
      <c r="U4800" s="22">
        <f>IF(OR($D4800="",$T4800="Có"),"",IF($C4800="","Thiếu họ tên; ","")&amp;IF($S4800&lt;&gt;"Có","SĐT sai định dạng; ","")&amp;IF($R4800="Trùng","Trùng SĐT; ","")&amp;IF($Q4800&lt;&gt;"Có","Thiếu đồng ý bắt buộc; ","")&amp;IF($L4800="","Thiếu/sai Mã REF; ",IF(AND($L4800="Chưa xác định",DANH_MUC!$L$9&lt;&gt;"Có"),"Nguồn chưa xác định; ","")))</f>
        <v/>
      </c>
      <c r="V4800" s="22">
        <f>IF(OR($D4800="",$R4800="Trùng"),"",IF(COUNTIF(ORDERS!$C$2:$C$4995,$D4800)&gt;0,"Có","Không"))</f>
        <v/>
      </c>
      <c r="W4800" s="22">
        <f>IF(OR($D4800="",$R4800="Trùng"),"",COUNTIFS(ORDERS!$C$2:$C$4995,$D4800,ORDERS!$L$2:$L$4995,"Đã chuyển khoản"))</f>
        <v/>
      </c>
      <c r="X4800" s="23">
        <f>IF(OR($D4800="",$R4800="Trùng"),"",SUMIFS(ORDERS!$J$2:$J$4995,ORDERS!$C$2:$C$4995,$D4800,ORDERS!$L$2:$L$4995,"Đã chuyển khoản"))</f>
        <v/>
      </c>
      <c r="Y4800" s="24" t="n"/>
    </row>
    <row r="4801" ht="14.25" customHeight="1" s="40">
      <c r="A4801" s="24" t="n"/>
      <c r="B4801" s="27" t="n"/>
      <c r="C4801" s="24" t="n"/>
      <c r="D4801" s="28" t="n"/>
      <c r="E4801" s="29" t="n"/>
      <c r="F4801" s="24" t="n"/>
      <c r="G4801" s="24" t="n"/>
      <c r="H4801" s="21">
        <f>IF(ISNUMBER($B4801),INT($B4801)-WEEKDAY($B4801,2)+1,"")</f>
        <v/>
      </c>
      <c r="I4801" s="24" t="n"/>
      <c r="J4801" s="22">
        <f t="array" ref="J4801">IF($D4801="","",IF($I4801="","(trống REF)",IFERROR(INDEX(MASTER_SOURCE!$B$2:$B$495,MATCH($I4801,MASTER_SOURCE!$A$2:$A$495,0)),"(REF không có trong MASTER_SOURCE)")))</f>
        <v/>
      </c>
      <c r="K4801" s="22">
        <f t="array" ref="K4801">IF($D4801="","",IFERROR(INDEX(MASTER_SOURCE!$C$2:$C$495,MATCH($I4801,MASTER_SOURCE!$A$2:$A$495,0)),""))</f>
        <v/>
      </c>
      <c r="L4801" s="22">
        <f t="array" ref="L4801">IF($D4801="","",IFERROR(INDEX(MASTER_SOURCE!$D$2:$D$495,MATCH($I4801,MASTER_SOURCE!$A$2:$A$495,0)),""))</f>
        <v/>
      </c>
      <c r="M4801" s="24" t="n"/>
      <c r="N4801" s="24" t="n"/>
      <c r="O4801" s="24" t="n"/>
      <c r="P4801" s="24" t="n"/>
      <c r="Q4801" s="22">
        <f>IF($D4801="","",IF(AND(OR(DANH_MUC!$L$5&lt;&gt;"Có",M4801="Có"),OR(DANH_MUC!$L$6&lt;&gt;"Có",N4801="Có"),OR(DANH_MUC!$L$7&lt;&gt;"Có",O4801="Có"),OR(DANH_MUC!$L$8&lt;&gt;"Có",P4801="Có")),"Có","Không"))</f>
        <v/>
      </c>
      <c r="R4801" s="22">
        <f>IF($D4801="","",IF(COUNTIF($D$2:$D4801,$D4801)&gt;1,"Trùng",""))</f>
        <v/>
      </c>
      <c r="S4801" s="22">
        <f>IF($D4801="","",IF(AND(LEN($D4801)=10,LEFT($D4801,1)="0",ISNUMBER(--$D4801)),"Có","Không"))</f>
        <v/>
      </c>
      <c r="T4801" s="22">
        <f>IF($D4801="","",IF(AND($C4801&lt;&gt;"",$Q4801="Có",$R4801="",$S4801="Có",AND($L4801&lt;&gt;"",OR($L4801&lt;&gt;"Chưa xác định",DANH_MUC!$L$9="Có"))),"Có","Không"))</f>
        <v/>
      </c>
      <c r="U4801" s="22">
        <f>IF(OR($D4801="",$T4801="Có"),"",IF($C4801="","Thiếu họ tên; ","")&amp;IF($S4801&lt;&gt;"Có","SĐT sai định dạng; ","")&amp;IF($R4801="Trùng","Trùng SĐT; ","")&amp;IF($Q4801&lt;&gt;"Có","Thiếu đồng ý bắt buộc; ","")&amp;IF($L4801="","Thiếu/sai Mã REF; ",IF(AND($L4801="Chưa xác định",DANH_MUC!$L$9&lt;&gt;"Có"),"Nguồn chưa xác định; ","")))</f>
        <v/>
      </c>
      <c r="V4801" s="22">
        <f>IF(OR($D4801="",$R4801="Trùng"),"",IF(COUNTIF(ORDERS!$C$2:$C$4995,$D4801)&gt;0,"Có","Không"))</f>
        <v/>
      </c>
      <c r="W4801" s="22">
        <f>IF(OR($D4801="",$R4801="Trùng"),"",COUNTIFS(ORDERS!$C$2:$C$4995,$D4801,ORDERS!$L$2:$L$4995,"Đã chuyển khoản"))</f>
        <v/>
      </c>
      <c r="X4801" s="23">
        <f>IF(OR($D4801="",$R4801="Trùng"),"",SUMIFS(ORDERS!$J$2:$J$4995,ORDERS!$C$2:$C$4995,$D4801,ORDERS!$L$2:$L$4995,"Đã chuyển khoản"))</f>
        <v/>
      </c>
      <c r="Y4801" s="24" t="n"/>
    </row>
    <row r="4802" ht="14.25" customHeight="1" s="40">
      <c r="A4802" s="24" t="n"/>
      <c r="B4802" s="27" t="n"/>
      <c r="C4802" s="24" t="n"/>
      <c r="D4802" s="28" t="n"/>
      <c r="E4802" s="29" t="n"/>
      <c r="F4802" s="24" t="n"/>
      <c r="G4802" s="24" t="n"/>
      <c r="H4802" s="21">
        <f>IF(ISNUMBER($B4802),INT($B4802)-WEEKDAY($B4802,2)+1,"")</f>
        <v/>
      </c>
      <c r="I4802" s="24" t="n"/>
      <c r="J4802" s="22">
        <f t="array" ref="J4802">IF($D4802="","",IF($I4802="","(trống REF)",IFERROR(INDEX(MASTER_SOURCE!$B$2:$B$495,MATCH($I4802,MASTER_SOURCE!$A$2:$A$495,0)),"(REF không có trong MASTER_SOURCE)")))</f>
        <v/>
      </c>
      <c r="K4802" s="22">
        <f t="array" ref="K4802">IF($D4802="","",IFERROR(INDEX(MASTER_SOURCE!$C$2:$C$495,MATCH($I4802,MASTER_SOURCE!$A$2:$A$495,0)),""))</f>
        <v/>
      </c>
      <c r="L4802" s="22">
        <f t="array" ref="L4802">IF($D4802="","",IFERROR(INDEX(MASTER_SOURCE!$D$2:$D$495,MATCH($I4802,MASTER_SOURCE!$A$2:$A$495,0)),""))</f>
        <v/>
      </c>
      <c r="M4802" s="24" t="n"/>
      <c r="N4802" s="24" t="n"/>
      <c r="O4802" s="24" t="n"/>
      <c r="P4802" s="24" t="n"/>
      <c r="Q4802" s="22">
        <f>IF($D4802="","",IF(AND(OR(DANH_MUC!$L$5&lt;&gt;"Có",M4802="Có"),OR(DANH_MUC!$L$6&lt;&gt;"Có",N4802="Có"),OR(DANH_MUC!$L$7&lt;&gt;"Có",O4802="Có"),OR(DANH_MUC!$L$8&lt;&gt;"Có",P4802="Có")),"Có","Không"))</f>
        <v/>
      </c>
      <c r="R4802" s="22">
        <f>IF($D4802="","",IF(COUNTIF($D$2:$D4802,$D4802)&gt;1,"Trùng",""))</f>
        <v/>
      </c>
      <c r="S4802" s="22">
        <f>IF($D4802="","",IF(AND(LEN($D4802)=10,LEFT($D4802,1)="0",ISNUMBER(--$D4802)),"Có","Không"))</f>
        <v/>
      </c>
      <c r="T4802" s="22">
        <f>IF($D4802="","",IF(AND($C4802&lt;&gt;"",$Q4802="Có",$R4802="",$S4802="Có",AND($L4802&lt;&gt;"",OR($L4802&lt;&gt;"Chưa xác định",DANH_MUC!$L$9="Có"))),"Có","Không"))</f>
        <v/>
      </c>
      <c r="U4802" s="22">
        <f>IF(OR($D4802="",$T4802="Có"),"",IF($C4802="","Thiếu họ tên; ","")&amp;IF($S4802&lt;&gt;"Có","SĐT sai định dạng; ","")&amp;IF($R4802="Trùng","Trùng SĐT; ","")&amp;IF($Q4802&lt;&gt;"Có","Thiếu đồng ý bắt buộc; ","")&amp;IF($L4802="","Thiếu/sai Mã REF; ",IF(AND($L4802="Chưa xác định",DANH_MUC!$L$9&lt;&gt;"Có"),"Nguồn chưa xác định; ","")))</f>
        <v/>
      </c>
      <c r="V4802" s="22">
        <f>IF(OR($D4802="",$R4802="Trùng"),"",IF(COUNTIF(ORDERS!$C$2:$C$4995,$D4802)&gt;0,"Có","Không"))</f>
        <v/>
      </c>
      <c r="W4802" s="22">
        <f>IF(OR($D4802="",$R4802="Trùng"),"",COUNTIFS(ORDERS!$C$2:$C$4995,$D4802,ORDERS!$L$2:$L$4995,"Đã chuyển khoản"))</f>
        <v/>
      </c>
      <c r="X4802" s="23">
        <f>IF(OR($D4802="",$R4802="Trùng"),"",SUMIFS(ORDERS!$J$2:$J$4995,ORDERS!$C$2:$C$4995,$D4802,ORDERS!$L$2:$L$4995,"Đã chuyển khoản"))</f>
        <v/>
      </c>
      <c r="Y4802" s="24" t="n"/>
    </row>
    <row r="4803" ht="14.25" customHeight="1" s="40">
      <c r="A4803" s="24" t="n"/>
      <c r="B4803" s="27" t="n"/>
      <c r="C4803" s="24" t="n"/>
      <c r="D4803" s="28" t="n"/>
      <c r="E4803" s="29" t="n"/>
      <c r="F4803" s="24" t="n"/>
      <c r="G4803" s="24" t="n"/>
      <c r="H4803" s="21">
        <f>IF(ISNUMBER($B4803),INT($B4803)-WEEKDAY($B4803,2)+1,"")</f>
        <v/>
      </c>
      <c r="I4803" s="24" t="n"/>
      <c r="J4803" s="22">
        <f t="array" ref="J4803">IF($D4803="","",IF($I4803="","(trống REF)",IFERROR(INDEX(MASTER_SOURCE!$B$2:$B$495,MATCH($I4803,MASTER_SOURCE!$A$2:$A$495,0)),"(REF không có trong MASTER_SOURCE)")))</f>
        <v/>
      </c>
      <c r="K4803" s="22">
        <f t="array" ref="K4803">IF($D4803="","",IFERROR(INDEX(MASTER_SOURCE!$C$2:$C$495,MATCH($I4803,MASTER_SOURCE!$A$2:$A$495,0)),""))</f>
        <v/>
      </c>
      <c r="L4803" s="22">
        <f t="array" ref="L4803">IF($D4803="","",IFERROR(INDEX(MASTER_SOURCE!$D$2:$D$495,MATCH($I4803,MASTER_SOURCE!$A$2:$A$495,0)),""))</f>
        <v/>
      </c>
      <c r="M4803" s="24" t="n"/>
      <c r="N4803" s="24" t="n"/>
      <c r="O4803" s="24" t="n"/>
      <c r="P4803" s="24" t="n"/>
      <c r="Q4803" s="22">
        <f>IF($D4803="","",IF(AND(OR(DANH_MUC!$L$5&lt;&gt;"Có",M4803="Có"),OR(DANH_MUC!$L$6&lt;&gt;"Có",N4803="Có"),OR(DANH_MUC!$L$7&lt;&gt;"Có",O4803="Có"),OR(DANH_MUC!$L$8&lt;&gt;"Có",P4803="Có")),"Có","Không"))</f>
        <v/>
      </c>
      <c r="R4803" s="22">
        <f>IF($D4803="","",IF(COUNTIF($D$2:$D4803,$D4803)&gt;1,"Trùng",""))</f>
        <v/>
      </c>
      <c r="S4803" s="22">
        <f>IF($D4803="","",IF(AND(LEN($D4803)=10,LEFT($D4803,1)="0",ISNUMBER(--$D4803)),"Có","Không"))</f>
        <v/>
      </c>
      <c r="T4803" s="22">
        <f>IF($D4803="","",IF(AND($C4803&lt;&gt;"",$Q4803="Có",$R4803="",$S4803="Có",AND($L4803&lt;&gt;"",OR($L4803&lt;&gt;"Chưa xác định",DANH_MUC!$L$9="Có"))),"Có","Không"))</f>
        <v/>
      </c>
      <c r="U4803" s="22">
        <f>IF(OR($D4803="",$T4803="Có"),"",IF($C4803="","Thiếu họ tên; ","")&amp;IF($S4803&lt;&gt;"Có","SĐT sai định dạng; ","")&amp;IF($R4803="Trùng","Trùng SĐT; ","")&amp;IF($Q4803&lt;&gt;"Có","Thiếu đồng ý bắt buộc; ","")&amp;IF($L4803="","Thiếu/sai Mã REF; ",IF(AND($L4803="Chưa xác định",DANH_MUC!$L$9&lt;&gt;"Có"),"Nguồn chưa xác định; ","")))</f>
        <v/>
      </c>
      <c r="V4803" s="22">
        <f>IF(OR($D4803="",$R4803="Trùng"),"",IF(COUNTIF(ORDERS!$C$2:$C$4995,$D4803)&gt;0,"Có","Không"))</f>
        <v/>
      </c>
      <c r="W4803" s="22">
        <f>IF(OR($D4803="",$R4803="Trùng"),"",COUNTIFS(ORDERS!$C$2:$C$4995,$D4803,ORDERS!$L$2:$L$4995,"Đã chuyển khoản"))</f>
        <v/>
      </c>
      <c r="X4803" s="23">
        <f>IF(OR($D4803="",$R4803="Trùng"),"",SUMIFS(ORDERS!$J$2:$J$4995,ORDERS!$C$2:$C$4995,$D4803,ORDERS!$L$2:$L$4995,"Đã chuyển khoản"))</f>
        <v/>
      </c>
      <c r="Y4803" s="24" t="n"/>
    </row>
    <row r="4804" ht="14.25" customHeight="1" s="40">
      <c r="A4804" s="24" t="n"/>
      <c r="B4804" s="27" t="n"/>
      <c r="C4804" s="24" t="n"/>
      <c r="D4804" s="28" t="n"/>
      <c r="E4804" s="29" t="n"/>
      <c r="F4804" s="24" t="n"/>
      <c r="G4804" s="24" t="n"/>
      <c r="H4804" s="21">
        <f>IF(ISNUMBER($B4804),INT($B4804)-WEEKDAY($B4804,2)+1,"")</f>
        <v/>
      </c>
      <c r="I4804" s="24" t="n"/>
      <c r="J4804" s="22">
        <f t="array" ref="J4804">IF($D4804="","",IF($I4804="","(trống REF)",IFERROR(INDEX(MASTER_SOURCE!$B$2:$B$495,MATCH($I4804,MASTER_SOURCE!$A$2:$A$495,0)),"(REF không có trong MASTER_SOURCE)")))</f>
        <v/>
      </c>
      <c r="K4804" s="22">
        <f t="array" ref="K4804">IF($D4804="","",IFERROR(INDEX(MASTER_SOURCE!$C$2:$C$495,MATCH($I4804,MASTER_SOURCE!$A$2:$A$495,0)),""))</f>
        <v/>
      </c>
      <c r="L4804" s="22">
        <f t="array" ref="L4804">IF($D4804="","",IFERROR(INDEX(MASTER_SOURCE!$D$2:$D$495,MATCH($I4804,MASTER_SOURCE!$A$2:$A$495,0)),""))</f>
        <v/>
      </c>
      <c r="M4804" s="24" t="n"/>
      <c r="N4804" s="24" t="n"/>
      <c r="O4804" s="24" t="n"/>
      <c r="P4804" s="24" t="n"/>
      <c r="Q4804" s="22">
        <f>IF($D4804="","",IF(AND(OR(DANH_MUC!$L$5&lt;&gt;"Có",M4804="Có"),OR(DANH_MUC!$L$6&lt;&gt;"Có",N4804="Có"),OR(DANH_MUC!$L$7&lt;&gt;"Có",O4804="Có"),OR(DANH_MUC!$L$8&lt;&gt;"Có",P4804="Có")),"Có","Không"))</f>
        <v/>
      </c>
      <c r="R4804" s="22">
        <f>IF($D4804="","",IF(COUNTIF($D$2:$D4804,$D4804)&gt;1,"Trùng",""))</f>
        <v/>
      </c>
      <c r="S4804" s="22">
        <f>IF($D4804="","",IF(AND(LEN($D4804)=10,LEFT($D4804,1)="0",ISNUMBER(--$D4804)),"Có","Không"))</f>
        <v/>
      </c>
      <c r="T4804" s="22">
        <f>IF($D4804="","",IF(AND($C4804&lt;&gt;"",$Q4804="Có",$R4804="",$S4804="Có",AND($L4804&lt;&gt;"",OR($L4804&lt;&gt;"Chưa xác định",DANH_MUC!$L$9="Có"))),"Có","Không"))</f>
        <v/>
      </c>
      <c r="U4804" s="22">
        <f>IF(OR($D4804="",$T4804="Có"),"",IF($C4804="","Thiếu họ tên; ","")&amp;IF($S4804&lt;&gt;"Có","SĐT sai định dạng; ","")&amp;IF($R4804="Trùng","Trùng SĐT; ","")&amp;IF($Q4804&lt;&gt;"Có","Thiếu đồng ý bắt buộc; ","")&amp;IF($L4804="","Thiếu/sai Mã REF; ",IF(AND($L4804="Chưa xác định",DANH_MUC!$L$9&lt;&gt;"Có"),"Nguồn chưa xác định; ","")))</f>
        <v/>
      </c>
      <c r="V4804" s="22">
        <f>IF(OR($D4804="",$R4804="Trùng"),"",IF(COUNTIF(ORDERS!$C$2:$C$4995,$D4804)&gt;0,"Có","Không"))</f>
        <v/>
      </c>
      <c r="W4804" s="22">
        <f>IF(OR($D4804="",$R4804="Trùng"),"",COUNTIFS(ORDERS!$C$2:$C$4995,$D4804,ORDERS!$L$2:$L$4995,"Đã chuyển khoản"))</f>
        <v/>
      </c>
      <c r="X4804" s="23">
        <f>IF(OR($D4804="",$R4804="Trùng"),"",SUMIFS(ORDERS!$J$2:$J$4995,ORDERS!$C$2:$C$4995,$D4804,ORDERS!$L$2:$L$4995,"Đã chuyển khoản"))</f>
        <v/>
      </c>
      <c r="Y4804" s="24" t="n"/>
    </row>
    <row r="4805" ht="14.25" customHeight="1" s="40">
      <c r="A4805" s="24" t="n"/>
      <c r="B4805" s="27" t="n"/>
      <c r="C4805" s="24" t="n"/>
      <c r="D4805" s="28" t="n"/>
      <c r="E4805" s="29" t="n"/>
      <c r="F4805" s="24" t="n"/>
      <c r="G4805" s="24" t="n"/>
      <c r="H4805" s="21">
        <f>IF(ISNUMBER($B4805),INT($B4805)-WEEKDAY($B4805,2)+1,"")</f>
        <v/>
      </c>
      <c r="I4805" s="24" t="n"/>
      <c r="J4805" s="22">
        <f t="array" ref="J4805">IF($D4805="","",IF($I4805="","(trống REF)",IFERROR(INDEX(MASTER_SOURCE!$B$2:$B$495,MATCH($I4805,MASTER_SOURCE!$A$2:$A$495,0)),"(REF không có trong MASTER_SOURCE)")))</f>
        <v/>
      </c>
      <c r="K4805" s="22">
        <f t="array" ref="K4805">IF($D4805="","",IFERROR(INDEX(MASTER_SOURCE!$C$2:$C$495,MATCH($I4805,MASTER_SOURCE!$A$2:$A$495,0)),""))</f>
        <v/>
      </c>
      <c r="L4805" s="22">
        <f t="array" ref="L4805">IF($D4805="","",IFERROR(INDEX(MASTER_SOURCE!$D$2:$D$495,MATCH($I4805,MASTER_SOURCE!$A$2:$A$495,0)),""))</f>
        <v/>
      </c>
      <c r="M4805" s="24" t="n"/>
      <c r="N4805" s="24" t="n"/>
      <c r="O4805" s="24" t="n"/>
      <c r="P4805" s="24" t="n"/>
      <c r="Q4805" s="22">
        <f>IF($D4805="","",IF(AND(OR(DANH_MUC!$L$5&lt;&gt;"Có",M4805="Có"),OR(DANH_MUC!$L$6&lt;&gt;"Có",N4805="Có"),OR(DANH_MUC!$L$7&lt;&gt;"Có",O4805="Có"),OR(DANH_MUC!$L$8&lt;&gt;"Có",P4805="Có")),"Có","Không"))</f>
        <v/>
      </c>
      <c r="R4805" s="22">
        <f>IF($D4805="","",IF(COUNTIF($D$2:$D4805,$D4805)&gt;1,"Trùng",""))</f>
        <v/>
      </c>
      <c r="S4805" s="22">
        <f>IF($D4805="","",IF(AND(LEN($D4805)=10,LEFT($D4805,1)="0",ISNUMBER(--$D4805)),"Có","Không"))</f>
        <v/>
      </c>
      <c r="T4805" s="22">
        <f>IF($D4805="","",IF(AND($C4805&lt;&gt;"",$Q4805="Có",$R4805="",$S4805="Có",AND($L4805&lt;&gt;"",OR($L4805&lt;&gt;"Chưa xác định",DANH_MUC!$L$9="Có"))),"Có","Không"))</f>
        <v/>
      </c>
      <c r="U4805" s="22">
        <f>IF(OR($D4805="",$T4805="Có"),"",IF($C4805="","Thiếu họ tên; ","")&amp;IF($S4805&lt;&gt;"Có","SĐT sai định dạng; ","")&amp;IF($R4805="Trùng","Trùng SĐT; ","")&amp;IF($Q4805&lt;&gt;"Có","Thiếu đồng ý bắt buộc; ","")&amp;IF($L4805="","Thiếu/sai Mã REF; ",IF(AND($L4805="Chưa xác định",DANH_MUC!$L$9&lt;&gt;"Có"),"Nguồn chưa xác định; ","")))</f>
        <v/>
      </c>
      <c r="V4805" s="22">
        <f>IF(OR($D4805="",$R4805="Trùng"),"",IF(COUNTIF(ORDERS!$C$2:$C$4995,$D4805)&gt;0,"Có","Không"))</f>
        <v/>
      </c>
      <c r="W4805" s="22">
        <f>IF(OR($D4805="",$R4805="Trùng"),"",COUNTIFS(ORDERS!$C$2:$C$4995,$D4805,ORDERS!$L$2:$L$4995,"Đã chuyển khoản"))</f>
        <v/>
      </c>
      <c r="X4805" s="23">
        <f>IF(OR($D4805="",$R4805="Trùng"),"",SUMIFS(ORDERS!$J$2:$J$4995,ORDERS!$C$2:$C$4995,$D4805,ORDERS!$L$2:$L$4995,"Đã chuyển khoản"))</f>
        <v/>
      </c>
      <c r="Y4805" s="24" t="n"/>
    </row>
    <row r="4806" ht="14.25" customHeight="1" s="40">
      <c r="A4806" s="24" t="n"/>
      <c r="B4806" s="27" t="n"/>
      <c r="C4806" s="24" t="n"/>
      <c r="D4806" s="28" t="n"/>
      <c r="E4806" s="29" t="n"/>
      <c r="F4806" s="24" t="n"/>
      <c r="G4806" s="24" t="n"/>
      <c r="H4806" s="21">
        <f>IF(ISNUMBER($B4806),INT($B4806)-WEEKDAY($B4806,2)+1,"")</f>
        <v/>
      </c>
      <c r="I4806" s="24" t="n"/>
      <c r="J4806" s="22">
        <f t="array" ref="J4806">IF($D4806="","",IF($I4806="","(trống REF)",IFERROR(INDEX(MASTER_SOURCE!$B$2:$B$495,MATCH($I4806,MASTER_SOURCE!$A$2:$A$495,0)),"(REF không có trong MASTER_SOURCE)")))</f>
        <v/>
      </c>
      <c r="K4806" s="22">
        <f t="array" ref="K4806">IF($D4806="","",IFERROR(INDEX(MASTER_SOURCE!$C$2:$C$495,MATCH($I4806,MASTER_SOURCE!$A$2:$A$495,0)),""))</f>
        <v/>
      </c>
      <c r="L4806" s="22">
        <f t="array" ref="L4806">IF($D4806="","",IFERROR(INDEX(MASTER_SOURCE!$D$2:$D$495,MATCH($I4806,MASTER_SOURCE!$A$2:$A$495,0)),""))</f>
        <v/>
      </c>
      <c r="M4806" s="24" t="n"/>
      <c r="N4806" s="24" t="n"/>
      <c r="O4806" s="24" t="n"/>
      <c r="P4806" s="24" t="n"/>
      <c r="Q4806" s="22">
        <f>IF($D4806="","",IF(AND(OR(DANH_MUC!$L$5&lt;&gt;"Có",M4806="Có"),OR(DANH_MUC!$L$6&lt;&gt;"Có",N4806="Có"),OR(DANH_MUC!$L$7&lt;&gt;"Có",O4806="Có"),OR(DANH_MUC!$L$8&lt;&gt;"Có",P4806="Có")),"Có","Không"))</f>
        <v/>
      </c>
      <c r="R4806" s="22">
        <f>IF($D4806="","",IF(COUNTIF($D$2:$D4806,$D4806)&gt;1,"Trùng",""))</f>
        <v/>
      </c>
      <c r="S4806" s="22">
        <f>IF($D4806="","",IF(AND(LEN($D4806)=10,LEFT($D4806,1)="0",ISNUMBER(--$D4806)),"Có","Không"))</f>
        <v/>
      </c>
      <c r="T4806" s="22">
        <f>IF($D4806="","",IF(AND($C4806&lt;&gt;"",$Q4806="Có",$R4806="",$S4806="Có",AND($L4806&lt;&gt;"",OR($L4806&lt;&gt;"Chưa xác định",DANH_MUC!$L$9="Có"))),"Có","Không"))</f>
        <v/>
      </c>
      <c r="U4806" s="22">
        <f>IF(OR($D4806="",$T4806="Có"),"",IF($C4806="","Thiếu họ tên; ","")&amp;IF($S4806&lt;&gt;"Có","SĐT sai định dạng; ","")&amp;IF($R4806="Trùng","Trùng SĐT; ","")&amp;IF($Q4806&lt;&gt;"Có","Thiếu đồng ý bắt buộc; ","")&amp;IF($L4806="","Thiếu/sai Mã REF; ",IF(AND($L4806="Chưa xác định",DANH_MUC!$L$9&lt;&gt;"Có"),"Nguồn chưa xác định; ","")))</f>
        <v/>
      </c>
      <c r="V4806" s="22">
        <f>IF(OR($D4806="",$R4806="Trùng"),"",IF(COUNTIF(ORDERS!$C$2:$C$4995,$D4806)&gt;0,"Có","Không"))</f>
        <v/>
      </c>
      <c r="W4806" s="22">
        <f>IF(OR($D4806="",$R4806="Trùng"),"",COUNTIFS(ORDERS!$C$2:$C$4995,$D4806,ORDERS!$L$2:$L$4995,"Đã chuyển khoản"))</f>
        <v/>
      </c>
      <c r="X4806" s="23">
        <f>IF(OR($D4806="",$R4806="Trùng"),"",SUMIFS(ORDERS!$J$2:$J$4995,ORDERS!$C$2:$C$4995,$D4806,ORDERS!$L$2:$L$4995,"Đã chuyển khoản"))</f>
        <v/>
      </c>
      <c r="Y4806" s="24" t="n"/>
    </row>
    <row r="4807" ht="14.25" customHeight="1" s="40">
      <c r="A4807" s="24" t="n"/>
      <c r="B4807" s="27" t="n"/>
      <c r="C4807" s="24" t="n"/>
      <c r="D4807" s="28" t="n"/>
      <c r="E4807" s="29" t="n"/>
      <c r="F4807" s="24" t="n"/>
      <c r="G4807" s="24" t="n"/>
      <c r="H4807" s="21">
        <f>IF(ISNUMBER($B4807),INT($B4807)-WEEKDAY($B4807,2)+1,"")</f>
        <v/>
      </c>
      <c r="I4807" s="24" t="n"/>
      <c r="J4807" s="22">
        <f t="array" ref="J4807">IF($D4807="","",IF($I4807="","(trống REF)",IFERROR(INDEX(MASTER_SOURCE!$B$2:$B$495,MATCH($I4807,MASTER_SOURCE!$A$2:$A$495,0)),"(REF không có trong MASTER_SOURCE)")))</f>
        <v/>
      </c>
      <c r="K4807" s="22">
        <f t="array" ref="K4807">IF($D4807="","",IFERROR(INDEX(MASTER_SOURCE!$C$2:$C$495,MATCH($I4807,MASTER_SOURCE!$A$2:$A$495,0)),""))</f>
        <v/>
      </c>
      <c r="L4807" s="22">
        <f t="array" ref="L4807">IF($D4807="","",IFERROR(INDEX(MASTER_SOURCE!$D$2:$D$495,MATCH($I4807,MASTER_SOURCE!$A$2:$A$495,0)),""))</f>
        <v/>
      </c>
      <c r="M4807" s="24" t="n"/>
      <c r="N4807" s="24" t="n"/>
      <c r="O4807" s="24" t="n"/>
      <c r="P4807" s="24" t="n"/>
      <c r="Q4807" s="22">
        <f>IF($D4807="","",IF(AND(OR(DANH_MUC!$L$5&lt;&gt;"Có",M4807="Có"),OR(DANH_MUC!$L$6&lt;&gt;"Có",N4807="Có"),OR(DANH_MUC!$L$7&lt;&gt;"Có",O4807="Có"),OR(DANH_MUC!$L$8&lt;&gt;"Có",P4807="Có")),"Có","Không"))</f>
        <v/>
      </c>
      <c r="R4807" s="22">
        <f>IF($D4807="","",IF(COUNTIF($D$2:$D4807,$D4807)&gt;1,"Trùng",""))</f>
        <v/>
      </c>
      <c r="S4807" s="22">
        <f>IF($D4807="","",IF(AND(LEN($D4807)=10,LEFT($D4807,1)="0",ISNUMBER(--$D4807)),"Có","Không"))</f>
        <v/>
      </c>
      <c r="T4807" s="22">
        <f>IF($D4807="","",IF(AND($C4807&lt;&gt;"",$Q4807="Có",$R4807="",$S4807="Có",AND($L4807&lt;&gt;"",OR($L4807&lt;&gt;"Chưa xác định",DANH_MUC!$L$9="Có"))),"Có","Không"))</f>
        <v/>
      </c>
      <c r="U4807" s="22">
        <f>IF(OR($D4807="",$T4807="Có"),"",IF($C4807="","Thiếu họ tên; ","")&amp;IF($S4807&lt;&gt;"Có","SĐT sai định dạng; ","")&amp;IF($R4807="Trùng","Trùng SĐT; ","")&amp;IF($Q4807&lt;&gt;"Có","Thiếu đồng ý bắt buộc; ","")&amp;IF($L4807="","Thiếu/sai Mã REF; ",IF(AND($L4807="Chưa xác định",DANH_MUC!$L$9&lt;&gt;"Có"),"Nguồn chưa xác định; ","")))</f>
        <v/>
      </c>
      <c r="V4807" s="22">
        <f>IF(OR($D4807="",$R4807="Trùng"),"",IF(COUNTIF(ORDERS!$C$2:$C$4995,$D4807)&gt;0,"Có","Không"))</f>
        <v/>
      </c>
      <c r="W4807" s="22">
        <f>IF(OR($D4807="",$R4807="Trùng"),"",COUNTIFS(ORDERS!$C$2:$C$4995,$D4807,ORDERS!$L$2:$L$4995,"Đã chuyển khoản"))</f>
        <v/>
      </c>
      <c r="X4807" s="23">
        <f>IF(OR($D4807="",$R4807="Trùng"),"",SUMIFS(ORDERS!$J$2:$J$4995,ORDERS!$C$2:$C$4995,$D4807,ORDERS!$L$2:$L$4995,"Đã chuyển khoản"))</f>
        <v/>
      </c>
      <c r="Y4807" s="24" t="n"/>
    </row>
    <row r="4808" ht="14.25" customHeight="1" s="40">
      <c r="A4808" s="24" t="n"/>
      <c r="B4808" s="27" t="n"/>
      <c r="C4808" s="24" t="n"/>
      <c r="D4808" s="28" t="n"/>
      <c r="E4808" s="29" t="n"/>
      <c r="F4808" s="24" t="n"/>
      <c r="G4808" s="24" t="n"/>
      <c r="H4808" s="21">
        <f>IF(ISNUMBER($B4808),INT($B4808)-WEEKDAY($B4808,2)+1,"")</f>
        <v/>
      </c>
      <c r="I4808" s="24" t="n"/>
      <c r="J4808" s="22">
        <f t="array" ref="J4808">IF($D4808="","",IF($I4808="","(trống REF)",IFERROR(INDEX(MASTER_SOURCE!$B$2:$B$495,MATCH($I4808,MASTER_SOURCE!$A$2:$A$495,0)),"(REF không có trong MASTER_SOURCE)")))</f>
        <v/>
      </c>
      <c r="K4808" s="22">
        <f t="array" ref="K4808">IF($D4808="","",IFERROR(INDEX(MASTER_SOURCE!$C$2:$C$495,MATCH($I4808,MASTER_SOURCE!$A$2:$A$495,0)),""))</f>
        <v/>
      </c>
      <c r="L4808" s="22">
        <f t="array" ref="L4808">IF($D4808="","",IFERROR(INDEX(MASTER_SOURCE!$D$2:$D$495,MATCH($I4808,MASTER_SOURCE!$A$2:$A$495,0)),""))</f>
        <v/>
      </c>
      <c r="M4808" s="24" t="n"/>
      <c r="N4808" s="24" t="n"/>
      <c r="O4808" s="24" t="n"/>
      <c r="P4808" s="24" t="n"/>
      <c r="Q4808" s="22">
        <f>IF($D4808="","",IF(AND(OR(DANH_MUC!$L$5&lt;&gt;"Có",M4808="Có"),OR(DANH_MUC!$L$6&lt;&gt;"Có",N4808="Có"),OR(DANH_MUC!$L$7&lt;&gt;"Có",O4808="Có"),OR(DANH_MUC!$L$8&lt;&gt;"Có",P4808="Có")),"Có","Không"))</f>
        <v/>
      </c>
      <c r="R4808" s="22">
        <f>IF($D4808="","",IF(COUNTIF($D$2:$D4808,$D4808)&gt;1,"Trùng",""))</f>
        <v/>
      </c>
      <c r="S4808" s="22">
        <f>IF($D4808="","",IF(AND(LEN($D4808)=10,LEFT($D4808,1)="0",ISNUMBER(--$D4808)),"Có","Không"))</f>
        <v/>
      </c>
      <c r="T4808" s="22">
        <f>IF($D4808="","",IF(AND($C4808&lt;&gt;"",$Q4808="Có",$R4808="",$S4808="Có",AND($L4808&lt;&gt;"",OR($L4808&lt;&gt;"Chưa xác định",DANH_MUC!$L$9="Có"))),"Có","Không"))</f>
        <v/>
      </c>
      <c r="U4808" s="22">
        <f>IF(OR($D4808="",$T4808="Có"),"",IF($C4808="","Thiếu họ tên; ","")&amp;IF($S4808&lt;&gt;"Có","SĐT sai định dạng; ","")&amp;IF($R4808="Trùng","Trùng SĐT; ","")&amp;IF($Q4808&lt;&gt;"Có","Thiếu đồng ý bắt buộc; ","")&amp;IF($L4808="","Thiếu/sai Mã REF; ",IF(AND($L4808="Chưa xác định",DANH_MUC!$L$9&lt;&gt;"Có"),"Nguồn chưa xác định; ","")))</f>
        <v/>
      </c>
      <c r="V4808" s="22">
        <f>IF(OR($D4808="",$R4808="Trùng"),"",IF(COUNTIF(ORDERS!$C$2:$C$4995,$D4808)&gt;0,"Có","Không"))</f>
        <v/>
      </c>
      <c r="W4808" s="22">
        <f>IF(OR($D4808="",$R4808="Trùng"),"",COUNTIFS(ORDERS!$C$2:$C$4995,$D4808,ORDERS!$L$2:$L$4995,"Đã chuyển khoản"))</f>
        <v/>
      </c>
      <c r="X4808" s="23">
        <f>IF(OR($D4808="",$R4808="Trùng"),"",SUMIFS(ORDERS!$J$2:$J$4995,ORDERS!$C$2:$C$4995,$D4808,ORDERS!$L$2:$L$4995,"Đã chuyển khoản"))</f>
        <v/>
      </c>
      <c r="Y4808" s="24" t="n"/>
    </row>
    <row r="4809" ht="14.25" customHeight="1" s="40">
      <c r="A4809" s="24" t="n"/>
      <c r="B4809" s="27" t="n"/>
      <c r="C4809" s="24" t="n"/>
      <c r="D4809" s="28" t="n"/>
      <c r="E4809" s="29" t="n"/>
      <c r="F4809" s="24" t="n"/>
      <c r="G4809" s="24" t="n"/>
      <c r="H4809" s="21">
        <f>IF(ISNUMBER($B4809),INT($B4809)-WEEKDAY($B4809,2)+1,"")</f>
        <v/>
      </c>
      <c r="I4809" s="24" t="n"/>
      <c r="J4809" s="22">
        <f t="array" ref="J4809">IF($D4809="","",IF($I4809="","(trống REF)",IFERROR(INDEX(MASTER_SOURCE!$B$2:$B$495,MATCH($I4809,MASTER_SOURCE!$A$2:$A$495,0)),"(REF không có trong MASTER_SOURCE)")))</f>
        <v/>
      </c>
      <c r="K4809" s="22">
        <f t="array" ref="K4809">IF($D4809="","",IFERROR(INDEX(MASTER_SOURCE!$C$2:$C$495,MATCH($I4809,MASTER_SOURCE!$A$2:$A$495,0)),""))</f>
        <v/>
      </c>
      <c r="L4809" s="22">
        <f t="array" ref="L4809">IF($D4809="","",IFERROR(INDEX(MASTER_SOURCE!$D$2:$D$495,MATCH($I4809,MASTER_SOURCE!$A$2:$A$495,0)),""))</f>
        <v/>
      </c>
      <c r="M4809" s="24" t="n"/>
      <c r="N4809" s="24" t="n"/>
      <c r="O4809" s="24" t="n"/>
      <c r="P4809" s="24" t="n"/>
      <c r="Q4809" s="22">
        <f>IF($D4809="","",IF(AND(OR(DANH_MUC!$L$5&lt;&gt;"Có",M4809="Có"),OR(DANH_MUC!$L$6&lt;&gt;"Có",N4809="Có"),OR(DANH_MUC!$L$7&lt;&gt;"Có",O4809="Có"),OR(DANH_MUC!$L$8&lt;&gt;"Có",P4809="Có")),"Có","Không"))</f>
        <v/>
      </c>
      <c r="R4809" s="22">
        <f>IF($D4809="","",IF(COUNTIF($D$2:$D4809,$D4809)&gt;1,"Trùng",""))</f>
        <v/>
      </c>
      <c r="S4809" s="22">
        <f>IF($D4809="","",IF(AND(LEN($D4809)=10,LEFT($D4809,1)="0",ISNUMBER(--$D4809)),"Có","Không"))</f>
        <v/>
      </c>
      <c r="T4809" s="22">
        <f>IF($D4809="","",IF(AND($C4809&lt;&gt;"",$Q4809="Có",$R4809="",$S4809="Có",AND($L4809&lt;&gt;"",OR($L4809&lt;&gt;"Chưa xác định",DANH_MUC!$L$9="Có"))),"Có","Không"))</f>
        <v/>
      </c>
      <c r="U4809" s="22">
        <f>IF(OR($D4809="",$T4809="Có"),"",IF($C4809="","Thiếu họ tên; ","")&amp;IF($S4809&lt;&gt;"Có","SĐT sai định dạng; ","")&amp;IF($R4809="Trùng","Trùng SĐT; ","")&amp;IF($Q4809&lt;&gt;"Có","Thiếu đồng ý bắt buộc; ","")&amp;IF($L4809="","Thiếu/sai Mã REF; ",IF(AND($L4809="Chưa xác định",DANH_MUC!$L$9&lt;&gt;"Có"),"Nguồn chưa xác định; ","")))</f>
        <v/>
      </c>
      <c r="V4809" s="22">
        <f>IF(OR($D4809="",$R4809="Trùng"),"",IF(COUNTIF(ORDERS!$C$2:$C$4995,$D4809)&gt;0,"Có","Không"))</f>
        <v/>
      </c>
      <c r="W4809" s="22">
        <f>IF(OR($D4809="",$R4809="Trùng"),"",COUNTIFS(ORDERS!$C$2:$C$4995,$D4809,ORDERS!$L$2:$L$4995,"Đã chuyển khoản"))</f>
        <v/>
      </c>
      <c r="X4809" s="23">
        <f>IF(OR($D4809="",$R4809="Trùng"),"",SUMIFS(ORDERS!$J$2:$J$4995,ORDERS!$C$2:$C$4995,$D4809,ORDERS!$L$2:$L$4995,"Đã chuyển khoản"))</f>
        <v/>
      </c>
      <c r="Y4809" s="24" t="n"/>
    </row>
    <row r="4810" ht="14.25" customHeight="1" s="40">
      <c r="A4810" s="24" t="n"/>
      <c r="B4810" s="27" t="n"/>
      <c r="C4810" s="24" t="n"/>
      <c r="D4810" s="28" t="n"/>
      <c r="E4810" s="29" t="n"/>
      <c r="F4810" s="24" t="n"/>
      <c r="G4810" s="24" t="n"/>
      <c r="H4810" s="21">
        <f>IF(ISNUMBER($B4810),INT($B4810)-WEEKDAY($B4810,2)+1,"")</f>
        <v/>
      </c>
      <c r="I4810" s="24" t="n"/>
      <c r="J4810" s="22">
        <f t="array" ref="J4810">IF($D4810="","",IF($I4810="","(trống REF)",IFERROR(INDEX(MASTER_SOURCE!$B$2:$B$495,MATCH($I4810,MASTER_SOURCE!$A$2:$A$495,0)),"(REF không có trong MASTER_SOURCE)")))</f>
        <v/>
      </c>
      <c r="K4810" s="22">
        <f t="array" ref="K4810">IF($D4810="","",IFERROR(INDEX(MASTER_SOURCE!$C$2:$C$495,MATCH($I4810,MASTER_SOURCE!$A$2:$A$495,0)),""))</f>
        <v/>
      </c>
      <c r="L4810" s="22">
        <f t="array" ref="L4810">IF($D4810="","",IFERROR(INDEX(MASTER_SOURCE!$D$2:$D$495,MATCH($I4810,MASTER_SOURCE!$A$2:$A$495,0)),""))</f>
        <v/>
      </c>
      <c r="M4810" s="24" t="n"/>
      <c r="N4810" s="24" t="n"/>
      <c r="O4810" s="24" t="n"/>
      <c r="P4810" s="24" t="n"/>
      <c r="Q4810" s="22">
        <f>IF($D4810="","",IF(AND(OR(DANH_MUC!$L$5&lt;&gt;"Có",M4810="Có"),OR(DANH_MUC!$L$6&lt;&gt;"Có",N4810="Có"),OR(DANH_MUC!$L$7&lt;&gt;"Có",O4810="Có"),OR(DANH_MUC!$L$8&lt;&gt;"Có",P4810="Có")),"Có","Không"))</f>
        <v/>
      </c>
      <c r="R4810" s="22">
        <f>IF($D4810="","",IF(COUNTIF($D$2:$D4810,$D4810)&gt;1,"Trùng",""))</f>
        <v/>
      </c>
      <c r="S4810" s="22">
        <f>IF($D4810="","",IF(AND(LEN($D4810)=10,LEFT($D4810,1)="0",ISNUMBER(--$D4810)),"Có","Không"))</f>
        <v/>
      </c>
      <c r="T4810" s="22">
        <f>IF($D4810="","",IF(AND($C4810&lt;&gt;"",$Q4810="Có",$R4810="",$S4810="Có",AND($L4810&lt;&gt;"",OR($L4810&lt;&gt;"Chưa xác định",DANH_MUC!$L$9="Có"))),"Có","Không"))</f>
        <v/>
      </c>
      <c r="U4810" s="22">
        <f>IF(OR($D4810="",$T4810="Có"),"",IF($C4810="","Thiếu họ tên; ","")&amp;IF($S4810&lt;&gt;"Có","SĐT sai định dạng; ","")&amp;IF($R4810="Trùng","Trùng SĐT; ","")&amp;IF($Q4810&lt;&gt;"Có","Thiếu đồng ý bắt buộc; ","")&amp;IF($L4810="","Thiếu/sai Mã REF; ",IF(AND($L4810="Chưa xác định",DANH_MUC!$L$9&lt;&gt;"Có"),"Nguồn chưa xác định; ","")))</f>
        <v/>
      </c>
      <c r="V4810" s="22">
        <f>IF(OR($D4810="",$R4810="Trùng"),"",IF(COUNTIF(ORDERS!$C$2:$C$4995,$D4810)&gt;0,"Có","Không"))</f>
        <v/>
      </c>
      <c r="W4810" s="22">
        <f>IF(OR($D4810="",$R4810="Trùng"),"",COUNTIFS(ORDERS!$C$2:$C$4995,$D4810,ORDERS!$L$2:$L$4995,"Đã chuyển khoản"))</f>
        <v/>
      </c>
      <c r="X4810" s="23">
        <f>IF(OR($D4810="",$R4810="Trùng"),"",SUMIFS(ORDERS!$J$2:$J$4995,ORDERS!$C$2:$C$4995,$D4810,ORDERS!$L$2:$L$4995,"Đã chuyển khoản"))</f>
        <v/>
      </c>
      <c r="Y4810" s="24" t="n"/>
    </row>
    <row r="4811" ht="14.25" customHeight="1" s="40">
      <c r="A4811" s="24" t="n"/>
      <c r="B4811" s="27" t="n"/>
      <c r="C4811" s="24" t="n"/>
      <c r="D4811" s="28" t="n"/>
      <c r="E4811" s="29" t="n"/>
      <c r="F4811" s="24" t="n"/>
      <c r="G4811" s="24" t="n"/>
      <c r="H4811" s="21">
        <f>IF(ISNUMBER($B4811),INT($B4811)-WEEKDAY($B4811,2)+1,"")</f>
        <v/>
      </c>
      <c r="I4811" s="24" t="n"/>
      <c r="J4811" s="22">
        <f t="array" ref="J4811">IF($D4811="","",IF($I4811="","(trống REF)",IFERROR(INDEX(MASTER_SOURCE!$B$2:$B$495,MATCH($I4811,MASTER_SOURCE!$A$2:$A$495,0)),"(REF không có trong MASTER_SOURCE)")))</f>
        <v/>
      </c>
      <c r="K4811" s="22">
        <f t="array" ref="K4811">IF($D4811="","",IFERROR(INDEX(MASTER_SOURCE!$C$2:$C$495,MATCH($I4811,MASTER_SOURCE!$A$2:$A$495,0)),""))</f>
        <v/>
      </c>
      <c r="L4811" s="22">
        <f t="array" ref="L4811">IF($D4811="","",IFERROR(INDEX(MASTER_SOURCE!$D$2:$D$495,MATCH($I4811,MASTER_SOURCE!$A$2:$A$495,0)),""))</f>
        <v/>
      </c>
      <c r="M4811" s="24" t="n"/>
      <c r="N4811" s="24" t="n"/>
      <c r="O4811" s="24" t="n"/>
      <c r="P4811" s="24" t="n"/>
      <c r="Q4811" s="22">
        <f>IF($D4811="","",IF(AND(OR(DANH_MUC!$L$5&lt;&gt;"Có",M4811="Có"),OR(DANH_MUC!$L$6&lt;&gt;"Có",N4811="Có"),OR(DANH_MUC!$L$7&lt;&gt;"Có",O4811="Có"),OR(DANH_MUC!$L$8&lt;&gt;"Có",P4811="Có")),"Có","Không"))</f>
        <v/>
      </c>
      <c r="R4811" s="22">
        <f>IF($D4811="","",IF(COUNTIF($D$2:$D4811,$D4811)&gt;1,"Trùng",""))</f>
        <v/>
      </c>
      <c r="S4811" s="22">
        <f>IF($D4811="","",IF(AND(LEN($D4811)=10,LEFT($D4811,1)="0",ISNUMBER(--$D4811)),"Có","Không"))</f>
        <v/>
      </c>
      <c r="T4811" s="22">
        <f>IF($D4811="","",IF(AND($C4811&lt;&gt;"",$Q4811="Có",$R4811="",$S4811="Có",AND($L4811&lt;&gt;"",OR($L4811&lt;&gt;"Chưa xác định",DANH_MUC!$L$9="Có"))),"Có","Không"))</f>
        <v/>
      </c>
      <c r="U4811" s="22">
        <f>IF(OR($D4811="",$T4811="Có"),"",IF($C4811="","Thiếu họ tên; ","")&amp;IF($S4811&lt;&gt;"Có","SĐT sai định dạng; ","")&amp;IF($R4811="Trùng","Trùng SĐT; ","")&amp;IF($Q4811&lt;&gt;"Có","Thiếu đồng ý bắt buộc; ","")&amp;IF($L4811="","Thiếu/sai Mã REF; ",IF(AND($L4811="Chưa xác định",DANH_MUC!$L$9&lt;&gt;"Có"),"Nguồn chưa xác định; ","")))</f>
        <v/>
      </c>
      <c r="V4811" s="22">
        <f>IF(OR($D4811="",$R4811="Trùng"),"",IF(COUNTIF(ORDERS!$C$2:$C$4995,$D4811)&gt;0,"Có","Không"))</f>
        <v/>
      </c>
      <c r="W4811" s="22">
        <f>IF(OR($D4811="",$R4811="Trùng"),"",COUNTIFS(ORDERS!$C$2:$C$4995,$D4811,ORDERS!$L$2:$L$4995,"Đã chuyển khoản"))</f>
        <v/>
      </c>
      <c r="X4811" s="23">
        <f>IF(OR($D4811="",$R4811="Trùng"),"",SUMIFS(ORDERS!$J$2:$J$4995,ORDERS!$C$2:$C$4995,$D4811,ORDERS!$L$2:$L$4995,"Đã chuyển khoản"))</f>
        <v/>
      </c>
      <c r="Y4811" s="24" t="n"/>
    </row>
    <row r="4812" ht="14.25" customHeight="1" s="40">
      <c r="A4812" s="24" t="n"/>
      <c r="B4812" s="27" t="n"/>
      <c r="C4812" s="24" t="n"/>
      <c r="D4812" s="28" t="n"/>
      <c r="E4812" s="29" t="n"/>
      <c r="F4812" s="24" t="n"/>
      <c r="G4812" s="24" t="n"/>
      <c r="H4812" s="21">
        <f>IF(ISNUMBER($B4812),INT($B4812)-WEEKDAY($B4812,2)+1,"")</f>
        <v/>
      </c>
      <c r="I4812" s="24" t="n"/>
      <c r="J4812" s="22">
        <f t="array" ref="J4812">IF($D4812="","",IF($I4812="","(trống REF)",IFERROR(INDEX(MASTER_SOURCE!$B$2:$B$495,MATCH($I4812,MASTER_SOURCE!$A$2:$A$495,0)),"(REF không có trong MASTER_SOURCE)")))</f>
        <v/>
      </c>
      <c r="K4812" s="22">
        <f t="array" ref="K4812">IF($D4812="","",IFERROR(INDEX(MASTER_SOURCE!$C$2:$C$495,MATCH($I4812,MASTER_SOURCE!$A$2:$A$495,0)),""))</f>
        <v/>
      </c>
      <c r="L4812" s="22">
        <f t="array" ref="L4812">IF($D4812="","",IFERROR(INDEX(MASTER_SOURCE!$D$2:$D$495,MATCH($I4812,MASTER_SOURCE!$A$2:$A$495,0)),""))</f>
        <v/>
      </c>
      <c r="M4812" s="24" t="n"/>
      <c r="N4812" s="24" t="n"/>
      <c r="O4812" s="24" t="n"/>
      <c r="P4812" s="24" t="n"/>
      <c r="Q4812" s="22">
        <f>IF($D4812="","",IF(AND(OR(DANH_MUC!$L$5&lt;&gt;"Có",M4812="Có"),OR(DANH_MUC!$L$6&lt;&gt;"Có",N4812="Có"),OR(DANH_MUC!$L$7&lt;&gt;"Có",O4812="Có"),OR(DANH_MUC!$L$8&lt;&gt;"Có",P4812="Có")),"Có","Không"))</f>
        <v/>
      </c>
      <c r="R4812" s="22">
        <f>IF($D4812="","",IF(COUNTIF($D$2:$D4812,$D4812)&gt;1,"Trùng",""))</f>
        <v/>
      </c>
      <c r="S4812" s="22">
        <f>IF($D4812="","",IF(AND(LEN($D4812)=10,LEFT($D4812,1)="0",ISNUMBER(--$D4812)),"Có","Không"))</f>
        <v/>
      </c>
      <c r="T4812" s="22">
        <f>IF($D4812="","",IF(AND($C4812&lt;&gt;"",$Q4812="Có",$R4812="",$S4812="Có",AND($L4812&lt;&gt;"",OR($L4812&lt;&gt;"Chưa xác định",DANH_MUC!$L$9="Có"))),"Có","Không"))</f>
        <v/>
      </c>
      <c r="U4812" s="22">
        <f>IF(OR($D4812="",$T4812="Có"),"",IF($C4812="","Thiếu họ tên; ","")&amp;IF($S4812&lt;&gt;"Có","SĐT sai định dạng; ","")&amp;IF($R4812="Trùng","Trùng SĐT; ","")&amp;IF($Q4812&lt;&gt;"Có","Thiếu đồng ý bắt buộc; ","")&amp;IF($L4812="","Thiếu/sai Mã REF; ",IF(AND($L4812="Chưa xác định",DANH_MUC!$L$9&lt;&gt;"Có"),"Nguồn chưa xác định; ","")))</f>
        <v/>
      </c>
      <c r="V4812" s="22">
        <f>IF(OR($D4812="",$R4812="Trùng"),"",IF(COUNTIF(ORDERS!$C$2:$C$4995,$D4812)&gt;0,"Có","Không"))</f>
        <v/>
      </c>
      <c r="W4812" s="22">
        <f>IF(OR($D4812="",$R4812="Trùng"),"",COUNTIFS(ORDERS!$C$2:$C$4995,$D4812,ORDERS!$L$2:$L$4995,"Đã chuyển khoản"))</f>
        <v/>
      </c>
      <c r="X4812" s="23">
        <f>IF(OR($D4812="",$R4812="Trùng"),"",SUMIFS(ORDERS!$J$2:$J$4995,ORDERS!$C$2:$C$4995,$D4812,ORDERS!$L$2:$L$4995,"Đã chuyển khoản"))</f>
        <v/>
      </c>
      <c r="Y4812" s="24" t="n"/>
    </row>
    <row r="4813" ht="14.25" customHeight="1" s="40">
      <c r="A4813" s="24" t="n"/>
      <c r="B4813" s="27" t="n"/>
      <c r="C4813" s="24" t="n"/>
      <c r="D4813" s="28" t="n"/>
      <c r="E4813" s="29" t="n"/>
      <c r="F4813" s="24" t="n"/>
      <c r="G4813" s="24" t="n"/>
      <c r="H4813" s="21">
        <f>IF(ISNUMBER($B4813),INT($B4813)-WEEKDAY($B4813,2)+1,"")</f>
        <v/>
      </c>
      <c r="I4813" s="24" t="n"/>
      <c r="J4813" s="22">
        <f t="array" ref="J4813">IF($D4813="","",IF($I4813="","(trống REF)",IFERROR(INDEX(MASTER_SOURCE!$B$2:$B$495,MATCH($I4813,MASTER_SOURCE!$A$2:$A$495,0)),"(REF không có trong MASTER_SOURCE)")))</f>
        <v/>
      </c>
      <c r="K4813" s="22">
        <f t="array" ref="K4813">IF($D4813="","",IFERROR(INDEX(MASTER_SOURCE!$C$2:$C$495,MATCH($I4813,MASTER_SOURCE!$A$2:$A$495,0)),""))</f>
        <v/>
      </c>
      <c r="L4813" s="22">
        <f t="array" ref="L4813">IF($D4813="","",IFERROR(INDEX(MASTER_SOURCE!$D$2:$D$495,MATCH($I4813,MASTER_SOURCE!$A$2:$A$495,0)),""))</f>
        <v/>
      </c>
      <c r="M4813" s="24" t="n"/>
      <c r="N4813" s="24" t="n"/>
      <c r="O4813" s="24" t="n"/>
      <c r="P4813" s="24" t="n"/>
      <c r="Q4813" s="22">
        <f>IF($D4813="","",IF(AND(OR(DANH_MUC!$L$5&lt;&gt;"Có",M4813="Có"),OR(DANH_MUC!$L$6&lt;&gt;"Có",N4813="Có"),OR(DANH_MUC!$L$7&lt;&gt;"Có",O4813="Có"),OR(DANH_MUC!$L$8&lt;&gt;"Có",P4813="Có")),"Có","Không"))</f>
        <v/>
      </c>
      <c r="R4813" s="22">
        <f>IF($D4813="","",IF(COUNTIF($D$2:$D4813,$D4813)&gt;1,"Trùng",""))</f>
        <v/>
      </c>
      <c r="S4813" s="22">
        <f>IF($D4813="","",IF(AND(LEN($D4813)=10,LEFT($D4813,1)="0",ISNUMBER(--$D4813)),"Có","Không"))</f>
        <v/>
      </c>
      <c r="T4813" s="22">
        <f>IF($D4813="","",IF(AND($C4813&lt;&gt;"",$Q4813="Có",$R4813="",$S4813="Có",AND($L4813&lt;&gt;"",OR($L4813&lt;&gt;"Chưa xác định",DANH_MUC!$L$9="Có"))),"Có","Không"))</f>
        <v/>
      </c>
      <c r="U4813" s="22">
        <f>IF(OR($D4813="",$T4813="Có"),"",IF($C4813="","Thiếu họ tên; ","")&amp;IF($S4813&lt;&gt;"Có","SĐT sai định dạng; ","")&amp;IF($R4813="Trùng","Trùng SĐT; ","")&amp;IF($Q4813&lt;&gt;"Có","Thiếu đồng ý bắt buộc; ","")&amp;IF($L4813="","Thiếu/sai Mã REF; ",IF(AND($L4813="Chưa xác định",DANH_MUC!$L$9&lt;&gt;"Có"),"Nguồn chưa xác định; ","")))</f>
        <v/>
      </c>
      <c r="V4813" s="22">
        <f>IF(OR($D4813="",$R4813="Trùng"),"",IF(COUNTIF(ORDERS!$C$2:$C$4995,$D4813)&gt;0,"Có","Không"))</f>
        <v/>
      </c>
      <c r="W4813" s="22">
        <f>IF(OR($D4813="",$R4813="Trùng"),"",COUNTIFS(ORDERS!$C$2:$C$4995,$D4813,ORDERS!$L$2:$L$4995,"Đã chuyển khoản"))</f>
        <v/>
      </c>
      <c r="X4813" s="23">
        <f>IF(OR($D4813="",$R4813="Trùng"),"",SUMIFS(ORDERS!$J$2:$J$4995,ORDERS!$C$2:$C$4995,$D4813,ORDERS!$L$2:$L$4995,"Đã chuyển khoản"))</f>
        <v/>
      </c>
      <c r="Y4813" s="24" t="n"/>
    </row>
    <row r="4814" ht="14.25" customHeight="1" s="40">
      <c r="A4814" s="24" t="n"/>
      <c r="B4814" s="27" t="n"/>
      <c r="C4814" s="24" t="n"/>
      <c r="D4814" s="28" t="n"/>
      <c r="E4814" s="29" t="n"/>
      <c r="F4814" s="24" t="n"/>
      <c r="G4814" s="24" t="n"/>
      <c r="H4814" s="21">
        <f>IF(ISNUMBER($B4814),INT($B4814)-WEEKDAY($B4814,2)+1,"")</f>
        <v/>
      </c>
      <c r="I4814" s="24" t="n"/>
      <c r="J4814" s="22">
        <f t="array" ref="J4814">IF($D4814="","",IF($I4814="","(trống REF)",IFERROR(INDEX(MASTER_SOURCE!$B$2:$B$495,MATCH($I4814,MASTER_SOURCE!$A$2:$A$495,0)),"(REF không có trong MASTER_SOURCE)")))</f>
        <v/>
      </c>
      <c r="K4814" s="22">
        <f t="array" ref="K4814">IF($D4814="","",IFERROR(INDEX(MASTER_SOURCE!$C$2:$C$495,MATCH($I4814,MASTER_SOURCE!$A$2:$A$495,0)),""))</f>
        <v/>
      </c>
      <c r="L4814" s="22">
        <f t="array" ref="L4814">IF($D4814="","",IFERROR(INDEX(MASTER_SOURCE!$D$2:$D$495,MATCH($I4814,MASTER_SOURCE!$A$2:$A$495,0)),""))</f>
        <v/>
      </c>
      <c r="M4814" s="24" t="n"/>
      <c r="N4814" s="24" t="n"/>
      <c r="O4814" s="24" t="n"/>
      <c r="P4814" s="24" t="n"/>
      <c r="Q4814" s="22">
        <f>IF($D4814="","",IF(AND(OR(DANH_MUC!$L$5&lt;&gt;"Có",M4814="Có"),OR(DANH_MUC!$L$6&lt;&gt;"Có",N4814="Có"),OR(DANH_MUC!$L$7&lt;&gt;"Có",O4814="Có"),OR(DANH_MUC!$L$8&lt;&gt;"Có",P4814="Có")),"Có","Không"))</f>
        <v/>
      </c>
      <c r="R4814" s="22">
        <f>IF($D4814="","",IF(COUNTIF($D$2:$D4814,$D4814)&gt;1,"Trùng",""))</f>
        <v/>
      </c>
      <c r="S4814" s="22">
        <f>IF($D4814="","",IF(AND(LEN($D4814)=10,LEFT($D4814,1)="0",ISNUMBER(--$D4814)),"Có","Không"))</f>
        <v/>
      </c>
      <c r="T4814" s="22">
        <f>IF($D4814="","",IF(AND($C4814&lt;&gt;"",$Q4814="Có",$R4814="",$S4814="Có",AND($L4814&lt;&gt;"",OR($L4814&lt;&gt;"Chưa xác định",DANH_MUC!$L$9="Có"))),"Có","Không"))</f>
        <v/>
      </c>
      <c r="U4814" s="22">
        <f>IF(OR($D4814="",$T4814="Có"),"",IF($C4814="","Thiếu họ tên; ","")&amp;IF($S4814&lt;&gt;"Có","SĐT sai định dạng; ","")&amp;IF($R4814="Trùng","Trùng SĐT; ","")&amp;IF($Q4814&lt;&gt;"Có","Thiếu đồng ý bắt buộc; ","")&amp;IF($L4814="","Thiếu/sai Mã REF; ",IF(AND($L4814="Chưa xác định",DANH_MUC!$L$9&lt;&gt;"Có"),"Nguồn chưa xác định; ","")))</f>
        <v/>
      </c>
      <c r="V4814" s="22">
        <f>IF(OR($D4814="",$R4814="Trùng"),"",IF(COUNTIF(ORDERS!$C$2:$C$4995,$D4814)&gt;0,"Có","Không"))</f>
        <v/>
      </c>
      <c r="W4814" s="22">
        <f>IF(OR($D4814="",$R4814="Trùng"),"",COUNTIFS(ORDERS!$C$2:$C$4995,$D4814,ORDERS!$L$2:$L$4995,"Đã chuyển khoản"))</f>
        <v/>
      </c>
      <c r="X4814" s="23">
        <f>IF(OR($D4814="",$R4814="Trùng"),"",SUMIFS(ORDERS!$J$2:$J$4995,ORDERS!$C$2:$C$4995,$D4814,ORDERS!$L$2:$L$4995,"Đã chuyển khoản"))</f>
        <v/>
      </c>
      <c r="Y4814" s="24" t="n"/>
    </row>
    <row r="4815" ht="14.25" customHeight="1" s="40">
      <c r="A4815" s="24" t="n"/>
      <c r="B4815" s="27" t="n"/>
      <c r="C4815" s="24" t="n"/>
      <c r="D4815" s="28" t="n"/>
      <c r="E4815" s="29" t="n"/>
      <c r="F4815" s="24" t="n"/>
      <c r="G4815" s="24" t="n"/>
      <c r="H4815" s="21">
        <f>IF(ISNUMBER($B4815),INT($B4815)-WEEKDAY($B4815,2)+1,"")</f>
        <v/>
      </c>
      <c r="I4815" s="24" t="n"/>
      <c r="J4815" s="22">
        <f t="array" ref="J4815">IF($D4815="","",IF($I4815="","(trống REF)",IFERROR(INDEX(MASTER_SOURCE!$B$2:$B$495,MATCH($I4815,MASTER_SOURCE!$A$2:$A$495,0)),"(REF không có trong MASTER_SOURCE)")))</f>
        <v/>
      </c>
      <c r="K4815" s="22">
        <f t="array" ref="K4815">IF($D4815="","",IFERROR(INDEX(MASTER_SOURCE!$C$2:$C$495,MATCH($I4815,MASTER_SOURCE!$A$2:$A$495,0)),""))</f>
        <v/>
      </c>
      <c r="L4815" s="22">
        <f t="array" ref="L4815">IF($D4815="","",IFERROR(INDEX(MASTER_SOURCE!$D$2:$D$495,MATCH($I4815,MASTER_SOURCE!$A$2:$A$495,0)),""))</f>
        <v/>
      </c>
      <c r="M4815" s="24" t="n"/>
      <c r="N4815" s="24" t="n"/>
      <c r="O4815" s="24" t="n"/>
      <c r="P4815" s="24" t="n"/>
      <c r="Q4815" s="22">
        <f>IF($D4815="","",IF(AND(OR(DANH_MUC!$L$5&lt;&gt;"Có",M4815="Có"),OR(DANH_MUC!$L$6&lt;&gt;"Có",N4815="Có"),OR(DANH_MUC!$L$7&lt;&gt;"Có",O4815="Có"),OR(DANH_MUC!$L$8&lt;&gt;"Có",P4815="Có")),"Có","Không"))</f>
        <v/>
      </c>
      <c r="R4815" s="22">
        <f>IF($D4815="","",IF(COUNTIF($D$2:$D4815,$D4815)&gt;1,"Trùng",""))</f>
        <v/>
      </c>
      <c r="S4815" s="22">
        <f>IF($D4815="","",IF(AND(LEN($D4815)=10,LEFT($D4815,1)="0",ISNUMBER(--$D4815)),"Có","Không"))</f>
        <v/>
      </c>
      <c r="T4815" s="22">
        <f>IF($D4815="","",IF(AND($C4815&lt;&gt;"",$Q4815="Có",$R4815="",$S4815="Có",AND($L4815&lt;&gt;"",OR($L4815&lt;&gt;"Chưa xác định",DANH_MUC!$L$9="Có"))),"Có","Không"))</f>
        <v/>
      </c>
      <c r="U4815" s="22">
        <f>IF(OR($D4815="",$T4815="Có"),"",IF($C4815="","Thiếu họ tên; ","")&amp;IF($S4815&lt;&gt;"Có","SĐT sai định dạng; ","")&amp;IF($R4815="Trùng","Trùng SĐT; ","")&amp;IF($Q4815&lt;&gt;"Có","Thiếu đồng ý bắt buộc; ","")&amp;IF($L4815="","Thiếu/sai Mã REF; ",IF(AND($L4815="Chưa xác định",DANH_MUC!$L$9&lt;&gt;"Có"),"Nguồn chưa xác định; ","")))</f>
        <v/>
      </c>
      <c r="V4815" s="22">
        <f>IF(OR($D4815="",$R4815="Trùng"),"",IF(COUNTIF(ORDERS!$C$2:$C$4995,$D4815)&gt;0,"Có","Không"))</f>
        <v/>
      </c>
      <c r="W4815" s="22">
        <f>IF(OR($D4815="",$R4815="Trùng"),"",COUNTIFS(ORDERS!$C$2:$C$4995,$D4815,ORDERS!$L$2:$L$4995,"Đã chuyển khoản"))</f>
        <v/>
      </c>
      <c r="X4815" s="23">
        <f>IF(OR($D4815="",$R4815="Trùng"),"",SUMIFS(ORDERS!$J$2:$J$4995,ORDERS!$C$2:$C$4995,$D4815,ORDERS!$L$2:$L$4995,"Đã chuyển khoản"))</f>
        <v/>
      </c>
      <c r="Y4815" s="24" t="n"/>
    </row>
    <row r="4816" ht="14.25" customHeight="1" s="40">
      <c r="A4816" s="24" t="n"/>
      <c r="B4816" s="27" t="n"/>
      <c r="C4816" s="24" t="n"/>
      <c r="D4816" s="28" t="n"/>
      <c r="E4816" s="29" t="n"/>
      <c r="F4816" s="24" t="n"/>
      <c r="G4816" s="24" t="n"/>
      <c r="H4816" s="21">
        <f>IF(ISNUMBER($B4816),INT($B4816)-WEEKDAY($B4816,2)+1,"")</f>
        <v/>
      </c>
      <c r="I4816" s="24" t="n"/>
      <c r="J4816" s="22">
        <f t="array" ref="J4816">IF($D4816="","",IF($I4816="","(trống REF)",IFERROR(INDEX(MASTER_SOURCE!$B$2:$B$495,MATCH($I4816,MASTER_SOURCE!$A$2:$A$495,0)),"(REF không có trong MASTER_SOURCE)")))</f>
        <v/>
      </c>
      <c r="K4816" s="22">
        <f t="array" ref="K4816">IF($D4816="","",IFERROR(INDEX(MASTER_SOURCE!$C$2:$C$495,MATCH($I4816,MASTER_SOURCE!$A$2:$A$495,0)),""))</f>
        <v/>
      </c>
      <c r="L4816" s="22">
        <f t="array" ref="L4816">IF($D4816="","",IFERROR(INDEX(MASTER_SOURCE!$D$2:$D$495,MATCH($I4816,MASTER_SOURCE!$A$2:$A$495,0)),""))</f>
        <v/>
      </c>
      <c r="M4816" s="24" t="n"/>
      <c r="N4816" s="24" t="n"/>
      <c r="O4816" s="24" t="n"/>
      <c r="P4816" s="24" t="n"/>
      <c r="Q4816" s="22">
        <f>IF($D4816="","",IF(AND(OR(DANH_MUC!$L$5&lt;&gt;"Có",M4816="Có"),OR(DANH_MUC!$L$6&lt;&gt;"Có",N4816="Có"),OR(DANH_MUC!$L$7&lt;&gt;"Có",O4816="Có"),OR(DANH_MUC!$L$8&lt;&gt;"Có",P4816="Có")),"Có","Không"))</f>
        <v/>
      </c>
      <c r="R4816" s="22">
        <f>IF($D4816="","",IF(COUNTIF($D$2:$D4816,$D4816)&gt;1,"Trùng",""))</f>
        <v/>
      </c>
      <c r="S4816" s="22">
        <f>IF($D4816="","",IF(AND(LEN($D4816)=10,LEFT($D4816,1)="0",ISNUMBER(--$D4816)),"Có","Không"))</f>
        <v/>
      </c>
      <c r="T4816" s="22">
        <f>IF($D4816="","",IF(AND($C4816&lt;&gt;"",$Q4816="Có",$R4816="",$S4816="Có",AND($L4816&lt;&gt;"",OR($L4816&lt;&gt;"Chưa xác định",DANH_MUC!$L$9="Có"))),"Có","Không"))</f>
        <v/>
      </c>
      <c r="U4816" s="22">
        <f>IF(OR($D4816="",$T4816="Có"),"",IF($C4816="","Thiếu họ tên; ","")&amp;IF($S4816&lt;&gt;"Có","SĐT sai định dạng; ","")&amp;IF($R4816="Trùng","Trùng SĐT; ","")&amp;IF($Q4816&lt;&gt;"Có","Thiếu đồng ý bắt buộc; ","")&amp;IF($L4816="","Thiếu/sai Mã REF; ",IF(AND($L4816="Chưa xác định",DANH_MUC!$L$9&lt;&gt;"Có"),"Nguồn chưa xác định; ","")))</f>
        <v/>
      </c>
      <c r="V4816" s="22">
        <f>IF(OR($D4816="",$R4816="Trùng"),"",IF(COUNTIF(ORDERS!$C$2:$C$4995,$D4816)&gt;0,"Có","Không"))</f>
        <v/>
      </c>
      <c r="W4816" s="22">
        <f>IF(OR($D4816="",$R4816="Trùng"),"",COUNTIFS(ORDERS!$C$2:$C$4995,$D4816,ORDERS!$L$2:$L$4995,"Đã chuyển khoản"))</f>
        <v/>
      </c>
      <c r="X4816" s="23">
        <f>IF(OR($D4816="",$R4816="Trùng"),"",SUMIFS(ORDERS!$J$2:$J$4995,ORDERS!$C$2:$C$4995,$D4816,ORDERS!$L$2:$L$4995,"Đã chuyển khoản"))</f>
        <v/>
      </c>
      <c r="Y4816" s="24" t="n"/>
    </row>
    <row r="4817" ht="14.25" customHeight="1" s="40">
      <c r="A4817" s="24" t="n"/>
      <c r="B4817" s="27" t="n"/>
      <c r="C4817" s="24" t="n"/>
      <c r="D4817" s="28" t="n"/>
      <c r="E4817" s="29" t="n"/>
      <c r="F4817" s="24" t="n"/>
      <c r="G4817" s="24" t="n"/>
      <c r="H4817" s="21">
        <f>IF(ISNUMBER($B4817),INT($B4817)-WEEKDAY($B4817,2)+1,"")</f>
        <v/>
      </c>
      <c r="I4817" s="24" t="n"/>
      <c r="J4817" s="22">
        <f t="array" ref="J4817">IF($D4817="","",IF($I4817="","(trống REF)",IFERROR(INDEX(MASTER_SOURCE!$B$2:$B$495,MATCH($I4817,MASTER_SOURCE!$A$2:$A$495,0)),"(REF không có trong MASTER_SOURCE)")))</f>
        <v/>
      </c>
      <c r="K4817" s="22">
        <f t="array" ref="K4817">IF($D4817="","",IFERROR(INDEX(MASTER_SOURCE!$C$2:$C$495,MATCH($I4817,MASTER_SOURCE!$A$2:$A$495,0)),""))</f>
        <v/>
      </c>
      <c r="L4817" s="22">
        <f t="array" ref="L4817">IF($D4817="","",IFERROR(INDEX(MASTER_SOURCE!$D$2:$D$495,MATCH($I4817,MASTER_SOURCE!$A$2:$A$495,0)),""))</f>
        <v/>
      </c>
      <c r="M4817" s="24" t="n"/>
      <c r="N4817" s="24" t="n"/>
      <c r="O4817" s="24" t="n"/>
      <c r="P4817" s="24" t="n"/>
      <c r="Q4817" s="22">
        <f>IF($D4817="","",IF(AND(OR(DANH_MUC!$L$5&lt;&gt;"Có",M4817="Có"),OR(DANH_MUC!$L$6&lt;&gt;"Có",N4817="Có"),OR(DANH_MUC!$L$7&lt;&gt;"Có",O4817="Có"),OR(DANH_MUC!$L$8&lt;&gt;"Có",P4817="Có")),"Có","Không"))</f>
        <v/>
      </c>
      <c r="R4817" s="22">
        <f>IF($D4817="","",IF(COUNTIF($D$2:$D4817,$D4817)&gt;1,"Trùng",""))</f>
        <v/>
      </c>
      <c r="S4817" s="22">
        <f>IF($D4817="","",IF(AND(LEN($D4817)=10,LEFT($D4817,1)="0",ISNUMBER(--$D4817)),"Có","Không"))</f>
        <v/>
      </c>
      <c r="T4817" s="22">
        <f>IF($D4817="","",IF(AND($C4817&lt;&gt;"",$Q4817="Có",$R4817="",$S4817="Có",AND($L4817&lt;&gt;"",OR($L4817&lt;&gt;"Chưa xác định",DANH_MUC!$L$9="Có"))),"Có","Không"))</f>
        <v/>
      </c>
      <c r="U4817" s="22">
        <f>IF(OR($D4817="",$T4817="Có"),"",IF($C4817="","Thiếu họ tên; ","")&amp;IF($S4817&lt;&gt;"Có","SĐT sai định dạng; ","")&amp;IF($R4817="Trùng","Trùng SĐT; ","")&amp;IF($Q4817&lt;&gt;"Có","Thiếu đồng ý bắt buộc; ","")&amp;IF($L4817="","Thiếu/sai Mã REF; ",IF(AND($L4817="Chưa xác định",DANH_MUC!$L$9&lt;&gt;"Có"),"Nguồn chưa xác định; ","")))</f>
        <v/>
      </c>
      <c r="V4817" s="22">
        <f>IF(OR($D4817="",$R4817="Trùng"),"",IF(COUNTIF(ORDERS!$C$2:$C$4995,$D4817)&gt;0,"Có","Không"))</f>
        <v/>
      </c>
      <c r="W4817" s="22">
        <f>IF(OR($D4817="",$R4817="Trùng"),"",COUNTIFS(ORDERS!$C$2:$C$4995,$D4817,ORDERS!$L$2:$L$4995,"Đã chuyển khoản"))</f>
        <v/>
      </c>
      <c r="X4817" s="23">
        <f>IF(OR($D4817="",$R4817="Trùng"),"",SUMIFS(ORDERS!$J$2:$J$4995,ORDERS!$C$2:$C$4995,$D4817,ORDERS!$L$2:$L$4995,"Đã chuyển khoản"))</f>
        <v/>
      </c>
      <c r="Y4817" s="24" t="n"/>
    </row>
    <row r="4818" ht="14.25" customHeight="1" s="40">
      <c r="A4818" s="24" t="n"/>
      <c r="B4818" s="27" t="n"/>
      <c r="C4818" s="24" t="n"/>
      <c r="D4818" s="28" t="n"/>
      <c r="E4818" s="29" t="n"/>
      <c r="F4818" s="24" t="n"/>
      <c r="G4818" s="24" t="n"/>
      <c r="H4818" s="21">
        <f>IF(ISNUMBER($B4818),INT($B4818)-WEEKDAY($B4818,2)+1,"")</f>
        <v/>
      </c>
      <c r="I4818" s="24" t="n"/>
      <c r="J4818" s="22">
        <f t="array" ref="J4818">IF($D4818="","",IF($I4818="","(trống REF)",IFERROR(INDEX(MASTER_SOURCE!$B$2:$B$495,MATCH($I4818,MASTER_SOURCE!$A$2:$A$495,0)),"(REF không có trong MASTER_SOURCE)")))</f>
        <v/>
      </c>
      <c r="K4818" s="22">
        <f t="array" ref="K4818">IF($D4818="","",IFERROR(INDEX(MASTER_SOURCE!$C$2:$C$495,MATCH($I4818,MASTER_SOURCE!$A$2:$A$495,0)),""))</f>
        <v/>
      </c>
      <c r="L4818" s="22">
        <f t="array" ref="L4818">IF($D4818="","",IFERROR(INDEX(MASTER_SOURCE!$D$2:$D$495,MATCH($I4818,MASTER_SOURCE!$A$2:$A$495,0)),""))</f>
        <v/>
      </c>
      <c r="M4818" s="24" t="n"/>
      <c r="N4818" s="24" t="n"/>
      <c r="O4818" s="24" t="n"/>
      <c r="P4818" s="24" t="n"/>
      <c r="Q4818" s="22">
        <f>IF($D4818="","",IF(AND(OR(DANH_MUC!$L$5&lt;&gt;"Có",M4818="Có"),OR(DANH_MUC!$L$6&lt;&gt;"Có",N4818="Có"),OR(DANH_MUC!$L$7&lt;&gt;"Có",O4818="Có"),OR(DANH_MUC!$L$8&lt;&gt;"Có",P4818="Có")),"Có","Không"))</f>
        <v/>
      </c>
      <c r="R4818" s="22">
        <f>IF($D4818="","",IF(COUNTIF($D$2:$D4818,$D4818)&gt;1,"Trùng",""))</f>
        <v/>
      </c>
      <c r="S4818" s="22">
        <f>IF($D4818="","",IF(AND(LEN($D4818)=10,LEFT($D4818,1)="0",ISNUMBER(--$D4818)),"Có","Không"))</f>
        <v/>
      </c>
      <c r="T4818" s="22">
        <f>IF($D4818="","",IF(AND($C4818&lt;&gt;"",$Q4818="Có",$R4818="",$S4818="Có",AND($L4818&lt;&gt;"",OR($L4818&lt;&gt;"Chưa xác định",DANH_MUC!$L$9="Có"))),"Có","Không"))</f>
        <v/>
      </c>
      <c r="U4818" s="22">
        <f>IF(OR($D4818="",$T4818="Có"),"",IF($C4818="","Thiếu họ tên; ","")&amp;IF($S4818&lt;&gt;"Có","SĐT sai định dạng; ","")&amp;IF($R4818="Trùng","Trùng SĐT; ","")&amp;IF($Q4818&lt;&gt;"Có","Thiếu đồng ý bắt buộc; ","")&amp;IF($L4818="","Thiếu/sai Mã REF; ",IF(AND($L4818="Chưa xác định",DANH_MUC!$L$9&lt;&gt;"Có"),"Nguồn chưa xác định; ","")))</f>
        <v/>
      </c>
      <c r="V4818" s="22">
        <f>IF(OR($D4818="",$R4818="Trùng"),"",IF(COUNTIF(ORDERS!$C$2:$C$4995,$D4818)&gt;0,"Có","Không"))</f>
        <v/>
      </c>
      <c r="W4818" s="22">
        <f>IF(OR($D4818="",$R4818="Trùng"),"",COUNTIFS(ORDERS!$C$2:$C$4995,$D4818,ORDERS!$L$2:$L$4995,"Đã chuyển khoản"))</f>
        <v/>
      </c>
      <c r="X4818" s="23">
        <f>IF(OR($D4818="",$R4818="Trùng"),"",SUMIFS(ORDERS!$J$2:$J$4995,ORDERS!$C$2:$C$4995,$D4818,ORDERS!$L$2:$L$4995,"Đã chuyển khoản"))</f>
        <v/>
      </c>
      <c r="Y4818" s="24" t="n"/>
    </row>
    <row r="4819" ht="14.25" customHeight="1" s="40">
      <c r="A4819" s="24" t="n"/>
      <c r="B4819" s="27" t="n"/>
      <c r="C4819" s="24" t="n"/>
      <c r="D4819" s="28" t="n"/>
      <c r="E4819" s="29" t="n"/>
      <c r="F4819" s="24" t="n"/>
      <c r="G4819" s="24" t="n"/>
      <c r="H4819" s="21">
        <f>IF(ISNUMBER($B4819),INT($B4819)-WEEKDAY($B4819,2)+1,"")</f>
        <v/>
      </c>
      <c r="I4819" s="24" t="n"/>
      <c r="J4819" s="22">
        <f t="array" ref="J4819">IF($D4819="","",IF($I4819="","(trống REF)",IFERROR(INDEX(MASTER_SOURCE!$B$2:$B$495,MATCH($I4819,MASTER_SOURCE!$A$2:$A$495,0)),"(REF không có trong MASTER_SOURCE)")))</f>
        <v/>
      </c>
      <c r="K4819" s="22">
        <f t="array" ref="K4819">IF($D4819="","",IFERROR(INDEX(MASTER_SOURCE!$C$2:$C$495,MATCH($I4819,MASTER_SOURCE!$A$2:$A$495,0)),""))</f>
        <v/>
      </c>
      <c r="L4819" s="22">
        <f t="array" ref="L4819">IF($D4819="","",IFERROR(INDEX(MASTER_SOURCE!$D$2:$D$495,MATCH($I4819,MASTER_SOURCE!$A$2:$A$495,0)),""))</f>
        <v/>
      </c>
      <c r="M4819" s="24" t="n"/>
      <c r="N4819" s="24" t="n"/>
      <c r="O4819" s="24" t="n"/>
      <c r="P4819" s="24" t="n"/>
      <c r="Q4819" s="22">
        <f>IF($D4819="","",IF(AND(OR(DANH_MUC!$L$5&lt;&gt;"Có",M4819="Có"),OR(DANH_MUC!$L$6&lt;&gt;"Có",N4819="Có"),OR(DANH_MUC!$L$7&lt;&gt;"Có",O4819="Có"),OR(DANH_MUC!$L$8&lt;&gt;"Có",P4819="Có")),"Có","Không"))</f>
        <v/>
      </c>
      <c r="R4819" s="22">
        <f>IF($D4819="","",IF(COUNTIF($D$2:$D4819,$D4819)&gt;1,"Trùng",""))</f>
        <v/>
      </c>
      <c r="S4819" s="22">
        <f>IF($D4819="","",IF(AND(LEN($D4819)=10,LEFT($D4819,1)="0",ISNUMBER(--$D4819)),"Có","Không"))</f>
        <v/>
      </c>
      <c r="T4819" s="22">
        <f>IF($D4819="","",IF(AND($C4819&lt;&gt;"",$Q4819="Có",$R4819="",$S4819="Có",AND($L4819&lt;&gt;"",OR($L4819&lt;&gt;"Chưa xác định",DANH_MUC!$L$9="Có"))),"Có","Không"))</f>
        <v/>
      </c>
      <c r="U4819" s="22">
        <f>IF(OR($D4819="",$T4819="Có"),"",IF($C4819="","Thiếu họ tên; ","")&amp;IF($S4819&lt;&gt;"Có","SĐT sai định dạng; ","")&amp;IF($R4819="Trùng","Trùng SĐT; ","")&amp;IF($Q4819&lt;&gt;"Có","Thiếu đồng ý bắt buộc; ","")&amp;IF($L4819="","Thiếu/sai Mã REF; ",IF(AND($L4819="Chưa xác định",DANH_MUC!$L$9&lt;&gt;"Có"),"Nguồn chưa xác định; ","")))</f>
        <v/>
      </c>
      <c r="V4819" s="22">
        <f>IF(OR($D4819="",$R4819="Trùng"),"",IF(COUNTIF(ORDERS!$C$2:$C$4995,$D4819)&gt;0,"Có","Không"))</f>
        <v/>
      </c>
      <c r="W4819" s="22">
        <f>IF(OR($D4819="",$R4819="Trùng"),"",COUNTIFS(ORDERS!$C$2:$C$4995,$D4819,ORDERS!$L$2:$L$4995,"Đã chuyển khoản"))</f>
        <v/>
      </c>
      <c r="X4819" s="23">
        <f>IF(OR($D4819="",$R4819="Trùng"),"",SUMIFS(ORDERS!$J$2:$J$4995,ORDERS!$C$2:$C$4995,$D4819,ORDERS!$L$2:$L$4995,"Đã chuyển khoản"))</f>
        <v/>
      </c>
      <c r="Y4819" s="24" t="n"/>
    </row>
    <row r="4820" ht="14.25" customHeight="1" s="40">
      <c r="A4820" s="24" t="n"/>
      <c r="B4820" s="27" t="n"/>
      <c r="C4820" s="24" t="n"/>
      <c r="D4820" s="28" t="n"/>
      <c r="E4820" s="29" t="n"/>
      <c r="F4820" s="24" t="n"/>
      <c r="G4820" s="24" t="n"/>
      <c r="H4820" s="21">
        <f>IF(ISNUMBER($B4820),INT($B4820)-WEEKDAY($B4820,2)+1,"")</f>
        <v/>
      </c>
      <c r="I4820" s="24" t="n"/>
      <c r="J4820" s="22">
        <f t="array" ref="J4820">IF($D4820="","",IF($I4820="","(trống REF)",IFERROR(INDEX(MASTER_SOURCE!$B$2:$B$495,MATCH($I4820,MASTER_SOURCE!$A$2:$A$495,0)),"(REF không có trong MASTER_SOURCE)")))</f>
        <v/>
      </c>
      <c r="K4820" s="22">
        <f t="array" ref="K4820">IF($D4820="","",IFERROR(INDEX(MASTER_SOURCE!$C$2:$C$495,MATCH($I4820,MASTER_SOURCE!$A$2:$A$495,0)),""))</f>
        <v/>
      </c>
      <c r="L4820" s="22">
        <f t="array" ref="L4820">IF($D4820="","",IFERROR(INDEX(MASTER_SOURCE!$D$2:$D$495,MATCH($I4820,MASTER_SOURCE!$A$2:$A$495,0)),""))</f>
        <v/>
      </c>
      <c r="M4820" s="24" t="n"/>
      <c r="N4820" s="24" t="n"/>
      <c r="O4820" s="24" t="n"/>
      <c r="P4820" s="24" t="n"/>
      <c r="Q4820" s="22">
        <f>IF($D4820="","",IF(AND(OR(DANH_MUC!$L$5&lt;&gt;"Có",M4820="Có"),OR(DANH_MUC!$L$6&lt;&gt;"Có",N4820="Có"),OR(DANH_MUC!$L$7&lt;&gt;"Có",O4820="Có"),OR(DANH_MUC!$L$8&lt;&gt;"Có",P4820="Có")),"Có","Không"))</f>
        <v/>
      </c>
      <c r="R4820" s="22">
        <f>IF($D4820="","",IF(COUNTIF($D$2:$D4820,$D4820)&gt;1,"Trùng",""))</f>
        <v/>
      </c>
      <c r="S4820" s="22">
        <f>IF($D4820="","",IF(AND(LEN($D4820)=10,LEFT($D4820,1)="0",ISNUMBER(--$D4820)),"Có","Không"))</f>
        <v/>
      </c>
      <c r="T4820" s="22">
        <f>IF($D4820="","",IF(AND($C4820&lt;&gt;"",$Q4820="Có",$R4820="",$S4820="Có",AND($L4820&lt;&gt;"",OR($L4820&lt;&gt;"Chưa xác định",DANH_MUC!$L$9="Có"))),"Có","Không"))</f>
        <v/>
      </c>
      <c r="U4820" s="22">
        <f>IF(OR($D4820="",$T4820="Có"),"",IF($C4820="","Thiếu họ tên; ","")&amp;IF($S4820&lt;&gt;"Có","SĐT sai định dạng; ","")&amp;IF($R4820="Trùng","Trùng SĐT; ","")&amp;IF($Q4820&lt;&gt;"Có","Thiếu đồng ý bắt buộc; ","")&amp;IF($L4820="","Thiếu/sai Mã REF; ",IF(AND($L4820="Chưa xác định",DANH_MUC!$L$9&lt;&gt;"Có"),"Nguồn chưa xác định; ","")))</f>
        <v/>
      </c>
      <c r="V4820" s="22">
        <f>IF(OR($D4820="",$R4820="Trùng"),"",IF(COUNTIF(ORDERS!$C$2:$C$4995,$D4820)&gt;0,"Có","Không"))</f>
        <v/>
      </c>
      <c r="W4820" s="22">
        <f>IF(OR($D4820="",$R4820="Trùng"),"",COUNTIFS(ORDERS!$C$2:$C$4995,$D4820,ORDERS!$L$2:$L$4995,"Đã chuyển khoản"))</f>
        <v/>
      </c>
      <c r="X4820" s="23">
        <f>IF(OR($D4820="",$R4820="Trùng"),"",SUMIFS(ORDERS!$J$2:$J$4995,ORDERS!$C$2:$C$4995,$D4820,ORDERS!$L$2:$L$4995,"Đã chuyển khoản"))</f>
        <v/>
      </c>
      <c r="Y4820" s="24" t="n"/>
    </row>
    <row r="4821" ht="14.25" customHeight="1" s="40">
      <c r="A4821" s="24" t="n"/>
      <c r="B4821" s="27" t="n"/>
      <c r="C4821" s="24" t="n"/>
      <c r="D4821" s="28" t="n"/>
      <c r="E4821" s="29" t="n"/>
      <c r="F4821" s="24" t="n"/>
      <c r="G4821" s="24" t="n"/>
      <c r="H4821" s="21">
        <f>IF(ISNUMBER($B4821),INT($B4821)-WEEKDAY($B4821,2)+1,"")</f>
        <v/>
      </c>
      <c r="I4821" s="24" t="n"/>
      <c r="J4821" s="22">
        <f t="array" ref="J4821">IF($D4821="","",IF($I4821="","(trống REF)",IFERROR(INDEX(MASTER_SOURCE!$B$2:$B$495,MATCH($I4821,MASTER_SOURCE!$A$2:$A$495,0)),"(REF không có trong MASTER_SOURCE)")))</f>
        <v/>
      </c>
      <c r="K4821" s="22">
        <f t="array" ref="K4821">IF($D4821="","",IFERROR(INDEX(MASTER_SOURCE!$C$2:$C$495,MATCH($I4821,MASTER_SOURCE!$A$2:$A$495,0)),""))</f>
        <v/>
      </c>
      <c r="L4821" s="22">
        <f t="array" ref="L4821">IF($D4821="","",IFERROR(INDEX(MASTER_SOURCE!$D$2:$D$495,MATCH($I4821,MASTER_SOURCE!$A$2:$A$495,0)),""))</f>
        <v/>
      </c>
      <c r="M4821" s="24" t="n"/>
      <c r="N4821" s="24" t="n"/>
      <c r="O4821" s="24" t="n"/>
      <c r="P4821" s="24" t="n"/>
      <c r="Q4821" s="22">
        <f>IF($D4821="","",IF(AND(OR(DANH_MUC!$L$5&lt;&gt;"Có",M4821="Có"),OR(DANH_MUC!$L$6&lt;&gt;"Có",N4821="Có"),OR(DANH_MUC!$L$7&lt;&gt;"Có",O4821="Có"),OR(DANH_MUC!$L$8&lt;&gt;"Có",P4821="Có")),"Có","Không"))</f>
        <v/>
      </c>
      <c r="R4821" s="22">
        <f>IF($D4821="","",IF(COUNTIF($D$2:$D4821,$D4821)&gt;1,"Trùng",""))</f>
        <v/>
      </c>
      <c r="S4821" s="22">
        <f>IF($D4821="","",IF(AND(LEN($D4821)=10,LEFT($D4821,1)="0",ISNUMBER(--$D4821)),"Có","Không"))</f>
        <v/>
      </c>
      <c r="T4821" s="22">
        <f>IF($D4821="","",IF(AND($C4821&lt;&gt;"",$Q4821="Có",$R4821="",$S4821="Có",AND($L4821&lt;&gt;"",OR($L4821&lt;&gt;"Chưa xác định",DANH_MUC!$L$9="Có"))),"Có","Không"))</f>
        <v/>
      </c>
      <c r="U4821" s="22">
        <f>IF(OR($D4821="",$T4821="Có"),"",IF($C4821="","Thiếu họ tên; ","")&amp;IF($S4821&lt;&gt;"Có","SĐT sai định dạng; ","")&amp;IF($R4821="Trùng","Trùng SĐT; ","")&amp;IF($Q4821&lt;&gt;"Có","Thiếu đồng ý bắt buộc; ","")&amp;IF($L4821="","Thiếu/sai Mã REF; ",IF(AND($L4821="Chưa xác định",DANH_MUC!$L$9&lt;&gt;"Có"),"Nguồn chưa xác định; ","")))</f>
        <v/>
      </c>
      <c r="V4821" s="22">
        <f>IF(OR($D4821="",$R4821="Trùng"),"",IF(COUNTIF(ORDERS!$C$2:$C$4995,$D4821)&gt;0,"Có","Không"))</f>
        <v/>
      </c>
      <c r="W4821" s="22">
        <f>IF(OR($D4821="",$R4821="Trùng"),"",COUNTIFS(ORDERS!$C$2:$C$4995,$D4821,ORDERS!$L$2:$L$4995,"Đã chuyển khoản"))</f>
        <v/>
      </c>
      <c r="X4821" s="23">
        <f>IF(OR($D4821="",$R4821="Trùng"),"",SUMIFS(ORDERS!$J$2:$J$4995,ORDERS!$C$2:$C$4995,$D4821,ORDERS!$L$2:$L$4995,"Đã chuyển khoản"))</f>
        <v/>
      </c>
      <c r="Y4821" s="24" t="n"/>
    </row>
    <row r="4822" ht="14.25" customHeight="1" s="40">
      <c r="A4822" s="24" t="n"/>
      <c r="B4822" s="27" t="n"/>
      <c r="C4822" s="24" t="n"/>
      <c r="D4822" s="28" t="n"/>
      <c r="E4822" s="29" t="n"/>
      <c r="F4822" s="24" t="n"/>
      <c r="G4822" s="24" t="n"/>
      <c r="H4822" s="21">
        <f>IF(ISNUMBER($B4822),INT($B4822)-WEEKDAY($B4822,2)+1,"")</f>
        <v/>
      </c>
      <c r="I4822" s="24" t="n"/>
      <c r="J4822" s="22">
        <f t="array" ref="J4822">IF($D4822="","",IF($I4822="","(trống REF)",IFERROR(INDEX(MASTER_SOURCE!$B$2:$B$495,MATCH($I4822,MASTER_SOURCE!$A$2:$A$495,0)),"(REF không có trong MASTER_SOURCE)")))</f>
        <v/>
      </c>
      <c r="K4822" s="22">
        <f t="array" ref="K4822">IF($D4822="","",IFERROR(INDEX(MASTER_SOURCE!$C$2:$C$495,MATCH($I4822,MASTER_SOURCE!$A$2:$A$495,0)),""))</f>
        <v/>
      </c>
      <c r="L4822" s="22">
        <f t="array" ref="L4822">IF($D4822="","",IFERROR(INDEX(MASTER_SOURCE!$D$2:$D$495,MATCH($I4822,MASTER_SOURCE!$A$2:$A$495,0)),""))</f>
        <v/>
      </c>
      <c r="M4822" s="24" t="n"/>
      <c r="N4822" s="24" t="n"/>
      <c r="O4822" s="24" t="n"/>
      <c r="P4822" s="24" t="n"/>
      <c r="Q4822" s="22">
        <f>IF($D4822="","",IF(AND(OR(DANH_MUC!$L$5&lt;&gt;"Có",M4822="Có"),OR(DANH_MUC!$L$6&lt;&gt;"Có",N4822="Có"),OR(DANH_MUC!$L$7&lt;&gt;"Có",O4822="Có"),OR(DANH_MUC!$L$8&lt;&gt;"Có",P4822="Có")),"Có","Không"))</f>
        <v/>
      </c>
      <c r="R4822" s="22">
        <f>IF($D4822="","",IF(COUNTIF($D$2:$D4822,$D4822)&gt;1,"Trùng",""))</f>
        <v/>
      </c>
      <c r="S4822" s="22">
        <f>IF($D4822="","",IF(AND(LEN($D4822)=10,LEFT($D4822,1)="0",ISNUMBER(--$D4822)),"Có","Không"))</f>
        <v/>
      </c>
      <c r="T4822" s="22">
        <f>IF($D4822="","",IF(AND($C4822&lt;&gt;"",$Q4822="Có",$R4822="",$S4822="Có",AND($L4822&lt;&gt;"",OR($L4822&lt;&gt;"Chưa xác định",DANH_MUC!$L$9="Có"))),"Có","Không"))</f>
        <v/>
      </c>
      <c r="U4822" s="22">
        <f>IF(OR($D4822="",$T4822="Có"),"",IF($C4822="","Thiếu họ tên; ","")&amp;IF($S4822&lt;&gt;"Có","SĐT sai định dạng; ","")&amp;IF($R4822="Trùng","Trùng SĐT; ","")&amp;IF($Q4822&lt;&gt;"Có","Thiếu đồng ý bắt buộc; ","")&amp;IF($L4822="","Thiếu/sai Mã REF; ",IF(AND($L4822="Chưa xác định",DANH_MUC!$L$9&lt;&gt;"Có"),"Nguồn chưa xác định; ","")))</f>
        <v/>
      </c>
      <c r="V4822" s="22">
        <f>IF(OR($D4822="",$R4822="Trùng"),"",IF(COUNTIF(ORDERS!$C$2:$C$4995,$D4822)&gt;0,"Có","Không"))</f>
        <v/>
      </c>
      <c r="W4822" s="22">
        <f>IF(OR($D4822="",$R4822="Trùng"),"",COUNTIFS(ORDERS!$C$2:$C$4995,$D4822,ORDERS!$L$2:$L$4995,"Đã chuyển khoản"))</f>
        <v/>
      </c>
      <c r="X4822" s="23">
        <f>IF(OR($D4822="",$R4822="Trùng"),"",SUMIFS(ORDERS!$J$2:$J$4995,ORDERS!$C$2:$C$4995,$D4822,ORDERS!$L$2:$L$4995,"Đã chuyển khoản"))</f>
        <v/>
      </c>
      <c r="Y4822" s="24" t="n"/>
    </row>
    <row r="4823" ht="14.25" customHeight="1" s="40">
      <c r="A4823" s="24" t="n"/>
      <c r="B4823" s="27" t="n"/>
      <c r="C4823" s="24" t="n"/>
      <c r="D4823" s="28" t="n"/>
      <c r="E4823" s="29" t="n"/>
      <c r="F4823" s="24" t="n"/>
      <c r="G4823" s="24" t="n"/>
      <c r="H4823" s="21">
        <f>IF(ISNUMBER($B4823),INT($B4823)-WEEKDAY($B4823,2)+1,"")</f>
        <v/>
      </c>
      <c r="I4823" s="24" t="n"/>
      <c r="J4823" s="22">
        <f t="array" ref="J4823">IF($D4823="","",IF($I4823="","(trống REF)",IFERROR(INDEX(MASTER_SOURCE!$B$2:$B$495,MATCH($I4823,MASTER_SOURCE!$A$2:$A$495,0)),"(REF không có trong MASTER_SOURCE)")))</f>
        <v/>
      </c>
      <c r="K4823" s="22">
        <f t="array" ref="K4823">IF($D4823="","",IFERROR(INDEX(MASTER_SOURCE!$C$2:$C$495,MATCH($I4823,MASTER_SOURCE!$A$2:$A$495,0)),""))</f>
        <v/>
      </c>
      <c r="L4823" s="22">
        <f t="array" ref="L4823">IF($D4823="","",IFERROR(INDEX(MASTER_SOURCE!$D$2:$D$495,MATCH($I4823,MASTER_SOURCE!$A$2:$A$495,0)),""))</f>
        <v/>
      </c>
      <c r="M4823" s="24" t="n"/>
      <c r="N4823" s="24" t="n"/>
      <c r="O4823" s="24" t="n"/>
      <c r="P4823" s="24" t="n"/>
      <c r="Q4823" s="22">
        <f>IF($D4823="","",IF(AND(OR(DANH_MUC!$L$5&lt;&gt;"Có",M4823="Có"),OR(DANH_MUC!$L$6&lt;&gt;"Có",N4823="Có"),OR(DANH_MUC!$L$7&lt;&gt;"Có",O4823="Có"),OR(DANH_MUC!$L$8&lt;&gt;"Có",P4823="Có")),"Có","Không"))</f>
        <v/>
      </c>
      <c r="R4823" s="22">
        <f>IF($D4823="","",IF(COUNTIF($D$2:$D4823,$D4823)&gt;1,"Trùng",""))</f>
        <v/>
      </c>
      <c r="S4823" s="22">
        <f>IF($D4823="","",IF(AND(LEN($D4823)=10,LEFT($D4823,1)="0",ISNUMBER(--$D4823)),"Có","Không"))</f>
        <v/>
      </c>
      <c r="T4823" s="22">
        <f>IF($D4823="","",IF(AND($C4823&lt;&gt;"",$Q4823="Có",$R4823="",$S4823="Có",AND($L4823&lt;&gt;"",OR($L4823&lt;&gt;"Chưa xác định",DANH_MUC!$L$9="Có"))),"Có","Không"))</f>
        <v/>
      </c>
      <c r="U4823" s="22">
        <f>IF(OR($D4823="",$T4823="Có"),"",IF($C4823="","Thiếu họ tên; ","")&amp;IF($S4823&lt;&gt;"Có","SĐT sai định dạng; ","")&amp;IF($R4823="Trùng","Trùng SĐT; ","")&amp;IF($Q4823&lt;&gt;"Có","Thiếu đồng ý bắt buộc; ","")&amp;IF($L4823="","Thiếu/sai Mã REF; ",IF(AND($L4823="Chưa xác định",DANH_MUC!$L$9&lt;&gt;"Có"),"Nguồn chưa xác định; ","")))</f>
        <v/>
      </c>
      <c r="V4823" s="22">
        <f>IF(OR($D4823="",$R4823="Trùng"),"",IF(COUNTIF(ORDERS!$C$2:$C$4995,$D4823)&gt;0,"Có","Không"))</f>
        <v/>
      </c>
      <c r="W4823" s="22">
        <f>IF(OR($D4823="",$R4823="Trùng"),"",COUNTIFS(ORDERS!$C$2:$C$4995,$D4823,ORDERS!$L$2:$L$4995,"Đã chuyển khoản"))</f>
        <v/>
      </c>
      <c r="X4823" s="23">
        <f>IF(OR($D4823="",$R4823="Trùng"),"",SUMIFS(ORDERS!$J$2:$J$4995,ORDERS!$C$2:$C$4995,$D4823,ORDERS!$L$2:$L$4995,"Đã chuyển khoản"))</f>
        <v/>
      </c>
      <c r="Y4823" s="24" t="n"/>
    </row>
    <row r="4824" ht="14.25" customHeight="1" s="40">
      <c r="A4824" s="24" t="n"/>
      <c r="B4824" s="27" t="n"/>
      <c r="C4824" s="24" t="n"/>
      <c r="D4824" s="28" t="n"/>
      <c r="E4824" s="29" t="n"/>
      <c r="F4824" s="24" t="n"/>
      <c r="G4824" s="24" t="n"/>
      <c r="H4824" s="21">
        <f>IF(ISNUMBER($B4824),INT($B4824)-WEEKDAY($B4824,2)+1,"")</f>
        <v/>
      </c>
      <c r="I4824" s="24" t="n"/>
      <c r="J4824" s="22">
        <f t="array" ref="J4824">IF($D4824="","",IF($I4824="","(trống REF)",IFERROR(INDEX(MASTER_SOURCE!$B$2:$B$495,MATCH($I4824,MASTER_SOURCE!$A$2:$A$495,0)),"(REF không có trong MASTER_SOURCE)")))</f>
        <v/>
      </c>
      <c r="K4824" s="22">
        <f t="array" ref="K4824">IF($D4824="","",IFERROR(INDEX(MASTER_SOURCE!$C$2:$C$495,MATCH($I4824,MASTER_SOURCE!$A$2:$A$495,0)),""))</f>
        <v/>
      </c>
      <c r="L4824" s="22">
        <f t="array" ref="L4824">IF($D4824="","",IFERROR(INDEX(MASTER_SOURCE!$D$2:$D$495,MATCH($I4824,MASTER_SOURCE!$A$2:$A$495,0)),""))</f>
        <v/>
      </c>
      <c r="M4824" s="24" t="n"/>
      <c r="N4824" s="24" t="n"/>
      <c r="O4824" s="24" t="n"/>
      <c r="P4824" s="24" t="n"/>
      <c r="Q4824" s="22">
        <f>IF($D4824="","",IF(AND(OR(DANH_MUC!$L$5&lt;&gt;"Có",M4824="Có"),OR(DANH_MUC!$L$6&lt;&gt;"Có",N4824="Có"),OR(DANH_MUC!$L$7&lt;&gt;"Có",O4824="Có"),OR(DANH_MUC!$L$8&lt;&gt;"Có",P4824="Có")),"Có","Không"))</f>
        <v/>
      </c>
      <c r="R4824" s="22">
        <f>IF($D4824="","",IF(COUNTIF($D$2:$D4824,$D4824)&gt;1,"Trùng",""))</f>
        <v/>
      </c>
      <c r="S4824" s="22">
        <f>IF($D4824="","",IF(AND(LEN($D4824)=10,LEFT($D4824,1)="0",ISNUMBER(--$D4824)),"Có","Không"))</f>
        <v/>
      </c>
      <c r="T4824" s="22">
        <f>IF($D4824="","",IF(AND($C4824&lt;&gt;"",$Q4824="Có",$R4824="",$S4824="Có",AND($L4824&lt;&gt;"",OR($L4824&lt;&gt;"Chưa xác định",DANH_MUC!$L$9="Có"))),"Có","Không"))</f>
        <v/>
      </c>
      <c r="U4824" s="22">
        <f>IF(OR($D4824="",$T4824="Có"),"",IF($C4824="","Thiếu họ tên; ","")&amp;IF($S4824&lt;&gt;"Có","SĐT sai định dạng; ","")&amp;IF($R4824="Trùng","Trùng SĐT; ","")&amp;IF($Q4824&lt;&gt;"Có","Thiếu đồng ý bắt buộc; ","")&amp;IF($L4824="","Thiếu/sai Mã REF; ",IF(AND($L4824="Chưa xác định",DANH_MUC!$L$9&lt;&gt;"Có"),"Nguồn chưa xác định; ","")))</f>
        <v/>
      </c>
      <c r="V4824" s="22">
        <f>IF(OR($D4824="",$R4824="Trùng"),"",IF(COUNTIF(ORDERS!$C$2:$C$4995,$D4824)&gt;0,"Có","Không"))</f>
        <v/>
      </c>
      <c r="W4824" s="22">
        <f>IF(OR($D4824="",$R4824="Trùng"),"",COUNTIFS(ORDERS!$C$2:$C$4995,$D4824,ORDERS!$L$2:$L$4995,"Đã chuyển khoản"))</f>
        <v/>
      </c>
      <c r="X4824" s="23">
        <f>IF(OR($D4824="",$R4824="Trùng"),"",SUMIFS(ORDERS!$J$2:$J$4995,ORDERS!$C$2:$C$4995,$D4824,ORDERS!$L$2:$L$4995,"Đã chuyển khoản"))</f>
        <v/>
      </c>
      <c r="Y4824" s="24" t="n"/>
    </row>
    <row r="4825" ht="14.25" customHeight="1" s="40">
      <c r="A4825" s="24" t="n"/>
      <c r="B4825" s="27" t="n"/>
      <c r="C4825" s="24" t="n"/>
      <c r="D4825" s="28" t="n"/>
      <c r="E4825" s="29" t="n"/>
      <c r="F4825" s="24" t="n"/>
      <c r="G4825" s="24" t="n"/>
      <c r="H4825" s="21">
        <f>IF(ISNUMBER($B4825),INT($B4825)-WEEKDAY($B4825,2)+1,"")</f>
        <v/>
      </c>
      <c r="I4825" s="24" t="n"/>
      <c r="J4825" s="22">
        <f t="array" ref="J4825">IF($D4825="","",IF($I4825="","(trống REF)",IFERROR(INDEX(MASTER_SOURCE!$B$2:$B$495,MATCH($I4825,MASTER_SOURCE!$A$2:$A$495,0)),"(REF không có trong MASTER_SOURCE)")))</f>
        <v/>
      </c>
      <c r="K4825" s="22">
        <f t="array" ref="K4825">IF($D4825="","",IFERROR(INDEX(MASTER_SOURCE!$C$2:$C$495,MATCH($I4825,MASTER_SOURCE!$A$2:$A$495,0)),""))</f>
        <v/>
      </c>
      <c r="L4825" s="22">
        <f t="array" ref="L4825">IF($D4825="","",IFERROR(INDEX(MASTER_SOURCE!$D$2:$D$495,MATCH($I4825,MASTER_SOURCE!$A$2:$A$495,0)),""))</f>
        <v/>
      </c>
      <c r="M4825" s="24" t="n"/>
      <c r="N4825" s="24" t="n"/>
      <c r="O4825" s="24" t="n"/>
      <c r="P4825" s="24" t="n"/>
      <c r="Q4825" s="22">
        <f>IF($D4825="","",IF(AND(OR(DANH_MUC!$L$5&lt;&gt;"Có",M4825="Có"),OR(DANH_MUC!$L$6&lt;&gt;"Có",N4825="Có"),OR(DANH_MUC!$L$7&lt;&gt;"Có",O4825="Có"),OR(DANH_MUC!$L$8&lt;&gt;"Có",P4825="Có")),"Có","Không"))</f>
        <v/>
      </c>
      <c r="R4825" s="22">
        <f>IF($D4825="","",IF(COUNTIF($D$2:$D4825,$D4825)&gt;1,"Trùng",""))</f>
        <v/>
      </c>
      <c r="S4825" s="22">
        <f>IF($D4825="","",IF(AND(LEN($D4825)=10,LEFT($D4825,1)="0",ISNUMBER(--$D4825)),"Có","Không"))</f>
        <v/>
      </c>
      <c r="T4825" s="22">
        <f>IF($D4825="","",IF(AND($C4825&lt;&gt;"",$Q4825="Có",$R4825="",$S4825="Có",AND($L4825&lt;&gt;"",OR($L4825&lt;&gt;"Chưa xác định",DANH_MUC!$L$9="Có"))),"Có","Không"))</f>
        <v/>
      </c>
      <c r="U4825" s="22">
        <f>IF(OR($D4825="",$T4825="Có"),"",IF($C4825="","Thiếu họ tên; ","")&amp;IF($S4825&lt;&gt;"Có","SĐT sai định dạng; ","")&amp;IF($R4825="Trùng","Trùng SĐT; ","")&amp;IF($Q4825&lt;&gt;"Có","Thiếu đồng ý bắt buộc; ","")&amp;IF($L4825="","Thiếu/sai Mã REF; ",IF(AND($L4825="Chưa xác định",DANH_MUC!$L$9&lt;&gt;"Có"),"Nguồn chưa xác định; ","")))</f>
        <v/>
      </c>
      <c r="V4825" s="22">
        <f>IF(OR($D4825="",$R4825="Trùng"),"",IF(COUNTIF(ORDERS!$C$2:$C$4995,$D4825)&gt;0,"Có","Không"))</f>
        <v/>
      </c>
      <c r="W4825" s="22">
        <f>IF(OR($D4825="",$R4825="Trùng"),"",COUNTIFS(ORDERS!$C$2:$C$4995,$D4825,ORDERS!$L$2:$L$4995,"Đã chuyển khoản"))</f>
        <v/>
      </c>
      <c r="X4825" s="23">
        <f>IF(OR($D4825="",$R4825="Trùng"),"",SUMIFS(ORDERS!$J$2:$J$4995,ORDERS!$C$2:$C$4995,$D4825,ORDERS!$L$2:$L$4995,"Đã chuyển khoản"))</f>
        <v/>
      </c>
      <c r="Y4825" s="24" t="n"/>
    </row>
    <row r="4826" ht="14.25" customHeight="1" s="40">
      <c r="A4826" s="24" t="n"/>
      <c r="B4826" s="27" t="n"/>
      <c r="C4826" s="24" t="n"/>
      <c r="D4826" s="28" t="n"/>
      <c r="E4826" s="29" t="n"/>
      <c r="F4826" s="24" t="n"/>
      <c r="G4826" s="24" t="n"/>
      <c r="H4826" s="21">
        <f>IF(ISNUMBER($B4826),INT($B4826)-WEEKDAY($B4826,2)+1,"")</f>
        <v/>
      </c>
      <c r="I4826" s="24" t="n"/>
      <c r="J4826" s="22">
        <f t="array" ref="J4826">IF($D4826="","",IF($I4826="","(trống REF)",IFERROR(INDEX(MASTER_SOURCE!$B$2:$B$495,MATCH($I4826,MASTER_SOURCE!$A$2:$A$495,0)),"(REF không có trong MASTER_SOURCE)")))</f>
        <v/>
      </c>
      <c r="K4826" s="22">
        <f t="array" ref="K4826">IF($D4826="","",IFERROR(INDEX(MASTER_SOURCE!$C$2:$C$495,MATCH($I4826,MASTER_SOURCE!$A$2:$A$495,0)),""))</f>
        <v/>
      </c>
      <c r="L4826" s="22">
        <f t="array" ref="L4826">IF($D4826="","",IFERROR(INDEX(MASTER_SOURCE!$D$2:$D$495,MATCH($I4826,MASTER_SOURCE!$A$2:$A$495,0)),""))</f>
        <v/>
      </c>
      <c r="M4826" s="24" t="n"/>
      <c r="N4826" s="24" t="n"/>
      <c r="O4826" s="24" t="n"/>
      <c r="P4826" s="24" t="n"/>
      <c r="Q4826" s="22">
        <f>IF($D4826="","",IF(AND(OR(DANH_MUC!$L$5&lt;&gt;"Có",M4826="Có"),OR(DANH_MUC!$L$6&lt;&gt;"Có",N4826="Có"),OR(DANH_MUC!$L$7&lt;&gt;"Có",O4826="Có"),OR(DANH_MUC!$L$8&lt;&gt;"Có",P4826="Có")),"Có","Không"))</f>
        <v/>
      </c>
      <c r="R4826" s="22">
        <f>IF($D4826="","",IF(COUNTIF($D$2:$D4826,$D4826)&gt;1,"Trùng",""))</f>
        <v/>
      </c>
      <c r="S4826" s="22">
        <f>IF($D4826="","",IF(AND(LEN($D4826)=10,LEFT($D4826,1)="0",ISNUMBER(--$D4826)),"Có","Không"))</f>
        <v/>
      </c>
      <c r="T4826" s="22">
        <f>IF($D4826="","",IF(AND($C4826&lt;&gt;"",$Q4826="Có",$R4826="",$S4826="Có",AND($L4826&lt;&gt;"",OR($L4826&lt;&gt;"Chưa xác định",DANH_MUC!$L$9="Có"))),"Có","Không"))</f>
        <v/>
      </c>
      <c r="U4826" s="22">
        <f>IF(OR($D4826="",$T4826="Có"),"",IF($C4826="","Thiếu họ tên; ","")&amp;IF($S4826&lt;&gt;"Có","SĐT sai định dạng; ","")&amp;IF($R4826="Trùng","Trùng SĐT; ","")&amp;IF($Q4826&lt;&gt;"Có","Thiếu đồng ý bắt buộc; ","")&amp;IF($L4826="","Thiếu/sai Mã REF; ",IF(AND($L4826="Chưa xác định",DANH_MUC!$L$9&lt;&gt;"Có"),"Nguồn chưa xác định; ","")))</f>
        <v/>
      </c>
      <c r="V4826" s="22">
        <f>IF(OR($D4826="",$R4826="Trùng"),"",IF(COUNTIF(ORDERS!$C$2:$C$4995,$D4826)&gt;0,"Có","Không"))</f>
        <v/>
      </c>
      <c r="W4826" s="22">
        <f>IF(OR($D4826="",$R4826="Trùng"),"",COUNTIFS(ORDERS!$C$2:$C$4995,$D4826,ORDERS!$L$2:$L$4995,"Đã chuyển khoản"))</f>
        <v/>
      </c>
      <c r="X4826" s="23">
        <f>IF(OR($D4826="",$R4826="Trùng"),"",SUMIFS(ORDERS!$J$2:$J$4995,ORDERS!$C$2:$C$4995,$D4826,ORDERS!$L$2:$L$4995,"Đã chuyển khoản"))</f>
        <v/>
      </c>
      <c r="Y4826" s="24" t="n"/>
    </row>
    <row r="4827" ht="14.25" customHeight="1" s="40">
      <c r="A4827" s="24" t="n"/>
      <c r="B4827" s="27" t="n"/>
      <c r="C4827" s="24" t="n"/>
      <c r="D4827" s="28" t="n"/>
      <c r="E4827" s="29" t="n"/>
      <c r="F4827" s="24" t="n"/>
      <c r="G4827" s="24" t="n"/>
      <c r="H4827" s="21">
        <f>IF(ISNUMBER($B4827),INT($B4827)-WEEKDAY($B4827,2)+1,"")</f>
        <v/>
      </c>
      <c r="I4827" s="24" t="n"/>
      <c r="J4827" s="22">
        <f t="array" ref="J4827">IF($D4827="","",IF($I4827="","(trống REF)",IFERROR(INDEX(MASTER_SOURCE!$B$2:$B$495,MATCH($I4827,MASTER_SOURCE!$A$2:$A$495,0)),"(REF không có trong MASTER_SOURCE)")))</f>
        <v/>
      </c>
      <c r="K4827" s="22">
        <f t="array" ref="K4827">IF($D4827="","",IFERROR(INDEX(MASTER_SOURCE!$C$2:$C$495,MATCH($I4827,MASTER_SOURCE!$A$2:$A$495,0)),""))</f>
        <v/>
      </c>
      <c r="L4827" s="22">
        <f t="array" ref="L4827">IF($D4827="","",IFERROR(INDEX(MASTER_SOURCE!$D$2:$D$495,MATCH($I4827,MASTER_SOURCE!$A$2:$A$495,0)),""))</f>
        <v/>
      </c>
      <c r="M4827" s="24" t="n"/>
      <c r="N4827" s="24" t="n"/>
      <c r="O4827" s="24" t="n"/>
      <c r="P4827" s="24" t="n"/>
      <c r="Q4827" s="22">
        <f>IF($D4827="","",IF(AND(OR(DANH_MUC!$L$5&lt;&gt;"Có",M4827="Có"),OR(DANH_MUC!$L$6&lt;&gt;"Có",N4827="Có"),OR(DANH_MUC!$L$7&lt;&gt;"Có",O4827="Có"),OR(DANH_MUC!$L$8&lt;&gt;"Có",P4827="Có")),"Có","Không"))</f>
        <v/>
      </c>
      <c r="R4827" s="22">
        <f>IF($D4827="","",IF(COUNTIF($D$2:$D4827,$D4827)&gt;1,"Trùng",""))</f>
        <v/>
      </c>
      <c r="S4827" s="22">
        <f>IF($D4827="","",IF(AND(LEN($D4827)=10,LEFT($D4827,1)="0",ISNUMBER(--$D4827)),"Có","Không"))</f>
        <v/>
      </c>
      <c r="T4827" s="22">
        <f>IF($D4827="","",IF(AND($C4827&lt;&gt;"",$Q4827="Có",$R4827="",$S4827="Có",AND($L4827&lt;&gt;"",OR($L4827&lt;&gt;"Chưa xác định",DANH_MUC!$L$9="Có"))),"Có","Không"))</f>
        <v/>
      </c>
      <c r="U4827" s="22">
        <f>IF(OR($D4827="",$T4827="Có"),"",IF($C4827="","Thiếu họ tên; ","")&amp;IF($S4827&lt;&gt;"Có","SĐT sai định dạng; ","")&amp;IF($R4827="Trùng","Trùng SĐT; ","")&amp;IF($Q4827&lt;&gt;"Có","Thiếu đồng ý bắt buộc; ","")&amp;IF($L4827="","Thiếu/sai Mã REF; ",IF(AND($L4827="Chưa xác định",DANH_MUC!$L$9&lt;&gt;"Có"),"Nguồn chưa xác định; ","")))</f>
        <v/>
      </c>
      <c r="V4827" s="22">
        <f>IF(OR($D4827="",$R4827="Trùng"),"",IF(COUNTIF(ORDERS!$C$2:$C$4995,$D4827)&gt;0,"Có","Không"))</f>
        <v/>
      </c>
      <c r="W4827" s="22">
        <f>IF(OR($D4827="",$R4827="Trùng"),"",COUNTIFS(ORDERS!$C$2:$C$4995,$D4827,ORDERS!$L$2:$L$4995,"Đã chuyển khoản"))</f>
        <v/>
      </c>
      <c r="X4827" s="23">
        <f>IF(OR($D4827="",$R4827="Trùng"),"",SUMIFS(ORDERS!$J$2:$J$4995,ORDERS!$C$2:$C$4995,$D4827,ORDERS!$L$2:$L$4995,"Đã chuyển khoản"))</f>
        <v/>
      </c>
      <c r="Y4827" s="24" t="n"/>
    </row>
    <row r="4828" ht="14.25" customHeight="1" s="40">
      <c r="A4828" s="24" t="n"/>
      <c r="B4828" s="27" t="n"/>
      <c r="C4828" s="24" t="n"/>
      <c r="D4828" s="28" t="n"/>
      <c r="E4828" s="29" t="n"/>
      <c r="F4828" s="24" t="n"/>
      <c r="G4828" s="24" t="n"/>
      <c r="H4828" s="21">
        <f>IF(ISNUMBER($B4828),INT($B4828)-WEEKDAY($B4828,2)+1,"")</f>
        <v/>
      </c>
      <c r="I4828" s="24" t="n"/>
      <c r="J4828" s="22">
        <f t="array" ref="J4828">IF($D4828="","",IF($I4828="","(trống REF)",IFERROR(INDEX(MASTER_SOURCE!$B$2:$B$495,MATCH($I4828,MASTER_SOURCE!$A$2:$A$495,0)),"(REF không có trong MASTER_SOURCE)")))</f>
        <v/>
      </c>
      <c r="K4828" s="22">
        <f t="array" ref="K4828">IF($D4828="","",IFERROR(INDEX(MASTER_SOURCE!$C$2:$C$495,MATCH($I4828,MASTER_SOURCE!$A$2:$A$495,0)),""))</f>
        <v/>
      </c>
      <c r="L4828" s="22">
        <f t="array" ref="L4828">IF($D4828="","",IFERROR(INDEX(MASTER_SOURCE!$D$2:$D$495,MATCH($I4828,MASTER_SOURCE!$A$2:$A$495,0)),""))</f>
        <v/>
      </c>
      <c r="M4828" s="24" t="n"/>
      <c r="N4828" s="24" t="n"/>
      <c r="O4828" s="24" t="n"/>
      <c r="P4828" s="24" t="n"/>
      <c r="Q4828" s="22">
        <f>IF($D4828="","",IF(AND(OR(DANH_MUC!$L$5&lt;&gt;"Có",M4828="Có"),OR(DANH_MUC!$L$6&lt;&gt;"Có",N4828="Có"),OR(DANH_MUC!$L$7&lt;&gt;"Có",O4828="Có"),OR(DANH_MUC!$L$8&lt;&gt;"Có",P4828="Có")),"Có","Không"))</f>
        <v/>
      </c>
      <c r="R4828" s="22">
        <f>IF($D4828="","",IF(COUNTIF($D$2:$D4828,$D4828)&gt;1,"Trùng",""))</f>
        <v/>
      </c>
      <c r="S4828" s="22">
        <f>IF($D4828="","",IF(AND(LEN($D4828)=10,LEFT($D4828,1)="0",ISNUMBER(--$D4828)),"Có","Không"))</f>
        <v/>
      </c>
      <c r="T4828" s="22">
        <f>IF($D4828="","",IF(AND($C4828&lt;&gt;"",$Q4828="Có",$R4828="",$S4828="Có",AND($L4828&lt;&gt;"",OR($L4828&lt;&gt;"Chưa xác định",DANH_MUC!$L$9="Có"))),"Có","Không"))</f>
        <v/>
      </c>
      <c r="U4828" s="22">
        <f>IF(OR($D4828="",$T4828="Có"),"",IF($C4828="","Thiếu họ tên; ","")&amp;IF($S4828&lt;&gt;"Có","SĐT sai định dạng; ","")&amp;IF($R4828="Trùng","Trùng SĐT; ","")&amp;IF($Q4828&lt;&gt;"Có","Thiếu đồng ý bắt buộc; ","")&amp;IF($L4828="","Thiếu/sai Mã REF; ",IF(AND($L4828="Chưa xác định",DANH_MUC!$L$9&lt;&gt;"Có"),"Nguồn chưa xác định; ","")))</f>
        <v/>
      </c>
      <c r="V4828" s="22">
        <f>IF(OR($D4828="",$R4828="Trùng"),"",IF(COUNTIF(ORDERS!$C$2:$C$4995,$D4828)&gt;0,"Có","Không"))</f>
        <v/>
      </c>
      <c r="W4828" s="22">
        <f>IF(OR($D4828="",$R4828="Trùng"),"",COUNTIFS(ORDERS!$C$2:$C$4995,$D4828,ORDERS!$L$2:$L$4995,"Đã chuyển khoản"))</f>
        <v/>
      </c>
      <c r="X4828" s="23">
        <f>IF(OR($D4828="",$R4828="Trùng"),"",SUMIFS(ORDERS!$J$2:$J$4995,ORDERS!$C$2:$C$4995,$D4828,ORDERS!$L$2:$L$4995,"Đã chuyển khoản"))</f>
        <v/>
      </c>
      <c r="Y4828" s="24" t="n"/>
    </row>
    <row r="4829" ht="14.25" customHeight="1" s="40">
      <c r="A4829" s="24" t="n"/>
      <c r="B4829" s="27" t="n"/>
      <c r="C4829" s="24" t="n"/>
      <c r="D4829" s="28" t="n"/>
      <c r="E4829" s="29" t="n"/>
      <c r="F4829" s="24" t="n"/>
      <c r="G4829" s="24" t="n"/>
      <c r="H4829" s="21">
        <f>IF(ISNUMBER($B4829),INT($B4829)-WEEKDAY($B4829,2)+1,"")</f>
        <v/>
      </c>
      <c r="I4829" s="24" t="n"/>
      <c r="J4829" s="22">
        <f t="array" ref="J4829">IF($D4829="","",IF($I4829="","(trống REF)",IFERROR(INDEX(MASTER_SOURCE!$B$2:$B$495,MATCH($I4829,MASTER_SOURCE!$A$2:$A$495,0)),"(REF không có trong MASTER_SOURCE)")))</f>
        <v/>
      </c>
      <c r="K4829" s="22">
        <f t="array" ref="K4829">IF($D4829="","",IFERROR(INDEX(MASTER_SOURCE!$C$2:$C$495,MATCH($I4829,MASTER_SOURCE!$A$2:$A$495,0)),""))</f>
        <v/>
      </c>
      <c r="L4829" s="22">
        <f t="array" ref="L4829">IF($D4829="","",IFERROR(INDEX(MASTER_SOURCE!$D$2:$D$495,MATCH($I4829,MASTER_SOURCE!$A$2:$A$495,0)),""))</f>
        <v/>
      </c>
      <c r="M4829" s="24" t="n"/>
      <c r="N4829" s="24" t="n"/>
      <c r="O4829" s="24" t="n"/>
      <c r="P4829" s="24" t="n"/>
      <c r="Q4829" s="22">
        <f>IF($D4829="","",IF(AND(OR(DANH_MUC!$L$5&lt;&gt;"Có",M4829="Có"),OR(DANH_MUC!$L$6&lt;&gt;"Có",N4829="Có"),OR(DANH_MUC!$L$7&lt;&gt;"Có",O4829="Có"),OR(DANH_MUC!$L$8&lt;&gt;"Có",P4829="Có")),"Có","Không"))</f>
        <v/>
      </c>
      <c r="R4829" s="22">
        <f>IF($D4829="","",IF(COUNTIF($D$2:$D4829,$D4829)&gt;1,"Trùng",""))</f>
        <v/>
      </c>
      <c r="S4829" s="22">
        <f>IF($D4829="","",IF(AND(LEN($D4829)=10,LEFT($D4829,1)="0",ISNUMBER(--$D4829)),"Có","Không"))</f>
        <v/>
      </c>
      <c r="T4829" s="22">
        <f>IF($D4829="","",IF(AND($C4829&lt;&gt;"",$Q4829="Có",$R4829="",$S4829="Có",AND($L4829&lt;&gt;"",OR($L4829&lt;&gt;"Chưa xác định",DANH_MUC!$L$9="Có"))),"Có","Không"))</f>
        <v/>
      </c>
      <c r="U4829" s="22">
        <f>IF(OR($D4829="",$T4829="Có"),"",IF($C4829="","Thiếu họ tên; ","")&amp;IF($S4829&lt;&gt;"Có","SĐT sai định dạng; ","")&amp;IF($R4829="Trùng","Trùng SĐT; ","")&amp;IF($Q4829&lt;&gt;"Có","Thiếu đồng ý bắt buộc; ","")&amp;IF($L4829="","Thiếu/sai Mã REF; ",IF(AND($L4829="Chưa xác định",DANH_MUC!$L$9&lt;&gt;"Có"),"Nguồn chưa xác định; ","")))</f>
        <v/>
      </c>
      <c r="V4829" s="22">
        <f>IF(OR($D4829="",$R4829="Trùng"),"",IF(COUNTIF(ORDERS!$C$2:$C$4995,$D4829)&gt;0,"Có","Không"))</f>
        <v/>
      </c>
      <c r="W4829" s="22">
        <f>IF(OR($D4829="",$R4829="Trùng"),"",COUNTIFS(ORDERS!$C$2:$C$4995,$D4829,ORDERS!$L$2:$L$4995,"Đã chuyển khoản"))</f>
        <v/>
      </c>
      <c r="X4829" s="23">
        <f>IF(OR($D4829="",$R4829="Trùng"),"",SUMIFS(ORDERS!$J$2:$J$4995,ORDERS!$C$2:$C$4995,$D4829,ORDERS!$L$2:$L$4995,"Đã chuyển khoản"))</f>
        <v/>
      </c>
      <c r="Y4829" s="24" t="n"/>
    </row>
    <row r="4830" ht="14.25" customHeight="1" s="40">
      <c r="A4830" s="24" t="n"/>
      <c r="B4830" s="27" t="n"/>
      <c r="C4830" s="24" t="n"/>
      <c r="D4830" s="28" t="n"/>
      <c r="E4830" s="29" t="n"/>
      <c r="F4830" s="24" t="n"/>
      <c r="G4830" s="24" t="n"/>
      <c r="H4830" s="21">
        <f>IF(ISNUMBER($B4830),INT($B4830)-WEEKDAY($B4830,2)+1,"")</f>
        <v/>
      </c>
      <c r="I4830" s="24" t="n"/>
      <c r="J4830" s="22">
        <f t="array" ref="J4830">IF($D4830="","",IF($I4830="","(trống REF)",IFERROR(INDEX(MASTER_SOURCE!$B$2:$B$495,MATCH($I4830,MASTER_SOURCE!$A$2:$A$495,0)),"(REF không có trong MASTER_SOURCE)")))</f>
        <v/>
      </c>
      <c r="K4830" s="22">
        <f t="array" ref="K4830">IF($D4830="","",IFERROR(INDEX(MASTER_SOURCE!$C$2:$C$495,MATCH($I4830,MASTER_SOURCE!$A$2:$A$495,0)),""))</f>
        <v/>
      </c>
      <c r="L4830" s="22">
        <f t="array" ref="L4830">IF($D4830="","",IFERROR(INDEX(MASTER_SOURCE!$D$2:$D$495,MATCH($I4830,MASTER_SOURCE!$A$2:$A$495,0)),""))</f>
        <v/>
      </c>
      <c r="M4830" s="24" t="n"/>
      <c r="N4830" s="24" t="n"/>
      <c r="O4830" s="24" t="n"/>
      <c r="P4830" s="24" t="n"/>
      <c r="Q4830" s="22">
        <f>IF($D4830="","",IF(AND(OR(DANH_MUC!$L$5&lt;&gt;"Có",M4830="Có"),OR(DANH_MUC!$L$6&lt;&gt;"Có",N4830="Có"),OR(DANH_MUC!$L$7&lt;&gt;"Có",O4830="Có"),OR(DANH_MUC!$L$8&lt;&gt;"Có",P4830="Có")),"Có","Không"))</f>
        <v/>
      </c>
      <c r="R4830" s="22">
        <f>IF($D4830="","",IF(COUNTIF($D$2:$D4830,$D4830)&gt;1,"Trùng",""))</f>
        <v/>
      </c>
      <c r="S4830" s="22">
        <f>IF($D4830="","",IF(AND(LEN($D4830)=10,LEFT($D4830,1)="0",ISNUMBER(--$D4830)),"Có","Không"))</f>
        <v/>
      </c>
      <c r="T4830" s="22">
        <f>IF($D4830="","",IF(AND($C4830&lt;&gt;"",$Q4830="Có",$R4830="",$S4830="Có",AND($L4830&lt;&gt;"",OR($L4830&lt;&gt;"Chưa xác định",DANH_MUC!$L$9="Có"))),"Có","Không"))</f>
        <v/>
      </c>
      <c r="U4830" s="22">
        <f>IF(OR($D4830="",$T4830="Có"),"",IF($C4830="","Thiếu họ tên; ","")&amp;IF($S4830&lt;&gt;"Có","SĐT sai định dạng; ","")&amp;IF($R4830="Trùng","Trùng SĐT; ","")&amp;IF($Q4830&lt;&gt;"Có","Thiếu đồng ý bắt buộc; ","")&amp;IF($L4830="","Thiếu/sai Mã REF; ",IF(AND($L4830="Chưa xác định",DANH_MUC!$L$9&lt;&gt;"Có"),"Nguồn chưa xác định; ","")))</f>
        <v/>
      </c>
      <c r="V4830" s="22">
        <f>IF(OR($D4830="",$R4830="Trùng"),"",IF(COUNTIF(ORDERS!$C$2:$C$4995,$D4830)&gt;0,"Có","Không"))</f>
        <v/>
      </c>
      <c r="W4830" s="22">
        <f>IF(OR($D4830="",$R4830="Trùng"),"",COUNTIFS(ORDERS!$C$2:$C$4995,$D4830,ORDERS!$L$2:$L$4995,"Đã chuyển khoản"))</f>
        <v/>
      </c>
      <c r="X4830" s="23">
        <f>IF(OR($D4830="",$R4830="Trùng"),"",SUMIFS(ORDERS!$J$2:$J$4995,ORDERS!$C$2:$C$4995,$D4830,ORDERS!$L$2:$L$4995,"Đã chuyển khoản"))</f>
        <v/>
      </c>
      <c r="Y4830" s="24" t="n"/>
    </row>
    <row r="4831" ht="14.25" customHeight="1" s="40">
      <c r="A4831" s="24" t="n"/>
      <c r="B4831" s="27" t="n"/>
      <c r="C4831" s="24" t="n"/>
      <c r="D4831" s="28" t="n"/>
      <c r="E4831" s="29" t="n"/>
      <c r="F4831" s="24" t="n"/>
      <c r="G4831" s="24" t="n"/>
      <c r="H4831" s="21">
        <f>IF(ISNUMBER($B4831),INT($B4831)-WEEKDAY($B4831,2)+1,"")</f>
        <v/>
      </c>
      <c r="I4831" s="24" t="n"/>
      <c r="J4831" s="22">
        <f t="array" ref="J4831">IF($D4831="","",IF($I4831="","(trống REF)",IFERROR(INDEX(MASTER_SOURCE!$B$2:$B$495,MATCH($I4831,MASTER_SOURCE!$A$2:$A$495,0)),"(REF không có trong MASTER_SOURCE)")))</f>
        <v/>
      </c>
      <c r="K4831" s="22">
        <f t="array" ref="K4831">IF($D4831="","",IFERROR(INDEX(MASTER_SOURCE!$C$2:$C$495,MATCH($I4831,MASTER_SOURCE!$A$2:$A$495,0)),""))</f>
        <v/>
      </c>
      <c r="L4831" s="22">
        <f t="array" ref="L4831">IF($D4831="","",IFERROR(INDEX(MASTER_SOURCE!$D$2:$D$495,MATCH($I4831,MASTER_SOURCE!$A$2:$A$495,0)),""))</f>
        <v/>
      </c>
      <c r="M4831" s="24" t="n"/>
      <c r="N4831" s="24" t="n"/>
      <c r="O4831" s="24" t="n"/>
      <c r="P4831" s="24" t="n"/>
      <c r="Q4831" s="22">
        <f>IF($D4831="","",IF(AND(OR(DANH_MUC!$L$5&lt;&gt;"Có",M4831="Có"),OR(DANH_MUC!$L$6&lt;&gt;"Có",N4831="Có"),OR(DANH_MUC!$L$7&lt;&gt;"Có",O4831="Có"),OR(DANH_MUC!$L$8&lt;&gt;"Có",P4831="Có")),"Có","Không"))</f>
        <v/>
      </c>
      <c r="R4831" s="22">
        <f>IF($D4831="","",IF(COUNTIF($D$2:$D4831,$D4831)&gt;1,"Trùng",""))</f>
        <v/>
      </c>
      <c r="S4831" s="22">
        <f>IF($D4831="","",IF(AND(LEN($D4831)=10,LEFT($D4831,1)="0",ISNUMBER(--$D4831)),"Có","Không"))</f>
        <v/>
      </c>
      <c r="T4831" s="22">
        <f>IF($D4831="","",IF(AND($C4831&lt;&gt;"",$Q4831="Có",$R4831="",$S4831="Có",AND($L4831&lt;&gt;"",OR($L4831&lt;&gt;"Chưa xác định",DANH_MUC!$L$9="Có"))),"Có","Không"))</f>
        <v/>
      </c>
      <c r="U4831" s="22">
        <f>IF(OR($D4831="",$T4831="Có"),"",IF($C4831="","Thiếu họ tên; ","")&amp;IF($S4831&lt;&gt;"Có","SĐT sai định dạng; ","")&amp;IF($R4831="Trùng","Trùng SĐT; ","")&amp;IF($Q4831&lt;&gt;"Có","Thiếu đồng ý bắt buộc; ","")&amp;IF($L4831="","Thiếu/sai Mã REF; ",IF(AND($L4831="Chưa xác định",DANH_MUC!$L$9&lt;&gt;"Có"),"Nguồn chưa xác định; ","")))</f>
        <v/>
      </c>
      <c r="V4831" s="22">
        <f>IF(OR($D4831="",$R4831="Trùng"),"",IF(COUNTIF(ORDERS!$C$2:$C$4995,$D4831)&gt;0,"Có","Không"))</f>
        <v/>
      </c>
      <c r="W4831" s="22">
        <f>IF(OR($D4831="",$R4831="Trùng"),"",COUNTIFS(ORDERS!$C$2:$C$4995,$D4831,ORDERS!$L$2:$L$4995,"Đã chuyển khoản"))</f>
        <v/>
      </c>
      <c r="X4831" s="23">
        <f>IF(OR($D4831="",$R4831="Trùng"),"",SUMIFS(ORDERS!$J$2:$J$4995,ORDERS!$C$2:$C$4995,$D4831,ORDERS!$L$2:$L$4995,"Đã chuyển khoản"))</f>
        <v/>
      </c>
      <c r="Y4831" s="24" t="n"/>
    </row>
    <row r="4832" ht="14.25" customHeight="1" s="40">
      <c r="A4832" s="24" t="n"/>
      <c r="B4832" s="27" t="n"/>
      <c r="C4832" s="24" t="n"/>
      <c r="D4832" s="28" t="n"/>
      <c r="E4832" s="29" t="n"/>
      <c r="F4832" s="24" t="n"/>
      <c r="G4832" s="24" t="n"/>
      <c r="H4832" s="21">
        <f>IF(ISNUMBER($B4832),INT($B4832)-WEEKDAY($B4832,2)+1,"")</f>
        <v/>
      </c>
      <c r="I4832" s="24" t="n"/>
      <c r="J4832" s="22">
        <f t="array" ref="J4832">IF($D4832="","",IF($I4832="","(trống REF)",IFERROR(INDEX(MASTER_SOURCE!$B$2:$B$495,MATCH($I4832,MASTER_SOURCE!$A$2:$A$495,0)),"(REF không có trong MASTER_SOURCE)")))</f>
        <v/>
      </c>
      <c r="K4832" s="22">
        <f t="array" ref="K4832">IF($D4832="","",IFERROR(INDEX(MASTER_SOURCE!$C$2:$C$495,MATCH($I4832,MASTER_SOURCE!$A$2:$A$495,0)),""))</f>
        <v/>
      </c>
      <c r="L4832" s="22">
        <f t="array" ref="L4832">IF($D4832="","",IFERROR(INDEX(MASTER_SOURCE!$D$2:$D$495,MATCH($I4832,MASTER_SOURCE!$A$2:$A$495,0)),""))</f>
        <v/>
      </c>
      <c r="M4832" s="24" t="n"/>
      <c r="N4832" s="24" t="n"/>
      <c r="O4832" s="24" t="n"/>
      <c r="P4832" s="24" t="n"/>
      <c r="Q4832" s="22">
        <f>IF($D4832="","",IF(AND(OR(DANH_MUC!$L$5&lt;&gt;"Có",M4832="Có"),OR(DANH_MUC!$L$6&lt;&gt;"Có",N4832="Có"),OR(DANH_MUC!$L$7&lt;&gt;"Có",O4832="Có"),OR(DANH_MUC!$L$8&lt;&gt;"Có",P4832="Có")),"Có","Không"))</f>
        <v/>
      </c>
      <c r="R4832" s="22">
        <f>IF($D4832="","",IF(COUNTIF($D$2:$D4832,$D4832)&gt;1,"Trùng",""))</f>
        <v/>
      </c>
      <c r="S4832" s="22">
        <f>IF($D4832="","",IF(AND(LEN($D4832)=10,LEFT($D4832,1)="0",ISNUMBER(--$D4832)),"Có","Không"))</f>
        <v/>
      </c>
      <c r="T4832" s="22">
        <f>IF($D4832="","",IF(AND($C4832&lt;&gt;"",$Q4832="Có",$R4832="",$S4832="Có",AND($L4832&lt;&gt;"",OR($L4832&lt;&gt;"Chưa xác định",DANH_MUC!$L$9="Có"))),"Có","Không"))</f>
        <v/>
      </c>
      <c r="U4832" s="22">
        <f>IF(OR($D4832="",$T4832="Có"),"",IF($C4832="","Thiếu họ tên; ","")&amp;IF($S4832&lt;&gt;"Có","SĐT sai định dạng; ","")&amp;IF($R4832="Trùng","Trùng SĐT; ","")&amp;IF($Q4832&lt;&gt;"Có","Thiếu đồng ý bắt buộc; ","")&amp;IF($L4832="","Thiếu/sai Mã REF; ",IF(AND($L4832="Chưa xác định",DANH_MUC!$L$9&lt;&gt;"Có"),"Nguồn chưa xác định; ","")))</f>
        <v/>
      </c>
      <c r="V4832" s="22">
        <f>IF(OR($D4832="",$R4832="Trùng"),"",IF(COUNTIF(ORDERS!$C$2:$C$4995,$D4832)&gt;0,"Có","Không"))</f>
        <v/>
      </c>
      <c r="W4832" s="22">
        <f>IF(OR($D4832="",$R4832="Trùng"),"",COUNTIFS(ORDERS!$C$2:$C$4995,$D4832,ORDERS!$L$2:$L$4995,"Đã chuyển khoản"))</f>
        <v/>
      </c>
      <c r="X4832" s="23">
        <f>IF(OR($D4832="",$R4832="Trùng"),"",SUMIFS(ORDERS!$J$2:$J$4995,ORDERS!$C$2:$C$4995,$D4832,ORDERS!$L$2:$L$4995,"Đã chuyển khoản"))</f>
        <v/>
      </c>
      <c r="Y4832" s="24" t="n"/>
    </row>
    <row r="4833" ht="14.25" customHeight="1" s="40">
      <c r="A4833" s="24" t="n"/>
      <c r="B4833" s="27" t="n"/>
      <c r="C4833" s="24" t="n"/>
      <c r="D4833" s="28" t="n"/>
      <c r="E4833" s="29" t="n"/>
      <c r="F4833" s="24" t="n"/>
      <c r="G4833" s="24" t="n"/>
      <c r="H4833" s="21">
        <f>IF(ISNUMBER($B4833),INT($B4833)-WEEKDAY($B4833,2)+1,"")</f>
        <v/>
      </c>
      <c r="I4833" s="24" t="n"/>
      <c r="J4833" s="22">
        <f t="array" ref="J4833">IF($D4833="","",IF($I4833="","(trống REF)",IFERROR(INDEX(MASTER_SOURCE!$B$2:$B$495,MATCH($I4833,MASTER_SOURCE!$A$2:$A$495,0)),"(REF không có trong MASTER_SOURCE)")))</f>
        <v/>
      </c>
      <c r="K4833" s="22">
        <f t="array" ref="K4833">IF($D4833="","",IFERROR(INDEX(MASTER_SOURCE!$C$2:$C$495,MATCH($I4833,MASTER_SOURCE!$A$2:$A$495,0)),""))</f>
        <v/>
      </c>
      <c r="L4833" s="22">
        <f t="array" ref="L4833">IF($D4833="","",IFERROR(INDEX(MASTER_SOURCE!$D$2:$D$495,MATCH($I4833,MASTER_SOURCE!$A$2:$A$495,0)),""))</f>
        <v/>
      </c>
      <c r="M4833" s="24" t="n"/>
      <c r="N4833" s="24" t="n"/>
      <c r="O4833" s="24" t="n"/>
      <c r="P4833" s="24" t="n"/>
      <c r="Q4833" s="22">
        <f>IF($D4833="","",IF(AND(OR(DANH_MUC!$L$5&lt;&gt;"Có",M4833="Có"),OR(DANH_MUC!$L$6&lt;&gt;"Có",N4833="Có"),OR(DANH_MUC!$L$7&lt;&gt;"Có",O4833="Có"),OR(DANH_MUC!$L$8&lt;&gt;"Có",P4833="Có")),"Có","Không"))</f>
        <v/>
      </c>
      <c r="R4833" s="22">
        <f>IF($D4833="","",IF(COUNTIF($D$2:$D4833,$D4833)&gt;1,"Trùng",""))</f>
        <v/>
      </c>
      <c r="S4833" s="22">
        <f>IF($D4833="","",IF(AND(LEN($D4833)=10,LEFT($D4833,1)="0",ISNUMBER(--$D4833)),"Có","Không"))</f>
        <v/>
      </c>
      <c r="T4833" s="22">
        <f>IF($D4833="","",IF(AND($C4833&lt;&gt;"",$Q4833="Có",$R4833="",$S4833="Có",AND($L4833&lt;&gt;"",OR($L4833&lt;&gt;"Chưa xác định",DANH_MUC!$L$9="Có"))),"Có","Không"))</f>
        <v/>
      </c>
      <c r="U4833" s="22">
        <f>IF(OR($D4833="",$T4833="Có"),"",IF($C4833="","Thiếu họ tên; ","")&amp;IF($S4833&lt;&gt;"Có","SĐT sai định dạng; ","")&amp;IF($R4833="Trùng","Trùng SĐT; ","")&amp;IF($Q4833&lt;&gt;"Có","Thiếu đồng ý bắt buộc; ","")&amp;IF($L4833="","Thiếu/sai Mã REF; ",IF(AND($L4833="Chưa xác định",DANH_MUC!$L$9&lt;&gt;"Có"),"Nguồn chưa xác định; ","")))</f>
        <v/>
      </c>
      <c r="V4833" s="22">
        <f>IF(OR($D4833="",$R4833="Trùng"),"",IF(COUNTIF(ORDERS!$C$2:$C$4995,$D4833)&gt;0,"Có","Không"))</f>
        <v/>
      </c>
      <c r="W4833" s="22">
        <f>IF(OR($D4833="",$R4833="Trùng"),"",COUNTIFS(ORDERS!$C$2:$C$4995,$D4833,ORDERS!$L$2:$L$4995,"Đã chuyển khoản"))</f>
        <v/>
      </c>
      <c r="X4833" s="23">
        <f>IF(OR($D4833="",$R4833="Trùng"),"",SUMIFS(ORDERS!$J$2:$J$4995,ORDERS!$C$2:$C$4995,$D4833,ORDERS!$L$2:$L$4995,"Đã chuyển khoản"))</f>
        <v/>
      </c>
      <c r="Y4833" s="24" t="n"/>
    </row>
    <row r="4834" ht="14.25" customHeight="1" s="40">
      <c r="A4834" s="24" t="n"/>
      <c r="B4834" s="27" t="n"/>
      <c r="C4834" s="24" t="n"/>
      <c r="D4834" s="28" t="n"/>
      <c r="E4834" s="29" t="n"/>
      <c r="F4834" s="24" t="n"/>
      <c r="G4834" s="24" t="n"/>
      <c r="H4834" s="21">
        <f>IF(ISNUMBER($B4834),INT($B4834)-WEEKDAY($B4834,2)+1,"")</f>
        <v/>
      </c>
      <c r="I4834" s="24" t="n"/>
      <c r="J4834" s="22">
        <f t="array" ref="J4834">IF($D4834="","",IF($I4834="","(trống REF)",IFERROR(INDEX(MASTER_SOURCE!$B$2:$B$495,MATCH($I4834,MASTER_SOURCE!$A$2:$A$495,0)),"(REF không có trong MASTER_SOURCE)")))</f>
        <v/>
      </c>
      <c r="K4834" s="22">
        <f t="array" ref="K4834">IF($D4834="","",IFERROR(INDEX(MASTER_SOURCE!$C$2:$C$495,MATCH($I4834,MASTER_SOURCE!$A$2:$A$495,0)),""))</f>
        <v/>
      </c>
      <c r="L4834" s="22">
        <f t="array" ref="L4834">IF($D4834="","",IFERROR(INDEX(MASTER_SOURCE!$D$2:$D$495,MATCH($I4834,MASTER_SOURCE!$A$2:$A$495,0)),""))</f>
        <v/>
      </c>
      <c r="M4834" s="24" t="n"/>
      <c r="N4834" s="24" t="n"/>
      <c r="O4834" s="24" t="n"/>
      <c r="P4834" s="24" t="n"/>
      <c r="Q4834" s="22">
        <f>IF($D4834="","",IF(AND(OR(DANH_MUC!$L$5&lt;&gt;"Có",M4834="Có"),OR(DANH_MUC!$L$6&lt;&gt;"Có",N4834="Có"),OR(DANH_MUC!$L$7&lt;&gt;"Có",O4834="Có"),OR(DANH_MUC!$L$8&lt;&gt;"Có",P4834="Có")),"Có","Không"))</f>
        <v/>
      </c>
      <c r="R4834" s="22">
        <f>IF($D4834="","",IF(COUNTIF($D$2:$D4834,$D4834)&gt;1,"Trùng",""))</f>
        <v/>
      </c>
      <c r="S4834" s="22">
        <f>IF($D4834="","",IF(AND(LEN($D4834)=10,LEFT($D4834,1)="0",ISNUMBER(--$D4834)),"Có","Không"))</f>
        <v/>
      </c>
      <c r="T4834" s="22">
        <f>IF($D4834="","",IF(AND($C4834&lt;&gt;"",$Q4834="Có",$R4834="",$S4834="Có",AND($L4834&lt;&gt;"",OR($L4834&lt;&gt;"Chưa xác định",DANH_MUC!$L$9="Có"))),"Có","Không"))</f>
        <v/>
      </c>
      <c r="U4834" s="22">
        <f>IF(OR($D4834="",$T4834="Có"),"",IF($C4834="","Thiếu họ tên; ","")&amp;IF($S4834&lt;&gt;"Có","SĐT sai định dạng; ","")&amp;IF($R4834="Trùng","Trùng SĐT; ","")&amp;IF($Q4834&lt;&gt;"Có","Thiếu đồng ý bắt buộc; ","")&amp;IF($L4834="","Thiếu/sai Mã REF; ",IF(AND($L4834="Chưa xác định",DANH_MUC!$L$9&lt;&gt;"Có"),"Nguồn chưa xác định; ","")))</f>
        <v/>
      </c>
      <c r="V4834" s="22">
        <f>IF(OR($D4834="",$R4834="Trùng"),"",IF(COUNTIF(ORDERS!$C$2:$C$4995,$D4834)&gt;0,"Có","Không"))</f>
        <v/>
      </c>
      <c r="W4834" s="22">
        <f>IF(OR($D4834="",$R4834="Trùng"),"",COUNTIFS(ORDERS!$C$2:$C$4995,$D4834,ORDERS!$L$2:$L$4995,"Đã chuyển khoản"))</f>
        <v/>
      </c>
      <c r="X4834" s="23">
        <f>IF(OR($D4834="",$R4834="Trùng"),"",SUMIFS(ORDERS!$J$2:$J$4995,ORDERS!$C$2:$C$4995,$D4834,ORDERS!$L$2:$L$4995,"Đã chuyển khoản"))</f>
        <v/>
      </c>
      <c r="Y4834" s="24" t="n"/>
    </row>
    <row r="4835" ht="14.25" customHeight="1" s="40">
      <c r="A4835" s="24" t="n"/>
      <c r="B4835" s="27" t="n"/>
      <c r="C4835" s="24" t="n"/>
      <c r="D4835" s="28" t="n"/>
      <c r="E4835" s="29" t="n"/>
      <c r="F4835" s="24" t="n"/>
      <c r="G4835" s="24" t="n"/>
      <c r="H4835" s="21">
        <f>IF(ISNUMBER($B4835),INT($B4835)-WEEKDAY($B4835,2)+1,"")</f>
        <v/>
      </c>
      <c r="I4835" s="24" t="n"/>
      <c r="J4835" s="22">
        <f t="array" ref="J4835">IF($D4835="","",IF($I4835="","(trống REF)",IFERROR(INDEX(MASTER_SOURCE!$B$2:$B$495,MATCH($I4835,MASTER_SOURCE!$A$2:$A$495,0)),"(REF không có trong MASTER_SOURCE)")))</f>
        <v/>
      </c>
      <c r="K4835" s="22">
        <f t="array" ref="K4835">IF($D4835="","",IFERROR(INDEX(MASTER_SOURCE!$C$2:$C$495,MATCH($I4835,MASTER_SOURCE!$A$2:$A$495,0)),""))</f>
        <v/>
      </c>
      <c r="L4835" s="22">
        <f t="array" ref="L4835">IF($D4835="","",IFERROR(INDEX(MASTER_SOURCE!$D$2:$D$495,MATCH($I4835,MASTER_SOURCE!$A$2:$A$495,0)),""))</f>
        <v/>
      </c>
      <c r="M4835" s="24" t="n"/>
      <c r="N4835" s="24" t="n"/>
      <c r="O4835" s="24" t="n"/>
      <c r="P4835" s="24" t="n"/>
      <c r="Q4835" s="22">
        <f>IF($D4835="","",IF(AND(OR(DANH_MUC!$L$5&lt;&gt;"Có",M4835="Có"),OR(DANH_MUC!$L$6&lt;&gt;"Có",N4835="Có"),OR(DANH_MUC!$L$7&lt;&gt;"Có",O4835="Có"),OR(DANH_MUC!$L$8&lt;&gt;"Có",P4835="Có")),"Có","Không"))</f>
        <v/>
      </c>
      <c r="R4835" s="22">
        <f>IF($D4835="","",IF(COUNTIF($D$2:$D4835,$D4835)&gt;1,"Trùng",""))</f>
        <v/>
      </c>
      <c r="S4835" s="22">
        <f>IF($D4835="","",IF(AND(LEN($D4835)=10,LEFT($D4835,1)="0",ISNUMBER(--$D4835)),"Có","Không"))</f>
        <v/>
      </c>
      <c r="T4835" s="22">
        <f>IF($D4835="","",IF(AND($C4835&lt;&gt;"",$Q4835="Có",$R4835="",$S4835="Có",AND($L4835&lt;&gt;"",OR($L4835&lt;&gt;"Chưa xác định",DANH_MUC!$L$9="Có"))),"Có","Không"))</f>
        <v/>
      </c>
      <c r="U4835" s="22">
        <f>IF(OR($D4835="",$T4835="Có"),"",IF($C4835="","Thiếu họ tên; ","")&amp;IF($S4835&lt;&gt;"Có","SĐT sai định dạng; ","")&amp;IF($R4835="Trùng","Trùng SĐT; ","")&amp;IF($Q4835&lt;&gt;"Có","Thiếu đồng ý bắt buộc; ","")&amp;IF($L4835="","Thiếu/sai Mã REF; ",IF(AND($L4835="Chưa xác định",DANH_MUC!$L$9&lt;&gt;"Có"),"Nguồn chưa xác định; ","")))</f>
        <v/>
      </c>
      <c r="V4835" s="22">
        <f>IF(OR($D4835="",$R4835="Trùng"),"",IF(COUNTIF(ORDERS!$C$2:$C$4995,$D4835)&gt;0,"Có","Không"))</f>
        <v/>
      </c>
      <c r="W4835" s="22">
        <f>IF(OR($D4835="",$R4835="Trùng"),"",COUNTIFS(ORDERS!$C$2:$C$4995,$D4835,ORDERS!$L$2:$L$4995,"Đã chuyển khoản"))</f>
        <v/>
      </c>
      <c r="X4835" s="23">
        <f>IF(OR($D4835="",$R4835="Trùng"),"",SUMIFS(ORDERS!$J$2:$J$4995,ORDERS!$C$2:$C$4995,$D4835,ORDERS!$L$2:$L$4995,"Đã chuyển khoản"))</f>
        <v/>
      </c>
      <c r="Y4835" s="24" t="n"/>
    </row>
    <row r="4836" ht="14.25" customHeight="1" s="40">
      <c r="A4836" s="24" t="n"/>
      <c r="B4836" s="27" t="n"/>
      <c r="C4836" s="24" t="n"/>
      <c r="D4836" s="28" t="n"/>
      <c r="E4836" s="29" t="n"/>
      <c r="F4836" s="24" t="n"/>
      <c r="G4836" s="24" t="n"/>
      <c r="H4836" s="21">
        <f>IF(ISNUMBER($B4836),INT($B4836)-WEEKDAY($B4836,2)+1,"")</f>
        <v/>
      </c>
      <c r="I4836" s="24" t="n"/>
      <c r="J4836" s="22">
        <f t="array" ref="J4836">IF($D4836="","",IF($I4836="","(trống REF)",IFERROR(INDEX(MASTER_SOURCE!$B$2:$B$495,MATCH($I4836,MASTER_SOURCE!$A$2:$A$495,0)),"(REF không có trong MASTER_SOURCE)")))</f>
        <v/>
      </c>
      <c r="K4836" s="22">
        <f t="array" ref="K4836">IF($D4836="","",IFERROR(INDEX(MASTER_SOURCE!$C$2:$C$495,MATCH($I4836,MASTER_SOURCE!$A$2:$A$495,0)),""))</f>
        <v/>
      </c>
      <c r="L4836" s="22">
        <f t="array" ref="L4836">IF($D4836="","",IFERROR(INDEX(MASTER_SOURCE!$D$2:$D$495,MATCH($I4836,MASTER_SOURCE!$A$2:$A$495,0)),""))</f>
        <v/>
      </c>
      <c r="M4836" s="24" t="n"/>
      <c r="N4836" s="24" t="n"/>
      <c r="O4836" s="24" t="n"/>
      <c r="P4836" s="24" t="n"/>
      <c r="Q4836" s="22">
        <f>IF($D4836="","",IF(AND(OR(DANH_MUC!$L$5&lt;&gt;"Có",M4836="Có"),OR(DANH_MUC!$L$6&lt;&gt;"Có",N4836="Có"),OR(DANH_MUC!$L$7&lt;&gt;"Có",O4836="Có"),OR(DANH_MUC!$L$8&lt;&gt;"Có",P4836="Có")),"Có","Không"))</f>
        <v/>
      </c>
      <c r="R4836" s="22">
        <f>IF($D4836="","",IF(COUNTIF($D$2:$D4836,$D4836)&gt;1,"Trùng",""))</f>
        <v/>
      </c>
      <c r="S4836" s="22">
        <f>IF($D4836="","",IF(AND(LEN($D4836)=10,LEFT($D4836,1)="0",ISNUMBER(--$D4836)),"Có","Không"))</f>
        <v/>
      </c>
      <c r="T4836" s="22">
        <f>IF($D4836="","",IF(AND($C4836&lt;&gt;"",$Q4836="Có",$R4836="",$S4836="Có",AND($L4836&lt;&gt;"",OR($L4836&lt;&gt;"Chưa xác định",DANH_MUC!$L$9="Có"))),"Có","Không"))</f>
        <v/>
      </c>
      <c r="U4836" s="22">
        <f>IF(OR($D4836="",$T4836="Có"),"",IF($C4836="","Thiếu họ tên; ","")&amp;IF($S4836&lt;&gt;"Có","SĐT sai định dạng; ","")&amp;IF($R4836="Trùng","Trùng SĐT; ","")&amp;IF($Q4836&lt;&gt;"Có","Thiếu đồng ý bắt buộc; ","")&amp;IF($L4836="","Thiếu/sai Mã REF; ",IF(AND($L4836="Chưa xác định",DANH_MUC!$L$9&lt;&gt;"Có"),"Nguồn chưa xác định; ","")))</f>
        <v/>
      </c>
      <c r="V4836" s="22">
        <f>IF(OR($D4836="",$R4836="Trùng"),"",IF(COUNTIF(ORDERS!$C$2:$C$4995,$D4836)&gt;0,"Có","Không"))</f>
        <v/>
      </c>
      <c r="W4836" s="22">
        <f>IF(OR($D4836="",$R4836="Trùng"),"",COUNTIFS(ORDERS!$C$2:$C$4995,$D4836,ORDERS!$L$2:$L$4995,"Đã chuyển khoản"))</f>
        <v/>
      </c>
      <c r="X4836" s="23">
        <f>IF(OR($D4836="",$R4836="Trùng"),"",SUMIFS(ORDERS!$J$2:$J$4995,ORDERS!$C$2:$C$4995,$D4836,ORDERS!$L$2:$L$4995,"Đã chuyển khoản"))</f>
        <v/>
      </c>
      <c r="Y4836" s="24" t="n"/>
    </row>
    <row r="4837" ht="14.25" customHeight="1" s="40">
      <c r="A4837" s="24" t="n"/>
      <c r="B4837" s="27" t="n"/>
      <c r="C4837" s="24" t="n"/>
      <c r="D4837" s="28" t="n"/>
      <c r="E4837" s="29" t="n"/>
      <c r="F4837" s="24" t="n"/>
      <c r="G4837" s="24" t="n"/>
      <c r="H4837" s="21">
        <f>IF(ISNUMBER($B4837),INT($B4837)-WEEKDAY($B4837,2)+1,"")</f>
        <v/>
      </c>
      <c r="I4837" s="24" t="n"/>
      <c r="J4837" s="22">
        <f t="array" ref="J4837">IF($D4837="","",IF($I4837="","(trống REF)",IFERROR(INDEX(MASTER_SOURCE!$B$2:$B$495,MATCH($I4837,MASTER_SOURCE!$A$2:$A$495,0)),"(REF không có trong MASTER_SOURCE)")))</f>
        <v/>
      </c>
      <c r="K4837" s="22">
        <f t="array" ref="K4837">IF($D4837="","",IFERROR(INDEX(MASTER_SOURCE!$C$2:$C$495,MATCH($I4837,MASTER_SOURCE!$A$2:$A$495,0)),""))</f>
        <v/>
      </c>
      <c r="L4837" s="22">
        <f t="array" ref="L4837">IF($D4837="","",IFERROR(INDEX(MASTER_SOURCE!$D$2:$D$495,MATCH($I4837,MASTER_SOURCE!$A$2:$A$495,0)),""))</f>
        <v/>
      </c>
      <c r="M4837" s="24" t="n"/>
      <c r="N4837" s="24" t="n"/>
      <c r="O4837" s="24" t="n"/>
      <c r="P4837" s="24" t="n"/>
      <c r="Q4837" s="22">
        <f>IF($D4837="","",IF(AND(OR(DANH_MUC!$L$5&lt;&gt;"Có",M4837="Có"),OR(DANH_MUC!$L$6&lt;&gt;"Có",N4837="Có"),OR(DANH_MUC!$L$7&lt;&gt;"Có",O4837="Có"),OR(DANH_MUC!$L$8&lt;&gt;"Có",P4837="Có")),"Có","Không"))</f>
        <v/>
      </c>
      <c r="R4837" s="22">
        <f>IF($D4837="","",IF(COUNTIF($D$2:$D4837,$D4837)&gt;1,"Trùng",""))</f>
        <v/>
      </c>
      <c r="S4837" s="22">
        <f>IF($D4837="","",IF(AND(LEN($D4837)=10,LEFT($D4837,1)="0",ISNUMBER(--$D4837)),"Có","Không"))</f>
        <v/>
      </c>
      <c r="T4837" s="22">
        <f>IF($D4837="","",IF(AND($C4837&lt;&gt;"",$Q4837="Có",$R4837="",$S4837="Có",AND($L4837&lt;&gt;"",OR($L4837&lt;&gt;"Chưa xác định",DANH_MUC!$L$9="Có"))),"Có","Không"))</f>
        <v/>
      </c>
      <c r="U4837" s="22">
        <f>IF(OR($D4837="",$T4837="Có"),"",IF($C4837="","Thiếu họ tên; ","")&amp;IF($S4837&lt;&gt;"Có","SĐT sai định dạng; ","")&amp;IF($R4837="Trùng","Trùng SĐT; ","")&amp;IF($Q4837&lt;&gt;"Có","Thiếu đồng ý bắt buộc; ","")&amp;IF($L4837="","Thiếu/sai Mã REF; ",IF(AND($L4837="Chưa xác định",DANH_MUC!$L$9&lt;&gt;"Có"),"Nguồn chưa xác định; ","")))</f>
        <v/>
      </c>
      <c r="V4837" s="22">
        <f>IF(OR($D4837="",$R4837="Trùng"),"",IF(COUNTIF(ORDERS!$C$2:$C$4995,$D4837)&gt;0,"Có","Không"))</f>
        <v/>
      </c>
      <c r="W4837" s="22">
        <f>IF(OR($D4837="",$R4837="Trùng"),"",COUNTIFS(ORDERS!$C$2:$C$4995,$D4837,ORDERS!$L$2:$L$4995,"Đã chuyển khoản"))</f>
        <v/>
      </c>
      <c r="X4837" s="23">
        <f>IF(OR($D4837="",$R4837="Trùng"),"",SUMIFS(ORDERS!$J$2:$J$4995,ORDERS!$C$2:$C$4995,$D4837,ORDERS!$L$2:$L$4995,"Đã chuyển khoản"))</f>
        <v/>
      </c>
      <c r="Y4837" s="24" t="n"/>
    </row>
    <row r="4838" ht="14.25" customHeight="1" s="40">
      <c r="A4838" s="24" t="n"/>
      <c r="B4838" s="27" t="n"/>
      <c r="C4838" s="24" t="n"/>
      <c r="D4838" s="28" t="n"/>
      <c r="E4838" s="29" t="n"/>
      <c r="F4838" s="24" t="n"/>
      <c r="G4838" s="24" t="n"/>
      <c r="H4838" s="21">
        <f>IF(ISNUMBER($B4838),INT($B4838)-WEEKDAY($B4838,2)+1,"")</f>
        <v/>
      </c>
      <c r="I4838" s="24" t="n"/>
      <c r="J4838" s="22">
        <f t="array" ref="J4838">IF($D4838="","",IF($I4838="","(trống REF)",IFERROR(INDEX(MASTER_SOURCE!$B$2:$B$495,MATCH($I4838,MASTER_SOURCE!$A$2:$A$495,0)),"(REF không có trong MASTER_SOURCE)")))</f>
        <v/>
      </c>
      <c r="K4838" s="22">
        <f t="array" ref="K4838">IF($D4838="","",IFERROR(INDEX(MASTER_SOURCE!$C$2:$C$495,MATCH($I4838,MASTER_SOURCE!$A$2:$A$495,0)),""))</f>
        <v/>
      </c>
      <c r="L4838" s="22">
        <f t="array" ref="L4838">IF($D4838="","",IFERROR(INDEX(MASTER_SOURCE!$D$2:$D$495,MATCH($I4838,MASTER_SOURCE!$A$2:$A$495,0)),""))</f>
        <v/>
      </c>
      <c r="M4838" s="24" t="n"/>
      <c r="N4838" s="24" t="n"/>
      <c r="O4838" s="24" t="n"/>
      <c r="P4838" s="24" t="n"/>
      <c r="Q4838" s="22">
        <f>IF($D4838="","",IF(AND(OR(DANH_MUC!$L$5&lt;&gt;"Có",M4838="Có"),OR(DANH_MUC!$L$6&lt;&gt;"Có",N4838="Có"),OR(DANH_MUC!$L$7&lt;&gt;"Có",O4838="Có"),OR(DANH_MUC!$L$8&lt;&gt;"Có",P4838="Có")),"Có","Không"))</f>
        <v/>
      </c>
      <c r="R4838" s="22">
        <f>IF($D4838="","",IF(COUNTIF($D$2:$D4838,$D4838)&gt;1,"Trùng",""))</f>
        <v/>
      </c>
      <c r="S4838" s="22">
        <f>IF($D4838="","",IF(AND(LEN($D4838)=10,LEFT($D4838,1)="0",ISNUMBER(--$D4838)),"Có","Không"))</f>
        <v/>
      </c>
      <c r="T4838" s="22">
        <f>IF($D4838="","",IF(AND($C4838&lt;&gt;"",$Q4838="Có",$R4838="",$S4838="Có",AND($L4838&lt;&gt;"",OR($L4838&lt;&gt;"Chưa xác định",DANH_MUC!$L$9="Có"))),"Có","Không"))</f>
        <v/>
      </c>
      <c r="U4838" s="22">
        <f>IF(OR($D4838="",$T4838="Có"),"",IF($C4838="","Thiếu họ tên; ","")&amp;IF($S4838&lt;&gt;"Có","SĐT sai định dạng; ","")&amp;IF($R4838="Trùng","Trùng SĐT; ","")&amp;IF($Q4838&lt;&gt;"Có","Thiếu đồng ý bắt buộc; ","")&amp;IF($L4838="","Thiếu/sai Mã REF; ",IF(AND($L4838="Chưa xác định",DANH_MUC!$L$9&lt;&gt;"Có"),"Nguồn chưa xác định; ","")))</f>
        <v/>
      </c>
      <c r="V4838" s="22">
        <f>IF(OR($D4838="",$R4838="Trùng"),"",IF(COUNTIF(ORDERS!$C$2:$C$4995,$D4838)&gt;0,"Có","Không"))</f>
        <v/>
      </c>
      <c r="W4838" s="22">
        <f>IF(OR($D4838="",$R4838="Trùng"),"",COUNTIFS(ORDERS!$C$2:$C$4995,$D4838,ORDERS!$L$2:$L$4995,"Đã chuyển khoản"))</f>
        <v/>
      </c>
      <c r="X4838" s="23">
        <f>IF(OR($D4838="",$R4838="Trùng"),"",SUMIFS(ORDERS!$J$2:$J$4995,ORDERS!$C$2:$C$4995,$D4838,ORDERS!$L$2:$L$4995,"Đã chuyển khoản"))</f>
        <v/>
      </c>
      <c r="Y4838" s="24" t="n"/>
    </row>
    <row r="4839" ht="14.25" customHeight="1" s="40">
      <c r="A4839" s="24" t="n"/>
      <c r="B4839" s="27" t="n"/>
      <c r="C4839" s="24" t="n"/>
      <c r="D4839" s="28" t="n"/>
      <c r="E4839" s="29" t="n"/>
      <c r="F4839" s="24" t="n"/>
      <c r="G4839" s="24" t="n"/>
      <c r="H4839" s="21">
        <f>IF(ISNUMBER($B4839),INT($B4839)-WEEKDAY($B4839,2)+1,"")</f>
        <v/>
      </c>
      <c r="I4839" s="24" t="n"/>
      <c r="J4839" s="22">
        <f t="array" ref="J4839">IF($D4839="","",IF($I4839="","(trống REF)",IFERROR(INDEX(MASTER_SOURCE!$B$2:$B$495,MATCH($I4839,MASTER_SOURCE!$A$2:$A$495,0)),"(REF không có trong MASTER_SOURCE)")))</f>
        <v/>
      </c>
      <c r="K4839" s="22">
        <f t="array" ref="K4839">IF($D4839="","",IFERROR(INDEX(MASTER_SOURCE!$C$2:$C$495,MATCH($I4839,MASTER_SOURCE!$A$2:$A$495,0)),""))</f>
        <v/>
      </c>
      <c r="L4839" s="22">
        <f t="array" ref="L4839">IF($D4839="","",IFERROR(INDEX(MASTER_SOURCE!$D$2:$D$495,MATCH($I4839,MASTER_SOURCE!$A$2:$A$495,0)),""))</f>
        <v/>
      </c>
      <c r="M4839" s="24" t="n"/>
      <c r="N4839" s="24" t="n"/>
      <c r="O4839" s="24" t="n"/>
      <c r="P4839" s="24" t="n"/>
      <c r="Q4839" s="22">
        <f>IF($D4839="","",IF(AND(OR(DANH_MUC!$L$5&lt;&gt;"Có",M4839="Có"),OR(DANH_MUC!$L$6&lt;&gt;"Có",N4839="Có"),OR(DANH_MUC!$L$7&lt;&gt;"Có",O4839="Có"),OR(DANH_MUC!$L$8&lt;&gt;"Có",P4839="Có")),"Có","Không"))</f>
        <v/>
      </c>
      <c r="R4839" s="22">
        <f>IF($D4839="","",IF(COUNTIF($D$2:$D4839,$D4839)&gt;1,"Trùng",""))</f>
        <v/>
      </c>
      <c r="S4839" s="22">
        <f>IF($D4839="","",IF(AND(LEN($D4839)=10,LEFT($D4839,1)="0",ISNUMBER(--$D4839)),"Có","Không"))</f>
        <v/>
      </c>
      <c r="T4839" s="22">
        <f>IF($D4839="","",IF(AND($C4839&lt;&gt;"",$Q4839="Có",$R4839="",$S4839="Có",AND($L4839&lt;&gt;"",OR($L4839&lt;&gt;"Chưa xác định",DANH_MUC!$L$9="Có"))),"Có","Không"))</f>
        <v/>
      </c>
      <c r="U4839" s="22">
        <f>IF(OR($D4839="",$T4839="Có"),"",IF($C4839="","Thiếu họ tên; ","")&amp;IF($S4839&lt;&gt;"Có","SĐT sai định dạng; ","")&amp;IF($R4839="Trùng","Trùng SĐT; ","")&amp;IF($Q4839&lt;&gt;"Có","Thiếu đồng ý bắt buộc; ","")&amp;IF($L4839="","Thiếu/sai Mã REF; ",IF(AND($L4839="Chưa xác định",DANH_MUC!$L$9&lt;&gt;"Có"),"Nguồn chưa xác định; ","")))</f>
        <v/>
      </c>
      <c r="V4839" s="22">
        <f>IF(OR($D4839="",$R4839="Trùng"),"",IF(COUNTIF(ORDERS!$C$2:$C$4995,$D4839)&gt;0,"Có","Không"))</f>
        <v/>
      </c>
      <c r="W4839" s="22">
        <f>IF(OR($D4839="",$R4839="Trùng"),"",COUNTIFS(ORDERS!$C$2:$C$4995,$D4839,ORDERS!$L$2:$L$4995,"Đã chuyển khoản"))</f>
        <v/>
      </c>
      <c r="X4839" s="23">
        <f>IF(OR($D4839="",$R4839="Trùng"),"",SUMIFS(ORDERS!$J$2:$J$4995,ORDERS!$C$2:$C$4995,$D4839,ORDERS!$L$2:$L$4995,"Đã chuyển khoản"))</f>
        <v/>
      </c>
      <c r="Y4839" s="24" t="n"/>
    </row>
    <row r="4840" ht="14.25" customHeight="1" s="40">
      <c r="A4840" s="24" t="n"/>
      <c r="B4840" s="27" t="n"/>
      <c r="C4840" s="24" t="n"/>
      <c r="D4840" s="28" t="n"/>
      <c r="E4840" s="29" t="n"/>
      <c r="F4840" s="24" t="n"/>
      <c r="G4840" s="24" t="n"/>
      <c r="H4840" s="21">
        <f>IF(ISNUMBER($B4840),INT($B4840)-WEEKDAY($B4840,2)+1,"")</f>
        <v/>
      </c>
      <c r="I4840" s="24" t="n"/>
      <c r="J4840" s="22">
        <f t="array" ref="J4840">IF($D4840="","",IF($I4840="","(trống REF)",IFERROR(INDEX(MASTER_SOURCE!$B$2:$B$495,MATCH($I4840,MASTER_SOURCE!$A$2:$A$495,0)),"(REF không có trong MASTER_SOURCE)")))</f>
        <v/>
      </c>
      <c r="K4840" s="22">
        <f t="array" ref="K4840">IF($D4840="","",IFERROR(INDEX(MASTER_SOURCE!$C$2:$C$495,MATCH($I4840,MASTER_SOURCE!$A$2:$A$495,0)),""))</f>
        <v/>
      </c>
      <c r="L4840" s="22">
        <f t="array" ref="L4840">IF($D4840="","",IFERROR(INDEX(MASTER_SOURCE!$D$2:$D$495,MATCH($I4840,MASTER_SOURCE!$A$2:$A$495,0)),""))</f>
        <v/>
      </c>
      <c r="M4840" s="24" t="n"/>
      <c r="N4840" s="24" t="n"/>
      <c r="O4840" s="24" t="n"/>
      <c r="P4840" s="24" t="n"/>
      <c r="Q4840" s="22">
        <f>IF($D4840="","",IF(AND(OR(DANH_MUC!$L$5&lt;&gt;"Có",M4840="Có"),OR(DANH_MUC!$L$6&lt;&gt;"Có",N4840="Có"),OR(DANH_MUC!$L$7&lt;&gt;"Có",O4840="Có"),OR(DANH_MUC!$L$8&lt;&gt;"Có",P4840="Có")),"Có","Không"))</f>
        <v/>
      </c>
      <c r="R4840" s="22">
        <f>IF($D4840="","",IF(COUNTIF($D$2:$D4840,$D4840)&gt;1,"Trùng",""))</f>
        <v/>
      </c>
      <c r="S4840" s="22">
        <f>IF($D4840="","",IF(AND(LEN($D4840)=10,LEFT($D4840,1)="0",ISNUMBER(--$D4840)),"Có","Không"))</f>
        <v/>
      </c>
      <c r="T4840" s="22">
        <f>IF($D4840="","",IF(AND($C4840&lt;&gt;"",$Q4840="Có",$R4840="",$S4840="Có",AND($L4840&lt;&gt;"",OR($L4840&lt;&gt;"Chưa xác định",DANH_MUC!$L$9="Có"))),"Có","Không"))</f>
        <v/>
      </c>
      <c r="U4840" s="22">
        <f>IF(OR($D4840="",$T4840="Có"),"",IF($C4840="","Thiếu họ tên; ","")&amp;IF($S4840&lt;&gt;"Có","SĐT sai định dạng; ","")&amp;IF($R4840="Trùng","Trùng SĐT; ","")&amp;IF($Q4840&lt;&gt;"Có","Thiếu đồng ý bắt buộc; ","")&amp;IF($L4840="","Thiếu/sai Mã REF; ",IF(AND($L4840="Chưa xác định",DANH_MUC!$L$9&lt;&gt;"Có"),"Nguồn chưa xác định; ","")))</f>
        <v/>
      </c>
      <c r="V4840" s="22">
        <f>IF(OR($D4840="",$R4840="Trùng"),"",IF(COUNTIF(ORDERS!$C$2:$C$4995,$D4840)&gt;0,"Có","Không"))</f>
        <v/>
      </c>
      <c r="W4840" s="22">
        <f>IF(OR($D4840="",$R4840="Trùng"),"",COUNTIFS(ORDERS!$C$2:$C$4995,$D4840,ORDERS!$L$2:$L$4995,"Đã chuyển khoản"))</f>
        <v/>
      </c>
      <c r="X4840" s="23">
        <f>IF(OR($D4840="",$R4840="Trùng"),"",SUMIFS(ORDERS!$J$2:$J$4995,ORDERS!$C$2:$C$4995,$D4840,ORDERS!$L$2:$L$4995,"Đã chuyển khoản"))</f>
        <v/>
      </c>
      <c r="Y4840" s="24" t="n"/>
    </row>
    <row r="4841" ht="14.25" customHeight="1" s="40">
      <c r="A4841" s="24" t="n"/>
      <c r="B4841" s="27" t="n"/>
      <c r="C4841" s="24" t="n"/>
      <c r="D4841" s="28" t="n"/>
      <c r="E4841" s="29" t="n"/>
      <c r="F4841" s="24" t="n"/>
      <c r="G4841" s="24" t="n"/>
      <c r="H4841" s="21">
        <f>IF(ISNUMBER($B4841),INT($B4841)-WEEKDAY($B4841,2)+1,"")</f>
        <v/>
      </c>
      <c r="I4841" s="24" t="n"/>
      <c r="J4841" s="22">
        <f t="array" ref="J4841">IF($D4841="","",IF($I4841="","(trống REF)",IFERROR(INDEX(MASTER_SOURCE!$B$2:$B$495,MATCH($I4841,MASTER_SOURCE!$A$2:$A$495,0)),"(REF không có trong MASTER_SOURCE)")))</f>
        <v/>
      </c>
      <c r="K4841" s="22">
        <f t="array" ref="K4841">IF($D4841="","",IFERROR(INDEX(MASTER_SOURCE!$C$2:$C$495,MATCH($I4841,MASTER_SOURCE!$A$2:$A$495,0)),""))</f>
        <v/>
      </c>
      <c r="L4841" s="22">
        <f t="array" ref="L4841">IF($D4841="","",IFERROR(INDEX(MASTER_SOURCE!$D$2:$D$495,MATCH($I4841,MASTER_SOURCE!$A$2:$A$495,0)),""))</f>
        <v/>
      </c>
      <c r="M4841" s="24" t="n"/>
      <c r="N4841" s="24" t="n"/>
      <c r="O4841" s="24" t="n"/>
      <c r="P4841" s="24" t="n"/>
      <c r="Q4841" s="22">
        <f>IF($D4841="","",IF(AND(OR(DANH_MUC!$L$5&lt;&gt;"Có",M4841="Có"),OR(DANH_MUC!$L$6&lt;&gt;"Có",N4841="Có"),OR(DANH_MUC!$L$7&lt;&gt;"Có",O4841="Có"),OR(DANH_MUC!$L$8&lt;&gt;"Có",P4841="Có")),"Có","Không"))</f>
        <v/>
      </c>
      <c r="R4841" s="22">
        <f>IF($D4841="","",IF(COUNTIF($D$2:$D4841,$D4841)&gt;1,"Trùng",""))</f>
        <v/>
      </c>
      <c r="S4841" s="22">
        <f>IF($D4841="","",IF(AND(LEN($D4841)=10,LEFT($D4841,1)="0",ISNUMBER(--$D4841)),"Có","Không"))</f>
        <v/>
      </c>
      <c r="T4841" s="22">
        <f>IF($D4841="","",IF(AND($C4841&lt;&gt;"",$Q4841="Có",$R4841="",$S4841="Có",AND($L4841&lt;&gt;"",OR($L4841&lt;&gt;"Chưa xác định",DANH_MUC!$L$9="Có"))),"Có","Không"))</f>
        <v/>
      </c>
      <c r="U4841" s="22">
        <f>IF(OR($D4841="",$T4841="Có"),"",IF($C4841="","Thiếu họ tên; ","")&amp;IF($S4841&lt;&gt;"Có","SĐT sai định dạng; ","")&amp;IF($R4841="Trùng","Trùng SĐT; ","")&amp;IF($Q4841&lt;&gt;"Có","Thiếu đồng ý bắt buộc; ","")&amp;IF($L4841="","Thiếu/sai Mã REF; ",IF(AND($L4841="Chưa xác định",DANH_MUC!$L$9&lt;&gt;"Có"),"Nguồn chưa xác định; ","")))</f>
        <v/>
      </c>
      <c r="V4841" s="22">
        <f>IF(OR($D4841="",$R4841="Trùng"),"",IF(COUNTIF(ORDERS!$C$2:$C$4995,$D4841)&gt;0,"Có","Không"))</f>
        <v/>
      </c>
      <c r="W4841" s="22">
        <f>IF(OR($D4841="",$R4841="Trùng"),"",COUNTIFS(ORDERS!$C$2:$C$4995,$D4841,ORDERS!$L$2:$L$4995,"Đã chuyển khoản"))</f>
        <v/>
      </c>
      <c r="X4841" s="23">
        <f>IF(OR($D4841="",$R4841="Trùng"),"",SUMIFS(ORDERS!$J$2:$J$4995,ORDERS!$C$2:$C$4995,$D4841,ORDERS!$L$2:$L$4995,"Đã chuyển khoản"))</f>
        <v/>
      </c>
      <c r="Y4841" s="24" t="n"/>
    </row>
    <row r="4842" ht="14.25" customHeight="1" s="40">
      <c r="A4842" s="24" t="n"/>
      <c r="B4842" s="27" t="n"/>
      <c r="C4842" s="24" t="n"/>
      <c r="D4842" s="28" t="n"/>
      <c r="E4842" s="29" t="n"/>
      <c r="F4842" s="24" t="n"/>
      <c r="G4842" s="24" t="n"/>
      <c r="H4842" s="21">
        <f>IF(ISNUMBER($B4842),INT($B4842)-WEEKDAY($B4842,2)+1,"")</f>
        <v/>
      </c>
      <c r="I4842" s="24" t="n"/>
      <c r="J4842" s="22">
        <f t="array" ref="J4842">IF($D4842="","",IF($I4842="","(trống REF)",IFERROR(INDEX(MASTER_SOURCE!$B$2:$B$495,MATCH($I4842,MASTER_SOURCE!$A$2:$A$495,0)),"(REF không có trong MASTER_SOURCE)")))</f>
        <v/>
      </c>
      <c r="K4842" s="22">
        <f t="array" ref="K4842">IF($D4842="","",IFERROR(INDEX(MASTER_SOURCE!$C$2:$C$495,MATCH($I4842,MASTER_SOURCE!$A$2:$A$495,0)),""))</f>
        <v/>
      </c>
      <c r="L4842" s="22">
        <f t="array" ref="L4842">IF($D4842="","",IFERROR(INDEX(MASTER_SOURCE!$D$2:$D$495,MATCH($I4842,MASTER_SOURCE!$A$2:$A$495,0)),""))</f>
        <v/>
      </c>
      <c r="M4842" s="24" t="n"/>
      <c r="N4842" s="24" t="n"/>
      <c r="O4842" s="24" t="n"/>
      <c r="P4842" s="24" t="n"/>
      <c r="Q4842" s="22">
        <f>IF($D4842="","",IF(AND(OR(DANH_MUC!$L$5&lt;&gt;"Có",M4842="Có"),OR(DANH_MUC!$L$6&lt;&gt;"Có",N4842="Có"),OR(DANH_MUC!$L$7&lt;&gt;"Có",O4842="Có"),OR(DANH_MUC!$L$8&lt;&gt;"Có",P4842="Có")),"Có","Không"))</f>
        <v/>
      </c>
      <c r="R4842" s="22">
        <f>IF($D4842="","",IF(COUNTIF($D$2:$D4842,$D4842)&gt;1,"Trùng",""))</f>
        <v/>
      </c>
      <c r="S4842" s="22">
        <f>IF($D4842="","",IF(AND(LEN($D4842)=10,LEFT($D4842,1)="0",ISNUMBER(--$D4842)),"Có","Không"))</f>
        <v/>
      </c>
      <c r="T4842" s="22">
        <f>IF($D4842="","",IF(AND($C4842&lt;&gt;"",$Q4842="Có",$R4842="",$S4842="Có",AND($L4842&lt;&gt;"",OR($L4842&lt;&gt;"Chưa xác định",DANH_MUC!$L$9="Có"))),"Có","Không"))</f>
        <v/>
      </c>
      <c r="U4842" s="22">
        <f>IF(OR($D4842="",$T4842="Có"),"",IF($C4842="","Thiếu họ tên; ","")&amp;IF($S4842&lt;&gt;"Có","SĐT sai định dạng; ","")&amp;IF($R4842="Trùng","Trùng SĐT; ","")&amp;IF($Q4842&lt;&gt;"Có","Thiếu đồng ý bắt buộc; ","")&amp;IF($L4842="","Thiếu/sai Mã REF; ",IF(AND($L4842="Chưa xác định",DANH_MUC!$L$9&lt;&gt;"Có"),"Nguồn chưa xác định; ","")))</f>
        <v/>
      </c>
      <c r="V4842" s="22">
        <f>IF(OR($D4842="",$R4842="Trùng"),"",IF(COUNTIF(ORDERS!$C$2:$C$4995,$D4842)&gt;0,"Có","Không"))</f>
        <v/>
      </c>
      <c r="W4842" s="22">
        <f>IF(OR($D4842="",$R4842="Trùng"),"",COUNTIFS(ORDERS!$C$2:$C$4995,$D4842,ORDERS!$L$2:$L$4995,"Đã chuyển khoản"))</f>
        <v/>
      </c>
      <c r="X4842" s="23">
        <f>IF(OR($D4842="",$R4842="Trùng"),"",SUMIFS(ORDERS!$J$2:$J$4995,ORDERS!$C$2:$C$4995,$D4842,ORDERS!$L$2:$L$4995,"Đã chuyển khoản"))</f>
        <v/>
      </c>
      <c r="Y4842" s="24" t="n"/>
    </row>
    <row r="4843" ht="14.25" customHeight="1" s="40">
      <c r="A4843" s="24" t="n"/>
      <c r="B4843" s="27" t="n"/>
      <c r="C4843" s="24" t="n"/>
      <c r="D4843" s="28" t="n"/>
      <c r="E4843" s="29" t="n"/>
      <c r="F4843" s="24" t="n"/>
      <c r="G4843" s="24" t="n"/>
      <c r="H4843" s="21">
        <f>IF(ISNUMBER($B4843),INT($B4843)-WEEKDAY($B4843,2)+1,"")</f>
        <v/>
      </c>
      <c r="I4843" s="24" t="n"/>
      <c r="J4843" s="22">
        <f t="array" ref="J4843">IF($D4843="","",IF($I4843="","(trống REF)",IFERROR(INDEX(MASTER_SOURCE!$B$2:$B$495,MATCH($I4843,MASTER_SOURCE!$A$2:$A$495,0)),"(REF không có trong MASTER_SOURCE)")))</f>
        <v/>
      </c>
      <c r="K4843" s="22">
        <f t="array" ref="K4843">IF($D4843="","",IFERROR(INDEX(MASTER_SOURCE!$C$2:$C$495,MATCH($I4843,MASTER_SOURCE!$A$2:$A$495,0)),""))</f>
        <v/>
      </c>
      <c r="L4843" s="22">
        <f t="array" ref="L4843">IF($D4843="","",IFERROR(INDEX(MASTER_SOURCE!$D$2:$D$495,MATCH($I4843,MASTER_SOURCE!$A$2:$A$495,0)),""))</f>
        <v/>
      </c>
      <c r="M4843" s="24" t="n"/>
      <c r="N4843" s="24" t="n"/>
      <c r="O4843" s="24" t="n"/>
      <c r="P4843" s="24" t="n"/>
      <c r="Q4843" s="22">
        <f>IF($D4843="","",IF(AND(OR(DANH_MUC!$L$5&lt;&gt;"Có",M4843="Có"),OR(DANH_MUC!$L$6&lt;&gt;"Có",N4843="Có"),OR(DANH_MUC!$L$7&lt;&gt;"Có",O4843="Có"),OR(DANH_MUC!$L$8&lt;&gt;"Có",P4843="Có")),"Có","Không"))</f>
        <v/>
      </c>
      <c r="R4843" s="22">
        <f>IF($D4843="","",IF(COUNTIF($D$2:$D4843,$D4843)&gt;1,"Trùng",""))</f>
        <v/>
      </c>
      <c r="S4843" s="22">
        <f>IF($D4843="","",IF(AND(LEN($D4843)=10,LEFT($D4843,1)="0",ISNUMBER(--$D4843)),"Có","Không"))</f>
        <v/>
      </c>
      <c r="T4843" s="22">
        <f>IF($D4843="","",IF(AND($C4843&lt;&gt;"",$Q4843="Có",$R4843="",$S4843="Có",AND($L4843&lt;&gt;"",OR($L4843&lt;&gt;"Chưa xác định",DANH_MUC!$L$9="Có"))),"Có","Không"))</f>
        <v/>
      </c>
      <c r="U4843" s="22">
        <f>IF(OR($D4843="",$T4843="Có"),"",IF($C4843="","Thiếu họ tên; ","")&amp;IF($S4843&lt;&gt;"Có","SĐT sai định dạng; ","")&amp;IF($R4843="Trùng","Trùng SĐT; ","")&amp;IF($Q4843&lt;&gt;"Có","Thiếu đồng ý bắt buộc; ","")&amp;IF($L4843="","Thiếu/sai Mã REF; ",IF(AND($L4843="Chưa xác định",DANH_MUC!$L$9&lt;&gt;"Có"),"Nguồn chưa xác định; ","")))</f>
        <v/>
      </c>
      <c r="V4843" s="22">
        <f>IF(OR($D4843="",$R4843="Trùng"),"",IF(COUNTIF(ORDERS!$C$2:$C$4995,$D4843)&gt;0,"Có","Không"))</f>
        <v/>
      </c>
      <c r="W4843" s="22">
        <f>IF(OR($D4843="",$R4843="Trùng"),"",COUNTIFS(ORDERS!$C$2:$C$4995,$D4843,ORDERS!$L$2:$L$4995,"Đã chuyển khoản"))</f>
        <v/>
      </c>
      <c r="X4843" s="23">
        <f>IF(OR($D4843="",$R4843="Trùng"),"",SUMIFS(ORDERS!$J$2:$J$4995,ORDERS!$C$2:$C$4995,$D4843,ORDERS!$L$2:$L$4995,"Đã chuyển khoản"))</f>
        <v/>
      </c>
      <c r="Y4843" s="24" t="n"/>
    </row>
    <row r="4844" ht="14.25" customHeight="1" s="40">
      <c r="A4844" s="24" t="n"/>
      <c r="B4844" s="27" t="n"/>
      <c r="C4844" s="24" t="n"/>
      <c r="D4844" s="28" t="n"/>
      <c r="E4844" s="29" t="n"/>
      <c r="F4844" s="24" t="n"/>
      <c r="G4844" s="24" t="n"/>
      <c r="H4844" s="21">
        <f>IF(ISNUMBER($B4844),INT($B4844)-WEEKDAY($B4844,2)+1,"")</f>
        <v/>
      </c>
      <c r="I4844" s="24" t="n"/>
      <c r="J4844" s="22">
        <f t="array" ref="J4844">IF($D4844="","",IF($I4844="","(trống REF)",IFERROR(INDEX(MASTER_SOURCE!$B$2:$B$495,MATCH($I4844,MASTER_SOURCE!$A$2:$A$495,0)),"(REF không có trong MASTER_SOURCE)")))</f>
        <v/>
      </c>
      <c r="K4844" s="22">
        <f t="array" ref="K4844">IF($D4844="","",IFERROR(INDEX(MASTER_SOURCE!$C$2:$C$495,MATCH($I4844,MASTER_SOURCE!$A$2:$A$495,0)),""))</f>
        <v/>
      </c>
      <c r="L4844" s="22">
        <f t="array" ref="L4844">IF($D4844="","",IFERROR(INDEX(MASTER_SOURCE!$D$2:$D$495,MATCH($I4844,MASTER_SOURCE!$A$2:$A$495,0)),""))</f>
        <v/>
      </c>
      <c r="M4844" s="24" t="n"/>
      <c r="N4844" s="24" t="n"/>
      <c r="O4844" s="24" t="n"/>
      <c r="P4844" s="24" t="n"/>
      <c r="Q4844" s="22">
        <f>IF($D4844="","",IF(AND(OR(DANH_MUC!$L$5&lt;&gt;"Có",M4844="Có"),OR(DANH_MUC!$L$6&lt;&gt;"Có",N4844="Có"),OR(DANH_MUC!$L$7&lt;&gt;"Có",O4844="Có"),OR(DANH_MUC!$L$8&lt;&gt;"Có",P4844="Có")),"Có","Không"))</f>
        <v/>
      </c>
      <c r="R4844" s="22">
        <f>IF($D4844="","",IF(COUNTIF($D$2:$D4844,$D4844)&gt;1,"Trùng",""))</f>
        <v/>
      </c>
      <c r="S4844" s="22">
        <f>IF($D4844="","",IF(AND(LEN($D4844)=10,LEFT($D4844,1)="0",ISNUMBER(--$D4844)),"Có","Không"))</f>
        <v/>
      </c>
      <c r="T4844" s="22">
        <f>IF($D4844="","",IF(AND($C4844&lt;&gt;"",$Q4844="Có",$R4844="",$S4844="Có",AND($L4844&lt;&gt;"",OR($L4844&lt;&gt;"Chưa xác định",DANH_MUC!$L$9="Có"))),"Có","Không"))</f>
        <v/>
      </c>
      <c r="U4844" s="22">
        <f>IF(OR($D4844="",$T4844="Có"),"",IF($C4844="","Thiếu họ tên; ","")&amp;IF($S4844&lt;&gt;"Có","SĐT sai định dạng; ","")&amp;IF($R4844="Trùng","Trùng SĐT; ","")&amp;IF($Q4844&lt;&gt;"Có","Thiếu đồng ý bắt buộc; ","")&amp;IF($L4844="","Thiếu/sai Mã REF; ",IF(AND($L4844="Chưa xác định",DANH_MUC!$L$9&lt;&gt;"Có"),"Nguồn chưa xác định; ","")))</f>
        <v/>
      </c>
      <c r="V4844" s="22">
        <f>IF(OR($D4844="",$R4844="Trùng"),"",IF(COUNTIF(ORDERS!$C$2:$C$4995,$D4844)&gt;0,"Có","Không"))</f>
        <v/>
      </c>
      <c r="W4844" s="22">
        <f>IF(OR($D4844="",$R4844="Trùng"),"",COUNTIFS(ORDERS!$C$2:$C$4995,$D4844,ORDERS!$L$2:$L$4995,"Đã chuyển khoản"))</f>
        <v/>
      </c>
      <c r="X4844" s="23">
        <f>IF(OR($D4844="",$R4844="Trùng"),"",SUMIFS(ORDERS!$J$2:$J$4995,ORDERS!$C$2:$C$4995,$D4844,ORDERS!$L$2:$L$4995,"Đã chuyển khoản"))</f>
        <v/>
      </c>
      <c r="Y4844" s="24" t="n"/>
    </row>
    <row r="4845" ht="14.25" customHeight="1" s="40">
      <c r="A4845" s="24" t="n"/>
      <c r="B4845" s="27" t="n"/>
      <c r="C4845" s="24" t="n"/>
      <c r="D4845" s="28" t="n"/>
      <c r="E4845" s="29" t="n"/>
      <c r="F4845" s="24" t="n"/>
      <c r="G4845" s="24" t="n"/>
      <c r="H4845" s="21">
        <f>IF(ISNUMBER($B4845),INT($B4845)-WEEKDAY($B4845,2)+1,"")</f>
        <v/>
      </c>
      <c r="I4845" s="24" t="n"/>
      <c r="J4845" s="22">
        <f t="array" ref="J4845">IF($D4845="","",IF($I4845="","(trống REF)",IFERROR(INDEX(MASTER_SOURCE!$B$2:$B$495,MATCH($I4845,MASTER_SOURCE!$A$2:$A$495,0)),"(REF không có trong MASTER_SOURCE)")))</f>
        <v/>
      </c>
      <c r="K4845" s="22">
        <f t="array" ref="K4845">IF($D4845="","",IFERROR(INDEX(MASTER_SOURCE!$C$2:$C$495,MATCH($I4845,MASTER_SOURCE!$A$2:$A$495,0)),""))</f>
        <v/>
      </c>
      <c r="L4845" s="22">
        <f t="array" ref="L4845">IF($D4845="","",IFERROR(INDEX(MASTER_SOURCE!$D$2:$D$495,MATCH($I4845,MASTER_SOURCE!$A$2:$A$495,0)),""))</f>
        <v/>
      </c>
      <c r="M4845" s="24" t="n"/>
      <c r="N4845" s="24" t="n"/>
      <c r="O4845" s="24" t="n"/>
      <c r="P4845" s="24" t="n"/>
      <c r="Q4845" s="22">
        <f>IF($D4845="","",IF(AND(OR(DANH_MUC!$L$5&lt;&gt;"Có",M4845="Có"),OR(DANH_MUC!$L$6&lt;&gt;"Có",N4845="Có"),OR(DANH_MUC!$L$7&lt;&gt;"Có",O4845="Có"),OR(DANH_MUC!$L$8&lt;&gt;"Có",P4845="Có")),"Có","Không"))</f>
        <v/>
      </c>
      <c r="R4845" s="22">
        <f>IF($D4845="","",IF(COUNTIF($D$2:$D4845,$D4845)&gt;1,"Trùng",""))</f>
        <v/>
      </c>
      <c r="S4845" s="22">
        <f>IF($D4845="","",IF(AND(LEN($D4845)=10,LEFT($D4845,1)="0",ISNUMBER(--$D4845)),"Có","Không"))</f>
        <v/>
      </c>
      <c r="T4845" s="22">
        <f>IF($D4845="","",IF(AND($C4845&lt;&gt;"",$Q4845="Có",$R4845="",$S4845="Có",AND($L4845&lt;&gt;"",OR($L4845&lt;&gt;"Chưa xác định",DANH_MUC!$L$9="Có"))),"Có","Không"))</f>
        <v/>
      </c>
      <c r="U4845" s="22">
        <f>IF(OR($D4845="",$T4845="Có"),"",IF($C4845="","Thiếu họ tên; ","")&amp;IF($S4845&lt;&gt;"Có","SĐT sai định dạng; ","")&amp;IF($R4845="Trùng","Trùng SĐT; ","")&amp;IF($Q4845&lt;&gt;"Có","Thiếu đồng ý bắt buộc; ","")&amp;IF($L4845="","Thiếu/sai Mã REF; ",IF(AND($L4845="Chưa xác định",DANH_MUC!$L$9&lt;&gt;"Có"),"Nguồn chưa xác định; ","")))</f>
        <v/>
      </c>
      <c r="V4845" s="22">
        <f>IF(OR($D4845="",$R4845="Trùng"),"",IF(COUNTIF(ORDERS!$C$2:$C$4995,$D4845)&gt;0,"Có","Không"))</f>
        <v/>
      </c>
      <c r="W4845" s="22">
        <f>IF(OR($D4845="",$R4845="Trùng"),"",COUNTIFS(ORDERS!$C$2:$C$4995,$D4845,ORDERS!$L$2:$L$4995,"Đã chuyển khoản"))</f>
        <v/>
      </c>
      <c r="X4845" s="23">
        <f>IF(OR($D4845="",$R4845="Trùng"),"",SUMIFS(ORDERS!$J$2:$J$4995,ORDERS!$C$2:$C$4995,$D4845,ORDERS!$L$2:$L$4995,"Đã chuyển khoản"))</f>
        <v/>
      </c>
      <c r="Y4845" s="24" t="n"/>
    </row>
    <row r="4846" ht="14.25" customHeight="1" s="40">
      <c r="A4846" s="24" t="n"/>
      <c r="B4846" s="27" t="n"/>
      <c r="C4846" s="24" t="n"/>
      <c r="D4846" s="28" t="n"/>
      <c r="E4846" s="29" t="n"/>
      <c r="F4846" s="24" t="n"/>
      <c r="G4846" s="24" t="n"/>
      <c r="H4846" s="21">
        <f>IF(ISNUMBER($B4846),INT($B4846)-WEEKDAY($B4846,2)+1,"")</f>
        <v/>
      </c>
      <c r="I4846" s="24" t="n"/>
      <c r="J4846" s="22">
        <f t="array" ref="J4846">IF($D4846="","",IF($I4846="","(trống REF)",IFERROR(INDEX(MASTER_SOURCE!$B$2:$B$495,MATCH($I4846,MASTER_SOURCE!$A$2:$A$495,0)),"(REF không có trong MASTER_SOURCE)")))</f>
        <v/>
      </c>
      <c r="K4846" s="22">
        <f t="array" ref="K4846">IF($D4846="","",IFERROR(INDEX(MASTER_SOURCE!$C$2:$C$495,MATCH($I4846,MASTER_SOURCE!$A$2:$A$495,0)),""))</f>
        <v/>
      </c>
      <c r="L4846" s="22">
        <f t="array" ref="L4846">IF($D4846="","",IFERROR(INDEX(MASTER_SOURCE!$D$2:$D$495,MATCH($I4846,MASTER_SOURCE!$A$2:$A$495,0)),""))</f>
        <v/>
      </c>
      <c r="M4846" s="24" t="n"/>
      <c r="N4846" s="24" t="n"/>
      <c r="O4846" s="24" t="n"/>
      <c r="P4846" s="24" t="n"/>
      <c r="Q4846" s="22">
        <f>IF($D4846="","",IF(AND(OR(DANH_MUC!$L$5&lt;&gt;"Có",M4846="Có"),OR(DANH_MUC!$L$6&lt;&gt;"Có",N4846="Có"),OR(DANH_MUC!$L$7&lt;&gt;"Có",O4846="Có"),OR(DANH_MUC!$L$8&lt;&gt;"Có",P4846="Có")),"Có","Không"))</f>
        <v/>
      </c>
      <c r="R4846" s="22">
        <f>IF($D4846="","",IF(COUNTIF($D$2:$D4846,$D4846)&gt;1,"Trùng",""))</f>
        <v/>
      </c>
      <c r="S4846" s="22">
        <f>IF($D4846="","",IF(AND(LEN($D4846)=10,LEFT($D4846,1)="0",ISNUMBER(--$D4846)),"Có","Không"))</f>
        <v/>
      </c>
      <c r="T4846" s="22">
        <f>IF($D4846="","",IF(AND($C4846&lt;&gt;"",$Q4846="Có",$R4846="",$S4846="Có",AND($L4846&lt;&gt;"",OR($L4846&lt;&gt;"Chưa xác định",DANH_MUC!$L$9="Có"))),"Có","Không"))</f>
        <v/>
      </c>
      <c r="U4846" s="22">
        <f>IF(OR($D4846="",$T4846="Có"),"",IF($C4846="","Thiếu họ tên; ","")&amp;IF($S4846&lt;&gt;"Có","SĐT sai định dạng; ","")&amp;IF($R4846="Trùng","Trùng SĐT; ","")&amp;IF($Q4846&lt;&gt;"Có","Thiếu đồng ý bắt buộc; ","")&amp;IF($L4846="","Thiếu/sai Mã REF; ",IF(AND($L4846="Chưa xác định",DANH_MUC!$L$9&lt;&gt;"Có"),"Nguồn chưa xác định; ","")))</f>
        <v/>
      </c>
      <c r="V4846" s="22">
        <f>IF(OR($D4846="",$R4846="Trùng"),"",IF(COUNTIF(ORDERS!$C$2:$C$4995,$D4846)&gt;0,"Có","Không"))</f>
        <v/>
      </c>
      <c r="W4846" s="22">
        <f>IF(OR($D4846="",$R4846="Trùng"),"",COUNTIFS(ORDERS!$C$2:$C$4995,$D4846,ORDERS!$L$2:$L$4995,"Đã chuyển khoản"))</f>
        <v/>
      </c>
      <c r="X4846" s="23">
        <f>IF(OR($D4846="",$R4846="Trùng"),"",SUMIFS(ORDERS!$J$2:$J$4995,ORDERS!$C$2:$C$4995,$D4846,ORDERS!$L$2:$L$4995,"Đã chuyển khoản"))</f>
        <v/>
      </c>
      <c r="Y4846" s="24" t="n"/>
    </row>
    <row r="4847" ht="14.25" customHeight="1" s="40">
      <c r="A4847" s="24" t="n"/>
      <c r="B4847" s="27" t="n"/>
      <c r="C4847" s="24" t="n"/>
      <c r="D4847" s="28" t="n"/>
      <c r="E4847" s="29" t="n"/>
      <c r="F4847" s="24" t="n"/>
      <c r="G4847" s="24" t="n"/>
      <c r="H4847" s="21">
        <f>IF(ISNUMBER($B4847),INT($B4847)-WEEKDAY($B4847,2)+1,"")</f>
        <v/>
      </c>
      <c r="I4847" s="24" t="n"/>
      <c r="J4847" s="22">
        <f t="array" ref="J4847">IF($D4847="","",IF($I4847="","(trống REF)",IFERROR(INDEX(MASTER_SOURCE!$B$2:$B$495,MATCH($I4847,MASTER_SOURCE!$A$2:$A$495,0)),"(REF không có trong MASTER_SOURCE)")))</f>
        <v/>
      </c>
      <c r="K4847" s="22">
        <f t="array" ref="K4847">IF($D4847="","",IFERROR(INDEX(MASTER_SOURCE!$C$2:$C$495,MATCH($I4847,MASTER_SOURCE!$A$2:$A$495,0)),""))</f>
        <v/>
      </c>
      <c r="L4847" s="22">
        <f t="array" ref="L4847">IF($D4847="","",IFERROR(INDEX(MASTER_SOURCE!$D$2:$D$495,MATCH($I4847,MASTER_SOURCE!$A$2:$A$495,0)),""))</f>
        <v/>
      </c>
      <c r="M4847" s="24" t="n"/>
      <c r="N4847" s="24" t="n"/>
      <c r="O4847" s="24" t="n"/>
      <c r="P4847" s="24" t="n"/>
      <c r="Q4847" s="22">
        <f>IF($D4847="","",IF(AND(OR(DANH_MUC!$L$5&lt;&gt;"Có",M4847="Có"),OR(DANH_MUC!$L$6&lt;&gt;"Có",N4847="Có"),OR(DANH_MUC!$L$7&lt;&gt;"Có",O4847="Có"),OR(DANH_MUC!$L$8&lt;&gt;"Có",P4847="Có")),"Có","Không"))</f>
        <v/>
      </c>
      <c r="R4847" s="22">
        <f>IF($D4847="","",IF(COUNTIF($D$2:$D4847,$D4847)&gt;1,"Trùng",""))</f>
        <v/>
      </c>
      <c r="S4847" s="22">
        <f>IF($D4847="","",IF(AND(LEN($D4847)=10,LEFT($D4847,1)="0",ISNUMBER(--$D4847)),"Có","Không"))</f>
        <v/>
      </c>
      <c r="T4847" s="22">
        <f>IF($D4847="","",IF(AND($C4847&lt;&gt;"",$Q4847="Có",$R4847="",$S4847="Có",AND($L4847&lt;&gt;"",OR($L4847&lt;&gt;"Chưa xác định",DANH_MUC!$L$9="Có"))),"Có","Không"))</f>
        <v/>
      </c>
      <c r="U4847" s="22">
        <f>IF(OR($D4847="",$T4847="Có"),"",IF($C4847="","Thiếu họ tên; ","")&amp;IF($S4847&lt;&gt;"Có","SĐT sai định dạng; ","")&amp;IF($R4847="Trùng","Trùng SĐT; ","")&amp;IF($Q4847&lt;&gt;"Có","Thiếu đồng ý bắt buộc; ","")&amp;IF($L4847="","Thiếu/sai Mã REF; ",IF(AND($L4847="Chưa xác định",DANH_MUC!$L$9&lt;&gt;"Có"),"Nguồn chưa xác định; ","")))</f>
        <v/>
      </c>
      <c r="V4847" s="22">
        <f>IF(OR($D4847="",$R4847="Trùng"),"",IF(COUNTIF(ORDERS!$C$2:$C$4995,$D4847)&gt;0,"Có","Không"))</f>
        <v/>
      </c>
      <c r="W4847" s="22">
        <f>IF(OR($D4847="",$R4847="Trùng"),"",COUNTIFS(ORDERS!$C$2:$C$4995,$D4847,ORDERS!$L$2:$L$4995,"Đã chuyển khoản"))</f>
        <v/>
      </c>
      <c r="X4847" s="23">
        <f>IF(OR($D4847="",$R4847="Trùng"),"",SUMIFS(ORDERS!$J$2:$J$4995,ORDERS!$C$2:$C$4995,$D4847,ORDERS!$L$2:$L$4995,"Đã chuyển khoản"))</f>
        <v/>
      </c>
      <c r="Y4847" s="24" t="n"/>
    </row>
    <row r="4848" ht="14.25" customHeight="1" s="40">
      <c r="A4848" s="24" t="n"/>
      <c r="B4848" s="27" t="n"/>
      <c r="C4848" s="24" t="n"/>
      <c r="D4848" s="28" t="n"/>
      <c r="E4848" s="29" t="n"/>
      <c r="F4848" s="24" t="n"/>
      <c r="G4848" s="24" t="n"/>
      <c r="H4848" s="21">
        <f>IF(ISNUMBER($B4848),INT($B4848)-WEEKDAY($B4848,2)+1,"")</f>
        <v/>
      </c>
      <c r="I4848" s="24" t="n"/>
      <c r="J4848" s="22">
        <f t="array" ref="J4848">IF($D4848="","",IF($I4848="","(trống REF)",IFERROR(INDEX(MASTER_SOURCE!$B$2:$B$495,MATCH($I4848,MASTER_SOURCE!$A$2:$A$495,0)),"(REF không có trong MASTER_SOURCE)")))</f>
        <v/>
      </c>
      <c r="K4848" s="22">
        <f t="array" ref="K4848">IF($D4848="","",IFERROR(INDEX(MASTER_SOURCE!$C$2:$C$495,MATCH($I4848,MASTER_SOURCE!$A$2:$A$495,0)),""))</f>
        <v/>
      </c>
      <c r="L4848" s="22">
        <f t="array" ref="L4848">IF($D4848="","",IFERROR(INDEX(MASTER_SOURCE!$D$2:$D$495,MATCH($I4848,MASTER_SOURCE!$A$2:$A$495,0)),""))</f>
        <v/>
      </c>
      <c r="M4848" s="24" t="n"/>
      <c r="N4848" s="24" t="n"/>
      <c r="O4848" s="24" t="n"/>
      <c r="P4848" s="24" t="n"/>
      <c r="Q4848" s="22">
        <f>IF($D4848="","",IF(AND(OR(DANH_MUC!$L$5&lt;&gt;"Có",M4848="Có"),OR(DANH_MUC!$L$6&lt;&gt;"Có",N4848="Có"),OR(DANH_MUC!$L$7&lt;&gt;"Có",O4848="Có"),OR(DANH_MUC!$L$8&lt;&gt;"Có",P4848="Có")),"Có","Không"))</f>
        <v/>
      </c>
      <c r="R4848" s="22">
        <f>IF($D4848="","",IF(COUNTIF($D$2:$D4848,$D4848)&gt;1,"Trùng",""))</f>
        <v/>
      </c>
      <c r="S4848" s="22">
        <f>IF($D4848="","",IF(AND(LEN($D4848)=10,LEFT($D4848,1)="0",ISNUMBER(--$D4848)),"Có","Không"))</f>
        <v/>
      </c>
      <c r="T4848" s="22">
        <f>IF($D4848="","",IF(AND($C4848&lt;&gt;"",$Q4848="Có",$R4848="",$S4848="Có",AND($L4848&lt;&gt;"",OR($L4848&lt;&gt;"Chưa xác định",DANH_MUC!$L$9="Có"))),"Có","Không"))</f>
        <v/>
      </c>
      <c r="U4848" s="22">
        <f>IF(OR($D4848="",$T4848="Có"),"",IF($C4848="","Thiếu họ tên; ","")&amp;IF($S4848&lt;&gt;"Có","SĐT sai định dạng; ","")&amp;IF($R4848="Trùng","Trùng SĐT; ","")&amp;IF($Q4848&lt;&gt;"Có","Thiếu đồng ý bắt buộc; ","")&amp;IF($L4848="","Thiếu/sai Mã REF; ",IF(AND($L4848="Chưa xác định",DANH_MUC!$L$9&lt;&gt;"Có"),"Nguồn chưa xác định; ","")))</f>
        <v/>
      </c>
      <c r="V4848" s="22">
        <f>IF(OR($D4848="",$R4848="Trùng"),"",IF(COUNTIF(ORDERS!$C$2:$C$4995,$D4848)&gt;0,"Có","Không"))</f>
        <v/>
      </c>
      <c r="W4848" s="22">
        <f>IF(OR($D4848="",$R4848="Trùng"),"",COUNTIFS(ORDERS!$C$2:$C$4995,$D4848,ORDERS!$L$2:$L$4995,"Đã chuyển khoản"))</f>
        <v/>
      </c>
      <c r="X4848" s="23">
        <f>IF(OR($D4848="",$R4848="Trùng"),"",SUMIFS(ORDERS!$J$2:$J$4995,ORDERS!$C$2:$C$4995,$D4848,ORDERS!$L$2:$L$4995,"Đã chuyển khoản"))</f>
        <v/>
      </c>
      <c r="Y4848" s="24" t="n"/>
    </row>
    <row r="4849" ht="14.25" customHeight="1" s="40">
      <c r="A4849" s="24" t="n"/>
      <c r="B4849" s="27" t="n"/>
      <c r="C4849" s="24" t="n"/>
      <c r="D4849" s="28" t="n"/>
      <c r="E4849" s="29" t="n"/>
      <c r="F4849" s="24" t="n"/>
      <c r="G4849" s="24" t="n"/>
      <c r="H4849" s="21">
        <f>IF(ISNUMBER($B4849),INT($B4849)-WEEKDAY($B4849,2)+1,"")</f>
        <v/>
      </c>
      <c r="I4849" s="24" t="n"/>
      <c r="J4849" s="22">
        <f t="array" ref="J4849">IF($D4849="","",IF($I4849="","(trống REF)",IFERROR(INDEX(MASTER_SOURCE!$B$2:$B$495,MATCH($I4849,MASTER_SOURCE!$A$2:$A$495,0)),"(REF không có trong MASTER_SOURCE)")))</f>
        <v/>
      </c>
      <c r="K4849" s="22">
        <f t="array" ref="K4849">IF($D4849="","",IFERROR(INDEX(MASTER_SOURCE!$C$2:$C$495,MATCH($I4849,MASTER_SOURCE!$A$2:$A$495,0)),""))</f>
        <v/>
      </c>
      <c r="L4849" s="22">
        <f t="array" ref="L4849">IF($D4849="","",IFERROR(INDEX(MASTER_SOURCE!$D$2:$D$495,MATCH($I4849,MASTER_SOURCE!$A$2:$A$495,0)),""))</f>
        <v/>
      </c>
      <c r="M4849" s="24" t="n"/>
      <c r="N4849" s="24" t="n"/>
      <c r="O4849" s="24" t="n"/>
      <c r="P4849" s="24" t="n"/>
      <c r="Q4849" s="22">
        <f>IF($D4849="","",IF(AND(OR(DANH_MUC!$L$5&lt;&gt;"Có",M4849="Có"),OR(DANH_MUC!$L$6&lt;&gt;"Có",N4849="Có"),OR(DANH_MUC!$L$7&lt;&gt;"Có",O4849="Có"),OR(DANH_MUC!$L$8&lt;&gt;"Có",P4849="Có")),"Có","Không"))</f>
        <v/>
      </c>
      <c r="R4849" s="22">
        <f>IF($D4849="","",IF(COUNTIF($D$2:$D4849,$D4849)&gt;1,"Trùng",""))</f>
        <v/>
      </c>
      <c r="S4849" s="22">
        <f>IF($D4849="","",IF(AND(LEN($D4849)=10,LEFT($D4849,1)="0",ISNUMBER(--$D4849)),"Có","Không"))</f>
        <v/>
      </c>
      <c r="T4849" s="22">
        <f>IF($D4849="","",IF(AND($C4849&lt;&gt;"",$Q4849="Có",$R4849="",$S4849="Có",AND($L4849&lt;&gt;"",OR($L4849&lt;&gt;"Chưa xác định",DANH_MUC!$L$9="Có"))),"Có","Không"))</f>
        <v/>
      </c>
      <c r="U4849" s="22">
        <f>IF(OR($D4849="",$T4849="Có"),"",IF($C4849="","Thiếu họ tên; ","")&amp;IF($S4849&lt;&gt;"Có","SĐT sai định dạng; ","")&amp;IF($R4849="Trùng","Trùng SĐT; ","")&amp;IF($Q4849&lt;&gt;"Có","Thiếu đồng ý bắt buộc; ","")&amp;IF($L4849="","Thiếu/sai Mã REF; ",IF(AND($L4849="Chưa xác định",DANH_MUC!$L$9&lt;&gt;"Có"),"Nguồn chưa xác định; ","")))</f>
        <v/>
      </c>
      <c r="V4849" s="22">
        <f>IF(OR($D4849="",$R4849="Trùng"),"",IF(COUNTIF(ORDERS!$C$2:$C$4995,$D4849)&gt;0,"Có","Không"))</f>
        <v/>
      </c>
      <c r="W4849" s="22">
        <f>IF(OR($D4849="",$R4849="Trùng"),"",COUNTIFS(ORDERS!$C$2:$C$4995,$D4849,ORDERS!$L$2:$L$4995,"Đã chuyển khoản"))</f>
        <v/>
      </c>
      <c r="X4849" s="23">
        <f>IF(OR($D4849="",$R4849="Trùng"),"",SUMIFS(ORDERS!$J$2:$J$4995,ORDERS!$C$2:$C$4995,$D4849,ORDERS!$L$2:$L$4995,"Đã chuyển khoản"))</f>
        <v/>
      </c>
      <c r="Y4849" s="24" t="n"/>
    </row>
    <row r="4850" ht="14.25" customHeight="1" s="40">
      <c r="A4850" s="24" t="n"/>
      <c r="B4850" s="27" t="n"/>
      <c r="C4850" s="24" t="n"/>
      <c r="D4850" s="28" t="n"/>
      <c r="E4850" s="29" t="n"/>
      <c r="F4850" s="24" t="n"/>
      <c r="G4850" s="24" t="n"/>
      <c r="H4850" s="21">
        <f>IF(ISNUMBER($B4850),INT($B4850)-WEEKDAY($B4850,2)+1,"")</f>
        <v/>
      </c>
      <c r="I4850" s="24" t="n"/>
      <c r="J4850" s="22">
        <f t="array" ref="J4850">IF($D4850="","",IF($I4850="","(trống REF)",IFERROR(INDEX(MASTER_SOURCE!$B$2:$B$495,MATCH($I4850,MASTER_SOURCE!$A$2:$A$495,0)),"(REF không có trong MASTER_SOURCE)")))</f>
        <v/>
      </c>
      <c r="K4850" s="22">
        <f t="array" ref="K4850">IF($D4850="","",IFERROR(INDEX(MASTER_SOURCE!$C$2:$C$495,MATCH($I4850,MASTER_SOURCE!$A$2:$A$495,0)),""))</f>
        <v/>
      </c>
      <c r="L4850" s="22">
        <f t="array" ref="L4850">IF($D4850="","",IFERROR(INDEX(MASTER_SOURCE!$D$2:$D$495,MATCH($I4850,MASTER_SOURCE!$A$2:$A$495,0)),""))</f>
        <v/>
      </c>
      <c r="M4850" s="24" t="n"/>
      <c r="N4850" s="24" t="n"/>
      <c r="O4850" s="24" t="n"/>
      <c r="P4850" s="24" t="n"/>
      <c r="Q4850" s="22">
        <f>IF($D4850="","",IF(AND(OR(DANH_MUC!$L$5&lt;&gt;"Có",M4850="Có"),OR(DANH_MUC!$L$6&lt;&gt;"Có",N4850="Có"),OR(DANH_MUC!$L$7&lt;&gt;"Có",O4850="Có"),OR(DANH_MUC!$L$8&lt;&gt;"Có",P4850="Có")),"Có","Không"))</f>
        <v/>
      </c>
      <c r="R4850" s="22">
        <f>IF($D4850="","",IF(COUNTIF($D$2:$D4850,$D4850)&gt;1,"Trùng",""))</f>
        <v/>
      </c>
      <c r="S4850" s="22">
        <f>IF($D4850="","",IF(AND(LEN($D4850)=10,LEFT($D4850,1)="0",ISNUMBER(--$D4850)),"Có","Không"))</f>
        <v/>
      </c>
      <c r="T4850" s="22">
        <f>IF($D4850="","",IF(AND($C4850&lt;&gt;"",$Q4850="Có",$R4850="",$S4850="Có",AND($L4850&lt;&gt;"",OR($L4850&lt;&gt;"Chưa xác định",DANH_MUC!$L$9="Có"))),"Có","Không"))</f>
        <v/>
      </c>
      <c r="U4850" s="22">
        <f>IF(OR($D4850="",$T4850="Có"),"",IF($C4850="","Thiếu họ tên; ","")&amp;IF($S4850&lt;&gt;"Có","SĐT sai định dạng; ","")&amp;IF($R4850="Trùng","Trùng SĐT; ","")&amp;IF($Q4850&lt;&gt;"Có","Thiếu đồng ý bắt buộc; ","")&amp;IF($L4850="","Thiếu/sai Mã REF; ",IF(AND($L4850="Chưa xác định",DANH_MUC!$L$9&lt;&gt;"Có"),"Nguồn chưa xác định; ","")))</f>
        <v/>
      </c>
      <c r="V4850" s="22">
        <f>IF(OR($D4850="",$R4850="Trùng"),"",IF(COUNTIF(ORDERS!$C$2:$C$4995,$D4850)&gt;0,"Có","Không"))</f>
        <v/>
      </c>
      <c r="W4850" s="22">
        <f>IF(OR($D4850="",$R4850="Trùng"),"",COUNTIFS(ORDERS!$C$2:$C$4995,$D4850,ORDERS!$L$2:$L$4995,"Đã chuyển khoản"))</f>
        <v/>
      </c>
      <c r="X4850" s="23">
        <f>IF(OR($D4850="",$R4850="Trùng"),"",SUMIFS(ORDERS!$J$2:$J$4995,ORDERS!$C$2:$C$4995,$D4850,ORDERS!$L$2:$L$4995,"Đã chuyển khoản"))</f>
        <v/>
      </c>
      <c r="Y4850" s="24" t="n"/>
    </row>
    <row r="4851" ht="14.25" customHeight="1" s="40">
      <c r="A4851" s="24" t="n"/>
      <c r="B4851" s="27" t="n"/>
      <c r="C4851" s="24" t="n"/>
      <c r="D4851" s="28" t="n"/>
      <c r="E4851" s="29" t="n"/>
      <c r="F4851" s="24" t="n"/>
      <c r="G4851" s="24" t="n"/>
      <c r="H4851" s="21">
        <f>IF(ISNUMBER($B4851),INT($B4851)-WEEKDAY($B4851,2)+1,"")</f>
        <v/>
      </c>
      <c r="I4851" s="24" t="n"/>
      <c r="J4851" s="22">
        <f t="array" ref="J4851">IF($D4851="","",IF($I4851="","(trống REF)",IFERROR(INDEX(MASTER_SOURCE!$B$2:$B$495,MATCH($I4851,MASTER_SOURCE!$A$2:$A$495,0)),"(REF không có trong MASTER_SOURCE)")))</f>
        <v/>
      </c>
      <c r="K4851" s="22">
        <f t="array" ref="K4851">IF($D4851="","",IFERROR(INDEX(MASTER_SOURCE!$C$2:$C$495,MATCH($I4851,MASTER_SOURCE!$A$2:$A$495,0)),""))</f>
        <v/>
      </c>
      <c r="L4851" s="22">
        <f t="array" ref="L4851">IF($D4851="","",IFERROR(INDEX(MASTER_SOURCE!$D$2:$D$495,MATCH($I4851,MASTER_SOURCE!$A$2:$A$495,0)),""))</f>
        <v/>
      </c>
      <c r="M4851" s="24" t="n"/>
      <c r="N4851" s="24" t="n"/>
      <c r="O4851" s="24" t="n"/>
      <c r="P4851" s="24" t="n"/>
      <c r="Q4851" s="22">
        <f>IF($D4851="","",IF(AND(OR(DANH_MUC!$L$5&lt;&gt;"Có",M4851="Có"),OR(DANH_MUC!$L$6&lt;&gt;"Có",N4851="Có"),OR(DANH_MUC!$L$7&lt;&gt;"Có",O4851="Có"),OR(DANH_MUC!$L$8&lt;&gt;"Có",P4851="Có")),"Có","Không"))</f>
        <v/>
      </c>
      <c r="R4851" s="22">
        <f>IF($D4851="","",IF(COUNTIF($D$2:$D4851,$D4851)&gt;1,"Trùng",""))</f>
        <v/>
      </c>
      <c r="S4851" s="22">
        <f>IF($D4851="","",IF(AND(LEN($D4851)=10,LEFT($D4851,1)="0",ISNUMBER(--$D4851)),"Có","Không"))</f>
        <v/>
      </c>
      <c r="T4851" s="22">
        <f>IF($D4851="","",IF(AND($C4851&lt;&gt;"",$Q4851="Có",$R4851="",$S4851="Có",AND($L4851&lt;&gt;"",OR($L4851&lt;&gt;"Chưa xác định",DANH_MUC!$L$9="Có"))),"Có","Không"))</f>
        <v/>
      </c>
      <c r="U4851" s="22">
        <f>IF(OR($D4851="",$T4851="Có"),"",IF($C4851="","Thiếu họ tên; ","")&amp;IF($S4851&lt;&gt;"Có","SĐT sai định dạng; ","")&amp;IF($R4851="Trùng","Trùng SĐT; ","")&amp;IF($Q4851&lt;&gt;"Có","Thiếu đồng ý bắt buộc; ","")&amp;IF($L4851="","Thiếu/sai Mã REF; ",IF(AND($L4851="Chưa xác định",DANH_MUC!$L$9&lt;&gt;"Có"),"Nguồn chưa xác định; ","")))</f>
        <v/>
      </c>
      <c r="V4851" s="22">
        <f>IF(OR($D4851="",$R4851="Trùng"),"",IF(COUNTIF(ORDERS!$C$2:$C$4995,$D4851)&gt;0,"Có","Không"))</f>
        <v/>
      </c>
      <c r="W4851" s="22">
        <f>IF(OR($D4851="",$R4851="Trùng"),"",COUNTIFS(ORDERS!$C$2:$C$4995,$D4851,ORDERS!$L$2:$L$4995,"Đã chuyển khoản"))</f>
        <v/>
      </c>
      <c r="X4851" s="23">
        <f>IF(OR($D4851="",$R4851="Trùng"),"",SUMIFS(ORDERS!$J$2:$J$4995,ORDERS!$C$2:$C$4995,$D4851,ORDERS!$L$2:$L$4995,"Đã chuyển khoản"))</f>
        <v/>
      </c>
      <c r="Y4851" s="24" t="n"/>
    </row>
    <row r="4852" ht="14.25" customHeight="1" s="40">
      <c r="A4852" s="24" t="n"/>
      <c r="B4852" s="27" t="n"/>
      <c r="C4852" s="24" t="n"/>
      <c r="D4852" s="28" t="n"/>
      <c r="E4852" s="29" t="n"/>
      <c r="F4852" s="24" t="n"/>
      <c r="G4852" s="24" t="n"/>
      <c r="H4852" s="21">
        <f>IF(ISNUMBER($B4852),INT($B4852)-WEEKDAY($B4852,2)+1,"")</f>
        <v/>
      </c>
      <c r="I4852" s="24" t="n"/>
      <c r="J4852" s="22">
        <f t="array" ref="J4852">IF($D4852="","",IF($I4852="","(trống REF)",IFERROR(INDEX(MASTER_SOURCE!$B$2:$B$495,MATCH($I4852,MASTER_SOURCE!$A$2:$A$495,0)),"(REF không có trong MASTER_SOURCE)")))</f>
        <v/>
      </c>
      <c r="K4852" s="22">
        <f t="array" ref="K4852">IF($D4852="","",IFERROR(INDEX(MASTER_SOURCE!$C$2:$C$495,MATCH($I4852,MASTER_SOURCE!$A$2:$A$495,0)),""))</f>
        <v/>
      </c>
      <c r="L4852" s="22">
        <f t="array" ref="L4852">IF($D4852="","",IFERROR(INDEX(MASTER_SOURCE!$D$2:$D$495,MATCH($I4852,MASTER_SOURCE!$A$2:$A$495,0)),""))</f>
        <v/>
      </c>
      <c r="M4852" s="24" t="n"/>
      <c r="N4852" s="24" t="n"/>
      <c r="O4852" s="24" t="n"/>
      <c r="P4852" s="24" t="n"/>
      <c r="Q4852" s="22">
        <f>IF($D4852="","",IF(AND(OR(DANH_MUC!$L$5&lt;&gt;"Có",M4852="Có"),OR(DANH_MUC!$L$6&lt;&gt;"Có",N4852="Có"),OR(DANH_MUC!$L$7&lt;&gt;"Có",O4852="Có"),OR(DANH_MUC!$L$8&lt;&gt;"Có",P4852="Có")),"Có","Không"))</f>
        <v/>
      </c>
      <c r="R4852" s="22">
        <f>IF($D4852="","",IF(COUNTIF($D$2:$D4852,$D4852)&gt;1,"Trùng",""))</f>
        <v/>
      </c>
      <c r="S4852" s="22">
        <f>IF($D4852="","",IF(AND(LEN($D4852)=10,LEFT($D4852,1)="0",ISNUMBER(--$D4852)),"Có","Không"))</f>
        <v/>
      </c>
      <c r="T4852" s="22">
        <f>IF($D4852="","",IF(AND($C4852&lt;&gt;"",$Q4852="Có",$R4852="",$S4852="Có",AND($L4852&lt;&gt;"",OR($L4852&lt;&gt;"Chưa xác định",DANH_MUC!$L$9="Có"))),"Có","Không"))</f>
        <v/>
      </c>
      <c r="U4852" s="22">
        <f>IF(OR($D4852="",$T4852="Có"),"",IF($C4852="","Thiếu họ tên; ","")&amp;IF($S4852&lt;&gt;"Có","SĐT sai định dạng; ","")&amp;IF($R4852="Trùng","Trùng SĐT; ","")&amp;IF($Q4852&lt;&gt;"Có","Thiếu đồng ý bắt buộc; ","")&amp;IF($L4852="","Thiếu/sai Mã REF; ",IF(AND($L4852="Chưa xác định",DANH_MUC!$L$9&lt;&gt;"Có"),"Nguồn chưa xác định; ","")))</f>
        <v/>
      </c>
      <c r="V4852" s="22">
        <f>IF(OR($D4852="",$R4852="Trùng"),"",IF(COUNTIF(ORDERS!$C$2:$C$4995,$D4852)&gt;0,"Có","Không"))</f>
        <v/>
      </c>
      <c r="W4852" s="22">
        <f>IF(OR($D4852="",$R4852="Trùng"),"",COUNTIFS(ORDERS!$C$2:$C$4995,$D4852,ORDERS!$L$2:$L$4995,"Đã chuyển khoản"))</f>
        <v/>
      </c>
      <c r="X4852" s="23">
        <f>IF(OR($D4852="",$R4852="Trùng"),"",SUMIFS(ORDERS!$J$2:$J$4995,ORDERS!$C$2:$C$4995,$D4852,ORDERS!$L$2:$L$4995,"Đã chuyển khoản"))</f>
        <v/>
      </c>
      <c r="Y4852" s="24" t="n"/>
    </row>
    <row r="4853" ht="14.25" customHeight="1" s="40">
      <c r="A4853" s="24" t="n"/>
      <c r="B4853" s="27" t="n"/>
      <c r="C4853" s="24" t="n"/>
      <c r="D4853" s="28" t="n"/>
      <c r="E4853" s="29" t="n"/>
      <c r="F4853" s="24" t="n"/>
      <c r="G4853" s="24" t="n"/>
      <c r="H4853" s="21">
        <f>IF(ISNUMBER($B4853),INT($B4853)-WEEKDAY($B4853,2)+1,"")</f>
        <v/>
      </c>
      <c r="I4853" s="24" t="n"/>
      <c r="J4853" s="22">
        <f t="array" ref="J4853">IF($D4853="","",IF($I4853="","(trống REF)",IFERROR(INDEX(MASTER_SOURCE!$B$2:$B$495,MATCH($I4853,MASTER_SOURCE!$A$2:$A$495,0)),"(REF không có trong MASTER_SOURCE)")))</f>
        <v/>
      </c>
      <c r="K4853" s="22">
        <f t="array" ref="K4853">IF($D4853="","",IFERROR(INDEX(MASTER_SOURCE!$C$2:$C$495,MATCH($I4853,MASTER_SOURCE!$A$2:$A$495,0)),""))</f>
        <v/>
      </c>
      <c r="L4853" s="22">
        <f t="array" ref="L4853">IF($D4853="","",IFERROR(INDEX(MASTER_SOURCE!$D$2:$D$495,MATCH($I4853,MASTER_SOURCE!$A$2:$A$495,0)),""))</f>
        <v/>
      </c>
      <c r="M4853" s="24" t="n"/>
      <c r="N4853" s="24" t="n"/>
      <c r="O4853" s="24" t="n"/>
      <c r="P4853" s="24" t="n"/>
      <c r="Q4853" s="22">
        <f>IF($D4853="","",IF(AND(OR(DANH_MUC!$L$5&lt;&gt;"Có",M4853="Có"),OR(DANH_MUC!$L$6&lt;&gt;"Có",N4853="Có"),OR(DANH_MUC!$L$7&lt;&gt;"Có",O4853="Có"),OR(DANH_MUC!$L$8&lt;&gt;"Có",P4853="Có")),"Có","Không"))</f>
        <v/>
      </c>
      <c r="R4853" s="22">
        <f>IF($D4853="","",IF(COUNTIF($D$2:$D4853,$D4853)&gt;1,"Trùng",""))</f>
        <v/>
      </c>
      <c r="S4853" s="22">
        <f>IF($D4853="","",IF(AND(LEN($D4853)=10,LEFT($D4853,1)="0",ISNUMBER(--$D4853)),"Có","Không"))</f>
        <v/>
      </c>
      <c r="T4853" s="22">
        <f>IF($D4853="","",IF(AND($C4853&lt;&gt;"",$Q4853="Có",$R4853="",$S4853="Có",AND($L4853&lt;&gt;"",OR($L4853&lt;&gt;"Chưa xác định",DANH_MUC!$L$9="Có"))),"Có","Không"))</f>
        <v/>
      </c>
      <c r="U4853" s="22">
        <f>IF(OR($D4853="",$T4853="Có"),"",IF($C4853="","Thiếu họ tên; ","")&amp;IF($S4853&lt;&gt;"Có","SĐT sai định dạng; ","")&amp;IF($R4853="Trùng","Trùng SĐT; ","")&amp;IF($Q4853&lt;&gt;"Có","Thiếu đồng ý bắt buộc; ","")&amp;IF($L4853="","Thiếu/sai Mã REF; ",IF(AND($L4853="Chưa xác định",DANH_MUC!$L$9&lt;&gt;"Có"),"Nguồn chưa xác định; ","")))</f>
        <v/>
      </c>
      <c r="V4853" s="22">
        <f>IF(OR($D4853="",$R4853="Trùng"),"",IF(COUNTIF(ORDERS!$C$2:$C$4995,$D4853)&gt;0,"Có","Không"))</f>
        <v/>
      </c>
      <c r="W4853" s="22">
        <f>IF(OR($D4853="",$R4853="Trùng"),"",COUNTIFS(ORDERS!$C$2:$C$4995,$D4853,ORDERS!$L$2:$L$4995,"Đã chuyển khoản"))</f>
        <v/>
      </c>
      <c r="X4853" s="23">
        <f>IF(OR($D4853="",$R4853="Trùng"),"",SUMIFS(ORDERS!$J$2:$J$4995,ORDERS!$C$2:$C$4995,$D4853,ORDERS!$L$2:$L$4995,"Đã chuyển khoản"))</f>
        <v/>
      </c>
      <c r="Y4853" s="24" t="n"/>
    </row>
    <row r="4854" ht="14.25" customHeight="1" s="40">
      <c r="A4854" s="24" t="n"/>
      <c r="B4854" s="27" t="n"/>
      <c r="C4854" s="24" t="n"/>
      <c r="D4854" s="28" t="n"/>
      <c r="E4854" s="29" t="n"/>
      <c r="F4854" s="24" t="n"/>
      <c r="G4854" s="24" t="n"/>
      <c r="H4854" s="21">
        <f>IF(ISNUMBER($B4854),INT($B4854)-WEEKDAY($B4854,2)+1,"")</f>
        <v/>
      </c>
      <c r="I4854" s="24" t="n"/>
      <c r="J4854" s="22">
        <f t="array" ref="J4854">IF($D4854="","",IF($I4854="","(trống REF)",IFERROR(INDEX(MASTER_SOURCE!$B$2:$B$495,MATCH($I4854,MASTER_SOURCE!$A$2:$A$495,0)),"(REF không có trong MASTER_SOURCE)")))</f>
        <v/>
      </c>
      <c r="K4854" s="22">
        <f t="array" ref="K4854">IF($D4854="","",IFERROR(INDEX(MASTER_SOURCE!$C$2:$C$495,MATCH($I4854,MASTER_SOURCE!$A$2:$A$495,0)),""))</f>
        <v/>
      </c>
      <c r="L4854" s="22">
        <f t="array" ref="L4854">IF($D4854="","",IFERROR(INDEX(MASTER_SOURCE!$D$2:$D$495,MATCH($I4854,MASTER_SOURCE!$A$2:$A$495,0)),""))</f>
        <v/>
      </c>
      <c r="M4854" s="24" t="n"/>
      <c r="N4854" s="24" t="n"/>
      <c r="O4854" s="24" t="n"/>
      <c r="P4854" s="24" t="n"/>
      <c r="Q4854" s="22">
        <f>IF($D4854="","",IF(AND(OR(DANH_MUC!$L$5&lt;&gt;"Có",M4854="Có"),OR(DANH_MUC!$L$6&lt;&gt;"Có",N4854="Có"),OR(DANH_MUC!$L$7&lt;&gt;"Có",O4854="Có"),OR(DANH_MUC!$L$8&lt;&gt;"Có",P4854="Có")),"Có","Không"))</f>
        <v/>
      </c>
      <c r="R4854" s="22">
        <f>IF($D4854="","",IF(COUNTIF($D$2:$D4854,$D4854)&gt;1,"Trùng",""))</f>
        <v/>
      </c>
      <c r="S4854" s="22">
        <f>IF($D4854="","",IF(AND(LEN($D4854)=10,LEFT($D4854,1)="0",ISNUMBER(--$D4854)),"Có","Không"))</f>
        <v/>
      </c>
      <c r="T4854" s="22">
        <f>IF($D4854="","",IF(AND($C4854&lt;&gt;"",$Q4854="Có",$R4854="",$S4854="Có",AND($L4854&lt;&gt;"",OR($L4854&lt;&gt;"Chưa xác định",DANH_MUC!$L$9="Có"))),"Có","Không"))</f>
        <v/>
      </c>
      <c r="U4854" s="22">
        <f>IF(OR($D4854="",$T4854="Có"),"",IF($C4854="","Thiếu họ tên; ","")&amp;IF($S4854&lt;&gt;"Có","SĐT sai định dạng; ","")&amp;IF($R4854="Trùng","Trùng SĐT; ","")&amp;IF($Q4854&lt;&gt;"Có","Thiếu đồng ý bắt buộc; ","")&amp;IF($L4854="","Thiếu/sai Mã REF; ",IF(AND($L4854="Chưa xác định",DANH_MUC!$L$9&lt;&gt;"Có"),"Nguồn chưa xác định; ","")))</f>
        <v/>
      </c>
      <c r="V4854" s="22">
        <f>IF(OR($D4854="",$R4854="Trùng"),"",IF(COUNTIF(ORDERS!$C$2:$C$4995,$D4854)&gt;0,"Có","Không"))</f>
        <v/>
      </c>
      <c r="W4854" s="22">
        <f>IF(OR($D4854="",$R4854="Trùng"),"",COUNTIFS(ORDERS!$C$2:$C$4995,$D4854,ORDERS!$L$2:$L$4995,"Đã chuyển khoản"))</f>
        <v/>
      </c>
      <c r="X4854" s="23">
        <f>IF(OR($D4854="",$R4854="Trùng"),"",SUMIFS(ORDERS!$J$2:$J$4995,ORDERS!$C$2:$C$4995,$D4854,ORDERS!$L$2:$L$4995,"Đã chuyển khoản"))</f>
        <v/>
      </c>
      <c r="Y4854" s="24" t="n"/>
    </row>
    <row r="4855" ht="14.25" customHeight="1" s="40">
      <c r="A4855" s="24" t="n"/>
      <c r="B4855" s="27" t="n"/>
      <c r="C4855" s="24" t="n"/>
      <c r="D4855" s="28" t="n"/>
      <c r="E4855" s="29" t="n"/>
      <c r="F4855" s="24" t="n"/>
      <c r="G4855" s="24" t="n"/>
      <c r="H4855" s="21">
        <f>IF(ISNUMBER($B4855),INT($B4855)-WEEKDAY($B4855,2)+1,"")</f>
        <v/>
      </c>
      <c r="I4855" s="24" t="n"/>
      <c r="J4855" s="22">
        <f t="array" ref="J4855">IF($D4855="","",IF($I4855="","(trống REF)",IFERROR(INDEX(MASTER_SOURCE!$B$2:$B$495,MATCH($I4855,MASTER_SOURCE!$A$2:$A$495,0)),"(REF không có trong MASTER_SOURCE)")))</f>
        <v/>
      </c>
      <c r="K4855" s="22">
        <f t="array" ref="K4855">IF($D4855="","",IFERROR(INDEX(MASTER_SOURCE!$C$2:$C$495,MATCH($I4855,MASTER_SOURCE!$A$2:$A$495,0)),""))</f>
        <v/>
      </c>
      <c r="L4855" s="22">
        <f t="array" ref="L4855">IF($D4855="","",IFERROR(INDEX(MASTER_SOURCE!$D$2:$D$495,MATCH($I4855,MASTER_SOURCE!$A$2:$A$495,0)),""))</f>
        <v/>
      </c>
      <c r="M4855" s="24" t="n"/>
      <c r="N4855" s="24" t="n"/>
      <c r="O4855" s="24" t="n"/>
      <c r="P4855" s="24" t="n"/>
      <c r="Q4855" s="22">
        <f>IF($D4855="","",IF(AND(OR(DANH_MUC!$L$5&lt;&gt;"Có",M4855="Có"),OR(DANH_MUC!$L$6&lt;&gt;"Có",N4855="Có"),OR(DANH_MUC!$L$7&lt;&gt;"Có",O4855="Có"),OR(DANH_MUC!$L$8&lt;&gt;"Có",P4855="Có")),"Có","Không"))</f>
        <v/>
      </c>
      <c r="R4855" s="22">
        <f>IF($D4855="","",IF(COUNTIF($D$2:$D4855,$D4855)&gt;1,"Trùng",""))</f>
        <v/>
      </c>
      <c r="S4855" s="22">
        <f>IF($D4855="","",IF(AND(LEN($D4855)=10,LEFT($D4855,1)="0",ISNUMBER(--$D4855)),"Có","Không"))</f>
        <v/>
      </c>
      <c r="T4855" s="22">
        <f>IF($D4855="","",IF(AND($C4855&lt;&gt;"",$Q4855="Có",$R4855="",$S4855="Có",AND($L4855&lt;&gt;"",OR($L4855&lt;&gt;"Chưa xác định",DANH_MUC!$L$9="Có"))),"Có","Không"))</f>
        <v/>
      </c>
      <c r="U4855" s="22">
        <f>IF(OR($D4855="",$T4855="Có"),"",IF($C4855="","Thiếu họ tên; ","")&amp;IF($S4855&lt;&gt;"Có","SĐT sai định dạng; ","")&amp;IF($R4855="Trùng","Trùng SĐT; ","")&amp;IF($Q4855&lt;&gt;"Có","Thiếu đồng ý bắt buộc; ","")&amp;IF($L4855="","Thiếu/sai Mã REF; ",IF(AND($L4855="Chưa xác định",DANH_MUC!$L$9&lt;&gt;"Có"),"Nguồn chưa xác định; ","")))</f>
        <v/>
      </c>
      <c r="V4855" s="22">
        <f>IF(OR($D4855="",$R4855="Trùng"),"",IF(COUNTIF(ORDERS!$C$2:$C$4995,$D4855)&gt;0,"Có","Không"))</f>
        <v/>
      </c>
      <c r="W4855" s="22">
        <f>IF(OR($D4855="",$R4855="Trùng"),"",COUNTIFS(ORDERS!$C$2:$C$4995,$D4855,ORDERS!$L$2:$L$4995,"Đã chuyển khoản"))</f>
        <v/>
      </c>
      <c r="X4855" s="23">
        <f>IF(OR($D4855="",$R4855="Trùng"),"",SUMIFS(ORDERS!$J$2:$J$4995,ORDERS!$C$2:$C$4995,$D4855,ORDERS!$L$2:$L$4995,"Đã chuyển khoản"))</f>
        <v/>
      </c>
      <c r="Y4855" s="24" t="n"/>
    </row>
    <row r="4856" ht="14.25" customHeight="1" s="40">
      <c r="A4856" s="24" t="n"/>
      <c r="B4856" s="27" t="n"/>
      <c r="C4856" s="24" t="n"/>
      <c r="D4856" s="28" t="n"/>
      <c r="E4856" s="29" t="n"/>
      <c r="F4856" s="24" t="n"/>
      <c r="G4856" s="24" t="n"/>
      <c r="H4856" s="21">
        <f>IF(ISNUMBER($B4856),INT($B4856)-WEEKDAY($B4856,2)+1,"")</f>
        <v/>
      </c>
      <c r="I4856" s="24" t="n"/>
      <c r="J4856" s="22">
        <f t="array" ref="J4856">IF($D4856="","",IF($I4856="","(trống REF)",IFERROR(INDEX(MASTER_SOURCE!$B$2:$B$495,MATCH($I4856,MASTER_SOURCE!$A$2:$A$495,0)),"(REF không có trong MASTER_SOURCE)")))</f>
        <v/>
      </c>
      <c r="K4856" s="22">
        <f t="array" ref="K4856">IF($D4856="","",IFERROR(INDEX(MASTER_SOURCE!$C$2:$C$495,MATCH($I4856,MASTER_SOURCE!$A$2:$A$495,0)),""))</f>
        <v/>
      </c>
      <c r="L4856" s="22">
        <f t="array" ref="L4856">IF($D4856="","",IFERROR(INDEX(MASTER_SOURCE!$D$2:$D$495,MATCH($I4856,MASTER_SOURCE!$A$2:$A$495,0)),""))</f>
        <v/>
      </c>
      <c r="M4856" s="24" t="n"/>
      <c r="N4856" s="24" t="n"/>
      <c r="O4856" s="24" t="n"/>
      <c r="P4856" s="24" t="n"/>
      <c r="Q4856" s="22">
        <f>IF($D4856="","",IF(AND(OR(DANH_MUC!$L$5&lt;&gt;"Có",M4856="Có"),OR(DANH_MUC!$L$6&lt;&gt;"Có",N4856="Có"),OR(DANH_MUC!$L$7&lt;&gt;"Có",O4856="Có"),OR(DANH_MUC!$L$8&lt;&gt;"Có",P4856="Có")),"Có","Không"))</f>
        <v/>
      </c>
      <c r="R4856" s="22">
        <f>IF($D4856="","",IF(COUNTIF($D$2:$D4856,$D4856)&gt;1,"Trùng",""))</f>
        <v/>
      </c>
      <c r="S4856" s="22">
        <f>IF($D4856="","",IF(AND(LEN($D4856)=10,LEFT($D4856,1)="0",ISNUMBER(--$D4856)),"Có","Không"))</f>
        <v/>
      </c>
      <c r="T4856" s="22">
        <f>IF($D4856="","",IF(AND($C4856&lt;&gt;"",$Q4856="Có",$R4856="",$S4856="Có",AND($L4856&lt;&gt;"",OR($L4856&lt;&gt;"Chưa xác định",DANH_MUC!$L$9="Có"))),"Có","Không"))</f>
        <v/>
      </c>
      <c r="U4856" s="22">
        <f>IF(OR($D4856="",$T4856="Có"),"",IF($C4856="","Thiếu họ tên; ","")&amp;IF($S4856&lt;&gt;"Có","SĐT sai định dạng; ","")&amp;IF($R4856="Trùng","Trùng SĐT; ","")&amp;IF($Q4856&lt;&gt;"Có","Thiếu đồng ý bắt buộc; ","")&amp;IF($L4856="","Thiếu/sai Mã REF; ",IF(AND($L4856="Chưa xác định",DANH_MUC!$L$9&lt;&gt;"Có"),"Nguồn chưa xác định; ","")))</f>
        <v/>
      </c>
      <c r="V4856" s="22">
        <f>IF(OR($D4856="",$R4856="Trùng"),"",IF(COUNTIF(ORDERS!$C$2:$C$4995,$D4856)&gt;0,"Có","Không"))</f>
        <v/>
      </c>
      <c r="W4856" s="22">
        <f>IF(OR($D4856="",$R4856="Trùng"),"",COUNTIFS(ORDERS!$C$2:$C$4995,$D4856,ORDERS!$L$2:$L$4995,"Đã chuyển khoản"))</f>
        <v/>
      </c>
      <c r="X4856" s="23">
        <f>IF(OR($D4856="",$R4856="Trùng"),"",SUMIFS(ORDERS!$J$2:$J$4995,ORDERS!$C$2:$C$4995,$D4856,ORDERS!$L$2:$L$4995,"Đã chuyển khoản"))</f>
        <v/>
      </c>
      <c r="Y4856" s="24" t="n"/>
    </row>
    <row r="4857" ht="14.25" customHeight="1" s="40">
      <c r="A4857" s="24" t="n"/>
      <c r="B4857" s="27" t="n"/>
      <c r="C4857" s="24" t="n"/>
      <c r="D4857" s="28" t="n"/>
      <c r="E4857" s="29" t="n"/>
      <c r="F4857" s="24" t="n"/>
      <c r="G4857" s="24" t="n"/>
      <c r="H4857" s="21">
        <f>IF(ISNUMBER($B4857),INT($B4857)-WEEKDAY($B4857,2)+1,"")</f>
        <v/>
      </c>
      <c r="I4857" s="24" t="n"/>
      <c r="J4857" s="22">
        <f t="array" ref="J4857">IF($D4857="","",IF($I4857="","(trống REF)",IFERROR(INDEX(MASTER_SOURCE!$B$2:$B$495,MATCH($I4857,MASTER_SOURCE!$A$2:$A$495,0)),"(REF không có trong MASTER_SOURCE)")))</f>
        <v/>
      </c>
      <c r="K4857" s="22">
        <f t="array" ref="K4857">IF($D4857="","",IFERROR(INDEX(MASTER_SOURCE!$C$2:$C$495,MATCH($I4857,MASTER_SOURCE!$A$2:$A$495,0)),""))</f>
        <v/>
      </c>
      <c r="L4857" s="22">
        <f t="array" ref="L4857">IF($D4857="","",IFERROR(INDEX(MASTER_SOURCE!$D$2:$D$495,MATCH($I4857,MASTER_SOURCE!$A$2:$A$495,0)),""))</f>
        <v/>
      </c>
      <c r="M4857" s="24" t="n"/>
      <c r="N4857" s="24" t="n"/>
      <c r="O4857" s="24" t="n"/>
      <c r="P4857" s="24" t="n"/>
      <c r="Q4857" s="22">
        <f>IF($D4857="","",IF(AND(OR(DANH_MUC!$L$5&lt;&gt;"Có",M4857="Có"),OR(DANH_MUC!$L$6&lt;&gt;"Có",N4857="Có"),OR(DANH_MUC!$L$7&lt;&gt;"Có",O4857="Có"),OR(DANH_MUC!$L$8&lt;&gt;"Có",P4857="Có")),"Có","Không"))</f>
        <v/>
      </c>
      <c r="R4857" s="22">
        <f>IF($D4857="","",IF(COUNTIF($D$2:$D4857,$D4857)&gt;1,"Trùng",""))</f>
        <v/>
      </c>
      <c r="S4857" s="22">
        <f>IF($D4857="","",IF(AND(LEN($D4857)=10,LEFT($D4857,1)="0",ISNUMBER(--$D4857)),"Có","Không"))</f>
        <v/>
      </c>
      <c r="T4857" s="22">
        <f>IF($D4857="","",IF(AND($C4857&lt;&gt;"",$Q4857="Có",$R4857="",$S4857="Có",AND($L4857&lt;&gt;"",OR($L4857&lt;&gt;"Chưa xác định",DANH_MUC!$L$9="Có"))),"Có","Không"))</f>
        <v/>
      </c>
      <c r="U4857" s="22">
        <f>IF(OR($D4857="",$T4857="Có"),"",IF($C4857="","Thiếu họ tên; ","")&amp;IF($S4857&lt;&gt;"Có","SĐT sai định dạng; ","")&amp;IF($R4857="Trùng","Trùng SĐT; ","")&amp;IF($Q4857&lt;&gt;"Có","Thiếu đồng ý bắt buộc; ","")&amp;IF($L4857="","Thiếu/sai Mã REF; ",IF(AND($L4857="Chưa xác định",DANH_MUC!$L$9&lt;&gt;"Có"),"Nguồn chưa xác định; ","")))</f>
        <v/>
      </c>
      <c r="V4857" s="22">
        <f>IF(OR($D4857="",$R4857="Trùng"),"",IF(COUNTIF(ORDERS!$C$2:$C$4995,$D4857)&gt;0,"Có","Không"))</f>
        <v/>
      </c>
      <c r="W4857" s="22">
        <f>IF(OR($D4857="",$R4857="Trùng"),"",COUNTIFS(ORDERS!$C$2:$C$4995,$D4857,ORDERS!$L$2:$L$4995,"Đã chuyển khoản"))</f>
        <v/>
      </c>
      <c r="X4857" s="23">
        <f>IF(OR($D4857="",$R4857="Trùng"),"",SUMIFS(ORDERS!$J$2:$J$4995,ORDERS!$C$2:$C$4995,$D4857,ORDERS!$L$2:$L$4995,"Đã chuyển khoản"))</f>
        <v/>
      </c>
      <c r="Y4857" s="24" t="n"/>
    </row>
    <row r="4858" ht="14.25" customHeight="1" s="40">
      <c r="A4858" s="24" t="n"/>
      <c r="B4858" s="27" t="n"/>
      <c r="C4858" s="24" t="n"/>
      <c r="D4858" s="28" t="n"/>
      <c r="E4858" s="29" t="n"/>
      <c r="F4858" s="24" t="n"/>
      <c r="G4858" s="24" t="n"/>
      <c r="H4858" s="21">
        <f>IF(ISNUMBER($B4858),INT($B4858)-WEEKDAY($B4858,2)+1,"")</f>
        <v/>
      </c>
      <c r="I4858" s="24" t="n"/>
      <c r="J4858" s="22">
        <f t="array" ref="J4858">IF($D4858="","",IF($I4858="","(trống REF)",IFERROR(INDEX(MASTER_SOURCE!$B$2:$B$495,MATCH($I4858,MASTER_SOURCE!$A$2:$A$495,0)),"(REF không có trong MASTER_SOURCE)")))</f>
        <v/>
      </c>
      <c r="K4858" s="22">
        <f t="array" ref="K4858">IF($D4858="","",IFERROR(INDEX(MASTER_SOURCE!$C$2:$C$495,MATCH($I4858,MASTER_SOURCE!$A$2:$A$495,0)),""))</f>
        <v/>
      </c>
      <c r="L4858" s="22">
        <f t="array" ref="L4858">IF($D4858="","",IFERROR(INDEX(MASTER_SOURCE!$D$2:$D$495,MATCH($I4858,MASTER_SOURCE!$A$2:$A$495,0)),""))</f>
        <v/>
      </c>
      <c r="M4858" s="24" t="n"/>
      <c r="N4858" s="24" t="n"/>
      <c r="O4858" s="24" t="n"/>
      <c r="P4858" s="24" t="n"/>
      <c r="Q4858" s="22">
        <f>IF($D4858="","",IF(AND(OR(DANH_MUC!$L$5&lt;&gt;"Có",M4858="Có"),OR(DANH_MUC!$L$6&lt;&gt;"Có",N4858="Có"),OR(DANH_MUC!$L$7&lt;&gt;"Có",O4858="Có"),OR(DANH_MUC!$L$8&lt;&gt;"Có",P4858="Có")),"Có","Không"))</f>
        <v/>
      </c>
      <c r="R4858" s="22">
        <f>IF($D4858="","",IF(COUNTIF($D$2:$D4858,$D4858)&gt;1,"Trùng",""))</f>
        <v/>
      </c>
      <c r="S4858" s="22">
        <f>IF($D4858="","",IF(AND(LEN($D4858)=10,LEFT($D4858,1)="0",ISNUMBER(--$D4858)),"Có","Không"))</f>
        <v/>
      </c>
      <c r="T4858" s="22">
        <f>IF($D4858="","",IF(AND($C4858&lt;&gt;"",$Q4858="Có",$R4858="",$S4858="Có",AND($L4858&lt;&gt;"",OR($L4858&lt;&gt;"Chưa xác định",DANH_MUC!$L$9="Có"))),"Có","Không"))</f>
        <v/>
      </c>
      <c r="U4858" s="22">
        <f>IF(OR($D4858="",$T4858="Có"),"",IF($C4858="","Thiếu họ tên; ","")&amp;IF($S4858&lt;&gt;"Có","SĐT sai định dạng; ","")&amp;IF($R4858="Trùng","Trùng SĐT; ","")&amp;IF($Q4858&lt;&gt;"Có","Thiếu đồng ý bắt buộc; ","")&amp;IF($L4858="","Thiếu/sai Mã REF; ",IF(AND($L4858="Chưa xác định",DANH_MUC!$L$9&lt;&gt;"Có"),"Nguồn chưa xác định; ","")))</f>
        <v/>
      </c>
      <c r="V4858" s="22">
        <f>IF(OR($D4858="",$R4858="Trùng"),"",IF(COUNTIF(ORDERS!$C$2:$C$4995,$D4858)&gt;0,"Có","Không"))</f>
        <v/>
      </c>
      <c r="W4858" s="22">
        <f>IF(OR($D4858="",$R4858="Trùng"),"",COUNTIFS(ORDERS!$C$2:$C$4995,$D4858,ORDERS!$L$2:$L$4995,"Đã chuyển khoản"))</f>
        <v/>
      </c>
      <c r="X4858" s="23">
        <f>IF(OR($D4858="",$R4858="Trùng"),"",SUMIFS(ORDERS!$J$2:$J$4995,ORDERS!$C$2:$C$4995,$D4858,ORDERS!$L$2:$L$4995,"Đã chuyển khoản"))</f>
        <v/>
      </c>
      <c r="Y4858" s="24" t="n"/>
    </row>
    <row r="4859" ht="14.25" customHeight="1" s="40">
      <c r="A4859" s="24" t="n"/>
      <c r="B4859" s="27" t="n"/>
      <c r="C4859" s="24" t="n"/>
      <c r="D4859" s="28" t="n"/>
      <c r="E4859" s="29" t="n"/>
      <c r="F4859" s="24" t="n"/>
      <c r="G4859" s="24" t="n"/>
      <c r="H4859" s="21">
        <f>IF(ISNUMBER($B4859),INT($B4859)-WEEKDAY($B4859,2)+1,"")</f>
        <v/>
      </c>
      <c r="I4859" s="24" t="n"/>
      <c r="J4859" s="22">
        <f t="array" ref="J4859">IF($D4859="","",IF($I4859="","(trống REF)",IFERROR(INDEX(MASTER_SOURCE!$B$2:$B$495,MATCH($I4859,MASTER_SOURCE!$A$2:$A$495,0)),"(REF không có trong MASTER_SOURCE)")))</f>
        <v/>
      </c>
      <c r="K4859" s="22">
        <f t="array" ref="K4859">IF($D4859="","",IFERROR(INDEX(MASTER_SOURCE!$C$2:$C$495,MATCH($I4859,MASTER_SOURCE!$A$2:$A$495,0)),""))</f>
        <v/>
      </c>
      <c r="L4859" s="22">
        <f t="array" ref="L4859">IF($D4859="","",IFERROR(INDEX(MASTER_SOURCE!$D$2:$D$495,MATCH($I4859,MASTER_SOURCE!$A$2:$A$495,0)),""))</f>
        <v/>
      </c>
      <c r="M4859" s="24" t="n"/>
      <c r="N4859" s="24" t="n"/>
      <c r="O4859" s="24" t="n"/>
      <c r="P4859" s="24" t="n"/>
      <c r="Q4859" s="22">
        <f>IF($D4859="","",IF(AND(OR(DANH_MUC!$L$5&lt;&gt;"Có",M4859="Có"),OR(DANH_MUC!$L$6&lt;&gt;"Có",N4859="Có"),OR(DANH_MUC!$L$7&lt;&gt;"Có",O4859="Có"),OR(DANH_MUC!$L$8&lt;&gt;"Có",P4859="Có")),"Có","Không"))</f>
        <v/>
      </c>
      <c r="R4859" s="22">
        <f>IF($D4859="","",IF(COUNTIF($D$2:$D4859,$D4859)&gt;1,"Trùng",""))</f>
        <v/>
      </c>
      <c r="S4859" s="22">
        <f>IF($D4859="","",IF(AND(LEN($D4859)=10,LEFT($D4859,1)="0",ISNUMBER(--$D4859)),"Có","Không"))</f>
        <v/>
      </c>
      <c r="T4859" s="22">
        <f>IF($D4859="","",IF(AND($C4859&lt;&gt;"",$Q4859="Có",$R4859="",$S4859="Có",AND($L4859&lt;&gt;"",OR($L4859&lt;&gt;"Chưa xác định",DANH_MUC!$L$9="Có"))),"Có","Không"))</f>
        <v/>
      </c>
      <c r="U4859" s="22">
        <f>IF(OR($D4859="",$T4859="Có"),"",IF($C4859="","Thiếu họ tên; ","")&amp;IF($S4859&lt;&gt;"Có","SĐT sai định dạng; ","")&amp;IF($R4859="Trùng","Trùng SĐT; ","")&amp;IF($Q4859&lt;&gt;"Có","Thiếu đồng ý bắt buộc; ","")&amp;IF($L4859="","Thiếu/sai Mã REF; ",IF(AND($L4859="Chưa xác định",DANH_MUC!$L$9&lt;&gt;"Có"),"Nguồn chưa xác định; ","")))</f>
        <v/>
      </c>
      <c r="V4859" s="22">
        <f>IF(OR($D4859="",$R4859="Trùng"),"",IF(COUNTIF(ORDERS!$C$2:$C$4995,$D4859)&gt;0,"Có","Không"))</f>
        <v/>
      </c>
      <c r="W4859" s="22">
        <f>IF(OR($D4859="",$R4859="Trùng"),"",COUNTIFS(ORDERS!$C$2:$C$4995,$D4859,ORDERS!$L$2:$L$4995,"Đã chuyển khoản"))</f>
        <v/>
      </c>
      <c r="X4859" s="23">
        <f>IF(OR($D4859="",$R4859="Trùng"),"",SUMIFS(ORDERS!$J$2:$J$4995,ORDERS!$C$2:$C$4995,$D4859,ORDERS!$L$2:$L$4995,"Đã chuyển khoản"))</f>
        <v/>
      </c>
      <c r="Y4859" s="24" t="n"/>
    </row>
    <row r="4860" ht="14.25" customHeight="1" s="40">
      <c r="A4860" s="24" t="n"/>
      <c r="B4860" s="27" t="n"/>
      <c r="C4860" s="24" t="n"/>
      <c r="D4860" s="28" t="n"/>
      <c r="E4860" s="29" t="n"/>
      <c r="F4860" s="24" t="n"/>
      <c r="G4860" s="24" t="n"/>
      <c r="H4860" s="21">
        <f>IF(ISNUMBER($B4860),INT($B4860)-WEEKDAY($B4860,2)+1,"")</f>
        <v/>
      </c>
      <c r="I4860" s="24" t="n"/>
      <c r="J4860" s="22">
        <f t="array" ref="J4860">IF($D4860="","",IF($I4860="","(trống REF)",IFERROR(INDEX(MASTER_SOURCE!$B$2:$B$495,MATCH($I4860,MASTER_SOURCE!$A$2:$A$495,0)),"(REF không có trong MASTER_SOURCE)")))</f>
        <v/>
      </c>
      <c r="K4860" s="22">
        <f t="array" ref="K4860">IF($D4860="","",IFERROR(INDEX(MASTER_SOURCE!$C$2:$C$495,MATCH($I4860,MASTER_SOURCE!$A$2:$A$495,0)),""))</f>
        <v/>
      </c>
      <c r="L4860" s="22">
        <f t="array" ref="L4860">IF($D4860="","",IFERROR(INDEX(MASTER_SOURCE!$D$2:$D$495,MATCH($I4860,MASTER_SOURCE!$A$2:$A$495,0)),""))</f>
        <v/>
      </c>
      <c r="M4860" s="24" t="n"/>
      <c r="N4860" s="24" t="n"/>
      <c r="O4860" s="24" t="n"/>
      <c r="P4860" s="24" t="n"/>
      <c r="Q4860" s="22">
        <f>IF($D4860="","",IF(AND(OR(DANH_MUC!$L$5&lt;&gt;"Có",M4860="Có"),OR(DANH_MUC!$L$6&lt;&gt;"Có",N4860="Có"),OR(DANH_MUC!$L$7&lt;&gt;"Có",O4860="Có"),OR(DANH_MUC!$L$8&lt;&gt;"Có",P4860="Có")),"Có","Không"))</f>
        <v/>
      </c>
      <c r="R4860" s="22">
        <f>IF($D4860="","",IF(COUNTIF($D$2:$D4860,$D4860)&gt;1,"Trùng",""))</f>
        <v/>
      </c>
      <c r="S4860" s="22">
        <f>IF($D4860="","",IF(AND(LEN($D4860)=10,LEFT($D4860,1)="0",ISNUMBER(--$D4860)),"Có","Không"))</f>
        <v/>
      </c>
      <c r="T4860" s="22">
        <f>IF($D4860="","",IF(AND($C4860&lt;&gt;"",$Q4860="Có",$R4860="",$S4860="Có",AND($L4860&lt;&gt;"",OR($L4860&lt;&gt;"Chưa xác định",DANH_MUC!$L$9="Có"))),"Có","Không"))</f>
        <v/>
      </c>
      <c r="U4860" s="22">
        <f>IF(OR($D4860="",$T4860="Có"),"",IF($C4860="","Thiếu họ tên; ","")&amp;IF($S4860&lt;&gt;"Có","SĐT sai định dạng; ","")&amp;IF($R4860="Trùng","Trùng SĐT; ","")&amp;IF($Q4860&lt;&gt;"Có","Thiếu đồng ý bắt buộc; ","")&amp;IF($L4860="","Thiếu/sai Mã REF; ",IF(AND($L4860="Chưa xác định",DANH_MUC!$L$9&lt;&gt;"Có"),"Nguồn chưa xác định; ","")))</f>
        <v/>
      </c>
      <c r="V4860" s="22">
        <f>IF(OR($D4860="",$R4860="Trùng"),"",IF(COUNTIF(ORDERS!$C$2:$C$4995,$D4860)&gt;0,"Có","Không"))</f>
        <v/>
      </c>
      <c r="W4860" s="22">
        <f>IF(OR($D4860="",$R4860="Trùng"),"",COUNTIFS(ORDERS!$C$2:$C$4995,$D4860,ORDERS!$L$2:$L$4995,"Đã chuyển khoản"))</f>
        <v/>
      </c>
      <c r="X4860" s="23">
        <f>IF(OR($D4860="",$R4860="Trùng"),"",SUMIFS(ORDERS!$J$2:$J$4995,ORDERS!$C$2:$C$4995,$D4860,ORDERS!$L$2:$L$4995,"Đã chuyển khoản"))</f>
        <v/>
      </c>
      <c r="Y4860" s="24" t="n"/>
    </row>
    <row r="4861" ht="14.25" customHeight="1" s="40">
      <c r="A4861" s="24" t="n"/>
      <c r="B4861" s="27" t="n"/>
      <c r="C4861" s="24" t="n"/>
      <c r="D4861" s="28" t="n"/>
      <c r="E4861" s="29" t="n"/>
      <c r="F4861" s="24" t="n"/>
      <c r="G4861" s="24" t="n"/>
      <c r="H4861" s="21">
        <f>IF(ISNUMBER($B4861),INT($B4861)-WEEKDAY($B4861,2)+1,"")</f>
        <v/>
      </c>
      <c r="I4861" s="24" t="n"/>
      <c r="J4861" s="22">
        <f t="array" ref="J4861">IF($D4861="","",IF($I4861="","(trống REF)",IFERROR(INDEX(MASTER_SOURCE!$B$2:$B$495,MATCH($I4861,MASTER_SOURCE!$A$2:$A$495,0)),"(REF không có trong MASTER_SOURCE)")))</f>
        <v/>
      </c>
      <c r="K4861" s="22">
        <f t="array" ref="K4861">IF($D4861="","",IFERROR(INDEX(MASTER_SOURCE!$C$2:$C$495,MATCH($I4861,MASTER_SOURCE!$A$2:$A$495,0)),""))</f>
        <v/>
      </c>
      <c r="L4861" s="22">
        <f t="array" ref="L4861">IF($D4861="","",IFERROR(INDEX(MASTER_SOURCE!$D$2:$D$495,MATCH($I4861,MASTER_SOURCE!$A$2:$A$495,0)),""))</f>
        <v/>
      </c>
      <c r="M4861" s="24" t="n"/>
      <c r="N4861" s="24" t="n"/>
      <c r="O4861" s="24" t="n"/>
      <c r="P4861" s="24" t="n"/>
      <c r="Q4861" s="22">
        <f>IF($D4861="","",IF(AND(OR(DANH_MUC!$L$5&lt;&gt;"Có",M4861="Có"),OR(DANH_MUC!$L$6&lt;&gt;"Có",N4861="Có"),OR(DANH_MUC!$L$7&lt;&gt;"Có",O4861="Có"),OR(DANH_MUC!$L$8&lt;&gt;"Có",P4861="Có")),"Có","Không"))</f>
        <v/>
      </c>
      <c r="R4861" s="22">
        <f>IF($D4861="","",IF(COUNTIF($D$2:$D4861,$D4861)&gt;1,"Trùng",""))</f>
        <v/>
      </c>
      <c r="S4861" s="22">
        <f>IF($D4861="","",IF(AND(LEN($D4861)=10,LEFT($D4861,1)="0",ISNUMBER(--$D4861)),"Có","Không"))</f>
        <v/>
      </c>
      <c r="T4861" s="22">
        <f>IF($D4861="","",IF(AND($C4861&lt;&gt;"",$Q4861="Có",$R4861="",$S4861="Có",AND($L4861&lt;&gt;"",OR($L4861&lt;&gt;"Chưa xác định",DANH_MUC!$L$9="Có"))),"Có","Không"))</f>
        <v/>
      </c>
      <c r="U4861" s="22">
        <f>IF(OR($D4861="",$T4861="Có"),"",IF($C4861="","Thiếu họ tên; ","")&amp;IF($S4861&lt;&gt;"Có","SĐT sai định dạng; ","")&amp;IF($R4861="Trùng","Trùng SĐT; ","")&amp;IF($Q4861&lt;&gt;"Có","Thiếu đồng ý bắt buộc; ","")&amp;IF($L4861="","Thiếu/sai Mã REF; ",IF(AND($L4861="Chưa xác định",DANH_MUC!$L$9&lt;&gt;"Có"),"Nguồn chưa xác định; ","")))</f>
        <v/>
      </c>
      <c r="V4861" s="22">
        <f>IF(OR($D4861="",$R4861="Trùng"),"",IF(COUNTIF(ORDERS!$C$2:$C$4995,$D4861)&gt;0,"Có","Không"))</f>
        <v/>
      </c>
      <c r="W4861" s="22">
        <f>IF(OR($D4861="",$R4861="Trùng"),"",COUNTIFS(ORDERS!$C$2:$C$4995,$D4861,ORDERS!$L$2:$L$4995,"Đã chuyển khoản"))</f>
        <v/>
      </c>
      <c r="X4861" s="23">
        <f>IF(OR($D4861="",$R4861="Trùng"),"",SUMIFS(ORDERS!$J$2:$J$4995,ORDERS!$C$2:$C$4995,$D4861,ORDERS!$L$2:$L$4995,"Đã chuyển khoản"))</f>
        <v/>
      </c>
      <c r="Y4861" s="24" t="n"/>
    </row>
    <row r="4862" ht="14.25" customHeight="1" s="40">
      <c r="A4862" s="24" t="n"/>
      <c r="B4862" s="27" t="n"/>
      <c r="C4862" s="24" t="n"/>
      <c r="D4862" s="28" t="n"/>
      <c r="E4862" s="29" t="n"/>
      <c r="F4862" s="24" t="n"/>
      <c r="G4862" s="24" t="n"/>
      <c r="H4862" s="21">
        <f>IF(ISNUMBER($B4862),INT($B4862)-WEEKDAY($B4862,2)+1,"")</f>
        <v/>
      </c>
      <c r="I4862" s="24" t="n"/>
      <c r="J4862" s="22">
        <f t="array" ref="J4862">IF($D4862="","",IF($I4862="","(trống REF)",IFERROR(INDEX(MASTER_SOURCE!$B$2:$B$495,MATCH($I4862,MASTER_SOURCE!$A$2:$A$495,0)),"(REF không có trong MASTER_SOURCE)")))</f>
        <v/>
      </c>
      <c r="K4862" s="22">
        <f t="array" ref="K4862">IF($D4862="","",IFERROR(INDEX(MASTER_SOURCE!$C$2:$C$495,MATCH($I4862,MASTER_SOURCE!$A$2:$A$495,0)),""))</f>
        <v/>
      </c>
      <c r="L4862" s="22">
        <f t="array" ref="L4862">IF($D4862="","",IFERROR(INDEX(MASTER_SOURCE!$D$2:$D$495,MATCH($I4862,MASTER_SOURCE!$A$2:$A$495,0)),""))</f>
        <v/>
      </c>
      <c r="M4862" s="24" t="n"/>
      <c r="N4862" s="24" t="n"/>
      <c r="O4862" s="24" t="n"/>
      <c r="P4862" s="24" t="n"/>
      <c r="Q4862" s="22">
        <f>IF($D4862="","",IF(AND(OR(DANH_MUC!$L$5&lt;&gt;"Có",M4862="Có"),OR(DANH_MUC!$L$6&lt;&gt;"Có",N4862="Có"),OR(DANH_MUC!$L$7&lt;&gt;"Có",O4862="Có"),OR(DANH_MUC!$L$8&lt;&gt;"Có",P4862="Có")),"Có","Không"))</f>
        <v/>
      </c>
      <c r="R4862" s="22">
        <f>IF($D4862="","",IF(COUNTIF($D$2:$D4862,$D4862)&gt;1,"Trùng",""))</f>
        <v/>
      </c>
      <c r="S4862" s="22">
        <f>IF($D4862="","",IF(AND(LEN($D4862)=10,LEFT($D4862,1)="0",ISNUMBER(--$D4862)),"Có","Không"))</f>
        <v/>
      </c>
      <c r="T4862" s="22">
        <f>IF($D4862="","",IF(AND($C4862&lt;&gt;"",$Q4862="Có",$R4862="",$S4862="Có",AND($L4862&lt;&gt;"",OR($L4862&lt;&gt;"Chưa xác định",DANH_MUC!$L$9="Có"))),"Có","Không"))</f>
        <v/>
      </c>
      <c r="U4862" s="22">
        <f>IF(OR($D4862="",$T4862="Có"),"",IF($C4862="","Thiếu họ tên; ","")&amp;IF($S4862&lt;&gt;"Có","SĐT sai định dạng; ","")&amp;IF($R4862="Trùng","Trùng SĐT; ","")&amp;IF($Q4862&lt;&gt;"Có","Thiếu đồng ý bắt buộc; ","")&amp;IF($L4862="","Thiếu/sai Mã REF; ",IF(AND($L4862="Chưa xác định",DANH_MUC!$L$9&lt;&gt;"Có"),"Nguồn chưa xác định; ","")))</f>
        <v/>
      </c>
      <c r="V4862" s="22">
        <f>IF(OR($D4862="",$R4862="Trùng"),"",IF(COUNTIF(ORDERS!$C$2:$C$4995,$D4862)&gt;0,"Có","Không"))</f>
        <v/>
      </c>
      <c r="W4862" s="22">
        <f>IF(OR($D4862="",$R4862="Trùng"),"",COUNTIFS(ORDERS!$C$2:$C$4995,$D4862,ORDERS!$L$2:$L$4995,"Đã chuyển khoản"))</f>
        <v/>
      </c>
      <c r="X4862" s="23">
        <f>IF(OR($D4862="",$R4862="Trùng"),"",SUMIFS(ORDERS!$J$2:$J$4995,ORDERS!$C$2:$C$4995,$D4862,ORDERS!$L$2:$L$4995,"Đã chuyển khoản"))</f>
        <v/>
      </c>
      <c r="Y4862" s="24" t="n"/>
    </row>
    <row r="4863" ht="14.25" customHeight="1" s="40">
      <c r="A4863" s="24" t="n"/>
      <c r="B4863" s="27" t="n"/>
      <c r="C4863" s="24" t="n"/>
      <c r="D4863" s="28" t="n"/>
      <c r="E4863" s="29" t="n"/>
      <c r="F4863" s="24" t="n"/>
      <c r="G4863" s="24" t="n"/>
      <c r="H4863" s="21">
        <f>IF(ISNUMBER($B4863),INT($B4863)-WEEKDAY($B4863,2)+1,"")</f>
        <v/>
      </c>
      <c r="I4863" s="24" t="n"/>
      <c r="J4863" s="22">
        <f t="array" ref="J4863">IF($D4863="","",IF($I4863="","(trống REF)",IFERROR(INDEX(MASTER_SOURCE!$B$2:$B$495,MATCH($I4863,MASTER_SOURCE!$A$2:$A$495,0)),"(REF không có trong MASTER_SOURCE)")))</f>
        <v/>
      </c>
      <c r="K4863" s="22">
        <f t="array" ref="K4863">IF($D4863="","",IFERROR(INDEX(MASTER_SOURCE!$C$2:$C$495,MATCH($I4863,MASTER_SOURCE!$A$2:$A$495,0)),""))</f>
        <v/>
      </c>
      <c r="L4863" s="22">
        <f t="array" ref="L4863">IF($D4863="","",IFERROR(INDEX(MASTER_SOURCE!$D$2:$D$495,MATCH($I4863,MASTER_SOURCE!$A$2:$A$495,0)),""))</f>
        <v/>
      </c>
      <c r="M4863" s="24" t="n"/>
      <c r="N4863" s="24" t="n"/>
      <c r="O4863" s="24" t="n"/>
      <c r="P4863" s="24" t="n"/>
      <c r="Q4863" s="22">
        <f>IF($D4863="","",IF(AND(OR(DANH_MUC!$L$5&lt;&gt;"Có",M4863="Có"),OR(DANH_MUC!$L$6&lt;&gt;"Có",N4863="Có"),OR(DANH_MUC!$L$7&lt;&gt;"Có",O4863="Có"),OR(DANH_MUC!$L$8&lt;&gt;"Có",P4863="Có")),"Có","Không"))</f>
        <v/>
      </c>
      <c r="R4863" s="22">
        <f>IF($D4863="","",IF(COUNTIF($D$2:$D4863,$D4863)&gt;1,"Trùng",""))</f>
        <v/>
      </c>
      <c r="S4863" s="22">
        <f>IF($D4863="","",IF(AND(LEN($D4863)=10,LEFT($D4863,1)="0",ISNUMBER(--$D4863)),"Có","Không"))</f>
        <v/>
      </c>
      <c r="T4863" s="22">
        <f>IF($D4863="","",IF(AND($C4863&lt;&gt;"",$Q4863="Có",$R4863="",$S4863="Có",AND($L4863&lt;&gt;"",OR($L4863&lt;&gt;"Chưa xác định",DANH_MUC!$L$9="Có"))),"Có","Không"))</f>
        <v/>
      </c>
      <c r="U4863" s="22">
        <f>IF(OR($D4863="",$T4863="Có"),"",IF($C4863="","Thiếu họ tên; ","")&amp;IF($S4863&lt;&gt;"Có","SĐT sai định dạng; ","")&amp;IF($R4863="Trùng","Trùng SĐT; ","")&amp;IF($Q4863&lt;&gt;"Có","Thiếu đồng ý bắt buộc; ","")&amp;IF($L4863="","Thiếu/sai Mã REF; ",IF(AND($L4863="Chưa xác định",DANH_MUC!$L$9&lt;&gt;"Có"),"Nguồn chưa xác định; ","")))</f>
        <v/>
      </c>
      <c r="V4863" s="22">
        <f>IF(OR($D4863="",$R4863="Trùng"),"",IF(COUNTIF(ORDERS!$C$2:$C$4995,$D4863)&gt;0,"Có","Không"))</f>
        <v/>
      </c>
      <c r="W4863" s="22">
        <f>IF(OR($D4863="",$R4863="Trùng"),"",COUNTIFS(ORDERS!$C$2:$C$4995,$D4863,ORDERS!$L$2:$L$4995,"Đã chuyển khoản"))</f>
        <v/>
      </c>
      <c r="X4863" s="23">
        <f>IF(OR($D4863="",$R4863="Trùng"),"",SUMIFS(ORDERS!$J$2:$J$4995,ORDERS!$C$2:$C$4995,$D4863,ORDERS!$L$2:$L$4995,"Đã chuyển khoản"))</f>
        <v/>
      </c>
      <c r="Y4863" s="24" t="n"/>
    </row>
    <row r="4864" ht="14.25" customHeight="1" s="40">
      <c r="A4864" s="24" t="n"/>
      <c r="B4864" s="27" t="n"/>
      <c r="C4864" s="24" t="n"/>
      <c r="D4864" s="28" t="n"/>
      <c r="E4864" s="29" t="n"/>
      <c r="F4864" s="24" t="n"/>
      <c r="G4864" s="24" t="n"/>
      <c r="H4864" s="21">
        <f>IF(ISNUMBER($B4864),INT($B4864)-WEEKDAY($B4864,2)+1,"")</f>
        <v/>
      </c>
      <c r="I4864" s="24" t="n"/>
      <c r="J4864" s="22">
        <f t="array" ref="J4864">IF($D4864="","",IF($I4864="","(trống REF)",IFERROR(INDEX(MASTER_SOURCE!$B$2:$B$495,MATCH($I4864,MASTER_SOURCE!$A$2:$A$495,0)),"(REF không có trong MASTER_SOURCE)")))</f>
        <v/>
      </c>
      <c r="K4864" s="22">
        <f t="array" ref="K4864">IF($D4864="","",IFERROR(INDEX(MASTER_SOURCE!$C$2:$C$495,MATCH($I4864,MASTER_SOURCE!$A$2:$A$495,0)),""))</f>
        <v/>
      </c>
      <c r="L4864" s="22">
        <f t="array" ref="L4864">IF($D4864="","",IFERROR(INDEX(MASTER_SOURCE!$D$2:$D$495,MATCH($I4864,MASTER_SOURCE!$A$2:$A$495,0)),""))</f>
        <v/>
      </c>
      <c r="M4864" s="24" t="n"/>
      <c r="N4864" s="24" t="n"/>
      <c r="O4864" s="24" t="n"/>
      <c r="P4864" s="24" t="n"/>
      <c r="Q4864" s="22">
        <f>IF($D4864="","",IF(AND(OR(DANH_MUC!$L$5&lt;&gt;"Có",M4864="Có"),OR(DANH_MUC!$L$6&lt;&gt;"Có",N4864="Có"),OR(DANH_MUC!$L$7&lt;&gt;"Có",O4864="Có"),OR(DANH_MUC!$L$8&lt;&gt;"Có",P4864="Có")),"Có","Không"))</f>
        <v/>
      </c>
      <c r="R4864" s="22">
        <f>IF($D4864="","",IF(COUNTIF($D$2:$D4864,$D4864)&gt;1,"Trùng",""))</f>
        <v/>
      </c>
      <c r="S4864" s="22">
        <f>IF($D4864="","",IF(AND(LEN($D4864)=10,LEFT($D4864,1)="0",ISNUMBER(--$D4864)),"Có","Không"))</f>
        <v/>
      </c>
      <c r="T4864" s="22">
        <f>IF($D4864="","",IF(AND($C4864&lt;&gt;"",$Q4864="Có",$R4864="",$S4864="Có",AND($L4864&lt;&gt;"",OR($L4864&lt;&gt;"Chưa xác định",DANH_MUC!$L$9="Có"))),"Có","Không"))</f>
        <v/>
      </c>
      <c r="U4864" s="22">
        <f>IF(OR($D4864="",$T4864="Có"),"",IF($C4864="","Thiếu họ tên; ","")&amp;IF($S4864&lt;&gt;"Có","SĐT sai định dạng; ","")&amp;IF($R4864="Trùng","Trùng SĐT; ","")&amp;IF($Q4864&lt;&gt;"Có","Thiếu đồng ý bắt buộc; ","")&amp;IF($L4864="","Thiếu/sai Mã REF; ",IF(AND($L4864="Chưa xác định",DANH_MUC!$L$9&lt;&gt;"Có"),"Nguồn chưa xác định; ","")))</f>
        <v/>
      </c>
      <c r="V4864" s="22">
        <f>IF(OR($D4864="",$R4864="Trùng"),"",IF(COUNTIF(ORDERS!$C$2:$C$4995,$D4864)&gt;0,"Có","Không"))</f>
        <v/>
      </c>
      <c r="W4864" s="22">
        <f>IF(OR($D4864="",$R4864="Trùng"),"",COUNTIFS(ORDERS!$C$2:$C$4995,$D4864,ORDERS!$L$2:$L$4995,"Đã chuyển khoản"))</f>
        <v/>
      </c>
      <c r="X4864" s="23">
        <f>IF(OR($D4864="",$R4864="Trùng"),"",SUMIFS(ORDERS!$J$2:$J$4995,ORDERS!$C$2:$C$4995,$D4864,ORDERS!$L$2:$L$4995,"Đã chuyển khoản"))</f>
        <v/>
      </c>
      <c r="Y4864" s="24" t="n"/>
    </row>
    <row r="4865" ht="14.25" customHeight="1" s="40">
      <c r="A4865" s="24" t="n"/>
      <c r="B4865" s="27" t="n"/>
      <c r="C4865" s="24" t="n"/>
      <c r="D4865" s="28" t="n"/>
      <c r="E4865" s="29" t="n"/>
      <c r="F4865" s="24" t="n"/>
      <c r="G4865" s="24" t="n"/>
      <c r="H4865" s="21">
        <f>IF(ISNUMBER($B4865),INT($B4865)-WEEKDAY($B4865,2)+1,"")</f>
        <v/>
      </c>
      <c r="I4865" s="24" t="n"/>
      <c r="J4865" s="22">
        <f t="array" ref="J4865">IF($D4865="","",IF($I4865="","(trống REF)",IFERROR(INDEX(MASTER_SOURCE!$B$2:$B$495,MATCH($I4865,MASTER_SOURCE!$A$2:$A$495,0)),"(REF không có trong MASTER_SOURCE)")))</f>
        <v/>
      </c>
      <c r="K4865" s="22">
        <f t="array" ref="K4865">IF($D4865="","",IFERROR(INDEX(MASTER_SOURCE!$C$2:$C$495,MATCH($I4865,MASTER_SOURCE!$A$2:$A$495,0)),""))</f>
        <v/>
      </c>
      <c r="L4865" s="22">
        <f t="array" ref="L4865">IF($D4865="","",IFERROR(INDEX(MASTER_SOURCE!$D$2:$D$495,MATCH($I4865,MASTER_SOURCE!$A$2:$A$495,0)),""))</f>
        <v/>
      </c>
      <c r="M4865" s="24" t="n"/>
      <c r="N4865" s="24" t="n"/>
      <c r="O4865" s="24" t="n"/>
      <c r="P4865" s="24" t="n"/>
      <c r="Q4865" s="22">
        <f>IF($D4865="","",IF(AND(OR(DANH_MUC!$L$5&lt;&gt;"Có",M4865="Có"),OR(DANH_MUC!$L$6&lt;&gt;"Có",N4865="Có"),OR(DANH_MUC!$L$7&lt;&gt;"Có",O4865="Có"),OR(DANH_MUC!$L$8&lt;&gt;"Có",P4865="Có")),"Có","Không"))</f>
        <v/>
      </c>
      <c r="R4865" s="22">
        <f>IF($D4865="","",IF(COUNTIF($D$2:$D4865,$D4865)&gt;1,"Trùng",""))</f>
        <v/>
      </c>
      <c r="S4865" s="22">
        <f>IF($D4865="","",IF(AND(LEN($D4865)=10,LEFT($D4865,1)="0",ISNUMBER(--$D4865)),"Có","Không"))</f>
        <v/>
      </c>
      <c r="T4865" s="22">
        <f>IF($D4865="","",IF(AND($C4865&lt;&gt;"",$Q4865="Có",$R4865="",$S4865="Có",AND($L4865&lt;&gt;"",OR($L4865&lt;&gt;"Chưa xác định",DANH_MUC!$L$9="Có"))),"Có","Không"))</f>
        <v/>
      </c>
      <c r="U4865" s="22">
        <f>IF(OR($D4865="",$T4865="Có"),"",IF($C4865="","Thiếu họ tên; ","")&amp;IF($S4865&lt;&gt;"Có","SĐT sai định dạng; ","")&amp;IF($R4865="Trùng","Trùng SĐT; ","")&amp;IF($Q4865&lt;&gt;"Có","Thiếu đồng ý bắt buộc; ","")&amp;IF($L4865="","Thiếu/sai Mã REF; ",IF(AND($L4865="Chưa xác định",DANH_MUC!$L$9&lt;&gt;"Có"),"Nguồn chưa xác định; ","")))</f>
        <v/>
      </c>
      <c r="V4865" s="22">
        <f>IF(OR($D4865="",$R4865="Trùng"),"",IF(COUNTIF(ORDERS!$C$2:$C$4995,$D4865)&gt;0,"Có","Không"))</f>
        <v/>
      </c>
      <c r="W4865" s="22">
        <f>IF(OR($D4865="",$R4865="Trùng"),"",COUNTIFS(ORDERS!$C$2:$C$4995,$D4865,ORDERS!$L$2:$L$4995,"Đã chuyển khoản"))</f>
        <v/>
      </c>
      <c r="X4865" s="23">
        <f>IF(OR($D4865="",$R4865="Trùng"),"",SUMIFS(ORDERS!$J$2:$J$4995,ORDERS!$C$2:$C$4995,$D4865,ORDERS!$L$2:$L$4995,"Đã chuyển khoản"))</f>
        <v/>
      </c>
      <c r="Y4865" s="24" t="n"/>
    </row>
    <row r="4866" ht="14.25" customHeight="1" s="40">
      <c r="A4866" s="24" t="n"/>
      <c r="B4866" s="27" t="n"/>
      <c r="C4866" s="24" t="n"/>
      <c r="D4866" s="28" t="n"/>
      <c r="E4866" s="29" t="n"/>
      <c r="F4866" s="24" t="n"/>
      <c r="G4866" s="24" t="n"/>
      <c r="H4866" s="21">
        <f>IF(ISNUMBER($B4866),INT($B4866)-WEEKDAY($B4866,2)+1,"")</f>
        <v/>
      </c>
      <c r="I4866" s="24" t="n"/>
      <c r="J4866" s="22">
        <f t="array" ref="J4866">IF($D4866="","",IF($I4866="","(trống REF)",IFERROR(INDEX(MASTER_SOURCE!$B$2:$B$495,MATCH($I4866,MASTER_SOURCE!$A$2:$A$495,0)),"(REF không có trong MASTER_SOURCE)")))</f>
        <v/>
      </c>
      <c r="K4866" s="22">
        <f t="array" ref="K4866">IF($D4866="","",IFERROR(INDEX(MASTER_SOURCE!$C$2:$C$495,MATCH($I4866,MASTER_SOURCE!$A$2:$A$495,0)),""))</f>
        <v/>
      </c>
      <c r="L4866" s="22">
        <f t="array" ref="L4866">IF($D4866="","",IFERROR(INDEX(MASTER_SOURCE!$D$2:$D$495,MATCH($I4866,MASTER_SOURCE!$A$2:$A$495,0)),""))</f>
        <v/>
      </c>
      <c r="M4866" s="24" t="n"/>
      <c r="N4866" s="24" t="n"/>
      <c r="O4866" s="24" t="n"/>
      <c r="P4866" s="24" t="n"/>
      <c r="Q4866" s="22">
        <f>IF($D4866="","",IF(AND(OR(DANH_MUC!$L$5&lt;&gt;"Có",M4866="Có"),OR(DANH_MUC!$L$6&lt;&gt;"Có",N4866="Có"),OR(DANH_MUC!$L$7&lt;&gt;"Có",O4866="Có"),OR(DANH_MUC!$L$8&lt;&gt;"Có",P4866="Có")),"Có","Không"))</f>
        <v/>
      </c>
      <c r="R4866" s="22">
        <f>IF($D4866="","",IF(COUNTIF($D$2:$D4866,$D4866)&gt;1,"Trùng",""))</f>
        <v/>
      </c>
      <c r="S4866" s="22">
        <f>IF($D4866="","",IF(AND(LEN($D4866)=10,LEFT($D4866,1)="0",ISNUMBER(--$D4866)),"Có","Không"))</f>
        <v/>
      </c>
      <c r="T4866" s="22">
        <f>IF($D4866="","",IF(AND($C4866&lt;&gt;"",$Q4866="Có",$R4866="",$S4866="Có",AND($L4866&lt;&gt;"",OR($L4866&lt;&gt;"Chưa xác định",DANH_MUC!$L$9="Có"))),"Có","Không"))</f>
        <v/>
      </c>
      <c r="U4866" s="22">
        <f>IF(OR($D4866="",$T4866="Có"),"",IF($C4866="","Thiếu họ tên; ","")&amp;IF($S4866&lt;&gt;"Có","SĐT sai định dạng; ","")&amp;IF($R4866="Trùng","Trùng SĐT; ","")&amp;IF($Q4866&lt;&gt;"Có","Thiếu đồng ý bắt buộc; ","")&amp;IF($L4866="","Thiếu/sai Mã REF; ",IF(AND($L4866="Chưa xác định",DANH_MUC!$L$9&lt;&gt;"Có"),"Nguồn chưa xác định; ","")))</f>
        <v/>
      </c>
      <c r="V4866" s="22">
        <f>IF(OR($D4866="",$R4866="Trùng"),"",IF(COUNTIF(ORDERS!$C$2:$C$4995,$D4866)&gt;0,"Có","Không"))</f>
        <v/>
      </c>
      <c r="W4866" s="22">
        <f>IF(OR($D4866="",$R4866="Trùng"),"",COUNTIFS(ORDERS!$C$2:$C$4995,$D4866,ORDERS!$L$2:$L$4995,"Đã chuyển khoản"))</f>
        <v/>
      </c>
      <c r="X4866" s="23">
        <f>IF(OR($D4866="",$R4866="Trùng"),"",SUMIFS(ORDERS!$J$2:$J$4995,ORDERS!$C$2:$C$4995,$D4866,ORDERS!$L$2:$L$4995,"Đã chuyển khoản"))</f>
        <v/>
      </c>
      <c r="Y4866" s="24" t="n"/>
    </row>
    <row r="4867" ht="14.25" customHeight="1" s="40">
      <c r="A4867" s="24" t="n"/>
      <c r="B4867" s="27" t="n"/>
      <c r="C4867" s="24" t="n"/>
      <c r="D4867" s="28" t="n"/>
      <c r="E4867" s="29" t="n"/>
      <c r="F4867" s="24" t="n"/>
      <c r="G4867" s="24" t="n"/>
      <c r="H4867" s="21">
        <f>IF(ISNUMBER($B4867),INT($B4867)-WEEKDAY($B4867,2)+1,"")</f>
        <v/>
      </c>
      <c r="I4867" s="24" t="n"/>
      <c r="J4867" s="22">
        <f t="array" ref="J4867">IF($D4867="","",IF($I4867="","(trống REF)",IFERROR(INDEX(MASTER_SOURCE!$B$2:$B$495,MATCH($I4867,MASTER_SOURCE!$A$2:$A$495,0)),"(REF không có trong MASTER_SOURCE)")))</f>
        <v/>
      </c>
      <c r="K4867" s="22">
        <f t="array" ref="K4867">IF($D4867="","",IFERROR(INDEX(MASTER_SOURCE!$C$2:$C$495,MATCH($I4867,MASTER_SOURCE!$A$2:$A$495,0)),""))</f>
        <v/>
      </c>
      <c r="L4867" s="22">
        <f t="array" ref="L4867">IF($D4867="","",IFERROR(INDEX(MASTER_SOURCE!$D$2:$D$495,MATCH($I4867,MASTER_SOURCE!$A$2:$A$495,0)),""))</f>
        <v/>
      </c>
      <c r="M4867" s="24" t="n"/>
      <c r="N4867" s="24" t="n"/>
      <c r="O4867" s="24" t="n"/>
      <c r="P4867" s="24" t="n"/>
      <c r="Q4867" s="22">
        <f>IF($D4867="","",IF(AND(OR(DANH_MUC!$L$5&lt;&gt;"Có",M4867="Có"),OR(DANH_MUC!$L$6&lt;&gt;"Có",N4867="Có"),OR(DANH_MUC!$L$7&lt;&gt;"Có",O4867="Có"),OR(DANH_MUC!$L$8&lt;&gt;"Có",P4867="Có")),"Có","Không"))</f>
        <v/>
      </c>
      <c r="R4867" s="22">
        <f>IF($D4867="","",IF(COUNTIF($D$2:$D4867,$D4867)&gt;1,"Trùng",""))</f>
        <v/>
      </c>
      <c r="S4867" s="22">
        <f>IF($D4867="","",IF(AND(LEN($D4867)=10,LEFT($D4867,1)="0",ISNUMBER(--$D4867)),"Có","Không"))</f>
        <v/>
      </c>
      <c r="T4867" s="22">
        <f>IF($D4867="","",IF(AND($C4867&lt;&gt;"",$Q4867="Có",$R4867="",$S4867="Có",AND($L4867&lt;&gt;"",OR($L4867&lt;&gt;"Chưa xác định",DANH_MUC!$L$9="Có"))),"Có","Không"))</f>
        <v/>
      </c>
      <c r="U4867" s="22">
        <f>IF(OR($D4867="",$T4867="Có"),"",IF($C4867="","Thiếu họ tên; ","")&amp;IF($S4867&lt;&gt;"Có","SĐT sai định dạng; ","")&amp;IF($R4867="Trùng","Trùng SĐT; ","")&amp;IF($Q4867&lt;&gt;"Có","Thiếu đồng ý bắt buộc; ","")&amp;IF($L4867="","Thiếu/sai Mã REF; ",IF(AND($L4867="Chưa xác định",DANH_MUC!$L$9&lt;&gt;"Có"),"Nguồn chưa xác định; ","")))</f>
        <v/>
      </c>
      <c r="V4867" s="22">
        <f>IF(OR($D4867="",$R4867="Trùng"),"",IF(COUNTIF(ORDERS!$C$2:$C$4995,$D4867)&gt;0,"Có","Không"))</f>
        <v/>
      </c>
      <c r="W4867" s="22">
        <f>IF(OR($D4867="",$R4867="Trùng"),"",COUNTIFS(ORDERS!$C$2:$C$4995,$D4867,ORDERS!$L$2:$L$4995,"Đã chuyển khoản"))</f>
        <v/>
      </c>
      <c r="X4867" s="23">
        <f>IF(OR($D4867="",$R4867="Trùng"),"",SUMIFS(ORDERS!$J$2:$J$4995,ORDERS!$C$2:$C$4995,$D4867,ORDERS!$L$2:$L$4995,"Đã chuyển khoản"))</f>
        <v/>
      </c>
      <c r="Y4867" s="24" t="n"/>
    </row>
    <row r="4868" ht="14.25" customHeight="1" s="40">
      <c r="A4868" s="24" t="n"/>
      <c r="B4868" s="27" t="n"/>
      <c r="C4868" s="24" t="n"/>
      <c r="D4868" s="28" t="n"/>
      <c r="E4868" s="29" t="n"/>
      <c r="F4868" s="24" t="n"/>
      <c r="G4868" s="24" t="n"/>
      <c r="H4868" s="21">
        <f>IF(ISNUMBER($B4868),INT($B4868)-WEEKDAY($B4868,2)+1,"")</f>
        <v/>
      </c>
      <c r="I4868" s="24" t="n"/>
      <c r="J4868" s="22">
        <f t="array" ref="J4868">IF($D4868="","",IF($I4868="","(trống REF)",IFERROR(INDEX(MASTER_SOURCE!$B$2:$B$495,MATCH($I4868,MASTER_SOURCE!$A$2:$A$495,0)),"(REF không có trong MASTER_SOURCE)")))</f>
        <v/>
      </c>
      <c r="K4868" s="22">
        <f t="array" ref="K4868">IF($D4868="","",IFERROR(INDEX(MASTER_SOURCE!$C$2:$C$495,MATCH($I4868,MASTER_SOURCE!$A$2:$A$495,0)),""))</f>
        <v/>
      </c>
      <c r="L4868" s="22">
        <f t="array" ref="L4868">IF($D4868="","",IFERROR(INDEX(MASTER_SOURCE!$D$2:$D$495,MATCH($I4868,MASTER_SOURCE!$A$2:$A$495,0)),""))</f>
        <v/>
      </c>
      <c r="M4868" s="24" t="n"/>
      <c r="N4868" s="24" t="n"/>
      <c r="O4868" s="24" t="n"/>
      <c r="P4868" s="24" t="n"/>
      <c r="Q4868" s="22">
        <f>IF($D4868="","",IF(AND(OR(DANH_MUC!$L$5&lt;&gt;"Có",M4868="Có"),OR(DANH_MUC!$L$6&lt;&gt;"Có",N4868="Có"),OR(DANH_MUC!$L$7&lt;&gt;"Có",O4868="Có"),OR(DANH_MUC!$L$8&lt;&gt;"Có",P4868="Có")),"Có","Không"))</f>
        <v/>
      </c>
      <c r="R4868" s="22">
        <f>IF($D4868="","",IF(COUNTIF($D$2:$D4868,$D4868)&gt;1,"Trùng",""))</f>
        <v/>
      </c>
      <c r="S4868" s="22">
        <f>IF($D4868="","",IF(AND(LEN($D4868)=10,LEFT($D4868,1)="0",ISNUMBER(--$D4868)),"Có","Không"))</f>
        <v/>
      </c>
      <c r="T4868" s="22">
        <f>IF($D4868="","",IF(AND($C4868&lt;&gt;"",$Q4868="Có",$R4868="",$S4868="Có",AND($L4868&lt;&gt;"",OR($L4868&lt;&gt;"Chưa xác định",DANH_MUC!$L$9="Có"))),"Có","Không"))</f>
        <v/>
      </c>
      <c r="U4868" s="22">
        <f>IF(OR($D4868="",$T4868="Có"),"",IF($C4868="","Thiếu họ tên; ","")&amp;IF($S4868&lt;&gt;"Có","SĐT sai định dạng; ","")&amp;IF($R4868="Trùng","Trùng SĐT; ","")&amp;IF($Q4868&lt;&gt;"Có","Thiếu đồng ý bắt buộc; ","")&amp;IF($L4868="","Thiếu/sai Mã REF; ",IF(AND($L4868="Chưa xác định",DANH_MUC!$L$9&lt;&gt;"Có"),"Nguồn chưa xác định; ","")))</f>
        <v/>
      </c>
      <c r="V4868" s="22">
        <f>IF(OR($D4868="",$R4868="Trùng"),"",IF(COUNTIF(ORDERS!$C$2:$C$4995,$D4868)&gt;0,"Có","Không"))</f>
        <v/>
      </c>
      <c r="W4868" s="22">
        <f>IF(OR($D4868="",$R4868="Trùng"),"",COUNTIFS(ORDERS!$C$2:$C$4995,$D4868,ORDERS!$L$2:$L$4995,"Đã chuyển khoản"))</f>
        <v/>
      </c>
      <c r="X4868" s="23">
        <f>IF(OR($D4868="",$R4868="Trùng"),"",SUMIFS(ORDERS!$J$2:$J$4995,ORDERS!$C$2:$C$4995,$D4868,ORDERS!$L$2:$L$4995,"Đã chuyển khoản"))</f>
        <v/>
      </c>
      <c r="Y4868" s="24" t="n"/>
    </row>
    <row r="4869" ht="14.25" customHeight="1" s="40">
      <c r="A4869" s="24" t="n"/>
      <c r="B4869" s="27" t="n"/>
      <c r="C4869" s="24" t="n"/>
      <c r="D4869" s="28" t="n"/>
      <c r="E4869" s="29" t="n"/>
      <c r="F4869" s="24" t="n"/>
      <c r="G4869" s="24" t="n"/>
      <c r="H4869" s="21">
        <f>IF(ISNUMBER($B4869),INT($B4869)-WEEKDAY($B4869,2)+1,"")</f>
        <v/>
      </c>
      <c r="I4869" s="24" t="n"/>
      <c r="J4869" s="22">
        <f t="array" ref="J4869">IF($D4869="","",IF($I4869="","(trống REF)",IFERROR(INDEX(MASTER_SOURCE!$B$2:$B$495,MATCH($I4869,MASTER_SOURCE!$A$2:$A$495,0)),"(REF không có trong MASTER_SOURCE)")))</f>
        <v/>
      </c>
      <c r="K4869" s="22">
        <f t="array" ref="K4869">IF($D4869="","",IFERROR(INDEX(MASTER_SOURCE!$C$2:$C$495,MATCH($I4869,MASTER_SOURCE!$A$2:$A$495,0)),""))</f>
        <v/>
      </c>
      <c r="L4869" s="22">
        <f t="array" ref="L4869">IF($D4869="","",IFERROR(INDEX(MASTER_SOURCE!$D$2:$D$495,MATCH($I4869,MASTER_SOURCE!$A$2:$A$495,0)),""))</f>
        <v/>
      </c>
      <c r="M4869" s="24" t="n"/>
      <c r="N4869" s="24" t="n"/>
      <c r="O4869" s="24" t="n"/>
      <c r="P4869" s="24" t="n"/>
      <c r="Q4869" s="22">
        <f>IF($D4869="","",IF(AND(OR(DANH_MUC!$L$5&lt;&gt;"Có",M4869="Có"),OR(DANH_MUC!$L$6&lt;&gt;"Có",N4869="Có"),OR(DANH_MUC!$L$7&lt;&gt;"Có",O4869="Có"),OR(DANH_MUC!$L$8&lt;&gt;"Có",P4869="Có")),"Có","Không"))</f>
        <v/>
      </c>
      <c r="R4869" s="22">
        <f>IF($D4869="","",IF(COUNTIF($D$2:$D4869,$D4869)&gt;1,"Trùng",""))</f>
        <v/>
      </c>
      <c r="S4869" s="22">
        <f>IF($D4869="","",IF(AND(LEN($D4869)=10,LEFT($D4869,1)="0",ISNUMBER(--$D4869)),"Có","Không"))</f>
        <v/>
      </c>
      <c r="T4869" s="22">
        <f>IF($D4869="","",IF(AND($C4869&lt;&gt;"",$Q4869="Có",$R4869="",$S4869="Có",AND($L4869&lt;&gt;"",OR($L4869&lt;&gt;"Chưa xác định",DANH_MUC!$L$9="Có"))),"Có","Không"))</f>
        <v/>
      </c>
      <c r="U4869" s="22">
        <f>IF(OR($D4869="",$T4869="Có"),"",IF($C4869="","Thiếu họ tên; ","")&amp;IF($S4869&lt;&gt;"Có","SĐT sai định dạng; ","")&amp;IF($R4869="Trùng","Trùng SĐT; ","")&amp;IF($Q4869&lt;&gt;"Có","Thiếu đồng ý bắt buộc; ","")&amp;IF($L4869="","Thiếu/sai Mã REF; ",IF(AND($L4869="Chưa xác định",DANH_MUC!$L$9&lt;&gt;"Có"),"Nguồn chưa xác định; ","")))</f>
        <v/>
      </c>
      <c r="V4869" s="22">
        <f>IF(OR($D4869="",$R4869="Trùng"),"",IF(COUNTIF(ORDERS!$C$2:$C$4995,$D4869)&gt;0,"Có","Không"))</f>
        <v/>
      </c>
      <c r="W4869" s="22">
        <f>IF(OR($D4869="",$R4869="Trùng"),"",COUNTIFS(ORDERS!$C$2:$C$4995,$D4869,ORDERS!$L$2:$L$4995,"Đã chuyển khoản"))</f>
        <v/>
      </c>
      <c r="X4869" s="23">
        <f>IF(OR($D4869="",$R4869="Trùng"),"",SUMIFS(ORDERS!$J$2:$J$4995,ORDERS!$C$2:$C$4995,$D4869,ORDERS!$L$2:$L$4995,"Đã chuyển khoản"))</f>
        <v/>
      </c>
      <c r="Y4869" s="24" t="n"/>
    </row>
    <row r="4870" ht="14.25" customHeight="1" s="40">
      <c r="A4870" s="24" t="n"/>
      <c r="B4870" s="27" t="n"/>
      <c r="C4870" s="24" t="n"/>
      <c r="D4870" s="28" t="n"/>
      <c r="E4870" s="29" t="n"/>
      <c r="F4870" s="24" t="n"/>
      <c r="G4870" s="24" t="n"/>
      <c r="H4870" s="21">
        <f>IF(ISNUMBER($B4870),INT($B4870)-WEEKDAY($B4870,2)+1,"")</f>
        <v/>
      </c>
      <c r="I4870" s="24" t="n"/>
      <c r="J4870" s="22">
        <f t="array" ref="J4870">IF($D4870="","",IF($I4870="","(trống REF)",IFERROR(INDEX(MASTER_SOURCE!$B$2:$B$495,MATCH($I4870,MASTER_SOURCE!$A$2:$A$495,0)),"(REF không có trong MASTER_SOURCE)")))</f>
        <v/>
      </c>
      <c r="K4870" s="22">
        <f t="array" ref="K4870">IF($D4870="","",IFERROR(INDEX(MASTER_SOURCE!$C$2:$C$495,MATCH($I4870,MASTER_SOURCE!$A$2:$A$495,0)),""))</f>
        <v/>
      </c>
      <c r="L4870" s="22">
        <f t="array" ref="L4870">IF($D4870="","",IFERROR(INDEX(MASTER_SOURCE!$D$2:$D$495,MATCH($I4870,MASTER_SOURCE!$A$2:$A$495,0)),""))</f>
        <v/>
      </c>
      <c r="M4870" s="24" t="n"/>
      <c r="N4870" s="24" t="n"/>
      <c r="O4870" s="24" t="n"/>
      <c r="P4870" s="24" t="n"/>
      <c r="Q4870" s="22">
        <f>IF($D4870="","",IF(AND(OR(DANH_MUC!$L$5&lt;&gt;"Có",M4870="Có"),OR(DANH_MUC!$L$6&lt;&gt;"Có",N4870="Có"),OR(DANH_MUC!$L$7&lt;&gt;"Có",O4870="Có"),OR(DANH_MUC!$L$8&lt;&gt;"Có",P4870="Có")),"Có","Không"))</f>
        <v/>
      </c>
      <c r="R4870" s="22">
        <f>IF($D4870="","",IF(COUNTIF($D$2:$D4870,$D4870)&gt;1,"Trùng",""))</f>
        <v/>
      </c>
      <c r="S4870" s="22">
        <f>IF($D4870="","",IF(AND(LEN($D4870)=10,LEFT($D4870,1)="0",ISNUMBER(--$D4870)),"Có","Không"))</f>
        <v/>
      </c>
      <c r="T4870" s="22">
        <f>IF($D4870="","",IF(AND($C4870&lt;&gt;"",$Q4870="Có",$R4870="",$S4870="Có",AND($L4870&lt;&gt;"",OR($L4870&lt;&gt;"Chưa xác định",DANH_MUC!$L$9="Có"))),"Có","Không"))</f>
        <v/>
      </c>
      <c r="U4870" s="22">
        <f>IF(OR($D4870="",$T4870="Có"),"",IF($C4870="","Thiếu họ tên; ","")&amp;IF($S4870&lt;&gt;"Có","SĐT sai định dạng; ","")&amp;IF($R4870="Trùng","Trùng SĐT; ","")&amp;IF($Q4870&lt;&gt;"Có","Thiếu đồng ý bắt buộc; ","")&amp;IF($L4870="","Thiếu/sai Mã REF; ",IF(AND($L4870="Chưa xác định",DANH_MUC!$L$9&lt;&gt;"Có"),"Nguồn chưa xác định; ","")))</f>
        <v/>
      </c>
      <c r="V4870" s="22">
        <f>IF(OR($D4870="",$R4870="Trùng"),"",IF(COUNTIF(ORDERS!$C$2:$C$4995,$D4870)&gt;0,"Có","Không"))</f>
        <v/>
      </c>
      <c r="W4870" s="22">
        <f>IF(OR($D4870="",$R4870="Trùng"),"",COUNTIFS(ORDERS!$C$2:$C$4995,$D4870,ORDERS!$L$2:$L$4995,"Đã chuyển khoản"))</f>
        <v/>
      </c>
      <c r="X4870" s="23">
        <f>IF(OR($D4870="",$R4870="Trùng"),"",SUMIFS(ORDERS!$J$2:$J$4995,ORDERS!$C$2:$C$4995,$D4870,ORDERS!$L$2:$L$4995,"Đã chuyển khoản"))</f>
        <v/>
      </c>
      <c r="Y4870" s="24" t="n"/>
    </row>
    <row r="4871" ht="14.25" customHeight="1" s="40">
      <c r="A4871" s="24" t="n"/>
      <c r="B4871" s="27" t="n"/>
      <c r="C4871" s="24" t="n"/>
      <c r="D4871" s="28" t="n"/>
      <c r="E4871" s="29" t="n"/>
      <c r="F4871" s="24" t="n"/>
      <c r="G4871" s="24" t="n"/>
      <c r="H4871" s="21">
        <f>IF(ISNUMBER($B4871),INT($B4871)-WEEKDAY($B4871,2)+1,"")</f>
        <v/>
      </c>
      <c r="I4871" s="24" t="n"/>
      <c r="J4871" s="22">
        <f t="array" ref="J4871">IF($D4871="","",IF($I4871="","(trống REF)",IFERROR(INDEX(MASTER_SOURCE!$B$2:$B$495,MATCH($I4871,MASTER_SOURCE!$A$2:$A$495,0)),"(REF không có trong MASTER_SOURCE)")))</f>
        <v/>
      </c>
      <c r="K4871" s="22">
        <f t="array" ref="K4871">IF($D4871="","",IFERROR(INDEX(MASTER_SOURCE!$C$2:$C$495,MATCH($I4871,MASTER_SOURCE!$A$2:$A$495,0)),""))</f>
        <v/>
      </c>
      <c r="L4871" s="22">
        <f t="array" ref="L4871">IF($D4871="","",IFERROR(INDEX(MASTER_SOURCE!$D$2:$D$495,MATCH($I4871,MASTER_SOURCE!$A$2:$A$495,0)),""))</f>
        <v/>
      </c>
      <c r="M4871" s="24" t="n"/>
      <c r="N4871" s="24" t="n"/>
      <c r="O4871" s="24" t="n"/>
      <c r="P4871" s="24" t="n"/>
      <c r="Q4871" s="22">
        <f>IF($D4871="","",IF(AND(OR(DANH_MUC!$L$5&lt;&gt;"Có",M4871="Có"),OR(DANH_MUC!$L$6&lt;&gt;"Có",N4871="Có"),OR(DANH_MUC!$L$7&lt;&gt;"Có",O4871="Có"),OR(DANH_MUC!$L$8&lt;&gt;"Có",P4871="Có")),"Có","Không"))</f>
        <v/>
      </c>
      <c r="R4871" s="22">
        <f>IF($D4871="","",IF(COUNTIF($D$2:$D4871,$D4871)&gt;1,"Trùng",""))</f>
        <v/>
      </c>
      <c r="S4871" s="22">
        <f>IF($D4871="","",IF(AND(LEN($D4871)=10,LEFT($D4871,1)="0",ISNUMBER(--$D4871)),"Có","Không"))</f>
        <v/>
      </c>
      <c r="T4871" s="22">
        <f>IF($D4871="","",IF(AND($C4871&lt;&gt;"",$Q4871="Có",$R4871="",$S4871="Có",AND($L4871&lt;&gt;"",OR($L4871&lt;&gt;"Chưa xác định",DANH_MUC!$L$9="Có"))),"Có","Không"))</f>
        <v/>
      </c>
      <c r="U4871" s="22">
        <f>IF(OR($D4871="",$T4871="Có"),"",IF($C4871="","Thiếu họ tên; ","")&amp;IF($S4871&lt;&gt;"Có","SĐT sai định dạng; ","")&amp;IF($R4871="Trùng","Trùng SĐT; ","")&amp;IF($Q4871&lt;&gt;"Có","Thiếu đồng ý bắt buộc; ","")&amp;IF($L4871="","Thiếu/sai Mã REF; ",IF(AND($L4871="Chưa xác định",DANH_MUC!$L$9&lt;&gt;"Có"),"Nguồn chưa xác định; ","")))</f>
        <v/>
      </c>
      <c r="V4871" s="22">
        <f>IF(OR($D4871="",$R4871="Trùng"),"",IF(COUNTIF(ORDERS!$C$2:$C$4995,$D4871)&gt;0,"Có","Không"))</f>
        <v/>
      </c>
      <c r="W4871" s="22">
        <f>IF(OR($D4871="",$R4871="Trùng"),"",COUNTIFS(ORDERS!$C$2:$C$4995,$D4871,ORDERS!$L$2:$L$4995,"Đã chuyển khoản"))</f>
        <v/>
      </c>
      <c r="X4871" s="23">
        <f>IF(OR($D4871="",$R4871="Trùng"),"",SUMIFS(ORDERS!$J$2:$J$4995,ORDERS!$C$2:$C$4995,$D4871,ORDERS!$L$2:$L$4995,"Đã chuyển khoản"))</f>
        <v/>
      </c>
      <c r="Y4871" s="24" t="n"/>
    </row>
    <row r="4872" ht="14.25" customHeight="1" s="40">
      <c r="A4872" s="24" t="n"/>
      <c r="B4872" s="27" t="n"/>
      <c r="C4872" s="24" t="n"/>
      <c r="D4872" s="28" t="n"/>
      <c r="E4872" s="29" t="n"/>
      <c r="F4872" s="24" t="n"/>
      <c r="G4872" s="24" t="n"/>
      <c r="H4872" s="21">
        <f>IF(ISNUMBER($B4872),INT($B4872)-WEEKDAY($B4872,2)+1,"")</f>
        <v/>
      </c>
      <c r="I4872" s="24" t="n"/>
      <c r="J4872" s="22">
        <f t="array" ref="J4872">IF($D4872="","",IF($I4872="","(trống REF)",IFERROR(INDEX(MASTER_SOURCE!$B$2:$B$495,MATCH($I4872,MASTER_SOURCE!$A$2:$A$495,0)),"(REF không có trong MASTER_SOURCE)")))</f>
        <v/>
      </c>
      <c r="K4872" s="22">
        <f t="array" ref="K4872">IF($D4872="","",IFERROR(INDEX(MASTER_SOURCE!$C$2:$C$495,MATCH($I4872,MASTER_SOURCE!$A$2:$A$495,0)),""))</f>
        <v/>
      </c>
      <c r="L4872" s="22">
        <f t="array" ref="L4872">IF($D4872="","",IFERROR(INDEX(MASTER_SOURCE!$D$2:$D$495,MATCH($I4872,MASTER_SOURCE!$A$2:$A$495,0)),""))</f>
        <v/>
      </c>
      <c r="M4872" s="24" t="n"/>
      <c r="N4872" s="24" t="n"/>
      <c r="O4872" s="24" t="n"/>
      <c r="P4872" s="24" t="n"/>
      <c r="Q4872" s="22">
        <f>IF($D4872="","",IF(AND(OR(DANH_MUC!$L$5&lt;&gt;"Có",M4872="Có"),OR(DANH_MUC!$L$6&lt;&gt;"Có",N4872="Có"),OR(DANH_MUC!$L$7&lt;&gt;"Có",O4872="Có"),OR(DANH_MUC!$L$8&lt;&gt;"Có",P4872="Có")),"Có","Không"))</f>
        <v/>
      </c>
      <c r="R4872" s="22">
        <f>IF($D4872="","",IF(COUNTIF($D$2:$D4872,$D4872)&gt;1,"Trùng",""))</f>
        <v/>
      </c>
      <c r="S4872" s="22">
        <f>IF($D4872="","",IF(AND(LEN($D4872)=10,LEFT($D4872,1)="0",ISNUMBER(--$D4872)),"Có","Không"))</f>
        <v/>
      </c>
      <c r="T4872" s="22">
        <f>IF($D4872="","",IF(AND($C4872&lt;&gt;"",$Q4872="Có",$R4872="",$S4872="Có",AND($L4872&lt;&gt;"",OR($L4872&lt;&gt;"Chưa xác định",DANH_MUC!$L$9="Có"))),"Có","Không"))</f>
        <v/>
      </c>
      <c r="U4872" s="22">
        <f>IF(OR($D4872="",$T4872="Có"),"",IF($C4872="","Thiếu họ tên; ","")&amp;IF($S4872&lt;&gt;"Có","SĐT sai định dạng; ","")&amp;IF($R4872="Trùng","Trùng SĐT; ","")&amp;IF($Q4872&lt;&gt;"Có","Thiếu đồng ý bắt buộc; ","")&amp;IF($L4872="","Thiếu/sai Mã REF; ",IF(AND($L4872="Chưa xác định",DANH_MUC!$L$9&lt;&gt;"Có"),"Nguồn chưa xác định; ","")))</f>
        <v/>
      </c>
      <c r="V4872" s="22">
        <f>IF(OR($D4872="",$R4872="Trùng"),"",IF(COUNTIF(ORDERS!$C$2:$C$4995,$D4872)&gt;0,"Có","Không"))</f>
        <v/>
      </c>
      <c r="W4872" s="22">
        <f>IF(OR($D4872="",$R4872="Trùng"),"",COUNTIFS(ORDERS!$C$2:$C$4995,$D4872,ORDERS!$L$2:$L$4995,"Đã chuyển khoản"))</f>
        <v/>
      </c>
      <c r="X4872" s="23">
        <f>IF(OR($D4872="",$R4872="Trùng"),"",SUMIFS(ORDERS!$J$2:$J$4995,ORDERS!$C$2:$C$4995,$D4872,ORDERS!$L$2:$L$4995,"Đã chuyển khoản"))</f>
        <v/>
      </c>
      <c r="Y4872" s="24" t="n"/>
    </row>
    <row r="4873" ht="14.25" customHeight="1" s="40">
      <c r="A4873" s="24" t="n"/>
      <c r="B4873" s="27" t="n"/>
      <c r="C4873" s="24" t="n"/>
      <c r="D4873" s="28" t="n"/>
      <c r="E4873" s="29" t="n"/>
      <c r="F4873" s="24" t="n"/>
      <c r="G4873" s="24" t="n"/>
      <c r="H4873" s="21">
        <f>IF(ISNUMBER($B4873),INT($B4873)-WEEKDAY($B4873,2)+1,"")</f>
        <v/>
      </c>
      <c r="I4873" s="24" t="n"/>
      <c r="J4873" s="22">
        <f t="array" ref="J4873">IF($D4873="","",IF($I4873="","(trống REF)",IFERROR(INDEX(MASTER_SOURCE!$B$2:$B$495,MATCH($I4873,MASTER_SOURCE!$A$2:$A$495,0)),"(REF không có trong MASTER_SOURCE)")))</f>
        <v/>
      </c>
      <c r="K4873" s="22">
        <f t="array" ref="K4873">IF($D4873="","",IFERROR(INDEX(MASTER_SOURCE!$C$2:$C$495,MATCH($I4873,MASTER_SOURCE!$A$2:$A$495,0)),""))</f>
        <v/>
      </c>
      <c r="L4873" s="22">
        <f t="array" ref="L4873">IF($D4873="","",IFERROR(INDEX(MASTER_SOURCE!$D$2:$D$495,MATCH($I4873,MASTER_SOURCE!$A$2:$A$495,0)),""))</f>
        <v/>
      </c>
      <c r="M4873" s="24" t="n"/>
      <c r="N4873" s="24" t="n"/>
      <c r="O4873" s="24" t="n"/>
      <c r="P4873" s="24" t="n"/>
      <c r="Q4873" s="22">
        <f>IF($D4873="","",IF(AND(OR(DANH_MUC!$L$5&lt;&gt;"Có",M4873="Có"),OR(DANH_MUC!$L$6&lt;&gt;"Có",N4873="Có"),OR(DANH_MUC!$L$7&lt;&gt;"Có",O4873="Có"),OR(DANH_MUC!$L$8&lt;&gt;"Có",P4873="Có")),"Có","Không"))</f>
        <v/>
      </c>
      <c r="R4873" s="22">
        <f>IF($D4873="","",IF(COUNTIF($D$2:$D4873,$D4873)&gt;1,"Trùng",""))</f>
        <v/>
      </c>
      <c r="S4873" s="22">
        <f>IF($D4873="","",IF(AND(LEN($D4873)=10,LEFT($D4873,1)="0",ISNUMBER(--$D4873)),"Có","Không"))</f>
        <v/>
      </c>
      <c r="T4873" s="22">
        <f>IF($D4873="","",IF(AND($C4873&lt;&gt;"",$Q4873="Có",$R4873="",$S4873="Có",AND($L4873&lt;&gt;"",OR($L4873&lt;&gt;"Chưa xác định",DANH_MUC!$L$9="Có"))),"Có","Không"))</f>
        <v/>
      </c>
      <c r="U4873" s="22">
        <f>IF(OR($D4873="",$T4873="Có"),"",IF($C4873="","Thiếu họ tên; ","")&amp;IF($S4873&lt;&gt;"Có","SĐT sai định dạng; ","")&amp;IF($R4873="Trùng","Trùng SĐT; ","")&amp;IF($Q4873&lt;&gt;"Có","Thiếu đồng ý bắt buộc; ","")&amp;IF($L4873="","Thiếu/sai Mã REF; ",IF(AND($L4873="Chưa xác định",DANH_MUC!$L$9&lt;&gt;"Có"),"Nguồn chưa xác định; ","")))</f>
        <v/>
      </c>
      <c r="V4873" s="22">
        <f>IF(OR($D4873="",$R4873="Trùng"),"",IF(COUNTIF(ORDERS!$C$2:$C$4995,$D4873)&gt;0,"Có","Không"))</f>
        <v/>
      </c>
      <c r="W4873" s="22">
        <f>IF(OR($D4873="",$R4873="Trùng"),"",COUNTIFS(ORDERS!$C$2:$C$4995,$D4873,ORDERS!$L$2:$L$4995,"Đã chuyển khoản"))</f>
        <v/>
      </c>
      <c r="X4873" s="23">
        <f>IF(OR($D4873="",$R4873="Trùng"),"",SUMIFS(ORDERS!$J$2:$J$4995,ORDERS!$C$2:$C$4995,$D4873,ORDERS!$L$2:$L$4995,"Đã chuyển khoản"))</f>
        <v/>
      </c>
      <c r="Y4873" s="24" t="n"/>
    </row>
    <row r="4874" ht="14.25" customHeight="1" s="40">
      <c r="A4874" s="24" t="n"/>
      <c r="B4874" s="27" t="n"/>
      <c r="C4874" s="24" t="n"/>
      <c r="D4874" s="28" t="n"/>
      <c r="E4874" s="29" t="n"/>
      <c r="F4874" s="24" t="n"/>
      <c r="G4874" s="24" t="n"/>
      <c r="H4874" s="21">
        <f>IF(ISNUMBER($B4874),INT($B4874)-WEEKDAY($B4874,2)+1,"")</f>
        <v/>
      </c>
      <c r="I4874" s="24" t="n"/>
      <c r="J4874" s="22">
        <f t="array" ref="J4874">IF($D4874="","",IF($I4874="","(trống REF)",IFERROR(INDEX(MASTER_SOURCE!$B$2:$B$495,MATCH($I4874,MASTER_SOURCE!$A$2:$A$495,0)),"(REF không có trong MASTER_SOURCE)")))</f>
        <v/>
      </c>
      <c r="K4874" s="22">
        <f t="array" ref="K4874">IF($D4874="","",IFERROR(INDEX(MASTER_SOURCE!$C$2:$C$495,MATCH($I4874,MASTER_SOURCE!$A$2:$A$495,0)),""))</f>
        <v/>
      </c>
      <c r="L4874" s="22">
        <f t="array" ref="L4874">IF($D4874="","",IFERROR(INDEX(MASTER_SOURCE!$D$2:$D$495,MATCH($I4874,MASTER_SOURCE!$A$2:$A$495,0)),""))</f>
        <v/>
      </c>
      <c r="M4874" s="24" t="n"/>
      <c r="N4874" s="24" t="n"/>
      <c r="O4874" s="24" t="n"/>
      <c r="P4874" s="24" t="n"/>
      <c r="Q4874" s="22">
        <f>IF($D4874="","",IF(AND(OR(DANH_MUC!$L$5&lt;&gt;"Có",M4874="Có"),OR(DANH_MUC!$L$6&lt;&gt;"Có",N4874="Có"),OR(DANH_MUC!$L$7&lt;&gt;"Có",O4874="Có"),OR(DANH_MUC!$L$8&lt;&gt;"Có",P4874="Có")),"Có","Không"))</f>
        <v/>
      </c>
      <c r="R4874" s="22">
        <f>IF($D4874="","",IF(COUNTIF($D$2:$D4874,$D4874)&gt;1,"Trùng",""))</f>
        <v/>
      </c>
      <c r="S4874" s="22">
        <f>IF($D4874="","",IF(AND(LEN($D4874)=10,LEFT($D4874,1)="0",ISNUMBER(--$D4874)),"Có","Không"))</f>
        <v/>
      </c>
      <c r="T4874" s="22">
        <f>IF($D4874="","",IF(AND($C4874&lt;&gt;"",$Q4874="Có",$R4874="",$S4874="Có",AND($L4874&lt;&gt;"",OR($L4874&lt;&gt;"Chưa xác định",DANH_MUC!$L$9="Có"))),"Có","Không"))</f>
        <v/>
      </c>
      <c r="U4874" s="22">
        <f>IF(OR($D4874="",$T4874="Có"),"",IF($C4874="","Thiếu họ tên; ","")&amp;IF($S4874&lt;&gt;"Có","SĐT sai định dạng; ","")&amp;IF($R4874="Trùng","Trùng SĐT; ","")&amp;IF($Q4874&lt;&gt;"Có","Thiếu đồng ý bắt buộc; ","")&amp;IF($L4874="","Thiếu/sai Mã REF; ",IF(AND($L4874="Chưa xác định",DANH_MUC!$L$9&lt;&gt;"Có"),"Nguồn chưa xác định; ","")))</f>
        <v/>
      </c>
      <c r="V4874" s="22">
        <f>IF(OR($D4874="",$R4874="Trùng"),"",IF(COUNTIF(ORDERS!$C$2:$C$4995,$D4874)&gt;0,"Có","Không"))</f>
        <v/>
      </c>
      <c r="W4874" s="22">
        <f>IF(OR($D4874="",$R4874="Trùng"),"",COUNTIFS(ORDERS!$C$2:$C$4995,$D4874,ORDERS!$L$2:$L$4995,"Đã chuyển khoản"))</f>
        <v/>
      </c>
      <c r="X4874" s="23">
        <f>IF(OR($D4874="",$R4874="Trùng"),"",SUMIFS(ORDERS!$J$2:$J$4995,ORDERS!$C$2:$C$4995,$D4874,ORDERS!$L$2:$L$4995,"Đã chuyển khoản"))</f>
        <v/>
      </c>
      <c r="Y4874" s="24" t="n"/>
    </row>
    <row r="4875" ht="14.25" customHeight="1" s="40">
      <c r="A4875" s="24" t="n"/>
      <c r="B4875" s="27" t="n"/>
      <c r="C4875" s="24" t="n"/>
      <c r="D4875" s="28" t="n"/>
      <c r="E4875" s="29" t="n"/>
      <c r="F4875" s="24" t="n"/>
      <c r="G4875" s="24" t="n"/>
      <c r="H4875" s="21">
        <f>IF(ISNUMBER($B4875),INT($B4875)-WEEKDAY($B4875,2)+1,"")</f>
        <v/>
      </c>
      <c r="I4875" s="24" t="n"/>
      <c r="J4875" s="22">
        <f t="array" ref="J4875">IF($D4875="","",IF($I4875="","(trống REF)",IFERROR(INDEX(MASTER_SOURCE!$B$2:$B$495,MATCH($I4875,MASTER_SOURCE!$A$2:$A$495,0)),"(REF không có trong MASTER_SOURCE)")))</f>
        <v/>
      </c>
      <c r="K4875" s="22">
        <f t="array" ref="K4875">IF($D4875="","",IFERROR(INDEX(MASTER_SOURCE!$C$2:$C$495,MATCH($I4875,MASTER_SOURCE!$A$2:$A$495,0)),""))</f>
        <v/>
      </c>
      <c r="L4875" s="22">
        <f t="array" ref="L4875">IF($D4875="","",IFERROR(INDEX(MASTER_SOURCE!$D$2:$D$495,MATCH($I4875,MASTER_SOURCE!$A$2:$A$495,0)),""))</f>
        <v/>
      </c>
      <c r="M4875" s="24" t="n"/>
      <c r="N4875" s="24" t="n"/>
      <c r="O4875" s="24" t="n"/>
      <c r="P4875" s="24" t="n"/>
      <c r="Q4875" s="22">
        <f>IF($D4875="","",IF(AND(OR(DANH_MUC!$L$5&lt;&gt;"Có",M4875="Có"),OR(DANH_MUC!$L$6&lt;&gt;"Có",N4875="Có"),OR(DANH_MUC!$L$7&lt;&gt;"Có",O4875="Có"),OR(DANH_MUC!$L$8&lt;&gt;"Có",P4875="Có")),"Có","Không"))</f>
        <v/>
      </c>
      <c r="R4875" s="22">
        <f>IF($D4875="","",IF(COUNTIF($D$2:$D4875,$D4875)&gt;1,"Trùng",""))</f>
        <v/>
      </c>
      <c r="S4875" s="22">
        <f>IF($D4875="","",IF(AND(LEN($D4875)=10,LEFT($D4875,1)="0",ISNUMBER(--$D4875)),"Có","Không"))</f>
        <v/>
      </c>
      <c r="T4875" s="22">
        <f>IF($D4875="","",IF(AND($C4875&lt;&gt;"",$Q4875="Có",$R4875="",$S4875="Có",AND($L4875&lt;&gt;"",OR($L4875&lt;&gt;"Chưa xác định",DANH_MUC!$L$9="Có"))),"Có","Không"))</f>
        <v/>
      </c>
      <c r="U4875" s="22">
        <f>IF(OR($D4875="",$T4875="Có"),"",IF($C4875="","Thiếu họ tên; ","")&amp;IF($S4875&lt;&gt;"Có","SĐT sai định dạng; ","")&amp;IF($R4875="Trùng","Trùng SĐT; ","")&amp;IF($Q4875&lt;&gt;"Có","Thiếu đồng ý bắt buộc; ","")&amp;IF($L4875="","Thiếu/sai Mã REF; ",IF(AND($L4875="Chưa xác định",DANH_MUC!$L$9&lt;&gt;"Có"),"Nguồn chưa xác định; ","")))</f>
        <v/>
      </c>
      <c r="V4875" s="22">
        <f>IF(OR($D4875="",$R4875="Trùng"),"",IF(COUNTIF(ORDERS!$C$2:$C$4995,$D4875)&gt;0,"Có","Không"))</f>
        <v/>
      </c>
      <c r="W4875" s="22">
        <f>IF(OR($D4875="",$R4875="Trùng"),"",COUNTIFS(ORDERS!$C$2:$C$4995,$D4875,ORDERS!$L$2:$L$4995,"Đã chuyển khoản"))</f>
        <v/>
      </c>
      <c r="X4875" s="23">
        <f>IF(OR($D4875="",$R4875="Trùng"),"",SUMIFS(ORDERS!$J$2:$J$4995,ORDERS!$C$2:$C$4995,$D4875,ORDERS!$L$2:$L$4995,"Đã chuyển khoản"))</f>
        <v/>
      </c>
      <c r="Y4875" s="24" t="n"/>
    </row>
    <row r="4876" ht="14.25" customHeight="1" s="40">
      <c r="A4876" s="24" t="n"/>
      <c r="B4876" s="27" t="n"/>
      <c r="C4876" s="24" t="n"/>
      <c r="D4876" s="28" t="n"/>
      <c r="E4876" s="29" t="n"/>
      <c r="F4876" s="24" t="n"/>
      <c r="G4876" s="24" t="n"/>
      <c r="H4876" s="21">
        <f>IF(ISNUMBER($B4876),INT($B4876)-WEEKDAY($B4876,2)+1,"")</f>
        <v/>
      </c>
      <c r="I4876" s="24" t="n"/>
      <c r="J4876" s="22">
        <f t="array" ref="J4876">IF($D4876="","",IF($I4876="","(trống REF)",IFERROR(INDEX(MASTER_SOURCE!$B$2:$B$495,MATCH($I4876,MASTER_SOURCE!$A$2:$A$495,0)),"(REF không có trong MASTER_SOURCE)")))</f>
        <v/>
      </c>
      <c r="K4876" s="22">
        <f t="array" ref="K4876">IF($D4876="","",IFERROR(INDEX(MASTER_SOURCE!$C$2:$C$495,MATCH($I4876,MASTER_SOURCE!$A$2:$A$495,0)),""))</f>
        <v/>
      </c>
      <c r="L4876" s="22">
        <f t="array" ref="L4876">IF($D4876="","",IFERROR(INDEX(MASTER_SOURCE!$D$2:$D$495,MATCH($I4876,MASTER_SOURCE!$A$2:$A$495,0)),""))</f>
        <v/>
      </c>
      <c r="M4876" s="24" t="n"/>
      <c r="N4876" s="24" t="n"/>
      <c r="O4876" s="24" t="n"/>
      <c r="P4876" s="24" t="n"/>
      <c r="Q4876" s="22">
        <f>IF($D4876="","",IF(AND(OR(DANH_MUC!$L$5&lt;&gt;"Có",M4876="Có"),OR(DANH_MUC!$L$6&lt;&gt;"Có",N4876="Có"),OR(DANH_MUC!$L$7&lt;&gt;"Có",O4876="Có"),OR(DANH_MUC!$L$8&lt;&gt;"Có",P4876="Có")),"Có","Không"))</f>
        <v/>
      </c>
      <c r="R4876" s="22">
        <f>IF($D4876="","",IF(COUNTIF($D$2:$D4876,$D4876)&gt;1,"Trùng",""))</f>
        <v/>
      </c>
      <c r="S4876" s="22">
        <f>IF($D4876="","",IF(AND(LEN($D4876)=10,LEFT($D4876,1)="0",ISNUMBER(--$D4876)),"Có","Không"))</f>
        <v/>
      </c>
      <c r="T4876" s="22">
        <f>IF($D4876="","",IF(AND($C4876&lt;&gt;"",$Q4876="Có",$R4876="",$S4876="Có",AND($L4876&lt;&gt;"",OR($L4876&lt;&gt;"Chưa xác định",DANH_MUC!$L$9="Có"))),"Có","Không"))</f>
        <v/>
      </c>
      <c r="U4876" s="22">
        <f>IF(OR($D4876="",$T4876="Có"),"",IF($C4876="","Thiếu họ tên; ","")&amp;IF($S4876&lt;&gt;"Có","SĐT sai định dạng; ","")&amp;IF($R4876="Trùng","Trùng SĐT; ","")&amp;IF($Q4876&lt;&gt;"Có","Thiếu đồng ý bắt buộc; ","")&amp;IF($L4876="","Thiếu/sai Mã REF; ",IF(AND($L4876="Chưa xác định",DANH_MUC!$L$9&lt;&gt;"Có"),"Nguồn chưa xác định; ","")))</f>
        <v/>
      </c>
      <c r="V4876" s="22">
        <f>IF(OR($D4876="",$R4876="Trùng"),"",IF(COUNTIF(ORDERS!$C$2:$C$4995,$D4876)&gt;0,"Có","Không"))</f>
        <v/>
      </c>
      <c r="W4876" s="22">
        <f>IF(OR($D4876="",$R4876="Trùng"),"",COUNTIFS(ORDERS!$C$2:$C$4995,$D4876,ORDERS!$L$2:$L$4995,"Đã chuyển khoản"))</f>
        <v/>
      </c>
      <c r="X4876" s="23">
        <f>IF(OR($D4876="",$R4876="Trùng"),"",SUMIFS(ORDERS!$J$2:$J$4995,ORDERS!$C$2:$C$4995,$D4876,ORDERS!$L$2:$L$4995,"Đã chuyển khoản"))</f>
        <v/>
      </c>
      <c r="Y4876" s="24" t="n"/>
    </row>
    <row r="4877" ht="14.25" customHeight="1" s="40">
      <c r="A4877" s="24" t="n"/>
      <c r="B4877" s="27" t="n"/>
      <c r="C4877" s="24" t="n"/>
      <c r="D4877" s="28" t="n"/>
      <c r="E4877" s="29" t="n"/>
      <c r="F4877" s="24" t="n"/>
      <c r="G4877" s="24" t="n"/>
      <c r="H4877" s="21">
        <f>IF(ISNUMBER($B4877),INT($B4877)-WEEKDAY($B4877,2)+1,"")</f>
        <v/>
      </c>
      <c r="I4877" s="24" t="n"/>
      <c r="J4877" s="22">
        <f t="array" ref="J4877">IF($D4877="","",IF($I4877="","(trống REF)",IFERROR(INDEX(MASTER_SOURCE!$B$2:$B$495,MATCH($I4877,MASTER_SOURCE!$A$2:$A$495,0)),"(REF không có trong MASTER_SOURCE)")))</f>
        <v/>
      </c>
      <c r="K4877" s="22">
        <f t="array" ref="K4877">IF($D4877="","",IFERROR(INDEX(MASTER_SOURCE!$C$2:$C$495,MATCH($I4877,MASTER_SOURCE!$A$2:$A$495,0)),""))</f>
        <v/>
      </c>
      <c r="L4877" s="22">
        <f t="array" ref="L4877">IF($D4877="","",IFERROR(INDEX(MASTER_SOURCE!$D$2:$D$495,MATCH($I4877,MASTER_SOURCE!$A$2:$A$495,0)),""))</f>
        <v/>
      </c>
      <c r="M4877" s="24" t="n"/>
      <c r="N4877" s="24" t="n"/>
      <c r="O4877" s="24" t="n"/>
      <c r="P4877" s="24" t="n"/>
      <c r="Q4877" s="22">
        <f>IF($D4877="","",IF(AND(OR(DANH_MUC!$L$5&lt;&gt;"Có",M4877="Có"),OR(DANH_MUC!$L$6&lt;&gt;"Có",N4877="Có"),OR(DANH_MUC!$L$7&lt;&gt;"Có",O4877="Có"),OR(DANH_MUC!$L$8&lt;&gt;"Có",P4877="Có")),"Có","Không"))</f>
        <v/>
      </c>
      <c r="R4877" s="22">
        <f>IF($D4877="","",IF(COUNTIF($D$2:$D4877,$D4877)&gt;1,"Trùng",""))</f>
        <v/>
      </c>
      <c r="S4877" s="22">
        <f>IF($D4877="","",IF(AND(LEN($D4877)=10,LEFT($D4877,1)="0",ISNUMBER(--$D4877)),"Có","Không"))</f>
        <v/>
      </c>
      <c r="T4877" s="22">
        <f>IF($D4877="","",IF(AND($C4877&lt;&gt;"",$Q4877="Có",$R4877="",$S4877="Có",AND($L4877&lt;&gt;"",OR($L4877&lt;&gt;"Chưa xác định",DANH_MUC!$L$9="Có"))),"Có","Không"))</f>
        <v/>
      </c>
      <c r="U4877" s="22">
        <f>IF(OR($D4877="",$T4877="Có"),"",IF($C4877="","Thiếu họ tên; ","")&amp;IF($S4877&lt;&gt;"Có","SĐT sai định dạng; ","")&amp;IF($R4877="Trùng","Trùng SĐT; ","")&amp;IF($Q4877&lt;&gt;"Có","Thiếu đồng ý bắt buộc; ","")&amp;IF($L4877="","Thiếu/sai Mã REF; ",IF(AND($L4877="Chưa xác định",DANH_MUC!$L$9&lt;&gt;"Có"),"Nguồn chưa xác định; ","")))</f>
        <v/>
      </c>
      <c r="V4877" s="22">
        <f>IF(OR($D4877="",$R4877="Trùng"),"",IF(COUNTIF(ORDERS!$C$2:$C$4995,$D4877)&gt;0,"Có","Không"))</f>
        <v/>
      </c>
      <c r="W4877" s="22">
        <f>IF(OR($D4877="",$R4877="Trùng"),"",COUNTIFS(ORDERS!$C$2:$C$4995,$D4877,ORDERS!$L$2:$L$4995,"Đã chuyển khoản"))</f>
        <v/>
      </c>
      <c r="X4877" s="23">
        <f>IF(OR($D4877="",$R4877="Trùng"),"",SUMIFS(ORDERS!$J$2:$J$4995,ORDERS!$C$2:$C$4995,$D4877,ORDERS!$L$2:$L$4995,"Đã chuyển khoản"))</f>
        <v/>
      </c>
      <c r="Y4877" s="24" t="n"/>
    </row>
    <row r="4878" ht="14.25" customHeight="1" s="40">
      <c r="A4878" s="24" t="n"/>
      <c r="B4878" s="27" t="n"/>
      <c r="C4878" s="24" t="n"/>
      <c r="D4878" s="28" t="n"/>
      <c r="E4878" s="29" t="n"/>
      <c r="F4878" s="24" t="n"/>
      <c r="G4878" s="24" t="n"/>
      <c r="H4878" s="21">
        <f>IF(ISNUMBER($B4878),INT($B4878)-WEEKDAY($B4878,2)+1,"")</f>
        <v/>
      </c>
      <c r="I4878" s="24" t="n"/>
      <c r="J4878" s="22">
        <f t="array" ref="J4878">IF($D4878="","",IF($I4878="","(trống REF)",IFERROR(INDEX(MASTER_SOURCE!$B$2:$B$495,MATCH($I4878,MASTER_SOURCE!$A$2:$A$495,0)),"(REF không có trong MASTER_SOURCE)")))</f>
        <v/>
      </c>
      <c r="K4878" s="22">
        <f t="array" ref="K4878">IF($D4878="","",IFERROR(INDEX(MASTER_SOURCE!$C$2:$C$495,MATCH($I4878,MASTER_SOURCE!$A$2:$A$495,0)),""))</f>
        <v/>
      </c>
      <c r="L4878" s="22">
        <f t="array" ref="L4878">IF($D4878="","",IFERROR(INDEX(MASTER_SOURCE!$D$2:$D$495,MATCH($I4878,MASTER_SOURCE!$A$2:$A$495,0)),""))</f>
        <v/>
      </c>
      <c r="M4878" s="24" t="n"/>
      <c r="N4878" s="24" t="n"/>
      <c r="O4878" s="24" t="n"/>
      <c r="P4878" s="24" t="n"/>
      <c r="Q4878" s="22">
        <f>IF($D4878="","",IF(AND(OR(DANH_MUC!$L$5&lt;&gt;"Có",M4878="Có"),OR(DANH_MUC!$L$6&lt;&gt;"Có",N4878="Có"),OR(DANH_MUC!$L$7&lt;&gt;"Có",O4878="Có"),OR(DANH_MUC!$L$8&lt;&gt;"Có",P4878="Có")),"Có","Không"))</f>
        <v/>
      </c>
      <c r="R4878" s="22">
        <f>IF($D4878="","",IF(COUNTIF($D$2:$D4878,$D4878)&gt;1,"Trùng",""))</f>
        <v/>
      </c>
      <c r="S4878" s="22">
        <f>IF($D4878="","",IF(AND(LEN($D4878)=10,LEFT($D4878,1)="0",ISNUMBER(--$D4878)),"Có","Không"))</f>
        <v/>
      </c>
      <c r="T4878" s="22">
        <f>IF($D4878="","",IF(AND($C4878&lt;&gt;"",$Q4878="Có",$R4878="",$S4878="Có",AND($L4878&lt;&gt;"",OR($L4878&lt;&gt;"Chưa xác định",DANH_MUC!$L$9="Có"))),"Có","Không"))</f>
        <v/>
      </c>
      <c r="U4878" s="22">
        <f>IF(OR($D4878="",$T4878="Có"),"",IF($C4878="","Thiếu họ tên; ","")&amp;IF($S4878&lt;&gt;"Có","SĐT sai định dạng; ","")&amp;IF($R4878="Trùng","Trùng SĐT; ","")&amp;IF($Q4878&lt;&gt;"Có","Thiếu đồng ý bắt buộc; ","")&amp;IF($L4878="","Thiếu/sai Mã REF; ",IF(AND($L4878="Chưa xác định",DANH_MUC!$L$9&lt;&gt;"Có"),"Nguồn chưa xác định; ","")))</f>
        <v/>
      </c>
      <c r="V4878" s="22">
        <f>IF(OR($D4878="",$R4878="Trùng"),"",IF(COUNTIF(ORDERS!$C$2:$C$4995,$D4878)&gt;0,"Có","Không"))</f>
        <v/>
      </c>
      <c r="W4878" s="22">
        <f>IF(OR($D4878="",$R4878="Trùng"),"",COUNTIFS(ORDERS!$C$2:$C$4995,$D4878,ORDERS!$L$2:$L$4995,"Đã chuyển khoản"))</f>
        <v/>
      </c>
      <c r="X4878" s="23">
        <f>IF(OR($D4878="",$R4878="Trùng"),"",SUMIFS(ORDERS!$J$2:$J$4995,ORDERS!$C$2:$C$4995,$D4878,ORDERS!$L$2:$L$4995,"Đã chuyển khoản"))</f>
        <v/>
      </c>
      <c r="Y4878" s="24" t="n"/>
    </row>
    <row r="4879" ht="14.25" customHeight="1" s="40">
      <c r="A4879" s="24" t="n"/>
      <c r="B4879" s="27" t="n"/>
      <c r="C4879" s="24" t="n"/>
      <c r="D4879" s="28" t="n"/>
      <c r="E4879" s="29" t="n"/>
      <c r="F4879" s="24" t="n"/>
      <c r="G4879" s="24" t="n"/>
      <c r="H4879" s="21">
        <f>IF(ISNUMBER($B4879),INT($B4879)-WEEKDAY($B4879,2)+1,"")</f>
        <v/>
      </c>
      <c r="I4879" s="24" t="n"/>
      <c r="J4879" s="22">
        <f t="array" ref="J4879">IF($D4879="","",IF($I4879="","(trống REF)",IFERROR(INDEX(MASTER_SOURCE!$B$2:$B$495,MATCH($I4879,MASTER_SOURCE!$A$2:$A$495,0)),"(REF không có trong MASTER_SOURCE)")))</f>
        <v/>
      </c>
      <c r="K4879" s="22">
        <f t="array" ref="K4879">IF($D4879="","",IFERROR(INDEX(MASTER_SOURCE!$C$2:$C$495,MATCH($I4879,MASTER_SOURCE!$A$2:$A$495,0)),""))</f>
        <v/>
      </c>
      <c r="L4879" s="22">
        <f t="array" ref="L4879">IF($D4879="","",IFERROR(INDEX(MASTER_SOURCE!$D$2:$D$495,MATCH($I4879,MASTER_SOURCE!$A$2:$A$495,0)),""))</f>
        <v/>
      </c>
      <c r="M4879" s="24" t="n"/>
      <c r="N4879" s="24" t="n"/>
      <c r="O4879" s="24" t="n"/>
      <c r="P4879" s="24" t="n"/>
      <c r="Q4879" s="22">
        <f>IF($D4879="","",IF(AND(OR(DANH_MUC!$L$5&lt;&gt;"Có",M4879="Có"),OR(DANH_MUC!$L$6&lt;&gt;"Có",N4879="Có"),OR(DANH_MUC!$L$7&lt;&gt;"Có",O4879="Có"),OR(DANH_MUC!$L$8&lt;&gt;"Có",P4879="Có")),"Có","Không"))</f>
        <v/>
      </c>
      <c r="R4879" s="22">
        <f>IF($D4879="","",IF(COUNTIF($D$2:$D4879,$D4879)&gt;1,"Trùng",""))</f>
        <v/>
      </c>
      <c r="S4879" s="22">
        <f>IF($D4879="","",IF(AND(LEN($D4879)=10,LEFT($D4879,1)="0",ISNUMBER(--$D4879)),"Có","Không"))</f>
        <v/>
      </c>
      <c r="T4879" s="22">
        <f>IF($D4879="","",IF(AND($C4879&lt;&gt;"",$Q4879="Có",$R4879="",$S4879="Có",AND($L4879&lt;&gt;"",OR($L4879&lt;&gt;"Chưa xác định",DANH_MUC!$L$9="Có"))),"Có","Không"))</f>
        <v/>
      </c>
      <c r="U4879" s="22">
        <f>IF(OR($D4879="",$T4879="Có"),"",IF($C4879="","Thiếu họ tên; ","")&amp;IF($S4879&lt;&gt;"Có","SĐT sai định dạng; ","")&amp;IF($R4879="Trùng","Trùng SĐT; ","")&amp;IF($Q4879&lt;&gt;"Có","Thiếu đồng ý bắt buộc; ","")&amp;IF($L4879="","Thiếu/sai Mã REF; ",IF(AND($L4879="Chưa xác định",DANH_MUC!$L$9&lt;&gt;"Có"),"Nguồn chưa xác định; ","")))</f>
        <v/>
      </c>
      <c r="V4879" s="22">
        <f>IF(OR($D4879="",$R4879="Trùng"),"",IF(COUNTIF(ORDERS!$C$2:$C$4995,$D4879)&gt;0,"Có","Không"))</f>
        <v/>
      </c>
      <c r="W4879" s="22">
        <f>IF(OR($D4879="",$R4879="Trùng"),"",COUNTIFS(ORDERS!$C$2:$C$4995,$D4879,ORDERS!$L$2:$L$4995,"Đã chuyển khoản"))</f>
        <v/>
      </c>
      <c r="X4879" s="23">
        <f>IF(OR($D4879="",$R4879="Trùng"),"",SUMIFS(ORDERS!$J$2:$J$4995,ORDERS!$C$2:$C$4995,$D4879,ORDERS!$L$2:$L$4995,"Đã chuyển khoản"))</f>
        <v/>
      </c>
      <c r="Y4879" s="24" t="n"/>
    </row>
    <row r="4880" ht="14.25" customHeight="1" s="40">
      <c r="A4880" s="24" t="n"/>
      <c r="B4880" s="27" t="n"/>
      <c r="C4880" s="24" t="n"/>
      <c r="D4880" s="28" t="n"/>
      <c r="E4880" s="29" t="n"/>
      <c r="F4880" s="24" t="n"/>
      <c r="G4880" s="24" t="n"/>
      <c r="H4880" s="21">
        <f>IF(ISNUMBER($B4880),INT($B4880)-WEEKDAY($B4880,2)+1,"")</f>
        <v/>
      </c>
      <c r="I4880" s="24" t="n"/>
      <c r="J4880" s="22">
        <f t="array" ref="J4880">IF($D4880="","",IF($I4880="","(trống REF)",IFERROR(INDEX(MASTER_SOURCE!$B$2:$B$495,MATCH($I4880,MASTER_SOURCE!$A$2:$A$495,0)),"(REF không có trong MASTER_SOURCE)")))</f>
        <v/>
      </c>
      <c r="K4880" s="22">
        <f t="array" ref="K4880">IF($D4880="","",IFERROR(INDEX(MASTER_SOURCE!$C$2:$C$495,MATCH($I4880,MASTER_SOURCE!$A$2:$A$495,0)),""))</f>
        <v/>
      </c>
      <c r="L4880" s="22">
        <f t="array" ref="L4880">IF($D4880="","",IFERROR(INDEX(MASTER_SOURCE!$D$2:$D$495,MATCH($I4880,MASTER_SOURCE!$A$2:$A$495,0)),""))</f>
        <v/>
      </c>
      <c r="M4880" s="24" t="n"/>
      <c r="N4880" s="24" t="n"/>
      <c r="O4880" s="24" t="n"/>
      <c r="P4880" s="24" t="n"/>
      <c r="Q4880" s="22">
        <f>IF($D4880="","",IF(AND(OR(DANH_MUC!$L$5&lt;&gt;"Có",M4880="Có"),OR(DANH_MUC!$L$6&lt;&gt;"Có",N4880="Có"),OR(DANH_MUC!$L$7&lt;&gt;"Có",O4880="Có"),OR(DANH_MUC!$L$8&lt;&gt;"Có",P4880="Có")),"Có","Không"))</f>
        <v/>
      </c>
      <c r="R4880" s="22">
        <f>IF($D4880="","",IF(COUNTIF($D$2:$D4880,$D4880)&gt;1,"Trùng",""))</f>
        <v/>
      </c>
      <c r="S4880" s="22">
        <f>IF($D4880="","",IF(AND(LEN($D4880)=10,LEFT($D4880,1)="0",ISNUMBER(--$D4880)),"Có","Không"))</f>
        <v/>
      </c>
      <c r="T4880" s="22">
        <f>IF($D4880="","",IF(AND($C4880&lt;&gt;"",$Q4880="Có",$R4880="",$S4880="Có",AND($L4880&lt;&gt;"",OR($L4880&lt;&gt;"Chưa xác định",DANH_MUC!$L$9="Có"))),"Có","Không"))</f>
        <v/>
      </c>
      <c r="U4880" s="22">
        <f>IF(OR($D4880="",$T4880="Có"),"",IF($C4880="","Thiếu họ tên; ","")&amp;IF($S4880&lt;&gt;"Có","SĐT sai định dạng; ","")&amp;IF($R4880="Trùng","Trùng SĐT; ","")&amp;IF($Q4880&lt;&gt;"Có","Thiếu đồng ý bắt buộc; ","")&amp;IF($L4880="","Thiếu/sai Mã REF; ",IF(AND($L4880="Chưa xác định",DANH_MUC!$L$9&lt;&gt;"Có"),"Nguồn chưa xác định; ","")))</f>
        <v/>
      </c>
      <c r="V4880" s="22">
        <f>IF(OR($D4880="",$R4880="Trùng"),"",IF(COUNTIF(ORDERS!$C$2:$C$4995,$D4880)&gt;0,"Có","Không"))</f>
        <v/>
      </c>
      <c r="W4880" s="22">
        <f>IF(OR($D4880="",$R4880="Trùng"),"",COUNTIFS(ORDERS!$C$2:$C$4995,$D4880,ORDERS!$L$2:$L$4995,"Đã chuyển khoản"))</f>
        <v/>
      </c>
      <c r="X4880" s="23">
        <f>IF(OR($D4880="",$R4880="Trùng"),"",SUMIFS(ORDERS!$J$2:$J$4995,ORDERS!$C$2:$C$4995,$D4880,ORDERS!$L$2:$L$4995,"Đã chuyển khoản"))</f>
        <v/>
      </c>
      <c r="Y4880" s="24" t="n"/>
    </row>
    <row r="4881" ht="14.25" customHeight="1" s="40">
      <c r="A4881" s="24" t="n"/>
      <c r="B4881" s="27" t="n"/>
      <c r="C4881" s="24" t="n"/>
      <c r="D4881" s="28" t="n"/>
      <c r="E4881" s="29" t="n"/>
      <c r="F4881" s="24" t="n"/>
      <c r="G4881" s="24" t="n"/>
      <c r="H4881" s="21">
        <f>IF(ISNUMBER($B4881),INT($B4881)-WEEKDAY($B4881,2)+1,"")</f>
        <v/>
      </c>
      <c r="I4881" s="24" t="n"/>
      <c r="J4881" s="22">
        <f t="array" ref="J4881">IF($D4881="","",IF($I4881="","(trống REF)",IFERROR(INDEX(MASTER_SOURCE!$B$2:$B$495,MATCH($I4881,MASTER_SOURCE!$A$2:$A$495,0)),"(REF không có trong MASTER_SOURCE)")))</f>
        <v/>
      </c>
      <c r="K4881" s="22">
        <f t="array" ref="K4881">IF($D4881="","",IFERROR(INDEX(MASTER_SOURCE!$C$2:$C$495,MATCH($I4881,MASTER_SOURCE!$A$2:$A$495,0)),""))</f>
        <v/>
      </c>
      <c r="L4881" s="22">
        <f t="array" ref="L4881">IF($D4881="","",IFERROR(INDEX(MASTER_SOURCE!$D$2:$D$495,MATCH($I4881,MASTER_SOURCE!$A$2:$A$495,0)),""))</f>
        <v/>
      </c>
      <c r="M4881" s="24" t="n"/>
      <c r="N4881" s="24" t="n"/>
      <c r="O4881" s="24" t="n"/>
      <c r="P4881" s="24" t="n"/>
      <c r="Q4881" s="22">
        <f>IF($D4881="","",IF(AND(OR(DANH_MUC!$L$5&lt;&gt;"Có",M4881="Có"),OR(DANH_MUC!$L$6&lt;&gt;"Có",N4881="Có"),OR(DANH_MUC!$L$7&lt;&gt;"Có",O4881="Có"),OR(DANH_MUC!$L$8&lt;&gt;"Có",P4881="Có")),"Có","Không"))</f>
        <v/>
      </c>
      <c r="R4881" s="22">
        <f>IF($D4881="","",IF(COUNTIF($D$2:$D4881,$D4881)&gt;1,"Trùng",""))</f>
        <v/>
      </c>
      <c r="S4881" s="22">
        <f>IF($D4881="","",IF(AND(LEN($D4881)=10,LEFT($D4881,1)="0",ISNUMBER(--$D4881)),"Có","Không"))</f>
        <v/>
      </c>
      <c r="T4881" s="22">
        <f>IF($D4881="","",IF(AND($C4881&lt;&gt;"",$Q4881="Có",$R4881="",$S4881="Có",AND($L4881&lt;&gt;"",OR($L4881&lt;&gt;"Chưa xác định",DANH_MUC!$L$9="Có"))),"Có","Không"))</f>
        <v/>
      </c>
      <c r="U4881" s="22">
        <f>IF(OR($D4881="",$T4881="Có"),"",IF($C4881="","Thiếu họ tên; ","")&amp;IF($S4881&lt;&gt;"Có","SĐT sai định dạng; ","")&amp;IF($R4881="Trùng","Trùng SĐT; ","")&amp;IF($Q4881&lt;&gt;"Có","Thiếu đồng ý bắt buộc; ","")&amp;IF($L4881="","Thiếu/sai Mã REF; ",IF(AND($L4881="Chưa xác định",DANH_MUC!$L$9&lt;&gt;"Có"),"Nguồn chưa xác định; ","")))</f>
        <v/>
      </c>
      <c r="V4881" s="22">
        <f>IF(OR($D4881="",$R4881="Trùng"),"",IF(COUNTIF(ORDERS!$C$2:$C$4995,$D4881)&gt;0,"Có","Không"))</f>
        <v/>
      </c>
      <c r="W4881" s="22">
        <f>IF(OR($D4881="",$R4881="Trùng"),"",COUNTIFS(ORDERS!$C$2:$C$4995,$D4881,ORDERS!$L$2:$L$4995,"Đã chuyển khoản"))</f>
        <v/>
      </c>
      <c r="X4881" s="23">
        <f>IF(OR($D4881="",$R4881="Trùng"),"",SUMIFS(ORDERS!$J$2:$J$4995,ORDERS!$C$2:$C$4995,$D4881,ORDERS!$L$2:$L$4995,"Đã chuyển khoản"))</f>
        <v/>
      </c>
      <c r="Y4881" s="24" t="n"/>
    </row>
    <row r="4882" ht="14.25" customHeight="1" s="40">
      <c r="A4882" s="24" t="n"/>
      <c r="B4882" s="27" t="n"/>
      <c r="C4882" s="24" t="n"/>
      <c r="D4882" s="28" t="n"/>
      <c r="E4882" s="29" t="n"/>
      <c r="F4882" s="24" t="n"/>
      <c r="G4882" s="24" t="n"/>
      <c r="H4882" s="21">
        <f>IF(ISNUMBER($B4882),INT($B4882)-WEEKDAY($B4882,2)+1,"")</f>
        <v/>
      </c>
      <c r="I4882" s="24" t="n"/>
      <c r="J4882" s="22">
        <f t="array" ref="J4882">IF($D4882="","",IF($I4882="","(trống REF)",IFERROR(INDEX(MASTER_SOURCE!$B$2:$B$495,MATCH($I4882,MASTER_SOURCE!$A$2:$A$495,0)),"(REF không có trong MASTER_SOURCE)")))</f>
        <v/>
      </c>
      <c r="K4882" s="22">
        <f t="array" ref="K4882">IF($D4882="","",IFERROR(INDEX(MASTER_SOURCE!$C$2:$C$495,MATCH($I4882,MASTER_SOURCE!$A$2:$A$495,0)),""))</f>
        <v/>
      </c>
      <c r="L4882" s="22">
        <f t="array" ref="L4882">IF($D4882="","",IFERROR(INDEX(MASTER_SOURCE!$D$2:$D$495,MATCH($I4882,MASTER_SOURCE!$A$2:$A$495,0)),""))</f>
        <v/>
      </c>
      <c r="M4882" s="24" t="n"/>
      <c r="N4882" s="24" t="n"/>
      <c r="O4882" s="24" t="n"/>
      <c r="P4882" s="24" t="n"/>
      <c r="Q4882" s="22">
        <f>IF($D4882="","",IF(AND(OR(DANH_MUC!$L$5&lt;&gt;"Có",M4882="Có"),OR(DANH_MUC!$L$6&lt;&gt;"Có",N4882="Có"),OR(DANH_MUC!$L$7&lt;&gt;"Có",O4882="Có"),OR(DANH_MUC!$L$8&lt;&gt;"Có",P4882="Có")),"Có","Không"))</f>
        <v/>
      </c>
      <c r="R4882" s="22">
        <f>IF($D4882="","",IF(COUNTIF($D$2:$D4882,$D4882)&gt;1,"Trùng",""))</f>
        <v/>
      </c>
      <c r="S4882" s="22">
        <f>IF($D4882="","",IF(AND(LEN($D4882)=10,LEFT($D4882,1)="0",ISNUMBER(--$D4882)),"Có","Không"))</f>
        <v/>
      </c>
      <c r="T4882" s="22">
        <f>IF($D4882="","",IF(AND($C4882&lt;&gt;"",$Q4882="Có",$R4882="",$S4882="Có",AND($L4882&lt;&gt;"",OR($L4882&lt;&gt;"Chưa xác định",DANH_MUC!$L$9="Có"))),"Có","Không"))</f>
        <v/>
      </c>
      <c r="U4882" s="22">
        <f>IF(OR($D4882="",$T4882="Có"),"",IF($C4882="","Thiếu họ tên; ","")&amp;IF($S4882&lt;&gt;"Có","SĐT sai định dạng; ","")&amp;IF($R4882="Trùng","Trùng SĐT; ","")&amp;IF($Q4882&lt;&gt;"Có","Thiếu đồng ý bắt buộc; ","")&amp;IF($L4882="","Thiếu/sai Mã REF; ",IF(AND($L4882="Chưa xác định",DANH_MUC!$L$9&lt;&gt;"Có"),"Nguồn chưa xác định; ","")))</f>
        <v/>
      </c>
      <c r="V4882" s="22">
        <f>IF(OR($D4882="",$R4882="Trùng"),"",IF(COUNTIF(ORDERS!$C$2:$C$4995,$D4882)&gt;0,"Có","Không"))</f>
        <v/>
      </c>
      <c r="W4882" s="22">
        <f>IF(OR($D4882="",$R4882="Trùng"),"",COUNTIFS(ORDERS!$C$2:$C$4995,$D4882,ORDERS!$L$2:$L$4995,"Đã chuyển khoản"))</f>
        <v/>
      </c>
      <c r="X4882" s="23">
        <f>IF(OR($D4882="",$R4882="Trùng"),"",SUMIFS(ORDERS!$J$2:$J$4995,ORDERS!$C$2:$C$4995,$D4882,ORDERS!$L$2:$L$4995,"Đã chuyển khoản"))</f>
        <v/>
      </c>
      <c r="Y4882" s="24" t="n"/>
    </row>
    <row r="4883" ht="14.25" customHeight="1" s="40">
      <c r="A4883" s="24" t="n"/>
      <c r="B4883" s="27" t="n"/>
      <c r="C4883" s="24" t="n"/>
      <c r="D4883" s="28" t="n"/>
      <c r="E4883" s="29" t="n"/>
      <c r="F4883" s="24" t="n"/>
      <c r="G4883" s="24" t="n"/>
      <c r="H4883" s="21">
        <f>IF(ISNUMBER($B4883),INT($B4883)-WEEKDAY($B4883,2)+1,"")</f>
        <v/>
      </c>
      <c r="I4883" s="24" t="n"/>
      <c r="J4883" s="22">
        <f t="array" ref="J4883">IF($D4883="","",IF($I4883="","(trống REF)",IFERROR(INDEX(MASTER_SOURCE!$B$2:$B$495,MATCH($I4883,MASTER_SOURCE!$A$2:$A$495,0)),"(REF không có trong MASTER_SOURCE)")))</f>
        <v/>
      </c>
      <c r="K4883" s="22">
        <f t="array" ref="K4883">IF($D4883="","",IFERROR(INDEX(MASTER_SOURCE!$C$2:$C$495,MATCH($I4883,MASTER_SOURCE!$A$2:$A$495,0)),""))</f>
        <v/>
      </c>
      <c r="L4883" s="22">
        <f t="array" ref="L4883">IF($D4883="","",IFERROR(INDEX(MASTER_SOURCE!$D$2:$D$495,MATCH($I4883,MASTER_SOURCE!$A$2:$A$495,0)),""))</f>
        <v/>
      </c>
      <c r="M4883" s="24" t="n"/>
      <c r="N4883" s="24" t="n"/>
      <c r="O4883" s="24" t="n"/>
      <c r="P4883" s="24" t="n"/>
      <c r="Q4883" s="22">
        <f>IF($D4883="","",IF(AND(OR(DANH_MUC!$L$5&lt;&gt;"Có",M4883="Có"),OR(DANH_MUC!$L$6&lt;&gt;"Có",N4883="Có"),OR(DANH_MUC!$L$7&lt;&gt;"Có",O4883="Có"),OR(DANH_MUC!$L$8&lt;&gt;"Có",P4883="Có")),"Có","Không"))</f>
        <v/>
      </c>
      <c r="R4883" s="22">
        <f>IF($D4883="","",IF(COUNTIF($D$2:$D4883,$D4883)&gt;1,"Trùng",""))</f>
        <v/>
      </c>
      <c r="S4883" s="22">
        <f>IF($D4883="","",IF(AND(LEN($D4883)=10,LEFT($D4883,1)="0",ISNUMBER(--$D4883)),"Có","Không"))</f>
        <v/>
      </c>
      <c r="T4883" s="22">
        <f>IF($D4883="","",IF(AND($C4883&lt;&gt;"",$Q4883="Có",$R4883="",$S4883="Có",AND($L4883&lt;&gt;"",OR($L4883&lt;&gt;"Chưa xác định",DANH_MUC!$L$9="Có"))),"Có","Không"))</f>
        <v/>
      </c>
      <c r="U4883" s="22">
        <f>IF(OR($D4883="",$T4883="Có"),"",IF($C4883="","Thiếu họ tên; ","")&amp;IF($S4883&lt;&gt;"Có","SĐT sai định dạng; ","")&amp;IF($R4883="Trùng","Trùng SĐT; ","")&amp;IF($Q4883&lt;&gt;"Có","Thiếu đồng ý bắt buộc; ","")&amp;IF($L4883="","Thiếu/sai Mã REF; ",IF(AND($L4883="Chưa xác định",DANH_MUC!$L$9&lt;&gt;"Có"),"Nguồn chưa xác định; ","")))</f>
        <v/>
      </c>
      <c r="V4883" s="22">
        <f>IF(OR($D4883="",$R4883="Trùng"),"",IF(COUNTIF(ORDERS!$C$2:$C$4995,$D4883)&gt;0,"Có","Không"))</f>
        <v/>
      </c>
      <c r="W4883" s="22">
        <f>IF(OR($D4883="",$R4883="Trùng"),"",COUNTIFS(ORDERS!$C$2:$C$4995,$D4883,ORDERS!$L$2:$L$4995,"Đã chuyển khoản"))</f>
        <v/>
      </c>
      <c r="X4883" s="23">
        <f>IF(OR($D4883="",$R4883="Trùng"),"",SUMIFS(ORDERS!$J$2:$J$4995,ORDERS!$C$2:$C$4995,$D4883,ORDERS!$L$2:$L$4995,"Đã chuyển khoản"))</f>
        <v/>
      </c>
      <c r="Y4883" s="24" t="n"/>
    </row>
    <row r="4884" ht="14.25" customHeight="1" s="40">
      <c r="A4884" s="24" t="n"/>
      <c r="B4884" s="27" t="n"/>
      <c r="C4884" s="24" t="n"/>
      <c r="D4884" s="28" t="n"/>
      <c r="E4884" s="29" t="n"/>
      <c r="F4884" s="24" t="n"/>
      <c r="G4884" s="24" t="n"/>
      <c r="H4884" s="21">
        <f>IF(ISNUMBER($B4884),INT($B4884)-WEEKDAY($B4884,2)+1,"")</f>
        <v/>
      </c>
      <c r="I4884" s="24" t="n"/>
      <c r="J4884" s="22">
        <f t="array" ref="J4884">IF($D4884="","",IF($I4884="","(trống REF)",IFERROR(INDEX(MASTER_SOURCE!$B$2:$B$495,MATCH($I4884,MASTER_SOURCE!$A$2:$A$495,0)),"(REF không có trong MASTER_SOURCE)")))</f>
        <v/>
      </c>
      <c r="K4884" s="22">
        <f t="array" ref="K4884">IF($D4884="","",IFERROR(INDEX(MASTER_SOURCE!$C$2:$C$495,MATCH($I4884,MASTER_SOURCE!$A$2:$A$495,0)),""))</f>
        <v/>
      </c>
      <c r="L4884" s="22">
        <f t="array" ref="L4884">IF($D4884="","",IFERROR(INDEX(MASTER_SOURCE!$D$2:$D$495,MATCH($I4884,MASTER_SOURCE!$A$2:$A$495,0)),""))</f>
        <v/>
      </c>
      <c r="M4884" s="24" t="n"/>
      <c r="N4884" s="24" t="n"/>
      <c r="O4884" s="24" t="n"/>
      <c r="P4884" s="24" t="n"/>
      <c r="Q4884" s="22">
        <f>IF($D4884="","",IF(AND(OR(DANH_MUC!$L$5&lt;&gt;"Có",M4884="Có"),OR(DANH_MUC!$L$6&lt;&gt;"Có",N4884="Có"),OR(DANH_MUC!$L$7&lt;&gt;"Có",O4884="Có"),OR(DANH_MUC!$L$8&lt;&gt;"Có",P4884="Có")),"Có","Không"))</f>
        <v/>
      </c>
      <c r="R4884" s="22">
        <f>IF($D4884="","",IF(COUNTIF($D$2:$D4884,$D4884)&gt;1,"Trùng",""))</f>
        <v/>
      </c>
      <c r="S4884" s="22">
        <f>IF($D4884="","",IF(AND(LEN($D4884)=10,LEFT($D4884,1)="0",ISNUMBER(--$D4884)),"Có","Không"))</f>
        <v/>
      </c>
      <c r="T4884" s="22">
        <f>IF($D4884="","",IF(AND($C4884&lt;&gt;"",$Q4884="Có",$R4884="",$S4884="Có",AND($L4884&lt;&gt;"",OR($L4884&lt;&gt;"Chưa xác định",DANH_MUC!$L$9="Có"))),"Có","Không"))</f>
        <v/>
      </c>
      <c r="U4884" s="22">
        <f>IF(OR($D4884="",$T4884="Có"),"",IF($C4884="","Thiếu họ tên; ","")&amp;IF($S4884&lt;&gt;"Có","SĐT sai định dạng; ","")&amp;IF($R4884="Trùng","Trùng SĐT; ","")&amp;IF($Q4884&lt;&gt;"Có","Thiếu đồng ý bắt buộc; ","")&amp;IF($L4884="","Thiếu/sai Mã REF; ",IF(AND($L4884="Chưa xác định",DANH_MUC!$L$9&lt;&gt;"Có"),"Nguồn chưa xác định; ","")))</f>
        <v/>
      </c>
      <c r="V4884" s="22">
        <f>IF(OR($D4884="",$R4884="Trùng"),"",IF(COUNTIF(ORDERS!$C$2:$C$4995,$D4884)&gt;0,"Có","Không"))</f>
        <v/>
      </c>
      <c r="W4884" s="22">
        <f>IF(OR($D4884="",$R4884="Trùng"),"",COUNTIFS(ORDERS!$C$2:$C$4995,$D4884,ORDERS!$L$2:$L$4995,"Đã chuyển khoản"))</f>
        <v/>
      </c>
      <c r="X4884" s="23">
        <f>IF(OR($D4884="",$R4884="Trùng"),"",SUMIFS(ORDERS!$J$2:$J$4995,ORDERS!$C$2:$C$4995,$D4884,ORDERS!$L$2:$L$4995,"Đã chuyển khoản"))</f>
        <v/>
      </c>
      <c r="Y4884" s="24" t="n"/>
    </row>
    <row r="4885" ht="14.25" customHeight="1" s="40">
      <c r="A4885" s="24" t="n"/>
      <c r="B4885" s="27" t="n"/>
      <c r="C4885" s="24" t="n"/>
      <c r="D4885" s="28" t="n"/>
      <c r="E4885" s="29" t="n"/>
      <c r="F4885" s="24" t="n"/>
      <c r="G4885" s="24" t="n"/>
      <c r="H4885" s="21">
        <f>IF(ISNUMBER($B4885),INT($B4885)-WEEKDAY($B4885,2)+1,"")</f>
        <v/>
      </c>
      <c r="I4885" s="24" t="n"/>
      <c r="J4885" s="22">
        <f t="array" ref="J4885">IF($D4885="","",IF($I4885="","(trống REF)",IFERROR(INDEX(MASTER_SOURCE!$B$2:$B$495,MATCH($I4885,MASTER_SOURCE!$A$2:$A$495,0)),"(REF không có trong MASTER_SOURCE)")))</f>
        <v/>
      </c>
      <c r="K4885" s="22">
        <f t="array" ref="K4885">IF($D4885="","",IFERROR(INDEX(MASTER_SOURCE!$C$2:$C$495,MATCH($I4885,MASTER_SOURCE!$A$2:$A$495,0)),""))</f>
        <v/>
      </c>
      <c r="L4885" s="22">
        <f t="array" ref="L4885">IF($D4885="","",IFERROR(INDEX(MASTER_SOURCE!$D$2:$D$495,MATCH($I4885,MASTER_SOURCE!$A$2:$A$495,0)),""))</f>
        <v/>
      </c>
      <c r="M4885" s="24" t="n"/>
      <c r="N4885" s="24" t="n"/>
      <c r="O4885" s="24" t="n"/>
      <c r="P4885" s="24" t="n"/>
      <c r="Q4885" s="22">
        <f>IF($D4885="","",IF(AND(OR(DANH_MUC!$L$5&lt;&gt;"Có",M4885="Có"),OR(DANH_MUC!$L$6&lt;&gt;"Có",N4885="Có"),OR(DANH_MUC!$L$7&lt;&gt;"Có",O4885="Có"),OR(DANH_MUC!$L$8&lt;&gt;"Có",P4885="Có")),"Có","Không"))</f>
        <v/>
      </c>
      <c r="R4885" s="22">
        <f>IF($D4885="","",IF(COUNTIF($D$2:$D4885,$D4885)&gt;1,"Trùng",""))</f>
        <v/>
      </c>
      <c r="S4885" s="22">
        <f>IF($D4885="","",IF(AND(LEN($D4885)=10,LEFT($D4885,1)="0",ISNUMBER(--$D4885)),"Có","Không"))</f>
        <v/>
      </c>
      <c r="T4885" s="22">
        <f>IF($D4885="","",IF(AND($C4885&lt;&gt;"",$Q4885="Có",$R4885="",$S4885="Có",AND($L4885&lt;&gt;"",OR($L4885&lt;&gt;"Chưa xác định",DANH_MUC!$L$9="Có"))),"Có","Không"))</f>
        <v/>
      </c>
      <c r="U4885" s="22">
        <f>IF(OR($D4885="",$T4885="Có"),"",IF($C4885="","Thiếu họ tên; ","")&amp;IF($S4885&lt;&gt;"Có","SĐT sai định dạng; ","")&amp;IF($R4885="Trùng","Trùng SĐT; ","")&amp;IF($Q4885&lt;&gt;"Có","Thiếu đồng ý bắt buộc; ","")&amp;IF($L4885="","Thiếu/sai Mã REF; ",IF(AND($L4885="Chưa xác định",DANH_MUC!$L$9&lt;&gt;"Có"),"Nguồn chưa xác định; ","")))</f>
        <v/>
      </c>
      <c r="V4885" s="22">
        <f>IF(OR($D4885="",$R4885="Trùng"),"",IF(COUNTIF(ORDERS!$C$2:$C$4995,$D4885)&gt;0,"Có","Không"))</f>
        <v/>
      </c>
      <c r="W4885" s="22">
        <f>IF(OR($D4885="",$R4885="Trùng"),"",COUNTIFS(ORDERS!$C$2:$C$4995,$D4885,ORDERS!$L$2:$L$4995,"Đã chuyển khoản"))</f>
        <v/>
      </c>
      <c r="X4885" s="23">
        <f>IF(OR($D4885="",$R4885="Trùng"),"",SUMIFS(ORDERS!$J$2:$J$4995,ORDERS!$C$2:$C$4995,$D4885,ORDERS!$L$2:$L$4995,"Đã chuyển khoản"))</f>
        <v/>
      </c>
      <c r="Y4885" s="24" t="n"/>
    </row>
    <row r="4886" ht="14.25" customHeight="1" s="40">
      <c r="A4886" s="24" t="n"/>
      <c r="B4886" s="27" t="n"/>
      <c r="C4886" s="24" t="n"/>
      <c r="D4886" s="28" t="n"/>
      <c r="E4886" s="29" t="n"/>
      <c r="F4886" s="24" t="n"/>
      <c r="G4886" s="24" t="n"/>
      <c r="H4886" s="21">
        <f>IF(ISNUMBER($B4886),INT($B4886)-WEEKDAY($B4886,2)+1,"")</f>
        <v/>
      </c>
      <c r="I4886" s="24" t="n"/>
      <c r="J4886" s="22">
        <f t="array" ref="J4886">IF($D4886="","",IF($I4886="","(trống REF)",IFERROR(INDEX(MASTER_SOURCE!$B$2:$B$495,MATCH($I4886,MASTER_SOURCE!$A$2:$A$495,0)),"(REF không có trong MASTER_SOURCE)")))</f>
        <v/>
      </c>
      <c r="K4886" s="22">
        <f t="array" ref="K4886">IF($D4886="","",IFERROR(INDEX(MASTER_SOURCE!$C$2:$C$495,MATCH($I4886,MASTER_SOURCE!$A$2:$A$495,0)),""))</f>
        <v/>
      </c>
      <c r="L4886" s="22">
        <f t="array" ref="L4886">IF($D4886="","",IFERROR(INDEX(MASTER_SOURCE!$D$2:$D$495,MATCH($I4886,MASTER_SOURCE!$A$2:$A$495,0)),""))</f>
        <v/>
      </c>
      <c r="M4886" s="24" t="n"/>
      <c r="N4886" s="24" t="n"/>
      <c r="O4886" s="24" t="n"/>
      <c r="P4886" s="24" t="n"/>
      <c r="Q4886" s="22">
        <f>IF($D4886="","",IF(AND(OR(DANH_MUC!$L$5&lt;&gt;"Có",M4886="Có"),OR(DANH_MUC!$L$6&lt;&gt;"Có",N4886="Có"),OR(DANH_MUC!$L$7&lt;&gt;"Có",O4886="Có"),OR(DANH_MUC!$L$8&lt;&gt;"Có",P4886="Có")),"Có","Không"))</f>
        <v/>
      </c>
      <c r="R4886" s="22">
        <f>IF($D4886="","",IF(COUNTIF($D$2:$D4886,$D4886)&gt;1,"Trùng",""))</f>
        <v/>
      </c>
      <c r="S4886" s="22">
        <f>IF($D4886="","",IF(AND(LEN($D4886)=10,LEFT($D4886,1)="0",ISNUMBER(--$D4886)),"Có","Không"))</f>
        <v/>
      </c>
      <c r="T4886" s="22">
        <f>IF($D4886="","",IF(AND($C4886&lt;&gt;"",$Q4886="Có",$R4886="",$S4886="Có",AND($L4886&lt;&gt;"",OR($L4886&lt;&gt;"Chưa xác định",DANH_MUC!$L$9="Có"))),"Có","Không"))</f>
        <v/>
      </c>
      <c r="U4886" s="22">
        <f>IF(OR($D4886="",$T4886="Có"),"",IF($C4886="","Thiếu họ tên; ","")&amp;IF($S4886&lt;&gt;"Có","SĐT sai định dạng; ","")&amp;IF($R4886="Trùng","Trùng SĐT; ","")&amp;IF($Q4886&lt;&gt;"Có","Thiếu đồng ý bắt buộc; ","")&amp;IF($L4886="","Thiếu/sai Mã REF; ",IF(AND($L4886="Chưa xác định",DANH_MUC!$L$9&lt;&gt;"Có"),"Nguồn chưa xác định; ","")))</f>
        <v/>
      </c>
      <c r="V4886" s="22">
        <f>IF(OR($D4886="",$R4886="Trùng"),"",IF(COUNTIF(ORDERS!$C$2:$C$4995,$D4886)&gt;0,"Có","Không"))</f>
        <v/>
      </c>
      <c r="W4886" s="22">
        <f>IF(OR($D4886="",$R4886="Trùng"),"",COUNTIFS(ORDERS!$C$2:$C$4995,$D4886,ORDERS!$L$2:$L$4995,"Đã chuyển khoản"))</f>
        <v/>
      </c>
      <c r="X4886" s="23">
        <f>IF(OR($D4886="",$R4886="Trùng"),"",SUMIFS(ORDERS!$J$2:$J$4995,ORDERS!$C$2:$C$4995,$D4886,ORDERS!$L$2:$L$4995,"Đã chuyển khoản"))</f>
        <v/>
      </c>
      <c r="Y4886" s="24" t="n"/>
    </row>
    <row r="4887" ht="14.25" customHeight="1" s="40">
      <c r="A4887" s="24" t="n"/>
      <c r="B4887" s="27" t="n"/>
      <c r="C4887" s="24" t="n"/>
      <c r="D4887" s="28" t="n"/>
      <c r="E4887" s="29" t="n"/>
      <c r="F4887" s="24" t="n"/>
      <c r="G4887" s="24" t="n"/>
      <c r="H4887" s="21">
        <f>IF(ISNUMBER($B4887),INT($B4887)-WEEKDAY($B4887,2)+1,"")</f>
        <v/>
      </c>
      <c r="I4887" s="24" t="n"/>
      <c r="J4887" s="22">
        <f t="array" ref="J4887">IF($D4887="","",IF($I4887="","(trống REF)",IFERROR(INDEX(MASTER_SOURCE!$B$2:$B$495,MATCH($I4887,MASTER_SOURCE!$A$2:$A$495,0)),"(REF không có trong MASTER_SOURCE)")))</f>
        <v/>
      </c>
      <c r="K4887" s="22">
        <f t="array" ref="K4887">IF($D4887="","",IFERROR(INDEX(MASTER_SOURCE!$C$2:$C$495,MATCH($I4887,MASTER_SOURCE!$A$2:$A$495,0)),""))</f>
        <v/>
      </c>
      <c r="L4887" s="22">
        <f t="array" ref="L4887">IF($D4887="","",IFERROR(INDEX(MASTER_SOURCE!$D$2:$D$495,MATCH($I4887,MASTER_SOURCE!$A$2:$A$495,0)),""))</f>
        <v/>
      </c>
      <c r="M4887" s="24" t="n"/>
      <c r="N4887" s="24" t="n"/>
      <c r="O4887" s="24" t="n"/>
      <c r="P4887" s="24" t="n"/>
      <c r="Q4887" s="22">
        <f>IF($D4887="","",IF(AND(OR(DANH_MUC!$L$5&lt;&gt;"Có",M4887="Có"),OR(DANH_MUC!$L$6&lt;&gt;"Có",N4887="Có"),OR(DANH_MUC!$L$7&lt;&gt;"Có",O4887="Có"),OR(DANH_MUC!$L$8&lt;&gt;"Có",P4887="Có")),"Có","Không"))</f>
        <v/>
      </c>
      <c r="R4887" s="22">
        <f>IF($D4887="","",IF(COUNTIF($D$2:$D4887,$D4887)&gt;1,"Trùng",""))</f>
        <v/>
      </c>
      <c r="S4887" s="22">
        <f>IF($D4887="","",IF(AND(LEN($D4887)=10,LEFT($D4887,1)="0",ISNUMBER(--$D4887)),"Có","Không"))</f>
        <v/>
      </c>
      <c r="T4887" s="22">
        <f>IF($D4887="","",IF(AND($C4887&lt;&gt;"",$Q4887="Có",$R4887="",$S4887="Có",AND($L4887&lt;&gt;"",OR($L4887&lt;&gt;"Chưa xác định",DANH_MUC!$L$9="Có"))),"Có","Không"))</f>
        <v/>
      </c>
      <c r="U4887" s="22">
        <f>IF(OR($D4887="",$T4887="Có"),"",IF($C4887="","Thiếu họ tên; ","")&amp;IF($S4887&lt;&gt;"Có","SĐT sai định dạng; ","")&amp;IF($R4887="Trùng","Trùng SĐT; ","")&amp;IF($Q4887&lt;&gt;"Có","Thiếu đồng ý bắt buộc; ","")&amp;IF($L4887="","Thiếu/sai Mã REF; ",IF(AND($L4887="Chưa xác định",DANH_MUC!$L$9&lt;&gt;"Có"),"Nguồn chưa xác định; ","")))</f>
        <v/>
      </c>
      <c r="V4887" s="22">
        <f>IF(OR($D4887="",$R4887="Trùng"),"",IF(COUNTIF(ORDERS!$C$2:$C$4995,$D4887)&gt;0,"Có","Không"))</f>
        <v/>
      </c>
      <c r="W4887" s="22">
        <f>IF(OR($D4887="",$R4887="Trùng"),"",COUNTIFS(ORDERS!$C$2:$C$4995,$D4887,ORDERS!$L$2:$L$4995,"Đã chuyển khoản"))</f>
        <v/>
      </c>
      <c r="X4887" s="23">
        <f>IF(OR($D4887="",$R4887="Trùng"),"",SUMIFS(ORDERS!$J$2:$J$4995,ORDERS!$C$2:$C$4995,$D4887,ORDERS!$L$2:$L$4995,"Đã chuyển khoản"))</f>
        <v/>
      </c>
      <c r="Y4887" s="24" t="n"/>
    </row>
    <row r="4888" ht="14.25" customHeight="1" s="40">
      <c r="A4888" s="24" t="n"/>
      <c r="B4888" s="27" t="n"/>
      <c r="C4888" s="24" t="n"/>
      <c r="D4888" s="28" t="n"/>
      <c r="E4888" s="29" t="n"/>
      <c r="F4888" s="24" t="n"/>
      <c r="G4888" s="24" t="n"/>
      <c r="H4888" s="21">
        <f>IF(ISNUMBER($B4888),INT($B4888)-WEEKDAY($B4888,2)+1,"")</f>
        <v/>
      </c>
      <c r="I4888" s="24" t="n"/>
      <c r="J4888" s="22">
        <f t="array" ref="J4888">IF($D4888="","",IF($I4888="","(trống REF)",IFERROR(INDEX(MASTER_SOURCE!$B$2:$B$495,MATCH($I4888,MASTER_SOURCE!$A$2:$A$495,0)),"(REF không có trong MASTER_SOURCE)")))</f>
        <v/>
      </c>
      <c r="K4888" s="22">
        <f t="array" ref="K4888">IF($D4888="","",IFERROR(INDEX(MASTER_SOURCE!$C$2:$C$495,MATCH($I4888,MASTER_SOURCE!$A$2:$A$495,0)),""))</f>
        <v/>
      </c>
      <c r="L4888" s="22">
        <f t="array" ref="L4888">IF($D4888="","",IFERROR(INDEX(MASTER_SOURCE!$D$2:$D$495,MATCH($I4888,MASTER_SOURCE!$A$2:$A$495,0)),""))</f>
        <v/>
      </c>
      <c r="M4888" s="24" t="n"/>
      <c r="N4888" s="24" t="n"/>
      <c r="O4888" s="24" t="n"/>
      <c r="P4888" s="24" t="n"/>
      <c r="Q4888" s="22">
        <f>IF($D4888="","",IF(AND(OR(DANH_MUC!$L$5&lt;&gt;"Có",M4888="Có"),OR(DANH_MUC!$L$6&lt;&gt;"Có",N4888="Có"),OR(DANH_MUC!$L$7&lt;&gt;"Có",O4888="Có"),OR(DANH_MUC!$L$8&lt;&gt;"Có",P4888="Có")),"Có","Không"))</f>
        <v/>
      </c>
      <c r="R4888" s="22">
        <f>IF($D4888="","",IF(COUNTIF($D$2:$D4888,$D4888)&gt;1,"Trùng",""))</f>
        <v/>
      </c>
      <c r="S4888" s="22">
        <f>IF($D4888="","",IF(AND(LEN($D4888)=10,LEFT($D4888,1)="0",ISNUMBER(--$D4888)),"Có","Không"))</f>
        <v/>
      </c>
      <c r="T4888" s="22">
        <f>IF($D4888="","",IF(AND($C4888&lt;&gt;"",$Q4888="Có",$R4888="",$S4888="Có",AND($L4888&lt;&gt;"",OR($L4888&lt;&gt;"Chưa xác định",DANH_MUC!$L$9="Có"))),"Có","Không"))</f>
        <v/>
      </c>
      <c r="U4888" s="22">
        <f>IF(OR($D4888="",$T4888="Có"),"",IF($C4888="","Thiếu họ tên; ","")&amp;IF($S4888&lt;&gt;"Có","SĐT sai định dạng; ","")&amp;IF($R4888="Trùng","Trùng SĐT; ","")&amp;IF($Q4888&lt;&gt;"Có","Thiếu đồng ý bắt buộc; ","")&amp;IF($L4888="","Thiếu/sai Mã REF; ",IF(AND($L4888="Chưa xác định",DANH_MUC!$L$9&lt;&gt;"Có"),"Nguồn chưa xác định; ","")))</f>
        <v/>
      </c>
      <c r="V4888" s="22">
        <f>IF(OR($D4888="",$R4888="Trùng"),"",IF(COUNTIF(ORDERS!$C$2:$C$4995,$D4888)&gt;0,"Có","Không"))</f>
        <v/>
      </c>
      <c r="W4888" s="22">
        <f>IF(OR($D4888="",$R4888="Trùng"),"",COUNTIFS(ORDERS!$C$2:$C$4995,$D4888,ORDERS!$L$2:$L$4995,"Đã chuyển khoản"))</f>
        <v/>
      </c>
      <c r="X4888" s="23">
        <f>IF(OR($D4888="",$R4888="Trùng"),"",SUMIFS(ORDERS!$J$2:$J$4995,ORDERS!$C$2:$C$4995,$D4888,ORDERS!$L$2:$L$4995,"Đã chuyển khoản"))</f>
        <v/>
      </c>
      <c r="Y4888" s="24" t="n"/>
    </row>
    <row r="4889" ht="14.25" customHeight="1" s="40">
      <c r="A4889" s="24" t="n"/>
      <c r="B4889" s="27" t="n"/>
      <c r="C4889" s="24" t="n"/>
      <c r="D4889" s="28" t="n"/>
      <c r="E4889" s="29" t="n"/>
      <c r="F4889" s="24" t="n"/>
      <c r="G4889" s="24" t="n"/>
      <c r="H4889" s="21">
        <f>IF(ISNUMBER($B4889),INT($B4889)-WEEKDAY($B4889,2)+1,"")</f>
        <v/>
      </c>
      <c r="I4889" s="24" t="n"/>
      <c r="J4889" s="22">
        <f t="array" ref="J4889">IF($D4889="","",IF($I4889="","(trống REF)",IFERROR(INDEX(MASTER_SOURCE!$B$2:$B$495,MATCH($I4889,MASTER_SOURCE!$A$2:$A$495,0)),"(REF không có trong MASTER_SOURCE)")))</f>
        <v/>
      </c>
      <c r="K4889" s="22">
        <f t="array" ref="K4889">IF($D4889="","",IFERROR(INDEX(MASTER_SOURCE!$C$2:$C$495,MATCH($I4889,MASTER_SOURCE!$A$2:$A$495,0)),""))</f>
        <v/>
      </c>
      <c r="L4889" s="22">
        <f t="array" ref="L4889">IF($D4889="","",IFERROR(INDEX(MASTER_SOURCE!$D$2:$D$495,MATCH($I4889,MASTER_SOURCE!$A$2:$A$495,0)),""))</f>
        <v/>
      </c>
      <c r="M4889" s="24" t="n"/>
      <c r="N4889" s="24" t="n"/>
      <c r="O4889" s="24" t="n"/>
      <c r="P4889" s="24" t="n"/>
      <c r="Q4889" s="22">
        <f>IF($D4889="","",IF(AND(OR(DANH_MUC!$L$5&lt;&gt;"Có",M4889="Có"),OR(DANH_MUC!$L$6&lt;&gt;"Có",N4889="Có"),OR(DANH_MUC!$L$7&lt;&gt;"Có",O4889="Có"),OR(DANH_MUC!$L$8&lt;&gt;"Có",P4889="Có")),"Có","Không"))</f>
        <v/>
      </c>
      <c r="R4889" s="22">
        <f>IF($D4889="","",IF(COUNTIF($D$2:$D4889,$D4889)&gt;1,"Trùng",""))</f>
        <v/>
      </c>
      <c r="S4889" s="22">
        <f>IF($D4889="","",IF(AND(LEN($D4889)=10,LEFT($D4889,1)="0",ISNUMBER(--$D4889)),"Có","Không"))</f>
        <v/>
      </c>
      <c r="T4889" s="22">
        <f>IF($D4889="","",IF(AND($C4889&lt;&gt;"",$Q4889="Có",$R4889="",$S4889="Có",AND($L4889&lt;&gt;"",OR($L4889&lt;&gt;"Chưa xác định",DANH_MUC!$L$9="Có"))),"Có","Không"))</f>
        <v/>
      </c>
      <c r="U4889" s="22">
        <f>IF(OR($D4889="",$T4889="Có"),"",IF($C4889="","Thiếu họ tên; ","")&amp;IF($S4889&lt;&gt;"Có","SĐT sai định dạng; ","")&amp;IF($R4889="Trùng","Trùng SĐT; ","")&amp;IF($Q4889&lt;&gt;"Có","Thiếu đồng ý bắt buộc; ","")&amp;IF($L4889="","Thiếu/sai Mã REF; ",IF(AND($L4889="Chưa xác định",DANH_MUC!$L$9&lt;&gt;"Có"),"Nguồn chưa xác định; ","")))</f>
        <v/>
      </c>
      <c r="V4889" s="22">
        <f>IF(OR($D4889="",$R4889="Trùng"),"",IF(COUNTIF(ORDERS!$C$2:$C$4995,$D4889)&gt;0,"Có","Không"))</f>
        <v/>
      </c>
      <c r="W4889" s="22">
        <f>IF(OR($D4889="",$R4889="Trùng"),"",COUNTIFS(ORDERS!$C$2:$C$4995,$D4889,ORDERS!$L$2:$L$4995,"Đã chuyển khoản"))</f>
        <v/>
      </c>
      <c r="X4889" s="23">
        <f>IF(OR($D4889="",$R4889="Trùng"),"",SUMIFS(ORDERS!$J$2:$J$4995,ORDERS!$C$2:$C$4995,$D4889,ORDERS!$L$2:$L$4995,"Đã chuyển khoản"))</f>
        <v/>
      </c>
      <c r="Y4889" s="24" t="n"/>
    </row>
    <row r="4890" ht="14.25" customHeight="1" s="40">
      <c r="A4890" s="24" t="n"/>
      <c r="B4890" s="27" t="n"/>
      <c r="C4890" s="24" t="n"/>
      <c r="D4890" s="28" t="n"/>
      <c r="E4890" s="29" t="n"/>
      <c r="F4890" s="24" t="n"/>
      <c r="G4890" s="24" t="n"/>
      <c r="H4890" s="21">
        <f>IF(ISNUMBER($B4890),INT($B4890)-WEEKDAY($B4890,2)+1,"")</f>
        <v/>
      </c>
      <c r="I4890" s="24" t="n"/>
      <c r="J4890" s="22">
        <f t="array" ref="J4890">IF($D4890="","",IF($I4890="","(trống REF)",IFERROR(INDEX(MASTER_SOURCE!$B$2:$B$495,MATCH($I4890,MASTER_SOURCE!$A$2:$A$495,0)),"(REF không có trong MASTER_SOURCE)")))</f>
        <v/>
      </c>
      <c r="K4890" s="22">
        <f t="array" ref="K4890">IF($D4890="","",IFERROR(INDEX(MASTER_SOURCE!$C$2:$C$495,MATCH($I4890,MASTER_SOURCE!$A$2:$A$495,0)),""))</f>
        <v/>
      </c>
      <c r="L4890" s="22">
        <f t="array" ref="L4890">IF($D4890="","",IFERROR(INDEX(MASTER_SOURCE!$D$2:$D$495,MATCH($I4890,MASTER_SOURCE!$A$2:$A$495,0)),""))</f>
        <v/>
      </c>
      <c r="M4890" s="24" t="n"/>
      <c r="N4890" s="24" t="n"/>
      <c r="O4890" s="24" t="n"/>
      <c r="P4890" s="24" t="n"/>
      <c r="Q4890" s="22">
        <f>IF($D4890="","",IF(AND(OR(DANH_MUC!$L$5&lt;&gt;"Có",M4890="Có"),OR(DANH_MUC!$L$6&lt;&gt;"Có",N4890="Có"),OR(DANH_MUC!$L$7&lt;&gt;"Có",O4890="Có"),OR(DANH_MUC!$L$8&lt;&gt;"Có",P4890="Có")),"Có","Không"))</f>
        <v/>
      </c>
      <c r="R4890" s="22">
        <f>IF($D4890="","",IF(COUNTIF($D$2:$D4890,$D4890)&gt;1,"Trùng",""))</f>
        <v/>
      </c>
      <c r="S4890" s="22">
        <f>IF($D4890="","",IF(AND(LEN($D4890)=10,LEFT($D4890,1)="0",ISNUMBER(--$D4890)),"Có","Không"))</f>
        <v/>
      </c>
      <c r="T4890" s="22">
        <f>IF($D4890="","",IF(AND($C4890&lt;&gt;"",$Q4890="Có",$R4890="",$S4890="Có",AND($L4890&lt;&gt;"",OR($L4890&lt;&gt;"Chưa xác định",DANH_MUC!$L$9="Có"))),"Có","Không"))</f>
        <v/>
      </c>
      <c r="U4890" s="22">
        <f>IF(OR($D4890="",$T4890="Có"),"",IF($C4890="","Thiếu họ tên; ","")&amp;IF($S4890&lt;&gt;"Có","SĐT sai định dạng; ","")&amp;IF($R4890="Trùng","Trùng SĐT; ","")&amp;IF($Q4890&lt;&gt;"Có","Thiếu đồng ý bắt buộc; ","")&amp;IF($L4890="","Thiếu/sai Mã REF; ",IF(AND($L4890="Chưa xác định",DANH_MUC!$L$9&lt;&gt;"Có"),"Nguồn chưa xác định; ","")))</f>
        <v/>
      </c>
      <c r="V4890" s="22">
        <f>IF(OR($D4890="",$R4890="Trùng"),"",IF(COUNTIF(ORDERS!$C$2:$C$4995,$D4890)&gt;0,"Có","Không"))</f>
        <v/>
      </c>
      <c r="W4890" s="22">
        <f>IF(OR($D4890="",$R4890="Trùng"),"",COUNTIFS(ORDERS!$C$2:$C$4995,$D4890,ORDERS!$L$2:$L$4995,"Đã chuyển khoản"))</f>
        <v/>
      </c>
      <c r="X4890" s="23">
        <f>IF(OR($D4890="",$R4890="Trùng"),"",SUMIFS(ORDERS!$J$2:$J$4995,ORDERS!$C$2:$C$4995,$D4890,ORDERS!$L$2:$L$4995,"Đã chuyển khoản"))</f>
        <v/>
      </c>
      <c r="Y4890" s="24" t="n"/>
    </row>
    <row r="4891" ht="14.25" customHeight="1" s="40">
      <c r="A4891" s="24" t="n"/>
      <c r="B4891" s="27" t="n"/>
      <c r="C4891" s="24" t="n"/>
      <c r="D4891" s="28" t="n"/>
      <c r="E4891" s="29" t="n"/>
      <c r="F4891" s="24" t="n"/>
      <c r="G4891" s="24" t="n"/>
      <c r="H4891" s="21">
        <f>IF(ISNUMBER($B4891),INT($B4891)-WEEKDAY($B4891,2)+1,"")</f>
        <v/>
      </c>
      <c r="I4891" s="24" t="n"/>
      <c r="J4891" s="22">
        <f t="array" ref="J4891">IF($D4891="","",IF($I4891="","(trống REF)",IFERROR(INDEX(MASTER_SOURCE!$B$2:$B$495,MATCH($I4891,MASTER_SOURCE!$A$2:$A$495,0)),"(REF không có trong MASTER_SOURCE)")))</f>
        <v/>
      </c>
      <c r="K4891" s="22">
        <f t="array" ref="K4891">IF($D4891="","",IFERROR(INDEX(MASTER_SOURCE!$C$2:$C$495,MATCH($I4891,MASTER_SOURCE!$A$2:$A$495,0)),""))</f>
        <v/>
      </c>
      <c r="L4891" s="22">
        <f t="array" ref="L4891">IF($D4891="","",IFERROR(INDEX(MASTER_SOURCE!$D$2:$D$495,MATCH($I4891,MASTER_SOURCE!$A$2:$A$495,0)),""))</f>
        <v/>
      </c>
      <c r="M4891" s="24" t="n"/>
      <c r="N4891" s="24" t="n"/>
      <c r="O4891" s="24" t="n"/>
      <c r="P4891" s="24" t="n"/>
      <c r="Q4891" s="22">
        <f>IF($D4891="","",IF(AND(OR(DANH_MUC!$L$5&lt;&gt;"Có",M4891="Có"),OR(DANH_MUC!$L$6&lt;&gt;"Có",N4891="Có"),OR(DANH_MUC!$L$7&lt;&gt;"Có",O4891="Có"),OR(DANH_MUC!$L$8&lt;&gt;"Có",P4891="Có")),"Có","Không"))</f>
        <v/>
      </c>
      <c r="R4891" s="22">
        <f>IF($D4891="","",IF(COUNTIF($D$2:$D4891,$D4891)&gt;1,"Trùng",""))</f>
        <v/>
      </c>
      <c r="S4891" s="22">
        <f>IF($D4891="","",IF(AND(LEN($D4891)=10,LEFT($D4891,1)="0",ISNUMBER(--$D4891)),"Có","Không"))</f>
        <v/>
      </c>
      <c r="T4891" s="22">
        <f>IF($D4891="","",IF(AND($C4891&lt;&gt;"",$Q4891="Có",$R4891="",$S4891="Có",AND($L4891&lt;&gt;"",OR($L4891&lt;&gt;"Chưa xác định",DANH_MUC!$L$9="Có"))),"Có","Không"))</f>
        <v/>
      </c>
      <c r="U4891" s="22">
        <f>IF(OR($D4891="",$T4891="Có"),"",IF($C4891="","Thiếu họ tên; ","")&amp;IF($S4891&lt;&gt;"Có","SĐT sai định dạng; ","")&amp;IF($R4891="Trùng","Trùng SĐT; ","")&amp;IF($Q4891&lt;&gt;"Có","Thiếu đồng ý bắt buộc; ","")&amp;IF($L4891="","Thiếu/sai Mã REF; ",IF(AND($L4891="Chưa xác định",DANH_MUC!$L$9&lt;&gt;"Có"),"Nguồn chưa xác định; ","")))</f>
        <v/>
      </c>
      <c r="V4891" s="22">
        <f>IF(OR($D4891="",$R4891="Trùng"),"",IF(COUNTIF(ORDERS!$C$2:$C$4995,$D4891)&gt;0,"Có","Không"))</f>
        <v/>
      </c>
      <c r="W4891" s="22">
        <f>IF(OR($D4891="",$R4891="Trùng"),"",COUNTIFS(ORDERS!$C$2:$C$4995,$D4891,ORDERS!$L$2:$L$4995,"Đã chuyển khoản"))</f>
        <v/>
      </c>
      <c r="X4891" s="23">
        <f>IF(OR($D4891="",$R4891="Trùng"),"",SUMIFS(ORDERS!$J$2:$J$4995,ORDERS!$C$2:$C$4995,$D4891,ORDERS!$L$2:$L$4995,"Đã chuyển khoản"))</f>
        <v/>
      </c>
      <c r="Y4891" s="24" t="n"/>
    </row>
    <row r="4892" ht="14.25" customHeight="1" s="40">
      <c r="A4892" s="24" t="n"/>
      <c r="B4892" s="27" t="n"/>
      <c r="C4892" s="24" t="n"/>
      <c r="D4892" s="28" t="n"/>
      <c r="E4892" s="29" t="n"/>
      <c r="F4892" s="24" t="n"/>
      <c r="G4892" s="24" t="n"/>
      <c r="H4892" s="21">
        <f>IF(ISNUMBER($B4892),INT($B4892)-WEEKDAY($B4892,2)+1,"")</f>
        <v/>
      </c>
      <c r="I4892" s="24" t="n"/>
      <c r="J4892" s="22">
        <f t="array" ref="J4892">IF($D4892="","",IF($I4892="","(trống REF)",IFERROR(INDEX(MASTER_SOURCE!$B$2:$B$495,MATCH($I4892,MASTER_SOURCE!$A$2:$A$495,0)),"(REF không có trong MASTER_SOURCE)")))</f>
        <v/>
      </c>
      <c r="K4892" s="22">
        <f t="array" ref="K4892">IF($D4892="","",IFERROR(INDEX(MASTER_SOURCE!$C$2:$C$495,MATCH($I4892,MASTER_SOURCE!$A$2:$A$495,0)),""))</f>
        <v/>
      </c>
      <c r="L4892" s="22">
        <f t="array" ref="L4892">IF($D4892="","",IFERROR(INDEX(MASTER_SOURCE!$D$2:$D$495,MATCH($I4892,MASTER_SOURCE!$A$2:$A$495,0)),""))</f>
        <v/>
      </c>
      <c r="M4892" s="24" t="n"/>
      <c r="N4892" s="24" t="n"/>
      <c r="O4892" s="24" t="n"/>
      <c r="P4892" s="24" t="n"/>
      <c r="Q4892" s="22">
        <f>IF($D4892="","",IF(AND(OR(DANH_MUC!$L$5&lt;&gt;"Có",M4892="Có"),OR(DANH_MUC!$L$6&lt;&gt;"Có",N4892="Có"),OR(DANH_MUC!$L$7&lt;&gt;"Có",O4892="Có"),OR(DANH_MUC!$L$8&lt;&gt;"Có",P4892="Có")),"Có","Không"))</f>
        <v/>
      </c>
      <c r="R4892" s="22">
        <f>IF($D4892="","",IF(COUNTIF($D$2:$D4892,$D4892)&gt;1,"Trùng",""))</f>
        <v/>
      </c>
      <c r="S4892" s="22">
        <f>IF($D4892="","",IF(AND(LEN($D4892)=10,LEFT($D4892,1)="0",ISNUMBER(--$D4892)),"Có","Không"))</f>
        <v/>
      </c>
      <c r="T4892" s="22">
        <f>IF($D4892="","",IF(AND($C4892&lt;&gt;"",$Q4892="Có",$R4892="",$S4892="Có",AND($L4892&lt;&gt;"",OR($L4892&lt;&gt;"Chưa xác định",DANH_MUC!$L$9="Có"))),"Có","Không"))</f>
        <v/>
      </c>
      <c r="U4892" s="22">
        <f>IF(OR($D4892="",$T4892="Có"),"",IF($C4892="","Thiếu họ tên; ","")&amp;IF($S4892&lt;&gt;"Có","SĐT sai định dạng; ","")&amp;IF($R4892="Trùng","Trùng SĐT; ","")&amp;IF($Q4892&lt;&gt;"Có","Thiếu đồng ý bắt buộc; ","")&amp;IF($L4892="","Thiếu/sai Mã REF; ",IF(AND($L4892="Chưa xác định",DANH_MUC!$L$9&lt;&gt;"Có"),"Nguồn chưa xác định; ","")))</f>
        <v/>
      </c>
      <c r="V4892" s="22">
        <f>IF(OR($D4892="",$R4892="Trùng"),"",IF(COUNTIF(ORDERS!$C$2:$C$4995,$D4892)&gt;0,"Có","Không"))</f>
        <v/>
      </c>
      <c r="W4892" s="22">
        <f>IF(OR($D4892="",$R4892="Trùng"),"",COUNTIFS(ORDERS!$C$2:$C$4995,$D4892,ORDERS!$L$2:$L$4995,"Đã chuyển khoản"))</f>
        <v/>
      </c>
      <c r="X4892" s="23">
        <f>IF(OR($D4892="",$R4892="Trùng"),"",SUMIFS(ORDERS!$J$2:$J$4995,ORDERS!$C$2:$C$4995,$D4892,ORDERS!$L$2:$L$4995,"Đã chuyển khoản"))</f>
        <v/>
      </c>
      <c r="Y4892" s="24" t="n"/>
    </row>
    <row r="4893" ht="14.25" customHeight="1" s="40">
      <c r="A4893" s="24" t="n"/>
      <c r="B4893" s="27" t="n"/>
      <c r="C4893" s="24" t="n"/>
      <c r="D4893" s="28" t="n"/>
      <c r="E4893" s="29" t="n"/>
      <c r="F4893" s="24" t="n"/>
      <c r="G4893" s="24" t="n"/>
      <c r="H4893" s="21">
        <f>IF(ISNUMBER($B4893),INT($B4893)-WEEKDAY($B4893,2)+1,"")</f>
        <v/>
      </c>
      <c r="I4893" s="24" t="n"/>
      <c r="J4893" s="22">
        <f t="array" ref="J4893">IF($D4893="","",IF($I4893="","(trống REF)",IFERROR(INDEX(MASTER_SOURCE!$B$2:$B$495,MATCH($I4893,MASTER_SOURCE!$A$2:$A$495,0)),"(REF không có trong MASTER_SOURCE)")))</f>
        <v/>
      </c>
      <c r="K4893" s="22">
        <f t="array" ref="K4893">IF($D4893="","",IFERROR(INDEX(MASTER_SOURCE!$C$2:$C$495,MATCH($I4893,MASTER_SOURCE!$A$2:$A$495,0)),""))</f>
        <v/>
      </c>
      <c r="L4893" s="22">
        <f t="array" ref="L4893">IF($D4893="","",IFERROR(INDEX(MASTER_SOURCE!$D$2:$D$495,MATCH($I4893,MASTER_SOURCE!$A$2:$A$495,0)),""))</f>
        <v/>
      </c>
      <c r="M4893" s="24" t="n"/>
      <c r="N4893" s="24" t="n"/>
      <c r="O4893" s="24" t="n"/>
      <c r="P4893" s="24" t="n"/>
      <c r="Q4893" s="22">
        <f>IF($D4893="","",IF(AND(OR(DANH_MUC!$L$5&lt;&gt;"Có",M4893="Có"),OR(DANH_MUC!$L$6&lt;&gt;"Có",N4893="Có"),OR(DANH_MUC!$L$7&lt;&gt;"Có",O4893="Có"),OR(DANH_MUC!$L$8&lt;&gt;"Có",P4893="Có")),"Có","Không"))</f>
        <v/>
      </c>
      <c r="R4893" s="22">
        <f>IF($D4893="","",IF(COUNTIF($D$2:$D4893,$D4893)&gt;1,"Trùng",""))</f>
        <v/>
      </c>
      <c r="S4893" s="22">
        <f>IF($D4893="","",IF(AND(LEN($D4893)=10,LEFT($D4893,1)="0",ISNUMBER(--$D4893)),"Có","Không"))</f>
        <v/>
      </c>
      <c r="T4893" s="22">
        <f>IF($D4893="","",IF(AND($C4893&lt;&gt;"",$Q4893="Có",$R4893="",$S4893="Có",AND($L4893&lt;&gt;"",OR($L4893&lt;&gt;"Chưa xác định",DANH_MUC!$L$9="Có"))),"Có","Không"))</f>
        <v/>
      </c>
      <c r="U4893" s="22">
        <f>IF(OR($D4893="",$T4893="Có"),"",IF($C4893="","Thiếu họ tên; ","")&amp;IF($S4893&lt;&gt;"Có","SĐT sai định dạng; ","")&amp;IF($R4893="Trùng","Trùng SĐT; ","")&amp;IF($Q4893&lt;&gt;"Có","Thiếu đồng ý bắt buộc; ","")&amp;IF($L4893="","Thiếu/sai Mã REF; ",IF(AND($L4893="Chưa xác định",DANH_MUC!$L$9&lt;&gt;"Có"),"Nguồn chưa xác định; ","")))</f>
        <v/>
      </c>
      <c r="V4893" s="22">
        <f>IF(OR($D4893="",$R4893="Trùng"),"",IF(COUNTIF(ORDERS!$C$2:$C$4995,$D4893)&gt;0,"Có","Không"))</f>
        <v/>
      </c>
      <c r="W4893" s="22">
        <f>IF(OR($D4893="",$R4893="Trùng"),"",COUNTIFS(ORDERS!$C$2:$C$4995,$D4893,ORDERS!$L$2:$L$4995,"Đã chuyển khoản"))</f>
        <v/>
      </c>
      <c r="X4893" s="23">
        <f>IF(OR($D4893="",$R4893="Trùng"),"",SUMIFS(ORDERS!$J$2:$J$4995,ORDERS!$C$2:$C$4995,$D4893,ORDERS!$L$2:$L$4995,"Đã chuyển khoản"))</f>
        <v/>
      </c>
      <c r="Y4893" s="24" t="n"/>
    </row>
    <row r="4894" ht="14.25" customHeight="1" s="40">
      <c r="A4894" s="24" t="n"/>
      <c r="B4894" s="27" t="n"/>
      <c r="C4894" s="24" t="n"/>
      <c r="D4894" s="28" t="n"/>
      <c r="E4894" s="29" t="n"/>
      <c r="F4894" s="24" t="n"/>
      <c r="G4894" s="24" t="n"/>
      <c r="H4894" s="21">
        <f>IF(ISNUMBER($B4894),INT($B4894)-WEEKDAY($B4894,2)+1,"")</f>
        <v/>
      </c>
      <c r="I4894" s="24" t="n"/>
      <c r="J4894" s="22">
        <f t="array" ref="J4894">IF($D4894="","",IF($I4894="","(trống REF)",IFERROR(INDEX(MASTER_SOURCE!$B$2:$B$495,MATCH($I4894,MASTER_SOURCE!$A$2:$A$495,0)),"(REF không có trong MASTER_SOURCE)")))</f>
        <v/>
      </c>
      <c r="K4894" s="22">
        <f t="array" ref="K4894">IF($D4894="","",IFERROR(INDEX(MASTER_SOURCE!$C$2:$C$495,MATCH($I4894,MASTER_SOURCE!$A$2:$A$495,0)),""))</f>
        <v/>
      </c>
      <c r="L4894" s="22">
        <f t="array" ref="L4894">IF($D4894="","",IFERROR(INDEX(MASTER_SOURCE!$D$2:$D$495,MATCH($I4894,MASTER_SOURCE!$A$2:$A$495,0)),""))</f>
        <v/>
      </c>
      <c r="M4894" s="24" t="n"/>
      <c r="N4894" s="24" t="n"/>
      <c r="O4894" s="24" t="n"/>
      <c r="P4894" s="24" t="n"/>
      <c r="Q4894" s="22">
        <f>IF($D4894="","",IF(AND(OR(DANH_MUC!$L$5&lt;&gt;"Có",M4894="Có"),OR(DANH_MUC!$L$6&lt;&gt;"Có",N4894="Có"),OR(DANH_MUC!$L$7&lt;&gt;"Có",O4894="Có"),OR(DANH_MUC!$L$8&lt;&gt;"Có",P4894="Có")),"Có","Không"))</f>
        <v/>
      </c>
      <c r="R4894" s="22">
        <f>IF($D4894="","",IF(COUNTIF($D$2:$D4894,$D4894)&gt;1,"Trùng",""))</f>
        <v/>
      </c>
      <c r="S4894" s="22">
        <f>IF($D4894="","",IF(AND(LEN($D4894)=10,LEFT($D4894,1)="0",ISNUMBER(--$D4894)),"Có","Không"))</f>
        <v/>
      </c>
      <c r="T4894" s="22">
        <f>IF($D4894="","",IF(AND($C4894&lt;&gt;"",$Q4894="Có",$R4894="",$S4894="Có",AND($L4894&lt;&gt;"",OR($L4894&lt;&gt;"Chưa xác định",DANH_MUC!$L$9="Có"))),"Có","Không"))</f>
        <v/>
      </c>
      <c r="U4894" s="22">
        <f>IF(OR($D4894="",$T4894="Có"),"",IF($C4894="","Thiếu họ tên; ","")&amp;IF($S4894&lt;&gt;"Có","SĐT sai định dạng; ","")&amp;IF($R4894="Trùng","Trùng SĐT; ","")&amp;IF($Q4894&lt;&gt;"Có","Thiếu đồng ý bắt buộc; ","")&amp;IF($L4894="","Thiếu/sai Mã REF; ",IF(AND($L4894="Chưa xác định",DANH_MUC!$L$9&lt;&gt;"Có"),"Nguồn chưa xác định; ","")))</f>
        <v/>
      </c>
      <c r="V4894" s="22">
        <f>IF(OR($D4894="",$R4894="Trùng"),"",IF(COUNTIF(ORDERS!$C$2:$C$4995,$D4894)&gt;0,"Có","Không"))</f>
        <v/>
      </c>
      <c r="W4894" s="22">
        <f>IF(OR($D4894="",$R4894="Trùng"),"",COUNTIFS(ORDERS!$C$2:$C$4995,$D4894,ORDERS!$L$2:$L$4995,"Đã chuyển khoản"))</f>
        <v/>
      </c>
      <c r="X4894" s="23">
        <f>IF(OR($D4894="",$R4894="Trùng"),"",SUMIFS(ORDERS!$J$2:$J$4995,ORDERS!$C$2:$C$4995,$D4894,ORDERS!$L$2:$L$4995,"Đã chuyển khoản"))</f>
        <v/>
      </c>
      <c r="Y4894" s="24" t="n"/>
    </row>
    <row r="4895" ht="14.25" customHeight="1" s="40">
      <c r="A4895" s="24" t="n"/>
      <c r="B4895" s="27" t="n"/>
      <c r="C4895" s="24" t="n"/>
      <c r="D4895" s="28" t="n"/>
      <c r="E4895" s="29" t="n"/>
      <c r="F4895" s="24" t="n"/>
      <c r="G4895" s="24" t="n"/>
      <c r="H4895" s="21">
        <f>IF(ISNUMBER($B4895),INT($B4895)-WEEKDAY($B4895,2)+1,"")</f>
        <v/>
      </c>
      <c r="I4895" s="24" t="n"/>
      <c r="J4895" s="22">
        <f t="array" ref="J4895">IF($D4895="","",IF($I4895="","(trống REF)",IFERROR(INDEX(MASTER_SOURCE!$B$2:$B$495,MATCH($I4895,MASTER_SOURCE!$A$2:$A$495,0)),"(REF không có trong MASTER_SOURCE)")))</f>
        <v/>
      </c>
      <c r="K4895" s="22">
        <f t="array" ref="K4895">IF($D4895="","",IFERROR(INDEX(MASTER_SOURCE!$C$2:$C$495,MATCH($I4895,MASTER_SOURCE!$A$2:$A$495,0)),""))</f>
        <v/>
      </c>
      <c r="L4895" s="22">
        <f t="array" ref="L4895">IF($D4895="","",IFERROR(INDEX(MASTER_SOURCE!$D$2:$D$495,MATCH($I4895,MASTER_SOURCE!$A$2:$A$495,0)),""))</f>
        <v/>
      </c>
      <c r="M4895" s="24" t="n"/>
      <c r="N4895" s="24" t="n"/>
      <c r="O4895" s="24" t="n"/>
      <c r="P4895" s="24" t="n"/>
      <c r="Q4895" s="22">
        <f>IF($D4895="","",IF(AND(OR(DANH_MUC!$L$5&lt;&gt;"Có",M4895="Có"),OR(DANH_MUC!$L$6&lt;&gt;"Có",N4895="Có"),OR(DANH_MUC!$L$7&lt;&gt;"Có",O4895="Có"),OR(DANH_MUC!$L$8&lt;&gt;"Có",P4895="Có")),"Có","Không"))</f>
        <v/>
      </c>
      <c r="R4895" s="22">
        <f>IF($D4895="","",IF(COUNTIF($D$2:$D4895,$D4895)&gt;1,"Trùng",""))</f>
        <v/>
      </c>
      <c r="S4895" s="22">
        <f>IF($D4895="","",IF(AND(LEN($D4895)=10,LEFT($D4895,1)="0",ISNUMBER(--$D4895)),"Có","Không"))</f>
        <v/>
      </c>
      <c r="T4895" s="22">
        <f>IF($D4895="","",IF(AND($C4895&lt;&gt;"",$Q4895="Có",$R4895="",$S4895="Có",AND($L4895&lt;&gt;"",OR($L4895&lt;&gt;"Chưa xác định",DANH_MUC!$L$9="Có"))),"Có","Không"))</f>
        <v/>
      </c>
      <c r="U4895" s="22">
        <f>IF(OR($D4895="",$T4895="Có"),"",IF($C4895="","Thiếu họ tên; ","")&amp;IF($S4895&lt;&gt;"Có","SĐT sai định dạng; ","")&amp;IF($R4895="Trùng","Trùng SĐT; ","")&amp;IF($Q4895&lt;&gt;"Có","Thiếu đồng ý bắt buộc; ","")&amp;IF($L4895="","Thiếu/sai Mã REF; ",IF(AND($L4895="Chưa xác định",DANH_MUC!$L$9&lt;&gt;"Có"),"Nguồn chưa xác định; ","")))</f>
        <v/>
      </c>
      <c r="V4895" s="22">
        <f>IF(OR($D4895="",$R4895="Trùng"),"",IF(COUNTIF(ORDERS!$C$2:$C$4995,$D4895)&gt;0,"Có","Không"))</f>
        <v/>
      </c>
      <c r="W4895" s="22">
        <f>IF(OR($D4895="",$R4895="Trùng"),"",COUNTIFS(ORDERS!$C$2:$C$4995,$D4895,ORDERS!$L$2:$L$4995,"Đã chuyển khoản"))</f>
        <v/>
      </c>
      <c r="X4895" s="23">
        <f>IF(OR($D4895="",$R4895="Trùng"),"",SUMIFS(ORDERS!$J$2:$J$4995,ORDERS!$C$2:$C$4995,$D4895,ORDERS!$L$2:$L$4995,"Đã chuyển khoản"))</f>
        <v/>
      </c>
      <c r="Y4895" s="24" t="n"/>
    </row>
    <row r="4896" ht="14.25" customHeight="1" s="40">
      <c r="A4896" s="24" t="n"/>
      <c r="B4896" s="27" t="n"/>
      <c r="C4896" s="24" t="n"/>
      <c r="D4896" s="28" t="n"/>
      <c r="E4896" s="29" t="n"/>
      <c r="F4896" s="24" t="n"/>
      <c r="G4896" s="24" t="n"/>
      <c r="H4896" s="21">
        <f>IF(ISNUMBER($B4896),INT($B4896)-WEEKDAY($B4896,2)+1,"")</f>
        <v/>
      </c>
      <c r="I4896" s="24" t="n"/>
      <c r="J4896" s="22">
        <f t="array" ref="J4896">IF($D4896="","",IF($I4896="","(trống REF)",IFERROR(INDEX(MASTER_SOURCE!$B$2:$B$495,MATCH($I4896,MASTER_SOURCE!$A$2:$A$495,0)),"(REF không có trong MASTER_SOURCE)")))</f>
        <v/>
      </c>
      <c r="K4896" s="22">
        <f t="array" ref="K4896">IF($D4896="","",IFERROR(INDEX(MASTER_SOURCE!$C$2:$C$495,MATCH($I4896,MASTER_SOURCE!$A$2:$A$495,0)),""))</f>
        <v/>
      </c>
      <c r="L4896" s="22">
        <f t="array" ref="L4896">IF($D4896="","",IFERROR(INDEX(MASTER_SOURCE!$D$2:$D$495,MATCH($I4896,MASTER_SOURCE!$A$2:$A$495,0)),""))</f>
        <v/>
      </c>
      <c r="M4896" s="24" t="n"/>
      <c r="N4896" s="24" t="n"/>
      <c r="O4896" s="24" t="n"/>
      <c r="P4896" s="24" t="n"/>
      <c r="Q4896" s="22">
        <f>IF($D4896="","",IF(AND(OR(DANH_MUC!$L$5&lt;&gt;"Có",M4896="Có"),OR(DANH_MUC!$L$6&lt;&gt;"Có",N4896="Có"),OR(DANH_MUC!$L$7&lt;&gt;"Có",O4896="Có"),OR(DANH_MUC!$L$8&lt;&gt;"Có",P4896="Có")),"Có","Không"))</f>
        <v/>
      </c>
      <c r="R4896" s="22">
        <f>IF($D4896="","",IF(COUNTIF($D$2:$D4896,$D4896)&gt;1,"Trùng",""))</f>
        <v/>
      </c>
      <c r="S4896" s="22">
        <f>IF($D4896="","",IF(AND(LEN($D4896)=10,LEFT($D4896,1)="0",ISNUMBER(--$D4896)),"Có","Không"))</f>
        <v/>
      </c>
      <c r="T4896" s="22">
        <f>IF($D4896="","",IF(AND($C4896&lt;&gt;"",$Q4896="Có",$R4896="",$S4896="Có",AND($L4896&lt;&gt;"",OR($L4896&lt;&gt;"Chưa xác định",DANH_MUC!$L$9="Có"))),"Có","Không"))</f>
        <v/>
      </c>
      <c r="U4896" s="22">
        <f>IF(OR($D4896="",$T4896="Có"),"",IF($C4896="","Thiếu họ tên; ","")&amp;IF($S4896&lt;&gt;"Có","SĐT sai định dạng; ","")&amp;IF($R4896="Trùng","Trùng SĐT; ","")&amp;IF($Q4896&lt;&gt;"Có","Thiếu đồng ý bắt buộc; ","")&amp;IF($L4896="","Thiếu/sai Mã REF; ",IF(AND($L4896="Chưa xác định",DANH_MUC!$L$9&lt;&gt;"Có"),"Nguồn chưa xác định; ","")))</f>
        <v/>
      </c>
      <c r="V4896" s="22">
        <f>IF(OR($D4896="",$R4896="Trùng"),"",IF(COUNTIF(ORDERS!$C$2:$C$4995,$D4896)&gt;0,"Có","Không"))</f>
        <v/>
      </c>
      <c r="W4896" s="22">
        <f>IF(OR($D4896="",$R4896="Trùng"),"",COUNTIFS(ORDERS!$C$2:$C$4995,$D4896,ORDERS!$L$2:$L$4995,"Đã chuyển khoản"))</f>
        <v/>
      </c>
      <c r="X4896" s="23">
        <f>IF(OR($D4896="",$R4896="Trùng"),"",SUMIFS(ORDERS!$J$2:$J$4995,ORDERS!$C$2:$C$4995,$D4896,ORDERS!$L$2:$L$4995,"Đã chuyển khoản"))</f>
        <v/>
      </c>
      <c r="Y4896" s="24" t="n"/>
    </row>
    <row r="4897" ht="14.25" customHeight="1" s="40">
      <c r="A4897" s="24" t="n"/>
      <c r="B4897" s="27" t="n"/>
      <c r="C4897" s="24" t="n"/>
      <c r="D4897" s="28" t="n"/>
      <c r="E4897" s="29" t="n"/>
      <c r="F4897" s="24" t="n"/>
      <c r="G4897" s="24" t="n"/>
      <c r="H4897" s="21">
        <f>IF(ISNUMBER($B4897),INT($B4897)-WEEKDAY($B4897,2)+1,"")</f>
        <v/>
      </c>
      <c r="I4897" s="24" t="n"/>
      <c r="J4897" s="22">
        <f t="array" ref="J4897">IF($D4897="","",IF($I4897="","(trống REF)",IFERROR(INDEX(MASTER_SOURCE!$B$2:$B$495,MATCH($I4897,MASTER_SOURCE!$A$2:$A$495,0)),"(REF không có trong MASTER_SOURCE)")))</f>
        <v/>
      </c>
      <c r="K4897" s="22">
        <f t="array" ref="K4897">IF($D4897="","",IFERROR(INDEX(MASTER_SOURCE!$C$2:$C$495,MATCH($I4897,MASTER_SOURCE!$A$2:$A$495,0)),""))</f>
        <v/>
      </c>
      <c r="L4897" s="22">
        <f t="array" ref="L4897">IF($D4897="","",IFERROR(INDEX(MASTER_SOURCE!$D$2:$D$495,MATCH($I4897,MASTER_SOURCE!$A$2:$A$495,0)),""))</f>
        <v/>
      </c>
      <c r="M4897" s="24" t="n"/>
      <c r="N4897" s="24" t="n"/>
      <c r="O4897" s="24" t="n"/>
      <c r="P4897" s="24" t="n"/>
      <c r="Q4897" s="22">
        <f>IF($D4897="","",IF(AND(OR(DANH_MUC!$L$5&lt;&gt;"Có",M4897="Có"),OR(DANH_MUC!$L$6&lt;&gt;"Có",N4897="Có"),OR(DANH_MUC!$L$7&lt;&gt;"Có",O4897="Có"),OR(DANH_MUC!$L$8&lt;&gt;"Có",P4897="Có")),"Có","Không"))</f>
        <v/>
      </c>
      <c r="R4897" s="22">
        <f>IF($D4897="","",IF(COUNTIF($D$2:$D4897,$D4897)&gt;1,"Trùng",""))</f>
        <v/>
      </c>
      <c r="S4897" s="22">
        <f>IF($D4897="","",IF(AND(LEN($D4897)=10,LEFT($D4897,1)="0",ISNUMBER(--$D4897)),"Có","Không"))</f>
        <v/>
      </c>
      <c r="T4897" s="22">
        <f>IF($D4897="","",IF(AND($C4897&lt;&gt;"",$Q4897="Có",$R4897="",$S4897="Có",AND($L4897&lt;&gt;"",OR($L4897&lt;&gt;"Chưa xác định",DANH_MUC!$L$9="Có"))),"Có","Không"))</f>
        <v/>
      </c>
      <c r="U4897" s="22">
        <f>IF(OR($D4897="",$T4897="Có"),"",IF($C4897="","Thiếu họ tên; ","")&amp;IF($S4897&lt;&gt;"Có","SĐT sai định dạng; ","")&amp;IF($R4897="Trùng","Trùng SĐT; ","")&amp;IF($Q4897&lt;&gt;"Có","Thiếu đồng ý bắt buộc; ","")&amp;IF($L4897="","Thiếu/sai Mã REF; ",IF(AND($L4897="Chưa xác định",DANH_MUC!$L$9&lt;&gt;"Có"),"Nguồn chưa xác định; ","")))</f>
        <v/>
      </c>
      <c r="V4897" s="22">
        <f>IF(OR($D4897="",$R4897="Trùng"),"",IF(COUNTIF(ORDERS!$C$2:$C$4995,$D4897)&gt;0,"Có","Không"))</f>
        <v/>
      </c>
      <c r="W4897" s="22">
        <f>IF(OR($D4897="",$R4897="Trùng"),"",COUNTIFS(ORDERS!$C$2:$C$4995,$D4897,ORDERS!$L$2:$L$4995,"Đã chuyển khoản"))</f>
        <v/>
      </c>
      <c r="X4897" s="23">
        <f>IF(OR($D4897="",$R4897="Trùng"),"",SUMIFS(ORDERS!$J$2:$J$4995,ORDERS!$C$2:$C$4995,$D4897,ORDERS!$L$2:$L$4995,"Đã chuyển khoản"))</f>
        <v/>
      </c>
      <c r="Y4897" s="24" t="n"/>
    </row>
    <row r="4898" ht="14.25" customHeight="1" s="40">
      <c r="A4898" s="24" t="n"/>
      <c r="B4898" s="27" t="n"/>
      <c r="C4898" s="24" t="n"/>
      <c r="D4898" s="28" t="n"/>
      <c r="E4898" s="29" t="n"/>
      <c r="F4898" s="24" t="n"/>
      <c r="G4898" s="24" t="n"/>
      <c r="H4898" s="21">
        <f>IF(ISNUMBER($B4898),INT($B4898)-WEEKDAY($B4898,2)+1,"")</f>
        <v/>
      </c>
      <c r="I4898" s="24" t="n"/>
      <c r="J4898" s="22">
        <f t="array" ref="J4898">IF($D4898="","",IF($I4898="","(trống REF)",IFERROR(INDEX(MASTER_SOURCE!$B$2:$B$495,MATCH($I4898,MASTER_SOURCE!$A$2:$A$495,0)),"(REF không có trong MASTER_SOURCE)")))</f>
        <v/>
      </c>
      <c r="K4898" s="22">
        <f t="array" ref="K4898">IF($D4898="","",IFERROR(INDEX(MASTER_SOURCE!$C$2:$C$495,MATCH($I4898,MASTER_SOURCE!$A$2:$A$495,0)),""))</f>
        <v/>
      </c>
      <c r="L4898" s="22">
        <f t="array" ref="L4898">IF($D4898="","",IFERROR(INDEX(MASTER_SOURCE!$D$2:$D$495,MATCH($I4898,MASTER_SOURCE!$A$2:$A$495,0)),""))</f>
        <v/>
      </c>
      <c r="M4898" s="24" t="n"/>
      <c r="N4898" s="24" t="n"/>
      <c r="O4898" s="24" t="n"/>
      <c r="P4898" s="24" t="n"/>
      <c r="Q4898" s="22">
        <f>IF($D4898="","",IF(AND(OR(DANH_MUC!$L$5&lt;&gt;"Có",M4898="Có"),OR(DANH_MUC!$L$6&lt;&gt;"Có",N4898="Có"),OR(DANH_MUC!$L$7&lt;&gt;"Có",O4898="Có"),OR(DANH_MUC!$L$8&lt;&gt;"Có",P4898="Có")),"Có","Không"))</f>
        <v/>
      </c>
      <c r="R4898" s="22">
        <f>IF($D4898="","",IF(COUNTIF($D$2:$D4898,$D4898)&gt;1,"Trùng",""))</f>
        <v/>
      </c>
      <c r="S4898" s="22">
        <f>IF($D4898="","",IF(AND(LEN($D4898)=10,LEFT($D4898,1)="0",ISNUMBER(--$D4898)),"Có","Không"))</f>
        <v/>
      </c>
      <c r="T4898" s="22">
        <f>IF($D4898="","",IF(AND($C4898&lt;&gt;"",$Q4898="Có",$R4898="",$S4898="Có",AND($L4898&lt;&gt;"",OR($L4898&lt;&gt;"Chưa xác định",DANH_MUC!$L$9="Có"))),"Có","Không"))</f>
        <v/>
      </c>
      <c r="U4898" s="22">
        <f>IF(OR($D4898="",$T4898="Có"),"",IF($C4898="","Thiếu họ tên; ","")&amp;IF($S4898&lt;&gt;"Có","SĐT sai định dạng; ","")&amp;IF($R4898="Trùng","Trùng SĐT; ","")&amp;IF($Q4898&lt;&gt;"Có","Thiếu đồng ý bắt buộc; ","")&amp;IF($L4898="","Thiếu/sai Mã REF; ",IF(AND($L4898="Chưa xác định",DANH_MUC!$L$9&lt;&gt;"Có"),"Nguồn chưa xác định; ","")))</f>
        <v/>
      </c>
      <c r="V4898" s="22">
        <f>IF(OR($D4898="",$R4898="Trùng"),"",IF(COUNTIF(ORDERS!$C$2:$C$4995,$D4898)&gt;0,"Có","Không"))</f>
        <v/>
      </c>
      <c r="W4898" s="22">
        <f>IF(OR($D4898="",$R4898="Trùng"),"",COUNTIFS(ORDERS!$C$2:$C$4995,$D4898,ORDERS!$L$2:$L$4995,"Đã chuyển khoản"))</f>
        <v/>
      </c>
      <c r="X4898" s="23">
        <f>IF(OR($D4898="",$R4898="Trùng"),"",SUMIFS(ORDERS!$J$2:$J$4995,ORDERS!$C$2:$C$4995,$D4898,ORDERS!$L$2:$L$4995,"Đã chuyển khoản"))</f>
        <v/>
      </c>
      <c r="Y4898" s="24" t="n"/>
    </row>
    <row r="4899" ht="14.25" customHeight="1" s="40">
      <c r="A4899" s="24" t="n"/>
      <c r="B4899" s="27" t="n"/>
      <c r="C4899" s="24" t="n"/>
      <c r="D4899" s="28" t="n"/>
      <c r="E4899" s="29" t="n"/>
      <c r="F4899" s="24" t="n"/>
      <c r="G4899" s="24" t="n"/>
      <c r="H4899" s="21">
        <f>IF(ISNUMBER($B4899),INT($B4899)-WEEKDAY($B4899,2)+1,"")</f>
        <v/>
      </c>
      <c r="I4899" s="24" t="n"/>
      <c r="J4899" s="22">
        <f t="array" ref="J4899">IF($D4899="","",IF($I4899="","(trống REF)",IFERROR(INDEX(MASTER_SOURCE!$B$2:$B$495,MATCH($I4899,MASTER_SOURCE!$A$2:$A$495,0)),"(REF không có trong MASTER_SOURCE)")))</f>
        <v/>
      </c>
      <c r="K4899" s="22">
        <f t="array" ref="K4899">IF($D4899="","",IFERROR(INDEX(MASTER_SOURCE!$C$2:$C$495,MATCH($I4899,MASTER_SOURCE!$A$2:$A$495,0)),""))</f>
        <v/>
      </c>
      <c r="L4899" s="22">
        <f t="array" ref="L4899">IF($D4899="","",IFERROR(INDEX(MASTER_SOURCE!$D$2:$D$495,MATCH($I4899,MASTER_SOURCE!$A$2:$A$495,0)),""))</f>
        <v/>
      </c>
      <c r="M4899" s="24" t="n"/>
      <c r="N4899" s="24" t="n"/>
      <c r="O4899" s="24" t="n"/>
      <c r="P4899" s="24" t="n"/>
      <c r="Q4899" s="22">
        <f>IF($D4899="","",IF(AND(OR(DANH_MUC!$L$5&lt;&gt;"Có",M4899="Có"),OR(DANH_MUC!$L$6&lt;&gt;"Có",N4899="Có"),OR(DANH_MUC!$L$7&lt;&gt;"Có",O4899="Có"),OR(DANH_MUC!$L$8&lt;&gt;"Có",P4899="Có")),"Có","Không"))</f>
        <v/>
      </c>
      <c r="R4899" s="22">
        <f>IF($D4899="","",IF(COUNTIF($D$2:$D4899,$D4899)&gt;1,"Trùng",""))</f>
        <v/>
      </c>
      <c r="S4899" s="22">
        <f>IF($D4899="","",IF(AND(LEN($D4899)=10,LEFT($D4899,1)="0",ISNUMBER(--$D4899)),"Có","Không"))</f>
        <v/>
      </c>
      <c r="T4899" s="22">
        <f>IF($D4899="","",IF(AND($C4899&lt;&gt;"",$Q4899="Có",$R4899="",$S4899="Có",AND($L4899&lt;&gt;"",OR($L4899&lt;&gt;"Chưa xác định",DANH_MUC!$L$9="Có"))),"Có","Không"))</f>
        <v/>
      </c>
      <c r="U4899" s="22">
        <f>IF(OR($D4899="",$T4899="Có"),"",IF($C4899="","Thiếu họ tên; ","")&amp;IF($S4899&lt;&gt;"Có","SĐT sai định dạng; ","")&amp;IF($R4899="Trùng","Trùng SĐT; ","")&amp;IF($Q4899&lt;&gt;"Có","Thiếu đồng ý bắt buộc; ","")&amp;IF($L4899="","Thiếu/sai Mã REF; ",IF(AND($L4899="Chưa xác định",DANH_MUC!$L$9&lt;&gt;"Có"),"Nguồn chưa xác định; ","")))</f>
        <v/>
      </c>
      <c r="V4899" s="22">
        <f>IF(OR($D4899="",$R4899="Trùng"),"",IF(COUNTIF(ORDERS!$C$2:$C$4995,$D4899)&gt;0,"Có","Không"))</f>
        <v/>
      </c>
      <c r="W4899" s="22">
        <f>IF(OR($D4899="",$R4899="Trùng"),"",COUNTIFS(ORDERS!$C$2:$C$4995,$D4899,ORDERS!$L$2:$L$4995,"Đã chuyển khoản"))</f>
        <v/>
      </c>
      <c r="X4899" s="23">
        <f>IF(OR($D4899="",$R4899="Trùng"),"",SUMIFS(ORDERS!$J$2:$J$4995,ORDERS!$C$2:$C$4995,$D4899,ORDERS!$L$2:$L$4995,"Đã chuyển khoản"))</f>
        <v/>
      </c>
      <c r="Y4899" s="24" t="n"/>
    </row>
    <row r="4900" ht="14.25" customHeight="1" s="40">
      <c r="A4900" s="24" t="n"/>
      <c r="B4900" s="27" t="n"/>
      <c r="C4900" s="24" t="n"/>
      <c r="D4900" s="28" t="n"/>
      <c r="E4900" s="29" t="n"/>
      <c r="F4900" s="24" t="n"/>
      <c r="G4900" s="24" t="n"/>
      <c r="H4900" s="21">
        <f>IF(ISNUMBER($B4900),INT($B4900)-WEEKDAY($B4900,2)+1,"")</f>
        <v/>
      </c>
      <c r="I4900" s="24" t="n"/>
      <c r="J4900" s="22">
        <f t="array" ref="J4900">IF($D4900="","",IF($I4900="","(trống REF)",IFERROR(INDEX(MASTER_SOURCE!$B$2:$B$495,MATCH($I4900,MASTER_SOURCE!$A$2:$A$495,0)),"(REF không có trong MASTER_SOURCE)")))</f>
        <v/>
      </c>
      <c r="K4900" s="22">
        <f t="array" ref="K4900">IF($D4900="","",IFERROR(INDEX(MASTER_SOURCE!$C$2:$C$495,MATCH($I4900,MASTER_SOURCE!$A$2:$A$495,0)),""))</f>
        <v/>
      </c>
      <c r="L4900" s="22">
        <f t="array" ref="L4900">IF($D4900="","",IFERROR(INDEX(MASTER_SOURCE!$D$2:$D$495,MATCH($I4900,MASTER_SOURCE!$A$2:$A$495,0)),""))</f>
        <v/>
      </c>
      <c r="M4900" s="24" t="n"/>
      <c r="N4900" s="24" t="n"/>
      <c r="O4900" s="24" t="n"/>
      <c r="P4900" s="24" t="n"/>
      <c r="Q4900" s="22">
        <f>IF($D4900="","",IF(AND(OR(DANH_MUC!$L$5&lt;&gt;"Có",M4900="Có"),OR(DANH_MUC!$L$6&lt;&gt;"Có",N4900="Có"),OR(DANH_MUC!$L$7&lt;&gt;"Có",O4900="Có"),OR(DANH_MUC!$L$8&lt;&gt;"Có",P4900="Có")),"Có","Không"))</f>
        <v/>
      </c>
      <c r="R4900" s="22">
        <f>IF($D4900="","",IF(COUNTIF($D$2:$D4900,$D4900)&gt;1,"Trùng",""))</f>
        <v/>
      </c>
      <c r="S4900" s="22">
        <f>IF($D4900="","",IF(AND(LEN($D4900)=10,LEFT($D4900,1)="0",ISNUMBER(--$D4900)),"Có","Không"))</f>
        <v/>
      </c>
      <c r="T4900" s="22">
        <f>IF($D4900="","",IF(AND($C4900&lt;&gt;"",$Q4900="Có",$R4900="",$S4900="Có",AND($L4900&lt;&gt;"",OR($L4900&lt;&gt;"Chưa xác định",DANH_MUC!$L$9="Có"))),"Có","Không"))</f>
        <v/>
      </c>
      <c r="U4900" s="22">
        <f>IF(OR($D4900="",$T4900="Có"),"",IF($C4900="","Thiếu họ tên; ","")&amp;IF($S4900&lt;&gt;"Có","SĐT sai định dạng; ","")&amp;IF($R4900="Trùng","Trùng SĐT; ","")&amp;IF($Q4900&lt;&gt;"Có","Thiếu đồng ý bắt buộc; ","")&amp;IF($L4900="","Thiếu/sai Mã REF; ",IF(AND($L4900="Chưa xác định",DANH_MUC!$L$9&lt;&gt;"Có"),"Nguồn chưa xác định; ","")))</f>
        <v/>
      </c>
      <c r="V4900" s="22">
        <f>IF(OR($D4900="",$R4900="Trùng"),"",IF(COUNTIF(ORDERS!$C$2:$C$4995,$D4900)&gt;0,"Có","Không"))</f>
        <v/>
      </c>
      <c r="W4900" s="22">
        <f>IF(OR($D4900="",$R4900="Trùng"),"",COUNTIFS(ORDERS!$C$2:$C$4995,$D4900,ORDERS!$L$2:$L$4995,"Đã chuyển khoản"))</f>
        <v/>
      </c>
      <c r="X4900" s="23">
        <f>IF(OR($D4900="",$R4900="Trùng"),"",SUMIFS(ORDERS!$J$2:$J$4995,ORDERS!$C$2:$C$4995,$D4900,ORDERS!$L$2:$L$4995,"Đã chuyển khoản"))</f>
        <v/>
      </c>
      <c r="Y4900" s="24" t="n"/>
    </row>
    <row r="4901" ht="14.25" customHeight="1" s="40">
      <c r="A4901" s="24" t="n"/>
      <c r="B4901" s="27" t="n"/>
      <c r="C4901" s="24" t="n"/>
      <c r="D4901" s="28" t="n"/>
      <c r="E4901" s="29" t="n"/>
      <c r="F4901" s="24" t="n"/>
      <c r="G4901" s="24" t="n"/>
      <c r="H4901" s="21">
        <f>IF(ISNUMBER($B4901),INT($B4901)-WEEKDAY($B4901,2)+1,"")</f>
        <v/>
      </c>
      <c r="I4901" s="24" t="n"/>
      <c r="J4901" s="22">
        <f t="array" ref="J4901">IF($D4901="","",IF($I4901="","(trống REF)",IFERROR(INDEX(MASTER_SOURCE!$B$2:$B$495,MATCH($I4901,MASTER_SOURCE!$A$2:$A$495,0)),"(REF không có trong MASTER_SOURCE)")))</f>
        <v/>
      </c>
      <c r="K4901" s="22">
        <f t="array" ref="K4901">IF($D4901="","",IFERROR(INDEX(MASTER_SOURCE!$C$2:$C$495,MATCH($I4901,MASTER_SOURCE!$A$2:$A$495,0)),""))</f>
        <v/>
      </c>
      <c r="L4901" s="22">
        <f t="array" ref="L4901">IF($D4901="","",IFERROR(INDEX(MASTER_SOURCE!$D$2:$D$495,MATCH($I4901,MASTER_SOURCE!$A$2:$A$495,0)),""))</f>
        <v/>
      </c>
      <c r="M4901" s="24" t="n"/>
      <c r="N4901" s="24" t="n"/>
      <c r="O4901" s="24" t="n"/>
      <c r="P4901" s="24" t="n"/>
      <c r="Q4901" s="22">
        <f>IF($D4901="","",IF(AND(OR(DANH_MUC!$L$5&lt;&gt;"Có",M4901="Có"),OR(DANH_MUC!$L$6&lt;&gt;"Có",N4901="Có"),OR(DANH_MUC!$L$7&lt;&gt;"Có",O4901="Có"),OR(DANH_MUC!$L$8&lt;&gt;"Có",P4901="Có")),"Có","Không"))</f>
        <v/>
      </c>
      <c r="R4901" s="22">
        <f>IF($D4901="","",IF(COUNTIF($D$2:$D4901,$D4901)&gt;1,"Trùng",""))</f>
        <v/>
      </c>
      <c r="S4901" s="22">
        <f>IF($D4901="","",IF(AND(LEN($D4901)=10,LEFT($D4901,1)="0",ISNUMBER(--$D4901)),"Có","Không"))</f>
        <v/>
      </c>
      <c r="T4901" s="22">
        <f>IF($D4901="","",IF(AND($C4901&lt;&gt;"",$Q4901="Có",$R4901="",$S4901="Có",AND($L4901&lt;&gt;"",OR($L4901&lt;&gt;"Chưa xác định",DANH_MUC!$L$9="Có"))),"Có","Không"))</f>
        <v/>
      </c>
      <c r="U4901" s="22">
        <f>IF(OR($D4901="",$T4901="Có"),"",IF($C4901="","Thiếu họ tên; ","")&amp;IF($S4901&lt;&gt;"Có","SĐT sai định dạng; ","")&amp;IF($R4901="Trùng","Trùng SĐT; ","")&amp;IF($Q4901&lt;&gt;"Có","Thiếu đồng ý bắt buộc; ","")&amp;IF($L4901="","Thiếu/sai Mã REF; ",IF(AND($L4901="Chưa xác định",DANH_MUC!$L$9&lt;&gt;"Có"),"Nguồn chưa xác định; ","")))</f>
        <v/>
      </c>
      <c r="V4901" s="22">
        <f>IF(OR($D4901="",$R4901="Trùng"),"",IF(COUNTIF(ORDERS!$C$2:$C$4995,$D4901)&gt;0,"Có","Không"))</f>
        <v/>
      </c>
      <c r="W4901" s="22">
        <f>IF(OR($D4901="",$R4901="Trùng"),"",COUNTIFS(ORDERS!$C$2:$C$4995,$D4901,ORDERS!$L$2:$L$4995,"Đã chuyển khoản"))</f>
        <v/>
      </c>
      <c r="X4901" s="23">
        <f>IF(OR($D4901="",$R4901="Trùng"),"",SUMIFS(ORDERS!$J$2:$J$4995,ORDERS!$C$2:$C$4995,$D4901,ORDERS!$L$2:$L$4995,"Đã chuyển khoản"))</f>
        <v/>
      </c>
      <c r="Y4901" s="24" t="n"/>
    </row>
    <row r="4902" ht="14.25" customHeight="1" s="40">
      <c r="A4902" s="24" t="n"/>
      <c r="B4902" s="27" t="n"/>
      <c r="C4902" s="24" t="n"/>
      <c r="D4902" s="28" t="n"/>
      <c r="E4902" s="29" t="n"/>
      <c r="F4902" s="24" t="n"/>
      <c r="G4902" s="24" t="n"/>
      <c r="H4902" s="21">
        <f>IF(ISNUMBER($B4902),INT($B4902)-WEEKDAY($B4902,2)+1,"")</f>
        <v/>
      </c>
      <c r="I4902" s="24" t="n"/>
      <c r="J4902" s="22">
        <f t="array" ref="J4902">IF($D4902="","",IF($I4902="","(trống REF)",IFERROR(INDEX(MASTER_SOURCE!$B$2:$B$495,MATCH($I4902,MASTER_SOURCE!$A$2:$A$495,0)),"(REF không có trong MASTER_SOURCE)")))</f>
        <v/>
      </c>
      <c r="K4902" s="22">
        <f t="array" ref="K4902">IF($D4902="","",IFERROR(INDEX(MASTER_SOURCE!$C$2:$C$495,MATCH($I4902,MASTER_SOURCE!$A$2:$A$495,0)),""))</f>
        <v/>
      </c>
      <c r="L4902" s="22">
        <f t="array" ref="L4902">IF($D4902="","",IFERROR(INDEX(MASTER_SOURCE!$D$2:$D$495,MATCH($I4902,MASTER_SOURCE!$A$2:$A$495,0)),""))</f>
        <v/>
      </c>
      <c r="M4902" s="24" t="n"/>
      <c r="N4902" s="24" t="n"/>
      <c r="O4902" s="24" t="n"/>
      <c r="P4902" s="24" t="n"/>
      <c r="Q4902" s="22">
        <f>IF($D4902="","",IF(AND(OR(DANH_MUC!$L$5&lt;&gt;"Có",M4902="Có"),OR(DANH_MUC!$L$6&lt;&gt;"Có",N4902="Có"),OR(DANH_MUC!$L$7&lt;&gt;"Có",O4902="Có"),OR(DANH_MUC!$L$8&lt;&gt;"Có",P4902="Có")),"Có","Không"))</f>
        <v/>
      </c>
      <c r="R4902" s="22">
        <f>IF($D4902="","",IF(COUNTIF($D$2:$D4902,$D4902)&gt;1,"Trùng",""))</f>
        <v/>
      </c>
      <c r="S4902" s="22">
        <f>IF($D4902="","",IF(AND(LEN($D4902)=10,LEFT($D4902,1)="0",ISNUMBER(--$D4902)),"Có","Không"))</f>
        <v/>
      </c>
      <c r="T4902" s="22">
        <f>IF($D4902="","",IF(AND($C4902&lt;&gt;"",$Q4902="Có",$R4902="",$S4902="Có",AND($L4902&lt;&gt;"",OR($L4902&lt;&gt;"Chưa xác định",DANH_MUC!$L$9="Có"))),"Có","Không"))</f>
        <v/>
      </c>
      <c r="U4902" s="22">
        <f>IF(OR($D4902="",$T4902="Có"),"",IF($C4902="","Thiếu họ tên; ","")&amp;IF($S4902&lt;&gt;"Có","SĐT sai định dạng; ","")&amp;IF($R4902="Trùng","Trùng SĐT; ","")&amp;IF($Q4902&lt;&gt;"Có","Thiếu đồng ý bắt buộc; ","")&amp;IF($L4902="","Thiếu/sai Mã REF; ",IF(AND($L4902="Chưa xác định",DANH_MUC!$L$9&lt;&gt;"Có"),"Nguồn chưa xác định; ","")))</f>
        <v/>
      </c>
      <c r="V4902" s="22">
        <f>IF(OR($D4902="",$R4902="Trùng"),"",IF(COUNTIF(ORDERS!$C$2:$C$4995,$D4902)&gt;0,"Có","Không"))</f>
        <v/>
      </c>
      <c r="W4902" s="22">
        <f>IF(OR($D4902="",$R4902="Trùng"),"",COUNTIFS(ORDERS!$C$2:$C$4995,$D4902,ORDERS!$L$2:$L$4995,"Đã chuyển khoản"))</f>
        <v/>
      </c>
      <c r="X4902" s="23">
        <f>IF(OR($D4902="",$R4902="Trùng"),"",SUMIFS(ORDERS!$J$2:$J$4995,ORDERS!$C$2:$C$4995,$D4902,ORDERS!$L$2:$L$4995,"Đã chuyển khoản"))</f>
        <v/>
      </c>
      <c r="Y4902" s="24" t="n"/>
    </row>
    <row r="4903" ht="14.25" customHeight="1" s="40">
      <c r="A4903" s="24" t="n"/>
      <c r="B4903" s="27" t="n"/>
      <c r="C4903" s="24" t="n"/>
      <c r="D4903" s="28" t="n"/>
      <c r="E4903" s="29" t="n"/>
      <c r="F4903" s="24" t="n"/>
      <c r="G4903" s="24" t="n"/>
      <c r="H4903" s="21">
        <f>IF(ISNUMBER($B4903),INT($B4903)-WEEKDAY($B4903,2)+1,"")</f>
        <v/>
      </c>
      <c r="I4903" s="24" t="n"/>
      <c r="J4903" s="22">
        <f t="array" ref="J4903">IF($D4903="","",IF($I4903="","(trống REF)",IFERROR(INDEX(MASTER_SOURCE!$B$2:$B$495,MATCH($I4903,MASTER_SOURCE!$A$2:$A$495,0)),"(REF không có trong MASTER_SOURCE)")))</f>
        <v/>
      </c>
      <c r="K4903" s="22">
        <f t="array" ref="K4903">IF($D4903="","",IFERROR(INDEX(MASTER_SOURCE!$C$2:$C$495,MATCH($I4903,MASTER_SOURCE!$A$2:$A$495,0)),""))</f>
        <v/>
      </c>
      <c r="L4903" s="22">
        <f t="array" ref="L4903">IF($D4903="","",IFERROR(INDEX(MASTER_SOURCE!$D$2:$D$495,MATCH($I4903,MASTER_SOURCE!$A$2:$A$495,0)),""))</f>
        <v/>
      </c>
      <c r="M4903" s="24" t="n"/>
      <c r="N4903" s="24" t="n"/>
      <c r="O4903" s="24" t="n"/>
      <c r="P4903" s="24" t="n"/>
      <c r="Q4903" s="22">
        <f>IF($D4903="","",IF(AND(OR(DANH_MUC!$L$5&lt;&gt;"Có",M4903="Có"),OR(DANH_MUC!$L$6&lt;&gt;"Có",N4903="Có"),OR(DANH_MUC!$L$7&lt;&gt;"Có",O4903="Có"),OR(DANH_MUC!$L$8&lt;&gt;"Có",P4903="Có")),"Có","Không"))</f>
        <v/>
      </c>
      <c r="R4903" s="22">
        <f>IF($D4903="","",IF(COUNTIF($D$2:$D4903,$D4903)&gt;1,"Trùng",""))</f>
        <v/>
      </c>
      <c r="S4903" s="22">
        <f>IF($D4903="","",IF(AND(LEN($D4903)=10,LEFT($D4903,1)="0",ISNUMBER(--$D4903)),"Có","Không"))</f>
        <v/>
      </c>
      <c r="T4903" s="22">
        <f>IF($D4903="","",IF(AND($C4903&lt;&gt;"",$Q4903="Có",$R4903="",$S4903="Có",AND($L4903&lt;&gt;"",OR($L4903&lt;&gt;"Chưa xác định",DANH_MUC!$L$9="Có"))),"Có","Không"))</f>
        <v/>
      </c>
      <c r="U4903" s="22">
        <f>IF(OR($D4903="",$T4903="Có"),"",IF($C4903="","Thiếu họ tên; ","")&amp;IF($S4903&lt;&gt;"Có","SĐT sai định dạng; ","")&amp;IF($R4903="Trùng","Trùng SĐT; ","")&amp;IF($Q4903&lt;&gt;"Có","Thiếu đồng ý bắt buộc; ","")&amp;IF($L4903="","Thiếu/sai Mã REF; ",IF(AND($L4903="Chưa xác định",DANH_MUC!$L$9&lt;&gt;"Có"),"Nguồn chưa xác định; ","")))</f>
        <v/>
      </c>
      <c r="V4903" s="22">
        <f>IF(OR($D4903="",$R4903="Trùng"),"",IF(COUNTIF(ORDERS!$C$2:$C$4995,$D4903)&gt;0,"Có","Không"))</f>
        <v/>
      </c>
      <c r="W4903" s="22">
        <f>IF(OR($D4903="",$R4903="Trùng"),"",COUNTIFS(ORDERS!$C$2:$C$4995,$D4903,ORDERS!$L$2:$L$4995,"Đã chuyển khoản"))</f>
        <v/>
      </c>
      <c r="X4903" s="23">
        <f>IF(OR($D4903="",$R4903="Trùng"),"",SUMIFS(ORDERS!$J$2:$J$4995,ORDERS!$C$2:$C$4995,$D4903,ORDERS!$L$2:$L$4995,"Đã chuyển khoản"))</f>
        <v/>
      </c>
      <c r="Y4903" s="24" t="n"/>
    </row>
    <row r="4904" ht="14.25" customHeight="1" s="40">
      <c r="A4904" s="24" t="n"/>
      <c r="B4904" s="27" t="n"/>
      <c r="C4904" s="24" t="n"/>
      <c r="D4904" s="28" t="n"/>
      <c r="E4904" s="29" t="n"/>
      <c r="F4904" s="24" t="n"/>
      <c r="G4904" s="24" t="n"/>
      <c r="H4904" s="21">
        <f>IF(ISNUMBER($B4904),INT($B4904)-WEEKDAY($B4904,2)+1,"")</f>
        <v/>
      </c>
      <c r="I4904" s="24" t="n"/>
      <c r="J4904" s="22">
        <f t="array" ref="J4904">IF($D4904="","",IF($I4904="","(trống REF)",IFERROR(INDEX(MASTER_SOURCE!$B$2:$B$495,MATCH($I4904,MASTER_SOURCE!$A$2:$A$495,0)),"(REF không có trong MASTER_SOURCE)")))</f>
        <v/>
      </c>
      <c r="K4904" s="22">
        <f t="array" ref="K4904">IF($D4904="","",IFERROR(INDEX(MASTER_SOURCE!$C$2:$C$495,MATCH($I4904,MASTER_SOURCE!$A$2:$A$495,0)),""))</f>
        <v/>
      </c>
      <c r="L4904" s="22">
        <f t="array" ref="L4904">IF($D4904="","",IFERROR(INDEX(MASTER_SOURCE!$D$2:$D$495,MATCH($I4904,MASTER_SOURCE!$A$2:$A$495,0)),""))</f>
        <v/>
      </c>
      <c r="M4904" s="24" t="n"/>
      <c r="N4904" s="24" t="n"/>
      <c r="O4904" s="24" t="n"/>
      <c r="P4904" s="24" t="n"/>
      <c r="Q4904" s="22">
        <f>IF($D4904="","",IF(AND(OR(DANH_MUC!$L$5&lt;&gt;"Có",M4904="Có"),OR(DANH_MUC!$L$6&lt;&gt;"Có",N4904="Có"),OR(DANH_MUC!$L$7&lt;&gt;"Có",O4904="Có"),OR(DANH_MUC!$L$8&lt;&gt;"Có",P4904="Có")),"Có","Không"))</f>
        <v/>
      </c>
      <c r="R4904" s="22">
        <f>IF($D4904="","",IF(COUNTIF($D$2:$D4904,$D4904)&gt;1,"Trùng",""))</f>
        <v/>
      </c>
      <c r="S4904" s="22">
        <f>IF($D4904="","",IF(AND(LEN($D4904)=10,LEFT($D4904,1)="0",ISNUMBER(--$D4904)),"Có","Không"))</f>
        <v/>
      </c>
      <c r="T4904" s="22">
        <f>IF($D4904="","",IF(AND($C4904&lt;&gt;"",$Q4904="Có",$R4904="",$S4904="Có",AND($L4904&lt;&gt;"",OR($L4904&lt;&gt;"Chưa xác định",DANH_MUC!$L$9="Có"))),"Có","Không"))</f>
        <v/>
      </c>
      <c r="U4904" s="22">
        <f>IF(OR($D4904="",$T4904="Có"),"",IF($C4904="","Thiếu họ tên; ","")&amp;IF($S4904&lt;&gt;"Có","SĐT sai định dạng; ","")&amp;IF($R4904="Trùng","Trùng SĐT; ","")&amp;IF($Q4904&lt;&gt;"Có","Thiếu đồng ý bắt buộc; ","")&amp;IF($L4904="","Thiếu/sai Mã REF; ",IF(AND($L4904="Chưa xác định",DANH_MUC!$L$9&lt;&gt;"Có"),"Nguồn chưa xác định; ","")))</f>
        <v/>
      </c>
      <c r="V4904" s="22">
        <f>IF(OR($D4904="",$R4904="Trùng"),"",IF(COUNTIF(ORDERS!$C$2:$C$4995,$D4904)&gt;0,"Có","Không"))</f>
        <v/>
      </c>
      <c r="W4904" s="22">
        <f>IF(OR($D4904="",$R4904="Trùng"),"",COUNTIFS(ORDERS!$C$2:$C$4995,$D4904,ORDERS!$L$2:$L$4995,"Đã chuyển khoản"))</f>
        <v/>
      </c>
      <c r="X4904" s="23">
        <f>IF(OR($D4904="",$R4904="Trùng"),"",SUMIFS(ORDERS!$J$2:$J$4995,ORDERS!$C$2:$C$4995,$D4904,ORDERS!$L$2:$L$4995,"Đã chuyển khoản"))</f>
        <v/>
      </c>
      <c r="Y4904" s="24" t="n"/>
    </row>
    <row r="4905" ht="14.25" customHeight="1" s="40">
      <c r="A4905" s="24" t="n"/>
      <c r="B4905" s="27" t="n"/>
      <c r="C4905" s="24" t="n"/>
      <c r="D4905" s="28" t="n"/>
      <c r="E4905" s="29" t="n"/>
      <c r="F4905" s="24" t="n"/>
      <c r="G4905" s="24" t="n"/>
      <c r="H4905" s="21">
        <f>IF(ISNUMBER($B4905),INT($B4905)-WEEKDAY($B4905,2)+1,"")</f>
        <v/>
      </c>
      <c r="I4905" s="24" t="n"/>
      <c r="J4905" s="22">
        <f t="array" ref="J4905">IF($D4905="","",IF($I4905="","(trống REF)",IFERROR(INDEX(MASTER_SOURCE!$B$2:$B$495,MATCH($I4905,MASTER_SOURCE!$A$2:$A$495,0)),"(REF không có trong MASTER_SOURCE)")))</f>
        <v/>
      </c>
      <c r="K4905" s="22">
        <f t="array" ref="K4905">IF($D4905="","",IFERROR(INDEX(MASTER_SOURCE!$C$2:$C$495,MATCH($I4905,MASTER_SOURCE!$A$2:$A$495,0)),""))</f>
        <v/>
      </c>
      <c r="L4905" s="22">
        <f t="array" ref="L4905">IF($D4905="","",IFERROR(INDEX(MASTER_SOURCE!$D$2:$D$495,MATCH($I4905,MASTER_SOURCE!$A$2:$A$495,0)),""))</f>
        <v/>
      </c>
      <c r="M4905" s="24" t="n"/>
      <c r="N4905" s="24" t="n"/>
      <c r="O4905" s="24" t="n"/>
      <c r="P4905" s="24" t="n"/>
      <c r="Q4905" s="22">
        <f>IF($D4905="","",IF(AND(OR(DANH_MUC!$L$5&lt;&gt;"Có",M4905="Có"),OR(DANH_MUC!$L$6&lt;&gt;"Có",N4905="Có"),OR(DANH_MUC!$L$7&lt;&gt;"Có",O4905="Có"),OR(DANH_MUC!$L$8&lt;&gt;"Có",P4905="Có")),"Có","Không"))</f>
        <v/>
      </c>
      <c r="R4905" s="22">
        <f>IF($D4905="","",IF(COUNTIF($D$2:$D4905,$D4905)&gt;1,"Trùng",""))</f>
        <v/>
      </c>
      <c r="S4905" s="22">
        <f>IF($D4905="","",IF(AND(LEN($D4905)=10,LEFT($D4905,1)="0",ISNUMBER(--$D4905)),"Có","Không"))</f>
        <v/>
      </c>
      <c r="T4905" s="22">
        <f>IF($D4905="","",IF(AND($C4905&lt;&gt;"",$Q4905="Có",$R4905="",$S4905="Có",AND($L4905&lt;&gt;"",OR($L4905&lt;&gt;"Chưa xác định",DANH_MUC!$L$9="Có"))),"Có","Không"))</f>
        <v/>
      </c>
      <c r="U4905" s="22">
        <f>IF(OR($D4905="",$T4905="Có"),"",IF($C4905="","Thiếu họ tên; ","")&amp;IF($S4905&lt;&gt;"Có","SĐT sai định dạng; ","")&amp;IF($R4905="Trùng","Trùng SĐT; ","")&amp;IF($Q4905&lt;&gt;"Có","Thiếu đồng ý bắt buộc; ","")&amp;IF($L4905="","Thiếu/sai Mã REF; ",IF(AND($L4905="Chưa xác định",DANH_MUC!$L$9&lt;&gt;"Có"),"Nguồn chưa xác định; ","")))</f>
        <v/>
      </c>
      <c r="V4905" s="22">
        <f>IF(OR($D4905="",$R4905="Trùng"),"",IF(COUNTIF(ORDERS!$C$2:$C$4995,$D4905)&gt;0,"Có","Không"))</f>
        <v/>
      </c>
      <c r="W4905" s="22">
        <f>IF(OR($D4905="",$R4905="Trùng"),"",COUNTIFS(ORDERS!$C$2:$C$4995,$D4905,ORDERS!$L$2:$L$4995,"Đã chuyển khoản"))</f>
        <v/>
      </c>
      <c r="X4905" s="23">
        <f>IF(OR($D4905="",$R4905="Trùng"),"",SUMIFS(ORDERS!$J$2:$J$4995,ORDERS!$C$2:$C$4995,$D4905,ORDERS!$L$2:$L$4995,"Đã chuyển khoản"))</f>
        <v/>
      </c>
      <c r="Y4905" s="24" t="n"/>
    </row>
    <row r="4906" ht="14.25" customHeight="1" s="40">
      <c r="A4906" s="24" t="n"/>
      <c r="B4906" s="27" t="n"/>
      <c r="C4906" s="24" t="n"/>
      <c r="D4906" s="28" t="n"/>
      <c r="E4906" s="29" t="n"/>
      <c r="F4906" s="24" t="n"/>
      <c r="G4906" s="24" t="n"/>
      <c r="H4906" s="21">
        <f>IF(ISNUMBER($B4906),INT($B4906)-WEEKDAY($B4906,2)+1,"")</f>
        <v/>
      </c>
      <c r="I4906" s="24" t="n"/>
      <c r="J4906" s="22">
        <f t="array" ref="J4906">IF($D4906="","",IF($I4906="","(trống REF)",IFERROR(INDEX(MASTER_SOURCE!$B$2:$B$495,MATCH($I4906,MASTER_SOURCE!$A$2:$A$495,0)),"(REF không có trong MASTER_SOURCE)")))</f>
        <v/>
      </c>
      <c r="K4906" s="22">
        <f t="array" ref="K4906">IF($D4906="","",IFERROR(INDEX(MASTER_SOURCE!$C$2:$C$495,MATCH($I4906,MASTER_SOURCE!$A$2:$A$495,0)),""))</f>
        <v/>
      </c>
      <c r="L4906" s="22">
        <f t="array" ref="L4906">IF($D4906="","",IFERROR(INDEX(MASTER_SOURCE!$D$2:$D$495,MATCH($I4906,MASTER_SOURCE!$A$2:$A$495,0)),""))</f>
        <v/>
      </c>
      <c r="M4906" s="24" t="n"/>
      <c r="N4906" s="24" t="n"/>
      <c r="O4906" s="24" t="n"/>
      <c r="P4906" s="24" t="n"/>
      <c r="Q4906" s="22">
        <f>IF($D4906="","",IF(AND(OR(DANH_MUC!$L$5&lt;&gt;"Có",M4906="Có"),OR(DANH_MUC!$L$6&lt;&gt;"Có",N4906="Có"),OR(DANH_MUC!$L$7&lt;&gt;"Có",O4906="Có"),OR(DANH_MUC!$L$8&lt;&gt;"Có",P4906="Có")),"Có","Không"))</f>
        <v/>
      </c>
      <c r="R4906" s="22">
        <f>IF($D4906="","",IF(COUNTIF($D$2:$D4906,$D4906)&gt;1,"Trùng",""))</f>
        <v/>
      </c>
      <c r="S4906" s="22">
        <f>IF($D4906="","",IF(AND(LEN($D4906)=10,LEFT($D4906,1)="0",ISNUMBER(--$D4906)),"Có","Không"))</f>
        <v/>
      </c>
      <c r="T4906" s="22">
        <f>IF($D4906="","",IF(AND($C4906&lt;&gt;"",$Q4906="Có",$R4906="",$S4906="Có",AND($L4906&lt;&gt;"",OR($L4906&lt;&gt;"Chưa xác định",DANH_MUC!$L$9="Có"))),"Có","Không"))</f>
        <v/>
      </c>
      <c r="U4906" s="22">
        <f>IF(OR($D4906="",$T4906="Có"),"",IF($C4906="","Thiếu họ tên; ","")&amp;IF($S4906&lt;&gt;"Có","SĐT sai định dạng; ","")&amp;IF($R4906="Trùng","Trùng SĐT; ","")&amp;IF($Q4906&lt;&gt;"Có","Thiếu đồng ý bắt buộc; ","")&amp;IF($L4906="","Thiếu/sai Mã REF; ",IF(AND($L4906="Chưa xác định",DANH_MUC!$L$9&lt;&gt;"Có"),"Nguồn chưa xác định; ","")))</f>
        <v/>
      </c>
      <c r="V4906" s="22">
        <f>IF(OR($D4906="",$R4906="Trùng"),"",IF(COUNTIF(ORDERS!$C$2:$C$4995,$D4906)&gt;0,"Có","Không"))</f>
        <v/>
      </c>
      <c r="W4906" s="22">
        <f>IF(OR($D4906="",$R4906="Trùng"),"",COUNTIFS(ORDERS!$C$2:$C$4995,$D4906,ORDERS!$L$2:$L$4995,"Đã chuyển khoản"))</f>
        <v/>
      </c>
      <c r="X4906" s="23">
        <f>IF(OR($D4906="",$R4906="Trùng"),"",SUMIFS(ORDERS!$J$2:$J$4995,ORDERS!$C$2:$C$4995,$D4906,ORDERS!$L$2:$L$4995,"Đã chuyển khoản"))</f>
        <v/>
      </c>
      <c r="Y4906" s="24" t="n"/>
    </row>
    <row r="4907" ht="14.25" customHeight="1" s="40">
      <c r="A4907" s="24" t="n"/>
      <c r="B4907" s="27" t="n"/>
      <c r="C4907" s="24" t="n"/>
      <c r="D4907" s="28" t="n"/>
      <c r="E4907" s="29" t="n"/>
      <c r="F4907" s="24" t="n"/>
      <c r="G4907" s="24" t="n"/>
      <c r="H4907" s="21">
        <f>IF(ISNUMBER($B4907),INT($B4907)-WEEKDAY($B4907,2)+1,"")</f>
        <v/>
      </c>
      <c r="I4907" s="24" t="n"/>
      <c r="J4907" s="22">
        <f t="array" ref="J4907">IF($D4907="","",IF($I4907="","(trống REF)",IFERROR(INDEX(MASTER_SOURCE!$B$2:$B$495,MATCH($I4907,MASTER_SOURCE!$A$2:$A$495,0)),"(REF không có trong MASTER_SOURCE)")))</f>
        <v/>
      </c>
      <c r="K4907" s="22">
        <f t="array" ref="K4907">IF($D4907="","",IFERROR(INDEX(MASTER_SOURCE!$C$2:$C$495,MATCH($I4907,MASTER_SOURCE!$A$2:$A$495,0)),""))</f>
        <v/>
      </c>
      <c r="L4907" s="22">
        <f t="array" ref="L4907">IF($D4907="","",IFERROR(INDEX(MASTER_SOURCE!$D$2:$D$495,MATCH($I4907,MASTER_SOURCE!$A$2:$A$495,0)),""))</f>
        <v/>
      </c>
      <c r="M4907" s="24" t="n"/>
      <c r="N4907" s="24" t="n"/>
      <c r="O4907" s="24" t="n"/>
      <c r="P4907" s="24" t="n"/>
      <c r="Q4907" s="22">
        <f>IF($D4907="","",IF(AND(OR(DANH_MUC!$L$5&lt;&gt;"Có",M4907="Có"),OR(DANH_MUC!$L$6&lt;&gt;"Có",N4907="Có"),OR(DANH_MUC!$L$7&lt;&gt;"Có",O4907="Có"),OR(DANH_MUC!$L$8&lt;&gt;"Có",P4907="Có")),"Có","Không"))</f>
        <v/>
      </c>
      <c r="R4907" s="22">
        <f>IF($D4907="","",IF(COUNTIF($D$2:$D4907,$D4907)&gt;1,"Trùng",""))</f>
        <v/>
      </c>
      <c r="S4907" s="22">
        <f>IF($D4907="","",IF(AND(LEN($D4907)=10,LEFT($D4907,1)="0",ISNUMBER(--$D4907)),"Có","Không"))</f>
        <v/>
      </c>
      <c r="T4907" s="22">
        <f>IF($D4907="","",IF(AND($C4907&lt;&gt;"",$Q4907="Có",$R4907="",$S4907="Có",AND($L4907&lt;&gt;"",OR($L4907&lt;&gt;"Chưa xác định",DANH_MUC!$L$9="Có"))),"Có","Không"))</f>
        <v/>
      </c>
      <c r="U4907" s="22">
        <f>IF(OR($D4907="",$T4907="Có"),"",IF($C4907="","Thiếu họ tên; ","")&amp;IF($S4907&lt;&gt;"Có","SĐT sai định dạng; ","")&amp;IF($R4907="Trùng","Trùng SĐT; ","")&amp;IF($Q4907&lt;&gt;"Có","Thiếu đồng ý bắt buộc; ","")&amp;IF($L4907="","Thiếu/sai Mã REF; ",IF(AND($L4907="Chưa xác định",DANH_MUC!$L$9&lt;&gt;"Có"),"Nguồn chưa xác định; ","")))</f>
        <v/>
      </c>
      <c r="V4907" s="22">
        <f>IF(OR($D4907="",$R4907="Trùng"),"",IF(COUNTIF(ORDERS!$C$2:$C$4995,$D4907)&gt;0,"Có","Không"))</f>
        <v/>
      </c>
      <c r="W4907" s="22">
        <f>IF(OR($D4907="",$R4907="Trùng"),"",COUNTIFS(ORDERS!$C$2:$C$4995,$D4907,ORDERS!$L$2:$L$4995,"Đã chuyển khoản"))</f>
        <v/>
      </c>
      <c r="X4907" s="23">
        <f>IF(OR($D4907="",$R4907="Trùng"),"",SUMIFS(ORDERS!$J$2:$J$4995,ORDERS!$C$2:$C$4995,$D4907,ORDERS!$L$2:$L$4995,"Đã chuyển khoản"))</f>
        <v/>
      </c>
      <c r="Y4907" s="24" t="n"/>
    </row>
    <row r="4908" ht="14.25" customHeight="1" s="40">
      <c r="A4908" s="24" t="n"/>
      <c r="B4908" s="27" t="n"/>
      <c r="C4908" s="24" t="n"/>
      <c r="D4908" s="28" t="n"/>
      <c r="E4908" s="29" t="n"/>
      <c r="F4908" s="24" t="n"/>
      <c r="G4908" s="24" t="n"/>
      <c r="H4908" s="21">
        <f>IF(ISNUMBER($B4908),INT($B4908)-WEEKDAY($B4908,2)+1,"")</f>
        <v/>
      </c>
      <c r="I4908" s="24" t="n"/>
      <c r="J4908" s="22">
        <f t="array" ref="J4908">IF($D4908="","",IF($I4908="","(trống REF)",IFERROR(INDEX(MASTER_SOURCE!$B$2:$B$495,MATCH($I4908,MASTER_SOURCE!$A$2:$A$495,0)),"(REF không có trong MASTER_SOURCE)")))</f>
        <v/>
      </c>
      <c r="K4908" s="22">
        <f t="array" ref="K4908">IF($D4908="","",IFERROR(INDEX(MASTER_SOURCE!$C$2:$C$495,MATCH($I4908,MASTER_SOURCE!$A$2:$A$495,0)),""))</f>
        <v/>
      </c>
      <c r="L4908" s="22">
        <f t="array" ref="L4908">IF($D4908="","",IFERROR(INDEX(MASTER_SOURCE!$D$2:$D$495,MATCH($I4908,MASTER_SOURCE!$A$2:$A$495,0)),""))</f>
        <v/>
      </c>
      <c r="M4908" s="24" t="n"/>
      <c r="N4908" s="24" t="n"/>
      <c r="O4908" s="24" t="n"/>
      <c r="P4908" s="24" t="n"/>
      <c r="Q4908" s="22">
        <f>IF($D4908="","",IF(AND(OR(DANH_MUC!$L$5&lt;&gt;"Có",M4908="Có"),OR(DANH_MUC!$L$6&lt;&gt;"Có",N4908="Có"),OR(DANH_MUC!$L$7&lt;&gt;"Có",O4908="Có"),OR(DANH_MUC!$L$8&lt;&gt;"Có",P4908="Có")),"Có","Không"))</f>
        <v/>
      </c>
      <c r="R4908" s="22">
        <f>IF($D4908="","",IF(COUNTIF($D$2:$D4908,$D4908)&gt;1,"Trùng",""))</f>
        <v/>
      </c>
      <c r="S4908" s="22">
        <f>IF($D4908="","",IF(AND(LEN($D4908)=10,LEFT($D4908,1)="0",ISNUMBER(--$D4908)),"Có","Không"))</f>
        <v/>
      </c>
      <c r="T4908" s="22">
        <f>IF($D4908="","",IF(AND($C4908&lt;&gt;"",$Q4908="Có",$R4908="",$S4908="Có",AND($L4908&lt;&gt;"",OR($L4908&lt;&gt;"Chưa xác định",DANH_MUC!$L$9="Có"))),"Có","Không"))</f>
        <v/>
      </c>
      <c r="U4908" s="22">
        <f>IF(OR($D4908="",$T4908="Có"),"",IF($C4908="","Thiếu họ tên; ","")&amp;IF($S4908&lt;&gt;"Có","SĐT sai định dạng; ","")&amp;IF($R4908="Trùng","Trùng SĐT; ","")&amp;IF($Q4908&lt;&gt;"Có","Thiếu đồng ý bắt buộc; ","")&amp;IF($L4908="","Thiếu/sai Mã REF; ",IF(AND($L4908="Chưa xác định",DANH_MUC!$L$9&lt;&gt;"Có"),"Nguồn chưa xác định; ","")))</f>
        <v/>
      </c>
      <c r="V4908" s="22">
        <f>IF(OR($D4908="",$R4908="Trùng"),"",IF(COUNTIF(ORDERS!$C$2:$C$4995,$D4908)&gt;0,"Có","Không"))</f>
        <v/>
      </c>
      <c r="W4908" s="22">
        <f>IF(OR($D4908="",$R4908="Trùng"),"",COUNTIFS(ORDERS!$C$2:$C$4995,$D4908,ORDERS!$L$2:$L$4995,"Đã chuyển khoản"))</f>
        <v/>
      </c>
      <c r="X4908" s="23">
        <f>IF(OR($D4908="",$R4908="Trùng"),"",SUMIFS(ORDERS!$J$2:$J$4995,ORDERS!$C$2:$C$4995,$D4908,ORDERS!$L$2:$L$4995,"Đã chuyển khoản"))</f>
        <v/>
      </c>
      <c r="Y4908" s="24" t="n"/>
    </row>
    <row r="4909" ht="14.25" customHeight="1" s="40">
      <c r="A4909" s="24" t="n"/>
      <c r="B4909" s="27" t="n"/>
      <c r="C4909" s="24" t="n"/>
      <c r="D4909" s="28" t="n"/>
      <c r="E4909" s="29" t="n"/>
      <c r="F4909" s="24" t="n"/>
      <c r="G4909" s="24" t="n"/>
      <c r="H4909" s="21">
        <f>IF(ISNUMBER($B4909),INT($B4909)-WEEKDAY($B4909,2)+1,"")</f>
        <v/>
      </c>
      <c r="I4909" s="24" t="n"/>
      <c r="J4909" s="22">
        <f t="array" ref="J4909">IF($D4909="","",IF($I4909="","(trống REF)",IFERROR(INDEX(MASTER_SOURCE!$B$2:$B$495,MATCH($I4909,MASTER_SOURCE!$A$2:$A$495,0)),"(REF không có trong MASTER_SOURCE)")))</f>
        <v/>
      </c>
      <c r="K4909" s="22">
        <f t="array" ref="K4909">IF($D4909="","",IFERROR(INDEX(MASTER_SOURCE!$C$2:$C$495,MATCH($I4909,MASTER_SOURCE!$A$2:$A$495,0)),""))</f>
        <v/>
      </c>
      <c r="L4909" s="22">
        <f t="array" ref="L4909">IF($D4909="","",IFERROR(INDEX(MASTER_SOURCE!$D$2:$D$495,MATCH($I4909,MASTER_SOURCE!$A$2:$A$495,0)),""))</f>
        <v/>
      </c>
      <c r="M4909" s="24" t="n"/>
      <c r="N4909" s="24" t="n"/>
      <c r="O4909" s="24" t="n"/>
      <c r="P4909" s="24" t="n"/>
      <c r="Q4909" s="22">
        <f>IF($D4909="","",IF(AND(OR(DANH_MUC!$L$5&lt;&gt;"Có",M4909="Có"),OR(DANH_MUC!$L$6&lt;&gt;"Có",N4909="Có"),OR(DANH_MUC!$L$7&lt;&gt;"Có",O4909="Có"),OR(DANH_MUC!$L$8&lt;&gt;"Có",P4909="Có")),"Có","Không"))</f>
        <v/>
      </c>
      <c r="R4909" s="22">
        <f>IF($D4909="","",IF(COUNTIF($D$2:$D4909,$D4909)&gt;1,"Trùng",""))</f>
        <v/>
      </c>
      <c r="S4909" s="22">
        <f>IF($D4909="","",IF(AND(LEN($D4909)=10,LEFT($D4909,1)="0",ISNUMBER(--$D4909)),"Có","Không"))</f>
        <v/>
      </c>
      <c r="T4909" s="22">
        <f>IF($D4909="","",IF(AND($C4909&lt;&gt;"",$Q4909="Có",$R4909="",$S4909="Có",AND($L4909&lt;&gt;"",OR($L4909&lt;&gt;"Chưa xác định",DANH_MUC!$L$9="Có"))),"Có","Không"))</f>
        <v/>
      </c>
      <c r="U4909" s="22">
        <f>IF(OR($D4909="",$T4909="Có"),"",IF($C4909="","Thiếu họ tên; ","")&amp;IF($S4909&lt;&gt;"Có","SĐT sai định dạng; ","")&amp;IF($R4909="Trùng","Trùng SĐT; ","")&amp;IF($Q4909&lt;&gt;"Có","Thiếu đồng ý bắt buộc; ","")&amp;IF($L4909="","Thiếu/sai Mã REF; ",IF(AND($L4909="Chưa xác định",DANH_MUC!$L$9&lt;&gt;"Có"),"Nguồn chưa xác định; ","")))</f>
        <v/>
      </c>
      <c r="V4909" s="22">
        <f>IF(OR($D4909="",$R4909="Trùng"),"",IF(COUNTIF(ORDERS!$C$2:$C$4995,$D4909)&gt;0,"Có","Không"))</f>
        <v/>
      </c>
      <c r="W4909" s="22">
        <f>IF(OR($D4909="",$R4909="Trùng"),"",COUNTIFS(ORDERS!$C$2:$C$4995,$D4909,ORDERS!$L$2:$L$4995,"Đã chuyển khoản"))</f>
        <v/>
      </c>
      <c r="X4909" s="23">
        <f>IF(OR($D4909="",$R4909="Trùng"),"",SUMIFS(ORDERS!$J$2:$J$4995,ORDERS!$C$2:$C$4995,$D4909,ORDERS!$L$2:$L$4995,"Đã chuyển khoản"))</f>
        <v/>
      </c>
      <c r="Y4909" s="24" t="n"/>
    </row>
    <row r="4910" ht="14.25" customHeight="1" s="40">
      <c r="A4910" s="24" t="n"/>
      <c r="B4910" s="27" t="n"/>
      <c r="C4910" s="24" t="n"/>
      <c r="D4910" s="28" t="n"/>
      <c r="E4910" s="29" t="n"/>
      <c r="F4910" s="24" t="n"/>
      <c r="G4910" s="24" t="n"/>
      <c r="H4910" s="21">
        <f>IF(ISNUMBER($B4910),INT($B4910)-WEEKDAY($B4910,2)+1,"")</f>
        <v/>
      </c>
      <c r="I4910" s="24" t="n"/>
      <c r="J4910" s="22">
        <f t="array" ref="J4910">IF($D4910="","",IF($I4910="","(trống REF)",IFERROR(INDEX(MASTER_SOURCE!$B$2:$B$495,MATCH($I4910,MASTER_SOURCE!$A$2:$A$495,0)),"(REF không có trong MASTER_SOURCE)")))</f>
        <v/>
      </c>
      <c r="K4910" s="22">
        <f t="array" ref="K4910">IF($D4910="","",IFERROR(INDEX(MASTER_SOURCE!$C$2:$C$495,MATCH($I4910,MASTER_SOURCE!$A$2:$A$495,0)),""))</f>
        <v/>
      </c>
      <c r="L4910" s="22">
        <f t="array" ref="L4910">IF($D4910="","",IFERROR(INDEX(MASTER_SOURCE!$D$2:$D$495,MATCH($I4910,MASTER_SOURCE!$A$2:$A$495,0)),""))</f>
        <v/>
      </c>
      <c r="M4910" s="24" t="n"/>
      <c r="N4910" s="24" t="n"/>
      <c r="O4910" s="24" t="n"/>
      <c r="P4910" s="24" t="n"/>
      <c r="Q4910" s="22">
        <f>IF($D4910="","",IF(AND(OR(DANH_MUC!$L$5&lt;&gt;"Có",M4910="Có"),OR(DANH_MUC!$L$6&lt;&gt;"Có",N4910="Có"),OR(DANH_MUC!$L$7&lt;&gt;"Có",O4910="Có"),OR(DANH_MUC!$L$8&lt;&gt;"Có",P4910="Có")),"Có","Không"))</f>
        <v/>
      </c>
      <c r="R4910" s="22">
        <f>IF($D4910="","",IF(COUNTIF($D$2:$D4910,$D4910)&gt;1,"Trùng",""))</f>
        <v/>
      </c>
      <c r="S4910" s="22">
        <f>IF($D4910="","",IF(AND(LEN($D4910)=10,LEFT($D4910,1)="0",ISNUMBER(--$D4910)),"Có","Không"))</f>
        <v/>
      </c>
      <c r="T4910" s="22">
        <f>IF($D4910="","",IF(AND($C4910&lt;&gt;"",$Q4910="Có",$R4910="",$S4910="Có",AND($L4910&lt;&gt;"",OR($L4910&lt;&gt;"Chưa xác định",DANH_MUC!$L$9="Có"))),"Có","Không"))</f>
        <v/>
      </c>
      <c r="U4910" s="22">
        <f>IF(OR($D4910="",$T4910="Có"),"",IF($C4910="","Thiếu họ tên; ","")&amp;IF($S4910&lt;&gt;"Có","SĐT sai định dạng; ","")&amp;IF($R4910="Trùng","Trùng SĐT; ","")&amp;IF($Q4910&lt;&gt;"Có","Thiếu đồng ý bắt buộc; ","")&amp;IF($L4910="","Thiếu/sai Mã REF; ",IF(AND($L4910="Chưa xác định",DANH_MUC!$L$9&lt;&gt;"Có"),"Nguồn chưa xác định; ","")))</f>
        <v/>
      </c>
      <c r="V4910" s="22">
        <f>IF(OR($D4910="",$R4910="Trùng"),"",IF(COUNTIF(ORDERS!$C$2:$C$4995,$D4910)&gt;0,"Có","Không"))</f>
        <v/>
      </c>
      <c r="W4910" s="22">
        <f>IF(OR($D4910="",$R4910="Trùng"),"",COUNTIFS(ORDERS!$C$2:$C$4995,$D4910,ORDERS!$L$2:$L$4995,"Đã chuyển khoản"))</f>
        <v/>
      </c>
      <c r="X4910" s="23">
        <f>IF(OR($D4910="",$R4910="Trùng"),"",SUMIFS(ORDERS!$J$2:$J$4995,ORDERS!$C$2:$C$4995,$D4910,ORDERS!$L$2:$L$4995,"Đã chuyển khoản"))</f>
        <v/>
      </c>
      <c r="Y4910" s="24" t="n"/>
    </row>
    <row r="4911" ht="14.25" customHeight="1" s="40">
      <c r="A4911" s="24" t="n"/>
      <c r="B4911" s="27" t="n"/>
      <c r="C4911" s="24" t="n"/>
      <c r="D4911" s="28" t="n"/>
      <c r="E4911" s="29" t="n"/>
      <c r="F4911" s="24" t="n"/>
      <c r="G4911" s="24" t="n"/>
      <c r="H4911" s="21">
        <f>IF(ISNUMBER($B4911),INT($B4911)-WEEKDAY($B4911,2)+1,"")</f>
        <v/>
      </c>
      <c r="I4911" s="24" t="n"/>
      <c r="J4911" s="22">
        <f t="array" ref="J4911">IF($D4911="","",IF($I4911="","(trống REF)",IFERROR(INDEX(MASTER_SOURCE!$B$2:$B$495,MATCH($I4911,MASTER_SOURCE!$A$2:$A$495,0)),"(REF không có trong MASTER_SOURCE)")))</f>
        <v/>
      </c>
      <c r="K4911" s="22">
        <f t="array" ref="K4911">IF($D4911="","",IFERROR(INDEX(MASTER_SOURCE!$C$2:$C$495,MATCH($I4911,MASTER_SOURCE!$A$2:$A$495,0)),""))</f>
        <v/>
      </c>
      <c r="L4911" s="22">
        <f t="array" ref="L4911">IF($D4911="","",IFERROR(INDEX(MASTER_SOURCE!$D$2:$D$495,MATCH($I4911,MASTER_SOURCE!$A$2:$A$495,0)),""))</f>
        <v/>
      </c>
      <c r="M4911" s="24" t="n"/>
      <c r="N4911" s="24" t="n"/>
      <c r="O4911" s="24" t="n"/>
      <c r="P4911" s="24" t="n"/>
      <c r="Q4911" s="22">
        <f>IF($D4911="","",IF(AND(OR(DANH_MUC!$L$5&lt;&gt;"Có",M4911="Có"),OR(DANH_MUC!$L$6&lt;&gt;"Có",N4911="Có"),OR(DANH_MUC!$L$7&lt;&gt;"Có",O4911="Có"),OR(DANH_MUC!$L$8&lt;&gt;"Có",P4911="Có")),"Có","Không"))</f>
        <v/>
      </c>
      <c r="R4911" s="22">
        <f>IF($D4911="","",IF(COUNTIF($D$2:$D4911,$D4911)&gt;1,"Trùng",""))</f>
        <v/>
      </c>
      <c r="S4911" s="22">
        <f>IF($D4911="","",IF(AND(LEN($D4911)=10,LEFT($D4911,1)="0",ISNUMBER(--$D4911)),"Có","Không"))</f>
        <v/>
      </c>
      <c r="T4911" s="22">
        <f>IF($D4911="","",IF(AND($C4911&lt;&gt;"",$Q4911="Có",$R4911="",$S4911="Có",AND($L4911&lt;&gt;"",OR($L4911&lt;&gt;"Chưa xác định",DANH_MUC!$L$9="Có"))),"Có","Không"))</f>
        <v/>
      </c>
      <c r="U4911" s="22">
        <f>IF(OR($D4911="",$T4911="Có"),"",IF($C4911="","Thiếu họ tên; ","")&amp;IF($S4911&lt;&gt;"Có","SĐT sai định dạng; ","")&amp;IF($R4911="Trùng","Trùng SĐT; ","")&amp;IF($Q4911&lt;&gt;"Có","Thiếu đồng ý bắt buộc; ","")&amp;IF($L4911="","Thiếu/sai Mã REF; ",IF(AND($L4911="Chưa xác định",DANH_MUC!$L$9&lt;&gt;"Có"),"Nguồn chưa xác định; ","")))</f>
        <v/>
      </c>
      <c r="V4911" s="22">
        <f>IF(OR($D4911="",$R4911="Trùng"),"",IF(COUNTIF(ORDERS!$C$2:$C$4995,$D4911)&gt;0,"Có","Không"))</f>
        <v/>
      </c>
      <c r="W4911" s="22">
        <f>IF(OR($D4911="",$R4911="Trùng"),"",COUNTIFS(ORDERS!$C$2:$C$4995,$D4911,ORDERS!$L$2:$L$4995,"Đã chuyển khoản"))</f>
        <v/>
      </c>
      <c r="X4911" s="23">
        <f>IF(OR($D4911="",$R4911="Trùng"),"",SUMIFS(ORDERS!$J$2:$J$4995,ORDERS!$C$2:$C$4995,$D4911,ORDERS!$L$2:$L$4995,"Đã chuyển khoản"))</f>
        <v/>
      </c>
      <c r="Y4911" s="24" t="n"/>
    </row>
    <row r="4912" ht="14.25" customHeight="1" s="40">
      <c r="A4912" s="24" t="n"/>
      <c r="B4912" s="27" t="n"/>
      <c r="C4912" s="24" t="n"/>
      <c r="D4912" s="28" t="n"/>
      <c r="E4912" s="29" t="n"/>
      <c r="F4912" s="24" t="n"/>
      <c r="G4912" s="24" t="n"/>
      <c r="H4912" s="21">
        <f>IF(ISNUMBER($B4912),INT($B4912)-WEEKDAY($B4912,2)+1,"")</f>
        <v/>
      </c>
      <c r="I4912" s="24" t="n"/>
      <c r="J4912" s="22">
        <f t="array" ref="J4912">IF($D4912="","",IF($I4912="","(trống REF)",IFERROR(INDEX(MASTER_SOURCE!$B$2:$B$495,MATCH($I4912,MASTER_SOURCE!$A$2:$A$495,0)),"(REF không có trong MASTER_SOURCE)")))</f>
        <v/>
      </c>
      <c r="K4912" s="22">
        <f t="array" ref="K4912">IF($D4912="","",IFERROR(INDEX(MASTER_SOURCE!$C$2:$C$495,MATCH($I4912,MASTER_SOURCE!$A$2:$A$495,0)),""))</f>
        <v/>
      </c>
      <c r="L4912" s="22">
        <f t="array" ref="L4912">IF($D4912="","",IFERROR(INDEX(MASTER_SOURCE!$D$2:$D$495,MATCH($I4912,MASTER_SOURCE!$A$2:$A$495,0)),""))</f>
        <v/>
      </c>
      <c r="M4912" s="24" t="n"/>
      <c r="N4912" s="24" t="n"/>
      <c r="O4912" s="24" t="n"/>
      <c r="P4912" s="24" t="n"/>
      <c r="Q4912" s="22">
        <f>IF($D4912="","",IF(AND(OR(DANH_MUC!$L$5&lt;&gt;"Có",M4912="Có"),OR(DANH_MUC!$L$6&lt;&gt;"Có",N4912="Có"),OR(DANH_MUC!$L$7&lt;&gt;"Có",O4912="Có"),OR(DANH_MUC!$L$8&lt;&gt;"Có",P4912="Có")),"Có","Không"))</f>
        <v/>
      </c>
      <c r="R4912" s="22">
        <f>IF($D4912="","",IF(COUNTIF($D$2:$D4912,$D4912)&gt;1,"Trùng",""))</f>
        <v/>
      </c>
      <c r="S4912" s="22">
        <f>IF($D4912="","",IF(AND(LEN($D4912)=10,LEFT($D4912,1)="0",ISNUMBER(--$D4912)),"Có","Không"))</f>
        <v/>
      </c>
      <c r="T4912" s="22">
        <f>IF($D4912="","",IF(AND($C4912&lt;&gt;"",$Q4912="Có",$R4912="",$S4912="Có",AND($L4912&lt;&gt;"",OR($L4912&lt;&gt;"Chưa xác định",DANH_MUC!$L$9="Có"))),"Có","Không"))</f>
        <v/>
      </c>
      <c r="U4912" s="22">
        <f>IF(OR($D4912="",$T4912="Có"),"",IF($C4912="","Thiếu họ tên; ","")&amp;IF($S4912&lt;&gt;"Có","SĐT sai định dạng; ","")&amp;IF($R4912="Trùng","Trùng SĐT; ","")&amp;IF($Q4912&lt;&gt;"Có","Thiếu đồng ý bắt buộc; ","")&amp;IF($L4912="","Thiếu/sai Mã REF; ",IF(AND($L4912="Chưa xác định",DANH_MUC!$L$9&lt;&gt;"Có"),"Nguồn chưa xác định; ","")))</f>
        <v/>
      </c>
      <c r="V4912" s="22">
        <f>IF(OR($D4912="",$R4912="Trùng"),"",IF(COUNTIF(ORDERS!$C$2:$C$4995,$D4912)&gt;0,"Có","Không"))</f>
        <v/>
      </c>
      <c r="W4912" s="22">
        <f>IF(OR($D4912="",$R4912="Trùng"),"",COUNTIFS(ORDERS!$C$2:$C$4995,$D4912,ORDERS!$L$2:$L$4995,"Đã chuyển khoản"))</f>
        <v/>
      </c>
      <c r="X4912" s="23">
        <f>IF(OR($D4912="",$R4912="Trùng"),"",SUMIFS(ORDERS!$J$2:$J$4995,ORDERS!$C$2:$C$4995,$D4912,ORDERS!$L$2:$L$4995,"Đã chuyển khoản"))</f>
        <v/>
      </c>
      <c r="Y4912" s="24" t="n"/>
    </row>
    <row r="4913" ht="14.25" customHeight="1" s="40">
      <c r="A4913" s="24" t="n"/>
      <c r="B4913" s="27" t="n"/>
      <c r="C4913" s="24" t="n"/>
      <c r="D4913" s="28" t="n"/>
      <c r="E4913" s="29" t="n"/>
      <c r="F4913" s="24" t="n"/>
      <c r="G4913" s="24" t="n"/>
      <c r="H4913" s="21">
        <f>IF(ISNUMBER($B4913),INT($B4913)-WEEKDAY($B4913,2)+1,"")</f>
        <v/>
      </c>
      <c r="I4913" s="24" t="n"/>
      <c r="J4913" s="22">
        <f t="array" ref="J4913">IF($D4913="","",IF($I4913="","(trống REF)",IFERROR(INDEX(MASTER_SOURCE!$B$2:$B$495,MATCH($I4913,MASTER_SOURCE!$A$2:$A$495,0)),"(REF không có trong MASTER_SOURCE)")))</f>
        <v/>
      </c>
      <c r="K4913" s="22">
        <f t="array" ref="K4913">IF($D4913="","",IFERROR(INDEX(MASTER_SOURCE!$C$2:$C$495,MATCH($I4913,MASTER_SOURCE!$A$2:$A$495,0)),""))</f>
        <v/>
      </c>
      <c r="L4913" s="22">
        <f t="array" ref="L4913">IF($D4913="","",IFERROR(INDEX(MASTER_SOURCE!$D$2:$D$495,MATCH($I4913,MASTER_SOURCE!$A$2:$A$495,0)),""))</f>
        <v/>
      </c>
      <c r="M4913" s="24" t="n"/>
      <c r="N4913" s="24" t="n"/>
      <c r="O4913" s="24" t="n"/>
      <c r="P4913" s="24" t="n"/>
      <c r="Q4913" s="22">
        <f>IF($D4913="","",IF(AND(OR(DANH_MUC!$L$5&lt;&gt;"Có",M4913="Có"),OR(DANH_MUC!$L$6&lt;&gt;"Có",N4913="Có"),OR(DANH_MUC!$L$7&lt;&gt;"Có",O4913="Có"),OR(DANH_MUC!$L$8&lt;&gt;"Có",P4913="Có")),"Có","Không"))</f>
        <v/>
      </c>
      <c r="R4913" s="22">
        <f>IF($D4913="","",IF(COUNTIF($D$2:$D4913,$D4913)&gt;1,"Trùng",""))</f>
        <v/>
      </c>
      <c r="S4913" s="22">
        <f>IF($D4913="","",IF(AND(LEN($D4913)=10,LEFT($D4913,1)="0",ISNUMBER(--$D4913)),"Có","Không"))</f>
        <v/>
      </c>
      <c r="T4913" s="22">
        <f>IF($D4913="","",IF(AND($C4913&lt;&gt;"",$Q4913="Có",$R4913="",$S4913="Có",AND($L4913&lt;&gt;"",OR($L4913&lt;&gt;"Chưa xác định",DANH_MUC!$L$9="Có"))),"Có","Không"))</f>
        <v/>
      </c>
      <c r="U4913" s="22">
        <f>IF(OR($D4913="",$T4913="Có"),"",IF($C4913="","Thiếu họ tên; ","")&amp;IF($S4913&lt;&gt;"Có","SĐT sai định dạng; ","")&amp;IF($R4913="Trùng","Trùng SĐT; ","")&amp;IF($Q4913&lt;&gt;"Có","Thiếu đồng ý bắt buộc; ","")&amp;IF($L4913="","Thiếu/sai Mã REF; ",IF(AND($L4913="Chưa xác định",DANH_MUC!$L$9&lt;&gt;"Có"),"Nguồn chưa xác định; ","")))</f>
        <v/>
      </c>
      <c r="V4913" s="22">
        <f>IF(OR($D4913="",$R4913="Trùng"),"",IF(COUNTIF(ORDERS!$C$2:$C$4995,$D4913)&gt;0,"Có","Không"))</f>
        <v/>
      </c>
      <c r="W4913" s="22">
        <f>IF(OR($D4913="",$R4913="Trùng"),"",COUNTIFS(ORDERS!$C$2:$C$4995,$D4913,ORDERS!$L$2:$L$4995,"Đã chuyển khoản"))</f>
        <v/>
      </c>
      <c r="X4913" s="23">
        <f>IF(OR($D4913="",$R4913="Trùng"),"",SUMIFS(ORDERS!$J$2:$J$4995,ORDERS!$C$2:$C$4995,$D4913,ORDERS!$L$2:$L$4995,"Đã chuyển khoản"))</f>
        <v/>
      </c>
      <c r="Y4913" s="24" t="n"/>
    </row>
    <row r="4914" ht="14.25" customHeight="1" s="40">
      <c r="A4914" s="24" t="n"/>
      <c r="B4914" s="27" t="n"/>
      <c r="C4914" s="24" t="n"/>
      <c r="D4914" s="28" t="n"/>
      <c r="E4914" s="29" t="n"/>
      <c r="F4914" s="24" t="n"/>
      <c r="G4914" s="24" t="n"/>
      <c r="H4914" s="21">
        <f>IF(ISNUMBER($B4914),INT($B4914)-WEEKDAY($B4914,2)+1,"")</f>
        <v/>
      </c>
      <c r="I4914" s="24" t="n"/>
      <c r="J4914" s="22">
        <f t="array" ref="J4914">IF($D4914="","",IF($I4914="","(trống REF)",IFERROR(INDEX(MASTER_SOURCE!$B$2:$B$495,MATCH($I4914,MASTER_SOURCE!$A$2:$A$495,0)),"(REF không có trong MASTER_SOURCE)")))</f>
        <v/>
      </c>
      <c r="K4914" s="22">
        <f t="array" ref="K4914">IF($D4914="","",IFERROR(INDEX(MASTER_SOURCE!$C$2:$C$495,MATCH($I4914,MASTER_SOURCE!$A$2:$A$495,0)),""))</f>
        <v/>
      </c>
      <c r="L4914" s="22">
        <f t="array" ref="L4914">IF($D4914="","",IFERROR(INDEX(MASTER_SOURCE!$D$2:$D$495,MATCH($I4914,MASTER_SOURCE!$A$2:$A$495,0)),""))</f>
        <v/>
      </c>
      <c r="M4914" s="24" t="n"/>
      <c r="N4914" s="24" t="n"/>
      <c r="O4914" s="24" t="n"/>
      <c r="P4914" s="24" t="n"/>
      <c r="Q4914" s="22">
        <f>IF($D4914="","",IF(AND(OR(DANH_MUC!$L$5&lt;&gt;"Có",M4914="Có"),OR(DANH_MUC!$L$6&lt;&gt;"Có",N4914="Có"),OR(DANH_MUC!$L$7&lt;&gt;"Có",O4914="Có"),OR(DANH_MUC!$L$8&lt;&gt;"Có",P4914="Có")),"Có","Không"))</f>
        <v/>
      </c>
      <c r="R4914" s="22">
        <f>IF($D4914="","",IF(COUNTIF($D$2:$D4914,$D4914)&gt;1,"Trùng",""))</f>
        <v/>
      </c>
      <c r="S4914" s="22">
        <f>IF($D4914="","",IF(AND(LEN($D4914)=10,LEFT($D4914,1)="0",ISNUMBER(--$D4914)),"Có","Không"))</f>
        <v/>
      </c>
      <c r="T4914" s="22">
        <f>IF($D4914="","",IF(AND($C4914&lt;&gt;"",$Q4914="Có",$R4914="",$S4914="Có",AND($L4914&lt;&gt;"",OR($L4914&lt;&gt;"Chưa xác định",DANH_MUC!$L$9="Có"))),"Có","Không"))</f>
        <v/>
      </c>
      <c r="U4914" s="22">
        <f>IF(OR($D4914="",$T4914="Có"),"",IF($C4914="","Thiếu họ tên; ","")&amp;IF($S4914&lt;&gt;"Có","SĐT sai định dạng; ","")&amp;IF($R4914="Trùng","Trùng SĐT; ","")&amp;IF($Q4914&lt;&gt;"Có","Thiếu đồng ý bắt buộc; ","")&amp;IF($L4914="","Thiếu/sai Mã REF; ",IF(AND($L4914="Chưa xác định",DANH_MUC!$L$9&lt;&gt;"Có"),"Nguồn chưa xác định; ","")))</f>
        <v/>
      </c>
      <c r="V4914" s="22">
        <f>IF(OR($D4914="",$R4914="Trùng"),"",IF(COUNTIF(ORDERS!$C$2:$C$4995,$D4914)&gt;0,"Có","Không"))</f>
        <v/>
      </c>
      <c r="W4914" s="22">
        <f>IF(OR($D4914="",$R4914="Trùng"),"",COUNTIFS(ORDERS!$C$2:$C$4995,$D4914,ORDERS!$L$2:$L$4995,"Đã chuyển khoản"))</f>
        <v/>
      </c>
      <c r="X4914" s="23">
        <f>IF(OR($D4914="",$R4914="Trùng"),"",SUMIFS(ORDERS!$J$2:$J$4995,ORDERS!$C$2:$C$4995,$D4914,ORDERS!$L$2:$L$4995,"Đã chuyển khoản"))</f>
        <v/>
      </c>
      <c r="Y4914" s="24" t="n"/>
    </row>
    <row r="4915" ht="14.25" customHeight="1" s="40">
      <c r="A4915" s="24" t="n"/>
      <c r="B4915" s="27" t="n"/>
      <c r="C4915" s="24" t="n"/>
      <c r="D4915" s="28" t="n"/>
      <c r="E4915" s="29" t="n"/>
      <c r="F4915" s="24" t="n"/>
      <c r="G4915" s="24" t="n"/>
      <c r="H4915" s="21">
        <f>IF(ISNUMBER($B4915),INT($B4915)-WEEKDAY($B4915,2)+1,"")</f>
        <v/>
      </c>
      <c r="I4915" s="24" t="n"/>
      <c r="J4915" s="22">
        <f t="array" ref="J4915">IF($D4915="","",IF($I4915="","(trống REF)",IFERROR(INDEX(MASTER_SOURCE!$B$2:$B$495,MATCH($I4915,MASTER_SOURCE!$A$2:$A$495,0)),"(REF không có trong MASTER_SOURCE)")))</f>
        <v/>
      </c>
      <c r="K4915" s="22">
        <f t="array" ref="K4915">IF($D4915="","",IFERROR(INDEX(MASTER_SOURCE!$C$2:$C$495,MATCH($I4915,MASTER_SOURCE!$A$2:$A$495,0)),""))</f>
        <v/>
      </c>
      <c r="L4915" s="22">
        <f t="array" ref="L4915">IF($D4915="","",IFERROR(INDEX(MASTER_SOURCE!$D$2:$D$495,MATCH($I4915,MASTER_SOURCE!$A$2:$A$495,0)),""))</f>
        <v/>
      </c>
      <c r="M4915" s="24" t="n"/>
      <c r="N4915" s="24" t="n"/>
      <c r="O4915" s="24" t="n"/>
      <c r="P4915" s="24" t="n"/>
      <c r="Q4915" s="22">
        <f>IF($D4915="","",IF(AND(OR(DANH_MUC!$L$5&lt;&gt;"Có",M4915="Có"),OR(DANH_MUC!$L$6&lt;&gt;"Có",N4915="Có"),OR(DANH_MUC!$L$7&lt;&gt;"Có",O4915="Có"),OR(DANH_MUC!$L$8&lt;&gt;"Có",P4915="Có")),"Có","Không"))</f>
        <v/>
      </c>
      <c r="R4915" s="22">
        <f>IF($D4915="","",IF(COUNTIF($D$2:$D4915,$D4915)&gt;1,"Trùng",""))</f>
        <v/>
      </c>
      <c r="S4915" s="22">
        <f>IF($D4915="","",IF(AND(LEN($D4915)=10,LEFT($D4915,1)="0",ISNUMBER(--$D4915)),"Có","Không"))</f>
        <v/>
      </c>
      <c r="T4915" s="22">
        <f>IF($D4915="","",IF(AND($C4915&lt;&gt;"",$Q4915="Có",$R4915="",$S4915="Có",AND($L4915&lt;&gt;"",OR($L4915&lt;&gt;"Chưa xác định",DANH_MUC!$L$9="Có"))),"Có","Không"))</f>
        <v/>
      </c>
      <c r="U4915" s="22">
        <f>IF(OR($D4915="",$T4915="Có"),"",IF($C4915="","Thiếu họ tên; ","")&amp;IF($S4915&lt;&gt;"Có","SĐT sai định dạng; ","")&amp;IF($R4915="Trùng","Trùng SĐT; ","")&amp;IF($Q4915&lt;&gt;"Có","Thiếu đồng ý bắt buộc; ","")&amp;IF($L4915="","Thiếu/sai Mã REF; ",IF(AND($L4915="Chưa xác định",DANH_MUC!$L$9&lt;&gt;"Có"),"Nguồn chưa xác định; ","")))</f>
        <v/>
      </c>
      <c r="V4915" s="22">
        <f>IF(OR($D4915="",$R4915="Trùng"),"",IF(COUNTIF(ORDERS!$C$2:$C$4995,$D4915)&gt;0,"Có","Không"))</f>
        <v/>
      </c>
      <c r="W4915" s="22">
        <f>IF(OR($D4915="",$R4915="Trùng"),"",COUNTIFS(ORDERS!$C$2:$C$4995,$D4915,ORDERS!$L$2:$L$4995,"Đã chuyển khoản"))</f>
        <v/>
      </c>
      <c r="X4915" s="23">
        <f>IF(OR($D4915="",$R4915="Trùng"),"",SUMIFS(ORDERS!$J$2:$J$4995,ORDERS!$C$2:$C$4995,$D4915,ORDERS!$L$2:$L$4995,"Đã chuyển khoản"))</f>
        <v/>
      </c>
      <c r="Y4915" s="24" t="n"/>
    </row>
    <row r="4916" ht="14.25" customHeight="1" s="40">
      <c r="A4916" s="24" t="n"/>
      <c r="B4916" s="27" t="n"/>
      <c r="C4916" s="24" t="n"/>
      <c r="D4916" s="28" t="n"/>
      <c r="E4916" s="29" t="n"/>
      <c r="F4916" s="24" t="n"/>
      <c r="G4916" s="24" t="n"/>
      <c r="H4916" s="21">
        <f>IF(ISNUMBER($B4916),INT($B4916)-WEEKDAY($B4916,2)+1,"")</f>
        <v/>
      </c>
      <c r="I4916" s="24" t="n"/>
      <c r="J4916" s="22">
        <f t="array" ref="J4916">IF($D4916="","",IF($I4916="","(trống REF)",IFERROR(INDEX(MASTER_SOURCE!$B$2:$B$495,MATCH($I4916,MASTER_SOURCE!$A$2:$A$495,0)),"(REF không có trong MASTER_SOURCE)")))</f>
        <v/>
      </c>
      <c r="K4916" s="22">
        <f t="array" ref="K4916">IF($D4916="","",IFERROR(INDEX(MASTER_SOURCE!$C$2:$C$495,MATCH($I4916,MASTER_SOURCE!$A$2:$A$495,0)),""))</f>
        <v/>
      </c>
      <c r="L4916" s="22">
        <f t="array" ref="L4916">IF($D4916="","",IFERROR(INDEX(MASTER_SOURCE!$D$2:$D$495,MATCH($I4916,MASTER_SOURCE!$A$2:$A$495,0)),""))</f>
        <v/>
      </c>
      <c r="M4916" s="24" t="n"/>
      <c r="N4916" s="24" t="n"/>
      <c r="O4916" s="24" t="n"/>
      <c r="P4916" s="24" t="n"/>
      <c r="Q4916" s="22">
        <f>IF($D4916="","",IF(AND(OR(DANH_MUC!$L$5&lt;&gt;"Có",M4916="Có"),OR(DANH_MUC!$L$6&lt;&gt;"Có",N4916="Có"),OR(DANH_MUC!$L$7&lt;&gt;"Có",O4916="Có"),OR(DANH_MUC!$L$8&lt;&gt;"Có",P4916="Có")),"Có","Không"))</f>
        <v/>
      </c>
      <c r="R4916" s="22">
        <f>IF($D4916="","",IF(COUNTIF($D$2:$D4916,$D4916)&gt;1,"Trùng",""))</f>
        <v/>
      </c>
      <c r="S4916" s="22">
        <f>IF($D4916="","",IF(AND(LEN($D4916)=10,LEFT($D4916,1)="0",ISNUMBER(--$D4916)),"Có","Không"))</f>
        <v/>
      </c>
      <c r="T4916" s="22">
        <f>IF($D4916="","",IF(AND($C4916&lt;&gt;"",$Q4916="Có",$R4916="",$S4916="Có",AND($L4916&lt;&gt;"",OR($L4916&lt;&gt;"Chưa xác định",DANH_MUC!$L$9="Có"))),"Có","Không"))</f>
        <v/>
      </c>
      <c r="U4916" s="22">
        <f>IF(OR($D4916="",$T4916="Có"),"",IF($C4916="","Thiếu họ tên; ","")&amp;IF($S4916&lt;&gt;"Có","SĐT sai định dạng; ","")&amp;IF($R4916="Trùng","Trùng SĐT; ","")&amp;IF($Q4916&lt;&gt;"Có","Thiếu đồng ý bắt buộc; ","")&amp;IF($L4916="","Thiếu/sai Mã REF; ",IF(AND($L4916="Chưa xác định",DANH_MUC!$L$9&lt;&gt;"Có"),"Nguồn chưa xác định; ","")))</f>
        <v/>
      </c>
      <c r="V4916" s="22">
        <f>IF(OR($D4916="",$R4916="Trùng"),"",IF(COUNTIF(ORDERS!$C$2:$C$4995,$D4916)&gt;0,"Có","Không"))</f>
        <v/>
      </c>
      <c r="W4916" s="22">
        <f>IF(OR($D4916="",$R4916="Trùng"),"",COUNTIFS(ORDERS!$C$2:$C$4995,$D4916,ORDERS!$L$2:$L$4995,"Đã chuyển khoản"))</f>
        <v/>
      </c>
      <c r="X4916" s="23">
        <f>IF(OR($D4916="",$R4916="Trùng"),"",SUMIFS(ORDERS!$J$2:$J$4995,ORDERS!$C$2:$C$4995,$D4916,ORDERS!$L$2:$L$4995,"Đã chuyển khoản"))</f>
        <v/>
      </c>
      <c r="Y4916" s="24" t="n"/>
    </row>
    <row r="4917" ht="14.25" customHeight="1" s="40">
      <c r="A4917" s="24" t="n"/>
      <c r="B4917" s="27" t="n"/>
      <c r="C4917" s="24" t="n"/>
      <c r="D4917" s="28" t="n"/>
      <c r="E4917" s="29" t="n"/>
      <c r="F4917" s="24" t="n"/>
      <c r="G4917" s="24" t="n"/>
      <c r="H4917" s="21">
        <f>IF(ISNUMBER($B4917),INT($B4917)-WEEKDAY($B4917,2)+1,"")</f>
        <v/>
      </c>
      <c r="I4917" s="24" t="n"/>
      <c r="J4917" s="22">
        <f t="array" ref="J4917">IF($D4917="","",IF($I4917="","(trống REF)",IFERROR(INDEX(MASTER_SOURCE!$B$2:$B$495,MATCH($I4917,MASTER_SOURCE!$A$2:$A$495,0)),"(REF không có trong MASTER_SOURCE)")))</f>
        <v/>
      </c>
      <c r="K4917" s="22">
        <f t="array" ref="K4917">IF($D4917="","",IFERROR(INDEX(MASTER_SOURCE!$C$2:$C$495,MATCH($I4917,MASTER_SOURCE!$A$2:$A$495,0)),""))</f>
        <v/>
      </c>
      <c r="L4917" s="22">
        <f t="array" ref="L4917">IF($D4917="","",IFERROR(INDEX(MASTER_SOURCE!$D$2:$D$495,MATCH($I4917,MASTER_SOURCE!$A$2:$A$495,0)),""))</f>
        <v/>
      </c>
      <c r="M4917" s="24" t="n"/>
      <c r="N4917" s="24" t="n"/>
      <c r="O4917" s="24" t="n"/>
      <c r="P4917" s="24" t="n"/>
      <c r="Q4917" s="22">
        <f>IF($D4917="","",IF(AND(OR(DANH_MUC!$L$5&lt;&gt;"Có",M4917="Có"),OR(DANH_MUC!$L$6&lt;&gt;"Có",N4917="Có"),OR(DANH_MUC!$L$7&lt;&gt;"Có",O4917="Có"),OR(DANH_MUC!$L$8&lt;&gt;"Có",P4917="Có")),"Có","Không"))</f>
        <v/>
      </c>
      <c r="R4917" s="22">
        <f>IF($D4917="","",IF(COUNTIF($D$2:$D4917,$D4917)&gt;1,"Trùng",""))</f>
        <v/>
      </c>
      <c r="S4917" s="22">
        <f>IF($D4917="","",IF(AND(LEN($D4917)=10,LEFT($D4917,1)="0",ISNUMBER(--$D4917)),"Có","Không"))</f>
        <v/>
      </c>
      <c r="T4917" s="22">
        <f>IF($D4917="","",IF(AND($C4917&lt;&gt;"",$Q4917="Có",$R4917="",$S4917="Có",AND($L4917&lt;&gt;"",OR($L4917&lt;&gt;"Chưa xác định",DANH_MUC!$L$9="Có"))),"Có","Không"))</f>
        <v/>
      </c>
      <c r="U4917" s="22">
        <f>IF(OR($D4917="",$T4917="Có"),"",IF($C4917="","Thiếu họ tên; ","")&amp;IF($S4917&lt;&gt;"Có","SĐT sai định dạng; ","")&amp;IF($R4917="Trùng","Trùng SĐT; ","")&amp;IF($Q4917&lt;&gt;"Có","Thiếu đồng ý bắt buộc; ","")&amp;IF($L4917="","Thiếu/sai Mã REF; ",IF(AND($L4917="Chưa xác định",DANH_MUC!$L$9&lt;&gt;"Có"),"Nguồn chưa xác định; ","")))</f>
        <v/>
      </c>
      <c r="V4917" s="22">
        <f>IF(OR($D4917="",$R4917="Trùng"),"",IF(COUNTIF(ORDERS!$C$2:$C$4995,$D4917)&gt;0,"Có","Không"))</f>
        <v/>
      </c>
      <c r="W4917" s="22">
        <f>IF(OR($D4917="",$R4917="Trùng"),"",COUNTIFS(ORDERS!$C$2:$C$4995,$D4917,ORDERS!$L$2:$L$4995,"Đã chuyển khoản"))</f>
        <v/>
      </c>
      <c r="X4917" s="23">
        <f>IF(OR($D4917="",$R4917="Trùng"),"",SUMIFS(ORDERS!$J$2:$J$4995,ORDERS!$C$2:$C$4995,$D4917,ORDERS!$L$2:$L$4995,"Đã chuyển khoản"))</f>
        <v/>
      </c>
      <c r="Y4917" s="24" t="n"/>
    </row>
    <row r="4918" ht="14.25" customHeight="1" s="40">
      <c r="A4918" s="24" t="n"/>
      <c r="B4918" s="27" t="n"/>
      <c r="C4918" s="24" t="n"/>
      <c r="D4918" s="28" t="n"/>
      <c r="E4918" s="29" t="n"/>
      <c r="F4918" s="24" t="n"/>
      <c r="G4918" s="24" t="n"/>
      <c r="H4918" s="21">
        <f>IF(ISNUMBER($B4918),INT($B4918)-WEEKDAY($B4918,2)+1,"")</f>
        <v/>
      </c>
      <c r="I4918" s="24" t="n"/>
      <c r="J4918" s="22">
        <f t="array" ref="J4918">IF($D4918="","",IF($I4918="","(trống REF)",IFERROR(INDEX(MASTER_SOURCE!$B$2:$B$495,MATCH($I4918,MASTER_SOURCE!$A$2:$A$495,0)),"(REF không có trong MASTER_SOURCE)")))</f>
        <v/>
      </c>
      <c r="K4918" s="22">
        <f t="array" ref="K4918">IF($D4918="","",IFERROR(INDEX(MASTER_SOURCE!$C$2:$C$495,MATCH($I4918,MASTER_SOURCE!$A$2:$A$495,0)),""))</f>
        <v/>
      </c>
      <c r="L4918" s="22">
        <f t="array" ref="L4918">IF($D4918="","",IFERROR(INDEX(MASTER_SOURCE!$D$2:$D$495,MATCH($I4918,MASTER_SOURCE!$A$2:$A$495,0)),""))</f>
        <v/>
      </c>
      <c r="M4918" s="24" t="n"/>
      <c r="N4918" s="24" t="n"/>
      <c r="O4918" s="24" t="n"/>
      <c r="P4918" s="24" t="n"/>
      <c r="Q4918" s="22">
        <f>IF($D4918="","",IF(AND(OR(DANH_MUC!$L$5&lt;&gt;"Có",M4918="Có"),OR(DANH_MUC!$L$6&lt;&gt;"Có",N4918="Có"),OR(DANH_MUC!$L$7&lt;&gt;"Có",O4918="Có"),OR(DANH_MUC!$L$8&lt;&gt;"Có",P4918="Có")),"Có","Không"))</f>
        <v/>
      </c>
      <c r="R4918" s="22">
        <f>IF($D4918="","",IF(COUNTIF($D$2:$D4918,$D4918)&gt;1,"Trùng",""))</f>
        <v/>
      </c>
      <c r="S4918" s="22">
        <f>IF($D4918="","",IF(AND(LEN($D4918)=10,LEFT($D4918,1)="0",ISNUMBER(--$D4918)),"Có","Không"))</f>
        <v/>
      </c>
      <c r="T4918" s="22">
        <f>IF($D4918="","",IF(AND($C4918&lt;&gt;"",$Q4918="Có",$R4918="",$S4918="Có",AND($L4918&lt;&gt;"",OR($L4918&lt;&gt;"Chưa xác định",DANH_MUC!$L$9="Có"))),"Có","Không"))</f>
        <v/>
      </c>
      <c r="U4918" s="22">
        <f>IF(OR($D4918="",$T4918="Có"),"",IF($C4918="","Thiếu họ tên; ","")&amp;IF($S4918&lt;&gt;"Có","SĐT sai định dạng; ","")&amp;IF($R4918="Trùng","Trùng SĐT; ","")&amp;IF($Q4918&lt;&gt;"Có","Thiếu đồng ý bắt buộc; ","")&amp;IF($L4918="","Thiếu/sai Mã REF; ",IF(AND($L4918="Chưa xác định",DANH_MUC!$L$9&lt;&gt;"Có"),"Nguồn chưa xác định; ","")))</f>
        <v/>
      </c>
      <c r="V4918" s="22">
        <f>IF(OR($D4918="",$R4918="Trùng"),"",IF(COUNTIF(ORDERS!$C$2:$C$4995,$D4918)&gt;0,"Có","Không"))</f>
        <v/>
      </c>
      <c r="W4918" s="22">
        <f>IF(OR($D4918="",$R4918="Trùng"),"",COUNTIFS(ORDERS!$C$2:$C$4995,$D4918,ORDERS!$L$2:$L$4995,"Đã chuyển khoản"))</f>
        <v/>
      </c>
      <c r="X4918" s="23">
        <f>IF(OR($D4918="",$R4918="Trùng"),"",SUMIFS(ORDERS!$J$2:$J$4995,ORDERS!$C$2:$C$4995,$D4918,ORDERS!$L$2:$L$4995,"Đã chuyển khoản"))</f>
        <v/>
      </c>
      <c r="Y4918" s="24" t="n"/>
    </row>
    <row r="4919" ht="14.25" customHeight="1" s="40">
      <c r="A4919" s="24" t="n"/>
      <c r="B4919" s="27" t="n"/>
      <c r="C4919" s="24" t="n"/>
      <c r="D4919" s="28" t="n"/>
      <c r="E4919" s="29" t="n"/>
      <c r="F4919" s="24" t="n"/>
      <c r="G4919" s="24" t="n"/>
      <c r="H4919" s="21">
        <f>IF(ISNUMBER($B4919),INT($B4919)-WEEKDAY($B4919,2)+1,"")</f>
        <v/>
      </c>
      <c r="I4919" s="24" t="n"/>
      <c r="J4919" s="22">
        <f t="array" ref="J4919">IF($D4919="","",IF($I4919="","(trống REF)",IFERROR(INDEX(MASTER_SOURCE!$B$2:$B$495,MATCH($I4919,MASTER_SOURCE!$A$2:$A$495,0)),"(REF không có trong MASTER_SOURCE)")))</f>
        <v/>
      </c>
      <c r="K4919" s="22">
        <f t="array" ref="K4919">IF($D4919="","",IFERROR(INDEX(MASTER_SOURCE!$C$2:$C$495,MATCH($I4919,MASTER_SOURCE!$A$2:$A$495,0)),""))</f>
        <v/>
      </c>
      <c r="L4919" s="22">
        <f t="array" ref="L4919">IF($D4919="","",IFERROR(INDEX(MASTER_SOURCE!$D$2:$D$495,MATCH($I4919,MASTER_SOURCE!$A$2:$A$495,0)),""))</f>
        <v/>
      </c>
      <c r="M4919" s="24" t="n"/>
      <c r="N4919" s="24" t="n"/>
      <c r="O4919" s="24" t="n"/>
      <c r="P4919" s="24" t="n"/>
      <c r="Q4919" s="22">
        <f>IF($D4919="","",IF(AND(OR(DANH_MUC!$L$5&lt;&gt;"Có",M4919="Có"),OR(DANH_MUC!$L$6&lt;&gt;"Có",N4919="Có"),OR(DANH_MUC!$L$7&lt;&gt;"Có",O4919="Có"),OR(DANH_MUC!$L$8&lt;&gt;"Có",P4919="Có")),"Có","Không"))</f>
        <v/>
      </c>
      <c r="R4919" s="22">
        <f>IF($D4919="","",IF(COUNTIF($D$2:$D4919,$D4919)&gt;1,"Trùng",""))</f>
        <v/>
      </c>
      <c r="S4919" s="22">
        <f>IF($D4919="","",IF(AND(LEN($D4919)=10,LEFT($D4919,1)="0",ISNUMBER(--$D4919)),"Có","Không"))</f>
        <v/>
      </c>
      <c r="T4919" s="22">
        <f>IF($D4919="","",IF(AND($C4919&lt;&gt;"",$Q4919="Có",$R4919="",$S4919="Có",AND($L4919&lt;&gt;"",OR($L4919&lt;&gt;"Chưa xác định",DANH_MUC!$L$9="Có"))),"Có","Không"))</f>
        <v/>
      </c>
      <c r="U4919" s="22">
        <f>IF(OR($D4919="",$T4919="Có"),"",IF($C4919="","Thiếu họ tên; ","")&amp;IF($S4919&lt;&gt;"Có","SĐT sai định dạng; ","")&amp;IF($R4919="Trùng","Trùng SĐT; ","")&amp;IF($Q4919&lt;&gt;"Có","Thiếu đồng ý bắt buộc; ","")&amp;IF($L4919="","Thiếu/sai Mã REF; ",IF(AND($L4919="Chưa xác định",DANH_MUC!$L$9&lt;&gt;"Có"),"Nguồn chưa xác định; ","")))</f>
        <v/>
      </c>
      <c r="V4919" s="22">
        <f>IF(OR($D4919="",$R4919="Trùng"),"",IF(COUNTIF(ORDERS!$C$2:$C$4995,$D4919)&gt;0,"Có","Không"))</f>
        <v/>
      </c>
      <c r="W4919" s="22">
        <f>IF(OR($D4919="",$R4919="Trùng"),"",COUNTIFS(ORDERS!$C$2:$C$4995,$D4919,ORDERS!$L$2:$L$4995,"Đã chuyển khoản"))</f>
        <v/>
      </c>
      <c r="X4919" s="23">
        <f>IF(OR($D4919="",$R4919="Trùng"),"",SUMIFS(ORDERS!$J$2:$J$4995,ORDERS!$C$2:$C$4995,$D4919,ORDERS!$L$2:$L$4995,"Đã chuyển khoản"))</f>
        <v/>
      </c>
      <c r="Y4919" s="24" t="n"/>
    </row>
    <row r="4920" ht="14.25" customHeight="1" s="40">
      <c r="A4920" s="24" t="n"/>
      <c r="B4920" s="27" t="n"/>
      <c r="C4920" s="24" t="n"/>
      <c r="D4920" s="28" t="n"/>
      <c r="E4920" s="29" t="n"/>
      <c r="F4920" s="24" t="n"/>
      <c r="G4920" s="24" t="n"/>
      <c r="H4920" s="21">
        <f>IF(ISNUMBER($B4920),INT($B4920)-WEEKDAY($B4920,2)+1,"")</f>
        <v/>
      </c>
      <c r="I4920" s="24" t="n"/>
      <c r="J4920" s="22">
        <f t="array" ref="J4920">IF($D4920="","",IF($I4920="","(trống REF)",IFERROR(INDEX(MASTER_SOURCE!$B$2:$B$495,MATCH($I4920,MASTER_SOURCE!$A$2:$A$495,0)),"(REF không có trong MASTER_SOURCE)")))</f>
        <v/>
      </c>
      <c r="K4920" s="22">
        <f t="array" ref="K4920">IF($D4920="","",IFERROR(INDEX(MASTER_SOURCE!$C$2:$C$495,MATCH($I4920,MASTER_SOURCE!$A$2:$A$495,0)),""))</f>
        <v/>
      </c>
      <c r="L4920" s="22">
        <f t="array" ref="L4920">IF($D4920="","",IFERROR(INDEX(MASTER_SOURCE!$D$2:$D$495,MATCH($I4920,MASTER_SOURCE!$A$2:$A$495,0)),""))</f>
        <v/>
      </c>
      <c r="M4920" s="24" t="n"/>
      <c r="N4920" s="24" t="n"/>
      <c r="O4920" s="24" t="n"/>
      <c r="P4920" s="24" t="n"/>
      <c r="Q4920" s="22">
        <f>IF($D4920="","",IF(AND(OR(DANH_MUC!$L$5&lt;&gt;"Có",M4920="Có"),OR(DANH_MUC!$L$6&lt;&gt;"Có",N4920="Có"),OR(DANH_MUC!$L$7&lt;&gt;"Có",O4920="Có"),OR(DANH_MUC!$L$8&lt;&gt;"Có",P4920="Có")),"Có","Không"))</f>
        <v/>
      </c>
      <c r="R4920" s="22">
        <f>IF($D4920="","",IF(COUNTIF($D$2:$D4920,$D4920)&gt;1,"Trùng",""))</f>
        <v/>
      </c>
      <c r="S4920" s="22">
        <f>IF($D4920="","",IF(AND(LEN($D4920)=10,LEFT($D4920,1)="0",ISNUMBER(--$D4920)),"Có","Không"))</f>
        <v/>
      </c>
      <c r="T4920" s="22">
        <f>IF($D4920="","",IF(AND($C4920&lt;&gt;"",$Q4920="Có",$R4920="",$S4920="Có",AND($L4920&lt;&gt;"",OR($L4920&lt;&gt;"Chưa xác định",DANH_MUC!$L$9="Có"))),"Có","Không"))</f>
        <v/>
      </c>
      <c r="U4920" s="22">
        <f>IF(OR($D4920="",$T4920="Có"),"",IF($C4920="","Thiếu họ tên; ","")&amp;IF($S4920&lt;&gt;"Có","SĐT sai định dạng; ","")&amp;IF($R4920="Trùng","Trùng SĐT; ","")&amp;IF($Q4920&lt;&gt;"Có","Thiếu đồng ý bắt buộc; ","")&amp;IF($L4920="","Thiếu/sai Mã REF; ",IF(AND($L4920="Chưa xác định",DANH_MUC!$L$9&lt;&gt;"Có"),"Nguồn chưa xác định; ","")))</f>
        <v/>
      </c>
      <c r="V4920" s="22">
        <f>IF(OR($D4920="",$R4920="Trùng"),"",IF(COUNTIF(ORDERS!$C$2:$C$4995,$D4920)&gt;0,"Có","Không"))</f>
        <v/>
      </c>
      <c r="W4920" s="22">
        <f>IF(OR($D4920="",$R4920="Trùng"),"",COUNTIFS(ORDERS!$C$2:$C$4995,$D4920,ORDERS!$L$2:$L$4995,"Đã chuyển khoản"))</f>
        <v/>
      </c>
      <c r="X4920" s="23">
        <f>IF(OR($D4920="",$R4920="Trùng"),"",SUMIFS(ORDERS!$J$2:$J$4995,ORDERS!$C$2:$C$4995,$D4920,ORDERS!$L$2:$L$4995,"Đã chuyển khoản"))</f>
        <v/>
      </c>
      <c r="Y4920" s="24" t="n"/>
    </row>
    <row r="4921" ht="14.25" customHeight="1" s="40">
      <c r="A4921" s="24" t="n"/>
      <c r="B4921" s="27" t="n"/>
      <c r="C4921" s="24" t="n"/>
      <c r="D4921" s="28" t="n"/>
      <c r="E4921" s="29" t="n"/>
      <c r="F4921" s="24" t="n"/>
      <c r="G4921" s="24" t="n"/>
      <c r="H4921" s="21">
        <f>IF(ISNUMBER($B4921),INT($B4921)-WEEKDAY($B4921,2)+1,"")</f>
        <v/>
      </c>
      <c r="I4921" s="24" t="n"/>
      <c r="J4921" s="22">
        <f t="array" ref="J4921">IF($D4921="","",IF($I4921="","(trống REF)",IFERROR(INDEX(MASTER_SOURCE!$B$2:$B$495,MATCH($I4921,MASTER_SOURCE!$A$2:$A$495,0)),"(REF không có trong MASTER_SOURCE)")))</f>
        <v/>
      </c>
      <c r="K4921" s="22">
        <f t="array" ref="K4921">IF($D4921="","",IFERROR(INDEX(MASTER_SOURCE!$C$2:$C$495,MATCH($I4921,MASTER_SOURCE!$A$2:$A$495,0)),""))</f>
        <v/>
      </c>
      <c r="L4921" s="22">
        <f t="array" ref="L4921">IF($D4921="","",IFERROR(INDEX(MASTER_SOURCE!$D$2:$D$495,MATCH($I4921,MASTER_SOURCE!$A$2:$A$495,0)),""))</f>
        <v/>
      </c>
      <c r="M4921" s="24" t="n"/>
      <c r="N4921" s="24" t="n"/>
      <c r="O4921" s="24" t="n"/>
      <c r="P4921" s="24" t="n"/>
      <c r="Q4921" s="22">
        <f>IF($D4921="","",IF(AND(OR(DANH_MUC!$L$5&lt;&gt;"Có",M4921="Có"),OR(DANH_MUC!$L$6&lt;&gt;"Có",N4921="Có"),OR(DANH_MUC!$L$7&lt;&gt;"Có",O4921="Có"),OR(DANH_MUC!$L$8&lt;&gt;"Có",P4921="Có")),"Có","Không"))</f>
        <v/>
      </c>
      <c r="R4921" s="22">
        <f>IF($D4921="","",IF(COUNTIF($D$2:$D4921,$D4921)&gt;1,"Trùng",""))</f>
        <v/>
      </c>
      <c r="S4921" s="22">
        <f>IF($D4921="","",IF(AND(LEN($D4921)=10,LEFT($D4921,1)="0",ISNUMBER(--$D4921)),"Có","Không"))</f>
        <v/>
      </c>
      <c r="T4921" s="22">
        <f>IF($D4921="","",IF(AND($C4921&lt;&gt;"",$Q4921="Có",$R4921="",$S4921="Có",AND($L4921&lt;&gt;"",OR($L4921&lt;&gt;"Chưa xác định",DANH_MUC!$L$9="Có"))),"Có","Không"))</f>
        <v/>
      </c>
      <c r="U4921" s="22">
        <f>IF(OR($D4921="",$T4921="Có"),"",IF($C4921="","Thiếu họ tên; ","")&amp;IF($S4921&lt;&gt;"Có","SĐT sai định dạng; ","")&amp;IF($R4921="Trùng","Trùng SĐT; ","")&amp;IF($Q4921&lt;&gt;"Có","Thiếu đồng ý bắt buộc; ","")&amp;IF($L4921="","Thiếu/sai Mã REF; ",IF(AND($L4921="Chưa xác định",DANH_MUC!$L$9&lt;&gt;"Có"),"Nguồn chưa xác định; ","")))</f>
        <v/>
      </c>
      <c r="V4921" s="22">
        <f>IF(OR($D4921="",$R4921="Trùng"),"",IF(COUNTIF(ORDERS!$C$2:$C$4995,$D4921)&gt;0,"Có","Không"))</f>
        <v/>
      </c>
      <c r="W4921" s="22">
        <f>IF(OR($D4921="",$R4921="Trùng"),"",COUNTIFS(ORDERS!$C$2:$C$4995,$D4921,ORDERS!$L$2:$L$4995,"Đã chuyển khoản"))</f>
        <v/>
      </c>
      <c r="X4921" s="23">
        <f>IF(OR($D4921="",$R4921="Trùng"),"",SUMIFS(ORDERS!$J$2:$J$4995,ORDERS!$C$2:$C$4995,$D4921,ORDERS!$L$2:$L$4995,"Đã chuyển khoản"))</f>
        <v/>
      </c>
      <c r="Y4921" s="24" t="n"/>
    </row>
    <row r="4922" ht="14.25" customHeight="1" s="40">
      <c r="A4922" s="24" t="n"/>
      <c r="B4922" s="27" t="n"/>
      <c r="C4922" s="24" t="n"/>
      <c r="D4922" s="28" t="n"/>
      <c r="E4922" s="29" t="n"/>
      <c r="F4922" s="24" t="n"/>
      <c r="G4922" s="24" t="n"/>
      <c r="H4922" s="21">
        <f>IF(ISNUMBER($B4922),INT($B4922)-WEEKDAY($B4922,2)+1,"")</f>
        <v/>
      </c>
      <c r="I4922" s="24" t="n"/>
      <c r="J4922" s="22">
        <f t="array" ref="J4922">IF($D4922="","",IF($I4922="","(trống REF)",IFERROR(INDEX(MASTER_SOURCE!$B$2:$B$495,MATCH($I4922,MASTER_SOURCE!$A$2:$A$495,0)),"(REF không có trong MASTER_SOURCE)")))</f>
        <v/>
      </c>
      <c r="K4922" s="22">
        <f t="array" ref="K4922">IF($D4922="","",IFERROR(INDEX(MASTER_SOURCE!$C$2:$C$495,MATCH($I4922,MASTER_SOURCE!$A$2:$A$495,0)),""))</f>
        <v/>
      </c>
      <c r="L4922" s="22">
        <f t="array" ref="L4922">IF($D4922="","",IFERROR(INDEX(MASTER_SOURCE!$D$2:$D$495,MATCH($I4922,MASTER_SOURCE!$A$2:$A$495,0)),""))</f>
        <v/>
      </c>
      <c r="M4922" s="24" t="n"/>
      <c r="N4922" s="24" t="n"/>
      <c r="O4922" s="24" t="n"/>
      <c r="P4922" s="24" t="n"/>
      <c r="Q4922" s="22">
        <f>IF($D4922="","",IF(AND(OR(DANH_MUC!$L$5&lt;&gt;"Có",M4922="Có"),OR(DANH_MUC!$L$6&lt;&gt;"Có",N4922="Có"),OR(DANH_MUC!$L$7&lt;&gt;"Có",O4922="Có"),OR(DANH_MUC!$L$8&lt;&gt;"Có",P4922="Có")),"Có","Không"))</f>
        <v/>
      </c>
      <c r="R4922" s="22">
        <f>IF($D4922="","",IF(COUNTIF($D$2:$D4922,$D4922)&gt;1,"Trùng",""))</f>
        <v/>
      </c>
      <c r="S4922" s="22">
        <f>IF($D4922="","",IF(AND(LEN($D4922)=10,LEFT($D4922,1)="0",ISNUMBER(--$D4922)),"Có","Không"))</f>
        <v/>
      </c>
      <c r="T4922" s="22">
        <f>IF($D4922="","",IF(AND($C4922&lt;&gt;"",$Q4922="Có",$R4922="",$S4922="Có",AND($L4922&lt;&gt;"",OR($L4922&lt;&gt;"Chưa xác định",DANH_MUC!$L$9="Có"))),"Có","Không"))</f>
        <v/>
      </c>
      <c r="U4922" s="22">
        <f>IF(OR($D4922="",$T4922="Có"),"",IF($C4922="","Thiếu họ tên; ","")&amp;IF($S4922&lt;&gt;"Có","SĐT sai định dạng; ","")&amp;IF($R4922="Trùng","Trùng SĐT; ","")&amp;IF($Q4922&lt;&gt;"Có","Thiếu đồng ý bắt buộc; ","")&amp;IF($L4922="","Thiếu/sai Mã REF; ",IF(AND($L4922="Chưa xác định",DANH_MUC!$L$9&lt;&gt;"Có"),"Nguồn chưa xác định; ","")))</f>
        <v/>
      </c>
      <c r="V4922" s="22">
        <f>IF(OR($D4922="",$R4922="Trùng"),"",IF(COUNTIF(ORDERS!$C$2:$C$4995,$D4922)&gt;0,"Có","Không"))</f>
        <v/>
      </c>
      <c r="W4922" s="22">
        <f>IF(OR($D4922="",$R4922="Trùng"),"",COUNTIFS(ORDERS!$C$2:$C$4995,$D4922,ORDERS!$L$2:$L$4995,"Đã chuyển khoản"))</f>
        <v/>
      </c>
      <c r="X4922" s="23">
        <f>IF(OR($D4922="",$R4922="Trùng"),"",SUMIFS(ORDERS!$J$2:$J$4995,ORDERS!$C$2:$C$4995,$D4922,ORDERS!$L$2:$L$4995,"Đã chuyển khoản"))</f>
        <v/>
      </c>
      <c r="Y4922" s="24" t="n"/>
    </row>
    <row r="4923" ht="14.25" customHeight="1" s="40">
      <c r="A4923" s="24" t="n"/>
      <c r="B4923" s="27" t="n"/>
      <c r="C4923" s="24" t="n"/>
      <c r="D4923" s="28" t="n"/>
      <c r="E4923" s="29" t="n"/>
      <c r="F4923" s="24" t="n"/>
      <c r="G4923" s="24" t="n"/>
      <c r="H4923" s="21">
        <f>IF(ISNUMBER($B4923),INT($B4923)-WEEKDAY($B4923,2)+1,"")</f>
        <v/>
      </c>
      <c r="I4923" s="24" t="n"/>
      <c r="J4923" s="22">
        <f t="array" ref="J4923">IF($D4923="","",IF($I4923="","(trống REF)",IFERROR(INDEX(MASTER_SOURCE!$B$2:$B$495,MATCH($I4923,MASTER_SOURCE!$A$2:$A$495,0)),"(REF không có trong MASTER_SOURCE)")))</f>
        <v/>
      </c>
      <c r="K4923" s="22">
        <f t="array" ref="K4923">IF($D4923="","",IFERROR(INDEX(MASTER_SOURCE!$C$2:$C$495,MATCH($I4923,MASTER_SOURCE!$A$2:$A$495,0)),""))</f>
        <v/>
      </c>
      <c r="L4923" s="22">
        <f t="array" ref="L4923">IF($D4923="","",IFERROR(INDEX(MASTER_SOURCE!$D$2:$D$495,MATCH($I4923,MASTER_SOURCE!$A$2:$A$495,0)),""))</f>
        <v/>
      </c>
      <c r="M4923" s="24" t="n"/>
      <c r="N4923" s="24" t="n"/>
      <c r="O4923" s="24" t="n"/>
      <c r="P4923" s="24" t="n"/>
      <c r="Q4923" s="22">
        <f>IF($D4923="","",IF(AND(OR(DANH_MUC!$L$5&lt;&gt;"Có",M4923="Có"),OR(DANH_MUC!$L$6&lt;&gt;"Có",N4923="Có"),OR(DANH_MUC!$L$7&lt;&gt;"Có",O4923="Có"),OR(DANH_MUC!$L$8&lt;&gt;"Có",P4923="Có")),"Có","Không"))</f>
        <v/>
      </c>
      <c r="R4923" s="22">
        <f>IF($D4923="","",IF(COUNTIF($D$2:$D4923,$D4923)&gt;1,"Trùng",""))</f>
        <v/>
      </c>
      <c r="S4923" s="22">
        <f>IF($D4923="","",IF(AND(LEN($D4923)=10,LEFT($D4923,1)="0",ISNUMBER(--$D4923)),"Có","Không"))</f>
        <v/>
      </c>
      <c r="T4923" s="22">
        <f>IF($D4923="","",IF(AND($C4923&lt;&gt;"",$Q4923="Có",$R4923="",$S4923="Có",AND($L4923&lt;&gt;"",OR($L4923&lt;&gt;"Chưa xác định",DANH_MUC!$L$9="Có"))),"Có","Không"))</f>
        <v/>
      </c>
      <c r="U4923" s="22">
        <f>IF(OR($D4923="",$T4923="Có"),"",IF($C4923="","Thiếu họ tên; ","")&amp;IF($S4923&lt;&gt;"Có","SĐT sai định dạng; ","")&amp;IF($R4923="Trùng","Trùng SĐT; ","")&amp;IF($Q4923&lt;&gt;"Có","Thiếu đồng ý bắt buộc; ","")&amp;IF($L4923="","Thiếu/sai Mã REF; ",IF(AND($L4923="Chưa xác định",DANH_MUC!$L$9&lt;&gt;"Có"),"Nguồn chưa xác định; ","")))</f>
        <v/>
      </c>
      <c r="V4923" s="22">
        <f>IF(OR($D4923="",$R4923="Trùng"),"",IF(COUNTIF(ORDERS!$C$2:$C$4995,$D4923)&gt;0,"Có","Không"))</f>
        <v/>
      </c>
      <c r="W4923" s="22">
        <f>IF(OR($D4923="",$R4923="Trùng"),"",COUNTIFS(ORDERS!$C$2:$C$4995,$D4923,ORDERS!$L$2:$L$4995,"Đã chuyển khoản"))</f>
        <v/>
      </c>
      <c r="X4923" s="23">
        <f>IF(OR($D4923="",$R4923="Trùng"),"",SUMIFS(ORDERS!$J$2:$J$4995,ORDERS!$C$2:$C$4995,$D4923,ORDERS!$L$2:$L$4995,"Đã chuyển khoản"))</f>
        <v/>
      </c>
      <c r="Y4923" s="24" t="n"/>
    </row>
    <row r="4924" ht="14.25" customHeight="1" s="40">
      <c r="A4924" s="24" t="n"/>
      <c r="B4924" s="27" t="n"/>
      <c r="C4924" s="24" t="n"/>
      <c r="D4924" s="28" t="n"/>
      <c r="E4924" s="29" t="n"/>
      <c r="F4924" s="24" t="n"/>
      <c r="G4924" s="24" t="n"/>
      <c r="H4924" s="21">
        <f>IF(ISNUMBER($B4924),INT($B4924)-WEEKDAY($B4924,2)+1,"")</f>
        <v/>
      </c>
      <c r="I4924" s="24" t="n"/>
      <c r="J4924" s="22">
        <f t="array" ref="J4924">IF($D4924="","",IF($I4924="","(trống REF)",IFERROR(INDEX(MASTER_SOURCE!$B$2:$B$495,MATCH($I4924,MASTER_SOURCE!$A$2:$A$495,0)),"(REF không có trong MASTER_SOURCE)")))</f>
        <v/>
      </c>
      <c r="K4924" s="22">
        <f t="array" ref="K4924">IF($D4924="","",IFERROR(INDEX(MASTER_SOURCE!$C$2:$C$495,MATCH($I4924,MASTER_SOURCE!$A$2:$A$495,0)),""))</f>
        <v/>
      </c>
      <c r="L4924" s="22">
        <f t="array" ref="L4924">IF($D4924="","",IFERROR(INDEX(MASTER_SOURCE!$D$2:$D$495,MATCH($I4924,MASTER_SOURCE!$A$2:$A$495,0)),""))</f>
        <v/>
      </c>
      <c r="M4924" s="24" t="n"/>
      <c r="N4924" s="24" t="n"/>
      <c r="O4924" s="24" t="n"/>
      <c r="P4924" s="24" t="n"/>
      <c r="Q4924" s="22">
        <f>IF($D4924="","",IF(AND(OR(DANH_MUC!$L$5&lt;&gt;"Có",M4924="Có"),OR(DANH_MUC!$L$6&lt;&gt;"Có",N4924="Có"),OR(DANH_MUC!$L$7&lt;&gt;"Có",O4924="Có"),OR(DANH_MUC!$L$8&lt;&gt;"Có",P4924="Có")),"Có","Không"))</f>
        <v/>
      </c>
      <c r="R4924" s="22">
        <f>IF($D4924="","",IF(COUNTIF($D$2:$D4924,$D4924)&gt;1,"Trùng",""))</f>
        <v/>
      </c>
      <c r="S4924" s="22">
        <f>IF($D4924="","",IF(AND(LEN($D4924)=10,LEFT($D4924,1)="0",ISNUMBER(--$D4924)),"Có","Không"))</f>
        <v/>
      </c>
      <c r="T4924" s="22">
        <f>IF($D4924="","",IF(AND($C4924&lt;&gt;"",$Q4924="Có",$R4924="",$S4924="Có",AND($L4924&lt;&gt;"",OR($L4924&lt;&gt;"Chưa xác định",DANH_MUC!$L$9="Có"))),"Có","Không"))</f>
        <v/>
      </c>
      <c r="U4924" s="22">
        <f>IF(OR($D4924="",$T4924="Có"),"",IF($C4924="","Thiếu họ tên; ","")&amp;IF($S4924&lt;&gt;"Có","SĐT sai định dạng; ","")&amp;IF($R4924="Trùng","Trùng SĐT; ","")&amp;IF($Q4924&lt;&gt;"Có","Thiếu đồng ý bắt buộc; ","")&amp;IF($L4924="","Thiếu/sai Mã REF; ",IF(AND($L4924="Chưa xác định",DANH_MUC!$L$9&lt;&gt;"Có"),"Nguồn chưa xác định; ","")))</f>
        <v/>
      </c>
      <c r="V4924" s="22">
        <f>IF(OR($D4924="",$R4924="Trùng"),"",IF(COUNTIF(ORDERS!$C$2:$C$4995,$D4924)&gt;0,"Có","Không"))</f>
        <v/>
      </c>
      <c r="W4924" s="22">
        <f>IF(OR($D4924="",$R4924="Trùng"),"",COUNTIFS(ORDERS!$C$2:$C$4995,$D4924,ORDERS!$L$2:$L$4995,"Đã chuyển khoản"))</f>
        <v/>
      </c>
      <c r="X4924" s="23">
        <f>IF(OR($D4924="",$R4924="Trùng"),"",SUMIFS(ORDERS!$J$2:$J$4995,ORDERS!$C$2:$C$4995,$D4924,ORDERS!$L$2:$L$4995,"Đã chuyển khoản"))</f>
        <v/>
      </c>
      <c r="Y4924" s="24" t="n"/>
    </row>
    <row r="4925" ht="14.25" customHeight="1" s="40">
      <c r="A4925" s="24" t="n"/>
      <c r="B4925" s="27" t="n"/>
      <c r="C4925" s="24" t="n"/>
      <c r="D4925" s="28" t="n"/>
      <c r="E4925" s="29" t="n"/>
      <c r="F4925" s="24" t="n"/>
      <c r="G4925" s="24" t="n"/>
      <c r="H4925" s="21">
        <f>IF(ISNUMBER($B4925),INT($B4925)-WEEKDAY($B4925,2)+1,"")</f>
        <v/>
      </c>
      <c r="I4925" s="24" t="n"/>
      <c r="J4925" s="22">
        <f t="array" ref="J4925">IF($D4925="","",IF($I4925="","(trống REF)",IFERROR(INDEX(MASTER_SOURCE!$B$2:$B$495,MATCH($I4925,MASTER_SOURCE!$A$2:$A$495,0)),"(REF không có trong MASTER_SOURCE)")))</f>
        <v/>
      </c>
      <c r="K4925" s="22">
        <f t="array" ref="K4925">IF($D4925="","",IFERROR(INDEX(MASTER_SOURCE!$C$2:$C$495,MATCH($I4925,MASTER_SOURCE!$A$2:$A$495,0)),""))</f>
        <v/>
      </c>
      <c r="L4925" s="22">
        <f t="array" ref="L4925">IF($D4925="","",IFERROR(INDEX(MASTER_SOURCE!$D$2:$D$495,MATCH($I4925,MASTER_SOURCE!$A$2:$A$495,0)),""))</f>
        <v/>
      </c>
      <c r="M4925" s="24" t="n"/>
      <c r="N4925" s="24" t="n"/>
      <c r="O4925" s="24" t="n"/>
      <c r="P4925" s="24" t="n"/>
      <c r="Q4925" s="22">
        <f>IF($D4925="","",IF(AND(OR(DANH_MUC!$L$5&lt;&gt;"Có",M4925="Có"),OR(DANH_MUC!$L$6&lt;&gt;"Có",N4925="Có"),OR(DANH_MUC!$L$7&lt;&gt;"Có",O4925="Có"),OR(DANH_MUC!$L$8&lt;&gt;"Có",P4925="Có")),"Có","Không"))</f>
        <v/>
      </c>
      <c r="R4925" s="22">
        <f>IF($D4925="","",IF(COUNTIF($D$2:$D4925,$D4925)&gt;1,"Trùng",""))</f>
        <v/>
      </c>
      <c r="S4925" s="22">
        <f>IF($D4925="","",IF(AND(LEN($D4925)=10,LEFT($D4925,1)="0",ISNUMBER(--$D4925)),"Có","Không"))</f>
        <v/>
      </c>
      <c r="T4925" s="22">
        <f>IF($D4925="","",IF(AND($C4925&lt;&gt;"",$Q4925="Có",$R4925="",$S4925="Có",AND($L4925&lt;&gt;"",OR($L4925&lt;&gt;"Chưa xác định",DANH_MUC!$L$9="Có"))),"Có","Không"))</f>
        <v/>
      </c>
      <c r="U4925" s="22">
        <f>IF(OR($D4925="",$T4925="Có"),"",IF($C4925="","Thiếu họ tên; ","")&amp;IF($S4925&lt;&gt;"Có","SĐT sai định dạng; ","")&amp;IF($R4925="Trùng","Trùng SĐT; ","")&amp;IF($Q4925&lt;&gt;"Có","Thiếu đồng ý bắt buộc; ","")&amp;IF($L4925="","Thiếu/sai Mã REF; ",IF(AND($L4925="Chưa xác định",DANH_MUC!$L$9&lt;&gt;"Có"),"Nguồn chưa xác định; ","")))</f>
        <v/>
      </c>
      <c r="V4925" s="22">
        <f>IF(OR($D4925="",$R4925="Trùng"),"",IF(COUNTIF(ORDERS!$C$2:$C$4995,$D4925)&gt;0,"Có","Không"))</f>
        <v/>
      </c>
      <c r="W4925" s="22">
        <f>IF(OR($D4925="",$R4925="Trùng"),"",COUNTIFS(ORDERS!$C$2:$C$4995,$D4925,ORDERS!$L$2:$L$4995,"Đã chuyển khoản"))</f>
        <v/>
      </c>
      <c r="X4925" s="23">
        <f>IF(OR($D4925="",$R4925="Trùng"),"",SUMIFS(ORDERS!$J$2:$J$4995,ORDERS!$C$2:$C$4995,$D4925,ORDERS!$L$2:$L$4995,"Đã chuyển khoản"))</f>
        <v/>
      </c>
      <c r="Y4925" s="24" t="n"/>
    </row>
    <row r="4926" ht="14.25" customHeight="1" s="40">
      <c r="A4926" s="24" t="n"/>
      <c r="B4926" s="27" t="n"/>
      <c r="C4926" s="24" t="n"/>
      <c r="D4926" s="28" t="n"/>
      <c r="E4926" s="29" t="n"/>
      <c r="F4926" s="24" t="n"/>
      <c r="G4926" s="24" t="n"/>
      <c r="H4926" s="21">
        <f>IF(ISNUMBER($B4926),INT($B4926)-WEEKDAY($B4926,2)+1,"")</f>
        <v/>
      </c>
      <c r="I4926" s="24" t="n"/>
      <c r="J4926" s="22">
        <f t="array" ref="J4926">IF($D4926="","",IF($I4926="","(trống REF)",IFERROR(INDEX(MASTER_SOURCE!$B$2:$B$495,MATCH($I4926,MASTER_SOURCE!$A$2:$A$495,0)),"(REF không có trong MASTER_SOURCE)")))</f>
        <v/>
      </c>
      <c r="K4926" s="22">
        <f t="array" ref="K4926">IF($D4926="","",IFERROR(INDEX(MASTER_SOURCE!$C$2:$C$495,MATCH($I4926,MASTER_SOURCE!$A$2:$A$495,0)),""))</f>
        <v/>
      </c>
      <c r="L4926" s="22">
        <f t="array" ref="L4926">IF($D4926="","",IFERROR(INDEX(MASTER_SOURCE!$D$2:$D$495,MATCH($I4926,MASTER_SOURCE!$A$2:$A$495,0)),""))</f>
        <v/>
      </c>
      <c r="M4926" s="24" t="n"/>
      <c r="N4926" s="24" t="n"/>
      <c r="O4926" s="24" t="n"/>
      <c r="P4926" s="24" t="n"/>
      <c r="Q4926" s="22">
        <f>IF($D4926="","",IF(AND(OR(DANH_MUC!$L$5&lt;&gt;"Có",M4926="Có"),OR(DANH_MUC!$L$6&lt;&gt;"Có",N4926="Có"),OR(DANH_MUC!$L$7&lt;&gt;"Có",O4926="Có"),OR(DANH_MUC!$L$8&lt;&gt;"Có",P4926="Có")),"Có","Không"))</f>
        <v/>
      </c>
      <c r="R4926" s="22">
        <f>IF($D4926="","",IF(COUNTIF($D$2:$D4926,$D4926)&gt;1,"Trùng",""))</f>
        <v/>
      </c>
      <c r="S4926" s="22">
        <f>IF($D4926="","",IF(AND(LEN($D4926)=10,LEFT($D4926,1)="0",ISNUMBER(--$D4926)),"Có","Không"))</f>
        <v/>
      </c>
      <c r="T4926" s="22">
        <f>IF($D4926="","",IF(AND($C4926&lt;&gt;"",$Q4926="Có",$R4926="",$S4926="Có",AND($L4926&lt;&gt;"",OR($L4926&lt;&gt;"Chưa xác định",DANH_MUC!$L$9="Có"))),"Có","Không"))</f>
        <v/>
      </c>
      <c r="U4926" s="22">
        <f>IF(OR($D4926="",$T4926="Có"),"",IF($C4926="","Thiếu họ tên; ","")&amp;IF($S4926&lt;&gt;"Có","SĐT sai định dạng; ","")&amp;IF($R4926="Trùng","Trùng SĐT; ","")&amp;IF($Q4926&lt;&gt;"Có","Thiếu đồng ý bắt buộc; ","")&amp;IF($L4926="","Thiếu/sai Mã REF; ",IF(AND($L4926="Chưa xác định",DANH_MUC!$L$9&lt;&gt;"Có"),"Nguồn chưa xác định; ","")))</f>
        <v/>
      </c>
      <c r="V4926" s="22">
        <f>IF(OR($D4926="",$R4926="Trùng"),"",IF(COUNTIF(ORDERS!$C$2:$C$4995,$D4926)&gt;0,"Có","Không"))</f>
        <v/>
      </c>
      <c r="W4926" s="22">
        <f>IF(OR($D4926="",$R4926="Trùng"),"",COUNTIFS(ORDERS!$C$2:$C$4995,$D4926,ORDERS!$L$2:$L$4995,"Đã chuyển khoản"))</f>
        <v/>
      </c>
      <c r="X4926" s="23">
        <f>IF(OR($D4926="",$R4926="Trùng"),"",SUMIFS(ORDERS!$J$2:$J$4995,ORDERS!$C$2:$C$4995,$D4926,ORDERS!$L$2:$L$4995,"Đã chuyển khoản"))</f>
        <v/>
      </c>
      <c r="Y4926" s="24" t="n"/>
    </row>
    <row r="4927" ht="14.25" customHeight="1" s="40">
      <c r="A4927" s="24" t="n"/>
      <c r="B4927" s="27" t="n"/>
      <c r="C4927" s="24" t="n"/>
      <c r="D4927" s="28" t="n"/>
      <c r="E4927" s="29" t="n"/>
      <c r="F4927" s="24" t="n"/>
      <c r="G4927" s="24" t="n"/>
      <c r="H4927" s="21">
        <f>IF(ISNUMBER($B4927),INT($B4927)-WEEKDAY($B4927,2)+1,"")</f>
        <v/>
      </c>
      <c r="I4927" s="24" t="n"/>
      <c r="J4927" s="22">
        <f t="array" ref="J4927">IF($D4927="","",IF($I4927="","(trống REF)",IFERROR(INDEX(MASTER_SOURCE!$B$2:$B$495,MATCH($I4927,MASTER_SOURCE!$A$2:$A$495,0)),"(REF không có trong MASTER_SOURCE)")))</f>
        <v/>
      </c>
      <c r="K4927" s="22">
        <f t="array" ref="K4927">IF($D4927="","",IFERROR(INDEX(MASTER_SOURCE!$C$2:$C$495,MATCH($I4927,MASTER_SOURCE!$A$2:$A$495,0)),""))</f>
        <v/>
      </c>
      <c r="L4927" s="22">
        <f t="array" ref="L4927">IF($D4927="","",IFERROR(INDEX(MASTER_SOURCE!$D$2:$D$495,MATCH($I4927,MASTER_SOURCE!$A$2:$A$495,0)),""))</f>
        <v/>
      </c>
      <c r="M4927" s="24" t="n"/>
      <c r="N4927" s="24" t="n"/>
      <c r="O4927" s="24" t="n"/>
      <c r="P4927" s="24" t="n"/>
      <c r="Q4927" s="22">
        <f>IF($D4927="","",IF(AND(OR(DANH_MUC!$L$5&lt;&gt;"Có",M4927="Có"),OR(DANH_MUC!$L$6&lt;&gt;"Có",N4927="Có"),OR(DANH_MUC!$L$7&lt;&gt;"Có",O4927="Có"),OR(DANH_MUC!$L$8&lt;&gt;"Có",P4927="Có")),"Có","Không"))</f>
        <v/>
      </c>
      <c r="R4927" s="22">
        <f>IF($D4927="","",IF(COUNTIF($D$2:$D4927,$D4927)&gt;1,"Trùng",""))</f>
        <v/>
      </c>
      <c r="S4927" s="22">
        <f>IF($D4927="","",IF(AND(LEN($D4927)=10,LEFT($D4927,1)="0",ISNUMBER(--$D4927)),"Có","Không"))</f>
        <v/>
      </c>
      <c r="T4927" s="22">
        <f>IF($D4927="","",IF(AND($C4927&lt;&gt;"",$Q4927="Có",$R4927="",$S4927="Có",AND($L4927&lt;&gt;"",OR($L4927&lt;&gt;"Chưa xác định",DANH_MUC!$L$9="Có"))),"Có","Không"))</f>
        <v/>
      </c>
      <c r="U4927" s="22">
        <f>IF(OR($D4927="",$T4927="Có"),"",IF($C4927="","Thiếu họ tên; ","")&amp;IF($S4927&lt;&gt;"Có","SĐT sai định dạng; ","")&amp;IF($R4927="Trùng","Trùng SĐT; ","")&amp;IF($Q4927&lt;&gt;"Có","Thiếu đồng ý bắt buộc; ","")&amp;IF($L4927="","Thiếu/sai Mã REF; ",IF(AND($L4927="Chưa xác định",DANH_MUC!$L$9&lt;&gt;"Có"),"Nguồn chưa xác định; ","")))</f>
        <v/>
      </c>
      <c r="V4927" s="22">
        <f>IF(OR($D4927="",$R4927="Trùng"),"",IF(COUNTIF(ORDERS!$C$2:$C$4995,$D4927)&gt;0,"Có","Không"))</f>
        <v/>
      </c>
      <c r="W4927" s="22">
        <f>IF(OR($D4927="",$R4927="Trùng"),"",COUNTIFS(ORDERS!$C$2:$C$4995,$D4927,ORDERS!$L$2:$L$4995,"Đã chuyển khoản"))</f>
        <v/>
      </c>
      <c r="X4927" s="23">
        <f>IF(OR($D4927="",$R4927="Trùng"),"",SUMIFS(ORDERS!$J$2:$J$4995,ORDERS!$C$2:$C$4995,$D4927,ORDERS!$L$2:$L$4995,"Đã chuyển khoản"))</f>
        <v/>
      </c>
      <c r="Y4927" s="24" t="n"/>
    </row>
    <row r="4928" ht="14.25" customHeight="1" s="40">
      <c r="A4928" s="24" t="n"/>
      <c r="B4928" s="27" t="n"/>
      <c r="C4928" s="24" t="n"/>
      <c r="D4928" s="28" t="n"/>
      <c r="E4928" s="29" t="n"/>
      <c r="F4928" s="24" t="n"/>
      <c r="G4928" s="24" t="n"/>
      <c r="H4928" s="21">
        <f>IF(ISNUMBER($B4928),INT($B4928)-WEEKDAY($B4928,2)+1,"")</f>
        <v/>
      </c>
      <c r="I4928" s="24" t="n"/>
      <c r="J4928" s="22">
        <f t="array" ref="J4928">IF($D4928="","",IF($I4928="","(trống REF)",IFERROR(INDEX(MASTER_SOURCE!$B$2:$B$495,MATCH($I4928,MASTER_SOURCE!$A$2:$A$495,0)),"(REF không có trong MASTER_SOURCE)")))</f>
        <v/>
      </c>
      <c r="K4928" s="22">
        <f t="array" ref="K4928">IF($D4928="","",IFERROR(INDEX(MASTER_SOURCE!$C$2:$C$495,MATCH($I4928,MASTER_SOURCE!$A$2:$A$495,0)),""))</f>
        <v/>
      </c>
      <c r="L4928" s="22">
        <f t="array" ref="L4928">IF($D4928="","",IFERROR(INDEX(MASTER_SOURCE!$D$2:$D$495,MATCH($I4928,MASTER_SOURCE!$A$2:$A$495,0)),""))</f>
        <v/>
      </c>
      <c r="M4928" s="24" t="n"/>
      <c r="N4928" s="24" t="n"/>
      <c r="O4928" s="24" t="n"/>
      <c r="P4928" s="24" t="n"/>
      <c r="Q4928" s="22">
        <f>IF($D4928="","",IF(AND(OR(DANH_MUC!$L$5&lt;&gt;"Có",M4928="Có"),OR(DANH_MUC!$L$6&lt;&gt;"Có",N4928="Có"),OR(DANH_MUC!$L$7&lt;&gt;"Có",O4928="Có"),OR(DANH_MUC!$L$8&lt;&gt;"Có",P4928="Có")),"Có","Không"))</f>
        <v/>
      </c>
      <c r="R4928" s="22">
        <f>IF($D4928="","",IF(COUNTIF($D$2:$D4928,$D4928)&gt;1,"Trùng",""))</f>
        <v/>
      </c>
      <c r="S4928" s="22">
        <f>IF($D4928="","",IF(AND(LEN($D4928)=10,LEFT($D4928,1)="0",ISNUMBER(--$D4928)),"Có","Không"))</f>
        <v/>
      </c>
      <c r="T4928" s="22">
        <f>IF($D4928="","",IF(AND($C4928&lt;&gt;"",$Q4928="Có",$R4928="",$S4928="Có",AND($L4928&lt;&gt;"",OR($L4928&lt;&gt;"Chưa xác định",DANH_MUC!$L$9="Có"))),"Có","Không"))</f>
        <v/>
      </c>
      <c r="U4928" s="22">
        <f>IF(OR($D4928="",$T4928="Có"),"",IF($C4928="","Thiếu họ tên; ","")&amp;IF($S4928&lt;&gt;"Có","SĐT sai định dạng; ","")&amp;IF($R4928="Trùng","Trùng SĐT; ","")&amp;IF($Q4928&lt;&gt;"Có","Thiếu đồng ý bắt buộc; ","")&amp;IF($L4928="","Thiếu/sai Mã REF; ",IF(AND($L4928="Chưa xác định",DANH_MUC!$L$9&lt;&gt;"Có"),"Nguồn chưa xác định; ","")))</f>
        <v/>
      </c>
      <c r="V4928" s="22">
        <f>IF(OR($D4928="",$R4928="Trùng"),"",IF(COUNTIF(ORDERS!$C$2:$C$4995,$D4928)&gt;0,"Có","Không"))</f>
        <v/>
      </c>
      <c r="W4928" s="22">
        <f>IF(OR($D4928="",$R4928="Trùng"),"",COUNTIFS(ORDERS!$C$2:$C$4995,$D4928,ORDERS!$L$2:$L$4995,"Đã chuyển khoản"))</f>
        <v/>
      </c>
      <c r="X4928" s="23">
        <f>IF(OR($D4928="",$R4928="Trùng"),"",SUMIFS(ORDERS!$J$2:$J$4995,ORDERS!$C$2:$C$4995,$D4928,ORDERS!$L$2:$L$4995,"Đã chuyển khoản"))</f>
        <v/>
      </c>
      <c r="Y4928" s="24" t="n"/>
    </row>
    <row r="4929" ht="14.25" customHeight="1" s="40">
      <c r="A4929" s="24" t="n"/>
      <c r="B4929" s="27" t="n"/>
      <c r="C4929" s="24" t="n"/>
      <c r="D4929" s="28" t="n"/>
      <c r="E4929" s="29" t="n"/>
      <c r="F4929" s="24" t="n"/>
      <c r="G4929" s="24" t="n"/>
      <c r="H4929" s="21">
        <f>IF(ISNUMBER($B4929),INT($B4929)-WEEKDAY($B4929,2)+1,"")</f>
        <v/>
      </c>
      <c r="I4929" s="24" t="n"/>
      <c r="J4929" s="22">
        <f t="array" ref="J4929">IF($D4929="","",IF($I4929="","(trống REF)",IFERROR(INDEX(MASTER_SOURCE!$B$2:$B$495,MATCH($I4929,MASTER_SOURCE!$A$2:$A$495,0)),"(REF không có trong MASTER_SOURCE)")))</f>
        <v/>
      </c>
      <c r="K4929" s="22">
        <f t="array" ref="K4929">IF($D4929="","",IFERROR(INDEX(MASTER_SOURCE!$C$2:$C$495,MATCH($I4929,MASTER_SOURCE!$A$2:$A$495,0)),""))</f>
        <v/>
      </c>
      <c r="L4929" s="22">
        <f t="array" ref="L4929">IF($D4929="","",IFERROR(INDEX(MASTER_SOURCE!$D$2:$D$495,MATCH($I4929,MASTER_SOURCE!$A$2:$A$495,0)),""))</f>
        <v/>
      </c>
      <c r="M4929" s="24" t="n"/>
      <c r="N4929" s="24" t="n"/>
      <c r="O4929" s="24" t="n"/>
      <c r="P4929" s="24" t="n"/>
      <c r="Q4929" s="22">
        <f>IF($D4929="","",IF(AND(OR(DANH_MUC!$L$5&lt;&gt;"Có",M4929="Có"),OR(DANH_MUC!$L$6&lt;&gt;"Có",N4929="Có"),OR(DANH_MUC!$L$7&lt;&gt;"Có",O4929="Có"),OR(DANH_MUC!$L$8&lt;&gt;"Có",P4929="Có")),"Có","Không"))</f>
        <v/>
      </c>
      <c r="R4929" s="22">
        <f>IF($D4929="","",IF(COUNTIF($D$2:$D4929,$D4929)&gt;1,"Trùng",""))</f>
        <v/>
      </c>
      <c r="S4929" s="22">
        <f>IF($D4929="","",IF(AND(LEN($D4929)=10,LEFT($D4929,1)="0",ISNUMBER(--$D4929)),"Có","Không"))</f>
        <v/>
      </c>
      <c r="T4929" s="22">
        <f>IF($D4929="","",IF(AND($C4929&lt;&gt;"",$Q4929="Có",$R4929="",$S4929="Có",AND($L4929&lt;&gt;"",OR($L4929&lt;&gt;"Chưa xác định",DANH_MUC!$L$9="Có"))),"Có","Không"))</f>
        <v/>
      </c>
      <c r="U4929" s="22">
        <f>IF(OR($D4929="",$T4929="Có"),"",IF($C4929="","Thiếu họ tên; ","")&amp;IF($S4929&lt;&gt;"Có","SĐT sai định dạng; ","")&amp;IF($R4929="Trùng","Trùng SĐT; ","")&amp;IF($Q4929&lt;&gt;"Có","Thiếu đồng ý bắt buộc; ","")&amp;IF($L4929="","Thiếu/sai Mã REF; ",IF(AND($L4929="Chưa xác định",DANH_MUC!$L$9&lt;&gt;"Có"),"Nguồn chưa xác định; ","")))</f>
        <v/>
      </c>
      <c r="V4929" s="22">
        <f>IF(OR($D4929="",$R4929="Trùng"),"",IF(COUNTIF(ORDERS!$C$2:$C$4995,$D4929)&gt;0,"Có","Không"))</f>
        <v/>
      </c>
      <c r="W4929" s="22">
        <f>IF(OR($D4929="",$R4929="Trùng"),"",COUNTIFS(ORDERS!$C$2:$C$4995,$D4929,ORDERS!$L$2:$L$4995,"Đã chuyển khoản"))</f>
        <v/>
      </c>
      <c r="X4929" s="23">
        <f>IF(OR($D4929="",$R4929="Trùng"),"",SUMIFS(ORDERS!$J$2:$J$4995,ORDERS!$C$2:$C$4995,$D4929,ORDERS!$L$2:$L$4995,"Đã chuyển khoản"))</f>
        <v/>
      </c>
      <c r="Y4929" s="24" t="n"/>
    </row>
    <row r="4930" ht="14.25" customHeight="1" s="40">
      <c r="A4930" s="24" t="n"/>
      <c r="B4930" s="27" t="n"/>
      <c r="C4930" s="24" t="n"/>
      <c r="D4930" s="28" t="n"/>
      <c r="E4930" s="29" t="n"/>
      <c r="F4930" s="24" t="n"/>
      <c r="G4930" s="24" t="n"/>
      <c r="H4930" s="21">
        <f>IF(ISNUMBER($B4930),INT($B4930)-WEEKDAY($B4930,2)+1,"")</f>
        <v/>
      </c>
      <c r="I4930" s="24" t="n"/>
      <c r="J4930" s="22">
        <f t="array" ref="J4930">IF($D4930="","",IF($I4930="","(trống REF)",IFERROR(INDEX(MASTER_SOURCE!$B$2:$B$495,MATCH($I4930,MASTER_SOURCE!$A$2:$A$495,0)),"(REF không có trong MASTER_SOURCE)")))</f>
        <v/>
      </c>
      <c r="K4930" s="22">
        <f t="array" ref="K4930">IF($D4930="","",IFERROR(INDEX(MASTER_SOURCE!$C$2:$C$495,MATCH($I4930,MASTER_SOURCE!$A$2:$A$495,0)),""))</f>
        <v/>
      </c>
      <c r="L4930" s="22">
        <f t="array" ref="L4930">IF($D4930="","",IFERROR(INDEX(MASTER_SOURCE!$D$2:$D$495,MATCH($I4930,MASTER_SOURCE!$A$2:$A$495,0)),""))</f>
        <v/>
      </c>
      <c r="M4930" s="24" t="n"/>
      <c r="N4930" s="24" t="n"/>
      <c r="O4930" s="24" t="n"/>
      <c r="P4930" s="24" t="n"/>
      <c r="Q4930" s="22">
        <f>IF($D4930="","",IF(AND(OR(DANH_MUC!$L$5&lt;&gt;"Có",M4930="Có"),OR(DANH_MUC!$L$6&lt;&gt;"Có",N4930="Có"),OR(DANH_MUC!$L$7&lt;&gt;"Có",O4930="Có"),OR(DANH_MUC!$L$8&lt;&gt;"Có",P4930="Có")),"Có","Không"))</f>
        <v/>
      </c>
      <c r="R4930" s="22">
        <f>IF($D4930="","",IF(COUNTIF($D$2:$D4930,$D4930)&gt;1,"Trùng",""))</f>
        <v/>
      </c>
      <c r="S4930" s="22">
        <f>IF($D4930="","",IF(AND(LEN($D4930)=10,LEFT($D4930,1)="0",ISNUMBER(--$D4930)),"Có","Không"))</f>
        <v/>
      </c>
      <c r="T4930" s="22">
        <f>IF($D4930="","",IF(AND($C4930&lt;&gt;"",$Q4930="Có",$R4930="",$S4930="Có",AND($L4930&lt;&gt;"",OR($L4930&lt;&gt;"Chưa xác định",DANH_MUC!$L$9="Có"))),"Có","Không"))</f>
        <v/>
      </c>
      <c r="U4930" s="22">
        <f>IF(OR($D4930="",$T4930="Có"),"",IF($C4930="","Thiếu họ tên; ","")&amp;IF($S4930&lt;&gt;"Có","SĐT sai định dạng; ","")&amp;IF($R4930="Trùng","Trùng SĐT; ","")&amp;IF($Q4930&lt;&gt;"Có","Thiếu đồng ý bắt buộc; ","")&amp;IF($L4930="","Thiếu/sai Mã REF; ",IF(AND($L4930="Chưa xác định",DANH_MUC!$L$9&lt;&gt;"Có"),"Nguồn chưa xác định; ","")))</f>
        <v/>
      </c>
      <c r="V4930" s="22">
        <f>IF(OR($D4930="",$R4930="Trùng"),"",IF(COUNTIF(ORDERS!$C$2:$C$4995,$D4930)&gt;0,"Có","Không"))</f>
        <v/>
      </c>
      <c r="W4930" s="22">
        <f>IF(OR($D4930="",$R4930="Trùng"),"",COUNTIFS(ORDERS!$C$2:$C$4995,$D4930,ORDERS!$L$2:$L$4995,"Đã chuyển khoản"))</f>
        <v/>
      </c>
      <c r="X4930" s="23">
        <f>IF(OR($D4930="",$R4930="Trùng"),"",SUMIFS(ORDERS!$J$2:$J$4995,ORDERS!$C$2:$C$4995,$D4930,ORDERS!$L$2:$L$4995,"Đã chuyển khoản"))</f>
        <v/>
      </c>
      <c r="Y4930" s="24" t="n"/>
    </row>
    <row r="4931" ht="14.25" customHeight="1" s="40">
      <c r="A4931" s="24" t="n"/>
      <c r="B4931" s="27" t="n"/>
      <c r="C4931" s="24" t="n"/>
      <c r="D4931" s="28" t="n"/>
      <c r="E4931" s="29" t="n"/>
      <c r="F4931" s="24" t="n"/>
      <c r="G4931" s="24" t="n"/>
      <c r="H4931" s="21">
        <f>IF(ISNUMBER($B4931),INT($B4931)-WEEKDAY($B4931,2)+1,"")</f>
        <v/>
      </c>
      <c r="I4931" s="24" t="n"/>
      <c r="J4931" s="22">
        <f t="array" ref="J4931">IF($D4931="","",IF($I4931="","(trống REF)",IFERROR(INDEX(MASTER_SOURCE!$B$2:$B$495,MATCH($I4931,MASTER_SOURCE!$A$2:$A$495,0)),"(REF không có trong MASTER_SOURCE)")))</f>
        <v/>
      </c>
      <c r="K4931" s="22">
        <f t="array" ref="K4931">IF($D4931="","",IFERROR(INDEX(MASTER_SOURCE!$C$2:$C$495,MATCH($I4931,MASTER_SOURCE!$A$2:$A$495,0)),""))</f>
        <v/>
      </c>
      <c r="L4931" s="22">
        <f t="array" ref="L4931">IF($D4931="","",IFERROR(INDEX(MASTER_SOURCE!$D$2:$D$495,MATCH($I4931,MASTER_SOURCE!$A$2:$A$495,0)),""))</f>
        <v/>
      </c>
      <c r="M4931" s="24" t="n"/>
      <c r="N4931" s="24" t="n"/>
      <c r="O4931" s="24" t="n"/>
      <c r="P4931" s="24" t="n"/>
      <c r="Q4931" s="22">
        <f>IF($D4931="","",IF(AND(OR(DANH_MUC!$L$5&lt;&gt;"Có",M4931="Có"),OR(DANH_MUC!$L$6&lt;&gt;"Có",N4931="Có"),OR(DANH_MUC!$L$7&lt;&gt;"Có",O4931="Có"),OR(DANH_MUC!$L$8&lt;&gt;"Có",P4931="Có")),"Có","Không"))</f>
        <v/>
      </c>
      <c r="R4931" s="22">
        <f>IF($D4931="","",IF(COUNTIF($D$2:$D4931,$D4931)&gt;1,"Trùng",""))</f>
        <v/>
      </c>
      <c r="S4931" s="22">
        <f>IF($D4931="","",IF(AND(LEN($D4931)=10,LEFT($D4931,1)="0",ISNUMBER(--$D4931)),"Có","Không"))</f>
        <v/>
      </c>
      <c r="T4931" s="22">
        <f>IF($D4931="","",IF(AND($C4931&lt;&gt;"",$Q4931="Có",$R4931="",$S4931="Có",AND($L4931&lt;&gt;"",OR($L4931&lt;&gt;"Chưa xác định",DANH_MUC!$L$9="Có"))),"Có","Không"))</f>
        <v/>
      </c>
      <c r="U4931" s="22">
        <f>IF(OR($D4931="",$T4931="Có"),"",IF($C4931="","Thiếu họ tên; ","")&amp;IF($S4931&lt;&gt;"Có","SĐT sai định dạng; ","")&amp;IF($R4931="Trùng","Trùng SĐT; ","")&amp;IF($Q4931&lt;&gt;"Có","Thiếu đồng ý bắt buộc; ","")&amp;IF($L4931="","Thiếu/sai Mã REF; ",IF(AND($L4931="Chưa xác định",DANH_MUC!$L$9&lt;&gt;"Có"),"Nguồn chưa xác định; ","")))</f>
        <v/>
      </c>
      <c r="V4931" s="22">
        <f>IF(OR($D4931="",$R4931="Trùng"),"",IF(COUNTIF(ORDERS!$C$2:$C$4995,$D4931)&gt;0,"Có","Không"))</f>
        <v/>
      </c>
      <c r="W4931" s="22">
        <f>IF(OR($D4931="",$R4931="Trùng"),"",COUNTIFS(ORDERS!$C$2:$C$4995,$D4931,ORDERS!$L$2:$L$4995,"Đã chuyển khoản"))</f>
        <v/>
      </c>
      <c r="X4931" s="23">
        <f>IF(OR($D4931="",$R4931="Trùng"),"",SUMIFS(ORDERS!$J$2:$J$4995,ORDERS!$C$2:$C$4995,$D4931,ORDERS!$L$2:$L$4995,"Đã chuyển khoản"))</f>
        <v/>
      </c>
      <c r="Y4931" s="24" t="n"/>
    </row>
    <row r="4932" ht="14.25" customHeight="1" s="40">
      <c r="A4932" s="24" t="n"/>
      <c r="B4932" s="27" t="n"/>
      <c r="C4932" s="24" t="n"/>
      <c r="D4932" s="28" t="n"/>
      <c r="E4932" s="29" t="n"/>
      <c r="F4932" s="24" t="n"/>
      <c r="G4932" s="24" t="n"/>
      <c r="H4932" s="21">
        <f>IF(ISNUMBER($B4932),INT($B4932)-WEEKDAY($B4932,2)+1,"")</f>
        <v/>
      </c>
      <c r="I4932" s="24" t="n"/>
      <c r="J4932" s="22">
        <f t="array" ref="J4932">IF($D4932="","",IF($I4932="","(trống REF)",IFERROR(INDEX(MASTER_SOURCE!$B$2:$B$495,MATCH($I4932,MASTER_SOURCE!$A$2:$A$495,0)),"(REF không có trong MASTER_SOURCE)")))</f>
        <v/>
      </c>
      <c r="K4932" s="22">
        <f t="array" ref="K4932">IF($D4932="","",IFERROR(INDEX(MASTER_SOURCE!$C$2:$C$495,MATCH($I4932,MASTER_SOURCE!$A$2:$A$495,0)),""))</f>
        <v/>
      </c>
      <c r="L4932" s="22">
        <f t="array" ref="L4932">IF($D4932="","",IFERROR(INDEX(MASTER_SOURCE!$D$2:$D$495,MATCH($I4932,MASTER_SOURCE!$A$2:$A$495,0)),""))</f>
        <v/>
      </c>
      <c r="M4932" s="24" t="n"/>
      <c r="N4932" s="24" t="n"/>
      <c r="O4932" s="24" t="n"/>
      <c r="P4932" s="24" t="n"/>
      <c r="Q4932" s="22">
        <f>IF($D4932="","",IF(AND(OR(DANH_MUC!$L$5&lt;&gt;"Có",M4932="Có"),OR(DANH_MUC!$L$6&lt;&gt;"Có",N4932="Có"),OR(DANH_MUC!$L$7&lt;&gt;"Có",O4932="Có"),OR(DANH_MUC!$L$8&lt;&gt;"Có",P4932="Có")),"Có","Không"))</f>
        <v/>
      </c>
      <c r="R4932" s="22">
        <f>IF($D4932="","",IF(COUNTIF($D$2:$D4932,$D4932)&gt;1,"Trùng",""))</f>
        <v/>
      </c>
      <c r="S4932" s="22">
        <f>IF($D4932="","",IF(AND(LEN($D4932)=10,LEFT($D4932,1)="0",ISNUMBER(--$D4932)),"Có","Không"))</f>
        <v/>
      </c>
      <c r="T4932" s="22">
        <f>IF($D4932="","",IF(AND($C4932&lt;&gt;"",$Q4932="Có",$R4932="",$S4932="Có",AND($L4932&lt;&gt;"",OR($L4932&lt;&gt;"Chưa xác định",DANH_MUC!$L$9="Có"))),"Có","Không"))</f>
        <v/>
      </c>
      <c r="U4932" s="22">
        <f>IF(OR($D4932="",$T4932="Có"),"",IF($C4932="","Thiếu họ tên; ","")&amp;IF($S4932&lt;&gt;"Có","SĐT sai định dạng; ","")&amp;IF($R4932="Trùng","Trùng SĐT; ","")&amp;IF($Q4932&lt;&gt;"Có","Thiếu đồng ý bắt buộc; ","")&amp;IF($L4932="","Thiếu/sai Mã REF; ",IF(AND($L4932="Chưa xác định",DANH_MUC!$L$9&lt;&gt;"Có"),"Nguồn chưa xác định; ","")))</f>
        <v/>
      </c>
      <c r="V4932" s="22">
        <f>IF(OR($D4932="",$R4932="Trùng"),"",IF(COUNTIF(ORDERS!$C$2:$C$4995,$D4932)&gt;0,"Có","Không"))</f>
        <v/>
      </c>
      <c r="W4932" s="22">
        <f>IF(OR($D4932="",$R4932="Trùng"),"",COUNTIFS(ORDERS!$C$2:$C$4995,$D4932,ORDERS!$L$2:$L$4995,"Đã chuyển khoản"))</f>
        <v/>
      </c>
      <c r="X4932" s="23">
        <f>IF(OR($D4932="",$R4932="Trùng"),"",SUMIFS(ORDERS!$J$2:$J$4995,ORDERS!$C$2:$C$4995,$D4932,ORDERS!$L$2:$L$4995,"Đã chuyển khoản"))</f>
        <v/>
      </c>
      <c r="Y4932" s="24" t="n"/>
    </row>
    <row r="4933" ht="14.25" customHeight="1" s="40">
      <c r="A4933" s="24" t="n"/>
      <c r="B4933" s="27" t="n"/>
      <c r="C4933" s="24" t="n"/>
      <c r="D4933" s="28" t="n"/>
      <c r="E4933" s="29" t="n"/>
      <c r="F4933" s="24" t="n"/>
      <c r="G4933" s="24" t="n"/>
      <c r="H4933" s="21">
        <f>IF(ISNUMBER($B4933),INT($B4933)-WEEKDAY($B4933,2)+1,"")</f>
        <v/>
      </c>
      <c r="I4933" s="24" t="n"/>
      <c r="J4933" s="22">
        <f t="array" ref="J4933">IF($D4933="","",IF($I4933="","(trống REF)",IFERROR(INDEX(MASTER_SOURCE!$B$2:$B$495,MATCH($I4933,MASTER_SOURCE!$A$2:$A$495,0)),"(REF không có trong MASTER_SOURCE)")))</f>
        <v/>
      </c>
      <c r="K4933" s="22">
        <f t="array" ref="K4933">IF($D4933="","",IFERROR(INDEX(MASTER_SOURCE!$C$2:$C$495,MATCH($I4933,MASTER_SOURCE!$A$2:$A$495,0)),""))</f>
        <v/>
      </c>
      <c r="L4933" s="22">
        <f t="array" ref="L4933">IF($D4933="","",IFERROR(INDEX(MASTER_SOURCE!$D$2:$D$495,MATCH($I4933,MASTER_SOURCE!$A$2:$A$495,0)),""))</f>
        <v/>
      </c>
      <c r="M4933" s="24" t="n"/>
      <c r="N4933" s="24" t="n"/>
      <c r="O4933" s="24" t="n"/>
      <c r="P4933" s="24" t="n"/>
      <c r="Q4933" s="22">
        <f>IF($D4933="","",IF(AND(OR(DANH_MUC!$L$5&lt;&gt;"Có",M4933="Có"),OR(DANH_MUC!$L$6&lt;&gt;"Có",N4933="Có"),OR(DANH_MUC!$L$7&lt;&gt;"Có",O4933="Có"),OR(DANH_MUC!$L$8&lt;&gt;"Có",P4933="Có")),"Có","Không"))</f>
        <v/>
      </c>
      <c r="R4933" s="22">
        <f>IF($D4933="","",IF(COUNTIF($D$2:$D4933,$D4933)&gt;1,"Trùng",""))</f>
        <v/>
      </c>
      <c r="S4933" s="22">
        <f>IF($D4933="","",IF(AND(LEN($D4933)=10,LEFT($D4933,1)="0",ISNUMBER(--$D4933)),"Có","Không"))</f>
        <v/>
      </c>
      <c r="T4933" s="22">
        <f>IF($D4933="","",IF(AND($C4933&lt;&gt;"",$Q4933="Có",$R4933="",$S4933="Có",AND($L4933&lt;&gt;"",OR($L4933&lt;&gt;"Chưa xác định",DANH_MUC!$L$9="Có"))),"Có","Không"))</f>
        <v/>
      </c>
      <c r="U4933" s="22">
        <f>IF(OR($D4933="",$T4933="Có"),"",IF($C4933="","Thiếu họ tên; ","")&amp;IF($S4933&lt;&gt;"Có","SĐT sai định dạng; ","")&amp;IF($R4933="Trùng","Trùng SĐT; ","")&amp;IF($Q4933&lt;&gt;"Có","Thiếu đồng ý bắt buộc; ","")&amp;IF($L4933="","Thiếu/sai Mã REF; ",IF(AND($L4933="Chưa xác định",DANH_MUC!$L$9&lt;&gt;"Có"),"Nguồn chưa xác định; ","")))</f>
        <v/>
      </c>
      <c r="V4933" s="22">
        <f>IF(OR($D4933="",$R4933="Trùng"),"",IF(COUNTIF(ORDERS!$C$2:$C$4995,$D4933)&gt;0,"Có","Không"))</f>
        <v/>
      </c>
      <c r="W4933" s="22">
        <f>IF(OR($D4933="",$R4933="Trùng"),"",COUNTIFS(ORDERS!$C$2:$C$4995,$D4933,ORDERS!$L$2:$L$4995,"Đã chuyển khoản"))</f>
        <v/>
      </c>
      <c r="X4933" s="23">
        <f>IF(OR($D4933="",$R4933="Trùng"),"",SUMIFS(ORDERS!$J$2:$J$4995,ORDERS!$C$2:$C$4995,$D4933,ORDERS!$L$2:$L$4995,"Đã chuyển khoản"))</f>
        <v/>
      </c>
      <c r="Y4933" s="24" t="n"/>
    </row>
    <row r="4934" ht="14.25" customHeight="1" s="40">
      <c r="A4934" s="24" t="n"/>
      <c r="B4934" s="27" t="n"/>
      <c r="C4934" s="24" t="n"/>
      <c r="D4934" s="28" t="n"/>
      <c r="E4934" s="29" t="n"/>
      <c r="F4934" s="24" t="n"/>
      <c r="G4934" s="24" t="n"/>
      <c r="H4934" s="21">
        <f>IF(ISNUMBER($B4934),INT($B4934)-WEEKDAY($B4934,2)+1,"")</f>
        <v/>
      </c>
      <c r="I4934" s="24" t="n"/>
      <c r="J4934" s="22">
        <f t="array" ref="J4934">IF($D4934="","",IF($I4934="","(trống REF)",IFERROR(INDEX(MASTER_SOURCE!$B$2:$B$495,MATCH($I4934,MASTER_SOURCE!$A$2:$A$495,0)),"(REF không có trong MASTER_SOURCE)")))</f>
        <v/>
      </c>
      <c r="K4934" s="22">
        <f t="array" ref="K4934">IF($D4934="","",IFERROR(INDEX(MASTER_SOURCE!$C$2:$C$495,MATCH($I4934,MASTER_SOURCE!$A$2:$A$495,0)),""))</f>
        <v/>
      </c>
      <c r="L4934" s="22">
        <f t="array" ref="L4934">IF($D4934="","",IFERROR(INDEX(MASTER_SOURCE!$D$2:$D$495,MATCH($I4934,MASTER_SOURCE!$A$2:$A$495,0)),""))</f>
        <v/>
      </c>
      <c r="M4934" s="24" t="n"/>
      <c r="N4934" s="24" t="n"/>
      <c r="O4934" s="24" t="n"/>
      <c r="P4934" s="24" t="n"/>
      <c r="Q4934" s="22">
        <f>IF($D4934="","",IF(AND(OR(DANH_MUC!$L$5&lt;&gt;"Có",M4934="Có"),OR(DANH_MUC!$L$6&lt;&gt;"Có",N4934="Có"),OR(DANH_MUC!$L$7&lt;&gt;"Có",O4934="Có"),OR(DANH_MUC!$L$8&lt;&gt;"Có",P4934="Có")),"Có","Không"))</f>
        <v/>
      </c>
      <c r="R4934" s="22">
        <f>IF($D4934="","",IF(COUNTIF($D$2:$D4934,$D4934)&gt;1,"Trùng",""))</f>
        <v/>
      </c>
      <c r="S4934" s="22">
        <f>IF($D4934="","",IF(AND(LEN($D4934)=10,LEFT($D4934,1)="0",ISNUMBER(--$D4934)),"Có","Không"))</f>
        <v/>
      </c>
      <c r="T4934" s="22">
        <f>IF($D4934="","",IF(AND($C4934&lt;&gt;"",$Q4934="Có",$R4934="",$S4934="Có",AND($L4934&lt;&gt;"",OR($L4934&lt;&gt;"Chưa xác định",DANH_MUC!$L$9="Có"))),"Có","Không"))</f>
        <v/>
      </c>
      <c r="U4934" s="22">
        <f>IF(OR($D4934="",$T4934="Có"),"",IF($C4934="","Thiếu họ tên; ","")&amp;IF($S4934&lt;&gt;"Có","SĐT sai định dạng; ","")&amp;IF($R4934="Trùng","Trùng SĐT; ","")&amp;IF($Q4934&lt;&gt;"Có","Thiếu đồng ý bắt buộc; ","")&amp;IF($L4934="","Thiếu/sai Mã REF; ",IF(AND($L4934="Chưa xác định",DANH_MUC!$L$9&lt;&gt;"Có"),"Nguồn chưa xác định; ","")))</f>
        <v/>
      </c>
      <c r="V4934" s="22">
        <f>IF(OR($D4934="",$R4934="Trùng"),"",IF(COUNTIF(ORDERS!$C$2:$C$4995,$D4934)&gt;0,"Có","Không"))</f>
        <v/>
      </c>
      <c r="W4934" s="22">
        <f>IF(OR($D4934="",$R4934="Trùng"),"",COUNTIFS(ORDERS!$C$2:$C$4995,$D4934,ORDERS!$L$2:$L$4995,"Đã chuyển khoản"))</f>
        <v/>
      </c>
      <c r="X4934" s="23">
        <f>IF(OR($D4934="",$R4934="Trùng"),"",SUMIFS(ORDERS!$J$2:$J$4995,ORDERS!$C$2:$C$4995,$D4934,ORDERS!$L$2:$L$4995,"Đã chuyển khoản"))</f>
        <v/>
      </c>
      <c r="Y4934" s="24" t="n"/>
    </row>
    <row r="4935" ht="14.25" customHeight="1" s="40">
      <c r="A4935" s="24" t="n"/>
      <c r="B4935" s="27" t="n"/>
      <c r="C4935" s="24" t="n"/>
      <c r="D4935" s="28" t="n"/>
      <c r="E4935" s="29" t="n"/>
      <c r="F4935" s="24" t="n"/>
      <c r="G4935" s="24" t="n"/>
      <c r="H4935" s="21">
        <f>IF(ISNUMBER($B4935),INT($B4935)-WEEKDAY($B4935,2)+1,"")</f>
        <v/>
      </c>
      <c r="I4935" s="24" t="n"/>
      <c r="J4935" s="22">
        <f t="array" ref="J4935">IF($D4935="","",IF($I4935="","(trống REF)",IFERROR(INDEX(MASTER_SOURCE!$B$2:$B$495,MATCH($I4935,MASTER_SOURCE!$A$2:$A$495,0)),"(REF không có trong MASTER_SOURCE)")))</f>
        <v/>
      </c>
      <c r="K4935" s="22">
        <f t="array" ref="K4935">IF($D4935="","",IFERROR(INDEX(MASTER_SOURCE!$C$2:$C$495,MATCH($I4935,MASTER_SOURCE!$A$2:$A$495,0)),""))</f>
        <v/>
      </c>
      <c r="L4935" s="22">
        <f t="array" ref="L4935">IF($D4935="","",IFERROR(INDEX(MASTER_SOURCE!$D$2:$D$495,MATCH($I4935,MASTER_SOURCE!$A$2:$A$495,0)),""))</f>
        <v/>
      </c>
      <c r="M4935" s="24" t="n"/>
      <c r="N4935" s="24" t="n"/>
      <c r="O4935" s="24" t="n"/>
      <c r="P4935" s="24" t="n"/>
      <c r="Q4935" s="22">
        <f>IF($D4935="","",IF(AND(OR(DANH_MUC!$L$5&lt;&gt;"Có",M4935="Có"),OR(DANH_MUC!$L$6&lt;&gt;"Có",N4935="Có"),OR(DANH_MUC!$L$7&lt;&gt;"Có",O4935="Có"),OR(DANH_MUC!$L$8&lt;&gt;"Có",P4935="Có")),"Có","Không"))</f>
        <v/>
      </c>
      <c r="R4935" s="22">
        <f>IF($D4935="","",IF(COUNTIF($D$2:$D4935,$D4935)&gt;1,"Trùng",""))</f>
        <v/>
      </c>
      <c r="S4935" s="22">
        <f>IF($D4935="","",IF(AND(LEN($D4935)=10,LEFT($D4935,1)="0",ISNUMBER(--$D4935)),"Có","Không"))</f>
        <v/>
      </c>
      <c r="T4935" s="22">
        <f>IF($D4935="","",IF(AND($C4935&lt;&gt;"",$Q4935="Có",$R4935="",$S4935="Có",AND($L4935&lt;&gt;"",OR($L4935&lt;&gt;"Chưa xác định",DANH_MUC!$L$9="Có"))),"Có","Không"))</f>
        <v/>
      </c>
      <c r="U4935" s="22">
        <f>IF(OR($D4935="",$T4935="Có"),"",IF($C4935="","Thiếu họ tên; ","")&amp;IF($S4935&lt;&gt;"Có","SĐT sai định dạng; ","")&amp;IF($R4935="Trùng","Trùng SĐT; ","")&amp;IF($Q4935&lt;&gt;"Có","Thiếu đồng ý bắt buộc; ","")&amp;IF($L4935="","Thiếu/sai Mã REF; ",IF(AND($L4935="Chưa xác định",DANH_MUC!$L$9&lt;&gt;"Có"),"Nguồn chưa xác định; ","")))</f>
        <v/>
      </c>
      <c r="V4935" s="22">
        <f>IF(OR($D4935="",$R4935="Trùng"),"",IF(COUNTIF(ORDERS!$C$2:$C$4995,$D4935)&gt;0,"Có","Không"))</f>
        <v/>
      </c>
      <c r="W4935" s="22">
        <f>IF(OR($D4935="",$R4935="Trùng"),"",COUNTIFS(ORDERS!$C$2:$C$4995,$D4935,ORDERS!$L$2:$L$4995,"Đã chuyển khoản"))</f>
        <v/>
      </c>
      <c r="X4935" s="23">
        <f>IF(OR($D4935="",$R4935="Trùng"),"",SUMIFS(ORDERS!$J$2:$J$4995,ORDERS!$C$2:$C$4995,$D4935,ORDERS!$L$2:$L$4995,"Đã chuyển khoản"))</f>
        <v/>
      </c>
      <c r="Y4935" s="24" t="n"/>
    </row>
    <row r="4936" ht="14.25" customHeight="1" s="40">
      <c r="A4936" s="24" t="n"/>
      <c r="B4936" s="27" t="n"/>
      <c r="C4936" s="24" t="n"/>
      <c r="D4936" s="28" t="n"/>
      <c r="E4936" s="29" t="n"/>
      <c r="F4936" s="24" t="n"/>
      <c r="G4936" s="24" t="n"/>
      <c r="H4936" s="21">
        <f>IF(ISNUMBER($B4936),INT($B4936)-WEEKDAY($B4936,2)+1,"")</f>
        <v/>
      </c>
      <c r="I4936" s="24" t="n"/>
      <c r="J4936" s="22">
        <f t="array" ref="J4936">IF($D4936="","",IF($I4936="","(trống REF)",IFERROR(INDEX(MASTER_SOURCE!$B$2:$B$495,MATCH($I4936,MASTER_SOURCE!$A$2:$A$495,0)),"(REF không có trong MASTER_SOURCE)")))</f>
        <v/>
      </c>
      <c r="K4936" s="22">
        <f t="array" ref="K4936">IF($D4936="","",IFERROR(INDEX(MASTER_SOURCE!$C$2:$C$495,MATCH($I4936,MASTER_SOURCE!$A$2:$A$495,0)),""))</f>
        <v/>
      </c>
      <c r="L4936" s="22">
        <f t="array" ref="L4936">IF($D4936="","",IFERROR(INDEX(MASTER_SOURCE!$D$2:$D$495,MATCH($I4936,MASTER_SOURCE!$A$2:$A$495,0)),""))</f>
        <v/>
      </c>
      <c r="M4936" s="24" t="n"/>
      <c r="N4936" s="24" t="n"/>
      <c r="O4936" s="24" t="n"/>
      <c r="P4936" s="24" t="n"/>
      <c r="Q4936" s="22">
        <f>IF($D4936="","",IF(AND(OR(DANH_MUC!$L$5&lt;&gt;"Có",M4936="Có"),OR(DANH_MUC!$L$6&lt;&gt;"Có",N4936="Có"),OR(DANH_MUC!$L$7&lt;&gt;"Có",O4936="Có"),OR(DANH_MUC!$L$8&lt;&gt;"Có",P4936="Có")),"Có","Không"))</f>
        <v/>
      </c>
      <c r="R4936" s="22">
        <f>IF($D4936="","",IF(COUNTIF($D$2:$D4936,$D4936)&gt;1,"Trùng",""))</f>
        <v/>
      </c>
      <c r="S4936" s="22">
        <f>IF($D4936="","",IF(AND(LEN($D4936)=10,LEFT($D4936,1)="0",ISNUMBER(--$D4936)),"Có","Không"))</f>
        <v/>
      </c>
      <c r="T4936" s="22">
        <f>IF($D4936="","",IF(AND($C4936&lt;&gt;"",$Q4936="Có",$R4936="",$S4936="Có",AND($L4936&lt;&gt;"",OR($L4936&lt;&gt;"Chưa xác định",DANH_MUC!$L$9="Có"))),"Có","Không"))</f>
        <v/>
      </c>
      <c r="U4936" s="22">
        <f>IF(OR($D4936="",$T4936="Có"),"",IF($C4936="","Thiếu họ tên; ","")&amp;IF($S4936&lt;&gt;"Có","SĐT sai định dạng; ","")&amp;IF($R4936="Trùng","Trùng SĐT; ","")&amp;IF($Q4936&lt;&gt;"Có","Thiếu đồng ý bắt buộc; ","")&amp;IF($L4936="","Thiếu/sai Mã REF; ",IF(AND($L4936="Chưa xác định",DANH_MUC!$L$9&lt;&gt;"Có"),"Nguồn chưa xác định; ","")))</f>
        <v/>
      </c>
      <c r="V4936" s="22">
        <f>IF(OR($D4936="",$R4936="Trùng"),"",IF(COUNTIF(ORDERS!$C$2:$C$4995,$D4936)&gt;0,"Có","Không"))</f>
        <v/>
      </c>
      <c r="W4936" s="22">
        <f>IF(OR($D4936="",$R4936="Trùng"),"",COUNTIFS(ORDERS!$C$2:$C$4995,$D4936,ORDERS!$L$2:$L$4995,"Đã chuyển khoản"))</f>
        <v/>
      </c>
      <c r="X4936" s="23">
        <f>IF(OR($D4936="",$R4936="Trùng"),"",SUMIFS(ORDERS!$J$2:$J$4995,ORDERS!$C$2:$C$4995,$D4936,ORDERS!$L$2:$L$4995,"Đã chuyển khoản"))</f>
        <v/>
      </c>
      <c r="Y4936" s="24" t="n"/>
    </row>
    <row r="4937" ht="14.25" customHeight="1" s="40">
      <c r="A4937" s="24" t="n"/>
      <c r="B4937" s="27" t="n"/>
      <c r="C4937" s="24" t="n"/>
      <c r="D4937" s="28" t="n"/>
      <c r="E4937" s="29" t="n"/>
      <c r="F4937" s="24" t="n"/>
      <c r="G4937" s="24" t="n"/>
      <c r="H4937" s="21">
        <f>IF(ISNUMBER($B4937),INT($B4937)-WEEKDAY($B4937,2)+1,"")</f>
        <v/>
      </c>
      <c r="I4937" s="24" t="n"/>
      <c r="J4937" s="22">
        <f t="array" ref="J4937">IF($D4937="","",IF($I4937="","(trống REF)",IFERROR(INDEX(MASTER_SOURCE!$B$2:$B$495,MATCH($I4937,MASTER_SOURCE!$A$2:$A$495,0)),"(REF không có trong MASTER_SOURCE)")))</f>
        <v/>
      </c>
      <c r="K4937" s="22">
        <f t="array" ref="K4937">IF($D4937="","",IFERROR(INDEX(MASTER_SOURCE!$C$2:$C$495,MATCH($I4937,MASTER_SOURCE!$A$2:$A$495,0)),""))</f>
        <v/>
      </c>
      <c r="L4937" s="22">
        <f t="array" ref="L4937">IF($D4937="","",IFERROR(INDEX(MASTER_SOURCE!$D$2:$D$495,MATCH($I4937,MASTER_SOURCE!$A$2:$A$495,0)),""))</f>
        <v/>
      </c>
      <c r="M4937" s="24" t="n"/>
      <c r="N4937" s="24" t="n"/>
      <c r="O4937" s="24" t="n"/>
      <c r="P4937" s="24" t="n"/>
      <c r="Q4937" s="22">
        <f>IF($D4937="","",IF(AND(OR(DANH_MUC!$L$5&lt;&gt;"Có",M4937="Có"),OR(DANH_MUC!$L$6&lt;&gt;"Có",N4937="Có"),OR(DANH_MUC!$L$7&lt;&gt;"Có",O4937="Có"),OR(DANH_MUC!$L$8&lt;&gt;"Có",P4937="Có")),"Có","Không"))</f>
        <v/>
      </c>
      <c r="R4937" s="22">
        <f>IF($D4937="","",IF(COUNTIF($D$2:$D4937,$D4937)&gt;1,"Trùng",""))</f>
        <v/>
      </c>
      <c r="S4937" s="22">
        <f>IF($D4937="","",IF(AND(LEN($D4937)=10,LEFT($D4937,1)="0",ISNUMBER(--$D4937)),"Có","Không"))</f>
        <v/>
      </c>
      <c r="T4937" s="22">
        <f>IF($D4937="","",IF(AND($C4937&lt;&gt;"",$Q4937="Có",$R4937="",$S4937="Có",AND($L4937&lt;&gt;"",OR($L4937&lt;&gt;"Chưa xác định",DANH_MUC!$L$9="Có"))),"Có","Không"))</f>
        <v/>
      </c>
      <c r="U4937" s="22">
        <f>IF(OR($D4937="",$T4937="Có"),"",IF($C4937="","Thiếu họ tên; ","")&amp;IF($S4937&lt;&gt;"Có","SĐT sai định dạng; ","")&amp;IF($R4937="Trùng","Trùng SĐT; ","")&amp;IF($Q4937&lt;&gt;"Có","Thiếu đồng ý bắt buộc; ","")&amp;IF($L4937="","Thiếu/sai Mã REF; ",IF(AND($L4937="Chưa xác định",DANH_MUC!$L$9&lt;&gt;"Có"),"Nguồn chưa xác định; ","")))</f>
        <v/>
      </c>
      <c r="V4937" s="22">
        <f>IF(OR($D4937="",$R4937="Trùng"),"",IF(COUNTIF(ORDERS!$C$2:$C$4995,$D4937)&gt;0,"Có","Không"))</f>
        <v/>
      </c>
      <c r="W4937" s="22">
        <f>IF(OR($D4937="",$R4937="Trùng"),"",COUNTIFS(ORDERS!$C$2:$C$4995,$D4937,ORDERS!$L$2:$L$4995,"Đã chuyển khoản"))</f>
        <v/>
      </c>
      <c r="X4937" s="23">
        <f>IF(OR($D4937="",$R4937="Trùng"),"",SUMIFS(ORDERS!$J$2:$J$4995,ORDERS!$C$2:$C$4995,$D4937,ORDERS!$L$2:$L$4995,"Đã chuyển khoản"))</f>
        <v/>
      </c>
      <c r="Y4937" s="24" t="n"/>
    </row>
    <row r="4938" ht="14.25" customHeight="1" s="40">
      <c r="A4938" s="24" t="n"/>
      <c r="B4938" s="27" t="n"/>
      <c r="C4938" s="24" t="n"/>
      <c r="D4938" s="28" t="n"/>
      <c r="E4938" s="29" t="n"/>
      <c r="F4938" s="24" t="n"/>
      <c r="G4938" s="24" t="n"/>
      <c r="H4938" s="21">
        <f>IF(ISNUMBER($B4938),INT($B4938)-WEEKDAY($B4938,2)+1,"")</f>
        <v/>
      </c>
      <c r="I4938" s="24" t="n"/>
      <c r="J4938" s="22">
        <f t="array" ref="J4938">IF($D4938="","",IF($I4938="","(trống REF)",IFERROR(INDEX(MASTER_SOURCE!$B$2:$B$495,MATCH($I4938,MASTER_SOURCE!$A$2:$A$495,0)),"(REF không có trong MASTER_SOURCE)")))</f>
        <v/>
      </c>
      <c r="K4938" s="22">
        <f t="array" ref="K4938">IF($D4938="","",IFERROR(INDEX(MASTER_SOURCE!$C$2:$C$495,MATCH($I4938,MASTER_SOURCE!$A$2:$A$495,0)),""))</f>
        <v/>
      </c>
      <c r="L4938" s="22">
        <f t="array" ref="L4938">IF($D4938="","",IFERROR(INDEX(MASTER_SOURCE!$D$2:$D$495,MATCH($I4938,MASTER_SOURCE!$A$2:$A$495,0)),""))</f>
        <v/>
      </c>
      <c r="M4938" s="24" t="n"/>
      <c r="N4938" s="24" t="n"/>
      <c r="O4938" s="24" t="n"/>
      <c r="P4938" s="24" t="n"/>
      <c r="Q4938" s="22">
        <f>IF($D4938="","",IF(AND(OR(DANH_MUC!$L$5&lt;&gt;"Có",M4938="Có"),OR(DANH_MUC!$L$6&lt;&gt;"Có",N4938="Có"),OR(DANH_MUC!$L$7&lt;&gt;"Có",O4938="Có"),OR(DANH_MUC!$L$8&lt;&gt;"Có",P4938="Có")),"Có","Không"))</f>
        <v/>
      </c>
      <c r="R4938" s="22">
        <f>IF($D4938="","",IF(COUNTIF($D$2:$D4938,$D4938)&gt;1,"Trùng",""))</f>
        <v/>
      </c>
      <c r="S4938" s="22">
        <f>IF($D4938="","",IF(AND(LEN($D4938)=10,LEFT($D4938,1)="0",ISNUMBER(--$D4938)),"Có","Không"))</f>
        <v/>
      </c>
      <c r="T4938" s="22">
        <f>IF($D4938="","",IF(AND($C4938&lt;&gt;"",$Q4938="Có",$R4938="",$S4938="Có",AND($L4938&lt;&gt;"",OR($L4938&lt;&gt;"Chưa xác định",DANH_MUC!$L$9="Có"))),"Có","Không"))</f>
        <v/>
      </c>
      <c r="U4938" s="22">
        <f>IF(OR($D4938="",$T4938="Có"),"",IF($C4938="","Thiếu họ tên; ","")&amp;IF($S4938&lt;&gt;"Có","SĐT sai định dạng; ","")&amp;IF($R4938="Trùng","Trùng SĐT; ","")&amp;IF($Q4938&lt;&gt;"Có","Thiếu đồng ý bắt buộc; ","")&amp;IF($L4938="","Thiếu/sai Mã REF; ",IF(AND($L4938="Chưa xác định",DANH_MUC!$L$9&lt;&gt;"Có"),"Nguồn chưa xác định; ","")))</f>
        <v/>
      </c>
      <c r="V4938" s="22">
        <f>IF(OR($D4938="",$R4938="Trùng"),"",IF(COUNTIF(ORDERS!$C$2:$C$4995,$D4938)&gt;0,"Có","Không"))</f>
        <v/>
      </c>
      <c r="W4938" s="22">
        <f>IF(OR($D4938="",$R4938="Trùng"),"",COUNTIFS(ORDERS!$C$2:$C$4995,$D4938,ORDERS!$L$2:$L$4995,"Đã chuyển khoản"))</f>
        <v/>
      </c>
      <c r="X4938" s="23">
        <f>IF(OR($D4938="",$R4938="Trùng"),"",SUMIFS(ORDERS!$J$2:$J$4995,ORDERS!$C$2:$C$4995,$D4938,ORDERS!$L$2:$L$4995,"Đã chuyển khoản"))</f>
        <v/>
      </c>
      <c r="Y4938" s="24" t="n"/>
    </row>
    <row r="4939" ht="14.25" customHeight="1" s="40">
      <c r="A4939" s="24" t="n"/>
      <c r="B4939" s="27" t="n"/>
      <c r="C4939" s="24" t="n"/>
      <c r="D4939" s="28" t="n"/>
      <c r="E4939" s="29" t="n"/>
      <c r="F4939" s="24" t="n"/>
      <c r="G4939" s="24" t="n"/>
      <c r="H4939" s="21">
        <f>IF(ISNUMBER($B4939),INT($B4939)-WEEKDAY($B4939,2)+1,"")</f>
        <v/>
      </c>
      <c r="I4939" s="24" t="n"/>
      <c r="J4939" s="22">
        <f t="array" ref="J4939">IF($D4939="","",IF($I4939="","(trống REF)",IFERROR(INDEX(MASTER_SOURCE!$B$2:$B$495,MATCH($I4939,MASTER_SOURCE!$A$2:$A$495,0)),"(REF không có trong MASTER_SOURCE)")))</f>
        <v/>
      </c>
      <c r="K4939" s="22">
        <f t="array" ref="K4939">IF($D4939="","",IFERROR(INDEX(MASTER_SOURCE!$C$2:$C$495,MATCH($I4939,MASTER_SOURCE!$A$2:$A$495,0)),""))</f>
        <v/>
      </c>
      <c r="L4939" s="22">
        <f t="array" ref="L4939">IF($D4939="","",IFERROR(INDEX(MASTER_SOURCE!$D$2:$D$495,MATCH($I4939,MASTER_SOURCE!$A$2:$A$495,0)),""))</f>
        <v/>
      </c>
      <c r="M4939" s="24" t="n"/>
      <c r="N4939" s="24" t="n"/>
      <c r="O4939" s="24" t="n"/>
      <c r="P4939" s="24" t="n"/>
      <c r="Q4939" s="22">
        <f>IF($D4939="","",IF(AND(OR(DANH_MUC!$L$5&lt;&gt;"Có",M4939="Có"),OR(DANH_MUC!$L$6&lt;&gt;"Có",N4939="Có"),OR(DANH_MUC!$L$7&lt;&gt;"Có",O4939="Có"),OR(DANH_MUC!$L$8&lt;&gt;"Có",P4939="Có")),"Có","Không"))</f>
        <v/>
      </c>
      <c r="R4939" s="22">
        <f>IF($D4939="","",IF(COUNTIF($D$2:$D4939,$D4939)&gt;1,"Trùng",""))</f>
        <v/>
      </c>
      <c r="S4939" s="22">
        <f>IF($D4939="","",IF(AND(LEN($D4939)=10,LEFT($D4939,1)="0",ISNUMBER(--$D4939)),"Có","Không"))</f>
        <v/>
      </c>
      <c r="T4939" s="22">
        <f>IF($D4939="","",IF(AND($C4939&lt;&gt;"",$Q4939="Có",$R4939="",$S4939="Có",AND($L4939&lt;&gt;"",OR($L4939&lt;&gt;"Chưa xác định",DANH_MUC!$L$9="Có"))),"Có","Không"))</f>
        <v/>
      </c>
      <c r="U4939" s="22">
        <f>IF(OR($D4939="",$T4939="Có"),"",IF($C4939="","Thiếu họ tên; ","")&amp;IF($S4939&lt;&gt;"Có","SĐT sai định dạng; ","")&amp;IF($R4939="Trùng","Trùng SĐT; ","")&amp;IF($Q4939&lt;&gt;"Có","Thiếu đồng ý bắt buộc; ","")&amp;IF($L4939="","Thiếu/sai Mã REF; ",IF(AND($L4939="Chưa xác định",DANH_MUC!$L$9&lt;&gt;"Có"),"Nguồn chưa xác định; ","")))</f>
        <v/>
      </c>
      <c r="V4939" s="22">
        <f>IF(OR($D4939="",$R4939="Trùng"),"",IF(COUNTIF(ORDERS!$C$2:$C$4995,$D4939)&gt;0,"Có","Không"))</f>
        <v/>
      </c>
      <c r="W4939" s="22">
        <f>IF(OR($D4939="",$R4939="Trùng"),"",COUNTIFS(ORDERS!$C$2:$C$4995,$D4939,ORDERS!$L$2:$L$4995,"Đã chuyển khoản"))</f>
        <v/>
      </c>
      <c r="X4939" s="23">
        <f>IF(OR($D4939="",$R4939="Trùng"),"",SUMIFS(ORDERS!$J$2:$J$4995,ORDERS!$C$2:$C$4995,$D4939,ORDERS!$L$2:$L$4995,"Đã chuyển khoản"))</f>
        <v/>
      </c>
      <c r="Y4939" s="24" t="n"/>
    </row>
    <row r="4940" ht="14.25" customHeight="1" s="40">
      <c r="A4940" s="24" t="n"/>
      <c r="B4940" s="27" t="n"/>
      <c r="C4940" s="24" t="n"/>
      <c r="D4940" s="28" t="n"/>
      <c r="E4940" s="29" t="n"/>
      <c r="F4940" s="24" t="n"/>
      <c r="G4940" s="24" t="n"/>
      <c r="H4940" s="21">
        <f>IF(ISNUMBER($B4940),INT($B4940)-WEEKDAY($B4940,2)+1,"")</f>
        <v/>
      </c>
      <c r="I4940" s="24" t="n"/>
      <c r="J4940" s="22">
        <f t="array" ref="J4940">IF($D4940="","",IF($I4940="","(trống REF)",IFERROR(INDEX(MASTER_SOURCE!$B$2:$B$495,MATCH($I4940,MASTER_SOURCE!$A$2:$A$495,0)),"(REF không có trong MASTER_SOURCE)")))</f>
        <v/>
      </c>
      <c r="K4940" s="22">
        <f t="array" ref="K4940">IF($D4940="","",IFERROR(INDEX(MASTER_SOURCE!$C$2:$C$495,MATCH($I4940,MASTER_SOURCE!$A$2:$A$495,0)),""))</f>
        <v/>
      </c>
      <c r="L4940" s="22">
        <f t="array" ref="L4940">IF($D4940="","",IFERROR(INDEX(MASTER_SOURCE!$D$2:$D$495,MATCH($I4940,MASTER_SOURCE!$A$2:$A$495,0)),""))</f>
        <v/>
      </c>
      <c r="M4940" s="24" t="n"/>
      <c r="N4940" s="24" t="n"/>
      <c r="O4940" s="24" t="n"/>
      <c r="P4940" s="24" t="n"/>
      <c r="Q4940" s="22">
        <f>IF($D4940="","",IF(AND(OR(DANH_MUC!$L$5&lt;&gt;"Có",M4940="Có"),OR(DANH_MUC!$L$6&lt;&gt;"Có",N4940="Có"),OR(DANH_MUC!$L$7&lt;&gt;"Có",O4940="Có"),OR(DANH_MUC!$L$8&lt;&gt;"Có",P4940="Có")),"Có","Không"))</f>
        <v/>
      </c>
      <c r="R4940" s="22">
        <f>IF($D4940="","",IF(COUNTIF($D$2:$D4940,$D4940)&gt;1,"Trùng",""))</f>
        <v/>
      </c>
      <c r="S4940" s="22">
        <f>IF($D4940="","",IF(AND(LEN($D4940)=10,LEFT($D4940,1)="0",ISNUMBER(--$D4940)),"Có","Không"))</f>
        <v/>
      </c>
      <c r="T4940" s="22">
        <f>IF($D4940="","",IF(AND($C4940&lt;&gt;"",$Q4940="Có",$R4940="",$S4940="Có",AND($L4940&lt;&gt;"",OR($L4940&lt;&gt;"Chưa xác định",DANH_MUC!$L$9="Có"))),"Có","Không"))</f>
        <v/>
      </c>
      <c r="U4940" s="22">
        <f>IF(OR($D4940="",$T4940="Có"),"",IF($C4940="","Thiếu họ tên; ","")&amp;IF($S4940&lt;&gt;"Có","SĐT sai định dạng; ","")&amp;IF($R4940="Trùng","Trùng SĐT; ","")&amp;IF($Q4940&lt;&gt;"Có","Thiếu đồng ý bắt buộc; ","")&amp;IF($L4940="","Thiếu/sai Mã REF; ",IF(AND($L4940="Chưa xác định",DANH_MUC!$L$9&lt;&gt;"Có"),"Nguồn chưa xác định; ","")))</f>
        <v/>
      </c>
      <c r="V4940" s="22">
        <f>IF(OR($D4940="",$R4940="Trùng"),"",IF(COUNTIF(ORDERS!$C$2:$C$4995,$D4940)&gt;0,"Có","Không"))</f>
        <v/>
      </c>
      <c r="W4940" s="22">
        <f>IF(OR($D4940="",$R4940="Trùng"),"",COUNTIFS(ORDERS!$C$2:$C$4995,$D4940,ORDERS!$L$2:$L$4995,"Đã chuyển khoản"))</f>
        <v/>
      </c>
      <c r="X4940" s="23">
        <f>IF(OR($D4940="",$R4940="Trùng"),"",SUMIFS(ORDERS!$J$2:$J$4995,ORDERS!$C$2:$C$4995,$D4940,ORDERS!$L$2:$L$4995,"Đã chuyển khoản"))</f>
        <v/>
      </c>
      <c r="Y4940" s="24" t="n"/>
    </row>
    <row r="4941" ht="14.25" customHeight="1" s="40">
      <c r="A4941" s="24" t="n"/>
      <c r="B4941" s="27" t="n"/>
      <c r="C4941" s="24" t="n"/>
      <c r="D4941" s="28" t="n"/>
      <c r="E4941" s="29" t="n"/>
      <c r="F4941" s="24" t="n"/>
      <c r="G4941" s="24" t="n"/>
      <c r="H4941" s="21">
        <f>IF(ISNUMBER($B4941),INT($B4941)-WEEKDAY($B4941,2)+1,"")</f>
        <v/>
      </c>
      <c r="I4941" s="24" t="n"/>
      <c r="J4941" s="22">
        <f t="array" ref="J4941">IF($D4941="","",IF($I4941="","(trống REF)",IFERROR(INDEX(MASTER_SOURCE!$B$2:$B$495,MATCH($I4941,MASTER_SOURCE!$A$2:$A$495,0)),"(REF không có trong MASTER_SOURCE)")))</f>
        <v/>
      </c>
      <c r="K4941" s="22">
        <f t="array" ref="K4941">IF($D4941="","",IFERROR(INDEX(MASTER_SOURCE!$C$2:$C$495,MATCH($I4941,MASTER_SOURCE!$A$2:$A$495,0)),""))</f>
        <v/>
      </c>
      <c r="L4941" s="22">
        <f t="array" ref="L4941">IF($D4941="","",IFERROR(INDEX(MASTER_SOURCE!$D$2:$D$495,MATCH($I4941,MASTER_SOURCE!$A$2:$A$495,0)),""))</f>
        <v/>
      </c>
      <c r="M4941" s="24" t="n"/>
      <c r="N4941" s="24" t="n"/>
      <c r="O4941" s="24" t="n"/>
      <c r="P4941" s="24" t="n"/>
      <c r="Q4941" s="22">
        <f>IF($D4941="","",IF(AND(OR(DANH_MUC!$L$5&lt;&gt;"Có",M4941="Có"),OR(DANH_MUC!$L$6&lt;&gt;"Có",N4941="Có"),OR(DANH_MUC!$L$7&lt;&gt;"Có",O4941="Có"),OR(DANH_MUC!$L$8&lt;&gt;"Có",P4941="Có")),"Có","Không"))</f>
        <v/>
      </c>
      <c r="R4941" s="22">
        <f>IF($D4941="","",IF(COUNTIF($D$2:$D4941,$D4941)&gt;1,"Trùng",""))</f>
        <v/>
      </c>
      <c r="S4941" s="22">
        <f>IF($D4941="","",IF(AND(LEN($D4941)=10,LEFT($D4941,1)="0",ISNUMBER(--$D4941)),"Có","Không"))</f>
        <v/>
      </c>
      <c r="T4941" s="22">
        <f>IF($D4941="","",IF(AND($C4941&lt;&gt;"",$Q4941="Có",$R4941="",$S4941="Có",AND($L4941&lt;&gt;"",OR($L4941&lt;&gt;"Chưa xác định",DANH_MUC!$L$9="Có"))),"Có","Không"))</f>
        <v/>
      </c>
      <c r="U4941" s="22">
        <f>IF(OR($D4941="",$T4941="Có"),"",IF($C4941="","Thiếu họ tên; ","")&amp;IF($S4941&lt;&gt;"Có","SĐT sai định dạng; ","")&amp;IF($R4941="Trùng","Trùng SĐT; ","")&amp;IF($Q4941&lt;&gt;"Có","Thiếu đồng ý bắt buộc; ","")&amp;IF($L4941="","Thiếu/sai Mã REF; ",IF(AND($L4941="Chưa xác định",DANH_MUC!$L$9&lt;&gt;"Có"),"Nguồn chưa xác định; ","")))</f>
        <v/>
      </c>
      <c r="V4941" s="22">
        <f>IF(OR($D4941="",$R4941="Trùng"),"",IF(COUNTIF(ORDERS!$C$2:$C$4995,$D4941)&gt;0,"Có","Không"))</f>
        <v/>
      </c>
      <c r="W4941" s="22">
        <f>IF(OR($D4941="",$R4941="Trùng"),"",COUNTIFS(ORDERS!$C$2:$C$4995,$D4941,ORDERS!$L$2:$L$4995,"Đã chuyển khoản"))</f>
        <v/>
      </c>
      <c r="X4941" s="23">
        <f>IF(OR($D4941="",$R4941="Trùng"),"",SUMIFS(ORDERS!$J$2:$J$4995,ORDERS!$C$2:$C$4995,$D4941,ORDERS!$L$2:$L$4995,"Đã chuyển khoản"))</f>
        <v/>
      </c>
      <c r="Y4941" s="24" t="n"/>
    </row>
    <row r="4942" ht="14.25" customHeight="1" s="40">
      <c r="A4942" s="24" t="n"/>
      <c r="B4942" s="27" t="n"/>
      <c r="C4942" s="24" t="n"/>
      <c r="D4942" s="28" t="n"/>
      <c r="E4942" s="29" t="n"/>
      <c r="F4942" s="24" t="n"/>
      <c r="G4942" s="24" t="n"/>
      <c r="H4942" s="21">
        <f>IF(ISNUMBER($B4942),INT($B4942)-WEEKDAY($B4942,2)+1,"")</f>
        <v/>
      </c>
      <c r="I4942" s="24" t="n"/>
      <c r="J4942" s="22">
        <f t="array" ref="J4942">IF($D4942="","",IF($I4942="","(trống REF)",IFERROR(INDEX(MASTER_SOURCE!$B$2:$B$495,MATCH($I4942,MASTER_SOURCE!$A$2:$A$495,0)),"(REF không có trong MASTER_SOURCE)")))</f>
        <v/>
      </c>
      <c r="K4942" s="22">
        <f t="array" ref="K4942">IF($D4942="","",IFERROR(INDEX(MASTER_SOURCE!$C$2:$C$495,MATCH($I4942,MASTER_SOURCE!$A$2:$A$495,0)),""))</f>
        <v/>
      </c>
      <c r="L4942" s="22">
        <f t="array" ref="L4942">IF($D4942="","",IFERROR(INDEX(MASTER_SOURCE!$D$2:$D$495,MATCH($I4942,MASTER_SOURCE!$A$2:$A$495,0)),""))</f>
        <v/>
      </c>
      <c r="M4942" s="24" t="n"/>
      <c r="N4942" s="24" t="n"/>
      <c r="O4942" s="24" t="n"/>
      <c r="P4942" s="24" t="n"/>
      <c r="Q4942" s="22">
        <f>IF($D4942="","",IF(AND(OR(DANH_MUC!$L$5&lt;&gt;"Có",M4942="Có"),OR(DANH_MUC!$L$6&lt;&gt;"Có",N4942="Có"),OR(DANH_MUC!$L$7&lt;&gt;"Có",O4942="Có"),OR(DANH_MUC!$L$8&lt;&gt;"Có",P4942="Có")),"Có","Không"))</f>
        <v/>
      </c>
      <c r="R4942" s="22">
        <f>IF($D4942="","",IF(COUNTIF($D$2:$D4942,$D4942)&gt;1,"Trùng",""))</f>
        <v/>
      </c>
      <c r="S4942" s="22">
        <f>IF($D4942="","",IF(AND(LEN($D4942)=10,LEFT($D4942,1)="0",ISNUMBER(--$D4942)),"Có","Không"))</f>
        <v/>
      </c>
      <c r="T4942" s="22">
        <f>IF($D4942="","",IF(AND($C4942&lt;&gt;"",$Q4942="Có",$R4942="",$S4942="Có",AND($L4942&lt;&gt;"",OR($L4942&lt;&gt;"Chưa xác định",DANH_MUC!$L$9="Có"))),"Có","Không"))</f>
        <v/>
      </c>
      <c r="U4942" s="22">
        <f>IF(OR($D4942="",$T4942="Có"),"",IF($C4942="","Thiếu họ tên; ","")&amp;IF($S4942&lt;&gt;"Có","SĐT sai định dạng; ","")&amp;IF($R4942="Trùng","Trùng SĐT; ","")&amp;IF($Q4942&lt;&gt;"Có","Thiếu đồng ý bắt buộc; ","")&amp;IF($L4942="","Thiếu/sai Mã REF; ",IF(AND($L4942="Chưa xác định",DANH_MUC!$L$9&lt;&gt;"Có"),"Nguồn chưa xác định; ","")))</f>
        <v/>
      </c>
      <c r="V4942" s="22">
        <f>IF(OR($D4942="",$R4942="Trùng"),"",IF(COUNTIF(ORDERS!$C$2:$C$4995,$D4942)&gt;0,"Có","Không"))</f>
        <v/>
      </c>
      <c r="W4942" s="22">
        <f>IF(OR($D4942="",$R4942="Trùng"),"",COUNTIFS(ORDERS!$C$2:$C$4995,$D4942,ORDERS!$L$2:$L$4995,"Đã chuyển khoản"))</f>
        <v/>
      </c>
      <c r="X4942" s="23">
        <f>IF(OR($D4942="",$R4942="Trùng"),"",SUMIFS(ORDERS!$J$2:$J$4995,ORDERS!$C$2:$C$4995,$D4942,ORDERS!$L$2:$L$4995,"Đã chuyển khoản"))</f>
        <v/>
      </c>
      <c r="Y4942" s="24" t="n"/>
    </row>
    <row r="4943" ht="14.25" customHeight="1" s="40">
      <c r="A4943" s="24" t="n"/>
      <c r="B4943" s="27" t="n"/>
      <c r="C4943" s="24" t="n"/>
      <c r="D4943" s="28" t="n"/>
      <c r="E4943" s="29" t="n"/>
      <c r="F4943" s="24" t="n"/>
      <c r="G4943" s="24" t="n"/>
      <c r="H4943" s="21">
        <f>IF(ISNUMBER($B4943),INT($B4943)-WEEKDAY($B4943,2)+1,"")</f>
        <v/>
      </c>
      <c r="I4943" s="24" t="n"/>
      <c r="J4943" s="22">
        <f t="array" ref="J4943">IF($D4943="","",IF($I4943="","(trống REF)",IFERROR(INDEX(MASTER_SOURCE!$B$2:$B$495,MATCH($I4943,MASTER_SOURCE!$A$2:$A$495,0)),"(REF không có trong MASTER_SOURCE)")))</f>
        <v/>
      </c>
      <c r="K4943" s="22">
        <f t="array" ref="K4943">IF($D4943="","",IFERROR(INDEX(MASTER_SOURCE!$C$2:$C$495,MATCH($I4943,MASTER_SOURCE!$A$2:$A$495,0)),""))</f>
        <v/>
      </c>
      <c r="L4943" s="22">
        <f t="array" ref="L4943">IF($D4943="","",IFERROR(INDEX(MASTER_SOURCE!$D$2:$D$495,MATCH($I4943,MASTER_SOURCE!$A$2:$A$495,0)),""))</f>
        <v/>
      </c>
      <c r="M4943" s="24" t="n"/>
      <c r="N4943" s="24" t="n"/>
      <c r="O4943" s="24" t="n"/>
      <c r="P4943" s="24" t="n"/>
      <c r="Q4943" s="22">
        <f>IF($D4943="","",IF(AND(OR(DANH_MUC!$L$5&lt;&gt;"Có",M4943="Có"),OR(DANH_MUC!$L$6&lt;&gt;"Có",N4943="Có"),OR(DANH_MUC!$L$7&lt;&gt;"Có",O4943="Có"),OR(DANH_MUC!$L$8&lt;&gt;"Có",P4943="Có")),"Có","Không"))</f>
        <v/>
      </c>
      <c r="R4943" s="22">
        <f>IF($D4943="","",IF(COUNTIF($D$2:$D4943,$D4943)&gt;1,"Trùng",""))</f>
        <v/>
      </c>
      <c r="S4943" s="22">
        <f>IF($D4943="","",IF(AND(LEN($D4943)=10,LEFT($D4943,1)="0",ISNUMBER(--$D4943)),"Có","Không"))</f>
        <v/>
      </c>
      <c r="T4943" s="22">
        <f>IF($D4943="","",IF(AND($C4943&lt;&gt;"",$Q4943="Có",$R4943="",$S4943="Có",AND($L4943&lt;&gt;"",OR($L4943&lt;&gt;"Chưa xác định",DANH_MUC!$L$9="Có"))),"Có","Không"))</f>
        <v/>
      </c>
      <c r="U4943" s="22">
        <f>IF(OR($D4943="",$T4943="Có"),"",IF($C4943="","Thiếu họ tên; ","")&amp;IF($S4943&lt;&gt;"Có","SĐT sai định dạng; ","")&amp;IF($R4943="Trùng","Trùng SĐT; ","")&amp;IF($Q4943&lt;&gt;"Có","Thiếu đồng ý bắt buộc; ","")&amp;IF($L4943="","Thiếu/sai Mã REF; ",IF(AND($L4943="Chưa xác định",DANH_MUC!$L$9&lt;&gt;"Có"),"Nguồn chưa xác định; ","")))</f>
        <v/>
      </c>
      <c r="V4943" s="22">
        <f>IF(OR($D4943="",$R4943="Trùng"),"",IF(COUNTIF(ORDERS!$C$2:$C$4995,$D4943)&gt;0,"Có","Không"))</f>
        <v/>
      </c>
      <c r="W4943" s="22">
        <f>IF(OR($D4943="",$R4943="Trùng"),"",COUNTIFS(ORDERS!$C$2:$C$4995,$D4943,ORDERS!$L$2:$L$4995,"Đã chuyển khoản"))</f>
        <v/>
      </c>
      <c r="X4943" s="23">
        <f>IF(OR($D4943="",$R4943="Trùng"),"",SUMIFS(ORDERS!$J$2:$J$4995,ORDERS!$C$2:$C$4995,$D4943,ORDERS!$L$2:$L$4995,"Đã chuyển khoản"))</f>
        <v/>
      </c>
      <c r="Y4943" s="24" t="n"/>
    </row>
    <row r="4944" ht="14.25" customHeight="1" s="40">
      <c r="A4944" s="24" t="n"/>
      <c r="B4944" s="27" t="n"/>
      <c r="C4944" s="24" t="n"/>
      <c r="D4944" s="28" t="n"/>
      <c r="E4944" s="29" t="n"/>
      <c r="F4944" s="24" t="n"/>
      <c r="G4944" s="24" t="n"/>
      <c r="H4944" s="21">
        <f>IF(ISNUMBER($B4944),INT($B4944)-WEEKDAY($B4944,2)+1,"")</f>
        <v/>
      </c>
      <c r="I4944" s="24" t="n"/>
      <c r="J4944" s="22">
        <f t="array" ref="J4944">IF($D4944="","",IF($I4944="","(trống REF)",IFERROR(INDEX(MASTER_SOURCE!$B$2:$B$495,MATCH($I4944,MASTER_SOURCE!$A$2:$A$495,0)),"(REF không có trong MASTER_SOURCE)")))</f>
        <v/>
      </c>
      <c r="K4944" s="22">
        <f t="array" ref="K4944">IF($D4944="","",IFERROR(INDEX(MASTER_SOURCE!$C$2:$C$495,MATCH($I4944,MASTER_SOURCE!$A$2:$A$495,0)),""))</f>
        <v/>
      </c>
      <c r="L4944" s="22">
        <f t="array" ref="L4944">IF($D4944="","",IFERROR(INDEX(MASTER_SOURCE!$D$2:$D$495,MATCH($I4944,MASTER_SOURCE!$A$2:$A$495,0)),""))</f>
        <v/>
      </c>
      <c r="M4944" s="24" t="n"/>
      <c r="N4944" s="24" t="n"/>
      <c r="O4944" s="24" t="n"/>
      <c r="P4944" s="24" t="n"/>
      <c r="Q4944" s="22">
        <f>IF($D4944="","",IF(AND(OR(DANH_MUC!$L$5&lt;&gt;"Có",M4944="Có"),OR(DANH_MUC!$L$6&lt;&gt;"Có",N4944="Có"),OR(DANH_MUC!$L$7&lt;&gt;"Có",O4944="Có"),OR(DANH_MUC!$L$8&lt;&gt;"Có",P4944="Có")),"Có","Không"))</f>
        <v/>
      </c>
      <c r="R4944" s="22">
        <f>IF($D4944="","",IF(COUNTIF($D$2:$D4944,$D4944)&gt;1,"Trùng",""))</f>
        <v/>
      </c>
      <c r="S4944" s="22">
        <f>IF($D4944="","",IF(AND(LEN($D4944)=10,LEFT($D4944,1)="0",ISNUMBER(--$D4944)),"Có","Không"))</f>
        <v/>
      </c>
      <c r="T4944" s="22">
        <f>IF($D4944="","",IF(AND($C4944&lt;&gt;"",$Q4944="Có",$R4944="",$S4944="Có",AND($L4944&lt;&gt;"",OR($L4944&lt;&gt;"Chưa xác định",DANH_MUC!$L$9="Có"))),"Có","Không"))</f>
        <v/>
      </c>
      <c r="U4944" s="22">
        <f>IF(OR($D4944="",$T4944="Có"),"",IF($C4944="","Thiếu họ tên; ","")&amp;IF($S4944&lt;&gt;"Có","SĐT sai định dạng; ","")&amp;IF($R4944="Trùng","Trùng SĐT; ","")&amp;IF($Q4944&lt;&gt;"Có","Thiếu đồng ý bắt buộc; ","")&amp;IF($L4944="","Thiếu/sai Mã REF; ",IF(AND($L4944="Chưa xác định",DANH_MUC!$L$9&lt;&gt;"Có"),"Nguồn chưa xác định; ","")))</f>
        <v/>
      </c>
      <c r="V4944" s="22">
        <f>IF(OR($D4944="",$R4944="Trùng"),"",IF(COUNTIF(ORDERS!$C$2:$C$4995,$D4944)&gt;0,"Có","Không"))</f>
        <v/>
      </c>
      <c r="W4944" s="22">
        <f>IF(OR($D4944="",$R4944="Trùng"),"",COUNTIFS(ORDERS!$C$2:$C$4995,$D4944,ORDERS!$L$2:$L$4995,"Đã chuyển khoản"))</f>
        <v/>
      </c>
      <c r="X4944" s="23">
        <f>IF(OR($D4944="",$R4944="Trùng"),"",SUMIFS(ORDERS!$J$2:$J$4995,ORDERS!$C$2:$C$4995,$D4944,ORDERS!$L$2:$L$4995,"Đã chuyển khoản"))</f>
        <v/>
      </c>
      <c r="Y4944" s="24" t="n"/>
    </row>
    <row r="4945" ht="14.25" customHeight="1" s="40">
      <c r="A4945" s="24" t="n"/>
      <c r="B4945" s="27" t="n"/>
      <c r="C4945" s="24" t="n"/>
      <c r="D4945" s="28" t="n"/>
      <c r="E4945" s="29" t="n"/>
      <c r="F4945" s="24" t="n"/>
      <c r="G4945" s="24" t="n"/>
      <c r="H4945" s="21">
        <f>IF(ISNUMBER($B4945),INT($B4945)-WEEKDAY($B4945,2)+1,"")</f>
        <v/>
      </c>
      <c r="I4945" s="24" t="n"/>
      <c r="J4945" s="22">
        <f t="array" ref="J4945">IF($D4945="","",IF($I4945="","(trống REF)",IFERROR(INDEX(MASTER_SOURCE!$B$2:$B$495,MATCH($I4945,MASTER_SOURCE!$A$2:$A$495,0)),"(REF không có trong MASTER_SOURCE)")))</f>
        <v/>
      </c>
      <c r="K4945" s="22">
        <f t="array" ref="K4945">IF($D4945="","",IFERROR(INDEX(MASTER_SOURCE!$C$2:$C$495,MATCH($I4945,MASTER_SOURCE!$A$2:$A$495,0)),""))</f>
        <v/>
      </c>
      <c r="L4945" s="22">
        <f t="array" ref="L4945">IF($D4945="","",IFERROR(INDEX(MASTER_SOURCE!$D$2:$D$495,MATCH($I4945,MASTER_SOURCE!$A$2:$A$495,0)),""))</f>
        <v/>
      </c>
      <c r="M4945" s="24" t="n"/>
      <c r="N4945" s="24" t="n"/>
      <c r="O4945" s="24" t="n"/>
      <c r="P4945" s="24" t="n"/>
      <c r="Q4945" s="22">
        <f>IF($D4945="","",IF(AND(OR(DANH_MUC!$L$5&lt;&gt;"Có",M4945="Có"),OR(DANH_MUC!$L$6&lt;&gt;"Có",N4945="Có"),OR(DANH_MUC!$L$7&lt;&gt;"Có",O4945="Có"),OR(DANH_MUC!$L$8&lt;&gt;"Có",P4945="Có")),"Có","Không"))</f>
        <v/>
      </c>
      <c r="R4945" s="22">
        <f>IF($D4945="","",IF(COUNTIF($D$2:$D4945,$D4945)&gt;1,"Trùng",""))</f>
        <v/>
      </c>
      <c r="S4945" s="22">
        <f>IF($D4945="","",IF(AND(LEN($D4945)=10,LEFT($D4945,1)="0",ISNUMBER(--$D4945)),"Có","Không"))</f>
        <v/>
      </c>
      <c r="T4945" s="22">
        <f>IF($D4945="","",IF(AND($C4945&lt;&gt;"",$Q4945="Có",$R4945="",$S4945="Có",AND($L4945&lt;&gt;"",OR($L4945&lt;&gt;"Chưa xác định",DANH_MUC!$L$9="Có"))),"Có","Không"))</f>
        <v/>
      </c>
      <c r="U4945" s="22">
        <f>IF(OR($D4945="",$T4945="Có"),"",IF($C4945="","Thiếu họ tên; ","")&amp;IF($S4945&lt;&gt;"Có","SĐT sai định dạng; ","")&amp;IF($R4945="Trùng","Trùng SĐT; ","")&amp;IF($Q4945&lt;&gt;"Có","Thiếu đồng ý bắt buộc; ","")&amp;IF($L4945="","Thiếu/sai Mã REF; ",IF(AND($L4945="Chưa xác định",DANH_MUC!$L$9&lt;&gt;"Có"),"Nguồn chưa xác định; ","")))</f>
        <v/>
      </c>
      <c r="V4945" s="22">
        <f>IF(OR($D4945="",$R4945="Trùng"),"",IF(COUNTIF(ORDERS!$C$2:$C$4995,$D4945)&gt;0,"Có","Không"))</f>
        <v/>
      </c>
      <c r="W4945" s="22">
        <f>IF(OR($D4945="",$R4945="Trùng"),"",COUNTIFS(ORDERS!$C$2:$C$4995,$D4945,ORDERS!$L$2:$L$4995,"Đã chuyển khoản"))</f>
        <v/>
      </c>
      <c r="X4945" s="23">
        <f>IF(OR($D4945="",$R4945="Trùng"),"",SUMIFS(ORDERS!$J$2:$J$4995,ORDERS!$C$2:$C$4995,$D4945,ORDERS!$L$2:$L$4995,"Đã chuyển khoản"))</f>
        <v/>
      </c>
      <c r="Y4945" s="24" t="n"/>
    </row>
    <row r="4946" ht="14.25" customHeight="1" s="40">
      <c r="A4946" s="24" t="n"/>
      <c r="B4946" s="27" t="n"/>
      <c r="C4946" s="24" t="n"/>
      <c r="D4946" s="28" t="n"/>
      <c r="E4946" s="29" t="n"/>
      <c r="F4946" s="24" t="n"/>
      <c r="G4946" s="24" t="n"/>
      <c r="H4946" s="21">
        <f>IF(ISNUMBER($B4946),INT($B4946)-WEEKDAY($B4946,2)+1,"")</f>
        <v/>
      </c>
      <c r="I4946" s="24" t="n"/>
      <c r="J4946" s="22">
        <f t="array" ref="J4946">IF($D4946="","",IF($I4946="","(trống REF)",IFERROR(INDEX(MASTER_SOURCE!$B$2:$B$495,MATCH($I4946,MASTER_SOURCE!$A$2:$A$495,0)),"(REF không có trong MASTER_SOURCE)")))</f>
        <v/>
      </c>
      <c r="K4946" s="22">
        <f t="array" ref="K4946">IF($D4946="","",IFERROR(INDEX(MASTER_SOURCE!$C$2:$C$495,MATCH($I4946,MASTER_SOURCE!$A$2:$A$495,0)),""))</f>
        <v/>
      </c>
      <c r="L4946" s="22">
        <f t="array" ref="L4946">IF($D4946="","",IFERROR(INDEX(MASTER_SOURCE!$D$2:$D$495,MATCH($I4946,MASTER_SOURCE!$A$2:$A$495,0)),""))</f>
        <v/>
      </c>
      <c r="M4946" s="24" t="n"/>
      <c r="N4946" s="24" t="n"/>
      <c r="O4946" s="24" t="n"/>
      <c r="P4946" s="24" t="n"/>
      <c r="Q4946" s="22">
        <f>IF($D4946="","",IF(AND(OR(DANH_MUC!$L$5&lt;&gt;"Có",M4946="Có"),OR(DANH_MUC!$L$6&lt;&gt;"Có",N4946="Có"),OR(DANH_MUC!$L$7&lt;&gt;"Có",O4946="Có"),OR(DANH_MUC!$L$8&lt;&gt;"Có",P4946="Có")),"Có","Không"))</f>
        <v/>
      </c>
      <c r="R4946" s="22">
        <f>IF($D4946="","",IF(COUNTIF($D$2:$D4946,$D4946)&gt;1,"Trùng",""))</f>
        <v/>
      </c>
      <c r="S4946" s="22">
        <f>IF($D4946="","",IF(AND(LEN($D4946)=10,LEFT($D4946,1)="0",ISNUMBER(--$D4946)),"Có","Không"))</f>
        <v/>
      </c>
      <c r="T4946" s="22">
        <f>IF($D4946="","",IF(AND($C4946&lt;&gt;"",$Q4946="Có",$R4946="",$S4946="Có",AND($L4946&lt;&gt;"",OR($L4946&lt;&gt;"Chưa xác định",DANH_MUC!$L$9="Có"))),"Có","Không"))</f>
        <v/>
      </c>
      <c r="U4946" s="22">
        <f>IF(OR($D4946="",$T4946="Có"),"",IF($C4946="","Thiếu họ tên; ","")&amp;IF($S4946&lt;&gt;"Có","SĐT sai định dạng; ","")&amp;IF($R4946="Trùng","Trùng SĐT; ","")&amp;IF($Q4946&lt;&gt;"Có","Thiếu đồng ý bắt buộc; ","")&amp;IF($L4946="","Thiếu/sai Mã REF; ",IF(AND($L4946="Chưa xác định",DANH_MUC!$L$9&lt;&gt;"Có"),"Nguồn chưa xác định; ","")))</f>
        <v/>
      </c>
      <c r="V4946" s="22">
        <f>IF(OR($D4946="",$R4946="Trùng"),"",IF(COUNTIF(ORDERS!$C$2:$C$4995,$D4946)&gt;0,"Có","Không"))</f>
        <v/>
      </c>
      <c r="W4946" s="22">
        <f>IF(OR($D4946="",$R4946="Trùng"),"",COUNTIFS(ORDERS!$C$2:$C$4995,$D4946,ORDERS!$L$2:$L$4995,"Đã chuyển khoản"))</f>
        <v/>
      </c>
      <c r="X4946" s="23">
        <f>IF(OR($D4946="",$R4946="Trùng"),"",SUMIFS(ORDERS!$J$2:$J$4995,ORDERS!$C$2:$C$4995,$D4946,ORDERS!$L$2:$L$4995,"Đã chuyển khoản"))</f>
        <v/>
      </c>
      <c r="Y4946" s="24" t="n"/>
    </row>
    <row r="4947" ht="14.25" customHeight="1" s="40">
      <c r="A4947" s="24" t="n"/>
      <c r="B4947" s="27" t="n"/>
      <c r="C4947" s="24" t="n"/>
      <c r="D4947" s="28" t="n"/>
      <c r="E4947" s="29" t="n"/>
      <c r="F4947" s="24" t="n"/>
      <c r="G4947" s="24" t="n"/>
      <c r="H4947" s="21">
        <f>IF(ISNUMBER($B4947),INT($B4947)-WEEKDAY($B4947,2)+1,"")</f>
        <v/>
      </c>
      <c r="I4947" s="24" t="n"/>
      <c r="J4947" s="22">
        <f t="array" ref="J4947">IF($D4947="","",IF($I4947="","(trống REF)",IFERROR(INDEX(MASTER_SOURCE!$B$2:$B$495,MATCH($I4947,MASTER_SOURCE!$A$2:$A$495,0)),"(REF không có trong MASTER_SOURCE)")))</f>
        <v/>
      </c>
      <c r="K4947" s="22">
        <f t="array" ref="K4947">IF($D4947="","",IFERROR(INDEX(MASTER_SOURCE!$C$2:$C$495,MATCH($I4947,MASTER_SOURCE!$A$2:$A$495,0)),""))</f>
        <v/>
      </c>
      <c r="L4947" s="22">
        <f t="array" ref="L4947">IF($D4947="","",IFERROR(INDEX(MASTER_SOURCE!$D$2:$D$495,MATCH($I4947,MASTER_SOURCE!$A$2:$A$495,0)),""))</f>
        <v/>
      </c>
      <c r="M4947" s="24" t="n"/>
      <c r="N4947" s="24" t="n"/>
      <c r="O4947" s="24" t="n"/>
      <c r="P4947" s="24" t="n"/>
      <c r="Q4947" s="22">
        <f>IF($D4947="","",IF(AND(OR(DANH_MUC!$L$5&lt;&gt;"Có",M4947="Có"),OR(DANH_MUC!$L$6&lt;&gt;"Có",N4947="Có"),OR(DANH_MUC!$L$7&lt;&gt;"Có",O4947="Có"),OR(DANH_MUC!$L$8&lt;&gt;"Có",P4947="Có")),"Có","Không"))</f>
        <v/>
      </c>
      <c r="R4947" s="22">
        <f>IF($D4947="","",IF(COUNTIF($D$2:$D4947,$D4947)&gt;1,"Trùng",""))</f>
        <v/>
      </c>
      <c r="S4947" s="22">
        <f>IF($D4947="","",IF(AND(LEN($D4947)=10,LEFT($D4947,1)="0",ISNUMBER(--$D4947)),"Có","Không"))</f>
        <v/>
      </c>
      <c r="T4947" s="22">
        <f>IF($D4947="","",IF(AND($C4947&lt;&gt;"",$Q4947="Có",$R4947="",$S4947="Có",AND($L4947&lt;&gt;"",OR($L4947&lt;&gt;"Chưa xác định",DANH_MUC!$L$9="Có"))),"Có","Không"))</f>
        <v/>
      </c>
      <c r="U4947" s="22">
        <f>IF(OR($D4947="",$T4947="Có"),"",IF($C4947="","Thiếu họ tên; ","")&amp;IF($S4947&lt;&gt;"Có","SĐT sai định dạng; ","")&amp;IF($R4947="Trùng","Trùng SĐT; ","")&amp;IF($Q4947&lt;&gt;"Có","Thiếu đồng ý bắt buộc; ","")&amp;IF($L4947="","Thiếu/sai Mã REF; ",IF(AND($L4947="Chưa xác định",DANH_MUC!$L$9&lt;&gt;"Có"),"Nguồn chưa xác định; ","")))</f>
        <v/>
      </c>
      <c r="V4947" s="22">
        <f>IF(OR($D4947="",$R4947="Trùng"),"",IF(COUNTIF(ORDERS!$C$2:$C$4995,$D4947)&gt;0,"Có","Không"))</f>
        <v/>
      </c>
      <c r="W4947" s="22">
        <f>IF(OR($D4947="",$R4947="Trùng"),"",COUNTIFS(ORDERS!$C$2:$C$4995,$D4947,ORDERS!$L$2:$L$4995,"Đã chuyển khoản"))</f>
        <v/>
      </c>
      <c r="X4947" s="23">
        <f>IF(OR($D4947="",$R4947="Trùng"),"",SUMIFS(ORDERS!$J$2:$J$4995,ORDERS!$C$2:$C$4995,$D4947,ORDERS!$L$2:$L$4995,"Đã chuyển khoản"))</f>
        <v/>
      </c>
      <c r="Y4947" s="24" t="n"/>
    </row>
    <row r="4948" ht="14.25" customHeight="1" s="40">
      <c r="A4948" s="24" t="n"/>
      <c r="B4948" s="27" t="n"/>
      <c r="C4948" s="24" t="n"/>
      <c r="D4948" s="28" t="n"/>
      <c r="E4948" s="29" t="n"/>
      <c r="F4948" s="24" t="n"/>
      <c r="G4948" s="24" t="n"/>
      <c r="H4948" s="21">
        <f>IF(ISNUMBER($B4948),INT($B4948)-WEEKDAY($B4948,2)+1,"")</f>
        <v/>
      </c>
      <c r="I4948" s="24" t="n"/>
      <c r="J4948" s="22">
        <f t="array" ref="J4948">IF($D4948="","",IF($I4948="","(trống REF)",IFERROR(INDEX(MASTER_SOURCE!$B$2:$B$495,MATCH($I4948,MASTER_SOURCE!$A$2:$A$495,0)),"(REF không có trong MASTER_SOURCE)")))</f>
        <v/>
      </c>
      <c r="K4948" s="22">
        <f t="array" ref="K4948">IF($D4948="","",IFERROR(INDEX(MASTER_SOURCE!$C$2:$C$495,MATCH($I4948,MASTER_SOURCE!$A$2:$A$495,0)),""))</f>
        <v/>
      </c>
      <c r="L4948" s="22">
        <f t="array" ref="L4948">IF($D4948="","",IFERROR(INDEX(MASTER_SOURCE!$D$2:$D$495,MATCH($I4948,MASTER_SOURCE!$A$2:$A$495,0)),""))</f>
        <v/>
      </c>
      <c r="M4948" s="24" t="n"/>
      <c r="N4948" s="24" t="n"/>
      <c r="O4948" s="24" t="n"/>
      <c r="P4948" s="24" t="n"/>
      <c r="Q4948" s="22">
        <f>IF($D4948="","",IF(AND(OR(DANH_MUC!$L$5&lt;&gt;"Có",M4948="Có"),OR(DANH_MUC!$L$6&lt;&gt;"Có",N4948="Có"),OR(DANH_MUC!$L$7&lt;&gt;"Có",O4948="Có"),OR(DANH_MUC!$L$8&lt;&gt;"Có",P4948="Có")),"Có","Không"))</f>
        <v/>
      </c>
      <c r="R4948" s="22">
        <f>IF($D4948="","",IF(COUNTIF($D$2:$D4948,$D4948)&gt;1,"Trùng",""))</f>
        <v/>
      </c>
      <c r="S4948" s="22">
        <f>IF($D4948="","",IF(AND(LEN($D4948)=10,LEFT($D4948,1)="0",ISNUMBER(--$D4948)),"Có","Không"))</f>
        <v/>
      </c>
      <c r="T4948" s="22">
        <f>IF($D4948="","",IF(AND($C4948&lt;&gt;"",$Q4948="Có",$R4948="",$S4948="Có",AND($L4948&lt;&gt;"",OR($L4948&lt;&gt;"Chưa xác định",DANH_MUC!$L$9="Có"))),"Có","Không"))</f>
        <v/>
      </c>
      <c r="U4948" s="22">
        <f>IF(OR($D4948="",$T4948="Có"),"",IF($C4948="","Thiếu họ tên; ","")&amp;IF($S4948&lt;&gt;"Có","SĐT sai định dạng; ","")&amp;IF($R4948="Trùng","Trùng SĐT; ","")&amp;IF($Q4948&lt;&gt;"Có","Thiếu đồng ý bắt buộc; ","")&amp;IF($L4948="","Thiếu/sai Mã REF; ",IF(AND($L4948="Chưa xác định",DANH_MUC!$L$9&lt;&gt;"Có"),"Nguồn chưa xác định; ","")))</f>
        <v/>
      </c>
      <c r="V4948" s="22">
        <f>IF(OR($D4948="",$R4948="Trùng"),"",IF(COUNTIF(ORDERS!$C$2:$C$4995,$D4948)&gt;0,"Có","Không"))</f>
        <v/>
      </c>
      <c r="W4948" s="22">
        <f>IF(OR($D4948="",$R4948="Trùng"),"",COUNTIFS(ORDERS!$C$2:$C$4995,$D4948,ORDERS!$L$2:$L$4995,"Đã chuyển khoản"))</f>
        <v/>
      </c>
      <c r="X4948" s="23">
        <f>IF(OR($D4948="",$R4948="Trùng"),"",SUMIFS(ORDERS!$J$2:$J$4995,ORDERS!$C$2:$C$4995,$D4948,ORDERS!$L$2:$L$4995,"Đã chuyển khoản"))</f>
        <v/>
      </c>
      <c r="Y4948" s="24" t="n"/>
    </row>
    <row r="4949" ht="14.25" customHeight="1" s="40">
      <c r="A4949" s="24" t="n"/>
      <c r="B4949" s="27" t="n"/>
      <c r="C4949" s="24" t="n"/>
      <c r="D4949" s="28" t="n"/>
      <c r="E4949" s="29" t="n"/>
      <c r="F4949" s="24" t="n"/>
      <c r="G4949" s="24" t="n"/>
      <c r="H4949" s="21">
        <f>IF(ISNUMBER($B4949),INT($B4949)-WEEKDAY($B4949,2)+1,"")</f>
        <v/>
      </c>
      <c r="I4949" s="24" t="n"/>
      <c r="J4949" s="22">
        <f t="array" ref="J4949">IF($D4949="","",IF($I4949="","(trống REF)",IFERROR(INDEX(MASTER_SOURCE!$B$2:$B$495,MATCH($I4949,MASTER_SOURCE!$A$2:$A$495,0)),"(REF không có trong MASTER_SOURCE)")))</f>
        <v/>
      </c>
      <c r="K4949" s="22">
        <f t="array" ref="K4949">IF($D4949="","",IFERROR(INDEX(MASTER_SOURCE!$C$2:$C$495,MATCH($I4949,MASTER_SOURCE!$A$2:$A$495,0)),""))</f>
        <v/>
      </c>
      <c r="L4949" s="22">
        <f t="array" ref="L4949">IF($D4949="","",IFERROR(INDEX(MASTER_SOURCE!$D$2:$D$495,MATCH($I4949,MASTER_SOURCE!$A$2:$A$495,0)),""))</f>
        <v/>
      </c>
      <c r="M4949" s="24" t="n"/>
      <c r="N4949" s="24" t="n"/>
      <c r="O4949" s="24" t="n"/>
      <c r="P4949" s="24" t="n"/>
      <c r="Q4949" s="22">
        <f>IF($D4949="","",IF(AND(OR(DANH_MUC!$L$5&lt;&gt;"Có",M4949="Có"),OR(DANH_MUC!$L$6&lt;&gt;"Có",N4949="Có"),OR(DANH_MUC!$L$7&lt;&gt;"Có",O4949="Có"),OR(DANH_MUC!$L$8&lt;&gt;"Có",P4949="Có")),"Có","Không"))</f>
        <v/>
      </c>
      <c r="R4949" s="22">
        <f>IF($D4949="","",IF(COUNTIF($D$2:$D4949,$D4949)&gt;1,"Trùng",""))</f>
        <v/>
      </c>
      <c r="S4949" s="22">
        <f>IF($D4949="","",IF(AND(LEN($D4949)=10,LEFT($D4949,1)="0",ISNUMBER(--$D4949)),"Có","Không"))</f>
        <v/>
      </c>
      <c r="T4949" s="22">
        <f>IF($D4949="","",IF(AND($C4949&lt;&gt;"",$Q4949="Có",$R4949="",$S4949="Có",AND($L4949&lt;&gt;"",OR($L4949&lt;&gt;"Chưa xác định",DANH_MUC!$L$9="Có"))),"Có","Không"))</f>
        <v/>
      </c>
      <c r="U4949" s="22">
        <f>IF(OR($D4949="",$T4949="Có"),"",IF($C4949="","Thiếu họ tên; ","")&amp;IF($S4949&lt;&gt;"Có","SĐT sai định dạng; ","")&amp;IF($R4949="Trùng","Trùng SĐT; ","")&amp;IF($Q4949&lt;&gt;"Có","Thiếu đồng ý bắt buộc; ","")&amp;IF($L4949="","Thiếu/sai Mã REF; ",IF(AND($L4949="Chưa xác định",DANH_MUC!$L$9&lt;&gt;"Có"),"Nguồn chưa xác định; ","")))</f>
        <v/>
      </c>
      <c r="V4949" s="22">
        <f>IF(OR($D4949="",$R4949="Trùng"),"",IF(COUNTIF(ORDERS!$C$2:$C$4995,$D4949)&gt;0,"Có","Không"))</f>
        <v/>
      </c>
      <c r="W4949" s="22">
        <f>IF(OR($D4949="",$R4949="Trùng"),"",COUNTIFS(ORDERS!$C$2:$C$4995,$D4949,ORDERS!$L$2:$L$4995,"Đã chuyển khoản"))</f>
        <v/>
      </c>
      <c r="X4949" s="23">
        <f>IF(OR($D4949="",$R4949="Trùng"),"",SUMIFS(ORDERS!$J$2:$J$4995,ORDERS!$C$2:$C$4995,$D4949,ORDERS!$L$2:$L$4995,"Đã chuyển khoản"))</f>
        <v/>
      </c>
      <c r="Y4949" s="24" t="n"/>
    </row>
    <row r="4950" ht="14.25" customHeight="1" s="40">
      <c r="A4950" s="24" t="n"/>
      <c r="B4950" s="27" t="n"/>
      <c r="C4950" s="24" t="n"/>
      <c r="D4950" s="28" t="n"/>
      <c r="E4950" s="29" t="n"/>
      <c r="F4950" s="24" t="n"/>
      <c r="G4950" s="24" t="n"/>
      <c r="H4950" s="21">
        <f>IF(ISNUMBER($B4950),INT($B4950)-WEEKDAY($B4950,2)+1,"")</f>
        <v/>
      </c>
      <c r="I4950" s="24" t="n"/>
      <c r="J4950" s="22">
        <f t="array" ref="J4950">IF($D4950="","",IF($I4950="","(trống REF)",IFERROR(INDEX(MASTER_SOURCE!$B$2:$B$495,MATCH($I4950,MASTER_SOURCE!$A$2:$A$495,0)),"(REF không có trong MASTER_SOURCE)")))</f>
        <v/>
      </c>
      <c r="K4950" s="22">
        <f t="array" ref="K4950">IF($D4950="","",IFERROR(INDEX(MASTER_SOURCE!$C$2:$C$495,MATCH($I4950,MASTER_SOURCE!$A$2:$A$495,0)),""))</f>
        <v/>
      </c>
      <c r="L4950" s="22">
        <f t="array" ref="L4950">IF($D4950="","",IFERROR(INDEX(MASTER_SOURCE!$D$2:$D$495,MATCH($I4950,MASTER_SOURCE!$A$2:$A$495,0)),""))</f>
        <v/>
      </c>
      <c r="M4950" s="24" t="n"/>
      <c r="N4950" s="24" t="n"/>
      <c r="O4950" s="24" t="n"/>
      <c r="P4950" s="24" t="n"/>
      <c r="Q4950" s="22">
        <f>IF($D4950="","",IF(AND(OR(DANH_MUC!$L$5&lt;&gt;"Có",M4950="Có"),OR(DANH_MUC!$L$6&lt;&gt;"Có",N4950="Có"),OR(DANH_MUC!$L$7&lt;&gt;"Có",O4950="Có"),OR(DANH_MUC!$L$8&lt;&gt;"Có",P4950="Có")),"Có","Không"))</f>
        <v/>
      </c>
      <c r="R4950" s="22">
        <f>IF($D4950="","",IF(COUNTIF($D$2:$D4950,$D4950)&gt;1,"Trùng",""))</f>
        <v/>
      </c>
      <c r="S4950" s="22">
        <f>IF($D4950="","",IF(AND(LEN($D4950)=10,LEFT($D4950,1)="0",ISNUMBER(--$D4950)),"Có","Không"))</f>
        <v/>
      </c>
      <c r="T4950" s="22">
        <f>IF($D4950="","",IF(AND($C4950&lt;&gt;"",$Q4950="Có",$R4950="",$S4950="Có",AND($L4950&lt;&gt;"",OR($L4950&lt;&gt;"Chưa xác định",DANH_MUC!$L$9="Có"))),"Có","Không"))</f>
        <v/>
      </c>
      <c r="U4950" s="22">
        <f>IF(OR($D4950="",$T4950="Có"),"",IF($C4950="","Thiếu họ tên; ","")&amp;IF($S4950&lt;&gt;"Có","SĐT sai định dạng; ","")&amp;IF($R4950="Trùng","Trùng SĐT; ","")&amp;IF($Q4950&lt;&gt;"Có","Thiếu đồng ý bắt buộc; ","")&amp;IF($L4950="","Thiếu/sai Mã REF; ",IF(AND($L4950="Chưa xác định",DANH_MUC!$L$9&lt;&gt;"Có"),"Nguồn chưa xác định; ","")))</f>
        <v/>
      </c>
      <c r="V4950" s="22">
        <f>IF(OR($D4950="",$R4950="Trùng"),"",IF(COUNTIF(ORDERS!$C$2:$C$4995,$D4950)&gt;0,"Có","Không"))</f>
        <v/>
      </c>
      <c r="W4950" s="22">
        <f>IF(OR($D4950="",$R4950="Trùng"),"",COUNTIFS(ORDERS!$C$2:$C$4995,$D4950,ORDERS!$L$2:$L$4995,"Đã chuyển khoản"))</f>
        <v/>
      </c>
      <c r="X4950" s="23">
        <f>IF(OR($D4950="",$R4950="Trùng"),"",SUMIFS(ORDERS!$J$2:$J$4995,ORDERS!$C$2:$C$4995,$D4950,ORDERS!$L$2:$L$4995,"Đã chuyển khoản"))</f>
        <v/>
      </c>
      <c r="Y4950" s="24" t="n"/>
    </row>
    <row r="4951" ht="14.25" customHeight="1" s="40">
      <c r="A4951" s="24" t="n"/>
      <c r="B4951" s="27" t="n"/>
      <c r="C4951" s="24" t="n"/>
      <c r="D4951" s="28" t="n"/>
      <c r="E4951" s="29" t="n"/>
      <c r="F4951" s="24" t="n"/>
      <c r="G4951" s="24" t="n"/>
      <c r="H4951" s="21">
        <f>IF(ISNUMBER($B4951),INT($B4951)-WEEKDAY($B4951,2)+1,"")</f>
        <v/>
      </c>
      <c r="I4951" s="24" t="n"/>
      <c r="J4951" s="22">
        <f t="array" ref="J4951">IF($D4951="","",IF($I4951="","(trống REF)",IFERROR(INDEX(MASTER_SOURCE!$B$2:$B$495,MATCH($I4951,MASTER_SOURCE!$A$2:$A$495,0)),"(REF không có trong MASTER_SOURCE)")))</f>
        <v/>
      </c>
      <c r="K4951" s="22">
        <f t="array" ref="K4951">IF($D4951="","",IFERROR(INDEX(MASTER_SOURCE!$C$2:$C$495,MATCH($I4951,MASTER_SOURCE!$A$2:$A$495,0)),""))</f>
        <v/>
      </c>
      <c r="L4951" s="22">
        <f t="array" ref="L4951">IF($D4951="","",IFERROR(INDEX(MASTER_SOURCE!$D$2:$D$495,MATCH($I4951,MASTER_SOURCE!$A$2:$A$495,0)),""))</f>
        <v/>
      </c>
      <c r="M4951" s="24" t="n"/>
      <c r="N4951" s="24" t="n"/>
      <c r="O4951" s="24" t="n"/>
      <c r="P4951" s="24" t="n"/>
      <c r="Q4951" s="22">
        <f>IF($D4951="","",IF(AND(OR(DANH_MUC!$L$5&lt;&gt;"Có",M4951="Có"),OR(DANH_MUC!$L$6&lt;&gt;"Có",N4951="Có"),OR(DANH_MUC!$L$7&lt;&gt;"Có",O4951="Có"),OR(DANH_MUC!$L$8&lt;&gt;"Có",P4951="Có")),"Có","Không"))</f>
        <v/>
      </c>
      <c r="R4951" s="22">
        <f>IF($D4951="","",IF(COUNTIF($D$2:$D4951,$D4951)&gt;1,"Trùng",""))</f>
        <v/>
      </c>
      <c r="S4951" s="22">
        <f>IF($D4951="","",IF(AND(LEN($D4951)=10,LEFT($D4951,1)="0",ISNUMBER(--$D4951)),"Có","Không"))</f>
        <v/>
      </c>
      <c r="T4951" s="22">
        <f>IF($D4951="","",IF(AND($C4951&lt;&gt;"",$Q4951="Có",$R4951="",$S4951="Có",AND($L4951&lt;&gt;"",OR($L4951&lt;&gt;"Chưa xác định",DANH_MUC!$L$9="Có"))),"Có","Không"))</f>
        <v/>
      </c>
      <c r="U4951" s="22">
        <f>IF(OR($D4951="",$T4951="Có"),"",IF($C4951="","Thiếu họ tên; ","")&amp;IF($S4951&lt;&gt;"Có","SĐT sai định dạng; ","")&amp;IF($R4951="Trùng","Trùng SĐT; ","")&amp;IF($Q4951&lt;&gt;"Có","Thiếu đồng ý bắt buộc; ","")&amp;IF($L4951="","Thiếu/sai Mã REF; ",IF(AND($L4951="Chưa xác định",DANH_MUC!$L$9&lt;&gt;"Có"),"Nguồn chưa xác định; ","")))</f>
        <v/>
      </c>
      <c r="V4951" s="22">
        <f>IF(OR($D4951="",$R4951="Trùng"),"",IF(COUNTIF(ORDERS!$C$2:$C$4995,$D4951)&gt;0,"Có","Không"))</f>
        <v/>
      </c>
      <c r="W4951" s="22">
        <f>IF(OR($D4951="",$R4951="Trùng"),"",COUNTIFS(ORDERS!$C$2:$C$4995,$D4951,ORDERS!$L$2:$L$4995,"Đã chuyển khoản"))</f>
        <v/>
      </c>
      <c r="X4951" s="23">
        <f>IF(OR($D4951="",$R4951="Trùng"),"",SUMIFS(ORDERS!$J$2:$J$4995,ORDERS!$C$2:$C$4995,$D4951,ORDERS!$L$2:$L$4995,"Đã chuyển khoản"))</f>
        <v/>
      </c>
      <c r="Y4951" s="24" t="n"/>
    </row>
    <row r="4952" ht="14.25" customHeight="1" s="40">
      <c r="A4952" s="24" t="n"/>
      <c r="B4952" s="27" t="n"/>
      <c r="C4952" s="24" t="n"/>
      <c r="D4952" s="28" t="n"/>
      <c r="E4952" s="29" t="n"/>
      <c r="F4952" s="24" t="n"/>
      <c r="G4952" s="24" t="n"/>
      <c r="H4952" s="21">
        <f>IF(ISNUMBER($B4952),INT($B4952)-WEEKDAY($B4952,2)+1,"")</f>
        <v/>
      </c>
      <c r="I4952" s="24" t="n"/>
      <c r="J4952" s="22">
        <f t="array" ref="J4952">IF($D4952="","",IF($I4952="","(trống REF)",IFERROR(INDEX(MASTER_SOURCE!$B$2:$B$495,MATCH($I4952,MASTER_SOURCE!$A$2:$A$495,0)),"(REF không có trong MASTER_SOURCE)")))</f>
        <v/>
      </c>
      <c r="K4952" s="22">
        <f t="array" ref="K4952">IF($D4952="","",IFERROR(INDEX(MASTER_SOURCE!$C$2:$C$495,MATCH($I4952,MASTER_SOURCE!$A$2:$A$495,0)),""))</f>
        <v/>
      </c>
      <c r="L4952" s="22">
        <f t="array" ref="L4952">IF($D4952="","",IFERROR(INDEX(MASTER_SOURCE!$D$2:$D$495,MATCH($I4952,MASTER_SOURCE!$A$2:$A$495,0)),""))</f>
        <v/>
      </c>
      <c r="M4952" s="24" t="n"/>
      <c r="N4952" s="24" t="n"/>
      <c r="O4952" s="24" t="n"/>
      <c r="P4952" s="24" t="n"/>
      <c r="Q4952" s="22">
        <f>IF($D4952="","",IF(AND(OR(DANH_MUC!$L$5&lt;&gt;"Có",M4952="Có"),OR(DANH_MUC!$L$6&lt;&gt;"Có",N4952="Có"),OR(DANH_MUC!$L$7&lt;&gt;"Có",O4952="Có"),OR(DANH_MUC!$L$8&lt;&gt;"Có",P4952="Có")),"Có","Không"))</f>
        <v/>
      </c>
      <c r="R4952" s="22">
        <f>IF($D4952="","",IF(COUNTIF($D$2:$D4952,$D4952)&gt;1,"Trùng",""))</f>
        <v/>
      </c>
      <c r="S4952" s="22">
        <f>IF($D4952="","",IF(AND(LEN($D4952)=10,LEFT($D4952,1)="0",ISNUMBER(--$D4952)),"Có","Không"))</f>
        <v/>
      </c>
      <c r="T4952" s="22">
        <f>IF($D4952="","",IF(AND($C4952&lt;&gt;"",$Q4952="Có",$R4952="",$S4952="Có",AND($L4952&lt;&gt;"",OR($L4952&lt;&gt;"Chưa xác định",DANH_MUC!$L$9="Có"))),"Có","Không"))</f>
        <v/>
      </c>
      <c r="U4952" s="22">
        <f>IF(OR($D4952="",$T4952="Có"),"",IF($C4952="","Thiếu họ tên; ","")&amp;IF($S4952&lt;&gt;"Có","SĐT sai định dạng; ","")&amp;IF($R4952="Trùng","Trùng SĐT; ","")&amp;IF($Q4952&lt;&gt;"Có","Thiếu đồng ý bắt buộc; ","")&amp;IF($L4952="","Thiếu/sai Mã REF; ",IF(AND($L4952="Chưa xác định",DANH_MUC!$L$9&lt;&gt;"Có"),"Nguồn chưa xác định; ","")))</f>
        <v/>
      </c>
      <c r="V4952" s="22">
        <f>IF(OR($D4952="",$R4952="Trùng"),"",IF(COUNTIF(ORDERS!$C$2:$C$4995,$D4952)&gt;0,"Có","Không"))</f>
        <v/>
      </c>
      <c r="W4952" s="22">
        <f>IF(OR($D4952="",$R4952="Trùng"),"",COUNTIFS(ORDERS!$C$2:$C$4995,$D4952,ORDERS!$L$2:$L$4995,"Đã chuyển khoản"))</f>
        <v/>
      </c>
      <c r="X4952" s="23">
        <f>IF(OR($D4952="",$R4952="Trùng"),"",SUMIFS(ORDERS!$J$2:$J$4995,ORDERS!$C$2:$C$4995,$D4952,ORDERS!$L$2:$L$4995,"Đã chuyển khoản"))</f>
        <v/>
      </c>
      <c r="Y4952" s="24" t="n"/>
    </row>
    <row r="4953" ht="14.25" customHeight="1" s="40">
      <c r="A4953" s="24" t="n"/>
      <c r="B4953" s="27" t="n"/>
      <c r="C4953" s="24" t="n"/>
      <c r="D4953" s="28" t="n"/>
      <c r="E4953" s="29" t="n"/>
      <c r="F4953" s="24" t="n"/>
      <c r="G4953" s="24" t="n"/>
      <c r="H4953" s="21">
        <f>IF(ISNUMBER($B4953),INT($B4953)-WEEKDAY($B4953,2)+1,"")</f>
        <v/>
      </c>
      <c r="I4953" s="24" t="n"/>
      <c r="J4953" s="22">
        <f t="array" ref="J4953">IF($D4953="","",IF($I4953="","(trống REF)",IFERROR(INDEX(MASTER_SOURCE!$B$2:$B$495,MATCH($I4953,MASTER_SOURCE!$A$2:$A$495,0)),"(REF không có trong MASTER_SOURCE)")))</f>
        <v/>
      </c>
      <c r="K4953" s="22">
        <f t="array" ref="K4953">IF($D4953="","",IFERROR(INDEX(MASTER_SOURCE!$C$2:$C$495,MATCH($I4953,MASTER_SOURCE!$A$2:$A$495,0)),""))</f>
        <v/>
      </c>
      <c r="L4953" s="22">
        <f t="array" ref="L4953">IF($D4953="","",IFERROR(INDEX(MASTER_SOURCE!$D$2:$D$495,MATCH($I4953,MASTER_SOURCE!$A$2:$A$495,0)),""))</f>
        <v/>
      </c>
      <c r="M4953" s="24" t="n"/>
      <c r="N4953" s="24" t="n"/>
      <c r="O4953" s="24" t="n"/>
      <c r="P4953" s="24" t="n"/>
      <c r="Q4953" s="22">
        <f>IF($D4953="","",IF(AND(OR(DANH_MUC!$L$5&lt;&gt;"Có",M4953="Có"),OR(DANH_MUC!$L$6&lt;&gt;"Có",N4953="Có"),OR(DANH_MUC!$L$7&lt;&gt;"Có",O4953="Có"),OR(DANH_MUC!$L$8&lt;&gt;"Có",P4953="Có")),"Có","Không"))</f>
        <v/>
      </c>
      <c r="R4953" s="22">
        <f>IF($D4953="","",IF(COUNTIF($D$2:$D4953,$D4953)&gt;1,"Trùng",""))</f>
        <v/>
      </c>
      <c r="S4953" s="22">
        <f>IF($D4953="","",IF(AND(LEN($D4953)=10,LEFT($D4953,1)="0",ISNUMBER(--$D4953)),"Có","Không"))</f>
        <v/>
      </c>
      <c r="T4953" s="22">
        <f>IF($D4953="","",IF(AND($C4953&lt;&gt;"",$Q4953="Có",$R4953="",$S4953="Có",AND($L4953&lt;&gt;"",OR($L4953&lt;&gt;"Chưa xác định",DANH_MUC!$L$9="Có"))),"Có","Không"))</f>
        <v/>
      </c>
      <c r="U4953" s="22">
        <f>IF(OR($D4953="",$T4953="Có"),"",IF($C4953="","Thiếu họ tên; ","")&amp;IF($S4953&lt;&gt;"Có","SĐT sai định dạng; ","")&amp;IF($R4953="Trùng","Trùng SĐT; ","")&amp;IF($Q4953&lt;&gt;"Có","Thiếu đồng ý bắt buộc; ","")&amp;IF($L4953="","Thiếu/sai Mã REF; ",IF(AND($L4953="Chưa xác định",DANH_MUC!$L$9&lt;&gt;"Có"),"Nguồn chưa xác định; ","")))</f>
        <v/>
      </c>
      <c r="V4953" s="22">
        <f>IF(OR($D4953="",$R4953="Trùng"),"",IF(COUNTIF(ORDERS!$C$2:$C$4995,$D4953)&gt;0,"Có","Không"))</f>
        <v/>
      </c>
      <c r="W4953" s="22">
        <f>IF(OR($D4953="",$R4953="Trùng"),"",COUNTIFS(ORDERS!$C$2:$C$4995,$D4953,ORDERS!$L$2:$L$4995,"Đã chuyển khoản"))</f>
        <v/>
      </c>
      <c r="X4953" s="23">
        <f>IF(OR($D4953="",$R4953="Trùng"),"",SUMIFS(ORDERS!$J$2:$J$4995,ORDERS!$C$2:$C$4995,$D4953,ORDERS!$L$2:$L$4995,"Đã chuyển khoản"))</f>
        <v/>
      </c>
      <c r="Y4953" s="24" t="n"/>
    </row>
    <row r="4954" ht="14.25" customHeight="1" s="40">
      <c r="A4954" s="24" t="n"/>
      <c r="B4954" s="27" t="n"/>
      <c r="C4954" s="24" t="n"/>
      <c r="D4954" s="28" t="n"/>
      <c r="E4954" s="29" t="n"/>
      <c r="F4954" s="24" t="n"/>
      <c r="G4954" s="24" t="n"/>
      <c r="H4954" s="21">
        <f>IF(ISNUMBER($B4954),INT($B4954)-WEEKDAY($B4954,2)+1,"")</f>
        <v/>
      </c>
      <c r="I4954" s="24" t="n"/>
      <c r="J4954" s="22">
        <f t="array" ref="J4954">IF($D4954="","",IF($I4954="","(trống REF)",IFERROR(INDEX(MASTER_SOURCE!$B$2:$B$495,MATCH($I4954,MASTER_SOURCE!$A$2:$A$495,0)),"(REF không có trong MASTER_SOURCE)")))</f>
        <v/>
      </c>
      <c r="K4954" s="22">
        <f t="array" ref="K4954">IF($D4954="","",IFERROR(INDEX(MASTER_SOURCE!$C$2:$C$495,MATCH($I4954,MASTER_SOURCE!$A$2:$A$495,0)),""))</f>
        <v/>
      </c>
      <c r="L4954" s="22">
        <f t="array" ref="L4954">IF($D4954="","",IFERROR(INDEX(MASTER_SOURCE!$D$2:$D$495,MATCH($I4954,MASTER_SOURCE!$A$2:$A$495,0)),""))</f>
        <v/>
      </c>
      <c r="M4954" s="24" t="n"/>
      <c r="N4954" s="24" t="n"/>
      <c r="O4954" s="24" t="n"/>
      <c r="P4954" s="24" t="n"/>
      <c r="Q4954" s="22">
        <f>IF($D4954="","",IF(AND(OR(DANH_MUC!$L$5&lt;&gt;"Có",M4954="Có"),OR(DANH_MUC!$L$6&lt;&gt;"Có",N4954="Có"),OR(DANH_MUC!$L$7&lt;&gt;"Có",O4954="Có"),OR(DANH_MUC!$L$8&lt;&gt;"Có",P4954="Có")),"Có","Không"))</f>
        <v/>
      </c>
      <c r="R4954" s="22">
        <f>IF($D4954="","",IF(COUNTIF($D$2:$D4954,$D4954)&gt;1,"Trùng",""))</f>
        <v/>
      </c>
      <c r="S4954" s="22">
        <f>IF($D4954="","",IF(AND(LEN($D4954)=10,LEFT($D4954,1)="0",ISNUMBER(--$D4954)),"Có","Không"))</f>
        <v/>
      </c>
      <c r="T4954" s="22">
        <f>IF($D4954="","",IF(AND($C4954&lt;&gt;"",$Q4954="Có",$R4954="",$S4954="Có",AND($L4954&lt;&gt;"",OR($L4954&lt;&gt;"Chưa xác định",DANH_MUC!$L$9="Có"))),"Có","Không"))</f>
        <v/>
      </c>
      <c r="U4954" s="22">
        <f>IF(OR($D4954="",$T4954="Có"),"",IF($C4954="","Thiếu họ tên; ","")&amp;IF($S4954&lt;&gt;"Có","SĐT sai định dạng; ","")&amp;IF($R4954="Trùng","Trùng SĐT; ","")&amp;IF($Q4954&lt;&gt;"Có","Thiếu đồng ý bắt buộc; ","")&amp;IF($L4954="","Thiếu/sai Mã REF; ",IF(AND($L4954="Chưa xác định",DANH_MUC!$L$9&lt;&gt;"Có"),"Nguồn chưa xác định; ","")))</f>
        <v/>
      </c>
      <c r="V4954" s="22">
        <f>IF(OR($D4954="",$R4954="Trùng"),"",IF(COUNTIF(ORDERS!$C$2:$C$4995,$D4954)&gt;0,"Có","Không"))</f>
        <v/>
      </c>
      <c r="W4954" s="22">
        <f>IF(OR($D4954="",$R4954="Trùng"),"",COUNTIFS(ORDERS!$C$2:$C$4995,$D4954,ORDERS!$L$2:$L$4995,"Đã chuyển khoản"))</f>
        <v/>
      </c>
      <c r="X4954" s="23">
        <f>IF(OR($D4954="",$R4954="Trùng"),"",SUMIFS(ORDERS!$J$2:$J$4995,ORDERS!$C$2:$C$4995,$D4954,ORDERS!$L$2:$L$4995,"Đã chuyển khoản"))</f>
        <v/>
      </c>
      <c r="Y4954" s="24" t="n"/>
    </row>
    <row r="4955" ht="14.25" customHeight="1" s="40">
      <c r="A4955" s="24" t="n"/>
      <c r="B4955" s="27" t="n"/>
      <c r="C4955" s="24" t="n"/>
      <c r="D4955" s="28" t="n"/>
      <c r="E4955" s="29" t="n"/>
      <c r="F4955" s="24" t="n"/>
      <c r="G4955" s="24" t="n"/>
      <c r="H4955" s="21">
        <f>IF(ISNUMBER($B4955),INT($B4955)-WEEKDAY($B4955,2)+1,"")</f>
        <v/>
      </c>
      <c r="I4955" s="24" t="n"/>
      <c r="J4955" s="22">
        <f t="array" ref="J4955">IF($D4955="","",IF($I4955="","(trống REF)",IFERROR(INDEX(MASTER_SOURCE!$B$2:$B$495,MATCH($I4955,MASTER_SOURCE!$A$2:$A$495,0)),"(REF không có trong MASTER_SOURCE)")))</f>
        <v/>
      </c>
      <c r="K4955" s="22">
        <f t="array" ref="K4955">IF($D4955="","",IFERROR(INDEX(MASTER_SOURCE!$C$2:$C$495,MATCH($I4955,MASTER_SOURCE!$A$2:$A$495,0)),""))</f>
        <v/>
      </c>
      <c r="L4955" s="22">
        <f t="array" ref="L4955">IF($D4955="","",IFERROR(INDEX(MASTER_SOURCE!$D$2:$D$495,MATCH($I4955,MASTER_SOURCE!$A$2:$A$495,0)),""))</f>
        <v/>
      </c>
      <c r="M4955" s="24" t="n"/>
      <c r="N4955" s="24" t="n"/>
      <c r="O4955" s="24" t="n"/>
      <c r="P4955" s="24" t="n"/>
      <c r="Q4955" s="22">
        <f>IF($D4955="","",IF(AND(OR(DANH_MUC!$L$5&lt;&gt;"Có",M4955="Có"),OR(DANH_MUC!$L$6&lt;&gt;"Có",N4955="Có"),OR(DANH_MUC!$L$7&lt;&gt;"Có",O4955="Có"),OR(DANH_MUC!$L$8&lt;&gt;"Có",P4955="Có")),"Có","Không"))</f>
        <v/>
      </c>
      <c r="R4955" s="22">
        <f>IF($D4955="","",IF(COUNTIF($D$2:$D4955,$D4955)&gt;1,"Trùng",""))</f>
        <v/>
      </c>
      <c r="S4955" s="22">
        <f>IF($D4955="","",IF(AND(LEN($D4955)=10,LEFT($D4955,1)="0",ISNUMBER(--$D4955)),"Có","Không"))</f>
        <v/>
      </c>
      <c r="T4955" s="22">
        <f>IF($D4955="","",IF(AND($C4955&lt;&gt;"",$Q4955="Có",$R4955="",$S4955="Có",AND($L4955&lt;&gt;"",OR($L4955&lt;&gt;"Chưa xác định",DANH_MUC!$L$9="Có"))),"Có","Không"))</f>
        <v/>
      </c>
      <c r="U4955" s="22">
        <f>IF(OR($D4955="",$T4955="Có"),"",IF($C4955="","Thiếu họ tên; ","")&amp;IF($S4955&lt;&gt;"Có","SĐT sai định dạng; ","")&amp;IF($R4955="Trùng","Trùng SĐT; ","")&amp;IF($Q4955&lt;&gt;"Có","Thiếu đồng ý bắt buộc; ","")&amp;IF($L4955="","Thiếu/sai Mã REF; ",IF(AND($L4955="Chưa xác định",DANH_MUC!$L$9&lt;&gt;"Có"),"Nguồn chưa xác định; ","")))</f>
        <v/>
      </c>
      <c r="V4955" s="22">
        <f>IF(OR($D4955="",$R4955="Trùng"),"",IF(COUNTIF(ORDERS!$C$2:$C$4995,$D4955)&gt;0,"Có","Không"))</f>
        <v/>
      </c>
      <c r="W4955" s="22">
        <f>IF(OR($D4955="",$R4955="Trùng"),"",COUNTIFS(ORDERS!$C$2:$C$4995,$D4955,ORDERS!$L$2:$L$4995,"Đã chuyển khoản"))</f>
        <v/>
      </c>
      <c r="X4955" s="23">
        <f>IF(OR($D4955="",$R4955="Trùng"),"",SUMIFS(ORDERS!$J$2:$J$4995,ORDERS!$C$2:$C$4995,$D4955,ORDERS!$L$2:$L$4995,"Đã chuyển khoản"))</f>
        <v/>
      </c>
      <c r="Y4955" s="24" t="n"/>
    </row>
    <row r="4956" ht="14.25" customHeight="1" s="40">
      <c r="A4956" s="24" t="n"/>
      <c r="B4956" s="27" t="n"/>
      <c r="C4956" s="24" t="n"/>
      <c r="D4956" s="28" t="n"/>
      <c r="E4956" s="29" t="n"/>
      <c r="F4956" s="24" t="n"/>
      <c r="G4956" s="24" t="n"/>
      <c r="H4956" s="21">
        <f>IF(ISNUMBER($B4956),INT($B4956)-WEEKDAY($B4956,2)+1,"")</f>
        <v/>
      </c>
      <c r="I4956" s="24" t="n"/>
      <c r="J4956" s="22">
        <f t="array" ref="J4956">IF($D4956="","",IF($I4956="","(trống REF)",IFERROR(INDEX(MASTER_SOURCE!$B$2:$B$495,MATCH($I4956,MASTER_SOURCE!$A$2:$A$495,0)),"(REF không có trong MASTER_SOURCE)")))</f>
        <v/>
      </c>
      <c r="K4956" s="22">
        <f t="array" ref="K4956">IF($D4956="","",IFERROR(INDEX(MASTER_SOURCE!$C$2:$C$495,MATCH($I4956,MASTER_SOURCE!$A$2:$A$495,0)),""))</f>
        <v/>
      </c>
      <c r="L4956" s="22">
        <f t="array" ref="L4956">IF($D4956="","",IFERROR(INDEX(MASTER_SOURCE!$D$2:$D$495,MATCH($I4956,MASTER_SOURCE!$A$2:$A$495,0)),""))</f>
        <v/>
      </c>
      <c r="M4956" s="24" t="n"/>
      <c r="N4956" s="24" t="n"/>
      <c r="O4956" s="24" t="n"/>
      <c r="P4956" s="24" t="n"/>
      <c r="Q4956" s="22">
        <f>IF($D4956="","",IF(AND(OR(DANH_MUC!$L$5&lt;&gt;"Có",M4956="Có"),OR(DANH_MUC!$L$6&lt;&gt;"Có",N4956="Có"),OR(DANH_MUC!$L$7&lt;&gt;"Có",O4956="Có"),OR(DANH_MUC!$L$8&lt;&gt;"Có",P4956="Có")),"Có","Không"))</f>
        <v/>
      </c>
      <c r="R4956" s="22">
        <f>IF($D4956="","",IF(COUNTIF($D$2:$D4956,$D4956)&gt;1,"Trùng",""))</f>
        <v/>
      </c>
      <c r="S4956" s="22">
        <f>IF($D4956="","",IF(AND(LEN($D4956)=10,LEFT($D4956,1)="0",ISNUMBER(--$D4956)),"Có","Không"))</f>
        <v/>
      </c>
      <c r="T4956" s="22">
        <f>IF($D4956="","",IF(AND($C4956&lt;&gt;"",$Q4956="Có",$R4956="",$S4956="Có",AND($L4956&lt;&gt;"",OR($L4956&lt;&gt;"Chưa xác định",DANH_MUC!$L$9="Có"))),"Có","Không"))</f>
        <v/>
      </c>
      <c r="U4956" s="22">
        <f>IF(OR($D4956="",$T4956="Có"),"",IF($C4956="","Thiếu họ tên; ","")&amp;IF($S4956&lt;&gt;"Có","SĐT sai định dạng; ","")&amp;IF($R4956="Trùng","Trùng SĐT; ","")&amp;IF($Q4956&lt;&gt;"Có","Thiếu đồng ý bắt buộc; ","")&amp;IF($L4956="","Thiếu/sai Mã REF; ",IF(AND($L4956="Chưa xác định",DANH_MUC!$L$9&lt;&gt;"Có"),"Nguồn chưa xác định; ","")))</f>
        <v/>
      </c>
      <c r="V4956" s="22">
        <f>IF(OR($D4956="",$R4956="Trùng"),"",IF(COUNTIF(ORDERS!$C$2:$C$4995,$D4956)&gt;0,"Có","Không"))</f>
        <v/>
      </c>
      <c r="W4956" s="22">
        <f>IF(OR($D4956="",$R4956="Trùng"),"",COUNTIFS(ORDERS!$C$2:$C$4995,$D4956,ORDERS!$L$2:$L$4995,"Đã chuyển khoản"))</f>
        <v/>
      </c>
      <c r="X4956" s="23">
        <f>IF(OR($D4956="",$R4956="Trùng"),"",SUMIFS(ORDERS!$J$2:$J$4995,ORDERS!$C$2:$C$4995,$D4956,ORDERS!$L$2:$L$4995,"Đã chuyển khoản"))</f>
        <v/>
      </c>
      <c r="Y4956" s="24" t="n"/>
    </row>
    <row r="4957" ht="14.25" customHeight="1" s="40">
      <c r="A4957" s="24" t="n"/>
      <c r="B4957" s="27" t="n"/>
      <c r="C4957" s="24" t="n"/>
      <c r="D4957" s="28" t="n"/>
      <c r="E4957" s="29" t="n"/>
      <c r="F4957" s="24" t="n"/>
      <c r="G4957" s="24" t="n"/>
      <c r="H4957" s="21">
        <f>IF(ISNUMBER($B4957),INT($B4957)-WEEKDAY($B4957,2)+1,"")</f>
        <v/>
      </c>
      <c r="I4957" s="24" t="n"/>
      <c r="J4957" s="22">
        <f t="array" ref="J4957">IF($D4957="","",IF($I4957="","(trống REF)",IFERROR(INDEX(MASTER_SOURCE!$B$2:$B$495,MATCH($I4957,MASTER_SOURCE!$A$2:$A$495,0)),"(REF không có trong MASTER_SOURCE)")))</f>
        <v/>
      </c>
      <c r="K4957" s="22">
        <f t="array" ref="K4957">IF($D4957="","",IFERROR(INDEX(MASTER_SOURCE!$C$2:$C$495,MATCH($I4957,MASTER_SOURCE!$A$2:$A$495,0)),""))</f>
        <v/>
      </c>
      <c r="L4957" s="22">
        <f t="array" ref="L4957">IF($D4957="","",IFERROR(INDEX(MASTER_SOURCE!$D$2:$D$495,MATCH($I4957,MASTER_SOURCE!$A$2:$A$495,0)),""))</f>
        <v/>
      </c>
      <c r="M4957" s="24" t="n"/>
      <c r="N4957" s="24" t="n"/>
      <c r="O4957" s="24" t="n"/>
      <c r="P4957" s="24" t="n"/>
      <c r="Q4957" s="22">
        <f>IF($D4957="","",IF(AND(OR(DANH_MUC!$L$5&lt;&gt;"Có",M4957="Có"),OR(DANH_MUC!$L$6&lt;&gt;"Có",N4957="Có"),OR(DANH_MUC!$L$7&lt;&gt;"Có",O4957="Có"),OR(DANH_MUC!$L$8&lt;&gt;"Có",P4957="Có")),"Có","Không"))</f>
        <v/>
      </c>
      <c r="R4957" s="22">
        <f>IF($D4957="","",IF(COUNTIF($D$2:$D4957,$D4957)&gt;1,"Trùng",""))</f>
        <v/>
      </c>
      <c r="S4957" s="22">
        <f>IF($D4957="","",IF(AND(LEN($D4957)=10,LEFT($D4957,1)="0",ISNUMBER(--$D4957)),"Có","Không"))</f>
        <v/>
      </c>
      <c r="T4957" s="22">
        <f>IF($D4957="","",IF(AND($C4957&lt;&gt;"",$Q4957="Có",$R4957="",$S4957="Có",AND($L4957&lt;&gt;"",OR($L4957&lt;&gt;"Chưa xác định",DANH_MUC!$L$9="Có"))),"Có","Không"))</f>
        <v/>
      </c>
      <c r="U4957" s="22">
        <f>IF(OR($D4957="",$T4957="Có"),"",IF($C4957="","Thiếu họ tên; ","")&amp;IF($S4957&lt;&gt;"Có","SĐT sai định dạng; ","")&amp;IF($R4957="Trùng","Trùng SĐT; ","")&amp;IF($Q4957&lt;&gt;"Có","Thiếu đồng ý bắt buộc; ","")&amp;IF($L4957="","Thiếu/sai Mã REF; ",IF(AND($L4957="Chưa xác định",DANH_MUC!$L$9&lt;&gt;"Có"),"Nguồn chưa xác định; ","")))</f>
        <v/>
      </c>
      <c r="V4957" s="22">
        <f>IF(OR($D4957="",$R4957="Trùng"),"",IF(COUNTIF(ORDERS!$C$2:$C$4995,$D4957)&gt;0,"Có","Không"))</f>
        <v/>
      </c>
      <c r="W4957" s="22">
        <f>IF(OR($D4957="",$R4957="Trùng"),"",COUNTIFS(ORDERS!$C$2:$C$4995,$D4957,ORDERS!$L$2:$L$4995,"Đã chuyển khoản"))</f>
        <v/>
      </c>
      <c r="X4957" s="23">
        <f>IF(OR($D4957="",$R4957="Trùng"),"",SUMIFS(ORDERS!$J$2:$J$4995,ORDERS!$C$2:$C$4995,$D4957,ORDERS!$L$2:$L$4995,"Đã chuyển khoản"))</f>
        <v/>
      </c>
      <c r="Y4957" s="24" t="n"/>
    </row>
    <row r="4958" ht="14.25" customHeight="1" s="40">
      <c r="A4958" s="24" t="n"/>
      <c r="B4958" s="27" t="n"/>
      <c r="C4958" s="24" t="n"/>
      <c r="D4958" s="28" t="n"/>
      <c r="E4958" s="29" t="n"/>
      <c r="F4958" s="24" t="n"/>
      <c r="G4958" s="24" t="n"/>
      <c r="H4958" s="21">
        <f>IF(ISNUMBER($B4958),INT($B4958)-WEEKDAY($B4958,2)+1,"")</f>
        <v/>
      </c>
      <c r="I4958" s="24" t="n"/>
      <c r="J4958" s="22">
        <f t="array" ref="J4958">IF($D4958="","",IF($I4958="","(trống REF)",IFERROR(INDEX(MASTER_SOURCE!$B$2:$B$495,MATCH($I4958,MASTER_SOURCE!$A$2:$A$495,0)),"(REF không có trong MASTER_SOURCE)")))</f>
        <v/>
      </c>
      <c r="K4958" s="22">
        <f t="array" ref="K4958">IF($D4958="","",IFERROR(INDEX(MASTER_SOURCE!$C$2:$C$495,MATCH($I4958,MASTER_SOURCE!$A$2:$A$495,0)),""))</f>
        <v/>
      </c>
      <c r="L4958" s="22">
        <f t="array" ref="L4958">IF($D4958="","",IFERROR(INDEX(MASTER_SOURCE!$D$2:$D$495,MATCH($I4958,MASTER_SOURCE!$A$2:$A$495,0)),""))</f>
        <v/>
      </c>
      <c r="M4958" s="24" t="n"/>
      <c r="N4958" s="24" t="n"/>
      <c r="O4958" s="24" t="n"/>
      <c r="P4958" s="24" t="n"/>
      <c r="Q4958" s="22">
        <f>IF($D4958="","",IF(AND(OR(DANH_MUC!$L$5&lt;&gt;"Có",M4958="Có"),OR(DANH_MUC!$L$6&lt;&gt;"Có",N4958="Có"),OR(DANH_MUC!$L$7&lt;&gt;"Có",O4958="Có"),OR(DANH_MUC!$L$8&lt;&gt;"Có",P4958="Có")),"Có","Không"))</f>
        <v/>
      </c>
      <c r="R4958" s="22">
        <f>IF($D4958="","",IF(COUNTIF($D$2:$D4958,$D4958)&gt;1,"Trùng",""))</f>
        <v/>
      </c>
      <c r="S4958" s="22">
        <f>IF($D4958="","",IF(AND(LEN($D4958)=10,LEFT($D4958,1)="0",ISNUMBER(--$D4958)),"Có","Không"))</f>
        <v/>
      </c>
      <c r="T4958" s="22">
        <f>IF($D4958="","",IF(AND($C4958&lt;&gt;"",$Q4958="Có",$R4958="",$S4958="Có",AND($L4958&lt;&gt;"",OR($L4958&lt;&gt;"Chưa xác định",DANH_MUC!$L$9="Có"))),"Có","Không"))</f>
        <v/>
      </c>
      <c r="U4958" s="22">
        <f>IF(OR($D4958="",$T4958="Có"),"",IF($C4958="","Thiếu họ tên; ","")&amp;IF($S4958&lt;&gt;"Có","SĐT sai định dạng; ","")&amp;IF($R4958="Trùng","Trùng SĐT; ","")&amp;IF($Q4958&lt;&gt;"Có","Thiếu đồng ý bắt buộc; ","")&amp;IF($L4958="","Thiếu/sai Mã REF; ",IF(AND($L4958="Chưa xác định",DANH_MUC!$L$9&lt;&gt;"Có"),"Nguồn chưa xác định; ","")))</f>
        <v/>
      </c>
      <c r="V4958" s="22">
        <f>IF(OR($D4958="",$R4958="Trùng"),"",IF(COUNTIF(ORDERS!$C$2:$C$4995,$D4958)&gt;0,"Có","Không"))</f>
        <v/>
      </c>
      <c r="W4958" s="22">
        <f>IF(OR($D4958="",$R4958="Trùng"),"",COUNTIFS(ORDERS!$C$2:$C$4995,$D4958,ORDERS!$L$2:$L$4995,"Đã chuyển khoản"))</f>
        <v/>
      </c>
      <c r="X4958" s="23">
        <f>IF(OR($D4958="",$R4958="Trùng"),"",SUMIFS(ORDERS!$J$2:$J$4995,ORDERS!$C$2:$C$4995,$D4958,ORDERS!$L$2:$L$4995,"Đã chuyển khoản"))</f>
        <v/>
      </c>
      <c r="Y4958" s="24" t="n"/>
    </row>
    <row r="4959" ht="14.25" customHeight="1" s="40">
      <c r="A4959" s="24" t="n"/>
      <c r="B4959" s="27" t="n"/>
      <c r="C4959" s="24" t="n"/>
      <c r="D4959" s="28" t="n"/>
      <c r="E4959" s="29" t="n"/>
      <c r="F4959" s="24" t="n"/>
      <c r="G4959" s="24" t="n"/>
      <c r="H4959" s="21">
        <f>IF(ISNUMBER($B4959),INT($B4959)-WEEKDAY($B4959,2)+1,"")</f>
        <v/>
      </c>
      <c r="I4959" s="24" t="n"/>
      <c r="J4959" s="22">
        <f t="array" ref="J4959">IF($D4959="","",IF($I4959="","(trống REF)",IFERROR(INDEX(MASTER_SOURCE!$B$2:$B$495,MATCH($I4959,MASTER_SOURCE!$A$2:$A$495,0)),"(REF không có trong MASTER_SOURCE)")))</f>
        <v/>
      </c>
      <c r="K4959" s="22">
        <f t="array" ref="K4959">IF($D4959="","",IFERROR(INDEX(MASTER_SOURCE!$C$2:$C$495,MATCH($I4959,MASTER_SOURCE!$A$2:$A$495,0)),""))</f>
        <v/>
      </c>
      <c r="L4959" s="22">
        <f t="array" ref="L4959">IF($D4959="","",IFERROR(INDEX(MASTER_SOURCE!$D$2:$D$495,MATCH($I4959,MASTER_SOURCE!$A$2:$A$495,0)),""))</f>
        <v/>
      </c>
      <c r="M4959" s="24" t="n"/>
      <c r="N4959" s="24" t="n"/>
      <c r="O4959" s="24" t="n"/>
      <c r="P4959" s="24" t="n"/>
      <c r="Q4959" s="22">
        <f>IF($D4959="","",IF(AND(OR(DANH_MUC!$L$5&lt;&gt;"Có",M4959="Có"),OR(DANH_MUC!$L$6&lt;&gt;"Có",N4959="Có"),OR(DANH_MUC!$L$7&lt;&gt;"Có",O4959="Có"),OR(DANH_MUC!$L$8&lt;&gt;"Có",P4959="Có")),"Có","Không"))</f>
        <v/>
      </c>
      <c r="R4959" s="22">
        <f>IF($D4959="","",IF(COUNTIF($D$2:$D4959,$D4959)&gt;1,"Trùng",""))</f>
        <v/>
      </c>
      <c r="S4959" s="22">
        <f>IF($D4959="","",IF(AND(LEN($D4959)=10,LEFT($D4959,1)="0",ISNUMBER(--$D4959)),"Có","Không"))</f>
        <v/>
      </c>
      <c r="T4959" s="22">
        <f>IF($D4959="","",IF(AND($C4959&lt;&gt;"",$Q4959="Có",$R4959="",$S4959="Có",AND($L4959&lt;&gt;"",OR($L4959&lt;&gt;"Chưa xác định",DANH_MUC!$L$9="Có"))),"Có","Không"))</f>
        <v/>
      </c>
      <c r="U4959" s="22">
        <f>IF(OR($D4959="",$T4959="Có"),"",IF($C4959="","Thiếu họ tên; ","")&amp;IF($S4959&lt;&gt;"Có","SĐT sai định dạng; ","")&amp;IF($R4959="Trùng","Trùng SĐT; ","")&amp;IF($Q4959&lt;&gt;"Có","Thiếu đồng ý bắt buộc; ","")&amp;IF($L4959="","Thiếu/sai Mã REF; ",IF(AND($L4959="Chưa xác định",DANH_MUC!$L$9&lt;&gt;"Có"),"Nguồn chưa xác định; ","")))</f>
        <v/>
      </c>
      <c r="V4959" s="22">
        <f>IF(OR($D4959="",$R4959="Trùng"),"",IF(COUNTIF(ORDERS!$C$2:$C$4995,$D4959)&gt;0,"Có","Không"))</f>
        <v/>
      </c>
      <c r="W4959" s="22">
        <f>IF(OR($D4959="",$R4959="Trùng"),"",COUNTIFS(ORDERS!$C$2:$C$4995,$D4959,ORDERS!$L$2:$L$4995,"Đã chuyển khoản"))</f>
        <v/>
      </c>
      <c r="X4959" s="23">
        <f>IF(OR($D4959="",$R4959="Trùng"),"",SUMIFS(ORDERS!$J$2:$J$4995,ORDERS!$C$2:$C$4995,$D4959,ORDERS!$L$2:$L$4995,"Đã chuyển khoản"))</f>
        <v/>
      </c>
      <c r="Y4959" s="24" t="n"/>
    </row>
    <row r="4960" ht="14.25" customHeight="1" s="40">
      <c r="A4960" s="24" t="n"/>
      <c r="B4960" s="27" t="n"/>
      <c r="C4960" s="24" t="n"/>
      <c r="D4960" s="28" t="n"/>
      <c r="E4960" s="29" t="n"/>
      <c r="F4960" s="24" t="n"/>
      <c r="G4960" s="24" t="n"/>
      <c r="H4960" s="21">
        <f>IF(ISNUMBER($B4960),INT($B4960)-WEEKDAY($B4960,2)+1,"")</f>
        <v/>
      </c>
      <c r="I4960" s="24" t="n"/>
      <c r="J4960" s="22">
        <f t="array" ref="J4960">IF($D4960="","",IF($I4960="","(trống REF)",IFERROR(INDEX(MASTER_SOURCE!$B$2:$B$495,MATCH($I4960,MASTER_SOURCE!$A$2:$A$495,0)),"(REF không có trong MASTER_SOURCE)")))</f>
        <v/>
      </c>
      <c r="K4960" s="22">
        <f t="array" ref="K4960">IF($D4960="","",IFERROR(INDEX(MASTER_SOURCE!$C$2:$C$495,MATCH($I4960,MASTER_SOURCE!$A$2:$A$495,0)),""))</f>
        <v/>
      </c>
      <c r="L4960" s="22">
        <f t="array" ref="L4960">IF($D4960="","",IFERROR(INDEX(MASTER_SOURCE!$D$2:$D$495,MATCH($I4960,MASTER_SOURCE!$A$2:$A$495,0)),""))</f>
        <v/>
      </c>
      <c r="M4960" s="24" t="n"/>
      <c r="N4960" s="24" t="n"/>
      <c r="O4960" s="24" t="n"/>
      <c r="P4960" s="24" t="n"/>
      <c r="Q4960" s="22">
        <f>IF($D4960="","",IF(AND(OR(DANH_MUC!$L$5&lt;&gt;"Có",M4960="Có"),OR(DANH_MUC!$L$6&lt;&gt;"Có",N4960="Có"),OR(DANH_MUC!$L$7&lt;&gt;"Có",O4960="Có"),OR(DANH_MUC!$L$8&lt;&gt;"Có",P4960="Có")),"Có","Không"))</f>
        <v/>
      </c>
      <c r="R4960" s="22">
        <f>IF($D4960="","",IF(COUNTIF($D$2:$D4960,$D4960)&gt;1,"Trùng",""))</f>
        <v/>
      </c>
      <c r="S4960" s="22">
        <f>IF($D4960="","",IF(AND(LEN($D4960)=10,LEFT($D4960,1)="0",ISNUMBER(--$D4960)),"Có","Không"))</f>
        <v/>
      </c>
      <c r="T4960" s="22">
        <f>IF($D4960="","",IF(AND($C4960&lt;&gt;"",$Q4960="Có",$R4960="",$S4960="Có",AND($L4960&lt;&gt;"",OR($L4960&lt;&gt;"Chưa xác định",DANH_MUC!$L$9="Có"))),"Có","Không"))</f>
        <v/>
      </c>
      <c r="U4960" s="22">
        <f>IF(OR($D4960="",$T4960="Có"),"",IF($C4960="","Thiếu họ tên; ","")&amp;IF($S4960&lt;&gt;"Có","SĐT sai định dạng; ","")&amp;IF($R4960="Trùng","Trùng SĐT; ","")&amp;IF($Q4960&lt;&gt;"Có","Thiếu đồng ý bắt buộc; ","")&amp;IF($L4960="","Thiếu/sai Mã REF; ",IF(AND($L4960="Chưa xác định",DANH_MUC!$L$9&lt;&gt;"Có"),"Nguồn chưa xác định; ","")))</f>
        <v/>
      </c>
      <c r="V4960" s="22">
        <f>IF(OR($D4960="",$R4960="Trùng"),"",IF(COUNTIF(ORDERS!$C$2:$C$4995,$D4960)&gt;0,"Có","Không"))</f>
        <v/>
      </c>
      <c r="W4960" s="22">
        <f>IF(OR($D4960="",$R4960="Trùng"),"",COUNTIFS(ORDERS!$C$2:$C$4995,$D4960,ORDERS!$L$2:$L$4995,"Đã chuyển khoản"))</f>
        <v/>
      </c>
      <c r="X4960" s="23">
        <f>IF(OR($D4960="",$R4960="Trùng"),"",SUMIFS(ORDERS!$J$2:$J$4995,ORDERS!$C$2:$C$4995,$D4960,ORDERS!$L$2:$L$4995,"Đã chuyển khoản"))</f>
        <v/>
      </c>
      <c r="Y4960" s="24" t="n"/>
    </row>
    <row r="4961" ht="14.25" customHeight="1" s="40">
      <c r="A4961" s="24" t="n"/>
      <c r="B4961" s="27" t="n"/>
      <c r="C4961" s="24" t="n"/>
      <c r="D4961" s="28" t="n"/>
      <c r="E4961" s="29" t="n"/>
      <c r="F4961" s="24" t="n"/>
      <c r="G4961" s="24" t="n"/>
      <c r="H4961" s="21">
        <f>IF(ISNUMBER($B4961),INT($B4961)-WEEKDAY($B4961,2)+1,"")</f>
        <v/>
      </c>
      <c r="I4961" s="24" t="n"/>
      <c r="J4961" s="22">
        <f t="array" ref="J4961">IF($D4961="","",IF($I4961="","(trống REF)",IFERROR(INDEX(MASTER_SOURCE!$B$2:$B$495,MATCH($I4961,MASTER_SOURCE!$A$2:$A$495,0)),"(REF không có trong MASTER_SOURCE)")))</f>
        <v/>
      </c>
      <c r="K4961" s="22">
        <f t="array" ref="K4961">IF($D4961="","",IFERROR(INDEX(MASTER_SOURCE!$C$2:$C$495,MATCH($I4961,MASTER_SOURCE!$A$2:$A$495,0)),""))</f>
        <v/>
      </c>
      <c r="L4961" s="22">
        <f t="array" ref="L4961">IF($D4961="","",IFERROR(INDEX(MASTER_SOURCE!$D$2:$D$495,MATCH($I4961,MASTER_SOURCE!$A$2:$A$495,0)),""))</f>
        <v/>
      </c>
      <c r="M4961" s="24" t="n"/>
      <c r="N4961" s="24" t="n"/>
      <c r="O4961" s="24" t="n"/>
      <c r="P4961" s="24" t="n"/>
      <c r="Q4961" s="22">
        <f>IF($D4961="","",IF(AND(OR(DANH_MUC!$L$5&lt;&gt;"Có",M4961="Có"),OR(DANH_MUC!$L$6&lt;&gt;"Có",N4961="Có"),OR(DANH_MUC!$L$7&lt;&gt;"Có",O4961="Có"),OR(DANH_MUC!$L$8&lt;&gt;"Có",P4961="Có")),"Có","Không"))</f>
        <v/>
      </c>
      <c r="R4961" s="22">
        <f>IF($D4961="","",IF(COUNTIF($D$2:$D4961,$D4961)&gt;1,"Trùng",""))</f>
        <v/>
      </c>
      <c r="S4961" s="22">
        <f>IF($D4961="","",IF(AND(LEN($D4961)=10,LEFT($D4961,1)="0",ISNUMBER(--$D4961)),"Có","Không"))</f>
        <v/>
      </c>
      <c r="T4961" s="22">
        <f>IF($D4961="","",IF(AND($C4961&lt;&gt;"",$Q4961="Có",$R4961="",$S4961="Có",AND($L4961&lt;&gt;"",OR($L4961&lt;&gt;"Chưa xác định",DANH_MUC!$L$9="Có"))),"Có","Không"))</f>
        <v/>
      </c>
      <c r="U4961" s="22">
        <f>IF(OR($D4961="",$T4961="Có"),"",IF($C4961="","Thiếu họ tên; ","")&amp;IF($S4961&lt;&gt;"Có","SĐT sai định dạng; ","")&amp;IF($R4961="Trùng","Trùng SĐT; ","")&amp;IF($Q4961&lt;&gt;"Có","Thiếu đồng ý bắt buộc; ","")&amp;IF($L4961="","Thiếu/sai Mã REF; ",IF(AND($L4961="Chưa xác định",DANH_MUC!$L$9&lt;&gt;"Có"),"Nguồn chưa xác định; ","")))</f>
        <v/>
      </c>
      <c r="V4961" s="22">
        <f>IF(OR($D4961="",$R4961="Trùng"),"",IF(COUNTIF(ORDERS!$C$2:$C$4995,$D4961)&gt;0,"Có","Không"))</f>
        <v/>
      </c>
      <c r="W4961" s="22">
        <f>IF(OR($D4961="",$R4961="Trùng"),"",COUNTIFS(ORDERS!$C$2:$C$4995,$D4961,ORDERS!$L$2:$L$4995,"Đã chuyển khoản"))</f>
        <v/>
      </c>
      <c r="X4961" s="23">
        <f>IF(OR($D4961="",$R4961="Trùng"),"",SUMIFS(ORDERS!$J$2:$J$4995,ORDERS!$C$2:$C$4995,$D4961,ORDERS!$L$2:$L$4995,"Đã chuyển khoản"))</f>
        <v/>
      </c>
      <c r="Y4961" s="24" t="n"/>
    </row>
    <row r="4962" ht="14.25" customHeight="1" s="40">
      <c r="A4962" s="24" t="n"/>
      <c r="B4962" s="27" t="n"/>
      <c r="C4962" s="24" t="n"/>
      <c r="D4962" s="28" t="n"/>
      <c r="E4962" s="29" t="n"/>
      <c r="F4962" s="24" t="n"/>
      <c r="G4962" s="24" t="n"/>
      <c r="H4962" s="21">
        <f>IF(ISNUMBER($B4962),INT($B4962)-WEEKDAY($B4962,2)+1,"")</f>
        <v/>
      </c>
      <c r="I4962" s="24" t="n"/>
      <c r="J4962" s="22">
        <f t="array" ref="J4962">IF($D4962="","",IF($I4962="","(trống REF)",IFERROR(INDEX(MASTER_SOURCE!$B$2:$B$495,MATCH($I4962,MASTER_SOURCE!$A$2:$A$495,0)),"(REF không có trong MASTER_SOURCE)")))</f>
        <v/>
      </c>
      <c r="K4962" s="22">
        <f t="array" ref="K4962">IF($D4962="","",IFERROR(INDEX(MASTER_SOURCE!$C$2:$C$495,MATCH($I4962,MASTER_SOURCE!$A$2:$A$495,0)),""))</f>
        <v/>
      </c>
      <c r="L4962" s="22">
        <f t="array" ref="L4962">IF($D4962="","",IFERROR(INDEX(MASTER_SOURCE!$D$2:$D$495,MATCH($I4962,MASTER_SOURCE!$A$2:$A$495,0)),""))</f>
        <v/>
      </c>
      <c r="M4962" s="24" t="n"/>
      <c r="N4962" s="24" t="n"/>
      <c r="O4962" s="24" t="n"/>
      <c r="P4962" s="24" t="n"/>
      <c r="Q4962" s="22">
        <f>IF($D4962="","",IF(AND(OR(DANH_MUC!$L$5&lt;&gt;"Có",M4962="Có"),OR(DANH_MUC!$L$6&lt;&gt;"Có",N4962="Có"),OR(DANH_MUC!$L$7&lt;&gt;"Có",O4962="Có"),OR(DANH_MUC!$L$8&lt;&gt;"Có",P4962="Có")),"Có","Không"))</f>
        <v/>
      </c>
      <c r="R4962" s="22">
        <f>IF($D4962="","",IF(COUNTIF($D$2:$D4962,$D4962)&gt;1,"Trùng",""))</f>
        <v/>
      </c>
      <c r="S4962" s="22">
        <f>IF($D4962="","",IF(AND(LEN($D4962)=10,LEFT($D4962,1)="0",ISNUMBER(--$D4962)),"Có","Không"))</f>
        <v/>
      </c>
      <c r="T4962" s="22">
        <f>IF($D4962="","",IF(AND($C4962&lt;&gt;"",$Q4962="Có",$R4962="",$S4962="Có",AND($L4962&lt;&gt;"",OR($L4962&lt;&gt;"Chưa xác định",DANH_MUC!$L$9="Có"))),"Có","Không"))</f>
        <v/>
      </c>
      <c r="U4962" s="22">
        <f>IF(OR($D4962="",$T4962="Có"),"",IF($C4962="","Thiếu họ tên; ","")&amp;IF($S4962&lt;&gt;"Có","SĐT sai định dạng; ","")&amp;IF($R4962="Trùng","Trùng SĐT; ","")&amp;IF($Q4962&lt;&gt;"Có","Thiếu đồng ý bắt buộc; ","")&amp;IF($L4962="","Thiếu/sai Mã REF; ",IF(AND($L4962="Chưa xác định",DANH_MUC!$L$9&lt;&gt;"Có"),"Nguồn chưa xác định; ","")))</f>
        <v/>
      </c>
      <c r="V4962" s="22">
        <f>IF(OR($D4962="",$R4962="Trùng"),"",IF(COUNTIF(ORDERS!$C$2:$C$4995,$D4962)&gt;0,"Có","Không"))</f>
        <v/>
      </c>
      <c r="W4962" s="22">
        <f>IF(OR($D4962="",$R4962="Trùng"),"",COUNTIFS(ORDERS!$C$2:$C$4995,$D4962,ORDERS!$L$2:$L$4995,"Đã chuyển khoản"))</f>
        <v/>
      </c>
      <c r="X4962" s="23">
        <f>IF(OR($D4962="",$R4962="Trùng"),"",SUMIFS(ORDERS!$J$2:$J$4995,ORDERS!$C$2:$C$4995,$D4962,ORDERS!$L$2:$L$4995,"Đã chuyển khoản"))</f>
        <v/>
      </c>
      <c r="Y4962" s="24" t="n"/>
    </row>
    <row r="4963" ht="14.25" customHeight="1" s="40">
      <c r="A4963" s="24" t="n"/>
      <c r="B4963" s="27" t="n"/>
      <c r="C4963" s="24" t="n"/>
      <c r="D4963" s="28" t="n"/>
      <c r="E4963" s="29" t="n"/>
      <c r="F4963" s="24" t="n"/>
      <c r="G4963" s="24" t="n"/>
      <c r="H4963" s="21">
        <f>IF(ISNUMBER($B4963),INT($B4963)-WEEKDAY($B4963,2)+1,"")</f>
        <v/>
      </c>
      <c r="I4963" s="24" t="n"/>
      <c r="J4963" s="22">
        <f t="array" ref="J4963">IF($D4963="","",IF($I4963="","(trống REF)",IFERROR(INDEX(MASTER_SOURCE!$B$2:$B$495,MATCH($I4963,MASTER_SOURCE!$A$2:$A$495,0)),"(REF không có trong MASTER_SOURCE)")))</f>
        <v/>
      </c>
      <c r="K4963" s="22">
        <f t="array" ref="K4963">IF($D4963="","",IFERROR(INDEX(MASTER_SOURCE!$C$2:$C$495,MATCH($I4963,MASTER_SOURCE!$A$2:$A$495,0)),""))</f>
        <v/>
      </c>
      <c r="L4963" s="22">
        <f t="array" ref="L4963">IF($D4963="","",IFERROR(INDEX(MASTER_SOURCE!$D$2:$D$495,MATCH($I4963,MASTER_SOURCE!$A$2:$A$495,0)),""))</f>
        <v/>
      </c>
      <c r="M4963" s="24" t="n"/>
      <c r="N4963" s="24" t="n"/>
      <c r="O4963" s="24" t="n"/>
      <c r="P4963" s="24" t="n"/>
      <c r="Q4963" s="22">
        <f>IF($D4963="","",IF(AND(OR(DANH_MUC!$L$5&lt;&gt;"Có",M4963="Có"),OR(DANH_MUC!$L$6&lt;&gt;"Có",N4963="Có"),OR(DANH_MUC!$L$7&lt;&gt;"Có",O4963="Có"),OR(DANH_MUC!$L$8&lt;&gt;"Có",P4963="Có")),"Có","Không"))</f>
        <v/>
      </c>
      <c r="R4963" s="22">
        <f>IF($D4963="","",IF(COUNTIF($D$2:$D4963,$D4963)&gt;1,"Trùng",""))</f>
        <v/>
      </c>
      <c r="S4963" s="22">
        <f>IF($D4963="","",IF(AND(LEN($D4963)=10,LEFT($D4963,1)="0",ISNUMBER(--$D4963)),"Có","Không"))</f>
        <v/>
      </c>
      <c r="T4963" s="22">
        <f>IF($D4963="","",IF(AND($C4963&lt;&gt;"",$Q4963="Có",$R4963="",$S4963="Có",AND($L4963&lt;&gt;"",OR($L4963&lt;&gt;"Chưa xác định",DANH_MUC!$L$9="Có"))),"Có","Không"))</f>
        <v/>
      </c>
      <c r="U4963" s="22">
        <f>IF(OR($D4963="",$T4963="Có"),"",IF($C4963="","Thiếu họ tên; ","")&amp;IF($S4963&lt;&gt;"Có","SĐT sai định dạng; ","")&amp;IF($R4963="Trùng","Trùng SĐT; ","")&amp;IF($Q4963&lt;&gt;"Có","Thiếu đồng ý bắt buộc; ","")&amp;IF($L4963="","Thiếu/sai Mã REF; ",IF(AND($L4963="Chưa xác định",DANH_MUC!$L$9&lt;&gt;"Có"),"Nguồn chưa xác định; ","")))</f>
        <v/>
      </c>
      <c r="V4963" s="22">
        <f>IF(OR($D4963="",$R4963="Trùng"),"",IF(COUNTIF(ORDERS!$C$2:$C$4995,$D4963)&gt;0,"Có","Không"))</f>
        <v/>
      </c>
      <c r="W4963" s="22">
        <f>IF(OR($D4963="",$R4963="Trùng"),"",COUNTIFS(ORDERS!$C$2:$C$4995,$D4963,ORDERS!$L$2:$L$4995,"Đã chuyển khoản"))</f>
        <v/>
      </c>
      <c r="X4963" s="23">
        <f>IF(OR($D4963="",$R4963="Trùng"),"",SUMIFS(ORDERS!$J$2:$J$4995,ORDERS!$C$2:$C$4995,$D4963,ORDERS!$L$2:$L$4995,"Đã chuyển khoản"))</f>
        <v/>
      </c>
      <c r="Y4963" s="24" t="n"/>
    </row>
    <row r="4964" ht="14.25" customHeight="1" s="40">
      <c r="A4964" s="24" t="n"/>
      <c r="B4964" s="27" t="n"/>
      <c r="C4964" s="24" t="n"/>
      <c r="D4964" s="28" t="n"/>
      <c r="E4964" s="29" t="n"/>
      <c r="F4964" s="24" t="n"/>
      <c r="G4964" s="24" t="n"/>
      <c r="H4964" s="21">
        <f>IF(ISNUMBER($B4964),INT($B4964)-WEEKDAY($B4964,2)+1,"")</f>
        <v/>
      </c>
      <c r="I4964" s="24" t="n"/>
      <c r="J4964" s="22">
        <f t="array" ref="J4964">IF($D4964="","",IF($I4964="","(trống REF)",IFERROR(INDEX(MASTER_SOURCE!$B$2:$B$495,MATCH($I4964,MASTER_SOURCE!$A$2:$A$495,0)),"(REF không có trong MASTER_SOURCE)")))</f>
        <v/>
      </c>
      <c r="K4964" s="22">
        <f t="array" ref="K4964">IF($D4964="","",IFERROR(INDEX(MASTER_SOURCE!$C$2:$C$495,MATCH($I4964,MASTER_SOURCE!$A$2:$A$495,0)),""))</f>
        <v/>
      </c>
      <c r="L4964" s="22">
        <f t="array" ref="L4964">IF($D4964="","",IFERROR(INDEX(MASTER_SOURCE!$D$2:$D$495,MATCH($I4964,MASTER_SOURCE!$A$2:$A$495,0)),""))</f>
        <v/>
      </c>
      <c r="M4964" s="24" t="n"/>
      <c r="N4964" s="24" t="n"/>
      <c r="O4964" s="24" t="n"/>
      <c r="P4964" s="24" t="n"/>
      <c r="Q4964" s="22">
        <f>IF($D4964="","",IF(AND(OR(DANH_MUC!$L$5&lt;&gt;"Có",M4964="Có"),OR(DANH_MUC!$L$6&lt;&gt;"Có",N4964="Có"),OR(DANH_MUC!$L$7&lt;&gt;"Có",O4964="Có"),OR(DANH_MUC!$L$8&lt;&gt;"Có",P4964="Có")),"Có","Không"))</f>
        <v/>
      </c>
      <c r="R4964" s="22">
        <f>IF($D4964="","",IF(COUNTIF($D$2:$D4964,$D4964)&gt;1,"Trùng",""))</f>
        <v/>
      </c>
      <c r="S4964" s="22">
        <f>IF($D4964="","",IF(AND(LEN($D4964)=10,LEFT($D4964,1)="0",ISNUMBER(--$D4964)),"Có","Không"))</f>
        <v/>
      </c>
      <c r="T4964" s="22">
        <f>IF($D4964="","",IF(AND($C4964&lt;&gt;"",$Q4964="Có",$R4964="",$S4964="Có",AND($L4964&lt;&gt;"",OR($L4964&lt;&gt;"Chưa xác định",DANH_MUC!$L$9="Có"))),"Có","Không"))</f>
        <v/>
      </c>
      <c r="U4964" s="22">
        <f>IF(OR($D4964="",$T4964="Có"),"",IF($C4964="","Thiếu họ tên; ","")&amp;IF($S4964&lt;&gt;"Có","SĐT sai định dạng; ","")&amp;IF($R4964="Trùng","Trùng SĐT; ","")&amp;IF($Q4964&lt;&gt;"Có","Thiếu đồng ý bắt buộc; ","")&amp;IF($L4964="","Thiếu/sai Mã REF; ",IF(AND($L4964="Chưa xác định",DANH_MUC!$L$9&lt;&gt;"Có"),"Nguồn chưa xác định; ","")))</f>
        <v/>
      </c>
      <c r="V4964" s="22">
        <f>IF(OR($D4964="",$R4964="Trùng"),"",IF(COUNTIF(ORDERS!$C$2:$C$4995,$D4964)&gt;0,"Có","Không"))</f>
        <v/>
      </c>
      <c r="W4964" s="22">
        <f>IF(OR($D4964="",$R4964="Trùng"),"",COUNTIFS(ORDERS!$C$2:$C$4995,$D4964,ORDERS!$L$2:$L$4995,"Đã chuyển khoản"))</f>
        <v/>
      </c>
      <c r="X4964" s="23">
        <f>IF(OR($D4964="",$R4964="Trùng"),"",SUMIFS(ORDERS!$J$2:$J$4995,ORDERS!$C$2:$C$4995,$D4964,ORDERS!$L$2:$L$4995,"Đã chuyển khoản"))</f>
        <v/>
      </c>
      <c r="Y4964" s="24" t="n"/>
    </row>
    <row r="4965" ht="14.25" customHeight="1" s="40">
      <c r="A4965" s="24" t="n"/>
      <c r="B4965" s="27" t="n"/>
      <c r="C4965" s="24" t="n"/>
      <c r="D4965" s="28" t="n"/>
      <c r="E4965" s="29" t="n"/>
      <c r="F4965" s="24" t="n"/>
      <c r="G4965" s="24" t="n"/>
      <c r="H4965" s="21">
        <f>IF(ISNUMBER($B4965),INT($B4965)-WEEKDAY($B4965,2)+1,"")</f>
        <v/>
      </c>
      <c r="I4965" s="24" t="n"/>
      <c r="J4965" s="22">
        <f t="array" ref="J4965">IF($D4965="","",IF($I4965="","(trống REF)",IFERROR(INDEX(MASTER_SOURCE!$B$2:$B$495,MATCH($I4965,MASTER_SOURCE!$A$2:$A$495,0)),"(REF không có trong MASTER_SOURCE)")))</f>
        <v/>
      </c>
      <c r="K4965" s="22">
        <f t="array" ref="K4965">IF($D4965="","",IFERROR(INDEX(MASTER_SOURCE!$C$2:$C$495,MATCH($I4965,MASTER_SOURCE!$A$2:$A$495,0)),""))</f>
        <v/>
      </c>
      <c r="L4965" s="22">
        <f t="array" ref="L4965">IF($D4965="","",IFERROR(INDEX(MASTER_SOURCE!$D$2:$D$495,MATCH($I4965,MASTER_SOURCE!$A$2:$A$495,0)),""))</f>
        <v/>
      </c>
      <c r="M4965" s="24" t="n"/>
      <c r="N4965" s="24" t="n"/>
      <c r="O4965" s="24" t="n"/>
      <c r="P4965" s="24" t="n"/>
      <c r="Q4965" s="22">
        <f>IF($D4965="","",IF(AND(OR(DANH_MUC!$L$5&lt;&gt;"Có",M4965="Có"),OR(DANH_MUC!$L$6&lt;&gt;"Có",N4965="Có"),OR(DANH_MUC!$L$7&lt;&gt;"Có",O4965="Có"),OR(DANH_MUC!$L$8&lt;&gt;"Có",P4965="Có")),"Có","Không"))</f>
        <v/>
      </c>
      <c r="R4965" s="22">
        <f>IF($D4965="","",IF(COUNTIF($D$2:$D4965,$D4965)&gt;1,"Trùng",""))</f>
        <v/>
      </c>
      <c r="S4965" s="22">
        <f>IF($D4965="","",IF(AND(LEN($D4965)=10,LEFT($D4965,1)="0",ISNUMBER(--$D4965)),"Có","Không"))</f>
        <v/>
      </c>
      <c r="T4965" s="22">
        <f>IF($D4965="","",IF(AND($C4965&lt;&gt;"",$Q4965="Có",$R4965="",$S4965="Có",AND($L4965&lt;&gt;"",OR($L4965&lt;&gt;"Chưa xác định",DANH_MUC!$L$9="Có"))),"Có","Không"))</f>
        <v/>
      </c>
      <c r="U4965" s="22">
        <f>IF(OR($D4965="",$T4965="Có"),"",IF($C4965="","Thiếu họ tên; ","")&amp;IF($S4965&lt;&gt;"Có","SĐT sai định dạng; ","")&amp;IF($R4965="Trùng","Trùng SĐT; ","")&amp;IF($Q4965&lt;&gt;"Có","Thiếu đồng ý bắt buộc; ","")&amp;IF($L4965="","Thiếu/sai Mã REF; ",IF(AND($L4965="Chưa xác định",DANH_MUC!$L$9&lt;&gt;"Có"),"Nguồn chưa xác định; ","")))</f>
        <v/>
      </c>
      <c r="V4965" s="22">
        <f>IF(OR($D4965="",$R4965="Trùng"),"",IF(COUNTIF(ORDERS!$C$2:$C$4995,$D4965)&gt;0,"Có","Không"))</f>
        <v/>
      </c>
      <c r="W4965" s="22">
        <f>IF(OR($D4965="",$R4965="Trùng"),"",COUNTIFS(ORDERS!$C$2:$C$4995,$D4965,ORDERS!$L$2:$L$4995,"Đã chuyển khoản"))</f>
        <v/>
      </c>
      <c r="X4965" s="23">
        <f>IF(OR($D4965="",$R4965="Trùng"),"",SUMIFS(ORDERS!$J$2:$J$4995,ORDERS!$C$2:$C$4995,$D4965,ORDERS!$L$2:$L$4995,"Đã chuyển khoản"))</f>
        <v/>
      </c>
      <c r="Y4965" s="24" t="n"/>
    </row>
    <row r="4966" ht="14.25" customHeight="1" s="40">
      <c r="A4966" s="24" t="n"/>
      <c r="B4966" s="27" t="n"/>
      <c r="C4966" s="24" t="n"/>
      <c r="D4966" s="28" t="n"/>
      <c r="E4966" s="29" t="n"/>
      <c r="F4966" s="24" t="n"/>
      <c r="G4966" s="24" t="n"/>
      <c r="H4966" s="21">
        <f>IF(ISNUMBER($B4966),INT($B4966)-WEEKDAY($B4966,2)+1,"")</f>
        <v/>
      </c>
      <c r="I4966" s="24" t="n"/>
      <c r="J4966" s="22">
        <f t="array" ref="J4966">IF($D4966="","",IF($I4966="","(trống REF)",IFERROR(INDEX(MASTER_SOURCE!$B$2:$B$495,MATCH($I4966,MASTER_SOURCE!$A$2:$A$495,0)),"(REF không có trong MASTER_SOURCE)")))</f>
        <v/>
      </c>
      <c r="K4966" s="22">
        <f t="array" ref="K4966">IF($D4966="","",IFERROR(INDEX(MASTER_SOURCE!$C$2:$C$495,MATCH($I4966,MASTER_SOURCE!$A$2:$A$495,0)),""))</f>
        <v/>
      </c>
      <c r="L4966" s="22">
        <f t="array" ref="L4966">IF($D4966="","",IFERROR(INDEX(MASTER_SOURCE!$D$2:$D$495,MATCH($I4966,MASTER_SOURCE!$A$2:$A$495,0)),""))</f>
        <v/>
      </c>
      <c r="M4966" s="24" t="n"/>
      <c r="N4966" s="24" t="n"/>
      <c r="O4966" s="24" t="n"/>
      <c r="P4966" s="24" t="n"/>
      <c r="Q4966" s="22">
        <f>IF($D4966="","",IF(AND(OR(DANH_MUC!$L$5&lt;&gt;"Có",M4966="Có"),OR(DANH_MUC!$L$6&lt;&gt;"Có",N4966="Có"),OR(DANH_MUC!$L$7&lt;&gt;"Có",O4966="Có"),OR(DANH_MUC!$L$8&lt;&gt;"Có",P4966="Có")),"Có","Không"))</f>
        <v/>
      </c>
      <c r="R4966" s="22">
        <f>IF($D4966="","",IF(COUNTIF($D$2:$D4966,$D4966)&gt;1,"Trùng",""))</f>
        <v/>
      </c>
      <c r="S4966" s="22">
        <f>IF($D4966="","",IF(AND(LEN($D4966)=10,LEFT($D4966,1)="0",ISNUMBER(--$D4966)),"Có","Không"))</f>
        <v/>
      </c>
      <c r="T4966" s="22">
        <f>IF($D4966="","",IF(AND($C4966&lt;&gt;"",$Q4966="Có",$R4966="",$S4966="Có",AND($L4966&lt;&gt;"",OR($L4966&lt;&gt;"Chưa xác định",DANH_MUC!$L$9="Có"))),"Có","Không"))</f>
        <v/>
      </c>
      <c r="U4966" s="22">
        <f>IF(OR($D4966="",$T4966="Có"),"",IF($C4966="","Thiếu họ tên; ","")&amp;IF($S4966&lt;&gt;"Có","SĐT sai định dạng; ","")&amp;IF($R4966="Trùng","Trùng SĐT; ","")&amp;IF($Q4966&lt;&gt;"Có","Thiếu đồng ý bắt buộc; ","")&amp;IF($L4966="","Thiếu/sai Mã REF; ",IF(AND($L4966="Chưa xác định",DANH_MUC!$L$9&lt;&gt;"Có"),"Nguồn chưa xác định; ","")))</f>
        <v/>
      </c>
      <c r="V4966" s="22">
        <f>IF(OR($D4966="",$R4966="Trùng"),"",IF(COUNTIF(ORDERS!$C$2:$C$4995,$D4966)&gt;0,"Có","Không"))</f>
        <v/>
      </c>
      <c r="W4966" s="22">
        <f>IF(OR($D4966="",$R4966="Trùng"),"",COUNTIFS(ORDERS!$C$2:$C$4995,$D4966,ORDERS!$L$2:$L$4995,"Đã chuyển khoản"))</f>
        <v/>
      </c>
      <c r="X4966" s="23">
        <f>IF(OR($D4966="",$R4966="Trùng"),"",SUMIFS(ORDERS!$J$2:$J$4995,ORDERS!$C$2:$C$4995,$D4966,ORDERS!$L$2:$L$4995,"Đã chuyển khoản"))</f>
        <v/>
      </c>
      <c r="Y4966" s="24" t="n"/>
    </row>
    <row r="4967" ht="14.25" customHeight="1" s="40">
      <c r="A4967" s="24" t="n"/>
      <c r="B4967" s="27" t="n"/>
      <c r="C4967" s="24" t="n"/>
      <c r="D4967" s="28" t="n"/>
      <c r="E4967" s="29" t="n"/>
      <c r="F4967" s="24" t="n"/>
      <c r="G4967" s="24" t="n"/>
      <c r="H4967" s="21">
        <f>IF(ISNUMBER($B4967),INT($B4967)-WEEKDAY($B4967,2)+1,"")</f>
        <v/>
      </c>
      <c r="I4967" s="24" t="n"/>
      <c r="J4967" s="22">
        <f t="array" ref="J4967">IF($D4967="","",IF($I4967="","(trống REF)",IFERROR(INDEX(MASTER_SOURCE!$B$2:$B$495,MATCH($I4967,MASTER_SOURCE!$A$2:$A$495,0)),"(REF không có trong MASTER_SOURCE)")))</f>
        <v/>
      </c>
      <c r="K4967" s="22">
        <f t="array" ref="K4967">IF($D4967="","",IFERROR(INDEX(MASTER_SOURCE!$C$2:$C$495,MATCH($I4967,MASTER_SOURCE!$A$2:$A$495,0)),""))</f>
        <v/>
      </c>
      <c r="L4967" s="22">
        <f t="array" ref="L4967">IF($D4967="","",IFERROR(INDEX(MASTER_SOURCE!$D$2:$D$495,MATCH($I4967,MASTER_SOURCE!$A$2:$A$495,0)),""))</f>
        <v/>
      </c>
      <c r="M4967" s="24" t="n"/>
      <c r="N4967" s="24" t="n"/>
      <c r="O4967" s="24" t="n"/>
      <c r="P4967" s="24" t="n"/>
      <c r="Q4967" s="22">
        <f>IF($D4967="","",IF(AND(OR(DANH_MUC!$L$5&lt;&gt;"Có",M4967="Có"),OR(DANH_MUC!$L$6&lt;&gt;"Có",N4967="Có"),OR(DANH_MUC!$L$7&lt;&gt;"Có",O4967="Có"),OR(DANH_MUC!$L$8&lt;&gt;"Có",P4967="Có")),"Có","Không"))</f>
        <v/>
      </c>
      <c r="R4967" s="22">
        <f>IF($D4967="","",IF(COUNTIF($D$2:$D4967,$D4967)&gt;1,"Trùng",""))</f>
        <v/>
      </c>
      <c r="S4967" s="22">
        <f>IF($D4967="","",IF(AND(LEN($D4967)=10,LEFT($D4967,1)="0",ISNUMBER(--$D4967)),"Có","Không"))</f>
        <v/>
      </c>
      <c r="T4967" s="22">
        <f>IF($D4967="","",IF(AND($C4967&lt;&gt;"",$Q4967="Có",$R4967="",$S4967="Có",AND($L4967&lt;&gt;"",OR($L4967&lt;&gt;"Chưa xác định",DANH_MUC!$L$9="Có"))),"Có","Không"))</f>
        <v/>
      </c>
      <c r="U4967" s="22">
        <f>IF(OR($D4967="",$T4967="Có"),"",IF($C4967="","Thiếu họ tên; ","")&amp;IF($S4967&lt;&gt;"Có","SĐT sai định dạng; ","")&amp;IF($R4967="Trùng","Trùng SĐT; ","")&amp;IF($Q4967&lt;&gt;"Có","Thiếu đồng ý bắt buộc; ","")&amp;IF($L4967="","Thiếu/sai Mã REF; ",IF(AND($L4967="Chưa xác định",DANH_MUC!$L$9&lt;&gt;"Có"),"Nguồn chưa xác định; ","")))</f>
        <v/>
      </c>
      <c r="V4967" s="22">
        <f>IF(OR($D4967="",$R4967="Trùng"),"",IF(COUNTIF(ORDERS!$C$2:$C$4995,$D4967)&gt;0,"Có","Không"))</f>
        <v/>
      </c>
      <c r="W4967" s="22">
        <f>IF(OR($D4967="",$R4967="Trùng"),"",COUNTIFS(ORDERS!$C$2:$C$4995,$D4967,ORDERS!$L$2:$L$4995,"Đã chuyển khoản"))</f>
        <v/>
      </c>
      <c r="X4967" s="23">
        <f>IF(OR($D4967="",$R4967="Trùng"),"",SUMIFS(ORDERS!$J$2:$J$4995,ORDERS!$C$2:$C$4995,$D4967,ORDERS!$L$2:$L$4995,"Đã chuyển khoản"))</f>
        <v/>
      </c>
      <c r="Y4967" s="24" t="n"/>
    </row>
    <row r="4968" ht="14.25" customHeight="1" s="40">
      <c r="A4968" s="24" t="n"/>
      <c r="B4968" s="27" t="n"/>
      <c r="C4968" s="24" t="n"/>
      <c r="D4968" s="28" t="n"/>
      <c r="E4968" s="29" t="n"/>
      <c r="F4968" s="24" t="n"/>
      <c r="G4968" s="24" t="n"/>
      <c r="H4968" s="21">
        <f>IF(ISNUMBER($B4968),INT($B4968)-WEEKDAY($B4968,2)+1,"")</f>
        <v/>
      </c>
      <c r="I4968" s="24" t="n"/>
      <c r="J4968" s="22">
        <f t="array" ref="J4968">IF($D4968="","",IF($I4968="","(trống REF)",IFERROR(INDEX(MASTER_SOURCE!$B$2:$B$495,MATCH($I4968,MASTER_SOURCE!$A$2:$A$495,0)),"(REF không có trong MASTER_SOURCE)")))</f>
        <v/>
      </c>
      <c r="K4968" s="22">
        <f t="array" ref="K4968">IF($D4968="","",IFERROR(INDEX(MASTER_SOURCE!$C$2:$C$495,MATCH($I4968,MASTER_SOURCE!$A$2:$A$495,0)),""))</f>
        <v/>
      </c>
      <c r="L4968" s="22">
        <f t="array" ref="L4968">IF($D4968="","",IFERROR(INDEX(MASTER_SOURCE!$D$2:$D$495,MATCH($I4968,MASTER_SOURCE!$A$2:$A$495,0)),""))</f>
        <v/>
      </c>
      <c r="M4968" s="24" t="n"/>
      <c r="N4968" s="24" t="n"/>
      <c r="O4968" s="24" t="n"/>
      <c r="P4968" s="24" t="n"/>
      <c r="Q4968" s="22">
        <f>IF($D4968="","",IF(AND(OR(DANH_MUC!$L$5&lt;&gt;"Có",M4968="Có"),OR(DANH_MUC!$L$6&lt;&gt;"Có",N4968="Có"),OR(DANH_MUC!$L$7&lt;&gt;"Có",O4968="Có"),OR(DANH_MUC!$L$8&lt;&gt;"Có",P4968="Có")),"Có","Không"))</f>
        <v/>
      </c>
      <c r="R4968" s="22">
        <f>IF($D4968="","",IF(COUNTIF($D$2:$D4968,$D4968)&gt;1,"Trùng",""))</f>
        <v/>
      </c>
      <c r="S4968" s="22">
        <f>IF($D4968="","",IF(AND(LEN($D4968)=10,LEFT($D4968,1)="0",ISNUMBER(--$D4968)),"Có","Không"))</f>
        <v/>
      </c>
      <c r="T4968" s="22">
        <f>IF($D4968="","",IF(AND($C4968&lt;&gt;"",$Q4968="Có",$R4968="",$S4968="Có",AND($L4968&lt;&gt;"",OR($L4968&lt;&gt;"Chưa xác định",DANH_MUC!$L$9="Có"))),"Có","Không"))</f>
        <v/>
      </c>
      <c r="U4968" s="22">
        <f>IF(OR($D4968="",$T4968="Có"),"",IF($C4968="","Thiếu họ tên; ","")&amp;IF($S4968&lt;&gt;"Có","SĐT sai định dạng; ","")&amp;IF($R4968="Trùng","Trùng SĐT; ","")&amp;IF($Q4968&lt;&gt;"Có","Thiếu đồng ý bắt buộc; ","")&amp;IF($L4968="","Thiếu/sai Mã REF; ",IF(AND($L4968="Chưa xác định",DANH_MUC!$L$9&lt;&gt;"Có"),"Nguồn chưa xác định; ","")))</f>
        <v/>
      </c>
      <c r="V4968" s="22">
        <f>IF(OR($D4968="",$R4968="Trùng"),"",IF(COUNTIF(ORDERS!$C$2:$C$4995,$D4968)&gt;0,"Có","Không"))</f>
        <v/>
      </c>
      <c r="W4968" s="22">
        <f>IF(OR($D4968="",$R4968="Trùng"),"",COUNTIFS(ORDERS!$C$2:$C$4995,$D4968,ORDERS!$L$2:$L$4995,"Đã chuyển khoản"))</f>
        <v/>
      </c>
      <c r="X4968" s="23">
        <f>IF(OR($D4968="",$R4968="Trùng"),"",SUMIFS(ORDERS!$J$2:$J$4995,ORDERS!$C$2:$C$4995,$D4968,ORDERS!$L$2:$L$4995,"Đã chuyển khoản"))</f>
        <v/>
      </c>
      <c r="Y4968" s="24" t="n"/>
    </row>
    <row r="4969" ht="14.25" customHeight="1" s="40">
      <c r="A4969" s="24" t="n"/>
      <c r="B4969" s="27" t="n"/>
      <c r="C4969" s="24" t="n"/>
      <c r="D4969" s="28" t="n"/>
      <c r="E4969" s="29" t="n"/>
      <c r="F4969" s="24" t="n"/>
      <c r="G4969" s="24" t="n"/>
      <c r="H4969" s="21">
        <f>IF(ISNUMBER($B4969),INT($B4969)-WEEKDAY($B4969,2)+1,"")</f>
        <v/>
      </c>
      <c r="I4969" s="24" t="n"/>
      <c r="J4969" s="22">
        <f t="array" ref="J4969">IF($D4969="","",IF($I4969="","(trống REF)",IFERROR(INDEX(MASTER_SOURCE!$B$2:$B$495,MATCH($I4969,MASTER_SOURCE!$A$2:$A$495,0)),"(REF không có trong MASTER_SOURCE)")))</f>
        <v/>
      </c>
      <c r="K4969" s="22">
        <f t="array" ref="K4969">IF($D4969="","",IFERROR(INDEX(MASTER_SOURCE!$C$2:$C$495,MATCH($I4969,MASTER_SOURCE!$A$2:$A$495,0)),""))</f>
        <v/>
      </c>
      <c r="L4969" s="22">
        <f t="array" ref="L4969">IF($D4969="","",IFERROR(INDEX(MASTER_SOURCE!$D$2:$D$495,MATCH($I4969,MASTER_SOURCE!$A$2:$A$495,0)),""))</f>
        <v/>
      </c>
      <c r="M4969" s="24" t="n"/>
      <c r="N4969" s="24" t="n"/>
      <c r="O4969" s="24" t="n"/>
      <c r="P4969" s="24" t="n"/>
      <c r="Q4969" s="22">
        <f>IF($D4969="","",IF(AND(OR(DANH_MUC!$L$5&lt;&gt;"Có",M4969="Có"),OR(DANH_MUC!$L$6&lt;&gt;"Có",N4969="Có"),OR(DANH_MUC!$L$7&lt;&gt;"Có",O4969="Có"),OR(DANH_MUC!$L$8&lt;&gt;"Có",P4969="Có")),"Có","Không"))</f>
        <v/>
      </c>
      <c r="R4969" s="22">
        <f>IF($D4969="","",IF(COUNTIF($D$2:$D4969,$D4969)&gt;1,"Trùng",""))</f>
        <v/>
      </c>
      <c r="S4969" s="22">
        <f>IF($D4969="","",IF(AND(LEN($D4969)=10,LEFT($D4969,1)="0",ISNUMBER(--$D4969)),"Có","Không"))</f>
        <v/>
      </c>
      <c r="T4969" s="22">
        <f>IF($D4969="","",IF(AND($C4969&lt;&gt;"",$Q4969="Có",$R4969="",$S4969="Có",AND($L4969&lt;&gt;"",OR($L4969&lt;&gt;"Chưa xác định",DANH_MUC!$L$9="Có"))),"Có","Không"))</f>
        <v/>
      </c>
      <c r="U4969" s="22">
        <f>IF(OR($D4969="",$T4969="Có"),"",IF($C4969="","Thiếu họ tên; ","")&amp;IF($S4969&lt;&gt;"Có","SĐT sai định dạng; ","")&amp;IF($R4969="Trùng","Trùng SĐT; ","")&amp;IF($Q4969&lt;&gt;"Có","Thiếu đồng ý bắt buộc; ","")&amp;IF($L4969="","Thiếu/sai Mã REF; ",IF(AND($L4969="Chưa xác định",DANH_MUC!$L$9&lt;&gt;"Có"),"Nguồn chưa xác định; ","")))</f>
        <v/>
      </c>
      <c r="V4969" s="22">
        <f>IF(OR($D4969="",$R4969="Trùng"),"",IF(COUNTIF(ORDERS!$C$2:$C$4995,$D4969)&gt;0,"Có","Không"))</f>
        <v/>
      </c>
      <c r="W4969" s="22">
        <f>IF(OR($D4969="",$R4969="Trùng"),"",COUNTIFS(ORDERS!$C$2:$C$4995,$D4969,ORDERS!$L$2:$L$4995,"Đã chuyển khoản"))</f>
        <v/>
      </c>
      <c r="X4969" s="23">
        <f>IF(OR($D4969="",$R4969="Trùng"),"",SUMIFS(ORDERS!$J$2:$J$4995,ORDERS!$C$2:$C$4995,$D4969,ORDERS!$L$2:$L$4995,"Đã chuyển khoản"))</f>
        <v/>
      </c>
      <c r="Y4969" s="24" t="n"/>
    </row>
    <row r="4970" ht="14.25" customHeight="1" s="40">
      <c r="A4970" s="24" t="n"/>
      <c r="B4970" s="27" t="n"/>
      <c r="C4970" s="24" t="n"/>
      <c r="D4970" s="28" t="n"/>
      <c r="E4970" s="29" t="n"/>
      <c r="F4970" s="24" t="n"/>
      <c r="G4970" s="24" t="n"/>
      <c r="H4970" s="21">
        <f>IF(ISNUMBER($B4970),INT($B4970)-WEEKDAY($B4970,2)+1,"")</f>
        <v/>
      </c>
      <c r="I4970" s="24" t="n"/>
      <c r="J4970" s="22">
        <f t="array" ref="J4970">IF($D4970="","",IF($I4970="","(trống REF)",IFERROR(INDEX(MASTER_SOURCE!$B$2:$B$495,MATCH($I4970,MASTER_SOURCE!$A$2:$A$495,0)),"(REF không có trong MASTER_SOURCE)")))</f>
        <v/>
      </c>
      <c r="K4970" s="22">
        <f t="array" ref="K4970">IF($D4970="","",IFERROR(INDEX(MASTER_SOURCE!$C$2:$C$495,MATCH($I4970,MASTER_SOURCE!$A$2:$A$495,0)),""))</f>
        <v/>
      </c>
      <c r="L4970" s="22">
        <f t="array" ref="L4970">IF($D4970="","",IFERROR(INDEX(MASTER_SOURCE!$D$2:$D$495,MATCH($I4970,MASTER_SOURCE!$A$2:$A$495,0)),""))</f>
        <v/>
      </c>
      <c r="M4970" s="24" t="n"/>
      <c r="N4970" s="24" t="n"/>
      <c r="O4970" s="24" t="n"/>
      <c r="P4970" s="24" t="n"/>
      <c r="Q4970" s="22">
        <f>IF($D4970="","",IF(AND(OR(DANH_MUC!$L$5&lt;&gt;"Có",M4970="Có"),OR(DANH_MUC!$L$6&lt;&gt;"Có",N4970="Có"),OR(DANH_MUC!$L$7&lt;&gt;"Có",O4970="Có"),OR(DANH_MUC!$L$8&lt;&gt;"Có",P4970="Có")),"Có","Không"))</f>
        <v/>
      </c>
      <c r="R4970" s="22">
        <f>IF($D4970="","",IF(COUNTIF($D$2:$D4970,$D4970)&gt;1,"Trùng",""))</f>
        <v/>
      </c>
      <c r="S4970" s="22">
        <f>IF($D4970="","",IF(AND(LEN($D4970)=10,LEFT($D4970,1)="0",ISNUMBER(--$D4970)),"Có","Không"))</f>
        <v/>
      </c>
      <c r="T4970" s="22">
        <f>IF($D4970="","",IF(AND($C4970&lt;&gt;"",$Q4970="Có",$R4970="",$S4970="Có",AND($L4970&lt;&gt;"",OR($L4970&lt;&gt;"Chưa xác định",DANH_MUC!$L$9="Có"))),"Có","Không"))</f>
        <v/>
      </c>
      <c r="U4970" s="22">
        <f>IF(OR($D4970="",$T4970="Có"),"",IF($C4970="","Thiếu họ tên; ","")&amp;IF($S4970&lt;&gt;"Có","SĐT sai định dạng; ","")&amp;IF($R4970="Trùng","Trùng SĐT; ","")&amp;IF($Q4970&lt;&gt;"Có","Thiếu đồng ý bắt buộc; ","")&amp;IF($L4970="","Thiếu/sai Mã REF; ",IF(AND($L4970="Chưa xác định",DANH_MUC!$L$9&lt;&gt;"Có"),"Nguồn chưa xác định; ","")))</f>
        <v/>
      </c>
      <c r="V4970" s="22">
        <f>IF(OR($D4970="",$R4970="Trùng"),"",IF(COUNTIF(ORDERS!$C$2:$C$4995,$D4970)&gt;0,"Có","Không"))</f>
        <v/>
      </c>
      <c r="W4970" s="22">
        <f>IF(OR($D4970="",$R4970="Trùng"),"",COUNTIFS(ORDERS!$C$2:$C$4995,$D4970,ORDERS!$L$2:$L$4995,"Đã chuyển khoản"))</f>
        <v/>
      </c>
      <c r="X4970" s="23">
        <f>IF(OR($D4970="",$R4970="Trùng"),"",SUMIFS(ORDERS!$J$2:$J$4995,ORDERS!$C$2:$C$4995,$D4970,ORDERS!$L$2:$L$4995,"Đã chuyển khoản"))</f>
        <v/>
      </c>
      <c r="Y4970" s="24" t="n"/>
    </row>
    <row r="4971" ht="14.25" customHeight="1" s="40">
      <c r="A4971" s="24" t="n"/>
      <c r="B4971" s="27" t="n"/>
      <c r="C4971" s="24" t="n"/>
      <c r="D4971" s="28" t="n"/>
      <c r="E4971" s="29" t="n"/>
      <c r="F4971" s="24" t="n"/>
      <c r="G4971" s="24" t="n"/>
      <c r="H4971" s="21">
        <f>IF(ISNUMBER($B4971),INT($B4971)-WEEKDAY($B4971,2)+1,"")</f>
        <v/>
      </c>
      <c r="I4971" s="24" t="n"/>
      <c r="J4971" s="22">
        <f t="array" ref="J4971">IF($D4971="","",IF($I4971="","(trống REF)",IFERROR(INDEX(MASTER_SOURCE!$B$2:$B$495,MATCH($I4971,MASTER_SOURCE!$A$2:$A$495,0)),"(REF không có trong MASTER_SOURCE)")))</f>
        <v/>
      </c>
      <c r="K4971" s="22">
        <f t="array" ref="K4971">IF($D4971="","",IFERROR(INDEX(MASTER_SOURCE!$C$2:$C$495,MATCH($I4971,MASTER_SOURCE!$A$2:$A$495,0)),""))</f>
        <v/>
      </c>
      <c r="L4971" s="22">
        <f t="array" ref="L4971">IF($D4971="","",IFERROR(INDEX(MASTER_SOURCE!$D$2:$D$495,MATCH($I4971,MASTER_SOURCE!$A$2:$A$495,0)),""))</f>
        <v/>
      </c>
      <c r="M4971" s="24" t="n"/>
      <c r="N4971" s="24" t="n"/>
      <c r="O4971" s="24" t="n"/>
      <c r="P4971" s="24" t="n"/>
      <c r="Q4971" s="22">
        <f>IF($D4971="","",IF(AND(OR(DANH_MUC!$L$5&lt;&gt;"Có",M4971="Có"),OR(DANH_MUC!$L$6&lt;&gt;"Có",N4971="Có"),OR(DANH_MUC!$L$7&lt;&gt;"Có",O4971="Có"),OR(DANH_MUC!$L$8&lt;&gt;"Có",P4971="Có")),"Có","Không"))</f>
        <v/>
      </c>
      <c r="R4971" s="22">
        <f>IF($D4971="","",IF(COUNTIF($D$2:$D4971,$D4971)&gt;1,"Trùng",""))</f>
        <v/>
      </c>
      <c r="S4971" s="22">
        <f>IF($D4971="","",IF(AND(LEN($D4971)=10,LEFT($D4971,1)="0",ISNUMBER(--$D4971)),"Có","Không"))</f>
        <v/>
      </c>
      <c r="T4971" s="22">
        <f>IF($D4971="","",IF(AND($C4971&lt;&gt;"",$Q4971="Có",$R4971="",$S4971="Có",AND($L4971&lt;&gt;"",OR($L4971&lt;&gt;"Chưa xác định",DANH_MUC!$L$9="Có"))),"Có","Không"))</f>
        <v/>
      </c>
      <c r="U4971" s="22">
        <f>IF(OR($D4971="",$T4971="Có"),"",IF($C4971="","Thiếu họ tên; ","")&amp;IF($S4971&lt;&gt;"Có","SĐT sai định dạng; ","")&amp;IF($R4971="Trùng","Trùng SĐT; ","")&amp;IF($Q4971&lt;&gt;"Có","Thiếu đồng ý bắt buộc; ","")&amp;IF($L4971="","Thiếu/sai Mã REF; ",IF(AND($L4971="Chưa xác định",DANH_MUC!$L$9&lt;&gt;"Có"),"Nguồn chưa xác định; ","")))</f>
        <v/>
      </c>
      <c r="V4971" s="22">
        <f>IF(OR($D4971="",$R4971="Trùng"),"",IF(COUNTIF(ORDERS!$C$2:$C$4995,$D4971)&gt;0,"Có","Không"))</f>
        <v/>
      </c>
      <c r="W4971" s="22">
        <f>IF(OR($D4971="",$R4971="Trùng"),"",COUNTIFS(ORDERS!$C$2:$C$4995,$D4971,ORDERS!$L$2:$L$4995,"Đã chuyển khoản"))</f>
        <v/>
      </c>
      <c r="X4971" s="23">
        <f>IF(OR($D4971="",$R4971="Trùng"),"",SUMIFS(ORDERS!$J$2:$J$4995,ORDERS!$C$2:$C$4995,$D4971,ORDERS!$L$2:$L$4995,"Đã chuyển khoản"))</f>
        <v/>
      </c>
      <c r="Y4971" s="24" t="n"/>
    </row>
    <row r="4972" ht="14.25" customHeight="1" s="40">
      <c r="A4972" s="24" t="n"/>
      <c r="B4972" s="27" t="n"/>
      <c r="C4972" s="24" t="n"/>
      <c r="D4972" s="28" t="n"/>
      <c r="E4972" s="29" t="n"/>
      <c r="F4972" s="24" t="n"/>
      <c r="G4972" s="24" t="n"/>
      <c r="H4972" s="21">
        <f>IF(ISNUMBER($B4972),INT($B4972)-WEEKDAY($B4972,2)+1,"")</f>
        <v/>
      </c>
      <c r="I4972" s="24" t="n"/>
      <c r="J4972" s="22">
        <f t="array" ref="J4972">IF($D4972="","",IF($I4972="","(trống REF)",IFERROR(INDEX(MASTER_SOURCE!$B$2:$B$495,MATCH($I4972,MASTER_SOURCE!$A$2:$A$495,0)),"(REF không có trong MASTER_SOURCE)")))</f>
        <v/>
      </c>
      <c r="K4972" s="22">
        <f t="array" ref="K4972">IF($D4972="","",IFERROR(INDEX(MASTER_SOURCE!$C$2:$C$495,MATCH($I4972,MASTER_SOURCE!$A$2:$A$495,0)),""))</f>
        <v/>
      </c>
      <c r="L4972" s="22">
        <f t="array" ref="L4972">IF($D4972="","",IFERROR(INDEX(MASTER_SOURCE!$D$2:$D$495,MATCH($I4972,MASTER_SOURCE!$A$2:$A$495,0)),""))</f>
        <v/>
      </c>
      <c r="M4972" s="24" t="n"/>
      <c r="N4972" s="24" t="n"/>
      <c r="O4972" s="24" t="n"/>
      <c r="P4972" s="24" t="n"/>
      <c r="Q4972" s="22">
        <f>IF($D4972="","",IF(AND(OR(DANH_MUC!$L$5&lt;&gt;"Có",M4972="Có"),OR(DANH_MUC!$L$6&lt;&gt;"Có",N4972="Có"),OR(DANH_MUC!$L$7&lt;&gt;"Có",O4972="Có"),OR(DANH_MUC!$L$8&lt;&gt;"Có",P4972="Có")),"Có","Không"))</f>
        <v/>
      </c>
      <c r="R4972" s="22">
        <f>IF($D4972="","",IF(COUNTIF($D$2:$D4972,$D4972)&gt;1,"Trùng",""))</f>
        <v/>
      </c>
      <c r="S4972" s="22">
        <f>IF($D4972="","",IF(AND(LEN($D4972)=10,LEFT($D4972,1)="0",ISNUMBER(--$D4972)),"Có","Không"))</f>
        <v/>
      </c>
      <c r="T4972" s="22">
        <f>IF($D4972="","",IF(AND($C4972&lt;&gt;"",$Q4972="Có",$R4972="",$S4972="Có",AND($L4972&lt;&gt;"",OR($L4972&lt;&gt;"Chưa xác định",DANH_MUC!$L$9="Có"))),"Có","Không"))</f>
        <v/>
      </c>
      <c r="U4972" s="22">
        <f>IF(OR($D4972="",$T4972="Có"),"",IF($C4972="","Thiếu họ tên; ","")&amp;IF($S4972&lt;&gt;"Có","SĐT sai định dạng; ","")&amp;IF($R4972="Trùng","Trùng SĐT; ","")&amp;IF($Q4972&lt;&gt;"Có","Thiếu đồng ý bắt buộc; ","")&amp;IF($L4972="","Thiếu/sai Mã REF; ",IF(AND($L4972="Chưa xác định",DANH_MUC!$L$9&lt;&gt;"Có"),"Nguồn chưa xác định; ","")))</f>
        <v/>
      </c>
      <c r="V4972" s="22">
        <f>IF(OR($D4972="",$R4972="Trùng"),"",IF(COUNTIF(ORDERS!$C$2:$C$4995,$D4972)&gt;0,"Có","Không"))</f>
        <v/>
      </c>
      <c r="W4972" s="22">
        <f>IF(OR($D4972="",$R4972="Trùng"),"",COUNTIFS(ORDERS!$C$2:$C$4995,$D4972,ORDERS!$L$2:$L$4995,"Đã chuyển khoản"))</f>
        <v/>
      </c>
      <c r="X4972" s="23">
        <f>IF(OR($D4972="",$R4972="Trùng"),"",SUMIFS(ORDERS!$J$2:$J$4995,ORDERS!$C$2:$C$4995,$D4972,ORDERS!$L$2:$L$4995,"Đã chuyển khoản"))</f>
        <v/>
      </c>
      <c r="Y4972" s="24" t="n"/>
    </row>
    <row r="4973" ht="14.25" customHeight="1" s="40">
      <c r="A4973" s="24" t="n"/>
      <c r="B4973" s="27" t="n"/>
      <c r="C4973" s="24" t="n"/>
      <c r="D4973" s="28" t="n"/>
      <c r="E4973" s="29" t="n"/>
      <c r="F4973" s="24" t="n"/>
      <c r="G4973" s="24" t="n"/>
      <c r="H4973" s="21">
        <f>IF(ISNUMBER($B4973),INT($B4973)-WEEKDAY($B4973,2)+1,"")</f>
        <v/>
      </c>
      <c r="I4973" s="24" t="n"/>
      <c r="J4973" s="22">
        <f t="array" ref="J4973">IF($D4973="","",IF($I4973="","(trống REF)",IFERROR(INDEX(MASTER_SOURCE!$B$2:$B$495,MATCH($I4973,MASTER_SOURCE!$A$2:$A$495,0)),"(REF không có trong MASTER_SOURCE)")))</f>
        <v/>
      </c>
      <c r="K4973" s="22">
        <f t="array" ref="K4973">IF($D4973="","",IFERROR(INDEX(MASTER_SOURCE!$C$2:$C$495,MATCH($I4973,MASTER_SOURCE!$A$2:$A$495,0)),""))</f>
        <v/>
      </c>
      <c r="L4973" s="22">
        <f t="array" ref="L4973">IF($D4973="","",IFERROR(INDEX(MASTER_SOURCE!$D$2:$D$495,MATCH($I4973,MASTER_SOURCE!$A$2:$A$495,0)),""))</f>
        <v/>
      </c>
      <c r="M4973" s="24" t="n"/>
      <c r="N4973" s="24" t="n"/>
      <c r="O4973" s="24" t="n"/>
      <c r="P4973" s="24" t="n"/>
      <c r="Q4973" s="22">
        <f>IF($D4973="","",IF(AND(OR(DANH_MUC!$L$5&lt;&gt;"Có",M4973="Có"),OR(DANH_MUC!$L$6&lt;&gt;"Có",N4973="Có"),OR(DANH_MUC!$L$7&lt;&gt;"Có",O4973="Có"),OR(DANH_MUC!$L$8&lt;&gt;"Có",P4973="Có")),"Có","Không"))</f>
        <v/>
      </c>
      <c r="R4973" s="22">
        <f>IF($D4973="","",IF(COUNTIF($D$2:$D4973,$D4973)&gt;1,"Trùng",""))</f>
        <v/>
      </c>
      <c r="S4973" s="22">
        <f>IF($D4973="","",IF(AND(LEN($D4973)=10,LEFT($D4973,1)="0",ISNUMBER(--$D4973)),"Có","Không"))</f>
        <v/>
      </c>
      <c r="T4973" s="22">
        <f>IF($D4973="","",IF(AND($C4973&lt;&gt;"",$Q4973="Có",$R4973="",$S4973="Có",AND($L4973&lt;&gt;"",OR($L4973&lt;&gt;"Chưa xác định",DANH_MUC!$L$9="Có"))),"Có","Không"))</f>
        <v/>
      </c>
      <c r="U4973" s="22">
        <f>IF(OR($D4973="",$T4973="Có"),"",IF($C4973="","Thiếu họ tên; ","")&amp;IF($S4973&lt;&gt;"Có","SĐT sai định dạng; ","")&amp;IF($R4973="Trùng","Trùng SĐT; ","")&amp;IF($Q4973&lt;&gt;"Có","Thiếu đồng ý bắt buộc; ","")&amp;IF($L4973="","Thiếu/sai Mã REF; ",IF(AND($L4973="Chưa xác định",DANH_MUC!$L$9&lt;&gt;"Có"),"Nguồn chưa xác định; ","")))</f>
        <v/>
      </c>
      <c r="V4973" s="22">
        <f>IF(OR($D4973="",$R4973="Trùng"),"",IF(COUNTIF(ORDERS!$C$2:$C$4995,$D4973)&gt;0,"Có","Không"))</f>
        <v/>
      </c>
      <c r="W4973" s="22">
        <f>IF(OR($D4973="",$R4973="Trùng"),"",COUNTIFS(ORDERS!$C$2:$C$4995,$D4973,ORDERS!$L$2:$L$4995,"Đã chuyển khoản"))</f>
        <v/>
      </c>
      <c r="X4973" s="23">
        <f>IF(OR($D4973="",$R4973="Trùng"),"",SUMIFS(ORDERS!$J$2:$J$4995,ORDERS!$C$2:$C$4995,$D4973,ORDERS!$L$2:$L$4995,"Đã chuyển khoản"))</f>
        <v/>
      </c>
      <c r="Y4973" s="24" t="n"/>
    </row>
    <row r="4974" ht="14.25" customHeight="1" s="40">
      <c r="A4974" s="24" t="n"/>
      <c r="B4974" s="27" t="n"/>
      <c r="C4974" s="24" t="n"/>
      <c r="D4974" s="28" t="n"/>
      <c r="E4974" s="29" t="n"/>
      <c r="F4974" s="24" t="n"/>
      <c r="G4974" s="24" t="n"/>
      <c r="H4974" s="21">
        <f>IF(ISNUMBER($B4974),INT($B4974)-WEEKDAY($B4974,2)+1,"")</f>
        <v/>
      </c>
      <c r="I4974" s="24" t="n"/>
      <c r="J4974" s="22">
        <f t="array" ref="J4974">IF($D4974="","",IF($I4974="","(trống REF)",IFERROR(INDEX(MASTER_SOURCE!$B$2:$B$495,MATCH($I4974,MASTER_SOURCE!$A$2:$A$495,0)),"(REF không có trong MASTER_SOURCE)")))</f>
        <v/>
      </c>
      <c r="K4974" s="22">
        <f t="array" ref="K4974">IF($D4974="","",IFERROR(INDEX(MASTER_SOURCE!$C$2:$C$495,MATCH($I4974,MASTER_SOURCE!$A$2:$A$495,0)),""))</f>
        <v/>
      </c>
      <c r="L4974" s="22">
        <f t="array" ref="L4974">IF($D4974="","",IFERROR(INDEX(MASTER_SOURCE!$D$2:$D$495,MATCH($I4974,MASTER_SOURCE!$A$2:$A$495,0)),""))</f>
        <v/>
      </c>
      <c r="M4974" s="24" t="n"/>
      <c r="N4974" s="24" t="n"/>
      <c r="O4974" s="24" t="n"/>
      <c r="P4974" s="24" t="n"/>
      <c r="Q4974" s="22">
        <f>IF($D4974="","",IF(AND(OR(DANH_MUC!$L$5&lt;&gt;"Có",M4974="Có"),OR(DANH_MUC!$L$6&lt;&gt;"Có",N4974="Có"),OR(DANH_MUC!$L$7&lt;&gt;"Có",O4974="Có"),OR(DANH_MUC!$L$8&lt;&gt;"Có",P4974="Có")),"Có","Không"))</f>
        <v/>
      </c>
      <c r="R4974" s="22">
        <f>IF($D4974="","",IF(COUNTIF($D$2:$D4974,$D4974)&gt;1,"Trùng",""))</f>
        <v/>
      </c>
      <c r="S4974" s="22">
        <f>IF($D4974="","",IF(AND(LEN($D4974)=10,LEFT($D4974,1)="0",ISNUMBER(--$D4974)),"Có","Không"))</f>
        <v/>
      </c>
      <c r="T4974" s="22">
        <f>IF($D4974="","",IF(AND($C4974&lt;&gt;"",$Q4974="Có",$R4974="",$S4974="Có",AND($L4974&lt;&gt;"",OR($L4974&lt;&gt;"Chưa xác định",DANH_MUC!$L$9="Có"))),"Có","Không"))</f>
        <v/>
      </c>
      <c r="U4974" s="22">
        <f>IF(OR($D4974="",$T4974="Có"),"",IF($C4974="","Thiếu họ tên; ","")&amp;IF($S4974&lt;&gt;"Có","SĐT sai định dạng; ","")&amp;IF($R4974="Trùng","Trùng SĐT; ","")&amp;IF($Q4974&lt;&gt;"Có","Thiếu đồng ý bắt buộc; ","")&amp;IF($L4974="","Thiếu/sai Mã REF; ",IF(AND($L4974="Chưa xác định",DANH_MUC!$L$9&lt;&gt;"Có"),"Nguồn chưa xác định; ","")))</f>
        <v/>
      </c>
      <c r="V4974" s="22">
        <f>IF(OR($D4974="",$R4974="Trùng"),"",IF(COUNTIF(ORDERS!$C$2:$C$4995,$D4974)&gt;0,"Có","Không"))</f>
        <v/>
      </c>
      <c r="W4974" s="22">
        <f>IF(OR($D4974="",$R4974="Trùng"),"",COUNTIFS(ORDERS!$C$2:$C$4995,$D4974,ORDERS!$L$2:$L$4995,"Đã chuyển khoản"))</f>
        <v/>
      </c>
      <c r="X4974" s="23">
        <f>IF(OR($D4974="",$R4974="Trùng"),"",SUMIFS(ORDERS!$J$2:$J$4995,ORDERS!$C$2:$C$4995,$D4974,ORDERS!$L$2:$L$4995,"Đã chuyển khoản"))</f>
        <v/>
      </c>
      <c r="Y4974" s="24" t="n"/>
    </row>
    <row r="4975" ht="14.25" customHeight="1" s="40">
      <c r="A4975" s="24" t="n"/>
      <c r="B4975" s="27" t="n"/>
      <c r="C4975" s="24" t="n"/>
      <c r="D4975" s="28" t="n"/>
      <c r="E4975" s="29" t="n"/>
      <c r="F4975" s="24" t="n"/>
      <c r="G4975" s="24" t="n"/>
      <c r="H4975" s="21">
        <f>IF(ISNUMBER($B4975),INT($B4975)-WEEKDAY($B4975,2)+1,"")</f>
        <v/>
      </c>
      <c r="I4975" s="24" t="n"/>
      <c r="J4975" s="22">
        <f t="array" ref="J4975">IF($D4975="","",IF($I4975="","(trống REF)",IFERROR(INDEX(MASTER_SOURCE!$B$2:$B$495,MATCH($I4975,MASTER_SOURCE!$A$2:$A$495,0)),"(REF không có trong MASTER_SOURCE)")))</f>
        <v/>
      </c>
      <c r="K4975" s="22">
        <f t="array" ref="K4975">IF($D4975="","",IFERROR(INDEX(MASTER_SOURCE!$C$2:$C$495,MATCH($I4975,MASTER_SOURCE!$A$2:$A$495,0)),""))</f>
        <v/>
      </c>
      <c r="L4975" s="22">
        <f t="array" ref="L4975">IF($D4975="","",IFERROR(INDEX(MASTER_SOURCE!$D$2:$D$495,MATCH($I4975,MASTER_SOURCE!$A$2:$A$495,0)),""))</f>
        <v/>
      </c>
      <c r="M4975" s="24" t="n"/>
      <c r="N4975" s="24" t="n"/>
      <c r="O4975" s="24" t="n"/>
      <c r="P4975" s="24" t="n"/>
      <c r="Q4975" s="22">
        <f>IF($D4975="","",IF(AND(OR(DANH_MUC!$L$5&lt;&gt;"Có",M4975="Có"),OR(DANH_MUC!$L$6&lt;&gt;"Có",N4975="Có"),OR(DANH_MUC!$L$7&lt;&gt;"Có",O4975="Có"),OR(DANH_MUC!$L$8&lt;&gt;"Có",P4975="Có")),"Có","Không"))</f>
        <v/>
      </c>
      <c r="R4975" s="22">
        <f>IF($D4975="","",IF(COUNTIF($D$2:$D4975,$D4975)&gt;1,"Trùng",""))</f>
        <v/>
      </c>
      <c r="S4975" s="22">
        <f>IF($D4975="","",IF(AND(LEN($D4975)=10,LEFT($D4975,1)="0",ISNUMBER(--$D4975)),"Có","Không"))</f>
        <v/>
      </c>
      <c r="T4975" s="22">
        <f>IF($D4975="","",IF(AND($C4975&lt;&gt;"",$Q4975="Có",$R4975="",$S4975="Có",AND($L4975&lt;&gt;"",OR($L4975&lt;&gt;"Chưa xác định",DANH_MUC!$L$9="Có"))),"Có","Không"))</f>
        <v/>
      </c>
      <c r="U4975" s="22">
        <f>IF(OR($D4975="",$T4975="Có"),"",IF($C4975="","Thiếu họ tên; ","")&amp;IF($S4975&lt;&gt;"Có","SĐT sai định dạng; ","")&amp;IF($R4975="Trùng","Trùng SĐT; ","")&amp;IF($Q4975&lt;&gt;"Có","Thiếu đồng ý bắt buộc; ","")&amp;IF($L4975="","Thiếu/sai Mã REF; ",IF(AND($L4975="Chưa xác định",DANH_MUC!$L$9&lt;&gt;"Có"),"Nguồn chưa xác định; ","")))</f>
        <v/>
      </c>
      <c r="V4975" s="22">
        <f>IF(OR($D4975="",$R4975="Trùng"),"",IF(COUNTIF(ORDERS!$C$2:$C$4995,$D4975)&gt;0,"Có","Không"))</f>
        <v/>
      </c>
      <c r="W4975" s="22">
        <f>IF(OR($D4975="",$R4975="Trùng"),"",COUNTIFS(ORDERS!$C$2:$C$4995,$D4975,ORDERS!$L$2:$L$4995,"Đã chuyển khoản"))</f>
        <v/>
      </c>
      <c r="X4975" s="23">
        <f>IF(OR($D4975="",$R4975="Trùng"),"",SUMIFS(ORDERS!$J$2:$J$4995,ORDERS!$C$2:$C$4995,$D4975,ORDERS!$L$2:$L$4995,"Đã chuyển khoản"))</f>
        <v/>
      </c>
      <c r="Y4975" s="24" t="n"/>
    </row>
    <row r="4976" ht="14.25" customHeight="1" s="40">
      <c r="A4976" s="24" t="n"/>
      <c r="B4976" s="27" t="n"/>
      <c r="C4976" s="24" t="n"/>
      <c r="D4976" s="28" t="n"/>
      <c r="E4976" s="29" t="n"/>
      <c r="F4976" s="24" t="n"/>
      <c r="G4976" s="24" t="n"/>
      <c r="H4976" s="21">
        <f>IF(ISNUMBER($B4976),INT($B4976)-WEEKDAY($B4976,2)+1,"")</f>
        <v/>
      </c>
      <c r="I4976" s="24" t="n"/>
      <c r="J4976" s="22">
        <f t="array" ref="J4976">IF($D4976="","",IF($I4976="","(trống REF)",IFERROR(INDEX(MASTER_SOURCE!$B$2:$B$495,MATCH($I4976,MASTER_SOURCE!$A$2:$A$495,0)),"(REF không có trong MASTER_SOURCE)")))</f>
        <v/>
      </c>
      <c r="K4976" s="22">
        <f t="array" ref="K4976">IF($D4976="","",IFERROR(INDEX(MASTER_SOURCE!$C$2:$C$495,MATCH($I4976,MASTER_SOURCE!$A$2:$A$495,0)),""))</f>
        <v/>
      </c>
      <c r="L4976" s="22">
        <f t="array" ref="L4976">IF($D4976="","",IFERROR(INDEX(MASTER_SOURCE!$D$2:$D$495,MATCH($I4976,MASTER_SOURCE!$A$2:$A$495,0)),""))</f>
        <v/>
      </c>
      <c r="M4976" s="24" t="n"/>
      <c r="N4976" s="24" t="n"/>
      <c r="O4976" s="24" t="n"/>
      <c r="P4976" s="24" t="n"/>
      <c r="Q4976" s="22">
        <f>IF($D4976="","",IF(AND(OR(DANH_MUC!$L$5&lt;&gt;"Có",M4976="Có"),OR(DANH_MUC!$L$6&lt;&gt;"Có",N4976="Có"),OR(DANH_MUC!$L$7&lt;&gt;"Có",O4976="Có"),OR(DANH_MUC!$L$8&lt;&gt;"Có",P4976="Có")),"Có","Không"))</f>
        <v/>
      </c>
      <c r="R4976" s="22">
        <f>IF($D4976="","",IF(COUNTIF($D$2:$D4976,$D4976)&gt;1,"Trùng",""))</f>
        <v/>
      </c>
      <c r="S4976" s="22">
        <f>IF($D4976="","",IF(AND(LEN($D4976)=10,LEFT($D4976,1)="0",ISNUMBER(--$D4976)),"Có","Không"))</f>
        <v/>
      </c>
      <c r="T4976" s="22">
        <f>IF($D4976="","",IF(AND($C4976&lt;&gt;"",$Q4976="Có",$R4976="",$S4976="Có",AND($L4976&lt;&gt;"",OR($L4976&lt;&gt;"Chưa xác định",DANH_MUC!$L$9="Có"))),"Có","Không"))</f>
        <v/>
      </c>
      <c r="U4976" s="22">
        <f>IF(OR($D4976="",$T4976="Có"),"",IF($C4976="","Thiếu họ tên; ","")&amp;IF($S4976&lt;&gt;"Có","SĐT sai định dạng; ","")&amp;IF($R4976="Trùng","Trùng SĐT; ","")&amp;IF($Q4976&lt;&gt;"Có","Thiếu đồng ý bắt buộc; ","")&amp;IF($L4976="","Thiếu/sai Mã REF; ",IF(AND($L4976="Chưa xác định",DANH_MUC!$L$9&lt;&gt;"Có"),"Nguồn chưa xác định; ","")))</f>
        <v/>
      </c>
      <c r="V4976" s="22">
        <f>IF(OR($D4976="",$R4976="Trùng"),"",IF(COUNTIF(ORDERS!$C$2:$C$4995,$D4976)&gt;0,"Có","Không"))</f>
        <v/>
      </c>
      <c r="W4976" s="22">
        <f>IF(OR($D4976="",$R4976="Trùng"),"",COUNTIFS(ORDERS!$C$2:$C$4995,$D4976,ORDERS!$L$2:$L$4995,"Đã chuyển khoản"))</f>
        <v/>
      </c>
      <c r="X4976" s="23">
        <f>IF(OR($D4976="",$R4976="Trùng"),"",SUMIFS(ORDERS!$J$2:$J$4995,ORDERS!$C$2:$C$4995,$D4976,ORDERS!$L$2:$L$4995,"Đã chuyển khoản"))</f>
        <v/>
      </c>
      <c r="Y4976" s="24" t="n"/>
    </row>
    <row r="4977" ht="14.25" customHeight="1" s="40">
      <c r="A4977" s="24" t="n"/>
      <c r="B4977" s="27" t="n"/>
      <c r="C4977" s="24" t="n"/>
      <c r="D4977" s="28" t="n"/>
      <c r="E4977" s="29" t="n"/>
      <c r="F4977" s="24" t="n"/>
      <c r="G4977" s="24" t="n"/>
      <c r="H4977" s="21">
        <f>IF(ISNUMBER($B4977),INT($B4977)-WEEKDAY($B4977,2)+1,"")</f>
        <v/>
      </c>
      <c r="I4977" s="24" t="n"/>
      <c r="J4977" s="22">
        <f t="array" ref="J4977">IF($D4977="","",IF($I4977="","(trống REF)",IFERROR(INDEX(MASTER_SOURCE!$B$2:$B$495,MATCH($I4977,MASTER_SOURCE!$A$2:$A$495,0)),"(REF không có trong MASTER_SOURCE)")))</f>
        <v/>
      </c>
      <c r="K4977" s="22">
        <f t="array" ref="K4977">IF($D4977="","",IFERROR(INDEX(MASTER_SOURCE!$C$2:$C$495,MATCH($I4977,MASTER_SOURCE!$A$2:$A$495,0)),""))</f>
        <v/>
      </c>
      <c r="L4977" s="22">
        <f t="array" ref="L4977">IF($D4977="","",IFERROR(INDEX(MASTER_SOURCE!$D$2:$D$495,MATCH($I4977,MASTER_SOURCE!$A$2:$A$495,0)),""))</f>
        <v/>
      </c>
      <c r="M4977" s="24" t="n"/>
      <c r="N4977" s="24" t="n"/>
      <c r="O4977" s="24" t="n"/>
      <c r="P4977" s="24" t="n"/>
      <c r="Q4977" s="22">
        <f>IF($D4977="","",IF(AND(OR(DANH_MUC!$L$5&lt;&gt;"Có",M4977="Có"),OR(DANH_MUC!$L$6&lt;&gt;"Có",N4977="Có"),OR(DANH_MUC!$L$7&lt;&gt;"Có",O4977="Có"),OR(DANH_MUC!$L$8&lt;&gt;"Có",P4977="Có")),"Có","Không"))</f>
        <v/>
      </c>
      <c r="R4977" s="22">
        <f>IF($D4977="","",IF(COUNTIF($D$2:$D4977,$D4977)&gt;1,"Trùng",""))</f>
        <v/>
      </c>
      <c r="S4977" s="22">
        <f>IF($D4977="","",IF(AND(LEN($D4977)=10,LEFT($D4977,1)="0",ISNUMBER(--$D4977)),"Có","Không"))</f>
        <v/>
      </c>
      <c r="T4977" s="22">
        <f>IF($D4977="","",IF(AND($C4977&lt;&gt;"",$Q4977="Có",$R4977="",$S4977="Có",AND($L4977&lt;&gt;"",OR($L4977&lt;&gt;"Chưa xác định",DANH_MUC!$L$9="Có"))),"Có","Không"))</f>
        <v/>
      </c>
      <c r="U4977" s="22">
        <f>IF(OR($D4977="",$T4977="Có"),"",IF($C4977="","Thiếu họ tên; ","")&amp;IF($S4977&lt;&gt;"Có","SĐT sai định dạng; ","")&amp;IF($R4977="Trùng","Trùng SĐT; ","")&amp;IF($Q4977&lt;&gt;"Có","Thiếu đồng ý bắt buộc; ","")&amp;IF($L4977="","Thiếu/sai Mã REF; ",IF(AND($L4977="Chưa xác định",DANH_MUC!$L$9&lt;&gt;"Có"),"Nguồn chưa xác định; ","")))</f>
        <v/>
      </c>
      <c r="V4977" s="22">
        <f>IF(OR($D4977="",$R4977="Trùng"),"",IF(COUNTIF(ORDERS!$C$2:$C$4995,$D4977)&gt;0,"Có","Không"))</f>
        <v/>
      </c>
      <c r="W4977" s="22">
        <f>IF(OR($D4977="",$R4977="Trùng"),"",COUNTIFS(ORDERS!$C$2:$C$4995,$D4977,ORDERS!$L$2:$L$4995,"Đã chuyển khoản"))</f>
        <v/>
      </c>
      <c r="X4977" s="23">
        <f>IF(OR($D4977="",$R4977="Trùng"),"",SUMIFS(ORDERS!$J$2:$J$4995,ORDERS!$C$2:$C$4995,$D4977,ORDERS!$L$2:$L$4995,"Đã chuyển khoản"))</f>
        <v/>
      </c>
      <c r="Y4977" s="24" t="n"/>
    </row>
    <row r="4978" ht="14.25" customHeight="1" s="40">
      <c r="A4978" s="24" t="n"/>
      <c r="B4978" s="27" t="n"/>
      <c r="C4978" s="24" t="n"/>
      <c r="D4978" s="28" t="n"/>
      <c r="E4978" s="29" t="n"/>
      <c r="F4978" s="24" t="n"/>
      <c r="G4978" s="24" t="n"/>
      <c r="H4978" s="21">
        <f>IF(ISNUMBER($B4978),INT($B4978)-WEEKDAY($B4978,2)+1,"")</f>
        <v/>
      </c>
      <c r="I4978" s="24" t="n"/>
      <c r="J4978" s="22">
        <f t="array" ref="J4978">IF($D4978="","",IF($I4978="","(trống REF)",IFERROR(INDEX(MASTER_SOURCE!$B$2:$B$495,MATCH($I4978,MASTER_SOURCE!$A$2:$A$495,0)),"(REF không có trong MASTER_SOURCE)")))</f>
        <v/>
      </c>
      <c r="K4978" s="22">
        <f t="array" ref="K4978">IF($D4978="","",IFERROR(INDEX(MASTER_SOURCE!$C$2:$C$495,MATCH($I4978,MASTER_SOURCE!$A$2:$A$495,0)),""))</f>
        <v/>
      </c>
      <c r="L4978" s="22">
        <f t="array" ref="L4978">IF($D4978="","",IFERROR(INDEX(MASTER_SOURCE!$D$2:$D$495,MATCH($I4978,MASTER_SOURCE!$A$2:$A$495,0)),""))</f>
        <v/>
      </c>
      <c r="M4978" s="24" t="n"/>
      <c r="N4978" s="24" t="n"/>
      <c r="O4978" s="24" t="n"/>
      <c r="P4978" s="24" t="n"/>
      <c r="Q4978" s="22">
        <f>IF($D4978="","",IF(AND(OR(DANH_MUC!$L$5&lt;&gt;"Có",M4978="Có"),OR(DANH_MUC!$L$6&lt;&gt;"Có",N4978="Có"),OR(DANH_MUC!$L$7&lt;&gt;"Có",O4978="Có"),OR(DANH_MUC!$L$8&lt;&gt;"Có",P4978="Có")),"Có","Không"))</f>
        <v/>
      </c>
      <c r="R4978" s="22">
        <f>IF($D4978="","",IF(COUNTIF($D$2:$D4978,$D4978)&gt;1,"Trùng",""))</f>
        <v/>
      </c>
      <c r="S4978" s="22">
        <f>IF($D4978="","",IF(AND(LEN($D4978)=10,LEFT($D4978,1)="0",ISNUMBER(--$D4978)),"Có","Không"))</f>
        <v/>
      </c>
      <c r="T4978" s="22">
        <f>IF($D4978="","",IF(AND($C4978&lt;&gt;"",$Q4978="Có",$R4978="",$S4978="Có",AND($L4978&lt;&gt;"",OR($L4978&lt;&gt;"Chưa xác định",DANH_MUC!$L$9="Có"))),"Có","Không"))</f>
        <v/>
      </c>
      <c r="U4978" s="22">
        <f>IF(OR($D4978="",$T4978="Có"),"",IF($C4978="","Thiếu họ tên; ","")&amp;IF($S4978&lt;&gt;"Có","SĐT sai định dạng; ","")&amp;IF($R4978="Trùng","Trùng SĐT; ","")&amp;IF($Q4978&lt;&gt;"Có","Thiếu đồng ý bắt buộc; ","")&amp;IF($L4978="","Thiếu/sai Mã REF; ",IF(AND($L4978="Chưa xác định",DANH_MUC!$L$9&lt;&gt;"Có"),"Nguồn chưa xác định; ","")))</f>
        <v/>
      </c>
      <c r="V4978" s="22">
        <f>IF(OR($D4978="",$R4978="Trùng"),"",IF(COUNTIF(ORDERS!$C$2:$C$4995,$D4978)&gt;0,"Có","Không"))</f>
        <v/>
      </c>
      <c r="W4978" s="22">
        <f>IF(OR($D4978="",$R4978="Trùng"),"",COUNTIFS(ORDERS!$C$2:$C$4995,$D4978,ORDERS!$L$2:$L$4995,"Đã chuyển khoản"))</f>
        <v/>
      </c>
      <c r="X4978" s="23">
        <f>IF(OR($D4978="",$R4978="Trùng"),"",SUMIFS(ORDERS!$J$2:$J$4995,ORDERS!$C$2:$C$4995,$D4978,ORDERS!$L$2:$L$4995,"Đã chuyển khoản"))</f>
        <v/>
      </c>
      <c r="Y4978" s="24" t="n"/>
    </row>
    <row r="4979" ht="14.25" customHeight="1" s="40">
      <c r="A4979" s="24" t="n"/>
      <c r="B4979" s="27" t="n"/>
      <c r="C4979" s="24" t="n"/>
      <c r="D4979" s="28" t="n"/>
      <c r="E4979" s="29" t="n"/>
      <c r="F4979" s="24" t="n"/>
      <c r="G4979" s="24" t="n"/>
      <c r="H4979" s="21">
        <f>IF(ISNUMBER($B4979),INT($B4979)-WEEKDAY($B4979,2)+1,"")</f>
        <v/>
      </c>
      <c r="I4979" s="24" t="n"/>
      <c r="J4979" s="22">
        <f t="array" ref="J4979">IF($D4979="","",IF($I4979="","(trống REF)",IFERROR(INDEX(MASTER_SOURCE!$B$2:$B$495,MATCH($I4979,MASTER_SOURCE!$A$2:$A$495,0)),"(REF không có trong MASTER_SOURCE)")))</f>
        <v/>
      </c>
      <c r="K4979" s="22">
        <f t="array" ref="K4979">IF($D4979="","",IFERROR(INDEX(MASTER_SOURCE!$C$2:$C$495,MATCH($I4979,MASTER_SOURCE!$A$2:$A$495,0)),""))</f>
        <v/>
      </c>
      <c r="L4979" s="22">
        <f t="array" ref="L4979">IF($D4979="","",IFERROR(INDEX(MASTER_SOURCE!$D$2:$D$495,MATCH($I4979,MASTER_SOURCE!$A$2:$A$495,0)),""))</f>
        <v/>
      </c>
      <c r="M4979" s="24" t="n"/>
      <c r="N4979" s="24" t="n"/>
      <c r="O4979" s="24" t="n"/>
      <c r="P4979" s="24" t="n"/>
      <c r="Q4979" s="22">
        <f>IF($D4979="","",IF(AND(OR(DANH_MUC!$L$5&lt;&gt;"Có",M4979="Có"),OR(DANH_MUC!$L$6&lt;&gt;"Có",N4979="Có"),OR(DANH_MUC!$L$7&lt;&gt;"Có",O4979="Có"),OR(DANH_MUC!$L$8&lt;&gt;"Có",P4979="Có")),"Có","Không"))</f>
        <v/>
      </c>
      <c r="R4979" s="22">
        <f>IF($D4979="","",IF(COUNTIF($D$2:$D4979,$D4979)&gt;1,"Trùng",""))</f>
        <v/>
      </c>
      <c r="S4979" s="22">
        <f>IF($D4979="","",IF(AND(LEN($D4979)=10,LEFT($D4979,1)="0",ISNUMBER(--$D4979)),"Có","Không"))</f>
        <v/>
      </c>
      <c r="T4979" s="22">
        <f>IF($D4979="","",IF(AND($C4979&lt;&gt;"",$Q4979="Có",$R4979="",$S4979="Có",AND($L4979&lt;&gt;"",OR($L4979&lt;&gt;"Chưa xác định",DANH_MUC!$L$9="Có"))),"Có","Không"))</f>
        <v/>
      </c>
      <c r="U4979" s="22">
        <f>IF(OR($D4979="",$T4979="Có"),"",IF($C4979="","Thiếu họ tên; ","")&amp;IF($S4979&lt;&gt;"Có","SĐT sai định dạng; ","")&amp;IF($R4979="Trùng","Trùng SĐT; ","")&amp;IF($Q4979&lt;&gt;"Có","Thiếu đồng ý bắt buộc; ","")&amp;IF($L4979="","Thiếu/sai Mã REF; ",IF(AND($L4979="Chưa xác định",DANH_MUC!$L$9&lt;&gt;"Có"),"Nguồn chưa xác định; ","")))</f>
        <v/>
      </c>
      <c r="V4979" s="22">
        <f>IF(OR($D4979="",$R4979="Trùng"),"",IF(COUNTIF(ORDERS!$C$2:$C$4995,$D4979)&gt;0,"Có","Không"))</f>
        <v/>
      </c>
      <c r="W4979" s="22">
        <f>IF(OR($D4979="",$R4979="Trùng"),"",COUNTIFS(ORDERS!$C$2:$C$4995,$D4979,ORDERS!$L$2:$L$4995,"Đã chuyển khoản"))</f>
        <v/>
      </c>
      <c r="X4979" s="23">
        <f>IF(OR($D4979="",$R4979="Trùng"),"",SUMIFS(ORDERS!$J$2:$J$4995,ORDERS!$C$2:$C$4995,$D4979,ORDERS!$L$2:$L$4995,"Đã chuyển khoản"))</f>
        <v/>
      </c>
      <c r="Y4979" s="24" t="n"/>
    </row>
    <row r="4980" ht="14.25" customHeight="1" s="40">
      <c r="A4980" s="24" t="n"/>
      <c r="B4980" s="27" t="n"/>
      <c r="C4980" s="24" t="n"/>
      <c r="D4980" s="28" t="n"/>
      <c r="E4980" s="29" t="n"/>
      <c r="F4980" s="24" t="n"/>
      <c r="G4980" s="24" t="n"/>
      <c r="H4980" s="21">
        <f>IF(ISNUMBER($B4980),INT($B4980)-WEEKDAY($B4980,2)+1,"")</f>
        <v/>
      </c>
      <c r="I4980" s="24" t="n"/>
      <c r="J4980" s="22">
        <f t="array" ref="J4980">IF($D4980="","",IF($I4980="","(trống REF)",IFERROR(INDEX(MASTER_SOURCE!$B$2:$B$495,MATCH($I4980,MASTER_SOURCE!$A$2:$A$495,0)),"(REF không có trong MASTER_SOURCE)")))</f>
        <v/>
      </c>
      <c r="K4980" s="22">
        <f t="array" ref="K4980">IF($D4980="","",IFERROR(INDEX(MASTER_SOURCE!$C$2:$C$495,MATCH($I4980,MASTER_SOURCE!$A$2:$A$495,0)),""))</f>
        <v/>
      </c>
      <c r="L4980" s="22">
        <f t="array" ref="L4980">IF($D4980="","",IFERROR(INDEX(MASTER_SOURCE!$D$2:$D$495,MATCH($I4980,MASTER_SOURCE!$A$2:$A$495,0)),""))</f>
        <v/>
      </c>
      <c r="M4980" s="24" t="n"/>
      <c r="N4980" s="24" t="n"/>
      <c r="O4980" s="24" t="n"/>
      <c r="P4980" s="24" t="n"/>
      <c r="Q4980" s="22">
        <f>IF($D4980="","",IF(AND(OR(DANH_MUC!$L$5&lt;&gt;"Có",M4980="Có"),OR(DANH_MUC!$L$6&lt;&gt;"Có",N4980="Có"),OR(DANH_MUC!$L$7&lt;&gt;"Có",O4980="Có"),OR(DANH_MUC!$L$8&lt;&gt;"Có",P4980="Có")),"Có","Không"))</f>
        <v/>
      </c>
      <c r="R4980" s="22">
        <f>IF($D4980="","",IF(COUNTIF($D$2:$D4980,$D4980)&gt;1,"Trùng",""))</f>
        <v/>
      </c>
      <c r="S4980" s="22">
        <f>IF($D4980="","",IF(AND(LEN($D4980)=10,LEFT($D4980,1)="0",ISNUMBER(--$D4980)),"Có","Không"))</f>
        <v/>
      </c>
      <c r="T4980" s="22">
        <f>IF($D4980="","",IF(AND($C4980&lt;&gt;"",$Q4980="Có",$R4980="",$S4980="Có",AND($L4980&lt;&gt;"",OR($L4980&lt;&gt;"Chưa xác định",DANH_MUC!$L$9="Có"))),"Có","Không"))</f>
        <v/>
      </c>
      <c r="U4980" s="22">
        <f>IF(OR($D4980="",$T4980="Có"),"",IF($C4980="","Thiếu họ tên; ","")&amp;IF($S4980&lt;&gt;"Có","SĐT sai định dạng; ","")&amp;IF($R4980="Trùng","Trùng SĐT; ","")&amp;IF($Q4980&lt;&gt;"Có","Thiếu đồng ý bắt buộc; ","")&amp;IF($L4980="","Thiếu/sai Mã REF; ",IF(AND($L4980="Chưa xác định",DANH_MUC!$L$9&lt;&gt;"Có"),"Nguồn chưa xác định; ","")))</f>
        <v/>
      </c>
      <c r="V4980" s="22">
        <f>IF(OR($D4980="",$R4980="Trùng"),"",IF(COUNTIF(ORDERS!$C$2:$C$4995,$D4980)&gt;0,"Có","Không"))</f>
        <v/>
      </c>
      <c r="W4980" s="22">
        <f>IF(OR($D4980="",$R4980="Trùng"),"",COUNTIFS(ORDERS!$C$2:$C$4995,$D4980,ORDERS!$L$2:$L$4995,"Đã chuyển khoản"))</f>
        <v/>
      </c>
      <c r="X4980" s="23">
        <f>IF(OR($D4980="",$R4980="Trùng"),"",SUMIFS(ORDERS!$J$2:$J$4995,ORDERS!$C$2:$C$4995,$D4980,ORDERS!$L$2:$L$4995,"Đã chuyển khoản"))</f>
        <v/>
      </c>
      <c r="Y4980" s="24" t="n"/>
    </row>
    <row r="4981" ht="14.25" customHeight="1" s="40">
      <c r="A4981" s="24" t="n"/>
      <c r="B4981" s="27" t="n"/>
      <c r="C4981" s="24" t="n"/>
      <c r="D4981" s="28" t="n"/>
      <c r="E4981" s="29" t="n"/>
      <c r="F4981" s="24" t="n"/>
      <c r="G4981" s="24" t="n"/>
      <c r="H4981" s="21">
        <f>IF(ISNUMBER($B4981),INT($B4981)-WEEKDAY($B4981,2)+1,"")</f>
        <v/>
      </c>
      <c r="I4981" s="24" t="n"/>
      <c r="J4981" s="22">
        <f t="array" ref="J4981">IF($D4981="","",IF($I4981="","(trống REF)",IFERROR(INDEX(MASTER_SOURCE!$B$2:$B$495,MATCH($I4981,MASTER_SOURCE!$A$2:$A$495,0)),"(REF không có trong MASTER_SOURCE)")))</f>
        <v/>
      </c>
      <c r="K4981" s="22">
        <f t="array" ref="K4981">IF($D4981="","",IFERROR(INDEX(MASTER_SOURCE!$C$2:$C$495,MATCH($I4981,MASTER_SOURCE!$A$2:$A$495,0)),""))</f>
        <v/>
      </c>
      <c r="L4981" s="22">
        <f t="array" ref="L4981">IF($D4981="","",IFERROR(INDEX(MASTER_SOURCE!$D$2:$D$495,MATCH($I4981,MASTER_SOURCE!$A$2:$A$495,0)),""))</f>
        <v/>
      </c>
      <c r="M4981" s="24" t="n"/>
      <c r="N4981" s="24" t="n"/>
      <c r="O4981" s="24" t="n"/>
      <c r="P4981" s="24" t="n"/>
      <c r="Q4981" s="22">
        <f>IF($D4981="","",IF(AND(OR(DANH_MUC!$L$5&lt;&gt;"Có",M4981="Có"),OR(DANH_MUC!$L$6&lt;&gt;"Có",N4981="Có"),OR(DANH_MUC!$L$7&lt;&gt;"Có",O4981="Có"),OR(DANH_MUC!$L$8&lt;&gt;"Có",P4981="Có")),"Có","Không"))</f>
        <v/>
      </c>
      <c r="R4981" s="22">
        <f>IF($D4981="","",IF(COUNTIF($D$2:$D4981,$D4981)&gt;1,"Trùng",""))</f>
        <v/>
      </c>
      <c r="S4981" s="22">
        <f>IF($D4981="","",IF(AND(LEN($D4981)=10,LEFT($D4981,1)="0",ISNUMBER(--$D4981)),"Có","Không"))</f>
        <v/>
      </c>
      <c r="T4981" s="22">
        <f>IF($D4981="","",IF(AND($C4981&lt;&gt;"",$Q4981="Có",$R4981="",$S4981="Có",AND($L4981&lt;&gt;"",OR($L4981&lt;&gt;"Chưa xác định",DANH_MUC!$L$9="Có"))),"Có","Không"))</f>
        <v/>
      </c>
      <c r="U4981" s="22">
        <f>IF(OR($D4981="",$T4981="Có"),"",IF($C4981="","Thiếu họ tên; ","")&amp;IF($S4981&lt;&gt;"Có","SĐT sai định dạng; ","")&amp;IF($R4981="Trùng","Trùng SĐT; ","")&amp;IF($Q4981&lt;&gt;"Có","Thiếu đồng ý bắt buộc; ","")&amp;IF($L4981="","Thiếu/sai Mã REF; ",IF(AND($L4981="Chưa xác định",DANH_MUC!$L$9&lt;&gt;"Có"),"Nguồn chưa xác định; ","")))</f>
        <v/>
      </c>
      <c r="V4981" s="22">
        <f>IF(OR($D4981="",$R4981="Trùng"),"",IF(COUNTIF(ORDERS!$C$2:$C$4995,$D4981)&gt;0,"Có","Không"))</f>
        <v/>
      </c>
      <c r="W4981" s="22">
        <f>IF(OR($D4981="",$R4981="Trùng"),"",COUNTIFS(ORDERS!$C$2:$C$4995,$D4981,ORDERS!$L$2:$L$4995,"Đã chuyển khoản"))</f>
        <v/>
      </c>
      <c r="X4981" s="23">
        <f>IF(OR($D4981="",$R4981="Trùng"),"",SUMIFS(ORDERS!$J$2:$J$4995,ORDERS!$C$2:$C$4995,$D4981,ORDERS!$L$2:$L$4995,"Đã chuyển khoản"))</f>
        <v/>
      </c>
      <c r="Y4981" s="24" t="n"/>
    </row>
    <row r="4982" ht="14.25" customHeight="1" s="40">
      <c r="A4982" s="24" t="n"/>
      <c r="B4982" s="27" t="n"/>
      <c r="C4982" s="24" t="n"/>
      <c r="D4982" s="28" t="n"/>
      <c r="E4982" s="29" t="n"/>
      <c r="F4982" s="24" t="n"/>
      <c r="G4982" s="24" t="n"/>
      <c r="H4982" s="21">
        <f>IF(ISNUMBER($B4982),INT($B4982)-WEEKDAY($B4982,2)+1,"")</f>
        <v/>
      </c>
      <c r="I4982" s="24" t="n"/>
      <c r="J4982" s="22">
        <f t="array" ref="J4982">IF($D4982="","",IF($I4982="","(trống REF)",IFERROR(INDEX(MASTER_SOURCE!$B$2:$B$495,MATCH($I4982,MASTER_SOURCE!$A$2:$A$495,0)),"(REF không có trong MASTER_SOURCE)")))</f>
        <v/>
      </c>
      <c r="K4982" s="22">
        <f t="array" ref="K4982">IF($D4982="","",IFERROR(INDEX(MASTER_SOURCE!$C$2:$C$495,MATCH($I4982,MASTER_SOURCE!$A$2:$A$495,0)),""))</f>
        <v/>
      </c>
      <c r="L4982" s="22">
        <f t="array" ref="L4982">IF($D4982="","",IFERROR(INDEX(MASTER_SOURCE!$D$2:$D$495,MATCH($I4982,MASTER_SOURCE!$A$2:$A$495,0)),""))</f>
        <v/>
      </c>
      <c r="M4982" s="24" t="n"/>
      <c r="N4982" s="24" t="n"/>
      <c r="O4982" s="24" t="n"/>
      <c r="P4982" s="24" t="n"/>
      <c r="Q4982" s="22">
        <f>IF($D4982="","",IF(AND(OR(DANH_MUC!$L$5&lt;&gt;"Có",M4982="Có"),OR(DANH_MUC!$L$6&lt;&gt;"Có",N4982="Có"),OR(DANH_MUC!$L$7&lt;&gt;"Có",O4982="Có"),OR(DANH_MUC!$L$8&lt;&gt;"Có",P4982="Có")),"Có","Không"))</f>
        <v/>
      </c>
      <c r="R4982" s="22">
        <f>IF($D4982="","",IF(COUNTIF($D$2:$D4982,$D4982)&gt;1,"Trùng",""))</f>
        <v/>
      </c>
      <c r="S4982" s="22">
        <f>IF($D4982="","",IF(AND(LEN($D4982)=10,LEFT($D4982,1)="0",ISNUMBER(--$D4982)),"Có","Không"))</f>
        <v/>
      </c>
      <c r="T4982" s="22">
        <f>IF($D4982="","",IF(AND($C4982&lt;&gt;"",$Q4982="Có",$R4982="",$S4982="Có",AND($L4982&lt;&gt;"",OR($L4982&lt;&gt;"Chưa xác định",DANH_MUC!$L$9="Có"))),"Có","Không"))</f>
        <v/>
      </c>
      <c r="U4982" s="22">
        <f>IF(OR($D4982="",$T4982="Có"),"",IF($C4982="","Thiếu họ tên; ","")&amp;IF($S4982&lt;&gt;"Có","SĐT sai định dạng; ","")&amp;IF($R4982="Trùng","Trùng SĐT; ","")&amp;IF($Q4982&lt;&gt;"Có","Thiếu đồng ý bắt buộc; ","")&amp;IF($L4982="","Thiếu/sai Mã REF; ",IF(AND($L4982="Chưa xác định",DANH_MUC!$L$9&lt;&gt;"Có"),"Nguồn chưa xác định; ","")))</f>
        <v/>
      </c>
      <c r="V4982" s="22">
        <f>IF(OR($D4982="",$R4982="Trùng"),"",IF(COUNTIF(ORDERS!$C$2:$C$4995,$D4982)&gt;0,"Có","Không"))</f>
        <v/>
      </c>
      <c r="W4982" s="22">
        <f>IF(OR($D4982="",$R4982="Trùng"),"",COUNTIFS(ORDERS!$C$2:$C$4995,$D4982,ORDERS!$L$2:$L$4995,"Đã chuyển khoản"))</f>
        <v/>
      </c>
      <c r="X4982" s="23">
        <f>IF(OR($D4982="",$R4982="Trùng"),"",SUMIFS(ORDERS!$J$2:$J$4995,ORDERS!$C$2:$C$4995,$D4982,ORDERS!$L$2:$L$4995,"Đã chuyển khoản"))</f>
        <v/>
      </c>
      <c r="Y4982" s="24" t="n"/>
    </row>
    <row r="4983" ht="14.25" customHeight="1" s="40">
      <c r="A4983" s="24" t="n"/>
      <c r="B4983" s="27" t="n"/>
      <c r="C4983" s="24" t="n"/>
      <c r="D4983" s="28" t="n"/>
      <c r="E4983" s="29" t="n"/>
      <c r="F4983" s="24" t="n"/>
      <c r="G4983" s="24" t="n"/>
      <c r="H4983" s="21">
        <f>IF(ISNUMBER($B4983),INT($B4983)-WEEKDAY($B4983,2)+1,"")</f>
        <v/>
      </c>
      <c r="I4983" s="24" t="n"/>
      <c r="J4983" s="22">
        <f t="array" ref="J4983">IF($D4983="","",IF($I4983="","(trống REF)",IFERROR(INDEX(MASTER_SOURCE!$B$2:$B$495,MATCH($I4983,MASTER_SOURCE!$A$2:$A$495,0)),"(REF không có trong MASTER_SOURCE)")))</f>
        <v/>
      </c>
      <c r="K4983" s="22">
        <f t="array" ref="K4983">IF($D4983="","",IFERROR(INDEX(MASTER_SOURCE!$C$2:$C$495,MATCH($I4983,MASTER_SOURCE!$A$2:$A$495,0)),""))</f>
        <v/>
      </c>
      <c r="L4983" s="22">
        <f t="array" ref="L4983">IF($D4983="","",IFERROR(INDEX(MASTER_SOURCE!$D$2:$D$495,MATCH($I4983,MASTER_SOURCE!$A$2:$A$495,0)),""))</f>
        <v/>
      </c>
      <c r="M4983" s="24" t="n"/>
      <c r="N4983" s="24" t="n"/>
      <c r="O4983" s="24" t="n"/>
      <c r="P4983" s="24" t="n"/>
      <c r="Q4983" s="22">
        <f>IF($D4983="","",IF(AND(OR(DANH_MUC!$L$5&lt;&gt;"Có",M4983="Có"),OR(DANH_MUC!$L$6&lt;&gt;"Có",N4983="Có"),OR(DANH_MUC!$L$7&lt;&gt;"Có",O4983="Có"),OR(DANH_MUC!$L$8&lt;&gt;"Có",P4983="Có")),"Có","Không"))</f>
        <v/>
      </c>
      <c r="R4983" s="22">
        <f>IF($D4983="","",IF(COUNTIF($D$2:$D4983,$D4983)&gt;1,"Trùng",""))</f>
        <v/>
      </c>
      <c r="S4983" s="22">
        <f>IF($D4983="","",IF(AND(LEN($D4983)=10,LEFT($D4983,1)="0",ISNUMBER(--$D4983)),"Có","Không"))</f>
        <v/>
      </c>
      <c r="T4983" s="22">
        <f>IF($D4983="","",IF(AND($C4983&lt;&gt;"",$Q4983="Có",$R4983="",$S4983="Có",AND($L4983&lt;&gt;"",OR($L4983&lt;&gt;"Chưa xác định",DANH_MUC!$L$9="Có"))),"Có","Không"))</f>
        <v/>
      </c>
      <c r="U4983" s="22">
        <f>IF(OR($D4983="",$T4983="Có"),"",IF($C4983="","Thiếu họ tên; ","")&amp;IF($S4983&lt;&gt;"Có","SĐT sai định dạng; ","")&amp;IF($R4983="Trùng","Trùng SĐT; ","")&amp;IF($Q4983&lt;&gt;"Có","Thiếu đồng ý bắt buộc; ","")&amp;IF($L4983="","Thiếu/sai Mã REF; ",IF(AND($L4983="Chưa xác định",DANH_MUC!$L$9&lt;&gt;"Có"),"Nguồn chưa xác định; ","")))</f>
        <v/>
      </c>
      <c r="V4983" s="22">
        <f>IF(OR($D4983="",$R4983="Trùng"),"",IF(COUNTIF(ORDERS!$C$2:$C$4995,$D4983)&gt;0,"Có","Không"))</f>
        <v/>
      </c>
      <c r="W4983" s="22">
        <f>IF(OR($D4983="",$R4983="Trùng"),"",COUNTIFS(ORDERS!$C$2:$C$4995,$D4983,ORDERS!$L$2:$L$4995,"Đã chuyển khoản"))</f>
        <v/>
      </c>
      <c r="X4983" s="23">
        <f>IF(OR($D4983="",$R4983="Trùng"),"",SUMIFS(ORDERS!$J$2:$J$4995,ORDERS!$C$2:$C$4995,$D4983,ORDERS!$L$2:$L$4995,"Đã chuyển khoản"))</f>
        <v/>
      </c>
      <c r="Y4983" s="24" t="n"/>
    </row>
    <row r="4984" ht="14.25" customHeight="1" s="40">
      <c r="A4984" s="24" t="n"/>
      <c r="B4984" s="27" t="n"/>
      <c r="C4984" s="24" t="n"/>
      <c r="D4984" s="28" t="n"/>
      <c r="E4984" s="29" t="n"/>
      <c r="F4984" s="24" t="n"/>
      <c r="G4984" s="24" t="n"/>
      <c r="H4984" s="21">
        <f>IF(ISNUMBER($B4984),INT($B4984)-WEEKDAY($B4984,2)+1,"")</f>
        <v/>
      </c>
      <c r="I4984" s="24" t="n"/>
      <c r="J4984" s="22">
        <f t="array" ref="J4984">IF($D4984="","",IF($I4984="","(trống REF)",IFERROR(INDEX(MASTER_SOURCE!$B$2:$B$495,MATCH($I4984,MASTER_SOURCE!$A$2:$A$495,0)),"(REF không có trong MASTER_SOURCE)")))</f>
        <v/>
      </c>
      <c r="K4984" s="22">
        <f t="array" ref="K4984">IF($D4984="","",IFERROR(INDEX(MASTER_SOURCE!$C$2:$C$495,MATCH($I4984,MASTER_SOURCE!$A$2:$A$495,0)),""))</f>
        <v/>
      </c>
      <c r="L4984" s="22">
        <f t="array" ref="L4984">IF($D4984="","",IFERROR(INDEX(MASTER_SOURCE!$D$2:$D$495,MATCH($I4984,MASTER_SOURCE!$A$2:$A$495,0)),""))</f>
        <v/>
      </c>
      <c r="M4984" s="24" t="n"/>
      <c r="N4984" s="24" t="n"/>
      <c r="O4984" s="24" t="n"/>
      <c r="P4984" s="24" t="n"/>
      <c r="Q4984" s="22">
        <f>IF($D4984="","",IF(AND(OR(DANH_MUC!$L$5&lt;&gt;"Có",M4984="Có"),OR(DANH_MUC!$L$6&lt;&gt;"Có",N4984="Có"),OR(DANH_MUC!$L$7&lt;&gt;"Có",O4984="Có"),OR(DANH_MUC!$L$8&lt;&gt;"Có",P4984="Có")),"Có","Không"))</f>
        <v/>
      </c>
      <c r="R4984" s="22">
        <f>IF($D4984="","",IF(COUNTIF($D$2:$D4984,$D4984)&gt;1,"Trùng",""))</f>
        <v/>
      </c>
      <c r="S4984" s="22">
        <f>IF($D4984="","",IF(AND(LEN($D4984)=10,LEFT($D4984,1)="0",ISNUMBER(--$D4984)),"Có","Không"))</f>
        <v/>
      </c>
      <c r="T4984" s="22">
        <f>IF($D4984="","",IF(AND($C4984&lt;&gt;"",$Q4984="Có",$R4984="",$S4984="Có",AND($L4984&lt;&gt;"",OR($L4984&lt;&gt;"Chưa xác định",DANH_MUC!$L$9="Có"))),"Có","Không"))</f>
        <v/>
      </c>
      <c r="U4984" s="22">
        <f>IF(OR($D4984="",$T4984="Có"),"",IF($C4984="","Thiếu họ tên; ","")&amp;IF($S4984&lt;&gt;"Có","SĐT sai định dạng; ","")&amp;IF($R4984="Trùng","Trùng SĐT; ","")&amp;IF($Q4984&lt;&gt;"Có","Thiếu đồng ý bắt buộc; ","")&amp;IF($L4984="","Thiếu/sai Mã REF; ",IF(AND($L4984="Chưa xác định",DANH_MUC!$L$9&lt;&gt;"Có"),"Nguồn chưa xác định; ","")))</f>
        <v/>
      </c>
      <c r="V4984" s="22">
        <f>IF(OR($D4984="",$R4984="Trùng"),"",IF(COUNTIF(ORDERS!$C$2:$C$4995,$D4984)&gt;0,"Có","Không"))</f>
        <v/>
      </c>
      <c r="W4984" s="22">
        <f>IF(OR($D4984="",$R4984="Trùng"),"",COUNTIFS(ORDERS!$C$2:$C$4995,$D4984,ORDERS!$L$2:$L$4995,"Đã chuyển khoản"))</f>
        <v/>
      </c>
      <c r="X4984" s="23">
        <f>IF(OR($D4984="",$R4984="Trùng"),"",SUMIFS(ORDERS!$J$2:$J$4995,ORDERS!$C$2:$C$4995,$D4984,ORDERS!$L$2:$L$4995,"Đã chuyển khoản"))</f>
        <v/>
      </c>
      <c r="Y4984" s="24" t="n"/>
    </row>
    <row r="4985" ht="14.25" customHeight="1" s="40">
      <c r="A4985" s="24" t="n"/>
      <c r="B4985" s="27" t="n"/>
      <c r="C4985" s="24" t="n"/>
      <c r="D4985" s="28" t="n"/>
      <c r="E4985" s="29" t="n"/>
      <c r="F4985" s="24" t="n"/>
      <c r="G4985" s="24" t="n"/>
      <c r="H4985" s="21">
        <f>IF(ISNUMBER($B4985),INT($B4985)-WEEKDAY($B4985,2)+1,"")</f>
        <v/>
      </c>
      <c r="I4985" s="24" t="n"/>
      <c r="J4985" s="22">
        <f t="array" ref="J4985">IF($D4985="","",IF($I4985="","(trống REF)",IFERROR(INDEX(MASTER_SOURCE!$B$2:$B$495,MATCH($I4985,MASTER_SOURCE!$A$2:$A$495,0)),"(REF không có trong MASTER_SOURCE)")))</f>
        <v/>
      </c>
      <c r="K4985" s="22">
        <f t="array" ref="K4985">IF($D4985="","",IFERROR(INDEX(MASTER_SOURCE!$C$2:$C$495,MATCH($I4985,MASTER_SOURCE!$A$2:$A$495,0)),""))</f>
        <v/>
      </c>
      <c r="L4985" s="22">
        <f t="array" ref="L4985">IF($D4985="","",IFERROR(INDEX(MASTER_SOURCE!$D$2:$D$495,MATCH($I4985,MASTER_SOURCE!$A$2:$A$495,0)),""))</f>
        <v/>
      </c>
      <c r="M4985" s="24" t="n"/>
      <c r="N4985" s="24" t="n"/>
      <c r="O4985" s="24" t="n"/>
      <c r="P4985" s="24" t="n"/>
      <c r="Q4985" s="22">
        <f>IF($D4985="","",IF(AND(OR(DANH_MUC!$L$5&lt;&gt;"Có",M4985="Có"),OR(DANH_MUC!$L$6&lt;&gt;"Có",N4985="Có"),OR(DANH_MUC!$L$7&lt;&gt;"Có",O4985="Có"),OR(DANH_MUC!$L$8&lt;&gt;"Có",P4985="Có")),"Có","Không"))</f>
        <v/>
      </c>
      <c r="R4985" s="22">
        <f>IF($D4985="","",IF(COUNTIF($D$2:$D4985,$D4985)&gt;1,"Trùng",""))</f>
        <v/>
      </c>
      <c r="S4985" s="22">
        <f>IF($D4985="","",IF(AND(LEN($D4985)=10,LEFT($D4985,1)="0",ISNUMBER(--$D4985)),"Có","Không"))</f>
        <v/>
      </c>
      <c r="T4985" s="22">
        <f>IF($D4985="","",IF(AND($C4985&lt;&gt;"",$Q4985="Có",$R4985="",$S4985="Có",AND($L4985&lt;&gt;"",OR($L4985&lt;&gt;"Chưa xác định",DANH_MUC!$L$9="Có"))),"Có","Không"))</f>
        <v/>
      </c>
      <c r="U4985" s="22">
        <f>IF(OR($D4985="",$T4985="Có"),"",IF($C4985="","Thiếu họ tên; ","")&amp;IF($S4985&lt;&gt;"Có","SĐT sai định dạng; ","")&amp;IF($R4985="Trùng","Trùng SĐT; ","")&amp;IF($Q4985&lt;&gt;"Có","Thiếu đồng ý bắt buộc; ","")&amp;IF($L4985="","Thiếu/sai Mã REF; ",IF(AND($L4985="Chưa xác định",DANH_MUC!$L$9&lt;&gt;"Có"),"Nguồn chưa xác định; ","")))</f>
        <v/>
      </c>
      <c r="V4985" s="22">
        <f>IF(OR($D4985="",$R4985="Trùng"),"",IF(COUNTIF(ORDERS!$C$2:$C$4995,$D4985)&gt;0,"Có","Không"))</f>
        <v/>
      </c>
      <c r="W4985" s="22">
        <f>IF(OR($D4985="",$R4985="Trùng"),"",COUNTIFS(ORDERS!$C$2:$C$4995,$D4985,ORDERS!$L$2:$L$4995,"Đã chuyển khoản"))</f>
        <v/>
      </c>
      <c r="X4985" s="23">
        <f>IF(OR($D4985="",$R4985="Trùng"),"",SUMIFS(ORDERS!$J$2:$J$4995,ORDERS!$C$2:$C$4995,$D4985,ORDERS!$L$2:$L$4995,"Đã chuyển khoản"))</f>
        <v/>
      </c>
      <c r="Y4985" s="24" t="n"/>
    </row>
    <row r="4986" ht="14.25" customHeight="1" s="40">
      <c r="A4986" s="24" t="n"/>
      <c r="B4986" s="27" t="n"/>
      <c r="C4986" s="24" t="n"/>
      <c r="D4986" s="28" t="n"/>
      <c r="E4986" s="29" t="n"/>
      <c r="F4986" s="24" t="n"/>
      <c r="G4986" s="24" t="n"/>
      <c r="H4986" s="21">
        <f>IF(ISNUMBER($B4986),INT($B4986)-WEEKDAY($B4986,2)+1,"")</f>
        <v/>
      </c>
      <c r="I4986" s="24" t="n"/>
      <c r="J4986" s="22">
        <f t="array" ref="J4986">IF($D4986="","",IF($I4986="","(trống REF)",IFERROR(INDEX(MASTER_SOURCE!$B$2:$B$495,MATCH($I4986,MASTER_SOURCE!$A$2:$A$495,0)),"(REF không có trong MASTER_SOURCE)")))</f>
        <v/>
      </c>
      <c r="K4986" s="22">
        <f t="array" ref="K4986">IF($D4986="","",IFERROR(INDEX(MASTER_SOURCE!$C$2:$C$495,MATCH($I4986,MASTER_SOURCE!$A$2:$A$495,0)),""))</f>
        <v/>
      </c>
      <c r="L4986" s="22">
        <f t="array" ref="L4986">IF($D4986="","",IFERROR(INDEX(MASTER_SOURCE!$D$2:$D$495,MATCH($I4986,MASTER_SOURCE!$A$2:$A$495,0)),""))</f>
        <v/>
      </c>
      <c r="M4986" s="24" t="n"/>
      <c r="N4986" s="24" t="n"/>
      <c r="O4986" s="24" t="n"/>
      <c r="P4986" s="24" t="n"/>
      <c r="Q4986" s="22">
        <f>IF($D4986="","",IF(AND(OR(DANH_MUC!$L$5&lt;&gt;"Có",M4986="Có"),OR(DANH_MUC!$L$6&lt;&gt;"Có",N4986="Có"),OR(DANH_MUC!$L$7&lt;&gt;"Có",O4986="Có"),OR(DANH_MUC!$L$8&lt;&gt;"Có",P4986="Có")),"Có","Không"))</f>
        <v/>
      </c>
      <c r="R4986" s="22">
        <f>IF($D4986="","",IF(COUNTIF($D$2:$D4986,$D4986)&gt;1,"Trùng",""))</f>
        <v/>
      </c>
      <c r="S4986" s="22">
        <f>IF($D4986="","",IF(AND(LEN($D4986)=10,LEFT($D4986,1)="0",ISNUMBER(--$D4986)),"Có","Không"))</f>
        <v/>
      </c>
      <c r="T4986" s="22">
        <f>IF($D4986="","",IF(AND($C4986&lt;&gt;"",$Q4986="Có",$R4986="",$S4986="Có",AND($L4986&lt;&gt;"",OR($L4986&lt;&gt;"Chưa xác định",DANH_MUC!$L$9="Có"))),"Có","Không"))</f>
        <v/>
      </c>
      <c r="U4986" s="22">
        <f>IF(OR($D4986="",$T4986="Có"),"",IF($C4986="","Thiếu họ tên; ","")&amp;IF($S4986&lt;&gt;"Có","SĐT sai định dạng; ","")&amp;IF($R4986="Trùng","Trùng SĐT; ","")&amp;IF($Q4986&lt;&gt;"Có","Thiếu đồng ý bắt buộc; ","")&amp;IF($L4986="","Thiếu/sai Mã REF; ",IF(AND($L4986="Chưa xác định",DANH_MUC!$L$9&lt;&gt;"Có"),"Nguồn chưa xác định; ","")))</f>
        <v/>
      </c>
      <c r="V4986" s="22">
        <f>IF(OR($D4986="",$R4986="Trùng"),"",IF(COUNTIF(ORDERS!$C$2:$C$4995,$D4986)&gt;0,"Có","Không"))</f>
        <v/>
      </c>
      <c r="W4986" s="22">
        <f>IF(OR($D4986="",$R4986="Trùng"),"",COUNTIFS(ORDERS!$C$2:$C$4995,$D4986,ORDERS!$L$2:$L$4995,"Đã chuyển khoản"))</f>
        <v/>
      </c>
      <c r="X4986" s="23">
        <f>IF(OR($D4986="",$R4986="Trùng"),"",SUMIFS(ORDERS!$J$2:$J$4995,ORDERS!$C$2:$C$4995,$D4986,ORDERS!$L$2:$L$4995,"Đã chuyển khoản"))</f>
        <v/>
      </c>
      <c r="Y4986" s="24" t="n"/>
    </row>
    <row r="4987" ht="14.25" customHeight="1" s="40">
      <c r="A4987" s="24" t="n"/>
      <c r="B4987" s="27" t="n"/>
      <c r="C4987" s="24" t="n"/>
      <c r="D4987" s="28" t="n"/>
      <c r="E4987" s="29" t="n"/>
      <c r="F4987" s="24" t="n"/>
      <c r="G4987" s="24" t="n"/>
      <c r="H4987" s="21">
        <f>IF(ISNUMBER($B4987),INT($B4987)-WEEKDAY($B4987,2)+1,"")</f>
        <v/>
      </c>
      <c r="I4987" s="24" t="n"/>
      <c r="J4987" s="22">
        <f t="array" ref="J4987">IF($D4987="","",IF($I4987="","(trống REF)",IFERROR(INDEX(MASTER_SOURCE!$B$2:$B$495,MATCH($I4987,MASTER_SOURCE!$A$2:$A$495,0)),"(REF không có trong MASTER_SOURCE)")))</f>
        <v/>
      </c>
      <c r="K4987" s="22">
        <f t="array" ref="K4987">IF($D4987="","",IFERROR(INDEX(MASTER_SOURCE!$C$2:$C$495,MATCH($I4987,MASTER_SOURCE!$A$2:$A$495,0)),""))</f>
        <v/>
      </c>
      <c r="L4987" s="22">
        <f t="array" ref="L4987">IF($D4987="","",IFERROR(INDEX(MASTER_SOURCE!$D$2:$D$495,MATCH($I4987,MASTER_SOURCE!$A$2:$A$495,0)),""))</f>
        <v/>
      </c>
      <c r="M4987" s="24" t="n"/>
      <c r="N4987" s="24" t="n"/>
      <c r="O4987" s="24" t="n"/>
      <c r="P4987" s="24" t="n"/>
      <c r="Q4987" s="22">
        <f>IF($D4987="","",IF(AND(OR(DANH_MUC!$L$5&lt;&gt;"Có",M4987="Có"),OR(DANH_MUC!$L$6&lt;&gt;"Có",N4987="Có"),OR(DANH_MUC!$L$7&lt;&gt;"Có",O4987="Có"),OR(DANH_MUC!$L$8&lt;&gt;"Có",P4987="Có")),"Có","Không"))</f>
        <v/>
      </c>
      <c r="R4987" s="22">
        <f>IF($D4987="","",IF(COUNTIF($D$2:$D4987,$D4987)&gt;1,"Trùng",""))</f>
        <v/>
      </c>
      <c r="S4987" s="22">
        <f>IF($D4987="","",IF(AND(LEN($D4987)=10,LEFT($D4987,1)="0",ISNUMBER(--$D4987)),"Có","Không"))</f>
        <v/>
      </c>
      <c r="T4987" s="22">
        <f>IF($D4987="","",IF(AND($C4987&lt;&gt;"",$Q4987="Có",$R4987="",$S4987="Có",AND($L4987&lt;&gt;"",OR($L4987&lt;&gt;"Chưa xác định",DANH_MUC!$L$9="Có"))),"Có","Không"))</f>
        <v/>
      </c>
      <c r="U4987" s="22">
        <f>IF(OR($D4987="",$T4987="Có"),"",IF($C4987="","Thiếu họ tên; ","")&amp;IF($S4987&lt;&gt;"Có","SĐT sai định dạng; ","")&amp;IF($R4987="Trùng","Trùng SĐT; ","")&amp;IF($Q4987&lt;&gt;"Có","Thiếu đồng ý bắt buộc; ","")&amp;IF($L4987="","Thiếu/sai Mã REF; ",IF(AND($L4987="Chưa xác định",DANH_MUC!$L$9&lt;&gt;"Có"),"Nguồn chưa xác định; ","")))</f>
        <v/>
      </c>
      <c r="V4987" s="22">
        <f>IF(OR($D4987="",$R4987="Trùng"),"",IF(COUNTIF(ORDERS!$C$2:$C$4995,$D4987)&gt;0,"Có","Không"))</f>
        <v/>
      </c>
      <c r="W4987" s="22">
        <f>IF(OR($D4987="",$R4987="Trùng"),"",COUNTIFS(ORDERS!$C$2:$C$4995,$D4987,ORDERS!$L$2:$L$4995,"Đã chuyển khoản"))</f>
        <v/>
      </c>
      <c r="X4987" s="23">
        <f>IF(OR($D4987="",$R4987="Trùng"),"",SUMIFS(ORDERS!$J$2:$J$4995,ORDERS!$C$2:$C$4995,$D4987,ORDERS!$L$2:$L$4995,"Đã chuyển khoản"))</f>
        <v/>
      </c>
      <c r="Y4987" s="24" t="n"/>
    </row>
    <row r="4988" ht="14.25" customHeight="1" s="40">
      <c r="A4988" s="24" t="n"/>
      <c r="B4988" s="27" t="n"/>
      <c r="C4988" s="24" t="n"/>
      <c r="D4988" s="28" t="n"/>
      <c r="E4988" s="29" t="n"/>
      <c r="F4988" s="24" t="n"/>
      <c r="G4988" s="24" t="n"/>
      <c r="H4988" s="21">
        <f>IF(ISNUMBER($B4988),INT($B4988)-WEEKDAY($B4988,2)+1,"")</f>
        <v/>
      </c>
      <c r="I4988" s="24" t="n"/>
      <c r="J4988" s="22">
        <f t="array" ref="J4988">IF($D4988="","",IF($I4988="","(trống REF)",IFERROR(INDEX(MASTER_SOURCE!$B$2:$B$495,MATCH($I4988,MASTER_SOURCE!$A$2:$A$495,0)),"(REF không có trong MASTER_SOURCE)")))</f>
        <v/>
      </c>
      <c r="K4988" s="22">
        <f t="array" ref="K4988">IF($D4988="","",IFERROR(INDEX(MASTER_SOURCE!$C$2:$C$495,MATCH($I4988,MASTER_SOURCE!$A$2:$A$495,0)),""))</f>
        <v/>
      </c>
      <c r="L4988" s="22">
        <f t="array" ref="L4988">IF($D4988="","",IFERROR(INDEX(MASTER_SOURCE!$D$2:$D$495,MATCH($I4988,MASTER_SOURCE!$A$2:$A$495,0)),""))</f>
        <v/>
      </c>
      <c r="M4988" s="24" t="n"/>
      <c r="N4988" s="24" t="n"/>
      <c r="O4988" s="24" t="n"/>
      <c r="P4988" s="24" t="n"/>
      <c r="Q4988" s="22">
        <f>IF($D4988="","",IF(AND(OR(DANH_MUC!$L$5&lt;&gt;"Có",M4988="Có"),OR(DANH_MUC!$L$6&lt;&gt;"Có",N4988="Có"),OR(DANH_MUC!$L$7&lt;&gt;"Có",O4988="Có"),OR(DANH_MUC!$L$8&lt;&gt;"Có",P4988="Có")),"Có","Không"))</f>
        <v/>
      </c>
      <c r="R4988" s="22">
        <f>IF($D4988="","",IF(COUNTIF($D$2:$D4988,$D4988)&gt;1,"Trùng",""))</f>
        <v/>
      </c>
      <c r="S4988" s="22">
        <f>IF($D4988="","",IF(AND(LEN($D4988)=10,LEFT($D4988,1)="0",ISNUMBER(--$D4988)),"Có","Không"))</f>
        <v/>
      </c>
      <c r="T4988" s="22">
        <f>IF($D4988="","",IF(AND($C4988&lt;&gt;"",$Q4988="Có",$R4988="",$S4988="Có",AND($L4988&lt;&gt;"",OR($L4988&lt;&gt;"Chưa xác định",DANH_MUC!$L$9="Có"))),"Có","Không"))</f>
        <v/>
      </c>
      <c r="U4988" s="22">
        <f>IF(OR($D4988="",$T4988="Có"),"",IF($C4988="","Thiếu họ tên; ","")&amp;IF($S4988&lt;&gt;"Có","SĐT sai định dạng; ","")&amp;IF($R4988="Trùng","Trùng SĐT; ","")&amp;IF($Q4988&lt;&gt;"Có","Thiếu đồng ý bắt buộc; ","")&amp;IF($L4988="","Thiếu/sai Mã REF; ",IF(AND($L4988="Chưa xác định",DANH_MUC!$L$9&lt;&gt;"Có"),"Nguồn chưa xác định; ","")))</f>
        <v/>
      </c>
      <c r="V4988" s="22">
        <f>IF(OR($D4988="",$R4988="Trùng"),"",IF(COUNTIF(ORDERS!$C$2:$C$4995,$D4988)&gt;0,"Có","Không"))</f>
        <v/>
      </c>
      <c r="W4988" s="22">
        <f>IF(OR($D4988="",$R4988="Trùng"),"",COUNTIFS(ORDERS!$C$2:$C$4995,$D4988,ORDERS!$L$2:$L$4995,"Đã chuyển khoản"))</f>
        <v/>
      </c>
      <c r="X4988" s="23">
        <f>IF(OR($D4988="",$R4988="Trùng"),"",SUMIFS(ORDERS!$J$2:$J$4995,ORDERS!$C$2:$C$4995,$D4988,ORDERS!$L$2:$L$4995,"Đã chuyển khoản"))</f>
        <v/>
      </c>
      <c r="Y4988" s="24" t="n"/>
    </row>
    <row r="4989" ht="14.25" customHeight="1" s="40">
      <c r="A4989" s="24" t="n"/>
      <c r="B4989" s="27" t="n"/>
      <c r="C4989" s="24" t="n"/>
      <c r="D4989" s="28" t="n"/>
      <c r="E4989" s="29" t="n"/>
      <c r="F4989" s="24" t="n"/>
      <c r="G4989" s="24" t="n"/>
      <c r="H4989" s="21">
        <f>IF(ISNUMBER($B4989),INT($B4989)-WEEKDAY($B4989,2)+1,"")</f>
        <v/>
      </c>
      <c r="I4989" s="24" t="n"/>
      <c r="J4989" s="22">
        <f t="array" ref="J4989">IF($D4989="","",IF($I4989="","(trống REF)",IFERROR(INDEX(MASTER_SOURCE!$B$2:$B$495,MATCH($I4989,MASTER_SOURCE!$A$2:$A$495,0)),"(REF không có trong MASTER_SOURCE)")))</f>
        <v/>
      </c>
      <c r="K4989" s="22">
        <f t="array" ref="K4989">IF($D4989="","",IFERROR(INDEX(MASTER_SOURCE!$C$2:$C$495,MATCH($I4989,MASTER_SOURCE!$A$2:$A$495,0)),""))</f>
        <v/>
      </c>
      <c r="L4989" s="22">
        <f t="array" ref="L4989">IF($D4989="","",IFERROR(INDEX(MASTER_SOURCE!$D$2:$D$495,MATCH($I4989,MASTER_SOURCE!$A$2:$A$495,0)),""))</f>
        <v/>
      </c>
      <c r="M4989" s="24" t="n"/>
      <c r="N4989" s="24" t="n"/>
      <c r="O4989" s="24" t="n"/>
      <c r="P4989" s="24" t="n"/>
      <c r="Q4989" s="22">
        <f>IF($D4989="","",IF(AND(OR(DANH_MUC!$L$5&lt;&gt;"Có",M4989="Có"),OR(DANH_MUC!$L$6&lt;&gt;"Có",N4989="Có"),OR(DANH_MUC!$L$7&lt;&gt;"Có",O4989="Có"),OR(DANH_MUC!$L$8&lt;&gt;"Có",P4989="Có")),"Có","Không"))</f>
        <v/>
      </c>
      <c r="R4989" s="22">
        <f>IF($D4989="","",IF(COUNTIF($D$2:$D4989,$D4989)&gt;1,"Trùng",""))</f>
        <v/>
      </c>
      <c r="S4989" s="22">
        <f>IF($D4989="","",IF(AND(LEN($D4989)=10,LEFT($D4989,1)="0",ISNUMBER(--$D4989)),"Có","Không"))</f>
        <v/>
      </c>
      <c r="T4989" s="22">
        <f>IF($D4989="","",IF(AND($C4989&lt;&gt;"",$Q4989="Có",$R4989="",$S4989="Có",AND($L4989&lt;&gt;"",OR($L4989&lt;&gt;"Chưa xác định",DANH_MUC!$L$9="Có"))),"Có","Không"))</f>
        <v/>
      </c>
      <c r="U4989" s="22">
        <f>IF(OR($D4989="",$T4989="Có"),"",IF($C4989="","Thiếu họ tên; ","")&amp;IF($S4989&lt;&gt;"Có","SĐT sai định dạng; ","")&amp;IF($R4989="Trùng","Trùng SĐT; ","")&amp;IF($Q4989&lt;&gt;"Có","Thiếu đồng ý bắt buộc; ","")&amp;IF($L4989="","Thiếu/sai Mã REF; ",IF(AND($L4989="Chưa xác định",DANH_MUC!$L$9&lt;&gt;"Có"),"Nguồn chưa xác định; ","")))</f>
        <v/>
      </c>
      <c r="V4989" s="22">
        <f>IF(OR($D4989="",$R4989="Trùng"),"",IF(COUNTIF(ORDERS!$C$2:$C$4995,$D4989)&gt;0,"Có","Không"))</f>
        <v/>
      </c>
      <c r="W4989" s="22">
        <f>IF(OR($D4989="",$R4989="Trùng"),"",COUNTIFS(ORDERS!$C$2:$C$4995,$D4989,ORDERS!$L$2:$L$4995,"Đã chuyển khoản"))</f>
        <v/>
      </c>
      <c r="X4989" s="23">
        <f>IF(OR($D4989="",$R4989="Trùng"),"",SUMIFS(ORDERS!$J$2:$J$4995,ORDERS!$C$2:$C$4995,$D4989,ORDERS!$L$2:$L$4995,"Đã chuyển khoản"))</f>
        <v/>
      </c>
      <c r="Y4989" s="24" t="n"/>
    </row>
    <row r="4990" ht="14.25" customHeight="1" s="40">
      <c r="A4990" s="24" t="n"/>
      <c r="B4990" s="27" t="n"/>
      <c r="C4990" s="24" t="n"/>
      <c r="D4990" s="28" t="n"/>
      <c r="E4990" s="29" t="n"/>
      <c r="F4990" s="24" t="n"/>
      <c r="G4990" s="24" t="n"/>
      <c r="H4990" s="21">
        <f>IF(ISNUMBER($B4990),INT($B4990)-WEEKDAY($B4990,2)+1,"")</f>
        <v/>
      </c>
      <c r="I4990" s="24" t="n"/>
      <c r="J4990" s="22">
        <f t="array" ref="J4990">IF($D4990="","",IF($I4990="","(trống REF)",IFERROR(INDEX(MASTER_SOURCE!$B$2:$B$495,MATCH($I4990,MASTER_SOURCE!$A$2:$A$495,0)),"(REF không có trong MASTER_SOURCE)")))</f>
        <v/>
      </c>
      <c r="K4990" s="22">
        <f t="array" ref="K4990">IF($D4990="","",IFERROR(INDEX(MASTER_SOURCE!$C$2:$C$495,MATCH($I4990,MASTER_SOURCE!$A$2:$A$495,0)),""))</f>
        <v/>
      </c>
      <c r="L4990" s="22">
        <f t="array" ref="L4990">IF($D4990="","",IFERROR(INDEX(MASTER_SOURCE!$D$2:$D$495,MATCH($I4990,MASTER_SOURCE!$A$2:$A$495,0)),""))</f>
        <v/>
      </c>
      <c r="M4990" s="24" t="n"/>
      <c r="N4990" s="24" t="n"/>
      <c r="O4990" s="24" t="n"/>
      <c r="P4990" s="24" t="n"/>
      <c r="Q4990" s="22">
        <f>IF($D4990="","",IF(AND(OR(DANH_MUC!$L$5&lt;&gt;"Có",M4990="Có"),OR(DANH_MUC!$L$6&lt;&gt;"Có",N4990="Có"),OR(DANH_MUC!$L$7&lt;&gt;"Có",O4990="Có"),OR(DANH_MUC!$L$8&lt;&gt;"Có",P4990="Có")),"Có","Không"))</f>
        <v/>
      </c>
      <c r="R4990" s="22">
        <f>IF($D4990="","",IF(COUNTIF($D$2:$D4990,$D4990)&gt;1,"Trùng",""))</f>
        <v/>
      </c>
      <c r="S4990" s="22">
        <f>IF($D4990="","",IF(AND(LEN($D4990)=10,LEFT($D4990,1)="0",ISNUMBER(--$D4990)),"Có","Không"))</f>
        <v/>
      </c>
      <c r="T4990" s="22">
        <f>IF($D4990="","",IF(AND($C4990&lt;&gt;"",$Q4990="Có",$R4990="",$S4990="Có",AND($L4990&lt;&gt;"",OR($L4990&lt;&gt;"Chưa xác định",DANH_MUC!$L$9="Có"))),"Có","Không"))</f>
        <v/>
      </c>
      <c r="U4990" s="22">
        <f>IF(OR($D4990="",$T4990="Có"),"",IF($C4990="","Thiếu họ tên; ","")&amp;IF($S4990&lt;&gt;"Có","SĐT sai định dạng; ","")&amp;IF($R4990="Trùng","Trùng SĐT; ","")&amp;IF($Q4990&lt;&gt;"Có","Thiếu đồng ý bắt buộc; ","")&amp;IF($L4990="","Thiếu/sai Mã REF; ",IF(AND($L4990="Chưa xác định",DANH_MUC!$L$9&lt;&gt;"Có"),"Nguồn chưa xác định; ","")))</f>
        <v/>
      </c>
      <c r="V4990" s="22">
        <f>IF(OR($D4990="",$R4990="Trùng"),"",IF(COUNTIF(ORDERS!$C$2:$C$4995,$D4990)&gt;0,"Có","Không"))</f>
        <v/>
      </c>
      <c r="W4990" s="22">
        <f>IF(OR($D4990="",$R4990="Trùng"),"",COUNTIFS(ORDERS!$C$2:$C$4995,$D4990,ORDERS!$L$2:$L$4995,"Đã chuyển khoản"))</f>
        <v/>
      </c>
      <c r="X4990" s="23">
        <f>IF(OR($D4990="",$R4990="Trùng"),"",SUMIFS(ORDERS!$J$2:$J$4995,ORDERS!$C$2:$C$4995,$D4990,ORDERS!$L$2:$L$4995,"Đã chuyển khoản"))</f>
        <v/>
      </c>
      <c r="Y4990" s="24" t="n"/>
    </row>
    <row r="4991" ht="14.25" customHeight="1" s="40">
      <c r="A4991" s="24" t="n"/>
      <c r="B4991" s="27" t="n"/>
      <c r="C4991" s="24" t="n"/>
      <c r="D4991" s="28" t="n"/>
      <c r="E4991" s="29" t="n"/>
      <c r="F4991" s="24" t="n"/>
      <c r="G4991" s="24" t="n"/>
      <c r="H4991" s="21">
        <f>IF(ISNUMBER($B4991),INT($B4991)-WEEKDAY($B4991,2)+1,"")</f>
        <v/>
      </c>
      <c r="I4991" s="24" t="n"/>
      <c r="J4991" s="22">
        <f t="array" ref="J4991">IF($D4991="","",IF($I4991="","(trống REF)",IFERROR(INDEX(MASTER_SOURCE!$B$2:$B$495,MATCH($I4991,MASTER_SOURCE!$A$2:$A$495,0)),"(REF không có trong MASTER_SOURCE)")))</f>
        <v/>
      </c>
      <c r="K4991" s="22">
        <f t="array" ref="K4991">IF($D4991="","",IFERROR(INDEX(MASTER_SOURCE!$C$2:$C$495,MATCH($I4991,MASTER_SOURCE!$A$2:$A$495,0)),""))</f>
        <v/>
      </c>
      <c r="L4991" s="22">
        <f t="array" ref="L4991">IF($D4991="","",IFERROR(INDEX(MASTER_SOURCE!$D$2:$D$495,MATCH($I4991,MASTER_SOURCE!$A$2:$A$495,0)),""))</f>
        <v/>
      </c>
      <c r="M4991" s="24" t="n"/>
      <c r="N4991" s="24" t="n"/>
      <c r="O4991" s="24" t="n"/>
      <c r="P4991" s="24" t="n"/>
      <c r="Q4991" s="22">
        <f>IF($D4991="","",IF(AND(OR(DANH_MUC!$L$5&lt;&gt;"Có",M4991="Có"),OR(DANH_MUC!$L$6&lt;&gt;"Có",N4991="Có"),OR(DANH_MUC!$L$7&lt;&gt;"Có",O4991="Có"),OR(DANH_MUC!$L$8&lt;&gt;"Có",P4991="Có")),"Có","Không"))</f>
        <v/>
      </c>
      <c r="R4991" s="22">
        <f>IF($D4991="","",IF(COUNTIF($D$2:$D4991,$D4991)&gt;1,"Trùng",""))</f>
        <v/>
      </c>
      <c r="S4991" s="22">
        <f>IF($D4991="","",IF(AND(LEN($D4991)=10,LEFT($D4991,1)="0",ISNUMBER(--$D4991)),"Có","Không"))</f>
        <v/>
      </c>
      <c r="T4991" s="22">
        <f>IF($D4991="","",IF(AND($C4991&lt;&gt;"",$Q4991="Có",$R4991="",$S4991="Có",AND($L4991&lt;&gt;"",OR($L4991&lt;&gt;"Chưa xác định",DANH_MUC!$L$9="Có"))),"Có","Không"))</f>
        <v/>
      </c>
      <c r="U4991" s="22">
        <f>IF(OR($D4991="",$T4991="Có"),"",IF($C4991="","Thiếu họ tên; ","")&amp;IF($S4991&lt;&gt;"Có","SĐT sai định dạng; ","")&amp;IF($R4991="Trùng","Trùng SĐT; ","")&amp;IF($Q4991&lt;&gt;"Có","Thiếu đồng ý bắt buộc; ","")&amp;IF($L4991="","Thiếu/sai Mã REF; ",IF(AND($L4991="Chưa xác định",DANH_MUC!$L$9&lt;&gt;"Có"),"Nguồn chưa xác định; ","")))</f>
        <v/>
      </c>
      <c r="V4991" s="22">
        <f>IF(OR($D4991="",$R4991="Trùng"),"",IF(COUNTIF(ORDERS!$C$2:$C$4995,$D4991)&gt;0,"Có","Không"))</f>
        <v/>
      </c>
      <c r="W4991" s="22">
        <f>IF(OR($D4991="",$R4991="Trùng"),"",COUNTIFS(ORDERS!$C$2:$C$4995,$D4991,ORDERS!$L$2:$L$4995,"Đã chuyển khoản"))</f>
        <v/>
      </c>
      <c r="X4991" s="23">
        <f>IF(OR($D4991="",$R4991="Trùng"),"",SUMIFS(ORDERS!$J$2:$J$4995,ORDERS!$C$2:$C$4995,$D4991,ORDERS!$L$2:$L$4995,"Đã chuyển khoản"))</f>
        <v/>
      </c>
      <c r="Y4991" s="24" t="n"/>
    </row>
    <row r="4992" ht="14.25" customHeight="1" s="40">
      <c r="A4992" s="24" t="n"/>
      <c r="B4992" s="27" t="n"/>
      <c r="C4992" s="24" t="n"/>
      <c r="D4992" s="28" t="n"/>
      <c r="E4992" s="29" t="n"/>
      <c r="F4992" s="24" t="n"/>
      <c r="G4992" s="24" t="n"/>
      <c r="H4992" s="21">
        <f>IF(ISNUMBER($B4992),INT($B4992)-WEEKDAY($B4992,2)+1,"")</f>
        <v/>
      </c>
      <c r="I4992" s="24" t="n"/>
      <c r="J4992" s="22">
        <f t="array" ref="J4992">IF($D4992="","",IF($I4992="","(trống REF)",IFERROR(INDEX(MASTER_SOURCE!$B$2:$B$495,MATCH($I4992,MASTER_SOURCE!$A$2:$A$495,0)),"(REF không có trong MASTER_SOURCE)")))</f>
        <v/>
      </c>
      <c r="K4992" s="22">
        <f t="array" ref="K4992">IF($D4992="","",IFERROR(INDEX(MASTER_SOURCE!$C$2:$C$495,MATCH($I4992,MASTER_SOURCE!$A$2:$A$495,0)),""))</f>
        <v/>
      </c>
      <c r="L4992" s="22">
        <f t="array" ref="L4992">IF($D4992="","",IFERROR(INDEX(MASTER_SOURCE!$D$2:$D$495,MATCH($I4992,MASTER_SOURCE!$A$2:$A$495,0)),""))</f>
        <v/>
      </c>
      <c r="M4992" s="24" t="n"/>
      <c r="N4992" s="24" t="n"/>
      <c r="O4992" s="24" t="n"/>
      <c r="P4992" s="24" t="n"/>
      <c r="Q4992" s="22">
        <f>IF($D4992="","",IF(AND(OR(DANH_MUC!$L$5&lt;&gt;"Có",M4992="Có"),OR(DANH_MUC!$L$6&lt;&gt;"Có",N4992="Có"),OR(DANH_MUC!$L$7&lt;&gt;"Có",O4992="Có"),OR(DANH_MUC!$L$8&lt;&gt;"Có",P4992="Có")),"Có","Không"))</f>
        <v/>
      </c>
      <c r="R4992" s="22">
        <f>IF($D4992="","",IF(COUNTIF($D$2:$D4992,$D4992)&gt;1,"Trùng",""))</f>
        <v/>
      </c>
      <c r="S4992" s="22">
        <f>IF($D4992="","",IF(AND(LEN($D4992)=10,LEFT($D4992,1)="0",ISNUMBER(--$D4992)),"Có","Không"))</f>
        <v/>
      </c>
      <c r="T4992" s="22">
        <f>IF($D4992="","",IF(AND($C4992&lt;&gt;"",$Q4992="Có",$R4992="",$S4992="Có",AND($L4992&lt;&gt;"",OR($L4992&lt;&gt;"Chưa xác định",DANH_MUC!$L$9="Có"))),"Có","Không"))</f>
        <v/>
      </c>
      <c r="U4992" s="22">
        <f>IF(OR($D4992="",$T4992="Có"),"",IF($C4992="","Thiếu họ tên; ","")&amp;IF($S4992&lt;&gt;"Có","SĐT sai định dạng; ","")&amp;IF($R4992="Trùng","Trùng SĐT; ","")&amp;IF($Q4992&lt;&gt;"Có","Thiếu đồng ý bắt buộc; ","")&amp;IF($L4992="","Thiếu/sai Mã REF; ",IF(AND($L4992="Chưa xác định",DANH_MUC!$L$9&lt;&gt;"Có"),"Nguồn chưa xác định; ","")))</f>
        <v/>
      </c>
      <c r="V4992" s="22">
        <f>IF(OR($D4992="",$R4992="Trùng"),"",IF(COUNTIF(ORDERS!$C$2:$C$4995,$D4992)&gt;0,"Có","Không"))</f>
        <v/>
      </c>
      <c r="W4992" s="22">
        <f>IF(OR($D4992="",$R4992="Trùng"),"",COUNTIFS(ORDERS!$C$2:$C$4995,$D4992,ORDERS!$L$2:$L$4995,"Đã chuyển khoản"))</f>
        <v/>
      </c>
      <c r="X4992" s="23">
        <f>IF(OR($D4992="",$R4992="Trùng"),"",SUMIFS(ORDERS!$J$2:$J$4995,ORDERS!$C$2:$C$4995,$D4992,ORDERS!$L$2:$L$4995,"Đã chuyển khoản"))</f>
        <v/>
      </c>
      <c r="Y4992" s="24" t="n"/>
    </row>
    <row r="4993" ht="14.25" customHeight="1" s="40">
      <c r="A4993" s="24" t="n"/>
      <c r="B4993" s="27" t="n"/>
      <c r="C4993" s="24" t="n"/>
      <c r="D4993" s="28" t="n"/>
      <c r="E4993" s="29" t="n"/>
      <c r="F4993" s="24" t="n"/>
      <c r="G4993" s="24" t="n"/>
      <c r="H4993" s="21">
        <f>IF(ISNUMBER($B4993),INT($B4993)-WEEKDAY($B4993,2)+1,"")</f>
        <v/>
      </c>
      <c r="I4993" s="24" t="n"/>
      <c r="J4993" s="22">
        <f t="array" ref="J4993">IF($D4993="","",IF($I4993="","(trống REF)",IFERROR(INDEX(MASTER_SOURCE!$B$2:$B$495,MATCH($I4993,MASTER_SOURCE!$A$2:$A$495,0)),"(REF không có trong MASTER_SOURCE)")))</f>
        <v/>
      </c>
      <c r="K4993" s="22">
        <f t="array" ref="K4993">IF($D4993="","",IFERROR(INDEX(MASTER_SOURCE!$C$2:$C$495,MATCH($I4993,MASTER_SOURCE!$A$2:$A$495,0)),""))</f>
        <v/>
      </c>
      <c r="L4993" s="22">
        <f t="array" ref="L4993">IF($D4993="","",IFERROR(INDEX(MASTER_SOURCE!$D$2:$D$495,MATCH($I4993,MASTER_SOURCE!$A$2:$A$495,0)),""))</f>
        <v/>
      </c>
      <c r="M4993" s="24" t="n"/>
      <c r="N4993" s="24" t="n"/>
      <c r="O4993" s="24" t="n"/>
      <c r="P4993" s="24" t="n"/>
      <c r="Q4993" s="22">
        <f>IF($D4993="","",IF(AND(OR(DANH_MUC!$L$5&lt;&gt;"Có",M4993="Có"),OR(DANH_MUC!$L$6&lt;&gt;"Có",N4993="Có"),OR(DANH_MUC!$L$7&lt;&gt;"Có",O4993="Có"),OR(DANH_MUC!$L$8&lt;&gt;"Có",P4993="Có")),"Có","Không"))</f>
        <v/>
      </c>
      <c r="R4993" s="22">
        <f>IF($D4993="","",IF(COUNTIF($D$2:$D4993,$D4993)&gt;1,"Trùng",""))</f>
        <v/>
      </c>
      <c r="S4993" s="22">
        <f>IF($D4993="","",IF(AND(LEN($D4993)=10,LEFT($D4993,1)="0",ISNUMBER(--$D4993)),"Có","Không"))</f>
        <v/>
      </c>
      <c r="T4993" s="22">
        <f>IF($D4993="","",IF(AND($C4993&lt;&gt;"",$Q4993="Có",$R4993="",$S4993="Có",AND($L4993&lt;&gt;"",OR($L4993&lt;&gt;"Chưa xác định",DANH_MUC!$L$9="Có"))),"Có","Không"))</f>
        <v/>
      </c>
      <c r="U4993" s="22">
        <f>IF(OR($D4993="",$T4993="Có"),"",IF($C4993="","Thiếu họ tên; ","")&amp;IF($S4993&lt;&gt;"Có","SĐT sai định dạng; ","")&amp;IF($R4993="Trùng","Trùng SĐT; ","")&amp;IF($Q4993&lt;&gt;"Có","Thiếu đồng ý bắt buộc; ","")&amp;IF($L4993="","Thiếu/sai Mã REF; ",IF(AND($L4993="Chưa xác định",DANH_MUC!$L$9&lt;&gt;"Có"),"Nguồn chưa xác định; ","")))</f>
        <v/>
      </c>
      <c r="V4993" s="22">
        <f>IF(OR($D4993="",$R4993="Trùng"),"",IF(COUNTIF(ORDERS!$C$2:$C$4995,$D4993)&gt;0,"Có","Không"))</f>
        <v/>
      </c>
      <c r="W4993" s="22">
        <f>IF(OR($D4993="",$R4993="Trùng"),"",COUNTIFS(ORDERS!$C$2:$C$4995,$D4993,ORDERS!$L$2:$L$4995,"Đã chuyển khoản"))</f>
        <v/>
      </c>
      <c r="X4993" s="23">
        <f>IF(OR($D4993="",$R4993="Trùng"),"",SUMIFS(ORDERS!$J$2:$J$4995,ORDERS!$C$2:$C$4995,$D4993,ORDERS!$L$2:$L$4995,"Đã chuyển khoản"))</f>
        <v/>
      </c>
      <c r="Y4993" s="24" t="n"/>
    </row>
    <row r="4994" ht="14.25" customHeight="1" s="40">
      <c r="A4994" s="24" t="n"/>
      <c r="B4994" s="27" t="n"/>
      <c r="C4994" s="24" t="n"/>
      <c r="D4994" s="28" t="n"/>
      <c r="E4994" s="29" t="n"/>
      <c r="F4994" s="24" t="n"/>
      <c r="G4994" s="24" t="n"/>
      <c r="H4994" s="21">
        <f>IF(ISNUMBER($B4994),INT($B4994)-WEEKDAY($B4994,2)+1,"")</f>
        <v/>
      </c>
      <c r="I4994" s="24" t="n"/>
      <c r="J4994" s="22">
        <f t="array" ref="J4994">IF($D4994="","",IF($I4994="","(trống REF)",IFERROR(INDEX(MASTER_SOURCE!$B$2:$B$495,MATCH($I4994,MASTER_SOURCE!$A$2:$A$495,0)),"(REF không có trong MASTER_SOURCE)")))</f>
        <v/>
      </c>
      <c r="K4994" s="22">
        <f t="array" ref="K4994">IF($D4994="","",IFERROR(INDEX(MASTER_SOURCE!$C$2:$C$495,MATCH($I4994,MASTER_SOURCE!$A$2:$A$495,0)),""))</f>
        <v/>
      </c>
      <c r="L4994" s="22">
        <f t="array" ref="L4994">IF($D4994="","",IFERROR(INDEX(MASTER_SOURCE!$D$2:$D$495,MATCH($I4994,MASTER_SOURCE!$A$2:$A$495,0)),""))</f>
        <v/>
      </c>
      <c r="M4994" s="24" t="n"/>
      <c r="N4994" s="24" t="n"/>
      <c r="O4994" s="24" t="n"/>
      <c r="P4994" s="24" t="n"/>
      <c r="Q4994" s="22">
        <f>IF($D4994="","",IF(AND(OR(DANH_MUC!$L$5&lt;&gt;"Có",M4994="Có"),OR(DANH_MUC!$L$6&lt;&gt;"Có",N4994="Có"),OR(DANH_MUC!$L$7&lt;&gt;"Có",O4994="Có"),OR(DANH_MUC!$L$8&lt;&gt;"Có",P4994="Có")),"Có","Không"))</f>
        <v/>
      </c>
      <c r="R4994" s="22">
        <f>IF($D4994="","",IF(COUNTIF($D$2:$D4994,$D4994)&gt;1,"Trùng",""))</f>
        <v/>
      </c>
      <c r="S4994" s="22">
        <f>IF($D4994="","",IF(AND(LEN($D4994)=10,LEFT($D4994,1)="0",ISNUMBER(--$D4994)),"Có","Không"))</f>
        <v/>
      </c>
      <c r="T4994" s="22">
        <f>IF($D4994="","",IF(AND($C4994&lt;&gt;"",$Q4994="Có",$R4994="",$S4994="Có",AND($L4994&lt;&gt;"",OR($L4994&lt;&gt;"Chưa xác định",DANH_MUC!$L$9="Có"))),"Có","Không"))</f>
        <v/>
      </c>
      <c r="U4994" s="22">
        <f>IF(OR($D4994="",$T4994="Có"),"",IF($C4994="","Thiếu họ tên; ","")&amp;IF($S4994&lt;&gt;"Có","SĐT sai định dạng; ","")&amp;IF($R4994="Trùng","Trùng SĐT; ","")&amp;IF($Q4994&lt;&gt;"Có","Thiếu đồng ý bắt buộc; ","")&amp;IF($L4994="","Thiếu/sai Mã REF; ",IF(AND($L4994="Chưa xác định",DANH_MUC!$L$9&lt;&gt;"Có"),"Nguồn chưa xác định; ","")))</f>
        <v/>
      </c>
      <c r="V4994" s="22">
        <f>IF(OR($D4994="",$R4994="Trùng"),"",IF(COUNTIF(ORDERS!$C$2:$C$4995,$D4994)&gt;0,"Có","Không"))</f>
        <v/>
      </c>
      <c r="W4994" s="22">
        <f>IF(OR($D4994="",$R4994="Trùng"),"",COUNTIFS(ORDERS!$C$2:$C$4995,$D4994,ORDERS!$L$2:$L$4995,"Đã chuyển khoản"))</f>
        <v/>
      </c>
      <c r="X4994" s="23">
        <f>IF(OR($D4994="",$R4994="Trùng"),"",SUMIFS(ORDERS!$J$2:$J$4995,ORDERS!$C$2:$C$4995,$D4994,ORDERS!$L$2:$L$4995,"Đã chuyển khoản"))</f>
        <v/>
      </c>
      <c r="Y4994" s="24" t="n"/>
    </row>
    <row r="4995" ht="14.25" customHeight="1" s="40">
      <c r="A4995" s="24" t="n"/>
      <c r="B4995" s="27" t="n"/>
      <c r="C4995" s="24" t="n"/>
      <c r="D4995" s="28" t="n"/>
      <c r="E4995" s="29" t="n"/>
      <c r="F4995" s="24" t="n"/>
      <c r="G4995" s="24" t="n"/>
      <c r="H4995" s="21">
        <f>IF(ISNUMBER($B4995),INT($B4995)-WEEKDAY($B4995,2)+1,"")</f>
        <v/>
      </c>
      <c r="I4995" s="24" t="n"/>
      <c r="J4995" s="22">
        <f t="array" ref="J4995">IF($D4995="","",IF($I4995="","(trống REF)",IFERROR(INDEX(MASTER_SOURCE!$B$2:$B$495,MATCH($I4995,MASTER_SOURCE!$A$2:$A$495,0)),"(REF không có trong MASTER_SOURCE)")))</f>
        <v/>
      </c>
      <c r="K4995" s="22">
        <f t="array" ref="K4995">IF($D4995="","",IFERROR(INDEX(MASTER_SOURCE!$C$2:$C$495,MATCH($I4995,MASTER_SOURCE!$A$2:$A$495,0)),""))</f>
        <v/>
      </c>
      <c r="L4995" s="22">
        <f t="array" ref="L4995">IF($D4995="","",IFERROR(INDEX(MASTER_SOURCE!$D$2:$D$495,MATCH($I4995,MASTER_SOURCE!$A$2:$A$495,0)),""))</f>
        <v/>
      </c>
      <c r="M4995" s="24" t="n"/>
      <c r="N4995" s="24" t="n"/>
      <c r="O4995" s="24" t="n"/>
      <c r="P4995" s="24" t="n"/>
      <c r="Q4995" s="22">
        <f>IF($D4995="","",IF(AND(OR(DANH_MUC!$L$5&lt;&gt;"Có",M4995="Có"),OR(DANH_MUC!$L$6&lt;&gt;"Có",N4995="Có"),OR(DANH_MUC!$L$7&lt;&gt;"Có",O4995="Có"),OR(DANH_MUC!$L$8&lt;&gt;"Có",P4995="Có")),"Có","Không"))</f>
        <v/>
      </c>
      <c r="R4995" s="22">
        <f>IF($D4995="","",IF(COUNTIF($D$2:$D4995,$D4995)&gt;1,"Trùng",""))</f>
        <v/>
      </c>
      <c r="S4995" s="22">
        <f>IF($D4995="","",IF(AND(LEN($D4995)=10,LEFT($D4995,1)="0",ISNUMBER(--$D4995)),"Có","Không"))</f>
        <v/>
      </c>
      <c r="T4995" s="22">
        <f>IF($D4995="","",IF(AND($C4995&lt;&gt;"",$Q4995="Có",$R4995="",$S4995="Có",AND($L4995&lt;&gt;"",OR($L4995&lt;&gt;"Chưa xác định",DANH_MUC!$L$9="Có"))),"Có","Không"))</f>
        <v/>
      </c>
      <c r="U4995" s="22">
        <f>IF(OR($D4995="",$T4995="Có"),"",IF($C4995="","Thiếu họ tên; ","")&amp;IF($S4995&lt;&gt;"Có","SĐT sai định dạng; ","")&amp;IF($R4995="Trùng","Trùng SĐT; ","")&amp;IF($Q4995&lt;&gt;"Có","Thiếu đồng ý bắt buộc; ","")&amp;IF($L4995="","Thiếu/sai Mã REF; ",IF(AND($L4995="Chưa xác định",DANH_MUC!$L$9&lt;&gt;"Có"),"Nguồn chưa xác định; ","")))</f>
        <v/>
      </c>
      <c r="V4995" s="22">
        <f>IF(OR($D4995="",$R4995="Trùng"),"",IF(COUNTIF(ORDERS!$C$2:$C$4995,$D4995)&gt;0,"Có","Không"))</f>
        <v/>
      </c>
      <c r="W4995" s="22">
        <f>IF(OR($D4995="",$R4995="Trùng"),"",COUNTIFS(ORDERS!$C$2:$C$4995,$D4995,ORDERS!$L$2:$L$4995,"Đã chuyển khoản"))</f>
        <v/>
      </c>
      <c r="X4995" s="23">
        <f>IF(OR($D4995="",$R4995="Trùng"),"",SUMIFS(ORDERS!$J$2:$J$4995,ORDERS!$C$2:$C$4995,$D4995,ORDERS!$L$2:$L$4995,"Đã chuyển khoản"))</f>
        <v/>
      </c>
      <c r="Y4995" s="24" t="n"/>
    </row>
    <row r="4996" ht="14.25" customHeight="1" s="40">
      <c r="A4996" s="24" t="n"/>
      <c r="B4996" s="27" t="n"/>
      <c r="C4996" s="24" t="n"/>
      <c r="D4996" s="28" t="n"/>
      <c r="E4996" s="29" t="n"/>
      <c r="F4996" s="24" t="n"/>
      <c r="G4996" s="24" t="n"/>
      <c r="H4996" s="21">
        <f>IF(ISNUMBER($B4996),INT($B4996)-WEEKDAY($B4996,2)+1,"")</f>
        <v/>
      </c>
      <c r="I4996" s="24" t="n"/>
      <c r="J4996" s="22">
        <f t="array" ref="J4996">IF($D4996="","",IF($I4996="","(trống REF)",IFERROR(INDEX(MASTER_SOURCE!$B$2:$B$495,MATCH($I4996,MASTER_SOURCE!$A$2:$A$495,0)),"(REF không có trong MASTER_SOURCE)")))</f>
        <v/>
      </c>
      <c r="K4996" s="22">
        <f t="array" ref="K4996">IF($D4996="","",IFERROR(INDEX(MASTER_SOURCE!$C$2:$C$495,MATCH($I4996,MASTER_SOURCE!$A$2:$A$495,0)),""))</f>
        <v/>
      </c>
      <c r="L4996" s="22">
        <f t="array" ref="L4996">IF($D4996="","",IFERROR(INDEX(MASTER_SOURCE!$D$2:$D$495,MATCH($I4996,MASTER_SOURCE!$A$2:$A$495,0)),""))</f>
        <v/>
      </c>
      <c r="M4996" s="24" t="n"/>
      <c r="N4996" s="24" t="n"/>
      <c r="O4996" s="24" t="n"/>
      <c r="P4996" s="24" t="n"/>
      <c r="Q4996" s="22">
        <f>IF($D4996="","",IF(AND(OR(DANH_MUC!$L$5&lt;&gt;"Có",M4996="Có"),OR(DANH_MUC!$L$6&lt;&gt;"Có",N4996="Có"),OR(DANH_MUC!$L$7&lt;&gt;"Có",O4996="Có"),OR(DANH_MUC!$L$8&lt;&gt;"Có",P4996="Có")),"Có","Không"))</f>
        <v/>
      </c>
      <c r="R4996" s="22">
        <f>IF($D4996="","",IF(COUNTIF($D$2:$D4996,$D4996)&gt;1,"Trùng",""))</f>
        <v/>
      </c>
      <c r="S4996" s="22">
        <f>IF($D4996="","",IF(AND(LEN($D4996)=10,LEFT($D4996,1)="0",ISNUMBER(--$D4996)),"Có","Không"))</f>
        <v/>
      </c>
      <c r="T4996" s="22">
        <f>IF($D4996="","",IF(AND($C4996&lt;&gt;"",$Q4996="Có",$R4996="",$S4996="Có",AND($L4996&lt;&gt;"",OR($L4996&lt;&gt;"Chưa xác định",DANH_MUC!$L$9="Có"))),"Có","Không"))</f>
        <v/>
      </c>
      <c r="U4996" s="22">
        <f>IF(OR($D4996="",$T4996="Có"),"",IF($C4996="","Thiếu họ tên; ","")&amp;IF($S4996&lt;&gt;"Có","SĐT sai định dạng; ","")&amp;IF($R4996="Trùng","Trùng SĐT; ","")&amp;IF($Q4996&lt;&gt;"Có","Thiếu đồng ý bắt buộc; ","")&amp;IF($L4996="","Thiếu/sai Mã REF; ",IF(AND($L4996="Chưa xác định",DANH_MUC!$L$9&lt;&gt;"Có"),"Nguồn chưa xác định; ","")))</f>
        <v/>
      </c>
      <c r="V4996" s="22">
        <f>IF(OR($D4996="",$R4996="Trùng"),"",IF(COUNTIF(ORDERS!$C$2:$C$4995,$D4996)&gt;0,"Có","Không"))</f>
        <v/>
      </c>
      <c r="W4996" s="22">
        <f>IF(OR($D4996="",$R4996="Trùng"),"",COUNTIFS(ORDERS!$C$2:$C$4995,$D4996,ORDERS!$L$2:$L$4995,"Đã chuyển khoản"))</f>
        <v/>
      </c>
      <c r="X4996" s="23">
        <f>IF(OR($D4996="",$R4996="Trùng"),"",SUMIFS(ORDERS!$J$2:$J$4995,ORDERS!$C$2:$C$4995,$D4996,ORDERS!$L$2:$L$4995,"Đã chuyển khoản"))</f>
        <v/>
      </c>
      <c r="Y4996" s="24" t="n"/>
    </row>
    <row r="4997" ht="14.25" customHeight="1" s="40">
      <c r="A4997" s="24" t="n"/>
      <c r="B4997" s="27" t="n"/>
      <c r="C4997" s="24" t="n"/>
      <c r="D4997" s="28" t="n"/>
      <c r="E4997" s="29" t="n"/>
      <c r="F4997" s="24" t="n"/>
      <c r="G4997" s="24" t="n"/>
      <c r="H4997" s="21">
        <f>IF(ISNUMBER($B4997),INT($B4997)-WEEKDAY($B4997,2)+1,"")</f>
        <v/>
      </c>
      <c r="I4997" s="24" t="n"/>
      <c r="J4997" s="22">
        <f t="array" ref="J4997">IF($D4997="","",IF($I4997="","(trống REF)",IFERROR(INDEX(MASTER_SOURCE!$B$2:$B$495,MATCH($I4997,MASTER_SOURCE!$A$2:$A$495,0)),"(REF không có trong MASTER_SOURCE)")))</f>
        <v/>
      </c>
      <c r="K4997" s="22">
        <f t="array" ref="K4997">IF($D4997="","",IFERROR(INDEX(MASTER_SOURCE!$C$2:$C$495,MATCH($I4997,MASTER_SOURCE!$A$2:$A$495,0)),""))</f>
        <v/>
      </c>
      <c r="L4997" s="22">
        <f t="array" ref="L4997">IF($D4997="","",IFERROR(INDEX(MASTER_SOURCE!$D$2:$D$495,MATCH($I4997,MASTER_SOURCE!$A$2:$A$495,0)),""))</f>
        <v/>
      </c>
      <c r="M4997" s="24" t="n"/>
      <c r="N4997" s="24" t="n"/>
      <c r="O4997" s="24" t="n"/>
      <c r="P4997" s="24" t="n"/>
      <c r="Q4997" s="22">
        <f>IF($D4997="","",IF(AND(OR(DANH_MUC!$L$5&lt;&gt;"Có",M4997="Có"),OR(DANH_MUC!$L$6&lt;&gt;"Có",N4997="Có"),OR(DANH_MUC!$L$7&lt;&gt;"Có",O4997="Có"),OR(DANH_MUC!$L$8&lt;&gt;"Có",P4997="Có")),"Có","Không"))</f>
        <v/>
      </c>
      <c r="R4997" s="22">
        <f>IF($D4997="","",IF(COUNTIF($D$2:$D4997,$D4997)&gt;1,"Trùng",""))</f>
        <v/>
      </c>
      <c r="S4997" s="22">
        <f>IF($D4997="","",IF(AND(LEN($D4997)=10,LEFT($D4997,1)="0",ISNUMBER(--$D4997)),"Có","Không"))</f>
        <v/>
      </c>
      <c r="T4997" s="22">
        <f>IF($D4997="","",IF(AND($C4997&lt;&gt;"",$Q4997="Có",$R4997="",$S4997="Có",AND($L4997&lt;&gt;"",OR($L4997&lt;&gt;"Chưa xác định",DANH_MUC!$L$9="Có"))),"Có","Không"))</f>
        <v/>
      </c>
      <c r="U4997" s="22">
        <f>IF(OR($D4997="",$T4997="Có"),"",IF($C4997="","Thiếu họ tên; ","")&amp;IF($S4997&lt;&gt;"Có","SĐT sai định dạng; ","")&amp;IF($R4997="Trùng","Trùng SĐT; ","")&amp;IF($Q4997&lt;&gt;"Có","Thiếu đồng ý bắt buộc; ","")&amp;IF($L4997="","Thiếu/sai Mã REF; ",IF(AND($L4997="Chưa xác định",DANH_MUC!$L$9&lt;&gt;"Có"),"Nguồn chưa xác định; ","")))</f>
        <v/>
      </c>
      <c r="V4997" s="22">
        <f>IF(OR($D4997="",$R4997="Trùng"),"",IF(COUNTIF(ORDERS!$C$2:$C$4995,$D4997)&gt;0,"Có","Không"))</f>
        <v/>
      </c>
      <c r="W4997" s="22">
        <f>IF(OR($D4997="",$R4997="Trùng"),"",COUNTIFS(ORDERS!$C$2:$C$4995,$D4997,ORDERS!$L$2:$L$4995,"Đã chuyển khoản"))</f>
        <v/>
      </c>
      <c r="X4997" s="23">
        <f>IF(OR($D4997="",$R4997="Trùng"),"",SUMIFS(ORDERS!$J$2:$J$4995,ORDERS!$C$2:$C$4995,$D4997,ORDERS!$L$2:$L$4995,"Đã chuyển khoản"))</f>
        <v/>
      </c>
      <c r="Y4997" s="24" t="n"/>
    </row>
    <row r="4998" ht="14.25" customHeight="1" s="40">
      <c r="A4998" s="24" t="n"/>
      <c r="B4998" s="27" t="n"/>
      <c r="C4998" s="24" t="n"/>
      <c r="D4998" s="28" t="n"/>
      <c r="E4998" s="29" t="n"/>
      <c r="F4998" s="24" t="n"/>
      <c r="G4998" s="24" t="n"/>
      <c r="H4998" s="21">
        <f>IF(ISNUMBER($B4998),INT($B4998)-WEEKDAY($B4998,2)+1,"")</f>
        <v/>
      </c>
      <c r="I4998" s="24" t="n"/>
      <c r="J4998" s="22">
        <f t="array" ref="J4998">IF($D4998="","",IF($I4998="","(trống REF)",IFERROR(INDEX(MASTER_SOURCE!$B$2:$B$495,MATCH($I4998,MASTER_SOURCE!$A$2:$A$495,0)),"(REF không có trong MASTER_SOURCE)")))</f>
        <v/>
      </c>
      <c r="K4998" s="22">
        <f t="array" ref="K4998">IF($D4998="","",IFERROR(INDEX(MASTER_SOURCE!$C$2:$C$495,MATCH($I4998,MASTER_SOURCE!$A$2:$A$495,0)),""))</f>
        <v/>
      </c>
      <c r="L4998" s="22">
        <f t="array" ref="L4998">IF($D4998="","",IFERROR(INDEX(MASTER_SOURCE!$D$2:$D$495,MATCH($I4998,MASTER_SOURCE!$A$2:$A$495,0)),""))</f>
        <v/>
      </c>
      <c r="M4998" s="24" t="n"/>
      <c r="N4998" s="24" t="n"/>
      <c r="O4998" s="24" t="n"/>
      <c r="P4998" s="24" t="n"/>
      <c r="Q4998" s="22">
        <f>IF($D4998="","",IF(AND(OR(DANH_MUC!$L$5&lt;&gt;"Có",M4998="Có"),OR(DANH_MUC!$L$6&lt;&gt;"Có",N4998="Có"),OR(DANH_MUC!$L$7&lt;&gt;"Có",O4998="Có"),OR(DANH_MUC!$L$8&lt;&gt;"Có",P4998="Có")),"Có","Không"))</f>
        <v/>
      </c>
      <c r="R4998" s="22">
        <f>IF($D4998="","",IF(COUNTIF($D$2:$D4998,$D4998)&gt;1,"Trùng",""))</f>
        <v/>
      </c>
      <c r="S4998" s="22">
        <f>IF($D4998="","",IF(AND(LEN($D4998)=10,LEFT($D4998,1)="0",ISNUMBER(--$D4998)),"Có","Không"))</f>
        <v/>
      </c>
      <c r="T4998" s="22">
        <f>IF($D4998="","",IF(AND($C4998&lt;&gt;"",$Q4998="Có",$R4998="",$S4998="Có",AND($L4998&lt;&gt;"",OR($L4998&lt;&gt;"Chưa xác định",DANH_MUC!$L$9="Có"))),"Có","Không"))</f>
        <v/>
      </c>
      <c r="U4998" s="22">
        <f>IF(OR($D4998="",$T4998="Có"),"",IF($C4998="","Thiếu họ tên; ","")&amp;IF($S4998&lt;&gt;"Có","SĐT sai định dạng; ","")&amp;IF($R4998="Trùng","Trùng SĐT; ","")&amp;IF($Q4998&lt;&gt;"Có","Thiếu đồng ý bắt buộc; ","")&amp;IF($L4998="","Thiếu/sai Mã REF; ",IF(AND($L4998="Chưa xác định",DANH_MUC!$L$9&lt;&gt;"Có"),"Nguồn chưa xác định; ","")))</f>
        <v/>
      </c>
      <c r="V4998" s="22">
        <f>IF(OR($D4998="",$R4998="Trùng"),"",IF(COUNTIF(ORDERS!$C$2:$C$4995,$D4998)&gt;0,"Có","Không"))</f>
        <v/>
      </c>
      <c r="W4998" s="22">
        <f>IF(OR($D4998="",$R4998="Trùng"),"",COUNTIFS(ORDERS!$C$2:$C$4995,$D4998,ORDERS!$L$2:$L$4995,"Đã chuyển khoản"))</f>
        <v/>
      </c>
      <c r="X4998" s="23">
        <f>IF(OR($D4998="",$R4998="Trùng"),"",SUMIFS(ORDERS!$J$2:$J$4995,ORDERS!$C$2:$C$4995,$D4998,ORDERS!$L$2:$L$4995,"Đã chuyển khoản"))</f>
        <v/>
      </c>
      <c r="Y4998" s="24" t="n"/>
    </row>
    <row r="4999" ht="14.25" customHeight="1" s="40">
      <c r="A4999" s="24" t="n"/>
      <c r="B4999" s="27" t="n"/>
      <c r="C4999" s="24" t="n"/>
      <c r="D4999" s="28" t="n"/>
      <c r="E4999" s="29" t="n"/>
      <c r="F4999" s="24" t="n"/>
      <c r="G4999" s="24" t="n"/>
      <c r="H4999" s="21">
        <f>IF(ISNUMBER($B4999),INT($B4999)-WEEKDAY($B4999,2)+1,"")</f>
        <v/>
      </c>
      <c r="I4999" s="24" t="n"/>
      <c r="J4999" s="22">
        <f t="array" ref="J4999">IF($D4999="","",IF($I4999="","(trống REF)",IFERROR(INDEX(MASTER_SOURCE!$B$2:$B$495,MATCH($I4999,MASTER_SOURCE!$A$2:$A$495,0)),"(REF không có trong MASTER_SOURCE)")))</f>
        <v/>
      </c>
      <c r="K4999" s="22">
        <f t="array" ref="K4999">IF($D4999="","",IFERROR(INDEX(MASTER_SOURCE!$C$2:$C$495,MATCH($I4999,MASTER_SOURCE!$A$2:$A$495,0)),""))</f>
        <v/>
      </c>
      <c r="L4999" s="22">
        <f t="array" ref="L4999">IF($D4999="","",IFERROR(INDEX(MASTER_SOURCE!$D$2:$D$495,MATCH($I4999,MASTER_SOURCE!$A$2:$A$495,0)),""))</f>
        <v/>
      </c>
      <c r="M4999" s="24" t="n"/>
      <c r="N4999" s="24" t="n"/>
      <c r="O4999" s="24" t="n"/>
      <c r="P4999" s="24" t="n"/>
      <c r="Q4999" s="22">
        <f>IF($D4999="","",IF(AND(OR(DANH_MUC!$L$5&lt;&gt;"Có",M4999="Có"),OR(DANH_MUC!$L$6&lt;&gt;"Có",N4999="Có"),OR(DANH_MUC!$L$7&lt;&gt;"Có",O4999="Có"),OR(DANH_MUC!$L$8&lt;&gt;"Có",P4999="Có")),"Có","Không"))</f>
        <v/>
      </c>
      <c r="R4999" s="22">
        <f>IF($D4999="","",IF(COUNTIF($D$2:$D4999,$D4999)&gt;1,"Trùng",""))</f>
        <v/>
      </c>
      <c r="S4999" s="22">
        <f>IF($D4999="","",IF(AND(LEN($D4999)=10,LEFT($D4999,1)="0",ISNUMBER(--$D4999)),"Có","Không"))</f>
        <v/>
      </c>
      <c r="T4999" s="22">
        <f>IF($D4999="","",IF(AND($C4999&lt;&gt;"",$Q4999="Có",$R4999="",$S4999="Có",AND($L4999&lt;&gt;"",OR($L4999&lt;&gt;"Chưa xác định",DANH_MUC!$L$9="Có"))),"Có","Không"))</f>
        <v/>
      </c>
      <c r="U4999" s="22">
        <f>IF(OR($D4999="",$T4999="Có"),"",IF($C4999="","Thiếu họ tên; ","")&amp;IF($S4999&lt;&gt;"Có","SĐT sai định dạng; ","")&amp;IF($R4999="Trùng","Trùng SĐT; ","")&amp;IF($Q4999&lt;&gt;"Có","Thiếu đồng ý bắt buộc; ","")&amp;IF($L4999="","Thiếu/sai Mã REF; ",IF(AND($L4999="Chưa xác định",DANH_MUC!$L$9&lt;&gt;"Có"),"Nguồn chưa xác định; ","")))</f>
        <v/>
      </c>
      <c r="V4999" s="22">
        <f>IF(OR($D4999="",$R4999="Trùng"),"",IF(COUNTIF(ORDERS!$C$2:$C$4995,$D4999)&gt;0,"Có","Không"))</f>
        <v/>
      </c>
      <c r="W4999" s="22">
        <f>IF(OR($D4999="",$R4999="Trùng"),"",COUNTIFS(ORDERS!$C$2:$C$4995,$D4999,ORDERS!$L$2:$L$4995,"Đã chuyển khoản"))</f>
        <v/>
      </c>
      <c r="X4999" s="23">
        <f>IF(OR($D4999="",$R4999="Trùng"),"",SUMIFS(ORDERS!$J$2:$J$4995,ORDERS!$C$2:$C$4995,$D4999,ORDERS!$L$2:$L$4995,"Đã chuyển khoản"))</f>
        <v/>
      </c>
      <c r="Y4999" s="24" t="n"/>
    </row>
    <row r="5000" ht="14.25" customHeight="1" s="40">
      <c r="A5000" s="24" t="n"/>
      <c r="B5000" s="27" t="n"/>
      <c r="C5000" s="24" t="n"/>
      <c r="D5000" s="28" t="n"/>
      <c r="E5000" s="29" t="n"/>
      <c r="F5000" s="24" t="n"/>
      <c r="G5000" s="24" t="n"/>
      <c r="H5000" s="21">
        <f>IF(ISNUMBER($B5000),INT($B5000)-WEEKDAY($B5000,2)+1,"")</f>
        <v/>
      </c>
      <c r="I5000" s="24" t="n"/>
      <c r="J5000" s="22">
        <f t="array" ref="J5000">IF($D5000="","",IF($I5000="","(trống REF)",IFERROR(INDEX(MASTER_SOURCE!$B$2:$B$495,MATCH($I5000,MASTER_SOURCE!$A$2:$A$495,0)),"(REF không có trong MASTER_SOURCE)")))</f>
        <v/>
      </c>
      <c r="K5000" s="22">
        <f t="array" ref="K5000">IF($D5000="","",IFERROR(INDEX(MASTER_SOURCE!$C$2:$C$495,MATCH($I5000,MASTER_SOURCE!$A$2:$A$495,0)),""))</f>
        <v/>
      </c>
      <c r="L5000" s="22">
        <f t="array" ref="L5000">IF($D5000="","",IFERROR(INDEX(MASTER_SOURCE!$D$2:$D$495,MATCH($I5000,MASTER_SOURCE!$A$2:$A$495,0)),""))</f>
        <v/>
      </c>
      <c r="M5000" s="24" t="n"/>
      <c r="N5000" s="24" t="n"/>
      <c r="O5000" s="24" t="n"/>
      <c r="P5000" s="24" t="n"/>
      <c r="Q5000" s="22">
        <f>IF($D5000="","",IF(AND(OR(DANH_MUC!$L$5&lt;&gt;"Có",M5000="Có"),OR(DANH_MUC!$L$6&lt;&gt;"Có",N5000="Có"),OR(DANH_MUC!$L$7&lt;&gt;"Có",O5000="Có"),OR(DANH_MUC!$L$8&lt;&gt;"Có",P5000="Có")),"Có","Không"))</f>
        <v/>
      </c>
      <c r="R5000" s="22">
        <f>IF($D5000="","",IF(COUNTIF($D$2:$D5000,$D5000)&gt;1,"Trùng",""))</f>
        <v/>
      </c>
      <c r="S5000" s="22">
        <f>IF($D5000="","",IF(AND(LEN($D5000)=10,LEFT($D5000,1)="0",ISNUMBER(--$D5000)),"Có","Không"))</f>
        <v/>
      </c>
      <c r="T5000" s="22">
        <f>IF($D5000="","",IF(AND($C5000&lt;&gt;"",$Q5000="Có",$R5000="",$S5000="Có",AND($L5000&lt;&gt;"",OR($L5000&lt;&gt;"Chưa xác định",DANH_MUC!$L$9="Có"))),"Có","Không"))</f>
        <v/>
      </c>
      <c r="U5000" s="22">
        <f>IF(OR($D5000="",$T5000="Có"),"",IF($C5000="","Thiếu họ tên; ","")&amp;IF($S5000&lt;&gt;"Có","SĐT sai định dạng; ","")&amp;IF($R5000="Trùng","Trùng SĐT; ","")&amp;IF($Q5000&lt;&gt;"Có","Thiếu đồng ý bắt buộc; ","")&amp;IF($L5000="","Thiếu/sai Mã REF; ",IF(AND($L5000="Chưa xác định",DANH_MUC!$L$9&lt;&gt;"Có"),"Nguồn chưa xác định; ","")))</f>
        <v/>
      </c>
      <c r="V5000" s="22">
        <f>IF(OR($D5000="",$R5000="Trùng"),"",IF(COUNTIF(ORDERS!$C$2:$C$4995,$D5000)&gt;0,"Có","Không"))</f>
        <v/>
      </c>
      <c r="W5000" s="22">
        <f>IF(OR($D5000="",$R5000="Trùng"),"",COUNTIFS(ORDERS!$C$2:$C$4995,$D5000,ORDERS!$L$2:$L$4995,"Đã chuyển khoản"))</f>
        <v/>
      </c>
      <c r="X5000" s="23">
        <f>IF(OR($D5000="",$R5000="Trùng"),"",SUMIFS(ORDERS!$J$2:$J$4995,ORDERS!$C$2:$C$4995,$D5000,ORDERS!$L$2:$L$4995,"Đã chuyển khoản"))</f>
        <v/>
      </c>
      <c r="Y5000" s="24" t="n"/>
    </row>
  </sheetData>
  <conditionalFormatting sqref="A2:Y5000">
    <cfRule type="expression" priority="1" dxfId="1">
      <formula>$T2="Không"</formula>
    </cfRule>
  </conditionalFormatting>
  <conditionalFormatting sqref="J2:J5000">
    <cfRule type="expression" priority="2" dxfId="2">
      <formula>LEFT($J2,1)="("</formula>
    </cfRule>
  </conditionalFormatting>
  <dataValidations count="5">
    <dataValidation sqref="I2:I5000" showDropDown="0" showInputMessage="1" showErrorMessage="1" allowBlank="1" prompt="Mã REF không tồn tại - Mã REF phải có trong MASTER_SOURCE. Nếu không rõ nguồn, dùng NHS-UNKNOWN." type="list">
      <formula1>MASTER_SOURCE!$A$2:$A$495</formula1>
    </dataValidation>
    <dataValidation sqref="G2:G5000" showDropDown="0" showInputMessage="1" showErrorMessage="0" allowBlank="1" prompt="Giá trị không hợp lệ - Tên tỉnh không có trong danh sách 34 tỉnh/thành. Vẫn lưu được nếu bấm Yes." type="list">
      <formula1>DANH_MUC!$I$2:$I$35</formula1>
    </dataValidation>
    <dataValidation sqref="M2:P5000" showDropDown="0" showInputMessage="1" showErrorMessage="1" allowBlank="1" prompt="Giá trị không hợp lệ - Chọn giá trị trong danh sách." type="list">
      <formula1>DANH_MUC!$E$2:$E$3</formula1>
    </dataValidation>
    <dataValidation sqref="D2:D5000" showDropDown="0" showInputMessage="1" showErrorMessage="0" allowBlank="1" prompt="SĐT phải có 10 số, bắt đầu bằng 0." type="custom">
      <formula1>EQ(LEN(D2),(10))</formula1>
    </dataValidation>
    <dataValidation sqref="F2:F5000" showDropDown="0" showInputMessage="1" showErrorMessage="1" allowBlank="1" prompt="Giá trị không hợp lệ - Chọn giá trị trong danh sách." type="list">
      <formula1>DANH_MUC!$D$2:$D$3</formula1>
    </dataValidation>
  </dataValidations>
  <pageMargins left="0.75" right="0.75" top="1" bottom="1" header="0" footer="0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499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8" defaultColWidth="14.43" defaultRowHeight="15" customHeight="1"/>
  <cols>
    <col width="14" customWidth="1" style="40" min="1" max="1"/>
    <col width="13" customWidth="1" style="40" min="2" max="2"/>
    <col width="15" customWidth="1" style="40" min="3" max="3"/>
    <col width="24" customWidth="1" style="40" min="4" max="4"/>
    <col width="15" customWidth="1" style="40" min="5" max="5"/>
    <col width="12" customWidth="1" style="40" min="6" max="6"/>
    <col width="26" customWidth="1" style="40" min="7" max="7"/>
    <col width="12.14" customWidth="1" style="40" min="8" max="8"/>
    <col width="13" customWidth="1" style="40" min="9" max="9"/>
    <col width="14" customWidth="1" style="40" min="10" max="10"/>
    <col width="16" customWidth="1" style="40" min="11" max="11"/>
    <col width="17" customWidth="1" style="40" min="12" max="12"/>
    <col width="13" customWidth="1" style="40" min="13" max="13"/>
    <col width="15" customWidth="1" style="40" min="14" max="14"/>
    <col width="20" customWidth="1" style="40" min="15" max="15"/>
    <col width="36" customWidth="1" style="40" min="16" max="16"/>
    <col width="14" customWidth="1" style="40" min="17" max="17"/>
    <col width="16" customWidth="1" style="40" min="18" max="18"/>
    <col width="30" customWidth="1" style="40" min="19" max="20"/>
  </cols>
  <sheetData>
    <row r="1" ht="45" customHeight="1" s="40">
      <c r="A1" s="15" t="inlineStr">
        <is>
          <t>Mã đơn</t>
        </is>
      </c>
      <c r="B1" s="15" t="inlineStr">
        <is>
          <t>Ngày đặt</t>
        </is>
      </c>
      <c r="C1" s="15" t="inlineStr">
        <is>
          <t>SĐT đăng ký</t>
        </is>
      </c>
      <c r="D1" s="16" t="inlineStr">
        <is>
          <t>Họ tên (từ DATA_MASTER)</t>
        </is>
      </c>
      <c r="E1" s="16" t="inlineStr">
        <is>
          <t>Mã REF</t>
        </is>
      </c>
      <c r="F1" s="16" t="inlineStr">
        <is>
          <t>Team</t>
        </is>
      </c>
      <c r="G1" s="15" t="inlineStr">
        <is>
          <t>Combo / sản phẩm</t>
        </is>
      </c>
      <c r="H1" s="15" t="inlineStr">
        <is>
          <t>Số lượng</t>
        </is>
      </c>
      <c r="I1" s="15" t="inlineStr">
        <is>
          <t>Đơn giá (VNĐ)</t>
        </is>
      </c>
      <c r="J1" s="16" t="inlineStr">
        <is>
          <t>Thành tiền (VNĐ)</t>
        </is>
      </c>
      <c r="K1" s="15" t="inlineStr">
        <is>
          <t>Hình thức TT</t>
        </is>
      </c>
      <c r="L1" s="15" t="inlineStr">
        <is>
          <t>Trạng thái TT</t>
        </is>
      </c>
      <c r="M1" s="15" t="inlineStr">
        <is>
          <t>Ngày nhận CK</t>
        </is>
      </c>
      <c r="N1" s="15" t="inlineStr">
        <is>
          <t>SĐT nhận hàng</t>
        </is>
      </c>
      <c r="O1" s="15" t="inlineStr">
        <is>
          <t>Người nhận</t>
        </is>
      </c>
      <c r="P1" s="15" t="inlineStr">
        <is>
          <t>Địa chỉ nhận</t>
        </is>
      </c>
      <c r="Q1" s="15" t="inlineStr">
        <is>
          <t>Trạng thái giao</t>
        </is>
      </c>
      <c r="R1" s="15" t="inlineStr">
        <is>
          <t>Người bán</t>
        </is>
      </c>
      <c r="S1" s="16" t="inlineStr">
        <is>
          <t>Kiểm tra</t>
        </is>
      </c>
      <c r="T1" s="15" t="inlineStr">
        <is>
          <t>Ghi chú</t>
        </is>
      </c>
    </row>
    <row r="2" ht="14.25" customHeight="1" s="40">
      <c r="A2" s="24" t="n">
        <v>1</v>
      </c>
      <c r="B2" s="24" t="inlineStr">
        <is>
          <t>15/9/2026</t>
        </is>
      </c>
      <c r="C2" s="28" t="inlineStr">
        <is>
          <t>0988318495</t>
        </is>
      </c>
      <c r="D2" s="22">
        <f>IF($C2="","",IFERROR(INDEX(DATA_MASTER!$C$2:$C$5000,MATCH($C2,DATA_MASTER!$D$2:$D$5000,0)),"Châu Mỹ Nhi"))</f>
        <v/>
      </c>
      <c r="E2" s="22">
        <f>IF($C2="","",IFERROR(INDEX(DATA_MASTER!$I$2:$I$5000,MATCH($C2,DATA_MASTER!$D$2:$D$5000,0)),""))</f>
        <v/>
      </c>
      <c r="F2" s="22">
        <f>IF($C2="","",IFERROR(INDEX(DATA_MASTER!$L$2:$L$5000,MATCH($C2,DATA_MASTER!$D$2:$D$5000,0)),"ZM"))</f>
        <v/>
      </c>
      <c r="G2" s="24" t="inlineStr">
        <is>
          <t>Sữa Aptamil 380g</t>
        </is>
      </c>
      <c r="H2" s="24" t="n">
        <v>1</v>
      </c>
      <c r="I2" s="30" t="n">
        <v>320000</v>
      </c>
      <c r="J2" s="23">
        <f>IF(OR($H2="",$I2=""),"",$H2*$I2)</f>
        <v/>
      </c>
      <c r="K2" s="24" t="inlineStr">
        <is>
          <t>Chuyển khoản QR</t>
        </is>
      </c>
      <c r="L2" s="24" t="inlineStr">
        <is>
          <t>Đã chuyển khoản</t>
        </is>
      </c>
      <c r="M2" s="29" t="inlineStr">
        <is>
          <t>15/9/2026</t>
        </is>
      </c>
      <c r="N2" s="28" t="inlineStr">
        <is>
          <t>0988318495</t>
        </is>
      </c>
      <c r="O2" s="24" t="inlineStr">
        <is>
          <t>Châu Mỹ Nhi</t>
        </is>
      </c>
      <c r="P2" s="24" t="inlineStr">
        <is>
          <t>Sảnh B Tháp C1, chung cư Picity High Park, 9A Đường Thạnh Xuân 13, Thạnh Xuân, Quận 12</t>
        </is>
      </c>
      <c r="Q2" s="24" t="inlineStr">
        <is>
          <t>Đã giao</t>
        </is>
      </c>
      <c r="R2" s="24" t="inlineStr">
        <is>
          <t>Voi Con</t>
        </is>
      </c>
      <c r="S2" s="22">
        <f>IF(AND($A2="",$C2=""),"",IF($A2="","Thiếu mã đơn; ","")&amp;IF(COUNTIF($A$2:$A2,$A2)&gt;1,"Trùng mã đơn; ","")&amp;IF(COUNTIF($C$2:$C2,$C2)&gt;1,"Trùng SĐT; ","")&amp;IF(ISNA(MATCH($C2,DATA_MASTER!$D$2:$D$5000,0)),"SĐT chưa đăng ký hội viên; ","")&amp;IF(AND($L2="Đã chuyển khoản",$M2=""),"Thiếu ngày nhận CK; ",""))</f>
        <v/>
      </c>
      <c r="T2" s="24" t="inlineStr">
        <is>
          <t>ĐVVC: J&amp;T | Mã VĐ: 801113029239 | POD: https://drive.google.com/drive/folders/14YqSb9mohXWUMATpBaLAocW_7uBLVQM8 | Bill: https://drive.google.com/drive/folders/1szwxYRL9ETmCmqj7BvAX8q8voLzWVEdM?usp=drive_link</t>
        </is>
      </c>
    </row>
    <row r="3" ht="14.25" customHeight="1" s="40">
      <c r="A3" s="24" t="n">
        <v>2</v>
      </c>
      <c r="B3" s="24" t="inlineStr">
        <is>
          <t>15/9/2026</t>
        </is>
      </c>
      <c r="C3" s="28" t="inlineStr">
        <is>
          <t>0911122888</t>
        </is>
      </c>
      <c r="D3" s="22">
        <f>IF($C3="","",IFERROR(INDEX(DATA_MASTER!$C$2:$C$5000,MATCH($C3,DATA_MASTER!$D$2:$D$5000,0)),"Phạm Thị Ánh Ngọc"))</f>
        <v/>
      </c>
      <c r="E3" s="22">
        <f>IF($C3="","",IFERROR(INDEX(DATA_MASTER!$I$2:$I$5000,MATCH($C3,DATA_MASTER!$D$2:$D$5000,0)),""))</f>
        <v/>
      </c>
      <c r="F3" s="22">
        <f>IF($C3="","",IFERROR(INDEX(DATA_MASTER!$L$2:$L$5000,MATCH($C3,DATA_MASTER!$D$2:$D$5000,0)),"ZM"))</f>
        <v/>
      </c>
      <c r="G3" s="24" t="inlineStr">
        <is>
          <t>Sữa Aptamil 380g</t>
        </is>
      </c>
      <c r="H3" s="24" t="n">
        <v>1</v>
      </c>
      <c r="I3" s="30" t="n">
        <v>320000</v>
      </c>
      <c r="J3" s="23">
        <f>IF(OR($H3="",$I3=""),"",$H3*$I3)</f>
        <v/>
      </c>
      <c r="K3" s="24" t="inlineStr">
        <is>
          <t>Chuyển khoản QR</t>
        </is>
      </c>
      <c r="L3" s="24" t="inlineStr">
        <is>
          <t>Đã chuyển khoản</t>
        </is>
      </c>
      <c r="M3" s="29" t="inlineStr">
        <is>
          <t>15/9/2026</t>
        </is>
      </c>
      <c r="N3" s="28" t="inlineStr">
        <is>
          <t>0911122888</t>
        </is>
      </c>
      <c r="O3" s="24" t="inlineStr">
        <is>
          <t>Phạm Thị Ánh Ngọc</t>
        </is>
      </c>
      <c r="P3" s="24" t="inlineStr">
        <is>
          <t>Lô B chung cư Bộ Công an, đường số 3, phường An Khánh, Quận Thủ Đức</t>
        </is>
      </c>
      <c r="Q3" s="24" t="inlineStr">
        <is>
          <t>Đã giao</t>
        </is>
      </c>
      <c r="R3" s="24" t="inlineStr">
        <is>
          <t>Voi Con</t>
        </is>
      </c>
      <c r="S3" s="22">
        <f>IF(AND($A3="",$C3=""),"",IF($A3="","Thiếu mã đơn; ","")&amp;IF(COUNTIF($A$2:$A3,$A3)&gt;1,"Trùng mã đơn; ","")&amp;IF(COUNTIF($C$2:$C3,$C3)&gt;1,"Trùng SĐT; ","")&amp;IF(ISNA(MATCH($C3,DATA_MASTER!$D$2:$D$5000,0)),"SĐT chưa đăng ký hội viên; ","")&amp;IF(AND($L3="Đã chuyển khoản",$M3=""),"Thiếu ngày nhận CK; ",""))</f>
        <v/>
      </c>
      <c r="T3" s="24" t="inlineStr">
        <is>
          <t>ĐVVC: Ahamove | Mã VĐ: 775818591 | POD: https://drive.google.com/drive/folders/14YqSb9mohXWUMATpBaLAocW_7uBLVQM8 | Bill: Voi Con</t>
        </is>
      </c>
    </row>
    <row r="4" ht="14.25" customHeight="1" s="40">
      <c r="A4" s="24" t="n">
        <v>3</v>
      </c>
      <c r="B4" s="24" t="inlineStr">
        <is>
          <t>16/9/2026</t>
        </is>
      </c>
      <c r="C4" s="28" t="inlineStr">
        <is>
          <t>0776645191</t>
        </is>
      </c>
      <c r="D4" s="22">
        <f>IF($C4="","",IFERROR(INDEX(DATA_MASTER!$C$2:$C$5000,MATCH($C4,DATA_MASTER!$D$2:$D$5000,0)),"Chị Nga"))</f>
        <v/>
      </c>
      <c r="E4" s="22">
        <f>IF($C4="","",IFERROR(INDEX(DATA_MASTER!$I$2:$I$5000,MATCH($C4,DATA_MASTER!$D$2:$D$5000,0)),""))</f>
        <v/>
      </c>
      <c r="F4" s="22">
        <f>IF($C4="","",IFERROR(INDEX(DATA_MASTER!$L$2:$L$5000,MATCH($C4,DATA_MASTER!$D$2:$D$5000,0)),"ZM"))</f>
        <v/>
      </c>
      <c r="G4" s="24" t="inlineStr">
        <is>
          <t>Sữa Aptamil 380g</t>
        </is>
      </c>
      <c r="H4" s="24" t="n">
        <v>1</v>
      </c>
      <c r="I4" s="30" t="n">
        <v>320000</v>
      </c>
      <c r="J4" s="23">
        <f>IF(OR($H4="",$I4=""),"",$H4*$I4)</f>
        <v/>
      </c>
      <c r="K4" s="24" t="inlineStr">
        <is>
          <t>Chuyển khoản QR</t>
        </is>
      </c>
      <c r="L4" s="24" t="inlineStr">
        <is>
          <t>Đã chuyển khoản</t>
        </is>
      </c>
      <c r="M4" s="29" t="inlineStr">
        <is>
          <t>16/9/2026</t>
        </is>
      </c>
      <c r="N4" s="28" t="inlineStr">
        <is>
          <t>0776645191</t>
        </is>
      </c>
      <c r="O4" s="24" t="inlineStr">
        <is>
          <t>Chị Nga</t>
        </is>
      </c>
      <c r="P4" s="24" t="inlineStr">
        <is>
          <t>E11/18L ấp 48 Thới Hòa, xã Vĩnh Lộc, HCM, Bình Chánh</t>
        </is>
      </c>
      <c r="Q4" s="24" t="inlineStr">
        <is>
          <t>Đã giao</t>
        </is>
      </c>
      <c r="R4" s="24" t="inlineStr">
        <is>
          <t>Voi Con</t>
        </is>
      </c>
      <c r="S4" s="22">
        <f>IF(AND($A4="",$C4=""),"",IF($A4="","Thiếu mã đơn; ","")&amp;IF(COUNTIF($A$2:$A4,$A4)&gt;1,"Trùng mã đơn; ","")&amp;IF(COUNTIF($C$2:$C4,$C4)&gt;1,"Trùng SĐT; ","")&amp;IF(ISNA(MATCH($C4,DATA_MASTER!$D$2:$D$5000,0)),"SĐT chưa đăng ký hội viên; ","")&amp;IF(AND($L4="Đã chuyển khoản",$M4=""),"Thiếu ngày nhận CK; ",""))</f>
        <v/>
      </c>
      <c r="T4" s="24" t="inlineStr">
        <is>
          <t>ĐVVC: J&amp;T | Mã VĐ: 801113925129 | POD: https://drive.google.com/drive/folders/14YqSb9mohXWUMATpBaLAocW_7uBLVQM8 | Bill: Voi Con</t>
        </is>
      </c>
    </row>
    <row r="5" ht="14.25" customHeight="1" s="40">
      <c r="A5" s="24" t="n">
        <v>4</v>
      </c>
      <c r="B5" s="24" t="inlineStr">
        <is>
          <t>16/9/2026</t>
        </is>
      </c>
      <c r="C5" s="28" t="inlineStr">
        <is>
          <t>0963214847</t>
        </is>
      </c>
      <c r="D5" s="22">
        <f>IF($C5="","",IFERROR(INDEX(DATA_MASTER!$C$2:$C$5000,MATCH($C5,DATA_MASTER!$D$2:$D$5000,0)),"Trần Như Quyên"))</f>
        <v/>
      </c>
      <c r="E5" s="22">
        <f>IF($C5="","",IFERROR(INDEX(DATA_MASTER!$I$2:$I$5000,MATCH($C5,DATA_MASTER!$D$2:$D$5000,0)),""))</f>
        <v/>
      </c>
      <c r="F5" s="22">
        <f>IF($C5="","",IFERROR(INDEX(DATA_MASTER!$L$2:$L$5000,MATCH($C5,DATA_MASTER!$D$2:$D$5000,0)),"ZM"))</f>
        <v/>
      </c>
      <c r="G5" s="24" t="inlineStr">
        <is>
          <t>Sữa Aptamil 380g</t>
        </is>
      </c>
      <c r="H5" s="24" t="n">
        <v>1</v>
      </c>
      <c r="I5" s="30" t="n">
        <v>320000</v>
      </c>
      <c r="J5" s="23">
        <f>IF(OR($H5="",$I5=""),"",$H5*$I5)</f>
        <v/>
      </c>
      <c r="K5" s="24" t="inlineStr">
        <is>
          <t>Chuyển khoản QR</t>
        </is>
      </c>
      <c r="L5" s="24" t="inlineStr">
        <is>
          <t>Đã chuyển khoản</t>
        </is>
      </c>
      <c r="M5" s="29" t="inlineStr">
        <is>
          <t>16/9/2026</t>
        </is>
      </c>
      <c r="N5" s="28" t="inlineStr">
        <is>
          <t>0963214847</t>
        </is>
      </c>
      <c r="O5" s="24" t="inlineStr">
        <is>
          <t>Trần Như Quyên</t>
        </is>
      </c>
      <c r="P5" s="24" t="inlineStr">
        <is>
          <t>66-68 Đường số 37 Phường Bình Trưng, Tp Thủ Đức</t>
        </is>
      </c>
      <c r="Q5" s="24" t="inlineStr">
        <is>
          <t>Đã giao</t>
        </is>
      </c>
      <c r="R5" s="24" t="inlineStr">
        <is>
          <t>Voi Con</t>
        </is>
      </c>
      <c r="S5" s="22">
        <f>IF(AND($A5="",$C5=""),"",IF($A5="","Thiếu mã đơn; ","")&amp;IF(COUNTIF($A$2:$A5,$A5)&gt;1,"Trùng mã đơn; ","")&amp;IF(COUNTIF($C$2:$C5,$C5)&gt;1,"Trùng SĐT; ","")&amp;IF(ISNA(MATCH($C5,DATA_MASTER!$D$2:$D$5000,0)),"SĐT chưa đăng ký hội viên; ","")&amp;IF(AND($L5="Đã chuyển khoản",$M5=""),"Thiếu ngày nhận CK; ",""))</f>
        <v/>
      </c>
      <c r="T5" s="24" t="inlineStr">
        <is>
          <t>ĐVVC: Shipper riêng | Mã VĐ: 353282909 | POD: https://drive.google.com/drive/folders/14YqSb9mohXWUMATpBaLAocW_7uBLVQM8</t>
        </is>
      </c>
    </row>
    <row r="6" ht="14.25" customHeight="1" s="40">
      <c r="A6" s="24" t="n">
        <v>5</v>
      </c>
      <c r="B6" s="24" t="inlineStr">
        <is>
          <t>16/9/2026</t>
        </is>
      </c>
      <c r="C6" s="28" t="inlineStr">
        <is>
          <t>0938921181</t>
        </is>
      </c>
      <c r="D6" s="22">
        <f>IF($C6="","",IFERROR(INDEX(DATA_MASTER!$C$2:$C$5000,MATCH($C6,DATA_MASTER!$D$2:$D$5000,0)),"Trần Phan Huyền Trân"))</f>
        <v/>
      </c>
      <c r="E6" s="22">
        <f>IF($C6="","",IFERROR(INDEX(DATA_MASTER!$I$2:$I$5000,MATCH($C6,DATA_MASTER!$D$2:$D$5000,0)),""))</f>
        <v/>
      </c>
      <c r="F6" s="22">
        <f>IF($C6="","",IFERROR(INDEX(DATA_MASTER!$L$2:$L$5000,MATCH($C6,DATA_MASTER!$D$2:$D$5000,0)),"ZM"))</f>
        <v/>
      </c>
      <c r="G6" s="24" t="inlineStr">
        <is>
          <t>Sữa Aptamil 380g</t>
        </is>
      </c>
      <c r="H6" s="24" t="n">
        <v>1</v>
      </c>
      <c r="I6" s="30" t="n">
        <v>320000</v>
      </c>
      <c r="J6" s="23">
        <f>IF(OR($H6="",$I6=""),"",$H6*$I6)</f>
        <v/>
      </c>
      <c r="K6" s="24" t="inlineStr">
        <is>
          <t>Chuyển khoản QR</t>
        </is>
      </c>
      <c r="L6" s="24" t="inlineStr">
        <is>
          <t>Đã chuyển khoản</t>
        </is>
      </c>
      <c r="M6" s="29" t="inlineStr">
        <is>
          <t>16/9/2026</t>
        </is>
      </c>
      <c r="N6" s="28" t="inlineStr">
        <is>
          <t>0938921181</t>
        </is>
      </c>
      <c r="O6" s="24" t="inlineStr">
        <is>
          <t>Trần Phan Huyền Trân</t>
        </is>
      </c>
      <c r="P6" s="24" t="inlineStr">
        <is>
          <t>199/8 đường 3/2, phường Vườn Lài</t>
        </is>
      </c>
      <c r="Q6" s="24" t="inlineStr">
        <is>
          <t>Đã giao</t>
        </is>
      </c>
      <c r="R6" s="24" t="inlineStr">
        <is>
          <t>Voi Con</t>
        </is>
      </c>
      <c r="S6" s="22">
        <f>IF(AND($A6="",$C6=""),"",IF($A6="","Thiếu mã đơn; ","")&amp;IF(COUNTIF($A$2:$A6,$A6)&gt;1,"Trùng mã đơn; ","")&amp;IF(COUNTIF($C$2:$C6,$C6)&gt;1,"Trùng SĐT; ","")&amp;IF(ISNA(MATCH($C6,DATA_MASTER!$D$2:$D$5000,0)),"SĐT chưa đăng ký hội viên; ","")&amp;IF(AND($L6="Đã chuyển khoản",$M6=""),"Thiếu ngày nhận CK; ",""))</f>
        <v/>
      </c>
      <c r="T6" s="24" t="inlineStr">
        <is>
          <t>ĐVVC: Shipper riêng | Mã VĐ: 353282909 | POD: https://drive.google.com/drive/folders/14YqSb9mohXWUMATpBaLAocW_7uBLVQM8</t>
        </is>
      </c>
    </row>
    <row r="7" ht="14.25" customHeight="1" s="40">
      <c r="A7" s="24" t="n">
        <v>6</v>
      </c>
      <c r="B7" s="24" t="inlineStr">
        <is>
          <t>16/9/2026</t>
        </is>
      </c>
      <c r="C7" s="28" t="inlineStr">
        <is>
          <t>0569795552</t>
        </is>
      </c>
      <c r="D7" s="22">
        <f>IF($C7="","",IFERROR(INDEX(DATA_MASTER!$C$2:$C$5000,MATCH($C7,DATA_MASTER!$D$2:$D$5000,0)),"Mỹ Linh"))</f>
        <v/>
      </c>
      <c r="E7" s="22">
        <f>IF($C7="","",IFERROR(INDEX(DATA_MASTER!$I$2:$I$5000,MATCH($C7,DATA_MASTER!$D$2:$D$5000,0)),""))</f>
        <v/>
      </c>
      <c r="F7" s="22">
        <f>IF($C7="","",IFERROR(INDEX(DATA_MASTER!$L$2:$L$5000,MATCH($C7,DATA_MASTER!$D$2:$D$5000,0)),"ZM"))</f>
        <v/>
      </c>
      <c r="G7" s="24" t="inlineStr">
        <is>
          <t>Sữa Aptamil 380g</t>
        </is>
      </c>
      <c r="H7" s="24" t="n">
        <v>1</v>
      </c>
      <c r="I7" s="30" t="n">
        <v>320000</v>
      </c>
      <c r="J7" s="23">
        <f>IF(OR($H7="",$I7=""),"",$H7*$I7)</f>
        <v/>
      </c>
      <c r="K7" s="24" t="inlineStr">
        <is>
          <t>Chuyển khoản QR</t>
        </is>
      </c>
      <c r="L7" s="24" t="inlineStr">
        <is>
          <t>Đã chuyển khoản</t>
        </is>
      </c>
      <c r="M7" s="29" t="inlineStr">
        <is>
          <t>16/9/2026</t>
        </is>
      </c>
      <c r="N7" s="28" t="inlineStr">
        <is>
          <t>0569795552</t>
        </is>
      </c>
      <c r="O7" s="24" t="inlineStr">
        <is>
          <t>Mỹ Linh</t>
        </is>
      </c>
      <c r="P7" s="24" t="inlineStr">
        <is>
          <t>8/48 đường Tân Hóa, phường 1, Quận 11</t>
        </is>
      </c>
      <c r="Q7" s="24" t="inlineStr">
        <is>
          <t>Đã giao</t>
        </is>
      </c>
      <c r="R7" s="24" t="inlineStr">
        <is>
          <t>Voi Con</t>
        </is>
      </c>
      <c r="S7" s="22">
        <f>IF(AND($A7="",$C7=""),"",IF($A7="","Thiếu mã đơn; ","")&amp;IF(COUNTIF($A$2:$A7,$A7)&gt;1,"Trùng mã đơn; ","")&amp;IF(COUNTIF($C$2:$C7,$C7)&gt;1,"Trùng SĐT; ","")&amp;IF(ISNA(MATCH($C7,DATA_MASTER!$D$2:$D$5000,0)),"SĐT chưa đăng ký hội viên; ","")&amp;IF(AND($L7="Đã chuyển khoản",$M7=""),"Thiếu ngày nhận CK; ",""))</f>
        <v/>
      </c>
      <c r="T7" s="24" t="inlineStr">
        <is>
          <t>ĐVVC: Shipper riêng | Mã VĐ: 353282909 | POD: https://drive.google.com/drive/folders/14YqSb9mohXWUMATpBaLAocW_7uBLVQM8</t>
        </is>
      </c>
    </row>
    <row r="8" ht="14.25" customHeight="1" s="40">
      <c r="A8" s="24" t="n">
        <v>7</v>
      </c>
      <c r="B8" s="24" t="inlineStr">
        <is>
          <t>16/9/2026</t>
        </is>
      </c>
      <c r="C8" s="28" t="inlineStr">
        <is>
          <t>0965301505</t>
        </is>
      </c>
      <c r="D8" s="22">
        <f>IF($C8="","",IFERROR(INDEX(DATA_MASTER!$C$2:$C$5000,MATCH($C8,DATA_MASTER!$D$2:$D$5000,0)),"Trang Thanh"))</f>
        <v/>
      </c>
      <c r="E8" s="22">
        <f>IF($C8="","",IFERROR(INDEX(DATA_MASTER!$I$2:$I$5000,MATCH($C8,DATA_MASTER!$D$2:$D$5000,0)),""))</f>
        <v/>
      </c>
      <c r="F8" s="22">
        <f>IF($C8="","",IFERROR(INDEX(DATA_MASTER!$L$2:$L$5000,MATCH($C8,DATA_MASTER!$D$2:$D$5000,0)),"ZM"))</f>
        <v/>
      </c>
      <c r="G8" s="24" t="inlineStr">
        <is>
          <t>Sữa Aptamil 380g</t>
        </is>
      </c>
      <c r="H8" s="24" t="n">
        <v>1</v>
      </c>
      <c r="I8" s="30" t="n">
        <v>320000</v>
      </c>
      <c r="J8" s="23">
        <f>IF(OR($H8="",$I8=""),"",$H8*$I8)</f>
        <v/>
      </c>
      <c r="K8" s="24" t="inlineStr">
        <is>
          <t>Chuyển khoản QR</t>
        </is>
      </c>
      <c r="L8" s="24" t="inlineStr">
        <is>
          <t>Đã chuyển khoản</t>
        </is>
      </c>
      <c r="M8" s="29" t="inlineStr">
        <is>
          <t>16/9/2026</t>
        </is>
      </c>
      <c r="N8" s="28" t="inlineStr">
        <is>
          <t>0965301505</t>
        </is>
      </c>
      <c r="O8" s="24" t="inlineStr">
        <is>
          <t>Trang Thanh</t>
        </is>
      </c>
      <c r="P8" s="24" t="inlineStr">
        <is>
          <t>494/39 Phú Định, Phường Phú Định</t>
        </is>
      </c>
      <c r="Q8" s="24" t="inlineStr">
        <is>
          <t>Đã giao</t>
        </is>
      </c>
      <c r="R8" s="24" t="inlineStr">
        <is>
          <t>Voi Con</t>
        </is>
      </c>
      <c r="S8" s="22">
        <f>IF(AND($A8="",$C8=""),"",IF($A8="","Thiếu mã đơn; ","")&amp;IF(COUNTIF($A$2:$A8,$A8)&gt;1,"Trùng mã đơn; ","")&amp;IF(COUNTIF($C$2:$C8,$C8)&gt;1,"Trùng SĐT; ","")&amp;IF(ISNA(MATCH($C8,DATA_MASTER!$D$2:$D$5000,0)),"SĐT chưa đăng ký hội viên; ","")&amp;IF(AND($L8="Đã chuyển khoản",$M8=""),"Thiếu ngày nhận CK; ",""))</f>
        <v/>
      </c>
      <c r="T8" s="24" t="inlineStr">
        <is>
          <t>ĐVVC: Shipper riêng | Mã VĐ: 353282909 | POD: https://drive.google.com/drive/folders/14YqSb9mohXWUMATpBaLAocW_7uBLVQM8</t>
        </is>
      </c>
    </row>
    <row r="9" ht="14.25" customHeight="1" s="40">
      <c r="A9" s="24" t="n">
        <v>8</v>
      </c>
      <c r="B9" s="24" t="inlineStr">
        <is>
          <t>16/9/2026</t>
        </is>
      </c>
      <c r="C9" s="28" t="inlineStr">
        <is>
          <t>0902861292</t>
        </is>
      </c>
      <c r="D9" s="22">
        <f>IF($C9="","",IFERROR(INDEX(DATA_MASTER!$C$2:$C$5000,MATCH($C9,DATA_MASTER!$D$2:$D$5000,0)),"Chị Vân"))</f>
        <v/>
      </c>
      <c r="E9" s="22">
        <f>IF($C9="","",IFERROR(INDEX(DATA_MASTER!$I$2:$I$5000,MATCH($C9,DATA_MASTER!$D$2:$D$5000,0)),""))</f>
        <v/>
      </c>
      <c r="F9" s="22">
        <f>IF($C9="","",IFERROR(INDEX(DATA_MASTER!$L$2:$L$5000,MATCH($C9,DATA_MASTER!$D$2:$D$5000,0)),"ZM"))</f>
        <v/>
      </c>
      <c r="G9" s="24" t="inlineStr">
        <is>
          <t>Sữa Aptamil 380g</t>
        </is>
      </c>
      <c r="H9" s="24" t="n">
        <v>1</v>
      </c>
      <c r="I9" s="30" t="n">
        <v>320000</v>
      </c>
      <c r="J9" s="23">
        <f>IF(OR($H9="",$I9=""),"",$H9*$I9)</f>
        <v/>
      </c>
      <c r="K9" s="24" t="inlineStr">
        <is>
          <t>Chuyển khoản QR</t>
        </is>
      </c>
      <c r="L9" s="24" t="inlineStr">
        <is>
          <t>Đã chuyển khoản</t>
        </is>
      </c>
      <c r="M9" s="29" t="inlineStr">
        <is>
          <t>16/9/2026</t>
        </is>
      </c>
      <c r="N9" s="28" t="inlineStr">
        <is>
          <t>0902861292</t>
        </is>
      </c>
      <c r="O9" s="24" t="inlineStr">
        <is>
          <t>Chị Vân</t>
        </is>
      </c>
      <c r="P9" s="24" t="inlineStr">
        <is>
          <t>157/7/1C Dương Bá Trạc, P. Chánh Hưng</t>
        </is>
      </c>
      <c r="Q9" s="24" t="inlineStr">
        <is>
          <t>Đã giao</t>
        </is>
      </c>
      <c r="R9" s="24" t="inlineStr">
        <is>
          <t>Voi Con</t>
        </is>
      </c>
      <c r="S9" s="22">
        <f>IF(AND($A9="",$C9=""),"",IF($A9="","Thiếu mã đơn; ","")&amp;IF(COUNTIF($A$2:$A9,$A9)&gt;1,"Trùng mã đơn; ","")&amp;IF(COUNTIF($C$2:$C9,$C9)&gt;1,"Trùng SĐT; ","")&amp;IF(ISNA(MATCH($C9,DATA_MASTER!$D$2:$D$5000,0)),"SĐT chưa đăng ký hội viên; ","")&amp;IF(AND($L9="Đã chuyển khoản",$M9=""),"Thiếu ngày nhận CK; ",""))</f>
        <v/>
      </c>
      <c r="T9" s="24" t="inlineStr">
        <is>
          <t>ĐVVC: Shipper riêng | Mã VĐ: 353282909 | POD: https://drive.google.com/drive/folders/14YqSb9mohXWUMATpBaLAocW_7uBLVQM8</t>
        </is>
      </c>
    </row>
    <row r="10" ht="14.25" customHeight="1" s="40">
      <c r="A10" s="24" t="n">
        <v>9</v>
      </c>
      <c r="B10" s="24" t="inlineStr">
        <is>
          <t>16/9/2026</t>
        </is>
      </c>
      <c r="C10" s="28" t="inlineStr">
        <is>
          <t>0392841426</t>
        </is>
      </c>
      <c r="D10" s="22">
        <f>IF($C10="","",IFERROR(INDEX(DATA_MASTER!$C$2:$C$5000,MATCH($C10,DATA_MASTER!$D$2:$D$5000,0)),"Bảo Trân"))</f>
        <v/>
      </c>
      <c r="E10" s="22">
        <f>IF($C10="","",IFERROR(INDEX(DATA_MASTER!$I$2:$I$5000,MATCH($C10,DATA_MASTER!$D$2:$D$5000,0)),""))</f>
        <v/>
      </c>
      <c r="F10" s="22">
        <f>IF($C10="","",IFERROR(INDEX(DATA_MASTER!$L$2:$L$5000,MATCH($C10,DATA_MASTER!$D$2:$D$5000,0)),"ZM"))</f>
        <v/>
      </c>
      <c r="G10" s="24" t="inlineStr">
        <is>
          <t>Sữa Aptamil 380g</t>
        </is>
      </c>
      <c r="H10" s="24" t="n">
        <v>1</v>
      </c>
      <c r="I10" s="30" t="n">
        <v>320000</v>
      </c>
      <c r="J10" s="23">
        <f>IF(OR($H10="",$I10=""),"",$H10*$I10)</f>
        <v/>
      </c>
      <c r="K10" s="24" t="inlineStr">
        <is>
          <t>Chuyển khoản QR</t>
        </is>
      </c>
      <c r="L10" s="24" t="inlineStr">
        <is>
          <t>Đã chuyển khoản</t>
        </is>
      </c>
      <c r="M10" s="29" t="inlineStr">
        <is>
          <t>16/9/2026</t>
        </is>
      </c>
      <c r="N10" s="28" t="inlineStr">
        <is>
          <t>0392841426</t>
        </is>
      </c>
      <c r="O10" s="24" t="inlineStr">
        <is>
          <t>Bảo Trân</t>
        </is>
      </c>
      <c r="P10" s="24" t="inlineStr">
        <is>
          <t>Số 20 đường 3413 Phạm Thế Hiển, phường Bình Đông</t>
        </is>
      </c>
      <c r="Q10" s="24" t="inlineStr">
        <is>
          <t>Đã giao</t>
        </is>
      </c>
      <c r="R10" s="24" t="inlineStr">
        <is>
          <t>Voi Con</t>
        </is>
      </c>
      <c r="S10" s="22">
        <f>IF(AND($A10="",$C10=""),"",IF($A10="","Thiếu mã đơn; ","")&amp;IF(COUNTIF($A$2:$A10,$A10)&gt;1,"Trùng mã đơn; ","")&amp;IF(COUNTIF($C$2:$C10,$C10)&gt;1,"Trùng SĐT; ","")&amp;IF(ISNA(MATCH($C10,DATA_MASTER!$D$2:$D$5000,0)),"SĐT chưa đăng ký hội viên; ","")&amp;IF(AND($L10="Đã chuyển khoản",$M10=""),"Thiếu ngày nhận CK; ",""))</f>
        <v/>
      </c>
      <c r="T10" s="24" t="inlineStr">
        <is>
          <t>ĐVVC: Shipper riêng | Mã VĐ: 353282909 | POD: https://drive.google.com/drive/folders/14YqSb9mohXWUMATpBaLAocW_7uBLVQM8</t>
        </is>
      </c>
    </row>
    <row r="11" ht="14.25" customHeight="1" s="40">
      <c r="A11" s="24" t="n">
        <v>10</v>
      </c>
      <c r="B11" s="24" t="inlineStr">
        <is>
          <t>16/9/2026</t>
        </is>
      </c>
      <c r="C11" s="28" t="inlineStr">
        <is>
          <t>0559885077</t>
        </is>
      </c>
      <c r="D11" s="22">
        <f>IF($C11="","",IFERROR(INDEX(DATA_MASTER!$C$2:$C$5000,MATCH($C11,DATA_MASTER!$D$2:$D$5000,0)),"Thanh Hằng"))</f>
        <v/>
      </c>
      <c r="E11" s="22">
        <f>IF($C11="","",IFERROR(INDEX(DATA_MASTER!$I$2:$I$5000,MATCH($C11,DATA_MASTER!$D$2:$D$5000,0)),""))</f>
        <v/>
      </c>
      <c r="F11" s="22">
        <f>IF($C11="","",IFERROR(INDEX(DATA_MASTER!$L$2:$L$5000,MATCH($C11,DATA_MASTER!$D$2:$D$5000,0)),"ZM"))</f>
        <v/>
      </c>
      <c r="G11" s="24" t="inlineStr">
        <is>
          <t>Sữa Aptamil 380g</t>
        </is>
      </c>
      <c r="H11" s="24" t="n">
        <v>1</v>
      </c>
      <c r="I11" s="30" t="n">
        <v>320000</v>
      </c>
      <c r="J11" s="23">
        <f>IF(OR($H11="",$I11=""),"",$H11*$I11)</f>
        <v/>
      </c>
      <c r="K11" s="24" t="inlineStr">
        <is>
          <t>Chuyển khoản QR</t>
        </is>
      </c>
      <c r="L11" s="24" t="inlineStr">
        <is>
          <t>Đã chuyển khoản</t>
        </is>
      </c>
      <c r="M11" s="29" t="inlineStr">
        <is>
          <t>16/9/2026</t>
        </is>
      </c>
      <c r="N11" s="28" t="inlineStr">
        <is>
          <t>0559885077</t>
        </is>
      </c>
      <c r="O11" s="24" t="inlineStr">
        <is>
          <t>Thanh Hằng</t>
        </is>
      </c>
      <c r="P11" s="24" t="inlineStr">
        <is>
          <t>62/5 đường số 7, Bình Hưng Hòa, Bình Tân</t>
        </is>
      </c>
      <c r="Q11" s="24" t="inlineStr">
        <is>
          <t>Đã giao</t>
        </is>
      </c>
      <c r="R11" s="24" t="inlineStr">
        <is>
          <t>Voi Con</t>
        </is>
      </c>
      <c r="S11" s="22">
        <f>IF(AND($A11="",$C11=""),"",IF($A11="","Thiếu mã đơn; ","")&amp;IF(COUNTIF($A$2:$A11,$A11)&gt;1,"Trùng mã đơn; ","")&amp;IF(COUNTIF($C$2:$C11,$C11)&gt;1,"Trùng SĐT; ","")&amp;IF(ISNA(MATCH($C11,DATA_MASTER!$D$2:$D$5000,0)),"SĐT chưa đăng ký hội viên; ","")&amp;IF(AND($L11="Đã chuyển khoản",$M11=""),"Thiếu ngày nhận CK; ",""))</f>
        <v/>
      </c>
      <c r="T11" s="24" t="inlineStr">
        <is>
          <t>ĐVVC: Shipper riêng | Mã VĐ: 353282909 | POD: https://drive.google.com/drive/folders/14YqSb9mohXWUMATpBaLAocW_7uBLVQM8</t>
        </is>
      </c>
    </row>
    <row r="12" ht="14.25" customHeight="1" s="40">
      <c r="A12" s="24" t="n">
        <v>11</v>
      </c>
      <c r="B12" s="24" t="inlineStr">
        <is>
          <t>16/9/2026</t>
        </is>
      </c>
      <c r="C12" s="28" t="inlineStr">
        <is>
          <t>0909907606</t>
        </is>
      </c>
      <c r="D12" s="22">
        <f>IF($C12="","",IFERROR(INDEX(DATA_MASTER!$C$2:$C$5000,MATCH($C12,DATA_MASTER!$D$2:$D$5000,0)),"Vũ Thanh Tuyền"))</f>
        <v/>
      </c>
      <c r="E12" s="22">
        <f>IF($C12="","",IFERROR(INDEX(DATA_MASTER!$I$2:$I$5000,MATCH($C12,DATA_MASTER!$D$2:$D$5000,0)),""))</f>
        <v/>
      </c>
      <c r="F12" s="22">
        <f>IF($C12="","",IFERROR(INDEX(DATA_MASTER!$L$2:$L$5000,MATCH($C12,DATA_MASTER!$D$2:$D$5000,0)),"ZM"))</f>
        <v/>
      </c>
      <c r="G12" s="24" t="inlineStr">
        <is>
          <t>Sữa Aptamil 380g</t>
        </is>
      </c>
      <c r="H12" s="24" t="n">
        <v>1</v>
      </c>
      <c r="I12" s="30" t="n">
        <v>320000</v>
      </c>
      <c r="J12" s="23">
        <f>IF(OR($H12="",$I12=""),"",$H12*$I12)</f>
        <v/>
      </c>
      <c r="K12" s="24" t="inlineStr">
        <is>
          <t>Chuyển khoản QR</t>
        </is>
      </c>
      <c r="L12" s="24" t="inlineStr">
        <is>
          <t>Đã chuyển khoản</t>
        </is>
      </c>
      <c r="M12" s="29" t="inlineStr">
        <is>
          <t>16/9/2026</t>
        </is>
      </c>
      <c r="N12" s="28" t="inlineStr">
        <is>
          <t>0909907606</t>
        </is>
      </c>
      <c r="O12" s="24" t="inlineStr">
        <is>
          <t>Vũ Thanh Tuyền</t>
        </is>
      </c>
      <c r="P12" s="24" t="inlineStr">
        <is>
          <t>66/78/47 Tô Hiến Thành, phường Hòa Hưng, Quận 10</t>
        </is>
      </c>
      <c r="Q12" s="24" t="inlineStr">
        <is>
          <t>Đã giao</t>
        </is>
      </c>
      <c r="R12" s="24" t="inlineStr">
        <is>
          <t>Voi Con</t>
        </is>
      </c>
      <c r="S12" s="22">
        <f>IF(AND($A12="",$C12=""),"",IF($A12="","Thiếu mã đơn; ","")&amp;IF(COUNTIF($A$2:$A12,$A12)&gt;1,"Trùng mã đơn; ","")&amp;IF(COUNTIF($C$2:$C12,$C12)&gt;1,"Trùng SĐT; ","")&amp;IF(ISNA(MATCH($C12,DATA_MASTER!$D$2:$D$5000,0)),"SĐT chưa đăng ký hội viên; ","")&amp;IF(AND($L12="Đã chuyển khoản",$M12=""),"Thiếu ngày nhận CK; ",""))</f>
        <v/>
      </c>
      <c r="T12" s="24" t="inlineStr">
        <is>
          <t>ĐVVC: Ahamove | Mã VĐ: 797039010 | POD: https://drive.google.com/drive/folders/14YqSb9mohXWUMATpBaLAocW_7uBLVQM8</t>
        </is>
      </c>
    </row>
    <row r="13" ht="14.25" customHeight="1" s="40">
      <c r="A13" s="24" t="n">
        <v>12</v>
      </c>
      <c r="B13" s="24" t="inlineStr">
        <is>
          <t>16/9/2026</t>
        </is>
      </c>
      <c r="C13" s="28" t="inlineStr">
        <is>
          <t>0938071186</t>
        </is>
      </c>
      <c r="D13" s="22">
        <f>IF($C13="","",IFERROR(INDEX(DATA_MASTER!$C$2:$C$5000,MATCH($C13,DATA_MASTER!$D$2:$D$5000,0)),"Huỳnh Lê Ngọc Trâm"))</f>
        <v/>
      </c>
      <c r="E13" s="22">
        <f>IF($C13="","",IFERROR(INDEX(DATA_MASTER!$I$2:$I$5000,MATCH($C13,DATA_MASTER!$D$2:$D$5000,0)),""))</f>
        <v/>
      </c>
      <c r="F13" s="22">
        <f>IF($C13="","",IFERROR(INDEX(DATA_MASTER!$L$2:$L$5000,MATCH($C13,DATA_MASTER!$D$2:$D$5000,0)),"ZM"))</f>
        <v/>
      </c>
      <c r="G13" s="24" t="inlineStr">
        <is>
          <t>Sữa Aptamil 380g</t>
        </is>
      </c>
      <c r="H13" s="24" t="n">
        <v>1</v>
      </c>
      <c r="I13" s="30" t="n">
        <v>320000</v>
      </c>
      <c r="J13" s="23">
        <f>IF(OR($H13="",$I13=""),"",$H13*$I13)</f>
        <v/>
      </c>
      <c r="K13" s="24" t="inlineStr">
        <is>
          <t>Chuyển khoản QR</t>
        </is>
      </c>
      <c r="L13" s="24" t="inlineStr">
        <is>
          <t>Đã chuyển khoản</t>
        </is>
      </c>
      <c r="M13" s="29" t="inlineStr">
        <is>
          <t>16/9/2026</t>
        </is>
      </c>
      <c r="N13" s="28" t="inlineStr">
        <is>
          <t>0938071186</t>
        </is>
      </c>
      <c r="O13" s="24" t="inlineStr">
        <is>
          <t>Huỳnh Lê Ngọc Trâm</t>
        </is>
      </c>
      <c r="P13" s="24" t="inlineStr">
        <is>
          <t>80/30 Hoàng Ngân, phường Phú Định</t>
        </is>
      </c>
      <c r="Q13" s="24" t="inlineStr">
        <is>
          <t>Đã giao</t>
        </is>
      </c>
      <c r="R13" s="24" t="inlineStr">
        <is>
          <t>Voi Con</t>
        </is>
      </c>
      <c r="S13" s="22">
        <f>IF(AND($A13="",$C13=""),"",IF($A13="","Thiếu mã đơn; ","")&amp;IF(COUNTIF($A$2:$A13,$A13)&gt;1,"Trùng mã đơn; ","")&amp;IF(COUNTIF($C$2:$C13,$C13)&gt;1,"Trùng SĐT; ","")&amp;IF(ISNA(MATCH($C13,DATA_MASTER!$D$2:$D$5000,0)),"SĐT chưa đăng ký hội viên; ","")&amp;IF(AND($L13="Đã chuyển khoản",$M13=""),"Thiếu ngày nhận CK; ",""))</f>
        <v/>
      </c>
      <c r="T13" s="24" t="inlineStr">
        <is>
          <t>ĐVVC: Shipper riêng | Mã VĐ: 353282909 | POD: https://drive.google.com/drive/folders/14YqSb9mohXWUMATpBaLAocW_7uBLVQM8</t>
        </is>
      </c>
    </row>
    <row r="14" ht="14.25" customHeight="1" s="40">
      <c r="A14" s="24" t="n">
        <v>13</v>
      </c>
      <c r="B14" s="24" t="inlineStr">
        <is>
          <t>16/9/2026</t>
        </is>
      </c>
      <c r="C14" s="28" t="inlineStr">
        <is>
          <t>0775614745</t>
        </is>
      </c>
      <c r="D14" s="22">
        <f>IF($C14="","",IFERROR(INDEX(DATA_MASTER!$C$2:$C$5000,MATCH($C14,DATA_MASTER!$D$2:$D$5000,0)),"Mỹ Duyên"))</f>
        <v/>
      </c>
      <c r="E14" s="22">
        <f>IF($C14="","",IFERROR(INDEX(DATA_MASTER!$I$2:$I$5000,MATCH($C14,DATA_MASTER!$D$2:$D$5000,0)),""))</f>
        <v/>
      </c>
      <c r="F14" s="22">
        <f>IF($C14="","",IFERROR(INDEX(DATA_MASTER!$L$2:$L$5000,MATCH($C14,DATA_MASTER!$D$2:$D$5000,0)),"ZM"))</f>
        <v/>
      </c>
      <c r="G14" s="24" t="inlineStr">
        <is>
          <t>Sữa Aptamil 380g</t>
        </is>
      </c>
      <c r="H14" s="24" t="n">
        <v>1</v>
      </c>
      <c r="I14" s="30" t="n">
        <v>320000</v>
      </c>
      <c r="J14" s="23">
        <f>IF(OR($H14="",$I14=""),"",$H14*$I14)</f>
        <v/>
      </c>
      <c r="K14" s="24" t="inlineStr">
        <is>
          <t>Chuyển khoản QR</t>
        </is>
      </c>
      <c r="L14" s="24" t="inlineStr">
        <is>
          <t>Đã chuyển khoản</t>
        </is>
      </c>
      <c r="M14" s="29" t="inlineStr">
        <is>
          <t>16/9/2026</t>
        </is>
      </c>
      <c r="N14" s="28" t="inlineStr">
        <is>
          <t>0775614745</t>
        </is>
      </c>
      <c r="O14" s="24" t="inlineStr">
        <is>
          <t>Mỹ Duyên</t>
        </is>
      </c>
      <c r="P14" s="24" t="inlineStr">
        <is>
          <t>Số 2 Phù Đổng Thiên Vương, phường Chợ Lớn</t>
        </is>
      </c>
      <c r="Q14" s="24" t="inlineStr">
        <is>
          <t>Đã giao</t>
        </is>
      </c>
      <c r="R14" s="24" t="inlineStr">
        <is>
          <t>Voi Con</t>
        </is>
      </c>
      <c r="S14" s="22">
        <f>IF(AND($A14="",$C14=""),"",IF($A14="","Thiếu mã đơn; ","")&amp;IF(COUNTIF($A$2:$A14,$A14)&gt;1,"Trùng mã đơn; ","")&amp;IF(COUNTIF($C$2:$C14,$C14)&gt;1,"Trùng SĐT; ","")&amp;IF(ISNA(MATCH($C14,DATA_MASTER!$D$2:$D$5000,0)),"SĐT chưa đăng ký hội viên; ","")&amp;IF(AND($L14="Đã chuyển khoản",$M14=""),"Thiếu ngày nhận CK; ",""))</f>
        <v/>
      </c>
      <c r="T14" s="24" t="inlineStr">
        <is>
          <t>ĐVVC: Shipper riêng | Mã VĐ: 353282909 | POD: https://drive.google.com/drive/folders/14YqSb9mohXWUMATpBaLAocW_7uBLVQM8</t>
        </is>
      </c>
    </row>
    <row r="15" ht="14.25" customHeight="1" s="40">
      <c r="A15" s="24" t="n">
        <v>14</v>
      </c>
      <c r="B15" s="24" t="inlineStr">
        <is>
          <t>16/9/2026</t>
        </is>
      </c>
      <c r="C15" s="28" t="inlineStr">
        <is>
          <t>0368435969</t>
        </is>
      </c>
      <c r="D15" s="22">
        <f>IF($C15="","",IFERROR(INDEX(DATA_MASTER!$C$2:$C$5000,MATCH($C15,DATA_MASTER!$D$2:$D$5000,0)),"Nguyễn Việt"))</f>
        <v/>
      </c>
      <c r="E15" s="22">
        <f>IF($C15="","",IFERROR(INDEX(DATA_MASTER!$I$2:$I$5000,MATCH($C15,DATA_MASTER!$D$2:$D$5000,0)),""))</f>
        <v/>
      </c>
      <c r="F15" s="22">
        <f>IF($C15="","",IFERROR(INDEX(DATA_MASTER!$L$2:$L$5000,MATCH($C15,DATA_MASTER!$D$2:$D$5000,0)),"ZM"))</f>
        <v/>
      </c>
      <c r="G15" s="24" t="inlineStr">
        <is>
          <t>Sữa Aptamil 380g</t>
        </is>
      </c>
      <c r="H15" s="24" t="n">
        <v>1</v>
      </c>
      <c r="I15" s="30" t="n">
        <v>320000</v>
      </c>
      <c r="J15" s="23">
        <f>IF(OR($H15="",$I15=""),"",$H15*$I15)</f>
        <v/>
      </c>
      <c r="K15" s="24" t="inlineStr">
        <is>
          <t>Chuyển khoản QR</t>
        </is>
      </c>
      <c r="L15" s="24" t="inlineStr">
        <is>
          <t>Đã chuyển khoản</t>
        </is>
      </c>
      <c r="M15" s="29" t="inlineStr">
        <is>
          <t>16/9/2026</t>
        </is>
      </c>
      <c r="N15" s="28" t="inlineStr">
        <is>
          <t>0368435969</t>
        </is>
      </c>
      <c r="O15" s="24" t="inlineStr">
        <is>
          <t>Nguyễn Việt</t>
        </is>
      </c>
      <c r="P15" s="24" t="inlineStr">
        <is>
          <t>637/10/33/75C Hà Huy Giáp, phường Thế An</t>
        </is>
      </c>
      <c r="Q15" s="24" t="inlineStr">
        <is>
          <t>Đã giao</t>
        </is>
      </c>
      <c r="R15" s="24" t="inlineStr">
        <is>
          <t>Voi Con</t>
        </is>
      </c>
      <c r="S15" s="22">
        <f>IF(AND($A15="",$C15=""),"",IF($A15="","Thiếu mã đơn; ","")&amp;IF(COUNTIF($A$2:$A15,$A15)&gt;1,"Trùng mã đơn; ","")&amp;IF(COUNTIF($C$2:$C15,$C15)&gt;1,"Trùng SĐT; ","")&amp;IF(ISNA(MATCH($C15,DATA_MASTER!$D$2:$D$5000,0)),"SĐT chưa đăng ký hội viên; ","")&amp;IF(AND($L15="Đã chuyển khoản",$M15=""),"Thiếu ngày nhận CK; ",""))</f>
        <v/>
      </c>
      <c r="T15" s="24" t="inlineStr">
        <is>
          <t>ĐVVC: Shipper riêng | Mã VĐ: 353282909 | POD: https://drive.google.com/drive/folders/14YqSb9mohXWUMATpBaLAocW_7uBLVQM8</t>
        </is>
      </c>
    </row>
    <row r="16" ht="14.25" customHeight="1" s="40">
      <c r="A16" s="24" t="n">
        <v>15</v>
      </c>
      <c r="B16" s="24" t="inlineStr">
        <is>
          <t>21/9/2026</t>
        </is>
      </c>
      <c r="C16" s="28" t="inlineStr">
        <is>
          <t>0982091253</t>
        </is>
      </c>
      <c r="D16" s="22">
        <f>IF($C16="","",IFERROR(INDEX(DATA_MASTER!$C$2:$C$5000,MATCH($C16,DATA_MASTER!$D$2:$D$5000,0)),"Phan Thị Trúc Mai"))</f>
        <v/>
      </c>
      <c r="E16" s="22">
        <f>IF($C16="","",IFERROR(INDEX(DATA_MASTER!$I$2:$I$5000,MATCH($C16,DATA_MASTER!$D$2:$D$5000,0)),""))</f>
        <v/>
      </c>
      <c r="F16" s="22">
        <f>IF($C16="","",IFERROR(INDEX(DATA_MASTER!$L$2:$L$5000,MATCH($C16,DATA_MASTER!$D$2:$D$5000,0)),"ZM"))</f>
        <v/>
      </c>
      <c r="G16" s="24" t="inlineStr">
        <is>
          <t>Sữa Aptamil 380g</t>
        </is>
      </c>
      <c r="H16" s="24" t="n">
        <v>1</v>
      </c>
      <c r="I16" s="30" t="n">
        <v>320000</v>
      </c>
      <c r="J16" s="23">
        <f>IF(OR($H16="",$I16=""),"",$H16*$I16)</f>
        <v/>
      </c>
      <c r="K16" s="24" t="inlineStr">
        <is>
          <t>Chuyển khoản QR</t>
        </is>
      </c>
      <c r="L16" s="24" t="inlineStr">
        <is>
          <t>Đã chuyển khoản</t>
        </is>
      </c>
      <c r="M16" s="29" t="inlineStr">
        <is>
          <t>21/9/2026</t>
        </is>
      </c>
      <c r="N16" s="28" t="inlineStr">
        <is>
          <t>0982091253</t>
        </is>
      </c>
      <c r="O16" s="24" t="inlineStr">
        <is>
          <t>Phan Thị Trúc Mai</t>
        </is>
      </c>
      <c r="P16" s="24" t="inlineStr">
        <is>
          <t>177/14/26 Nguyễn Thị Kiểu, Tân Thới Hiệp, Quận 12</t>
        </is>
      </c>
      <c r="Q16" s="24" t="inlineStr">
        <is>
          <t>Đã giao</t>
        </is>
      </c>
      <c r="R16" s="24" t="inlineStr">
        <is>
          <t>Voi Con</t>
        </is>
      </c>
      <c r="S16" s="22">
        <f>IF(AND($A16="",$C16=""),"",IF($A16="","Thiếu mã đơn; ","")&amp;IF(COUNTIF($A$2:$A16,$A16)&gt;1,"Trùng mã đơn; ","")&amp;IF(COUNTIF($C$2:$C16,$C16)&gt;1,"Trùng SĐT; ","")&amp;IF(ISNA(MATCH($C16,DATA_MASTER!$D$2:$D$5000,0)),"SĐT chưa đăng ký hội viên; ","")&amp;IF(AND($L16="Đã chuyển khoản",$M16=""),"Thiếu ngày nhận CK; ",""))</f>
        <v/>
      </c>
      <c r="T16" s="24" t="inlineStr">
        <is>
          <t>ĐVVC: J&amp;T | Mã VĐ: 801113906404 | POD: https://drive.google.com/drive/folders/14YqSb9mohXWUMATpBaLAocW_7uBLVQM8 | Bill: https://drive.google.com/drive/folders/1szwxYRL9ETmCmqj7BvAX8q8voLzWVEdM</t>
        </is>
      </c>
    </row>
    <row r="17" ht="14.25" customHeight="1" s="40">
      <c r="A17" s="24" t="n">
        <v>16</v>
      </c>
      <c r="B17" s="24" t="inlineStr">
        <is>
          <t>21/9/2026</t>
        </is>
      </c>
      <c r="C17" s="28" t="inlineStr">
        <is>
          <t>0783316286</t>
        </is>
      </c>
      <c r="D17" s="22">
        <f>IF($C17="","",IFERROR(INDEX(DATA_MASTER!$C$2:$C$5000,MATCH($C17,DATA_MASTER!$D$2:$D$5000,0)),"Lê Thị Kiều Diễm"))</f>
        <v/>
      </c>
      <c r="E17" s="22">
        <f>IF($C17="","",IFERROR(INDEX(DATA_MASTER!$I$2:$I$5000,MATCH($C17,DATA_MASTER!$D$2:$D$5000,0)),""))</f>
        <v/>
      </c>
      <c r="F17" s="22">
        <f>IF($C17="","",IFERROR(INDEX(DATA_MASTER!$L$2:$L$5000,MATCH($C17,DATA_MASTER!$D$2:$D$5000,0)),"ZM"))</f>
        <v/>
      </c>
      <c r="G17" s="24" t="inlineStr">
        <is>
          <t>Sữa Aptamil 380g</t>
        </is>
      </c>
      <c r="H17" s="24" t="n">
        <v>1</v>
      </c>
      <c r="I17" s="30" t="n">
        <v>320000</v>
      </c>
      <c r="J17" s="23">
        <f>IF(OR($H17="",$I17=""),"",$H17*$I17)</f>
        <v/>
      </c>
      <c r="K17" s="24" t="inlineStr">
        <is>
          <t>Chuyển khoản QR</t>
        </is>
      </c>
      <c r="L17" s="24" t="inlineStr">
        <is>
          <t>Đã chuyển khoản</t>
        </is>
      </c>
      <c r="M17" s="29" t="inlineStr">
        <is>
          <t>21/9/2026</t>
        </is>
      </c>
      <c r="N17" s="28" t="inlineStr">
        <is>
          <t>0783316286</t>
        </is>
      </c>
      <c r="O17" s="24" t="inlineStr">
        <is>
          <t>Lê Thị Kiều Diễm</t>
        </is>
      </c>
      <c r="P17" s="24" t="inlineStr">
        <is>
          <t>308/38/4 Nguyễn Tri Phương, phường 4, Quận 10</t>
        </is>
      </c>
      <c r="Q17" s="24" t="inlineStr">
        <is>
          <t>Đã giao</t>
        </is>
      </c>
      <c r="R17" s="24" t="inlineStr">
        <is>
          <t>Voi Con</t>
        </is>
      </c>
      <c r="S17" s="22">
        <f>IF(AND($A17="",$C17=""),"",IF($A17="","Thiếu mã đơn; ","")&amp;IF(COUNTIF($A$2:$A17,$A17)&gt;1,"Trùng mã đơn; ","")&amp;IF(COUNTIF($C$2:$C17,$C17)&gt;1,"Trùng SĐT; ","")&amp;IF(ISNA(MATCH($C17,DATA_MASTER!$D$2:$D$5000,0)),"SĐT chưa đăng ký hội viên; ","")&amp;IF(AND($L17="Đã chuyển khoản",$M17=""),"Thiếu ngày nhận CK; ",""))</f>
        <v/>
      </c>
      <c r="T17" s="24" t="inlineStr">
        <is>
          <t>ĐVVC: Shipper riêng | Mã VĐ: 373069124 | POD: https://drive.google.com/drive/folders/14YqSb9mohXWUMATpBaLAocW_7uBLVQM8</t>
        </is>
      </c>
    </row>
    <row r="18" ht="14.25" customHeight="1" s="40">
      <c r="A18" s="24" t="n">
        <v>17</v>
      </c>
      <c r="B18" s="24" t="inlineStr">
        <is>
          <t>21/9/2026</t>
        </is>
      </c>
      <c r="C18" s="28" t="inlineStr">
        <is>
          <t>0931970208</t>
        </is>
      </c>
      <c r="D18" s="22">
        <f>IF($C18="","",IFERROR(INDEX(DATA_MASTER!$C$2:$C$5000,MATCH($C18,DATA_MASTER!$D$2:$D$5000,0)),"Tạ Thị Hồng Thắm"))</f>
        <v/>
      </c>
      <c r="E18" s="22">
        <f>IF($C18="","",IFERROR(INDEX(DATA_MASTER!$I$2:$I$5000,MATCH($C18,DATA_MASTER!$D$2:$D$5000,0)),""))</f>
        <v/>
      </c>
      <c r="F18" s="22">
        <f>IF($C18="","",IFERROR(INDEX(DATA_MASTER!$L$2:$L$5000,MATCH($C18,DATA_MASTER!$D$2:$D$5000,0)),"ZM"))</f>
        <v/>
      </c>
      <c r="G18" s="24" t="inlineStr">
        <is>
          <t>Sữa Aptamil 380g</t>
        </is>
      </c>
      <c r="H18" s="24" t="n">
        <v>1</v>
      </c>
      <c r="I18" s="30" t="n">
        <v>320000</v>
      </c>
      <c r="J18" s="23">
        <f>IF(OR($H18="",$I18=""),"",$H18*$I18)</f>
        <v/>
      </c>
      <c r="K18" s="24" t="inlineStr">
        <is>
          <t>Chuyển khoản QR</t>
        </is>
      </c>
      <c r="L18" s="24" t="inlineStr">
        <is>
          <t>Đã chuyển khoản</t>
        </is>
      </c>
      <c r="M18" s="29" t="inlineStr">
        <is>
          <t>21/9/2026</t>
        </is>
      </c>
      <c r="N18" s="28" t="inlineStr">
        <is>
          <t>0931970208</t>
        </is>
      </c>
      <c r="O18" s="24" t="inlineStr">
        <is>
          <t>Tạ Thị Hồng Thắm</t>
        </is>
      </c>
      <c r="P18" s="24" t="inlineStr">
        <is>
          <t>2435/11 Phạm Thế Hiển phường 7, Quận 8</t>
        </is>
      </c>
      <c r="Q18" s="24" t="inlineStr">
        <is>
          <t>Đã giao</t>
        </is>
      </c>
      <c r="R18" s="24" t="inlineStr">
        <is>
          <t>Voi Con</t>
        </is>
      </c>
      <c r="S18" s="22">
        <f>IF(AND($A18="",$C18=""),"",IF($A18="","Thiếu mã đơn; ","")&amp;IF(COUNTIF($A$2:$A18,$A18)&gt;1,"Trùng mã đơn; ","")&amp;IF(COUNTIF($C$2:$C18,$C18)&gt;1,"Trùng SĐT; ","")&amp;IF(ISNA(MATCH($C18,DATA_MASTER!$D$2:$D$5000,0)),"SĐT chưa đăng ký hội viên; ","")&amp;IF(AND($L18="Đã chuyển khoản",$M18=""),"Thiếu ngày nhận CK; ",""))</f>
        <v/>
      </c>
      <c r="T18" s="24" t="inlineStr">
        <is>
          <t>ĐVVC: Ahamove | Mã VĐ: 987653094 | POD: https://drive.google.com/drive/folders/14YqSb9mohXWUMATpBaLAocW_7uBLVQM8</t>
        </is>
      </c>
    </row>
    <row r="19" ht="14.25" customHeight="1" s="40">
      <c r="A19" s="24" t="n">
        <v>18</v>
      </c>
      <c r="B19" s="24" t="inlineStr">
        <is>
          <t>21/9/2026</t>
        </is>
      </c>
      <c r="C19" s="28" t="inlineStr">
        <is>
          <t>0395242156</t>
        </is>
      </c>
      <c r="D19" s="22">
        <f>IF($C19="","",IFERROR(INDEX(DATA_MASTER!$C$2:$C$5000,MATCH($C19,DATA_MASTER!$D$2:$D$5000,0)),"Huỳnh Phạm Việt Thanh"))</f>
        <v/>
      </c>
      <c r="E19" s="22">
        <f>IF($C19="","",IFERROR(INDEX(DATA_MASTER!$I$2:$I$5000,MATCH($C19,DATA_MASTER!$D$2:$D$5000,0)),""))</f>
        <v/>
      </c>
      <c r="F19" s="22">
        <f>IF($C19="","",IFERROR(INDEX(DATA_MASTER!$L$2:$L$5000,MATCH($C19,DATA_MASTER!$D$2:$D$5000,0)),"ZM"))</f>
        <v/>
      </c>
      <c r="G19" s="24" t="inlineStr">
        <is>
          <t>Sữa Aptamil 380g</t>
        </is>
      </c>
      <c r="H19" s="24" t="n">
        <v>1</v>
      </c>
      <c r="I19" s="30" t="n">
        <v>320000</v>
      </c>
      <c r="J19" s="23">
        <f>IF(OR($H19="",$I19=""),"",$H19*$I19)</f>
        <v/>
      </c>
      <c r="K19" s="24" t="inlineStr">
        <is>
          <t>Chuyển khoản QR</t>
        </is>
      </c>
      <c r="L19" s="24" t="inlineStr">
        <is>
          <t>Đã chuyển khoản</t>
        </is>
      </c>
      <c r="M19" s="29" t="inlineStr">
        <is>
          <t>21/9/2026</t>
        </is>
      </c>
      <c r="N19" s="28" t="inlineStr">
        <is>
          <t>0395242156</t>
        </is>
      </c>
      <c r="O19" s="24" t="inlineStr">
        <is>
          <t>Huỳnh Phạm Việt Thanh</t>
        </is>
      </c>
      <c r="P19" s="24" t="inlineStr">
        <is>
          <t>235/2 Đường Võ Thị Sáu, Phường Võ Thị Sáu, Quận 3</t>
        </is>
      </c>
      <c r="Q19" s="24" t="inlineStr">
        <is>
          <t>Đã giao</t>
        </is>
      </c>
      <c r="R19" s="24" t="inlineStr">
        <is>
          <t>Voi Con</t>
        </is>
      </c>
      <c r="S19" s="22">
        <f>IF(AND($A19="",$C19=""),"",IF($A19="","Thiếu mã đơn; ","")&amp;IF(COUNTIF($A$2:$A19,$A19)&gt;1,"Trùng mã đơn; ","")&amp;IF(COUNTIF($C$2:$C19,$C19)&gt;1,"Trùng SĐT; ","")&amp;IF(ISNA(MATCH($C19,DATA_MASTER!$D$2:$D$5000,0)),"SĐT chưa đăng ký hội viên; ","")&amp;IF(AND($L19="Đã chuyển khoản",$M19=""),"Thiếu ngày nhận CK; ",""))</f>
        <v/>
      </c>
      <c r="T19" s="24" t="inlineStr">
        <is>
          <t>ĐVVC: Shipper riêng | Mã VĐ: 373069124 | POD: https://drive.google.com/drive/folders/14YqSb9mohXWUMATpBaLAocW_7uBLVQM8</t>
        </is>
      </c>
    </row>
    <row r="20" ht="14.25" customHeight="1" s="40">
      <c r="A20" s="24" t="n">
        <v>19</v>
      </c>
      <c r="B20" s="24" t="inlineStr">
        <is>
          <t>21/9/2026</t>
        </is>
      </c>
      <c r="C20" s="28" t="inlineStr">
        <is>
          <t>0936749364</t>
        </is>
      </c>
      <c r="D20" s="22">
        <f>IF($C20="","",IFERROR(INDEX(DATA_MASTER!$C$2:$C$5000,MATCH($C20,DATA_MASTER!$D$2:$D$5000,0)),"Nguyễn Thị Thu Hiền"))</f>
        <v/>
      </c>
      <c r="E20" s="22">
        <f>IF($C20="","",IFERROR(INDEX(DATA_MASTER!$I$2:$I$5000,MATCH($C20,DATA_MASTER!$D$2:$D$5000,0)),""))</f>
        <v/>
      </c>
      <c r="F20" s="22">
        <f>IF($C20="","",IFERROR(INDEX(DATA_MASTER!$L$2:$L$5000,MATCH($C20,DATA_MASTER!$D$2:$D$5000,0)),"ZM"))</f>
        <v/>
      </c>
      <c r="G20" s="24" t="inlineStr">
        <is>
          <t>Sữa Aptamil 380g</t>
        </is>
      </c>
      <c r="H20" s="24" t="n">
        <v>1</v>
      </c>
      <c r="I20" s="30" t="n">
        <v>320000</v>
      </c>
      <c r="J20" s="23">
        <f>IF(OR($H20="",$I20=""),"",$H20*$I20)</f>
        <v/>
      </c>
      <c r="K20" s="24" t="inlineStr">
        <is>
          <t>Chuyển khoản QR</t>
        </is>
      </c>
      <c r="L20" s="24" t="inlineStr">
        <is>
          <t>Đã chuyển khoản</t>
        </is>
      </c>
      <c r="M20" s="29" t="inlineStr">
        <is>
          <t>21/9/2026</t>
        </is>
      </c>
      <c r="N20" s="28" t="inlineStr">
        <is>
          <t>0936749364</t>
        </is>
      </c>
      <c r="O20" s="24" t="inlineStr">
        <is>
          <t>Nguyễn Thị Thu Hiền</t>
        </is>
      </c>
      <c r="P20" s="24" t="inlineStr">
        <is>
          <t>39/43A Phú Thọ Phường 1, Quận 11</t>
        </is>
      </c>
      <c r="Q20" s="24" t="inlineStr">
        <is>
          <t>Đã giao</t>
        </is>
      </c>
      <c r="R20" s="24" t="inlineStr">
        <is>
          <t>Voi Con</t>
        </is>
      </c>
      <c r="S20" s="22">
        <f>IF(AND($A20="",$C20=""),"",IF($A20="","Thiếu mã đơn; ","")&amp;IF(COUNTIF($A$2:$A20,$A20)&gt;1,"Trùng mã đơn; ","")&amp;IF(COUNTIF($C$2:$C20,$C20)&gt;1,"Trùng SĐT; ","")&amp;IF(ISNA(MATCH($C20,DATA_MASTER!$D$2:$D$5000,0)),"SĐT chưa đăng ký hội viên; ","")&amp;IF(AND($L20="Đã chuyển khoản",$M20=""),"Thiếu ngày nhận CK; ",""))</f>
        <v/>
      </c>
      <c r="T20" s="24" t="inlineStr">
        <is>
          <t>ĐVVC: Shipper riêng | Mã VĐ: 373069124 | POD: https://drive.google.com/drive/folders/14YqSb9mohXWUMATpBaLAocW_7uBLVQM8</t>
        </is>
      </c>
    </row>
    <row r="21" ht="14.25" customHeight="1" s="40">
      <c r="A21" s="24" t="n">
        <v>20</v>
      </c>
      <c r="B21" s="24" t="inlineStr">
        <is>
          <t>21/9/2026</t>
        </is>
      </c>
      <c r="C21" s="28" t="inlineStr">
        <is>
          <t>0937418427</t>
        </is>
      </c>
      <c r="D21" s="22">
        <f>IF($C21="","",IFERROR(INDEX(DATA_MASTER!$C$2:$C$5000,MATCH($C21,DATA_MASTER!$D$2:$D$5000,0)),"Trần Anh Thư"))</f>
        <v/>
      </c>
      <c r="E21" s="22">
        <f>IF($C21="","",IFERROR(INDEX(DATA_MASTER!$I$2:$I$5000,MATCH($C21,DATA_MASTER!$D$2:$D$5000,0)),""))</f>
        <v/>
      </c>
      <c r="F21" s="22">
        <f>IF($C21="","",IFERROR(INDEX(DATA_MASTER!$L$2:$L$5000,MATCH($C21,DATA_MASTER!$D$2:$D$5000,0)),"ZM"))</f>
        <v/>
      </c>
      <c r="G21" s="24" t="inlineStr">
        <is>
          <t>Sữa Aptamil 380g</t>
        </is>
      </c>
      <c r="H21" s="24" t="n">
        <v>1</v>
      </c>
      <c r="I21" s="30" t="n">
        <v>320000</v>
      </c>
      <c r="J21" s="23">
        <f>IF(OR($H21="",$I21=""),"",$H21*$I21)</f>
        <v/>
      </c>
      <c r="K21" s="24" t="inlineStr">
        <is>
          <t>Chuyển khoản QR</t>
        </is>
      </c>
      <c r="L21" s="24" t="inlineStr">
        <is>
          <t>Đã chuyển khoản</t>
        </is>
      </c>
      <c r="M21" s="29" t="inlineStr">
        <is>
          <t>21/9/2026</t>
        </is>
      </c>
      <c r="N21" s="28" t="inlineStr">
        <is>
          <t>0937418427</t>
        </is>
      </c>
      <c r="O21" s="24" t="inlineStr">
        <is>
          <t>Trần Anh Thư</t>
        </is>
      </c>
      <c r="P21" s="24" t="inlineStr">
        <is>
          <t>12A Núi Thành Phường 13, Tân Bình</t>
        </is>
      </c>
      <c r="Q21" s="24" t="inlineStr">
        <is>
          <t>Đã giao</t>
        </is>
      </c>
      <c r="R21" s="24" t="inlineStr">
        <is>
          <t>Voi Con</t>
        </is>
      </c>
      <c r="S21" s="22">
        <f>IF(AND($A21="",$C21=""),"",IF($A21="","Thiếu mã đơn; ","")&amp;IF(COUNTIF($A$2:$A21,$A21)&gt;1,"Trùng mã đơn; ","")&amp;IF(COUNTIF($C$2:$C21,$C21)&gt;1,"Trùng SĐT; ","")&amp;IF(ISNA(MATCH($C21,DATA_MASTER!$D$2:$D$5000,0)),"SĐT chưa đăng ký hội viên; ","")&amp;IF(AND($L21="Đã chuyển khoản",$M21=""),"Thiếu ngày nhận CK; ",""))</f>
        <v/>
      </c>
      <c r="T21" s="24" t="inlineStr">
        <is>
          <t>ĐVVC: Ahamove | Mã VĐ: 987653094 | POD: https://drive.google.com/drive/folders/14YqSb9mohXWUMATpBaLAocW_7uBLVQM8</t>
        </is>
      </c>
    </row>
    <row r="22" ht="14.25" customHeight="1" s="40">
      <c r="A22" s="24" t="n">
        <v>21</v>
      </c>
      <c r="B22" s="24" t="inlineStr">
        <is>
          <t>21/9/2026</t>
        </is>
      </c>
      <c r="C22" s="28" t="inlineStr">
        <is>
          <t>0908442266</t>
        </is>
      </c>
      <c r="D22" s="22">
        <f>IF($C22="","",IFERROR(INDEX(DATA_MASTER!$C$2:$C$5000,MATCH($C22,DATA_MASTER!$D$2:$D$5000,0)),"TRẦN HOÀNG VÂN THY"))</f>
        <v/>
      </c>
      <c r="E22" s="22">
        <f>IF($C22="","",IFERROR(INDEX(DATA_MASTER!$I$2:$I$5000,MATCH($C22,DATA_MASTER!$D$2:$D$5000,0)),""))</f>
        <v/>
      </c>
      <c r="F22" s="22">
        <f>IF($C22="","",IFERROR(INDEX(DATA_MASTER!$L$2:$L$5000,MATCH($C22,DATA_MASTER!$D$2:$D$5000,0)),"ZM"))</f>
        <v/>
      </c>
      <c r="G22" s="24" t="inlineStr">
        <is>
          <t>Sữa Aptamil 380g</t>
        </is>
      </c>
      <c r="H22" s="24" t="n">
        <v>1</v>
      </c>
      <c r="I22" s="30" t="n">
        <v>320000</v>
      </c>
      <c r="J22" s="23">
        <f>IF(OR($H22="",$I22=""),"",$H22*$I22)</f>
        <v/>
      </c>
      <c r="K22" s="24" t="inlineStr">
        <is>
          <t>Chuyển khoản QR</t>
        </is>
      </c>
      <c r="L22" s="24" t="inlineStr">
        <is>
          <t>Đã chuyển khoản</t>
        </is>
      </c>
      <c r="M22" s="29" t="inlineStr">
        <is>
          <t>21/9/2026</t>
        </is>
      </c>
      <c r="N22" s="28" t="inlineStr">
        <is>
          <t>0908442266</t>
        </is>
      </c>
      <c r="O22" s="24" t="inlineStr">
        <is>
          <t>TRẦN HOÀNG VÂN THY</t>
        </is>
      </c>
      <c r="P22" s="24" t="inlineStr">
        <is>
          <t>739/2L Xô Viết Nghệ Tĩnh,phường 26,, Bình Thạnh</t>
        </is>
      </c>
      <c r="Q22" s="24" t="inlineStr">
        <is>
          <t>Đã giao</t>
        </is>
      </c>
      <c r="R22" s="24" t="inlineStr">
        <is>
          <t>Voi Con</t>
        </is>
      </c>
      <c r="S22" s="22">
        <f>IF(AND($A22="",$C22=""),"",IF($A22="","Thiếu mã đơn; ","")&amp;IF(COUNTIF($A$2:$A22,$A22)&gt;1,"Trùng mã đơn; ","")&amp;IF(COUNTIF($C$2:$C22,$C22)&gt;1,"Trùng SĐT; ","")&amp;IF(ISNA(MATCH($C22,DATA_MASTER!$D$2:$D$5000,0)),"SĐT chưa đăng ký hội viên; ","")&amp;IF(AND($L22="Đã chuyển khoản",$M22=""),"Thiếu ngày nhận CK; ",""))</f>
        <v/>
      </c>
      <c r="T22" s="24" t="inlineStr">
        <is>
          <t>ĐVVC: J&amp;T | Mã VĐ: 801114128735 | POD: https://drive.google.com/drive/folders/14YqSb9mohXWUMATpBaLAocW_7uBLVQM8</t>
        </is>
      </c>
    </row>
    <row r="23" ht="14.25" customHeight="1" s="40">
      <c r="A23" s="24" t="n">
        <v>22</v>
      </c>
      <c r="B23" s="24" t="inlineStr">
        <is>
          <t>21/9/2026</t>
        </is>
      </c>
      <c r="C23" s="28" t="inlineStr">
        <is>
          <t>0559106900</t>
        </is>
      </c>
      <c r="D23" s="22">
        <f>IF($C23="","",IFERROR(INDEX(DATA_MASTER!$C$2:$C$5000,MATCH($C23,DATA_MASTER!$D$2:$D$5000,0)),"Nguyễn Hoàng Thanh Loan"))</f>
        <v/>
      </c>
      <c r="E23" s="22">
        <f>IF($C23="","",IFERROR(INDEX(DATA_MASTER!$I$2:$I$5000,MATCH($C23,DATA_MASTER!$D$2:$D$5000,0)),""))</f>
        <v/>
      </c>
      <c r="F23" s="22">
        <f>IF($C23="","",IFERROR(INDEX(DATA_MASTER!$L$2:$L$5000,MATCH($C23,DATA_MASTER!$D$2:$D$5000,0)),"ZM"))</f>
        <v/>
      </c>
      <c r="G23" s="24" t="inlineStr">
        <is>
          <t>Sữa Aptamil 380g</t>
        </is>
      </c>
      <c r="H23" s="24" t="n">
        <v>1</v>
      </c>
      <c r="I23" s="30" t="n">
        <v>320000</v>
      </c>
      <c r="J23" s="23">
        <f>IF(OR($H23="",$I23=""),"",$H23*$I23)</f>
        <v/>
      </c>
      <c r="K23" s="24" t="inlineStr">
        <is>
          <t>Chuyển khoản QR</t>
        </is>
      </c>
      <c r="L23" s="24" t="inlineStr">
        <is>
          <t>Đã chuyển khoản</t>
        </is>
      </c>
      <c r="M23" s="29" t="inlineStr">
        <is>
          <t>21/9/2026</t>
        </is>
      </c>
      <c r="N23" s="28" t="inlineStr">
        <is>
          <t>0559106900</t>
        </is>
      </c>
      <c r="O23" s="24" t="inlineStr">
        <is>
          <t>Nguyễn Hoàng Thanh Loan</t>
        </is>
      </c>
      <c r="P23" s="24" t="inlineStr">
        <is>
          <t>1873/21bis phạm thế hiển , phường 6, Quận 8</t>
        </is>
      </c>
      <c r="Q23" s="24" t="inlineStr">
        <is>
          <t>Đã giao</t>
        </is>
      </c>
      <c r="R23" s="24" t="inlineStr">
        <is>
          <t>Voi Con</t>
        </is>
      </c>
      <c r="S23" s="22">
        <f>IF(AND($A23="",$C23=""),"",IF($A23="","Thiếu mã đơn; ","")&amp;IF(COUNTIF($A$2:$A23,$A23)&gt;1,"Trùng mã đơn; ","")&amp;IF(COUNTIF($C$2:$C23,$C23)&gt;1,"Trùng SĐT; ","")&amp;IF(ISNA(MATCH($C23,DATA_MASTER!$D$2:$D$5000,0)),"SĐT chưa đăng ký hội viên; ","")&amp;IF(AND($L23="Đã chuyển khoản",$M23=""),"Thiếu ngày nhận CK; ",""))</f>
        <v/>
      </c>
      <c r="T23" s="24" t="inlineStr">
        <is>
          <t>ĐVVC: J&amp;T | Mã VĐ: 801114012723 | POD: https://drive.google.com/drive/folders/14YqSb9mohXWUMATpBaLAocW_7uBLVQM8</t>
        </is>
      </c>
    </row>
    <row r="24" ht="14.25" customHeight="1" s="40">
      <c r="A24" s="24" t="n">
        <v>23</v>
      </c>
      <c r="B24" s="24" t="inlineStr">
        <is>
          <t>21/9/2026</t>
        </is>
      </c>
      <c r="C24" s="28" t="inlineStr">
        <is>
          <t>0904455324</t>
        </is>
      </c>
      <c r="D24" s="22">
        <f>IF($C24="","",IFERROR(INDEX(DATA_MASTER!$C$2:$C$5000,MATCH($C24,DATA_MASTER!$D$2:$D$5000,0)),"Lương Thúy Phương"))</f>
        <v/>
      </c>
      <c r="E24" s="22">
        <f>IF($C24="","",IFERROR(INDEX(DATA_MASTER!$I$2:$I$5000,MATCH($C24,DATA_MASTER!$D$2:$D$5000,0)),""))</f>
        <v/>
      </c>
      <c r="F24" s="22">
        <f>IF($C24="","",IFERROR(INDEX(DATA_MASTER!$L$2:$L$5000,MATCH($C24,DATA_MASTER!$D$2:$D$5000,0)),"ZM"))</f>
        <v/>
      </c>
      <c r="G24" s="24" t="inlineStr">
        <is>
          <t>Sữa Aptamil 380g</t>
        </is>
      </c>
      <c r="H24" s="24" t="n">
        <v>1</v>
      </c>
      <c r="I24" s="30" t="n">
        <v>320000</v>
      </c>
      <c r="J24" s="23">
        <f>IF(OR($H24="",$I24=""),"",$H24*$I24)</f>
        <v/>
      </c>
      <c r="K24" s="24" t="inlineStr">
        <is>
          <t>Chuyển khoản QR</t>
        </is>
      </c>
      <c r="L24" s="24" t="inlineStr">
        <is>
          <t>Đã chuyển khoản</t>
        </is>
      </c>
      <c r="M24" s="29" t="inlineStr">
        <is>
          <t>21/9/2026</t>
        </is>
      </c>
      <c r="N24" s="28" t="inlineStr">
        <is>
          <t>0904455324</t>
        </is>
      </c>
      <c r="O24" s="24" t="inlineStr">
        <is>
          <t>Lương Thúy Phương</t>
        </is>
      </c>
      <c r="P24" s="24" t="inlineStr">
        <is>
          <t>120/86/109 Thích Quảng Đức, P5, Phú Nhuận,</t>
        </is>
      </c>
      <c r="Q24" s="24" t="inlineStr">
        <is>
          <t>Đã giao</t>
        </is>
      </c>
      <c r="R24" s="24" t="inlineStr">
        <is>
          <t>Voi Con</t>
        </is>
      </c>
      <c r="S24" s="22">
        <f>IF(AND($A24="",$C24=""),"",IF($A24="","Thiếu mã đơn; ","")&amp;IF(COUNTIF($A$2:$A24,$A24)&gt;1,"Trùng mã đơn; ","")&amp;IF(COUNTIF($C$2:$C24,$C24)&gt;1,"Trùng SĐT; ","")&amp;IF(ISNA(MATCH($C24,DATA_MASTER!$D$2:$D$5000,0)),"SĐT chưa đăng ký hội viên; ","")&amp;IF(AND($L24="Đã chuyển khoản",$M24=""),"Thiếu ngày nhận CK; ",""))</f>
        <v/>
      </c>
      <c r="T24" s="24" t="inlineStr">
        <is>
          <t>ĐVVC: J&amp;T | Mã VĐ: 801113863848 | POD: https://drive.google.com/drive/folders/14YqSb9mohXWUMATpBaLAocW_7uBLVQM8</t>
        </is>
      </c>
    </row>
    <row r="25" ht="14.25" customHeight="1" s="40">
      <c r="A25" s="24" t="n">
        <v>24</v>
      </c>
      <c r="B25" s="24" t="inlineStr">
        <is>
          <t>21/9/2026</t>
        </is>
      </c>
      <c r="C25" s="28" t="inlineStr">
        <is>
          <t>0787129130</t>
        </is>
      </c>
      <c r="D25" s="22">
        <f>IF($C25="","",IFERROR(INDEX(DATA_MASTER!$C$2:$C$5000,MATCH($C25,DATA_MASTER!$D$2:$D$5000,0)),"Trần Ngọc Hân"))</f>
        <v/>
      </c>
      <c r="E25" s="22">
        <f>IF($C25="","",IFERROR(INDEX(DATA_MASTER!$I$2:$I$5000,MATCH($C25,DATA_MASTER!$D$2:$D$5000,0)),""))</f>
        <v/>
      </c>
      <c r="F25" s="22">
        <f>IF($C25="","",IFERROR(INDEX(DATA_MASTER!$L$2:$L$5000,MATCH($C25,DATA_MASTER!$D$2:$D$5000,0)),"ZM"))</f>
        <v/>
      </c>
      <c r="G25" s="24" t="inlineStr">
        <is>
          <t>Sữa Aptamil 380g</t>
        </is>
      </c>
      <c r="H25" s="24" t="n">
        <v>1</v>
      </c>
      <c r="I25" s="30" t="n">
        <v>320000</v>
      </c>
      <c r="J25" s="23">
        <f>IF(OR($H25="",$I25=""),"",$H25*$I25)</f>
        <v/>
      </c>
      <c r="K25" s="24" t="inlineStr">
        <is>
          <t>Chuyển khoản QR</t>
        </is>
      </c>
      <c r="L25" s="24" t="inlineStr">
        <is>
          <t>Đã chuyển khoản</t>
        </is>
      </c>
      <c r="M25" s="29" t="inlineStr">
        <is>
          <t>21/9/2026</t>
        </is>
      </c>
      <c r="N25" s="28" t="inlineStr">
        <is>
          <t>0787129130</t>
        </is>
      </c>
      <c r="O25" s="24" t="inlineStr">
        <is>
          <t>Trần Ngọc Hân</t>
        </is>
      </c>
      <c r="P25" s="24" t="inlineStr">
        <is>
          <t>216/7/17 nguyễn văn công phường 3, Gò Vấp</t>
        </is>
      </c>
      <c r="Q25" s="24" t="inlineStr">
        <is>
          <t>Đã giao</t>
        </is>
      </c>
      <c r="R25" s="24" t="inlineStr">
        <is>
          <t>Voi Con</t>
        </is>
      </c>
      <c r="S25" s="22">
        <f>IF(AND($A25="",$C25=""),"",IF($A25="","Thiếu mã đơn; ","")&amp;IF(COUNTIF($A$2:$A25,$A25)&gt;1,"Trùng mã đơn; ","")&amp;IF(COUNTIF($C$2:$C25,$C25)&gt;1,"Trùng SĐT; ","")&amp;IF(ISNA(MATCH($C25,DATA_MASTER!$D$2:$D$5000,0)),"SĐT chưa đăng ký hội viên; ","")&amp;IF(AND($L25="Đã chuyển khoản",$M25=""),"Thiếu ngày nhận CK; ",""))</f>
        <v/>
      </c>
      <c r="T25" s="24" t="inlineStr">
        <is>
          <t>ĐVVC: J&amp;T | Mã VĐ: 801114115849 | POD: https://drive.google.com/drive/folders/14YqSb9mohXWUMATpBaLAocW_7uBLVQM8</t>
        </is>
      </c>
    </row>
    <row r="26" ht="14.25" customHeight="1" s="40">
      <c r="A26" s="24" t="n">
        <v>25</v>
      </c>
      <c r="B26" s="24" t="inlineStr">
        <is>
          <t>21/9/2026</t>
        </is>
      </c>
      <c r="C26" s="28" t="inlineStr">
        <is>
          <t>0971215227</t>
        </is>
      </c>
      <c r="D26" s="22">
        <f>IF($C26="","",IFERROR(INDEX(DATA_MASTER!$C$2:$C$5000,MATCH($C26,DATA_MASTER!$D$2:$D$5000,0)),"Đỗ Ngọc Lan"))</f>
        <v/>
      </c>
      <c r="E26" s="22">
        <f>IF($C26="","",IFERROR(INDEX(DATA_MASTER!$I$2:$I$5000,MATCH($C26,DATA_MASTER!$D$2:$D$5000,0)),""))</f>
        <v/>
      </c>
      <c r="F26" s="22">
        <f>IF($C26="","",IFERROR(INDEX(DATA_MASTER!$L$2:$L$5000,MATCH($C26,DATA_MASTER!$D$2:$D$5000,0)),"ZM"))</f>
        <v/>
      </c>
      <c r="G26" s="24" t="inlineStr">
        <is>
          <t>Sữa Aptamil 380g</t>
        </is>
      </c>
      <c r="H26" s="24" t="n">
        <v>1</v>
      </c>
      <c r="I26" s="30" t="n">
        <v>320000</v>
      </c>
      <c r="J26" s="23">
        <f>IF(OR($H26="",$I26=""),"",$H26*$I26)</f>
        <v/>
      </c>
      <c r="K26" s="24" t="inlineStr">
        <is>
          <t>Chuyển khoản QR</t>
        </is>
      </c>
      <c r="L26" s="24" t="inlineStr">
        <is>
          <t>Đã chuyển khoản</t>
        </is>
      </c>
      <c r="M26" s="29" t="inlineStr">
        <is>
          <t>21/9/2026</t>
        </is>
      </c>
      <c r="N26" s="28" t="inlineStr">
        <is>
          <t>0971215227</t>
        </is>
      </c>
      <c r="O26" s="24" t="inlineStr">
        <is>
          <t>Đỗ Ngọc Lan</t>
        </is>
      </c>
      <c r="P26" s="24" t="inlineStr">
        <is>
          <t>2/47 đông hưng thuận 45 phường tân hưng thuận, Quận 12</t>
        </is>
      </c>
      <c r="Q26" s="24" t="inlineStr">
        <is>
          <t>Đã giao</t>
        </is>
      </c>
      <c r="R26" s="24" t="inlineStr">
        <is>
          <t>Voi Con</t>
        </is>
      </c>
      <c r="S26" s="22">
        <f>IF(AND($A26="",$C26=""),"",IF($A26="","Thiếu mã đơn; ","")&amp;IF(COUNTIF($A$2:$A26,$A26)&gt;1,"Trùng mã đơn; ","")&amp;IF(COUNTIF($C$2:$C26,$C26)&gt;1,"Trùng SĐT; ","")&amp;IF(ISNA(MATCH($C26,DATA_MASTER!$D$2:$D$5000,0)),"SĐT chưa đăng ký hội viên; ","")&amp;IF(AND($L26="Đã chuyển khoản",$M26=""),"Thiếu ngày nhận CK; ",""))</f>
        <v/>
      </c>
      <c r="T26" s="24" t="inlineStr">
        <is>
          <t>ĐVVC: J&amp;T | Mã VĐ: 801113828613 | POD: https://drive.google.com/drive/folders/14YqSb9mohXWUMATpBaLAocW_7uBLVQM8</t>
        </is>
      </c>
    </row>
    <row r="27" ht="14.25" customHeight="1" s="40">
      <c r="A27" s="24" t="n">
        <v>26</v>
      </c>
      <c r="B27" s="24" t="inlineStr">
        <is>
          <t>21/9/2026</t>
        </is>
      </c>
      <c r="C27" s="28" t="inlineStr">
        <is>
          <t>0359186944</t>
        </is>
      </c>
      <c r="D27" s="22">
        <f>IF($C27="","",IFERROR(INDEX(DATA_MASTER!$C$2:$C$5000,MATCH($C27,DATA_MASTER!$D$2:$D$5000,0)),"Nguyễn Thị Long Ẩn"))</f>
        <v/>
      </c>
      <c r="E27" s="22">
        <f>IF($C27="","",IFERROR(INDEX(DATA_MASTER!$I$2:$I$5000,MATCH($C27,DATA_MASTER!$D$2:$D$5000,0)),""))</f>
        <v/>
      </c>
      <c r="F27" s="22">
        <f>IF($C27="","",IFERROR(INDEX(DATA_MASTER!$L$2:$L$5000,MATCH($C27,DATA_MASTER!$D$2:$D$5000,0)),"ZM"))</f>
        <v/>
      </c>
      <c r="G27" s="24" t="inlineStr">
        <is>
          <t>Sữa Aptamil 380g</t>
        </is>
      </c>
      <c r="H27" s="24" t="n">
        <v>1</v>
      </c>
      <c r="I27" s="30" t="n">
        <v>320000</v>
      </c>
      <c r="J27" s="23">
        <f>IF(OR($H27="",$I27=""),"",$H27*$I27)</f>
        <v/>
      </c>
      <c r="K27" s="24" t="inlineStr">
        <is>
          <t>Chuyển khoản QR</t>
        </is>
      </c>
      <c r="L27" s="24" t="inlineStr">
        <is>
          <t>Đã chuyển khoản</t>
        </is>
      </c>
      <c r="M27" s="29" t="inlineStr">
        <is>
          <t>21/9/2026</t>
        </is>
      </c>
      <c r="N27" s="28" t="inlineStr">
        <is>
          <t>0359186944</t>
        </is>
      </c>
      <c r="O27" s="24" t="inlineStr">
        <is>
          <t>Nguyễn Thị Long Ẩn</t>
        </is>
      </c>
      <c r="P27" s="24" t="inlineStr">
        <is>
          <t>103/27/170 đường số 2- phường 3, Gò Vấp</t>
        </is>
      </c>
      <c r="Q27" s="24" t="inlineStr">
        <is>
          <t>Đã giao</t>
        </is>
      </c>
      <c r="R27" s="24" t="inlineStr">
        <is>
          <t>Voi Con</t>
        </is>
      </c>
      <c r="S27" s="22">
        <f>IF(AND($A27="",$C27=""),"",IF($A27="","Thiếu mã đơn; ","")&amp;IF(COUNTIF($A$2:$A27,$A27)&gt;1,"Trùng mã đơn; ","")&amp;IF(COUNTIF($C$2:$C27,$C27)&gt;1,"Trùng SĐT; ","")&amp;IF(ISNA(MATCH($C27,DATA_MASTER!$D$2:$D$5000,0)),"SĐT chưa đăng ký hội viên; ","")&amp;IF(AND($L27="Đã chuyển khoản",$M27=""),"Thiếu ngày nhận CK; ",""))</f>
        <v/>
      </c>
      <c r="T27" s="24" t="inlineStr">
        <is>
          <t>ĐVVC: J&amp;T | Mã VĐ: 801113894948 | POD: https://drive.google.com/drive/folders/14YqSb9mohXWUMATpBaLAocW_7uBLVQM8</t>
        </is>
      </c>
    </row>
    <row r="28" ht="14.25" customHeight="1" s="40">
      <c r="A28" s="24" t="n">
        <v>27</v>
      </c>
      <c r="B28" s="24" t="inlineStr">
        <is>
          <t>21/9/2026</t>
        </is>
      </c>
      <c r="C28" s="28" t="inlineStr">
        <is>
          <t>0906675597</t>
        </is>
      </c>
      <c r="D28" s="22">
        <f>IF($C28="","",IFERROR(INDEX(DATA_MASTER!$C$2:$C$5000,MATCH($C28,DATA_MASTER!$D$2:$D$5000,0)),"ĐẶNG THỊ KIM NINH"))</f>
        <v/>
      </c>
      <c r="E28" s="22">
        <f>IF($C28="","",IFERROR(INDEX(DATA_MASTER!$I$2:$I$5000,MATCH($C28,DATA_MASTER!$D$2:$D$5000,0)),""))</f>
        <v/>
      </c>
      <c r="F28" s="22">
        <f>IF($C28="","",IFERROR(INDEX(DATA_MASTER!$L$2:$L$5000,MATCH($C28,DATA_MASTER!$D$2:$D$5000,0)),"ZM"))</f>
        <v/>
      </c>
      <c r="G28" s="24" t="inlineStr">
        <is>
          <t>Sữa Aptamil 380g</t>
        </is>
      </c>
      <c r="H28" s="24" t="n">
        <v>1</v>
      </c>
      <c r="I28" s="30" t="n">
        <v>320000</v>
      </c>
      <c r="J28" s="23">
        <f>IF(OR($H28="",$I28=""),"",$H28*$I28)</f>
        <v/>
      </c>
      <c r="K28" s="24" t="inlineStr">
        <is>
          <t>Chuyển khoản QR</t>
        </is>
      </c>
      <c r="L28" s="24" t="inlineStr">
        <is>
          <t>Đã chuyển khoản</t>
        </is>
      </c>
      <c r="M28" s="29" t="inlineStr">
        <is>
          <t>21/9/2026</t>
        </is>
      </c>
      <c r="N28" s="28" t="inlineStr">
        <is>
          <t>0906675597</t>
        </is>
      </c>
      <c r="O28" s="24" t="inlineStr">
        <is>
          <t>ĐẶNG THỊ KIM NINH</t>
        </is>
      </c>
      <c r="P28" s="24" t="inlineStr">
        <is>
          <t>161/1/6 đường TX14 phường thạnh xuân, Quận 12</t>
        </is>
      </c>
      <c r="Q28" s="24" t="inlineStr">
        <is>
          <t>Đã giao</t>
        </is>
      </c>
      <c r="R28" s="24" t="inlineStr">
        <is>
          <t>Voi Con</t>
        </is>
      </c>
      <c r="S28" s="22">
        <f>IF(AND($A28="",$C28=""),"",IF($A28="","Thiếu mã đơn; ","")&amp;IF(COUNTIF($A$2:$A28,$A28)&gt;1,"Trùng mã đơn; ","")&amp;IF(COUNTIF($C$2:$C28,$C28)&gt;1,"Trùng SĐT; ","")&amp;IF(ISNA(MATCH($C28,DATA_MASTER!$D$2:$D$5000,0)),"SĐT chưa đăng ký hội viên; ","")&amp;IF(AND($L28="Đã chuyển khoản",$M28=""),"Thiếu ngày nhận CK; ",""))</f>
        <v/>
      </c>
      <c r="T28" s="24" t="inlineStr">
        <is>
          <t>ĐVVC: J&amp;T | Mã VĐ: 801113518548 | POD: https://drive.google.com/drive/folders/14YqSb9mohXWUMATpBaLAocW_7uBLVQM8</t>
        </is>
      </c>
    </row>
    <row r="29" ht="14.25" customHeight="1" s="40">
      <c r="A29" s="24" t="n">
        <v>28</v>
      </c>
      <c r="B29" s="24" t="inlineStr">
        <is>
          <t>21/9/2026</t>
        </is>
      </c>
      <c r="C29" s="28" t="inlineStr">
        <is>
          <t>0896878585</t>
        </is>
      </c>
      <c r="D29" s="22">
        <f>IF($C29="","",IFERROR(INDEX(DATA_MASTER!$C$2:$C$5000,MATCH($C29,DATA_MASTER!$D$2:$D$5000,0)),"Nguyễn Tường Vi"))</f>
        <v/>
      </c>
      <c r="E29" s="22">
        <f>IF($C29="","",IFERROR(INDEX(DATA_MASTER!$I$2:$I$5000,MATCH($C29,DATA_MASTER!$D$2:$D$5000,0)),""))</f>
        <v/>
      </c>
      <c r="F29" s="22">
        <f>IF($C29="","",IFERROR(INDEX(DATA_MASTER!$L$2:$L$5000,MATCH($C29,DATA_MASTER!$D$2:$D$5000,0)),"ZM"))</f>
        <v/>
      </c>
      <c r="G29" s="24" t="inlineStr">
        <is>
          <t>Sữa Aptamil 380g</t>
        </is>
      </c>
      <c r="H29" s="24" t="n">
        <v>1</v>
      </c>
      <c r="I29" s="30" t="n">
        <v>320000</v>
      </c>
      <c r="J29" s="23">
        <f>IF(OR($H29="",$I29=""),"",$H29*$I29)</f>
        <v/>
      </c>
      <c r="K29" s="24" t="inlineStr">
        <is>
          <t>Chuyển khoản QR</t>
        </is>
      </c>
      <c r="L29" s="24" t="inlineStr">
        <is>
          <t>Đã chuyển khoản</t>
        </is>
      </c>
      <c r="M29" s="29" t="inlineStr">
        <is>
          <t>21/9/2026</t>
        </is>
      </c>
      <c r="N29" s="28" t="inlineStr">
        <is>
          <t>0896878585</t>
        </is>
      </c>
      <c r="O29" s="24" t="inlineStr">
        <is>
          <t>Nguyễn Tường Vi</t>
        </is>
      </c>
      <c r="P29" s="24" t="inlineStr">
        <is>
          <t>488 tỉnh lộ 15, ấp Bến Đình, xã Nhuận Đức, Củ Chi</t>
        </is>
      </c>
      <c r="Q29" s="24" t="inlineStr">
        <is>
          <t>Đã giao</t>
        </is>
      </c>
      <c r="R29" s="24" t="inlineStr">
        <is>
          <t>Voi Con</t>
        </is>
      </c>
      <c r="S29" s="22">
        <f>IF(AND($A29="",$C29=""),"",IF($A29="","Thiếu mã đơn; ","")&amp;IF(COUNTIF($A$2:$A29,$A29)&gt;1,"Trùng mã đơn; ","")&amp;IF(COUNTIF($C$2:$C29,$C29)&gt;1,"Trùng SĐT; ","")&amp;IF(ISNA(MATCH($C29,DATA_MASTER!$D$2:$D$5000,0)),"SĐT chưa đăng ký hội viên; ","")&amp;IF(AND($L29="Đã chuyển khoản",$M29=""),"Thiếu ngày nhận CK; ",""))</f>
        <v/>
      </c>
      <c r="T29" s="24" t="inlineStr">
        <is>
          <t>ĐVVC: J&amp;T | Mã VĐ: 801114054415 | POD: https://drive.google.com/drive/folders/14YqSb9mohXWUMATpBaLAocW_7uBLVQM8</t>
        </is>
      </c>
    </row>
    <row r="30" ht="14.25" customHeight="1" s="40">
      <c r="A30" s="24" t="n">
        <v>29</v>
      </c>
      <c r="B30" s="24" t="inlineStr">
        <is>
          <t>21/9/2026</t>
        </is>
      </c>
      <c r="C30" s="28" t="inlineStr">
        <is>
          <t>0942841858</t>
        </is>
      </c>
      <c r="D30" s="22">
        <f>IF($C30="","",IFERROR(INDEX(DATA_MASTER!$C$2:$C$5000,MATCH($C30,DATA_MASTER!$D$2:$D$5000,0)),"Dương Hoàng Phương Vi"))</f>
        <v/>
      </c>
      <c r="E30" s="22">
        <f>IF($C30="","",IFERROR(INDEX(DATA_MASTER!$I$2:$I$5000,MATCH($C30,DATA_MASTER!$D$2:$D$5000,0)),""))</f>
        <v/>
      </c>
      <c r="F30" s="22">
        <f>IF($C30="","",IFERROR(INDEX(DATA_MASTER!$L$2:$L$5000,MATCH($C30,DATA_MASTER!$D$2:$D$5000,0)),"ZM"))</f>
        <v/>
      </c>
      <c r="G30" s="24" t="inlineStr">
        <is>
          <t>Sữa Aptamil 380g</t>
        </is>
      </c>
      <c r="H30" s="24" t="n">
        <v>1</v>
      </c>
      <c r="I30" s="30" t="n">
        <v>320000</v>
      </c>
      <c r="J30" s="23">
        <f>IF(OR($H30="",$I30=""),"",$H30*$I30)</f>
        <v/>
      </c>
      <c r="K30" s="24" t="inlineStr">
        <is>
          <t>Chuyển khoản QR</t>
        </is>
      </c>
      <c r="L30" s="24" t="inlineStr">
        <is>
          <t>Đã chuyển khoản</t>
        </is>
      </c>
      <c r="M30" s="29" t="inlineStr">
        <is>
          <t>21/9/2026</t>
        </is>
      </c>
      <c r="N30" s="28" t="inlineStr">
        <is>
          <t>0942841858</t>
        </is>
      </c>
      <c r="O30" s="24" t="inlineStr">
        <is>
          <t>Dương Hoàng Phương Vi</t>
        </is>
      </c>
      <c r="P30" s="24" t="inlineStr">
        <is>
          <t>124D đường số 32B (Khu Ao Sen), P. Bình Trị Đông B, Bình Tân</t>
        </is>
      </c>
      <c r="Q30" s="24" t="inlineStr">
        <is>
          <t>Đã giao</t>
        </is>
      </c>
      <c r="R30" s="24" t="inlineStr">
        <is>
          <t>Voi Con</t>
        </is>
      </c>
      <c r="S30" s="22">
        <f>IF(AND($A30="",$C30=""),"",IF($A30="","Thiếu mã đơn; ","")&amp;IF(COUNTIF($A$2:$A30,$A30)&gt;1,"Trùng mã đơn; ","")&amp;IF(COUNTIF($C$2:$C30,$C30)&gt;1,"Trùng SĐT; ","")&amp;IF(ISNA(MATCH($C30,DATA_MASTER!$D$2:$D$5000,0)),"SĐT chưa đăng ký hội viên; ","")&amp;IF(AND($L30="Đã chuyển khoản",$M30=""),"Thiếu ngày nhận CK; ",""))</f>
        <v/>
      </c>
      <c r="T30" s="24" t="inlineStr">
        <is>
          <t>ĐVVC: J&amp;T | Mã VĐ: 801113267714 | POD: https://drive.google.com/drive/folders/14YqSb9mohXWUMATpBaLAocW_7uBLVQM8</t>
        </is>
      </c>
    </row>
    <row r="31" ht="14.25" customHeight="1" s="40">
      <c r="A31" s="24" t="n">
        <v>30</v>
      </c>
      <c r="B31" s="24" t="inlineStr">
        <is>
          <t>21/9/2026</t>
        </is>
      </c>
      <c r="C31" s="28" t="inlineStr">
        <is>
          <t>0386879702</t>
        </is>
      </c>
      <c r="D31" s="22">
        <f>IF($C31="","",IFERROR(INDEX(DATA_MASTER!$C$2:$C$5000,MATCH($C31,DATA_MASTER!$D$2:$D$5000,0)),"Trần Đan Khanh"))</f>
        <v/>
      </c>
      <c r="E31" s="22">
        <f>IF($C31="","",IFERROR(INDEX(DATA_MASTER!$I$2:$I$5000,MATCH($C31,DATA_MASTER!$D$2:$D$5000,0)),""))</f>
        <v/>
      </c>
      <c r="F31" s="22">
        <f>IF($C31="","",IFERROR(INDEX(DATA_MASTER!$L$2:$L$5000,MATCH($C31,DATA_MASTER!$D$2:$D$5000,0)),"ZM"))</f>
        <v/>
      </c>
      <c r="G31" s="24" t="inlineStr">
        <is>
          <t>Sữa Aptamil 380g</t>
        </is>
      </c>
      <c r="H31" s="24" t="n">
        <v>1</v>
      </c>
      <c r="I31" s="30" t="n">
        <v>320000</v>
      </c>
      <c r="J31" s="23">
        <f>IF(OR($H31="",$I31=""),"",$H31*$I31)</f>
        <v/>
      </c>
      <c r="K31" s="24" t="inlineStr">
        <is>
          <t>Chuyển khoản QR</t>
        </is>
      </c>
      <c r="L31" s="24" t="inlineStr">
        <is>
          <t>Đã chuyển khoản</t>
        </is>
      </c>
      <c r="M31" s="29" t="inlineStr">
        <is>
          <t>21/9/2026</t>
        </is>
      </c>
      <c r="N31" s="28" t="inlineStr">
        <is>
          <t>0386879702</t>
        </is>
      </c>
      <c r="O31" s="24" t="inlineStr">
        <is>
          <t>Trần Đan Khanh</t>
        </is>
      </c>
      <c r="P31" s="24" t="inlineStr">
        <is>
          <t>551/119/32C Lê Văn Khương, Phường Hiệp Thành, Quận 12</t>
        </is>
      </c>
      <c r="Q31" s="24" t="inlineStr">
        <is>
          <t>Đã giao</t>
        </is>
      </c>
      <c r="R31" s="24" t="inlineStr">
        <is>
          <t>Voi Con</t>
        </is>
      </c>
      <c r="S31" s="22">
        <f>IF(AND($A31="",$C31=""),"",IF($A31="","Thiếu mã đơn; ","")&amp;IF(COUNTIF($A$2:$A31,$A31)&gt;1,"Trùng mã đơn; ","")&amp;IF(COUNTIF($C$2:$C31,$C31)&gt;1,"Trùng SĐT; ","")&amp;IF(ISNA(MATCH($C31,DATA_MASTER!$D$2:$D$5000,0)),"SĐT chưa đăng ký hội viên; ","")&amp;IF(AND($L31="Đã chuyển khoản",$M31=""),"Thiếu ngày nhận CK; ",""))</f>
        <v/>
      </c>
      <c r="T31" s="24" t="inlineStr">
        <is>
          <t>ĐVVC: J&amp;T | Mã VĐ: 801113880039 | POD: https://drive.google.com/drive/folders/14YqSb9mohXWUMATpBaLAocW_7uBLVQM8</t>
        </is>
      </c>
    </row>
    <row r="32" ht="14.25" customHeight="1" s="40">
      <c r="A32" s="24" t="n">
        <v>31</v>
      </c>
      <c r="B32" s="24" t="inlineStr">
        <is>
          <t>21/9/2026</t>
        </is>
      </c>
      <c r="C32" s="28" t="inlineStr">
        <is>
          <t>0908225588</t>
        </is>
      </c>
      <c r="D32" s="22">
        <f>IF($C32="","",IFERROR(INDEX(DATA_MASTER!$C$2:$C$5000,MATCH($C32,DATA_MASTER!$D$2:$D$5000,0)),"Lê Ngọc Minh Thư"))</f>
        <v/>
      </c>
      <c r="E32" s="22">
        <f>IF($C32="","",IFERROR(INDEX(DATA_MASTER!$I$2:$I$5000,MATCH($C32,DATA_MASTER!$D$2:$D$5000,0)),""))</f>
        <v/>
      </c>
      <c r="F32" s="22">
        <f>IF($C32="","",IFERROR(INDEX(DATA_MASTER!$L$2:$L$5000,MATCH($C32,DATA_MASTER!$D$2:$D$5000,0)),"ZM"))</f>
        <v/>
      </c>
      <c r="G32" s="24" t="inlineStr">
        <is>
          <t>Sữa Aptamil 380g</t>
        </is>
      </c>
      <c r="H32" s="24" t="n">
        <v>1</v>
      </c>
      <c r="I32" s="30" t="n">
        <v>320000</v>
      </c>
      <c r="J32" s="23">
        <f>IF(OR($H32="",$I32=""),"",$H32*$I32)</f>
        <v/>
      </c>
      <c r="K32" s="24" t="inlineStr">
        <is>
          <t>Chuyển khoản QR</t>
        </is>
      </c>
      <c r="L32" s="24" t="inlineStr">
        <is>
          <t>Đã chuyển khoản</t>
        </is>
      </c>
      <c r="M32" s="29" t="inlineStr">
        <is>
          <t>21/9/2026</t>
        </is>
      </c>
      <c r="N32" s="28" t="inlineStr">
        <is>
          <t>0908225588</t>
        </is>
      </c>
      <c r="O32" s="24" t="inlineStr">
        <is>
          <t>Lê Ngọc Minh Thư</t>
        </is>
      </c>
      <c r="P32" s="24" t="inlineStr">
        <is>
          <t>Sarimi A2, đường D9, An Khánh, Quận 2</t>
        </is>
      </c>
      <c r="Q32" s="24" t="inlineStr">
        <is>
          <t>Đã giao</t>
        </is>
      </c>
      <c r="R32" s="24" t="inlineStr">
        <is>
          <t>Voi Con</t>
        </is>
      </c>
      <c r="S32" s="22">
        <f>IF(AND($A32="",$C32=""),"",IF($A32="","Thiếu mã đơn; ","")&amp;IF(COUNTIF($A$2:$A32,$A32)&gt;1,"Trùng mã đơn; ","")&amp;IF(COUNTIF($C$2:$C32,$C32)&gt;1,"Trùng SĐT; ","")&amp;IF(ISNA(MATCH($C32,DATA_MASTER!$D$2:$D$5000,0)),"SĐT chưa đăng ký hội viên; ","")&amp;IF(AND($L32="Đã chuyển khoản",$M32=""),"Thiếu ngày nhận CK; ",""))</f>
        <v/>
      </c>
      <c r="T32" s="24" t="inlineStr">
        <is>
          <t>ĐVVC: J&amp;T | Mã VĐ: 801113465690 | POD: https://drive.google.com/drive/folders/14YqSb9mohXWUMATpBaLAocW_7uBLVQM8</t>
        </is>
      </c>
    </row>
    <row r="33" ht="14.25" customHeight="1" s="40">
      <c r="A33" s="24" t="n">
        <v>32</v>
      </c>
      <c r="B33" s="24" t="inlineStr">
        <is>
          <t>21/9/2026</t>
        </is>
      </c>
      <c r="C33" s="28" t="inlineStr">
        <is>
          <t>0944731011</t>
        </is>
      </c>
      <c r="D33" s="22">
        <f>IF($C33="","",IFERROR(INDEX(DATA_MASTER!$C$2:$C$5000,MATCH($C33,DATA_MASTER!$D$2:$D$5000,0)),"Ngô Thảo Tâm"))</f>
        <v/>
      </c>
      <c r="E33" s="22">
        <f>IF($C33="","",IFERROR(INDEX(DATA_MASTER!$I$2:$I$5000,MATCH($C33,DATA_MASTER!$D$2:$D$5000,0)),""))</f>
        <v/>
      </c>
      <c r="F33" s="22">
        <f>IF($C33="","",IFERROR(INDEX(DATA_MASTER!$L$2:$L$5000,MATCH($C33,DATA_MASTER!$D$2:$D$5000,0)),"ZM"))</f>
        <v/>
      </c>
      <c r="G33" s="24" t="inlineStr">
        <is>
          <t>Sữa Aptamil 380g</t>
        </is>
      </c>
      <c r="H33" s="24" t="n">
        <v>1</v>
      </c>
      <c r="I33" s="30" t="n">
        <v>320000</v>
      </c>
      <c r="J33" s="23">
        <f>IF(OR($H33="",$I33=""),"",$H33*$I33)</f>
        <v/>
      </c>
      <c r="K33" s="24" t="inlineStr">
        <is>
          <t>Chuyển khoản QR</t>
        </is>
      </c>
      <c r="L33" s="24" t="inlineStr">
        <is>
          <t>Đã chuyển khoản</t>
        </is>
      </c>
      <c r="M33" s="29" t="inlineStr">
        <is>
          <t>21/9/2026</t>
        </is>
      </c>
      <c r="N33" s="28" t="inlineStr">
        <is>
          <t>0944731011</t>
        </is>
      </c>
      <c r="O33" s="24" t="inlineStr">
        <is>
          <t>Ngô Thảo Tâm</t>
        </is>
      </c>
      <c r="P33" s="24" t="inlineStr">
        <is>
          <t>433 Đường Bình Mỹ, Xã Bình Mỹ, Xã Bình Mỹ, Củ Chi</t>
        </is>
      </c>
      <c r="Q33" s="24" t="inlineStr">
        <is>
          <t>Đã giao</t>
        </is>
      </c>
      <c r="R33" s="24" t="inlineStr">
        <is>
          <t>Voi Con</t>
        </is>
      </c>
      <c r="S33" s="22">
        <f>IF(AND($A33="",$C33=""),"",IF($A33="","Thiếu mã đơn; ","")&amp;IF(COUNTIF($A$2:$A33,$A33)&gt;1,"Trùng mã đơn; ","")&amp;IF(COUNTIF($C$2:$C33,$C33)&gt;1,"Trùng SĐT; ","")&amp;IF(ISNA(MATCH($C33,DATA_MASTER!$D$2:$D$5000,0)),"SĐT chưa đăng ký hội viên; ","")&amp;IF(AND($L33="Đã chuyển khoản",$M33=""),"Thiếu ngày nhận CK; ",""))</f>
        <v/>
      </c>
      <c r="T33" s="24" t="inlineStr">
        <is>
          <t>ĐVVC: J&amp;T | Mã VĐ: 801113829109 | POD: https://drive.google.com/drive/folders/14YqSb9mohXWUMATpBaLAocW_7uBLVQM8</t>
        </is>
      </c>
    </row>
    <row r="34" ht="14.25" customHeight="1" s="40">
      <c r="A34" s="24" t="n">
        <v>33</v>
      </c>
      <c r="B34" s="24" t="inlineStr">
        <is>
          <t>21/9/2026</t>
        </is>
      </c>
      <c r="C34" s="28" t="inlineStr">
        <is>
          <t>0336918645</t>
        </is>
      </c>
      <c r="D34" s="22">
        <f>IF($C34="","",IFERROR(INDEX(DATA_MASTER!$C$2:$C$5000,MATCH($C34,DATA_MASTER!$D$2:$D$5000,0)),"Trần Trịnh Quỳnh Hoa"))</f>
        <v/>
      </c>
      <c r="E34" s="22">
        <f>IF($C34="","",IFERROR(INDEX(DATA_MASTER!$I$2:$I$5000,MATCH($C34,DATA_MASTER!$D$2:$D$5000,0)),""))</f>
        <v/>
      </c>
      <c r="F34" s="22">
        <f>IF($C34="","",IFERROR(INDEX(DATA_MASTER!$L$2:$L$5000,MATCH($C34,DATA_MASTER!$D$2:$D$5000,0)),"ZM"))</f>
        <v/>
      </c>
      <c r="G34" s="24" t="inlineStr">
        <is>
          <t>Sữa Aptamil 380g</t>
        </is>
      </c>
      <c r="H34" s="24" t="n">
        <v>1</v>
      </c>
      <c r="I34" s="30" t="n">
        <v>320000</v>
      </c>
      <c r="J34" s="23">
        <f>IF(OR($H34="",$I34=""),"",$H34*$I34)</f>
        <v/>
      </c>
      <c r="K34" s="24" t="inlineStr">
        <is>
          <t>Chuyển khoản QR</t>
        </is>
      </c>
      <c r="L34" s="24" t="inlineStr">
        <is>
          <t>Đã chuyển khoản</t>
        </is>
      </c>
      <c r="M34" s="29" t="inlineStr">
        <is>
          <t>21/9/2026</t>
        </is>
      </c>
      <c r="N34" s="28" t="inlineStr">
        <is>
          <t>0336918645</t>
        </is>
      </c>
      <c r="O34" s="24" t="inlineStr">
        <is>
          <t>Trần Trịnh Quỳnh Hoa</t>
        </is>
      </c>
      <c r="P34" s="24" t="inlineStr">
        <is>
          <t>19/16/4G đường Bàu Trâm, xã Trung An, Củ Chi</t>
        </is>
      </c>
      <c r="Q34" s="24" t="inlineStr">
        <is>
          <t>Đã giao</t>
        </is>
      </c>
      <c r="R34" s="24" t="inlineStr">
        <is>
          <t>Voi Con</t>
        </is>
      </c>
      <c r="S34" s="22">
        <f>IF(AND($A34="",$C34=""),"",IF($A34="","Thiếu mã đơn; ","")&amp;IF(COUNTIF($A$2:$A34,$A34)&gt;1,"Trùng mã đơn; ","")&amp;IF(COUNTIF($C$2:$C34,$C34)&gt;1,"Trùng SĐT; ","")&amp;IF(ISNA(MATCH($C34,DATA_MASTER!$D$2:$D$5000,0)),"SĐT chưa đăng ký hội viên; ","")&amp;IF(AND($L34="Đã chuyển khoản",$M34=""),"Thiếu ngày nhận CK; ",""))</f>
        <v/>
      </c>
      <c r="T34" s="24" t="inlineStr">
        <is>
          <t>ĐVVC: J&amp;T | Mã VĐ: 801113950095 | POD: https://drive.google.com/drive/folders/14YqSb9mohXWUMATpBaLAocW_7uBLVQM8</t>
        </is>
      </c>
    </row>
    <row r="35" ht="14.25" customHeight="1" s="40">
      <c r="A35" s="24" t="n">
        <v>34</v>
      </c>
      <c r="B35" s="24" t="inlineStr">
        <is>
          <t>21/9/2026</t>
        </is>
      </c>
      <c r="C35" s="28" t="inlineStr">
        <is>
          <t>0902847834</t>
        </is>
      </c>
      <c r="D35" s="22">
        <f>IF($C35="","",IFERROR(INDEX(DATA_MASTER!$C$2:$C$5000,MATCH($C35,DATA_MASTER!$D$2:$D$5000,0)),"Lư Nguyệt Quế"))</f>
        <v/>
      </c>
      <c r="E35" s="22">
        <f>IF($C35="","",IFERROR(INDEX(DATA_MASTER!$I$2:$I$5000,MATCH($C35,DATA_MASTER!$D$2:$D$5000,0)),""))</f>
        <v/>
      </c>
      <c r="F35" s="22">
        <f>IF($C35="","",IFERROR(INDEX(DATA_MASTER!$L$2:$L$5000,MATCH($C35,DATA_MASTER!$D$2:$D$5000,0)),"ZM"))</f>
        <v/>
      </c>
      <c r="G35" s="24" t="inlineStr">
        <is>
          <t>Sữa Aptamil 380g</t>
        </is>
      </c>
      <c r="H35" s="24" t="n">
        <v>1</v>
      </c>
      <c r="I35" s="30" t="n">
        <v>320000</v>
      </c>
      <c r="J35" s="23">
        <f>IF(OR($H35="",$I35=""),"",$H35*$I35)</f>
        <v/>
      </c>
      <c r="K35" s="24" t="inlineStr">
        <is>
          <t>Chuyển khoản QR</t>
        </is>
      </c>
      <c r="L35" s="24" t="inlineStr">
        <is>
          <t>Đã chuyển khoản</t>
        </is>
      </c>
      <c r="M35" s="29" t="inlineStr">
        <is>
          <t>21/9/2026</t>
        </is>
      </c>
      <c r="N35" s="28" t="inlineStr">
        <is>
          <t>0902847834</t>
        </is>
      </c>
      <c r="O35" s="24" t="inlineStr">
        <is>
          <t>Lư Nguyệt Quế</t>
        </is>
      </c>
      <c r="P35" s="24" t="inlineStr">
        <is>
          <t>28/11 đường Liên Khu 8-9, Phường Bình Hưng Hoà A,, Bình Tân</t>
        </is>
      </c>
      <c r="Q35" s="24" t="inlineStr">
        <is>
          <t>Đã giao</t>
        </is>
      </c>
      <c r="R35" s="24" t="inlineStr">
        <is>
          <t>Voi Con</t>
        </is>
      </c>
      <c r="S35" s="22">
        <f>IF(AND($A35="",$C35=""),"",IF($A35="","Thiếu mã đơn; ","")&amp;IF(COUNTIF($A$2:$A35,$A35)&gt;1,"Trùng mã đơn; ","")&amp;IF(COUNTIF($C$2:$C35,$C35)&gt;1,"Trùng SĐT; ","")&amp;IF(ISNA(MATCH($C35,DATA_MASTER!$D$2:$D$5000,0)),"SĐT chưa đăng ký hội viên; ","")&amp;IF(AND($L35="Đã chuyển khoản",$M35=""),"Thiếu ngày nhận CK; ",""))</f>
        <v/>
      </c>
      <c r="T35" s="24" t="inlineStr">
        <is>
          <t>ĐVVC: J&amp;T | Mã VĐ: 801114043755 | POD: https://drive.google.com/drive/folders/14YqSb9mohXWUMATpBaLAocW_7uBLVQM8</t>
        </is>
      </c>
    </row>
    <row r="36" ht="14.25" customHeight="1" s="40">
      <c r="A36" s="24" t="n">
        <v>35</v>
      </c>
      <c r="B36" s="24" t="inlineStr">
        <is>
          <t>21/9/2026</t>
        </is>
      </c>
      <c r="C36" s="28" t="inlineStr">
        <is>
          <t>0924734621</t>
        </is>
      </c>
      <c r="D36" s="22">
        <f>IF($C36="","",IFERROR(INDEX(DATA_MASTER!$C$2:$C$5000,MATCH($C36,DATA_MASTER!$D$2:$D$5000,0)),"Lương Diệu Hiền"))</f>
        <v/>
      </c>
      <c r="E36" s="22">
        <f>IF($C36="","",IFERROR(INDEX(DATA_MASTER!$I$2:$I$5000,MATCH($C36,DATA_MASTER!$D$2:$D$5000,0)),""))</f>
        <v/>
      </c>
      <c r="F36" s="22">
        <f>IF($C36="","",IFERROR(INDEX(DATA_MASTER!$L$2:$L$5000,MATCH($C36,DATA_MASTER!$D$2:$D$5000,0)),"ZM"))</f>
        <v/>
      </c>
      <c r="G36" s="24" t="inlineStr">
        <is>
          <t>Sữa Aptamil 380g</t>
        </is>
      </c>
      <c r="H36" s="24" t="n">
        <v>1</v>
      </c>
      <c r="I36" s="30" t="n">
        <v>320000</v>
      </c>
      <c r="J36" s="23">
        <f>IF(OR($H36="",$I36=""),"",$H36*$I36)</f>
        <v/>
      </c>
      <c r="K36" s="24" t="inlineStr">
        <is>
          <t>Chuyển khoản QR</t>
        </is>
      </c>
      <c r="L36" s="24" t="inlineStr">
        <is>
          <t>Đã chuyển khoản</t>
        </is>
      </c>
      <c r="M36" s="29" t="inlineStr">
        <is>
          <t>21/9/2026</t>
        </is>
      </c>
      <c r="N36" s="28" t="inlineStr">
        <is>
          <t>0924734621</t>
        </is>
      </c>
      <c r="O36" s="24" t="inlineStr">
        <is>
          <t>Lương Diệu Hiền</t>
        </is>
      </c>
      <c r="P36" s="24" t="inlineStr">
        <is>
          <t>172/7/1 Ấp 7, đường Đặng Thúc Vịnh, xã Đông Thạnh, Hóc Môn</t>
        </is>
      </c>
      <c r="Q36" s="24" t="inlineStr">
        <is>
          <t>Đã giao</t>
        </is>
      </c>
      <c r="R36" s="24" t="inlineStr">
        <is>
          <t>Voi Con</t>
        </is>
      </c>
      <c r="S36" s="22">
        <f>IF(AND($A36="",$C36=""),"",IF($A36="","Thiếu mã đơn; ","")&amp;IF(COUNTIF($A$2:$A36,$A36)&gt;1,"Trùng mã đơn; ","")&amp;IF(COUNTIF($C$2:$C36,$C36)&gt;1,"Trùng SĐT; ","")&amp;IF(ISNA(MATCH($C36,DATA_MASTER!$D$2:$D$5000,0)),"SĐT chưa đăng ký hội viên; ","")&amp;IF(AND($L36="Đã chuyển khoản",$M36=""),"Thiếu ngày nhận CK; ",""))</f>
        <v/>
      </c>
      <c r="T36" s="24" t="inlineStr">
        <is>
          <t>ĐVVC: J&amp;T | Mã VĐ: 801111922364 | POD: https://drive.google.com/drive/folders/14YqSb9mohXWUMATpBaLAocW_7uBLVQM8</t>
        </is>
      </c>
    </row>
    <row r="37" ht="14.25" customHeight="1" s="40">
      <c r="A37" s="24" t="n">
        <v>36</v>
      </c>
      <c r="B37" s="24" t="inlineStr">
        <is>
          <t>21/9/2026</t>
        </is>
      </c>
      <c r="C37" s="28" t="inlineStr">
        <is>
          <t>0901370868</t>
        </is>
      </c>
      <c r="D37" s="22">
        <f>IF($C37="","",IFERROR(INDEX(DATA_MASTER!$C$2:$C$5000,MATCH($C37,DATA_MASTER!$D$2:$D$5000,0)),"Loan Lương"))</f>
        <v/>
      </c>
      <c r="E37" s="22">
        <f>IF($C37="","",IFERROR(INDEX(DATA_MASTER!$I$2:$I$5000,MATCH($C37,DATA_MASTER!$D$2:$D$5000,0)),""))</f>
        <v/>
      </c>
      <c r="F37" s="22">
        <f>IF($C37="","",IFERROR(INDEX(DATA_MASTER!$L$2:$L$5000,MATCH($C37,DATA_MASTER!$D$2:$D$5000,0)),"ZM"))</f>
        <v/>
      </c>
      <c r="G37" s="24" t="inlineStr">
        <is>
          <t>Sữa Aptamil 380g</t>
        </is>
      </c>
      <c r="H37" s="24" t="n">
        <v>1</v>
      </c>
      <c r="I37" s="30" t="n">
        <v>320000</v>
      </c>
      <c r="J37" s="23">
        <f>IF(OR($H37="",$I37=""),"",$H37*$I37)</f>
        <v/>
      </c>
      <c r="K37" s="24" t="inlineStr">
        <is>
          <t>Chuyển khoản QR</t>
        </is>
      </c>
      <c r="L37" s="24" t="inlineStr">
        <is>
          <t>Đã chuyển khoản</t>
        </is>
      </c>
      <c r="M37" s="29" t="inlineStr">
        <is>
          <t>21/9/2026</t>
        </is>
      </c>
      <c r="N37" s="28" t="inlineStr">
        <is>
          <t>0901370868</t>
        </is>
      </c>
      <c r="O37" s="24" t="inlineStr">
        <is>
          <t>Loan Lương</t>
        </is>
      </c>
      <c r="P37" s="24" t="inlineStr">
        <is>
          <t>205/19/7 đào sư tích xã phước kiểng, Nhà Bé</t>
        </is>
      </c>
      <c r="Q37" s="24" t="inlineStr">
        <is>
          <t>Đã giao</t>
        </is>
      </c>
      <c r="R37" s="24" t="inlineStr">
        <is>
          <t>Voi Con</t>
        </is>
      </c>
      <c r="S37" s="22">
        <f>IF(AND($A37="",$C37=""),"",IF($A37="","Thiếu mã đơn; ","")&amp;IF(COUNTIF($A$2:$A37,$A37)&gt;1,"Trùng mã đơn; ","")&amp;IF(COUNTIF($C$2:$C37,$C37)&gt;1,"Trùng SĐT; ","")&amp;IF(ISNA(MATCH($C37,DATA_MASTER!$D$2:$D$5000,0)),"SĐT chưa đăng ký hội viên; ","")&amp;IF(AND($L37="Đã chuyển khoản",$M37=""),"Thiếu ngày nhận CK; ",""))</f>
        <v/>
      </c>
      <c r="T37" s="24" t="inlineStr">
        <is>
          <t>ĐVVC: J&amp;T | Mã VĐ: 801113832129 | POD: https://drive.google.com/drive/folders/14YqSb9mohXWUMATpBaLAocW_7uBLVQM8</t>
        </is>
      </c>
    </row>
    <row r="38" ht="14.25" customHeight="1" s="40">
      <c r="A38" s="24" t="n">
        <v>37</v>
      </c>
      <c r="B38" s="24" t="inlineStr">
        <is>
          <t>21/9/2026</t>
        </is>
      </c>
      <c r="C38" s="28" t="inlineStr">
        <is>
          <t>0983683700</t>
        </is>
      </c>
      <c r="D38" s="22">
        <f>IF($C38="","",IFERROR(INDEX(DATA_MASTER!$C$2:$C$5000,MATCH($C38,DATA_MASTER!$D$2:$D$5000,0)),"Lê Trà My"))</f>
        <v/>
      </c>
      <c r="E38" s="22">
        <f>IF($C38="","",IFERROR(INDEX(DATA_MASTER!$I$2:$I$5000,MATCH($C38,DATA_MASTER!$D$2:$D$5000,0)),""))</f>
        <v/>
      </c>
      <c r="F38" s="22">
        <f>IF($C38="","",IFERROR(INDEX(DATA_MASTER!$L$2:$L$5000,MATCH($C38,DATA_MASTER!$D$2:$D$5000,0)),"ZM"))</f>
        <v/>
      </c>
      <c r="G38" s="24" t="inlineStr">
        <is>
          <t>Sữa Aptamil 380g</t>
        </is>
      </c>
      <c r="H38" s="24" t="n">
        <v>1</v>
      </c>
      <c r="I38" s="30" t="n">
        <v>320000</v>
      </c>
      <c r="J38" s="23">
        <f>IF(OR($H38="",$I38=""),"",$H38*$I38)</f>
        <v/>
      </c>
      <c r="K38" s="24" t="inlineStr">
        <is>
          <t>Chuyển khoản QR</t>
        </is>
      </c>
      <c r="L38" s="24" t="inlineStr">
        <is>
          <t>Chờ chuyển khoản</t>
        </is>
      </c>
      <c r="M38" s="29" t="inlineStr">
        <is>
          <t>21/9/2026</t>
        </is>
      </c>
      <c r="N38" s="28" t="inlineStr">
        <is>
          <t>0983683700</t>
        </is>
      </c>
      <c r="O38" s="24" t="inlineStr">
        <is>
          <t>Lê Trà My</t>
        </is>
      </c>
      <c r="P38" s="24" t="inlineStr">
        <is>
          <t>số 82, tổ 3, ấp Long Thọ, xã Long Hoà, Binh Dương</t>
        </is>
      </c>
      <c r="Q38" s="24" t="inlineStr">
        <is>
          <t>Chờ giao</t>
        </is>
      </c>
      <c r="R38" s="24" t="inlineStr">
        <is>
          <t>Long Châu</t>
        </is>
      </c>
      <c r="S38" s="22">
        <f>IF(AND($A38="",$C38=""),"",IF($A38="","Thiếu mã đơn; ","")&amp;IF(COUNTIF($A$2:$A38,$A38)&gt;1,"Trùng mã đơn; ","")&amp;IF(COUNTIF($C$2:$C38,$C38)&gt;1,"Trùng SĐT; ","")&amp;IF(ISNA(MATCH($C38,DATA_MASTER!$D$2:$D$5000,0)),"SĐT chưa đăng ký hội viên; ","")&amp;IF(AND($L38="Đã chuyển khoản",$M38=""),"Thiếu ngày nhận CK; ",""))</f>
        <v/>
      </c>
      <c r="T38" s="24" t="inlineStr"/>
    </row>
    <row r="39" ht="14.25" customHeight="1" s="40">
      <c r="A39" s="24" t="n">
        <v>38</v>
      </c>
      <c r="B39" s="24" t="inlineStr">
        <is>
          <t>21/9/2026</t>
        </is>
      </c>
      <c r="C39" s="28" t="inlineStr">
        <is>
          <t>0393345239</t>
        </is>
      </c>
      <c r="D39" s="22">
        <f>IF($C39="","",IFERROR(INDEX(DATA_MASTER!$C$2:$C$5000,MATCH($C39,DATA_MASTER!$D$2:$D$5000,0)),"Hà Thị Thu Phương"))</f>
        <v/>
      </c>
      <c r="E39" s="22">
        <f>IF($C39="","",IFERROR(INDEX(DATA_MASTER!$I$2:$I$5000,MATCH($C39,DATA_MASTER!$D$2:$D$5000,0)),""))</f>
        <v/>
      </c>
      <c r="F39" s="22">
        <f>IF($C39="","",IFERROR(INDEX(DATA_MASTER!$L$2:$L$5000,MATCH($C39,DATA_MASTER!$D$2:$D$5000,0)),"ZM"))</f>
        <v/>
      </c>
      <c r="G39" s="24" t="inlineStr">
        <is>
          <t>Sữa Aptamil 380g</t>
        </is>
      </c>
      <c r="H39" s="24" t="n">
        <v>1</v>
      </c>
      <c r="I39" s="30" t="n">
        <v>320000</v>
      </c>
      <c r="J39" s="23">
        <f>IF(OR($H39="",$I39=""),"",$H39*$I39)</f>
        <v/>
      </c>
      <c r="K39" s="24" t="inlineStr">
        <is>
          <t>Chuyển khoản QR</t>
        </is>
      </c>
      <c r="L39" s="24" t="inlineStr">
        <is>
          <t>Đã chuyển khoản</t>
        </is>
      </c>
      <c r="M39" s="29" t="inlineStr">
        <is>
          <t>21/9/2026</t>
        </is>
      </c>
      <c r="N39" s="28" t="inlineStr">
        <is>
          <t>0393345239</t>
        </is>
      </c>
      <c r="O39" s="24" t="inlineStr">
        <is>
          <t>Hà Thị Thu Phương</t>
        </is>
      </c>
      <c r="P39" s="24" t="inlineStr">
        <is>
          <t>Block 2-2 noxh định hoà, chánh hiệp, Binh Dương</t>
        </is>
      </c>
      <c r="Q39" s="24" t="inlineStr">
        <is>
          <t>Đã giao</t>
        </is>
      </c>
      <c r="R39" s="24" t="inlineStr">
        <is>
          <t>Long Châu</t>
        </is>
      </c>
      <c r="S39" s="22">
        <f>IF(AND($A39="",$C39=""),"",IF($A39="","Thiếu mã đơn; ","")&amp;IF(COUNTIF($A$2:$A39,$A39)&gt;1,"Trùng mã đơn; ","")&amp;IF(COUNTIF($C$2:$C39,$C39)&gt;1,"Trùng SĐT; ","")&amp;IF(ISNA(MATCH($C39,DATA_MASTER!$D$2:$D$5000,0)),"SĐT chưa đăng ký hội viên; ","")&amp;IF(AND($L39="Đã chuyển khoản",$M39=""),"Thiếu ngày nhận CK; ",""))</f>
        <v/>
      </c>
      <c r="T39" s="24" t="inlineStr"/>
    </row>
    <row r="40" ht="14.25" customHeight="1" s="40">
      <c r="A40" s="24" t="n">
        <v>39</v>
      </c>
      <c r="B40" s="24" t="inlineStr">
        <is>
          <t>21/9/2026</t>
        </is>
      </c>
      <c r="C40" s="28" t="inlineStr">
        <is>
          <t>0971259214</t>
        </is>
      </c>
      <c r="D40" s="22">
        <f>IF($C40="","",IFERROR(INDEX(DATA_MASTER!$C$2:$C$5000,MATCH($C40,DATA_MASTER!$D$2:$D$5000,0)),"Đỗ Thị Nhã Linh"))</f>
        <v/>
      </c>
      <c r="E40" s="22">
        <f>IF($C40="","",IFERROR(INDEX(DATA_MASTER!$I$2:$I$5000,MATCH($C40,DATA_MASTER!$D$2:$D$5000,0)),""))</f>
        <v/>
      </c>
      <c r="F40" s="22">
        <f>IF($C40="","",IFERROR(INDEX(DATA_MASTER!$L$2:$L$5000,MATCH($C40,DATA_MASTER!$D$2:$D$5000,0)),"ZM"))</f>
        <v/>
      </c>
      <c r="G40" s="24" t="inlineStr">
        <is>
          <t>Sữa Aptamil 380g</t>
        </is>
      </c>
      <c r="H40" s="24" t="n">
        <v>1</v>
      </c>
      <c r="I40" s="30" t="n">
        <v>320000</v>
      </c>
      <c r="J40" s="23">
        <f>IF(OR($H40="",$I40=""),"",$H40*$I40)</f>
        <v/>
      </c>
      <c r="K40" s="24" t="inlineStr">
        <is>
          <t>Chuyển khoản QR</t>
        </is>
      </c>
      <c r="L40" s="24" t="inlineStr">
        <is>
          <t>Đã chuyển khoản</t>
        </is>
      </c>
      <c r="M40" s="29" t="inlineStr">
        <is>
          <t>21/9/2026</t>
        </is>
      </c>
      <c r="N40" s="28" t="inlineStr">
        <is>
          <t>0971259214</t>
        </is>
      </c>
      <c r="O40" s="24" t="inlineStr">
        <is>
          <t>Đỗ Thị Nhã Linh</t>
        </is>
      </c>
      <c r="P40" s="24" t="inlineStr">
        <is>
          <t>1459/13 Trần Quang Diệu, khu phố Tân Phước, phường Tân Đông Hiệp, Binh Dương</t>
        </is>
      </c>
      <c r="Q40" s="24" t="inlineStr">
        <is>
          <t>Đã giao</t>
        </is>
      </c>
      <c r="R40" s="24" t="inlineStr">
        <is>
          <t>Long Châu</t>
        </is>
      </c>
      <c r="S40" s="22">
        <f>IF(AND($A40="",$C40=""),"",IF($A40="","Thiếu mã đơn; ","")&amp;IF(COUNTIF($A$2:$A40,$A40)&gt;1,"Trùng mã đơn; ","")&amp;IF(COUNTIF($C$2:$C40,$C40)&gt;1,"Trùng SĐT; ","")&amp;IF(ISNA(MATCH($C40,DATA_MASTER!$D$2:$D$5000,0)),"SĐT chưa đăng ký hội viên; ","")&amp;IF(AND($L40="Đã chuyển khoản",$M40=""),"Thiếu ngày nhận CK; ",""))</f>
        <v/>
      </c>
      <c r="T40" s="24" t="inlineStr"/>
    </row>
    <row r="41" ht="14.25" customHeight="1" s="40">
      <c r="A41" s="24" t="n">
        <v>40</v>
      </c>
      <c r="B41" s="24" t="inlineStr">
        <is>
          <t>21/9/2026</t>
        </is>
      </c>
      <c r="C41" s="28" t="inlineStr">
        <is>
          <t>0984748123</t>
        </is>
      </c>
      <c r="D41" s="22">
        <f>IF($C41="","",IFERROR(INDEX(DATA_MASTER!$C$2:$C$5000,MATCH($C41,DATA_MASTER!$D$2:$D$5000,0)),"Trịnh Minh Anh"))</f>
        <v/>
      </c>
      <c r="E41" s="22">
        <f>IF($C41="","",IFERROR(INDEX(DATA_MASTER!$I$2:$I$5000,MATCH($C41,DATA_MASTER!$D$2:$D$5000,0)),""))</f>
        <v/>
      </c>
      <c r="F41" s="22">
        <f>IF($C41="","",IFERROR(INDEX(DATA_MASTER!$L$2:$L$5000,MATCH($C41,DATA_MASTER!$D$2:$D$5000,0)),"ZM"))</f>
        <v/>
      </c>
      <c r="G41" s="24" t="inlineStr">
        <is>
          <t>Sữa Aptamil 380g</t>
        </is>
      </c>
      <c r="H41" s="24" t="n">
        <v>1</v>
      </c>
      <c r="I41" s="30" t="n">
        <v>320000</v>
      </c>
      <c r="J41" s="23">
        <f>IF(OR($H41="",$I41=""),"",$H41*$I41)</f>
        <v/>
      </c>
      <c r="K41" s="24" t="inlineStr">
        <is>
          <t>Chuyển khoản QR</t>
        </is>
      </c>
      <c r="L41" s="24" t="inlineStr">
        <is>
          <t>Đã chuyển khoản</t>
        </is>
      </c>
      <c r="M41" s="29" t="inlineStr">
        <is>
          <t>21/9/2026</t>
        </is>
      </c>
      <c r="N41" s="28" t="inlineStr">
        <is>
          <t>0984748123</t>
        </is>
      </c>
      <c r="O41" s="24" t="inlineStr">
        <is>
          <t>Trịnh Minh Anh</t>
        </is>
      </c>
      <c r="P41" s="24" t="inlineStr">
        <is>
          <t>99- hoàng bá bích- long bình, Đồng Nai</t>
        </is>
      </c>
      <c r="Q41" s="24" t="inlineStr">
        <is>
          <t>Đã giao</t>
        </is>
      </c>
      <c r="R41" s="24" t="inlineStr">
        <is>
          <t>Long Châu</t>
        </is>
      </c>
      <c r="S41" s="22">
        <f>IF(AND($A41="",$C41=""),"",IF($A41="","Thiếu mã đơn; ","")&amp;IF(COUNTIF($A$2:$A41,$A41)&gt;1,"Trùng mã đơn; ","")&amp;IF(COUNTIF($C$2:$C41,$C41)&gt;1,"Trùng SĐT; ","")&amp;IF(ISNA(MATCH($C41,DATA_MASTER!$D$2:$D$5000,0)),"SĐT chưa đăng ký hội viên; ","")&amp;IF(AND($L41="Đã chuyển khoản",$M41=""),"Thiếu ngày nhận CK; ",""))</f>
        <v/>
      </c>
      <c r="T41" s="24" t="inlineStr"/>
    </row>
    <row r="42" ht="14.25" customHeight="1" s="40">
      <c r="A42" s="24" t="n">
        <v>41</v>
      </c>
      <c r="B42" s="24" t="inlineStr">
        <is>
          <t>21/9/2026</t>
        </is>
      </c>
      <c r="C42" s="28" t="inlineStr">
        <is>
          <t>0921247456</t>
        </is>
      </c>
      <c r="D42" s="22">
        <f>IF($C42="","",IFERROR(INDEX(DATA_MASTER!$C$2:$C$5000,MATCH($C42,DATA_MASTER!$D$2:$D$5000,0)),"Bùi Thị Lan Anh"))</f>
        <v/>
      </c>
      <c r="E42" s="22">
        <f>IF($C42="","",IFERROR(INDEX(DATA_MASTER!$I$2:$I$5000,MATCH($C42,DATA_MASTER!$D$2:$D$5000,0)),""))</f>
        <v/>
      </c>
      <c r="F42" s="22">
        <f>IF($C42="","",IFERROR(INDEX(DATA_MASTER!$L$2:$L$5000,MATCH($C42,DATA_MASTER!$D$2:$D$5000,0)),"ZM"))</f>
        <v/>
      </c>
      <c r="G42" s="24" t="inlineStr">
        <is>
          <t>Sữa Aptamil 380g</t>
        </is>
      </c>
      <c r="H42" s="24" t="n">
        <v>1</v>
      </c>
      <c r="I42" s="30" t="n">
        <v>320000</v>
      </c>
      <c r="J42" s="23">
        <f>IF(OR($H42="",$I42=""),"",$H42*$I42)</f>
        <v/>
      </c>
      <c r="K42" s="24" t="inlineStr">
        <is>
          <t>Chuyển khoản QR</t>
        </is>
      </c>
      <c r="L42" s="24" t="inlineStr">
        <is>
          <t>Đã chuyển khoản</t>
        </is>
      </c>
      <c r="M42" s="29" t="inlineStr">
        <is>
          <t>21/9/2026</t>
        </is>
      </c>
      <c r="N42" s="28" t="inlineStr">
        <is>
          <t>0921247456</t>
        </is>
      </c>
      <c r="O42" s="24" t="inlineStr">
        <is>
          <t>Bùi Thị Lan Anh</t>
        </is>
      </c>
      <c r="P42" s="24" t="inlineStr">
        <is>
          <t>Tạp hoá Thư Ngân, thôn Kim Liên, xã Hải Châu, Nghệ An</t>
        </is>
      </c>
      <c r="Q42" s="24" t="inlineStr">
        <is>
          <t>Đã giao</t>
        </is>
      </c>
      <c r="R42" s="24" t="inlineStr">
        <is>
          <t>Long Châu</t>
        </is>
      </c>
      <c r="S42" s="22">
        <f>IF(AND($A42="",$C42=""),"",IF($A42="","Thiếu mã đơn; ","")&amp;IF(COUNTIF($A$2:$A42,$A42)&gt;1,"Trùng mã đơn; ","")&amp;IF(COUNTIF($C$2:$C42,$C42)&gt;1,"Trùng SĐT; ","")&amp;IF(ISNA(MATCH($C42,DATA_MASTER!$D$2:$D$5000,0)),"SĐT chưa đăng ký hội viên; ","")&amp;IF(AND($L42="Đã chuyển khoản",$M42=""),"Thiếu ngày nhận CK; ",""))</f>
        <v/>
      </c>
      <c r="T42" s="24" t="inlineStr"/>
    </row>
    <row r="43" ht="14.25" customHeight="1" s="40">
      <c r="A43" s="24" t="n">
        <v>42</v>
      </c>
      <c r="B43" s="24" t="inlineStr">
        <is>
          <t>21/9/2026</t>
        </is>
      </c>
      <c r="C43" s="28" t="inlineStr">
        <is>
          <t>0982432706</t>
        </is>
      </c>
      <c r="D43" s="22">
        <f>IF($C43="","",IFERROR(INDEX(DATA_MASTER!$C$2:$C$5000,MATCH($C43,DATA_MASTER!$D$2:$D$5000,0)),"Nguyễn Dương Hà Thu"))</f>
        <v/>
      </c>
      <c r="E43" s="22">
        <f>IF($C43="","",IFERROR(INDEX(DATA_MASTER!$I$2:$I$5000,MATCH($C43,DATA_MASTER!$D$2:$D$5000,0)),""))</f>
        <v/>
      </c>
      <c r="F43" s="22">
        <f>IF($C43="","",IFERROR(INDEX(DATA_MASTER!$L$2:$L$5000,MATCH($C43,DATA_MASTER!$D$2:$D$5000,0)),"ZM"))</f>
        <v/>
      </c>
      <c r="G43" s="24" t="inlineStr">
        <is>
          <t>Sữa Aptamil 380g</t>
        </is>
      </c>
      <c r="H43" s="24" t="n">
        <v>1</v>
      </c>
      <c r="I43" s="30" t="n">
        <v>320000</v>
      </c>
      <c r="J43" s="23">
        <f>IF(OR($H43="",$I43=""),"",$H43*$I43)</f>
        <v/>
      </c>
      <c r="K43" s="24" t="inlineStr">
        <is>
          <t>Chuyển khoản QR</t>
        </is>
      </c>
      <c r="L43" s="24" t="inlineStr">
        <is>
          <t>Đã chuyển khoản</t>
        </is>
      </c>
      <c r="M43" s="29" t="inlineStr">
        <is>
          <t>21/9/2026</t>
        </is>
      </c>
      <c r="N43" s="28" t="inlineStr">
        <is>
          <t>0982432706</t>
        </is>
      </c>
      <c r="O43" s="24" t="inlineStr">
        <is>
          <t>Nguyễn Dương Hà Thu</t>
        </is>
      </c>
      <c r="P43" s="24" t="inlineStr">
        <is>
          <t>94/6, tổ 1, ấp Long Phước, xã Long Phước, Đồng Nai</t>
        </is>
      </c>
      <c r="Q43" s="24" t="inlineStr">
        <is>
          <t>Đã giao</t>
        </is>
      </c>
      <c r="R43" s="24" t="inlineStr">
        <is>
          <t>Long Châu</t>
        </is>
      </c>
      <c r="S43" s="22">
        <f>IF(AND($A43="",$C43=""),"",IF($A43="","Thiếu mã đơn; ","")&amp;IF(COUNTIF($A$2:$A43,$A43)&gt;1,"Trùng mã đơn; ","")&amp;IF(COUNTIF($C$2:$C43,$C43)&gt;1,"Trùng SĐT; ","")&amp;IF(ISNA(MATCH($C43,DATA_MASTER!$D$2:$D$5000,0)),"SĐT chưa đăng ký hội viên; ","")&amp;IF(AND($L43="Đã chuyển khoản",$M43=""),"Thiếu ngày nhận CK; ",""))</f>
        <v/>
      </c>
      <c r="T43" s="24" t="inlineStr"/>
    </row>
    <row r="44" ht="14.25" customHeight="1" s="40">
      <c r="A44" s="24" t="n">
        <v>43</v>
      </c>
      <c r="B44" s="24" t="inlineStr">
        <is>
          <t>21/9/2026</t>
        </is>
      </c>
      <c r="C44" s="28" t="inlineStr">
        <is>
          <t>0387335373</t>
        </is>
      </c>
      <c r="D44" s="22">
        <f>IF($C44="","",IFERROR(INDEX(DATA_MASTER!$C$2:$C$5000,MATCH($C44,DATA_MASTER!$D$2:$D$5000,0)),"Trần Thị Cẩm Tú"))</f>
        <v/>
      </c>
      <c r="E44" s="22">
        <f>IF($C44="","",IFERROR(INDEX(DATA_MASTER!$I$2:$I$5000,MATCH($C44,DATA_MASTER!$D$2:$D$5000,0)),""))</f>
        <v/>
      </c>
      <c r="F44" s="22">
        <f>IF($C44="","",IFERROR(INDEX(DATA_MASTER!$L$2:$L$5000,MATCH($C44,DATA_MASTER!$D$2:$D$5000,0)),"ZM"))</f>
        <v/>
      </c>
      <c r="G44" s="24" t="inlineStr">
        <is>
          <t>Sữa Aptamil 380g</t>
        </is>
      </c>
      <c r="H44" s="24" t="n">
        <v>1</v>
      </c>
      <c r="I44" s="30" t="n">
        <v>320000</v>
      </c>
      <c r="J44" s="23">
        <f>IF(OR($H44="",$I44=""),"",$H44*$I44)</f>
        <v/>
      </c>
      <c r="K44" s="24" t="inlineStr">
        <is>
          <t>Chuyển khoản QR</t>
        </is>
      </c>
      <c r="L44" s="24" t="inlineStr">
        <is>
          <t>Đã chuyển khoản</t>
        </is>
      </c>
      <c r="M44" s="29" t="inlineStr">
        <is>
          <t>21/9/2026</t>
        </is>
      </c>
      <c r="N44" s="28" t="inlineStr">
        <is>
          <t>0387335373</t>
        </is>
      </c>
      <c r="O44" s="24" t="inlineStr">
        <is>
          <t>Trần Thị Cẩm Tú</t>
        </is>
      </c>
      <c r="P44" s="24" t="inlineStr">
        <is>
          <t>371 Bùi Thiện Ngộ. phường Rạch Dừa, Vũng Tàu</t>
        </is>
      </c>
      <c r="Q44" s="24" t="inlineStr">
        <is>
          <t>Đã giao</t>
        </is>
      </c>
      <c r="R44" s="24" t="inlineStr">
        <is>
          <t>Long Châu</t>
        </is>
      </c>
      <c r="S44" s="22">
        <f>IF(AND($A44="",$C44=""),"",IF($A44="","Thiếu mã đơn; ","")&amp;IF(COUNTIF($A$2:$A44,$A44)&gt;1,"Trùng mã đơn; ","")&amp;IF(COUNTIF($C$2:$C44,$C44)&gt;1,"Trùng SĐT; ","")&amp;IF(ISNA(MATCH($C44,DATA_MASTER!$D$2:$D$5000,0)),"SĐT chưa đăng ký hội viên; ","")&amp;IF(AND($L44="Đã chuyển khoản",$M44=""),"Thiếu ngày nhận CK; ",""))</f>
        <v/>
      </c>
      <c r="T44" s="24" t="inlineStr"/>
    </row>
    <row r="45" ht="14.25" customHeight="1" s="40">
      <c r="A45" s="24" t="n">
        <v>44</v>
      </c>
      <c r="B45" s="24" t="inlineStr">
        <is>
          <t>21/9/2026</t>
        </is>
      </c>
      <c r="C45" s="28" t="inlineStr">
        <is>
          <t>0342794617</t>
        </is>
      </c>
      <c r="D45" s="22">
        <f>IF($C45="","",IFERROR(INDEX(DATA_MASTER!$C$2:$C$5000,MATCH($C45,DATA_MASTER!$D$2:$D$5000,0)),"Nguyễn Thị Phương Dung"))</f>
        <v/>
      </c>
      <c r="E45" s="22">
        <f>IF($C45="","",IFERROR(INDEX(DATA_MASTER!$I$2:$I$5000,MATCH($C45,DATA_MASTER!$D$2:$D$5000,0)),""))</f>
        <v/>
      </c>
      <c r="F45" s="22">
        <f>IF($C45="","",IFERROR(INDEX(DATA_MASTER!$L$2:$L$5000,MATCH($C45,DATA_MASTER!$D$2:$D$5000,0)),"ZM"))</f>
        <v/>
      </c>
      <c r="G45" s="24" t="inlineStr">
        <is>
          <t>Sữa Aptamil 380g</t>
        </is>
      </c>
      <c r="H45" s="24" t="n">
        <v>1</v>
      </c>
      <c r="I45" s="30" t="n">
        <v>320000</v>
      </c>
      <c r="J45" s="23">
        <f>IF(OR($H45="",$I45=""),"",$H45*$I45)</f>
        <v/>
      </c>
      <c r="K45" s="24" t="inlineStr">
        <is>
          <t>Chuyển khoản QR</t>
        </is>
      </c>
      <c r="L45" s="24" t="inlineStr">
        <is>
          <t>Đã chuyển khoản</t>
        </is>
      </c>
      <c r="M45" s="29" t="inlineStr">
        <is>
          <t>21/9/2026</t>
        </is>
      </c>
      <c r="N45" s="28" t="inlineStr">
        <is>
          <t>0342794617</t>
        </is>
      </c>
      <c r="O45" s="24" t="inlineStr">
        <is>
          <t>Nguyễn Thị Phương Dung</t>
        </is>
      </c>
      <c r="P45" s="24" t="inlineStr">
        <is>
          <t>số nhà 144/16 đường Suối Quýt,(sát tạp hoá Tuyến, cổng màu cam) tổ 1, ấp Suối Quýt, xã Xuân Đường, Đồng Nai</t>
        </is>
      </c>
      <c r="Q45" s="24" t="inlineStr">
        <is>
          <t>Đã giao</t>
        </is>
      </c>
      <c r="R45" s="24" t="inlineStr">
        <is>
          <t>Long Châu</t>
        </is>
      </c>
      <c r="S45" s="22">
        <f>IF(AND($A45="",$C45=""),"",IF($A45="","Thiếu mã đơn; ","")&amp;IF(COUNTIF($A$2:$A45,$A45)&gt;1,"Trùng mã đơn; ","")&amp;IF(COUNTIF($C$2:$C45,$C45)&gt;1,"Trùng SĐT; ","")&amp;IF(ISNA(MATCH($C45,DATA_MASTER!$D$2:$D$5000,0)),"SĐT chưa đăng ký hội viên; ","")&amp;IF(AND($L45="Đã chuyển khoản",$M45=""),"Thiếu ngày nhận CK; ",""))</f>
        <v/>
      </c>
      <c r="T45" s="24" t="inlineStr"/>
    </row>
    <row r="46" ht="14.25" customHeight="1" s="40">
      <c r="A46" s="24" t="n">
        <v>45</v>
      </c>
      <c r="B46" s="24" t="inlineStr">
        <is>
          <t>22/9/2026</t>
        </is>
      </c>
      <c r="C46" s="28" t="inlineStr">
        <is>
          <t>0906930125</t>
        </is>
      </c>
      <c r="D46" s="22">
        <f>IF($C46="","",IFERROR(INDEX(DATA_MASTER!$C$2:$C$5000,MATCH($C46,DATA_MASTER!$D$2:$D$5000,0)),"Chị Hương"))</f>
        <v/>
      </c>
      <c r="E46" s="22">
        <f>IF($C46="","",IFERROR(INDEX(DATA_MASTER!$I$2:$I$5000,MATCH($C46,DATA_MASTER!$D$2:$D$5000,0)),""))</f>
        <v/>
      </c>
      <c r="F46" s="22">
        <f>IF($C46="","",IFERROR(INDEX(DATA_MASTER!$L$2:$L$5000,MATCH($C46,DATA_MASTER!$D$2:$D$5000,0)),"ZM"))</f>
        <v/>
      </c>
      <c r="G46" s="24" t="inlineStr">
        <is>
          <t>Sữa Aptamil 380g</t>
        </is>
      </c>
      <c r="H46" s="24" t="n">
        <v>1</v>
      </c>
      <c r="I46" s="30" t="n">
        <v>320000</v>
      </c>
      <c r="J46" s="23">
        <f>IF(OR($H46="",$I46=""),"",$H46*$I46)</f>
        <v/>
      </c>
      <c r="K46" s="24" t="inlineStr">
        <is>
          <t>Chuyển khoản QR</t>
        </is>
      </c>
      <c r="L46" s="24" t="inlineStr">
        <is>
          <t>Đã chuyển khoản</t>
        </is>
      </c>
      <c r="M46" s="29" t="inlineStr">
        <is>
          <t>22/9/2026</t>
        </is>
      </c>
      <c r="N46" s="28" t="inlineStr">
        <is>
          <t>0906930125</t>
        </is>
      </c>
      <c r="O46" s="24" t="inlineStr">
        <is>
          <t>Chị Hương</t>
        </is>
      </c>
      <c r="P46" s="24" t="inlineStr">
        <is>
          <t>84 Nguyễn Du, Phường Sài Gòn</t>
        </is>
      </c>
      <c r="Q46" s="24" t="inlineStr">
        <is>
          <t>Đã giao</t>
        </is>
      </c>
      <c r="R46" s="24" t="inlineStr">
        <is>
          <t>Voi Con</t>
        </is>
      </c>
      <c r="S46" s="22">
        <f>IF(AND($A46="",$C46=""),"",IF($A46="","Thiếu mã đơn; ","")&amp;IF(COUNTIF($A$2:$A46,$A46)&gt;1,"Trùng mã đơn; ","")&amp;IF(COUNTIF($C$2:$C46,$C46)&gt;1,"Trùng SĐT; ","")&amp;IF(ISNA(MATCH($C46,DATA_MASTER!$D$2:$D$5000,0)),"SĐT chưa đăng ký hội viên; ","")&amp;IF(AND($L46="Đã chuyển khoản",$M46=""),"Thiếu ngày nhận CK; ",""))</f>
        <v/>
      </c>
      <c r="T46" s="24" t="inlineStr">
        <is>
          <t>ĐVVC: J&amp;T | Mã VĐ: 801113537909 | POD: https://drive.google.com/drive/folders/14YqSb9mohXWUMATpBaLAocW_7uBLVQM8</t>
        </is>
      </c>
    </row>
    <row r="47" ht="14.25" customHeight="1" s="40">
      <c r="A47" s="24" t="n">
        <v>46</v>
      </c>
      <c r="B47" s="24" t="inlineStr">
        <is>
          <t>22/9/2026</t>
        </is>
      </c>
      <c r="C47" s="28" t="inlineStr">
        <is>
          <t>0325920532</t>
        </is>
      </c>
      <c r="D47" s="22">
        <f>IF($C47="","",IFERROR(INDEX(DATA_MASTER!$C$2:$C$5000,MATCH($C47,DATA_MASTER!$D$2:$D$5000,0)),"Vũ Hồng Nhung"))</f>
        <v/>
      </c>
      <c r="E47" s="22">
        <f>IF($C47="","",IFERROR(INDEX(DATA_MASTER!$I$2:$I$5000,MATCH($C47,DATA_MASTER!$D$2:$D$5000,0)),""))</f>
        <v/>
      </c>
      <c r="F47" s="22">
        <f>IF($C47="","",IFERROR(INDEX(DATA_MASTER!$L$2:$L$5000,MATCH($C47,DATA_MASTER!$D$2:$D$5000,0)),"ZM"))</f>
        <v/>
      </c>
      <c r="G47" s="24" t="inlineStr">
        <is>
          <t>Sữa Aptamil 380g</t>
        </is>
      </c>
      <c r="H47" s="24" t="n">
        <v>1</v>
      </c>
      <c r="I47" s="30" t="n">
        <v>320000</v>
      </c>
      <c r="J47" s="23">
        <f>IF(OR($H47="",$I47=""),"",$H47*$I47)</f>
        <v/>
      </c>
      <c r="K47" s="24" t="inlineStr">
        <is>
          <t>Chuyển khoản QR</t>
        </is>
      </c>
      <c r="L47" s="24" t="inlineStr">
        <is>
          <t>Đã chuyển khoản</t>
        </is>
      </c>
      <c r="M47" s="29" t="inlineStr">
        <is>
          <t>22/9/2026</t>
        </is>
      </c>
      <c r="N47" s="28" t="inlineStr">
        <is>
          <t>0325920532</t>
        </is>
      </c>
      <c r="O47" s="24" t="inlineStr">
        <is>
          <t>Vũ Hồng Nhung</t>
        </is>
      </c>
      <c r="P47" s="24" t="inlineStr">
        <is>
          <t>58,đường nhuệ giang,thôn thuỷ phú,xã chuyên mỹ, Hà Nội</t>
        </is>
      </c>
      <c r="Q47" s="24" t="inlineStr">
        <is>
          <t>Đã giao</t>
        </is>
      </c>
      <c r="R47" s="24" t="inlineStr">
        <is>
          <t>Mẹ Ơi</t>
        </is>
      </c>
      <c r="S47" s="22">
        <f>IF(AND($A47="",$C47=""),"",IF($A47="","Thiếu mã đơn; ","")&amp;IF(COUNTIF($A$2:$A47,$A47)&gt;1,"Trùng mã đơn; ","")&amp;IF(COUNTIF($C$2:$C47,$C47)&gt;1,"Trùng SĐT; ","")&amp;IF(ISNA(MATCH($C47,DATA_MASTER!$D$2:$D$5000,0)),"SĐT chưa đăng ký hội viên; ","")&amp;IF(AND($L47="Đã chuyển khoản",$M47=""),"Thiếu ngày nhận CK; ",""))</f>
        <v/>
      </c>
      <c r="T47" s="24" t="inlineStr">
        <is>
          <t>ĐVVC: spx | Mã VĐ: SPXVN062799166699 | Bill: https://drive.google.com/drive/folders/1cQLK9r-TZCzE-J1NdD0qL9t7cDhbV1oF</t>
        </is>
      </c>
    </row>
    <row r="48" ht="14.25" customHeight="1" s="40">
      <c r="A48" s="24" t="n">
        <v>47</v>
      </c>
      <c r="B48" s="24" t="inlineStr">
        <is>
          <t>22/9/2026</t>
        </is>
      </c>
      <c r="C48" s="28" t="inlineStr">
        <is>
          <t>0364343818</t>
        </is>
      </c>
      <c r="D48" s="22">
        <f>IF($C48="","",IFERROR(INDEX(DATA_MASTER!$C$2:$C$5000,MATCH($C48,DATA_MASTER!$D$2:$D$5000,0)),"Lê Thuý Anh"))</f>
        <v/>
      </c>
      <c r="E48" s="22">
        <f>IF($C48="","",IFERROR(INDEX(DATA_MASTER!$I$2:$I$5000,MATCH($C48,DATA_MASTER!$D$2:$D$5000,0)),""))</f>
        <v/>
      </c>
      <c r="F48" s="22">
        <f>IF($C48="","",IFERROR(INDEX(DATA_MASTER!$L$2:$L$5000,MATCH($C48,DATA_MASTER!$D$2:$D$5000,0)),"ZM"))</f>
        <v/>
      </c>
      <c r="G48" s="24" t="inlineStr">
        <is>
          <t>Sữa Aptamil 380g</t>
        </is>
      </c>
      <c r="H48" s="24" t="n">
        <v>1</v>
      </c>
      <c r="I48" s="30" t="n">
        <v>320000</v>
      </c>
      <c r="J48" s="23">
        <f>IF(OR($H48="",$I48=""),"",$H48*$I48)</f>
        <v/>
      </c>
      <c r="K48" s="24" t="inlineStr">
        <is>
          <t>Chuyển khoản QR</t>
        </is>
      </c>
      <c r="L48" s="24" t="inlineStr">
        <is>
          <t>Đã chuyển khoản</t>
        </is>
      </c>
      <c r="M48" s="29" t="inlineStr">
        <is>
          <t>22/9/2026</t>
        </is>
      </c>
      <c r="N48" s="28" t="inlineStr">
        <is>
          <t>0364343818</t>
        </is>
      </c>
      <c r="O48" s="24" t="inlineStr">
        <is>
          <t>Lê Thuý Anh</t>
        </is>
      </c>
      <c r="P48" s="24" t="inlineStr">
        <is>
          <t>Thửa đất số 264;269, Tờ bản đồ số 24, Tổ 13, Yên Nghĩa, Hà Nội</t>
        </is>
      </c>
      <c r="Q48" s="24" t="inlineStr">
        <is>
          <t>Đã giao</t>
        </is>
      </c>
      <c r="R48" s="24" t="inlineStr">
        <is>
          <t>Mẹ Ơi</t>
        </is>
      </c>
      <c r="S48" s="22">
        <f>IF(AND($A48="",$C48=""),"",IF($A48="","Thiếu mã đơn; ","")&amp;IF(COUNTIF($A$2:$A48,$A48)&gt;1,"Trùng mã đơn; ","")&amp;IF(COUNTIF($C$2:$C48,$C48)&gt;1,"Trùng SĐT; ","")&amp;IF(ISNA(MATCH($C48,DATA_MASTER!$D$2:$D$5000,0)),"SĐT chưa đăng ký hội viên; ","")&amp;IF(AND($L48="Đã chuyển khoản",$M48=""),"Thiếu ngày nhận CK; ",""))</f>
        <v/>
      </c>
      <c r="T48" s="24" t="inlineStr">
        <is>
          <t>ĐVVC: spx | Mã VĐ: SPXVN061272686379</t>
        </is>
      </c>
    </row>
    <row r="49" ht="14.25" customHeight="1" s="40">
      <c r="A49" s="24" t="n">
        <v>48</v>
      </c>
      <c r="B49" s="24" t="inlineStr">
        <is>
          <t>22/9/2026</t>
        </is>
      </c>
      <c r="C49" s="28" t="inlineStr">
        <is>
          <t>0394039819</t>
        </is>
      </c>
      <c r="D49" s="22">
        <f>IF($C49="","",IFERROR(INDEX(DATA_MASTER!$C$2:$C$5000,MATCH($C49,DATA_MASTER!$D$2:$D$5000,0)),"Chị Trang"))</f>
        <v/>
      </c>
      <c r="E49" s="22">
        <f>IF($C49="","",IFERROR(INDEX(DATA_MASTER!$I$2:$I$5000,MATCH($C49,DATA_MASTER!$D$2:$D$5000,0)),""))</f>
        <v/>
      </c>
      <c r="F49" s="22">
        <f>IF($C49="","",IFERROR(INDEX(DATA_MASTER!$L$2:$L$5000,MATCH($C49,DATA_MASTER!$D$2:$D$5000,0)),"ZM"))</f>
        <v/>
      </c>
      <c r="G49" s="24" t="inlineStr">
        <is>
          <t>Sữa Aptamil 380g</t>
        </is>
      </c>
      <c r="H49" s="24" t="n">
        <v>1</v>
      </c>
      <c r="I49" s="30" t="n">
        <v>320000</v>
      </c>
      <c r="J49" s="23">
        <f>IF(OR($H49="",$I49=""),"",$H49*$I49)</f>
        <v/>
      </c>
      <c r="K49" s="24" t="inlineStr">
        <is>
          <t>Chuyển khoản QR</t>
        </is>
      </c>
      <c r="L49" s="24" t="inlineStr">
        <is>
          <t>Đã chuyển khoản</t>
        </is>
      </c>
      <c r="M49" s="29" t="inlineStr">
        <is>
          <t>22/9/2026</t>
        </is>
      </c>
      <c r="N49" s="28" t="inlineStr">
        <is>
          <t>0394039819</t>
        </is>
      </c>
      <c r="O49" s="24" t="inlineStr">
        <is>
          <t>Chị Trang</t>
        </is>
      </c>
      <c r="P49" s="24" t="inlineStr">
        <is>
          <t>Số nhà 66,đường nhuệ giang,thôn thuỷ phú,xã chuyên mỹ, Hà Nội</t>
        </is>
      </c>
      <c r="Q49" s="24" t="inlineStr">
        <is>
          <t>Đã giao</t>
        </is>
      </c>
      <c r="R49" s="24" t="inlineStr">
        <is>
          <t>Sữa 3 Tốt</t>
        </is>
      </c>
      <c r="S49" s="22">
        <f>IF(AND($A49="",$C49=""),"",IF($A49="","Thiếu mã đơn; ","")&amp;IF(COUNTIF($A$2:$A49,$A49)&gt;1,"Trùng mã đơn; ","")&amp;IF(COUNTIF($C$2:$C49,$C49)&gt;1,"Trùng SĐT; ","")&amp;IF(ISNA(MATCH($C49,DATA_MASTER!$D$2:$D$5000,0)),"SĐT chưa đăng ký hội viên; ","")&amp;IF(AND($L49="Đã chuyển khoản",$M49=""),"Thiếu ngày nhận CK; ",""))</f>
        <v/>
      </c>
      <c r="T49" s="24" t="inlineStr">
        <is>
          <t>ĐVVC: Viettel Post | Mã VĐ: 153001360099 | POD: https://drive.google.com/file/d/1trqXvL7e4m2XIhWucWNf9G5xG4E3VHox/view?usp=drive_link | Bill: https://drive.google.com/drive/folders/1gkQio0VljZLl3iZYlL9W3HMp1otkCm_w</t>
        </is>
      </c>
    </row>
    <row r="50" ht="14.25" customHeight="1" s="40">
      <c r="A50" s="24" t="n">
        <v>49</v>
      </c>
      <c r="B50" s="24" t="inlineStr">
        <is>
          <t>22/9/2026</t>
        </is>
      </c>
      <c r="C50" s="28" t="inlineStr">
        <is>
          <t>0916503869</t>
        </is>
      </c>
      <c r="D50" s="22">
        <f>IF($C50="","",IFERROR(INDEX(DATA_MASTER!$C$2:$C$5000,MATCH($C50,DATA_MASTER!$D$2:$D$5000,0)),"Chị Nhung"))</f>
        <v/>
      </c>
      <c r="E50" s="22">
        <f>IF($C50="","",IFERROR(INDEX(DATA_MASTER!$I$2:$I$5000,MATCH($C50,DATA_MASTER!$D$2:$D$5000,0)),""))</f>
        <v/>
      </c>
      <c r="F50" s="22">
        <f>IF($C50="","",IFERROR(INDEX(DATA_MASTER!$L$2:$L$5000,MATCH($C50,DATA_MASTER!$D$2:$D$5000,0)),"ZM"))</f>
        <v/>
      </c>
      <c r="G50" s="24" t="inlineStr">
        <is>
          <t>Sữa Aptamil 380g</t>
        </is>
      </c>
      <c r="H50" s="24" t="n">
        <v>1</v>
      </c>
      <c r="I50" s="30" t="n">
        <v>320000</v>
      </c>
      <c r="J50" s="23">
        <f>IF(OR($H50="",$I50=""),"",$H50*$I50)</f>
        <v/>
      </c>
      <c r="K50" s="24" t="inlineStr">
        <is>
          <t>Chuyển khoản QR</t>
        </is>
      </c>
      <c r="L50" s="24" t="inlineStr">
        <is>
          <t>Đã chuyển khoản</t>
        </is>
      </c>
      <c r="M50" s="29" t="inlineStr">
        <is>
          <t>22/9/2026</t>
        </is>
      </c>
      <c r="N50" s="28" t="inlineStr">
        <is>
          <t>0916503869</t>
        </is>
      </c>
      <c r="O50" s="24" t="inlineStr">
        <is>
          <t>Chị Nhung</t>
        </is>
      </c>
      <c r="P50" s="24" t="inlineStr">
        <is>
          <t>L4A-119 chung cư hoàng huy, tổ dân phố Vĩnh Hợp, An Hải, Hải Phòng</t>
        </is>
      </c>
      <c r="Q50" s="24" t="inlineStr">
        <is>
          <t>Chờ giao</t>
        </is>
      </c>
      <c r="R50" s="24" t="inlineStr">
        <is>
          <t>Ababy</t>
        </is>
      </c>
      <c r="S50" s="22">
        <f>IF(AND($A50="",$C50=""),"",IF($A50="","Thiếu mã đơn; ","")&amp;IF(COUNTIF($A$2:$A50,$A50)&gt;1,"Trùng mã đơn; ","")&amp;IF(COUNTIF($C$2:$C50,$C50)&gt;1,"Trùng SĐT; ","")&amp;IF(ISNA(MATCH($C50,DATA_MASTER!$D$2:$D$5000,0)),"SĐT chưa đăng ký hội viên; ","")&amp;IF(AND($L50="Đã chuyển khoản",$M50=""),"Thiếu ngày nhận CK; ",""))</f>
        <v/>
      </c>
      <c r="T50" s="24" t="inlineStr">
        <is>
          <t>ĐVVC: [4] Đã giao hàng | Mã VĐ: 23/9/2026 | POD: Shipper riêng | Bill: https://drive.google.com/drive/folders/12kul6YKLh3Pirh9IMpTdNdWV9h4MaTPZ</t>
        </is>
      </c>
    </row>
    <row r="51" ht="14.25" customHeight="1" s="40">
      <c r="A51" s="24" t="n">
        <v>50</v>
      </c>
      <c r="B51" s="24" t="inlineStr">
        <is>
          <t>22/9/2026</t>
        </is>
      </c>
      <c r="C51" s="28" t="inlineStr">
        <is>
          <t>0396432399</t>
        </is>
      </c>
      <c r="D51" s="22">
        <f>IF($C51="","",IFERROR(INDEX(DATA_MASTER!$C$2:$C$5000,MATCH($C51,DATA_MASTER!$D$2:$D$5000,0)),"Chị Nhung"))</f>
        <v/>
      </c>
      <c r="E51" s="22">
        <f>IF($C51="","",IFERROR(INDEX(DATA_MASTER!$I$2:$I$5000,MATCH($C51,DATA_MASTER!$D$2:$D$5000,0)),""))</f>
        <v/>
      </c>
      <c r="F51" s="22">
        <f>IF($C51="","",IFERROR(INDEX(DATA_MASTER!$L$2:$L$5000,MATCH($C51,DATA_MASTER!$D$2:$D$5000,0)),"ZM"))</f>
        <v/>
      </c>
      <c r="G51" s="24" t="inlineStr">
        <is>
          <t>Sữa Aptamil 380g</t>
        </is>
      </c>
      <c r="H51" s="24" t="n">
        <v>1</v>
      </c>
      <c r="I51" s="30" t="n">
        <v>320000</v>
      </c>
      <c r="J51" s="23">
        <f>IF(OR($H51="",$I51=""),"",$H51*$I51)</f>
        <v/>
      </c>
      <c r="K51" s="24" t="inlineStr">
        <is>
          <t>Chuyển khoản QR</t>
        </is>
      </c>
      <c r="L51" s="24" t="inlineStr">
        <is>
          <t>Đã chuyển khoản</t>
        </is>
      </c>
      <c r="M51" s="29" t="inlineStr">
        <is>
          <t>22/9/2026</t>
        </is>
      </c>
      <c r="N51" s="28" t="inlineStr">
        <is>
          <t>0396432399</t>
        </is>
      </c>
      <c r="O51" s="24" t="inlineStr">
        <is>
          <t>Chị Nhung</t>
        </is>
      </c>
      <c r="P51" s="24" t="inlineStr">
        <is>
          <t>27 Lê Văn Lương - Thanh Xuân, Hà Nội</t>
        </is>
      </c>
      <c r="Q51" s="24" t="inlineStr">
        <is>
          <t>Đã giao</t>
        </is>
      </c>
      <c r="R51" s="24" t="inlineStr">
        <is>
          <t>Sữa 3 Tốt</t>
        </is>
      </c>
      <c r="S51" s="22">
        <f>IF(AND($A51="",$C51=""),"",IF($A51="","Thiếu mã đơn; ","")&amp;IF(COUNTIF($A$2:$A51,$A51)&gt;1,"Trùng mã đơn; ","")&amp;IF(COUNTIF($C$2:$C51,$C51)&gt;1,"Trùng SĐT; ","")&amp;IF(ISNA(MATCH($C51,DATA_MASTER!$D$2:$D$5000,0)),"SĐT chưa đăng ký hội viên; ","")&amp;IF(AND($L51="Đã chuyển khoản",$M51=""),"Thiếu ngày nhận CK; ",""))</f>
        <v/>
      </c>
      <c r="T51" s="24" t="inlineStr">
        <is>
          <t>ĐVVC: Viettel Post | Mã VĐ: 153001488137 | POD: https://drive.google.com/file/d/19Xz9JgAbBMLSNR956zJ8GSn8xEvX75UZ/view?usp=drive_link | Bill: https://drive.google.com/drive/folders/1gkQio0VljZLl3iZYlL9W3HMp1otkCm_w</t>
        </is>
      </c>
    </row>
    <row r="52" ht="14.25" customHeight="1" s="40">
      <c r="A52" s="24" t="n">
        <v>51</v>
      </c>
      <c r="B52" s="24" t="inlineStr">
        <is>
          <t>22/9/2026</t>
        </is>
      </c>
      <c r="C52" s="28" t="inlineStr">
        <is>
          <t>0971849678</t>
        </is>
      </c>
      <c r="D52" s="22">
        <f>IF($C52="","",IFERROR(INDEX(DATA_MASTER!$C$2:$C$5000,MATCH($C52,DATA_MASTER!$D$2:$D$5000,0)),"Mai Phương"))</f>
        <v/>
      </c>
      <c r="E52" s="22">
        <f>IF($C52="","",IFERROR(INDEX(DATA_MASTER!$I$2:$I$5000,MATCH($C52,DATA_MASTER!$D$2:$D$5000,0)),""))</f>
        <v/>
      </c>
      <c r="F52" s="22">
        <f>IF($C52="","",IFERROR(INDEX(DATA_MASTER!$L$2:$L$5000,MATCH($C52,DATA_MASTER!$D$2:$D$5000,0)),"ZM"))</f>
        <v/>
      </c>
      <c r="G52" s="24" t="inlineStr">
        <is>
          <t>Sữa Aptamil 380g</t>
        </is>
      </c>
      <c r="H52" s="24" t="n">
        <v>1</v>
      </c>
      <c r="I52" s="30" t="n">
        <v>320000</v>
      </c>
      <c r="J52" s="23">
        <f>IF(OR($H52="",$I52=""),"",$H52*$I52)</f>
        <v/>
      </c>
      <c r="K52" s="24" t="inlineStr">
        <is>
          <t>Chuyển khoản QR</t>
        </is>
      </c>
      <c r="L52" s="24" t="inlineStr">
        <is>
          <t>Đã chuyển khoản</t>
        </is>
      </c>
      <c r="M52" s="29" t="inlineStr">
        <is>
          <t>22/9/2026</t>
        </is>
      </c>
      <c r="N52" s="28" t="inlineStr">
        <is>
          <t>0971849678</t>
        </is>
      </c>
      <c r="O52" s="24" t="inlineStr">
        <is>
          <t>Mai Phương</t>
        </is>
      </c>
      <c r="P52" s="24" t="inlineStr">
        <is>
          <t>190, hoàng bá bích, long bình, Đồng Nai</t>
        </is>
      </c>
      <c r="Q52" s="24" t="inlineStr">
        <is>
          <t>Đã giao</t>
        </is>
      </c>
      <c r="R52" s="24" t="inlineStr">
        <is>
          <t>Long Châu</t>
        </is>
      </c>
      <c r="S52" s="22">
        <f>IF(AND($A52="",$C52=""),"",IF($A52="","Thiếu mã đơn; ","")&amp;IF(COUNTIF($A$2:$A52,$A52)&gt;1,"Trùng mã đơn; ","")&amp;IF(COUNTIF($C$2:$C52,$C52)&gt;1,"Trùng SĐT; ","")&amp;IF(ISNA(MATCH($C52,DATA_MASTER!$D$2:$D$5000,0)),"SĐT chưa đăng ký hội viên; ","")&amp;IF(AND($L52="Đã chuyển khoản",$M52=""),"Thiếu ngày nhận CK; ",""))</f>
        <v/>
      </c>
      <c r="T52" s="24" t="inlineStr"/>
    </row>
    <row r="53" ht="14.25" customHeight="1" s="40">
      <c r="A53" s="24" t="n">
        <v>52</v>
      </c>
      <c r="B53" s="24" t="inlineStr">
        <is>
          <t>22/9/2026</t>
        </is>
      </c>
      <c r="C53" s="28" t="inlineStr">
        <is>
          <t>0868227708</t>
        </is>
      </c>
      <c r="D53" s="22">
        <f>IF($C53="","",IFERROR(INDEX(DATA_MASTER!$C$2:$C$5000,MATCH($C53,DATA_MASTER!$D$2:$D$5000,0)),"Huyền Trân"))</f>
        <v/>
      </c>
      <c r="E53" s="22">
        <f>IF($C53="","",IFERROR(INDEX(DATA_MASTER!$I$2:$I$5000,MATCH($C53,DATA_MASTER!$D$2:$D$5000,0)),""))</f>
        <v/>
      </c>
      <c r="F53" s="22">
        <f>IF($C53="","",IFERROR(INDEX(DATA_MASTER!$L$2:$L$5000,MATCH($C53,DATA_MASTER!$D$2:$D$5000,0)),"ZM"))</f>
        <v/>
      </c>
      <c r="G53" s="24" t="inlineStr">
        <is>
          <t>Sữa Aptamil 380g</t>
        </is>
      </c>
      <c r="H53" s="24" t="n">
        <v>1</v>
      </c>
      <c r="I53" s="30" t="n">
        <v>320000</v>
      </c>
      <c r="J53" s="23">
        <f>IF(OR($H53="",$I53=""),"",$H53*$I53)</f>
        <v/>
      </c>
      <c r="K53" s="24" t="inlineStr">
        <is>
          <t>Chuyển khoản QR</t>
        </is>
      </c>
      <c r="L53" s="24" t="inlineStr">
        <is>
          <t>Đã chuyển khoản</t>
        </is>
      </c>
      <c r="M53" s="29" t="inlineStr">
        <is>
          <t>22/9/2026</t>
        </is>
      </c>
      <c r="N53" s="28" t="inlineStr">
        <is>
          <t>0868227708</t>
        </is>
      </c>
      <c r="O53" s="24" t="inlineStr">
        <is>
          <t>Huyền Trân</t>
        </is>
      </c>
      <c r="P53" s="24" t="inlineStr">
        <is>
          <t>1163/7 Hà Hoàng Hổ, Phường Mỹ Hoà, Long Xuyên, An Giang</t>
        </is>
      </c>
      <c r="Q53" s="24" t="inlineStr">
        <is>
          <t>Đã giao</t>
        </is>
      </c>
      <c r="R53" s="24" t="inlineStr">
        <is>
          <t>Long Châu</t>
        </is>
      </c>
      <c r="S53" s="22">
        <f>IF(AND($A53="",$C53=""),"",IF($A53="","Thiếu mã đơn; ","")&amp;IF(COUNTIF($A$2:$A53,$A53)&gt;1,"Trùng mã đơn; ","")&amp;IF(COUNTIF($C$2:$C53,$C53)&gt;1,"Trùng SĐT; ","")&amp;IF(ISNA(MATCH($C53,DATA_MASTER!$D$2:$D$5000,0)),"SĐT chưa đăng ký hội viên; ","")&amp;IF(AND($L53="Đã chuyển khoản",$M53=""),"Thiếu ngày nhận CK; ",""))</f>
        <v/>
      </c>
      <c r="T53" s="24" t="inlineStr"/>
    </row>
    <row r="54" ht="14.25" customHeight="1" s="40">
      <c r="A54" s="24" t="n">
        <v>53</v>
      </c>
      <c r="B54" s="24" t="inlineStr">
        <is>
          <t>22/9/2026</t>
        </is>
      </c>
      <c r="C54" s="28" t="inlineStr">
        <is>
          <t>0785887668</t>
        </is>
      </c>
      <c r="D54" s="22">
        <f>IF($C54="","",IFERROR(INDEX(DATA_MASTER!$C$2:$C$5000,MATCH($C54,DATA_MASTER!$D$2:$D$5000,0)),"Trần thị kim thoa"))</f>
        <v/>
      </c>
      <c r="E54" s="22">
        <f>IF($C54="","",IFERROR(INDEX(DATA_MASTER!$I$2:$I$5000,MATCH($C54,DATA_MASTER!$D$2:$D$5000,0)),""))</f>
        <v/>
      </c>
      <c r="F54" s="22">
        <f>IF($C54="","",IFERROR(INDEX(DATA_MASTER!$L$2:$L$5000,MATCH($C54,DATA_MASTER!$D$2:$D$5000,0)),"ZM"))</f>
        <v/>
      </c>
      <c r="G54" s="24" t="inlineStr">
        <is>
          <t>Sữa Aptamil 380g</t>
        </is>
      </c>
      <c r="H54" s="24" t="n">
        <v>1</v>
      </c>
      <c r="I54" s="30" t="n">
        <v>320000</v>
      </c>
      <c r="J54" s="23">
        <f>IF(OR($H54="",$I54=""),"",$H54*$I54)</f>
        <v/>
      </c>
      <c r="K54" s="24" t="inlineStr">
        <is>
          <t>Chuyển khoản QR</t>
        </is>
      </c>
      <c r="L54" s="24" t="inlineStr">
        <is>
          <t>Đã chuyển khoản</t>
        </is>
      </c>
      <c r="M54" s="29" t="inlineStr">
        <is>
          <t>22/9/2026</t>
        </is>
      </c>
      <c r="N54" s="28" t="inlineStr">
        <is>
          <t>0785887668</t>
        </is>
      </c>
      <c r="O54" s="24" t="inlineStr">
        <is>
          <t>Trần thị kim thoa</t>
        </is>
      </c>
      <c r="P54" s="24" t="inlineStr">
        <is>
          <t>449 Lê văn việt phường tăng nhơn phú</t>
        </is>
      </c>
      <c r="Q54" s="24" t="inlineStr">
        <is>
          <t>Đã giao</t>
        </is>
      </c>
      <c r="R54" s="24" t="inlineStr">
        <is>
          <t>Voi Con</t>
        </is>
      </c>
      <c r="S54" s="22">
        <f>IF(AND($A54="",$C54=""),"",IF($A54="","Thiếu mã đơn; ","")&amp;IF(COUNTIF($A$2:$A54,$A54)&gt;1,"Trùng mã đơn; ","")&amp;IF(COUNTIF($C$2:$C54,$C54)&gt;1,"Trùng SĐT; ","")&amp;IF(ISNA(MATCH($C54,DATA_MASTER!$D$2:$D$5000,0)),"SĐT chưa đăng ký hội viên; ","")&amp;IF(AND($L54="Đã chuyển khoản",$M54=""),"Thiếu ngày nhận CK; ",""))</f>
        <v/>
      </c>
      <c r="T54" s="24" t="inlineStr">
        <is>
          <t>ĐVVC: J&amp;T | Mã VĐ: 801114147503 | POD: https://drive.google.com/drive/folders/14YqSb9mohXWUMATpBaLAocW_7uBLVQM8 | Bill: https://drive.google.com/drive/folders/1szwxYRL9ETmCmqj7BvAX8q8voLzWVEdM</t>
        </is>
      </c>
    </row>
    <row r="55" ht="14.25" customHeight="1" s="40">
      <c r="A55" s="24" t="n">
        <v>54</v>
      </c>
      <c r="B55" s="24" t="inlineStr">
        <is>
          <t>23/9/2026</t>
        </is>
      </c>
      <c r="C55" s="28" t="inlineStr">
        <is>
          <t>0939932737</t>
        </is>
      </c>
      <c r="D55" s="22">
        <f>IF($C55="","",IFERROR(INDEX(DATA_MASTER!$C$2:$C$5000,MATCH($C55,DATA_MASTER!$D$2:$D$5000,0)),"Nguyễn Thị Kim Châu"))</f>
        <v/>
      </c>
      <c r="E55" s="22">
        <f>IF($C55="","",IFERROR(INDEX(DATA_MASTER!$I$2:$I$5000,MATCH($C55,DATA_MASTER!$D$2:$D$5000,0)),""))</f>
        <v/>
      </c>
      <c r="F55" s="22">
        <f>IF($C55="","",IFERROR(INDEX(DATA_MASTER!$L$2:$L$5000,MATCH($C55,DATA_MASTER!$D$2:$D$5000,0)),"ZM"))</f>
        <v/>
      </c>
      <c r="G55" s="24" t="inlineStr">
        <is>
          <t>Sữa Aptamil 380g</t>
        </is>
      </c>
      <c r="H55" s="24" t="n">
        <v>1</v>
      </c>
      <c r="I55" s="30" t="n">
        <v>320000</v>
      </c>
      <c r="J55" s="23">
        <f>IF(OR($H55="",$I55=""),"",$H55*$I55)</f>
        <v/>
      </c>
      <c r="K55" s="24" t="inlineStr">
        <is>
          <t>Chuyển khoản QR</t>
        </is>
      </c>
      <c r="L55" s="24" t="inlineStr">
        <is>
          <t>Đã chuyển khoản</t>
        </is>
      </c>
      <c r="M55" s="29" t="inlineStr">
        <is>
          <t>23/9/2026</t>
        </is>
      </c>
      <c r="N55" s="28" t="inlineStr">
        <is>
          <t>0939932737</t>
        </is>
      </c>
      <c r="O55" s="24" t="inlineStr">
        <is>
          <t>Nguyễn Thị Kim Châu</t>
        </is>
      </c>
      <c r="P55" s="24" t="inlineStr">
        <is>
          <t>02, tổ 66, kv9, phường hưng phú, Cần Thơ</t>
        </is>
      </c>
      <c r="Q55" s="24" t="inlineStr">
        <is>
          <t>Đã giao</t>
        </is>
      </c>
      <c r="R55" s="24" t="inlineStr">
        <is>
          <t>Nhà Của Gạo</t>
        </is>
      </c>
      <c r="S55" s="22">
        <f>IF(AND($A55="",$C55=""),"",IF($A55="","Thiếu mã đơn; ","")&amp;IF(COUNTIF($A$2:$A55,$A55)&gt;1,"Trùng mã đơn; ","")&amp;IF(COUNTIF($C$2:$C55,$C55)&gt;1,"Trùng SĐT; ","")&amp;IF(ISNA(MATCH($C55,DATA_MASTER!$D$2:$D$5000,0)),"SĐT chưa đăng ký hội viên; ","")&amp;IF(AND($L55="Đã chuyển khoản",$M55=""),"Thiếu ngày nhận CK; ",""))</f>
        <v/>
      </c>
      <c r="T55" s="24" t="inlineStr">
        <is>
          <t>Bill: https://drive.google.com/drive/folders/1oVg7f8sxciyNWufQVdeQqRnWYKGXufhm</t>
        </is>
      </c>
    </row>
    <row r="56" ht="14.25" customHeight="1" s="40">
      <c r="A56" s="24" t="n">
        <v>55</v>
      </c>
      <c r="B56" s="24" t="inlineStr">
        <is>
          <t>23/9/2026</t>
        </is>
      </c>
      <c r="C56" s="28" t="inlineStr">
        <is>
          <t>0828407207</t>
        </is>
      </c>
      <c r="D56" s="22">
        <f>IF($C56="","",IFERROR(INDEX(DATA_MASTER!$C$2:$C$5000,MATCH($C56,DATA_MASTER!$D$2:$D$5000,0)),"Nguyễn Thị Ngọc Châu"))</f>
        <v/>
      </c>
      <c r="E56" s="22">
        <f>IF($C56="","",IFERROR(INDEX(DATA_MASTER!$I$2:$I$5000,MATCH($C56,DATA_MASTER!$D$2:$D$5000,0)),""))</f>
        <v/>
      </c>
      <c r="F56" s="22">
        <f>IF($C56="","",IFERROR(INDEX(DATA_MASTER!$L$2:$L$5000,MATCH($C56,DATA_MASTER!$D$2:$D$5000,0)),"ZM"))</f>
        <v/>
      </c>
      <c r="G56" s="24" t="inlineStr">
        <is>
          <t>Sữa Aptamil 380g</t>
        </is>
      </c>
      <c r="H56" s="24" t="n">
        <v>1</v>
      </c>
      <c r="I56" s="30" t="n">
        <v>320000</v>
      </c>
      <c r="J56" s="23">
        <f>IF(OR($H56="",$I56=""),"",$H56*$I56)</f>
        <v/>
      </c>
      <c r="K56" s="24" t="inlineStr">
        <is>
          <t>Chuyển khoản QR</t>
        </is>
      </c>
      <c r="L56" s="24" t="inlineStr">
        <is>
          <t>Đã chuyển khoản</t>
        </is>
      </c>
      <c r="M56" s="29" t="inlineStr">
        <is>
          <t>23/9/2026</t>
        </is>
      </c>
      <c r="N56" s="28" t="inlineStr">
        <is>
          <t>0828407207</t>
        </is>
      </c>
      <c r="O56" s="24" t="inlineStr">
        <is>
          <t>Nguyễn Thị Ngọc Châu</t>
        </is>
      </c>
      <c r="P56" s="24" t="inlineStr">
        <is>
          <t>số 4, KDC Miền Nam, Hưng Phú, Cần Thơ</t>
        </is>
      </c>
      <c r="Q56" s="24" t="inlineStr">
        <is>
          <t>Đã giao</t>
        </is>
      </c>
      <c r="R56" s="24" t="inlineStr">
        <is>
          <t>Nhà Của Gạo</t>
        </is>
      </c>
      <c r="S56" s="22">
        <f>IF(AND($A56="",$C56=""),"",IF($A56="","Thiếu mã đơn; ","")&amp;IF(COUNTIF($A$2:$A56,$A56)&gt;1,"Trùng mã đơn; ","")&amp;IF(COUNTIF($C$2:$C56,$C56)&gt;1,"Trùng SĐT; ","")&amp;IF(ISNA(MATCH($C56,DATA_MASTER!$D$2:$D$5000,0)),"SĐT chưa đăng ký hội viên; ","")&amp;IF(AND($L56="Đã chuyển khoản",$M56=""),"Thiếu ngày nhận CK; ",""))</f>
        <v/>
      </c>
      <c r="T56" s="24" t="inlineStr"/>
    </row>
    <row r="57" ht="14.25" customHeight="1" s="40">
      <c r="A57" s="24" t="n">
        <v>56</v>
      </c>
      <c r="B57" s="24" t="inlineStr">
        <is>
          <t>23/9/2026</t>
        </is>
      </c>
      <c r="C57" s="28" t="inlineStr">
        <is>
          <t>0839134225</t>
        </is>
      </c>
      <c r="D57" s="22">
        <f>IF($C57="","",IFERROR(INDEX(DATA_MASTER!$C$2:$C$5000,MATCH($C57,DATA_MASTER!$D$2:$D$5000,0)),"Nguyễn Ngọc Nguyệt Minh"))</f>
        <v/>
      </c>
      <c r="E57" s="22">
        <f>IF($C57="","",IFERROR(INDEX(DATA_MASTER!$I$2:$I$5000,MATCH($C57,DATA_MASTER!$D$2:$D$5000,0)),""))</f>
        <v/>
      </c>
      <c r="F57" s="22">
        <f>IF($C57="","",IFERROR(INDEX(DATA_MASTER!$L$2:$L$5000,MATCH($C57,DATA_MASTER!$D$2:$D$5000,0)),"ZM"))</f>
        <v/>
      </c>
      <c r="G57" s="24" t="inlineStr">
        <is>
          <t>Sữa Aptamil 380g</t>
        </is>
      </c>
      <c r="H57" s="24" t="n">
        <v>1</v>
      </c>
      <c r="I57" s="30" t="n">
        <v>320000</v>
      </c>
      <c r="J57" s="23">
        <f>IF(OR($H57="",$I57=""),"",$H57*$I57)</f>
        <v/>
      </c>
      <c r="K57" s="24" t="inlineStr">
        <is>
          <t>Chuyển khoản QR</t>
        </is>
      </c>
      <c r="L57" s="24" t="inlineStr">
        <is>
          <t>Đã chuyển khoản</t>
        </is>
      </c>
      <c r="M57" s="29" t="inlineStr">
        <is>
          <t>23/9/2026</t>
        </is>
      </c>
      <c r="N57" s="28" t="inlineStr">
        <is>
          <t>0839134225</t>
        </is>
      </c>
      <c r="O57" s="24" t="inlineStr">
        <is>
          <t>Nguyễn Ngọc Nguyệt Minh</t>
        </is>
      </c>
      <c r="P57" s="24" t="inlineStr">
        <is>
          <t>4/6/2026 16 Đinh Tiên Hoàng, Thới Bình, Ninh Kiều, Cần Thơ</t>
        </is>
      </c>
      <c r="Q57" s="24" t="inlineStr">
        <is>
          <t>Đã giao</t>
        </is>
      </c>
      <c r="R57" s="24" t="inlineStr">
        <is>
          <t>Nhà Của Gạo</t>
        </is>
      </c>
      <c r="S57" s="22">
        <f>IF(AND($A57="",$C57=""),"",IF($A57="","Thiếu mã đơn; ","")&amp;IF(COUNTIF($A$2:$A57,$A57)&gt;1,"Trùng mã đơn; ","")&amp;IF(COUNTIF($C$2:$C57,$C57)&gt;1,"Trùng SĐT; ","")&amp;IF(ISNA(MATCH($C57,DATA_MASTER!$D$2:$D$5000,0)),"SĐT chưa đăng ký hội viên; ","")&amp;IF(AND($L57="Đã chuyển khoản",$M57=""),"Thiếu ngày nhận CK; ",""))</f>
        <v/>
      </c>
      <c r="T57" s="24" t="inlineStr"/>
    </row>
    <row r="58" ht="14.25" customHeight="1" s="40">
      <c r="A58" s="24" t="n">
        <v>57</v>
      </c>
      <c r="B58" s="24" t="inlineStr">
        <is>
          <t>23/9/2026</t>
        </is>
      </c>
      <c r="C58" s="28" t="inlineStr">
        <is>
          <t>0911777171</t>
        </is>
      </c>
      <c r="D58" s="22">
        <f>IF($C58="","",IFERROR(INDEX(DATA_MASTER!$C$2:$C$5000,MATCH($C58,DATA_MASTER!$D$2:$D$5000,0)),"Mạch Như Ngọc"))</f>
        <v/>
      </c>
      <c r="E58" s="22">
        <f>IF($C58="","",IFERROR(INDEX(DATA_MASTER!$I$2:$I$5000,MATCH($C58,DATA_MASTER!$D$2:$D$5000,0)),""))</f>
        <v/>
      </c>
      <c r="F58" s="22">
        <f>IF($C58="","",IFERROR(INDEX(DATA_MASTER!$L$2:$L$5000,MATCH($C58,DATA_MASTER!$D$2:$D$5000,0)),"ZM"))</f>
        <v/>
      </c>
      <c r="G58" s="24" t="inlineStr">
        <is>
          <t>Sữa Aptamil 380g</t>
        </is>
      </c>
      <c r="H58" s="24" t="n">
        <v>1</v>
      </c>
      <c r="I58" s="30" t="n">
        <v>320000</v>
      </c>
      <c r="J58" s="23">
        <f>IF(OR($H58="",$I58=""),"",$H58*$I58)</f>
        <v/>
      </c>
      <c r="K58" s="24" t="inlineStr">
        <is>
          <t>Chuyển khoản QR</t>
        </is>
      </c>
      <c r="L58" s="24" t="inlineStr">
        <is>
          <t>Đã chuyển khoản</t>
        </is>
      </c>
      <c r="M58" s="29" t="inlineStr">
        <is>
          <t>23/9/2026</t>
        </is>
      </c>
      <c r="N58" s="28" t="inlineStr">
        <is>
          <t>0911777171</t>
        </is>
      </c>
      <c r="O58" s="24" t="inlineStr">
        <is>
          <t>Mạch Như Ngọc</t>
        </is>
      </c>
      <c r="P58" s="24" t="inlineStr">
        <is>
          <t>D79 Kdc dầu khí long tuyền, Cần Thơ</t>
        </is>
      </c>
      <c r="Q58" s="24" t="inlineStr">
        <is>
          <t>Đã giao</t>
        </is>
      </c>
      <c r="R58" s="24" t="inlineStr">
        <is>
          <t>Thế Giới Sơ Sinh</t>
        </is>
      </c>
      <c r="S58" s="22">
        <f>IF(AND($A58="",$C58=""),"",IF($A58="","Thiếu mã đơn; ","")&amp;IF(COUNTIF($A$2:$A58,$A58)&gt;1,"Trùng mã đơn; ","")&amp;IF(COUNTIF($C$2:$C58,$C58)&gt;1,"Trùng SĐT; ","")&amp;IF(ISNA(MATCH($C58,DATA_MASTER!$D$2:$D$5000,0)),"SĐT chưa đăng ký hội viên; ","")&amp;IF(AND($L58="Đã chuyển khoản",$M58=""),"Thiếu ngày nhận CK; ",""))</f>
        <v/>
      </c>
      <c r="T58" s="24" t="inlineStr">
        <is>
          <t>Bill: https://drive.google.com/drive/folders/1W8bQQwxUHpuF5fl7wI2xTsZs2jM40sKL</t>
        </is>
      </c>
    </row>
    <row r="59" ht="14.25" customHeight="1" s="40">
      <c r="A59" s="24" t="n">
        <v>58</v>
      </c>
      <c r="B59" s="24" t="inlineStr">
        <is>
          <t>23/9/2026</t>
        </is>
      </c>
      <c r="C59" s="28" t="inlineStr">
        <is>
          <t>0918724572</t>
        </is>
      </c>
      <c r="D59" s="22">
        <f>IF($C59="","",IFERROR(INDEX(DATA_MASTER!$C$2:$C$5000,MATCH($C59,DATA_MASTER!$D$2:$D$5000,0)),"Hồ Khánh Vân"))</f>
        <v/>
      </c>
      <c r="E59" s="22">
        <f>IF($C59="","",IFERROR(INDEX(DATA_MASTER!$I$2:$I$5000,MATCH($C59,DATA_MASTER!$D$2:$D$5000,0)),""))</f>
        <v/>
      </c>
      <c r="F59" s="22">
        <f>IF($C59="","",IFERROR(INDEX(DATA_MASTER!$L$2:$L$5000,MATCH($C59,DATA_MASTER!$D$2:$D$5000,0)),"ZM"))</f>
        <v/>
      </c>
      <c r="G59" s="24" t="inlineStr">
        <is>
          <t>Sữa Aptamil 380g</t>
        </is>
      </c>
      <c r="H59" s="24" t="n">
        <v>1</v>
      </c>
      <c r="I59" s="30" t="n">
        <v>320000</v>
      </c>
      <c r="J59" s="23">
        <f>IF(OR($H59="",$I59=""),"",$H59*$I59)</f>
        <v/>
      </c>
      <c r="K59" s="24" t="inlineStr">
        <is>
          <t>Chuyển khoản QR</t>
        </is>
      </c>
      <c r="L59" s="24" t="inlineStr">
        <is>
          <t>Đã chuyển khoản</t>
        </is>
      </c>
      <c r="M59" s="29" t="inlineStr">
        <is>
          <t>23/9/2026</t>
        </is>
      </c>
      <c r="N59" s="28" t="inlineStr">
        <is>
          <t>0918724572</t>
        </is>
      </c>
      <c r="O59" s="24" t="inlineStr">
        <is>
          <t>Hồ Khánh Vân</t>
        </is>
      </c>
      <c r="P59" s="24" t="inlineStr">
        <is>
          <t>31 đường số 10, KDC Diệu Hiền, P. Hưng Phú, Cần Thơ</t>
        </is>
      </c>
      <c r="Q59" s="24" t="inlineStr">
        <is>
          <t>Đã giao</t>
        </is>
      </c>
      <c r="R59" s="24" t="inlineStr">
        <is>
          <t>Thế Giới Sơ Sinh</t>
        </is>
      </c>
      <c r="S59" s="22">
        <f>IF(AND($A59="",$C59=""),"",IF($A59="","Thiếu mã đơn; ","")&amp;IF(COUNTIF($A$2:$A59,$A59)&gt;1,"Trùng mã đơn; ","")&amp;IF(COUNTIF($C$2:$C59,$C59)&gt;1,"Trùng SĐT; ","")&amp;IF(ISNA(MATCH($C59,DATA_MASTER!$D$2:$D$5000,0)),"SĐT chưa đăng ký hội viên; ","")&amp;IF(AND($L59="Đã chuyển khoản",$M59=""),"Thiếu ngày nhận CK; ",""))</f>
        <v/>
      </c>
      <c r="T59" s="24" t="inlineStr"/>
    </row>
    <row r="60" ht="14.25" customHeight="1" s="40">
      <c r="A60" s="24" t="n">
        <v>59</v>
      </c>
      <c r="B60" s="24" t="inlineStr">
        <is>
          <t>23/9/2026</t>
        </is>
      </c>
      <c r="C60" s="28" t="inlineStr">
        <is>
          <t>0948985765</t>
        </is>
      </c>
      <c r="D60" s="22">
        <f>IF($C60="","",IFERROR(INDEX(DATA_MASTER!$C$2:$C$5000,MATCH($C60,DATA_MASTER!$D$2:$D$5000,0)),"Trịnh Kim Biên"))</f>
        <v/>
      </c>
      <c r="E60" s="22">
        <f>IF($C60="","",IFERROR(INDEX(DATA_MASTER!$I$2:$I$5000,MATCH($C60,DATA_MASTER!$D$2:$D$5000,0)),""))</f>
        <v/>
      </c>
      <c r="F60" s="22">
        <f>IF($C60="","",IFERROR(INDEX(DATA_MASTER!$L$2:$L$5000,MATCH($C60,DATA_MASTER!$D$2:$D$5000,0)),"ZM"))</f>
        <v/>
      </c>
      <c r="G60" s="24" t="inlineStr">
        <is>
          <t>Sữa Aptamil 380g</t>
        </is>
      </c>
      <c r="H60" s="24" t="n">
        <v>1</v>
      </c>
      <c r="I60" s="30" t="n">
        <v>320000</v>
      </c>
      <c r="J60" s="23">
        <f>IF(OR($H60="",$I60=""),"",$H60*$I60)</f>
        <v/>
      </c>
      <c r="K60" s="24" t="inlineStr">
        <is>
          <t>Chuyển khoản QR</t>
        </is>
      </c>
      <c r="L60" s="24" t="inlineStr">
        <is>
          <t>Đã chuyển khoản</t>
        </is>
      </c>
      <c r="M60" s="29" t="inlineStr">
        <is>
          <t>23/9/2026</t>
        </is>
      </c>
      <c r="N60" s="28" t="inlineStr">
        <is>
          <t>0948985765</t>
        </is>
      </c>
      <c r="O60" s="24" t="inlineStr">
        <is>
          <t>Trịnh Kim Biên</t>
        </is>
      </c>
      <c r="P60" s="24" t="inlineStr">
        <is>
          <t>Số 11 đường F4 KDC Bình Nhựt, Cần Thơ</t>
        </is>
      </c>
      <c r="Q60" s="24" t="inlineStr">
        <is>
          <t>Đã giao</t>
        </is>
      </c>
      <c r="R60" s="24" t="inlineStr">
        <is>
          <t>Nous Baby</t>
        </is>
      </c>
      <c r="S60" s="22">
        <f>IF(AND($A60="",$C60=""),"",IF($A60="","Thiếu mã đơn; ","")&amp;IF(COUNTIF($A$2:$A60,$A60)&gt;1,"Trùng mã đơn; ","")&amp;IF(COUNTIF($C$2:$C60,$C60)&gt;1,"Trùng SĐT; ","")&amp;IF(ISNA(MATCH($C60,DATA_MASTER!$D$2:$D$5000,0)),"SĐT chưa đăng ký hội viên; ","")&amp;IF(AND($L60="Đã chuyển khoản",$M60=""),"Thiếu ngày nhận CK; ",""))</f>
        <v/>
      </c>
      <c r="T60" s="24" t="inlineStr">
        <is>
          <t>ĐVVC: Shipper riêng | Mã VĐ: 899651310 | POD: https://drive.google.com/file/d/18RvBvTEvjOFdxfYOPa5PXwQP0DzUXGPq/view?usp=sharing | Bill: https://drive.google.com/drive/folders/1qp44Hjd8O9FjsDDWJdgyUEy1RufK-w2W</t>
        </is>
      </c>
    </row>
    <row r="61" ht="14.25" customHeight="1" s="40">
      <c r="A61" s="24" t="n">
        <v>60</v>
      </c>
      <c r="B61" s="24" t="inlineStr">
        <is>
          <t>23/9/2026</t>
        </is>
      </c>
      <c r="C61" s="28" t="inlineStr">
        <is>
          <t>0386975013</t>
        </is>
      </c>
      <c r="D61" s="22">
        <f>IF($C61="","",IFERROR(INDEX(DATA_MASTER!$C$2:$C$5000,MATCH($C61,DATA_MASTER!$D$2:$D$5000,0)),"Nguyễn Thị Thuỳ Nhung"))</f>
        <v/>
      </c>
      <c r="E61" s="22">
        <f>IF($C61="","",IFERROR(INDEX(DATA_MASTER!$I$2:$I$5000,MATCH($C61,DATA_MASTER!$D$2:$D$5000,0)),""))</f>
        <v/>
      </c>
      <c r="F61" s="22">
        <f>IF($C61="","",IFERROR(INDEX(DATA_MASTER!$L$2:$L$5000,MATCH($C61,DATA_MASTER!$D$2:$D$5000,0)),"ZM"))</f>
        <v/>
      </c>
      <c r="G61" s="24" t="inlineStr">
        <is>
          <t>Sữa Aptamil 380g</t>
        </is>
      </c>
      <c r="H61" s="24" t="n">
        <v>1</v>
      </c>
      <c r="I61" s="30" t="n">
        <v>320000</v>
      </c>
      <c r="J61" s="23">
        <f>IF(OR($H61="",$I61=""),"",$H61*$I61)</f>
        <v/>
      </c>
      <c r="K61" s="24" t="inlineStr">
        <is>
          <t>Chuyển khoản QR</t>
        </is>
      </c>
      <c r="L61" s="24" t="inlineStr">
        <is>
          <t>Chờ chuyển khoản</t>
        </is>
      </c>
      <c r="M61" s="29" t="inlineStr">
        <is>
          <t>23/9/2026</t>
        </is>
      </c>
      <c r="N61" s="28" t="inlineStr">
        <is>
          <t>0386975013</t>
        </is>
      </c>
      <c r="O61" s="24" t="inlineStr">
        <is>
          <t>Nguyễn Thị Thuỳ Nhung</t>
        </is>
      </c>
      <c r="P61" s="24" t="inlineStr">
        <is>
          <t>Số 2, đường số 9, kdc Hồng Phát, An Bình, Cần Thơ</t>
        </is>
      </c>
      <c r="Q61" s="24" t="inlineStr">
        <is>
          <t>Chờ giao</t>
        </is>
      </c>
      <c r="R61" s="24" t="inlineStr">
        <is>
          <t>Nous Baby</t>
        </is>
      </c>
      <c r="S61" s="22">
        <f>IF(AND($A61="",$C61=""),"",IF($A61="","Thiếu mã đơn; ","")&amp;IF(COUNTIF($A$2:$A61,$A61)&gt;1,"Trùng mã đơn; ","")&amp;IF(COUNTIF($C$2:$C61,$C61)&gt;1,"Trùng SĐT; ","")&amp;IF(ISNA(MATCH($C61,DATA_MASTER!$D$2:$D$5000,0)),"SĐT chưa đăng ký hội viên; ","")&amp;IF(AND($L61="Đã chuyển khoản",$M61=""),"Thiếu ngày nhận CK; ",""))</f>
        <v/>
      </c>
      <c r="T61" s="24" t="inlineStr"/>
    </row>
    <row r="62" ht="14.25" customHeight="1" s="40">
      <c r="A62" s="24" t="n">
        <v>61</v>
      </c>
      <c r="B62" s="24" t="inlineStr">
        <is>
          <t>23/9/2026</t>
        </is>
      </c>
      <c r="C62" s="28" t="inlineStr">
        <is>
          <t>0369608882</t>
        </is>
      </c>
      <c r="D62" s="22">
        <f>IF($C62="","",IFERROR(INDEX(DATA_MASTER!$C$2:$C$5000,MATCH($C62,DATA_MASTER!$D$2:$D$5000,0)),"Lâm Thị Hương Ly"))</f>
        <v/>
      </c>
      <c r="E62" s="22">
        <f>IF($C62="","",IFERROR(INDEX(DATA_MASTER!$I$2:$I$5000,MATCH($C62,DATA_MASTER!$D$2:$D$5000,0)),""))</f>
        <v/>
      </c>
      <c r="F62" s="22">
        <f>IF($C62="","",IFERROR(INDEX(DATA_MASTER!$L$2:$L$5000,MATCH($C62,DATA_MASTER!$D$2:$D$5000,0)),"ZM"))</f>
        <v/>
      </c>
      <c r="G62" s="24" t="inlineStr">
        <is>
          <t>Sữa Aptamil 380g</t>
        </is>
      </c>
      <c r="H62" s="24" t="n">
        <v>1</v>
      </c>
      <c r="I62" s="30" t="n">
        <v>320000</v>
      </c>
      <c r="J62" s="23">
        <f>IF(OR($H62="",$I62=""),"",$H62*$I62)</f>
        <v/>
      </c>
      <c r="K62" s="24" t="inlineStr">
        <is>
          <t>Chuyển khoản QR</t>
        </is>
      </c>
      <c r="L62" s="24" t="inlineStr">
        <is>
          <t>Chờ chuyển khoản</t>
        </is>
      </c>
      <c r="M62" s="29" t="inlineStr">
        <is>
          <t>23/9/2026</t>
        </is>
      </c>
      <c r="N62" s="28" t="inlineStr">
        <is>
          <t>0369608882</t>
        </is>
      </c>
      <c r="O62" s="24" t="inlineStr">
        <is>
          <t>Lâm Thị Hương Ly</t>
        </is>
      </c>
      <c r="P62" s="24" t="inlineStr">
        <is>
          <t>Nhà văn hóa Đồng Quang, An Dương,, Hải Phòng</t>
        </is>
      </c>
      <c r="Q62" s="24" t="inlineStr">
        <is>
          <t>Chờ giao</t>
        </is>
      </c>
      <c r="R62" s="24" t="inlineStr">
        <is>
          <t>Ababy</t>
        </is>
      </c>
      <c r="S62" s="22">
        <f>IF(AND($A62="",$C62=""),"",IF($A62="","Thiếu mã đơn; ","")&amp;IF(COUNTIF($A$2:$A62,$A62)&gt;1,"Trùng mã đơn; ","")&amp;IF(COUNTIF($C$2:$C62,$C62)&gt;1,"Trùng SĐT; ","")&amp;IF(ISNA(MATCH($C62,DATA_MASTER!$D$2:$D$5000,0)),"SĐT chưa đăng ký hội viên; ","")&amp;IF(AND($L62="Đã chuyển khoản",$M62=""),"Thiếu ngày nhận CK; ",""))</f>
        <v/>
      </c>
      <c r="T62" s="24" t="inlineStr">
        <is>
          <t>ĐVVC: [4] Đã giao hàng | Mã VĐ: 24/9/2026 | POD: Shipper riêng</t>
        </is>
      </c>
    </row>
    <row r="63" ht="14.25" customHeight="1" s="40">
      <c r="A63" s="24" t="n">
        <v>62</v>
      </c>
      <c r="B63" s="24" t="inlineStr">
        <is>
          <t>23/9/2026</t>
        </is>
      </c>
      <c r="C63" s="28" t="inlineStr">
        <is>
          <t>0962561425</t>
        </is>
      </c>
      <c r="D63" s="22">
        <f>IF($C63="","",IFERROR(INDEX(DATA_MASTER!$C$2:$C$5000,MATCH($C63,DATA_MASTER!$D$2:$D$5000,0)),"Nguyễn Thị Đoan Trang"))</f>
        <v/>
      </c>
      <c r="E63" s="22">
        <f>IF($C63="","",IFERROR(INDEX(DATA_MASTER!$I$2:$I$5000,MATCH($C63,DATA_MASTER!$D$2:$D$5000,0)),""))</f>
        <v/>
      </c>
      <c r="F63" s="22">
        <f>IF($C63="","",IFERROR(INDEX(DATA_MASTER!$L$2:$L$5000,MATCH($C63,DATA_MASTER!$D$2:$D$5000,0)),"ZM"))</f>
        <v/>
      </c>
      <c r="G63" s="24" t="inlineStr">
        <is>
          <t>Sữa Aptamil 380g</t>
        </is>
      </c>
      <c r="H63" s="24" t="n">
        <v>1</v>
      </c>
      <c r="I63" s="30" t="n">
        <v>320000</v>
      </c>
      <c r="J63" s="23">
        <f>IF(OR($H63="",$I63=""),"",$H63*$I63)</f>
        <v/>
      </c>
      <c r="K63" s="24" t="inlineStr">
        <is>
          <t>Chuyển khoản QR</t>
        </is>
      </c>
      <c r="L63" s="24" t="inlineStr">
        <is>
          <t>Chờ chuyển khoản</t>
        </is>
      </c>
      <c r="M63" s="29" t="inlineStr">
        <is>
          <t>23/9/2026</t>
        </is>
      </c>
      <c r="N63" s="28" t="inlineStr">
        <is>
          <t>0962561425</t>
        </is>
      </c>
      <c r="O63" s="24" t="inlineStr">
        <is>
          <t>Nguyễn Thị Đoan Trang</t>
        </is>
      </c>
      <c r="P63" s="24" t="inlineStr">
        <is>
          <t>18 venice 18 Vinhome Imperia, Hồng Bàng, Hải Phòng</t>
        </is>
      </c>
      <c r="Q63" s="24" t="inlineStr">
        <is>
          <t>Chờ giao</t>
        </is>
      </c>
      <c r="R63" s="24" t="inlineStr">
        <is>
          <t>Ababy</t>
        </is>
      </c>
      <c r="S63" s="22">
        <f>IF(AND($A63="",$C63=""),"",IF($A63="","Thiếu mã đơn; ","")&amp;IF(COUNTIF($A$2:$A63,$A63)&gt;1,"Trùng mã đơn; ","")&amp;IF(COUNTIF($C$2:$C63,$C63)&gt;1,"Trùng SĐT; ","")&amp;IF(ISNA(MATCH($C63,DATA_MASTER!$D$2:$D$5000,0)),"SĐT chưa đăng ký hội viên; ","")&amp;IF(AND($L63="Đã chuyển khoản",$M63=""),"Thiếu ngày nhận CK; ",""))</f>
        <v/>
      </c>
      <c r="T63" s="24" t="inlineStr">
        <is>
          <t>ĐVVC: [4] Đã giao hàng | Mã VĐ: 24/9/2026 | POD: Shipper riêng</t>
        </is>
      </c>
    </row>
    <row r="64" ht="14.25" customHeight="1" s="40">
      <c r="A64" s="24" t="n">
        <v>63</v>
      </c>
      <c r="B64" s="24" t="inlineStr">
        <is>
          <t>23/9/2026</t>
        </is>
      </c>
      <c r="C64" s="28" t="inlineStr">
        <is>
          <t>0931802142</t>
        </is>
      </c>
      <c r="D64" s="22">
        <f>IF($C64="","",IFERROR(INDEX(DATA_MASTER!$C$2:$C$5000,MATCH($C64,DATA_MASTER!$D$2:$D$5000,0)),"Nguyễn Bình Thiên Nga"))</f>
        <v/>
      </c>
      <c r="E64" s="22">
        <f>IF($C64="","",IFERROR(INDEX(DATA_MASTER!$I$2:$I$5000,MATCH($C64,DATA_MASTER!$D$2:$D$5000,0)),""))</f>
        <v/>
      </c>
      <c r="F64" s="22">
        <f>IF($C64="","",IFERROR(INDEX(DATA_MASTER!$L$2:$L$5000,MATCH($C64,DATA_MASTER!$D$2:$D$5000,0)),"ZM"))</f>
        <v/>
      </c>
      <c r="G64" s="24" t="inlineStr">
        <is>
          <t>Sữa Aptamil 380g</t>
        </is>
      </c>
      <c r="H64" s="24" t="n">
        <v>1</v>
      </c>
      <c r="I64" s="30" t="n">
        <v>320000</v>
      </c>
      <c r="J64" s="23">
        <f>IF(OR($H64="",$I64=""),"",$H64*$I64)</f>
        <v/>
      </c>
      <c r="K64" s="24" t="inlineStr">
        <is>
          <t>Chuyển khoản QR</t>
        </is>
      </c>
      <c r="L64" s="24" t="inlineStr">
        <is>
          <t>Đã chuyển khoản</t>
        </is>
      </c>
      <c r="M64" s="29" t="inlineStr">
        <is>
          <t>23/9/2026</t>
        </is>
      </c>
      <c r="N64" s="28" t="inlineStr">
        <is>
          <t>0931802142</t>
        </is>
      </c>
      <c r="O64" s="24" t="inlineStr">
        <is>
          <t>Nguyễn Bình Thiên Nga</t>
        </is>
      </c>
      <c r="P64" s="24" t="inlineStr">
        <is>
          <t>214/c52/5 Nguyễn Trãi, phường Nguyễn Cư Trinh,, Quận 1</t>
        </is>
      </c>
      <c r="Q64" s="24" t="inlineStr">
        <is>
          <t>Đã giao</t>
        </is>
      </c>
      <c r="R64" s="24" t="inlineStr">
        <is>
          <t>Voi Con</t>
        </is>
      </c>
      <c r="S64" s="22">
        <f>IF(AND($A64="",$C64=""),"",IF($A64="","Thiếu mã đơn; ","")&amp;IF(COUNTIF($A$2:$A64,$A64)&gt;1,"Trùng mã đơn; ","")&amp;IF(COUNTIF($C$2:$C64,$C64)&gt;1,"Trùng SĐT; ","")&amp;IF(ISNA(MATCH($C64,DATA_MASTER!$D$2:$D$5000,0)),"SĐT chưa đăng ký hội viên; ","")&amp;IF(AND($L64="Đã chuyển khoản",$M64=""),"Thiếu ngày nhận CK; ",""))</f>
        <v/>
      </c>
      <c r="T64" s="24" t="inlineStr">
        <is>
          <t>ĐVVC: J&amp;T | Mã VĐ: 801113581301 | POD: https://drive.google.com/drive/folders/14YqSb9mohXWUMATpBaLAocW_7uBLVQM8 | Bill: https://drive.google.com/drive/folders/1szwxYRL9ETmCmqj7BvAX8q8voLzWVEdM</t>
        </is>
      </c>
    </row>
    <row r="65" ht="14.25" customHeight="1" s="40">
      <c r="A65" s="24" t="n">
        <v>64</v>
      </c>
      <c r="B65" s="24" t="inlineStr">
        <is>
          <t>23/9/2026</t>
        </is>
      </c>
      <c r="C65" s="28" t="inlineStr">
        <is>
          <t>0869606889</t>
        </is>
      </c>
      <c r="D65" s="22">
        <f>IF($C65="","",IFERROR(INDEX(DATA_MASTER!$C$2:$C$5000,MATCH($C65,DATA_MASTER!$D$2:$D$5000,0)),"Chị Huyền"))</f>
        <v/>
      </c>
      <c r="E65" s="22">
        <f>IF($C65="","",IFERROR(INDEX(DATA_MASTER!$I$2:$I$5000,MATCH($C65,DATA_MASTER!$D$2:$D$5000,0)),""))</f>
        <v/>
      </c>
      <c r="F65" s="22">
        <f>IF($C65="","",IFERROR(INDEX(DATA_MASTER!$L$2:$L$5000,MATCH($C65,DATA_MASTER!$D$2:$D$5000,0)),"ZM"))</f>
        <v/>
      </c>
      <c r="G65" s="24" t="inlineStr">
        <is>
          <t>Sữa Aptamil 380g</t>
        </is>
      </c>
      <c r="H65" s="24" t="n">
        <v>1</v>
      </c>
      <c r="I65" s="30" t="n">
        <v>320000</v>
      </c>
      <c r="J65" s="23">
        <f>IF(OR($H65="",$I65=""),"",$H65*$I65)</f>
        <v/>
      </c>
      <c r="K65" s="24" t="inlineStr">
        <is>
          <t>Chuyển khoản QR</t>
        </is>
      </c>
      <c r="L65" s="24" t="inlineStr">
        <is>
          <t>Đã chuyển khoản</t>
        </is>
      </c>
      <c r="M65" s="29" t="inlineStr">
        <is>
          <t>23/9/2026</t>
        </is>
      </c>
      <c r="N65" s="28" t="inlineStr">
        <is>
          <t>0869606889</t>
        </is>
      </c>
      <c r="O65" s="24" t="inlineStr">
        <is>
          <t>Chị Huyền</t>
        </is>
      </c>
      <c r="P65" s="24" t="inlineStr">
        <is>
          <t>số 19A - Cụm 1/Thôn Phú Thịnh - Xã Phú Cát, Hà Nội</t>
        </is>
      </c>
      <c r="Q65" s="24" t="inlineStr">
        <is>
          <t>Đã giao</t>
        </is>
      </c>
      <c r="R65" s="24" t="inlineStr">
        <is>
          <t>Mẹ Ơi</t>
        </is>
      </c>
      <c r="S65" s="22">
        <f>IF(AND($A65="",$C65=""),"",IF($A65="","Thiếu mã đơn; ","")&amp;IF(COUNTIF($A$2:$A65,$A65)&gt;1,"Trùng mã đơn; ","")&amp;IF(COUNTIF($C$2:$C65,$C65)&gt;1,"Trùng SĐT; ","")&amp;IF(ISNA(MATCH($C65,DATA_MASTER!$D$2:$D$5000,0)),"SĐT chưa đăng ký hội viên; ","")&amp;IF(AND($L65="Đã chuyển khoản",$M65=""),"Thiếu ngày nhận CK; ",""))</f>
        <v/>
      </c>
      <c r="T65" s="24" t="inlineStr">
        <is>
          <t>ĐVVC: spx | Mã VĐ: SPXVN066962060829 | Bill: https://drive.google.com/drive/folders/1cQLK9r-TZCzE-J1NdD0qL9t7cDhbV1oF</t>
        </is>
      </c>
    </row>
    <row r="66" ht="14.25" customHeight="1" s="40">
      <c r="A66" s="24" t="n">
        <v>65</v>
      </c>
      <c r="B66" s="24" t="inlineStr">
        <is>
          <t>24/9/2026</t>
        </is>
      </c>
      <c r="C66" s="28" t="inlineStr">
        <is>
          <t>0941903229</t>
        </is>
      </c>
      <c r="D66" s="22">
        <f>IF($C66="","",IFERROR(INDEX(DATA_MASTER!$C$2:$C$5000,MATCH($C66,DATA_MASTER!$D$2:$D$5000,0)),"Chị Hiền"))</f>
        <v/>
      </c>
      <c r="E66" s="22">
        <f>IF($C66="","",IFERROR(INDEX(DATA_MASTER!$I$2:$I$5000,MATCH($C66,DATA_MASTER!$D$2:$D$5000,0)),""))</f>
        <v/>
      </c>
      <c r="F66" s="22">
        <f>IF($C66="","",IFERROR(INDEX(DATA_MASTER!$L$2:$L$5000,MATCH($C66,DATA_MASTER!$D$2:$D$5000,0)),"ZM"))</f>
        <v/>
      </c>
      <c r="G66" s="24" t="inlineStr">
        <is>
          <t>Sữa Aptamil 380g</t>
        </is>
      </c>
      <c r="H66" s="24" t="n">
        <v>1</v>
      </c>
      <c r="I66" s="30" t="n">
        <v>320000</v>
      </c>
      <c r="J66" s="23">
        <f>IF(OR($H66="",$I66=""),"",$H66*$I66)</f>
        <v/>
      </c>
      <c r="K66" s="24" t="inlineStr">
        <is>
          <t>Chuyển khoản QR</t>
        </is>
      </c>
      <c r="L66" s="24" t="inlineStr">
        <is>
          <t>Đã chuyển khoản</t>
        </is>
      </c>
      <c r="M66" s="29" t="inlineStr">
        <is>
          <t>24/9/2026</t>
        </is>
      </c>
      <c r="N66" s="28" t="inlineStr">
        <is>
          <t>0941903229</t>
        </is>
      </c>
      <c r="O66" s="24" t="inlineStr">
        <is>
          <t>Chị Hiền</t>
        </is>
      </c>
      <c r="P66" s="24" t="inlineStr">
        <is>
          <t>Toà R4 A, KĐ Golmark city, Hà Nội</t>
        </is>
      </c>
      <c r="Q66" s="24" t="inlineStr">
        <is>
          <t>Đã giao</t>
        </is>
      </c>
      <c r="R66" s="24" t="inlineStr">
        <is>
          <t>Mẹ Ơi</t>
        </is>
      </c>
      <c r="S66" s="22">
        <f>IF(AND($A66="",$C66=""),"",IF($A66="","Thiếu mã đơn; ","")&amp;IF(COUNTIF($A$2:$A66,$A66)&gt;1,"Trùng mã đơn; ","")&amp;IF(COUNTIF($C$2:$C66,$C66)&gt;1,"Trùng SĐT; ","")&amp;IF(ISNA(MATCH($C66,DATA_MASTER!$D$2:$D$5000,0)),"SĐT chưa đăng ký hội viên; ","")&amp;IF(AND($L66="Đã chuyển khoản",$M66=""),"Thiếu ngày nhận CK; ",""))</f>
        <v/>
      </c>
      <c r="T66" s="24" t="inlineStr">
        <is>
          <t>ĐVVC: spx | Mã VĐ: SPXVN069595175579 | Bill: https://drive.google.com/drive/folders/1cQLK9r-TZCzE-J1NdD0qL9t7cDhbV1oF</t>
        </is>
      </c>
    </row>
    <row r="67" ht="14.25" customHeight="1" s="40">
      <c r="A67" s="24" t="n">
        <v>66</v>
      </c>
      <c r="B67" s="24" t="inlineStr">
        <is>
          <t>24/9/2026</t>
        </is>
      </c>
      <c r="C67" s="28" t="inlineStr">
        <is>
          <t>0977004369</t>
        </is>
      </c>
      <c r="D67" s="22">
        <f>IF($C67="","",IFERROR(INDEX(DATA_MASTER!$C$2:$C$5000,MATCH($C67,DATA_MASTER!$D$2:$D$5000,0)),"Lan Anh"))</f>
        <v/>
      </c>
      <c r="E67" s="22">
        <f>IF($C67="","",IFERROR(INDEX(DATA_MASTER!$I$2:$I$5000,MATCH($C67,DATA_MASTER!$D$2:$D$5000,0)),""))</f>
        <v/>
      </c>
      <c r="F67" s="22">
        <f>IF($C67="","",IFERROR(INDEX(DATA_MASTER!$L$2:$L$5000,MATCH($C67,DATA_MASTER!$D$2:$D$5000,0)),"ZM"))</f>
        <v/>
      </c>
      <c r="G67" s="24" t="inlineStr">
        <is>
          <t>Sữa Aptamil 380g</t>
        </is>
      </c>
      <c r="H67" s="24" t="n">
        <v>1</v>
      </c>
      <c r="I67" s="30" t="n">
        <v>320000</v>
      </c>
      <c r="J67" s="23">
        <f>IF(OR($H67="",$I67=""),"",$H67*$I67)</f>
        <v/>
      </c>
      <c r="K67" s="24" t="inlineStr">
        <is>
          <t>Chuyển khoản QR</t>
        </is>
      </c>
      <c r="L67" s="24" t="inlineStr">
        <is>
          <t>Chờ chuyển khoản</t>
        </is>
      </c>
      <c r="M67" s="29" t="inlineStr">
        <is>
          <t>24/9/2026</t>
        </is>
      </c>
      <c r="N67" s="28" t="inlineStr">
        <is>
          <t>0977004369</t>
        </is>
      </c>
      <c r="O67" s="24" t="inlineStr">
        <is>
          <t>Lan Anh</t>
        </is>
      </c>
      <c r="P67" s="24" t="inlineStr">
        <is>
          <t>Xóm 2 - Tổ 15 Phường Vũ Phúc, Hưng Yên</t>
        </is>
      </c>
      <c r="Q67" s="24" t="inlineStr">
        <is>
          <t>Chờ giao</t>
        </is>
      </c>
      <c r="R67" s="24" t="inlineStr">
        <is>
          <t>Long Châu</t>
        </is>
      </c>
      <c r="S67" s="22">
        <f>IF(AND($A67="",$C67=""),"",IF($A67="","Thiếu mã đơn; ","")&amp;IF(COUNTIF($A$2:$A67,$A67)&gt;1,"Trùng mã đơn; ","")&amp;IF(COUNTIF($C$2:$C67,$C67)&gt;1,"Trùng SĐT; ","")&amp;IF(ISNA(MATCH($C67,DATA_MASTER!$D$2:$D$5000,0)),"SĐT chưa đăng ký hội viên; ","")&amp;IF(AND($L67="Đã chuyển khoản",$M67=""),"Thiếu ngày nhận CK; ",""))</f>
        <v/>
      </c>
      <c r="T67" s="24" t="inlineStr"/>
    </row>
    <row r="68" ht="14.25" customHeight="1" s="40">
      <c r="A68" s="24" t="n">
        <v>67</v>
      </c>
      <c r="B68" s="24" t="inlineStr">
        <is>
          <t>24/9/2026</t>
        </is>
      </c>
      <c r="C68" s="28" t="inlineStr">
        <is>
          <t>0777767890</t>
        </is>
      </c>
      <c r="D68" s="22">
        <f>IF($C68="","",IFERROR(INDEX(DATA_MASTER!$C$2:$C$5000,MATCH($C68,DATA_MASTER!$D$2:$D$5000,0)),"Nguyễn Hồng Thiên Lý"))</f>
        <v/>
      </c>
      <c r="E68" s="22">
        <f>IF($C68="","",IFERROR(INDEX(DATA_MASTER!$I$2:$I$5000,MATCH($C68,DATA_MASTER!$D$2:$D$5000,0)),""))</f>
        <v/>
      </c>
      <c r="F68" s="22">
        <f>IF($C68="","",IFERROR(INDEX(DATA_MASTER!$L$2:$L$5000,MATCH($C68,DATA_MASTER!$D$2:$D$5000,0)),"ZM"))</f>
        <v/>
      </c>
      <c r="G68" s="24" t="inlineStr">
        <is>
          <t>Sữa Aptamil 380g</t>
        </is>
      </c>
      <c r="H68" s="24" t="n">
        <v>1</v>
      </c>
      <c r="I68" s="30" t="n">
        <v>320000</v>
      </c>
      <c r="J68" s="23">
        <f>IF(OR($H68="",$I68=""),"",$H68*$I68)</f>
        <v/>
      </c>
      <c r="K68" s="24" t="inlineStr">
        <is>
          <t>Chuyển khoản QR</t>
        </is>
      </c>
      <c r="L68" s="24" t="inlineStr">
        <is>
          <t>Đã chuyển khoản</t>
        </is>
      </c>
      <c r="M68" s="29" t="inlineStr">
        <is>
          <t>24/9/2026</t>
        </is>
      </c>
      <c r="N68" s="28" t="inlineStr">
        <is>
          <t>0777767890</t>
        </is>
      </c>
      <c r="O68" s="24" t="inlineStr">
        <is>
          <t>Nguyễn Hồng Thiên Lý</t>
        </is>
      </c>
      <c r="P68" s="24" t="inlineStr">
        <is>
          <t>284/10 Phan huy ích Phường An hội tây, HCM</t>
        </is>
      </c>
      <c r="Q68" s="24" t="inlineStr">
        <is>
          <t>Đã giao</t>
        </is>
      </c>
      <c r="R68" s="24" t="inlineStr">
        <is>
          <t>Voi Con</t>
        </is>
      </c>
      <c r="S68" s="22">
        <f>IF(AND($A68="",$C68=""),"",IF($A68="","Thiếu mã đơn; ","")&amp;IF(COUNTIF($A$2:$A68,$A68)&gt;1,"Trùng mã đơn; ","")&amp;IF(COUNTIF($C$2:$C68,$C68)&gt;1,"Trùng SĐT; ","")&amp;IF(ISNA(MATCH($C68,DATA_MASTER!$D$2:$D$5000,0)),"SĐT chưa đăng ký hội viên; ","")&amp;IF(AND($L68="Đã chuyển khoản",$M68=""),"Thiếu ngày nhận CK; ",""))</f>
        <v/>
      </c>
      <c r="T68" s="24" t="inlineStr">
        <is>
          <t>ĐVVC: J&amp;T | Mã VĐ: 801114172690 | POD: https://drive.google.com/drive/folders/14YqSb9mohXWUMATpBaLAocW_7uBLVQM8 | Bill: https://drive.google.com/drive/folders/1szwxYRL9ETmCmqj7BvAX8q8voLzWVEdM</t>
        </is>
      </c>
    </row>
    <row r="69" ht="14.25" customHeight="1" s="40">
      <c r="A69" s="24" t="n">
        <v>68</v>
      </c>
      <c r="B69" s="24" t="inlineStr">
        <is>
          <t>24/9/2026</t>
        </is>
      </c>
      <c r="C69" s="28" t="inlineStr">
        <is>
          <t>0766456888</t>
        </is>
      </c>
      <c r="D69" s="22">
        <f>IF($C69="","",IFERROR(INDEX(DATA_MASTER!$C$2:$C$5000,MATCH($C69,DATA_MASTER!$D$2:$D$5000,0)),"Nguyễn Hương Giang"))</f>
        <v/>
      </c>
      <c r="E69" s="22">
        <f>IF($C69="","",IFERROR(INDEX(DATA_MASTER!$I$2:$I$5000,MATCH($C69,DATA_MASTER!$D$2:$D$5000,0)),""))</f>
        <v/>
      </c>
      <c r="F69" s="22">
        <f>IF($C69="","",IFERROR(INDEX(DATA_MASTER!$L$2:$L$5000,MATCH($C69,DATA_MASTER!$D$2:$D$5000,0)),"ZM"))</f>
        <v/>
      </c>
      <c r="G69" s="24" t="inlineStr">
        <is>
          <t>Sữa Aptamil 380g</t>
        </is>
      </c>
      <c r="H69" s="24" t="n">
        <v>1</v>
      </c>
      <c r="I69" s="30" t="n">
        <v>320000</v>
      </c>
      <c r="J69" s="23">
        <f>IF(OR($H69="",$I69=""),"",$H69*$I69)</f>
        <v/>
      </c>
      <c r="K69" s="24" t="inlineStr">
        <is>
          <t>Chuyển khoản QR</t>
        </is>
      </c>
      <c r="L69" s="24" t="inlineStr">
        <is>
          <t>Đã chuyển khoản</t>
        </is>
      </c>
      <c r="M69" s="29" t="inlineStr">
        <is>
          <t>24/9/2026</t>
        </is>
      </c>
      <c r="N69" s="28" t="inlineStr">
        <is>
          <t>0766456888</t>
        </is>
      </c>
      <c r="O69" s="24" t="inlineStr">
        <is>
          <t>Nguyễn Hương Giang</t>
        </is>
      </c>
      <c r="P69" s="24" t="inlineStr">
        <is>
          <t>Thôn Phong Niên - Đặc Khu Cát Hải, Hải Phòng</t>
        </is>
      </c>
      <c r="Q69" s="24" t="inlineStr">
        <is>
          <t>Đã giao</t>
        </is>
      </c>
      <c r="R69" s="24" t="inlineStr">
        <is>
          <t>Ababy</t>
        </is>
      </c>
      <c r="S69" s="22">
        <f>IF(AND($A69="",$C69=""),"",IF($A69="","Thiếu mã đơn; ","")&amp;IF(COUNTIF($A$2:$A69,$A69)&gt;1,"Trùng mã đơn; ","")&amp;IF(COUNTIF($C$2:$C69,$C69)&gt;1,"Trùng SĐT; ","")&amp;IF(ISNA(MATCH($C69,DATA_MASTER!$D$2:$D$5000,0)),"SĐT chưa đăng ký hội viên; ","")&amp;IF(AND($L69="Đã chuyển khoản",$M69=""),"Thiếu ngày nhận CK; ",""))</f>
        <v/>
      </c>
      <c r="T69" s="24" t="inlineStr">
        <is>
          <t>ĐVVC: Viettel Post | Mã VĐ: 153118730182 | Bill: https://drive.google.com/drive/folders/12kul6YKLh3Pirh9IMpTdNdWV9h4MaTPZ</t>
        </is>
      </c>
    </row>
    <row r="70" ht="14.25" customHeight="1" s="40">
      <c r="A70" s="24" t="n">
        <v>69</v>
      </c>
      <c r="B70" s="24" t="inlineStr">
        <is>
          <t>24/9/2026</t>
        </is>
      </c>
      <c r="C70" s="28" t="inlineStr">
        <is>
          <t>0904147760</t>
        </is>
      </c>
      <c r="D70" s="22">
        <f>IF($C70="","",IFERROR(INDEX(DATA_MASTER!$C$2:$C$5000,MATCH($C70,DATA_MASTER!$D$2:$D$5000,0)),"Nguyễn Thị Ánh Hồng"))</f>
        <v/>
      </c>
      <c r="E70" s="22">
        <f>IF($C70="","",IFERROR(INDEX(DATA_MASTER!$I$2:$I$5000,MATCH($C70,DATA_MASTER!$D$2:$D$5000,0)),""))</f>
        <v/>
      </c>
      <c r="F70" s="22">
        <f>IF($C70="","",IFERROR(INDEX(DATA_MASTER!$L$2:$L$5000,MATCH($C70,DATA_MASTER!$D$2:$D$5000,0)),"ZM"))</f>
        <v/>
      </c>
      <c r="G70" s="24" t="inlineStr">
        <is>
          <t>Sữa Aptamil 380g</t>
        </is>
      </c>
      <c r="H70" s="24" t="n">
        <v>1</v>
      </c>
      <c r="I70" s="30" t="n">
        <v>320000</v>
      </c>
      <c r="J70" s="23">
        <f>IF(OR($H70="",$I70=""),"",$H70*$I70)</f>
        <v/>
      </c>
      <c r="K70" s="24" t="inlineStr">
        <is>
          <t>Chuyển khoản QR</t>
        </is>
      </c>
      <c r="L70" s="24" t="inlineStr">
        <is>
          <t>Đã chuyển khoản</t>
        </is>
      </c>
      <c r="M70" s="29" t="inlineStr">
        <is>
          <t>24/9/2026</t>
        </is>
      </c>
      <c r="N70" s="28" t="inlineStr">
        <is>
          <t>0904147760</t>
        </is>
      </c>
      <c r="O70" s="24" t="inlineStr">
        <is>
          <t>Nguyễn Thị Ánh Hồng</t>
        </is>
      </c>
      <c r="P70" s="24" t="inlineStr">
        <is>
          <t>119/229 Miếu Hai Xã, Lê Chân, Hải Phòng</t>
        </is>
      </c>
      <c r="Q70" s="24" t="inlineStr">
        <is>
          <t>Đã giao</t>
        </is>
      </c>
      <c r="R70" s="24" t="inlineStr">
        <is>
          <t>Cute Baby</t>
        </is>
      </c>
      <c r="S70" s="22">
        <f>IF(AND($A70="",$C70=""),"",IF($A70="","Thiếu mã đơn; ","")&amp;IF(COUNTIF($A$2:$A70,$A70)&gt;1,"Trùng mã đơn; ","")&amp;IF(COUNTIF($C$2:$C70,$C70)&gt;1,"Trùng SĐT; ","")&amp;IF(ISNA(MATCH($C70,DATA_MASTER!$D$2:$D$5000,0)),"SĐT chưa đăng ký hội viên; ","")&amp;IF(AND($L70="Đã chuyển khoản",$M70=""),"Thiếu ngày nhận CK; ",""))</f>
        <v/>
      </c>
      <c r="T70" s="24" t="inlineStr">
        <is>
          <t>Bill: https://drive.google.com/drive/folders/1pGqhQTp0IpL6t6tM8ZDeuoccAawA1U70</t>
        </is>
      </c>
    </row>
    <row r="71" ht="14.25" customHeight="1" s="40">
      <c r="A71" s="24" t="n">
        <v>70</v>
      </c>
      <c r="B71" s="24" t="inlineStr">
        <is>
          <t>24/9/2026</t>
        </is>
      </c>
      <c r="C71" s="28" t="inlineStr">
        <is>
          <t>0375911123</t>
        </is>
      </c>
      <c r="D71" s="22">
        <f>IF($C71="","",IFERROR(INDEX(DATA_MASTER!$C$2:$C$5000,MATCH($C71,DATA_MASTER!$D$2:$D$5000,0)),"Lưu Thị Linh Chi"))</f>
        <v/>
      </c>
      <c r="E71" s="22">
        <f>IF($C71="","",IFERROR(INDEX(DATA_MASTER!$I$2:$I$5000,MATCH($C71,DATA_MASTER!$D$2:$D$5000,0)),""))</f>
        <v/>
      </c>
      <c r="F71" s="22">
        <f>IF($C71="","",IFERROR(INDEX(DATA_MASTER!$L$2:$L$5000,MATCH($C71,DATA_MASTER!$D$2:$D$5000,0)),"ZM"))</f>
        <v/>
      </c>
      <c r="G71" s="24" t="inlineStr">
        <is>
          <t>Sữa Aptamil 380g</t>
        </is>
      </c>
      <c r="H71" s="24" t="n">
        <v>1</v>
      </c>
      <c r="I71" s="30" t="n">
        <v>320000</v>
      </c>
      <c r="J71" s="23">
        <f>IF(OR($H71="",$I71=""),"",$H71*$I71)</f>
        <v/>
      </c>
      <c r="K71" s="24" t="inlineStr">
        <is>
          <t>Chuyển khoản QR</t>
        </is>
      </c>
      <c r="L71" s="24" t="inlineStr">
        <is>
          <t>Đã chuyển khoản</t>
        </is>
      </c>
      <c r="M71" s="29" t="inlineStr">
        <is>
          <t>24/9/2026</t>
        </is>
      </c>
      <c r="N71" s="28" t="inlineStr">
        <is>
          <t>0375911123</t>
        </is>
      </c>
      <c r="O71" s="24" t="inlineStr">
        <is>
          <t>Lưu Thị Linh Chi</t>
        </is>
      </c>
      <c r="P71" s="24" t="inlineStr">
        <is>
          <t>Số nhà 55b, Trung Lăng Tây, Tiên Lãng, Hải Phòng</t>
        </is>
      </c>
      <c r="Q71" s="24" t="inlineStr">
        <is>
          <t>Đã giao</t>
        </is>
      </c>
      <c r="R71" s="24" t="inlineStr">
        <is>
          <t>Cute Baby</t>
        </is>
      </c>
      <c r="S71" s="22">
        <f>IF(AND($A71="",$C71=""),"",IF($A71="","Thiếu mã đơn; ","")&amp;IF(COUNTIF($A$2:$A71,$A71)&gt;1,"Trùng mã đơn; ","")&amp;IF(COUNTIF($C$2:$C71,$C71)&gt;1,"Trùng SĐT; ","")&amp;IF(ISNA(MATCH($C71,DATA_MASTER!$D$2:$D$5000,0)),"SĐT chưa đăng ký hội viên; ","")&amp;IF(AND($L71="Đã chuyển khoản",$M71=""),"Thiếu ngày nhận CK; ",""))</f>
        <v/>
      </c>
      <c r="T71" s="24" t="inlineStr">
        <is>
          <t>ĐVVC: Giao hàng nhanh | Mã VĐ: GYRDW6M3 | Bill: https://drive.google.com/drive/folders/1pGqhQTp0IpL6t6tM8ZDeuoccAawA1U70</t>
        </is>
      </c>
    </row>
    <row r="72" ht="14.25" customHeight="1" s="40">
      <c r="A72" s="24" t="n">
        <v>71</v>
      </c>
      <c r="B72" s="24" t="inlineStr">
        <is>
          <t>26/9/2026</t>
        </is>
      </c>
      <c r="C72" s="28" t="inlineStr">
        <is>
          <t>0902334161</t>
        </is>
      </c>
      <c r="D72" s="22">
        <f>IF($C72="","",IFERROR(INDEX(DATA_MASTER!$C$2:$C$5000,MATCH($C72,DATA_MASTER!$D$2:$D$5000,0)),"Chị Ngân"))</f>
        <v/>
      </c>
      <c r="E72" s="22">
        <f>IF($C72="","",IFERROR(INDEX(DATA_MASTER!$I$2:$I$5000,MATCH($C72,DATA_MASTER!$D$2:$D$5000,0)),""))</f>
        <v/>
      </c>
      <c r="F72" s="22">
        <f>IF($C72="","",IFERROR(INDEX(DATA_MASTER!$L$2:$L$5000,MATCH($C72,DATA_MASTER!$D$2:$D$5000,0)),"ZM"))</f>
        <v/>
      </c>
      <c r="G72" s="24" t="inlineStr">
        <is>
          <t>Sữa Aptamil 380g</t>
        </is>
      </c>
      <c r="H72" s="24" t="n">
        <v>1</v>
      </c>
      <c r="I72" s="30" t="n">
        <v>320000</v>
      </c>
      <c r="J72" s="23">
        <f>IF(OR($H72="",$I72=""),"",$H72*$I72)</f>
        <v/>
      </c>
      <c r="K72" s="24" t="inlineStr">
        <is>
          <t>Chuyển khoản QR</t>
        </is>
      </c>
      <c r="L72" s="24" t="inlineStr">
        <is>
          <t>Đã chuyển khoản</t>
        </is>
      </c>
      <c r="M72" s="29" t="inlineStr">
        <is>
          <t>26/9/2026</t>
        </is>
      </c>
      <c r="N72" s="28" t="inlineStr">
        <is>
          <t>0902334161</t>
        </is>
      </c>
      <c r="O72" s="24" t="inlineStr">
        <is>
          <t>Chị Ngân</t>
        </is>
      </c>
      <c r="P72" s="24" t="inlineStr">
        <is>
          <t>92/2 đường số 12 phường Bình Hưng Hoà quận Bình Tân, HCM</t>
        </is>
      </c>
      <c r="Q72" s="24" t="inlineStr">
        <is>
          <t>Đã giao</t>
        </is>
      </c>
      <c r="R72" s="24" t="inlineStr">
        <is>
          <t>Voi Con</t>
        </is>
      </c>
      <c r="S72" s="22">
        <f>IF(AND($A72="",$C72=""),"",IF($A72="","Thiếu mã đơn; ","")&amp;IF(COUNTIF($A$2:$A72,$A72)&gt;1,"Trùng mã đơn; ","")&amp;IF(COUNTIF($C$2:$C72,$C72)&gt;1,"Trùng SĐT; ","")&amp;IF(ISNA(MATCH($C72,DATA_MASTER!$D$2:$D$5000,0)),"SĐT chưa đăng ký hội viên; ","")&amp;IF(AND($L72="Đã chuyển khoản",$M72=""),"Thiếu ngày nhận CK; ",""))</f>
        <v/>
      </c>
      <c r="T72" s="24" t="inlineStr">
        <is>
          <t>ĐVVC: J&amp;T | Mã VĐ: 801114147733 | POD: https://drive.google.com/drive/folders/14YqSb9mohXWUMATpBaLAocW_7uBLVQM8</t>
        </is>
      </c>
    </row>
    <row r="73" ht="14.25" customHeight="1" s="40">
      <c r="A73" s="24" t="n">
        <v>72</v>
      </c>
      <c r="B73" s="24" t="inlineStr">
        <is>
          <t>26/9/2026</t>
        </is>
      </c>
      <c r="C73" s="28" t="inlineStr">
        <is>
          <t>0375222447</t>
        </is>
      </c>
      <c r="D73" s="22">
        <f>IF($C73="","",IFERROR(INDEX(DATA_MASTER!$C$2:$C$5000,MATCH($C73,DATA_MASTER!$D$2:$D$5000,0)),"Như Hoàng"))</f>
        <v/>
      </c>
      <c r="E73" s="22">
        <f>IF($C73="","",IFERROR(INDEX(DATA_MASTER!$I$2:$I$5000,MATCH($C73,DATA_MASTER!$D$2:$D$5000,0)),""))</f>
        <v/>
      </c>
      <c r="F73" s="22">
        <f>IF($C73="","",IFERROR(INDEX(DATA_MASTER!$L$2:$L$5000,MATCH($C73,DATA_MASTER!$D$2:$D$5000,0)),"ZM"))</f>
        <v/>
      </c>
      <c r="G73" s="24" t="inlineStr">
        <is>
          <t>Sữa Aptamil 380g</t>
        </is>
      </c>
      <c r="H73" s="24" t="n">
        <v>1</v>
      </c>
      <c r="I73" s="30" t="n">
        <v>320000</v>
      </c>
      <c r="J73" s="23">
        <f>IF(OR($H73="",$I73=""),"",$H73*$I73)</f>
        <v/>
      </c>
      <c r="K73" s="24" t="inlineStr">
        <is>
          <t>Chuyển khoản QR</t>
        </is>
      </c>
      <c r="L73" s="24" t="inlineStr">
        <is>
          <t>Đã chuyển khoản</t>
        </is>
      </c>
      <c r="M73" s="29" t="inlineStr">
        <is>
          <t>26/9/2026</t>
        </is>
      </c>
      <c r="N73" s="28" t="inlineStr">
        <is>
          <t>0375222447</t>
        </is>
      </c>
      <c r="O73" s="24" t="inlineStr">
        <is>
          <t>Như Hoàng</t>
        </is>
      </c>
      <c r="P73" s="24" t="inlineStr">
        <is>
          <t>Số 1/10 đường Lý Văn Sâm, tam hiệp, Đồng Nai</t>
        </is>
      </c>
      <c r="Q73" s="24" t="inlineStr">
        <is>
          <t>Đã giao</t>
        </is>
      </c>
      <c r="R73" s="24" t="inlineStr">
        <is>
          <t>Long Châu</t>
        </is>
      </c>
      <c r="S73" s="22">
        <f>IF(AND($A73="",$C73=""),"",IF($A73="","Thiếu mã đơn; ","")&amp;IF(COUNTIF($A$2:$A73,$A73)&gt;1,"Trùng mã đơn; ","")&amp;IF(COUNTIF($C$2:$C73,$C73)&gt;1,"Trùng SĐT; ","")&amp;IF(ISNA(MATCH($C73,DATA_MASTER!$D$2:$D$5000,0)),"SĐT chưa đăng ký hội viên; ","")&amp;IF(AND($L73="Đã chuyển khoản",$M73=""),"Thiếu ngày nhận CK; ",""))</f>
        <v/>
      </c>
      <c r="T73" s="24" t="inlineStr"/>
    </row>
    <row r="74" ht="14.25" customHeight="1" s="40">
      <c r="A74" s="24" t="n">
        <v>73</v>
      </c>
      <c r="B74" s="24" t="inlineStr">
        <is>
          <t>26/9/2026</t>
        </is>
      </c>
      <c r="C74" s="28" t="inlineStr">
        <is>
          <t>0972177661</t>
        </is>
      </c>
      <c r="D74" s="22">
        <f>IF($C74="","",IFERROR(INDEX(DATA_MASTER!$C$2:$C$5000,MATCH($C74,DATA_MASTER!$D$2:$D$5000,0)),"anh Hiếu"))</f>
        <v/>
      </c>
      <c r="E74" s="22">
        <f>IF($C74="","",IFERROR(INDEX(DATA_MASTER!$I$2:$I$5000,MATCH($C74,DATA_MASTER!$D$2:$D$5000,0)),""))</f>
        <v/>
      </c>
      <c r="F74" s="22">
        <f>IF($C74="","",IFERROR(INDEX(DATA_MASTER!$L$2:$L$5000,MATCH($C74,DATA_MASTER!$D$2:$D$5000,0)),"ZM"))</f>
        <v/>
      </c>
      <c r="G74" s="24" t="inlineStr">
        <is>
          <t>Sữa Aptamil 380g</t>
        </is>
      </c>
      <c r="H74" s="24" t="n">
        <v>1</v>
      </c>
      <c r="I74" s="30" t="n">
        <v>320000</v>
      </c>
      <c r="J74" s="23">
        <f>IF(OR($H74="",$I74=""),"",$H74*$I74)</f>
        <v/>
      </c>
      <c r="K74" s="24" t="inlineStr">
        <is>
          <t>Chuyển khoản QR</t>
        </is>
      </c>
      <c r="L74" s="24" t="inlineStr">
        <is>
          <t>Đã chuyển khoản</t>
        </is>
      </c>
      <c r="M74" s="29" t="inlineStr">
        <is>
          <t>26/9/2026</t>
        </is>
      </c>
      <c r="N74" s="28" t="inlineStr">
        <is>
          <t>0972177661</t>
        </is>
      </c>
      <c r="O74" s="24" t="inlineStr">
        <is>
          <t>anh Hiếu</t>
        </is>
      </c>
      <c r="P74" s="24" t="inlineStr">
        <is>
          <t>số 5 đống đa, tân sơn hoà,, Đồng Nai</t>
        </is>
      </c>
      <c r="Q74" s="24" t="inlineStr">
        <is>
          <t>Đã giao</t>
        </is>
      </c>
      <c r="R74" s="24" t="inlineStr">
        <is>
          <t>Long Châu</t>
        </is>
      </c>
      <c r="S74" s="22">
        <f>IF(AND($A74="",$C74=""),"",IF($A74="","Thiếu mã đơn; ","")&amp;IF(COUNTIF($A$2:$A74,$A74)&gt;1,"Trùng mã đơn; ","")&amp;IF(COUNTIF($C$2:$C74,$C74)&gt;1,"Trùng SĐT; ","")&amp;IF(ISNA(MATCH($C74,DATA_MASTER!$D$2:$D$5000,0)),"SĐT chưa đăng ký hội viên; ","")&amp;IF(AND($L74="Đã chuyển khoản",$M74=""),"Thiếu ngày nhận CK; ",""))</f>
        <v/>
      </c>
      <c r="T74" s="24" t="inlineStr"/>
    </row>
    <row r="75" ht="14.25" customHeight="1" s="40">
      <c r="A75" s="24" t="n">
        <v>74</v>
      </c>
      <c r="B75" s="24" t="inlineStr">
        <is>
          <t>26/9/2026</t>
        </is>
      </c>
      <c r="C75" s="28" t="inlineStr">
        <is>
          <t>0325455090</t>
        </is>
      </c>
      <c r="D75" s="22">
        <f>IF($C75="","",IFERROR(INDEX(DATA_MASTER!$C$2:$C$5000,MATCH($C75,DATA_MASTER!$D$2:$D$5000,0)),"Bảo Yến"))</f>
        <v/>
      </c>
      <c r="E75" s="22">
        <f>IF($C75="","",IFERROR(INDEX(DATA_MASTER!$I$2:$I$5000,MATCH($C75,DATA_MASTER!$D$2:$D$5000,0)),""))</f>
        <v/>
      </c>
      <c r="F75" s="22">
        <f>IF($C75="","",IFERROR(INDEX(DATA_MASTER!$L$2:$L$5000,MATCH($C75,DATA_MASTER!$D$2:$D$5000,0)),"ZM"))</f>
        <v/>
      </c>
      <c r="G75" s="24" t="inlineStr">
        <is>
          <t>Sữa Aptamil 380g</t>
        </is>
      </c>
      <c r="H75" s="24" t="n">
        <v>1</v>
      </c>
      <c r="I75" s="30" t="n">
        <v>320000</v>
      </c>
      <c r="J75" s="23">
        <f>IF(OR($H75="",$I75=""),"",$H75*$I75)</f>
        <v/>
      </c>
      <c r="K75" s="24" t="inlineStr">
        <is>
          <t>Chuyển khoản QR</t>
        </is>
      </c>
      <c r="L75" s="24" t="inlineStr">
        <is>
          <t>Đã chuyển khoản</t>
        </is>
      </c>
      <c r="M75" s="29" t="inlineStr">
        <is>
          <t>26/9/2026</t>
        </is>
      </c>
      <c r="N75" s="28" t="inlineStr">
        <is>
          <t>0325455090</t>
        </is>
      </c>
      <c r="O75" s="24" t="inlineStr">
        <is>
          <t>Bảo Yến</t>
        </is>
      </c>
      <c r="P75" s="24" t="inlineStr">
        <is>
          <t>63/1/4 Võ Thị Sáu, Phường Trấn Biên, Đồng Nai</t>
        </is>
      </c>
      <c r="Q75" s="24" t="inlineStr">
        <is>
          <t>Đã giao</t>
        </is>
      </c>
      <c r="R75" s="24" t="inlineStr">
        <is>
          <t>Long Châu</t>
        </is>
      </c>
      <c r="S75" s="22">
        <f>IF(AND($A75="",$C75=""),"",IF($A75="","Thiếu mã đơn; ","")&amp;IF(COUNTIF($A$2:$A75,$A75)&gt;1,"Trùng mã đơn; ","")&amp;IF(COUNTIF($C$2:$C75,$C75)&gt;1,"Trùng SĐT; ","")&amp;IF(ISNA(MATCH($C75,DATA_MASTER!$D$2:$D$5000,0)),"SĐT chưa đăng ký hội viên; ","")&amp;IF(AND($L75="Đã chuyển khoản",$M75=""),"Thiếu ngày nhận CK; ",""))</f>
        <v/>
      </c>
      <c r="T75" s="24" t="inlineStr"/>
    </row>
    <row r="76" ht="14.25" customHeight="1" s="40">
      <c r="A76" s="24" t="n">
        <v>75</v>
      </c>
      <c r="B76" s="24" t="inlineStr">
        <is>
          <t>26/9/2026</t>
        </is>
      </c>
      <c r="C76" s="28" t="inlineStr">
        <is>
          <t>0393855076</t>
        </is>
      </c>
      <c r="D76" s="22">
        <f>IF($C76="","",IFERROR(INDEX(DATA_MASTER!$C$2:$C$5000,MATCH($C76,DATA_MASTER!$D$2:$D$5000,0)),"Lê thùy Trang"))</f>
        <v/>
      </c>
      <c r="E76" s="22">
        <f>IF($C76="","",IFERROR(INDEX(DATA_MASTER!$I$2:$I$5000,MATCH($C76,DATA_MASTER!$D$2:$D$5000,0)),""))</f>
        <v/>
      </c>
      <c r="F76" s="22">
        <f>IF($C76="","",IFERROR(INDEX(DATA_MASTER!$L$2:$L$5000,MATCH($C76,DATA_MASTER!$D$2:$D$5000,0)),"ZM"))</f>
        <v/>
      </c>
      <c r="G76" s="24" t="inlineStr">
        <is>
          <t>Sữa Aptamil 380g</t>
        </is>
      </c>
      <c r="H76" s="24" t="n">
        <v>1</v>
      </c>
      <c r="I76" s="30" t="n">
        <v>320000</v>
      </c>
      <c r="J76" s="23">
        <f>IF(OR($H76="",$I76=""),"",$H76*$I76)</f>
        <v/>
      </c>
      <c r="K76" s="24" t="inlineStr">
        <is>
          <t>Chuyển khoản QR</t>
        </is>
      </c>
      <c r="L76" s="24" t="inlineStr">
        <is>
          <t>Đã chuyển khoản</t>
        </is>
      </c>
      <c r="M76" s="29" t="inlineStr">
        <is>
          <t>26/9/2026</t>
        </is>
      </c>
      <c r="N76" s="28" t="inlineStr">
        <is>
          <t>0393855076</t>
        </is>
      </c>
      <c r="O76" s="24" t="inlineStr">
        <is>
          <t>Lê thùy Trang</t>
        </is>
      </c>
      <c r="P76" s="24" t="inlineStr">
        <is>
          <t>397 Tây Lạc Bình Minh, Đồng Nai</t>
        </is>
      </c>
      <c r="Q76" s="24" t="inlineStr">
        <is>
          <t>Đã giao</t>
        </is>
      </c>
      <c r="R76" s="24" t="inlineStr">
        <is>
          <t>Long Châu</t>
        </is>
      </c>
      <c r="S76" s="22">
        <f>IF(AND($A76="",$C76=""),"",IF($A76="","Thiếu mã đơn; ","")&amp;IF(COUNTIF($A$2:$A76,$A76)&gt;1,"Trùng mã đơn; ","")&amp;IF(COUNTIF($C$2:$C76,$C76)&gt;1,"Trùng SĐT; ","")&amp;IF(ISNA(MATCH($C76,DATA_MASTER!$D$2:$D$5000,0)),"SĐT chưa đăng ký hội viên; ","")&amp;IF(AND($L76="Đã chuyển khoản",$M76=""),"Thiếu ngày nhận CK; ",""))</f>
        <v/>
      </c>
      <c r="T76" s="24" t="inlineStr"/>
    </row>
    <row r="77" ht="14.25" customHeight="1" s="40">
      <c r="A77" s="24" t="n">
        <v>76</v>
      </c>
      <c r="B77" s="24" t="inlineStr">
        <is>
          <t>26/9/2026</t>
        </is>
      </c>
      <c r="C77" s="28" t="inlineStr">
        <is>
          <t>0767229949</t>
        </is>
      </c>
      <c r="D77" s="22">
        <f>IF($C77="","",IFERROR(INDEX(DATA_MASTER!$C$2:$C$5000,MATCH($C77,DATA_MASTER!$D$2:$D$5000,0)),"Nguyễn Thị Kim Ngân"))</f>
        <v/>
      </c>
      <c r="E77" s="22">
        <f>IF($C77="","",IFERROR(INDEX(DATA_MASTER!$I$2:$I$5000,MATCH($C77,DATA_MASTER!$D$2:$D$5000,0)),""))</f>
        <v/>
      </c>
      <c r="F77" s="22">
        <f>IF($C77="","",IFERROR(INDEX(DATA_MASTER!$L$2:$L$5000,MATCH($C77,DATA_MASTER!$D$2:$D$5000,0)),"ZM"))</f>
        <v/>
      </c>
      <c r="G77" s="24" t="inlineStr">
        <is>
          <t>Sữa Aptamil 380g</t>
        </is>
      </c>
      <c r="H77" s="24" t="n">
        <v>1</v>
      </c>
      <c r="I77" s="30" t="n">
        <v>320000</v>
      </c>
      <c r="J77" s="23">
        <f>IF(OR($H77="",$I77=""),"",$H77*$I77)</f>
        <v/>
      </c>
      <c r="K77" s="24" t="inlineStr">
        <is>
          <t>Chuyển khoản QR</t>
        </is>
      </c>
      <c r="L77" s="24" t="inlineStr">
        <is>
          <t>Đã chuyển khoản</t>
        </is>
      </c>
      <c r="M77" s="29" t="inlineStr">
        <is>
          <t>26/9/2026</t>
        </is>
      </c>
      <c r="N77" s="28" t="inlineStr">
        <is>
          <t>0767229949</t>
        </is>
      </c>
      <c r="O77" s="24" t="inlineStr">
        <is>
          <t>Nguyễn Thị Kim Ngân</t>
        </is>
      </c>
      <c r="P77" s="24" t="inlineStr">
        <is>
          <t>16 tổ 29 khu phố 3, phường long hưng, biên hoà, Đồng Nai</t>
        </is>
      </c>
      <c r="Q77" s="24" t="inlineStr">
        <is>
          <t>Đã giao</t>
        </is>
      </c>
      <c r="R77" s="24" t="inlineStr">
        <is>
          <t>Long Châu</t>
        </is>
      </c>
      <c r="S77" s="22">
        <f>IF(AND($A77="",$C77=""),"",IF($A77="","Thiếu mã đơn; ","")&amp;IF(COUNTIF($A$2:$A77,$A77)&gt;1,"Trùng mã đơn; ","")&amp;IF(COUNTIF($C$2:$C77,$C77)&gt;1,"Trùng SĐT; ","")&amp;IF(ISNA(MATCH($C77,DATA_MASTER!$D$2:$D$5000,0)),"SĐT chưa đăng ký hội viên; ","")&amp;IF(AND($L77="Đã chuyển khoản",$M77=""),"Thiếu ngày nhận CK; ",""))</f>
        <v/>
      </c>
      <c r="T77" s="24" t="inlineStr"/>
    </row>
    <row r="78" ht="14.25" customHeight="1" s="40">
      <c r="A78" s="24" t="n">
        <v>77</v>
      </c>
      <c r="B78" s="24" t="inlineStr">
        <is>
          <t>26/9/2026</t>
        </is>
      </c>
      <c r="C78" s="28" t="inlineStr">
        <is>
          <t>0903454095</t>
        </is>
      </c>
      <c r="D78" s="22">
        <f>IF($C78="","",IFERROR(INDEX(DATA_MASTER!$C$2:$C$5000,MATCH($C78,DATA_MASTER!$D$2:$D$5000,0)),"Cao Trương Thanh Thuý"))</f>
        <v/>
      </c>
      <c r="E78" s="22">
        <f>IF($C78="","",IFERROR(INDEX(DATA_MASTER!$I$2:$I$5000,MATCH($C78,DATA_MASTER!$D$2:$D$5000,0)),""))</f>
        <v/>
      </c>
      <c r="F78" s="22">
        <f>IF($C78="","",IFERROR(INDEX(DATA_MASTER!$L$2:$L$5000,MATCH($C78,DATA_MASTER!$D$2:$D$5000,0)),"ZM"))</f>
        <v/>
      </c>
      <c r="G78" s="24" t="inlineStr">
        <is>
          <t>Sữa Aptamil 380g</t>
        </is>
      </c>
      <c r="H78" s="24" t="n">
        <v>1</v>
      </c>
      <c r="I78" s="30" t="n">
        <v>320000</v>
      </c>
      <c r="J78" s="23">
        <f>IF(OR($H78="",$I78=""),"",$H78*$I78)</f>
        <v/>
      </c>
      <c r="K78" s="24" t="inlineStr">
        <is>
          <t>Chuyển khoản QR</t>
        </is>
      </c>
      <c r="L78" s="24" t="inlineStr">
        <is>
          <t>Đã chuyển khoản</t>
        </is>
      </c>
      <c r="M78" s="29" t="inlineStr">
        <is>
          <t>26/9/2026</t>
        </is>
      </c>
      <c r="N78" s="28" t="inlineStr">
        <is>
          <t>0903454095</t>
        </is>
      </c>
      <c r="O78" s="24" t="inlineStr">
        <is>
          <t>Cao Trương Thanh Thuý</t>
        </is>
      </c>
      <c r="P78" s="24" t="inlineStr">
        <is>
          <t>439/8/32 nguyễn văn khối, Gò Vấp, HCM</t>
        </is>
      </c>
      <c r="Q78" s="24" t="inlineStr">
        <is>
          <t>Đã giao</t>
        </is>
      </c>
      <c r="R78" s="24" t="inlineStr">
        <is>
          <t>Voi Con</t>
        </is>
      </c>
      <c r="S78" s="22">
        <f>IF(AND($A78="",$C78=""),"",IF($A78="","Thiếu mã đơn; ","")&amp;IF(COUNTIF($A$2:$A78,$A78)&gt;1,"Trùng mã đơn; ","")&amp;IF(COUNTIF($C$2:$C78,$C78)&gt;1,"Trùng SĐT; ","")&amp;IF(ISNA(MATCH($C78,DATA_MASTER!$D$2:$D$5000,0)),"SĐT chưa đăng ký hội viên; ","")&amp;IF(AND($L78="Đã chuyển khoản",$M78=""),"Thiếu ngày nhận CK; ",""))</f>
        <v/>
      </c>
      <c r="T78" s="24" t="inlineStr">
        <is>
          <t>ĐVVC: J&amp;T | Mã VĐ: 801113260189 | POD: https://drive.google.com/drive/folders/14YqSb9mohXWUMATpBaLAocW_7uBLVQM8</t>
        </is>
      </c>
    </row>
    <row r="79" ht="14.25" customHeight="1" s="40">
      <c r="A79" s="24" t="n">
        <v>78</v>
      </c>
      <c r="B79" s="24" t="inlineStr">
        <is>
          <t>26/9/2026</t>
        </is>
      </c>
      <c r="C79" s="28" t="inlineStr">
        <is>
          <t>0976352485</t>
        </is>
      </c>
      <c r="D79" s="22">
        <f>IF($C79="","",IFERROR(INDEX(DATA_MASTER!$C$2:$C$5000,MATCH($C79,DATA_MASTER!$D$2:$D$5000,0)),"Lê Thị Thu Nhàn"))</f>
        <v/>
      </c>
      <c r="E79" s="22">
        <f>IF($C79="","",IFERROR(INDEX(DATA_MASTER!$I$2:$I$5000,MATCH($C79,DATA_MASTER!$D$2:$D$5000,0)),""))</f>
        <v/>
      </c>
      <c r="F79" s="22">
        <f>IF($C79="","",IFERROR(INDEX(DATA_MASTER!$L$2:$L$5000,MATCH($C79,DATA_MASTER!$D$2:$D$5000,0)),"ZM"))</f>
        <v/>
      </c>
      <c r="G79" s="24" t="inlineStr">
        <is>
          <t>Sữa Aptamil 380g</t>
        </is>
      </c>
      <c r="H79" s="24" t="n">
        <v>1</v>
      </c>
      <c r="I79" s="30" t="n">
        <v>320000</v>
      </c>
      <c r="J79" s="23">
        <f>IF(OR($H79="",$I79=""),"",$H79*$I79)</f>
        <v/>
      </c>
      <c r="K79" s="24" t="inlineStr">
        <is>
          <t>Chuyển khoản QR</t>
        </is>
      </c>
      <c r="L79" s="24" t="inlineStr">
        <is>
          <t>Đã chuyển khoản</t>
        </is>
      </c>
      <c r="M79" s="29" t="inlineStr">
        <is>
          <t>26/9/2026</t>
        </is>
      </c>
      <c r="N79" s="28" t="inlineStr">
        <is>
          <t>0976352485</t>
        </is>
      </c>
      <c r="O79" s="24" t="inlineStr">
        <is>
          <t>Lê Thị Thu Nhàn</t>
        </is>
      </c>
      <c r="P79" s="24" t="inlineStr">
        <is>
          <t>tổ 19A khu phố hương phước, phường phước tân, đồng nai,, Đồng Nai</t>
        </is>
      </c>
      <c r="Q79" s="24" t="inlineStr">
        <is>
          <t>Đã giao</t>
        </is>
      </c>
      <c r="R79" s="24" t="inlineStr">
        <is>
          <t>Long Châu</t>
        </is>
      </c>
      <c r="S79" s="22">
        <f>IF(AND($A79="",$C79=""),"",IF($A79="","Thiếu mã đơn; ","")&amp;IF(COUNTIF($A$2:$A79,$A79)&gt;1,"Trùng mã đơn; ","")&amp;IF(COUNTIF($C$2:$C79,$C79)&gt;1,"Trùng SĐT; ","")&amp;IF(ISNA(MATCH($C79,DATA_MASTER!$D$2:$D$5000,0)),"SĐT chưa đăng ký hội viên; ","")&amp;IF(AND($L79="Đã chuyển khoản",$M79=""),"Thiếu ngày nhận CK; ",""))</f>
        <v/>
      </c>
      <c r="T79" s="24" t="inlineStr"/>
    </row>
    <row r="80" ht="14.25" customHeight="1" s="40">
      <c r="A80" s="24" t="n">
        <v>79</v>
      </c>
      <c r="B80" s="24" t="inlineStr">
        <is>
          <t>26/9/2026</t>
        </is>
      </c>
      <c r="C80" s="28" t="inlineStr">
        <is>
          <t>0969526610</t>
        </is>
      </c>
      <c r="D80" s="22">
        <f>IF($C80="","",IFERROR(INDEX(DATA_MASTER!$C$2:$C$5000,MATCH($C80,DATA_MASTER!$D$2:$D$5000,0)),"Lê Thị Thu"))</f>
        <v/>
      </c>
      <c r="E80" s="22">
        <f>IF($C80="","",IFERROR(INDEX(DATA_MASTER!$I$2:$I$5000,MATCH($C80,DATA_MASTER!$D$2:$D$5000,0)),""))</f>
        <v/>
      </c>
      <c r="F80" s="22">
        <f>IF($C80="","",IFERROR(INDEX(DATA_MASTER!$L$2:$L$5000,MATCH($C80,DATA_MASTER!$D$2:$D$5000,0)),"ZM"))</f>
        <v/>
      </c>
      <c r="G80" s="24" t="inlineStr">
        <is>
          <t>Sữa Aptamil 380g</t>
        </is>
      </c>
      <c r="H80" s="24" t="n">
        <v>1</v>
      </c>
      <c r="I80" s="30" t="n">
        <v>320000</v>
      </c>
      <c r="J80" s="23">
        <f>IF(OR($H80="",$I80=""),"",$H80*$I80)</f>
        <v/>
      </c>
      <c r="K80" s="24" t="inlineStr">
        <is>
          <t>Chuyển khoản QR</t>
        </is>
      </c>
      <c r="L80" s="24" t="inlineStr">
        <is>
          <t>Đã chuyển khoản</t>
        </is>
      </c>
      <c r="M80" s="29" t="inlineStr">
        <is>
          <t>26/9/2026</t>
        </is>
      </c>
      <c r="N80" s="28" t="inlineStr">
        <is>
          <t>0969526610</t>
        </is>
      </c>
      <c r="O80" s="24" t="inlineStr">
        <is>
          <t>Lê Thị Thu</t>
        </is>
      </c>
      <c r="P80" s="24" t="inlineStr">
        <is>
          <t>170/48A/6 Nguyễn Văn Tỏ, P.Long Hưng, Đồng Nai</t>
        </is>
      </c>
      <c r="Q80" s="24" t="inlineStr">
        <is>
          <t>Đã giao</t>
        </is>
      </c>
      <c r="R80" s="24" t="inlineStr">
        <is>
          <t>Long Châu</t>
        </is>
      </c>
      <c r="S80" s="22">
        <f>IF(AND($A80="",$C80=""),"",IF($A80="","Thiếu mã đơn; ","")&amp;IF(COUNTIF($A$2:$A80,$A80)&gt;1,"Trùng mã đơn; ","")&amp;IF(COUNTIF($C$2:$C80,$C80)&gt;1,"Trùng SĐT; ","")&amp;IF(ISNA(MATCH($C80,DATA_MASTER!$D$2:$D$5000,0)),"SĐT chưa đăng ký hội viên; ","")&amp;IF(AND($L80="Đã chuyển khoản",$M80=""),"Thiếu ngày nhận CK; ",""))</f>
        <v/>
      </c>
      <c r="T80" s="24" t="inlineStr"/>
    </row>
    <row r="81" ht="14.25" customHeight="1" s="40">
      <c r="A81" s="24" t="n">
        <v>80</v>
      </c>
      <c r="B81" s="24" t="inlineStr">
        <is>
          <t>26/9/2026</t>
        </is>
      </c>
      <c r="C81" s="28" t="inlineStr">
        <is>
          <t>0357726015</t>
        </is>
      </c>
      <c r="D81" s="22">
        <f>IF($C81="","",IFERROR(INDEX(DATA_MASTER!$C$2:$C$5000,MATCH($C81,DATA_MASTER!$D$2:$D$5000,0)),"Lê Ánh Tuyết"))</f>
        <v/>
      </c>
      <c r="E81" s="22">
        <f>IF($C81="","",IFERROR(INDEX(DATA_MASTER!$I$2:$I$5000,MATCH($C81,DATA_MASTER!$D$2:$D$5000,0)),""))</f>
        <v/>
      </c>
      <c r="F81" s="22">
        <f>IF($C81="","",IFERROR(INDEX(DATA_MASTER!$L$2:$L$5000,MATCH($C81,DATA_MASTER!$D$2:$D$5000,0)),"ZM"))</f>
        <v/>
      </c>
      <c r="G81" s="24" t="inlineStr">
        <is>
          <t>Sữa Aptamil 380g</t>
        </is>
      </c>
      <c r="H81" s="24" t="n">
        <v>1</v>
      </c>
      <c r="I81" s="30" t="n">
        <v>320000</v>
      </c>
      <c r="J81" s="23">
        <f>IF(OR($H81="",$I81=""),"",$H81*$I81)</f>
        <v/>
      </c>
      <c r="K81" s="24" t="inlineStr">
        <is>
          <t>Chuyển khoản QR</t>
        </is>
      </c>
      <c r="L81" s="24" t="inlineStr">
        <is>
          <t>Chờ chuyển khoản</t>
        </is>
      </c>
      <c r="M81" s="29" t="inlineStr">
        <is>
          <t>26/9/2026</t>
        </is>
      </c>
      <c r="N81" s="28" t="inlineStr">
        <is>
          <t>0357726015</t>
        </is>
      </c>
      <c r="O81" s="24" t="inlineStr">
        <is>
          <t>Lê Ánh Tuyết</t>
        </is>
      </c>
      <c r="P81" s="24" t="inlineStr">
        <is>
          <t>Số 10 Lô 44, Khu tái định cư Xi Măng, Phường Hồng Bàng, Hải Phòng</t>
        </is>
      </c>
      <c r="Q81" s="24" t="inlineStr">
        <is>
          <t>Chờ giao</t>
        </is>
      </c>
      <c r="R81" s="24" t="inlineStr">
        <is>
          <t>Ababy</t>
        </is>
      </c>
      <c r="S81" s="22">
        <f>IF(AND($A81="",$C81=""),"",IF($A81="","Thiếu mã đơn; ","")&amp;IF(COUNTIF($A$2:$A81,$A81)&gt;1,"Trùng mã đơn; ","")&amp;IF(COUNTIF($C$2:$C81,$C81)&gt;1,"Trùng SĐT; ","")&amp;IF(ISNA(MATCH($C81,DATA_MASTER!$D$2:$D$5000,0)),"SĐT chưa đăng ký hội viên; ","")&amp;IF(AND($L81="Đã chuyển khoản",$M81=""),"Thiếu ngày nhận CK; ",""))</f>
        <v/>
      </c>
      <c r="T81" s="24" t="inlineStr">
        <is>
          <t>ĐVVC: [4] Đã giao hàng | Mã VĐ: 26/09/2026 | POD: Shipper riêng</t>
        </is>
      </c>
    </row>
    <row r="82" ht="14.25" customHeight="1" s="40">
      <c r="A82" s="24" t="n">
        <v>81</v>
      </c>
      <c r="B82" s="24" t="inlineStr">
        <is>
          <t>26/9/2026</t>
        </is>
      </c>
      <c r="C82" s="28" t="inlineStr">
        <is>
          <t>0962291834</t>
        </is>
      </c>
      <c r="D82" s="22">
        <f>IF($C82="","",IFERROR(INDEX(DATA_MASTER!$C$2:$C$5000,MATCH($C82,DATA_MASTER!$D$2:$D$5000,0)),"Phạm Thị Như"))</f>
        <v/>
      </c>
      <c r="E82" s="22">
        <f>IF($C82="","",IFERROR(INDEX(DATA_MASTER!$I$2:$I$5000,MATCH($C82,DATA_MASTER!$D$2:$D$5000,0)),""))</f>
        <v/>
      </c>
      <c r="F82" s="22">
        <f>IF($C82="","",IFERROR(INDEX(DATA_MASTER!$L$2:$L$5000,MATCH($C82,DATA_MASTER!$D$2:$D$5000,0)),"ZM"))</f>
        <v/>
      </c>
      <c r="G82" s="24" t="inlineStr">
        <is>
          <t>Sữa Aptamil 380g</t>
        </is>
      </c>
      <c r="H82" s="24" t="n">
        <v>1</v>
      </c>
      <c r="I82" s="30" t="n">
        <v>320000</v>
      </c>
      <c r="J82" s="23">
        <f>IF(OR($H82="",$I82=""),"",$H82*$I82)</f>
        <v/>
      </c>
      <c r="K82" s="24" t="inlineStr">
        <is>
          <t>Chuyển khoản QR</t>
        </is>
      </c>
      <c r="L82" s="24" t="inlineStr">
        <is>
          <t>Chờ chuyển khoản</t>
        </is>
      </c>
      <c r="M82" s="29" t="inlineStr">
        <is>
          <t>26/9/2026</t>
        </is>
      </c>
      <c r="N82" s="28" t="inlineStr">
        <is>
          <t>0962291834</t>
        </is>
      </c>
      <c r="O82" s="24" t="inlineStr">
        <is>
          <t>Phạm Thị Như</t>
        </is>
      </c>
      <c r="P82" s="24" t="inlineStr">
        <is>
          <t>19 B1 Nam Phong, Phường Đông Hải, Hải Phòng</t>
        </is>
      </c>
      <c r="Q82" s="24" t="inlineStr">
        <is>
          <t>Chờ giao</t>
        </is>
      </c>
      <c r="R82" s="24" t="inlineStr">
        <is>
          <t>Ababy</t>
        </is>
      </c>
      <c r="S82" s="22">
        <f>IF(AND($A82="",$C82=""),"",IF($A82="","Thiếu mã đơn; ","")&amp;IF(COUNTIF($A$2:$A82,$A82)&gt;1,"Trùng mã đơn; ","")&amp;IF(COUNTIF($C$2:$C82,$C82)&gt;1,"Trùng SĐT; ","")&amp;IF(ISNA(MATCH($C82,DATA_MASTER!$D$2:$D$5000,0)),"SĐT chưa đăng ký hội viên; ","")&amp;IF(AND($L82="Đã chuyển khoản",$M82=""),"Thiếu ngày nhận CK; ",""))</f>
        <v/>
      </c>
      <c r="T82" s="24" t="inlineStr">
        <is>
          <t>ĐVVC: [4] Đã giao hàng | Mã VĐ: 27/9/2026 | POD: Shipper riêng</t>
        </is>
      </c>
    </row>
    <row r="83" ht="14.25" customHeight="1" s="40">
      <c r="A83" s="24" t="n">
        <v>82</v>
      </c>
      <c r="B83" s="24" t="inlineStr">
        <is>
          <t>26/9/2026</t>
        </is>
      </c>
      <c r="C83" s="28" t="inlineStr">
        <is>
          <t>0335136843</t>
        </is>
      </c>
      <c r="D83" s="22">
        <f>IF($C83="","",IFERROR(INDEX(DATA_MASTER!$C$2:$C$5000,MATCH($C83,DATA_MASTER!$D$2:$D$5000,0)),"Đồng Thị Quỳnh Anh"))</f>
        <v/>
      </c>
      <c r="E83" s="22">
        <f>IF($C83="","",IFERROR(INDEX(DATA_MASTER!$I$2:$I$5000,MATCH($C83,DATA_MASTER!$D$2:$D$5000,0)),""))</f>
        <v/>
      </c>
      <c r="F83" s="22">
        <f>IF($C83="","",IFERROR(INDEX(DATA_MASTER!$L$2:$L$5000,MATCH($C83,DATA_MASTER!$D$2:$D$5000,0)),"ZM"))</f>
        <v/>
      </c>
      <c r="G83" s="24" t="inlineStr">
        <is>
          <t>Sữa Aptamil 380g</t>
        </is>
      </c>
      <c r="H83" s="24" t="n">
        <v>1</v>
      </c>
      <c r="I83" s="30" t="n">
        <v>320000</v>
      </c>
      <c r="J83" s="23">
        <f>IF(OR($H83="",$I83=""),"",$H83*$I83)</f>
        <v/>
      </c>
      <c r="K83" s="24" t="inlineStr">
        <is>
          <t>Chuyển khoản QR</t>
        </is>
      </c>
      <c r="L83" s="24" t="inlineStr">
        <is>
          <t>Chờ chuyển khoản</t>
        </is>
      </c>
      <c r="M83" s="29" t="inlineStr">
        <is>
          <t>26/9/2026</t>
        </is>
      </c>
      <c r="N83" s="28" t="inlineStr">
        <is>
          <t>0335136843</t>
        </is>
      </c>
      <c r="O83" s="24" t="inlineStr">
        <is>
          <t>Đồng Thị Quỳnh Anh</t>
        </is>
      </c>
      <c r="P83" s="24" t="inlineStr">
        <is>
          <t>4 Do Nha, Phường Hồng An, Hải Phòng</t>
        </is>
      </c>
      <c r="Q83" s="24" t="inlineStr">
        <is>
          <t>Chờ giao</t>
        </is>
      </c>
      <c r="R83" s="24" t="inlineStr">
        <is>
          <t>Ababy</t>
        </is>
      </c>
      <c r="S83" s="22">
        <f>IF(AND($A83="",$C83=""),"",IF($A83="","Thiếu mã đơn; ","")&amp;IF(COUNTIF($A$2:$A83,$A83)&gt;1,"Trùng mã đơn; ","")&amp;IF(COUNTIF($C$2:$C83,$C83)&gt;1,"Trùng SĐT; ","")&amp;IF(ISNA(MATCH($C83,DATA_MASTER!$D$2:$D$5000,0)),"SĐT chưa đăng ký hội viên; ","")&amp;IF(AND($L83="Đã chuyển khoản",$M83=""),"Thiếu ngày nhận CK; ",""))</f>
        <v/>
      </c>
      <c r="T83" s="24" t="inlineStr">
        <is>
          <t>ĐVVC: [4] Đã giao hàng | POD: Viettel Post</t>
        </is>
      </c>
    </row>
    <row r="84" ht="14.25" customHeight="1" s="40">
      <c r="A84" s="24" t="n">
        <v>83</v>
      </c>
      <c r="B84" s="24" t="inlineStr">
        <is>
          <t>26/9/2026</t>
        </is>
      </c>
      <c r="C84" s="28" t="inlineStr">
        <is>
          <t>0352408115</t>
        </is>
      </c>
      <c r="D84" s="22">
        <f>IF($C84="","",IFERROR(INDEX(DATA_MASTER!$C$2:$C$5000,MATCH($C84,DATA_MASTER!$D$2:$D$5000,0)),"Phương Thảo"))</f>
        <v/>
      </c>
      <c r="E84" s="22">
        <f>IF($C84="","",IFERROR(INDEX(DATA_MASTER!$I$2:$I$5000,MATCH($C84,DATA_MASTER!$D$2:$D$5000,0)),""))</f>
        <v/>
      </c>
      <c r="F84" s="22">
        <f>IF($C84="","",IFERROR(INDEX(DATA_MASTER!$L$2:$L$5000,MATCH($C84,DATA_MASTER!$D$2:$D$5000,0)),"ZM"))</f>
        <v/>
      </c>
      <c r="G84" s="24" t="inlineStr">
        <is>
          <t>Sữa Aptamil 380g</t>
        </is>
      </c>
      <c r="H84" s="24" t="n">
        <v>1</v>
      </c>
      <c r="I84" s="30" t="n">
        <v>320000</v>
      </c>
      <c r="J84" s="23">
        <f>IF(OR($H84="",$I84=""),"",$H84*$I84)</f>
        <v/>
      </c>
      <c r="K84" s="24" t="inlineStr">
        <is>
          <t>Chuyển khoản QR</t>
        </is>
      </c>
      <c r="L84" s="24" t="inlineStr">
        <is>
          <t>Chờ chuyển khoản</t>
        </is>
      </c>
      <c r="M84" s="29" t="inlineStr">
        <is>
          <t>26/9/2026</t>
        </is>
      </c>
      <c r="N84" s="28" t="inlineStr">
        <is>
          <t>0352408115</t>
        </is>
      </c>
      <c r="O84" s="24" t="inlineStr">
        <is>
          <t>Phương Thảo</t>
        </is>
      </c>
      <c r="P84" s="24" t="inlineStr">
        <is>
          <t>54 Đinh Tiên Hoàng, Phường Hồng Bàng,, Hải Phòng</t>
        </is>
      </c>
      <c r="Q84" s="24" t="inlineStr">
        <is>
          <t>Chờ giao</t>
        </is>
      </c>
      <c r="R84" s="24" t="inlineStr">
        <is>
          <t>Ababy</t>
        </is>
      </c>
      <c r="S84" s="22">
        <f>IF(AND($A84="",$C84=""),"",IF($A84="","Thiếu mã đơn; ","")&amp;IF(COUNTIF($A$2:$A84,$A84)&gt;1,"Trùng mã đơn; ","")&amp;IF(COUNTIF($C$2:$C84,$C84)&gt;1,"Trùng SĐT; ","")&amp;IF(ISNA(MATCH($C84,DATA_MASTER!$D$2:$D$5000,0)),"SĐT chưa đăng ký hội viên; ","")&amp;IF(AND($L84="Đã chuyển khoản",$M84=""),"Thiếu ngày nhận CK; ",""))</f>
        <v/>
      </c>
      <c r="T84" s="24" t="inlineStr">
        <is>
          <t>ĐVVC: [4] Đã giao hàng | Mã VĐ: 28/9/2026 | POD: Shipper riêng</t>
        </is>
      </c>
    </row>
    <row r="85" ht="14.25" customHeight="1" s="40">
      <c r="A85" s="24" t="n">
        <v>84</v>
      </c>
      <c r="B85" s="24" t="inlineStr">
        <is>
          <t>26/9/2026</t>
        </is>
      </c>
      <c r="C85" s="28" t="inlineStr">
        <is>
          <t>0775564986</t>
        </is>
      </c>
      <c r="D85" s="22">
        <f>IF($C85="","",IFERROR(INDEX(DATA_MASTER!$C$2:$C$5000,MATCH($C85,DATA_MASTER!$D$2:$D$5000,0)),"Trần Thị Thanh Hải"))</f>
        <v/>
      </c>
      <c r="E85" s="22">
        <f>IF($C85="","",IFERROR(INDEX(DATA_MASTER!$I$2:$I$5000,MATCH($C85,DATA_MASTER!$D$2:$D$5000,0)),""))</f>
        <v/>
      </c>
      <c r="F85" s="22">
        <f>IF($C85="","",IFERROR(INDEX(DATA_MASTER!$L$2:$L$5000,MATCH($C85,DATA_MASTER!$D$2:$D$5000,0)),"ZM"))</f>
        <v/>
      </c>
      <c r="G85" s="24" t="inlineStr">
        <is>
          <t>Sữa Aptamil 380g</t>
        </is>
      </c>
      <c r="H85" s="24" t="n">
        <v>1</v>
      </c>
      <c r="I85" s="30" t="n">
        <v>320000</v>
      </c>
      <c r="J85" s="23">
        <f>IF(OR($H85="",$I85=""),"",$H85*$I85)</f>
        <v/>
      </c>
      <c r="K85" s="24" t="inlineStr">
        <is>
          <t>Chuyển khoản QR</t>
        </is>
      </c>
      <c r="L85" s="24" t="inlineStr">
        <is>
          <t>Chờ chuyển khoản</t>
        </is>
      </c>
      <c r="M85" s="29" t="inlineStr">
        <is>
          <t>26/9/2026</t>
        </is>
      </c>
      <c r="N85" s="28" t="inlineStr">
        <is>
          <t>0775564986</t>
        </is>
      </c>
      <c r="O85" s="24" t="inlineStr">
        <is>
          <t>Trần Thị Thanh Hải</t>
        </is>
      </c>
      <c r="P85" s="24" t="inlineStr">
        <is>
          <t>Nhà văn hoá Hoàng Lâu, Phường An Phong, Hải Phòng</t>
        </is>
      </c>
      <c r="Q85" s="24" t="inlineStr">
        <is>
          <t>Chờ giao</t>
        </is>
      </c>
      <c r="R85" s="24" t="inlineStr">
        <is>
          <t>Ababy</t>
        </is>
      </c>
      <c r="S85" s="22">
        <f>IF(AND($A85="",$C85=""),"",IF($A85="","Thiếu mã đơn; ","")&amp;IF(COUNTIF($A$2:$A85,$A85)&gt;1,"Trùng mã đơn; ","")&amp;IF(COUNTIF($C$2:$C85,$C85)&gt;1,"Trùng SĐT; ","")&amp;IF(ISNA(MATCH($C85,DATA_MASTER!$D$2:$D$5000,0)),"SĐT chưa đăng ký hội viên; ","")&amp;IF(AND($L85="Đã chuyển khoản",$M85=""),"Thiếu ngày nhận CK; ",""))</f>
        <v/>
      </c>
      <c r="T85" s="24" t="inlineStr">
        <is>
          <t>ĐVVC: [4] Đã giao hàng | Mã VĐ: 28/9/2026 | POD: Viettel Post</t>
        </is>
      </c>
    </row>
    <row r="86" ht="14.25" customHeight="1" s="40">
      <c r="A86" s="24" t="n">
        <v>85</v>
      </c>
      <c r="B86" s="24" t="inlineStr">
        <is>
          <t>26/9/2026</t>
        </is>
      </c>
      <c r="C86" s="28" t="inlineStr">
        <is>
          <t>0345222588</t>
        </is>
      </c>
      <c r="D86" s="22">
        <f>IF($C86="","",IFERROR(INDEX(DATA_MASTER!$C$2:$C$5000,MATCH($C86,DATA_MASTER!$D$2:$D$5000,0)),"Thanh Tuyền"))</f>
        <v/>
      </c>
      <c r="E86" s="22">
        <f>IF($C86="","",IFERROR(INDEX(DATA_MASTER!$I$2:$I$5000,MATCH($C86,DATA_MASTER!$D$2:$D$5000,0)),""))</f>
        <v/>
      </c>
      <c r="F86" s="22">
        <f>IF($C86="","",IFERROR(INDEX(DATA_MASTER!$L$2:$L$5000,MATCH($C86,DATA_MASTER!$D$2:$D$5000,0)),"ZM"))</f>
        <v/>
      </c>
      <c r="G86" s="24" t="inlineStr">
        <is>
          <t>Sữa Aptamil 380g</t>
        </is>
      </c>
      <c r="H86" s="24" t="n">
        <v>1</v>
      </c>
      <c r="I86" s="30" t="n">
        <v>320000</v>
      </c>
      <c r="J86" s="23">
        <f>IF(OR($H86="",$I86=""),"",$H86*$I86)</f>
        <v/>
      </c>
      <c r="K86" s="24" t="inlineStr">
        <is>
          <t>Chuyển khoản QR</t>
        </is>
      </c>
      <c r="L86" s="24" t="inlineStr">
        <is>
          <t>Chờ chuyển khoản</t>
        </is>
      </c>
      <c r="M86" s="29" t="inlineStr">
        <is>
          <t>26/9/2026</t>
        </is>
      </c>
      <c r="N86" s="28" t="inlineStr">
        <is>
          <t>0345222588</t>
        </is>
      </c>
      <c r="O86" s="24" t="inlineStr">
        <is>
          <t>Thanh Tuyền</t>
        </is>
      </c>
      <c r="P86" s="24" t="inlineStr">
        <is>
          <t>4/216 Lê Duẩn, Kiến An, Hải Phòng</t>
        </is>
      </c>
      <c r="Q86" s="24" t="inlineStr">
        <is>
          <t>Chờ giao</t>
        </is>
      </c>
      <c r="R86" s="24" t="inlineStr">
        <is>
          <t>Ababy</t>
        </is>
      </c>
      <c r="S86" s="22">
        <f>IF(AND($A86="",$C86=""),"",IF($A86="","Thiếu mã đơn; ","")&amp;IF(COUNTIF($A$2:$A86,$A86)&gt;1,"Trùng mã đơn; ","")&amp;IF(COUNTIF($C$2:$C86,$C86)&gt;1,"Trùng SĐT; ","")&amp;IF(ISNA(MATCH($C86,DATA_MASTER!$D$2:$D$5000,0)),"SĐT chưa đăng ký hội viên; ","")&amp;IF(AND($L86="Đã chuyển khoản",$M86=""),"Thiếu ngày nhận CK; ",""))</f>
        <v/>
      </c>
      <c r="T86" s="24" t="inlineStr">
        <is>
          <t>ĐVVC: [4] Đã giao hàng | Mã VĐ: 26/09/2026 | POD: Shipper riêng</t>
        </is>
      </c>
    </row>
    <row r="87" ht="14.25" customHeight="1" s="40">
      <c r="A87" s="24" t="n">
        <v>86</v>
      </c>
      <c r="B87" s="24" t="inlineStr">
        <is>
          <t>26/9/2026</t>
        </is>
      </c>
      <c r="C87" s="28" t="inlineStr">
        <is>
          <t>0793248598</t>
        </is>
      </c>
      <c r="D87" s="22">
        <f>IF($C87="","",IFERROR(INDEX(DATA_MASTER!$C$2:$C$5000,MATCH($C87,DATA_MASTER!$D$2:$D$5000,0)),"Chị Thảo"))</f>
        <v/>
      </c>
      <c r="E87" s="22">
        <f>IF($C87="","",IFERROR(INDEX(DATA_MASTER!$I$2:$I$5000,MATCH($C87,DATA_MASTER!$D$2:$D$5000,0)),""))</f>
        <v/>
      </c>
      <c r="F87" s="22">
        <f>IF($C87="","",IFERROR(INDEX(DATA_MASTER!$L$2:$L$5000,MATCH($C87,DATA_MASTER!$D$2:$D$5000,0)),"ZM"))</f>
        <v/>
      </c>
      <c r="G87" s="24" t="inlineStr">
        <is>
          <t>Sữa Aptamil 380g</t>
        </is>
      </c>
      <c r="H87" s="24" t="n">
        <v>1</v>
      </c>
      <c r="I87" s="30" t="n">
        <v>320000</v>
      </c>
      <c r="J87" s="23">
        <f>IF(OR($H87="",$I87=""),"",$H87*$I87)</f>
        <v/>
      </c>
      <c r="K87" s="24" t="inlineStr">
        <is>
          <t>Chuyển khoản QR</t>
        </is>
      </c>
      <c r="L87" s="24" t="inlineStr">
        <is>
          <t>Chờ chuyển khoản</t>
        </is>
      </c>
      <c r="M87" s="29" t="inlineStr">
        <is>
          <t>26/9/2026</t>
        </is>
      </c>
      <c r="N87" s="28" t="inlineStr">
        <is>
          <t>0793248598</t>
        </is>
      </c>
      <c r="O87" s="24" t="inlineStr">
        <is>
          <t>Chị Thảo</t>
        </is>
      </c>
      <c r="P87" s="24" t="inlineStr">
        <is>
          <t>35 An Dương 2, An Hải, Hải Phòng</t>
        </is>
      </c>
      <c r="Q87" s="24" t="inlineStr">
        <is>
          <t>Chờ giao</t>
        </is>
      </c>
      <c r="R87" s="24" t="inlineStr">
        <is>
          <t>Ababy</t>
        </is>
      </c>
      <c r="S87" s="22">
        <f>IF(AND($A87="",$C87=""),"",IF($A87="","Thiếu mã đơn; ","")&amp;IF(COUNTIF($A$2:$A87,$A87)&gt;1,"Trùng mã đơn; ","")&amp;IF(COUNTIF($C$2:$C87,$C87)&gt;1,"Trùng SĐT; ","")&amp;IF(ISNA(MATCH($C87,DATA_MASTER!$D$2:$D$5000,0)),"SĐT chưa đăng ký hội viên; ","")&amp;IF(AND($L87="Đã chuyển khoản",$M87=""),"Thiếu ngày nhận CK; ",""))</f>
        <v/>
      </c>
      <c r="T87" s="24" t="inlineStr">
        <is>
          <t>ĐVVC: [4] Đã giao hàng | Mã VĐ: 26/09/2026 | POD: Shipper riêng</t>
        </is>
      </c>
    </row>
    <row r="88" ht="14.25" customHeight="1" s="40">
      <c r="A88" s="24" t="n">
        <v>87</v>
      </c>
      <c r="B88" s="24" t="inlineStr">
        <is>
          <t>26/9/2026</t>
        </is>
      </c>
      <c r="C88" s="28" t="inlineStr">
        <is>
          <t>0986064241</t>
        </is>
      </c>
      <c r="D88" s="22">
        <f>IF($C88="","",IFERROR(INDEX(DATA_MASTER!$C$2:$C$5000,MATCH($C88,DATA_MASTER!$D$2:$D$5000,0)),"Bùi Thị Hoa"))</f>
        <v/>
      </c>
      <c r="E88" s="22">
        <f>IF($C88="","",IFERROR(INDEX(DATA_MASTER!$I$2:$I$5000,MATCH($C88,DATA_MASTER!$D$2:$D$5000,0)),""))</f>
        <v/>
      </c>
      <c r="F88" s="22">
        <f>IF($C88="","",IFERROR(INDEX(DATA_MASTER!$L$2:$L$5000,MATCH($C88,DATA_MASTER!$D$2:$D$5000,0)),"ZM"))</f>
        <v/>
      </c>
      <c r="G88" s="24" t="inlineStr">
        <is>
          <t>Sữa Aptamil 380g</t>
        </is>
      </c>
      <c r="H88" s="24" t="n">
        <v>1</v>
      </c>
      <c r="I88" s="30" t="n">
        <v>320000</v>
      </c>
      <c r="J88" s="23">
        <f>IF(OR($H88="",$I88=""),"",$H88*$I88)</f>
        <v/>
      </c>
      <c r="K88" s="24" t="inlineStr">
        <is>
          <t>Chuyển khoản QR</t>
        </is>
      </c>
      <c r="L88" s="24" t="inlineStr">
        <is>
          <t>Chờ chuyển khoản</t>
        </is>
      </c>
      <c r="M88" s="29" t="inlineStr">
        <is>
          <t>26/9/2026</t>
        </is>
      </c>
      <c r="N88" s="28" t="inlineStr">
        <is>
          <t>0986064241</t>
        </is>
      </c>
      <c r="O88" s="24" t="inlineStr">
        <is>
          <t>Bùi Thị Hoa</t>
        </is>
      </c>
      <c r="P88" s="24" t="inlineStr">
        <is>
          <t>8/2/124 Trần Kiên, Kiến An, Hải Phòng</t>
        </is>
      </c>
      <c r="Q88" s="24" t="inlineStr">
        <is>
          <t>Chờ giao</t>
        </is>
      </c>
      <c r="R88" s="24" t="inlineStr">
        <is>
          <t>Ababy</t>
        </is>
      </c>
      <c r="S88" s="22">
        <f>IF(AND($A88="",$C88=""),"",IF($A88="","Thiếu mã đơn; ","")&amp;IF(COUNTIF($A$2:$A88,$A88)&gt;1,"Trùng mã đơn; ","")&amp;IF(COUNTIF($C$2:$C88,$C88)&gt;1,"Trùng SĐT; ","")&amp;IF(ISNA(MATCH($C88,DATA_MASTER!$D$2:$D$5000,0)),"SĐT chưa đăng ký hội viên; ","")&amp;IF(AND($L88="Đã chuyển khoản",$M88=""),"Thiếu ngày nhận CK; ",""))</f>
        <v/>
      </c>
      <c r="T88" s="24" t="inlineStr">
        <is>
          <t>ĐVVC: [4] Đã giao hàng | Mã VĐ: 28/09/2026 | POD: Shipper riêng</t>
        </is>
      </c>
    </row>
    <row r="89" ht="14.25" customHeight="1" s="40">
      <c r="A89" s="24" t="n">
        <v>88</v>
      </c>
      <c r="B89" s="24" t="inlineStr">
        <is>
          <t>26/9/2026</t>
        </is>
      </c>
      <c r="C89" s="28" t="inlineStr">
        <is>
          <t>0386677713</t>
        </is>
      </c>
      <c r="D89" s="22">
        <f>IF($C89="","",IFERROR(INDEX(DATA_MASTER!$C$2:$C$5000,MATCH($C89,DATA_MASTER!$D$2:$D$5000,0)),"Nguyễn Thị Ngọc Mai"))</f>
        <v/>
      </c>
      <c r="E89" s="22">
        <f>IF($C89="","",IFERROR(INDEX(DATA_MASTER!$I$2:$I$5000,MATCH($C89,DATA_MASTER!$D$2:$D$5000,0)),""))</f>
        <v/>
      </c>
      <c r="F89" s="22">
        <f>IF($C89="","",IFERROR(INDEX(DATA_MASTER!$L$2:$L$5000,MATCH($C89,DATA_MASTER!$D$2:$D$5000,0)),"ZM"))</f>
        <v/>
      </c>
      <c r="G89" s="24" t="inlineStr">
        <is>
          <t>Sữa Aptamil 380g</t>
        </is>
      </c>
      <c r="H89" s="24" t="n">
        <v>1</v>
      </c>
      <c r="I89" s="30" t="n">
        <v>320000</v>
      </c>
      <c r="J89" s="23">
        <f>IF(OR($H89="",$I89=""),"",$H89*$I89)</f>
        <v/>
      </c>
      <c r="K89" s="24" t="inlineStr">
        <is>
          <t>Chuyển khoản QR</t>
        </is>
      </c>
      <c r="L89" s="24" t="inlineStr">
        <is>
          <t>Chờ chuyển khoản</t>
        </is>
      </c>
      <c r="M89" s="29" t="inlineStr">
        <is>
          <t>26/9/2026</t>
        </is>
      </c>
      <c r="N89" s="28" t="inlineStr">
        <is>
          <t>0386677713</t>
        </is>
      </c>
      <c r="O89" s="24" t="inlineStr">
        <is>
          <t>Nguyễn Thị Ngọc Mai</t>
        </is>
      </c>
      <c r="P89" s="24" t="inlineStr">
        <is>
          <t>Lô 4 Ngõ 200 Văn Cao, Hải Phòng</t>
        </is>
      </c>
      <c r="Q89" s="24" t="inlineStr">
        <is>
          <t>Chờ giao</t>
        </is>
      </c>
      <c r="R89" s="24" t="inlineStr">
        <is>
          <t>Ababy</t>
        </is>
      </c>
      <c r="S89" s="22">
        <f>IF(AND($A89="",$C89=""),"",IF($A89="","Thiếu mã đơn; ","")&amp;IF(COUNTIF($A$2:$A89,$A89)&gt;1,"Trùng mã đơn; ","")&amp;IF(COUNTIF($C$2:$C89,$C89)&gt;1,"Trùng SĐT; ","")&amp;IF(ISNA(MATCH($C89,DATA_MASTER!$D$2:$D$5000,0)),"SĐT chưa đăng ký hội viên; ","")&amp;IF(AND($L89="Đã chuyển khoản",$M89=""),"Thiếu ngày nhận CK; ",""))</f>
        <v/>
      </c>
      <c r="T89" s="24" t="inlineStr">
        <is>
          <t>ĐVVC: [4] Đã giao hàng | Mã VĐ: 26/9/2026 | POD: Shipper riêng</t>
        </is>
      </c>
    </row>
    <row r="90" ht="14.25" customHeight="1" s="40">
      <c r="A90" s="24" t="n">
        <v>89</v>
      </c>
      <c r="B90" s="24" t="inlineStr">
        <is>
          <t>26/9/2026</t>
        </is>
      </c>
      <c r="C90" s="28" t="inlineStr">
        <is>
          <t>0325240061</t>
        </is>
      </c>
      <c r="D90" s="22">
        <f>IF($C90="","",IFERROR(INDEX(DATA_MASTER!$C$2:$C$5000,MATCH($C90,DATA_MASTER!$D$2:$D$5000,0)),"Hoàng Nhật Lệ"))</f>
        <v/>
      </c>
      <c r="E90" s="22">
        <f>IF($C90="","",IFERROR(INDEX(DATA_MASTER!$I$2:$I$5000,MATCH($C90,DATA_MASTER!$D$2:$D$5000,0)),""))</f>
        <v/>
      </c>
      <c r="F90" s="22">
        <f>IF($C90="","",IFERROR(INDEX(DATA_MASTER!$L$2:$L$5000,MATCH($C90,DATA_MASTER!$D$2:$D$5000,0)),"ZM"))</f>
        <v/>
      </c>
      <c r="G90" s="24" t="inlineStr">
        <is>
          <t>Sữa Aptamil 380g</t>
        </is>
      </c>
      <c r="H90" s="24" t="n">
        <v>1</v>
      </c>
      <c r="I90" s="30" t="n">
        <v>320000</v>
      </c>
      <c r="J90" s="23">
        <f>IF(OR($H90="",$I90=""),"",$H90*$I90)</f>
        <v/>
      </c>
      <c r="K90" s="24" t="inlineStr">
        <is>
          <t>Chuyển khoản QR</t>
        </is>
      </c>
      <c r="L90" s="24" t="inlineStr">
        <is>
          <t>Đã chuyển khoản</t>
        </is>
      </c>
      <c r="M90" s="29" t="inlineStr">
        <is>
          <t>26/9/2026</t>
        </is>
      </c>
      <c r="N90" s="28" t="inlineStr">
        <is>
          <t>0325240061</t>
        </is>
      </c>
      <c r="O90" s="24" t="inlineStr">
        <is>
          <t>Hoàng Nhật Lệ</t>
        </is>
      </c>
      <c r="P90" s="24" t="inlineStr">
        <is>
          <t>Đại Trà, Kim Linh, Hải Phòng</t>
        </is>
      </c>
      <c r="Q90" s="24" t="inlineStr">
        <is>
          <t>Đã giao</t>
        </is>
      </c>
      <c r="R90" s="24" t="inlineStr">
        <is>
          <t>Ababy</t>
        </is>
      </c>
      <c r="S90" s="22">
        <f>IF(AND($A90="",$C90=""),"",IF($A90="","Thiếu mã đơn; ","")&amp;IF(COUNTIF($A$2:$A90,$A90)&gt;1,"Trùng mã đơn; ","")&amp;IF(COUNTIF($C$2:$C90,$C90)&gt;1,"Trùng SĐT; ","")&amp;IF(ISNA(MATCH($C90,DATA_MASTER!$D$2:$D$5000,0)),"SĐT chưa đăng ký hội viên; ","")&amp;IF(AND($L90="Đã chuyển khoản",$M90=""),"Thiếu ngày nhận CK; ",""))</f>
        <v/>
      </c>
      <c r="T90" s="24" t="inlineStr">
        <is>
          <t>ĐVVC: [2] Đang giao | Mã VĐ: 2026-03-10 00:00:00 | POD: https://drive.google.com/file/d/1uFxddLx3XDt_Elh_eKaP6HfBxuIp3_8k/view?usp=drive_link</t>
        </is>
      </c>
    </row>
    <row r="91" ht="14.25" customHeight="1" s="40">
      <c r="A91" s="24" t="n">
        <v>90</v>
      </c>
      <c r="B91" s="24" t="inlineStr">
        <is>
          <t>26/9/2026</t>
        </is>
      </c>
      <c r="C91" s="28" t="inlineStr">
        <is>
          <t>0332688963</t>
        </is>
      </c>
      <c r="D91" s="22">
        <f>IF($C91="","",IFERROR(INDEX(DATA_MASTER!$C$2:$C$5000,MATCH($C91,DATA_MASTER!$D$2:$D$5000,0)),"Chị Ánh"))</f>
        <v/>
      </c>
      <c r="E91" s="22">
        <f>IF($C91="","",IFERROR(INDEX(DATA_MASTER!$I$2:$I$5000,MATCH($C91,DATA_MASTER!$D$2:$D$5000,0)),""))</f>
        <v/>
      </c>
      <c r="F91" s="22">
        <f>IF($C91="","",IFERROR(INDEX(DATA_MASTER!$L$2:$L$5000,MATCH($C91,DATA_MASTER!$D$2:$D$5000,0)),"ZM"))</f>
        <v/>
      </c>
      <c r="G91" s="24" t="inlineStr">
        <is>
          <t>Sữa Aptamil 380g</t>
        </is>
      </c>
      <c r="H91" s="24" t="n">
        <v>1</v>
      </c>
      <c r="I91" s="30" t="n">
        <v>320000</v>
      </c>
      <c r="J91" s="23">
        <f>IF(OR($H91="",$I91=""),"",$H91*$I91)</f>
        <v/>
      </c>
      <c r="K91" s="24" t="inlineStr">
        <is>
          <t>Chuyển khoản QR</t>
        </is>
      </c>
      <c r="L91" s="24" t="inlineStr">
        <is>
          <t>Đã chuyển khoản</t>
        </is>
      </c>
      <c r="M91" s="29" t="inlineStr">
        <is>
          <t>26/9/2026</t>
        </is>
      </c>
      <c r="N91" s="28" t="inlineStr">
        <is>
          <t>0332688963</t>
        </is>
      </c>
      <c r="O91" s="24" t="inlineStr">
        <is>
          <t>Chị Ánh</t>
        </is>
      </c>
      <c r="P91" s="24" t="inlineStr">
        <is>
          <t>Ngõ 2 tổ 2 An Dương, Hải Phòng</t>
        </is>
      </c>
      <c r="Q91" s="24" t="inlineStr">
        <is>
          <t>Đã giao</t>
        </is>
      </c>
      <c r="R91" s="24" t="inlineStr">
        <is>
          <t>Ababy</t>
        </is>
      </c>
      <c r="S91" s="22">
        <f>IF(AND($A91="",$C91=""),"",IF($A91="","Thiếu mã đơn; ","")&amp;IF(COUNTIF($A$2:$A91,$A91)&gt;1,"Trùng mã đơn; ","")&amp;IF(COUNTIF($C$2:$C91,$C91)&gt;1,"Trùng SĐT; ","")&amp;IF(ISNA(MATCH($C91,DATA_MASTER!$D$2:$D$5000,0)),"SĐT chưa đăng ký hội viên; ","")&amp;IF(AND($L91="Đã chuyển khoản",$M91=""),"Thiếu ngày nhận CK; ",""))</f>
        <v/>
      </c>
      <c r="T91" s="24" t="inlineStr">
        <is>
          <t>ĐVVC: [4] Đã giao hàng | Mã VĐ: 26/9/2026 | POD: Shipper riêng</t>
        </is>
      </c>
    </row>
    <row r="92" ht="14.25" customHeight="1" s="40">
      <c r="A92" s="24" t="n">
        <v>91</v>
      </c>
      <c r="B92" s="24" t="inlineStr">
        <is>
          <t>26/9/2026</t>
        </is>
      </c>
      <c r="C92" s="28" t="inlineStr">
        <is>
          <t>0384878689</t>
        </is>
      </c>
      <c r="D92" s="22">
        <f>IF($C92="","",IFERROR(INDEX(DATA_MASTER!$C$2:$C$5000,MATCH($C92,DATA_MASTER!$D$2:$D$5000,0)),"Lê Hà Giang"))</f>
        <v/>
      </c>
      <c r="E92" s="22">
        <f>IF($C92="","",IFERROR(INDEX(DATA_MASTER!$I$2:$I$5000,MATCH($C92,DATA_MASTER!$D$2:$D$5000,0)),""))</f>
        <v/>
      </c>
      <c r="F92" s="22">
        <f>IF($C92="","",IFERROR(INDEX(DATA_MASTER!$L$2:$L$5000,MATCH($C92,DATA_MASTER!$D$2:$D$5000,0)),"ZM"))</f>
        <v/>
      </c>
      <c r="G92" s="24" t="inlineStr">
        <is>
          <t>Sữa Aptamil 380g</t>
        </is>
      </c>
      <c r="H92" s="24" t="n">
        <v>1</v>
      </c>
      <c r="I92" s="30" t="n">
        <v>320000</v>
      </c>
      <c r="J92" s="23">
        <f>IF(OR($H92="",$I92=""),"",$H92*$I92)</f>
        <v/>
      </c>
      <c r="K92" s="24" t="inlineStr">
        <is>
          <t>Chuyển khoản QR</t>
        </is>
      </c>
      <c r="L92" s="24" t="inlineStr">
        <is>
          <t>Chờ chuyển khoản</t>
        </is>
      </c>
      <c r="M92" s="29" t="inlineStr">
        <is>
          <t>26/9/2026</t>
        </is>
      </c>
      <c r="N92" s="28" t="inlineStr">
        <is>
          <t>0384878689</t>
        </is>
      </c>
      <c r="O92" s="24" t="inlineStr">
        <is>
          <t>Lê Hà Giang</t>
        </is>
      </c>
      <c r="P92" s="24" t="inlineStr">
        <is>
          <t>Xuân sơn 2, xã An Lão, Hải Phòng</t>
        </is>
      </c>
      <c r="Q92" s="24" t="inlineStr">
        <is>
          <t>Chờ giao</t>
        </is>
      </c>
      <c r="R92" s="24" t="inlineStr">
        <is>
          <t>Ababy</t>
        </is>
      </c>
      <c r="S92" s="22">
        <f>IF(AND($A92="",$C92=""),"",IF($A92="","Thiếu mã đơn; ","")&amp;IF(COUNTIF($A$2:$A92,$A92)&gt;1,"Trùng mã đơn; ","")&amp;IF(COUNTIF($C$2:$C92,$C92)&gt;1,"Trùng SĐT; ","")&amp;IF(ISNA(MATCH($C92,DATA_MASTER!$D$2:$D$5000,0)),"SĐT chưa đăng ký hội viên; ","")&amp;IF(AND($L92="Đã chuyển khoản",$M92=""),"Thiếu ngày nhận CK; ",""))</f>
        <v/>
      </c>
      <c r="T92" s="24" t="inlineStr">
        <is>
          <t>ĐVVC: [4] Đã giao hàng | Mã VĐ: 27/8/2026 | POD: Shipper riêng</t>
        </is>
      </c>
    </row>
    <row r="93" ht="14.25" customHeight="1" s="40">
      <c r="A93" s="24" t="n">
        <v>92</v>
      </c>
      <c r="B93" s="24" t="inlineStr">
        <is>
          <t>26/9/2026</t>
        </is>
      </c>
      <c r="C93" s="28" t="inlineStr">
        <is>
          <t>0962346682</t>
        </is>
      </c>
      <c r="D93" s="22">
        <f>IF($C93="","",IFERROR(INDEX(DATA_MASTER!$C$2:$C$5000,MATCH($C93,DATA_MASTER!$D$2:$D$5000,0)),"Đỗ Trang"))</f>
        <v/>
      </c>
      <c r="E93" s="22">
        <f>IF($C93="","",IFERROR(INDEX(DATA_MASTER!$I$2:$I$5000,MATCH($C93,DATA_MASTER!$D$2:$D$5000,0)),""))</f>
        <v/>
      </c>
      <c r="F93" s="22">
        <f>IF($C93="","",IFERROR(INDEX(DATA_MASTER!$L$2:$L$5000,MATCH($C93,DATA_MASTER!$D$2:$D$5000,0)),"ZM"))</f>
        <v/>
      </c>
      <c r="G93" s="24" t="inlineStr">
        <is>
          <t>Sữa Aptamil 380g</t>
        </is>
      </c>
      <c r="H93" s="24" t="n">
        <v>1</v>
      </c>
      <c r="I93" s="30" t="n">
        <v>320000</v>
      </c>
      <c r="J93" s="23">
        <f>IF(OR($H93="",$I93=""),"",$H93*$I93)</f>
        <v/>
      </c>
      <c r="K93" s="24" t="inlineStr">
        <is>
          <t>Chuyển khoản QR</t>
        </is>
      </c>
      <c r="L93" s="24" t="inlineStr">
        <is>
          <t>Đã chuyển khoản</t>
        </is>
      </c>
      <c r="M93" s="29" t="inlineStr">
        <is>
          <t>26/9/2026</t>
        </is>
      </c>
      <c r="N93" s="28" t="inlineStr">
        <is>
          <t>0962346682</t>
        </is>
      </c>
      <c r="O93" s="24" t="inlineStr">
        <is>
          <t>Đỗ Trang</t>
        </is>
      </c>
      <c r="P93" s="24" t="inlineStr">
        <is>
          <t>Bấc 2, Thuỷ Đường, Thuỷ Nguyên, Hải Phòng</t>
        </is>
      </c>
      <c r="Q93" s="24" t="inlineStr">
        <is>
          <t>Đã giao</t>
        </is>
      </c>
      <c r="R93" s="24" t="inlineStr">
        <is>
          <t>Ababy</t>
        </is>
      </c>
      <c r="S93" s="22">
        <f>IF(AND($A93="",$C93=""),"",IF($A93="","Thiếu mã đơn; ","")&amp;IF(COUNTIF($A$2:$A93,$A93)&gt;1,"Trùng mã đơn; ","")&amp;IF(COUNTIF($C$2:$C93,$C93)&gt;1,"Trùng SĐT; ","")&amp;IF(ISNA(MATCH($C93,DATA_MASTER!$D$2:$D$5000,0)),"SĐT chưa đăng ký hội viên; ","")&amp;IF(AND($L93="Đã chuyển khoản",$M93=""),"Thiếu ngày nhận CK; ",""))</f>
        <v/>
      </c>
      <c r="T93" s="24" t="inlineStr">
        <is>
          <t>ĐVVC: [2] Đang giao | POD: Viettel Post</t>
        </is>
      </c>
    </row>
    <row r="94" ht="14.25" customHeight="1" s="40">
      <c r="A94" s="24" t="n">
        <v>93</v>
      </c>
      <c r="B94" s="24" t="inlineStr">
        <is>
          <t>26/9/2026</t>
        </is>
      </c>
      <c r="C94" s="28" t="inlineStr">
        <is>
          <t>0789293488</t>
        </is>
      </c>
      <c r="D94" s="22">
        <f>IF($C94="","",IFERROR(INDEX(DATA_MASTER!$C$2:$C$5000,MATCH($C94,DATA_MASTER!$D$2:$D$5000,0)),"Vũ Thị Ánh Tuyết"))</f>
        <v/>
      </c>
      <c r="E94" s="22">
        <f>IF($C94="","",IFERROR(INDEX(DATA_MASTER!$I$2:$I$5000,MATCH($C94,DATA_MASTER!$D$2:$D$5000,0)),""))</f>
        <v/>
      </c>
      <c r="F94" s="22">
        <f>IF($C94="","",IFERROR(INDEX(DATA_MASTER!$L$2:$L$5000,MATCH($C94,DATA_MASTER!$D$2:$D$5000,0)),"ZM"))</f>
        <v/>
      </c>
      <c r="G94" s="24" t="inlineStr">
        <is>
          <t>Sữa Aptamil 380g</t>
        </is>
      </c>
      <c r="H94" s="24" t="n">
        <v>1</v>
      </c>
      <c r="I94" s="30" t="n">
        <v>320000</v>
      </c>
      <c r="J94" s="23">
        <f>IF(OR($H94="",$I94=""),"",$H94*$I94)</f>
        <v/>
      </c>
      <c r="K94" s="24" t="inlineStr">
        <is>
          <t>Chuyển khoản QR</t>
        </is>
      </c>
      <c r="L94" s="24" t="inlineStr">
        <is>
          <t>Chờ chuyển khoản</t>
        </is>
      </c>
      <c r="M94" s="29" t="inlineStr">
        <is>
          <t>26/9/2026</t>
        </is>
      </c>
      <c r="N94" s="28" t="inlineStr">
        <is>
          <t>0789293488</t>
        </is>
      </c>
      <c r="O94" s="24" t="inlineStr">
        <is>
          <t>Vũ Thị Ánh Tuyết</t>
        </is>
      </c>
      <c r="P94" s="24" t="inlineStr">
        <is>
          <t>6/225 Tô Hiệu, Lê Chân,, Hải Phòng</t>
        </is>
      </c>
      <c r="Q94" s="24" t="inlineStr">
        <is>
          <t>Chờ giao</t>
        </is>
      </c>
      <c r="R94" s="24" t="inlineStr">
        <is>
          <t>Ababy</t>
        </is>
      </c>
      <c r="S94" s="22">
        <f>IF(AND($A94="",$C94=""),"",IF($A94="","Thiếu mã đơn; ","")&amp;IF(COUNTIF($A$2:$A94,$A94)&gt;1,"Trùng mã đơn; ","")&amp;IF(COUNTIF($C$2:$C94,$C94)&gt;1,"Trùng SĐT; ","")&amp;IF(ISNA(MATCH($C94,DATA_MASTER!$D$2:$D$5000,0)),"SĐT chưa đăng ký hội viên; ","")&amp;IF(AND($L94="Đã chuyển khoản",$M94=""),"Thiếu ngày nhận CK; ",""))</f>
        <v/>
      </c>
      <c r="T94" s="24" t="inlineStr">
        <is>
          <t>ĐVVC: [4] Đã giao hàng | Mã VĐ: 27/9/2026 | POD: Shipper riêng</t>
        </is>
      </c>
    </row>
    <row r="95" ht="14.25" customHeight="1" s="40">
      <c r="A95" s="24" t="n">
        <v>94</v>
      </c>
      <c r="B95" s="24" t="inlineStr">
        <is>
          <t>26/9/2026</t>
        </is>
      </c>
      <c r="C95" s="28" t="inlineStr">
        <is>
          <t>0333962703</t>
        </is>
      </c>
      <c r="D95" s="22">
        <f>IF($C95="","",IFERROR(INDEX(DATA_MASTER!$C$2:$C$5000,MATCH($C95,DATA_MASTER!$D$2:$D$5000,0)),"Nguyễn Thị Ngọc Xuân"))</f>
        <v/>
      </c>
      <c r="E95" s="22">
        <f>IF($C95="","",IFERROR(INDEX(DATA_MASTER!$I$2:$I$5000,MATCH($C95,DATA_MASTER!$D$2:$D$5000,0)),""))</f>
        <v/>
      </c>
      <c r="F95" s="22">
        <f>IF($C95="","",IFERROR(INDEX(DATA_MASTER!$L$2:$L$5000,MATCH($C95,DATA_MASTER!$D$2:$D$5000,0)),"ZM"))</f>
        <v/>
      </c>
      <c r="G95" s="24" t="inlineStr">
        <is>
          <t>Sữa Aptamil 380g</t>
        </is>
      </c>
      <c r="H95" s="24" t="n">
        <v>1</v>
      </c>
      <c r="I95" s="30" t="n">
        <v>320000</v>
      </c>
      <c r="J95" s="23">
        <f>IF(OR($H95="",$I95=""),"",$H95*$I95)</f>
        <v/>
      </c>
      <c r="K95" s="24" t="inlineStr">
        <is>
          <t>Chuyển khoản QR</t>
        </is>
      </c>
      <c r="L95" s="24" t="inlineStr">
        <is>
          <t>Chờ chuyển khoản</t>
        </is>
      </c>
      <c r="M95" s="29" t="inlineStr">
        <is>
          <t>26/9/2026</t>
        </is>
      </c>
      <c r="N95" s="28" t="inlineStr">
        <is>
          <t>0333962703</t>
        </is>
      </c>
      <c r="O95" s="24" t="inlineStr">
        <is>
          <t>Nguyễn Thị Ngọc Xuân</t>
        </is>
      </c>
      <c r="P95" s="24" t="inlineStr">
        <is>
          <t>3/184 Thiên Lôi, An Biên, Hải Phòng</t>
        </is>
      </c>
      <c r="Q95" s="24" t="inlineStr">
        <is>
          <t>Chờ giao</t>
        </is>
      </c>
      <c r="R95" s="24" t="inlineStr">
        <is>
          <t>Ababy</t>
        </is>
      </c>
      <c r="S95" s="22">
        <f>IF(AND($A95="",$C95=""),"",IF($A95="","Thiếu mã đơn; ","")&amp;IF(COUNTIF($A$2:$A95,$A95)&gt;1,"Trùng mã đơn; ","")&amp;IF(COUNTIF($C$2:$C95,$C95)&gt;1,"Trùng SĐT; ","")&amp;IF(ISNA(MATCH($C95,DATA_MASTER!$D$2:$D$5000,0)),"SĐT chưa đăng ký hội viên; ","")&amp;IF(AND($L95="Đã chuyển khoản",$M95=""),"Thiếu ngày nhận CK; ",""))</f>
        <v/>
      </c>
      <c r="T95" s="24" t="inlineStr">
        <is>
          <t>ĐVVC: [4] Đã giao hàng | Mã VĐ: 27/9/2026 | POD: Shipper riêng</t>
        </is>
      </c>
    </row>
    <row r="96" ht="14.25" customHeight="1" s="40">
      <c r="A96" s="24" t="n">
        <v>95</v>
      </c>
      <c r="B96" s="24" t="inlineStr">
        <is>
          <t>26/9/2026</t>
        </is>
      </c>
      <c r="C96" s="28" t="inlineStr">
        <is>
          <t>0854567396</t>
        </is>
      </c>
      <c r="D96" s="22">
        <f>IF($C96="","",IFERROR(INDEX(DATA_MASTER!$C$2:$C$5000,MATCH($C96,DATA_MASTER!$D$2:$D$5000,0)),"Vũ Thị Thuỳ"))</f>
        <v/>
      </c>
      <c r="E96" s="22">
        <f>IF($C96="","",IFERROR(INDEX(DATA_MASTER!$I$2:$I$5000,MATCH($C96,DATA_MASTER!$D$2:$D$5000,0)),""))</f>
        <v/>
      </c>
      <c r="F96" s="22">
        <f>IF($C96="","",IFERROR(INDEX(DATA_MASTER!$L$2:$L$5000,MATCH($C96,DATA_MASTER!$D$2:$D$5000,0)),"ZM"))</f>
        <v/>
      </c>
      <c r="G96" s="24" t="inlineStr">
        <is>
          <t>Sữa Aptamil 380g</t>
        </is>
      </c>
      <c r="H96" s="24" t="n">
        <v>1</v>
      </c>
      <c r="I96" s="30" t="n">
        <v>320000</v>
      </c>
      <c r="J96" s="23">
        <f>IF(OR($H96="",$I96=""),"",$H96*$I96)</f>
        <v/>
      </c>
      <c r="K96" s="24" t="inlineStr">
        <is>
          <t>Chuyển khoản QR</t>
        </is>
      </c>
      <c r="L96" s="24" t="inlineStr">
        <is>
          <t>Đã chuyển khoản</t>
        </is>
      </c>
      <c r="M96" s="29" t="inlineStr">
        <is>
          <t>26/9/2026</t>
        </is>
      </c>
      <c r="N96" s="28" t="inlineStr">
        <is>
          <t>0854567396</t>
        </is>
      </c>
      <c r="O96" s="24" t="inlineStr">
        <is>
          <t>Vũ Thị Thuỳ</t>
        </is>
      </c>
      <c r="P96" s="24" t="inlineStr">
        <is>
          <t>Tổ 3 Hiệp 2, Yên Tử, Quảng Ninh</t>
        </is>
      </c>
      <c r="Q96" s="24" t="inlineStr">
        <is>
          <t>Đã giao</t>
        </is>
      </c>
      <c r="R96" s="24" t="inlineStr">
        <is>
          <t>Ababy</t>
        </is>
      </c>
      <c r="S96" s="22">
        <f>IF(AND($A96="",$C96=""),"",IF($A96="","Thiếu mã đơn; ","")&amp;IF(COUNTIF($A$2:$A96,$A96)&gt;1,"Trùng mã đơn; ","")&amp;IF(COUNTIF($C$2:$C96,$C96)&gt;1,"Trùng SĐT; ","")&amp;IF(ISNA(MATCH($C96,DATA_MASTER!$D$2:$D$5000,0)),"SĐT chưa đăng ký hội viên; ","")&amp;IF(AND($L96="Đã chuyển khoản",$M96=""),"Thiếu ngày nhận CK; ",""))</f>
        <v/>
      </c>
      <c r="T96" s="24" t="inlineStr">
        <is>
          <t>ĐVVC: [4] Đã giao hàng | Mã VĐ: 28/9/2026 | POD: Viettel Post</t>
        </is>
      </c>
    </row>
    <row r="97" ht="14.25" customHeight="1" s="40">
      <c r="A97" s="24" t="n">
        <v>96</v>
      </c>
      <c r="B97" s="24" t="inlineStr">
        <is>
          <t>26/9/2026</t>
        </is>
      </c>
      <c r="C97" s="28" t="inlineStr">
        <is>
          <t>0379363608</t>
        </is>
      </c>
      <c r="D97" s="22">
        <f>IF($C97="","",IFERROR(INDEX(DATA_MASTER!$C$2:$C$5000,MATCH($C97,DATA_MASTER!$D$2:$D$5000,0)),"Ngọc Ánh"))</f>
        <v/>
      </c>
      <c r="E97" s="22">
        <f>IF($C97="","",IFERROR(INDEX(DATA_MASTER!$I$2:$I$5000,MATCH($C97,DATA_MASTER!$D$2:$D$5000,0)),""))</f>
        <v/>
      </c>
      <c r="F97" s="22">
        <f>IF($C97="","",IFERROR(INDEX(DATA_MASTER!$L$2:$L$5000,MATCH($C97,DATA_MASTER!$D$2:$D$5000,0)),"ZM"))</f>
        <v/>
      </c>
      <c r="G97" s="24" t="inlineStr">
        <is>
          <t>Sữa Aptamil 380g</t>
        </is>
      </c>
      <c r="H97" s="24" t="n">
        <v>1</v>
      </c>
      <c r="I97" s="30" t="n">
        <v>320000</v>
      </c>
      <c r="J97" s="23">
        <f>IF(OR($H97="",$I97=""),"",$H97*$I97)</f>
        <v/>
      </c>
      <c r="K97" s="24" t="inlineStr">
        <is>
          <t>Chuyển khoản QR</t>
        </is>
      </c>
      <c r="L97" s="24" t="inlineStr">
        <is>
          <t>Chờ chuyển khoản</t>
        </is>
      </c>
      <c r="M97" s="29" t="inlineStr">
        <is>
          <t>26/9/2026</t>
        </is>
      </c>
      <c r="N97" s="28" t="inlineStr">
        <is>
          <t>0379363608</t>
        </is>
      </c>
      <c r="O97" s="24" t="inlineStr">
        <is>
          <t>Ngọc Ánh</t>
        </is>
      </c>
      <c r="P97" s="24" t="inlineStr">
        <is>
          <t>Tổ Dân Phố, Hoàng Động 3, Thiên Hương, Hải Phòng</t>
        </is>
      </c>
      <c r="Q97" s="24" t="inlineStr">
        <is>
          <t>Chờ giao</t>
        </is>
      </c>
      <c r="R97" s="24" t="inlineStr">
        <is>
          <t>Ababy</t>
        </is>
      </c>
      <c r="S97" s="22">
        <f>IF(AND($A97="",$C97=""),"",IF($A97="","Thiếu mã đơn; ","")&amp;IF(COUNTIF($A$2:$A97,$A97)&gt;1,"Trùng mã đơn; ","")&amp;IF(COUNTIF($C$2:$C97,$C97)&gt;1,"Trùng SĐT; ","")&amp;IF(ISNA(MATCH($C97,DATA_MASTER!$D$2:$D$5000,0)),"SĐT chưa đăng ký hội viên; ","")&amp;IF(AND($L97="Đã chuyển khoản",$M97=""),"Thiếu ngày nhận CK; ",""))</f>
        <v/>
      </c>
      <c r="T97" s="24" t="inlineStr">
        <is>
          <t>ĐVVC: [4] Đã giao hàng | POD: Viettel Post</t>
        </is>
      </c>
    </row>
    <row r="98" ht="14.25" customHeight="1" s="40">
      <c r="A98" s="24" t="n">
        <v>97</v>
      </c>
      <c r="B98" s="24" t="inlineStr">
        <is>
          <t>26/9/2026</t>
        </is>
      </c>
      <c r="C98" s="28" t="inlineStr">
        <is>
          <t>0702260009</t>
        </is>
      </c>
      <c r="D98" s="22">
        <f>IF($C98="","",IFERROR(INDEX(DATA_MASTER!$C$2:$C$5000,MATCH($C98,DATA_MASTER!$D$2:$D$5000,0)),"Hạ Diễm"))</f>
        <v/>
      </c>
      <c r="E98" s="22">
        <f>IF($C98="","",IFERROR(INDEX(DATA_MASTER!$I$2:$I$5000,MATCH($C98,DATA_MASTER!$D$2:$D$5000,0)),""))</f>
        <v/>
      </c>
      <c r="F98" s="22">
        <f>IF($C98="","",IFERROR(INDEX(DATA_MASTER!$L$2:$L$5000,MATCH($C98,DATA_MASTER!$D$2:$D$5000,0)),"ZM"))</f>
        <v/>
      </c>
      <c r="G98" s="24" t="inlineStr">
        <is>
          <t>Sữa Aptamil 380g</t>
        </is>
      </c>
      <c r="H98" s="24" t="n">
        <v>1</v>
      </c>
      <c r="I98" s="30" t="n">
        <v>320000</v>
      </c>
      <c r="J98" s="23">
        <f>IF(OR($H98="",$I98=""),"",$H98*$I98)</f>
        <v/>
      </c>
      <c r="K98" s="24" t="inlineStr">
        <is>
          <t>Chuyển khoản QR</t>
        </is>
      </c>
      <c r="L98" s="24" t="inlineStr">
        <is>
          <t>Chờ chuyển khoản</t>
        </is>
      </c>
      <c r="M98" s="29" t="inlineStr">
        <is>
          <t>26/9/2026</t>
        </is>
      </c>
      <c r="N98" s="28" t="inlineStr">
        <is>
          <t>0702260009</t>
        </is>
      </c>
      <c r="O98" s="24" t="inlineStr">
        <is>
          <t>Hạ Diễm</t>
        </is>
      </c>
      <c r="P98" s="24" t="inlineStr">
        <is>
          <t>8/118 Cát Cụt, phường Hồ Nam, Lê Chân, Hải Phòng</t>
        </is>
      </c>
      <c r="Q98" s="24" t="inlineStr">
        <is>
          <t>Chờ giao</t>
        </is>
      </c>
      <c r="R98" s="24" t="inlineStr">
        <is>
          <t>Ababy</t>
        </is>
      </c>
      <c r="S98" s="22">
        <f>IF(AND($A98="",$C98=""),"",IF($A98="","Thiếu mã đơn; ","")&amp;IF(COUNTIF($A$2:$A98,$A98)&gt;1,"Trùng mã đơn; ","")&amp;IF(COUNTIF($C$2:$C98,$C98)&gt;1,"Trùng SĐT; ","")&amp;IF(ISNA(MATCH($C98,DATA_MASTER!$D$2:$D$5000,0)),"SĐT chưa đăng ký hội viên; ","")&amp;IF(AND($L98="Đã chuyển khoản",$M98=""),"Thiếu ngày nhận CK; ",""))</f>
        <v/>
      </c>
      <c r="T98" s="24" t="inlineStr">
        <is>
          <t>ĐVVC: [4] Đã giao hàng | Mã VĐ: 27/9/2026 | POD: Shipper riêng</t>
        </is>
      </c>
    </row>
    <row r="99" ht="14.25" customHeight="1" s="40">
      <c r="A99" s="24" t="n">
        <v>98</v>
      </c>
      <c r="B99" s="24" t="inlineStr">
        <is>
          <t>26/9/2026</t>
        </is>
      </c>
      <c r="C99" s="28" t="inlineStr">
        <is>
          <t>0338779869</t>
        </is>
      </c>
      <c r="D99" s="22">
        <f>IF($C99="","",IFERROR(INDEX(DATA_MASTER!$C$2:$C$5000,MATCH($C99,DATA_MASTER!$D$2:$D$5000,0)),"Cao Thị Dung"))</f>
        <v/>
      </c>
      <c r="E99" s="22">
        <f>IF($C99="","",IFERROR(INDEX(DATA_MASTER!$I$2:$I$5000,MATCH($C99,DATA_MASTER!$D$2:$D$5000,0)),""))</f>
        <v/>
      </c>
      <c r="F99" s="22">
        <f>IF($C99="","",IFERROR(INDEX(DATA_MASTER!$L$2:$L$5000,MATCH($C99,DATA_MASTER!$D$2:$D$5000,0)),"ZM"))</f>
        <v/>
      </c>
      <c r="G99" s="24" t="inlineStr">
        <is>
          <t>Sữa Aptamil 380g</t>
        </is>
      </c>
      <c r="H99" s="24" t="n">
        <v>1</v>
      </c>
      <c r="I99" s="30" t="n">
        <v>320000</v>
      </c>
      <c r="J99" s="23">
        <f>IF(OR($H99="",$I99=""),"",$H99*$I99)</f>
        <v/>
      </c>
      <c r="K99" s="24" t="inlineStr">
        <is>
          <t>Chuyển khoản QR</t>
        </is>
      </c>
      <c r="L99" s="24" t="inlineStr">
        <is>
          <t>Chờ chuyển khoản</t>
        </is>
      </c>
      <c r="M99" s="29" t="inlineStr">
        <is>
          <t>26/9/2026</t>
        </is>
      </c>
      <c r="N99" s="28" t="inlineStr">
        <is>
          <t>0338779869</t>
        </is>
      </c>
      <c r="O99" s="24" t="inlineStr">
        <is>
          <t>Cao Thị Dung</t>
        </is>
      </c>
      <c r="P99" s="24" t="inlineStr">
        <is>
          <t>Nhà số 7, Hoàng Mai, An Hải, Hải Phòng</t>
        </is>
      </c>
      <c r="Q99" s="24" t="inlineStr">
        <is>
          <t>Chờ giao</t>
        </is>
      </c>
      <c r="R99" s="24" t="inlineStr">
        <is>
          <t>Ababy</t>
        </is>
      </c>
      <c r="S99" s="22">
        <f>IF(AND($A99="",$C99=""),"",IF($A99="","Thiếu mã đơn; ","")&amp;IF(COUNTIF($A$2:$A99,$A99)&gt;1,"Trùng mã đơn; ","")&amp;IF(COUNTIF($C$2:$C99,$C99)&gt;1,"Trùng SĐT; ","")&amp;IF(ISNA(MATCH($C99,DATA_MASTER!$D$2:$D$5000,0)),"SĐT chưa đăng ký hội viên; ","")&amp;IF(AND($L99="Đã chuyển khoản",$M99=""),"Thiếu ngày nhận CK; ",""))</f>
        <v/>
      </c>
      <c r="T99" s="24" t="inlineStr">
        <is>
          <t>ĐVVC: [4] Đã giao hàng | Mã VĐ: 26/9/2026 | POD: Shipper riêng</t>
        </is>
      </c>
    </row>
    <row r="100" ht="14.25" customHeight="1" s="40">
      <c r="A100" s="24" t="n">
        <v>99</v>
      </c>
      <c r="B100" s="24" t="inlineStr">
        <is>
          <t>26/9/2026</t>
        </is>
      </c>
      <c r="C100" s="28" t="inlineStr">
        <is>
          <t>0869666236</t>
        </is>
      </c>
      <c r="D100" s="22">
        <f>IF($C100="","",IFERROR(INDEX(DATA_MASTER!$C$2:$C$5000,MATCH($C100,DATA_MASTER!$D$2:$D$5000,0)),"Chị Phương"))</f>
        <v/>
      </c>
      <c r="E100" s="22">
        <f>IF($C100="","",IFERROR(INDEX(DATA_MASTER!$I$2:$I$5000,MATCH($C100,DATA_MASTER!$D$2:$D$5000,0)),""))</f>
        <v/>
      </c>
      <c r="F100" s="22">
        <f>IF($C100="","",IFERROR(INDEX(DATA_MASTER!$L$2:$L$5000,MATCH($C100,DATA_MASTER!$D$2:$D$5000,0)),"ZM"))</f>
        <v/>
      </c>
      <c r="G100" s="24" t="inlineStr">
        <is>
          <t>Sữa Aptamil 380g</t>
        </is>
      </c>
      <c r="H100" s="24" t="n">
        <v>1</v>
      </c>
      <c r="I100" s="30" t="n">
        <v>320000</v>
      </c>
      <c r="J100" s="23">
        <f>IF(OR($H100="",$I100=""),"",$H100*$I100)</f>
        <v/>
      </c>
      <c r="K100" s="24" t="inlineStr">
        <is>
          <t>Chuyển khoản QR</t>
        </is>
      </c>
      <c r="L100" s="24" t="inlineStr">
        <is>
          <t>Chờ chuyển khoản</t>
        </is>
      </c>
      <c r="M100" s="29" t="inlineStr">
        <is>
          <t>26/9/2026</t>
        </is>
      </c>
      <c r="N100" s="28" t="inlineStr">
        <is>
          <t>0869666236</t>
        </is>
      </c>
      <c r="O100" s="24" t="inlineStr">
        <is>
          <t>Chị Phương</t>
        </is>
      </c>
      <c r="P100" s="24" t="inlineStr">
        <is>
          <t>428 Hoàng Minh Thảo, An Viên, Hải Phòng</t>
        </is>
      </c>
      <c r="Q100" s="24" t="inlineStr">
        <is>
          <t>Chờ giao</t>
        </is>
      </c>
      <c r="R100" s="24" t="inlineStr">
        <is>
          <t>Ababy</t>
        </is>
      </c>
      <c r="S100" s="22">
        <f>IF(AND($A100="",$C100=""),"",IF($A100="","Thiếu mã đơn; ","")&amp;IF(COUNTIF($A$2:$A100,$A100)&gt;1,"Trùng mã đơn; ","")&amp;IF(COUNTIF($C$2:$C100,$C100)&gt;1,"Trùng SĐT; ","")&amp;IF(ISNA(MATCH($C100,DATA_MASTER!$D$2:$D$5000,0)),"SĐT chưa đăng ký hội viên; ","")&amp;IF(AND($L100="Đã chuyển khoản",$M100=""),"Thiếu ngày nhận CK; ",""))</f>
        <v/>
      </c>
      <c r="T100" s="24" t="inlineStr">
        <is>
          <t>ĐVVC: [4] Đã giao hàng | Mã VĐ: 26/9/2026 | POD: Shipper riêng</t>
        </is>
      </c>
    </row>
    <row r="101" ht="14.25" customHeight="1" s="40">
      <c r="A101" s="24" t="n">
        <v>100</v>
      </c>
      <c r="B101" s="24" t="inlineStr">
        <is>
          <t>26/9/2026</t>
        </is>
      </c>
      <c r="C101" s="28" t="inlineStr">
        <is>
          <t>0335656228</t>
        </is>
      </c>
      <c r="D101" s="22">
        <f>IF($C101="","",IFERROR(INDEX(DATA_MASTER!$C$2:$C$5000,MATCH($C101,DATA_MASTER!$D$2:$D$5000,0)),"Trần Thị Hoa"))</f>
        <v/>
      </c>
      <c r="E101" s="22">
        <f>IF($C101="","",IFERROR(INDEX(DATA_MASTER!$I$2:$I$5000,MATCH($C101,DATA_MASTER!$D$2:$D$5000,0)),""))</f>
        <v/>
      </c>
      <c r="F101" s="22">
        <f>IF($C101="","",IFERROR(INDEX(DATA_MASTER!$L$2:$L$5000,MATCH($C101,DATA_MASTER!$D$2:$D$5000,0)),"ZM"))</f>
        <v/>
      </c>
      <c r="G101" s="24" t="inlineStr">
        <is>
          <t>Sữa Aptamil 380g</t>
        </is>
      </c>
      <c r="H101" s="24" t="n">
        <v>1</v>
      </c>
      <c r="I101" s="30" t="n">
        <v>320000</v>
      </c>
      <c r="J101" s="23">
        <f>IF(OR($H101="",$I101=""),"",$H101*$I101)</f>
        <v/>
      </c>
      <c r="K101" s="24" t="inlineStr">
        <is>
          <t>Chuyển khoản QR</t>
        </is>
      </c>
      <c r="L101" s="24" t="inlineStr">
        <is>
          <t>Chờ chuyển khoản</t>
        </is>
      </c>
      <c r="M101" s="29" t="inlineStr">
        <is>
          <t>26/9/2026</t>
        </is>
      </c>
      <c r="N101" s="28" t="inlineStr">
        <is>
          <t>0335656228</t>
        </is>
      </c>
      <c r="O101" s="24" t="inlineStr">
        <is>
          <t>Trần Thị Hoa</t>
        </is>
      </c>
      <c r="P101" s="24" t="inlineStr">
        <is>
          <t>25 Thống Trực, Phù Liễn, Hải Phòng</t>
        </is>
      </c>
      <c r="Q101" s="24" t="inlineStr">
        <is>
          <t>Chờ giao</t>
        </is>
      </c>
      <c r="R101" s="24" t="inlineStr">
        <is>
          <t>Ababy</t>
        </is>
      </c>
      <c r="S101" s="22">
        <f>IF(AND($A101="",$C101=""),"",IF($A101="","Thiếu mã đơn; ","")&amp;IF(COUNTIF($A$2:$A101,$A101)&gt;1,"Trùng mã đơn; ","")&amp;IF(COUNTIF($C$2:$C101,$C101)&gt;1,"Trùng SĐT; ","")&amp;IF(ISNA(MATCH($C101,DATA_MASTER!$D$2:$D$5000,0)),"SĐT chưa đăng ký hội viên; ","")&amp;IF(AND($L101="Đã chuyển khoản",$M101=""),"Thiếu ngày nhận CK; ",""))</f>
        <v/>
      </c>
      <c r="T101" s="24" t="inlineStr">
        <is>
          <t>ĐVVC: [4] Đã giao hàng | Mã VĐ: 27/9/2026 | POD: Shipper riêng</t>
        </is>
      </c>
    </row>
    <row r="102" ht="14.25" customHeight="1" s="40">
      <c r="A102" s="24" t="n">
        <v>101</v>
      </c>
      <c r="B102" s="24" t="inlineStr">
        <is>
          <t>26/9/2026</t>
        </is>
      </c>
      <c r="C102" s="28" t="inlineStr">
        <is>
          <t>0562993586</t>
        </is>
      </c>
      <c r="D102" s="22">
        <f>IF($C102="","",IFERROR(INDEX(DATA_MASTER!$C$2:$C$5000,MATCH($C102,DATA_MASTER!$D$2:$D$5000,0)),"Đặng Quyên"))</f>
        <v/>
      </c>
      <c r="E102" s="22">
        <f>IF($C102="","",IFERROR(INDEX(DATA_MASTER!$I$2:$I$5000,MATCH($C102,DATA_MASTER!$D$2:$D$5000,0)),""))</f>
        <v/>
      </c>
      <c r="F102" s="22">
        <f>IF($C102="","",IFERROR(INDEX(DATA_MASTER!$L$2:$L$5000,MATCH($C102,DATA_MASTER!$D$2:$D$5000,0)),"ZM"))</f>
        <v/>
      </c>
      <c r="G102" s="24" t="inlineStr">
        <is>
          <t>Sữa Aptamil 380g</t>
        </is>
      </c>
      <c r="H102" s="24" t="n">
        <v>1</v>
      </c>
      <c r="I102" s="30" t="n">
        <v>320000</v>
      </c>
      <c r="J102" s="23">
        <f>IF(OR($H102="",$I102=""),"",$H102*$I102)</f>
        <v/>
      </c>
      <c r="K102" s="24" t="inlineStr">
        <is>
          <t>Chuyển khoản QR</t>
        </is>
      </c>
      <c r="L102" s="24" t="inlineStr">
        <is>
          <t>Chờ chuyển khoản</t>
        </is>
      </c>
      <c r="M102" s="29" t="inlineStr">
        <is>
          <t>26/9/2026</t>
        </is>
      </c>
      <c r="N102" s="28" t="inlineStr">
        <is>
          <t>0562993586</t>
        </is>
      </c>
      <c r="O102" s="24" t="inlineStr">
        <is>
          <t>Đặng Quyên</t>
        </is>
      </c>
      <c r="P102" s="24" t="inlineStr">
        <is>
          <t>Kiến Hải, Hải Phòng</t>
        </is>
      </c>
      <c r="Q102" s="24" t="inlineStr">
        <is>
          <t>Chờ giao</t>
        </is>
      </c>
      <c r="R102" s="24" t="inlineStr">
        <is>
          <t>Ababy</t>
        </is>
      </c>
      <c r="S102" s="22">
        <f>IF(AND($A102="",$C102=""),"",IF($A102="","Thiếu mã đơn; ","")&amp;IF(COUNTIF($A$2:$A102,$A102)&gt;1,"Trùng mã đơn; ","")&amp;IF(COUNTIF($C$2:$C102,$C102)&gt;1,"Trùng SĐT; ","")&amp;IF(ISNA(MATCH($C102,DATA_MASTER!$D$2:$D$5000,0)),"SĐT chưa đăng ký hội viên; ","")&amp;IF(AND($L102="Đã chuyển khoản",$M102=""),"Thiếu ngày nhận CK; ",""))</f>
        <v/>
      </c>
      <c r="T102" s="24" t="inlineStr">
        <is>
          <t>ĐVVC: [4] Đã giao hàng | POD: Viettel Post</t>
        </is>
      </c>
    </row>
    <row r="103" ht="14.25" customHeight="1" s="40">
      <c r="A103" s="24" t="n">
        <v>102</v>
      </c>
      <c r="B103" s="24" t="inlineStr">
        <is>
          <t>26/9/2026</t>
        </is>
      </c>
      <c r="C103" s="28" t="inlineStr">
        <is>
          <t>0336724998</t>
        </is>
      </c>
      <c r="D103" s="22">
        <f>IF($C103="","",IFERROR(INDEX(DATA_MASTER!$C$2:$C$5000,MATCH($C103,DATA_MASTER!$D$2:$D$5000,0)),"Bùi Thị Ngát"))</f>
        <v/>
      </c>
      <c r="E103" s="22">
        <f>IF($C103="","",IFERROR(INDEX(DATA_MASTER!$I$2:$I$5000,MATCH($C103,DATA_MASTER!$D$2:$D$5000,0)),""))</f>
        <v/>
      </c>
      <c r="F103" s="22">
        <f>IF($C103="","",IFERROR(INDEX(DATA_MASTER!$L$2:$L$5000,MATCH($C103,DATA_MASTER!$D$2:$D$5000,0)),"ZM"))</f>
        <v/>
      </c>
      <c r="G103" s="24" t="inlineStr">
        <is>
          <t>Sữa Aptamil 380g</t>
        </is>
      </c>
      <c r="H103" s="24" t="n">
        <v>1</v>
      </c>
      <c r="I103" s="30" t="n">
        <v>320000</v>
      </c>
      <c r="J103" s="23">
        <f>IF(OR($H103="",$I103=""),"",$H103*$I103)</f>
        <v/>
      </c>
      <c r="K103" s="24" t="inlineStr">
        <is>
          <t>Chuyển khoản QR</t>
        </is>
      </c>
      <c r="L103" s="24" t="inlineStr">
        <is>
          <t>Chờ chuyển khoản</t>
        </is>
      </c>
      <c r="M103" s="29" t="inlineStr">
        <is>
          <t>26/9/2026</t>
        </is>
      </c>
      <c r="N103" s="28" t="inlineStr">
        <is>
          <t>0336724998</t>
        </is>
      </c>
      <c r="O103" s="24" t="inlineStr">
        <is>
          <t>Bùi Thị Ngát</t>
        </is>
      </c>
      <c r="P103" s="24" t="inlineStr">
        <is>
          <t>Tổ dân phố Tân Lập, Phường Nam Triệu,, Hải Phòng</t>
        </is>
      </c>
      <c r="Q103" s="24" t="inlineStr">
        <is>
          <t>Chờ giao</t>
        </is>
      </c>
      <c r="R103" s="24" t="inlineStr">
        <is>
          <t>Ababy</t>
        </is>
      </c>
      <c r="S103" s="22">
        <f>IF(AND($A103="",$C103=""),"",IF($A103="","Thiếu mã đơn; ","")&amp;IF(COUNTIF($A$2:$A103,$A103)&gt;1,"Trùng mã đơn; ","")&amp;IF(COUNTIF($C$2:$C103,$C103)&gt;1,"Trùng SĐT; ","")&amp;IF(ISNA(MATCH($C103,DATA_MASTER!$D$2:$D$5000,0)),"SĐT chưa đăng ký hội viên; ","")&amp;IF(AND($L103="Đã chuyển khoản",$M103=""),"Thiếu ngày nhận CK; ",""))</f>
        <v/>
      </c>
      <c r="T103" s="24" t="inlineStr">
        <is>
          <t>ĐVVC: [4] Đã giao hàng | Mã VĐ: 29/9/2026 | POD: Viettel Post</t>
        </is>
      </c>
    </row>
    <row r="104" ht="14.25" customHeight="1" s="40">
      <c r="A104" s="24" t="n">
        <v>103</v>
      </c>
      <c r="B104" s="24" t="inlineStr">
        <is>
          <t>26/9/2026</t>
        </is>
      </c>
      <c r="C104" s="28" t="inlineStr">
        <is>
          <t>0355173295</t>
        </is>
      </c>
      <c r="D104" s="22">
        <f>IF($C104="","",IFERROR(INDEX(DATA_MASTER!$C$2:$C$5000,MATCH($C104,DATA_MASTER!$D$2:$D$5000,0)),"Lan Anh"))</f>
        <v/>
      </c>
      <c r="E104" s="22">
        <f>IF($C104="","",IFERROR(INDEX(DATA_MASTER!$I$2:$I$5000,MATCH($C104,DATA_MASTER!$D$2:$D$5000,0)),""))</f>
        <v/>
      </c>
      <c r="F104" s="22">
        <f>IF($C104="","",IFERROR(INDEX(DATA_MASTER!$L$2:$L$5000,MATCH($C104,DATA_MASTER!$D$2:$D$5000,0)),"ZM"))</f>
        <v/>
      </c>
      <c r="G104" s="24" t="inlineStr">
        <is>
          <t>Sữa Aptamil 380g</t>
        </is>
      </c>
      <c r="H104" s="24" t="n">
        <v>1</v>
      </c>
      <c r="I104" s="30" t="n">
        <v>320000</v>
      </c>
      <c r="J104" s="23">
        <f>IF(OR($H104="",$I104=""),"",$H104*$I104)</f>
        <v/>
      </c>
      <c r="K104" s="24" t="inlineStr">
        <is>
          <t>Chuyển khoản QR</t>
        </is>
      </c>
      <c r="L104" s="24" t="inlineStr">
        <is>
          <t>Chờ chuyển khoản</t>
        </is>
      </c>
      <c r="M104" s="29" t="inlineStr">
        <is>
          <t>26/9/2026</t>
        </is>
      </c>
      <c r="N104" s="28" t="inlineStr">
        <is>
          <t>0355173295</t>
        </is>
      </c>
      <c r="O104" s="24" t="inlineStr">
        <is>
          <t>Lan Anh</t>
        </is>
      </c>
      <c r="P104" s="24" t="inlineStr">
        <is>
          <t>212 Lê Lợi, Gia Viên, Hải Phòng</t>
        </is>
      </c>
      <c r="Q104" s="24" t="inlineStr">
        <is>
          <t>Chờ giao</t>
        </is>
      </c>
      <c r="R104" s="24" t="inlineStr">
        <is>
          <t>Ababy</t>
        </is>
      </c>
      <c r="S104" s="22">
        <f>IF(AND($A104="",$C104=""),"",IF($A104="","Thiếu mã đơn; ","")&amp;IF(COUNTIF($A$2:$A104,$A104)&gt;1,"Trùng mã đơn; ","")&amp;IF(COUNTIF($C$2:$C104,$C104)&gt;1,"Trùng SĐT; ","")&amp;IF(ISNA(MATCH($C104,DATA_MASTER!$D$2:$D$5000,0)),"SĐT chưa đăng ký hội viên; ","")&amp;IF(AND($L104="Đã chuyển khoản",$M104=""),"Thiếu ngày nhận CK; ",""))</f>
        <v/>
      </c>
      <c r="T104" s="24" t="inlineStr">
        <is>
          <t>ĐVVC: [4] Đã giao hàng | Mã VĐ: 27/9/2026 | POD: Shipper riêng</t>
        </is>
      </c>
    </row>
    <row r="105" ht="14.25" customHeight="1" s="40">
      <c r="A105" s="24" t="n">
        <v>104</v>
      </c>
      <c r="B105" s="24" t="inlineStr">
        <is>
          <t>26/9/2026</t>
        </is>
      </c>
      <c r="C105" s="28" t="inlineStr">
        <is>
          <t>0342963594</t>
        </is>
      </c>
      <c r="D105" s="22">
        <f>IF($C105="","",IFERROR(INDEX(DATA_MASTER!$C$2:$C$5000,MATCH($C105,DATA_MASTER!$D$2:$D$5000,0)),"Hương Giang"))</f>
        <v/>
      </c>
      <c r="E105" s="22">
        <f>IF($C105="","",IFERROR(INDEX(DATA_MASTER!$I$2:$I$5000,MATCH($C105,DATA_MASTER!$D$2:$D$5000,0)),""))</f>
        <v/>
      </c>
      <c r="F105" s="22">
        <f>IF($C105="","",IFERROR(INDEX(DATA_MASTER!$L$2:$L$5000,MATCH($C105,DATA_MASTER!$D$2:$D$5000,0)),"ZM"))</f>
        <v/>
      </c>
      <c r="G105" s="24" t="inlineStr">
        <is>
          <t>Sữa Aptamil 380g</t>
        </is>
      </c>
      <c r="H105" s="24" t="n">
        <v>1</v>
      </c>
      <c r="I105" s="30" t="n">
        <v>320000</v>
      </c>
      <c r="J105" s="23">
        <f>IF(OR($H105="",$I105=""),"",$H105*$I105)</f>
        <v/>
      </c>
      <c r="K105" s="24" t="inlineStr">
        <is>
          <t>Chuyển khoản QR</t>
        </is>
      </c>
      <c r="L105" s="24" t="inlineStr">
        <is>
          <t>Chờ chuyển khoản</t>
        </is>
      </c>
      <c r="M105" s="29" t="inlineStr">
        <is>
          <t>26/9/2026</t>
        </is>
      </c>
      <c r="N105" s="28" t="inlineStr">
        <is>
          <t>0342963594</t>
        </is>
      </c>
      <c r="O105" s="24" t="inlineStr">
        <is>
          <t>Hương Giang</t>
        </is>
      </c>
      <c r="P105" s="24" t="inlineStr">
        <is>
          <t>172 Nguyễn Công Hoà, An Biên, Hải Phòng</t>
        </is>
      </c>
      <c r="Q105" s="24" t="inlineStr">
        <is>
          <t>Chờ giao</t>
        </is>
      </c>
      <c r="R105" s="24" t="inlineStr">
        <is>
          <t>Ababy</t>
        </is>
      </c>
      <c r="S105" s="22">
        <f>IF(AND($A105="",$C105=""),"",IF($A105="","Thiếu mã đơn; ","")&amp;IF(COUNTIF($A$2:$A105,$A105)&gt;1,"Trùng mã đơn; ","")&amp;IF(COUNTIF($C$2:$C105,$C105)&gt;1,"Trùng SĐT; ","")&amp;IF(ISNA(MATCH($C105,DATA_MASTER!$D$2:$D$5000,0)),"SĐT chưa đăng ký hội viên; ","")&amp;IF(AND($L105="Đã chuyển khoản",$M105=""),"Thiếu ngày nhận CK; ",""))</f>
        <v/>
      </c>
      <c r="T105" s="24" t="inlineStr">
        <is>
          <t>ĐVVC: [4] Đã giao hàng | Mã VĐ: 27/9/2026 | POD: Shipper riêng</t>
        </is>
      </c>
    </row>
    <row r="106" ht="14.25" customHeight="1" s="40">
      <c r="A106" s="24" t="n">
        <v>105</v>
      </c>
      <c r="B106" s="24" t="inlineStr">
        <is>
          <t>26/9/2026</t>
        </is>
      </c>
      <c r="C106" s="28" t="inlineStr">
        <is>
          <t>0356430928</t>
        </is>
      </c>
      <c r="D106" s="22">
        <f>IF($C106="","",IFERROR(INDEX(DATA_MASTER!$C$2:$C$5000,MATCH($C106,DATA_MASTER!$D$2:$D$5000,0)),"Nguyễn Thị Diệp Anh"))</f>
        <v/>
      </c>
      <c r="E106" s="22">
        <f>IF($C106="","",IFERROR(INDEX(DATA_MASTER!$I$2:$I$5000,MATCH($C106,DATA_MASTER!$D$2:$D$5000,0)),""))</f>
        <v/>
      </c>
      <c r="F106" s="22">
        <f>IF($C106="","",IFERROR(INDEX(DATA_MASTER!$L$2:$L$5000,MATCH($C106,DATA_MASTER!$D$2:$D$5000,0)),"ZM"))</f>
        <v/>
      </c>
      <c r="G106" s="24" t="inlineStr">
        <is>
          <t>Sữa Aptamil 380g</t>
        </is>
      </c>
      <c r="H106" s="24" t="n">
        <v>1</v>
      </c>
      <c r="I106" s="30" t="n">
        <v>320000</v>
      </c>
      <c r="J106" s="23">
        <f>IF(OR($H106="",$I106=""),"",$H106*$I106)</f>
        <v/>
      </c>
      <c r="K106" s="24" t="inlineStr">
        <is>
          <t>Chuyển khoản QR</t>
        </is>
      </c>
      <c r="L106" s="24" t="inlineStr">
        <is>
          <t>Chờ chuyển khoản</t>
        </is>
      </c>
      <c r="M106" s="29" t="inlineStr">
        <is>
          <t>26/9/2026</t>
        </is>
      </c>
      <c r="N106" s="28" t="inlineStr">
        <is>
          <t>0356430928</t>
        </is>
      </c>
      <c r="O106" s="24" t="inlineStr">
        <is>
          <t>Nguyễn Thị Diệp Anh</t>
        </is>
      </c>
      <c r="P106" s="24" t="inlineStr">
        <is>
          <t>25/114 đường 203 Cái Tắt, Phường An Hải,, Hải Phòng</t>
        </is>
      </c>
      <c r="Q106" s="24" t="inlineStr">
        <is>
          <t>Chờ giao</t>
        </is>
      </c>
      <c r="R106" s="24" t="inlineStr">
        <is>
          <t>Ababy</t>
        </is>
      </c>
      <c r="S106" s="22">
        <f>IF(AND($A106="",$C106=""),"",IF($A106="","Thiếu mã đơn; ","")&amp;IF(COUNTIF($A$2:$A106,$A106)&gt;1,"Trùng mã đơn; ","")&amp;IF(COUNTIF($C$2:$C106,$C106)&gt;1,"Trùng SĐT; ","")&amp;IF(ISNA(MATCH($C106,DATA_MASTER!$D$2:$D$5000,0)),"SĐT chưa đăng ký hội viên; ","")&amp;IF(AND($L106="Đã chuyển khoản",$M106=""),"Thiếu ngày nhận CK; ",""))</f>
        <v/>
      </c>
      <c r="T106" s="24" t="inlineStr">
        <is>
          <t>ĐVVC: [4] Đã giao hàng | Mã VĐ: 27/9/2026 | POD: Shipper riêng</t>
        </is>
      </c>
    </row>
    <row r="107" ht="14.25" customHeight="1" s="40">
      <c r="A107" s="24" t="n">
        <v>106</v>
      </c>
      <c r="B107" s="24" t="inlineStr">
        <is>
          <t>26/9/2026</t>
        </is>
      </c>
      <c r="C107" s="28" t="inlineStr">
        <is>
          <t>0937120162</t>
        </is>
      </c>
      <c r="D107" s="22">
        <f>IF($C107="","",IFERROR(INDEX(DATA_MASTER!$C$2:$C$5000,MATCH($C107,DATA_MASTER!$D$2:$D$5000,0)),"Chị Ngân"))</f>
        <v/>
      </c>
      <c r="E107" s="22">
        <f>IF($C107="","",IFERROR(INDEX(DATA_MASTER!$I$2:$I$5000,MATCH($C107,DATA_MASTER!$D$2:$D$5000,0)),""))</f>
        <v/>
      </c>
      <c r="F107" s="22">
        <f>IF($C107="","",IFERROR(INDEX(DATA_MASTER!$L$2:$L$5000,MATCH($C107,DATA_MASTER!$D$2:$D$5000,0)),"ZM"))</f>
        <v/>
      </c>
      <c r="G107" s="24" t="inlineStr">
        <is>
          <t>Sữa Aptamil 380g</t>
        </is>
      </c>
      <c r="H107" s="24" t="n">
        <v>1</v>
      </c>
      <c r="I107" s="30" t="n">
        <v>320000</v>
      </c>
      <c r="J107" s="23">
        <f>IF(OR($H107="",$I107=""),"",$H107*$I107)</f>
        <v/>
      </c>
      <c r="K107" s="24" t="inlineStr">
        <is>
          <t>Chuyển khoản QR</t>
        </is>
      </c>
      <c r="L107" s="24" t="inlineStr">
        <is>
          <t>Đã chuyển khoản</t>
        </is>
      </c>
      <c r="M107" s="29" t="inlineStr">
        <is>
          <t>26/9/2026</t>
        </is>
      </c>
      <c r="N107" s="28" t="inlineStr">
        <is>
          <t>0937120162</t>
        </is>
      </c>
      <c r="O107" s="24" t="inlineStr">
        <is>
          <t>Chị Ngân</t>
        </is>
      </c>
      <c r="P107" s="24" t="inlineStr">
        <is>
          <t>2B, đường số 8, KDC Hồng Phát B, P. An Bình, Cần Thơ</t>
        </is>
      </c>
      <c r="Q107" s="24" t="inlineStr">
        <is>
          <t>Đã giao</t>
        </is>
      </c>
      <c r="R107" s="24" t="inlineStr">
        <is>
          <t>Nous Baby</t>
        </is>
      </c>
      <c r="S107" s="22">
        <f>IF(AND($A107="",$C107=""),"",IF($A107="","Thiếu mã đơn; ","")&amp;IF(COUNTIF($A$2:$A107,$A107)&gt;1,"Trùng mã đơn; ","")&amp;IF(COUNTIF($C$2:$C107,$C107)&gt;1,"Trùng SĐT; ","")&amp;IF(ISNA(MATCH($C107,DATA_MASTER!$D$2:$D$5000,0)),"SĐT chưa đăng ký hội viên; ","")&amp;IF(AND($L107="Đã chuyển khoản",$M107=""),"Thiếu ngày nhận CK; ",""))</f>
        <v/>
      </c>
      <c r="T107" s="24" t="inlineStr">
        <is>
          <t>ĐVVC: Shipper riêng | Mã VĐ: 789642777</t>
        </is>
      </c>
    </row>
    <row r="108" ht="14.25" customHeight="1" s="40">
      <c r="A108" s="24" t="n">
        <v>107</v>
      </c>
      <c r="B108" s="24" t="inlineStr">
        <is>
          <t>26/9/2026</t>
        </is>
      </c>
      <c r="C108" s="28" t="inlineStr">
        <is>
          <t>0845452643</t>
        </is>
      </c>
      <c r="D108" s="22">
        <f>IF($C108="","",IFERROR(INDEX(DATA_MASTER!$C$2:$C$5000,MATCH($C108,DATA_MASTER!$D$2:$D$5000,0)),"Chị Lệ"))</f>
        <v/>
      </c>
      <c r="E108" s="22">
        <f>IF($C108="","",IFERROR(INDEX(DATA_MASTER!$I$2:$I$5000,MATCH($C108,DATA_MASTER!$D$2:$D$5000,0)),""))</f>
        <v/>
      </c>
      <c r="F108" s="22">
        <f>IF($C108="","",IFERROR(INDEX(DATA_MASTER!$L$2:$L$5000,MATCH($C108,DATA_MASTER!$D$2:$D$5000,0)),"ZM"))</f>
        <v/>
      </c>
      <c r="G108" s="24" t="inlineStr">
        <is>
          <t>Sữa Aptamil 380g</t>
        </is>
      </c>
      <c r="H108" s="24" t="n">
        <v>1</v>
      </c>
      <c r="I108" s="30" t="n">
        <v>320000</v>
      </c>
      <c r="J108" s="23">
        <f>IF(OR($H108="",$I108=""),"",$H108*$I108)</f>
        <v/>
      </c>
      <c r="K108" s="24" t="inlineStr">
        <is>
          <t>Chuyển khoản QR</t>
        </is>
      </c>
      <c r="L108" s="24" t="inlineStr">
        <is>
          <t>Đã chuyển khoản</t>
        </is>
      </c>
      <c r="M108" s="29" t="inlineStr">
        <is>
          <t>26/9/2026</t>
        </is>
      </c>
      <c r="N108" s="28" t="inlineStr">
        <is>
          <t>0845452643</t>
        </is>
      </c>
      <c r="O108" s="24" t="inlineStr">
        <is>
          <t>Chị Lệ</t>
        </is>
      </c>
      <c r="P108" s="24" t="inlineStr">
        <is>
          <t>1092/35 Huỳnh Tấn Phát, phường Tân Mỹ, HCM</t>
        </is>
      </c>
      <c r="Q108" s="24" t="inlineStr">
        <is>
          <t>Đã giao</t>
        </is>
      </c>
      <c r="R108" s="24" t="inlineStr">
        <is>
          <t>Voi Con</t>
        </is>
      </c>
      <c r="S108" s="22">
        <f>IF(AND($A108="",$C108=""),"",IF($A108="","Thiếu mã đơn; ","")&amp;IF(COUNTIF($A$2:$A108,$A108)&gt;1,"Trùng mã đơn; ","")&amp;IF(COUNTIF($C$2:$C108,$C108)&gt;1,"Trùng SĐT; ","")&amp;IF(ISNA(MATCH($C108,DATA_MASTER!$D$2:$D$5000,0)),"SĐT chưa đăng ký hội viên; ","")&amp;IF(AND($L108="Đã chuyển khoản",$M108=""),"Thiếu ngày nhận CK; ",""))</f>
        <v/>
      </c>
      <c r="T108" s="24" t="inlineStr">
        <is>
          <t>ĐVVC: J&amp;T | Mã VĐ: 801113333043 | POD: https://drive.google.com/drive/folders/14YqSb9mohXWUMATpBaLAocW_7uBLVQM8</t>
        </is>
      </c>
    </row>
    <row r="109" ht="14.25" customHeight="1" s="40">
      <c r="A109" s="24" t="n">
        <v>108</v>
      </c>
      <c r="B109" s="24" t="inlineStr">
        <is>
          <t>26/9/2026</t>
        </is>
      </c>
      <c r="C109" s="28" t="inlineStr">
        <is>
          <t>0945177359</t>
        </is>
      </c>
      <c r="D109" s="22">
        <f>IF($C109="","",IFERROR(INDEX(DATA_MASTER!$C$2:$C$5000,MATCH($C109,DATA_MASTER!$D$2:$D$5000,0)),"Lưu Thu Thuý"))</f>
        <v/>
      </c>
      <c r="E109" s="22">
        <f>IF($C109="","",IFERROR(INDEX(DATA_MASTER!$I$2:$I$5000,MATCH($C109,DATA_MASTER!$D$2:$D$5000,0)),""))</f>
        <v/>
      </c>
      <c r="F109" s="22">
        <f>IF($C109="","",IFERROR(INDEX(DATA_MASTER!$L$2:$L$5000,MATCH($C109,DATA_MASTER!$D$2:$D$5000,0)),"ZM"))</f>
        <v/>
      </c>
      <c r="G109" s="24" t="inlineStr">
        <is>
          <t>Sữa Aptamil 380g</t>
        </is>
      </c>
      <c r="H109" s="24" t="n">
        <v>1</v>
      </c>
      <c r="I109" s="30" t="n">
        <v>320000</v>
      </c>
      <c r="J109" s="23">
        <f>IF(OR($H109="",$I109=""),"",$H109*$I109)</f>
        <v/>
      </c>
      <c r="K109" s="24" t="inlineStr">
        <is>
          <t>Chuyển khoản QR</t>
        </is>
      </c>
      <c r="L109" s="24" t="inlineStr">
        <is>
          <t>Chờ chuyển khoản</t>
        </is>
      </c>
      <c r="M109" s="29" t="inlineStr">
        <is>
          <t>26/9/2026</t>
        </is>
      </c>
      <c r="N109" s="28" t="inlineStr">
        <is>
          <t>0945177359</t>
        </is>
      </c>
      <c r="O109" s="24" t="inlineStr">
        <is>
          <t>Lưu Thu Thuý</t>
        </is>
      </c>
      <c r="P109" s="24" t="inlineStr">
        <is>
          <t>45 Quyết Tiến, phường Kiến An, Hải Phòng</t>
        </is>
      </c>
      <c r="Q109" s="24" t="inlineStr">
        <is>
          <t>Chờ giao</t>
        </is>
      </c>
      <c r="R109" s="24" t="inlineStr">
        <is>
          <t>Ababy</t>
        </is>
      </c>
      <c r="S109" s="22">
        <f>IF(AND($A109="",$C109=""),"",IF($A109="","Thiếu mã đơn; ","")&amp;IF(COUNTIF($A$2:$A109,$A109)&gt;1,"Trùng mã đơn; ","")&amp;IF(COUNTIF($C$2:$C109,$C109)&gt;1,"Trùng SĐT; ","")&amp;IF(ISNA(MATCH($C109,DATA_MASTER!$D$2:$D$5000,0)),"SĐT chưa đăng ký hội viên; ","")&amp;IF(AND($L109="Đã chuyển khoản",$M109=""),"Thiếu ngày nhận CK; ",""))</f>
        <v/>
      </c>
      <c r="T109" s="24" t="inlineStr">
        <is>
          <t>ĐVVC: [4] Đã giao hàng | Mã VĐ: 27/9/2026 | POD: Shipper riêng</t>
        </is>
      </c>
    </row>
    <row r="110" ht="14.25" customHeight="1" s="40">
      <c r="A110" s="24" t="n">
        <v>109</v>
      </c>
      <c r="B110" s="24" t="inlineStr">
        <is>
          <t>26/9/2026</t>
        </is>
      </c>
      <c r="C110" s="28" t="inlineStr">
        <is>
          <t>0397651911</t>
        </is>
      </c>
      <c r="D110" s="22">
        <f>IF($C110="","",IFERROR(INDEX(DATA_MASTER!$C$2:$C$5000,MATCH($C110,DATA_MASTER!$D$2:$D$5000,0)),"Phạm Hồng Trang"))</f>
        <v/>
      </c>
      <c r="E110" s="22">
        <f>IF($C110="","",IFERROR(INDEX(DATA_MASTER!$I$2:$I$5000,MATCH($C110,DATA_MASTER!$D$2:$D$5000,0)),""))</f>
        <v/>
      </c>
      <c r="F110" s="22">
        <f>IF($C110="","",IFERROR(INDEX(DATA_MASTER!$L$2:$L$5000,MATCH($C110,DATA_MASTER!$D$2:$D$5000,0)),"ZM"))</f>
        <v/>
      </c>
      <c r="G110" s="24" t="inlineStr">
        <is>
          <t>Sữa Aptamil 380g</t>
        </is>
      </c>
      <c r="H110" s="24" t="n">
        <v>1</v>
      </c>
      <c r="I110" s="30" t="n">
        <v>320000</v>
      </c>
      <c r="J110" s="23">
        <f>IF(OR($H110="",$I110=""),"",$H110*$I110)</f>
        <v/>
      </c>
      <c r="K110" s="24" t="inlineStr">
        <is>
          <t>Chuyển khoản QR</t>
        </is>
      </c>
      <c r="L110" s="24" t="inlineStr">
        <is>
          <t>Đã chuyển khoản</t>
        </is>
      </c>
      <c r="M110" s="29" t="inlineStr">
        <is>
          <t>26/9/2026</t>
        </is>
      </c>
      <c r="N110" s="28" t="inlineStr">
        <is>
          <t>0397651911</t>
        </is>
      </c>
      <c r="O110" s="24" t="inlineStr">
        <is>
          <t>Phạm Hồng Trang</t>
        </is>
      </c>
      <c r="P110" s="24" t="inlineStr">
        <is>
          <t>12 Ngõ 960 Ngô gia tự, phường Hải An, Hải Phòng</t>
        </is>
      </c>
      <c r="Q110" s="24" t="inlineStr">
        <is>
          <t>Đã giao</t>
        </is>
      </c>
      <c r="R110" s="24" t="inlineStr">
        <is>
          <t>Ababy</t>
        </is>
      </c>
      <c r="S110" s="22">
        <f>IF(AND($A110="",$C110=""),"",IF($A110="","Thiếu mã đơn; ","")&amp;IF(COUNTIF($A$2:$A110,$A110)&gt;1,"Trùng mã đơn; ","")&amp;IF(COUNTIF($C$2:$C110,$C110)&gt;1,"Trùng SĐT; ","")&amp;IF(ISNA(MATCH($C110,DATA_MASTER!$D$2:$D$5000,0)),"SĐT chưa đăng ký hội viên; ","")&amp;IF(AND($L110="Đã chuyển khoản",$M110=""),"Thiếu ngày nhận CK; ",""))</f>
        <v/>
      </c>
      <c r="T110" s="24" t="inlineStr">
        <is>
          <t>ĐVVC: Shipper riêng | Mã VĐ: 28/9/2026 | POD: https://drive.google.com/file/d/1Lp8Hauaq2GjjoMdYYg8t0t2TlsaEqFRH/view?usp=drive_link</t>
        </is>
      </c>
    </row>
    <row r="111" ht="14.25" customHeight="1" s="40">
      <c r="A111" s="24" t="n">
        <v>110</v>
      </c>
      <c r="B111" s="24" t="inlineStr">
        <is>
          <t>26/9/2026</t>
        </is>
      </c>
      <c r="C111" s="28" t="inlineStr">
        <is>
          <t>0826040493</t>
        </is>
      </c>
      <c r="D111" s="22">
        <f>IF($C111="","",IFERROR(INDEX(DATA_MASTER!$C$2:$C$5000,MATCH($C111,DATA_MASTER!$D$2:$D$5000,0)),"Trần Phương Thảo"))</f>
        <v/>
      </c>
      <c r="E111" s="22">
        <f>IF($C111="","",IFERROR(INDEX(DATA_MASTER!$I$2:$I$5000,MATCH($C111,DATA_MASTER!$D$2:$D$5000,0)),""))</f>
        <v/>
      </c>
      <c r="F111" s="22">
        <f>IF($C111="","",IFERROR(INDEX(DATA_MASTER!$L$2:$L$5000,MATCH($C111,DATA_MASTER!$D$2:$D$5000,0)),"ZM"))</f>
        <v/>
      </c>
      <c r="G111" s="24" t="inlineStr">
        <is>
          <t>Sữa Aptamil 380g</t>
        </is>
      </c>
      <c r="H111" s="24" t="n">
        <v>1</v>
      </c>
      <c r="I111" s="30" t="n">
        <v>320000</v>
      </c>
      <c r="J111" s="23">
        <f>IF(OR($H111="",$I111=""),"",$H111*$I111)</f>
        <v/>
      </c>
      <c r="K111" s="24" t="inlineStr">
        <is>
          <t>Chuyển khoản QR</t>
        </is>
      </c>
      <c r="L111" s="24" t="inlineStr">
        <is>
          <t>Đã chuyển khoản</t>
        </is>
      </c>
      <c r="M111" s="29" t="inlineStr">
        <is>
          <t>26/9/2026</t>
        </is>
      </c>
      <c r="N111" s="28" t="inlineStr">
        <is>
          <t>0826040493</t>
        </is>
      </c>
      <c r="O111" s="24" t="inlineStr">
        <is>
          <t>Trần Phương Thảo</t>
        </is>
      </c>
      <c r="P111" s="24" t="inlineStr">
        <is>
          <t>Thôn 10, xã Vĩnh Thuận, Hải Phòng</t>
        </is>
      </c>
      <c r="Q111" s="24" t="inlineStr">
        <is>
          <t>Đã giao</t>
        </is>
      </c>
      <c r="R111" s="24" t="inlineStr">
        <is>
          <t>Ababy</t>
        </is>
      </c>
      <c r="S111" s="22">
        <f>IF(AND($A111="",$C111=""),"",IF($A111="","Thiếu mã đơn; ","")&amp;IF(COUNTIF($A$2:$A111,$A111)&gt;1,"Trùng mã đơn; ","")&amp;IF(COUNTIF($C$2:$C111,$C111)&gt;1,"Trùng SĐT; ","")&amp;IF(ISNA(MATCH($C111,DATA_MASTER!$D$2:$D$5000,0)),"SĐT chưa đăng ký hội viên; ","")&amp;IF(AND($L111="Đã chuyển khoản",$M111=""),"Thiếu ngày nhận CK; ",""))</f>
        <v/>
      </c>
      <c r="T111" s="24" t="inlineStr">
        <is>
          <t>ĐVVC: Viettel Post | Mã VĐ: 28/9/2026 | POD: https://drive.google.com/file/d/1QAcA2Fp2Bz4T8gctpKkcIjLb3Ntb4LtL/view?usp=drive_link</t>
        </is>
      </c>
    </row>
    <row r="112" ht="14.25" customHeight="1" s="40">
      <c r="A112" s="24" t="n">
        <v>111</v>
      </c>
      <c r="B112" s="24" t="inlineStr">
        <is>
          <t>26/9/2026</t>
        </is>
      </c>
      <c r="C112" s="28" t="inlineStr">
        <is>
          <t>0878714555</t>
        </is>
      </c>
      <c r="D112" s="22">
        <f>IF($C112="","",IFERROR(INDEX(DATA_MASTER!$C$2:$C$5000,MATCH($C112,DATA_MASTER!$D$2:$D$5000,0)),"Nguyễn Ngọc Huyền"))</f>
        <v/>
      </c>
      <c r="E112" s="22">
        <f>IF($C112="","",IFERROR(INDEX(DATA_MASTER!$I$2:$I$5000,MATCH($C112,DATA_MASTER!$D$2:$D$5000,0)),""))</f>
        <v/>
      </c>
      <c r="F112" s="22">
        <f>IF($C112="","",IFERROR(INDEX(DATA_MASTER!$L$2:$L$5000,MATCH($C112,DATA_MASTER!$D$2:$D$5000,0)),"ZM"))</f>
        <v/>
      </c>
      <c r="G112" s="24" t="inlineStr">
        <is>
          <t>Sữa Aptamil 380g</t>
        </is>
      </c>
      <c r="H112" s="24" t="n">
        <v>1</v>
      </c>
      <c r="I112" s="30" t="n">
        <v>320000</v>
      </c>
      <c r="J112" s="23">
        <f>IF(OR($H112="",$I112=""),"",$H112*$I112)</f>
        <v/>
      </c>
      <c r="K112" s="24" t="inlineStr">
        <is>
          <t>Chuyển khoản QR</t>
        </is>
      </c>
      <c r="L112" s="24" t="inlineStr">
        <is>
          <t>Đã chuyển khoản</t>
        </is>
      </c>
      <c r="M112" s="29" t="inlineStr">
        <is>
          <t>26/9/2026</t>
        </is>
      </c>
      <c r="N112" s="28" t="inlineStr">
        <is>
          <t>0878714555</t>
        </is>
      </c>
      <c r="O112" s="24" t="inlineStr">
        <is>
          <t>Nguyễn Ngọc Huyền</t>
        </is>
      </c>
      <c r="P112" s="24" t="inlineStr">
        <is>
          <t>571 Hà Lâm, Phố Đoàn Kết, Hạ Long</t>
        </is>
      </c>
      <c r="Q112" s="24" t="inlineStr">
        <is>
          <t>Đã giao</t>
        </is>
      </c>
      <c r="R112" s="24" t="inlineStr">
        <is>
          <t>Ababy</t>
        </is>
      </c>
      <c r="S112" s="22">
        <f>IF(AND($A112="",$C112=""),"",IF($A112="","Thiếu mã đơn; ","")&amp;IF(COUNTIF($A$2:$A112,$A112)&gt;1,"Trùng mã đơn; ","")&amp;IF(COUNTIF($C$2:$C112,$C112)&gt;1,"Trùng SĐT; ","")&amp;IF(ISNA(MATCH($C112,DATA_MASTER!$D$2:$D$5000,0)),"SĐT chưa đăng ký hội viên; ","")&amp;IF(AND($L112="Đã chuyển khoản",$M112=""),"Thiếu ngày nhận CK; ",""))</f>
        <v/>
      </c>
      <c r="T112" s="24" t="inlineStr">
        <is>
          <t>ĐVVC: Viettel Post | Mã VĐ: 28/9/2026 | POD: https://drive.google.com/file/d/14y8xj9suRPAePsHaw8jijLK31uoalC3w/view?usp=drive_link</t>
        </is>
      </c>
    </row>
    <row r="113" ht="14.25" customHeight="1" s="40">
      <c r="A113" s="24" t="n">
        <v>112</v>
      </c>
      <c r="B113" s="24" t="inlineStr">
        <is>
          <t>26/9/2026</t>
        </is>
      </c>
      <c r="C113" s="28" t="inlineStr">
        <is>
          <t>0783171106</t>
        </is>
      </c>
      <c r="D113" s="22">
        <f>IF($C113="","",IFERROR(INDEX(DATA_MASTER!$C$2:$C$5000,MATCH($C113,DATA_MASTER!$D$2:$D$5000,0)),"Vũ Ngọc Khánh"))</f>
        <v/>
      </c>
      <c r="E113" s="22">
        <f>IF($C113="","",IFERROR(INDEX(DATA_MASTER!$I$2:$I$5000,MATCH($C113,DATA_MASTER!$D$2:$D$5000,0)),""))</f>
        <v/>
      </c>
      <c r="F113" s="22">
        <f>IF($C113="","",IFERROR(INDEX(DATA_MASTER!$L$2:$L$5000,MATCH($C113,DATA_MASTER!$D$2:$D$5000,0)),"ZM"))</f>
        <v/>
      </c>
      <c r="G113" s="24" t="inlineStr">
        <is>
          <t>Sữa Aptamil 380g</t>
        </is>
      </c>
      <c r="H113" s="24" t="n">
        <v>1</v>
      </c>
      <c r="I113" s="30" t="n">
        <v>320000</v>
      </c>
      <c r="J113" s="23">
        <f>IF(OR($H113="",$I113=""),"",$H113*$I113)</f>
        <v/>
      </c>
      <c r="K113" s="24" t="inlineStr">
        <is>
          <t>Chuyển khoản QR</t>
        </is>
      </c>
      <c r="L113" s="24" t="inlineStr">
        <is>
          <t>Đã chuyển khoản</t>
        </is>
      </c>
      <c r="M113" s="29" t="inlineStr">
        <is>
          <t>26/9/2026</t>
        </is>
      </c>
      <c r="N113" s="28" t="inlineStr">
        <is>
          <t>0783171106</t>
        </is>
      </c>
      <c r="O113" s="24" t="inlineStr">
        <is>
          <t>Vũ Ngọc Khánh</t>
        </is>
      </c>
      <c r="P113" s="24" t="inlineStr">
        <is>
          <t>493 Cách Hạ, Phường An Dương,, Hải Phòng</t>
        </is>
      </c>
      <c r="Q113" s="24" t="inlineStr">
        <is>
          <t>Đã giao</t>
        </is>
      </c>
      <c r="R113" s="24" t="inlineStr">
        <is>
          <t>Ababy</t>
        </is>
      </c>
      <c r="S113" s="22">
        <f>IF(AND($A113="",$C113=""),"",IF($A113="","Thiếu mã đơn; ","")&amp;IF(COUNTIF($A$2:$A113,$A113)&gt;1,"Trùng mã đơn; ","")&amp;IF(COUNTIF($C$2:$C113,$C113)&gt;1,"Trùng SĐT; ","")&amp;IF(ISNA(MATCH($C113,DATA_MASTER!$D$2:$D$5000,0)),"SĐT chưa đăng ký hội viên; ","")&amp;IF(AND($L113="Đã chuyển khoản",$M113=""),"Thiếu ngày nhận CK; ",""))</f>
        <v/>
      </c>
      <c r="T113" s="24" t="inlineStr">
        <is>
          <t>ĐVVC: Shipper riêng | Mã VĐ: 28/9/2026 | POD: https://drive.google.com/file/d/1kiv3zf6JksY2KDUdzS29bD0Pf3_3VFpg/view?usp=drive_link</t>
        </is>
      </c>
    </row>
    <row r="114" ht="14.25" customHeight="1" s="40">
      <c r="A114" s="24" t="n">
        <v>113</v>
      </c>
      <c r="B114" s="24" t="inlineStr">
        <is>
          <t>26/9/2026</t>
        </is>
      </c>
      <c r="C114" s="28" t="inlineStr">
        <is>
          <t>0352976805</t>
        </is>
      </c>
      <c r="D114" s="22">
        <f>IF($C114="","",IFERROR(INDEX(DATA_MASTER!$C$2:$C$5000,MATCH($C114,DATA_MASTER!$D$2:$D$5000,0)),"Nguyễn Ngọc Yến"))</f>
        <v/>
      </c>
      <c r="E114" s="22">
        <f>IF($C114="","",IFERROR(INDEX(DATA_MASTER!$I$2:$I$5000,MATCH($C114,DATA_MASTER!$D$2:$D$5000,0)),""))</f>
        <v/>
      </c>
      <c r="F114" s="22">
        <f>IF($C114="","",IFERROR(INDEX(DATA_MASTER!$L$2:$L$5000,MATCH($C114,DATA_MASTER!$D$2:$D$5000,0)),"ZM"))</f>
        <v/>
      </c>
      <c r="G114" s="24" t="inlineStr">
        <is>
          <t>Sữa Aptamil 380g</t>
        </is>
      </c>
      <c r="H114" s="24" t="n">
        <v>1</v>
      </c>
      <c r="I114" s="30" t="n">
        <v>320000</v>
      </c>
      <c r="J114" s="23">
        <f>IF(OR($H114="",$I114=""),"",$H114*$I114)</f>
        <v/>
      </c>
      <c r="K114" s="24" t="inlineStr">
        <is>
          <t>Chuyển khoản QR</t>
        </is>
      </c>
      <c r="L114" s="24" t="inlineStr">
        <is>
          <t>Đã chuyển khoản</t>
        </is>
      </c>
      <c r="M114" s="29" t="inlineStr">
        <is>
          <t>26/9/2026</t>
        </is>
      </c>
      <c r="N114" s="28" t="inlineStr">
        <is>
          <t>0352976805</t>
        </is>
      </c>
      <c r="O114" s="24" t="inlineStr">
        <is>
          <t>Nguyễn Ngọc Yến</t>
        </is>
      </c>
      <c r="P114" s="24" t="inlineStr">
        <is>
          <t>158 Phố Đông Lập, Phường Kiến An, Hải Phòng</t>
        </is>
      </c>
      <c r="Q114" s="24" t="inlineStr">
        <is>
          <t>Đã giao</t>
        </is>
      </c>
      <c r="R114" s="24" t="inlineStr">
        <is>
          <t>Ababy</t>
        </is>
      </c>
      <c r="S114" s="22">
        <f>IF(AND($A114="",$C114=""),"",IF($A114="","Thiếu mã đơn; ","")&amp;IF(COUNTIF($A$2:$A114,$A114)&gt;1,"Trùng mã đơn; ","")&amp;IF(COUNTIF($C$2:$C114,$C114)&gt;1,"Trùng SĐT; ","")&amp;IF(ISNA(MATCH($C114,DATA_MASTER!$D$2:$D$5000,0)),"SĐT chưa đăng ký hội viên; ","")&amp;IF(AND($L114="Đã chuyển khoản",$M114=""),"Thiếu ngày nhận CK; ",""))</f>
        <v/>
      </c>
      <c r="T114" s="24" t="inlineStr">
        <is>
          <t>ĐVVC: Shipper riêng | Mã VĐ: 28/9/2026 | POD: https://drive.google.com/file/d/186EAb1Gf4qPEf8svt_qMnjlCrzSWW1Cy/view?usp=drive_link</t>
        </is>
      </c>
    </row>
    <row r="115" ht="14.25" customHeight="1" s="40">
      <c r="A115" s="24" t="n">
        <v>114</v>
      </c>
      <c r="B115" s="24" t="inlineStr">
        <is>
          <t>26/9/2026</t>
        </is>
      </c>
      <c r="C115" s="28" t="inlineStr">
        <is>
          <t>0981250298</t>
        </is>
      </c>
      <c r="D115" s="22">
        <f>IF($C115="","",IFERROR(INDEX(DATA_MASTER!$C$2:$C$5000,MATCH($C115,DATA_MASTER!$D$2:$D$5000,0)),"Chị Duyên"))</f>
        <v/>
      </c>
      <c r="E115" s="22">
        <f>IF($C115="","",IFERROR(INDEX(DATA_MASTER!$I$2:$I$5000,MATCH($C115,DATA_MASTER!$D$2:$D$5000,0)),""))</f>
        <v/>
      </c>
      <c r="F115" s="22">
        <f>IF($C115="","",IFERROR(INDEX(DATA_MASTER!$L$2:$L$5000,MATCH($C115,DATA_MASTER!$D$2:$D$5000,0)),"ZM"))</f>
        <v/>
      </c>
      <c r="G115" s="24" t="inlineStr">
        <is>
          <t>Sữa Aptamil 380g</t>
        </is>
      </c>
      <c r="H115" s="24" t="n">
        <v>1</v>
      </c>
      <c r="I115" s="30" t="n">
        <v>320000</v>
      </c>
      <c r="J115" s="23">
        <f>IF(OR($H115="",$I115=""),"",$H115*$I115)</f>
        <v/>
      </c>
      <c r="K115" s="24" t="inlineStr">
        <is>
          <t>Chuyển khoản QR</t>
        </is>
      </c>
      <c r="L115" s="24" t="inlineStr">
        <is>
          <t>Đã chuyển khoản</t>
        </is>
      </c>
      <c r="M115" s="29" t="inlineStr">
        <is>
          <t>26/9/2026</t>
        </is>
      </c>
      <c r="N115" s="28" t="inlineStr">
        <is>
          <t>0981250298</t>
        </is>
      </c>
      <c r="O115" s="24" t="inlineStr">
        <is>
          <t>Chị Duyên</t>
        </is>
      </c>
      <c r="P115" s="24" t="inlineStr">
        <is>
          <t>Số nhà 3, ngõ 68 Hoàng Mai, Phường An Hải, Hải Phòng</t>
        </is>
      </c>
      <c r="Q115" s="24" t="inlineStr">
        <is>
          <t>Đã giao</t>
        </is>
      </c>
      <c r="R115" s="24" t="inlineStr">
        <is>
          <t>Ababy</t>
        </is>
      </c>
      <c r="S115" s="22">
        <f>IF(AND($A115="",$C115=""),"",IF($A115="","Thiếu mã đơn; ","")&amp;IF(COUNTIF($A$2:$A115,$A115)&gt;1,"Trùng mã đơn; ","")&amp;IF(COUNTIF($C$2:$C115,$C115)&gt;1,"Trùng SĐT; ","")&amp;IF(ISNA(MATCH($C115,DATA_MASTER!$D$2:$D$5000,0)),"SĐT chưa đăng ký hội viên; ","")&amp;IF(AND($L115="Đã chuyển khoản",$M115=""),"Thiếu ngày nhận CK; ",""))</f>
        <v/>
      </c>
      <c r="T115" s="24" t="inlineStr">
        <is>
          <t>ĐVVC: Shipper riêng | Mã VĐ: 28/9/2026 | POD: https://drive.google.com/file/d/1hVS_l1nlIbKPHOuf44wYxMMb2cJWpo1J/view?usp=drive_link</t>
        </is>
      </c>
    </row>
    <row r="116" ht="14.25" customHeight="1" s="40">
      <c r="A116" s="24" t="n">
        <v>115</v>
      </c>
      <c r="B116" s="24" t="inlineStr">
        <is>
          <t>26/9/2026</t>
        </is>
      </c>
      <c r="C116" s="28" t="inlineStr">
        <is>
          <t>0787278432</t>
        </is>
      </c>
      <c r="D116" s="22">
        <f>IF($C116="","",IFERROR(INDEX(DATA_MASTER!$C$2:$C$5000,MATCH($C116,DATA_MASTER!$D$2:$D$5000,0)),"Thu Huyền"))</f>
        <v/>
      </c>
      <c r="E116" s="22">
        <f>IF($C116="","",IFERROR(INDEX(DATA_MASTER!$I$2:$I$5000,MATCH($C116,DATA_MASTER!$D$2:$D$5000,0)),""))</f>
        <v/>
      </c>
      <c r="F116" s="22">
        <f>IF($C116="","",IFERROR(INDEX(DATA_MASTER!$L$2:$L$5000,MATCH($C116,DATA_MASTER!$D$2:$D$5000,0)),"ZM"))</f>
        <v/>
      </c>
      <c r="G116" s="24" t="inlineStr">
        <is>
          <t>Sữa Aptamil 380g</t>
        </is>
      </c>
      <c r="H116" s="24" t="n">
        <v>1</v>
      </c>
      <c r="I116" s="30" t="n">
        <v>320000</v>
      </c>
      <c r="J116" s="23">
        <f>IF(OR($H116="",$I116=""),"",$H116*$I116)</f>
        <v/>
      </c>
      <c r="K116" s="24" t="inlineStr">
        <is>
          <t>Chuyển khoản QR</t>
        </is>
      </c>
      <c r="L116" s="24" t="inlineStr">
        <is>
          <t>Đã chuyển khoản</t>
        </is>
      </c>
      <c r="M116" s="29" t="inlineStr">
        <is>
          <t>26/9/2026</t>
        </is>
      </c>
      <c r="N116" s="28" t="inlineStr">
        <is>
          <t>0787278432</t>
        </is>
      </c>
      <c r="O116" s="24" t="inlineStr">
        <is>
          <t>Thu Huyền</t>
        </is>
      </c>
      <c r="P116" s="24" t="inlineStr">
        <is>
          <t>119/229 Miếu hai xã, Phường Lê Chân, Hải Phòng</t>
        </is>
      </c>
      <c r="Q116" s="24" t="inlineStr">
        <is>
          <t>Đã giao</t>
        </is>
      </c>
      <c r="R116" s="24" t="inlineStr">
        <is>
          <t>Ababy</t>
        </is>
      </c>
      <c r="S116" s="22">
        <f>IF(AND($A116="",$C116=""),"",IF($A116="","Thiếu mã đơn; ","")&amp;IF(COUNTIF($A$2:$A116,$A116)&gt;1,"Trùng mã đơn; ","")&amp;IF(COUNTIF($C$2:$C116,$C116)&gt;1,"Trùng SĐT; ","")&amp;IF(ISNA(MATCH($C116,DATA_MASTER!$D$2:$D$5000,0)),"SĐT chưa đăng ký hội viên; ","")&amp;IF(AND($L116="Đã chuyển khoản",$M116=""),"Thiếu ngày nhận CK; ",""))</f>
        <v/>
      </c>
      <c r="T116" s="24" t="inlineStr">
        <is>
          <t>ĐVVC: Shipper riêng | Mã VĐ: 28/9/2026 | POD: https://drive.google.com/file/d/1VoZVCRc9x6RzusLJmJAoyTDSgwc6HUjQ/view?usp=drive_link</t>
        </is>
      </c>
    </row>
    <row r="117" ht="14.25" customHeight="1" s="40">
      <c r="A117" s="24" t="n">
        <v>116</v>
      </c>
      <c r="B117" s="24" t="inlineStr">
        <is>
          <t>26/9/2026</t>
        </is>
      </c>
      <c r="C117" s="28" t="inlineStr">
        <is>
          <t>0389664689</t>
        </is>
      </c>
      <c r="D117" s="22">
        <f>IF($C117="","",IFERROR(INDEX(DATA_MASTER!$C$2:$C$5000,MATCH($C117,DATA_MASTER!$D$2:$D$5000,0)),"Trần Thị Vân"))</f>
        <v/>
      </c>
      <c r="E117" s="22">
        <f>IF($C117="","",IFERROR(INDEX(DATA_MASTER!$I$2:$I$5000,MATCH($C117,DATA_MASTER!$D$2:$D$5000,0)),""))</f>
        <v/>
      </c>
      <c r="F117" s="22">
        <f>IF($C117="","",IFERROR(INDEX(DATA_MASTER!$L$2:$L$5000,MATCH($C117,DATA_MASTER!$D$2:$D$5000,0)),"ZM"))</f>
        <v/>
      </c>
      <c r="G117" s="24" t="inlineStr">
        <is>
          <t>Sữa Aptamil 380g</t>
        </is>
      </c>
      <c r="H117" s="24" t="n">
        <v>1</v>
      </c>
      <c r="I117" s="30" t="n">
        <v>320000</v>
      </c>
      <c r="J117" s="23">
        <f>IF(OR($H117="",$I117=""),"",$H117*$I117)</f>
        <v/>
      </c>
      <c r="K117" s="24" t="inlineStr">
        <is>
          <t>Chuyển khoản QR</t>
        </is>
      </c>
      <c r="L117" s="24" t="inlineStr">
        <is>
          <t>Đã chuyển khoản</t>
        </is>
      </c>
      <c r="M117" s="29" t="inlineStr">
        <is>
          <t>26/9/2026</t>
        </is>
      </c>
      <c r="N117" s="28" t="inlineStr">
        <is>
          <t>0389664689</t>
        </is>
      </c>
      <c r="O117" s="24" t="inlineStr">
        <is>
          <t>Trần Thị Vân</t>
        </is>
      </c>
      <c r="P117" s="24" t="inlineStr">
        <is>
          <t>23/57/180 Trường Chinh, Phường Kiến An, Hải Phòng</t>
        </is>
      </c>
      <c r="Q117" s="24" t="inlineStr">
        <is>
          <t>Đã giao</t>
        </is>
      </c>
      <c r="R117" s="24" t="inlineStr">
        <is>
          <t>Ababy</t>
        </is>
      </c>
      <c r="S117" s="22">
        <f>IF(AND($A117="",$C117=""),"",IF($A117="","Thiếu mã đơn; ","")&amp;IF(COUNTIF($A$2:$A117,$A117)&gt;1,"Trùng mã đơn; ","")&amp;IF(COUNTIF($C$2:$C117,$C117)&gt;1,"Trùng SĐT; ","")&amp;IF(ISNA(MATCH($C117,DATA_MASTER!$D$2:$D$5000,0)),"SĐT chưa đăng ký hội viên; ","")&amp;IF(AND($L117="Đã chuyển khoản",$M117=""),"Thiếu ngày nhận CK; ",""))</f>
        <v/>
      </c>
      <c r="T117" s="24" t="inlineStr">
        <is>
          <t>ĐVVC: Shipper riêng | Mã VĐ: 28/9/2026 | POD: https://drive.google.com/file/d/1rbZflbd8sKptrsBL8kI9nKWwRU2-z2JM/view?usp=drive_link</t>
        </is>
      </c>
    </row>
    <row r="118" ht="14.25" customHeight="1" s="40">
      <c r="A118" s="24" t="n">
        <v>117</v>
      </c>
      <c r="B118" s="24" t="inlineStr">
        <is>
          <t>26/9/2026</t>
        </is>
      </c>
      <c r="C118" s="28" t="inlineStr">
        <is>
          <t>0866521088</t>
        </is>
      </c>
      <c r="D118" s="22">
        <f>IF($C118="","",IFERROR(INDEX(DATA_MASTER!$C$2:$C$5000,MATCH($C118,DATA_MASTER!$D$2:$D$5000,0)),"Nguyễn Thị Hậu"))</f>
        <v/>
      </c>
      <c r="E118" s="22">
        <f>IF($C118="","",IFERROR(INDEX(DATA_MASTER!$I$2:$I$5000,MATCH($C118,DATA_MASTER!$D$2:$D$5000,0)),""))</f>
        <v/>
      </c>
      <c r="F118" s="22">
        <f>IF($C118="","",IFERROR(INDEX(DATA_MASTER!$L$2:$L$5000,MATCH($C118,DATA_MASTER!$D$2:$D$5000,0)),"ZM"))</f>
        <v/>
      </c>
      <c r="G118" s="24" t="inlineStr">
        <is>
          <t>Sữa Aptamil 380g</t>
        </is>
      </c>
      <c r="H118" s="24" t="n">
        <v>1</v>
      </c>
      <c r="I118" s="30" t="n">
        <v>320000</v>
      </c>
      <c r="J118" s="23">
        <f>IF(OR($H118="",$I118=""),"",$H118*$I118)</f>
        <v/>
      </c>
      <c r="K118" s="24" t="inlineStr">
        <is>
          <t>Chuyển khoản QR</t>
        </is>
      </c>
      <c r="L118" s="24" t="inlineStr">
        <is>
          <t>Đã chuyển khoản</t>
        </is>
      </c>
      <c r="M118" s="29" t="inlineStr">
        <is>
          <t>26/9/2026</t>
        </is>
      </c>
      <c r="N118" s="28" t="inlineStr">
        <is>
          <t>0866521088</t>
        </is>
      </c>
      <c r="O118" s="24" t="inlineStr">
        <is>
          <t>Nguyễn Thị Hậu</t>
        </is>
      </c>
      <c r="P118" s="24" t="inlineStr">
        <is>
          <t>Số 4 Lô 25 Khu Tái Định Cư Vinhomes, Hải Phòng</t>
        </is>
      </c>
      <c r="Q118" s="24" t="inlineStr">
        <is>
          <t>Đã giao</t>
        </is>
      </c>
      <c r="R118" s="24" t="inlineStr">
        <is>
          <t>Ababy</t>
        </is>
      </c>
      <c r="S118" s="22">
        <f>IF(AND($A118="",$C118=""),"",IF($A118="","Thiếu mã đơn; ","")&amp;IF(COUNTIF($A$2:$A118,$A118)&gt;1,"Trùng mã đơn; ","")&amp;IF(COUNTIF($C$2:$C118,$C118)&gt;1,"Trùng SĐT; ","")&amp;IF(ISNA(MATCH($C118,DATA_MASTER!$D$2:$D$5000,0)),"SĐT chưa đăng ký hội viên; ","")&amp;IF(AND($L118="Đã chuyển khoản",$M118=""),"Thiếu ngày nhận CK; ",""))</f>
        <v/>
      </c>
      <c r="T118" s="24" t="inlineStr">
        <is>
          <t>ĐVVC: Shipper riêng | Mã VĐ: 28/9/2026 | POD: https://drive.google.com/file/d/1jF3e4XkprbCvuWl92MaP7vDDacmhmVYE/view?usp=drive_link</t>
        </is>
      </c>
    </row>
    <row r="119" ht="14.25" customHeight="1" s="40">
      <c r="A119" s="24" t="n">
        <v>118</v>
      </c>
      <c r="B119" s="24" t="inlineStr">
        <is>
          <t>26/9/2026</t>
        </is>
      </c>
      <c r="C119" s="28" t="inlineStr">
        <is>
          <t>0906154194</t>
        </is>
      </c>
      <c r="D119" s="22">
        <f>IF($C119="","",IFERROR(INDEX(DATA_MASTER!$C$2:$C$5000,MATCH($C119,DATA_MASTER!$D$2:$D$5000,0)),"Thanh Toan"))</f>
        <v/>
      </c>
      <c r="E119" s="22">
        <f>IF($C119="","",IFERROR(INDEX(DATA_MASTER!$I$2:$I$5000,MATCH($C119,DATA_MASTER!$D$2:$D$5000,0)),""))</f>
        <v/>
      </c>
      <c r="F119" s="22">
        <f>IF($C119="","",IFERROR(INDEX(DATA_MASTER!$L$2:$L$5000,MATCH($C119,DATA_MASTER!$D$2:$D$5000,0)),"ZM"))</f>
        <v/>
      </c>
      <c r="G119" s="24" t="inlineStr">
        <is>
          <t>Sữa Aptamil 380g</t>
        </is>
      </c>
      <c r="H119" s="24" t="n">
        <v>1</v>
      </c>
      <c r="I119" s="30" t="n">
        <v>320000</v>
      </c>
      <c r="J119" s="23">
        <f>IF(OR($H119="",$I119=""),"",$H119*$I119)</f>
        <v/>
      </c>
      <c r="K119" s="24" t="inlineStr">
        <is>
          <t>Chuyển khoản QR</t>
        </is>
      </c>
      <c r="L119" s="24" t="inlineStr">
        <is>
          <t>Đã chuyển khoản</t>
        </is>
      </c>
      <c r="M119" s="29" t="inlineStr">
        <is>
          <t>26/9/2026</t>
        </is>
      </c>
      <c r="N119" s="28" t="inlineStr">
        <is>
          <t>0906154194</t>
        </is>
      </c>
      <c r="O119" s="24" t="inlineStr">
        <is>
          <t>Thanh Toan</t>
        </is>
      </c>
      <c r="P119" s="24" t="inlineStr">
        <is>
          <t>10/522 Tổ Dân Phố Hoàng Mai, An Hải, Hải Phòng</t>
        </is>
      </c>
      <c r="Q119" s="24" t="inlineStr">
        <is>
          <t>Đã giao</t>
        </is>
      </c>
      <c r="R119" s="24" t="inlineStr">
        <is>
          <t>Ababy</t>
        </is>
      </c>
      <c r="S119" s="22">
        <f>IF(AND($A119="",$C119=""),"",IF($A119="","Thiếu mã đơn; ","")&amp;IF(COUNTIF($A$2:$A119,$A119)&gt;1,"Trùng mã đơn; ","")&amp;IF(COUNTIF($C$2:$C119,$C119)&gt;1,"Trùng SĐT; ","")&amp;IF(ISNA(MATCH($C119,DATA_MASTER!$D$2:$D$5000,0)),"SĐT chưa đăng ký hội viên; ","")&amp;IF(AND($L119="Đã chuyển khoản",$M119=""),"Thiếu ngày nhận CK; ",""))</f>
        <v/>
      </c>
      <c r="T119" s="24" t="inlineStr">
        <is>
          <t>ĐVVC: Shipper riêng | Mã VĐ: 28/9/2026 | POD: https://drive.google.com/file/d/1NL-E_SX2fcBr4lKDx6TbgN7KcdMJV_1s/view?usp=drive_link</t>
        </is>
      </c>
    </row>
    <row r="120" ht="14.25" customHeight="1" s="40">
      <c r="A120" s="24" t="n">
        <v>119</v>
      </c>
      <c r="B120" s="24" t="inlineStr">
        <is>
          <t>28/9/2026</t>
        </is>
      </c>
      <c r="C120" s="28" t="inlineStr">
        <is>
          <t>0816669967</t>
        </is>
      </c>
      <c r="D120" s="22">
        <f>IF($C120="","",IFERROR(INDEX(DATA_MASTER!$C$2:$C$5000,MATCH($C120,DATA_MASTER!$D$2:$D$5000,0)),"Chị Phương"))</f>
        <v/>
      </c>
      <c r="E120" s="22">
        <f>IF($C120="","",IFERROR(INDEX(DATA_MASTER!$I$2:$I$5000,MATCH($C120,DATA_MASTER!$D$2:$D$5000,0)),""))</f>
        <v/>
      </c>
      <c r="F120" s="22">
        <f>IF($C120="","",IFERROR(INDEX(DATA_MASTER!$L$2:$L$5000,MATCH($C120,DATA_MASTER!$D$2:$D$5000,0)),"ZM"))</f>
        <v/>
      </c>
      <c r="G120" s="24" t="inlineStr">
        <is>
          <t>Sữa Aptamil 380g</t>
        </is>
      </c>
      <c r="H120" s="24" t="n">
        <v>1</v>
      </c>
      <c r="I120" s="30" t="n">
        <v>320000</v>
      </c>
      <c r="J120" s="23">
        <f>IF(OR($H120="",$I120=""),"",$H120*$I120)</f>
        <v/>
      </c>
      <c r="K120" s="24" t="inlineStr">
        <is>
          <t>Chuyển khoản QR</t>
        </is>
      </c>
      <c r="L120" s="24" t="inlineStr">
        <is>
          <t>Chờ chuyển khoản</t>
        </is>
      </c>
      <c r="M120" s="29" t="inlineStr">
        <is>
          <t>28/9/2026</t>
        </is>
      </c>
      <c r="N120" s="28" t="inlineStr">
        <is>
          <t>0816669967</t>
        </is>
      </c>
      <c r="O120" s="24" t="inlineStr">
        <is>
          <t>Chị Phương</t>
        </is>
      </c>
      <c r="P120" s="24" t="inlineStr">
        <is>
          <t>11b2 tổ 10 khu phố 11 phường an bình (trấn biên mới), Đồng Nai</t>
        </is>
      </c>
      <c r="Q120" s="24" t="inlineStr">
        <is>
          <t>Chờ giao</t>
        </is>
      </c>
      <c r="R120" s="24" t="inlineStr">
        <is>
          <t>Long Châu</t>
        </is>
      </c>
      <c r="S120" s="22">
        <f>IF(AND($A120="",$C120=""),"",IF($A120="","Thiếu mã đơn; ","")&amp;IF(COUNTIF($A$2:$A120,$A120)&gt;1,"Trùng mã đơn; ","")&amp;IF(COUNTIF($C$2:$C120,$C120)&gt;1,"Trùng SĐT; ","")&amp;IF(ISNA(MATCH($C120,DATA_MASTER!$D$2:$D$5000,0)),"SĐT chưa đăng ký hội viên; ","")&amp;IF(AND($L120="Đã chuyển khoản",$M120=""),"Thiếu ngày nhận CK; ",""))</f>
        <v/>
      </c>
      <c r="T120" s="24" t="inlineStr"/>
    </row>
    <row r="121" ht="14.25" customHeight="1" s="40">
      <c r="A121" s="24" t="n">
        <v>120</v>
      </c>
      <c r="B121" s="24" t="inlineStr"/>
      <c r="C121" s="28" t="inlineStr">
        <is>
          <t>0969869147</t>
        </is>
      </c>
      <c r="D121" s="22">
        <f>IF($C121="","",IFERROR(INDEX(DATA_MASTER!$C$2:$C$5000,MATCH($C121,DATA_MASTER!$D$2:$D$5000,0)),"Chị Trâm"))</f>
        <v/>
      </c>
      <c r="E121" s="22">
        <f>IF($C121="","",IFERROR(INDEX(DATA_MASTER!$I$2:$I$5000,MATCH($C121,DATA_MASTER!$D$2:$D$5000,0)),""))</f>
        <v/>
      </c>
      <c r="F121" s="22">
        <f>IF($C121="","",IFERROR(INDEX(DATA_MASTER!$L$2:$L$5000,MATCH($C121,DATA_MASTER!$D$2:$D$5000,0)),"ZM"))</f>
        <v/>
      </c>
      <c r="G121" s="24" t="inlineStr">
        <is>
          <t>Sữa Aptamil 380g</t>
        </is>
      </c>
      <c r="H121" s="24" t="n">
        <v>1</v>
      </c>
      <c r="I121" s="30" t="n">
        <v>320000</v>
      </c>
      <c r="J121" s="23">
        <f>IF(OR($H121="",$I121=""),"",$H121*$I121)</f>
        <v/>
      </c>
      <c r="K121" s="24" t="inlineStr">
        <is>
          <t>Chuyển khoản QR</t>
        </is>
      </c>
      <c r="L121" s="24" t="inlineStr">
        <is>
          <t>Đã chuyển khoản</t>
        </is>
      </c>
      <c r="M121" s="29" t="inlineStr"/>
      <c r="N121" s="28" t="inlineStr">
        <is>
          <t>0969869147</t>
        </is>
      </c>
      <c r="O121" s="24" t="inlineStr">
        <is>
          <t>Chị Trâm</t>
        </is>
      </c>
      <c r="P121" s="24" t="inlineStr">
        <is>
          <t>Gần nhà thờ Thành Tín, hẻm 144, tổ 1, Suối Quýt, nhà cổng cam sát tạp hoá Tuyến, Xã Xuân Đường, Đồng Nai</t>
        </is>
      </c>
      <c r="Q121" s="24" t="inlineStr">
        <is>
          <t>Đã giao</t>
        </is>
      </c>
      <c r="R121" s="24" t="inlineStr">
        <is>
          <t>Long Châu</t>
        </is>
      </c>
      <c r="S121" s="22">
        <f>IF(AND($A121="",$C121=""),"",IF($A121="","Thiếu mã đơn; ","")&amp;IF(COUNTIF($A$2:$A121,$A121)&gt;1,"Trùng mã đơn; ","")&amp;IF(COUNTIF($C$2:$C121,$C121)&gt;1,"Trùng SĐT; ","")&amp;IF(ISNA(MATCH($C121,DATA_MASTER!$D$2:$D$5000,0)),"SĐT chưa đăng ký hội viên; ","")&amp;IF(AND($L121="Đã chuyển khoản",$M121=""),"Thiếu ngày nhận CK; ",""))</f>
        <v/>
      </c>
      <c r="T121" s="24" t="inlineStr"/>
    </row>
    <row r="122" ht="14.25" customHeight="1" s="40">
      <c r="A122" s="24" t="n">
        <v>121</v>
      </c>
      <c r="B122" s="24" t="inlineStr">
        <is>
          <t>28/9/2026</t>
        </is>
      </c>
      <c r="C122" s="28" t="inlineStr">
        <is>
          <t>0385334386</t>
        </is>
      </c>
      <c r="D122" s="22">
        <f>IF($C122="","",IFERROR(INDEX(DATA_MASTER!$C$2:$C$5000,MATCH($C122,DATA_MASTER!$D$2:$D$5000,0)),"Ánh Phương"))</f>
        <v/>
      </c>
      <c r="E122" s="22">
        <f>IF($C122="","",IFERROR(INDEX(DATA_MASTER!$I$2:$I$5000,MATCH($C122,DATA_MASTER!$D$2:$D$5000,0)),""))</f>
        <v/>
      </c>
      <c r="F122" s="22">
        <f>IF($C122="","",IFERROR(INDEX(DATA_MASTER!$L$2:$L$5000,MATCH($C122,DATA_MASTER!$D$2:$D$5000,0)),"ZM"))</f>
        <v/>
      </c>
      <c r="G122" s="24" t="inlineStr">
        <is>
          <t>Sữa Aptamil 380g</t>
        </is>
      </c>
      <c r="H122" s="24" t="n">
        <v>1</v>
      </c>
      <c r="I122" s="30" t="n">
        <v>320000</v>
      </c>
      <c r="J122" s="23">
        <f>IF(OR($H122="",$I122=""),"",$H122*$I122)</f>
        <v/>
      </c>
      <c r="K122" s="24" t="inlineStr">
        <is>
          <t>Chuyển khoản QR</t>
        </is>
      </c>
      <c r="L122" s="24" t="inlineStr">
        <is>
          <t>Chờ chuyển khoản</t>
        </is>
      </c>
      <c r="M122" s="29" t="inlineStr">
        <is>
          <t>28/9/2026</t>
        </is>
      </c>
      <c r="N122" s="28" t="inlineStr">
        <is>
          <t>0385334386</t>
        </is>
      </c>
      <c r="O122" s="24" t="inlineStr">
        <is>
          <t>Ánh Phương</t>
        </is>
      </c>
      <c r="P122" s="24" t="inlineStr">
        <is>
          <t>9/205 Đằng hải, Hải an, Hải Phòng</t>
        </is>
      </c>
      <c r="Q122" s="24" t="inlineStr">
        <is>
          <t>Chờ giao</t>
        </is>
      </c>
      <c r="R122" s="24" t="inlineStr">
        <is>
          <t>Long Châu</t>
        </is>
      </c>
      <c r="S122" s="22">
        <f>IF(AND($A122="",$C122=""),"",IF($A122="","Thiếu mã đơn; ","")&amp;IF(COUNTIF($A$2:$A122,$A122)&gt;1,"Trùng mã đơn; ","")&amp;IF(COUNTIF($C$2:$C122,$C122)&gt;1,"Trùng SĐT; ","")&amp;IF(ISNA(MATCH($C122,DATA_MASTER!$D$2:$D$5000,0)),"SĐT chưa đăng ký hội viên; ","")&amp;IF(AND($L122="Đã chuyển khoản",$M122=""),"Thiếu ngày nhận CK; ",""))</f>
        <v/>
      </c>
      <c r="T122" s="24" t="inlineStr"/>
    </row>
    <row r="123" ht="14.25" customHeight="1" s="40">
      <c r="A123" s="24" t="n">
        <v>122</v>
      </c>
      <c r="B123" s="24" t="inlineStr">
        <is>
          <t>28/9/2026</t>
        </is>
      </c>
      <c r="C123" s="28" t="inlineStr">
        <is>
          <t>0392696333</t>
        </is>
      </c>
      <c r="D123" s="22">
        <f>IF($C123="","",IFERROR(INDEX(DATA_MASTER!$C$2:$C$5000,MATCH($C123,DATA_MASTER!$D$2:$D$5000,0)),"Trương Thị Thùy"))</f>
        <v/>
      </c>
      <c r="E123" s="22">
        <f>IF($C123="","",IFERROR(INDEX(DATA_MASTER!$I$2:$I$5000,MATCH($C123,DATA_MASTER!$D$2:$D$5000,0)),""))</f>
        <v/>
      </c>
      <c r="F123" s="22">
        <f>IF($C123="","",IFERROR(INDEX(DATA_MASTER!$L$2:$L$5000,MATCH($C123,DATA_MASTER!$D$2:$D$5000,0)),"ZM"))</f>
        <v/>
      </c>
      <c r="G123" s="24" t="inlineStr">
        <is>
          <t>Sữa Aptamil 380g</t>
        </is>
      </c>
      <c r="H123" s="24" t="n">
        <v>1</v>
      </c>
      <c r="I123" s="30" t="n">
        <v>320000</v>
      </c>
      <c r="J123" s="23">
        <f>IF(OR($H123="",$I123=""),"",$H123*$I123)</f>
        <v/>
      </c>
      <c r="K123" s="24" t="inlineStr">
        <is>
          <t>Chuyển khoản QR</t>
        </is>
      </c>
      <c r="L123" s="24" t="inlineStr">
        <is>
          <t>Đã chuyển khoản</t>
        </is>
      </c>
      <c r="M123" s="29" t="inlineStr">
        <is>
          <t>28/9/2026</t>
        </is>
      </c>
      <c r="N123" s="28" t="inlineStr">
        <is>
          <t>0392696333</t>
        </is>
      </c>
      <c r="O123" s="24" t="inlineStr">
        <is>
          <t>Trương Thị Thùy</t>
        </is>
      </c>
      <c r="P123" s="24" t="inlineStr">
        <is>
          <t>CTY CP Phụ tùng Máy công trinh 88- Số 17- KDT Thái Hà- P. Phạm Xuân Mạnh- TP. Hải Phòng</t>
        </is>
      </c>
      <c r="Q123" s="24" t="inlineStr">
        <is>
          <t>Đã giao</t>
        </is>
      </c>
      <c r="R123" s="24" t="inlineStr">
        <is>
          <t>Cute Baby</t>
        </is>
      </c>
      <c r="S123" s="22">
        <f>IF(AND($A123="",$C123=""),"",IF($A123="","Thiếu mã đơn; ","")&amp;IF(COUNTIF($A$2:$A123,$A123)&gt;1,"Trùng mã đơn; ","")&amp;IF(COUNTIF($C$2:$C123,$C123)&gt;1,"Trùng SĐT; ","")&amp;IF(ISNA(MATCH($C123,DATA_MASTER!$D$2:$D$5000,0)),"SĐT chưa đăng ký hội viên; ","")&amp;IF(AND($L123="Đã chuyển khoản",$M123=""),"Thiếu ngày nhận CK; ",""))</f>
        <v/>
      </c>
      <c r="T123" s="24" t="inlineStr">
        <is>
          <t>ĐVVC: giao hàng nhanh | Mã VĐ: GYRNBB4V</t>
        </is>
      </c>
    </row>
    <row r="124" ht="14.25" customHeight="1" s="40">
      <c r="A124" s="24" t="n">
        <v>123</v>
      </c>
      <c r="B124" s="24" t="inlineStr">
        <is>
          <t>28/9/2026</t>
        </is>
      </c>
      <c r="C124" s="28" t="inlineStr">
        <is>
          <t>0382087162</t>
        </is>
      </c>
      <c r="D124" s="22">
        <f>IF($C124="","",IFERROR(INDEX(DATA_MASTER!$C$2:$C$5000,MATCH($C124,DATA_MASTER!$D$2:$D$5000,0)),"Dương Thị Tươi"))</f>
        <v/>
      </c>
      <c r="E124" s="22">
        <f>IF($C124="","",IFERROR(INDEX(DATA_MASTER!$I$2:$I$5000,MATCH($C124,DATA_MASTER!$D$2:$D$5000,0)),""))</f>
        <v/>
      </c>
      <c r="F124" s="22">
        <f>IF($C124="","",IFERROR(INDEX(DATA_MASTER!$L$2:$L$5000,MATCH($C124,DATA_MASTER!$D$2:$D$5000,0)),"ZM"))</f>
        <v/>
      </c>
      <c r="G124" s="24" t="inlineStr">
        <is>
          <t>Sữa Aptamil 380g</t>
        </is>
      </c>
      <c r="H124" s="24" t="n">
        <v>1</v>
      </c>
      <c r="I124" s="30" t="n">
        <v>320000</v>
      </c>
      <c r="J124" s="23">
        <f>IF(OR($H124="",$I124=""),"",$H124*$I124)</f>
        <v/>
      </c>
      <c r="K124" s="24" t="inlineStr">
        <is>
          <t>Chuyển khoản QR</t>
        </is>
      </c>
      <c r="L124" s="24" t="inlineStr">
        <is>
          <t>Đã chuyển khoản</t>
        </is>
      </c>
      <c r="M124" s="29" t="inlineStr">
        <is>
          <t>28/9/2026</t>
        </is>
      </c>
      <c r="N124" s="28" t="inlineStr">
        <is>
          <t>0382087162</t>
        </is>
      </c>
      <c r="O124" s="24" t="inlineStr">
        <is>
          <t>Dương Thị Tươi</t>
        </is>
      </c>
      <c r="P124" s="24" t="inlineStr">
        <is>
          <t>TDP Khuê Bích- Trần Liều- TP. Hải Phòng ( Thôn Khuê Bích- Xã Thượng Quận- Thị xã Kinh Môn- Tỉnh hải dương cũ)</t>
        </is>
      </c>
      <c r="Q124" s="24" t="inlineStr">
        <is>
          <t>Đã giao</t>
        </is>
      </c>
      <c r="R124" s="24" t="inlineStr">
        <is>
          <t>Cute Baby</t>
        </is>
      </c>
      <c r="S124" s="22">
        <f>IF(AND($A124="",$C124=""),"",IF($A124="","Thiếu mã đơn; ","")&amp;IF(COUNTIF($A$2:$A124,$A124)&gt;1,"Trùng mã đơn; ","")&amp;IF(COUNTIF($C$2:$C124,$C124)&gt;1,"Trùng SĐT; ","")&amp;IF(ISNA(MATCH($C124,DATA_MASTER!$D$2:$D$5000,0)),"SĐT chưa đăng ký hội viên; ","")&amp;IF(AND($L124="Đã chuyển khoản",$M124=""),"Thiếu ngày nhận CK; ",""))</f>
        <v/>
      </c>
      <c r="T124" s="24" t="inlineStr">
        <is>
          <t>ĐVVC: giao hành nhanh | Mã VĐ: GYRNBTPA</t>
        </is>
      </c>
    </row>
    <row r="125" ht="14.25" customHeight="1" s="40">
      <c r="A125" s="24" t="n">
        <v>124</v>
      </c>
      <c r="B125" s="24" t="inlineStr">
        <is>
          <t>28/9/2026</t>
        </is>
      </c>
      <c r="C125" s="28" t="inlineStr">
        <is>
          <t>0383745263</t>
        </is>
      </c>
      <c r="D125" s="22">
        <f>IF($C125="","",IFERROR(INDEX(DATA_MASTER!$C$2:$C$5000,MATCH($C125,DATA_MASTER!$D$2:$D$5000,0)),"Nguyễn Thanh Huyền"))</f>
        <v/>
      </c>
      <c r="E125" s="22">
        <f>IF($C125="","",IFERROR(INDEX(DATA_MASTER!$I$2:$I$5000,MATCH($C125,DATA_MASTER!$D$2:$D$5000,0)),""))</f>
        <v/>
      </c>
      <c r="F125" s="22">
        <f>IF($C125="","",IFERROR(INDEX(DATA_MASTER!$L$2:$L$5000,MATCH($C125,DATA_MASTER!$D$2:$D$5000,0)),"ZM"))</f>
        <v/>
      </c>
      <c r="G125" s="24" t="inlineStr">
        <is>
          <t>Sữa Aptamil 380g</t>
        </is>
      </c>
      <c r="H125" s="24" t="n">
        <v>1</v>
      </c>
      <c r="I125" s="30" t="n">
        <v>320000</v>
      </c>
      <c r="J125" s="23">
        <f>IF(OR($H125="",$I125=""),"",$H125*$I125)</f>
        <v/>
      </c>
      <c r="K125" s="24" t="inlineStr">
        <is>
          <t>Chuyển khoản QR</t>
        </is>
      </c>
      <c r="L125" s="24" t="inlineStr">
        <is>
          <t>Đã chuyển khoản</t>
        </is>
      </c>
      <c r="M125" s="29" t="inlineStr">
        <is>
          <t>28/9/2026</t>
        </is>
      </c>
      <c r="N125" s="28" t="inlineStr">
        <is>
          <t>0383745263</t>
        </is>
      </c>
      <c r="O125" s="24" t="inlineStr">
        <is>
          <t>Nguyễn Thanh Huyền</t>
        </is>
      </c>
      <c r="P125" s="24" t="inlineStr">
        <is>
          <t>Thôn Nhân Mục- Xã Vĩnh Bảo- Hải Phòng  (đối diện trường cấp 2 Nhân Hòa)</t>
        </is>
      </c>
      <c r="Q125" s="24" t="inlineStr">
        <is>
          <t>Đã giao</t>
        </is>
      </c>
      <c r="R125" s="24" t="inlineStr">
        <is>
          <t>Cute Baby</t>
        </is>
      </c>
      <c r="S125" s="22">
        <f>IF(AND($A125="",$C125=""),"",IF($A125="","Thiếu mã đơn; ","")&amp;IF(COUNTIF($A$2:$A125,$A125)&gt;1,"Trùng mã đơn; ","")&amp;IF(COUNTIF($C$2:$C125,$C125)&gt;1,"Trùng SĐT; ","")&amp;IF(ISNA(MATCH($C125,DATA_MASTER!$D$2:$D$5000,0)),"SĐT chưa đăng ký hội viên; ","")&amp;IF(AND($L125="Đã chuyển khoản",$M125=""),"Thiếu ngày nhận CK; ",""))</f>
        <v/>
      </c>
      <c r="T125" s="24" t="inlineStr">
        <is>
          <t>ĐVVC: giao hàng nhanh | Mã VĐ: GYRNBH36</t>
        </is>
      </c>
    </row>
    <row r="126" ht="14.25" customHeight="1" s="40">
      <c r="A126" s="24" t="n">
        <v>125</v>
      </c>
      <c r="B126" s="24" t="inlineStr">
        <is>
          <t>28/9/2026</t>
        </is>
      </c>
      <c r="C126" s="28" t="inlineStr">
        <is>
          <t>0965032878</t>
        </is>
      </c>
      <c r="D126" s="22">
        <f>IF($C126="","",IFERROR(INDEX(DATA_MASTER!$C$2:$C$5000,MATCH($C126,DATA_MASTER!$D$2:$D$5000,0)),"Trần Thị Ánh"))</f>
        <v/>
      </c>
      <c r="E126" s="22">
        <f>IF($C126="","",IFERROR(INDEX(DATA_MASTER!$I$2:$I$5000,MATCH($C126,DATA_MASTER!$D$2:$D$5000,0)),""))</f>
        <v/>
      </c>
      <c r="F126" s="22">
        <f>IF($C126="","",IFERROR(INDEX(DATA_MASTER!$L$2:$L$5000,MATCH($C126,DATA_MASTER!$D$2:$D$5000,0)),"ZM"))</f>
        <v/>
      </c>
      <c r="G126" s="24" t="inlineStr">
        <is>
          <t>Sữa Aptamil 380g</t>
        </is>
      </c>
      <c r="H126" s="24" t="n">
        <v>1</v>
      </c>
      <c r="I126" s="30" t="n">
        <v>320000</v>
      </c>
      <c r="J126" s="23">
        <f>IF(OR($H126="",$I126=""),"",$H126*$I126)</f>
        <v/>
      </c>
      <c r="K126" s="24" t="inlineStr">
        <is>
          <t>Chuyển khoản QR</t>
        </is>
      </c>
      <c r="L126" s="24" t="inlineStr">
        <is>
          <t>Đã chuyển khoản</t>
        </is>
      </c>
      <c r="M126" s="29" t="inlineStr">
        <is>
          <t>28/9/2026</t>
        </is>
      </c>
      <c r="N126" s="28" t="inlineStr">
        <is>
          <t>0965032878</t>
        </is>
      </c>
      <c r="O126" s="24" t="inlineStr">
        <is>
          <t>Trần Thị Ánh</t>
        </is>
      </c>
      <c r="P126" s="24" t="inlineStr">
        <is>
          <t>Xã Nghi Dương - Hải Phòng (gần quán cà phê Dung Chuyển)</t>
        </is>
      </c>
      <c r="Q126" s="24" t="inlineStr">
        <is>
          <t>Đã giao</t>
        </is>
      </c>
      <c r="R126" s="24" t="inlineStr">
        <is>
          <t>Cute Baby</t>
        </is>
      </c>
      <c r="S126" s="22">
        <f>IF(AND($A126="",$C126=""),"",IF($A126="","Thiếu mã đơn; ","")&amp;IF(COUNTIF($A$2:$A126,$A126)&gt;1,"Trùng mã đơn; ","")&amp;IF(COUNTIF($C$2:$C126,$C126)&gt;1,"Trùng SĐT; ","")&amp;IF(ISNA(MATCH($C126,DATA_MASTER!$D$2:$D$5000,0)),"SĐT chưa đăng ký hội viên; ","")&amp;IF(AND($L126="Đã chuyển khoản",$M126=""),"Thiếu ngày nhận CK; ",""))</f>
        <v/>
      </c>
      <c r="T126" s="24" t="inlineStr">
        <is>
          <t>ĐVVC: giao hàng nhanh | Mã VĐ: GYRNBADK</t>
        </is>
      </c>
    </row>
    <row r="127" ht="14.25" customHeight="1" s="40">
      <c r="A127" s="24" t="n">
        <v>126</v>
      </c>
      <c r="B127" s="24" t="inlineStr">
        <is>
          <t>28/9/2026</t>
        </is>
      </c>
      <c r="C127" s="28" t="inlineStr">
        <is>
          <t>0392026640</t>
        </is>
      </c>
      <c r="D127" s="22">
        <f>IF($C127="","",IFERROR(INDEX(DATA_MASTER!$C$2:$C$5000,MATCH($C127,DATA_MASTER!$D$2:$D$5000,0)),"Nguyễn Phương Thảo"))</f>
        <v/>
      </c>
      <c r="E127" s="22">
        <f>IF($C127="","",IFERROR(INDEX(DATA_MASTER!$I$2:$I$5000,MATCH($C127,DATA_MASTER!$D$2:$D$5000,0)),""))</f>
        <v/>
      </c>
      <c r="F127" s="22">
        <f>IF($C127="","",IFERROR(INDEX(DATA_MASTER!$L$2:$L$5000,MATCH($C127,DATA_MASTER!$D$2:$D$5000,0)),"ZM"))</f>
        <v/>
      </c>
      <c r="G127" s="24" t="inlineStr">
        <is>
          <t>Sữa Aptamil 380g</t>
        </is>
      </c>
      <c r="H127" s="24" t="n">
        <v>1</v>
      </c>
      <c r="I127" s="30" t="n">
        <v>320000</v>
      </c>
      <c r="J127" s="23">
        <f>IF(OR($H127="",$I127=""),"",$H127*$I127)</f>
        <v/>
      </c>
      <c r="K127" s="24" t="inlineStr">
        <is>
          <t>Chuyển khoản QR</t>
        </is>
      </c>
      <c r="L127" s="24" t="inlineStr">
        <is>
          <t>Đã chuyển khoản</t>
        </is>
      </c>
      <c r="M127" s="29" t="inlineStr">
        <is>
          <t>28/9/2026</t>
        </is>
      </c>
      <c r="N127" s="28" t="inlineStr">
        <is>
          <t>0392026640</t>
        </is>
      </c>
      <c r="O127" s="24" t="inlineStr">
        <is>
          <t>Nguyễn Phương Thảo</t>
        </is>
      </c>
      <c r="P127" s="24" t="inlineStr">
        <is>
          <t>22/185 Hùng Duệ Vương- Hồng Bàng- TP. Hải Phòng</t>
        </is>
      </c>
      <c r="Q127" s="24" t="inlineStr">
        <is>
          <t>Đã giao</t>
        </is>
      </c>
      <c r="R127" s="24" t="inlineStr">
        <is>
          <t>Cute Baby</t>
        </is>
      </c>
      <c r="S127" s="22">
        <f>IF(AND($A127="",$C127=""),"",IF($A127="","Thiếu mã đơn; ","")&amp;IF(COUNTIF($A$2:$A127,$A127)&gt;1,"Trùng mã đơn; ","")&amp;IF(COUNTIF($C$2:$C127,$C127)&gt;1,"Trùng SĐT; ","")&amp;IF(ISNA(MATCH($C127,DATA_MASTER!$D$2:$D$5000,0)),"SĐT chưa đăng ký hội viên; ","")&amp;IF(AND($L127="Đã chuyển khoản",$M127=""),"Thiếu ngày nhận CK; ",""))</f>
        <v/>
      </c>
      <c r="T127" s="24" t="inlineStr">
        <is>
          <t>ĐVVC: heyou | Mã VĐ: 8700942</t>
        </is>
      </c>
    </row>
    <row r="128" ht="14.25" customHeight="1" s="40">
      <c r="A128" s="24" t="n">
        <v>127</v>
      </c>
      <c r="B128" s="24" t="inlineStr">
        <is>
          <t>28/9/2026</t>
        </is>
      </c>
      <c r="C128" s="28" t="inlineStr">
        <is>
          <t>0971220204</t>
        </is>
      </c>
      <c r="D128" s="22">
        <f>IF($C128="","",IFERROR(INDEX(DATA_MASTER!$C$2:$C$5000,MATCH($C128,DATA_MASTER!$D$2:$D$5000,0)),"Phạm Mai Phương"))</f>
        <v/>
      </c>
      <c r="E128" s="22">
        <f>IF($C128="","",IFERROR(INDEX(DATA_MASTER!$I$2:$I$5000,MATCH($C128,DATA_MASTER!$D$2:$D$5000,0)),""))</f>
        <v/>
      </c>
      <c r="F128" s="22">
        <f>IF($C128="","",IFERROR(INDEX(DATA_MASTER!$L$2:$L$5000,MATCH($C128,DATA_MASTER!$D$2:$D$5000,0)),"ZM"))</f>
        <v/>
      </c>
      <c r="G128" s="24" t="inlineStr">
        <is>
          <t>Sữa Aptamil 380g</t>
        </is>
      </c>
      <c r="H128" s="24" t="n">
        <v>1</v>
      </c>
      <c r="I128" s="30" t="n">
        <v>320000</v>
      </c>
      <c r="J128" s="23">
        <f>IF(OR($H128="",$I128=""),"",$H128*$I128)</f>
        <v/>
      </c>
      <c r="K128" s="24" t="inlineStr">
        <is>
          <t>Chuyển khoản QR</t>
        </is>
      </c>
      <c r="L128" s="24" t="inlineStr">
        <is>
          <t>Đã chuyển khoản</t>
        </is>
      </c>
      <c r="M128" s="29" t="inlineStr">
        <is>
          <t>28/9/2026</t>
        </is>
      </c>
      <c r="N128" s="28" t="inlineStr">
        <is>
          <t>0971220204</t>
        </is>
      </c>
      <c r="O128" s="24" t="inlineStr">
        <is>
          <t>Phạm Mai Phương</t>
        </is>
      </c>
      <c r="P128" s="24" t="inlineStr">
        <is>
          <t>(gần nhà cô Liên trưởng thôn) Thôn Tiên Cầm- Xã An Hưng- Hải Phòng</t>
        </is>
      </c>
      <c r="Q128" s="24" t="inlineStr">
        <is>
          <t>Đã giao</t>
        </is>
      </c>
      <c r="R128" s="24" t="inlineStr">
        <is>
          <t>Cute Baby</t>
        </is>
      </c>
      <c r="S128" s="22">
        <f>IF(AND($A128="",$C128=""),"",IF($A128="","Thiếu mã đơn; ","")&amp;IF(COUNTIF($A$2:$A128,$A128)&gt;1,"Trùng mã đơn; ","")&amp;IF(COUNTIF($C$2:$C128,$C128)&gt;1,"Trùng SĐT; ","")&amp;IF(ISNA(MATCH($C128,DATA_MASTER!$D$2:$D$5000,0)),"SĐT chưa đăng ký hội viên; ","")&amp;IF(AND($L128="Đã chuyển khoản",$M128=""),"Thiếu ngày nhận CK; ",""))</f>
        <v/>
      </c>
      <c r="T128" s="24" t="inlineStr">
        <is>
          <t>ĐVVC: giao hàng nhanh | Mã VĐ: GYRNBYNW</t>
        </is>
      </c>
    </row>
    <row r="129" ht="14.25" customHeight="1" s="40">
      <c r="A129" s="24" t="n">
        <v>128</v>
      </c>
      <c r="B129" s="24" t="inlineStr">
        <is>
          <t>28/9/2026</t>
        </is>
      </c>
      <c r="C129" s="28" t="inlineStr">
        <is>
          <t>0356751946</t>
        </is>
      </c>
      <c r="D129" s="22">
        <f>IF($C129="","",IFERROR(INDEX(DATA_MASTER!$C$2:$C$5000,MATCH($C129,DATA_MASTER!$D$2:$D$5000,0)),"Phạm Huyền Trang"))</f>
        <v/>
      </c>
      <c r="E129" s="22">
        <f>IF($C129="","",IFERROR(INDEX(DATA_MASTER!$I$2:$I$5000,MATCH($C129,DATA_MASTER!$D$2:$D$5000,0)),""))</f>
        <v/>
      </c>
      <c r="F129" s="22">
        <f>IF($C129="","",IFERROR(INDEX(DATA_MASTER!$L$2:$L$5000,MATCH($C129,DATA_MASTER!$D$2:$D$5000,0)),"ZM"))</f>
        <v/>
      </c>
      <c r="G129" s="24" t="inlineStr">
        <is>
          <t>Sữa Aptamil 380g</t>
        </is>
      </c>
      <c r="H129" s="24" t="n">
        <v>1</v>
      </c>
      <c r="I129" s="30" t="n">
        <v>320000</v>
      </c>
      <c r="J129" s="23">
        <f>IF(OR($H129="",$I129=""),"",$H129*$I129)</f>
        <v/>
      </c>
      <c r="K129" s="24" t="inlineStr">
        <is>
          <t>Chuyển khoản QR</t>
        </is>
      </c>
      <c r="L129" s="24" t="inlineStr">
        <is>
          <t>Đã chuyển khoản</t>
        </is>
      </c>
      <c r="M129" s="29" t="inlineStr">
        <is>
          <t>28/9/2026</t>
        </is>
      </c>
      <c r="N129" s="28" t="inlineStr">
        <is>
          <t>0356751946</t>
        </is>
      </c>
      <c r="O129" s="24" t="inlineStr">
        <is>
          <t>Phạm Huyền Trang</t>
        </is>
      </c>
      <c r="P129" s="24" t="inlineStr">
        <is>
          <t>(Ngã tư Duyên Hải) Thôn Lập Lễ- xã Hà Đông- Hải Phòng</t>
        </is>
      </c>
      <c r="Q129" s="24" t="inlineStr">
        <is>
          <t>Đã giao</t>
        </is>
      </c>
      <c r="R129" s="24" t="inlineStr">
        <is>
          <t>Cute Baby</t>
        </is>
      </c>
      <c r="S129" s="22">
        <f>IF(AND($A129="",$C129=""),"",IF($A129="","Thiếu mã đơn; ","")&amp;IF(COUNTIF($A$2:$A129,$A129)&gt;1,"Trùng mã đơn; ","")&amp;IF(COUNTIF($C$2:$C129,$C129)&gt;1,"Trùng SĐT; ","")&amp;IF(ISNA(MATCH($C129,DATA_MASTER!$D$2:$D$5000,0)),"SĐT chưa đăng ký hội viên; ","")&amp;IF(AND($L129="Đã chuyển khoản",$M129=""),"Thiếu ngày nhận CK; ",""))</f>
        <v/>
      </c>
      <c r="T129" s="24" t="inlineStr">
        <is>
          <t>ĐVVC: Giao hàng nhanh | Mã VĐ: GYRNBM9W</t>
        </is>
      </c>
    </row>
    <row r="130" ht="14.25" customHeight="1" s="40">
      <c r="A130" s="24" t="n">
        <v>129</v>
      </c>
      <c r="B130" s="24" t="inlineStr">
        <is>
          <t>28/9/2026</t>
        </is>
      </c>
      <c r="C130" s="28" t="inlineStr">
        <is>
          <t>0362338204</t>
        </is>
      </c>
      <c r="D130" s="22">
        <f>IF($C130="","",IFERROR(INDEX(DATA_MASTER!$C$2:$C$5000,MATCH($C130,DATA_MASTER!$D$2:$D$5000,0)),"Đinh Thị Thùy Linh"))</f>
        <v/>
      </c>
      <c r="E130" s="22">
        <f>IF($C130="","",IFERROR(INDEX(DATA_MASTER!$I$2:$I$5000,MATCH($C130,DATA_MASTER!$D$2:$D$5000,0)),""))</f>
        <v/>
      </c>
      <c r="F130" s="22">
        <f>IF($C130="","",IFERROR(INDEX(DATA_MASTER!$L$2:$L$5000,MATCH($C130,DATA_MASTER!$D$2:$D$5000,0)),"ZM"))</f>
        <v/>
      </c>
      <c r="G130" s="24" t="inlineStr">
        <is>
          <t>Sữa Aptamil 380g</t>
        </is>
      </c>
      <c r="H130" s="24" t="n">
        <v>1</v>
      </c>
      <c r="I130" s="30" t="n">
        <v>320000</v>
      </c>
      <c r="J130" s="23">
        <f>IF(OR($H130="",$I130=""),"",$H130*$I130)</f>
        <v/>
      </c>
      <c r="K130" s="24" t="inlineStr">
        <is>
          <t>Chuyển khoản QR</t>
        </is>
      </c>
      <c r="L130" s="24" t="inlineStr">
        <is>
          <t>Đã chuyển khoản</t>
        </is>
      </c>
      <c r="M130" s="29" t="inlineStr">
        <is>
          <t>28/9/2026</t>
        </is>
      </c>
      <c r="N130" s="28" t="inlineStr">
        <is>
          <t>0362338204</t>
        </is>
      </c>
      <c r="O130" s="24" t="inlineStr">
        <is>
          <t>Đinh Thị Thùy Linh</t>
        </is>
      </c>
      <c r="P130" s="24" t="inlineStr">
        <is>
          <t>TDP Trúc Sơn- P. Lưu Kiến- TP. Hải Phòng</t>
        </is>
      </c>
      <c r="Q130" s="24" t="inlineStr">
        <is>
          <t>Đã giao</t>
        </is>
      </c>
      <c r="R130" s="24" t="inlineStr">
        <is>
          <t>Cute Baby</t>
        </is>
      </c>
      <c r="S130" s="22">
        <f>IF(AND($A130="",$C130=""),"",IF($A130="","Thiếu mã đơn; ","")&amp;IF(COUNTIF($A$2:$A130,$A130)&gt;1,"Trùng mã đơn; ","")&amp;IF(COUNTIF($C$2:$C130,$C130)&gt;1,"Trùng SĐT; ","")&amp;IF(ISNA(MATCH($C130,DATA_MASTER!$D$2:$D$5000,0)),"SĐT chưa đăng ký hội viên; ","")&amp;IF(AND($L130="Đã chuyển khoản",$M130=""),"Thiếu ngày nhận CK; ",""))</f>
        <v/>
      </c>
      <c r="T130" s="24" t="inlineStr">
        <is>
          <t>ĐVVC: Giao hàng nhanh | Mã VĐ: GYRN3QFX</t>
        </is>
      </c>
    </row>
    <row r="131" ht="14.25" customHeight="1" s="40">
      <c r="A131" s="24" t="n">
        <v>130</v>
      </c>
      <c r="B131" s="24" t="inlineStr">
        <is>
          <t>30/9/2026</t>
        </is>
      </c>
      <c r="C131" s="28" t="inlineStr">
        <is>
          <t>0906217368</t>
        </is>
      </c>
      <c r="D131" s="22">
        <f>IF($C131="","",IFERROR(INDEX(DATA_MASTER!$C$2:$C$5000,MATCH($C131,DATA_MASTER!$D$2:$D$5000,0)),"Dương Hoàng Anh"))</f>
        <v/>
      </c>
      <c r="E131" s="22">
        <f>IF($C131="","",IFERROR(INDEX(DATA_MASTER!$I$2:$I$5000,MATCH($C131,DATA_MASTER!$D$2:$D$5000,0)),""))</f>
        <v/>
      </c>
      <c r="F131" s="22">
        <f>IF($C131="","",IFERROR(INDEX(DATA_MASTER!$L$2:$L$5000,MATCH($C131,DATA_MASTER!$D$2:$D$5000,0)),"ZM"))</f>
        <v/>
      </c>
      <c r="G131" s="24" t="inlineStr">
        <is>
          <t>Sữa Aptamil 380g</t>
        </is>
      </c>
      <c r="H131" s="24" t="n">
        <v>1</v>
      </c>
      <c r="I131" s="30" t="n">
        <v>320000</v>
      </c>
      <c r="J131" s="23">
        <f>IF(OR($H131="",$I131=""),"",$H131*$I131)</f>
        <v/>
      </c>
      <c r="K131" s="24" t="inlineStr">
        <is>
          <t>Chuyển khoản QR</t>
        </is>
      </c>
      <c r="L131" s="24" t="inlineStr">
        <is>
          <t>Đã chuyển khoản</t>
        </is>
      </c>
      <c r="M131" s="29" t="inlineStr">
        <is>
          <t>30/9/2026</t>
        </is>
      </c>
      <c r="N131" s="28" t="inlineStr">
        <is>
          <t>0906217368</t>
        </is>
      </c>
      <c r="O131" s="24" t="inlineStr">
        <is>
          <t>Dương Hoàng Anh</t>
        </is>
      </c>
      <c r="P131" s="24" t="inlineStr">
        <is>
          <t>8/414 Tô Hiệu, Lê Chân, HP, Hải Phòng</t>
        </is>
      </c>
      <c r="Q131" s="24" t="inlineStr">
        <is>
          <t>Đã giao</t>
        </is>
      </c>
      <c r="R131" s="24" t="inlineStr">
        <is>
          <t>Cute Baby</t>
        </is>
      </c>
      <c r="S131" s="22">
        <f>IF(AND($A131="",$C131=""),"",IF($A131="","Thiếu mã đơn; ","")&amp;IF(COUNTIF($A$2:$A131,$A131)&gt;1,"Trùng mã đơn; ","")&amp;IF(COUNTIF($C$2:$C131,$C131)&gt;1,"Trùng SĐT; ","")&amp;IF(ISNA(MATCH($C131,DATA_MASTER!$D$2:$D$5000,0)),"SĐT chưa đăng ký hội viên; ","")&amp;IF(AND($L131="Đã chuyển khoản",$M131=""),"Thiếu ngày nhận CK; ",""))</f>
        <v/>
      </c>
      <c r="T131" s="24" t="inlineStr">
        <is>
          <t>Bill: https://drive.google.com/drive/folders/1pGqhQTp0IpL6t6tM8ZDeuoccAawA1U70</t>
        </is>
      </c>
    </row>
    <row r="132" ht="14.25" customHeight="1" s="40">
      <c r="A132" s="24" t="n">
        <v>131</v>
      </c>
      <c r="B132" s="24" t="inlineStr">
        <is>
          <t>10/01/2026</t>
        </is>
      </c>
      <c r="C132" s="28" t="inlineStr">
        <is>
          <t>0981047378</t>
        </is>
      </c>
      <c r="D132" s="22">
        <f>IF($C132="","",IFERROR(INDEX(DATA_MASTER!$C$2:$C$5000,MATCH($C132,DATA_MASTER!$D$2:$D$5000,0)),"Quỳnh Giao"))</f>
        <v/>
      </c>
      <c r="E132" s="22">
        <f>IF($C132="","",IFERROR(INDEX(DATA_MASTER!$I$2:$I$5000,MATCH($C132,DATA_MASTER!$D$2:$D$5000,0)),""))</f>
        <v/>
      </c>
      <c r="F132" s="22">
        <f>IF($C132="","",IFERROR(INDEX(DATA_MASTER!$L$2:$L$5000,MATCH($C132,DATA_MASTER!$D$2:$D$5000,0)),"ZM"))</f>
        <v/>
      </c>
      <c r="G132" s="24" t="inlineStr">
        <is>
          <t>Sữa Aptamil 380g</t>
        </is>
      </c>
      <c r="H132" s="24" t="n">
        <v>1</v>
      </c>
      <c r="I132" s="30" t="n">
        <v>320000</v>
      </c>
      <c r="J132" s="23">
        <f>IF(OR($H132="",$I132=""),"",$H132*$I132)</f>
        <v/>
      </c>
      <c r="K132" s="24" t="inlineStr">
        <is>
          <t>Chuyển khoản QR</t>
        </is>
      </c>
      <c r="L132" s="24" t="inlineStr">
        <is>
          <t>Chờ chuyển khoản</t>
        </is>
      </c>
      <c r="M132" s="29" t="inlineStr">
        <is>
          <t>10/01/2026</t>
        </is>
      </c>
      <c r="N132" s="28" t="inlineStr">
        <is>
          <t>0981047378</t>
        </is>
      </c>
      <c r="O132" s="24" t="inlineStr">
        <is>
          <t>Quỳnh Giao</t>
        </is>
      </c>
      <c r="P132" s="24" t="inlineStr">
        <is>
          <t>SN 19 TDP Vĩnh Khê, An Hải, HP, Hải Phòng</t>
        </is>
      </c>
      <c r="Q132" s="24" t="inlineStr">
        <is>
          <t>Chờ giao</t>
        </is>
      </c>
      <c r="R132" s="24" t="inlineStr">
        <is>
          <t>Cute Baby</t>
        </is>
      </c>
      <c r="S132" s="22">
        <f>IF(AND($A132="",$C132=""),"",IF($A132="","Thiếu mã đơn; ","")&amp;IF(COUNTIF($A$2:$A132,$A132)&gt;1,"Trùng mã đơn; ","")&amp;IF(COUNTIF($C$2:$C132,$C132)&gt;1,"Trùng SĐT; ","")&amp;IF(ISNA(MATCH($C132,DATA_MASTER!$D$2:$D$5000,0)),"SĐT chưa đăng ký hội viên; ","")&amp;IF(AND($L132="Đã chuyển khoản",$M132=""),"Thiếu ngày nhận CK; ",""))</f>
        <v/>
      </c>
      <c r="T132" s="24" t="inlineStr"/>
    </row>
    <row r="133" ht="14.25" customHeight="1" s="40">
      <c r="A133" s="24" t="n">
        <v>132</v>
      </c>
      <c r="B133" s="24" t="inlineStr">
        <is>
          <t>30/9/2026</t>
        </is>
      </c>
      <c r="C133" s="28" t="inlineStr">
        <is>
          <t>0788288799</t>
        </is>
      </c>
      <c r="D133" s="22">
        <f>IF($C133="","",IFERROR(INDEX(DATA_MASTER!$C$2:$C$5000,MATCH($C133,DATA_MASTER!$D$2:$D$5000,0)),"Trần Thị Thu Hiền"))</f>
        <v/>
      </c>
      <c r="E133" s="22">
        <f>IF($C133="","",IFERROR(INDEX(DATA_MASTER!$I$2:$I$5000,MATCH($C133,DATA_MASTER!$D$2:$D$5000,0)),""))</f>
        <v/>
      </c>
      <c r="F133" s="22">
        <f>IF($C133="","",IFERROR(INDEX(DATA_MASTER!$L$2:$L$5000,MATCH($C133,DATA_MASTER!$D$2:$D$5000,0)),"ZM"))</f>
        <v/>
      </c>
      <c r="G133" s="24" t="inlineStr">
        <is>
          <t>Sữa Aptamil 380g</t>
        </is>
      </c>
      <c r="H133" s="24" t="n">
        <v>1</v>
      </c>
      <c r="I133" s="30" t="n">
        <v>320000</v>
      </c>
      <c r="J133" s="23">
        <f>IF(OR($H133="",$I133=""),"",$H133*$I133)</f>
        <v/>
      </c>
      <c r="K133" s="24" t="inlineStr">
        <is>
          <t>Chuyển khoản QR</t>
        </is>
      </c>
      <c r="L133" s="24" t="inlineStr">
        <is>
          <t>Chờ chuyển khoản</t>
        </is>
      </c>
      <c r="M133" s="29" t="inlineStr">
        <is>
          <t>30/9/2026</t>
        </is>
      </c>
      <c r="N133" s="28" t="inlineStr">
        <is>
          <t>0788288799</t>
        </is>
      </c>
      <c r="O133" s="24" t="inlineStr">
        <is>
          <t>Trần Thị Thu Hiền</t>
        </is>
      </c>
      <c r="P133" s="24" t="inlineStr">
        <is>
          <t>108 khu 7 xã Tiên Lãng, HP, Hải Phòng</t>
        </is>
      </c>
      <c r="Q133" s="24" t="inlineStr">
        <is>
          <t>Chờ giao</t>
        </is>
      </c>
      <c r="R133" s="24" t="inlineStr">
        <is>
          <t>Cute Baby</t>
        </is>
      </c>
      <c r="S133" s="22">
        <f>IF(AND($A133="",$C133=""),"",IF($A133="","Thiếu mã đơn; ","")&amp;IF(COUNTIF($A$2:$A133,$A133)&gt;1,"Trùng mã đơn; ","")&amp;IF(COUNTIF($C$2:$C133,$C133)&gt;1,"Trùng SĐT; ","")&amp;IF(ISNA(MATCH($C133,DATA_MASTER!$D$2:$D$5000,0)),"SĐT chưa đăng ký hội viên; ","")&amp;IF(AND($L133="Đã chuyển khoản",$M133=""),"Thiếu ngày nhận CK; ",""))</f>
        <v/>
      </c>
      <c r="T133" s="24" t="inlineStr"/>
    </row>
    <row r="134" ht="14.25" customHeight="1" s="40">
      <c r="A134" s="24" t="n">
        <v>133</v>
      </c>
      <c r="B134" s="24" t="inlineStr">
        <is>
          <t>10/01/2026</t>
        </is>
      </c>
      <c r="C134" s="28" t="inlineStr">
        <is>
          <t>0328608400</t>
        </is>
      </c>
      <c r="D134" s="22">
        <f>IF($C134="","",IFERROR(INDEX(DATA_MASTER!$C$2:$C$5000,MATCH($C134,DATA_MASTER!$D$2:$D$5000,0)),"Giang Hồng Nhung"))</f>
        <v/>
      </c>
      <c r="E134" s="22">
        <f>IF($C134="","",IFERROR(INDEX(DATA_MASTER!$I$2:$I$5000,MATCH($C134,DATA_MASTER!$D$2:$D$5000,0)),""))</f>
        <v/>
      </c>
      <c r="F134" s="22">
        <f>IF($C134="","",IFERROR(INDEX(DATA_MASTER!$L$2:$L$5000,MATCH($C134,DATA_MASTER!$D$2:$D$5000,0)),"ZM"))</f>
        <v/>
      </c>
      <c r="G134" s="24" t="inlineStr">
        <is>
          <t>Sữa Aptamil 380g</t>
        </is>
      </c>
      <c r="H134" s="24" t="n">
        <v>1</v>
      </c>
      <c r="I134" s="30" t="n">
        <v>320000</v>
      </c>
      <c r="J134" s="23">
        <f>IF(OR($H134="",$I134=""),"",$H134*$I134)</f>
        <v/>
      </c>
      <c r="K134" s="24" t="inlineStr">
        <is>
          <t>Chuyển khoản QR</t>
        </is>
      </c>
      <c r="L134" s="24" t="inlineStr">
        <is>
          <t>Chờ chuyển khoản</t>
        </is>
      </c>
      <c r="M134" s="29" t="inlineStr">
        <is>
          <t>10/01/2026</t>
        </is>
      </c>
      <c r="N134" s="28" t="inlineStr">
        <is>
          <t>0328608400</t>
        </is>
      </c>
      <c r="O134" s="24" t="inlineStr">
        <is>
          <t>Giang Hồng Nhung</t>
        </is>
      </c>
      <c r="P134" s="24" t="inlineStr">
        <is>
          <t>Xóm 13 Vũ Thành Đoài, xã Thái Ninh, tỉnh Hưng Yên</t>
        </is>
      </c>
      <c r="Q134" s="24" t="inlineStr">
        <is>
          <t>Chờ giao</t>
        </is>
      </c>
      <c r="R134" s="24" t="inlineStr">
        <is>
          <t>Long Châu</t>
        </is>
      </c>
      <c r="S134" s="22">
        <f>IF(AND($A134="",$C134=""),"",IF($A134="","Thiếu mã đơn; ","")&amp;IF(COUNTIF($A$2:$A134,$A134)&gt;1,"Trùng mã đơn; ","")&amp;IF(COUNTIF($C$2:$C134,$C134)&gt;1,"Trùng SĐT; ","")&amp;IF(ISNA(MATCH($C134,DATA_MASTER!$D$2:$D$5000,0)),"SĐT chưa đăng ký hội viên; ","")&amp;IF(AND($L134="Đã chuyển khoản",$M134=""),"Thiếu ngày nhận CK; ",""))</f>
        <v/>
      </c>
      <c r="T134" s="24" t="inlineStr"/>
    </row>
    <row r="135" ht="14.25" customHeight="1" s="40">
      <c r="A135" s="24" t="n">
        <v>134</v>
      </c>
      <c r="B135" s="24" t="inlineStr">
        <is>
          <t>10/01/2026</t>
        </is>
      </c>
      <c r="C135" s="28" t="inlineStr">
        <is>
          <t>0936631250</t>
        </is>
      </c>
      <c r="D135" s="22">
        <f>IF($C135="","",IFERROR(INDEX(DATA_MASTER!$C$2:$C$5000,MATCH($C135,DATA_MASTER!$D$2:$D$5000,0)),"Lục Kiều Trang"))</f>
        <v/>
      </c>
      <c r="E135" s="22">
        <f>IF($C135="","",IFERROR(INDEX(DATA_MASTER!$I$2:$I$5000,MATCH($C135,DATA_MASTER!$D$2:$D$5000,0)),""))</f>
        <v/>
      </c>
      <c r="F135" s="22">
        <f>IF($C135="","",IFERROR(INDEX(DATA_MASTER!$L$2:$L$5000,MATCH($C135,DATA_MASTER!$D$2:$D$5000,0)),"ZM"))</f>
        <v/>
      </c>
      <c r="G135" s="24" t="inlineStr">
        <is>
          <t>Sữa Aptamil 380g</t>
        </is>
      </c>
      <c r="H135" s="24" t="n">
        <v>1</v>
      </c>
      <c r="I135" s="30" t="n">
        <v>320000</v>
      </c>
      <c r="J135" s="23">
        <f>IF(OR($H135="",$I135=""),"",$H135*$I135)</f>
        <v/>
      </c>
      <c r="K135" s="24" t="inlineStr">
        <is>
          <t>Chuyển khoản QR</t>
        </is>
      </c>
      <c r="L135" s="24" t="inlineStr">
        <is>
          <t>Đã chuyển khoản</t>
        </is>
      </c>
      <c r="M135" s="29" t="inlineStr">
        <is>
          <t>10/01/2026</t>
        </is>
      </c>
      <c r="N135" s="28" t="inlineStr">
        <is>
          <t>0936631250</t>
        </is>
      </c>
      <c r="O135" s="24" t="inlineStr">
        <is>
          <t>Lục Kiều Trang</t>
        </is>
      </c>
      <c r="P135" s="24" t="inlineStr">
        <is>
          <t>20/240 Tô Hiệu, Lê Chân, HP, Hải Phòng</t>
        </is>
      </c>
      <c r="Q135" s="24" t="inlineStr">
        <is>
          <t>Đã giao</t>
        </is>
      </c>
      <c r="R135" s="24" t="inlineStr">
        <is>
          <t>Ababy</t>
        </is>
      </c>
      <c r="S135" s="22">
        <f>IF(AND($A135="",$C135=""),"",IF($A135="","Thiếu mã đơn; ","")&amp;IF(COUNTIF($A$2:$A135,$A135)&gt;1,"Trùng mã đơn; ","")&amp;IF(COUNTIF($C$2:$C135,$C135)&gt;1,"Trùng SĐT; ","")&amp;IF(ISNA(MATCH($C135,DATA_MASTER!$D$2:$D$5000,0)),"SĐT chưa đăng ký hội viên; ","")&amp;IF(AND($L135="Đã chuyển khoản",$M135=""),"Thiếu ngày nhận CK; ",""))</f>
        <v/>
      </c>
      <c r="T135" s="24" t="inlineStr">
        <is>
          <t>ĐVVC: spx | Mã VĐ: SPXVN06068223751A</t>
        </is>
      </c>
    </row>
    <row r="136" ht="14.25" customHeight="1" s="40">
      <c r="A136" s="24" t="n">
        <v>135</v>
      </c>
      <c r="B136" s="24" t="inlineStr">
        <is>
          <t>30/9/2026</t>
        </is>
      </c>
      <c r="C136" s="28" t="inlineStr">
        <is>
          <t>0965126812</t>
        </is>
      </c>
      <c r="D136" s="22">
        <f>IF($C136="","",IFERROR(INDEX(DATA_MASTER!$C$2:$C$5000,MATCH($C136,DATA_MASTER!$D$2:$D$5000,0)),"Trần Thu Hương"))</f>
        <v/>
      </c>
      <c r="E136" s="22">
        <f>IF($C136="","",IFERROR(INDEX(DATA_MASTER!$I$2:$I$5000,MATCH($C136,DATA_MASTER!$D$2:$D$5000,0)),""))</f>
        <v/>
      </c>
      <c r="F136" s="22">
        <f>IF($C136="","",IFERROR(INDEX(DATA_MASTER!$L$2:$L$5000,MATCH($C136,DATA_MASTER!$D$2:$D$5000,0)),"ZM"))</f>
        <v/>
      </c>
      <c r="G136" s="24" t="inlineStr">
        <is>
          <t>Sữa Aptamil 380g</t>
        </is>
      </c>
      <c r="H136" s="24" t="n">
        <v>1</v>
      </c>
      <c r="I136" s="30" t="n">
        <v>320000</v>
      </c>
      <c r="J136" s="23">
        <f>IF(OR($H136="",$I136=""),"",$H136*$I136)</f>
        <v/>
      </c>
      <c r="K136" s="24" t="inlineStr">
        <is>
          <t>Chuyển khoản QR</t>
        </is>
      </c>
      <c r="L136" s="24" t="inlineStr">
        <is>
          <t>Chờ chuyển khoản</t>
        </is>
      </c>
      <c r="M136" s="29" t="inlineStr">
        <is>
          <t>30/9/2026</t>
        </is>
      </c>
      <c r="N136" s="28" t="inlineStr">
        <is>
          <t>0965126812</t>
        </is>
      </c>
      <c r="O136" s="24" t="inlineStr">
        <is>
          <t>Trần Thu Hương</t>
        </is>
      </c>
      <c r="P136" s="24" t="inlineStr">
        <is>
          <t>13/35 Phạm Huy Thông, đường Tôn Đức Thắng, P.An Biên, HP, Hải Phòng</t>
        </is>
      </c>
      <c r="Q136" s="24" t="inlineStr">
        <is>
          <t>Chờ giao</t>
        </is>
      </c>
      <c r="R136" s="24" t="inlineStr">
        <is>
          <t>Cute Baby</t>
        </is>
      </c>
      <c r="S136" s="22">
        <f>IF(AND($A136="",$C136=""),"",IF($A136="","Thiếu mã đơn; ","")&amp;IF(COUNTIF($A$2:$A136,$A136)&gt;1,"Trùng mã đơn; ","")&amp;IF(COUNTIF($C$2:$C136,$C136)&gt;1,"Trùng SĐT; ","")&amp;IF(ISNA(MATCH($C136,DATA_MASTER!$D$2:$D$5000,0)),"SĐT chưa đăng ký hội viên; ","")&amp;IF(AND($L136="Đã chuyển khoản",$M136=""),"Thiếu ngày nhận CK; ",""))</f>
        <v/>
      </c>
      <c r="T136" s="24" t="inlineStr"/>
    </row>
    <row r="137" ht="14.25" customHeight="1" s="40">
      <c r="A137" s="24" t="n">
        <v>136</v>
      </c>
      <c r="B137" s="24" t="inlineStr">
        <is>
          <t>30/9/2026</t>
        </is>
      </c>
      <c r="C137" s="28" t="inlineStr">
        <is>
          <t>0774384647</t>
        </is>
      </c>
      <c r="D137" s="22">
        <f>IF($C137="","",IFERROR(INDEX(DATA_MASTER!$C$2:$C$5000,MATCH($C137,DATA_MASTER!$D$2:$D$5000,0)),"Chu Thị Hoa Mai"))</f>
        <v/>
      </c>
      <c r="E137" s="22">
        <f>IF($C137="","",IFERROR(INDEX(DATA_MASTER!$I$2:$I$5000,MATCH($C137,DATA_MASTER!$D$2:$D$5000,0)),""))</f>
        <v/>
      </c>
      <c r="F137" s="22">
        <f>IF($C137="","",IFERROR(INDEX(DATA_MASTER!$L$2:$L$5000,MATCH($C137,DATA_MASTER!$D$2:$D$5000,0)),"ZM"))</f>
        <v/>
      </c>
      <c r="G137" s="24" t="inlineStr">
        <is>
          <t>Sữa Aptamil 380g</t>
        </is>
      </c>
      <c r="H137" s="24" t="n">
        <v>1</v>
      </c>
      <c r="I137" s="30" t="n">
        <v>320000</v>
      </c>
      <c r="J137" s="23">
        <f>IF(OR($H137="",$I137=""),"",$H137*$I137)</f>
        <v/>
      </c>
      <c r="K137" s="24" t="inlineStr">
        <is>
          <t>Chuyển khoản QR</t>
        </is>
      </c>
      <c r="L137" s="24" t="inlineStr">
        <is>
          <t>Đã chuyển khoản</t>
        </is>
      </c>
      <c r="M137" s="29" t="inlineStr">
        <is>
          <t>30/9/2026</t>
        </is>
      </c>
      <c r="N137" s="28" t="inlineStr">
        <is>
          <t>0774384647</t>
        </is>
      </c>
      <c r="O137" s="24" t="inlineStr">
        <is>
          <t>Chu Thị Hoa Mai</t>
        </is>
      </c>
      <c r="P137" s="24" t="inlineStr">
        <is>
          <t>38/90 Nguyễn Cộng Hoà, P.An Biên, HP, Hải Phòng</t>
        </is>
      </c>
      <c r="Q137" s="24" t="inlineStr">
        <is>
          <t>Đã giao</t>
        </is>
      </c>
      <c r="R137" s="24" t="inlineStr">
        <is>
          <t>Cute Baby</t>
        </is>
      </c>
      <c r="S137" s="22">
        <f>IF(AND($A137="",$C137=""),"",IF($A137="","Thiếu mã đơn; ","")&amp;IF(COUNTIF($A$2:$A137,$A137)&gt;1,"Trùng mã đơn; ","")&amp;IF(COUNTIF($C$2:$C137,$C137)&gt;1,"Trùng SĐT; ","")&amp;IF(ISNA(MATCH($C137,DATA_MASTER!$D$2:$D$5000,0)),"SĐT chưa đăng ký hội viên; ","")&amp;IF(AND($L137="Đã chuyển khoản",$M137=""),"Thiếu ngày nhận CK; ",""))</f>
        <v/>
      </c>
      <c r="T137" s="24" t="inlineStr">
        <is>
          <t>ĐVVC: spx | Mã VĐ: SPXVN06330965885A</t>
        </is>
      </c>
    </row>
    <row r="138" ht="14.25" customHeight="1" s="40">
      <c r="A138" s="24" t="n">
        <v>137</v>
      </c>
      <c r="B138" s="24" t="inlineStr">
        <is>
          <t>10/01/2026</t>
        </is>
      </c>
      <c r="C138" s="28" t="inlineStr">
        <is>
          <t>0899568250</t>
        </is>
      </c>
      <c r="D138" s="22">
        <f>IF($C138="","",IFERROR(INDEX(DATA_MASTER!$C$2:$C$5000,MATCH($C138,DATA_MASTER!$D$2:$D$5000,0)),"Nguyễn Ngọc Phượng"))</f>
        <v/>
      </c>
      <c r="E138" s="22">
        <f>IF($C138="","",IFERROR(INDEX(DATA_MASTER!$I$2:$I$5000,MATCH($C138,DATA_MASTER!$D$2:$D$5000,0)),""))</f>
        <v/>
      </c>
      <c r="F138" s="22">
        <f>IF($C138="","",IFERROR(INDEX(DATA_MASTER!$L$2:$L$5000,MATCH($C138,DATA_MASTER!$D$2:$D$5000,0)),"ZM"))</f>
        <v/>
      </c>
      <c r="G138" s="24" t="inlineStr">
        <is>
          <t>Sữa Aptamil 380g</t>
        </is>
      </c>
      <c r="H138" s="24" t="n">
        <v>1</v>
      </c>
      <c r="I138" s="30" t="n">
        <v>320000</v>
      </c>
      <c r="J138" s="23">
        <f>IF(OR($H138="",$I138=""),"",$H138*$I138)</f>
        <v/>
      </c>
      <c r="K138" s="24" t="inlineStr">
        <is>
          <t>Chuyển khoản QR</t>
        </is>
      </c>
      <c r="L138" s="24" t="inlineStr">
        <is>
          <t>Đã chuyển khoản</t>
        </is>
      </c>
      <c r="M138" s="29" t="inlineStr">
        <is>
          <t>10/01/2026</t>
        </is>
      </c>
      <c r="N138" s="28" t="inlineStr">
        <is>
          <t>0899568250</t>
        </is>
      </c>
      <c r="O138" s="24" t="inlineStr">
        <is>
          <t>Nguyễn Ngọc Phượng</t>
        </is>
      </c>
      <c r="P138" s="24" t="inlineStr">
        <is>
          <t>131 Dương Đình Nghệ, P.An Biên, HP, Hải Phòng</t>
        </is>
      </c>
      <c r="Q138" s="24" t="inlineStr">
        <is>
          <t>Chờ giao</t>
        </is>
      </c>
      <c r="R138" s="24" t="inlineStr">
        <is>
          <t>Ababy</t>
        </is>
      </c>
      <c r="S138" s="22">
        <f>IF(AND($A138="",$C138=""),"",IF($A138="","Thiếu mã đơn; ","")&amp;IF(COUNTIF($A$2:$A138,$A138)&gt;1,"Trùng mã đơn; ","")&amp;IF(COUNTIF($C$2:$C138,$C138)&gt;1,"Trùng SĐT; ","")&amp;IF(ISNA(MATCH($C138,DATA_MASTER!$D$2:$D$5000,0)),"SĐT chưa đăng ký hội viên; ","")&amp;IF(AND($L138="Đã chuyển khoản",$M138=""),"Thiếu ngày nhận CK; ",""))</f>
        <v/>
      </c>
      <c r="T138" s="24" t="inlineStr"/>
    </row>
    <row r="139" ht="14.25" customHeight="1" s="40">
      <c r="A139" s="24" t="n">
        <v>138</v>
      </c>
      <c r="B139" s="24" t="inlineStr">
        <is>
          <t>10/01/2026</t>
        </is>
      </c>
      <c r="C139" s="28" t="inlineStr">
        <is>
          <t>0982301855</t>
        </is>
      </c>
      <c r="D139" s="22">
        <f>IF($C139="","",IFERROR(INDEX(DATA_MASTER!$C$2:$C$5000,MATCH($C139,DATA_MASTER!$D$2:$D$5000,0)),"Đặng Quỳnh Chi"))</f>
        <v/>
      </c>
      <c r="E139" s="22">
        <f>IF($C139="","",IFERROR(INDEX(DATA_MASTER!$I$2:$I$5000,MATCH($C139,DATA_MASTER!$D$2:$D$5000,0)),""))</f>
        <v/>
      </c>
      <c r="F139" s="22">
        <f>IF($C139="","",IFERROR(INDEX(DATA_MASTER!$L$2:$L$5000,MATCH($C139,DATA_MASTER!$D$2:$D$5000,0)),"ZM"))</f>
        <v/>
      </c>
      <c r="G139" s="24" t="inlineStr">
        <is>
          <t>Sữa Aptamil 380g</t>
        </is>
      </c>
      <c r="H139" s="24" t="n">
        <v>1</v>
      </c>
      <c r="I139" s="30" t="n">
        <v>320000</v>
      </c>
      <c r="J139" s="23">
        <f>IF(OR($H139="",$I139=""),"",$H139*$I139)</f>
        <v/>
      </c>
      <c r="K139" s="24" t="inlineStr">
        <is>
          <t>Chuyển khoản QR</t>
        </is>
      </c>
      <c r="L139" s="24" t="inlineStr">
        <is>
          <t>Đã chuyển khoản</t>
        </is>
      </c>
      <c r="M139" s="29" t="inlineStr">
        <is>
          <t>10/01/2026</t>
        </is>
      </c>
      <c r="N139" s="28" t="inlineStr">
        <is>
          <t>0982301855</t>
        </is>
      </c>
      <c r="O139" s="24" t="inlineStr">
        <is>
          <t>Đặng Quỳnh Chi</t>
        </is>
      </c>
      <c r="P139" s="24" t="inlineStr">
        <is>
          <t>45/66 Nguyễn Hồng Quân, P. Hồng Bàng, HP, Hải Phòng</t>
        </is>
      </c>
      <c r="Q139" s="24" t="inlineStr">
        <is>
          <t>Đã giao</t>
        </is>
      </c>
      <c r="R139" s="24" t="inlineStr">
        <is>
          <t>Ababy</t>
        </is>
      </c>
      <c r="S139" s="22">
        <f>IF(AND($A139="",$C139=""),"",IF($A139="","Thiếu mã đơn; ","")&amp;IF(COUNTIF($A$2:$A139,$A139)&gt;1,"Trùng mã đơn; ","")&amp;IF(COUNTIF($C$2:$C139,$C139)&gt;1,"Trùng SĐT; ","")&amp;IF(ISNA(MATCH($C139,DATA_MASTER!$D$2:$D$5000,0)),"SĐT chưa đăng ký hội viên; ","")&amp;IF(AND($L139="Đã chuyển khoản",$M139=""),"Thiếu ngày nhận CK; ",""))</f>
        <v/>
      </c>
      <c r="T139" s="24" t="inlineStr">
        <is>
          <t>ĐVVC: grap</t>
        </is>
      </c>
    </row>
    <row r="140" ht="14.25" customHeight="1" s="40">
      <c r="A140" s="24" t="n">
        <v>139</v>
      </c>
      <c r="B140" s="24" t="inlineStr">
        <is>
          <t>30/9/2026</t>
        </is>
      </c>
      <c r="C140" s="28" t="inlineStr">
        <is>
          <t>0789340415</t>
        </is>
      </c>
      <c r="D140" s="22">
        <f>IF($C140="","",IFERROR(INDEX(DATA_MASTER!$C$2:$C$5000,MATCH($C140,DATA_MASTER!$D$2:$D$5000,0)),"Nguyễn Thị Lan Phương"))</f>
        <v/>
      </c>
      <c r="E140" s="22">
        <f>IF($C140="","",IFERROR(INDEX(DATA_MASTER!$I$2:$I$5000,MATCH($C140,DATA_MASTER!$D$2:$D$5000,0)),""))</f>
        <v/>
      </c>
      <c r="F140" s="22">
        <f>IF($C140="","",IFERROR(INDEX(DATA_MASTER!$L$2:$L$5000,MATCH($C140,DATA_MASTER!$D$2:$D$5000,0)),"ZM"))</f>
        <v/>
      </c>
      <c r="G140" s="24" t="inlineStr">
        <is>
          <t>Sữa Aptamil 380g</t>
        </is>
      </c>
      <c r="H140" s="24" t="n">
        <v>1</v>
      </c>
      <c r="I140" s="30" t="n">
        <v>320000</v>
      </c>
      <c r="J140" s="23">
        <f>IF(OR($H140="",$I140=""),"",$H140*$I140)</f>
        <v/>
      </c>
      <c r="K140" s="24" t="inlineStr">
        <is>
          <t>Chuyển khoản QR</t>
        </is>
      </c>
      <c r="L140" s="24" t="inlineStr">
        <is>
          <t>Chờ chuyển khoản</t>
        </is>
      </c>
      <c r="M140" s="29" t="inlineStr">
        <is>
          <t>30/9/2026</t>
        </is>
      </c>
      <c r="N140" s="28" t="inlineStr">
        <is>
          <t>0789340415</t>
        </is>
      </c>
      <c r="O140" s="24" t="inlineStr">
        <is>
          <t>Nguyễn Thị Lan Phương</t>
        </is>
      </c>
      <c r="P140" s="24" t="inlineStr">
        <is>
          <t>25/285 Trần Nhân Tông, Phù Liễn, HP, Hải Phòng</t>
        </is>
      </c>
      <c r="Q140" s="24" t="inlineStr">
        <is>
          <t>Chờ giao</t>
        </is>
      </c>
      <c r="R140" s="24" t="inlineStr">
        <is>
          <t>Cute Baby</t>
        </is>
      </c>
      <c r="S140" s="22">
        <f>IF(AND($A140="",$C140=""),"",IF($A140="","Thiếu mã đơn; ","")&amp;IF(COUNTIF($A$2:$A140,$A140)&gt;1,"Trùng mã đơn; ","")&amp;IF(COUNTIF($C$2:$C140,$C140)&gt;1,"Trùng SĐT; ","")&amp;IF(ISNA(MATCH($C140,DATA_MASTER!$D$2:$D$5000,0)),"SĐT chưa đăng ký hội viên; ","")&amp;IF(AND($L140="Đã chuyển khoản",$M140=""),"Thiếu ngày nhận CK; ",""))</f>
        <v/>
      </c>
      <c r="T140" s="24" t="inlineStr"/>
    </row>
    <row r="141" ht="14.25" customHeight="1" s="40">
      <c r="A141" s="24" t="n">
        <v>140</v>
      </c>
      <c r="B141" s="24" t="inlineStr">
        <is>
          <t>10/01/2026</t>
        </is>
      </c>
      <c r="C141" s="28" t="inlineStr">
        <is>
          <t>0385638312</t>
        </is>
      </c>
      <c r="D141" s="22">
        <f>IF($C141="","",IFERROR(INDEX(DATA_MASTER!$C$2:$C$5000,MATCH($C141,DATA_MASTER!$D$2:$D$5000,0)),"Phạm Thị Thuý Ngân"))</f>
        <v/>
      </c>
      <c r="E141" s="22">
        <f>IF($C141="","",IFERROR(INDEX(DATA_MASTER!$I$2:$I$5000,MATCH($C141,DATA_MASTER!$D$2:$D$5000,0)),""))</f>
        <v/>
      </c>
      <c r="F141" s="22">
        <f>IF($C141="","",IFERROR(INDEX(DATA_MASTER!$L$2:$L$5000,MATCH($C141,DATA_MASTER!$D$2:$D$5000,0)),"ZM"))</f>
        <v/>
      </c>
      <c r="G141" s="24" t="inlineStr">
        <is>
          <t>Sữa Aptamil 380g</t>
        </is>
      </c>
      <c r="H141" s="24" t="n">
        <v>1</v>
      </c>
      <c r="I141" s="30" t="n">
        <v>320000</v>
      </c>
      <c r="J141" s="23">
        <f>IF(OR($H141="",$I141=""),"",$H141*$I141)</f>
        <v/>
      </c>
      <c r="K141" s="24" t="inlineStr">
        <is>
          <t>Chuyển khoản QR</t>
        </is>
      </c>
      <c r="L141" s="24" t="inlineStr">
        <is>
          <t>Đã chuyển khoản</t>
        </is>
      </c>
      <c r="M141" s="29" t="inlineStr">
        <is>
          <t>10/01/2026</t>
        </is>
      </c>
      <c r="N141" s="28" t="inlineStr">
        <is>
          <t>0385638312</t>
        </is>
      </c>
      <c r="O141" s="24" t="inlineStr">
        <is>
          <t>Phạm Thị Thuý Ngân</t>
        </is>
      </c>
      <c r="P141" s="24" t="inlineStr">
        <is>
          <t>số nhà 73, tổ 2 , phường Hòa Nghĩa , quận Dương Kinh, Hải Phòng</t>
        </is>
      </c>
      <c r="Q141" s="24" t="inlineStr">
        <is>
          <t>Đã giao</t>
        </is>
      </c>
      <c r="R141" s="24" t="inlineStr">
        <is>
          <t>Ababy</t>
        </is>
      </c>
      <c r="S141" s="22">
        <f>IF(AND($A141="",$C141=""),"",IF($A141="","Thiếu mã đơn; ","")&amp;IF(COUNTIF($A$2:$A141,$A141)&gt;1,"Trùng mã đơn; ","")&amp;IF(COUNTIF($C$2:$C141,$C141)&gt;1,"Trùng SĐT; ","")&amp;IF(ISNA(MATCH($C141,DATA_MASTER!$D$2:$D$5000,0)),"SĐT chưa đăng ký hội viên; ","")&amp;IF(AND($L141="Đã chuyển khoản",$M141=""),"Thiếu ngày nhận CK; ",""))</f>
        <v/>
      </c>
      <c r="T141" s="24" t="inlineStr">
        <is>
          <t>ĐVVC: Viettel Post | Mã VĐ: 153568245718 | POD: https://drive.google.com/file/d/1qiRxasiF81ufDOOjh6gLoGMEt1i9ahy4/view?usp=drive_link</t>
        </is>
      </c>
    </row>
    <row r="142" ht="14.25" customHeight="1" s="40">
      <c r="A142" s="24" t="n">
        <v>141</v>
      </c>
      <c r="B142" s="24" t="inlineStr">
        <is>
          <t>10/01/2026</t>
        </is>
      </c>
      <c r="C142" s="28" t="inlineStr">
        <is>
          <t>0836631588</t>
        </is>
      </c>
      <c r="D142" s="22">
        <f>IF($C142="","",IFERROR(INDEX(DATA_MASTER!$C$2:$C$5000,MATCH($C142,DATA_MASTER!$D$2:$D$5000,0)),"Nguyễn Thị Mai Anh"))</f>
        <v/>
      </c>
      <c r="E142" s="22">
        <f>IF($C142="","",IFERROR(INDEX(DATA_MASTER!$I$2:$I$5000,MATCH($C142,DATA_MASTER!$D$2:$D$5000,0)),""))</f>
        <v/>
      </c>
      <c r="F142" s="22">
        <f>IF($C142="","",IFERROR(INDEX(DATA_MASTER!$L$2:$L$5000,MATCH($C142,DATA_MASTER!$D$2:$D$5000,0)),"ZM"))</f>
        <v/>
      </c>
      <c r="G142" s="24" t="inlineStr">
        <is>
          <t>Sữa Aptamil 380g</t>
        </is>
      </c>
      <c r="H142" s="24" t="n">
        <v>1</v>
      </c>
      <c r="I142" s="30" t="n">
        <v>320000</v>
      </c>
      <c r="J142" s="23">
        <f>IF(OR($H142="",$I142=""),"",$H142*$I142)</f>
        <v/>
      </c>
      <c r="K142" s="24" t="inlineStr">
        <is>
          <t>Chuyển khoản QR</t>
        </is>
      </c>
      <c r="L142" s="24" t="inlineStr">
        <is>
          <t>Chờ chuyển khoản</t>
        </is>
      </c>
      <c r="M142" s="29" t="inlineStr">
        <is>
          <t>10/01/2026</t>
        </is>
      </c>
      <c r="N142" s="28" t="inlineStr">
        <is>
          <t>0836631588</t>
        </is>
      </c>
      <c r="O142" s="24" t="inlineStr">
        <is>
          <t>Nguyễn Thị Mai Anh</t>
        </is>
      </c>
      <c r="P142" s="24" t="inlineStr">
        <is>
          <t>số 4, ngách 6, ngõ 3, Phù Nội, Thanh Miện, HP, Hải Phòng</t>
        </is>
      </c>
      <c r="Q142" s="24" t="inlineStr">
        <is>
          <t>Chờ giao</t>
        </is>
      </c>
      <c r="R142" s="24" t="inlineStr">
        <is>
          <t>Ababy</t>
        </is>
      </c>
      <c r="S142" s="22">
        <f>IF(AND($A142="",$C142=""),"",IF($A142="","Thiếu mã đơn; ","")&amp;IF(COUNTIF($A$2:$A142,$A142)&gt;1,"Trùng mã đơn; ","")&amp;IF(COUNTIF($C$2:$C142,$C142)&gt;1,"Trùng SĐT; ","")&amp;IF(ISNA(MATCH($C142,DATA_MASTER!$D$2:$D$5000,0)),"SĐT chưa đăng ký hội viên; ","")&amp;IF(AND($L142="Đã chuyển khoản",$M142=""),"Thiếu ngày nhận CK; ",""))</f>
        <v/>
      </c>
      <c r="T142" s="24" t="inlineStr"/>
    </row>
    <row r="143" ht="14.25" customHeight="1" s="40">
      <c r="A143" s="24" t="n">
        <v>142</v>
      </c>
      <c r="B143" s="24" t="inlineStr">
        <is>
          <t>10/01/2026</t>
        </is>
      </c>
      <c r="C143" s="28" t="inlineStr">
        <is>
          <t>0789253078</t>
        </is>
      </c>
      <c r="D143" s="22">
        <f>IF($C143="","",IFERROR(INDEX(DATA_MASTER!$C$2:$C$5000,MATCH($C143,DATA_MASTER!$D$2:$D$5000,0)),"Nhữ Thị Hồng Duyên"))</f>
        <v/>
      </c>
      <c r="E143" s="22">
        <f>IF($C143="","",IFERROR(INDEX(DATA_MASTER!$I$2:$I$5000,MATCH($C143,DATA_MASTER!$D$2:$D$5000,0)),""))</f>
        <v/>
      </c>
      <c r="F143" s="22">
        <f>IF($C143="","",IFERROR(INDEX(DATA_MASTER!$L$2:$L$5000,MATCH($C143,DATA_MASTER!$D$2:$D$5000,0)),"ZM"))</f>
        <v/>
      </c>
      <c r="G143" s="24" t="inlineStr">
        <is>
          <t>Sữa Aptamil 380g</t>
        </is>
      </c>
      <c r="H143" s="24" t="n">
        <v>1</v>
      </c>
      <c r="I143" s="30" t="n">
        <v>320000</v>
      </c>
      <c r="J143" s="23">
        <f>IF(OR($H143="",$I143=""),"",$H143*$I143)</f>
        <v/>
      </c>
      <c r="K143" s="24" t="inlineStr">
        <is>
          <t>Chuyển khoản QR</t>
        </is>
      </c>
      <c r="L143" s="24" t="inlineStr">
        <is>
          <t>Chờ chuyển khoản</t>
        </is>
      </c>
      <c r="M143" s="29" t="inlineStr">
        <is>
          <t>10/01/2026</t>
        </is>
      </c>
      <c r="N143" s="28" t="inlineStr">
        <is>
          <t>0789253078</t>
        </is>
      </c>
      <c r="O143" s="24" t="inlineStr">
        <is>
          <t>Nhữ Thị Hồng Duyên</t>
        </is>
      </c>
      <c r="P143" s="24" t="inlineStr">
        <is>
          <t>Nam tử 2, Tân Minh, Tiên Lãng, HP, Hải Phòng</t>
        </is>
      </c>
      <c r="Q143" s="24" t="inlineStr">
        <is>
          <t>Chờ giao</t>
        </is>
      </c>
      <c r="R143" s="24" t="inlineStr">
        <is>
          <t>Ababy</t>
        </is>
      </c>
      <c r="S143" s="22">
        <f>IF(AND($A143="",$C143=""),"",IF($A143="","Thiếu mã đơn; ","")&amp;IF(COUNTIF($A$2:$A143,$A143)&gt;1,"Trùng mã đơn; ","")&amp;IF(COUNTIF($C$2:$C143,$C143)&gt;1,"Trùng SĐT; ","")&amp;IF(ISNA(MATCH($C143,DATA_MASTER!$D$2:$D$5000,0)),"SĐT chưa đăng ký hội viên; ","")&amp;IF(AND($L143="Đã chuyển khoản",$M143=""),"Thiếu ngày nhận CK; ",""))</f>
        <v/>
      </c>
      <c r="T143" s="24" t="inlineStr"/>
    </row>
    <row r="144" ht="14.25" customHeight="1" s="40">
      <c r="A144" s="24" t="n">
        <v>143</v>
      </c>
      <c r="B144" s="24" t="inlineStr">
        <is>
          <t>10/01/2026</t>
        </is>
      </c>
      <c r="C144" s="28" t="inlineStr">
        <is>
          <t>0368199962</t>
        </is>
      </c>
      <c r="D144" s="22">
        <f>IF($C144="","",IFERROR(INDEX(DATA_MASTER!$C$2:$C$5000,MATCH($C144,DATA_MASTER!$D$2:$D$5000,0)),"Trần Thị Thanh"))</f>
        <v/>
      </c>
      <c r="E144" s="22">
        <f>IF($C144="","",IFERROR(INDEX(DATA_MASTER!$I$2:$I$5000,MATCH($C144,DATA_MASTER!$D$2:$D$5000,0)),""))</f>
        <v/>
      </c>
      <c r="F144" s="22">
        <f>IF($C144="","",IFERROR(INDEX(DATA_MASTER!$L$2:$L$5000,MATCH($C144,DATA_MASTER!$D$2:$D$5000,0)),"ZM"))</f>
        <v/>
      </c>
      <c r="G144" s="24" t="inlineStr">
        <is>
          <t>Sữa Aptamil 380g</t>
        </is>
      </c>
      <c r="H144" s="24" t="n">
        <v>1</v>
      </c>
      <c r="I144" s="30" t="n">
        <v>320000</v>
      </c>
      <c r="J144" s="23">
        <f>IF(OR($H144="",$I144=""),"",$H144*$I144)</f>
        <v/>
      </c>
      <c r="K144" s="24" t="inlineStr">
        <is>
          <t>Chuyển khoản QR</t>
        </is>
      </c>
      <c r="L144" s="24" t="inlineStr">
        <is>
          <t>Đã chuyển khoản</t>
        </is>
      </c>
      <c r="M144" s="29" t="inlineStr">
        <is>
          <t>10/01/2026</t>
        </is>
      </c>
      <c r="N144" s="28" t="inlineStr">
        <is>
          <t>0368199962</t>
        </is>
      </c>
      <c r="O144" s="24" t="inlineStr">
        <is>
          <t>Trần Thị Thanh</t>
        </is>
      </c>
      <c r="P144" s="24" t="inlineStr">
        <is>
          <t>28 An Lộc, Trang Quan, An Hải, HP, Hải Phòng</t>
        </is>
      </c>
      <c r="Q144" s="24" t="inlineStr">
        <is>
          <t>Đã giao</t>
        </is>
      </c>
      <c r="R144" s="24" t="inlineStr">
        <is>
          <t>Ababy</t>
        </is>
      </c>
      <c r="S144" s="22">
        <f>IF(AND($A144="",$C144=""),"",IF($A144="","Thiếu mã đơn; ","")&amp;IF(COUNTIF($A$2:$A144,$A144)&gt;1,"Trùng mã đơn; ","")&amp;IF(COUNTIF($C$2:$C144,$C144)&gt;1,"Trùng SĐT; ","")&amp;IF(ISNA(MATCH($C144,DATA_MASTER!$D$2:$D$5000,0)),"SĐT chưa đăng ký hội viên; ","")&amp;IF(AND($L144="Đã chuyển khoản",$M144=""),"Thiếu ngày nhận CK; ",""))</f>
        <v/>
      </c>
      <c r="T144" s="24" t="inlineStr">
        <is>
          <t>ĐVVC: Viettel Post | Mã VĐ: EO544217490VN | POD: https://drive.google.com/file/d/178pFcAbVE4WIFGA9Qg5bTH-DAEqQGkUn/view?usp=drive_link</t>
        </is>
      </c>
    </row>
    <row r="145" ht="14.25" customHeight="1" s="40">
      <c r="A145" s="24" t="n">
        <v>144</v>
      </c>
      <c r="B145" s="24" t="inlineStr">
        <is>
          <t>30/9/2026</t>
        </is>
      </c>
      <c r="C145" s="28" t="inlineStr">
        <is>
          <t>0983329616</t>
        </is>
      </c>
      <c r="D145" s="22">
        <f>IF($C145="","",IFERROR(INDEX(DATA_MASTER!$C$2:$C$5000,MATCH($C145,DATA_MASTER!$D$2:$D$5000,0)),"Phạm Hồng Nhung"))</f>
        <v/>
      </c>
      <c r="E145" s="22">
        <f>IF($C145="","",IFERROR(INDEX(DATA_MASTER!$I$2:$I$5000,MATCH($C145,DATA_MASTER!$D$2:$D$5000,0)),""))</f>
        <v/>
      </c>
      <c r="F145" s="22">
        <f>IF($C145="","",IFERROR(INDEX(DATA_MASTER!$L$2:$L$5000,MATCH($C145,DATA_MASTER!$D$2:$D$5000,0)),"ZM"))</f>
        <v/>
      </c>
      <c r="G145" s="24" t="inlineStr">
        <is>
          <t>Sữa Aptamil 380g</t>
        </is>
      </c>
      <c r="H145" s="24" t="n">
        <v>1</v>
      </c>
      <c r="I145" s="30" t="n">
        <v>320000</v>
      </c>
      <c r="J145" s="23">
        <f>IF(OR($H145="",$I145=""),"",$H145*$I145)</f>
        <v/>
      </c>
      <c r="K145" s="24" t="inlineStr">
        <is>
          <t>Chuyển khoản QR</t>
        </is>
      </c>
      <c r="L145" s="24" t="inlineStr">
        <is>
          <t>Chờ chuyển khoản</t>
        </is>
      </c>
      <c r="M145" s="29" t="inlineStr">
        <is>
          <t>30/9/2026</t>
        </is>
      </c>
      <c r="N145" s="28" t="inlineStr">
        <is>
          <t>0983329616</t>
        </is>
      </c>
      <c r="O145" s="24" t="inlineStr">
        <is>
          <t>Phạm Hồng Nhung</t>
        </is>
      </c>
      <c r="P145" s="24" t="inlineStr">
        <is>
          <t>Phòng 2809 CT3, chung cư Gelexia, 885 Tam Trinh, Hoàng Mai, Hà Nội</t>
        </is>
      </c>
      <c r="Q145" s="24" t="inlineStr">
        <is>
          <t>Chờ giao</t>
        </is>
      </c>
      <c r="R145" s="24" t="inlineStr">
        <is>
          <t>Mẹ Ơi</t>
        </is>
      </c>
      <c r="S145" s="22">
        <f>IF(AND($A145="",$C145=""),"",IF($A145="","Thiếu mã đơn; ","")&amp;IF(COUNTIF($A$2:$A145,$A145)&gt;1,"Trùng mã đơn; ","")&amp;IF(COUNTIF($C$2:$C145,$C145)&gt;1,"Trùng SĐT; ","")&amp;IF(ISNA(MATCH($C145,DATA_MASTER!$D$2:$D$5000,0)),"SĐT chưa đăng ký hội viên; ","")&amp;IF(AND($L145="Đã chuyển khoản",$M145=""),"Thiếu ngày nhận CK; ",""))</f>
        <v/>
      </c>
      <c r="T145" s="24" t="inlineStr"/>
    </row>
    <row r="146" ht="14.25" customHeight="1" s="40">
      <c r="A146" s="24" t="n">
        <v>145</v>
      </c>
      <c r="B146" s="24" t="inlineStr">
        <is>
          <t>30/9/2026</t>
        </is>
      </c>
      <c r="C146" s="28" t="inlineStr">
        <is>
          <t>0987828493</t>
        </is>
      </c>
      <c r="D146" s="22">
        <f>IF($C146="","",IFERROR(INDEX(DATA_MASTER!$C$2:$C$5000,MATCH($C146,DATA_MASTER!$D$2:$D$5000,0)),"Chị Thoa"))</f>
        <v/>
      </c>
      <c r="E146" s="22">
        <f>IF($C146="","",IFERROR(INDEX(DATA_MASTER!$I$2:$I$5000,MATCH($C146,DATA_MASTER!$D$2:$D$5000,0)),""))</f>
        <v/>
      </c>
      <c r="F146" s="22">
        <f>IF($C146="","",IFERROR(INDEX(DATA_MASTER!$L$2:$L$5000,MATCH($C146,DATA_MASTER!$D$2:$D$5000,0)),"ZM"))</f>
        <v/>
      </c>
      <c r="G146" s="24" t="inlineStr">
        <is>
          <t>Sữa Aptamil 380g</t>
        </is>
      </c>
      <c r="H146" s="24" t="n">
        <v>1</v>
      </c>
      <c r="I146" s="30" t="n">
        <v>320000</v>
      </c>
      <c r="J146" s="23">
        <f>IF(OR($H146="",$I146=""),"",$H146*$I146)</f>
        <v/>
      </c>
      <c r="K146" s="24" t="inlineStr">
        <is>
          <t>Chuyển khoản QR</t>
        </is>
      </c>
      <c r="L146" s="24" t="inlineStr">
        <is>
          <t>Chờ chuyển khoản</t>
        </is>
      </c>
      <c r="M146" s="29" t="inlineStr">
        <is>
          <t>30/9/2026</t>
        </is>
      </c>
      <c r="N146" s="28" t="inlineStr">
        <is>
          <t>0987828493</t>
        </is>
      </c>
      <c r="O146" s="24" t="inlineStr">
        <is>
          <t>Chị Thoa</t>
        </is>
      </c>
      <c r="P146" s="24" t="inlineStr">
        <is>
          <t>Phòng 612, Nơ 23 KĐT Pháp Vân, Hà Nội</t>
        </is>
      </c>
      <c r="Q146" s="24" t="inlineStr">
        <is>
          <t>Chờ giao</t>
        </is>
      </c>
      <c r="R146" s="24" t="inlineStr">
        <is>
          <t>Mẹ Ơi</t>
        </is>
      </c>
      <c r="S146" s="22">
        <f>IF(AND($A146="",$C146=""),"",IF($A146="","Thiếu mã đơn; ","")&amp;IF(COUNTIF($A$2:$A146,$A146)&gt;1,"Trùng mã đơn; ","")&amp;IF(COUNTIF($C$2:$C146,$C146)&gt;1,"Trùng SĐT; ","")&amp;IF(ISNA(MATCH($C146,DATA_MASTER!$D$2:$D$5000,0)),"SĐT chưa đăng ký hội viên; ","")&amp;IF(AND($L146="Đã chuyển khoản",$M146=""),"Thiếu ngày nhận CK; ",""))</f>
        <v/>
      </c>
      <c r="T146" s="24" t="inlineStr"/>
    </row>
    <row r="147" ht="14.25" customHeight="1" s="40">
      <c r="A147" s="24" t="n">
        <v>146</v>
      </c>
      <c r="B147" s="24" t="inlineStr">
        <is>
          <t>30/9/2026</t>
        </is>
      </c>
      <c r="C147" s="28" t="inlineStr">
        <is>
          <t>0915073518</t>
        </is>
      </c>
      <c r="D147" s="22">
        <f>IF($C147="","",IFERROR(INDEX(DATA_MASTER!$C$2:$C$5000,MATCH($C147,DATA_MASTER!$D$2:$D$5000,0)),"Trà Lê"))</f>
        <v/>
      </c>
      <c r="E147" s="22">
        <f>IF($C147="","",IFERROR(INDEX(DATA_MASTER!$I$2:$I$5000,MATCH($C147,DATA_MASTER!$D$2:$D$5000,0)),""))</f>
        <v/>
      </c>
      <c r="F147" s="22">
        <f>IF($C147="","",IFERROR(INDEX(DATA_MASTER!$L$2:$L$5000,MATCH($C147,DATA_MASTER!$D$2:$D$5000,0)),"ZM"))</f>
        <v/>
      </c>
      <c r="G147" s="24" t="inlineStr">
        <is>
          <t>Sữa Aptamil 380g</t>
        </is>
      </c>
      <c r="H147" s="24" t="n">
        <v>1</v>
      </c>
      <c r="I147" s="30" t="n">
        <v>320000</v>
      </c>
      <c r="J147" s="23">
        <f>IF(OR($H147="",$I147=""),"",$H147*$I147)</f>
        <v/>
      </c>
      <c r="K147" s="24" t="inlineStr">
        <is>
          <t>Chuyển khoản QR</t>
        </is>
      </c>
      <c r="L147" s="24" t="inlineStr">
        <is>
          <t>Đã chuyển khoản</t>
        </is>
      </c>
      <c r="M147" s="29" t="inlineStr">
        <is>
          <t>30/9/2026</t>
        </is>
      </c>
      <c r="N147" s="28" t="inlineStr">
        <is>
          <t>0915073518</t>
        </is>
      </c>
      <c r="O147" s="24" t="inlineStr">
        <is>
          <t>Trà Lê</t>
        </is>
      </c>
      <c r="P147" s="24" t="inlineStr">
        <is>
          <t>Số nhà 35, ngõ 39, tổ 7, Đa Sỹ, Hà Đông, Hà Nội</t>
        </is>
      </c>
      <c r="Q147" s="24" t="inlineStr">
        <is>
          <t>Đã giao</t>
        </is>
      </c>
      <c r="R147" s="24" t="inlineStr">
        <is>
          <t>Mẹ Ơi</t>
        </is>
      </c>
      <c r="S147" s="22">
        <f>IF(AND($A147="",$C147=""),"",IF($A147="","Thiếu mã đơn; ","")&amp;IF(COUNTIF($A$2:$A147,$A147)&gt;1,"Trùng mã đơn; ","")&amp;IF(COUNTIF($C$2:$C147,$C147)&gt;1,"Trùng SĐT; ","")&amp;IF(ISNA(MATCH($C147,DATA_MASTER!$D$2:$D$5000,0)),"SĐT chưa đăng ký hội viên; ","")&amp;IF(AND($L147="Đã chuyển khoản",$M147=""),"Thiếu ngày nhận CK; ",""))</f>
        <v/>
      </c>
      <c r="T147" s="24" t="inlineStr">
        <is>
          <t>ĐVVC: Viettel Post | Mã VĐ: 153568245718 | POD: https://drive.google.com/file/d/1qiRxasiF81ufDOOjh6gLoGMEt1i9ahy4/view?usp=drive_link</t>
        </is>
      </c>
    </row>
    <row r="148" ht="14.25" customHeight="1" s="40">
      <c r="A148" s="24" t="n">
        <v>147</v>
      </c>
      <c r="B148" s="24" t="inlineStr">
        <is>
          <t>30/9/2026</t>
        </is>
      </c>
      <c r="C148" s="28" t="inlineStr">
        <is>
          <t>0356966195</t>
        </is>
      </c>
      <c r="D148" s="22">
        <f>IF($C148="","",IFERROR(INDEX(DATA_MASTER!$C$2:$C$5000,MATCH($C148,DATA_MASTER!$D$2:$D$5000,0)),"Chị Linh"))</f>
        <v/>
      </c>
      <c r="E148" s="22">
        <f>IF($C148="","",IFERROR(INDEX(DATA_MASTER!$I$2:$I$5000,MATCH($C148,DATA_MASTER!$D$2:$D$5000,0)),""))</f>
        <v/>
      </c>
      <c r="F148" s="22">
        <f>IF($C148="","",IFERROR(INDEX(DATA_MASTER!$L$2:$L$5000,MATCH($C148,DATA_MASTER!$D$2:$D$5000,0)),"ZM"))</f>
        <v/>
      </c>
      <c r="G148" s="24" t="inlineStr">
        <is>
          <t>Sữa Aptamil 380g</t>
        </is>
      </c>
      <c r="H148" s="24" t="n">
        <v>1</v>
      </c>
      <c r="I148" s="30" t="n">
        <v>320000</v>
      </c>
      <c r="J148" s="23">
        <f>IF(OR($H148="",$I148=""),"",$H148*$I148)</f>
        <v/>
      </c>
      <c r="K148" s="24" t="inlineStr">
        <is>
          <t>Chuyển khoản QR</t>
        </is>
      </c>
      <c r="L148" s="24" t="inlineStr">
        <is>
          <t>Đã chuyển khoản</t>
        </is>
      </c>
      <c r="M148" s="29" t="inlineStr">
        <is>
          <t>30/9/2026</t>
        </is>
      </c>
      <c r="N148" s="28" t="inlineStr">
        <is>
          <t>0356966195</t>
        </is>
      </c>
      <c r="O148" s="24" t="inlineStr">
        <is>
          <t>Chị Linh</t>
        </is>
      </c>
      <c r="P148" s="24" t="inlineStr">
        <is>
          <t>P616, chung cư An Quý Hưng, Long Biên, Hà Nội</t>
        </is>
      </c>
      <c r="Q148" s="24" t="inlineStr">
        <is>
          <t>Đã giao</t>
        </is>
      </c>
      <c r="R148" s="24" t="inlineStr">
        <is>
          <t>Mẹ Ơi</t>
        </is>
      </c>
      <c r="S148" s="22">
        <f>IF(AND($A148="",$C148=""),"",IF($A148="","Thiếu mã đơn; ","")&amp;IF(COUNTIF($A$2:$A148,$A148)&gt;1,"Trùng mã đơn; ","")&amp;IF(COUNTIF($C$2:$C148,$C148)&gt;1,"Trùng SĐT; ","")&amp;IF(ISNA(MATCH($C148,DATA_MASTER!$D$2:$D$5000,0)),"SĐT chưa đăng ký hội viên; ","")&amp;IF(AND($L148="Đã chuyển khoản",$M148=""),"Thiếu ngày nhận CK; ",""))</f>
        <v/>
      </c>
      <c r="T148" s="24" t="inlineStr">
        <is>
          <t>ĐVVC: Viettel Post | Mã VĐ: 153570170635 | POD: https://drive.google.com/file/d/1pnd0WMGVkB_KlMeOpqKIp1pHQnvU0XGy/view?usp=drive_link</t>
        </is>
      </c>
    </row>
    <row r="149" ht="14.25" customHeight="1" s="40">
      <c r="A149" s="24" t="n">
        <v>148</v>
      </c>
      <c r="B149" s="24" t="inlineStr">
        <is>
          <t>30/9/2026</t>
        </is>
      </c>
      <c r="C149" s="28" t="inlineStr">
        <is>
          <t>0918489102</t>
        </is>
      </c>
      <c r="D149" s="22">
        <f>IF($C149="","",IFERROR(INDEX(DATA_MASTER!$C$2:$C$5000,MATCH($C149,DATA_MASTER!$D$2:$D$5000,0)),"Chị Bích"))</f>
        <v/>
      </c>
      <c r="E149" s="22">
        <f>IF($C149="","",IFERROR(INDEX(DATA_MASTER!$I$2:$I$5000,MATCH($C149,DATA_MASTER!$D$2:$D$5000,0)),""))</f>
        <v/>
      </c>
      <c r="F149" s="22">
        <f>IF($C149="","",IFERROR(INDEX(DATA_MASTER!$L$2:$L$5000,MATCH($C149,DATA_MASTER!$D$2:$D$5000,0)),"ZM"))</f>
        <v/>
      </c>
      <c r="G149" s="24" t="inlineStr">
        <is>
          <t>Sữa Aptamil 380g</t>
        </is>
      </c>
      <c r="H149" s="24" t="n">
        <v>1</v>
      </c>
      <c r="I149" s="30" t="n">
        <v>320000</v>
      </c>
      <c r="J149" s="23">
        <f>IF(OR($H149="",$I149=""),"",$H149*$I149)</f>
        <v/>
      </c>
      <c r="K149" s="24" t="inlineStr">
        <is>
          <t>Chuyển khoản QR</t>
        </is>
      </c>
      <c r="L149" s="24" t="inlineStr">
        <is>
          <t>Đã chuyển khoản</t>
        </is>
      </c>
      <c r="M149" s="29" t="inlineStr">
        <is>
          <t>30/9/2026</t>
        </is>
      </c>
      <c r="N149" s="28" t="inlineStr">
        <is>
          <t>0918489102</t>
        </is>
      </c>
      <c r="O149" s="24" t="inlineStr">
        <is>
          <t>Chị Bích</t>
        </is>
      </c>
      <c r="P149" s="24" t="inlineStr">
        <is>
          <t>Tầng 6, phòng 620, tòa HH3B Linh Đàm, Hà Nội</t>
        </is>
      </c>
      <c r="Q149" s="24" t="inlineStr">
        <is>
          <t>Đã giao</t>
        </is>
      </c>
      <c r="R149" s="24" t="inlineStr">
        <is>
          <t>Mẹ Ơi</t>
        </is>
      </c>
      <c r="S149" s="22">
        <f>IF(AND($A149="",$C149=""),"",IF($A149="","Thiếu mã đơn; ","")&amp;IF(COUNTIF($A$2:$A149,$A149)&gt;1,"Trùng mã đơn; ","")&amp;IF(COUNTIF($C$2:$C149,$C149)&gt;1,"Trùng SĐT; ","")&amp;IF(ISNA(MATCH($C149,DATA_MASTER!$D$2:$D$5000,0)),"SĐT chưa đăng ký hội viên; ","")&amp;IF(AND($L149="Đã chuyển khoản",$M149=""),"Thiếu ngày nhận CK; ",""))</f>
        <v/>
      </c>
      <c r="T149" s="24" t="inlineStr">
        <is>
          <t>ĐVVC: Viettel Post | Mã VĐ: 153570203955 | POD: https://drive.google.com/file/d/1hz3xWc2hpAr6pjy0uWSZfCVfQ5QiVSBO/view?usp=drive_link</t>
        </is>
      </c>
    </row>
    <row r="150" ht="14.25" customHeight="1" s="40">
      <c r="A150" s="24" t="n">
        <v>149</v>
      </c>
      <c r="B150" s="24" t="inlineStr">
        <is>
          <t>30/9/2026</t>
        </is>
      </c>
      <c r="C150" s="28" t="inlineStr">
        <is>
          <t>0903477010</t>
        </is>
      </c>
      <c r="D150" s="22">
        <f>IF($C150="","",IFERROR(INDEX(DATA_MASTER!$C$2:$C$5000,MATCH($C150,DATA_MASTER!$D$2:$D$5000,0)),"Hoàng Thanh Trà"))</f>
        <v/>
      </c>
      <c r="E150" s="22">
        <f>IF($C150="","",IFERROR(INDEX(DATA_MASTER!$I$2:$I$5000,MATCH($C150,DATA_MASTER!$D$2:$D$5000,0)),""))</f>
        <v/>
      </c>
      <c r="F150" s="22">
        <f>IF($C150="","",IFERROR(INDEX(DATA_MASTER!$L$2:$L$5000,MATCH($C150,DATA_MASTER!$D$2:$D$5000,0)),"ZM"))</f>
        <v/>
      </c>
      <c r="G150" s="24" t="inlineStr">
        <is>
          <t>Sữa Aptamil 380g</t>
        </is>
      </c>
      <c r="H150" s="24" t="n">
        <v>1</v>
      </c>
      <c r="I150" s="30" t="n">
        <v>320000</v>
      </c>
      <c r="J150" s="23">
        <f>IF(OR($H150="",$I150=""),"",$H150*$I150)</f>
        <v/>
      </c>
      <c r="K150" s="24" t="inlineStr">
        <is>
          <t>Chuyển khoản QR</t>
        </is>
      </c>
      <c r="L150" s="24" t="inlineStr">
        <is>
          <t>Đã chuyển khoản</t>
        </is>
      </c>
      <c r="M150" s="29" t="inlineStr">
        <is>
          <t>30/9/2026</t>
        </is>
      </c>
      <c r="N150" s="28" t="inlineStr">
        <is>
          <t>0903477010</t>
        </is>
      </c>
      <c r="O150" s="24" t="inlineStr">
        <is>
          <t>Hoàng Thanh Trà</t>
        </is>
      </c>
      <c r="P150" s="24" t="inlineStr">
        <is>
          <t>P910, CT1 Văn Khê, Hà Đông, Hà Nội</t>
        </is>
      </c>
      <c r="Q150" s="24" t="inlineStr">
        <is>
          <t>Đã giao</t>
        </is>
      </c>
      <c r="R150" s="24" t="inlineStr">
        <is>
          <t>Sữa 3 Tốt</t>
        </is>
      </c>
      <c r="S150" s="22">
        <f>IF(AND($A150="",$C150=""),"",IF($A150="","Thiếu mã đơn; ","")&amp;IF(COUNTIF($A$2:$A150,$A150)&gt;1,"Trùng mã đơn; ","")&amp;IF(COUNTIF($C$2:$C150,$C150)&gt;1,"Trùng SĐT; ","")&amp;IF(ISNA(MATCH($C150,DATA_MASTER!$D$2:$D$5000,0)),"SĐT chưa đăng ký hội viên; ","")&amp;IF(AND($L150="Đã chuyển khoản",$M150=""),"Thiếu ngày nhận CK; ",""))</f>
        <v/>
      </c>
      <c r="T150" s="24" t="inlineStr">
        <is>
          <t>ĐVVC: Viettel Post | Mã VĐ: 153572303614 | POD: https://drive.google.com/file/d/1zmoku3mbu_OuFLmCbqADxoh79JG9BSbp/view?usp=drive_link</t>
        </is>
      </c>
    </row>
    <row r="151" ht="14.25" customHeight="1" s="40">
      <c r="A151" s="24" t="n">
        <v>150</v>
      </c>
      <c r="B151" s="24" t="inlineStr">
        <is>
          <t>30/9/2026</t>
        </is>
      </c>
      <c r="C151" s="28" t="inlineStr">
        <is>
          <t>0969004631</t>
        </is>
      </c>
      <c r="D151" s="22">
        <f>IF($C151="","",IFERROR(INDEX(DATA_MASTER!$C$2:$C$5000,MATCH($C151,DATA_MASTER!$D$2:$D$5000,0)),"Trần Hà"))</f>
        <v/>
      </c>
      <c r="E151" s="22">
        <f>IF($C151="","",IFERROR(INDEX(DATA_MASTER!$I$2:$I$5000,MATCH($C151,DATA_MASTER!$D$2:$D$5000,0)),""))</f>
        <v/>
      </c>
      <c r="F151" s="22">
        <f>IF($C151="","",IFERROR(INDEX(DATA_MASTER!$L$2:$L$5000,MATCH($C151,DATA_MASTER!$D$2:$D$5000,0)),"ZM"))</f>
        <v/>
      </c>
      <c r="G151" s="24" t="inlineStr">
        <is>
          <t>Sữa Aptamil 380g</t>
        </is>
      </c>
      <c r="H151" s="24" t="n">
        <v>1</v>
      </c>
      <c r="I151" s="30" t="n">
        <v>320000</v>
      </c>
      <c r="J151" s="23">
        <f>IF(OR($H151="",$I151=""),"",$H151*$I151)</f>
        <v/>
      </c>
      <c r="K151" s="24" t="inlineStr">
        <is>
          <t>Chuyển khoản QR</t>
        </is>
      </c>
      <c r="L151" s="24" t="inlineStr">
        <is>
          <t>Đã chuyển khoản</t>
        </is>
      </c>
      <c r="M151" s="29" t="inlineStr">
        <is>
          <t>30/9/2026</t>
        </is>
      </c>
      <c r="N151" s="28" t="inlineStr">
        <is>
          <t>0969004631</t>
        </is>
      </c>
      <c r="O151" s="24" t="inlineStr">
        <is>
          <t>Trần Hà</t>
        </is>
      </c>
      <c r="P151" s="24" t="inlineStr">
        <is>
          <t>P1811, tòa C1 D'Capitale, 119 Trần Duy Hưng, Hà Nội</t>
        </is>
      </c>
      <c r="Q151" s="24" t="inlineStr">
        <is>
          <t>Đã giao</t>
        </is>
      </c>
      <c r="R151" s="24" t="inlineStr">
        <is>
          <t>Sữa 3 Tốt</t>
        </is>
      </c>
      <c r="S151" s="22">
        <f>IF(AND($A151="",$C151=""),"",IF($A151="","Thiếu mã đơn; ","")&amp;IF(COUNTIF($A$2:$A151,$A151)&gt;1,"Trùng mã đơn; ","")&amp;IF(COUNTIF($C$2:$C151,$C151)&gt;1,"Trùng SĐT; ","")&amp;IF(ISNA(MATCH($C151,DATA_MASTER!$D$2:$D$5000,0)),"SĐT chưa đăng ký hội viên; ","")&amp;IF(AND($L151="Đã chuyển khoản",$M151=""),"Thiếu ngày nhận CK; ",""))</f>
        <v/>
      </c>
      <c r="T151" s="24" t="inlineStr">
        <is>
          <t>ĐVVC: Viettel Post | Mã VĐ: 153570246064</t>
        </is>
      </c>
    </row>
    <row r="152" ht="14.25" customHeight="1" s="40">
      <c r="A152" s="24" t="n">
        <v>151</v>
      </c>
      <c r="B152" s="24" t="inlineStr">
        <is>
          <t>30/9/2026</t>
        </is>
      </c>
      <c r="C152" s="28" t="inlineStr">
        <is>
          <t>0962147471</t>
        </is>
      </c>
      <c r="D152" s="22">
        <f>IF($C152="","",IFERROR(INDEX(DATA_MASTER!$C$2:$C$5000,MATCH($C152,DATA_MASTER!$D$2:$D$5000,0)),"Mai Hương"))</f>
        <v/>
      </c>
      <c r="E152" s="22">
        <f>IF($C152="","",IFERROR(INDEX(DATA_MASTER!$I$2:$I$5000,MATCH($C152,DATA_MASTER!$D$2:$D$5000,0)),""))</f>
        <v/>
      </c>
      <c r="F152" s="22">
        <f>IF($C152="","",IFERROR(INDEX(DATA_MASTER!$L$2:$L$5000,MATCH($C152,DATA_MASTER!$D$2:$D$5000,0)),"ZM"))</f>
        <v/>
      </c>
      <c r="G152" s="24" t="inlineStr">
        <is>
          <t>Sữa Aptamil 380g</t>
        </is>
      </c>
      <c r="H152" s="24" t="n">
        <v>1</v>
      </c>
      <c r="I152" s="30" t="n">
        <v>320000</v>
      </c>
      <c r="J152" s="23">
        <f>IF(OR($H152="",$I152=""),"",$H152*$I152)</f>
        <v/>
      </c>
      <c r="K152" s="24" t="inlineStr">
        <is>
          <t>Chuyển khoản QR</t>
        </is>
      </c>
      <c r="L152" s="24" t="inlineStr">
        <is>
          <t>Chờ chuyển khoản</t>
        </is>
      </c>
      <c r="M152" s="29" t="inlineStr">
        <is>
          <t>30/9/2026</t>
        </is>
      </c>
      <c r="N152" s="28" t="inlineStr">
        <is>
          <t>0962147471</t>
        </is>
      </c>
      <c r="O152" s="24" t="inlineStr">
        <is>
          <t>Mai Hương</t>
        </is>
      </c>
      <c r="P152" s="24" t="inlineStr">
        <is>
          <t>Tòa TC3, Vinhomes Smart City, Tây Mỗ, HN, Hà Nội</t>
        </is>
      </c>
      <c r="Q152" s="24" t="inlineStr">
        <is>
          <t>Chờ giao</t>
        </is>
      </c>
      <c r="R152" s="24" t="inlineStr">
        <is>
          <t>Sữa 3 Tốt</t>
        </is>
      </c>
      <c r="S152" s="22">
        <f>IF(AND($A152="",$C152=""),"",IF($A152="","Thiếu mã đơn; ","")&amp;IF(COUNTIF($A$2:$A152,$A152)&gt;1,"Trùng mã đơn; ","")&amp;IF(COUNTIF($C$2:$C152,$C152)&gt;1,"Trùng SĐT; ","")&amp;IF(ISNA(MATCH($C152,DATA_MASTER!$D$2:$D$5000,0)),"SĐT chưa đăng ký hội viên; ","")&amp;IF(AND($L152="Đã chuyển khoản",$M152=""),"Thiếu ngày nhận CK; ",""))</f>
        <v/>
      </c>
      <c r="T152" s="24" t="inlineStr"/>
    </row>
    <row r="153" ht="14.25" customHeight="1" s="40">
      <c r="A153" s="24" t="n">
        <v>152</v>
      </c>
      <c r="B153" s="24" t="inlineStr">
        <is>
          <t>30/9/2026</t>
        </is>
      </c>
      <c r="C153" s="28" t="inlineStr">
        <is>
          <t>0973207268</t>
        </is>
      </c>
      <c r="D153" s="22">
        <f>IF($C153="","",IFERROR(INDEX(DATA_MASTER!$C$2:$C$5000,MATCH($C153,DATA_MASTER!$D$2:$D$5000,0)),"Phạm Thu Thủy"))</f>
        <v/>
      </c>
      <c r="E153" s="22">
        <f>IF($C153="","",IFERROR(INDEX(DATA_MASTER!$I$2:$I$5000,MATCH($C153,DATA_MASTER!$D$2:$D$5000,0)),""))</f>
        <v/>
      </c>
      <c r="F153" s="22">
        <f>IF($C153="","",IFERROR(INDEX(DATA_MASTER!$L$2:$L$5000,MATCH($C153,DATA_MASTER!$D$2:$D$5000,0)),"ZM"))</f>
        <v/>
      </c>
      <c r="G153" s="24" t="inlineStr">
        <is>
          <t>Sữa Aptamil 380g</t>
        </is>
      </c>
      <c r="H153" s="24" t="n">
        <v>1</v>
      </c>
      <c r="I153" s="30" t="n">
        <v>320000</v>
      </c>
      <c r="J153" s="23">
        <f>IF(OR($H153="",$I153=""),"",$H153*$I153)</f>
        <v/>
      </c>
      <c r="K153" s="24" t="inlineStr">
        <is>
          <t>Chuyển khoản QR</t>
        </is>
      </c>
      <c r="L153" s="24" t="inlineStr">
        <is>
          <t>Đã chuyển khoản</t>
        </is>
      </c>
      <c r="M153" s="29" t="inlineStr">
        <is>
          <t>30/9/2026</t>
        </is>
      </c>
      <c r="N153" s="28" t="inlineStr">
        <is>
          <t>0973207268</t>
        </is>
      </c>
      <c r="O153" s="24" t="inlineStr">
        <is>
          <t>Phạm Thu Thủy</t>
        </is>
      </c>
      <c r="P153" s="24" t="inlineStr">
        <is>
          <t>P603, CT2B chung cư Nam Đô, 609 Trương Định, Hoàng Mai, Hà Nội</t>
        </is>
      </c>
      <c r="Q153" s="24" t="inlineStr">
        <is>
          <t>Đã giao</t>
        </is>
      </c>
      <c r="R153" s="24" t="inlineStr">
        <is>
          <t>Sữa 3 Tốt</t>
        </is>
      </c>
      <c r="S153" s="22">
        <f>IF(AND($A153="",$C153=""),"",IF($A153="","Thiếu mã đơn; ","")&amp;IF(COUNTIF($A$2:$A153,$A153)&gt;1,"Trùng mã đơn; ","")&amp;IF(COUNTIF($C$2:$C153,$C153)&gt;1,"Trùng SĐT; ","")&amp;IF(ISNA(MATCH($C153,DATA_MASTER!$D$2:$D$5000,0)),"SĐT chưa đăng ký hội viên; ","")&amp;IF(AND($L153="Đã chuyển khoản",$M153=""),"Thiếu ngày nhận CK; ",""))</f>
        <v/>
      </c>
      <c r="T153" s="24" t="inlineStr">
        <is>
          <t>ĐVVC: Giao hàng nhanh | Mã VĐ: GYR3FR3E</t>
        </is>
      </c>
    </row>
    <row r="154" ht="14.25" customHeight="1" s="40">
      <c r="A154" s="24" t="n">
        <v>153</v>
      </c>
      <c r="B154" s="24" t="inlineStr">
        <is>
          <t>30/9/2026</t>
        </is>
      </c>
      <c r="C154" s="28" t="inlineStr">
        <is>
          <t>0965045518</t>
        </is>
      </c>
      <c r="D154" s="22">
        <f>IF($C154="","",IFERROR(INDEX(DATA_MASTER!$C$2:$C$5000,MATCH($C154,DATA_MASTER!$D$2:$D$5000,0)),"Chị Giang"))</f>
        <v/>
      </c>
      <c r="E154" s="22">
        <f>IF($C154="","",IFERROR(INDEX(DATA_MASTER!$I$2:$I$5000,MATCH($C154,DATA_MASTER!$D$2:$D$5000,0)),""))</f>
        <v/>
      </c>
      <c r="F154" s="22">
        <f>IF($C154="","",IFERROR(INDEX(DATA_MASTER!$L$2:$L$5000,MATCH($C154,DATA_MASTER!$D$2:$D$5000,0)),"ZM"))</f>
        <v/>
      </c>
      <c r="G154" s="24" t="inlineStr">
        <is>
          <t>Sữa Aptamil 380g</t>
        </is>
      </c>
      <c r="H154" s="24" t="n">
        <v>1</v>
      </c>
      <c r="I154" s="30" t="n">
        <v>320000</v>
      </c>
      <c r="J154" s="23">
        <f>IF(OR($H154="",$I154=""),"",$H154*$I154)</f>
        <v/>
      </c>
      <c r="K154" s="24" t="inlineStr">
        <is>
          <t>Chuyển khoản QR</t>
        </is>
      </c>
      <c r="L154" s="24" t="inlineStr">
        <is>
          <t>Chờ chuyển khoản</t>
        </is>
      </c>
      <c r="M154" s="29" t="inlineStr">
        <is>
          <t>30/9/2026</t>
        </is>
      </c>
      <c r="N154" s="28" t="inlineStr">
        <is>
          <t>0965045518</t>
        </is>
      </c>
      <c r="O154" s="24" t="inlineStr">
        <is>
          <t>Chị Giang</t>
        </is>
      </c>
      <c r="P154" s="24" t="inlineStr">
        <is>
          <t>Số 2A, ngõ 31 Cầu Diễn, Hà Nội</t>
        </is>
      </c>
      <c r="Q154" s="24" t="inlineStr">
        <is>
          <t>Chờ giao</t>
        </is>
      </c>
      <c r="R154" s="24" t="inlineStr">
        <is>
          <t>Sữa 3 Tốt</t>
        </is>
      </c>
      <c r="S154" s="22">
        <f>IF(AND($A154="",$C154=""),"",IF($A154="","Thiếu mã đơn; ","")&amp;IF(COUNTIF($A$2:$A154,$A154)&gt;1,"Trùng mã đơn; ","")&amp;IF(COUNTIF($C$2:$C154,$C154)&gt;1,"Trùng SĐT; ","")&amp;IF(ISNA(MATCH($C154,DATA_MASTER!$D$2:$D$5000,0)),"SĐT chưa đăng ký hội viên; ","")&amp;IF(AND($L154="Đã chuyển khoản",$M154=""),"Thiếu ngày nhận CK; ",""))</f>
        <v/>
      </c>
      <c r="T154" s="24" t="inlineStr"/>
    </row>
    <row r="155" ht="14.25" customHeight="1" s="40">
      <c r="A155" s="24" t="n">
        <v>154</v>
      </c>
      <c r="B155" s="29" t="inlineStr">
        <is>
          <t>10/01/2026</t>
        </is>
      </c>
      <c r="C155" s="28" t="inlineStr">
        <is>
          <t>0941257805</t>
        </is>
      </c>
      <c r="D155" s="22">
        <f>IF($C155="","",IFERROR(INDEX(DATA_MASTER!$C$2:$C$5000,MATCH($C155,DATA_MASTER!$D$2:$D$5000,0)),"Nguyễn Thị Vân Anh"))</f>
        <v/>
      </c>
      <c r="E155" s="22">
        <f>IF($C155="","",IFERROR(INDEX(DATA_MASTER!$I$2:$I$5000,MATCH($C155,DATA_MASTER!$D$2:$D$5000,0)),""))</f>
        <v/>
      </c>
      <c r="F155" s="22">
        <f>IF($C155="","",IFERROR(INDEX(DATA_MASTER!$L$2:$L$5000,MATCH($C155,DATA_MASTER!$D$2:$D$5000,0)),"ZM"))</f>
        <v/>
      </c>
      <c r="G155" s="24" t="inlineStr">
        <is>
          <t>Sữa Aptamil 380g</t>
        </is>
      </c>
      <c r="H155" s="24" t="n">
        <v>1</v>
      </c>
      <c r="I155" s="30" t="n">
        <v>320000</v>
      </c>
      <c r="J155" s="23">
        <f>IF(OR($H155="",$I155=""),"",$H155*$I155)</f>
        <v/>
      </c>
      <c r="K155" s="24" t="inlineStr">
        <is>
          <t>Chuyển khoản QR</t>
        </is>
      </c>
      <c r="L155" s="24" t="inlineStr">
        <is>
          <t>Đã chuyển khoản</t>
        </is>
      </c>
      <c r="M155" s="29" t="inlineStr">
        <is>
          <t>10/01/2026</t>
        </is>
      </c>
      <c r="N155" s="28" t="inlineStr">
        <is>
          <t>0941257805</t>
        </is>
      </c>
      <c r="O155" s="24" t="inlineStr">
        <is>
          <t>Nguyễn Thị Vân Anh</t>
        </is>
      </c>
      <c r="P155" s="24" t="inlineStr">
        <is>
          <t>Nhà văn hoá Ngọc Đạo- Vũ Ninh - Bắc Ninh</t>
        </is>
      </c>
      <c r="Q155" s="24" t="inlineStr">
        <is>
          <t>Đã giao</t>
        </is>
      </c>
      <c r="R155" s="24" t="inlineStr">
        <is>
          <t>Long Châu</t>
        </is>
      </c>
      <c r="S155" s="22">
        <f>IF(AND($A155="",$C155=""),"",IF($A155="","Thiếu mã đơn; ","")&amp;IF(COUNTIF($A$2:$A155,$A155)&gt;1,"Trùng mã đơn; ","")&amp;IF(COUNTIF($C$2:$C155,$C155)&gt;1,"Trùng SĐT; ","")&amp;IF(ISNA(MATCH($C155,DATA_MASTER!$D$2:$D$5000,0)),"SĐT chưa đăng ký hội viên; ","")&amp;IF(AND($L155="Đã chuyển khoản",$M155=""),"Thiếu ngày nhận CK; ",""))</f>
        <v/>
      </c>
      <c r="T155" s="24" t="inlineStr">
        <is>
          <t>ĐVVC: Viettel Post | Mã VĐ: 153570246064 | POD: https://drive.google.com/file/d/1Px2k_BJz8me9iu9Ux2sWD_6FAfpqZRu6/view?usp=drive_link</t>
        </is>
      </c>
    </row>
    <row r="156" ht="14.25" customHeight="1" s="40">
      <c r="A156" s="24" t="n">
        <v>155</v>
      </c>
      <c r="B156" s="29" t="inlineStr">
        <is>
          <t>10/01/2026</t>
        </is>
      </c>
      <c r="C156" s="28" t="inlineStr">
        <is>
          <t>0393696867</t>
        </is>
      </c>
      <c r="D156" s="22">
        <f>IF($C156="","",IFERROR(INDEX(DATA_MASTER!$C$2:$C$5000,MATCH($C156,DATA_MASTER!$D$2:$D$5000,0)),"Nguyễn Thuỳ Linh"))</f>
        <v/>
      </c>
      <c r="E156" s="22">
        <f>IF($C156="","",IFERROR(INDEX(DATA_MASTER!$I$2:$I$5000,MATCH($C156,DATA_MASTER!$D$2:$D$5000,0)),""))</f>
        <v/>
      </c>
      <c r="F156" s="22">
        <f>IF($C156="","",IFERROR(INDEX(DATA_MASTER!$L$2:$L$5000,MATCH($C156,DATA_MASTER!$D$2:$D$5000,0)),"ZM"))</f>
        <v/>
      </c>
      <c r="G156" s="24" t="inlineStr">
        <is>
          <t>Sữa Aptamil 380g</t>
        </is>
      </c>
      <c r="H156" s="24" t="n">
        <v>1</v>
      </c>
      <c r="I156" s="30" t="n">
        <v>320000</v>
      </c>
      <c r="J156" s="23">
        <f>IF(OR($H156="",$I156=""),"",$H156*$I156)</f>
        <v/>
      </c>
      <c r="K156" s="24" t="inlineStr">
        <is>
          <t>Chuyển khoản QR</t>
        </is>
      </c>
      <c r="L156" s="24" t="inlineStr">
        <is>
          <t>Chờ chuyển khoản</t>
        </is>
      </c>
      <c r="M156" s="29" t="inlineStr">
        <is>
          <t>10/01/2026</t>
        </is>
      </c>
      <c r="N156" s="28" t="inlineStr">
        <is>
          <t>0393696867</t>
        </is>
      </c>
      <c r="O156" s="24" t="inlineStr">
        <is>
          <t>Nguyễn Thuỳ Linh</t>
        </is>
      </c>
      <c r="P156" s="24" t="inlineStr">
        <is>
          <t>14C Lý Thị Xâm, Phú Hoà Đông, HCM</t>
        </is>
      </c>
      <c r="Q156" s="24" t="inlineStr">
        <is>
          <t>Chờ giao</t>
        </is>
      </c>
      <c r="R156" s="24" t="inlineStr">
        <is>
          <t>Long Châu</t>
        </is>
      </c>
      <c r="S156" s="22">
        <f>IF(AND($A156="",$C156=""),"",IF($A156="","Thiếu mã đơn; ","")&amp;IF(COUNTIF($A$2:$A156,$A156)&gt;1,"Trùng mã đơn; ","")&amp;IF(COUNTIF($C$2:$C156,$C156)&gt;1,"Trùng SĐT; ","")&amp;IF(ISNA(MATCH($C156,DATA_MASTER!$D$2:$D$5000,0)),"SĐT chưa đăng ký hội viên; ","")&amp;IF(AND($L156="Đã chuyển khoản",$M156=""),"Thiếu ngày nhận CK; ",""))</f>
        <v/>
      </c>
      <c r="T156" s="24" t="inlineStr"/>
    </row>
    <row r="157" ht="14.25" customHeight="1" s="40">
      <c r="A157" s="24" t="n">
        <v>156</v>
      </c>
      <c r="B157" s="29" t="inlineStr">
        <is>
          <t>10/01/2026</t>
        </is>
      </c>
      <c r="C157" s="28" t="inlineStr">
        <is>
          <t>0388188341</t>
        </is>
      </c>
      <c r="D157" s="22">
        <f>IF($C157="","",IFERROR(INDEX(DATA_MASTER!$C$2:$C$5000,MATCH($C157,DATA_MASTER!$D$2:$D$5000,0)),"Phạm Thị Phương"))</f>
        <v/>
      </c>
      <c r="E157" s="22">
        <f>IF($C157="","",IFERROR(INDEX(DATA_MASTER!$I$2:$I$5000,MATCH($C157,DATA_MASTER!$D$2:$D$5000,0)),""))</f>
        <v/>
      </c>
      <c r="F157" s="22">
        <f>IF($C157="","",IFERROR(INDEX(DATA_MASTER!$L$2:$L$5000,MATCH($C157,DATA_MASTER!$D$2:$D$5000,0)),"ZM"))</f>
        <v/>
      </c>
      <c r="G157" s="24" t="inlineStr">
        <is>
          <t>Sữa Aptamil 380g</t>
        </is>
      </c>
      <c r="H157" s="24" t="n">
        <v>1</v>
      </c>
      <c r="I157" s="30" t="n">
        <v>320000</v>
      </c>
      <c r="J157" s="23">
        <f>IF(OR($H157="",$I157=""),"",$H157*$I157)</f>
        <v/>
      </c>
      <c r="K157" s="24" t="inlineStr">
        <is>
          <t>Chuyển khoản QR</t>
        </is>
      </c>
      <c r="L157" s="24" t="inlineStr">
        <is>
          <t>Đã chuyển khoản</t>
        </is>
      </c>
      <c r="M157" s="29" t="inlineStr">
        <is>
          <t>10/01/2026</t>
        </is>
      </c>
      <c r="N157" s="28" t="inlineStr">
        <is>
          <t>0388188341</t>
        </is>
      </c>
      <c r="O157" s="24" t="inlineStr">
        <is>
          <t>Phạm Thị Phương</t>
        </is>
      </c>
      <c r="P157" s="24" t="inlineStr">
        <is>
          <t>Ngã tư Tú Sơn- Thôn Tú Sơn- Kiến Hải- Hải Phòng</t>
        </is>
      </c>
      <c r="Q157" s="24" t="inlineStr">
        <is>
          <t>Chờ giao</t>
        </is>
      </c>
      <c r="R157" s="24" t="inlineStr">
        <is>
          <t>Cute Baby</t>
        </is>
      </c>
      <c r="S157" s="22">
        <f>IF(AND($A157="",$C157=""),"",IF($A157="","Thiếu mã đơn; ","")&amp;IF(COUNTIF($A$2:$A157,$A157)&gt;1,"Trùng mã đơn; ","")&amp;IF(COUNTIF($C$2:$C157,$C157)&gt;1,"Trùng SĐT; ","")&amp;IF(ISNA(MATCH($C157,DATA_MASTER!$D$2:$D$5000,0)),"SĐT chưa đăng ký hội viên; ","")&amp;IF(AND($L157="Đã chuyển khoản",$M157=""),"Thiếu ngày nhận CK; ",""))</f>
        <v/>
      </c>
      <c r="T157" s="24" t="inlineStr">
        <is>
          <t>Bill: https://drive.google.com/drive/folders/1pGqhQTp0IpL6t6tM8ZDeuoccAawA1U70</t>
        </is>
      </c>
    </row>
    <row r="158" ht="14.25" customHeight="1" s="40">
      <c r="A158" s="24" t="n">
        <v>157</v>
      </c>
      <c r="B158" s="29" t="inlineStr">
        <is>
          <t>10/01/2026</t>
        </is>
      </c>
      <c r="C158" s="28" t="inlineStr">
        <is>
          <t>0987360428</t>
        </is>
      </c>
      <c r="D158" s="22">
        <f>IF($C158="","",IFERROR(INDEX(DATA_MASTER!$C$2:$C$5000,MATCH($C158,DATA_MASTER!$D$2:$D$5000,0)),"Hoàng An"))</f>
        <v/>
      </c>
      <c r="E158" s="22">
        <f>IF($C158="","",IFERROR(INDEX(DATA_MASTER!$I$2:$I$5000,MATCH($C158,DATA_MASTER!$D$2:$D$5000,0)),""))</f>
        <v/>
      </c>
      <c r="F158" s="22">
        <f>IF($C158="","",IFERROR(INDEX(DATA_MASTER!$L$2:$L$5000,MATCH($C158,DATA_MASTER!$D$2:$D$5000,0)),"ZM"))</f>
        <v/>
      </c>
      <c r="G158" s="24" t="inlineStr">
        <is>
          <t>Sữa Aptamil 380g</t>
        </is>
      </c>
      <c r="H158" s="24" t="n">
        <v>1</v>
      </c>
      <c r="I158" s="30" t="n">
        <v>320000</v>
      </c>
      <c r="J158" s="23">
        <f>IF(OR($H158="",$I158=""),"",$H158*$I158)</f>
        <v/>
      </c>
      <c r="K158" s="24" t="inlineStr">
        <is>
          <t>Chuyển khoản QR</t>
        </is>
      </c>
      <c r="L158" s="24" t="inlineStr">
        <is>
          <t>Đã chuyển khoản</t>
        </is>
      </c>
      <c r="M158" s="29" t="inlineStr">
        <is>
          <t>10/01/2026</t>
        </is>
      </c>
      <c r="N158" s="28" t="inlineStr">
        <is>
          <t>0987360428</t>
        </is>
      </c>
      <c r="O158" s="24" t="inlineStr">
        <is>
          <t>Hoàng An</t>
        </is>
      </c>
      <c r="P158" s="24" t="inlineStr">
        <is>
          <t>Sn23 ngách 18/4 ngõ 226 đường 422B thôn Hậu Ái xã Vân Canh (Sơn Đồng), Hà Nội</t>
        </is>
      </c>
      <c r="Q158" s="24" t="inlineStr">
        <is>
          <t>Đã giao</t>
        </is>
      </c>
      <c r="R158" s="24" t="inlineStr">
        <is>
          <t>Sữa 3 Tốt</t>
        </is>
      </c>
      <c r="S158" s="22">
        <f>IF(AND($A158="",$C158=""),"",IF($A158="","Thiếu mã đơn; ","")&amp;IF(COUNTIF($A$2:$A158,$A158)&gt;1,"Trùng mã đơn; ","")&amp;IF(COUNTIF($C$2:$C158,$C158)&gt;1,"Trùng SĐT; ","")&amp;IF(ISNA(MATCH($C158,DATA_MASTER!$D$2:$D$5000,0)),"SĐT chưa đăng ký hội viên; ","")&amp;IF(AND($L158="Đã chuyển khoản",$M158=""),"Thiếu ngày nhận CK; ",""))</f>
        <v/>
      </c>
      <c r="T158" s="24" t="inlineStr">
        <is>
          <t>Bill: https://drive.google.com/drive/folders/1gkQio0VljZLl3iZYlL9W3HMp1otkCm_w</t>
        </is>
      </c>
    </row>
    <row r="159" ht="14.25" customHeight="1" s="40">
      <c r="A159" s="24" t="n">
        <v>158</v>
      </c>
      <c r="B159" s="29" t="inlineStr">
        <is>
          <t>10/01/2026</t>
        </is>
      </c>
      <c r="C159" s="28" t="inlineStr">
        <is>
          <t>0976453466</t>
        </is>
      </c>
      <c r="D159" s="22">
        <f>IF($C159="","",IFERROR(INDEX(DATA_MASTER!$C$2:$C$5000,MATCH($C159,DATA_MASTER!$D$2:$D$5000,0)),"Bạch Nhân"))</f>
        <v/>
      </c>
      <c r="E159" s="22">
        <f>IF($C159="","",IFERROR(INDEX(DATA_MASTER!$I$2:$I$5000,MATCH($C159,DATA_MASTER!$D$2:$D$5000,0)),""))</f>
        <v/>
      </c>
      <c r="F159" s="22">
        <f>IF($C159="","",IFERROR(INDEX(DATA_MASTER!$L$2:$L$5000,MATCH($C159,DATA_MASTER!$D$2:$D$5000,0)),"ZM"))</f>
        <v/>
      </c>
      <c r="G159" s="24" t="inlineStr">
        <is>
          <t>Sữa Aptamil 380g</t>
        </is>
      </c>
      <c r="H159" s="24" t="n">
        <v>1</v>
      </c>
      <c r="I159" s="30" t="n">
        <v>320000</v>
      </c>
      <c r="J159" s="23">
        <f>IF(OR($H159="",$I159=""),"",$H159*$I159)</f>
        <v/>
      </c>
      <c r="K159" s="24" t="inlineStr">
        <is>
          <t>Chuyển khoản QR</t>
        </is>
      </c>
      <c r="L159" s="24" t="inlineStr">
        <is>
          <t>Đã chuyển khoản</t>
        </is>
      </c>
      <c r="M159" s="29" t="inlineStr">
        <is>
          <t>10/01/2026</t>
        </is>
      </c>
      <c r="N159" s="28" t="inlineStr">
        <is>
          <t>0976453466</t>
        </is>
      </c>
      <c r="O159" s="24" t="inlineStr">
        <is>
          <t>Bạch Nhân</t>
        </is>
      </c>
      <c r="P159" s="24" t="inlineStr">
        <is>
          <t>số 15/ ngõ 19 Tố Hữu- Đại Mỗ- HN, Hà Nội</t>
        </is>
      </c>
      <c r="Q159" s="24" t="inlineStr">
        <is>
          <t>Đã giao</t>
        </is>
      </c>
      <c r="R159" s="24" t="inlineStr">
        <is>
          <t>Sữa 3 Tốt</t>
        </is>
      </c>
      <c r="S159" s="22">
        <f>IF(AND($A159="",$C159=""),"",IF($A159="","Thiếu mã đơn; ","")&amp;IF(COUNTIF($A$2:$A159,$A159)&gt;1,"Trùng mã đơn; ","")&amp;IF(COUNTIF($C$2:$C159,$C159)&gt;1,"Trùng SĐT; ","")&amp;IF(ISNA(MATCH($C159,DATA_MASTER!$D$2:$D$5000,0)),"SĐT chưa đăng ký hội viên; ","")&amp;IF(AND($L159="Đã chuyển khoản",$M159=""),"Thiếu ngày nhận CK; ",""))</f>
        <v/>
      </c>
      <c r="T159" s="24" t="inlineStr">
        <is>
          <t>ĐVVC: Giao hàng nhanh | Mã VĐ: GYR3U7PC</t>
        </is>
      </c>
    </row>
    <row r="160" ht="14.25" customHeight="1" s="40">
      <c r="A160" s="24" t="n">
        <v>159</v>
      </c>
      <c r="B160" s="29" t="inlineStr">
        <is>
          <t>10/01/2026</t>
        </is>
      </c>
      <c r="C160" s="28" t="inlineStr">
        <is>
          <t>0937989697</t>
        </is>
      </c>
      <c r="D160" s="22">
        <f>IF($C160="","",IFERROR(INDEX(DATA_MASTER!$C$2:$C$5000,MATCH($C160,DATA_MASTER!$D$2:$D$5000,0)),"Trần Thị Thanh Trang"))</f>
        <v/>
      </c>
      <c r="E160" s="22">
        <f>IF($C160="","",IFERROR(INDEX(DATA_MASTER!$I$2:$I$5000,MATCH($C160,DATA_MASTER!$D$2:$D$5000,0)),""))</f>
        <v/>
      </c>
      <c r="F160" s="22">
        <f>IF($C160="","",IFERROR(INDEX(DATA_MASTER!$L$2:$L$5000,MATCH($C160,DATA_MASTER!$D$2:$D$5000,0)),"ZM"))</f>
        <v/>
      </c>
      <c r="G160" s="24" t="inlineStr">
        <is>
          <t>Sữa Aptamil 380g</t>
        </is>
      </c>
      <c r="H160" s="24" t="n">
        <v>1</v>
      </c>
      <c r="I160" s="30" t="n">
        <v>320000</v>
      </c>
      <c r="J160" s="23">
        <f>IF(OR($H160="",$I160=""),"",$H160*$I160)</f>
        <v/>
      </c>
      <c r="K160" s="24" t="inlineStr">
        <is>
          <t>Chuyển khoản QR</t>
        </is>
      </c>
      <c r="L160" s="24" t="inlineStr">
        <is>
          <t>Đã chuyển khoản</t>
        </is>
      </c>
      <c r="M160" s="29" t="inlineStr">
        <is>
          <t>10/01/2026</t>
        </is>
      </c>
      <c r="N160" s="28" t="inlineStr">
        <is>
          <t>0937989697</t>
        </is>
      </c>
      <c r="O160" s="24" t="inlineStr">
        <is>
          <t>Trần Thị Thanh Trang</t>
        </is>
      </c>
      <c r="P160" s="24" t="inlineStr">
        <is>
          <t>284 Cống Quỳnh, Quận 1, HCM</t>
        </is>
      </c>
      <c r="Q160" s="24" t="inlineStr">
        <is>
          <t>Đã giao</t>
        </is>
      </c>
      <c r="R160" s="24" t="inlineStr">
        <is>
          <t>Long Châu</t>
        </is>
      </c>
      <c r="S160" s="22">
        <f>IF(AND($A160="",$C160=""),"",IF($A160="","Thiếu mã đơn; ","")&amp;IF(COUNTIF($A$2:$A160,$A160)&gt;1,"Trùng mã đơn; ","")&amp;IF(COUNTIF($C$2:$C160,$C160)&gt;1,"Trùng SĐT; ","")&amp;IF(ISNA(MATCH($C160,DATA_MASTER!$D$2:$D$5000,0)),"SĐT chưa đăng ký hội viên; ","")&amp;IF(AND($L160="Đã chuyển khoản",$M160=""),"Thiếu ngày nhận CK; ",""))</f>
        <v/>
      </c>
      <c r="T160" s="24" t="inlineStr">
        <is>
          <t>ĐVVC: grap</t>
        </is>
      </c>
    </row>
    <row r="161" ht="14.25" customHeight="1" s="40">
      <c r="A161" s="24" t="n">
        <v>160</v>
      </c>
      <c r="B161" s="29" t="inlineStr">
        <is>
          <t>10/01/2026</t>
        </is>
      </c>
      <c r="C161" s="28" t="inlineStr">
        <is>
          <t>0363282401</t>
        </is>
      </c>
      <c r="D161" s="22">
        <f>IF($C161="","",IFERROR(INDEX(DATA_MASTER!$C$2:$C$5000,MATCH($C161,DATA_MASTER!$D$2:$D$5000,0)),"Vũ Thị Thêu"))</f>
        <v/>
      </c>
      <c r="E161" s="22">
        <f>IF($C161="","",IFERROR(INDEX(DATA_MASTER!$I$2:$I$5000,MATCH($C161,DATA_MASTER!$D$2:$D$5000,0)),""))</f>
        <v/>
      </c>
      <c r="F161" s="22">
        <f>IF($C161="","",IFERROR(INDEX(DATA_MASTER!$L$2:$L$5000,MATCH($C161,DATA_MASTER!$D$2:$D$5000,0)),"ZM"))</f>
        <v/>
      </c>
      <c r="G161" s="24" t="inlineStr">
        <is>
          <t>Sữa Aptamil 380g</t>
        </is>
      </c>
      <c r="H161" s="24" t="n">
        <v>1</v>
      </c>
      <c r="I161" s="30" t="n">
        <v>320000</v>
      </c>
      <c r="J161" s="23">
        <f>IF(OR($H161="",$I161=""),"",$H161*$I161)</f>
        <v/>
      </c>
      <c r="K161" s="24" t="inlineStr">
        <is>
          <t>Chuyển khoản QR</t>
        </is>
      </c>
      <c r="L161" s="24" t="inlineStr">
        <is>
          <t>Đã chuyển khoản</t>
        </is>
      </c>
      <c r="M161" s="29" t="inlineStr">
        <is>
          <t>10/01/2026</t>
        </is>
      </c>
      <c r="N161" s="28" t="inlineStr">
        <is>
          <t>0363282401</t>
        </is>
      </c>
      <c r="O161" s="24" t="inlineStr">
        <is>
          <t>Vũ Thị Thêu</t>
        </is>
      </c>
      <c r="P161" s="24" t="inlineStr">
        <is>
          <t>Tạp hóa Nam Hạnh, Thôn 1 (Đường lê hiến tông), Xã Sao Vàng, Thanh Hoá</t>
        </is>
      </c>
      <c r="Q161" s="24" t="inlineStr">
        <is>
          <t>Đã giao</t>
        </is>
      </c>
      <c r="R161" s="24" t="inlineStr">
        <is>
          <t>Mẹ Ơi</t>
        </is>
      </c>
      <c r="S161" s="22">
        <f>IF(AND($A161="",$C161=""),"",IF($A161="","Thiếu mã đơn; ","")&amp;IF(COUNTIF($A$2:$A161,$A161)&gt;1,"Trùng mã đơn; ","")&amp;IF(COUNTIF($C$2:$C161,$C161)&gt;1,"Trùng SĐT; ","")&amp;IF(ISNA(MATCH($C161,DATA_MASTER!$D$2:$D$5000,0)),"SĐT chưa đăng ký hội viên; ","")&amp;IF(AND($L161="Đã chuyển khoản",$M161=""),"Thiếu ngày nhận CK; ",""))</f>
        <v/>
      </c>
      <c r="T161" s="24" t="inlineStr">
        <is>
          <t>ĐVVC: grap</t>
        </is>
      </c>
    </row>
    <row r="162" ht="14.25" customHeight="1" s="40">
      <c r="A162" s="24" t="n">
        <v>161</v>
      </c>
      <c r="B162" s="29" t="inlineStr">
        <is>
          <t>10/01/2026</t>
        </is>
      </c>
      <c r="C162" s="28" t="inlineStr">
        <is>
          <t>0369895819</t>
        </is>
      </c>
      <c r="D162" s="22">
        <f>IF($C162="","",IFERROR(INDEX(DATA_MASTER!$C$2:$C$5000,MATCH($C162,DATA_MASTER!$D$2:$D$5000,0)),"Kiều Huyền"))</f>
        <v/>
      </c>
      <c r="E162" s="22">
        <f>IF($C162="","",IFERROR(INDEX(DATA_MASTER!$I$2:$I$5000,MATCH($C162,DATA_MASTER!$D$2:$D$5000,0)),""))</f>
        <v/>
      </c>
      <c r="F162" s="22">
        <f>IF($C162="","",IFERROR(INDEX(DATA_MASTER!$L$2:$L$5000,MATCH($C162,DATA_MASTER!$D$2:$D$5000,0)),"ZM"))</f>
        <v/>
      </c>
      <c r="G162" s="24" t="inlineStr">
        <is>
          <t>Sữa Aptamil 380g</t>
        </is>
      </c>
      <c r="H162" s="24" t="n">
        <v>1</v>
      </c>
      <c r="I162" s="30" t="n">
        <v>320000</v>
      </c>
      <c r="J162" s="23">
        <f>IF(OR($H162="",$I162=""),"",$H162*$I162)</f>
        <v/>
      </c>
      <c r="K162" s="24" t="inlineStr">
        <is>
          <t>Chuyển khoản QR</t>
        </is>
      </c>
      <c r="L162" s="24" t="inlineStr">
        <is>
          <t>Đã chuyển khoản</t>
        </is>
      </c>
      <c r="M162" s="29" t="inlineStr">
        <is>
          <t>10/01/2026</t>
        </is>
      </c>
      <c r="N162" s="28" t="inlineStr">
        <is>
          <t>0369895819</t>
        </is>
      </c>
      <c r="O162" s="24" t="inlineStr">
        <is>
          <t>Kiều Huyền</t>
        </is>
      </c>
      <c r="P162" s="24" t="inlineStr">
        <is>
          <t>Nhà văn hoá thôn Phú Hữu 2, xã Phú Nghĩa, Chương Mỹ, Hà Nội</t>
        </is>
      </c>
      <c r="Q162" s="24" t="inlineStr">
        <is>
          <t>Đã giao</t>
        </is>
      </c>
      <c r="R162" s="24" t="inlineStr">
        <is>
          <t>Mẹ Ơi</t>
        </is>
      </c>
      <c r="S162" s="22">
        <f>IF(AND($A162="",$C162=""),"",IF($A162="","Thiếu mã đơn; ","")&amp;IF(COUNTIF($A$2:$A162,$A162)&gt;1,"Trùng mã đơn; ","")&amp;IF(COUNTIF($C$2:$C162,$C162)&gt;1,"Trùng SĐT; ","")&amp;IF(ISNA(MATCH($C162,DATA_MASTER!$D$2:$D$5000,0)),"SĐT chưa đăng ký hội viên; ","")&amp;IF(AND($L162="Đã chuyển khoản",$M162=""),"Thiếu ngày nhận CK; ",""))</f>
        <v/>
      </c>
      <c r="T162" s="24" t="inlineStr"/>
    </row>
    <row r="163" ht="14.25" customHeight="1" s="40">
      <c r="A163" s="24" t="n">
        <v>162</v>
      </c>
      <c r="B163" s="29" t="inlineStr">
        <is>
          <t>10/01/2026</t>
        </is>
      </c>
      <c r="C163" s="28" t="inlineStr">
        <is>
          <t>0865175068</t>
        </is>
      </c>
      <c r="D163" s="22">
        <f>IF($C163="","",IFERROR(INDEX(DATA_MASTER!$C$2:$C$5000,MATCH($C163,DATA_MASTER!$D$2:$D$5000,0)),"Nguyễn Hà My"))</f>
        <v/>
      </c>
      <c r="E163" s="22">
        <f>IF($C163="","",IFERROR(INDEX(DATA_MASTER!$I$2:$I$5000,MATCH($C163,DATA_MASTER!$D$2:$D$5000,0)),""))</f>
        <v/>
      </c>
      <c r="F163" s="22">
        <f>IF($C163="","",IFERROR(INDEX(DATA_MASTER!$L$2:$L$5000,MATCH($C163,DATA_MASTER!$D$2:$D$5000,0)),"ZM"))</f>
        <v/>
      </c>
      <c r="G163" s="24" t="inlineStr">
        <is>
          <t>Sữa Aptamil 380g</t>
        </is>
      </c>
      <c r="H163" s="24" t="n">
        <v>1</v>
      </c>
      <c r="I163" s="30" t="n">
        <v>320000</v>
      </c>
      <c r="J163" s="23">
        <f>IF(OR($H163="",$I163=""),"",$H163*$I163)</f>
        <v/>
      </c>
      <c r="K163" s="24" t="inlineStr">
        <is>
          <t>Chuyển khoản QR</t>
        </is>
      </c>
      <c r="L163" s="24" t="inlineStr">
        <is>
          <t>Đã chuyển khoản</t>
        </is>
      </c>
      <c r="M163" s="29" t="inlineStr">
        <is>
          <t>10/01/2026</t>
        </is>
      </c>
      <c r="N163" s="28" t="inlineStr">
        <is>
          <t>0865175068</t>
        </is>
      </c>
      <c r="O163" s="24" t="inlineStr">
        <is>
          <t>Nguyễn Hà My</t>
        </is>
      </c>
      <c r="P163" s="24" t="inlineStr">
        <is>
          <t>25 ngõ 203 kim ngưu, thanh lương, hbt,hn, Hà Nội</t>
        </is>
      </c>
      <c r="Q163" s="24" t="inlineStr">
        <is>
          <t>Chờ giao</t>
        </is>
      </c>
      <c r="R163" s="24" t="inlineStr">
        <is>
          <t>Mẹ Ơi</t>
        </is>
      </c>
      <c r="S163" s="22">
        <f>IF(AND($A163="",$C163=""),"",IF($A163="","Thiếu mã đơn; ","")&amp;IF(COUNTIF($A$2:$A163,$A163)&gt;1,"Trùng mã đơn; ","")&amp;IF(COUNTIF($C$2:$C163,$C163)&gt;1,"Trùng SĐT; ","")&amp;IF(ISNA(MATCH($C163,DATA_MASTER!$D$2:$D$5000,0)),"SĐT chưa đăng ký hội viên; ","")&amp;IF(AND($L163="Đã chuyển khoản",$M163=""),"Thiếu ngày nhận CK; ",""))</f>
        <v/>
      </c>
      <c r="T163" s="24" t="inlineStr"/>
    </row>
    <row r="164" ht="14.25" customHeight="1" s="40">
      <c r="A164" s="24" t="n">
        <v>163</v>
      </c>
      <c r="B164" s="29" t="inlineStr">
        <is>
          <t>10/01/2026</t>
        </is>
      </c>
      <c r="C164" s="28" t="inlineStr">
        <is>
          <t>0966681735</t>
        </is>
      </c>
      <c r="D164" s="22">
        <f>IF($C164="","",IFERROR(INDEX(DATA_MASTER!$C$2:$C$5000,MATCH($C164,DATA_MASTER!$D$2:$D$5000,0)),"Trần Thuỷ Tiên"))</f>
        <v/>
      </c>
      <c r="E164" s="22">
        <f>IF($C164="","",IFERROR(INDEX(DATA_MASTER!$I$2:$I$5000,MATCH($C164,DATA_MASTER!$D$2:$D$5000,0)),""))</f>
        <v/>
      </c>
      <c r="F164" s="22">
        <f>IF($C164="","",IFERROR(INDEX(DATA_MASTER!$L$2:$L$5000,MATCH($C164,DATA_MASTER!$D$2:$D$5000,0)),"ZM"))</f>
        <v/>
      </c>
      <c r="G164" s="24" t="inlineStr">
        <is>
          <t>Sữa Aptamil 380g</t>
        </is>
      </c>
      <c r="H164" s="24" t="n">
        <v>1</v>
      </c>
      <c r="I164" s="30" t="n">
        <v>320000</v>
      </c>
      <c r="J164" s="23">
        <f>IF(OR($H164="",$I164=""),"",$H164*$I164)</f>
        <v/>
      </c>
      <c r="K164" s="24" t="inlineStr">
        <is>
          <t>Chuyển khoản QR</t>
        </is>
      </c>
      <c r="L164" s="24" t="inlineStr">
        <is>
          <t>Đã chuyển khoản</t>
        </is>
      </c>
      <c r="M164" s="29" t="inlineStr">
        <is>
          <t>10/01/2026</t>
        </is>
      </c>
      <c r="N164" s="28" t="inlineStr">
        <is>
          <t>0966681735</t>
        </is>
      </c>
      <c r="O164" s="24" t="inlineStr">
        <is>
          <t>Trần Thuỷ Tiên</t>
        </is>
      </c>
      <c r="P164" s="24" t="inlineStr">
        <is>
          <t>C7b/7a Ấp 27, Xã Tân Vĩnh Lộc, TP.HCM</t>
        </is>
      </c>
      <c r="Q164" s="24" t="inlineStr">
        <is>
          <t>Đã giao</t>
        </is>
      </c>
      <c r="R164" s="24" t="inlineStr">
        <is>
          <t>Voi Con</t>
        </is>
      </c>
      <c r="S164" s="22">
        <f>IF(AND($A164="",$C164=""),"",IF($A164="","Thiếu mã đơn; ","")&amp;IF(COUNTIF($A$2:$A164,$A164)&gt;1,"Trùng mã đơn; ","")&amp;IF(COUNTIF($C$2:$C164,$C164)&gt;1,"Trùng SĐT; ","")&amp;IF(ISNA(MATCH($C164,DATA_MASTER!$D$2:$D$5000,0)),"SĐT chưa đăng ký hội viên; ","")&amp;IF(AND($L164="Đã chuyển khoản",$M164=""),"Thiếu ngày nhận CK; ",""))</f>
        <v/>
      </c>
      <c r="T164" s="24" t="inlineStr">
        <is>
          <t>ĐVVC: Shipper riêng | Mã VĐ: EO544304579VN</t>
        </is>
      </c>
    </row>
    <row r="165" ht="14.25" customHeight="1" s="40">
      <c r="A165" s="24" t="n">
        <v>164</v>
      </c>
      <c r="B165" s="29" t="inlineStr">
        <is>
          <t>10/01/2026</t>
        </is>
      </c>
      <c r="C165" s="28" t="inlineStr">
        <is>
          <t>0346950122</t>
        </is>
      </c>
      <c r="D165" s="22">
        <f>IF($C165="","",IFERROR(INDEX(DATA_MASTER!$C$2:$C$5000,MATCH($C165,DATA_MASTER!$D$2:$D$5000,0)),"Vũ Đình An Thy"))</f>
        <v/>
      </c>
      <c r="E165" s="22">
        <f>IF($C165="","",IFERROR(INDEX(DATA_MASTER!$I$2:$I$5000,MATCH($C165,DATA_MASTER!$D$2:$D$5000,0)),""))</f>
        <v/>
      </c>
      <c r="F165" s="22">
        <f>IF($C165="","",IFERROR(INDEX(DATA_MASTER!$L$2:$L$5000,MATCH($C165,DATA_MASTER!$D$2:$D$5000,0)),"ZM"))</f>
        <v/>
      </c>
      <c r="G165" s="24" t="inlineStr">
        <is>
          <t>Sữa Aptamil 380g</t>
        </is>
      </c>
      <c r="H165" s="24" t="n">
        <v>1</v>
      </c>
      <c r="I165" s="30" t="n">
        <v>320000</v>
      </c>
      <c r="J165" s="23">
        <f>IF(OR($H165="",$I165=""),"",$H165*$I165)</f>
        <v/>
      </c>
      <c r="K165" s="24" t="inlineStr">
        <is>
          <t>Chuyển khoản QR</t>
        </is>
      </c>
      <c r="L165" s="24" t="inlineStr">
        <is>
          <t>Đã chuyển khoản</t>
        </is>
      </c>
      <c r="M165" s="29" t="inlineStr">
        <is>
          <t>10/01/2026</t>
        </is>
      </c>
      <c r="N165" s="28" t="inlineStr">
        <is>
          <t>0346950122</t>
        </is>
      </c>
      <c r="O165" s="24" t="inlineStr">
        <is>
          <t>Vũ Đình An Thy</t>
        </is>
      </c>
      <c r="P165" s="24" t="inlineStr">
        <is>
          <t>201/3, tổ 16, KP2, TA16, Thới An, quận 12, TP Hồ Chí Minh, HCM</t>
        </is>
      </c>
      <c r="Q165" s="24" t="inlineStr">
        <is>
          <t>Đã giao</t>
        </is>
      </c>
      <c r="R165" s="24" t="inlineStr">
        <is>
          <t>Voi Con</t>
        </is>
      </c>
      <c r="S165" s="22">
        <f>IF(AND($A165="",$C165=""),"",IF($A165="","Thiếu mã đơn; ","")&amp;IF(COUNTIF($A$2:$A165,$A165)&gt;1,"Trùng mã đơn; ","")&amp;IF(COUNTIF($C$2:$C165,$C165)&gt;1,"Trùng SĐT; ","")&amp;IF(ISNA(MATCH($C165,DATA_MASTER!$D$2:$D$5000,0)),"SĐT chưa đăng ký hội viên; ","")&amp;IF(AND($L165="Đã chuyển khoản",$M165=""),"Thiếu ngày nhận CK; ",""))</f>
        <v/>
      </c>
      <c r="T165" s="24" t="inlineStr">
        <is>
          <t>ĐVVC: Viettel Post | Mã VĐ: CE370863522VN</t>
        </is>
      </c>
    </row>
    <row r="166" ht="14.25" customHeight="1" s="40">
      <c r="A166" s="24" t="n">
        <v>165</v>
      </c>
      <c r="B166" s="29" t="inlineStr">
        <is>
          <t>10/01/2026</t>
        </is>
      </c>
      <c r="C166" s="28" t="inlineStr">
        <is>
          <t>0708833599</t>
        </is>
      </c>
      <c r="D166" s="22">
        <f>IF($C166="","",IFERROR(INDEX(DATA_MASTER!$C$2:$C$5000,MATCH($C166,DATA_MASTER!$D$2:$D$5000,0)),"Trần Lê Tuyết Nga"))</f>
        <v/>
      </c>
      <c r="E166" s="22">
        <f>IF($C166="","",IFERROR(INDEX(DATA_MASTER!$I$2:$I$5000,MATCH($C166,DATA_MASTER!$D$2:$D$5000,0)),""))</f>
        <v/>
      </c>
      <c r="F166" s="22">
        <f>IF($C166="","",IFERROR(INDEX(DATA_MASTER!$L$2:$L$5000,MATCH($C166,DATA_MASTER!$D$2:$D$5000,0)),"ZM"))</f>
        <v/>
      </c>
      <c r="G166" s="24" t="inlineStr">
        <is>
          <t>Sữa Aptamil 380g</t>
        </is>
      </c>
      <c r="H166" s="24" t="n">
        <v>1</v>
      </c>
      <c r="I166" s="30" t="n">
        <v>320000</v>
      </c>
      <c r="J166" s="23">
        <f>IF(OR($H166="",$I166=""),"",$H166*$I166)</f>
        <v/>
      </c>
      <c r="K166" s="24" t="inlineStr">
        <is>
          <t>Chuyển khoản QR</t>
        </is>
      </c>
      <c r="L166" s="24" t="inlineStr">
        <is>
          <t>Đã chuyển khoản</t>
        </is>
      </c>
      <c r="M166" s="29" t="inlineStr">
        <is>
          <t>10/01/2026</t>
        </is>
      </c>
      <c r="N166" s="28" t="inlineStr">
        <is>
          <t>0708833599</t>
        </is>
      </c>
      <c r="O166" s="24" t="inlineStr">
        <is>
          <t>Trần Lê Tuyết Nga</t>
        </is>
      </c>
      <c r="P166" s="24" t="inlineStr">
        <is>
          <t>250/3 Trường Chinh, Phường 13, Quận Tân Bình, TPHCM</t>
        </is>
      </c>
      <c r="Q166" s="24" t="inlineStr">
        <is>
          <t>Đã giao</t>
        </is>
      </c>
      <c r="R166" s="24" t="inlineStr">
        <is>
          <t>Voi Con</t>
        </is>
      </c>
      <c r="S166" s="22">
        <f>IF(AND($A166="",$C166=""),"",IF($A166="","Thiếu mã đơn; ","")&amp;IF(COUNTIF($A$2:$A166,$A166)&gt;1,"Trùng mã đơn; ","")&amp;IF(COUNTIF($C$2:$C166,$C166)&gt;1,"Trùng SĐT; ","")&amp;IF(ISNA(MATCH($C166,DATA_MASTER!$D$2:$D$5000,0)),"SĐT chưa đăng ký hội viên; ","")&amp;IF(AND($L166="Đã chuyển khoản",$M166=""),"Thiếu ngày nhận CK; ",""))</f>
        <v/>
      </c>
      <c r="T166" s="24" t="inlineStr">
        <is>
          <t>ĐVVC: Viettel Post | Mã VĐ: EO544217490VN</t>
        </is>
      </c>
    </row>
    <row r="167" ht="14.25" customHeight="1" s="40">
      <c r="A167" s="24" t="n">
        <v>166</v>
      </c>
      <c r="B167" s="29" t="inlineStr">
        <is>
          <t>10/01/2026</t>
        </is>
      </c>
      <c r="C167" s="28" t="inlineStr">
        <is>
          <t>0939300856</t>
        </is>
      </c>
      <c r="D167" s="22">
        <f>IF($C167="","",IFERROR(INDEX(DATA_MASTER!$C$2:$C$5000,MATCH($C167,DATA_MASTER!$D$2:$D$5000,0)),"Hòa Minh"))</f>
        <v/>
      </c>
      <c r="E167" s="22">
        <f>IF($C167="","",IFERROR(INDEX(DATA_MASTER!$I$2:$I$5000,MATCH($C167,DATA_MASTER!$D$2:$D$5000,0)),""))</f>
        <v/>
      </c>
      <c r="F167" s="22">
        <f>IF($C167="","",IFERROR(INDEX(DATA_MASTER!$L$2:$L$5000,MATCH($C167,DATA_MASTER!$D$2:$D$5000,0)),"ZM"))</f>
        <v/>
      </c>
      <c r="G167" s="24" t="inlineStr">
        <is>
          <t>Sữa Aptamil 380g</t>
        </is>
      </c>
      <c r="H167" s="24" t="n">
        <v>1</v>
      </c>
      <c r="I167" s="30" t="n">
        <v>320000</v>
      </c>
      <c r="J167" s="23">
        <f>IF(OR($H167="",$I167=""),"",$H167*$I167)</f>
        <v/>
      </c>
      <c r="K167" s="24" t="inlineStr">
        <is>
          <t>Chuyển khoản QR</t>
        </is>
      </c>
      <c r="L167" s="24" t="inlineStr">
        <is>
          <t>Đã chuyển khoản</t>
        </is>
      </c>
      <c r="M167" s="29" t="inlineStr">
        <is>
          <t>10/01/2026</t>
        </is>
      </c>
      <c r="N167" s="28" t="inlineStr">
        <is>
          <t>0939300856</t>
        </is>
      </c>
      <c r="O167" s="24" t="inlineStr">
        <is>
          <t>Hòa Minh</t>
        </is>
      </c>
      <c r="P167" s="24" t="inlineStr">
        <is>
          <t>247/33/10 lạc long quân phường 3 quận 11 tphcm, HCM</t>
        </is>
      </c>
      <c r="Q167" s="24" t="inlineStr">
        <is>
          <t>Đã giao</t>
        </is>
      </c>
      <c r="R167" s="24" t="inlineStr">
        <is>
          <t>Voi Con</t>
        </is>
      </c>
      <c r="S167" s="22">
        <f>IF(AND($A167="",$C167=""),"",IF($A167="","Thiếu mã đơn; ","")&amp;IF(COUNTIF($A$2:$A167,$A167)&gt;1,"Trùng mã đơn; ","")&amp;IF(COUNTIF($C$2:$C167,$C167)&gt;1,"Trùng SĐT; ","")&amp;IF(ISNA(MATCH($C167,DATA_MASTER!$D$2:$D$5000,0)),"SĐT chưa đăng ký hội viên; ","")&amp;IF(AND($L167="Đã chuyển khoản",$M167=""),"Thiếu ngày nhận CK; ",""))</f>
        <v/>
      </c>
      <c r="T167" s="24" t="inlineStr">
        <is>
          <t>ĐVVC: Shipper riêng | POD: https://drive.google.com/file/d/1JCSgvbOggZsruQ-dNVhhtq_veCKXt6gG/view?usp=drive_link</t>
        </is>
      </c>
    </row>
    <row r="168" ht="14.25" customHeight="1" s="40">
      <c r="A168" s="24" t="n">
        <v>167</v>
      </c>
      <c r="B168" s="29" t="inlineStr">
        <is>
          <t>10/01/2026</t>
        </is>
      </c>
      <c r="C168" s="28" t="inlineStr">
        <is>
          <t>0789221153</t>
        </is>
      </c>
      <c r="D168" s="22">
        <f>IF($C168="","",IFERROR(INDEX(DATA_MASTER!$C$2:$C$5000,MATCH($C168,DATA_MASTER!$D$2:$D$5000,0)),"Lê Nguyễn Thanh Tuyền"))</f>
        <v/>
      </c>
      <c r="E168" s="22">
        <f>IF($C168="","",IFERROR(INDEX(DATA_MASTER!$I$2:$I$5000,MATCH($C168,DATA_MASTER!$D$2:$D$5000,0)),""))</f>
        <v/>
      </c>
      <c r="F168" s="22">
        <f>IF($C168="","",IFERROR(INDEX(DATA_MASTER!$L$2:$L$5000,MATCH($C168,DATA_MASTER!$D$2:$D$5000,0)),"ZM"))</f>
        <v/>
      </c>
      <c r="G168" s="24" t="inlineStr">
        <is>
          <t>Sữa Aptamil 380g</t>
        </is>
      </c>
      <c r="H168" s="24" t="n">
        <v>1</v>
      </c>
      <c r="I168" s="30" t="n">
        <v>320000</v>
      </c>
      <c r="J168" s="23">
        <f>IF(OR($H168="",$I168=""),"",$H168*$I168)</f>
        <v/>
      </c>
      <c r="K168" s="24" t="inlineStr">
        <is>
          <t>Chuyển khoản QR</t>
        </is>
      </c>
      <c r="L168" s="24" t="inlineStr">
        <is>
          <t>Đã chuyển khoản</t>
        </is>
      </c>
      <c r="M168" s="29" t="inlineStr">
        <is>
          <t>10/01/2026</t>
        </is>
      </c>
      <c r="N168" s="28" t="inlineStr">
        <is>
          <t>0789221153</t>
        </is>
      </c>
      <c r="O168" s="24" t="inlineStr">
        <is>
          <t>Lê Nguyễn Thanh Tuyền</t>
        </is>
      </c>
      <c r="P168" s="24" t="inlineStr">
        <is>
          <t>861 quốc lộ 1a phường thạnh xuân quận 12 hcm, HCM</t>
        </is>
      </c>
      <c r="Q168" s="24" t="inlineStr">
        <is>
          <t>Đang giao</t>
        </is>
      </c>
      <c r="R168" s="24" t="inlineStr">
        <is>
          <t>Voi Con</t>
        </is>
      </c>
      <c r="S168" s="22">
        <f>IF(AND($A168="",$C168=""),"",IF($A168="","Thiếu mã đơn; ","")&amp;IF(COUNTIF($A$2:$A168,$A168)&gt;1,"Trùng mã đơn; ","")&amp;IF(COUNTIF($C$2:$C168,$C168)&gt;1,"Trùng SĐT; ","")&amp;IF(ISNA(MATCH($C168,DATA_MASTER!$D$2:$D$5000,0)),"SĐT chưa đăng ký hội viên; ","")&amp;IF(AND($L168="Đã chuyển khoản",$M168=""),"Thiếu ngày nhận CK; ",""))</f>
        <v/>
      </c>
      <c r="T168" s="24" t="inlineStr">
        <is>
          <t>ĐVVC: Viettel Post | Mã VĐ: 153691043717</t>
        </is>
      </c>
    </row>
    <row r="169" ht="14.25" customHeight="1" s="40">
      <c r="A169" s="24" t="n">
        <v>168</v>
      </c>
      <c r="B169" s="29" t="inlineStr">
        <is>
          <t>10/01/2026</t>
        </is>
      </c>
      <c r="C169" s="28" t="inlineStr">
        <is>
          <t>0336118803</t>
        </is>
      </c>
      <c r="D169" s="22">
        <f>IF($C169="","",IFERROR(INDEX(DATA_MASTER!$C$2:$C$5000,MATCH($C169,DATA_MASTER!$D$2:$D$5000,0)),"Thu Thảo"))</f>
        <v/>
      </c>
      <c r="E169" s="22">
        <f>IF($C169="","",IFERROR(INDEX(DATA_MASTER!$I$2:$I$5000,MATCH($C169,DATA_MASTER!$D$2:$D$5000,0)),""))</f>
        <v/>
      </c>
      <c r="F169" s="22">
        <f>IF($C169="","",IFERROR(INDEX(DATA_MASTER!$L$2:$L$5000,MATCH($C169,DATA_MASTER!$D$2:$D$5000,0)),"ZM"))</f>
        <v/>
      </c>
      <c r="G169" s="24" t="inlineStr">
        <is>
          <t>Sữa Aptamil 380g</t>
        </is>
      </c>
      <c r="H169" s="24" t="n">
        <v>1</v>
      </c>
      <c r="I169" s="30" t="n">
        <v>320000</v>
      </c>
      <c r="J169" s="23">
        <f>IF(OR($H169="",$I169=""),"",$H169*$I169)</f>
        <v/>
      </c>
      <c r="K169" s="24" t="inlineStr">
        <is>
          <t>Chuyển khoản QR</t>
        </is>
      </c>
      <c r="L169" s="24" t="inlineStr">
        <is>
          <t>Đã chuyển khoản</t>
        </is>
      </c>
      <c r="M169" s="29" t="inlineStr">
        <is>
          <t>10/01/2026</t>
        </is>
      </c>
      <c r="N169" s="28" t="inlineStr">
        <is>
          <t>0336118803</t>
        </is>
      </c>
      <c r="O169" s="24" t="inlineStr">
        <is>
          <t>Thu Thảo</t>
        </is>
      </c>
      <c r="P169" s="24" t="inlineStr">
        <is>
          <t>20 Trần Thủ Độ, P. Phú Thạnh, TPHCM</t>
        </is>
      </c>
      <c r="Q169" s="24" t="inlineStr">
        <is>
          <t>Đã giao</t>
        </is>
      </c>
      <c r="R169" s="24" t="inlineStr">
        <is>
          <t>Voi Con</t>
        </is>
      </c>
      <c r="S169" s="22">
        <f>IF(AND($A169="",$C169=""),"",IF($A169="","Thiếu mã đơn; ","")&amp;IF(COUNTIF($A$2:$A169,$A169)&gt;1,"Trùng mã đơn; ","")&amp;IF(COUNTIF($C$2:$C169,$C169)&gt;1,"Trùng SĐT; ","")&amp;IF(ISNA(MATCH($C169,DATA_MASTER!$D$2:$D$5000,0)),"SĐT chưa đăng ký hội viên; ","")&amp;IF(AND($L169="Đã chuyển khoản",$M169=""),"Thiếu ngày nhận CK; ",""))</f>
        <v/>
      </c>
      <c r="T169" s="24" t="inlineStr">
        <is>
          <t>ĐVVC: Viettel Post | Mã VĐ: 153691446037</t>
        </is>
      </c>
    </row>
    <row r="170" ht="14.25" customHeight="1" s="40">
      <c r="A170" s="24" t="n">
        <v>169</v>
      </c>
      <c r="B170" s="29" t="inlineStr">
        <is>
          <t>10/01/2026</t>
        </is>
      </c>
      <c r="C170" s="28" t="inlineStr">
        <is>
          <t>0708807255</t>
        </is>
      </c>
      <c r="D170" s="22">
        <f>IF($C170="","",IFERROR(INDEX(DATA_MASTER!$C$2:$C$5000,MATCH($C170,DATA_MASTER!$D$2:$D$5000,0)),"Lê Thị Thuyền"))</f>
        <v/>
      </c>
      <c r="E170" s="22">
        <f>IF($C170="","",IFERROR(INDEX(DATA_MASTER!$I$2:$I$5000,MATCH($C170,DATA_MASTER!$D$2:$D$5000,0)),""))</f>
        <v/>
      </c>
      <c r="F170" s="22">
        <f>IF($C170="","",IFERROR(INDEX(DATA_MASTER!$L$2:$L$5000,MATCH($C170,DATA_MASTER!$D$2:$D$5000,0)),"ZM"))</f>
        <v/>
      </c>
      <c r="G170" s="24" t="inlineStr">
        <is>
          <t>Sữa Aptamil 380g</t>
        </is>
      </c>
      <c r="H170" s="24" t="n">
        <v>1</v>
      </c>
      <c r="I170" s="30" t="n">
        <v>320000</v>
      </c>
      <c r="J170" s="23">
        <f>IF(OR($H170="",$I170=""),"",$H170*$I170)</f>
        <v/>
      </c>
      <c r="K170" s="24" t="inlineStr">
        <is>
          <t>Chuyển khoản QR</t>
        </is>
      </c>
      <c r="L170" s="24" t="inlineStr">
        <is>
          <t>Đã chuyển khoản</t>
        </is>
      </c>
      <c r="M170" s="29" t="inlineStr">
        <is>
          <t>10/01/2026</t>
        </is>
      </c>
      <c r="N170" s="28" t="inlineStr">
        <is>
          <t>0708807255</t>
        </is>
      </c>
      <c r="O170" s="24" t="inlineStr">
        <is>
          <t>Lê Thị Thuyền</t>
        </is>
      </c>
      <c r="P170" s="24" t="inlineStr">
        <is>
          <t>Tòa S203 , chung cư VinHomes Grand Park , 512 Nguyễn Xiễn, Long Thạnh Mỹ, HCM</t>
        </is>
      </c>
      <c r="Q170" s="24" t="inlineStr">
        <is>
          <t>Đã giao</t>
        </is>
      </c>
      <c r="R170" s="24" t="inlineStr">
        <is>
          <t>Voi Con</t>
        </is>
      </c>
      <c r="S170" s="22">
        <f>IF(AND($A170="",$C170=""),"",IF($A170="","Thiếu mã đơn; ","")&amp;IF(COUNTIF($A$2:$A170,$A170)&gt;1,"Trùng mã đơn; ","")&amp;IF(COUNTIF($C$2:$C170,$C170)&gt;1,"Trùng SĐT; ","")&amp;IF(ISNA(MATCH($C170,DATA_MASTER!$D$2:$D$5000,0)),"SĐT chưa đăng ký hội viên; ","")&amp;IF(AND($L170="Đã chuyển khoản",$M170=""),"Thiếu ngày nhận CK; ",""))</f>
        <v/>
      </c>
      <c r="T170" s="24" t="inlineStr">
        <is>
          <t>ĐVVC: J&amp;T | Mã VĐ: 801114255809 | POD: https://drive.google.com/drive/folders/14YqSb9mohXWUMATpBaLAocW_7uBLVQM8</t>
        </is>
      </c>
    </row>
    <row r="171" ht="14.25" customHeight="1" s="40">
      <c r="A171" s="24" t="n">
        <v>170</v>
      </c>
      <c r="B171" s="29" t="inlineStr">
        <is>
          <t>10/01/2026</t>
        </is>
      </c>
      <c r="C171" s="28" t="inlineStr">
        <is>
          <t>0819070000</t>
        </is>
      </c>
      <c r="D171" s="22">
        <f>IF($C171="","",IFERROR(INDEX(DATA_MASTER!$C$2:$C$5000,MATCH($C171,DATA_MASTER!$D$2:$D$5000,0)),"Nguyễn Thị Mai Chi"))</f>
        <v/>
      </c>
      <c r="E171" s="22">
        <f>IF($C171="","",IFERROR(INDEX(DATA_MASTER!$I$2:$I$5000,MATCH($C171,DATA_MASTER!$D$2:$D$5000,0)),""))</f>
        <v/>
      </c>
      <c r="F171" s="22">
        <f>IF($C171="","",IFERROR(INDEX(DATA_MASTER!$L$2:$L$5000,MATCH($C171,DATA_MASTER!$D$2:$D$5000,0)),"ZM"))</f>
        <v/>
      </c>
      <c r="G171" s="24" t="inlineStr">
        <is>
          <t>Sữa Aptamil 380g</t>
        </is>
      </c>
      <c r="H171" s="24" t="n">
        <v>1</v>
      </c>
      <c r="I171" s="30" t="n">
        <v>320000</v>
      </c>
      <c r="J171" s="23">
        <f>IF(OR($H171="",$I171=""),"",$H171*$I171)</f>
        <v/>
      </c>
      <c r="K171" s="24" t="inlineStr">
        <is>
          <t>Chuyển khoản QR</t>
        </is>
      </c>
      <c r="L171" s="24" t="inlineStr">
        <is>
          <t>Đã chuyển khoản</t>
        </is>
      </c>
      <c r="M171" s="29" t="inlineStr">
        <is>
          <t>10/01/2026</t>
        </is>
      </c>
      <c r="N171" s="28" t="inlineStr">
        <is>
          <t>0819070000</t>
        </is>
      </c>
      <c r="O171" s="24" t="inlineStr">
        <is>
          <t>Nguyễn Thị Mai Chi</t>
        </is>
      </c>
      <c r="P171" s="24" t="inlineStr">
        <is>
          <t>67/35/24 tân thới hiệp 21 phường tân thới hiệp quận 12, HCM</t>
        </is>
      </c>
      <c r="Q171" s="24" t="inlineStr">
        <is>
          <t>Đang giao</t>
        </is>
      </c>
      <c r="R171" s="24" t="inlineStr">
        <is>
          <t>Voi Con</t>
        </is>
      </c>
      <c r="S171" s="22">
        <f>IF(AND($A171="",$C171=""),"",IF($A171="","Thiếu mã đơn; ","")&amp;IF(COUNTIF($A$2:$A171,$A171)&gt;1,"Trùng mã đơn; ","")&amp;IF(COUNTIF($C$2:$C171,$C171)&gt;1,"Trùng SĐT; ","")&amp;IF(ISNA(MATCH($C171,DATA_MASTER!$D$2:$D$5000,0)),"SĐT chưa đăng ký hội viên; ","")&amp;IF(AND($L171="Đã chuyển khoản",$M171=""),"Thiếu ngày nhận CK; ",""))</f>
        <v/>
      </c>
      <c r="T171" s="24" t="inlineStr">
        <is>
          <t>ĐVVC: Viettel Post | Mã VĐ: 153692721644</t>
        </is>
      </c>
    </row>
    <row r="172" ht="14.25" customHeight="1" s="40">
      <c r="A172" s="24" t="n">
        <v>171</v>
      </c>
      <c r="B172" s="29" t="inlineStr">
        <is>
          <t>10/01/2026</t>
        </is>
      </c>
      <c r="C172" s="28" t="inlineStr">
        <is>
          <t>0589144639</t>
        </is>
      </c>
      <c r="D172" s="22">
        <f>IF($C172="","",IFERROR(INDEX(DATA_MASTER!$C$2:$C$5000,MATCH($C172,DATA_MASTER!$D$2:$D$5000,0)),"Vũ Linh Thiên Hà"))</f>
        <v/>
      </c>
      <c r="E172" s="22">
        <f>IF($C172="","",IFERROR(INDEX(DATA_MASTER!$I$2:$I$5000,MATCH($C172,DATA_MASTER!$D$2:$D$5000,0)),""))</f>
        <v/>
      </c>
      <c r="F172" s="22">
        <f>IF($C172="","",IFERROR(INDEX(DATA_MASTER!$L$2:$L$5000,MATCH($C172,DATA_MASTER!$D$2:$D$5000,0)),"ZM"))</f>
        <v/>
      </c>
      <c r="G172" s="24" t="inlineStr">
        <is>
          <t>Sữa Aptamil 380g</t>
        </is>
      </c>
      <c r="H172" s="24" t="n">
        <v>1</v>
      </c>
      <c r="I172" s="30" t="n">
        <v>320000</v>
      </c>
      <c r="J172" s="23">
        <f>IF(OR($H172="",$I172=""),"",$H172*$I172)</f>
        <v/>
      </c>
      <c r="K172" s="24" t="inlineStr">
        <is>
          <t>Chuyển khoản QR</t>
        </is>
      </c>
      <c r="L172" s="24" t="inlineStr">
        <is>
          <t>Chờ chuyển khoản</t>
        </is>
      </c>
      <c r="M172" s="29" t="inlineStr">
        <is>
          <t>10/01/2026</t>
        </is>
      </c>
      <c r="N172" s="28" t="inlineStr">
        <is>
          <t>0589144639</t>
        </is>
      </c>
      <c r="O172" s="24" t="inlineStr">
        <is>
          <t>Vũ Linh Thiên Hà</t>
        </is>
      </c>
      <c r="P172" s="24" t="inlineStr">
        <is>
          <t>12/11/2 đuờng 46, hiệp bình chánh, thủ đức, HCM</t>
        </is>
      </c>
      <c r="Q172" s="24" t="inlineStr">
        <is>
          <t>Chờ giao</t>
        </is>
      </c>
      <c r="R172" s="24" t="inlineStr">
        <is>
          <t>Voi Con</t>
        </is>
      </c>
      <c r="S172" s="22">
        <f>IF(AND($A172="",$C172=""),"",IF($A172="","Thiếu mã đơn; ","")&amp;IF(COUNTIF($A$2:$A172,$A172)&gt;1,"Trùng mã đơn; ","")&amp;IF(COUNTIF($C$2:$C172,$C172)&gt;1,"Trùng SĐT; ","")&amp;IF(ISNA(MATCH($C172,DATA_MASTER!$D$2:$D$5000,0)),"SĐT chưa đăng ký hội viên; ","")&amp;IF(AND($L172="Đã chuyển khoản",$M172=""),"Thiếu ngày nhận CK; ",""))</f>
        <v/>
      </c>
      <c r="T172" s="24" t="inlineStr"/>
    </row>
    <row r="173" ht="14.25" customHeight="1" s="40">
      <c r="A173" s="24" t="n">
        <v>172</v>
      </c>
      <c r="B173" s="29" t="inlineStr">
        <is>
          <t>10/01/2026</t>
        </is>
      </c>
      <c r="C173" s="28" t="inlineStr">
        <is>
          <t>0898483098</t>
        </is>
      </c>
      <c r="D173" s="22">
        <f>IF($C173="","",IFERROR(INDEX(DATA_MASTER!$C$2:$C$5000,MATCH($C173,DATA_MASTER!$D$2:$D$5000,0)),"Nguyễn Thị Kim Thu"))</f>
        <v/>
      </c>
      <c r="E173" s="22">
        <f>IF($C173="","",IFERROR(INDEX(DATA_MASTER!$I$2:$I$5000,MATCH($C173,DATA_MASTER!$D$2:$D$5000,0)),""))</f>
        <v/>
      </c>
      <c r="F173" s="22">
        <f>IF($C173="","",IFERROR(INDEX(DATA_MASTER!$L$2:$L$5000,MATCH($C173,DATA_MASTER!$D$2:$D$5000,0)),"ZM"))</f>
        <v/>
      </c>
      <c r="G173" s="24" t="inlineStr">
        <is>
          <t>Sữa Aptamil 380g</t>
        </is>
      </c>
      <c r="H173" s="24" t="n">
        <v>1</v>
      </c>
      <c r="I173" s="30" t="n">
        <v>320000</v>
      </c>
      <c r="J173" s="23">
        <f>IF(OR($H173="",$I173=""),"",$H173*$I173)</f>
        <v/>
      </c>
      <c r="K173" s="24" t="inlineStr">
        <is>
          <t>Chuyển khoản QR</t>
        </is>
      </c>
      <c r="L173" s="24" t="inlineStr">
        <is>
          <t>Đã chuyển khoản</t>
        </is>
      </c>
      <c r="M173" s="29" t="inlineStr">
        <is>
          <t>10/01/2026</t>
        </is>
      </c>
      <c r="N173" s="28" t="inlineStr">
        <is>
          <t>0898483098</t>
        </is>
      </c>
      <c r="O173" s="24" t="inlineStr">
        <is>
          <t>Nguyễn Thị Kim Thu</t>
        </is>
      </c>
      <c r="P173" s="24" t="inlineStr">
        <is>
          <t>125 lê lợi, xã Chư Sê, Tỉnh Gia Lai</t>
        </is>
      </c>
      <c r="Q173" s="24" t="inlineStr">
        <is>
          <t>Chờ giao</t>
        </is>
      </c>
      <c r="R173" s="24" t="inlineStr">
        <is>
          <t>Long Châu</t>
        </is>
      </c>
      <c r="S173" s="22">
        <f>IF(AND($A173="",$C173=""),"",IF($A173="","Thiếu mã đơn; ","")&amp;IF(COUNTIF($A$2:$A173,$A173)&gt;1,"Trùng mã đơn; ","")&amp;IF(COUNTIF($C$2:$C173,$C173)&gt;1,"Trùng SĐT; ","")&amp;IF(ISNA(MATCH($C173,DATA_MASTER!$D$2:$D$5000,0)),"SĐT chưa đăng ký hội viên; ","")&amp;IF(AND($L173="Đã chuyển khoản",$M173=""),"Thiếu ngày nhận CK; ",""))</f>
        <v/>
      </c>
      <c r="T173" s="24" t="inlineStr"/>
    </row>
    <row r="174" ht="14.25" customHeight="1" s="40">
      <c r="A174" s="24" t="n">
        <v>173</v>
      </c>
      <c r="B174" s="29" t="inlineStr">
        <is>
          <t>10/01/2026</t>
        </is>
      </c>
      <c r="C174" s="28" t="inlineStr">
        <is>
          <t>0907621642</t>
        </is>
      </c>
      <c r="D174" s="22">
        <f>IF($C174="","",IFERROR(INDEX(DATA_MASTER!$C$2:$C$5000,MATCH($C174,DATA_MASTER!$D$2:$D$5000,0)),"Trần Nguyễn Trúc Vy"))</f>
        <v/>
      </c>
      <c r="E174" s="22">
        <f>IF($C174="","",IFERROR(INDEX(DATA_MASTER!$I$2:$I$5000,MATCH($C174,DATA_MASTER!$D$2:$D$5000,0)),""))</f>
        <v/>
      </c>
      <c r="F174" s="22">
        <f>IF($C174="","",IFERROR(INDEX(DATA_MASTER!$L$2:$L$5000,MATCH($C174,DATA_MASTER!$D$2:$D$5000,0)),"ZM"))</f>
        <v/>
      </c>
      <c r="G174" s="24" t="inlineStr">
        <is>
          <t>Sữa Aptamil 380g</t>
        </is>
      </c>
      <c r="H174" s="24" t="n">
        <v>1</v>
      </c>
      <c r="I174" s="30" t="n">
        <v>320000</v>
      </c>
      <c r="J174" s="23">
        <f>IF(OR($H174="",$I174=""),"",$H174*$I174)</f>
        <v/>
      </c>
      <c r="K174" s="24" t="inlineStr">
        <is>
          <t>Chuyển khoản QR</t>
        </is>
      </c>
      <c r="L174" s="24" t="inlineStr">
        <is>
          <t>Đã chuyển khoản</t>
        </is>
      </c>
      <c r="M174" s="29" t="inlineStr">
        <is>
          <t>10/01/2026</t>
        </is>
      </c>
      <c r="N174" s="28" t="inlineStr">
        <is>
          <t>0907621642</t>
        </is>
      </c>
      <c r="O174" s="24" t="inlineStr">
        <is>
          <t>Trần Nguyễn Trúc Vy</t>
        </is>
      </c>
      <c r="P174" s="24" t="inlineStr">
        <is>
          <t>55/3 Bùi Hữu Nghĩa, Bình Thuỷ, Cần Thơ</t>
        </is>
      </c>
      <c r="Q174" s="24" t="inlineStr">
        <is>
          <t>Chờ giao</t>
        </is>
      </c>
      <c r="R174" s="24" t="inlineStr">
        <is>
          <t>Thế Giới Sơ Sinh</t>
        </is>
      </c>
      <c r="S174" s="22">
        <f>IF(AND($A174="",$C174=""),"",IF($A174="","Thiếu mã đơn; ","")&amp;IF(COUNTIF($A$2:$A174,$A174)&gt;1,"Trùng mã đơn; ","")&amp;IF(COUNTIF($C$2:$C174,$C174)&gt;1,"Trùng SĐT; ","")&amp;IF(ISNA(MATCH($C174,DATA_MASTER!$D$2:$D$5000,0)),"SĐT chưa đăng ký hội viên; ","")&amp;IF(AND($L174="Đã chuyển khoản",$M174=""),"Thiếu ngày nhận CK; ",""))</f>
        <v/>
      </c>
      <c r="T174" s="24" t="inlineStr">
        <is>
          <t>Bill: https://drive.google.com/drive/folders/1W8bQQwxUHpuF5fl7wI2xTsZs2jM40sKL</t>
        </is>
      </c>
    </row>
    <row r="175" ht="14.25" customHeight="1" s="40">
      <c r="A175" s="24" t="n">
        <v>174</v>
      </c>
      <c r="B175" s="29" t="inlineStr">
        <is>
          <t>10/01/2026</t>
        </is>
      </c>
      <c r="C175" s="28" t="inlineStr">
        <is>
          <t>0862122339</t>
        </is>
      </c>
      <c r="D175" s="22">
        <f>IF($C175="","",IFERROR(INDEX(DATA_MASTER!$C$2:$C$5000,MATCH($C175,DATA_MASTER!$D$2:$D$5000,0)),"Nguyễn Hoàng Thơ"))</f>
        <v/>
      </c>
      <c r="E175" s="22">
        <f>IF($C175="","",IFERROR(INDEX(DATA_MASTER!$I$2:$I$5000,MATCH($C175,DATA_MASTER!$D$2:$D$5000,0)),""))</f>
        <v/>
      </c>
      <c r="F175" s="22">
        <f>IF($C175="","",IFERROR(INDEX(DATA_MASTER!$L$2:$L$5000,MATCH($C175,DATA_MASTER!$D$2:$D$5000,0)),"ZM"))</f>
        <v/>
      </c>
      <c r="G175" s="24" t="inlineStr">
        <is>
          <t>Sữa Aptamil 380g</t>
        </is>
      </c>
      <c r="H175" s="24" t="n">
        <v>1</v>
      </c>
      <c r="I175" s="30" t="n">
        <v>320000</v>
      </c>
      <c r="J175" s="23">
        <f>IF(OR($H175="",$I175=""),"",$H175*$I175)</f>
        <v/>
      </c>
      <c r="K175" s="24" t="inlineStr">
        <is>
          <t>Chuyển khoản QR</t>
        </is>
      </c>
      <c r="L175" s="24" t="inlineStr">
        <is>
          <t>Đã chuyển khoản</t>
        </is>
      </c>
      <c r="M175" s="29" t="inlineStr">
        <is>
          <t>10/01/2026</t>
        </is>
      </c>
      <c r="N175" s="28" t="inlineStr">
        <is>
          <t>0862122339</t>
        </is>
      </c>
      <c r="O175" s="24" t="inlineStr">
        <is>
          <t>Nguyễn Hoàng Thơ</t>
        </is>
      </c>
      <c r="P175" s="24" t="inlineStr">
        <is>
          <t>132/22 đường 3/2 Tân An, Cần Thơ</t>
        </is>
      </c>
      <c r="Q175" s="24" t="inlineStr">
        <is>
          <t>Chờ giao</t>
        </is>
      </c>
      <c r="R175" s="24" t="inlineStr">
        <is>
          <t>Thế Giới Sơ Sinh</t>
        </is>
      </c>
      <c r="S175" s="22">
        <f>IF(AND($A175="",$C175=""),"",IF($A175="","Thiếu mã đơn; ","")&amp;IF(COUNTIF($A$2:$A175,$A175)&gt;1,"Trùng mã đơn; ","")&amp;IF(COUNTIF($C$2:$C175,$C175)&gt;1,"Trùng SĐT; ","")&amp;IF(ISNA(MATCH($C175,DATA_MASTER!$D$2:$D$5000,0)),"SĐT chưa đăng ký hội viên; ","")&amp;IF(AND($L175="Đã chuyển khoản",$M175=""),"Thiếu ngày nhận CK; ",""))</f>
        <v/>
      </c>
      <c r="T175" s="24" t="inlineStr">
        <is>
          <t>Bill: https://drive.google.com/drive/folders/1W8bQQwxUHpuF5fl7wI2xTsZs2jM40sKL</t>
        </is>
      </c>
    </row>
    <row r="176" ht="14.25" customHeight="1" s="40">
      <c r="A176" s="24" t="n">
        <v>175</v>
      </c>
      <c r="B176" s="29" t="inlineStr">
        <is>
          <t>10/01/2026</t>
        </is>
      </c>
      <c r="C176" s="28" t="inlineStr">
        <is>
          <t>0932878008</t>
        </is>
      </c>
      <c r="D176" s="22">
        <f>IF($C176="","",IFERROR(INDEX(DATA_MASTER!$C$2:$C$5000,MATCH($C176,DATA_MASTER!$D$2:$D$5000,0)),"Nguyễn Ý Vy"))</f>
        <v/>
      </c>
      <c r="E176" s="22">
        <f>IF($C176="","",IFERROR(INDEX(DATA_MASTER!$I$2:$I$5000,MATCH($C176,DATA_MASTER!$D$2:$D$5000,0)),""))</f>
        <v/>
      </c>
      <c r="F176" s="22">
        <f>IF($C176="","",IFERROR(INDEX(DATA_MASTER!$L$2:$L$5000,MATCH($C176,DATA_MASTER!$D$2:$D$5000,0)),"ZM"))</f>
        <v/>
      </c>
      <c r="G176" s="24" t="inlineStr">
        <is>
          <t>Sữa Aptamil 380g</t>
        </is>
      </c>
      <c r="H176" s="24" t="n">
        <v>1</v>
      </c>
      <c r="I176" s="30" t="n">
        <v>320000</v>
      </c>
      <c r="J176" s="23">
        <f>IF(OR($H176="",$I176=""),"",$H176*$I176)</f>
        <v/>
      </c>
      <c r="K176" s="24" t="inlineStr">
        <is>
          <t>Chuyển khoản QR</t>
        </is>
      </c>
      <c r="L176" s="24" t="inlineStr">
        <is>
          <t>Đã chuyển khoản</t>
        </is>
      </c>
      <c r="M176" s="29" t="inlineStr">
        <is>
          <t>10/01/2026</t>
        </is>
      </c>
      <c r="N176" s="28" t="inlineStr">
        <is>
          <t>0932878008</t>
        </is>
      </c>
      <c r="O176" s="24" t="inlineStr">
        <is>
          <t>Nguyễn Ý Vy</t>
        </is>
      </c>
      <c r="P176" s="24" t="inlineStr">
        <is>
          <t>69B-65B Hẻm 59 Đề Thám, Phường Ninh Kiều, Tp Cần Thơ</t>
        </is>
      </c>
      <c r="Q176" s="24" t="inlineStr">
        <is>
          <t>Đã giao</t>
        </is>
      </c>
      <c r="R176" s="24" t="inlineStr">
        <is>
          <t>Nhà Của Gạo</t>
        </is>
      </c>
      <c r="S176" s="22">
        <f>IF(AND($A176="",$C176=""),"",IF($A176="","Thiếu mã đơn; ","")&amp;IF(COUNTIF($A$2:$A176,$A176)&gt;1,"Trùng mã đơn; ","")&amp;IF(COUNTIF($C$2:$C176,$C176)&gt;1,"Trùng SĐT; ","")&amp;IF(ISNA(MATCH($C176,DATA_MASTER!$D$2:$D$5000,0)),"SĐT chưa đăng ký hội viên; ","")&amp;IF(AND($L176="Đã chuyển khoản",$M176=""),"Thiếu ngày nhận CK; ",""))</f>
        <v/>
      </c>
      <c r="T176" s="24" t="inlineStr">
        <is>
          <t>ĐVVC: J&amp;T | Mã VĐ: 801114013523 | POD: https://drive.google.com/drive/folders/14YqSb9mohXWUMATpBaLAocW_7uBLVQM8 | Bill: https://drive.google.com/drive/folders/1oVg7f8sxciyNWufQVdeQqRnWYKGXufhm</t>
        </is>
      </c>
    </row>
    <row r="177" ht="14.25" customHeight="1" s="40">
      <c r="A177" s="24" t="n">
        <v>176</v>
      </c>
      <c r="B177" s="29" t="inlineStr">
        <is>
          <t>10/01/2026</t>
        </is>
      </c>
      <c r="C177" s="28" t="inlineStr">
        <is>
          <t>0387540053</t>
        </is>
      </c>
      <c r="D177" s="22">
        <f>IF($C177="","",IFERROR(INDEX(DATA_MASTER!$C$2:$C$5000,MATCH($C177,DATA_MASTER!$D$2:$D$5000,0)),"Phan Thị Mỹ Duyên"))</f>
        <v/>
      </c>
      <c r="E177" s="22">
        <f>IF($C177="","",IFERROR(INDEX(DATA_MASTER!$I$2:$I$5000,MATCH($C177,DATA_MASTER!$D$2:$D$5000,0)),""))</f>
        <v/>
      </c>
      <c r="F177" s="22">
        <f>IF($C177="","",IFERROR(INDEX(DATA_MASTER!$L$2:$L$5000,MATCH($C177,DATA_MASTER!$D$2:$D$5000,0)),"ZM"))</f>
        <v/>
      </c>
      <c r="G177" s="24" t="inlineStr">
        <is>
          <t>Sữa Aptamil 380g</t>
        </is>
      </c>
      <c r="H177" s="24" t="n">
        <v>1</v>
      </c>
      <c r="I177" s="30" t="n">
        <v>320000</v>
      </c>
      <c r="J177" s="23">
        <f>IF(OR($H177="",$I177=""),"",$H177*$I177)</f>
        <v/>
      </c>
      <c r="K177" s="24" t="inlineStr">
        <is>
          <t>Chuyển khoản QR</t>
        </is>
      </c>
      <c r="L177" s="24" t="inlineStr">
        <is>
          <t>Đã chuyển khoản</t>
        </is>
      </c>
      <c r="M177" s="29" t="inlineStr">
        <is>
          <t>10/01/2026</t>
        </is>
      </c>
      <c r="N177" s="28" t="inlineStr">
        <is>
          <t>0387540053</t>
        </is>
      </c>
      <c r="O177" s="24" t="inlineStr">
        <is>
          <t>Phan Thị Mỹ Duyên</t>
        </is>
      </c>
      <c r="P177" s="24" t="inlineStr">
        <is>
          <t>25B/4 KV3 P. Tân An Cần Thơ ( bờ hồ búng xáng)</t>
        </is>
      </c>
      <c r="Q177" s="24" t="inlineStr">
        <is>
          <t>Đã giao</t>
        </is>
      </c>
      <c r="R177" s="24" t="inlineStr">
        <is>
          <t>Nhà Của Gạo</t>
        </is>
      </c>
      <c r="S177" s="22">
        <f>IF(AND($A177="",$C177=""),"",IF($A177="","Thiếu mã đơn; ","")&amp;IF(COUNTIF($A$2:$A177,$A177)&gt;1,"Trùng mã đơn; ","")&amp;IF(COUNTIF($C$2:$C177,$C177)&gt;1,"Trùng SĐT; ","")&amp;IF(ISNA(MATCH($C177,DATA_MASTER!$D$2:$D$5000,0)),"SĐT chưa đăng ký hội viên; ","")&amp;IF(AND($L177="Đã chuyển khoản",$M177=""),"Thiếu ngày nhận CK; ",""))</f>
        <v/>
      </c>
      <c r="T177" s="24" t="inlineStr">
        <is>
          <t>ĐVVC: J&amp;T | Mã VĐ: 801111060332 | POD: https://drive.google.com/drive/folders/14YqSb9mohXWUMATpBaLAocW_7uBLVQM8</t>
        </is>
      </c>
    </row>
    <row r="178" ht="14.25" customHeight="1" s="40">
      <c r="A178" s="24" t="n">
        <v>177</v>
      </c>
      <c r="B178" s="29" t="inlineStr">
        <is>
          <t>10/02/2026</t>
        </is>
      </c>
      <c r="C178" s="28" t="inlineStr">
        <is>
          <t>0348649886</t>
        </is>
      </c>
      <c r="D178" s="22">
        <f>IF($C178="","",IFERROR(INDEX(DATA_MASTER!$C$2:$C$5000,MATCH($C178,DATA_MASTER!$D$2:$D$5000,0)),"Lê Thị Hường"))</f>
        <v/>
      </c>
      <c r="E178" s="22">
        <f>IF($C178="","",IFERROR(INDEX(DATA_MASTER!$I$2:$I$5000,MATCH($C178,DATA_MASTER!$D$2:$D$5000,0)),""))</f>
        <v/>
      </c>
      <c r="F178" s="22">
        <f>IF($C178="","",IFERROR(INDEX(DATA_MASTER!$L$2:$L$5000,MATCH($C178,DATA_MASTER!$D$2:$D$5000,0)),"ZM"))</f>
        <v/>
      </c>
      <c r="G178" s="24" t="inlineStr">
        <is>
          <t>Sữa Aptamil 380g</t>
        </is>
      </c>
      <c r="H178" s="24" t="n">
        <v>1</v>
      </c>
      <c r="I178" s="30" t="n">
        <v>320000</v>
      </c>
      <c r="J178" s="23">
        <f>IF(OR($H178="",$I178=""),"",$H178*$I178)</f>
        <v/>
      </c>
      <c r="K178" s="24" t="inlineStr">
        <is>
          <t>Chuyển khoản QR</t>
        </is>
      </c>
      <c r="L178" s="24" t="inlineStr">
        <is>
          <t>Đã chuyển khoản</t>
        </is>
      </c>
      <c r="M178" s="29" t="inlineStr">
        <is>
          <t>10/02/2026</t>
        </is>
      </c>
      <c r="N178" s="28" t="inlineStr">
        <is>
          <t>0348649886</t>
        </is>
      </c>
      <c r="O178" s="24" t="inlineStr">
        <is>
          <t>Lê Thị Hường</t>
        </is>
      </c>
      <c r="P178" s="24" t="inlineStr">
        <is>
          <t>136b Trần Thủ Độ, Hoàng Liệt, Hoàng Mai, Hà Nội</t>
        </is>
      </c>
      <c r="Q178" s="24" t="inlineStr">
        <is>
          <t>Đã giao</t>
        </is>
      </c>
      <c r="R178" s="24" t="inlineStr">
        <is>
          <t>Sữa 3 Tốt</t>
        </is>
      </c>
      <c r="S178" s="22">
        <f>IF(AND($A178="",$C178=""),"",IF($A178="","Thiếu mã đơn; ","")&amp;IF(COUNTIF($A$2:$A178,$A178)&gt;1,"Trùng mã đơn; ","")&amp;IF(COUNTIF($C$2:$C178,$C178)&gt;1,"Trùng SĐT; ","")&amp;IF(ISNA(MATCH($C178,DATA_MASTER!$D$2:$D$5000,0)),"SĐT chưa đăng ký hội viên; ","")&amp;IF(AND($L178="Đã chuyển khoản",$M178=""),"Thiếu ngày nhận CK; ",""))</f>
        <v/>
      </c>
      <c r="T178" s="24" t="inlineStr">
        <is>
          <t>ĐVVC: Shipper riêng</t>
        </is>
      </c>
    </row>
    <row r="179" ht="14.25" customHeight="1" s="40">
      <c r="A179" s="24" t="n">
        <v>178</v>
      </c>
      <c r="B179" s="29" t="inlineStr">
        <is>
          <t>10/02/2026</t>
        </is>
      </c>
      <c r="C179" s="28" t="inlineStr">
        <is>
          <t>0325363909</t>
        </is>
      </c>
      <c r="D179" s="22">
        <f>IF($C179="","",IFERROR(INDEX(DATA_MASTER!$C$2:$C$5000,MATCH($C179,DATA_MASTER!$D$2:$D$5000,0)),"Nguyễn Thúy Hậu"))</f>
        <v/>
      </c>
      <c r="E179" s="22">
        <f>IF($C179="","",IFERROR(INDEX(DATA_MASTER!$I$2:$I$5000,MATCH($C179,DATA_MASTER!$D$2:$D$5000,0)),""))</f>
        <v/>
      </c>
      <c r="F179" s="22">
        <f>IF($C179="","",IFERROR(INDEX(DATA_MASTER!$L$2:$L$5000,MATCH($C179,DATA_MASTER!$D$2:$D$5000,0)),"ZM"))</f>
        <v/>
      </c>
      <c r="G179" s="24" t="inlineStr">
        <is>
          <t>Sữa Aptamil 380g</t>
        </is>
      </c>
      <c r="H179" s="24" t="n">
        <v>1</v>
      </c>
      <c r="I179" s="30" t="n">
        <v>320000</v>
      </c>
      <c r="J179" s="23">
        <f>IF(OR($H179="",$I179=""),"",$H179*$I179)</f>
        <v/>
      </c>
      <c r="K179" s="24" t="inlineStr">
        <is>
          <t>Chuyển khoản QR</t>
        </is>
      </c>
      <c r="L179" s="24" t="inlineStr">
        <is>
          <t>Đã chuyển khoản</t>
        </is>
      </c>
      <c r="M179" s="29" t="inlineStr">
        <is>
          <t>10/02/2026</t>
        </is>
      </c>
      <c r="N179" s="28" t="inlineStr">
        <is>
          <t>0325363909</t>
        </is>
      </c>
      <c r="O179" s="24" t="inlineStr">
        <is>
          <t>Nguyễn Thúy Hậu</t>
        </is>
      </c>
      <c r="P179" s="24" t="inlineStr">
        <is>
          <t>A24, Kp 10, Tổ 3, Phường Tân Phong, Tp Biên Hoà, Đồng Nai</t>
        </is>
      </c>
      <c r="Q179" s="24" t="inlineStr">
        <is>
          <t>Đang giao</t>
        </is>
      </c>
      <c r="R179" s="24" t="inlineStr">
        <is>
          <t>Long Châu</t>
        </is>
      </c>
      <c r="S179" s="22">
        <f>IF(AND($A179="",$C179=""),"",IF($A179="","Thiếu mã đơn; ","")&amp;IF(COUNTIF($A$2:$A179,$A179)&gt;1,"Trùng mã đơn; ","")&amp;IF(COUNTIF($C$2:$C179,$C179)&gt;1,"Trùng SĐT; ","")&amp;IF(ISNA(MATCH($C179,DATA_MASTER!$D$2:$D$5000,0)),"SĐT chưa đăng ký hội viên; ","")&amp;IF(AND($L179="Đã chuyển khoản",$M179=""),"Thiếu ngày nhận CK; ",""))</f>
        <v/>
      </c>
      <c r="T179" s="24" t="inlineStr">
        <is>
          <t>ĐVVC: J&amp;T | Mã VĐ: 801112718176</t>
        </is>
      </c>
    </row>
    <row r="180" ht="14.25" customHeight="1" s="40">
      <c r="A180" s="24" t="n">
        <v>179</v>
      </c>
      <c r="B180" s="29" t="inlineStr">
        <is>
          <t>10/02/2026</t>
        </is>
      </c>
      <c r="C180" s="28" t="inlineStr">
        <is>
          <t>0969246745</t>
        </is>
      </c>
      <c r="D180" s="22">
        <f>IF($C180="","",IFERROR(INDEX(DATA_MASTER!$C$2:$C$5000,MATCH($C180,DATA_MASTER!$D$2:$D$5000,0)),"Trần Thị Lan Anh"))</f>
        <v/>
      </c>
      <c r="E180" s="22">
        <f>IF($C180="","",IFERROR(INDEX(DATA_MASTER!$I$2:$I$5000,MATCH($C180,DATA_MASTER!$D$2:$D$5000,0)),""))</f>
        <v/>
      </c>
      <c r="F180" s="22">
        <f>IF($C180="","",IFERROR(INDEX(DATA_MASTER!$L$2:$L$5000,MATCH($C180,DATA_MASTER!$D$2:$D$5000,0)),"ZM"))</f>
        <v/>
      </c>
      <c r="G180" s="24" t="inlineStr">
        <is>
          <t>Sữa Aptamil 380g</t>
        </is>
      </c>
      <c r="H180" s="24" t="n">
        <v>1</v>
      </c>
      <c r="I180" s="30" t="n">
        <v>320000</v>
      </c>
      <c r="J180" s="23">
        <f>IF(OR($H180="",$I180=""),"",$H180*$I180)</f>
        <v/>
      </c>
      <c r="K180" s="24" t="inlineStr">
        <is>
          <t>Chuyển khoản QR</t>
        </is>
      </c>
      <c r="L180" s="24" t="inlineStr">
        <is>
          <t>Đã chuyển khoản</t>
        </is>
      </c>
      <c r="M180" s="29" t="inlineStr">
        <is>
          <t>10/02/2026</t>
        </is>
      </c>
      <c r="N180" s="28" t="inlineStr">
        <is>
          <t>0969246745</t>
        </is>
      </c>
      <c r="O180" s="24" t="inlineStr">
        <is>
          <t>Trần Thị Lan Anh</t>
        </is>
      </c>
      <c r="P180" s="24" t="inlineStr">
        <is>
          <t>Lock B, chung cư Lamer_ 363 đường Tây Sơn. Phường Quang Trung_ Tp Quy Nhơn, Bình Định</t>
        </is>
      </c>
      <c r="Q180" s="24" t="inlineStr">
        <is>
          <t>Đang giao</t>
        </is>
      </c>
      <c r="R180" s="24" t="inlineStr">
        <is>
          <t>Long Châu</t>
        </is>
      </c>
      <c r="S180" s="22">
        <f>IF(AND($A180="",$C180=""),"",IF($A180="","Thiếu mã đơn; ","")&amp;IF(COUNTIF($A$2:$A180,$A180)&gt;1,"Trùng mã đơn; ","")&amp;IF(COUNTIF($C$2:$C180,$C180)&gt;1,"Trùng SĐT; ","")&amp;IF(ISNA(MATCH($C180,DATA_MASTER!$D$2:$D$5000,0)),"SĐT chưa đăng ký hội viên; ","")&amp;IF(AND($L180="Đã chuyển khoản",$M180=""),"Thiếu ngày nhận CK; ",""))</f>
        <v/>
      </c>
      <c r="T180" s="24" t="inlineStr">
        <is>
          <t>ĐVVC: J&amp;T | Mã VĐ: 801114468383</t>
        </is>
      </c>
    </row>
    <row r="181" ht="14.25" customHeight="1" s="40">
      <c r="A181" s="24" t="n">
        <v>180</v>
      </c>
      <c r="B181" s="29" t="inlineStr">
        <is>
          <t>10/02/2026</t>
        </is>
      </c>
      <c r="C181" s="28" t="inlineStr">
        <is>
          <t>0335604042</t>
        </is>
      </c>
      <c r="D181" s="22">
        <f>IF($C181="","",IFERROR(INDEX(DATA_MASTER!$C$2:$C$5000,MATCH($C181,DATA_MASTER!$D$2:$D$5000,0)),"Phan Mỹ Duyên"))</f>
        <v/>
      </c>
      <c r="E181" s="22">
        <f>IF($C181="","",IFERROR(INDEX(DATA_MASTER!$I$2:$I$5000,MATCH($C181,DATA_MASTER!$D$2:$D$5000,0)),""))</f>
        <v/>
      </c>
      <c r="F181" s="22">
        <f>IF($C181="","",IFERROR(INDEX(DATA_MASTER!$L$2:$L$5000,MATCH($C181,DATA_MASTER!$D$2:$D$5000,0)),"ZM"))</f>
        <v/>
      </c>
      <c r="G181" s="24" t="inlineStr">
        <is>
          <t>Sữa Aptamil 380g</t>
        </is>
      </c>
      <c r="H181" s="24" t="n">
        <v>1</v>
      </c>
      <c r="I181" s="30" t="n">
        <v>320000</v>
      </c>
      <c r="J181" s="23">
        <f>IF(OR($H181="",$I181=""),"",$H181*$I181)</f>
        <v/>
      </c>
      <c r="K181" s="24" t="inlineStr">
        <is>
          <t>Chuyển khoản QR</t>
        </is>
      </c>
      <c r="L181" s="24" t="inlineStr">
        <is>
          <t>Đã chuyển khoản</t>
        </is>
      </c>
      <c r="M181" s="29" t="inlineStr">
        <is>
          <t>10/02/2026</t>
        </is>
      </c>
      <c r="N181" s="28" t="inlineStr">
        <is>
          <t>0335604042</t>
        </is>
      </c>
      <c r="O181" s="24" t="inlineStr">
        <is>
          <t>Phan Mỹ Duyên</t>
        </is>
      </c>
      <c r="P181" s="24" t="inlineStr">
        <is>
          <t>264/1 Nguyễn Thị Tươi, kp Tân hiệp, phường Tân bình, tp dĩ an, Bình Dương</t>
        </is>
      </c>
      <c r="Q181" s="24" t="inlineStr">
        <is>
          <t>Đang giao</t>
        </is>
      </c>
      <c r="R181" s="24" t="inlineStr">
        <is>
          <t>Long Châu</t>
        </is>
      </c>
      <c r="S181" s="22">
        <f>IF(AND($A181="",$C181=""),"",IF($A181="","Thiếu mã đơn; ","")&amp;IF(COUNTIF($A$2:$A181,$A181)&gt;1,"Trùng mã đơn; ","")&amp;IF(COUNTIF($C$2:$C181,$C181)&gt;1,"Trùng SĐT; ","")&amp;IF(ISNA(MATCH($C181,DATA_MASTER!$D$2:$D$5000,0)),"SĐT chưa đăng ký hội viên; ","")&amp;IF(AND($L181="Đã chuyển khoản",$M181=""),"Thiếu ngày nhận CK; ",""))</f>
        <v/>
      </c>
      <c r="T181" s="24" t="inlineStr">
        <is>
          <t>ĐVVC: J&amp;T</t>
        </is>
      </c>
    </row>
    <row r="182" ht="14.25" customHeight="1" s="40">
      <c r="A182" s="24" t="n">
        <v>181</v>
      </c>
      <c r="B182" s="29" t="inlineStr">
        <is>
          <t>10/02/2026</t>
        </is>
      </c>
      <c r="C182" s="28" t="inlineStr">
        <is>
          <t>0347662883</t>
        </is>
      </c>
      <c r="D182" s="22">
        <f>IF($C182="","",IFERROR(INDEX(DATA_MASTER!$C$2:$C$5000,MATCH($C182,DATA_MASTER!$D$2:$D$5000,0)),"Từ Minh Huệ"))</f>
        <v/>
      </c>
      <c r="E182" s="22">
        <f>IF($C182="","",IFERROR(INDEX(DATA_MASTER!$I$2:$I$5000,MATCH($C182,DATA_MASTER!$D$2:$D$5000,0)),""))</f>
        <v/>
      </c>
      <c r="F182" s="22">
        <f>IF($C182="","",IFERROR(INDEX(DATA_MASTER!$L$2:$L$5000,MATCH($C182,DATA_MASTER!$D$2:$D$5000,0)),"ZM"))</f>
        <v/>
      </c>
      <c r="G182" s="24" t="inlineStr">
        <is>
          <t>Sữa Aptamil 380g</t>
        </is>
      </c>
      <c r="H182" s="24" t="n">
        <v>1</v>
      </c>
      <c r="I182" s="30" t="n">
        <v>320000</v>
      </c>
      <c r="J182" s="23">
        <f>IF(OR($H182="",$I182=""),"",$H182*$I182)</f>
        <v/>
      </c>
      <c r="K182" s="24" t="inlineStr">
        <is>
          <t>Chuyển khoản QR</t>
        </is>
      </c>
      <c r="L182" s="24" t="inlineStr">
        <is>
          <t>Đã chuyển khoản</t>
        </is>
      </c>
      <c r="M182" s="29" t="inlineStr">
        <is>
          <t>10/02/2026</t>
        </is>
      </c>
      <c r="N182" s="28" t="inlineStr">
        <is>
          <t>0347662883</t>
        </is>
      </c>
      <c r="O182" s="24" t="inlineStr">
        <is>
          <t>Từ Minh Huệ</t>
        </is>
      </c>
      <c r="P182" s="24" t="inlineStr">
        <is>
          <t>số nhà 46, xóm trong, phương cù, xã chương dương, hà nội, Hà Nội</t>
        </is>
      </c>
      <c r="Q182" s="24" t="inlineStr">
        <is>
          <t>Đã giao</t>
        </is>
      </c>
      <c r="R182" s="24" t="inlineStr">
        <is>
          <t>Mẹ Ơi</t>
        </is>
      </c>
      <c r="S182" s="22">
        <f>IF(AND($A182="",$C182=""),"",IF($A182="","Thiếu mã đơn; ","")&amp;IF(COUNTIF($A$2:$A182,$A182)&gt;1,"Trùng mã đơn; ","")&amp;IF(COUNTIF($C$2:$C182,$C182)&gt;1,"Trùng SĐT; ","")&amp;IF(ISNA(MATCH($C182,DATA_MASTER!$D$2:$D$5000,0)),"SĐT chưa đăng ký hội viên; ","")&amp;IF(AND($L182="Đã chuyển khoản",$M182=""),"Thiếu ngày nhận CK; ",""))</f>
        <v/>
      </c>
      <c r="T182" s="24" t="inlineStr">
        <is>
          <t>ĐVVC: J&amp;T | Mã VĐ: 801114441731 | POD: https://drive.google.com/drive/folders/14YqSb9mohXWUMATpBaLAocW_7uBLVQM8 | Bill: https://drive.google.com/drive/folders/1cQLK9r-TZCzE-J1NdD0qL9t7cDhbV1oF</t>
        </is>
      </c>
    </row>
    <row r="183" ht="14.25" customHeight="1" s="40">
      <c r="A183" s="24" t="n">
        <v>182</v>
      </c>
      <c r="B183" s="29" t="inlineStr">
        <is>
          <t>10/02/2026</t>
        </is>
      </c>
      <c r="C183" s="28" t="inlineStr">
        <is>
          <t>0395798885</t>
        </is>
      </c>
      <c r="D183" s="22">
        <f>IF($C183="","",IFERROR(INDEX(DATA_MASTER!$C$2:$C$5000,MATCH($C183,DATA_MASTER!$D$2:$D$5000,0)),"Dương Ngọc Ly"))</f>
        <v/>
      </c>
      <c r="E183" s="22">
        <f>IF($C183="","",IFERROR(INDEX(DATA_MASTER!$I$2:$I$5000,MATCH($C183,DATA_MASTER!$D$2:$D$5000,0)),""))</f>
        <v/>
      </c>
      <c r="F183" s="22">
        <f>IF($C183="","",IFERROR(INDEX(DATA_MASTER!$L$2:$L$5000,MATCH($C183,DATA_MASTER!$D$2:$D$5000,0)),"ZM"))</f>
        <v/>
      </c>
      <c r="G183" s="24" t="inlineStr">
        <is>
          <t>Sữa Aptamil 380g</t>
        </is>
      </c>
      <c r="H183" s="24" t="n">
        <v>1</v>
      </c>
      <c r="I183" s="30" t="n">
        <v>320000</v>
      </c>
      <c r="J183" s="23">
        <f>IF(OR($H183="",$I183=""),"",$H183*$I183)</f>
        <v/>
      </c>
      <c r="K183" s="24" t="inlineStr">
        <is>
          <t>Chuyển khoản QR</t>
        </is>
      </c>
      <c r="L183" s="24" t="inlineStr">
        <is>
          <t>Đã chuyển khoản</t>
        </is>
      </c>
      <c r="M183" s="29" t="inlineStr">
        <is>
          <t>10/02/2026</t>
        </is>
      </c>
      <c r="N183" s="28" t="inlineStr">
        <is>
          <t>0395798885</t>
        </is>
      </c>
      <c r="O183" s="24" t="inlineStr">
        <is>
          <t>Dương Ngọc Ly</t>
        </is>
      </c>
      <c r="P183" s="24" t="inlineStr">
        <is>
          <t>Chung cư A1, Đền Lừ 2, Tương Mai, Hà Nội</t>
        </is>
      </c>
      <c r="Q183" s="24" t="inlineStr">
        <is>
          <t>Đã giao</t>
        </is>
      </c>
      <c r="R183" s="24" t="inlineStr">
        <is>
          <t>Mẹ Ơi</t>
        </is>
      </c>
      <c r="S183" s="22">
        <f>IF(AND($A183="",$C183=""),"",IF($A183="","Thiếu mã đơn; ","")&amp;IF(COUNTIF($A$2:$A183,$A183)&gt;1,"Trùng mã đơn; ","")&amp;IF(COUNTIF($C$2:$C183,$C183)&gt;1,"Trùng SĐT; ","")&amp;IF(ISNA(MATCH($C183,DATA_MASTER!$D$2:$D$5000,0)),"SĐT chưa đăng ký hội viên; ","")&amp;IF(AND($L183="Đã chuyển khoản",$M183=""),"Thiếu ngày nhận CK; ",""))</f>
        <v/>
      </c>
      <c r="T183" s="24" t="inlineStr">
        <is>
          <t>ĐVVC: J&amp;T | Mã VĐ: 801114203554 | POD: https://drive.google.com/drive/folders/14YqSb9mohXWUMATpBaLAocW_7uBLVQM8 | Bill: https://drive.google.com/drive/folders/1cQLK9r-TZCzE-J1NdD0qL9t7cDhbV1oF</t>
        </is>
      </c>
    </row>
    <row r="184" ht="14.25" customHeight="1" s="40">
      <c r="A184" s="24" t="n">
        <v>183</v>
      </c>
      <c r="B184" s="29" t="inlineStr">
        <is>
          <t>10/02/2026</t>
        </is>
      </c>
      <c r="C184" s="28" t="inlineStr">
        <is>
          <t>0384136901</t>
        </is>
      </c>
      <c r="D184" s="22">
        <f>IF($C184="","",IFERROR(INDEX(DATA_MASTER!$C$2:$C$5000,MATCH($C184,DATA_MASTER!$D$2:$D$5000,0)),"Hồ Thị Lan Hương"))</f>
        <v/>
      </c>
      <c r="E184" s="22">
        <f>IF($C184="","",IFERROR(INDEX(DATA_MASTER!$I$2:$I$5000,MATCH($C184,DATA_MASTER!$D$2:$D$5000,0)),""))</f>
        <v/>
      </c>
      <c r="F184" s="22">
        <f>IF($C184="","",IFERROR(INDEX(DATA_MASTER!$L$2:$L$5000,MATCH($C184,DATA_MASTER!$D$2:$D$5000,0)),"ZM"))</f>
        <v/>
      </c>
      <c r="G184" s="24" t="inlineStr">
        <is>
          <t>Sữa Aptamil 380g</t>
        </is>
      </c>
      <c r="H184" s="24" t="n">
        <v>1</v>
      </c>
      <c r="I184" s="30" t="n">
        <v>320000</v>
      </c>
      <c r="J184" s="23">
        <f>IF(OR($H184="",$I184=""),"",$H184*$I184)</f>
        <v/>
      </c>
      <c r="K184" s="24" t="inlineStr">
        <is>
          <t>Chuyển khoản QR</t>
        </is>
      </c>
      <c r="L184" s="24" t="inlineStr">
        <is>
          <t>Chờ chuyển khoản</t>
        </is>
      </c>
      <c r="M184" s="29" t="inlineStr">
        <is>
          <t>10/02/2026</t>
        </is>
      </c>
      <c r="N184" s="28" t="inlineStr">
        <is>
          <t>0384136901</t>
        </is>
      </c>
      <c r="O184" s="24" t="inlineStr">
        <is>
          <t>Hồ Thị Lan Hương</t>
        </is>
      </c>
      <c r="P184" s="24" t="inlineStr">
        <is>
          <t>Thôn Nghĩa Phú, xã Quỳnh Nghĩa, Quỳnh Lưu, Nghệ An</t>
        </is>
      </c>
      <c r="Q184" s="24" t="inlineStr">
        <is>
          <t>Chờ giao</t>
        </is>
      </c>
      <c r="R184" s="24" t="inlineStr">
        <is>
          <t>Long Châu</t>
        </is>
      </c>
      <c r="S184" s="22">
        <f>IF(AND($A184="",$C184=""),"",IF($A184="","Thiếu mã đơn; ","")&amp;IF(COUNTIF($A$2:$A184,$A184)&gt;1,"Trùng mã đơn; ","")&amp;IF(COUNTIF($C$2:$C184,$C184)&gt;1,"Trùng SĐT; ","")&amp;IF(ISNA(MATCH($C184,DATA_MASTER!$D$2:$D$5000,0)),"SĐT chưa đăng ký hội viên; ","")&amp;IF(AND($L184="Đã chuyển khoản",$M184=""),"Thiếu ngày nhận CK; ",""))</f>
        <v/>
      </c>
      <c r="T184" s="24" t="inlineStr"/>
    </row>
    <row r="185" ht="14.25" customHeight="1" s="40">
      <c r="A185" s="24" t="n">
        <v>184</v>
      </c>
      <c r="B185" s="29" t="inlineStr">
        <is>
          <t>10/02/2026</t>
        </is>
      </c>
      <c r="C185" s="28" t="inlineStr">
        <is>
          <t>0799156118</t>
        </is>
      </c>
      <c r="D185" s="22">
        <f>IF($C185="","",IFERROR(INDEX(DATA_MASTER!$C$2:$C$5000,MATCH($C185,DATA_MASTER!$D$2:$D$5000,0)),"Nguyễn Thị Kim Ngân"))</f>
        <v/>
      </c>
      <c r="E185" s="22">
        <f>IF($C185="","",IFERROR(INDEX(DATA_MASTER!$I$2:$I$5000,MATCH($C185,DATA_MASTER!$D$2:$D$5000,0)),""))</f>
        <v/>
      </c>
      <c r="F185" s="22">
        <f>IF($C185="","",IFERROR(INDEX(DATA_MASTER!$L$2:$L$5000,MATCH($C185,DATA_MASTER!$D$2:$D$5000,0)),"ZM"))</f>
        <v/>
      </c>
      <c r="G185" s="24" t="inlineStr">
        <is>
          <t>Sữa Aptamil 380g</t>
        </is>
      </c>
      <c r="H185" s="24" t="n">
        <v>1</v>
      </c>
      <c r="I185" s="30" t="n">
        <v>320000</v>
      </c>
      <c r="J185" s="23">
        <f>IF(OR($H185="",$I185=""),"",$H185*$I185)</f>
        <v/>
      </c>
      <c r="K185" s="24" t="inlineStr">
        <is>
          <t>Chuyển khoản QR</t>
        </is>
      </c>
      <c r="L185" s="24" t="inlineStr">
        <is>
          <t>Đã chuyển khoản</t>
        </is>
      </c>
      <c r="M185" s="29" t="inlineStr">
        <is>
          <t>10/02/2026</t>
        </is>
      </c>
      <c r="N185" s="28" t="inlineStr">
        <is>
          <t>0799156118</t>
        </is>
      </c>
      <c r="O185" s="24" t="inlineStr">
        <is>
          <t>Nguyễn Thị Kim Ngân</t>
        </is>
      </c>
      <c r="P185" s="24" t="inlineStr">
        <is>
          <t>Khu đất nền tổ 31 ấp 1 xã đạo thạnh thành phố Mỹ Tho, Tiền Giang</t>
        </is>
      </c>
      <c r="Q185" s="24" t="inlineStr">
        <is>
          <t>Đã giao</t>
        </is>
      </c>
      <c r="R185" s="24" t="inlineStr">
        <is>
          <t>Nous Baby</t>
        </is>
      </c>
      <c r="S185" s="22">
        <f>IF(AND($A185="",$C185=""),"",IF($A185="","Thiếu mã đơn; ","")&amp;IF(COUNTIF($A$2:$A185,$A185)&gt;1,"Trùng mã đơn; ","")&amp;IF(COUNTIF($C$2:$C185,$C185)&gt;1,"Trùng SĐT; ","")&amp;IF(ISNA(MATCH($C185,DATA_MASTER!$D$2:$D$5000,0)),"SĐT chưa đăng ký hội viên; ","")&amp;IF(AND($L185="Đã chuyển khoản",$M185=""),"Thiếu ngày nhận CK; ",""))</f>
        <v/>
      </c>
      <c r="T185" s="24" t="inlineStr">
        <is>
          <t>ĐVVC: Viettel Post | Mã VĐ: 153863883486</t>
        </is>
      </c>
    </row>
    <row r="186" ht="14.25" customHeight="1" s="40">
      <c r="A186" s="24" t="n">
        <v>185</v>
      </c>
      <c r="B186" s="29" t="inlineStr">
        <is>
          <t>10/02/2026</t>
        </is>
      </c>
      <c r="C186" s="28" t="inlineStr">
        <is>
          <t>0334541862</t>
        </is>
      </c>
      <c r="D186" s="22">
        <f>IF($C186="","",IFERROR(INDEX(DATA_MASTER!$C$2:$C$5000,MATCH($C186,DATA_MASTER!$D$2:$D$5000,0)),"NGUYỄN THỊ HỒNG VÂN"))</f>
        <v/>
      </c>
      <c r="E186" s="22">
        <f>IF($C186="","",IFERROR(INDEX(DATA_MASTER!$I$2:$I$5000,MATCH($C186,DATA_MASTER!$D$2:$D$5000,0)),""))</f>
        <v/>
      </c>
      <c r="F186" s="22">
        <f>IF($C186="","",IFERROR(INDEX(DATA_MASTER!$L$2:$L$5000,MATCH($C186,DATA_MASTER!$D$2:$D$5000,0)),"ZM"))</f>
        <v/>
      </c>
      <c r="G186" s="24" t="inlineStr">
        <is>
          <t>Sữa Aptamil 380g</t>
        </is>
      </c>
      <c r="H186" s="24" t="n">
        <v>1</v>
      </c>
      <c r="I186" s="30" t="n">
        <v>320000</v>
      </c>
      <c r="J186" s="23">
        <f>IF(OR($H186="",$I186=""),"",$H186*$I186)</f>
        <v/>
      </c>
      <c r="K186" s="24" t="inlineStr">
        <is>
          <t>Chuyển khoản QR</t>
        </is>
      </c>
      <c r="L186" s="24" t="inlineStr">
        <is>
          <t>Đã chuyển khoản</t>
        </is>
      </c>
      <c r="M186" s="29" t="inlineStr">
        <is>
          <t>10/02/2026</t>
        </is>
      </c>
      <c r="N186" s="28" t="inlineStr">
        <is>
          <t>0334541862</t>
        </is>
      </c>
      <c r="O186" s="24" t="inlineStr">
        <is>
          <t>NGUYỄN THỊ HỒNG VÂN</t>
        </is>
      </c>
      <c r="P186" s="24" t="inlineStr">
        <is>
          <t>57/9 Hồ Thị Kỷ, Phường Vườn Lài, Thành Phố Hồ Chí Minh, HCM</t>
        </is>
      </c>
      <c r="Q186" s="24" t="inlineStr">
        <is>
          <t>Đã giao</t>
        </is>
      </c>
      <c r="R186" s="24" t="inlineStr">
        <is>
          <t>Voi Con</t>
        </is>
      </c>
      <c r="S186" s="22">
        <f>IF(AND($A186="",$C186=""),"",IF($A186="","Thiếu mã đơn; ","")&amp;IF(COUNTIF($A$2:$A186,$A186)&gt;1,"Trùng mã đơn; ","")&amp;IF(COUNTIF($C$2:$C186,$C186)&gt;1,"Trùng SĐT; ","")&amp;IF(ISNA(MATCH($C186,DATA_MASTER!$D$2:$D$5000,0)),"SĐT chưa đăng ký hội viên; ","")&amp;IF(AND($L186="Đã chuyển khoản",$M186=""),"Thiếu ngày nhận CK; ",""))</f>
        <v/>
      </c>
      <c r="T186" s="24" t="inlineStr">
        <is>
          <t>ĐVVC: Shipper riêng</t>
        </is>
      </c>
    </row>
    <row r="187" ht="14.25" customHeight="1" s="40">
      <c r="A187" s="24" t="n">
        <v>186</v>
      </c>
      <c r="B187" s="29" t="inlineStr">
        <is>
          <t>10/02/2026</t>
        </is>
      </c>
      <c r="C187" s="28" t="inlineStr">
        <is>
          <t>0986121025</t>
        </is>
      </c>
      <c r="D187" s="22">
        <f>IF($C187="","",IFERROR(INDEX(DATA_MASTER!$C$2:$C$5000,MATCH($C187,DATA_MASTER!$D$2:$D$5000,0)),"Đỗ Thị Huệ"))</f>
        <v/>
      </c>
      <c r="E187" s="22">
        <f>IF($C187="","",IFERROR(INDEX(DATA_MASTER!$I$2:$I$5000,MATCH($C187,DATA_MASTER!$D$2:$D$5000,0)),""))</f>
        <v/>
      </c>
      <c r="F187" s="22">
        <f>IF($C187="","",IFERROR(INDEX(DATA_MASTER!$L$2:$L$5000,MATCH($C187,DATA_MASTER!$D$2:$D$5000,0)),"ZM"))</f>
        <v/>
      </c>
      <c r="G187" s="24" t="inlineStr">
        <is>
          <t>Sữa Aptamil 380g</t>
        </is>
      </c>
      <c r="H187" s="24" t="n">
        <v>1</v>
      </c>
      <c r="I187" s="30" t="n">
        <v>320000</v>
      </c>
      <c r="J187" s="23">
        <f>IF(OR($H187="",$I187=""),"",$H187*$I187)</f>
        <v/>
      </c>
      <c r="K187" s="24" t="inlineStr">
        <is>
          <t>Chuyển khoản QR</t>
        </is>
      </c>
      <c r="L187" s="24" t="inlineStr">
        <is>
          <t>Đã chuyển khoản</t>
        </is>
      </c>
      <c r="M187" s="29" t="inlineStr">
        <is>
          <t>10/02/2026</t>
        </is>
      </c>
      <c r="N187" s="28" t="inlineStr">
        <is>
          <t>0986121025</t>
        </is>
      </c>
      <c r="O187" s="24" t="inlineStr">
        <is>
          <t>Đỗ Thị Huệ</t>
        </is>
      </c>
      <c r="P187" s="24" t="inlineStr">
        <is>
          <t>02/17 ngách 2 ngõ 160 trần lãm thành phố Thái Bình</t>
        </is>
      </c>
      <c r="Q187" s="24" t="inlineStr">
        <is>
          <t>Đã giao</t>
        </is>
      </c>
      <c r="R187" s="24" t="inlineStr">
        <is>
          <t>Long Châu</t>
        </is>
      </c>
      <c r="S187" s="22">
        <f>IF(AND($A187="",$C187=""),"",IF($A187="","Thiếu mã đơn; ","")&amp;IF(COUNTIF($A$2:$A187,$A187)&gt;1,"Trùng mã đơn; ","")&amp;IF(COUNTIF($C$2:$C187,$C187)&gt;1,"Trùng SĐT; ","")&amp;IF(ISNA(MATCH($C187,DATA_MASTER!$D$2:$D$5000,0)),"SĐT chưa đăng ký hội viên; ","")&amp;IF(AND($L187="Đã chuyển khoản",$M187=""),"Thiếu ngày nhận CK; ",""))</f>
        <v/>
      </c>
      <c r="T187" s="24" t="inlineStr"/>
    </row>
    <row r="188" ht="14.25" customHeight="1" s="40">
      <c r="A188" s="24" t="n">
        <v>187</v>
      </c>
      <c r="B188" s="29" t="inlineStr">
        <is>
          <t>10/02/2026</t>
        </is>
      </c>
      <c r="C188" s="28" t="inlineStr">
        <is>
          <t>0909748816</t>
        </is>
      </c>
      <c r="D188" s="22">
        <f>IF($C188="","",IFERROR(INDEX(DATA_MASTER!$C$2:$C$5000,MATCH($C188,DATA_MASTER!$D$2:$D$5000,0)),"Phạm ngọc yến"))</f>
        <v/>
      </c>
      <c r="E188" s="22">
        <f>IF($C188="","",IFERROR(INDEX(DATA_MASTER!$I$2:$I$5000,MATCH($C188,DATA_MASTER!$D$2:$D$5000,0)),""))</f>
        <v/>
      </c>
      <c r="F188" s="22">
        <f>IF($C188="","",IFERROR(INDEX(DATA_MASTER!$L$2:$L$5000,MATCH($C188,DATA_MASTER!$D$2:$D$5000,0)),"ZM"))</f>
        <v/>
      </c>
      <c r="G188" s="24" t="inlineStr">
        <is>
          <t>Sữa Aptamil 380g</t>
        </is>
      </c>
      <c r="H188" s="24" t="n">
        <v>1</v>
      </c>
      <c r="I188" s="30" t="n">
        <v>320000</v>
      </c>
      <c r="J188" s="23">
        <f>IF(OR($H188="",$I188=""),"",$H188*$I188)</f>
        <v/>
      </c>
      <c r="K188" s="24" t="inlineStr">
        <is>
          <t>Chuyển khoản QR</t>
        </is>
      </c>
      <c r="L188" s="24" t="inlineStr">
        <is>
          <t>Đã chuyển khoản</t>
        </is>
      </c>
      <c r="M188" s="29" t="inlineStr">
        <is>
          <t>10/02/2026</t>
        </is>
      </c>
      <c r="N188" s="28" t="inlineStr">
        <is>
          <t>0909748816</t>
        </is>
      </c>
      <c r="O188" s="24" t="inlineStr">
        <is>
          <t>Phạm ngọc yến</t>
        </is>
      </c>
      <c r="P188" s="24" t="inlineStr">
        <is>
          <t>157 kênh 7 vĩnh tế thành phố châu đốc an giang, An Giang</t>
        </is>
      </c>
      <c r="Q188" s="24" t="inlineStr">
        <is>
          <t>Đã giao</t>
        </is>
      </c>
      <c r="R188" s="24" t="inlineStr">
        <is>
          <t>Thế Giới Sơ Sinh</t>
        </is>
      </c>
      <c r="S188" s="22">
        <f>IF(AND($A188="",$C188=""),"",IF($A188="","Thiếu mã đơn; ","")&amp;IF(COUNTIF($A$2:$A188,$A188)&gt;1,"Trùng mã đơn; ","")&amp;IF(COUNTIF($C$2:$C188,$C188)&gt;1,"Trùng SĐT; ","")&amp;IF(ISNA(MATCH($C188,DATA_MASTER!$D$2:$D$5000,0)),"SĐT chưa đăng ký hội viên; ","")&amp;IF(AND($L188="Đã chuyển khoản",$M188=""),"Thiếu ngày nhận CK; ",""))</f>
        <v/>
      </c>
      <c r="T188" s="24" t="inlineStr"/>
    </row>
    <row r="189" ht="14.25" customHeight="1" s="40">
      <c r="A189" s="24" t="n">
        <v>188</v>
      </c>
      <c r="B189" s="29" t="inlineStr">
        <is>
          <t>10/02/2026</t>
        </is>
      </c>
      <c r="C189" s="28" t="inlineStr">
        <is>
          <t>0825752124</t>
        </is>
      </c>
      <c r="D189" s="22">
        <f>IF($C189="","",IFERROR(INDEX(DATA_MASTER!$C$2:$C$5000,MATCH($C189,DATA_MASTER!$D$2:$D$5000,0)),"Lưu Thu Thuỷ"))</f>
        <v/>
      </c>
      <c r="E189" s="22">
        <f>IF($C189="","",IFERROR(INDEX(DATA_MASTER!$I$2:$I$5000,MATCH($C189,DATA_MASTER!$D$2:$D$5000,0)),""))</f>
        <v/>
      </c>
      <c r="F189" s="22">
        <f>IF($C189="","",IFERROR(INDEX(DATA_MASTER!$L$2:$L$5000,MATCH($C189,DATA_MASTER!$D$2:$D$5000,0)),"ZM"))</f>
        <v/>
      </c>
      <c r="G189" s="24" t="inlineStr">
        <is>
          <t>Sữa Aptamil 380g</t>
        </is>
      </c>
      <c r="H189" s="24" t="n">
        <v>1</v>
      </c>
      <c r="I189" s="30" t="n">
        <v>320000</v>
      </c>
      <c r="J189" s="23">
        <f>IF(OR($H189="",$I189=""),"",$H189*$I189)</f>
        <v/>
      </c>
      <c r="K189" s="24" t="inlineStr">
        <is>
          <t>Chuyển khoản QR</t>
        </is>
      </c>
      <c r="L189" s="24" t="inlineStr">
        <is>
          <t>Đã chuyển khoản</t>
        </is>
      </c>
      <c r="M189" s="29" t="inlineStr">
        <is>
          <t>10/02/2026</t>
        </is>
      </c>
      <c r="N189" s="28" t="inlineStr">
        <is>
          <t>0825752124</t>
        </is>
      </c>
      <c r="O189" s="24" t="inlineStr">
        <is>
          <t>Lưu Thu Thuỷ</t>
        </is>
      </c>
      <c r="P189" s="24" t="inlineStr">
        <is>
          <t>45 Quyết Tiến, Văn Đẩu, Kiến An, Hải Phòng</t>
        </is>
      </c>
      <c r="Q189" s="24" t="inlineStr">
        <is>
          <t>Đã giao</t>
        </is>
      </c>
      <c r="R189" s="24" t="inlineStr">
        <is>
          <t>Cute Baby</t>
        </is>
      </c>
      <c r="S189" s="22">
        <f>IF(AND($A189="",$C189=""),"",IF($A189="","Thiếu mã đơn; ","")&amp;IF(COUNTIF($A$2:$A189,$A189)&gt;1,"Trùng mã đơn; ","")&amp;IF(COUNTIF($C$2:$C189,$C189)&gt;1,"Trùng SĐT; ","")&amp;IF(ISNA(MATCH($C189,DATA_MASTER!$D$2:$D$5000,0)),"SĐT chưa đăng ký hội viên; ","")&amp;IF(AND($L189="Đã chuyển khoản",$M189=""),"Thiếu ngày nhận CK; ",""))</f>
        <v/>
      </c>
      <c r="T189" s="24" t="inlineStr">
        <is>
          <t>ĐVVC: Giao hàng nhanh | Mã VĐ: GYRW3ALT</t>
        </is>
      </c>
    </row>
    <row r="190" ht="14.25" customHeight="1" s="40">
      <c r="A190" s="24" t="n">
        <v>189</v>
      </c>
      <c r="B190" s="29" t="inlineStr">
        <is>
          <t>10/02/2026</t>
        </is>
      </c>
      <c r="C190" s="28" t="inlineStr">
        <is>
          <t>0347339396</t>
        </is>
      </c>
      <c r="D190" s="22">
        <f>IF($C190="","",IFERROR(INDEX(DATA_MASTER!$C$2:$C$5000,MATCH($C190,DATA_MASTER!$D$2:$D$5000,0)),"Ngọc Anh"))</f>
        <v/>
      </c>
      <c r="E190" s="22">
        <f>IF($C190="","",IFERROR(INDEX(DATA_MASTER!$I$2:$I$5000,MATCH($C190,DATA_MASTER!$D$2:$D$5000,0)),""))</f>
        <v/>
      </c>
      <c r="F190" s="22">
        <f>IF($C190="","",IFERROR(INDEX(DATA_MASTER!$L$2:$L$5000,MATCH($C190,DATA_MASTER!$D$2:$D$5000,0)),"ZM"))</f>
        <v/>
      </c>
      <c r="G190" s="24" t="inlineStr">
        <is>
          <t>Sữa Aptamil 380g</t>
        </is>
      </c>
      <c r="H190" s="24" t="n">
        <v>1</v>
      </c>
      <c r="I190" s="30" t="n">
        <v>320000</v>
      </c>
      <c r="J190" s="23">
        <f>IF(OR($H190="",$I190=""),"",$H190*$I190)</f>
        <v/>
      </c>
      <c r="K190" s="24" t="inlineStr">
        <is>
          <t>Chuyển khoản QR</t>
        </is>
      </c>
      <c r="L190" s="24" t="inlineStr">
        <is>
          <t>Đã chuyển khoản</t>
        </is>
      </c>
      <c r="M190" s="29" t="inlineStr">
        <is>
          <t>10/02/2026</t>
        </is>
      </c>
      <c r="N190" s="28" t="inlineStr">
        <is>
          <t>0347339396</t>
        </is>
      </c>
      <c r="O190" s="24" t="inlineStr">
        <is>
          <t>Ngọc Anh</t>
        </is>
      </c>
      <c r="P190" s="24" t="inlineStr">
        <is>
          <t>Số 62 ngõ 29 đường hà liên thôn 1 Bắc Sơn An Dương Hải Phòng</t>
        </is>
      </c>
      <c r="Q190" s="24" t="inlineStr">
        <is>
          <t>Đã giao</t>
        </is>
      </c>
      <c r="R190" s="24" t="inlineStr">
        <is>
          <t>Cute Baby</t>
        </is>
      </c>
      <c r="S190" s="22">
        <f>IF(AND($A190="",$C190=""),"",IF($A190="","Thiếu mã đơn; ","")&amp;IF(COUNTIF($A$2:$A190,$A190)&gt;1,"Trùng mã đơn; ","")&amp;IF(COUNTIF($C$2:$C190,$C190)&gt;1,"Trùng SĐT; ","")&amp;IF(ISNA(MATCH($C190,DATA_MASTER!$D$2:$D$5000,0)),"SĐT chưa đăng ký hội viên; ","")&amp;IF(AND($L190="Đã chuyển khoản",$M190=""),"Thiếu ngày nhận CK; ",""))</f>
        <v/>
      </c>
      <c r="T190" s="24" t="inlineStr">
        <is>
          <t>ĐVVC: Giao hàng nhanh | Mã VĐ: GYRW643V</t>
        </is>
      </c>
    </row>
    <row r="191" ht="14.25" customHeight="1" s="40">
      <c r="A191" s="24" t="n">
        <v>190</v>
      </c>
      <c r="B191" s="29" t="inlineStr">
        <is>
          <t>10/02/2026</t>
        </is>
      </c>
      <c r="C191" s="28" t="inlineStr">
        <is>
          <t>0962007081</t>
        </is>
      </c>
      <c r="D191" s="22">
        <f>IF($C191="","",IFERROR(INDEX(DATA_MASTER!$C$2:$C$5000,MATCH($C191,DATA_MASTER!$D$2:$D$5000,0)),"Trần Ngọc"))</f>
        <v/>
      </c>
      <c r="E191" s="22">
        <f>IF($C191="","",IFERROR(INDEX(DATA_MASTER!$I$2:$I$5000,MATCH($C191,DATA_MASTER!$D$2:$D$5000,0)),""))</f>
        <v/>
      </c>
      <c r="F191" s="22">
        <f>IF($C191="","",IFERROR(INDEX(DATA_MASTER!$L$2:$L$5000,MATCH($C191,DATA_MASTER!$D$2:$D$5000,0)),"ZM"))</f>
        <v/>
      </c>
      <c r="G191" s="24" t="inlineStr">
        <is>
          <t>Sữa Aptamil 380g</t>
        </is>
      </c>
      <c r="H191" s="24" t="n">
        <v>1</v>
      </c>
      <c r="I191" s="30" t="n">
        <v>320000</v>
      </c>
      <c r="J191" s="23">
        <f>IF(OR($H191="",$I191=""),"",$H191*$I191)</f>
        <v/>
      </c>
      <c r="K191" s="24" t="inlineStr">
        <is>
          <t>Chuyển khoản QR</t>
        </is>
      </c>
      <c r="L191" s="24" t="inlineStr">
        <is>
          <t>Đã chuyển khoản</t>
        </is>
      </c>
      <c r="M191" s="29" t="inlineStr">
        <is>
          <t>10/02/2026</t>
        </is>
      </c>
      <c r="N191" s="28" t="inlineStr">
        <is>
          <t>0962007081</t>
        </is>
      </c>
      <c r="O191" s="24" t="inlineStr">
        <is>
          <t>Trần Ngọc</t>
        </is>
      </c>
      <c r="P191" s="24" t="inlineStr">
        <is>
          <t>Ngõ 596 Mạc Đăng Doanh, Hưng Đạo, Dương Kinh, Hải Phòng. 
 (đi vào ngõ 100 mét đến ngã 4 rẽ phải, nhà thứ năm trước nhà có biển gội đầu 30 k)</t>
        </is>
      </c>
      <c r="Q191" s="24" t="inlineStr">
        <is>
          <t>Đã giao</t>
        </is>
      </c>
      <c r="R191" s="24" t="inlineStr">
        <is>
          <t>Cute Baby</t>
        </is>
      </c>
      <c r="S191" s="22">
        <f>IF(AND($A191="",$C191=""),"",IF($A191="","Thiếu mã đơn; ","")&amp;IF(COUNTIF($A$2:$A191,$A191)&gt;1,"Trùng mã đơn; ","")&amp;IF(COUNTIF($C$2:$C191,$C191)&gt;1,"Trùng SĐT; ","")&amp;IF(ISNA(MATCH($C191,DATA_MASTER!$D$2:$D$5000,0)),"SĐT chưa đăng ký hội viên; ","")&amp;IF(AND($L191="Đã chuyển khoản",$M191=""),"Thiếu ngày nhận CK; ",""))</f>
        <v/>
      </c>
      <c r="T191" s="24" t="inlineStr">
        <is>
          <t>ĐVVC: Giao hàng nhanh | Mã VĐ: GYRWNL9P</t>
        </is>
      </c>
    </row>
    <row r="192" ht="14.25" customHeight="1" s="40">
      <c r="A192" s="24" t="n">
        <v>191</v>
      </c>
      <c r="B192" s="29" t="inlineStr">
        <is>
          <t>10/02/2026</t>
        </is>
      </c>
      <c r="C192" s="28" t="inlineStr">
        <is>
          <t>0867212791</t>
        </is>
      </c>
      <c r="D192" s="22">
        <f>IF($C192="","",IFERROR(INDEX(DATA_MASTER!$C$2:$C$5000,MATCH($C192,DATA_MASTER!$D$2:$D$5000,0)),"Thanh Hoa"))</f>
        <v/>
      </c>
      <c r="E192" s="22">
        <f>IF($C192="","",IFERROR(INDEX(DATA_MASTER!$I$2:$I$5000,MATCH($C192,DATA_MASTER!$D$2:$D$5000,0)),""))</f>
        <v/>
      </c>
      <c r="F192" s="22">
        <f>IF($C192="","",IFERROR(INDEX(DATA_MASTER!$L$2:$L$5000,MATCH($C192,DATA_MASTER!$D$2:$D$5000,0)),"ZM"))</f>
        <v/>
      </c>
      <c r="G192" s="24" t="inlineStr">
        <is>
          <t>Sữa Aptamil 380g</t>
        </is>
      </c>
      <c r="H192" s="24" t="n">
        <v>1</v>
      </c>
      <c r="I192" s="30" t="n">
        <v>320000</v>
      </c>
      <c r="J192" s="23">
        <f>IF(OR($H192="",$I192=""),"",$H192*$I192)</f>
        <v/>
      </c>
      <c r="K192" s="24" t="inlineStr">
        <is>
          <t>Chuyển khoản QR</t>
        </is>
      </c>
      <c r="L192" s="24" t="inlineStr">
        <is>
          <t>Đã chuyển khoản</t>
        </is>
      </c>
      <c r="M192" s="29" t="inlineStr">
        <is>
          <t>10/02/2026</t>
        </is>
      </c>
      <c r="N192" s="28" t="inlineStr">
        <is>
          <t>0867212791</t>
        </is>
      </c>
      <c r="O192" s="24" t="inlineStr">
        <is>
          <t>Thanh Hoa</t>
        </is>
      </c>
      <c r="P192" s="24" t="inlineStr">
        <is>
          <t>Cổng Trào Đại Thắng - Kiến Hưng - Hải Phòng ạ</t>
        </is>
      </c>
      <c r="Q192" s="24" t="inlineStr">
        <is>
          <t>Đã giao</t>
        </is>
      </c>
      <c r="R192" s="24" t="inlineStr">
        <is>
          <t>Cute Baby</t>
        </is>
      </c>
      <c r="S192" s="22">
        <f>IF(AND($A192="",$C192=""),"",IF($A192="","Thiếu mã đơn; ","")&amp;IF(COUNTIF($A$2:$A192,$A192)&gt;1,"Trùng mã đơn; ","")&amp;IF(COUNTIF($C$2:$C192,$C192)&gt;1,"Trùng SĐT; ","")&amp;IF(ISNA(MATCH($C192,DATA_MASTER!$D$2:$D$5000,0)),"SĐT chưa đăng ký hội viên; ","")&amp;IF(AND($L192="Đã chuyển khoản",$M192=""),"Thiếu ngày nhận CK; ",""))</f>
        <v/>
      </c>
      <c r="T192" s="24" t="inlineStr">
        <is>
          <t>ĐVVC: Giao hàng nhanh | Mã VĐ: GYRW3PTF</t>
        </is>
      </c>
    </row>
    <row r="193" ht="14.25" customHeight="1" s="40">
      <c r="A193" s="24" t="n">
        <v>192</v>
      </c>
      <c r="B193" s="29" t="inlineStr">
        <is>
          <t>10/02/2026</t>
        </is>
      </c>
      <c r="C193" s="28" t="inlineStr">
        <is>
          <t>0936073752</t>
        </is>
      </c>
      <c r="D193" s="22">
        <f>IF($C193="","",IFERROR(INDEX(DATA_MASTER!$C$2:$C$5000,MATCH($C193,DATA_MASTER!$D$2:$D$5000,0)),"Tường Vy"))</f>
        <v/>
      </c>
      <c r="E193" s="22">
        <f>IF($C193="","",IFERROR(INDEX(DATA_MASTER!$I$2:$I$5000,MATCH($C193,DATA_MASTER!$D$2:$D$5000,0)),""))</f>
        <v/>
      </c>
      <c r="F193" s="22">
        <f>IF($C193="","",IFERROR(INDEX(DATA_MASTER!$L$2:$L$5000,MATCH($C193,DATA_MASTER!$D$2:$D$5000,0)),"ZM"))</f>
        <v/>
      </c>
      <c r="G193" s="24" t="inlineStr">
        <is>
          <t>Sữa Aptamil 380g</t>
        </is>
      </c>
      <c r="H193" s="24" t="n">
        <v>1</v>
      </c>
      <c r="I193" s="30" t="n">
        <v>320000</v>
      </c>
      <c r="J193" s="23">
        <f>IF(OR($H193="",$I193=""),"",$H193*$I193)</f>
        <v/>
      </c>
      <c r="K193" s="24" t="inlineStr">
        <is>
          <t>Chuyển khoản QR</t>
        </is>
      </c>
      <c r="L193" s="24" t="inlineStr">
        <is>
          <t>Đã chuyển khoản</t>
        </is>
      </c>
      <c r="M193" s="29" t="inlineStr">
        <is>
          <t>10/02/2026</t>
        </is>
      </c>
      <c r="N193" s="28" t="inlineStr">
        <is>
          <t>0936073752</t>
        </is>
      </c>
      <c r="O193" s="24" t="inlineStr">
        <is>
          <t>Tường Vy</t>
        </is>
      </c>
      <c r="P193" s="24" t="inlineStr">
        <is>
          <t>2/7 đường vòng cầu niệm - an biên - Hải Phòng</t>
        </is>
      </c>
      <c r="Q193" s="24" t="inlineStr">
        <is>
          <t>Đã giao</t>
        </is>
      </c>
      <c r="R193" s="24" t="inlineStr">
        <is>
          <t>Cute Baby</t>
        </is>
      </c>
      <c r="S193" s="22">
        <f>IF(AND($A193="",$C193=""),"",IF($A193="","Thiếu mã đơn; ","")&amp;IF(COUNTIF($A$2:$A193,$A193)&gt;1,"Trùng mã đơn; ","")&amp;IF(COUNTIF($C$2:$C193,$C193)&gt;1,"Trùng SĐT; ","")&amp;IF(ISNA(MATCH($C193,DATA_MASTER!$D$2:$D$5000,0)),"SĐT chưa đăng ký hội viên; ","")&amp;IF(AND($L193="Đã chuyển khoản",$M193=""),"Thiếu ngày nhận CK; ",""))</f>
        <v/>
      </c>
      <c r="T193" s="24" t="inlineStr">
        <is>
          <t>ĐVVC: Grab Express</t>
        </is>
      </c>
    </row>
    <row r="194" ht="14.25" customHeight="1" s="40">
      <c r="A194" s="24" t="n">
        <v>193</v>
      </c>
      <c r="B194" s="29" t="inlineStr">
        <is>
          <t>10/02/2026</t>
        </is>
      </c>
      <c r="C194" s="28" t="inlineStr">
        <is>
          <t>0334951944</t>
        </is>
      </c>
      <c r="D194" s="22">
        <f>IF($C194="","",IFERROR(INDEX(DATA_MASTER!$C$2:$C$5000,MATCH($C194,DATA_MASTER!$D$2:$D$5000,0)),"Thảo Mai"))</f>
        <v/>
      </c>
      <c r="E194" s="22">
        <f>IF($C194="","",IFERROR(INDEX(DATA_MASTER!$I$2:$I$5000,MATCH($C194,DATA_MASTER!$D$2:$D$5000,0)),""))</f>
        <v/>
      </c>
      <c r="F194" s="22">
        <f>IF($C194="","",IFERROR(INDEX(DATA_MASTER!$L$2:$L$5000,MATCH($C194,DATA_MASTER!$D$2:$D$5000,0)),"ZM"))</f>
        <v/>
      </c>
      <c r="G194" s="24" t="inlineStr">
        <is>
          <t>Sữa Aptamil 380g</t>
        </is>
      </c>
      <c r="H194" s="24" t="n">
        <v>1</v>
      </c>
      <c r="I194" s="30" t="n">
        <v>320000</v>
      </c>
      <c r="J194" s="23">
        <f>IF(OR($H194="",$I194=""),"",$H194*$I194)</f>
        <v/>
      </c>
      <c r="K194" s="24" t="inlineStr">
        <is>
          <t>Chuyển khoản QR</t>
        </is>
      </c>
      <c r="L194" s="24" t="inlineStr">
        <is>
          <t>Đã chuyển khoản</t>
        </is>
      </c>
      <c r="M194" s="29" t="inlineStr">
        <is>
          <t>10/02/2026</t>
        </is>
      </c>
      <c r="N194" s="28" t="inlineStr">
        <is>
          <t>0334951944</t>
        </is>
      </c>
      <c r="O194" s="24" t="inlineStr">
        <is>
          <t>Thảo Mai</t>
        </is>
      </c>
      <c r="P194" s="24" t="inlineStr">
        <is>
          <t>Têm Bánh Bảo Ngọc Chợ Chiều Đa Đôi, Đại Trà, Xã Kiến Minh, Hải Phòng</t>
        </is>
      </c>
      <c r="Q194" s="24" t="inlineStr">
        <is>
          <t>Đã giao</t>
        </is>
      </c>
      <c r="R194" s="24" t="inlineStr">
        <is>
          <t>Ababy</t>
        </is>
      </c>
      <c r="S194" s="22">
        <f>IF(AND($A194="",$C194=""),"",IF($A194="","Thiếu mã đơn; ","")&amp;IF(COUNTIF($A$2:$A194,$A194)&gt;1,"Trùng mã đơn; ","")&amp;IF(COUNTIF($C$2:$C194,$C194)&gt;1,"Trùng SĐT; ","")&amp;IF(ISNA(MATCH($C194,DATA_MASTER!$D$2:$D$5000,0)),"SĐT chưa đăng ký hội viên; ","")&amp;IF(AND($L194="Đã chuyển khoản",$M194=""),"Thiếu ngày nhận CK; ",""))</f>
        <v/>
      </c>
      <c r="T194" s="24" t="inlineStr">
        <is>
          <t>ĐVVC: Viettel Post | Mã VĐ: CE372259606VN</t>
        </is>
      </c>
    </row>
    <row r="195" ht="14.25" customHeight="1" s="40">
      <c r="A195" s="24" t="n">
        <v>194</v>
      </c>
      <c r="B195" s="29" t="inlineStr">
        <is>
          <t>10/02/2026</t>
        </is>
      </c>
      <c r="C195" s="28" t="inlineStr">
        <is>
          <t>0366237957</t>
        </is>
      </c>
      <c r="D195" s="22">
        <f>IF($C195="","",IFERROR(INDEX(DATA_MASTER!$C$2:$C$5000,MATCH($C195,DATA_MASTER!$D$2:$D$5000,0)),"Phương Thảo"))</f>
        <v/>
      </c>
      <c r="E195" s="22">
        <f>IF($C195="","",IFERROR(INDEX(DATA_MASTER!$I$2:$I$5000,MATCH($C195,DATA_MASTER!$D$2:$D$5000,0)),""))</f>
        <v/>
      </c>
      <c r="F195" s="22">
        <f>IF($C195="","",IFERROR(INDEX(DATA_MASTER!$L$2:$L$5000,MATCH($C195,DATA_MASTER!$D$2:$D$5000,0)),"ZM"))</f>
        <v/>
      </c>
      <c r="G195" s="24" t="inlineStr">
        <is>
          <t>Sữa Aptamil 380g</t>
        </is>
      </c>
      <c r="H195" s="24" t="n">
        <v>1</v>
      </c>
      <c r="I195" s="30" t="n">
        <v>320000</v>
      </c>
      <c r="J195" s="23">
        <f>IF(OR($H195="",$I195=""),"",$H195*$I195)</f>
        <v/>
      </c>
      <c r="K195" s="24" t="inlineStr">
        <is>
          <t>Chuyển khoản QR</t>
        </is>
      </c>
      <c r="L195" s="24" t="inlineStr">
        <is>
          <t>Đã chuyển khoản</t>
        </is>
      </c>
      <c r="M195" s="29" t="inlineStr">
        <is>
          <t>10/02/2026</t>
        </is>
      </c>
      <c r="N195" s="28" t="inlineStr">
        <is>
          <t>0366237957</t>
        </is>
      </c>
      <c r="O195" s="24" t="inlineStr">
        <is>
          <t>Phương Thảo</t>
        </is>
      </c>
      <c r="P195" s="24" t="inlineStr">
        <is>
          <t>Nhà ông Nguyễn Quang Huy, thôn Tam Kiệt, xã Kiến Thụy, Hải Phòng</t>
        </is>
      </c>
      <c r="Q195" s="24" t="inlineStr">
        <is>
          <t>Đã giao</t>
        </is>
      </c>
      <c r="R195" s="24" t="inlineStr">
        <is>
          <t>Ababy</t>
        </is>
      </c>
      <c r="S195" s="22">
        <f>IF(AND($A195="",$C195=""),"",IF($A195="","Thiếu mã đơn; ","")&amp;IF(COUNTIF($A$2:$A195,$A195)&gt;1,"Trùng mã đơn; ","")&amp;IF(COUNTIF($C$2:$C195,$C195)&gt;1,"Trùng SĐT; ","")&amp;IF(ISNA(MATCH($C195,DATA_MASTER!$D$2:$D$5000,0)),"SĐT chưa đăng ký hội viên; ","")&amp;IF(AND($L195="Đã chuyển khoản",$M195=""),"Thiếu ngày nhận CK; ",""))</f>
        <v/>
      </c>
      <c r="T195" s="24" t="inlineStr">
        <is>
          <t>ĐVVC: Viettel Post | Mã VĐ: CE372267182VN</t>
        </is>
      </c>
    </row>
    <row r="196" ht="14.25" customHeight="1" s="40">
      <c r="A196" s="24" t="n">
        <v>195</v>
      </c>
      <c r="B196" s="29" t="inlineStr">
        <is>
          <t>10/02/2026</t>
        </is>
      </c>
      <c r="C196" s="28" t="inlineStr">
        <is>
          <t>0357367011</t>
        </is>
      </c>
      <c r="D196" s="22">
        <f>IF($C196="","",IFERROR(INDEX(DATA_MASTER!$C$2:$C$5000,MATCH($C196,DATA_MASTER!$D$2:$D$5000,0)),"Thùy Linh"))</f>
        <v/>
      </c>
      <c r="E196" s="22">
        <f>IF($C196="","",IFERROR(INDEX(DATA_MASTER!$I$2:$I$5000,MATCH($C196,DATA_MASTER!$D$2:$D$5000,0)),""))</f>
        <v/>
      </c>
      <c r="F196" s="22">
        <f>IF($C196="","",IFERROR(INDEX(DATA_MASTER!$L$2:$L$5000,MATCH($C196,DATA_MASTER!$D$2:$D$5000,0)),"ZM"))</f>
        <v/>
      </c>
      <c r="G196" s="24" t="inlineStr">
        <is>
          <t>Sữa Aptamil 380g</t>
        </is>
      </c>
      <c r="H196" s="24" t="n">
        <v>1</v>
      </c>
      <c r="I196" s="30" t="n">
        <v>320000</v>
      </c>
      <c r="J196" s="23">
        <f>IF(OR($H196="",$I196=""),"",$H196*$I196)</f>
        <v/>
      </c>
      <c r="K196" s="24" t="inlineStr">
        <is>
          <t>Chuyển khoản QR</t>
        </is>
      </c>
      <c r="L196" s="24" t="inlineStr">
        <is>
          <t>Đã chuyển khoản</t>
        </is>
      </c>
      <c r="M196" s="29" t="inlineStr">
        <is>
          <t>10/02/2026</t>
        </is>
      </c>
      <c r="N196" s="28" t="inlineStr">
        <is>
          <t>0357367011</t>
        </is>
      </c>
      <c r="O196" s="24" t="inlineStr">
        <is>
          <t>Thùy Linh</t>
        </is>
      </c>
      <c r="P196" s="24" t="inlineStr">
        <is>
          <t>Ngõ 159 Đình Đông, Phường Đông Hải, Quận Lê Chân, Hải Phòng</t>
        </is>
      </c>
      <c r="Q196" s="24" t="inlineStr">
        <is>
          <t>Đã giao</t>
        </is>
      </c>
      <c r="R196" s="24" t="inlineStr">
        <is>
          <t>Ababy</t>
        </is>
      </c>
      <c r="S196" s="22">
        <f>IF(AND($A196="",$C196=""),"",IF($A196="","Thiếu mã đơn; ","")&amp;IF(COUNTIF($A$2:$A196,$A196)&gt;1,"Trùng mã đơn; ","")&amp;IF(COUNTIF($C$2:$C196,$C196)&gt;1,"Trùng SĐT; ","")&amp;IF(ISNA(MATCH($C196,DATA_MASTER!$D$2:$D$5000,0)),"SĐT chưa đăng ký hội viên; ","")&amp;IF(AND($L196="Đã chuyển khoản",$M196=""),"Thiếu ngày nhận CK; ",""))</f>
        <v/>
      </c>
      <c r="T196" s="24" t="inlineStr">
        <is>
          <t>ĐVVC: Shipper riêng | POD: https://drive.google.com/file/d/1oLfr8wXNb5VMRRBzAiWecvCbAbSdn5kQ/view?usp=drive_link</t>
        </is>
      </c>
    </row>
    <row r="197" ht="14.25" customHeight="1" s="40">
      <c r="A197" s="24" t="n">
        <v>196</v>
      </c>
      <c r="B197" s="29" t="inlineStr">
        <is>
          <t>10/02/2026</t>
        </is>
      </c>
      <c r="C197" s="28" t="inlineStr">
        <is>
          <t>0984992559</t>
        </is>
      </c>
      <c r="D197" s="22">
        <f>IF($C197="","",IFERROR(INDEX(DATA_MASTER!$C$2:$C$5000,MATCH($C197,DATA_MASTER!$D$2:$D$5000,0)),"Bùi Đức Thắng"))</f>
        <v/>
      </c>
      <c r="E197" s="22">
        <f>IF($C197="","",IFERROR(INDEX(DATA_MASTER!$I$2:$I$5000,MATCH($C197,DATA_MASTER!$D$2:$D$5000,0)),""))</f>
        <v/>
      </c>
      <c r="F197" s="22">
        <f>IF($C197="","",IFERROR(INDEX(DATA_MASTER!$L$2:$L$5000,MATCH($C197,DATA_MASTER!$D$2:$D$5000,0)),"ZM"))</f>
        <v/>
      </c>
      <c r="G197" s="24" t="inlineStr">
        <is>
          <t>Sữa Aptamil 380g</t>
        </is>
      </c>
      <c r="H197" s="24" t="n">
        <v>1</v>
      </c>
      <c r="I197" s="30" t="n">
        <v>320000</v>
      </c>
      <c r="J197" s="23">
        <f>IF(OR($H197="",$I197=""),"",$H197*$I197)</f>
        <v/>
      </c>
      <c r="K197" s="24" t="inlineStr">
        <is>
          <t>Chuyển khoản QR</t>
        </is>
      </c>
      <c r="L197" s="24" t="inlineStr">
        <is>
          <t>Đã chuyển khoản</t>
        </is>
      </c>
      <c r="M197" s="29" t="inlineStr">
        <is>
          <t>10/02/2026</t>
        </is>
      </c>
      <c r="N197" s="28" t="inlineStr">
        <is>
          <t>0984992559</t>
        </is>
      </c>
      <c r="O197" s="24" t="inlineStr">
        <is>
          <t>Bùi Đức Thắng</t>
        </is>
      </c>
      <c r="P197" s="24" t="inlineStr">
        <is>
          <t>Đội 4- Cụ Trì- Thanh Miện Hải Phòng</t>
        </is>
      </c>
      <c r="Q197" s="24" t="inlineStr">
        <is>
          <t>Đã giao</t>
        </is>
      </c>
      <c r="R197" s="24" t="inlineStr">
        <is>
          <t>Ababy</t>
        </is>
      </c>
      <c r="S197" s="22">
        <f>IF(AND($A197="",$C197=""),"",IF($A197="","Thiếu mã đơn; ","")&amp;IF(COUNTIF($A$2:$A197,$A197)&gt;1,"Trùng mã đơn; ","")&amp;IF(COUNTIF($C$2:$C197,$C197)&gt;1,"Trùng SĐT; ","")&amp;IF(ISNA(MATCH($C197,DATA_MASTER!$D$2:$D$5000,0)),"SĐT chưa đăng ký hội viên; ","")&amp;IF(AND($L197="Đã chuyển khoản",$M197=""),"Thiếu ngày nhận CK; ",""))</f>
        <v/>
      </c>
      <c r="T197" s="24" t="inlineStr">
        <is>
          <t>ĐVVC: Viettel Post | Mã VĐ: CE372265990VN</t>
        </is>
      </c>
    </row>
    <row r="198" ht="14.25" customHeight="1" s="40">
      <c r="A198" s="24" t="n">
        <v>197</v>
      </c>
      <c r="B198" s="29" t="inlineStr">
        <is>
          <t>10/02/2026</t>
        </is>
      </c>
      <c r="C198" s="28" t="inlineStr">
        <is>
          <t>0705843605</t>
        </is>
      </c>
      <c r="D198" s="22">
        <f>IF($C198="","",IFERROR(INDEX(DATA_MASTER!$C$2:$C$5000,MATCH($C198,DATA_MASTER!$D$2:$D$5000,0)),"Phương Linh"))</f>
        <v/>
      </c>
      <c r="E198" s="22">
        <f>IF($C198="","",IFERROR(INDEX(DATA_MASTER!$I$2:$I$5000,MATCH($C198,DATA_MASTER!$D$2:$D$5000,0)),""))</f>
        <v/>
      </c>
      <c r="F198" s="22">
        <f>IF($C198="","",IFERROR(INDEX(DATA_MASTER!$L$2:$L$5000,MATCH($C198,DATA_MASTER!$D$2:$D$5000,0)),"ZM"))</f>
        <v/>
      </c>
      <c r="G198" s="24" t="inlineStr">
        <is>
          <t>Sữa Aptamil 380g</t>
        </is>
      </c>
      <c r="H198" s="24" t="n">
        <v>1</v>
      </c>
      <c r="I198" s="30" t="n">
        <v>320000</v>
      </c>
      <c r="J198" s="23">
        <f>IF(OR($H198="",$I198=""),"",$H198*$I198)</f>
        <v/>
      </c>
      <c r="K198" s="24" t="inlineStr">
        <is>
          <t>Chuyển khoản QR</t>
        </is>
      </c>
      <c r="L198" s="24" t="inlineStr">
        <is>
          <t>Đã chuyển khoản</t>
        </is>
      </c>
      <c r="M198" s="29" t="inlineStr">
        <is>
          <t>10/02/2026</t>
        </is>
      </c>
      <c r="N198" s="28" t="inlineStr">
        <is>
          <t>0705843605</t>
        </is>
      </c>
      <c r="O198" s="24" t="inlineStr">
        <is>
          <t>Phương Linh</t>
        </is>
      </c>
      <c r="P198" s="24" t="inlineStr">
        <is>
          <t>Số 6 b18 TDP Cát Bi 2 - Hải An - Hải Phòng ( ngõ 67 Hào Khê - Cát Bi )</t>
        </is>
      </c>
      <c r="Q198" s="24" t="inlineStr">
        <is>
          <t>Đã giao</t>
        </is>
      </c>
      <c r="R198" s="24" t="inlineStr">
        <is>
          <t>Ababy</t>
        </is>
      </c>
      <c r="S198" s="22">
        <f>IF(AND($A198="",$C198=""),"",IF($A198="","Thiếu mã đơn; ","")&amp;IF(COUNTIF($A$2:$A198,$A198)&gt;1,"Trùng mã đơn; ","")&amp;IF(COUNTIF($C$2:$C198,$C198)&gt;1,"Trùng SĐT; ","")&amp;IF(ISNA(MATCH($C198,DATA_MASTER!$D$2:$D$5000,0)),"SĐT chưa đăng ký hội viên; ","")&amp;IF(AND($L198="Đã chuyển khoản",$M198=""),"Thiếu ngày nhận CK; ",""))</f>
        <v/>
      </c>
      <c r="T198" s="24" t="inlineStr">
        <is>
          <t>ĐVVC: Shipper riêng | POD: https://drive.google.com/file/d/1EYpYiX6m0L8TrnYBAwCdvR2-HAxChXam/view?usp=drive_link</t>
        </is>
      </c>
    </row>
    <row r="199" ht="14.25" customHeight="1" s="40">
      <c r="A199" s="24" t="n">
        <v>198</v>
      </c>
      <c r="B199" s="29" t="inlineStr">
        <is>
          <t>10/02/2026</t>
        </is>
      </c>
      <c r="C199" s="28" t="inlineStr">
        <is>
          <t>0375768031</t>
        </is>
      </c>
      <c r="D199" s="22">
        <f>IF($C199="","",IFERROR(INDEX(DATA_MASTER!$C$2:$C$5000,MATCH($C199,DATA_MASTER!$D$2:$D$5000,0)),"Lê Thị Hằng"))</f>
        <v/>
      </c>
      <c r="E199" s="22">
        <f>IF($C199="","",IFERROR(INDEX(DATA_MASTER!$I$2:$I$5000,MATCH($C199,DATA_MASTER!$D$2:$D$5000,0)),""))</f>
        <v/>
      </c>
      <c r="F199" s="22">
        <f>IF($C199="","",IFERROR(INDEX(DATA_MASTER!$L$2:$L$5000,MATCH($C199,DATA_MASTER!$D$2:$D$5000,0)),"ZM"))</f>
        <v/>
      </c>
      <c r="G199" s="24" t="inlineStr">
        <is>
          <t>Sữa Aptamil 380g</t>
        </is>
      </c>
      <c r="H199" s="24" t="n">
        <v>1</v>
      </c>
      <c r="I199" s="30" t="n">
        <v>320000</v>
      </c>
      <c r="J199" s="23">
        <f>IF(OR($H199="",$I199=""),"",$H199*$I199)</f>
        <v/>
      </c>
      <c r="K199" s="24" t="inlineStr">
        <is>
          <t>Chuyển khoản QR</t>
        </is>
      </c>
      <c r="L199" s="24" t="inlineStr">
        <is>
          <t>Đã chuyển khoản</t>
        </is>
      </c>
      <c r="M199" s="29" t="inlineStr">
        <is>
          <t>10/02/2026</t>
        </is>
      </c>
      <c r="N199" s="28" t="inlineStr">
        <is>
          <t>0375768031</t>
        </is>
      </c>
      <c r="O199" s="24" t="inlineStr">
        <is>
          <t>Lê Thị Hằng</t>
        </is>
      </c>
      <c r="P199" s="24" t="inlineStr">
        <is>
          <t>Kim Đới 1 - Kiến Thụy - Hải Phòng</t>
        </is>
      </c>
      <c r="Q199" s="24" t="inlineStr">
        <is>
          <t>Đang giao</t>
        </is>
      </c>
      <c r="R199" s="24" t="inlineStr">
        <is>
          <t>Ababy</t>
        </is>
      </c>
      <c r="S199" s="22">
        <f>IF(AND($A199="",$C199=""),"",IF($A199="","Thiếu mã đơn; ","")&amp;IF(COUNTIF($A$2:$A199,$A199)&gt;1,"Trùng mã đơn; ","")&amp;IF(COUNTIF($C$2:$C199,$C199)&gt;1,"Trùng SĐT; ","")&amp;IF(ISNA(MATCH($C199,DATA_MASTER!$D$2:$D$5000,0)),"SĐT chưa đăng ký hội viên; ","")&amp;IF(AND($L199="Đã chuyển khoản",$M199=""),"Thiếu ngày nhận CK; ",""))</f>
        <v/>
      </c>
      <c r="T199" s="24" t="inlineStr">
        <is>
          <t>ĐVVC: Viettel Post | Mã VĐ: EO545575122VN</t>
        </is>
      </c>
    </row>
    <row r="200" ht="14.25" customHeight="1" s="40">
      <c r="A200" s="24" t="n">
        <v>199</v>
      </c>
      <c r="B200" s="29" t="inlineStr">
        <is>
          <t>10/02/2026</t>
        </is>
      </c>
      <c r="C200" s="28" t="inlineStr">
        <is>
          <t>0384321920</t>
        </is>
      </c>
      <c r="D200" s="22">
        <f>IF($C200="","",IFERROR(INDEX(DATA_MASTER!$C$2:$C$5000,MATCH($C200,DATA_MASTER!$D$2:$D$5000,0)),"Phạm Hương"))</f>
        <v/>
      </c>
      <c r="E200" s="22">
        <f>IF($C200="","",IFERROR(INDEX(DATA_MASTER!$I$2:$I$5000,MATCH($C200,DATA_MASTER!$D$2:$D$5000,0)),""))</f>
        <v/>
      </c>
      <c r="F200" s="22">
        <f>IF($C200="","",IFERROR(INDEX(DATA_MASTER!$L$2:$L$5000,MATCH($C200,DATA_MASTER!$D$2:$D$5000,0)),"ZM"))</f>
        <v/>
      </c>
      <c r="G200" s="24" t="inlineStr">
        <is>
          <t>Sữa Aptamil 380g</t>
        </is>
      </c>
      <c r="H200" s="24" t="n">
        <v>1</v>
      </c>
      <c r="I200" s="30" t="n">
        <v>320000</v>
      </c>
      <c r="J200" s="23">
        <f>IF(OR($H200="",$I200=""),"",$H200*$I200)</f>
        <v/>
      </c>
      <c r="K200" s="24" t="inlineStr">
        <is>
          <t>Chuyển khoản QR</t>
        </is>
      </c>
      <c r="L200" s="24" t="inlineStr">
        <is>
          <t>Đã chuyển khoản</t>
        </is>
      </c>
      <c r="M200" s="29" t="inlineStr">
        <is>
          <t>10/02/2026</t>
        </is>
      </c>
      <c r="N200" s="28" t="inlineStr">
        <is>
          <t>0384321920</t>
        </is>
      </c>
      <c r="O200" s="24" t="inlineStr">
        <is>
          <t>Phạm Hương</t>
        </is>
      </c>
      <c r="P200" s="24" t="inlineStr">
        <is>
          <t>Số nhà 37b ngõ 2 chợ Hàng Lê Chân HP, Hải Phòng</t>
        </is>
      </c>
      <c r="Q200" s="24" t="inlineStr">
        <is>
          <t>Đã giao</t>
        </is>
      </c>
      <c r="R200" s="24" t="inlineStr">
        <is>
          <t>Ababy</t>
        </is>
      </c>
      <c r="S200" s="22">
        <f>IF(AND($A200="",$C200=""),"",IF($A200="","Thiếu mã đơn; ","")&amp;IF(COUNTIF($A$2:$A200,$A200)&gt;1,"Trùng mã đơn; ","")&amp;IF(COUNTIF($C$2:$C200,$C200)&gt;1,"Trùng SĐT; ","")&amp;IF(ISNA(MATCH($C200,DATA_MASTER!$D$2:$D$5000,0)),"SĐT chưa đăng ký hội viên; ","")&amp;IF(AND($L200="Đã chuyển khoản",$M200=""),"Thiếu ngày nhận CK; ",""))</f>
        <v/>
      </c>
      <c r="T200" s="24" t="inlineStr">
        <is>
          <t>ĐVVC: Shipper riêng | POD: https://drive.google.com/file/d/1wVgwhTy3gnASY7FuCL2d3uQc9pgJ7PQP/view?usp=drive_link</t>
        </is>
      </c>
    </row>
    <row r="201" ht="14.25" customHeight="1" s="40">
      <c r="A201" s="24" t="n">
        <v>200</v>
      </c>
      <c r="B201" s="29" t="inlineStr">
        <is>
          <t>10/02/2026</t>
        </is>
      </c>
      <c r="C201" s="28" t="inlineStr">
        <is>
          <t>0763400127</t>
        </is>
      </c>
      <c r="D201" s="22">
        <f>IF($C201="","",IFERROR(INDEX(DATA_MASTER!$C$2:$C$5000,MATCH($C201,DATA_MASTER!$D$2:$D$5000,0)),"Thu Hậu"))</f>
        <v/>
      </c>
      <c r="E201" s="22">
        <f>IF($C201="","",IFERROR(INDEX(DATA_MASTER!$I$2:$I$5000,MATCH($C201,DATA_MASTER!$D$2:$D$5000,0)),""))</f>
        <v/>
      </c>
      <c r="F201" s="22">
        <f>IF($C201="","",IFERROR(INDEX(DATA_MASTER!$L$2:$L$5000,MATCH($C201,DATA_MASTER!$D$2:$D$5000,0)),"ZM"))</f>
        <v/>
      </c>
      <c r="G201" s="24" t="inlineStr">
        <is>
          <t>Sữa Aptamil 380g</t>
        </is>
      </c>
      <c r="H201" s="24" t="n">
        <v>1</v>
      </c>
      <c r="I201" s="30" t="n">
        <v>320000</v>
      </c>
      <c r="J201" s="23">
        <f>IF(OR($H201="",$I201=""),"",$H201*$I201)</f>
        <v/>
      </c>
      <c r="K201" s="24" t="inlineStr">
        <is>
          <t>Chuyển khoản QR</t>
        </is>
      </c>
      <c r="L201" s="24" t="inlineStr">
        <is>
          <t>Đã chuyển khoản</t>
        </is>
      </c>
      <c r="M201" s="29" t="inlineStr">
        <is>
          <t>10/02/2026</t>
        </is>
      </c>
      <c r="N201" s="28" t="inlineStr">
        <is>
          <t>0763400127</t>
        </is>
      </c>
      <c r="O201" s="24" t="inlineStr">
        <is>
          <t>Thu Hậu</t>
        </is>
      </c>
      <c r="P201" s="24" t="inlineStr">
        <is>
          <t>Nhà đồ điện Quân Mùi. Đại Trà 1. kiến minh . Hải phòng, Hải Phòng</t>
        </is>
      </c>
      <c r="Q201" s="24" t="inlineStr">
        <is>
          <t>Chờ giao</t>
        </is>
      </c>
      <c r="R201" s="24" t="inlineStr">
        <is>
          <t>Cute Baby</t>
        </is>
      </c>
      <c r="S201" s="22">
        <f>IF(AND($A201="",$C201=""),"",IF($A201="","Thiếu mã đơn; ","")&amp;IF(COUNTIF($A$2:$A201,$A201)&gt;1,"Trùng mã đơn; ","")&amp;IF(COUNTIF($C$2:$C201,$C201)&gt;1,"Trùng SĐT; ","")&amp;IF(ISNA(MATCH($C201,DATA_MASTER!$D$2:$D$5000,0)),"SĐT chưa đăng ký hội viên; ","")&amp;IF(AND($L201="Đã chuyển khoản",$M201=""),"Thiếu ngày nhận CK; ",""))</f>
        <v/>
      </c>
      <c r="T201" s="24" t="inlineStr"/>
    </row>
    <row r="202" ht="14.25" customHeight="1" s="40">
      <c r="A202" s="24" t="n">
        <v>201</v>
      </c>
      <c r="B202" s="29" t="inlineStr">
        <is>
          <t>10/02/2026</t>
        </is>
      </c>
      <c r="C202" s="28" t="inlineStr">
        <is>
          <t>0336086158</t>
        </is>
      </c>
      <c r="D202" s="22">
        <f>IF($C202="","",IFERROR(INDEX(DATA_MASTER!$C$2:$C$5000,MATCH($C202,DATA_MASTER!$D$2:$D$5000,0)),"Nguyễn Khánh Huyền"))</f>
        <v/>
      </c>
      <c r="E202" s="22">
        <f>IF($C202="","",IFERROR(INDEX(DATA_MASTER!$I$2:$I$5000,MATCH($C202,DATA_MASTER!$D$2:$D$5000,0)),""))</f>
        <v/>
      </c>
      <c r="F202" s="22">
        <f>IF($C202="","",IFERROR(INDEX(DATA_MASTER!$L$2:$L$5000,MATCH($C202,DATA_MASTER!$D$2:$D$5000,0)),"ZM"))</f>
        <v/>
      </c>
      <c r="G202" s="24" t="inlineStr">
        <is>
          <t>Sữa Aptamil 380g</t>
        </is>
      </c>
      <c r="H202" s="24" t="n">
        <v>1</v>
      </c>
      <c r="I202" s="30" t="n">
        <v>320000</v>
      </c>
      <c r="J202" s="23">
        <f>IF(OR($H202="",$I202=""),"",$H202*$I202)</f>
        <v/>
      </c>
      <c r="K202" s="24" t="inlineStr">
        <is>
          <t>Chuyển khoản QR</t>
        </is>
      </c>
      <c r="L202" s="24" t="inlineStr">
        <is>
          <t>Đã chuyển khoản</t>
        </is>
      </c>
      <c r="M202" s="29" t="inlineStr">
        <is>
          <t>10/02/2026</t>
        </is>
      </c>
      <c r="N202" s="28" t="inlineStr">
        <is>
          <t>0336086158</t>
        </is>
      </c>
      <c r="O202" s="24" t="inlineStr">
        <is>
          <t>Nguyễn Khánh Huyền</t>
        </is>
      </c>
      <c r="P202" s="24" t="inlineStr">
        <is>
          <t>L5k10a chung cư Hoàng Huy - An Hải - An Dương - Hải Phòng</t>
        </is>
      </c>
      <c r="Q202" s="24" t="inlineStr">
        <is>
          <t>Chờ giao</t>
        </is>
      </c>
      <c r="R202" s="24" t="inlineStr">
        <is>
          <t>Cute Baby</t>
        </is>
      </c>
      <c r="S202" s="22">
        <f>IF(AND($A202="",$C202=""),"",IF($A202="","Thiếu mã đơn; ","")&amp;IF(COUNTIF($A$2:$A202,$A202)&gt;1,"Trùng mã đơn; ","")&amp;IF(COUNTIF($C$2:$C202,$C202)&gt;1,"Trùng SĐT; ","")&amp;IF(ISNA(MATCH($C202,DATA_MASTER!$D$2:$D$5000,0)),"SĐT chưa đăng ký hội viên; ","")&amp;IF(AND($L202="Đã chuyển khoản",$M202=""),"Thiếu ngày nhận CK; ",""))</f>
        <v/>
      </c>
      <c r="T202" s="24" t="inlineStr"/>
    </row>
    <row r="203" ht="14.25" customHeight="1" s="40">
      <c r="A203" s="24" t="n">
        <v>202</v>
      </c>
      <c r="B203" s="29" t="inlineStr">
        <is>
          <t>10/02/2026</t>
        </is>
      </c>
      <c r="C203" s="28" t="inlineStr">
        <is>
          <t>0975174387</t>
        </is>
      </c>
      <c r="D203" s="22">
        <f>IF($C203="","",IFERROR(INDEX(DATA_MASTER!$C$2:$C$5000,MATCH($C203,DATA_MASTER!$D$2:$D$5000,0)),"Phạm Thị Loan"))</f>
        <v/>
      </c>
      <c r="E203" s="22">
        <f>IF($C203="","",IFERROR(INDEX(DATA_MASTER!$I$2:$I$5000,MATCH($C203,DATA_MASTER!$D$2:$D$5000,0)),""))</f>
        <v/>
      </c>
      <c r="F203" s="22">
        <f>IF($C203="","",IFERROR(INDEX(DATA_MASTER!$L$2:$L$5000,MATCH($C203,DATA_MASTER!$D$2:$D$5000,0)),"ZM"))</f>
        <v/>
      </c>
      <c r="G203" s="24" t="inlineStr">
        <is>
          <t>Sữa Aptamil 380g</t>
        </is>
      </c>
      <c r="H203" s="24" t="n">
        <v>1</v>
      </c>
      <c r="I203" s="30" t="n">
        <v>320000</v>
      </c>
      <c r="J203" s="23">
        <f>IF(OR($H203="",$I203=""),"",$H203*$I203)</f>
        <v/>
      </c>
      <c r="K203" s="24" t="inlineStr">
        <is>
          <t>Chuyển khoản QR</t>
        </is>
      </c>
      <c r="L203" s="24" t="inlineStr">
        <is>
          <t>Đã chuyển khoản</t>
        </is>
      </c>
      <c r="M203" s="29" t="inlineStr">
        <is>
          <t>10/02/2026</t>
        </is>
      </c>
      <c r="N203" s="28" t="inlineStr">
        <is>
          <t>0975174387</t>
        </is>
      </c>
      <c r="O203" s="24" t="inlineStr">
        <is>
          <t>Phạm Thị Loan</t>
        </is>
      </c>
      <c r="P203" s="24" t="inlineStr">
        <is>
          <t>Thôn Xuân la xã kiến thuỵ thành phố hải phòng, Hải Phòng</t>
        </is>
      </c>
      <c r="Q203" s="24" t="inlineStr">
        <is>
          <t>Chờ giao</t>
        </is>
      </c>
      <c r="R203" s="24" t="inlineStr">
        <is>
          <t>Cute Baby</t>
        </is>
      </c>
      <c r="S203" s="22">
        <f>IF(AND($A203="",$C203=""),"",IF($A203="","Thiếu mã đơn; ","")&amp;IF(COUNTIF($A$2:$A203,$A203)&gt;1,"Trùng mã đơn; ","")&amp;IF(COUNTIF($C$2:$C203,$C203)&gt;1,"Trùng SĐT; ","")&amp;IF(ISNA(MATCH($C203,DATA_MASTER!$D$2:$D$5000,0)),"SĐT chưa đăng ký hội viên; ","")&amp;IF(AND($L203="Đã chuyển khoản",$M203=""),"Thiếu ngày nhận CK; ",""))</f>
        <v/>
      </c>
      <c r="T203" s="24" t="inlineStr"/>
    </row>
    <row r="204" ht="14.25" customHeight="1" s="40">
      <c r="A204" s="24" t="n">
        <v>203</v>
      </c>
      <c r="B204" s="29" t="inlineStr">
        <is>
          <t>10/02/2026</t>
        </is>
      </c>
      <c r="C204" s="28" t="inlineStr">
        <is>
          <t>0866910942</t>
        </is>
      </c>
      <c r="D204" s="22">
        <f>IF($C204="","",IFERROR(INDEX(DATA_MASTER!$C$2:$C$5000,MATCH($C204,DATA_MASTER!$D$2:$D$5000,0)),"Đinh Thị Trang"))</f>
        <v/>
      </c>
      <c r="E204" s="22">
        <f>IF($C204="","",IFERROR(INDEX(DATA_MASTER!$I$2:$I$5000,MATCH($C204,DATA_MASTER!$D$2:$D$5000,0)),""))</f>
        <v/>
      </c>
      <c r="F204" s="22">
        <f>IF($C204="","",IFERROR(INDEX(DATA_MASTER!$L$2:$L$5000,MATCH($C204,DATA_MASTER!$D$2:$D$5000,0)),"ZM"))</f>
        <v/>
      </c>
      <c r="G204" s="24" t="inlineStr">
        <is>
          <t>Sữa Aptamil 380g</t>
        </is>
      </c>
      <c r="H204" s="24" t="n">
        <v>1</v>
      </c>
      <c r="I204" s="30" t="n">
        <v>320000</v>
      </c>
      <c r="J204" s="23">
        <f>IF(OR($H204="",$I204=""),"",$H204*$I204)</f>
        <v/>
      </c>
      <c r="K204" s="24" t="inlineStr">
        <is>
          <t>Chuyển khoản QR</t>
        </is>
      </c>
      <c r="L204" s="24" t="inlineStr">
        <is>
          <t>Đã chuyển khoản</t>
        </is>
      </c>
      <c r="M204" s="29" t="inlineStr">
        <is>
          <t>10/02/2026</t>
        </is>
      </c>
      <c r="N204" s="28" t="inlineStr">
        <is>
          <t>0866910942</t>
        </is>
      </c>
      <c r="O204" s="24" t="inlineStr">
        <is>
          <t>Đinh Thị Trang</t>
        </is>
      </c>
      <c r="P204" s="24" t="inlineStr">
        <is>
          <t>TDP chính Mỹ 4 phường Lê ích Mộc tp Hải Phòng</t>
        </is>
      </c>
      <c r="Q204" s="24" t="inlineStr">
        <is>
          <t>Đang giao</t>
        </is>
      </c>
      <c r="R204" s="24" t="inlineStr">
        <is>
          <t>Cute Baby</t>
        </is>
      </c>
      <c r="S204" s="22">
        <f>IF(AND($A204="",$C204=""),"",IF($A204="","Thiếu mã đơn; ","")&amp;IF(COUNTIF($A$2:$A204,$A204)&gt;1,"Trùng mã đơn; ","")&amp;IF(COUNTIF($C$2:$C204,$C204)&gt;1,"Trùng SĐT; ","")&amp;IF(ISNA(MATCH($C204,DATA_MASTER!$D$2:$D$5000,0)),"SĐT chưa đăng ký hội viên; ","")&amp;IF(AND($L204="Đã chuyển khoản",$M204=""),"Thiếu ngày nhận CK; ",""))</f>
        <v/>
      </c>
      <c r="T204" s="24" t="inlineStr">
        <is>
          <t>ĐVVC: Giao hàng nhanh | Mã VĐ: GYRW4WDK</t>
        </is>
      </c>
    </row>
    <row r="205" ht="14.25" customHeight="1" s="40">
      <c r="A205" s="24" t="n">
        <v>204</v>
      </c>
      <c r="B205" s="29" t="inlineStr">
        <is>
          <t>10/02/2026</t>
        </is>
      </c>
      <c r="C205" s="28" t="inlineStr">
        <is>
          <t>0979620711</t>
        </is>
      </c>
      <c r="D205" s="22">
        <f>IF($C205="","",IFERROR(INDEX(DATA_MASTER!$C$2:$C$5000,MATCH($C205,DATA_MASTER!$D$2:$D$5000,0)),"Cao Thị Thắm"))</f>
        <v/>
      </c>
      <c r="E205" s="22">
        <f>IF($C205="","",IFERROR(INDEX(DATA_MASTER!$I$2:$I$5000,MATCH($C205,DATA_MASTER!$D$2:$D$5000,0)),""))</f>
        <v/>
      </c>
      <c r="F205" s="22">
        <f>IF($C205="","",IFERROR(INDEX(DATA_MASTER!$L$2:$L$5000,MATCH($C205,DATA_MASTER!$D$2:$D$5000,0)),"ZM"))</f>
        <v/>
      </c>
      <c r="G205" s="24" t="inlineStr">
        <is>
          <t>Sữa Aptamil 380g</t>
        </is>
      </c>
      <c r="H205" s="24" t="n">
        <v>1</v>
      </c>
      <c r="I205" s="30" t="n">
        <v>320000</v>
      </c>
      <c r="J205" s="23">
        <f>IF(OR($H205="",$I205=""),"",$H205*$I205)</f>
        <v/>
      </c>
      <c r="K205" s="24" t="inlineStr">
        <is>
          <t>Chuyển khoản QR</t>
        </is>
      </c>
      <c r="L205" s="24" t="inlineStr">
        <is>
          <t>Đã chuyển khoản</t>
        </is>
      </c>
      <c r="M205" s="29" t="inlineStr">
        <is>
          <t>10/02/2026</t>
        </is>
      </c>
      <c r="N205" s="28" t="inlineStr">
        <is>
          <t>0979620711</t>
        </is>
      </c>
      <c r="O205" s="24" t="inlineStr">
        <is>
          <t>Cao Thị Thắm</t>
        </is>
      </c>
      <c r="P205" s="24" t="inlineStr">
        <is>
          <t>90E Hàng Tổng, Phường Hải An, Hải Phòng</t>
        </is>
      </c>
      <c r="Q205" s="24" t="inlineStr">
        <is>
          <t>Đã giao</t>
        </is>
      </c>
      <c r="R205" s="24" t="inlineStr">
        <is>
          <t>Cute Baby</t>
        </is>
      </c>
      <c r="S205" s="22">
        <f>IF(AND($A205="",$C205=""),"",IF($A205="","Thiếu mã đơn; ","")&amp;IF(COUNTIF($A$2:$A205,$A205)&gt;1,"Trùng mã đơn; ","")&amp;IF(COUNTIF($C$2:$C205,$C205)&gt;1,"Trùng SĐT; ","")&amp;IF(ISNA(MATCH($C205,DATA_MASTER!$D$2:$D$5000,0)),"SĐT chưa đăng ký hội viên; ","")&amp;IF(AND($L205="Đã chuyển khoản",$M205=""),"Thiếu ngày nhận CK; ",""))</f>
        <v/>
      </c>
      <c r="T205" s="24" t="inlineStr">
        <is>
          <t>ĐVVC: Grab Express</t>
        </is>
      </c>
    </row>
    <row r="206" ht="14.25" customHeight="1" s="40">
      <c r="A206" s="24" t="n">
        <v>205</v>
      </c>
      <c r="B206" s="29" t="inlineStr">
        <is>
          <t>10/02/2026</t>
        </is>
      </c>
      <c r="C206" s="28" t="inlineStr">
        <is>
          <t>0353088620</t>
        </is>
      </c>
      <c r="D206" s="22">
        <f>IF($C206="","",IFERROR(INDEX(DATA_MASTER!$C$2:$C$5000,MATCH($C206,DATA_MASTER!$D$2:$D$5000,0)),"Ngọc Dịu"))</f>
        <v/>
      </c>
      <c r="E206" s="22">
        <f>IF($C206="","",IFERROR(INDEX(DATA_MASTER!$I$2:$I$5000,MATCH($C206,DATA_MASTER!$D$2:$D$5000,0)),""))</f>
        <v/>
      </c>
      <c r="F206" s="22">
        <f>IF($C206="","",IFERROR(INDEX(DATA_MASTER!$L$2:$L$5000,MATCH($C206,DATA_MASTER!$D$2:$D$5000,0)),"ZM"))</f>
        <v/>
      </c>
      <c r="G206" s="24" t="inlineStr">
        <is>
          <t>Sữa Aptamil 380g</t>
        </is>
      </c>
      <c r="H206" s="24" t="n">
        <v>1</v>
      </c>
      <c r="I206" s="30" t="n">
        <v>320000</v>
      </c>
      <c r="J206" s="23">
        <f>IF(OR($H206="",$I206=""),"",$H206*$I206)</f>
        <v/>
      </c>
      <c r="K206" s="24" t="inlineStr">
        <is>
          <t>Chuyển khoản QR</t>
        </is>
      </c>
      <c r="L206" s="24" t="inlineStr">
        <is>
          <t>Đã chuyển khoản</t>
        </is>
      </c>
      <c r="M206" s="29" t="inlineStr">
        <is>
          <t>10/02/2026</t>
        </is>
      </c>
      <c r="N206" s="28" t="inlineStr">
        <is>
          <t>0353088620</t>
        </is>
      </c>
      <c r="O206" s="24" t="inlineStr">
        <is>
          <t>Ngọc Dịu</t>
        </is>
      </c>
      <c r="P206" s="24" t="inlineStr">
        <is>
          <t>số 76 nhà thờ an toàn phường Dương Kinh Hải Phòng.</t>
        </is>
      </c>
      <c r="Q206" s="24" t="inlineStr">
        <is>
          <t>Đã giao</t>
        </is>
      </c>
      <c r="R206" s="24" t="inlineStr">
        <is>
          <t>Cute Baby</t>
        </is>
      </c>
      <c r="S206" s="22">
        <f>IF(AND($A206="",$C206=""),"",IF($A206="","Thiếu mã đơn; ","")&amp;IF(COUNTIF($A$2:$A206,$A206)&gt;1,"Trùng mã đơn; ","")&amp;IF(COUNTIF($C$2:$C206,$C206)&gt;1,"Trùng SĐT; ","")&amp;IF(ISNA(MATCH($C206,DATA_MASTER!$D$2:$D$5000,0)),"SĐT chưa đăng ký hội viên; ","")&amp;IF(AND($L206="Đã chuyển khoản",$M206=""),"Thiếu ngày nhận CK; ",""))</f>
        <v/>
      </c>
      <c r="T206" s="24" t="inlineStr">
        <is>
          <t>ĐVVC: Grab Express</t>
        </is>
      </c>
    </row>
    <row r="207" ht="14.25" customHeight="1" s="40">
      <c r="A207" s="24" t="n">
        <v>206</v>
      </c>
      <c r="B207" s="29" t="inlineStr">
        <is>
          <t>10/02/2026</t>
        </is>
      </c>
      <c r="C207" s="28" t="inlineStr">
        <is>
          <t>0785852218</t>
        </is>
      </c>
      <c r="D207" s="22">
        <f>IF($C207="","",IFERROR(INDEX(DATA_MASTER!$C$2:$C$5000,MATCH($C207,DATA_MASTER!$D$2:$D$5000,0)),"Kiều Thị Thanh Thủy"))</f>
        <v/>
      </c>
      <c r="E207" s="22">
        <f>IF($C207="","",IFERROR(INDEX(DATA_MASTER!$I$2:$I$5000,MATCH($C207,DATA_MASTER!$D$2:$D$5000,0)),""))</f>
        <v/>
      </c>
      <c r="F207" s="22">
        <f>IF($C207="","",IFERROR(INDEX(DATA_MASTER!$L$2:$L$5000,MATCH($C207,DATA_MASTER!$D$2:$D$5000,0)),"ZM"))</f>
        <v/>
      </c>
      <c r="G207" s="24" t="inlineStr">
        <is>
          <t>Sữa Aptamil 380g</t>
        </is>
      </c>
      <c r="H207" s="24" t="n">
        <v>1</v>
      </c>
      <c r="I207" s="30" t="n">
        <v>320000</v>
      </c>
      <c r="J207" s="23">
        <f>IF(OR($H207="",$I207=""),"",$H207*$I207)</f>
        <v/>
      </c>
      <c r="K207" s="24" t="inlineStr">
        <is>
          <t>Chuyển khoản QR</t>
        </is>
      </c>
      <c r="L207" s="24" t="inlineStr">
        <is>
          <t>Đã chuyển khoản</t>
        </is>
      </c>
      <c r="M207" s="29" t="inlineStr">
        <is>
          <t>10/02/2026</t>
        </is>
      </c>
      <c r="N207" s="28" t="inlineStr">
        <is>
          <t>0785852218</t>
        </is>
      </c>
      <c r="O207" s="24" t="inlineStr">
        <is>
          <t>Kiều Thị Thanh Thủy</t>
        </is>
      </c>
      <c r="P207" s="24" t="inlineStr">
        <is>
          <t>ấp An Nhơn, xã Trung Thành, Vũng Liêm, Vĩnh Long</t>
        </is>
      </c>
      <c r="Q207" s="24" t="inlineStr">
        <is>
          <t>Đang giao</t>
        </is>
      </c>
      <c r="R207" s="24" t="inlineStr">
        <is>
          <t>Nous Baby</t>
        </is>
      </c>
      <c r="S207" s="22">
        <f>IF(AND($A207="",$C207=""),"",IF($A207="","Thiếu mã đơn; ","")&amp;IF(COUNTIF($A$2:$A207,$A207)&gt;1,"Trùng mã đơn; ","")&amp;IF(COUNTIF($C$2:$C207,$C207)&gt;1,"Trùng SĐT; ","")&amp;IF(ISNA(MATCH($C207,DATA_MASTER!$D$2:$D$5000,0)),"SĐT chưa đăng ký hội viên; ","")&amp;IF(AND($L207="Đã chuyển khoản",$M207=""),"Thiếu ngày nhận CK; ",""))</f>
        <v/>
      </c>
      <c r="T207" s="24" t="inlineStr">
        <is>
          <t>ĐVVC: Giao hàng nhanh | Mã VĐ: GYRAG4CC</t>
        </is>
      </c>
    </row>
    <row r="208" ht="14.25" customHeight="1" s="40">
      <c r="A208" s="24" t="n">
        <v>207</v>
      </c>
      <c r="B208" s="29" t="inlineStr">
        <is>
          <t>10/02/2026</t>
        </is>
      </c>
      <c r="C208" s="28" t="inlineStr">
        <is>
          <t>0858985319</t>
        </is>
      </c>
      <c r="D208" s="22">
        <f>IF($C208="","",IFERROR(INDEX(DATA_MASTER!$C$2:$C$5000,MATCH($C208,DATA_MASTER!$D$2:$D$5000,0)),"Nguyễn Thị Yến Nhi"))</f>
        <v/>
      </c>
      <c r="E208" s="22">
        <f>IF($C208="","",IFERROR(INDEX(DATA_MASTER!$I$2:$I$5000,MATCH($C208,DATA_MASTER!$D$2:$D$5000,0)),""))</f>
        <v/>
      </c>
      <c r="F208" s="22">
        <f>IF($C208="","",IFERROR(INDEX(DATA_MASTER!$L$2:$L$5000,MATCH($C208,DATA_MASTER!$D$2:$D$5000,0)),"ZM"))</f>
        <v/>
      </c>
      <c r="G208" s="24" t="inlineStr">
        <is>
          <t>Sữa Aptamil 380g</t>
        </is>
      </c>
      <c r="H208" s="24" t="n">
        <v>1</v>
      </c>
      <c r="I208" s="30" t="n">
        <v>320000</v>
      </c>
      <c r="J208" s="23">
        <f>IF(OR($H208="",$I208=""),"",$H208*$I208)</f>
        <v/>
      </c>
      <c r="K208" s="24" t="inlineStr">
        <is>
          <t>Chuyển khoản QR</t>
        </is>
      </c>
      <c r="L208" s="24" t="inlineStr">
        <is>
          <t>Đã chuyển khoản</t>
        </is>
      </c>
      <c r="M208" s="29" t="inlineStr">
        <is>
          <t>10/02/2026</t>
        </is>
      </c>
      <c r="N208" s="28" t="inlineStr">
        <is>
          <t>0858985319</t>
        </is>
      </c>
      <c r="O208" s="24" t="inlineStr">
        <is>
          <t>Nguyễn Thị Yến Nhi</t>
        </is>
      </c>
      <c r="P208" s="24" t="inlineStr">
        <is>
          <t>26 Y, Khóm Long Quới, phường Thanh Đức, Vĩnh Long</t>
        </is>
      </c>
      <c r="Q208" s="24" t="inlineStr">
        <is>
          <t>Đã giao</t>
        </is>
      </c>
      <c r="R208" s="24" t="inlineStr">
        <is>
          <t>Nous Baby</t>
        </is>
      </c>
      <c r="S208" s="22">
        <f>IF(AND($A208="",$C208=""),"",IF($A208="","Thiếu mã đơn; ","")&amp;IF(COUNTIF($A$2:$A208,$A208)&gt;1,"Trùng mã đơn; ","")&amp;IF(COUNTIF($C$2:$C208,$C208)&gt;1,"Trùng SĐT; ","")&amp;IF(ISNA(MATCH($C208,DATA_MASTER!$D$2:$D$5000,0)),"SĐT chưa đăng ký hội viên; ","")&amp;IF(AND($L208="Đã chuyển khoản",$M208=""),"Thiếu ngày nhận CK; ",""))</f>
        <v/>
      </c>
      <c r="T208" s="24" t="inlineStr">
        <is>
          <t>ĐVVC: Giao hàng nhanh | Mã VĐ: GYRW4WDK</t>
        </is>
      </c>
    </row>
    <row r="209" ht="14.25" customHeight="1" s="40">
      <c r="A209" s="24" t="n">
        <v>208</v>
      </c>
      <c r="B209" s="29" t="inlineStr">
        <is>
          <t>10/02/2026</t>
        </is>
      </c>
      <c r="C209" s="28" t="inlineStr">
        <is>
          <t>0347640301</t>
        </is>
      </c>
      <c r="D209" s="22">
        <f>IF($C209="","",IFERROR(INDEX(DATA_MASTER!$C$2:$C$5000,MATCH($C209,DATA_MASTER!$D$2:$D$5000,0)),"Nguyễn Thị Mộng Trúc"))</f>
        <v/>
      </c>
      <c r="E209" s="22">
        <f>IF($C209="","",IFERROR(INDEX(DATA_MASTER!$I$2:$I$5000,MATCH($C209,DATA_MASTER!$D$2:$D$5000,0)),""))</f>
        <v/>
      </c>
      <c r="F209" s="22">
        <f>IF($C209="","",IFERROR(INDEX(DATA_MASTER!$L$2:$L$5000,MATCH($C209,DATA_MASTER!$D$2:$D$5000,0)),"ZM"))</f>
        <v/>
      </c>
      <c r="G209" s="24" t="inlineStr">
        <is>
          <t>Sữa Aptamil 380g</t>
        </is>
      </c>
      <c r="H209" s="24" t="n">
        <v>1</v>
      </c>
      <c r="I209" s="30" t="n">
        <v>320000</v>
      </c>
      <c r="J209" s="23">
        <f>IF(OR($H209="",$I209=""),"",$H209*$I209)</f>
        <v/>
      </c>
      <c r="K209" s="24" t="inlineStr">
        <is>
          <t>Chuyển khoản QR</t>
        </is>
      </c>
      <c r="L209" s="24" t="inlineStr">
        <is>
          <t>Đã chuyển khoản</t>
        </is>
      </c>
      <c r="M209" s="29" t="inlineStr">
        <is>
          <t>10/02/2026</t>
        </is>
      </c>
      <c r="N209" s="28" t="inlineStr">
        <is>
          <t>0347640301</t>
        </is>
      </c>
      <c r="O209" s="24" t="inlineStr">
        <is>
          <t>Nguyễn Thị Mộng Trúc</t>
        </is>
      </c>
      <c r="P209" s="24" t="inlineStr">
        <is>
          <t>ấp Phong Thới, xã Trung Thành, tỉnh Vĩnh Long</t>
        </is>
      </c>
      <c r="Q209" s="24" t="inlineStr">
        <is>
          <t>Đã giao</t>
        </is>
      </c>
      <c r="R209" s="24" t="inlineStr">
        <is>
          <t>Nous Baby</t>
        </is>
      </c>
      <c r="S209" s="22">
        <f>IF(AND($A209="",$C209=""),"",IF($A209="","Thiếu mã đơn; ","")&amp;IF(COUNTIF($A$2:$A209,$A209)&gt;1,"Trùng mã đơn; ","")&amp;IF(COUNTIF($C$2:$C209,$C209)&gt;1,"Trùng SĐT; ","")&amp;IF(ISNA(MATCH($C209,DATA_MASTER!$D$2:$D$5000,0)),"SĐT chưa đăng ký hội viên; ","")&amp;IF(AND($L209="Đã chuyển khoản",$M209=""),"Thiếu ngày nhận CK; ",""))</f>
        <v/>
      </c>
      <c r="T209" s="24" t="inlineStr">
        <is>
          <t>ĐVVC: Grab Express</t>
        </is>
      </c>
    </row>
    <row r="210" ht="14.25" customHeight="1" s="40">
      <c r="A210" s="24" t="n">
        <v>209</v>
      </c>
      <c r="B210" s="29" t="inlineStr">
        <is>
          <t>10/02/2026</t>
        </is>
      </c>
      <c r="C210" s="28" t="inlineStr">
        <is>
          <t>0345012599</t>
        </is>
      </c>
      <c r="D210" s="22">
        <f>IF($C210="","",IFERROR(INDEX(DATA_MASTER!$C$2:$C$5000,MATCH($C210,DATA_MASTER!$D$2:$D$5000,0)),"Huỳnh Thị Tuyết Liên"))</f>
        <v/>
      </c>
      <c r="E210" s="22">
        <f>IF($C210="","",IFERROR(INDEX(DATA_MASTER!$I$2:$I$5000,MATCH($C210,DATA_MASTER!$D$2:$D$5000,0)),""))</f>
        <v/>
      </c>
      <c r="F210" s="22">
        <f>IF($C210="","",IFERROR(INDEX(DATA_MASTER!$L$2:$L$5000,MATCH($C210,DATA_MASTER!$D$2:$D$5000,0)),"ZM"))</f>
        <v/>
      </c>
      <c r="G210" s="24" t="inlineStr">
        <is>
          <t>Sữa Aptamil 380g</t>
        </is>
      </c>
      <c r="H210" s="24" t="n">
        <v>1</v>
      </c>
      <c r="I210" s="30" t="n">
        <v>320000</v>
      </c>
      <c r="J210" s="23">
        <f>IF(OR($H210="",$I210=""),"",$H210*$I210)</f>
        <v/>
      </c>
      <c r="K210" s="24" t="inlineStr">
        <is>
          <t>Chuyển khoản QR</t>
        </is>
      </c>
      <c r="L210" s="24" t="inlineStr">
        <is>
          <t>Đã chuyển khoản</t>
        </is>
      </c>
      <c r="M210" s="29" t="inlineStr">
        <is>
          <t>10/02/2026</t>
        </is>
      </c>
      <c r="N210" s="28" t="inlineStr">
        <is>
          <t>0345012599</t>
        </is>
      </c>
      <c r="O210" s="24" t="inlineStr">
        <is>
          <t>Huỳnh Thị Tuyết Liên</t>
        </is>
      </c>
      <c r="P210" s="24" t="inlineStr">
        <is>
          <t>tổ 16, ấp Phú Nhuận, xã Tân Nhuận Đông, tỉnh Đồng Tháp</t>
        </is>
      </c>
      <c r="Q210" s="24" t="inlineStr">
        <is>
          <t>Đang giao</t>
        </is>
      </c>
      <c r="R210" s="24" t="inlineStr">
        <is>
          <t>Thế Giới Sơ Sinh</t>
        </is>
      </c>
      <c r="S210" s="22">
        <f>IF(AND($A210="",$C210=""),"",IF($A210="","Thiếu mã đơn; ","")&amp;IF(COUNTIF($A$2:$A210,$A210)&gt;1,"Trùng mã đơn; ","")&amp;IF(COUNTIF($C$2:$C210,$C210)&gt;1,"Trùng SĐT; ","")&amp;IF(ISNA(MATCH($C210,DATA_MASTER!$D$2:$D$5000,0)),"SĐT chưa đăng ký hội viên; ","")&amp;IF(AND($L210="Đã chuyển khoản",$M210=""),"Thiếu ngày nhận CK; ",""))</f>
        <v/>
      </c>
      <c r="T210" s="24" t="inlineStr">
        <is>
          <t>ĐVVC: shoppe | Mã VĐ: SPXVN06655545286A</t>
        </is>
      </c>
    </row>
    <row r="211" ht="14.25" customHeight="1" s="40">
      <c r="A211" s="24" t="n">
        <v>210</v>
      </c>
      <c r="B211" s="29" t="inlineStr">
        <is>
          <t>10/02/2026</t>
        </is>
      </c>
      <c r="C211" s="28" t="inlineStr">
        <is>
          <t>0981968099</t>
        </is>
      </c>
      <c r="D211" s="22">
        <f>IF($C211="","",IFERROR(INDEX(DATA_MASTER!$C$2:$C$5000,MATCH($C211,DATA_MASTER!$D$2:$D$5000,0)),"Phạm Vĩnh Khang"))</f>
        <v/>
      </c>
      <c r="E211" s="22">
        <f>IF($C211="","",IFERROR(INDEX(DATA_MASTER!$I$2:$I$5000,MATCH($C211,DATA_MASTER!$D$2:$D$5000,0)),""))</f>
        <v/>
      </c>
      <c r="F211" s="22">
        <f>IF($C211="","",IFERROR(INDEX(DATA_MASTER!$L$2:$L$5000,MATCH($C211,DATA_MASTER!$D$2:$D$5000,0)),"ZM"))</f>
        <v/>
      </c>
      <c r="G211" s="24" t="inlineStr">
        <is>
          <t>Sữa Aptamil 380g</t>
        </is>
      </c>
      <c r="H211" s="24" t="n">
        <v>1</v>
      </c>
      <c r="I211" s="30" t="n">
        <v>320000</v>
      </c>
      <c r="J211" s="23">
        <f>IF(OR($H211="",$I211=""),"",$H211*$I211)</f>
        <v/>
      </c>
      <c r="K211" s="24" t="inlineStr">
        <is>
          <t>Chuyển khoản QR</t>
        </is>
      </c>
      <c r="L211" s="24" t="inlineStr">
        <is>
          <t>Đã chuyển khoản</t>
        </is>
      </c>
      <c r="M211" s="29" t="inlineStr">
        <is>
          <t>10/02/2026</t>
        </is>
      </c>
      <c r="N211" s="28" t="inlineStr">
        <is>
          <t>0981968099</t>
        </is>
      </c>
      <c r="O211" s="24" t="inlineStr">
        <is>
          <t>Phạm Vĩnh Khang</t>
        </is>
      </c>
      <c r="P211" s="24" t="inlineStr">
        <is>
          <t>ấp Mỹ trung 1, xã Tam Bình, tỉnh Vĩnh Long</t>
        </is>
      </c>
      <c r="Q211" s="24" t="inlineStr">
        <is>
          <t>Đang giao</t>
        </is>
      </c>
      <c r="R211" s="24" t="inlineStr">
        <is>
          <t>Thế Giới Sơ Sinh</t>
        </is>
      </c>
      <c r="S211" s="22">
        <f>IF(AND($A211="",$C211=""),"",IF($A211="","Thiếu mã đơn; ","")&amp;IF(COUNTIF($A$2:$A211,$A211)&gt;1,"Trùng mã đơn; ","")&amp;IF(COUNTIF($C$2:$C211,$C211)&gt;1,"Trùng SĐT; ","")&amp;IF(ISNA(MATCH($C211,DATA_MASTER!$D$2:$D$5000,0)),"SĐT chưa đăng ký hội viên; ","")&amp;IF(AND($L211="Đã chuyển khoản",$M211=""),"Thiếu ngày nhận CK; ",""))</f>
        <v/>
      </c>
      <c r="T211" s="24" t="inlineStr">
        <is>
          <t>ĐVVC: shoppe | Mã VĐ: SPXVN06519378328A</t>
        </is>
      </c>
    </row>
    <row r="212" ht="14.25" customHeight="1" s="40">
      <c r="A212" s="24" t="n">
        <v>211</v>
      </c>
      <c r="B212" s="29" t="inlineStr">
        <is>
          <t>10/02/2026</t>
        </is>
      </c>
      <c r="C212" s="28" t="inlineStr">
        <is>
          <t>0338895507</t>
        </is>
      </c>
      <c r="D212" s="22">
        <f>IF($C212="","",IFERROR(INDEX(DATA_MASTER!$C$2:$C$5000,MATCH($C212,DATA_MASTER!$D$2:$D$5000,0)),"Nguyễn Thị Trường"))</f>
        <v/>
      </c>
      <c r="E212" s="22">
        <f>IF($C212="","",IFERROR(INDEX(DATA_MASTER!$I$2:$I$5000,MATCH($C212,DATA_MASTER!$D$2:$D$5000,0)),""))</f>
        <v/>
      </c>
      <c r="F212" s="22">
        <f>IF($C212="","",IFERROR(INDEX(DATA_MASTER!$L$2:$L$5000,MATCH($C212,DATA_MASTER!$D$2:$D$5000,0)),"ZM"))</f>
        <v/>
      </c>
      <c r="G212" s="24" t="inlineStr">
        <is>
          <t>Sữa Aptamil 380g</t>
        </is>
      </c>
      <c r="H212" s="24" t="n">
        <v>1</v>
      </c>
      <c r="I212" s="30" t="n">
        <v>320000</v>
      </c>
      <c r="J212" s="23">
        <f>IF(OR($H212="",$I212=""),"",$H212*$I212)</f>
        <v/>
      </c>
      <c r="K212" s="24" t="inlineStr">
        <is>
          <t>Chuyển khoản QR</t>
        </is>
      </c>
      <c r="L212" s="24" t="inlineStr">
        <is>
          <t>Đã chuyển khoản</t>
        </is>
      </c>
      <c r="M212" s="29" t="inlineStr">
        <is>
          <t>10/02/2026</t>
        </is>
      </c>
      <c r="N212" s="28" t="inlineStr">
        <is>
          <t>0338895507</t>
        </is>
      </c>
      <c r="O212" s="24" t="inlineStr">
        <is>
          <t>Nguyễn Thị Trường</t>
        </is>
      </c>
      <c r="P212" s="24" t="inlineStr">
        <is>
          <t>56/4, ấp 14, xã tân thới sơn, hóc môn, HCM</t>
        </is>
      </c>
      <c r="Q212" s="24" t="inlineStr">
        <is>
          <t>Đã giao</t>
        </is>
      </c>
      <c r="R212" s="24" t="inlineStr">
        <is>
          <t>Voi Con</t>
        </is>
      </c>
      <c r="S212" s="22">
        <f>IF(AND($A212="",$C212=""),"",IF($A212="","Thiếu mã đơn; ","")&amp;IF(COUNTIF($A$2:$A212,$A212)&gt;1,"Trùng mã đơn; ","")&amp;IF(COUNTIF($C$2:$C212,$C212)&gt;1,"Trùng SĐT; ","")&amp;IF(ISNA(MATCH($C212,DATA_MASTER!$D$2:$D$5000,0)),"SĐT chưa đăng ký hội viên; ","")&amp;IF(AND($L212="Đã chuyển khoản",$M212=""),"Thiếu ngày nhận CK; ",""))</f>
        <v/>
      </c>
      <c r="T212" s="24" t="inlineStr">
        <is>
          <t>ĐVVC: J&amp;T | Mã VĐ: 801114429832 | POD: https://drive.google.com/drive/folders/14YqSb9mohXWUMATpBaLAocW_7uBLVQM8</t>
        </is>
      </c>
    </row>
    <row r="213" ht="14.25" customHeight="1" s="40">
      <c r="A213" s="24" t="n">
        <v>212</v>
      </c>
      <c r="B213" s="29" t="inlineStr">
        <is>
          <t>10/02/2026</t>
        </is>
      </c>
      <c r="C213" s="28" t="inlineStr">
        <is>
          <t>0941286872</t>
        </is>
      </c>
      <c r="D213" s="22">
        <f>IF($C213="","",IFERROR(INDEX(DATA_MASTER!$C$2:$C$5000,MATCH($C213,DATA_MASTER!$D$2:$D$5000,0)),"Huỳnh Tái Tuyết"))</f>
        <v/>
      </c>
      <c r="E213" s="22">
        <f>IF($C213="","",IFERROR(INDEX(DATA_MASTER!$I$2:$I$5000,MATCH($C213,DATA_MASTER!$D$2:$D$5000,0)),""))</f>
        <v/>
      </c>
      <c r="F213" s="22">
        <f>IF($C213="","",IFERROR(INDEX(DATA_MASTER!$L$2:$L$5000,MATCH($C213,DATA_MASTER!$D$2:$D$5000,0)),"ZM"))</f>
        <v/>
      </c>
      <c r="G213" s="24" t="inlineStr">
        <is>
          <t>Sữa Aptamil 380g</t>
        </is>
      </c>
      <c r="H213" s="24" t="n">
        <v>1</v>
      </c>
      <c r="I213" s="30" t="n">
        <v>320000</v>
      </c>
      <c r="J213" s="23">
        <f>IF(OR($H213="",$I213=""),"",$H213*$I213)</f>
        <v/>
      </c>
      <c r="K213" s="24" t="inlineStr">
        <is>
          <t>Chuyển khoản QR</t>
        </is>
      </c>
      <c r="L213" s="24" t="inlineStr">
        <is>
          <t>Đã chuyển khoản</t>
        </is>
      </c>
      <c r="M213" s="29" t="inlineStr">
        <is>
          <t>10/02/2026</t>
        </is>
      </c>
      <c r="N213" s="28" t="inlineStr">
        <is>
          <t>0941286872</t>
        </is>
      </c>
      <c r="O213" s="24" t="inlineStr">
        <is>
          <t>Huỳnh Tái Tuyết</t>
        </is>
      </c>
      <c r="P213" s="24" t="inlineStr">
        <is>
          <t>85/2Y đường võ thị hồi , xuân thới đông, xts hóc môn, HCM</t>
        </is>
      </c>
      <c r="Q213" s="24" t="inlineStr">
        <is>
          <t>Đã giao</t>
        </is>
      </c>
      <c r="R213" s="24" t="inlineStr">
        <is>
          <t>Voi Con</t>
        </is>
      </c>
      <c r="S213" s="22">
        <f>IF(AND($A213="",$C213=""),"",IF($A213="","Thiếu mã đơn; ","")&amp;IF(COUNTIF($A$2:$A213,$A213)&gt;1,"Trùng mã đơn; ","")&amp;IF(COUNTIF($C$2:$C213,$C213)&gt;1,"Trùng SĐT; ","")&amp;IF(ISNA(MATCH($C213,DATA_MASTER!$D$2:$D$5000,0)),"SĐT chưa đăng ký hội viên; ","")&amp;IF(AND($L213="Đã chuyển khoản",$M213=""),"Thiếu ngày nhận CK; ",""))</f>
        <v/>
      </c>
      <c r="T213" s="24" t="inlineStr">
        <is>
          <t>ĐVVC: J&amp;T | Mã VĐ: 801114337851 | POD: https://drive.google.com/drive/folders/14YqSb9mohXWUMATpBaLAocW_7uBLVQM8</t>
        </is>
      </c>
    </row>
    <row r="214" ht="14.25" customHeight="1" s="40">
      <c r="A214" s="24" t="n">
        <v>213</v>
      </c>
      <c r="B214" s="29" t="inlineStr">
        <is>
          <t>10/02/2026</t>
        </is>
      </c>
      <c r="C214" s="28" t="inlineStr">
        <is>
          <t>0961359262</t>
        </is>
      </c>
      <c r="D214" s="22">
        <f>IF($C214="","",IFERROR(INDEX(DATA_MASTER!$C$2:$C$5000,MATCH($C214,DATA_MASTER!$D$2:$D$5000,0)),"Trương Thị Ngọc Linh"))</f>
        <v/>
      </c>
      <c r="E214" s="22">
        <f>IF($C214="","",IFERROR(INDEX(DATA_MASTER!$I$2:$I$5000,MATCH($C214,DATA_MASTER!$D$2:$D$5000,0)),""))</f>
        <v/>
      </c>
      <c r="F214" s="22">
        <f>IF($C214="","",IFERROR(INDEX(DATA_MASTER!$L$2:$L$5000,MATCH($C214,DATA_MASTER!$D$2:$D$5000,0)),"ZM"))</f>
        <v/>
      </c>
      <c r="G214" s="24" t="inlineStr">
        <is>
          <t>Sữa Aptamil 380g</t>
        </is>
      </c>
      <c r="H214" s="24" t="n">
        <v>1</v>
      </c>
      <c r="I214" s="30" t="n">
        <v>320000</v>
      </c>
      <c r="J214" s="23">
        <f>IF(OR($H214="",$I214=""),"",$H214*$I214)</f>
        <v/>
      </c>
      <c r="K214" s="24" t="inlineStr">
        <is>
          <t>Chuyển khoản QR</t>
        </is>
      </c>
      <c r="L214" s="24" t="inlineStr">
        <is>
          <t>Đã chuyển khoản</t>
        </is>
      </c>
      <c r="M214" s="29" t="inlineStr">
        <is>
          <t>10/02/2026</t>
        </is>
      </c>
      <c r="N214" s="28" t="inlineStr">
        <is>
          <t>0961359262</t>
        </is>
      </c>
      <c r="O214" s="24" t="inlineStr">
        <is>
          <t>Trương Thị Ngọc Linh</t>
        </is>
      </c>
      <c r="P214" s="24" t="inlineStr">
        <is>
          <t>39/2 ấp16,xã Hóc Môn, Tphcm, HCM</t>
        </is>
      </c>
      <c r="Q214" s="24" t="inlineStr">
        <is>
          <t>Đang giao</t>
        </is>
      </c>
      <c r="R214" s="24" t="inlineStr">
        <is>
          <t>Voi Con</t>
        </is>
      </c>
      <c r="S214" s="22">
        <f>IF(AND($A214="",$C214=""),"",IF($A214="","Thiếu mã đơn; ","")&amp;IF(COUNTIF($A$2:$A214,$A214)&gt;1,"Trùng mã đơn; ","")&amp;IF(COUNTIF($C$2:$C214,$C214)&gt;1,"Trùng SĐT; ","")&amp;IF(ISNA(MATCH($C214,DATA_MASTER!$D$2:$D$5000,0)),"SĐT chưa đăng ký hội viên; ","")&amp;IF(AND($L214="Đã chuyển khoản",$M214=""),"Thiếu ngày nhận CK; ",""))</f>
        <v/>
      </c>
      <c r="T214" s="24" t="inlineStr">
        <is>
          <t>ĐVVC: J&amp;T | Mã VĐ: 801114507858 | POD: https://drive.google.com/drive/folders/14YqSb9mohXWUMATpBaLAocW_7uBLVQM8</t>
        </is>
      </c>
    </row>
    <row r="215" ht="14.25" customHeight="1" s="40">
      <c r="A215" s="24" t="n">
        <v>214</v>
      </c>
      <c r="B215" s="29" t="inlineStr">
        <is>
          <t>10/02/2026</t>
        </is>
      </c>
      <c r="C215" s="28" t="inlineStr">
        <is>
          <t>0942616514</t>
        </is>
      </c>
      <c r="D215" s="22">
        <f>IF($C215="","",IFERROR(INDEX(DATA_MASTER!$C$2:$C$5000,MATCH($C215,DATA_MASTER!$D$2:$D$5000,0)),"Trần Huỳnh Như"))</f>
        <v/>
      </c>
      <c r="E215" s="22">
        <f>IF($C215="","",IFERROR(INDEX(DATA_MASTER!$I$2:$I$5000,MATCH($C215,DATA_MASTER!$D$2:$D$5000,0)),""))</f>
        <v/>
      </c>
      <c r="F215" s="22">
        <f>IF($C215="","",IFERROR(INDEX(DATA_MASTER!$L$2:$L$5000,MATCH($C215,DATA_MASTER!$D$2:$D$5000,0)),"ZM"))</f>
        <v/>
      </c>
      <c r="G215" s="24" t="inlineStr">
        <is>
          <t>Sữa Aptamil 380g</t>
        </is>
      </c>
      <c r="H215" s="24" t="n">
        <v>1</v>
      </c>
      <c r="I215" s="30" t="n">
        <v>320000</v>
      </c>
      <c r="J215" s="23">
        <f>IF(OR($H215="",$I215=""),"",$H215*$I215)</f>
        <v/>
      </c>
      <c r="K215" s="24" t="inlineStr">
        <is>
          <t>Chuyển khoản QR</t>
        </is>
      </c>
      <c r="L215" s="24" t="inlineStr">
        <is>
          <t>Chờ chuyển khoản</t>
        </is>
      </c>
      <c r="M215" s="29" t="inlineStr">
        <is>
          <t>10/02/2026</t>
        </is>
      </c>
      <c r="N215" s="28" t="inlineStr">
        <is>
          <t>0942616514</t>
        </is>
      </c>
      <c r="O215" s="24" t="inlineStr">
        <is>
          <t>Trần Huỳnh Như</t>
        </is>
      </c>
      <c r="P215" s="24" t="inlineStr">
        <is>
          <t>ấp Mới 1, xã Mỹ Hạnh Nam, Long An</t>
        </is>
      </c>
      <c r="Q215" s="24" t="inlineStr">
        <is>
          <t>Chờ giao</t>
        </is>
      </c>
      <c r="R215" s="24" t="inlineStr">
        <is>
          <t>Long Châu</t>
        </is>
      </c>
      <c r="S215" s="22">
        <f>IF(AND($A215="",$C215=""),"",IF($A215="","Thiếu mã đơn; ","")&amp;IF(COUNTIF($A$2:$A215,$A215)&gt;1,"Trùng mã đơn; ","")&amp;IF(COUNTIF($C$2:$C215,$C215)&gt;1,"Trùng SĐT; ","")&amp;IF(ISNA(MATCH($C215,DATA_MASTER!$D$2:$D$5000,0)),"SĐT chưa đăng ký hội viên; ","")&amp;IF(AND($L215="Đã chuyển khoản",$M215=""),"Thiếu ngày nhận CK; ",""))</f>
        <v/>
      </c>
      <c r="T215" s="24" t="inlineStr"/>
    </row>
    <row r="216" ht="14.25" customHeight="1" s="40">
      <c r="A216" s="24" t="n">
        <v>215</v>
      </c>
      <c r="B216" s="29" t="inlineStr">
        <is>
          <t>10/02/2026</t>
        </is>
      </c>
      <c r="C216" s="28" t="inlineStr">
        <is>
          <t>0972477517</t>
        </is>
      </c>
      <c r="D216" s="22">
        <f>IF($C216="","",IFERROR(INDEX(DATA_MASTER!$C$2:$C$5000,MATCH($C216,DATA_MASTER!$D$2:$D$5000,0)),"Trần Thị Hồng Nhung"))</f>
        <v/>
      </c>
      <c r="E216" s="22">
        <f>IF($C216="","",IFERROR(INDEX(DATA_MASTER!$I$2:$I$5000,MATCH($C216,DATA_MASTER!$D$2:$D$5000,0)),""))</f>
        <v/>
      </c>
      <c r="F216" s="22">
        <f>IF($C216="","",IFERROR(INDEX(DATA_MASTER!$L$2:$L$5000,MATCH($C216,DATA_MASTER!$D$2:$D$5000,0)),"ZM"))</f>
        <v/>
      </c>
      <c r="G216" s="24" t="inlineStr">
        <is>
          <t>Sữa Aptamil 380g</t>
        </is>
      </c>
      <c r="H216" s="24" t="n">
        <v>1</v>
      </c>
      <c r="I216" s="30" t="n">
        <v>320000</v>
      </c>
      <c r="J216" s="23">
        <f>IF(OR($H216="",$I216=""),"",$H216*$I216)</f>
        <v/>
      </c>
      <c r="K216" s="24" t="inlineStr">
        <is>
          <t>Chuyển khoản QR</t>
        </is>
      </c>
      <c r="L216" s="24" t="inlineStr">
        <is>
          <t>Đã chuyển khoản</t>
        </is>
      </c>
      <c r="M216" s="29" t="inlineStr">
        <is>
          <t>10/02/2026</t>
        </is>
      </c>
      <c r="N216" s="28" t="inlineStr">
        <is>
          <t>0972477517</t>
        </is>
      </c>
      <c r="O216" s="24" t="inlineStr">
        <is>
          <t>Trần Thị Hồng Nhung</t>
        </is>
      </c>
      <c r="P216" s="24" t="inlineStr">
        <is>
          <t>75 đường số 1 ấp bầu sim xã củ chi, HCM</t>
        </is>
      </c>
      <c r="Q216" s="24" t="inlineStr">
        <is>
          <t>Đã giao</t>
        </is>
      </c>
      <c r="R216" s="24" t="inlineStr">
        <is>
          <t>Voi Con</t>
        </is>
      </c>
      <c r="S216" s="22">
        <f>IF(AND($A216="",$C216=""),"",IF($A216="","Thiếu mã đơn; ","")&amp;IF(COUNTIF($A$2:$A216,$A216)&gt;1,"Trùng mã đơn; ","")&amp;IF(COUNTIF($C$2:$C216,$C216)&gt;1,"Trùng SĐT; ","")&amp;IF(ISNA(MATCH($C216,DATA_MASTER!$D$2:$D$5000,0)),"SĐT chưa đăng ký hội viên; ","")&amp;IF(AND($L216="Đã chuyển khoản",$M216=""),"Thiếu ngày nhận CK; ",""))</f>
        <v/>
      </c>
      <c r="T216" s="24" t="inlineStr">
        <is>
          <t>ĐVVC: J&amp;T | Mã VĐ: 801114433005 | POD: https://drive.google.com/drive/folders/14YqSb9mohXWUMATpBaLAocW_7uBLVQM8</t>
        </is>
      </c>
    </row>
    <row r="217" ht="14.25" customHeight="1" s="40">
      <c r="A217" s="24" t="n">
        <v>216</v>
      </c>
      <c r="B217" s="29" t="inlineStr">
        <is>
          <t>10/02/2026</t>
        </is>
      </c>
      <c r="C217" s="28" t="inlineStr">
        <is>
          <t>0364900046</t>
        </is>
      </c>
      <c r="D217" s="22">
        <f>IF($C217="","",IFERROR(INDEX(DATA_MASTER!$C$2:$C$5000,MATCH($C217,DATA_MASTER!$D$2:$D$5000,0)),"Nguyễn Đặng Huỳnh Như"))</f>
        <v/>
      </c>
      <c r="E217" s="22">
        <f>IF($C217="","",IFERROR(INDEX(DATA_MASTER!$I$2:$I$5000,MATCH($C217,DATA_MASTER!$D$2:$D$5000,0)),""))</f>
        <v/>
      </c>
      <c r="F217" s="22">
        <f>IF($C217="","",IFERROR(INDEX(DATA_MASTER!$L$2:$L$5000,MATCH($C217,DATA_MASTER!$D$2:$D$5000,0)),"ZM"))</f>
        <v/>
      </c>
      <c r="G217" s="24" t="inlineStr">
        <is>
          <t>Sữa Aptamil 380g</t>
        </is>
      </c>
      <c r="H217" s="24" t="n">
        <v>1</v>
      </c>
      <c r="I217" s="30" t="n">
        <v>320000</v>
      </c>
      <c r="J217" s="23">
        <f>IF(OR($H217="",$I217=""),"",$H217*$I217)</f>
        <v/>
      </c>
      <c r="K217" s="24" t="inlineStr">
        <is>
          <t>Chuyển khoản QR</t>
        </is>
      </c>
      <c r="L217" s="24" t="inlineStr">
        <is>
          <t>Đã chuyển khoản</t>
        </is>
      </c>
      <c r="M217" s="29" t="inlineStr">
        <is>
          <t>10/02/2026</t>
        </is>
      </c>
      <c r="N217" s="28" t="inlineStr">
        <is>
          <t>0364900046</t>
        </is>
      </c>
      <c r="O217" s="24" t="inlineStr">
        <is>
          <t>Nguyễn Đặng Huỳnh Như</t>
        </is>
      </c>
      <c r="P217" s="24" t="inlineStr">
        <is>
          <t>ấp Phú Hòa, Nhơn Phú, Vĩnh Long</t>
        </is>
      </c>
      <c r="Q217" s="24" t="inlineStr">
        <is>
          <t>Chờ giao</t>
        </is>
      </c>
      <c r="R217" s="24" t="inlineStr">
        <is>
          <t>Thế Giới Sơ Sinh</t>
        </is>
      </c>
      <c r="S217" s="22">
        <f>IF(AND($A217="",$C217=""),"",IF($A217="","Thiếu mã đơn; ","")&amp;IF(COUNTIF($A$2:$A217,$A217)&gt;1,"Trùng mã đơn; ","")&amp;IF(COUNTIF($C$2:$C217,$C217)&gt;1,"Trùng SĐT; ","")&amp;IF(ISNA(MATCH($C217,DATA_MASTER!$D$2:$D$5000,0)),"SĐT chưa đăng ký hội viên; ","")&amp;IF(AND($L217="Đã chuyển khoản",$M217=""),"Thiếu ngày nhận CK; ",""))</f>
        <v/>
      </c>
      <c r="T217" s="24" t="inlineStr">
        <is>
          <t>Bill: https://drive.google.com/drive/folders/1W8bQQwxUHpuF5fl7wI2xTsZs2jM40sKL</t>
        </is>
      </c>
    </row>
    <row r="218" ht="14.25" customHeight="1" s="40">
      <c r="A218" s="24" t="n">
        <v>217</v>
      </c>
      <c r="B218" s="29" t="inlineStr">
        <is>
          <t>10/02/2026</t>
        </is>
      </c>
      <c r="C218" s="28" t="inlineStr">
        <is>
          <t>0979841545</t>
        </is>
      </c>
      <c r="D218" s="22">
        <f>IF($C218="","",IFERROR(INDEX(DATA_MASTER!$C$2:$C$5000,MATCH($C218,DATA_MASTER!$D$2:$D$5000,0)),"Nguyễn Thị Kiều Oanh"))</f>
        <v/>
      </c>
      <c r="E218" s="22">
        <f>IF($C218="","",IFERROR(INDEX(DATA_MASTER!$I$2:$I$5000,MATCH($C218,DATA_MASTER!$D$2:$D$5000,0)),""))</f>
        <v/>
      </c>
      <c r="F218" s="22">
        <f>IF($C218="","",IFERROR(INDEX(DATA_MASTER!$L$2:$L$5000,MATCH($C218,DATA_MASTER!$D$2:$D$5000,0)),"ZM"))</f>
        <v/>
      </c>
      <c r="G218" s="24" t="inlineStr">
        <is>
          <t>Sữa Aptamil 380g</t>
        </is>
      </c>
      <c r="H218" s="24" t="n">
        <v>1</v>
      </c>
      <c r="I218" s="30" t="n">
        <v>320000</v>
      </c>
      <c r="J218" s="23">
        <f>IF(OR($H218="",$I218=""),"",$H218*$I218)</f>
        <v/>
      </c>
      <c r="K218" s="24" t="inlineStr">
        <is>
          <t>Chuyển khoản QR</t>
        </is>
      </c>
      <c r="L218" s="24" t="inlineStr">
        <is>
          <t>Chờ chuyển khoản</t>
        </is>
      </c>
      <c r="M218" s="29" t="inlineStr">
        <is>
          <t>10/02/2026</t>
        </is>
      </c>
      <c r="N218" s="28" t="inlineStr">
        <is>
          <t>0979841545</t>
        </is>
      </c>
      <c r="O218" s="24" t="inlineStr">
        <is>
          <t>Nguyễn Thị Kiều Oanh</t>
        </is>
      </c>
      <c r="P218" s="24" t="inlineStr">
        <is>
          <t>Hẻm 22. đường Phạm Hùng, P. Long Châu, Tp. Vĩnh Long</t>
        </is>
      </c>
      <c r="Q218" s="24" t="inlineStr">
        <is>
          <t>Chờ giao</t>
        </is>
      </c>
      <c r="R218" s="24" t="inlineStr">
        <is>
          <t>Nhà Của Gạo</t>
        </is>
      </c>
      <c r="S218" s="22">
        <f>IF(AND($A218="",$C218=""),"",IF($A218="","Thiếu mã đơn; ","")&amp;IF(COUNTIF($A$2:$A218,$A218)&gt;1,"Trùng mã đơn; ","")&amp;IF(COUNTIF($C$2:$C218,$C218)&gt;1,"Trùng SĐT; ","")&amp;IF(ISNA(MATCH($C218,DATA_MASTER!$D$2:$D$5000,0)),"SĐT chưa đăng ký hội viên; ","")&amp;IF(AND($L218="Đã chuyển khoản",$M218=""),"Thiếu ngày nhận CK; ",""))</f>
        <v/>
      </c>
      <c r="T218" s="24" t="inlineStr"/>
    </row>
    <row r="219" ht="14.25" customHeight="1" s="40">
      <c r="A219" s="24" t="n">
        <v>218</v>
      </c>
      <c r="B219" s="29" t="inlineStr">
        <is>
          <t>10/02/2026</t>
        </is>
      </c>
      <c r="C219" s="28" t="inlineStr">
        <is>
          <t>0398089425</t>
        </is>
      </c>
      <c r="D219" s="22">
        <f>IF($C219="","",IFERROR(INDEX(DATA_MASTER!$C$2:$C$5000,MATCH($C219,DATA_MASTER!$D$2:$D$5000,0)),"Nguyễn Thanh Ngân"))</f>
        <v/>
      </c>
      <c r="E219" s="22">
        <f>IF($C219="","",IFERROR(INDEX(DATA_MASTER!$I$2:$I$5000,MATCH($C219,DATA_MASTER!$D$2:$D$5000,0)),""))</f>
        <v/>
      </c>
      <c r="F219" s="22">
        <f>IF($C219="","",IFERROR(INDEX(DATA_MASTER!$L$2:$L$5000,MATCH($C219,DATA_MASTER!$D$2:$D$5000,0)),"ZM"))</f>
        <v/>
      </c>
      <c r="G219" s="24" t="inlineStr">
        <is>
          <t>Sữa Aptamil 380g</t>
        </is>
      </c>
      <c r="H219" s="24" t="n">
        <v>1</v>
      </c>
      <c r="I219" s="30" t="n">
        <v>320000</v>
      </c>
      <c r="J219" s="23">
        <f>IF(OR($H219="",$I219=""),"",$H219*$I219)</f>
        <v/>
      </c>
      <c r="K219" s="24" t="inlineStr">
        <is>
          <t>Chuyển khoản QR</t>
        </is>
      </c>
      <c r="L219" s="24" t="inlineStr">
        <is>
          <t>Chờ chuyển khoản</t>
        </is>
      </c>
      <c r="M219" s="29" t="inlineStr">
        <is>
          <t>10/02/2026</t>
        </is>
      </c>
      <c r="N219" s="28" t="inlineStr">
        <is>
          <t>0398089425</t>
        </is>
      </c>
      <c r="O219" s="24" t="inlineStr">
        <is>
          <t>Nguyễn Thanh Ngân</t>
        </is>
      </c>
      <c r="P219" s="24" t="inlineStr">
        <is>
          <t>cầu Gạch Nguyệt, Tân Ngãi, Vĩnh Long</t>
        </is>
      </c>
      <c r="Q219" s="24" t="inlineStr">
        <is>
          <t>Chờ giao</t>
        </is>
      </c>
      <c r="R219" s="24" t="inlineStr">
        <is>
          <t>Nhà Của Gạo</t>
        </is>
      </c>
      <c r="S219" s="22">
        <f>IF(AND($A219="",$C219=""),"",IF($A219="","Thiếu mã đơn; ","")&amp;IF(COUNTIF($A$2:$A219,$A219)&gt;1,"Trùng mã đơn; ","")&amp;IF(COUNTIF($C$2:$C219,$C219)&gt;1,"Trùng SĐT; ","")&amp;IF(ISNA(MATCH($C219,DATA_MASTER!$D$2:$D$5000,0)),"SĐT chưa đăng ký hội viên; ","")&amp;IF(AND($L219="Đã chuyển khoản",$M219=""),"Thiếu ngày nhận CK; ",""))</f>
        <v/>
      </c>
      <c r="T219" s="24" t="inlineStr"/>
    </row>
    <row r="220" ht="14.25" customHeight="1" s="40">
      <c r="A220" s="24" t="n">
        <v>219</v>
      </c>
      <c r="B220" s="29" t="inlineStr">
        <is>
          <t>10/02/2026</t>
        </is>
      </c>
      <c r="C220" s="28" t="inlineStr">
        <is>
          <t>0984797912</t>
        </is>
      </c>
      <c r="D220" s="22">
        <f>IF($C220="","",IFERROR(INDEX(DATA_MASTER!$C$2:$C$5000,MATCH($C220,DATA_MASTER!$D$2:$D$5000,0)),"Phạm Thị Bích huyền"))</f>
        <v/>
      </c>
      <c r="E220" s="22">
        <f>IF($C220="","",IFERROR(INDEX(DATA_MASTER!$I$2:$I$5000,MATCH($C220,DATA_MASTER!$D$2:$D$5000,0)),""))</f>
        <v/>
      </c>
      <c r="F220" s="22">
        <f>IF($C220="","",IFERROR(INDEX(DATA_MASTER!$L$2:$L$5000,MATCH($C220,DATA_MASTER!$D$2:$D$5000,0)),"ZM"))</f>
        <v/>
      </c>
      <c r="G220" s="24" t="inlineStr">
        <is>
          <t>Sữa Aptamil 380g</t>
        </is>
      </c>
      <c r="H220" s="24" t="n">
        <v>1</v>
      </c>
      <c r="I220" s="30" t="n">
        <v>320000</v>
      </c>
      <c r="J220" s="23">
        <f>IF(OR($H220="",$I220=""),"",$H220*$I220)</f>
        <v/>
      </c>
      <c r="K220" s="24" t="inlineStr">
        <is>
          <t>Chuyển khoản QR</t>
        </is>
      </c>
      <c r="L220" s="24" t="inlineStr">
        <is>
          <t>Chờ chuyển khoản</t>
        </is>
      </c>
      <c r="M220" s="29" t="inlineStr">
        <is>
          <t>10/02/2026</t>
        </is>
      </c>
      <c r="N220" s="28" t="inlineStr">
        <is>
          <t>0984797912</t>
        </is>
      </c>
      <c r="O220" s="24" t="inlineStr">
        <is>
          <t>Phạm Thị Bích huyền</t>
        </is>
      </c>
      <c r="P220" s="24" t="inlineStr">
        <is>
          <t>79/1 Nguyễn Văn Lâu, P. Long Châu, tp. Vĩnh Long</t>
        </is>
      </c>
      <c r="Q220" s="24" t="inlineStr">
        <is>
          <t>Chờ giao</t>
        </is>
      </c>
      <c r="R220" s="24" t="inlineStr">
        <is>
          <t>Nhà Của Gạo</t>
        </is>
      </c>
      <c r="S220" s="22">
        <f>IF(AND($A220="",$C220=""),"",IF($A220="","Thiếu mã đơn; ","")&amp;IF(COUNTIF($A$2:$A220,$A220)&gt;1,"Trùng mã đơn; ","")&amp;IF(COUNTIF($C$2:$C220,$C220)&gt;1,"Trùng SĐT; ","")&amp;IF(ISNA(MATCH($C220,DATA_MASTER!$D$2:$D$5000,0)),"SĐT chưa đăng ký hội viên; ","")&amp;IF(AND($L220="Đã chuyển khoản",$M220=""),"Thiếu ngày nhận CK; ",""))</f>
        <v/>
      </c>
      <c r="T220" s="24" t="inlineStr"/>
    </row>
    <row r="221" ht="14.25" customHeight="1" s="40">
      <c r="A221" s="24" t="n">
        <v>220</v>
      </c>
      <c r="B221" s="29" t="inlineStr">
        <is>
          <t>10/02/2026</t>
        </is>
      </c>
      <c r="C221" s="28" t="inlineStr">
        <is>
          <t>0941230859</t>
        </is>
      </c>
      <c r="D221" s="22">
        <f>IF($C221="","",IFERROR(INDEX(DATA_MASTER!$C$2:$C$5000,MATCH($C221,DATA_MASTER!$D$2:$D$5000,0)),"Võ Ngọc Thiên Nghi"))</f>
        <v/>
      </c>
      <c r="E221" s="22">
        <f>IF($C221="","",IFERROR(INDEX(DATA_MASTER!$I$2:$I$5000,MATCH($C221,DATA_MASTER!$D$2:$D$5000,0)),""))</f>
        <v/>
      </c>
      <c r="F221" s="22">
        <f>IF($C221="","",IFERROR(INDEX(DATA_MASTER!$L$2:$L$5000,MATCH($C221,DATA_MASTER!$D$2:$D$5000,0)),"ZM"))</f>
        <v/>
      </c>
      <c r="G221" s="24" t="inlineStr">
        <is>
          <t>Sữa Aptamil 380g</t>
        </is>
      </c>
      <c r="H221" s="24" t="n">
        <v>1</v>
      </c>
      <c r="I221" s="30" t="n">
        <v>320000</v>
      </c>
      <c r="J221" s="23">
        <f>IF(OR($H221="",$I221=""),"",$H221*$I221)</f>
        <v/>
      </c>
      <c r="K221" s="24" t="inlineStr">
        <is>
          <t>Chuyển khoản QR</t>
        </is>
      </c>
      <c r="L221" s="24" t="inlineStr">
        <is>
          <t>Chờ chuyển khoản</t>
        </is>
      </c>
      <c r="M221" s="29" t="inlineStr">
        <is>
          <t>10/02/2026</t>
        </is>
      </c>
      <c r="N221" s="28" t="inlineStr">
        <is>
          <t>0941230859</t>
        </is>
      </c>
      <c r="O221" s="24" t="inlineStr">
        <is>
          <t>Võ Ngọc Thiên Nghi</t>
        </is>
      </c>
      <c r="P221" s="24" t="inlineStr">
        <is>
          <t>ấp An Lạc, xã Mỹ Lợi, tỉnh Đồng Tháp</t>
        </is>
      </c>
      <c r="Q221" s="24" t="inlineStr">
        <is>
          <t>Chờ giao</t>
        </is>
      </c>
      <c r="R221" s="24" t="inlineStr">
        <is>
          <t>Nous Baby</t>
        </is>
      </c>
      <c r="S221" s="22">
        <f>IF(AND($A221="",$C221=""),"",IF($A221="","Thiếu mã đơn; ","")&amp;IF(COUNTIF($A$2:$A221,$A221)&gt;1,"Trùng mã đơn; ","")&amp;IF(COUNTIF($C$2:$C221,$C221)&gt;1,"Trùng SĐT; ","")&amp;IF(ISNA(MATCH($C221,DATA_MASTER!$D$2:$D$5000,0)),"SĐT chưa đăng ký hội viên; ","")&amp;IF(AND($L221="Đã chuyển khoản",$M221=""),"Thiếu ngày nhận CK; ",""))</f>
        <v/>
      </c>
      <c r="T221" s="24" t="inlineStr"/>
    </row>
    <row r="222" ht="14.25" customHeight="1" s="40">
      <c r="A222" s="24" t="n">
        <v>221</v>
      </c>
      <c r="B222" s="29" t="inlineStr">
        <is>
          <t>10/02/2026</t>
        </is>
      </c>
      <c r="C222" s="28" t="inlineStr">
        <is>
          <t>0832153839</t>
        </is>
      </c>
      <c r="D222" s="22">
        <f>IF($C222="","",IFERROR(INDEX(DATA_MASTER!$C$2:$C$5000,MATCH($C222,DATA_MASTER!$D$2:$D$5000,0)),"Nguyễn Thị Thanh Ngân"))</f>
        <v/>
      </c>
      <c r="E222" s="22">
        <f>IF($C222="","",IFERROR(INDEX(DATA_MASTER!$I$2:$I$5000,MATCH($C222,DATA_MASTER!$D$2:$D$5000,0)),""))</f>
        <v/>
      </c>
      <c r="F222" s="22">
        <f>IF($C222="","",IFERROR(INDEX(DATA_MASTER!$L$2:$L$5000,MATCH($C222,DATA_MASTER!$D$2:$D$5000,0)),"ZM"))</f>
        <v/>
      </c>
      <c r="G222" s="24" t="inlineStr">
        <is>
          <t>Sữa Aptamil 380g</t>
        </is>
      </c>
      <c r="H222" s="24" t="n">
        <v>1</v>
      </c>
      <c r="I222" s="30" t="n">
        <v>320000</v>
      </c>
      <c r="J222" s="23">
        <f>IF(OR($H222="",$I222=""),"",$H222*$I222)</f>
        <v/>
      </c>
      <c r="K222" s="24" t="inlineStr">
        <is>
          <t>Chuyển khoản QR</t>
        </is>
      </c>
      <c r="L222" s="24" t="inlineStr">
        <is>
          <t>Chờ chuyển khoản</t>
        </is>
      </c>
      <c r="M222" s="29" t="inlineStr">
        <is>
          <t>10/02/2026</t>
        </is>
      </c>
      <c r="N222" s="28" t="inlineStr">
        <is>
          <t>0832153839</t>
        </is>
      </c>
      <c r="O222" s="24" t="inlineStr">
        <is>
          <t>Nguyễn Thị Thanh Ngân</t>
        </is>
      </c>
      <c r="P222" s="24" t="inlineStr">
        <is>
          <t>ấp Bình Tiền 1, xã Đức Hòa, tỉnh Tây Ninh</t>
        </is>
      </c>
      <c r="Q222" s="24" t="inlineStr">
        <is>
          <t>Chờ giao</t>
        </is>
      </c>
      <c r="R222" s="24" t="inlineStr">
        <is>
          <t>Long Châu</t>
        </is>
      </c>
      <c r="S222" s="22">
        <f>IF(AND($A222="",$C222=""),"",IF($A222="","Thiếu mã đơn; ","")&amp;IF(COUNTIF($A$2:$A222,$A222)&gt;1,"Trùng mã đơn; ","")&amp;IF(COUNTIF($C$2:$C222,$C222)&gt;1,"Trùng SĐT; ","")&amp;IF(ISNA(MATCH($C222,DATA_MASTER!$D$2:$D$5000,0)),"SĐT chưa đăng ký hội viên; ","")&amp;IF(AND($L222="Đã chuyển khoản",$M222=""),"Thiếu ngày nhận CK; ",""))</f>
        <v/>
      </c>
      <c r="T222" s="24" t="inlineStr"/>
    </row>
    <row r="223" ht="14.25" customHeight="1" s="40">
      <c r="A223" s="24" t="n">
        <v>222</v>
      </c>
      <c r="B223" s="29" t="inlineStr">
        <is>
          <t>10/02/2026</t>
        </is>
      </c>
      <c r="C223" s="28" t="inlineStr">
        <is>
          <t>0843070810</t>
        </is>
      </c>
      <c r="D223" s="22">
        <f>IF($C223="","",IFERROR(INDEX(DATA_MASTER!$C$2:$C$5000,MATCH($C223,DATA_MASTER!$D$2:$D$5000,0)),"Hữu Thị Mỹ Tiên"))</f>
        <v/>
      </c>
      <c r="E223" s="22">
        <f>IF($C223="","",IFERROR(INDEX(DATA_MASTER!$I$2:$I$5000,MATCH($C223,DATA_MASTER!$D$2:$D$5000,0)),""))</f>
        <v/>
      </c>
      <c r="F223" s="22">
        <f>IF($C223="","",IFERROR(INDEX(DATA_MASTER!$L$2:$L$5000,MATCH($C223,DATA_MASTER!$D$2:$D$5000,0)),"ZM"))</f>
        <v/>
      </c>
      <c r="G223" s="24" t="inlineStr">
        <is>
          <t>Sữa Aptamil 380g</t>
        </is>
      </c>
      <c r="H223" s="24" t="n">
        <v>1</v>
      </c>
      <c r="I223" s="30" t="n">
        <v>320000</v>
      </c>
      <c r="J223" s="23">
        <f>IF(OR($H223="",$I223=""),"",$H223*$I223)</f>
        <v/>
      </c>
      <c r="K223" s="24" t="inlineStr">
        <is>
          <t>Chuyển khoản QR</t>
        </is>
      </c>
      <c r="L223" s="24" t="inlineStr">
        <is>
          <t>Chờ chuyển khoản</t>
        </is>
      </c>
      <c r="M223" s="29" t="inlineStr">
        <is>
          <t>10/02/2026</t>
        </is>
      </c>
      <c r="N223" s="28" t="inlineStr">
        <is>
          <t>0843070810</t>
        </is>
      </c>
      <c r="O223" s="24" t="inlineStr">
        <is>
          <t>Hữu Thị Mỹ Tiên</t>
        </is>
      </c>
      <c r="P223" s="24" t="inlineStr">
        <is>
          <t>đường số 2 nhà trọ ngọc tú, ấp Bình Tiền 1, xã Đức Hòa, (gần chợ đồn cây dương), Tây Ninh</t>
        </is>
      </c>
      <c r="Q223" s="24" t="inlineStr">
        <is>
          <t>Chờ giao</t>
        </is>
      </c>
      <c r="R223" s="24" t="inlineStr">
        <is>
          <t>Long Châu</t>
        </is>
      </c>
      <c r="S223" s="22">
        <f>IF(AND($A223="",$C223=""),"",IF($A223="","Thiếu mã đơn; ","")&amp;IF(COUNTIF($A$2:$A223,$A223)&gt;1,"Trùng mã đơn; ","")&amp;IF(COUNTIF($C$2:$C223,$C223)&gt;1,"Trùng SĐT; ","")&amp;IF(ISNA(MATCH($C223,DATA_MASTER!$D$2:$D$5000,0)),"SĐT chưa đăng ký hội viên; ","")&amp;IF(AND($L223="Đã chuyển khoản",$M223=""),"Thiếu ngày nhận CK; ",""))</f>
        <v/>
      </c>
      <c r="T223" s="24" t="inlineStr"/>
    </row>
    <row r="224" ht="14.25" customHeight="1" s="40">
      <c r="A224" s="24" t="n">
        <v>223</v>
      </c>
      <c r="B224" s="29" t="inlineStr">
        <is>
          <t>10/02/2026</t>
        </is>
      </c>
      <c r="C224" s="28" t="inlineStr">
        <is>
          <t>0385038657</t>
        </is>
      </c>
      <c r="D224" s="22">
        <f>IF($C224="","",IFERROR(INDEX(DATA_MASTER!$C$2:$C$5000,MATCH($C224,DATA_MASTER!$D$2:$D$5000,0)),"Danh Thị Khánh Ly"))</f>
        <v/>
      </c>
      <c r="E224" s="22">
        <f>IF($C224="","",IFERROR(INDEX(DATA_MASTER!$I$2:$I$5000,MATCH($C224,DATA_MASTER!$D$2:$D$5000,0)),""))</f>
        <v/>
      </c>
      <c r="F224" s="22">
        <f>IF($C224="","",IFERROR(INDEX(DATA_MASTER!$L$2:$L$5000,MATCH($C224,DATA_MASTER!$D$2:$D$5000,0)),"ZM"))</f>
        <v/>
      </c>
      <c r="G224" s="24" t="inlineStr">
        <is>
          <t>Sữa Aptamil 380g</t>
        </is>
      </c>
      <c r="H224" s="24" t="n">
        <v>1</v>
      </c>
      <c r="I224" s="30" t="n">
        <v>320000</v>
      </c>
      <c r="J224" s="23">
        <f>IF(OR($H224="",$I224=""),"",$H224*$I224)</f>
        <v/>
      </c>
      <c r="K224" s="24" t="inlineStr">
        <is>
          <t>Chuyển khoản QR</t>
        </is>
      </c>
      <c r="L224" s="24" t="inlineStr">
        <is>
          <t>Chờ chuyển khoản</t>
        </is>
      </c>
      <c r="M224" s="29" t="inlineStr">
        <is>
          <t>10/02/2026</t>
        </is>
      </c>
      <c r="N224" s="28" t="inlineStr">
        <is>
          <t>0385038657</t>
        </is>
      </c>
      <c r="O224" s="24" t="inlineStr">
        <is>
          <t>Danh Thị Khánh Ly</t>
        </is>
      </c>
      <c r="P224" s="24" t="inlineStr">
        <is>
          <t>Đường số 9, Công Ty Phúc Hảo, Đức Hoà Hạ, Long An, Tây Ninh</t>
        </is>
      </c>
      <c r="Q224" s="24" t="inlineStr">
        <is>
          <t>Chờ giao</t>
        </is>
      </c>
      <c r="R224" s="24" t="inlineStr">
        <is>
          <t>Long Châu</t>
        </is>
      </c>
      <c r="S224" s="22">
        <f>IF(AND($A224="",$C224=""),"",IF($A224="","Thiếu mã đơn; ","")&amp;IF(COUNTIF($A$2:$A224,$A224)&gt;1,"Trùng mã đơn; ","")&amp;IF(COUNTIF($C$2:$C224,$C224)&gt;1,"Trùng SĐT; ","")&amp;IF(ISNA(MATCH($C224,DATA_MASTER!$D$2:$D$5000,0)),"SĐT chưa đăng ký hội viên; ","")&amp;IF(AND($L224="Đã chuyển khoản",$M224=""),"Thiếu ngày nhận CK; ",""))</f>
        <v/>
      </c>
      <c r="T224" s="24" t="inlineStr"/>
    </row>
    <row r="225" ht="14.25" customHeight="1" s="40">
      <c r="A225" s="24" t="n">
        <v>224</v>
      </c>
      <c r="B225" s="29" t="inlineStr">
        <is>
          <t>10/02/2026</t>
        </is>
      </c>
      <c r="C225" s="28" t="inlineStr">
        <is>
          <t>0326718901</t>
        </is>
      </c>
      <c r="D225" s="22">
        <f>IF($C225="","",IFERROR(INDEX(DATA_MASTER!$C$2:$C$5000,MATCH($C225,DATA_MASTER!$D$2:$D$5000,0)),"Nguyễn Thị Minh Tâm"))</f>
        <v/>
      </c>
      <c r="E225" s="22">
        <f>IF($C225="","",IFERROR(INDEX(DATA_MASTER!$I$2:$I$5000,MATCH($C225,DATA_MASTER!$D$2:$D$5000,0)),""))</f>
        <v/>
      </c>
      <c r="F225" s="22">
        <f>IF($C225="","",IFERROR(INDEX(DATA_MASTER!$L$2:$L$5000,MATCH($C225,DATA_MASTER!$D$2:$D$5000,0)),"ZM"))</f>
        <v/>
      </c>
      <c r="G225" s="24" t="inlineStr">
        <is>
          <t>Sữa Aptamil 380g</t>
        </is>
      </c>
      <c r="H225" s="24" t="n">
        <v>1</v>
      </c>
      <c r="I225" s="30" t="n">
        <v>320000</v>
      </c>
      <c r="J225" s="23">
        <f>IF(OR($H225="",$I225=""),"",$H225*$I225)</f>
        <v/>
      </c>
      <c r="K225" s="24" t="inlineStr">
        <is>
          <t>Chuyển khoản QR</t>
        </is>
      </c>
      <c r="L225" s="24" t="inlineStr">
        <is>
          <t>Chờ chuyển khoản</t>
        </is>
      </c>
      <c r="M225" s="29" t="inlineStr">
        <is>
          <t>10/02/2026</t>
        </is>
      </c>
      <c r="N225" s="28" t="inlineStr">
        <is>
          <t>0326718901</t>
        </is>
      </c>
      <c r="O225" s="24" t="inlineStr">
        <is>
          <t>Nguyễn Thị Minh Tâm</t>
        </is>
      </c>
      <c r="P225" s="24" t="inlineStr">
        <is>
          <t>ấp cốc Rinh, Mỹ Quý, Đức Huệ, Tây Ninh</t>
        </is>
      </c>
      <c r="Q225" s="24" t="inlineStr">
        <is>
          <t>Chờ giao</t>
        </is>
      </c>
      <c r="R225" s="24" t="inlineStr">
        <is>
          <t>Long Châu</t>
        </is>
      </c>
      <c r="S225" s="22">
        <f>IF(AND($A225="",$C225=""),"",IF($A225="","Thiếu mã đơn; ","")&amp;IF(COUNTIF($A$2:$A225,$A225)&gt;1,"Trùng mã đơn; ","")&amp;IF(COUNTIF($C$2:$C225,$C225)&gt;1,"Trùng SĐT; ","")&amp;IF(ISNA(MATCH($C225,DATA_MASTER!$D$2:$D$5000,0)),"SĐT chưa đăng ký hội viên; ","")&amp;IF(AND($L225="Đã chuyển khoản",$M225=""),"Thiếu ngày nhận CK; ",""))</f>
        <v/>
      </c>
      <c r="T225" s="24" t="inlineStr"/>
    </row>
    <row r="226" ht="14.25" customHeight="1" s="40">
      <c r="A226" s="24" t="n">
        <v>225</v>
      </c>
      <c r="B226" s="29" t="inlineStr">
        <is>
          <t>10/02/2026</t>
        </is>
      </c>
      <c r="C226" s="28" t="inlineStr">
        <is>
          <t>0981500557</t>
        </is>
      </c>
      <c r="D226" s="22">
        <f>IF($C226="","",IFERROR(INDEX(DATA_MASTER!$C$2:$C$5000,MATCH($C226,DATA_MASTER!$D$2:$D$5000,0)),"Nguyễn Thị Mỹ Linh"))</f>
        <v/>
      </c>
      <c r="E226" s="22">
        <f>IF($C226="","",IFERROR(INDEX(DATA_MASTER!$I$2:$I$5000,MATCH($C226,DATA_MASTER!$D$2:$D$5000,0)),""))</f>
        <v/>
      </c>
      <c r="F226" s="22">
        <f>IF($C226="","",IFERROR(INDEX(DATA_MASTER!$L$2:$L$5000,MATCH($C226,DATA_MASTER!$D$2:$D$5000,0)),"ZM"))</f>
        <v/>
      </c>
      <c r="G226" s="24" t="inlineStr">
        <is>
          <t>Sữa Aptamil 380g</t>
        </is>
      </c>
      <c r="H226" s="24" t="n">
        <v>1</v>
      </c>
      <c r="I226" s="30" t="n">
        <v>320000</v>
      </c>
      <c r="J226" s="23">
        <f>IF(OR($H226="",$I226=""),"",$H226*$I226)</f>
        <v/>
      </c>
      <c r="K226" s="24" t="inlineStr">
        <is>
          <t>Chuyển khoản QR</t>
        </is>
      </c>
      <c r="L226" s="24" t="inlineStr">
        <is>
          <t>Đã chuyển khoản</t>
        </is>
      </c>
      <c r="M226" s="29" t="inlineStr">
        <is>
          <t>10/02/2026</t>
        </is>
      </c>
      <c r="N226" s="28" t="inlineStr">
        <is>
          <t>0981500557</t>
        </is>
      </c>
      <c r="O226" s="24" t="inlineStr">
        <is>
          <t>Nguyễn Thị Mỹ Linh</t>
        </is>
      </c>
      <c r="P226" s="24" t="inlineStr">
        <is>
          <t>lk 16.47 khu đô thị hinode royal park Hoài Đức Hà Nội</t>
        </is>
      </c>
      <c r="Q226" s="24" t="inlineStr">
        <is>
          <t>Đã giao</t>
        </is>
      </c>
      <c r="R226" s="24" t="inlineStr">
        <is>
          <t>Mẹ Ơi</t>
        </is>
      </c>
      <c r="S226" s="22">
        <f>IF(AND($A226="",$C226=""),"",IF($A226="","Thiếu mã đơn; ","")&amp;IF(COUNTIF($A$2:$A226,$A226)&gt;1,"Trùng mã đơn; ","")&amp;IF(COUNTIF($C$2:$C226,$C226)&gt;1,"Trùng SĐT; ","")&amp;IF(ISNA(MATCH($C226,DATA_MASTER!$D$2:$D$5000,0)),"SĐT chưa đăng ký hội viên; ","")&amp;IF(AND($L226="Đã chuyển khoản",$M226=""),"Thiếu ngày nhận CK; ",""))</f>
        <v/>
      </c>
      <c r="T226" s="24" t="inlineStr">
        <is>
          <t>ĐVVC: spx | Mã VĐ: SPXVN06451377898A | Bill: https://drive.google.com/drive/folders/1cQLK9r-TZCzE-J1NdD0qL9t7cDhbV1oF</t>
        </is>
      </c>
    </row>
    <row r="227" ht="14.25" customHeight="1" s="40">
      <c r="A227" s="24" t="n">
        <v>226</v>
      </c>
      <c r="B227" s="29" t="inlineStr">
        <is>
          <t>10/02/2026</t>
        </is>
      </c>
      <c r="C227" s="28" t="inlineStr">
        <is>
          <t>0981711336</t>
        </is>
      </c>
      <c r="D227" s="22">
        <f>IF($C227="","",IFERROR(INDEX(DATA_MASTER!$C$2:$C$5000,MATCH($C227,DATA_MASTER!$D$2:$D$5000,0)),"hoàng thị Ngọc"))</f>
        <v/>
      </c>
      <c r="E227" s="22">
        <f>IF($C227="","",IFERROR(INDEX(DATA_MASTER!$I$2:$I$5000,MATCH($C227,DATA_MASTER!$D$2:$D$5000,0)),""))</f>
        <v/>
      </c>
      <c r="F227" s="22">
        <f>IF($C227="","",IFERROR(INDEX(DATA_MASTER!$L$2:$L$5000,MATCH($C227,DATA_MASTER!$D$2:$D$5000,0)),"ZM"))</f>
        <v/>
      </c>
      <c r="G227" s="24" t="inlineStr">
        <is>
          <t>Sữa Aptamil 380g</t>
        </is>
      </c>
      <c r="H227" s="24" t="n">
        <v>1</v>
      </c>
      <c r="I227" s="30" t="n">
        <v>320000</v>
      </c>
      <c r="J227" s="23">
        <f>IF(OR($H227="",$I227=""),"",$H227*$I227)</f>
        <v/>
      </c>
      <c r="K227" s="24" t="inlineStr">
        <is>
          <t>Chuyển khoản QR</t>
        </is>
      </c>
      <c r="L227" s="24" t="inlineStr">
        <is>
          <t>Chờ chuyển khoản</t>
        </is>
      </c>
      <c r="M227" s="29" t="inlineStr">
        <is>
          <t>10/02/2026</t>
        </is>
      </c>
      <c r="N227" s="28" t="inlineStr">
        <is>
          <t>0981711336</t>
        </is>
      </c>
      <c r="O227" s="24" t="inlineStr">
        <is>
          <t>hoàng thị Ngọc</t>
        </is>
      </c>
      <c r="P227" s="24" t="inlineStr">
        <is>
          <t>Gần quán tạp hóa gia bảo chản đồng yên Sơn Bắc Giang</t>
        </is>
      </c>
      <c r="Q227" s="24" t="inlineStr">
        <is>
          <t>Chờ giao</t>
        </is>
      </c>
      <c r="R227" s="24" t="inlineStr">
        <is>
          <t>Long Châu</t>
        </is>
      </c>
      <c r="S227" s="22">
        <f>IF(AND($A227="",$C227=""),"",IF($A227="","Thiếu mã đơn; ","")&amp;IF(COUNTIF($A$2:$A227,$A227)&gt;1,"Trùng mã đơn; ","")&amp;IF(COUNTIF($C$2:$C227,$C227)&gt;1,"Trùng SĐT; ","")&amp;IF(ISNA(MATCH($C227,DATA_MASTER!$D$2:$D$5000,0)),"SĐT chưa đăng ký hội viên; ","")&amp;IF(AND($L227="Đã chuyển khoản",$M227=""),"Thiếu ngày nhận CK; ",""))</f>
        <v/>
      </c>
      <c r="T227" s="24" t="inlineStr"/>
    </row>
    <row r="228" ht="14.25" customHeight="1" s="40">
      <c r="A228" s="24" t="n">
        <v>227</v>
      </c>
      <c r="B228" s="29" t="inlineStr">
        <is>
          <t>10/02/2026</t>
        </is>
      </c>
      <c r="C228" s="28" t="inlineStr">
        <is>
          <t>0387178928</t>
        </is>
      </c>
      <c r="D228" s="22">
        <f>IF($C228="","",IFERROR(INDEX(DATA_MASTER!$C$2:$C$5000,MATCH($C228,DATA_MASTER!$D$2:$D$5000,0)),"Huỳnh Thị Kim Thu"))</f>
        <v/>
      </c>
      <c r="E228" s="22">
        <f>IF($C228="","",IFERROR(INDEX(DATA_MASTER!$I$2:$I$5000,MATCH($C228,DATA_MASTER!$D$2:$D$5000,0)),""))</f>
        <v/>
      </c>
      <c r="F228" s="22">
        <f>IF($C228="","",IFERROR(INDEX(DATA_MASTER!$L$2:$L$5000,MATCH($C228,DATA_MASTER!$D$2:$D$5000,0)),"ZM"))</f>
        <v/>
      </c>
      <c r="G228" s="24" t="inlineStr">
        <is>
          <t>Sữa Aptamil 380g</t>
        </is>
      </c>
      <c r="H228" s="24" t="n">
        <v>1</v>
      </c>
      <c r="I228" s="30" t="n">
        <v>320000</v>
      </c>
      <c r="J228" s="23">
        <f>IF(OR($H228="",$I228=""),"",$H228*$I228)</f>
        <v/>
      </c>
      <c r="K228" s="24" t="inlineStr">
        <is>
          <t>Chuyển khoản QR</t>
        </is>
      </c>
      <c r="L228" s="24" t="inlineStr">
        <is>
          <t>Chờ chuyển khoản</t>
        </is>
      </c>
      <c r="M228" s="29" t="inlineStr">
        <is>
          <t>10/02/2026</t>
        </is>
      </c>
      <c r="N228" s="28" t="inlineStr">
        <is>
          <t>0387178928</t>
        </is>
      </c>
      <c r="O228" s="24" t="inlineStr">
        <is>
          <t>Huỳnh Thị Kim Thu</t>
        </is>
      </c>
      <c r="P228" s="24" t="inlineStr">
        <is>
          <t>Đầu khu 21 căn, ấp Tân Hòa, Xã Đức Lập, Tỉnh Tây Ninh</t>
        </is>
      </c>
      <c r="Q228" s="24" t="inlineStr">
        <is>
          <t>Chờ giao</t>
        </is>
      </c>
      <c r="R228" s="24" t="inlineStr">
        <is>
          <t>Long Châu</t>
        </is>
      </c>
      <c r="S228" s="22">
        <f>IF(AND($A228="",$C228=""),"",IF($A228="","Thiếu mã đơn; ","")&amp;IF(COUNTIF($A$2:$A228,$A228)&gt;1,"Trùng mã đơn; ","")&amp;IF(COUNTIF($C$2:$C228,$C228)&gt;1,"Trùng SĐT; ","")&amp;IF(ISNA(MATCH($C228,DATA_MASTER!$D$2:$D$5000,0)),"SĐT chưa đăng ký hội viên; ","")&amp;IF(AND($L228="Đã chuyển khoản",$M228=""),"Thiếu ngày nhận CK; ",""))</f>
        <v/>
      </c>
      <c r="T228" s="24" t="inlineStr"/>
    </row>
    <row r="229" ht="14.25" customHeight="1" s="40">
      <c r="A229" s="24" t="n">
        <v>228</v>
      </c>
      <c r="B229" s="29" t="inlineStr">
        <is>
          <t>10/02/2026</t>
        </is>
      </c>
      <c r="C229" s="28" t="inlineStr">
        <is>
          <t>0392919281</t>
        </is>
      </c>
      <c r="D229" s="22">
        <f>IF($C229="","",IFERROR(INDEX(DATA_MASTER!$C$2:$C$5000,MATCH($C229,DATA_MASTER!$D$2:$D$5000,0)),"Vũ Thị Bưởi"))</f>
        <v/>
      </c>
      <c r="E229" s="22">
        <f>IF($C229="","",IFERROR(INDEX(DATA_MASTER!$I$2:$I$5000,MATCH($C229,DATA_MASTER!$D$2:$D$5000,0)),""))</f>
        <v/>
      </c>
      <c r="F229" s="22">
        <f>IF($C229="","",IFERROR(INDEX(DATA_MASTER!$L$2:$L$5000,MATCH($C229,DATA_MASTER!$D$2:$D$5000,0)),"ZM"))</f>
        <v/>
      </c>
      <c r="G229" s="24" t="inlineStr">
        <is>
          <t>Sữa Aptamil 380g</t>
        </is>
      </c>
      <c r="H229" s="24" t="n">
        <v>1</v>
      </c>
      <c r="I229" s="30" t="n">
        <v>320000</v>
      </c>
      <c r="J229" s="23">
        <f>IF(OR($H229="",$I229=""),"",$H229*$I229)</f>
        <v/>
      </c>
      <c r="K229" s="24" t="inlineStr">
        <is>
          <t>Chuyển khoản QR</t>
        </is>
      </c>
      <c r="L229" s="24" t="inlineStr">
        <is>
          <t>Chờ chuyển khoản</t>
        </is>
      </c>
      <c r="M229" s="29" t="inlineStr">
        <is>
          <t>10/02/2026</t>
        </is>
      </c>
      <c r="N229" s="28" t="inlineStr">
        <is>
          <t>0392919281</t>
        </is>
      </c>
      <c r="O229" s="24" t="inlineStr">
        <is>
          <t>Vũ Thị Bưởi</t>
        </is>
      </c>
      <c r="P229" s="24" t="inlineStr">
        <is>
          <t>Xóm 4, thôn hưng long Nam, Đông long, Tiền Hải, Thái Bình</t>
        </is>
      </c>
      <c r="Q229" s="24" t="inlineStr">
        <is>
          <t>Chờ giao</t>
        </is>
      </c>
      <c r="R229" s="24" t="inlineStr">
        <is>
          <t>Long Châu</t>
        </is>
      </c>
      <c r="S229" s="22">
        <f>IF(AND($A229="",$C229=""),"",IF($A229="","Thiếu mã đơn; ","")&amp;IF(COUNTIF($A$2:$A229,$A229)&gt;1,"Trùng mã đơn; ","")&amp;IF(COUNTIF($C$2:$C229,$C229)&gt;1,"Trùng SĐT; ","")&amp;IF(ISNA(MATCH($C229,DATA_MASTER!$D$2:$D$5000,0)),"SĐT chưa đăng ký hội viên; ","")&amp;IF(AND($L229="Đã chuyển khoản",$M229=""),"Thiếu ngày nhận CK; ",""))</f>
        <v/>
      </c>
      <c r="T229" s="24" t="inlineStr"/>
    </row>
    <row r="230" ht="14.25" customHeight="1" s="40">
      <c r="A230" s="24" t="n">
        <v>229</v>
      </c>
      <c r="B230" s="29" t="inlineStr">
        <is>
          <t>10/02/2026</t>
        </is>
      </c>
      <c r="C230" s="28" t="inlineStr">
        <is>
          <t>0967189711</t>
        </is>
      </c>
      <c r="D230" s="22">
        <f>IF($C230="","",IFERROR(INDEX(DATA_MASTER!$C$2:$C$5000,MATCH($C230,DATA_MASTER!$D$2:$D$5000,0)),"phạm lê phương quyên"))</f>
        <v/>
      </c>
      <c r="E230" s="22">
        <f>IF($C230="","",IFERROR(INDEX(DATA_MASTER!$I$2:$I$5000,MATCH($C230,DATA_MASTER!$D$2:$D$5000,0)),""))</f>
        <v/>
      </c>
      <c r="F230" s="22">
        <f>IF($C230="","",IFERROR(INDEX(DATA_MASTER!$L$2:$L$5000,MATCH($C230,DATA_MASTER!$D$2:$D$5000,0)),"ZM"))</f>
        <v/>
      </c>
      <c r="G230" s="24" t="inlineStr">
        <is>
          <t>Sữa Aptamil 380g</t>
        </is>
      </c>
      <c r="H230" s="24" t="n">
        <v>1</v>
      </c>
      <c r="I230" s="30" t="n">
        <v>320000</v>
      </c>
      <c r="J230" s="23">
        <f>IF(OR($H230="",$I230=""),"",$H230*$I230)</f>
        <v/>
      </c>
      <c r="K230" s="24" t="inlineStr">
        <is>
          <t>Chuyển khoản QR</t>
        </is>
      </c>
      <c r="L230" s="24" t="inlineStr">
        <is>
          <t>Chờ chuyển khoản</t>
        </is>
      </c>
      <c r="M230" s="29" t="inlineStr">
        <is>
          <t>10/02/2026</t>
        </is>
      </c>
      <c r="N230" s="28" t="inlineStr">
        <is>
          <t>0967189711</t>
        </is>
      </c>
      <c r="O230" s="24" t="inlineStr">
        <is>
          <t>phạm lê phương quyên</t>
        </is>
      </c>
      <c r="P230" s="24" t="inlineStr">
        <is>
          <t>86/37 tên lửa, an lạc A, bình tân, HCM</t>
        </is>
      </c>
      <c r="Q230" s="24" t="inlineStr">
        <is>
          <t>Chờ giao</t>
        </is>
      </c>
      <c r="R230" s="24" t="inlineStr">
        <is>
          <t>Voi Con</t>
        </is>
      </c>
      <c r="S230" s="22">
        <f>IF(AND($A230="",$C230=""),"",IF($A230="","Thiếu mã đơn; ","")&amp;IF(COUNTIF($A$2:$A230,$A230)&gt;1,"Trùng mã đơn; ","")&amp;IF(COUNTIF($C$2:$C230,$C230)&gt;1,"Trùng SĐT; ","")&amp;IF(ISNA(MATCH($C230,DATA_MASTER!$D$2:$D$5000,0)),"SĐT chưa đăng ký hội viên; ","")&amp;IF(AND($L230="Đã chuyển khoản",$M230=""),"Thiếu ngày nhận CK; ",""))</f>
        <v/>
      </c>
      <c r="T230" s="24" t="inlineStr"/>
    </row>
    <row r="231" ht="14.25" customHeight="1" s="40">
      <c r="A231" s="24" t="n">
        <v>230</v>
      </c>
      <c r="B231" s="29" t="inlineStr">
        <is>
          <t>10/02/2026</t>
        </is>
      </c>
      <c r="C231" s="28" t="inlineStr">
        <is>
          <t>0911695558</t>
        </is>
      </c>
      <c r="D231" s="22">
        <f>IF($C231="","",IFERROR(INDEX(DATA_MASTER!$C$2:$C$5000,MATCH($C231,DATA_MASTER!$D$2:$D$5000,0)),"Trần Thị Phương Oanh"))</f>
        <v/>
      </c>
      <c r="E231" s="22">
        <f>IF($C231="","",IFERROR(INDEX(DATA_MASTER!$I$2:$I$5000,MATCH($C231,DATA_MASTER!$D$2:$D$5000,0)),""))</f>
        <v/>
      </c>
      <c r="F231" s="22">
        <f>IF($C231="","",IFERROR(INDEX(DATA_MASTER!$L$2:$L$5000,MATCH($C231,DATA_MASTER!$D$2:$D$5000,0)),"ZM"))</f>
        <v/>
      </c>
      <c r="G231" s="24" t="inlineStr">
        <is>
          <t>Sữa Aptamil 380g</t>
        </is>
      </c>
      <c r="H231" s="24" t="n">
        <v>1</v>
      </c>
      <c r="I231" s="30" t="n">
        <v>320000</v>
      </c>
      <c r="J231" s="23">
        <f>IF(OR($H231="",$I231=""),"",$H231*$I231)</f>
        <v/>
      </c>
      <c r="K231" s="24" t="inlineStr">
        <is>
          <t>Chuyển khoản QR</t>
        </is>
      </c>
      <c r="L231" s="24" t="inlineStr">
        <is>
          <t>Đã chuyển khoản</t>
        </is>
      </c>
      <c r="M231" s="29" t="inlineStr">
        <is>
          <t>10/02/2026</t>
        </is>
      </c>
      <c r="N231" s="28" t="inlineStr">
        <is>
          <t>0911695558</t>
        </is>
      </c>
      <c r="O231" s="24" t="inlineStr">
        <is>
          <t>Trần Thị Phương Oanh</t>
        </is>
      </c>
      <c r="P231" s="24" t="inlineStr">
        <is>
          <t>Số 2, ngách 21/90, ngõ 90, khu 3, làng giang xá, thị trấn trạm trôi, hoài đức., Hà Nội</t>
        </is>
      </c>
      <c r="Q231" s="24" t="inlineStr">
        <is>
          <t>Đã giao</t>
        </is>
      </c>
      <c r="R231" s="24" t="inlineStr">
        <is>
          <t>Sữa 3 Tốt</t>
        </is>
      </c>
      <c r="S231" s="22">
        <f>IF(AND($A231="",$C231=""),"",IF($A231="","Thiếu mã đơn; ","")&amp;IF(COUNTIF($A$2:$A231,$A231)&gt;1,"Trùng mã đơn; ","")&amp;IF(COUNTIF($C$2:$C231,$C231)&gt;1,"Trùng SĐT; ","")&amp;IF(ISNA(MATCH($C231,DATA_MASTER!$D$2:$D$5000,0)),"SĐT chưa đăng ký hội viên; ","")&amp;IF(AND($L231="Đã chuyển khoản",$M231=""),"Thiếu ngày nhận CK; ",""))</f>
        <v/>
      </c>
      <c r="T231" s="24" t="inlineStr">
        <is>
          <t>ĐVVC: Viettel Post</t>
        </is>
      </c>
    </row>
    <row r="232" ht="14.25" customHeight="1" s="40">
      <c r="A232" s="24" t="n">
        <v>231</v>
      </c>
      <c r="B232" s="29" t="inlineStr">
        <is>
          <t>10/02/2026</t>
        </is>
      </c>
      <c r="C232" s="28" t="inlineStr">
        <is>
          <t>0963902110</t>
        </is>
      </c>
      <c r="D232" s="22">
        <f>IF($C232="","",IFERROR(INDEX(DATA_MASTER!$C$2:$C$5000,MATCH($C232,DATA_MASTER!$D$2:$D$5000,0)),"Trần thị lan anh"))</f>
        <v/>
      </c>
      <c r="E232" s="22">
        <f>IF($C232="","",IFERROR(INDEX(DATA_MASTER!$I$2:$I$5000,MATCH($C232,DATA_MASTER!$D$2:$D$5000,0)),""))</f>
        <v/>
      </c>
      <c r="F232" s="22">
        <f>IF($C232="","",IFERROR(INDEX(DATA_MASTER!$L$2:$L$5000,MATCH($C232,DATA_MASTER!$D$2:$D$5000,0)),"ZM"))</f>
        <v/>
      </c>
      <c r="G232" s="24" t="inlineStr">
        <is>
          <t>Sữa Aptamil 380g</t>
        </is>
      </c>
      <c r="H232" s="24" t="n">
        <v>1</v>
      </c>
      <c r="I232" s="30" t="n">
        <v>320000</v>
      </c>
      <c r="J232" s="23">
        <f>IF(OR($H232="",$I232=""),"",$H232*$I232)</f>
        <v/>
      </c>
      <c r="K232" s="24" t="inlineStr">
        <is>
          <t>Chuyển khoản QR</t>
        </is>
      </c>
      <c r="L232" s="24" t="inlineStr">
        <is>
          <t>Đã chuyển khoản</t>
        </is>
      </c>
      <c r="M232" s="29" t="inlineStr">
        <is>
          <t>10/02/2026</t>
        </is>
      </c>
      <c r="N232" s="28" t="inlineStr">
        <is>
          <t>0963902110</t>
        </is>
      </c>
      <c r="O232" s="24" t="inlineStr">
        <is>
          <t>Trần thị lan anh</t>
        </is>
      </c>
      <c r="P232" s="24" t="inlineStr">
        <is>
          <t>Chung cư an hồng nhà số 07 lê lác 2 an hồng an dương hải phòng, Hải Phòng</t>
        </is>
      </c>
      <c r="Q232" s="24" t="inlineStr">
        <is>
          <t>Đã giao</t>
        </is>
      </c>
      <c r="R232" s="24" t="inlineStr">
        <is>
          <t>Cute Baby</t>
        </is>
      </c>
      <c r="S232" s="22">
        <f>IF(AND($A232="",$C232=""),"",IF($A232="","Thiếu mã đơn; ","")&amp;IF(COUNTIF($A$2:$A232,$A232)&gt;1,"Trùng mã đơn; ","")&amp;IF(COUNTIF($C$2:$C232,$C232)&gt;1,"Trùng SĐT; ","")&amp;IF(ISNA(MATCH($C232,DATA_MASTER!$D$2:$D$5000,0)),"SĐT chưa đăng ký hội viên; ","")&amp;IF(AND($L232="Đã chuyển khoản",$M232=""),"Thiếu ngày nhận CK; ",""))</f>
        <v/>
      </c>
      <c r="T232" s="24" t="inlineStr">
        <is>
          <t>ĐVVC: Giao hàng nhanh | Mã VĐ: GYRW6PV9</t>
        </is>
      </c>
    </row>
    <row r="233" ht="14.25" customHeight="1" s="40">
      <c r="A233" s="24" t="n">
        <v>232</v>
      </c>
      <c r="B233" s="29" t="inlineStr">
        <is>
          <t>10/02/2026</t>
        </is>
      </c>
      <c r="C233" s="28" t="inlineStr">
        <is>
          <t>0987701320</t>
        </is>
      </c>
      <c r="D233" s="22">
        <f>IF($C233="","",IFERROR(INDEX(DATA_MASTER!$C$2:$C$5000,MATCH($C233,DATA_MASTER!$D$2:$D$5000,0)),"Hồ Thị Thanh Tâm"))</f>
        <v/>
      </c>
      <c r="E233" s="22">
        <f>IF($C233="","",IFERROR(INDEX(DATA_MASTER!$I$2:$I$5000,MATCH($C233,DATA_MASTER!$D$2:$D$5000,0)),""))</f>
        <v/>
      </c>
      <c r="F233" s="22">
        <f>IF($C233="","",IFERROR(INDEX(DATA_MASTER!$L$2:$L$5000,MATCH($C233,DATA_MASTER!$D$2:$D$5000,0)),"ZM"))</f>
        <v/>
      </c>
      <c r="G233" s="24" t="inlineStr">
        <is>
          <t>Sữa Aptamil 380g</t>
        </is>
      </c>
      <c r="H233" s="24" t="n">
        <v>1</v>
      </c>
      <c r="I233" s="30" t="n">
        <v>320000</v>
      </c>
      <c r="J233" s="23">
        <f>IF(OR($H233="",$I233=""),"",$H233*$I233)</f>
        <v/>
      </c>
      <c r="K233" s="24" t="inlineStr">
        <is>
          <t>Chuyển khoản QR</t>
        </is>
      </c>
      <c r="L233" s="24" t="inlineStr">
        <is>
          <t>Chờ chuyển khoản</t>
        </is>
      </c>
      <c r="M233" s="29" t="inlineStr">
        <is>
          <t>10/02/2026</t>
        </is>
      </c>
      <c r="N233" s="28" t="inlineStr">
        <is>
          <t>0987701320</t>
        </is>
      </c>
      <c r="O233" s="24" t="inlineStr">
        <is>
          <t>Hồ Thị Thanh Tâm</t>
        </is>
      </c>
      <c r="P233" s="24" t="inlineStr">
        <is>
          <t>02 lô 1-16 D1S Oasis city, phường Thới Hòa, TP Hồ Chí Minh, Bình Dương</t>
        </is>
      </c>
      <c r="Q233" s="24" t="inlineStr">
        <is>
          <t>Chờ giao</t>
        </is>
      </c>
      <c r="R233" s="24" t="inlineStr">
        <is>
          <t>Long Châu</t>
        </is>
      </c>
      <c r="S233" s="22">
        <f>IF(AND($A233="",$C233=""),"",IF($A233="","Thiếu mã đơn; ","")&amp;IF(COUNTIF($A$2:$A233,$A233)&gt;1,"Trùng mã đơn; ","")&amp;IF(COUNTIF($C$2:$C233,$C233)&gt;1,"Trùng SĐT; ","")&amp;IF(ISNA(MATCH($C233,DATA_MASTER!$D$2:$D$5000,0)),"SĐT chưa đăng ký hội viên; ","")&amp;IF(AND($L233="Đã chuyển khoản",$M233=""),"Thiếu ngày nhận CK; ",""))</f>
        <v/>
      </c>
      <c r="T233" s="24" t="inlineStr"/>
    </row>
    <row r="234" ht="14.25" customHeight="1" s="40">
      <c r="A234" s="24" t="n">
        <v>233</v>
      </c>
      <c r="B234" s="29" t="inlineStr">
        <is>
          <t>10/02/2026</t>
        </is>
      </c>
      <c r="C234" s="28" t="inlineStr">
        <is>
          <t>0362259229</t>
        </is>
      </c>
      <c r="D234" s="22">
        <f>IF($C234="","",IFERROR(INDEX(DATA_MASTER!$C$2:$C$5000,MATCH($C234,DATA_MASTER!$D$2:$D$5000,0)),"Giáp Thị Liên"))</f>
        <v/>
      </c>
      <c r="E234" s="22">
        <f>IF($C234="","",IFERROR(INDEX(DATA_MASTER!$I$2:$I$5000,MATCH($C234,DATA_MASTER!$D$2:$D$5000,0)),""))</f>
        <v/>
      </c>
      <c r="F234" s="22">
        <f>IF($C234="","",IFERROR(INDEX(DATA_MASTER!$L$2:$L$5000,MATCH($C234,DATA_MASTER!$D$2:$D$5000,0)),"ZM"))</f>
        <v/>
      </c>
      <c r="G234" s="24" t="inlineStr">
        <is>
          <t>Sữa Aptamil 380g</t>
        </is>
      </c>
      <c r="H234" s="24" t="n">
        <v>1</v>
      </c>
      <c r="I234" s="30" t="n">
        <v>320000</v>
      </c>
      <c r="J234" s="23">
        <f>IF(OR($H234="",$I234=""),"",$H234*$I234)</f>
        <v/>
      </c>
      <c r="K234" s="24" t="inlineStr">
        <is>
          <t>Chuyển khoản QR</t>
        </is>
      </c>
      <c r="L234" s="24" t="inlineStr">
        <is>
          <t>Đã chuyển khoản</t>
        </is>
      </c>
      <c r="M234" s="29" t="inlineStr">
        <is>
          <t>10/02/2026</t>
        </is>
      </c>
      <c r="N234" s="28" t="inlineStr">
        <is>
          <t>0362259229</t>
        </is>
      </c>
      <c r="O234" s="24" t="inlineStr">
        <is>
          <t>Giáp Thị Liên</t>
        </is>
      </c>
      <c r="P234" s="24" t="inlineStr">
        <is>
          <t>A424 Toà A1, chung cư Ehome Đông Sài Gòn 1, số 86 Dương Đình Hội, Phước Long B, Thủ Đức, Tp HCM</t>
        </is>
      </c>
      <c r="Q234" s="24" t="inlineStr">
        <is>
          <t>Đã giao</t>
        </is>
      </c>
      <c r="R234" s="24" t="inlineStr">
        <is>
          <t>Voi Con</t>
        </is>
      </c>
      <c r="S234" s="22">
        <f>IF(AND($A234="",$C234=""),"",IF($A234="","Thiếu mã đơn; ","")&amp;IF(COUNTIF($A$2:$A234,$A234)&gt;1,"Trùng mã đơn; ","")&amp;IF(COUNTIF($C$2:$C234,$C234)&gt;1,"Trùng SĐT; ","")&amp;IF(ISNA(MATCH($C234,DATA_MASTER!$D$2:$D$5000,0)),"SĐT chưa đăng ký hội viên; ","")&amp;IF(AND($L234="Đã chuyển khoản",$M234=""),"Thiếu ngày nhận CK; ",""))</f>
        <v/>
      </c>
      <c r="T234" s="24" t="inlineStr">
        <is>
          <t>ĐVVC: J&amp;T | Mã VĐ: 801114421583 | POD: https://drive.google.com/drive/folders/14YqSb9mohXWUMATpBaLAocW_7uBLVQM8</t>
        </is>
      </c>
    </row>
    <row r="235" ht="14.25" customHeight="1" s="40">
      <c r="A235" s="24" t="n">
        <v>234</v>
      </c>
      <c r="B235" s="29" t="inlineStr">
        <is>
          <t>10/02/2026</t>
        </is>
      </c>
      <c r="C235" s="28" t="inlineStr">
        <is>
          <t>0961628731</t>
        </is>
      </c>
      <c r="D235" s="22">
        <f>IF($C235="","",IFERROR(INDEX(DATA_MASTER!$C$2:$C$5000,MATCH($C235,DATA_MASTER!$D$2:$D$5000,0)),"Nguyễn Mai Quỳnh"))</f>
        <v/>
      </c>
      <c r="E235" s="22">
        <f>IF($C235="","",IFERROR(INDEX(DATA_MASTER!$I$2:$I$5000,MATCH($C235,DATA_MASTER!$D$2:$D$5000,0)),""))</f>
        <v/>
      </c>
      <c r="F235" s="22">
        <f>IF($C235="","",IFERROR(INDEX(DATA_MASTER!$L$2:$L$5000,MATCH($C235,DATA_MASTER!$D$2:$D$5000,0)),"ZM"))</f>
        <v/>
      </c>
      <c r="G235" s="24" t="inlineStr">
        <is>
          <t>Sữa Aptamil 380g</t>
        </is>
      </c>
      <c r="H235" s="24" t="n">
        <v>1</v>
      </c>
      <c r="I235" s="30" t="n">
        <v>320000</v>
      </c>
      <c r="J235" s="23">
        <f>IF(OR($H235="",$I235=""),"",$H235*$I235)</f>
        <v/>
      </c>
      <c r="K235" s="24" t="inlineStr">
        <is>
          <t>Chuyển khoản QR</t>
        </is>
      </c>
      <c r="L235" s="24" t="inlineStr">
        <is>
          <t>Chờ chuyển khoản</t>
        </is>
      </c>
      <c r="M235" s="29" t="inlineStr">
        <is>
          <t>10/02/2026</t>
        </is>
      </c>
      <c r="N235" s="28" t="inlineStr">
        <is>
          <t>0961628731</t>
        </is>
      </c>
      <c r="O235" s="24" t="inlineStr">
        <is>
          <t>Nguyễn Mai Quỳnh</t>
        </is>
      </c>
      <c r="P235" s="24" t="inlineStr">
        <is>
          <t>Thôn 5 Xã Phúc Lai , huyện Đoan Hùng , Tỉnh Phú Thọ</t>
        </is>
      </c>
      <c r="Q235" s="24" t="inlineStr">
        <is>
          <t>Chờ giao</t>
        </is>
      </c>
      <c r="R235" s="24" t="inlineStr">
        <is>
          <t>Long Châu</t>
        </is>
      </c>
      <c r="S235" s="22">
        <f>IF(AND($A235="",$C235=""),"",IF($A235="","Thiếu mã đơn; ","")&amp;IF(COUNTIF($A$2:$A235,$A235)&gt;1,"Trùng mã đơn; ","")&amp;IF(COUNTIF($C$2:$C235,$C235)&gt;1,"Trùng SĐT; ","")&amp;IF(ISNA(MATCH($C235,DATA_MASTER!$D$2:$D$5000,0)),"SĐT chưa đăng ký hội viên; ","")&amp;IF(AND($L235="Đã chuyển khoản",$M235=""),"Thiếu ngày nhận CK; ",""))</f>
        <v/>
      </c>
      <c r="T235" s="24" t="inlineStr"/>
    </row>
    <row r="236" ht="14.25" customHeight="1" s="40">
      <c r="A236" s="24" t="n">
        <v>235</v>
      </c>
      <c r="B236" s="29" t="inlineStr">
        <is>
          <t>10/02/2026</t>
        </is>
      </c>
      <c r="C236" s="28" t="inlineStr">
        <is>
          <t>0326365959</t>
        </is>
      </c>
      <c r="D236" s="22">
        <f>IF($C236="","",IFERROR(INDEX(DATA_MASTER!$C$2:$C$5000,MATCH($C236,DATA_MASTER!$D$2:$D$5000,0)),"Đinh Thị Thanh Hoa"))</f>
        <v/>
      </c>
      <c r="E236" s="22">
        <f>IF($C236="","",IFERROR(INDEX(DATA_MASTER!$I$2:$I$5000,MATCH($C236,DATA_MASTER!$D$2:$D$5000,0)),""))</f>
        <v/>
      </c>
      <c r="F236" s="22">
        <f>IF($C236="","",IFERROR(INDEX(DATA_MASTER!$L$2:$L$5000,MATCH($C236,DATA_MASTER!$D$2:$D$5000,0)),"ZM"))</f>
        <v/>
      </c>
      <c r="G236" s="24" t="inlineStr">
        <is>
          <t>Sữa Aptamil 380g</t>
        </is>
      </c>
      <c r="H236" s="24" t="n">
        <v>1</v>
      </c>
      <c r="I236" s="30" t="n">
        <v>320000</v>
      </c>
      <c r="J236" s="23">
        <f>IF(OR($H236="",$I236=""),"",$H236*$I236)</f>
        <v/>
      </c>
      <c r="K236" s="24" t="inlineStr">
        <is>
          <t>Chuyển khoản QR</t>
        </is>
      </c>
      <c r="L236" s="24" t="inlineStr">
        <is>
          <t>Đã chuyển khoản</t>
        </is>
      </c>
      <c r="M236" s="29" t="inlineStr">
        <is>
          <t>10/02/2026</t>
        </is>
      </c>
      <c r="N236" s="28" t="inlineStr">
        <is>
          <t>0326365959</t>
        </is>
      </c>
      <c r="O236" s="24" t="inlineStr">
        <is>
          <t>Đinh Thị Thanh Hoa</t>
        </is>
      </c>
      <c r="P236" s="24" t="inlineStr">
        <is>
          <t>Số nhà 17b, ngõ 64, tổ 11 Mậu Lương, Kiến Hưng, Hà Đông, Hà Nội</t>
        </is>
      </c>
      <c r="Q236" s="24" t="inlineStr">
        <is>
          <t>Đã giao</t>
        </is>
      </c>
      <c r="R236" s="24" t="inlineStr">
        <is>
          <t>Sữa 3 Tốt</t>
        </is>
      </c>
      <c r="S236" s="22">
        <f>IF(AND($A236="",$C236=""),"",IF($A236="","Thiếu mã đơn; ","")&amp;IF(COUNTIF($A$2:$A236,$A236)&gt;1,"Trùng mã đơn; ","")&amp;IF(COUNTIF($C$2:$C236,$C236)&gt;1,"Trùng SĐT; ","")&amp;IF(ISNA(MATCH($C236,DATA_MASTER!$D$2:$D$5000,0)),"SĐT chưa đăng ký hội viên; ","")&amp;IF(AND($L236="Đã chuyển khoản",$M236=""),"Thiếu ngày nhận CK; ",""))</f>
        <v/>
      </c>
      <c r="T236" s="24" t="inlineStr">
        <is>
          <t>ĐVVC: Shipper riêng</t>
        </is>
      </c>
    </row>
    <row r="237" ht="14.25" customHeight="1" s="40">
      <c r="A237" s="24" t="n">
        <v>236</v>
      </c>
      <c r="B237" s="29" t="inlineStr">
        <is>
          <t>10/02/2026</t>
        </is>
      </c>
      <c r="C237" s="28" t="inlineStr">
        <is>
          <t>0812285538</t>
        </is>
      </c>
      <c r="D237" s="22">
        <f>IF($C237="","",IFERROR(INDEX(DATA_MASTER!$C$2:$C$5000,MATCH($C237,DATA_MASTER!$D$2:$D$5000,0)),"Nguyễn Thị Mỹ Duyên"))</f>
        <v/>
      </c>
      <c r="E237" s="22">
        <f>IF($C237="","",IFERROR(INDEX(DATA_MASTER!$I$2:$I$5000,MATCH($C237,DATA_MASTER!$D$2:$D$5000,0)),""))</f>
        <v/>
      </c>
      <c r="F237" s="22">
        <f>IF($C237="","",IFERROR(INDEX(DATA_MASTER!$L$2:$L$5000,MATCH($C237,DATA_MASTER!$D$2:$D$5000,0)),"ZM"))</f>
        <v/>
      </c>
      <c r="G237" s="24" t="inlineStr">
        <is>
          <t>Sữa Aptamil 380g</t>
        </is>
      </c>
      <c r="H237" s="24" t="n">
        <v>1</v>
      </c>
      <c r="I237" s="30" t="n">
        <v>320000</v>
      </c>
      <c r="J237" s="23">
        <f>IF(OR($H237="",$I237=""),"",$H237*$I237)</f>
        <v/>
      </c>
      <c r="K237" s="24" t="inlineStr">
        <is>
          <t>Chuyển khoản QR</t>
        </is>
      </c>
      <c r="L237" s="24" t="inlineStr">
        <is>
          <t>Đã chuyển khoản</t>
        </is>
      </c>
      <c r="M237" s="29" t="inlineStr">
        <is>
          <t>10/02/2026</t>
        </is>
      </c>
      <c r="N237" s="28" t="inlineStr">
        <is>
          <t>0812285538</t>
        </is>
      </c>
      <c r="O237" s="24" t="inlineStr">
        <is>
          <t>Nguyễn Thị Mỹ Duyên</t>
        </is>
      </c>
      <c r="P237" s="24" t="inlineStr">
        <is>
          <t>Thôn Minh Khai Xã An Khánh Thành phố Hải Phòng</t>
        </is>
      </c>
      <c r="Q237" s="24" t="inlineStr">
        <is>
          <t>Đã giao</t>
        </is>
      </c>
      <c r="R237" s="24" t="inlineStr">
        <is>
          <t>Cute Baby</t>
        </is>
      </c>
      <c r="S237" s="22">
        <f>IF(AND($A237="",$C237=""),"",IF($A237="","Thiếu mã đơn; ","")&amp;IF(COUNTIF($A$2:$A237,$A237)&gt;1,"Trùng mã đơn; ","")&amp;IF(COUNTIF($C$2:$C237,$C237)&gt;1,"Trùng SĐT; ","")&amp;IF(ISNA(MATCH($C237,DATA_MASTER!$D$2:$D$5000,0)),"SĐT chưa đăng ký hội viên; ","")&amp;IF(AND($L237="Đã chuyển khoản",$M237=""),"Thiếu ngày nhận CK; ",""))</f>
        <v/>
      </c>
      <c r="T237" s="24" t="inlineStr">
        <is>
          <t>ĐVVC: Giao hàng nhanh | Mã VĐ: GYRW69PK</t>
        </is>
      </c>
    </row>
    <row r="238" ht="14.25" customHeight="1" s="40">
      <c r="A238" s="24" t="n">
        <v>237</v>
      </c>
      <c r="B238" s="29" t="inlineStr">
        <is>
          <t>10/02/2026</t>
        </is>
      </c>
      <c r="C238" s="28" t="inlineStr">
        <is>
          <t>0968756463</t>
        </is>
      </c>
      <c r="D238" s="22">
        <f>IF($C238="","",IFERROR(INDEX(DATA_MASTER!$C$2:$C$5000,MATCH($C238,DATA_MASTER!$D$2:$D$5000,0)),"Đào Anh Thư"))</f>
        <v/>
      </c>
      <c r="E238" s="22">
        <f>IF($C238="","",IFERROR(INDEX(DATA_MASTER!$I$2:$I$5000,MATCH($C238,DATA_MASTER!$D$2:$D$5000,0)),""))</f>
        <v/>
      </c>
      <c r="F238" s="22">
        <f>IF($C238="","",IFERROR(INDEX(DATA_MASTER!$L$2:$L$5000,MATCH($C238,DATA_MASTER!$D$2:$D$5000,0)),"ZM"))</f>
        <v/>
      </c>
      <c r="G238" s="24" t="inlineStr">
        <is>
          <t>Sữa Aptamil 380g</t>
        </is>
      </c>
      <c r="H238" s="24" t="n">
        <v>1</v>
      </c>
      <c r="I238" s="30" t="n">
        <v>320000</v>
      </c>
      <c r="J238" s="23">
        <f>IF(OR($H238="",$I238=""),"",$H238*$I238)</f>
        <v/>
      </c>
      <c r="K238" s="24" t="inlineStr">
        <is>
          <t>Chuyển khoản QR</t>
        </is>
      </c>
      <c r="L238" s="24" t="inlineStr">
        <is>
          <t>Đã chuyển khoản</t>
        </is>
      </c>
      <c r="M238" s="29" t="inlineStr">
        <is>
          <t>10/02/2026</t>
        </is>
      </c>
      <c r="N238" s="28" t="inlineStr">
        <is>
          <t>0968756463</t>
        </is>
      </c>
      <c r="O238" s="24" t="inlineStr">
        <is>
          <t>Đào Anh Thư</t>
        </is>
      </c>
      <c r="P238" s="24" t="inlineStr">
        <is>
          <t>5 ngõ 121/48/10b Kim Ngưu, Vĩnh Tuy, Hà Nội</t>
        </is>
      </c>
      <c r="Q238" s="24" t="inlineStr">
        <is>
          <t>Đã giao</t>
        </is>
      </c>
      <c r="R238" s="24" t="inlineStr">
        <is>
          <t>Sữa 3 Tốt</t>
        </is>
      </c>
      <c r="S238" s="22">
        <f>IF(AND($A238="",$C238=""),"",IF($A238="","Thiếu mã đơn; ","")&amp;IF(COUNTIF($A$2:$A238,$A238)&gt;1,"Trùng mã đơn; ","")&amp;IF(COUNTIF($C$2:$C238,$C238)&gt;1,"Trùng SĐT; ","")&amp;IF(ISNA(MATCH($C238,DATA_MASTER!$D$2:$D$5000,0)),"SĐT chưa đăng ký hội viên; ","")&amp;IF(AND($L238="Đã chuyển khoản",$M238=""),"Thiếu ngày nhận CK; ",""))</f>
        <v/>
      </c>
      <c r="T238" s="24" t="inlineStr">
        <is>
          <t>ĐVVC: Shipper riêng</t>
        </is>
      </c>
    </row>
    <row r="239" ht="14.25" customHeight="1" s="40">
      <c r="A239" s="24" t="n">
        <v>238</v>
      </c>
      <c r="B239" s="29" t="inlineStr">
        <is>
          <t>10/02/2026</t>
        </is>
      </c>
      <c r="C239" s="28" t="inlineStr">
        <is>
          <t>0933268825</t>
        </is>
      </c>
      <c r="D239" s="22">
        <f>IF($C239="","",IFERROR(INDEX(DATA_MASTER!$C$2:$C$5000,MATCH($C239,DATA_MASTER!$D$2:$D$5000,0)),"Trương Thị Lan"))</f>
        <v/>
      </c>
      <c r="E239" s="22">
        <f>IF($C239="","",IFERROR(INDEX(DATA_MASTER!$I$2:$I$5000,MATCH($C239,DATA_MASTER!$D$2:$D$5000,0)),""))</f>
        <v/>
      </c>
      <c r="F239" s="22">
        <f>IF($C239="","",IFERROR(INDEX(DATA_MASTER!$L$2:$L$5000,MATCH($C239,DATA_MASTER!$D$2:$D$5000,0)),"ZM"))</f>
        <v/>
      </c>
      <c r="G239" s="24" t="inlineStr">
        <is>
          <t>Sữa Aptamil 380g</t>
        </is>
      </c>
      <c r="H239" s="24" t="n">
        <v>1</v>
      </c>
      <c r="I239" s="30" t="n">
        <v>320000</v>
      </c>
      <c r="J239" s="23">
        <f>IF(OR($H239="",$I239=""),"",$H239*$I239)</f>
        <v/>
      </c>
      <c r="K239" s="24" t="inlineStr">
        <is>
          <t>Chuyển khoản QR</t>
        </is>
      </c>
      <c r="L239" s="24" t="inlineStr">
        <is>
          <t>Đã chuyển khoản</t>
        </is>
      </c>
      <c r="M239" s="29" t="inlineStr">
        <is>
          <t>10/02/2026</t>
        </is>
      </c>
      <c r="N239" s="28" t="inlineStr">
        <is>
          <t>0933268825</t>
        </is>
      </c>
      <c r="O239" s="24" t="inlineStr">
        <is>
          <t>Trương Thị Lan</t>
        </is>
      </c>
      <c r="P239" s="24" t="inlineStr">
        <is>
          <t>135/43, Gò Xoài, Bình Hưng Hòa, Hồ Chí Minh, HCM</t>
        </is>
      </c>
      <c r="Q239" s="24" t="inlineStr">
        <is>
          <t>Đã giao</t>
        </is>
      </c>
      <c r="R239" s="24" t="inlineStr">
        <is>
          <t>Voi Con</t>
        </is>
      </c>
      <c r="S239" s="22">
        <f>IF(AND($A239="",$C239=""),"",IF($A239="","Thiếu mã đơn; ","")&amp;IF(COUNTIF($A$2:$A239,$A239)&gt;1,"Trùng mã đơn; ","")&amp;IF(COUNTIF($C$2:$C239,$C239)&gt;1,"Trùng SĐT; ","")&amp;IF(ISNA(MATCH($C239,DATA_MASTER!$D$2:$D$5000,0)),"SĐT chưa đăng ký hội viên; ","")&amp;IF(AND($L239="Đã chuyển khoản",$M239=""),"Thiếu ngày nhận CK; ",""))</f>
        <v/>
      </c>
      <c r="T239" s="24" t="inlineStr">
        <is>
          <t>ĐVVC: J&amp;T | Mã VĐ: 801114516789 | POD: https://drive.google.com/drive/folders/14YqSb9mohXWUMATpBaLAocW_7uBLVQM8</t>
        </is>
      </c>
    </row>
    <row r="240" ht="14.25" customHeight="1" s="40">
      <c r="A240" s="24" t="n">
        <v>239</v>
      </c>
      <c r="B240" s="29" t="inlineStr">
        <is>
          <t>10/02/2026</t>
        </is>
      </c>
      <c r="C240" s="28" t="inlineStr">
        <is>
          <t>0356186184</t>
        </is>
      </c>
      <c r="D240" s="22">
        <f>IF($C240="","",IFERROR(INDEX(DATA_MASTER!$C$2:$C$5000,MATCH($C240,DATA_MASTER!$D$2:$D$5000,0)),"Phan Thị Mỹ Anh"))</f>
        <v/>
      </c>
      <c r="E240" s="22">
        <f>IF($C240="","",IFERROR(INDEX(DATA_MASTER!$I$2:$I$5000,MATCH($C240,DATA_MASTER!$D$2:$D$5000,0)),""))</f>
        <v/>
      </c>
      <c r="F240" s="22">
        <f>IF($C240="","",IFERROR(INDEX(DATA_MASTER!$L$2:$L$5000,MATCH($C240,DATA_MASTER!$D$2:$D$5000,0)),"ZM"))</f>
        <v/>
      </c>
      <c r="G240" s="24" t="inlineStr">
        <is>
          <t>Sữa Aptamil 380g</t>
        </is>
      </c>
      <c r="H240" s="24" t="n">
        <v>1</v>
      </c>
      <c r="I240" s="30" t="n">
        <v>320000</v>
      </c>
      <c r="J240" s="23">
        <f>IF(OR($H240="",$I240=""),"",$H240*$I240)</f>
        <v/>
      </c>
      <c r="K240" s="24" t="inlineStr">
        <is>
          <t>Chuyển khoản QR</t>
        </is>
      </c>
      <c r="L240" s="24" t="inlineStr">
        <is>
          <t>Đã chuyển khoản</t>
        </is>
      </c>
      <c r="M240" s="29" t="inlineStr">
        <is>
          <t>10/02/2026</t>
        </is>
      </c>
      <c r="N240" s="28" t="inlineStr">
        <is>
          <t>0356186184</t>
        </is>
      </c>
      <c r="O240" s="24" t="inlineStr">
        <is>
          <t>Phan Thị Mỹ Anh</t>
        </is>
      </c>
      <c r="P240" s="24" t="inlineStr">
        <is>
          <t>1135/15/8 Huỳnh Tấn Phát phường Phú Thuận quận 7, HCM</t>
        </is>
      </c>
      <c r="Q240" s="24" t="inlineStr">
        <is>
          <t>Đã giao</t>
        </is>
      </c>
      <c r="R240" s="24" t="inlineStr">
        <is>
          <t>Voi Con</t>
        </is>
      </c>
      <c r="S240" s="22">
        <f>IF(AND($A240="",$C240=""),"",IF($A240="","Thiếu mã đơn; ","")&amp;IF(COUNTIF($A$2:$A240,$A240)&gt;1,"Trùng mã đơn; ","")&amp;IF(COUNTIF($C$2:$C240,$C240)&gt;1,"Trùng SĐT; ","")&amp;IF(ISNA(MATCH($C240,DATA_MASTER!$D$2:$D$5000,0)),"SĐT chưa đăng ký hội viên; ","")&amp;IF(AND($L240="Đã chuyển khoản",$M240=""),"Thiếu ngày nhận CK; ",""))</f>
        <v/>
      </c>
      <c r="T240" s="24" t="inlineStr">
        <is>
          <t>ĐVVC: J&amp;T | Mã VĐ: 801114496666 | POD: https://drive.google.com/drive/folders/14YqSb9mohXWUMATpBaLAocW_7uBLVQM8</t>
        </is>
      </c>
    </row>
    <row r="241" ht="14.25" customHeight="1" s="40">
      <c r="A241" s="24" t="n">
        <v>240</v>
      </c>
      <c r="B241" s="29" t="inlineStr">
        <is>
          <t>10/03/2026</t>
        </is>
      </c>
      <c r="C241" s="28" t="inlineStr">
        <is>
          <t>0972043695</t>
        </is>
      </c>
      <c r="D241" s="22">
        <f>IF($C241="","",IFERROR(INDEX(DATA_MASTER!$C$2:$C$5000,MATCH($C241,DATA_MASTER!$D$2:$D$5000,0)),"Vũ Ngọc Anh"))</f>
        <v/>
      </c>
      <c r="E241" s="22">
        <f>IF($C241="","",IFERROR(INDEX(DATA_MASTER!$I$2:$I$5000,MATCH($C241,DATA_MASTER!$D$2:$D$5000,0)),""))</f>
        <v/>
      </c>
      <c r="F241" s="22">
        <f>IF($C241="","",IFERROR(INDEX(DATA_MASTER!$L$2:$L$5000,MATCH($C241,DATA_MASTER!$D$2:$D$5000,0)),"ZM"))</f>
        <v/>
      </c>
      <c r="G241" s="24" t="inlineStr">
        <is>
          <t>Sữa Aptamil 380g</t>
        </is>
      </c>
      <c r="H241" s="24" t="n">
        <v>1</v>
      </c>
      <c r="I241" s="30" t="n">
        <v>320000</v>
      </c>
      <c r="J241" s="23">
        <f>IF(OR($H241="",$I241=""),"",$H241*$I241)</f>
        <v/>
      </c>
      <c r="K241" s="24" t="inlineStr">
        <is>
          <t>Chuyển khoản QR</t>
        </is>
      </c>
      <c r="L241" s="24" t="inlineStr">
        <is>
          <t>Chờ chuyển khoản</t>
        </is>
      </c>
      <c r="M241" s="29" t="inlineStr">
        <is>
          <t>10/03/2026</t>
        </is>
      </c>
      <c r="N241" s="28" t="inlineStr">
        <is>
          <t>0972043695</t>
        </is>
      </c>
      <c r="O241" s="24" t="inlineStr">
        <is>
          <t>Vũ Ngọc Anh</t>
        </is>
      </c>
      <c r="P241" s="24" t="inlineStr">
        <is>
          <t>Số 2, hẻm 268/136/4 Ngọc Thuỵ, Bồ Đề, Hà Nội</t>
        </is>
      </c>
      <c r="Q241" s="24" t="inlineStr">
        <is>
          <t>Chờ giao</t>
        </is>
      </c>
      <c r="R241" s="24" t="inlineStr">
        <is>
          <t>Mẹ Ơi</t>
        </is>
      </c>
      <c r="S241" s="22">
        <f>IF(AND($A241="",$C241=""),"",IF($A241="","Thiếu mã đơn; ","")&amp;IF(COUNTIF($A$2:$A241,$A241)&gt;1,"Trùng mã đơn; ","")&amp;IF(COUNTIF($C$2:$C241,$C241)&gt;1,"Trùng SĐT; ","")&amp;IF(ISNA(MATCH($C241,DATA_MASTER!$D$2:$D$5000,0)),"SĐT chưa đăng ký hội viên; ","")&amp;IF(AND($L241="Đã chuyển khoản",$M241=""),"Thiếu ngày nhận CK; ",""))</f>
        <v/>
      </c>
      <c r="T241" s="24" t="inlineStr"/>
    </row>
    <row r="242" ht="14.25" customHeight="1" s="40">
      <c r="A242" s="24" t="n">
        <v>241</v>
      </c>
      <c r="B242" s="29" t="inlineStr">
        <is>
          <t>10/03/2026</t>
        </is>
      </c>
      <c r="C242" s="28" t="inlineStr">
        <is>
          <t>0946743475</t>
        </is>
      </c>
      <c r="D242" s="22">
        <f>IF($C242="","",IFERROR(INDEX(DATA_MASTER!$C$2:$C$5000,MATCH($C242,DATA_MASTER!$D$2:$D$5000,0)),"Hoàng Thị Vi Khanh"))</f>
        <v/>
      </c>
      <c r="E242" s="22">
        <f>IF($C242="","",IFERROR(INDEX(DATA_MASTER!$I$2:$I$5000,MATCH($C242,DATA_MASTER!$D$2:$D$5000,0)),""))</f>
        <v/>
      </c>
      <c r="F242" s="22">
        <f>IF($C242="","",IFERROR(INDEX(DATA_MASTER!$L$2:$L$5000,MATCH($C242,DATA_MASTER!$D$2:$D$5000,0)),"ZM"))</f>
        <v/>
      </c>
      <c r="G242" s="24" t="inlineStr">
        <is>
          <t>Sữa Aptamil 380g</t>
        </is>
      </c>
      <c r="H242" s="24" t="n">
        <v>1</v>
      </c>
      <c r="I242" s="30" t="n">
        <v>320000</v>
      </c>
      <c r="J242" s="23">
        <f>IF(OR($H242="",$I242=""),"",$H242*$I242)</f>
        <v/>
      </c>
      <c r="K242" s="24" t="inlineStr">
        <is>
          <t>Chuyển khoản QR</t>
        </is>
      </c>
      <c r="L242" s="24" t="inlineStr">
        <is>
          <t>Chờ chuyển khoản</t>
        </is>
      </c>
      <c r="M242" s="29" t="inlineStr">
        <is>
          <t>10/03/2026</t>
        </is>
      </c>
      <c r="N242" s="28" t="inlineStr">
        <is>
          <t>0946743475</t>
        </is>
      </c>
      <c r="O242" s="24" t="inlineStr">
        <is>
          <t>Hoàng Thị Vi Khanh</t>
        </is>
      </c>
      <c r="P242" s="24" t="inlineStr">
        <is>
          <t>12 ngõ 5, Tân Ấp, Ba Đình, Hà Nội</t>
        </is>
      </c>
      <c r="Q242" s="24" t="inlineStr">
        <is>
          <t>Chờ giao</t>
        </is>
      </c>
      <c r="R242" s="24" t="inlineStr">
        <is>
          <t>Mẹ Ơi</t>
        </is>
      </c>
      <c r="S242" s="22">
        <f>IF(AND($A242="",$C242=""),"",IF($A242="","Thiếu mã đơn; ","")&amp;IF(COUNTIF($A$2:$A242,$A242)&gt;1,"Trùng mã đơn; ","")&amp;IF(COUNTIF($C$2:$C242,$C242)&gt;1,"Trùng SĐT; ","")&amp;IF(ISNA(MATCH($C242,DATA_MASTER!$D$2:$D$5000,0)),"SĐT chưa đăng ký hội viên; ","")&amp;IF(AND($L242="Đã chuyển khoản",$M242=""),"Thiếu ngày nhận CK; ",""))</f>
        <v/>
      </c>
      <c r="T242" s="24" t="inlineStr"/>
    </row>
    <row r="243" ht="14.25" customHeight="1" s="40">
      <c r="A243" s="24" t="n">
        <v>242</v>
      </c>
      <c r="B243" s="29" t="inlineStr">
        <is>
          <t>10/03/2026</t>
        </is>
      </c>
      <c r="C243" s="28" t="inlineStr">
        <is>
          <t>0945168159</t>
        </is>
      </c>
      <c r="D243" s="22">
        <f>IF($C243="","",IFERROR(INDEX(DATA_MASTER!$C$2:$C$5000,MATCH($C243,DATA_MASTER!$D$2:$D$5000,0)),"Hương Giang"))</f>
        <v/>
      </c>
      <c r="E243" s="22">
        <f>IF($C243="","",IFERROR(INDEX(DATA_MASTER!$I$2:$I$5000,MATCH($C243,DATA_MASTER!$D$2:$D$5000,0)),""))</f>
        <v/>
      </c>
      <c r="F243" s="22">
        <f>IF($C243="","",IFERROR(INDEX(DATA_MASTER!$L$2:$L$5000,MATCH($C243,DATA_MASTER!$D$2:$D$5000,0)),"ZM"))</f>
        <v/>
      </c>
      <c r="G243" s="24" t="inlineStr">
        <is>
          <t>Sữa Aptamil 380g</t>
        </is>
      </c>
      <c r="H243" s="24" t="n">
        <v>1</v>
      </c>
      <c r="I243" s="30" t="n">
        <v>320000</v>
      </c>
      <c r="J243" s="23">
        <f>IF(OR($H243="",$I243=""),"",$H243*$I243)</f>
        <v/>
      </c>
      <c r="K243" s="24" t="inlineStr">
        <is>
          <t>Chuyển khoản QR</t>
        </is>
      </c>
      <c r="L243" s="24" t="inlineStr">
        <is>
          <t>Chờ chuyển khoản</t>
        </is>
      </c>
      <c r="M243" s="29" t="inlineStr">
        <is>
          <t>10/03/2026</t>
        </is>
      </c>
      <c r="N243" s="28" t="inlineStr">
        <is>
          <t>0945168159</t>
        </is>
      </c>
      <c r="O243" s="24" t="inlineStr">
        <is>
          <t>Hương Giang</t>
        </is>
      </c>
      <c r="P243" s="24" t="inlineStr">
        <is>
          <t>S3 Sky Oasis, Eco park, Văn Giang., Hưng Yên</t>
        </is>
      </c>
      <c r="Q243" s="24" t="inlineStr">
        <is>
          <t>Chờ giao</t>
        </is>
      </c>
      <c r="R243" s="24" t="inlineStr">
        <is>
          <t>Long Châu</t>
        </is>
      </c>
      <c r="S243" s="22">
        <f>IF(AND($A243="",$C243=""),"",IF($A243="","Thiếu mã đơn; ","")&amp;IF(COUNTIF($A$2:$A243,$A243)&gt;1,"Trùng mã đơn; ","")&amp;IF(COUNTIF($C$2:$C243,$C243)&gt;1,"Trùng SĐT; ","")&amp;IF(ISNA(MATCH($C243,DATA_MASTER!$D$2:$D$5000,0)),"SĐT chưa đăng ký hội viên; ","")&amp;IF(AND($L243="Đã chuyển khoản",$M243=""),"Thiếu ngày nhận CK; ",""))</f>
        <v/>
      </c>
      <c r="T243" s="24" t="inlineStr"/>
    </row>
    <row r="244" ht="14.25" customHeight="1" s="40">
      <c r="A244" s="24" t="n">
        <v>243</v>
      </c>
      <c r="B244" s="29" t="inlineStr">
        <is>
          <t>10/03/2026</t>
        </is>
      </c>
      <c r="C244" s="28" t="inlineStr">
        <is>
          <t>0963761068</t>
        </is>
      </c>
      <c r="D244" s="22">
        <f>IF($C244="","",IFERROR(INDEX(DATA_MASTER!$C$2:$C$5000,MATCH($C244,DATA_MASTER!$D$2:$D$5000,0)),"Chị Thanh"))</f>
        <v/>
      </c>
      <c r="E244" s="22">
        <f>IF($C244="","",IFERROR(INDEX(DATA_MASTER!$I$2:$I$5000,MATCH($C244,DATA_MASTER!$D$2:$D$5000,0)),""))</f>
        <v/>
      </c>
      <c r="F244" s="22">
        <f>IF($C244="","",IFERROR(INDEX(DATA_MASTER!$L$2:$L$5000,MATCH($C244,DATA_MASTER!$D$2:$D$5000,0)),"ZM"))</f>
        <v/>
      </c>
      <c r="G244" s="24" t="inlineStr">
        <is>
          <t>Sữa Aptamil 380g</t>
        </is>
      </c>
      <c r="H244" s="24" t="n">
        <v>1</v>
      </c>
      <c r="I244" s="30" t="n">
        <v>320000</v>
      </c>
      <c r="J244" s="23">
        <f>IF(OR($H244="",$I244=""),"",$H244*$I244)</f>
        <v/>
      </c>
      <c r="K244" s="24" t="inlineStr">
        <is>
          <t>Chuyển khoản QR</t>
        </is>
      </c>
      <c r="L244" s="24" t="inlineStr">
        <is>
          <t>Đã chuyển khoản</t>
        </is>
      </c>
      <c r="M244" s="29" t="inlineStr">
        <is>
          <t>10/03/2026</t>
        </is>
      </c>
      <c r="N244" s="28" t="inlineStr">
        <is>
          <t>0963761068</t>
        </is>
      </c>
      <c r="O244" s="24" t="inlineStr">
        <is>
          <t>Chị Thanh</t>
        </is>
      </c>
      <c r="P244" s="24" t="inlineStr">
        <is>
          <t>43 Lê Văn Lương, Hà Nội</t>
        </is>
      </c>
      <c r="Q244" s="24" t="inlineStr">
        <is>
          <t>Chờ giao</t>
        </is>
      </c>
      <c r="R244" s="24" t="inlineStr">
        <is>
          <t>Mẹ Ơi</t>
        </is>
      </c>
      <c r="S244" s="22">
        <f>IF(AND($A244="",$C244=""),"",IF($A244="","Thiếu mã đơn; ","")&amp;IF(COUNTIF($A$2:$A244,$A244)&gt;1,"Trùng mã đơn; ","")&amp;IF(COUNTIF($C$2:$C244,$C244)&gt;1,"Trùng SĐT; ","")&amp;IF(ISNA(MATCH($C244,DATA_MASTER!$D$2:$D$5000,0)),"SĐT chưa đăng ký hội viên; ","")&amp;IF(AND($L244="Đã chuyển khoản",$M244=""),"Thiếu ngày nhận CK; ",""))</f>
        <v/>
      </c>
      <c r="T244" s="24" t="inlineStr"/>
    </row>
    <row r="245" ht="14.25" customHeight="1" s="40">
      <c r="A245" s="24" t="n">
        <v>244</v>
      </c>
      <c r="B245" s="29" t="inlineStr">
        <is>
          <t>10/03/2026</t>
        </is>
      </c>
      <c r="C245" s="28" t="inlineStr">
        <is>
          <t>0383262228</t>
        </is>
      </c>
      <c r="D245" s="22">
        <f>IF($C245="","",IFERROR(INDEX(DATA_MASTER!$C$2:$C$5000,MATCH($C245,DATA_MASTER!$D$2:$D$5000,0)),"Phạm Minh Huyền"))</f>
        <v/>
      </c>
      <c r="E245" s="22">
        <f>IF($C245="","",IFERROR(INDEX(DATA_MASTER!$I$2:$I$5000,MATCH($C245,DATA_MASTER!$D$2:$D$5000,0)),""))</f>
        <v/>
      </c>
      <c r="F245" s="22">
        <f>IF($C245="","",IFERROR(INDEX(DATA_MASTER!$L$2:$L$5000,MATCH($C245,DATA_MASTER!$D$2:$D$5000,0)),"ZM"))</f>
        <v/>
      </c>
      <c r="G245" s="24" t="inlineStr">
        <is>
          <t>Sữa Aptamil 380g</t>
        </is>
      </c>
      <c r="H245" s="24" t="n">
        <v>1</v>
      </c>
      <c r="I245" s="30" t="n">
        <v>320000</v>
      </c>
      <c r="J245" s="23">
        <f>IF(OR($H245="",$I245=""),"",$H245*$I245)</f>
        <v/>
      </c>
      <c r="K245" s="24" t="inlineStr">
        <is>
          <t>Chuyển khoản QR</t>
        </is>
      </c>
      <c r="L245" s="24" t="inlineStr">
        <is>
          <t>Chờ chuyển khoản</t>
        </is>
      </c>
      <c r="M245" s="29" t="inlineStr">
        <is>
          <t>10/03/2026</t>
        </is>
      </c>
      <c r="N245" s="28" t="inlineStr">
        <is>
          <t>0383262228</t>
        </is>
      </c>
      <c r="O245" s="24" t="inlineStr">
        <is>
          <t>Phạm Minh Huyền</t>
        </is>
      </c>
      <c r="P245" s="24" t="inlineStr">
        <is>
          <t>GS3 Vin Smart Citi, Tây Mỗ, Hà Nội</t>
        </is>
      </c>
      <c r="Q245" s="24" t="inlineStr">
        <is>
          <t>Chờ giao</t>
        </is>
      </c>
      <c r="R245" s="24" t="inlineStr">
        <is>
          <t>Sữa 3 Tốt</t>
        </is>
      </c>
      <c r="S245" s="22">
        <f>IF(AND($A245="",$C245=""),"",IF($A245="","Thiếu mã đơn; ","")&amp;IF(COUNTIF($A$2:$A245,$A245)&gt;1,"Trùng mã đơn; ","")&amp;IF(COUNTIF($C$2:$C245,$C245)&gt;1,"Trùng SĐT; ","")&amp;IF(ISNA(MATCH($C245,DATA_MASTER!$D$2:$D$5000,0)),"SĐT chưa đăng ký hội viên; ","")&amp;IF(AND($L245="Đã chuyển khoản",$M245=""),"Thiếu ngày nhận CK; ",""))</f>
        <v/>
      </c>
      <c r="T245" s="24" t="inlineStr">
        <is>
          <t>ĐVVC: Shipper riêng</t>
        </is>
      </c>
    </row>
    <row r="246" ht="14.25" customHeight="1" s="40">
      <c r="A246" s="24" t="n">
        <v>245</v>
      </c>
      <c r="B246" s="29" t="inlineStr">
        <is>
          <t>10/03/2026</t>
        </is>
      </c>
      <c r="C246" s="28" t="inlineStr">
        <is>
          <t>0913197667</t>
        </is>
      </c>
      <c r="D246" s="22">
        <f>IF($C246="","",IFERROR(INDEX(DATA_MASTER!$C$2:$C$5000,MATCH($C246,DATA_MASTER!$D$2:$D$5000,0)),"Ngọc Diệp"))</f>
        <v/>
      </c>
      <c r="E246" s="22">
        <f>IF($C246="","",IFERROR(INDEX(DATA_MASTER!$I$2:$I$5000,MATCH($C246,DATA_MASTER!$D$2:$D$5000,0)),""))</f>
        <v/>
      </c>
      <c r="F246" s="22">
        <f>IF($C246="","",IFERROR(INDEX(DATA_MASTER!$L$2:$L$5000,MATCH($C246,DATA_MASTER!$D$2:$D$5000,0)),"ZM"))</f>
        <v/>
      </c>
      <c r="G246" s="24" t="inlineStr">
        <is>
          <t>Sữa Aptamil 380g</t>
        </is>
      </c>
      <c r="H246" s="24" t="n">
        <v>1</v>
      </c>
      <c r="I246" s="30" t="n">
        <v>320000</v>
      </c>
      <c r="J246" s="23">
        <f>IF(OR($H246="",$I246=""),"",$H246*$I246)</f>
        <v/>
      </c>
      <c r="K246" s="24" t="inlineStr">
        <is>
          <t>Chuyển khoản QR</t>
        </is>
      </c>
      <c r="L246" s="24" t="inlineStr">
        <is>
          <t>Chờ chuyển khoản</t>
        </is>
      </c>
      <c r="M246" s="29" t="inlineStr">
        <is>
          <t>10/03/2026</t>
        </is>
      </c>
      <c r="N246" s="28" t="inlineStr">
        <is>
          <t>0913197667</t>
        </is>
      </c>
      <c r="O246" s="24" t="inlineStr">
        <is>
          <t>Ngọc Diệp</t>
        </is>
      </c>
      <c r="P246" s="24" t="inlineStr">
        <is>
          <t>Thôn 11, Hải Tiến, Ninh Bình</t>
        </is>
      </c>
      <c r="Q246" s="24" t="inlineStr">
        <is>
          <t>Chờ giao</t>
        </is>
      </c>
      <c r="R246" s="24" t="inlineStr">
        <is>
          <t>Long Châu</t>
        </is>
      </c>
      <c r="S246" s="22">
        <f>IF(AND($A246="",$C246=""),"",IF($A246="","Thiếu mã đơn; ","")&amp;IF(COUNTIF($A$2:$A246,$A246)&gt;1,"Trùng mã đơn; ","")&amp;IF(COUNTIF($C$2:$C246,$C246)&gt;1,"Trùng SĐT; ","")&amp;IF(ISNA(MATCH($C246,DATA_MASTER!$D$2:$D$5000,0)),"SĐT chưa đăng ký hội viên; ","")&amp;IF(AND($L246="Đã chuyển khoản",$M246=""),"Thiếu ngày nhận CK; ",""))</f>
        <v/>
      </c>
      <c r="T246" s="24" t="inlineStr"/>
    </row>
    <row r="247" ht="14.25" customHeight="1" s="40">
      <c r="A247" s="24" t="n">
        <v>246</v>
      </c>
      <c r="B247" s="29" t="inlineStr">
        <is>
          <t>10/03/2026</t>
        </is>
      </c>
      <c r="C247" s="28" t="inlineStr">
        <is>
          <t>0974235204</t>
        </is>
      </c>
      <c r="D247" s="22">
        <f>IF($C247="","",IFERROR(INDEX(DATA_MASTER!$C$2:$C$5000,MATCH($C247,DATA_MASTER!$D$2:$D$5000,0)),"Đoàn Giang"))</f>
        <v/>
      </c>
      <c r="E247" s="22">
        <f>IF($C247="","",IFERROR(INDEX(DATA_MASTER!$I$2:$I$5000,MATCH($C247,DATA_MASTER!$D$2:$D$5000,0)),""))</f>
        <v/>
      </c>
      <c r="F247" s="22">
        <f>IF($C247="","",IFERROR(INDEX(DATA_MASTER!$L$2:$L$5000,MATCH($C247,DATA_MASTER!$D$2:$D$5000,0)),"ZM"))</f>
        <v/>
      </c>
      <c r="G247" s="24" t="inlineStr">
        <is>
          <t>Sữa Aptamil 380g</t>
        </is>
      </c>
      <c r="H247" s="24" t="n">
        <v>1</v>
      </c>
      <c r="I247" s="30" t="n">
        <v>320000</v>
      </c>
      <c r="J247" s="23">
        <f>IF(OR($H247="",$I247=""),"",$H247*$I247)</f>
        <v/>
      </c>
      <c r="K247" s="24" t="inlineStr">
        <is>
          <t>Chuyển khoản QR</t>
        </is>
      </c>
      <c r="L247" s="24" t="inlineStr">
        <is>
          <t>Chờ chuyển khoản</t>
        </is>
      </c>
      <c r="M247" s="29" t="inlineStr">
        <is>
          <t>10/03/2026</t>
        </is>
      </c>
      <c r="N247" s="28" t="inlineStr">
        <is>
          <t>0974235204</t>
        </is>
      </c>
      <c r="O247" s="24" t="inlineStr">
        <is>
          <t>Đoàn Giang</t>
        </is>
      </c>
      <c r="P247" s="24" t="inlineStr">
        <is>
          <t>Chung cư Splusriverview Vĩnh Phú, 38 Lái Thiêu, Bình Dương</t>
        </is>
      </c>
      <c r="Q247" s="24" t="inlineStr">
        <is>
          <t>Chờ giao</t>
        </is>
      </c>
      <c r="R247" s="24" t="inlineStr">
        <is>
          <t>Long Châu</t>
        </is>
      </c>
      <c r="S247" s="22">
        <f>IF(AND($A247="",$C247=""),"",IF($A247="","Thiếu mã đơn; ","")&amp;IF(COUNTIF($A$2:$A247,$A247)&gt;1,"Trùng mã đơn; ","")&amp;IF(COUNTIF($C$2:$C247,$C247)&gt;1,"Trùng SĐT; ","")&amp;IF(ISNA(MATCH($C247,DATA_MASTER!$D$2:$D$5000,0)),"SĐT chưa đăng ký hội viên; ","")&amp;IF(AND($L247="Đã chuyển khoản",$M247=""),"Thiếu ngày nhận CK; ",""))</f>
        <v/>
      </c>
      <c r="T247" s="24" t="inlineStr"/>
    </row>
    <row r="248" ht="14.25" customHeight="1" s="40">
      <c r="A248" s="24" t="n">
        <v>247</v>
      </c>
      <c r="B248" s="29" t="inlineStr">
        <is>
          <t>10/03/2026</t>
        </is>
      </c>
      <c r="C248" s="28" t="inlineStr">
        <is>
          <t>0336609645</t>
        </is>
      </c>
      <c r="D248" s="22">
        <f>IF($C248="","",IFERROR(INDEX(DATA_MASTER!$C$2:$C$5000,MATCH($C248,DATA_MASTER!$D$2:$D$5000,0)),"Phạm Thị Ngọc Thanh"))</f>
        <v/>
      </c>
      <c r="E248" s="22">
        <f>IF($C248="","",IFERROR(INDEX(DATA_MASTER!$I$2:$I$5000,MATCH($C248,DATA_MASTER!$D$2:$D$5000,0)),""))</f>
        <v/>
      </c>
      <c r="F248" s="22">
        <f>IF($C248="","",IFERROR(INDEX(DATA_MASTER!$L$2:$L$5000,MATCH($C248,DATA_MASTER!$D$2:$D$5000,0)),"ZM"))</f>
        <v/>
      </c>
      <c r="G248" s="24" t="inlineStr">
        <is>
          <t>Sữa Aptamil 380g</t>
        </is>
      </c>
      <c r="H248" s="24" t="n">
        <v>1</v>
      </c>
      <c r="I248" s="30" t="n">
        <v>320000</v>
      </c>
      <c r="J248" s="23">
        <f>IF(OR($H248="",$I248=""),"",$H248*$I248)</f>
        <v/>
      </c>
      <c r="K248" s="24" t="inlineStr">
        <is>
          <t>Chuyển khoản QR</t>
        </is>
      </c>
      <c r="L248" s="24" t="inlineStr">
        <is>
          <t>Chờ chuyển khoản</t>
        </is>
      </c>
      <c r="M248" s="29" t="inlineStr">
        <is>
          <t>10/03/2026</t>
        </is>
      </c>
      <c r="N248" s="28" t="inlineStr">
        <is>
          <t>0336609645</t>
        </is>
      </c>
      <c r="O248" s="24" t="inlineStr">
        <is>
          <t>Phạm Thị Ngọc Thanh</t>
        </is>
      </c>
      <c r="P248" s="24" t="inlineStr">
        <is>
          <t>20 Nguyễn Hữu Cảnh, Phường Thủ Dầu Một ( ngay cạnh cái hẻm gọi điện ra nhận), Bình Dương</t>
        </is>
      </c>
      <c r="Q248" s="24" t="inlineStr">
        <is>
          <t>Chờ giao</t>
        </is>
      </c>
      <c r="R248" s="24" t="inlineStr">
        <is>
          <t>Long Châu</t>
        </is>
      </c>
      <c r="S248" s="22">
        <f>IF(AND($A248="",$C248=""),"",IF($A248="","Thiếu mã đơn; ","")&amp;IF(COUNTIF($A$2:$A248,$A248)&gt;1,"Trùng mã đơn; ","")&amp;IF(COUNTIF($C$2:$C248,$C248)&gt;1,"Trùng SĐT; ","")&amp;IF(ISNA(MATCH($C248,DATA_MASTER!$D$2:$D$5000,0)),"SĐT chưa đăng ký hội viên; ","")&amp;IF(AND($L248="Đã chuyển khoản",$M248=""),"Thiếu ngày nhận CK; ",""))</f>
        <v/>
      </c>
      <c r="T248" s="24" t="inlineStr"/>
    </row>
    <row r="249" ht="14.25" customHeight="1" s="40">
      <c r="A249" s="24" t="n">
        <v>248</v>
      </c>
      <c r="B249" s="29" t="inlineStr">
        <is>
          <t>10/03/2026</t>
        </is>
      </c>
      <c r="C249" s="28" t="inlineStr">
        <is>
          <t>0932686196</t>
        </is>
      </c>
      <c r="D249" s="22">
        <f>IF($C249="","",IFERROR(INDEX(DATA_MASTER!$C$2:$C$5000,MATCH($C249,DATA_MASTER!$D$2:$D$5000,0)),"Anh Thanh Bách"))</f>
        <v/>
      </c>
      <c r="E249" s="22">
        <f>IF($C249="","",IFERROR(INDEX(DATA_MASTER!$I$2:$I$5000,MATCH($C249,DATA_MASTER!$D$2:$D$5000,0)),""))</f>
        <v/>
      </c>
      <c r="F249" s="22">
        <f>IF($C249="","",IFERROR(INDEX(DATA_MASTER!$L$2:$L$5000,MATCH($C249,DATA_MASTER!$D$2:$D$5000,0)),"ZM"))</f>
        <v/>
      </c>
      <c r="G249" s="24" t="inlineStr">
        <is>
          <t>Sữa Aptamil 380g</t>
        </is>
      </c>
      <c r="H249" s="24" t="n">
        <v>1</v>
      </c>
      <c r="I249" s="30" t="n">
        <v>320000</v>
      </c>
      <c r="J249" s="23">
        <f>IF(OR($H249="",$I249=""),"",$H249*$I249)</f>
        <v/>
      </c>
      <c r="K249" s="24" t="inlineStr">
        <is>
          <t>Chuyển khoản QR</t>
        </is>
      </c>
      <c r="L249" s="24" t="inlineStr">
        <is>
          <t>Chờ chuyển khoản</t>
        </is>
      </c>
      <c r="M249" s="29" t="inlineStr">
        <is>
          <t>10/03/2026</t>
        </is>
      </c>
      <c r="N249" s="28" t="inlineStr">
        <is>
          <t>0932686196</t>
        </is>
      </c>
      <c r="O249" s="24" t="inlineStr">
        <is>
          <t>Anh Thanh Bách</t>
        </is>
      </c>
      <c r="P249" s="24" t="inlineStr">
        <is>
          <t>448 Hà Huy Giáp, An Phú Đông, TP.HCM</t>
        </is>
      </c>
      <c r="Q249" s="24" t="inlineStr">
        <is>
          <t>Chờ giao</t>
        </is>
      </c>
      <c r="R249" s="24" t="inlineStr">
        <is>
          <t>Long Châu</t>
        </is>
      </c>
      <c r="S249" s="22">
        <f>IF(AND($A249="",$C249=""),"",IF($A249="","Thiếu mã đơn; ","")&amp;IF(COUNTIF($A$2:$A249,$A249)&gt;1,"Trùng mã đơn; ","")&amp;IF(COUNTIF($C$2:$C249,$C249)&gt;1,"Trùng SĐT; ","")&amp;IF(ISNA(MATCH($C249,DATA_MASTER!$D$2:$D$5000,0)),"SĐT chưa đăng ký hội viên; ","")&amp;IF(AND($L249="Đã chuyển khoản",$M249=""),"Thiếu ngày nhận CK; ",""))</f>
        <v/>
      </c>
      <c r="T249" s="24" t="inlineStr"/>
    </row>
    <row r="250" ht="14.25" customHeight="1" s="40">
      <c r="A250" s="24" t="n">
        <v>249</v>
      </c>
      <c r="B250" s="29" t="inlineStr">
        <is>
          <t>10/03/2026</t>
        </is>
      </c>
      <c r="C250" s="28" t="inlineStr">
        <is>
          <t>0903854982</t>
        </is>
      </c>
      <c r="D250" s="22">
        <f>IF($C250="","",IFERROR(INDEX(DATA_MASTER!$C$2:$C$5000,MATCH($C250,DATA_MASTER!$D$2:$D$5000,0)),"Tú Duyên"))</f>
        <v/>
      </c>
      <c r="E250" s="22">
        <f>IF($C250="","",IFERROR(INDEX(DATA_MASTER!$I$2:$I$5000,MATCH($C250,DATA_MASTER!$D$2:$D$5000,0)),""))</f>
        <v/>
      </c>
      <c r="F250" s="22">
        <f>IF($C250="","",IFERROR(INDEX(DATA_MASTER!$L$2:$L$5000,MATCH($C250,DATA_MASTER!$D$2:$D$5000,0)),"ZM"))</f>
        <v/>
      </c>
      <c r="G250" s="24" t="inlineStr">
        <is>
          <t>Sữa Aptamil 380g</t>
        </is>
      </c>
      <c r="H250" s="24" t="n">
        <v>1</v>
      </c>
      <c r="I250" s="30" t="n">
        <v>320000</v>
      </c>
      <c r="J250" s="23">
        <f>IF(OR($H250="",$I250=""),"",$H250*$I250)</f>
        <v/>
      </c>
      <c r="K250" s="24" t="inlineStr">
        <is>
          <t>Chuyển khoản QR</t>
        </is>
      </c>
      <c r="L250" s="24" t="inlineStr">
        <is>
          <t>Chờ chuyển khoản</t>
        </is>
      </c>
      <c r="M250" s="29" t="inlineStr">
        <is>
          <t>10/03/2026</t>
        </is>
      </c>
      <c r="N250" s="28" t="inlineStr">
        <is>
          <t>0903854982</t>
        </is>
      </c>
      <c r="O250" s="24" t="inlineStr">
        <is>
          <t>Tú Duyên</t>
        </is>
      </c>
      <c r="P250" s="24" t="inlineStr">
        <is>
          <t>Chung cư Bcons Miền Đông, 69 Tân Lập, Phường Đông Hòa, TPHCM</t>
        </is>
      </c>
      <c r="Q250" s="24" t="inlineStr">
        <is>
          <t>Chờ giao</t>
        </is>
      </c>
      <c r="R250" s="24" t="inlineStr">
        <is>
          <t>Long Châu</t>
        </is>
      </c>
      <c r="S250" s="22">
        <f>IF(AND($A250="",$C250=""),"",IF($A250="","Thiếu mã đơn; ","")&amp;IF(COUNTIF($A$2:$A250,$A250)&gt;1,"Trùng mã đơn; ","")&amp;IF(COUNTIF($C$2:$C250,$C250)&gt;1,"Trùng SĐT; ","")&amp;IF(ISNA(MATCH($C250,DATA_MASTER!$D$2:$D$5000,0)),"SĐT chưa đăng ký hội viên; ","")&amp;IF(AND($L250="Đã chuyển khoản",$M250=""),"Thiếu ngày nhận CK; ",""))</f>
        <v/>
      </c>
      <c r="T250" s="24" t="inlineStr"/>
    </row>
    <row r="251" ht="14.25" customHeight="1" s="40">
      <c r="A251" s="24" t="n">
        <v>250</v>
      </c>
      <c r="B251" s="29" t="inlineStr">
        <is>
          <t>10/03/2026</t>
        </is>
      </c>
      <c r="C251" s="28" t="inlineStr">
        <is>
          <t>0978276815</t>
        </is>
      </c>
      <c r="D251" s="22">
        <f>IF($C251="","",IFERROR(INDEX(DATA_MASTER!$C$2:$C$5000,MATCH($C251,DATA_MASTER!$D$2:$D$5000,0)),"Anh Hoàng Minh Hóa"))</f>
        <v/>
      </c>
      <c r="E251" s="22">
        <f>IF($C251="","",IFERROR(INDEX(DATA_MASTER!$I$2:$I$5000,MATCH($C251,DATA_MASTER!$D$2:$D$5000,0)),""))</f>
        <v/>
      </c>
      <c r="F251" s="22">
        <f>IF($C251="","",IFERROR(INDEX(DATA_MASTER!$L$2:$L$5000,MATCH($C251,DATA_MASTER!$D$2:$D$5000,0)),"ZM"))</f>
        <v/>
      </c>
      <c r="G251" s="24" t="inlineStr">
        <is>
          <t>Sữa Aptamil 380g</t>
        </is>
      </c>
      <c r="H251" s="24" t="n">
        <v>1</v>
      </c>
      <c r="I251" s="30" t="n">
        <v>320000</v>
      </c>
      <c r="J251" s="23">
        <f>IF(OR($H251="",$I251=""),"",$H251*$I251)</f>
        <v/>
      </c>
      <c r="K251" s="24" t="inlineStr">
        <is>
          <t>Chuyển khoản QR</t>
        </is>
      </c>
      <c r="L251" s="24" t="inlineStr">
        <is>
          <t>Chờ chuyển khoản</t>
        </is>
      </c>
      <c r="M251" s="29" t="inlineStr">
        <is>
          <t>10/03/2026</t>
        </is>
      </c>
      <c r="N251" s="28" t="inlineStr">
        <is>
          <t>0978276815</t>
        </is>
      </c>
      <c r="O251" s="24" t="inlineStr">
        <is>
          <t>Anh Hoàng Minh Hóa</t>
        </is>
      </c>
      <c r="P251" s="24" t="inlineStr">
        <is>
          <t>62, Đường số 5, Phường Hạnh Thông, Gò Vấp, HCM</t>
        </is>
      </c>
      <c r="Q251" s="24" t="inlineStr">
        <is>
          <t>Chờ giao</t>
        </is>
      </c>
      <c r="R251" s="24" t="inlineStr">
        <is>
          <t>Long Châu</t>
        </is>
      </c>
      <c r="S251" s="22">
        <f>IF(AND($A251="",$C251=""),"",IF($A251="","Thiếu mã đơn; ","")&amp;IF(COUNTIF($A$2:$A251,$A251)&gt;1,"Trùng mã đơn; ","")&amp;IF(COUNTIF($C$2:$C251,$C251)&gt;1,"Trùng SĐT; ","")&amp;IF(ISNA(MATCH($C251,DATA_MASTER!$D$2:$D$5000,0)),"SĐT chưa đăng ký hội viên; ","")&amp;IF(AND($L251="Đã chuyển khoản",$M251=""),"Thiếu ngày nhận CK; ",""))</f>
        <v/>
      </c>
      <c r="T251" s="24" t="inlineStr"/>
    </row>
    <row r="252" ht="14.25" customHeight="1" s="40">
      <c r="A252" s="24" t="n">
        <v>251</v>
      </c>
      <c r="B252" s="29" t="inlineStr">
        <is>
          <t>10/03/2026</t>
        </is>
      </c>
      <c r="C252" s="28" t="inlineStr">
        <is>
          <t>0938052904</t>
        </is>
      </c>
      <c r="D252" s="22">
        <f>IF($C252="","",IFERROR(INDEX(DATA_MASTER!$C$2:$C$5000,MATCH($C252,DATA_MASTER!$D$2:$D$5000,0)),"Chị Duyên"))</f>
        <v/>
      </c>
      <c r="E252" s="22">
        <f>IF($C252="","",IFERROR(INDEX(DATA_MASTER!$I$2:$I$5000,MATCH($C252,DATA_MASTER!$D$2:$D$5000,0)),""))</f>
        <v/>
      </c>
      <c r="F252" s="22">
        <f>IF($C252="","",IFERROR(INDEX(DATA_MASTER!$L$2:$L$5000,MATCH($C252,DATA_MASTER!$D$2:$D$5000,0)),"ZM"))</f>
        <v/>
      </c>
      <c r="G252" s="24" t="inlineStr">
        <is>
          <t>Sữa Aptamil 380g</t>
        </is>
      </c>
      <c r="H252" s="24" t="n">
        <v>1</v>
      </c>
      <c r="I252" s="30" t="n">
        <v>320000</v>
      </c>
      <c r="J252" s="23">
        <f>IF(OR($H252="",$I252=""),"",$H252*$I252)</f>
        <v/>
      </c>
      <c r="K252" s="24" t="inlineStr">
        <is>
          <t>Chuyển khoản QR</t>
        </is>
      </c>
      <c r="L252" s="24" t="inlineStr">
        <is>
          <t>Đã chuyển khoản</t>
        </is>
      </c>
      <c r="M252" s="29" t="inlineStr">
        <is>
          <t>10/03/2026</t>
        </is>
      </c>
      <c r="N252" s="28" t="inlineStr">
        <is>
          <t>0938052904</t>
        </is>
      </c>
      <c r="O252" s="24" t="inlineStr">
        <is>
          <t>Chị Duyên</t>
        </is>
      </c>
      <c r="P252" s="24" t="inlineStr">
        <is>
          <t>423/30 Lê Văn Khương, Tân Thới Hiệp, HCM</t>
        </is>
      </c>
      <c r="Q252" s="24" t="inlineStr">
        <is>
          <t>Chờ giao</t>
        </is>
      </c>
      <c r="R252" s="24" t="inlineStr">
        <is>
          <t>Long Châu</t>
        </is>
      </c>
      <c r="S252" s="22">
        <f>IF(AND($A252="",$C252=""),"",IF($A252="","Thiếu mã đơn; ","")&amp;IF(COUNTIF($A$2:$A252,$A252)&gt;1,"Trùng mã đơn; ","")&amp;IF(COUNTIF($C$2:$C252,$C252)&gt;1,"Trùng SĐT; ","")&amp;IF(ISNA(MATCH($C252,DATA_MASTER!$D$2:$D$5000,0)),"SĐT chưa đăng ký hội viên; ","")&amp;IF(AND($L252="Đã chuyển khoản",$M252=""),"Thiếu ngày nhận CK; ",""))</f>
        <v/>
      </c>
      <c r="T252" s="24" t="inlineStr"/>
    </row>
    <row r="253" ht="14.25" customHeight="1" s="40">
      <c r="A253" s="24" t="n">
        <v>252</v>
      </c>
      <c r="B253" s="29" t="inlineStr">
        <is>
          <t>10/03/2026</t>
        </is>
      </c>
      <c r="C253" s="28" t="inlineStr">
        <is>
          <t>0926723004</t>
        </is>
      </c>
      <c r="D253" s="22">
        <f>IF($C253="","",IFERROR(INDEX(DATA_MASTER!$C$2:$C$5000,MATCH($C253,DATA_MASTER!$D$2:$D$5000,0)),"Lý Ngọc Mai"))</f>
        <v/>
      </c>
      <c r="E253" s="22">
        <f>IF($C253="","",IFERROR(INDEX(DATA_MASTER!$I$2:$I$5000,MATCH($C253,DATA_MASTER!$D$2:$D$5000,0)),""))</f>
        <v/>
      </c>
      <c r="F253" s="22">
        <f>IF($C253="","",IFERROR(INDEX(DATA_MASTER!$L$2:$L$5000,MATCH($C253,DATA_MASTER!$D$2:$D$5000,0)),"ZM"))</f>
        <v/>
      </c>
      <c r="G253" s="24" t="inlineStr">
        <is>
          <t>Sữa Aptamil 380g</t>
        </is>
      </c>
      <c r="H253" s="24" t="n">
        <v>1</v>
      </c>
      <c r="I253" s="30" t="n">
        <v>320000</v>
      </c>
      <c r="J253" s="23">
        <f>IF(OR($H253="",$I253=""),"",$H253*$I253)</f>
        <v/>
      </c>
      <c r="K253" s="24" t="inlineStr">
        <is>
          <t>Chuyển khoản QR</t>
        </is>
      </c>
      <c r="L253" s="24" t="inlineStr">
        <is>
          <t>Chờ chuyển khoản</t>
        </is>
      </c>
      <c r="M253" s="29" t="inlineStr">
        <is>
          <t>10/03/2026</t>
        </is>
      </c>
      <c r="N253" s="28" t="inlineStr">
        <is>
          <t>0926723004</t>
        </is>
      </c>
      <c r="O253" s="24" t="inlineStr">
        <is>
          <t>Lý Ngọc Mai</t>
        </is>
      </c>
      <c r="P253" s="24" t="inlineStr">
        <is>
          <t>Số 10 Công trường Quốc tế, Phường Xuân Hòa, Quận 3, hcm, HCM</t>
        </is>
      </c>
      <c r="Q253" s="24" t="inlineStr">
        <is>
          <t>Chờ giao</t>
        </is>
      </c>
      <c r="R253" s="24" t="inlineStr">
        <is>
          <t>Long Châu</t>
        </is>
      </c>
      <c r="S253" s="22">
        <f>IF(AND($A253="",$C253=""),"",IF($A253="","Thiếu mã đơn; ","")&amp;IF(COUNTIF($A$2:$A253,$A253)&gt;1,"Trùng mã đơn; ","")&amp;IF(COUNTIF($C$2:$C253,$C253)&gt;1,"Trùng SĐT; ","")&amp;IF(ISNA(MATCH($C253,DATA_MASTER!$D$2:$D$5000,0)),"SĐT chưa đăng ký hội viên; ","")&amp;IF(AND($L253="Đã chuyển khoản",$M253=""),"Thiếu ngày nhận CK; ",""))</f>
        <v/>
      </c>
      <c r="T253" s="24" t="inlineStr"/>
    </row>
    <row r="254" ht="14.25" customHeight="1" s="40">
      <c r="A254" s="24" t="n">
        <v>253</v>
      </c>
      <c r="B254" s="29" t="inlineStr">
        <is>
          <t>10/03/2026</t>
        </is>
      </c>
      <c r="C254" s="28" t="inlineStr">
        <is>
          <t>0936767108</t>
        </is>
      </c>
      <c r="D254" s="22">
        <f>IF($C254="","",IFERROR(INDEX(DATA_MASTER!$C$2:$C$5000,MATCH($C254,DATA_MASTER!$D$2:$D$5000,0)),"Anh Phú"))</f>
        <v/>
      </c>
      <c r="E254" s="22">
        <f>IF($C254="","",IFERROR(INDEX(DATA_MASTER!$I$2:$I$5000,MATCH($C254,DATA_MASTER!$D$2:$D$5000,0)),""))</f>
        <v/>
      </c>
      <c r="F254" s="22">
        <f>IF($C254="","",IFERROR(INDEX(DATA_MASTER!$L$2:$L$5000,MATCH($C254,DATA_MASTER!$D$2:$D$5000,0)),"ZM"))</f>
        <v/>
      </c>
      <c r="G254" s="24" t="inlineStr">
        <is>
          <t>Sữa Aptamil 380g</t>
        </is>
      </c>
      <c r="H254" s="24" t="n">
        <v>1</v>
      </c>
      <c r="I254" s="30" t="n">
        <v>320000</v>
      </c>
      <c r="J254" s="23">
        <f>IF(OR($H254="",$I254=""),"",$H254*$I254)</f>
        <v/>
      </c>
      <c r="K254" s="24" t="inlineStr">
        <is>
          <t>Chuyển khoản QR</t>
        </is>
      </c>
      <c r="L254" s="24" t="inlineStr">
        <is>
          <t>Chờ chuyển khoản</t>
        </is>
      </c>
      <c r="M254" s="29" t="inlineStr">
        <is>
          <t>10/03/2026</t>
        </is>
      </c>
      <c r="N254" s="28" t="inlineStr">
        <is>
          <t>0936767108</t>
        </is>
      </c>
      <c r="O254" s="24" t="inlineStr">
        <is>
          <t>Anh Phú</t>
        </is>
      </c>
      <c r="P254" s="24" t="inlineStr">
        <is>
          <t>336 Lương Định Của, P.Bình Trưng, TP.HCM</t>
        </is>
      </c>
      <c r="Q254" s="24" t="inlineStr">
        <is>
          <t>Chờ giao</t>
        </is>
      </c>
      <c r="R254" s="24" t="inlineStr">
        <is>
          <t>Long Châu</t>
        </is>
      </c>
      <c r="S254" s="22">
        <f>IF(AND($A254="",$C254=""),"",IF($A254="","Thiếu mã đơn; ","")&amp;IF(COUNTIF($A$2:$A254,$A254)&gt;1,"Trùng mã đơn; ","")&amp;IF(COUNTIF($C$2:$C254,$C254)&gt;1,"Trùng SĐT; ","")&amp;IF(ISNA(MATCH($C254,DATA_MASTER!$D$2:$D$5000,0)),"SĐT chưa đăng ký hội viên; ","")&amp;IF(AND($L254="Đã chuyển khoản",$M254=""),"Thiếu ngày nhận CK; ",""))</f>
        <v/>
      </c>
      <c r="T254" s="24" t="inlineStr"/>
    </row>
    <row r="255" ht="14.25" customHeight="1" s="40">
      <c r="A255" s="24" t="n">
        <v>254</v>
      </c>
      <c r="B255" s="29" t="inlineStr">
        <is>
          <t>10/03/2026</t>
        </is>
      </c>
      <c r="C255" s="28" t="inlineStr">
        <is>
          <t>0799222888</t>
        </is>
      </c>
      <c r="D255" s="22">
        <f>IF($C255="","",IFERROR(INDEX(DATA_MASTER!$C$2:$C$5000,MATCH($C255,DATA_MASTER!$D$2:$D$5000,0)),"Lê Hoàng Bích Vân"))</f>
        <v/>
      </c>
      <c r="E255" s="22">
        <f>IF($C255="","",IFERROR(INDEX(DATA_MASTER!$I$2:$I$5000,MATCH($C255,DATA_MASTER!$D$2:$D$5000,0)),""))</f>
        <v/>
      </c>
      <c r="F255" s="22">
        <f>IF($C255="","",IFERROR(INDEX(DATA_MASTER!$L$2:$L$5000,MATCH($C255,DATA_MASTER!$D$2:$D$5000,0)),"ZM"))</f>
        <v/>
      </c>
      <c r="G255" s="24" t="inlineStr">
        <is>
          <t>Sữa Aptamil 380g</t>
        </is>
      </c>
      <c r="H255" s="24" t="n">
        <v>1</v>
      </c>
      <c r="I255" s="30" t="n">
        <v>320000</v>
      </c>
      <c r="J255" s="23">
        <f>IF(OR($H255="",$I255=""),"",$H255*$I255)</f>
        <v/>
      </c>
      <c r="K255" s="24" t="inlineStr">
        <is>
          <t>Chuyển khoản QR</t>
        </is>
      </c>
      <c r="L255" s="24" t="inlineStr">
        <is>
          <t>Chờ chuyển khoản</t>
        </is>
      </c>
      <c r="M255" s="29" t="inlineStr">
        <is>
          <t>10/03/2026</t>
        </is>
      </c>
      <c r="N255" s="28" t="inlineStr">
        <is>
          <t>0799222888</t>
        </is>
      </c>
      <c r="O255" s="24" t="inlineStr">
        <is>
          <t>Lê Hoàng Bích Vân</t>
        </is>
      </c>
      <c r="P255" s="24" t="inlineStr">
        <is>
          <t>24 An Bình, Dĩ An, TP.HCM, Bình Dương</t>
        </is>
      </c>
      <c r="Q255" s="24" t="inlineStr">
        <is>
          <t>Chờ giao</t>
        </is>
      </c>
      <c r="R255" s="24" t="inlineStr">
        <is>
          <t>Long Châu</t>
        </is>
      </c>
      <c r="S255" s="22">
        <f>IF(AND($A255="",$C255=""),"",IF($A255="","Thiếu mã đơn; ","")&amp;IF(COUNTIF($A$2:$A255,$A255)&gt;1,"Trùng mã đơn; ","")&amp;IF(COUNTIF($C$2:$C255,$C255)&gt;1,"Trùng SĐT; ","")&amp;IF(ISNA(MATCH($C255,DATA_MASTER!$D$2:$D$5000,0)),"SĐT chưa đăng ký hội viên; ","")&amp;IF(AND($L255="Đã chuyển khoản",$M255=""),"Thiếu ngày nhận CK; ",""))</f>
        <v/>
      </c>
      <c r="T255" s="24" t="inlineStr"/>
    </row>
    <row r="256" ht="14.25" customHeight="1" s="40">
      <c r="A256" s="24" t="n">
        <v>255</v>
      </c>
      <c r="B256" s="29" t="inlineStr">
        <is>
          <t>10/03/2026</t>
        </is>
      </c>
      <c r="C256" s="28" t="inlineStr">
        <is>
          <t>0937370708</t>
        </is>
      </c>
      <c r="D256" s="22">
        <f>IF($C256="","",IFERROR(INDEX(DATA_MASTER!$C$2:$C$5000,MATCH($C256,DATA_MASTER!$D$2:$D$5000,0)),"Chị Vy"))</f>
        <v/>
      </c>
      <c r="E256" s="22">
        <f>IF($C256="","",IFERROR(INDEX(DATA_MASTER!$I$2:$I$5000,MATCH($C256,DATA_MASTER!$D$2:$D$5000,0)),""))</f>
        <v/>
      </c>
      <c r="F256" s="22">
        <f>IF($C256="","",IFERROR(INDEX(DATA_MASTER!$L$2:$L$5000,MATCH($C256,DATA_MASTER!$D$2:$D$5000,0)),"ZM"))</f>
        <v/>
      </c>
      <c r="G256" s="24" t="inlineStr">
        <is>
          <t>Sữa Aptamil 380g</t>
        </is>
      </c>
      <c r="H256" s="24" t="n">
        <v>1</v>
      </c>
      <c r="I256" s="30" t="n">
        <v>320000</v>
      </c>
      <c r="J256" s="23">
        <f>IF(OR($H256="",$I256=""),"",$H256*$I256)</f>
        <v/>
      </c>
      <c r="K256" s="24" t="inlineStr">
        <is>
          <t>Chuyển khoản QR</t>
        </is>
      </c>
      <c r="L256" s="24" t="inlineStr">
        <is>
          <t>Chờ chuyển khoản</t>
        </is>
      </c>
      <c r="M256" s="29" t="inlineStr">
        <is>
          <t>10/03/2026</t>
        </is>
      </c>
      <c r="N256" s="28" t="inlineStr">
        <is>
          <t>0937370708</t>
        </is>
      </c>
      <c r="O256" s="24" t="inlineStr">
        <is>
          <t>Chị Vy</t>
        </is>
      </c>
      <c r="P256" s="24" t="inlineStr">
        <is>
          <t>25/11 Nguyễn Công Trứ, Thạnh Mỹ Tây, HCM</t>
        </is>
      </c>
      <c r="Q256" s="24" t="inlineStr">
        <is>
          <t>Chờ giao</t>
        </is>
      </c>
      <c r="R256" s="24" t="inlineStr">
        <is>
          <t>Long Châu</t>
        </is>
      </c>
      <c r="S256" s="22">
        <f>IF(AND($A256="",$C256=""),"",IF($A256="","Thiếu mã đơn; ","")&amp;IF(COUNTIF($A$2:$A256,$A256)&gt;1,"Trùng mã đơn; ","")&amp;IF(COUNTIF($C$2:$C256,$C256)&gt;1,"Trùng SĐT; ","")&amp;IF(ISNA(MATCH($C256,DATA_MASTER!$D$2:$D$5000,0)),"SĐT chưa đăng ký hội viên; ","")&amp;IF(AND($L256="Đã chuyển khoản",$M256=""),"Thiếu ngày nhận CK; ",""))</f>
        <v/>
      </c>
      <c r="T256" s="24" t="inlineStr"/>
    </row>
    <row r="257" ht="14.25" customHeight="1" s="40">
      <c r="A257" s="24" t="n">
        <v>256</v>
      </c>
      <c r="B257" s="29" t="inlineStr">
        <is>
          <t>10/03/2026</t>
        </is>
      </c>
      <c r="C257" s="28" t="inlineStr">
        <is>
          <t>0974888674</t>
        </is>
      </c>
      <c r="D257" s="22">
        <f>IF($C257="","",IFERROR(INDEX(DATA_MASTER!$C$2:$C$5000,MATCH($C257,DATA_MASTER!$D$2:$D$5000,0)),"Lâm Ngọc Hỷ"))</f>
        <v/>
      </c>
      <c r="E257" s="22">
        <f>IF($C257="","",IFERROR(INDEX(DATA_MASTER!$I$2:$I$5000,MATCH($C257,DATA_MASTER!$D$2:$D$5000,0)),""))</f>
        <v/>
      </c>
      <c r="F257" s="22">
        <f>IF($C257="","",IFERROR(INDEX(DATA_MASTER!$L$2:$L$5000,MATCH($C257,DATA_MASTER!$D$2:$D$5000,0)),"ZM"))</f>
        <v/>
      </c>
      <c r="G257" s="24" t="inlineStr">
        <is>
          <t>Sữa Aptamil 380g</t>
        </is>
      </c>
      <c r="H257" s="24" t="n">
        <v>1</v>
      </c>
      <c r="I257" s="30" t="n">
        <v>320000</v>
      </c>
      <c r="J257" s="23">
        <f>IF(OR($H257="",$I257=""),"",$H257*$I257)</f>
        <v/>
      </c>
      <c r="K257" s="24" t="inlineStr">
        <is>
          <t>Chuyển khoản QR</t>
        </is>
      </c>
      <c r="L257" s="24" t="inlineStr">
        <is>
          <t>Chờ chuyển khoản</t>
        </is>
      </c>
      <c r="M257" s="29" t="inlineStr">
        <is>
          <t>10/03/2026</t>
        </is>
      </c>
      <c r="N257" s="28" t="inlineStr">
        <is>
          <t>0974888674</t>
        </is>
      </c>
      <c r="O257" s="24" t="inlineStr">
        <is>
          <t>Lâm Ngọc Hỷ</t>
        </is>
      </c>
      <c r="P257" s="24" t="inlineStr">
        <is>
          <t>Thôn 1, Xã Bù Đăng, TP.Đồng Nai (Đường vô Thác Đứng), Bình Phước</t>
        </is>
      </c>
      <c r="Q257" s="24" t="inlineStr">
        <is>
          <t>Chờ giao</t>
        </is>
      </c>
      <c r="R257" s="24" t="inlineStr">
        <is>
          <t>Long Châu</t>
        </is>
      </c>
      <c r="S257" s="22">
        <f>IF(AND($A257="",$C257=""),"",IF($A257="","Thiếu mã đơn; ","")&amp;IF(COUNTIF($A$2:$A257,$A257)&gt;1,"Trùng mã đơn; ","")&amp;IF(COUNTIF($C$2:$C257,$C257)&gt;1,"Trùng SĐT; ","")&amp;IF(ISNA(MATCH($C257,DATA_MASTER!$D$2:$D$5000,0)),"SĐT chưa đăng ký hội viên; ","")&amp;IF(AND($L257="Đã chuyển khoản",$M257=""),"Thiếu ngày nhận CK; ",""))</f>
        <v/>
      </c>
      <c r="T257" s="24" t="inlineStr"/>
    </row>
    <row r="258" ht="14.25" customHeight="1" s="40">
      <c r="A258" s="24" t="n">
        <v>257</v>
      </c>
      <c r="B258" s="29" t="inlineStr">
        <is>
          <t>10/03/2026</t>
        </is>
      </c>
      <c r="C258" s="28" t="inlineStr">
        <is>
          <t>0337214306</t>
        </is>
      </c>
      <c r="D258" s="22">
        <f>IF($C258="","",IFERROR(INDEX(DATA_MASTER!$C$2:$C$5000,MATCH($C258,DATA_MASTER!$D$2:$D$5000,0)),"Anh Tân"))</f>
        <v/>
      </c>
      <c r="E258" s="22">
        <f>IF($C258="","",IFERROR(INDEX(DATA_MASTER!$I$2:$I$5000,MATCH($C258,DATA_MASTER!$D$2:$D$5000,0)),""))</f>
        <v/>
      </c>
      <c r="F258" s="22">
        <f>IF($C258="","",IFERROR(INDEX(DATA_MASTER!$L$2:$L$5000,MATCH($C258,DATA_MASTER!$D$2:$D$5000,0)),"ZM"))</f>
        <v/>
      </c>
      <c r="G258" s="24" t="inlineStr">
        <is>
          <t>Sữa Aptamil 380g</t>
        </is>
      </c>
      <c r="H258" s="24" t="n">
        <v>1</v>
      </c>
      <c r="I258" s="30" t="n">
        <v>320000</v>
      </c>
      <c r="J258" s="23">
        <f>IF(OR($H258="",$I258=""),"",$H258*$I258)</f>
        <v/>
      </c>
      <c r="K258" s="24" t="inlineStr">
        <is>
          <t>Chuyển khoản QR</t>
        </is>
      </c>
      <c r="L258" s="24" t="inlineStr">
        <is>
          <t>Chờ chuyển khoản</t>
        </is>
      </c>
      <c r="M258" s="29" t="inlineStr">
        <is>
          <t>10/03/2026</t>
        </is>
      </c>
      <c r="N258" s="28" t="inlineStr">
        <is>
          <t>0337214306</t>
        </is>
      </c>
      <c r="O258" s="24" t="inlineStr">
        <is>
          <t>Anh Tân</t>
        </is>
      </c>
      <c r="P258" s="24" t="inlineStr">
        <is>
          <t>14/12 Đường số 7, Hạnh Thông, Gò Vấp, HCM</t>
        </is>
      </c>
      <c r="Q258" s="24" t="inlineStr">
        <is>
          <t>Chờ giao</t>
        </is>
      </c>
      <c r="R258" s="24" t="inlineStr">
        <is>
          <t>Long Châu</t>
        </is>
      </c>
      <c r="S258" s="22">
        <f>IF(AND($A258="",$C258=""),"",IF($A258="","Thiếu mã đơn; ","")&amp;IF(COUNTIF($A$2:$A258,$A258)&gt;1,"Trùng mã đơn; ","")&amp;IF(COUNTIF($C$2:$C258,$C258)&gt;1,"Trùng SĐT; ","")&amp;IF(ISNA(MATCH($C258,DATA_MASTER!$D$2:$D$5000,0)),"SĐT chưa đăng ký hội viên; ","")&amp;IF(AND($L258="Đã chuyển khoản",$M258=""),"Thiếu ngày nhận CK; ",""))</f>
        <v/>
      </c>
      <c r="T258" s="24" t="inlineStr"/>
    </row>
    <row r="259" ht="14.25" customHeight="1" s="40">
      <c r="A259" s="24" t="n">
        <v>258</v>
      </c>
      <c r="B259" s="29" t="inlineStr">
        <is>
          <t>10/03/2026</t>
        </is>
      </c>
      <c r="C259" s="28" t="inlineStr">
        <is>
          <t>0917183168</t>
        </is>
      </c>
      <c r="D259" s="22">
        <f>IF($C259="","",IFERROR(INDEX(DATA_MASTER!$C$2:$C$5000,MATCH($C259,DATA_MASTER!$D$2:$D$5000,0)),"Anh Công"))</f>
        <v/>
      </c>
      <c r="E259" s="22">
        <f>IF($C259="","",IFERROR(INDEX(DATA_MASTER!$I$2:$I$5000,MATCH($C259,DATA_MASTER!$D$2:$D$5000,0)),""))</f>
        <v/>
      </c>
      <c r="F259" s="22">
        <f>IF($C259="","",IFERROR(INDEX(DATA_MASTER!$L$2:$L$5000,MATCH($C259,DATA_MASTER!$D$2:$D$5000,0)),"ZM"))</f>
        <v/>
      </c>
      <c r="G259" s="24" t="inlineStr">
        <is>
          <t>Sữa Aptamil 380g</t>
        </is>
      </c>
      <c r="H259" s="24" t="n">
        <v>1</v>
      </c>
      <c r="I259" s="30" t="n">
        <v>320000</v>
      </c>
      <c r="J259" s="23">
        <f>IF(OR($H259="",$I259=""),"",$H259*$I259)</f>
        <v/>
      </c>
      <c r="K259" s="24" t="inlineStr">
        <is>
          <t>Chuyển khoản QR</t>
        </is>
      </c>
      <c r="L259" s="24" t="inlineStr">
        <is>
          <t>Chờ chuyển khoản</t>
        </is>
      </c>
      <c r="M259" s="29" t="inlineStr">
        <is>
          <t>10/03/2026</t>
        </is>
      </c>
      <c r="N259" s="28" t="inlineStr">
        <is>
          <t>0917183168</t>
        </is>
      </c>
      <c r="O259" s="24" t="inlineStr">
        <is>
          <t>Anh Công</t>
        </is>
      </c>
      <c r="P259" s="24" t="inlineStr">
        <is>
          <t>35 Thích Quảng Đức, Phường Phú Lợi, Thủ Dầu Một, Bình Dương</t>
        </is>
      </c>
      <c r="Q259" s="24" t="inlineStr">
        <is>
          <t>Chờ giao</t>
        </is>
      </c>
      <c r="R259" s="24" t="inlineStr">
        <is>
          <t>Long Châu</t>
        </is>
      </c>
      <c r="S259" s="22">
        <f>IF(AND($A259="",$C259=""),"",IF($A259="","Thiếu mã đơn; ","")&amp;IF(COUNTIF($A$2:$A259,$A259)&gt;1,"Trùng mã đơn; ","")&amp;IF(COUNTIF($C$2:$C259,$C259)&gt;1,"Trùng SĐT; ","")&amp;IF(ISNA(MATCH($C259,DATA_MASTER!$D$2:$D$5000,0)),"SĐT chưa đăng ký hội viên; ","")&amp;IF(AND($L259="Đã chuyển khoản",$M259=""),"Thiếu ngày nhận CK; ",""))</f>
        <v/>
      </c>
      <c r="T259" s="24" t="inlineStr"/>
    </row>
    <row r="260" ht="14.25" customHeight="1" s="40">
      <c r="A260" s="24" t="n">
        <v>259</v>
      </c>
      <c r="B260" s="29" t="inlineStr">
        <is>
          <t>10/06/2026</t>
        </is>
      </c>
      <c r="C260" s="28" t="inlineStr">
        <is>
          <t>0705076737</t>
        </is>
      </c>
      <c r="D260" s="22">
        <f>IF($C260="","",IFERROR(INDEX(DATA_MASTER!$C$2:$C$5000,MATCH($C260,DATA_MASTER!$D$2:$D$5000,0)),"Đoàn Thị Tuyết Nhi"))</f>
        <v/>
      </c>
      <c r="E260" s="22">
        <f>IF($C260="","",IFERROR(INDEX(DATA_MASTER!$I$2:$I$5000,MATCH($C260,DATA_MASTER!$D$2:$D$5000,0)),""))</f>
        <v/>
      </c>
      <c r="F260" s="22">
        <f>IF($C260="","",IFERROR(INDEX(DATA_MASTER!$L$2:$L$5000,MATCH($C260,DATA_MASTER!$D$2:$D$5000,0)),"ZM"))</f>
        <v/>
      </c>
      <c r="G260" s="24" t="inlineStr">
        <is>
          <t>Sữa Aptamil 380g</t>
        </is>
      </c>
      <c r="H260" s="24" t="n">
        <v>1</v>
      </c>
      <c r="I260" s="30" t="n">
        <v>320000</v>
      </c>
      <c r="J260" s="23">
        <f>IF(OR($H260="",$I260=""),"",$H260*$I260)</f>
        <v/>
      </c>
      <c r="K260" s="24" t="inlineStr">
        <is>
          <t>Chuyển khoản QR</t>
        </is>
      </c>
      <c r="L260" s="24" t="inlineStr">
        <is>
          <t>Đã chuyển khoản</t>
        </is>
      </c>
      <c r="M260" s="29" t="inlineStr">
        <is>
          <t>10/06/2026</t>
        </is>
      </c>
      <c r="N260" s="28" t="inlineStr">
        <is>
          <t>0705076737</t>
        </is>
      </c>
      <c r="O260" s="24" t="inlineStr">
        <is>
          <t>Đoàn Thị Tuyết Nhi</t>
        </is>
      </c>
      <c r="P260" s="24" t="inlineStr">
        <is>
          <t>35/1 Thích Quảng Đức, Phường Phú Lợi, Thủ Dầu Một, Bình Dương</t>
        </is>
      </c>
      <c r="Q260" s="24" t="inlineStr">
        <is>
          <t>Đang giao</t>
        </is>
      </c>
      <c r="R260" s="24" t="inlineStr">
        <is>
          <t>Long Châu</t>
        </is>
      </c>
      <c r="S260" s="22">
        <f>IF(AND($A260="",$C260=""),"",IF($A260="","Thiếu mã đơn; ","")&amp;IF(COUNTIF($A$2:$A260,$A260)&gt;1,"Trùng mã đơn; ","")&amp;IF(COUNTIF($C$2:$C260,$C260)&gt;1,"Trùng SĐT; ","")&amp;IF(ISNA(MATCH($C260,DATA_MASTER!$D$2:$D$5000,0)),"SĐT chưa đăng ký hội viên; ","")&amp;IF(AND($L260="Đã chuyển khoản",$M260=""),"Thiếu ngày nhận CK; ",""))</f>
        <v/>
      </c>
      <c r="T260" s="24" t="inlineStr"/>
    </row>
    <row r="261" ht="14.25" customHeight="1" s="40">
      <c r="A261" s="24" t="n">
        <v>260</v>
      </c>
      <c r="B261" s="29" t="inlineStr">
        <is>
          <t>10/03/2026</t>
        </is>
      </c>
      <c r="C261" s="28" t="inlineStr">
        <is>
          <t>0905490390</t>
        </is>
      </c>
      <c r="D261" s="22">
        <f>IF($C261="","",IFERROR(INDEX(DATA_MASTER!$C$2:$C$5000,MATCH($C261,DATA_MASTER!$D$2:$D$5000,0)),"Huỳnh Thị Thanh Thuý"))</f>
        <v/>
      </c>
      <c r="E261" s="22">
        <f>IF($C261="","",IFERROR(INDEX(DATA_MASTER!$I$2:$I$5000,MATCH($C261,DATA_MASTER!$D$2:$D$5000,0)),""))</f>
        <v/>
      </c>
      <c r="F261" s="22">
        <f>IF($C261="","",IFERROR(INDEX(DATA_MASTER!$L$2:$L$5000,MATCH($C261,DATA_MASTER!$D$2:$D$5000,0)),"ZM"))</f>
        <v/>
      </c>
      <c r="G261" s="24" t="inlineStr">
        <is>
          <t>Sữa Aptamil 380g</t>
        </is>
      </c>
      <c r="H261" s="24" t="n">
        <v>1</v>
      </c>
      <c r="I261" s="30" t="n">
        <v>320000</v>
      </c>
      <c r="J261" s="23">
        <f>IF(OR($H261="",$I261=""),"",$H261*$I261)</f>
        <v/>
      </c>
      <c r="K261" s="24" t="inlineStr">
        <is>
          <t>Chuyển khoản QR</t>
        </is>
      </c>
      <c r="L261" s="24" t="inlineStr">
        <is>
          <t>Chờ chuyển khoản</t>
        </is>
      </c>
      <c r="M261" s="29" t="inlineStr">
        <is>
          <t>10/03/2026</t>
        </is>
      </c>
      <c r="N261" s="28" t="inlineStr">
        <is>
          <t>0905490390</t>
        </is>
      </c>
      <c r="O261" s="24" t="inlineStr">
        <is>
          <t>Huỳnh Thị Thanh Thuý</t>
        </is>
      </c>
      <c r="P261" s="24" t="inlineStr">
        <is>
          <t>31C đường số 2, KDC Vĩnh An, Lái Thiêu 115, Thuận An, Bình Dương</t>
        </is>
      </c>
      <c r="Q261" s="24" t="inlineStr">
        <is>
          <t>Chờ giao</t>
        </is>
      </c>
      <c r="R261" s="24" t="inlineStr">
        <is>
          <t>Long Châu</t>
        </is>
      </c>
      <c r="S261" s="22">
        <f>IF(AND($A261="",$C261=""),"",IF($A261="","Thiếu mã đơn; ","")&amp;IF(COUNTIF($A$2:$A261,$A261)&gt;1,"Trùng mã đơn; ","")&amp;IF(COUNTIF($C$2:$C261,$C261)&gt;1,"Trùng SĐT; ","")&amp;IF(ISNA(MATCH($C261,DATA_MASTER!$D$2:$D$5000,0)),"SĐT chưa đăng ký hội viên; ","")&amp;IF(AND($L261="Đã chuyển khoản",$M261=""),"Thiếu ngày nhận CK; ",""))</f>
        <v/>
      </c>
      <c r="T261" s="24" t="inlineStr"/>
    </row>
    <row r="262" ht="14.25" customHeight="1" s="40">
      <c r="A262" s="24" t="n">
        <v>261</v>
      </c>
      <c r="B262" s="29" t="inlineStr">
        <is>
          <t>10/03/2026</t>
        </is>
      </c>
      <c r="C262" s="28" t="inlineStr">
        <is>
          <t>0983623541</t>
        </is>
      </c>
      <c r="D262" s="22">
        <f>IF($C262="","",IFERROR(INDEX(DATA_MASTER!$C$2:$C$5000,MATCH($C262,DATA_MASTER!$D$2:$D$5000,0)),"Nguyễn Thị Uyên"))</f>
        <v/>
      </c>
      <c r="E262" s="22">
        <f>IF($C262="","",IFERROR(INDEX(DATA_MASTER!$I$2:$I$5000,MATCH($C262,DATA_MASTER!$D$2:$D$5000,0)),""))</f>
        <v/>
      </c>
      <c r="F262" s="22">
        <f>IF($C262="","",IFERROR(INDEX(DATA_MASTER!$L$2:$L$5000,MATCH($C262,DATA_MASTER!$D$2:$D$5000,0)),"ZM"))</f>
        <v/>
      </c>
      <c r="G262" s="24" t="inlineStr">
        <is>
          <t>Sữa Aptamil 380g</t>
        </is>
      </c>
      <c r="H262" s="24" t="n">
        <v>1</v>
      </c>
      <c r="I262" s="30" t="n">
        <v>320000</v>
      </c>
      <c r="J262" s="23">
        <f>IF(OR($H262="",$I262=""),"",$H262*$I262)</f>
        <v/>
      </c>
      <c r="K262" s="24" t="inlineStr">
        <is>
          <t>Chuyển khoản QR</t>
        </is>
      </c>
      <c r="L262" s="24" t="inlineStr">
        <is>
          <t>Chờ chuyển khoản</t>
        </is>
      </c>
      <c r="M262" s="29" t="inlineStr">
        <is>
          <t>10/03/2026</t>
        </is>
      </c>
      <c r="N262" s="28" t="inlineStr">
        <is>
          <t>0983623541</t>
        </is>
      </c>
      <c r="O262" s="24" t="inlineStr">
        <is>
          <t>Nguyễn Thị Uyên</t>
        </is>
      </c>
      <c r="P262" s="24" t="inlineStr">
        <is>
          <t>Cây giống Dũng Hằng, Thanh Đức, Thanh Chương, Nghệ An</t>
        </is>
      </c>
      <c r="Q262" s="24" t="inlineStr">
        <is>
          <t>Chờ giao</t>
        </is>
      </c>
      <c r="R262" s="24" t="inlineStr">
        <is>
          <t>Long Châu</t>
        </is>
      </c>
      <c r="S262" s="22">
        <f>IF(AND($A262="",$C262=""),"",IF($A262="","Thiếu mã đơn; ","")&amp;IF(COUNTIF($A$2:$A262,$A262)&gt;1,"Trùng mã đơn; ","")&amp;IF(COUNTIF($C$2:$C262,$C262)&gt;1,"Trùng SĐT; ","")&amp;IF(ISNA(MATCH($C262,DATA_MASTER!$D$2:$D$5000,0)),"SĐT chưa đăng ký hội viên; ","")&amp;IF(AND($L262="Đã chuyển khoản",$M262=""),"Thiếu ngày nhận CK; ",""))</f>
        <v/>
      </c>
      <c r="T262" s="24" t="inlineStr"/>
    </row>
    <row r="263" ht="14.25" customHeight="1" s="40">
      <c r="A263" s="24" t="n">
        <v>262</v>
      </c>
      <c r="B263" s="29" t="inlineStr">
        <is>
          <t>10/03/2026</t>
        </is>
      </c>
      <c r="C263" s="28" t="inlineStr">
        <is>
          <t>0336032525</t>
        </is>
      </c>
      <c r="D263" s="22">
        <f>IF($C263="","",IFERROR(INDEX(DATA_MASTER!$C$2:$C$5000,MATCH($C263,DATA_MASTER!$D$2:$D$5000,0)),"Trần Như Ngọc"))</f>
        <v/>
      </c>
      <c r="E263" s="22">
        <f>IF($C263="","",IFERROR(INDEX(DATA_MASTER!$I$2:$I$5000,MATCH($C263,DATA_MASTER!$D$2:$D$5000,0)),""))</f>
        <v/>
      </c>
      <c r="F263" s="22">
        <f>IF($C263="","",IFERROR(INDEX(DATA_MASTER!$L$2:$L$5000,MATCH($C263,DATA_MASTER!$D$2:$D$5000,0)),"ZM"))</f>
        <v/>
      </c>
      <c r="G263" s="24" t="inlineStr">
        <is>
          <t>Sữa Aptamil 380g</t>
        </is>
      </c>
      <c r="H263" s="24" t="n">
        <v>1</v>
      </c>
      <c r="I263" s="30" t="n">
        <v>320000</v>
      </c>
      <c r="J263" s="23">
        <f>IF(OR($H263="",$I263=""),"",$H263*$I263)</f>
        <v/>
      </c>
      <c r="K263" s="24" t="inlineStr">
        <is>
          <t>Chuyển khoản QR</t>
        </is>
      </c>
      <c r="L263" s="24" t="inlineStr">
        <is>
          <t>Chờ chuyển khoản</t>
        </is>
      </c>
      <c r="M263" s="29" t="inlineStr">
        <is>
          <t>10/03/2026</t>
        </is>
      </c>
      <c r="N263" s="28" t="inlineStr">
        <is>
          <t>0336032525</t>
        </is>
      </c>
      <c r="O263" s="24" t="inlineStr">
        <is>
          <t>Trần Như Ngọc</t>
        </is>
      </c>
      <c r="P263" s="24" t="inlineStr">
        <is>
          <t>Số nhà 23, 66/6 chùa đào nguyên, An Khánh, Hà Nội</t>
        </is>
      </c>
      <c r="Q263" s="24" t="inlineStr">
        <is>
          <t>Chờ giao</t>
        </is>
      </c>
      <c r="R263" s="24" t="inlineStr">
        <is>
          <t>Long Châu</t>
        </is>
      </c>
      <c r="S263" s="22">
        <f>IF(AND($A263="",$C263=""),"",IF($A263="","Thiếu mã đơn; ","")&amp;IF(COUNTIF($A$2:$A263,$A263)&gt;1,"Trùng mã đơn; ","")&amp;IF(COUNTIF($C$2:$C263,$C263)&gt;1,"Trùng SĐT; ","")&amp;IF(ISNA(MATCH($C263,DATA_MASTER!$D$2:$D$5000,0)),"SĐT chưa đăng ký hội viên; ","")&amp;IF(AND($L263="Đã chuyển khoản",$M263=""),"Thiếu ngày nhận CK; ",""))</f>
        <v/>
      </c>
      <c r="T263" s="24" t="inlineStr"/>
    </row>
    <row r="264" ht="14.25" customHeight="1" s="40">
      <c r="A264" s="24" t="n">
        <v>263</v>
      </c>
      <c r="B264" s="29" t="inlineStr">
        <is>
          <t>10/03/2026</t>
        </is>
      </c>
      <c r="C264" s="28" t="inlineStr">
        <is>
          <t>0966707205</t>
        </is>
      </c>
      <c r="D264" s="22">
        <f>IF($C264="","",IFERROR(INDEX(DATA_MASTER!$C$2:$C$5000,MATCH($C264,DATA_MASTER!$D$2:$D$5000,0)),"Minh Anh"))</f>
        <v/>
      </c>
      <c r="E264" s="22">
        <f>IF($C264="","",IFERROR(INDEX(DATA_MASTER!$I$2:$I$5000,MATCH($C264,DATA_MASTER!$D$2:$D$5000,0)),""))</f>
        <v/>
      </c>
      <c r="F264" s="22">
        <f>IF($C264="","",IFERROR(INDEX(DATA_MASTER!$L$2:$L$5000,MATCH($C264,DATA_MASTER!$D$2:$D$5000,0)),"ZM"))</f>
        <v/>
      </c>
      <c r="G264" s="24" t="inlineStr">
        <is>
          <t>Sữa Aptamil 380g</t>
        </is>
      </c>
      <c r="H264" s="24" t="n">
        <v>1</v>
      </c>
      <c r="I264" s="30" t="n">
        <v>320000</v>
      </c>
      <c r="J264" s="23">
        <f>IF(OR($H264="",$I264=""),"",$H264*$I264)</f>
        <v/>
      </c>
      <c r="K264" s="24" t="inlineStr">
        <is>
          <t>Chuyển khoản QR</t>
        </is>
      </c>
      <c r="L264" s="24" t="inlineStr">
        <is>
          <t>Đã chuyển khoản</t>
        </is>
      </c>
      <c r="M264" s="29" t="inlineStr">
        <is>
          <t>10/03/2026</t>
        </is>
      </c>
      <c r="N264" s="28" t="inlineStr">
        <is>
          <t>0966707205</t>
        </is>
      </c>
      <c r="O264" s="24" t="inlineStr">
        <is>
          <t>Minh Anh</t>
        </is>
      </c>
      <c r="P264" s="24" t="inlineStr">
        <is>
          <t>55 Đốc Ngữ, Ngọc Hà, Hà Nội</t>
        </is>
      </c>
      <c r="Q264" s="24" t="inlineStr">
        <is>
          <t>Đã giao</t>
        </is>
      </c>
      <c r="R264" s="24" t="inlineStr">
        <is>
          <t>Long Châu</t>
        </is>
      </c>
      <c r="S264" s="22">
        <f>IF(AND($A264="",$C264=""),"",IF($A264="","Thiếu mã đơn; ","")&amp;IF(COUNTIF($A$2:$A264,$A264)&gt;1,"Trùng mã đơn; ","")&amp;IF(COUNTIF($C$2:$C264,$C264)&gt;1,"Trùng SĐT; ","")&amp;IF(ISNA(MATCH($C264,DATA_MASTER!$D$2:$D$5000,0)),"SĐT chưa đăng ký hội viên; ","")&amp;IF(AND($L264="Đã chuyển khoản",$M264=""),"Thiếu ngày nhận CK; ",""))</f>
        <v/>
      </c>
      <c r="T264" s="24" t="inlineStr"/>
    </row>
    <row r="265" ht="14.25" customHeight="1" s="40">
      <c r="A265" s="24" t="n">
        <v>264</v>
      </c>
      <c r="B265" s="29" t="inlineStr">
        <is>
          <t>10/03/2026</t>
        </is>
      </c>
      <c r="C265" s="28" t="inlineStr">
        <is>
          <t>0865996186</t>
        </is>
      </c>
      <c r="D265" s="22">
        <f>IF($C265="","",IFERROR(INDEX(DATA_MASTER!$C$2:$C$5000,MATCH($C265,DATA_MASTER!$D$2:$D$5000,0)),"Nguyễn Thu Trang"))</f>
        <v/>
      </c>
      <c r="E265" s="22">
        <f>IF($C265="","",IFERROR(INDEX(DATA_MASTER!$I$2:$I$5000,MATCH($C265,DATA_MASTER!$D$2:$D$5000,0)),""))</f>
        <v/>
      </c>
      <c r="F265" s="22">
        <f>IF($C265="","",IFERROR(INDEX(DATA_MASTER!$L$2:$L$5000,MATCH($C265,DATA_MASTER!$D$2:$D$5000,0)),"ZM"))</f>
        <v/>
      </c>
      <c r="G265" s="24" t="inlineStr">
        <is>
          <t>Sữa Aptamil 380g</t>
        </is>
      </c>
      <c r="H265" s="24" t="n">
        <v>1</v>
      </c>
      <c r="I265" s="30" t="n">
        <v>320000</v>
      </c>
      <c r="J265" s="23">
        <f>IF(OR($H265="",$I265=""),"",$H265*$I265)</f>
        <v/>
      </c>
      <c r="K265" s="24" t="inlineStr">
        <is>
          <t>Chuyển khoản QR</t>
        </is>
      </c>
      <c r="L265" s="24" t="inlineStr">
        <is>
          <t>Đã chuyển khoản</t>
        </is>
      </c>
      <c r="M265" s="29" t="inlineStr">
        <is>
          <t>10/03/2026</t>
        </is>
      </c>
      <c r="N265" s="28" t="inlineStr">
        <is>
          <t>0865996186</t>
        </is>
      </c>
      <c r="O265" s="24" t="inlineStr">
        <is>
          <t>Nguyễn Thu Trang</t>
        </is>
      </c>
      <c r="P265" s="24" t="inlineStr">
        <is>
          <t>Toà N05, Ecohame 3, Đông Ngọc, Hà Nội.</t>
        </is>
      </c>
      <c r="Q265" s="24" t="inlineStr">
        <is>
          <t>Đã giao</t>
        </is>
      </c>
      <c r="R265" s="24" t="inlineStr">
        <is>
          <t>Long Châu</t>
        </is>
      </c>
      <c r="S265" s="22">
        <f>IF(AND($A265="",$C265=""),"",IF($A265="","Thiếu mã đơn; ","")&amp;IF(COUNTIF($A$2:$A265,$A265)&gt;1,"Trùng mã đơn; ","")&amp;IF(COUNTIF($C$2:$C265,$C265)&gt;1,"Trùng SĐT; ","")&amp;IF(ISNA(MATCH($C265,DATA_MASTER!$D$2:$D$5000,0)),"SĐT chưa đăng ký hội viên; ","")&amp;IF(AND($L265="Đã chuyển khoản",$M265=""),"Thiếu ngày nhận CK; ",""))</f>
        <v/>
      </c>
      <c r="T265" s="24" t="inlineStr"/>
    </row>
    <row r="266" ht="14.25" customHeight="1" s="40">
      <c r="A266" s="24" t="n">
        <v>265</v>
      </c>
      <c r="B266" s="29" t="inlineStr">
        <is>
          <t>10/03/2026</t>
        </is>
      </c>
      <c r="C266" s="28" t="inlineStr">
        <is>
          <t>0387584848</t>
        </is>
      </c>
      <c r="D266" s="22">
        <f>IF($C266="","",IFERROR(INDEX(DATA_MASTER!$C$2:$C$5000,MATCH($C266,DATA_MASTER!$D$2:$D$5000,0)),"Chị Vân"))</f>
        <v/>
      </c>
      <c r="E266" s="22">
        <f>IF($C266="","",IFERROR(INDEX(DATA_MASTER!$I$2:$I$5000,MATCH($C266,DATA_MASTER!$D$2:$D$5000,0)),""))</f>
        <v/>
      </c>
      <c r="F266" s="22">
        <f>IF($C266="","",IFERROR(INDEX(DATA_MASTER!$L$2:$L$5000,MATCH($C266,DATA_MASTER!$D$2:$D$5000,0)),"ZM"))</f>
        <v/>
      </c>
      <c r="G266" s="24" t="inlineStr">
        <is>
          <t>Sữa Aptamil 380g</t>
        </is>
      </c>
      <c r="H266" s="24" t="n">
        <v>1</v>
      </c>
      <c r="I266" s="30" t="n">
        <v>320000</v>
      </c>
      <c r="J266" s="23">
        <f>IF(OR($H266="",$I266=""),"",$H266*$I266)</f>
        <v/>
      </c>
      <c r="K266" s="24" t="inlineStr">
        <is>
          <t>Chuyển khoản QR</t>
        </is>
      </c>
      <c r="L266" s="24" t="inlineStr">
        <is>
          <t>Đã chuyển khoản</t>
        </is>
      </c>
      <c r="M266" s="29" t="inlineStr">
        <is>
          <t>10/03/2026</t>
        </is>
      </c>
      <c r="N266" s="28" t="inlineStr">
        <is>
          <t>0387584848</t>
        </is>
      </c>
      <c r="O266" s="24" t="inlineStr">
        <is>
          <t>Chị Vân</t>
        </is>
      </c>
      <c r="P266" s="24" t="inlineStr">
        <is>
          <t>Đồ gỗ Hiền Băng, Vân Hà, Thu Lâm, Hà Nội</t>
        </is>
      </c>
      <c r="Q266" s="24" t="inlineStr">
        <is>
          <t>Đã giao</t>
        </is>
      </c>
      <c r="R266" s="24" t="inlineStr">
        <is>
          <t>Sữa 3 Tốt</t>
        </is>
      </c>
      <c r="S266" s="22">
        <f>IF(AND($A266="",$C266=""),"",IF($A266="","Thiếu mã đơn; ","")&amp;IF(COUNTIF($A$2:$A266,$A266)&gt;1,"Trùng mã đơn; ","")&amp;IF(COUNTIF($C$2:$C266,$C266)&gt;1,"Trùng SĐT; ","")&amp;IF(ISNA(MATCH($C266,DATA_MASTER!$D$2:$D$5000,0)),"SĐT chưa đăng ký hội viên; ","")&amp;IF(AND($L266="Đã chuyển khoản",$M266=""),"Thiếu ngày nhận CK; ",""))</f>
        <v/>
      </c>
      <c r="T266" s="24" t="inlineStr">
        <is>
          <t>ĐVVC: Viettel Post</t>
        </is>
      </c>
    </row>
    <row r="267" ht="14.25" customHeight="1" s="40">
      <c r="A267" s="24" t="n">
        <v>266</v>
      </c>
      <c r="B267" s="29" t="inlineStr">
        <is>
          <t>10/03/2026</t>
        </is>
      </c>
      <c r="C267" s="28" t="inlineStr">
        <is>
          <t>0988882922</t>
        </is>
      </c>
      <c r="D267" s="22">
        <f>IF($C267="","",IFERROR(INDEX(DATA_MASTER!$C$2:$C$5000,MATCH($C267,DATA_MASTER!$D$2:$D$5000,0)),"Quỳnh Hoa"))</f>
        <v/>
      </c>
      <c r="E267" s="22">
        <f>IF($C267="","",IFERROR(INDEX(DATA_MASTER!$I$2:$I$5000,MATCH($C267,DATA_MASTER!$D$2:$D$5000,0)),""))</f>
        <v/>
      </c>
      <c r="F267" s="22">
        <f>IF($C267="","",IFERROR(INDEX(DATA_MASTER!$L$2:$L$5000,MATCH($C267,DATA_MASTER!$D$2:$D$5000,0)),"ZM"))</f>
        <v/>
      </c>
      <c r="G267" s="24" t="inlineStr">
        <is>
          <t>Sữa Aptamil 380g</t>
        </is>
      </c>
      <c r="H267" s="24" t="n">
        <v>1</v>
      </c>
      <c r="I267" s="30" t="n">
        <v>320000</v>
      </c>
      <c r="J267" s="23">
        <f>IF(OR($H267="",$I267=""),"",$H267*$I267)</f>
        <v/>
      </c>
      <c r="K267" s="24" t="inlineStr">
        <is>
          <t>Chuyển khoản QR</t>
        </is>
      </c>
      <c r="L267" s="24" t="inlineStr">
        <is>
          <t>Đã chuyển khoản</t>
        </is>
      </c>
      <c r="M267" s="29" t="inlineStr">
        <is>
          <t>10/03/2026</t>
        </is>
      </c>
      <c r="N267" s="28" t="inlineStr">
        <is>
          <t>0988882922</t>
        </is>
      </c>
      <c r="O267" s="24" t="inlineStr">
        <is>
          <t>Quỳnh Hoa</t>
        </is>
      </c>
      <c r="P267" s="24" t="inlineStr">
        <is>
          <t>Số 7, ngõ 113, phố Vĩnh Hồ, Đống Đa., Hà Nội</t>
        </is>
      </c>
      <c r="Q267" s="24" t="inlineStr">
        <is>
          <t>Đã giao</t>
        </is>
      </c>
      <c r="R267" s="24" t="inlineStr">
        <is>
          <t>Sữa 3 Tốt</t>
        </is>
      </c>
      <c r="S267" s="22">
        <f>IF(AND($A267="",$C267=""),"",IF($A267="","Thiếu mã đơn; ","")&amp;IF(COUNTIF($A$2:$A267,$A267)&gt;1,"Trùng mã đơn; ","")&amp;IF(COUNTIF($C$2:$C267,$C267)&gt;1,"Trùng SĐT; ","")&amp;IF(ISNA(MATCH($C267,DATA_MASTER!$D$2:$D$5000,0)),"SĐT chưa đăng ký hội viên; ","")&amp;IF(AND($L267="Đã chuyển khoản",$M267=""),"Thiếu ngày nhận CK; ",""))</f>
        <v/>
      </c>
      <c r="T267" s="24" t="inlineStr">
        <is>
          <t>ĐVVC: Shipper riêng</t>
        </is>
      </c>
    </row>
    <row r="268" ht="14.25" customHeight="1" s="40">
      <c r="A268" s="24" t="n">
        <v>267</v>
      </c>
      <c r="B268" s="29" t="inlineStr">
        <is>
          <t>10/03/2026</t>
        </is>
      </c>
      <c r="C268" s="28" t="inlineStr">
        <is>
          <t>0929402002</t>
        </is>
      </c>
      <c r="D268" s="22">
        <f>IF($C268="","",IFERROR(INDEX(DATA_MASTER!$C$2:$C$5000,MATCH($C268,DATA_MASTER!$D$2:$D$5000,0)),"Cao Trà My"))</f>
        <v/>
      </c>
      <c r="E268" s="22">
        <f>IF($C268="","",IFERROR(INDEX(DATA_MASTER!$I$2:$I$5000,MATCH($C268,DATA_MASTER!$D$2:$D$5000,0)),""))</f>
        <v/>
      </c>
      <c r="F268" s="22">
        <f>IF($C268="","",IFERROR(INDEX(DATA_MASTER!$L$2:$L$5000,MATCH($C268,DATA_MASTER!$D$2:$D$5000,0)),"ZM"))</f>
        <v/>
      </c>
      <c r="G268" s="24" t="inlineStr">
        <is>
          <t>Sữa Aptamil 380g</t>
        </is>
      </c>
      <c r="H268" s="24" t="n">
        <v>1</v>
      </c>
      <c r="I268" s="30" t="n">
        <v>320000</v>
      </c>
      <c r="J268" s="23">
        <f>IF(OR($H268="",$I268=""),"",$H268*$I268)</f>
        <v/>
      </c>
      <c r="K268" s="24" t="inlineStr">
        <is>
          <t>Chuyển khoản QR</t>
        </is>
      </c>
      <c r="L268" s="24" t="inlineStr">
        <is>
          <t>Đã chuyển khoản</t>
        </is>
      </c>
      <c r="M268" s="29" t="inlineStr">
        <is>
          <t>10/03/2026</t>
        </is>
      </c>
      <c r="N268" s="28" t="inlineStr">
        <is>
          <t>0929402002</t>
        </is>
      </c>
      <c r="O268" s="24" t="inlineStr">
        <is>
          <t>Cao Trà My</t>
        </is>
      </c>
      <c r="P268" s="24" t="inlineStr">
        <is>
          <t>32 Thịnh Quang, Đống Đa, Hà Nội</t>
        </is>
      </c>
      <c r="Q268" s="24" t="inlineStr">
        <is>
          <t>Đã giao</t>
        </is>
      </c>
      <c r="R268" s="24" t="inlineStr">
        <is>
          <t>Sữa 3 Tốt</t>
        </is>
      </c>
      <c r="S268" s="22">
        <f>IF(AND($A268="",$C268=""),"",IF($A268="","Thiếu mã đơn; ","")&amp;IF(COUNTIF($A$2:$A268,$A268)&gt;1,"Trùng mã đơn; ","")&amp;IF(COUNTIF($C$2:$C268,$C268)&gt;1,"Trùng SĐT; ","")&amp;IF(ISNA(MATCH($C268,DATA_MASTER!$D$2:$D$5000,0)),"SĐT chưa đăng ký hội viên; ","")&amp;IF(AND($L268="Đã chuyển khoản",$M268=""),"Thiếu ngày nhận CK; ",""))</f>
        <v/>
      </c>
      <c r="T268" s="24" t="inlineStr">
        <is>
          <t>ĐVVC: Shipper riêng</t>
        </is>
      </c>
    </row>
    <row r="269" ht="14.25" customHeight="1" s="40">
      <c r="A269" s="24" t="n">
        <v>268</v>
      </c>
      <c r="B269" s="29" t="inlineStr">
        <is>
          <t>10/04/2026</t>
        </is>
      </c>
      <c r="C269" s="28" t="inlineStr">
        <is>
          <t>0827851678</t>
        </is>
      </c>
      <c r="D269" s="22">
        <f>IF($C269="","",IFERROR(INDEX(DATA_MASTER!$C$2:$C$5000,MATCH($C269,DATA_MASTER!$D$2:$D$5000,0)),"Đặng Thị Hoa"))</f>
        <v/>
      </c>
      <c r="E269" s="22">
        <f>IF($C269="","",IFERROR(INDEX(DATA_MASTER!$I$2:$I$5000,MATCH($C269,DATA_MASTER!$D$2:$D$5000,0)),""))</f>
        <v/>
      </c>
      <c r="F269" s="22">
        <f>IF($C269="","",IFERROR(INDEX(DATA_MASTER!$L$2:$L$5000,MATCH($C269,DATA_MASTER!$D$2:$D$5000,0)),"ZM"))</f>
        <v/>
      </c>
      <c r="G269" s="24" t="inlineStr">
        <is>
          <t>Sữa Aptamil 380g</t>
        </is>
      </c>
      <c r="H269" s="24" t="n">
        <v>1</v>
      </c>
      <c r="I269" s="30" t="n">
        <v>320000</v>
      </c>
      <c r="J269" s="23">
        <f>IF(OR($H269="",$I269=""),"",$H269*$I269)</f>
        <v/>
      </c>
      <c r="K269" s="24" t="inlineStr">
        <is>
          <t>Chuyển khoản QR</t>
        </is>
      </c>
      <c r="L269" s="24" t="inlineStr">
        <is>
          <t>Đã chuyển khoản</t>
        </is>
      </c>
      <c r="M269" s="29" t="inlineStr">
        <is>
          <t>10/04/2026</t>
        </is>
      </c>
      <c r="N269" s="28" t="inlineStr">
        <is>
          <t>0827851678</t>
        </is>
      </c>
      <c r="O269" s="24" t="inlineStr">
        <is>
          <t>Đặng Thị Hoa</t>
        </is>
      </c>
      <c r="P269" s="24" t="inlineStr">
        <is>
          <t>136 Hồ Tùng Mậu, Hà Nội</t>
        </is>
      </c>
      <c r="Q269" s="24" t="inlineStr">
        <is>
          <t>Đã giao</t>
        </is>
      </c>
      <c r="R269" s="24" t="inlineStr">
        <is>
          <t>Long Châu</t>
        </is>
      </c>
      <c r="S269" s="22">
        <f>IF(AND($A269="",$C269=""),"",IF($A269="","Thiếu mã đơn; ","")&amp;IF(COUNTIF($A$2:$A269,$A269)&gt;1,"Trùng mã đơn; ","")&amp;IF(COUNTIF($C$2:$C269,$C269)&gt;1,"Trùng SĐT; ","")&amp;IF(ISNA(MATCH($C269,DATA_MASTER!$D$2:$D$5000,0)),"SĐT chưa đăng ký hội viên; ","")&amp;IF(AND($L269="Đã chuyển khoản",$M269=""),"Thiếu ngày nhận CK; ",""))</f>
        <v/>
      </c>
      <c r="T269" s="24" t="inlineStr"/>
    </row>
    <row r="270" ht="14.25" customHeight="1" s="40">
      <c r="A270" s="24" t="n">
        <v>269</v>
      </c>
      <c r="B270" s="29" t="inlineStr">
        <is>
          <t>10/04/2026</t>
        </is>
      </c>
      <c r="C270" s="28" t="inlineStr">
        <is>
          <t>0967097534</t>
        </is>
      </c>
      <c r="D270" s="22">
        <f>IF($C270="","",IFERROR(INDEX(DATA_MASTER!$C$2:$C$5000,MATCH($C270,DATA_MASTER!$D$2:$D$5000,0)),"Thanh Tuyến"))</f>
        <v/>
      </c>
      <c r="E270" s="22">
        <f>IF($C270="","",IFERROR(INDEX(DATA_MASTER!$I$2:$I$5000,MATCH($C270,DATA_MASTER!$D$2:$D$5000,0)),""))</f>
        <v/>
      </c>
      <c r="F270" s="22">
        <f>IF($C270="","",IFERROR(INDEX(DATA_MASTER!$L$2:$L$5000,MATCH($C270,DATA_MASTER!$D$2:$D$5000,0)),"ZM"))</f>
        <v/>
      </c>
      <c r="G270" s="24" t="inlineStr">
        <is>
          <t>Sữa Aptamil 380g</t>
        </is>
      </c>
      <c r="H270" s="24" t="n">
        <v>1</v>
      </c>
      <c r="I270" s="30" t="n">
        <v>320000</v>
      </c>
      <c r="J270" s="23">
        <f>IF(OR($H270="",$I270=""),"",$H270*$I270)</f>
        <v/>
      </c>
      <c r="K270" s="24" t="inlineStr">
        <is>
          <t>Chuyển khoản QR</t>
        </is>
      </c>
      <c r="L270" s="24" t="inlineStr">
        <is>
          <t>Đã chuyển khoản</t>
        </is>
      </c>
      <c r="M270" s="29" t="inlineStr">
        <is>
          <t>10/04/2026</t>
        </is>
      </c>
      <c r="N270" s="28" t="inlineStr">
        <is>
          <t>0967097534</t>
        </is>
      </c>
      <c r="O270" s="24" t="inlineStr">
        <is>
          <t>Thanh Tuyến</t>
        </is>
      </c>
      <c r="P270" s="24" t="inlineStr">
        <is>
          <t>46 Phạm Ngọc Thạch, Hà Nội</t>
        </is>
      </c>
      <c r="Q270" s="24" t="inlineStr">
        <is>
          <t>Đã giao</t>
        </is>
      </c>
      <c r="R270" s="24" t="inlineStr">
        <is>
          <t>Long Châu</t>
        </is>
      </c>
      <c r="S270" s="22">
        <f>IF(AND($A270="",$C270=""),"",IF($A270="","Thiếu mã đơn; ","")&amp;IF(COUNTIF($A$2:$A270,$A270)&gt;1,"Trùng mã đơn; ","")&amp;IF(COUNTIF($C$2:$C270,$C270)&gt;1,"Trùng SĐT; ","")&amp;IF(ISNA(MATCH($C270,DATA_MASTER!$D$2:$D$5000,0)),"SĐT chưa đăng ký hội viên; ","")&amp;IF(AND($L270="Đã chuyển khoản",$M270=""),"Thiếu ngày nhận CK; ",""))</f>
        <v/>
      </c>
      <c r="T270" s="24" t="inlineStr"/>
    </row>
    <row r="271" ht="14.25" customHeight="1" s="40">
      <c r="A271" s="24" t="n">
        <v>270</v>
      </c>
      <c r="B271" s="29" t="inlineStr">
        <is>
          <t>10/04/2026</t>
        </is>
      </c>
      <c r="C271" s="28" t="inlineStr">
        <is>
          <t>0358820089</t>
        </is>
      </c>
      <c r="D271" s="22">
        <f>IF($C271="","",IFERROR(INDEX(DATA_MASTER!$C$2:$C$5000,MATCH($C271,DATA_MASTER!$D$2:$D$5000,0)),"Nguyễn Thị Hoa"))</f>
        <v/>
      </c>
      <c r="E271" s="22">
        <f>IF($C271="","",IFERROR(INDEX(DATA_MASTER!$I$2:$I$5000,MATCH($C271,DATA_MASTER!$D$2:$D$5000,0)),""))</f>
        <v/>
      </c>
      <c r="F271" s="22">
        <f>IF($C271="","",IFERROR(INDEX(DATA_MASTER!$L$2:$L$5000,MATCH($C271,DATA_MASTER!$D$2:$D$5000,0)),"ZM"))</f>
        <v/>
      </c>
      <c r="G271" s="24" t="inlineStr">
        <is>
          <t>Sữa Aptamil 380g</t>
        </is>
      </c>
      <c r="H271" s="24" t="n">
        <v>1</v>
      </c>
      <c r="I271" s="30" t="n">
        <v>320000</v>
      </c>
      <c r="J271" s="23">
        <f>IF(OR($H271="",$I271=""),"",$H271*$I271)</f>
        <v/>
      </c>
      <c r="K271" s="24" t="inlineStr">
        <is>
          <t>Chuyển khoản QR</t>
        </is>
      </c>
      <c r="L271" s="24" t="inlineStr">
        <is>
          <t>Đã chuyển khoản</t>
        </is>
      </c>
      <c r="M271" s="29" t="inlineStr">
        <is>
          <t>10/04/2026</t>
        </is>
      </c>
      <c r="N271" s="28" t="inlineStr">
        <is>
          <t>0358820089</t>
        </is>
      </c>
      <c r="O271" s="24" t="inlineStr">
        <is>
          <t>Nguyễn Thị Hoa</t>
        </is>
      </c>
      <c r="P271" s="24" t="inlineStr">
        <is>
          <t>36 TT115, KĐT Xuân Phương, Nam Từ Liêm, Hà Nội</t>
        </is>
      </c>
      <c r="Q271" s="24" t="inlineStr">
        <is>
          <t>Đã giao</t>
        </is>
      </c>
      <c r="R271" s="24" t="inlineStr">
        <is>
          <t>Long Châu</t>
        </is>
      </c>
      <c r="S271" s="22">
        <f>IF(AND($A271="",$C271=""),"",IF($A271="","Thiếu mã đơn; ","")&amp;IF(COUNTIF($A$2:$A271,$A271)&gt;1,"Trùng mã đơn; ","")&amp;IF(COUNTIF($C$2:$C271,$C271)&gt;1,"Trùng SĐT; ","")&amp;IF(ISNA(MATCH($C271,DATA_MASTER!$D$2:$D$5000,0)),"SĐT chưa đăng ký hội viên; ","")&amp;IF(AND($L271="Đã chuyển khoản",$M271=""),"Thiếu ngày nhận CK; ",""))</f>
        <v/>
      </c>
      <c r="T271" s="24" t="inlineStr"/>
    </row>
    <row r="272" ht="14.25" customHeight="1" s="40">
      <c r="A272" s="24" t="n">
        <v>271</v>
      </c>
      <c r="B272" s="29" t="inlineStr">
        <is>
          <t>10/04/2026</t>
        </is>
      </c>
      <c r="C272" s="28" t="inlineStr">
        <is>
          <t>0911408686</t>
        </is>
      </c>
      <c r="D272" s="22">
        <f>IF($C272="","",IFERROR(INDEX(DATA_MASTER!$C$2:$C$5000,MATCH($C272,DATA_MASTER!$D$2:$D$5000,0)),"Đào Lưu Ly"))</f>
        <v/>
      </c>
      <c r="E272" s="22">
        <f>IF($C272="","",IFERROR(INDEX(DATA_MASTER!$I$2:$I$5000,MATCH($C272,DATA_MASTER!$D$2:$D$5000,0)),""))</f>
        <v/>
      </c>
      <c r="F272" s="22">
        <f>IF($C272="","",IFERROR(INDEX(DATA_MASTER!$L$2:$L$5000,MATCH($C272,DATA_MASTER!$D$2:$D$5000,0)),"ZM"))</f>
        <v/>
      </c>
      <c r="G272" s="24" t="inlineStr">
        <is>
          <t>Sữa Aptamil 380g</t>
        </is>
      </c>
      <c r="H272" s="24" t="n">
        <v>1</v>
      </c>
      <c r="I272" s="30" t="n">
        <v>320000</v>
      </c>
      <c r="J272" s="23">
        <f>IF(OR($H272="",$I272=""),"",$H272*$I272)</f>
        <v/>
      </c>
      <c r="K272" s="24" t="inlineStr">
        <is>
          <t>Chuyển khoản QR</t>
        </is>
      </c>
      <c r="L272" s="24" t="inlineStr">
        <is>
          <t>Đã chuyển khoản</t>
        </is>
      </c>
      <c r="M272" s="29" t="inlineStr">
        <is>
          <t>10/04/2026</t>
        </is>
      </c>
      <c r="N272" s="28" t="inlineStr">
        <is>
          <t>0911408686</t>
        </is>
      </c>
      <c r="O272" s="24" t="inlineStr">
        <is>
          <t>Đào Lưu Ly</t>
        </is>
      </c>
      <c r="P272" s="24" t="inlineStr">
        <is>
          <t>Tập thể Bưu Điện, ngỏ 84, chùa Láng, Hà Nội</t>
        </is>
      </c>
      <c r="Q272" s="24" t="inlineStr">
        <is>
          <t>Đã giao</t>
        </is>
      </c>
      <c r="R272" s="24" t="inlineStr">
        <is>
          <t>Long Châu</t>
        </is>
      </c>
      <c r="S272" s="22">
        <f>IF(AND($A272="",$C272=""),"",IF($A272="","Thiếu mã đơn; ","")&amp;IF(COUNTIF($A$2:$A272,$A272)&gt;1,"Trùng mã đơn; ","")&amp;IF(COUNTIF($C$2:$C272,$C272)&gt;1,"Trùng SĐT; ","")&amp;IF(ISNA(MATCH($C272,DATA_MASTER!$D$2:$D$5000,0)),"SĐT chưa đăng ký hội viên; ","")&amp;IF(AND($L272="Đã chuyển khoản",$M272=""),"Thiếu ngày nhận CK; ",""))</f>
        <v/>
      </c>
      <c r="T272" s="24" t="inlineStr"/>
    </row>
    <row r="273" ht="14.25" customHeight="1" s="40">
      <c r="A273" s="24" t="n">
        <v>272</v>
      </c>
      <c r="B273" s="29" t="inlineStr">
        <is>
          <t>10/04/2026</t>
        </is>
      </c>
      <c r="C273" s="28" t="inlineStr">
        <is>
          <t>0862314821</t>
        </is>
      </c>
      <c r="D273" s="22">
        <f>IF($C273="","",IFERROR(INDEX(DATA_MASTER!$C$2:$C$5000,MATCH($C273,DATA_MASTER!$D$2:$D$5000,0)),"Chị Quỳnh"))</f>
        <v/>
      </c>
      <c r="E273" s="22">
        <f>IF($C273="","",IFERROR(INDEX(DATA_MASTER!$I$2:$I$5000,MATCH($C273,DATA_MASTER!$D$2:$D$5000,0)),""))</f>
        <v/>
      </c>
      <c r="F273" s="22">
        <f>IF($C273="","",IFERROR(INDEX(DATA_MASTER!$L$2:$L$5000,MATCH($C273,DATA_MASTER!$D$2:$D$5000,0)),"ZM"))</f>
        <v/>
      </c>
      <c r="G273" s="24" t="inlineStr">
        <is>
          <t>Sữa Aptamil 380g</t>
        </is>
      </c>
      <c r="H273" s="24" t="n">
        <v>1</v>
      </c>
      <c r="I273" s="30" t="n">
        <v>320000</v>
      </c>
      <c r="J273" s="23">
        <f>IF(OR($H273="",$I273=""),"",$H273*$I273)</f>
        <v/>
      </c>
      <c r="K273" s="24" t="inlineStr">
        <is>
          <t>Chuyển khoản QR</t>
        </is>
      </c>
      <c r="L273" s="24" t="inlineStr">
        <is>
          <t>Đã chuyển khoản</t>
        </is>
      </c>
      <c r="M273" s="29" t="inlineStr">
        <is>
          <t>10/04/2026</t>
        </is>
      </c>
      <c r="N273" s="28" t="inlineStr">
        <is>
          <t>0862314821</t>
        </is>
      </c>
      <c r="O273" s="24" t="inlineStr">
        <is>
          <t>Chị Quỳnh</t>
        </is>
      </c>
      <c r="P273" s="24" t="inlineStr">
        <is>
          <t>21B Ngỏ 167 Dương Quãng Hàm, Hà Nội</t>
        </is>
      </c>
      <c r="Q273" s="24" t="inlineStr">
        <is>
          <t>Đã giao</t>
        </is>
      </c>
      <c r="R273" s="24" t="inlineStr">
        <is>
          <t>Long Châu</t>
        </is>
      </c>
      <c r="S273" s="22">
        <f>IF(AND($A273="",$C273=""),"",IF($A273="","Thiếu mã đơn; ","")&amp;IF(COUNTIF($A$2:$A273,$A273)&gt;1,"Trùng mã đơn; ","")&amp;IF(COUNTIF($C$2:$C273,$C273)&gt;1,"Trùng SĐT; ","")&amp;IF(ISNA(MATCH($C273,DATA_MASTER!$D$2:$D$5000,0)),"SĐT chưa đăng ký hội viên; ","")&amp;IF(AND($L273="Đã chuyển khoản",$M273=""),"Thiếu ngày nhận CK; ",""))</f>
        <v/>
      </c>
      <c r="T273" s="24" t="inlineStr"/>
    </row>
    <row r="274" ht="14.25" customHeight="1" s="40">
      <c r="A274" s="24" t="n">
        <v>273</v>
      </c>
      <c r="B274" s="29" t="inlineStr">
        <is>
          <t>10/04/2026</t>
        </is>
      </c>
      <c r="C274" s="28" t="inlineStr">
        <is>
          <t>0834031197</t>
        </is>
      </c>
      <c r="D274" s="22">
        <f>IF($C274="","",IFERROR(INDEX(DATA_MASTER!$C$2:$C$5000,MATCH($C274,DATA_MASTER!$D$2:$D$5000,0)),"Chị Quỳnh"))</f>
        <v/>
      </c>
      <c r="E274" s="22">
        <f>IF($C274="","",IFERROR(INDEX(DATA_MASTER!$I$2:$I$5000,MATCH($C274,DATA_MASTER!$D$2:$D$5000,0)),""))</f>
        <v/>
      </c>
      <c r="F274" s="22">
        <f>IF($C274="","",IFERROR(INDEX(DATA_MASTER!$L$2:$L$5000,MATCH($C274,DATA_MASTER!$D$2:$D$5000,0)),"ZM"))</f>
        <v/>
      </c>
      <c r="G274" s="24" t="inlineStr">
        <is>
          <t>Sữa Aptamil 380g</t>
        </is>
      </c>
      <c r="H274" s="24" t="n">
        <v>1</v>
      </c>
      <c r="I274" s="30" t="n">
        <v>320000</v>
      </c>
      <c r="J274" s="23">
        <f>IF(OR($H274="",$I274=""),"",$H274*$I274)</f>
        <v/>
      </c>
      <c r="K274" s="24" t="inlineStr">
        <is>
          <t>Chuyển khoản QR</t>
        </is>
      </c>
      <c r="L274" s="24" t="inlineStr">
        <is>
          <t>Đã chuyển khoản</t>
        </is>
      </c>
      <c r="M274" s="29" t="inlineStr">
        <is>
          <t>10/04/2026</t>
        </is>
      </c>
      <c r="N274" s="28" t="inlineStr">
        <is>
          <t>0834031197</t>
        </is>
      </c>
      <c r="O274" s="24" t="inlineStr">
        <is>
          <t>Chị Quỳnh</t>
        </is>
      </c>
      <c r="P274" s="24" t="inlineStr">
        <is>
          <t>260/20 Phú Định, phường Phú Định, Tp.HCM</t>
        </is>
      </c>
      <c r="Q274" s="24" t="inlineStr">
        <is>
          <t>Đã giao</t>
        </is>
      </c>
      <c r="R274" s="24" t="inlineStr">
        <is>
          <t>Long Châu</t>
        </is>
      </c>
      <c r="S274" s="22">
        <f>IF(AND($A274="",$C274=""),"",IF($A274="","Thiếu mã đơn; ","")&amp;IF(COUNTIF($A$2:$A274,$A274)&gt;1,"Trùng mã đơn; ","")&amp;IF(COUNTIF($C$2:$C274,$C274)&gt;1,"Trùng SĐT; ","")&amp;IF(ISNA(MATCH($C274,DATA_MASTER!$D$2:$D$5000,0)),"SĐT chưa đăng ký hội viên; ","")&amp;IF(AND($L274="Đã chuyển khoản",$M274=""),"Thiếu ngày nhận CK; ",""))</f>
        <v/>
      </c>
      <c r="T274" s="24" t="inlineStr"/>
    </row>
    <row r="275" ht="14.25" customHeight="1" s="40">
      <c r="A275" s="24" t="n">
        <v>274</v>
      </c>
      <c r="B275" s="29" t="inlineStr">
        <is>
          <t>10/06/2026</t>
        </is>
      </c>
      <c r="C275" s="28" t="inlineStr">
        <is>
          <t>0968362070</t>
        </is>
      </c>
      <c r="D275" s="22">
        <f>IF($C275="","",IFERROR(INDEX(DATA_MASTER!$C$2:$C$5000,MATCH($C275,DATA_MASTER!$D$2:$D$5000,0)),"Lê Thị Hoài 
  0968362070"))</f>
        <v/>
      </c>
      <c r="E275" s="22">
        <f>IF($C275="","",IFERROR(INDEX(DATA_MASTER!$I$2:$I$5000,MATCH($C275,DATA_MASTER!$D$2:$D$5000,0)),""))</f>
        <v/>
      </c>
      <c r="F275" s="22">
        <f>IF($C275="","",IFERROR(INDEX(DATA_MASTER!$L$2:$L$5000,MATCH($C275,DATA_MASTER!$D$2:$D$5000,0)),"ZM"))</f>
        <v/>
      </c>
      <c r="G275" s="24" t="inlineStr">
        <is>
          <t>Sữa Aptamil 380g</t>
        </is>
      </c>
      <c r="H275" s="24" t="n">
        <v>1</v>
      </c>
      <c r="I275" s="30" t="n">
        <v>320000</v>
      </c>
      <c r="J275" s="23">
        <f>IF(OR($H275="",$I275=""),"",$H275*$I275)</f>
        <v/>
      </c>
      <c r="K275" s="24" t="inlineStr">
        <is>
          <t>Chuyển khoản QR</t>
        </is>
      </c>
      <c r="L275" s="24" t="inlineStr">
        <is>
          <t>Đã chuyển khoản</t>
        </is>
      </c>
      <c r="M275" s="29" t="inlineStr">
        <is>
          <t>10/06/2026</t>
        </is>
      </c>
      <c r="N275" s="28" t="inlineStr">
        <is>
          <t>0968362070</t>
        </is>
      </c>
      <c r="O275" s="24" t="inlineStr">
        <is>
          <t>Lê Thị Hoài 
  0968362070</t>
        </is>
      </c>
      <c r="P275" s="24" t="inlineStr">
        <is>
          <t>45/19 Lạc Trung- Vĩnh Tuy- HN, Hà Nội</t>
        </is>
      </c>
      <c r="Q275" s="24" t="inlineStr">
        <is>
          <t>Đang giao</t>
        </is>
      </c>
      <c r="R275" s="24" t="inlineStr">
        <is>
          <t>Mẹ Ơi</t>
        </is>
      </c>
      <c r="S275" s="22">
        <f>IF(AND($A275="",$C275=""),"",IF($A275="","Thiếu mã đơn; ","")&amp;IF(COUNTIF($A$2:$A275,$A275)&gt;1,"Trùng mã đơn; ","")&amp;IF(COUNTIF($C$2:$C275,$C275)&gt;1,"Trùng SĐT; ","")&amp;IF(ISNA(MATCH($C275,DATA_MASTER!$D$2:$D$5000,0)),"SĐT chưa đăng ký hội viên; ","")&amp;IF(AND($L275="Đã chuyển khoản",$M275=""),"Thiếu ngày nhận CK; ",""))</f>
        <v/>
      </c>
      <c r="T275" s="24" t="inlineStr">
        <is>
          <t>ĐVVC: Ahamove</t>
        </is>
      </c>
    </row>
    <row r="276" ht="14.25" customHeight="1" s="40">
      <c r="A276" s="24" t="n">
        <v>275</v>
      </c>
      <c r="B276" s="29" t="inlineStr">
        <is>
          <t>10/06/2026</t>
        </is>
      </c>
      <c r="C276" s="28" t="inlineStr">
        <is>
          <t>0944424593</t>
        </is>
      </c>
      <c r="D276" s="22">
        <f>IF($C276="","",IFERROR(INDEX(DATA_MASTER!$C$2:$C$5000,MATCH($C276,DATA_MASTER!$D$2:$D$5000,0)),"Nguyễn Dương"))</f>
        <v/>
      </c>
      <c r="E276" s="22">
        <f>IF($C276="","",IFERROR(INDEX(DATA_MASTER!$I$2:$I$5000,MATCH($C276,DATA_MASTER!$D$2:$D$5000,0)),""))</f>
        <v/>
      </c>
      <c r="F276" s="22">
        <f>IF($C276="","",IFERROR(INDEX(DATA_MASTER!$L$2:$L$5000,MATCH($C276,DATA_MASTER!$D$2:$D$5000,0)),"ZM"))</f>
        <v/>
      </c>
      <c r="G276" s="24" t="inlineStr">
        <is>
          <t>Sữa Aptamil 380g</t>
        </is>
      </c>
      <c r="H276" s="24" t="n">
        <v>1</v>
      </c>
      <c r="I276" s="30" t="n">
        <v>320000</v>
      </c>
      <c r="J276" s="23">
        <f>IF(OR($H276="",$I276=""),"",$H276*$I276)</f>
        <v/>
      </c>
      <c r="K276" s="24" t="inlineStr">
        <is>
          <t>Chuyển khoản QR</t>
        </is>
      </c>
      <c r="L276" s="24" t="inlineStr">
        <is>
          <t>Đã chuyển khoản</t>
        </is>
      </c>
      <c r="M276" s="29" t="inlineStr">
        <is>
          <t>10/06/2026</t>
        </is>
      </c>
      <c r="N276" s="28" t="inlineStr">
        <is>
          <t>0944424593</t>
        </is>
      </c>
      <c r="O276" s="24" t="inlineStr">
        <is>
          <t>Nguyễn Dương</t>
        </is>
      </c>
      <c r="P276" s="24" t="inlineStr">
        <is>
          <t>CT1 Gleximco- 727 Tam Trinh- Hoàng Mai- HN, Hà Nội</t>
        </is>
      </c>
      <c r="Q276" s="24" t="inlineStr">
        <is>
          <t>Đã giao</t>
        </is>
      </c>
      <c r="R276" s="24" t="inlineStr">
        <is>
          <t>Mẹ Ơi</t>
        </is>
      </c>
      <c r="S276" s="22">
        <f>IF(AND($A276="",$C276=""),"",IF($A276="","Thiếu mã đơn; ","")&amp;IF(COUNTIF($A$2:$A276,$A276)&gt;1,"Trùng mã đơn; ","")&amp;IF(COUNTIF($C$2:$C276,$C276)&gt;1,"Trùng SĐT; ","")&amp;IF(ISNA(MATCH($C276,DATA_MASTER!$D$2:$D$5000,0)),"SĐT chưa đăng ký hội viên; ","")&amp;IF(AND($L276="Đã chuyển khoản",$M276=""),"Thiếu ngày nhận CK; ",""))</f>
        <v/>
      </c>
      <c r="T276" s="24" t="inlineStr">
        <is>
          <t>ĐVVC: Ahamove</t>
        </is>
      </c>
    </row>
    <row r="277" ht="14.25" customHeight="1" s="40">
      <c r="A277" s="24" t="n">
        <v>276</v>
      </c>
      <c r="B277" s="29" t="inlineStr">
        <is>
          <t>10/06/2026</t>
        </is>
      </c>
      <c r="C277" s="28" t="inlineStr">
        <is>
          <t>0972886743</t>
        </is>
      </c>
      <c r="D277" s="22">
        <f>IF($C277="","",IFERROR(INDEX(DATA_MASTER!$C$2:$C$5000,MATCH($C277,DATA_MASTER!$D$2:$D$5000,0)),"Nguyễn Thị Xuyến"))</f>
        <v/>
      </c>
      <c r="E277" s="22">
        <f>IF($C277="","",IFERROR(INDEX(DATA_MASTER!$I$2:$I$5000,MATCH($C277,DATA_MASTER!$D$2:$D$5000,0)),""))</f>
        <v/>
      </c>
      <c r="F277" s="22">
        <f>IF($C277="","",IFERROR(INDEX(DATA_MASTER!$L$2:$L$5000,MATCH($C277,DATA_MASTER!$D$2:$D$5000,0)),"ZM"))</f>
        <v/>
      </c>
      <c r="G277" s="24" t="inlineStr">
        <is>
          <t>Sữa Aptamil 380g</t>
        </is>
      </c>
      <c r="H277" s="24" t="n">
        <v>1</v>
      </c>
      <c r="I277" s="30" t="n">
        <v>320000</v>
      </c>
      <c r="J277" s="23">
        <f>IF(OR($H277="",$I277=""),"",$H277*$I277)</f>
        <v/>
      </c>
      <c r="K277" s="24" t="inlineStr">
        <is>
          <t>Chuyển khoản QR</t>
        </is>
      </c>
      <c r="L277" s="24" t="inlineStr">
        <is>
          <t>Đã chuyển khoản</t>
        </is>
      </c>
      <c r="M277" s="29" t="inlineStr">
        <is>
          <t>10/06/2026</t>
        </is>
      </c>
      <c r="N277" s="28" t="inlineStr">
        <is>
          <t>0972886743</t>
        </is>
      </c>
      <c r="O277" s="24" t="inlineStr">
        <is>
          <t>Nguyễn Thị Xuyến</t>
        </is>
      </c>
      <c r="P277" s="24" t="inlineStr">
        <is>
          <t>10 Xuân Quang, Bạch Đằng, Tiên Lãng, P Hải Phòng</t>
        </is>
      </c>
      <c r="Q277" s="24" t="inlineStr">
        <is>
          <t>Đã giao</t>
        </is>
      </c>
      <c r="R277" s="24" t="inlineStr">
        <is>
          <t>Cute Baby</t>
        </is>
      </c>
      <c r="S277" s="22">
        <f>IF(AND($A277="",$C277=""),"",IF($A277="","Thiếu mã đơn; ","")&amp;IF(COUNTIF($A$2:$A277,$A277)&gt;1,"Trùng mã đơn; ","")&amp;IF(COUNTIF($C$2:$C277,$C277)&gt;1,"Trùng SĐT; ","")&amp;IF(ISNA(MATCH($C277,DATA_MASTER!$D$2:$D$5000,0)),"SĐT chưa đăng ký hội viên; ","")&amp;IF(AND($L277="Đã chuyển khoản",$M277=""),"Thiếu ngày nhận CK; ",""))</f>
        <v/>
      </c>
      <c r="T277" s="24" t="inlineStr">
        <is>
          <t>ĐVVC: Giao hàng nhanh | Mã VĐ: GYRXLE8A</t>
        </is>
      </c>
    </row>
    <row r="278" ht="14.25" customHeight="1" s="40">
      <c r="A278" s="24" t="n">
        <v>277</v>
      </c>
      <c r="B278" s="29" t="inlineStr">
        <is>
          <t>10/06/2026</t>
        </is>
      </c>
      <c r="C278" s="28" t="inlineStr">
        <is>
          <t>0379194792</t>
        </is>
      </c>
      <c r="D278" s="22">
        <f>IF($C278="","",IFERROR(INDEX(DATA_MASTER!$C$2:$C$5000,MATCH($C278,DATA_MASTER!$D$2:$D$5000,0)),"Nguyễn Yến"))</f>
        <v/>
      </c>
      <c r="E278" s="22">
        <f>IF($C278="","",IFERROR(INDEX(DATA_MASTER!$I$2:$I$5000,MATCH($C278,DATA_MASTER!$D$2:$D$5000,0)),""))</f>
        <v/>
      </c>
      <c r="F278" s="22">
        <f>IF($C278="","",IFERROR(INDEX(DATA_MASTER!$L$2:$L$5000,MATCH($C278,DATA_MASTER!$D$2:$D$5000,0)),"ZM"))</f>
        <v/>
      </c>
      <c r="G278" s="24" t="inlineStr">
        <is>
          <t>Sữa Aptamil 380g</t>
        </is>
      </c>
      <c r="H278" s="24" t="n">
        <v>1</v>
      </c>
      <c r="I278" s="30" t="n">
        <v>320000</v>
      </c>
      <c r="J278" s="23">
        <f>IF(OR($H278="",$I278=""),"",$H278*$I278)</f>
        <v/>
      </c>
      <c r="K278" s="24" t="inlineStr">
        <is>
          <t>Chuyển khoản QR</t>
        </is>
      </c>
      <c r="L278" s="24" t="inlineStr">
        <is>
          <t>Đã chuyển khoản</t>
        </is>
      </c>
      <c r="M278" s="29" t="inlineStr">
        <is>
          <t>10/06/2026</t>
        </is>
      </c>
      <c r="N278" s="28" t="inlineStr">
        <is>
          <t>0379194792</t>
        </is>
      </c>
      <c r="O278" s="24" t="inlineStr">
        <is>
          <t>Nguyễn Yến</t>
        </is>
      </c>
      <c r="P278" s="24" t="inlineStr">
        <is>
          <t>Xóm 1, tổ dân phố Nội, phường Nguyễn Đại Năng, Hải Phòng</t>
        </is>
      </c>
      <c r="Q278" s="24" t="inlineStr">
        <is>
          <t>Chờ giao</t>
        </is>
      </c>
      <c r="R278" s="24" t="inlineStr">
        <is>
          <t>Cute Baby</t>
        </is>
      </c>
      <c r="S278" s="22">
        <f>IF(AND($A278="",$C278=""),"",IF($A278="","Thiếu mã đơn; ","")&amp;IF(COUNTIF($A$2:$A278,$A278)&gt;1,"Trùng mã đơn; ","")&amp;IF(COUNTIF($C$2:$C278,$C278)&gt;1,"Trùng SĐT; ","")&amp;IF(ISNA(MATCH($C278,DATA_MASTER!$D$2:$D$5000,0)),"SĐT chưa đăng ký hội viên; ","")&amp;IF(AND($L278="Đã chuyển khoản",$M278=""),"Thiếu ngày nhận CK; ",""))</f>
        <v/>
      </c>
      <c r="T278" s="24" t="inlineStr"/>
    </row>
    <row r="279" ht="14.25" customHeight="1" s="40">
      <c r="A279" s="24" t="n">
        <v>278</v>
      </c>
      <c r="B279" s="29" t="inlineStr">
        <is>
          <t>10/06/2026</t>
        </is>
      </c>
      <c r="C279" s="28" t="inlineStr">
        <is>
          <t>0345944466</t>
        </is>
      </c>
      <c r="D279" s="22">
        <f>IF($C279="","",IFERROR(INDEX(DATA_MASTER!$C$2:$C$5000,MATCH($C279,DATA_MASTER!$D$2:$D$5000,0)),"Nguyễn ngọc yến"))</f>
        <v/>
      </c>
      <c r="E279" s="22">
        <f>IF($C279="","",IFERROR(INDEX(DATA_MASTER!$I$2:$I$5000,MATCH($C279,DATA_MASTER!$D$2:$D$5000,0)),""))</f>
        <v/>
      </c>
      <c r="F279" s="22">
        <f>IF($C279="","",IFERROR(INDEX(DATA_MASTER!$L$2:$L$5000,MATCH($C279,DATA_MASTER!$D$2:$D$5000,0)),"ZM"))</f>
        <v/>
      </c>
      <c r="G279" s="24" t="inlineStr">
        <is>
          <t>Sữa Aptamil 380g</t>
        </is>
      </c>
      <c r="H279" s="24" t="n">
        <v>1</v>
      </c>
      <c r="I279" s="30" t="n">
        <v>320000</v>
      </c>
      <c r="J279" s="23">
        <f>IF(OR($H279="",$I279=""),"",$H279*$I279)</f>
        <v/>
      </c>
      <c r="K279" s="24" t="inlineStr">
        <is>
          <t>Chuyển khoản QR</t>
        </is>
      </c>
      <c r="L279" s="24" t="inlineStr">
        <is>
          <t>Đã chuyển khoản</t>
        </is>
      </c>
      <c r="M279" s="29" t="inlineStr">
        <is>
          <t>10/06/2026</t>
        </is>
      </c>
      <c r="N279" s="28" t="inlineStr">
        <is>
          <t>0345944466</t>
        </is>
      </c>
      <c r="O279" s="24" t="inlineStr">
        <is>
          <t>Nguyễn ngọc yến</t>
        </is>
      </c>
      <c r="P279" s="24" t="inlineStr">
        <is>
          <t>Nguyễn ngọc yến 
 Trường tiểu học hùng thắng, hùng thắng, hải phòng., Hải Phòng</t>
        </is>
      </c>
      <c r="Q279" s="24" t="inlineStr">
        <is>
          <t>Đã giao</t>
        </is>
      </c>
      <c r="R279" s="24" t="inlineStr">
        <is>
          <t>Cute Baby</t>
        </is>
      </c>
      <c r="S279" s="22">
        <f>IF(AND($A279="",$C279=""),"",IF($A279="","Thiếu mã đơn; ","")&amp;IF(COUNTIF($A$2:$A279,$A279)&gt;1,"Trùng mã đơn; ","")&amp;IF(COUNTIF($C$2:$C279,$C279)&gt;1,"Trùng SĐT; ","")&amp;IF(ISNA(MATCH($C279,DATA_MASTER!$D$2:$D$5000,0)),"SĐT chưa đăng ký hội viên; ","")&amp;IF(AND($L279="Đã chuyển khoản",$M279=""),"Thiếu ngày nhận CK; ",""))</f>
        <v/>
      </c>
      <c r="T279" s="24" t="inlineStr">
        <is>
          <t>ĐVVC: giao  hàng nhanh | Mã VĐ: GYRXFVLF</t>
        </is>
      </c>
    </row>
    <row r="280" ht="14.25" customHeight="1" s="40">
      <c r="A280" s="24" t="n">
        <v>279</v>
      </c>
      <c r="B280" s="29" t="inlineStr">
        <is>
          <t>10/06/2026</t>
        </is>
      </c>
      <c r="C280" s="28" t="inlineStr">
        <is>
          <t>0766365499</t>
        </is>
      </c>
      <c r="D280" s="22">
        <f>IF($C280="","",IFERROR(INDEX(DATA_MASTER!$C$2:$C$5000,MATCH($C280,DATA_MASTER!$D$2:$D$5000,0)),"Thùy Trang"))</f>
        <v/>
      </c>
      <c r="E280" s="22">
        <f>IF($C280="","",IFERROR(INDEX(DATA_MASTER!$I$2:$I$5000,MATCH($C280,DATA_MASTER!$D$2:$D$5000,0)),""))</f>
        <v/>
      </c>
      <c r="F280" s="22">
        <f>IF($C280="","",IFERROR(INDEX(DATA_MASTER!$L$2:$L$5000,MATCH($C280,DATA_MASTER!$D$2:$D$5000,0)),"ZM"))</f>
        <v/>
      </c>
      <c r="G280" s="24" t="inlineStr">
        <is>
          <t>Sữa Aptamil 380g</t>
        </is>
      </c>
      <c r="H280" s="24" t="n">
        <v>1</v>
      </c>
      <c r="I280" s="30" t="n">
        <v>320000</v>
      </c>
      <c r="J280" s="23">
        <f>IF(OR($H280="",$I280=""),"",$H280*$I280)</f>
        <v/>
      </c>
      <c r="K280" s="24" t="inlineStr">
        <is>
          <t>Chuyển khoản QR</t>
        </is>
      </c>
      <c r="L280" s="24" t="inlineStr">
        <is>
          <t>Đã chuyển khoản</t>
        </is>
      </c>
      <c r="M280" s="29" t="inlineStr">
        <is>
          <t>10/06/2026</t>
        </is>
      </c>
      <c r="N280" s="28" t="inlineStr">
        <is>
          <t>0766365499</t>
        </is>
      </c>
      <c r="O280" s="24" t="inlineStr">
        <is>
          <t>Thùy Trang</t>
        </is>
      </c>
      <c r="P280" s="24" t="inlineStr">
        <is>
          <t>số 971 Ngô Gia tự- Hải An Hải Phòng</t>
        </is>
      </c>
      <c r="Q280" s="24" t="inlineStr">
        <is>
          <t>Đã giao</t>
        </is>
      </c>
      <c r="R280" s="24" t="inlineStr">
        <is>
          <t>Cute Baby</t>
        </is>
      </c>
      <c r="S280" s="22">
        <f>IF(AND($A280="",$C280=""),"",IF($A280="","Thiếu mã đơn; ","")&amp;IF(COUNTIF($A$2:$A280,$A280)&gt;1,"Trùng mã đơn; ","")&amp;IF(COUNTIF($C$2:$C280,$C280)&gt;1,"Trùng SĐT; ","")&amp;IF(ISNA(MATCH($C280,DATA_MASTER!$D$2:$D$5000,0)),"SĐT chưa đăng ký hội viên; ","")&amp;IF(AND($L280="Đã chuyển khoản",$M280=""),"Thiếu ngày nhận CK; ",""))</f>
        <v/>
      </c>
      <c r="T280" s="24" t="inlineStr">
        <is>
          <t>ĐVVC: Ahamove | Mã VĐ: #26DSDN5C</t>
        </is>
      </c>
    </row>
    <row r="281" ht="14.25" customHeight="1" s="40">
      <c r="A281" s="24" t="n">
        <v>280</v>
      </c>
      <c r="B281" s="29" t="inlineStr">
        <is>
          <t>10/06/2026</t>
        </is>
      </c>
      <c r="C281" s="28" t="inlineStr">
        <is>
          <t>0335136580</t>
        </is>
      </c>
      <c r="D281" s="22">
        <f>IF($C281="","",IFERROR(INDEX(DATA_MASTER!$C$2:$C$5000,MATCH($C281,DATA_MASTER!$D$2:$D$5000,0)),"Bùi Thị Tuyến"))</f>
        <v/>
      </c>
      <c r="E281" s="22">
        <f>IF($C281="","",IFERROR(INDEX(DATA_MASTER!$I$2:$I$5000,MATCH($C281,DATA_MASTER!$D$2:$D$5000,0)),""))</f>
        <v/>
      </c>
      <c r="F281" s="22">
        <f>IF($C281="","",IFERROR(INDEX(DATA_MASTER!$L$2:$L$5000,MATCH($C281,DATA_MASTER!$D$2:$D$5000,0)),"ZM"))</f>
        <v/>
      </c>
      <c r="G281" s="24" t="inlineStr">
        <is>
          <t>Sữa Aptamil 380g</t>
        </is>
      </c>
      <c r="H281" s="24" t="n">
        <v>1</v>
      </c>
      <c r="I281" s="30" t="n">
        <v>320000</v>
      </c>
      <c r="J281" s="23">
        <f>IF(OR($H281="",$I281=""),"",$H281*$I281)</f>
        <v/>
      </c>
      <c r="K281" s="24" t="inlineStr">
        <is>
          <t>Chuyển khoản QR</t>
        </is>
      </c>
      <c r="L281" s="24" t="inlineStr">
        <is>
          <t>Đã chuyển khoản</t>
        </is>
      </c>
      <c r="M281" s="29" t="inlineStr">
        <is>
          <t>10/06/2026</t>
        </is>
      </c>
      <c r="N281" s="28" t="inlineStr">
        <is>
          <t>0335136580</t>
        </is>
      </c>
      <c r="O281" s="24" t="inlineStr">
        <is>
          <t>Bùi Thị Tuyến</t>
        </is>
      </c>
      <c r="P281" s="24" t="inlineStr">
        <is>
          <t>(ngõ cạnh số nhà 282)/ TDP Mỹ Liệt, Phường Lưu Kiếm, TP.Hải Phòng</t>
        </is>
      </c>
      <c r="Q281" s="24" t="inlineStr">
        <is>
          <t>Đã giao</t>
        </is>
      </c>
      <c r="R281" s="24" t="inlineStr">
        <is>
          <t>Cute Baby</t>
        </is>
      </c>
      <c r="S281" s="22">
        <f>IF(AND($A281="",$C281=""),"",IF($A281="","Thiếu mã đơn; ","")&amp;IF(COUNTIF($A$2:$A281,$A281)&gt;1,"Trùng mã đơn; ","")&amp;IF(COUNTIF($C$2:$C281,$C281)&gt;1,"Trùng SĐT; ","")&amp;IF(ISNA(MATCH($C281,DATA_MASTER!$D$2:$D$5000,0)),"SĐT chưa đăng ký hội viên; ","")&amp;IF(AND($L281="Đã chuyển khoản",$M281=""),"Thiếu ngày nhận CK; ",""))</f>
        <v/>
      </c>
      <c r="T281" s="24" t="inlineStr">
        <is>
          <t>ĐVVC: Giao hàng nhanh | Mã VĐ: GYRXFRG7</t>
        </is>
      </c>
    </row>
    <row r="282" ht="14.25" customHeight="1" s="40">
      <c r="A282" s="24" t="n">
        <v>281</v>
      </c>
      <c r="B282" s="29" t="inlineStr">
        <is>
          <t>10/06/2026</t>
        </is>
      </c>
      <c r="C282" s="28" t="inlineStr">
        <is>
          <t>0976372915</t>
        </is>
      </c>
      <c r="D282" s="22">
        <f>IF($C282="","",IFERROR(INDEX(DATA_MASTER!$C$2:$C$5000,MATCH($C282,DATA_MASTER!$D$2:$D$5000,0)),"Phạm Thuỳ Linh"))</f>
        <v/>
      </c>
      <c r="E282" s="22">
        <f>IF($C282="","",IFERROR(INDEX(DATA_MASTER!$I$2:$I$5000,MATCH($C282,DATA_MASTER!$D$2:$D$5000,0)),""))</f>
        <v/>
      </c>
      <c r="F282" s="22">
        <f>IF($C282="","",IFERROR(INDEX(DATA_MASTER!$L$2:$L$5000,MATCH($C282,DATA_MASTER!$D$2:$D$5000,0)),"ZM"))</f>
        <v/>
      </c>
      <c r="G282" s="24" t="inlineStr">
        <is>
          <t>Sữa Aptamil 380g</t>
        </is>
      </c>
      <c r="H282" s="24" t="n">
        <v>1</v>
      </c>
      <c r="I282" s="30" t="n">
        <v>320000</v>
      </c>
      <c r="J282" s="23">
        <f>IF(OR($H282="",$I282=""),"",$H282*$I282)</f>
        <v/>
      </c>
      <c r="K282" s="24" t="inlineStr">
        <is>
          <t>Chuyển khoản QR</t>
        </is>
      </c>
      <c r="L282" s="24" t="inlineStr">
        <is>
          <t>Đã chuyển khoản</t>
        </is>
      </c>
      <c r="M282" s="29" t="inlineStr">
        <is>
          <t>10/06/2026</t>
        </is>
      </c>
      <c r="N282" s="28" t="inlineStr">
        <is>
          <t>0976372915</t>
        </is>
      </c>
      <c r="O282" s="24" t="inlineStr">
        <is>
          <t>Phạm Thuỳ Linh</t>
        </is>
      </c>
      <c r="P282" s="24" t="inlineStr">
        <is>
          <t>399 Đồng Hoà - Kiến An Hải Phòng</t>
        </is>
      </c>
      <c r="Q282" s="24" t="inlineStr">
        <is>
          <t>Đã giao</t>
        </is>
      </c>
      <c r="R282" s="24" t="inlineStr">
        <is>
          <t>Cute Baby</t>
        </is>
      </c>
      <c r="S282" s="22">
        <f>IF(AND($A282="",$C282=""),"",IF($A282="","Thiếu mã đơn; ","")&amp;IF(COUNTIF($A$2:$A282,$A282)&gt;1,"Trùng mã đơn; ","")&amp;IF(COUNTIF($C$2:$C282,$C282)&gt;1,"Trùng SĐT; ","")&amp;IF(ISNA(MATCH($C282,DATA_MASTER!$D$2:$D$5000,0)),"SĐT chưa đăng ký hội viên; ","")&amp;IF(AND($L282="Đã chuyển khoản",$M282=""),"Thiếu ngày nhận CK; ",""))</f>
        <v/>
      </c>
      <c r="T282" s="24" t="inlineStr">
        <is>
          <t>ĐVVC: Giao hàng nhanh | Mã VĐ: GYRX774D</t>
        </is>
      </c>
    </row>
    <row r="283" ht="14.25" customHeight="1" s="40">
      <c r="A283" s="24" t="n">
        <v>282</v>
      </c>
      <c r="B283" s="29" t="inlineStr">
        <is>
          <t>10/06/2026</t>
        </is>
      </c>
      <c r="C283" s="28" t="inlineStr">
        <is>
          <t>0868975109</t>
        </is>
      </c>
      <c r="D283" s="22">
        <f>IF($C283="","",IFERROR(INDEX(DATA_MASTER!$C$2:$C$5000,MATCH($C283,DATA_MASTER!$D$2:$D$5000,0)),"Phương Linh"))</f>
        <v/>
      </c>
      <c r="E283" s="22">
        <f>IF($C283="","",IFERROR(INDEX(DATA_MASTER!$I$2:$I$5000,MATCH($C283,DATA_MASTER!$D$2:$D$5000,0)),""))</f>
        <v/>
      </c>
      <c r="F283" s="22">
        <f>IF($C283="","",IFERROR(INDEX(DATA_MASTER!$L$2:$L$5000,MATCH($C283,DATA_MASTER!$D$2:$D$5000,0)),"ZM"))</f>
        <v/>
      </c>
      <c r="G283" s="24" t="inlineStr">
        <is>
          <t>Sữa Aptamil 380g</t>
        </is>
      </c>
      <c r="H283" s="24" t="n">
        <v>1</v>
      </c>
      <c r="I283" s="30" t="n">
        <v>320000</v>
      </c>
      <c r="J283" s="23">
        <f>IF(OR($H283="",$I283=""),"",$H283*$I283)</f>
        <v/>
      </c>
      <c r="K283" s="24" t="inlineStr">
        <is>
          <t>Chuyển khoản QR</t>
        </is>
      </c>
      <c r="L283" s="24" t="inlineStr">
        <is>
          <t>Đã chuyển khoản</t>
        </is>
      </c>
      <c r="M283" s="29" t="inlineStr">
        <is>
          <t>10/06/2026</t>
        </is>
      </c>
      <c r="N283" s="28" t="inlineStr">
        <is>
          <t>0868975109</t>
        </is>
      </c>
      <c r="O283" s="24" t="inlineStr">
        <is>
          <t>Phương Linh</t>
        </is>
      </c>
      <c r="P283" s="24" t="inlineStr">
        <is>
          <t>số 9b/57(ngõ 32 cũ)/193 văn cao (cà phê ông bầu rẽ trái, rẽ phải ngay ngõ đầu tiên), Hải Phòng</t>
        </is>
      </c>
      <c r="Q283" s="24" t="inlineStr">
        <is>
          <t>Đã giao</t>
        </is>
      </c>
      <c r="R283" s="24" t="inlineStr">
        <is>
          <t>Cute Baby</t>
        </is>
      </c>
      <c r="S283" s="22">
        <f>IF(AND($A283="",$C283=""),"",IF($A283="","Thiếu mã đơn; ","")&amp;IF(COUNTIF($A$2:$A283,$A283)&gt;1,"Trùng mã đơn; ","")&amp;IF(COUNTIF($C$2:$C283,$C283)&gt;1,"Trùng SĐT; ","")&amp;IF(ISNA(MATCH($C283,DATA_MASTER!$D$2:$D$5000,0)),"SĐT chưa đăng ký hội viên; ","")&amp;IF(AND($L283="Đã chuyển khoản",$M283=""),"Thiếu ngày nhận CK; ",""))</f>
        <v/>
      </c>
      <c r="T283" s="24" t="inlineStr">
        <is>
          <t>ĐVVC: Ahamove | Mã VĐ: #26MG047B</t>
        </is>
      </c>
    </row>
    <row r="284" ht="14.25" customHeight="1" s="40">
      <c r="A284" s="24" t="n">
        <v>283</v>
      </c>
      <c r="B284" s="29" t="inlineStr">
        <is>
          <t>10/06/2026</t>
        </is>
      </c>
      <c r="C284" s="28" t="inlineStr">
        <is>
          <t>0372580815</t>
        </is>
      </c>
      <c r="D284" s="22">
        <f>IF($C284="","",IFERROR(INDEX(DATA_MASTER!$C$2:$C$5000,MATCH($C284,DATA_MASTER!$D$2:$D$5000,0)),"Tô Thị Hoài Thu"))</f>
        <v/>
      </c>
      <c r="E284" s="22">
        <f>IF($C284="","",IFERROR(INDEX(DATA_MASTER!$I$2:$I$5000,MATCH($C284,DATA_MASTER!$D$2:$D$5000,0)),""))</f>
        <v/>
      </c>
      <c r="F284" s="22">
        <f>IF($C284="","",IFERROR(INDEX(DATA_MASTER!$L$2:$L$5000,MATCH($C284,DATA_MASTER!$D$2:$D$5000,0)),"ZM"))</f>
        <v/>
      </c>
      <c r="G284" s="24" t="inlineStr">
        <is>
          <t>Sữa Aptamil 380g</t>
        </is>
      </c>
      <c r="H284" s="24" t="n">
        <v>1</v>
      </c>
      <c r="I284" s="30" t="n">
        <v>320000</v>
      </c>
      <c r="J284" s="23">
        <f>IF(OR($H284="",$I284=""),"",$H284*$I284)</f>
        <v/>
      </c>
      <c r="K284" s="24" t="inlineStr">
        <is>
          <t>Chuyển khoản QR</t>
        </is>
      </c>
      <c r="L284" s="24" t="inlineStr">
        <is>
          <t>Đã chuyển khoản</t>
        </is>
      </c>
      <c r="M284" s="29" t="inlineStr">
        <is>
          <t>10/06/2026</t>
        </is>
      </c>
      <c r="N284" s="28" t="inlineStr">
        <is>
          <t>0372580815</t>
        </is>
      </c>
      <c r="O284" s="24" t="inlineStr">
        <is>
          <t>Tô Thị Hoài Thu</t>
        </is>
      </c>
      <c r="P284" s="24" t="inlineStr">
        <is>
          <t>cầu Chàm (quán tạp hóa cô thơm) xã Quyết Tiến- huyện Tiên Lãng- HP, Hải Phòng</t>
        </is>
      </c>
      <c r="Q284" s="24" t="inlineStr">
        <is>
          <t>Chờ giao</t>
        </is>
      </c>
      <c r="R284" s="24" t="inlineStr">
        <is>
          <t>Cute Baby</t>
        </is>
      </c>
      <c r="S284" s="22">
        <f>IF(AND($A284="",$C284=""),"",IF($A284="","Thiếu mã đơn; ","")&amp;IF(COUNTIF($A$2:$A284,$A284)&gt;1,"Trùng mã đơn; ","")&amp;IF(COUNTIF($C$2:$C284,$C284)&gt;1,"Trùng SĐT; ","")&amp;IF(ISNA(MATCH($C284,DATA_MASTER!$D$2:$D$5000,0)),"SĐT chưa đăng ký hội viên; ","")&amp;IF(AND($L284="Đã chuyển khoản",$M284=""),"Thiếu ngày nhận CK; ",""))</f>
        <v/>
      </c>
      <c r="T284" s="24" t="inlineStr"/>
    </row>
    <row r="285" ht="14.25" customHeight="1" s="40">
      <c r="A285" s="24" t="n">
        <v>284</v>
      </c>
      <c r="B285" s="29" t="inlineStr">
        <is>
          <t>10/06/2026</t>
        </is>
      </c>
      <c r="C285" s="28" t="inlineStr">
        <is>
          <t>0984861148</t>
        </is>
      </c>
      <c r="D285" s="22">
        <f>IF($C285="","",IFERROR(INDEX(DATA_MASTER!$C$2:$C$5000,MATCH($C285,DATA_MASTER!$D$2:$D$5000,0)),"Đinh Thoa"))</f>
        <v/>
      </c>
      <c r="E285" s="22">
        <f>IF($C285="","",IFERROR(INDEX(DATA_MASTER!$I$2:$I$5000,MATCH($C285,DATA_MASTER!$D$2:$D$5000,0)),""))</f>
        <v/>
      </c>
      <c r="F285" s="22">
        <f>IF($C285="","",IFERROR(INDEX(DATA_MASTER!$L$2:$L$5000,MATCH($C285,DATA_MASTER!$D$2:$D$5000,0)),"ZM"))</f>
        <v/>
      </c>
      <c r="G285" s="24" t="inlineStr">
        <is>
          <t>Sữa Aptamil 380g</t>
        </is>
      </c>
      <c r="H285" s="24" t="n">
        <v>1</v>
      </c>
      <c r="I285" s="30" t="n">
        <v>320000</v>
      </c>
      <c r="J285" s="23">
        <f>IF(OR($H285="",$I285=""),"",$H285*$I285)</f>
        <v/>
      </c>
      <c r="K285" s="24" t="inlineStr">
        <is>
          <t>Chuyển khoản QR</t>
        </is>
      </c>
      <c r="L285" s="24" t="inlineStr">
        <is>
          <t>Đã chuyển khoản</t>
        </is>
      </c>
      <c r="M285" s="29" t="inlineStr">
        <is>
          <t>10/06/2026</t>
        </is>
      </c>
      <c r="N285" s="28" t="inlineStr">
        <is>
          <t>0984861148</t>
        </is>
      </c>
      <c r="O285" s="24" t="inlineStr">
        <is>
          <t>Đinh Thoa</t>
        </is>
      </c>
      <c r="P285" s="24" t="inlineStr">
        <is>
          <t>Cổng phụ hải quân 679 thôn Xuân Xơn- xã An Lão- TP Hải Phòng</t>
        </is>
      </c>
      <c r="Q285" s="24" t="inlineStr">
        <is>
          <t>Chờ giao</t>
        </is>
      </c>
      <c r="R285" s="24" t="inlineStr">
        <is>
          <t>Cute Baby</t>
        </is>
      </c>
      <c r="S285" s="22">
        <f>IF(AND($A285="",$C285=""),"",IF($A285="","Thiếu mã đơn; ","")&amp;IF(COUNTIF($A$2:$A285,$A285)&gt;1,"Trùng mã đơn; ","")&amp;IF(COUNTIF($C$2:$C285,$C285)&gt;1,"Trùng SĐT; ","")&amp;IF(ISNA(MATCH($C285,DATA_MASTER!$D$2:$D$5000,0)),"SĐT chưa đăng ký hội viên; ","")&amp;IF(AND($L285="Đã chuyển khoản",$M285=""),"Thiếu ngày nhận CK; ",""))</f>
        <v/>
      </c>
      <c r="T285" s="24" t="inlineStr"/>
    </row>
    <row r="286" ht="14.25" customHeight="1" s="40">
      <c r="A286" s="24" t="n">
        <v>285</v>
      </c>
      <c r="B286" s="29" t="inlineStr">
        <is>
          <t>10/06/2026</t>
        </is>
      </c>
      <c r="C286" s="28" t="inlineStr">
        <is>
          <t>0363062113</t>
        </is>
      </c>
      <c r="D286" s="22">
        <f>IF($C286="","",IFERROR(INDEX(DATA_MASTER!$C$2:$C$5000,MATCH($C286,DATA_MASTER!$D$2:$D$5000,0)),"Vũ Thị Tươi"))</f>
        <v/>
      </c>
      <c r="E286" s="22">
        <f>IF($C286="","",IFERROR(INDEX(DATA_MASTER!$I$2:$I$5000,MATCH($C286,DATA_MASTER!$D$2:$D$5000,0)),""))</f>
        <v/>
      </c>
      <c r="F286" s="22">
        <f>IF($C286="","",IFERROR(INDEX(DATA_MASTER!$L$2:$L$5000,MATCH($C286,DATA_MASTER!$D$2:$D$5000,0)),"ZM"))</f>
        <v/>
      </c>
      <c r="G286" s="24" t="inlineStr">
        <is>
          <t>Sữa Aptamil 380g</t>
        </is>
      </c>
      <c r="H286" s="24" t="n">
        <v>1</v>
      </c>
      <c r="I286" s="30" t="n">
        <v>320000</v>
      </c>
      <c r="J286" s="23">
        <f>IF(OR($H286="",$I286=""),"",$H286*$I286)</f>
        <v/>
      </c>
      <c r="K286" s="24" t="inlineStr">
        <is>
          <t>Chuyển khoản QR</t>
        </is>
      </c>
      <c r="L286" s="24" t="inlineStr">
        <is>
          <t>Đã chuyển khoản</t>
        </is>
      </c>
      <c r="M286" s="29" t="inlineStr">
        <is>
          <t>10/06/2026</t>
        </is>
      </c>
      <c r="N286" s="28" t="inlineStr">
        <is>
          <t>0363062113</t>
        </is>
      </c>
      <c r="O286" s="24" t="inlineStr">
        <is>
          <t>Vũ Thị Tươi</t>
        </is>
      </c>
      <c r="P286" s="24" t="inlineStr">
        <is>
          <t>Khu chung cư đa ngư ,xã kiến hưng , hp, Hải Phòng</t>
        </is>
      </c>
      <c r="Q286" s="24" t="inlineStr">
        <is>
          <t>Đang giao</t>
        </is>
      </c>
      <c r="R286" s="24" t="inlineStr">
        <is>
          <t>Cute Baby</t>
        </is>
      </c>
      <c r="S286" s="22">
        <f>IF(AND($A286="",$C286=""),"",IF($A286="","Thiếu mã đơn; ","")&amp;IF(COUNTIF($A$2:$A286,$A286)&gt;1,"Trùng mã đơn; ","")&amp;IF(COUNTIF($C$2:$C286,$C286)&gt;1,"Trùng SĐT; ","")&amp;IF(ISNA(MATCH($C286,DATA_MASTER!$D$2:$D$5000,0)),"SĐT chưa đăng ký hội viên; ","")&amp;IF(AND($L286="Đã chuyển khoản",$M286=""),"Thiếu ngày nhận CK; ",""))</f>
        <v/>
      </c>
      <c r="T286" s="24" t="inlineStr">
        <is>
          <t>ĐVVC: Giao hàng nhanh | Mã VĐ: GYRAURLC</t>
        </is>
      </c>
    </row>
    <row r="287" ht="14.25" customHeight="1" s="40">
      <c r="A287" s="24" t="n">
        <v>286</v>
      </c>
      <c r="B287" s="29" t="inlineStr">
        <is>
          <t>10/06/2026</t>
        </is>
      </c>
      <c r="C287" s="28" t="inlineStr">
        <is>
          <t>0383738090</t>
        </is>
      </c>
      <c r="D287" s="22">
        <f>IF($C287="","",IFERROR(INDEX(DATA_MASTER!$C$2:$C$5000,MATCH($C287,DATA_MASTER!$D$2:$D$5000,0)),"Nguyễn Thị ngọc"))</f>
        <v/>
      </c>
      <c r="E287" s="22">
        <f>IF($C287="","",IFERROR(INDEX(DATA_MASTER!$I$2:$I$5000,MATCH($C287,DATA_MASTER!$D$2:$D$5000,0)),""))</f>
        <v/>
      </c>
      <c r="F287" s="22">
        <f>IF($C287="","",IFERROR(INDEX(DATA_MASTER!$L$2:$L$5000,MATCH($C287,DATA_MASTER!$D$2:$D$5000,0)),"ZM"))</f>
        <v/>
      </c>
      <c r="G287" s="24" t="inlineStr">
        <is>
          <t>Sữa Aptamil 380g</t>
        </is>
      </c>
      <c r="H287" s="24" t="n">
        <v>1</v>
      </c>
      <c r="I287" s="30" t="n">
        <v>320000</v>
      </c>
      <c r="J287" s="23">
        <f>IF(OR($H287="",$I287=""),"",$H287*$I287)</f>
        <v/>
      </c>
      <c r="K287" s="24" t="inlineStr">
        <is>
          <t>Chuyển khoản QR</t>
        </is>
      </c>
      <c r="L287" s="24" t="inlineStr">
        <is>
          <t>Đã chuyển khoản</t>
        </is>
      </c>
      <c r="M287" s="29" t="inlineStr">
        <is>
          <t>10/06/2026</t>
        </is>
      </c>
      <c r="N287" s="28" t="inlineStr">
        <is>
          <t>0383738090</t>
        </is>
      </c>
      <c r="O287" s="24" t="inlineStr">
        <is>
          <t>Nguyễn Thị ngọc</t>
        </is>
      </c>
      <c r="P287" s="24" t="inlineStr">
        <is>
          <t>136 Nguyễn Hữu Tuệ - Phường Gia Viên, Hải Phòng</t>
        </is>
      </c>
      <c r="Q287" s="24" t="inlineStr">
        <is>
          <t>Chờ giao</t>
        </is>
      </c>
      <c r="R287" s="24" t="inlineStr">
        <is>
          <t>Cute Baby</t>
        </is>
      </c>
      <c r="S287" s="22">
        <f>IF(AND($A287="",$C287=""),"",IF($A287="","Thiếu mã đơn; ","")&amp;IF(COUNTIF($A$2:$A287,$A287)&gt;1,"Trùng mã đơn; ","")&amp;IF(COUNTIF($C$2:$C287,$C287)&gt;1,"Trùng SĐT; ","")&amp;IF(ISNA(MATCH($C287,DATA_MASTER!$D$2:$D$5000,0)),"SĐT chưa đăng ký hội viên; ","")&amp;IF(AND($L287="Đã chuyển khoản",$M287=""),"Thiếu ngày nhận CK; ",""))</f>
        <v/>
      </c>
      <c r="T287" s="24" t="inlineStr"/>
    </row>
    <row r="288" ht="14.25" customHeight="1" s="40">
      <c r="A288" s="24" t="n">
        <v>287</v>
      </c>
      <c r="B288" s="29" t="inlineStr">
        <is>
          <t>10/06/2026</t>
        </is>
      </c>
      <c r="C288" s="28" t="inlineStr">
        <is>
          <t>0868465514</t>
        </is>
      </c>
      <c r="D288" s="22">
        <f>IF($C288="","",IFERROR(INDEX(DATA_MASTER!$C$2:$C$5000,MATCH($C288,DATA_MASTER!$D$2:$D$5000,0)),"Xuân Anh"))</f>
        <v/>
      </c>
      <c r="E288" s="22">
        <f>IF($C288="","",IFERROR(INDEX(DATA_MASTER!$I$2:$I$5000,MATCH($C288,DATA_MASTER!$D$2:$D$5000,0)),""))</f>
        <v/>
      </c>
      <c r="F288" s="22">
        <f>IF($C288="","",IFERROR(INDEX(DATA_MASTER!$L$2:$L$5000,MATCH($C288,DATA_MASTER!$D$2:$D$5000,0)),"ZM"))</f>
        <v/>
      </c>
      <c r="G288" s="24" t="inlineStr">
        <is>
          <t>Sữa Aptamil 380g</t>
        </is>
      </c>
      <c r="H288" s="24" t="n">
        <v>1</v>
      </c>
      <c r="I288" s="30" t="n">
        <v>320000</v>
      </c>
      <c r="J288" s="23">
        <f>IF(OR($H288="",$I288=""),"",$H288*$I288)</f>
        <v/>
      </c>
      <c r="K288" s="24" t="inlineStr">
        <is>
          <t>Chuyển khoản QR</t>
        </is>
      </c>
      <c r="L288" s="24" t="inlineStr">
        <is>
          <t>Đã chuyển khoản</t>
        </is>
      </c>
      <c r="M288" s="29" t="inlineStr">
        <is>
          <t>10/06/2026</t>
        </is>
      </c>
      <c r="N288" s="28" t="inlineStr">
        <is>
          <t>0868465514</t>
        </is>
      </c>
      <c r="O288" s="24" t="inlineStr">
        <is>
          <t>Xuân Anh</t>
        </is>
      </c>
      <c r="P288" s="24" t="inlineStr">
        <is>
          <t>TDP Mỹ Đồng 3, phường Lê Ích Mộc, thành phố Hải Phòng</t>
        </is>
      </c>
      <c r="Q288" s="24" t="inlineStr">
        <is>
          <t>Đang giao</t>
        </is>
      </c>
      <c r="R288" s="24" t="inlineStr">
        <is>
          <t>Cute Baby</t>
        </is>
      </c>
      <c r="S288" s="22">
        <f>IF(AND($A288="",$C288=""),"",IF($A288="","Thiếu mã đơn; ","")&amp;IF(COUNTIF($A$2:$A288,$A288)&gt;1,"Trùng mã đơn; ","")&amp;IF(COUNTIF($C$2:$C288,$C288)&gt;1,"Trùng SĐT; ","")&amp;IF(ISNA(MATCH($C288,DATA_MASTER!$D$2:$D$5000,0)),"SĐT chưa đăng ký hội viên; ","")&amp;IF(AND($L288="Đã chuyển khoản",$M288=""),"Thiếu ngày nhận CK; ",""))</f>
        <v/>
      </c>
      <c r="T288" s="24" t="inlineStr">
        <is>
          <t>ĐVVC: Giao hàng nhanh | Mã VĐ: GYRAUXFB</t>
        </is>
      </c>
    </row>
    <row r="289" ht="14.25" customHeight="1" s="40">
      <c r="A289" s="24" t="n">
        <v>288</v>
      </c>
      <c r="B289" s="29" t="inlineStr">
        <is>
          <t>10/06/2026</t>
        </is>
      </c>
      <c r="C289" s="28" t="inlineStr">
        <is>
          <t>0826287131</t>
        </is>
      </c>
      <c r="D289" s="22">
        <f>IF($C289="","",IFERROR(INDEX(DATA_MASTER!$C$2:$C$5000,MATCH($C289,DATA_MASTER!$D$2:$D$5000,0)),"Phạm Thị Thủy"))</f>
        <v/>
      </c>
      <c r="E289" s="22">
        <f>IF($C289="","",IFERROR(INDEX(DATA_MASTER!$I$2:$I$5000,MATCH($C289,DATA_MASTER!$D$2:$D$5000,0)),""))</f>
        <v/>
      </c>
      <c r="F289" s="22">
        <f>IF($C289="","",IFERROR(INDEX(DATA_MASTER!$L$2:$L$5000,MATCH($C289,DATA_MASTER!$D$2:$D$5000,0)),"ZM"))</f>
        <v/>
      </c>
      <c r="G289" s="24" t="inlineStr">
        <is>
          <t>Sữa Aptamil 380g</t>
        </is>
      </c>
      <c r="H289" s="24" t="n">
        <v>1</v>
      </c>
      <c r="I289" s="30" t="n">
        <v>320000</v>
      </c>
      <c r="J289" s="23">
        <f>IF(OR($H289="",$I289=""),"",$H289*$I289)</f>
        <v/>
      </c>
      <c r="K289" s="24" t="inlineStr">
        <is>
          <t>Chuyển khoản QR</t>
        </is>
      </c>
      <c r="L289" s="24" t="inlineStr">
        <is>
          <t>Đã chuyển khoản</t>
        </is>
      </c>
      <c r="M289" s="29" t="inlineStr">
        <is>
          <t>10/06/2026</t>
        </is>
      </c>
      <c r="N289" s="28" t="inlineStr">
        <is>
          <t>0826287131</t>
        </is>
      </c>
      <c r="O289" s="24" t="inlineStr">
        <is>
          <t>Phạm Thị Thủy</t>
        </is>
      </c>
      <c r="P289" s="24" t="inlineStr">
        <is>
          <t>số nhà 51 xóm 3 tổ dân phố Vĩnh Khê , Phường An Hải, Hp, Hải Phòng</t>
        </is>
      </c>
      <c r="Q289" s="24" t="inlineStr">
        <is>
          <t>Đang giao</t>
        </is>
      </c>
      <c r="R289" s="24" t="inlineStr">
        <is>
          <t>Cute Baby</t>
        </is>
      </c>
      <c r="S289" s="22">
        <f>IF(AND($A289="",$C289=""),"",IF($A289="","Thiếu mã đơn; ","")&amp;IF(COUNTIF($A$2:$A289,$A289)&gt;1,"Trùng mã đơn; ","")&amp;IF(COUNTIF($C$2:$C289,$C289)&gt;1,"Trùng SĐT; ","")&amp;IF(ISNA(MATCH($C289,DATA_MASTER!$D$2:$D$5000,0)),"SĐT chưa đăng ký hội viên; ","")&amp;IF(AND($L289="Đã chuyển khoản",$M289=""),"Thiếu ngày nhận CK; ",""))</f>
        <v/>
      </c>
      <c r="T289" s="24" t="inlineStr">
        <is>
          <t>ĐVVC: Giao hàng nhanh | Mã VĐ: GYRACLQX</t>
        </is>
      </c>
    </row>
    <row r="290" ht="14.25" customHeight="1" s="40">
      <c r="A290" s="24" t="n">
        <v>289</v>
      </c>
      <c r="B290" s="29" t="inlineStr">
        <is>
          <t>10/06/2026</t>
        </is>
      </c>
      <c r="C290" s="28" t="inlineStr">
        <is>
          <t>0339909928</t>
        </is>
      </c>
      <c r="D290" s="22">
        <f>IF($C290="","",IFERROR(INDEX(DATA_MASTER!$C$2:$C$5000,MATCH($C290,DATA_MASTER!$D$2:$D$5000,0)),"Lê Thị Mai"))</f>
        <v/>
      </c>
      <c r="E290" s="22">
        <f>IF($C290="","",IFERROR(INDEX(DATA_MASTER!$I$2:$I$5000,MATCH($C290,DATA_MASTER!$D$2:$D$5000,0)),""))</f>
        <v/>
      </c>
      <c r="F290" s="22">
        <f>IF($C290="","",IFERROR(INDEX(DATA_MASTER!$L$2:$L$5000,MATCH($C290,DATA_MASTER!$D$2:$D$5000,0)),"ZM"))</f>
        <v/>
      </c>
      <c r="G290" s="24" t="inlineStr">
        <is>
          <t>Sữa Aptamil 380g</t>
        </is>
      </c>
      <c r="H290" s="24" t="n">
        <v>1</v>
      </c>
      <c r="I290" s="30" t="n">
        <v>320000</v>
      </c>
      <c r="J290" s="23">
        <f>IF(OR($H290="",$I290=""),"",$H290*$I290)</f>
        <v/>
      </c>
      <c r="K290" s="24" t="inlineStr">
        <is>
          <t>Chuyển khoản QR</t>
        </is>
      </c>
      <c r="L290" s="24" t="inlineStr">
        <is>
          <t>Đã chuyển khoản</t>
        </is>
      </c>
      <c r="M290" s="29" t="inlineStr">
        <is>
          <t>10/06/2026</t>
        </is>
      </c>
      <c r="N290" s="28" t="inlineStr">
        <is>
          <t>0339909928</t>
        </is>
      </c>
      <c r="O290" s="24" t="inlineStr">
        <is>
          <t>Lê Thị Mai</t>
        </is>
      </c>
      <c r="P290" s="24" t="inlineStr">
        <is>
          <t>Tổ 1 xích thổ hồng thái Sn Dương- Hải Phòng (ngõ đối diện tap hoá Dung Anh)</t>
        </is>
      </c>
      <c r="Q290" s="24" t="inlineStr">
        <is>
          <t>Đang giao</t>
        </is>
      </c>
      <c r="R290" s="24" t="inlineStr">
        <is>
          <t>Cute Baby</t>
        </is>
      </c>
      <c r="S290" s="22">
        <f>IF(AND($A290="",$C290=""),"",IF($A290="","Thiếu mã đơn; ","")&amp;IF(COUNTIF($A$2:$A290,$A290)&gt;1,"Trùng mã đơn; ","")&amp;IF(COUNTIF($C$2:$C290,$C290)&gt;1,"Trùng SĐT; ","")&amp;IF(ISNA(MATCH($C290,DATA_MASTER!$D$2:$D$5000,0)),"SĐT chưa đăng ký hội viên; ","")&amp;IF(AND($L290="Đã chuyển khoản",$M290=""),"Thiếu ngày nhận CK; ",""))</f>
        <v/>
      </c>
      <c r="T290" s="24" t="inlineStr">
        <is>
          <t>ĐVVC: Giao hàng nhanh | Mã VĐ: GYRAUKQW</t>
        </is>
      </c>
    </row>
    <row r="291" ht="14.25" customHeight="1" s="40">
      <c r="A291" s="24" t="n">
        <v>290</v>
      </c>
      <c r="B291" s="29" t="inlineStr">
        <is>
          <t>10/06/2026</t>
        </is>
      </c>
      <c r="C291" s="28" t="inlineStr">
        <is>
          <t>0987944895</t>
        </is>
      </c>
      <c r="D291" s="22">
        <f>IF($C291="","",IFERROR(INDEX(DATA_MASTER!$C$2:$C$5000,MATCH($C291,DATA_MASTER!$D$2:$D$5000,0)),"Vũ Thùy Linh"))</f>
        <v/>
      </c>
      <c r="E291" s="22">
        <f>IF($C291="","",IFERROR(INDEX(DATA_MASTER!$I$2:$I$5000,MATCH($C291,DATA_MASTER!$D$2:$D$5000,0)),""))</f>
        <v/>
      </c>
      <c r="F291" s="22">
        <f>IF($C291="","",IFERROR(INDEX(DATA_MASTER!$L$2:$L$5000,MATCH($C291,DATA_MASTER!$D$2:$D$5000,0)),"ZM"))</f>
        <v/>
      </c>
      <c r="G291" s="24" t="inlineStr">
        <is>
          <t>Sữa Aptamil 380g</t>
        </is>
      </c>
      <c r="H291" s="24" t="n">
        <v>1</v>
      </c>
      <c r="I291" s="30" t="n">
        <v>320000</v>
      </c>
      <c r="J291" s="23">
        <f>IF(OR($H291="",$I291=""),"",$H291*$I291)</f>
        <v/>
      </c>
      <c r="K291" s="24" t="inlineStr">
        <is>
          <t>Chuyển khoản QR</t>
        </is>
      </c>
      <c r="L291" s="24" t="inlineStr">
        <is>
          <t>Đã chuyển khoản</t>
        </is>
      </c>
      <c r="M291" s="29" t="inlineStr">
        <is>
          <t>10/06/2026</t>
        </is>
      </c>
      <c r="N291" s="28" t="inlineStr">
        <is>
          <t>0987944895</t>
        </is>
      </c>
      <c r="O291" s="24" t="inlineStr">
        <is>
          <t>Vũ Thùy Linh</t>
        </is>
      </c>
      <c r="P291" s="24" t="inlineStr">
        <is>
          <t>Chung cư Đông Dương, Kinh Bắc, Bắc Ninh, Hải Phòng</t>
        </is>
      </c>
      <c r="Q291" s="24" t="inlineStr">
        <is>
          <t>Đang giao</t>
        </is>
      </c>
      <c r="R291" s="24" t="inlineStr">
        <is>
          <t>Cute Baby</t>
        </is>
      </c>
      <c r="S291" s="22">
        <f>IF(AND($A291="",$C291=""),"",IF($A291="","Thiếu mã đơn; ","")&amp;IF(COUNTIF($A$2:$A291,$A291)&gt;1,"Trùng mã đơn; ","")&amp;IF(COUNTIF($C$2:$C291,$C291)&gt;1,"Trùng SĐT; ","")&amp;IF(ISNA(MATCH($C291,DATA_MASTER!$D$2:$D$5000,0)),"SĐT chưa đăng ký hội viên; ","")&amp;IF(AND($L291="Đã chuyển khoản",$M291=""),"Thiếu ngày nhận CK; ",""))</f>
        <v/>
      </c>
      <c r="T291" s="24" t="inlineStr">
        <is>
          <t>ĐVVC: Giao hàng nhanh | Mã VĐ: GYRAUNMY</t>
        </is>
      </c>
    </row>
    <row r="292" ht="14.25" customHeight="1" s="40">
      <c r="A292" s="24" t="n">
        <v>291</v>
      </c>
      <c r="B292" s="29" t="inlineStr">
        <is>
          <t>10/06/2026</t>
        </is>
      </c>
      <c r="C292" s="28" t="inlineStr">
        <is>
          <t>0877210391</t>
        </is>
      </c>
      <c r="D292" s="22">
        <f>IF($C292="","",IFERROR(INDEX(DATA_MASTER!$C$2:$C$5000,MATCH($C292,DATA_MASTER!$D$2:$D$5000,0)),"Ngọc Mai,"))</f>
        <v/>
      </c>
      <c r="E292" s="22">
        <f>IF($C292="","",IFERROR(INDEX(DATA_MASTER!$I$2:$I$5000,MATCH($C292,DATA_MASTER!$D$2:$D$5000,0)),""))</f>
        <v/>
      </c>
      <c r="F292" s="22">
        <f>IF($C292="","",IFERROR(INDEX(DATA_MASTER!$L$2:$L$5000,MATCH($C292,DATA_MASTER!$D$2:$D$5000,0)),"ZM"))</f>
        <v/>
      </c>
      <c r="G292" s="24" t="inlineStr">
        <is>
          <t>Sữa Aptamil 380g</t>
        </is>
      </c>
      <c r="H292" s="24" t="n">
        <v>1</v>
      </c>
      <c r="I292" s="30" t="n">
        <v>320000</v>
      </c>
      <c r="J292" s="23">
        <f>IF(OR($H292="",$I292=""),"",$H292*$I292)</f>
        <v/>
      </c>
      <c r="K292" s="24" t="inlineStr">
        <is>
          <t>Chuyển khoản QR</t>
        </is>
      </c>
      <c r="L292" s="24" t="inlineStr">
        <is>
          <t>Đã chuyển khoản</t>
        </is>
      </c>
      <c r="M292" s="29" t="inlineStr">
        <is>
          <t>10/06/2026</t>
        </is>
      </c>
      <c r="N292" s="28" t="inlineStr">
        <is>
          <t>0877210391</t>
        </is>
      </c>
      <c r="O292" s="24" t="inlineStr">
        <is>
          <t>Ngọc Mai,</t>
        </is>
      </c>
      <c r="P292" s="24" t="inlineStr">
        <is>
          <t>nhà ông Nguyễn văn đia, thôn phương chử,xã an trường, An Lão, ( nhà có cửa kính màu đen,đối diện quán cho vay tín dụng), Hải Phòng</t>
        </is>
      </c>
      <c r="Q292" s="24" t="inlineStr">
        <is>
          <t>Chờ giao</t>
        </is>
      </c>
      <c r="R292" s="24" t="inlineStr">
        <is>
          <t>Cute Baby</t>
        </is>
      </c>
      <c r="S292" s="22">
        <f>IF(AND($A292="",$C292=""),"",IF($A292="","Thiếu mã đơn; ","")&amp;IF(COUNTIF($A$2:$A292,$A292)&gt;1,"Trùng mã đơn; ","")&amp;IF(COUNTIF($C$2:$C292,$C292)&gt;1,"Trùng SĐT; ","")&amp;IF(ISNA(MATCH($C292,DATA_MASTER!$D$2:$D$5000,0)),"SĐT chưa đăng ký hội viên; ","")&amp;IF(AND($L292="Đã chuyển khoản",$M292=""),"Thiếu ngày nhận CK; ",""))</f>
        <v/>
      </c>
      <c r="T292" s="24" t="inlineStr"/>
    </row>
    <row r="293" ht="14.25" customHeight="1" s="40">
      <c r="A293" s="24" t="n">
        <v>292</v>
      </c>
      <c r="B293" s="29" t="inlineStr">
        <is>
          <t>10/06/2026</t>
        </is>
      </c>
      <c r="C293" s="28" t="inlineStr">
        <is>
          <t>0334557629</t>
        </is>
      </c>
      <c r="D293" s="22">
        <f>IF($C293="","",IFERROR(INDEX(DATA_MASTER!$C$2:$C$5000,MATCH($C293,DATA_MASTER!$D$2:$D$5000,0)),"Lê Thị Chiên"))</f>
        <v/>
      </c>
      <c r="E293" s="22">
        <f>IF($C293="","",IFERROR(INDEX(DATA_MASTER!$I$2:$I$5000,MATCH($C293,DATA_MASTER!$D$2:$D$5000,0)),""))</f>
        <v/>
      </c>
      <c r="F293" s="22">
        <f>IF($C293="","",IFERROR(INDEX(DATA_MASTER!$L$2:$L$5000,MATCH($C293,DATA_MASTER!$D$2:$D$5000,0)),"ZM"))</f>
        <v/>
      </c>
      <c r="G293" s="24" t="inlineStr">
        <is>
          <t>Sữa Aptamil 380g</t>
        </is>
      </c>
      <c r="H293" s="24" t="n">
        <v>1</v>
      </c>
      <c r="I293" s="30" t="n">
        <v>320000</v>
      </c>
      <c r="J293" s="23">
        <f>IF(OR($H293="",$I293=""),"",$H293*$I293)</f>
        <v/>
      </c>
      <c r="K293" s="24" t="inlineStr">
        <is>
          <t>Chuyển khoản QR</t>
        </is>
      </c>
      <c r="L293" s="24" t="inlineStr">
        <is>
          <t>Đã chuyển khoản</t>
        </is>
      </c>
      <c r="M293" s="29" t="inlineStr">
        <is>
          <t>10/06/2026</t>
        </is>
      </c>
      <c r="N293" s="28" t="inlineStr">
        <is>
          <t>0334557629</t>
        </is>
      </c>
      <c r="O293" s="24" t="inlineStr">
        <is>
          <t>Lê Thị Chiên</t>
        </is>
      </c>
      <c r="P293" s="24" t="inlineStr">
        <is>
          <t>TSP Chính mỹ 4, phường Lê Ích Mộc, tp Hải Phòng</t>
        </is>
      </c>
      <c r="Q293" s="24" t="inlineStr">
        <is>
          <t>Đang giao</t>
        </is>
      </c>
      <c r="R293" s="24" t="inlineStr">
        <is>
          <t>Cute Baby</t>
        </is>
      </c>
      <c r="S293" s="22">
        <f>IF(AND($A293="",$C293=""),"",IF($A293="","Thiếu mã đơn; ","")&amp;IF(COUNTIF($A$2:$A293,$A293)&gt;1,"Trùng mã đơn; ","")&amp;IF(COUNTIF($C$2:$C293,$C293)&gt;1,"Trùng SĐT; ","")&amp;IF(ISNA(MATCH($C293,DATA_MASTER!$D$2:$D$5000,0)),"SĐT chưa đăng ký hội viên; ","")&amp;IF(AND($L293="Đã chuyển khoản",$M293=""),"Thiếu ngày nhận CK; ",""))</f>
        <v/>
      </c>
      <c r="T293" s="24" t="inlineStr">
        <is>
          <t>ĐVVC: Giao hàng nhanh | Mã VĐ: GYRAU9LU</t>
        </is>
      </c>
    </row>
    <row r="294" ht="14.25" customHeight="1" s="40">
      <c r="A294" s="24" t="n">
        <v>293</v>
      </c>
      <c r="B294" s="29" t="inlineStr">
        <is>
          <t>10/06/2026</t>
        </is>
      </c>
      <c r="C294" s="28" t="inlineStr">
        <is>
          <t>0376281537</t>
        </is>
      </c>
      <c r="D294" s="22">
        <f>IF($C294="","",IFERROR(INDEX(DATA_MASTER!$C$2:$C$5000,MATCH($C294,DATA_MASTER!$D$2:$D$5000,0)),"Trương Thị Dung"))</f>
        <v/>
      </c>
      <c r="E294" s="22">
        <f>IF($C294="","",IFERROR(INDEX(DATA_MASTER!$I$2:$I$5000,MATCH($C294,DATA_MASTER!$D$2:$D$5000,0)),""))</f>
        <v/>
      </c>
      <c r="F294" s="22">
        <f>IF($C294="","",IFERROR(INDEX(DATA_MASTER!$L$2:$L$5000,MATCH($C294,DATA_MASTER!$D$2:$D$5000,0)),"ZM"))</f>
        <v/>
      </c>
      <c r="G294" s="24" t="inlineStr">
        <is>
          <t>Sữa Aptamil 380g</t>
        </is>
      </c>
      <c r="H294" s="24" t="n">
        <v>1</v>
      </c>
      <c r="I294" s="30" t="n">
        <v>320000</v>
      </c>
      <c r="J294" s="23">
        <f>IF(OR($H294="",$I294=""),"",$H294*$I294)</f>
        <v/>
      </c>
      <c r="K294" s="24" t="inlineStr">
        <is>
          <t>Chuyển khoản QR</t>
        </is>
      </c>
      <c r="L294" s="24" t="inlineStr">
        <is>
          <t>Đã chuyển khoản</t>
        </is>
      </c>
      <c r="M294" s="29" t="inlineStr">
        <is>
          <t>10/06/2026</t>
        </is>
      </c>
      <c r="N294" s="28" t="inlineStr">
        <is>
          <t>0376281537</t>
        </is>
      </c>
      <c r="O294" s="24" t="inlineStr">
        <is>
          <t>Trương Thị Dung</t>
        </is>
      </c>
      <c r="P294" s="24" t="inlineStr">
        <is>
          <t>Số nha 45 - Tổ dân phố Bắc Nông Xá -
 Phường An Dương - HP, Hải Phòng</t>
        </is>
      </c>
      <c r="Q294" s="24" t="inlineStr">
        <is>
          <t>Đang giao</t>
        </is>
      </c>
      <c r="R294" s="24" t="inlineStr">
        <is>
          <t>Cute Baby</t>
        </is>
      </c>
      <c r="S294" s="22">
        <f>IF(AND($A294="",$C294=""),"",IF($A294="","Thiếu mã đơn; ","")&amp;IF(COUNTIF($A$2:$A294,$A294)&gt;1,"Trùng mã đơn; ","")&amp;IF(COUNTIF($C$2:$C294,$C294)&gt;1,"Trùng SĐT; ","")&amp;IF(ISNA(MATCH($C294,DATA_MASTER!$D$2:$D$5000,0)),"SĐT chưa đăng ký hội viên; ","")&amp;IF(AND($L294="Đã chuyển khoản",$M294=""),"Thiếu ngày nhận CK; ",""))</f>
        <v/>
      </c>
      <c r="T294" s="24" t="inlineStr">
        <is>
          <t>ĐVVC: giao hàng nhanh | Mã VĐ: GYRAUL9R</t>
        </is>
      </c>
    </row>
    <row r="295" ht="14.25" customHeight="1" s="40">
      <c r="A295" s="24" t="n">
        <v>294</v>
      </c>
      <c r="B295" s="29" t="inlineStr">
        <is>
          <t>10/06/2026</t>
        </is>
      </c>
      <c r="C295" s="28" t="inlineStr">
        <is>
          <t>0936688200</t>
        </is>
      </c>
      <c r="D295" s="22">
        <f>IF($C295="","",IFERROR(INDEX(DATA_MASTER!$C$2:$C$5000,MATCH($C295,DATA_MASTER!$D$2:$D$5000,0)),"Thu Hà"))</f>
        <v/>
      </c>
      <c r="E295" s="22">
        <f>IF($C295="","",IFERROR(INDEX(DATA_MASTER!$I$2:$I$5000,MATCH($C295,DATA_MASTER!$D$2:$D$5000,0)),""))</f>
        <v/>
      </c>
      <c r="F295" s="22">
        <f>IF($C295="","",IFERROR(INDEX(DATA_MASTER!$L$2:$L$5000,MATCH($C295,DATA_MASTER!$D$2:$D$5000,0)),"ZM"))</f>
        <v/>
      </c>
      <c r="G295" s="24" t="inlineStr">
        <is>
          <t>Sữa Aptamil 380g</t>
        </is>
      </c>
      <c r="H295" s="24" t="n">
        <v>1</v>
      </c>
      <c r="I295" s="30" t="n">
        <v>320000</v>
      </c>
      <c r="J295" s="23">
        <f>IF(OR($H295="",$I295=""),"",$H295*$I295)</f>
        <v/>
      </c>
      <c r="K295" s="24" t="inlineStr">
        <is>
          <t>Chuyển khoản QR</t>
        </is>
      </c>
      <c r="L295" s="24" t="inlineStr">
        <is>
          <t>Đã chuyển khoản</t>
        </is>
      </c>
      <c r="M295" s="29" t="inlineStr">
        <is>
          <t>10/06/2026</t>
        </is>
      </c>
      <c r="N295" s="28" t="inlineStr">
        <is>
          <t>0936688200</t>
        </is>
      </c>
      <c r="O295" s="24" t="inlineStr">
        <is>
          <t>Thu Hà</t>
        </is>
      </c>
      <c r="P295" s="24" t="inlineStr">
        <is>
          <t>Thôn An Phú 2, xã Quỳnh Phụ, Tỉnh Hưng Yên, Hải Phòng</t>
        </is>
      </c>
      <c r="Q295" s="24" t="inlineStr">
        <is>
          <t>Đã giao</t>
        </is>
      </c>
      <c r="R295" s="24" t="inlineStr">
        <is>
          <t>Ababy</t>
        </is>
      </c>
      <c r="S295" s="22">
        <f>IF(AND($A295="",$C295=""),"",IF($A295="","Thiếu mã đơn; ","")&amp;IF(COUNTIF($A$2:$A295,$A295)&gt;1,"Trùng mã đơn; ","")&amp;IF(COUNTIF($C$2:$C295,$C295)&gt;1,"Trùng SĐT; ","")&amp;IF(ISNA(MATCH($C295,DATA_MASTER!$D$2:$D$5000,0)),"SĐT chưa đăng ký hội viên; ","")&amp;IF(AND($L295="Đã chuyển khoản",$M295=""),"Thiếu ngày nhận CK; ",""))</f>
        <v/>
      </c>
      <c r="T295" s="24" t="inlineStr">
        <is>
          <t>ĐVVC: Shipper riêng | POD: https://drive.google.com/file/d/1RP5_eF8CmKxV6F3pjZ-APU5eY9eH22fv/view</t>
        </is>
      </c>
    </row>
    <row r="296" ht="14.25" customHeight="1" s="40">
      <c r="A296" s="24" t="n">
        <v>295</v>
      </c>
      <c r="B296" s="29" t="inlineStr">
        <is>
          <t>10/06/2026</t>
        </is>
      </c>
      <c r="C296" s="28" t="inlineStr">
        <is>
          <t>0975247254</t>
        </is>
      </c>
      <c r="D296" s="22">
        <f>IF($C296="","",IFERROR(INDEX(DATA_MASTER!$C$2:$C$5000,MATCH($C296,DATA_MASTER!$D$2:$D$5000,0)),"Phạm Trang"))</f>
        <v/>
      </c>
      <c r="E296" s="22">
        <f>IF($C296="","",IFERROR(INDEX(DATA_MASTER!$I$2:$I$5000,MATCH($C296,DATA_MASTER!$D$2:$D$5000,0)),""))</f>
        <v/>
      </c>
      <c r="F296" s="22">
        <f>IF($C296="","",IFERROR(INDEX(DATA_MASTER!$L$2:$L$5000,MATCH($C296,DATA_MASTER!$D$2:$D$5000,0)),"ZM"))</f>
        <v/>
      </c>
      <c r="G296" s="24" t="inlineStr">
        <is>
          <t>Sữa Aptamil 380g</t>
        </is>
      </c>
      <c r="H296" s="24" t="n">
        <v>1</v>
      </c>
      <c r="I296" s="30" t="n">
        <v>320000</v>
      </c>
      <c r="J296" s="23">
        <f>IF(OR($H296="",$I296=""),"",$H296*$I296)</f>
        <v/>
      </c>
      <c r="K296" s="24" t="inlineStr">
        <is>
          <t>Chuyển khoản QR</t>
        </is>
      </c>
      <c r="L296" s="24" t="inlineStr">
        <is>
          <t>Đã chuyển khoản</t>
        </is>
      </c>
      <c r="M296" s="29" t="inlineStr">
        <is>
          <t>10/06/2026</t>
        </is>
      </c>
      <c r="N296" s="28" t="inlineStr">
        <is>
          <t>0975247254</t>
        </is>
      </c>
      <c r="O296" s="24" t="inlineStr">
        <is>
          <t>Phạm Trang</t>
        </is>
      </c>
      <c r="P296" s="24" t="inlineStr">
        <is>
          <t>9B/271 Hoàng Công Khanh- Kiến An- Hải Phòng</t>
        </is>
      </c>
      <c r="Q296" s="24" t="inlineStr">
        <is>
          <t>Đã giao</t>
        </is>
      </c>
      <c r="R296" s="24" t="inlineStr">
        <is>
          <t>Ababy</t>
        </is>
      </c>
      <c r="S296" s="22">
        <f>IF(AND($A296="",$C296=""),"",IF($A296="","Thiếu mã đơn; ","")&amp;IF(COUNTIF($A$2:$A296,$A296)&gt;1,"Trùng mã đơn; ","")&amp;IF(COUNTIF($C$2:$C296,$C296)&gt;1,"Trùng SĐT; ","")&amp;IF(ISNA(MATCH($C296,DATA_MASTER!$D$2:$D$5000,0)),"SĐT chưa đăng ký hội viên; ","")&amp;IF(AND($L296="Đã chuyển khoản",$M296=""),"Thiếu ngày nhận CK; ",""))</f>
        <v/>
      </c>
      <c r="T296" s="24" t="inlineStr">
        <is>
          <t>ĐVVC: Shipper riêng | POD: https://drive.google.com/file/d/1t73zqhe7sXBktzXN7NuDQ3nnOGff0b8U/view</t>
        </is>
      </c>
    </row>
    <row r="297" ht="14.25" customHeight="1" s="40">
      <c r="A297" s="24" t="n">
        <v>296</v>
      </c>
      <c r="B297" s="29" t="inlineStr">
        <is>
          <t>10/06/2026</t>
        </is>
      </c>
      <c r="C297" s="28" t="inlineStr">
        <is>
          <t>0936503192</t>
        </is>
      </c>
      <c r="D297" s="22">
        <f>IF($C297="","",IFERROR(INDEX(DATA_MASTER!$C$2:$C$5000,MATCH($C297,DATA_MASTER!$D$2:$D$5000,0)),"Đồng Thị Thu Hà"))</f>
        <v/>
      </c>
      <c r="E297" s="22">
        <f>IF($C297="","",IFERROR(INDEX(DATA_MASTER!$I$2:$I$5000,MATCH($C297,DATA_MASTER!$D$2:$D$5000,0)),""))</f>
        <v/>
      </c>
      <c r="F297" s="22">
        <f>IF($C297="","",IFERROR(INDEX(DATA_MASTER!$L$2:$L$5000,MATCH($C297,DATA_MASTER!$D$2:$D$5000,0)),"ZM"))</f>
        <v/>
      </c>
      <c r="G297" s="24" t="inlineStr">
        <is>
          <t>Sữa Aptamil 380g</t>
        </is>
      </c>
      <c r="H297" s="24" t="n">
        <v>1</v>
      </c>
      <c r="I297" s="30" t="n">
        <v>320000</v>
      </c>
      <c r="J297" s="23">
        <f>IF(OR($H297="",$I297=""),"",$H297*$I297)</f>
        <v/>
      </c>
      <c r="K297" s="24" t="inlineStr">
        <is>
          <t>Chuyển khoản QR</t>
        </is>
      </c>
      <c r="L297" s="24" t="inlineStr">
        <is>
          <t>Đã chuyển khoản</t>
        </is>
      </c>
      <c r="M297" s="29" t="inlineStr">
        <is>
          <t>10/06/2026</t>
        </is>
      </c>
      <c r="N297" s="28" t="inlineStr">
        <is>
          <t>0936503192</t>
        </is>
      </c>
      <c r="O297" s="24" t="inlineStr">
        <is>
          <t>Đồng Thị Thu Hà</t>
        </is>
      </c>
      <c r="P297" s="24" t="inlineStr">
        <is>
          <t>4/36/440 chợ hàng. Phường Lê chân. TP Hải Phòng</t>
        </is>
      </c>
      <c r="Q297" s="24" t="inlineStr">
        <is>
          <t>Đã giao</t>
        </is>
      </c>
      <c r="R297" s="24" t="inlineStr">
        <is>
          <t>Ababy</t>
        </is>
      </c>
      <c r="S297" s="22">
        <f>IF(AND($A297="",$C297=""),"",IF($A297="","Thiếu mã đơn; ","")&amp;IF(COUNTIF($A$2:$A297,$A297)&gt;1,"Trùng mã đơn; ","")&amp;IF(COUNTIF($C$2:$C297,$C297)&gt;1,"Trùng SĐT; ","")&amp;IF(ISNA(MATCH($C297,DATA_MASTER!$D$2:$D$5000,0)),"SĐT chưa đăng ký hội viên; ","")&amp;IF(AND($L297="Đã chuyển khoản",$M297=""),"Thiếu ngày nhận CK; ",""))</f>
        <v/>
      </c>
      <c r="T297" s="24" t="inlineStr">
        <is>
          <t>ĐVVC: Shipper riêng | POD: https://drive.google.com/file/d/1qte7QQrhQdtIXiWIcc_u29ii7CjXS2XC/view?usp=drive_link</t>
        </is>
      </c>
    </row>
    <row r="298" ht="14.25" customHeight="1" s="40">
      <c r="A298" s="24" t="n">
        <v>297</v>
      </c>
      <c r="B298" s="29" t="inlineStr">
        <is>
          <t>10/06/2026</t>
        </is>
      </c>
      <c r="C298" s="28" t="inlineStr">
        <is>
          <t>0826160699</t>
        </is>
      </c>
      <c r="D298" s="22">
        <f>IF($C298="","",IFERROR(INDEX(DATA_MASTER!$C$2:$C$5000,MATCH($C298,DATA_MASTER!$D$2:$D$5000,0)),"Hoàng Phương Thảo"))</f>
        <v/>
      </c>
      <c r="E298" s="22">
        <f>IF($C298="","",IFERROR(INDEX(DATA_MASTER!$I$2:$I$5000,MATCH($C298,DATA_MASTER!$D$2:$D$5000,0)),""))</f>
        <v/>
      </c>
      <c r="F298" s="22">
        <f>IF($C298="","",IFERROR(INDEX(DATA_MASTER!$L$2:$L$5000,MATCH($C298,DATA_MASTER!$D$2:$D$5000,0)),"ZM"))</f>
        <v/>
      </c>
      <c r="G298" s="24" t="inlineStr">
        <is>
          <t>Sữa Aptamil 380g</t>
        </is>
      </c>
      <c r="H298" s="24" t="n">
        <v>1</v>
      </c>
      <c r="I298" s="30" t="n">
        <v>320000</v>
      </c>
      <c r="J298" s="23">
        <f>IF(OR($H298="",$I298=""),"",$H298*$I298)</f>
        <v/>
      </c>
      <c r="K298" s="24" t="inlineStr">
        <is>
          <t>Chuyển khoản QR</t>
        </is>
      </c>
      <c r="L298" s="24" t="inlineStr">
        <is>
          <t>Đã chuyển khoản</t>
        </is>
      </c>
      <c r="M298" s="29" t="inlineStr">
        <is>
          <t>10/06/2026</t>
        </is>
      </c>
      <c r="N298" s="28" t="inlineStr">
        <is>
          <t>0826160699</t>
        </is>
      </c>
      <c r="O298" s="24" t="inlineStr">
        <is>
          <t>Hoàng Phương Thảo</t>
        </is>
      </c>
      <c r="P298" s="24" t="inlineStr">
        <is>
          <t>112 Nguyễn Văn Linh, Lê Chân, Hải Phòng</t>
        </is>
      </c>
      <c r="Q298" s="24" t="inlineStr">
        <is>
          <t>Đã giao</t>
        </is>
      </c>
      <c r="R298" s="24" t="inlineStr">
        <is>
          <t>Ababy</t>
        </is>
      </c>
      <c r="S298" s="22">
        <f>IF(AND($A298="",$C298=""),"",IF($A298="","Thiếu mã đơn; ","")&amp;IF(COUNTIF($A$2:$A298,$A298)&gt;1,"Trùng mã đơn; ","")&amp;IF(COUNTIF($C$2:$C298,$C298)&gt;1,"Trùng SĐT; ","")&amp;IF(ISNA(MATCH($C298,DATA_MASTER!$D$2:$D$5000,0)),"SĐT chưa đăng ký hội viên; ","")&amp;IF(AND($L298="Đã chuyển khoản",$M298=""),"Thiếu ngày nhận CK; ",""))</f>
        <v/>
      </c>
      <c r="T298" s="24" t="inlineStr">
        <is>
          <t>ĐVVC: Shipper riêng | POD: https://drive.google.com/file/d/1JyxsYLanOqPpPSAY_OwOzZL9oC1KcKdz/view?usp=drive_link</t>
        </is>
      </c>
    </row>
    <row r="299" ht="14.25" customHeight="1" s="40">
      <c r="A299" s="24" t="n">
        <v>298</v>
      </c>
      <c r="B299" s="29" t="inlineStr">
        <is>
          <t>10/06/2026</t>
        </is>
      </c>
      <c r="C299" s="28" t="inlineStr">
        <is>
          <t>0705696363</t>
        </is>
      </c>
      <c r="D299" s="22">
        <f>IF($C299="","",IFERROR(INDEX(DATA_MASTER!$C$2:$C$5000,MATCH($C299,DATA_MASTER!$D$2:$D$5000,0)),"Đỗ Mỹ Nga"))</f>
        <v/>
      </c>
      <c r="E299" s="22">
        <f>IF($C299="","",IFERROR(INDEX(DATA_MASTER!$I$2:$I$5000,MATCH($C299,DATA_MASTER!$D$2:$D$5000,0)),""))</f>
        <v/>
      </c>
      <c r="F299" s="22">
        <f>IF($C299="","",IFERROR(INDEX(DATA_MASTER!$L$2:$L$5000,MATCH($C299,DATA_MASTER!$D$2:$D$5000,0)),"ZM"))</f>
        <v/>
      </c>
      <c r="G299" s="24" t="inlineStr">
        <is>
          <t>Sữa Aptamil 380g</t>
        </is>
      </c>
      <c r="H299" s="24" t="n">
        <v>1</v>
      </c>
      <c r="I299" s="30" t="n">
        <v>320000</v>
      </c>
      <c r="J299" s="23">
        <f>IF(OR($H299="",$I299=""),"",$H299*$I299)</f>
        <v/>
      </c>
      <c r="K299" s="24" t="inlineStr">
        <is>
          <t>Chuyển khoản QR</t>
        </is>
      </c>
      <c r="L299" s="24" t="inlineStr">
        <is>
          <t>Đã chuyển khoản</t>
        </is>
      </c>
      <c r="M299" s="29" t="inlineStr">
        <is>
          <t>10/06/2026</t>
        </is>
      </c>
      <c r="N299" s="28" t="inlineStr">
        <is>
          <t>0705696363</t>
        </is>
      </c>
      <c r="O299" s="24" t="inlineStr">
        <is>
          <t>Đỗ Mỹ Nga</t>
        </is>
      </c>
      <c r="P299" s="24" t="inlineStr">
        <is>
          <t>4/55/132 An Đà, Gia Viên, Hải Phòng</t>
        </is>
      </c>
      <c r="Q299" s="24" t="inlineStr">
        <is>
          <t>Đã giao</t>
        </is>
      </c>
      <c r="R299" s="24" t="inlineStr">
        <is>
          <t>Ababy</t>
        </is>
      </c>
      <c r="S299" s="22">
        <f>IF(AND($A299="",$C299=""),"",IF($A299="","Thiếu mã đơn; ","")&amp;IF(COUNTIF($A$2:$A299,$A299)&gt;1,"Trùng mã đơn; ","")&amp;IF(COUNTIF($C$2:$C299,$C299)&gt;1,"Trùng SĐT; ","")&amp;IF(ISNA(MATCH($C299,DATA_MASTER!$D$2:$D$5000,0)),"SĐT chưa đăng ký hội viên; ","")&amp;IF(AND($L299="Đã chuyển khoản",$M299=""),"Thiếu ngày nhận CK; ",""))</f>
        <v/>
      </c>
      <c r="T299" s="24" t="inlineStr">
        <is>
          <t>ĐVVC: Shipper riêng | POD: https://drive.google.com/file/d/1e5-s_K9EqMVs8vHcJrzkXo9__Yij4QBf/view?usp=drive_link</t>
        </is>
      </c>
    </row>
    <row r="300" ht="14.25" customHeight="1" s="40">
      <c r="A300" s="24" t="n">
        <v>299</v>
      </c>
      <c r="B300" s="29" t="inlineStr">
        <is>
          <t>10/06/2026</t>
        </is>
      </c>
      <c r="C300" s="28" t="inlineStr">
        <is>
          <t>0964898186</t>
        </is>
      </c>
      <c r="D300" s="22">
        <f>IF($C300="","",IFERROR(INDEX(DATA_MASTER!$C$2:$C$5000,MATCH($C300,DATA_MASTER!$D$2:$D$5000,0)),"Lê Phương Hoa"))</f>
        <v/>
      </c>
      <c r="E300" s="22">
        <f>IF($C300="","",IFERROR(INDEX(DATA_MASTER!$I$2:$I$5000,MATCH($C300,DATA_MASTER!$D$2:$D$5000,0)),""))</f>
        <v/>
      </c>
      <c r="F300" s="22">
        <f>IF($C300="","",IFERROR(INDEX(DATA_MASTER!$L$2:$L$5000,MATCH($C300,DATA_MASTER!$D$2:$D$5000,0)),"ZM"))</f>
        <v/>
      </c>
      <c r="G300" s="24" t="inlineStr">
        <is>
          <t>Sữa Aptamil 380g</t>
        </is>
      </c>
      <c r="H300" s="24" t="n">
        <v>1</v>
      </c>
      <c r="I300" s="30" t="n">
        <v>320000</v>
      </c>
      <c r="J300" s="23">
        <f>IF(OR($H300="",$I300=""),"",$H300*$I300)</f>
        <v/>
      </c>
      <c r="K300" s="24" t="inlineStr">
        <is>
          <t>Chuyển khoản QR</t>
        </is>
      </c>
      <c r="L300" s="24" t="inlineStr">
        <is>
          <t>Đã chuyển khoản</t>
        </is>
      </c>
      <c r="M300" s="29" t="inlineStr">
        <is>
          <t>10/06/2026</t>
        </is>
      </c>
      <c r="N300" s="28" t="inlineStr">
        <is>
          <t>0964898186</t>
        </is>
      </c>
      <c r="O300" s="24" t="inlineStr">
        <is>
          <t>Lê Phương Hoa</t>
        </is>
      </c>
      <c r="P300" s="24" t="inlineStr">
        <is>
          <t>số 25, tổ 10, đường Đằng Hải, phường Hải An, Hải Phòng</t>
        </is>
      </c>
      <c r="Q300" s="24" t="inlineStr">
        <is>
          <t>Đã giao</t>
        </is>
      </c>
      <c r="R300" s="24" t="inlineStr">
        <is>
          <t>Ababy</t>
        </is>
      </c>
      <c r="S300" s="22">
        <f>IF(AND($A300="",$C300=""),"",IF($A300="","Thiếu mã đơn; ","")&amp;IF(COUNTIF($A$2:$A300,$A300)&gt;1,"Trùng mã đơn; ","")&amp;IF(COUNTIF($C$2:$C300,$C300)&gt;1,"Trùng SĐT; ","")&amp;IF(ISNA(MATCH($C300,DATA_MASTER!$D$2:$D$5000,0)),"SĐT chưa đăng ký hội viên; ","")&amp;IF(AND($L300="Đã chuyển khoản",$M300=""),"Thiếu ngày nhận CK; ",""))</f>
        <v/>
      </c>
      <c r="T300" s="24" t="inlineStr">
        <is>
          <t>ĐVVC: Shipper riêng | POD: https://drive.google.com/file/d/14c2X_0F3WXuOBZix2KNubyaYti9iYON6/view?usp=drive_link</t>
        </is>
      </c>
    </row>
    <row r="301" ht="14.25" customHeight="1" s="40">
      <c r="A301" s="24" t="n">
        <v>300</v>
      </c>
      <c r="B301" s="29" t="inlineStr">
        <is>
          <t>10/06/2026</t>
        </is>
      </c>
      <c r="C301" s="28" t="inlineStr">
        <is>
          <t>0834290377</t>
        </is>
      </c>
      <c r="D301" s="22">
        <f>IF($C301="","",IFERROR(INDEX(DATA_MASTER!$C$2:$C$5000,MATCH($C301,DATA_MASTER!$D$2:$D$5000,0)),"Mai Hương"))</f>
        <v/>
      </c>
      <c r="E301" s="22">
        <f>IF($C301="","",IFERROR(INDEX(DATA_MASTER!$I$2:$I$5000,MATCH($C301,DATA_MASTER!$D$2:$D$5000,0)),""))</f>
        <v/>
      </c>
      <c r="F301" s="22">
        <f>IF($C301="","",IFERROR(INDEX(DATA_MASTER!$L$2:$L$5000,MATCH($C301,DATA_MASTER!$D$2:$D$5000,0)),"ZM"))</f>
        <v/>
      </c>
      <c r="G301" s="24" t="inlineStr">
        <is>
          <t>Sữa Aptamil 380g</t>
        </is>
      </c>
      <c r="H301" s="24" t="n">
        <v>1</v>
      </c>
      <c r="I301" s="30" t="n">
        <v>320000</v>
      </c>
      <c r="J301" s="23">
        <f>IF(OR($H301="",$I301=""),"",$H301*$I301)</f>
        <v/>
      </c>
      <c r="K301" s="24" t="inlineStr">
        <is>
          <t>Chuyển khoản QR</t>
        </is>
      </c>
      <c r="L301" s="24" t="inlineStr">
        <is>
          <t>Đã chuyển khoản</t>
        </is>
      </c>
      <c r="M301" s="29" t="inlineStr">
        <is>
          <t>10/06/2026</t>
        </is>
      </c>
      <c r="N301" s="28" t="inlineStr">
        <is>
          <t>0834290377</t>
        </is>
      </c>
      <c r="O301" s="24" t="inlineStr">
        <is>
          <t>Mai Hương</t>
        </is>
      </c>
      <c r="P301" s="24" t="inlineStr">
        <is>
          <t>10/3/22 miếu hai xã , lê chân , hải phòng, Hải Phòng</t>
        </is>
      </c>
      <c r="Q301" s="24" t="inlineStr">
        <is>
          <t>Đã giao</t>
        </is>
      </c>
      <c r="R301" s="24" t="inlineStr">
        <is>
          <t>Ababy</t>
        </is>
      </c>
      <c r="S301" s="22">
        <f>IF(AND($A301="",$C301=""),"",IF($A301="","Thiếu mã đơn; ","")&amp;IF(COUNTIF($A$2:$A301,$A301)&gt;1,"Trùng mã đơn; ","")&amp;IF(COUNTIF($C$2:$C301,$C301)&gt;1,"Trùng SĐT; ","")&amp;IF(ISNA(MATCH($C301,DATA_MASTER!$D$2:$D$5000,0)),"SĐT chưa đăng ký hội viên; ","")&amp;IF(AND($L301="Đã chuyển khoản",$M301=""),"Thiếu ngày nhận CK; ",""))</f>
        <v/>
      </c>
      <c r="T301" s="24" t="inlineStr">
        <is>
          <t>ĐVVC: Shipper riêng | POD: https://drive.google.com/file/d/1UsJlW_9T7WT8a5MzjW2H_CYdyR5_pP7O/view?usp=drive_link</t>
        </is>
      </c>
    </row>
    <row r="302" ht="14.25" customHeight="1" s="40">
      <c r="A302" s="24" t="n">
        <v>301</v>
      </c>
      <c r="B302" s="29" t="inlineStr">
        <is>
          <t>10/06/2026</t>
        </is>
      </c>
      <c r="C302" s="28" t="inlineStr">
        <is>
          <t>0362323675</t>
        </is>
      </c>
      <c r="D302" s="22">
        <f>IF($C302="","",IFERROR(INDEX(DATA_MASTER!$C$2:$C$5000,MATCH($C302,DATA_MASTER!$D$2:$D$5000,0)),"Thanh Dung"))</f>
        <v/>
      </c>
      <c r="E302" s="22">
        <f>IF($C302="","",IFERROR(INDEX(DATA_MASTER!$I$2:$I$5000,MATCH($C302,DATA_MASTER!$D$2:$D$5000,0)),""))</f>
        <v/>
      </c>
      <c r="F302" s="22">
        <f>IF($C302="","",IFERROR(INDEX(DATA_MASTER!$L$2:$L$5000,MATCH($C302,DATA_MASTER!$D$2:$D$5000,0)),"ZM"))</f>
        <v/>
      </c>
      <c r="G302" s="24" t="inlineStr">
        <is>
          <t>Sữa Aptamil 380g</t>
        </is>
      </c>
      <c r="H302" s="24" t="n">
        <v>1</v>
      </c>
      <c r="I302" s="30" t="n">
        <v>320000</v>
      </c>
      <c r="J302" s="23">
        <f>IF(OR($H302="",$I302=""),"",$H302*$I302)</f>
        <v/>
      </c>
      <c r="K302" s="24" t="inlineStr">
        <is>
          <t>Chuyển khoản QR</t>
        </is>
      </c>
      <c r="L302" s="24" t="inlineStr">
        <is>
          <t>Đã chuyển khoản</t>
        </is>
      </c>
      <c r="M302" s="29" t="inlineStr">
        <is>
          <t>10/06/2026</t>
        </is>
      </c>
      <c r="N302" s="28" t="inlineStr">
        <is>
          <t>0362323675</t>
        </is>
      </c>
      <c r="O302" s="24" t="inlineStr">
        <is>
          <t>Thanh Dung</t>
        </is>
      </c>
      <c r="P302" s="24" t="inlineStr">
        <is>
          <t>12/81/81 Phạm Hữu Điều, An Biên, Hải Phòng</t>
        </is>
      </c>
      <c r="Q302" s="24" t="inlineStr">
        <is>
          <t>Đã giao</t>
        </is>
      </c>
      <c r="R302" s="24" t="inlineStr">
        <is>
          <t>Ababy</t>
        </is>
      </c>
      <c r="S302" s="22">
        <f>IF(AND($A302="",$C302=""),"",IF($A302="","Thiếu mã đơn; ","")&amp;IF(COUNTIF($A$2:$A302,$A302)&gt;1,"Trùng mã đơn; ","")&amp;IF(COUNTIF($C$2:$C302,$C302)&gt;1,"Trùng SĐT; ","")&amp;IF(ISNA(MATCH($C302,DATA_MASTER!$D$2:$D$5000,0)),"SĐT chưa đăng ký hội viên; ","")&amp;IF(AND($L302="Đã chuyển khoản",$M302=""),"Thiếu ngày nhận CK; ",""))</f>
        <v/>
      </c>
      <c r="T302" s="24" t="inlineStr">
        <is>
          <t>ĐVVC: Shipper riêng | POD: https://drive.google.com/file/d/1AKW_2344My216tIYY3_vPY6EXdBZyaFd/view</t>
        </is>
      </c>
    </row>
    <row r="303" ht="14.25" customHeight="1" s="40">
      <c r="A303" s="24" t="n">
        <v>302</v>
      </c>
      <c r="B303" s="29" t="inlineStr">
        <is>
          <t>10/06/2026</t>
        </is>
      </c>
      <c r="C303" s="28" t="inlineStr">
        <is>
          <t>0981525251</t>
        </is>
      </c>
      <c r="D303" s="22">
        <f>IF($C303="","",IFERROR(INDEX(DATA_MASTER!$C$2:$C$5000,MATCH($C303,DATA_MASTER!$D$2:$D$5000,0)),"Trần Thị Mỹ Linh"))</f>
        <v/>
      </c>
      <c r="E303" s="22">
        <f>IF($C303="","",IFERROR(INDEX(DATA_MASTER!$I$2:$I$5000,MATCH($C303,DATA_MASTER!$D$2:$D$5000,0)),""))</f>
        <v/>
      </c>
      <c r="F303" s="22">
        <f>IF($C303="","",IFERROR(INDEX(DATA_MASTER!$L$2:$L$5000,MATCH($C303,DATA_MASTER!$D$2:$D$5000,0)),"ZM"))</f>
        <v/>
      </c>
      <c r="G303" s="24" t="inlineStr">
        <is>
          <t>Sữa Aptamil 380g</t>
        </is>
      </c>
      <c r="H303" s="24" t="n">
        <v>1</v>
      </c>
      <c r="I303" s="30" t="n">
        <v>320000</v>
      </c>
      <c r="J303" s="23">
        <f>IF(OR($H303="",$I303=""),"",$H303*$I303)</f>
        <v/>
      </c>
      <c r="K303" s="24" t="inlineStr">
        <is>
          <t>Chuyển khoản QR</t>
        </is>
      </c>
      <c r="L303" s="24" t="inlineStr">
        <is>
          <t>Chờ chuyển khoản</t>
        </is>
      </c>
      <c r="M303" s="29" t="inlineStr">
        <is>
          <t>10/06/2026</t>
        </is>
      </c>
      <c r="N303" s="28" t="inlineStr">
        <is>
          <t>0981525251</t>
        </is>
      </c>
      <c r="O303" s="24" t="inlineStr">
        <is>
          <t>Trần Thị Mỹ Linh</t>
        </is>
      </c>
      <c r="P303" s="24" t="inlineStr">
        <is>
          <t>số 19, thôn Phước Yên, xã Phước Tín, tx Phước Long, tỉnh Bình Phước ( cũ)</t>
        </is>
      </c>
      <c r="Q303" s="24" t="inlineStr">
        <is>
          <t>Chờ giao</t>
        </is>
      </c>
      <c r="R303" s="24" t="inlineStr">
        <is>
          <t>Long Châu</t>
        </is>
      </c>
      <c r="S303" s="22">
        <f>IF(AND($A303="",$C303=""),"",IF($A303="","Thiếu mã đơn; ","")&amp;IF(COUNTIF($A$2:$A303,$A303)&gt;1,"Trùng mã đơn; ","")&amp;IF(COUNTIF($C$2:$C303,$C303)&gt;1,"Trùng SĐT; ","")&amp;IF(ISNA(MATCH($C303,DATA_MASTER!$D$2:$D$5000,0)),"SĐT chưa đăng ký hội viên; ","")&amp;IF(AND($L303="Đã chuyển khoản",$M303=""),"Thiếu ngày nhận CK; ",""))</f>
        <v/>
      </c>
      <c r="T303" s="24" t="inlineStr"/>
    </row>
    <row r="304" ht="14.25" customHeight="1" s="40">
      <c r="A304" s="24" t="n">
        <v>303</v>
      </c>
      <c r="B304" s="29" t="inlineStr">
        <is>
          <t>10/06/2026</t>
        </is>
      </c>
      <c r="C304" s="28" t="inlineStr">
        <is>
          <t>0765911482</t>
        </is>
      </c>
      <c r="D304" s="22">
        <f>IF($C304="","",IFERROR(INDEX(DATA_MASTER!$C$2:$C$5000,MATCH($C304,DATA_MASTER!$D$2:$D$5000,0)),"Nguyễn Thị Tuyết Loan"))</f>
        <v/>
      </c>
      <c r="E304" s="22">
        <f>IF($C304="","",IFERROR(INDEX(DATA_MASTER!$I$2:$I$5000,MATCH($C304,DATA_MASTER!$D$2:$D$5000,0)),""))</f>
        <v/>
      </c>
      <c r="F304" s="22">
        <f>IF($C304="","",IFERROR(INDEX(DATA_MASTER!$L$2:$L$5000,MATCH($C304,DATA_MASTER!$D$2:$D$5000,0)),"ZM"))</f>
        <v/>
      </c>
      <c r="G304" s="24" t="inlineStr">
        <is>
          <t>Sữa Aptamil 380g</t>
        </is>
      </c>
      <c r="H304" s="24" t="n">
        <v>1</v>
      </c>
      <c r="I304" s="30" t="n">
        <v>320000</v>
      </c>
      <c r="J304" s="23">
        <f>IF(OR($H304="",$I304=""),"",$H304*$I304)</f>
        <v/>
      </c>
      <c r="K304" s="24" t="inlineStr">
        <is>
          <t>Chuyển khoản QR</t>
        </is>
      </c>
      <c r="L304" s="24" t="inlineStr">
        <is>
          <t>Đã chuyển khoản</t>
        </is>
      </c>
      <c r="M304" s="29" t="inlineStr">
        <is>
          <t>10/06/2026</t>
        </is>
      </c>
      <c r="N304" s="28" t="inlineStr">
        <is>
          <t>0765911482</t>
        </is>
      </c>
      <c r="O304" s="24" t="inlineStr">
        <is>
          <t>Nguyễn Thị Tuyết Loan</t>
        </is>
      </c>
      <c r="P304" s="24" t="inlineStr">
        <is>
          <t>b8/12 ấp 5 xã hưng long tphcm, HCM</t>
        </is>
      </c>
      <c r="Q304" s="24" t="inlineStr">
        <is>
          <t>Chờ giao</t>
        </is>
      </c>
      <c r="R304" s="24" t="inlineStr">
        <is>
          <t>Voi Con</t>
        </is>
      </c>
      <c r="S304" s="22">
        <f>IF(AND($A304="",$C304=""),"",IF($A304="","Thiếu mã đơn; ","")&amp;IF(COUNTIF($A$2:$A304,$A304)&gt;1,"Trùng mã đơn; ","")&amp;IF(COUNTIF($C$2:$C304,$C304)&gt;1,"Trùng SĐT; ","")&amp;IF(ISNA(MATCH($C304,DATA_MASTER!$D$2:$D$5000,0)),"SĐT chưa đăng ký hội viên; ","")&amp;IF(AND($L304="Đã chuyển khoản",$M304=""),"Thiếu ngày nhận CK; ",""))</f>
        <v/>
      </c>
      <c r="T304" s="24" t="inlineStr"/>
    </row>
    <row r="305" ht="14.25" customHeight="1" s="40">
      <c r="A305" s="24" t="n">
        <v>304</v>
      </c>
      <c r="B305" s="29" t="inlineStr">
        <is>
          <t>10/06/2026</t>
        </is>
      </c>
      <c r="C305" s="28" t="inlineStr">
        <is>
          <t>0969995069</t>
        </is>
      </c>
      <c r="D305" s="22">
        <f>IF($C305="","",IFERROR(INDEX(DATA_MASTER!$C$2:$C$5000,MATCH($C305,DATA_MASTER!$D$2:$D$5000,0)),"Trần Thị An"))</f>
        <v/>
      </c>
      <c r="E305" s="22">
        <f>IF($C305="","",IFERROR(INDEX(DATA_MASTER!$I$2:$I$5000,MATCH($C305,DATA_MASTER!$D$2:$D$5000,0)),""))</f>
        <v/>
      </c>
      <c r="F305" s="22">
        <f>IF($C305="","",IFERROR(INDEX(DATA_MASTER!$L$2:$L$5000,MATCH($C305,DATA_MASTER!$D$2:$D$5000,0)),"ZM"))</f>
        <v/>
      </c>
      <c r="G305" s="24" t="inlineStr">
        <is>
          <t>Sữa Aptamil 380g</t>
        </is>
      </c>
      <c r="H305" s="24" t="n">
        <v>1</v>
      </c>
      <c r="I305" s="30" t="n">
        <v>320000</v>
      </c>
      <c r="J305" s="23">
        <f>IF(OR($H305="",$I305=""),"",$H305*$I305)</f>
        <v/>
      </c>
      <c r="K305" s="24" t="inlineStr">
        <is>
          <t>Chuyển khoản QR</t>
        </is>
      </c>
      <c r="L305" s="24" t="inlineStr">
        <is>
          <t>Đã chuyển khoản</t>
        </is>
      </c>
      <c r="M305" s="29" t="inlineStr">
        <is>
          <t>10/06/2026</t>
        </is>
      </c>
      <c r="N305" s="28" t="inlineStr">
        <is>
          <t>0969995069</t>
        </is>
      </c>
      <c r="O305" s="24" t="inlineStr">
        <is>
          <t>Trần Thị An</t>
        </is>
      </c>
      <c r="P305" s="24" t="inlineStr">
        <is>
          <t>17 đường 149c kdc Điền Phúc Thành, phường Long Trường, HCM</t>
        </is>
      </c>
      <c r="Q305" s="24" t="inlineStr">
        <is>
          <t>Chờ giao</t>
        </is>
      </c>
      <c r="R305" s="24" t="inlineStr">
        <is>
          <t>Voi Con</t>
        </is>
      </c>
      <c r="S305" s="22">
        <f>IF(AND($A305="",$C305=""),"",IF($A305="","Thiếu mã đơn; ","")&amp;IF(COUNTIF($A$2:$A305,$A305)&gt;1,"Trùng mã đơn; ","")&amp;IF(COUNTIF($C$2:$C305,$C305)&gt;1,"Trùng SĐT; ","")&amp;IF(ISNA(MATCH($C305,DATA_MASTER!$D$2:$D$5000,0)),"SĐT chưa đăng ký hội viên; ","")&amp;IF(AND($L305="Đã chuyển khoản",$M305=""),"Thiếu ngày nhận CK; ",""))</f>
        <v/>
      </c>
      <c r="T305" s="24" t="inlineStr"/>
    </row>
    <row r="306" ht="14.25" customHeight="1" s="40">
      <c r="A306" s="24" t="n">
        <v>305</v>
      </c>
      <c r="B306" s="29" t="inlineStr">
        <is>
          <t>10/06/2026</t>
        </is>
      </c>
      <c r="C306" s="28" t="inlineStr">
        <is>
          <t>0868022286</t>
        </is>
      </c>
      <c r="D306" s="22">
        <f>IF($C306="","",IFERROR(INDEX(DATA_MASTER!$C$2:$C$5000,MATCH($C306,DATA_MASTER!$D$2:$D$5000,0)),"Trần Thị Phượng"))</f>
        <v/>
      </c>
      <c r="E306" s="22">
        <f>IF($C306="","",IFERROR(INDEX(DATA_MASTER!$I$2:$I$5000,MATCH($C306,DATA_MASTER!$D$2:$D$5000,0)),""))</f>
        <v/>
      </c>
      <c r="F306" s="22">
        <f>IF($C306="","",IFERROR(INDEX(DATA_MASTER!$L$2:$L$5000,MATCH($C306,DATA_MASTER!$D$2:$D$5000,0)),"ZM"))</f>
        <v/>
      </c>
      <c r="G306" s="24" t="inlineStr">
        <is>
          <t>Sữa Aptamil 380g</t>
        </is>
      </c>
      <c r="H306" s="24" t="n">
        <v>1</v>
      </c>
      <c r="I306" s="30" t="n">
        <v>320000</v>
      </c>
      <c r="J306" s="23">
        <f>IF(OR($H306="",$I306=""),"",$H306*$I306)</f>
        <v/>
      </c>
      <c r="K306" s="24" t="inlineStr">
        <is>
          <t>Chuyển khoản QR</t>
        </is>
      </c>
      <c r="L306" s="24" t="inlineStr">
        <is>
          <t>Chờ chuyển khoản</t>
        </is>
      </c>
      <c r="M306" s="29" t="inlineStr">
        <is>
          <t>10/06/2026</t>
        </is>
      </c>
      <c r="N306" s="28" t="inlineStr">
        <is>
          <t>0868022286</t>
        </is>
      </c>
      <c r="O306" s="24" t="inlineStr">
        <is>
          <t>Trần Thị Phượng</t>
        </is>
      </c>
      <c r="P306" s="24" t="inlineStr">
        <is>
          <t>17T10 nguyễn thị định,trung hoà,cầu giấy,hà nội, Hà Nội</t>
        </is>
      </c>
      <c r="Q306" s="24" t="inlineStr">
        <is>
          <t>Chờ giao</t>
        </is>
      </c>
      <c r="R306" s="24" t="inlineStr">
        <is>
          <t>Mẹ Ơi</t>
        </is>
      </c>
      <c r="S306" s="22">
        <f>IF(AND($A306="",$C306=""),"",IF($A306="","Thiếu mã đơn; ","")&amp;IF(COUNTIF($A$2:$A306,$A306)&gt;1,"Trùng mã đơn; ","")&amp;IF(COUNTIF($C$2:$C306,$C306)&gt;1,"Trùng SĐT; ","")&amp;IF(ISNA(MATCH($C306,DATA_MASTER!$D$2:$D$5000,0)),"SĐT chưa đăng ký hội viên; ","")&amp;IF(AND($L306="Đã chuyển khoản",$M306=""),"Thiếu ngày nhận CK; ",""))</f>
        <v/>
      </c>
      <c r="T306" s="24" t="inlineStr"/>
    </row>
    <row r="307" ht="14.25" customHeight="1" s="40">
      <c r="A307" s="24" t="n">
        <v>306</v>
      </c>
      <c r="B307" s="29" t="inlineStr">
        <is>
          <t>10/06/2026</t>
        </is>
      </c>
      <c r="C307" s="28" t="inlineStr">
        <is>
          <t>0977001253</t>
        </is>
      </c>
      <c r="D307" s="22">
        <f>IF($C307="","",IFERROR(INDEX(DATA_MASTER!$C$2:$C$5000,MATCH($C307,DATA_MASTER!$D$2:$D$5000,0)),"Ngô Thị Phương"))</f>
        <v/>
      </c>
      <c r="E307" s="22">
        <f>IF($C307="","",IFERROR(INDEX(DATA_MASTER!$I$2:$I$5000,MATCH($C307,DATA_MASTER!$D$2:$D$5000,0)),""))</f>
        <v/>
      </c>
      <c r="F307" s="22">
        <f>IF($C307="","",IFERROR(INDEX(DATA_MASTER!$L$2:$L$5000,MATCH($C307,DATA_MASTER!$D$2:$D$5000,0)),"ZM"))</f>
        <v/>
      </c>
      <c r="G307" s="24" t="inlineStr">
        <is>
          <t>Sữa Aptamil 380g</t>
        </is>
      </c>
      <c r="H307" s="24" t="n">
        <v>1</v>
      </c>
      <c r="I307" s="30" t="n">
        <v>320000</v>
      </c>
      <c r="J307" s="23">
        <f>IF(OR($H307="",$I307=""),"",$H307*$I307)</f>
        <v/>
      </c>
      <c r="K307" s="24" t="inlineStr">
        <is>
          <t>Chuyển khoản QR</t>
        </is>
      </c>
      <c r="L307" s="24" t="inlineStr">
        <is>
          <t>Chờ chuyển khoản</t>
        </is>
      </c>
      <c r="M307" s="29" t="inlineStr">
        <is>
          <t>10/06/2026</t>
        </is>
      </c>
      <c r="N307" s="28" t="inlineStr">
        <is>
          <t>0977001253</t>
        </is>
      </c>
      <c r="O307" s="24" t="inlineStr">
        <is>
          <t>Ngô Thị Phương</t>
        </is>
      </c>
      <c r="P307" s="24" t="inlineStr">
        <is>
          <t>08c/2 khu phố Thạnh Lộc, phường Thuận An, TP HCM, Bình Dương</t>
        </is>
      </c>
      <c r="Q307" s="24" t="inlineStr">
        <is>
          <t>Chờ giao</t>
        </is>
      </c>
      <c r="R307" s="24" t="inlineStr">
        <is>
          <t>Long Châu</t>
        </is>
      </c>
      <c r="S307" s="22">
        <f>IF(AND($A307="",$C307=""),"",IF($A307="","Thiếu mã đơn; ","")&amp;IF(COUNTIF($A$2:$A307,$A307)&gt;1,"Trùng mã đơn; ","")&amp;IF(COUNTIF($C$2:$C307,$C307)&gt;1,"Trùng SĐT; ","")&amp;IF(ISNA(MATCH($C307,DATA_MASTER!$D$2:$D$5000,0)),"SĐT chưa đăng ký hội viên; ","")&amp;IF(AND($L307="Đã chuyển khoản",$M307=""),"Thiếu ngày nhận CK; ",""))</f>
        <v/>
      </c>
      <c r="T307" s="24" t="inlineStr"/>
    </row>
    <row r="308" ht="14.25" customHeight="1" s="40">
      <c r="A308" s="24" t="n">
        <v>307</v>
      </c>
      <c r="B308" s="29" t="inlineStr">
        <is>
          <t>10/06/2026</t>
        </is>
      </c>
      <c r="C308" s="28" t="inlineStr">
        <is>
          <t>0931850621</t>
        </is>
      </c>
      <c r="D308" s="22">
        <f>IF($C308="","",IFERROR(INDEX(DATA_MASTER!$C$2:$C$5000,MATCH($C308,DATA_MASTER!$D$2:$D$5000,0)),"Nguyễn Ánh Ngọc"))</f>
        <v/>
      </c>
      <c r="E308" s="22">
        <f>IF($C308="","",IFERROR(INDEX(DATA_MASTER!$I$2:$I$5000,MATCH($C308,DATA_MASTER!$D$2:$D$5000,0)),""))</f>
        <v/>
      </c>
      <c r="F308" s="22">
        <f>IF($C308="","",IFERROR(INDEX(DATA_MASTER!$L$2:$L$5000,MATCH($C308,DATA_MASTER!$D$2:$D$5000,0)),"ZM"))</f>
        <v/>
      </c>
      <c r="G308" s="24" t="inlineStr">
        <is>
          <t>Sữa Aptamil 380g</t>
        </is>
      </c>
      <c r="H308" s="24" t="n">
        <v>1</v>
      </c>
      <c r="I308" s="30" t="n">
        <v>320000</v>
      </c>
      <c r="J308" s="23">
        <f>IF(OR($H308="",$I308=""),"",$H308*$I308)</f>
        <v/>
      </c>
      <c r="K308" s="24" t="inlineStr">
        <is>
          <t>Chuyển khoản QR</t>
        </is>
      </c>
      <c r="L308" s="24" t="inlineStr">
        <is>
          <t>Chờ chuyển khoản</t>
        </is>
      </c>
      <c r="M308" s="29" t="inlineStr">
        <is>
          <t>10/06/2026</t>
        </is>
      </c>
      <c r="N308" s="28" t="inlineStr">
        <is>
          <t>0931850621</t>
        </is>
      </c>
      <c r="O308" s="24" t="inlineStr">
        <is>
          <t>Nguyễn Ánh Ngọc</t>
        </is>
      </c>
      <c r="P308" s="24" t="inlineStr">
        <is>
          <t>Tòa B1, Chung Cư Bcons Emerald, Số 57a, Thống Nhất, Phường Đông Hòa, Thành phố Hồ Chí Minh, Đồng Nai</t>
        </is>
      </c>
      <c r="Q308" s="24" t="inlineStr">
        <is>
          <t>Chờ giao</t>
        </is>
      </c>
      <c r="R308" s="24" t="inlineStr">
        <is>
          <t>Long Châu</t>
        </is>
      </c>
      <c r="S308" s="22">
        <f>IF(AND($A308="",$C308=""),"",IF($A308="","Thiếu mã đơn; ","")&amp;IF(COUNTIF($A$2:$A308,$A308)&gt;1,"Trùng mã đơn; ","")&amp;IF(COUNTIF($C$2:$C308,$C308)&gt;1,"Trùng SĐT; ","")&amp;IF(ISNA(MATCH($C308,DATA_MASTER!$D$2:$D$5000,0)),"SĐT chưa đăng ký hội viên; ","")&amp;IF(AND($L308="Đã chuyển khoản",$M308=""),"Thiếu ngày nhận CK; ",""))</f>
        <v/>
      </c>
      <c r="T308" s="24" t="inlineStr"/>
    </row>
    <row r="309" ht="14.25" customHeight="1" s="40">
      <c r="A309" s="24" t="n">
        <v>308</v>
      </c>
      <c r="B309" s="29" t="inlineStr">
        <is>
          <t>10/06/2026</t>
        </is>
      </c>
      <c r="C309" s="28" t="inlineStr">
        <is>
          <t>0904325297</t>
        </is>
      </c>
      <c r="D309" s="22">
        <f>IF($C309="","",IFERROR(INDEX(DATA_MASTER!$C$2:$C$5000,MATCH($C309,DATA_MASTER!$D$2:$D$5000,0)),"Nguyễn Diệu Linh"))</f>
        <v/>
      </c>
      <c r="E309" s="22">
        <f>IF($C309="","",IFERROR(INDEX(DATA_MASTER!$I$2:$I$5000,MATCH($C309,DATA_MASTER!$D$2:$D$5000,0)),""))</f>
        <v/>
      </c>
      <c r="F309" s="22">
        <f>IF($C309="","",IFERROR(INDEX(DATA_MASTER!$L$2:$L$5000,MATCH($C309,DATA_MASTER!$D$2:$D$5000,0)),"ZM"))</f>
        <v/>
      </c>
      <c r="G309" s="24" t="inlineStr">
        <is>
          <t>Sữa Aptamil 380g</t>
        </is>
      </c>
      <c r="H309" s="24" t="n">
        <v>1</v>
      </c>
      <c r="I309" s="30" t="n">
        <v>320000</v>
      </c>
      <c r="J309" s="23">
        <f>IF(OR($H309="",$I309=""),"",$H309*$I309)</f>
        <v/>
      </c>
      <c r="K309" s="24" t="inlineStr">
        <is>
          <t>Chuyển khoản QR</t>
        </is>
      </c>
      <c r="L309" s="24" t="inlineStr">
        <is>
          <t>Đã chuyển khoản</t>
        </is>
      </c>
      <c r="M309" s="29" t="inlineStr">
        <is>
          <t>10/06/2026</t>
        </is>
      </c>
      <c r="N309" s="28" t="inlineStr">
        <is>
          <t>0904325297</t>
        </is>
      </c>
      <c r="O309" s="24" t="inlineStr">
        <is>
          <t>Nguyễn Diệu Linh</t>
        </is>
      </c>
      <c r="P309" s="24" t="inlineStr">
        <is>
          <t>số 33 ngõ 564 Nguyễn Văn Cừ, phường Bồ Đề, Hà Nội</t>
        </is>
      </c>
      <c r="Q309" s="24" t="inlineStr">
        <is>
          <t>Đang giao</t>
        </is>
      </c>
      <c r="R309" s="24" t="inlineStr">
        <is>
          <t>Mẹ Ơi</t>
        </is>
      </c>
      <c r="S309" s="22">
        <f>IF(AND($A309="",$C309=""),"",IF($A309="","Thiếu mã đơn; ","")&amp;IF(COUNTIF($A$2:$A309,$A309)&gt;1,"Trùng mã đơn; ","")&amp;IF(COUNTIF($C$2:$C309,$C309)&gt;1,"Trùng SĐT; ","")&amp;IF(ISNA(MATCH($C309,DATA_MASTER!$D$2:$D$5000,0)),"SĐT chưa đăng ký hội viên; ","")&amp;IF(AND($L309="Đã chuyển khoản",$M309=""),"Thiếu ngày nhận CK; ",""))</f>
        <v/>
      </c>
      <c r="T309" s="24" t="inlineStr">
        <is>
          <t>ĐVVC: spx | Mã VĐ: SPXVN06681896313A</t>
        </is>
      </c>
    </row>
    <row r="310" ht="14.25" customHeight="1" s="40">
      <c r="A310" s="24" t="n">
        <v>309</v>
      </c>
      <c r="B310" s="29" t="inlineStr">
        <is>
          <t>10/06/2026</t>
        </is>
      </c>
      <c r="C310" s="28" t="inlineStr">
        <is>
          <t>0989752568</t>
        </is>
      </c>
      <c r="D310" s="22">
        <f>IF($C310="","",IFERROR(INDEX(DATA_MASTER!$C$2:$C$5000,MATCH($C310,DATA_MASTER!$D$2:$D$5000,0)),"KHƯU THỊ TRÚC PHƯỢNG"))</f>
        <v/>
      </c>
      <c r="E310" s="22">
        <f>IF($C310="","",IFERROR(INDEX(DATA_MASTER!$I$2:$I$5000,MATCH($C310,DATA_MASTER!$D$2:$D$5000,0)),""))</f>
        <v/>
      </c>
      <c r="F310" s="22">
        <f>IF($C310="","",IFERROR(INDEX(DATA_MASTER!$L$2:$L$5000,MATCH($C310,DATA_MASTER!$D$2:$D$5000,0)),"ZM"))</f>
        <v/>
      </c>
      <c r="G310" s="24" t="inlineStr">
        <is>
          <t>Sữa Aptamil 380g</t>
        </is>
      </c>
      <c r="H310" s="24" t="n">
        <v>1</v>
      </c>
      <c r="I310" s="30" t="n">
        <v>320000</v>
      </c>
      <c r="J310" s="23">
        <f>IF(OR($H310="",$I310=""),"",$H310*$I310)</f>
        <v/>
      </c>
      <c r="K310" s="24" t="inlineStr">
        <is>
          <t>Chuyển khoản QR</t>
        </is>
      </c>
      <c r="L310" s="24" t="inlineStr">
        <is>
          <t>Đã chuyển khoản</t>
        </is>
      </c>
      <c r="M310" s="29" t="inlineStr">
        <is>
          <t>10/06/2026</t>
        </is>
      </c>
      <c r="N310" s="28" t="inlineStr">
        <is>
          <t>0989752568</t>
        </is>
      </c>
      <c r="O310" s="24" t="inlineStr">
        <is>
          <t>KHƯU THỊ TRÚC PHƯỢNG</t>
        </is>
      </c>
      <c r="P310" s="24" t="inlineStr">
        <is>
          <t>63/21 điện biên phủ phường gia định tphcm, HCM</t>
        </is>
      </c>
      <c r="Q310" s="24" t="inlineStr">
        <is>
          <t>Chờ giao</t>
        </is>
      </c>
      <c r="R310" s="24" t="inlineStr">
        <is>
          <t>Voi Con</t>
        </is>
      </c>
      <c r="S310" s="22">
        <f>IF(AND($A310="",$C310=""),"",IF($A310="","Thiếu mã đơn; ","")&amp;IF(COUNTIF($A$2:$A310,$A310)&gt;1,"Trùng mã đơn; ","")&amp;IF(COUNTIF($C$2:$C310,$C310)&gt;1,"Trùng SĐT; ","")&amp;IF(ISNA(MATCH($C310,DATA_MASTER!$D$2:$D$5000,0)),"SĐT chưa đăng ký hội viên; ","")&amp;IF(AND($L310="Đã chuyển khoản",$M310=""),"Thiếu ngày nhận CK; ",""))</f>
        <v/>
      </c>
      <c r="T310" s="24" t="inlineStr"/>
    </row>
    <row r="311" ht="14.25" customHeight="1" s="40">
      <c r="A311" s="24" t="n">
        <v>310</v>
      </c>
      <c r="B311" s="29" t="inlineStr">
        <is>
          <t>10/06/2026</t>
        </is>
      </c>
      <c r="C311" s="28" t="inlineStr">
        <is>
          <t>0966539934</t>
        </is>
      </c>
      <c r="D311" s="22">
        <f>IF($C311="","",IFERROR(INDEX(DATA_MASTER!$C$2:$C$5000,MATCH($C311,DATA_MASTER!$D$2:$D$5000,0)),"Ngọc Bích Hồng"))</f>
        <v/>
      </c>
      <c r="E311" s="22">
        <f>IF($C311="","",IFERROR(INDEX(DATA_MASTER!$I$2:$I$5000,MATCH($C311,DATA_MASTER!$D$2:$D$5000,0)),""))</f>
        <v/>
      </c>
      <c r="F311" s="22">
        <f>IF($C311="","",IFERROR(INDEX(DATA_MASTER!$L$2:$L$5000,MATCH($C311,DATA_MASTER!$D$2:$D$5000,0)),"ZM"))</f>
        <v/>
      </c>
      <c r="G311" s="24" t="inlineStr">
        <is>
          <t>Sữa Aptamil 380g</t>
        </is>
      </c>
      <c r="H311" s="24" t="n">
        <v>1</v>
      </c>
      <c r="I311" s="30" t="n">
        <v>320000</v>
      </c>
      <c r="J311" s="23">
        <f>IF(OR($H311="",$I311=""),"",$H311*$I311)</f>
        <v/>
      </c>
      <c r="K311" s="24" t="inlineStr">
        <is>
          <t>Chuyển khoản QR</t>
        </is>
      </c>
      <c r="L311" s="24" t="inlineStr">
        <is>
          <t>Chờ chuyển khoản</t>
        </is>
      </c>
      <c r="M311" s="29" t="inlineStr">
        <is>
          <t>10/06/2026</t>
        </is>
      </c>
      <c r="N311" s="28" t="inlineStr">
        <is>
          <t>0966539934</t>
        </is>
      </c>
      <c r="O311" s="24" t="inlineStr">
        <is>
          <t>Ngọc Bích Hồng</t>
        </is>
      </c>
      <c r="P311" s="24" t="inlineStr">
        <is>
          <t>Số 24 , Đ. Vạ Cháy, P. Bãi Cháy, TP. Quảng Ninh</t>
        </is>
      </c>
      <c r="Q311" s="24" t="inlineStr">
        <is>
          <t>Chờ giao</t>
        </is>
      </c>
      <c r="R311" s="24" t="inlineStr">
        <is>
          <t>Long Châu</t>
        </is>
      </c>
      <c r="S311" s="22">
        <f>IF(AND($A311="",$C311=""),"",IF($A311="","Thiếu mã đơn; ","")&amp;IF(COUNTIF($A$2:$A311,$A311)&gt;1,"Trùng mã đơn; ","")&amp;IF(COUNTIF($C$2:$C311,$C311)&gt;1,"Trùng SĐT; ","")&amp;IF(ISNA(MATCH($C311,DATA_MASTER!$D$2:$D$5000,0)),"SĐT chưa đăng ký hội viên; ","")&amp;IF(AND($L311="Đã chuyển khoản",$M311=""),"Thiếu ngày nhận CK; ",""))</f>
        <v/>
      </c>
      <c r="T311" s="24" t="inlineStr"/>
    </row>
    <row r="312" ht="14.25" customHeight="1" s="40">
      <c r="A312" s="24" t="n">
        <v>311</v>
      </c>
      <c r="B312" s="29" t="inlineStr">
        <is>
          <t>10/06/2026</t>
        </is>
      </c>
      <c r="C312" s="28" t="inlineStr">
        <is>
          <t>0342602210</t>
        </is>
      </c>
      <c r="D312" s="22">
        <f>IF($C312="","",IFERROR(INDEX(DATA_MASTER!$C$2:$C$5000,MATCH($C312,DATA_MASTER!$D$2:$D$5000,0)),"Huỳnh Nguyễn Hạ Uyên"))</f>
        <v/>
      </c>
      <c r="E312" s="22">
        <f>IF($C312="","",IFERROR(INDEX(DATA_MASTER!$I$2:$I$5000,MATCH($C312,DATA_MASTER!$D$2:$D$5000,0)),""))</f>
        <v/>
      </c>
      <c r="F312" s="22">
        <f>IF($C312="","",IFERROR(INDEX(DATA_MASTER!$L$2:$L$5000,MATCH($C312,DATA_MASTER!$D$2:$D$5000,0)),"ZM"))</f>
        <v/>
      </c>
      <c r="G312" s="24" t="inlineStr">
        <is>
          <t>Sữa Aptamil 380g</t>
        </is>
      </c>
      <c r="H312" s="24" t="n">
        <v>1</v>
      </c>
      <c r="I312" s="30" t="n">
        <v>320000</v>
      </c>
      <c r="J312" s="23">
        <f>IF(OR($H312="",$I312=""),"",$H312*$I312)</f>
        <v/>
      </c>
      <c r="K312" s="24" t="inlineStr">
        <is>
          <t>Chuyển khoản QR</t>
        </is>
      </c>
      <c r="L312" s="24" t="inlineStr">
        <is>
          <t>Đã chuyển khoản</t>
        </is>
      </c>
      <c r="M312" s="29" t="inlineStr">
        <is>
          <t>10/06/2026</t>
        </is>
      </c>
      <c r="N312" s="28" t="inlineStr">
        <is>
          <t>0342602210</t>
        </is>
      </c>
      <c r="O312" s="24" t="inlineStr">
        <is>
          <t>Huỳnh Nguyễn Hạ Uyên</t>
        </is>
      </c>
      <c r="P312" s="24" t="inlineStr">
        <is>
          <t>Lô B2, chung cư Thạnh Mỹ Lợi, phường Thạnh Mỹ Lợi, quận 2., HCM</t>
        </is>
      </c>
      <c r="Q312" s="24" t="inlineStr">
        <is>
          <t>Chờ giao</t>
        </is>
      </c>
      <c r="R312" s="24" t="inlineStr">
        <is>
          <t>Voi Con</t>
        </is>
      </c>
      <c r="S312" s="22">
        <f>IF(AND($A312="",$C312=""),"",IF($A312="","Thiếu mã đơn; ","")&amp;IF(COUNTIF($A$2:$A312,$A312)&gt;1,"Trùng mã đơn; ","")&amp;IF(COUNTIF($C$2:$C312,$C312)&gt;1,"Trùng SĐT; ","")&amp;IF(ISNA(MATCH($C312,DATA_MASTER!$D$2:$D$5000,0)),"SĐT chưa đăng ký hội viên; ","")&amp;IF(AND($L312="Đã chuyển khoản",$M312=""),"Thiếu ngày nhận CK; ",""))</f>
        <v/>
      </c>
      <c r="T312" s="24" t="inlineStr"/>
    </row>
    <row r="313" ht="14.25" customHeight="1" s="40">
      <c r="A313" s="24" t="n">
        <v>312</v>
      </c>
      <c r="B313" s="29" t="inlineStr">
        <is>
          <t>10/06/2026</t>
        </is>
      </c>
      <c r="C313" s="28" t="inlineStr">
        <is>
          <t>0938825904</t>
        </is>
      </c>
      <c r="D313" s="22">
        <f>IF($C313="","",IFERROR(INDEX(DATA_MASTER!$C$2:$C$5000,MATCH($C313,DATA_MASTER!$D$2:$D$5000,0)),"Hồ Thị Thúy Nga"))</f>
        <v/>
      </c>
      <c r="E313" s="22">
        <f>IF($C313="","",IFERROR(INDEX(DATA_MASTER!$I$2:$I$5000,MATCH($C313,DATA_MASTER!$D$2:$D$5000,0)),""))</f>
        <v/>
      </c>
      <c r="F313" s="22">
        <f>IF($C313="","",IFERROR(INDEX(DATA_MASTER!$L$2:$L$5000,MATCH($C313,DATA_MASTER!$D$2:$D$5000,0)),"ZM"))</f>
        <v/>
      </c>
      <c r="G313" s="24" t="inlineStr">
        <is>
          <t>Sữa Aptamil 380g</t>
        </is>
      </c>
      <c r="H313" s="24" t="n">
        <v>1</v>
      </c>
      <c r="I313" s="30" t="n">
        <v>320000</v>
      </c>
      <c r="J313" s="23">
        <f>IF(OR($H313="",$I313=""),"",$H313*$I313)</f>
        <v/>
      </c>
      <c r="K313" s="24" t="inlineStr">
        <is>
          <t>Chuyển khoản QR</t>
        </is>
      </c>
      <c r="L313" s="24" t="inlineStr">
        <is>
          <t>Đã chuyển khoản</t>
        </is>
      </c>
      <c r="M313" s="29" t="inlineStr">
        <is>
          <t>10/06/2026</t>
        </is>
      </c>
      <c r="N313" s="28" t="inlineStr">
        <is>
          <t>0938825904</t>
        </is>
      </c>
      <c r="O313" s="24" t="inlineStr">
        <is>
          <t>Hồ Thị Thúy Nga</t>
        </is>
      </c>
      <c r="P313" s="24" t="inlineStr">
        <is>
          <t>161B/81/12 Lạc Long Quân, P Bình Thới, TP HCM</t>
        </is>
      </c>
      <c r="Q313" s="24" t="inlineStr">
        <is>
          <t>Chờ giao</t>
        </is>
      </c>
      <c r="R313" s="24" t="inlineStr">
        <is>
          <t>Voi Con</t>
        </is>
      </c>
      <c r="S313" s="22">
        <f>IF(AND($A313="",$C313=""),"",IF($A313="","Thiếu mã đơn; ","")&amp;IF(COUNTIF($A$2:$A313,$A313)&gt;1,"Trùng mã đơn; ","")&amp;IF(COUNTIF($C$2:$C313,$C313)&gt;1,"Trùng SĐT; ","")&amp;IF(ISNA(MATCH($C313,DATA_MASTER!$D$2:$D$5000,0)),"SĐT chưa đăng ký hội viên; ","")&amp;IF(AND($L313="Đã chuyển khoản",$M313=""),"Thiếu ngày nhận CK; ",""))</f>
        <v/>
      </c>
      <c r="T313" s="24" t="inlineStr"/>
    </row>
    <row r="314" ht="14.25" customHeight="1" s="40">
      <c r="A314" s="24" t="n">
        <v>313</v>
      </c>
      <c r="B314" s="29" t="inlineStr">
        <is>
          <t>10/06/2026</t>
        </is>
      </c>
      <c r="C314" s="28" t="inlineStr">
        <is>
          <t>0969946756</t>
        </is>
      </c>
      <c r="D314" s="22">
        <f>IF($C314="","",IFERROR(INDEX(DATA_MASTER!$C$2:$C$5000,MATCH($C314,DATA_MASTER!$D$2:$D$5000,0)),"Hoàng Thị Dung"))</f>
        <v/>
      </c>
      <c r="E314" s="22">
        <f>IF($C314="","",IFERROR(INDEX(DATA_MASTER!$I$2:$I$5000,MATCH($C314,DATA_MASTER!$D$2:$D$5000,0)),""))</f>
        <v/>
      </c>
      <c r="F314" s="22">
        <f>IF($C314="","",IFERROR(INDEX(DATA_MASTER!$L$2:$L$5000,MATCH($C314,DATA_MASTER!$D$2:$D$5000,0)),"ZM"))</f>
        <v/>
      </c>
      <c r="G314" s="24" t="inlineStr">
        <is>
          <t>Sữa Aptamil 380g</t>
        </is>
      </c>
      <c r="H314" s="24" t="n">
        <v>1</v>
      </c>
      <c r="I314" s="30" t="n">
        <v>320000</v>
      </c>
      <c r="J314" s="23">
        <f>IF(OR($H314="",$I314=""),"",$H314*$I314)</f>
        <v/>
      </c>
      <c r="K314" s="24" t="inlineStr">
        <is>
          <t>Chuyển khoản QR</t>
        </is>
      </c>
      <c r="L314" s="24" t="inlineStr">
        <is>
          <t>Chờ chuyển khoản</t>
        </is>
      </c>
      <c r="M314" s="29" t="inlineStr">
        <is>
          <t>10/06/2026</t>
        </is>
      </c>
      <c r="N314" s="28" t="inlineStr">
        <is>
          <t>0969946756</t>
        </is>
      </c>
      <c r="O314" s="24" t="inlineStr">
        <is>
          <t>Hoàng Thị Dung</t>
        </is>
      </c>
      <c r="P314" s="24" t="inlineStr">
        <is>
          <t>40/19 Nguyễn Tất Thành, Tự An, Buôn Ma Thuột, Đăk Lăk, Đắc Lắc</t>
        </is>
      </c>
      <c r="Q314" s="24" t="inlineStr">
        <is>
          <t>Chờ giao</t>
        </is>
      </c>
      <c r="R314" s="24" t="inlineStr">
        <is>
          <t>Long Châu</t>
        </is>
      </c>
      <c r="S314" s="22">
        <f>IF(AND($A314="",$C314=""),"",IF($A314="","Thiếu mã đơn; ","")&amp;IF(COUNTIF($A$2:$A314,$A314)&gt;1,"Trùng mã đơn; ","")&amp;IF(COUNTIF($C$2:$C314,$C314)&gt;1,"Trùng SĐT; ","")&amp;IF(ISNA(MATCH($C314,DATA_MASTER!$D$2:$D$5000,0)),"SĐT chưa đăng ký hội viên; ","")&amp;IF(AND($L314="Đã chuyển khoản",$M314=""),"Thiếu ngày nhận CK; ",""))</f>
        <v/>
      </c>
      <c r="T314" s="24" t="inlineStr"/>
    </row>
    <row r="315" ht="14.25" customHeight="1" s="40">
      <c r="A315" s="24" t="n">
        <v>314</v>
      </c>
      <c r="B315" s="29" t="inlineStr">
        <is>
          <t>10/06/2026</t>
        </is>
      </c>
      <c r="C315" s="28" t="inlineStr">
        <is>
          <t>0777574959</t>
        </is>
      </c>
      <c r="D315" s="22">
        <f>IF($C315="","",IFERROR(INDEX(DATA_MASTER!$C$2:$C$5000,MATCH($C315,DATA_MASTER!$D$2:$D$5000,0)),"Đặng Thị Minh Anh"))</f>
        <v/>
      </c>
      <c r="E315" s="22">
        <f>IF($C315="","",IFERROR(INDEX(DATA_MASTER!$I$2:$I$5000,MATCH($C315,DATA_MASTER!$D$2:$D$5000,0)),""))</f>
        <v/>
      </c>
      <c r="F315" s="22">
        <f>IF($C315="","",IFERROR(INDEX(DATA_MASTER!$L$2:$L$5000,MATCH($C315,DATA_MASTER!$D$2:$D$5000,0)),"ZM"))</f>
        <v/>
      </c>
      <c r="G315" s="24" t="inlineStr">
        <is>
          <t>Sữa Aptamil 380g</t>
        </is>
      </c>
      <c r="H315" s="24" t="n">
        <v>1</v>
      </c>
      <c r="I315" s="30" t="n">
        <v>320000</v>
      </c>
      <c r="J315" s="23">
        <f>IF(OR($H315="",$I315=""),"",$H315*$I315)</f>
        <v/>
      </c>
      <c r="K315" s="24" t="inlineStr">
        <is>
          <t>Chuyển khoản QR</t>
        </is>
      </c>
      <c r="L315" s="24" t="inlineStr">
        <is>
          <t>Chờ chuyển khoản</t>
        </is>
      </c>
      <c r="M315" s="29" t="inlineStr">
        <is>
          <t>10/06/2026</t>
        </is>
      </c>
      <c r="N315" s="28" t="inlineStr">
        <is>
          <t>0777574959</t>
        </is>
      </c>
      <c r="O315" s="24" t="inlineStr">
        <is>
          <t>Đặng Thị Minh Anh</t>
        </is>
      </c>
      <c r="P315" s="24" t="inlineStr">
        <is>
          <t>24 Dinh Cát, phường Đông Hà tỉnh Quảng Trị</t>
        </is>
      </c>
      <c r="Q315" s="24" t="inlineStr">
        <is>
          <t>Chờ giao</t>
        </is>
      </c>
      <c r="R315" s="24" t="inlineStr">
        <is>
          <t>Long Châu</t>
        </is>
      </c>
      <c r="S315" s="22">
        <f>IF(AND($A315="",$C315=""),"",IF($A315="","Thiếu mã đơn; ","")&amp;IF(COUNTIF($A$2:$A315,$A315)&gt;1,"Trùng mã đơn; ","")&amp;IF(COUNTIF($C$2:$C315,$C315)&gt;1,"Trùng SĐT; ","")&amp;IF(ISNA(MATCH($C315,DATA_MASTER!$D$2:$D$5000,0)),"SĐT chưa đăng ký hội viên; ","")&amp;IF(AND($L315="Đã chuyển khoản",$M315=""),"Thiếu ngày nhận CK; ",""))</f>
        <v/>
      </c>
      <c r="T315" s="24" t="inlineStr"/>
    </row>
    <row r="316" ht="14.25" customHeight="1" s="40">
      <c r="A316" s="24" t="n">
        <v>315</v>
      </c>
      <c r="B316" s="29" t="inlineStr">
        <is>
          <t>10/06/2026</t>
        </is>
      </c>
      <c r="C316" s="28" t="inlineStr">
        <is>
          <t>0327358099</t>
        </is>
      </c>
      <c r="D316" s="22">
        <f>IF($C316="","",IFERROR(INDEX(DATA_MASTER!$C$2:$C$5000,MATCH($C316,DATA_MASTER!$D$2:$D$5000,0)),"Quế Bùi Mỹ Linh"))</f>
        <v/>
      </c>
      <c r="E316" s="22">
        <f>IF($C316="","",IFERROR(INDEX(DATA_MASTER!$I$2:$I$5000,MATCH($C316,DATA_MASTER!$D$2:$D$5000,0)),""))</f>
        <v/>
      </c>
      <c r="F316" s="22">
        <f>IF($C316="","",IFERROR(INDEX(DATA_MASTER!$L$2:$L$5000,MATCH($C316,DATA_MASTER!$D$2:$D$5000,0)),"ZM"))</f>
        <v/>
      </c>
      <c r="G316" s="24" t="inlineStr">
        <is>
          <t>Sữa Aptamil 380g</t>
        </is>
      </c>
      <c r="H316" s="24" t="n">
        <v>1</v>
      </c>
      <c r="I316" s="30" t="n">
        <v>320000</v>
      </c>
      <c r="J316" s="23">
        <f>IF(OR($H316="",$I316=""),"",$H316*$I316)</f>
        <v/>
      </c>
      <c r="K316" s="24" t="inlineStr">
        <is>
          <t>Chuyển khoản QR</t>
        </is>
      </c>
      <c r="L316" s="24" t="inlineStr">
        <is>
          <t>Chờ chuyển khoản</t>
        </is>
      </c>
      <c r="M316" s="29" t="inlineStr">
        <is>
          <t>10/06/2026</t>
        </is>
      </c>
      <c r="N316" s="28" t="inlineStr">
        <is>
          <t>0327358099</t>
        </is>
      </c>
      <c r="O316" s="24" t="inlineStr">
        <is>
          <t>Quế Bùi Mỹ Linh</t>
        </is>
      </c>
      <c r="P316" s="24" t="inlineStr">
        <is>
          <t>79 tổ 11B khu phố Long Đức 3 phường Tam Phước Biên Hoà Đồng Nai</t>
        </is>
      </c>
      <c r="Q316" s="24" t="inlineStr">
        <is>
          <t>Chờ giao</t>
        </is>
      </c>
      <c r="R316" s="24" t="inlineStr">
        <is>
          <t>Long Châu</t>
        </is>
      </c>
      <c r="S316" s="22">
        <f>IF(AND($A316="",$C316=""),"",IF($A316="","Thiếu mã đơn; ","")&amp;IF(COUNTIF($A$2:$A316,$A316)&gt;1,"Trùng mã đơn; ","")&amp;IF(COUNTIF($C$2:$C316,$C316)&gt;1,"Trùng SĐT; ","")&amp;IF(ISNA(MATCH($C316,DATA_MASTER!$D$2:$D$5000,0)),"SĐT chưa đăng ký hội viên; ","")&amp;IF(AND($L316="Đã chuyển khoản",$M316=""),"Thiếu ngày nhận CK; ",""))</f>
        <v/>
      </c>
      <c r="T316" s="24" t="inlineStr"/>
    </row>
    <row r="317" ht="14.25" customHeight="1" s="40">
      <c r="A317" s="24" t="n">
        <v>316</v>
      </c>
      <c r="B317" s="29" t="inlineStr">
        <is>
          <t>10/06/2026</t>
        </is>
      </c>
      <c r="C317" s="28" t="inlineStr">
        <is>
          <t>0348153429</t>
        </is>
      </c>
      <c r="D317" s="22">
        <f>IF($C317="","",IFERROR(INDEX(DATA_MASTER!$C$2:$C$5000,MATCH($C317,DATA_MASTER!$D$2:$D$5000,0)),"Trương Thị Thanh Huyền"))</f>
        <v/>
      </c>
      <c r="E317" s="22">
        <f>IF($C317="","",IFERROR(INDEX(DATA_MASTER!$I$2:$I$5000,MATCH($C317,DATA_MASTER!$D$2:$D$5000,0)),""))</f>
        <v/>
      </c>
      <c r="F317" s="22">
        <f>IF($C317="","",IFERROR(INDEX(DATA_MASTER!$L$2:$L$5000,MATCH($C317,DATA_MASTER!$D$2:$D$5000,0)),"ZM"))</f>
        <v/>
      </c>
      <c r="G317" s="24" t="inlineStr">
        <is>
          <t>Sữa Aptamil 380g</t>
        </is>
      </c>
      <c r="H317" s="24" t="n">
        <v>1</v>
      </c>
      <c r="I317" s="30" t="n">
        <v>320000</v>
      </c>
      <c r="J317" s="23">
        <f>IF(OR($H317="",$I317=""),"",$H317*$I317)</f>
        <v/>
      </c>
      <c r="K317" s="24" t="inlineStr">
        <is>
          <t>Chuyển khoản QR</t>
        </is>
      </c>
      <c r="L317" s="24" t="inlineStr">
        <is>
          <t>Đã chuyển khoản</t>
        </is>
      </c>
      <c r="M317" s="29" t="inlineStr">
        <is>
          <t>10/06/2026</t>
        </is>
      </c>
      <c r="N317" s="28" t="inlineStr">
        <is>
          <t>0348153429</t>
        </is>
      </c>
      <c r="O317" s="24" t="inlineStr">
        <is>
          <t>Trương Thị Thanh Huyền</t>
        </is>
      </c>
      <c r="P317" s="24" t="inlineStr">
        <is>
          <t>7/41A đường số 8 phường Tăng Nhơn Phú, Thành phố Hồ Chí Minh, HCM</t>
        </is>
      </c>
      <c r="Q317" s="24" t="inlineStr">
        <is>
          <t>Chờ giao</t>
        </is>
      </c>
      <c r="R317" s="24" t="inlineStr">
        <is>
          <t>Voi Con</t>
        </is>
      </c>
      <c r="S317" s="22">
        <f>IF(AND($A317="",$C317=""),"",IF($A317="","Thiếu mã đơn; ","")&amp;IF(COUNTIF($A$2:$A317,$A317)&gt;1,"Trùng mã đơn; ","")&amp;IF(COUNTIF($C$2:$C317,$C317)&gt;1,"Trùng SĐT; ","")&amp;IF(ISNA(MATCH($C317,DATA_MASTER!$D$2:$D$5000,0)),"SĐT chưa đăng ký hội viên; ","")&amp;IF(AND($L317="Đã chuyển khoản",$M317=""),"Thiếu ngày nhận CK; ",""))</f>
        <v/>
      </c>
      <c r="T317" s="24" t="inlineStr"/>
    </row>
    <row r="318" ht="14.25" customHeight="1" s="40">
      <c r="A318" s="24" t="n">
        <v>317</v>
      </c>
      <c r="B318" s="29" t="inlineStr">
        <is>
          <t>10/06/2026</t>
        </is>
      </c>
      <c r="C318" s="28" t="inlineStr">
        <is>
          <t>0862603122</t>
        </is>
      </c>
      <c r="D318" s="22">
        <f>IF($C318="","",IFERROR(INDEX(DATA_MASTER!$C$2:$C$5000,MATCH($C318,DATA_MASTER!$D$2:$D$5000,0)),"Nguyễn Thị Thanh Minh"))</f>
        <v/>
      </c>
      <c r="E318" s="22">
        <f>IF($C318="","",IFERROR(INDEX(DATA_MASTER!$I$2:$I$5000,MATCH($C318,DATA_MASTER!$D$2:$D$5000,0)),""))</f>
        <v/>
      </c>
      <c r="F318" s="22">
        <f>IF($C318="","",IFERROR(INDEX(DATA_MASTER!$L$2:$L$5000,MATCH($C318,DATA_MASTER!$D$2:$D$5000,0)),"ZM"))</f>
        <v/>
      </c>
      <c r="G318" s="24" t="inlineStr">
        <is>
          <t>Sữa Aptamil 380g</t>
        </is>
      </c>
      <c r="H318" s="24" t="n">
        <v>1</v>
      </c>
      <c r="I318" s="30" t="n">
        <v>320000</v>
      </c>
      <c r="J318" s="23">
        <f>IF(OR($H318="",$I318=""),"",$H318*$I318)</f>
        <v/>
      </c>
      <c r="K318" s="24" t="inlineStr">
        <is>
          <t>Chuyển khoản QR</t>
        </is>
      </c>
      <c r="L318" s="24" t="inlineStr">
        <is>
          <t>Đã chuyển khoản</t>
        </is>
      </c>
      <c r="M318" s="29" t="inlineStr">
        <is>
          <t>10/06/2026</t>
        </is>
      </c>
      <c r="N318" s="28" t="inlineStr">
        <is>
          <t>0862603122</t>
        </is>
      </c>
      <c r="O318" s="24" t="inlineStr">
        <is>
          <t>Nguyễn Thị Thanh Minh</t>
        </is>
      </c>
      <c r="P318" s="24" t="inlineStr">
        <is>
          <t>Trại giam ngọc lý 1 xã ngọc lý tân yên bắc giang, Bắc Giang</t>
        </is>
      </c>
      <c r="Q318" s="24" t="inlineStr">
        <is>
          <t>Chờ giao</t>
        </is>
      </c>
      <c r="R318" s="24" t="inlineStr">
        <is>
          <t>Long Châu</t>
        </is>
      </c>
      <c r="S318" s="22">
        <f>IF(AND($A318="",$C318=""),"",IF($A318="","Thiếu mã đơn; ","")&amp;IF(COUNTIF($A$2:$A318,$A318)&gt;1,"Trùng mã đơn; ","")&amp;IF(COUNTIF($C$2:$C318,$C318)&gt;1,"Trùng SĐT; ","")&amp;IF(ISNA(MATCH($C318,DATA_MASTER!$D$2:$D$5000,0)),"SĐT chưa đăng ký hội viên; ","")&amp;IF(AND($L318="Đã chuyển khoản",$M318=""),"Thiếu ngày nhận CK; ",""))</f>
        <v/>
      </c>
      <c r="T318" s="24" t="inlineStr"/>
    </row>
    <row r="319" ht="14.25" customHeight="1" s="40">
      <c r="A319" s="24" t="n">
        <v>318</v>
      </c>
      <c r="B319" s="29" t="inlineStr">
        <is>
          <t>10/06/2026</t>
        </is>
      </c>
      <c r="C319" s="28" t="inlineStr">
        <is>
          <t>0368875394</t>
        </is>
      </c>
      <c r="D319" s="22">
        <f>IF($C319="","",IFERROR(INDEX(DATA_MASTER!$C$2:$C$5000,MATCH($C319,DATA_MASTER!$D$2:$D$5000,0)),"Lê Hoài Anh"))</f>
        <v/>
      </c>
      <c r="E319" s="22">
        <f>IF($C319="","",IFERROR(INDEX(DATA_MASTER!$I$2:$I$5000,MATCH($C319,DATA_MASTER!$D$2:$D$5000,0)),""))</f>
        <v/>
      </c>
      <c r="F319" s="22">
        <f>IF($C319="","",IFERROR(INDEX(DATA_MASTER!$L$2:$L$5000,MATCH($C319,DATA_MASTER!$D$2:$D$5000,0)),"ZM"))</f>
        <v/>
      </c>
      <c r="G319" s="24" t="inlineStr">
        <is>
          <t>Sữa Aptamil 380g</t>
        </is>
      </c>
      <c r="H319" s="24" t="n">
        <v>1</v>
      </c>
      <c r="I319" s="30" t="n">
        <v>320000</v>
      </c>
      <c r="J319" s="23">
        <f>IF(OR($H319="",$I319=""),"",$H319*$I319)</f>
        <v/>
      </c>
      <c r="K319" s="24" t="inlineStr">
        <is>
          <t>Chuyển khoản QR</t>
        </is>
      </c>
      <c r="L319" s="24" t="inlineStr">
        <is>
          <t>Đã chuyển khoản</t>
        </is>
      </c>
      <c r="M319" s="29" t="inlineStr">
        <is>
          <t>10/06/2026</t>
        </is>
      </c>
      <c r="N319" s="28" t="inlineStr">
        <is>
          <t>0368875394</t>
        </is>
      </c>
      <c r="O319" s="24" t="inlineStr">
        <is>
          <t>Lê Hoài Anh</t>
        </is>
      </c>
      <c r="P319" s="24" t="inlineStr">
        <is>
          <t>186 ngõ Xã Đàn 2, Nam Đồng, Đống Đa, Hà Nội</t>
        </is>
      </c>
      <c r="Q319" s="24" t="inlineStr">
        <is>
          <t>Đã giao</t>
        </is>
      </c>
      <c r="R319" s="24" t="inlineStr">
        <is>
          <t>Mẹ Ơi</t>
        </is>
      </c>
      <c r="S319" s="22">
        <f>IF(AND($A319="",$C319=""),"",IF($A319="","Thiếu mã đơn; ","")&amp;IF(COUNTIF($A$2:$A319,$A319)&gt;1,"Trùng mã đơn; ","")&amp;IF(COUNTIF($C$2:$C319,$C319)&gt;1,"Trùng SĐT; ","")&amp;IF(ISNA(MATCH($C319,DATA_MASTER!$D$2:$D$5000,0)),"SĐT chưa đăng ký hội viên; ","")&amp;IF(AND($L319="Đã chuyển khoản",$M319=""),"Thiếu ngày nhận CK; ",""))</f>
        <v/>
      </c>
      <c r="T319" s="24" t="inlineStr">
        <is>
          <t>ĐVVC: Ahamove</t>
        </is>
      </c>
    </row>
    <row r="320" ht="14.25" customHeight="1" s="40">
      <c r="A320" s="24" t="n">
        <v>319</v>
      </c>
      <c r="B320" s="29" t="inlineStr">
        <is>
          <t>10/06/2026</t>
        </is>
      </c>
      <c r="C320" s="28" t="inlineStr">
        <is>
          <t>0971442494</t>
        </is>
      </c>
      <c r="D320" s="22">
        <f>IF($C320="","",IFERROR(INDEX(DATA_MASTER!$C$2:$C$5000,MATCH($C320,DATA_MASTER!$D$2:$D$5000,0)),"Lê Ngọc Trâm"))</f>
        <v/>
      </c>
      <c r="E320" s="22">
        <f>IF($C320="","",IFERROR(INDEX(DATA_MASTER!$I$2:$I$5000,MATCH($C320,DATA_MASTER!$D$2:$D$5000,0)),""))</f>
        <v/>
      </c>
      <c r="F320" s="22">
        <f>IF($C320="","",IFERROR(INDEX(DATA_MASTER!$L$2:$L$5000,MATCH($C320,DATA_MASTER!$D$2:$D$5000,0)),"ZM"))</f>
        <v/>
      </c>
      <c r="G320" s="24" t="inlineStr">
        <is>
          <t>Sữa Aptamil 380g</t>
        </is>
      </c>
      <c r="H320" s="24" t="n">
        <v>1</v>
      </c>
      <c r="I320" s="30" t="n">
        <v>320000</v>
      </c>
      <c r="J320" s="23">
        <f>IF(OR($H320="",$I320=""),"",$H320*$I320)</f>
        <v/>
      </c>
      <c r="K320" s="24" t="inlineStr">
        <is>
          <t>Chuyển khoản QR</t>
        </is>
      </c>
      <c r="L320" s="24" t="inlineStr">
        <is>
          <t>Đã chuyển khoản</t>
        </is>
      </c>
      <c r="M320" s="29" t="inlineStr">
        <is>
          <t>10/06/2026</t>
        </is>
      </c>
      <c r="N320" s="28" t="inlineStr">
        <is>
          <t>0971442494</t>
        </is>
      </c>
      <c r="O320" s="24" t="inlineStr">
        <is>
          <t>Lê Ngọc Trâm</t>
        </is>
      </c>
      <c r="P320" s="24" t="inlineStr">
        <is>
          <t>270/23 đinh bộ lĩnh, phường 26, bình thạnh, hồ chí minh, HCM</t>
        </is>
      </c>
      <c r="Q320" s="24" t="inlineStr">
        <is>
          <t>Chờ giao</t>
        </is>
      </c>
      <c r="R320" s="24" t="inlineStr">
        <is>
          <t>Voi Con</t>
        </is>
      </c>
      <c r="S320" s="22">
        <f>IF(AND($A320="",$C320=""),"",IF($A320="","Thiếu mã đơn; ","")&amp;IF(COUNTIF($A$2:$A320,$A320)&gt;1,"Trùng mã đơn; ","")&amp;IF(COUNTIF($C$2:$C320,$C320)&gt;1,"Trùng SĐT; ","")&amp;IF(ISNA(MATCH($C320,DATA_MASTER!$D$2:$D$5000,0)),"SĐT chưa đăng ký hội viên; ","")&amp;IF(AND($L320="Đã chuyển khoản",$M320=""),"Thiếu ngày nhận CK; ",""))</f>
        <v/>
      </c>
      <c r="T320" s="24" t="inlineStr"/>
    </row>
    <row r="321" ht="14.25" customHeight="1" s="40">
      <c r="A321" s="24" t="n">
        <v>320</v>
      </c>
      <c r="B321" s="29" t="inlineStr">
        <is>
          <t>10/06/2026</t>
        </is>
      </c>
      <c r="C321" s="28" t="inlineStr">
        <is>
          <t>0395240400</t>
        </is>
      </c>
      <c r="D321" s="22">
        <f>IF($C321="","",IFERROR(INDEX(DATA_MASTER!$C$2:$C$5000,MATCH($C321,DATA_MASTER!$D$2:$D$5000,0)),"Vũ Thị Phương"))</f>
        <v/>
      </c>
      <c r="E321" s="22">
        <f>IF($C321="","",IFERROR(INDEX(DATA_MASTER!$I$2:$I$5000,MATCH($C321,DATA_MASTER!$D$2:$D$5000,0)),""))</f>
        <v/>
      </c>
      <c r="F321" s="22">
        <f>IF($C321="","",IFERROR(INDEX(DATA_MASTER!$L$2:$L$5000,MATCH($C321,DATA_MASTER!$D$2:$D$5000,0)),"ZM"))</f>
        <v/>
      </c>
      <c r="G321" s="24" t="inlineStr">
        <is>
          <t>Sữa Aptamil 380g</t>
        </is>
      </c>
      <c r="H321" s="24" t="n">
        <v>1</v>
      </c>
      <c r="I321" s="30" t="n">
        <v>320000</v>
      </c>
      <c r="J321" s="23">
        <f>IF(OR($H321="",$I321=""),"",$H321*$I321)</f>
        <v/>
      </c>
      <c r="K321" s="24" t="inlineStr">
        <is>
          <t>Chuyển khoản QR</t>
        </is>
      </c>
      <c r="L321" s="24" t="inlineStr">
        <is>
          <t>Đã chuyển khoản</t>
        </is>
      </c>
      <c r="M321" s="29" t="inlineStr">
        <is>
          <t>10/06/2026</t>
        </is>
      </c>
      <c r="N321" s="28" t="inlineStr">
        <is>
          <t>0395240400</t>
        </is>
      </c>
      <c r="O321" s="24" t="inlineStr">
        <is>
          <t>Vũ Thị Phương</t>
        </is>
      </c>
      <c r="P321" s="24" t="inlineStr">
        <is>
          <t>Nhà 5 Gốc Gạo thôn 5 Trung Châu Đan Phượng Hà Nội</t>
        </is>
      </c>
      <c r="Q321" s="24" t="inlineStr">
        <is>
          <t>Đang giao</t>
        </is>
      </c>
      <c r="R321" s="24" t="inlineStr">
        <is>
          <t>Mẹ Ơi</t>
        </is>
      </c>
      <c r="S321" s="22">
        <f>IF(AND($A321="",$C321=""),"",IF($A321="","Thiếu mã đơn; ","")&amp;IF(COUNTIF($A$2:$A321,$A321)&gt;1,"Trùng mã đơn; ","")&amp;IF(COUNTIF($C$2:$C321,$C321)&gt;1,"Trùng SĐT; ","")&amp;IF(ISNA(MATCH($C321,DATA_MASTER!$D$2:$D$5000,0)),"SĐT chưa đăng ký hội viên; ","")&amp;IF(AND($L321="Đã chuyển khoản",$M321=""),"Thiếu ngày nhận CK; ",""))</f>
        <v/>
      </c>
      <c r="T321" s="24" t="inlineStr">
        <is>
          <t>ĐVVC: spx | Mã VĐ: SPXVN06020314519A</t>
        </is>
      </c>
    </row>
    <row r="322" ht="14.25" customHeight="1" s="40">
      <c r="A322" s="24" t="n">
        <v>321</v>
      </c>
      <c r="B322" s="29" t="inlineStr">
        <is>
          <t>07/10/2026</t>
        </is>
      </c>
      <c r="C322" s="28" t="inlineStr">
        <is>
          <t>0778329108</t>
        </is>
      </c>
      <c r="D322" s="22">
        <f>IF($C322="","",IFERROR(INDEX(DATA_MASTER!$C$2:$C$5000,MATCH($C322,DATA_MASTER!$D$2:$D$5000,0)),"Bùi Hà Phương"))</f>
        <v/>
      </c>
      <c r="E322" s="22">
        <f>IF($C322="","",IFERROR(INDEX(DATA_MASTER!$I$2:$I$5000,MATCH($C322,DATA_MASTER!$D$2:$D$5000,0)),""))</f>
        <v/>
      </c>
      <c r="F322" s="22">
        <f>IF($C322="","",IFERROR(INDEX(DATA_MASTER!$L$2:$L$5000,MATCH($C322,DATA_MASTER!$D$2:$D$5000,0)),"ZM"))</f>
        <v/>
      </c>
      <c r="G322" s="24" t="inlineStr">
        <is>
          <t>Sữa Aptamil 380g</t>
        </is>
      </c>
      <c r="H322" s="24" t="n">
        <v>1</v>
      </c>
      <c r="I322" s="30" t="n">
        <v>320000</v>
      </c>
      <c r="J322" s="23">
        <f>IF(OR($H322="",$I322=""),"",$H322*$I322)</f>
        <v/>
      </c>
      <c r="K322" s="24" t="inlineStr">
        <is>
          <t>Chuyển khoản QR</t>
        </is>
      </c>
      <c r="L322" s="24" t="inlineStr">
        <is>
          <t>Đã chuyển khoản</t>
        </is>
      </c>
      <c r="M322" s="29" t="inlineStr">
        <is>
          <t>07/10/2026</t>
        </is>
      </c>
      <c r="N322" s="28" t="inlineStr">
        <is>
          <t>0778329108</t>
        </is>
      </c>
      <c r="O322" s="24" t="inlineStr">
        <is>
          <t>Bùi Hà Phương</t>
        </is>
      </c>
      <c r="P322" s="24" t="inlineStr">
        <is>
          <t>356a Đà Nẵng, Hải An, Hải Phòng (nhà mặt đường)</t>
        </is>
      </c>
      <c r="Q322" s="24" t="inlineStr">
        <is>
          <t>Chờ giao</t>
        </is>
      </c>
      <c r="R322" s="24" t="inlineStr">
        <is>
          <t>Ababy</t>
        </is>
      </c>
      <c r="S322" s="22">
        <f>IF(AND($A322="",$C322=""),"",IF($A322="","Thiếu mã đơn; ","")&amp;IF(COUNTIF($A$2:$A322,$A322)&gt;1,"Trùng mã đơn; ","")&amp;IF(COUNTIF($C$2:$C322,$C322)&gt;1,"Trùng SĐT; ","")&amp;IF(ISNA(MATCH($C322,DATA_MASTER!$D$2:$D$5000,0)),"SĐT chưa đăng ký hội viên; ","")&amp;IF(AND($L322="Đã chuyển khoản",$M322=""),"Thiếu ngày nhận CK; ",""))</f>
        <v/>
      </c>
      <c r="T322" s="24" t="inlineStr"/>
    </row>
    <row r="323" ht="14.25" customHeight="1" s="40">
      <c r="A323" s="24" t="n">
        <v>322</v>
      </c>
      <c r="B323" s="29" t="inlineStr">
        <is>
          <t>07/10/2026</t>
        </is>
      </c>
      <c r="C323" s="28" t="inlineStr">
        <is>
          <t>0988385101</t>
        </is>
      </c>
      <c r="D323" s="22">
        <f>IF($C323="","",IFERROR(INDEX(DATA_MASTER!$C$2:$C$5000,MATCH($C323,DATA_MASTER!$D$2:$D$5000,0)),"Đào Thanh Thảo"))</f>
        <v/>
      </c>
      <c r="E323" s="22">
        <f>IF($C323="","",IFERROR(INDEX(DATA_MASTER!$I$2:$I$5000,MATCH($C323,DATA_MASTER!$D$2:$D$5000,0)),""))</f>
        <v/>
      </c>
      <c r="F323" s="22">
        <f>IF($C323="","",IFERROR(INDEX(DATA_MASTER!$L$2:$L$5000,MATCH($C323,DATA_MASTER!$D$2:$D$5000,0)),"ZM"))</f>
        <v/>
      </c>
      <c r="G323" s="24" t="inlineStr">
        <is>
          <t>Sữa Aptamil 380g</t>
        </is>
      </c>
      <c r="H323" s="24" t="n">
        <v>1</v>
      </c>
      <c r="I323" s="30" t="n">
        <v>320000</v>
      </c>
      <c r="J323" s="23">
        <f>IF(OR($H323="",$I323=""),"",$H323*$I323)</f>
        <v/>
      </c>
      <c r="K323" s="24" t="inlineStr">
        <is>
          <t>Chuyển khoản QR</t>
        </is>
      </c>
      <c r="L323" s="24" t="inlineStr">
        <is>
          <t>Đã chuyển khoản</t>
        </is>
      </c>
      <c r="M323" s="29" t="inlineStr">
        <is>
          <t>07/10/2026</t>
        </is>
      </c>
      <c r="N323" s="28" t="inlineStr">
        <is>
          <t>0988385101</t>
        </is>
      </c>
      <c r="O323" s="24" t="inlineStr">
        <is>
          <t>Đào Thanh Thảo</t>
        </is>
      </c>
      <c r="P323" s="24" t="inlineStr">
        <is>
          <t>vietcombank 149 Hai Bà Trưng, Lê Chân, Hải Phòng</t>
        </is>
      </c>
      <c r="Q323" s="24" t="inlineStr">
        <is>
          <t>Chờ giao</t>
        </is>
      </c>
      <c r="R323" s="24" t="inlineStr">
        <is>
          <t>Ababy</t>
        </is>
      </c>
      <c r="S323" s="22">
        <f>IF(AND($A323="",$C323=""),"",IF($A323="","Thiếu mã đơn; ","")&amp;IF(COUNTIF($A$2:$A323,$A323)&gt;1,"Trùng mã đơn; ","")&amp;IF(COUNTIF($C$2:$C323,$C323)&gt;1,"Trùng SĐT; ","")&amp;IF(ISNA(MATCH($C323,DATA_MASTER!$D$2:$D$5000,0)),"SĐT chưa đăng ký hội viên; ","")&amp;IF(AND($L323="Đã chuyển khoản",$M323=""),"Thiếu ngày nhận CK; ",""))</f>
        <v/>
      </c>
      <c r="T323" s="24" t="inlineStr"/>
    </row>
    <row r="324" ht="14.25" customHeight="1" s="40">
      <c r="A324" s="24" t="n">
        <v>323</v>
      </c>
      <c r="B324" s="29" t="inlineStr">
        <is>
          <t>07/10/2026</t>
        </is>
      </c>
      <c r="C324" s="28" t="inlineStr">
        <is>
          <t>0336696879</t>
        </is>
      </c>
      <c r="D324" s="22">
        <f>IF($C324="","",IFERROR(INDEX(DATA_MASTER!$C$2:$C$5000,MATCH($C324,DATA_MASTER!$D$2:$D$5000,0)),"Phương Dung"))</f>
        <v/>
      </c>
      <c r="E324" s="22">
        <f>IF($C324="","",IFERROR(INDEX(DATA_MASTER!$I$2:$I$5000,MATCH($C324,DATA_MASTER!$D$2:$D$5000,0)),""))</f>
        <v/>
      </c>
      <c r="F324" s="22">
        <f>IF($C324="","",IFERROR(INDEX(DATA_MASTER!$L$2:$L$5000,MATCH($C324,DATA_MASTER!$D$2:$D$5000,0)),"ZM"))</f>
        <v/>
      </c>
      <c r="G324" s="24" t="inlineStr">
        <is>
          <t>Sữa Aptamil 380g</t>
        </is>
      </c>
      <c r="H324" s="24" t="n">
        <v>1</v>
      </c>
      <c r="I324" s="30" t="n">
        <v>320000</v>
      </c>
      <c r="J324" s="23">
        <f>IF(OR($H324="",$I324=""),"",$H324*$I324)</f>
        <v/>
      </c>
      <c r="K324" s="24" t="inlineStr">
        <is>
          <t>Chuyển khoản QR</t>
        </is>
      </c>
      <c r="L324" s="24" t="inlineStr">
        <is>
          <t>Đã chuyển khoản</t>
        </is>
      </c>
      <c r="M324" s="29" t="inlineStr">
        <is>
          <t>07/10/2026</t>
        </is>
      </c>
      <c r="N324" s="28" t="inlineStr">
        <is>
          <t>0336696879</t>
        </is>
      </c>
      <c r="O324" s="24" t="inlineStr">
        <is>
          <t>Phương Dung</t>
        </is>
      </c>
      <c r="P324" s="24" t="inlineStr">
        <is>
          <t>Số HD.83, Khu đô thị Vinhomes Marina, Phường An Biên,Hải Phòng</t>
        </is>
      </c>
      <c r="Q324" s="24" t="inlineStr">
        <is>
          <t>Đang giao</t>
        </is>
      </c>
      <c r="R324" s="24" t="inlineStr">
        <is>
          <t>Ababy</t>
        </is>
      </c>
      <c r="S324" s="22">
        <f>IF(AND($A324="",$C324=""),"",IF($A324="","Thiếu mã đơn; ","")&amp;IF(COUNTIF($A$2:$A324,$A324)&gt;1,"Trùng mã đơn; ","")&amp;IF(COUNTIF($C$2:$C324,$C324)&gt;1,"Trùng SĐT; ","")&amp;IF(ISNA(MATCH($C324,DATA_MASTER!$D$2:$D$5000,0)),"SĐT chưa đăng ký hội viên; ","")&amp;IF(AND($L324="Đã chuyển khoản",$M324=""),"Thiếu ngày nhận CK; ",""))</f>
        <v/>
      </c>
      <c r="T324" s="24" t="inlineStr">
        <is>
          <t>ĐVVC: Shipper riêng</t>
        </is>
      </c>
    </row>
    <row r="325" ht="14.25" customHeight="1" s="40">
      <c r="A325" s="24" t="n">
        <v>324</v>
      </c>
      <c r="B325" s="29" t="inlineStr">
        <is>
          <t>07/10/2026</t>
        </is>
      </c>
      <c r="C325" s="28" t="inlineStr">
        <is>
          <t>0862326428</t>
        </is>
      </c>
      <c r="D325" s="22">
        <f>IF($C325="","",IFERROR(INDEX(DATA_MASTER!$C$2:$C$5000,MATCH($C325,DATA_MASTER!$D$2:$D$5000,0)),"Phạm Ngọc"))</f>
        <v/>
      </c>
      <c r="E325" s="22">
        <f>IF($C325="","",IFERROR(INDEX(DATA_MASTER!$I$2:$I$5000,MATCH($C325,DATA_MASTER!$D$2:$D$5000,0)),""))</f>
        <v/>
      </c>
      <c r="F325" s="22">
        <f>IF($C325="","",IFERROR(INDEX(DATA_MASTER!$L$2:$L$5000,MATCH($C325,DATA_MASTER!$D$2:$D$5000,0)),"ZM"))</f>
        <v/>
      </c>
      <c r="G325" s="24" t="inlineStr">
        <is>
          <t>Sữa Aptamil 380g</t>
        </is>
      </c>
      <c r="H325" s="24" t="n">
        <v>1</v>
      </c>
      <c r="I325" s="30" t="n">
        <v>320000</v>
      </c>
      <c r="J325" s="23">
        <f>IF(OR($H325="",$I325=""),"",$H325*$I325)</f>
        <v/>
      </c>
      <c r="K325" s="24" t="inlineStr">
        <is>
          <t>Chuyển khoản QR</t>
        </is>
      </c>
      <c r="L325" s="24" t="inlineStr">
        <is>
          <t>Chờ chuyển khoản</t>
        </is>
      </c>
      <c r="M325" s="29" t="inlineStr">
        <is>
          <t>07/10/2026</t>
        </is>
      </c>
      <c r="N325" s="28" t="inlineStr">
        <is>
          <t>0862326428</t>
        </is>
      </c>
      <c r="O325" s="24" t="inlineStr">
        <is>
          <t>Phạm Ngọc</t>
        </is>
      </c>
      <c r="P325" s="24" t="inlineStr">
        <is>
          <t>3/10/18 Miếu Hai xã , Lê Chân , Hải Phòng</t>
        </is>
      </c>
      <c r="Q325" s="24" t="inlineStr">
        <is>
          <t>Chờ giao</t>
        </is>
      </c>
      <c r="R325" s="24" t="inlineStr">
        <is>
          <t>Ababy</t>
        </is>
      </c>
      <c r="S325" s="22">
        <f>IF(AND($A325="",$C325=""),"",IF($A325="","Thiếu mã đơn; ","")&amp;IF(COUNTIF($A$2:$A325,$A325)&gt;1,"Trùng mã đơn; ","")&amp;IF(COUNTIF($C$2:$C325,$C325)&gt;1,"Trùng SĐT; ","")&amp;IF(ISNA(MATCH($C325,DATA_MASTER!$D$2:$D$5000,0)),"SĐT chưa đăng ký hội viên; ","")&amp;IF(AND($L325="Đã chuyển khoản",$M325=""),"Thiếu ngày nhận CK; ",""))</f>
        <v/>
      </c>
      <c r="T325" s="24" t="inlineStr"/>
    </row>
    <row r="326" ht="14.25" customHeight="1" s="40">
      <c r="A326" s="24" t="n">
        <v>325</v>
      </c>
      <c r="B326" s="29" t="inlineStr">
        <is>
          <t>07/10/2026</t>
        </is>
      </c>
      <c r="C326" s="28" t="inlineStr">
        <is>
          <t>0963128405</t>
        </is>
      </c>
      <c r="D326" s="22">
        <f>IF($C326="","",IFERROR(INDEX(DATA_MASTER!$C$2:$C$5000,MATCH($C326,DATA_MASTER!$D$2:$D$5000,0)),"Thúy Nga"))</f>
        <v/>
      </c>
      <c r="E326" s="22">
        <f>IF($C326="","",IFERROR(INDEX(DATA_MASTER!$I$2:$I$5000,MATCH($C326,DATA_MASTER!$D$2:$D$5000,0)),""))</f>
        <v/>
      </c>
      <c r="F326" s="22">
        <f>IF($C326="","",IFERROR(INDEX(DATA_MASTER!$L$2:$L$5000,MATCH($C326,DATA_MASTER!$D$2:$D$5000,0)),"ZM"))</f>
        <v/>
      </c>
      <c r="G326" s="24" t="inlineStr">
        <is>
          <t>Sữa Aptamil 380g</t>
        </is>
      </c>
      <c r="H326" s="24" t="n">
        <v>1</v>
      </c>
      <c r="I326" s="30" t="n">
        <v>320000</v>
      </c>
      <c r="J326" s="23">
        <f>IF(OR($H326="",$I326=""),"",$H326*$I326)</f>
        <v/>
      </c>
      <c r="K326" s="24" t="inlineStr">
        <is>
          <t>Chuyển khoản QR</t>
        </is>
      </c>
      <c r="L326" s="24" t="inlineStr">
        <is>
          <t>Đã chuyển khoản</t>
        </is>
      </c>
      <c r="M326" s="29" t="inlineStr">
        <is>
          <t>07/10/2026</t>
        </is>
      </c>
      <c r="N326" s="28" t="inlineStr">
        <is>
          <t>0963128405</t>
        </is>
      </c>
      <c r="O326" s="24" t="inlineStr">
        <is>
          <t>Thúy Nga</t>
        </is>
      </c>
      <c r="P326" s="24" t="inlineStr">
        <is>
          <t>nhà 5 , ngõ 67 , Lương Quán , Nam Sơn , An Dương , Hải Phòng</t>
        </is>
      </c>
      <c r="Q326" s="24" t="inlineStr">
        <is>
          <t>Chờ giao</t>
        </is>
      </c>
      <c r="R326" s="24" t="inlineStr">
        <is>
          <t>Ababy</t>
        </is>
      </c>
      <c r="S326" s="22">
        <f>IF(AND($A326="",$C326=""),"",IF($A326="","Thiếu mã đơn; ","")&amp;IF(COUNTIF($A$2:$A326,$A326)&gt;1,"Trùng mã đơn; ","")&amp;IF(COUNTIF($C$2:$C326,$C326)&gt;1,"Trùng SĐT; ","")&amp;IF(ISNA(MATCH($C326,DATA_MASTER!$D$2:$D$5000,0)),"SĐT chưa đăng ký hội viên; ","")&amp;IF(AND($L326="Đã chuyển khoản",$M326=""),"Thiếu ngày nhận CK; ",""))</f>
        <v/>
      </c>
      <c r="T326" s="24" t="inlineStr"/>
    </row>
    <row r="327" ht="14.25" customHeight="1" s="40">
      <c r="A327" s="24" t="n">
        <v>326</v>
      </c>
      <c r="B327" s="29" t="inlineStr">
        <is>
          <t>07/10/2026</t>
        </is>
      </c>
      <c r="C327" s="28" t="inlineStr">
        <is>
          <t>0377161561</t>
        </is>
      </c>
      <c r="D327" s="22">
        <f>IF($C327="","",IFERROR(INDEX(DATA_MASTER!$C$2:$C$5000,MATCH($C327,DATA_MASTER!$D$2:$D$5000,0)),"Bình Minh"))</f>
        <v/>
      </c>
      <c r="E327" s="22">
        <f>IF($C327="","",IFERROR(INDEX(DATA_MASTER!$I$2:$I$5000,MATCH($C327,DATA_MASTER!$D$2:$D$5000,0)),""))</f>
        <v/>
      </c>
      <c r="F327" s="22">
        <f>IF($C327="","",IFERROR(INDEX(DATA_MASTER!$L$2:$L$5000,MATCH($C327,DATA_MASTER!$D$2:$D$5000,0)),"ZM"))</f>
        <v/>
      </c>
      <c r="G327" s="24" t="inlineStr">
        <is>
          <t>Sữa Aptamil 380g</t>
        </is>
      </c>
      <c r="H327" s="24" t="n">
        <v>1</v>
      </c>
      <c r="I327" s="30" t="n">
        <v>320000</v>
      </c>
      <c r="J327" s="23">
        <f>IF(OR($H327="",$I327=""),"",$H327*$I327)</f>
        <v/>
      </c>
      <c r="K327" s="24" t="inlineStr">
        <is>
          <t>Chuyển khoản QR</t>
        </is>
      </c>
      <c r="L327" s="24" t="inlineStr">
        <is>
          <t>Đã chuyển khoản</t>
        </is>
      </c>
      <c r="M327" s="29" t="inlineStr">
        <is>
          <t>07/10/2026</t>
        </is>
      </c>
      <c r="N327" s="28" t="inlineStr">
        <is>
          <t>0377161561</t>
        </is>
      </c>
      <c r="O327" s="24" t="inlineStr">
        <is>
          <t>Bình Minh</t>
        </is>
      </c>
      <c r="P327" s="24" t="inlineStr">
        <is>
          <t>22/3/54 TDP Trang Quan , An Hải , Hải Phòng</t>
        </is>
      </c>
      <c r="Q327" s="24" t="inlineStr">
        <is>
          <t>Chờ giao</t>
        </is>
      </c>
      <c r="R327" s="24" t="inlineStr">
        <is>
          <t>Ababy</t>
        </is>
      </c>
      <c r="S327" s="22">
        <f>IF(AND($A327="",$C327=""),"",IF($A327="","Thiếu mã đơn; ","")&amp;IF(COUNTIF($A$2:$A327,$A327)&gt;1,"Trùng mã đơn; ","")&amp;IF(COUNTIF($C$2:$C327,$C327)&gt;1,"Trùng SĐT; ","")&amp;IF(ISNA(MATCH($C327,DATA_MASTER!$D$2:$D$5000,0)),"SĐT chưa đăng ký hội viên; ","")&amp;IF(AND($L327="Đã chuyển khoản",$M327=""),"Thiếu ngày nhận CK; ",""))</f>
        <v/>
      </c>
      <c r="T327" s="24" t="inlineStr"/>
    </row>
    <row r="328" ht="14.25" customHeight="1" s="40">
      <c r="A328" s="24" t="n">
        <v>327</v>
      </c>
      <c r="B328" s="29" t="inlineStr">
        <is>
          <t>07/10/2026</t>
        </is>
      </c>
      <c r="C328" s="28" t="inlineStr">
        <is>
          <t>0775242050</t>
        </is>
      </c>
      <c r="D328" s="22">
        <f>IF($C328="","",IFERROR(INDEX(DATA_MASTER!$C$2:$C$5000,MATCH($C328,DATA_MASTER!$D$2:$D$5000,0)),"Ngọc Anh"))</f>
        <v/>
      </c>
      <c r="E328" s="22">
        <f>IF($C328="","",IFERROR(INDEX(DATA_MASTER!$I$2:$I$5000,MATCH($C328,DATA_MASTER!$D$2:$D$5000,0)),""))</f>
        <v/>
      </c>
      <c r="F328" s="22">
        <f>IF($C328="","",IFERROR(INDEX(DATA_MASTER!$L$2:$L$5000,MATCH($C328,DATA_MASTER!$D$2:$D$5000,0)),"ZM"))</f>
        <v/>
      </c>
      <c r="G328" s="24" t="inlineStr">
        <is>
          <t>Sữa Aptamil 380g</t>
        </is>
      </c>
      <c r="H328" s="24" t="n">
        <v>1</v>
      </c>
      <c r="I328" s="30" t="n">
        <v>320000</v>
      </c>
      <c r="J328" s="23">
        <f>IF(OR($H328="",$I328=""),"",$H328*$I328)</f>
        <v/>
      </c>
      <c r="K328" s="24" t="inlineStr">
        <is>
          <t>Chuyển khoản QR</t>
        </is>
      </c>
      <c r="L328" s="24" t="inlineStr">
        <is>
          <t>Đã chuyển khoản</t>
        </is>
      </c>
      <c r="M328" s="29" t="inlineStr">
        <is>
          <t>07/10/2026</t>
        </is>
      </c>
      <c r="N328" s="28" t="inlineStr">
        <is>
          <t>0775242050</t>
        </is>
      </c>
      <c r="O328" s="24" t="inlineStr">
        <is>
          <t>Ngọc Anh</t>
        </is>
      </c>
      <c r="P328" s="24" t="inlineStr">
        <is>
          <t>Dạ 41/6/39/278, Đà Nẵng, ngô quyền hải phòng, Hải Phòng</t>
        </is>
      </c>
      <c r="Q328" s="24" t="inlineStr">
        <is>
          <t>Chờ giao</t>
        </is>
      </c>
      <c r="R328" s="24" t="inlineStr">
        <is>
          <t>Ababy</t>
        </is>
      </c>
      <c r="S328" s="22">
        <f>IF(AND($A328="",$C328=""),"",IF($A328="","Thiếu mã đơn; ","")&amp;IF(COUNTIF($A$2:$A328,$A328)&gt;1,"Trùng mã đơn; ","")&amp;IF(COUNTIF($C$2:$C328,$C328)&gt;1,"Trùng SĐT; ","")&amp;IF(ISNA(MATCH($C328,DATA_MASTER!$D$2:$D$5000,0)),"SĐT chưa đăng ký hội viên; ","")&amp;IF(AND($L328="Đã chuyển khoản",$M328=""),"Thiếu ngày nhận CK; ",""))</f>
        <v/>
      </c>
      <c r="T328" s="24" t="inlineStr"/>
    </row>
    <row r="329" ht="14.25" customHeight="1" s="40">
      <c r="A329" s="24" t="n">
        <v>328</v>
      </c>
      <c r="B329" s="29" t="inlineStr">
        <is>
          <t>07/10/2026</t>
        </is>
      </c>
      <c r="C329" s="28" t="inlineStr">
        <is>
          <t>0339759340</t>
        </is>
      </c>
      <c r="D329" s="22">
        <f>IF($C329="","",IFERROR(INDEX(DATA_MASTER!$C$2:$C$5000,MATCH($C329,DATA_MASTER!$D$2:$D$5000,0)),"Đàm Thùy Trang"))</f>
        <v/>
      </c>
      <c r="E329" s="22">
        <f>IF($C329="","",IFERROR(INDEX(DATA_MASTER!$I$2:$I$5000,MATCH($C329,DATA_MASTER!$D$2:$D$5000,0)),""))</f>
        <v/>
      </c>
      <c r="F329" s="22">
        <f>IF($C329="","",IFERROR(INDEX(DATA_MASTER!$L$2:$L$5000,MATCH($C329,DATA_MASTER!$D$2:$D$5000,0)),"ZM"))</f>
        <v/>
      </c>
      <c r="G329" s="24" t="inlineStr">
        <is>
          <t>Sữa Aptamil 380g</t>
        </is>
      </c>
      <c r="H329" s="24" t="n">
        <v>1</v>
      </c>
      <c r="I329" s="30" t="n">
        <v>320000</v>
      </c>
      <c r="J329" s="23">
        <f>IF(OR($H329="",$I329=""),"",$H329*$I329)</f>
        <v/>
      </c>
      <c r="K329" s="24" t="inlineStr">
        <is>
          <t>Chuyển khoản QR</t>
        </is>
      </c>
      <c r="L329" s="24" t="inlineStr">
        <is>
          <t>Đã chuyển khoản</t>
        </is>
      </c>
      <c r="M329" s="29" t="inlineStr">
        <is>
          <t>07/10/2026</t>
        </is>
      </c>
      <c r="N329" s="28" t="inlineStr">
        <is>
          <t>0339759340</t>
        </is>
      </c>
      <c r="O329" s="24" t="inlineStr">
        <is>
          <t>Đàm Thùy Trang</t>
        </is>
      </c>
      <c r="P329" s="24" t="inlineStr">
        <is>
          <t>16/143 phố Cấm, Gia Viên, Hải Phòng</t>
        </is>
      </c>
      <c r="Q329" s="24" t="inlineStr">
        <is>
          <t>Chờ giao</t>
        </is>
      </c>
      <c r="R329" s="24" t="inlineStr">
        <is>
          <t>Ababy</t>
        </is>
      </c>
      <c r="S329" s="22">
        <f>IF(AND($A329="",$C329=""),"",IF($A329="","Thiếu mã đơn; ","")&amp;IF(COUNTIF($A$2:$A329,$A329)&gt;1,"Trùng mã đơn; ","")&amp;IF(COUNTIF($C$2:$C329,$C329)&gt;1,"Trùng SĐT; ","")&amp;IF(ISNA(MATCH($C329,DATA_MASTER!$D$2:$D$5000,0)),"SĐT chưa đăng ký hội viên; ","")&amp;IF(AND($L329="Đã chuyển khoản",$M329=""),"Thiếu ngày nhận CK; ",""))</f>
        <v/>
      </c>
      <c r="T329" s="24" t="inlineStr"/>
    </row>
    <row r="330" ht="14.25" customHeight="1" s="40">
      <c r="A330" s="24" t="n">
        <v>329</v>
      </c>
      <c r="B330" s="29" t="inlineStr">
        <is>
          <t>07/10/2026</t>
        </is>
      </c>
      <c r="C330" s="28" t="inlineStr">
        <is>
          <t>0399077893</t>
        </is>
      </c>
      <c r="D330" s="22">
        <f>IF($C330="","",IFERROR(INDEX(DATA_MASTER!$C$2:$C$5000,MATCH($C330,DATA_MASTER!$D$2:$D$5000,0)),"Đinh Khắc Dậu"))</f>
        <v/>
      </c>
      <c r="E330" s="22">
        <f>IF($C330="","",IFERROR(INDEX(DATA_MASTER!$I$2:$I$5000,MATCH($C330,DATA_MASTER!$D$2:$D$5000,0)),""))</f>
        <v/>
      </c>
      <c r="F330" s="22">
        <f>IF($C330="","",IFERROR(INDEX(DATA_MASTER!$L$2:$L$5000,MATCH($C330,DATA_MASTER!$D$2:$D$5000,0)),"ZM"))</f>
        <v/>
      </c>
      <c r="G330" s="24" t="inlineStr">
        <is>
          <t>Sữa Aptamil 380g</t>
        </is>
      </c>
      <c r="H330" s="24" t="n">
        <v>1</v>
      </c>
      <c r="I330" s="30" t="n">
        <v>320000</v>
      </c>
      <c r="J330" s="23">
        <f>IF(OR($H330="",$I330=""),"",$H330*$I330)</f>
        <v/>
      </c>
      <c r="K330" s="24" t="inlineStr">
        <is>
          <t>Chuyển khoản QR</t>
        </is>
      </c>
      <c r="L330" s="24" t="inlineStr">
        <is>
          <t>Đã chuyển khoản</t>
        </is>
      </c>
      <c r="M330" s="29" t="inlineStr">
        <is>
          <t>07/10/2026</t>
        </is>
      </c>
      <c r="N330" s="28" t="inlineStr">
        <is>
          <t>0399077893</t>
        </is>
      </c>
      <c r="O330" s="24" t="inlineStr">
        <is>
          <t>Đinh Khắc Dậu</t>
        </is>
      </c>
      <c r="P330" s="24" t="inlineStr">
        <is>
          <t>Bảo Kiếm , Lập Lễ ,Thuỷ Nguyên ,Hải Phòng</t>
        </is>
      </c>
      <c r="Q330" s="24" t="inlineStr">
        <is>
          <t>Chờ giao</t>
        </is>
      </c>
      <c r="R330" s="24" t="inlineStr">
        <is>
          <t>Cute Baby</t>
        </is>
      </c>
      <c r="S330" s="22">
        <f>IF(AND($A330="",$C330=""),"",IF($A330="","Thiếu mã đơn; ","")&amp;IF(COUNTIF($A$2:$A330,$A330)&gt;1,"Trùng mã đơn; ","")&amp;IF(COUNTIF($C$2:$C330,$C330)&gt;1,"Trùng SĐT; ","")&amp;IF(ISNA(MATCH($C330,DATA_MASTER!$D$2:$D$5000,0)),"SĐT chưa đăng ký hội viên; ","")&amp;IF(AND($L330="Đã chuyển khoản",$M330=""),"Thiếu ngày nhận CK; ",""))</f>
        <v/>
      </c>
      <c r="T330" s="24" t="inlineStr"/>
    </row>
    <row r="331" ht="14.25" customHeight="1" s="40">
      <c r="A331" s="24" t="n">
        <v>330</v>
      </c>
      <c r="B331" s="29" t="inlineStr">
        <is>
          <t>07/10/2026</t>
        </is>
      </c>
      <c r="C331" s="28" t="inlineStr">
        <is>
          <t>0369950243</t>
        </is>
      </c>
      <c r="D331" s="22">
        <f>IF($C331="","",IFERROR(INDEX(DATA_MASTER!$C$2:$C$5000,MATCH($C331,DATA_MASTER!$D$2:$D$5000,0)),"Phạm Thị Linh"))</f>
        <v/>
      </c>
      <c r="E331" s="22">
        <f>IF($C331="","",IFERROR(INDEX(DATA_MASTER!$I$2:$I$5000,MATCH($C331,DATA_MASTER!$D$2:$D$5000,0)),""))</f>
        <v/>
      </c>
      <c r="F331" s="22">
        <f>IF($C331="","",IFERROR(INDEX(DATA_MASTER!$L$2:$L$5000,MATCH($C331,DATA_MASTER!$D$2:$D$5000,0)),"ZM"))</f>
        <v/>
      </c>
      <c r="G331" s="24" t="inlineStr">
        <is>
          <t>Sữa Aptamil 380g</t>
        </is>
      </c>
      <c r="H331" s="24" t="n">
        <v>1</v>
      </c>
      <c r="I331" s="30" t="n">
        <v>320000</v>
      </c>
      <c r="J331" s="23">
        <f>IF(OR($H331="",$I331=""),"",$H331*$I331)</f>
        <v/>
      </c>
      <c r="K331" s="24" t="inlineStr">
        <is>
          <t>Chuyển khoản QR</t>
        </is>
      </c>
      <c r="L331" s="24" t="inlineStr">
        <is>
          <t>Đã chuyển khoản</t>
        </is>
      </c>
      <c r="M331" s="29" t="inlineStr">
        <is>
          <t>07/10/2026</t>
        </is>
      </c>
      <c r="N331" s="28" t="inlineStr">
        <is>
          <t>0369950243</t>
        </is>
      </c>
      <c r="O331" s="24" t="inlineStr">
        <is>
          <t>Phạm Thị Linh</t>
        </is>
      </c>
      <c r="P331" s="24" t="inlineStr">
        <is>
          <t>Đc thôn quảng đạt ngũ phúc kim thành hải dương, Hải Phòng</t>
        </is>
      </c>
      <c r="Q331" s="24" t="inlineStr">
        <is>
          <t>Chờ giao</t>
        </is>
      </c>
      <c r="R331" s="24" t="inlineStr">
        <is>
          <t>Cute Baby</t>
        </is>
      </c>
      <c r="S331" s="22">
        <f>IF(AND($A331="",$C331=""),"",IF($A331="","Thiếu mã đơn; ","")&amp;IF(COUNTIF($A$2:$A331,$A331)&gt;1,"Trùng mã đơn; ","")&amp;IF(COUNTIF($C$2:$C331,$C331)&gt;1,"Trùng SĐT; ","")&amp;IF(ISNA(MATCH($C331,DATA_MASTER!$D$2:$D$5000,0)),"SĐT chưa đăng ký hội viên; ","")&amp;IF(AND($L331="Đã chuyển khoản",$M331=""),"Thiếu ngày nhận CK; ",""))</f>
        <v/>
      </c>
      <c r="T331" s="24" t="inlineStr"/>
    </row>
    <row r="332" ht="14.25" customHeight="1" s="40">
      <c r="A332" s="24" t="n">
        <v>331</v>
      </c>
      <c r="B332" s="29" t="inlineStr">
        <is>
          <t>08/10/2026</t>
        </is>
      </c>
      <c r="C332" s="28" t="inlineStr">
        <is>
          <t>0989807073</t>
        </is>
      </c>
      <c r="D332" s="22">
        <f>IF($C332="","",IFERROR(INDEX(DATA_MASTER!$C$2:$C$5000,MATCH($C332,DATA_MASTER!$D$2:$D$5000,0)),"Vũ Thị Hiền"))</f>
        <v/>
      </c>
      <c r="E332" s="22">
        <f>IF($C332="","",IFERROR(INDEX(DATA_MASTER!$I$2:$I$5000,MATCH($C332,DATA_MASTER!$D$2:$D$5000,0)),""))</f>
        <v/>
      </c>
      <c r="F332" s="22">
        <f>IF($C332="","",IFERROR(INDEX(DATA_MASTER!$L$2:$L$5000,MATCH($C332,DATA_MASTER!$D$2:$D$5000,0)),"ZM"))</f>
        <v/>
      </c>
      <c r="G332" s="24" t="inlineStr">
        <is>
          <t>Sữa Aptamil 380g</t>
        </is>
      </c>
      <c r="H332" s="24" t="n">
        <v>1</v>
      </c>
      <c r="I332" s="30" t="n">
        <v>320000</v>
      </c>
      <c r="J332" s="23">
        <f>IF(OR($H332="",$I332=""),"",$H332*$I332)</f>
        <v/>
      </c>
      <c r="K332" s="24" t="inlineStr">
        <is>
          <t>Chuyển khoản QR</t>
        </is>
      </c>
      <c r="L332" s="24" t="inlineStr">
        <is>
          <t>Chờ chuyển khoản</t>
        </is>
      </c>
      <c r="M332" s="29" t="inlineStr">
        <is>
          <t>08/10/2026</t>
        </is>
      </c>
      <c r="N332" s="28" t="inlineStr">
        <is>
          <t>0989807073</t>
        </is>
      </c>
      <c r="O332" s="24" t="inlineStr">
        <is>
          <t>Vũ Thị Hiền</t>
        </is>
      </c>
      <c r="P332" s="24" t="inlineStr">
        <is>
          <t>Số 8 Ngách 27 Ngõ 509 Vũ Tông Phan, Khương Tình, Hà Nội</t>
        </is>
      </c>
      <c r="Q332" s="24" t="inlineStr">
        <is>
          <t>Chờ giao</t>
        </is>
      </c>
      <c r="R332" s="24" t="inlineStr">
        <is>
          <t>Sữa 3 Tốt</t>
        </is>
      </c>
      <c r="S332" s="22">
        <f>IF(AND($A332="",$C332=""),"",IF($A332="","Thiếu mã đơn; ","")&amp;IF(COUNTIF($A$2:$A332,$A332)&gt;1,"Trùng mã đơn; ","")&amp;IF(COUNTIF($C$2:$C332,$C332)&gt;1,"Trùng SĐT; ","")&amp;IF(ISNA(MATCH($C332,DATA_MASTER!$D$2:$D$5000,0)),"SĐT chưa đăng ký hội viên; ","")&amp;IF(AND($L332="Đã chuyển khoản",$M332=""),"Thiếu ngày nhận CK; ",""))</f>
        <v/>
      </c>
      <c r="T332" s="24" t="inlineStr"/>
    </row>
    <row r="333" ht="14.25" customHeight="1" s="40">
      <c r="A333" s="24" t="n">
        <v>332</v>
      </c>
      <c r="B333" s="29" t="inlineStr">
        <is>
          <t>08/10/2026</t>
        </is>
      </c>
      <c r="C333" s="28" t="inlineStr">
        <is>
          <t>0397901890</t>
        </is>
      </c>
      <c r="D333" s="22">
        <f>IF($C333="","",IFERROR(INDEX(DATA_MASTER!$C$2:$C$5000,MATCH($C333,DATA_MASTER!$D$2:$D$5000,0)),"Vũ Hồng"))</f>
        <v/>
      </c>
      <c r="E333" s="22">
        <f>IF($C333="","",IFERROR(INDEX(DATA_MASTER!$I$2:$I$5000,MATCH($C333,DATA_MASTER!$D$2:$D$5000,0)),""))</f>
        <v/>
      </c>
      <c r="F333" s="22">
        <f>IF($C333="","",IFERROR(INDEX(DATA_MASTER!$L$2:$L$5000,MATCH($C333,DATA_MASTER!$D$2:$D$5000,0)),"ZM"))</f>
        <v/>
      </c>
      <c r="G333" s="24" t="inlineStr">
        <is>
          <t>Sữa Aptamil 380g</t>
        </is>
      </c>
      <c r="H333" s="24" t="n">
        <v>1</v>
      </c>
      <c r="I333" s="30" t="n">
        <v>320000</v>
      </c>
      <c r="J333" s="23">
        <f>IF(OR($H333="",$I333=""),"",$H333*$I333)</f>
        <v/>
      </c>
      <c r="K333" s="24" t="inlineStr">
        <is>
          <t>Chuyển khoản QR</t>
        </is>
      </c>
      <c r="L333" s="24" t="inlineStr">
        <is>
          <t>Chờ chuyển khoản</t>
        </is>
      </c>
      <c r="M333" s="29" t="inlineStr">
        <is>
          <t>08/10/2026</t>
        </is>
      </c>
      <c r="N333" s="28" t="inlineStr">
        <is>
          <t>0397901890</t>
        </is>
      </c>
      <c r="O333" s="24" t="inlineStr">
        <is>
          <t>Vũ Hồng</t>
        </is>
      </c>
      <c r="P333" s="24" t="inlineStr">
        <is>
          <t>207 Phó Cơ Điều, phường Minh Phụng, HCM</t>
        </is>
      </c>
      <c r="Q333" s="24" t="inlineStr">
        <is>
          <t>Chờ giao</t>
        </is>
      </c>
      <c r="R333" s="24" t="inlineStr">
        <is>
          <t>Long Châu</t>
        </is>
      </c>
      <c r="S333" s="22">
        <f>IF(AND($A333="",$C333=""),"",IF($A333="","Thiếu mã đơn; ","")&amp;IF(COUNTIF($A$2:$A333,$A333)&gt;1,"Trùng mã đơn; ","")&amp;IF(COUNTIF($C$2:$C333,$C333)&gt;1,"Trùng SĐT; ","")&amp;IF(ISNA(MATCH($C333,DATA_MASTER!$D$2:$D$5000,0)),"SĐT chưa đăng ký hội viên; ","")&amp;IF(AND($L333="Đã chuyển khoản",$M333=""),"Thiếu ngày nhận CK; ",""))</f>
        <v/>
      </c>
      <c r="T333" s="24" t="inlineStr"/>
    </row>
    <row r="334" ht="14.25" customHeight="1" s="40">
      <c r="A334" s="24" t="n">
        <v>333</v>
      </c>
      <c r="B334" s="29" t="inlineStr">
        <is>
          <t>08/10/2026</t>
        </is>
      </c>
      <c r="C334" s="28" t="inlineStr">
        <is>
          <t>0937706686</t>
        </is>
      </c>
      <c r="D334" s="22">
        <f>IF($C334="","",IFERROR(INDEX(DATA_MASTER!$C$2:$C$5000,MATCH($C334,DATA_MASTER!$D$2:$D$5000,0)),"Nguyễn Hải Yến"))</f>
        <v/>
      </c>
      <c r="E334" s="22">
        <f>IF($C334="","",IFERROR(INDEX(DATA_MASTER!$I$2:$I$5000,MATCH($C334,DATA_MASTER!$D$2:$D$5000,0)),""))</f>
        <v/>
      </c>
      <c r="F334" s="22">
        <f>IF($C334="","",IFERROR(INDEX(DATA_MASTER!$L$2:$L$5000,MATCH($C334,DATA_MASTER!$D$2:$D$5000,0)),"ZM"))</f>
        <v/>
      </c>
      <c r="G334" s="24" t="inlineStr">
        <is>
          <t>Sữa Aptamil 380g</t>
        </is>
      </c>
      <c r="H334" s="24" t="n">
        <v>1</v>
      </c>
      <c r="I334" s="30" t="n">
        <v>320000</v>
      </c>
      <c r="J334" s="23">
        <f>IF(OR($H334="",$I334=""),"",$H334*$I334)</f>
        <v/>
      </c>
      <c r="K334" s="24" t="inlineStr">
        <is>
          <t>Chuyển khoản QR</t>
        </is>
      </c>
      <c r="L334" s="24" t="inlineStr">
        <is>
          <t>Chờ chuyển khoản</t>
        </is>
      </c>
      <c r="M334" s="29" t="inlineStr">
        <is>
          <t>08/10/2026</t>
        </is>
      </c>
      <c r="N334" s="28" t="inlineStr">
        <is>
          <t>0937706686</t>
        </is>
      </c>
      <c r="O334" s="24" t="inlineStr">
        <is>
          <t>Nguyễn Hải Yến</t>
        </is>
      </c>
      <c r="P334" s="24" t="inlineStr">
        <is>
          <t>214/168 Nguyễn Trãi, phường Cầu Ông Lãnh, Hồ Chí Minh, HCM</t>
        </is>
      </c>
      <c r="Q334" s="24" t="inlineStr">
        <is>
          <t>Chờ giao</t>
        </is>
      </c>
      <c r="R334" s="24" t="inlineStr">
        <is>
          <t>Long Châu</t>
        </is>
      </c>
      <c r="S334" s="22">
        <f>IF(AND($A334="",$C334=""),"",IF($A334="","Thiếu mã đơn; ","")&amp;IF(COUNTIF($A$2:$A334,$A334)&gt;1,"Trùng mã đơn; ","")&amp;IF(COUNTIF($C$2:$C334,$C334)&gt;1,"Trùng SĐT; ","")&amp;IF(ISNA(MATCH($C334,DATA_MASTER!$D$2:$D$5000,0)),"SĐT chưa đăng ký hội viên; ","")&amp;IF(AND($L334="Đã chuyển khoản",$M334=""),"Thiếu ngày nhận CK; ",""))</f>
        <v/>
      </c>
      <c r="T334" s="24" t="inlineStr"/>
    </row>
    <row r="335" ht="14.25" customHeight="1" s="40">
      <c r="A335" s="24" t="n">
        <v>334</v>
      </c>
      <c r="B335" s="29" t="inlineStr">
        <is>
          <t>08/10/2026</t>
        </is>
      </c>
      <c r="C335" s="28" t="inlineStr">
        <is>
          <t>0359058018</t>
        </is>
      </c>
      <c r="D335" s="22">
        <f>IF($C335="","",IFERROR(INDEX(DATA_MASTER!$C$2:$C$5000,MATCH($C335,DATA_MASTER!$D$2:$D$5000,0)),"Thu Hà"))</f>
        <v/>
      </c>
      <c r="E335" s="22">
        <f>IF($C335="","",IFERROR(INDEX(DATA_MASTER!$I$2:$I$5000,MATCH($C335,DATA_MASTER!$D$2:$D$5000,0)),""))</f>
        <v/>
      </c>
      <c r="F335" s="22">
        <f>IF($C335="","",IFERROR(INDEX(DATA_MASTER!$L$2:$L$5000,MATCH($C335,DATA_MASTER!$D$2:$D$5000,0)),"ZM"))</f>
        <v/>
      </c>
      <c r="G335" s="24" t="inlineStr">
        <is>
          <t>Sữa Aptamil 380g</t>
        </is>
      </c>
      <c r="H335" s="24" t="n">
        <v>1</v>
      </c>
      <c r="I335" s="30" t="n">
        <v>320000</v>
      </c>
      <c r="J335" s="23">
        <f>IF(OR($H335="",$I335=""),"",$H335*$I335)</f>
        <v/>
      </c>
      <c r="K335" s="24" t="inlineStr">
        <is>
          <t>Chuyển khoản QR</t>
        </is>
      </c>
      <c r="L335" s="24" t="inlineStr">
        <is>
          <t>Chờ chuyển khoản</t>
        </is>
      </c>
      <c r="M335" s="29" t="inlineStr">
        <is>
          <t>08/10/2026</t>
        </is>
      </c>
      <c r="N335" s="28" t="inlineStr">
        <is>
          <t>0359058018</t>
        </is>
      </c>
      <c r="O335" s="24" t="inlineStr">
        <is>
          <t>Thu Hà</t>
        </is>
      </c>
      <c r="P335" s="24" t="inlineStr">
        <is>
          <t>271 ấp phú sơn Xã bình minh trảng bom đồng nai, Đồng Nai</t>
        </is>
      </c>
      <c r="Q335" s="24" t="inlineStr">
        <is>
          <t>Chờ giao</t>
        </is>
      </c>
      <c r="R335" s="24" t="inlineStr">
        <is>
          <t>Long Châu</t>
        </is>
      </c>
      <c r="S335" s="22">
        <f>IF(AND($A335="",$C335=""),"",IF($A335="","Thiếu mã đơn; ","")&amp;IF(COUNTIF($A$2:$A335,$A335)&gt;1,"Trùng mã đơn; ","")&amp;IF(COUNTIF($C$2:$C335,$C335)&gt;1,"Trùng SĐT; ","")&amp;IF(ISNA(MATCH($C335,DATA_MASTER!$D$2:$D$5000,0)),"SĐT chưa đăng ký hội viên; ","")&amp;IF(AND($L335="Đã chuyển khoản",$M335=""),"Thiếu ngày nhận CK; ",""))</f>
        <v/>
      </c>
      <c r="T335" s="24" t="inlineStr"/>
    </row>
    <row r="336" ht="14.25" customHeight="1" s="40">
      <c r="A336" s="24" t="n">
        <v>335</v>
      </c>
      <c r="B336" s="29" t="inlineStr">
        <is>
          <t>08/10/2026</t>
        </is>
      </c>
      <c r="C336" s="28" t="inlineStr">
        <is>
          <t>0942733988</t>
        </is>
      </c>
      <c r="D336" s="22">
        <f>IF($C336="","",IFERROR(INDEX(DATA_MASTER!$C$2:$C$5000,MATCH($C336,DATA_MASTER!$D$2:$D$5000,0)),"Lê Phương Ân"))</f>
        <v/>
      </c>
      <c r="E336" s="22">
        <f>IF($C336="","",IFERROR(INDEX(DATA_MASTER!$I$2:$I$5000,MATCH($C336,DATA_MASTER!$D$2:$D$5000,0)),""))</f>
        <v/>
      </c>
      <c r="F336" s="22">
        <f>IF($C336="","",IFERROR(INDEX(DATA_MASTER!$L$2:$L$5000,MATCH($C336,DATA_MASTER!$D$2:$D$5000,0)),"ZM"))</f>
        <v/>
      </c>
      <c r="G336" s="24" t="inlineStr">
        <is>
          <t>Sữa Aptamil 380g</t>
        </is>
      </c>
      <c r="H336" s="24" t="n">
        <v>1</v>
      </c>
      <c r="I336" s="30" t="n">
        <v>320000</v>
      </c>
      <c r="J336" s="23">
        <f>IF(OR($H336="",$I336=""),"",$H336*$I336)</f>
        <v/>
      </c>
      <c r="K336" s="24" t="inlineStr">
        <is>
          <t>Chuyển khoản QR</t>
        </is>
      </c>
      <c r="L336" s="24" t="inlineStr">
        <is>
          <t>Chờ chuyển khoản</t>
        </is>
      </c>
      <c r="M336" s="29" t="inlineStr">
        <is>
          <t>08/10/2026</t>
        </is>
      </c>
      <c r="N336" s="28" t="inlineStr">
        <is>
          <t>0942733988</t>
        </is>
      </c>
      <c r="O336" s="24" t="inlineStr">
        <is>
          <t>Lê Phương Ân</t>
        </is>
      </c>
      <c r="P336" s="24" t="inlineStr">
        <is>
          <t>73/3 đường số 5, kp34, phường tam bình, Đồng Nai</t>
        </is>
      </c>
      <c r="Q336" s="24" t="inlineStr">
        <is>
          <t>Chờ giao</t>
        </is>
      </c>
      <c r="R336" s="24" t="inlineStr">
        <is>
          <t>Long Châu</t>
        </is>
      </c>
      <c r="S336" s="22">
        <f>IF(AND($A336="",$C336=""),"",IF($A336="","Thiếu mã đơn; ","")&amp;IF(COUNTIF($A$2:$A336,$A336)&gt;1,"Trùng mã đơn; ","")&amp;IF(COUNTIF($C$2:$C336,$C336)&gt;1,"Trùng SĐT; ","")&amp;IF(ISNA(MATCH($C336,DATA_MASTER!$D$2:$D$5000,0)),"SĐT chưa đăng ký hội viên; ","")&amp;IF(AND($L336="Đã chuyển khoản",$M336=""),"Thiếu ngày nhận CK; ",""))</f>
        <v/>
      </c>
      <c r="T336" s="24" t="inlineStr"/>
    </row>
    <row r="337" ht="14.25" customHeight="1" s="40">
      <c r="A337" s="24" t="n">
        <v>336</v>
      </c>
      <c r="B337" s="29" t="inlineStr">
        <is>
          <t>08/10/2026</t>
        </is>
      </c>
      <c r="C337" s="28" t="inlineStr">
        <is>
          <t>0388416189</t>
        </is>
      </c>
      <c r="D337" s="22">
        <f>IF($C337="","",IFERROR(INDEX(DATA_MASTER!$C$2:$C$5000,MATCH($C337,DATA_MASTER!$D$2:$D$5000,0)),"Thuý Phương"))</f>
        <v/>
      </c>
      <c r="E337" s="22">
        <f>IF($C337="","",IFERROR(INDEX(DATA_MASTER!$I$2:$I$5000,MATCH($C337,DATA_MASTER!$D$2:$D$5000,0)),""))</f>
        <v/>
      </c>
      <c r="F337" s="22">
        <f>IF($C337="","",IFERROR(INDEX(DATA_MASTER!$L$2:$L$5000,MATCH($C337,DATA_MASTER!$D$2:$D$5000,0)),"ZM"))</f>
        <v/>
      </c>
      <c r="G337" s="24" t="inlineStr">
        <is>
          <t>Sữa Aptamil 380g</t>
        </is>
      </c>
      <c r="H337" s="24" t="n">
        <v>1</v>
      </c>
      <c r="I337" s="30" t="n">
        <v>320000</v>
      </c>
      <c r="J337" s="23">
        <f>IF(OR($H337="",$I337=""),"",$H337*$I337)</f>
        <v/>
      </c>
      <c r="K337" s="24" t="inlineStr">
        <is>
          <t>Chuyển khoản QR</t>
        </is>
      </c>
      <c r="L337" s="24" t="inlineStr">
        <is>
          <t>Chờ chuyển khoản</t>
        </is>
      </c>
      <c r="M337" s="29" t="inlineStr">
        <is>
          <t>08/10/2026</t>
        </is>
      </c>
      <c r="N337" s="28" t="inlineStr">
        <is>
          <t>0388416189</t>
        </is>
      </c>
      <c r="O337" s="24" t="inlineStr">
        <is>
          <t>Thuý Phương</t>
        </is>
      </c>
      <c r="P337" s="24" t="inlineStr">
        <is>
          <t>20/11B2 đường 160. Phường tăng nhơn phú. Tp thủ đức., HCM</t>
        </is>
      </c>
      <c r="Q337" s="24" t="inlineStr">
        <is>
          <t>Chờ giao</t>
        </is>
      </c>
      <c r="R337" s="24" t="inlineStr">
        <is>
          <t>Long Châu</t>
        </is>
      </c>
      <c r="S337" s="22">
        <f>IF(AND($A337="",$C337=""),"",IF($A337="","Thiếu mã đơn; ","")&amp;IF(COUNTIF($A$2:$A337,$A337)&gt;1,"Trùng mã đơn; ","")&amp;IF(COUNTIF($C$2:$C337,$C337)&gt;1,"Trùng SĐT; ","")&amp;IF(ISNA(MATCH($C337,DATA_MASTER!$D$2:$D$5000,0)),"SĐT chưa đăng ký hội viên; ","")&amp;IF(AND($L337="Đã chuyển khoản",$M337=""),"Thiếu ngày nhận CK; ",""))</f>
        <v/>
      </c>
      <c r="T337" s="24" t="inlineStr"/>
    </row>
    <row r="338" ht="14.25" customHeight="1" s="40">
      <c r="A338" s="24" t="n">
        <v>337</v>
      </c>
      <c r="B338" s="29" t="inlineStr">
        <is>
          <t>08/10/2026</t>
        </is>
      </c>
      <c r="C338" s="28" t="inlineStr">
        <is>
          <t>0705534677</t>
        </is>
      </c>
      <c r="D338" s="22">
        <f>IF($C338="","",IFERROR(INDEX(DATA_MASTER!$C$2:$C$5000,MATCH($C338,DATA_MASTER!$D$2:$D$5000,0)),"Chị Phương"))</f>
        <v/>
      </c>
      <c r="E338" s="22">
        <f>IF($C338="","",IFERROR(INDEX(DATA_MASTER!$I$2:$I$5000,MATCH($C338,DATA_MASTER!$D$2:$D$5000,0)),""))</f>
        <v/>
      </c>
      <c r="F338" s="22">
        <f>IF($C338="","",IFERROR(INDEX(DATA_MASTER!$L$2:$L$5000,MATCH($C338,DATA_MASTER!$D$2:$D$5000,0)),"ZM"))</f>
        <v/>
      </c>
      <c r="G338" s="24" t="inlineStr">
        <is>
          <t>Sữa Aptamil 380g</t>
        </is>
      </c>
      <c r="H338" s="24" t="n">
        <v>1</v>
      </c>
      <c r="I338" s="30" t="n">
        <v>320000</v>
      </c>
      <c r="J338" s="23">
        <f>IF(OR($H338="",$I338=""),"",$H338*$I338)</f>
        <v/>
      </c>
      <c r="K338" s="24" t="inlineStr">
        <is>
          <t>Chuyển khoản QR</t>
        </is>
      </c>
      <c r="L338" s="24" t="inlineStr">
        <is>
          <t>Đã chuyển khoản</t>
        </is>
      </c>
      <c r="M338" s="29" t="inlineStr">
        <is>
          <t>08/10/2026</t>
        </is>
      </c>
      <c r="N338" s="28" t="inlineStr">
        <is>
          <t>0705534677</t>
        </is>
      </c>
      <c r="O338" s="24" t="inlineStr">
        <is>
          <t>Chị Phương</t>
        </is>
      </c>
      <c r="P338" s="24" t="inlineStr">
        <is>
          <t>255 Vũ Chí Thắng, An Biên, Hải Phòng</t>
        </is>
      </c>
      <c r="Q338" s="24" t="inlineStr">
        <is>
          <t>Chờ giao</t>
        </is>
      </c>
      <c r="R338" s="24" t="inlineStr">
        <is>
          <t>Cute Baby</t>
        </is>
      </c>
      <c r="S338" s="22">
        <f>IF(AND($A338="",$C338=""),"",IF($A338="","Thiếu mã đơn; ","")&amp;IF(COUNTIF($A$2:$A338,$A338)&gt;1,"Trùng mã đơn; ","")&amp;IF(COUNTIF($C$2:$C338,$C338)&gt;1,"Trùng SĐT; ","")&amp;IF(ISNA(MATCH($C338,DATA_MASTER!$D$2:$D$5000,0)),"SĐT chưa đăng ký hội viên; ","")&amp;IF(AND($L338="Đã chuyển khoản",$M338=""),"Thiếu ngày nhận CK; ",""))</f>
        <v/>
      </c>
      <c r="T338" s="24" t="inlineStr"/>
    </row>
    <row r="339" ht="14.25" customHeight="1" s="40">
      <c r="A339" s="24" t="n">
        <v>338</v>
      </c>
      <c r="B339" s="29" t="inlineStr">
        <is>
          <t>08/10/2026</t>
        </is>
      </c>
      <c r="C339" s="28" t="inlineStr">
        <is>
          <t>0588314581</t>
        </is>
      </c>
      <c r="D339" s="22">
        <f>IF($C339="","",IFERROR(INDEX(DATA_MASTER!$C$2:$C$5000,MATCH($C339,DATA_MASTER!$D$2:$D$5000,0)),"Trần Khánh Duyên"))</f>
        <v/>
      </c>
      <c r="E339" s="22">
        <f>IF($C339="","",IFERROR(INDEX(DATA_MASTER!$I$2:$I$5000,MATCH($C339,DATA_MASTER!$D$2:$D$5000,0)),""))</f>
        <v/>
      </c>
      <c r="F339" s="22">
        <f>IF($C339="","",IFERROR(INDEX(DATA_MASTER!$L$2:$L$5000,MATCH($C339,DATA_MASTER!$D$2:$D$5000,0)),"ZM"))</f>
        <v/>
      </c>
      <c r="G339" s="24" t="inlineStr">
        <is>
          <t>Sữa Aptamil 380g</t>
        </is>
      </c>
      <c r="H339" s="24" t="n">
        <v>1</v>
      </c>
      <c r="I339" s="30" t="n">
        <v>320000</v>
      </c>
      <c r="J339" s="23">
        <f>IF(OR($H339="",$I339=""),"",$H339*$I339)</f>
        <v/>
      </c>
      <c r="K339" s="24" t="inlineStr">
        <is>
          <t>Chuyển khoản QR</t>
        </is>
      </c>
      <c r="L339" s="24" t="inlineStr">
        <is>
          <t>Chờ chuyển khoản</t>
        </is>
      </c>
      <c r="M339" s="29" t="inlineStr">
        <is>
          <t>08/10/2026</t>
        </is>
      </c>
      <c r="N339" s="28" t="inlineStr">
        <is>
          <t>0588314581</t>
        </is>
      </c>
      <c r="O339" s="24" t="inlineStr">
        <is>
          <t>Trần Khánh Duyên</t>
        </is>
      </c>
      <c r="P339" s="24" t="inlineStr">
        <is>
          <t>12/14 TX16, P. Thới An , TPHCM</t>
        </is>
      </c>
      <c r="Q339" s="24" t="inlineStr">
        <is>
          <t>Chờ giao</t>
        </is>
      </c>
      <c r="R339" s="24" t="inlineStr">
        <is>
          <t>Voi Con</t>
        </is>
      </c>
      <c r="S339" s="22">
        <f>IF(AND($A339="",$C339=""),"",IF($A339="","Thiếu mã đơn; ","")&amp;IF(COUNTIF($A$2:$A339,$A339)&gt;1,"Trùng mã đơn; ","")&amp;IF(COUNTIF($C$2:$C339,$C339)&gt;1,"Trùng SĐT; ","")&amp;IF(ISNA(MATCH($C339,DATA_MASTER!$D$2:$D$5000,0)),"SĐT chưa đăng ký hội viên; ","")&amp;IF(AND($L339="Đã chuyển khoản",$M339=""),"Thiếu ngày nhận CK; ",""))</f>
        <v/>
      </c>
      <c r="T339" s="24" t="inlineStr"/>
    </row>
    <row r="340" ht="14.25" customHeight="1" s="40">
      <c r="A340" s="24" t="n">
        <v>339</v>
      </c>
      <c r="B340" s="29" t="inlineStr">
        <is>
          <t>08/10/2026</t>
        </is>
      </c>
      <c r="C340" s="28" t="inlineStr">
        <is>
          <t>0987098815</t>
        </is>
      </c>
      <c r="D340" s="22">
        <f>IF($C340="","",IFERROR(INDEX(DATA_MASTER!$C$2:$C$5000,MATCH($C340,DATA_MASTER!$D$2:$D$5000,0)),"Phạm Thị Thanh Hiền"))</f>
        <v/>
      </c>
      <c r="E340" s="22">
        <f>IF($C340="","",IFERROR(INDEX(DATA_MASTER!$I$2:$I$5000,MATCH($C340,DATA_MASTER!$D$2:$D$5000,0)),""))</f>
        <v/>
      </c>
      <c r="F340" s="22">
        <f>IF($C340="","",IFERROR(INDEX(DATA_MASTER!$L$2:$L$5000,MATCH($C340,DATA_MASTER!$D$2:$D$5000,0)),"ZM"))</f>
        <v/>
      </c>
      <c r="G340" s="24" t="inlineStr">
        <is>
          <t>Sữa Aptamil 380g</t>
        </is>
      </c>
      <c r="H340" s="24" t="n">
        <v>1</v>
      </c>
      <c r="I340" s="30" t="n">
        <v>320000</v>
      </c>
      <c r="J340" s="23">
        <f>IF(OR($H340="",$I340=""),"",$H340*$I340)</f>
        <v/>
      </c>
      <c r="K340" s="24" t="inlineStr">
        <is>
          <t>Chuyển khoản QR</t>
        </is>
      </c>
      <c r="L340" s="24" t="inlineStr">
        <is>
          <t>Chờ chuyển khoản</t>
        </is>
      </c>
      <c r="M340" s="29" t="inlineStr">
        <is>
          <t>08/10/2026</t>
        </is>
      </c>
      <c r="N340" s="28" t="inlineStr">
        <is>
          <t>0987098815</t>
        </is>
      </c>
      <c r="O340" s="24" t="inlineStr">
        <is>
          <t>Phạm Thị Thanh Hiền</t>
        </is>
      </c>
      <c r="P340" s="24" t="inlineStr">
        <is>
          <t>27/3 tổ 3 khu phố khánh hội, đường tân phước khánh 10. Tân Uyên, Bình Dương</t>
        </is>
      </c>
      <c r="Q340" s="24" t="inlineStr">
        <is>
          <t>Chờ giao</t>
        </is>
      </c>
      <c r="R340" s="24" t="inlineStr">
        <is>
          <t>Long Châu</t>
        </is>
      </c>
      <c r="S340" s="22">
        <f>IF(AND($A340="",$C340=""),"",IF($A340="","Thiếu mã đơn; ","")&amp;IF(COUNTIF($A$2:$A340,$A340)&gt;1,"Trùng mã đơn; ","")&amp;IF(COUNTIF($C$2:$C340,$C340)&gt;1,"Trùng SĐT; ","")&amp;IF(ISNA(MATCH($C340,DATA_MASTER!$D$2:$D$5000,0)),"SĐT chưa đăng ký hội viên; ","")&amp;IF(AND($L340="Đã chuyển khoản",$M340=""),"Thiếu ngày nhận CK; ",""))</f>
        <v/>
      </c>
      <c r="T340" s="24" t="inlineStr"/>
    </row>
    <row r="341" ht="14.25" customHeight="1" s="40">
      <c r="A341" s="24" t="n">
        <v>340</v>
      </c>
      <c r="B341" s="29" t="inlineStr">
        <is>
          <t>08/10/2026</t>
        </is>
      </c>
      <c r="C341" s="28" t="inlineStr">
        <is>
          <t>0707778579</t>
        </is>
      </c>
      <c r="D341" s="22">
        <f>IF($C341="","",IFERROR(INDEX(DATA_MASTER!$C$2:$C$5000,MATCH($C341,DATA_MASTER!$D$2:$D$5000,0)),"Diễm Hương"))</f>
        <v/>
      </c>
      <c r="E341" s="22">
        <f>IF($C341="","",IFERROR(INDEX(DATA_MASTER!$I$2:$I$5000,MATCH($C341,DATA_MASTER!$D$2:$D$5000,0)),""))</f>
        <v/>
      </c>
      <c r="F341" s="22">
        <f>IF($C341="","",IFERROR(INDEX(DATA_MASTER!$L$2:$L$5000,MATCH($C341,DATA_MASTER!$D$2:$D$5000,0)),"ZM"))</f>
        <v/>
      </c>
      <c r="G341" s="24" t="inlineStr">
        <is>
          <t>Sữa Aptamil 380g</t>
        </is>
      </c>
      <c r="H341" s="24" t="n">
        <v>1</v>
      </c>
      <c r="I341" s="30" t="n">
        <v>320000</v>
      </c>
      <c r="J341" s="23">
        <f>IF(OR($H341="",$I341=""),"",$H341*$I341)</f>
        <v/>
      </c>
      <c r="K341" s="24" t="inlineStr">
        <is>
          <t>Chuyển khoản QR</t>
        </is>
      </c>
      <c r="L341" s="24" t="inlineStr">
        <is>
          <t>Chờ chuyển khoản</t>
        </is>
      </c>
      <c r="M341" s="29" t="inlineStr">
        <is>
          <t>08/10/2026</t>
        </is>
      </c>
      <c r="N341" s="28" t="inlineStr">
        <is>
          <t>0707778579</t>
        </is>
      </c>
      <c r="O341" s="24" t="inlineStr">
        <is>
          <t>Diễm Hương</t>
        </is>
      </c>
      <c r="P341" s="24" t="inlineStr">
        <is>
          <t>338 hai bà trưng, p tân định, q1, HCM</t>
        </is>
      </c>
      <c r="Q341" s="24" t="inlineStr">
        <is>
          <t>Chờ giao</t>
        </is>
      </c>
      <c r="R341" s="24" t="inlineStr">
        <is>
          <t>Voi Con</t>
        </is>
      </c>
      <c r="S341" s="22">
        <f>IF(AND($A341="",$C341=""),"",IF($A341="","Thiếu mã đơn; ","")&amp;IF(COUNTIF($A$2:$A341,$A341)&gt;1,"Trùng mã đơn; ","")&amp;IF(COUNTIF($C$2:$C341,$C341)&gt;1,"Trùng SĐT; ","")&amp;IF(ISNA(MATCH($C341,DATA_MASTER!$D$2:$D$5000,0)),"SĐT chưa đăng ký hội viên; ","")&amp;IF(AND($L341="Đã chuyển khoản",$M341=""),"Thiếu ngày nhận CK; ",""))</f>
        <v/>
      </c>
      <c r="T341" s="24" t="inlineStr"/>
    </row>
    <row r="342" ht="14.25" customHeight="1" s="40">
      <c r="A342" s="24" t="n">
        <v>341</v>
      </c>
      <c r="B342" s="29" t="inlineStr">
        <is>
          <t>08/10/2026</t>
        </is>
      </c>
      <c r="C342" s="28" t="inlineStr">
        <is>
          <t>0908230387</t>
        </is>
      </c>
      <c r="D342" s="22">
        <f>IF($C342="","",IFERROR(INDEX(DATA_MASTER!$C$2:$C$5000,MATCH($C342,DATA_MASTER!$D$2:$D$5000,0)),"Nguyễn Huyền"))</f>
        <v/>
      </c>
      <c r="E342" s="22">
        <f>IF($C342="","",IFERROR(INDEX(DATA_MASTER!$I$2:$I$5000,MATCH($C342,DATA_MASTER!$D$2:$D$5000,0)),""))</f>
        <v/>
      </c>
      <c r="F342" s="22">
        <f>IF($C342="","",IFERROR(INDEX(DATA_MASTER!$L$2:$L$5000,MATCH($C342,DATA_MASTER!$D$2:$D$5000,0)),"ZM"))</f>
        <v/>
      </c>
      <c r="G342" s="24" t="inlineStr">
        <is>
          <t>Sữa Aptamil 380g</t>
        </is>
      </c>
      <c r="H342" s="24" t="n">
        <v>1</v>
      </c>
      <c r="I342" s="30" t="n">
        <v>320000</v>
      </c>
      <c r="J342" s="23">
        <f>IF(OR($H342="",$I342=""),"",$H342*$I342)</f>
        <v/>
      </c>
      <c r="K342" s="24" t="inlineStr">
        <is>
          <t>Chuyển khoản QR</t>
        </is>
      </c>
      <c r="L342" s="24" t="inlineStr">
        <is>
          <t>Chờ chuyển khoản</t>
        </is>
      </c>
      <c r="M342" s="29" t="inlineStr">
        <is>
          <t>08/10/2026</t>
        </is>
      </c>
      <c r="N342" s="28" t="inlineStr">
        <is>
          <t>0908230387</t>
        </is>
      </c>
      <c r="O342" s="24" t="inlineStr">
        <is>
          <t>Nguyễn Huyền</t>
        </is>
      </c>
      <c r="P342" s="24" t="inlineStr">
        <is>
          <t>Cao ốc Screc Lô C 974 Trường Sa Phường Nhiêu Lộc, HCM</t>
        </is>
      </c>
      <c r="Q342" s="24" t="inlineStr">
        <is>
          <t>Chờ giao</t>
        </is>
      </c>
      <c r="R342" s="24" t="inlineStr">
        <is>
          <t>Voi Con</t>
        </is>
      </c>
      <c r="S342" s="22">
        <f>IF(AND($A342="",$C342=""),"",IF($A342="","Thiếu mã đơn; ","")&amp;IF(COUNTIF($A$2:$A342,$A342)&gt;1,"Trùng mã đơn; ","")&amp;IF(COUNTIF($C$2:$C342,$C342)&gt;1,"Trùng SĐT; ","")&amp;IF(ISNA(MATCH($C342,DATA_MASTER!$D$2:$D$5000,0)),"SĐT chưa đăng ký hội viên; ","")&amp;IF(AND($L342="Đã chuyển khoản",$M342=""),"Thiếu ngày nhận CK; ",""))</f>
        <v/>
      </c>
      <c r="T342" s="24" t="inlineStr"/>
    </row>
    <row r="343" ht="14.25" customHeight="1" s="40">
      <c r="A343" s="24" t="n">
        <v>342</v>
      </c>
      <c r="B343" s="29" t="inlineStr">
        <is>
          <t>08/10/2026</t>
        </is>
      </c>
      <c r="C343" s="28" t="inlineStr">
        <is>
          <t>0972330328</t>
        </is>
      </c>
      <c r="D343" s="22">
        <f>IF($C343="","",IFERROR(INDEX(DATA_MASTER!$C$2:$C$5000,MATCH($C343,DATA_MASTER!$D$2:$D$5000,0)),"Nguyễn Thị Trúc Hương"))</f>
        <v/>
      </c>
      <c r="E343" s="22">
        <f>IF($C343="","",IFERROR(INDEX(DATA_MASTER!$I$2:$I$5000,MATCH($C343,DATA_MASTER!$D$2:$D$5000,0)),""))</f>
        <v/>
      </c>
      <c r="F343" s="22">
        <f>IF($C343="","",IFERROR(INDEX(DATA_MASTER!$L$2:$L$5000,MATCH($C343,DATA_MASTER!$D$2:$D$5000,0)),"ZM"))</f>
        <v/>
      </c>
      <c r="G343" s="24" t="inlineStr">
        <is>
          <t>Sữa Aptamil 380g</t>
        </is>
      </c>
      <c r="H343" s="24" t="n">
        <v>1</v>
      </c>
      <c r="I343" s="30" t="n">
        <v>320000</v>
      </c>
      <c r="J343" s="23">
        <f>IF(OR($H343="",$I343=""),"",$H343*$I343)</f>
        <v/>
      </c>
      <c r="K343" s="24" t="inlineStr">
        <is>
          <t>Chuyển khoản QR</t>
        </is>
      </c>
      <c r="L343" s="24" t="inlineStr">
        <is>
          <t>Đã chuyển khoản</t>
        </is>
      </c>
      <c r="M343" s="29" t="inlineStr">
        <is>
          <t>08/10/2026</t>
        </is>
      </c>
      <c r="N343" s="28" t="inlineStr">
        <is>
          <t>0972330328</t>
        </is>
      </c>
      <c r="O343" s="24" t="inlineStr">
        <is>
          <t>Nguyễn Thị Trúc Hương</t>
        </is>
      </c>
      <c r="P343" s="24" t="inlineStr">
        <is>
          <t>156/5/7 Tô Hiến Thành, P. 15, Q.10, TP.HCM</t>
        </is>
      </c>
      <c r="Q343" s="24" t="inlineStr">
        <is>
          <t>Chờ giao</t>
        </is>
      </c>
      <c r="R343" s="24" t="inlineStr">
        <is>
          <t>Voi Con</t>
        </is>
      </c>
      <c r="S343" s="22">
        <f>IF(AND($A343="",$C343=""),"",IF($A343="","Thiếu mã đơn; ","")&amp;IF(COUNTIF($A$2:$A343,$A343)&gt;1,"Trùng mã đơn; ","")&amp;IF(COUNTIF($C$2:$C343,$C343)&gt;1,"Trùng SĐT; ","")&amp;IF(ISNA(MATCH($C343,DATA_MASTER!$D$2:$D$5000,0)),"SĐT chưa đăng ký hội viên; ","")&amp;IF(AND($L343="Đã chuyển khoản",$M343=""),"Thiếu ngày nhận CK; ",""))</f>
        <v/>
      </c>
      <c r="T343" s="24" t="inlineStr"/>
    </row>
    <row r="344" ht="14.25" customHeight="1" s="40">
      <c r="A344" s="24" t="n">
        <v>343</v>
      </c>
      <c r="B344" s="29" t="inlineStr">
        <is>
          <t>08/10/2026</t>
        </is>
      </c>
      <c r="C344" s="28" t="inlineStr">
        <is>
          <t>0934104063</t>
        </is>
      </c>
      <c r="D344" s="22">
        <f>IF($C344="","",IFERROR(INDEX(DATA_MASTER!$C$2:$C$5000,MATCH($C344,DATA_MASTER!$D$2:$D$5000,0)),"Võ Thị Thuý Triều"))</f>
        <v/>
      </c>
      <c r="E344" s="22">
        <f>IF($C344="","",IFERROR(INDEX(DATA_MASTER!$I$2:$I$5000,MATCH($C344,DATA_MASTER!$D$2:$D$5000,0)),""))</f>
        <v/>
      </c>
      <c r="F344" s="22">
        <f>IF($C344="","",IFERROR(INDEX(DATA_MASTER!$L$2:$L$5000,MATCH($C344,DATA_MASTER!$D$2:$D$5000,0)),"ZM"))</f>
        <v/>
      </c>
      <c r="G344" s="24" t="inlineStr">
        <is>
          <t>Sữa Aptamil 380g</t>
        </is>
      </c>
      <c r="H344" s="24" t="n">
        <v>1</v>
      </c>
      <c r="I344" s="30" t="n">
        <v>320000</v>
      </c>
      <c r="J344" s="23">
        <f>IF(OR($H344="",$I344=""),"",$H344*$I344)</f>
        <v/>
      </c>
      <c r="K344" s="24" t="inlineStr">
        <is>
          <t>Chuyển khoản QR</t>
        </is>
      </c>
      <c r="L344" s="24" t="inlineStr">
        <is>
          <t>Đã chuyển khoản</t>
        </is>
      </c>
      <c r="M344" s="29" t="inlineStr">
        <is>
          <t>08/10/2026</t>
        </is>
      </c>
      <c r="N344" s="28" t="inlineStr">
        <is>
          <t>0934104063</t>
        </is>
      </c>
      <c r="O344" s="24" t="inlineStr">
        <is>
          <t>Võ Thị Thuý Triều</t>
        </is>
      </c>
      <c r="P344" s="24" t="inlineStr">
        <is>
          <t>1115 Phan Văn Trị, phường 10, quận Gò Vấp, tpHCM</t>
        </is>
      </c>
      <c r="Q344" s="24" t="inlineStr">
        <is>
          <t>Chờ giao</t>
        </is>
      </c>
      <c r="R344" s="24" t="inlineStr">
        <is>
          <t>Voi Con</t>
        </is>
      </c>
      <c r="S344" s="22">
        <f>IF(AND($A344="",$C344=""),"",IF($A344="","Thiếu mã đơn; ","")&amp;IF(COUNTIF($A$2:$A344,$A344)&gt;1,"Trùng mã đơn; ","")&amp;IF(COUNTIF($C$2:$C344,$C344)&gt;1,"Trùng SĐT; ","")&amp;IF(ISNA(MATCH($C344,DATA_MASTER!$D$2:$D$5000,0)),"SĐT chưa đăng ký hội viên; ","")&amp;IF(AND($L344="Đã chuyển khoản",$M344=""),"Thiếu ngày nhận CK; ",""))</f>
        <v/>
      </c>
      <c r="T344" s="24" t="inlineStr"/>
    </row>
    <row r="345" ht="14.25" customHeight="1" s="40">
      <c r="A345" s="24" t="n">
        <v>344</v>
      </c>
      <c r="B345" s="29" t="inlineStr">
        <is>
          <t>08/10/2026</t>
        </is>
      </c>
      <c r="C345" s="28" t="inlineStr">
        <is>
          <t>0902491429</t>
        </is>
      </c>
      <c r="D345" s="22">
        <f>IF($C345="","",IFERROR(INDEX(DATA_MASTER!$C$2:$C$5000,MATCH($C345,DATA_MASTER!$D$2:$D$5000,0)),"Bích Trâm"))</f>
        <v/>
      </c>
      <c r="E345" s="22">
        <f>IF($C345="","",IFERROR(INDEX(DATA_MASTER!$I$2:$I$5000,MATCH($C345,DATA_MASTER!$D$2:$D$5000,0)),""))</f>
        <v/>
      </c>
      <c r="F345" s="22">
        <f>IF($C345="","",IFERROR(INDEX(DATA_MASTER!$L$2:$L$5000,MATCH($C345,DATA_MASTER!$D$2:$D$5000,0)),"ZM"))</f>
        <v/>
      </c>
      <c r="G345" s="24" t="inlineStr">
        <is>
          <t>Sữa Aptamil 380g</t>
        </is>
      </c>
      <c r="H345" s="24" t="n">
        <v>1</v>
      </c>
      <c r="I345" s="30" t="n">
        <v>320000</v>
      </c>
      <c r="J345" s="23">
        <f>IF(OR($H345="",$I345=""),"",$H345*$I345)</f>
        <v/>
      </c>
      <c r="K345" s="24" t="inlineStr">
        <is>
          <t>Chuyển khoản QR</t>
        </is>
      </c>
      <c r="L345" s="24" t="inlineStr">
        <is>
          <t>Chờ chuyển khoản</t>
        </is>
      </c>
      <c r="M345" s="29" t="inlineStr">
        <is>
          <t>08/10/2026</t>
        </is>
      </c>
      <c r="N345" s="28" t="inlineStr">
        <is>
          <t>0902491429</t>
        </is>
      </c>
      <c r="O345" s="24" t="inlineStr">
        <is>
          <t>Bích Trâm</t>
        </is>
      </c>
      <c r="P345" s="24" t="inlineStr">
        <is>
          <t>106/46 đình nghi xuân phường bình trị đông quận bình tân, HCM</t>
        </is>
      </c>
      <c r="Q345" s="24" t="inlineStr">
        <is>
          <t>Chờ giao</t>
        </is>
      </c>
      <c r="R345" s="24" t="inlineStr">
        <is>
          <t>Voi Con</t>
        </is>
      </c>
      <c r="S345" s="22">
        <f>IF(AND($A345="",$C345=""),"",IF($A345="","Thiếu mã đơn; ","")&amp;IF(COUNTIF($A$2:$A345,$A345)&gt;1,"Trùng mã đơn; ","")&amp;IF(COUNTIF($C$2:$C345,$C345)&gt;1,"Trùng SĐT; ","")&amp;IF(ISNA(MATCH($C345,DATA_MASTER!$D$2:$D$5000,0)),"SĐT chưa đăng ký hội viên; ","")&amp;IF(AND($L345="Đã chuyển khoản",$M345=""),"Thiếu ngày nhận CK; ",""))</f>
        <v/>
      </c>
      <c r="T345" s="24" t="inlineStr"/>
    </row>
    <row r="346" ht="14.25" customHeight="1" s="40">
      <c r="A346" s="24" t="n">
        <v>345</v>
      </c>
      <c r="B346" s="29" t="inlineStr">
        <is>
          <t>08/10/2026</t>
        </is>
      </c>
      <c r="C346" s="28" t="inlineStr">
        <is>
          <t>0986394029</t>
        </is>
      </c>
      <c r="D346" s="22">
        <f>IF($C346="","",IFERROR(INDEX(DATA_MASTER!$C$2:$C$5000,MATCH($C346,DATA_MASTER!$D$2:$D$5000,0)),"Nguyễn thị Thanh xoan"))</f>
        <v/>
      </c>
      <c r="E346" s="22">
        <f>IF($C346="","",IFERROR(INDEX(DATA_MASTER!$I$2:$I$5000,MATCH($C346,DATA_MASTER!$D$2:$D$5000,0)),""))</f>
        <v/>
      </c>
      <c r="F346" s="22">
        <f>IF($C346="","",IFERROR(INDEX(DATA_MASTER!$L$2:$L$5000,MATCH($C346,DATA_MASTER!$D$2:$D$5000,0)),"ZM"))</f>
        <v/>
      </c>
      <c r="G346" s="24" t="inlineStr">
        <is>
          <t>Sữa Aptamil 380g</t>
        </is>
      </c>
      <c r="H346" s="24" t="n">
        <v>1</v>
      </c>
      <c r="I346" s="30" t="n">
        <v>320000</v>
      </c>
      <c r="J346" s="23">
        <f>IF(OR($H346="",$I346=""),"",$H346*$I346)</f>
        <v/>
      </c>
      <c r="K346" s="24" t="inlineStr">
        <is>
          <t>Chuyển khoản QR</t>
        </is>
      </c>
      <c r="L346" s="24" t="inlineStr">
        <is>
          <t>Đã chuyển khoản</t>
        </is>
      </c>
      <c r="M346" s="29" t="inlineStr">
        <is>
          <t>08/10/2026</t>
        </is>
      </c>
      <c r="N346" s="28" t="inlineStr">
        <is>
          <t>0986394029</t>
        </is>
      </c>
      <c r="O346" s="24" t="inlineStr">
        <is>
          <t>Nguyễn thị Thanh xoan</t>
        </is>
      </c>
      <c r="P346" s="24" t="inlineStr">
        <is>
          <t>153/31/2k lê văn thọ,p8 gò vấp,hcm, HCM</t>
        </is>
      </c>
      <c r="Q346" s="24" t="inlineStr">
        <is>
          <t>Chờ giao</t>
        </is>
      </c>
      <c r="R346" s="24" t="inlineStr">
        <is>
          <t>Voi Con</t>
        </is>
      </c>
      <c r="S346" s="22">
        <f>IF(AND($A346="",$C346=""),"",IF($A346="","Thiếu mã đơn; ","")&amp;IF(COUNTIF($A$2:$A346,$A346)&gt;1,"Trùng mã đơn; ","")&amp;IF(COUNTIF($C$2:$C346,$C346)&gt;1,"Trùng SĐT; ","")&amp;IF(ISNA(MATCH($C346,DATA_MASTER!$D$2:$D$5000,0)),"SĐT chưa đăng ký hội viên; ","")&amp;IF(AND($L346="Đã chuyển khoản",$M346=""),"Thiếu ngày nhận CK; ",""))</f>
        <v/>
      </c>
      <c r="T346" s="24" t="inlineStr"/>
    </row>
    <row r="347" ht="14.25" customHeight="1" s="40">
      <c r="A347" s="24" t="n">
        <v>346</v>
      </c>
      <c r="B347" s="29" t="inlineStr">
        <is>
          <t>08/10/2026</t>
        </is>
      </c>
      <c r="C347" s="28" t="inlineStr">
        <is>
          <t>0867444821</t>
        </is>
      </c>
      <c r="D347" s="22">
        <f>IF($C347="","",IFERROR(INDEX(DATA_MASTER!$C$2:$C$5000,MATCH($C347,DATA_MASTER!$D$2:$D$5000,0)),"Nguyễn Minh Huyền"))</f>
        <v/>
      </c>
      <c r="E347" s="22">
        <f>IF($C347="","",IFERROR(INDEX(DATA_MASTER!$I$2:$I$5000,MATCH($C347,DATA_MASTER!$D$2:$D$5000,0)),""))</f>
        <v/>
      </c>
      <c r="F347" s="22">
        <f>IF($C347="","",IFERROR(INDEX(DATA_MASTER!$L$2:$L$5000,MATCH($C347,DATA_MASTER!$D$2:$D$5000,0)),"ZM"))</f>
        <v/>
      </c>
      <c r="G347" s="24" t="inlineStr">
        <is>
          <t>Sữa Aptamil 380g</t>
        </is>
      </c>
      <c r="H347" s="24" t="n">
        <v>1</v>
      </c>
      <c r="I347" s="30" t="n">
        <v>320000</v>
      </c>
      <c r="J347" s="23">
        <f>IF(OR($H347="",$I347=""),"",$H347*$I347)</f>
        <v/>
      </c>
      <c r="K347" s="24" t="inlineStr">
        <is>
          <t>Chuyển khoản QR</t>
        </is>
      </c>
      <c r="L347" s="24" t="inlineStr">
        <is>
          <t>Đã chuyển khoản</t>
        </is>
      </c>
      <c r="M347" s="29" t="inlineStr">
        <is>
          <t>08/10/2026</t>
        </is>
      </c>
      <c r="N347" s="28" t="inlineStr">
        <is>
          <t>0867444821</t>
        </is>
      </c>
      <c r="O347" s="24" t="inlineStr">
        <is>
          <t>Nguyễn Minh Huyền</t>
        </is>
      </c>
      <c r="P347" s="24" t="inlineStr">
        <is>
          <t>70 Dân Lập- phường Lê chân- Hải phòng, Hải Phòng</t>
        </is>
      </c>
      <c r="Q347" s="24" t="inlineStr">
        <is>
          <t>Chờ giao</t>
        </is>
      </c>
      <c r="R347" s="24" t="inlineStr">
        <is>
          <t>Cute Baby</t>
        </is>
      </c>
      <c r="S347" s="22">
        <f>IF(AND($A347="",$C347=""),"",IF($A347="","Thiếu mã đơn; ","")&amp;IF(COUNTIF($A$2:$A347,$A347)&gt;1,"Trùng mã đơn; ","")&amp;IF(COUNTIF($C$2:$C347,$C347)&gt;1,"Trùng SĐT; ","")&amp;IF(ISNA(MATCH($C347,DATA_MASTER!$D$2:$D$5000,0)),"SĐT chưa đăng ký hội viên; ","")&amp;IF(AND($L347="Đã chuyển khoản",$M347=""),"Thiếu ngày nhận CK; ",""))</f>
        <v/>
      </c>
      <c r="T347" s="24" t="inlineStr"/>
    </row>
    <row r="348" ht="14.25" customHeight="1" s="40">
      <c r="A348" s="24" t="n">
        <v>347</v>
      </c>
      <c r="B348" s="29" t="inlineStr">
        <is>
          <t>08/10/2026</t>
        </is>
      </c>
      <c r="C348" s="28" t="inlineStr">
        <is>
          <t>0395521612</t>
        </is>
      </c>
      <c r="D348" s="22">
        <f>IF($C348="","",IFERROR(INDEX(DATA_MASTER!$C$2:$C$5000,MATCH($C348,DATA_MASTER!$D$2:$D$5000,0)),"Tuyết Anh"))</f>
        <v/>
      </c>
      <c r="E348" s="22">
        <f>IF($C348="","",IFERROR(INDEX(DATA_MASTER!$I$2:$I$5000,MATCH($C348,DATA_MASTER!$D$2:$D$5000,0)),""))</f>
        <v/>
      </c>
      <c r="F348" s="22">
        <f>IF($C348="","",IFERROR(INDEX(DATA_MASTER!$L$2:$L$5000,MATCH($C348,DATA_MASTER!$D$2:$D$5000,0)),"ZM"))</f>
        <v/>
      </c>
      <c r="G348" s="24" t="inlineStr">
        <is>
          <t>Sữa Aptamil 380g</t>
        </is>
      </c>
      <c r="H348" s="24" t="n">
        <v>1</v>
      </c>
      <c r="I348" s="30" t="n">
        <v>320000</v>
      </c>
      <c r="J348" s="23">
        <f>IF(OR($H348="",$I348=""),"",$H348*$I348)</f>
        <v/>
      </c>
      <c r="K348" s="24" t="inlineStr">
        <is>
          <t>Chuyển khoản QR</t>
        </is>
      </c>
      <c r="L348" s="24" t="inlineStr">
        <is>
          <t>Đã chuyển khoản</t>
        </is>
      </c>
      <c r="M348" s="29" t="inlineStr">
        <is>
          <t>08/10/2026</t>
        </is>
      </c>
      <c r="N348" s="28" t="inlineStr">
        <is>
          <t>0395521612</t>
        </is>
      </c>
      <c r="O348" s="24" t="inlineStr">
        <is>
          <t>Tuyết Anh</t>
        </is>
      </c>
      <c r="P348" s="24" t="inlineStr">
        <is>
          <t>Tổ 13 phường Gia viên( ngô quyền) Hải Phòng</t>
        </is>
      </c>
      <c r="Q348" s="24" t="inlineStr">
        <is>
          <t>Chờ giao</t>
        </is>
      </c>
      <c r="R348" s="24" t="inlineStr">
        <is>
          <t>Cute Baby</t>
        </is>
      </c>
      <c r="S348" s="22">
        <f>IF(AND($A348="",$C348=""),"",IF($A348="","Thiếu mã đơn; ","")&amp;IF(COUNTIF($A$2:$A348,$A348)&gt;1,"Trùng mã đơn; ","")&amp;IF(COUNTIF($C$2:$C348,$C348)&gt;1,"Trùng SĐT; ","")&amp;IF(ISNA(MATCH($C348,DATA_MASTER!$D$2:$D$5000,0)),"SĐT chưa đăng ký hội viên; ","")&amp;IF(AND($L348="Đã chuyển khoản",$M348=""),"Thiếu ngày nhận CK; ",""))</f>
        <v/>
      </c>
      <c r="T348" s="24" t="inlineStr"/>
    </row>
    <row r="349" ht="14.25" customHeight="1" s="40">
      <c r="A349" s="24" t="n">
        <v>348</v>
      </c>
      <c r="B349" s="29" t="inlineStr">
        <is>
          <t>08/10/2026</t>
        </is>
      </c>
      <c r="C349" s="28" t="inlineStr">
        <is>
          <t>0329599530</t>
        </is>
      </c>
      <c r="D349" s="22">
        <f>IF($C349="","",IFERROR(INDEX(DATA_MASTER!$C$2:$C$5000,MATCH($C349,DATA_MASTER!$D$2:$D$5000,0)),"Đỗ Thu Huyền"))</f>
        <v/>
      </c>
      <c r="E349" s="22">
        <f>IF($C349="","",IFERROR(INDEX(DATA_MASTER!$I$2:$I$5000,MATCH($C349,DATA_MASTER!$D$2:$D$5000,0)),""))</f>
        <v/>
      </c>
      <c r="F349" s="22">
        <f>IF($C349="","",IFERROR(INDEX(DATA_MASTER!$L$2:$L$5000,MATCH($C349,DATA_MASTER!$D$2:$D$5000,0)),"ZM"))</f>
        <v/>
      </c>
      <c r="G349" s="24" t="inlineStr">
        <is>
          <t>Sữa Aptamil 380g</t>
        </is>
      </c>
      <c r="H349" s="24" t="n">
        <v>1</v>
      </c>
      <c r="I349" s="30" t="n">
        <v>320000</v>
      </c>
      <c r="J349" s="23">
        <f>IF(OR($H349="",$I349=""),"",$H349*$I349)</f>
        <v/>
      </c>
      <c r="K349" s="24" t="inlineStr">
        <is>
          <t>Chuyển khoản QR</t>
        </is>
      </c>
      <c r="L349" s="24" t="inlineStr">
        <is>
          <t>Đã chuyển khoản</t>
        </is>
      </c>
      <c r="M349" s="29" t="inlineStr">
        <is>
          <t>08/10/2026</t>
        </is>
      </c>
      <c r="N349" s="28" t="inlineStr">
        <is>
          <t>0329599530</t>
        </is>
      </c>
      <c r="O349" s="24" t="inlineStr">
        <is>
          <t>Đỗ Thu Huyền</t>
        </is>
      </c>
      <c r="P349" s="24" t="inlineStr">
        <is>
          <t>8/117 Hàng Kênh , Lê chân, Hải Phòng</t>
        </is>
      </c>
      <c r="Q349" s="24" t="inlineStr">
        <is>
          <t>Chờ giao</t>
        </is>
      </c>
      <c r="R349" s="24" t="inlineStr">
        <is>
          <t>Cute Baby</t>
        </is>
      </c>
      <c r="S349" s="22">
        <f>IF(AND($A349="",$C349=""),"",IF($A349="","Thiếu mã đơn; ","")&amp;IF(COUNTIF($A$2:$A349,$A349)&gt;1,"Trùng mã đơn; ","")&amp;IF(COUNTIF($C$2:$C349,$C349)&gt;1,"Trùng SĐT; ","")&amp;IF(ISNA(MATCH($C349,DATA_MASTER!$D$2:$D$5000,0)),"SĐT chưa đăng ký hội viên; ","")&amp;IF(AND($L349="Đã chuyển khoản",$M349=""),"Thiếu ngày nhận CK; ",""))</f>
        <v/>
      </c>
      <c r="T349" s="24" t="inlineStr"/>
    </row>
    <row r="350" ht="14.25" customHeight="1" s="40">
      <c r="A350" s="24" t="n">
        <v>349</v>
      </c>
      <c r="B350" s="29" t="inlineStr">
        <is>
          <t>08/10/2026</t>
        </is>
      </c>
      <c r="C350" s="28" t="inlineStr">
        <is>
          <t>0961060924</t>
        </is>
      </c>
      <c r="D350" s="22">
        <f>IF($C350="","",IFERROR(INDEX(DATA_MASTER!$C$2:$C$5000,MATCH($C350,DATA_MASTER!$D$2:$D$5000,0)),"Lại Thu Huyền"))</f>
        <v/>
      </c>
      <c r="E350" s="22">
        <f>IF($C350="","",IFERROR(INDEX(DATA_MASTER!$I$2:$I$5000,MATCH($C350,DATA_MASTER!$D$2:$D$5000,0)),""))</f>
        <v/>
      </c>
      <c r="F350" s="22">
        <f>IF($C350="","",IFERROR(INDEX(DATA_MASTER!$L$2:$L$5000,MATCH($C350,DATA_MASTER!$D$2:$D$5000,0)),"ZM"))</f>
        <v/>
      </c>
      <c r="G350" s="24" t="inlineStr">
        <is>
          <t>Sữa Aptamil 380g</t>
        </is>
      </c>
      <c r="H350" s="24" t="n">
        <v>1</v>
      </c>
      <c r="I350" s="30" t="n">
        <v>320000</v>
      </c>
      <c r="J350" s="23">
        <f>IF(OR($H350="",$I350=""),"",$H350*$I350)</f>
        <v/>
      </c>
      <c r="K350" s="24" t="inlineStr">
        <is>
          <t>Chuyển khoản QR</t>
        </is>
      </c>
      <c r="L350" s="24" t="inlineStr">
        <is>
          <t>Chờ chuyển khoản</t>
        </is>
      </c>
      <c r="M350" s="29" t="inlineStr">
        <is>
          <t>08/10/2026</t>
        </is>
      </c>
      <c r="N350" s="28" t="inlineStr">
        <is>
          <t>0961060924</t>
        </is>
      </c>
      <c r="O350" s="24" t="inlineStr">
        <is>
          <t>Lại Thu Huyền</t>
        </is>
      </c>
      <c r="P350" s="24" t="inlineStr">
        <is>
          <t>ngõ 10, phố Nguyễn Nhân Bỉ, phường Vũ Ninh, Bắc Ninh</t>
        </is>
      </c>
      <c r="Q350" s="24" t="inlineStr">
        <is>
          <t>Chờ giao</t>
        </is>
      </c>
      <c r="R350" s="24" t="inlineStr">
        <is>
          <t>Cute Baby</t>
        </is>
      </c>
      <c r="S350" s="22">
        <f>IF(AND($A350="",$C350=""),"",IF($A350="","Thiếu mã đơn; ","")&amp;IF(COUNTIF($A$2:$A350,$A350)&gt;1,"Trùng mã đơn; ","")&amp;IF(COUNTIF($C$2:$C350,$C350)&gt;1,"Trùng SĐT; ","")&amp;IF(ISNA(MATCH($C350,DATA_MASTER!$D$2:$D$5000,0)),"SĐT chưa đăng ký hội viên; ","")&amp;IF(AND($L350="Đã chuyển khoản",$M350=""),"Thiếu ngày nhận CK; ",""))</f>
        <v/>
      </c>
      <c r="T350" s="24" t="inlineStr"/>
    </row>
    <row r="351" ht="14.25" customHeight="1" s="40">
      <c r="A351" s="24" t="n">
        <v>350</v>
      </c>
      <c r="B351" s="29" t="inlineStr">
        <is>
          <t>08/10/2026</t>
        </is>
      </c>
      <c r="C351" s="28" t="inlineStr">
        <is>
          <t>0789288772</t>
        </is>
      </c>
      <c r="D351" s="22">
        <f>IF($C351="","",IFERROR(INDEX(DATA_MASTER!$C$2:$C$5000,MATCH($C351,DATA_MASTER!$D$2:$D$5000,0)),"Trần Ngọc Anh"))</f>
        <v/>
      </c>
      <c r="E351" s="22">
        <f>IF($C351="","",IFERROR(INDEX(DATA_MASTER!$I$2:$I$5000,MATCH($C351,DATA_MASTER!$D$2:$D$5000,0)),""))</f>
        <v/>
      </c>
      <c r="F351" s="22">
        <f>IF($C351="","",IFERROR(INDEX(DATA_MASTER!$L$2:$L$5000,MATCH($C351,DATA_MASTER!$D$2:$D$5000,0)),"ZM"))</f>
        <v/>
      </c>
      <c r="G351" s="24" t="inlineStr">
        <is>
          <t>Sữa Aptamil 380g</t>
        </is>
      </c>
      <c r="H351" s="24" t="n">
        <v>1</v>
      </c>
      <c r="I351" s="30" t="n">
        <v>320000</v>
      </c>
      <c r="J351" s="23">
        <f>IF(OR($H351="",$I351=""),"",$H351*$I351)</f>
        <v/>
      </c>
      <c r="K351" s="24" t="inlineStr">
        <is>
          <t>Chuyển khoản QR</t>
        </is>
      </c>
      <c r="L351" s="24" t="inlineStr">
        <is>
          <t>Đã chuyển khoản</t>
        </is>
      </c>
      <c r="M351" s="29" t="inlineStr">
        <is>
          <t>08/10/2026</t>
        </is>
      </c>
      <c r="N351" s="28" t="inlineStr">
        <is>
          <t>0789288772</t>
        </is>
      </c>
      <c r="O351" s="24" t="inlineStr">
        <is>
          <t>Trần Ngọc Anh</t>
        </is>
      </c>
      <c r="P351" s="24" t="inlineStr">
        <is>
          <t>Tòa HH2 Chung cư Hoàng Huy, đường Lạch Tray, phường Gia Viên, Hải Phòng</t>
        </is>
      </c>
      <c r="Q351" s="24" t="inlineStr">
        <is>
          <t>Chờ giao</t>
        </is>
      </c>
      <c r="R351" s="24" t="inlineStr">
        <is>
          <t>Cute Baby</t>
        </is>
      </c>
      <c r="S351" s="22">
        <f>IF(AND($A351="",$C351=""),"",IF($A351="","Thiếu mã đơn; ","")&amp;IF(COUNTIF($A$2:$A351,$A351)&gt;1,"Trùng mã đơn; ","")&amp;IF(COUNTIF($C$2:$C351,$C351)&gt;1,"Trùng SĐT; ","")&amp;IF(ISNA(MATCH($C351,DATA_MASTER!$D$2:$D$5000,0)),"SĐT chưa đăng ký hội viên; ","")&amp;IF(AND($L351="Đã chuyển khoản",$M351=""),"Thiếu ngày nhận CK; ",""))</f>
        <v/>
      </c>
      <c r="T351" s="24" t="inlineStr"/>
    </row>
    <row r="352" ht="14.25" customHeight="1" s="40">
      <c r="A352" s="24" t="n">
        <v>351</v>
      </c>
      <c r="B352" s="29" t="inlineStr">
        <is>
          <t>08/10/2026</t>
        </is>
      </c>
      <c r="C352" s="28" t="inlineStr">
        <is>
          <t>0354862626</t>
        </is>
      </c>
      <c r="D352" s="22">
        <f>IF($C352="","",IFERROR(INDEX(DATA_MASTER!$C$2:$C$5000,MATCH($C352,DATA_MASTER!$D$2:$D$5000,0)),"Lê Phượng"))</f>
        <v/>
      </c>
      <c r="E352" s="22">
        <f>IF($C352="","",IFERROR(INDEX(DATA_MASTER!$I$2:$I$5000,MATCH($C352,DATA_MASTER!$D$2:$D$5000,0)),""))</f>
        <v/>
      </c>
      <c r="F352" s="22">
        <f>IF($C352="","",IFERROR(INDEX(DATA_MASTER!$L$2:$L$5000,MATCH($C352,DATA_MASTER!$D$2:$D$5000,0)),"ZM"))</f>
        <v/>
      </c>
      <c r="G352" s="24" t="inlineStr">
        <is>
          <t>Sữa Aptamil 380g</t>
        </is>
      </c>
      <c r="H352" s="24" t="n">
        <v>1</v>
      </c>
      <c r="I352" s="30" t="n">
        <v>320000</v>
      </c>
      <c r="J352" s="23">
        <f>IF(OR($H352="",$I352=""),"",$H352*$I352)</f>
        <v/>
      </c>
      <c r="K352" s="24" t="inlineStr">
        <is>
          <t>Chuyển khoản QR</t>
        </is>
      </c>
      <c r="L352" s="24" t="inlineStr">
        <is>
          <t>Đã chuyển khoản</t>
        </is>
      </c>
      <c r="M352" s="29" t="inlineStr">
        <is>
          <t>08/10/2026</t>
        </is>
      </c>
      <c r="N352" s="28" t="inlineStr">
        <is>
          <t>0354862626</t>
        </is>
      </c>
      <c r="O352" s="24" t="inlineStr">
        <is>
          <t>Lê Phượng</t>
        </is>
      </c>
      <c r="P352" s="24" t="inlineStr">
        <is>
          <t>Chung cư 51- ngõ 61 Tư Thuỷ- Dương Kinh- Hải Phòng</t>
        </is>
      </c>
      <c r="Q352" s="24" t="inlineStr">
        <is>
          <t>Chờ giao</t>
        </is>
      </c>
      <c r="R352" s="24" t="inlineStr">
        <is>
          <t>Cute Baby</t>
        </is>
      </c>
      <c r="S352" s="22">
        <f>IF(AND($A352="",$C352=""),"",IF($A352="","Thiếu mã đơn; ","")&amp;IF(COUNTIF($A$2:$A352,$A352)&gt;1,"Trùng mã đơn; ","")&amp;IF(COUNTIF($C$2:$C352,$C352)&gt;1,"Trùng SĐT; ","")&amp;IF(ISNA(MATCH($C352,DATA_MASTER!$D$2:$D$5000,0)),"SĐT chưa đăng ký hội viên; ","")&amp;IF(AND($L352="Đã chuyển khoản",$M352=""),"Thiếu ngày nhận CK; ",""))</f>
        <v/>
      </c>
      <c r="T352" s="24" t="inlineStr"/>
    </row>
    <row r="353" ht="14.25" customHeight="1" s="40">
      <c r="A353" s="24" t="n">
        <v>352</v>
      </c>
      <c r="B353" s="29" t="inlineStr">
        <is>
          <t>08/10/2026</t>
        </is>
      </c>
      <c r="C353" s="28" t="inlineStr">
        <is>
          <t>0369730696</t>
        </is>
      </c>
      <c r="D353" s="22">
        <f>IF($C353="","",IFERROR(INDEX(DATA_MASTER!$C$2:$C$5000,MATCH($C353,DATA_MASTER!$D$2:$D$5000,0)),"Thanh Bình"))</f>
        <v/>
      </c>
      <c r="E353" s="22">
        <f>IF($C353="","",IFERROR(INDEX(DATA_MASTER!$I$2:$I$5000,MATCH($C353,DATA_MASTER!$D$2:$D$5000,0)),""))</f>
        <v/>
      </c>
      <c r="F353" s="22">
        <f>IF($C353="","",IFERROR(INDEX(DATA_MASTER!$L$2:$L$5000,MATCH($C353,DATA_MASTER!$D$2:$D$5000,0)),"ZM"))</f>
        <v/>
      </c>
      <c r="G353" s="24" t="inlineStr">
        <is>
          <t>Sữa Aptamil 380g</t>
        </is>
      </c>
      <c r="H353" s="24" t="n">
        <v>1</v>
      </c>
      <c r="I353" s="30" t="n">
        <v>320000</v>
      </c>
      <c r="J353" s="23">
        <f>IF(OR($H353="",$I353=""),"",$H353*$I353)</f>
        <v/>
      </c>
      <c r="K353" s="24" t="inlineStr">
        <is>
          <t>Chuyển khoản QR</t>
        </is>
      </c>
      <c r="L353" s="24" t="inlineStr">
        <is>
          <t>Đã chuyển khoản</t>
        </is>
      </c>
      <c r="M353" s="29" t="inlineStr">
        <is>
          <t>08/10/2026</t>
        </is>
      </c>
      <c r="N353" s="28" t="inlineStr">
        <is>
          <t>0369730696</t>
        </is>
      </c>
      <c r="O353" s="24" t="inlineStr">
        <is>
          <t>Thanh Bình</t>
        </is>
      </c>
      <c r="P353" s="24" t="inlineStr">
        <is>
          <t>Thôn chính nghị xã tiên minh huyện tiên lãng tp hải phòng ạ, Hải Phòng</t>
        </is>
      </c>
      <c r="Q353" s="24" t="inlineStr">
        <is>
          <t>Chờ giao</t>
        </is>
      </c>
      <c r="R353" s="24" t="inlineStr">
        <is>
          <t>Cute Baby</t>
        </is>
      </c>
      <c r="S353" s="22">
        <f>IF(AND($A353="",$C353=""),"",IF($A353="","Thiếu mã đơn; ","")&amp;IF(COUNTIF($A$2:$A353,$A353)&gt;1,"Trùng mã đơn; ","")&amp;IF(COUNTIF($C$2:$C353,$C353)&gt;1,"Trùng SĐT; ","")&amp;IF(ISNA(MATCH($C353,DATA_MASTER!$D$2:$D$5000,0)),"SĐT chưa đăng ký hội viên; ","")&amp;IF(AND($L353="Đã chuyển khoản",$M353=""),"Thiếu ngày nhận CK; ",""))</f>
        <v/>
      </c>
      <c r="T353" s="24" t="inlineStr"/>
    </row>
    <row r="354" ht="14.25" customHeight="1" s="40">
      <c r="A354" s="24" t="n">
        <v>353</v>
      </c>
      <c r="B354" s="29" t="inlineStr">
        <is>
          <t>08/10/2026</t>
        </is>
      </c>
      <c r="C354" s="28" t="inlineStr">
        <is>
          <t>0373557285</t>
        </is>
      </c>
      <c r="D354" s="22">
        <f>IF($C354="","",IFERROR(INDEX(DATA_MASTER!$C$2:$C$5000,MATCH($C354,DATA_MASTER!$D$2:$D$5000,0)),"Thanh Nhàn"))</f>
        <v/>
      </c>
      <c r="E354" s="22">
        <f>IF($C354="","",IFERROR(INDEX(DATA_MASTER!$I$2:$I$5000,MATCH($C354,DATA_MASTER!$D$2:$D$5000,0)),""))</f>
        <v/>
      </c>
      <c r="F354" s="22">
        <f>IF($C354="","",IFERROR(INDEX(DATA_MASTER!$L$2:$L$5000,MATCH($C354,DATA_MASTER!$D$2:$D$5000,0)),"ZM"))</f>
        <v/>
      </c>
      <c r="G354" s="24" t="inlineStr">
        <is>
          <t>Sữa Aptamil 380g</t>
        </is>
      </c>
      <c r="H354" s="24" t="n">
        <v>1</v>
      </c>
      <c r="I354" s="30" t="n">
        <v>320000</v>
      </c>
      <c r="J354" s="23">
        <f>IF(OR($H354="",$I354=""),"",$H354*$I354)</f>
        <v/>
      </c>
      <c r="K354" s="24" t="inlineStr">
        <is>
          <t>Chuyển khoản QR</t>
        </is>
      </c>
      <c r="L354" s="24" t="inlineStr">
        <is>
          <t>Đã chuyển khoản</t>
        </is>
      </c>
      <c r="M354" s="29" t="inlineStr">
        <is>
          <t>08/10/2026</t>
        </is>
      </c>
      <c r="N354" s="28" t="inlineStr">
        <is>
          <t>0373557285</t>
        </is>
      </c>
      <c r="O354" s="24" t="inlineStr">
        <is>
          <t>Thanh Nhàn</t>
        </is>
      </c>
      <c r="P354" s="24" t="inlineStr">
        <is>
          <t>Xóm Miếu- xã Đông Phương- huyện Kiến Thụy- TP. Hải Phòng</t>
        </is>
      </c>
      <c r="Q354" s="24" t="inlineStr">
        <is>
          <t>Chờ giao</t>
        </is>
      </c>
      <c r="R354" s="24" t="inlineStr">
        <is>
          <t>Cute Baby</t>
        </is>
      </c>
      <c r="S354" s="22">
        <f>IF(AND($A354="",$C354=""),"",IF($A354="","Thiếu mã đơn; ","")&amp;IF(COUNTIF($A$2:$A354,$A354)&gt;1,"Trùng mã đơn; ","")&amp;IF(COUNTIF($C$2:$C354,$C354)&gt;1,"Trùng SĐT; ","")&amp;IF(ISNA(MATCH($C354,DATA_MASTER!$D$2:$D$5000,0)),"SĐT chưa đăng ký hội viên; ","")&amp;IF(AND($L354="Đã chuyển khoản",$M354=""),"Thiếu ngày nhận CK; ",""))</f>
        <v/>
      </c>
      <c r="T354" s="24" t="inlineStr"/>
    </row>
    <row r="355" ht="14.25" customHeight="1" s="40">
      <c r="A355" s="24" t="n">
        <v>354</v>
      </c>
      <c r="B355" s="29" t="inlineStr">
        <is>
          <t>08/10/2026</t>
        </is>
      </c>
      <c r="C355" s="28" t="inlineStr">
        <is>
          <t>0382656122</t>
        </is>
      </c>
      <c r="D355" s="22">
        <f>IF($C355="","",IFERROR(INDEX(DATA_MASTER!$C$2:$C$5000,MATCH($C355,DATA_MASTER!$D$2:$D$5000,0)),"Nguyễn Thị Thanh Tâm"))</f>
        <v/>
      </c>
      <c r="E355" s="22">
        <f>IF($C355="","",IFERROR(INDEX(DATA_MASTER!$I$2:$I$5000,MATCH($C355,DATA_MASTER!$D$2:$D$5000,0)),""))</f>
        <v/>
      </c>
      <c r="F355" s="22">
        <f>IF($C355="","",IFERROR(INDEX(DATA_MASTER!$L$2:$L$5000,MATCH($C355,DATA_MASTER!$D$2:$D$5000,0)),"ZM"))</f>
        <v/>
      </c>
      <c r="G355" s="24" t="inlineStr">
        <is>
          <t>Sữa Aptamil 380g</t>
        </is>
      </c>
      <c r="H355" s="24" t="n">
        <v>1</v>
      </c>
      <c r="I355" s="30" t="n">
        <v>320000</v>
      </c>
      <c r="J355" s="23">
        <f>IF(OR($H355="",$I355=""),"",$H355*$I355)</f>
        <v/>
      </c>
      <c r="K355" s="24" t="inlineStr">
        <is>
          <t>Chuyển khoản QR</t>
        </is>
      </c>
      <c r="L355" s="24" t="inlineStr">
        <is>
          <t>Đã chuyển khoản</t>
        </is>
      </c>
      <c r="M355" s="29" t="inlineStr">
        <is>
          <t>08/10/2026</t>
        </is>
      </c>
      <c r="N355" s="28" t="inlineStr">
        <is>
          <t>0382656122</t>
        </is>
      </c>
      <c r="O355" s="24" t="inlineStr">
        <is>
          <t>Nguyễn Thị Thanh Tâm</t>
        </is>
      </c>
      <c r="P355" s="24" t="inlineStr">
        <is>
          <t>Nhà văn hóa Chùa Mới phường Lưu Kiếm Thành phố Hải Phòng</t>
        </is>
      </c>
      <c r="Q355" s="24" t="inlineStr">
        <is>
          <t>Chờ giao</t>
        </is>
      </c>
      <c r="R355" s="24" t="inlineStr">
        <is>
          <t>Cute Baby</t>
        </is>
      </c>
      <c r="S355" s="22">
        <f>IF(AND($A355="",$C355=""),"",IF($A355="","Thiếu mã đơn; ","")&amp;IF(COUNTIF($A$2:$A355,$A355)&gt;1,"Trùng mã đơn; ","")&amp;IF(COUNTIF($C$2:$C355,$C355)&gt;1,"Trùng SĐT; ","")&amp;IF(ISNA(MATCH($C355,DATA_MASTER!$D$2:$D$5000,0)),"SĐT chưa đăng ký hội viên; ","")&amp;IF(AND($L355="Đã chuyển khoản",$M355=""),"Thiếu ngày nhận CK; ",""))</f>
        <v/>
      </c>
      <c r="T355" s="24" t="inlineStr"/>
    </row>
    <row r="356" ht="14.25" customHeight="1" s="40">
      <c r="A356" s="24" t="n">
        <v>355</v>
      </c>
      <c r="B356" s="29" t="inlineStr">
        <is>
          <t>08/10/2026</t>
        </is>
      </c>
      <c r="C356" s="28" t="inlineStr">
        <is>
          <t>0398598836</t>
        </is>
      </c>
      <c r="D356" s="22">
        <f>IF($C356="","",IFERROR(INDEX(DATA_MASTER!$C$2:$C$5000,MATCH($C356,DATA_MASTER!$D$2:$D$5000,0)),"Nguyễn Ngọc"))</f>
        <v/>
      </c>
      <c r="E356" s="22">
        <f>IF($C356="","",IFERROR(INDEX(DATA_MASTER!$I$2:$I$5000,MATCH($C356,DATA_MASTER!$D$2:$D$5000,0)),""))</f>
        <v/>
      </c>
      <c r="F356" s="22">
        <f>IF($C356="","",IFERROR(INDEX(DATA_MASTER!$L$2:$L$5000,MATCH($C356,DATA_MASTER!$D$2:$D$5000,0)),"ZM"))</f>
        <v/>
      </c>
      <c r="G356" s="24" t="inlineStr">
        <is>
          <t>Sữa Aptamil 380g</t>
        </is>
      </c>
      <c r="H356" s="24" t="n">
        <v>1</v>
      </c>
      <c r="I356" s="30" t="n">
        <v>320000</v>
      </c>
      <c r="J356" s="23">
        <f>IF(OR($H356="",$I356=""),"",$H356*$I356)</f>
        <v/>
      </c>
      <c r="K356" s="24" t="inlineStr">
        <is>
          <t>Chuyển khoản QR</t>
        </is>
      </c>
      <c r="L356" s="24" t="inlineStr">
        <is>
          <t>Đã chuyển khoản</t>
        </is>
      </c>
      <c r="M356" s="29" t="inlineStr">
        <is>
          <t>08/10/2026</t>
        </is>
      </c>
      <c r="N356" s="28" t="inlineStr">
        <is>
          <t>0398598836</t>
        </is>
      </c>
      <c r="O356" s="24" t="inlineStr">
        <is>
          <t>Nguyễn Ngọc</t>
        </is>
      </c>
      <c r="P356" s="24" t="inlineStr">
        <is>
          <t>Xóm 8 thôn Hội Yên xã Chi Lăng Nam Hải Phòng</t>
        </is>
      </c>
      <c r="Q356" s="24" t="inlineStr">
        <is>
          <t>Chờ giao</t>
        </is>
      </c>
      <c r="R356" s="24" t="inlineStr">
        <is>
          <t>Cute Baby</t>
        </is>
      </c>
      <c r="S356" s="22">
        <f>IF(AND($A356="",$C356=""),"",IF($A356="","Thiếu mã đơn; ","")&amp;IF(COUNTIF($A$2:$A356,$A356)&gt;1,"Trùng mã đơn; ","")&amp;IF(COUNTIF($C$2:$C356,$C356)&gt;1,"Trùng SĐT; ","")&amp;IF(ISNA(MATCH($C356,DATA_MASTER!$D$2:$D$5000,0)),"SĐT chưa đăng ký hội viên; ","")&amp;IF(AND($L356="Đã chuyển khoản",$M356=""),"Thiếu ngày nhận CK; ",""))</f>
        <v/>
      </c>
      <c r="T356" s="24" t="inlineStr"/>
    </row>
    <row r="357" ht="14.25" customHeight="1" s="40">
      <c r="A357" s="24" t="n">
        <v>356</v>
      </c>
      <c r="B357" s="29" t="inlineStr">
        <is>
          <t>08/10/2026</t>
        </is>
      </c>
      <c r="C357" s="28" t="inlineStr">
        <is>
          <t>0359562656</t>
        </is>
      </c>
      <c r="D357" s="22">
        <f>IF($C357="","",IFERROR(INDEX(DATA_MASTER!$C$2:$C$5000,MATCH($C357,DATA_MASTER!$D$2:$D$5000,0)),"Nguyễn Thị Việt Anh"))</f>
        <v/>
      </c>
      <c r="E357" s="22">
        <f>IF($C357="","",IFERROR(INDEX(DATA_MASTER!$I$2:$I$5000,MATCH($C357,DATA_MASTER!$D$2:$D$5000,0)),""))</f>
        <v/>
      </c>
      <c r="F357" s="22">
        <f>IF($C357="","",IFERROR(INDEX(DATA_MASTER!$L$2:$L$5000,MATCH($C357,DATA_MASTER!$D$2:$D$5000,0)),"ZM"))</f>
        <v/>
      </c>
      <c r="G357" s="24" t="inlineStr">
        <is>
          <t>Sữa Aptamil 380g</t>
        </is>
      </c>
      <c r="H357" s="24" t="n">
        <v>1</v>
      </c>
      <c r="I357" s="30" t="n">
        <v>320000</v>
      </c>
      <c r="J357" s="23">
        <f>IF(OR($H357="",$I357=""),"",$H357*$I357)</f>
        <v/>
      </c>
      <c r="K357" s="24" t="inlineStr">
        <is>
          <t>Chuyển khoản QR</t>
        </is>
      </c>
      <c r="L357" s="24" t="inlineStr">
        <is>
          <t>Đã chuyển khoản</t>
        </is>
      </c>
      <c r="M357" s="29" t="inlineStr">
        <is>
          <t>08/10/2026</t>
        </is>
      </c>
      <c r="N357" s="28" t="inlineStr">
        <is>
          <t>0359562656</t>
        </is>
      </c>
      <c r="O357" s="24" t="inlineStr">
        <is>
          <t>Nguyễn Thị Việt Anh</t>
        </is>
      </c>
      <c r="P357" s="24" t="inlineStr">
        <is>
          <t>Xóm 6 Xuân Áng - xã Hà Nam - TP.Hải Phòng</t>
        </is>
      </c>
      <c r="Q357" s="24" t="inlineStr">
        <is>
          <t>Chờ giao</t>
        </is>
      </c>
      <c r="R357" s="24" t="inlineStr">
        <is>
          <t>Cute Baby</t>
        </is>
      </c>
      <c r="S357" s="22">
        <f>IF(AND($A357="",$C357=""),"",IF($A357="","Thiếu mã đơn; ","")&amp;IF(COUNTIF($A$2:$A357,$A357)&gt;1,"Trùng mã đơn; ","")&amp;IF(COUNTIF($C$2:$C357,$C357)&gt;1,"Trùng SĐT; ","")&amp;IF(ISNA(MATCH($C357,DATA_MASTER!$D$2:$D$5000,0)),"SĐT chưa đăng ký hội viên; ","")&amp;IF(AND($L357="Đã chuyển khoản",$M357=""),"Thiếu ngày nhận CK; ",""))</f>
        <v/>
      </c>
      <c r="T357" s="24" t="inlineStr"/>
    </row>
    <row r="358" ht="14.25" customHeight="1" s="40">
      <c r="A358" s="24" t="n">
        <v>357</v>
      </c>
      <c r="B358" s="29" t="inlineStr">
        <is>
          <t>08/10/2026</t>
        </is>
      </c>
      <c r="C358" s="28" t="inlineStr">
        <is>
          <t>0325717895</t>
        </is>
      </c>
      <c r="D358" s="22">
        <f>IF($C358="","",IFERROR(INDEX(DATA_MASTER!$C$2:$C$5000,MATCH($C358,DATA_MASTER!$D$2:$D$5000,0)),"Đỗ Thị Thu Huyên"))</f>
        <v/>
      </c>
      <c r="E358" s="22">
        <f>IF($C358="","",IFERROR(INDEX(DATA_MASTER!$I$2:$I$5000,MATCH($C358,DATA_MASTER!$D$2:$D$5000,0)),""))</f>
        <v/>
      </c>
      <c r="F358" s="22">
        <f>IF($C358="","",IFERROR(INDEX(DATA_MASTER!$L$2:$L$5000,MATCH($C358,DATA_MASTER!$D$2:$D$5000,0)),"ZM"))</f>
        <v/>
      </c>
      <c r="G358" s="24" t="inlineStr">
        <is>
          <t>Sữa Aptamil 380g</t>
        </is>
      </c>
      <c r="H358" s="24" t="n">
        <v>1</v>
      </c>
      <c r="I358" s="30" t="n">
        <v>320000</v>
      </c>
      <c r="J358" s="23">
        <f>IF(OR($H358="",$I358=""),"",$H358*$I358)</f>
        <v/>
      </c>
      <c r="K358" s="24" t="inlineStr">
        <is>
          <t>Chuyển khoản QR</t>
        </is>
      </c>
      <c r="L358" s="24" t="inlineStr">
        <is>
          <t>Đã chuyển khoản</t>
        </is>
      </c>
      <c r="M358" s="29" t="inlineStr">
        <is>
          <t>08/10/2026</t>
        </is>
      </c>
      <c r="N358" s="28" t="inlineStr">
        <is>
          <t>0325717895</t>
        </is>
      </c>
      <c r="O358" s="24" t="inlineStr">
        <is>
          <t>Đỗ Thị Thu Huyên</t>
        </is>
      </c>
      <c r="P358" s="24" t="inlineStr">
        <is>
          <t>37/4/170 Phạm Hữu Điều, An Biên, Hải Phòng</t>
        </is>
      </c>
      <c r="Q358" s="24" t="inlineStr">
        <is>
          <t>Chờ giao</t>
        </is>
      </c>
      <c r="R358" s="24" t="inlineStr">
        <is>
          <t>Cute Baby</t>
        </is>
      </c>
      <c r="S358" s="22">
        <f>IF(AND($A358="",$C358=""),"",IF($A358="","Thiếu mã đơn; ","")&amp;IF(COUNTIF($A$2:$A358,$A358)&gt;1,"Trùng mã đơn; ","")&amp;IF(COUNTIF($C$2:$C358,$C358)&gt;1,"Trùng SĐT; ","")&amp;IF(ISNA(MATCH($C358,DATA_MASTER!$D$2:$D$5000,0)),"SĐT chưa đăng ký hội viên; ","")&amp;IF(AND($L358="Đã chuyển khoản",$M358=""),"Thiếu ngày nhận CK; ",""))</f>
        <v/>
      </c>
      <c r="T358" s="24" t="inlineStr"/>
    </row>
    <row r="359" ht="14.25" customHeight="1" s="40">
      <c r="A359" s="24" t="n">
        <v>358</v>
      </c>
      <c r="B359" s="29" t="inlineStr">
        <is>
          <t>08/10/2026</t>
        </is>
      </c>
      <c r="C359" s="28" t="inlineStr">
        <is>
          <t>0706120703</t>
        </is>
      </c>
      <c r="D359" s="22">
        <f>IF($C359="","",IFERROR(INDEX(DATA_MASTER!$C$2:$C$5000,MATCH($C359,DATA_MASTER!$D$2:$D$5000,0)),"Trần Hương Ngọc"))</f>
        <v/>
      </c>
      <c r="E359" s="22">
        <f>IF($C359="","",IFERROR(INDEX(DATA_MASTER!$I$2:$I$5000,MATCH($C359,DATA_MASTER!$D$2:$D$5000,0)),""))</f>
        <v/>
      </c>
      <c r="F359" s="22">
        <f>IF($C359="","",IFERROR(INDEX(DATA_MASTER!$L$2:$L$5000,MATCH($C359,DATA_MASTER!$D$2:$D$5000,0)),"ZM"))</f>
        <v/>
      </c>
      <c r="G359" s="24" t="inlineStr">
        <is>
          <t>Sữa Aptamil 380g</t>
        </is>
      </c>
      <c r="H359" s="24" t="n">
        <v>1</v>
      </c>
      <c r="I359" s="30" t="n">
        <v>320000</v>
      </c>
      <c r="J359" s="23">
        <f>IF(OR($H359="",$I359=""),"",$H359*$I359)</f>
        <v/>
      </c>
      <c r="K359" s="24" t="inlineStr">
        <is>
          <t>Chuyển khoản QR</t>
        </is>
      </c>
      <c r="L359" s="24" t="inlineStr">
        <is>
          <t>Đã chuyển khoản</t>
        </is>
      </c>
      <c r="M359" s="29" t="inlineStr">
        <is>
          <t>08/10/2026</t>
        </is>
      </c>
      <c r="N359" s="28" t="inlineStr">
        <is>
          <t>0706120703</t>
        </is>
      </c>
      <c r="O359" s="24" t="inlineStr">
        <is>
          <t>Trần Hương Ngọc</t>
        </is>
      </c>
      <c r="P359" s="24" t="inlineStr">
        <is>
          <t>43/89 Trần Văn Lan, Cát Bi, Hải An- Hải Phòng</t>
        </is>
      </c>
      <c r="Q359" s="24" t="inlineStr">
        <is>
          <t>Chờ giao</t>
        </is>
      </c>
      <c r="R359" s="24" t="inlineStr">
        <is>
          <t>Cute Baby</t>
        </is>
      </c>
      <c r="S359" s="22">
        <f>IF(AND($A359="",$C359=""),"",IF($A359="","Thiếu mã đơn; ","")&amp;IF(COUNTIF($A$2:$A359,$A359)&gt;1,"Trùng mã đơn; ","")&amp;IF(COUNTIF($C$2:$C359,$C359)&gt;1,"Trùng SĐT; ","")&amp;IF(ISNA(MATCH($C359,DATA_MASTER!$D$2:$D$5000,0)),"SĐT chưa đăng ký hội viên; ","")&amp;IF(AND($L359="Đã chuyển khoản",$M359=""),"Thiếu ngày nhận CK; ",""))</f>
        <v/>
      </c>
      <c r="T359" s="24" t="inlineStr"/>
    </row>
    <row r="360" ht="14.25" customHeight="1" s="40">
      <c r="A360" s="24" t="n">
        <v>359</v>
      </c>
      <c r="B360" s="29" t="inlineStr">
        <is>
          <t>08/10/2026</t>
        </is>
      </c>
      <c r="C360" s="28" t="inlineStr">
        <is>
          <t>0964580523</t>
        </is>
      </c>
      <c r="D360" s="22">
        <f>IF($C360="","",IFERROR(INDEX(DATA_MASTER!$C$2:$C$5000,MATCH($C360,DATA_MASTER!$D$2:$D$5000,0)),"Định Thị Hạnh"))</f>
        <v/>
      </c>
      <c r="E360" s="22">
        <f>IF($C360="","",IFERROR(INDEX(DATA_MASTER!$I$2:$I$5000,MATCH($C360,DATA_MASTER!$D$2:$D$5000,0)),""))</f>
        <v/>
      </c>
      <c r="F360" s="22">
        <f>IF($C360="","",IFERROR(INDEX(DATA_MASTER!$L$2:$L$5000,MATCH($C360,DATA_MASTER!$D$2:$D$5000,0)),"ZM"))</f>
        <v/>
      </c>
      <c r="G360" s="24" t="inlineStr">
        <is>
          <t>Sữa Aptamil 380g</t>
        </is>
      </c>
      <c r="H360" s="24" t="n">
        <v>1</v>
      </c>
      <c r="I360" s="30" t="n">
        <v>320000</v>
      </c>
      <c r="J360" s="23">
        <f>IF(OR($H360="",$I360=""),"",$H360*$I360)</f>
        <v/>
      </c>
      <c r="K360" s="24" t="inlineStr">
        <is>
          <t>Chuyển khoản QR</t>
        </is>
      </c>
      <c r="L360" s="24" t="inlineStr">
        <is>
          <t>Đã chuyển khoản</t>
        </is>
      </c>
      <c r="M360" s="29" t="inlineStr">
        <is>
          <t>08/10/2026</t>
        </is>
      </c>
      <c r="N360" s="28" t="inlineStr">
        <is>
          <t>0964580523</t>
        </is>
      </c>
      <c r="O360" s="24" t="inlineStr">
        <is>
          <t>Định Thị Hạnh</t>
        </is>
      </c>
      <c r="P360" s="24" t="inlineStr">
        <is>
          <t>CT1.1405 Tòa nhà CT1, Dự án The Minato Residence, số 6 đường số 1 Khu đô thị ven sông Lạch Tray, phường Lê Chân, Hải Phòng</t>
        </is>
      </c>
      <c r="Q360" s="24" t="inlineStr">
        <is>
          <t>Chờ giao</t>
        </is>
      </c>
      <c r="R360" s="24" t="inlineStr">
        <is>
          <t>Cute Baby</t>
        </is>
      </c>
      <c r="S360" s="22">
        <f>IF(AND($A360="",$C360=""),"",IF($A360="","Thiếu mã đơn; ","")&amp;IF(COUNTIF($A$2:$A360,$A360)&gt;1,"Trùng mã đơn; ","")&amp;IF(COUNTIF($C$2:$C360,$C360)&gt;1,"Trùng SĐT; ","")&amp;IF(ISNA(MATCH($C360,DATA_MASTER!$D$2:$D$5000,0)),"SĐT chưa đăng ký hội viên; ","")&amp;IF(AND($L360="Đã chuyển khoản",$M360=""),"Thiếu ngày nhận CK; ",""))</f>
        <v/>
      </c>
      <c r="T360" s="24" t="inlineStr"/>
    </row>
    <row r="361" ht="14.25" customHeight="1" s="40">
      <c r="A361" s="24" t="n">
        <v>360</v>
      </c>
      <c r="B361" s="29" t="inlineStr">
        <is>
          <t>08/10/2026</t>
        </is>
      </c>
      <c r="C361" s="28" t="inlineStr">
        <is>
          <t>0364104304</t>
        </is>
      </c>
      <c r="D361" s="22">
        <f>IF($C361="","",IFERROR(INDEX(DATA_MASTER!$C$2:$C$5000,MATCH($C361,DATA_MASTER!$D$2:$D$5000,0)),"Đàm Hoài Thu"))</f>
        <v/>
      </c>
      <c r="E361" s="22">
        <f>IF($C361="","",IFERROR(INDEX(DATA_MASTER!$I$2:$I$5000,MATCH($C361,DATA_MASTER!$D$2:$D$5000,0)),""))</f>
        <v/>
      </c>
      <c r="F361" s="22">
        <f>IF($C361="","",IFERROR(INDEX(DATA_MASTER!$L$2:$L$5000,MATCH($C361,DATA_MASTER!$D$2:$D$5000,0)),"ZM"))</f>
        <v/>
      </c>
      <c r="G361" s="24" t="inlineStr">
        <is>
          <t>Sữa Aptamil 380g</t>
        </is>
      </c>
      <c r="H361" s="24" t="n">
        <v>1</v>
      </c>
      <c r="I361" s="30" t="n">
        <v>320000</v>
      </c>
      <c r="J361" s="23">
        <f>IF(OR($H361="",$I361=""),"",$H361*$I361)</f>
        <v/>
      </c>
      <c r="K361" s="24" t="inlineStr">
        <is>
          <t>Chuyển khoản QR</t>
        </is>
      </c>
      <c r="L361" s="24" t="inlineStr">
        <is>
          <t>Đã chuyển khoản</t>
        </is>
      </c>
      <c r="M361" s="29" t="inlineStr">
        <is>
          <t>08/10/2026</t>
        </is>
      </c>
      <c r="N361" s="28" t="inlineStr">
        <is>
          <t>0364104304</t>
        </is>
      </c>
      <c r="O361" s="24" t="inlineStr">
        <is>
          <t>Đàm Hoài Thu</t>
        </is>
      </c>
      <c r="P361" s="24" t="inlineStr">
        <is>
          <t>số nhà 5/305 miếu 2 xã phường lê chân thành phố hải phòng, Hải Phòng</t>
        </is>
      </c>
      <c r="Q361" s="24" t="inlineStr">
        <is>
          <t>Chờ giao</t>
        </is>
      </c>
      <c r="R361" s="24" t="inlineStr">
        <is>
          <t>Cute Baby</t>
        </is>
      </c>
      <c r="S361" s="22">
        <f>IF(AND($A361="",$C361=""),"",IF($A361="","Thiếu mã đơn; ","")&amp;IF(COUNTIF($A$2:$A361,$A361)&gt;1,"Trùng mã đơn; ","")&amp;IF(COUNTIF($C$2:$C361,$C361)&gt;1,"Trùng SĐT; ","")&amp;IF(ISNA(MATCH($C361,DATA_MASTER!$D$2:$D$5000,0)),"SĐT chưa đăng ký hội viên; ","")&amp;IF(AND($L361="Đã chuyển khoản",$M361=""),"Thiếu ngày nhận CK; ",""))</f>
        <v/>
      </c>
      <c r="T361" s="24" t="inlineStr"/>
    </row>
    <row r="362" ht="14.25" customHeight="1" s="40">
      <c r="A362" s="24" t="n">
        <v>361</v>
      </c>
      <c r="B362" s="29" t="inlineStr">
        <is>
          <t>08/10/2026</t>
        </is>
      </c>
      <c r="C362" s="28" t="inlineStr">
        <is>
          <t>0333493388</t>
        </is>
      </c>
      <c r="D362" s="22">
        <f>IF($C362="","",IFERROR(INDEX(DATA_MASTER!$C$2:$C$5000,MATCH($C362,DATA_MASTER!$D$2:$D$5000,0)),"Trần Thị Uyên"))</f>
        <v/>
      </c>
      <c r="E362" s="22">
        <f>IF($C362="","",IFERROR(INDEX(DATA_MASTER!$I$2:$I$5000,MATCH($C362,DATA_MASTER!$D$2:$D$5000,0)),""))</f>
        <v/>
      </c>
      <c r="F362" s="22">
        <f>IF($C362="","",IFERROR(INDEX(DATA_MASTER!$L$2:$L$5000,MATCH($C362,DATA_MASTER!$D$2:$D$5000,0)),"ZM"))</f>
        <v/>
      </c>
      <c r="G362" s="24" t="inlineStr">
        <is>
          <t>Sữa Aptamil 380g</t>
        </is>
      </c>
      <c r="H362" s="24" t="n">
        <v>1</v>
      </c>
      <c r="I362" s="30" t="n">
        <v>320000</v>
      </c>
      <c r="J362" s="23">
        <f>IF(OR($H362="",$I362=""),"",$H362*$I362)</f>
        <v/>
      </c>
      <c r="K362" s="24" t="inlineStr">
        <is>
          <t>Chuyển khoản QR</t>
        </is>
      </c>
      <c r="L362" s="24" t="inlineStr">
        <is>
          <t>Đã chuyển khoản</t>
        </is>
      </c>
      <c r="M362" s="29" t="inlineStr">
        <is>
          <t>08/10/2026</t>
        </is>
      </c>
      <c r="N362" s="28" t="inlineStr">
        <is>
          <t>0333493388</t>
        </is>
      </c>
      <c r="O362" s="24" t="inlineStr">
        <is>
          <t>Trần Thị Uyên</t>
        </is>
      </c>
      <c r="P362" s="24" t="inlineStr">
        <is>
          <t>Số nhà 9/101 Phương Khê , Kiến An, HP, Hải Phòng</t>
        </is>
      </c>
      <c r="Q362" s="24" t="inlineStr">
        <is>
          <t>Chờ giao</t>
        </is>
      </c>
      <c r="R362" s="24" t="inlineStr">
        <is>
          <t>Cute Baby</t>
        </is>
      </c>
      <c r="S362" s="22">
        <f>IF(AND($A362="",$C362=""),"",IF($A362="","Thiếu mã đơn; ","")&amp;IF(COUNTIF($A$2:$A362,$A362)&gt;1,"Trùng mã đơn; ","")&amp;IF(COUNTIF($C$2:$C362,$C362)&gt;1,"Trùng SĐT; ","")&amp;IF(ISNA(MATCH($C362,DATA_MASTER!$D$2:$D$5000,0)),"SĐT chưa đăng ký hội viên; ","")&amp;IF(AND($L362="Đã chuyển khoản",$M362=""),"Thiếu ngày nhận CK; ",""))</f>
        <v/>
      </c>
      <c r="T362" s="24" t="inlineStr"/>
    </row>
    <row r="363" ht="14.25" customHeight="1" s="40">
      <c r="A363" s="24" t="n">
        <v>362</v>
      </c>
      <c r="B363" s="29" t="inlineStr">
        <is>
          <t>08/10/2026</t>
        </is>
      </c>
      <c r="C363" s="28" t="inlineStr">
        <is>
          <t>0939750965</t>
        </is>
      </c>
      <c r="D363" s="22">
        <f>IF($C363="","",IFERROR(INDEX(DATA_MASTER!$C$2:$C$5000,MATCH($C363,DATA_MASTER!$D$2:$D$5000,0)),"Thiều Hải Yến"))</f>
        <v/>
      </c>
      <c r="E363" s="22">
        <f>IF($C363="","",IFERROR(INDEX(DATA_MASTER!$I$2:$I$5000,MATCH($C363,DATA_MASTER!$D$2:$D$5000,0)),""))</f>
        <v/>
      </c>
      <c r="F363" s="22">
        <f>IF($C363="","",IFERROR(INDEX(DATA_MASTER!$L$2:$L$5000,MATCH($C363,DATA_MASTER!$D$2:$D$5000,0)),"ZM"))</f>
        <v/>
      </c>
      <c r="G363" s="24" t="inlineStr">
        <is>
          <t>Sữa Aptamil 380g</t>
        </is>
      </c>
      <c r="H363" s="24" t="n">
        <v>1</v>
      </c>
      <c r="I363" s="30" t="n">
        <v>320000</v>
      </c>
      <c r="J363" s="23">
        <f>IF(OR($H363="",$I363=""),"",$H363*$I363)</f>
        <v/>
      </c>
      <c r="K363" s="24" t="inlineStr">
        <is>
          <t>Chuyển khoản QR</t>
        </is>
      </c>
      <c r="L363" s="24" t="inlineStr">
        <is>
          <t>Đã chuyển khoản</t>
        </is>
      </c>
      <c r="M363" s="29" t="inlineStr">
        <is>
          <t>08/10/2026</t>
        </is>
      </c>
      <c r="N363" s="28" t="inlineStr">
        <is>
          <t>0939750965</t>
        </is>
      </c>
      <c r="O363" s="24" t="inlineStr">
        <is>
          <t>Thiều Hải Yến</t>
        </is>
      </c>
      <c r="P363" s="24" t="inlineStr">
        <is>
          <t>101A1, Hồ Tùng Mậu, TTTM Cái Khế, Cần Thơ</t>
        </is>
      </c>
      <c r="Q363" s="24" t="inlineStr">
        <is>
          <t>Đã giao</t>
        </is>
      </c>
      <c r="R363" s="24" t="inlineStr">
        <is>
          <t>Nous Baby</t>
        </is>
      </c>
      <c r="S363" s="22">
        <f>IF(AND($A363="",$C363=""),"",IF($A363="","Thiếu mã đơn; ","")&amp;IF(COUNTIF($A$2:$A363,$A363)&gt;1,"Trùng mã đơn; ","")&amp;IF(COUNTIF($C$2:$C363,$C363)&gt;1,"Trùng SĐT; ","")&amp;IF(ISNA(MATCH($C363,DATA_MASTER!$D$2:$D$5000,0)),"SĐT chưa đăng ký hội viên; ","")&amp;IF(AND($L363="Đã chuyển khoản",$M363=""),"Thiếu ngày nhận CK; ",""))</f>
        <v/>
      </c>
      <c r="T363" s="24" t="inlineStr">
        <is>
          <t>ĐVVC: Shipper riêng | Mã VĐ: 856736405</t>
        </is>
      </c>
    </row>
    <row r="364" ht="14.25" customHeight="1" s="40">
      <c r="A364" s="24" t="n">
        <v>363</v>
      </c>
      <c r="B364" s="29" t="inlineStr">
        <is>
          <t>08/10/2026</t>
        </is>
      </c>
      <c r="C364" s="28" t="inlineStr">
        <is>
          <t>0899977849</t>
        </is>
      </c>
      <c r="D364" s="22">
        <f>IF($C364="","",IFERROR(INDEX(DATA_MASTER!$C$2:$C$5000,MATCH($C364,DATA_MASTER!$D$2:$D$5000,0)),"Trần Ngọc Lan Huỳnh"))</f>
        <v/>
      </c>
      <c r="E364" s="22">
        <f>IF($C364="","",IFERROR(INDEX(DATA_MASTER!$I$2:$I$5000,MATCH($C364,DATA_MASTER!$D$2:$D$5000,0)),""))</f>
        <v/>
      </c>
      <c r="F364" s="22">
        <f>IF($C364="","",IFERROR(INDEX(DATA_MASTER!$L$2:$L$5000,MATCH($C364,DATA_MASTER!$D$2:$D$5000,0)),"ZM"))</f>
        <v/>
      </c>
      <c r="G364" s="24" t="inlineStr">
        <is>
          <t>Sữa Aptamil 380g</t>
        </is>
      </c>
      <c r="H364" s="24" t="n">
        <v>1</v>
      </c>
      <c r="I364" s="30" t="n">
        <v>320000</v>
      </c>
      <c r="J364" s="23">
        <f>IF(OR($H364="",$I364=""),"",$H364*$I364)</f>
        <v/>
      </c>
      <c r="K364" s="24" t="inlineStr">
        <is>
          <t>Chuyển khoản QR</t>
        </is>
      </c>
      <c r="L364" s="24" t="inlineStr">
        <is>
          <t>Đã chuyển khoản</t>
        </is>
      </c>
      <c r="M364" s="29" t="inlineStr">
        <is>
          <t>08/10/2026</t>
        </is>
      </c>
      <c r="N364" s="28" t="inlineStr">
        <is>
          <t>0899977849</t>
        </is>
      </c>
      <c r="O364" s="24" t="inlineStr">
        <is>
          <t>Trần Ngọc Lan Huỳnh</t>
        </is>
      </c>
      <c r="P364" s="24" t="inlineStr">
        <is>
          <t>63/10a Nguyễn Trung Trực, phường Long An, Tây Ninh</t>
        </is>
      </c>
      <c r="Q364" s="24" t="inlineStr">
        <is>
          <t>Chờ giao</t>
        </is>
      </c>
      <c r="R364" s="24" t="inlineStr">
        <is>
          <t>Voi Con</t>
        </is>
      </c>
      <c r="S364" s="22">
        <f>IF(AND($A364="",$C364=""),"",IF($A364="","Thiếu mã đơn; ","")&amp;IF(COUNTIF($A$2:$A364,$A364)&gt;1,"Trùng mã đơn; ","")&amp;IF(COUNTIF($C$2:$C364,$C364)&gt;1,"Trùng SĐT; ","")&amp;IF(ISNA(MATCH($C364,DATA_MASTER!$D$2:$D$5000,0)),"SĐT chưa đăng ký hội viên; ","")&amp;IF(AND($L364="Đã chuyển khoản",$M364=""),"Thiếu ngày nhận CK; ",""))</f>
        <v/>
      </c>
      <c r="T364" s="24" t="inlineStr"/>
    </row>
    <row r="365" ht="14.25" customHeight="1" s="40">
      <c r="A365" s="24" t="n">
        <v>364</v>
      </c>
      <c r="B365" s="29" t="inlineStr">
        <is>
          <t>08/10/2026</t>
        </is>
      </c>
      <c r="C365" s="28" t="inlineStr">
        <is>
          <t>0937120162</t>
        </is>
      </c>
      <c r="D365" s="22">
        <f>IF($C365="","",IFERROR(INDEX(DATA_MASTER!$C$2:$C$5000,MATCH($C365,DATA_MASTER!$D$2:$D$5000,0)),"Home Baby Spa"))</f>
        <v/>
      </c>
      <c r="E365" s="22">
        <f>IF($C365="","",IFERROR(INDEX(DATA_MASTER!$I$2:$I$5000,MATCH($C365,DATA_MASTER!$D$2:$D$5000,0)),""))</f>
        <v/>
      </c>
      <c r="F365" s="22">
        <f>IF($C365="","",IFERROR(INDEX(DATA_MASTER!$L$2:$L$5000,MATCH($C365,DATA_MASTER!$D$2:$D$5000,0)),"ZM"))</f>
        <v/>
      </c>
      <c r="G365" s="24" t="inlineStr">
        <is>
          <t>Sữa Aptamil 380g</t>
        </is>
      </c>
      <c r="H365" s="24" t="n">
        <v>1</v>
      </c>
      <c r="I365" s="30" t="n">
        <v>320000</v>
      </c>
      <c r="J365" s="23">
        <f>IF(OR($H365="",$I365=""),"",$H365*$I365)</f>
        <v/>
      </c>
      <c r="K365" s="24" t="inlineStr">
        <is>
          <t>Chuyển khoản QR</t>
        </is>
      </c>
      <c r="L365" s="24" t="inlineStr">
        <is>
          <t>Chờ chuyển khoản</t>
        </is>
      </c>
      <c r="M365" s="29" t="inlineStr">
        <is>
          <t>08/10/2026</t>
        </is>
      </c>
      <c r="N365" s="28" t="inlineStr">
        <is>
          <t>0937120162</t>
        </is>
      </c>
      <c r="O365" s="24" t="inlineStr">
        <is>
          <t>Home Baby Spa</t>
        </is>
      </c>
      <c r="P365" s="24" t="inlineStr">
        <is>
          <t>12B, đường số 8, KDC Hồng Phát B, P. An Bình, TP. Cần Thơ</t>
        </is>
      </c>
      <c r="Q365" s="24" t="inlineStr">
        <is>
          <t>Chờ giao</t>
        </is>
      </c>
      <c r="R365" s="24" t="inlineStr">
        <is>
          <t>Long Châu</t>
        </is>
      </c>
      <c r="S365" s="22">
        <f>IF(AND($A365="",$C365=""),"",IF($A365="","Thiếu mã đơn; ","")&amp;IF(COUNTIF($A$2:$A365,$A365)&gt;1,"Trùng mã đơn; ","")&amp;IF(COUNTIF($C$2:$C365,$C365)&gt;1,"Trùng SĐT; ","")&amp;IF(ISNA(MATCH($C365,DATA_MASTER!$D$2:$D$5000,0)),"SĐT chưa đăng ký hội viên; ","")&amp;IF(AND($L365="Đã chuyển khoản",$M365=""),"Thiếu ngày nhận CK; ",""))</f>
        <v/>
      </c>
      <c r="T365" s="24" t="inlineStr"/>
    </row>
    <row r="366" ht="14.25" customHeight="1" s="40">
      <c r="A366" s="24" t="n">
        <v>365</v>
      </c>
      <c r="B366" s="29" t="inlineStr"/>
      <c r="C366" s="28" t="inlineStr"/>
      <c r="D366" s="22">
        <f>IF($C366="","",IFERROR(INDEX(DATA_MASTER!$C$2:$C$5000,MATCH($C366,DATA_MASTER!$D$2:$D$5000,0)),""))</f>
        <v/>
      </c>
      <c r="E366" s="22">
        <f>IF($C366="","",IFERROR(INDEX(DATA_MASTER!$I$2:$I$5000,MATCH($C366,DATA_MASTER!$D$2:$D$5000,0)),""))</f>
        <v/>
      </c>
      <c r="F366" s="22">
        <f>IF($C366="","",IFERROR(INDEX(DATA_MASTER!$L$2:$L$5000,MATCH($C366,DATA_MASTER!$D$2:$D$5000,0)),"ZM"))</f>
        <v/>
      </c>
      <c r="G366" s="24" t="inlineStr">
        <is>
          <t>Sữa Aptamil 380g</t>
        </is>
      </c>
      <c r="H366" s="24" t="n">
        <v>1</v>
      </c>
      <c r="I366" s="30" t="n">
        <v>320000</v>
      </c>
      <c r="J366" s="23">
        <f>IF(OR($H366="",$I366=""),"",$H366*$I366)</f>
        <v/>
      </c>
      <c r="K366" s="24" t="inlineStr">
        <is>
          <t>Chuyển khoản QR</t>
        </is>
      </c>
      <c r="L366" s="24" t="inlineStr">
        <is>
          <t>Đã chuyển khoản</t>
        </is>
      </c>
      <c r="M366" s="29" t="inlineStr"/>
      <c r="N366" s="28" t="inlineStr"/>
      <c r="O366" s="24" t="inlineStr"/>
      <c r="P366" s="24" t="inlineStr"/>
      <c r="Q366" s="24" t="inlineStr">
        <is>
          <t>Chờ giao</t>
        </is>
      </c>
      <c r="R366" s="24" t="inlineStr">
        <is>
          <t>Voi Con</t>
        </is>
      </c>
      <c r="S366" s="22">
        <f>IF(AND($A366="",$C366=""),"",IF($A366="","Thiếu mã đơn; ","")&amp;IF(COUNTIF($A$2:$A366,$A366)&gt;1,"Trùng mã đơn; ","")&amp;IF(COUNTIF($C$2:$C366,$C366)&gt;1,"Trùng SĐT; ","")&amp;IF(ISNA(MATCH($C366,DATA_MASTER!$D$2:$D$5000,0)),"SĐT chưa đăng ký hội viên; ","")&amp;IF(AND($L366="Đã chuyển khoản",$M366=""),"Thiếu ngày nhận CK; ",""))</f>
        <v/>
      </c>
      <c r="T366" s="24" t="inlineStr"/>
    </row>
    <row r="367" ht="14.25" customHeight="1" s="40">
      <c r="A367" s="24" t="n">
        <v>366</v>
      </c>
      <c r="B367" s="29" t="inlineStr"/>
      <c r="C367" s="28" t="inlineStr"/>
      <c r="D367" s="22">
        <f>IF($C367="","",IFERROR(INDEX(DATA_MASTER!$C$2:$C$5000,MATCH($C367,DATA_MASTER!$D$2:$D$5000,0)),""))</f>
        <v/>
      </c>
      <c r="E367" s="22">
        <f>IF($C367="","",IFERROR(INDEX(DATA_MASTER!$I$2:$I$5000,MATCH($C367,DATA_MASTER!$D$2:$D$5000,0)),""))</f>
        <v/>
      </c>
      <c r="F367" s="22">
        <f>IF($C367="","",IFERROR(INDEX(DATA_MASTER!$L$2:$L$5000,MATCH($C367,DATA_MASTER!$D$2:$D$5000,0)),"ZM"))</f>
        <v/>
      </c>
      <c r="G367" s="24" t="inlineStr">
        <is>
          <t>Sữa Aptamil 380g</t>
        </is>
      </c>
      <c r="H367" s="24" t="n">
        <v>1</v>
      </c>
      <c r="I367" s="30" t="n">
        <v>320000</v>
      </c>
      <c r="J367" s="23">
        <f>IF(OR($H367="",$I367=""),"",$H367*$I367)</f>
        <v/>
      </c>
      <c r="K367" s="24" t="inlineStr">
        <is>
          <t>Chuyển khoản QR</t>
        </is>
      </c>
      <c r="L367" s="24" t="inlineStr">
        <is>
          <t>Đã chuyển khoản</t>
        </is>
      </c>
      <c r="M367" s="29" t="inlineStr"/>
      <c r="N367" s="28" t="inlineStr"/>
      <c r="O367" s="24" t="inlineStr"/>
      <c r="P367" s="24" t="inlineStr"/>
      <c r="Q367" s="24" t="inlineStr">
        <is>
          <t>Chờ giao</t>
        </is>
      </c>
      <c r="R367" s="24" t="inlineStr">
        <is>
          <t>Voi Con</t>
        </is>
      </c>
      <c r="S367" s="22">
        <f>IF(AND($A367="",$C367=""),"",IF($A367="","Thiếu mã đơn; ","")&amp;IF(COUNTIF($A$2:$A367,$A367)&gt;1,"Trùng mã đơn; ","")&amp;IF(COUNTIF($C$2:$C367,$C367)&gt;1,"Trùng SĐT; ","")&amp;IF(ISNA(MATCH($C367,DATA_MASTER!$D$2:$D$5000,0)),"SĐT chưa đăng ký hội viên; ","")&amp;IF(AND($L367="Đã chuyển khoản",$M367=""),"Thiếu ngày nhận CK; ",""))</f>
        <v/>
      </c>
      <c r="T367" s="24" t="inlineStr"/>
    </row>
    <row r="368" ht="14.25" customHeight="1" s="40">
      <c r="A368" s="24" t="n">
        <v>367</v>
      </c>
      <c r="B368" s="29" t="inlineStr">
        <is>
          <t>09/10/2026</t>
        </is>
      </c>
      <c r="C368" s="28" t="inlineStr">
        <is>
          <t>0988999888</t>
        </is>
      </c>
      <c r="D368" s="22">
        <f>IF($C368="","",IFERROR(INDEX(DATA_MASTER!$C$2:$C$5000,MATCH($C368,DATA_MASTER!$D$2:$D$5000,0)),"Mẹ Test Cần Thơ"))</f>
        <v/>
      </c>
      <c r="E368" s="22">
        <f>IF($C368="","",IFERROR(INDEX(DATA_MASTER!$I$2:$I$5000,MATCH($C368,DATA_MASTER!$D$2:$D$5000,0)),"1. Mang thai 3 tháng đầu"))</f>
        <v/>
      </c>
      <c r="F368" s="22">
        <f>IF($C368="","",IFERROR(INDEX(DATA_MASTER!$L$2:$L$5000,MATCH($C368,DATA_MASTER!$D$2:$D$5000,0)),"ZM"))</f>
        <v/>
      </c>
      <c r="G368" s="24" t="inlineStr">
        <is>
          <t>Combo Tân Sinh (2 lon 800g + Gối chống trào)</t>
        </is>
      </c>
      <c r="H368" s="24" t="n">
        <v>1</v>
      </c>
      <c r="I368" s="30" t="n">
        <v>320000</v>
      </c>
      <c r="J368" s="23">
        <f>IF(OR($H368="",$I368=""),"",$H368*$I368)</f>
        <v/>
      </c>
      <c r="K368" s="24" t="inlineStr">
        <is>
          <t>Chuyển khoản QR</t>
        </is>
      </c>
      <c r="L368" s="24" t="inlineStr">
        <is>
          <t>Chờ chuyển khoản</t>
        </is>
      </c>
      <c r="M368" s="29" t="inlineStr"/>
      <c r="N368" s="28" t="inlineStr">
        <is>
          <t>0988999888</t>
        </is>
      </c>
      <c r="O368" s="24" t="inlineStr">
        <is>
          <t>Mẹ Test Cần Thơ</t>
        </is>
      </c>
      <c r="P368" s="24" t="inlineStr">
        <is>
          <t>Số 88 đường 30/4, Ninh Kiều, Cần Thơ, Ninh Kiều, Cần Thơ</t>
        </is>
      </c>
      <c r="Q368" s="24" t="inlineStr">
        <is>
          <t>Chờ giao</t>
        </is>
      </c>
      <c r="R368" s="24" t="inlineStr">
        <is>
          <t>Thế Giới Sơ Sinh</t>
        </is>
      </c>
      <c r="S368" s="22">
        <f>IF(AND($A368="",$C368=""),"",IF($A368="","Thiếu mã đơn; ","")&amp;IF(COUNTIF($A$2:$A368,$A368)&gt;1,"Trùng mã đơn; ","")&amp;IF(COUNTIF($C$2:$C368,$C368)&gt;1,"Trùng SĐT; ","")&amp;IF(ISNA(MATCH($C368,DATA_MASTER!$D$2:$D$5000,0)),"SĐT chưa đăng ký hội viên; ","")&amp;IF(AND($L368="Đã chuyển khoản",$M368=""),"Thiếu ngày nhận CK; ",""))</f>
        <v/>
      </c>
      <c r="T368" s="24" t="inlineStr">
        <is>
          <t>Mã đơn: Z367 | Phễu: Thành viên Zmoms</t>
        </is>
      </c>
    </row>
    <row r="369" ht="14.25" customHeight="1" s="40">
      <c r="A369" s="24" t="n"/>
      <c r="B369" s="29" t="n"/>
      <c r="C369" s="28" t="n"/>
      <c r="D369" s="22">
        <f t="array" ref="D369">IF($C369="","",IFERROR(INDEX(DATA_MASTER!$C$2:$C$5000,MATCH($C369,DATA_MASTER!$D$2:$D$5000,0)),""))</f>
        <v/>
      </c>
      <c r="E369" s="22">
        <f t="array" ref="E369">IF($C369="","",IFERROR(INDEX(DATA_MASTER!$I$2:$I$5000,MATCH($C369,DATA_MASTER!$D$2:$D$5000,0)),""))</f>
        <v/>
      </c>
      <c r="F369" s="22">
        <f t="array" ref="F369">IF($C369="","",IFERROR(INDEX(DATA_MASTER!$L$2:$L$5000,MATCH($C369,DATA_MASTER!$D$2:$D$5000,0)),""))</f>
        <v/>
      </c>
      <c r="G369" s="24" t="n"/>
      <c r="H369" s="24" t="n"/>
      <c r="I369" s="30" t="n"/>
      <c r="J369" s="23">
        <f>IF(OR($H369="",$I369=""),"",$H369*$I369)</f>
        <v/>
      </c>
      <c r="K369" s="24" t="n"/>
      <c r="L369" s="24" t="n"/>
      <c r="M369" s="29" t="n"/>
      <c r="N369" s="28" t="n"/>
      <c r="O369" s="24" t="n"/>
      <c r="P369" s="24" t="n"/>
      <c r="Q369" s="24" t="n"/>
      <c r="R369" s="24" t="n"/>
      <c r="S369" s="22">
        <f>IF(AND($A369="",$C369=""),"",IF($A369="","Thiếu mã đơn; ","")&amp;IF(COUNTIF($A$2:$A369,$A369)&gt;1,"Trùng mã đơn; ","")&amp;IF(ISNA(MATCH($C369,DATA_MASTER!$D$2:$D$5000,0)),"SĐT chưa đăng ký hội viên; ","")&amp;IF(AND($L369="Đã chuyển khoản",$M369=""),"Thiếu ngày nhận CK; ",""))</f>
        <v/>
      </c>
      <c r="T369" s="24" t="n"/>
    </row>
    <row r="370" ht="14.25" customHeight="1" s="40">
      <c r="A370" s="24" t="n"/>
      <c r="B370" s="29" t="n"/>
      <c r="C370" s="28" t="n"/>
      <c r="D370" s="22">
        <f t="array" ref="D370">IF($C370="","",IFERROR(INDEX(DATA_MASTER!$C$2:$C$5000,MATCH($C370,DATA_MASTER!$D$2:$D$5000,0)),""))</f>
        <v/>
      </c>
      <c r="E370" s="22">
        <f t="array" ref="E370">IF($C370="","",IFERROR(INDEX(DATA_MASTER!$I$2:$I$5000,MATCH($C370,DATA_MASTER!$D$2:$D$5000,0)),""))</f>
        <v/>
      </c>
      <c r="F370" s="22">
        <f t="array" ref="F370">IF($C370="","",IFERROR(INDEX(DATA_MASTER!$L$2:$L$5000,MATCH($C370,DATA_MASTER!$D$2:$D$5000,0)),""))</f>
        <v/>
      </c>
      <c r="G370" s="24" t="n"/>
      <c r="H370" s="24" t="n"/>
      <c r="I370" s="30" t="n"/>
      <c r="J370" s="23">
        <f>IF(OR($H370="",$I370=""),"",$H370*$I370)</f>
        <v/>
      </c>
      <c r="K370" s="24" t="n"/>
      <c r="L370" s="24" t="n"/>
      <c r="M370" s="29" t="n"/>
      <c r="N370" s="28" t="n"/>
      <c r="O370" s="24" t="n"/>
      <c r="P370" s="24" t="n"/>
      <c r="Q370" s="24" t="n"/>
      <c r="R370" s="24" t="n"/>
      <c r="S370" s="22">
        <f>IF(AND($A370="",$C370=""),"",IF($A370="","Thiếu mã đơn; ","")&amp;IF(COUNTIF($A$2:$A370,$A370)&gt;1,"Trùng mã đơn; ","")&amp;IF(ISNA(MATCH($C370,DATA_MASTER!$D$2:$D$5000,0)),"SĐT chưa đăng ký hội viên; ","")&amp;IF(AND($L370="Đã chuyển khoản",$M370=""),"Thiếu ngày nhận CK; ",""))</f>
        <v/>
      </c>
      <c r="T370" s="24" t="n"/>
    </row>
    <row r="371" ht="14.25" customHeight="1" s="40">
      <c r="A371" s="24" t="n"/>
      <c r="B371" s="29" t="n"/>
      <c r="C371" s="28" t="n"/>
      <c r="D371" s="22">
        <f t="array" ref="D371">IF($C371="","",IFERROR(INDEX(DATA_MASTER!$C$2:$C$5000,MATCH($C371,DATA_MASTER!$D$2:$D$5000,0)),""))</f>
        <v/>
      </c>
      <c r="E371" s="22">
        <f t="array" ref="E371">IF($C371="","",IFERROR(INDEX(DATA_MASTER!$I$2:$I$5000,MATCH($C371,DATA_MASTER!$D$2:$D$5000,0)),""))</f>
        <v/>
      </c>
      <c r="F371" s="22">
        <f t="array" ref="F371">IF($C371="","",IFERROR(INDEX(DATA_MASTER!$L$2:$L$5000,MATCH($C371,DATA_MASTER!$D$2:$D$5000,0)),""))</f>
        <v/>
      </c>
      <c r="G371" s="24" t="n"/>
      <c r="H371" s="24" t="n"/>
      <c r="I371" s="30" t="n"/>
      <c r="J371" s="23">
        <f>IF(OR($H371="",$I371=""),"",$H371*$I371)</f>
        <v/>
      </c>
      <c r="K371" s="24" t="n"/>
      <c r="L371" s="24" t="n"/>
      <c r="M371" s="29" t="n"/>
      <c r="N371" s="28" t="n"/>
      <c r="O371" s="24" t="n"/>
      <c r="P371" s="24" t="n"/>
      <c r="Q371" s="24" t="n"/>
      <c r="R371" s="24" t="n"/>
      <c r="S371" s="22">
        <f>IF(AND($A371="",$C371=""),"",IF($A371="","Thiếu mã đơn; ","")&amp;IF(COUNTIF($A$2:$A371,$A371)&gt;1,"Trùng mã đơn; ","")&amp;IF(ISNA(MATCH($C371,DATA_MASTER!$D$2:$D$5000,0)),"SĐT chưa đăng ký hội viên; ","")&amp;IF(AND($L371="Đã chuyển khoản",$M371=""),"Thiếu ngày nhận CK; ",""))</f>
        <v/>
      </c>
      <c r="T371" s="24" t="n"/>
    </row>
    <row r="372" ht="14.25" customHeight="1" s="40">
      <c r="A372" s="24" t="n"/>
      <c r="B372" s="29" t="n"/>
      <c r="C372" s="28" t="n"/>
      <c r="D372" s="22">
        <f t="array" ref="D372">IF($C372="","",IFERROR(INDEX(DATA_MASTER!$C$2:$C$5000,MATCH($C372,DATA_MASTER!$D$2:$D$5000,0)),""))</f>
        <v/>
      </c>
      <c r="E372" s="22">
        <f t="array" ref="E372">IF($C372="","",IFERROR(INDEX(DATA_MASTER!$I$2:$I$5000,MATCH($C372,DATA_MASTER!$D$2:$D$5000,0)),""))</f>
        <v/>
      </c>
      <c r="F372" s="22">
        <f t="array" ref="F372">IF($C372="","",IFERROR(INDEX(DATA_MASTER!$L$2:$L$5000,MATCH($C372,DATA_MASTER!$D$2:$D$5000,0)),""))</f>
        <v/>
      </c>
      <c r="G372" s="24" t="n"/>
      <c r="H372" s="24" t="n"/>
      <c r="I372" s="30" t="n"/>
      <c r="J372" s="23">
        <f>IF(OR($H372="",$I372=""),"",$H372*$I372)</f>
        <v/>
      </c>
      <c r="K372" s="24" t="n"/>
      <c r="L372" s="24" t="n"/>
      <c r="M372" s="29" t="n"/>
      <c r="N372" s="28" t="n"/>
      <c r="O372" s="24" t="n"/>
      <c r="P372" s="24" t="n"/>
      <c r="Q372" s="24" t="n"/>
      <c r="R372" s="24" t="n"/>
      <c r="S372" s="22">
        <f>IF(AND($A372="",$C372=""),"",IF($A372="","Thiếu mã đơn; ","")&amp;IF(COUNTIF($A$2:$A372,$A372)&gt;1,"Trùng mã đơn; ","")&amp;IF(ISNA(MATCH($C372,DATA_MASTER!$D$2:$D$5000,0)),"SĐT chưa đăng ký hội viên; ","")&amp;IF(AND($L372="Đã chuyển khoản",$M372=""),"Thiếu ngày nhận CK; ",""))</f>
        <v/>
      </c>
      <c r="T372" s="24" t="n"/>
    </row>
    <row r="373" ht="14.25" customHeight="1" s="40">
      <c r="A373" s="24" t="n"/>
      <c r="B373" s="29" t="n"/>
      <c r="C373" s="28" t="n"/>
      <c r="D373" s="22">
        <f t="array" ref="D373">IF($C373="","",IFERROR(INDEX(DATA_MASTER!$C$2:$C$5000,MATCH($C373,DATA_MASTER!$D$2:$D$5000,0)),""))</f>
        <v/>
      </c>
      <c r="E373" s="22">
        <f t="array" ref="E373">IF($C373="","",IFERROR(INDEX(DATA_MASTER!$I$2:$I$5000,MATCH($C373,DATA_MASTER!$D$2:$D$5000,0)),""))</f>
        <v/>
      </c>
      <c r="F373" s="22">
        <f t="array" ref="F373">IF($C373="","",IFERROR(INDEX(DATA_MASTER!$L$2:$L$5000,MATCH($C373,DATA_MASTER!$D$2:$D$5000,0)),""))</f>
        <v/>
      </c>
      <c r="G373" s="24" t="n"/>
      <c r="H373" s="24" t="n"/>
      <c r="I373" s="30" t="n"/>
      <c r="J373" s="23">
        <f>IF(OR($H373="",$I373=""),"",$H373*$I373)</f>
        <v/>
      </c>
      <c r="K373" s="24" t="n"/>
      <c r="L373" s="24" t="n"/>
      <c r="M373" s="29" t="n"/>
      <c r="N373" s="28" t="n"/>
      <c r="O373" s="24" t="n"/>
      <c r="P373" s="24" t="n"/>
      <c r="Q373" s="24" t="n"/>
      <c r="R373" s="24" t="n"/>
      <c r="S373" s="22">
        <f>IF(AND($A373="",$C373=""),"",IF($A373="","Thiếu mã đơn; ","")&amp;IF(COUNTIF($A$2:$A373,$A373)&gt;1,"Trùng mã đơn; ","")&amp;IF(ISNA(MATCH($C373,DATA_MASTER!$D$2:$D$5000,0)),"SĐT chưa đăng ký hội viên; ","")&amp;IF(AND($L373="Đã chuyển khoản",$M373=""),"Thiếu ngày nhận CK; ",""))</f>
        <v/>
      </c>
      <c r="T373" s="24" t="n"/>
    </row>
    <row r="374" ht="14.25" customHeight="1" s="40">
      <c r="A374" s="24" t="n"/>
      <c r="B374" s="29" t="n"/>
      <c r="C374" s="28" t="n"/>
      <c r="D374" s="22">
        <f t="array" ref="D374">IF($C374="","",IFERROR(INDEX(DATA_MASTER!$C$2:$C$5000,MATCH($C374,DATA_MASTER!$D$2:$D$5000,0)),""))</f>
        <v/>
      </c>
      <c r="E374" s="22">
        <f t="array" ref="E374">IF($C374="","",IFERROR(INDEX(DATA_MASTER!$I$2:$I$5000,MATCH($C374,DATA_MASTER!$D$2:$D$5000,0)),""))</f>
        <v/>
      </c>
      <c r="F374" s="22">
        <f t="array" ref="F374">IF($C374="","",IFERROR(INDEX(DATA_MASTER!$L$2:$L$5000,MATCH($C374,DATA_MASTER!$D$2:$D$5000,0)),""))</f>
        <v/>
      </c>
      <c r="G374" s="24" t="n"/>
      <c r="H374" s="24" t="n"/>
      <c r="I374" s="30" t="n"/>
      <c r="J374" s="23">
        <f>IF(OR($H374="",$I374=""),"",$H374*$I374)</f>
        <v/>
      </c>
      <c r="K374" s="24" t="n"/>
      <c r="L374" s="24" t="n"/>
      <c r="M374" s="29" t="n"/>
      <c r="N374" s="28" t="n"/>
      <c r="O374" s="24" t="n"/>
      <c r="P374" s="24" t="n"/>
      <c r="Q374" s="24" t="n"/>
      <c r="R374" s="24" t="n"/>
      <c r="S374" s="22">
        <f>IF(AND($A374="",$C374=""),"",IF($A374="","Thiếu mã đơn; ","")&amp;IF(COUNTIF($A$2:$A374,$A374)&gt;1,"Trùng mã đơn; ","")&amp;IF(ISNA(MATCH($C374,DATA_MASTER!$D$2:$D$5000,0)),"SĐT chưa đăng ký hội viên; ","")&amp;IF(AND($L374="Đã chuyển khoản",$M374=""),"Thiếu ngày nhận CK; ",""))</f>
        <v/>
      </c>
      <c r="T374" s="24" t="n"/>
    </row>
    <row r="375" ht="14.25" customHeight="1" s="40">
      <c r="A375" s="24" t="n"/>
      <c r="B375" s="29" t="n"/>
      <c r="C375" s="28" t="n"/>
      <c r="D375" s="22">
        <f t="array" ref="D375">IF($C375="","",IFERROR(INDEX(DATA_MASTER!$C$2:$C$5000,MATCH($C375,DATA_MASTER!$D$2:$D$5000,0)),""))</f>
        <v/>
      </c>
      <c r="E375" s="22">
        <f t="array" ref="E375">IF($C375="","",IFERROR(INDEX(DATA_MASTER!$I$2:$I$5000,MATCH($C375,DATA_MASTER!$D$2:$D$5000,0)),""))</f>
        <v/>
      </c>
      <c r="F375" s="22">
        <f t="array" ref="F375">IF($C375="","",IFERROR(INDEX(DATA_MASTER!$L$2:$L$5000,MATCH($C375,DATA_MASTER!$D$2:$D$5000,0)),""))</f>
        <v/>
      </c>
      <c r="G375" s="24" t="n"/>
      <c r="H375" s="24" t="n"/>
      <c r="I375" s="30" t="n"/>
      <c r="J375" s="23">
        <f>IF(OR($H375="",$I375=""),"",$H375*$I375)</f>
        <v/>
      </c>
      <c r="K375" s="24" t="n"/>
      <c r="L375" s="24" t="n"/>
      <c r="M375" s="29" t="n"/>
      <c r="N375" s="28" t="n"/>
      <c r="O375" s="24" t="n"/>
      <c r="P375" s="24" t="n"/>
      <c r="Q375" s="24" t="n"/>
      <c r="R375" s="24" t="n"/>
      <c r="S375" s="22">
        <f>IF(AND($A375="",$C375=""),"",IF($A375="","Thiếu mã đơn; ","")&amp;IF(COUNTIF($A$2:$A375,$A375)&gt;1,"Trùng mã đơn; ","")&amp;IF(ISNA(MATCH($C375,DATA_MASTER!$D$2:$D$5000,0)),"SĐT chưa đăng ký hội viên; ","")&amp;IF(AND($L375="Đã chuyển khoản",$M375=""),"Thiếu ngày nhận CK; ",""))</f>
        <v/>
      </c>
      <c r="T375" s="24" t="n"/>
    </row>
    <row r="376" ht="14.25" customHeight="1" s="40">
      <c r="A376" s="24" t="n"/>
      <c r="B376" s="29" t="n"/>
      <c r="C376" s="28" t="n"/>
      <c r="D376" s="22">
        <f t="array" ref="D376">IF($C376="","",IFERROR(INDEX(DATA_MASTER!$C$2:$C$5000,MATCH($C376,DATA_MASTER!$D$2:$D$5000,0)),""))</f>
        <v/>
      </c>
      <c r="E376" s="22">
        <f t="array" ref="E376">IF($C376="","",IFERROR(INDEX(DATA_MASTER!$I$2:$I$5000,MATCH($C376,DATA_MASTER!$D$2:$D$5000,0)),""))</f>
        <v/>
      </c>
      <c r="F376" s="22">
        <f t="array" ref="F376">IF($C376="","",IFERROR(INDEX(DATA_MASTER!$L$2:$L$5000,MATCH($C376,DATA_MASTER!$D$2:$D$5000,0)),""))</f>
        <v/>
      </c>
      <c r="G376" s="24" t="n"/>
      <c r="H376" s="24" t="n"/>
      <c r="I376" s="30" t="n"/>
      <c r="J376" s="23">
        <f>IF(OR($H376="",$I376=""),"",$H376*$I376)</f>
        <v/>
      </c>
      <c r="K376" s="24" t="n"/>
      <c r="L376" s="24" t="n"/>
      <c r="M376" s="29" t="n"/>
      <c r="N376" s="28" t="n"/>
      <c r="O376" s="24" t="n"/>
      <c r="P376" s="24" t="n"/>
      <c r="Q376" s="24" t="n"/>
      <c r="R376" s="24" t="n"/>
      <c r="S376" s="22">
        <f>IF(AND($A376="",$C376=""),"",IF($A376="","Thiếu mã đơn; ","")&amp;IF(COUNTIF($A$2:$A376,$A376)&gt;1,"Trùng mã đơn; ","")&amp;IF(ISNA(MATCH($C376,DATA_MASTER!$D$2:$D$5000,0)),"SĐT chưa đăng ký hội viên; ","")&amp;IF(AND($L376="Đã chuyển khoản",$M376=""),"Thiếu ngày nhận CK; ",""))</f>
        <v/>
      </c>
      <c r="T376" s="24" t="n"/>
    </row>
    <row r="377" ht="14.25" customHeight="1" s="40">
      <c r="A377" s="24" t="n"/>
      <c r="B377" s="29" t="n"/>
      <c r="C377" s="28" t="n"/>
      <c r="D377" s="22">
        <f t="array" ref="D377">IF($C377="","",IFERROR(INDEX(DATA_MASTER!$C$2:$C$5000,MATCH($C377,DATA_MASTER!$D$2:$D$5000,0)),""))</f>
        <v/>
      </c>
      <c r="E377" s="22">
        <f t="array" ref="E377">IF($C377="","",IFERROR(INDEX(DATA_MASTER!$I$2:$I$5000,MATCH($C377,DATA_MASTER!$D$2:$D$5000,0)),""))</f>
        <v/>
      </c>
      <c r="F377" s="22">
        <f t="array" ref="F377">IF($C377="","",IFERROR(INDEX(DATA_MASTER!$L$2:$L$5000,MATCH($C377,DATA_MASTER!$D$2:$D$5000,0)),""))</f>
        <v/>
      </c>
      <c r="G377" s="24" t="n"/>
      <c r="H377" s="24" t="n"/>
      <c r="I377" s="30" t="n"/>
      <c r="J377" s="23">
        <f>IF(OR($H377="",$I377=""),"",$H377*$I377)</f>
        <v/>
      </c>
      <c r="K377" s="24" t="n"/>
      <c r="L377" s="24" t="n"/>
      <c r="M377" s="29" t="n"/>
      <c r="N377" s="28" t="n"/>
      <c r="O377" s="24" t="n"/>
      <c r="P377" s="24" t="n"/>
      <c r="Q377" s="24" t="n"/>
      <c r="R377" s="24" t="n"/>
      <c r="S377" s="22">
        <f>IF(AND($A377="",$C377=""),"",IF($A377="","Thiếu mã đơn; ","")&amp;IF(COUNTIF($A$2:$A377,$A377)&gt;1,"Trùng mã đơn; ","")&amp;IF(ISNA(MATCH($C377,DATA_MASTER!$D$2:$D$5000,0)),"SĐT chưa đăng ký hội viên; ","")&amp;IF(AND($L377="Đã chuyển khoản",$M377=""),"Thiếu ngày nhận CK; ",""))</f>
        <v/>
      </c>
      <c r="T377" s="24" t="n"/>
    </row>
    <row r="378" ht="14.25" customHeight="1" s="40">
      <c r="A378" s="24" t="n"/>
      <c r="B378" s="29" t="n"/>
      <c r="C378" s="28" t="n"/>
      <c r="D378" s="22">
        <f t="array" ref="D378">IF($C378="","",IFERROR(INDEX(DATA_MASTER!$C$2:$C$5000,MATCH($C378,DATA_MASTER!$D$2:$D$5000,0)),""))</f>
        <v/>
      </c>
      <c r="E378" s="22">
        <f t="array" ref="E378">IF($C378="","",IFERROR(INDEX(DATA_MASTER!$I$2:$I$5000,MATCH($C378,DATA_MASTER!$D$2:$D$5000,0)),""))</f>
        <v/>
      </c>
      <c r="F378" s="22">
        <f t="array" ref="F378">IF($C378="","",IFERROR(INDEX(DATA_MASTER!$L$2:$L$5000,MATCH($C378,DATA_MASTER!$D$2:$D$5000,0)),""))</f>
        <v/>
      </c>
      <c r="G378" s="24" t="n"/>
      <c r="H378" s="24" t="n"/>
      <c r="I378" s="30" t="n"/>
      <c r="J378" s="23">
        <f>IF(OR($H378="",$I378=""),"",$H378*$I378)</f>
        <v/>
      </c>
      <c r="K378" s="24" t="n"/>
      <c r="L378" s="24" t="n"/>
      <c r="M378" s="29" t="n"/>
      <c r="N378" s="28" t="n"/>
      <c r="O378" s="24" t="n"/>
      <c r="P378" s="24" t="n"/>
      <c r="Q378" s="24" t="n"/>
      <c r="R378" s="24" t="n"/>
      <c r="S378" s="22">
        <f>IF(AND($A378="",$C378=""),"",IF($A378="","Thiếu mã đơn; ","")&amp;IF(COUNTIF($A$2:$A378,$A378)&gt;1,"Trùng mã đơn; ","")&amp;IF(ISNA(MATCH($C378,DATA_MASTER!$D$2:$D$5000,0)),"SĐT chưa đăng ký hội viên; ","")&amp;IF(AND($L378="Đã chuyển khoản",$M378=""),"Thiếu ngày nhận CK; ",""))</f>
        <v/>
      </c>
      <c r="T378" s="24" t="n"/>
    </row>
    <row r="379" ht="14.25" customHeight="1" s="40">
      <c r="A379" s="24" t="n"/>
      <c r="B379" s="29" t="n"/>
      <c r="C379" s="28" t="n"/>
      <c r="D379" s="22">
        <f t="array" ref="D379">IF($C379="","",IFERROR(INDEX(DATA_MASTER!$C$2:$C$5000,MATCH($C379,DATA_MASTER!$D$2:$D$5000,0)),""))</f>
        <v/>
      </c>
      <c r="E379" s="22">
        <f t="array" ref="E379">IF($C379="","",IFERROR(INDEX(DATA_MASTER!$I$2:$I$5000,MATCH($C379,DATA_MASTER!$D$2:$D$5000,0)),""))</f>
        <v/>
      </c>
      <c r="F379" s="22">
        <f t="array" ref="F379">IF($C379="","",IFERROR(INDEX(DATA_MASTER!$L$2:$L$5000,MATCH($C379,DATA_MASTER!$D$2:$D$5000,0)),""))</f>
        <v/>
      </c>
      <c r="G379" s="24" t="n"/>
      <c r="H379" s="24" t="n"/>
      <c r="I379" s="30" t="n"/>
      <c r="J379" s="23">
        <f>IF(OR($H379="",$I379=""),"",$H379*$I379)</f>
        <v/>
      </c>
      <c r="K379" s="24" t="n"/>
      <c r="L379" s="24" t="n"/>
      <c r="M379" s="29" t="n"/>
      <c r="N379" s="28" t="n"/>
      <c r="O379" s="24" t="n"/>
      <c r="P379" s="24" t="n"/>
      <c r="Q379" s="24" t="n"/>
      <c r="R379" s="24" t="n"/>
      <c r="S379" s="22">
        <f>IF(AND($A379="",$C379=""),"",IF($A379="","Thiếu mã đơn; ","")&amp;IF(COUNTIF($A$2:$A379,$A379)&gt;1,"Trùng mã đơn; ","")&amp;IF(ISNA(MATCH($C379,DATA_MASTER!$D$2:$D$5000,0)),"SĐT chưa đăng ký hội viên; ","")&amp;IF(AND($L379="Đã chuyển khoản",$M379=""),"Thiếu ngày nhận CK; ",""))</f>
        <v/>
      </c>
      <c r="T379" s="24" t="n"/>
    </row>
    <row r="380" ht="14.25" customHeight="1" s="40">
      <c r="A380" s="24" t="n"/>
      <c r="B380" s="29" t="n"/>
      <c r="C380" s="28" t="n"/>
      <c r="D380" s="22">
        <f t="array" ref="D380">IF($C380="","",IFERROR(INDEX(DATA_MASTER!$C$2:$C$5000,MATCH($C380,DATA_MASTER!$D$2:$D$5000,0)),""))</f>
        <v/>
      </c>
      <c r="E380" s="22">
        <f t="array" ref="E380">IF($C380="","",IFERROR(INDEX(DATA_MASTER!$I$2:$I$5000,MATCH($C380,DATA_MASTER!$D$2:$D$5000,0)),""))</f>
        <v/>
      </c>
      <c r="F380" s="22">
        <f t="array" ref="F380">IF($C380="","",IFERROR(INDEX(DATA_MASTER!$L$2:$L$5000,MATCH($C380,DATA_MASTER!$D$2:$D$5000,0)),""))</f>
        <v/>
      </c>
      <c r="G380" s="24" t="n"/>
      <c r="H380" s="24" t="n"/>
      <c r="I380" s="30" t="n"/>
      <c r="J380" s="23">
        <f>IF(OR($H380="",$I380=""),"",$H380*$I380)</f>
        <v/>
      </c>
      <c r="K380" s="24" t="n"/>
      <c r="L380" s="24" t="n"/>
      <c r="M380" s="29" t="n"/>
      <c r="N380" s="28" t="n"/>
      <c r="O380" s="24" t="n"/>
      <c r="P380" s="24" t="n"/>
      <c r="Q380" s="24" t="n"/>
      <c r="R380" s="24" t="n"/>
      <c r="S380" s="22">
        <f>IF(AND($A380="",$C380=""),"",IF($A380="","Thiếu mã đơn; ","")&amp;IF(COUNTIF($A$2:$A380,$A380)&gt;1,"Trùng mã đơn; ","")&amp;IF(ISNA(MATCH($C380,DATA_MASTER!$D$2:$D$5000,0)),"SĐT chưa đăng ký hội viên; ","")&amp;IF(AND($L380="Đã chuyển khoản",$M380=""),"Thiếu ngày nhận CK; ",""))</f>
        <v/>
      </c>
      <c r="T380" s="24" t="n"/>
    </row>
    <row r="381" ht="14.25" customHeight="1" s="40">
      <c r="A381" s="24" t="n"/>
      <c r="B381" s="29" t="n"/>
      <c r="C381" s="28" t="n"/>
      <c r="D381" s="22">
        <f t="array" ref="D381">IF($C381="","",IFERROR(INDEX(DATA_MASTER!$C$2:$C$5000,MATCH($C381,DATA_MASTER!$D$2:$D$5000,0)),""))</f>
        <v/>
      </c>
      <c r="E381" s="22">
        <f t="array" ref="E381">IF($C381="","",IFERROR(INDEX(DATA_MASTER!$I$2:$I$5000,MATCH($C381,DATA_MASTER!$D$2:$D$5000,0)),""))</f>
        <v/>
      </c>
      <c r="F381" s="22">
        <f t="array" ref="F381">IF($C381="","",IFERROR(INDEX(DATA_MASTER!$L$2:$L$5000,MATCH($C381,DATA_MASTER!$D$2:$D$5000,0)),""))</f>
        <v/>
      </c>
      <c r="G381" s="24" t="n"/>
      <c r="H381" s="24" t="n"/>
      <c r="I381" s="30" t="n"/>
      <c r="J381" s="23">
        <f>IF(OR($H381="",$I381=""),"",$H381*$I381)</f>
        <v/>
      </c>
      <c r="K381" s="24" t="n"/>
      <c r="L381" s="24" t="n"/>
      <c r="M381" s="29" t="n"/>
      <c r="N381" s="28" t="n"/>
      <c r="O381" s="24" t="n"/>
      <c r="P381" s="24" t="n"/>
      <c r="Q381" s="24" t="n"/>
      <c r="R381" s="24" t="n"/>
      <c r="S381" s="22">
        <f>IF(AND($A381="",$C381=""),"",IF($A381="","Thiếu mã đơn; ","")&amp;IF(COUNTIF($A$2:$A381,$A381)&gt;1,"Trùng mã đơn; ","")&amp;IF(ISNA(MATCH($C381,DATA_MASTER!$D$2:$D$5000,0)),"SĐT chưa đăng ký hội viên; ","")&amp;IF(AND($L381="Đã chuyển khoản",$M381=""),"Thiếu ngày nhận CK; ",""))</f>
        <v/>
      </c>
      <c r="T381" s="24" t="n"/>
    </row>
    <row r="382" ht="14.25" customHeight="1" s="40">
      <c r="A382" s="24" t="n"/>
      <c r="B382" s="29" t="n"/>
      <c r="C382" s="28" t="n"/>
      <c r="D382" s="22">
        <f t="array" ref="D382">IF($C382="","",IFERROR(INDEX(DATA_MASTER!$C$2:$C$5000,MATCH($C382,DATA_MASTER!$D$2:$D$5000,0)),""))</f>
        <v/>
      </c>
      <c r="E382" s="22">
        <f t="array" ref="E382">IF($C382="","",IFERROR(INDEX(DATA_MASTER!$I$2:$I$5000,MATCH($C382,DATA_MASTER!$D$2:$D$5000,0)),""))</f>
        <v/>
      </c>
      <c r="F382" s="22">
        <f t="array" ref="F382">IF($C382="","",IFERROR(INDEX(DATA_MASTER!$L$2:$L$5000,MATCH($C382,DATA_MASTER!$D$2:$D$5000,0)),""))</f>
        <v/>
      </c>
      <c r="G382" s="24" t="n"/>
      <c r="H382" s="24" t="n"/>
      <c r="I382" s="30" t="n"/>
      <c r="J382" s="23">
        <f>IF(OR($H382="",$I382=""),"",$H382*$I382)</f>
        <v/>
      </c>
      <c r="K382" s="24" t="n"/>
      <c r="L382" s="24" t="n"/>
      <c r="M382" s="29" t="n"/>
      <c r="N382" s="28" t="n"/>
      <c r="O382" s="24" t="n"/>
      <c r="P382" s="24" t="n"/>
      <c r="Q382" s="24" t="n"/>
      <c r="R382" s="24" t="n"/>
      <c r="S382" s="22">
        <f>IF(AND($A382="",$C382=""),"",IF($A382="","Thiếu mã đơn; ","")&amp;IF(COUNTIF($A$2:$A382,$A382)&gt;1,"Trùng mã đơn; ","")&amp;IF(ISNA(MATCH($C382,DATA_MASTER!$D$2:$D$5000,0)),"SĐT chưa đăng ký hội viên; ","")&amp;IF(AND($L382="Đã chuyển khoản",$M382=""),"Thiếu ngày nhận CK; ",""))</f>
        <v/>
      </c>
      <c r="T382" s="24" t="n"/>
    </row>
    <row r="383" ht="14.25" customHeight="1" s="40">
      <c r="A383" s="24" t="n"/>
      <c r="B383" s="29" t="n"/>
      <c r="C383" s="28" t="n"/>
      <c r="D383" s="22">
        <f t="array" ref="D383">IF($C383="","",IFERROR(INDEX(DATA_MASTER!$C$2:$C$5000,MATCH($C383,DATA_MASTER!$D$2:$D$5000,0)),""))</f>
        <v/>
      </c>
      <c r="E383" s="22">
        <f t="array" ref="E383">IF($C383="","",IFERROR(INDEX(DATA_MASTER!$I$2:$I$5000,MATCH($C383,DATA_MASTER!$D$2:$D$5000,0)),""))</f>
        <v/>
      </c>
      <c r="F383" s="22">
        <f t="array" ref="F383">IF($C383="","",IFERROR(INDEX(DATA_MASTER!$L$2:$L$5000,MATCH($C383,DATA_MASTER!$D$2:$D$5000,0)),""))</f>
        <v/>
      </c>
      <c r="G383" s="24" t="n"/>
      <c r="H383" s="24" t="n"/>
      <c r="I383" s="30" t="n"/>
      <c r="J383" s="23">
        <f>IF(OR($H383="",$I383=""),"",$H383*$I383)</f>
        <v/>
      </c>
      <c r="K383" s="24" t="n"/>
      <c r="L383" s="24" t="n"/>
      <c r="M383" s="29" t="n"/>
      <c r="N383" s="28" t="n"/>
      <c r="O383" s="24" t="n"/>
      <c r="P383" s="24" t="n"/>
      <c r="Q383" s="24" t="n"/>
      <c r="R383" s="24" t="n"/>
      <c r="S383" s="22">
        <f>IF(AND($A383="",$C383=""),"",IF($A383="","Thiếu mã đơn; ","")&amp;IF(COUNTIF($A$2:$A383,$A383)&gt;1,"Trùng mã đơn; ","")&amp;IF(ISNA(MATCH($C383,DATA_MASTER!$D$2:$D$5000,0)),"SĐT chưa đăng ký hội viên; ","")&amp;IF(AND($L383="Đã chuyển khoản",$M383=""),"Thiếu ngày nhận CK; ",""))</f>
        <v/>
      </c>
      <c r="T383" s="24" t="n"/>
    </row>
    <row r="384" ht="14.25" customHeight="1" s="40">
      <c r="A384" s="24" t="n"/>
      <c r="B384" s="29" t="n"/>
      <c r="C384" s="28" t="n"/>
      <c r="D384" s="22">
        <f t="array" ref="D384">IF($C384="","",IFERROR(INDEX(DATA_MASTER!$C$2:$C$5000,MATCH($C384,DATA_MASTER!$D$2:$D$5000,0)),""))</f>
        <v/>
      </c>
      <c r="E384" s="22">
        <f t="array" ref="E384">IF($C384="","",IFERROR(INDEX(DATA_MASTER!$I$2:$I$5000,MATCH($C384,DATA_MASTER!$D$2:$D$5000,0)),""))</f>
        <v/>
      </c>
      <c r="F384" s="22">
        <f t="array" ref="F384">IF($C384="","",IFERROR(INDEX(DATA_MASTER!$L$2:$L$5000,MATCH($C384,DATA_MASTER!$D$2:$D$5000,0)),""))</f>
        <v/>
      </c>
      <c r="G384" s="24" t="n"/>
      <c r="H384" s="24" t="n"/>
      <c r="I384" s="30" t="n"/>
      <c r="J384" s="23">
        <f>IF(OR($H384="",$I384=""),"",$H384*$I384)</f>
        <v/>
      </c>
      <c r="K384" s="24" t="n"/>
      <c r="L384" s="24" t="n"/>
      <c r="M384" s="29" t="n"/>
      <c r="N384" s="28" t="n"/>
      <c r="O384" s="24" t="n"/>
      <c r="P384" s="24" t="n"/>
      <c r="Q384" s="24" t="n"/>
      <c r="R384" s="24" t="n"/>
      <c r="S384" s="22">
        <f>IF(AND($A384="",$C384=""),"",IF($A384="","Thiếu mã đơn; ","")&amp;IF(COUNTIF($A$2:$A384,$A384)&gt;1,"Trùng mã đơn; ","")&amp;IF(ISNA(MATCH($C384,DATA_MASTER!$D$2:$D$5000,0)),"SĐT chưa đăng ký hội viên; ","")&amp;IF(AND($L384="Đã chuyển khoản",$M384=""),"Thiếu ngày nhận CK; ",""))</f>
        <v/>
      </c>
      <c r="T384" s="24" t="n"/>
    </row>
    <row r="385" ht="14.25" customHeight="1" s="40">
      <c r="A385" s="24" t="n"/>
      <c r="B385" s="29" t="n"/>
      <c r="C385" s="28" t="n"/>
      <c r="D385" s="22">
        <f t="array" ref="D385">IF($C385="","",IFERROR(INDEX(DATA_MASTER!$C$2:$C$5000,MATCH($C385,DATA_MASTER!$D$2:$D$5000,0)),""))</f>
        <v/>
      </c>
      <c r="E385" s="22">
        <f t="array" ref="E385">IF($C385="","",IFERROR(INDEX(DATA_MASTER!$I$2:$I$5000,MATCH($C385,DATA_MASTER!$D$2:$D$5000,0)),""))</f>
        <v/>
      </c>
      <c r="F385" s="22">
        <f t="array" ref="F385">IF($C385="","",IFERROR(INDEX(DATA_MASTER!$L$2:$L$5000,MATCH($C385,DATA_MASTER!$D$2:$D$5000,0)),""))</f>
        <v/>
      </c>
      <c r="G385" s="24" t="n"/>
      <c r="H385" s="24" t="n"/>
      <c r="I385" s="30" t="n"/>
      <c r="J385" s="23">
        <f>IF(OR($H385="",$I385=""),"",$H385*$I385)</f>
        <v/>
      </c>
      <c r="K385" s="24" t="n"/>
      <c r="L385" s="24" t="n"/>
      <c r="M385" s="29" t="n"/>
      <c r="N385" s="28" t="n"/>
      <c r="O385" s="24" t="n"/>
      <c r="P385" s="24" t="n"/>
      <c r="Q385" s="24" t="n"/>
      <c r="R385" s="24" t="n"/>
      <c r="S385" s="22">
        <f>IF(AND($A385="",$C385=""),"",IF($A385="","Thiếu mã đơn; ","")&amp;IF(COUNTIF($A$2:$A385,$A385)&gt;1,"Trùng mã đơn; ","")&amp;IF(ISNA(MATCH($C385,DATA_MASTER!$D$2:$D$5000,0)),"SĐT chưa đăng ký hội viên; ","")&amp;IF(AND($L385="Đã chuyển khoản",$M385=""),"Thiếu ngày nhận CK; ",""))</f>
        <v/>
      </c>
      <c r="T385" s="24" t="n"/>
    </row>
    <row r="386" ht="14.25" customHeight="1" s="40">
      <c r="A386" s="24" t="n"/>
      <c r="B386" s="29" t="n"/>
      <c r="C386" s="28" t="n"/>
      <c r="D386" s="22">
        <f t="array" ref="D386">IF($C386="","",IFERROR(INDEX(DATA_MASTER!$C$2:$C$5000,MATCH($C386,DATA_MASTER!$D$2:$D$5000,0)),""))</f>
        <v/>
      </c>
      <c r="E386" s="22">
        <f t="array" ref="E386">IF($C386="","",IFERROR(INDEX(DATA_MASTER!$I$2:$I$5000,MATCH($C386,DATA_MASTER!$D$2:$D$5000,0)),""))</f>
        <v/>
      </c>
      <c r="F386" s="22">
        <f t="array" ref="F386">IF($C386="","",IFERROR(INDEX(DATA_MASTER!$L$2:$L$5000,MATCH($C386,DATA_MASTER!$D$2:$D$5000,0)),""))</f>
        <v/>
      </c>
      <c r="G386" s="24" t="n"/>
      <c r="H386" s="24" t="n"/>
      <c r="I386" s="30" t="n"/>
      <c r="J386" s="23">
        <f>IF(OR($H386="",$I386=""),"",$H386*$I386)</f>
        <v/>
      </c>
      <c r="K386" s="24" t="n"/>
      <c r="L386" s="24" t="n"/>
      <c r="M386" s="29" t="n"/>
      <c r="N386" s="28" t="n"/>
      <c r="O386" s="24" t="n"/>
      <c r="P386" s="24" t="n"/>
      <c r="Q386" s="24" t="n"/>
      <c r="R386" s="24" t="n"/>
      <c r="S386" s="22">
        <f>IF(AND($A386="",$C386=""),"",IF($A386="","Thiếu mã đơn; ","")&amp;IF(COUNTIF($A$2:$A386,$A386)&gt;1,"Trùng mã đơn; ","")&amp;IF(ISNA(MATCH($C386,DATA_MASTER!$D$2:$D$5000,0)),"SĐT chưa đăng ký hội viên; ","")&amp;IF(AND($L386="Đã chuyển khoản",$M386=""),"Thiếu ngày nhận CK; ",""))</f>
        <v/>
      </c>
      <c r="T386" s="24" t="n"/>
    </row>
    <row r="387" ht="14.25" customHeight="1" s="40">
      <c r="A387" s="24" t="n"/>
      <c r="B387" s="29" t="n"/>
      <c r="C387" s="28" t="n"/>
      <c r="D387" s="22">
        <f t="array" ref="D387">IF($C387="","",IFERROR(INDEX(DATA_MASTER!$C$2:$C$5000,MATCH($C387,DATA_MASTER!$D$2:$D$5000,0)),""))</f>
        <v/>
      </c>
      <c r="E387" s="22">
        <f t="array" ref="E387">IF($C387="","",IFERROR(INDEX(DATA_MASTER!$I$2:$I$5000,MATCH($C387,DATA_MASTER!$D$2:$D$5000,0)),""))</f>
        <v/>
      </c>
      <c r="F387" s="22">
        <f t="array" ref="F387">IF($C387="","",IFERROR(INDEX(DATA_MASTER!$L$2:$L$5000,MATCH($C387,DATA_MASTER!$D$2:$D$5000,0)),""))</f>
        <v/>
      </c>
      <c r="G387" s="24" t="n"/>
      <c r="H387" s="24" t="n"/>
      <c r="I387" s="30" t="n"/>
      <c r="J387" s="23">
        <f>IF(OR($H387="",$I387=""),"",$H387*$I387)</f>
        <v/>
      </c>
      <c r="K387" s="24" t="n"/>
      <c r="L387" s="24" t="n"/>
      <c r="M387" s="29" t="n"/>
      <c r="N387" s="28" t="n"/>
      <c r="O387" s="24" t="n"/>
      <c r="P387" s="24" t="n"/>
      <c r="Q387" s="24" t="n"/>
      <c r="R387" s="24" t="n"/>
      <c r="S387" s="22">
        <f>IF(AND($A387="",$C387=""),"",IF($A387="","Thiếu mã đơn; ","")&amp;IF(COUNTIF($A$2:$A387,$A387)&gt;1,"Trùng mã đơn; ","")&amp;IF(ISNA(MATCH($C387,DATA_MASTER!$D$2:$D$5000,0)),"SĐT chưa đăng ký hội viên; ","")&amp;IF(AND($L387="Đã chuyển khoản",$M387=""),"Thiếu ngày nhận CK; ",""))</f>
        <v/>
      </c>
      <c r="T387" s="24" t="n"/>
    </row>
    <row r="388" ht="14.25" customHeight="1" s="40">
      <c r="A388" s="24" t="n"/>
      <c r="B388" s="29" t="n"/>
      <c r="C388" s="28" t="n"/>
      <c r="D388" s="22">
        <f t="array" ref="D388">IF($C388="","",IFERROR(INDEX(DATA_MASTER!$C$2:$C$5000,MATCH($C388,DATA_MASTER!$D$2:$D$5000,0)),""))</f>
        <v/>
      </c>
      <c r="E388" s="22">
        <f t="array" ref="E388">IF($C388="","",IFERROR(INDEX(DATA_MASTER!$I$2:$I$5000,MATCH($C388,DATA_MASTER!$D$2:$D$5000,0)),""))</f>
        <v/>
      </c>
      <c r="F388" s="22">
        <f t="array" ref="F388">IF($C388="","",IFERROR(INDEX(DATA_MASTER!$L$2:$L$5000,MATCH($C388,DATA_MASTER!$D$2:$D$5000,0)),""))</f>
        <v/>
      </c>
      <c r="G388" s="24" t="n"/>
      <c r="H388" s="24" t="n"/>
      <c r="I388" s="30" t="n"/>
      <c r="J388" s="23">
        <f>IF(OR($H388="",$I388=""),"",$H388*$I388)</f>
        <v/>
      </c>
      <c r="K388" s="24" t="n"/>
      <c r="L388" s="24" t="n"/>
      <c r="M388" s="29" t="n"/>
      <c r="N388" s="28" t="n"/>
      <c r="O388" s="24" t="n"/>
      <c r="P388" s="24" t="n"/>
      <c r="Q388" s="24" t="n"/>
      <c r="R388" s="24" t="n"/>
      <c r="S388" s="22">
        <f>IF(AND($A388="",$C388=""),"",IF($A388="","Thiếu mã đơn; ","")&amp;IF(COUNTIF($A$2:$A388,$A388)&gt;1,"Trùng mã đơn; ","")&amp;IF(ISNA(MATCH($C388,DATA_MASTER!$D$2:$D$5000,0)),"SĐT chưa đăng ký hội viên; ","")&amp;IF(AND($L388="Đã chuyển khoản",$M388=""),"Thiếu ngày nhận CK; ",""))</f>
        <v/>
      </c>
      <c r="T388" s="24" t="n"/>
    </row>
    <row r="389" ht="14.25" customHeight="1" s="40">
      <c r="A389" s="24" t="n"/>
      <c r="B389" s="29" t="n"/>
      <c r="C389" s="28" t="n"/>
      <c r="D389" s="22">
        <f t="array" ref="D389">IF($C389="","",IFERROR(INDEX(DATA_MASTER!$C$2:$C$5000,MATCH($C389,DATA_MASTER!$D$2:$D$5000,0)),""))</f>
        <v/>
      </c>
      <c r="E389" s="22">
        <f t="array" ref="E389">IF($C389="","",IFERROR(INDEX(DATA_MASTER!$I$2:$I$5000,MATCH($C389,DATA_MASTER!$D$2:$D$5000,0)),""))</f>
        <v/>
      </c>
      <c r="F389" s="22">
        <f t="array" ref="F389">IF($C389="","",IFERROR(INDEX(DATA_MASTER!$L$2:$L$5000,MATCH($C389,DATA_MASTER!$D$2:$D$5000,0)),""))</f>
        <v/>
      </c>
      <c r="G389" s="24" t="n"/>
      <c r="H389" s="24" t="n"/>
      <c r="I389" s="30" t="n"/>
      <c r="J389" s="23">
        <f>IF(OR($H389="",$I389=""),"",$H389*$I389)</f>
        <v/>
      </c>
      <c r="K389" s="24" t="n"/>
      <c r="L389" s="24" t="n"/>
      <c r="M389" s="29" t="n"/>
      <c r="N389" s="28" t="n"/>
      <c r="O389" s="24" t="n"/>
      <c r="P389" s="24" t="n"/>
      <c r="Q389" s="24" t="n"/>
      <c r="R389" s="24" t="n"/>
      <c r="S389" s="22">
        <f>IF(AND($A389="",$C389=""),"",IF($A389="","Thiếu mã đơn; ","")&amp;IF(COUNTIF($A$2:$A389,$A389)&gt;1,"Trùng mã đơn; ","")&amp;IF(ISNA(MATCH($C389,DATA_MASTER!$D$2:$D$5000,0)),"SĐT chưa đăng ký hội viên; ","")&amp;IF(AND($L389="Đã chuyển khoản",$M389=""),"Thiếu ngày nhận CK; ",""))</f>
        <v/>
      </c>
      <c r="T389" s="24" t="n"/>
    </row>
    <row r="390" ht="14.25" customHeight="1" s="40">
      <c r="A390" s="24" t="n"/>
      <c r="B390" s="29" t="n"/>
      <c r="C390" s="28" t="n"/>
      <c r="D390" s="22">
        <f t="array" ref="D390">IF($C390="","",IFERROR(INDEX(DATA_MASTER!$C$2:$C$5000,MATCH($C390,DATA_MASTER!$D$2:$D$5000,0)),""))</f>
        <v/>
      </c>
      <c r="E390" s="22">
        <f t="array" ref="E390">IF($C390="","",IFERROR(INDEX(DATA_MASTER!$I$2:$I$5000,MATCH($C390,DATA_MASTER!$D$2:$D$5000,0)),""))</f>
        <v/>
      </c>
      <c r="F390" s="22">
        <f t="array" ref="F390">IF($C390="","",IFERROR(INDEX(DATA_MASTER!$L$2:$L$5000,MATCH($C390,DATA_MASTER!$D$2:$D$5000,0)),""))</f>
        <v/>
      </c>
      <c r="G390" s="24" t="n"/>
      <c r="H390" s="24" t="n"/>
      <c r="I390" s="30" t="n"/>
      <c r="J390" s="23">
        <f>IF(OR($H390="",$I390=""),"",$H390*$I390)</f>
        <v/>
      </c>
      <c r="K390" s="24" t="n"/>
      <c r="L390" s="24" t="n"/>
      <c r="M390" s="29" t="n"/>
      <c r="N390" s="28" t="n"/>
      <c r="O390" s="24" t="n"/>
      <c r="P390" s="24" t="n"/>
      <c r="Q390" s="24" t="n"/>
      <c r="R390" s="24" t="n"/>
      <c r="S390" s="22">
        <f>IF(AND($A390="",$C390=""),"",IF($A390="","Thiếu mã đơn; ","")&amp;IF(COUNTIF($A$2:$A390,$A390)&gt;1,"Trùng mã đơn; ","")&amp;IF(ISNA(MATCH($C390,DATA_MASTER!$D$2:$D$5000,0)),"SĐT chưa đăng ký hội viên; ","")&amp;IF(AND($L390="Đã chuyển khoản",$M390=""),"Thiếu ngày nhận CK; ",""))</f>
        <v/>
      </c>
      <c r="T390" s="24" t="n"/>
    </row>
    <row r="391" ht="14.25" customHeight="1" s="40">
      <c r="A391" s="24" t="n"/>
      <c r="B391" s="29" t="n"/>
      <c r="C391" s="28" t="n"/>
      <c r="D391" s="22">
        <f t="array" ref="D391">IF($C391="","",IFERROR(INDEX(DATA_MASTER!$C$2:$C$5000,MATCH($C391,DATA_MASTER!$D$2:$D$5000,0)),""))</f>
        <v/>
      </c>
      <c r="E391" s="22">
        <f t="array" ref="E391">IF($C391="","",IFERROR(INDEX(DATA_MASTER!$I$2:$I$5000,MATCH($C391,DATA_MASTER!$D$2:$D$5000,0)),""))</f>
        <v/>
      </c>
      <c r="F391" s="22">
        <f t="array" ref="F391">IF($C391="","",IFERROR(INDEX(DATA_MASTER!$L$2:$L$5000,MATCH($C391,DATA_MASTER!$D$2:$D$5000,0)),""))</f>
        <v/>
      </c>
      <c r="G391" s="24" t="n"/>
      <c r="H391" s="24" t="n"/>
      <c r="I391" s="30" t="n"/>
      <c r="J391" s="23">
        <f>IF(OR($H391="",$I391=""),"",$H391*$I391)</f>
        <v/>
      </c>
      <c r="K391" s="24" t="n"/>
      <c r="L391" s="24" t="n"/>
      <c r="M391" s="29" t="n"/>
      <c r="N391" s="28" t="n"/>
      <c r="O391" s="24" t="n"/>
      <c r="P391" s="24" t="n"/>
      <c r="Q391" s="24" t="n"/>
      <c r="R391" s="24" t="n"/>
      <c r="S391" s="22">
        <f>IF(AND($A391="",$C391=""),"",IF($A391="","Thiếu mã đơn; ","")&amp;IF(COUNTIF($A$2:$A391,$A391)&gt;1,"Trùng mã đơn; ","")&amp;IF(ISNA(MATCH($C391,DATA_MASTER!$D$2:$D$5000,0)),"SĐT chưa đăng ký hội viên; ","")&amp;IF(AND($L391="Đã chuyển khoản",$M391=""),"Thiếu ngày nhận CK; ",""))</f>
        <v/>
      </c>
      <c r="T391" s="24" t="n"/>
    </row>
    <row r="392" ht="14.25" customHeight="1" s="40">
      <c r="A392" s="24" t="n"/>
      <c r="B392" s="29" t="n"/>
      <c r="C392" s="28" t="n"/>
      <c r="D392" s="22">
        <f t="array" ref="D392">IF($C392="","",IFERROR(INDEX(DATA_MASTER!$C$2:$C$5000,MATCH($C392,DATA_MASTER!$D$2:$D$5000,0)),""))</f>
        <v/>
      </c>
      <c r="E392" s="22">
        <f t="array" ref="E392">IF($C392="","",IFERROR(INDEX(DATA_MASTER!$I$2:$I$5000,MATCH($C392,DATA_MASTER!$D$2:$D$5000,0)),""))</f>
        <v/>
      </c>
      <c r="F392" s="22">
        <f t="array" ref="F392">IF($C392="","",IFERROR(INDEX(DATA_MASTER!$L$2:$L$5000,MATCH($C392,DATA_MASTER!$D$2:$D$5000,0)),""))</f>
        <v/>
      </c>
      <c r="G392" s="24" t="n"/>
      <c r="H392" s="24" t="n"/>
      <c r="I392" s="30" t="n"/>
      <c r="J392" s="23">
        <f>IF(OR($H392="",$I392=""),"",$H392*$I392)</f>
        <v/>
      </c>
      <c r="K392" s="24" t="n"/>
      <c r="L392" s="24" t="n"/>
      <c r="M392" s="29" t="n"/>
      <c r="N392" s="28" t="n"/>
      <c r="O392" s="24" t="n"/>
      <c r="P392" s="24" t="n"/>
      <c r="Q392" s="24" t="n"/>
      <c r="R392" s="24" t="n"/>
      <c r="S392" s="22">
        <f>IF(AND($A392="",$C392=""),"",IF($A392="","Thiếu mã đơn; ","")&amp;IF(COUNTIF($A$2:$A392,$A392)&gt;1,"Trùng mã đơn; ","")&amp;IF(ISNA(MATCH($C392,DATA_MASTER!$D$2:$D$5000,0)),"SĐT chưa đăng ký hội viên; ","")&amp;IF(AND($L392="Đã chuyển khoản",$M392=""),"Thiếu ngày nhận CK; ",""))</f>
        <v/>
      </c>
      <c r="T392" s="24" t="n"/>
    </row>
    <row r="393" ht="14.25" customHeight="1" s="40">
      <c r="A393" s="24" t="n"/>
      <c r="B393" s="29" t="n"/>
      <c r="C393" s="28" t="n"/>
      <c r="D393" s="22">
        <f t="array" ref="D393">IF($C393="","",IFERROR(INDEX(DATA_MASTER!$C$2:$C$5000,MATCH($C393,DATA_MASTER!$D$2:$D$5000,0)),""))</f>
        <v/>
      </c>
      <c r="E393" s="22">
        <f t="array" ref="E393">IF($C393="","",IFERROR(INDEX(DATA_MASTER!$I$2:$I$5000,MATCH($C393,DATA_MASTER!$D$2:$D$5000,0)),""))</f>
        <v/>
      </c>
      <c r="F393" s="22">
        <f t="array" ref="F393">IF($C393="","",IFERROR(INDEX(DATA_MASTER!$L$2:$L$5000,MATCH($C393,DATA_MASTER!$D$2:$D$5000,0)),""))</f>
        <v/>
      </c>
      <c r="G393" s="24" t="n"/>
      <c r="H393" s="24" t="n"/>
      <c r="I393" s="30" t="n"/>
      <c r="J393" s="23">
        <f>IF(OR($H393="",$I393=""),"",$H393*$I393)</f>
        <v/>
      </c>
      <c r="K393" s="24" t="n"/>
      <c r="L393" s="24" t="n"/>
      <c r="M393" s="29" t="n"/>
      <c r="N393" s="28" t="n"/>
      <c r="O393" s="24" t="n"/>
      <c r="P393" s="24" t="n"/>
      <c r="Q393" s="24" t="n"/>
      <c r="R393" s="24" t="n"/>
      <c r="S393" s="22">
        <f>IF(AND($A393="",$C393=""),"",IF($A393="","Thiếu mã đơn; ","")&amp;IF(COUNTIF($A$2:$A393,$A393)&gt;1,"Trùng mã đơn; ","")&amp;IF(ISNA(MATCH($C393,DATA_MASTER!$D$2:$D$5000,0)),"SĐT chưa đăng ký hội viên; ","")&amp;IF(AND($L393="Đã chuyển khoản",$M393=""),"Thiếu ngày nhận CK; ",""))</f>
        <v/>
      </c>
      <c r="T393" s="24" t="n"/>
    </row>
    <row r="394" ht="14.25" customHeight="1" s="40">
      <c r="A394" s="24" t="n"/>
      <c r="B394" s="29" t="n"/>
      <c r="C394" s="28" t="n"/>
      <c r="D394" s="22">
        <f t="array" ref="D394">IF($C394="","",IFERROR(INDEX(DATA_MASTER!$C$2:$C$5000,MATCH($C394,DATA_MASTER!$D$2:$D$5000,0)),""))</f>
        <v/>
      </c>
      <c r="E394" s="22">
        <f t="array" ref="E394">IF($C394="","",IFERROR(INDEX(DATA_MASTER!$I$2:$I$5000,MATCH($C394,DATA_MASTER!$D$2:$D$5000,0)),""))</f>
        <v/>
      </c>
      <c r="F394" s="22">
        <f t="array" ref="F394">IF($C394="","",IFERROR(INDEX(DATA_MASTER!$L$2:$L$5000,MATCH($C394,DATA_MASTER!$D$2:$D$5000,0)),""))</f>
        <v/>
      </c>
      <c r="G394" s="24" t="n"/>
      <c r="H394" s="24" t="n"/>
      <c r="I394" s="30" t="n"/>
      <c r="J394" s="23">
        <f>IF(OR($H394="",$I394=""),"",$H394*$I394)</f>
        <v/>
      </c>
      <c r="K394" s="24" t="n"/>
      <c r="L394" s="24" t="n"/>
      <c r="M394" s="29" t="n"/>
      <c r="N394" s="28" t="n"/>
      <c r="O394" s="24" t="n"/>
      <c r="P394" s="24" t="n"/>
      <c r="Q394" s="24" t="n"/>
      <c r="R394" s="24" t="n"/>
      <c r="S394" s="22">
        <f>IF(AND($A394="",$C394=""),"",IF($A394="","Thiếu mã đơn; ","")&amp;IF(COUNTIF($A$2:$A394,$A394)&gt;1,"Trùng mã đơn; ","")&amp;IF(ISNA(MATCH($C394,DATA_MASTER!$D$2:$D$5000,0)),"SĐT chưa đăng ký hội viên; ","")&amp;IF(AND($L394="Đã chuyển khoản",$M394=""),"Thiếu ngày nhận CK; ",""))</f>
        <v/>
      </c>
      <c r="T394" s="24" t="n"/>
    </row>
    <row r="395" ht="14.25" customHeight="1" s="40">
      <c r="A395" s="24" t="n"/>
      <c r="B395" s="29" t="n"/>
      <c r="C395" s="28" t="n"/>
      <c r="D395" s="22">
        <f t="array" ref="D395">IF($C395="","",IFERROR(INDEX(DATA_MASTER!$C$2:$C$5000,MATCH($C395,DATA_MASTER!$D$2:$D$5000,0)),""))</f>
        <v/>
      </c>
      <c r="E395" s="22">
        <f t="array" ref="E395">IF($C395="","",IFERROR(INDEX(DATA_MASTER!$I$2:$I$5000,MATCH($C395,DATA_MASTER!$D$2:$D$5000,0)),""))</f>
        <v/>
      </c>
      <c r="F395" s="22">
        <f t="array" ref="F395">IF($C395="","",IFERROR(INDEX(DATA_MASTER!$L$2:$L$5000,MATCH($C395,DATA_MASTER!$D$2:$D$5000,0)),""))</f>
        <v/>
      </c>
      <c r="G395" s="24" t="n"/>
      <c r="H395" s="24" t="n"/>
      <c r="I395" s="30" t="n"/>
      <c r="J395" s="23">
        <f>IF(OR($H395="",$I395=""),"",$H395*$I395)</f>
        <v/>
      </c>
      <c r="K395" s="24" t="n"/>
      <c r="L395" s="24" t="n"/>
      <c r="M395" s="29" t="n"/>
      <c r="N395" s="28" t="n"/>
      <c r="O395" s="24" t="n"/>
      <c r="P395" s="24" t="n"/>
      <c r="Q395" s="24" t="n"/>
      <c r="R395" s="24" t="n"/>
      <c r="S395" s="22">
        <f>IF(AND($A395="",$C395=""),"",IF($A395="","Thiếu mã đơn; ","")&amp;IF(COUNTIF($A$2:$A395,$A395)&gt;1,"Trùng mã đơn; ","")&amp;IF(ISNA(MATCH($C395,DATA_MASTER!$D$2:$D$5000,0)),"SĐT chưa đăng ký hội viên; ","")&amp;IF(AND($L395="Đã chuyển khoản",$M395=""),"Thiếu ngày nhận CK; ",""))</f>
        <v/>
      </c>
      <c r="T395" s="24" t="n"/>
    </row>
    <row r="396" ht="14.25" customHeight="1" s="40">
      <c r="A396" s="24" t="n"/>
      <c r="B396" s="29" t="n"/>
      <c r="C396" s="28" t="n"/>
      <c r="D396" s="22">
        <f t="array" ref="D396">IF($C396="","",IFERROR(INDEX(DATA_MASTER!$C$2:$C$5000,MATCH($C396,DATA_MASTER!$D$2:$D$5000,0)),""))</f>
        <v/>
      </c>
      <c r="E396" s="22">
        <f t="array" ref="E396">IF($C396="","",IFERROR(INDEX(DATA_MASTER!$I$2:$I$5000,MATCH($C396,DATA_MASTER!$D$2:$D$5000,0)),""))</f>
        <v/>
      </c>
      <c r="F396" s="22">
        <f t="array" ref="F396">IF($C396="","",IFERROR(INDEX(DATA_MASTER!$L$2:$L$5000,MATCH($C396,DATA_MASTER!$D$2:$D$5000,0)),""))</f>
        <v/>
      </c>
      <c r="G396" s="24" t="n"/>
      <c r="H396" s="24" t="n"/>
      <c r="I396" s="30" t="n"/>
      <c r="J396" s="23">
        <f>IF(OR($H396="",$I396=""),"",$H396*$I396)</f>
        <v/>
      </c>
      <c r="K396" s="24" t="n"/>
      <c r="L396" s="24" t="n"/>
      <c r="M396" s="29" t="n"/>
      <c r="N396" s="28" t="n"/>
      <c r="O396" s="24" t="n"/>
      <c r="P396" s="24" t="n"/>
      <c r="Q396" s="24" t="n"/>
      <c r="R396" s="24" t="n"/>
      <c r="S396" s="22">
        <f>IF(AND($A396="",$C396=""),"",IF($A396="","Thiếu mã đơn; ","")&amp;IF(COUNTIF($A$2:$A396,$A396)&gt;1,"Trùng mã đơn; ","")&amp;IF(ISNA(MATCH($C396,DATA_MASTER!$D$2:$D$5000,0)),"SĐT chưa đăng ký hội viên; ","")&amp;IF(AND($L396="Đã chuyển khoản",$M396=""),"Thiếu ngày nhận CK; ",""))</f>
        <v/>
      </c>
      <c r="T396" s="24" t="n"/>
    </row>
    <row r="397" ht="14.25" customHeight="1" s="40">
      <c r="A397" s="24" t="n"/>
      <c r="B397" s="29" t="n"/>
      <c r="C397" s="28" t="n"/>
      <c r="D397" s="22">
        <f t="array" ref="D397">IF($C397="","",IFERROR(INDEX(DATA_MASTER!$C$2:$C$5000,MATCH($C397,DATA_MASTER!$D$2:$D$5000,0)),""))</f>
        <v/>
      </c>
      <c r="E397" s="22">
        <f t="array" ref="E397">IF($C397="","",IFERROR(INDEX(DATA_MASTER!$I$2:$I$5000,MATCH($C397,DATA_MASTER!$D$2:$D$5000,0)),""))</f>
        <v/>
      </c>
      <c r="F397" s="22">
        <f t="array" ref="F397">IF($C397="","",IFERROR(INDEX(DATA_MASTER!$L$2:$L$5000,MATCH($C397,DATA_MASTER!$D$2:$D$5000,0)),""))</f>
        <v/>
      </c>
      <c r="G397" s="24" t="n"/>
      <c r="H397" s="24" t="n"/>
      <c r="I397" s="30" t="n"/>
      <c r="J397" s="23">
        <f>IF(OR($H397="",$I397=""),"",$H397*$I397)</f>
        <v/>
      </c>
      <c r="K397" s="24" t="n"/>
      <c r="L397" s="24" t="n"/>
      <c r="M397" s="29" t="n"/>
      <c r="N397" s="28" t="n"/>
      <c r="O397" s="24" t="n"/>
      <c r="P397" s="24" t="n"/>
      <c r="Q397" s="24" t="n"/>
      <c r="R397" s="24" t="n"/>
      <c r="S397" s="22">
        <f>IF(AND($A397="",$C397=""),"",IF($A397="","Thiếu mã đơn; ","")&amp;IF(COUNTIF($A$2:$A397,$A397)&gt;1,"Trùng mã đơn; ","")&amp;IF(ISNA(MATCH($C397,DATA_MASTER!$D$2:$D$5000,0)),"SĐT chưa đăng ký hội viên; ","")&amp;IF(AND($L397="Đã chuyển khoản",$M397=""),"Thiếu ngày nhận CK; ",""))</f>
        <v/>
      </c>
      <c r="T397" s="24" t="n"/>
    </row>
    <row r="398" ht="14.25" customHeight="1" s="40">
      <c r="A398" s="24" t="n"/>
      <c r="B398" s="29" t="n"/>
      <c r="C398" s="28" t="n"/>
      <c r="D398" s="22">
        <f t="array" ref="D398">IF($C398="","",IFERROR(INDEX(DATA_MASTER!$C$2:$C$5000,MATCH($C398,DATA_MASTER!$D$2:$D$5000,0)),""))</f>
        <v/>
      </c>
      <c r="E398" s="22">
        <f t="array" ref="E398">IF($C398="","",IFERROR(INDEX(DATA_MASTER!$I$2:$I$5000,MATCH($C398,DATA_MASTER!$D$2:$D$5000,0)),""))</f>
        <v/>
      </c>
      <c r="F398" s="22">
        <f t="array" ref="F398">IF($C398="","",IFERROR(INDEX(DATA_MASTER!$L$2:$L$5000,MATCH($C398,DATA_MASTER!$D$2:$D$5000,0)),""))</f>
        <v/>
      </c>
      <c r="G398" s="24" t="n"/>
      <c r="H398" s="24" t="n"/>
      <c r="I398" s="30" t="n"/>
      <c r="J398" s="23">
        <f>IF(OR($H398="",$I398=""),"",$H398*$I398)</f>
        <v/>
      </c>
      <c r="K398" s="24" t="n"/>
      <c r="L398" s="24" t="n"/>
      <c r="M398" s="29" t="n"/>
      <c r="N398" s="28" t="n"/>
      <c r="O398" s="24" t="n"/>
      <c r="P398" s="24" t="n"/>
      <c r="Q398" s="24" t="n"/>
      <c r="R398" s="24" t="n"/>
      <c r="S398" s="22">
        <f>IF(AND($A398="",$C398=""),"",IF($A398="","Thiếu mã đơn; ","")&amp;IF(COUNTIF($A$2:$A398,$A398)&gt;1,"Trùng mã đơn; ","")&amp;IF(ISNA(MATCH($C398,DATA_MASTER!$D$2:$D$5000,0)),"SĐT chưa đăng ký hội viên; ","")&amp;IF(AND($L398="Đã chuyển khoản",$M398=""),"Thiếu ngày nhận CK; ",""))</f>
        <v/>
      </c>
      <c r="T398" s="24" t="n"/>
    </row>
    <row r="399" ht="14.25" customHeight="1" s="40">
      <c r="A399" s="24" t="n"/>
      <c r="B399" s="29" t="n"/>
      <c r="C399" s="28" t="n"/>
      <c r="D399" s="22">
        <f t="array" ref="D399">IF($C399="","",IFERROR(INDEX(DATA_MASTER!$C$2:$C$5000,MATCH($C399,DATA_MASTER!$D$2:$D$5000,0)),""))</f>
        <v/>
      </c>
      <c r="E399" s="22">
        <f t="array" ref="E399">IF($C399="","",IFERROR(INDEX(DATA_MASTER!$I$2:$I$5000,MATCH($C399,DATA_MASTER!$D$2:$D$5000,0)),""))</f>
        <v/>
      </c>
      <c r="F399" s="22">
        <f t="array" ref="F399">IF($C399="","",IFERROR(INDEX(DATA_MASTER!$L$2:$L$5000,MATCH($C399,DATA_MASTER!$D$2:$D$5000,0)),""))</f>
        <v/>
      </c>
      <c r="G399" s="24" t="n"/>
      <c r="H399" s="24" t="n"/>
      <c r="I399" s="30" t="n"/>
      <c r="J399" s="23">
        <f>IF(OR($H399="",$I399=""),"",$H399*$I399)</f>
        <v/>
      </c>
      <c r="K399" s="24" t="n"/>
      <c r="L399" s="24" t="n"/>
      <c r="M399" s="29" t="n"/>
      <c r="N399" s="28" t="n"/>
      <c r="O399" s="24" t="n"/>
      <c r="P399" s="24" t="n"/>
      <c r="Q399" s="24" t="n"/>
      <c r="R399" s="24" t="n"/>
      <c r="S399" s="22">
        <f>IF(AND($A399="",$C399=""),"",IF($A399="","Thiếu mã đơn; ","")&amp;IF(COUNTIF($A$2:$A399,$A399)&gt;1,"Trùng mã đơn; ","")&amp;IF(ISNA(MATCH($C399,DATA_MASTER!$D$2:$D$5000,0)),"SĐT chưa đăng ký hội viên; ","")&amp;IF(AND($L399="Đã chuyển khoản",$M399=""),"Thiếu ngày nhận CK; ",""))</f>
        <v/>
      </c>
      <c r="T399" s="24" t="n"/>
    </row>
    <row r="400" ht="14.25" customHeight="1" s="40">
      <c r="A400" s="24" t="n"/>
      <c r="B400" s="29" t="n"/>
      <c r="C400" s="28" t="n"/>
      <c r="D400" s="22">
        <f t="array" ref="D400">IF($C400="","",IFERROR(INDEX(DATA_MASTER!$C$2:$C$5000,MATCH($C400,DATA_MASTER!$D$2:$D$5000,0)),""))</f>
        <v/>
      </c>
      <c r="E400" s="22">
        <f t="array" ref="E400">IF($C400="","",IFERROR(INDEX(DATA_MASTER!$I$2:$I$5000,MATCH($C400,DATA_MASTER!$D$2:$D$5000,0)),""))</f>
        <v/>
      </c>
      <c r="F400" s="22">
        <f t="array" ref="F400">IF($C400="","",IFERROR(INDEX(DATA_MASTER!$L$2:$L$5000,MATCH($C400,DATA_MASTER!$D$2:$D$5000,0)),""))</f>
        <v/>
      </c>
      <c r="G400" s="24" t="n"/>
      <c r="H400" s="24" t="n"/>
      <c r="I400" s="30" t="n"/>
      <c r="J400" s="23">
        <f>IF(OR($H400="",$I400=""),"",$H400*$I400)</f>
        <v/>
      </c>
      <c r="K400" s="24" t="n"/>
      <c r="L400" s="24" t="n"/>
      <c r="M400" s="29" t="n"/>
      <c r="N400" s="28" t="n"/>
      <c r="O400" s="24" t="n"/>
      <c r="P400" s="24" t="n"/>
      <c r="Q400" s="24" t="n"/>
      <c r="R400" s="24" t="n"/>
      <c r="S400" s="22">
        <f>IF(AND($A400="",$C400=""),"",IF($A400="","Thiếu mã đơn; ","")&amp;IF(COUNTIF($A$2:$A400,$A400)&gt;1,"Trùng mã đơn; ","")&amp;IF(ISNA(MATCH($C400,DATA_MASTER!$D$2:$D$5000,0)),"SĐT chưa đăng ký hội viên; ","")&amp;IF(AND($L400="Đã chuyển khoản",$M400=""),"Thiếu ngày nhận CK; ",""))</f>
        <v/>
      </c>
      <c r="T400" s="24" t="n"/>
    </row>
    <row r="401" ht="14.25" customHeight="1" s="40">
      <c r="A401" s="24" t="n"/>
      <c r="B401" s="29" t="n"/>
      <c r="C401" s="28" t="n"/>
      <c r="D401" s="22">
        <f t="array" ref="D401">IF($C401="","",IFERROR(INDEX(DATA_MASTER!$C$2:$C$5000,MATCH($C401,DATA_MASTER!$D$2:$D$5000,0)),""))</f>
        <v/>
      </c>
      <c r="E401" s="22">
        <f t="array" ref="E401">IF($C401="","",IFERROR(INDEX(DATA_MASTER!$I$2:$I$5000,MATCH($C401,DATA_MASTER!$D$2:$D$5000,0)),""))</f>
        <v/>
      </c>
      <c r="F401" s="22">
        <f t="array" ref="F401">IF($C401="","",IFERROR(INDEX(DATA_MASTER!$L$2:$L$5000,MATCH($C401,DATA_MASTER!$D$2:$D$5000,0)),""))</f>
        <v/>
      </c>
      <c r="G401" s="24" t="n"/>
      <c r="H401" s="24" t="n"/>
      <c r="I401" s="30" t="n"/>
      <c r="J401" s="23">
        <f>IF(OR($H401="",$I401=""),"",$H401*$I401)</f>
        <v/>
      </c>
      <c r="K401" s="24" t="n"/>
      <c r="L401" s="24" t="n"/>
      <c r="M401" s="29" t="n"/>
      <c r="N401" s="28" t="n"/>
      <c r="O401" s="24" t="n"/>
      <c r="P401" s="24" t="n"/>
      <c r="Q401" s="24" t="n"/>
      <c r="R401" s="24" t="n"/>
      <c r="S401" s="22">
        <f>IF(AND($A401="",$C401=""),"",IF($A401="","Thiếu mã đơn; ","")&amp;IF(COUNTIF($A$2:$A401,$A401)&gt;1,"Trùng mã đơn; ","")&amp;IF(ISNA(MATCH($C401,DATA_MASTER!$D$2:$D$5000,0)),"SĐT chưa đăng ký hội viên; ","")&amp;IF(AND($L401="Đã chuyển khoản",$M401=""),"Thiếu ngày nhận CK; ",""))</f>
        <v/>
      </c>
      <c r="T401" s="24" t="n"/>
    </row>
    <row r="402" ht="14.25" customHeight="1" s="40">
      <c r="A402" s="24" t="n"/>
      <c r="B402" s="29" t="n"/>
      <c r="C402" s="28" t="n"/>
      <c r="D402" s="22">
        <f t="array" ref="D402">IF($C402="","",IFERROR(INDEX(DATA_MASTER!$C$2:$C$5000,MATCH($C402,DATA_MASTER!$D$2:$D$5000,0)),""))</f>
        <v/>
      </c>
      <c r="E402" s="22">
        <f t="array" ref="E402">IF($C402="","",IFERROR(INDEX(DATA_MASTER!$I$2:$I$5000,MATCH($C402,DATA_MASTER!$D$2:$D$5000,0)),""))</f>
        <v/>
      </c>
      <c r="F402" s="22">
        <f t="array" ref="F402">IF($C402="","",IFERROR(INDEX(DATA_MASTER!$L$2:$L$5000,MATCH($C402,DATA_MASTER!$D$2:$D$5000,0)),""))</f>
        <v/>
      </c>
      <c r="G402" s="24" t="n"/>
      <c r="H402" s="24" t="n"/>
      <c r="I402" s="30" t="n"/>
      <c r="J402" s="23">
        <f>IF(OR($H402="",$I402=""),"",$H402*$I402)</f>
        <v/>
      </c>
      <c r="K402" s="24" t="n"/>
      <c r="L402" s="24" t="n"/>
      <c r="M402" s="29" t="n"/>
      <c r="N402" s="28" t="n"/>
      <c r="O402" s="24" t="n"/>
      <c r="P402" s="24" t="n"/>
      <c r="Q402" s="24" t="n"/>
      <c r="R402" s="24" t="n"/>
      <c r="S402" s="22">
        <f>IF(AND($A402="",$C402=""),"",IF($A402="","Thiếu mã đơn; ","")&amp;IF(COUNTIF($A$2:$A402,$A402)&gt;1,"Trùng mã đơn; ","")&amp;IF(ISNA(MATCH($C402,DATA_MASTER!$D$2:$D$5000,0)),"SĐT chưa đăng ký hội viên; ","")&amp;IF(AND($L402="Đã chuyển khoản",$M402=""),"Thiếu ngày nhận CK; ",""))</f>
        <v/>
      </c>
      <c r="T402" s="24" t="n"/>
    </row>
    <row r="403" ht="14.25" customHeight="1" s="40">
      <c r="A403" s="24" t="n"/>
      <c r="B403" s="29" t="n"/>
      <c r="C403" s="28" t="n"/>
      <c r="D403" s="22">
        <f t="array" ref="D403">IF($C403="","",IFERROR(INDEX(DATA_MASTER!$C$2:$C$5000,MATCH($C403,DATA_MASTER!$D$2:$D$5000,0)),""))</f>
        <v/>
      </c>
      <c r="E403" s="22">
        <f t="array" ref="E403">IF($C403="","",IFERROR(INDEX(DATA_MASTER!$I$2:$I$5000,MATCH($C403,DATA_MASTER!$D$2:$D$5000,0)),""))</f>
        <v/>
      </c>
      <c r="F403" s="22">
        <f t="array" ref="F403">IF($C403="","",IFERROR(INDEX(DATA_MASTER!$L$2:$L$5000,MATCH($C403,DATA_MASTER!$D$2:$D$5000,0)),""))</f>
        <v/>
      </c>
      <c r="G403" s="24" t="n"/>
      <c r="H403" s="24" t="n"/>
      <c r="I403" s="30" t="n"/>
      <c r="J403" s="23">
        <f>IF(OR($H403="",$I403=""),"",$H403*$I403)</f>
        <v/>
      </c>
      <c r="K403" s="24" t="n"/>
      <c r="L403" s="24" t="n"/>
      <c r="M403" s="29" t="n"/>
      <c r="N403" s="28" t="n"/>
      <c r="O403" s="24" t="n"/>
      <c r="P403" s="24" t="n"/>
      <c r="Q403" s="24" t="n"/>
      <c r="R403" s="24" t="n"/>
      <c r="S403" s="22">
        <f>IF(AND($A403="",$C403=""),"",IF($A403="","Thiếu mã đơn; ","")&amp;IF(COUNTIF($A$2:$A403,$A403)&gt;1,"Trùng mã đơn; ","")&amp;IF(ISNA(MATCH($C403,DATA_MASTER!$D$2:$D$5000,0)),"SĐT chưa đăng ký hội viên; ","")&amp;IF(AND($L403="Đã chuyển khoản",$M403=""),"Thiếu ngày nhận CK; ",""))</f>
        <v/>
      </c>
      <c r="T403" s="24" t="n"/>
    </row>
    <row r="404" ht="14.25" customHeight="1" s="40">
      <c r="A404" s="24" t="n"/>
      <c r="B404" s="29" t="n"/>
      <c r="C404" s="28" t="n"/>
      <c r="D404" s="22">
        <f t="array" ref="D404">IF($C404="","",IFERROR(INDEX(DATA_MASTER!$C$2:$C$5000,MATCH($C404,DATA_MASTER!$D$2:$D$5000,0)),""))</f>
        <v/>
      </c>
      <c r="E404" s="22">
        <f t="array" ref="E404">IF($C404="","",IFERROR(INDEX(DATA_MASTER!$I$2:$I$5000,MATCH($C404,DATA_MASTER!$D$2:$D$5000,0)),""))</f>
        <v/>
      </c>
      <c r="F404" s="22">
        <f t="array" ref="F404">IF($C404="","",IFERROR(INDEX(DATA_MASTER!$L$2:$L$5000,MATCH($C404,DATA_MASTER!$D$2:$D$5000,0)),""))</f>
        <v/>
      </c>
      <c r="G404" s="24" t="n"/>
      <c r="H404" s="24" t="n"/>
      <c r="I404" s="30" t="n"/>
      <c r="J404" s="23">
        <f>IF(OR($H404="",$I404=""),"",$H404*$I404)</f>
        <v/>
      </c>
      <c r="K404" s="24" t="n"/>
      <c r="L404" s="24" t="n"/>
      <c r="M404" s="29" t="n"/>
      <c r="N404" s="28" t="n"/>
      <c r="O404" s="24" t="n"/>
      <c r="P404" s="24" t="n"/>
      <c r="Q404" s="24" t="n"/>
      <c r="R404" s="24" t="n"/>
      <c r="S404" s="22">
        <f>IF(AND($A404="",$C404=""),"",IF($A404="","Thiếu mã đơn; ","")&amp;IF(COUNTIF($A$2:$A404,$A404)&gt;1,"Trùng mã đơn; ","")&amp;IF(ISNA(MATCH($C404,DATA_MASTER!$D$2:$D$5000,0)),"SĐT chưa đăng ký hội viên; ","")&amp;IF(AND($L404="Đã chuyển khoản",$M404=""),"Thiếu ngày nhận CK; ",""))</f>
        <v/>
      </c>
      <c r="T404" s="24" t="n"/>
    </row>
    <row r="405" ht="14.25" customHeight="1" s="40">
      <c r="A405" s="24" t="n"/>
      <c r="B405" s="29" t="n"/>
      <c r="C405" s="28" t="n"/>
      <c r="D405" s="22">
        <f t="array" ref="D405">IF($C405="","",IFERROR(INDEX(DATA_MASTER!$C$2:$C$5000,MATCH($C405,DATA_MASTER!$D$2:$D$5000,0)),""))</f>
        <v/>
      </c>
      <c r="E405" s="22">
        <f t="array" ref="E405">IF($C405="","",IFERROR(INDEX(DATA_MASTER!$I$2:$I$5000,MATCH($C405,DATA_MASTER!$D$2:$D$5000,0)),""))</f>
        <v/>
      </c>
      <c r="F405" s="22">
        <f t="array" ref="F405">IF($C405="","",IFERROR(INDEX(DATA_MASTER!$L$2:$L$5000,MATCH($C405,DATA_MASTER!$D$2:$D$5000,0)),""))</f>
        <v/>
      </c>
      <c r="G405" s="24" t="n"/>
      <c r="H405" s="24" t="n"/>
      <c r="I405" s="30" t="n"/>
      <c r="J405" s="23">
        <f>IF(OR($H405="",$I405=""),"",$H405*$I405)</f>
        <v/>
      </c>
      <c r="K405" s="24" t="n"/>
      <c r="L405" s="24" t="n"/>
      <c r="M405" s="29" t="n"/>
      <c r="N405" s="28" t="n"/>
      <c r="O405" s="24" t="n"/>
      <c r="P405" s="24" t="n"/>
      <c r="Q405" s="24" t="n"/>
      <c r="R405" s="24" t="n"/>
      <c r="S405" s="22">
        <f>IF(AND($A405="",$C405=""),"",IF($A405="","Thiếu mã đơn; ","")&amp;IF(COUNTIF($A$2:$A405,$A405)&gt;1,"Trùng mã đơn; ","")&amp;IF(ISNA(MATCH($C405,DATA_MASTER!$D$2:$D$5000,0)),"SĐT chưa đăng ký hội viên; ","")&amp;IF(AND($L405="Đã chuyển khoản",$M405=""),"Thiếu ngày nhận CK; ",""))</f>
        <v/>
      </c>
      <c r="T405" s="24" t="n"/>
    </row>
    <row r="406" ht="14.25" customHeight="1" s="40">
      <c r="A406" s="24" t="n"/>
      <c r="B406" s="29" t="n"/>
      <c r="C406" s="28" t="n"/>
      <c r="D406" s="22">
        <f t="array" ref="D406">IF($C406="","",IFERROR(INDEX(DATA_MASTER!$C$2:$C$5000,MATCH($C406,DATA_MASTER!$D$2:$D$5000,0)),""))</f>
        <v/>
      </c>
      <c r="E406" s="22">
        <f t="array" ref="E406">IF($C406="","",IFERROR(INDEX(DATA_MASTER!$I$2:$I$5000,MATCH($C406,DATA_MASTER!$D$2:$D$5000,0)),""))</f>
        <v/>
      </c>
      <c r="F406" s="22">
        <f t="array" ref="F406">IF($C406="","",IFERROR(INDEX(DATA_MASTER!$L$2:$L$5000,MATCH($C406,DATA_MASTER!$D$2:$D$5000,0)),""))</f>
        <v/>
      </c>
      <c r="G406" s="24" t="n"/>
      <c r="H406" s="24" t="n"/>
      <c r="I406" s="30" t="n"/>
      <c r="J406" s="23">
        <f>IF(OR($H406="",$I406=""),"",$H406*$I406)</f>
        <v/>
      </c>
      <c r="K406" s="24" t="n"/>
      <c r="L406" s="24" t="n"/>
      <c r="M406" s="29" t="n"/>
      <c r="N406" s="28" t="n"/>
      <c r="O406" s="24" t="n"/>
      <c r="P406" s="24" t="n"/>
      <c r="Q406" s="24" t="n"/>
      <c r="R406" s="24" t="n"/>
      <c r="S406" s="22">
        <f>IF(AND($A406="",$C406=""),"",IF($A406="","Thiếu mã đơn; ","")&amp;IF(COUNTIF($A$2:$A406,$A406)&gt;1,"Trùng mã đơn; ","")&amp;IF(ISNA(MATCH($C406,DATA_MASTER!$D$2:$D$5000,0)),"SĐT chưa đăng ký hội viên; ","")&amp;IF(AND($L406="Đã chuyển khoản",$M406=""),"Thiếu ngày nhận CK; ",""))</f>
        <v/>
      </c>
      <c r="T406" s="24" t="n"/>
    </row>
    <row r="407" ht="14.25" customHeight="1" s="40">
      <c r="A407" s="24" t="n"/>
      <c r="B407" s="29" t="n"/>
      <c r="C407" s="28" t="n"/>
      <c r="D407" s="22">
        <f t="array" ref="D407">IF($C407="","",IFERROR(INDEX(DATA_MASTER!$C$2:$C$5000,MATCH($C407,DATA_MASTER!$D$2:$D$5000,0)),""))</f>
        <v/>
      </c>
      <c r="E407" s="22">
        <f t="array" ref="E407">IF($C407="","",IFERROR(INDEX(DATA_MASTER!$I$2:$I$5000,MATCH($C407,DATA_MASTER!$D$2:$D$5000,0)),""))</f>
        <v/>
      </c>
      <c r="F407" s="22">
        <f t="array" ref="F407">IF($C407="","",IFERROR(INDEX(DATA_MASTER!$L$2:$L$5000,MATCH($C407,DATA_MASTER!$D$2:$D$5000,0)),""))</f>
        <v/>
      </c>
      <c r="G407" s="24" t="n"/>
      <c r="H407" s="24" t="n"/>
      <c r="I407" s="30" t="n"/>
      <c r="J407" s="23">
        <f>IF(OR($H407="",$I407=""),"",$H407*$I407)</f>
        <v/>
      </c>
      <c r="K407" s="24" t="n"/>
      <c r="L407" s="24" t="n"/>
      <c r="M407" s="29" t="n"/>
      <c r="N407" s="28" t="n"/>
      <c r="O407" s="24" t="n"/>
      <c r="P407" s="24" t="n"/>
      <c r="Q407" s="24" t="n"/>
      <c r="R407" s="24" t="n"/>
      <c r="S407" s="22">
        <f>IF(AND($A407="",$C407=""),"",IF($A407="","Thiếu mã đơn; ","")&amp;IF(COUNTIF($A$2:$A407,$A407)&gt;1,"Trùng mã đơn; ","")&amp;IF(ISNA(MATCH($C407,DATA_MASTER!$D$2:$D$5000,0)),"SĐT chưa đăng ký hội viên; ","")&amp;IF(AND($L407="Đã chuyển khoản",$M407=""),"Thiếu ngày nhận CK; ",""))</f>
        <v/>
      </c>
      <c r="T407" s="24" t="n"/>
    </row>
    <row r="408" ht="14.25" customHeight="1" s="40">
      <c r="A408" s="24" t="n"/>
      <c r="B408" s="29" t="n"/>
      <c r="C408" s="28" t="n"/>
      <c r="D408" s="22">
        <f t="array" ref="D408">IF($C408="","",IFERROR(INDEX(DATA_MASTER!$C$2:$C$5000,MATCH($C408,DATA_MASTER!$D$2:$D$5000,0)),""))</f>
        <v/>
      </c>
      <c r="E408" s="22">
        <f t="array" ref="E408">IF($C408="","",IFERROR(INDEX(DATA_MASTER!$I$2:$I$5000,MATCH($C408,DATA_MASTER!$D$2:$D$5000,0)),""))</f>
        <v/>
      </c>
      <c r="F408" s="22">
        <f t="array" ref="F408">IF($C408="","",IFERROR(INDEX(DATA_MASTER!$L$2:$L$5000,MATCH($C408,DATA_MASTER!$D$2:$D$5000,0)),""))</f>
        <v/>
      </c>
      <c r="G408" s="24" t="n"/>
      <c r="H408" s="24" t="n"/>
      <c r="I408" s="30" t="n"/>
      <c r="J408" s="23">
        <f>IF(OR($H408="",$I408=""),"",$H408*$I408)</f>
        <v/>
      </c>
      <c r="K408" s="24" t="n"/>
      <c r="L408" s="24" t="n"/>
      <c r="M408" s="29" t="n"/>
      <c r="N408" s="28" t="n"/>
      <c r="O408" s="24" t="n"/>
      <c r="P408" s="24" t="n"/>
      <c r="Q408" s="24" t="n"/>
      <c r="R408" s="24" t="n"/>
      <c r="S408" s="22">
        <f>IF(AND($A408="",$C408=""),"",IF($A408="","Thiếu mã đơn; ","")&amp;IF(COUNTIF($A$2:$A408,$A408)&gt;1,"Trùng mã đơn; ","")&amp;IF(ISNA(MATCH($C408,DATA_MASTER!$D$2:$D$5000,0)),"SĐT chưa đăng ký hội viên; ","")&amp;IF(AND($L408="Đã chuyển khoản",$M408=""),"Thiếu ngày nhận CK; ",""))</f>
        <v/>
      </c>
      <c r="T408" s="24" t="n"/>
    </row>
    <row r="409" ht="14.25" customHeight="1" s="40">
      <c r="A409" s="24" t="n"/>
      <c r="B409" s="29" t="n"/>
      <c r="C409" s="28" t="n"/>
      <c r="D409" s="22">
        <f t="array" ref="D409">IF($C409="","",IFERROR(INDEX(DATA_MASTER!$C$2:$C$5000,MATCH($C409,DATA_MASTER!$D$2:$D$5000,0)),""))</f>
        <v/>
      </c>
      <c r="E409" s="22">
        <f t="array" ref="E409">IF($C409="","",IFERROR(INDEX(DATA_MASTER!$I$2:$I$5000,MATCH($C409,DATA_MASTER!$D$2:$D$5000,0)),""))</f>
        <v/>
      </c>
      <c r="F409" s="22">
        <f t="array" ref="F409">IF($C409="","",IFERROR(INDEX(DATA_MASTER!$L$2:$L$5000,MATCH($C409,DATA_MASTER!$D$2:$D$5000,0)),""))</f>
        <v/>
      </c>
      <c r="G409" s="24" t="n"/>
      <c r="H409" s="24" t="n"/>
      <c r="I409" s="30" t="n"/>
      <c r="J409" s="23">
        <f>IF(OR($H409="",$I409=""),"",$H409*$I409)</f>
        <v/>
      </c>
      <c r="K409" s="24" t="n"/>
      <c r="L409" s="24" t="n"/>
      <c r="M409" s="29" t="n"/>
      <c r="N409" s="28" t="n"/>
      <c r="O409" s="24" t="n"/>
      <c r="P409" s="24" t="n"/>
      <c r="Q409" s="24" t="n"/>
      <c r="R409" s="24" t="n"/>
      <c r="S409" s="22">
        <f>IF(AND($A409="",$C409=""),"",IF($A409="","Thiếu mã đơn; ","")&amp;IF(COUNTIF($A$2:$A409,$A409)&gt;1,"Trùng mã đơn; ","")&amp;IF(ISNA(MATCH($C409,DATA_MASTER!$D$2:$D$5000,0)),"SĐT chưa đăng ký hội viên; ","")&amp;IF(AND($L409="Đã chuyển khoản",$M409=""),"Thiếu ngày nhận CK; ",""))</f>
        <v/>
      </c>
      <c r="T409" s="24" t="n"/>
    </row>
    <row r="410" ht="14.25" customHeight="1" s="40">
      <c r="A410" s="24" t="n"/>
      <c r="B410" s="29" t="n"/>
      <c r="C410" s="28" t="n"/>
      <c r="D410" s="22">
        <f t="array" ref="D410">IF($C410="","",IFERROR(INDEX(DATA_MASTER!$C$2:$C$5000,MATCH($C410,DATA_MASTER!$D$2:$D$5000,0)),""))</f>
        <v/>
      </c>
      <c r="E410" s="22">
        <f t="array" ref="E410">IF($C410="","",IFERROR(INDEX(DATA_MASTER!$I$2:$I$5000,MATCH($C410,DATA_MASTER!$D$2:$D$5000,0)),""))</f>
        <v/>
      </c>
      <c r="F410" s="22">
        <f t="array" ref="F410">IF($C410="","",IFERROR(INDEX(DATA_MASTER!$L$2:$L$5000,MATCH($C410,DATA_MASTER!$D$2:$D$5000,0)),""))</f>
        <v/>
      </c>
      <c r="G410" s="24" t="n"/>
      <c r="H410" s="24" t="n"/>
      <c r="I410" s="30" t="n"/>
      <c r="J410" s="23">
        <f>IF(OR($H410="",$I410=""),"",$H410*$I410)</f>
        <v/>
      </c>
      <c r="K410" s="24" t="n"/>
      <c r="L410" s="24" t="n"/>
      <c r="M410" s="29" t="n"/>
      <c r="N410" s="28" t="n"/>
      <c r="O410" s="24" t="n"/>
      <c r="P410" s="24" t="n"/>
      <c r="Q410" s="24" t="n"/>
      <c r="R410" s="24" t="n"/>
      <c r="S410" s="22">
        <f>IF(AND($A410="",$C410=""),"",IF($A410="","Thiếu mã đơn; ","")&amp;IF(COUNTIF($A$2:$A410,$A410)&gt;1,"Trùng mã đơn; ","")&amp;IF(ISNA(MATCH($C410,DATA_MASTER!$D$2:$D$5000,0)),"SĐT chưa đăng ký hội viên; ","")&amp;IF(AND($L410="Đã chuyển khoản",$M410=""),"Thiếu ngày nhận CK; ",""))</f>
        <v/>
      </c>
      <c r="T410" s="24" t="n"/>
    </row>
    <row r="411" ht="14.25" customHeight="1" s="40">
      <c r="A411" s="24" t="n"/>
      <c r="B411" s="29" t="n"/>
      <c r="C411" s="28" t="n"/>
      <c r="D411" s="22">
        <f t="array" ref="D411">IF($C411="","",IFERROR(INDEX(DATA_MASTER!$C$2:$C$5000,MATCH($C411,DATA_MASTER!$D$2:$D$5000,0)),""))</f>
        <v/>
      </c>
      <c r="E411" s="22">
        <f t="array" ref="E411">IF($C411="","",IFERROR(INDEX(DATA_MASTER!$I$2:$I$5000,MATCH($C411,DATA_MASTER!$D$2:$D$5000,0)),""))</f>
        <v/>
      </c>
      <c r="F411" s="22">
        <f t="array" ref="F411">IF($C411="","",IFERROR(INDEX(DATA_MASTER!$L$2:$L$5000,MATCH($C411,DATA_MASTER!$D$2:$D$5000,0)),""))</f>
        <v/>
      </c>
      <c r="G411" s="24" t="n"/>
      <c r="H411" s="24" t="n"/>
      <c r="I411" s="30" t="n"/>
      <c r="J411" s="23">
        <f>IF(OR($H411="",$I411=""),"",$H411*$I411)</f>
        <v/>
      </c>
      <c r="K411" s="24" t="n"/>
      <c r="L411" s="24" t="n"/>
      <c r="M411" s="29" t="n"/>
      <c r="N411" s="28" t="n"/>
      <c r="O411" s="24" t="n"/>
      <c r="P411" s="24" t="n"/>
      <c r="Q411" s="24" t="n"/>
      <c r="R411" s="24" t="n"/>
      <c r="S411" s="22">
        <f>IF(AND($A411="",$C411=""),"",IF($A411="","Thiếu mã đơn; ","")&amp;IF(COUNTIF($A$2:$A411,$A411)&gt;1,"Trùng mã đơn; ","")&amp;IF(ISNA(MATCH($C411,DATA_MASTER!$D$2:$D$5000,0)),"SĐT chưa đăng ký hội viên; ","")&amp;IF(AND($L411="Đã chuyển khoản",$M411=""),"Thiếu ngày nhận CK; ",""))</f>
        <v/>
      </c>
      <c r="T411" s="24" t="n"/>
    </row>
    <row r="412" ht="14.25" customHeight="1" s="40">
      <c r="A412" s="24" t="n"/>
      <c r="B412" s="29" t="n"/>
      <c r="C412" s="28" t="n"/>
      <c r="D412" s="22">
        <f t="array" ref="D412">IF($C412="","",IFERROR(INDEX(DATA_MASTER!$C$2:$C$5000,MATCH($C412,DATA_MASTER!$D$2:$D$5000,0)),""))</f>
        <v/>
      </c>
      <c r="E412" s="22">
        <f t="array" ref="E412">IF($C412="","",IFERROR(INDEX(DATA_MASTER!$I$2:$I$5000,MATCH($C412,DATA_MASTER!$D$2:$D$5000,0)),""))</f>
        <v/>
      </c>
      <c r="F412" s="22">
        <f t="array" ref="F412">IF($C412="","",IFERROR(INDEX(DATA_MASTER!$L$2:$L$5000,MATCH($C412,DATA_MASTER!$D$2:$D$5000,0)),""))</f>
        <v/>
      </c>
      <c r="G412" s="24" t="n"/>
      <c r="H412" s="24" t="n"/>
      <c r="I412" s="30" t="n"/>
      <c r="J412" s="23">
        <f>IF(OR($H412="",$I412=""),"",$H412*$I412)</f>
        <v/>
      </c>
      <c r="K412" s="24" t="n"/>
      <c r="L412" s="24" t="n"/>
      <c r="M412" s="29" t="n"/>
      <c r="N412" s="28" t="n"/>
      <c r="O412" s="24" t="n"/>
      <c r="P412" s="24" t="n"/>
      <c r="Q412" s="24" t="n"/>
      <c r="R412" s="24" t="n"/>
      <c r="S412" s="22">
        <f>IF(AND($A412="",$C412=""),"",IF($A412="","Thiếu mã đơn; ","")&amp;IF(COUNTIF($A$2:$A412,$A412)&gt;1,"Trùng mã đơn; ","")&amp;IF(ISNA(MATCH($C412,DATA_MASTER!$D$2:$D$5000,0)),"SĐT chưa đăng ký hội viên; ","")&amp;IF(AND($L412="Đã chuyển khoản",$M412=""),"Thiếu ngày nhận CK; ",""))</f>
        <v/>
      </c>
      <c r="T412" s="24" t="n"/>
    </row>
    <row r="413" ht="14.25" customHeight="1" s="40">
      <c r="A413" s="24" t="n"/>
      <c r="B413" s="29" t="n"/>
      <c r="C413" s="28" t="n"/>
      <c r="D413" s="22">
        <f t="array" ref="D413">IF($C413="","",IFERROR(INDEX(DATA_MASTER!$C$2:$C$5000,MATCH($C413,DATA_MASTER!$D$2:$D$5000,0)),""))</f>
        <v/>
      </c>
      <c r="E413" s="22">
        <f t="array" ref="E413">IF($C413="","",IFERROR(INDEX(DATA_MASTER!$I$2:$I$5000,MATCH($C413,DATA_MASTER!$D$2:$D$5000,0)),""))</f>
        <v/>
      </c>
      <c r="F413" s="22">
        <f t="array" ref="F413">IF($C413="","",IFERROR(INDEX(DATA_MASTER!$L$2:$L$5000,MATCH($C413,DATA_MASTER!$D$2:$D$5000,0)),""))</f>
        <v/>
      </c>
      <c r="G413" s="24" t="n"/>
      <c r="H413" s="24" t="n"/>
      <c r="I413" s="30" t="n"/>
      <c r="J413" s="23">
        <f>IF(OR($H413="",$I413=""),"",$H413*$I413)</f>
        <v/>
      </c>
      <c r="K413" s="24" t="n"/>
      <c r="L413" s="24" t="n"/>
      <c r="M413" s="29" t="n"/>
      <c r="N413" s="28" t="n"/>
      <c r="O413" s="24" t="n"/>
      <c r="P413" s="24" t="n"/>
      <c r="Q413" s="24" t="n"/>
      <c r="R413" s="24" t="n"/>
      <c r="S413" s="22">
        <f>IF(AND($A413="",$C413=""),"",IF($A413="","Thiếu mã đơn; ","")&amp;IF(COUNTIF($A$2:$A413,$A413)&gt;1,"Trùng mã đơn; ","")&amp;IF(ISNA(MATCH($C413,DATA_MASTER!$D$2:$D$5000,0)),"SĐT chưa đăng ký hội viên; ","")&amp;IF(AND($L413="Đã chuyển khoản",$M413=""),"Thiếu ngày nhận CK; ",""))</f>
        <v/>
      </c>
      <c r="T413" s="24" t="n"/>
    </row>
    <row r="414" ht="14.25" customHeight="1" s="40">
      <c r="A414" s="24" t="n"/>
      <c r="B414" s="29" t="n"/>
      <c r="C414" s="28" t="n"/>
      <c r="D414" s="22">
        <f t="array" ref="D414">IF($C414="","",IFERROR(INDEX(DATA_MASTER!$C$2:$C$5000,MATCH($C414,DATA_MASTER!$D$2:$D$5000,0)),""))</f>
        <v/>
      </c>
      <c r="E414" s="22">
        <f t="array" ref="E414">IF($C414="","",IFERROR(INDEX(DATA_MASTER!$I$2:$I$5000,MATCH($C414,DATA_MASTER!$D$2:$D$5000,0)),""))</f>
        <v/>
      </c>
      <c r="F414" s="22">
        <f t="array" ref="F414">IF($C414="","",IFERROR(INDEX(DATA_MASTER!$L$2:$L$5000,MATCH($C414,DATA_MASTER!$D$2:$D$5000,0)),""))</f>
        <v/>
      </c>
      <c r="G414" s="24" t="n"/>
      <c r="H414" s="24" t="n"/>
      <c r="I414" s="30" t="n"/>
      <c r="J414" s="23">
        <f>IF(OR($H414="",$I414=""),"",$H414*$I414)</f>
        <v/>
      </c>
      <c r="K414" s="24" t="n"/>
      <c r="L414" s="24" t="n"/>
      <c r="M414" s="29" t="n"/>
      <c r="N414" s="28" t="n"/>
      <c r="O414" s="24" t="n"/>
      <c r="P414" s="24" t="n"/>
      <c r="Q414" s="24" t="n"/>
      <c r="R414" s="24" t="n"/>
      <c r="S414" s="22">
        <f>IF(AND($A414="",$C414=""),"",IF($A414="","Thiếu mã đơn; ","")&amp;IF(COUNTIF($A$2:$A414,$A414)&gt;1,"Trùng mã đơn; ","")&amp;IF(ISNA(MATCH($C414,DATA_MASTER!$D$2:$D$5000,0)),"SĐT chưa đăng ký hội viên; ","")&amp;IF(AND($L414="Đã chuyển khoản",$M414=""),"Thiếu ngày nhận CK; ",""))</f>
        <v/>
      </c>
      <c r="T414" s="24" t="n"/>
    </row>
    <row r="415" ht="14.25" customHeight="1" s="40">
      <c r="A415" s="24" t="n"/>
      <c r="B415" s="29" t="n"/>
      <c r="C415" s="28" t="n"/>
      <c r="D415" s="22">
        <f t="array" ref="D415">IF($C415="","",IFERROR(INDEX(DATA_MASTER!$C$2:$C$5000,MATCH($C415,DATA_MASTER!$D$2:$D$5000,0)),""))</f>
        <v/>
      </c>
      <c r="E415" s="22">
        <f t="array" ref="E415">IF($C415="","",IFERROR(INDEX(DATA_MASTER!$I$2:$I$5000,MATCH($C415,DATA_MASTER!$D$2:$D$5000,0)),""))</f>
        <v/>
      </c>
      <c r="F415" s="22">
        <f t="array" ref="F415">IF($C415="","",IFERROR(INDEX(DATA_MASTER!$L$2:$L$5000,MATCH($C415,DATA_MASTER!$D$2:$D$5000,0)),""))</f>
        <v/>
      </c>
      <c r="G415" s="24" t="n"/>
      <c r="H415" s="24" t="n"/>
      <c r="I415" s="30" t="n"/>
      <c r="J415" s="23">
        <f>IF(OR($H415="",$I415=""),"",$H415*$I415)</f>
        <v/>
      </c>
      <c r="K415" s="24" t="n"/>
      <c r="L415" s="24" t="n"/>
      <c r="M415" s="29" t="n"/>
      <c r="N415" s="28" t="n"/>
      <c r="O415" s="24" t="n"/>
      <c r="P415" s="24" t="n"/>
      <c r="Q415" s="24" t="n"/>
      <c r="R415" s="24" t="n"/>
      <c r="S415" s="22">
        <f>IF(AND($A415="",$C415=""),"",IF($A415="","Thiếu mã đơn; ","")&amp;IF(COUNTIF($A$2:$A415,$A415)&gt;1,"Trùng mã đơn; ","")&amp;IF(ISNA(MATCH($C415,DATA_MASTER!$D$2:$D$5000,0)),"SĐT chưa đăng ký hội viên; ","")&amp;IF(AND($L415="Đã chuyển khoản",$M415=""),"Thiếu ngày nhận CK; ",""))</f>
        <v/>
      </c>
      <c r="T415" s="24" t="n"/>
    </row>
    <row r="416" ht="14.25" customHeight="1" s="40">
      <c r="A416" s="24" t="n"/>
      <c r="B416" s="29" t="n"/>
      <c r="C416" s="28" t="n"/>
      <c r="D416" s="22">
        <f t="array" ref="D416">IF($C416="","",IFERROR(INDEX(DATA_MASTER!$C$2:$C$5000,MATCH($C416,DATA_MASTER!$D$2:$D$5000,0)),""))</f>
        <v/>
      </c>
      <c r="E416" s="22">
        <f t="array" ref="E416">IF($C416="","",IFERROR(INDEX(DATA_MASTER!$I$2:$I$5000,MATCH($C416,DATA_MASTER!$D$2:$D$5000,0)),""))</f>
        <v/>
      </c>
      <c r="F416" s="22">
        <f t="array" ref="F416">IF($C416="","",IFERROR(INDEX(DATA_MASTER!$L$2:$L$5000,MATCH($C416,DATA_MASTER!$D$2:$D$5000,0)),""))</f>
        <v/>
      </c>
      <c r="G416" s="24" t="n"/>
      <c r="H416" s="24" t="n"/>
      <c r="I416" s="30" t="n"/>
      <c r="J416" s="23">
        <f>IF(OR($H416="",$I416=""),"",$H416*$I416)</f>
        <v/>
      </c>
      <c r="K416" s="24" t="n"/>
      <c r="L416" s="24" t="n"/>
      <c r="M416" s="29" t="n"/>
      <c r="N416" s="28" t="n"/>
      <c r="O416" s="24" t="n"/>
      <c r="P416" s="24" t="n"/>
      <c r="Q416" s="24" t="n"/>
      <c r="R416" s="24" t="n"/>
      <c r="S416" s="22">
        <f>IF(AND($A416="",$C416=""),"",IF($A416="","Thiếu mã đơn; ","")&amp;IF(COUNTIF($A$2:$A416,$A416)&gt;1,"Trùng mã đơn; ","")&amp;IF(ISNA(MATCH($C416,DATA_MASTER!$D$2:$D$5000,0)),"SĐT chưa đăng ký hội viên; ","")&amp;IF(AND($L416="Đã chuyển khoản",$M416=""),"Thiếu ngày nhận CK; ",""))</f>
        <v/>
      </c>
      <c r="T416" s="24" t="n"/>
    </row>
    <row r="417" ht="14.25" customHeight="1" s="40">
      <c r="A417" s="24" t="n"/>
      <c r="B417" s="29" t="n"/>
      <c r="C417" s="28" t="n"/>
      <c r="D417" s="22">
        <f t="array" ref="D417">IF($C417="","",IFERROR(INDEX(DATA_MASTER!$C$2:$C$5000,MATCH($C417,DATA_MASTER!$D$2:$D$5000,0)),""))</f>
        <v/>
      </c>
      <c r="E417" s="22">
        <f t="array" ref="E417">IF($C417="","",IFERROR(INDEX(DATA_MASTER!$I$2:$I$5000,MATCH($C417,DATA_MASTER!$D$2:$D$5000,0)),""))</f>
        <v/>
      </c>
      <c r="F417" s="22">
        <f t="array" ref="F417">IF($C417="","",IFERROR(INDEX(DATA_MASTER!$L$2:$L$5000,MATCH($C417,DATA_MASTER!$D$2:$D$5000,0)),""))</f>
        <v/>
      </c>
      <c r="G417" s="24" t="n"/>
      <c r="H417" s="24" t="n"/>
      <c r="I417" s="30" t="n"/>
      <c r="J417" s="23">
        <f>IF(OR($H417="",$I417=""),"",$H417*$I417)</f>
        <v/>
      </c>
      <c r="K417" s="24" t="n"/>
      <c r="L417" s="24" t="n"/>
      <c r="M417" s="29" t="n"/>
      <c r="N417" s="28" t="n"/>
      <c r="O417" s="24" t="n"/>
      <c r="P417" s="24" t="n"/>
      <c r="Q417" s="24" t="n"/>
      <c r="R417" s="24" t="n"/>
      <c r="S417" s="22">
        <f>IF(AND($A417="",$C417=""),"",IF($A417="","Thiếu mã đơn; ","")&amp;IF(COUNTIF($A$2:$A417,$A417)&gt;1,"Trùng mã đơn; ","")&amp;IF(ISNA(MATCH($C417,DATA_MASTER!$D$2:$D$5000,0)),"SĐT chưa đăng ký hội viên; ","")&amp;IF(AND($L417="Đã chuyển khoản",$M417=""),"Thiếu ngày nhận CK; ",""))</f>
        <v/>
      </c>
      <c r="T417" s="24" t="n"/>
    </row>
    <row r="418" ht="14.25" customHeight="1" s="40">
      <c r="A418" s="24" t="n"/>
      <c r="B418" s="29" t="n"/>
      <c r="C418" s="28" t="n"/>
      <c r="D418" s="22">
        <f t="array" ref="D418">IF($C418="","",IFERROR(INDEX(DATA_MASTER!$C$2:$C$5000,MATCH($C418,DATA_MASTER!$D$2:$D$5000,0)),""))</f>
        <v/>
      </c>
      <c r="E418" s="22">
        <f t="array" ref="E418">IF($C418="","",IFERROR(INDEX(DATA_MASTER!$I$2:$I$5000,MATCH($C418,DATA_MASTER!$D$2:$D$5000,0)),""))</f>
        <v/>
      </c>
      <c r="F418" s="22">
        <f t="array" ref="F418">IF($C418="","",IFERROR(INDEX(DATA_MASTER!$L$2:$L$5000,MATCH($C418,DATA_MASTER!$D$2:$D$5000,0)),""))</f>
        <v/>
      </c>
      <c r="G418" s="24" t="n"/>
      <c r="H418" s="24" t="n"/>
      <c r="I418" s="30" t="n"/>
      <c r="J418" s="23">
        <f>IF(OR($H418="",$I418=""),"",$H418*$I418)</f>
        <v/>
      </c>
      <c r="K418" s="24" t="n"/>
      <c r="L418" s="24" t="n"/>
      <c r="M418" s="29" t="n"/>
      <c r="N418" s="28" t="n"/>
      <c r="O418" s="24" t="n"/>
      <c r="P418" s="24" t="n"/>
      <c r="Q418" s="24" t="n"/>
      <c r="R418" s="24" t="n"/>
      <c r="S418" s="22">
        <f>IF(AND($A418="",$C418=""),"",IF($A418="","Thiếu mã đơn; ","")&amp;IF(COUNTIF($A$2:$A418,$A418)&gt;1,"Trùng mã đơn; ","")&amp;IF(ISNA(MATCH($C418,DATA_MASTER!$D$2:$D$5000,0)),"SĐT chưa đăng ký hội viên; ","")&amp;IF(AND($L418="Đã chuyển khoản",$M418=""),"Thiếu ngày nhận CK; ",""))</f>
        <v/>
      </c>
      <c r="T418" s="24" t="n"/>
    </row>
    <row r="419" ht="14.25" customHeight="1" s="40">
      <c r="A419" s="24" t="n"/>
      <c r="B419" s="29" t="n"/>
      <c r="C419" s="28" t="n"/>
      <c r="D419" s="22">
        <f t="array" ref="D419">IF($C419="","",IFERROR(INDEX(DATA_MASTER!$C$2:$C$5000,MATCH($C419,DATA_MASTER!$D$2:$D$5000,0)),""))</f>
        <v/>
      </c>
      <c r="E419" s="22">
        <f t="array" ref="E419">IF($C419="","",IFERROR(INDEX(DATA_MASTER!$I$2:$I$5000,MATCH($C419,DATA_MASTER!$D$2:$D$5000,0)),""))</f>
        <v/>
      </c>
      <c r="F419" s="22">
        <f t="array" ref="F419">IF($C419="","",IFERROR(INDEX(DATA_MASTER!$L$2:$L$5000,MATCH($C419,DATA_MASTER!$D$2:$D$5000,0)),""))</f>
        <v/>
      </c>
      <c r="G419" s="24" t="n"/>
      <c r="H419" s="24" t="n"/>
      <c r="I419" s="30" t="n"/>
      <c r="J419" s="23">
        <f>IF(OR($H419="",$I419=""),"",$H419*$I419)</f>
        <v/>
      </c>
      <c r="K419" s="24" t="n"/>
      <c r="L419" s="24" t="n"/>
      <c r="M419" s="29" t="n"/>
      <c r="N419" s="28" t="n"/>
      <c r="O419" s="24" t="n"/>
      <c r="P419" s="24" t="n"/>
      <c r="Q419" s="24" t="n"/>
      <c r="R419" s="24" t="n"/>
      <c r="S419" s="22">
        <f>IF(AND($A419="",$C419=""),"",IF($A419="","Thiếu mã đơn; ","")&amp;IF(COUNTIF($A$2:$A419,$A419)&gt;1,"Trùng mã đơn; ","")&amp;IF(ISNA(MATCH($C419,DATA_MASTER!$D$2:$D$5000,0)),"SĐT chưa đăng ký hội viên; ","")&amp;IF(AND($L419="Đã chuyển khoản",$M419=""),"Thiếu ngày nhận CK; ",""))</f>
        <v/>
      </c>
      <c r="T419" s="24" t="n"/>
    </row>
    <row r="420" ht="14.25" customHeight="1" s="40">
      <c r="A420" s="24" t="n"/>
      <c r="B420" s="29" t="n"/>
      <c r="C420" s="28" t="n"/>
      <c r="D420" s="22">
        <f t="array" ref="D420">IF($C420="","",IFERROR(INDEX(DATA_MASTER!$C$2:$C$5000,MATCH($C420,DATA_MASTER!$D$2:$D$5000,0)),""))</f>
        <v/>
      </c>
      <c r="E420" s="22">
        <f t="array" ref="E420">IF($C420="","",IFERROR(INDEX(DATA_MASTER!$I$2:$I$5000,MATCH($C420,DATA_MASTER!$D$2:$D$5000,0)),""))</f>
        <v/>
      </c>
      <c r="F420" s="22">
        <f t="array" ref="F420">IF($C420="","",IFERROR(INDEX(DATA_MASTER!$L$2:$L$5000,MATCH($C420,DATA_MASTER!$D$2:$D$5000,0)),""))</f>
        <v/>
      </c>
      <c r="G420" s="24" t="n"/>
      <c r="H420" s="24" t="n"/>
      <c r="I420" s="30" t="n"/>
      <c r="J420" s="23">
        <f>IF(OR($H420="",$I420=""),"",$H420*$I420)</f>
        <v/>
      </c>
      <c r="K420" s="24" t="n"/>
      <c r="L420" s="24" t="n"/>
      <c r="M420" s="29" t="n"/>
      <c r="N420" s="28" t="n"/>
      <c r="O420" s="24" t="n"/>
      <c r="P420" s="24" t="n"/>
      <c r="Q420" s="24" t="n"/>
      <c r="R420" s="24" t="n"/>
      <c r="S420" s="22">
        <f>IF(AND($A420="",$C420=""),"",IF($A420="","Thiếu mã đơn; ","")&amp;IF(COUNTIF($A$2:$A420,$A420)&gt;1,"Trùng mã đơn; ","")&amp;IF(ISNA(MATCH($C420,DATA_MASTER!$D$2:$D$5000,0)),"SĐT chưa đăng ký hội viên; ","")&amp;IF(AND($L420="Đã chuyển khoản",$M420=""),"Thiếu ngày nhận CK; ",""))</f>
        <v/>
      </c>
      <c r="T420" s="24" t="n"/>
    </row>
    <row r="421" ht="14.25" customHeight="1" s="40">
      <c r="A421" s="24" t="n"/>
      <c r="B421" s="29" t="n"/>
      <c r="C421" s="28" t="n"/>
      <c r="D421" s="22">
        <f t="array" ref="D421">IF($C421="","",IFERROR(INDEX(DATA_MASTER!$C$2:$C$5000,MATCH($C421,DATA_MASTER!$D$2:$D$5000,0)),""))</f>
        <v/>
      </c>
      <c r="E421" s="22">
        <f t="array" ref="E421">IF($C421="","",IFERROR(INDEX(DATA_MASTER!$I$2:$I$5000,MATCH($C421,DATA_MASTER!$D$2:$D$5000,0)),""))</f>
        <v/>
      </c>
      <c r="F421" s="22">
        <f t="array" ref="F421">IF($C421="","",IFERROR(INDEX(DATA_MASTER!$L$2:$L$5000,MATCH($C421,DATA_MASTER!$D$2:$D$5000,0)),""))</f>
        <v/>
      </c>
      <c r="G421" s="24" t="n"/>
      <c r="H421" s="24" t="n"/>
      <c r="I421" s="30" t="n"/>
      <c r="J421" s="23">
        <f>IF(OR($H421="",$I421=""),"",$H421*$I421)</f>
        <v/>
      </c>
      <c r="K421" s="24" t="n"/>
      <c r="L421" s="24" t="n"/>
      <c r="M421" s="29" t="n"/>
      <c r="N421" s="28" t="n"/>
      <c r="O421" s="24" t="n"/>
      <c r="P421" s="24" t="n"/>
      <c r="Q421" s="24" t="n"/>
      <c r="R421" s="24" t="n"/>
      <c r="S421" s="22">
        <f>IF(AND($A421="",$C421=""),"",IF($A421="","Thiếu mã đơn; ","")&amp;IF(COUNTIF($A$2:$A421,$A421)&gt;1,"Trùng mã đơn; ","")&amp;IF(ISNA(MATCH($C421,DATA_MASTER!$D$2:$D$5000,0)),"SĐT chưa đăng ký hội viên; ","")&amp;IF(AND($L421="Đã chuyển khoản",$M421=""),"Thiếu ngày nhận CK; ",""))</f>
        <v/>
      </c>
      <c r="T421" s="24" t="n"/>
    </row>
    <row r="422" ht="14.25" customHeight="1" s="40">
      <c r="A422" s="24" t="n"/>
      <c r="B422" s="29" t="n"/>
      <c r="C422" s="28" t="n"/>
      <c r="D422" s="22">
        <f t="array" ref="D422">IF($C422="","",IFERROR(INDEX(DATA_MASTER!$C$2:$C$5000,MATCH($C422,DATA_MASTER!$D$2:$D$5000,0)),""))</f>
        <v/>
      </c>
      <c r="E422" s="22">
        <f t="array" ref="E422">IF($C422="","",IFERROR(INDEX(DATA_MASTER!$I$2:$I$5000,MATCH($C422,DATA_MASTER!$D$2:$D$5000,0)),""))</f>
        <v/>
      </c>
      <c r="F422" s="22">
        <f t="array" ref="F422">IF($C422="","",IFERROR(INDEX(DATA_MASTER!$L$2:$L$5000,MATCH($C422,DATA_MASTER!$D$2:$D$5000,0)),""))</f>
        <v/>
      </c>
      <c r="G422" s="24" t="n"/>
      <c r="H422" s="24" t="n"/>
      <c r="I422" s="30" t="n"/>
      <c r="J422" s="23">
        <f>IF(OR($H422="",$I422=""),"",$H422*$I422)</f>
        <v/>
      </c>
      <c r="K422" s="24" t="n"/>
      <c r="L422" s="24" t="n"/>
      <c r="M422" s="29" t="n"/>
      <c r="N422" s="28" t="n"/>
      <c r="O422" s="24" t="n"/>
      <c r="P422" s="24" t="n"/>
      <c r="Q422" s="24" t="n"/>
      <c r="R422" s="24" t="n"/>
      <c r="S422" s="22">
        <f>IF(AND($A422="",$C422=""),"",IF($A422="","Thiếu mã đơn; ","")&amp;IF(COUNTIF($A$2:$A422,$A422)&gt;1,"Trùng mã đơn; ","")&amp;IF(ISNA(MATCH($C422,DATA_MASTER!$D$2:$D$5000,0)),"SĐT chưa đăng ký hội viên; ","")&amp;IF(AND($L422="Đã chuyển khoản",$M422=""),"Thiếu ngày nhận CK; ",""))</f>
        <v/>
      </c>
      <c r="T422" s="24" t="n"/>
    </row>
    <row r="423" ht="14.25" customHeight="1" s="40">
      <c r="A423" s="24" t="n"/>
      <c r="B423" s="29" t="n"/>
      <c r="C423" s="28" t="n"/>
      <c r="D423" s="22">
        <f t="array" ref="D423">IF($C423="","",IFERROR(INDEX(DATA_MASTER!$C$2:$C$5000,MATCH($C423,DATA_MASTER!$D$2:$D$5000,0)),""))</f>
        <v/>
      </c>
      <c r="E423" s="22">
        <f t="array" ref="E423">IF($C423="","",IFERROR(INDEX(DATA_MASTER!$I$2:$I$5000,MATCH($C423,DATA_MASTER!$D$2:$D$5000,0)),""))</f>
        <v/>
      </c>
      <c r="F423" s="22">
        <f t="array" ref="F423">IF($C423="","",IFERROR(INDEX(DATA_MASTER!$L$2:$L$5000,MATCH($C423,DATA_MASTER!$D$2:$D$5000,0)),""))</f>
        <v/>
      </c>
      <c r="G423" s="24" t="n"/>
      <c r="H423" s="24" t="n"/>
      <c r="I423" s="30" t="n"/>
      <c r="J423" s="23">
        <f>IF(OR($H423="",$I423=""),"",$H423*$I423)</f>
        <v/>
      </c>
      <c r="K423" s="24" t="n"/>
      <c r="L423" s="24" t="n"/>
      <c r="M423" s="29" t="n"/>
      <c r="N423" s="28" t="n"/>
      <c r="O423" s="24" t="n"/>
      <c r="P423" s="24" t="n"/>
      <c r="Q423" s="24" t="n"/>
      <c r="R423" s="24" t="n"/>
      <c r="S423" s="22">
        <f>IF(AND($A423="",$C423=""),"",IF($A423="","Thiếu mã đơn; ","")&amp;IF(COUNTIF($A$2:$A423,$A423)&gt;1,"Trùng mã đơn; ","")&amp;IF(ISNA(MATCH($C423,DATA_MASTER!$D$2:$D$5000,0)),"SĐT chưa đăng ký hội viên; ","")&amp;IF(AND($L423="Đã chuyển khoản",$M423=""),"Thiếu ngày nhận CK; ",""))</f>
        <v/>
      </c>
      <c r="T423" s="24" t="n"/>
    </row>
    <row r="424" ht="14.25" customHeight="1" s="40">
      <c r="A424" s="24" t="n"/>
      <c r="B424" s="29" t="n"/>
      <c r="C424" s="28" t="n"/>
      <c r="D424" s="22">
        <f t="array" ref="D424">IF($C424="","",IFERROR(INDEX(DATA_MASTER!$C$2:$C$5000,MATCH($C424,DATA_MASTER!$D$2:$D$5000,0)),""))</f>
        <v/>
      </c>
      <c r="E424" s="22">
        <f t="array" ref="E424">IF($C424="","",IFERROR(INDEX(DATA_MASTER!$I$2:$I$5000,MATCH($C424,DATA_MASTER!$D$2:$D$5000,0)),""))</f>
        <v/>
      </c>
      <c r="F424" s="22">
        <f t="array" ref="F424">IF($C424="","",IFERROR(INDEX(DATA_MASTER!$L$2:$L$5000,MATCH($C424,DATA_MASTER!$D$2:$D$5000,0)),""))</f>
        <v/>
      </c>
      <c r="G424" s="24" t="n"/>
      <c r="H424" s="24" t="n"/>
      <c r="I424" s="30" t="n"/>
      <c r="J424" s="23">
        <f>IF(OR($H424="",$I424=""),"",$H424*$I424)</f>
        <v/>
      </c>
      <c r="K424" s="24" t="n"/>
      <c r="L424" s="24" t="n"/>
      <c r="M424" s="29" t="n"/>
      <c r="N424" s="28" t="n"/>
      <c r="O424" s="24" t="n"/>
      <c r="P424" s="24" t="n"/>
      <c r="Q424" s="24" t="n"/>
      <c r="R424" s="24" t="n"/>
      <c r="S424" s="22">
        <f>IF(AND($A424="",$C424=""),"",IF($A424="","Thiếu mã đơn; ","")&amp;IF(COUNTIF($A$2:$A424,$A424)&gt;1,"Trùng mã đơn; ","")&amp;IF(ISNA(MATCH($C424,DATA_MASTER!$D$2:$D$5000,0)),"SĐT chưa đăng ký hội viên; ","")&amp;IF(AND($L424="Đã chuyển khoản",$M424=""),"Thiếu ngày nhận CK; ",""))</f>
        <v/>
      </c>
      <c r="T424" s="24" t="n"/>
    </row>
    <row r="425" ht="14.25" customHeight="1" s="40">
      <c r="A425" s="24" t="n"/>
      <c r="B425" s="29" t="n"/>
      <c r="C425" s="28" t="n"/>
      <c r="D425" s="22">
        <f t="array" ref="D425">IF($C425="","",IFERROR(INDEX(DATA_MASTER!$C$2:$C$5000,MATCH($C425,DATA_MASTER!$D$2:$D$5000,0)),""))</f>
        <v/>
      </c>
      <c r="E425" s="22">
        <f t="array" ref="E425">IF($C425="","",IFERROR(INDEX(DATA_MASTER!$I$2:$I$5000,MATCH($C425,DATA_MASTER!$D$2:$D$5000,0)),""))</f>
        <v/>
      </c>
      <c r="F425" s="22">
        <f t="array" ref="F425">IF($C425="","",IFERROR(INDEX(DATA_MASTER!$L$2:$L$5000,MATCH($C425,DATA_MASTER!$D$2:$D$5000,0)),""))</f>
        <v/>
      </c>
      <c r="G425" s="24" t="n"/>
      <c r="H425" s="24" t="n"/>
      <c r="I425" s="30" t="n"/>
      <c r="J425" s="23">
        <f>IF(OR($H425="",$I425=""),"",$H425*$I425)</f>
        <v/>
      </c>
      <c r="K425" s="24" t="n"/>
      <c r="L425" s="24" t="n"/>
      <c r="M425" s="29" t="n"/>
      <c r="N425" s="28" t="n"/>
      <c r="O425" s="24" t="n"/>
      <c r="P425" s="24" t="n"/>
      <c r="Q425" s="24" t="n"/>
      <c r="R425" s="24" t="n"/>
      <c r="S425" s="22">
        <f>IF(AND($A425="",$C425=""),"",IF($A425="","Thiếu mã đơn; ","")&amp;IF(COUNTIF($A$2:$A425,$A425)&gt;1,"Trùng mã đơn; ","")&amp;IF(ISNA(MATCH($C425,DATA_MASTER!$D$2:$D$5000,0)),"SĐT chưa đăng ký hội viên; ","")&amp;IF(AND($L425="Đã chuyển khoản",$M425=""),"Thiếu ngày nhận CK; ",""))</f>
        <v/>
      </c>
      <c r="T425" s="24" t="n"/>
    </row>
    <row r="426" ht="14.25" customHeight="1" s="40">
      <c r="A426" s="24" t="n"/>
      <c r="B426" s="29" t="n"/>
      <c r="C426" s="28" t="n"/>
      <c r="D426" s="22">
        <f t="array" ref="D426">IF($C426="","",IFERROR(INDEX(DATA_MASTER!$C$2:$C$5000,MATCH($C426,DATA_MASTER!$D$2:$D$5000,0)),""))</f>
        <v/>
      </c>
      <c r="E426" s="22">
        <f t="array" ref="E426">IF($C426="","",IFERROR(INDEX(DATA_MASTER!$I$2:$I$5000,MATCH($C426,DATA_MASTER!$D$2:$D$5000,0)),""))</f>
        <v/>
      </c>
      <c r="F426" s="22">
        <f t="array" ref="F426">IF($C426="","",IFERROR(INDEX(DATA_MASTER!$L$2:$L$5000,MATCH($C426,DATA_MASTER!$D$2:$D$5000,0)),""))</f>
        <v/>
      </c>
      <c r="G426" s="24" t="n"/>
      <c r="H426" s="24" t="n"/>
      <c r="I426" s="30" t="n"/>
      <c r="J426" s="23">
        <f>IF(OR($H426="",$I426=""),"",$H426*$I426)</f>
        <v/>
      </c>
      <c r="K426" s="24" t="n"/>
      <c r="L426" s="24" t="n"/>
      <c r="M426" s="29" t="n"/>
      <c r="N426" s="28" t="n"/>
      <c r="O426" s="24" t="n"/>
      <c r="P426" s="24" t="n"/>
      <c r="Q426" s="24" t="n"/>
      <c r="R426" s="24" t="n"/>
      <c r="S426" s="22">
        <f>IF(AND($A426="",$C426=""),"",IF($A426="","Thiếu mã đơn; ","")&amp;IF(COUNTIF($A$2:$A426,$A426)&gt;1,"Trùng mã đơn; ","")&amp;IF(ISNA(MATCH($C426,DATA_MASTER!$D$2:$D$5000,0)),"SĐT chưa đăng ký hội viên; ","")&amp;IF(AND($L426="Đã chuyển khoản",$M426=""),"Thiếu ngày nhận CK; ",""))</f>
        <v/>
      </c>
      <c r="T426" s="24" t="n"/>
    </row>
    <row r="427" ht="14.25" customHeight="1" s="40">
      <c r="A427" s="24" t="n"/>
      <c r="B427" s="29" t="n"/>
      <c r="C427" s="28" t="n"/>
      <c r="D427" s="22">
        <f t="array" ref="D427">IF($C427="","",IFERROR(INDEX(DATA_MASTER!$C$2:$C$5000,MATCH($C427,DATA_MASTER!$D$2:$D$5000,0)),""))</f>
        <v/>
      </c>
      <c r="E427" s="22">
        <f t="array" ref="E427">IF($C427="","",IFERROR(INDEX(DATA_MASTER!$I$2:$I$5000,MATCH($C427,DATA_MASTER!$D$2:$D$5000,0)),""))</f>
        <v/>
      </c>
      <c r="F427" s="22">
        <f t="array" ref="F427">IF($C427="","",IFERROR(INDEX(DATA_MASTER!$L$2:$L$5000,MATCH($C427,DATA_MASTER!$D$2:$D$5000,0)),""))</f>
        <v/>
      </c>
      <c r="G427" s="24" t="n"/>
      <c r="H427" s="24" t="n"/>
      <c r="I427" s="30" t="n"/>
      <c r="J427" s="23">
        <f>IF(OR($H427="",$I427=""),"",$H427*$I427)</f>
        <v/>
      </c>
      <c r="K427" s="24" t="n"/>
      <c r="L427" s="24" t="n"/>
      <c r="M427" s="29" t="n"/>
      <c r="N427" s="28" t="n"/>
      <c r="O427" s="24" t="n"/>
      <c r="P427" s="24" t="n"/>
      <c r="Q427" s="24" t="n"/>
      <c r="R427" s="24" t="n"/>
      <c r="S427" s="22">
        <f>IF(AND($A427="",$C427=""),"",IF($A427="","Thiếu mã đơn; ","")&amp;IF(COUNTIF($A$2:$A427,$A427)&gt;1,"Trùng mã đơn; ","")&amp;IF(ISNA(MATCH($C427,DATA_MASTER!$D$2:$D$5000,0)),"SĐT chưa đăng ký hội viên; ","")&amp;IF(AND($L427="Đã chuyển khoản",$M427=""),"Thiếu ngày nhận CK; ",""))</f>
        <v/>
      </c>
      <c r="T427" s="24" t="n"/>
    </row>
    <row r="428" ht="14.25" customHeight="1" s="40">
      <c r="A428" s="24" t="n"/>
      <c r="B428" s="29" t="n"/>
      <c r="C428" s="28" t="n"/>
      <c r="D428" s="22">
        <f t="array" ref="D428">IF($C428="","",IFERROR(INDEX(DATA_MASTER!$C$2:$C$5000,MATCH($C428,DATA_MASTER!$D$2:$D$5000,0)),""))</f>
        <v/>
      </c>
      <c r="E428" s="22">
        <f t="array" ref="E428">IF($C428="","",IFERROR(INDEX(DATA_MASTER!$I$2:$I$5000,MATCH($C428,DATA_MASTER!$D$2:$D$5000,0)),""))</f>
        <v/>
      </c>
      <c r="F428" s="22">
        <f t="array" ref="F428">IF($C428="","",IFERROR(INDEX(DATA_MASTER!$L$2:$L$5000,MATCH($C428,DATA_MASTER!$D$2:$D$5000,0)),""))</f>
        <v/>
      </c>
      <c r="G428" s="24" t="n"/>
      <c r="H428" s="24" t="n"/>
      <c r="I428" s="30" t="n"/>
      <c r="J428" s="23">
        <f>IF(OR($H428="",$I428=""),"",$H428*$I428)</f>
        <v/>
      </c>
      <c r="K428" s="24" t="n"/>
      <c r="L428" s="24" t="n"/>
      <c r="M428" s="29" t="n"/>
      <c r="N428" s="28" t="n"/>
      <c r="O428" s="24" t="n"/>
      <c r="P428" s="24" t="n"/>
      <c r="Q428" s="24" t="n"/>
      <c r="R428" s="24" t="n"/>
      <c r="S428" s="22">
        <f>IF(AND($A428="",$C428=""),"",IF($A428="","Thiếu mã đơn; ","")&amp;IF(COUNTIF($A$2:$A428,$A428)&gt;1,"Trùng mã đơn; ","")&amp;IF(ISNA(MATCH($C428,DATA_MASTER!$D$2:$D$5000,0)),"SĐT chưa đăng ký hội viên; ","")&amp;IF(AND($L428="Đã chuyển khoản",$M428=""),"Thiếu ngày nhận CK; ",""))</f>
        <v/>
      </c>
      <c r="T428" s="24" t="n"/>
    </row>
    <row r="429" ht="14.25" customHeight="1" s="40">
      <c r="A429" s="24" t="n"/>
      <c r="B429" s="29" t="n"/>
      <c r="C429" s="28" t="n"/>
      <c r="D429" s="22">
        <f t="array" ref="D429">IF($C429="","",IFERROR(INDEX(DATA_MASTER!$C$2:$C$5000,MATCH($C429,DATA_MASTER!$D$2:$D$5000,0)),""))</f>
        <v/>
      </c>
      <c r="E429" s="22">
        <f t="array" ref="E429">IF($C429="","",IFERROR(INDEX(DATA_MASTER!$I$2:$I$5000,MATCH($C429,DATA_MASTER!$D$2:$D$5000,0)),""))</f>
        <v/>
      </c>
      <c r="F429" s="22">
        <f t="array" ref="F429">IF($C429="","",IFERROR(INDEX(DATA_MASTER!$L$2:$L$5000,MATCH($C429,DATA_MASTER!$D$2:$D$5000,0)),""))</f>
        <v/>
      </c>
      <c r="G429" s="24" t="n"/>
      <c r="H429" s="24" t="n"/>
      <c r="I429" s="30" t="n"/>
      <c r="J429" s="23">
        <f>IF(OR($H429="",$I429=""),"",$H429*$I429)</f>
        <v/>
      </c>
      <c r="K429" s="24" t="n"/>
      <c r="L429" s="24" t="n"/>
      <c r="M429" s="29" t="n"/>
      <c r="N429" s="28" t="n"/>
      <c r="O429" s="24" t="n"/>
      <c r="P429" s="24" t="n"/>
      <c r="Q429" s="24" t="n"/>
      <c r="R429" s="24" t="n"/>
      <c r="S429" s="22">
        <f>IF(AND($A429="",$C429=""),"",IF($A429="","Thiếu mã đơn; ","")&amp;IF(COUNTIF($A$2:$A429,$A429)&gt;1,"Trùng mã đơn; ","")&amp;IF(ISNA(MATCH($C429,DATA_MASTER!$D$2:$D$5000,0)),"SĐT chưa đăng ký hội viên; ","")&amp;IF(AND($L429="Đã chuyển khoản",$M429=""),"Thiếu ngày nhận CK; ",""))</f>
        <v/>
      </c>
      <c r="T429" s="24" t="n"/>
    </row>
    <row r="430" ht="14.25" customHeight="1" s="40">
      <c r="A430" s="24" t="n"/>
      <c r="B430" s="29" t="n"/>
      <c r="C430" s="28" t="n"/>
      <c r="D430" s="22">
        <f t="array" ref="D430">IF($C430="","",IFERROR(INDEX(DATA_MASTER!$C$2:$C$5000,MATCH($C430,DATA_MASTER!$D$2:$D$5000,0)),""))</f>
        <v/>
      </c>
      <c r="E430" s="22">
        <f t="array" ref="E430">IF($C430="","",IFERROR(INDEX(DATA_MASTER!$I$2:$I$5000,MATCH($C430,DATA_MASTER!$D$2:$D$5000,0)),""))</f>
        <v/>
      </c>
      <c r="F430" s="22">
        <f t="array" ref="F430">IF($C430="","",IFERROR(INDEX(DATA_MASTER!$L$2:$L$5000,MATCH($C430,DATA_MASTER!$D$2:$D$5000,0)),""))</f>
        <v/>
      </c>
      <c r="G430" s="24" t="n"/>
      <c r="H430" s="24" t="n"/>
      <c r="I430" s="30" t="n"/>
      <c r="J430" s="23">
        <f>IF(OR($H430="",$I430=""),"",$H430*$I430)</f>
        <v/>
      </c>
      <c r="K430" s="24" t="n"/>
      <c r="L430" s="24" t="n"/>
      <c r="M430" s="29" t="n"/>
      <c r="N430" s="28" t="n"/>
      <c r="O430" s="24" t="n"/>
      <c r="P430" s="24" t="n"/>
      <c r="Q430" s="24" t="n"/>
      <c r="R430" s="24" t="n"/>
      <c r="S430" s="22">
        <f>IF(AND($A430="",$C430=""),"",IF($A430="","Thiếu mã đơn; ","")&amp;IF(COUNTIF($A$2:$A430,$A430)&gt;1,"Trùng mã đơn; ","")&amp;IF(ISNA(MATCH($C430,DATA_MASTER!$D$2:$D$5000,0)),"SĐT chưa đăng ký hội viên; ","")&amp;IF(AND($L430="Đã chuyển khoản",$M430=""),"Thiếu ngày nhận CK; ",""))</f>
        <v/>
      </c>
      <c r="T430" s="24" t="n"/>
    </row>
    <row r="431" ht="14.25" customHeight="1" s="40">
      <c r="A431" s="24" t="n"/>
      <c r="B431" s="29" t="n"/>
      <c r="C431" s="28" t="n"/>
      <c r="D431" s="22">
        <f t="array" ref="D431">IF($C431="","",IFERROR(INDEX(DATA_MASTER!$C$2:$C$5000,MATCH($C431,DATA_MASTER!$D$2:$D$5000,0)),""))</f>
        <v/>
      </c>
      <c r="E431" s="22">
        <f t="array" ref="E431">IF($C431="","",IFERROR(INDEX(DATA_MASTER!$I$2:$I$5000,MATCH($C431,DATA_MASTER!$D$2:$D$5000,0)),""))</f>
        <v/>
      </c>
      <c r="F431" s="22">
        <f t="array" ref="F431">IF($C431="","",IFERROR(INDEX(DATA_MASTER!$L$2:$L$5000,MATCH($C431,DATA_MASTER!$D$2:$D$5000,0)),""))</f>
        <v/>
      </c>
      <c r="G431" s="24" t="n"/>
      <c r="H431" s="24" t="n"/>
      <c r="I431" s="30" t="n"/>
      <c r="J431" s="23">
        <f>IF(OR($H431="",$I431=""),"",$H431*$I431)</f>
        <v/>
      </c>
      <c r="K431" s="24" t="n"/>
      <c r="L431" s="24" t="n"/>
      <c r="M431" s="29" t="n"/>
      <c r="N431" s="28" t="n"/>
      <c r="O431" s="24" t="n"/>
      <c r="P431" s="24" t="n"/>
      <c r="Q431" s="24" t="n"/>
      <c r="R431" s="24" t="n"/>
      <c r="S431" s="22">
        <f>IF(AND($A431="",$C431=""),"",IF($A431="","Thiếu mã đơn; ","")&amp;IF(COUNTIF($A$2:$A431,$A431)&gt;1,"Trùng mã đơn; ","")&amp;IF(ISNA(MATCH($C431,DATA_MASTER!$D$2:$D$5000,0)),"SĐT chưa đăng ký hội viên; ","")&amp;IF(AND($L431="Đã chuyển khoản",$M431=""),"Thiếu ngày nhận CK; ",""))</f>
        <v/>
      </c>
      <c r="T431" s="24" t="n"/>
    </row>
    <row r="432" ht="14.25" customHeight="1" s="40">
      <c r="A432" s="24" t="n"/>
      <c r="B432" s="29" t="n"/>
      <c r="C432" s="28" t="n"/>
      <c r="D432" s="22">
        <f t="array" ref="D432">IF($C432="","",IFERROR(INDEX(DATA_MASTER!$C$2:$C$5000,MATCH($C432,DATA_MASTER!$D$2:$D$5000,0)),""))</f>
        <v/>
      </c>
      <c r="E432" s="22">
        <f t="array" ref="E432">IF($C432="","",IFERROR(INDEX(DATA_MASTER!$I$2:$I$5000,MATCH($C432,DATA_MASTER!$D$2:$D$5000,0)),""))</f>
        <v/>
      </c>
      <c r="F432" s="22">
        <f t="array" ref="F432">IF($C432="","",IFERROR(INDEX(DATA_MASTER!$L$2:$L$5000,MATCH($C432,DATA_MASTER!$D$2:$D$5000,0)),""))</f>
        <v/>
      </c>
      <c r="G432" s="24" t="n"/>
      <c r="H432" s="24" t="n"/>
      <c r="I432" s="30" t="n"/>
      <c r="J432" s="23">
        <f>IF(OR($H432="",$I432=""),"",$H432*$I432)</f>
        <v/>
      </c>
      <c r="K432" s="24" t="n"/>
      <c r="L432" s="24" t="n"/>
      <c r="M432" s="29" t="n"/>
      <c r="N432" s="28" t="n"/>
      <c r="O432" s="24" t="n"/>
      <c r="P432" s="24" t="n"/>
      <c r="Q432" s="24" t="n"/>
      <c r="R432" s="24" t="n"/>
      <c r="S432" s="22">
        <f>IF(AND($A432="",$C432=""),"",IF($A432="","Thiếu mã đơn; ","")&amp;IF(COUNTIF($A$2:$A432,$A432)&gt;1,"Trùng mã đơn; ","")&amp;IF(ISNA(MATCH($C432,DATA_MASTER!$D$2:$D$5000,0)),"SĐT chưa đăng ký hội viên; ","")&amp;IF(AND($L432="Đã chuyển khoản",$M432=""),"Thiếu ngày nhận CK; ",""))</f>
        <v/>
      </c>
      <c r="T432" s="24" t="n"/>
    </row>
    <row r="433" ht="14.25" customHeight="1" s="40">
      <c r="A433" s="24" t="n"/>
      <c r="B433" s="29" t="n"/>
      <c r="C433" s="28" t="n"/>
      <c r="D433" s="22">
        <f t="array" ref="D433">IF($C433="","",IFERROR(INDEX(DATA_MASTER!$C$2:$C$5000,MATCH($C433,DATA_MASTER!$D$2:$D$5000,0)),""))</f>
        <v/>
      </c>
      <c r="E433" s="22">
        <f t="array" ref="E433">IF($C433="","",IFERROR(INDEX(DATA_MASTER!$I$2:$I$5000,MATCH($C433,DATA_MASTER!$D$2:$D$5000,0)),""))</f>
        <v/>
      </c>
      <c r="F433" s="22">
        <f t="array" ref="F433">IF($C433="","",IFERROR(INDEX(DATA_MASTER!$L$2:$L$5000,MATCH($C433,DATA_MASTER!$D$2:$D$5000,0)),""))</f>
        <v/>
      </c>
      <c r="G433" s="24" t="n"/>
      <c r="H433" s="24" t="n"/>
      <c r="I433" s="30" t="n"/>
      <c r="J433" s="23">
        <f>IF(OR($H433="",$I433=""),"",$H433*$I433)</f>
        <v/>
      </c>
      <c r="K433" s="24" t="n"/>
      <c r="L433" s="24" t="n"/>
      <c r="M433" s="29" t="n"/>
      <c r="N433" s="28" t="n"/>
      <c r="O433" s="24" t="n"/>
      <c r="P433" s="24" t="n"/>
      <c r="Q433" s="24" t="n"/>
      <c r="R433" s="24" t="n"/>
      <c r="S433" s="22">
        <f>IF(AND($A433="",$C433=""),"",IF($A433="","Thiếu mã đơn; ","")&amp;IF(COUNTIF($A$2:$A433,$A433)&gt;1,"Trùng mã đơn; ","")&amp;IF(ISNA(MATCH($C433,DATA_MASTER!$D$2:$D$5000,0)),"SĐT chưa đăng ký hội viên; ","")&amp;IF(AND($L433="Đã chuyển khoản",$M433=""),"Thiếu ngày nhận CK; ",""))</f>
        <v/>
      </c>
      <c r="T433" s="24" t="n"/>
    </row>
    <row r="434" ht="14.25" customHeight="1" s="40">
      <c r="A434" s="24" t="n"/>
      <c r="B434" s="29" t="n"/>
      <c r="C434" s="28" t="n"/>
      <c r="D434" s="22">
        <f t="array" ref="D434">IF($C434="","",IFERROR(INDEX(DATA_MASTER!$C$2:$C$5000,MATCH($C434,DATA_MASTER!$D$2:$D$5000,0)),""))</f>
        <v/>
      </c>
      <c r="E434" s="22">
        <f t="array" ref="E434">IF($C434="","",IFERROR(INDEX(DATA_MASTER!$I$2:$I$5000,MATCH($C434,DATA_MASTER!$D$2:$D$5000,0)),""))</f>
        <v/>
      </c>
      <c r="F434" s="22">
        <f t="array" ref="F434">IF($C434="","",IFERROR(INDEX(DATA_MASTER!$L$2:$L$5000,MATCH($C434,DATA_MASTER!$D$2:$D$5000,0)),""))</f>
        <v/>
      </c>
      <c r="G434" s="24" t="n"/>
      <c r="H434" s="24" t="n"/>
      <c r="I434" s="30" t="n"/>
      <c r="J434" s="23">
        <f>IF(OR($H434="",$I434=""),"",$H434*$I434)</f>
        <v/>
      </c>
      <c r="K434" s="24" t="n"/>
      <c r="L434" s="24" t="n"/>
      <c r="M434" s="29" t="n"/>
      <c r="N434" s="28" t="n"/>
      <c r="O434" s="24" t="n"/>
      <c r="P434" s="24" t="n"/>
      <c r="Q434" s="24" t="n"/>
      <c r="R434" s="24" t="n"/>
      <c r="S434" s="22">
        <f>IF(AND($A434="",$C434=""),"",IF($A434="","Thiếu mã đơn; ","")&amp;IF(COUNTIF($A$2:$A434,$A434)&gt;1,"Trùng mã đơn; ","")&amp;IF(ISNA(MATCH($C434,DATA_MASTER!$D$2:$D$5000,0)),"SĐT chưa đăng ký hội viên; ","")&amp;IF(AND($L434="Đã chuyển khoản",$M434=""),"Thiếu ngày nhận CK; ",""))</f>
        <v/>
      </c>
      <c r="T434" s="24" t="n"/>
    </row>
    <row r="435" ht="14.25" customHeight="1" s="40">
      <c r="A435" s="24" t="n"/>
      <c r="B435" s="29" t="n"/>
      <c r="C435" s="28" t="n"/>
      <c r="D435" s="22">
        <f t="array" ref="D435">IF($C435="","",IFERROR(INDEX(DATA_MASTER!$C$2:$C$5000,MATCH($C435,DATA_MASTER!$D$2:$D$5000,0)),""))</f>
        <v/>
      </c>
      <c r="E435" s="22">
        <f t="array" ref="E435">IF($C435="","",IFERROR(INDEX(DATA_MASTER!$I$2:$I$5000,MATCH($C435,DATA_MASTER!$D$2:$D$5000,0)),""))</f>
        <v/>
      </c>
      <c r="F435" s="22">
        <f t="array" ref="F435">IF($C435="","",IFERROR(INDEX(DATA_MASTER!$L$2:$L$5000,MATCH($C435,DATA_MASTER!$D$2:$D$5000,0)),""))</f>
        <v/>
      </c>
      <c r="G435" s="24" t="n"/>
      <c r="H435" s="24" t="n"/>
      <c r="I435" s="30" t="n"/>
      <c r="J435" s="23">
        <f>IF(OR($H435="",$I435=""),"",$H435*$I435)</f>
        <v/>
      </c>
      <c r="K435" s="24" t="n"/>
      <c r="L435" s="24" t="n"/>
      <c r="M435" s="29" t="n"/>
      <c r="N435" s="28" t="n"/>
      <c r="O435" s="24" t="n"/>
      <c r="P435" s="24" t="n"/>
      <c r="Q435" s="24" t="n"/>
      <c r="R435" s="24" t="n"/>
      <c r="S435" s="22">
        <f>IF(AND($A435="",$C435=""),"",IF($A435="","Thiếu mã đơn; ","")&amp;IF(COUNTIF($A$2:$A435,$A435)&gt;1,"Trùng mã đơn; ","")&amp;IF(ISNA(MATCH($C435,DATA_MASTER!$D$2:$D$5000,0)),"SĐT chưa đăng ký hội viên; ","")&amp;IF(AND($L435="Đã chuyển khoản",$M435=""),"Thiếu ngày nhận CK; ",""))</f>
        <v/>
      </c>
      <c r="T435" s="24" t="n"/>
    </row>
    <row r="436" ht="14.25" customHeight="1" s="40">
      <c r="A436" s="24" t="n"/>
      <c r="B436" s="29" t="n"/>
      <c r="C436" s="28" t="n"/>
      <c r="D436" s="22">
        <f t="array" ref="D436">IF($C436="","",IFERROR(INDEX(DATA_MASTER!$C$2:$C$5000,MATCH($C436,DATA_MASTER!$D$2:$D$5000,0)),""))</f>
        <v/>
      </c>
      <c r="E436" s="22">
        <f t="array" ref="E436">IF($C436="","",IFERROR(INDEX(DATA_MASTER!$I$2:$I$5000,MATCH($C436,DATA_MASTER!$D$2:$D$5000,0)),""))</f>
        <v/>
      </c>
      <c r="F436" s="22">
        <f t="array" ref="F436">IF($C436="","",IFERROR(INDEX(DATA_MASTER!$L$2:$L$5000,MATCH($C436,DATA_MASTER!$D$2:$D$5000,0)),""))</f>
        <v/>
      </c>
      <c r="G436" s="24" t="n"/>
      <c r="H436" s="24" t="n"/>
      <c r="I436" s="30" t="n"/>
      <c r="J436" s="23">
        <f>IF(OR($H436="",$I436=""),"",$H436*$I436)</f>
        <v/>
      </c>
      <c r="K436" s="24" t="n"/>
      <c r="L436" s="24" t="n"/>
      <c r="M436" s="29" t="n"/>
      <c r="N436" s="28" t="n"/>
      <c r="O436" s="24" t="n"/>
      <c r="P436" s="24" t="n"/>
      <c r="Q436" s="24" t="n"/>
      <c r="R436" s="24" t="n"/>
      <c r="S436" s="22">
        <f>IF(AND($A436="",$C436=""),"",IF($A436="","Thiếu mã đơn; ","")&amp;IF(COUNTIF($A$2:$A436,$A436)&gt;1,"Trùng mã đơn; ","")&amp;IF(ISNA(MATCH($C436,DATA_MASTER!$D$2:$D$5000,0)),"SĐT chưa đăng ký hội viên; ","")&amp;IF(AND($L436="Đã chuyển khoản",$M436=""),"Thiếu ngày nhận CK; ",""))</f>
        <v/>
      </c>
      <c r="T436" s="24" t="n"/>
    </row>
    <row r="437" ht="14.25" customHeight="1" s="40">
      <c r="A437" s="24" t="n"/>
      <c r="B437" s="29" t="n"/>
      <c r="C437" s="28" t="n"/>
      <c r="D437" s="22">
        <f t="array" ref="D437">IF($C437="","",IFERROR(INDEX(DATA_MASTER!$C$2:$C$5000,MATCH($C437,DATA_MASTER!$D$2:$D$5000,0)),""))</f>
        <v/>
      </c>
      <c r="E437" s="22">
        <f t="array" ref="E437">IF($C437="","",IFERROR(INDEX(DATA_MASTER!$I$2:$I$5000,MATCH($C437,DATA_MASTER!$D$2:$D$5000,0)),""))</f>
        <v/>
      </c>
      <c r="F437" s="22">
        <f t="array" ref="F437">IF($C437="","",IFERROR(INDEX(DATA_MASTER!$L$2:$L$5000,MATCH($C437,DATA_MASTER!$D$2:$D$5000,0)),""))</f>
        <v/>
      </c>
      <c r="G437" s="24" t="n"/>
      <c r="H437" s="24" t="n"/>
      <c r="I437" s="30" t="n"/>
      <c r="J437" s="23">
        <f>IF(OR($H437="",$I437=""),"",$H437*$I437)</f>
        <v/>
      </c>
      <c r="K437" s="24" t="n"/>
      <c r="L437" s="24" t="n"/>
      <c r="M437" s="29" t="n"/>
      <c r="N437" s="28" t="n"/>
      <c r="O437" s="24" t="n"/>
      <c r="P437" s="24" t="n"/>
      <c r="Q437" s="24" t="n"/>
      <c r="R437" s="24" t="n"/>
      <c r="S437" s="22">
        <f>IF(AND($A437="",$C437=""),"",IF($A437="","Thiếu mã đơn; ","")&amp;IF(COUNTIF($A$2:$A437,$A437)&gt;1,"Trùng mã đơn; ","")&amp;IF(ISNA(MATCH($C437,DATA_MASTER!$D$2:$D$5000,0)),"SĐT chưa đăng ký hội viên; ","")&amp;IF(AND($L437="Đã chuyển khoản",$M437=""),"Thiếu ngày nhận CK; ",""))</f>
        <v/>
      </c>
      <c r="T437" s="24" t="n"/>
    </row>
    <row r="438" ht="14.25" customHeight="1" s="40">
      <c r="A438" s="24" t="n"/>
      <c r="B438" s="29" t="n"/>
      <c r="C438" s="28" t="n"/>
      <c r="D438" s="22">
        <f t="array" ref="D438">IF($C438="","",IFERROR(INDEX(DATA_MASTER!$C$2:$C$5000,MATCH($C438,DATA_MASTER!$D$2:$D$5000,0)),""))</f>
        <v/>
      </c>
      <c r="E438" s="22">
        <f t="array" ref="E438">IF($C438="","",IFERROR(INDEX(DATA_MASTER!$I$2:$I$5000,MATCH($C438,DATA_MASTER!$D$2:$D$5000,0)),""))</f>
        <v/>
      </c>
      <c r="F438" s="22">
        <f t="array" ref="F438">IF($C438="","",IFERROR(INDEX(DATA_MASTER!$L$2:$L$5000,MATCH($C438,DATA_MASTER!$D$2:$D$5000,0)),""))</f>
        <v/>
      </c>
      <c r="G438" s="24" t="n"/>
      <c r="H438" s="24" t="n"/>
      <c r="I438" s="30" t="n"/>
      <c r="J438" s="23">
        <f>IF(OR($H438="",$I438=""),"",$H438*$I438)</f>
        <v/>
      </c>
      <c r="K438" s="24" t="n"/>
      <c r="L438" s="24" t="n"/>
      <c r="M438" s="29" t="n"/>
      <c r="N438" s="28" t="n"/>
      <c r="O438" s="24" t="n"/>
      <c r="P438" s="24" t="n"/>
      <c r="Q438" s="24" t="n"/>
      <c r="R438" s="24" t="n"/>
      <c r="S438" s="22">
        <f>IF(AND($A438="",$C438=""),"",IF($A438="","Thiếu mã đơn; ","")&amp;IF(COUNTIF($A$2:$A438,$A438)&gt;1,"Trùng mã đơn; ","")&amp;IF(ISNA(MATCH($C438,DATA_MASTER!$D$2:$D$5000,0)),"SĐT chưa đăng ký hội viên; ","")&amp;IF(AND($L438="Đã chuyển khoản",$M438=""),"Thiếu ngày nhận CK; ",""))</f>
        <v/>
      </c>
      <c r="T438" s="24" t="n"/>
    </row>
    <row r="439" ht="14.25" customHeight="1" s="40">
      <c r="A439" s="24" t="n"/>
      <c r="B439" s="29" t="n"/>
      <c r="C439" s="28" t="n"/>
      <c r="D439" s="22">
        <f t="array" ref="D439">IF($C439="","",IFERROR(INDEX(DATA_MASTER!$C$2:$C$5000,MATCH($C439,DATA_MASTER!$D$2:$D$5000,0)),""))</f>
        <v/>
      </c>
      <c r="E439" s="22">
        <f t="array" ref="E439">IF($C439="","",IFERROR(INDEX(DATA_MASTER!$I$2:$I$5000,MATCH($C439,DATA_MASTER!$D$2:$D$5000,0)),""))</f>
        <v/>
      </c>
      <c r="F439" s="22">
        <f t="array" ref="F439">IF($C439="","",IFERROR(INDEX(DATA_MASTER!$L$2:$L$5000,MATCH($C439,DATA_MASTER!$D$2:$D$5000,0)),""))</f>
        <v/>
      </c>
      <c r="G439" s="24" t="n"/>
      <c r="H439" s="24" t="n"/>
      <c r="I439" s="30" t="n"/>
      <c r="J439" s="23">
        <f>IF(OR($H439="",$I439=""),"",$H439*$I439)</f>
        <v/>
      </c>
      <c r="K439" s="24" t="n"/>
      <c r="L439" s="24" t="n"/>
      <c r="M439" s="29" t="n"/>
      <c r="N439" s="28" t="n"/>
      <c r="O439" s="24" t="n"/>
      <c r="P439" s="24" t="n"/>
      <c r="Q439" s="24" t="n"/>
      <c r="R439" s="24" t="n"/>
      <c r="S439" s="22">
        <f>IF(AND($A439="",$C439=""),"",IF($A439="","Thiếu mã đơn; ","")&amp;IF(COUNTIF($A$2:$A439,$A439)&gt;1,"Trùng mã đơn; ","")&amp;IF(ISNA(MATCH($C439,DATA_MASTER!$D$2:$D$5000,0)),"SĐT chưa đăng ký hội viên; ","")&amp;IF(AND($L439="Đã chuyển khoản",$M439=""),"Thiếu ngày nhận CK; ",""))</f>
        <v/>
      </c>
      <c r="T439" s="24" t="n"/>
    </row>
    <row r="440" ht="14.25" customHeight="1" s="40">
      <c r="A440" s="24" t="n"/>
      <c r="B440" s="29" t="n"/>
      <c r="C440" s="28" t="n"/>
      <c r="D440" s="22">
        <f t="array" ref="D440">IF($C440="","",IFERROR(INDEX(DATA_MASTER!$C$2:$C$5000,MATCH($C440,DATA_MASTER!$D$2:$D$5000,0)),""))</f>
        <v/>
      </c>
      <c r="E440" s="22">
        <f t="array" ref="E440">IF($C440="","",IFERROR(INDEX(DATA_MASTER!$I$2:$I$5000,MATCH($C440,DATA_MASTER!$D$2:$D$5000,0)),""))</f>
        <v/>
      </c>
      <c r="F440" s="22">
        <f t="array" ref="F440">IF($C440="","",IFERROR(INDEX(DATA_MASTER!$L$2:$L$5000,MATCH($C440,DATA_MASTER!$D$2:$D$5000,0)),""))</f>
        <v/>
      </c>
      <c r="G440" s="24" t="n"/>
      <c r="H440" s="24" t="n"/>
      <c r="I440" s="30" t="n"/>
      <c r="J440" s="23">
        <f>IF(OR($H440="",$I440=""),"",$H440*$I440)</f>
        <v/>
      </c>
      <c r="K440" s="24" t="n"/>
      <c r="L440" s="24" t="n"/>
      <c r="M440" s="29" t="n"/>
      <c r="N440" s="28" t="n"/>
      <c r="O440" s="24" t="n"/>
      <c r="P440" s="24" t="n"/>
      <c r="Q440" s="24" t="n"/>
      <c r="R440" s="24" t="n"/>
      <c r="S440" s="22">
        <f>IF(AND($A440="",$C440=""),"",IF($A440="","Thiếu mã đơn; ","")&amp;IF(COUNTIF($A$2:$A440,$A440)&gt;1,"Trùng mã đơn; ","")&amp;IF(ISNA(MATCH($C440,DATA_MASTER!$D$2:$D$5000,0)),"SĐT chưa đăng ký hội viên; ","")&amp;IF(AND($L440="Đã chuyển khoản",$M440=""),"Thiếu ngày nhận CK; ",""))</f>
        <v/>
      </c>
      <c r="T440" s="24" t="n"/>
    </row>
    <row r="441" ht="14.25" customHeight="1" s="40">
      <c r="A441" s="24" t="n"/>
      <c r="B441" s="29" t="n"/>
      <c r="C441" s="28" t="n"/>
      <c r="D441" s="22">
        <f t="array" ref="D441">IF($C441="","",IFERROR(INDEX(DATA_MASTER!$C$2:$C$5000,MATCH($C441,DATA_MASTER!$D$2:$D$5000,0)),""))</f>
        <v/>
      </c>
      <c r="E441" s="22">
        <f t="array" ref="E441">IF($C441="","",IFERROR(INDEX(DATA_MASTER!$I$2:$I$5000,MATCH($C441,DATA_MASTER!$D$2:$D$5000,0)),""))</f>
        <v/>
      </c>
      <c r="F441" s="22">
        <f t="array" ref="F441">IF($C441="","",IFERROR(INDEX(DATA_MASTER!$L$2:$L$5000,MATCH($C441,DATA_MASTER!$D$2:$D$5000,0)),""))</f>
        <v/>
      </c>
      <c r="G441" s="24" t="n"/>
      <c r="H441" s="24" t="n"/>
      <c r="I441" s="30" t="n"/>
      <c r="J441" s="23">
        <f>IF(OR($H441="",$I441=""),"",$H441*$I441)</f>
        <v/>
      </c>
      <c r="K441" s="24" t="n"/>
      <c r="L441" s="24" t="n"/>
      <c r="M441" s="29" t="n"/>
      <c r="N441" s="28" t="n"/>
      <c r="O441" s="24" t="n"/>
      <c r="P441" s="24" t="n"/>
      <c r="Q441" s="24" t="n"/>
      <c r="R441" s="24" t="n"/>
      <c r="S441" s="22">
        <f>IF(AND($A441="",$C441=""),"",IF($A441="","Thiếu mã đơn; ","")&amp;IF(COUNTIF($A$2:$A441,$A441)&gt;1,"Trùng mã đơn; ","")&amp;IF(ISNA(MATCH($C441,DATA_MASTER!$D$2:$D$5000,0)),"SĐT chưa đăng ký hội viên; ","")&amp;IF(AND($L441="Đã chuyển khoản",$M441=""),"Thiếu ngày nhận CK; ",""))</f>
        <v/>
      </c>
      <c r="T441" s="24" t="n"/>
    </row>
    <row r="442" ht="14.25" customHeight="1" s="40">
      <c r="A442" s="24" t="n"/>
      <c r="B442" s="29" t="n"/>
      <c r="C442" s="28" t="n"/>
      <c r="D442" s="22">
        <f t="array" ref="D442">IF($C442="","",IFERROR(INDEX(DATA_MASTER!$C$2:$C$5000,MATCH($C442,DATA_MASTER!$D$2:$D$5000,0)),""))</f>
        <v/>
      </c>
      <c r="E442" s="22">
        <f t="array" ref="E442">IF($C442="","",IFERROR(INDEX(DATA_MASTER!$I$2:$I$5000,MATCH($C442,DATA_MASTER!$D$2:$D$5000,0)),""))</f>
        <v/>
      </c>
      <c r="F442" s="22">
        <f t="array" ref="F442">IF($C442="","",IFERROR(INDEX(DATA_MASTER!$L$2:$L$5000,MATCH($C442,DATA_MASTER!$D$2:$D$5000,0)),""))</f>
        <v/>
      </c>
      <c r="G442" s="24" t="n"/>
      <c r="H442" s="24" t="n"/>
      <c r="I442" s="30" t="n"/>
      <c r="J442" s="23">
        <f>IF(OR($H442="",$I442=""),"",$H442*$I442)</f>
        <v/>
      </c>
      <c r="K442" s="24" t="n"/>
      <c r="L442" s="24" t="n"/>
      <c r="M442" s="29" t="n"/>
      <c r="N442" s="28" t="n"/>
      <c r="O442" s="24" t="n"/>
      <c r="P442" s="24" t="n"/>
      <c r="Q442" s="24" t="n"/>
      <c r="R442" s="24" t="n"/>
      <c r="S442" s="22">
        <f>IF(AND($A442="",$C442=""),"",IF($A442="","Thiếu mã đơn; ","")&amp;IF(COUNTIF($A$2:$A442,$A442)&gt;1,"Trùng mã đơn; ","")&amp;IF(ISNA(MATCH($C442,DATA_MASTER!$D$2:$D$5000,0)),"SĐT chưa đăng ký hội viên; ","")&amp;IF(AND($L442="Đã chuyển khoản",$M442=""),"Thiếu ngày nhận CK; ",""))</f>
        <v/>
      </c>
      <c r="T442" s="24" t="n"/>
    </row>
    <row r="443" ht="14.25" customHeight="1" s="40">
      <c r="A443" s="24" t="n"/>
      <c r="B443" s="29" t="n"/>
      <c r="C443" s="28" t="n"/>
      <c r="D443" s="22">
        <f t="array" ref="D443">IF($C443="","",IFERROR(INDEX(DATA_MASTER!$C$2:$C$5000,MATCH($C443,DATA_MASTER!$D$2:$D$5000,0)),""))</f>
        <v/>
      </c>
      <c r="E443" s="22">
        <f t="array" ref="E443">IF($C443="","",IFERROR(INDEX(DATA_MASTER!$I$2:$I$5000,MATCH($C443,DATA_MASTER!$D$2:$D$5000,0)),""))</f>
        <v/>
      </c>
      <c r="F443" s="22">
        <f t="array" ref="F443">IF($C443="","",IFERROR(INDEX(DATA_MASTER!$L$2:$L$5000,MATCH($C443,DATA_MASTER!$D$2:$D$5000,0)),""))</f>
        <v/>
      </c>
      <c r="G443" s="24" t="n"/>
      <c r="H443" s="24" t="n"/>
      <c r="I443" s="30" t="n"/>
      <c r="J443" s="23">
        <f>IF(OR($H443="",$I443=""),"",$H443*$I443)</f>
        <v/>
      </c>
      <c r="K443" s="24" t="n"/>
      <c r="L443" s="24" t="n"/>
      <c r="M443" s="29" t="n"/>
      <c r="N443" s="28" t="n"/>
      <c r="O443" s="24" t="n"/>
      <c r="P443" s="24" t="n"/>
      <c r="Q443" s="24" t="n"/>
      <c r="R443" s="24" t="n"/>
      <c r="S443" s="22">
        <f>IF(AND($A443="",$C443=""),"",IF($A443="","Thiếu mã đơn; ","")&amp;IF(COUNTIF($A$2:$A443,$A443)&gt;1,"Trùng mã đơn; ","")&amp;IF(ISNA(MATCH($C443,DATA_MASTER!$D$2:$D$5000,0)),"SĐT chưa đăng ký hội viên; ","")&amp;IF(AND($L443="Đã chuyển khoản",$M443=""),"Thiếu ngày nhận CK; ",""))</f>
        <v/>
      </c>
      <c r="T443" s="24" t="n"/>
    </row>
    <row r="444" ht="14.25" customHeight="1" s="40">
      <c r="A444" s="24" t="n"/>
      <c r="B444" s="29" t="n"/>
      <c r="C444" s="28" t="n"/>
      <c r="D444" s="22">
        <f t="array" ref="D444">IF($C444="","",IFERROR(INDEX(DATA_MASTER!$C$2:$C$5000,MATCH($C444,DATA_MASTER!$D$2:$D$5000,0)),""))</f>
        <v/>
      </c>
      <c r="E444" s="22">
        <f t="array" ref="E444">IF($C444="","",IFERROR(INDEX(DATA_MASTER!$I$2:$I$5000,MATCH($C444,DATA_MASTER!$D$2:$D$5000,0)),""))</f>
        <v/>
      </c>
      <c r="F444" s="22">
        <f t="array" ref="F444">IF($C444="","",IFERROR(INDEX(DATA_MASTER!$L$2:$L$5000,MATCH($C444,DATA_MASTER!$D$2:$D$5000,0)),""))</f>
        <v/>
      </c>
      <c r="G444" s="24" t="n"/>
      <c r="H444" s="24" t="n"/>
      <c r="I444" s="30" t="n"/>
      <c r="J444" s="23">
        <f>IF(OR($H444="",$I444=""),"",$H444*$I444)</f>
        <v/>
      </c>
      <c r="K444" s="24" t="n"/>
      <c r="L444" s="24" t="n"/>
      <c r="M444" s="29" t="n"/>
      <c r="N444" s="28" t="n"/>
      <c r="O444" s="24" t="n"/>
      <c r="P444" s="24" t="n"/>
      <c r="Q444" s="24" t="n"/>
      <c r="R444" s="24" t="n"/>
      <c r="S444" s="22">
        <f>IF(AND($A444="",$C444=""),"",IF($A444="","Thiếu mã đơn; ","")&amp;IF(COUNTIF($A$2:$A444,$A444)&gt;1,"Trùng mã đơn; ","")&amp;IF(ISNA(MATCH($C444,DATA_MASTER!$D$2:$D$5000,0)),"SĐT chưa đăng ký hội viên; ","")&amp;IF(AND($L444="Đã chuyển khoản",$M444=""),"Thiếu ngày nhận CK; ",""))</f>
        <v/>
      </c>
      <c r="T444" s="24" t="n"/>
    </row>
    <row r="445" ht="14.25" customHeight="1" s="40">
      <c r="A445" s="24" t="n"/>
      <c r="B445" s="29" t="n"/>
      <c r="C445" s="28" t="n"/>
      <c r="D445" s="22">
        <f t="array" ref="D445">IF($C445="","",IFERROR(INDEX(DATA_MASTER!$C$2:$C$5000,MATCH($C445,DATA_MASTER!$D$2:$D$5000,0)),""))</f>
        <v/>
      </c>
      <c r="E445" s="22">
        <f t="array" ref="E445">IF($C445="","",IFERROR(INDEX(DATA_MASTER!$I$2:$I$5000,MATCH($C445,DATA_MASTER!$D$2:$D$5000,0)),""))</f>
        <v/>
      </c>
      <c r="F445" s="22">
        <f t="array" ref="F445">IF($C445="","",IFERROR(INDEX(DATA_MASTER!$L$2:$L$5000,MATCH($C445,DATA_MASTER!$D$2:$D$5000,0)),""))</f>
        <v/>
      </c>
      <c r="G445" s="24" t="n"/>
      <c r="H445" s="24" t="n"/>
      <c r="I445" s="30" t="n"/>
      <c r="J445" s="23">
        <f>IF(OR($H445="",$I445=""),"",$H445*$I445)</f>
        <v/>
      </c>
      <c r="K445" s="24" t="n"/>
      <c r="L445" s="24" t="n"/>
      <c r="M445" s="29" t="n"/>
      <c r="N445" s="28" t="n"/>
      <c r="O445" s="24" t="n"/>
      <c r="P445" s="24" t="n"/>
      <c r="Q445" s="24" t="n"/>
      <c r="R445" s="24" t="n"/>
      <c r="S445" s="22">
        <f>IF(AND($A445="",$C445=""),"",IF($A445="","Thiếu mã đơn; ","")&amp;IF(COUNTIF($A$2:$A445,$A445)&gt;1,"Trùng mã đơn; ","")&amp;IF(ISNA(MATCH($C445,DATA_MASTER!$D$2:$D$5000,0)),"SĐT chưa đăng ký hội viên; ","")&amp;IF(AND($L445="Đã chuyển khoản",$M445=""),"Thiếu ngày nhận CK; ",""))</f>
        <v/>
      </c>
      <c r="T445" s="24" t="n"/>
    </row>
    <row r="446" ht="14.25" customHeight="1" s="40">
      <c r="A446" s="24" t="n"/>
      <c r="B446" s="29" t="n"/>
      <c r="C446" s="28" t="n"/>
      <c r="D446" s="22">
        <f t="array" ref="D446">IF($C446="","",IFERROR(INDEX(DATA_MASTER!$C$2:$C$5000,MATCH($C446,DATA_MASTER!$D$2:$D$5000,0)),""))</f>
        <v/>
      </c>
      <c r="E446" s="22">
        <f t="array" ref="E446">IF($C446="","",IFERROR(INDEX(DATA_MASTER!$I$2:$I$5000,MATCH($C446,DATA_MASTER!$D$2:$D$5000,0)),""))</f>
        <v/>
      </c>
      <c r="F446" s="22">
        <f t="array" ref="F446">IF($C446="","",IFERROR(INDEX(DATA_MASTER!$L$2:$L$5000,MATCH($C446,DATA_MASTER!$D$2:$D$5000,0)),""))</f>
        <v/>
      </c>
      <c r="G446" s="24" t="n"/>
      <c r="H446" s="24" t="n"/>
      <c r="I446" s="30" t="n"/>
      <c r="J446" s="23">
        <f>IF(OR($H446="",$I446=""),"",$H446*$I446)</f>
        <v/>
      </c>
      <c r="K446" s="24" t="n"/>
      <c r="L446" s="24" t="n"/>
      <c r="M446" s="29" t="n"/>
      <c r="N446" s="28" t="n"/>
      <c r="O446" s="24" t="n"/>
      <c r="P446" s="24" t="n"/>
      <c r="Q446" s="24" t="n"/>
      <c r="R446" s="24" t="n"/>
      <c r="S446" s="22">
        <f>IF(AND($A446="",$C446=""),"",IF($A446="","Thiếu mã đơn; ","")&amp;IF(COUNTIF($A$2:$A446,$A446)&gt;1,"Trùng mã đơn; ","")&amp;IF(ISNA(MATCH($C446,DATA_MASTER!$D$2:$D$5000,0)),"SĐT chưa đăng ký hội viên; ","")&amp;IF(AND($L446="Đã chuyển khoản",$M446=""),"Thiếu ngày nhận CK; ",""))</f>
        <v/>
      </c>
      <c r="T446" s="24" t="n"/>
    </row>
    <row r="447" ht="14.25" customHeight="1" s="40">
      <c r="A447" s="24" t="n"/>
      <c r="B447" s="29" t="n"/>
      <c r="C447" s="28" t="n"/>
      <c r="D447" s="22">
        <f t="array" ref="D447">IF($C447="","",IFERROR(INDEX(DATA_MASTER!$C$2:$C$5000,MATCH($C447,DATA_MASTER!$D$2:$D$5000,0)),""))</f>
        <v/>
      </c>
      <c r="E447" s="22">
        <f t="array" ref="E447">IF($C447="","",IFERROR(INDEX(DATA_MASTER!$I$2:$I$5000,MATCH($C447,DATA_MASTER!$D$2:$D$5000,0)),""))</f>
        <v/>
      </c>
      <c r="F447" s="22">
        <f t="array" ref="F447">IF($C447="","",IFERROR(INDEX(DATA_MASTER!$L$2:$L$5000,MATCH($C447,DATA_MASTER!$D$2:$D$5000,0)),""))</f>
        <v/>
      </c>
      <c r="G447" s="24" t="n"/>
      <c r="H447" s="24" t="n"/>
      <c r="I447" s="30" t="n"/>
      <c r="J447" s="23">
        <f>IF(OR($H447="",$I447=""),"",$H447*$I447)</f>
        <v/>
      </c>
      <c r="K447" s="24" t="n"/>
      <c r="L447" s="24" t="n"/>
      <c r="M447" s="29" t="n"/>
      <c r="N447" s="28" t="n"/>
      <c r="O447" s="24" t="n"/>
      <c r="P447" s="24" t="n"/>
      <c r="Q447" s="24" t="n"/>
      <c r="R447" s="24" t="n"/>
      <c r="S447" s="22">
        <f>IF(AND($A447="",$C447=""),"",IF($A447="","Thiếu mã đơn; ","")&amp;IF(COUNTIF($A$2:$A447,$A447)&gt;1,"Trùng mã đơn; ","")&amp;IF(ISNA(MATCH($C447,DATA_MASTER!$D$2:$D$5000,0)),"SĐT chưa đăng ký hội viên; ","")&amp;IF(AND($L447="Đã chuyển khoản",$M447=""),"Thiếu ngày nhận CK; ",""))</f>
        <v/>
      </c>
      <c r="T447" s="24" t="n"/>
    </row>
    <row r="448" ht="14.25" customHeight="1" s="40">
      <c r="A448" s="24" t="n"/>
      <c r="B448" s="29" t="n"/>
      <c r="C448" s="28" t="n"/>
      <c r="D448" s="22">
        <f t="array" ref="D448">IF($C448="","",IFERROR(INDEX(DATA_MASTER!$C$2:$C$5000,MATCH($C448,DATA_MASTER!$D$2:$D$5000,0)),""))</f>
        <v/>
      </c>
      <c r="E448" s="22">
        <f t="array" ref="E448">IF($C448="","",IFERROR(INDEX(DATA_MASTER!$I$2:$I$5000,MATCH($C448,DATA_MASTER!$D$2:$D$5000,0)),""))</f>
        <v/>
      </c>
      <c r="F448" s="22">
        <f t="array" ref="F448">IF($C448="","",IFERROR(INDEX(DATA_MASTER!$L$2:$L$5000,MATCH($C448,DATA_MASTER!$D$2:$D$5000,0)),""))</f>
        <v/>
      </c>
      <c r="G448" s="24" t="n"/>
      <c r="H448" s="24" t="n"/>
      <c r="I448" s="30" t="n"/>
      <c r="J448" s="23">
        <f>IF(OR($H448="",$I448=""),"",$H448*$I448)</f>
        <v/>
      </c>
      <c r="K448" s="24" t="n"/>
      <c r="L448" s="24" t="n"/>
      <c r="M448" s="29" t="n"/>
      <c r="N448" s="28" t="n"/>
      <c r="O448" s="24" t="n"/>
      <c r="P448" s="24" t="n"/>
      <c r="Q448" s="24" t="n"/>
      <c r="R448" s="24" t="n"/>
      <c r="S448" s="22">
        <f>IF(AND($A448="",$C448=""),"",IF($A448="","Thiếu mã đơn; ","")&amp;IF(COUNTIF($A$2:$A448,$A448)&gt;1,"Trùng mã đơn; ","")&amp;IF(ISNA(MATCH($C448,DATA_MASTER!$D$2:$D$5000,0)),"SĐT chưa đăng ký hội viên; ","")&amp;IF(AND($L448="Đã chuyển khoản",$M448=""),"Thiếu ngày nhận CK; ",""))</f>
        <v/>
      </c>
      <c r="T448" s="24" t="n"/>
    </row>
    <row r="449" ht="14.25" customHeight="1" s="40">
      <c r="A449" s="24" t="n"/>
      <c r="B449" s="29" t="n"/>
      <c r="C449" s="28" t="n"/>
      <c r="D449" s="22">
        <f t="array" ref="D449">IF($C449="","",IFERROR(INDEX(DATA_MASTER!$C$2:$C$5000,MATCH($C449,DATA_MASTER!$D$2:$D$5000,0)),""))</f>
        <v/>
      </c>
      <c r="E449" s="22">
        <f t="array" ref="E449">IF($C449="","",IFERROR(INDEX(DATA_MASTER!$I$2:$I$5000,MATCH($C449,DATA_MASTER!$D$2:$D$5000,0)),""))</f>
        <v/>
      </c>
      <c r="F449" s="22">
        <f t="array" ref="F449">IF($C449="","",IFERROR(INDEX(DATA_MASTER!$L$2:$L$5000,MATCH($C449,DATA_MASTER!$D$2:$D$5000,0)),""))</f>
        <v/>
      </c>
      <c r="G449" s="24" t="n"/>
      <c r="H449" s="24" t="n"/>
      <c r="I449" s="30" t="n"/>
      <c r="J449" s="23">
        <f>IF(OR($H449="",$I449=""),"",$H449*$I449)</f>
        <v/>
      </c>
      <c r="K449" s="24" t="n"/>
      <c r="L449" s="24" t="n"/>
      <c r="M449" s="29" t="n"/>
      <c r="N449" s="28" t="n"/>
      <c r="O449" s="24" t="n"/>
      <c r="P449" s="24" t="n"/>
      <c r="Q449" s="24" t="n"/>
      <c r="R449" s="24" t="n"/>
      <c r="S449" s="22">
        <f>IF(AND($A449="",$C449=""),"",IF($A449="","Thiếu mã đơn; ","")&amp;IF(COUNTIF($A$2:$A449,$A449)&gt;1,"Trùng mã đơn; ","")&amp;IF(ISNA(MATCH($C449,DATA_MASTER!$D$2:$D$5000,0)),"SĐT chưa đăng ký hội viên; ","")&amp;IF(AND($L449="Đã chuyển khoản",$M449=""),"Thiếu ngày nhận CK; ",""))</f>
        <v/>
      </c>
      <c r="T449" s="24" t="n"/>
    </row>
    <row r="450" ht="14.25" customHeight="1" s="40">
      <c r="A450" s="24" t="n"/>
      <c r="B450" s="29" t="n"/>
      <c r="C450" s="28" t="n"/>
      <c r="D450" s="22">
        <f t="array" ref="D450">IF($C450="","",IFERROR(INDEX(DATA_MASTER!$C$2:$C$5000,MATCH($C450,DATA_MASTER!$D$2:$D$5000,0)),""))</f>
        <v/>
      </c>
      <c r="E450" s="22">
        <f t="array" ref="E450">IF($C450="","",IFERROR(INDEX(DATA_MASTER!$I$2:$I$5000,MATCH($C450,DATA_MASTER!$D$2:$D$5000,0)),""))</f>
        <v/>
      </c>
      <c r="F450" s="22">
        <f t="array" ref="F450">IF($C450="","",IFERROR(INDEX(DATA_MASTER!$L$2:$L$5000,MATCH($C450,DATA_MASTER!$D$2:$D$5000,0)),""))</f>
        <v/>
      </c>
      <c r="G450" s="24" t="n"/>
      <c r="H450" s="24" t="n"/>
      <c r="I450" s="30" t="n"/>
      <c r="J450" s="23">
        <f>IF(OR($H450="",$I450=""),"",$H450*$I450)</f>
        <v/>
      </c>
      <c r="K450" s="24" t="n"/>
      <c r="L450" s="24" t="n"/>
      <c r="M450" s="29" t="n"/>
      <c r="N450" s="28" t="n"/>
      <c r="O450" s="24" t="n"/>
      <c r="P450" s="24" t="n"/>
      <c r="Q450" s="24" t="n"/>
      <c r="R450" s="24" t="n"/>
      <c r="S450" s="22">
        <f>IF(AND($A450="",$C450=""),"",IF($A450="","Thiếu mã đơn; ","")&amp;IF(COUNTIF($A$2:$A450,$A450)&gt;1,"Trùng mã đơn; ","")&amp;IF(ISNA(MATCH($C450,DATA_MASTER!$D$2:$D$5000,0)),"SĐT chưa đăng ký hội viên; ","")&amp;IF(AND($L450="Đã chuyển khoản",$M450=""),"Thiếu ngày nhận CK; ",""))</f>
        <v/>
      </c>
      <c r="T450" s="24" t="n"/>
    </row>
    <row r="451" ht="14.25" customHeight="1" s="40">
      <c r="A451" s="24" t="n"/>
      <c r="B451" s="29" t="n"/>
      <c r="C451" s="28" t="n"/>
      <c r="D451" s="22">
        <f t="array" ref="D451">IF($C451="","",IFERROR(INDEX(DATA_MASTER!$C$2:$C$5000,MATCH($C451,DATA_MASTER!$D$2:$D$5000,0)),""))</f>
        <v/>
      </c>
      <c r="E451" s="22">
        <f t="array" ref="E451">IF($C451="","",IFERROR(INDEX(DATA_MASTER!$I$2:$I$5000,MATCH($C451,DATA_MASTER!$D$2:$D$5000,0)),""))</f>
        <v/>
      </c>
      <c r="F451" s="22">
        <f t="array" ref="F451">IF($C451="","",IFERROR(INDEX(DATA_MASTER!$L$2:$L$5000,MATCH($C451,DATA_MASTER!$D$2:$D$5000,0)),""))</f>
        <v/>
      </c>
      <c r="G451" s="24" t="n"/>
      <c r="H451" s="24" t="n"/>
      <c r="I451" s="30" t="n"/>
      <c r="J451" s="23">
        <f>IF(OR($H451="",$I451=""),"",$H451*$I451)</f>
        <v/>
      </c>
      <c r="K451" s="24" t="n"/>
      <c r="L451" s="24" t="n"/>
      <c r="M451" s="29" t="n"/>
      <c r="N451" s="28" t="n"/>
      <c r="O451" s="24" t="n"/>
      <c r="P451" s="24" t="n"/>
      <c r="Q451" s="24" t="n"/>
      <c r="R451" s="24" t="n"/>
      <c r="S451" s="22">
        <f>IF(AND($A451="",$C451=""),"",IF($A451="","Thiếu mã đơn; ","")&amp;IF(COUNTIF($A$2:$A451,$A451)&gt;1,"Trùng mã đơn; ","")&amp;IF(ISNA(MATCH($C451,DATA_MASTER!$D$2:$D$5000,0)),"SĐT chưa đăng ký hội viên; ","")&amp;IF(AND($L451="Đã chuyển khoản",$M451=""),"Thiếu ngày nhận CK; ",""))</f>
        <v/>
      </c>
      <c r="T451" s="24" t="n"/>
    </row>
    <row r="452" ht="14.25" customHeight="1" s="40">
      <c r="A452" s="24" t="n"/>
      <c r="B452" s="29" t="n"/>
      <c r="C452" s="28" t="n"/>
      <c r="D452" s="22">
        <f t="array" ref="D452">IF($C452="","",IFERROR(INDEX(DATA_MASTER!$C$2:$C$5000,MATCH($C452,DATA_MASTER!$D$2:$D$5000,0)),""))</f>
        <v/>
      </c>
      <c r="E452" s="22">
        <f t="array" ref="E452">IF($C452="","",IFERROR(INDEX(DATA_MASTER!$I$2:$I$5000,MATCH($C452,DATA_MASTER!$D$2:$D$5000,0)),""))</f>
        <v/>
      </c>
      <c r="F452" s="22">
        <f t="array" ref="F452">IF($C452="","",IFERROR(INDEX(DATA_MASTER!$L$2:$L$5000,MATCH($C452,DATA_MASTER!$D$2:$D$5000,0)),""))</f>
        <v/>
      </c>
      <c r="G452" s="24" t="n"/>
      <c r="H452" s="24" t="n"/>
      <c r="I452" s="30" t="n"/>
      <c r="J452" s="23">
        <f>IF(OR($H452="",$I452=""),"",$H452*$I452)</f>
        <v/>
      </c>
      <c r="K452" s="24" t="n"/>
      <c r="L452" s="24" t="n"/>
      <c r="M452" s="29" t="n"/>
      <c r="N452" s="28" t="n"/>
      <c r="O452" s="24" t="n"/>
      <c r="P452" s="24" t="n"/>
      <c r="Q452" s="24" t="n"/>
      <c r="R452" s="24" t="n"/>
      <c r="S452" s="22">
        <f>IF(AND($A452="",$C452=""),"",IF($A452="","Thiếu mã đơn; ","")&amp;IF(COUNTIF($A$2:$A452,$A452)&gt;1,"Trùng mã đơn; ","")&amp;IF(ISNA(MATCH($C452,DATA_MASTER!$D$2:$D$5000,0)),"SĐT chưa đăng ký hội viên; ","")&amp;IF(AND($L452="Đã chuyển khoản",$M452=""),"Thiếu ngày nhận CK; ",""))</f>
        <v/>
      </c>
      <c r="T452" s="24" t="n"/>
    </row>
    <row r="453" ht="14.25" customHeight="1" s="40">
      <c r="A453" s="24" t="n"/>
      <c r="B453" s="29" t="n"/>
      <c r="C453" s="28" t="n"/>
      <c r="D453" s="22">
        <f t="array" ref="D453">IF($C453="","",IFERROR(INDEX(DATA_MASTER!$C$2:$C$5000,MATCH($C453,DATA_MASTER!$D$2:$D$5000,0)),""))</f>
        <v/>
      </c>
      <c r="E453" s="22">
        <f t="array" ref="E453">IF($C453="","",IFERROR(INDEX(DATA_MASTER!$I$2:$I$5000,MATCH($C453,DATA_MASTER!$D$2:$D$5000,0)),""))</f>
        <v/>
      </c>
      <c r="F453" s="22">
        <f t="array" ref="F453">IF($C453="","",IFERROR(INDEX(DATA_MASTER!$L$2:$L$5000,MATCH($C453,DATA_MASTER!$D$2:$D$5000,0)),""))</f>
        <v/>
      </c>
      <c r="G453" s="24" t="n"/>
      <c r="H453" s="24" t="n"/>
      <c r="I453" s="30" t="n"/>
      <c r="J453" s="23">
        <f>IF(OR($H453="",$I453=""),"",$H453*$I453)</f>
        <v/>
      </c>
      <c r="K453" s="24" t="n"/>
      <c r="L453" s="24" t="n"/>
      <c r="M453" s="29" t="n"/>
      <c r="N453" s="28" t="n"/>
      <c r="O453" s="24" t="n"/>
      <c r="P453" s="24" t="n"/>
      <c r="Q453" s="24" t="n"/>
      <c r="R453" s="24" t="n"/>
      <c r="S453" s="22">
        <f>IF(AND($A453="",$C453=""),"",IF($A453="","Thiếu mã đơn; ","")&amp;IF(COUNTIF($A$2:$A453,$A453)&gt;1,"Trùng mã đơn; ","")&amp;IF(ISNA(MATCH($C453,DATA_MASTER!$D$2:$D$5000,0)),"SĐT chưa đăng ký hội viên; ","")&amp;IF(AND($L453="Đã chuyển khoản",$M453=""),"Thiếu ngày nhận CK; ",""))</f>
        <v/>
      </c>
      <c r="T453" s="24" t="n"/>
    </row>
    <row r="454" ht="14.25" customHeight="1" s="40">
      <c r="A454" s="24" t="n"/>
      <c r="B454" s="29" t="n"/>
      <c r="C454" s="28" t="n"/>
      <c r="D454" s="22">
        <f t="array" ref="D454">IF($C454="","",IFERROR(INDEX(DATA_MASTER!$C$2:$C$5000,MATCH($C454,DATA_MASTER!$D$2:$D$5000,0)),""))</f>
        <v/>
      </c>
      <c r="E454" s="22">
        <f t="array" ref="E454">IF($C454="","",IFERROR(INDEX(DATA_MASTER!$I$2:$I$5000,MATCH($C454,DATA_MASTER!$D$2:$D$5000,0)),""))</f>
        <v/>
      </c>
      <c r="F454" s="22">
        <f t="array" ref="F454">IF($C454="","",IFERROR(INDEX(DATA_MASTER!$L$2:$L$5000,MATCH($C454,DATA_MASTER!$D$2:$D$5000,0)),""))</f>
        <v/>
      </c>
      <c r="G454" s="24" t="n"/>
      <c r="H454" s="24" t="n"/>
      <c r="I454" s="30" t="n"/>
      <c r="J454" s="23">
        <f>IF(OR($H454="",$I454=""),"",$H454*$I454)</f>
        <v/>
      </c>
      <c r="K454" s="24" t="n"/>
      <c r="L454" s="24" t="n"/>
      <c r="M454" s="29" t="n"/>
      <c r="N454" s="28" t="n"/>
      <c r="O454" s="24" t="n"/>
      <c r="P454" s="24" t="n"/>
      <c r="Q454" s="24" t="n"/>
      <c r="R454" s="24" t="n"/>
      <c r="S454" s="22">
        <f>IF(AND($A454="",$C454=""),"",IF($A454="","Thiếu mã đơn; ","")&amp;IF(COUNTIF($A$2:$A454,$A454)&gt;1,"Trùng mã đơn; ","")&amp;IF(ISNA(MATCH($C454,DATA_MASTER!$D$2:$D$5000,0)),"SĐT chưa đăng ký hội viên; ","")&amp;IF(AND($L454="Đã chuyển khoản",$M454=""),"Thiếu ngày nhận CK; ",""))</f>
        <v/>
      </c>
      <c r="T454" s="24" t="n"/>
    </row>
    <row r="455" ht="14.25" customHeight="1" s="40">
      <c r="A455" s="24" t="n"/>
      <c r="B455" s="29" t="n"/>
      <c r="C455" s="28" t="n"/>
      <c r="D455" s="22">
        <f t="array" ref="D455">IF($C455="","",IFERROR(INDEX(DATA_MASTER!$C$2:$C$5000,MATCH($C455,DATA_MASTER!$D$2:$D$5000,0)),""))</f>
        <v/>
      </c>
      <c r="E455" s="22">
        <f t="array" ref="E455">IF($C455="","",IFERROR(INDEX(DATA_MASTER!$I$2:$I$5000,MATCH($C455,DATA_MASTER!$D$2:$D$5000,0)),""))</f>
        <v/>
      </c>
      <c r="F455" s="22">
        <f t="array" ref="F455">IF($C455="","",IFERROR(INDEX(DATA_MASTER!$L$2:$L$5000,MATCH($C455,DATA_MASTER!$D$2:$D$5000,0)),""))</f>
        <v/>
      </c>
      <c r="G455" s="24" t="n"/>
      <c r="H455" s="24" t="n"/>
      <c r="I455" s="30" t="n"/>
      <c r="J455" s="23">
        <f>IF(OR($H455="",$I455=""),"",$H455*$I455)</f>
        <v/>
      </c>
      <c r="K455" s="24" t="n"/>
      <c r="L455" s="24" t="n"/>
      <c r="M455" s="29" t="n"/>
      <c r="N455" s="28" t="n"/>
      <c r="O455" s="24" t="n"/>
      <c r="P455" s="24" t="n"/>
      <c r="Q455" s="24" t="n"/>
      <c r="R455" s="24" t="n"/>
      <c r="S455" s="22">
        <f>IF(AND($A455="",$C455=""),"",IF($A455="","Thiếu mã đơn; ","")&amp;IF(COUNTIF($A$2:$A455,$A455)&gt;1,"Trùng mã đơn; ","")&amp;IF(ISNA(MATCH($C455,DATA_MASTER!$D$2:$D$5000,0)),"SĐT chưa đăng ký hội viên; ","")&amp;IF(AND($L455="Đã chuyển khoản",$M455=""),"Thiếu ngày nhận CK; ",""))</f>
        <v/>
      </c>
      <c r="T455" s="24" t="n"/>
    </row>
    <row r="456" ht="14.25" customHeight="1" s="40">
      <c r="A456" s="24" t="n"/>
      <c r="B456" s="29" t="n"/>
      <c r="C456" s="28" t="n"/>
      <c r="D456" s="22">
        <f t="array" ref="D456">IF($C456="","",IFERROR(INDEX(DATA_MASTER!$C$2:$C$5000,MATCH($C456,DATA_MASTER!$D$2:$D$5000,0)),""))</f>
        <v/>
      </c>
      <c r="E456" s="22">
        <f t="array" ref="E456">IF($C456="","",IFERROR(INDEX(DATA_MASTER!$I$2:$I$5000,MATCH($C456,DATA_MASTER!$D$2:$D$5000,0)),""))</f>
        <v/>
      </c>
      <c r="F456" s="22">
        <f t="array" ref="F456">IF($C456="","",IFERROR(INDEX(DATA_MASTER!$L$2:$L$5000,MATCH($C456,DATA_MASTER!$D$2:$D$5000,0)),""))</f>
        <v/>
      </c>
      <c r="G456" s="24" t="n"/>
      <c r="H456" s="24" t="n"/>
      <c r="I456" s="30" t="n"/>
      <c r="J456" s="23">
        <f>IF(OR($H456="",$I456=""),"",$H456*$I456)</f>
        <v/>
      </c>
      <c r="K456" s="24" t="n"/>
      <c r="L456" s="24" t="n"/>
      <c r="M456" s="29" t="n"/>
      <c r="N456" s="28" t="n"/>
      <c r="O456" s="24" t="n"/>
      <c r="P456" s="24" t="n"/>
      <c r="Q456" s="24" t="n"/>
      <c r="R456" s="24" t="n"/>
      <c r="S456" s="22">
        <f>IF(AND($A456="",$C456=""),"",IF($A456="","Thiếu mã đơn; ","")&amp;IF(COUNTIF($A$2:$A456,$A456)&gt;1,"Trùng mã đơn; ","")&amp;IF(ISNA(MATCH($C456,DATA_MASTER!$D$2:$D$5000,0)),"SĐT chưa đăng ký hội viên; ","")&amp;IF(AND($L456="Đã chuyển khoản",$M456=""),"Thiếu ngày nhận CK; ",""))</f>
        <v/>
      </c>
      <c r="T456" s="24" t="n"/>
    </row>
    <row r="457" ht="14.25" customHeight="1" s="40">
      <c r="A457" s="24" t="n"/>
      <c r="B457" s="29" t="n"/>
      <c r="C457" s="28" t="n"/>
      <c r="D457" s="22">
        <f t="array" ref="D457">IF($C457="","",IFERROR(INDEX(DATA_MASTER!$C$2:$C$5000,MATCH($C457,DATA_MASTER!$D$2:$D$5000,0)),""))</f>
        <v/>
      </c>
      <c r="E457" s="22">
        <f t="array" ref="E457">IF($C457="","",IFERROR(INDEX(DATA_MASTER!$I$2:$I$5000,MATCH($C457,DATA_MASTER!$D$2:$D$5000,0)),""))</f>
        <v/>
      </c>
      <c r="F457" s="22">
        <f t="array" ref="F457">IF($C457="","",IFERROR(INDEX(DATA_MASTER!$L$2:$L$5000,MATCH($C457,DATA_MASTER!$D$2:$D$5000,0)),""))</f>
        <v/>
      </c>
      <c r="G457" s="24" t="n"/>
      <c r="H457" s="24" t="n"/>
      <c r="I457" s="30" t="n"/>
      <c r="J457" s="23">
        <f>IF(OR($H457="",$I457=""),"",$H457*$I457)</f>
        <v/>
      </c>
      <c r="K457" s="24" t="n"/>
      <c r="L457" s="24" t="n"/>
      <c r="M457" s="29" t="n"/>
      <c r="N457" s="28" t="n"/>
      <c r="O457" s="24" t="n"/>
      <c r="P457" s="24" t="n"/>
      <c r="Q457" s="24" t="n"/>
      <c r="R457" s="24" t="n"/>
      <c r="S457" s="22">
        <f>IF(AND($A457="",$C457=""),"",IF($A457="","Thiếu mã đơn; ","")&amp;IF(COUNTIF($A$2:$A457,$A457)&gt;1,"Trùng mã đơn; ","")&amp;IF(ISNA(MATCH($C457,DATA_MASTER!$D$2:$D$5000,0)),"SĐT chưa đăng ký hội viên; ","")&amp;IF(AND($L457="Đã chuyển khoản",$M457=""),"Thiếu ngày nhận CK; ",""))</f>
        <v/>
      </c>
      <c r="T457" s="24" t="n"/>
    </row>
    <row r="458" ht="14.25" customHeight="1" s="40">
      <c r="A458" s="24" t="n"/>
      <c r="B458" s="29" t="n"/>
      <c r="C458" s="28" t="n"/>
      <c r="D458" s="22">
        <f t="array" ref="D458">IF($C458="","",IFERROR(INDEX(DATA_MASTER!$C$2:$C$5000,MATCH($C458,DATA_MASTER!$D$2:$D$5000,0)),""))</f>
        <v/>
      </c>
      <c r="E458" s="22">
        <f t="array" ref="E458">IF($C458="","",IFERROR(INDEX(DATA_MASTER!$I$2:$I$5000,MATCH($C458,DATA_MASTER!$D$2:$D$5000,0)),""))</f>
        <v/>
      </c>
      <c r="F458" s="22">
        <f t="array" ref="F458">IF($C458="","",IFERROR(INDEX(DATA_MASTER!$L$2:$L$5000,MATCH($C458,DATA_MASTER!$D$2:$D$5000,0)),""))</f>
        <v/>
      </c>
      <c r="G458" s="24" t="n"/>
      <c r="H458" s="24" t="n"/>
      <c r="I458" s="30" t="n"/>
      <c r="J458" s="23">
        <f>IF(OR($H458="",$I458=""),"",$H458*$I458)</f>
        <v/>
      </c>
      <c r="K458" s="24" t="n"/>
      <c r="L458" s="24" t="n"/>
      <c r="M458" s="29" t="n"/>
      <c r="N458" s="28" t="n"/>
      <c r="O458" s="24" t="n"/>
      <c r="P458" s="24" t="n"/>
      <c r="Q458" s="24" t="n"/>
      <c r="R458" s="24" t="n"/>
      <c r="S458" s="22">
        <f>IF(AND($A458="",$C458=""),"",IF($A458="","Thiếu mã đơn; ","")&amp;IF(COUNTIF($A$2:$A458,$A458)&gt;1,"Trùng mã đơn; ","")&amp;IF(ISNA(MATCH($C458,DATA_MASTER!$D$2:$D$5000,0)),"SĐT chưa đăng ký hội viên; ","")&amp;IF(AND($L458="Đã chuyển khoản",$M458=""),"Thiếu ngày nhận CK; ",""))</f>
        <v/>
      </c>
      <c r="T458" s="24" t="n"/>
    </row>
    <row r="459" ht="14.25" customHeight="1" s="40">
      <c r="A459" s="24" t="n"/>
      <c r="B459" s="29" t="n"/>
      <c r="C459" s="28" t="n"/>
      <c r="D459" s="22">
        <f t="array" ref="D459">IF($C459="","",IFERROR(INDEX(DATA_MASTER!$C$2:$C$5000,MATCH($C459,DATA_MASTER!$D$2:$D$5000,0)),""))</f>
        <v/>
      </c>
      <c r="E459" s="22">
        <f t="array" ref="E459">IF($C459="","",IFERROR(INDEX(DATA_MASTER!$I$2:$I$5000,MATCH($C459,DATA_MASTER!$D$2:$D$5000,0)),""))</f>
        <v/>
      </c>
      <c r="F459" s="22">
        <f t="array" ref="F459">IF($C459="","",IFERROR(INDEX(DATA_MASTER!$L$2:$L$5000,MATCH($C459,DATA_MASTER!$D$2:$D$5000,0)),""))</f>
        <v/>
      </c>
      <c r="G459" s="24" t="n"/>
      <c r="H459" s="24" t="n"/>
      <c r="I459" s="30" t="n"/>
      <c r="J459" s="23">
        <f>IF(OR($H459="",$I459=""),"",$H459*$I459)</f>
        <v/>
      </c>
      <c r="K459" s="24" t="n"/>
      <c r="L459" s="24" t="n"/>
      <c r="M459" s="29" t="n"/>
      <c r="N459" s="28" t="n"/>
      <c r="O459" s="24" t="n"/>
      <c r="P459" s="24" t="n"/>
      <c r="Q459" s="24" t="n"/>
      <c r="R459" s="24" t="n"/>
      <c r="S459" s="22">
        <f>IF(AND($A459="",$C459=""),"",IF($A459="","Thiếu mã đơn; ","")&amp;IF(COUNTIF($A$2:$A459,$A459)&gt;1,"Trùng mã đơn; ","")&amp;IF(ISNA(MATCH($C459,DATA_MASTER!$D$2:$D$5000,0)),"SĐT chưa đăng ký hội viên; ","")&amp;IF(AND($L459="Đã chuyển khoản",$M459=""),"Thiếu ngày nhận CK; ",""))</f>
        <v/>
      </c>
      <c r="T459" s="24" t="n"/>
    </row>
    <row r="460" ht="14.25" customHeight="1" s="40">
      <c r="A460" s="24" t="n"/>
      <c r="B460" s="29" t="n"/>
      <c r="C460" s="28" t="n"/>
      <c r="D460" s="22">
        <f t="array" ref="D460">IF($C460="","",IFERROR(INDEX(DATA_MASTER!$C$2:$C$5000,MATCH($C460,DATA_MASTER!$D$2:$D$5000,0)),""))</f>
        <v/>
      </c>
      <c r="E460" s="22">
        <f t="array" ref="E460">IF($C460="","",IFERROR(INDEX(DATA_MASTER!$I$2:$I$5000,MATCH($C460,DATA_MASTER!$D$2:$D$5000,0)),""))</f>
        <v/>
      </c>
      <c r="F460" s="22">
        <f t="array" ref="F460">IF($C460="","",IFERROR(INDEX(DATA_MASTER!$L$2:$L$5000,MATCH($C460,DATA_MASTER!$D$2:$D$5000,0)),""))</f>
        <v/>
      </c>
      <c r="G460" s="24" t="n"/>
      <c r="H460" s="24" t="n"/>
      <c r="I460" s="30" t="n"/>
      <c r="J460" s="23">
        <f>IF(OR($H460="",$I460=""),"",$H460*$I460)</f>
        <v/>
      </c>
      <c r="K460" s="24" t="n"/>
      <c r="L460" s="24" t="n"/>
      <c r="M460" s="29" t="n"/>
      <c r="N460" s="28" t="n"/>
      <c r="O460" s="24" t="n"/>
      <c r="P460" s="24" t="n"/>
      <c r="Q460" s="24" t="n"/>
      <c r="R460" s="24" t="n"/>
      <c r="S460" s="22">
        <f>IF(AND($A460="",$C460=""),"",IF($A460="","Thiếu mã đơn; ","")&amp;IF(COUNTIF($A$2:$A460,$A460)&gt;1,"Trùng mã đơn; ","")&amp;IF(ISNA(MATCH($C460,DATA_MASTER!$D$2:$D$5000,0)),"SĐT chưa đăng ký hội viên; ","")&amp;IF(AND($L460="Đã chuyển khoản",$M460=""),"Thiếu ngày nhận CK; ",""))</f>
        <v/>
      </c>
      <c r="T460" s="24" t="n"/>
    </row>
    <row r="461" ht="14.25" customHeight="1" s="40">
      <c r="A461" s="24" t="n"/>
      <c r="B461" s="29" t="n"/>
      <c r="C461" s="28" t="n"/>
      <c r="D461" s="22">
        <f t="array" ref="D461">IF($C461="","",IFERROR(INDEX(DATA_MASTER!$C$2:$C$5000,MATCH($C461,DATA_MASTER!$D$2:$D$5000,0)),""))</f>
        <v/>
      </c>
      <c r="E461" s="22">
        <f t="array" ref="E461">IF($C461="","",IFERROR(INDEX(DATA_MASTER!$I$2:$I$5000,MATCH($C461,DATA_MASTER!$D$2:$D$5000,0)),""))</f>
        <v/>
      </c>
      <c r="F461" s="22">
        <f t="array" ref="F461">IF($C461="","",IFERROR(INDEX(DATA_MASTER!$L$2:$L$5000,MATCH($C461,DATA_MASTER!$D$2:$D$5000,0)),""))</f>
        <v/>
      </c>
      <c r="G461" s="24" t="n"/>
      <c r="H461" s="24" t="n"/>
      <c r="I461" s="30" t="n"/>
      <c r="J461" s="23">
        <f>IF(OR($H461="",$I461=""),"",$H461*$I461)</f>
        <v/>
      </c>
      <c r="K461" s="24" t="n"/>
      <c r="L461" s="24" t="n"/>
      <c r="M461" s="29" t="n"/>
      <c r="N461" s="28" t="n"/>
      <c r="O461" s="24" t="n"/>
      <c r="P461" s="24" t="n"/>
      <c r="Q461" s="24" t="n"/>
      <c r="R461" s="24" t="n"/>
      <c r="S461" s="22">
        <f>IF(AND($A461="",$C461=""),"",IF($A461="","Thiếu mã đơn; ","")&amp;IF(COUNTIF($A$2:$A461,$A461)&gt;1,"Trùng mã đơn; ","")&amp;IF(ISNA(MATCH($C461,DATA_MASTER!$D$2:$D$5000,0)),"SĐT chưa đăng ký hội viên; ","")&amp;IF(AND($L461="Đã chuyển khoản",$M461=""),"Thiếu ngày nhận CK; ",""))</f>
        <v/>
      </c>
      <c r="T461" s="24" t="n"/>
    </row>
    <row r="462" ht="14.25" customHeight="1" s="40">
      <c r="A462" s="24" t="n"/>
      <c r="B462" s="29" t="n"/>
      <c r="C462" s="28" t="n"/>
      <c r="D462" s="22">
        <f t="array" ref="D462">IF($C462="","",IFERROR(INDEX(DATA_MASTER!$C$2:$C$5000,MATCH($C462,DATA_MASTER!$D$2:$D$5000,0)),""))</f>
        <v/>
      </c>
      <c r="E462" s="22">
        <f t="array" ref="E462">IF($C462="","",IFERROR(INDEX(DATA_MASTER!$I$2:$I$5000,MATCH($C462,DATA_MASTER!$D$2:$D$5000,0)),""))</f>
        <v/>
      </c>
      <c r="F462" s="22">
        <f t="array" ref="F462">IF($C462="","",IFERROR(INDEX(DATA_MASTER!$L$2:$L$5000,MATCH($C462,DATA_MASTER!$D$2:$D$5000,0)),""))</f>
        <v/>
      </c>
      <c r="G462" s="24" t="n"/>
      <c r="H462" s="24" t="n"/>
      <c r="I462" s="30" t="n"/>
      <c r="J462" s="23">
        <f>IF(OR($H462="",$I462=""),"",$H462*$I462)</f>
        <v/>
      </c>
      <c r="K462" s="24" t="n"/>
      <c r="L462" s="24" t="n"/>
      <c r="M462" s="29" t="n"/>
      <c r="N462" s="28" t="n"/>
      <c r="O462" s="24" t="n"/>
      <c r="P462" s="24" t="n"/>
      <c r="Q462" s="24" t="n"/>
      <c r="R462" s="24" t="n"/>
      <c r="S462" s="22">
        <f>IF(AND($A462="",$C462=""),"",IF($A462="","Thiếu mã đơn; ","")&amp;IF(COUNTIF($A$2:$A462,$A462)&gt;1,"Trùng mã đơn; ","")&amp;IF(ISNA(MATCH($C462,DATA_MASTER!$D$2:$D$5000,0)),"SĐT chưa đăng ký hội viên; ","")&amp;IF(AND($L462="Đã chuyển khoản",$M462=""),"Thiếu ngày nhận CK; ",""))</f>
        <v/>
      </c>
      <c r="T462" s="24" t="n"/>
    </row>
    <row r="463" ht="14.25" customHeight="1" s="40">
      <c r="A463" s="24" t="n"/>
      <c r="B463" s="29" t="n"/>
      <c r="C463" s="28" t="n"/>
      <c r="D463" s="22">
        <f t="array" ref="D463">IF($C463="","",IFERROR(INDEX(DATA_MASTER!$C$2:$C$5000,MATCH($C463,DATA_MASTER!$D$2:$D$5000,0)),""))</f>
        <v/>
      </c>
      <c r="E463" s="22">
        <f t="array" ref="E463">IF($C463="","",IFERROR(INDEX(DATA_MASTER!$I$2:$I$5000,MATCH($C463,DATA_MASTER!$D$2:$D$5000,0)),""))</f>
        <v/>
      </c>
      <c r="F463" s="22">
        <f t="array" ref="F463">IF($C463="","",IFERROR(INDEX(DATA_MASTER!$L$2:$L$5000,MATCH($C463,DATA_MASTER!$D$2:$D$5000,0)),""))</f>
        <v/>
      </c>
      <c r="G463" s="24" t="n"/>
      <c r="H463" s="24" t="n"/>
      <c r="I463" s="30" t="n"/>
      <c r="J463" s="23">
        <f>IF(OR($H463="",$I463=""),"",$H463*$I463)</f>
        <v/>
      </c>
      <c r="K463" s="24" t="n"/>
      <c r="L463" s="24" t="n"/>
      <c r="M463" s="29" t="n"/>
      <c r="N463" s="28" t="n"/>
      <c r="O463" s="24" t="n"/>
      <c r="P463" s="24" t="n"/>
      <c r="Q463" s="24" t="n"/>
      <c r="R463" s="24" t="n"/>
      <c r="S463" s="22">
        <f>IF(AND($A463="",$C463=""),"",IF($A463="","Thiếu mã đơn; ","")&amp;IF(COUNTIF($A$2:$A463,$A463)&gt;1,"Trùng mã đơn; ","")&amp;IF(ISNA(MATCH($C463,DATA_MASTER!$D$2:$D$5000,0)),"SĐT chưa đăng ký hội viên; ","")&amp;IF(AND($L463="Đã chuyển khoản",$M463=""),"Thiếu ngày nhận CK; ",""))</f>
        <v/>
      </c>
      <c r="T463" s="24" t="n"/>
    </row>
    <row r="464" ht="14.25" customHeight="1" s="40">
      <c r="A464" s="24" t="n"/>
      <c r="B464" s="29" t="n"/>
      <c r="C464" s="28" t="n"/>
      <c r="D464" s="22">
        <f t="array" ref="D464">IF($C464="","",IFERROR(INDEX(DATA_MASTER!$C$2:$C$5000,MATCH($C464,DATA_MASTER!$D$2:$D$5000,0)),""))</f>
        <v/>
      </c>
      <c r="E464" s="22">
        <f t="array" ref="E464">IF($C464="","",IFERROR(INDEX(DATA_MASTER!$I$2:$I$5000,MATCH($C464,DATA_MASTER!$D$2:$D$5000,0)),""))</f>
        <v/>
      </c>
      <c r="F464" s="22">
        <f t="array" ref="F464">IF($C464="","",IFERROR(INDEX(DATA_MASTER!$L$2:$L$5000,MATCH($C464,DATA_MASTER!$D$2:$D$5000,0)),""))</f>
        <v/>
      </c>
      <c r="G464" s="24" t="n"/>
      <c r="H464" s="24" t="n"/>
      <c r="I464" s="30" t="n"/>
      <c r="J464" s="23">
        <f>IF(OR($H464="",$I464=""),"",$H464*$I464)</f>
        <v/>
      </c>
      <c r="K464" s="24" t="n"/>
      <c r="L464" s="24" t="n"/>
      <c r="M464" s="29" t="n"/>
      <c r="N464" s="28" t="n"/>
      <c r="O464" s="24" t="n"/>
      <c r="P464" s="24" t="n"/>
      <c r="Q464" s="24" t="n"/>
      <c r="R464" s="24" t="n"/>
      <c r="S464" s="22">
        <f>IF(AND($A464="",$C464=""),"",IF($A464="","Thiếu mã đơn; ","")&amp;IF(COUNTIF($A$2:$A464,$A464)&gt;1,"Trùng mã đơn; ","")&amp;IF(ISNA(MATCH($C464,DATA_MASTER!$D$2:$D$5000,0)),"SĐT chưa đăng ký hội viên; ","")&amp;IF(AND($L464="Đã chuyển khoản",$M464=""),"Thiếu ngày nhận CK; ",""))</f>
        <v/>
      </c>
      <c r="T464" s="24" t="n"/>
    </row>
    <row r="465" ht="14.25" customHeight="1" s="40">
      <c r="A465" s="24" t="n"/>
      <c r="B465" s="29" t="n"/>
      <c r="C465" s="28" t="n"/>
      <c r="D465" s="22">
        <f t="array" ref="D465">IF($C465="","",IFERROR(INDEX(DATA_MASTER!$C$2:$C$5000,MATCH($C465,DATA_MASTER!$D$2:$D$5000,0)),""))</f>
        <v/>
      </c>
      <c r="E465" s="22">
        <f t="array" ref="E465">IF($C465="","",IFERROR(INDEX(DATA_MASTER!$I$2:$I$5000,MATCH($C465,DATA_MASTER!$D$2:$D$5000,0)),""))</f>
        <v/>
      </c>
      <c r="F465" s="22">
        <f t="array" ref="F465">IF($C465="","",IFERROR(INDEX(DATA_MASTER!$L$2:$L$5000,MATCH($C465,DATA_MASTER!$D$2:$D$5000,0)),""))</f>
        <v/>
      </c>
      <c r="G465" s="24" t="n"/>
      <c r="H465" s="24" t="n"/>
      <c r="I465" s="30" t="n"/>
      <c r="J465" s="23">
        <f>IF(OR($H465="",$I465=""),"",$H465*$I465)</f>
        <v/>
      </c>
      <c r="K465" s="24" t="n"/>
      <c r="L465" s="24" t="n"/>
      <c r="M465" s="29" t="n"/>
      <c r="N465" s="28" t="n"/>
      <c r="O465" s="24" t="n"/>
      <c r="P465" s="24" t="n"/>
      <c r="Q465" s="24" t="n"/>
      <c r="R465" s="24" t="n"/>
      <c r="S465" s="22">
        <f>IF(AND($A465="",$C465=""),"",IF($A465="","Thiếu mã đơn; ","")&amp;IF(COUNTIF($A$2:$A465,$A465)&gt;1,"Trùng mã đơn; ","")&amp;IF(ISNA(MATCH($C465,DATA_MASTER!$D$2:$D$5000,0)),"SĐT chưa đăng ký hội viên; ","")&amp;IF(AND($L465="Đã chuyển khoản",$M465=""),"Thiếu ngày nhận CK; ",""))</f>
        <v/>
      </c>
      <c r="T465" s="24" t="n"/>
    </row>
    <row r="466" ht="14.25" customHeight="1" s="40">
      <c r="A466" s="24" t="n"/>
      <c r="B466" s="29" t="n"/>
      <c r="C466" s="28" t="n"/>
      <c r="D466" s="22">
        <f t="array" ref="D466">IF($C466="","",IFERROR(INDEX(DATA_MASTER!$C$2:$C$5000,MATCH($C466,DATA_MASTER!$D$2:$D$5000,0)),""))</f>
        <v/>
      </c>
      <c r="E466" s="22">
        <f t="array" ref="E466">IF($C466="","",IFERROR(INDEX(DATA_MASTER!$I$2:$I$5000,MATCH($C466,DATA_MASTER!$D$2:$D$5000,0)),""))</f>
        <v/>
      </c>
      <c r="F466" s="22">
        <f t="array" ref="F466">IF($C466="","",IFERROR(INDEX(DATA_MASTER!$L$2:$L$5000,MATCH($C466,DATA_MASTER!$D$2:$D$5000,0)),""))</f>
        <v/>
      </c>
      <c r="G466" s="24" t="n"/>
      <c r="H466" s="24" t="n"/>
      <c r="I466" s="30" t="n"/>
      <c r="J466" s="23">
        <f>IF(OR($H466="",$I466=""),"",$H466*$I466)</f>
        <v/>
      </c>
      <c r="K466" s="24" t="n"/>
      <c r="L466" s="24" t="n"/>
      <c r="M466" s="29" t="n"/>
      <c r="N466" s="28" t="n"/>
      <c r="O466" s="24" t="n"/>
      <c r="P466" s="24" t="n"/>
      <c r="Q466" s="24" t="n"/>
      <c r="R466" s="24" t="n"/>
      <c r="S466" s="22">
        <f>IF(AND($A466="",$C466=""),"",IF($A466="","Thiếu mã đơn; ","")&amp;IF(COUNTIF($A$2:$A466,$A466)&gt;1,"Trùng mã đơn; ","")&amp;IF(ISNA(MATCH($C466,DATA_MASTER!$D$2:$D$5000,0)),"SĐT chưa đăng ký hội viên; ","")&amp;IF(AND($L466="Đã chuyển khoản",$M466=""),"Thiếu ngày nhận CK; ",""))</f>
        <v/>
      </c>
      <c r="T466" s="24" t="n"/>
    </row>
    <row r="467" ht="14.25" customHeight="1" s="40">
      <c r="A467" s="24" t="n"/>
      <c r="B467" s="29" t="n"/>
      <c r="C467" s="28" t="n"/>
      <c r="D467" s="22">
        <f t="array" ref="D467">IF($C467="","",IFERROR(INDEX(DATA_MASTER!$C$2:$C$5000,MATCH($C467,DATA_MASTER!$D$2:$D$5000,0)),""))</f>
        <v/>
      </c>
      <c r="E467" s="22">
        <f t="array" ref="E467">IF($C467="","",IFERROR(INDEX(DATA_MASTER!$I$2:$I$5000,MATCH($C467,DATA_MASTER!$D$2:$D$5000,0)),""))</f>
        <v/>
      </c>
      <c r="F467" s="22">
        <f t="array" ref="F467">IF($C467="","",IFERROR(INDEX(DATA_MASTER!$L$2:$L$5000,MATCH($C467,DATA_MASTER!$D$2:$D$5000,0)),""))</f>
        <v/>
      </c>
      <c r="G467" s="24" t="n"/>
      <c r="H467" s="24" t="n"/>
      <c r="I467" s="30" t="n"/>
      <c r="J467" s="23">
        <f>IF(OR($H467="",$I467=""),"",$H467*$I467)</f>
        <v/>
      </c>
      <c r="K467" s="24" t="n"/>
      <c r="L467" s="24" t="n"/>
      <c r="M467" s="29" t="n"/>
      <c r="N467" s="28" t="n"/>
      <c r="O467" s="24" t="n"/>
      <c r="P467" s="24" t="n"/>
      <c r="Q467" s="24" t="n"/>
      <c r="R467" s="24" t="n"/>
      <c r="S467" s="22">
        <f>IF(AND($A467="",$C467=""),"",IF($A467="","Thiếu mã đơn; ","")&amp;IF(COUNTIF($A$2:$A467,$A467)&gt;1,"Trùng mã đơn; ","")&amp;IF(ISNA(MATCH($C467,DATA_MASTER!$D$2:$D$5000,0)),"SĐT chưa đăng ký hội viên; ","")&amp;IF(AND($L467="Đã chuyển khoản",$M467=""),"Thiếu ngày nhận CK; ",""))</f>
        <v/>
      </c>
      <c r="T467" s="24" t="n"/>
    </row>
    <row r="468" ht="14.25" customHeight="1" s="40">
      <c r="A468" s="24" t="n"/>
      <c r="B468" s="29" t="n"/>
      <c r="C468" s="28" t="n"/>
      <c r="D468" s="22">
        <f t="array" ref="D468">IF($C468="","",IFERROR(INDEX(DATA_MASTER!$C$2:$C$5000,MATCH($C468,DATA_MASTER!$D$2:$D$5000,0)),""))</f>
        <v/>
      </c>
      <c r="E468" s="22">
        <f t="array" ref="E468">IF($C468="","",IFERROR(INDEX(DATA_MASTER!$I$2:$I$5000,MATCH($C468,DATA_MASTER!$D$2:$D$5000,0)),""))</f>
        <v/>
      </c>
      <c r="F468" s="22">
        <f t="array" ref="F468">IF($C468="","",IFERROR(INDEX(DATA_MASTER!$L$2:$L$5000,MATCH($C468,DATA_MASTER!$D$2:$D$5000,0)),""))</f>
        <v/>
      </c>
      <c r="G468" s="24" t="n"/>
      <c r="H468" s="24" t="n"/>
      <c r="I468" s="30" t="n"/>
      <c r="J468" s="23">
        <f>IF(OR($H468="",$I468=""),"",$H468*$I468)</f>
        <v/>
      </c>
      <c r="K468" s="24" t="n"/>
      <c r="L468" s="24" t="n"/>
      <c r="M468" s="29" t="n"/>
      <c r="N468" s="28" t="n"/>
      <c r="O468" s="24" t="n"/>
      <c r="P468" s="24" t="n"/>
      <c r="Q468" s="24" t="n"/>
      <c r="R468" s="24" t="n"/>
      <c r="S468" s="22">
        <f>IF(AND($A468="",$C468=""),"",IF($A468="","Thiếu mã đơn; ","")&amp;IF(COUNTIF($A$2:$A468,$A468)&gt;1,"Trùng mã đơn; ","")&amp;IF(ISNA(MATCH($C468,DATA_MASTER!$D$2:$D$5000,0)),"SĐT chưa đăng ký hội viên; ","")&amp;IF(AND($L468="Đã chuyển khoản",$M468=""),"Thiếu ngày nhận CK; ",""))</f>
        <v/>
      </c>
      <c r="T468" s="24" t="n"/>
    </row>
    <row r="469" ht="14.25" customHeight="1" s="40">
      <c r="A469" s="24" t="n"/>
      <c r="B469" s="29" t="n"/>
      <c r="C469" s="28" t="n"/>
      <c r="D469" s="22">
        <f t="array" ref="D469">IF($C469="","",IFERROR(INDEX(DATA_MASTER!$C$2:$C$5000,MATCH($C469,DATA_MASTER!$D$2:$D$5000,0)),""))</f>
        <v/>
      </c>
      <c r="E469" s="22">
        <f t="array" ref="E469">IF($C469="","",IFERROR(INDEX(DATA_MASTER!$I$2:$I$5000,MATCH($C469,DATA_MASTER!$D$2:$D$5000,0)),""))</f>
        <v/>
      </c>
      <c r="F469" s="22">
        <f t="array" ref="F469">IF($C469="","",IFERROR(INDEX(DATA_MASTER!$L$2:$L$5000,MATCH($C469,DATA_MASTER!$D$2:$D$5000,0)),""))</f>
        <v/>
      </c>
      <c r="G469" s="24" t="n"/>
      <c r="H469" s="24" t="n"/>
      <c r="I469" s="30" t="n"/>
      <c r="J469" s="23">
        <f>IF(OR($H469="",$I469=""),"",$H469*$I469)</f>
        <v/>
      </c>
      <c r="K469" s="24" t="n"/>
      <c r="L469" s="24" t="n"/>
      <c r="M469" s="29" t="n"/>
      <c r="N469" s="28" t="n"/>
      <c r="O469" s="24" t="n"/>
      <c r="P469" s="24" t="n"/>
      <c r="Q469" s="24" t="n"/>
      <c r="R469" s="24" t="n"/>
      <c r="S469" s="22">
        <f>IF(AND($A469="",$C469=""),"",IF($A469="","Thiếu mã đơn; ","")&amp;IF(COUNTIF($A$2:$A469,$A469)&gt;1,"Trùng mã đơn; ","")&amp;IF(ISNA(MATCH($C469,DATA_MASTER!$D$2:$D$5000,0)),"SĐT chưa đăng ký hội viên; ","")&amp;IF(AND($L469="Đã chuyển khoản",$M469=""),"Thiếu ngày nhận CK; ",""))</f>
        <v/>
      </c>
      <c r="T469" s="24" t="n"/>
    </row>
    <row r="470" ht="14.25" customHeight="1" s="40">
      <c r="A470" s="24" t="n"/>
      <c r="B470" s="29" t="n"/>
      <c r="C470" s="28" t="n"/>
      <c r="D470" s="22">
        <f t="array" ref="D470">IF($C470="","",IFERROR(INDEX(DATA_MASTER!$C$2:$C$5000,MATCH($C470,DATA_MASTER!$D$2:$D$5000,0)),""))</f>
        <v/>
      </c>
      <c r="E470" s="22">
        <f t="array" ref="E470">IF($C470="","",IFERROR(INDEX(DATA_MASTER!$I$2:$I$5000,MATCH($C470,DATA_MASTER!$D$2:$D$5000,0)),""))</f>
        <v/>
      </c>
      <c r="F470" s="22">
        <f t="array" ref="F470">IF($C470="","",IFERROR(INDEX(DATA_MASTER!$L$2:$L$5000,MATCH($C470,DATA_MASTER!$D$2:$D$5000,0)),""))</f>
        <v/>
      </c>
      <c r="G470" s="24" t="n"/>
      <c r="H470" s="24" t="n"/>
      <c r="I470" s="30" t="n"/>
      <c r="J470" s="23">
        <f>IF(OR($H470="",$I470=""),"",$H470*$I470)</f>
        <v/>
      </c>
      <c r="K470" s="24" t="n"/>
      <c r="L470" s="24" t="n"/>
      <c r="M470" s="29" t="n"/>
      <c r="N470" s="28" t="n"/>
      <c r="O470" s="24" t="n"/>
      <c r="P470" s="24" t="n"/>
      <c r="Q470" s="24" t="n"/>
      <c r="R470" s="24" t="n"/>
      <c r="S470" s="22">
        <f>IF(AND($A470="",$C470=""),"",IF($A470="","Thiếu mã đơn; ","")&amp;IF(COUNTIF($A$2:$A470,$A470)&gt;1,"Trùng mã đơn; ","")&amp;IF(ISNA(MATCH($C470,DATA_MASTER!$D$2:$D$5000,0)),"SĐT chưa đăng ký hội viên; ","")&amp;IF(AND($L470="Đã chuyển khoản",$M470=""),"Thiếu ngày nhận CK; ",""))</f>
        <v/>
      </c>
      <c r="T470" s="24" t="n"/>
    </row>
    <row r="471" ht="14.25" customHeight="1" s="40">
      <c r="A471" s="24" t="n"/>
      <c r="B471" s="29" t="n"/>
      <c r="C471" s="28" t="n"/>
      <c r="D471" s="22">
        <f t="array" ref="D471">IF($C471="","",IFERROR(INDEX(DATA_MASTER!$C$2:$C$5000,MATCH($C471,DATA_MASTER!$D$2:$D$5000,0)),""))</f>
        <v/>
      </c>
      <c r="E471" s="22">
        <f t="array" ref="E471">IF($C471="","",IFERROR(INDEX(DATA_MASTER!$I$2:$I$5000,MATCH($C471,DATA_MASTER!$D$2:$D$5000,0)),""))</f>
        <v/>
      </c>
      <c r="F471" s="22">
        <f t="array" ref="F471">IF($C471="","",IFERROR(INDEX(DATA_MASTER!$L$2:$L$5000,MATCH($C471,DATA_MASTER!$D$2:$D$5000,0)),""))</f>
        <v/>
      </c>
      <c r="G471" s="24" t="n"/>
      <c r="H471" s="24" t="n"/>
      <c r="I471" s="30" t="n"/>
      <c r="J471" s="23">
        <f>IF(OR($H471="",$I471=""),"",$H471*$I471)</f>
        <v/>
      </c>
      <c r="K471" s="24" t="n"/>
      <c r="L471" s="24" t="n"/>
      <c r="M471" s="29" t="n"/>
      <c r="N471" s="28" t="n"/>
      <c r="O471" s="24" t="n"/>
      <c r="P471" s="24" t="n"/>
      <c r="Q471" s="24" t="n"/>
      <c r="R471" s="24" t="n"/>
      <c r="S471" s="22">
        <f>IF(AND($A471="",$C471=""),"",IF($A471="","Thiếu mã đơn; ","")&amp;IF(COUNTIF($A$2:$A471,$A471)&gt;1,"Trùng mã đơn; ","")&amp;IF(ISNA(MATCH($C471,DATA_MASTER!$D$2:$D$5000,0)),"SĐT chưa đăng ký hội viên; ","")&amp;IF(AND($L471="Đã chuyển khoản",$M471=""),"Thiếu ngày nhận CK; ",""))</f>
        <v/>
      </c>
      <c r="T471" s="24" t="n"/>
    </row>
    <row r="472" ht="14.25" customHeight="1" s="40">
      <c r="A472" s="24" t="n"/>
      <c r="B472" s="29" t="n"/>
      <c r="C472" s="28" t="n"/>
      <c r="D472" s="22">
        <f t="array" ref="D472">IF($C472="","",IFERROR(INDEX(DATA_MASTER!$C$2:$C$5000,MATCH($C472,DATA_MASTER!$D$2:$D$5000,0)),""))</f>
        <v/>
      </c>
      <c r="E472" s="22">
        <f t="array" ref="E472">IF($C472="","",IFERROR(INDEX(DATA_MASTER!$I$2:$I$5000,MATCH($C472,DATA_MASTER!$D$2:$D$5000,0)),""))</f>
        <v/>
      </c>
      <c r="F472" s="22">
        <f t="array" ref="F472">IF($C472="","",IFERROR(INDEX(DATA_MASTER!$L$2:$L$5000,MATCH($C472,DATA_MASTER!$D$2:$D$5000,0)),""))</f>
        <v/>
      </c>
      <c r="G472" s="24" t="n"/>
      <c r="H472" s="24" t="n"/>
      <c r="I472" s="30" t="n"/>
      <c r="J472" s="23">
        <f>IF(OR($H472="",$I472=""),"",$H472*$I472)</f>
        <v/>
      </c>
      <c r="K472" s="24" t="n"/>
      <c r="L472" s="24" t="n"/>
      <c r="M472" s="29" t="n"/>
      <c r="N472" s="28" t="n"/>
      <c r="O472" s="24" t="n"/>
      <c r="P472" s="24" t="n"/>
      <c r="Q472" s="24" t="n"/>
      <c r="R472" s="24" t="n"/>
      <c r="S472" s="22">
        <f>IF(AND($A472="",$C472=""),"",IF($A472="","Thiếu mã đơn; ","")&amp;IF(COUNTIF($A$2:$A472,$A472)&gt;1,"Trùng mã đơn; ","")&amp;IF(ISNA(MATCH($C472,DATA_MASTER!$D$2:$D$5000,0)),"SĐT chưa đăng ký hội viên; ","")&amp;IF(AND($L472="Đã chuyển khoản",$M472=""),"Thiếu ngày nhận CK; ",""))</f>
        <v/>
      </c>
      <c r="T472" s="24" t="n"/>
    </row>
    <row r="473" ht="14.25" customHeight="1" s="40">
      <c r="A473" s="24" t="n"/>
      <c r="B473" s="29" t="n"/>
      <c r="C473" s="28" t="n"/>
      <c r="D473" s="22">
        <f t="array" ref="D473">IF($C473="","",IFERROR(INDEX(DATA_MASTER!$C$2:$C$5000,MATCH($C473,DATA_MASTER!$D$2:$D$5000,0)),""))</f>
        <v/>
      </c>
      <c r="E473" s="22">
        <f t="array" ref="E473">IF($C473="","",IFERROR(INDEX(DATA_MASTER!$I$2:$I$5000,MATCH($C473,DATA_MASTER!$D$2:$D$5000,0)),""))</f>
        <v/>
      </c>
      <c r="F473" s="22">
        <f t="array" ref="F473">IF($C473="","",IFERROR(INDEX(DATA_MASTER!$L$2:$L$5000,MATCH($C473,DATA_MASTER!$D$2:$D$5000,0)),""))</f>
        <v/>
      </c>
      <c r="G473" s="24" t="n"/>
      <c r="H473" s="24" t="n"/>
      <c r="I473" s="30" t="n"/>
      <c r="J473" s="23">
        <f>IF(OR($H473="",$I473=""),"",$H473*$I473)</f>
        <v/>
      </c>
      <c r="K473" s="24" t="n"/>
      <c r="L473" s="24" t="n"/>
      <c r="M473" s="29" t="n"/>
      <c r="N473" s="28" t="n"/>
      <c r="O473" s="24" t="n"/>
      <c r="P473" s="24" t="n"/>
      <c r="Q473" s="24" t="n"/>
      <c r="R473" s="24" t="n"/>
      <c r="S473" s="22">
        <f>IF(AND($A473="",$C473=""),"",IF($A473="","Thiếu mã đơn; ","")&amp;IF(COUNTIF($A$2:$A473,$A473)&gt;1,"Trùng mã đơn; ","")&amp;IF(ISNA(MATCH($C473,DATA_MASTER!$D$2:$D$5000,0)),"SĐT chưa đăng ký hội viên; ","")&amp;IF(AND($L473="Đã chuyển khoản",$M473=""),"Thiếu ngày nhận CK; ",""))</f>
        <v/>
      </c>
      <c r="T473" s="24" t="n"/>
    </row>
    <row r="474" ht="14.25" customHeight="1" s="40">
      <c r="A474" s="24" t="n"/>
      <c r="B474" s="29" t="n"/>
      <c r="C474" s="28" t="n"/>
      <c r="D474" s="22">
        <f t="array" ref="D474">IF($C474="","",IFERROR(INDEX(DATA_MASTER!$C$2:$C$5000,MATCH($C474,DATA_MASTER!$D$2:$D$5000,0)),""))</f>
        <v/>
      </c>
      <c r="E474" s="22">
        <f t="array" ref="E474">IF($C474="","",IFERROR(INDEX(DATA_MASTER!$I$2:$I$5000,MATCH($C474,DATA_MASTER!$D$2:$D$5000,0)),""))</f>
        <v/>
      </c>
      <c r="F474" s="22">
        <f t="array" ref="F474">IF($C474="","",IFERROR(INDEX(DATA_MASTER!$L$2:$L$5000,MATCH($C474,DATA_MASTER!$D$2:$D$5000,0)),""))</f>
        <v/>
      </c>
      <c r="G474" s="24" t="n"/>
      <c r="H474" s="24" t="n"/>
      <c r="I474" s="30" t="n"/>
      <c r="J474" s="23">
        <f>IF(OR($H474="",$I474=""),"",$H474*$I474)</f>
        <v/>
      </c>
      <c r="K474" s="24" t="n"/>
      <c r="L474" s="24" t="n"/>
      <c r="M474" s="29" t="n"/>
      <c r="N474" s="28" t="n"/>
      <c r="O474" s="24" t="n"/>
      <c r="P474" s="24" t="n"/>
      <c r="Q474" s="24" t="n"/>
      <c r="R474" s="24" t="n"/>
      <c r="S474" s="22">
        <f>IF(AND($A474="",$C474=""),"",IF($A474="","Thiếu mã đơn; ","")&amp;IF(COUNTIF($A$2:$A474,$A474)&gt;1,"Trùng mã đơn; ","")&amp;IF(ISNA(MATCH($C474,DATA_MASTER!$D$2:$D$5000,0)),"SĐT chưa đăng ký hội viên; ","")&amp;IF(AND($L474="Đã chuyển khoản",$M474=""),"Thiếu ngày nhận CK; ",""))</f>
        <v/>
      </c>
      <c r="T474" s="24" t="n"/>
    </row>
    <row r="475" ht="14.25" customHeight="1" s="40">
      <c r="A475" s="24" t="n"/>
      <c r="B475" s="29" t="n"/>
      <c r="C475" s="28" t="n"/>
      <c r="D475" s="22">
        <f t="array" ref="D475">IF($C475="","",IFERROR(INDEX(DATA_MASTER!$C$2:$C$5000,MATCH($C475,DATA_MASTER!$D$2:$D$5000,0)),""))</f>
        <v/>
      </c>
      <c r="E475" s="22">
        <f t="array" ref="E475">IF($C475="","",IFERROR(INDEX(DATA_MASTER!$I$2:$I$5000,MATCH($C475,DATA_MASTER!$D$2:$D$5000,0)),""))</f>
        <v/>
      </c>
      <c r="F475" s="22">
        <f t="array" ref="F475">IF($C475="","",IFERROR(INDEX(DATA_MASTER!$L$2:$L$5000,MATCH($C475,DATA_MASTER!$D$2:$D$5000,0)),""))</f>
        <v/>
      </c>
      <c r="G475" s="24" t="n"/>
      <c r="H475" s="24" t="n"/>
      <c r="I475" s="30" t="n"/>
      <c r="J475" s="23">
        <f>IF(OR($H475="",$I475=""),"",$H475*$I475)</f>
        <v/>
      </c>
      <c r="K475" s="24" t="n"/>
      <c r="L475" s="24" t="n"/>
      <c r="M475" s="29" t="n"/>
      <c r="N475" s="28" t="n"/>
      <c r="O475" s="24" t="n"/>
      <c r="P475" s="24" t="n"/>
      <c r="Q475" s="24" t="n"/>
      <c r="R475" s="24" t="n"/>
      <c r="S475" s="22">
        <f>IF(AND($A475="",$C475=""),"",IF($A475="","Thiếu mã đơn; ","")&amp;IF(COUNTIF($A$2:$A475,$A475)&gt;1,"Trùng mã đơn; ","")&amp;IF(ISNA(MATCH($C475,DATA_MASTER!$D$2:$D$5000,0)),"SĐT chưa đăng ký hội viên; ","")&amp;IF(AND($L475="Đã chuyển khoản",$M475=""),"Thiếu ngày nhận CK; ",""))</f>
        <v/>
      </c>
      <c r="T475" s="24" t="n"/>
    </row>
    <row r="476" ht="14.25" customHeight="1" s="40">
      <c r="A476" s="24" t="n"/>
      <c r="B476" s="29" t="n"/>
      <c r="C476" s="28" t="n"/>
      <c r="D476" s="22">
        <f t="array" ref="D476">IF($C476="","",IFERROR(INDEX(DATA_MASTER!$C$2:$C$5000,MATCH($C476,DATA_MASTER!$D$2:$D$5000,0)),""))</f>
        <v/>
      </c>
      <c r="E476" s="22">
        <f t="array" ref="E476">IF($C476="","",IFERROR(INDEX(DATA_MASTER!$I$2:$I$5000,MATCH($C476,DATA_MASTER!$D$2:$D$5000,0)),""))</f>
        <v/>
      </c>
      <c r="F476" s="22">
        <f t="array" ref="F476">IF($C476="","",IFERROR(INDEX(DATA_MASTER!$L$2:$L$5000,MATCH($C476,DATA_MASTER!$D$2:$D$5000,0)),""))</f>
        <v/>
      </c>
      <c r="G476" s="24" t="n"/>
      <c r="H476" s="24" t="n"/>
      <c r="I476" s="30" t="n"/>
      <c r="J476" s="23">
        <f>IF(OR($H476="",$I476=""),"",$H476*$I476)</f>
        <v/>
      </c>
      <c r="K476" s="24" t="n"/>
      <c r="L476" s="24" t="n"/>
      <c r="M476" s="29" t="n"/>
      <c r="N476" s="28" t="n"/>
      <c r="O476" s="24" t="n"/>
      <c r="P476" s="24" t="n"/>
      <c r="Q476" s="24" t="n"/>
      <c r="R476" s="24" t="n"/>
      <c r="S476" s="22">
        <f>IF(AND($A476="",$C476=""),"",IF($A476="","Thiếu mã đơn; ","")&amp;IF(COUNTIF($A$2:$A476,$A476)&gt;1,"Trùng mã đơn; ","")&amp;IF(ISNA(MATCH($C476,DATA_MASTER!$D$2:$D$5000,0)),"SĐT chưa đăng ký hội viên; ","")&amp;IF(AND($L476="Đã chuyển khoản",$M476=""),"Thiếu ngày nhận CK; ",""))</f>
        <v/>
      </c>
      <c r="T476" s="24" t="n"/>
    </row>
    <row r="477" ht="14.25" customHeight="1" s="40">
      <c r="A477" s="24" t="n"/>
      <c r="B477" s="29" t="n"/>
      <c r="C477" s="28" t="n"/>
      <c r="D477" s="22">
        <f t="array" ref="D477">IF($C477="","",IFERROR(INDEX(DATA_MASTER!$C$2:$C$5000,MATCH($C477,DATA_MASTER!$D$2:$D$5000,0)),""))</f>
        <v/>
      </c>
      <c r="E477" s="22">
        <f t="array" ref="E477">IF($C477="","",IFERROR(INDEX(DATA_MASTER!$I$2:$I$5000,MATCH($C477,DATA_MASTER!$D$2:$D$5000,0)),""))</f>
        <v/>
      </c>
      <c r="F477" s="22">
        <f t="array" ref="F477">IF($C477="","",IFERROR(INDEX(DATA_MASTER!$L$2:$L$5000,MATCH($C477,DATA_MASTER!$D$2:$D$5000,0)),""))</f>
        <v/>
      </c>
      <c r="G477" s="24" t="n"/>
      <c r="H477" s="24" t="n"/>
      <c r="I477" s="30" t="n"/>
      <c r="J477" s="23">
        <f>IF(OR($H477="",$I477=""),"",$H477*$I477)</f>
        <v/>
      </c>
      <c r="K477" s="24" t="n"/>
      <c r="L477" s="24" t="n"/>
      <c r="M477" s="29" t="n"/>
      <c r="N477" s="28" t="n"/>
      <c r="O477" s="24" t="n"/>
      <c r="P477" s="24" t="n"/>
      <c r="Q477" s="24" t="n"/>
      <c r="R477" s="24" t="n"/>
      <c r="S477" s="22">
        <f>IF(AND($A477="",$C477=""),"",IF($A477="","Thiếu mã đơn; ","")&amp;IF(COUNTIF($A$2:$A477,$A477)&gt;1,"Trùng mã đơn; ","")&amp;IF(ISNA(MATCH($C477,DATA_MASTER!$D$2:$D$5000,0)),"SĐT chưa đăng ký hội viên; ","")&amp;IF(AND($L477="Đã chuyển khoản",$M477=""),"Thiếu ngày nhận CK; ",""))</f>
        <v/>
      </c>
      <c r="T477" s="24" t="n"/>
    </row>
    <row r="478" ht="14.25" customHeight="1" s="40">
      <c r="A478" s="24" t="n"/>
      <c r="B478" s="29" t="n"/>
      <c r="C478" s="28" t="n"/>
      <c r="D478" s="22">
        <f t="array" ref="D478">IF($C478="","",IFERROR(INDEX(DATA_MASTER!$C$2:$C$5000,MATCH($C478,DATA_MASTER!$D$2:$D$5000,0)),""))</f>
        <v/>
      </c>
      <c r="E478" s="22">
        <f t="array" ref="E478">IF($C478="","",IFERROR(INDEX(DATA_MASTER!$I$2:$I$5000,MATCH($C478,DATA_MASTER!$D$2:$D$5000,0)),""))</f>
        <v/>
      </c>
      <c r="F478" s="22">
        <f t="array" ref="F478">IF($C478="","",IFERROR(INDEX(DATA_MASTER!$L$2:$L$5000,MATCH($C478,DATA_MASTER!$D$2:$D$5000,0)),""))</f>
        <v/>
      </c>
      <c r="G478" s="24" t="n"/>
      <c r="H478" s="24" t="n"/>
      <c r="I478" s="30" t="n"/>
      <c r="J478" s="23">
        <f>IF(OR($H478="",$I478=""),"",$H478*$I478)</f>
        <v/>
      </c>
      <c r="K478" s="24" t="n"/>
      <c r="L478" s="24" t="n"/>
      <c r="M478" s="29" t="n"/>
      <c r="N478" s="28" t="n"/>
      <c r="O478" s="24" t="n"/>
      <c r="P478" s="24" t="n"/>
      <c r="Q478" s="24" t="n"/>
      <c r="R478" s="24" t="n"/>
      <c r="S478" s="22">
        <f>IF(AND($A478="",$C478=""),"",IF($A478="","Thiếu mã đơn; ","")&amp;IF(COUNTIF($A$2:$A478,$A478)&gt;1,"Trùng mã đơn; ","")&amp;IF(ISNA(MATCH($C478,DATA_MASTER!$D$2:$D$5000,0)),"SĐT chưa đăng ký hội viên; ","")&amp;IF(AND($L478="Đã chuyển khoản",$M478=""),"Thiếu ngày nhận CK; ",""))</f>
        <v/>
      </c>
      <c r="T478" s="24" t="n"/>
    </row>
    <row r="479" ht="14.25" customHeight="1" s="40">
      <c r="A479" s="24" t="n"/>
      <c r="B479" s="29" t="n"/>
      <c r="C479" s="28" t="n"/>
      <c r="D479" s="22">
        <f t="array" ref="D479">IF($C479="","",IFERROR(INDEX(DATA_MASTER!$C$2:$C$5000,MATCH($C479,DATA_MASTER!$D$2:$D$5000,0)),""))</f>
        <v/>
      </c>
      <c r="E479" s="22">
        <f t="array" ref="E479">IF($C479="","",IFERROR(INDEX(DATA_MASTER!$I$2:$I$5000,MATCH($C479,DATA_MASTER!$D$2:$D$5000,0)),""))</f>
        <v/>
      </c>
      <c r="F479" s="22">
        <f t="array" ref="F479">IF($C479="","",IFERROR(INDEX(DATA_MASTER!$L$2:$L$5000,MATCH($C479,DATA_MASTER!$D$2:$D$5000,0)),""))</f>
        <v/>
      </c>
      <c r="G479" s="24" t="n"/>
      <c r="H479" s="24" t="n"/>
      <c r="I479" s="30" t="n"/>
      <c r="J479" s="23">
        <f>IF(OR($H479="",$I479=""),"",$H479*$I479)</f>
        <v/>
      </c>
      <c r="K479" s="24" t="n"/>
      <c r="L479" s="24" t="n"/>
      <c r="M479" s="29" t="n"/>
      <c r="N479" s="28" t="n"/>
      <c r="O479" s="24" t="n"/>
      <c r="P479" s="24" t="n"/>
      <c r="Q479" s="24" t="n"/>
      <c r="R479" s="24" t="n"/>
      <c r="S479" s="22">
        <f>IF(AND($A479="",$C479=""),"",IF($A479="","Thiếu mã đơn; ","")&amp;IF(COUNTIF($A$2:$A479,$A479)&gt;1,"Trùng mã đơn; ","")&amp;IF(ISNA(MATCH($C479,DATA_MASTER!$D$2:$D$5000,0)),"SĐT chưa đăng ký hội viên; ","")&amp;IF(AND($L479="Đã chuyển khoản",$M479=""),"Thiếu ngày nhận CK; ",""))</f>
        <v/>
      </c>
      <c r="T479" s="24" t="n"/>
    </row>
    <row r="480" ht="14.25" customHeight="1" s="40">
      <c r="A480" s="24" t="n"/>
      <c r="B480" s="29" t="n"/>
      <c r="C480" s="28" t="n"/>
      <c r="D480" s="22">
        <f t="array" ref="D480">IF($C480="","",IFERROR(INDEX(DATA_MASTER!$C$2:$C$5000,MATCH($C480,DATA_MASTER!$D$2:$D$5000,0)),""))</f>
        <v/>
      </c>
      <c r="E480" s="22">
        <f t="array" ref="E480">IF($C480="","",IFERROR(INDEX(DATA_MASTER!$I$2:$I$5000,MATCH($C480,DATA_MASTER!$D$2:$D$5000,0)),""))</f>
        <v/>
      </c>
      <c r="F480" s="22">
        <f t="array" ref="F480">IF($C480="","",IFERROR(INDEX(DATA_MASTER!$L$2:$L$5000,MATCH($C480,DATA_MASTER!$D$2:$D$5000,0)),""))</f>
        <v/>
      </c>
      <c r="G480" s="24" t="n"/>
      <c r="H480" s="24" t="n"/>
      <c r="I480" s="30" t="n"/>
      <c r="J480" s="23">
        <f>IF(OR($H480="",$I480=""),"",$H480*$I480)</f>
        <v/>
      </c>
      <c r="K480" s="24" t="n"/>
      <c r="L480" s="24" t="n"/>
      <c r="M480" s="29" t="n"/>
      <c r="N480" s="28" t="n"/>
      <c r="O480" s="24" t="n"/>
      <c r="P480" s="24" t="n"/>
      <c r="Q480" s="24" t="n"/>
      <c r="R480" s="24" t="n"/>
      <c r="S480" s="22">
        <f>IF(AND($A480="",$C480=""),"",IF($A480="","Thiếu mã đơn; ","")&amp;IF(COUNTIF($A$2:$A480,$A480)&gt;1,"Trùng mã đơn; ","")&amp;IF(ISNA(MATCH($C480,DATA_MASTER!$D$2:$D$5000,0)),"SĐT chưa đăng ký hội viên; ","")&amp;IF(AND($L480="Đã chuyển khoản",$M480=""),"Thiếu ngày nhận CK; ",""))</f>
        <v/>
      </c>
      <c r="T480" s="24" t="n"/>
    </row>
    <row r="481" ht="14.25" customHeight="1" s="40">
      <c r="A481" s="24" t="n"/>
      <c r="B481" s="29" t="n"/>
      <c r="C481" s="28" t="n"/>
      <c r="D481" s="22">
        <f t="array" ref="D481">IF($C481="","",IFERROR(INDEX(DATA_MASTER!$C$2:$C$5000,MATCH($C481,DATA_MASTER!$D$2:$D$5000,0)),""))</f>
        <v/>
      </c>
      <c r="E481" s="22">
        <f t="array" ref="E481">IF($C481="","",IFERROR(INDEX(DATA_MASTER!$I$2:$I$5000,MATCH($C481,DATA_MASTER!$D$2:$D$5000,0)),""))</f>
        <v/>
      </c>
      <c r="F481" s="22">
        <f t="array" ref="F481">IF($C481="","",IFERROR(INDEX(DATA_MASTER!$L$2:$L$5000,MATCH($C481,DATA_MASTER!$D$2:$D$5000,0)),""))</f>
        <v/>
      </c>
      <c r="G481" s="24" t="n"/>
      <c r="H481" s="24" t="n"/>
      <c r="I481" s="30" t="n"/>
      <c r="J481" s="23">
        <f>IF(OR($H481="",$I481=""),"",$H481*$I481)</f>
        <v/>
      </c>
      <c r="K481" s="24" t="n"/>
      <c r="L481" s="24" t="n"/>
      <c r="M481" s="29" t="n"/>
      <c r="N481" s="28" t="n"/>
      <c r="O481" s="24" t="n"/>
      <c r="P481" s="24" t="n"/>
      <c r="Q481" s="24" t="n"/>
      <c r="R481" s="24" t="n"/>
      <c r="S481" s="22">
        <f>IF(AND($A481="",$C481=""),"",IF($A481="","Thiếu mã đơn; ","")&amp;IF(COUNTIF($A$2:$A481,$A481)&gt;1,"Trùng mã đơn; ","")&amp;IF(ISNA(MATCH($C481,DATA_MASTER!$D$2:$D$5000,0)),"SĐT chưa đăng ký hội viên; ","")&amp;IF(AND($L481="Đã chuyển khoản",$M481=""),"Thiếu ngày nhận CK; ",""))</f>
        <v/>
      </c>
      <c r="T481" s="24" t="n"/>
    </row>
    <row r="482" ht="14.25" customHeight="1" s="40">
      <c r="A482" s="24" t="n"/>
      <c r="B482" s="29" t="n"/>
      <c r="C482" s="28" t="n"/>
      <c r="D482" s="22">
        <f t="array" ref="D482">IF($C482="","",IFERROR(INDEX(DATA_MASTER!$C$2:$C$5000,MATCH($C482,DATA_MASTER!$D$2:$D$5000,0)),""))</f>
        <v/>
      </c>
      <c r="E482" s="22">
        <f t="array" ref="E482">IF($C482="","",IFERROR(INDEX(DATA_MASTER!$I$2:$I$5000,MATCH($C482,DATA_MASTER!$D$2:$D$5000,0)),""))</f>
        <v/>
      </c>
      <c r="F482" s="22">
        <f t="array" ref="F482">IF($C482="","",IFERROR(INDEX(DATA_MASTER!$L$2:$L$5000,MATCH($C482,DATA_MASTER!$D$2:$D$5000,0)),""))</f>
        <v/>
      </c>
      <c r="G482" s="24" t="n"/>
      <c r="H482" s="24" t="n"/>
      <c r="I482" s="30" t="n"/>
      <c r="J482" s="23">
        <f>IF(OR($H482="",$I482=""),"",$H482*$I482)</f>
        <v/>
      </c>
      <c r="K482" s="24" t="n"/>
      <c r="L482" s="24" t="n"/>
      <c r="M482" s="29" t="n"/>
      <c r="N482" s="28" t="n"/>
      <c r="O482" s="24" t="n"/>
      <c r="P482" s="24" t="n"/>
      <c r="Q482" s="24" t="n"/>
      <c r="R482" s="24" t="n"/>
      <c r="S482" s="22">
        <f>IF(AND($A482="",$C482=""),"",IF($A482="","Thiếu mã đơn; ","")&amp;IF(COUNTIF($A$2:$A482,$A482)&gt;1,"Trùng mã đơn; ","")&amp;IF(ISNA(MATCH($C482,DATA_MASTER!$D$2:$D$5000,0)),"SĐT chưa đăng ký hội viên; ","")&amp;IF(AND($L482="Đã chuyển khoản",$M482=""),"Thiếu ngày nhận CK; ",""))</f>
        <v/>
      </c>
      <c r="T482" s="24" t="n"/>
    </row>
    <row r="483" ht="14.25" customHeight="1" s="40">
      <c r="A483" s="24" t="n"/>
      <c r="B483" s="29" t="n"/>
      <c r="C483" s="28" t="n"/>
      <c r="D483" s="22">
        <f t="array" ref="D483">IF($C483="","",IFERROR(INDEX(DATA_MASTER!$C$2:$C$5000,MATCH($C483,DATA_MASTER!$D$2:$D$5000,0)),""))</f>
        <v/>
      </c>
      <c r="E483" s="22">
        <f t="array" ref="E483">IF($C483="","",IFERROR(INDEX(DATA_MASTER!$I$2:$I$5000,MATCH($C483,DATA_MASTER!$D$2:$D$5000,0)),""))</f>
        <v/>
      </c>
      <c r="F483" s="22">
        <f t="array" ref="F483">IF($C483="","",IFERROR(INDEX(DATA_MASTER!$L$2:$L$5000,MATCH($C483,DATA_MASTER!$D$2:$D$5000,0)),""))</f>
        <v/>
      </c>
      <c r="G483" s="24" t="n"/>
      <c r="H483" s="24" t="n"/>
      <c r="I483" s="30" t="n"/>
      <c r="J483" s="23">
        <f>IF(OR($H483="",$I483=""),"",$H483*$I483)</f>
        <v/>
      </c>
      <c r="K483" s="24" t="n"/>
      <c r="L483" s="24" t="n"/>
      <c r="M483" s="29" t="n"/>
      <c r="N483" s="28" t="n"/>
      <c r="O483" s="24" t="n"/>
      <c r="P483" s="24" t="n"/>
      <c r="Q483" s="24" t="n"/>
      <c r="R483" s="24" t="n"/>
      <c r="S483" s="22">
        <f>IF(AND($A483="",$C483=""),"",IF($A483="","Thiếu mã đơn; ","")&amp;IF(COUNTIF($A$2:$A483,$A483)&gt;1,"Trùng mã đơn; ","")&amp;IF(ISNA(MATCH($C483,DATA_MASTER!$D$2:$D$5000,0)),"SĐT chưa đăng ký hội viên; ","")&amp;IF(AND($L483="Đã chuyển khoản",$M483=""),"Thiếu ngày nhận CK; ",""))</f>
        <v/>
      </c>
      <c r="T483" s="24" t="n"/>
    </row>
    <row r="484" ht="14.25" customHeight="1" s="40">
      <c r="A484" s="24" t="n"/>
      <c r="B484" s="29" t="n"/>
      <c r="C484" s="28" t="n"/>
      <c r="D484" s="22">
        <f t="array" ref="D484">IF($C484="","",IFERROR(INDEX(DATA_MASTER!$C$2:$C$5000,MATCH($C484,DATA_MASTER!$D$2:$D$5000,0)),""))</f>
        <v/>
      </c>
      <c r="E484" s="22">
        <f t="array" ref="E484">IF($C484="","",IFERROR(INDEX(DATA_MASTER!$I$2:$I$5000,MATCH($C484,DATA_MASTER!$D$2:$D$5000,0)),""))</f>
        <v/>
      </c>
      <c r="F484" s="22">
        <f t="array" ref="F484">IF($C484="","",IFERROR(INDEX(DATA_MASTER!$L$2:$L$5000,MATCH($C484,DATA_MASTER!$D$2:$D$5000,0)),""))</f>
        <v/>
      </c>
      <c r="G484" s="24" t="n"/>
      <c r="H484" s="24" t="n"/>
      <c r="I484" s="30" t="n"/>
      <c r="J484" s="23">
        <f>IF(OR($H484="",$I484=""),"",$H484*$I484)</f>
        <v/>
      </c>
      <c r="K484" s="24" t="n"/>
      <c r="L484" s="24" t="n"/>
      <c r="M484" s="29" t="n"/>
      <c r="N484" s="28" t="n"/>
      <c r="O484" s="24" t="n"/>
      <c r="P484" s="24" t="n"/>
      <c r="Q484" s="24" t="n"/>
      <c r="R484" s="24" t="n"/>
      <c r="S484" s="22">
        <f>IF(AND($A484="",$C484=""),"",IF($A484="","Thiếu mã đơn; ","")&amp;IF(COUNTIF($A$2:$A484,$A484)&gt;1,"Trùng mã đơn; ","")&amp;IF(ISNA(MATCH($C484,DATA_MASTER!$D$2:$D$5000,0)),"SĐT chưa đăng ký hội viên; ","")&amp;IF(AND($L484="Đã chuyển khoản",$M484=""),"Thiếu ngày nhận CK; ",""))</f>
        <v/>
      </c>
      <c r="T484" s="24" t="n"/>
    </row>
    <row r="485" ht="14.25" customHeight="1" s="40">
      <c r="A485" s="24" t="n"/>
      <c r="B485" s="29" t="n"/>
      <c r="C485" s="28" t="n"/>
      <c r="D485" s="22">
        <f t="array" ref="D485">IF($C485="","",IFERROR(INDEX(DATA_MASTER!$C$2:$C$5000,MATCH($C485,DATA_MASTER!$D$2:$D$5000,0)),""))</f>
        <v/>
      </c>
      <c r="E485" s="22">
        <f t="array" ref="E485">IF($C485="","",IFERROR(INDEX(DATA_MASTER!$I$2:$I$5000,MATCH($C485,DATA_MASTER!$D$2:$D$5000,0)),""))</f>
        <v/>
      </c>
      <c r="F485" s="22">
        <f t="array" ref="F485">IF($C485="","",IFERROR(INDEX(DATA_MASTER!$L$2:$L$5000,MATCH($C485,DATA_MASTER!$D$2:$D$5000,0)),""))</f>
        <v/>
      </c>
      <c r="G485" s="24" t="n"/>
      <c r="H485" s="24" t="n"/>
      <c r="I485" s="30" t="n"/>
      <c r="J485" s="23">
        <f>IF(OR($H485="",$I485=""),"",$H485*$I485)</f>
        <v/>
      </c>
      <c r="K485" s="24" t="n"/>
      <c r="L485" s="24" t="n"/>
      <c r="M485" s="29" t="n"/>
      <c r="N485" s="28" t="n"/>
      <c r="O485" s="24" t="n"/>
      <c r="P485" s="24" t="n"/>
      <c r="Q485" s="24" t="n"/>
      <c r="R485" s="24" t="n"/>
      <c r="S485" s="22">
        <f>IF(AND($A485="",$C485=""),"",IF($A485="","Thiếu mã đơn; ","")&amp;IF(COUNTIF($A$2:$A485,$A485)&gt;1,"Trùng mã đơn; ","")&amp;IF(ISNA(MATCH($C485,DATA_MASTER!$D$2:$D$5000,0)),"SĐT chưa đăng ký hội viên; ","")&amp;IF(AND($L485="Đã chuyển khoản",$M485=""),"Thiếu ngày nhận CK; ",""))</f>
        <v/>
      </c>
      <c r="T485" s="24" t="n"/>
    </row>
    <row r="486" ht="14.25" customHeight="1" s="40">
      <c r="A486" s="24" t="n"/>
      <c r="B486" s="29" t="n"/>
      <c r="C486" s="28" t="n"/>
      <c r="D486" s="22">
        <f t="array" ref="D486">IF($C486="","",IFERROR(INDEX(DATA_MASTER!$C$2:$C$5000,MATCH($C486,DATA_MASTER!$D$2:$D$5000,0)),""))</f>
        <v/>
      </c>
      <c r="E486" s="22">
        <f t="array" ref="E486">IF($C486="","",IFERROR(INDEX(DATA_MASTER!$I$2:$I$5000,MATCH($C486,DATA_MASTER!$D$2:$D$5000,0)),""))</f>
        <v/>
      </c>
      <c r="F486" s="22">
        <f t="array" ref="F486">IF($C486="","",IFERROR(INDEX(DATA_MASTER!$L$2:$L$5000,MATCH($C486,DATA_MASTER!$D$2:$D$5000,0)),""))</f>
        <v/>
      </c>
      <c r="G486" s="24" t="n"/>
      <c r="H486" s="24" t="n"/>
      <c r="I486" s="30" t="n"/>
      <c r="J486" s="23">
        <f>IF(OR($H486="",$I486=""),"",$H486*$I486)</f>
        <v/>
      </c>
      <c r="K486" s="24" t="n"/>
      <c r="L486" s="24" t="n"/>
      <c r="M486" s="29" t="n"/>
      <c r="N486" s="28" t="n"/>
      <c r="O486" s="24" t="n"/>
      <c r="P486" s="24" t="n"/>
      <c r="Q486" s="24" t="n"/>
      <c r="R486" s="24" t="n"/>
      <c r="S486" s="22">
        <f>IF(AND($A486="",$C486=""),"",IF($A486="","Thiếu mã đơn; ","")&amp;IF(COUNTIF($A$2:$A486,$A486)&gt;1,"Trùng mã đơn; ","")&amp;IF(ISNA(MATCH($C486,DATA_MASTER!$D$2:$D$5000,0)),"SĐT chưa đăng ký hội viên; ","")&amp;IF(AND($L486="Đã chuyển khoản",$M486=""),"Thiếu ngày nhận CK; ",""))</f>
        <v/>
      </c>
      <c r="T486" s="24" t="n"/>
    </row>
    <row r="487" ht="14.25" customHeight="1" s="40">
      <c r="A487" s="24" t="n"/>
      <c r="B487" s="29" t="n"/>
      <c r="C487" s="28" t="n"/>
      <c r="D487" s="22">
        <f t="array" ref="D487">IF($C487="","",IFERROR(INDEX(DATA_MASTER!$C$2:$C$5000,MATCH($C487,DATA_MASTER!$D$2:$D$5000,0)),""))</f>
        <v/>
      </c>
      <c r="E487" s="22">
        <f t="array" ref="E487">IF($C487="","",IFERROR(INDEX(DATA_MASTER!$I$2:$I$5000,MATCH($C487,DATA_MASTER!$D$2:$D$5000,0)),""))</f>
        <v/>
      </c>
      <c r="F487" s="22">
        <f t="array" ref="F487">IF($C487="","",IFERROR(INDEX(DATA_MASTER!$L$2:$L$5000,MATCH($C487,DATA_MASTER!$D$2:$D$5000,0)),""))</f>
        <v/>
      </c>
      <c r="G487" s="24" t="n"/>
      <c r="H487" s="24" t="n"/>
      <c r="I487" s="30" t="n"/>
      <c r="J487" s="23">
        <f>IF(OR($H487="",$I487=""),"",$H487*$I487)</f>
        <v/>
      </c>
      <c r="K487" s="24" t="n"/>
      <c r="L487" s="24" t="n"/>
      <c r="M487" s="29" t="n"/>
      <c r="N487" s="28" t="n"/>
      <c r="O487" s="24" t="n"/>
      <c r="P487" s="24" t="n"/>
      <c r="Q487" s="24" t="n"/>
      <c r="R487" s="24" t="n"/>
      <c r="S487" s="22">
        <f>IF(AND($A487="",$C487=""),"",IF($A487="","Thiếu mã đơn; ","")&amp;IF(COUNTIF($A$2:$A487,$A487)&gt;1,"Trùng mã đơn; ","")&amp;IF(ISNA(MATCH($C487,DATA_MASTER!$D$2:$D$5000,0)),"SĐT chưa đăng ký hội viên; ","")&amp;IF(AND($L487="Đã chuyển khoản",$M487=""),"Thiếu ngày nhận CK; ",""))</f>
        <v/>
      </c>
      <c r="T487" s="24" t="n"/>
    </row>
    <row r="488" ht="14.25" customHeight="1" s="40">
      <c r="A488" s="24" t="n"/>
      <c r="B488" s="29" t="n"/>
      <c r="C488" s="28" t="n"/>
      <c r="D488" s="22">
        <f t="array" ref="D488">IF($C488="","",IFERROR(INDEX(DATA_MASTER!$C$2:$C$5000,MATCH($C488,DATA_MASTER!$D$2:$D$5000,0)),""))</f>
        <v/>
      </c>
      <c r="E488" s="22">
        <f t="array" ref="E488">IF($C488="","",IFERROR(INDEX(DATA_MASTER!$I$2:$I$5000,MATCH($C488,DATA_MASTER!$D$2:$D$5000,0)),""))</f>
        <v/>
      </c>
      <c r="F488" s="22">
        <f t="array" ref="F488">IF($C488="","",IFERROR(INDEX(DATA_MASTER!$L$2:$L$5000,MATCH($C488,DATA_MASTER!$D$2:$D$5000,0)),""))</f>
        <v/>
      </c>
      <c r="G488" s="24" t="n"/>
      <c r="H488" s="24" t="n"/>
      <c r="I488" s="30" t="n"/>
      <c r="J488" s="23">
        <f>IF(OR($H488="",$I488=""),"",$H488*$I488)</f>
        <v/>
      </c>
      <c r="K488" s="24" t="n"/>
      <c r="L488" s="24" t="n"/>
      <c r="M488" s="29" t="n"/>
      <c r="N488" s="28" t="n"/>
      <c r="O488" s="24" t="n"/>
      <c r="P488" s="24" t="n"/>
      <c r="Q488" s="24" t="n"/>
      <c r="R488" s="24" t="n"/>
      <c r="S488" s="22">
        <f>IF(AND($A488="",$C488=""),"",IF($A488="","Thiếu mã đơn; ","")&amp;IF(COUNTIF($A$2:$A488,$A488)&gt;1,"Trùng mã đơn; ","")&amp;IF(ISNA(MATCH($C488,DATA_MASTER!$D$2:$D$5000,0)),"SĐT chưa đăng ký hội viên; ","")&amp;IF(AND($L488="Đã chuyển khoản",$M488=""),"Thiếu ngày nhận CK; ",""))</f>
        <v/>
      </c>
      <c r="T488" s="24" t="n"/>
    </row>
    <row r="489" ht="14.25" customHeight="1" s="40">
      <c r="A489" s="24" t="n"/>
      <c r="B489" s="29" t="n"/>
      <c r="C489" s="28" t="n"/>
      <c r="D489" s="22">
        <f t="array" ref="D489">IF($C489="","",IFERROR(INDEX(DATA_MASTER!$C$2:$C$5000,MATCH($C489,DATA_MASTER!$D$2:$D$5000,0)),""))</f>
        <v/>
      </c>
      <c r="E489" s="22">
        <f t="array" ref="E489">IF($C489="","",IFERROR(INDEX(DATA_MASTER!$I$2:$I$5000,MATCH($C489,DATA_MASTER!$D$2:$D$5000,0)),""))</f>
        <v/>
      </c>
      <c r="F489" s="22">
        <f t="array" ref="F489">IF($C489="","",IFERROR(INDEX(DATA_MASTER!$L$2:$L$5000,MATCH($C489,DATA_MASTER!$D$2:$D$5000,0)),""))</f>
        <v/>
      </c>
      <c r="G489" s="24" t="n"/>
      <c r="H489" s="24" t="n"/>
      <c r="I489" s="30" t="n"/>
      <c r="J489" s="23">
        <f>IF(OR($H489="",$I489=""),"",$H489*$I489)</f>
        <v/>
      </c>
      <c r="K489" s="24" t="n"/>
      <c r="L489" s="24" t="n"/>
      <c r="M489" s="29" t="n"/>
      <c r="N489" s="28" t="n"/>
      <c r="O489" s="24" t="n"/>
      <c r="P489" s="24" t="n"/>
      <c r="Q489" s="24" t="n"/>
      <c r="R489" s="24" t="n"/>
      <c r="S489" s="22">
        <f>IF(AND($A489="",$C489=""),"",IF($A489="","Thiếu mã đơn; ","")&amp;IF(COUNTIF($A$2:$A489,$A489)&gt;1,"Trùng mã đơn; ","")&amp;IF(ISNA(MATCH($C489,DATA_MASTER!$D$2:$D$5000,0)),"SĐT chưa đăng ký hội viên; ","")&amp;IF(AND($L489="Đã chuyển khoản",$M489=""),"Thiếu ngày nhận CK; ",""))</f>
        <v/>
      </c>
      <c r="T489" s="24" t="n"/>
    </row>
    <row r="490" ht="14.25" customHeight="1" s="40">
      <c r="A490" s="24" t="n"/>
      <c r="B490" s="29" t="n"/>
      <c r="C490" s="28" t="n"/>
      <c r="D490" s="22">
        <f t="array" ref="D490">IF($C490="","",IFERROR(INDEX(DATA_MASTER!$C$2:$C$5000,MATCH($C490,DATA_MASTER!$D$2:$D$5000,0)),""))</f>
        <v/>
      </c>
      <c r="E490" s="22">
        <f t="array" ref="E490">IF($C490="","",IFERROR(INDEX(DATA_MASTER!$I$2:$I$5000,MATCH($C490,DATA_MASTER!$D$2:$D$5000,0)),""))</f>
        <v/>
      </c>
      <c r="F490" s="22">
        <f t="array" ref="F490">IF($C490="","",IFERROR(INDEX(DATA_MASTER!$L$2:$L$5000,MATCH($C490,DATA_MASTER!$D$2:$D$5000,0)),""))</f>
        <v/>
      </c>
      <c r="G490" s="24" t="n"/>
      <c r="H490" s="24" t="n"/>
      <c r="I490" s="30" t="n"/>
      <c r="J490" s="23">
        <f>IF(OR($H490="",$I490=""),"",$H490*$I490)</f>
        <v/>
      </c>
      <c r="K490" s="24" t="n"/>
      <c r="L490" s="24" t="n"/>
      <c r="M490" s="29" t="n"/>
      <c r="N490" s="28" t="n"/>
      <c r="O490" s="24" t="n"/>
      <c r="P490" s="24" t="n"/>
      <c r="Q490" s="24" t="n"/>
      <c r="R490" s="24" t="n"/>
      <c r="S490" s="22">
        <f>IF(AND($A490="",$C490=""),"",IF($A490="","Thiếu mã đơn; ","")&amp;IF(COUNTIF($A$2:$A490,$A490)&gt;1,"Trùng mã đơn; ","")&amp;IF(ISNA(MATCH($C490,DATA_MASTER!$D$2:$D$5000,0)),"SĐT chưa đăng ký hội viên; ","")&amp;IF(AND($L490="Đã chuyển khoản",$M490=""),"Thiếu ngày nhận CK; ",""))</f>
        <v/>
      </c>
      <c r="T490" s="24" t="n"/>
    </row>
    <row r="491" ht="14.25" customHeight="1" s="40">
      <c r="A491" s="24" t="n"/>
      <c r="B491" s="29" t="n"/>
      <c r="C491" s="28" t="n"/>
      <c r="D491" s="22">
        <f t="array" ref="D491">IF($C491="","",IFERROR(INDEX(DATA_MASTER!$C$2:$C$5000,MATCH($C491,DATA_MASTER!$D$2:$D$5000,0)),""))</f>
        <v/>
      </c>
      <c r="E491" s="22">
        <f t="array" ref="E491">IF($C491="","",IFERROR(INDEX(DATA_MASTER!$I$2:$I$5000,MATCH($C491,DATA_MASTER!$D$2:$D$5000,0)),""))</f>
        <v/>
      </c>
      <c r="F491" s="22">
        <f t="array" ref="F491">IF($C491="","",IFERROR(INDEX(DATA_MASTER!$L$2:$L$5000,MATCH($C491,DATA_MASTER!$D$2:$D$5000,0)),""))</f>
        <v/>
      </c>
      <c r="G491" s="24" t="n"/>
      <c r="H491" s="24" t="n"/>
      <c r="I491" s="30" t="n"/>
      <c r="J491" s="23">
        <f>IF(OR($H491="",$I491=""),"",$H491*$I491)</f>
        <v/>
      </c>
      <c r="K491" s="24" t="n"/>
      <c r="L491" s="24" t="n"/>
      <c r="M491" s="29" t="n"/>
      <c r="N491" s="28" t="n"/>
      <c r="O491" s="24" t="n"/>
      <c r="P491" s="24" t="n"/>
      <c r="Q491" s="24" t="n"/>
      <c r="R491" s="24" t="n"/>
      <c r="S491" s="22">
        <f>IF(AND($A491="",$C491=""),"",IF($A491="","Thiếu mã đơn; ","")&amp;IF(COUNTIF($A$2:$A491,$A491)&gt;1,"Trùng mã đơn; ","")&amp;IF(ISNA(MATCH($C491,DATA_MASTER!$D$2:$D$5000,0)),"SĐT chưa đăng ký hội viên; ","")&amp;IF(AND($L491="Đã chuyển khoản",$M491=""),"Thiếu ngày nhận CK; ",""))</f>
        <v/>
      </c>
      <c r="T491" s="24" t="n"/>
    </row>
    <row r="492" ht="14.25" customHeight="1" s="40">
      <c r="A492" s="24" t="n"/>
      <c r="B492" s="29" t="n"/>
      <c r="C492" s="28" t="n"/>
      <c r="D492" s="22">
        <f t="array" ref="D492">IF($C492="","",IFERROR(INDEX(DATA_MASTER!$C$2:$C$5000,MATCH($C492,DATA_MASTER!$D$2:$D$5000,0)),""))</f>
        <v/>
      </c>
      <c r="E492" s="22">
        <f t="array" ref="E492">IF($C492="","",IFERROR(INDEX(DATA_MASTER!$I$2:$I$5000,MATCH($C492,DATA_MASTER!$D$2:$D$5000,0)),""))</f>
        <v/>
      </c>
      <c r="F492" s="22">
        <f t="array" ref="F492">IF($C492="","",IFERROR(INDEX(DATA_MASTER!$L$2:$L$5000,MATCH($C492,DATA_MASTER!$D$2:$D$5000,0)),""))</f>
        <v/>
      </c>
      <c r="G492" s="24" t="n"/>
      <c r="H492" s="24" t="n"/>
      <c r="I492" s="30" t="n"/>
      <c r="J492" s="23">
        <f>IF(OR($H492="",$I492=""),"",$H492*$I492)</f>
        <v/>
      </c>
      <c r="K492" s="24" t="n"/>
      <c r="L492" s="24" t="n"/>
      <c r="M492" s="29" t="n"/>
      <c r="N492" s="28" t="n"/>
      <c r="O492" s="24" t="n"/>
      <c r="P492" s="24" t="n"/>
      <c r="Q492" s="24" t="n"/>
      <c r="R492" s="24" t="n"/>
      <c r="S492" s="22">
        <f>IF(AND($A492="",$C492=""),"",IF($A492="","Thiếu mã đơn; ","")&amp;IF(COUNTIF($A$2:$A492,$A492)&gt;1,"Trùng mã đơn; ","")&amp;IF(ISNA(MATCH($C492,DATA_MASTER!$D$2:$D$5000,0)),"SĐT chưa đăng ký hội viên; ","")&amp;IF(AND($L492="Đã chuyển khoản",$M492=""),"Thiếu ngày nhận CK; ",""))</f>
        <v/>
      </c>
      <c r="T492" s="24" t="n"/>
    </row>
    <row r="493" ht="14.25" customHeight="1" s="40">
      <c r="A493" s="24" t="n"/>
      <c r="B493" s="29" t="n"/>
      <c r="C493" s="28" t="n"/>
      <c r="D493" s="22">
        <f t="array" ref="D493">IF($C493="","",IFERROR(INDEX(DATA_MASTER!$C$2:$C$5000,MATCH($C493,DATA_MASTER!$D$2:$D$5000,0)),""))</f>
        <v/>
      </c>
      <c r="E493" s="22">
        <f t="array" ref="E493">IF($C493="","",IFERROR(INDEX(DATA_MASTER!$I$2:$I$5000,MATCH($C493,DATA_MASTER!$D$2:$D$5000,0)),""))</f>
        <v/>
      </c>
      <c r="F493" s="22">
        <f t="array" ref="F493">IF($C493="","",IFERROR(INDEX(DATA_MASTER!$L$2:$L$5000,MATCH($C493,DATA_MASTER!$D$2:$D$5000,0)),""))</f>
        <v/>
      </c>
      <c r="G493" s="24" t="n"/>
      <c r="H493" s="24" t="n"/>
      <c r="I493" s="30" t="n"/>
      <c r="J493" s="23">
        <f>IF(OR($H493="",$I493=""),"",$H493*$I493)</f>
        <v/>
      </c>
      <c r="K493" s="24" t="n"/>
      <c r="L493" s="24" t="n"/>
      <c r="M493" s="29" t="n"/>
      <c r="N493" s="28" t="n"/>
      <c r="O493" s="24" t="n"/>
      <c r="P493" s="24" t="n"/>
      <c r="Q493" s="24" t="n"/>
      <c r="R493" s="24" t="n"/>
      <c r="S493" s="22">
        <f>IF(AND($A493="",$C493=""),"",IF($A493="","Thiếu mã đơn; ","")&amp;IF(COUNTIF($A$2:$A493,$A493)&gt;1,"Trùng mã đơn; ","")&amp;IF(ISNA(MATCH($C493,DATA_MASTER!$D$2:$D$5000,0)),"SĐT chưa đăng ký hội viên; ","")&amp;IF(AND($L493="Đã chuyển khoản",$M493=""),"Thiếu ngày nhận CK; ",""))</f>
        <v/>
      </c>
      <c r="T493" s="24" t="n"/>
    </row>
    <row r="494" ht="14.25" customHeight="1" s="40">
      <c r="A494" s="24" t="n"/>
      <c r="B494" s="29" t="n"/>
      <c r="C494" s="28" t="n"/>
      <c r="D494" s="22">
        <f t="array" ref="D494">IF($C494="","",IFERROR(INDEX(DATA_MASTER!$C$2:$C$5000,MATCH($C494,DATA_MASTER!$D$2:$D$5000,0)),""))</f>
        <v/>
      </c>
      <c r="E494" s="22">
        <f t="array" ref="E494">IF($C494="","",IFERROR(INDEX(DATA_MASTER!$I$2:$I$5000,MATCH($C494,DATA_MASTER!$D$2:$D$5000,0)),""))</f>
        <v/>
      </c>
      <c r="F494" s="22">
        <f t="array" ref="F494">IF($C494="","",IFERROR(INDEX(DATA_MASTER!$L$2:$L$5000,MATCH($C494,DATA_MASTER!$D$2:$D$5000,0)),""))</f>
        <v/>
      </c>
      <c r="G494" s="24" t="n"/>
      <c r="H494" s="24" t="n"/>
      <c r="I494" s="30" t="n"/>
      <c r="J494" s="23">
        <f>IF(OR($H494="",$I494=""),"",$H494*$I494)</f>
        <v/>
      </c>
      <c r="K494" s="24" t="n"/>
      <c r="L494" s="24" t="n"/>
      <c r="M494" s="29" t="n"/>
      <c r="N494" s="28" t="n"/>
      <c r="O494" s="24" t="n"/>
      <c r="P494" s="24" t="n"/>
      <c r="Q494" s="24" t="n"/>
      <c r="R494" s="24" t="n"/>
      <c r="S494" s="22">
        <f>IF(AND($A494="",$C494=""),"",IF($A494="","Thiếu mã đơn; ","")&amp;IF(COUNTIF($A$2:$A494,$A494)&gt;1,"Trùng mã đơn; ","")&amp;IF(ISNA(MATCH($C494,DATA_MASTER!$D$2:$D$5000,0)),"SĐT chưa đăng ký hội viên; ","")&amp;IF(AND($L494="Đã chuyển khoản",$M494=""),"Thiếu ngày nhận CK; ",""))</f>
        <v/>
      </c>
      <c r="T494" s="24" t="n"/>
    </row>
    <row r="495" ht="14.25" customHeight="1" s="40">
      <c r="A495" s="24" t="n"/>
      <c r="B495" s="29" t="n"/>
      <c r="C495" s="28" t="n"/>
      <c r="D495" s="22">
        <f t="array" ref="D495">IF($C495="","",IFERROR(INDEX(DATA_MASTER!$C$2:$C$5000,MATCH($C495,DATA_MASTER!$D$2:$D$5000,0)),""))</f>
        <v/>
      </c>
      <c r="E495" s="22">
        <f t="array" ref="E495">IF($C495="","",IFERROR(INDEX(DATA_MASTER!$I$2:$I$5000,MATCH($C495,DATA_MASTER!$D$2:$D$5000,0)),""))</f>
        <v/>
      </c>
      <c r="F495" s="22">
        <f t="array" ref="F495">IF($C495="","",IFERROR(INDEX(DATA_MASTER!$L$2:$L$5000,MATCH($C495,DATA_MASTER!$D$2:$D$5000,0)),""))</f>
        <v/>
      </c>
      <c r="G495" s="24" t="n"/>
      <c r="H495" s="24" t="n"/>
      <c r="I495" s="30" t="n"/>
      <c r="J495" s="23">
        <f>IF(OR($H495="",$I495=""),"",$H495*$I495)</f>
        <v/>
      </c>
      <c r="K495" s="24" t="n"/>
      <c r="L495" s="24" t="n"/>
      <c r="M495" s="29" t="n"/>
      <c r="N495" s="28" t="n"/>
      <c r="O495" s="24" t="n"/>
      <c r="P495" s="24" t="n"/>
      <c r="Q495" s="24" t="n"/>
      <c r="R495" s="24" t="n"/>
      <c r="S495" s="22">
        <f>IF(AND($A495="",$C495=""),"",IF($A495="","Thiếu mã đơn; ","")&amp;IF(COUNTIF($A$2:$A495,$A495)&gt;1,"Trùng mã đơn; ","")&amp;IF(ISNA(MATCH($C495,DATA_MASTER!$D$2:$D$5000,0)),"SĐT chưa đăng ký hội viên; ","")&amp;IF(AND($L495="Đã chuyển khoản",$M495=""),"Thiếu ngày nhận CK; ",""))</f>
        <v/>
      </c>
      <c r="T495" s="24" t="n"/>
    </row>
    <row r="496" ht="14.25" customHeight="1" s="40">
      <c r="A496" s="24" t="n"/>
      <c r="B496" s="29" t="n"/>
      <c r="C496" s="28" t="n"/>
      <c r="D496" s="22">
        <f t="array" ref="D496">IF($C496="","",IFERROR(INDEX(DATA_MASTER!$C$2:$C$5000,MATCH($C496,DATA_MASTER!$D$2:$D$5000,0)),""))</f>
        <v/>
      </c>
      <c r="E496" s="22">
        <f t="array" ref="E496">IF($C496="","",IFERROR(INDEX(DATA_MASTER!$I$2:$I$5000,MATCH($C496,DATA_MASTER!$D$2:$D$5000,0)),""))</f>
        <v/>
      </c>
      <c r="F496" s="22">
        <f t="array" ref="F496">IF($C496="","",IFERROR(INDEX(DATA_MASTER!$L$2:$L$5000,MATCH($C496,DATA_MASTER!$D$2:$D$5000,0)),""))</f>
        <v/>
      </c>
      <c r="G496" s="24" t="n"/>
      <c r="H496" s="24" t="n"/>
      <c r="I496" s="30" t="n"/>
      <c r="J496" s="23">
        <f>IF(OR($H496="",$I496=""),"",$H496*$I496)</f>
        <v/>
      </c>
      <c r="K496" s="24" t="n"/>
      <c r="L496" s="24" t="n"/>
      <c r="M496" s="29" t="n"/>
      <c r="N496" s="28" t="n"/>
      <c r="O496" s="24" t="n"/>
      <c r="P496" s="24" t="n"/>
      <c r="Q496" s="24" t="n"/>
      <c r="R496" s="24" t="n"/>
      <c r="S496" s="22">
        <f>IF(AND($A496="",$C496=""),"",IF($A496="","Thiếu mã đơn; ","")&amp;IF(COUNTIF($A$2:$A496,$A496)&gt;1,"Trùng mã đơn; ","")&amp;IF(ISNA(MATCH($C496,DATA_MASTER!$D$2:$D$5000,0)),"SĐT chưa đăng ký hội viên; ","")&amp;IF(AND($L496="Đã chuyển khoản",$M496=""),"Thiếu ngày nhận CK; ",""))</f>
        <v/>
      </c>
      <c r="T496" s="24" t="n"/>
    </row>
    <row r="497" ht="14.25" customHeight="1" s="40">
      <c r="A497" s="24" t="n"/>
      <c r="B497" s="29" t="n"/>
      <c r="C497" s="28" t="n"/>
      <c r="D497" s="22">
        <f t="array" ref="D497">IF($C497="","",IFERROR(INDEX(DATA_MASTER!$C$2:$C$5000,MATCH($C497,DATA_MASTER!$D$2:$D$5000,0)),""))</f>
        <v/>
      </c>
      <c r="E497" s="22">
        <f t="array" ref="E497">IF($C497="","",IFERROR(INDEX(DATA_MASTER!$I$2:$I$5000,MATCH($C497,DATA_MASTER!$D$2:$D$5000,0)),""))</f>
        <v/>
      </c>
      <c r="F497" s="22">
        <f t="array" ref="F497">IF($C497="","",IFERROR(INDEX(DATA_MASTER!$L$2:$L$5000,MATCH($C497,DATA_MASTER!$D$2:$D$5000,0)),""))</f>
        <v/>
      </c>
      <c r="G497" s="24" t="n"/>
      <c r="H497" s="24" t="n"/>
      <c r="I497" s="30" t="n"/>
      <c r="J497" s="23">
        <f>IF(OR($H497="",$I497=""),"",$H497*$I497)</f>
        <v/>
      </c>
      <c r="K497" s="24" t="n"/>
      <c r="L497" s="24" t="n"/>
      <c r="M497" s="29" t="n"/>
      <c r="N497" s="28" t="n"/>
      <c r="O497" s="24" t="n"/>
      <c r="P497" s="24" t="n"/>
      <c r="Q497" s="24" t="n"/>
      <c r="R497" s="24" t="n"/>
      <c r="S497" s="22">
        <f>IF(AND($A497="",$C497=""),"",IF($A497="","Thiếu mã đơn; ","")&amp;IF(COUNTIF($A$2:$A497,$A497)&gt;1,"Trùng mã đơn; ","")&amp;IF(ISNA(MATCH($C497,DATA_MASTER!$D$2:$D$5000,0)),"SĐT chưa đăng ký hội viên; ","")&amp;IF(AND($L497="Đã chuyển khoản",$M497=""),"Thiếu ngày nhận CK; ",""))</f>
        <v/>
      </c>
      <c r="T497" s="24" t="n"/>
    </row>
    <row r="498" ht="14.25" customHeight="1" s="40">
      <c r="A498" s="24" t="n"/>
      <c r="B498" s="29" t="n"/>
      <c r="C498" s="28" t="n"/>
      <c r="D498" s="22">
        <f t="array" ref="D498">IF($C498="","",IFERROR(INDEX(DATA_MASTER!$C$2:$C$5000,MATCH($C498,DATA_MASTER!$D$2:$D$5000,0)),""))</f>
        <v/>
      </c>
      <c r="E498" s="22">
        <f t="array" ref="E498">IF($C498="","",IFERROR(INDEX(DATA_MASTER!$I$2:$I$5000,MATCH($C498,DATA_MASTER!$D$2:$D$5000,0)),""))</f>
        <v/>
      </c>
      <c r="F498" s="22">
        <f t="array" ref="F498">IF($C498="","",IFERROR(INDEX(DATA_MASTER!$L$2:$L$5000,MATCH($C498,DATA_MASTER!$D$2:$D$5000,0)),""))</f>
        <v/>
      </c>
      <c r="G498" s="24" t="n"/>
      <c r="H498" s="24" t="n"/>
      <c r="I498" s="30" t="n"/>
      <c r="J498" s="23">
        <f>IF(OR($H498="",$I498=""),"",$H498*$I498)</f>
        <v/>
      </c>
      <c r="K498" s="24" t="n"/>
      <c r="L498" s="24" t="n"/>
      <c r="M498" s="29" t="n"/>
      <c r="N498" s="28" t="n"/>
      <c r="O498" s="24" t="n"/>
      <c r="P498" s="24" t="n"/>
      <c r="Q498" s="24" t="n"/>
      <c r="R498" s="24" t="n"/>
      <c r="S498" s="22">
        <f>IF(AND($A498="",$C498=""),"",IF($A498="","Thiếu mã đơn; ","")&amp;IF(COUNTIF($A$2:$A498,$A498)&gt;1,"Trùng mã đơn; ","")&amp;IF(ISNA(MATCH($C498,DATA_MASTER!$D$2:$D$5000,0)),"SĐT chưa đăng ký hội viên; ","")&amp;IF(AND($L498="Đã chuyển khoản",$M498=""),"Thiếu ngày nhận CK; ",""))</f>
        <v/>
      </c>
      <c r="T498" s="24" t="n"/>
    </row>
    <row r="499" ht="14.25" customHeight="1" s="40">
      <c r="A499" s="24" t="n"/>
      <c r="B499" s="29" t="n"/>
      <c r="C499" s="28" t="n"/>
      <c r="D499" s="22">
        <f t="array" ref="D499">IF($C499="","",IFERROR(INDEX(DATA_MASTER!$C$2:$C$5000,MATCH($C499,DATA_MASTER!$D$2:$D$5000,0)),""))</f>
        <v/>
      </c>
      <c r="E499" s="22">
        <f t="array" ref="E499">IF($C499="","",IFERROR(INDEX(DATA_MASTER!$I$2:$I$5000,MATCH($C499,DATA_MASTER!$D$2:$D$5000,0)),""))</f>
        <v/>
      </c>
      <c r="F499" s="22">
        <f t="array" ref="F499">IF($C499="","",IFERROR(INDEX(DATA_MASTER!$L$2:$L$5000,MATCH($C499,DATA_MASTER!$D$2:$D$5000,0)),""))</f>
        <v/>
      </c>
      <c r="G499" s="24" t="n"/>
      <c r="H499" s="24" t="n"/>
      <c r="I499" s="30" t="n"/>
      <c r="J499" s="23">
        <f>IF(OR($H499="",$I499=""),"",$H499*$I499)</f>
        <v/>
      </c>
      <c r="K499" s="24" t="n"/>
      <c r="L499" s="24" t="n"/>
      <c r="M499" s="29" t="n"/>
      <c r="N499" s="28" t="n"/>
      <c r="O499" s="24" t="n"/>
      <c r="P499" s="24" t="n"/>
      <c r="Q499" s="24" t="n"/>
      <c r="R499" s="24" t="n"/>
      <c r="S499" s="22">
        <f>IF(AND($A499="",$C499=""),"",IF($A499="","Thiếu mã đơn; ","")&amp;IF(COUNTIF($A$2:$A499,$A499)&gt;1,"Trùng mã đơn; ","")&amp;IF(ISNA(MATCH($C499,DATA_MASTER!$D$2:$D$5000,0)),"SĐT chưa đăng ký hội viên; ","")&amp;IF(AND($L499="Đã chuyển khoản",$M499=""),"Thiếu ngày nhận CK; ",""))</f>
        <v/>
      </c>
      <c r="T499" s="24" t="n"/>
    </row>
    <row r="500" ht="14.25" customHeight="1" s="40">
      <c r="A500" s="24" t="n"/>
      <c r="B500" s="29" t="n"/>
      <c r="C500" s="28" t="n"/>
      <c r="D500" s="22">
        <f t="array" ref="D500">IF($C500="","",IFERROR(INDEX(DATA_MASTER!$C$2:$C$5000,MATCH($C500,DATA_MASTER!$D$2:$D$5000,0)),""))</f>
        <v/>
      </c>
      <c r="E500" s="22">
        <f t="array" ref="E500">IF($C500="","",IFERROR(INDEX(DATA_MASTER!$I$2:$I$5000,MATCH($C500,DATA_MASTER!$D$2:$D$5000,0)),""))</f>
        <v/>
      </c>
      <c r="F500" s="22">
        <f t="array" ref="F500">IF($C500="","",IFERROR(INDEX(DATA_MASTER!$L$2:$L$5000,MATCH($C500,DATA_MASTER!$D$2:$D$5000,0)),""))</f>
        <v/>
      </c>
      <c r="G500" s="24" t="n"/>
      <c r="H500" s="24" t="n"/>
      <c r="I500" s="30" t="n"/>
      <c r="J500" s="23">
        <f>IF(OR($H500="",$I500=""),"",$H500*$I500)</f>
        <v/>
      </c>
      <c r="K500" s="24" t="n"/>
      <c r="L500" s="24" t="n"/>
      <c r="M500" s="29" t="n"/>
      <c r="N500" s="28" t="n"/>
      <c r="O500" s="24" t="n"/>
      <c r="P500" s="24" t="n"/>
      <c r="Q500" s="24" t="n"/>
      <c r="R500" s="24" t="n"/>
      <c r="S500" s="22">
        <f>IF(AND($A500="",$C500=""),"",IF($A500="","Thiếu mã đơn; ","")&amp;IF(COUNTIF($A$2:$A500,$A500)&gt;1,"Trùng mã đơn; ","")&amp;IF(ISNA(MATCH($C500,DATA_MASTER!$D$2:$D$5000,0)),"SĐT chưa đăng ký hội viên; ","")&amp;IF(AND($L500="Đã chuyển khoản",$M500=""),"Thiếu ngày nhận CK; ",""))</f>
        <v/>
      </c>
      <c r="T500" s="24" t="n"/>
    </row>
    <row r="501" ht="14.25" customHeight="1" s="40">
      <c r="A501" s="24" t="n"/>
      <c r="B501" s="29" t="n"/>
      <c r="C501" s="28" t="n"/>
      <c r="D501" s="22">
        <f t="array" ref="D501">IF($C501="","",IFERROR(INDEX(DATA_MASTER!$C$2:$C$5000,MATCH($C501,DATA_MASTER!$D$2:$D$5000,0)),""))</f>
        <v/>
      </c>
      <c r="E501" s="22">
        <f t="array" ref="E501">IF($C501="","",IFERROR(INDEX(DATA_MASTER!$I$2:$I$5000,MATCH($C501,DATA_MASTER!$D$2:$D$5000,0)),""))</f>
        <v/>
      </c>
      <c r="F501" s="22">
        <f t="array" ref="F501">IF($C501="","",IFERROR(INDEX(DATA_MASTER!$L$2:$L$5000,MATCH($C501,DATA_MASTER!$D$2:$D$5000,0)),""))</f>
        <v/>
      </c>
      <c r="G501" s="24" t="n"/>
      <c r="H501" s="24" t="n"/>
      <c r="I501" s="30" t="n"/>
      <c r="J501" s="23">
        <f>IF(OR($H501="",$I501=""),"",$H501*$I501)</f>
        <v/>
      </c>
      <c r="K501" s="24" t="n"/>
      <c r="L501" s="24" t="n"/>
      <c r="M501" s="29" t="n"/>
      <c r="N501" s="28" t="n"/>
      <c r="O501" s="24" t="n"/>
      <c r="P501" s="24" t="n"/>
      <c r="Q501" s="24" t="n"/>
      <c r="R501" s="24" t="n"/>
      <c r="S501" s="22">
        <f>IF(AND($A501="",$C501=""),"",IF($A501="","Thiếu mã đơn; ","")&amp;IF(COUNTIF($A$2:$A501,$A501)&gt;1,"Trùng mã đơn; ","")&amp;IF(ISNA(MATCH($C501,DATA_MASTER!$D$2:$D$5000,0)),"SĐT chưa đăng ký hội viên; ","")&amp;IF(AND($L501="Đã chuyển khoản",$M501=""),"Thiếu ngày nhận CK; ",""))</f>
        <v/>
      </c>
      <c r="T501" s="24" t="n"/>
    </row>
    <row r="502" ht="14.25" customHeight="1" s="40">
      <c r="A502" s="24" t="n"/>
      <c r="B502" s="29" t="n"/>
      <c r="C502" s="28" t="n"/>
      <c r="D502" s="22">
        <f t="array" ref="D502">IF($C502="","",IFERROR(INDEX(DATA_MASTER!$C$2:$C$5000,MATCH($C502,DATA_MASTER!$D$2:$D$5000,0)),""))</f>
        <v/>
      </c>
      <c r="E502" s="22">
        <f t="array" ref="E502">IF($C502="","",IFERROR(INDEX(DATA_MASTER!$I$2:$I$5000,MATCH($C502,DATA_MASTER!$D$2:$D$5000,0)),""))</f>
        <v/>
      </c>
      <c r="F502" s="22">
        <f t="array" ref="F502">IF($C502="","",IFERROR(INDEX(DATA_MASTER!$L$2:$L$5000,MATCH($C502,DATA_MASTER!$D$2:$D$5000,0)),""))</f>
        <v/>
      </c>
      <c r="G502" s="24" t="n"/>
      <c r="H502" s="24" t="n"/>
      <c r="I502" s="30" t="n"/>
      <c r="J502" s="23">
        <f>IF(OR($H502="",$I502=""),"",$H502*$I502)</f>
        <v/>
      </c>
      <c r="K502" s="24" t="n"/>
      <c r="L502" s="24" t="n"/>
      <c r="M502" s="29" t="n"/>
      <c r="N502" s="28" t="n"/>
      <c r="O502" s="24" t="n"/>
      <c r="P502" s="24" t="n"/>
      <c r="Q502" s="24" t="n"/>
      <c r="R502" s="24" t="n"/>
      <c r="S502" s="22">
        <f>IF(AND($A502="",$C502=""),"",IF($A502="","Thiếu mã đơn; ","")&amp;IF(COUNTIF($A$2:$A502,$A502)&gt;1,"Trùng mã đơn; ","")&amp;IF(ISNA(MATCH($C502,DATA_MASTER!$D$2:$D$5000,0)),"SĐT chưa đăng ký hội viên; ","")&amp;IF(AND($L502="Đã chuyển khoản",$M502=""),"Thiếu ngày nhận CK; ",""))</f>
        <v/>
      </c>
      <c r="T502" s="24" t="n"/>
    </row>
    <row r="503" ht="14.25" customHeight="1" s="40">
      <c r="A503" s="24" t="n"/>
      <c r="B503" s="29" t="n"/>
      <c r="C503" s="28" t="n"/>
      <c r="D503" s="22">
        <f t="array" ref="D503">IF($C503="","",IFERROR(INDEX(DATA_MASTER!$C$2:$C$5000,MATCH($C503,DATA_MASTER!$D$2:$D$5000,0)),""))</f>
        <v/>
      </c>
      <c r="E503" s="22">
        <f t="array" ref="E503">IF($C503="","",IFERROR(INDEX(DATA_MASTER!$I$2:$I$5000,MATCH($C503,DATA_MASTER!$D$2:$D$5000,0)),""))</f>
        <v/>
      </c>
      <c r="F503" s="22">
        <f t="array" ref="F503">IF($C503="","",IFERROR(INDEX(DATA_MASTER!$L$2:$L$5000,MATCH($C503,DATA_MASTER!$D$2:$D$5000,0)),""))</f>
        <v/>
      </c>
      <c r="G503" s="24" t="n"/>
      <c r="H503" s="24" t="n"/>
      <c r="I503" s="30" t="n"/>
      <c r="J503" s="23">
        <f>IF(OR($H503="",$I503=""),"",$H503*$I503)</f>
        <v/>
      </c>
      <c r="K503" s="24" t="n"/>
      <c r="L503" s="24" t="n"/>
      <c r="M503" s="29" t="n"/>
      <c r="N503" s="28" t="n"/>
      <c r="O503" s="24" t="n"/>
      <c r="P503" s="24" t="n"/>
      <c r="Q503" s="24" t="n"/>
      <c r="R503" s="24" t="n"/>
      <c r="S503" s="22">
        <f>IF(AND($A503="",$C503=""),"",IF($A503="","Thiếu mã đơn; ","")&amp;IF(COUNTIF($A$2:$A503,$A503)&gt;1,"Trùng mã đơn; ","")&amp;IF(ISNA(MATCH($C503,DATA_MASTER!$D$2:$D$5000,0)),"SĐT chưa đăng ký hội viên; ","")&amp;IF(AND($L503="Đã chuyển khoản",$M503=""),"Thiếu ngày nhận CK; ",""))</f>
        <v/>
      </c>
      <c r="T503" s="24" t="n"/>
    </row>
    <row r="504" ht="14.25" customHeight="1" s="40">
      <c r="A504" s="24" t="n"/>
      <c r="B504" s="29" t="n"/>
      <c r="C504" s="28" t="n"/>
      <c r="D504" s="22">
        <f t="array" ref="D504">IF($C504="","",IFERROR(INDEX(DATA_MASTER!$C$2:$C$5000,MATCH($C504,DATA_MASTER!$D$2:$D$5000,0)),""))</f>
        <v/>
      </c>
      <c r="E504" s="22">
        <f t="array" ref="E504">IF($C504="","",IFERROR(INDEX(DATA_MASTER!$I$2:$I$5000,MATCH($C504,DATA_MASTER!$D$2:$D$5000,0)),""))</f>
        <v/>
      </c>
      <c r="F504" s="22">
        <f t="array" ref="F504">IF($C504="","",IFERROR(INDEX(DATA_MASTER!$L$2:$L$5000,MATCH($C504,DATA_MASTER!$D$2:$D$5000,0)),""))</f>
        <v/>
      </c>
      <c r="G504" s="24" t="n"/>
      <c r="H504" s="24" t="n"/>
      <c r="I504" s="30" t="n"/>
      <c r="J504" s="23">
        <f>IF(OR($H504="",$I504=""),"",$H504*$I504)</f>
        <v/>
      </c>
      <c r="K504" s="24" t="n"/>
      <c r="L504" s="24" t="n"/>
      <c r="M504" s="29" t="n"/>
      <c r="N504" s="28" t="n"/>
      <c r="O504" s="24" t="n"/>
      <c r="P504" s="24" t="n"/>
      <c r="Q504" s="24" t="n"/>
      <c r="R504" s="24" t="n"/>
      <c r="S504" s="22">
        <f>IF(AND($A504="",$C504=""),"",IF($A504="","Thiếu mã đơn; ","")&amp;IF(COUNTIF($A$2:$A504,$A504)&gt;1,"Trùng mã đơn; ","")&amp;IF(ISNA(MATCH($C504,DATA_MASTER!$D$2:$D$5000,0)),"SĐT chưa đăng ký hội viên; ","")&amp;IF(AND($L504="Đã chuyển khoản",$M504=""),"Thiếu ngày nhận CK; ",""))</f>
        <v/>
      </c>
      <c r="T504" s="24" t="n"/>
    </row>
    <row r="505" ht="14.25" customHeight="1" s="40">
      <c r="A505" s="24" t="n"/>
      <c r="B505" s="29" t="n"/>
      <c r="C505" s="28" t="n"/>
      <c r="D505" s="22">
        <f t="array" ref="D505">IF($C505="","",IFERROR(INDEX(DATA_MASTER!$C$2:$C$5000,MATCH($C505,DATA_MASTER!$D$2:$D$5000,0)),""))</f>
        <v/>
      </c>
      <c r="E505" s="22">
        <f t="array" ref="E505">IF($C505="","",IFERROR(INDEX(DATA_MASTER!$I$2:$I$5000,MATCH($C505,DATA_MASTER!$D$2:$D$5000,0)),""))</f>
        <v/>
      </c>
      <c r="F505" s="22">
        <f t="array" ref="F505">IF($C505="","",IFERROR(INDEX(DATA_MASTER!$L$2:$L$5000,MATCH($C505,DATA_MASTER!$D$2:$D$5000,0)),""))</f>
        <v/>
      </c>
      <c r="G505" s="24" t="n"/>
      <c r="H505" s="24" t="n"/>
      <c r="I505" s="30" t="n"/>
      <c r="J505" s="23">
        <f>IF(OR($H505="",$I505=""),"",$H505*$I505)</f>
        <v/>
      </c>
      <c r="K505" s="24" t="n"/>
      <c r="L505" s="24" t="n"/>
      <c r="M505" s="29" t="n"/>
      <c r="N505" s="28" t="n"/>
      <c r="O505" s="24" t="n"/>
      <c r="P505" s="24" t="n"/>
      <c r="Q505" s="24" t="n"/>
      <c r="R505" s="24" t="n"/>
      <c r="S505" s="22">
        <f>IF(AND($A505="",$C505=""),"",IF($A505="","Thiếu mã đơn; ","")&amp;IF(COUNTIF($A$2:$A505,$A505)&gt;1,"Trùng mã đơn; ","")&amp;IF(ISNA(MATCH($C505,DATA_MASTER!$D$2:$D$5000,0)),"SĐT chưa đăng ký hội viên; ","")&amp;IF(AND($L505="Đã chuyển khoản",$M505=""),"Thiếu ngày nhận CK; ",""))</f>
        <v/>
      </c>
      <c r="T505" s="24" t="n"/>
    </row>
    <row r="506" ht="14.25" customHeight="1" s="40">
      <c r="A506" s="24" t="n"/>
      <c r="B506" s="29" t="n"/>
      <c r="C506" s="28" t="n"/>
      <c r="D506" s="22">
        <f t="array" ref="D506">IF($C506="","",IFERROR(INDEX(DATA_MASTER!$C$2:$C$5000,MATCH($C506,DATA_MASTER!$D$2:$D$5000,0)),""))</f>
        <v/>
      </c>
      <c r="E506" s="22">
        <f t="array" ref="E506">IF($C506="","",IFERROR(INDEX(DATA_MASTER!$I$2:$I$5000,MATCH($C506,DATA_MASTER!$D$2:$D$5000,0)),""))</f>
        <v/>
      </c>
      <c r="F506" s="22">
        <f t="array" ref="F506">IF($C506="","",IFERROR(INDEX(DATA_MASTER!$L$2:$L$5000,MATCH($C506,DATA_MASTER!$D$2:$D$5000,0)),""))</f>
        <v/>
      </c>
      <c r="G506" s="24" t="n"/>
      <c r="H506" s="24" t="n"/>
      <c r="I506" s="30" t="n"/>
      <c r="J506" s="23">
        <f>IF(OR($H506="",$I506=""),"",$H506*$I506)</f>
        <v/>
      </c>
      <c r="K506" s="24" t="n"/>
      <c r="L506" s="24" t="n"/>
      <c r="M506" s="29" t="n"/>
      <c r="N506" s="28" t="n"/>
      <c r="O506" s="24" t="n"/>
      <c r="P506" s="24" t="n"/>
      <c r="Q506" s="24" t="n"/>
      <c r="R506" s="24" t="n"/>
      <c r="S506" s="22">
        <f>IF(AND($A506="",$C506=""),"",IF($A506="","Thiếu mã đơn; ","")&amp;IF(COUNTIF($A$2:$A506,$A506)&gt;1,"Trùng mã đơn; ","")&amp;IF(ISNA(MATCH($C506,DATA_MASTER!$D$2:$D$5000,0)),"SĐT chưa đăng ký hội viên; ","")&amp;IF(AND($L506="Đã chuyển khoản",$M506=""),"Thiếu ngày nhận CK; ",""))</f>
        <v/>
      </c>
      <c r="T506" s="24" t="n"/>
    </row>
    <row r="507" ht="14.25" customHeight="1" s="40">
      <c r="A507" s="24" t="n"/>
      <c r="B507" s="29" t="n"/>
      <c r="C507" s="28" t="n"/>
      <c r="D507" s="22">
        <f t="array" ref="D507">IF($C507="","",IFERROR(INDEX(DATA_MASTER!$C$2:$C$5000,MATCH($C507,DATA_MASTER!$D$2:$D$5000,0)),""))</f>
        <v/>
      </c>
      <c r="E507" s="22">
        <f t="array" ref="E507">IF($C507="","",IFERROR(INDEX(DATA_MASTER!$I$2:$I$5000,MATCH($C507,DATA_MASTER!$D$2:$D$5000,0)),""))</f>
        <v/>
      </c>
      <c r="F507" s="22">
        <f t="array" ref="F507">IF($C507="","",IFERROR(INDEX(DATA_MASTER!$L$2:$L$5000,MATCH($C507,DATA_MASTER!$D$2:$D$5000,0)),""))</f>
        <v/>
      </c>
      <c r="G507" s="24" t="n"/>
      <c r="H507" s="24" t="n"/>
      <c r="I507" s="30" t="n"/>
      <c r="J507" s="23">
        <f>IF(OR($H507="",$I507=""),"",$H507*$I507)</f>
        <v/>
      </c>
      <c r="K507" s="24" t="n"/>
      <c r="L507" s="24" t="n"/>
      <c r="M507" s="29" t="n"/>
      <c r="N507" s="28" t="n"/>
      <c r="O507" s="24" t="n"/>
      <c r="P507" s="24" t="n"/>
      <c r="Q507" s="24" t="n"/>
      <c r="R507" s="24" t="n"/>
      <c r="S507" s="22">
        <f>IF(AND($A507="",$C507=""),"",IF($A507="","Thiếu mã đơn; ","")&amp;IF(COUNTIF($A$2:$A507,$A507)&gt;1,"Trùng mã đơn; ","")&amp;IF(ISNA(MATCH($C507,DATA_MASTER!$D$2:$D$5000,0)),"SĐT chưa đăng ký hội viên; ","")&amp;IF(AND($L507="Đã chuyển khoản",$M507=""),"Thiếu ngày nhận CK; ",""))</f>
        <v/>
      </c>
      <c r="T507" s="24" t="n"/>
    </row>
    <row r="508" ht="14.25" customHeight="1" s="40">
      <c r="A508" s="24" t="n"/>
      <c r="B508" s="29" t="n"/>
      <c r="C508" s="28" t="n"/>
      <c r="D508" s="22">
        <f t="array" ref="D508">IF($C508="","",IFERROR(INDEX(DATA_MASTER!$C$2:$C$5000,MATCH($C508,DATA_MASTER!$D$2:$D$5000,0)),""))</f>
        <v/>
      </c>
      <c r="E508" s="22">
        <f t="array" ref="E508">IF($C508="","",IFERROR(INDEX(DATA_MASTER!$I$2:$I$5000,MATCH($C508,DATA_MASTER!$D$2:$D$5000,0)),""))</f>
        <v/>
      </c>
      <c r="F508" s="22">
        <f t="array" ref="F508">IF($C508="","",IFERROR(INDEX(DATA_MASTER!$L$2:$L$5000,MATCH($C508,DATA_MASTER!$D$2:$D$5000,0)),""))</f>
        <v/>
      </c>
      <c r="G508" s="24" t="n"/>
      <c r="H508" s="24" t="n"/>
      <c r="I508" s="30" t="n"/>
      <c r="J508" s="23">
        <f>IF(OR($H508="",$I508=""),"",$H508*$I508)</f>
        <v/>
      </c>
      <c r="K508" s="24" t="n"/>
      <c r="L508" s="24" t="n"/>
      <c r="M508" s="29" t="n"/>
      <c r="N508" s="28" t="n"/>
      <c r="O508" s="24" t="n"/>
      <c r="P508" s="24" t="n"/>
      <c r="Q508" s="24" t="n"/>
      <c r="R508" s="24" t="n"/>
      <c r="S508" s="22">
        <f>IF(AND($A508="",$C508=""),"",IF($A508="","Thiếu mã đơn; ","")&amp;IF(COUNTIF($A$2:$A508,$A508)&gt;1,"Trùng mã đơn; ","")&amp;IF(ISNA(MATCH($C508,DATA_MASTER!$D$2:$D$5000,0)),"SĐT chưa đăng ký hội viên; ","")&amp;IF(AND($L508="Đã chuyển khoản",$M508=""),"Thiếu ngày nhận CK; ",""))</f>
        <v/>
      </c>
      <c r="T508" s="24" t="n"/>
    </row>
    <row r="509" ht="14.25" customHeight="1" s="40">
      <c r="A509" s="24" t="n"/>
      <c r="B509" s="29" t="n"/>
      <c r="C509" s="28" t="n"/>
      <c r="D509" s="22">
        <f t="array" ref="D509">IF($C509="","",IFERROR(INDEX(DATA_MASTER!$C$2:$C$5000,MATCH($C509,DATA_MASTER!$D$2:$D$5000,0)),""))</f>
        <v/>
      </c>
      <c r="E509" s="22">
        <f t="array" ref="E509">IF($C509="","",IFERROR(INDEX(DATA_MASTER!$I$2:$I$5000,MATCH($C509,DATA_MASTER!$D$2:$D$5000,0)),""))</f>
        <v/>
      </c>
      <c r="F509" s="22">
        <f t="array" ref="F509">IF($C509="","",IFERROR(INDEX(DATA_MASTER!$L$2:$L$5000,MATCH($C509,DATA_MASTER!$D$2:$D$5000,0)),""))</f>
        <v/>
      </c>
      <c r="G509" s="24" t="n"/>
      <c r="H509" s="24" t="n"/>
      <c r="I509" s="30" t="n"/>
      <c r="J509" s="23">
        <f>IF(OR($H509="",$I509=""),"",$H509*$I509)</f>
        <v/>
      </c>
      <c r="K509" s="24" t="n"/>
      <c r="L509" s="24" t="n"/>
      <c r="M509" s="29" t="n"/>
      <c r="N509" s="28" t="n"/>
      <c r="O509" s="24" t="n"/>
      <c r="P509" s="24" t="n"/>
      <c r="Q509" s="24" t="n"/>
      <c r="R509" s="24" t="n"/>
      <c r="S509" s="22">
        <f>IF(AND($A509="",$C509=""),"",IF($A509="","Thiếu mã đơn; ","")&amp;IF(COUNTIF($A$2:$A509,$A509)&gt;1,"Trùng mã đơn; ","")&amp;IF(ISNA(MATCH($C509,DATA_MASTER!$D$2:$D$5000,0)),"SĐT chưa đăng ký hội viên; ","")&amp;IF(AND($L509="Đã chuyển khoản",$M509=""),"Thiếu ngày nhận CK; ",""))</f>
        <v/>
      </c>
      <c r="T509" s="24" t="n"/>
    </row>
    <row r="510" ht="14.25" customHeight="1" s="40">
      <c r="A510" s="24" t="n"/>
      <c r="B510" s="29" t="n"/>
      <c r="C510" s="28" t="n"/>
      <c r="D510" s="22">
        <f t="array" ref="D510">IF($C510="","",IFERROR(INDEX(DATA_MASTER!$C$2:$C$5000,MATCH($C510,DATA_MASTER!$D$2:$D$5000,0)),""))</f>
        <v/>
      </c>
      <c r="E510" s="22">
        <f t="array" ref="E510">IF($C510="","",IFERROR(INDEX(DATA_MASTER!$I$2:$I$5000,MATCH($C510,DATA_MASTER!$D$2:$D$5000,0)),""))</f>
        <v/>
      </c>
      <c r="F510" s="22">
        <f t="array" ref="F510">IF($C510="","",IFERROR(INDEX(DATA_MASTER!$L$2:$L$5000,MATCH($C510,DATA_MASTER!$D$2:$D$5000,0)),""))</f>
        <v/>
      </c>
      <c r="G510" s="24" t="n"/>
      <c r="H510" s="24" t="n"/>
      <c r="I510" s="30" t="n"/>
      <c r="J510" s="23">
        <f>IF(OR($H510="",$I510=""),"",$H510*$I510)</f>
        <v/>
      </c>
      <c r="K510" s="24" t="n"/>
      <c r="L510" s="24" t="n"/>
      <c r="M510" s="29" t="n"/>
      <c r="N510" s="28" t="n"/>
      <c r="O510" s="24" t="n"/>
      <c r="P510" s="24" t="n"/>
      <c r="Q510" s="24" t="n"/>
      <c r="R510" s="24" t="n"/>
      <c r="S510" s="22">
        <f>IF(AND($A510="",$C510=""),"",IF($A510="","Thiếu mã đơn; ","")&amp;IF(COUNTIF($A$2:$A510,$A510)&gt;1,"Trùng mã đơn; ","")&amp;IF(ISNA(MATCH($C510,DATA_MASTER!$D$2:$D$5000,0)),"SĐT chưa đăng ký hội viên; ","")&amp;IF(AND($L510="Đã chuyển khoản",$M510=""),"Thiếu ngày nhận CK; ",""))</f>
        <v/>
      </c>
      <c r="T510" s="24" t="n"/>
    </row>
    <row r="511" ht="14.25" customHeight="1" s="40">
      <c r="A511" s="24" t="n"/>
      <c r="B511" s="29" t="n"/>
      <c r="C511" s="28" t="n"/>
      <c r="D511" s="22">
        <f t="array" ref="D511">IF($C511="","",IFERROR(INDEX(DATA_MASTER!$C$2:$C$5000,MATCH($C511,DATA_MASTER!$D$2:$D$5000,0)),""))</f>
        <v/>
      </c>
      <c r="E511" s="22">
        <f t="array" ref="E511">IF($C511="","",IFERROR(INDEX(DATA_MASTER!$I$2:$I$5000,MATCH($C511,DATA_MASTER!$D$2:$D$5000,0)),""))</f>
        <v/>
      </c>
      <c r="F511" s="22">
        <f t="array" ref="F511">IF($C511="","",IFERROR(INDEX(DATA_MASTER!$L$2:$L$5000,MATCH($C511,DATA_MASTER!$D$2:$D$5000,0)),""))</f>
        <v/>
      </c>
      <c r="G511" s="24" t="n"/>
      <c r="H511" s="24" t="n"/>
      <c r="I511" s="30" t="n"/>
      <c r="J511" s="23">
        <f>IF(OR($H511="",$I511=""),"",$H511*$I511)</f>
        <v/>
      </c>
      <c r="K511" s="24" t="n"/>
      <c r="L511" s="24" t="n"/>
      <c r="M511" s="29" t="n"/>
      <c r="N511" s="28" t="n"/>
      <c r="O511" s="24" t="n"/>
      <c r="P511" s="24" t="n"/>
      <c r="Q511" s="24" t="n"/>
      <c r="R511" s="24" t="n"/>
      <c r="S511" s="22">
        <f>IF(AND($A511="",$C511=""),"",IF($A511="","Thiếu mã đơn; ","")&amp;IF(COUNTIF($A$2:$A511,$A511)&gt;1,"Trùng mã đơn; ","")&amp;IF(ISNA(MATCH($C511,DATA_MASTER!$D$2:$D$5000,0)),"SĐT chưa đăng ký hội viên; ","")&amp;IF(AND($L511="Đã chuyển khoản",$M511=""),"Thiếu ngày nhận CK; ",""))</f>
        <v/>
      </c>
      <c r="T511" s="24" t="n"/>
    </row>
    <row r="512" ht="14.25" customHeight="1" s="40">
      <c r="A512" s="24" t="n"/>
      <c r="B512" s="29" t="n"/>
      <c r="C512" s="28" t="n"/>
      <c r="D512" s="22">
        <f t="array" ref="D512">IF($C512="","",IFERROR(INDEX(DATA_MASTER!$C$2:$C$5000,MATCH($C512,DATA_MASTER!$D$2:$D$5000,0)),""))</f>
        <v/>
      </c>
      <c r="E512" s="22">
        <f t="array" ref="E512">IF($C512="","",IFERROR(INDEX(DATA_MASTER!$I$2:$I$5000,MATCH($C512,DATA_MASTER!$D$2:$D$5000,0)),""))</f>
        <v/>
      </c>
      <c r="F512" s="22">
        <f t="array" ref="F512">IF($C512="","",IFERROR(INDEX(DATA_MASTER!$L$2:$L$5000,MATCH($C512,DATA_MASTER!$D$2:$D$5000,0)),""))</f>
        <v/>
      </c>
      <c r="G512" s="24" t="n"/>
      <c r="H512" s="24" t="n"/>
      <c r="I512" s="30" t="n"/>
      <c r="J512" s="23">
        <f>IF(OR($H512="",$I512=""),"",$H512*$I512)</f>
        <v/>
      </c>
      <c r="K512" s="24" t="n"/>
      <c r="L512" s="24" t="n"/>
      <c r="M512" s="29" t="n"/>
      <c r="N512" s="28" t="n"/>
      <c r="O512" s="24" t="n"/>
      <c r="P512" s="24" t="n"/>
      <c r="Q512" s="24" t="n"/>
      <c r="R512" s="24" t="n"/>
      <c r="S512" s="22">
        <f>IF(AND($A512="",$C512=""),"",IF($A512="","Thiếu mã đơn; ","")&amp;IF(COUNTIF($A$2:$A512,$A512)&gt;1,"Trùng mã đơn; ","")&amp;IF(ISNA(MATCH($C512,DATA_MASTER!$D$2:$D$5000,0)),"SĐT chưa đăng ký hội viên; ","")&amp;IF(AND($L512="Đã chuyển khoản",$M512=""),"Thiếu ngày nhận CK; ",""))</f>
        <v/>
      </c>
      <c r="T512" s="24" t="n"/>
    </row>
    <row r="513" ht="14.25" customHeight="1" s="40">
      <c r="A513" s="24" t="n"/>
      <c r="B513" s="29" t="n"/>
      <c r="C513" s="28" t="n"/>
      <c r="D513" s="22">
        <f t="array" ref="D513">IF($C513="","",IFERROR(INDEX(DATA_MASTER!$C$2:$C$5000,MATCH($C513,DATA_MASTER!$D$2:$D$5000,0)),""))</f>
        <v/>
      </c>
      <c r="E513" s="22">
        <f t="array" ref="E513">IF($C513="","",IFERROR(INDEX(DATA_MASTER!$I$2:$I$5000,MATCH($C513,DATA_MASTER!$D$2:$D$5000,0)),""))</f>
        <v/>
      </c>
      <c r="F513" s="22">
        <f t="array" ref="F513">IF($C513="","",IFERROR(INDEX(DATA_MASTER!$L$2:$L$5000,MATCH($C513,DATA_MASTER!$D$2:$D$5000,0)),""))</f>
        <v/>
      </c>
      <c r="G513" s="24" t="n"/>
      <c r="H513" s="24" t="n"/>
      <c r="I513" s="30" t="n"/>
      <c r="J513" s="23">
        <f>IF(OR($H513="",$I513=""),"",$H513*$I513)</f>
        <v/>
      </c>
      <c r="K513" s="24" t="n"/>
      <c r="L513" s="24" t="n"/>
      <c r="M513" s="29" t="n"/>
      <c r="N513" s="28" t="n"/>
      <c r="O513" s="24" t="n"/>
      <c r="P513" s="24" t="n"/>
      <c r="Q513" s="24" t="n"/>
      <c r="R513" s="24" t="n"/>
      <c r="S513" s="22">
        <f>IF(AND($A513="",$C513=""),"",IF($A513="","Thiếu mã đơn; ","")&amp;IF(COUNTIF($A$2:$A513,$A513)&gt;1,"Trùng mã đơn; ","")&amp;IF(ISNA(MATCH($C513,DATA_MASTER!$D$2:$D$5000,0)),"SĐT chưa đăng ký hội viên; ","")&amp;IF(AND($L513="Đã chuyển khoản",$M513=""),"Thiếu ngày nhận CK; ",""))</f>
        <v/>
      </c>
      <c r="T513" s="24" t="n"/>
    </row>
    <row r="514" ht="14.25" customHeight="1" s="40">
      <c r="A514" s="24" t="n"/>
      <c r="B514" s="29" t="n"/>
      <c r="C514" s="28" t="n"/>
      <c r="D514" s="22">
        <f t="array" ref="D514">IF($C514="","",IFERROR(INDEX(DATA_MASTER!$C$2:$C$5000,MATCH($C514,DATA_MASTER!$D$2:$D$5000,0)),""))</f>
        <v/>
      </c>
      <c r="E514" s="22">
        <f t="array" ref="E514">IF($C514="","",IFERROR(INDEX(DATA_MASTER!$I$2:$I$5000,MATCH($C514,DATA_MASTER!$D$2:$D$5000,0)),""))</f>
        <v/>
      </c>
      <c r="F514" s="22">
        <f t="array" ref="F514">IF($C514="","",IFERROR(INDEX(DATA_MASTER!$L$2:$L$5000,MATCH($C514,DATA_MASTER!$D$2:$D$5000,0)),""))</f>
        <v/>
      </c>
      <c r="G514" s="24" t="n"/>
      <c r="H514" s="24" t="n"/>
      <c r="I514" s="30" t="n"/>
      <c r="J514" s="23">
        <f>IF(OR($H514="",$I514=""),"",$H514*$I514)</f>
        <v/>
      </c>
      <c r="K514" s="24" t="n"/>
      <c r="L514" s="24" t="n"/>
      <c r="M514" s="29" t="n"/>
      <c r="N514" s="28" t="n"/>
      <c r="O514" s="24" t="n"/>
      <c r="P514" s="24" t="n"/>
      <c r="Q514" s="24" t="n"/>
      <c r="R514" s="24" t="n"/>
      <c r="S514" s="22">
        <f>IF(AND($A514="",$C514=""),"",IF($A514="","Thiếu mã đơn; ","")&amp;IF(COUNTIF($A$2:$A514,$A514)&gt;1,"Trùng mã đơn; ","")&amp;IF(ISNA(MATCH($C514,DATA_MASTER!$D$2:$D$5000,0)),"SĐT chưa đăng ký hội viên; ","")&amp;IF(AND($L514="Đã chuyển khoản",$M514=""),"Thiếu ngày nhận CK; ",""))</f>
        <v/>
      </c>
      <c r="T514" s="24" t="n"/>
    </row>
    <row r="515" ht="14.25" customHeight="1" s="40">
      <c r="A515" s="24" t="n"/>
      <c r="B515" s="29" t="n"/>
      <c r="C515" s="28" t="n"/>
      <c r="D515" s="22">
        <f t="array" ref="D515">IF($C515="","",IFERROR(INDEX(DATA_MASTER!$C$2:$C$5000,MATCH($C515,DATA_MASTER!$D$2:$D$5000,0)),""))</f>
        <v/>
      </c>
      <c r="E515" s="22">
        <f t="array" ref="E515">IF($C515="","",IFERROR(INDEX(DATA_MASTER!$I$2:$I$5000,MATCH($C515,DATA_MASTER!$D$2:$D$5000,0)),""))</f>
        <v/>
      </c>
      <c r="F515" s="22">
        <f t="array" ref="F515">IF($C515="","",IFERROR(INDEX(DATA_MASTER!$L$2:$L$5000,MATCH($C515,DATA_MASTER!$D$2:$D$5000,0)),""))</f>
        <v/>
      </c>
      <c r="G515" s="24" t="n"/>
      <c r="H515" s="24" t="n"/>
      <c r="I515" s="30" t="n"/>
      <c r="J515" s="23">
        <f>IF(OR($H515="",$I515=""),"",$H515*$I515)</f>
        <v/>
      </c>
      <c r="K515" s="24" t="n"/>
      <c r="L515" s="24" t="n"/>
      <c r="M515" s="29" t="n"/>
      <c r="N515" s="28" t="n"/>
      <c r="O515" s="24" t="n"/>
      <c r="P515" s="24" t="n"/>
      <c r="Q515" s="24" t="n"/>
      <c r="R515" s="24" t="n"/>
      <c r="S515" s="22">
        <f>IF(AND($A515="",$C515=""),"",IF($A515="","Thiếu mã đơn; ","")&amp;IF(COUNTIF($A$2:$A515,$A515)&gt;1,"Trùng mã đơn; ","")&amp;IF(ISNA(MATCH($C515,DATA_MASTER!$D$2:$D$5000,0)),"SĐT chưa đăng ký hội viên; ","")&amp;IF(AND($L515="Đã chuyển khoản",$M515=""),"Thiếu ngày nhận CK; ",""))</f>
        <v/>
      </c>
      <c r="T515" s="24" t="n"/>
    </row>
    <row r="516" ht="14.25" customHeight="1" s="40">
      <c r="A516" s="24" t="n"/>
      <c r="B516" s="29" t="n"/>
      <c r="C516" s="28" t="n"/>
      <c r="D516" s="22">
        <f t="array" ref="D516">IF($C516="","",IFERROR(INDEX(DATA_MASTER!$C$2:$C$5000,MATCH($C516,DATA_MASTER!$D$2:$D$5000,0)),""))</f>
        <v/>
      </c>
      <c r="E516" s="22">
        <f t="array" ref="E516">IF($C516="","",IFERROR(INDEX(DATA_MASTER!$I$2:$I$5000,MATCH($C516,DATA_MASTER!$D$2:$D$5000,0)),""))</f>
        <v/>
      </c>
      <c r="F516" s="22">
        <f t="array" ref="F516">IF($C516="","",IFERROR(INDEX(DATA_MASTER!$L$2:$L$5000,MATCH($C516,DATA_MASTER!$D$2:$D$5000,0)),""))</f>
        <v/>
      </c>
      <c r="G516" s="24" t="n"/>
      <c r="H516" s="24" t="n"/>
      <c r="I516" s="30" t="n"/>
      <c r="J516" s="23">
        <f>IF(OR($H516="",$I516=""),"",$H516*$I516)</f>
        <v/>
      </c>
      <c r="K516" s="24" t="n"/>
      <c r="L516" s="24" t="n"/>
      <c r="M516" s="29" t="n"/>
      <c r="N516" s="28" t="n"/>
      <c r="O516" s="24" t="n"/>
      <c r="P516" s="24" t="n"/>
      <c r="Q516" s="24" t="n"/>
      <c r="R516" s="24" t="n"/>
      <c r="S516" s="22">
        <f>IF(AND($A516="",$C516=""),"",IF($A516="","Thiếu mã đơn; ","")&amp;IF(COUNTIF($A$2:$A516,$A516)&gt;1,"Trùng mã đơn; ","")&amp;IF(ISNA(MATCH($C516,DATA_MASTER!$D$2:$D$5000,0)),"SĐT chưa đăng ký hội viên; ","")&amp;IF(AND($L516="Đã chuyển khoản",$M516=""),"Thiếu ngày nhận CK; ",""))</f>
        <v/>
      </c>
      <c r="T516" s="24" t="n"/>
    </row>
    <row r="517" ht="14.25" customHeight="1" s="40">
      <c r="A517" s="24" t="n"/>
      <c r="B517" s="29" t="n"/>
      <c r="C517" s="28" t="n"/>
      <c r="D517" s="22">
        <f t="array" ref="D517">IF($C517="","",IFERROR(INDEX(DATA_MASTER!$C$2:$C$5000,MATCH($C517,DATA_MASTER!$D$2:$D$5000,0)),""))</f>
        <v/>
      </c>
      <c r="E517" s="22">
        <f t="array" ref="E517">IF($C517="","",IFERROR(INDEX(DATA_MASTER!$I$2:$I$5000,MATCH($C517,DATA_MASTER!$D$2:$D$5000,0)),""))</f>
        <v/>
      </c>
      <c r="F517" s="22">
        <f t="array" ref="F517">IF($C517="","",IFERROR(INDEX(DATA_MASTER!$L$2:$L$5000,MATCH($C517,DATA_MASTER!$D$2:$D$5000,0)),""))</f>
        <v/>
      </c>
      <c r="G517" s="24" t="n"/>
      <c r="H517" s="24" t="n"/>
      <c r="I517" s="30" t="n"/>
      <c r="J517" s="23">
        <f>IF(OR($H517="",$I517=""),"",$H517*$I517)</f>
        <v/>
      </c>
      <c r="K517" s="24" t="n"/>
      <c r="L517" s="24" t="n"/>
      <c r="M517" s="29" t="n"/>
      <c r="N517" s="28" t="n"/>
      <c r="O517" s="24" t="n"/>
      <c r="P517" s="24" t="n"/>
      <c r="Q517" s="24" t="n"/>
      <c r="R517" s="24" t="n"/>
      <c r="S517" s="22">
        <f>IF(AND($A517="",$C517=""),"",IF($A517="","Thiếu mã đơn; ","")&amp;IF(COUNTIF($A$2:$A517,$A517)&gt;1,"Trùng mã đơn; ","")&amp;IF(ISNA(MATCH($C517,DATA_MASTER!$D$2:$D$5000,0)),"SĐT chưa đăng ký hội viên; ","")&amp;IF(AND($L517="Đã chuyển khoản",$M517=""),"Thiếu ngày nhận CK; ",""))</f>
        <v/>
      </c>
      <c r="T517" s="24" t="n"/>
    </row>
    <row r="518" ht="14.25" customHeight="1" s="40">
      <c r="A518" s="24" t="n"/>
      <c r="B518" s="29" t="n"/>
      <c r="C518" s="28" t="n"/>
      <c r="D518" s="22">
        <f t="array" ref="D518">IF($C518="","",IFERROR(INDEX(DATA_MASTER!$C$2:$C$5000,MATCH($C518,DATA_MASTER!$D$2:$D$5000,0)),""))</f>
        <v/>
      </c>
      <c r="E518" s="22">
        <f t="array" ref="E518">IF($C518="","",IFERROR(INDEX(DATA_MASTER!$I$2:$I$5000,MATCH($C518,DATA_MASTER!$D$2:$D$5000,0)),""))</f>
        <v/>
      </c>
      <c r="F518" s="22">
        <f t="array" ref="F518">IF($C518="","",IFERROR(INDEX(DATA_MASTER!$L$2:$L$5000,MATCH($C518,DATA_MASTER!$D$2:$D$5000,0)),""))</f>
        <v/>
      </c>
      <c r="G518" s="24" t="n"/>
      <c r="H518" s="24" t="n"/>
      <c r="I518" s="30" t="n"/>
      <c r="J518" s="23">
        <f>IF(OR($H518="",$I518=""),"",$H518*$I518)</f>
        <v/>
      </c>
      <c r="K518" s="24" t="n"/>
      <c r="L518" s="24" t="n"/>
      <c r="M518" s="29" t="n"/>
      <c r="N518" s="28" t="n"/>
      <c r="O518" s="24" t="n"/>
      <c r="P518" s="24" t="n"/>
      <c r="Q518" s="24" t="n"/>
      <c r="R518" s="24" t="n"/>
      <c r="S518" s="22">
        <f>IF(AND($A518="",$C518=""),"",IF($A518="","Thiếu mã đơn; ","")&amp;IF(COUNTIF($A$2:$A518,$A518)&gt;1,"Trùng mã đơn; ","")&amp;IF(ISNA(MATCH($C518,DATA_MASTER!$D$2:$D$5000,0)),"SĐT chưa đăng ký hội viên; ","")&amp;IF(AND($L518="Đã chuyển khoản",$M518=""),"Thiếu ngày nhận CK; ",""))</f>
        <v/>
      </c>
      <c r="T518" s="24" t="n"/>
    </row>
    <row r="519" ht="14.25" customHeight="1" s="40">
      <c r="A519" s="24" t="n"/>
      <c r="B519" s="29" t="n"/>
      <c r="C519" s="28" t="n"/>
      <c r="D519" s="22">
        <f t="array" ref="D519">IF($C519="","",IFERROR(INDEX(DATA_MASTER!$C$2:$C$5000,MATCH($C519,DATA_MASTER!$D$2:$D$5000,0)),""))</f>
        <v/>
      </c>
      <c r="E519" s="22">
        <f t="array" ref="E519">IF($C519="","",IFERROR(INDEX(DATA_MASTER!$I$2:$I$5000,MATCH($C519,DATA_MASTER!$D$2:$D$5000,0)),""))</f>
        <v/>
      </c>
      <c r="F519" s="22">
        <f t="array" ref="F519">IF($C519="","",IFERROR(INDEX(DATA_MASTER!$L$2:$L$5000,MATCH($C519,DATA_MASTER!$D$2:$D$5000,0)),""))</f>
        <v/>
      </c>
      <c r="G519" s="24" t="n"/>
      <c r="H519" s="24" t="n"/>
      <c r="I519" s="30" t="n"/>
      <c r="J519" s="23">
        <f>IF(OR($H519="",$I519=""),"",$H519*$I519)</f>
        <v/>
      </c>
      <c r="K519" s="24" t="n"/>
      <c r="L519" s="24" t="n"/>
      <c r="M519" s="29" t="n"/>
      <c r="N519" s="28" t="n"/>
      <c r="O519" s="24" t="n"/>
      <c r="P519" s="24" t="n"/>
      <c r="Q519" s="24" t="n"/>
      <c r="R519" s="24" t="n"/>
      <c r="S519" s="22">
        <f>IF(AND($A519="",$C519=""),"",IF($A519="","Thiếu mã đơn; ","")&amp;IF(COUNTIF($A$2:$A519,$A519)&gt;1,"Trùng mã đơn; ","")&amp;IF(ISNA(MATCH($C519,DATA_MASTER!$D$2:$D$5000,0)),"SĐT chưa đăng ký hội viên; ","")&amp;IF(AND($L519="Đã chuyển khoản",$M519=""),"Thiếu ngày nhận CK; ",""))</f>
        <v/>
      </c>
      <c r="T519" s="24" t="n"/>
    </row>
    <row r="520" ht="14.25" customHeight="1" s="40">
      <c r="A520" s="24" t="n"/>
      <c r="B520" s="29" t="n"/>
      <c r="C520" s="28" t="n"/>
      <c r="D520" s="22">
        <f t="array" ref="D520">IF($C520="","",IFERROR(INDEX(DATA_MASTER!$C$2:$C$5000,MATCH($C520,DATA_MASTER!$D$2:$D$5000,0)),""))</f>
        <v/>
      </c>
      <c r="E520" s="22">
        <f t="array" ref="E520">IF($C520="","",IFERROR(INDEX(DATA_MASTER!$I$2:$I$5000,MATCH($C520,DATA_MASTER!$D$2:$D$5000,0)),""))</f>
        <v/>
      </c>
      <c r="F520" s="22">
        <f t="array" ref="F520">IF($C520="","",IFERROR(INDEX(DATA_MASTER!$L$2:$L$5000,MATCH($C520,DATA_MASTER!$D$2:$D$5000,0)),""))</f>
        <v/>
      </c>
      <c r="G520" s="24" t="n"/>
      <c r="H520" s="24" t="n"/>
      <c r="I520" s="30" t="n"/>
      <c r="J520" s="23">
        <f>IF(OR($H520="",$I520=""),"",$H520*$I520)</f>
        <v/>
      </c>
      <c r="K520" s="24" t="n"/>
      <c r="L520" s="24" t="n"/>
      <c r="M520" s="29" t="n"/>
      <c r="N520" s="28" t="n"/>
      <c r="O520" s="24" t="n"/>
      <c r="P520" s="24" t="n"/>
      <c r="Q520" s="24" t="n"/>
      <c r="R520" s="24" t="n"/>
      <c r="S520" s="22">
        <f>IF(AND($A520="",$C520=""),"",IF($A520="","Thiếu mã đơn; ","")&amp;IF(COUNTIF($A$2:$A520,$A520)&gt;1,"Trùng mã đơn; ","")&amp;IF(ISNA(MATCH($C520,DATA_MASTER!$D$2:$D$5000,0)),"SĐT chưa đăng ký hội viên; ","")&amp;IF(AND($L520="Đã chuyển khoản",$M520=""),"Thiếu ngày nhận CK; ",""))</f>
        <v/>
      </c>
      <c r="T520" s="24" t="n"/>
    </row>
    <row r="521" ht="14.25" customHeight="1" s="40">
      <c r="A521" s="24" t="n"/>
      <c r="B521" s="29" t="n"/>
      <c r="C521" s="28" t="n"/>
      <c r="D521" s="22">
        <f t="array" ref="D521">IF($C521="","",IFERROR(INDEX(DATA_MASTER!$C$2:$C$5000,MATCH($C521,DATA_MASTER!$D$2:$D$5000,0)),""))</f>
        <v/>
      </c>
      <c r="E521" s="22">
        <f t="array" ref="E521">IF($C521="","",IFERROR(INDEX(DATA_MASTER!$I$2:$I$5000,MATCH($C521,DATA_MASTER!$D$2:$D$5000,0)),""))</f>
        <v/>
      </c>
      <c r="F521" s="22">
        <f t="array" ref="F521">IF($C521="","",IFERROR(INDEX(DATA_MASTER!$L$2:$L$5000,MATCH($C521,DATA_MASTER!$D$2:$D$5000,0)),""))</f>
        <v/>
      </c>
      <c r="G521" s="24" t="n"/>
      <c r="H521" s="24" t="n"/>
      <c r="I521" s="30" t="n"/>
      <c r="J521" s="23">
        <f>IF(OR($H521="",$I521=""),"",$H521*$I521)</f>
        <v/>
      </c>
      <c r="K521" s="24" t="n"/>
      <c r="L521" s="24" t="n"/>
      <c r="M521" s="29" t="n"/>
      <c r="N521" s="28" t="n"/>
      <c r="O521" s="24" t="n"/>
      <c r="P521" s="24" t="n"/>
      <c r="Q521" s="24" t="n"/>
      <c r="R521" s="24" t="n"/>
      <c r="S521" s="22">
        <f>IF(AND($A521="",$C521=""),"",IF($A521="","Thiếu mã đơn; ","")&amp;IF(COUNTIF($A$2:$A521,$A521)&gt;1,"Trùng mã đơn; ","")&amp;IF(ISNA(MATCH($C521,DATA_MASTER!$D$2:$D$5000,0)),"SĐT chưa đăng ký hội viên; ","")&amp;IF(AND($L521="Đã chuyển khoản",$M521=""),"Thiếu ngày nhận CK; ",""))</f>
        <v/>
      </c>
      <c r="T521" s="24" t="n"/>
    </row>
    <row r="522" ht="14.25" customHeight="1" s="40">
      <c r="A522" s="24" t="n"/>
      <c r="B522" s="29" t="n"/>
      <c r="C522" s="28" t="n"/>
      <c r="D522" s="22">
        <f t="array" ref="D522">IF($C522="","",IFERROR(INDEX(DATA_MASTER!$C$2:$C$5000,MATCH($C522,DATA_MASTER!$D$2:$D$5000,0)),""))</f>
        <v/>
      </c>
      <c r="E522" s="22">
        <f t="array" ref="E522">IF($C522="","",IFERROR(INDEX(DATA_MASTER!$I$2:$I$5000,MATCH($C522,DATA_MASTER!$D$2:$D$5000,0)),""))</f>
        <v/>
      </c>
      <c r="F522" s="22">
        <f t="array" ref="F522">IF($C522="","",IFERROR(INDEX(DATA_MASTER!$L$2:$L$5000,MATCH($C522,DATA_MASTER!$D$2:$D$5000,0)),""))</f>
        <v/>
      </c>
      <c r="G522" s="24" t="n"/>
      <c r="H522" s="24" t="n"/>
      <c r="I522" s="30" t="n"/>
      <c r="J522" s="23">
        <f>IF(OR($H522="",$I522=""),"",$H522*$I522)</f>
        <v/>
      </c>
      <c r="K522" s="24" t="n"/>
      <c r="L522" s="24" t="n"/>
      <c r="M522" s="29" t="n"/>
      <c r="N522" s="28" t="n"/>
      <c r="O522" s="24" t="n"/>
      <c r="P522" s="24" t="n"/>
      <c r="Q522" s="24" t="n"/>
      <c r="R522" s="24" t="n"/>
      <c r="S522" s="22">
        <f>IF(AND($A522="",$C522=""),"",IF($A522="","Thiếu mã đơn; ","")&amp;IF(COUNTIF($A$2:$A522,$A522)&gt;1,"Trùng mã đơn; ","")&amp;IF(ISNA(MATCH($C522,DATA_MASTER!$D$2:$D$5000,0)),"SĐT chưa đăng ký hội viên; ","")&amp;IF(AND($L522="Đã chuyển khoản",$M522=""),"Thiếu ngày nhận CK; ",""))</f>
        <v/>
      </c>
      <c r="T522" s="24" t="n"/>
    </row>
    <row r="523" ht="14.25" customHeight="1" s="40">
      <c r="A523" s="24" t="n"/>
      <c r="B523" s="29" t="n"/>
      <c r="C523" s="28" t="n"/>
      <c r="D523" s="22">
        <f t="array" ref="D523">IF($C523="","",IFERROR(INDEX(DATA_MASTER!$C$2:$C$5000,MATCH($C523,DATA_MASTER!$D$2:$D$5000,0)),""))</f>
        <v/>
      </c>
      <c r="E523" s="22">
        <f t="array" ref="E523">IF($C523="","",IFERROR(INDEX(DATA_MASTER!$I$2:$I$5000,MATCH($C523,DATA_MASTER!$D$2:$D$5000,0)),""))</f>
        <v/>
      </c>
      <c r="F523" s="22">
        <f t="array" ref="F523">IF($C523="","",IFERROR(INDEX(DATA_MASTER!$L$2:$L$5000,MATCH($C523,DATA_MASTER!$D$2:$D$5000,0)),""))</f>
        <v/>
      </c>
      <c r="G523" s="24" t="n"/>
      <c r="H523" s="24" t="n"/>
      <c r="I523" s="30" t="n"/>
      <c r="J523" s="23">
        <f>IF(OR($H523="",$I523=""),"",$H523*$I523)</f>
        <v/>
      </c>
      <c r="K523" s="24" t="n"/>
      <c r="L523" s="24" t="n"/>
      <c r="M523" s="29" t="n"/>
      <c r="N523" s="28" t="n"/>
      <c r="O523" s="24" t="n"/>
      <c r="P523" s="24" t="n"/>
      <c r="Q523" s="24" t="n"/>
      <c r="R523" s="24" t="n"/>
      <c r="S523" s="22">
        <f>IF(AND($A523="",$C523=""),"",IF($A523="","Thiếu mã đơn; ","")&amp;IF(COUNTIF($A$2:$A523,$A523)&gt;1,"Trùng mã đơn; ","")&amp;IF(ISNA(MATCH($C523,DATA_MASTER!$D$2:$D$5000,0)),"SĐT chưa đăng ký hội viên; ","")&amp;IF(AND($L523="Đã chuyển khoản",$M523=""),"Thiếu ngày nhận CK; ",""))</f>
        <v/>
      </c>
      <c r="T523" s="24" t="n"/>
    </row>
    <row r="524" ht="14.25" customHeight="1" s="40">
      <c r="A524" s="24" t="n"/>
      <c r="B524" s="29" t="n"/>
      <c r="C524" s="28" t="n"/>
      <c r="D524" s="22">
        <f t="array" ref="D524">IF($C524="","",IFERROR(INDEX(DATA_MASTER!$C$2:$C$5000,MATCH($C524,DATA_MASTER!$D$2:$D$5000,0)),""))</f>
        <v/>
      </c>
      <c r="E524" s="22">
        <f t="array" ref="E524">IF($C524="","",IFERROR(INDEX(DATA_MASTER!$I$2:$I$5000,MATCH($C524,DATA_MASTER!$D$2:$D$5000,0)),""))</f>
        <v/>
      </c>
      <c r="F524" s="22">
        <f t="array" ref="F524">IF($C524="","",IFERROR(INDEX(DATA_MASTER!$L$2:$L$5000,MATCH($C524,DATA_MASTER!$D$2:$D$5000,0)),""))</f>
        <v/>
      </c>
      <c r="G524" s="24" t="n"/>
      <c r="H524" s="24" t="n"/>
      <c r="I524" s="30" t="n"/>
      <c r="J524" s="23">
        <f>IF(OR($H524="",$I524=""),"",$H524*$I524)</f>
        <v/>
      </c>
      <c r="K524" s="24" t="n"/>
      <c r="L524" s="24" t="n"/>
      <c r="M524" s="29" t="n"/>
      <c r="N524" s="28" t="n"/>
      <c r="O524" s="24" t="n"/>
      <c r="P524" s="24" t="n"/>
      <c r="Q524" s="24" t="n"/>
      <c r="R524" s="24" t="n"/>
      <c r="S524" s="22">
        <f>IF(AND($A524="",$C524=""),"",IF($A524="","Thiếu mã đơn; ","")&amp;IF(COUNTIF($A$2:$A524,$A524)&gt;1,"Trùng mã đơn; ","")&amp;IF(ISNA(MATCH($C524,DATA_MASTER!$D$2:$D$5000,0)),"SĐT chưa đăng ký hội viên; ","")&amp;IF(AND($L524="Đã chuyển khoản",$M524=""),"Thiếu ngày nhận CK; ",""))</f>
        <v/>
      </c>
      <c r="T524" s="24" t="n"/>
    </row>
    <row r="525" ht="14.25" customHeight="1" s="40">
      <c r="A525" s="24" t="n"/>
      <c r="B525" s="29" t="n"/>
      <c r="C525" s="28" t="n"/>
      <c r="D525" s="22">
        <f t="array" ref="D525">IF($C525="","",IFERROR(INDEX(DATA_MASTER!$C$2:$C$5000,MATCH($C525,DATA_MASTER!$D$2:$D$5000,0)),""))</f>
        <v/>
      </c>
      <c r="E525" s="22">
        <f t="array" ref="E525">IF($C525="","",IFERROR(INDEX(DATA_MASTER!$I$2:$I$5000,MATCH($C525,DATA_MASTER!$D$2:$D$5000,0)),""))</f>
        <v/>
      </c>
      <c r="F525" s="22">
        <f t="array" ref="F525">IF($C525="","",IFERROR(INDEX(DATA_MASTER!$L$2:$L$5000,MATCH($C525,DATA_MASTER!$D$2:$D$5000,0)),""))</f>
        <v/>
      </c>
      <c r="G525" s="24" t="n"/>
      <c r="H525" s="24" t="n"/>
      <c r="I525" s="30" t="n"/>
      <c r="J525" s="23">
        <f>IF(OR($H525="",$I525=""),"",$H525*$I525)</f>
        <v/>
      </c>
      <c r="K525" s="24" t="n"/>
      <c r="L525" s="24" t="n"/>
      <c r="M525" s="29" t="n"/>
      <c r="N525" s="28" t="n"/>
      <c r="O525" s="24" t="n"/>
      <c r="P525" s="24" t="n"/>
      <c r="Q525" s="24" t="n"/>
      <c r="R525" s="24" t="n"/>
      <c r="S525" s="22">
        <f>IF(AND($A525="",$C525=""),"",IF($A525="","Thiếu mã đơn; ","")&amp;IF(COUNTIF($A$2:$A525,$A525)&gt;1,"Trùng mã đơn; ","")&amp;IF(ISNA(MATCH($C525,DATA_MASTER!$D$2:$D$5000,0)),"SĐT chưa đăng ký hội viên; ","")&amp;IF(AND($L525="Đã chuyển khoản",$M525=""),"Thiếu ngày nhận CK; ",""))</f>
        <v/>
      </c>
      <c r="T525" s="24" t="n"/>
    </row>
    <row r="526" ht="14.25" customHeight="1" s="40">
      <c r="A526" s="24" t="n"/>
      <c r="B526" s="29" t="n"/>
      <c r="C526" s="28" t="n"/>
      <c r="D526" s="22">
        <f t="array" ref="D526">IF($C526="","",IFERROR(INDEX(DATA_MASTER!$C$2:$C$5000,MATCH($C526,DATA_MASTER!$D$2:$D$5000,0)),""))</f>
        <v/>
      </c>
      <c r="E526" s="22">
        <f t="array" ref="E526">IF($C526="","",IFERROR(INDEX(DATA_MASTER!$I$2:$I$5000,MATCH($C526,DATA_MASTER!$D$2:$D$5000,0)),""))</f>
        <v/>
      </c>
      <c r="F526" s="22">
        <f t="array" ref="F526">IF($C526="","",IFERROR(INDEX(DATA_MASTER!$L$2:$L$5000,MATCH($C526,DATA_MASTER!$D$2:$D$5000,0)),""))</f>
        <v/>
      </c>
      <c r="G526" s="24" t="n"/>
      <c r="H526" s="24" t="n"/>
      <c r="I526" s="30" t="n"/>
      <c r="J526" s="23">
        <f>IF(OR($H526="",$I526=""),"",$H526*$I526)</f>
        <v/>
      </c>
      <c r="K526" s="24" t="n"/>
      <c r="L526" s="24" t="n"/>
      <c r="M526" s="29" t="n"/>
      <c r="N526" s="28" t="n"/>
      <c r="O526" s="24" t="n"/>
      <c r="P526" s="24" t="n"/>
      <c r="Q526" s="24" t="n"/>
      <c r="R526" s="24" t="n"/>
      <c r="S526" s="22">
        <f>IF(AND($A526="",$C526=""),"",IF($A526="","Thiếu mã đơn; ","")&amp;IF(COUNTIF($A$2:$A526,$A526)&gt;1,"Trùng mã đơn; ","")&amp;IF(ISNA(MATCH($C526,DATA_MASTER!$D$2:$D$5000,0)),"SĐT chưa đăng ký hội viên; ","")&amp;IF(AND($L526="Đã chuyển khoản",$M526=""),"Thiếu ngày nhận CK; ",""))</f>
        <v/>
      </c>
      <c r="T526" s="24" t="n"/>
    </row>
    <row r="527" ht="14.25" customHeight="1" s="40">
      <c r="A527" s="24" t="n"/>
      <c r="B527" s="29" t="n"/>
      <c r="C527" s="28" t="n"/>
      <c r="D527" s="22">
        <f t="array" ref="D527">IF($C527="","",IFERROR(INDEX(DATA_MASTER!$C$2:$C$5000,MATCH($C527,DATA_MASTER!$D$2:$D$5000,0)),""))</f>
        <v/>
      </c>
      <c r="E527" s="22">
        <f t="array" ref="E527">IF($C527="","",IFERROR(INDEX(DATA_MASTER!$I$2:$I$5000,MATCH($C527,DATA_MASTER!$D$2:$D$5000,0)),""))</f>
        <v/>
      </c>
      <c r="F527" s="22">
        <f t="array" ref="F527">IF($C527="","",IFERROR(INDEX(DATA_MASTER!$L$2:$L$5000,MATCH($C527,DATA_MASTER!$D$2:$D$5000,0)),""))</f>
        <v/>
      </c>
      <c r="G527" s="24" t="n"/>
      <c r="H527" s="24" t="n"/>
      <c r="I527" s="30" t="n"/>
      <c r="J527" s="23">
        <f>IF(OR($H527="",$I527=""),"",$H527*$I527)</f>
        <v/>
      </c>
      <c r="K527" s="24" t="n"/>
      <c r="L527" s="24" t="n"/>
      <c r="M527" s="29" t="n"/>
      <c r="N527" s="28" t="n"/>
      <c r="O527" s="24" t="n"/>
      <c r="P527" s="24" t="n"/>
      <c r="Q527" s="24" t="n"/>
      <c r="R527" s="24" t="n"/>
      <c r="S527" s="22">
        <f>IF(AND($A527="",$C527=""),"",IF($A527="","Thiếu mã đơn; ","")&amp;IF(COUNTIF($A$2:$A527,$A527)&gt;1,"Trùng mã đơn; ","")&amp;IF(ISNA(MATCH($C527,DATA_MASTER!$D$2:$D$5000,0)),"SĐT chưa đăng ký hội viên; ","")&amp;IF(AND($L527="Đã chuyển khoản",$M527=""),"Thiếu ngày nhận CK; ",""))</f>
        <v/>
      </c>
      <c r="T527" s="24" t="n"/>
    </row>
    <row r="528" ht="14.25" customHeight="1" s="40">
      <c r="A528" s="24" t="n"/>
      <c r="B528" s="29" t="n"/>
      <c r="C528" s="28" t="n"/>
      <c r="D528" s="22">
        <f t="array" ref="D528">IF($C528="","",IFERROR(INDEX(DATA_MASTER!$C$2:$C$5000,MATCH($C528,DATA_MASTER!$D$2:$D$5000,0)),""))</f>
        <v/>
      </c>
      <c r="E528" s="22">
        <f t="array" ref="E528">IF($C528="","",IFERROR(INDEX(DATA_MASTER!$I$2:$I$5000,MATCH($C528,DATA_MASTER!$D$2:$D$5000,0)),""))</f>
        <v/>
      </c>
      <c r="F528" s="22">
        <f t="array" ref="F528">IF($C528="","",IFERROR(INDEX(DATA_MASTER!$L$2:$L$5000,MATCH($C528,DATA_MASTER!$D$2:$D$5000,0)),""))</f>
        <v/>
      </c>
      <c r="G528" s="24" t="n"/>
      <c r="H528" s="24" t="n"/>
      <c r="I528" s="30" t="n"/>
      <c r="J528" s="23">
        <f>IF(OR($H528="",$I528=""),"",$H528*$I528)</f>
        <v/>
      </c>
      <c r="K528" s="24" t="n"/>
      <c r="L528" s="24" t="n"/>
      <c r="M528" s="29" t="n"/>
      <c r="N528" s="28" t="n"/>
      <c r="O528" s="24" t="n"/>
      <c r="P528" s="24" t="n"/>
      <c r="Q528" s="24" t="n"/>
      <c r="R528" s="24" t="n"/>
      <c r="S528" s="22">
        <f>IF(AND($A528="",$C528=""),"",IF($A528="","Thiếu mã đơn; ","")&amp;IF(COUNTIF($A$2:$A528,$A528)&gt;1,"Trùng mã đơn; ","")&amp;IF(ISNA(MATCH($C528,DATA_MASTER!$D$2:$D$5000,0)),"SĐT chưa đăng ký hội viên; ","")&amp;IF(AND($L528="Đã chuyển khoản",$M528=""),"Thiếu ngày nhận CK; ",""))</f>
        <v/>
      </c>
      <c r="T528" s="24" t="n"/>
    </row>
    <row r="529" ht="14.25" customHeight="1" s="40">
      <c r="A529" s="24" t="n"/>
      <c r="B529" s="29" t="n"/>
      <c r="C529" s="28" t="n"/>
      <c r="D529" s="22">
        <f t="array" ref="D529">IF($C529="","",IFERROR(INDEX(DATA_MASTER!$C$2:$C$5000,MATCH($C529,DATA_MASTER!$D$2:$D$5000,0)),""))</f>
        <v/>
      </c>
      <c r="E529" s="22">
        <f t="array" ref="E529">IF($C529="","",IFERROR(INDEX(DATA_MASTER!$I$2:$I$5000,MATCH($C529,DATA_MASTER!$D$2:$D$5000,0)),""))</f>
        <v/>
      </c>
      <c r="F529" s="22">
        <f t="array" ref="F529">IF($C529="","",IFERROR(INDEX(DATA_MASTER!$L$2:$L$5000,MATCH($C529,DATA_MASTER!$D$2:$D$5000,0)),""))</f>
        <v/>
      </c>
      <c r="G529" s="24" t="n"/>
      <c r="H529" s="24" t="n"/>
      <c r="I529" s="30" t="n"/>
      <c r="J529" s="23">
        <f>IF(OR($H529="",$I529=""),"",$H529*$I529)</f>
        <v/>
      </c>
      <c r="K529" s="24" t="n"/>
      <c r="L529" s="24" t="n"/>
      <c r="M529" s="29" t="n"/>
      <c r="N529" s="28" t="n"/>
      <c r="O529" s="24" t="n"/>
      <c r="P529" s="24" t="n"/>
      <c r="Q529" s="24" t="n"/>
      <c r="R529" s="24" t="n"/>
      <c r="S529" s="22">
        <f>IF(AND($A529="",$C529=""),"",IF($A529="","Thiếu mã đơn; ","")&amp;IF(COUNTIF($A$2:$A529,$A529)&gt;1,"Trùng mã đơn; ","")&amp;IF(ISNA(MATCH($C529,DATA_MASTER!$D$2:$D$5000,0)),"SĐT chưa đăng ký hội viên; ","")&amp;IF(AND($L529="Đã chuyển khoản",$M529=""),"Thiếu ngày nhận CK; ",""))</f>
        <v/>
      </c>
      <c r="T529" s="24" t="n"/>
    </row>
    <row r="530" ht="14.25" customHeight="1" s="40">
      <c r="A530" s="24" t="n"/>
      <c r="B530" s="29" t="n"/>
      <c r="C530" s="28" t="n"/>
      <c r="D530" s="22">
        <f t="array" ref="D530">IF($C530="","",IFERROR(INDEX(DATA_MASTER!$C$2:$C$5000,MATCH($C530,DATA_MASTER!$D$2:$D$5000,0)),""))</f>
        <v/>
      </c>
      <c r="E530" s="22">
        <f t="array" ref="E530">IF($C530="","",IFERROR(INDEX(DATA_MASTER!$I$2:$I$5000,MATCH($C530,DATA_MASTER!$D$2:$D$5000,0)),""))</f>
        <v/>
      </c>
      <c r="F530" s="22">
        <f t="array" ref="F530">IF($C530="","",IFERROR(INDEX(DATA_MASTER!$L$2:$L$5000,MATCH($C530,DATA_MASTER!$D$2:$D$5000,0)),""))</f>
        <v/>
      </c>
      <c r="G530" s="24" t="n"/>
      <c r="H530" s="24" t="n"/>
      <c r="I530" s="30" t="n"/>
      <c r="J530" s="23">
        <f>IF(OR($H530="",$I530=""),"",$H530*$I530)</f>
        <v/>
      </c>
      <c r="K530" s="24" t="n"/>
      <c r="L530" s="24" t="n"/>
      <c r="M530" s="29" t="n"/>
      <c r="N530" s="28" t="n"/>
      <c r="O530" s="24" t="n"/>
      <c r="P530" s="24" t="n"/>
      <c r="Q530" s="24" t="n"/>
      <c r="R530" s="24" t="n"/>
      <c r="S530" s="22">
        <f>IF(AND($A530="",$C530=""),"",IF($A530="","Thiếu mã đơn; ","")&amp;IF(COUNTIF($A$2:$A530,$A530)&gt;1,"Trùng mã đơn; ","")&amp;IF(ISNA(MATCH($C530,DATA_MASTER!$D$2:$D$5000,0)),"SĐT chưa đăng ký hội viên; ","")&amp;IF(AND($L530="Đã chuyển khoản",$M530=""),"Thiếu ngày nhận CK; ",""))</f>
        <v/>
      </c>
      <c r="T530" s="24" t="n"/>
    </row>
    <row r="531" ht="14.25" customHeight="1" s="40">
      <c r="A531" s="24" t="n"/>
      <c r="B531" s="29" t="n"/>
      <c r="C531" s="28" t="n"/>
      <c r="D531" s="22">
        <f t="array" ref="D531">IF($C531="","",IFERROR(INDEX(DATA_MASTER!$C$2:$C$5000,MATCH($C531,DATA_MASTER!$D$2:$D$5000,0)),""))</f>
        <v/>
      </c>
      <c r="E531" s="22">
        <f t="array" ref="E531">IF($C531="","",IFERROR(INDEX(DATA_MASTER!$I$2:$I$5000,MATCH($C531,DATA_MASTER!$D$2:$D$5000,0)),""))</f>
        <v/>
      </c>
      <c r="F531" s="22">
        <f t="array" ref="F531">IF($C531="","",IFERROR(INDEX(DATA_MASTER!$L$2:$L$5000,MATCH($C531,DATA_MASTER!$D$2:$D$5000,0)),""))</f>
        <v/>
      </c>
      <c r="G531" s="24" t="n"/>
      <c r="H531" s="24" t="n"/>
      <c r="I531" s="30" t="n"/>
      <c r="J531" s="23">
        <f>IF(OR($H531="",$I531=""),"",$H531*$I531)</f>
        <v/>
      </c>
      <c r="K531" s="24" t="n"/>
      <c r="L531" s="24" t="n"/>
      <c r="M531" s="29" t="n"/>
      <c r="N531" s="28" t="n"/>
      <c r="O531" s="24" t="n"/>
      <c r="P531" s="24" t="n"/>
      <c r="Q531" s="24" t="n"/>
      <c r="R531" s="24" t="n"/>
      <c r="S531" s="22">
        <f>IF(AND($A531="",$C531=""),"",IF($A531="","Thiếu mã đơn; ","")&amp;IF(COUNTIF($A$2:$A531,$A531)&gt;1,"Trùng mã đơn; ","")&amp;IF(ISNA(MATCH($C531,DATA_MASTER!$D$2:$D$5000,0)),"SĐT chưa đăng ký hội viên; ","")&amp;IF(AND($L531="Đã chuyển khoản",$M531=""),"Thiếu ngày nhận CK; ",""))</f>
        <v/>
      </c>
      <c r="T531" s="24" t="n"/>
    </row>
    <row r="532" ht="14.25" customHeight="1" s="40">
      <c r="A532" s="24" t="n"/>
      <c r="B532" s="29" t="n"/>
      <c r="C532" s="28" t="n"/>
      <c r="D532" s="22">
        <f t="array" ref="D532">IF($C532="","",IFERROR(INDEX(DATA_MASTER!$C$2:$C$5000,MATCH($C532,DATA_MASTER!$D$2:$D$5000,0)),""))</f>
        <v/>
      </c>
      <c r="E532" s="22">
        <f t="array" ref="E532">IF($C532="","",IFERROR(INDEX(DATA_MASTER!$I$2:$I$5000,MATCH($C532,DATA_MASTER!$D$2:$D$5000,0)),""))</f>
        <v/>
      </c>
      <c r="F532" s="22">
        <f t="array" ref="F532">IF($C532="","",IFERROR(INDEX(DATA_MASTER!$L$2:$L$5000,MATCH($C532,DATA_MASTER!$D$2:$D$5000,0)),""))</f>
        <v/>
      </c>
      <c r="G532" s="24" t="n"/>
      <c r="H532" s="24" t="n"/>
      <c r="I532" s="30" t="n"/>
      <c r="J532" s="23">
        <f>IF(OR($H532="",$I532=""),"",$H532*$I532)</f>
        <v/>
      </c>
      <c r="K532" s="24" t="n"/>
      <c r="L532" s="24" t="n"/>
      <c r="M532" s="29" t="n"/>
      <c r="N532" s="28" t="n"/>
      <c r="O532" s="24" t="n"/>
      <c r="P532" s="24" t="n"/>
      <c r="Q532" s="24" t="n"/>
      <c r="R532" s="24" t="n"/>
      <c r="S532" s="22">
        <f>IF(AND($A532="",$C532=""),"",IF($A532="","Thiếu mã đơn; ","")&amp;IF(COUNTIF($A$2:$A532,$A532)&gt;1,"Trùng mã đơn; ","")&amp;IF(ISNA(MATCH($C532,DATA_MASTER!$D$2:$D$5000,0)),"SĐT chưa đăng ký hội viên; ","")&amp;IF(AND($L532="Đã chuyển khoản",$M532=""),"Thiếu ngày nhận CK; ",""))</f>
        <v/>
      </c>
      <c r="T532" s="24" t="n"/>
    </row>
    <row r="533" ht="14.25" customHeight="1" s="40">
      <c r="A533" s="24" t="n"/>
      <c r="B533" s="29" t="n"/>
      <c r="C533" s="28" t="n"/>
      <c r="D533" s="22">
        <f t="array" ref="D533">IF($C533="","",IFERROR(INDEX(DATA_MASTER!$C$2:$C$5000,MATCH($C533,DATA_MASTER!$D$2:$D$5000,0)),""))</f>
        <v/>
      </c>
      <c r="E533" s="22">
        <f t="array" ref="E533">IF($C533="","",IFERROR(INDEX(DATA_MASTER!$I$2:$I$5000,MATCH($C533,DATA_MASTER!$D$2:$D$5000,0)),""))</f>
        <v/>
      </c>
      <c r="F533" s="22">
        <f t="array" ref="F533">IF($C533="","",IFERROR(INDEX(DATA_MASTER!$L$2:$L$5000,MATCH($C533,DATA_MASTER!$D$2:$D$5000,0)),""))</f>
        <v/>
      </c>
      <c r="G533" s="24" t="n"/>
      <c r="H533" s="24" t="n"/>
      <c r="I533" s="30" t="n"/>
      <c r="J533" s="23">
        <f>IF(OR($H533="",$I533=""),"",$H533*$I533)</f>
        <v/>
      </c>
      <c r="K533" s="24" t="n"/>
      <c r="L533" s="24" t="n"/>
      <c r="M533" s="29" t="n"/>
      <c r="N533" s="28" t="n"/>
      <c r="O533" s="24" t="n"/>
      <c r="P533" s="24" t="n"/>
      <c r="Q533" s="24" t="n"/>
      <c r="R533" s="24" t="n"/>
      <c r="S533" s="22">
        <f>IF(AND($A533="",$C533=""),"",IF($A533="","Thiếu mã đơn; ","")&amp;IF(COUNTIF($A$2:$A533,$A533)&gt;1,"Trùng mã đơn; ","")&amp;IF(ISNA(MATCH($C533,DATA_MASTER!$D$2:$D$5000,0)),"SĐT chưa đăng ký hội viên; ","")&amp;IF(AND($L533="Đã chuyển khoản",$M533=""),"Thiếu ngày nhận CK; ",""))</f>
        <v/>
      </c>
      <c r="T533" s="24" t="n"/>
    </row>
    <row r="534" ht="14.25" customHeight="1" s="40">
      <c r="A534" s="24" t="n"/>
      <c r="B534" s="29" t="n"/>
      <c r="C534" s="28" t="n"/>
      <c r="D534" s="22">
        <f t="array" ref="D534">IF($C534="","",IFERROR(INDEX(DATA_MASTER!$C$2:$C$5000,MATCH($C534,DATA_MASTER!$D$2:$D$5000,0)),""))</f>
        <v/>
      </c>
      <c r="E534" s="22">
        <f t="array" ref="E534">IF($C534="","",IFERROR(INDEX(DATA_MASTER!$I$2:$I$5000,MATCH($C534,DATA_MASTER!$D$2:$D$5000,0)),""))</f>
        <v/>
      </c>
      <c r="F534" s="22">
        <f t="array" ref="F534">IF($C534="","",IFERROR(INDEX(DATA_MASTER!$L$2:$L$5000,MATCH($C534,DATA_MASTER!$D$2:$D$5000,0)),""))</f>
        <v/>
      </c>
      <c r="G534" s="24" t="n"/>
      <c r="H534" s="24" t="n"/>
      <c r="I534" s="30" t="n"/>
      <c r="J534" s="23">
        <f>IF(OR($H534="",$I534=""),"",$H534*$I534)</f>
        <v/>
      </c>
      <c r="K534" s="24" t="n"/>
      <c r="L534" s="24" t="n"/>
      <c r="M534" s="29" t="n"/>
      <c r="N534" s="28" t="n"/>
      <c r="O534" s="24" t="n"/>
      <c r="P534" s="24" t="n"/>
      <c r="Q534" s="24" t="n"/>
      <c r="R534" s="24" t="n"/>
      <c r="S534" s="22">
        <f>IF(AND($A534="",$C534=""),"",IF($A534="","Thiếu mã đơn; ","")&amp;IF(COUNTIF($A$2:$A534,$A534)&gt;1,"Trùng mã đơn; ","")&amp;IF(ISNA(MATCH($C534,DATA_MASTER!$D$2:$D$5000,0)),"SĐT chưa đăng ký hội viên; ","")&amp;IF(AND($L534="Đã chuyển khoản",$M534=""),"Thiếu ngày nhận CK; ",""))</f>
        <v/>
      </c>
      <c r="T534" s="24" t="n"/>
    </row>
    <row r="535" ht="14.25" customHeight="1" s="40">
      <c r="A535" s="24" t="n"/>
      <c r="B535" s="29" t="n"/>
      <c r="C535" s="28" t="n"/>
      <c r="D535" s="22">
        <f t="array" ref="D535">IF($C535="","",IFERROR(INDEX(DATA_MASTER!$C$2:$C$5000,MATCH($C535,DATA_MASTER!$D$2:$D$5000,0)),""))</f>
        <v/>
      </c>
      <c r="E535" s="22">
        <f t="array" ref="E535">IF($C535="","",IFERROR(INDEX(DATA_MASTER!$I$2:$I$5000,MATCH($C535,DATA_MASTER!$D$2:$D$5000,0)),""))</f>
        <v/>
      </c>
      <c r="F535" s="22">
        <f t="array" ref="F535">IF($C535="","",IFERROR(INDEX(DATA_MASTER!$L$2:$L$5000,MATCH($C535,DATA_MASTER!$D$2:$D$5000,0)),""))</f>
        <v/>
      </c>
      <c r="G535" s="24" t="n"/>
      <c r="H535" s="24" t="n"/>
      <c r="I535" s="30" t="n"/>
      <c r="J535" s="23">
        <f>IF(OR($H535="",$I535=""),"",$H535*$I535)</f>
        <v/>
      </c>
      <c r="K535" s="24" t="n"/>
      <c r="L535" s="24" t="n"/>
      <c r="M535" s="29" t="n"/>
      <c r="N535" s="28" t="n"/>
      <c r="O535" s="24" t="n"/>
      <c r="P535" s="24" t="n"/>
      <c r="Q535" s="24" t="n"/>
      <c r="R535" s="24" t="n"/>
      <c r="S535" s="22">
        <f>IF(AND($A535="",$C535=""),"",IF($A535="","Thiếu mã đơn; ","")&amp;IF(COUNTIF($A$2:$A535,$A535)&gt;1,"Trùng mã đơn; ","")&amp;IF(ISNA(MATCH($C535,DATA_MASTER!$D$2:$D$5000,0)),"SĐT chưa đăng ký hội viên; ","")&amp;IF(AND($L535="Đã chuyển khoản",$M535=""),"Thiếu ngày nhận CK; ",""))</f>
        <v/>
      </c>
      <c r="T535" s="24" t="n"/>
    </row>
    <row r="536" ht="14.25" customHeight="1" s="40">
      <c r="A536" s="24" t="n"/>
      <c r="B536" s="29" t="n"/>
      <c r="C536" s="28" t="n"/>
      <c r="D536" s="22">
        <f t="array" ref="D536">IF($C536="","",IFERROR(INDEX(DATA_MASTER!$C$2:$C$5000,MATCH($C536,DATA_MASTER!$D$2:$D$5000,0)),""))</f>
        <v/>
      </c>
      <c r="E536" s="22">
        <f t="array" ref="E536">IF($C536="","",IFERROR(INDEX(DATA_MASTER!$I$2:$I$5000,MATCH($C536,DATA_MASTER!$D$2:$D$5000,0)),""))</f>
        <v/>
      </c>
      <c r="F536" s="22">
        <f t="array" ref="F536">IF($C536="","",IFERROR(INDEX(DATA_MASTER!$L$2:$L$5000,MATCH($C536,DATA_MASTER!$D$2:$D$5000,0)),""))</f>
        <v/>
      </c>
      <c r="G536" s="24" t="n"/>
      <c r="H536" s="24" t="n"/>
      <c r="I536" s="30" t="n"/>
      <c r="J536" s="23">
        <f>IF(OR($H536="",$I536=""),"",$H536*$I536)</f>
        <v/>
      </c>
      <c r="K536" s="24" t="n"/>
      <c r="L536" s="24" t="n"/>
      <c r="M536" s="29" t="n"/>
      <c r="N536" s="28" t="n"/>
      <c r="O536" s="24" t="n"/>
      <c r="P536" s="24" t="n"/>
      <c r="Q536" s="24" t="n"/>
      <c r="R536" s="24" t="n"/>
      <c r="S536" s="22">
        <f>IF(AND($A536="",$C536=""),"",IF($A536="","Thiếu mã đơn; ","")&amp;IF(COUNTIF($A$2:$A536,$A536)&gt;1,"Trùng mã đơn; ","")&amp;IF(ISNA(MATCH($C536,DATA_MASTER!$D$2:$D$5000,0)),"SĐT chưa đăng ký hội viên; ","")&amp;IF(AND($L536="Đã chuyển khoản",$M536=""),"Thiếu ngày nhận CK; ",""))</f>
        <v/>
      </c>
      <c r="T536" s="24" t="n"/>
    </row>
    <row r="537" ht="14.25" customHeight="1" s="40">
      <c r="A537" s="24" t="n"/>
      <c r="B537" s="29" t="n"/>
      <c r="C537" s="28" t="n"/>
      <c r="D537" s="22">
        <f t="array" ref="D537">IF($C537="","",IFERROR(INDEX(DATA_MASTER!$C$2:$C$5000,MATCH($C537,DATA_MASTER!$D$2:$D$5000,0)),""))</f>
        <v/>
      </c>
      <c r="E537" s="22">
        <f t="array" ref="E537">IF($C537="","",IFERROR(INDEX(DATA_MASTER!$I$2:$I$5000,MATCH($C537,DATA_MASTER!$D$2:$D$5000,0)),""))</f>
        <v/>
      </c>
      <c r="F537" s="22">
        <f t="array" ref="F537">IF($C537="","",IFERROR(INDEX(DATA_MASTER!$L$2:$L$5000,MATCH($C537,DATA_MASTER!$D$2:$D$5000,0)),""))</f>
        <v/>
      </c>
      <c r="G537" s="24" t="n"/>
      <c r="H537" s="24" t="n"/>
      <c r="I537" s="30" t="n"/>
      <c r="J537" s="23">
        <f>IF(OR($H537="",$I537=""),"",$H537*$I537)</f>
        <v/>
      </c>
      <c r="K537" s="24" t="n"/>
      <c r="L537" s="24" t="n"/>
      <c r="M537" s="29" t="n"/>
      <c r="N537" s="28" t="n"/>
      <c r="O537" s="24" t="n"/>
      <c r="P537" s="24" t="n"/>
      <c r="Q537" s="24" t="n"/>
      <c r="R537" s="24" t="n"/>
      <c r="S537" s="22">
        <f>IF(AND($A537="",$C537=""),"",IF($A537="","Thiếu mã đơn; ","")&amp;IF(COUNTIF($A$2:$A537,$A537)&gt;1,"Trùng mã đơn; ","")&amp;IF(ISNA(MATCH($C537,DATA_MASTER!$D$2:$D$5000,0)),"SĐT chưa đăng ký hội viên; ","")&amp;IF(AND($L537="Đã chuyển khoản",$M537=""),"Thiếu ngày nhận CK; ",""))</f>
        <v/>
      </c>
      <c r="T537" s="24" t="n"/>
    </row>
    <row r="538" ht="14.25" customHeight="1" s="40">
      <c r="A538" s="24" t="n"/>
      <c r="B538" s="29" t="n"/>
      <c r="C538" s="28" t="n"/>
      <c r="D538" s="22">
        <f t="array" ref="D538">IF($C538="","",IFERROR(INDEX(DATA_MASTER!$C$2:$C$5000,MATCH($C538,DATA_MASTER!$D$2:$D$5000,0)),""))</f>
        <v/>
      </c>
      <c r="E538" s="22">
        <f t="array" ref="E538">IF($C538="","",IFERROR(INDEX(DATA_MASTER!$I$2:$I$5000,MATCH($C538,DATA_MASTER!$D$2:$D$5000,0)),""))</f>
        <v/>
      </c>
      <c r="F538" s="22">
        <f t="array" ref="F538">IF($C538="","",IFERROR(INDEX(DATA_MASTER!$L$2:$L$5000,MATCH($C538,DATA_MASTER!$D$2:$D$5000,0)),""))</f>
        <v/>
      </c>
      <c r="G538" s="24" t="n"/>
      <c r="H538" s="24" t="n"/>
      <c r="I538" s="30" t="n"/>
      <c r="J538" s="23">
        <f>IF(OR($H538="",$I538=""),"",$H538*$I538)</f>
        <v/>
      </c>
      <c r="K538" s="24" t="n"/>
      <c r="L538" s="24" t="n"/>
      <c r="M538" s="29" t="n"/>
      <c r="N538" s="28" t="n"/>
      <c r="O538" s="24" t="n"/>
      <c r="P538" s="24" t="n"/>
      <c r="Q538" s="24" t="n"/>
      <c r="R538" s="24" t="n"/>
      <c r="S538" s="22">
        <f>IF(AND($A538="",$C538=""),"",IF($A538="","Thiếu mã đơn; ","")&amp;IF(COUNTIF($A$2:$A538,$A538)&gt;1,"Trùng mã đơn; ","")&amp;IF(ISNA(MATCH($C538,DATA_MASTER!$D$2:$D$5000,0)),"SĐT chưa đăng ký hội viên; ","")&amp;IF(AND($L538="Đã chuyển khoản",$M538=""),"Thiếu ngày nhận CK; ",""))</f>
        <v/>
      </c>
      <c r="T538" s="24" t="n"/>
    </row>
    <row r="539" ht="14.25" customHeight="1" s="40">
      <c r="A539" s="24" t="n"/>
      <c r="B539" s="29" t="n"/>
      <c r="C539" s="28" t="n"/>
      <c r="D539" s="22">
        <f t="array" ref="D539">IF($C539="","",IFERROR(INDEX(DATA_MASTER!$C$2:$C$5000,MATCH($C539,DATA_MASTER!$D$2:$D$5000,0)),""))</f>
        <v/>
      </c>
      <c r="E539" s="22">
        <f t="array" ref="E539">IF($C539="","",IFERROR(INDEX(DATA_MASTER!$I$2:$I$5000,MATCH($C539,DATA_MASTER!$D$2:$D$5000,0)),""))</f>
        <v/>
      </c>
      <c r="F539" s="22">
        <f t="array" ref="F539">IF($C539="","",IFERROR(INDEX(DATA_MASTER!$L$2:$L$5000,MATCH($C539,DATA_MASTER!$D$2:$D$5000,0)),""))</f>
        <v/>
      </c>
      <c r="G539" s="24" t="n"/>
      <c r="H539" s="24" t="n"/>
      <c r="I539" s="30" t="n"/>
      <c r="J539" s="23">
        <f>IF(OR($H539="",$I539=""),"",$H539*$I539)</f>
        <v/>
      </c>
      <c r="K539" s="24" t="n"/>
      <c r="L539" s="24" t="n"/>
      <c r="M539" s="29" t="n"/>
      <c r="N539" s="28" t="n"/>
      <c r="O539" s="24" t="n"/>
      <c r="P539" s="24" t="n"/>
      <c r="Q539" s="24" t="n"/>
      <c r="R539" s="24" t="n"/>
      <c r="S539" s="22">
        <f>IF(AND($A539="",$C539=""),"",IF($A539="","Thiếu mã đơn; ","")&amp;IF(COUNTIF($A$2:$A539,$A539)&gt;1,"Trùng mã đơn; ","")&amp;IF(ISNA(MATCH($C539,DATA_MASTER!$D$2:$D$5000,0)),"SĐT chưa đăng ký hội viên; ","")&amp;IF(AND($L539="Đã chuyển khoản",$M539=""),"Thiếu ngày nhận CK; ",""))</f>
        <v/>
      </c>
      <c r="T539" s="24" t="n"/>
    </row>
    <row r="540" ht="14.25" customHeight="1" s="40">
      <c r="A540" s="24" t="n"/>
      <c r="B540" s="29" t="n"/>
      <c r="C540" s="28" t="n"/>
      <c r="D540" s="22">
        <f t="array" ref="D540">IF($C540="","",IFERROR(INDEX(DATA_MASTER!$C$2:$C$5000,MATCH($C540,DATA_MASTER!$D$2:$D$5000,0)),""))</f>
        <v/>
      </c>
      <c r="E540" s="22">
        <f t="array" ref="E540">IF($C540="","",IFERROR(INDEX(DATA_MASTER!$I$2:$I$5000,MATCH($C540,DATA_MASTER!$D$2:$D$5000,0)),""))</f>
        <v/>
      </c>
      <c r="F540" s="22">
        <f t="array" ref="F540">IF($C540="","",IFERROR(INDEX(DATA_MASTER!$L$2:$L$5000,MATCH($C540,DATA_MASTER!$D$2:$D$5000,0)),""))</f>
        <v/>
      </c>
      <c r="G540" s="24" t="n"/>
      <c r="H540" s="24" t="n"/>
      <c r="I540" s="30" t="n"/>
      <c r="J540" s="23">
        <f>IF(OR($H540="",$I540=""),"",$H540*$I540)</f>
        <v/>
      </c>
      <c r="K540" s="24" t="n"/>
      <c r="L540" s="24" t="n"/>
      <c r="M540" s="29" t="n"/>
      <c r="N540" s="28" t="n"/>
      <c r="O540" s="24" t="n"/>
      <c r="P540" s="24" t="n"/>
      <c r="Q540" s="24" t="n"/>
      <c r="R540" s="24" t="n"/>
      <c r="S540" s="22">
        <f>IF(AND($A540="",$C540=""),"",IF($A540="","Thiếu mã đơn; ","")&amp;IF(COUNTIF($A$2:$A540,$A540)&gt;1,"Trùng mã đơn; ","")&amp;IF(ISNA(MATCH($C540,DATA_MASTER!$D$2:$D$5000,0)),"SĐT chưa đăng ký hội viên; ","")&amp;IF(AND($L540="Đã chuyển khoản",$M540=""),"Thiếu ngày nhận CK; ",""))</f>
        <v/>
      </c>
      <c r="T540" s="24" t="n"/>
    </row>
    <row r="541" ht="14.25" customHeight="1" s="40">
      <c r="A541" s="24" t="n"/>
      <c r="B541" s="29" t="n"/>
      <c r="C541" s="28" t="n"/>
      <c r="D541" s="22">
        <f t="array" ref="D541">IF($C541="","",IFERROR(INDEX(DATA_MASTER!$C$2:$C$5000,MATCH($C541,DATA_MASTER!$D$2:$D$5000,0)),""))</f>
        <v/>
      </c>
      <c r="E541" s="22">
        <f t="array" ref="E541">IF($C541="","",IFERROR(INDEX(DATA_MASTER!$I$2:$I$5000,MATCH($C541,DATA_MASTER!$D$2:$D$5000,0)),""))</f>
        <v/>
      </c>
      <c r="F541" s="22">
        <f t="array" ref="F541">IF($C541="","",IFERROR(INDEX(DATA_MASTER!$L$2:$L$5000,MATCH($C541,DATA_MASTER!$D$2:$D$5000,0)),""))</f>
        <v/>
      </c>
      <c r="G541" s="24" t="n"/>
      <c r="H541" s="24" t="n"/>
      <c r="I541" s="30" t="n"/>
      <c r="J541" s="23">
        <f>IF(OR($H541="",$I541=""),"",$H541*$I541)</f>
        <v/>
      </c>
      <c r="K541" s="24" t="n"/>
      <c r="L541" s="24" t="n"/>
      <c r="M541" s="29" t="n"/>
      <c r="N541" s="28" t="n"/>
      <c r="O541" s="24" t="n"/>
      <c r="P541" s="24" t="n"/>
      <c r="Q541" s="24" t="n"/>
      <c r="R541" s="24" t="n"/>
      <c r="S541" s="22">
        <f>IF(AND($A541="",$C541=""),"",IF($A541="","Thiếu mã đơn; ","")&amp;IF(COUNTIF($A$2:$A541,$A541)&gt;1,"Trùng mã đơn; ","")&amp;IF(ISNA(MATCH($C541,DATA_MASTER!$D$2:$D$5000,0)),"SĐT chưa đăng ký hội viên; ","")&amp;IF(AND($L541="Đã chuyển khoản",$M541=""),"Thiếu ngày nhận CK; ",""))</f>
        <v/>
      </c>
      <c r="T541" s="24" t="n"/>
    </row>
    <row r="542" ht="14.25" customHeight="1" s="40">
      <c r="A542" s="24" t="n"/>
      <c r="B542" s="29" t="n"/>
      <c r="C542" s="28" t="n"/>
      <c r="D542" s="22">
        <f t="array" ref="D542">IF($C542="","",IFERROR(INDEX(DATA_MASTER!$C$2:$C$5000,MATCH($C542,DATA_MASTER!$D$2:$D$5000,0)),""))</f>
        <v/>
      </c>
      <c r="E542" s="22">
        <f t="array" ref="E542">IF($C542="","",IFERROR(INDEX(DATA_MASTER!$I$2:$I$5000,MATCH($C542,DATA_MASTER!$D$2:$D$5000,0)),""))</f>
        <v/>
      </c>
      <c r="F542" s="22">
        <f t="array" ref="F542">IF($C542="","",IFERROR(INDEX(DATA_MASTER!$L$2:$L$5000,MATCH($C542,DATA_MASTER!$D$2:$D$5000,0)),""))</f>
        <v/>
      </c>
      <c r="G542" s="24" t="n"/>
      <c r="H542" s="24" t="n"/>
      <c r="I542" s="30" t="n"/>
      <c r="J542" s="23">
        <f>IF(OR($H542="",$I542=""),"",$H542*$I542)</f>
        <v/>
      </c>
      <c r="K542" s="24" t="n"/>
      <c r="L542" s="24" t="n"/>
      <c r="M542" s="29" t="n"/>
      <c r="N542" s="28" t="n"/>
      <c r="O542" s="24" t="n"/>
      <c r="P542" s="24" t="n"/>
      <c r="Q542" s="24" t="n"/>
      <c r="R542" s="24" t="n"/>
      <c r="S542" s="22">
        <f>IF(AND($A542="",$C542=""),"",IF($A542="","Thiếu mã đơn; ","")&amp;IF(COUNTIF($A$2:$A542,$A542)&gt;1,"Trùng mã đơn; ","")&amp;IF(ISNA(MATCH($C542,DATA_MASTER!$D$2:$D$5000,0)),"SĐT chưa đăng ký hội viên; ","")&amp;IF(AND($L542="Đã chuyển khoản",$M542=""),"Thiếu ngày nhận CK; ",""))</f>
        <v/>
      </c>
      <c r="T542" s="24" t="n"/>
    </row>
    <row r="543" ht="14.25" customHeight="1" s="40">
      <c r="A543" s="24" t="n"/>
      <c r="B543" s="29" t="n"/>
      <c r="C543" s="28" t="n"/>
      <c r="D543" s="22">
        <f t="array" ref="D543">IF($C543="","",IFERROR(INDEX(DATA_MASTER!$C$2:$C$5000,MATCH($C543,DATA_MASTER!$D$2:$D$5000,0)),""))</f>
        <v/>
      </c>
      <c r="E543" s="22">
        <f t="array" ref="E543">IF($C543="","",IFERROR(INDEX(DATA_MASTER!$I$2:$I$5000,MATCH($C543,DATA_MASTER!$D$2:$D$5000,0)),""))</f>
        <v/>
      </c>
      <c r="F543" s="22">
        <f t="array" ref="F543">IF($C543="","",IFERROR(INDEX(DATA_MASTER!$L$2:$L$5000,MATCH($C543,DATA_MASTER!$D$2:$D$5000,0)),""))</f>
        <v/>
      </c>
      <c r="G543" s="24" t="n"/>
      <c r="H543" s="24" t="n"/>
      <c r="I543" s="30" t="n"/>
      <c r="J543" s="23">
        <f>IF(OR($H543="",$I543=""),"",$H543*$I543)</f>
        <v/>
      </c>
      <c r="K543" s="24" t="n"/>
      <c r="L543" s="24" t="n"/>
      <c r="M543" s="29" t="n"/>
      <c r="N543" s="28" t="n"/>
      <c r="O543" s="24" t="n"/>
      <c r="P543" s="24" t="n"/>
      <c r="Q543" s="24" t="n"/>
      <c r="R543" s="24" t="n"/>
      <c r="S543" s="22">
        <f>IF(AND($A543="",$C543=""),"",IF($A543="","Thiếu mã đơn; ","")&amp;IF(COUNTIF($A$2:$A543,$A543)&gt;1,"Trùng mã đơn; ","")&amp;IF(ISNA(MATCH($C543,DATA_MASTER!$D$2:$D$5000,0)),"SĐT chưa đăng ký hội viên; ","")&amp;IF(AND($L543="Đã chuyển khoản",$M543=""),"Thiếu ngày nhận CK; ",""))</f>
        <v/>
      </c>
      <c r="T543" s="24" t="n"/>
    </row>
    <row r="544" ht="14.25" customHeight="1" s="40">
      <c r="A544" s="24" t="n"/>
      <c r="B544" s="29" t="n"/>
      <c r="C544" s="28" t="n"/>
      <c r="D544" s="22">
        <f t="array" ref="D544">IF($C544="","",IFERROR(INDEX(DATA_MASTER!$C$2:$C$5000,MATCH($C544,DATA_MASTER!$D$2:$D$5000,0)),""))</f>
        <v/>
      </c>
      <c r="E544" s="22">
        <f t="array" ref="E544">IF($C544="","",IFERROR(INDEX(DATA_MASTER!$I$2:$I$5000,MATCH($C544,DATA_MASTER!$D$2:$D$5000,0)),""))</f>
        <v/>
      </c>
      <c r="F544" s="22">
        <f t="array" ref="F544">IF($C544="","",IFERROR(INDEX(DATA_MASTER!$L$2:$L$5000,MATCH($C544,DATA_MASTER!$D$2:$D$5000,0)),""))</f>
        <v/>
      </c>
      <c r="G544" s="24" t="n"/>
      <c r="H544" s="24" t="n"/>
      <c r="I544" s="30" t="n"/>
      <c r="J544" s="23">
        <f>IF(OR($H544="",$I544=""),"",$H544*$I544)</f>
        <v/>
      </c>
      <c r="K544" s="24" t="n"/>
      <c r="L544" s="24" t="n"/>
      <c r="M544" s="29" t="n"/>
      <c r="N544" s="28" t="n"/>
      <c r="O544" s="24" t="n"/>
      <c r="P544" s="24" t="n"/>
      <c r="Q544" s="24" t="n"/>
      <c r="R544" s="24" t="n"/>
      <c r="S544" s="22">
        <f>IF(AND($A544="",$C544=""),"",IF($A544="","Thiếu mã đơn; ","")&amp;IF(COUNTIF($A$2:$A544,$A544)&gt;1,"Trùng mã đơn; ","")&amp;IF(ISNA(MATCH($C544,DATA_MASTER!$D$2:$D$5000,0)),"SĐT chưa đăng ký hội viên; ","")&amp;IF(AND($L544="Đã chuyển khoản",$M544=""),"Thiếu ngày nhận CK; ",""))</f>
        <v/>
      </c>
      <c r="T544" s="24" t="n"/>
    </row>
    <row r="545" ht="14.25" customHeight="1" s="40">
      <c r="A545" s="24" t="n"/>
      <c r="B545" s="29" t="n"/>
      <c r="C545" s="28" t="n"/>
      <c r="D545" s="22">
        <f t="array" ref="D545">IF($C545="","",IFERROR(INDEX(DATA_MASTER!$C$2:$C$5000,MATCH($C545,DATA_MASTER!$D$2:$D$5000,0)),""))</f>
        <v/>
      </c>
      <c r="E545" s="22">
        <f t="array" ref="E545">IF($C545="","",IFERROR(INDEX(DATA_MASTER!$I$2:$I$5000,MATCH($C545,DATA_MASTER!$D$2:$D$5000,0)),""))</f>
        <v/>
      </c>
      <c r="F545" s="22">
        <f t="array" ref="F545">IF($C545="","",IFERROR(INDEX(DATA_MASTER!$L$2:$L$5000,MATCH($C545,DATA_MASTER!$D$2:$D$5000,0)),""))</f>
        <v/>
      </c>
      <c r="G545" s="24" t="n"/>
      <c r="H545" s="24" t="n"/>
      <c r="I545" s="30" t="n"/>
      <c r="J545" s="23">
        <f>IF(OR($H545="",$I545=""),"",$H545*$I545)</f>
        <v/>
      </c>
      <c r="K545" s="24" t="n"/>
      <c r="L545" s="24" t="n"/>
      <c r="M545" s="29" t="n"/>
      <c r="N545" s="28" t="n"/>
      <c r="O545" s="24" t="n"/>
      <c r="P545" s="24" t="n"/>
      <c r="Q545" s="24" t="n"/>
      <c r="R545" s="24" t="n"/>
      <c r="S545" s="22">
        <f>IF(AND($A545="",$C545=""),"",IF($A545="","Thiếu mã đơn; ","")&amp;IF(COUNTIF($A$2:$A545,$A545)&gt;1,"Trùng mã đơn; ","")&amp;IF(ISNA(MATCH($C545,DATA_MASTER!$D$2:$D$5000,0)),"SĐT chưa đăng ký hội viên; ","")&amp;IF(AND($L545="Đã chuyển khoản",$M545=""),"Thiếu ngày nhận CK; ",""))</f>
        <v/>
      </c>
      <c r="T545" s="24" t="n"/>
    </row>
    <row r="546" ht="14.25" customHeight="1" s="40">
      <c r="A546" s="24" t="n"/>
      <c r="B546" s="29" t="n"/>
      <c r="C546" s="28" t="n"/>
      <c r="D546" s="22">
        <f t="array" ref="D546">IF($C546="","",IFERROR(INDEX(DATA_MASTER!$C$2:$C$5000,MATCH($C546,DATA_MASTER!$D$2:$D$5000,0)),""))</f>
        <v/>
      </c>
      <c r="E546" s="22">
        <f t="array" ref="E546">IF($C546="","",IFERROR(INDEX(DATA_MASTER!$I$2:$I$5000,MATCH($C546,DATA_MASTER!$D$2:$D$5000,0)),""))</f>
        <v/>
      </c>
      <c r="F546" s="22">
        <f t="array" ref="F546">IF($C546="","",IFERROR(INDEX(DATA_MASTER!$L$2:$L$5000,MATCH($C546,DATA_MASTER!$D$2:$D$5000,0)),""))</f>
        <v/>
      </c>
      <c r="G546" s="24" t="n"/>
      <c r="H546" s="24" t="n"/>
      <c r="I546" s="30" t="n"/>
      <c r="J546" s="23">
        <f>IF(OR($H546="",$I546=""),"",$H546*$I546)</f>
        <v/>
      </c>
      <c r="K546" s="24" t="n"/>
      <c r="L546" s="24" t="n"/>
      <c r="M546" s="29" t="n"/>
      <c r="N546" s="28" t="n"/>
      <c r="O546" s="24" t="n"/>
      <c r="P546" s="24" t="n"/>
      <c r="Q546" s="24" t="n"/>
      <c r="R546" s="24" t="n"/>
      <c r="S546" s="22">
        <f>IF(AND($A546="",$C546=""),"",IF($A546="","Thiếu mã đơn; ","")&amp;IF(COUNTIF($A$2:$A546,$A546)&gt;1,"Trùng mã đơn; ","")&amp;IF(ISNA(MATCH($C546,DATA_MASTER!$D$2:$D$5000,0)),"SĐT chưa đăng ký hội viên; ","")&amp;IF(AND($L546="Đã chuyển khoản",$M546=""),"Thiếu ngày nhận CK; ",""))</f>
        <v/>
      </c>
      <c r="T546" s="24" t="n"/>
    </row>
    <row r="547" ht="14.25" customHeight="1" s="40">
      <c r="A547" s="24" t="n"/>
      <c r="B547" s="29" t="n"/>
      <c r="C547" s="28" t="n"/>
      <c r="D547" s="22">
        <f t="array" ref="D547">IF($C547="","",IFERROR(INDEX(DATA_MASTER!$C$2:$C$5000,MATCH($C547,DATA_MASTER!$D$2:$D$5000,0)),""))</f>
        <v/>
      </c>
      <c r="E547" s="22">
        <f t="array" ref="E547">IF($C547="","",IFERROR(INDEX(DATA_MASTER!$I$2:$I$5000,MATCH($C547,DATA_MASTER!$D$2:$D$5000,0)),""))</f>
        <v/>
      </c>
      <c r="F547" s="22">
        <f t="array" ref="F547">IF($C547="","",IFERROR(INDEX(DATA_MASTER!$L$2:$L$5000,MATCH($C547,DATA_MASTER!$D$2:$D$5000,0)),""))</f>
        <v/>
      </c>
      <c r="G547" s="24" t="n"/>
      <c r="H547" s="24" t="n"/>
      <c r="I547" s="30" t="n"/>
      <c r="J547" s="23">
        <f>IF(OR($H547="",$I547=""),"",$H547*$I547)</f>
        <v/>
      </c>
      <c r="K547" s="24" t="n"/>
      <c r="L547" s="24" t="n"/>
      <c r="M547" s="29" t="n"/>
      <c r="N547" s="28" t="n"/>
      <c r="O547" s="24" t="n"/>
      <c r="P547" s="24" t="n"/>
      <c r="Q547" s="24" t="n"/>
      <c r="R547" s="24" t="n"/>
      <c r="S547" s="22">
        <f>IF(AND($A547="",$C547=""),"",IF($A547="","Thiếu mã đơn; ","")&amp;IF(COUNTIF($A$2:$A547,$A547)&gt;1,"Trùng mã đơn; ","")&amp;IF(ISNA(MATCH($C547,DATA_MASTER!$D$2:$D$5000,0)),"SĐT chưa đăng ký hội viên; ","")&amp;IF(AND($L547="Đã chuyển khoản",$M547=""),"Thiếu ngày nhận CK; ",""))</f>
        <v/>
      </c>
      <c r="T547" s="24" t="n"/>
    </row>
    <row r="548" ht="14.25" customHeight="1" s="40">
      <c r="A548" s="24" t="n"/>
      <c r="B548" s="29" t="n"/>
      <c r="C548" s="28" t="n"/>
      <c r="D548" s="22">
        <f t="array" ref="D548">IF($C548="","",IFERROR(INDEX(DATA_MASTER!$C$2:$C$5000,MATCH($C548,DATA_MASTER!$D$2:$D$5000,0)),""))</f>
        <v/>
      </c>
      <c r="E548" s="22">
        <f t="array" ref="E548">IF($C548="","",IFERROR(INDEX(DATA_MASTER!$I$2:$I$5000,MATCH($C548,DATA_MASTER!$D$2:$D$5000,0)),""))</f>
        <v/>
      </c>
      <c r="F548" s="22">
        <f t="array" ref="F548">IF($C548="","",IFERROR(INDEX(DATA_MASTER!$L$2:$L$5000,MATCH($C548,DATA_MASTER!$D$2:$D$5000,0)),""))</f>
        <v/>
      </c>
      <c r="G548" s="24" t="n"/>
      <c r="H548" s="24" t="n"/>
      <c r="I548" s="30" t="n"/>
      <c r="J548" s="23">
        <f>IF(OR($H548="",$I548=""),"",$H548*$I548)</f>
        <v/>
      </c>
      <c r="K548" s="24" t="n"/>
      <c r="L548" s="24" t="n"/>
      <c r="M548" s="29" t="n"/>
      <c r="N548" s="28" t="n"/>
      <c r="O548" s="24" t="n"/>
      <c r="P548" s="24" t="n"/>
      <c r="Q548" s="24" t="n"/>
      <c r="R548" s="24" t="n"/>
      <c r="S548" s="22">
        <f>IF(AND($A548="",$C548=""),"",IF($A548="","Thiếu mã đơn; ","")&amp;IF(COUNTIF($A$2:$A548,$A548)&gt;1,"Trùng mã đơn; ","")&amp;IF(ISNA(MATCH($C548,DATA_MASTER!$D$2:$D$5000,0)),"SĐT chưa đăng ký hội viên; ","")&amp;IF(AND($L548="Đã chuyển khoản",$M548=""),"Thiếu ngày nhận CK; ",""))</f>
        <v/>
      </c>
      <c r="T548" s="24" t="n"/>
    </row>
    <row r="549" ht="14.25" customHeight="1" s="40">
      <c r="A549" s="24" t="n"/>
      <c r="B549" s="29" t="n"/>
      <c r="C549" s="28" t="n"/>
      <c r="D549" s="22">
        <f t="array" ref="D549">IF($C549="","",IFERROR(INDEX(DATA_MASTER!$C$2:$C$5000,MATCH($C549,DATA_MASTER!$D$2:$D$5000,0)),""))</f>
        <v/>
      </c>
      <c r="E549" s="22">
        <f t="array" ref="E549">IF($C549="","",IFERROR(INDEX(DATA_MASTER!$I$2:$I$5000,MATCH($C549,DATA_MASTER!$D$2:$D$5000,0)),""))</f>
        <v/>
      </c>
      <c r="F549" s="22">
        <f t="array" ref="F549">IF($C549="","",IFERROR(INDEX(DATA_MASTER!$L$2:$L$5000,MATCH($C549,DATA_MASTER!$D$2:$D$5000,0)),""))</f>
        <v/>
      </c>
      <c r="G549" s="24" t="n"/>
      <c r="H549" s="24" t="n"/>
      <c r="I549" s="30" t="n"/>
      <c r="J549" s="23">
        <f>IF(OR($H549="",$I549=""),"",$H549*$I549)</f>
        <v/>
      </c>
      <c r="K549" s="24" t="n"/>
      <c r="L549" s="24" t="n"/>
      <c r="M549" s="29" t="n"/>
      <c r="N549" s="28" t="n"/>
      <c r="O549" s="24" t="n"/>
      <c r="P549" s="24" t="n"/>
      <c r="Q549" s="24" t="n"/>
      <c r="R549" s="24" t="n"/>
      <c r="S549" s="22">
        <f>IF(AND($A549="",$C549=""),"",IF($A549="","Thiếu mã đơn; ","")&amp;IF(COUNTIF($A$2:$A549,$A549)&gt;1,"Trùng mã đơn; ","")&amp;IF(ISNA(MATCH($C549,DATA_MASTER!$D$2:$D$5000,0)),"SĐT chưa đăng ký hội viên; ","")&amp;IF(AND($L549="Đã chuyển khoản",$M549=""),"Thiếu ngày nhận CK; ",""))</f>
        <v/>
      </c>
      <c r="T549" s="24" t="n"/>
    </row>
    <row r="550" ht="14.25" customHeight="1" s="40">
      <c r="A550" s="24" t="n"/>
      <c r="B550" s="29" t="n"/>
      <c r="C550" s="28" t="n"/>
      <c r="D550" s="22">
        <f t="array" ref="D550">IF($C550="","",IFERROR(INDEX(DATA_MASTER!$C$2:$C$5000,MATCH($C550,DATA_MASTER!$D$2:$D$5000,0)),""))</f>
        <v/>
      </c>
      <c r="E550" s="22">
        <f t="array" ref="E550">IF($C550="","",IFERROR(INDEX(DATA_MASTER!$I$2:$I$5000,MATCH($C550,DATA_MASTER!$D$2:$D$5000,0)),""))</f>
        <v/>
      </c>
      <c r="F550" s="22">
        <f t="array" ref="F550">IF($C550="","",IFERROR(INDEX(DATA_MASTER!$L$2:$L$5000,MATCH($C550,DATA_MASTER!$D$2:$D$5000,0)),""))</f>
        <v/>
      </c>
      <c r="G550" s="24" t="n"/>
      <c r="H550" s="24" t="n"/>
      <c r="I550" s="30" t="n"/>
      <c r="J550" s="23">
        <f>IF(OR($H550="",$I550=""),"",$H550*$I550)</f>
        <v/>
      </c>
      <c r="K550" s="24" t="n"/>
      <c r="L550" s="24" t="n"/>
      <c r="M550" s="29" t="n"/>
      <c r="N550" s="28" t="n"/>
      <c r="O550" s="24" t="n"/>
      <c r="P550" s="24" t="n"/>
      <c r="Q550" s="24" t="n"/>
      <c r="R550" s="24" t="n"/>
      <c r="S550" s="22">
        <f>IF(AND($A550="",$C550=""),"",IF($A550="","Thiếu mã đơn; ","")&amp;IF(COUNTIF($A$2:$A550,$A550)&gt;1,"Trùng mã đơn; ","")&amp;IF(ISNA(MATCH($C550,DATA_MASTER!$D$2:$D$5000,0)),"SĐT chưa đăng ký hội viên; ","")&amp;IF(AND($L550="Đã chuyển khoản",$M550=""),"Thiếu ngày nhận CK; ",""))</f>
        <v/>
      </c>
      <c r="T550" s="24" t="n"/>
    </row>
    <row r="551" ht="14.25" customHeight="1" s="40">
      <c r="A551" s="24" t="n"/>
      <c r="B551" s="29" t="n"/>
      <c r="C551" s="28" t="n"/>
      <c r="D551" s="22">
        <f t="array" ref="D551">IF($C551="","",IFERROR(INDEX(DATA_MASTER!$C$2:$C$5000,MATCH($C551,DATA_MASTER!$D$2:$D$5000,0)),""))</f>
        <v/>
      </c>
      <c r="E551" s="22">
        <f t="array" ref="E551">IF($C551="","",IFERROR(INDEX(DATA_MASTER!$I$2:$I$5000,MATCH($C551,DATA_MASTER!$D$2:$D$5000,0)),""))</f>
        <v/>
      </c>
      <c r="F551" s="22">
        <f t="array" ref="F551">IF($C551="","",IFERROR(INDEX(DATA_MASTER!$L$2:$L$5000,MATCH($C551,DATA_MASTER!$D$2:$D$5000,0)),""))</f>
        <v/>
      </c>
      <c r="G551" s="24" t="n"/>
      <c r="H551" s="24" t="n"/>
      <c r="I551" s="30" t="n"/>
      <c r="J551" s="23">
        <f>IF(OR($H551="",$I551=""),"",$H551*$I551)</f>
        <v/>
      </c>
      <c r="K551" s="24" t="n"/>
      <c r="L551" s="24" t="n"/>
      <c r="M551" s="29" t="n"/>
      <c r="N551" s="28" t="n"/>
      <c r="O551" s="24" t="n"/>
      <c r="P551" s="24" t="n"/>
      <c r="Q551" s="24" t="n"/>
      <c r="R551" s="24" t="n"/>
      <c r="S551" s="22">
        <f>IF(AND($A551="",$C551=""),"",IF($A551="","Thiếu mã đơn; ","")&amp;IF(COUNTIF($A$2:$A551,$A551)&gt;1,"Trùng mã đơn; ","")&amp;IF(ISNA(MATCH($C551,DATA_MASTER!$D$2:$D$5000,0)),"SĐT chưa đăng ký hội viên; ","")&amp;IF(AND($L551="Đã chuyển khoản",$M551=""),"Thiếu ngày nhận CK; ",""))</f>
        <v/>
      </c>
      <c r="T551" s="24" t="n"/>
    </row>
    <row r="552" ht="14.25" customHeight="1" s="40">
      <c r="A552" s="24" t="n"/>
      <c r="B552" s="29" t="n"/>
      <c r="C552" s="28" t="n"/>
      <c r="D552" s="22">
        <f t="array" ref="D552">IF($C552="","",IFERROR(INDEX(DATA_MASTER!$C$2:$C$5000,MATCH($C552,DATA_MASTER!$D$2:$D$5000,0)),""))</f>
        <v/>
      </c>
      <c r="E552" s="22">
        <f t="array" ref="E552">IF($C552="","",IFERROR(INDEX(DATA_MASTER!$I$2:$I$5000,MATCH($C552,DATA_MASTER!$D$2:$D$5000,0)),""))</f>
        <v/>
      </c>
      <c r="F552" s="22">
        <f t="array" ref="F552">IF($C552="","",IFERROR(INDEX(DATA_MASTER!$L$2:$L$5000,MATCH($C552,DATA_MASTER!$D$2:$D$5000,0)),""))</f>
        <v/>
      </c>
      <c r="G552" s="24" t="n"/>
      <c r="H552" s="24" t="n"/>
      <c r="I552" s="30" t="n"/>
      <c r="J552" s="23">
        <f>IF(OR($H552="",$I552=""),"",$H552*$I552)</f>
        <v/>
      </c>
      <c r="K552" s="24" t="n"/>
      <c r="L552" s="24" t="n"/>
      <c r="M552" s="29" t="n"/>
      <c r="N552" s="28" t="n"/>
      <c r="O552" s="24" t="n"/>
      <c r="P552" s="24" t="n"/>
      <c r="Q552" s="24" t="n"/>
      <c r="R552" s="24" t="n"/>
      <c r="S552" s="22">
        <f>IF(AND($A552="",$C552=""),"",IF($A552="","Thiếu mã đơn; ","")&amp;IF(COUNTIF($A$2:$A552,$A552)&gt;1,"Trùng mã đơn; ","")&amp;IF(ISNA(MATCH($C552,DATA_MASTER!$D$2:$D$5000,0)),"SĐT chưa đăng ký hội viên; ","")&amp;IF(AND($L552="Đã chuyển khoản",$M552=""),"Thiếu ngày nhận CK; ",""))</f>
        <v/>
      </c>
      <c r="T552" s="24" t="n"/>
    </row>
    <row r="553" ht="14.25" customHeight="1" s="40">
      <c r="A553" s="24" t="n"/>
      <c r="B553" s="29" t="n"/>
      <c r="C553" s="28" t="n"/>
      <c r="D553" s="22">
        <f t="array" ref="D553">IF($C553="","",IFERROR(INDEX(DATA_MASTER!$C$2:$C$5000,MATCH($C553,DATA_MASTER!$D$2:$D$5000,0)),""))</f>
        <v/>
      </c>
      <c r="E553" s="22">
        <f t="array" ref="E553">IF($C553="","",IFERROR(INDEX(DATA_MASTER!$I$2:$I$5000,MATCH($C553,DATA_MASTER!$D$2:$D$5000,0)),""))</f>
        <v/>
      </c>
      <c r="F553" s="22">
        <f t="array" ref="F553">IF($C553="","",IFERROR(INDEX(DATA_MASTER!$L$2:$L$5000,MATCH($C553,DATA_MASTER!$D$2:$D$5000,0)),""))</f>
        <v/>
      </c>
      <c r="G553" s="24" t="n"/>
      <c r="H553" s="24" t="n"/>
      <c r="I553" s="30" t="n"/>
      <c r="J553" s="23">
        <f>IF(OR($H553="",$I553=""),"",$H553*$I553)</f>
        <v/>
      </c>
      <c r="K553" s="24" t="n"/>
      <c r="L553" s="24" t="n"/>
      <c r="M553" s="29" t="n"/>
      <c r="N553" s="28" t="n"/>
      <c r="O553" s="24" t="n"/>
      <c r="P553" s="24" t="n"/>
      <c r="Q553" s="24" t="n"/>
      <c r="R553" s="24" t="n"/>
      <c r="S553" s="22">
        <f>IF(AND($A553="",$C553=""),"",IF($A553="","Thiếu mã đơn; ","")&amp;IF(COUNTIF($A$2:$A553,$A553)&gt;1,"Trùng mã đơn; ","")&amp;IF(ISNA(MATCH($C553,DATA_MASTER!$D$2:$D$5000,0)),"SĐT chưa đăng ký hội viên; ","")&amp;IF(AND($L553="Đã chuyển khoản",$M553=""),"Thiếu ngày nhận CK; ",""))</f>
        <v/>
      </c>
      <c r="T553" s="24" t="n"/>
    </row>
    <row r="554" ht="14.25" customHeight="1" s="40">
      <c r="A554" s="24" t="n"/>
      <c r="B554" s="29" t="n"/>
      <c r="C554" s="28" t="n"/>
      <c r="D554" s="22">
        <f t="array" ref="D554">IF($C554="","",IFERROR(INDEX(DATA_MASTER!$C$2:$C$5000,MATCH($C554,DATA_MASTER!$D$2:$D$5000,0)),""))</f>
        <v/>
      </c>
      <c r="E554" s="22">
        <f t="array" ref="E554">IF($C554="","",IFERROR(INDEX(DATA_MASTER!$I$2:$I$5000,MATCH($C554,DATA_MASTER!$D$2:$D$5000,0)),""))</f>
        <v/>
      </c>
      <c r="F554" s="22">
        <f t="array" ref="F554">IF($C554="","",IFERROR(INDEX(DATA_MASTER!$L$2:$L$5000,MATCH($C554,DATA_MASTER!$D$2:$D$5000,0)),""))</f>
        <v/>
      </c>
      <c r="G554" s="24" t="n"/>
      <c r="H554" s="24" t="n"/>
      <c r="I554" s="30" t="n"/>
      <c r="J554" s="23">
        <f>IF(OR($H554="",$I554=""),"",$H554*$I554)</f>
        <v/>
      </c>
      <c r="K554" s="24" t="n"/>
      <c r="L554" s="24" t="n"/>
      <c r="M554" s="29" t="n"/>
      <c r="N554" s="28" t="n"/>
      <c r="O554" s="24" t="n"/>
      <c r="P554" s="24" t="n"/>
      <c r="Q554" s="24" t="n"/>
      <c r="R554" s="24" t="n"/>
      <c r="S554" s="22">
        <f>IF(AND($A554="",$C554=""),"",IF($A554="","Thiếu mã đơn; ","")&amp;IF(COUNTIF($A$2:$A554,$A554)&gt;1,"Trùng mã đơn; ","")&amp;IF(ISNA(MATCH($C554,DATA_MASTER!$D$2:$D$5000,0)),"SĐT chưa đăng ký hội viên; ","")&amp;IF(AND($L554="Đã chuyển khoản",$M554=""),"Thiếu ngày nhận CK; ",""))</f>
        <v/>
      </c>
      <c r="T554" s="24" t="n"/>
    </row>
    <row r="555" ht="14.25" customHeight="1" s="40">
      <c r="A555" s="24" t="n"/>
      <c r="B555" s="29" t="n"/>
      <c r="C555" s="28" t="n"/>
      <c r="D555" s="22">
        <f t="array" ref="D555">IF($C555="","",IFERROR(INDEX(DATA_MASTER!$C$2:$C$5000,MATCH($C555,DATA_MASTER!$D$2:$D$5000,0)),""))</f>
        <v/>
      </c>
      <c r="E555" s="22">
        <f t="array" ref="E555">IF($C555="","",IFERROR(INDEX(DATA_MASTER!$I$2:$I$5000,MATCH($C555,DATA_MASTER!$D$2:$D$5000,0)),""))</f>
        <v/>
      </c>
      <c r="F555" s="22">
        <f t="array" ref="F555">IF($C555="","",IFERROR(INDEX(DATA_MASTER!$L$2:$L$5000,MATCH($C555,DATA_MASTER!$D$2:$D$5000,0)),""))</f>
        <v/>
      </c>
      <c r="G555" s="24" t="n"/>
      <c r="H555" s="24" t="n"/>
      <c r="I555" s="30" t="n"/>
      <c r="J555" s="23">
        <f>IF(OR($H555="",$I555=""),"",$H555*$I555)</f>
        <v/>
      </c>
      <c r="K555" s="24" t="n"/>
      <c r="L555" s="24" t="n"/>
      <c r="M555" s="29" t="n"/>
      <c r="N555" s="28" t="n"/>
      <c r="O555" s="24" t="n"/>
      <c r="P555" s="24" t="n"/>
      <c r="Q555" s="24" t="n"/>
      <c r="R555" s="24" t="n"/>
      <c r="S555" s="22">
        <f>IF(AND($A555="",$C555=""),"",IF($A555="","Thiếu mã đơn; ","")&amp;IF(COUNTIF($A$2:$A555,$A555)&gt;1,"Trùng mã đơn; ","")&amp;IF(ISNA(MATCH($C555,DATA_MASTER!$D$2:$D$5000,0)),"SĐT chưa đăng ký hội viên; ","")&amp;IF(AND($L555="Đã chuyển khoản",$M555=""),"Thiếu ngày nhận CK; ",""))</f>
        <v/>
      </c>
      <c r="T555" s="24" t="n"/>
    </row>
    <row r="556" ht="14.25" customHeight="1" s="40">
      <c r="A556" s="24" t="n"/>
      <c r="B556" s="29" t="n"/>
      <c r="C556" s="28" t="n"/>
      <c r="D556" s="22">
        <f t="array" ref="D556">IF($C556="","",IFERROR(INDEX(DATA_MASTER!$C$2:$C$5000,MATCH($C556,DATA_MASTER!$D$2:$D$5000,0)),""))</f>
        <v/>
      </c>
      <c r="E556" s="22">
        <f t="array" ref="E556">IF($C556="","",IFERROR(INDEX(DATA_MASTER!$I$2:$I$5000,MATCH($C556,DATA_MASTER!$D$2:$D$5000,0)),""))</f>
        <v/>
      </c>
      <c r="F556" s="22">
        <f t="array" ref="F556">IF($C556="","",IFERROR(INDEX(DATA_MASTER!$L$2:$L$5000,MATCH($C556,DATA_MASTER!$D$2:$D$5000,0)),""))</f>
        <v/>
      </c>
      <c r="G556" s="24" t="n"/>
      <c r="H556" s="24" t="n"/>
      <c r="I556" s="30" t="n"/>
      <c r="J556" s="23">
        <f>IF(OR($H556="",$I556=""),"",$H556*$I556)</f>
        <v/>
      </c>
      <c r="K556" s="24" t="n"/>
      <c r="L556" s="24" t="n"/>
      <c r="M556" s="29" t="n"/>
      <c r="N556" s="28" t="n"/>
      <c r="O556" s="24" t="n"/>
      <c r="P556" s="24" t="n"/>
      <c r="Q556" s="24" t="n"/>
      <c r="R556" s="24" t="n"/>
      <c r="S556" s="22">
        <f>IF(AND($A556="",$C556=""),"",IF($A556="","Thiếu mã đơn; ","")&amp;IF(COUNTIF($A$2:$A556,$A556)&gt;1,"Trùng mã đơn; ","")&amp;IF(ISNA(MATCH($C556,DATA_MASTER!$D$2:$D$5000,0)),"SĐT chưa đăng ký hội viên; ","")&amp;IF(AND($L556="Đã chuyển khoản",$M556=""),"Thiếu ngày nhận CK; ",""))</f>
        <v/>
      </c>
      <c r="T556" s="24" t="n"/>
    </row>
    <row r="557" ht="14.25" customHeight="1" s="40">
      <c r="A557" s="24" t="n"/>
      <c r="B557" s="29" t="n"/>
      <c r="C557" s="28" t="n"/>
      <c r="D557" s="22">
        <f t="array" ref="D557">IF($C557="","",IFERROR(INDEX(DATA_MASTER!$C$2:$C$5000,MATCH($C557,DATA_MASTER!$D$2:$D$5000,0)),""))</f>
        <v/>
      </c>
      <c r="E557" s="22">
        <f t="array" ref="E557">IF($C557="","",IFERROR(INDEX(DATA_MASTER!$I$2:$I$5000,MATCH($C557,DATA_MASTER!$D$2:$D$5000,0)),""))</f>
        <v/>
      </c>
      <c r="F557" s="22">
        <f t="array" ref="F557">IF($C557="","",IFERROR(INDEX(DATA_MASTER!$L$2:$L$5000,MATCH($C557,DATA_MASTER!$D$2:$D$5000,0)),""))</f>
        <v/>
      </c>
      <c r="G557" s="24" t="n"/>
      <c r="H557" s="24" t="n"/>
      <c r="I557" s="30" t="n"/>
      <c r="J557" s="23">
        <f>IF(OR($H557="",$I557=""),"",$H557*$I557)</f>
        <v/>
      </c>
      <c r="K557" s="24" t="n"/>
      <c r="L557" s="24" t="n"/>
      <c r="M557" s="29" t="n"/>
      <c r="N557" s="28" t="n"/>
      <c r="O557" s="24" t="n"/>
      <c r="P557" s="24" t="n"/>
      <c r="Q557" s="24" t="n"/>
      <c r="R557" s="24" t="n"/>
      <c r="S557" s="22">
        <f>IF(AND($A557="",$C557=""),"",IF($A557="","Thiếu mã đơn; ","")&amp;IF(COUNTIF($A$2:$A557,$A557)&gt;1,"Trùng mã đơn; ","")&amp;IF(ISNA(MATCH($C557,DATA_MASTER!$D$2:$D$5000,0)),"SĐT chưa đăng ký hội viên; ","")&amp;IF(AND($L557="Đã chuyển khoản",$M557=""),"Thiếu ngày nhận CK; ",""))</f>
        <v/>
      </c>
      <c r="T557" s="24" t="n"/>
    </row>
    <row r="558" ht="14.25" customHeight="1" s="40">
      <c r="A558" s="24" t="n"/>
      <c r="B558" s="29" t="n"/>
      <c r="C558" s="28" t="n"/>
      <c r="D558" s="22">
        <f t="array" ref="D558">IF($C558="","",IFERROR(INDEX(DATA_MASTER!$C$2:$C$5000,MATCH($C558,DATA_MASTER!$D$2:$D$5000,0)),""))</f>
        <v/>
      </c>
      <c r="E558" s="22">
        <f t="array" ref="E558">IF($C558="","",IFERROR(INDEX(DATA_MASTER!$I$2:$I$5000,MATCH($C558,DATA_MASTER!$D$2:$D$5000,0)),""))</f>
        <v/>
      </c>
      <c r="F558" s="22">
        <f t="array" ref="F558">IF($C558="","",IFERROR(INDEX(DATA_MASTER!$L$2:$L$5000,MATCH($C558,DATA_MASTER!$D$2:$D$5000,0)),""))</f>
        <v/>
      </c>
      <c r="G558" s="24" t="n"/>
      <c r="H558" s="24" t="n"/>
      <c r="I558" s="30" t="n"/>
      <c r="J558" s="23">
        <f>IF(OR($H558="",$I558=""),"",$H558*$I558)</f>
        <v/>
      </c>
      <c r="K558" s="24" t="n"/>
      <c r="L558" s="24" t="n"/>
      <c r="M558" s="29" t="n"/>
      <c r="N558" s="28" t="n"/>
      <c r="O558" s="24" t="n"/>
      <c r="P558" s="24" t="n"/>
      <c r="Q558" s="24" t="n"/>
      <c r="R558" s="24" t="n"/>
      <c r="S558" s="22">
        <f>IF(AND($A558="",$C558=""),"",IF($A558="","Thiếu mã đơn; ","")&amp;IF(COUNTIF($A$2:$A558,$A558)&gt;1,"Trùng mã đơn; ","")&amp;IF(ISNA(MATCH($C558,DATA_MASTER!$D$2:$D$5000,0)),"SĐT chưa đăng ký hội viên; ","")&amp;IF(AND($L558="Đã chuyển khoản",$M558=""),"Thiếu ngày nhận CK; ",""))</f>
        <v/>
      </c>
      <c r="T558" s="24" t="n"/>
    </row>
    <row r="559" ht="14.25" customHeight="1" s="40">
      <c r="A559" s="24" t="n"/>
      <c r="B559" s="29" t="n"/>
      <c r="C559" s="28" t="n"/>
      <c r="D559" s="22">
        <f t="array" ref="D559">IF($C559="","",IFERROR(INDEX(DATA_MASTER!$C$2:$C$5000,MATCH($C559,DATA_MASTER!$D$2:$D$5000,0)),""))</f>
        <v/>
      </c>
      <c r="E559" s="22">
        <f t="array" ref="E559">IF($C559="","",IFERROR(INDEX(DATA_MASTER!$I$2:$I$5000,MATCH($C559,DATA_MASTER!$D$2:$D$5000,0)),""))</f>
        <v/>
      </c>
      <c r="F559" s="22">
        <f t="array" ref="F559">IF($C559="","",IFERROR(INDEX(DATA_MASTER!$L$2:$L$5000,MATCH($C559,DATA_MASTER!$D$2:$D$5000,0)),""))</f>
        <v/>
      </c>
      <c r="G559" s="24" t="n"/>
      <c r="H559" s="24" t="n"/>
      <c r="I559" s="30" t="n"/>
      <c r="J559" s="23">
        <f>IF(OR($H559="",$I559=""),"",$H559*$I559)</f>
        <v/>
      </c>
      <c r="K559" s="24" t="n"/>
      <c r="L559" s="24" t="n"/>
      <c r="M559" s="29" t="n"/>
      <c r="N559" s="28" t="n"/>
      <c r="O559" s="24" t="n"/>
      <c r="P559" s="24" t="n"/>
      <c r="Q559" s="24" t="n"/>
      <c r="R559" s="24" t="n"/>
      <c r="S559" s="22">
        <f>IF(AND($A559="",$C559=""),"",IF($A559="","Thiếu mã đơn; ","")&amp;IF(COUNTIF($A$2:$A559,$A559)&gt;1,"Trùng mã đơn; ","")&amp;IF(ISNA(MATCH($C559,DATA_MASTER!$D$2:$D$5000,0)),"SĐT chưa đăng ký hội viên; ","")&amp;IF(AND($L559="Đã chuyển khoản",$M559=""),"Thiếu ngày nhận CK; ",""))</f>
        <v/>
      </c>
      <c r="T559" s="24" t="n"/>
    </row>
    <row r="560" ht="14.25" customHeight="1" s="40">
      <c r="A560" s="24" t="n"/>
      <c r="B560" s="29" t="n"/>
      <c r="C560" s="28" t="n"/>
      <c r="D560" s="22">
        <f t="array" ref="D560">IF($C560="","",IFERROR(INDEX(DATA_MASTER!$C$2:$C$5000,MATCH($C560,DATA_MASTER!$D$2:$D$5000,0)),""))</f>
        <v/>
      </c>
      <c r="E560" s="22">
        <f t="array" ref="E560">IF($C560="","",IFERROR(INDEX(DATA_MASTER!$I$2:$I$5000,MATCH($C560,DATA_MASTER!$D$2:$D$5000,0)),""))</f>
        <v/>
      </c>
      <c r="F560" s="22">
        <f t="array" ref="F560">IF($C560="","",IFERROR(INDEX(DATA_MASTER!$L$2:$L$5000,MATCH($C560,DATA_MASTER!$D$2:$D$5000,0)),""))</f>
        <v/>
      </c>
      <c r="G560" s="24" t="n"/>
      <c r="H560" s="24" t="n"/>
      <c r="I560" s="30" t="n"/>
      <c r="J560" s="23">
        <f>IF(OR($H560="",$I560=""),"",$H560*$I560)</f>
        <v/>
      </c>
      <c r="K560" s="24" t="n"/>
      <c r="L560" s="24" t="n"/>
      <c r="M560" s="29" t="n"/>
      <c r="N560" s="28" t="n"/>
      <c r="O560" s="24" t="n"/>
      <c r="P560" s="24" t="n"/>
      <c r="Q560" s="24" t="n"/>
      <c r="R560" s="24" t="n"/>
      <c r="S560" s="22">
        <f>IF(AND($A560="",$C560=""),"",IF($A560="","Thiếu mã đơn; ","")&amp;IF(COUNTIF($A$2:$A560,$A560)&gt;1,"Trùng mã đơn; ","")&amp;IF(ISNA(MATCH($C560,DATA_MASTER!$D$2:$D$5000,0)),"SĐT chưa đăng ký hội viên; ","")&amp;IF(AND($L560="Đã chuyển khoản",$M560=""),"Thiếu ngày nhận CK; ",""))</f>
        <v/>
      </c>
      <c r="T560" s="24" t="n"/>
    </row>
    <row r="561" ht="14.25" customHeight="1" s="40">
      <c r="A561" s="24" t="n"/>
      <c r="B561" s="29" t="n"/>
      <c r="C561" s="28" t="n"/>
      <c r="D561" s="22">
        <f t="array" ref="D561">IF($C561="","",IFERROR(INDEX(DATA_MASTER!$C$2:$C$5000,MATCH($C561,DATA_MASTER!$D$2:$D$5000,0)),""))</f>
        <v/>
      </c>
      <c r="E561" s="22">
        <f t="array" ref="E561">IF($C561="","",IFERROR(INDEX(DATA_MASTER!$I$2:$I$5000,MATCH($C561,DATA_MASTER!$D$2:$D$5000,0)),""))</f>
        <v/>
      </c>
      <c r="F561" s="22">
        <f t="array" ref="F561">IF($C561="","",IFERROR(INDEX(DATA_MASTER!$L$2:$L$5000,MATCH($C561,DATA_MASTER!$D$2:$D$5000,0)),""))</f>
        <v/>
      </c>
      <c r="G561" s="24" t="n"/>
      <c r="H561" s="24" t="n"/>
      <c r="I561" s="30" t="n"/>
      <c r="J561" s="23">
        <f>IF(OR($H561="",$I561=""),"",$H561*$I561)</f>
        <v/>
      </c>
      <c r="K561" s="24" t="n"/>
      <c r="L561" s="24" t="n"/>
      <c r="M561" s="29" t="n"/>
      <c r="N561" s="28" t="n"/>
      <c r="O561" s="24" t="n"/>
      <c r="P561" s="24" t="n"/>
      <c r="Q561" s="24" t="n"/>
      <c r="R561" s="24" t="n"/>
      <c r="S561" s="22">
        <f>IF(AND($A561="",$C561=""),"",IF($A561="","Thiếu mã đơn; ","")&amp;IF(COUNTIF($A$2:$A561,$A561)&gt;1,"Trùng mã đơn; ","")&amp;IF(ISNA(MATCH($C561,DATA_MASTER!$D$2:$D$5000,0)),"SĐT chưa đăng ký hội viên; ","")&amp;IF(AND($L561="Đã chuyển khoản",$M561=""),"Thiếu ngày nhận CK; ",""))</f>
        <v/>
      </c>
      <c r="T561" s="24" t="n"/>
    </row>
    <row r="562" ht="14.25" customHeight="1" s="40">
      <c r="A562" s="24" t="n"/>
      <c r="B562" s="29" t="n"/>
      <c r="C562" s="28" t="n"/>
      <c r="D562" s="22">
        <f t="array" ref="D562">IF($C562="","",IFERROR(INDEX(DATA_MASTER!$C$2:$C$5000,MATCH($C562,DATA_MASTER!$D$2:$D$5000,0)),""))</f>
        <v/>
      </c>
      <c r="E562" s="22">
        <f t="array" ref="E562">IF($C562="","",IFERROR(INDEX(DATA_MASTER!$I$2:$I$5000,MATCH($C562,DATA_MASTER!$D$2:$D$5000,0)),""))</f>
        <v/>
      </c>
      <c r="F562" s="22">
        <f t="array" ref="F562">IF($C562="","",IFERROR(INDEX(DATA_MASTER!$L$2:$L$5000,MATCH($C562,DATA_MASTER!$D$2:$D$5000,0)),""))</f>
        <v/>
      </c>
      <c r="G562" s="24" t="n"/>
      <c r="H562" s="24" t="n"/>
      <c r="I562" s="30" t="n"/>
      <c r="J562" s="23">
        <f>IF(OR($H562="",$I562=""),"",$H562*$I562)</f>
        <v/>
      </c>
      <c r="K562" s="24" t="n"/>
      <c r="L562" s="24" t="n"/>
      <c r="M562" s="29" t="n"/>
      <c r="N562" s="28" t="n"/>
      <c r="O562" s="24" t="n"/>
      <c r="P562" s="24" t="n"/>
      <c r="Q562" s="24" t="n"/>
      <c r="R562" s="24" t="n"/>
      <c r="S562" s="22">
        <f>IF(AND($A562="",$C562=""),"",IF($A562="","Thiếu mã đơn; ","")&amp;IF(COUNTIF($A$2:$A562,$A562)&gt;1,"Trùng mã đơn; ","")&amp;IF(ISNA(MATCH($C562,DATA_MASTER!$D$2:$D$5000,0)),"SĐT chưa đăng ký hội viên; ","")&amp;IF(AND($L562="Đã chuyển khoản",$M562=""),"Thiếu ngày nhận CK; ",""))</f>
        <v/>
      </c>
      <c r="T562" s="24" t="n"/>
    </row>
    <row r="563" ht="14.25" customHeight="1" s="40">
      <c r="A563" s="24" t="n"/>
      <c r="B563" s="29" t="n"/>
      <c r="C563" s="28" t="n"/>
      <c r="D563" s="22">
        <f t="array" ref="D563">IF($C563="","",IFERROR(INDEX(DATA_MASTER!$C$2:$C$5000,MATCH($C563,DATA_MASTER!$D$2:$D$5000,0)),""))</f>
        <v/>
      </c>
      <c r="E563" s="22">
        <f t="array" ref="E563">IF($C563="","",IFERROR(INDEX(DATA_MASTER!$I$2:$I$5000,MATCH($C563,DATA_MASTER!$D$2:$D$5000,0)),""))</f>
        <v/>
      </c>
      <c r="F563" s="22">
        <f t="array" ref="F563">IF($C563="","",IFERROR(INDEX(DATA_MASTER!$L$2:$L$5000,MATCH($C563,DATA_MASTER!$D$2:$D$5000,0)),""))</f>
        <v/>
      </c>
      <c r="G563" s="24" t="n"/>
      <c r="H563" s="24" t="n"/>
      <c r="I563" s="30" t="n"/>
      <c r="J563" s="23">
        <f>IF(OR($H563="",$I563=""),"",$H563*$I563)</f>
        <v/>
      </c>
      <c r="K563" s="24" t="n"/>
      <c r="L563" s="24" t="n"/>
      <c r="M563" s="29" t="n"/>
      <c r="N563" s="28" t="n"/>
      <c r="O563" s="24" t="n"/>
      <c r="P563" s="24" t="n"/>
      <c r="Q563" s="24" t="n"/>
      <c r="R563" s="24" t="n"/>
      <c r="S563" s="22">
        <f>IF(AND($A563="",$C563=""),"",IF($A563="","Thiếu mã đơn; ","")&amp;IF(COUNTIF($A$2:$A563,$A563)&gt;1,"Trùng mã đơn; ","")&amp;IF(ISNA(MATCH($C563,DATA_MASTER!$D$2:$D$5000,0)),"SĐT chưa đăng ký hội viên; ","")&amp;IF(AND($L563="Đã chuyển khoản",$M563=""),"Thiếu ngày nhận CK; ",""))</f>
        <v/>
      </c>
      <c r="T563" s="24" t="n"/>
    </row>
    <row r="564" ht="14.25" customHeight="1" s="40">
      <c r="A564" s="24" t="n"/>
      <c r="B564" s="29" t="n"/>
      <c r="C564" s="28" t="n"/>
      <c r="D564" s="22">
        <f t="array" ref="D564">IF($C564="","",IFERROR(INDEX(DATA_MASTER!$C$2:$C$5000,MATCH($C564,DATA_MASTER!$D$2:$D$5000,0)),""))</f>
        <v/>
      </c>
      <c r="E564" s="22">
        <f t="array" ref="E564">IF($C564="","",IFERROR(INDEX(DATA_MASTER!$I$2:$I$5000,MATCH($C564,DATA_MASTER!$D$2:$D$5000,0)),""))</f>
        <v/>
      </c>
      <c r="F564" s="22">
        <f t="array" ref="F564">IF($C564="","",IFERROR(INDEX(DATA_MASTER!$L$2:$L$5000,MATCH($C564,DATA_MASTER!$D$2:$D$5000,0)),""))</f>
        <v/>
      </c>
      <c r="G564" s="24" t="n"/>
      <c r="H564" s="24" t="n"/>
      <c r="I564" s="30" t="n"/>
      <c r="J564" s="23">
        <f>IF(OR($H564="",$I564=""),"",$H564*$I564)</f>
        <v/>
      </c>
      <c r="K564" s="24" t="n"/>
      <c r="L564" s="24" t="n"/>
      <c r="M564" s="29" t="n"/>
      <c r="N564" s="28" t="n"/>
      <c r="O564" s="24" t="n"/>
      <c r="P564" s="24" t="n"/>
      <c r="Q564" s="24" t="n"/>
      <c r="R564" s="24" t="n"/>
      <c r="S564" s="22">
        <f>IF(AND($A564="",$C564=""),"",IF($A564="","Thiếu mã đơn; ","")&amp;IF(COUNTIF($A$2:$A564,$A564)&gt;1,"Trùng mã đơn; ","")&amp;IF(ISNA(MATCH($C564,DATA_MASTER!$D$2:$D$5000,0)),"SĐT chưa đăng ký hội viên; ","")&amp;IF(AND($L564="Đã chuyển khoản",$M564=""),"Thiếu ngày nhận CK; ",""))</f>
        <v/>
      </c>
      <c r="T564" s="24" t="n"/>
    </row>
    <row r="565" ht="14.25" customHeight="1" s="40">
      <c r="A565" s="24" t="n"/>
      <c r="B565" s="29" t="n"/>
      <c r="C565" s="28" t="n"/>
      <c r="D565" s="22">
        <f t="array" ref="D565">IF($C565="","",IFERROR(INDEX(DATA_MASTER!$C$2:$C$5000,MATCH($C565,DATA_MASTER!$D$2:$D$5000,0)),""))</f>
        <v/>
      </c>
      <c r="E565" s="22">
        <f t="array" ref="E565">IF($C565="","",IFERROR(INDEX(DATA_MASTER!$I$2:$I$5000,MATCH($C565,DATA_MASTER!$D$2:$D$5000,0)),""))</f>
        <v/>
      </c>
      <c r="F565" s="22">
        <f t="array" ref="F565">IF($C565="","",IFERROR(INDEX(DATA_MASTER!$L$2:$L$5000,MATCH($C565,DATA_MASTER!$D$2:$D$5000,0)),""))</f>
        <v/>
      </c>
      <c r="G565" s="24" t="n"/>
      <c r="H565" s="24" t="n"/>
      <c r="I565" s="30" t="n"/>
      <c r="J565" s="23">
        <f>IF(OR($H565="",$I565=""),"",$H565*$I565)</f>
        <v/>
      </c>
      <c r="K565" s="24" t="n"/>
      <c r="L565" s="24" t="n"/>
      <c r="M565" s="29" t="n"/>
      <c r="N565" s="28" t="n"/>
      <c r="O565" s="24" t="n"/>
      <c r="P565" s="24" t="n"/>
      <c r="Q565" s="24" t="n"/>
      <c r="R565" s="24" t="n"/>
      <c r="S565" s="22">
        <f>IF(AND($A565="",$C565=""),"",IF($A565="","Thiếu mã đơn; ","")&amp;IF(COUNTIF($A$2:$A565,$A565)&gt;1,"Trùng mã đơn; ","")&amp;IF(ISNA(MATCH($C565,DATA_MASTER!$D$2:$D$5000,0)),"SĐT chưa đăng ký hội viên; ","")&amp;IF(AND($L565="Đã chuyển khoản",$M565=""),"Thiếu ngày nhận CK; ",""))</f>
        <v/>
      </c>
      <c r="T565" s="24" t="n"/>
    </row>
    <row r="566" ht="14.25" customHeight="1" s="40">
      <c r="A566" s="24" t="n"/>
      <c r="B566" s="29" t="n"/>
      <c r="C566" s="28" t="n"/>
      <c r="D566" s="22">
        <f t="array" ref="D566">IF($C566="","",IFERROR(INDEX(DATA_MASTER!$C$2:$C$5000,MATCH($C566,DATA_MASTER!$D$2:$D$5000,0)),""))</f>
        <v/>
      </c>
      <c r="E566" s="22">
        <f t="array" ref="E566">IF($C566="","",IFERROR(INDEX(DATA_MASTER!$I$2:$I$5000,MATCH($C566,DATA_MASTER!$D$2:$D$5000,0)),""))</f>
        <v/>
      </c>
      <c r="F566" s="22">
        <f t="array" ref="F566">IF($C566="","",IFERROR(INDEX(DATA_MASTER!$L$2:$L$5000,MATCH($C566,DATA_MASTER!$D$2:$D$5000,0)),""))</f>
        <v/>
      </c>
      <c r="G566" s="24" t="n"/>
      <c r="H566" s="24" t="n"/>
      <c r="I566" s="30" t="n"/>
      <c r="J566" s="23">
        <f>IF(OR($H566="",$I566=""),"",$H566*$I566)</f>
        <v/>
      </c>
      <c r="K566" s="24" t="n"/>
      <c r="L566" s="24" t="n"/>
      <c r="M566" s="29" t="n"/>
      <c r="N566" s="28" t="n"/>
      <c r="O566" s="24" t="n"/>
      <c r="P566" s="24" t="n"/>
      <c r="Q566" s="24" t="n"/>
      <c r="R566" s="24" t="n"/>
      <c r="S566" s="22">
        <f>IF(AND($A566="",$C566=""),"",IF($A566="","Thiếu mã đơn; ","")&amp;IF(COUNTIF($A$2:$A566,$A566)&gt;1,"Trùng mã đơn; ","")&amp;IF(ISNA(MATCH($C566,DATA_MASTER!$D$2:$D$5000,0)),"SĐT chưa đăng ký hội viên; ","")&amp;IF(AND($L566="Đã chuyển khoản",$M566=""),"Thiếu ngày nhận CK; ",""))</f>
        <v/>
      </c>
      <c r="T566" s="24" t="n"/>
    </row>
    <row r="567" ht="14.25" customHeight="1" s="40">
      <c r="A567" s="24" t="n"/>
      <c r="B567" s="29" t="n"/>
      <c r="C567" s="28" t="n"/>
      <c r="D567" s="22">
        <f t="array" ref="D567">IF($C567="","",IFERROR(INDEX(DATA_MASTER!$C$2:$C$5000,MATCH($C567,DATA_MASTER!$D$2:$D$5000,0)),""))</f>
        <v/>
      </c>
      <c r="E567" s="22">
        <f t="array" ref="E567">IF($C567="","",IFERROR(INDEX(DATA_MASTER!$I$2:$I$5000,MATCH($C567,DATA_MASTER!$D$2:$D$5000,0)),""))</f>
        <v/>
      </c>
      <c r="F567" s="22">
        <f t="array" ref="F567">IF($C567="","",IFERROR(INDEX(DATA_MASTER!$L$2:$L$5000,MATCH($C567,DATA_MASTER!$D$2:$D$5000,0)),""))</f>
        <v/>
      </c>
      <c r="G567" s="24" t="n"/>
      <c r="H567" s="24" t="n"/>
      <c r="I567" s="30" t="n"/>
      <c r="J567" s="23">
        <f>IF(OR($H567="",$I567=""),"",$H567*$I567)</f>
        <v/>
      </c>
      <c r="K567" s="24" t="n"/>
      <c r="L567" s="24" t="n"/>
      <c r="M567" s="29" t="n"/>
      <c r="N567" s="28" t="n"/>
      <c r="O567" s="24" t="n"/>
      <c r="P567" s="24" t="n"/>
      <c r="Q567" s="24" t="n"/>
      <c r="R567" s="24" t="n"/>
      <c r="S567" s="22">
        <f>IF(AND($A567="",$C567=""),"",IF($A567="","Thiếu mã đơn; ","")&amp;IF(COUNTIF($A$2:$A567,$A567)&gt;1,"Trùng mã đơn; ","")&amp;IF(ISNA(MATCH($C567,DATA_MASTER!$D$2:$D$5000,0)),"SĐT chưa đăng ký hội viên; ","")&amp;IF(AND($L567="Đã chuyển khoản",$M567=""),"Thiếu ngày nhận CK; ",""))</f>
        <v/>
      </c>
      <c r="T567" s="24" t="n"/>
    </row>
    <row r="568" ht="14.25" customHeight="1" s="40">
      <c r="A568" s="24" t="n"/>
      <c r="B568" s="29" t="n"/>
      <c r="C568" s="28" t="n"/>
      <c r="D568" s="22">
        <f t="array" ref="D568">IF($C568="","",IFERROR(INDEX(DATA_MASTER!$C$2:$C$5000,MATCH($C568,DATA_MASTER!$D$2:$D$5000,0)),""))</f>
        <v/>
      </c>
      <c r="E568" s="22">
        <f t="array" ref="E568">IF($C568="","",IFERROR(INDEX(DATA_MASTER!$I$2:$I$5000,MATCH($C568,DATA_MASTER!$D$2:$D$5000,0)),""))</f>
        <v/>
      </c>
      <c r="F568" s="22">
        <f t="array" ref="F568">IF($C568="","",IFERROR(INDEX(DATA_MASTER!$L$2:$L$5000,MATCH($C568,DATA_MASTER!$D$2:$D$5000,0)),""))</f>
        <v/>
      </c>
      <c r="G568" s="24" t="n"/>
      <c r="H568" s="24" t="n"/>
      <c r="I568" s="30" t="n"/>
      <c r="J568" s="23">
        <f>IF(OR($H568="",$I568=""),"",$H568*$I568)</f>
        <v/>
      </c>
      <c r="K568" s="24" t="n"/>
      <c r="L568" s="24" t="n"/>
      <c r="M568" s="29" t="n"/>
      <c r="N568" s="28" t="n"/>
      <c r="O568" s="24" t="n"/>
      <c r="P568" s="24" t="n"/>
      <c r="Q568" s="24" t="n"/>
      <c r="R568" s="24" t="n"/>
      <c r="S568" s="22">
        <f>IF(AND($A568="",$C568=""),"",IF($A568="","Thiếu mã đơn; ","")&amp;IF(COUNTIF($A$2:$A568,$A568)&gt;1,"Trùng mã đơn; ","")&amp;IF(ISNA(MATCH($C568,DATA_MASTER!$D$2:$D$5000,0)),"SĐT chưa đăng ký hội viên; ","")&amp;IF(AND($L568="Đã chuyển khoản",$M568=""),"Thiếu ngày nhận CK; ",""))</f>
        <v/>
      </c>
      <c r="T568" s="24" t="n"/>
    </row>
    <row r="569" ht="14.25" customHeight="1" s="40">
      <c r="A569" s="24" t="n"/>
      <c r="B569" s="29" t="n"/>
      <c r="C569" s="28" t="n"/>
      <c r="D569" s="22">
        <f t="array" ref="D569">IF($C569="","",IFERROR(INDEX(DATA_MASTER!$C$2:$C$5000,MATCH($C569,DATA_MASTER!$D$2:$D$5000,0)),""))</f>
        <v/>
      </c>
      <c r="E569" s="22">
        <f t="array" ref="E569">IF($C569="","",IFERROR(INDEX(DATA_MASTER!$I$2:$I$5000,MATCH($C569,DATA_MASTER!$D$2:$D$5000,0)),""))</f>
        <v/>
      </c>
      <c r="F569" s="22">
        <f t="array" ref="F569">IF($C569="","",IFERROR(INDEX(DATA_MASTER!$L$2:$L$5000,MATCH($C569,DATA_MASTER!$D$2:$D$5000,0)),""))</f>
        <v/>
      </c>
      <c r="G569" s="24" t="n"/>
      <c r="H569" s="24" t="n"/>
      <c r="I569" s="30" t="n"/>
      <c r="J569" s="23">
        <f>IF(OR($H569="",$I569=""),"",$H569*$I569)</f>
        <v/>
      </c>
      <c r="K569" s="24" t="n"/>
      <c r="L569" s="24" t="n"/>
      <c r="M569" s="29" t="n"/>
      <c r="N569" s="28" t="n"/>
      <c r="O569" s="24" t="n"/>
      <c r="P569" s="24" t="n"/>
      <c r="Q569" s="24" t="n"/>
      <c r="R569" s="24" t="n"/>
      <c r="S569" s="22">
        <f>IF(AND($A569="",$C569=""),"",IF($A569="","Thiếu mã đơn; ","")&amp;IF(COUNTIF($A$2:$A569,$A569)&gt;1,"Trùng mã đơn; ","")&amp;IF(ISNA(MATCH($C569,DATA_MASTER!$D$2:$D$5000,0)),"SĐT chưa đăng ký hội viên; ","")&amp;IF(AND($L569="Đã chuyển khoản",$M569=""),"Thiếu ngày nhận CK; ",""))</f>
        <v/>
      </c>
      <c r="T569" s="24" t="n"/>
    </row>
    <row r="570" ht="14.25" customHeight="1" s="40">
      <c r="A570" s="24" t="n"/>
      <c r="B570" s="29" t="n"/>
      <c r="C570" s="28" t="n"/>
      <c r="D570" s="22">
        <f t="array" ref="D570">IF($C570="","",IFERROR(INDEX(DATA_MASTER!$C$2:$C$5000,MATCH($C570,DATA_MASTER!$D$2:$D$5000,0)),""))</f>
        <v/>
      </c>
      <c r="E570" s="22">
        <f t="array" ref="E570">IF($C570="","",IFERROR(INDEX(DATA_MASTER!$I$2:$I$5000,MATCH($C570,DATA_MASTER!$D$2:$D$5000,0)),""))</f>
        <v/>
      </c>
      <c r="F570" s="22">
        <f t="array" ref="F570">IF($C570="","",IFERROR(INDEX(DATA_MASTER!$L$2:$L$5000,MATCH($C570,DATA_MASTER!$D$2:$D$5000,0)),""))</f>
        <v/>
      </c>
      <c r="G570" s="24" t="n"/>
      <c r="H570" s="24" t="n"/>
      <c r="I570" s="30" t="n"/>
      <c r="J570" s="23">
        <f>IF(OR($H570="",$I570=""),"",$H570*$I570)</f>
        <v/>
      </c>
      <c r="K570" s="24" t="n"/>
      <c r="L570" s="24" t="n"/>
      <c r="M570" s="29" t="n"/>
      <c r="N570" s="28" t="n"/>
      <c r="O570" s="24" t="n"/>
      <c r="P570" s="24" t="n"/>
      <c r="Q570" s="24" t="n"/>
      <c r="R570" s="24" t="n"/>
      <c r="S570" s="22">
        <f>IF(AND($A570="",$C570=""),"",IF($A570="","Thiếu mã đơn; ","")&amp;IF(COUNTIF($A$2:$A570,$A570)&gt;1,"Trùng mã đơn; ","")&amp;IF(ISNA(MATCH($C570,DATA_MASTER!$D$2:$D$5000,0)),"SĐT chưa đăng ký hội viên; ","")&amp;IF(AND($L570="Đã chuyển khoản",$M570=""),"Thiếu ngày nhận CK; ",""))</f>
        <v/>
      </c>
      <c r="T570" s="24" t="n"/>
    </row>
    <row r="571" ht="14.25" customHeight="1" s="40">
      <c r="A571" s="24" t="n"/>
      <c r="B571" s="29" t="n"/>
      <c r="C571" s="28" t="n"/>
      <c r="D571" s="22">
        <f t="array" ref="D571">IF($C571="","",IFERROR(INDEX(DATA_MASTER!$C$2:$C$5000,MATCH($C571,DATA_MASTER!$D$2:$D$5000,0)),""))</f>
        <v/>
      </c>
      <c r="E571" s="22">
        <f t="array" ref="E571">IF($C571="","",IFERROR(INDEX(DATA_MASTER!$I$2:$I$5000,MATCH($C571,DATA_MASTER!$D$2:$D$5000,0)),""))</f>
        <v/>
      </c>
      <c r="F571" s="22">
        <f t="array" ref="F571">IF($C571="","",IFERROR(INDEX(DATA_MASTER!$L$2:$L$5000,MATCH($C571,DATA_MASTER!$D$2:$D$5000,0)),""))</f>
        <v/>
      </c>
      <c r="G571" s="24" t="n"/>
      <c r="H571" s="24" t="n"/>
      <c r="I571" s="30" t="n"/>
      <c r="J571" s="23">
        <f>IF(OR($H571="",$I571=""),"",$H571*$I571)</f>
        <v/>
      </c>
      <c r="K571" s="24" t="n"/>
      <c r="L571" s="24" t="n"/>
      <c r="M571" s="29" t="n"/>
      <c r="N571" s="28" t="n"/>
      <c r="O571" s="24" t="n"/>
      <c r="P571" s="24" t="n"/>
      <c r="Q571" s="24" t="n"/>
      <c r="R571" s="24" t="n"/>
      <c r="S571" s="22">
        <f>IF(AND($A571="",$C571=""),"",IF($A571="","Thiếu mã đơn; ","")&amp;IF(COUNTIF($A$2:$A571,$A571)&gt;1,"Trùng mã đơn; ","")&amp;IF(ISNA(MATCH($C571,DATA_MASTER!$D$2:$D$5000,0)),"SĐT chưa đăng ký hội viên; ","")&amp;IF(AND($L571="Đã chuyển khoản",$M571=""),"Thiếu ngày nhận CK; ",""))</f>
        <v/>
      </c>
      <c r="T571" s="24" t="n"/>
    </row>
    <row r="572" ht="14.25" customHeight="1" s="40">
      <c r="A572" s="24" t="n"/>
      <c r="B572" s="29" t="n"/>
      <c r="C572" s="28" t="n"/>
      <c r="D572" s="22">
        <f t="array" ref="D572">IF($C572="","",IFERROR(INDEX(DATA_MASTER!$C$2:$C$5000,MATCH($C572,DATA_MASTER!$D$2:$D$5000,0)),""))</f>
        <v/>
      </c>
      <c r="E572" s="22">
        <f t="array" ref="E572">IF($C572="","",IFERROR(INDEX(DATA_MASTER!$I$2:$I$5000,MATCH($C572,DATA_MASTER!$D$2:$D$5000,0)),""))</f>
        <v/>
      </c>
      <c r="F572" s="22">
        <f t="array" ref="F572">IF($C572="","",IFERROR(INDEX(DATA_MASTER!$L$2:$L$5000,MATCH($C572,DATA_MASTER!$D$2:$D$5000,0)),""))</f>
        <v/>
      </c>
      <c r="G572" s="24" t="n"/>
      <c r="H572" s="24" t="n"/>
      <c r="I572" s="30" t="n"/>
      <c r="J572" s="23">
        <f>IF(OR($H572="",$I572=""),"",$H572*$I572)</f>
        <v/>
      </c>
      <c r="K572" s="24" t="n"/>
      <c r="L572" s="24" t="n"/>
      <c r="M572" s="29" t="n"/>
      <c r="N572" s="28" t="n"/>
      <c r="O572" s="24" t="n"/>
      <c r="P572" s="24" t="n"/>
      <c r="Q572" s="24" t="n"/>
      <c r="R572" s="24" t="n"/>
      <c r="S572" s="22">
        <f>IF(AND($A572="",$C572=""),"",IF($A572="","Thiếu mã đơn; ","")&amp;IF(COUNTIF($A$2:$A572,$A572)&gt;1,"Trùng mã đơn; ","")&amp;IF(ISNA(MATCH($C572,DATA_MASTER!$D$2:$D$5000,0)),"SĐT chưa đăng ký hội viên; ","")&amp;IF(AND($L572="Đã chuyển khoản",$M572=""),"Thiếu ngày nhận CK; ",""))</f>
        <v/>
      </c>
      <c r="T572" s="24" t="n"/>
    </row>
    <row r="573" ht="14.25" customHeight="1" s="40">
      <c r="A573" s="24" t="n"/>
      <c r="B573" s="29" t="n"/>
      <c r="C573" s="28" t="n"/>
      <c r="D573" s="22">
        <f t="array" ref="D573">IF($C573="","",IFERROR(INDEX(DATA_MASTER!$C$2:$C$5000,MATCH($C573,DATA_MASTER!$D$2:$D$5000,0)),""))</f>
        <v/>
      </c>
      <c r="E573" s="22">
        <f t="array" ref="E573">IF($C573="","",IFERROR(INDEX(DATA_MASTER!$I$2:$I$5000,MATCH($C573,DATA_MASTER!$D$2:$D$5000,0)),""))</f>
        <v/>
      </c>
      <c r="F573" s="22">
        <f t="array" ref="F573">IF($C573="","",IFERROR(INDEX(DATA_MASTER!$L$2:$L$5000,MATCH($C573,DATA_MASTER!$D$2:$D$5000,0)),""))</f>
        <v/>
      </c>
      <c r="G573" s="24" t="n"/>
      <c r="H573" s="24" t="n"/>
      <c r="I573" s="30" t="n"/>
      <c r="J573" s="23">
        <f>IF(OR($H573="",$I573=""),"",$H573*$I573)</f>
        <v/>
      </c>
      <c r="K573" s="24" t="n"/>
      <c r="L573" s="24" t="n"/>
      <c r="M573" s="29" t="n"/>
      <c r="N573" s="28" t="n"/>
      <c r="O573" s="24" t="n"/>
      <c r="P573" s="24" t="n"/>
      <c r="Q573" s="24" t="n"/>
      <c r="R573" s="24" t="n"/>
      <c r="S573" s="22">
        <f>IF(AND($A573="",$C573=""),"",IF($A573="","Thiếu mã đơn; ","")&amp;IF(COUNTIF($A$2:$A573,$A573)&gt;1,"Trùng mã đơn; ","")&amp;IF(ISNA(MATCH($C573,DATA_MASTER!$D$2:$D$5000,0)),"SĐT chưa đăng ký hội viên; ","")&amp;IF(AND($L573="Đã chuyển khoản",$M573=""),"Thiếu ngày nhận CK; ",""))</f>
        <v/>
      </c>
      <c r="T573" s="24" t="n"/>
    </row>
    <row r="574" ht="14.25" customHeight="1" s="40">
      <c r="A574" s="24" t="n"/>
      <c r="B574" s="29" t="n"/>
      <c r="C574" s="28" t="n"/>
      <c r="D574" s="22">
        <f t="array" ref="D574">IF($C574="","",IFERROR(INDEX(DATA_MASTER!$C$2:$C$5000,MATCH($C574,DATA_MASTER!$D$2:$D$5000,0)),""))</f>
        <v/>
      </c>
      <c r="E574" s="22">
        <f t="array" ref="E574">IF($C574="","",IFERROR(INDEX(DATA_MASTER!$I$2:$I$5000,MATCH($C574,DATA_MASTER!$D$2:$D$5000,0)),""))</f>
        <v/>
      </c>
      <c r="F574" s="22">
        <f t="array" ref="F574">IF($C574="","",IFERROR(INDEX(DATA_MASTER!$L$2:$L$5000,MATCH($C574,DATA_MASTER!$D$2:$D$5000,0)),""))</f>
        <v/>
      </c>
      <c r="G574" s="24" t="n"/>
      <c r="H574" s="24" t="n"/>
      <c r="I574" s="30" t="n"/>
      <c r="J574" s="23">
        <f>IF(OR($H574="",$I574=""),"",$H574*$I574)</f>
        <v/>
      </c>
      <c r="K574" s="24" t="n"/>
      <c r="L574" s="24" t="n"/>
      <c r="M574" s="29" t="n"/>
      <c r="N574" s="28" t="n"/>
      <c r="O574" s="24" t="n"/>
      <c r="P574" s="24" t="n"/>
      <c r="Q574" s="24" t="n"/>
      <c r="R574" s="24" t="n"/>
      <c r="S574" s="22">
        <f>IF(AND($A574="",$C574=""),"",IF($A574="","Thiếu mã đơn; ","")&amp;IF(COUNTIF($A$2:$A574,$A574)&gt;1,"Trùng mã đơn; ","")&amp;IF(ISNA(MATCH($C574,DATA_MASTER!$D$2:$D$5000,0)),"SĐT chưa đăng ký hội viên; ","")&amp;IF(AND($L574="Đã chuyển khoản",$M574=""),"Thiếu ngày nhận CK; ",""))</f>
        <v/>
      </c>
      <c r="T574" s="24" t="n"/>
    </row>
    <row r="575" ht="14.25" customHeight="1" s="40">
      <c r="A575" s="24" t="n"/>
      <c r="B575" s="29" t="n"/>
      <c r="C575" s="28" t="n"/>
      <c r="D575" s="22">
        <f t="array" ref="D575">IF($C575="","",IFERROR(INDEX(DATA_MASTER!$C$2:$C$5000,MATCH($C575,DATA_MASTER!$D$2:$D$5000,0)),""))</f>
        <v/>
      </c>
      <c r="E575" s="22">
        <f t="array" ref="E575">IF($C575="","",IFERROR(INDEX(DATA_MASTER!$I$2:$I$5000,MATCH($C575,DATA_MASTER!$D$2:$D$5000,0)),""))</f>
        <v/>
      </c>
      <c r="F575" s="22">
        <f t="array" ref="F575">IF($C575="","",IFERROR(INDEX(DATA_MASTER!$L$2:$L$5000,MATCH($C575,DATA_MASTER!$D$2:$D$5000,0)),""))</f>
        <v/>
      </c>
      <c r="G575" s="24" t="n"/>
      <c r="H575" s="24" t="n"/>
      <c r="I575" s="30" t="n"/>
      <c r="J575" s="23">
        <f>IF(OR($H575="",$I575=""),"",$H575*$I575)</f>
        <v/>
      </c>
      <c r="K575" s="24" t="n"/>
      <c r="L575" s="24" t="n"/>
      <c r="M575" s="29" t="n"/>
      <c r="N575" s="28" t="n"/>
      <c r="O575" s="24" t="n"/>
      <c r="P575" s="24" t="n"/>
      <c r="Q575" s="24" t="n"/>
      <c r="R575" s="24" t="n"/>
      <c r="S575" s="22">
        <f>IF(AND($A575="",$C575=""),"",IF($A575="","Thiếu mã đơn; ","")&amp;IF(COUNTIF($A$2:$A575,$A575)&gt;1,"Trùng mã đơn; ","")&amp;IF(ISNA(MATCH($C575,DATA_MASTER!$D$2:$D$5000,0)),"SĐT chưa đăng ký hội viên; ","")&amp;IF(AND($L575="Đã chuyển khoản",$M575=""),"Thiếu ngày nhận CK; ",""))</f>
        <v/>
      </c>
      <c r="T575" s="24" t="n"/>
    </row>
    <row r="576" ht="14.25" customHeight="1" s="40">
      <c r="A576" s="24" t="n"/>
      <c r="B576" s="29" t="n"/>
      <c r="C576" s="28" t="n"/>
      <c r="D576" s="22">
        <f t="array" ref="D576">IF($C576="","",IFERROR(INDEX(DATA_MASTER!$C$2:$C$5000,MATCH($C576,DATA_MASTER!$D$2:$D$5000,0)),""))</f>
        <v/>
      </c>
      <c r="E576" s="22">
        <f t="array" ref="E576">IF($C576="","",IFERROR(INDEX(DATA_MASTER!$I$2:$I$5000,MATCH($C576,DATA_MASTER!$D$2:$D$5000,0)),""))</f>
        <v/>
      </c>
      <c r="F576" s="22">
        <f t="array" ref="F576">IF($C576="","",IFERROR(INDEX(DATA_MASTER!$L$2:$L$5000,MATCH($C576,DATA_MASTER!$D$2:$D$5000,0)),""))</f>
        <v/>
      </c>
      <c r="G576" s="24" t="n"/>
      <c r="H576" s="24" t="n"/>
      <c r="I576" s="30" t="n"/>
      <c r="J576" s="23">
        <f>IF(OR($H576="",$I576=""),"",$H576*$I576)</f>
        <v/>
      </c>
      <c r="K576" s="24" t="n"/>
      <c r="L576" s="24" t="n"/>
      <c r="M576" s="29" t="n"/>
      <c r="N576" s="28" t="n"/>
      <c r="O576" s="24" t="n"/>
      <c r="P576" s="24" t="n"/>
      <c r="Q576" s="24" t="n"/>
      <c r="R576" s="24" t="n"/>
      <c r="S576" s="22">
        <f>IF(AND($A576="",$C576=""),"",IF($A576="","Thiếu mã đơn; ","")&amp;IF(COUNTIF($A$2:$A576,$A576)&gt;1,"Trùng mã đơn; ","")&amp;IF(ISNA(MATCH($C576,DATA_MASTER!$D$2:$D$5000,0)),"SĐT chưa đăng ký hội viên; ","")&amp;IF(AND($L576="Đã chuyển khoản",$M576=""),"Thiếu ngày nhận CK; ",""))</f>
        <v/>
      </c>
      <c r="T576" s="24" t="n"/>
    </row>
    <row r="577" ht="14.25" customHeight="1" s="40">
      <c r="A577" s="24" t="n"/>
      <c r="B577" s="29" t="n"/>
      <c r="C577" s="28" t="n"/>
      <c r="D577" s="22">
        <f t="array" ref="D577">IF($C577="","",IFERROR(INDEX(DATA_MASTER!$C$2:$C$5000,MATCH($C577,DATA_MASTER!$D$2:$D$5000,0)),""))</f>
        <v/>
      </c>
      <c r="E577" s="22">
        <f t="array" ref="E577">IF($C577="","",IFERROR(INDEX(DATA_MASTER!$I$2:$I$5000,MATCH($C577,DATA_MASTER!$D$2:$D$5000,0)),""))</f>
        <v/>
      </c>
      <c r="F577" s="22">
        <f t="array" ref="F577">IF($C577="","",IFERROR(INDEX(DATA_MASTER!$L$2:$L$5000,MATCH($C577,DATA_MASTER!$D$2:$D$5000,0)),""))</f>
        <v/>
      </c>
      <c r="G577" s="24" t="n"/>
      <c r="H577" s="24" t="n"/>
      <c r="I577" s="30" t="n"/>
      <c r="J577" s="23">
        <f>IF(OR($H577="",$I577=""),"",$H577*$I577)</f>
        <v/>
      </c>
      <c r="K577" s="24" t="n"/>
      <c r="L577" s="24" t="n"/>
      <c r="M577" s="29" t="n"/>
      <c r="N577" s="28" t="n"/>
      <c r="O577" s="24" t="n"/>
      <c r="P577" s="24" t="n"/>
      <c r="Q577" s="24" t="n"/>
      <c r="R577" s="24" t="n"/>
      <c r="S577" s="22">
        <f>IF(AND($A577="",$C577=""),"",IF($A577="","Thiếu mã đơn; ","")&amp;IF(COUNTIF($A$2:$A577,$A577)&gt;1,"Trùng mã đơn; ","")&amp;IF(ISNA(MATCH($C577,DATA_MASTER!$D$2:$D$5000,0)),"SĐT chưa đăng ký hội viên; ","")&amp;IF(AND($L577="Đã chuyển khoản",$M577=""),"Thiếu ngày nhận CK; ",""))</f>
        <v/>
      </c>
      <c r="T577" s="24" t="n"/>
    </row>
    <row r="578" ht="14.25" customHeight="1" s="40">
      <c r="A578" s="24" t="n"/>
      <c r="B578" s="29" t="n"/>
      <c r="C578" s="28" t="n"/>
      <c r="D578" s="22">
        <f t="array" ref="D578">IF($C578="","",IFERROR(INDEX(DATA_MASTER!$C$2:$C$5000,MATCH($C578,DATA_MASTER!$D$2:$D$5000,0)),""))</f>
        <v/>
      </c>
      <c r="E578" s="22">
        <f t="array" ref="E578">IF($C578="","",IFERROR(INDEX(DATA_MASTER!$I$2:$I$5000,MATCH($C578,DATA_MASTER!$D$2:$D$5000,0)),""))</f>
        <v/>
      </c>
      <c r="F578" s="22">
        <f t="array" ref="F578">IF($C578="","",IFERROR(INDEX(DATA_MASTER!$L$2:$L$5000,MATCH($C578,DATA_MASTER!$D$2:$D$5000,0)),""))</f>
        <v/>
      </c>
      <c r="G578" s="24" t="n"/>
      <c r="H578" s="24" t="n"/>
      <c r="I578" s="30" t="n"/>
      <c r="J578" s="23">
        <f>IF(OR($H578="",$I578=""),"",$H578*$I578)</f>
        <v/>
      </c>
      <c r="K578" s="24" t="n"/>
      <c r="L578" s="24" t="n"/>
      <c r="M578" s="29" t="n"/>
      <c r="N578" s="28" t="n"/>
      <c r="O578" s="24" t="n"/>
      <c r="P578" s="24" t="n"/>
      <c r="Q578" s="24" t="n"/>
      <c r="R578" s="24" t="n"/>
      <c r="S578" s="22">
        <f>IF(AND($A578="",$C578=""),"",IF($A578="","Thiếu mã đơn; ","")&amp;IF(COUNTIF($A$2:$A578,$A578)&gt;1,"Trùng mã đơn; ","")&amp;IF(ISNA(MATCH($C578,DATA_MASTER!$D$2:$D$5000,0)),"SĐT chưa đăng ký hội viên; ","")&amp;IF(AND($L578="Đã chuyển khoản",$M578=""),"Thiếu ngày nhận CK; ",""))</f>
        <v/>
      </c>
      <c r="T578" s="24" t="n"/>
    </row>
    <row r="579" ht="14.25" customHeight="1" s="40">
      <c r="A579" s="24" t="n"/>
      <c r="B579" s="29" t="n"/>
      <c r="C579" s="28" t="n"/>
      <c r="D579" s="22">
        <f t="array" ref="D579">IF($C579="","",IFERROR(INDEX(DATA_MASTER!$C$2:$C$5000,MATCH($C579,DATA_MASTER!$D$2:$D$5000,0)),""))</f>
        <v/>
      </c>
      <c r="E579" s="22">
        <f t="array" ref="E579">IF($C579="","",IFERROR(INDEX(DATA_MASTER!$I$2:$I$5000,MATCH($C579,DATA_MASTER!$D$2:$D$5000,0)),""))</f>
        <v/>
      </c>
      <c r="F579" s="22">
        <f t="array" ref="F579">IF($C579="","",IFERROR(INDEX(DATA_MASTER!$L$2:$L$5000,MATCH($C579,DATA_MASTER!$D$2:$D$5000,0)),""))</f>
        <v/>
      </c>
      <c r="G579" s="24" t="n"/>
      <c r="H579" s="24" t="n"/>
      <c r="I579" s="30" t="n"/>
      <c r="J579" s="23">
        <f>IF(OR($H579="",$I579=""),"",$H579*$I579)</f>
        <v/>
      </c>
      <c r="K579" s="24" t="n"/>
      <c r="L579" s="24" t="n"/>
      <c r="M579" s="29" t="n"/>
      <c r="N579" s="28" t="n"/>
      <c r="O579" s="24" t="n"/>
      <c r="P579" s="24" t="n"/>
      <c r="Q579" s="24" t="n"/>
      <c r="R579" s="24" t="n"/>
      <c r="S579" s="22">
        <f>IF(AND($A579="",$C579=""),"",IF($A579="","Thiếu mã đơn; ","")&amp;IF(COUNTIF($A$2:$A579,$A579)&gt;1,"Trùng mã đơn; ","")&amp;IF(ISNA(MATCH($C579,DATA_MASTER!$D$2:$D$5000,0)),"SĐT chưa đăng ký hội viên; ","")&amp;IF(AND($L579="Đã chuyển khoản",$M579=""),"Thiếu ngày nhận CK; ",""))</f>
        <v/>
      </c>
      <c r="T579" s="24" t="n"/>
    </row>
    <row r="580" ht="14.25" customHeight="1" s="40">
      <c r="A580" s="24" t="n"/>
      <c r="B580" s="29" t="n"/>
      <c r="C580" s="28" t="n"/>
      <c r="D580" s="22">
        <f t="array" ref="D580">IF($C580="","",IFERROR(INDEX(DATA_MASTER!$C$2:$C$5000,MATCH($C580,DATA_MASTER!$D$2:$D$5000,0)),""))</f>
        <v/>
      </c>
      <c r="E580" s="22">
        <f t="array" ref="E580">IF($C580="","",IFERROR(INDEX(DATA_MASTER!$I$2:$I$5000,MATCH($C580,DATA_MASTER!$D$2:$D$5000,0)),""))</f>
        <v/>
      </c>
      <c r="F580" s="22">
        <f t="array" ref="F580">IF($C580="","",IFERROR(INDEX(DATA_MASTER!$L$2:$L$5000,MATCH($C580,DATA_MASTER!$D$2:$D$5000,0)),""))</f>
        <v/>
      </c>
      <c r="G580" s="24" t="n"/>
      <c r="H580" s="24" t="n"/>
      <c r="I580" s="30" t="n"/>
      <c r="J580" s="23">
        <f>IF(OR($H580="",$I580=""),"",$H580*$I580)</f>
        <v/>
      </c>
      <c r="K580" s="24" t="n"/>
      <c r="L580" s="24" t="n"/>
      <c r="M580" s="29" t="n"/>
      <c r="N580" s="28" t="n"/>
      <c r="O580" s="24" t="n"/>
      <c r="P580" s="24" t="n"/>
      <c r="Q580" s="24" t="n"/>
      <c r="R580" s="24" t="n"/>
      <c r="S580" s="22">
        <f>IF(AND($A580="",$C580=""),"",IF($A580="","Thiếu mã đơn; ","")&amp;IF(COUNTIF($A$2:$A580,$A580)&gt;1,"Trùng mã đơn; ","")&amp;IF(ISNA(MATCH($C580,DATA_MASTER!$D$2:$D$5000,0)),"SĐT chưa đăng ký hội viên; ","")&amp;IF(AND($L580="Đã chuyển khoản",$M580=""),"Thiếu ngày nhận CK; ",""))</f>
        <v/>
      </c>
      <c r="T580" s="24" t="n"/>
    </row>
    <row r="581" ht="14.25" customHeight="1" s="40">
      <c r="A581" s="24" t="n"/>
      <c r="B581" s="29" t="n"/>
      <c r="C581" s="28" t="n"/>
      <c r="D581" s="22">
        <f t="array" ref="D581">IF($C581="","",IFERROR(INDEX(DATA_MASTER!$C$2:$C$5000,MATCH($C581,DATA_MASTER!$D$2:$D$5000,0)),""))</f>
        <v/>
      </c>
      <c r="E581" s="22">
        <f t="array" ref="E581">IF($C581="","",IFERROR(INDEX(DATA_MASTER!$I$2:$I$5000,MATCH($C581,DATA_MASTER!$D$2:$D$5000,0)),""))</f>
        <v/>
      </c>
      <c r="F581" s="22">
        <f t="array" ref="F581">IF($C581="","",IFERROR(INDEX(DATA_MASTER!$L$2:$L$5000,MATCH($C581,DATA_MASTER!$D$2:$D$5000,0)),""))</f>
        <v/>
      </c>
      <c r="G581" s="24" t="n"/>
      <c r="H581" s="24" t="n"/>
      <c r="I581" s="30" t="n"/>
      <c r="J581" s="23">
        <f>IF(OR($H581="",$I581=""),"",$H581*$I581)</f>
        <v/>
      </c>
      <c r="K581" s="24" t="n"/>
      <c r="L581" s="24" t="n"/>
      <c r="M581" s="29" t="n"/>
      <c r="N581" s="28" t="n"/>
      <c r="O581" s="24" t="n"/>
      <c r="P581" s="24" t="n"/>
      <c r="Q581" s="24" t="n"/>
      <c r="R581" s="24" t="n"/>
      <c r="S581" s="22">
        <f>IF(AND($A581="",$C581=""),"",IF($A581="","Thiếu mã đơn; ","")&amp;IF(COUNTIF($A$2:$A581,$A581)&gt;1,"Trùng mã đơn; ","")&amp;IF(ISNA(MATCH($C581,DATA_MASTER!$D$2:$D$5000,0)),"SĐT chưa đăng ký hội viên; ","")&amp;IF(AND($L581="Đã chuyển khoản",$M581=""),"Thiếu ngày nhận CK; ",""))</f>
        <v/>
      </c>
      <c r="T581" s="24" t="n"/>
    </row>
    <row r="582" ht="14.25" customHeight="1" s="40">
      <c r="A582" s="24" t="n"/>
      <c r="B582" s="29" t="n"/>
      <c r="C582" s="28" t="n"/>
      <c r="D582" s="22">
        <f t="array" ref="D582">IF($C582="","",IFERROR(INDEX(DATA_MASTER!$C$2:$C$5000,MATCH($C582,DATA_MASTER!$D$2:$D$5000,0)),""))</f>
        <v/>
      </c>
      <c r="E582" s="22">
        <f t="array" ref="E582">IF($C582="","",IFERROR(INDEX(DATA_MASTER!$I$2:$I$5000,MATCH($C582,DATA_MASTER!$D$2:$D$5000,0)),""))</f>
        <v/>
      </c>
      <c r="F582" s="22">
        <f t="array" ref="F582">IF($C582="","",IFERROR(INDEX(DATA_MASTER!$L$2:$L$5000,MATCH($C582,DATA_MASTER!$D$2:$D$5000,0)),""))</f>
        <v/>
      </c>
      <c r="G582" s="24" t="n"/>
      <c r="H582" s="24" t="n"/>
      <c r="I582" s="30" t="n"/>
      <c r="J582" s="23">
        <f>IF(OR($H582="",$I582=""),"",$H582*$I582)</f>
        <v/>
      </c>
      <c r="K582" s="24" t="n"/>
      <c r="L582" s="24" t="n"/>
      <c r="M582" s="29" t="n"/>
      <c r="N582" s="28" t="n"/>
      <c r="O582" s="24" t="n"/>
      <c r="P582" s="24" t="n"/>
      <c r="Q582" s="24" t="n"/>
      <c r="R582" s="24" t="n"/>
      <c r="S582" s="22">
        <f>IF(AND($A582="",$C582=""),"",IF($A582="","Thiếu mã đơn; ","")&amp;IF(COUNTIF($A$2:$A582,$A582)&gt;1,"Trùng mã đơn; ","")&amp;IF(ISNA(MATCH($C582,DATA_MASTER!$D$2:$D$5000,0)),"SĐT chưa đăng ký hội viên; ","")&amp;IF(AND($L582="Đã chuyển khoản",$M582=""),"Thiếu ngày nhận CK; ",""))</f>
        <v/>
      </c>
      <c r="T582" s="24" t="n"/>
    </row>
    <row r="583" ht="14.25" customHeight="1" s="40">
      <c r="A583" s="24" t="n"/>
      <c r="B583" s="29" t="n"/>
      <c r="C583" s="28" t="n"/>
      <c r="D583" s="22">
        <f t="array" ref="D583">IF($C583="","",IFERROR(INDEX(DATA_MASTER!$C$2:$C$5000,MATCH($C583,DATA_MASTER!$D$2:$D$5000,0)),""))</f>
        <v/>
      </c>
      <c r="E583" s="22">
        <f t="array" ref="E583">IF($C583="","",IFERROR(INDEX(DATA_MASTER!$I$2:$I$5000,MATCH($C583,DATA_MASTER!$D$2:$D$5000,0)),""))</f>
        <v/>
      </c>
      <c r="F583" s="22">
        <f t="array" ref="F583">IF($C583="","",IFERROR(INDEX(DATA_MASTER!$L$2:$L$5000,MATCH($C583,DATA_MASTER!$D$2:$D$5000,0)),""))</f>
        <v/>
      </c>
      <c r="G583" s="24" t="n"/>
      <c r="H583" s="24" t="n"/>
      <c r="I583" s="30" t="n"/>
      <c r="J583" s="23">
        <f>IF(OR($H583="",$I583=""),"",$H583*$I583)</f>
        <v/>
      </c>
      <c r="K583" s="24" t="n"/>
      <c r="L583" s="24" t="n"/>
      <c r="M583" s="29" t="n"/>
      <c r="N583" s="28" t="n"/>
      <c r="O583" s="24" t="n"/>
      <c r="P583" s="24" t="n"/>
      <c r="Q583" s="24" t="n"/>
      <c r="R583" s="24" t="n"/>
      <c r="S583" s="22">
        <f>IF(AND($A583="",$C583=""),"",IF($A583="","Thiếu mã đơn; ","")&amp;IF(COUNTIF($A$2:$A583,$A583)&gt;1,"Trùng mã đơn; ","")&amp;IF(ISNA(MATCH($C583,DATA_MASTER!$D$2:$D$5000,0)),"SĐT chưa đăng ký hội viên; ","")&amp;IF(AND($L583="Đã chuyển khoản",$M583=""),"Thiếu ngày nhận CK; ",""))</f>
        <v/>
      </c>
      <c r="T583" s="24" t="n"/>
    </row>
    <row r="584" ht="14.25" customHeight="1" s="40">
      <c r="A584" s="24" t="n"/>
      <c r="B584" s="29" t="n"/>
      <c r="C584" s="28" t="n"/>
      <c r="D584" s="22">
        <f t="array" ref="D584">IF($C584="","",IFERROR(INDEX(DATA_MASTER!$C$2:$C$5000,MATCH($C584,DATA_MASTER!$D$2:$D$5000,0)),""))</f>
        <v/>
      </c>
      <c r="E584" s="22">
        <f t="array" ref="E584">IF($C584="","",IFERROR(INDEX(DATA_MASTER!$I$2:$I$5000,MATCH($C584,DATA_MASTER!$D$2:$D$5000,0)),""))</f>
        <v/>
      </c>
      <c r="F584" s="22">
        <f t="array" ref="F584">IF($C584="","",IFERROR(INDEX(DATA_MASTER!$L$2:$L$5000,MATCH($C584,DATA_MASTER!$D$2:$D$5000,0)),""))</f>
        <v/>
      </c>
      <c r="G584" s="24" t="n"/>
      <c r="H584" s="24" t="n"/>
      <c r="I584" s="30" t="n"/>
      <c r="J584" s="23">
        <f>IF(OR($H584="",$I584=""),"",$H584*$I584)</f>
        <v/>
      </c>
      <c r="K584" s="24" t="n"/>
      <c r="L584" s="24" t="n"/>
      <c r="M584" s="29" t="n"/>
      <c r="N584" s="28" t="n"/>
      <c r="O584" s="24" t="n"/>
      <c r="P584" s="24" t="n"/>
      <c r="Q584" s="24" t="n"/>
      <c r="R584" s="24" t="n"/>
      <c r="S584" s="22">
        <f>IF(AND($A584="",$C584=""),"",IF($A584="","Thiếu mã đơn; ","")&amp;IF(COUNTIF($A$2:$A584,$A584)&gt;1,"Trùng mã đơn; ","")&amp;IF(ISNA(MATCH($C584,DATA_MASTER!$D$2:$D$5000,0)),"SĐT chưa đăng ký hội viên; ","")&amp;IF(AND($L584="Đã chuyển khoản",$M584=""),"Thiếu ngày nhận CK; ",""))</f>
        <v/>
      </c>
      <c r="T584" s="24" t="n"/>
    </row>
    <row r="585" ht="14.25" customHeight="1" s="40">
      <c r="A585" s="24" t="n"/>
      <c r="B585" s="29" t="n"/>
      <c r="C585" s="28" t="n"/>
      <c r="D585" s="22">
        <f t="array" ref="D585">IF($C585="","",IFERROR(INDEX(DATA_MASTER!$C$2:$C$5000,MATCH($C585,DATA_MASTER!$D$2:$D$5000,0)),""))</f>
        <v/>
      </c>
      <c r="E585" s="22">
        <f t="array" ref="E585">IF($C585="","",IFERROR(INDEX(DATA_MASTER!$I$2:$I$5000,MATCH($C585,DATA_MASTER!$D$2:$D$5000,0)),""))</f>
        <v/>
      </c>
      <c r="F585" s="22">
        <f t="array" ref="F585">IF($C585="","",IFERROR(INDEX(DATA_MASTER!$L$2:$L$5000,MATCH($C585,DATA_MASTER!$D$2:$D$5000,0)),""))</f>
        <v/>
      </c>
      <c r="G585" s="24" t="n"/>
      <c r="H585" s="24" t="n"/>
      <c r="I585" s="30" t="n"/>
      <c r="J585" s="23">
        <f>IF(OR($H585="",$I585=""),"",$H585*$I585)</f>
        <v/>
      </c>
      <c r="K585" s="24" t="n"/>
      <c r="L585" s="24" t="n"/>
      <c r="M585" s="29" t="n"/>
      <c r="N585" s="28" t="n"/>
      <c r="O585" s="24" t="n"/>
      <c r="P585" s="24" t="n"/>
      <c r="Q585" s="24" t="n"/>
      <c r="R585" s="24" t="n"/>
      <c r="S585" s="22">
        <f>IF(AND($A585="",$C585=""),"",IF($A585="","Thiếu mã đơn; ","")&amp;IF(COUNTIF($A$2:$A585,$A585)&gt;1,"Trùng mã đơn; ","")&amp;IF(ISNA(MATCH($C585,DATA_MASTER!$D$2:$D$5000,0)),"SĐT chưa đăng ký hội viên; ","")&amp;IF(AND($L585="Đã chuyển khoản",$M585=""),"Thiếu ngày nhận CK; ",""))</f>
        <v/>
      </c>
      <c r="T585" s="24" t="n"/>
    </row>
    <row r="586" ht="14.25" customHeight="1" s="40">
      <c r="A586" s="24" t="n"/>
      <c r="B586" s="29" t="n"/>
      <c r="C586" s="28" t="n"/>
      <c r="D586" s="22">
        <f t="array" ref="D586">IF($C586="","",IFERROR(INDEX(DATA_MASTER!$C$2:$C$5000,MATCH($C586,DATA_MASTER!$D$2:$D$5000,0)),""))</f>
        <v/>
      </c>
      <c r="E586" s="22">
        <f t="array" ref="E586">IF($C586="","",IFERROR(INDEX(DATA_MASTER!$I$2:$I$5000,MATCH($C586,DATA_MASTER!$D$2:$D$5000,0)),""))</f>
        <v/>
      </c>
      <c r="F586" s="22">
        <f t="array" ref="F586">IF($C586="","",IFERROR(INDEX(DATA_MASTER!$L$2:$L$5000,MATCH($C586,DATA_MASTER!$D$2:$D$5000,0)),""))</f>
        <v/>
      </c>
      <c r="G586" s="24" t="n"/>
      <c r="H586" s="24" t="n"/>
      <c r="I586" s="30" t="n"/>
      <c r="J586" s="23">
        <f>IF(OR($H586="",$I586=""),"",$H586*$I586)</f>
        <v/>
      </c>
      <c r="K586" s="24" t="n"/>
      <c r="L586" s="24" t="n"/>
      <c r="M586" s="29" t="n"/>
      <c r="N586" s="28" t="n"/>
      <c r="O586" s="24" t="n"/>
      <c r="P586" s="24" t="n"/>
      <c r="Q586" s="24" t="n"/>
      <c r="R586" s="24" t="n"/>
      <c r="S586" s="22">
        <f>IF(AND($A586="",$C586=""),"",IF($A586="","Thiếu mã đơn; ","")&amp;IF(COUNTIF($A$2:$A586,$A586)&gt;1,"Trùng mã đơn; ","")&amp;IF(ISNA(MATCH($C586,DATA_MASTER!$D$2:$D$5000,0)),"SĐT chưa đăng ký hội viên; ","")&amp;IF(AND($L586="Đã chuyển khoản",$M586=""),"Thiếu ngày nhận CK; ",""))</f>
        <v/>
      </c>
      <c r="T586" s="24" t="n"/>
    </row>
    <row r="587" ht="14.25" customHeight="1" s="40">
      <c r="A587" s="24" t="n"/>
      <c r="B587" s="29" t="n"/>
      <c r="C587" s="28" t="n"/>
      <c r="D587" s="22">
        <f t="array" ref="D587">IF($C587="","",IFERROR(INDEX(DATA_MASTER!$C$2:$C$5000,MATCH($C587,DATA_MASTER!$D$2:$D$5000,0)),""))</f>
        <v/>
      </c>
      <c r="E587" s="22">
        <f t="array" ref="E587">IF($C587="","",IFERROR(INDEX(DATA_MASTER!$I$2:$I$5000,MATCH($C587,DATA_MASTER!$D$2:$D$5000,0)),""))</f>
        <v/>
      </c>
      <c r="F587" s="22">
        <f t="array" ref="F587">IF($C587="","",IFERROR(INDEX(DATA_MASTER!$L$2:$L$5000,MATCH($C587,DATA_MASTER!$D$2:$D$5000,0)),""))</f>
        <v/>
      </c>
      <c r="G587" s="24" t="n"/>
      <c r="H587" s="24" t="n"/>
      <c r="I587" s="30" t="n"/>
      <c r="J587" s="23">
        <f>IF(OR($H587="",$I587=""),"",$H587*$I587)</f>
        <v/>
      </c>
      <c r="K587" s="24" t="n"/>
      <c r="L587" s="24" t="n"/>
      <c r="M587" s="29" t="n"/>
      <c r="N587" s="28" t="n"/>
      <c r="O587" s="24" t="n"/>
      <c r="P587" s="24" t="n"/>
      <c r="Q587" s="24" t="n"/>
      <c r="R587" s="24" t="n"/>
      <c r="S587" s="22">
        <f>IF(AND($A587="",$C587=""),"",IF($A587="","Thiếu mã đơn; ","")&amp;IF(COUNTIF($A$2:$A587,$A587)&gt;1,"Trùng mã đơn; ","")&amp;IF(ISNA(MATCH($C587,DATA_MASTER!$D$2:$D$5000,0)),"SĐT chưa đăng ký hội viên; ","")&amp;IF(AND($L587="Đã chuyển khoản",$M587=""),"Thiếu ngày nhận CK; ",""))</f>
        <v/>
      </c>
      <c r="T587" s="24" t="n"/>
    </row>
    <row r="588" ht="14.25" customHeight="1" s="40">
      <c r="A588" s="24" t="n"/>
      <c r="B588" s="29" t="n"/>
      <c r="C588" s="28" t="n"/>
      <c r="D588" s="22">
        <f t="array" ref="D588">IF($C588="","",IFERROR(INDEX(DATA_MASTER!$C$2:$C$5000,MATCH($C588,DATA_MASTER!$D$2:$D$5000,0)),""))</f>
        <v/>
      </c>
      <c r="E588" s="22">
        <f t="array" ref="E588">IF($C588="","",IFERROR(INDEX(DATA_MASTER!$I$2:$I$5000,MATCH($C588,DATA_MASTER!$D$2:$D$5000,0)),""))</f>
        <v/>
      </c>
      <c r="F588" s="22">
        <f t="array" ref="F588">IF($C588="","",IFERROR(INDEX(DATA_MASTER!$L$2:$L$5000,MATCH($C588,DATA_MASTER!$D$2:$D$5000,0)),""))</f>
        <v/>
      </c>
      <c r="G588" s="24" t="n"/>
      <c r="H588" s="24" t="n"/>
      <c r="I588" s="30" t="n"/>
      <c r="J588" s="23">
        <f>IF(OR($H588="",$I588=""),"",$H588*$I588)</f>
        <v/>
      </c>
      <c r="K588" s="24" t="n"/>
      <c r="L588" s="24" t="n"/>
      <c r="M588" s="29" t="n"/>
      <c r="N588" s="28" t="n"/>
      <c r="O588" s="24" t="n"/>
      <c r="P588" s="24" t="n"/>
      <c r="Q588" s="24" t="n"/>
      <c r="R588" s="24" t="n"/>
      <c r="S588" s="22">
        <f>IF(AND($A588="",$C588=""),"",IF($A588="","Thiếu mã đơn; ","")&amp;IF(COUNTIF($A$2:$A588,$A588)&gt;1,"Trùng mã đơn; ","")&amp;IF(ISNA(MATCH($C588,DATA_MASTER!$D$2:$D$5000,0)),"SĐT chưa đăng ký hội viên; ","")&amp;IF(AND($L588="Đã chuyển khoản",$M588=""),"Thiếu ngày nhận CK; ",""))</f>
        <v/>
      </c>
      <c r="T588" s="24" t="n"/>
    </row>
    <row r="589" ht="14.25" customHeight="1" s="40">
      <c r="A589" s="24" t="n"/>
      <c r="B589" s="29" t="n"/>
      <c r="C589" s="28" t="n"/>
      <c r="D589" s="22">
        <f t="array" ref="D589">IF($C589="","",IFERROR(INDEX(DATA_MASTER!$C$2:$C$5000,MATCH($C589,DATA_MASTER!$D$2:$D$5000,0)),""))</f>
        <v/>
      </c>
      <c r="E589" s="22">
        <f t="array" ref="E589">IF($C589="","",IFERROR(INDEX(DATA_MASTER!$I$2:$I$5000,MATCH($C589,DATA_MASTER!$D$2:$D$5000,0)),""))</f>
        <v/>
      </c>
      <c r="F589" s="22">
        <f t="array" ref="F589">IF($C589="","",IFERROR(INDEX(DATA_MASTER!$L$2:$L$5000,MATCH($C589,DATA_MASTER!$D$2:$D$5000,0)),""))</f>
        <v/>
      </c>
      <c r="G589" s="24" t="n"/>
      <c r="H589" s="24" t="n"/>
      <c r="I589" s="30" t="n"/>
      <c r="J589" s="23">
        <f>IF(OR($H589="",$I589=""),"",$H589*$I589)</f>
        <v/>
      </c>
      <c r="K589" s="24" t="n"/>
      <c r="L589" s="24" t="n"/>
      <c r="M589" s="29" t="n"/>
      <c r="N589" s="28" t="n"/>
      <c r="O589" s="24" t="n"/>
      <c r="P589" s="24" t="n"/>
      <c r="Q589" s="24" t="n"/>
      <c r="R589" s="24" t="n"/>
      <c r="S589" s="22">
        <f>IF(AND($A589="",$C589=""),"",IF($A589="","Thiếu mã đơn; ","")&amp;IF(COUNTIF($A$2:$A589,$A589)&gt;1,"Trùng mã đơn; ","")&amp;IF(ISNA(MATCH($C589,DATA_MASTER!$D$2:$D$5000,0)),"SĐT chưa đăng ký hội viên; ","")&amp;IF(AND($L589="Đã chuyển khoản",$M589=""),"Thiếu ngày nhận CK; ",""))</f>
        <v/>
      </c>
      <c r="T589" s="24" t="n"/>
    </row>
    <row r="590" ht="14.25" customHeight="1" s="40">
      <c r="A590" s="24" t="n"/>
      <c r="B590" s="29" t="n"/>
      <c r="C590" s="28" t="n"/>
      <c r="D590" s="22">
        <f t="array" ref="D590">IF($C590="","",IFERROR(INDEX(DATA_MASTER!$C$2:$C$5000,MATCH($C590,DATA_MASTER!$D$2:$D$5000,0)),""))</f>
        <v/>
      </c>
      <c r="E590" s="22">
        <f t="array" ref="E590">IF($C590="","",IFERROR(INDEX(DATA_MASTER!$I$2:$I$5000,MATCH($C590,DATA_MASTER!$D$2:$D$5000,0)),""))</f>
        <v/>
      </c>
      <c r="F590" s="22">
        <f t="array" ref="F590">IF($C590="","",IFERROR(INDEX(DATA_MASTER!$L$2:$L$5000,MATCH($C590,DATA_MASTER!$D$2:$D$5000,0)),""))</f>
        <v/>
      </c>
      <c r="G590" s="24" t="n"/>
      <c r="H590" s="24" t="n"/>
      <c r="I590" s="30" t="n"/>
      <c r="J590" s="23">
        <f>IF(OR($H590="",$I590=""),"",$H590*$I590)</f>
        <v/>
      </c>
      <c r="K590" s="24" t="n"/>
      <c r="L590" s="24" t="n"/>
      <c r="M590" s="29" t="n"/>
      <c r="N590" s="28" t="n"/>
      <c r="O590" s="24" t="n"/>
      <c r="P590" s="24" t="n"/>
      <c r="Q590" s="24" t="n"/>
      <c r="R590" s="24" t="n"/>
      <c r="S590" s="22">
        <f>IF(AND($A590="",$C590=""),"",IF($A590="","Thiếu mã đơn; ","")&amp;IF(COUNTIF($A$2:$A590,$A590)&gt;1,"Trùng mã đơn; ","")&amp;IF(ISNA(MATCH($C590,DATA_MASTER!$D$2:$D$5000,0)),"SĐT chưa đăng ký hội viên; ","")&amp;IF(AND($L590="Đã chuyển khoản",$M590=""),"Thiếu ngày nhận CK; ",""))</f>
        <v/>
      </c>
      <c r="T590" s="24" t="n"/>
    </row>
    <row r="591" ht="14.25" customHeight="1" s="40">
      <c r="A591" s="24" t="n"/>
      <c r="B591" s="29" t="n"/>
      <c r="C591" s="28" t="n"/>
      <c r="D591" s="22">
        <f t="array" ref="D591">IF($C591="","",IFERROR(INDEX(DATA_MASTER!$C$2:$C$5000,MATCH($C591,DATA_MASTER!$D$2:$D$5000,0)),""))</f>
        <v/>
      </c>
      <c r="E591" s="22">
        <f t="array" ref="E591">IF($C591="","",IFERROR(INDEX(DATA_MASTER!$I$2:$I$5000,MATCH($C591,DATA_MASTER!$D$2:$D$5000,0)),""))</f>
        <v/>
      </c>
      <c r="F591" s="22">
        <f t="array" ref="F591">IF($C591="","",IFERROR(INDEX(DATA_MASTER!$L$2:$L$5000,MATCH($C591,DATA_MASTER!$D$2:$D$5000,0)),""))</f>
        <v/>
      </c>
      <c r="G591" s="24" t="n"/>
      <c r="H591" s="24" t="n"/>
      <c r="I591" s="30" t="n"/>
      <c r="J591" s="23">
        <f>IF(OR($H591="",$I591=""),"",$H591*$I591)</f>
        <v/>
      </c>
      <c r="K591" s="24" t="n"/>
      <c r="L591" s="24" t="n"/>
      <c r="M591" s="29" t="n"/>
      <c r="N591" s="28" t="n"/>
      <c r="O591" s="24" t="n"/>
      <c r="P591" s="24" t="n"/>
      <c r="Q591" s="24" t="n"/>
      <c r="R591" s="24" t="n"/>
      <c r="S591" s="22">
        <f>IF(AND($A591="",$C591=""),"",IF($A591="","Thiếu mã đơn; ","")&amp;IF(COUNTIF($A$2:$A591,$A591)&gt;1,"Trùng mã đơn; ","")&amp;IF(ISNA(MATCH($C591,DATA_MASTER!$D$2:$D$5000,0)),"SĐT chưa đăng ký hội viên; ","")&amp;IF(AND($L591="Đã chuyển khoản",$M591=""),"Thiếu ngày nhận CK; ",""))</f>
        <v/>
      </c>
      <c r="T591" s="24" t="n"/>
    </row>
    <row r="592" ht="14.25" customHeight="1" s="40">
      <c r="A592" s="24" t="n"/>
      <c r="B592" s="29" t="n"/>
      <c r="C592" s="28" t="n"/>
      <c r="D592" s="22">
        <f t="array" ref="D592">IF($C592="","",IFERROR(INDEX(DATA_MASTER!$C$2:$C$5000,MATCH($C592,DATA_MASTER!$D$2:$D$5000,0)),""))</f>
        <v/>
      </c>
      <c r="E592" s="22">
        <f t="array" ref="E592">IF($C592="","",IFERROR(INDEX(DATA_MASTER!$I$2:$I$5000,MATCH($C592,DATA_MASTER!$D$2:$D$5000,0)),""))</f>
        <v/>
      </c>
      <c r="F592" s="22">
        <f t="array" ref="F592">IF($C592="","",IFERROR(INDEX(DATA_MASTER!$L$2:$L$5000,MATCH($C592,DATA_MASTER!$D$2:$D$5000,0)),""))</f>
        <v/>
      </c>
      <c r="G592" s="24" t="n"/>
      <c r="H592" s="24" t="n"/>
      <c r="I592" s="30" t="n"/>
      <c r="J592" s="23">
        <f>IF(OR($H592="",$I592=""),"",$H592*$I592)</f>
        <v/>
      </c>
      <c r="K592" s="24" t="n"/>
      <c r="L592" s="24" t="n"/>
      <c r="M592" s="29" t="n"/>
      <c r="N592" s="28" t="n"/>
      <c r="O592" s="24" t="n"/>
      <c r="P592" s="24" t="n"/>
      <c r="Q592" s="24" t="n"/>
      <c r="R592" s="24" t="n"/>
      <c r="S592" s="22">
        <f>IF(AND($A592="",$C592=""),"",IF($A592="","Thiếu mã đơn; ","")&amp;IF(COUNTIF($A$2:$A592,$A592)&gt;1,"Trùng mã đơn; ","")&amp;IF(ISNA(MATCH($C592,DATA_MASTER!$D$2:$D$5000,0)),"SĐT chưa đăng ký hội viên; ","")&amp;IF(AND($L592="Đã chuyển khoản",$M592=""),"Thiếu ngày nhận CK; ",""))</f>
        <v/>
      </c>
      <c r="T592" s="24" t="n"/>
    </row>
    <row r="593" ht="14.25" customHeight="1" s="40">
      <c r="A593" s="24" t="n"/>
      <c r="B593" s="29" t="n"/>
      <c r="C593" s="28" t="n"/>
      <c r="D593" s="22">
        <f t="array" ref="D593">IF($C593="","",IFERROR(INDEX(DATA_MASTER!$C$2:$C$5000,MATCH($C593,DATA_MASTER!$D$2:$D$5000,0)),""))</f>
        <v/>
      </c>
      <c r="E593" s="22">
        <f t="array" ref="E593">IF($C593="","",IFERROR(INDEX(DATA_MASTER!$I$2:$I$5000,MATCH($C593,DATA_MASTER!$D$2:$D$5000,0)),""))</f>
        <v/>
      </c>
      <c r="F593" s="22">
        <f t="array" ref="F593">IF($C593="","",IFERROR(INDEX(DATA_MASTER!$L$2:$L$5000,MATCH($C593,DATA_MASTER!$D$2:$D$5000,0)),""))</f>
        <v/>
      </c>
      <c r="G593" s="24" t="n"/>
      <c r="H593" s="24" t="n"/>
      <c r="I593" s="30" t="n"/>
      <c r="J593" s="23">
        <f>IF(OR($H593="",$I593=""),"",$H593*$I593)</f>
        <v/>
      </c>
      <c r="K593" s="24" t="n"/>
      <c r="L593" s="24" t="n"/>
      <c r="M593" s="29" t="n"/>
      <c r="N593" s="28" t="n"/>
      <c r="O593" s="24" t="n"/>
      <c r="P593" s="24" t="n"/>
      <c r="Q593" s="24" t="n"/>
      <c r="R593" s="24" t="n"/>
      <c r="S593" s="22">
        <f>IF(AND($A593="",$C593=""),"",IF($A593="","Thiếu mã đơn; ","")&amp;IF(COUNTIF($A$2:$A593,$A593)&gt;1,"Trùng mã đơn; ","")&amp;IF(ISNA(MATCH($C593,DATA_MASTER!$D$2:$D$5000,0)),"SĐT chưa đăng ký hội viên; ","")&amp;IF(AND($L593="Đã chuyển khoản",$M593=""),"Thiếu ngày nhận CK; ",""))</f>
        <v/>
      </c>
      <c r="T593" s="24" t="n"/>
    </row>
    <row r="594" ht="14.25" customHeight="1" s="40">
      <c r="A594" s="24" t="n"/>
      <c r="B594" s="29" t="n"/>
      <c r="C594" s="28" t="n"/>
      <c r="D594" s="22">
        <f t="array" ref="D594">IF($C594="","",IFERROR(INDEX(DATA_MASTER!$C$2:$C$5000,MATCH($C594,DATA_MASTER!$D$2:$D$5000,0)),""))</f>
        <v/>
      </c>
      <c r="E594" s="22">
        <f t="array" ref="E594">IF($C594="","",IFERROR(INDEX(DATA_MASTER!$I$2:$I$5000,MATCH($C594,DATA_MASTER!$D$2:$D$5000,0)),""))</f>
        <v/>
      </c>
      <c r="F594" s="22">
        <f t="array" ref="F594">IF($C594="","",IFERROR(INDEX(DATA_MASTER!$L$2:$L$5000,MATCH($C594,DATA_MASTER!$D$2:$D$5000,0)),""))</f>
        <v/>
      </c>
      <c r="G594" s="24" t="n"/>
      <c r="H594" s="24" t="n"/>
      <c r="I594" s="30" t="n"/>
      <c r="J594" s="23">
        <f>IF(OR($H594="",$I594=""),"",$H594*$I594)</f>
        <v/>
      </c>
      <c r="K594" s="24" t="n"/>
      <c r="L594" s="24" t="n"/>
      <c r="M594" s="29" t="n"/>
      <c r="N594" s="28" t="n"/>
      <c r="O594" s="24" t="n"/>
      <c r="P594" s="24" t="n"/>
      <c r="Q594" s="24" t="n"/>
      <c r="R594" s="24" t="n"/>
      <c r="S594" s="22">
        <f>IF(AND($A594="",$C594=""),"",IF($A594="","Thiếu mã đơn; ","")&amp;IF(COUNTIF($A$2:$A594,$A594)&gt;1,"Trùng mã đơn; ","")&amp;IF(ISNA(MATCH($C594,DATA_MASTER!$D$2:$D$5000,0)),"SĐT chưa đăng ký hội viên; ","")&amp;IF(AND($L594="Đã chuyển khoản",$M594=""),"Thiếu ngày nhận CK; ",""))</f>
        <v/>
      </c>
      <c r="T594" s="24" t="n"/>
    </row>
    <row r="595" ht="14.25" customHeight="1" s="40">
      <c r="A595" s="24" t="n"/>
      <c r="B595" s="29" t="n"/>
      <c r="C595" s="28" t="n"/>
      <c r="D595" s="22">
        <f t="array" ref="D595">IF($C595="","",IFERROR(INDEX(DATA_MASTER!$C$2:$C$5000,MATCH($C595,DATA_MASTER!$D$2:$D$5000,0)),""))</f>
        <v/>
      </c>
      <c r="E595" s="22">
        <f t="array" ref="E595">IF($C595="","",IFERROR(INDEX(DATA_MASTER!$I$2:$I$5000,MATCH($C595,DATA_MASTER!$D$2:$D$5000,0)),""))</f>
        <v/>
      </c>
      <c r="F595" s="22">
        <f t="array" ref="F595">IF($C595="","",IFERROR(INDEX(DATA_MASTER!$L$2:$L$5000,MATCH($C595,DATA_MASTER!$D$2:$D$5000,0)),""))</f>
        <v/>
      </c>
      <c r="G595" s="24" t="n"/>
      <c r="H595" s="24" t="n"/>
      <c r="I595" s="30" t="n"/>
      <c r="J595" s="23">
        <f>IF(OR($H595="",$I595=""),"",$H595*$I595)</f>
        <v/>
      </c>
      <c r="K595" s="24" t="n"/>
      <c r="L595" s="24" t="n"/>
      <c r="M595" s="29" t="n"/>
      <c r="N595" s="28" t="n"/>
      <c r="O595" s="24" t="n"/>
      <c r="P595" s="24" t="n"/>
      <c r="Q595" s="24" t="n"/>
      <c r="R595" s="24" t="n"/>
      <c r="S595" s="22">
        <f>IF(AND($A595="",$C595=""),"",IF($A595="","Thiếu mã đơn; ","")&amp;IF(COUNTIF($A$2:$A595,$A595)&gt;1,"Trùng mã đơn; ","")&amp;IF(ISNA(MATCH($C595,DATA_MASTER!$D$2:$D$5000,0)),"SĐT chưa đăng ký hội viên; ","")&amp;IF(AND($L595="Đã chuyển khoản",$M595=""),"Thiếu ngày nhận CK; ",""))</f>
        <v/>
      </c>
      <c r="T595" s="24" t="n"/>
    </row>
    <row r="596" ht="14.25" customHeight="1" s="40">
      <c r="A596" s="24" t="n"/>
      <c r="B596" s="29" t="n"/>
      <c r="C596" s="28" t="n"/>
      <c r="D596" s="22">
        <f t="array" ref="D596">IF($C596="","",IFERROR(INDEX(DATA_MASTER!$C$2:$C$5000,MATCH($C596,DATA_MASTER!$D$2:$D$5000,0)),""))</f>
        <v/>
      </c>
      <c r="E596" s="22">
        <f t="array" ref="E596">IF($C596="","",IFERROR(INDEX(DATA_MASTER!$I$2:$I$5000,MATCH($C596,DATA_MASTER!$D$2:$D$5000,0)),""))</f>
        <v/>
      </c>
      <c r="F596" s="22">
        <f t="array" ref="F596">IF($C596="","",IFERROR(INDEX(DATA_MASTER!$L$2:$L$5000,MATCH($C596,DATA_MASTER!$D$2:$D$5000,0)),""))</f>
        <v/>
      </c>
      <c r="G596" s="24" t="n"/>
      <c r="H596" s="24" t="n"/>
      <c r="I596" s="30" t="n"/>
      <c r="J596" s="23">
        <f>IF(OR($H596="",$I596=""),"",$H596*$I596)</f>
        <v/>
      </c>
      <c r="K596" s="24" t="n"/>
      <c r="L596" s="24" t="n"/>
      <c r="M596" s="29" t="n"/>
      <c r="N596" s="28" t="n"/>
      <c r="O596" s="24" t="n"/>
      <c r="P596" s="24" t="n"/>
      <c r="Q596" s="24" t="n"/>
      <c r="R596" s="24" t="n"/>
      <c r="S596" s="22">
        <f>IF(AND($A596="",$C596=""),"",IF($A596="","Thiếu mã đơn; ","")&amp;IF(COUNTIF($A$2:$A596,$A596)&gt;1,"Trùng mã đơn; ","")&amp;IF(ISNA(MATCH($C596,DATA_MASTER!$D$2:$D$5000,0)),"SĐT chưa đăng ký hội viên; ","")&amp;IF(AND($L596="Đã chuyển khoản",$M596=""),"Thiếu ngày nhận CK; ",""))</f>
        <v/>
      </c>
      <c r="T596" s="24" t="n"/>
    </row>
    <row r="597" ht="14.25" customHeight="1" s="40">
      <c r="A597" s="24" t="n"/>
      <c r="B597" s="29" t="n"/>
      <c r="C597" s="28" t="n"/>
      <c r="D597" s="22">
        <f t="array" ref="D597">IF($C597="","",IFERROR(INDEX(DATA_MASTER!$C$2:$C$5000,MATCH($C597,DATA_MASTER!$D$2:$D$5000,0)),""))</f>
        <v/>
      </c>
      <c r="E597" s="22">
        <f t="array" ref="E597">IF($C597="","",IFERROR(INDEX(DATA_MASTER!$I$2:$I$5000,MATCH($C597,DATA_MASTER!$D$2:$D$5000,0)),""))</f>
        <v/>
      </c>
      <c r="F597" s="22">
        <f t="array" ref="F597">IF($C597="","",IFERROR(INDEX(DATA_MASTER!$L$2:$L$5000,MATCH($C597,DATA_MASTER!$D$2:$D$5000,0)),""))</f>
        <v/>
      </c>
      <c r="G597" s="24" t="n"/>
      <c r="H597" s="24" t="n"/>
      <c r="I597" s="30" t="n"/>
      <c r="J597" s="23">
        <f>IF(OR($H597="",$I597=""),"",$H597*$I597)</f>
        <v/>
      </c>
      <c r="K597" s="24" t="n"/>
      <c r="L597" s="24" t="n"/>
      <c r="M597" s="29" t="n"/>
      <c r="N597" s="28" t="n"/>
      <c r="O597" s="24" t="n"/>
      <c r="P597" s="24" t="n"/>
      <c r="Q597" s="24" t="n"/>
      <c r="R597" s="24" t="n"/>
      <c r="S597" s="22">
        <f>IF(AND($A597="",$C597=""),"",IF($A597="","Thiếu mã đơn; ","")&amp;IF(COUNTIF($A$2:$A597,$A597)&gt;1,"Trùng mã đơn; ","")&amp;IF(ISNA(MATCH($C597,DATA_MASTER!$D$2:$D$5000,0)),"SĐT chưa đăng ký hội viên; ","")&amp;IF(AND($L597="Đã chuyển khoản",$M597=""),"Thiếu ngày nhận CK; ",""))</f>
        <v/>
      </c>
      <c r="T597" s="24" t="n"/>
    </row>
    <row r="598" ht="14.25" customHeight="1" s="40">
      <c r="A598" s="24" t="n"/>
      <c r="B598" s="29" t="n"/>
      <c r="C598" s="28" t="n"/>
      <c r="D598" s="22">
        <f t="array" ref="D598">IF($C598="","",IFERROR(INDEX(DATA_MASTER!$C$2:$C$5000,MATCH($C598,DATA_MASTER!$D$2:$D$5000,0)),""))</f>
        <v/>
      </c>
      <c r="E598" s="22">
        <f t="array" ref="E598">IF($C598="","",IFERROR(INDEX(DATA_MASTER!$I$2:$I$5000,MATCH($C598,DATA_MASTER!$D$2:$D$5000,0)),""))</f>
        <v/>
      </c>
      <c r="F598" s="22">
        <f t="array" ref="F598">IF($C598="","",IFERROR(INDEX(DATA_MASTER!$L$2:$L$5000,MATCH($C598,DATA_MASTER!$D$2:$D$5000,0)),""))</f>
        <v/>
      </c>
      <c r="G598" s="24" t="n"/>
      <c r="H598" s="24" t="n"/>
      <c r="I598" s="30" t="n"/>
      <c r="J598" s="23">
        <f>IF(OR($H598="",$I598=""),"",$H598*$I598)</f>
        <v/>
      </c>
      <c r="K598" s="24" t="n"/>
      <c r="L598" s="24" t="n"/>
      <c r="M598" s="29" t="n"/>
      <c r="N598" s="28" t="n"/>
      <c r="O598" s="24" t="n"/>
      <c r="P598" s="24" t="n"/>
      <c r="Q598" s="24" t="n"/>
      <c r="R598" s="24" t="n"/>
      <c r="S598" s="22">
        <f>IF(AND($A598="",$C598=""),"",IF($A598="","Thiếu mã đơn; ","")&amp;IF(COUNTIF($A$2:$A598,$A598)&gt;1,"Trùng mã đơn; ","")&amp;IF(ISNA(MATCH($C598,DATA_MASTER!$D$2:$D$5000,0)),"SĐT chưa đăng ký hội viên; ","")&amp;IF(AND($L598="Đã chuyển khoản",$M598=""),"Thiếu ngày nhận CK; ",""))</f>
        <v/>
      </c>
      <c r="T598" s="24" t="n"/>
    </row>
    <row r="599" ht="14.25" customHeight="1" s="40">
      <c r="A599" s="24" t="n"/>
      <c r="B599" s="29" t="n"/>
      <c r="C599" s="28" t="n"/>
      <c r="D599" s="22">
        <f t="array" ref="D599">IF($C599="","",IFERROR(INDEX(DATA_MASTER!$C$2:$C$5000,MATCH($C599,DATA_MASTER!$D$2:$D$5000,0)),""))</f>
        <v/>
      </c>
      <c r="E599" s="22">
        <f t="array" ref="E599">IF($C599="","",IFERROR(INDEX(DATA_MASTER!$I$2:$I$5000,MATCH($C599,DATA_MASTER!$D$2:$D$5000,0)),""))</f>
        <v/>
      </c>
      <c r="F599" s="22">
        <f t="array" ref="F599">IF($C599="","",IFERROR(INDEX(DATA_MASTER!$L$2:$L$5000,MATCH($C599,DATA_MASTER!$D$2:$D$5000,0)),""))</f>
        <v/>
      </c>
      <c r="G599" s="24" t="n"/>
      <c r="H599" s="24" t="n"/>
      <c r="I599" s="30" t="n"/>
      <c r="J599" s="23">
        <f>IF(OR($H599="",$I599=""),"",$H599*$I599)</f>
        <v/>
      </c>
      <c r="K599" s="24" t="n"/>
      <c r="L599" s="24" t="n"/>
      <c r="M599" s="29" t="n"/>
      <c r="N599" s="28" t="n"/>
      <c r="O599" s="24" t="n"/>
      <c r="P599" s="24" t="n"/>
      <c r="Q599" s="24" t="n"/>
      <c r="R599" s="24" t="n"/>
      <c r="S599" s="22">
        <f>IF(AND($A599="",$C599=""),"",IF($A599="","Thiếu mã đơn; ","")&amp;IF(COUNTIF($A$2:$A599,$A599)&gt;1,"Trùng mã đơn; ","")&amp;IF(ISNA(MATCH($C599,DATA_MASTER!$D$2:$D$5000,0)),"SĐT chưa đăng ký hội viên; ","")&amp;IF(AND($L599="Đã chuyển khoản",$M599=""),"Thiếu ngày nhận CK; ",""))</f>
        <v/>
      </c>
      <c r="T599" s="24" t="n"/>
    </row>
    <row r="600" ht="14.25" customHeight="1" s="40">
      <c r="A600" s="24" t="n"/>
      <c r="B600" s="29" t="n"/>
      <c r="C600" s="28" t="n"/>
      <c r="D600" s="22">
        <f t="array" ref="D600">IF($C600="","",IFERROR(INDEX(DATA_MASTER!$C$2:$C$5000,MATCH($C600,DATA_MASTER!$D$2:$D$5000,0)),""))</f>
        <v/>
      </c>
      <c r="E600" s="22">
        <f t="array" ref="E600">IF($C600="","",IFERROR(INDEX(DATA_MASTER!$I$2:$I$5000,MATCH($C600,DATA_MASTER!$D$2:$D$5000,0)),""))</f>
        <v/>
      </c>
      <c r="F600" s="22">
        <f t="array" ref="F600">IF($C600="","",IFERROR(INDEX(DATA_MASTER!$L$2:$L$5000,MATCH($C600,DATA_MASTER!$D$2:$D$5000,0)),""))</f>
        <v/>
      </c>
      <c r="G600" s="24" t="n"/>
      <c r="H600" s="24" t="n"/>
      <c r="I600" s="30" t="n"/>
      <c r="J600" s="23">
        <f>IF(OR($H600="",$I600=""),"",$H600*$I600)</f>
        <v/>
      </c>
      <c r="K600" s="24" t="n"/>
      <c r="L600" s="24" t="n"/>
      <c r="M600" s="29" t="n"/>
      <c r="N600" s="28" t="n"/>
      <c r="O600" s="24" t="n"/>
      <c r="P600" s="24" t="n"/>
      <c r="Q600" s="24" t="n"/>
      <c r="R600" s="24" t="n"/>
      <c r="S600" s="22">
        <f>IF(AND($A600="",$C600=""),"",IF($A600="","Thiếu mã đơn; ","")&amp;IF(COUNTIF($A$2:$A600,$A600)&gt;1,"Trùng mã đơn; ","")&amp;IF(ISNA(MATCH($C600,DATA_MASTER!$D$2:$D$5000,0)),"SĐT chưa đăng ký hội viên; ","")&amp;IF(AND($L600="Đã chuyển khoản",$M600=""),"Thiếu ngày nhận CK; ",""))</f>
        <v/>
      </c>
      <c r="T600" s="24" t="n"/>
    </row>
    <row r="601" ht="14.25" customHeight="1" s="40">
      <c r="A601" s="24" t="n"/>
      <c r="B601" s="29" t="n"/>
      <c r="C601" s="28" t="n"/>
      <c r="D601" s="22">
        <f t="array" ref="D601">IF($C601="","",IFERROR(INDEX(DATA_MASTER!$C$2:$C$5000,MATCH($C601,DATA_MASTER!$D$2:$D$5000,0)),""))</f>
        <v/>
      </c>
      <c r="E601" s="22">
        <f t="array" ref="E601">IF($C601="","",IFERROR(INDEX(DATA_MASTER!$I$2:$I$5000,MATCH($C601,DATA_MASTER!$D$2:$D$5000,0)),""))</f>
        <v/>
      </c>
      <c r="F601" s="22">
        <f t="array" ref="F601">IF($C601="","",IFERROR(INDEX(DATA_MASTER!$L$2:$L$5000,MATCH($C601,DATA_MASTER!$D$2:$D$5000,0)),""))</f>
        <v/>
      </c>
      <c r="G601" s="24" t="n"/>
      <c r="H601" s="24" t="n"/>
      <c r="I601" s="30" t="n"/>
      <c r="J601" s="23">
        <f>IF(OR($H601="",$I601=""),"",$H601*$I601)</f>
        <v/>
      </c>
      <c r="K601" s="24" t="n"/>
      <c r="L601" s="24" t="n"/>
      <c r="M601" s="29" t="n"/>
      <c r="N601" s="28" t="n"/>
      <c r="O601" s="24" t="n"/>
      <c r="P601" s="24" t="n"/>
      <c r="Q601" s="24" t="n"/>
      <c r="R601" s="24" t="n"/>
      <c r="S601" s="22">
        <f>IF(AND($A601="",$C601=""),"",IF($A601="","Thiếu mã đơn; ","")&amp;IF(COUNTIF($A$2:$A601,$A601)&gt;1,"Trùng mã đơn; ","")&amp;IF(ISNA(MATCH($C601,DATA_MASTER!$D$2:$D$5000,0)),"SĐT chưa đăng ký hội viên; ","")&amp;IF(AND($L601="Đã chuyển khoản",$M601=""),"Thiếu ngày nhận CK; ",""))</f>
        <v/>
      </c>
      <c r="T601" s="24" t="n"/>
    </row>
    <row r="602" ht="14.25" customHeight="1" s="40">
      <c r="A602" s="24" t="n"/>
      <c r="B602" s="29" t="n"/>
      <c r="C602" s="28" t="n"/>
      <c r="D602" s="22">
        <f t="array" ref="D602">IF($C602="","",IFERROR(INDEX(DATA_MASTER!$C$2:$C$5000,MATCH($C602,DATA_MASTER!$D$2:$D$5000,0)),""))</f>
        <v/>
      </c>
      <c r="E602" s="22">
        <f t="array" ref="E602">IF($C602="","",IFERROR(INDEX(DATA_MASTER!$I$2:$I$5000,MATCH($C602,DATA_MASTER!$D$2:$D$5000,0)),""))</f>
        <v/>
      </c>
      <c r="F602" s="22">
        <f t="array" ref="F602">IF($C602="","",IFERROR(INDEX(DATA_MASTER!$L$2:$L$5000,MATCH($C602,DATA_MASTER!$D$2:$D$5000,0)),""))</f>
        <v/>
      </c>
      <c r="G602" s="24" t="n"/>
      <c r="H602" s="24" t="n"/>
      <c r="I602" s="30" t="n"/>
      <c r="J602" s="23">
        <f>IF(OR($H602="",$I602=""),"",$H602*$I602)</f>
        <v/>
      </c>
      <c r="K602" s="24" t="n"/>
      <c r="L602" s="24" t="n"/>
      <c r="M602" s="29" t="n"/>
      <c r="N602" s="28" t="n"/>
      <c r="O602" s="24" t="n"/>
      <c r="P602" s="24" t="n"/>
      <c r="Q602" s="24" t="n"/>
      <c r="R602" s="24" t="n"/>
      <c r="S602" s="22">
        <f>IF(AND($A602="",$C602=""),"",IF($A602="","Thiếu mã đơn; ","")&amp;IF(COUNTIF($A$2:$A602,$A602)&gt;1,"Trùng mã đơn; ","")&amp;IF(ISNA(MATCH($C602,DATA_MASTER!$D$2:$D$5000,0)),"SĐT chưa đăng ký hội viên; ","")&amp;IF(AND($L602="Đã chuyển khoản",$M602=""),"Thiếu ngày nhận CK; ",""))</f>
        <v/>
      </c>
      <c r="T602" s="24" t="n"/>
    </row>
    <row r="603" ht="14.25" customHeight="1" s="40">
      <c r="A603" s="24" t="n"/>
      <c r="B603" s="29" t="n"/>
      <c r="C603" s="28" t="n"/>
      <c r="D603" s="22">
        <f t="array" ref="D603">IF($C603="","",IFERROR(INDEX(DATA_MASTER!$C$2:$C$5000,MATCH($C603,DATA_MASTER!$D$2:$D$5000,0)),""))</f>
        <v/>
      </c>
      <c r="E603" s="22">
        <f t="array" ref="E603">IF($C603="","",IFERROR(INDEX(DATA_MASTER!$I$2:$I$5000,MATCH($C603,DATA_MASTER!$D$2:$D$5000,0)),""))</f>
        <v/>
      </c>
      <c r="F603" s="22">
        <f t="array" ref="F603">IF($C603="","",IFERROR(INDEX(DATA_MASTER!$L$2:$L$5000,MATCH($C603,DATA_MASTER!$D$2:$D$5000,0)),""))</f>
        <v/>
      </c>
      <c r="G603" s="24" t="n"/>
      <c r="H603" s="24" t="n"/>
      <c r="I603" s="30" t="n"/>
      <c r="J603" s="23">
        <f>IF(OR($H603="",$I603=""),"",$H603*$I603)</f>
        <v/>
      </c>
      <c r="K603" s="24" t="n"/>
      <c r="L603" s="24" t="n"/>
      <c r="M603" s="29" t="n"/>
      <c r="N603" s="28" t="n"/>
      <c r="O603" s="24" t="n"/>
      <c r="P603" s="24" t="n"/>
      <c r="Q603" s="24" t="n"/>
      <c r="R603" s="24" t="n"/>
      <c r="S603" s="22">
        <f>IF(AND($A603="",$C603=""),"",IF($A603="","Thiếu mã đơn; ","")&amp;IF(COUNTIF($A$2:$A603,$A603)&gt;1,"Trùng mã đơn; ","")&amp;IF(ISNA(MATCH($C603,DATA_MASTER!$D$2:$D$5000,0)),"SĐT chưa đăng ký hội viên; ","")&amp;IF(AND($L603="Đã chuyển khoản",$M603=""),"Thiếu ngày nhận CK; ",""))</f>
        <v/>
      </c>
      <c r="T603" s="24" t="n"/>
    </row>
    <row r="604" ht="14.25" customHeight="1" s="40">
      <c r="A604" s="24" t="n"/>
      <c r="B604" s="29" t="n"/>
      <c r="C604" s="28" t="n"/>
      <c r="D604" s="22">
        <f t="array" ref="D604">IF($C604="","",IFERROR(INDEX(DATA_MASTER!$C$2:$C$5000,MATCH($C604,DATA_MASTER!$D$2:$D$5000,0)),""))</f>
        <v/>
      </c>
      <c r="E604" s="22">
        <f t="array" ref="E604">IF($C604="","",IFERROR(INDEX(DATA_MASTER!$I$2:$I$5000,MATCH($C604,DATA_MASTER!$D$2:$D$5000,0)),""))</f>
        <v/>
      </c>
      <c r="F604" s="22">
        <f t="array" ref="F604">IF($C604="","",IFERROR(INDEX(DATA_MASTER!$L$2:$L$5000,MATCH($C604,DATA_MASTER!$D$2:$D$5000,0)),""))</f>
        <v/>
      </c>
      <c r="G604" s="24" t="n"/>
      <c r="H604" s="24" t="n"/>
      <c r="I604" s="30" t="n"/>
      <c r="J604" s="23">
        <f>IF(OR($H604="",$I604=""),"",$H604*$I604)</f>
        <v/>
      </c>
      <c r="K604" s="24" t="n"/>
      <c r="L604" s="24" t="n"/>
      <c r="M604" s="29" t="n"/>
      <c r="N604" s="28" t="n"/>
      <c r="O604" s="24" t="n"/>
      <c r="P604" s="24" t="n"/>
      <c r="Q604" s="24" t="n"/>
      <c r="R604" s="24" t="n"/>
      <c r="S604" s="22">
        <f>IF(AND($A604="",$C604=""),"",IF($A604="","Thiếu mã đơn; ","")&amp;IF(COUNTIF($A$2:$A604,$A604)&gt;1,"Trùng mã đơn; ","")&amp;IF(ISNA(MATCH($C604,DATA_MASTER!$D$2:$D$5000,0)),"SĐT chưa đăng ký hội viên; ","")&amp;IF(AND($L604="Đã chuyển khoản",$M604=""),"Thiếu ngày nhận CK; ",""))</f>
        <v/>
      </c>
      <c r="T604" s="24" t="n"/>
    </row>
    <row r="605" ht="14.25" customHeight="1" s="40">
      <c r="A605" s="24" t="n"/>
      <c r="B605" s="29" t="n"/>
      <c r="C605" s="28" t="n"/>
      <c r="D605" s="22">
        <f t="array" ref="D605">IF($C605="","",IFERROR(INDEX(DATA_MASTER!$C$2:$C$5000,MATCH($C605,DATA_MASTER!$D$2:$D$5000,0)),""))</f>
        <v/>
      </c>
      <c r="E605" s="22">
        <f t="array" ref="E605">IF($C605="","",IFERROR(INDEX(DATA_MASTER!$I$2:$I$5000,MATCH($C605,DATA_MASTER!$D$2:$D$5000,0)),""))</f>
        <v/>
      </c>
      <c r="F605" s="22">
        <f t="array" ref="F605">IF($C605="","",IFERROR(INDEX(DATA_MASTER!$L$2:$L$5000,MATCH($C605,DATA_MASTER!$D$2:$D$5000,0)),""))</f>
        <v/>
      </c>
      <c r="G605" s="24" t="n"/>
      <c r="H605" s="24" t="n"/>
      <c r="I605" s="30" t="n"/>
      <c r="J605" s="23">
        <f>IF(OR($H605="",$I605=""),"",$H605*$I605)</f>
        <v/>
      </c>
      <c r="K605" s="24" t="n"/>
      <c r="L605" s="24" t="n"/>
      <c r="M605" s="29" t="n"/>
      <c r="N605" s="28" t="n"/>
      <c r="O605" s="24" t="n"/>
      <c r="P605" s="24" t="n"/>
      <c r="Q605" s="24" t="n"/>
      <c r="R605" s="24" t="n"/>
      <c r="S605" s="22">
        <f>IF(AND($A605="",$C605=""),"",IF($A605="","Thiếu mã đơn; ","")&amp;IF(COUNTIF($A$2:$A605,$A605)&gt;1,"Trùng mã đơn; ","")&amp;IF(ISNA(MATCH($C605,DATA_MASTER!$D$2:$D$5000,0)),"SĐT chưa đăng ký hội viên; ","")&amp;IF(AND($L605="Đã chuyển khoản",$M605=""),"Thiếu ngày nhận CK; ",""))</f>
        <v/>
      </c>
      <c r="T605" s="24" t="n"/>
    </row>
    <row r="606" ht="14.25" customHeight="1" s="40">
      <c r="A606" s="24" t="n"/>
      <c r="B606" s="29" t="n"/>
      <c r="C606" s="28" t="n"/>
      <c r="D606" s="22">
        <f t="array" ref="D606">IF($C606="","",IFERROR(INDEX(DATA_MASTER!$C$2:$C$5000,MATCH($C606,DATA_MASTER!$D$2:$D$5000,0)),""))</f>
        <v/>
      </c>
      <c r="E606" s="22">
        <f t="array" ref="E606">IF($C606="","",IFERROR(INDEX(DATA_MASTER!$I$2:$I$5000,MATCH($C606,DATA_MASTER!$D$2:$D$5000,0)),""))</f>
        <v/>
      </c>
      <c r="F606" s="22">
        <f t="array" ref="F606">IF($C606="","",IFERROR(INDEX(DATA_MASTER!$L$2:$L$5000,MATCH($C606,DATA_MASTER!$D$2:$D$5000,0)),""))</f>
        <v/>
      </c>
      <c r="G606" s="24" t="n"/>
      <c r="H606" s="24" t="n"/>
      <c r="I606" s="30" t="n"/>
      <c r="J606" s="23">
        <f>IF(OR($H606="",$I606=""),"",$H606*$I606)</f>
        <v/>
      </c>
      <c r="K606" s="24" t="n"/>
      <c r="L606" s="24" t="n"/>
      <c r="M606" s="29" t="n"/>
      <c r="N606" s="28" t="n"/>
      <c r="O606" s="24" t="n"/>
      <c r="P606" s="24" t="n"/>
      <c r="Q606" s="24" t="n"/>
      <c r="R606" s="24" t="n"/>
      <c r="S606" s="22">
        <f>IF(AND($A606="",$C606=""),"",IF($A606="","Thiếu mã đơn; ","")&amp;IF(COUNTIF($A$2:$A606,$A606)&gt;1,"Trùng mã đơn; ","")&amp;IF(ISNA(MATCH($C606,DATA_MASTER!$D$2:$D$5000,0)),"SĐT chưa đăng ký hội viên; ","")&amp;IF(AND($L606="Đã chuyển khoản",$M606=""),"Thiếu ngày nhận CK; ",""))</f>
        <v/>
      </c>
      <c r="T606" s="24" t="n"/>
    </row>
    <row r="607" ht="14.25" customHeight="1" s="40">
      <c r="A607" s="24" t="n"/>
      <c r="B607" s="29" t="n"/>
      <c r="C607" s="28" t="n"/>
      <c r="D607" s="22">
        <f t="array" ref="D607">IF($C607="","",IFERROR(INDEX(DATA_MASTER!$C$2:$C$5000,MATCH($C607,DATA_MASTER!$D$2:$D$5000,0)),""))</f>
        <v/>
      </c>
      <c r="E607" s="22">
        <f t="array" ref="E607">IF($C607="","",IFERROR(INDEX(DATA_MASTER!$I$2:$I$5000,MATCH($C607,DATA_MASTER!$D$2:$D$5000,0)),""))</f>
        <v/>
      </c>
      <c r="F607" s="22">
        <f t="array" ref="F607">IF($C607="","",IFERROR(INDEX(DATA_MASTER!$L$2:$L$5000,MATCH($C607,DATA_MASTER!$D$2:$D$5000,0)),""))</f>
        <v/>
      </c>
      <c r="G607" s="24" t="n"/>
      <c r="H607" s="24" t="n"/>
      <c r="I607" s="30" t="n"/>
      <c r="J607" s="23">
        <f>IF(OR($H607="",$I607=""),"",$H607*$I607)</f>
        <v/>
      </c>
      <c r="K607" s="24" t="n"/>
      <c r="L607" s="24" t="n"/>
      <c r="M607" s="29" t="n"/>
      <c r="N607" s="28" t="n"/>
      <c r="O607" s="24" t="n"/>
      <c r="P607" s="24" t="n"/>
      <c r="Q607" s="24" t="n"/>
      <c r="R607" s="24" t="n"/>
      <c r="S607" s="22">
        <f>IF(AND($A607="",$C607=""),"",IF($A607="","Thiếu mã đơn; ","")&amp;IF(COUNTIF($A$2:$A607,$A607)&gt;1,"Trùng mã đơn; ","")&amp;IF(ISNA(MATCH($C607,DATA_MASTER!$D$2:$D$5000,0)),"SĐT chưa đăng ký hội viên; ","")&amp;IF(AND($L607="Đã chuyển khoản",$M607=""),"Thiếu ngày nhận CK; ",""))</f>
        <v/>
      </c>
      <c r="T607" s="24" t="n"/>
    </row>
    <row r="608" ht="14.25" customHeight="1" s="40">
      <c r="A608" s="24" t="n"/>
      <c r="B608" s="29" t="n"/>
      <c r="C608" s="28" t="n"/>
      <c r="D608" s="22">
        <f t="array" ref="D608">IF($C608="","",IFERROR(INDEX(DATA_MASTER!$C$2:$C$5000,MATCH($C608,DATA_MASTER!$D$2:$D$5000,0)),""))</f>
        <v/>
      </c>
      <c r="E608" s="22">
        <f t="array" ref="E608">IF($C608="","",IFERROR(INDEX(DATA_MASTER!$I$2:$I$5000,MATCH($C608,DATA_MASTER!$D$2:$D$5000,0)),""))</f>
        <v/>
      </c>
      <c r="F608" s="22">
        <f t="array" ref="F608">IF($C608="","",IFERROR(INDEX(DATA_MASTER!$L$2:$L$5000,MATCH($C608,DATA_MASTER!$D$2:$D$5000,0)),""))</f>
        <v/>
      </c>
      <c r="G608" s="24" t="n"/>
      <c r="H608" s="24" t="n"/>
      <c r="I608" s="30" t="n"/>
      <c r="J608" s="23">
        <f>IF(OR($H608="",$I608=""),"",$H608*$I608)</f>
        <v/>
      </c>
      <c r="K608" s="24" t="n"/>
      <c r="L608" s="24" t="n"/>
      <c r="M608" s="29" t="n"/>
      <c r="N608" s="28" t="n"/>
      <c r="O608" s="24" t="n"/>
      <c r="P608" s="24" t="n"/>
      <c r="Q608" s="24" t="n"/>
      <c r="R608" s="24" t="n"/>
      <c r="S608" s="22">
        <f>IF(AND($A608="",$C608=""),"",IF($A608="","Thiếu mã đơn; ","")&amp;IF(COUNTIF($A$2:$A608,$A608)&gt;1,"Trùng mã đơn; ","")&amp;IF(ISNA(MATCH($C608,DATA_MASTER!$D$2:$D$5000,0)),"SĐT chưa đăng ký hội viên; ","")&amp;IF(AND($L608="Đã chuyển khoản",$M608=""),"Thiếu ngày nhận CK; ",""))</f>
        <v/>
      </c>
      <c r="T608" s="24" t="n"/>
    </row>
    <row r="609" ht="14.25" customHeight="1" s="40">
      <c r="A609" s="24" t="n"/>
      <c r="B609" s="29" t="n"/>
      <c r="C609" s="28" t="n"/>
      <c r="D609" s="22">
        <f t="array" ref="D609">IF($C609="","",IFERROR(INDEX(DATA_MASTER!$C$2:$C$5000,MATCH($C609,DATA_MASTER!$D$2:$D$5000,0)),""))</f>
        <v/>
      </c>
      <c r="E609" s="22">
        <f t="array" ref="E609">IF($C609="","",IFERROR(INDEX(DATA_MASTER!$I$2:$I$5000,MATCH($C609,DATA_MASTER!$D$2:$D$5000,0)),""))</f>
        <v/>
      </c>
      <c r="F609" s="22">
        <f t="array" ref="F609">IF($C609="","",IFERROR(INDEX(DATA_MASTER!$L$2:$L$5000,MATCH($C609,DATA_MASTER!$D$2:$D$5000,0)),""))</f>
        <v/>
      </c>
      <c r="G609" s="24" t="n"/>
      <c r="H609" s="24" t="n"/>
      <c r="I609" s="30" t="n"/>
      <c r="J609" s="23">
        <f>IF(OR($H609="",$I609=""),"",$H609*$I609)</f>
        <v/>
      </c>
      <c r="K609" s="24" t="n"/>
      <c r="L609" s="24" t="n"/>
      <c r="M609" s="29" t="n"/>
      <c r="N609" s="28" t="n"/>
      <c r="O609" s="24" t="n"/>
      <c r="P609" s="24" t="n"/>
      <c r="Q609" s="24" t="n"/>
      <c r="R609" s="24" t="n"/>
      <c r="S609" s="22">
        <f>IF(AND($A609="",$C609=""),"",IF($A609="","Thiếu mã đơn; ","")&amp;IF(COUNTIF($A$2:$A609,$A609)&gt;1,"Trùng mã đơn; ","")&amp;IF(ISNA(MATCH($C609,DATA_MASTER!$D$2:$D$5000,0)),"SĐT chưa đăng ký hội viên; ","")&amp;IF(AND($L609="Đã chuyển khoản",$M609=""),"Thiếu ngày nhận CK; ",""))</f>
        <v/>
      </c>
      <c r="T609" s="24" t="n"/>
    </row>
    <row r="610" ht="14.25" customHeight="1" s="40">
      <c r="A610" s="24" t="n"/>
      <c r="B610" s="29" t="n"/>
      <c r="C610" s="28" t="n"/>
      <c r="D610" s="22">
        <f t="array" ref="D610">IF($C610="","",IFERROR(INDEX(DATA_MASTER!$C$2:$C$5000,MATCH($C610,DATA_MASTER!$D$2:$D$5000,0)),""))</f>
        <v/>
      </c>
      <c r="E610" s="22">
        <f t="array" ref="E610">IF($C610="","",IFERROR(INDEX(DATA_MASTER!$I$2:$I$5000,MATCH($C610,DATA_MASTER!$D$2:$D$5000,0)),""))</f>
        <v/>
      </c>
      <c r="F610" s="22">
        <f t="array" ref="F610">IF($C610="","",IFERROR(INDEX(DATA_MASTER!$L$2:$L$5000,MATCH($C610,DATA_MASTER!$D$2:$D$5000,0)),""))</f>
        <v/>
      </c>
      <c r="G610" s="24" t="n"/>
      <c r="H610" s="24" t="n"/>
      <c r="I610" s="30" t="n"/>
      <c r="J610" s="23">
        <f>IF(OR($H610="",$I610=""),"",$H610*$I610)</f>
        <v/>
      </c>
      <c r="K610" s="24" t="n"/>
      <c r="L610" s="24" t="n"/>
      <c r="M610" s="29" t="n"/>
      <c r="N610" s="28" t="n"/>
      <c r="O610" s="24" t="n"/>
      <c r="P610" s="24" t="n"/>
      <c r="Q610" s="24" t="n"/>
      <c r="R610" s="24" t="n"/>
      <c r="S610" s="22">
        <f>IF(AND($A610="",$C610=""),"",IF($A610="","Thiếu mã đơn; ","")&amp;IF(COUNTIF($A$2:$A610,$A610)&gt;1,"Trùng mã đơn; ","")&amp;IF(ISNA(MATCH($C610,DATA_MASTER!$D$2:$D$5000,0)),"SĐT chưa đăng ký hội viên; ","")&amp;IF(AND($L610="Đã chuyển khoản",$M610=""),"Thiếu ngày nhận CK; ",""))</f>
        <v/>
      </c>
      <c r="T610" s="24" t="n"/>
    </row>
    <row r="611" ht="14.25" customHeight="1" s="40">
      <c r="A611" s="24" t="n"/>
      <c r="B611" s="29" t="n"/>
      <c r="C611" s="28" t="n"/>
      <c r="D611" s="22">
        <f t="array" ref="D611">IF($C611="","",IFERROR(INDEX(DATA_MASTER!$C$2:$C$5000,MATCH($C611,DATA_MASTER!$D$2:$D$5000,0)),""))</f>
        <v/>
      </c>
      <c r="E611" s="22">
        <f t="array" ref="E611">IF($C611="","",IFERROR(INDEX(DATA_MASTER!$I$2:$I$5000,MATCH($C611,DATA_MASTER!$D$2:$D$5000,0)),""))</f>
        <v/>
      </c>
      <c r="F611" s="22">
        <f t="array" ref="F611">IF($C611="","",IFERROR(INDEX(DATA_MASTER!$L$2:$L$5000,MATCH($C611,DATA_MASTER!$D$2:$D$5000,0)),""))</f>
        <v/>
      </c>
      <c r="G611" s="24" t="n"/>
      <c r="H611" s="24" t="n"/>
      <c r="I611" s="30" t="n"/>
      <c r="J611" s="23">
        <f>IF(OR($H611="",$I611=""),"",$H611*$I611)</f>
        <v/>
      </c>
      <c r="K611" s="24" t="n"/>
      <c r="L611" s="24" t="n"/>
      <c r="M611" s="29" t="n"/>
      <c r="N611" s="28" t="n"/>
      <c r="O611" s="24" t="n"/>
      <c r="P611" s="24" t="n"/>
      <c r="Q611" s="24" t="n"/>
      <c r="R611" s="24" t="n"/>
      <c r="S611" s="22">
        <f>IF(AND($A611="",$C611=""),"",IF($A611="","Thiếu mã đơn; ","")&amp;IF(COUNTIF($A$2:$A611,$A611)&gt;1,"Trùng mã đơn; ","")&amp;IF(ISNA(MATCH($C611,DATA_MASTER!$D$2:$D$5000,0)),"SĐT chưa đăng ký hội viên; ","")&amp;IF(AND($L611="Đã chuyển khoản",$M611=""),"Thiếu ngày nhận CK; ",""))</f>
        <v/>
      </c>
      <c r="T611" s="24" t="n"/>
    </row>
    <row r="612" ht="14.25" customHeight="1" s="40">
      <c r="A612" s="24" t="n"/>
      <c r="B612" s="29" t="n"/>
      <c r="C612" s="28" t="n"/>
      <c r="D612" s="22">
        <f t="array" ref="D612">IF($C612="","",IFERROR(INDEX(DATA_MASTER!$C$2:$C$5000,MATCH($C612,DATA_MASTER!$D$2:$D$5000,0)),""))</f>
        <v/>
      </c>
      <c r="E612" s="22">
        <f t="array" ref="E612">IF($C612="","",IFERROR(INDEX(DATA_MASTER!$I$2:$I$5000,MATCH($C612,DATA_MASTER!$D$2:$D$5000,0)),""))</f>
        <v/>
      </c>
      <c r="F612" s="22">
        <f t="array" ref="F612">IF($C612="","",IFERROR(INDEX(DATA_MASTER!$L$2:$L$5000,MATCH($C612,DATA_MASTER!$D$2:$D$5000,0)),""))</f>
        <v/>
      </c>
      <c r="G612" s="24" t="n"/>
      <c r="H612" s="24" t="n"/>
      <c r="I612" s="30" t="n"/>
      <c r="J612" s="23">
        <f>IF(OR($H612="",$I612=""),"",$H612*$I612)</f>
        <v/>
      </c>
      <c r="K612" s="24" t="n"/>
      <c r="L612" s="24" t="n"/>
      <c r="M612" s="29" t="n"/>
      <c r="N612" s="28" t="n"/>
      <c r="O612" s="24" t="n"/>
      <c r="P612" s="24" t="n"/>
      <c r="Q612" s="24" t="n"/>
      <c r="R612" s="24" t="n"/>
      <c r="S612" s="22">
        <f>IF(AND($A612="",$C612=""),"",IF($A612="","Thiếu mã đơn; ","")&amp;IF(COUNTIF($A$2:$A612,$A612)&gt;1,"Trùng mã đơn; ","")&amp;IF(ISNA(MATCH($C612,DATA_MASTER!$D$2:$D$5000,0)),"SĐT chưa đăng ký hội viên; ","")&amp;IF(AND($L612="Đã chuyển khoản",$M612=""),"Thiếu ngày nhận CK; ",""))</f>
        <v/>
      </c>
      <c r="T612" s="24" t="n"/>
    </row>
    <row r="613" ht="14.25" customHeight="1" s="40">
      <c r="A613" s="24" t="n"/>
      <c r="B613" s="29" t="n"/>
      <c r="C613" s="28" t="n"/>
      <c r="D613" s="22">
        <f t="array" ref="D613">IF($C613="","",IFERROR(INDEX(DATA_MASTER!$C$2:$C$5000,MATCH($C613,DATA_MASTER!$D$2:$D$5000,0)),""))</f>
        <v/>
      </c>
      <c r="E613" s="22">
        <f t="array" ref="E613">IF($C613="","",IFERROR(INDEX(DATA_MASTER!$I$2:$I$5000,MATCH($C613,DATA_MASTER!$D$2:$D$5000,0)),""))</f>
        <v/>
      </c>
      <c r="F613" s="22">
        <f t="array" ref="F613">IF($C613="","",IFERROR(INDEX(DATA_MASTER!$L$2:$L$5000,MATCH($C613,DATA_MASTER!$D$2:$D$5000,0)),""))</f>
        <v/>
      </c>
      <c r="G613" s="24" t="n"/>
      <c r="H613" s="24" t="n"/>
      <c r="I613" s="30" t="n"/>
      <c r="J613" s="23">
        <f>IF(OR($H613="",$I613=""),"",$H613*$I613)</f>
        <v/>
      </c>
      <c r="K613" s="24" t="n"/>
      <c r="L613" s="24" t="n"/>
      <c r="M613" s="29" t="n"/>
      <c r="N613" s="28" t="n"/>
      <c r="O613" s="24" t="n"/>
      <c r="P613" s="24" t="n"/>
      <c r="Q613" s="24" t="n"/>
      <c r="R613" s="24" t="n"/>
      <c r="S613" s="22">
        <f>IF(AND($A613="",$C613=""),"",IF($A613="","Thiếu mã đơn; ","")&amp;IF(COUNTIF($A$2:$A613,$A613)&gt;1,"Trùng mã đơn; ","")&amp;IF(ISNA(MATCH($C613,DATA_MASTER!$D$2:$D$5000,0)),"SĐT chưa đăng ký hội viên; ","")&amp;IF(AND($L613="Đã chuyển khoản",$M613=""),"Thiếu ngày nhận CK; ",""))</f>
        <v/>
      </c>
      <c r="T613" s="24" t="n"/>
    </row>
    <row r="614" ht="14.25" customHeight="1" s="40">
      <c r="A614" s="24" t="n"/>
      <c r="B614" s="29" t="n"/>
      <c r="C614" s="28" t="n"/>
      <c r="D614" s="22">
        <f t="array" ref="D614">IF($C614="","",IFERROR(INDEX(DATA_MASTER!$C$2:$C$5000,MATCH($C614,DATA_MASTER!$D$2:$D$5000,0)),""))</f>
        <v/>
      </c>
      <c r="E614" s="22">
        <f t="array" ref="E614">IF($C614="","",IFERROR(INDEX(DATA_MASTER!$I$2:$I$5000,MATCH($C614,DATA_MASTER!$D$2:$D$5000,0)),""))</f>
        <v/>
      </c>
      <c r="F614" s="22">
        <f t="array" ref="F614">IF($C614="","",IFERROR(INDEX(DATA_MASTER!$L$2:$L$5000,MATCH($C614,DATA_MASTER!$D$2:$D$5000,0)),""))</f>
        <v/>
      </c>
      <c r="G614" s="24" t="n"/>
      <c r="H614" s="24" t="n"/>
      <c r="I614" s="30" t="n"/>
      <c r="J614" s="23">
        <f>IF(OR($H614="",$I614=""),"",$H614*$I614)</f>
        <v/>
      </c>
      <c r="K614" s="24" t="n"/>
      <c r="L614" s="24" t="n"/>
      <c r="M614" s="29" t="n"/>
      <c r="N614" s="28" t="n"/>
      <c r="O614" s="24" t="n"/>
      <c r="P614" s="24" t="n"/>
      <c r="Q614" s="24" t="n"/>
      <c r="R614" s="24" t="n"/>
      <c r="S614" s="22">
        <f>IF(AND($A614="",$C614=""),"",IF($A614="","Thiếu mã đơn; ","")&amp;IF(COUNTIF($A$2:$A614,$A614)&gt;1,"Trùng mã đơn; ","")&amp;IF(ISNA(MATCH($C614,DATA_MASTER!$D$2:$D$5000,0)),"SĐT chưa đăng ký hội viên; ","")&amp;IF(AND($L614="Đã chuyển khoản",$M614=""),"Thiếu ngày nhận CK; ",""))</f>
        <v/>
      </c>
      <c r="T614" s="24" t="n"/>
    </row>
    <row r="615" ht="14.25" customHeight="1" s="40">
      <c r="A615" s="24" t="n"/>
      <c r="B615" s="29" t="n"/>
      <c r="C615" s="28" t="n"/>
      <c r="D615" s="22">
        <f t="array" ref="D615">IF($C615="","",IFERROR(INDEX(DATA_MASTER!$C$2:$C$5000,MATCH($C615,DATA_MASTER!$D$2:$D$5000,0)),""))</f>
        <v/>
      </c>
      <c r="E615" s="22">
        <f t="array" ref="E615">IF($C615="","",IFERROR(INDEX(DATA_MASTER!$I$2:$I$5000,MATCH($C615,DATA_MASTER!$D$2:$D$5000,0)),""))</f>
        <v/>
      </c>
      <c r="F615" s="22">
        <f t="array" ref="F615">IF($C615="","",IFERROR(INDEX(DATA_MASTER!$L$2:$L$5000,MATCH($C615,DATA_MASTER!$D$2:$D$5000,0)),""))</f>
        <v/>
      </c>
      <c r="G615" s="24" t="n"/>
      <c r="H615" s="24" t="n"/>
      <c r="I615" s="30" t="n"/>
      <c r="J615" s="23">
        <f>IF(OR($H615="",$I615=""),"",$H615*$I615)</f>
        <v/>
      </c>
      <c r="K615" s="24" t="n"/>
      <c r="L615" s="24" t="n"/>
      <c r="M615" s="29" t="n"/>
      <c r="N615" s="28" t="n"/>
      <c r="O615" s="24" t="n"/>
      <c r="P615" s="24" t="n"/>
      <c r="Q615" s="24" t="n"/>
      <c r="R615" s="24" t="n"/>
      <c r="S615" s="22">
        <f>IF(AND($A615="",$C615=""),"",IF($A615="","Thiếu mã đơn; ","")&amp;IF(COUNTIF($A$2:$A615,$A615)&gt;1,"Trùng mã đơn; ","")&amp;IF(ISNA(MATCH($C615,DATA_MASTER!$D$2:$D$5000,0)),"SĐT chưa đăng ký hội viên; ","")&amp;IF(AND($L615="Đã chuyển khoản",$M615=""),"Thiếu ngày nhận CK; ",""))</f>
        <v/>
      </c>
      <c r="T615" s="24" t="n"/>
    </row>
    <row r="616" ht="14.25" customHeight="1" s="40">
      <c r="A616" s="24" t="n"/>
      <c r="B616" s="29" t="n"/>
      <c r="C616" s="28" t="n"/>
      <c r="D616" s="22">
        <f t="array" ref="D616">IF($C616="","",IFERROR(INDEX(DATA_MASTER!$C$2:$C$5000,MATCH($C616,DATA_MASTER!$D$2:$D$5000,0)),""))</f>
        <v/>
      </c>
      <c r="E616" s="22">
        <f t="array" ref="E616">IF($C616="","",IFERROR(INDEX(DATA_MASTER!$I$2:$I$5000,MATCH($C616,DATA_MASTER!$D$2:$D$5000,0)),""))</f>
        <v/>
      </c>
      <c r="F616" s="22">
        <f t="array" ref="F616">IF($C616="","",IFERROR(INDEX(DATA_MASTER!$L$2:$L$5000,MATCH($C616,DATA_MASTER!$D$2:$D$5000,0)),""))</f>
        <v/>
      </c>
      <c r="G616" s="24" t="n"/>
      <c r="H616" s="24" t="n"/>
      <c r="I616" s="30" t="n"/>
      <c r="J616" s="23">
        <f>IF(OR($H616="",$I616=""),"",$H616*$I616)</f>
        <v/>
      </c>
      <c r="K616" s="24" t="n"/>
      <c r="L616" s="24" t="n"/>
      <c r="M616" s="29" t="n"/>
      <c r="N616" s="28" t="n"/>
      <c r="O616" s="24" t="n"/>
      <c r="P616" s="24" t="n"/>
      <c r="Q616" s="24" t="n"/>
      <c r="R616" s="24" t="n"/>
      <c r="S616" s="22">
        <f>IF(AND($A616="",$C616=""),"",IF($A616="","Thiếu mã đơn; ","")&amp;IF(COUNTIF($A$2:$A616,$A616)&gt;1,"Trùng mã đơn; ","")&amp;IF(ISNA(MATCH($C616,DATA_MASTER!$D$2:$D$5000,0)),"SĐT chưa đăng ký hội viên; ","")&amp;IF(AND($L616="Đã chuyển khoản",$M616=""),"Thiếu ngày nhận CK; ",""))</f>
        <v/>
      </c>
      <c r="T616" s="24" t="n"/>
    </row>
    <row r="617" ht="14.25" customHeight="1" s="40">
      <c r="A617" s="24" t="n"/>
      <c r="B617" s="29" t="n"/>
      <c r="C617" s="28" t="n"/>
      <c r="D617" s="22">
        <f t="array" ref="D617">IF($C617="","",IFERROR(INDEX(DATA_MASTER!$C$2:$C$5000,MATCH($C617,DATA_MASTER!$D$2:$D$5000,0)),""))</f>
        <v/>
      </c>
      <c r="E617" s="22">
        <f t="array" ref="E617">IF($C617="","",IFERROR(INDEX(DATA_MASTER!$I$2:$I$5000,MATCH($C617,DATA_MASTER!$D$2:$D$5000,0)),""))</f>
        <v/>
      </c>
      <c r="F617" s="22">
        <f t="array" ref="F617">IF($C617="","",IFERROR(INDEX(DATA_MASTER!$L$2:$L$5000,MATCH($C617,DATA_MASTER!$D$2:$D$5000,0)),""))</f>
        <v/>
      </c>
      <c r="G617" s="24" t="n"/>
      <c r="H617" s="24" t="n"/>
      <c r="I617" s="30" t="n"/>
      <c r="J617" s="23">
        <f>IF(OR($H617="",$I617=""),"",$H617*$I617)</f>
        <v/>
      </c>
      <c r="K617" s="24" t="n"/>
      <c r="L617" s="24" t="n"/>
      <c r="M617" s="29" t="n"/>
      <c r="N617" s="28" t="n"/>
      <c r="O617" s="24" t="n"/>
      <c r="P617" s="24" t="n"/>
      <c r="Q617" s="24" t="n"/>
      <c r="R617" s="24" t="n"/>
      <c r="S617" s="22">
        <f>IF(AND($A617="",$C617=""),"",IF($A617="","Thiếu mã đơn; ","")&amp;IF(COUNTIF($A$2:$A617,$A617)&gt;1,"Trùng mã đơn; ","")&amp;IF(ISNA(MATCH($C617,DATA_MASTER!$D$2:$D$5000,0)),"SĐT chưa đăng ký hội viên; ","")&amp;IF(AND($L617="Đã chuyển khoản",$M617=""),"Thiếu ngày nhận CK; ",""))</f>
        <v/>
      </c>
      <c r="T617" s="24" t="n"/>
    </row>
    <row r="618" ht="14.25" customHeight="1" s="40">
      <c r="A618" s="24" t="n"/>
      <c r="B618" s="29" t="n"/>
      <c r="C618" s="28" t="n"/>
      <c r="D618" s="22">
        <f t="array" ref="D618">IF($C618="","",IFERROR(INDEX(DATA_MASTER!$C$2:$C$5000,MATCH($C618,DATA_MASTER!$D$2:$D$5000,0)),""))</f>
        <v/>
      </c>
      <c r="E618" s="22">
        <f t="array" ref="E618">IF($C618="","",IFERROR(INDEX(DATA_MASTER!$I$2:$I$5000,MATCH($C618,DATA_MASTER!$D$2:$D$5000,0)),""))</f>
        <v/>
      </c>
      <c r="F618" s="22">
        <f t="array" ref="F618">IF($C618="","",IFERROR(INDEX(DATA_MASTER!$L$2:$L$5000,MATCH($C618,DATA_MASTER!$D$2:$D$5000,0)),""))</f>
        <v/>
      </c>
      <c r="G618" s="24" t="n"/>
      <c r="H618" s="24" t="n"/>
      <c r="I618" s="30" t="n"/>
      <c r="J618" s="23">
        <f>IF(OR($H618="",$I618=""),"",$H618*$I618)</f>
        <v/>
      </c>
      <c r="K618" s="24" t="n"/>
      <c r="L618" s="24" t="n"/>
      <c r="M618" s="29" t="n"/>
      <c r="N618" s="28" t="n"/>
      <c r="O618" s="24" t="n"/>
      <c r="P618" s="24" t="n"/>
      <c r="Q618" s="24" t="n"/>
      <c r="R618" s="24" t="n"/>
      <c r="S618" s="22">
        <f>IF(AND($A618="",$C618=""),"",IF($A618="","Thiếu mã đơn; ","")&amp;IF(COUNTIF($A$2:$A618,$A618)&gt;1,"Trùng mã đơn; ","")&amp;IF(ISNA(MATCH($C618,DATA_MASTER!$D$2:$D$5000,0)),"SĐT chưa đăng ký hội viên; ","")&amp;IF(AND($L618="Đã chuyển khoản",$M618=""),"Thiếu ngày nhận CK; ",""))</f>
        <v/>
      </c>
      <c r="T618" s="24" t="n"/>
    </row>
    <row r="619" ht="14.25" customHeight="1" s="40">
      <c r="A619" s="24" t="n"/>
      <c r="B619" s="29" t="n"/>
      <c r="C619" s="28" t="n"/>
      <c r="D619" s="22">
        <f t="array" ref="D619">IF($C619="","",IFERROR(INDEX(DATA_MASTER!$C$2:$C$5000,MATCH($C619,DATA_MASTER!$D$2:$D$5000,0)),""))</f>
        <v/>
      </c>
      <c r="E619" s="22">
        <f t="array" ref="E619">IF($C619="","",IFERROR(INDEX(DATA_MASTER!$I$2:$I$5000,MATCH($C619,DATA_MASTER!$D$2:$D$5000,0)),""))</f>
        <v/>
      </c>
      <c r="F619" s="22">
        <f t="array" ref="F619">IF($C619="","",IFERROR(INDEX(DATA_MASTER!$L$2:$L$5000,MATCH($C619,DATA_MASTER!$D$2:$D$5000,0)),""))</f>
        <v/>
      </c>
      <c r="G619" s="24" t="n"/>
      <c r="H619" s="24" t="n"/>
      <c r="I619" s="30" t="n"/>
      <c r="J619" s="23">
        <f>IF(OR($H619="",$I619=""),"",$H619*$I619)</f>
        <v/>
      </c>
      <c r="K619" s="24" t="n"/>
      <c r="L619" s="24" t="n"/>
      <c r="M619" s="29" t="n"/>
      <c r="N619" s="28" t="n"/>
      <c r="O619" s="24" t="n"/>
      <c r="P619" s="24" t="n"/>
      <c r="Q619" s="24" t="n"/>
      <c r="R619" s="24" t="n"/>
      <c r="S619" s="22">
        <f>IF(AND($A619="",$C619=""),"",IF($A619="","Thiếu mã đơn; ","")&amp;IF(COUNTIF($A$2:$A619,$A619)&gt;1,"Trùng mã đơn; ","")&amp;IF(ISNA(MATCH($C619,DATA_MASTER!$D$2:$D$5000,0)),"SĐT chưa đăng ký hội viên; ","")&amp;IF(AND($L619="Đã chuyển khoản",$M619=""),"Thiếu ngày nhận CK; ",""))</f>
        <v/>
      </c>
      <c r="T619" s="24" t="n"/>
    </row>
    <row r="620" ht="14.25" customHeight="1" s="40">
      <c r="A620" s="24" t="n"/>
      <c r="B620" s="29" t="n"/>
      <c r="C620" s="28" t="n"/>
      <c r="D620" s="22">
        <f t="array" ref="D620">IF($C620="","",IFERROR(INDEX(DATA_MASTER!$C$2:$C$5000,MATCH($C620,DATA_MASTER!$D$2:$D$5000,0)),""))</f>
        <v/>
      </c>
      <c r="E620" s="22">
        <f t="array" ref="E620">IF($C620="","",IFERROR(INDEX(DATA_MASTER!$I$2:$I$5000,MATCH($C620,DATA_MASTER!$D$2:$D$5000,0)),""))</f>
        <v/>
      </c>
      <c r="F620" s="22">
        <f t="array" ref="F620">IF($C620="","",IFERROR(INDEX(DATA_MASTER!$L$2:$L$5000,MATCH($C620,DATA_MASTER!$D$2:$D$5000,0)),""))</f>
        <v/>
      </c>
      <c r="G620" s="24" t="n"/>
      <c r="H620" s="24" t="n"/>
      <c r="I620" s="30" t="n"/>
      <c r="J620" s="23">
        <f>IF(OR($H620="",$I620=""),"",$H620*$I620)</f>
        <v/>
      </c>
      <c r="K620" s="24" t="n"/>
      <c r="L620" s="24" t="n"/>
      <c r="M620" s="29" t="n"/>
      <c r="N620" s="28" t="n"/>
      <c r="O620" s="24" t="n"/>
      <c r="P620" s="24" t="n"/>
      <c r="Q620" s="24" t="n"/>
      <c r="R620" s="24" t="n"/>
      <c r="S620" s="22">
        <f>IF(AND($A620="",$C620=""),"",IF($A620="","Thiếu mã đơn; ","")&amp;IF(COUNTIF($A$2:$A620,$A620)&gt;1,"Trùng mã đơn; ","")&amp;IF(ISNA(MATCH($C620,DATA_MASTER!$D$2:$D$5000,0)),"SĐT chưa đăng ký hội viên; ","")&amp;IF(AND($L620="Đã chuyển khoản",$M620=""),"Thiếu ngày nhận CK; ",""))</f>
        <v/>
      </c>
      <c r="T620" s="24" t="n"/>
    </row>
    <row r="621" ht="14.25" customHeight="1" s="40">
      <c r="A621" s="24" t="n"/>
      <c r="B621" s="29" t="n"/>
      <c r="C621" s="28" t="n"/>
      <c r="D621" s="22">
        <f t="array" ref="D621">IF($C621="","",IFERROR(INDEX(DATA_MASTER!$C$2:$C$5000,MATCH($C621,DATA_MASTER!$D$2:$D$5000,0)),""))</f>
        <v/>
      </c>
      <c r="E621" s="22">
        <f t="array" ref="E621">IF($C621="","",IFERROR(INDEX(DATA_MASTER!$I$2:$I$5000,MATCH($C621,DATA_MASTER!$D$2:$D$5000,0)),""))</f>
        <v/>
      </c>
      <c r="F621" s="22">
        <f t="array" ref="F621">IF($C621="","",IFERROR(INDEX(DATA_MASTER!$L$2:$L$5000,MATCH($C621,DATA_MASTER!$D$2:$D$5000,0)),""))</f>
        <v/>
      </c>
      <c r="G621" s="24" t="n"/>
      <c r="H621" s="24" t="n"/>
      <c r="I621" s="30" t="n"/>
      <c r="J621" s="23">
        <f>IF(OR($H621="",$I621=""),"",$H621*$I621)</f>
        <v/>
      </c>
      <c r="K621" s="24" t="n"/>
      <c r="L621" s="24" t="n"/>
      <c r="M621" s="29" t="n"/>
      <c r="N621" s="28" t="n"/>
      <c r="O621" s="24" t="n"/>
      <c r="P621" s="24" t="n"/>
      <c r="Q621" s="24" t="n"/>
      <c r="R621" s="24" t="n"/>
      <c r="S621" s="22">
        <f>IF(AND($A621="",$C621=""),"",IF($A621="","Thiếu mã đơn; ","")&amp;IF(COUNTIF($A$2:$A621,$A621)&gt;1,"Trùng mã đơn; ","")&amp;IF(ISNA(MATCH($C621,DATA_MASTER!$D$2:$D$5000,0)),"SĐT chưa đăng ký hội viên; ","")&amp;IF(AND($L621="Đã chuyển khoản",$M621=""),"Thiếu ngày nhận CK; ",""))</f>
        <v/>
      </c>
      <c r="T621" s="24" t="n"/>
    </row>
    <row r="622" ht="14.25" customHeight="1" s="40">
      <c r="A622" s="24" t="n"/>
      <c r="B622" s="29" t="n"/>
      <c r="C622" s="28" t="n"/>
      <c r="D622" s="22">
        <f t="array" ref="D622">IF($C622="","",IFERROR(INDEX(DATA_MASTER!$C$2:$C$5000,MATCH($C622,DATA_MASTER!$D$2:$D$5000,0)),""))</f>
        <v/>
      </c>
      <c r="E622" s="22">
        <f t="array" ref="E622">IF($C622="","",IFERROR(INDEX(DATA_MASTER!$I$2:$I$5000,MATCH($C622,DATA_MASTER!$D$2:$D$5000,0)),""))</f>
        <v/>
      </c>
      <c r="F622" s="22">
        <f t="array" ref="F622">IF($C622="","",IFERROR(INDEX(DATA_MASTER!$L$2:$L$5000,MATCH($C622,DATA_MASTER!$D$2:$D$5000,0)),""))</f>
        <v/>
      </c>
      <c r="G622" s="24" t="n"/>
      <c r="H622" s="24" t="n"/>
      <c r="I622" s="30" t="n"/>
      <c r="J622" s="23">
        <f>IF(OR($H622="",$I622=""),"",$H622*$I622)</f>
        <v/>
      </c>
      <c r="K622" s="24" t="n"/>
      <c r="L622" s="24" t="n"/>
      <c r="M622" s="29" t="n"/>
      <c r="N622" s="28" t="n"/>
      <c r="O622" s="24" t="n"/>
      <c r="P622" s="24" t="n"/>
      <c r="Q622" s="24" t="n"/>
      <c r="R622" s="24" t="n"/>
      <c r="S622" s="22">
        <f>IF(AND($A622="",$C622=""),"",IF($A622="","Thiếu mã đơn; ","")&amp;IF(COUNTIF($A$2:$A622,$A622)&gt;1,"Trùng mã đơn; ","")&amp;IF(ISNA(MATCH($C622,DATA_MASTER!$D$2:$D$5000,0)),"SĐT chưa đăng ký hội viên; ","")&amp;IF(AND($L622="Đã chuyển khoản",$M622=""),"Thiếu ngày nhận CK; ",""))</f>
        <v/>
      </c>
      <c r="T622" s="24" t="n"/>
    </row>
    <row r="623" ht="14.25" customHeight="1" s="40">
      <c r="A623" s="24" t="n"/>
      <c r="B623" s="29" t="n"/>
      <c r="C623" s="28" t="n"/>
      <c r="D623" s="22">
        <f t="array" ref="D623">IF($C623="","",IFERROR(INDEX(DATA_MASTER!$C$2:$C$5000,MATCH($C623,DATA_MASTER!$D$2:$D$5000,0)),""))</f>
        <v/>
      </c>
      <c r="E623" s="22">
        <f t="array" ref="E623">IF($C623="","",IFERROR(INDEX(DATA_MASTER!$I$2:$I$5000,MATCH($C623,DATA_MASTER!$D$2:$D$5000,0)),""))</f>
        <v/>
      </c>
      <c r="F623" s="22">
        <f t="array" ref="F623">IF($C623="","",IFERROR(INDEX(DATA_MASTER!$L$2:$L$5000,MATCH($C623,DATA_MASTER!$D$2:$D$5000,0)),""))</f>
        <v/>
      </c>
      <c r="G623" s="24" t="n"/>
      <c r="H623" s="24" t="n"/>
      <c r="I623" s="30" t="n"/>
      <c r="J623" s="23">
        <f>IF(OR($H623="",$I623=""),"",$H623*$I623)</f>
        <v/>
      </c>
      <c r="K623" s="24" t="n"/>
      <c r="L623" s="24" t="n"/>
      <c r="M623" s="29" t="n"/>
      <c r="N623" s="28" t="n"/>
      <c r="O623" s="24" t="n"/>
      <c r="P623" s="24" t="n"/>
      <c r="Q623" s="24" t="n"/>
      <c r="R623" s="24" t="n"/>
      <c r="S623" s="22">
        <f>IF(AND($A623="",$C623=""),"",IF($A623="","Thiếu mã đơn; ","")&amp;IF(COUNTIF($A$2:$A623,$A623)&gt;1,"Trùng mã đơn; ","")&amp;IF(ISNA(MATCH($C623,DATA_MASTER!$D$2:$D$5000,0)),"SĐT chưa đăng ký hội viên; ","")&amp;IF(AND($L623="Đã chuyển khoản",$M623=""),"Thiếu ngày nhận CK; ",""))</f>
        <v/>
      </c>
      <c r="T623" s="24" t="n"/>
    </row>
    <row r="624" ht="14.25" customHeight="1" s="40">
      <c r="A624" s="24" t="n"/>
      <c r="B624" s="29" t="n"/>
      <c r="C624" s="28" t="n"/>
      <c r="D624" s="22">
        <f t="array" ref="D624">IF($C624="","",IFERROR(INDEX(DATA_MASTER!$C$2:$C$5000,MATCH($C624,DATA_MASTER!$D$2:$D$5000,0)),""))</f>
        <v/>
      </c>
      <c r="E624" s="22">
        <f t="array" ref="E624">IF($C624="","",IFERROR(INDEX(DATA_MASTER!$I$2:$I$5000,MATCH($C624,DATA_MASTER!$D$2:$D$5000,0)),""))</f>
        <v/>
      </c>
      <c r="F624" s="22">
        <f t="array" ref="F624">IF($C624="","",IFERROR(INDEX(DATA_MASTER!$L$2:$L$5000,MATCH($C624,DATA_MASTER!$D$2:$D$5000,0)),""))</f>
        <v/>
      </c>
      <c r="G624" s="24" t="n"/>
      <c r="H624" s="24" t="n"/>
      <c r="I624" s="30" t="n"/>
      <c r="J624" s="23">
        <f>IF(OR($H624="",$I624=""),"",$H624*$I624)</f>
        <v/>
      </c>
      <c r="K624" s="24" t="n"/>
      <c r="L624" s="24" t="n"/>
      <c r="M624" s="29" t="n"/>
      <c r="N624" s="28" t="n"/>
      <c r="O624" s="24" t="n"/>
      <c r="P624" s="24" t="n"/>
      <c r="Q624" s="24" t="n"/>
      <c r="R624" s="24" t="n"/>
      <c r="S624" s="22">
        <f>IF(AND($A624="",$C624=""),"",IF($A624="","Thiếu mã đơn; ","")&amp;IF(COUNTIF($A$2:$A624,$A624)&gt;1,"Trùng mã đơn; ","")&amp;IF(ISNA(MATCH($C624,DATA_MASTER!$D$2:$D$5000,0)),"SĐT chưa đăng ký hội viên; ","")&amp;IF(AND($L624="Đã chuyển khoản",$M624=""),"Thiếu ngày nhận CK; ",""))</f>
        <v/>
      </c>
      <c r="T624" s="24" t="n"/>
    </row>
    <row r="625" ht="14.25" customHeight="1" s="40">
      <c r="A625" s="24" t="n"/>
      <c r="B625" s="29" t="n"/>
      <c r="C625" s="28" t="n"/>
      <c r="D625" s="22">
        <f t="array" ref="D625">IF($C625="","",IFERROR(INDEX(DATA_MASTER!$C$2:$C$5000,MATCH($C625,DATA_MASTER!$D$2:$D$5000,0)),""))</f>
        <v/>
      </c>
      <c r="E625" s="22">
        <f t="array" ref="E625">IF($C625="","",IFERROR(INDEX(DATA_MASTER!$I$2:$I$5000,MATCH($C625,DATA_MASTER!$D$2:$D$5000,0)),""))</f>
        <v/>
      </c>
      <c r="F625" s="22">
        <f t="array" ref="F625">IF($C625="","",IFERROR(INDEX(DATA_MASTER!$L$2:$L$5000,MATCH($C625,DATA_MASTER!$D$2:$D$5000,0)),""))</f>
        <v/>
      </c>
      <c r="G625" s="24" t="n"/>
      <c r="H625" s="24" t="n"/>
      <c r="I625" s="30" t="n"/>
      <c r="J625" s="23">
        <f>IF(OR($H625="",$I625=""),"",$H625*$I625)</f>
        <v/>
      </c>
      <c r="K625" s="24" t="n"/>
      <c r="L625" s="24" t="n"/>
      <c r="M625" s="29" t="n"/>
      <c r="N625" s="28" t="n"/>
      <c r="O625" s="24" t="n"/>
      <c r="P625" s="24" t="n"/>
      <c r="Q625" s="24" t="n"/>
      <c r="R625" s="24" t="n"/>
      <c r="S625" s="22">
        <f>IF(AND($A625="",$C625=""),"",IF($A625="","Thiếu mã đơn; ","")&amp;IF(COUNTIF($A$2:$A625,$A625)&gt;1,"Trùng mã đơn; ","")&amp;IF(ISNA(MATCH($C625,DATA_MASTER!$D$2:$D$5000,0)),"SĐT chưa đăng ký hội viên; ","")&amp;IF(AND($L625="Đã chuyển khoản",$M625=""),"Thiếu ngày nhận CK; ",""))</f>
        <v/>
      </c>
      <c r="T625" s="24" t="n"/>
    </row>
    <row r="626" ht="14.25" customHeight="1" s="40">
      <c r="A626" s="24" t="n"/>
      <c r="B626" s="29" t="n"/>
      <c r="C626" s="28" t="n"/>
      <c r="D626" s="22">
        <f t="array" ref="D626">IF($C626="","",IFERROR(INDEX(DATA_MASTER!$C$2:$C$5000,MATCH($C626,DATA_MASTER!$D$2:$D$5000,0)),""))</f>
        <v/>
      </c>
      <c r="E626" s="22">
        <f t="array" ref="E626">IF($C626="","",IFERROR(INDEX(DATA_MASTER!$I$2:$I$5000,MATCH($C626,DATA_MASTER!$D$2:$D$5000,0)),""))</f>
        <v/>
      </c>
      <c r="F626" s="22">
        <f t="array" ref="F626">IF($C626="","",IFERROR(INDEX(DATA_MASTER!$L$2:$L$5000,MATCH($C626,DATA_MASTER!$D$2:$D$5000,0)),""))</f>
        <v/>
      </c>
      <c r="G626" s="24" t="n"/>
      <c r="H626" s="24" t="n"/>
      <c r="I626" s="30" t="n"/>
      <c r="J626" s="23">
        <f>IF(OR($H626="",$I626=""),"",$H626*$I626)</f>
        <v/>
      </c>
      <c r="K626" s="24" t="n"/>
      <c r="L626" s="24" t="n"/>
      <c r="M626" s="29" t="n"/>
      <c r="N626" s="28" t="n"/>
      <c r="O626" s="24" t="n"/>
      <c r="P626" s="24" t="n"/>
      <c r="Q626" s="24" t="n"/>
      <c r="R626" s="24" t="n"/>
      <c r="S626" s="22">
        <f>IF(AND($A626="",$C626=""),"",IF($A626="","Thiếu mã đơn; ","")&amp;IF(COUNTIF($A$2:$A626,$A626)&gt;1,"Trùng mã đơn; ","")&amp;IF(ISNA(MATCH($C626,DATA_MASTER!$D$2:$D$5000,0)),"SĐT chưa đăng ký hội viên; ","")&amp;IF(AND($L626="Đã chuyển khoản",$M626=""),"Thiếu ngày nhận CK; ",""))</f>
        <v/>
      </c>
      <c r="T626" s="24" t="n"/>
    </row>
    <row r="627" ht="14.25" customHeight="1" s="40">
      <c r="A627" s="24" t="n"/>
      <c r="B627" s="29" t="n"/>
      <c r="C627" s="28" t="n"/>
      <c r="D627" s="22">
        <f t="array" ref="D627">IF($C627="","",IFERROR(INDEX(DATA_MASTER!$C$2:$C$5000,MATCH($C627,DATA_MASTER!$D$2:$D$5000,0)),""))</f>
        <v/>
      </c>
      <c r="E627" s="22">
        <f t="array" ref="E627">IF($C627="","",IFERROR(INDEX(DATA_MASTER!$I$2:$I$5000,MATCH($C627,DATA_MASTER!$D$2:$D$5000,0)),""))</f>
        <v/>
      </c>
      <c r="F627" s="22">
        <f t="array" ref="F627">IF($C627="","",IFERROR(INDEX(DATA_MASTER!$L$2:$L$5000,MATCH($C627,DATA_MASTER!$D$2:$D$5000,0)),""))</f>
        <v/>
      </c>
      <c r="G627" s="24" t="n"/>
      <c r="H627" s="24" t="n"/>
      <c r="I627" s="30" t="n"/>
      <c r="J627" s="23">
        <f>IF(OR($H627="",$I627=""),"",$H627*$I627)</f>
        <v/>
      </c>
      <c r="K627" s="24" t="n"/>
      <c r="L627" s="24" t="n"/>
      <c r="M627" s="29" t="n"/>
      <c r="N627" s="28" t="n"/>
      <c r="O627" s="24" t="n"/>
      <c r="P627" s="24" t="n"/>
      <c r="Q627" s="24" t="n"/>
      <c r="R627" s="24" t="n"/>
      <c r="S627" s="22">
        <f>IF(AND($A627="",$C627=""),"",IF($A627="","Thiếu mã đơn; ","")&amp;IF(COUNTIF($A$2:$A627,$A627)&gt;1,"Trùng mã đơn; ","")&amp;IF(ISNA(MATCH($C627,DATA_MASTER!$D$2:$D$5000,0)),"SĐT chưa đăng ký hội viên; ","")&amp;IF(AND($L627="Đã chuyển khoản",$M627=""),"Thiếu ngày nhận CK; ",""))</f>
        <v/>
      </c>
      <c r="T627" s="24" t="n"/>
    </row>
    <row r="628" ht="14.25" customHeight="1" s="40">
      <c r="A628" s="24" t="n"/>
      <c r="B628" s="29" t="n"/>
      <c r="C628" s="28" t="n"/>
      <c r="D628" s="22">
        <f t="array" ref="D628">IF($C628="","",IFERROR(INDEX(DATA_MASTER!$C$2:$C$5000,MATCH($C628,DATA_MASTER!$D$2:$D$5000,0)),""))</f>
        <v/>
      </c>
      <c r="E628" s="22">
        <f t="array" ref="E628">IF($C628="","",IFERROR(INDEX(DATA_MASTER!$I$2:$I$5000,MATCH($C628,DATA_MASTER!$D$2:$D$5000,0)),""))</f>
        <v/>
      </c>
      <c r="F628" s="22">
        <f t="array" ref="F628">IF($C628="","",IFERROR(INDEX(DATA_MASTER!$L$2:$L$5000,MATCH($C628,DATA_MASTER!$D$2:$D$5000,0)),""))</f>
        <v/>
      </c>
      <c r="G628" s="24" t="n"/>
      <c r="H628" s="24" t="n"/>
      <c r="I628" s="30" t="n"/>
      <c r="J628" s="23">
        <f>IF(OR($H628="",$I628=""),"",$H628*$I628)</f>
        <v/>
      </c>
      <c r="K628" s="24" t="n"/>
      <c r="L628" s="24" t="n"/>
      <c r="M628" s="29" t="n"/>
      <c r="N628" s="28" t="n"/>
      <c r="O628" s="24" t="n"/>
      <c r="P628" s="24" t="n"/>
      <c r="Q628" s="24" t="n"/>
      <c r="R628" s="24" t="n"/>
      <c r="S628" s="22">
        <f>IF(AND($A628="",$C628=""),"",IF($A628="","Thiếu mã đơn; ","")&amp;IF(COUNTIF($A$2:$A628,$A628)&gt;1,"Trùng mã đơn; ","")&amp;IF(ISNA(MATCH($C628,DATA_MASTER!$D$2:$D$5000,0)),"SĐT chưa đăng ký hội viên; ","")&amp;IF(AND($L628="Đã chuyển khoản",$M628=""),"Thiếu ngày nhận CK; ",""))</f>
        <v/>
      </c>
      <c r="T628" s="24" t="n"/>
    </row>
    <row r="629" ht="14.25" customHeight="1" s="40">
      <c r="A629" s="24" t="n"/>
      <c r="B629" s="29" t="n"/>
      <c r="C629" s="28" t="n"/>
      <c r="D629" s="22">
        <f t="array" ref="D629">IF($C629="","",IFERROR(INDEX(DATA_MASTER!$C$2:$C$5000,MATCH($C629,DATA_MASTER!$D$2:$D$5000,0)),""))</f>
        <v/>
      </c>
      <c r="E629" s="22">
        <f t="array" ref="E629">IF($C629="","",IFERROR(INDEX(DATA_MASTER!$I$2:$I$5000,MATCH($C629,DATA_MASTER!$D$2:$D$5000,0)),""))</f>
        <v/>
      </c>
      <c r="F629" s="22">
        <f t="array" ref="F629">IF($C629="","",IFERROR(INDEX(DATA_MASTER!$L$2:$L$5000,MATCH($C629,DATA_MASTER!$D$2:$D$5000,0)),""))</f>
        <v/>
      </c>
      <c r="G629" s="24" t="n"/>
      <c r="H629" s="24" t="n"/>
      <c r="I629" s="30" t="n"/>
      <c r="J629" s="23">
        <f>IF(OR($H629="",$I629=""),"",$H629*$I629)</f>
        <v/>
      </c>
      <c r="K629" s="24" t="n"/>
      <c r="L629" s="24" t="n"/>
      <c r="M629" s="29" t="n"/>
      <c r="N629" s="28" t="n"/>
      <c r="O629" s="24" t="n"/>
      <c r="P629" s="24" t="n"/>
      <c r="Q629" s="24" t="n"/>
      <c r="R629" s="24" t="n"/>
      <c r="S629" s="22">
        <f>IF(AND($A629="",$C629=""),"",IF($A629="","Thiếu mã đơn; ","")&amp;IF(COUNTIF($A$2:$A629,$A629)&gt;1,"Trùng mã đơn; ","")&amp;IF(ISNA(MATCH($C629,DATA_MASTER!$D$2:$D$5000,0)),"SĐT chưa đăng ký hội viên; ","")&amp;IF(AND($L629="Đã chuyển khoản",$M629=""),"Thiếu ngày nhận CK; ",""))</f>
        <v/>
      </c>
      <c r="T629" s="24" t="n"/>
    </row>
    <row r="630" ht="14.25" customHeight="1" s="40">
      <c r="A630" s="24" t="n"/>
      <c r="B630" s="29" t="n"/>
      <c r="C630" s="28" t="n"/>
      <c r="D630" s="22">
        <f t="array" ref="D630">IF($C630="","",IFERROR(INDEX(DATA_MASTER!$C$2:$C$5000,MATCH($C630,DATA_MASTER!$D$2:$D$5000,0)),""))</f>
        <v/>
      </c>
      <c r="E630" s="22">
        <f t="array" ref="E630">IF($C630="","",IFERROR(INDEX(DATA_MASTER!$I$2:$I$5000,MATCH($C630,DATA_MASTER!$D$2:$D$5000,0)),""))</f>
        <v/>
      </c>
      <c r="F630" s="22">
        <f t="array" ref="F630">IF($C630="","",IFERROR(INDEX(DATA_MASTER!$L$2:$L$5000,MATCH($C630,DATA_MASTER!$D$2:$D$5000,0)),""))</f>
        <v/>
      </c>
      <c r="G630" s="24" t="n"/>
      <c r="H630" s="24" t="n"/>
      <c r="I630" s="30" t="n"/>
      <c r="J630" s="23">
        <f>IF(OR($H630="",$I630=""),"",$H630*$I630)</f>
        <v/>
      </c>
      <c r="K630" s="24" t="n"/>
      <c r="L630" s="24" t="n"/>
      <c r="M630" s="29" t="n"/>
      <c r="N630" s="28" t="n"/>
      <c r="O630" s="24" t="n"/>
      <c r="P630" s="24" t="n"/>
      <c r="Q630" s="24" t="n"/>
      <c r="R630" s="24" t="n"/>
      <c r="S630" s="22">
        <f>IF(AND($A630="",$C630=""),"",IF($A630="","Thiếu mã đơn; ","")&amp;IF(COUNTIF($A$2:$A630,$A630)&gt;1,"Trùng mã đơn; ","")&amp;IF(ISNA(MATCH($C630,DATA_MASTER!$D$2:$D$5000,0)),"SĐT chưa đăng ký hội viên; ","")&amp;IF(AND($L630="Đã chuyển khoản",$M630=""),"Thiếu ngày nhận CK; ",""))</f>
        <v/>
      </c>
      <c r="T630" s="24" t="n"/>
    </row>
    <row r="631" ht="14.25" customHeight="1" s="40">
      <c r="A631" s="24" t="n"/>
      <c r="B631" s="29" t="n"/>
      <c r="C631" s="28" t="n"/>
      <c r="D631" s="22">
        <f t="array" ref="D631">IF($C631="","",IFERROR(INDEX(DATA_MASTER!$C$2:$C$5000,MATCH($C631,DATA_MASTER!$D$2:$D$5000,0)),""))</f>
        <v/>
      </c>
      <c r="E631" s="22">
        <f t="array" ref="E631">IF($C631="","",IFERROR(INDEX(DATA_MASTER!$I$2:$I$5000,MATCH($C631,DATA_MASTER!$D$2:$D$5000,0)),""))</f>
        <v/>
      </c>
      <c r="F631" s="22">
        <f t="array" ref="F631">IF($C631="","",IFERROR(INDEX(DATA_MASTER!$L$2:$L$5000,MATCH($C631,DATA_MASTER!$D$2:$D$5000,0)),""))</f>
        <v/>
      </c>
      <c r="G631" s="24" t="n"/>
      <c r="H631" s="24" t="n"/>
      <c r="I631" s="30" t="n"/>
      <c r="J631" s="23">
        <f>IF(OR($H631="",$I631=""),"",$H631*$I631)</f>
        <v/>
      </c>
      <c r="K631" s="24" t="n"/>
      <c r="L631" s="24" t="n"/>
      <c r="M631" s="29" t="n"/>
      <c r="N631" s="28" t="n"/>
      <c r="O631" s="24" t="n"/>
      <c r="P631" s="24" t="n"/>
      <c r="Q631" s="24" t="n"/>
      <c r="R631" s="24" t="n"/>
      <c r="S631" s="22">
        <f>IF(AND($A631="",$C631=""),"",IF($A631="","Thiếu mã đơn; ","")&amp;IF(COUNTIF($A$2:$A631,$A631)&gt;1,"Trùng mã đơn; ","")&amp;IF(ISNA(MATCH($C631,DATA_MASTER!$D$2:$D$5000,0)),"SĐT chưa đăng ký hội viên; ","")&amp;IF(AND($L631="Đã chuyển khoản",$M631=""),"Thiếu ngày nhận CK; ",""))</f>
        <v/>
      </c>
      <c r="T631" s="24" t="n"/>
    </row>
    <row r="632" ht="14.25" customHeight="1" s="40">
      <c r="A632" s="24" t="n"/>
      <c r="B632" s="29" t="n"/>
      <c r="C632" s="28" t="n"/>
      <c r="D632" s="22">
        <f t="array" ref="D632">IF($C632="","",IFERROR(INDEX(DATA_MASTER!$C$2:$C$5000,MATCH($C632,DATA_MASTER!$D$2:$D$5000,0)),""))</f>
        <v/>
      </c>
      <c r="E632" s="22">
        <f t="array" ref="E632">IF($C632="","",IFERROR(INDEX(DATA_MASTER!$I$2:$I$5000,MATCH($C632,DATA_MASTER!$D$2:$D$5000,0)),""))</f>
        <v/>
      </c>
      <c r="F632" s="22">
        <f t="array" ref="F632">IF($C632="","",IFERROR(INDEX(DATA_MASTER!$L$2:$L$5000,MATCH($C632,DATA_MASTER!$D$2:$D$5000,0)),""))</f>
        <v/>
      </c>
      <c r="G632" s="24" t="n"/>
      <c r="H632" s="24" t="n"/>
      <c r="I632" s="30" t="n"/>
      <c r="J632" s="23">
        <f>IF(OR($H632="",$I632=""),"",$H632*$I632)</f>
        <v/>
      </c>
      <c r="K632" s="24" t="n"/>
      <c r="L632" s="24" t="n"/>
      <c r="M632" s="29" t="n"/>
      <c r="N632" s="28" t="n"/>
      <c r="O632" s="24" t="n"/>
      <c r="P632" s="24" t="n"/>
      <c r="Q632" s="24" t="n"/>
      <c r="R632" s="24" t="n"/>
      <c r="S632" s="22">
        <f>IF(AND($A632="",$C632=""),"",IF($A632="","Thiếu mã đơn; ","")&amp;IF(COUNTIF($A$2:$A632,$A632)&gt;1,"Trùng mã đơn; ","")&amp;IF(ISNA(MATCH($C632,DATA_MASTER!$D$2:$D$5000,0)),"SĐT chưa đăng ký hội viên; ","")&amp;IF(AND($L632="Đã chuyển khoản",$M632=""),"Thiếu ngày nhận CK; ",""))</f>
        <v/>
      </c>
      <c r="T632" s="24" t="n"/>
    </row>
    <row r="633" ht="14.25" customHeight="1" s="40">
      <c r="A633" s="24" t="n"/>
      <c r="B633" s="29" t="n"/>
      <c r="C633" s="28" t="n"/>
      <c r="D633" s="22">
        <f t="array" ref="D633">IF($C633="","",IFERROR(INDEX(DATA_MASTER!$C$2:$C$5000,MATCH($C633,DATA_MASTER!$D$2:$D$5000,0)),""))</f>
        <v/>
      </c>
      <c r="E633" s="22">
        <f t="array" ref="E633">IF($C633="","",IFERROR(INDEX(DATA_MASTER!$I$2:$I$5000,MATCH($C633,DATA_MASTER!$D$2:$D$5000,0)),""))</f>
        <v/>
      </c>
      <c r="F633" s="22">
        <f t="array" ref="F633">IF($C633="","",IFERROR(INDEX(DATA_MASTER!$L$2:$L$5000,MATCH($C633,DATA_MASTER!$D$2:$D$5000,0)),""))</f>
        <v/>
      </c>
      <c r="G633" s="24" t="n"/>
      <c r="H633" s="24" t="n"/>
      <c r="I633" s="30" t="n"/>
      <c r="J633" s="23">
        <f>IF(OR($H633="",$I633=""),"",$H633*$I633)</f>
        <v/>
      </c>
      <c r="K633" s="24" t="n"/>
      <c r="L633" s="24" t="n"/>
      <c r="M633" s="29" t="n"/>
      <c r="N633" s="28" t="n"/>
      <c r="O633" s="24" t="n"/>
      <c r="P633" s="24" t="n"/>
      <c r="Q633" s="24" t="n"/>
      <c r="R633" s="24" t="n"/>
      <c r="S633" s="22">
        <f>IF(AND($A633="",$C633=""),"",IF($A633="","Thiếu mã đơn; ","")&amp;IF(COUNTIF($A$2:$A633,$A633)&gt;1,"Trùng mã đơn; ","")&amp;IF(ISNA(MATCH($C633,DATA_MASTER!$D$2:$D$5000,0)),"SĐT chưa đăng ký hội viên; ","")&amp;IF(AND($L633="Đã chuyển khoản",$M633=""),"Thiếu ngày nhận CK; ",""))</f>
        <v/>
      </c>
      <c r="T633" s="24" t="n"/>
    </row>
    <row r="634" ht="14.25" customHeight="1" s="40">
      <c r="A634" s="24" t="n"/>
      <c r="B634" s="29" t="n"/>
      <c r="C634" s="28" t="n"/>
      <c r="D634" s="22">
        <f t="array" ref="D634">IF($C634="","",IFERROR(INDEX(DATA_MASTER!$C$2:$C$5000,MATCH($C634,DATA_MASTER!$D$2:$D$5000,0)),""))</f>
        <v/>
      </c>
      <c r="E634" s="22">
        <f t="array" ref="E634">IF($C634="","",IFERROR(INDEX(DATA_MASTER!$I$2:$I$5000,MATCH($C634,DATA_MASTER!$D$2:$D$5000,0)),""))</f>
        <v/>
      </c>
      <c r="F634" s="22">
        <f t="array" ref="F634">IF($C634="","",IFERROR(INDEX(DATA_MASTER!$L$2:$L$5000,MATCH($C634,DATA_MASTER!$D$2:$D$5000,0)),""))</f>
        <v/>
      </c>
      <c r="G634" s="24" t="n"/>
      <c r="H634" s="24" t="n"/>
      <c r="I634" s="30" t="n"/>
      <c r="J634" s="23">
        <f>IF(OR($H634="",$I634=""),"",$H634*$I634)</f>
        <v/>
      </c>
      <c r="K634" s="24" t="n"/>
      <c r="L634" s="24" t="n"/>
      <c r="M634" s="29" t="n"/>
      <c r="N634" s="28" t="n"/>
      <c r="O634" s="24" t="n"/>
      <c r="P634" s="24" t="n"/>
      <c r="Q634" s="24" t="n"/>
      <c r="R634" s="24" t="n"/>
      <c r="S634" s="22">
        <f>IF(AND($A634="",$C634=""),"",IF($A634="","Thiếu mã đơn; ","")&amp;IF(COUNTIF($A$2:$A634,$A634)&gt;1,"Trùng mã đơn; ","")&amp;IF(ISNA(MATCH($C634,DATA_MASTER!$D$2:$D$5000,0)),"SĐT chưa đăng ký hội viên; ","")&amp;IF(AND($L634="Đã chuyển khoản",$M634=""),"Thiếu ngày nhận CK; ",""))</f>
        <v/>
      </c>
      <c r="T634" s="24" t="n"/>
    </row>
    <row r="635" ht="14.25" customHeight="1" s="40">
      <c r="A635" s="24" t="n"/>
      <c r="B635" s="29" t="n"/>
      <c r="C635" s="28" t="n"/>
      <c r="D635" s="22">
        <f t="array" ref="D635">IF($C635="","",IFERROR(INDEX(DATA_MASTER!$C$2:$C$5000,MATCH($C635,DATA_MASTER!$D$2:$D$5000,0)),""))</f>
        <v/>
      </c>
      <c r="E635" s="22">
        <f t="array" ref="E635">IF($C635="","",IFERROR(INDEX(DATA_MASTER!$I$2:$I$5000,MATCH($C635,DATA_MASTER!$D$2:$D$5000,0)),""))</f>
        <v/>
      </c>
      <c r="F635" s="22">
        <f t="array" ref="F635">IF($C635="","",IFERROR(INDEX(DATA_MASTER!$L$2:$L$5000,MATCH($C635,DATA_MASTER!$D$2:$D$5000,0)),""))</f>
        <v/>
      </c>
      <c r="G635" s="24" t="n"/>
      <c r="H635" s="24" t="n"/>
      <c r="I635" s="30" t="n"/>
      <c r="J635" s="23">
        <f>IF(OR($H635="",$I635=""),"",$H635*$I635)</f>
        <v/>
      </c>
      <c r="K635" s="24" t="n"/>
      <c r="L635" s="24" t="n"/>
      <c r="M635" s="29" t="n"/>
      <c r="N635" s="28" t="n"/>
      <c r="O635" s="24" t="n"/>
      <c r="P635" s="24" t="n"/>
      <c r="Q635" s="24" t="n"/>
      <c r="R635" s="24" t="n"/>
      <c r="S635" s="22">
        <f>IF(AND($A635="",$C635=""),"",IF($A635="","Thiếu mã đơn; ","")&amp;IF(COUNTIF($A$2:$A635,$A635)&gt;1,"Trùng mã đơn; ","")&amp;IF(ISNA(MATCH($C635,DATA_MASTER!$D$2:$D$5000,0)),"SĐT chưa đăng ký hội viên; ","")&amp;IF(AND($L635="Đã chuyển khoản",$M635=""),"Thiếu ngày nhận CK; ",""))</f>
        <v/>
      </c>
      <c r="T635" s="24" t="n"/>
    </row>
    <row r="636" ht="14.25" customHeight="1" s="40">
      <c r="A636" s="24" t="n"/>
      <c r="B636" s="29" t="n"/>
      <c r="C636" s="28" t="n"/>
      <c r="D636" s="22">
        <f t="array" ref="D636">IF($C636="","",IFERROR(INDEX(DATA_MASTER!$C$2:$C$5000,MATCH($C636,DATA_MASTER!$D$2:$D$5000,0)),""))</f>
        <v/>
      </c>
      <c r="E636" s="22">
        <f t="array" ref="E636">IF($C636="","",IFERROR(INDEX(DATA_MASTER!$I$2:$I$5000,MATCH($C636,DATA_MASTER!$D$2:$D$5000,0)),""))</f>
        <v/>
      </c>
      <c r="F636" s="22">
        <f t="array" ref="F636">IF($C636="","",IFERROR(INDEX(DATA_MASTER!$L$2:$L$5000,MATCH($C636,DATA_MASTER!$D$2:$D$5000,0)),""))</f>
        <v/>
      </c>
      <c r="G636" s="24" t="n"/>
      <c r="H636" s="24" t="n"/>
      <c r="I636" s="30" t="n"/>
      <c r="J636" s="23">
        <f>IF(OR($H636="",$I636=""),"",$H636*$I636)</f>
        <v/>
      </c>
      <c r="K636" s="24" t="n"/>
      <c r="L636" s="24" t="n"/>
      <c r="M636" s="29" t="n"/>
      <c r="N636" s="28" t="n"/>
      <c r="O636" s="24" t="n"/>
      <c r="P636" s="24" t="n"/>
      <c r="Q636" s="24" t="n"/>
      <c r="R636" s="24" t="n"/>
      <c r="S636" s="22">
        <f>IF(AND($A636="",$C636=""),"",IF($A636="","Thiếu mã đơn; ","")&amp;IF(COUNTIF($A$2:$A636,$A636)&gt;1,"Trùng mã đơn; ","")&amp;IF(ISNA(MATCH($C636,DATA_MASTER!$D$2:$D$5000,0)),"SĐT chưa đăng ký hội viên; ","")&amp;IF(AND($L636="Đã chuyển khoản",$M636=""),"Thiếu ngày nhận CK; ",""))</f>
        <v/>
      </c>
      <c r="T636" s="24" t="n"/>
    </row>
    <row r="637" ht="14.25" customHeight="1" s="40">
      <c r="A637" s="24" t="n"/>
      <c r="B637" s="29" t="n"/>
      <c r="C637" s="28" t="n"/>
      <c r="D637" s="22">
        <f t="array" ref="D637">IF($C637="","",IFERROR(INDEX(DATA_MASTER!$C$2:$C$5000,MATCH($C637,DATA_MASTER!$D$2:$D$5000,0)),""))</f>
        <v/>
      </c>
      <c r="E637" s="22">
        <f t="array" ref="E637">IF($C637="","",IFERROR(INDEX(DATA_MASTER!$I$2:$I$5000,MATCH($C637,DATA_MASTER!$D$2:$D$5000,0)),""))</f>
        <v/>
      </c>
      <c r="F637" s="22">
        <f t="array" ref="F637">IF($C637="","",IFERROR(INDEX(DATA_MASTER!$L$2:$L$5000,MATCH($C637,DATA_MASTER!$D$2:$D$5000,0)),""))</f>
        <v/>
      </c>
      <c r="G637" s="24" t="n"/>
      <c r="H637" s="24" t="n"/>
      <c r="I637" s="30" t="n"/>
      <c r="J637" s="23">
        <f>IF(OR($H637="",$I637=""),"",$H637*$I637)</f>
        <v/>
      </c>
      <c r="K637" s="24" t="n"/>
      <c r="L637" s="24" t="n"/>
      <c r="M637" s="29" t="n"/>
      <c r="N637" s="28" t="n"/>
      <c r="O637" s="24" t="n"/>
      <c r="P637" s="24" t="n"/>
      <c r="Q637" s="24" t="n"/>
      <c r="R637" s="24" t="n"/>
      <c r="S637" s="22">
        <f>IF(AND($A637="",$C637=""),"",IF($A637="","Thiếu mã đơn; ","")&amp;IF(COUNTIF($A$2:$A637,$A637)&gt;1,"Trùng mã đơn; ","")&amp;IF(ISNA(MATCH($C637,DATA_MASTER!$D$2:$D$5000,0)),"SĐT chưa đăng ký hội viên; ","")&amp;IF(AND($L637="Đã chuyển khoản",$M637=""),"Thiếu ngày nhận CK; ",""))</f>
        <v/>
      </c>
      <c r="T637" s="24" t="n"/>
    </row>
    <row r="638" ht="14.25" customHeight="1" s="40">
      <c r="A638" s="24" t="n"/>
      <c r="B638" s="29" t="n"/>
      <c r="C638" s="28" t="n"/>
      <c r="D638" s="22">
        <f t="array" ref="D638">IF($C638="","",IFERROR(INDEX(DATA_MASTER!$C$2:$C$5000,MATCH($C638,DATA_MASTER!$D$2:$D$5000,0)),""))</f>
        <v/>
      </c>
      <c r="E638" s="22">
        <f t="array" ref="E638">IF($C638="","",IFERROR(INDEX(DATA_MASTER!$I$2:$I$5000,MATCH($C638,DATA_MASTER!$D$2:$D$5000,0)),""))</f>
        <v/>
      </c>
      <c r="F638" s="22">
        <f t="array" ref="F638">IF($C638="","",IFERROR(INDEX(DATA_MASTER!$L$2:$L$5000,MATCH($C638,DATA_MASTER!$D$2:$D$5000,0)),""))</f>
        <v/>
      </c>
      <c r="G638" s="24" t="n"/>
      <c r="H638" s="24" t="n"/>
      <c r="I638" s="30" t="n"/>
      <c r="J638" s="23">
        <f>IF(OR($H638="",$I638=""),"",$H638*$I638)</f>
        <v/>
      </c>
      <c r="K638" s="24" t="n"/>
      <c r="L638" s="24" t="n"/>
      <c r="M638" s="29" t="n"/>
      <c r="N638" s="28" t="n"/>
      <c r="O638" s="24" t="n"/>
      <c r="P638" s="24" t="n"/>
      <c r="Q638" s="24" t="n"/>
      <c r="R638" s="24" t="n"/>
      <c r="S638" s="22">
        <f>IF(AND($A638="",$C638=""),"",IF($A638="","Thiếu mã đơn; ","")&amp;IF(COUNTIF($A$2:$A638,$A638)&gt;1,"Trùng mã đơn; ","")&amp;IF(ISNA(MATCH($C638,DATA_MASTER!$D$2:$D$5000,0)),"SĐT chưa đăng ký hội viên; ","")&amp;IF(AND($L638="Đã chuyển khoản",$M638=""),"Thiếu ngày nhận CK; ",""))</f>
        <v/>
      </c>
      <c r="T638" s="24" t="n"/>
    </row>
    <row r="639" ht="14.25" customHeight="1" s="40">
      <c r="A639" s="24" t="n"/>
      <c r="B639" s="29" t="n"/>
      <c r="C639" s="28" t="n"/>
      <c r="D639" s="22">
        <f t="array" ref="D639">IF($C639="","",IFERROR(INDEX(DATA_MASTER!$C$2:$C$5000,MATCH($C639,DATA_MASTER!$D$2:$D$5000,0)),""))</f>
        <v/>
      </c>
      <c r="E639" s="22">
        <f t="array" ref="E639">IF($C639="","",IFERROR(INDEX(DATA_MASTER!$I$2:$I$5000,MATCH($C639,DATA_MASTER!$D$2:$D$5000,0)),""))</f>
        <v/>
      </c>
      <c r="F639" s="22">
        <f t="array" ref="F639">IF($C639="","",IFERROR(INDEX(DATA_MASTER!$L$2:$L$5000,MATCH($C639,DATA_MASTER!$D$2:$D$5000,0)),""))</f>
        <v/>
      </c>
      <c r="G639" s="24" t="n"/>
      <c r="H639" s="24" t="n"/>
      <c r="I639" s="30" t="n"/>
      <c r="J639" s="23">
        <f>IF(OR($H639="",$I639=""),"",$H639*$I639)</f>
        <v/>
      </c>
      <c r="K639" s="24" t="n"/>
      <c r="L639" s="24" t="n"/>
      <c r="M639" s="29" t="n"/>
      <c r="N639" s="28" t="n"/>
      <c r="O639" s="24" t="n"/>
      <c r="P639" s="24" t="n"/>
      <c r="Q639" s="24" t="n"/>
      <c r="R639" s="24" t="n"/>
      <c r="S639" s="22">
        <f>IF(AND($A639="",$C639=""),"",IF($A639="","Thiếu mã đơn; ","")&amp;IF(COUNTIF($A$2:$A639,$A639)&gt;1,"Trùng mã đơn; ","")&amp;IF(ISNA(MATCH($C639,DATA_MASTER!$D$2:$D$5000,0)),"SĐT chưa đăng ký hội viên; ","")&amp;IF(AND($L639="Đã chuyển khoản",$M639=""),"Thiếu ngày nhận CK; ",""))</f>
        <v/>
      </c>
      <c r="T639" s="24" t="n"/>
    </row>
    <row r="640" ht="14.25" customHeight="1" s="40">
      <c r="A640" s="24" t="n"/>
      <c r="B640" s="29" t="n"/>
      <c r="C640" s="28" t="n"/>
      <c r="D640" s="22">
        <f t="array" ref="D640">IF($C640="","",IFERROR(INDEX(DATA_MASTER!$C$2:$C$5000,MATCH($C640,DATA_MASTER!$D$2:$D$5000,0)),""))</f>
        <v/>
      </c>
      <c r="E640" s="22">
        <f t="array" ref="E640">IF($C640="","",IFERROR(INDEX(DATA_MASTER!$I$2:$I$5000,MATCH($C640,DATA_MASTER!$D$2:$D$5000,0)),""))</f>
        <v/>
      </c>
      <c r="F640" s="22">
        <f t="array" ref="F640">IF($C640="","",IFERROR(INDEX(DATA_MASTER!$L$2:$L$5000,MATCH($C640,DATA_MASTER!$D$2:$D$5000,0)),""))</f>
        <v/>
      </c>
      <c r="G640" s="24" t="n"/>
      <c r="H640" s="24" t="n"/>
      <c r="I640" s="30" t="n"/>
      <c r="J640" s="23">
        <f>IF(OR($H640="",$I640=""),"",$H640*$I640)</f>
        <v/>
      </c>
      <c r="K640" s="24" t="n"/>
      <c r="L640" s="24" t="n"/>
      <c r="M640" s="29" t="n"/>
      <c r="N640" s="28" t="n"/>
      <c r="O640" s="24" t="n"/>
      <c r="P640" s="24" t="n"/>
      <c r="Q640" s="24" t="n"/>
      <c r="R640" s="24" t="n"/>
      <c r="S640" s="22">
        <f>IF(AND($A640="",$C640=""),"",IF($A640="","Thiếu mã đơn; ","")&amp;IF(COUNTIF($A$2:$A640,$A640)&gt;1,"Trùng mã đơn; ","")&amp;IF(ISNA(MATCH($C640,DATA_MASTER!$D$2:$D$5000,0)),"SĐT chưa đăng ký hội viên; ","")&amp;IF(AND($L640="Đã chuyển khoản",$M640=""),"Thiếu ngày nhận CK; ",""))</f>
        <v/>
      </c>
      <c r="T640" s="24" t="n"/>
    </row>
    <row r="641" ht="14.25" customHeight="1" s="40">
      <c r="A641" s="24" t="n"/>
      <c r="B641" s="29" t="n"/>
      <c r="C641" s="28" t="n"/>
      <c r="D641" s="22">
        <f t="array" ref="D641">IF($C641="","",IFERROR(INDEX(DATA_MASTER!$C$2:$C$5000,MATCH($C641,DATA_MASTER!$D$2:$D$5000,0)),""))</f>
        <v/>
      </c>
      <c r="E641" s="22">
        <f t="array" ref="E641">IF($C641="","",IFERROR(INDEX(DATA_MASTER!$I$2:$I$5000,MATCH($C641,DATA_MASTER!$D$2:$D$5000,0)),""))</f>
        <v/>
      </c>
      <c r="F641" s="22">
        <f t="array" ref="F641">IF($C641="","",IFERROR(INDEX(DATA_MASTER!$L$2:$L$5000,MATCH($C641,DATA_MASTER!$D$2:$D$5000,0)),""))</f>
        <v/>
      </c>
      <c r="G641" s="24" t="n"/>
      <c r="H641" s="24" t="n"/>
      <c r="I641" s="30" t="n"/>
      <c r="J641" s="23">
        <f>IF(OR($H641="",$I641=""),"",$H641*$I641)</f>
        <v/>
      </c>
      <c r="K641" s="24" t="n"/>
      <c r="L641" s="24" t="n"/>
      <c r="M641" s="29" t="n"/>
      <c r="N641" s="28" t="n"/>
      <c r="O641" s="24" t="n"/>
      <c r="P641" s="24" t="n"/>
      <c r="Q641" s="24" t="n"/>
      <c r="R641" s="24" t="n"/>
      <c r="S641" s="22">
        <f>IF(AND($A641="",$C641=""),"",IF($A641="","Thiếu mã đơn; ","")&amp;IF(COUNTIF($A$2:$A641,$A641)&gt;1,"Trùng mã đơn; ","")&amp;IF(ISNA(MATCH($C641,DATA_MASTER!$D$2:$D$5000,0)),"SĐT chưa đăng ký hội viên; ","")&amp;IF(AND($L641="Đã chuyển khoản",$M641=""),"Thiếu ngày nhận CK; ",""))</f>
        <v/>
      </c>
      <c r="T641" s="24" t="n"/>
    </row>
    <row r="642" ht="14.25" customHeight="1" s="40">
      <c r="A642" s="24" t="n"/>
      <c r="B642" s="29" t="n"/>
      <c r="C642" s="28" t="n"/>
      <c r="D642" s="22">
        <f t="array" ref="D642">IF($C642="","",IFERROR(INDEX(DATA_MASTER!$C$2:$C$5000,MATCH($C642,DATA_MASTER!$D$2:$D$5000,0)),""))</f>
        <v/>
      </c>
      <c r="E642" s="22">
        <f t="array" ref="E642">IF($C642="","",IFERROR(INDEX(DATA_MASTER!$I$2:$I$5000,MATCH($C642,DATA_MASTER!$D$2:$D$5000,0)),""))</f>
        <v/>
      </c>
      <c r="F642" s="22">
        <f t="array" ref="F642">IF($C642="","",IFERROR(INDEX(DATA_MASTER!$L$2:$L$5000,MATCH($C642,DATA_MASTER!$D$2:$D$5000,0)),""))</f>
        <v/>
      </c>
      <c r="G642" s="24" t="n"/>
      <c r="H642" s="24" t="n"/>
      <c r="I642" s="30" t="n"/>
      <c r="J642" s="23">
        <f>IF(OR($H642="",$I642=""),"",$H642*$I642)</f>
        <v/>
      </c>
      <c r="K642" s="24" t="n"/>
      <c r="L642" s="24" t="n"/>
      <c r="M642" s="29" t="n"/>
      <c r="N642" s="28" t="n"/>
      <c r="O642" s="24" t="n"/>
      <c r="P642" s="24" t="n"/>
      <c r="Q642" s="24" t="n"/>
      <c r="R642" s="24" t="n"/>
      <c r="S642" s="22">
        <f>IF(AND($A642="",$C642=""),"",IF($A642="","Thiếu mã đơn; ","")&amp;IF(COUNTIF($A$2:$A642,$A642)&gt;1,"Trùng mã đơn; ","")&amp;IF(ISNA(MATCH($C642,DATA_MASTER!$D$2:$D$5000,0)),"SĐT chưa đăng ký hội viên; ","")&amp;IF(AND($L642="Đã chuyển khoản",$M642=""),"Thiếu ngày nhận CK; ",""))</f>
        <v/>
      </c>
      <c r="T642" s="24" t="n"/>
    </row>
    <row r="643" ht="14.25" customHeight="1" s="40">
      <c r="A643" s="24" t="n"/>
      <c r="B643" s="29" t="n"/>
      <c r="C643" s="28" t="n"/>
      <c r="D643" s="22">
        <f t="array" ref="D643">IF($C643="","",IFERROR(INDEX(DATA_MASTER!$C$2:$C$5000,MATCH($C643,DATA_MASTER!$D$2:$D$5000,0)),""))</f>
        <v/>
      </c>
      <c r="E643" s="22">
        <f t="array" ref="E643">IF($C643="","",IFERROR(INDEX(DATA_MASTER!$I$2:$I$5000,MATCH($C643,DATA_MASTER!$D$2:$D$5000,0)),""))</f>
        <v/>
      </c>
      <c r="F643" s="22">
        <f t="array" ref="F643">IF($C643="","",IFERROR(INDEX(DATA_MASTER!$L$2:$L$5000,MATCH($C643,DATA_MASTER!$D$2:$D$5000,0)),""))</f>
        <v/>
      </c>
      <c r="G643" s="24" t="n"/>
      <c r="H643" s="24" t="n"/>
      <c r="I643" s="30" t="n"/>
      <c r="J643" s="23">
        <f>IF(OR($H643="",$I643=""),"",$H643*$I643)</f>
        <v/>
      </c>
      <c r="K643" s="24" t="n"/>
      <c r="L643" s="24" t="n"/>
      <c r="M643" s="29" t="n"/>
      <c r="N643" s="28" t="n"/>
      <c r="O643" s="24" t="n"/>
      <c r="P643" s="24" t="n"/>
      <c r="Q643" s="24" t="n"/>
      <c r="R643" s="24" t="n"/>
      <c r="S643" s="22">
        <f>IF(AND($A643="",$C643=""),"",IF($A643="","Thiếu mã đơn; ","")&amp;IF(COUNTIF($A$2:$A643,$A643)&gt;1,"Trùng mã đơn; ","")&amp;IF(ISNA(MATCH($C643,DATA_MASTER!$D$2:$D$5000,0)),"SĐT chưa đăng ký hội viên; ","")&amp;IF(AND($L643="Đã chuyển khoản",$M643=""),"Thiếu ngày nhận CK; ",""))</f>
        <v/>
      </c>
      <c r="T643" s="24" t="n"/>
    </row>
    <row r="644" ht="14.25" customHeight="1" s="40">
      <c r="A644" s="24" t="n"/>
      <c r="B644" s="29" t="n"/>
      <c r="C644" s="28" t="n"/>
      <c r="D644" s="22">
        <f t="array" ref="D644">IF($C644="","",IFERROR(INDEX(DATA_MASTER!$C$2:$C$5000,MATCH($C644,DATA_MASTER!$D$2:$D$5000,0)),""))</f>
        <v/>
      </c>
      <c r="E644" s="22">
        <f t="array" ref="E644">IF($C644="","",IFERROR(INDEX(DATA_MASTER!$I$2:$I$5000,MATCH($C644,DATA_MASTER!$D$2:$D$5000,0)),""))</f>
        <v/>
      </c>
      <c r="F644" s="22">
        <f t="array" ref="F644">IF($C644="","",IFERROR(INDEX(DATA_MASTER!$L$2:$L$5000,MATCH($C644,DATA_MASTER!$D$2:$D$5000,0)),""))</f>
        <v/>
      </c>
      <c r="G644" s="24" t="n"/>
      <c r="H644" s="24" t="n"/>
      <c r="I644" s="30" t="n"/>
      <c r="J644" s="23">
        <f>IF(OR($H644="",$I644=""),"",$H644*$I644)</f>
        <v/>
      </c>
      <c r="K644" s="24" t="n"/>
      <c r="L644" s="24" t="n"/>
      <c r="M644" s="29" t="n"/>
      <c r="N644" s="28" t="n"/>
      <c r="O644" s="24" t="n"/>
      <c r="P644" s="24" t="n"/>
      <c r="Q644" s="24" t="n"/>
      <c r="R644" s="24" t="n"/>
      <c r="S644" s="22">
        <f>IF(AND($A644="",$C644=""),"",IF($A644="","Thiếu mã đơn; ","")&amp;IF(COUNTIF($A$2:$A644,$A644)&gt;1,"Trùng mã đơn; ","")&amp;IF(ISNA(MATCH($C644,DATA_MASTER!$D$2:$D$5000,0)),"SĐT chưa đăng ký hội viên; ","")&amp;IF(AND($L644="Đã chuyển khoản",$M644=""),"Thiếu ngày nhận CK; ",""))</f>
        <v/>
      </c>
      <c r="T644" s="24" t="n"/>
    </row>
    <row r="645" ht="14.25" customHeight="1" s="40">
      <c r="A645" s="24" t="n"/>
      <c r="B645" s="29" t="n"/>
      <c r="C645" s="28" t="n"/>
      <c r="D645" s="22">
        <f t="array" ref="D645">IF($C645="","",IFERROR(INDEX(DATA_MASTER!$C$2:$C$5000,MATCH($C645,DATA_MASTER!$D$2:$D$5000,0)),""))</f>
        <v/>
      </c>
      <c r="E645" s="22">
        <f t="array" ref="E645">IF($C645="","",IFERROR(INDEX(DATA_MASTER!$I$2:$I$5000,MATCH($C645,DATA_MASTER!$D$2:$D$5000,0)),""))</f>
        <v/>
      </c>
      <c r="F645" s="22">
        <f t="array" ref="F645">IF($C645="","",IFERROR(INDEX(DATA_MASTER!$L$2:$L$5000,MATCH($C645,DATA_MASTER!$D$2:$D$5000,0)),""))</f>
        <v/>
      </c>
      <c r="G645" s="24" t="n"/>
      <c r="H645" s="24" t="n"/>
      <c r="I645" s="30" t="n"/>
      <c r="J645" s="23">
        <f>IF(OR($H645="",$I645=""),"",$H645*$I645)</f>
        <v/>
      </c>
      <c r="K645" s="24" t="n"/>
      <c r="L645" s="24" t="n"/>
      <c r="M645" s="29" t="n"/>
      <c r="N645" s="28" t="n"/>
      <c r="O645" s="24" t="n"/>
      <c r="P645" s="24" t="n"/>
      <c r="Q645" s="24" t="n"/>
      <c r="R645" s="24" t="n"/>
      <c r="S645" s="22">
        <f>IF(AND($A645="",$C645=""),"",IF($A645="","Thiếu mã đơn; ","")&amp;IF(COUNTIF($A$2:$A645,$A645)&gt;1,"Trùng mã đơn; ","")&amp;IF(ISNA(MATCH($C645,DATA_MASTER!$D$2:$D$5000,0)),"SĐT chưa đăng ký hội viên; ","")&amp;IF(AND($L645="Đã chuyển khoản",$M645=""),"Thiếu ngày nhận CK; ",""))</f>
        <v/>
      </c>
      <c r="T645" s="24" t="n"/>
    </row>
    <row r="646" ht="14.25" customHeight="1" s="40">
      <c r="A646" s="24" t="n"/>
      <c r="B646" s="29" t="n"/>
      <c r="C646" s="28" t="n"/>
      <c r="D646" s="22">
        <f t="array" ref="D646">IF($C646="","",IFERROR(INDEX(DATA_MASTER!$C$2:$C$5000,MATCH($C646,DATA_MASTER!$D$2:$D$5000,0)),""))</f>
        <v/>
      </c>
      <c r="E646" s="22">
        <f t="array" ref="E646">IF($C646="","",IFERROR(INDEX(DATA_MASTER!$I$2:$I$5000,MATCH($C646,DATA_MASTER!$D$2:$D$5000,0)),""))</f>
        <v/>
      </c>
      <c r="F646" s="22">
        <f t="array" ref="F646">IF($C646="","",IFERROR(INDEX(DATA_MASTER!$L$2:$L$5000,MATCH($C646,DATA_MASTER!$D$2:$D$5000,0)),""))</f>
        <v/>
      </c>
      <c r="G646" s="24" t="n"/>
      <c r="H646" s="24" t="n"/>
      <c r="I646" s="30" t="n"/>
      <c r="J646" s="23">
        <f>IF(OR($H646="",$I646=""),"",$H646*$I646)</f>
        <v/>
      </c>
      <c r="K646" s="24" t="n"/>
      <c r="L646" s="24" t="n"/>
      <c r="M646" s="29" t="n"/>
      <c r="N646" s="28" t="n"/>
      <c r="O646" s="24" t="n"/>
      <c r="P646" s="24" t="n"/>
      <c r="Q646" s="24" t="n"/>
      <c r="R646" s="24" t="n"/>
      <c r="S646" s="22">
        <f>IF(AND($A646="",$C646=""),"",IF($A646="","Thiếu mã đơn; ","")&amp;IF(COUNTIF($A$2:$A646,$A646)&gt;1,"Trùng mã đơn; ","")&amp;IF(ISNA(MATCH($C646,DATA_MASTER!$D$2:$D$5000,0)),"SĐT chưa đăng ký hội viên; ","")&amp;IF(AND($L646="Đã chuyển khoản",$M646=""),"Thiếu ngày nhận CK; ",""))</f>
        <v/>
      </c>
      <c r="T646" s="24" t="n"/>
    </row>
    <row r="647" ht="14.25" customHeight="1" s="40">
      <c r="A647" s="24" t="n"/>
      <c r="B647" s="29" t="n"/>
      <c r="C647" s="28" t="n"/>
      <c r="D647" s="22">
        <f t="array" ref="D647">IF($C647="","",IFERROR(INDEX(DATA_MASTER!$C$2:$C$5000,MATCH($C647,DATA_MASTER!$D$2:$D$5000,0)),""))</f>
        <v/>
      </c>
      <c r="E647" s="22">
        <f t="array" ref="E647">IF($C647="","",IFERROR(INDEX(DATA_MASTER!$I$2:$I$5000,MATCH($C647,DATA_MASTER!$D$2:$D$5000,0)),""))</f>
        <v/>
      </c>
      <c r="F647" s="22">
        <f t="array" ref="F647">IF($C647="","",IFERROR(INDEX(DATA_MASTER!$L$2:$L$5000,MATCH($C647,DATA_MASTER!$D$2:$D$5000,0)),""))</f>
        <v/>
      </c>
      <c r="G647" s="24" t="n"/>
      <c r="H647" s="24" t="n"/>
      <c r="I647" s="30" t="n"/>
      <c r="J647" s="23">
        <f>IF(OR($H647="",$I647=""),"",$H647*$I647)</f>
        <v/>
      </c>
      <c r="K647" s="24" t="n"/>
      <c r="L647" s="24" t="n"/>
      <c r="M647" s="29" t="n"/>
      <c r="N647" s="28" t="n"/>
      <c r="O647" s="24" t="n"/>
      <c r="P647" s="24" t="n"/>
      <c r="Q647" s="24" t="n"/>
      <c r="R647" s="24" t="n"/>
      <c r="S647" s="22">
        <f>IF(AND($A647="",$C647=""),"",IF($A647="","Thiếu mã đơn; ","")&amp;IF(COUNTIF($A$2:$A647,$A647)&gt;1,"Trùng mã đơn; ","")&amp;IF(ISNA(MATCH($C647,DATA_MASTER!$D$2:$D$5000,0)),"SĐT chưa đăng ký hội viên; ","")&amp;IF(AND($L647="Đã chuyển khoản",$M647=""),"Thiếu ngày nhận CK; ",""))</f>
        <v/>
      </c>
      <c r="T647" s="24" t="n"/>
    </row>
    <row r="648" ht="14.25" customHeight="1" s="40">
      <c r="A648" s="24" t="n"/>
      <c r="B648" s="29" t="n"/>
      <c r="C648" s="28" t="n"/>
      <c r="D648" s="22">
        <f t="array" ref="D648">IF($C648="","",IFERROR(INDEX(DATA_MASTER!$C$2:$C$5000,MATCH($C648,DATA_MASTER!$D$2:$D$5000,0)),""))</f>
        <v/>
      </c>
      <c r="E648" s="22">
        <f t="array" ref="E648">IF($C648="","",IFERROR(INDEX(DATA_MASTER!$I$2:$I$5000,MATCH($C648,DATA_MASTER!$D$2:$D$5000,0)),""))</f>
        <v/>
      </c>
      <c r="F648" s="22">
        <f t="array" ref="F648">IF($C648="","",IFERROR(INDEX(DATA_MASTER!$L$2:$L$5000,MATCH($C648,DATA_MASTER!$D$2:$D$5000,0)),""))</f>
        <v/>
      </c>
      <c r="G648" s="24" t="n"/>
      <c r="H648" s="24" t="n"/>
      <c r="I648" s="30" t="n"/>
      <c r="J648" s="23">
        <f>IF(OR($H648="",$I648=""),"",$H648*$I648)</f>
        <v/>
      </c>
      <c r="K648" s="24" t="n"/>
      <c r="L648" s="24" t="n"/>
      <c r="M648" s="29" t="n"/>
      <c r="N648" s="28" t="n"/>
      <c r="O648" s="24" t="n"/>
      <c r="P648" s="24" t="n"/>
      <c r="Q648" s="24" t="n"/>
      <c r="R648" s="24" t="n"/>
      <c r="S648" s="22">
        <f>IF(AND($A648="",$C648=""),"",IF($A648="","Thiếu mã đơn; ","")&amp;IF(COUNTIF($A$2:$A648,$A648)&gt;1,"Trùng mã đơn; ","")&amp;IF(ISNA(MATCH($C648,DATA_MASTER!$D$2:$D$5000,0)),"SĐT chưa đăng ký hội viên; ","")&amp;IF(AND($L648="Đã chuyển khoản",$M648=""),"Thiếu ngày nhận CK; ",""))</f>
        <v/>
      </c>
      <c r="T648" s="24" t="n"/>
    </row>
    <row r="649" ht="14.25" customHeight="1" s="40">
      <c r="A649" s="24" t="n"/>
      <c r="B649" s="29" t="n"/>
      <c r="C649" s="28" t="n"/>
      <c r="D649" s="22">
        <f t="array" ref="D649">IF($C649="","",IFERROR(INDEX(DATA_MASTER!$C$2:$C$5000,MATCH($C649,DATA_MASTER!$D$2:$D$5000,0)),""))</f>
        <v/>
      </c>
      <c r="E649" s="22">
        <f t="array" ref="E649">IF($C649="","",IFERROR(INDEX(DATA_MASTER!$I$2:$I$5000,MATCH($C649,DATA_MASTER!$D$2:$D$5000,0)),""))</f>
        <v/>
      </c>
      <c r="F649" s="22">
        <f t="array" ref="F649">IF($C649="","",IFERROR(INDEX(DATA_MASTER!$L$2:$L$5000,MATCH($C649,DATA_MASTER!$D$2:$D$5000,0)),""))</f>
        <v/>
      </c>
      <c r="G649" s="24" t="n"/>
      <c r="H649" s="24" t="n"/>
      <c r="I649" s="30" t="n"/>
      <c r="J649" s="23">
        <f>IF(OR($H649="",$I649=""),"",$H649*$I649)</f>
        <v/>
      </c>
      <c r="K649" s="24" t="n"/>
      <c r="L649" s="24" t="n"/>
      <c r="M649" s="29" t="n"/>
      <c r="N649" s="28" t="n"/>
      <c r="O649" s="24" t="n"/>
      <c r="P649" s="24" t="n"/>
      <c r="Q649" s="24" t="n"/>
      <c r="R649" s="24" t="n"/>
      <c r="S649" s="22">
        <f>IF(AND($A649="",$C649=""),"",IF($A649="","Thiếu mã đơn; ","")&amp;IF(COUNTIF($A$2:$A649,$A649)&gt;1,"Trùng mã đơn; ","")&amp;IF(ISNA(MATCH($C649,DATA_MASTER!$D$2:$D$5000,0)),"SĐT chưa đăng ký hội viên; ","")&amp;IF(AND($L649="Đã chuyển khoản",$M649=""),"Thiếu ngày nhận CK; ",""))</f>
        <v/>
      </c>
      <c r="T649" s="24" t="n"/>
    </row>
    <row r="650" ht="14.25" customHeight="1" s="40">
      <c r="A650" s="24" t="n"/>
      <c r="B650" s="29" t="n"/>
      <c r="C650" s="28" t="n"/>
      <c r="D650" s="22">
        <f t="array" ref="D650">IF($C650="","",IFERROR(INDEX(DATA_MASTER!$C$2:$C$5000,MATCH($C650,DATA_MASTER!$D$2:$D$5000,0)),""))</f>
        <v/>
      </c>
      <c r="E650" s="22">
        <f t="array" ref="E650">IF($C650="","",IFERROR(INDEX(DATA_MASTER!$I$2:$I$5000,MATCH($C650,DATA_MASTER!$D$2:$D$5000,0)),""))</f>
        <v/>
      </c>
      <c r="F650" s="22">
        <f t="array" ref="F650">IF($C650="","",IFERROR(INDEX(DATA_MASTER!$L$2:$L$5000,MATCH($C650,DATA_MASTER!$D$2:$D$5000,0)),""))</f>
        <v/>
      </c>
      <c r="G650" s="24" t="n"/>
      <c r="H650" s="24" t="n"/>
      <c r="I650" s="30" t="n"/>
      <c r="J650" s="23">
        <f>IF(OR($H650="",$I650=""),"",$H650*$I650)</f>
        <v/>
      </c>
      <c r="K650" s="24" t="n"/>
      <c r="L650" s="24" t="n"/>
      <c r="M650" s="29" t="n"/>
      <c r="N650" s="28" t="n"/>
      <c r="O650" s="24" t="n"/>
      <c r="P650" s="24" t="n"/>
      <c r="Q650" s="24" t="n"/>
      <c r="R650" s="24" t="n"/>
      <c r="S650" s="22">
        <f>IF(AND($A650="",$C650=""),"",IF($A650="","Thiếu mã đơn; ","")&amp;IF(COUNTIF($A$2:$A650,$A650)&gt;1,"Trùng mã đơn; ","")&amp;IF(ISNA(MATCH($C650,DATA_MASTER!$D$2:$D$5000,0)),"SĐT chưa đăng ký hội viên; ","")&amp;IF(AND($L650="Đã chuyển khoản",$M650=""),"Thiếu ngày nhận CK; ",""))</f>
        <v/>
      </c>
      <c r="T650" s="24" t="n"/>
    </row>
    <row r="651" ht="14.25" customHeight="1" s="40">
      <c r="A651" s="24" t="n"/>
      <c r="B651" s="29" t="n"/>
      <c r="C651" s="28" t="n"/>
      <c r="D651" s="22">
        <f t="array" ref="D651">IF($C651="","",IFERROR(INDEX(DATA_MASTER!$C$2:$C$5000,MATCH($C651,DATA_MASTER!$D$2:$D$5000,0)),""))</f>
        <v/>
      </c>
      <c r="E651" s="22">
        <f t="array" ref="E651">IF($C651="","",IFERROR(INDEX(DATA_MASTER!$I$2:$I$5000,MATCH($C651,DATA_MASTER!$D$2:$D$5000,0)),""))</f>
        <v/>
      </c>
      <c r="F651" s="22">
        <f t="array" ref="F651">IF($C651="","",IFERROR(INDEX(DATA_MASTER!$L$2:$L$5000,MATCH($C651,DATA_MASTER!$D$2:$D$5000,0)),""))</f>
        <v/>
      </c>
      <c r="G651" s="24" t="n"/>
      <c r="H651" s="24" t="n"/>
      <c r="I651" s="30" t="n"/>
      <c r="J651" s="23">
        <f>IF(OR($H651="",$I651=""),"",$H651*$I651)</f>
        <v/>
      </c>
      <c r="K651" s="24" t="n"/>
      <c r="L651" s="24" t="n"/>
      <c r="M651" s="29" t="n"/>
      <c r="N651" s="28" t="n"/>
      <c r="O651" s="24" t="n"/>
      <c r="P651" s="24" t="n"/>
      <c r="Q651" s="24" t="n"/>
      <c r="R651" s="24" t="n"/>
      <c r="S651" s="22">
        <f>IF(AND($A651="",$C651=""),"",IF($A651="","Thiếu mã đơn; ","")&amp;IF(COUNTIF($A$2:$A651,$A651)&gt;1,"Trùng mã đơn; ","")&amp;IF(ISNA(MATCH($C651,DATA_MASTER!$D$2:$D$5000,0)),"SĐT chưa đăng ký hội viên; ","")&amp;IF(AND($L651="Đã chuyển khoản",$M651=""),"Thiếu ngày nhận CK; ",""))</f>
        <v/>
      </c>
      <c r="T651" s="24" t="n"/>
    </row>
    <row r="652" ht="14.25" customHeight="1" s="40">
      <c r="A652" s="24" t="n"/>
      <c r="B652" s="29" t="n"/>
      <c r="C652" s="28" t="n"/>
      <c r="D652" s="22">
        <f t="array" ref="D652">IF($C652="","",IFERROR(INDEX(DATA_MASTER!$C$2:$C$5000,MATCH($C652,DATA_MASTER!$D$2:$D$5000,0)),""))</f>
        <v/>
      </c>
      <c r="E652" s="22">
        <f t="array" ref="E652">IF($C652="","",IFERROR(INDEX(DATA_MASTER!$I$2:$I$5000,MATCH($C652,DATA_MASTER!$D$2:$D$5000,0)),""))</f>
        <v/>
      </c>
      <c r="F652" s="22">
        <f t="array" ref="F652">IF($C652="","",IFERROR(INDEX(DATA_MASTER!$L$2:$L$5000,MATCH($C652,DATA_MASTER!$D$2:$D$5000,0)),""))</f>
        <v/>
      </c>
      <c r="G652" s="24" t="n"/>
      <c r="H652" s="24" t="n"/>
      <c r="I652" s="30" t="n"/>
      <c r="J652" s="23">
        <f>IF(OR($H652="",$I652=""),"",$H652*$I652)</f>
        <v/>
      </c>
      <c r="K652" s="24" t="n"/>
      <c r="L652" s="24" t="n"/>
      <c r="M652" s="29" t="n"/>
      <c r="N652" s="28" t="n"/>
      <c r="O652" s="24" t="n"/>
      <c r="P652" s="24" t="n"/>
      <c r="Q652" s="24" t="n"/>
      <c r="R652" s="24" t="n"/>
      <c r="S652" s="22">
        <f>IF(AND($A652="",$C652=""),"",IF($A652="","Thiếu mã đơn; ","")&amp;IF(COUNTIF($A$2:$A652,$A652)&gt;1,"Trùng mã đơn; ","")&amp;IF(ISNA(MATCH($C652,DATA_MASTER!$D$2:$D$5000,0)),"SĐT chưa đăng ký hội viên; ","")&amp;IF(AND($L652="Đã chuyển khoản",$M652=""),"Thiếu ngày nhận CK; ",""))</f>
        <v/>
      </c>
      <c r="T652" s="24" t="n"/>
    </row>
    <row r="653" ht="14.25" customHeight="1" s="40">
      <c r="A653" s="24" t="n"/>
      <c r="B653" s="29" t="n"/>
      <c r="C653" s="28" t="n"/>
      <c r="D653" s="22">
        <f t="array" ref="D653">IF($C653="","",IFERROR(INDEX(DATA_MASTER!$C$2:$C$5000,MATCH($C653,DATA_MASTER!$D$2:$D$5000,0)),""))</f>
        <v/>
      </c>
      <c r="E653" s="22">
        <f t="array" ref="E653">IF($C653="","",IFERROR(INDEX(DATA_MASTER!$I$2:$I$5000,MATCH($C653,DATA_MASTER!$D$2:$D$5000,0)),""))</f>
        <v/>
      </c>
      <c r="F653" s="22">
        <f t="array" ref="F653">IF($C653="","",IFERROR(INDEX(DATA_MASTER!$L$2:$L$5000,MATCH($C653,DATA_MASTER!$D$2:$D$5000,0)),""))</f>
        <v/>
      </c>
      <c r="G653" s="24" t="n"/>
      <c r="H653" s="24" t="n"/>
      <c r="I653" s="30" t="n"/>
      <c r="J653" s="23">
        <f>IF(OR($H653="",$I653=""),"",$H653*$I653)</f>
        <v/>
      </c>
      <c r="K653" s="24" t="n"/>
      <c r="L653" s="24" t="n"/>
      <c r="M653" s="29" t="n"/>
      <c r="N653" s="28" t="n"/>
      <c r="O653" s="24" t="n"/>
      <c r="P653" s="24" t="n"/>
      <c r="Q653" s="24" t="n"/>
      <c r="R653" s="24" t="n"/>
      <c r="S653" s="22">
        <f>IF(AND($A653="",$C653=""),"",IF($A653="","Thiếu mã đơn; ","")&amp;IF(COUNTIF($A$2:$A653,$A653)&gt;1,"Trùng mã đơn; ","")&amp;IF(ISNA(MATCH($C653,DATA_MASTER!$D$2:$D$5000,0)),"SĐT chưa đăng ký hội viên; ","")&amp;IF(AND($L653="Đã chuyển khoản",$M653=""),"Thiếu ngày nhận CK; ",""))</f>
        <v/>
      </c>
      <c r="T653" s="24" t="n"/>
    </row>
    <row r="654" ht="14.25" customHeight="1" s="40">
      <c r="A654" s="24" t="n"/>
      <c r="B654" s="29" t="n"/>
      <c r="C654" s="28" t="n"/>
      <c r="D654" s="22">
        <f t="array" ref="D654">IF($C654="","",IFERROR(INDEX(DATA_MASTER!$C$2:$C$5000,MATCH($C654,DATA_MASTER!$D$2:$D$5000,0)),""))</f>
        <v/>
      </c>
      <c r="E654" s="22">
        <f t="array" ref="E654">IF($C654="","",IFERROR(INDEX(DATA_MASTER!$I$2:$I$5000,MATCH($C654,DATA_MASTER!$D$2:$D$5000,0)),""))</f>
        <v/>
      </c>
      <c r="F654" s="22">
        <f t="array" ref="F654">IF($C654="","",IFERROR(INDEX(DATA_MASTER!$L$2:$L$5000,MATCH($C654,DATA_MASTER!$D$2:$D$5000,0)),""))</f>
        <v/>
      </c>
      <c r="G654" s="24" t="n"/>
      <c r="H654" s="24" t="n"/>
      <c r="I654" s="30" t="n"/>
      <c r="J654" s="23">
        <f>IF(OR($H654="",$I654=""),"",$H654*$I654)</f>
        <v/>
      </c>
      <c r="K654" s="24" t="n"/>
      <c r="L654" s="24" t="n"/>
      <c r="M654" s="29" t="n"/>
      <c r="N654" s="28" t="n"/>
      <c r="O654" s="24" t="n"/>
      <c r="P654" s="24" t="n"/>
      <c r="Q654" s="24" t="n"/>
      <c r="R654" s="24" t="n"/>
      <c r="S654" s="22">
        <f>IF(AND($A654="",$C654=""),"",IF($A654="","Thiếu mã đơn; ","")&amp;IF(COUNTIF($A$2:$A654,$A654)&gt;1,"Trùng mã đơn; ","")&amp;IF(ISNA(MATCH($C654,DATA_MASTER!$D$2:$D$5000,0)),"SĐT chưa đăng ký hội viên; ","")&amp;IF(AND($L654="Đã chuyển khoản",$M654=""),"Thiếu ngày nhận CK; ",""))</f>
        <v/>
      </c>
      <c r="T654" s="24" t="n"/>
    </row>
    <row r="655" ht="14.25" customHeight="1" s="40">
      <c r="A655" s="24" t="n"/>
      <c r="B655" s="29" t="n"/>
      <c r="C655" s="28" t="n"/>
      <c r="D655" s="22">
        <f t="array" ref="D655">IF($C655="","",IFERROR(INDEX(DATA_MASTER!$C$2:$C$5000,MATCH($C655,DATA_MASTER!$D$2:$D$5000,0)),""))</f>
        <v/>
      </c>
      <c r="E655" s="22">
        <f t="array" ref="E655">IF($C655="","",IFERROR(INDEX(DATA_MASTER!$I$2:$I$5000,MATCH($C655,DATA_MASTER!$D$2:$D$5000,0)),""))</f>
        <v/>
      </c>
      <c r="F655" s="22">
        <f t="array" ref="F655">IF($C655="","",IFERROR(INDEX(DATA_MASTER!$L$2:$L$5000,MATCH($C655,DATA_MASTER!$D$2:$D$5000,0)),""))</f>
        <v/>
      </c>
      <c r="G655" s="24" t="n"/>
      <c r="H655" s="24" t="n"/>
      <c r="I655" s="30" t="n"/>
      <c r="J655" s="23">
        <f>IF(OR($H655="",$I655=""),"",$H655*$I655)</f>
        <v/>
      </c>
      <c r="K655" s="24" t="n"/>
      <c r="L655" s="24" t="n"/>
      <c r="M655" s="29" t="n"/>
      <c r="N655" s="28" t="n"/>
      <c r="O655" s="24" t="n"/>
      <c r="P655" s="24" t="n"/>
      <c r="Q655" s="24" t="n"/>
      <c r="R655" s="24" t="n"/>
      <c r="S655" s="22">
        <f>IF(AND($A655="",$C655=""),"",IF($A655="","Thiếu mã đơn; ","")&amp;IF(COUNTIF($A$2:$A655,$A655)&gt;1,"Trùng mã đơn; ","")&amp;IF(ISNA(MATCH($C655,DATA_MASTER!$D$2:$D$5000,0)),"SĐT chưa đăng ký hội viên; ","")&amp;IF(AND($L655="Đã chuyển khoản",$M655=""),"Thiếu ngày nhận CK; ",""))</f>
        <v/>
      </c>
      <c r="T655" s="24" t="n"/>
    </row>
    <row r="656" ht="14.25" customHeight="1" s="40">
      <c r="A656" s="24" t="n"/>
      <c r="B656" s="29" t="n"/>
      <c r="C656" s="28" t="n"/>
      <c r="D656" s="22">
        <f t="array" ref="D656">IF($C656="","",IFERROR(INDEX(DATA_MASTER!$C$2:$C$5000,MATCH($C656,DATA_MASTER!$D$2:$D$5000,0)),""))</f>
        <v/>
      </c>
      <c r="E656" s="22">
        <f t="array" ref="E656">IF($C656="","",IFERROR(INDEX(DATA_MASTER!$I$2:$I$5000,MATCH($C656,DATA_MASTER!$D$2:$D$5000,0)),""))</f>
        <v/>
      </c>
      <c r="F656" s="22">
        <f t="array" ref="F656">IF($C656="","",IFERROR(INDEX(DATA_MASTER!$L$2:$L$5000,MATCH($C656,DATA_MASTER!$D$2:$D$5000,0)),""))</f>
        <v/>
      </c>
      <c r="G656" s="24" t="n"/>
      <c r="H656" s="24" t="n"/>
      <c r="I656" s="30" t="n"/>
      <c r="J656" s="23">
        <f>IF(OR($H656="",$I656=""),"",$H656*$I656)</f>
        <v/>
      </c>
      <c r="K656" s="24" t="n"/>
      <c r="L656" s="24" t="n"/>
      <c r="M656" s="29" t="n"/>
      <c r="N656" s="28" t="n"/>
      <c r="O656" s="24" t="n"/>
      <c r="P656" s="24" t="n"/>
      <c r="Q656" s="24" t="n"/>
      <c r="R656" s="24" t="n"/>
      <c r="S656" s="22">
        <f>IF(AND($A656="",$C656=""),"",IF($A656="","Thiếu mã đơn; ","")&amp;IF(COUNTIF($A$2:$A656,$A656)&gt;1,"Trùng mã đơn; ","")&amp;IF(ISNA(MATCH($C656,DATA_MASTER!$D$2:$D$5000,0)),"SĐT chưa đăng ký hội viên; ","")&amp;IF(AND($L656="Đã chuyển khoản",$M656=""),"Thiếu ngày nhận CK; ",""))</f>
        <v/>
      </c>
      <c r="T656" s="24" t="n"/>
    </row>
    <row r="657" ht="14.25" customHeight="1" s="40">
      <c r="A657" s="24" t="n"/>
      <c r="B657" s="29" t="n"/>
      <c r="C657" s="28" t="n"/>
      <c r="D657" s="22">
        <f t="array" ref="D657">IF($C657="","",IFERROR(INDEX(DATA_MASTER!$C$2:$C$5000,MATCH($C657,DATA_MASTER!$D$2:$D$5000,0)),""))</f>
        <v/>
      </c>
      <c r="E657" s="22">
        <f t="array" ref="E657">IF($C657="","",IFERROR(INDEX(DATA_MASTER!$I$2:$I$5000,MATCH($C657,DATA_MASTER!$D$2:$D$5000,0)),""))</f>
        <v/>
      </c>
      <c r="F657" s="22">
        <f t="array" ref="F657">IF($C657="","",IFERROR(INDEX(DATA_MASTER!$L$2:$L$5000,MATCH($C657,DATA_MASTER!$D$2:$D$5000,0)),""))</f>
        <v/>
      </c>
      <c r="G657" s="24" t="n"/>
      <c r="H657" s="24" t="n"/>
      <c r="I657" s="30" t="n"/>
      <c r="J657" s="23">
        <f>IF(OR($H657="",$I657=""),"",$H657*$I657)</f>
        <v/>
      </c>
      <c r="K657" s="24" t="n"/>
      <c r="L657" s="24" t="n"/>
      <c r="M657" s="29" t="n"/>
      <c r="N657" s="28" t="n"/>
      <c r="O657" s="24" t="n"/>
      <c r="P657" s="24" t="n"/>
      <c r="Q657" s="24" t="n"/>
      <c r="R657" s="24" t="n"/>
      <c r="S657" s="22">
        <f>IF(AND($A657="",$C657=""),"",IF($A657="","Thiếu mã đơn; ","")&amp;IF(COUNTIF($A$2:$A657,$A657)&gt;1,"Trùng mã đơn; ","")&amp;IF(ISNA(MATCH($C657,DATA_MASTER!$D$2:$D$5000,0)),"SĐT chưa đăng ký hội viên; ","")&amp;IF(AND($L657="Đã chuyển khoản",$M657=""),"Thiếu ngày nhận CK; ",""))</f>
        <v/>
      </c>
      <c r="T657" s="24" t="n"/>
    </row>
    <row r="658" ht="14.25" customHeight="1" s="40">
      <c r="A658" s="24" t="n"/>
      <c r="B658" s="29" t="n"/>
      <c r="C658" s="28" t="n"/>
      <c r="D658" s="22">
        <f t="array" ref="D658">IF($C658="","",IFERROR(INDEX(DATA_MASTER!$C$2:$C$5000,MATCH($C658,DATA_MASTER!$D$2:$D$5000,0)),""))</f>
        <v/>
      </c>
      <c r="E658" s="22">
        <f t="array" ref="E658">IF($C658="","",IFERROR(INDEX(DATA_MASTER!$I$2:$I$5000,MATCH($C658,DATA_MASTER!$D$2:$D$5000,0)),""))</f>
        <v/>
      </c>
      <c r="F658" s="22">
        <f t="array" ref="F658">IF($C658="","",IFERROR(INDEX(DATA_MASTER!$L$2:$L$5000,MATCH($C658,DATA_MASTER!$D$2:$D$5000,0)),""))</f>
        <v/>
      </c>
      <c r="G658" s="24" t="n"/>
      <c r="H658" s="24" t="n"/>
      <c r="I658" s="30" t="n"/>
      <c r="J658" s="23">
        <f>IF(OR($H658="",$I658=""),"",$H658*$I658)</f>
        <v/>
      </c>
      <c r="K658" s="24" t="n"/>
      <c r="L658" s="24" t="n"/>
      <c r="M658" s="29" t="n"/>
      <c r="N658" s="28" t="n"/>
      <c r="O658" s="24" t="n"/>
      <c r="P658" s="24" t="n"/>
      <c r="Q658" s="24" t="n"/>
      <c r="R658" s="24" t="n"/>
      <c r="S658" s="22">
        <f>IF(AND($A658="",$C658=""),"",IF($A658="","Thiếu mã đơn; ","")&amp;IF(COUNTIF($A$2:$A658,$A658)&gt;1,"Trùng mã đơn; ","")&amp;IF(ISNA(MATCH($C658,DATA_MASTER!$D$2:$D$5000,0)),"SĐT chưa đăng ký hội viên; ","")&amp;IF(AND($L658="Đã chuyển khoản",$M658=""),"Thiếu ngày nhận CK; ",""))</f>
        <v/>
      </c>
      <c r="T658" s="24" t="n"/>
    </row>
    <row r="659" ht="14.25" customHeight="1" s="40">
      <c r="A659" s="24" t="n"/>
      <c r="B659" s="29" t="n"/>
      <c r="C659" s="28" t="n"/>
      <c r="D659" s="22">
        <f t="array" ref="D659">IF($C659="","",IFERROR(INDEX(DATA_MASTER!$C$2:$C$5000,MATCH($C659,DATA_MASTER!$D$2:$D$5000,0)),""))</f>
        <v/>
      </c>
      <c r="E659" s="22">
        <f t="array" ref="E659">IF($C659="","",IFERROR(INDEX(DATA_MASTER!$I$2:$I$5000,MATCH($C659,DATA_MASTER!$D$2:$D$5000,0)),""))</f>
        <v/>
      </c>
      <c r="F659" s="22">
        <f t="array" ref="F659">IF($C659="","",IFERROR(INDEX(DATA_MASTER!$L$2:$L$5000,MATCH($C659,DATA_MASTER!$D$2:$D$5000,0)),""))</f>
        <v/>
      </c>
      <c r="G659" s="24" t="n"/>
      <c r="H659" s="24" t="n"/>
      <c r="I659" s="30" t="n"/>
      <c r="J659" s="23">
        <f>IF(OR($H659="",$I659=""),"",$H659*$I659)</f>
        <v/>
      </c>
      <c r="K659" s="24" t="n"/>
      <c r="L659" s="24" t="n"/>
      <c r="M659" s="29" t="n"/>
      <c r="N659" s="28" t="n"/>
      <c r="O659" s="24" t="n"/>
      <c r="P659" s="24" t="n"/>
      <c r="Q659" s="24" t="n"/>
      <c r="R659" s="24" t="n"/>
      <c r="S659" s="22">
        <f>IF(AND($A659="",$C659=""),"",IF($A659="","Thiếu mã đơn; ","")&amp;IF(COUNTIF($A$2:$A659,$A659)&gt;1,"Trùng mã đơn; ","")&amp;IF(ISNA(MATCH($C659,DATA_MASTER!$D$2:$D$5000,0)),"SĐT chưa đăng ký hội viên; ","")&amp;IF(AND($L659="Đã chuyển khoản",$M659=""),"Thiếu ngày nhận CK; ",""))</f>
        <v/>
      </c>
      <c r="T659" s="24" t="n"/>
    </row>
    <row r="660" ht="14.25" customHeight="1" s="40">
      <c r="A660" s="24" t="n"/>
      <c r="B660" s="29" t="n"/>
      <c r="C660" s="28" t="n"/>
      <c r="D660" s="22">
        <f t="array" ref="D660">IF($C660="","",IFERROR(INDEX(DATA_MASTER!$C$2:$C$5000,MATCH($C660,DATA_MASTER!$D$2:$D$5000,0)),""))</f>
        <v/>
      </c>
      <c r="E660" s="22">
        <f t="array" ref="E660">IF($C660="","",IFERROR(INDEX(DATA_MASTER!$I$2:$I$5000,MATCH($C660,DATA_MASTER!$D$2:$D$5000,0)),""))</f>
        <v/>
      </c>
      <c r="F660" s="22">
        <f t="array" ref="F660">IF($C660="","",IFERROR(INDEX(DATA_MASTER!$L$2:$L$5000,MATCH($C660,DATA_MASTER!$D$2:$D$5000,0)),""))</f>
        <v/>
      </c>
      <c r="G660" s="24" t="n"/>
      <c r="H660" s="24" t="n"/>
      <c r="I660" s="30" t="n"/>
      <c r="J660" s="23">
        <f>IF(OR($H660="",$I660=""),"",$H660*$I660)</f>
        <v/>
      </c>
      <c r="K660" s="24" t="n"/>
      <c r="L660" s="24" t="n"/>
      <c r="M660" s="29" t="n"/>
      <c r="N660" s="28" t="n"/>
      <c r="O660" s="24" t="n"/>
      <c r="P660" s="24" t="n"/>
      <c r="Q660" s="24" t="n"/>
      <c r="R660" s="24" t="n"/>
      <c r="S660" s="22">
        <f>IF(AND($A660="",$C660=""),"",IF($A660="","Thiếu mã đơn; ","")&amp;IF(COUNTIF($A$2:$A660,$A660)&gt;1,"Trùng mã đơn; ","")&amp;IF(ISNA(MATCH($C660,DATA_MASTER!$D$2:$D$5000,0)),"SĐT chưa đăng ký hội viên; ","")&amp;IF(AND($L660="Đã chuyển khoản",$M660=""),"Thiếu ngày nhận CK; ",""))</f>
        <v/>
      </c>
      <c r="T660" s="24" t="n"/>
    </row>
    <row r="661" ht="14.25" customHeight="1" s="40">
      <c r="A661" s="24" t="n"/>
      <c r="B661" s="29" t="n"/>
      <c r="C661" s="28" t="n"/>
      <c r="D661" s="22">
        <f t="array" ref="D661">IF($C661="","",IFERROR(INDEX(DATA_MASTER!$C$2:$C$5000,MATCH($C661,DATA_MASTER!$D$2:$D$5000,0)),""))</f>
        <v/>
      </c>
      <c r="E661" s="22">
        <f t="array" ref="E661">IF($C661="","",IFERROR(INDEX(DATA_MASTER!$I$2:$I$5000,MATCH($C661,DATA_MASTER!$D$2:$D$5000,0)),""))</f>
        <v/>
      </c>
      <c r="F661" s="22">
        <f t="array" ref="F661">IF($C661="","",IFERROR(INDEX(DATA_MASTER!$L$2:$L$5000,MATCH($C661,DATA_MASTER!$D$2:$D$5000,0)),""))</f>
        <v/>
      </c>
      <c r="G661" s="24" t="n"/>
      <c r="H661" s="24" t="n"/>
      <c r="I661" s="30" t="n"/>
      <c r="J661" s="23">
        <f>IF(OR($H661="",$I661=""),"",$H661*$I661)</f>
        <v/>
      </c>
      <c r="K661" s="24" t="n"/>
      <c r="L661" s="24" t="n"/>
      <c r="M661" s="29" t="n"/>
      <c r="N661" s="28" t="n"/>
      <c r="O661" s="24" t="n"/>
      <c r="P661" s="24" t="n"/>
      <c r="Q661" s="24" t="n"/>
      <c r="R661" s="24" t="n"/>
      <c r="S661" s="22">
        <f>IF(AND($A661="",$C661=""),"",IF($A661="","Thiếu mã đơn; ","")&amp;IF(COUNTIF($A$2:$A661,$A661)&gt;1,"Trùng mã đơn; ","")&amp;IF(ISNA(MATCH($C661,DATA_MASTER!$D$2:$D$5000,0)),"SĐT chưa đăng ký hội viên; ","")&amp;IF(AND($L661="Đã chuyển khoản",$M661=""),"Thiếu ngày nhận CK; ",""))</f>
        <v/>
      </c>
      <c r="T661" s="24" t="n"/>
    </row>
    <row r="662" ht="14.25" customHeight="1" s="40">
      <c r="A662" s="24" t="n"/>
      <c r="B662" s="29" t="n"/>
      <c r="C662" s="28" t="n"/>
      <c r="D662" s="22">
        <f t="array" ref="D662">IF($C662="","",IFERROR(INDEX(DATA_MASTER!$C$2:$C$5000,MATCH($C662,DATA_MASTER!$D$2:$D$5000,0)),""))</f>
        <v/>
      </c>
      <c r="E662" s="22">
        <f t="array" ref="E662">IF($C662="","",IFERROR(INDEX(DATA_MASTER!$I$2:$I$5000,MATCH($C662,DATA_MASTER!$D$2:$D$5000,0)),""))</f>
        <v/>
      </c>
      <c r="F662" s="22">
        <f t="array" ref="F662">IF($C662="","",IFERROR(INDEX(DATA_MASTER!$L$2:$L$5000,MATCH($C662,DATA_MASTER!$D$2:$D$5000,0)),""))</f>
        <v/>
      </c>
      <c r="G662" s="24" t="n"/>
      <c r="H662" s="24" t="n"/>
      <c r="I662" s="30" t="n"/>
      <c r="J662" s="23">
        <f>IF(OR($H662="",$I662=""),"",$H662*$I662)</f>
        <v/>
      </c>
      <c r="K662" s="24" t="n"/>
      <c r="L662" s="24" t="n"/>
      <c r="M662" s="29" t="n"/>
      <c r="N662" s="28" t="n"/>
      <c r="O662" s="24" t="n"/>
      <c r="P662" s="24" t="n"/>
      <c r="Q662" s="24" t="n"/>
      <c r="R662" s="24" t="n"/>
      <c r="S662" s="22">
        <f>IF(AND($A662="",$C662=""),"",IF($A662="","Thiếu mã đơn; ","")&amp;IF(COUNTIF($A$2:$A662,$A662)&gt;1,"Trùng mã đơn; ","")&amp;IF(ISNA(MATCH($C662,DATA_MASTER!$D$2:$D$5000,0)),"SĐT chưa đăng ký hội viên; ","")&amp;IF(AND($L662="Đã chuyển khoản",$M662=""),"Thiếu ngày nhận CK; ",""))</f>
        <v/>
      </c>
      <c r="T662" s="24" t="n"/>
    </row>
    <row r="663" ht="14.25" customHeight="1" s="40">
      <c r="A663" s="24" t="n"/>
      <c r="B663" s="29" t="n"/>
      <c r="C663" s="28" t="n"/>
      <c r="D663" s="22">
        <f t="array" ref="D663">IF($C663="","",IFERROR(INDEX(DATA_MASTER!$C$2:$C$5000,MATCH($C663,DATA_MASTER!$D$2:$D$5000,0)),""))</f>
        <v/>
      </c>
      <c r="E663" s="22">
        <f t="array" ref="E663">IF($C663="","",IFERROR(INDEX(DATA_MASTER!$I$2:$I$5000,MATCH($C663,DATA_MASTER!$D$2:$D$5000,0)),""))</f>
        <v/>
      </c>
      <c r="F663" s="22">
        <f t="array" ref="F663">IF($C663="","",IFERROR(INDEX(DATA_MASTER!$L$2:$L$5000,MATCH($C663,DATA_MASTER!$D$2:$D$5000,0)),""))</f>
        <v/>
      </c>
      <c r="G663" s="24" t="n"/>
      <c r="H663" s="24" t="n"/>
      <c r="I663" s="30" t="n"/>
      <c r="J663" s="23">
        <f>IF(OR($H663="",$I663=""),"",$H663*$I663)</f>
        <v/>
      </c>
      <c r="K663" s="24" t="n"/>
      <c r="L663" s="24" t="n"/>
      <c r="M663" s="29" t="n"/>
      <c r="N663" s="28" t="n"/>
      <c r="O663" s="24" t="n"/>
      <c r="P663" s="24" t="n"/>
      <c r="Q663" s="24" t="n"/>
      <c r="R663" s="24" t="n"/>
      <c r="S663" s="22">
        <f>IF(AND($A663="",$C663=""),"",IF($A663="","Thiếu mã đơn; ","")&amp;IF(COUNTIF($A$2:$A663,$A663)&gt;1,"Trùng mã đơn; ","")&amp;IF(ISNA(MATCH($C663,DATA_MASTER!$D$2:$D$5000,0)),"SĐT chưa đăng ký hội viên; ","")&amp;IF(AND($L663="Đã chuyển khoản",$M663=""),"Thiếu ngày nhận CK; ",""))</f>
        <v/>
      </c>
      <c r="T663" s="24" t="n"/>
    </row>
    <row r="664" ht="14.25" customHeight="1" s="40">
      <c r="A664" s="24" t="n"/>
      <c r="B664" s="29" t="n"/>
      <c r="C664" s="28" t="n"/>
      <c r="D664" s="22">
        <f t="array" ref="D664">IF($C664="","",IFERROR(INDEX(DATA_MASTER!$C$2:$C$5000,MATCH($C664,DATA_MASTER!$D$2:$D$5000,0)),""))</f>
        <v/>
      </c>
      <c r="E664" s="22">
        <f t="array" ref="E664">IF($C664="","",IFERROR(INDEX(DATA_MASTER!$I$2:$I$5000,MATCH($C664,DATA_MASTER!$D$2:$D$5000,0)),""))</f>
        <v/>
      </c>
      <c r="F664" s="22">
        <f t="array" ref="F664">IF($C664="","",IFERROR(INDEX(DATA_MASTER!$L$2:$L$5000,MATCH($C664,DATA_MASTER!$D$2:$D$5000,0)),""))</f>
        <v/>
      </c>
      <c r="G664" s="24" t="n"/>
      <c r="H664" s="24" t="n"/>
      <c r="I664" s="30" t="n"/>
      <c r="J664" s="23">
        <f>IF(OR($H664="",$I664=""),"",$H664*$I664)</f>
        <v/>
      </c>
      <c r="K664" s="24" t="n"/>
      <c r="L664" s="24" t="n"/>
      <c r="M664" s="29" t="n"/>
      <c r="N664" s="28" t="n"/>
      <c r="O664" s="24" t="n"/>
      <c r="P664" s="24" t="n"/>
      <c r="Q664" s="24" t="n"/>
      <c r="R664" s="24" t="n"/>
      <c r="S664" s="22">
        <f>IF(AND($A664="",$C664=""),"",IF($A664="","Thiếu mã đơn; ","")&amp;IF(COUNTIF($A$2:$A664,$A664)&gt;1,"Trùng mã đơn; ","")&amp;IF(ISNA(MATCH($C664,DATA_MASTER!$D$2:$D$5000,0)),"SĐT chưa đăng ký hội viên; ","")&amp;IF(AND($L664="Đã chuyển khoản",$M664=""),"Thiếu ngày nhận CK; ",""))</f>
        <v/>
      </c>
      <c r="T664" s="24" t="n"/>
    </row>
    <row r="665" ht="14.25" customHeight="1" s="40">
      <c r="A665" s="24" t="n"/>
      <c r="B665" s="29" t="n"/>
      <c r="C665" s="28" t="n"/>
      <c r="D665" s="22">
        <f t="array" ref="D665">IF($C665="","",IFERROR(INDEX(DATA_MASTER!$C$2:$C$5000,MATCH($C665,DATA_MASTER!$D$2:$D$5000,0)),""))</f>
        <v/>
      </c>
      <c r="E665" s="22">
        <f t="array" ref="E665">IF($C665="","",IFERROR(INDEX(DATA_MASTER!$I$2:$I$5000,MATCH($C665,DATA_MASTER!$D$2:$D$5000,0)),""))</f>
        <v/>
      </c>
      <c r="F665" s="22">
        <f t="array" ref="F665">IF($C665="","",IFERROR(INDEX(DATA_MASTER!$L$2:$L$5000,MATCH($C665,DATA_MASTER!$D$2:$D$5000,0)),""))</f>
        <v/>
      </c>
      <c r="G665" s="24" t="n"/>
      <c r="H665" s="24" t="n"/>
      <c r="I665" s="30" t="n"/>
      <c r="J665" s="23">
        <f>IF(OR($H665="",$I665=""),"",$H665*$I665)</f>
        <v/>
      </c>
      <c r="K665" s="24" t="n"/>
      <c r="L665" s="24" t="n"/>
      <c r="M665" s="29" t="n"/>
      <c r="N665" s="28" t="n"/>
      <c r="O665" s="24" t="n"/>
      <c r="P665" s="24" t="n"/>
      <c r="Q665" s="24" t="n"/>
      <c r="R665" s="24" t="n"/>
      <c r="S665" s="22">
        <f>IF(AND($A665="",$C665=""),"",IF($A665="","Thiếu mã đơn; ","")&amp;IF(COUNTIF($A$2:$A665,$A665)&gt;1,"Trùng mã đơn; ","")&amp;IF(ISNA(MATCH($C665,DATA_MASTER!$D$2:$D$5000,0)),"SĐT chưa đăng ký hội viên; ","")&amp;IF(AND($L665="Đã chuyển khoản",$M665=""),"Thiếu ngày nhận CK; ",""))</f>
        <v/>
      </c>
      <c r="T665" s="24" t="n"/>
    </row>
    <row r="666" ht="14.25" customHeight="1" s="40">
      <c r="A666" s="24" t="n"/>
      <c r="B666" s="29" t="n"/>
      <c r="C666" s="28" t="n"/>
      <c r="D666" s="22">
        <f t="array" ref="D666">IF($C666="","",IFERROR(INDEX(DATA_MASTER!$C$2:$C$5000,MATCH($C666,DATA_MASTER!$D$2:$D$5000,0)),""))</f>
        <v/>
      </c>
      <c r="E666" s="22">
        <f t="array" ref="E666">IF($C666="","",IFERROR(INDEX(DATA_MASTER!$I$2:$I$5000,MATCH($C666,DATA_MASTER!$D$2:$D$5000,0)),""))</f>
        <v/>
      </c>
      <c r="F666" s="22">
        <f t="array" ref="F666">IF($C666="","",IFERROR(INDEX(DATA_MASTER!$L$2:$L$5000,MATCH($C666,DATA_MASTER!$D$2:$D$5000,0)),""))</f>
        <v/>
      </c>
      <c r="G666" s="24" t="n"/>
      <c r="H666" s="24" t="n"/>
      <c r="I666" s="30" t="n"/>
      <c r="J666" s="23">
        <f>IF(OR($H666="",$I666=""),"",$H666*$I666)</f>
        <v/>
      </c>
      <c r="K666" s="24" t="n"/>
      <c r="L666" s="24" t="n"/>
      <c r="M666" s="29" t="n"/>
      <c r="N666" s="28" t="n"/>
      <c r="O666" s="24" t="n"/>
      <c r="P666" s="24" t="n"/>
      <c r="Q666" s="24" t="n"/>
      <c r="R666" s="24" t="n"/>
      <c r="S666" s="22">
        <f>IF(AND($A666="",$C666=""),"",IF($A666="","Thiếu mã đơn; ","")&amp;IF(COUNTIF($A$2:$A666,$A666)&gt;1,"Trùng mã đơn; ","")&amp;IF(ISNA(MATCH($C666,DATA_MASTER!$D$2:$D$5000,0)),"SĐT chưa đăng ký hội viên; ","")&amp;IF(AND($L666="Đã chuyển khoản",$M666=""),"Thiếu ngày nhận CK; ",""))</f>
        <v/>
      </c>
      <c r="T666" s="24" t="n"/>
    </row>
    <row r="667" ht="14.25" customHeight="1" s="40">
      <c r="A667" s="24" t="n"/>
      <c r="B667" s="29" t="n"/>
      <c r="C667" s="28" t="n"/>
      <c r="D667" s="22">
        <f t="array" ref="D667">IF($C667="","",IFERROR(INDEX(DATA_MASTER!$C$2:$C$5000,MATCH($C667,DATA_MASTER!$D$2:$D$5000,0)),""))</f>
        <v/>
      </c>
      <c r="E667" s="22">
        <f t="array" ref="E667">IF($C667="","",IFERROR(INDEX(DATA_MASTER!$I$2:$I$5000,MATCH($C667,DATA_MASTER!$D$2:$D$5000,0)),""))</f>
        <v/>
      </c>
      <c r="F667" s="22">
        <f t="array" ref="F667">IF($C667="","",IFERROR(INDEX(DATA_MASTER!$L$2:$L$5000,MATCH($C667,DATA_MASTER!$D$2:$D$5000,0)),""))</f>
        <v/>
      </c>
      <c r="G667" s="24" t="n"/>
      <c r="H667" s="24" t="n"/>
      <c r="I667" s="30" t="n"/>
      <c r="J667" s="23">
        <f>IF(OR($H667="",$I667=""),"",$H667*$I667)</f>
        <v/>
      </c>
      <c r="K667" s="24" t="n"/>
      <c r="L667" s="24" t="n"/>
      <c r="M667" s="29" t="n"/>
      <c r="N667" s="28" t="n"/>
      <c r="O667" s="24" t="n"/>
      <c r="P667" s="24" t="n"/>
      <c r="Q667" s="24" t="n"/>
      <c r="R667" s="24" t="n"/>
      <c r="S667" s="22">
        <f>IF(AND($A667="",$C667=""),"",IF($A667="","Thiếu mã đơn; ","")&amp;IF(COUNTIF($A$2:$A667,$A667)&gt;1,"Trùng mã đơn; ","")&amp;IF(ISNA(MATCH($C667,DATA_MASTER!$D$2:$D$5000,0)),"SĐT chưa đăng ký hội viên; ","")&amp;IF(AND($L667="Đã chuyển khoản",$M667=""),"Thiếu ngày nhận CK; ",""))</f>
        <v/>
      </c>
      <c r="T667" s="24" t="n"/>
    </row>
    <row r="668" ht="14.25" customHeight="1" s="40">
      <c r="A668" s="24" t="n"/>
      <c r="B668" s="29" t="n"/>
      <c r="C668" s="28" t="n"/>
      <c r="D668" s="22">
        <f t="array" ref="D668">IF($C668="","",IFERROR(INDEX(DATA_MASTER!$C$2:$C$5000,MATCH($C668,DATA_MASTER!$D$2:$D$5000,0)),""))</f>
        <v/>
      </c>
      <c r="E668" s="22">
        <f t="array" ref="E668">IF($C668="","",IFERROR(INDEX(DATA_MASTER!$I$2:$I$5000,MATCH($C668,DATA_MASTER!$D$2:$D$5000,0)),""))</f>
        <v/>
      </c>
      <c r="F668" s="22">
        <f t="array" ref="F668">IF($C668="","",IFERROR(INDEX(DATA_MASTER!$L$2:$L$5000,MATCH($C668,DATA_MASTER!$D$2:$D$5000,0)),""))</f>
        <v/>
      </c>
      <c r="G668" s="24" t="n"/>
      <c r="H668" s="24" t="n"/>
      <c r="I668" s="30" t="n"/>
      <c r="J668" s="23">
        <f>IF(OR($H668="",$I668=""),"",$H668*$I668)</f>
        <v/>
      </c>
      <c r="K668" s="24" t="n"/>
      <c r="L668" s="24" t="n"/>
      <c r="M668" s="29" t="n"/>
      <c r="N668" s="28" t="n"/>
      <c r="O668" s="24" t="n"/>
      <c r="P668" s="24" t="n"/>
      <c r="Q668" s="24" t="n"/>
      <c r="R668" s="24" t="n"/>
      <c r="S668" s="22">
        <f>IF(AND($A668="",$C668=""),"",IF($A668="","Thiếu mã đơn; ","")&amp;IF(COUNTIF($A$2:$A668,$A668)&gt;1,"Trùng mã đơn; ","")&amp;IF(ISNA(MATCH($C668,DATA_MASTER!$D$2:$D$5000,0)),"SĐT chưa đăng ký hội viên; ","")&amp;IF(AND($L668="Đã chuyển khoản",$M668=""),"Thiếu ngày nhận CK; ",""))</f>
        <v/>
      </c>
      <c r="T668" s="24" t="n"/>
    </row>
    <row r="669" ht="14.25" customHeight="1" s="40">
      <c r="A669" s="24" t="n"/>
      <c r="B669" s="29" t="n"/>
      <c r="C669" s="28" t="n"/>
      <c r="D669" s="22">
        <f t="array" ref="D669">IF($C669="","",IFERROR(INDEX(DATA_MASTER!$C$2:$C$5000,MATCH($C669,DATA_MASTER!$D$2:$D$5000,0)),""))</f>
        <v/>
      </c>
      <c r="E669" s="22">
        <f t="array" ref="E669">IF($C669="","",IFERROR(INDEX(DATA_MASTER!$I$2:$I$5000,MATCH($C669,DATA_MASTER!$D$2:$D$5000,0)),""))</f>
        <v/>
      </c>
      <c r="F669" s="22">
        <f t="array" ref="F669">IF($C669="","",IFERROR(INDEX(DATA_MASTER!$L$2:$L$5000,MATCH($C669,DATA_MASTER!$D$2:$D$5000,0)),""))</f>
        <v/>
      </c>
      <c r="G669" s="24" t="n"/>
      <c r="H669" s="24" t="n"/>
      <c r="I669" s="30" t="n"/>
      <c r="J669" s="23">
        <f>IF(OR($H669="",$I669=""),"",$H669*$I669)</f>
        <v/>
      </c>
      <c r="K669" s="24" t="n"/>
      <c r="L669" s="24" t="n"/>
      <c r="M669" s="29" t="n"/>
      <c r="N669" s="28" t="n"/>
      <c r="O669" s="24" t="n"/>
      <c r="P669" s="24" t="n"/>
      <c r="Q669" s="24" t="n"/>
      <c r="R669" s="24" t="n"/>
      <c r="S669" s="22">
        <f>IF(AND($A669="",$C669=""),"",IF($A669="","Thiếu mã đơn; ","")&amp;IF(COUNTIF($A$2:$A669,$A669)&gt;1,"Trùng mã đơn; ","")&amp;IF(ISNA(MATCH($C669,DATA_MASTER!$D$2:$D$5000,0)),"SĐT chưa đăng ký hội viên; ","")&amp;IF(AND($L669="Đã chuyển khoản",$M669=""),"Thiếu ngày nhận CK; ",""))</f>
        <v/>
      </c>
      <c r="T669" s="24" t="n"/>
    </row>
    <row r="670" ht="14.25" customHeight="1" s="40">
      <c r="A670" s="24" t="n"/>
      <c r="B670" s="29" t="n"/>
      <c r="C670" s="28" t="n"/>
      <c r="D670" s="22">
        <f t="array" ref="D670">IF($C670="","",IFERROR(INDEX(DATA_MASTER!$C$2:$C$5000,MATCH($C670,DATA_MASTER!$D$2:$D$5000,0)),""))</f>
        <v/>
      </c>
      <c r="E670" s="22">
        <f t="array" ref="E670">IF($C670="","",IFERROR(INDEX(DATA_MASTER!$I$2:$I$5000,MATCH($C670,DATA_MASTER!$D$2:$D$5000,0)),""))</f>
        <v/>
      </c>
      <c r="F670" s="22">
        <f t="array" ref="F670">IF($C670="","",IFERROR(INDEX(DATA_MASTER!$L$2:$L$5000,MATCH($C670,DATA_MASTER!$D$2:$D$5000,0)),""))</f>
        <v/>
      </c>
      <c r="G670" s="24" t="n"/>
      <c r="H670" s="24" t="n"/>
      <c r="I670" s="30" t="n"/>
      <c r="J670" s="23">
        <f>IF(OR($H670="",$I670=""),"",$H670*$I670)</f>
        <v/>
      </c>
      <c r="K670" s="24" t="n"/>
      <c r="L670" s="24" t="n"/>
      <c r="M670" s="29" t="n"/>
      <c r="N670" s="28" t="n"/>
      <c r="O670" s="24" t="n"/>
      <c r="P670" s="24" t="n"/>
      <c r="Q670" s="24" t="n"/>
      <c r="R670" s="24" t="n"/>
      <c r="S670" s="22">
        <f>IF(AND($A670="",$C670=""),"",IF($A670="","Thiếu mã đơn; ","")&amp;IF(COUNTIF($A$2:$A670,$A670)&gt;1,"Trùng mã đơn; ","")&amp;IF(ISNA(MATCH($C670,DATA_MASTER!$D$2:$D$5000,0)),"SĐT chưa đăng ký hội viên; ","")&amp;IF(AND($L670="Đã chuyển khoản",$M670=""),"Thiếu ngày nhận CK; ",""))</f>
        <v/>
      </c>
      <c r="T670" s="24" t="n"/>
    </row>
    <row r="671" ht="14.25" customHeight="1" s="40">
      <c r="A671" s="24" t="n"/>
      <c r="B671" s="29" t="n"/>
      <c r="C671" s="28" t="n"/>
      <c r="D671" s="22">
        <f t="array" ref="D671">IF($C671="","",IFERROR(INDEX(DATA_MASTER!$C$2:$C$5000,MATCH($C671,DATA_MASTER!$D$2:$D$5000,0)),""))</f>
        <v/>
      </c>
      <c r="E671" s="22">
        <f t="array" ref="E671">IF($C671="","",IFERROR(INDEX(DATA_MASTER!$I$2:$I$5000,MATCH($C671,DATA_MASTER!$D$2:$D$5000,0)),""))</f>
        <v/>
      </c>
      <c r="F671" s="22">
        <f t="array" ref="F671">IF($C671="","",IFERROR(INDEX(DATA_MASTER!$L$2:$L$5000,MATCH($C671,DATA_MASTER!$D$2:$D$5000,0)),""))</f>
        <v/>
      </c>
      <c r="G671" s="24" t="n"/>
      <c r="H671" s="24" t="n"/>
      <c r="I671" s="30" t="n"/>
      <c r="J671" s="23">
        <f>IF(OR($H671="",$I671=""),"",$H671*$I671)</f>
        <v/>
      </c>
      <c r="K671" s="24" t="n"/>
      <c r="L671" s="24" t="n"/>
      <c r="M671" s="29" t="n"/>
      <c r="N671" s="28" t="n"/>
      <c r="O671" s="24" t="n"/>
      <c r="P671" s="24" t="n"/>
      <c r="Q671" s="24" t="n"/>
      <c r="R671" s="24" t="n"/>
      <c r="S671" s="22">
        <f>IF(AND($A671="",$C671=""),"",IF($A671="","Thiếu mã đơn; ","")&amp;IF(COUNTIF($A$2:$A671,$A671)&gt;1,"Trùng mã đơn; ","")&amp;IF(ISNA(MATCH($C671,DATA_MASTER!$D$2:$D$5000,0)),"SĐT chưa đăng ký hội viên; ","")&amp;IF(AND($L671="Đã chuyển khoản",$M671=""),"Thiếu ngày nhận CK; ",""))</f>
        <v/>
      </c>
      <c r="T671" s="24" t="n"/>
    </row>
    <row r="672" ht="14.25" customHeight="1" s="40">
      <c r="A672" s="24" t="n"/>
      <c r="B672" s="29" t="n"/>
      <c r="C672" s="28" t="n"/>
      <c r="D672" s="22">
        <f t="array" ref="D672">IF($C672="","",IFERROR(INDEX(DATA_MASTER!$C$2:$C$5000,MATCH($C672,DATA_MASTER!$D$2:$D$5000,0)),""))</f>
        <v/>
      </c>
      <c r="E672" s="22">
        <f t="array" ref="E672">IF($C672="","",IFERROR(INDEX(DATA_MASTER!$I$2:$I$5000,MATCH($C672,DATA_MASTER!$D$2:$D$5000,0)),""))</f>
        <v/>
      </c>
      <c r="F672" s="22">
        <f t="array" ref="F672">IF($C672="","",IFERROR(INDEX(DATA_MASTER!$L$2:$L$5000,MATCH($C672,DATA_MASTER!$D$2:$D$5000,0)),""))</f>
        <v/>
      </c>
      <c r="G672" s="24" t="n"/>
      <c r="H672" s="24" t="n"/>
      <c r="I672" s="30" t="n"/>
      <c r="J672" s="23">
        <f>IF(OR($H672="",$I672=""),"",$H672*$I672)</f>
        <v/>
      </c>
      <c r="K672" s="24" t="n"/>
      <c r="L672" s="24" t="n"/>
      <c r="M672" s="29" t="n"/>
      <c r="N672" s="28" t="n"/>
      <c r="O672" s="24" t="n"/>
      <c r="P672" s="24" t="n"/>
      <c r="Q672" s="24" t="n"/>
      <c r="R672" s="24" t="n"/>
      <c r="S672" s="22">
        <f>IF(AND($A672="",$C672=""),"",IF($A672="","Thiếu mã đơn; ","")&amp;IF(COUNTIF($A$2:$A672,$A672)&gt;1,"Trùng mã đơn; ","")&amp;IF(ISNA(MATCH($C672,DATA_MASTER!$D$2:$D$5000,0)),"SĐT chưa đăng ký hội viên; ","")&amp;IF(AND($L672="Đã chuyển khoản",$M672=""),"Thiếu ngày nhận CK; ",""))</f>
        <v/>
      </c>
      <c r="T672" s="24" t="n"/>
    </row>
    <row r="673" ht="14.25" customHeight="1" s="40">
      <c r="A673" s="24" t="n"/>
      <c r="B673" s="29" t="n"/>
      <c r="C673" s="28" t="n"/>
      <c r="D673" s="22">
        <f t="array" ref="D673">IF($C673="","",IFERROR(INDEX(DATA_MASTER!$C$2:$C$5000,MATCH($C673,DATA_MASTER!$D$2:$D$5000,0)),""))</f>
        <v/>
      </c>
      <c r="E673" s="22">
        <f t="array" ref="E673">IF($C673="","",IFERROR(INDEX(DATA_MASTER!$I$2:$I$5000,MATCH($C673,DATA_MASTER!$D$2:$D$5000,0)),""))</f>
        <v/>
      </c>
      <c r="F673" s="22">
        <f t="array" ref="F673">IF($C673="","",IFERROR(INDEX(DATA_MASTER!$L$2:$L$5000,MATCH($C673,DATA_MASTER!$D$2:$D$5000,0)),""))</f>
        <v/>
      </c>
      <c r="G673" s="24" t="n"/>
      <c r="H673" s="24" t="n"/>
      <c r="I673" s="30" t="n"/>
      <c r="J673" s="23">
        <f>IF(OR($H673="",$I673=""),"",$H673*$I673)</f>
        <v/>
      </c>
      <c r="K673" s="24" t="n"/>
      <c r="L673" s="24" t="n"/>
      <c r="M673" s="29" t="n"/>
      <c r="N673" s="28" t="n"/>
      <c r="O673" s="24" t="n"/>
      <c r="P673" s="24" t="n"/>
      <c r="Q673" s="24" t="n"/>
      <c r="R673" s="24" t="n"/>
      <c r="S673" s="22">
        <f>IF(AND($A673="",$C673=""),"",IF($A673="","Thiếu mã đơn; ","")&amp;IF(COUNTIF($A$2:$A673,$A673)&gt;1,"Trùng mã đơn; ","")&amp;IF(ISNA(MATCH($C673,DATA_MASTER!$D$2:$D$5000,0)),"SĐT chưa đăng ký hội viên; ","")&amp;IF(AND($L673="Đã chuyển khoản",$M673=""),"Thiếu ngày nhận CK; ",""))</f>
        <v/>
      </c>
      <c r="T673" s="24" t="n"/>
    </row>
    <row r="674" ht="14.25" customHeight="1" s="40">
      <c r="A674" s="24" t="n"/>
      <c r="B674" s="29" t="n"/>
      <c r="C674" s="28" t="n"/>
      <c r="D674" s="22">
        <f t="array" ref="D674">IF($C674="","",IFERROR(INDEX(DATA_MASTER!$C$2:$C$5000,MATCH($C674,DATA_MASTER!$D$2:$D$5000,0)),""))</f>
        <v/>
      </c>
      <c r="E674" s="22">
        <f t="array" ref="E674">IF($C674="","",IFERROR(INDEX(DATA_MASTER!$I$2:$I$5000,MATCH($C674,DATA_MASTER!$D$2:$D$5000,0)),""))</f>
        <v/>
      </c>
      <c r="F674" s="22">
        <f t="array" ref="F674">IF($C674="","",IFERROR(INDEX(DATA_MASTER!$L$2:$L$5000,MATCH($C674,DATA_MASTER!$D$2:$D$5000,0)),""))</f>
        <v/>
      </c>
      <c r="G674" s="24" t="n"/>
      <c r="H674" s="24" t="n"/>
      <c r="I674" s="30" t="n"/>
      <c r="J674" s="23">
        <f>IF(OR($H674="",$I674=""),"",$H674*$I674)</f>
        <v/>
      </c>
      <c r="K674" s="24" t="n"/>
      <c r="L674" s="24" t="n"/>
      <c r="M674" s="29" t="n"/>
      <c r="N674" s="28" t="n"/>
      <c r="O674" s="24" t="n"/>
      <c r="P674" s="24" t="n"/>
      <c r="Q674" s="24" t="n"/>
      <c r="R674" s="24" t="n"/>
      <c r="S674" s="22">
        <f>IF(AND($A674="",$C674=""),"",IF($A674="","Thiếu mã đơn; ","")&amp;IF(COUNTIF($A$2:$A674,$A674)&gt;1,"Trùng mã đơn; ","")&amp;IF(ISNA(MATCH($C674,DATA_MASTER!$D$2:$D$5000,0)),"SĐT chưa đăng ký hội viên; ","")&amp;IF(AND($L674="Đã chuyển khoản",$M674=""),"Thiếu ngày nhận CK; ",""))</f>
        <v/>
      </c>
      <c r="T674" s="24" t="n"/>
    </row>
    <row r="675" ht="14.25" customHeight="1" s="40">
      <c r="A675" s="24" t="n"/>
      <c r="B675" s="29" t="n"/>
      <c r="C675" s="28" t="n"/>
      <c r="D675" s="22">
        <f t="array" ref="D675">IF($C675="","",IFERROR(INDEX(DATA_MASTER!$C$2:$C$5000,MATCH($C675,DATA_MASTER!$D$2:$D$5000,0)),""))</f>
        <v/>
      </c>
      <c r="E675" s="22">
        <f t="array" ref="E675">IF($C675="","",IFERROR(INDEX(DATA_MASTER!$I$2:$I$5000,MATCH($C675,DATA_MASTER!$D$2:$D$5000,0)),""))</f>
        <v/>
      </c>
      <c r="F675" s="22">
        <f t="array" ref="F675">IF($C675="","",IFERROR(INDEX(DATA_MASTER!$L$2:$L$5000,MATCH($C675,DATA_MASTER!$D$2:$D$5000,0)),""))</f>
        <v/>
      </c>
      <c r="G675" s="24" t="n"/>
      <c r="H675" s="24" t="n"/>
      <c r="I675" s="30" t="n"/>
      <c r="J675" s="23">
        <f>IF(OR($H675="",$I675=""),"",$H675*$I675)</f>
        <v/>
      </c>
      <c r="K675" s="24" t="n"/>
      <c r="L675" s="24" t="n"/>
      <c r="M675" s="29" t="n"/>
      <c r="N675" s="28" t="n"/>
      <c r="O675" s="24" t="n"/>
      <c r="P675" s="24" t="n"/>
      <c r="Q675" s="24" t="n"/>
      <c r="R675" s="24" t="n"/>
      <c r="S675" s="22">
        <f>IF(AND($A675="",$C675=""),"",IF($A675="","Thiếu mã đơn; ","")&amp;IF(COUNTIF($A$2:$A675,$A675)&gt;1,"Trùng mã đơn; ","")&amp;IF(ISNA(MATCH($C675,DATA_MASTER!$D$2:$D$5000,0)),"SĐT chưa đăng ký hội viên; ","")&amp;IF(AND($L675="Đã chuyển khoản",$M675=""),"Thiếu ngày nhận CK; ",""))</f>
        <v/>
      </c>
      <c r="T675" s="24" t="n"/>
    </row>
    <row r="676" ht="14.25" customHeight="1" s="40">
      <c r="A676" s="24" t="n"/>
      <c r="B676" s="29" t="n"/>
      <c r="C676" s="28" t="n"/>
      <c r="D676" s="22">
        <f t="array" ref="D676">IF($C676="","",IFERROR(INDEX(DATA_MASTER!$C$2:$C$5000,MATCH($C676,DATA_MASTER!$D$2:$D$5000,0)),""))</f>
        <v/>
      </c>
      <c r="E676" s="22">
        <f t="array" ref="E676">IF($C676="","",IFERROR(INDEX(DATA_MASTER!$I$2:$I$5000,MATCH($C676,DATA_MASTER!$D$2:$D$5000,0)),""))</f>
        <v/>
      </c>
      <c r="F676" s="22">
        <f t="array" ref="F676">IF($C676="","",IFERROR(INDEX(DATA_MASTER!$L$2:$L$5000,MATCH($C676,DATA_MASTER!$D$2:$D$5000,0)),""))</f>
        <v/>
      </c>
      <c r="G676" s="24" t="n"/>
      <c r="H676" s="24" t="n"/>
      <c r="I676" s="30" t="n"/>
      <c r="J676" s="23">
        <f>IF(OR($H676="",$I676=""),"",$H676*$I676)</f>
        <v/>
      </c>
      <c r="K676" s="24" t="n"/>
      <c r="L676" s="24" t="n"/>
      <c r="M676" s="29" t="n"/>
      <c r="N676" s="28" t="n"/>
      <c r="O676" s="24" t="n"/>
      <c r="P676" s="24" t="n"/>
      <c r="Q676" s="24" t="n"/>
      <c r="R676" s="24" t="n"/>
      <c r="S676" s="22">
        <f>IF(AND($A676="",$C676=""),"",IF($A676="","Thiếu mã đơn; ","")&amp;IF(COUNTIF($A$2:$A676,$A676)&gt;1,"Trùng mã đơn; ","")&amp;IF(ISNA(MATCH($C676,DATA_MASTER!$D$2:$D$5000,0)),"SĐT chưa đăng ký hội viên; ","")&amp;IF(AND($L676="Đã chuyển khoản",$M676=""),"Thiếu ngày nhận CK; ",""))</f>
        <v/>
      </c>
      <c r="T676" s="24" t="n"/>
    </row>
    <row r="677" ht="14.25" customHeight="1" s="40">
      <c r="A677" s="24" t="n"/>
      <c r="B677" s="29" t="n"/>
      <c r="C677" s="28" t="n"/>
      <c r="D677" s="22">
        <f t="array" ref="D677">IF($C677="","",IFERROR(INDEX(DATA_MASTER!$C$2:$C$5000,MATCH($C677,DATA_MASTER!$D$2:$D$5000,0)),""))</f>
        <v/>
      </c>
      <c r="E677" s="22">
        <f t="array" ref="E677">IF($C677="","",IFERROR(INDEX(DATA_MASTER!$I$2:$I$5000,MATCH($C677,DATA_MASTER!$D$2:$D$5000,0)),""))</f>
        <v/>
      </c>
      <c r="F677" s="22">
        <f t="array" ref="F677">IF($C677="","",IFERROR(INDEX(DATA_MASTER!$L$2:$L$5000,MATCH($C677,DATA_MASTER!$D$2:$D$5000,0)),""))</f>
        <v/>
      </c>
      <c r="G677" s="24" t="n"/>
      <c r="H677" s="24" t="n"/>
      <c r="I677" s="30" t="n"/>
      <c r="J677" s="23">
        <f>IF(OR($H677="",$I677=""),"",$H677*$I677)</f>
        <v/>
      </c>
      <c r="K677" s="24" t="n"/>
      <c r="L677" s="24" t="n"/>
      <c r="M677" s="29" t="n"/>
      <c r="N677" s="28" t="n"/>
      <c r="O677" s="24" t="n"/>
      <c r="P677" s="24" t="n"/>
      <c r="Q677" s="24" t="n"/>
      <c r="R677" s="24" t="n"/>
      <c r="S677" s="22">
        <f>IF(AND($A677="",$C677=""),"",IF($A677="","Thiếu mã đơn; ","")&amp;IF(COUNTIF($A$2:$A677,$A677)&gt;1,"Trùng mã đơn; ","")&amp;IF(ISNA(MATCH($C677,DATA_MASTER!$D$2:$D$5000,0)),"SĐT chưa đăng ký hội viên; ","")&amp;IF(AND($L677="Đã chuyển khoản",$M677=""),"Thiếu ngày nhận CK; ",""))</f>
        <v/>
      </c>
      <c r="T677" s="24" t="n"/>
    </row>
    <row r="678" ht="14.25" customHeight="1" s="40">
      <c r="A678" s="24" t="n"/>
      <c r="B678" s="29" t="n"/>
      <c r="C678" s="28" t="n"/>
      <c r="D678" s="22">
        <f t="array" ref="D678">IF($C678="","",IFERROR(INDEX(DATA_MASTER!$C$2:$C$5000,MATCH($C678,DATA_MASTER!$D$2:$D$5000,0)),""))</f>
        <v/>
      </c>
      <c r="E678" s="22">
        <f t="array" ref="E678">IF($C678="","",IFERROR(INDEX(DATA_MASTER!$I$2:$I$5000,MATCH($C678,DATA_MASTER!$D$2:$D$5000,0)),""))</f>
        <v/>
      </c>
      <c r="F678" s="22">
        <f t="array" ref="F678">IF($C678="","",IFERROR(INDEX(DATA_MASTER!$L$2:$L$5000,MATCH($C678,DATA_MASTER!$D$2:$D$5000,0)),""))</f>
        <v/>
      </c>
      <c r="G678" s="24" t="n"/>
      <c r="H678" s="24" t="n"/>
      <c r="I678" s="30" t="n"/>
      <c r="J678" s="23">
        <f>IF(OR($H678="",$I678=""),"",$H678*$I678)</f>
        <v/>
      </c>
      <c r="K678" s="24" t="n"/>
      <c r="L678" s="24" t="n"/>
      <c r="M678" s="29" t="n"/>
      <c r="N678" s="28" t="n"/>
      <c r="O678" s="24" t="n"/>
      <c r="P678" s="24" t="n"/>
      <c r="Q678" s="24" t="n"/>
      <c r="R678" s="24" t="n"/>
      <c r="S678" s="22">
        <f>IF(AND($A678="",$C678=""),"",IF($A678="","Thiếu mã đơn; ","")&amp;IF(COUNTIF($A$2:$A678,$A678)&gt;1,"Trùng mã đơn; ","")&amp;IF(ISNA(MATCH($C678,DATA_MASTER!$D$2:$D$5000,0)),"SĐT chưa đăng ký hội viên; ","")&amp;IF(AND($L678="Đã chuyển khoản",$M678=""),"Thiếu ngày nhận CK; ",""))</f>
        <v/>
      </c>
      <c r="T678" s="24" t="n"/>
    </row>
    <row r="679" ht="14.25" customHeight="1" s="40">
      <c r="A679" s="24" t="n"/>
      <c r="B679" s="29" t="n"/>
      <c r="C679" s="28" t="n"/>
      <c r="D679" s="22">
        <f t="array" ref="D679">IF($C679="","",IFERROR(INDEX(DATA_MASTER!$C$2:$C$5000,MATCH($C679,DATA_MASTER!$D$2:$D$5000,0)),""))</f>
        <v/>
      </c>
      <c r="E679" s="22">
        <f t="array" ref="E679">IF($C679="","",IFERROR(INDEX(DATA_MASTER!$I$2:$I$5000,MATCH($C679,DATA_MASTER!$D$2:$D$5000,0)),""))</f>
        <v/>
      </c>
      <c r="F679" s="22">
        <f t="array" ref="F679">IF($C679="","",IFERROR(INDEX(DATA_MASTER!$L$2:$L$5000,MATCH($C679,DATA_MASTER!$D$2:$D$5000,0)),""))</f>
        <v/>
      </c>
      <c r="G679" s="24" t="n"/>
      <c r="H679" s="24" t="n"/>
      <c r="I679" s="30" t="n"/>
      <c r="J679" s="23">
        <f>IF(OR($H679="",$I679=""),"",$H679*$I679)</f>
        <v/>
      </c>
      <c r="K679" s="24" t="n"/>
      <c r="L679" s="24" t="n"/>
      <c r="M679" s="29" t="n"/>
      <c r="N679" s="28" t="n"/>
      <c r="O679" s="24" t="n"/>
      <c r="P679" s="24" t="n"/>
      <c r="Q679" s="24" t="n"/>
      <c r="R679" s="24" t="n"/>
      <c r="S679" s="22">
        <f>IF(AND($A679="",$C679=""),"",IF($A679="","Thiếu mã đơn; ","")&amp;IF(COUNTIF($A$2:$A679,$A679)&gt;1,"Trùng mã đơn; ","")&amp;IF(ISNA(MATCH($C679,DATA_MASTER!$D$2:$D$5000,0)),"SĐT chưa đăng ký hội viên; ","")&amp;IF(AND($L679="Đã chuyển khoản",$M679=""),"Thiếu ngày nhận CK; ",""))</f>
        <v/>
      </c>
      <c r="T679" s="24" t="n"/>
    </row>
    <row r="680" ht="14.25" customHeight="1" s="40">
      <c r="A680" s="24" t="n"/>
      <c r="B680" s="29" t="n"/>
      <c r="C680" s="28" t="n"/>
      <c r="D680" s="22">
        <f t="array" ref="D680">IF($C680="","",IFERROR(INDEX(DATA_MASTER!$C$2:$C$5000,MATCH($C680,DATA_MASTER!$D$2:$D$5000,0)),""))</f>
        <v/>
      </c>
      <c r="E680" s="22">
        <f t="array" ref="E680">IF($C680="","",IFERROR(INDEX(DATA_MASTER!$I$2:$I$5000,MATCH($C680,DATA_MASTER!$D$2:$D$5000,0)),""))</f>
        <v/>
      </c>
      <c r="F680" s="22">
        <f t="array" ref="F680">IF($C680="","",IFERROR(INDEX(DATA_MASTER!$L$2:$L$5000,MATCH($C680,DATA_MASTER!$D$2:$D$5000,0)),""))</f>
        <v/>
      </c>
      <c r="G680" s="24" t="n"/>
      <c r="H680" s="24" t="n"/>
      <c r="I680" s="30" t="n"/>
      <c r="J680" s="23">
        <f>IF(OR($H680="",$I680=""),"",$H680*$I680)</f>
        <v/>
      </c>
      <c r="K680" s="24" t="n"/>
      <c r="L680" s="24" t="n"/>
      <c r="M680" s="29" t="n"/>
      <c r="N680" s="28" t="n"/>
      <c r="O680" s="24" t="n"/>
      <c r="P680" s="24" t="n"/>
      <c r="Q680" s="24" t="n"/>
      <c r="R680" s="24" t="n"/>
      <c r="S680" s="22">
        <f>IF(AND($A680="",$C680=""),"",IF($A680="","Thiếu mã đơn; ","")&amp;IF(COUNTIF($A$2:$A680,$A680)&gt;1,"Trùng mã đơn; ","")&amp;IF(ISNA(MATCH($C680,DATA_MASTER!$D$2:$D$5000,0)),"SĐT chưa đăng ký hội viên; ","")&amp;IF(AND($L680="Đã chuyển khoản",$M680=""),"Thiếu ngày nhận CK; ",""))</f>
        <v/>
      </c>
      <c r="T680" s="24" t="n"/>
    </row>
    <row r="681" ht="14.25" customHeight="1" s="40">
      <c r="A681" s="24" t="n"/>
      <c r="B681" s="29" t="n"/>
      <c r="C681" s="28" t="n"/>
      <c r="D681" s="22">
        <f t="array" ref="D681">IF($C681="","",IFERROR(INDEX(DATA_MASTER!$C$2:$C$5000,MATCH($C681,DATA_MASTER!$D$2:$D$5000,0)),""))</f>
        <v/>
      </c>
      <c r="E681" s="22">
        <f t="array" ref="E681">IF($C681="","",IFERROR(INDEX(DATA_MASTER!$I$2:$I$5000,MATCH($C681,DATA_MASTER!$D$2:$D$5000,0)),""))</f>
        <v/>
      </c>
      <c r="F681" s="22">
        <f t="array" ref="F681">IF($C681="","",IFERROR(INDEX(DATA_MASTER!$L$2:$L$5000,MATCH($C681,DATA_MASTER!$D$2:$D$5000,0)),""))</f>
        <v/>
      </c>
      <c r="G681" s="24" t="n"/>
      <c r="H681" s="24" t="n"/>
      <c r="I681" s="30" t="n"/>
      <c r="J681" s="23">
        <f>IF(OR($H681="",$I681=""),"",$H681*$I681)</f>
        <v/>
      </c>
      <c r="K681" s="24" t="n"/>
      <c r="L681" s="24" t="n"/>
      <c r="M681" s="29" t="n"/>
      <c r="N681" s="28" t="n"/>
      <c r="O681" s="24" t="n"/>
      <c r="P681" s="24" t="n"/>
      <c r="Q681" s="24" t="n"/>
      <c r="R681" s="24" t="n"/>
      <c r="S681" s="22">
        <f>IF(AND($A681="",$C681=""),"",IF($A681="","Thiếu mã đơn; ","")&amp;IF(COUNTIF($A$2:$A681,$A681)&gt;1,"Trùng mã đơn; ","")&amp;IF(ISNA(MATCH($C681,DATA_MASTER!$D$2:$D$5000,0)),"SĐT chưa đăng ký hội viên; ","")&amp;IF(AND($L681="Đã chuyển khoản",$M681=""),"Thiếu ngày nhận CK; ",""))</f>
        <v/>
      </c>
      <c r="T681" s="24" t="n"/>
    </row>
    <row r="682" ht="14.25" customHeight="1" s="40">
      <c r="A682" s="24" t="n"/>
      <c r="B682" s="29" t="n"/>
      <c r="C682" s="28" t="n"/>
      <c r="D682" s="22">
        <f t="array" ref="D682">IF($C682="","",IFERROR(INDEX(DATA_MASTER!$C$2:$C$5000,MATCH($C682,DATA_MASTER!$D$2:$D$5000,0)),""))</f>
        <v/>
      </c>
      <c r="E682" s="22">
        <f t="array" ref="E682">IF($C682="","",IFERROR(INDEX(DATA_MASTER!$I$2:$I$5000,MATCH($C682,DATA_MASTER!$D$2:$D$5000,0)),""))</f>
        <v/>
      </c>
      <c r="F682" s="22">
        <f t="array" ref="F682">IF($C682="","",IFERROR(INDEX(DATA_MASTER!$L$2:$L$5000,MATCH($C682,DATA_MASTER!$D$2:$D$5000,0)),""))</f>
        <v/>
      </c>
      <c r="G682" s="24" t="n"/>
      <c r="H682" s="24" t="n"/>
      <c r="I682" s="30" t="n"/>
      <c r="J682" s="23">
        <f>IF(OR($H682="",$I682=""),"",$H682*$I682)</f>
        <v/>
      </c>
      <c r="K682" s="24" t="n"/>
      <c r="L682" s="24" t="n"/>
      <c r="M682" s="29" t="n"/>
      <c r="N682" s="28" t="n"/>
      <c r="O682" s="24" t="n"/>
      <c r="P682" s="24" t="n"/>
      <c r="Q682" s="24" t="n"/>
      <c r="R682" s="24" t="n"/>
      <c r="S682" s="22">
        <f>IF(AND($A682="",$C682=""),"",IF($A682="","Thiếu mã đơn; ","")&amp;IF(COUNTIF($A$2:$A682,$A682)&gt;1,"Trùng mã đơn; ","")&amp;IF(ISNA(MATCH($C682,DATA_MASTER!$D$2:$D$5000,0)),"SĐT chưa đăng ký hội viên; ","")&amp;IF(AND($L682="Đã chuyển khoản",$M682=""),"Thiếu ngày nhận CK; ",""))</f>
        <v/>
      </c>
      <c r="T682" s="24" t="n"/>
    </row>
    <row r="683" ht="14.25" customHeight="1" s="40">
      <c r="A683" s="24" t="n"/>
      <c r="B683" s="29" t="n"/>
      <c r="C683" s="28" t="n"/>
      <c r="D683" s="22">
        <f t="array" ref="D683">IF($C683="","",IFERROR(INDEX(DATA_MASTER!$C$2:$C$5000,MATCH($C683,DATA_MASTER!$D$2:$D$5000,0)),""))</f>
        <v/>
      </c>
      <c r="E683" s="22">
        <f t="array" ref="E683">IF($C683="","",IFERROR(INDEX(DATA_MASTER!$I$2:$I$5000,MATCH($C683,DATA_MASTER!$D$2:$D$5000,0)),""))</f>
        <v/>
      </c>
      <c r="F683" s="22">
        <f t="array" ref="F683">IF($C683="","",IFERROR(INDEX(DATA_MASTER!$L$2:$L$5000,MATCH($C683,DATA_MASTER!$D$2:$D$5000,0)),""))</f>
        <v/>
      </c>
      <c r="G683" s="24" t="n"/>
      <c r="H683" s="24" t="n"/>
      <c r="I683" s="30" t="n"/>
      <c r="J683" s="23">
        <f>IF(OR($H683="",$I683=""),"",$H683*$I683)</f>
        <v/>
      </c>
      <c r="K683" s="24" t="n"/>
      <c r="L683" s="24" t="n"/>
      <c r="M683" s="29" t="n"/>
      <c r="N683" s="28" t="n"/>
      <c r="O683" s="24" t="n"/>
      <c r="P683" s="24" t="n"/>
      <c r="Q683" s="24" t="n"/>
      <c r="R683" s="24" t="n"/>
      <c r="S683" s="22">
        <f>IF(AND($A683="",$C683=""),"",IF($A683="","Thiếu mã đơn; ","")&amp;IF(COUNTIF($A$2:$A683,$A683)&gt;1,"Trùng mã đơn; ","")&amp;IF(ISNA(MATCH($C683,DATA_MASTER!$D$2:$D$5000,0)),"SĐT chưa đăng ký hội viên; ","")&amp;IF(AND($L683="Đã chuyển khoản",$M683=""),"Thiếu ngày nhận CK; ",""))</f>
        <v/>
      </c>
      <c r="T683" s="24" t="n"/>
    </row>
    <row r="684" ht="14.25" customHeight="1" s="40">
      <c r="A684" s="24" t="n"/>
      <c r="B684" s="29" t="n"/>
      <c r="C684" s="28" t="n"/>
      <c r="D684" s="22">
        <f t="array" ref="D684">IF($C684="","",IFERROR(INDEX(DATA_MASTER!$C$2:$C$5000,MATCH($C684,DATA_MASTER!$D$2:$D$5000,0)),""))</f>
        <v/>
      </c>
      <c r="E684" s="22">
        <f t="array" ref="E684">IF($C684="","",IFERROR(INDEX(DATA_MASTER!$I$2:$I$5000,MATCH($C684,DATA_MASTER!$D$2:$D$5000,0)),""))</f>
        <v/>
      </c>
      <c r="F684" s="22">
        <f t="array" ref="F684">IF($C684="","",IFERROR(INDEX(DATA_MASTER!$L$2:$L$5000,MATCH($C684,DATA_MASTER!$D$2:$D$5000,0)),""))</f>
        <v/>
      </c>
      <c r="G684" s="24" t="n"/>
      <c r="H684" s="24" t="n"/>
      <c r="I684" s="30" t="n"/>
      <c r="J684" s="23">
        <f>IF(OR($H684="",$I684=""),"",$H684*$I684)</f>
        <v/>
      </c>
      <c r="K684" s="24" t="n"/>
      <c r="L684" s="24" t="n"/>
      <c r="M684" s="29" t="n"/>
      <c r="N684" s="28" t="n"/>
      <c r="O684" s="24" t="n"/>
      <c r="P684" s="24" t="n"/>
      <c r="Q684" s="24" t="n"/>
      <c r="R684" s="24" t="n"/>
      <c r="S684" s="22">
        <f>IF(AND($A684="",$C684=""),"",IF($A684="","Thiếu mã đơn; ","")&amp;IF(COUNTIF($A$2:$A684,$A684)&gt;1,"Trùng mã đơn; ","")&amp;IF(ISNA(MATCH($C684,DATA_MASTER!$D$2:$D$5000,0)),"SĐT chưa đăng ký hội viên; ","")&amp;IF(AND($L684="Đã chuyển khoản",$M684=""),"Thiếu ngày nhận CK; ",""))</f>
        <v/>
      </c>
      <c r="T684" s="24" t="n"/>
    </row>
    <row r="685" ht="14.25" customHeight="1" s="40">
      <c r="A685" s="24" t="n"/>
      <c r="B685" s="29" t="n"/>
      <c r="C685" s="28" t="n"/>
      <c r="D685" s="22">
        <f t="array" ref="D685">IF($C685="","",IFERROR(INDEX(DATA_MASTER!$C$2:$C$5000,MATCH($C685,DATA_MASTER!$D$2:$D$5000,0)),""))</f>
        <v/>
      </c>
      <c r="E685" s="22">
        <f t="array" ref="E685">IF($C685="","",IFERROR(INDEX(DATA_MASTER!$I$2:$I$5000,MATCH($C685,DATA_MASTER!$D$2:$D$5000,0)),""))</f>
        <v/>
      </c>
      <c r="F685" s="22">
        <f t="array" ref="F685">IF($C685="","",IFERROR(INDEX(DATA_MASTER!$L$2:$L$5000,MATCH($C685,DATA_MASTER!$D$2:$D$5000,0)),""))</f>
        <v/>
      </c>
      <c r="G685" s="24" t="n"/>
      <c r="H685" s="24" t="n"/>
      <c r="I685" s="30" t="n"/>
      <c r="J685" s="23">
        <f>IF(OR($H685="",$I685=""),"",$H685*$I685)</f>
        <v/>
      </c>
      <c r="K685" s="24" t="n"/>
      <c r="L685" s="24" t="n"/>
      <c r="M685" s="29" t="n"/>
      <c r="N685" s="28" t="n"/>
      <c r="O685" s="24" t="n"/>
      <c r="P685" s="24" t="n"/>
      <c r="Q685" s="24" t="n"/>
      <c r="R685" s="24" t="n"/>
      <c r="S685" s="22">
        <f>IF(AND($A685="",$C685=""),"",IF($A685="","Thiếu mã đơn; ","")&amp;IF(COUNTIF($A$2:$A685,$A685)&gt;1,"Trùng mã đơn; ","")&amp;IF(ISNA(MATCH($C685,DATA_MASTER!$D$2:$D$5000,0)),"SĐT chưa đăng ký hội viên; ","")&amp;IF(AND($L685="Đã chuyển khoản",$M685=""),"Thiếu ngày nhận CK; ",""))</f>
        <v/>
      </c>
      <c r="T685" s="24" t="n"/>
    </row>
    <row r="686" ht="14.25" customHeight="1" s="40">
      <c r="A686" s="24" t="n"/>
      <c r="B686" s="29" t="n"/>
      <c r="C686" s="28" t="n"/>
      <c r="D686" s="22">
        <f t="array" ref="D686">IF($C686="","",IFERROR(INDEX(DATA_MASTER!$C$2:$C$5000,MATCH($C686,DATA_MASTER!$D$2:$D$5000,0)),""))</f>
        <v/>
      </c>
      <c r="E686" s="22">
        <f t="array" ref="E686">IF($C686="","",IFERROR(INDEX(DATA_MASTER!$I$2:$I$5000,MATCH($C686,DATA_MASTER!$D$2:$D$5000,0)),""))</f>
        <v/>
      </c>
      <c r="F686" s="22">
        <f t="array" ref="F686">IF($C686="","",IFERROR(INDEX(DATA_MASTER!$L$2:$L$5000,MATCH($C686,DATA_MASTER!$D$2:$D$5000,0)),""))</f>
        <v/>
      </c>
      <c r="G686" s="24" t="n"/>
      <c r="H686" s="24" t="n"/>
      <c r="I686" s="30" t="n"/>
      <c r="J686" s="23">
        <f>IF(OR($H686="",$I686=""),"",$H686*$I686)</f>
        <v/>
      </c>
      <c r="K686" s="24" t="n"/>
      <c r="L686" s="24" t="n"/>
      <c r="M686" s="29" t="n"/>
      <c r="N686" s="28" t="n"/>
      <c r="O686" s="24" t="n"/>
      <c r="P686" s="24" t="n"/>
      <c r="Q686" s="24" t="n"/>
      <c r="R686" s="24" t="n"/>
      <c r="S686" s="22">
        <f>IF(AND($A686="",$C686=""),"",IF($A686="","Thiếu mã đơn; ","")&amp;IF(COUNTIF($A$2:$A686,$A686)&gt;1,"Trùng mã đơn; ","")&amp;IF(ISNA(MATCH($C686,DATA_MASTER!$D$2:$D$5000,0)),"SĐT chưa đăng ký hội viên; ","")&amp;IF(AND($L686="Đã chuyển khoản",$M686=""),"Thiếu ngày nhận CK; ",""))</f>
        <v/>
      </c>
      <c r="T686" s="24" t="n"/>
    </row>
    <row r="687" ht="14.25" customHeight="1" s="40">
      <c r="A687" s="24" t="n"/>
      <c r="B687" s="29" t="n"/>
      <c r="C687" s="28" t="n"/>
      <c r="D687" s="22">
        <f t="array" ref="D687">IF($C687="","",IFERROR(INDEX(DATA_MASTER!$C$2:$C$5000,MATCH($C687,DATA_MASTER!$D$2:$D$5000,0)),""))</f>
        <v/>
      </c>
      <c r="E687" s="22">
        <f t="array" ref="E687">IF($C687="","",IFERROR(INDEX(DATA_MASTER!$I$2:$I$5000,MATCH($C687,DATA_MASTER!$D$2:$D$5000,0)),""))</f>
        <v/>
      </c>
      <c r="F687" s="22">
        <f t="array" ref="F687">IF($C687="","",IFERROR(INDEX(DATA_MASTER!$L$2:$L$5000,MATCH($C687,DATA_MASTER!$D$2:$D$5000,0)),""))</f>
        <v/>
      </c>
      <c r="G687" s="24" t="n"/>
      <c r="H687" s="24" t="n"/>
      <c r="I687" s="30" t="n"/>
      <c r="J687" s="23">
        <f>IF(OR($H687="",$I687=""),"",$H687*$I687)</f>
        <v/>
      </c>
      <c r="K687" s="24" t="n"/>
      <c r="L687" s="24" t="n"/>
      <c r="M687" s="29" t="n"/>
      <c r="N687" s="28" t="n"/>
      <c r="O687" s="24" t="n"/>
      <c r="P687" s="24" t="n"/>
      <c r="Q687" s="24" t="n"/>
      <c r="R687" s="24" t="n"/>
      <c r="S687" s="22">
        <f>IF(AND($A687="",$C687=""),"",IF($A687="","Thiếu mã đơn; ","")&amp;IF(COUNTIF($A$2:$A687,$A687)&gt;1,"Trùng mã đơn; ","")&amp;IF(ISNA(MATCH($C687,DATA_MASTER!$D$2:$D$5000,0)),"SĐT chưa đăng ký hội viên; ","")&amp;IF(AND($L687="Đã chuyển khoản",$M687=""),"Thiếu ngày nhận CK; ",""))</f>
        <v/>
      </c>
      <c r="T687" s="24" t="n"/>
    </row>
    <row r="688" ht="14.25" customHeight="1" s="40">
      <c r="A688" s="24" t="n"/>
      <c r="B688" s="29" t="n"/>
      <c r="C688" s="28" t="n"/>
      <c r="D688" s="22">
        <f t="array" ref="D688">IF($C688="","",IFERROR(INDEX(DATA_MASTER!$C$2:$C$5000,MATCH($C688,DATA_MASTER!$D$2:$D$5000,0)),""))</f>
        <v/>
      </c>
      <c r="E688" s="22">
        <f t="array" ref="E688">IF($C688="","",IFERROR(INDEX(DATA_MASTER!$I$2:$I$5000,MATCH($C688,DATA_MASTER!$D$2:$D$5000,0)),""))</f>
        <v/>
      </c>
      <c r="F688" s="22">
        <f t="array" ref="F688">IF($C688="","",IFERROR(INDEX(DATA_MASTER!$L$2:$L$5000,MATCH($C688,DATA_MASTER!$D$2:$D$5000,0)),""))</f>
        <v/>
      </c>
      <c r="G688" s="24" t="n"/>
      <c r="H688" s="24" t="n"/>
      <c r="I688" s="30" t="n"/>
      <c r="J688" s="23">
        <f>IF(OR($H688="",$I688=""),"",$H688*$I688)</f>
        <v/>
      </c>
      <c r="K688" s="24" t="n"/>
      <c r="L688" s="24" t="n"/>
      <c r="M688" s="29" t="n"/>
      <c r="N688" s="28" t="n"/>
      <c r="O688" s="24" t="n"/>
      <c r="P688" s="24" t="n"/>
      <c r="Q688" s="24" t="n"/>
      <c r="R688" s="24" t="n"/>
      <c r="S688" s="22">
        <f>IF(AND($A688="",$C688=""),"",IF($A688="","Thiếu mã đơn; ","")&amp;IF(COUNTIF($A$2:$A688,$A688)&gt;1,"Trùng mã đơn; ","")&amp;IF(ISNA(MATCH($C688,DATA_MASTER!$D$2:$D$5000,0)),"SĐT chưa đăng ký hội viên; ","")&amp;IF(AND($L688="Đã chuyển khoản",$M688=""),"Thiếu ngày nhận CK; ",""))</f>
        <v/>
      </c>
      <c r="T688" s="24" t="n"/>
    </row>
    <row r="689" ht="14.25" customHeight="1" s="40">
      <c r="A689" s="24" t="n"/>
      <c r="B689" s="29" t="n"/>
      <c r="C689" s="28" t="n"/>
      <c r="D689" s="22">
        <f t="array" ref="D689">IF($C689="","",IFERROR(INDEX(DATA_MASTER!$C$2:$C$5000,MATCH($C689,DATA_MASTER!$D$2:$D$5000,0)),""))</f>
        <v/>
      </c>
      <c r="E689" s="22">
        <f t="array" ref="E689">IF($C689="","",IFERROR(INDEX(DATA_MASTER!$I$2:$I$5000,MATCH($C689,DATA_MASTER!$D$2:$D$5000,0)),""))</f>
        <v/>
      </c>
      <c r="F689" s="22">
        <f t="array" ref="F689">IF($C689="","",IFERROR(INDEX(DATA_MASTER!$L$2:$L$5000,MATCH($C689,DATA_MASTER!$D$2:$D$5000,0)),""))</f>
        <v/>
      </c>
      <c r="G689" s="24" t="n"/>
      <c r="H689" s="24" t="n"/>
      <c r="I689" s="30" t="n"/>
      <c r="J689" s="23">
        <f>IF(OR($H689="",$I689=""),"",$H689*$I689)</f>
        <v/>
      </c>
      <c r="K689" s="24" t="n"/>
      <c r="L689" s="24" t="n"/>
      <c r="M689" s="29" t="n"/>
      <c r="N689" s="28" t="n"/>
      <c r="O689" s="24" t="n"/>
      <c r="P689" s="24" t="n"/>
      <c r="Q689" s="24" t="n"/>
      <c r="R689" s="24" t="n"/>
      <c r="S689" s="22">
        <f>IF(AND($A689="",$C689=""),"",IF($A689="","Thiếu mã đơn; ","")&amp;IF(COUNTIF($A$2:$A689,$A689)&gt;1,"Trùng mã đơn; ","")&amp;IF(ISNA(MATCH($C689,DATA_MASTER!$D$2:$D$5000,0)),"SĐT chưa đăng ký hội viên; ","")&amp;IF(AND($L689="Đã chuyển khoản",$M689=""),"Thiếu ngày nhận CK; ",""))</f>
        <v/>
      </c>
      <c r="T689" s="24" t="n"/>
    </row>
    <row r="690" ht="14.25" customHeight="1" s="40">
      <c r="A690" s="24" t="n"/>
      <c r="B690" s="29" t="n"/>
      <c r="C690" s="28" t="n"/>
      <c r="D690" s="22">
        <f t="array" ref="D690">IF($C690="","",IFERROR(INDEX(DATA_MASTER!$C$2:$C$5000,MATCH($C690,DATA_MASTER!$D$2:$D$5000,0)),""))</f>
        <v/>
      </c>
      <c r="E690" s="22">
        <f t="array" ref="E690">IF($C690="","",IFERROR(INDEX(DATA_MASTER!$I$2:$I$5000,MATCH($C690,DATA_MASTER!$D$2:$D$5000,0)),""))</f>
        <v/>
      </c>
      <c r="F690" s="22">
        <f t="array" ref="F690">IF($C690="","",IFERROR(INDEX(DATA_MASTER!$L$2:$L$5000,MATCH($C690,DATA_MASTER!$D$2:$D$5000,0)),""))</f>
        <v/>
      </c>
      <c r="G690" s="24" t="n"/>
      <c r="H690" s="24" t="n"/>
      <c r="I690" s="30" t="n"/>
      <c r="J690" s="23">
        <f>IF(OR($H690="",$I690=""),"",$H690*$I690)</f>
        <v/>
      </c>
      <c r="K690" s="24" t="n"/>
      <c r="L690" s="24" t="n"/>
      <c r="M690" s="29" t="n"/>
      <c r="N690" s="28" t="n"/>
      <c r="O690" s="24" t="n"/>
      <c r="P690" s="24" t="n"/>
      <c r="Q690" s="24" t="n"/>
      <c r="R690" s="24" t="n"/>
      <c r="S690" s="22">
        <f>IF(AND($A690="",$C690=""),"",IF($A690="","Thiếu mã đơn; ","")&amp;IF(COUNTIF($A$2:$A690,$A690)&gt;1,"Trùng mã đơn; ","")&amp;IF(ISNA(MATCH($C690,DATA_MASTER!$D$2:$D$5000,0)),"SĐT chưa đăng ký hội viên; ","")&amp;IF(AND($L690="Đã chuyển khoản",$M690=""),"Thiếu ngày nhận CK; ",""))</f>
        <v/>
      </c>
      <c r="T690" s="24" t="n"/>
    </row>
    <row r="691" ht="14.25" customHeight="1" s="40">
      <c r="A691" s="24" t="n"/>
      <c r="B691" s="29" t="n"/>
      <c r="C691" s="28" t="n"/>
      <c r="D691" s="22">
        <f t="array" ref="D691">IF($C691="","",IFERROR(INDEX(DATA_MASTER!$C$2:$C$5000,MATCH($C691,DATA_MASTER!$D$2:$D$5000,0)),""))</f>
        <v/>
      </c>
      <c r="E691" s="22">
        <f t="array" ref="E691">IF($C691="","",IFERROR(INDEX(DATA_MASTER!$I$2:$I$5000,MATCH($C691,DATA_MASTER!$D$2:$D$5000,0)),""))</f>
        <v/>
      </c>
      <c r="F691" s="22">
        <f t="array" ref="F691">IF($C691="","",IFERROR(INDEX(DATA_MASTER!$L$2:$L$5000,MATCH($C691,DATA_MASTER!$D$2:$D$5000,0)),""))</f>
        <v/>
      </c>
      <c r="G691" s="24" t="n"/>
      <c r="H691" s="24" t="n"/>
      <c r="I691" s="30" t="n"/>
      <c r="J691" s="23">
        <f>IF(OR($H691="",$I691=""),"",$H691*$I691)</f>
        <v/>
      </c>
      <c r="K691" s="24" t="n"/>
      <c r="L691" s="24" t="n"/>
      <c r="M691" s="29" t="n"/>
      <c r="N691" s="28" t="n"/>
      <c r="O691" s="24" t="n"/>
      <c r="P691" s="24" t="n"/>
      <c r="Q691" s="24" t="n"/>
      <c r="R691" s="24" t="n"/>
      <c r="S691" s="22">
        <f>IF(AND($A691="",$C691=""),"",IF($A691="","Thiếu mã đơn; ","")&amp;IF(COUNTIF($A$2:$A691,$A691)&gt;1,"Trùng mã đơn; ","")&amp;IF(ISNA(MATCH($C691,DATA_MASTER!$D$2:$D$5000,0)),"SĐT chưa đăng ký hội viên; ","")&amp;IF(AND($L691="Đã chuyển khoản",$M691=""),"Thiếu ngày nhận CK; ",""))</f>
        <v/>
      </c>
      <c r="T691" s="24" t="n"/>
    </row>
    <row r="692" ht="14.25" customHeight="1" s="40">
      <c r="A692" s="24" t="n"/>
      <c r="B692" s="29" t="n"/>
      <c r="C692" s="28" t="n"/>
      <c r="D692" s="22">
        <f t="array" ref="D692">IF($C692="","",IFERROR(INDEX(DATA_MASTER!$C$2:$C$5000,MATCH($C692,DATA_MASTER!$D$2:$D$5000,0)),""))</f>
        <v/>
      </c>
      <c r="E692" s="22">
        <f t="array" ref="E692">IF($C692="","",IFERROR(INDEX(DATA_MASTER!$I$2:$I$5000,MATCH($C692,DATA_MASTER!$D$2:$D$5000,0)),""))</f>
        <v/>
      </c>
      <c r="F692" s="22">
        <f t="array" ref="F692">IF($C692="","",IFERROR(INDEX(DATA_MASTER!$L$2:$L$5000,MATCH($C692,DATA_MASTER!$D$2:$D$5000,0)),""))</f>
        <v/>
      </c>
      <c r="G692" s="24" t="n"/>
      <c r="H692" s="24" t="n"/>
      <c r="I692" s="30" t="n"/>
      <c r="J692" s="23">
        <f>IF(OR($H692="",$I692=""),"",$H692*$I692)</f>
        <v/>
      </c>
      <c r="K692" s="24" t="n"/>
      <c r="L692" s="24" t="n"/>
      <c r="M692" s="29" t="n"/>
      <c r="N692" s="28" t="n"/>
      <c r="O692" s="24" t="n"/>
      <c r="P692" s="24" t="n"/>
      <c r="Q692" s="24" t="n"/>
      <c r="R692" s="24" t="n"/>
      <c r="S692" s="22">
        <f>IF(AND($A692="",$C692=""),"",IF($A692="","Thiếu mã đơn; ","")&amp;IF(COUNTIF($A$2:$A692,$A692)&gt;1,"Trùng mã đơn; ","")&amp;IF(ISNA(MATCH($C692,DATA_MASTER!$D$2:$D$5000,0)),"SĐT chưa đăng ký hội viên; ","")&amp;IF(AND($L692="Đã chuyển khoản",$M692=""),"Thiếu ngày nhận CK; ",""))</f>
        <v/>
      </c>
      <c r="T692" s="24" t="n"/>
    </row>
    <row r="693" ht="14.25" customHeight="1" s="40">
      <c r="A693" s="24" t="n"/>
      <c r="B693" s="29" t="n"/>
      <c r="C693" s="28" t="n"/>
      <c r="D693" s="22">
        <f t="array" ref="D693">IF($C693="","",IFERROR(INDEX(DATA_MASTER!$C$2:$C$5000,MATCH($C693,DATA_MASTER!$D$2:$D$5000,0)),""))</f>
        <v/>
      </c>
      <c r="E693" s="22">
        <f t="array" ref="E693">IF($C693="","",IFERROR(INDEX(DATA_MASTER!$I$2:$I$5000,MATCH($C693,DATA_MASTER!$D$2:$D$5000,0)),""))</f>
        <v/>
      </c>
      <c r="F693" s="22">
        <f t="array" ref="F693">IF($C693="","",IFERROR(INDEX(DATA_MASTER!$L$2:$L$5000,MATCH($C693,DATA_MASTER!$D$2:$D$5000,0)),""))</f>
        <v/>
      </c>
      <c r="G693" s="24" t="n"/>
      <c r="H693" s="24" t="n"/>
      <c r="I693" s="30" t="n"/>
      <c r="J693" s="23">
        <f>IF(OR($H693="",$I693=""),"",$H693*$I693)</f>
        <v/>
      </c>
      <c r="K693" s="24" t="n"/>
      <c r="L693" s="24" t="n"/>
      <c r="M693" s="29" t="n"/>
      <c r="N693" s="28" t="n"/>
      <c r="O693" s="24" t="n"/>
      <c r="P693" s="24" t="n"/>
      <c r="Q693" s="24" t="n"/>
      <c r="R693" s="24" t="n"/>
      <c r="S693" s="22">
        <f>IF(AND($A693="",$C693=""),"",IF($A693="","Thiếu mã đơn; ","")&amp;IF(COUNTIF($A$2:$A693,$A693)&gt;1,"Trùng mã đơn; ","")&amp;IF(ISNA(MATCH($C693,DATA_MASTER!$D$2:$D$5000,0)),"SĐT chưa đăng ký hội viên; ","")&amp;IF(AND($L693="Đã chuyển khoản",$M693=""),"Thiếu ngày nhận CK; ",""))</f>
        <v/>
      </c>
      <c r="T693" s="24" t="n"/>
    </row>
    <row r="694" ht="14.25" customHeight="1" s="40">
      <c r="A694" s="24" t="n"/>
      <c r="B694" s="29" t="n"/>
      <c r="C694" s="28" t="n"/>
      <c r="D694" s="22">
        <f t="array" ref="D694">IF($C694="","",IFERROR(INDEX(DATA_MASTER!$C$2:$C$5000,MATCH($C694,DATA_MASTER!$D$2:$D$5000,0)),""))</f>
        <v/>
      </c>
      <c r="E694" s="22">
        <f t="array" ref="E694">IF($C694="","",IFERROR(INDEX(DATA_MASTER!$I$2:$I$5000,MATCH($C694,DATA_MASTER!$D$2:$D$5000,0)),""))</f>
        <v/>
      </c>
      <c r="F694" s="22">
        <f t="array" ref="F694">IF($C694="","",IFERROR(INDEX(DATA_MASTER!$L$2:$L$5000,MATCH($C694,DATA_MASTER!$D$2:$D$5000,0)),""))</f>
        <v/>
      </c>
      <c r="G694" s="24" t="n"/>
      <c r="H694" s="24" t="n"/>
      <c r="I694" s="30" t="n"/>
      <c r="J694" s="23">
        <f>IF(OR($H694="",$I694=""),"",$H694*$I694)</f>
        <v/>
      </c>
      <c r="K694" s="24" t="n"/>
      <c r="L694" s="24" t="n"/>
      <c r="M694" s="29" t="n"/>
      <c r="N694" s="28" t="n"/>
      <c r="O694" s="24" t="n"/>
      <c r="P694" s="24" t="n"/>
      <c r="Q694" s="24" t="n"/>
      <c r="R694" s="24" t="n"/>
      <c r="S694" s="22">
        <f>IF(AND($A694="",$C694=""),"",IF($A694="","Thiếu mã đơn; ","")&amp;IF(COUNTIF($A$2:$A694,$A694)&gt;1,"Trùng mã đơn; ","")&amp;IF(ISNA(MATCH($C694,DATA_MASTER!$D$2:$D$5000,0)),"SĐT chưa đăng ký hội viên; ","")&amp;IF(AND($L694="Đã chuyển khoản",$M694=""),"Thiếu ngày nhận CK; ",""))</f>
        <v/>
      </c>
      <c r="T694" s="24" t="n"/>
    </row>
    <row r="695" ht="14.25" customHeight="1" s="40">
      <c r="A695" s="24" t="n"/>
      <c r="B695" s="29" t="n"/>
      <c r="C695" s="28" t="n"/>
      <c r="D695" s="22">
        <f t="array" ref="D695">IF($C695="","",IFERROR(INDEX(DATA_MASTER!$C$2:$C$5000,MATCH($C695,DATA_MASTER!$D$2:$D$5000,0)),""))</f>
        <v/>
      </c>
      <c r="E695" s="22">
        <f t="array" ref="E695">IF($C695="","",IFERROR(INDEX(DATA_MASTER!$I$2:$I$5000,MATCH($C695,DATA_MASTER!$D$2:$D$5000,0)),""))</f>
        <v/>
      </c>
      <c r="F695" s="22">
        <f t="array" ref="F695">IF($C695="","",IFERROR(INDEX(DATA_MASTER!$L$2:$L$5000,MATCH($C695,DATA_MASTER!$D$2:$D$5000,0)),""))</f>
        <v/>
      </c>
      <c r="G695" s="24" t="n"/>
      <c r="H695" s="24" t="n"/>
      <c r="I695" s="30" t="n"/>
      <c r="J695" s="23">
        <f>IF(OR($H695="",$I695=""),"",$H695*$I695)</f>
        <v/>
      </c>
      <c r="K695" s="24" t="n"/>
      <c r="L695" s="24" t="n"/>
      <c r="M695" s="29" t="n"/>
      <c r="N695" s="28" t="n"/>
      <c r="O695" s="24" t="n"/>
      <c r="P695" s="24" t="n"/>
      <c r="Q695" s="24" t="n"/>
      <c r="R695" s="24" t="n"/>
      <c r="S695" s="22">
        <f>IF(AND($A695="",$C695=""),"",IF($A695="","Thiếu mã đơn; ","")&amp;IF(COUNTIF($A$2:$A695,$A695)&gt;1,"Trùng mã đơn; ","")&amp;IF(ISNA(MATCH($C695,DATA_MASTER!$D$2:$D$5000,0)),"SĐT chưa đăng ký hội viên; ","")&amp;IF(AND($L695="Đã chuyển khoản",$M695=""),"Thiếu ngày nhận CK; ",""))</f>
        <v/>
      </c>
      <c r="T695" s="24" t="n"/>
    </row>
    <row r="696" ht="14.25" customHeight="1" s="40">
      <c r="A696" s="24" t="n"/>
      <c r="B696" s="29" t="n"/>
      <c r="C696" s="28" t="n"/>
      <c r="D696" s="22">
        <f t="array" ref="D696">IF($C696="","",IFERROR(INDEX(DATA_MASTER!$C$2:$C$5000,MATCH($C696,DATA_MASTER!$D$2:$D$5000,0)),""))</f>
        <v/>
      </c>
      <c r="E696" s="22">
        <f t="array" ref="E696">IF($C696="","",IFERROR(INDEX(DATA_MASTER!$I$2:$I$5000,MATCH($C696,DATA_MASTER!$D$2:$D$5000,0)),""))</f>
        <v/>
      </c>
      <c r="F696" s="22">
        <f t="array" ref="F696">IF($C696="","",IFERROR(INDEX(DATA_MASTER!$L$2:$L$5000,MATCH($C696,DATA_MASTER!$D$2:$D$5000,0)),""))</f>
        <v/>
      </c>
      <c r="G696" s="24" t="n"/>
      <c r="H696" s="24" t="n"/>
      <c r="I696" s="30" t="n"/>
      <c r="J696" s="23">
        <f>IF(OR($H696="",$I696=""),"",$H696*$I696)</f>
        <v/>
      </c>
      <c r="K696" s="24" t="n"/>
      <c r="L696" s="24" t="n"/>
      <c r="M696" s="29" t="n"/>
      <c r="N696" s="28" t="n"/>
      <c r="O696" s="24" t="n"/>
      <c r="P696" s="24" t="n"/>
      <c r="Q696" s="24" t="n"/>
      <c r="R696" s="24" t="n"/>
      <c r="S696" s="22">
        <f>IF(AND($A696="",$C696=""),"",IF($A696="","Thiếu mã đơn; ","")&amp;IF(COUNTIF($A$2:$A696,$A696)&gt;1,"Trùng mã đơn; ","")&amp;IF(ISNA(MATCH($C696,DATA_MASTER!$D$2:$D$5000,0)),"SĐT chưa đăng ký hội viên; ","")&amp;IF(AND($L696="Đã chuyển khoản",$M696=""),"Thiếu ngày nhận CK; ",""))</f>
        <v/>
      </c>
      <c r="T696" s="24" t="n"/>
    </row>
    <row r="697" ht="14.25" customHeight="1" s="40">
      <c r="A697" s="24" t="n"/>
      <c r="B697" s="29" t="n"/>
      <c r="C697" s="28" t="n"/>
      <c r="D697" s="22">
        <f t="array" ref="D697">IF($C697="","",IFERROR(INDEX(DATA_MASTER!$C$2:$C$5000,MATCH($C697,DATA_MASTER!$D$2:$D$5000,0)),""))</f>
        <v/>
      </c>
      <c r="E697" s="22">
        <f t="array" ref="E697">IF($C697="","",IFERROR(INDEX(DATA_MASTER!$I$2:$I$5000,MATCH($C697,DATA_MASTER!$D$2:$D$5000,0)),""))</f>
        <v/>
      </c>
      <c r="F697" s="22">
        <f t="array" ref="F697">IF($C697="","",IFERROR(INDEX(DATA_MASTER!$L$2:$L$5000,MATCH($C697,DATA_MASTER!$D$2:$D$5000,0)),""))</f>
        <v/>
      </c>
      <c r="G697" s="24" t="n"/>
      <c r="H697" s="24" t="n"/>
      <c r="I697" s="30" t="n"/>
      <c r="J697" s="23">
        <f>IF(OR($H697="",$I697=""),"",$H697*$I697)</f>
        <v/>
      </c>
      <c r="K697" s="24" t="n"/>
      <c r="L697" s="24" t="n"/>
      <c r="M697" s="29" t="n"/>
      <c r="N697" s="28" t="n"/>
      <c r="O697" s="24" t="n"/>
      <c r="P697" s="24" t="n"/>
      <c r="Q697" s="24" t="n"/>
      <c r="R697" s="24" t="n"/>
      <c r="S697" s="22">
        <f>IF(AND($A697="",$C697=""),"",IF($A697="","Thiếu mã đơn; ","")&amp;IF(COUNTIF($A$2:$A697,$A697)&gt;1,"Trùng mã đơn; ","")&amp;IF(ISNA(MATCH($C697,DATA_MASTER!$D$2:$D$5000,0)),"SĐT chưa đăng ký hội viên; ","")&amp;IF(AND($L697="Đã chuyển khoản",$M697=""),"Thiếu ngày nhận CK; ",""))</f>
        <v/>
      </c>
      <c r="T697" s="24" t="n"/>
    </row>
    <row r="698" ht="14.25" customHeight="1" s="40">
      <c r="A698" s="24" t="n"/>
      <c r="B698" s="29" t="n"/>
      <c r="C698" s="28" t="n"/>
      <c r="D698" s="22">
        <f t="array" ref="D698">IF($C698="","",IFERROR(INDEX(DATA_MASTER!$C$2:$C$5000,MATCH($C698,DATA_MASTER!$D$2:$D$5000,0)),""))</f>
        <v/>
      </c>
      <c r="E698" s="22">
        <f t="array" ref="E698">IF($C698="","",IFERROR(INDEX(DATA_MASTER!$I$2:$I$5000,MATCH($C698,DATA_MASTER!$D$2:$D$5000,0)),""))</f>
        <v/>
      </c>
      <c r="F698" s="22">
        <f t="array" ref="F698">IF($C698="","",IFERROR(INDEX(DATA_MASTER!$L$2:$L$5000,MATCH($C698,DATA_MASTER!$D$2:$D$5000,0)),""))</f>
        <v/>
      </c>
      <c r="G698" s="24" t="n"/>
      <c r="H698" s="24" t="n"/>
      <c r="I698" s="30" t="n"/>
      <c r="J698" s="23">
        <f>IF(OR($H698="",$I698=""),"",$H698*$I698)</f>
        <v/>
      </c>
      <c r="K698" s="24" t="n"/>
      <c r="L698" s="24" t="n"/>
      <c r="M698" s="29" t="n"/>
      <c r="N698" s="28" t="n"/>
      <c r="O698" s="24" t="n"/>
      <c r="P698" s="24" t="n"/>
      <c r="Q698" s="24" t="n"/>
      <c r="R698" s="24" t="n"/>
      <c r="S698" s="22">
        <f>IF(AND($A698="",$C698=""),"",IF($A698="","Thiếu mã đơn; ","")&amp;IF(COUNTIF($A$2:$A698,$A698)&gt;1,"Trùng mã đơn; ","")&amp;IF(ISNA(MATCH($C698,DATA_MASTER!$D$2:$D$5000,0)),"SĐT chưa đăng ký hội viên; ","")&amp;IF(AND($L698="Đã chuyển khoản",$M698=""),"Thiếu ngày nhận CK; ",""))</f>
        <v/>
      </c>
      <c r="T698" s="24" t="n"/>
    </row>
    <row r="699" ht="14.25" customHeight="1" s="40">
      <c r="A699" s="24" t="n"/>
      <c r="B699" s="29" t="n"/>
      <c r="C699" s="28" t="n"/>
      <c r="D699" s="22">
        <f t="array" ref="D699">IF($C699="","",IFERROR(INDEX(DATA_MASTER!$C$2:$C$5000,MATCH($C699,DATA_MASTER!$D$2:$D$5000,0)),""))</f>
        <v/>
      </c>
      <c r="E699" s="22">
        <f t="array" ref="E699">IF($C699="","",IFERROR(INDEX(DATA_MASTER!$I$2:$I$5000,MATCH($C699,DATA_MASTER!$D$2:$D$5000,0)),""))</f>
        <v/>
      </c>
      <c r="F699" s="22">
        <f t="array" ref="F699">IF($C699="","",IFERROR(INDEX(DATA_MASTER!$L$2:$L$5000,MATCH($C699,DATA_MASTER!$D$2:$D$5000,0)),""))</f>
        <v/>
      </c>
      <c r="G699" s="24" t="n"/>
      <c r="H699" s="24" t="n"/>
      <c r="I699" s="30" t="n"/>
      <c r="J699" s="23">
        <f>IF(OR($H699="",$I699=""),"",$H699*$I699)</f>
        <v/>
      </c>
      <c r="K699" s="24" t="n"/>
      <c r="L699" s="24" t="n"/>
      <c r="M699" s="29" t="n"/>
      <c r="N699" s="28" t="n"/>
      <c r="O699" s="24" t="n"/>
      <c r="P699" s="24" t="n"/>
      <c r="Q699" s="24" t="n"/>
      <c r="R699" s="24" t="n"/>
      <c r="S699" s="22">
        <f>IF(AND($A699="",$C699=""),"",IF($A699="","Thiếu mã đơn; ","")&amp;IF(COUNTIF($A$2:$A699,$A699)&gt;1,"Trùng mã đơn; ","")&amp;IF(ISNA(MATCH($C699,DATA_MASTER!$D$2:$D$5000,0)),"SĐT chưa đăng ký hội viên; ","")&amp;IF(AND($L699="Đã chuyển khoản",$M699=""),"Thiếu ngày nhận CK; ",""))</f>
        <v/>
      </c>
      <c r="T699" s="24" t="n"/>
    </row>
    <row r="700" ht="14.25" customHeight="1" s="40">
      <c r="A700" s="24" t="n"/>
      <c r="B700" s="29" t="n"/>
      <c r="C700" s="28" t="n"/>
      <c r="D700" s="22">
        <f t="array" ref="D700">IF($C700="","",IFERROR(INDEX(DATA_MASTER!$C$2:$C$5000,MATCH($C700,DATA_MASTER!$D$2:$D$5000,0)),""))</f>
        <v/>
      </c>
      <c r="E700" s="22">
        <f t="array" ref="E700">IF($C700="","",IFERROR(INDEX(DATA_MASTER!$I$2:$I$5000,MATCH($C700,DATA_MASTER!$D$2:$D$5000,0)),""))</f>
        <v/>
      </c>
      <c r="F700" s="22">
        <f t="array" ref="F700">IF($C700="","",IFERROR(INDEX(DATA_MASTER!$L$2:$L$5000,MATCH($C700,DATA_MASTER!$D$2:$D$5000,0)),""))</f>
        <v/>
      </c>
      <c r="G700" s="24" t="n"/>
      <c r="H700" s="24" t="n"/>
      <c r="I700" s="30" t="n"/>
      <c r="J700" s="23">
        <f>IF(OR($H700="",$I700=""),"",$H700*$I700)</f>
        <v/>
      </c>
      <c r="K700" s="24" t="n"/>
      <c r="L700" s="24" t="n"/>
      <c r="M700" s="29" t="n"/>
      <c r="N700" s="28" t="n"/>
      <c r="O700" s="24" t="n"/>
      <c r="P700" s="24" t="n"/>
      <c r="Q700" s="24" t="n"/>
      <c r="R700" s="24" t="n"/>
      <c r="S700" s="22">
        <f>IF(AND($A700="",$C700=""),"",IF($A700="","Thiếu mã đơn; ","")&amp;IF(COUNTIF($A$2:$A700,$A700)&gt;1,"Trùng mã đơn; ","")&amp;IF(ISNA(MATCH($C700,DATA_MASTER!$D$2:$D$5000,0)),"SĐT chưa đăng ký hội viên; ","")&amp;IF(AND($L700="Đã chuyển khoản",$M700=""),"Thiếu ngày nhận CK; ",""))</f>
        <v/>
      </c>
      <c r="T700" s="24" t="n"/>
    </row>
    <row r="701" ht="14.25" customHeight="1" s="40">
      <c r="A701" s="24" t="n"/>
      <c r="B701" s="29" t="n"/>
      <c r="C701" s="28" t="n"/>
      <c r="D701" s="22">
        <f t="array" ref="D701">IF($C701="","",IFERROR(INDEX(DATA_MASTER!$C$2:$C$5000,MATCH($C701,DATA_MASTER!$D$2:$D$5000,0)),""))</f>
        <v/>
      </c>
      <c r="E701" s="22">
        <f t="array" ref="E701">IF($C701="","",IFERROR(INDEX(DATA_MASTER!$I$2:$I$5000,MATCH($C701,DATA_MASTER!$D$2:$D$5000,0)),""))</f>
        <v/>
      </c>
      <c r="F701" s="22">
        <f t="array" ref="F701">IF($C701="","",IFERROR(INDEX(DATA_MASTER!$L$2:$L$5000,MATCH($C701,DATA_MASTER!$D$2:$D$5000,0)),""))</f>
        <v/>
      </c>
      <c r="G701" s="24" t="n"/>
      <c r="H701" s="24" t="n"/>
      <c r="I701" s="30" t="n"/>
      <c r="J701" s="23">
        <f>IF(OR($H701="",$I701=""),"",$H701*$I701)</f>
        <v/>
      </c>
      <c r="K701" s="24" t="n"/>
      <c r="L701" s="24" t="n"/>
      <c r="M701" s="29" t="n"/>
      <c r="N701" s="28" t="n"/>
      <c r="O701" s="24" t="n"/>
      <c r="P701" s="24" t="n"/>
      <c r="Q701" s="24" t="n"/>
      <c r="R701" s="24" t="n"/>
      <c r="S701" s="22">
        <f>IF(AND($A701="",$C701=""),"",IF($A701="","Thiếu mã đơn; ","")&amp;IF(COUNTIF($A$2:$A701,$A701)&gt;1,"Trùng mã đơn; ","")&amp;IF(ISNA(MATCH($C701,DATA_MASTER!$D$2:$D$5000,0)),"SĐT chưa đăng ký hội viên; ","")&amp;IF(AND($L701="Đã chuyển khoản",$M701=""),"Thiếu ngày nhận CK; ",""))</f>
        <v/>
      </c>
      <c r="T701" s="24" t="n"/>
    </row>
    <row r="702" ht="14.25" customHeight="1" s="40">
      <c r="A702" s="24" t="n"/>
      <c r="B702" s="29" t="n"/>
      <c r="C702" s="28" t="n"/>
      <c r="D702" s="22">
        <f t="array" ref="D702">IF($C702="","",IFERROR(INDEX(DATA_MASTER!$C$2:$C$5000,MATCH($C702,DATA_MASTER!$D$2:$D$5000,0)),""))</f>
        <v/>
      </c>
      <c r="E702" s="22">
        <f t="array" ref="E702">IF($C702="","",IFERROR(INDEX(DATA_MASTER!$I$2:$I$5000,MATCH($C702,DATA_MASTER!$D$2:$D$5000,0)),""))</f>
        <v/>
      </c>
      <c r="F702" s="22">
        <f t="array" ref="F702">IF($C702="","",IFERROR(INDEX(DATA_MASTER!$L$2:$L$5000,MATCH($C702,DATA_MASTER!$D$2:$D$5000,0)),""))</f>
        <v/>
      </c>
      <c r="G702" s="24" t="n"/>
      <c r="H702" s="24" t="n"/>
      <c r="I702" s="30" t="n"/>
      <c r="J702" s="23">
        <f>IF(OR($H702="",$I702=""),"",$H702*$I702)</f>
        <v/>
      </c>
      <c r="K702" s="24" t="n"/>
      <c r="L702" s="24" t="n"/>
      <c r="M702" s="29" t="n"/>
      <c r="N702" s="28" t="n"/>
      <c r="O702" s="24" t="n"/>
      <c r="P702" s="24" t="n"/>
      <c r="Q702" s="24" t="n"/>
      <c r="R702" s="24" t="n"/>
      <c r="S702" s="22">
        <f>IF(AND($A702="",$C702=""),"",IF($A702="","Thiếu mã đơn; ","")&amp;IF(COUNTIF($A$2:$A702,$A702)&gt;1,"Trùng mã đơn; ","")&amp;IF(ISNA(MATCH($C702,DATA_MASTER!$D$2:$D$5000,0)),"SĐT chưa đăng ký hội viên; ","")&amp;IF(AND($L702="Đã chuyển khoản",$M702=""),"Thiếu ngày nhận CK; ",""))</f>
        <v/>
      </c>
      <c r="T702" s="24" t="n"/>
    </row>
    <row r="703" ht="14.25" customHeight="1" s="40">
      <c r="A703" s="24" t="n"/>
      <c r="B703" s="29" t="n"/>
      <c r="C703" s="28" t="n"/>
      <c r="D703" s="22">
        <f t="array" ref="D703">IF($C703="","",IFERROR(INDEX(DATA_MASTER!$C$2:$C$5000,MATCH($C703,DATA_MASTER!$D$2:$D$5000,0)),""))</f>
        <v/>
      </c>
      <c r="E703" s="22">
        <f t="array" ref="E703">IF($C703="","",IFERROR(INDEX(DATA_MASTER!$I$2:$I$5000,MATCH($C703,DATA_MASTER!$D$2:$D$5000,0)),""))</f>
        <v/>
      </c>
      <c r="F703" s="22">
        <f t="array" ref="F703">IF($C703="","",IFERROR(INDEX(DATA_MASTER!$L$2:$L$5000,MATCH($C703,DATA_MASTER!$D$2:$D$5000,0)),""))</f>
        <v/>
      </c>
      <c r="G703" s="24" t="n"/>
      <c r="H703" s="24" t="n"/>
      <c r="I703" s="30" t="n"/>
      <c r="J703" s="23">
        <f>IF(OR($H703="",$I703=""),"",$H703*$I703)</f>
        <v/>
      </c>
      <c r="K703" s="24" t="n"/>
      <c r="L703" s="24" t="n"/>
      <c r="M703" s="29" t="n"/>
      <c r="N703" s="28" t="n"/>
      <c r="O703" s="24" t="n"/>
      <c r="P703" s="24" t="n"/>
      <c r="Q703" s="24" t="n"/>
      <c r="R703" s="24" t="n"/>
      <c r="S703" s="22">
        <f>IF(AND($A703="",$C703=""),"",IF($A703="","Thiếu mã đơn; ","")&amp;IF(COUNTIF($A$2:$A703,$A703)&gt;1,"Trùng mã đơn; ","")&amp;IF(ISNA(MATCH($C703,DATA_MASTER!$D$2:$D$5000,0)),"SĐT chưa đăng ký hội viên; ","")&amp;IF(AND($L703="Đã chuyển khoản",$M703=""),"Thiếu ngày nhận CK; ",""))</f>
        <v/>
      </c>
      <c r="T703" s="24" t="n"/>
    </row>
    <row r="704" ht="14.25" customHeight="1" s="40">
      <c r="A704" s="24" t="n"/>
      <c r="B704" s="29" t="n"/>
      <c r="C704" s="28" t="n"/>
      <c r="D704" s="22">
        <f t="array" ref="D704">IF($C704="","",IFERROR(INDEX(DATA_MASTER!$C$2:$C$5000,MATCH($C704,DATA_MASTER!$D$2:$D$5000,0)),""))</f>
        <v/>
      </c>
      <c r="E704" s="22">
        <f t="array" ref="E704">IF($C704="","",IFERROR(INDEX(DATA_MASTER!$I$2:$I$5000,MATCH($C704,DATA_MASTER!$D$2:$D$5000,0)),""))</f>
        <v/>
      </c>
      <c r="F704" s="22">
        <f t="array" ref="F704">IF($C704="","",IFERROR(INDEX(DATA_MASTER!$L$2:$L$5000,MATCH($C704,DATA_MASTER!$D$2:$D$5000,0)),""))</f>
        <v/>
      </c>
      <c r="G704" s="24" t="n"/>
      <c r="H704" s="24" t="n"/>
      <c r="I704" s="30" t="n"/>
      <c r="J704" s="23">
        <f>IF(OR($H704="",$I704=""),"",$H704*$I704)</f>
        <v/>
      </c>
      <c r="K704" s="24" t="n"/>
      <c r="L704" s="24" t="n"/>
      <c r="M704" s="29" t="n"/>
      <c r="N704" s="28" t="n"/>
      <c r="O704" s="24" t="n"/>
      <c r="P704" s="24" t="n"/>
      <c r="Q704" s="24" t="n"/>
      <c r="R704" s="24" t="n"/>
      <c r="S704" s="22">
        <f>IF(AND($A704="",$C704=""),"",IF($A704="","Thiếu mã đơn; ","")&amp;IF(COUNTIF($A$2:$A704,$A704)&gt;1,"Trùng mã đơn; ","")&amp;IF(ISNA(MATCH($C704,DATA_MASTER!$D$2:$D$5000,0)),"SĐT chưa đăng ký hội viên; ","")&amp;IF(AND($L704="Đã chuyển khoản",$M704=""),"Thiếu ngày nhận CK; ",""))</f>
        <v/>
      </c>
      <c r="T704" s="24" t="n"/>
    </row>
    <row r="705" ht="14.25" customHeight="1" s="40">
      <c r="A705" s="24" t="n"/>
      <c r="B705" s="29" t="n"/>
      <c r="C705" s="28" t="n"/>
      <c r="D705" s="22">
        <f t="array" ref="D705">IF($C705="","",IFERROR(INDEX(DATA_MASTER!$C$2:$C$5000,MATCH($C705,DATA_MASTER!$D$2:$D$5000,0)),""))</f>
        <v/>
      </c>
      <c r="E705" s="22">
        <f t="array" ref="E705">IF($C705="","",IFERROR(INDEX(DATA_MASTER!$I$2:$I$5000,MATCH($C705,DATA_MASTER!$D$2:$D$5000,0)),""))</f>
        <v/>
      </c>
      <c r="F705" s="22">
        <f t="array" ref="F705">IF($C705="","",IFERROR(INDEX(DATA_MASTER!$L$2:$L$5000,MATCH($C705,DATA_MASTER!$D$2:$D$5000,0)),""))</f>
        <v/>
      </c>
      <c r="G705" s="24" t="n"/>
      <c r="H705" s="24" t="n"/>
      <c r="I705" s="30" t="n"/>
      <c r="J705" s="23">
        <f>IF(OR($H705="",$I705=""),"",$H705*$I705)</f>
        <v/>
      </c>
      <c r="K705" s="24" t="n"/>
      <c r="L705" s="24" t="n"/>
      <c r="M705" s="29" t="n"/>
      <c r="N705" s="28" t="n"/>
      <c r="O705" s="24" t="n"/>
      <c r="P705" s="24" t="n"/>
      <c r="Q705" s="24" t="n"/>
      <c r="R705" s="24" t="n"/>
      <c r="S705" s="22">
        <f>IF(AND($A705="",$C705=""),"",IF($A705="","Thiếu mã đơn; ","")&amp;IF(COUNTIF($A$2:$A705,$A705)&gt;1,"Trùng mã đơn; ","")&amp;IF(ISNA(MATCH($C705,DATA_MASTER!$D$2:$D$5000,0)),"SĐT chưa đăng ký hội viên; ","")&amp;IF(AND($L705="Đã chuyển khoản",$M705=""),"Thiếu ngày nhận CK; ",""))</f>
        <v/>
      </c>
      <c r="T705" s="24" t="n"/>
    </row>
    <row r="706" ht="14.25" customHeight="1" s="40">
      <c r="A706" s="24" t="n"/>
      <c r="B706" s="29" t="n"/>
      <c r="C706" s="28" t="n"/>
      <c r="D706" s="22">
        <f t="array" ref="D706">IF($C706="","",IFERROR(INDEX(DATA_MASTER!$C$2:$C$5000,MATCH($C706,DATA_MASTER!$D$2:$D$5000,0)),""))</f>
        <v/>
      </c>
      <c r="E706" s="22">
        <f t="array" ref="E706">IF($C706="","",IFERROR(INDEX(DATA_MASTER!$I$2:$I$5000,MATCH($C706,DATA_MASTER!$D$2:$D$5000,0)),""))</f>
        <v/>
      </c>
      <c r="F706" s="22">
        <f t="array" ref="F706">IF($C706="","",IFERROR(INDEX(DATA_MASTER!$L$2:$L$5000,MATCH($C706,DATA_MASTER!$D$2:$D$5000,0)),""))</f>
        <v/>
      </c>
      <c r="G706" s="24" t="n"/>
      <c r="H706" s="24" t="n"/>
      <c r="I706" s="30" t="n"/>
      <c r="J706" s="23">
        <f>IF(OR($H706="",$I706=""),"",$H706*$I706)</f>
        <v/>
      </c>
      <c r="K706" s="24" t="n"/>
      <c r="L706" s="24" t="n"/>
      <c r="M706" s="29" t="n"/>
      <c r="N706" s="28" t="n"/>
      <c r="O706" s="24" t="n"/>
      <c r="P706" s="24" t="n"/>
      <c r="Q706" s="24" t="n"/>
      <c r="R706" s="24" t="n"/>
      <c r="S706" s="22">
        <f>IF(AND($A706="",$C706=""),"",IF($A706="","Thiếu mã đơn; ","")&amp;IF(COUNTIF($A$2:$A706,$A706)&gt;1,"Trùng mã đơn; ","")&amp;IF(ISNA(MATCH($C706,DATA_MASTER!$D$2:$D$5000,0)),"SĐT chưa đăng ký hội viên; ","")&amp;IF(AND($L706="Đã chuyển khoản",$M706=""),"Thiếu ngày nhận CK; ",""))</f>
        <v/>
      </c>
      <c r="T706" s="24" t="n"/>
    </row>
    <row r="707" ht="14.25" customHeight="1" s="40">
      <c r="A707" s="24" t="n"/>
      <c r="B707" s="29" t="n"/>
      <c r="C707" s="28" t="n"/>
      <c r="D707" s="22">
        <f t="array" ref="D707">IF($C707="","",IFERROR(INDEX(DATA_MASTER!$C$2:$C$5000,MATCH($C707,DATA_MASTER!$D$2:$D$5000,0)),""))</f>
        <v/>
      </c>
      <c r="E707" s="22">
        <f t="array" ref="E707">IF($C707="","",IFERROR(INDEX(DATA_MASTER!$I$2:$I$5000,MATCH($C707,DATA_MASTER!$D$2:$D$5000,0)),""))</f>
        <v/>
      </c>
      <c r="F707" s="22">
        <f t="array" ref="F707">IF($C707="","",IFERROR(INDEX(DATA_MASTER!$L$2:$L$5000,MATCH($C707,DATA_MASTER!$D$2:$D$5000,0)),""))</f>
        <v/>
      </c>
      <c r="G707" s="24" t="n"/>
      <c r="H707" s="24" t="n"/>
      <c r="I707" s="30" t="n"/>
      <c r="J707" s="23">
        <f>IF(OR($H707="",$I707=""),"",$H707*$I707)</f>
        <v/>
      </c>
      <c r="K707" s="24" t="n"/>
      <c r="L707" s="24" t="n"/>
      <c r="M707" s="29" t="n"/>
      <c r="N707" s="28" t="n"/>
      <c r="O707" s="24" t="n"/>
      <c r="P707" s="24" t="n"/>
      <c r="Q707" s="24" t="n"/>
      <c r="R707" s="24" t="n"/>
      <c r="S707" s="22">
        <f>IF(AND($A707="",$C707=""),"",IF($A707="","Thiếu mã đơn; ","")&amp;IF(COUNTIF($A$2:$A707,$A707)&gt;1,"Trùng mã đơn; ","")&amp;IF(ISNA(MATCH($C707,DATA_MASTER!$D$2:$D$5000,0)),"SĐT chưa đăng ký hội viên; ","")&amp;IF(AND($L707="Đã chuyển khoản",$M707=""),"Thiếu ngày nhận CK; ",""))</f>
        <v/>
      </c>
      <c r="T707" s="24" t="n"/>
    </row>
    <row r="708" ht="14.25" customHeight="1" s="40">
      <c r="A708" s="24" t="n"/>
      <c r="B708" s="29" t="n"/>
      <c r="C708" s="28" t="n"/>
      <c r="D708" s="22">
        <f t="array" ref="D708">IF($C708="","",IFERROR(INDEX(DATA_MASTER!$C$2:$C$5000,MATCH($C708,DATA_MASTER!$D$2:$D$5000,0)),""))</f>
        <v/>
      </c>
      <c r="E708" s="22">
        <f t="array" ref="E708">IF($C708="","",IFERROR(INDEX(DATA_MASTER!$I$2:$I$5000,MATCH($C708,DATA_MASTER!$D$2:$D$5000,0)),""))</f>
        <v/>
      </c>
      <c r="F708" s="22">
        <f t="array" ref="F708">IF($C708="","",IFERROR(INDEX(DATA_MASTER!$L$2:$L$5000,MATCH($C708,DATA_MASTER!$D$2:$D$5000,0)),""))</f>
        <v/>
      </c>
      <c r="G708" s="24" t="n"/>
      <c r="H708" s="24" t="n"/>
      <c r="I708" s="30" t="n"/>
      <c r="J708" s="23">
        <f>IF(OR($H708="",$I708=""),"",$H708*$I708)</f>
        <v/>
      </c>
      <c r="K708" s="24" t="n"/>
      <c r="L708" s="24" t="n"/>
      <c r="M708" s="29" t="n"/>
      <c r="N708" s="28" t="n"/>
      <c r="O708" s="24" t="n"/>
      <c r="P708" s="24" t="n"/>
      <c r="Q708" s="24" t="n"/>
      <c r="R708" s="24" t="n"/>
      <c r="S708" s="22">
        <f>IF(AND($A708="",$C708=""),"",IF($A708="","Thiếu mã đơn; ","")&amp;IF(COUNTIF($A$2:$A708,$A708)&gt;1,"Trùng mã đơn; ","")&amp;IF(ISNA(MATCH($C708,DATA_MASTER!$D$2:$D$5000,0)),"SĐT chưa đăng ký hội viên; ","")&amp;IF(AND($L708="Đã chuyển khoản",$M708=""),"Thiếu ngày nhận CK; ",""))</f>
        <v/>
      </c>
      <c r="T708" s="24" t="n"/>
    </row>
    <row r="709" ht="14.25" customHeight="1" s="40">
      <c r="A709" s="24" t="n"/>
      <c r="B709" s="29" t="n"/>
      <c r="C709" s="28" t="n"/>
      <c r="D709" s="22">
        <f t="array" ref="D709">IF($C709="","",IFERROR(INDEX(DATA_MASTER!$C$2:$C$5000,MATCH($C709,DATA_MASTER!$D$2:$D$5000,0)),""))</f>
        <v/>
      </c>
      <c r="E709" s="22">
        <f t="array" ref="E709">IF($C709="","",IFERROR(INDEX(DATA_MASTER!$I$2:$I$5000,MATCH($C709,DATA_MASTER!$D$2:$D$5000,0)),""))</f>
        <v/>
      </c>
      <c r="F709" s="22">
        <f t="array" ref="F709">IF($C709="","",IFERROR(INDEX(DATA_MASTER!$L$2:$L$5000,MATCH($C709,DATA_MASTER!$D$2:$D$5000,0)),""))</f>
        <v/>
      </c>
      <c r="G709" s="24" t="n"/>
      <c r="H709" s="24" t="n"/>
      <c r="I709" s="30" t="n"/>
      <c r="J709" s="23">
        <f>IF(OR($H709="",$I709=""),"",$H709*$I709)</f>
        <v/>
      </c>
      <c r="K709" s="24" t="n"/>
      <c r="L709" s="24" t="n"/>
      <c r="M709" s="29" t="n"/>
      <c r="N709" s="28" t="n"/>
      <c r="O709" s="24" t="n"/>
      <c r="P709" s="24" t="n"/>
      <c r="Q709" s="24" t="n"/>
      <c r="R709" s="24" t="n"/>
      <c r="S709" s="22">
        <f>IF(AND($A709="",$C709=""),"",IF($A709="","Thiếu mã đơn; ","")&amp;IF(COUNTIF($A$2:$A709,$A709)&gt;1,"Trùng mã đơn; ","")&amp;IF(ISNA(MATCH($C709,DATA_MASTER!$D$2:$D$5000,0)),"SĐT chưa đăng ký hội viên; ","")&amp;IF(AND($L709="Đã chuyển khoản",$M709=""),"Thiếu ngày nhận CK; ",""))</f>
        <v/>
      </c>
      <c r="T709" s="24" t="n"/>
    </row>
    <row r="710" ht="14.25" customHeight="1" s="40">
      <c r="A710" s="24" t="n"/>
      <c r="B710" s="29" t="n"/>
      <c r="C710" s="28" t="n"/>
      <c r="D710" s="22">
        <f t="array" ref="D710">IF($C710="","",IFERROR(INDEX(DATA_MASTER!$C$2:$C$5000,MATCH($C710,DATA_MASTER!$D$2:$D$5000,0)),""))</f>
        <v/>
      </c>
      <c r="E710" s="22">
        <f t="array" ref="E710">IF($C710="","",IFERROR(INDEX(DATA_MASTER!$I$2:$I$5000,MATCH($C710,DATA_MASTER!$D$2:$D$5000,0)),""))</f>
        <v/>
      </c>
      <c r="F710" s="22">
        <f t="array" ref="F710">IF($C710="","",IFERROR(INDEX(DATA_MASTER!$L$2:$L$5000,MATCH($C710,DATA_MASTER!$D$2:$D$5000,0)),""))</f>
        <v/>
      </c>
      <c r="G710" s="24" t="n"/>
      <c r="H710" s="24" t="n"/>
      <c r="I710" s="30" t="n"/>
      <c r="J710" s="23">
        <f>IF(OR($H710="",$I710=""),"",$H710*$I710)</f>
        <v/>
      </c>
      <c r="K710" s="24" t="n"/>
      <c r="L710" s="24" t="n"/>
      <c r="M710" s="29" t="n"/>
      <c r="N710" s="28" t="n"/>
      <c r="O710" s="24" t="n"/>
      <c r="P710" s="24" t="n"/>
      <c r="Q710" s="24" t="n"/>
      <c r="R710" s="24" t="n"/>
      <c r="S710" s="22">
        <f>IF(AND($A710="",$C710=""),"",IF($A710="","Thiếu mã đơn; ","")&amp;IF(COUNTIF($A$2:$A710,$A710)&gt;1,"Trùng mã đơn; ","")&amp;IF(ISNA(MATCH($C710,DATA_MASTER!$D$2:$D$5000,0)),"SĐT chưa đăng ký hội viên; ","")&amp;IF(AND($L710="Đã chuyển khoản",$M710=""),"Thiếu ngày nhận CK; ",""))</f>
        <v/>
      </c>
      <c r="T710" s="24" t="n"/>
    </row>
    <row r="711" ht="14.25" customHeight="1" s="40">
      <c r="A711" s="24" t="n"/>
      <c r="B711" s="29" t="n"/>
      <c r="C711" s="28" t="n"/>
      <c r="D711" s="22">
        <f t="array" ref="D711">IF($C711="","",IFERROR(INDEX(DATA_MASTER!$C$2:$C$5000,MATCH($C711,DATA_MASTER!$D$2:$D$5000,0)),""))</f>
        <v/>
      </c>
      <c r="E711" s="22">
        <f t="array" ref="E711">IF($C711="","",IFERROR(INDEX(DATA_MASTER!$I$2:$I$5000,MATCH($C711,DATA_MASTER!$D$2:$D$5000,0)),""))</f>
        <v/>
      </c>
      <c r="F711" s="22">
        <f t="array" ref="F711">IF($C711="","",IFERROR(INDEX(DATA_MASTER!$L$2:$L$5000,MATCH($C711,DATA_MASTER!$D$2:$D$5000,0)),""))</f>
        <v/>
      </c>
      <c r="G711" s="24" t="n"/>
      <c r="H711" s="24" t="n"/>
      <c r="I711" s="30" t="n"/>
      <c r="J711" s="23">
        <f>IF(OR($H711="",$I711=""),"",$H711*$I711)</f>
        <v/>
      </c>
      <c r="K711" s="24" t="n"/>
      <c r="L711" s="24" t="n"/>
      <c r="M711" s="29" t="n"/>
      <c r="N711" s="28" t="n"/>
      <c r="O711" s="24" t="n"/>
      <c r="P711" s="24" t="n"/>
      <c r="Q711" s="24" t="n"/>
      <c r="R711" s="24" t="n"/>
      <c r="S711" s="22">
        <f>IF(AND($A711="",$C711=""),"",IF($A711="","Thiếu mã đơn; ","")&amp;IF(COUNTIF($A$2:$A711,$A711)&gt;1,"Trùng mã đơn; ","")&amp;IF(ISNA(MATCH($C711,DATA_MASTER!$D$2:$D$5000,0)),"SĐT chưa đăng ký hội viên; ","")&amp;IF(AND($L711="Đã chuyển khoản",$M711=""),"Thiếu ngày nhận CK; ",""))</f>
        <v/>
      </c>
      <c r="T711" s="24" t="n"/>
    </row>
    <row r="712" ht="14.25" customHeight="1" s="40">
      <c r="A712" s="24" t="n"/>
      <c r="B712" s="29" t="n"/>
      <c r="C712" s="28" t="n"/>
      <c r="D712" s="22">
        <f t="array" ref="D712">IF($C712="","",IFERROR(INDEX(DATA_MASTER!$C$2:$C$5000,MATCH($C712,DATA_MASTER!$D$2:$D$5000,0)),""))</f>
        <v/>
      </c>
      <c r="E712" s="22">
        <f t="array" ref="E712">IF($C712="","",IFERROR(INDEX(DATA_MASTER!$I$2:$I$5000,MATCH($C712,DATA_MASTER!$D$2:$D$5000,0)),""))</f>
        <v/>
      </c>
      <c r="F712" s="22">
        <f t="array" ref="F712">IF($C712="","",IFERROR(INDEX(DATA_MASTER!$L$2:$L$5000,MATCH($C712,DATA_MASTER!$D$2:$D$5000,0)),""))</f>
        <v/>
      </c>
      <c r="G712" s="24" t="n"/>
      <c r="H712" s="24" t="n"/>
      <c r="I712" s="30" t="n"/>
      <c r="J712" s="23">
        <f>IF(OR($H712="",$I712=""),"",$H712*$I712)</f>
        <v/>
      </c>
      <c r="K712" s="24" t="n"/>
      <c r="L712" s="24" t="n"/>
      <c r="M712" s="29" t="n"/>
      <c r="N712" s="28" t="n"/>
      <c r="O712" s="24" t="n"/>
      <c r="P712" s="24" t="n"/>
      <c r="Q712" s="24" t="n"/>
      <c r="R712" s="24" t="n"/>
      <c r="S712" s="22">
        <f>IF(AND($A712="",$C712=""),"",IF($A712="","Thiếu mã đơn; ","")&amp;IF(COUNTIF($A$2:$A712,$A712)&gt;1,"Trùng mã đơn; ","")&amp;IF(ISNA(MATCH($C712,DATA_MASTER!$D$2:$D$5000,0)),"SĐT chưa đăng ký hội viên; ","")&amp;IF(AND($L712="Đã chuyển khoản",$M712=""),"Thiếu ngày nhận CK; ",""))</f>
        <v/>
      </c>
      <c r="T712" s="24" t="n"/>
    </row>
    <row r="713" ht="14.25" customHeight="1" s="40">
      <c r="A713" s="24" t="n"/>
      <c r="B713" s="29" t="n"/>
      <c r="C713" s="28" t="n"/>
      <c r="D713" s="22">
        <f t="array" ref="D713">IF($C713="","",IFERROR(INDEX(DATA_MASTER!$C$2:$C$5000,MATCH($C713,DATA_MASTER!$D$2:$D$5000,0)),""))</f>
        <v/>
      </c>
      <c r="E713" s="22">
        <f t="array" ref="E713">IF($C713="","",IFERROR(INDEX(DATA_MASTER!$I$2:$I$5000,MATCH($C713,DATA_MASTER!$D$2:$D$5000,0)),""))</f>
        <v/>
      </c>
      <c r="F713" s="22">
        <f t="array" ref="F713">IF($C713="","",IFERROR(INDEX(DATA_MASTER!$L$2:$L$5000,MATCH($C713,DATA_MASTER!$D$2:$D$5000,0)),""))</f>
        <v/>
      </c>
      <c r="G713" s="24" t="n"/>
      <c r="H713" s="24" t="n"/>
      <c r="I713" s="30" t="n"/>
      <c r="J713" s="23">
        <f>IF(OR($H713="",$I713=""),"",$H713*$I713)</f>
        <v/>
      </c>
      <c r="K713" s="24" t="n"/>
      <c r="L713" s="24" t="n"/>
      <c r="M713" s="29" t="n"/>
      <c r="N713" s="28" t="n"/>
      <c r="O713" s="24" t="n"/>
      <c r="P713" s="24" t="n"/>
      <c r="Q713" s="24" t="n"/>
      <c r="R713" s="24" t="n"/>
      <c r="S713" s="22">
        <f>IF(AND($A713="",$C713=""),"",IF($A713="","Thiếu mã đơn; ","")&amp;IF(COUNTIF($A$2:$A713,$A713)&gt;1,"Trùng mã đơn; ","")&amp;IF(ISNA(MATCH($C713,DATA_MASTER!$D$2:$D$5000,0)),"SĐT chưa đăng ký hội viên; ","")&amp;IF(AND($L713="Đã chuyển khoản",$M713=""),"Thiếu ngày nhận CK; ",""))</f>
        <v/>
      </c>
      <c r="T713" s="24" t="n"/>
    </row>
    <row r="714" ht="14.25" customHeight="1" s="40">
      <c r="A714" s="24" t="n"/>
      <c r="B714" s="29" t="n"/>
      <c r="C714" s="28" t="n"/>
      <c r="D714" s="22">
        <f t="array" ref="D714">IF($C714="","",IFERROR(INDEX(DATA_MASTER!$C$2:$C$5000,MATCH($C714,DATA_MASTER!$D$2:$D$5000,0)),""))</f>
        <v/>
      </c>
      <c r="E714" s="22">
        <f t="array" ref="E714">IF($C714="","",IFERROR(INDEX(DATA_MASTER!$I$2:$I$5000,MATCH($C714,DATA_MASTER!$D$2:$D$5000,0)),""))</f>
        <v/>
      </c>
      <c r="F714" s="22">
        <f t="array" ref="F714">IF($C714="","",IFERROR(INDEX(DATA_MASTER!$L$2:$L$5000,MATCH($C714,DATA_MASTER!$D$2:$D$5000,0)),""))</f>
        <v/>
      </c>
      <c r="G714" s="24" t="n"/>
      <c r="H714" s="24" t="n"/>
      <c r="I714" s="30" t="n"/>
      <c r="J714" s="23">
        <f>IF(OR($H714="",$I714=""),"",$H714*$I714)</f>
        <v/>
      </c>
      <c r="K714" s="24" t="n"/>
      <c r="L714" s="24" t="n"/>
      <c r="M714" s="29" t="n"/>
      <c r="N714" s="28" t="n"/>
      <c r="O714" s="24" t="n"/>
      <c r="P714" s="24" t="n"/>
      <c r="Q714" s="24" t="n"/>
      <c r="R714" s="24" t="n"/>
      <c r="S714" s="22">
        <f>IF(AND($A714="",$C714=""),"",IF($A714="","Thiếu mã đơn; ","")&amp;IF(COUNTIF($A$2:$A714,$A714)&gt;1,"Trùng mã đơn; ","")&amp;IF(ISNA(MATCH($C714,DATA_MASTER!$D$2:$D$5000,0)),"SĐT chưa đăng ký hội viên; ","")&amp;IF(AND($L714="Đã chuyển khoản",$M714=""),"Thiếu ngày nhận CK; ",""))</f>
        <v/>
      </c>
      <c r="T714" s="24" t="n"/>
    </row>
    <row r="715" ht="14.25" customHeight="1" s="40">
      <c r="A715" s="24" t="n"/>
      <c r="B715" s="29" t="n"/>
      <c r="C715" s="28" t="n"/>
      <c r="D715" s="22">
        <f t="array" ref="D715">IF($C715="","",IFERROR(INDEX(DATA_MASTER!$C$2:$C$5000,MATCH($C715,DATA_MASTER!$D$2:$D$5000,0)),""))</f>
        <v/>
      </c>
      <c r="E715" s="22">
        <f t="array" ref="E715">IF($C715="","",IFERROR(INDEX(DATA_MASTER!$I$2:$I$5000,MATCH($C715,DATA_MASTER!$D$2:$D$5000,0)),""))</f>
        <v/>
      </c>
      <c r="F715" s="22">
        <f t="array" ref="F715">IF($C715="","",IFERROR(INDEX(DATA_MASTER!$L$2:$L$5000,MATCH($C715,DATA_MASTER!$D$2:$D$5000,0)),""))</f>
        <v/>
      </c>
      <c r="G715" s="24" t="n"/>
      <c r="H715" s="24" t="n"/>
      <c r="I715" s="30" t="n"/>
      <c r="J715" s="23">
        <f>IF(OR($H715="",$I715=""),"",$H715*$I715)</f>
        <v/>
      </c>
      <c r="K715" s="24" t="n"/>
      <c r="L715" s="24" t="n"/>
      <c r="M715" s="29" t="n"/>
      <c r="N715" s="28" t="n"/>
      <c r="O715" s="24" t="n"/>
      <c r="P715" s="24" t="n"/>
      <c r="Q715" s="24" t="n"/>
      <c r="R715" s="24" t="n"/>
      <c r="S715" s="22">
        <f>IF(AND($A715="",$C715=""),"",IF($A715="","Thiếu mã đơn; ","")&amp;IF(COUNTIF($A$2:$A715,$A715)&gt;1,"Trùng mã đơn; ","")&amp;IF(ISNA(MATCH($C715,DATA_MASTER!$D$2:$D$5000,0)),"SĐT chưa đăng ký hội viên; ","")&amp;IF(AND($L715="Đã chuyển khoản",$M715=""),"Thiếu ngày nhận CK; ",""))</f>
        <v/>
      </c>
      <c r="T715" s="24" t="n"/>
    </row>
    <row r="716" ht="14.25" customHeight="1" s="40">
      <c r="A716" s="24" t="n"/>
      <c r="B716" s="29" t="n"/>
      <c r="C716" s="28" t="n"/>
      <c r="D716" s="22">
        <f t="array" ref="D716">IF($C716="","",IFERROR(INDEX(DATA_MASTER!$C$2:$C$5000,MATCH($C716,DATA_MASTER!$D$2:$D$5000,0)),""))</f>
        <v/>
      </c>
      <c r="E716" s="22">
        <f t="array" ref="E716">IF($C716="","",IFERROR(INDEX(DATA_MASTER!$I$2:$I$5000,MATCH($C716,DATA_MASTER!$D$2:$D$5000,0)),""))</f>
        <v/>
      </c>
      <c r="F716" s="22">
        <f t="array" ref="F716">IF($C716="","",IFERROR(INDEX(DATA_MASTER!$L$2:$L$5000,MATCH($C716,DATA_MASTER!$D$2:$D$5000,0)),""))</f>
        <v/>
      </c>
      <c r="G716" s="24" t="n"/>
      <c r="H716" s="24" t="n"/>
      <c r="I716" s="30" t="n"/>
      <c r="J716" s="23">
        <f>IF(OR($H716="",$I716=""),"",$H716*$I716)</f>
        <v/>
      </c>
      <c r="K716" s="24" t="n"/>
      <c r="L716" s="24" t="n"/>
      <c r="M716" s="29" t="n"/>
      <c r="N716" s="28" t="n"/>
      <c r="O716" s="24" t="n"/>
      <c r="P716" s="24" t="n"/>
      <c r="Q716" s="24" t="n"/>
      <c r="R716" s="24" t="n"/>
      <c r="S716" s="22">
        <f>IF(AND($A716="",$C716=""),"",IF($A716="","Thiếu mã đơn; ","")&amp;IF(COUNTIF($A$2:$A716,$A716)&gt;1,"Trùng mã đơn; ","")&amp;IF(ISNA(MATCH($C716,DATA_MASTER!$D$2:$D$5000,0)),"SĐT chưa đăng ký hội viên; ","")&amp;IF(AND($L716="Đã chuyển khoản",$M716=""),"Thiếu ngày nhận CK; ",""))</f>
        <v/>
      </c>
      <c r="T716" s="24" t="n"/>
    </row>
    <row r="717" ht="14.25" customHeight="1" s="40">
      <c r="A717" s="24" t="n"/>
      <c r="B717" s="29" t="n"/>
      <c r="C717" s="28" t="n"/>
      <c r="D717" s="22">
        <f t="array" ref="D717">IF($C717="","",IFERROR(INDEX(DATA_MASTER!$C$2:$C$5000,MATCH($C717,DATA_MASTER!$D$2:$D$5000,0)),""))</f>
        <v/>
      </c>
      <c r="E717" s="22">
        <f t="array" ref="E717">IF($C717="","",IFERROR(INDEX(DATA_MASTER!$I$2:$I$5000,MATCH($C717,DATA_MASTER!$D$2:$D$5000,0)),""))</f>
        <v/>
      </c>
      <c r="F717" s="22">
        <f t="array" ref="F717">IF($C717="","",IFERROR(INDEX(DATA_MASTER!$L$2:$L$5000,MATCH($C717,DATA_MASTER!$D$2:$D$5000,0)),""))</f>
        <v/>
      </c>
      <c r="G717" s="24" t="n"/>
      <c r="H717" s="24" t="n"/>
      <c r="I717" s="30" t="n"/>
      <c r="J717" s="23">
        <f>IF(OR($H717="",$I717=""),"",$H717*$I717)</f>
        <v/>
      </c>
      <c r="K717" s="24" t="n"/>
      <c r="L717" s="24" t="n"/>
      <c r="M717" s="29" t="n"/>
      <c r="N717" s="28" t="n"/>
      <c r="O717" s="24" t="n"/>
      <c r="P717" s="24" t="n"/>
      <c r="Q717" s="24" t="n"/>
      <c r="R717" s="24" t="n"/>
      <c r="S717" s="22">
        <f>IF(AND($A717="",$C717=""),"",IF($A717="","Thiếu mã đơn; ","")&amp;IF(COUNTIF($A$2:$A717,$A717)&gt;1,"Trùng mã đơn; ","")&amp;IF(ISNA(MATCH($C717,DATA_MASTER!$D$2:$D$5000,0)),"SĐT chưa đăng ký hội viên; ","")&amp;IF(AND($L717="Đã chuyển khoản",$M717=""),"Thiếu ngày nhận CK; ",""))</f>
        <v/>
      </c>
      <c r="T717" s="24" t="n"/>
    </row>
    <row r="718" ht="14.25" customHeight="1" s="40">
      <c r="A718" s="24" t="n"/>
      <c r="B718" s="29" t="n"/>
      <c r="C718" s="28" t="n"/>
      <c r="D718" s="22">
        <f t="array" ref="D718">IF($C718="","",IFERROR(INDEX(DATA_MASTER!$C$2:$C$5000,MATCH($C718,DATA_MASTER!$D$2:$D$5000,0)),""))</f>
        <v/>
      </c>
      <c r="E718" s="22">
        <f t="array" ref="E718">IF($C718="","",IFERROR(INDEX(DATA_MASTER!$I$2:$I$5000,MATCH($C718,DATA_MASTER!$D$2:$D$5000,0)),""))</f>
        <v/>
      </c>
      <c r="F718" s="22">
        <f t="array" ref="F718">IF($C718="","",IFERROR(INDEX(DATA_MASTER!$L$2:$L$5000,MATCH($C718,DATA_MASTER!$D$2:$D$5000,0)),""))</f>
        <v/>
      </c>
      <c r="G718" s="24" t="n"/>
      <c r="H718" s="24" t="n"/>
      <c r="I718" s="30" t="n"/>
      <c r="J718" s="23">
        <f>IF(OR($H718="",$I718=""),"",$H718*$I718)</f>
        <v/>
      </c>
      <c r="K718" s="24" t="n"/>
      <c r="L718" s="24" t="n"/>
      <c r="M718" s="29" t="n"/>
      <c r="N718" s="28" t="n"/>
      <c r="O718" s="24" t="n"/>
      <c r="P718" s="24" t="n"/>
      <c r="Q718" s="24" t="n"/>
      <c r="R718" s="24" t="n"/>
      <c r="S718" s="22">
        <f>IF(AND($A718="",$C718=""),"",IF($A718="","Thiếu mã đơn; ","")&amp;IF(COUNTIF($A$2:$A718,$A718)&gt;1,"Trùng mã đơn; ","")&amp;IF(ISNA(MATCH($C718,DATA_MASTER!$D$2:$D$5000,0)),"SĐT chưa đăng ký hội viên; ","")&amp;IF(AND($L718="Đã chuyển khoản",$M718=""),"Thiếu ngày nhận CK; ",""))</f>
        <v/>
      </c>
      <c r="T718" s="24" t="n"/>
    </row>
    <row r="719" ht="14.25" customHeight="1" s="40">
      <c r="A719" s="24" t="n"/>
      <c r="B719" s="29" t="n"/>
      <c r="C719" s="28" t="n"/>
      <c r="D719" s="22">
        <f t="array" ref="D719">IF($C719="","",IFERROR(INDEX(DATA_MASTER!$C$2:$C$5000,MATCH($C719,DATA_MASTER!$D$2:$D$5000,0)),""))</f>
        <v/>
      </c>
      <c r="E719" s="22">
        <f t="array" ref="E719">IF($C719="","",IFERROR(INDEX(DATA_MASTER!$I$2:$I$5000,MATCH($C719,DATA_MASTER!$D$2:$D$5000,0)),""))</f>
        <v/>
      </c>
      <c r="F719" s="22">
        <f t="array" ref="F719">IF($C719="","",IFERROR(INDEX(DATA_MASTER!$L$2:$L$5000,MATCH($C719,DATA_MASTER!$D$2:$D$5000,0)),""))</f>
        <v/>
      </c>
      <c r="G719" s="24" t="n"/>
      <c r="H719" s="24" t="n"/>
      <c r="I719" s="30" t="n"/>
      <c r="J719" s="23">
        <f>IF(OR($H719="",$I719=""),"",$H719*$I719)</f>
        <v/>
      </c>
      <c r="K719" s="24" t="n"/>
      <c r="L719" s="24" t="n"/>
      <c r="M719" s="29" t="n"/>
      <c r="N719" s="28" t="n"/>
      <c r="O719" s="24" t="n"/>
      <c r="P719" s="24" t="n"/>
      <c r="Q719" s="24" t="n"/>
      <c r="R719" s="24" t="n"/>
      <c r="S719" s="22">
        <f>IF(AND($A719="",$C719=""),"",IF($A719="","Thiếu mã đơn; ","")&amp;IF(COUNTIF($A$2:$A719,$A719)&gt;1,"Trùng mã đơn; ","")&amp;IF(ISNA(MATCH($C719,DATA_MASTER!$D$2:$D$5000,0)),"SĐT chưa đăng ký hội viên; ","")&amp;IF(AND($L719="Đã chuyển khoản",$M719=""),"Thiếu ngày nhận CK; ",""))</f>
        <v/>
      </c>
      <c r="T719" s="24" t="n"/>
    </row>
    <row r="720" ht="14.25" customHeight="1" s="40">
      <c r="A720" s="24" t="n"/>
      <c r="B720" s="29" t="n"/>
      <c r="C720" s="28" t="n"/>
      <c r="D720" s="22">
        <f t="array" ref="D720">IF($C720="","",IFERROR(INDEX(DATA_MASTER!$C$2:$C$5000,MATCH($C720,DATA_MASTER!$D$2:$D$5000,0)),""))</f>
        <v/>
      </c>
      <c r="E720" s="22">
        <f t="array" ref="E720">IF($C720="","",IFERROR(INDEX(DATA_MASTER!$I$2:$I$5000,MATCH($C720,DATA_MASTER!$D$2:$D$5000,0)),""))</f>
        <v/>
      </c>
      <c r="F720" s="22">
        <f t="array" ref="F720">IF($C720="","",IFERROR(INDEX(DATA_MASTER!$L$2:$L$5000,MATCH($C720,DATA_MASTER!$D$2:$D$5000,0)),""))</f>
        <v/>
      </c>
      <c r="G720" s="24" t="n"/>
      <c r="H720" s="24" t="n"/>
      <c r="I720" s="30" t="n"/>
      <c r="J720" s="23">
        <f>IF(OR($H720="",$I720=""),"",$H720*$I720)</f>
        <v/>
      </c>
      <c r="K720" s="24" t="n"/>
      <c r="L720" s="24" t="n"/>
      <c r="M720" s="29" t="n"/>
      <c r="N720" s="28" t="n"/>
      <c r="O720" s="24" t="n"/>
      <c r="P720" s="24" t="n"/>
      <c r="Q720" s="24" t="n"/>
      <c r="R720" s="24" t="n"/>
      <c r="S720" s="22">
        <f>IF(AND($A720="",$C720=""),"",IF($A720="","Thiếu mã đơn; ","")&amp;IF(COUNTIF($A$2:$A720,$A720)&gt;1,"Trùng mã đơn; ","")&amp;IF(ISNA(MATCH($C720,DATA_MASTER!$D$2:$D$5000,0)),"SĐT chưa đăng ký hội viên; ","")&amp;IF(AND($L720="Đã chuyển khoản",$M720=""),"Thiếu ngày nhận CK; ",""))</f>
        <v/>
      </c>
      <c r="T720" s="24" t="n"/>
    </row>
    <row r="721" ht="14.25" customHeight="1" s="40">
      <c r="A721" s="24" t="n"/>
      <c r="B721" s="29" t="n"/>
      <c r="C721" s="28" t="n"/>
      <c r="D721" s="22">
        <f t="array" ref="D721">IF($C721="","",IFERROR(INDEX(DATA_MASTER!$C$2:$C$5000,MATCH($C721,DATA_MASTER!$D$2:$D$5000,0)),""))</f>
        <v/>
      </c>
      <c r="E721" s="22">
        <f t="array" ref="E721">IF($C721="","",IFERROR(INDEX(DATA_MASTER!$I$2:$I$5000,MATCH($C721,DATA_MASTER!$D$2:$D$5000,0)),""))</f>
        <v/>
      </c>
      <c r="F721" s="22">
        <f t="array" ref="F721">IF($C721="","",IFERROR(INDEX(DATA_MASTER!$L$2:$L$5000,MATCH($C721,DATA_MASTER!$D$2:$D$5000,0)),""))</f>
        <v/>
      </c>
      <c r="G721" s="24" t="n"/>
      <c r="H721" s="24" t="n"/>
      <c r="I721" s="30" t="n"/>
      <c r="J721" s="23">
        <f>IF(OR($H721="",$I721=""),"",$H721*$I721)</f>
        <v/>
      </c>
      <c r="K721" s="24" t="n"/>
      <c r="L721" s="24" t="n"/>
      <c r="M721" s="29" t="n"/>
      <c r="N721" s="28" t="n"/>
      <c r="O721" s="24" t="n"/>
      <c r="P721" s="24" t="n"/>
      <c r="Q721" s="24" t="n"/>
      <c r="R721" s="24" t="n"/>
      <c r="S721" s="22">
        <f>IF(AND($A721="",$C721=""),"",IF($A721="","Thiếu mã đơn; ","")&amp;IF(COUNTIF($A$2:$A721,$A721)&gt;1,"Trùng mã đơn; ","")&amp;IF(ISNA(MATCH($C721,DATA_MASTER!$D$2:$D$5000,0)),"SĐT chưa đăng ký hội viên; ","")&amp;IF(AND($L721="Đã chuyển khoản",$M721=""),"Thiếu ngày nhận CK; ",""))</f>
        <v/>
      </c>
      <c r="T721" s="24" t="n"/>
    </row>
    <row r="722" ht="14.25" customHeight="1" s="40">
      <c r="A722" s="24" t="n"/>
      <c r="B722" s="29" t="n"/>
      <c r="C722" s="28" t="n"/>
      <c r="D722" s="22">
        <f t="array" ref="D722">IF($C722="","",IFERROR(INDEX(DATA_MASTER!$C$2:$C$5000,MATCH($C722,DATA_MASTER!$D$2:$D$5000,0)),""))</f>
        <v/>
      </c>
      <c r="E722" s="22">
        <f t="array" ref="E722">IF($C722="","",IFERROR(INDEX(DATA_MASTER!$I$2:$I$5000,MATCH($C722,DATA_MASTER!$D$2:$D$5000,0)),""))</f>
        <v/>
      </c>
      <c r="F722" s="22">
        <f t="array" ref="F722">IF($C722="","",IFERROR(INDEX(DATA_MASTER!$L$2:$L$5000,MATCH($C722,DATA_MASTER!$D$2:$D$5000,0)),""))</f>
        <v/>
      </c>
      <c r="G722" s="24" t="n"/>
      <c r="H722" s="24" t="n"/>
      <c r="I722" s="30" t="n"/>
      <c r="J722" s="23">
        <f>IF(OR($H722="",$I722=""),"",$H722*$I722)</f>
        <v/>
      </c>
      <c r="K722" s="24" t="n"/>
      <c r="L722" s="24" t="n"/>
      <c r="M722" s="29" t="n"/>
      <c r="N722" s="28" t="n"/>
      <c r="O722" s="24" t="n"/>
      <c r="P722" s="24" t="n"/>
      <c r="Q722" s="24" t="n"/>
      <c r="R722" s="24" t="n"/>
      <c r="S722" s="22">
        <f>IF(AND($A722="",$C722=""),"",IF($A722="","Thiếu mã đơn; ","")&amp;IF(COUNTIF($A$2:$A722,$A722)&gt;1,"Trùng mã đơn; ","")&amp;IF(ISNA(MATCH($C722,DATA_MASTER!$D$2:$D$5000,0)),"SĐT chưa đăng ký hội viên; ","")&amp;IF(AND($L722="Đã chuyển khoản",$M722=""),"Thiếu ngày nhận CK; ",""))</f>
        <v/>
      </c>
      <c r="T722" s="24" t="n"/>
    </row>
    <row r="723" ht="14.25" customHeight="1" s="40">
      <c r="A723" s="24" t="n"/>
      <c r="B723" s="29" t="n"/>
      <c r="C723" s="28" t="n"/>
      <c r="D723" s="22">
        <f t="array" ref="D723">IF($C723="","",IFERROR(INDEX(DATA_MASTER!$C$2:$C$5000,MATCH($C723,DATA_MASTER!$D$2:$D$5000,0)),""))</f>
        <v/>
      </c>
      <c r="E723" s="22">
        <f t="array" ref="E723">IF($C723="","",IFERROR(INDEX(DATA_MASTER!$I$2:$I$5000,MATCH($C723,DATA_MASTER!$D$2:$D$5000,0)),""))</f>
        <v/>
      </c>
      <c r="F723" s="22">
        <f t="array" ref="F723">IF($C723="","",IFERROR(INDEX(DATA_MASTER!$L$2:$L$5000,MATCH($C723,DATA_MASTER!$D$2:$D$5000,0)),""))</f>
        <v/>
      </c>
      <c r="G723" s="24" t="n"/>
      <c r="H723" s="24" t="n"/>
      <c r="I723" s="30" t="n"/>
      <c r="J723" s="23">
        <f>IF(OR($H723="",$I723=""),"",$H723*$I723)</f>
        <v/>
      </c>
      <c r="K723" s="24" t="n"/>
      <c r="L723" s="24" t="n"/>
      <c r="M723" s="29" t="n"/>
      <c r="N723" s="28" t="n"/>
      <c r="O723" s="24" t="n"/>
      <c r="P723" s="24" t="n"/>
      <c r="Q723" s="24" t="n"/>
      <c r="R723" s="24" t="n"/>
      <c r="S723" s="22">
        <f>IF(AND($A723="",$C723=""),"",IF($A723="","Thiếu mã đơn; ","")&amp;IF(COUNTIF($A$2:$A723,$A723)&gt;1,"Trùng mã đơn; ","")&amp;IF(ISNA(MATCH($C723,DATA_MASTER!$D$2:$D$5000,0)),"SĐT chưa đăng ký hội viên; ","")&amp;IF(AND($L723="Đã chuyển khoản",$M723=""),"Thiếu ngày nhận CK; ",""))</f>
        <v/>
      </c>
      <c r="T723" s="24" t="n"/>
    </row>
    <row r="724" ht="14.25" customHeight="1" s="40">
      <c r="A724" s="24" t="n"/>
      <c r="B724" s="29" t="n"/>
      <c r="C724" s="28" t="n"/>
      <c r="D724" s="22">
        <f t="array" ref="D724">IF($C724="","",IFERROR(INDEX(DATA_MASTER!$C$2:$C$5000,MATCH($C724,DATA_MASTER!$D$2:$D$5000,0)),""))</f>
        <v/>
      </c>
      <c r="E724" s="22">
        <f t="array" ref="E724">IF($C724="","",IFERROR(INDEX(DATA_MASTER!$I$2:$I$5000,MATCH($C724,DATA_MASTER!$D$2:$D$5000,0)),""))</f>
        <v/>
      </c>
      <c r="F724" s="22">
        <f t="array" ref="F724">IF($C724="","",IFERROR(INDEX(DATA_MASTER!$L$2:$L$5000,MATCH($C724,DATA_MASTER!$D$2:$D$5000,0)),""))</f>
        <v/>
      </c>
      <c r="G724" s="24" t="n"/>
      <c r="H724" s="24" t="n"/>
      <c r="I724" s="30" t="n"/>
      <c r="J724" s="23">
        <f>IF(OR($H724="",$I724=""),"",$H724*$I724)</f>
        <v/>
      </c>
      <c r="K724" s="24" t="n"/>
      <c r="L724" s="24" t="n"/>
      <c r="M724" s="29" t="n"/>
      <c r="N724" s="28" t="n"/>
      <c r="O724" s="24" t="n"/>
      <c r="P724" s="24" t="n"/>
      <c r="Q724" s="24" t="n"/>
      <c r="R724" s="24" t="n"/>
      <c r="S724" s="22">
        <f>IF(AND($A724="",$C724=""),"",IF($A724="","Thiếu mã đơn; ","")&amp;IF(COUNTIF($A$2:$A724,$A724)&gt;1,"Trùng mã đơn; ","")&amp;IF(ISNA(MATCH($C724,DATA_MASTER!$D$2:$D$5000,0)),"SĐT chưa đăng ký hội viên; ","")&amp;IF(AND($L724="Đã chuyển khoản",$M724=""),"Thiếu ngày nhận CK; ",""))</f>
        <v/>
      </c>
      <c r="T724" s="24" t="n"/>
    </row>
    <row r="725" ht="14.25" customHeight="1" s="40">
      <c r="A725" s="24" t="n"/>
      <c r="B725" s="29" t="n"/>
      <c r="C725" s="28" t="n"/>
      <c r="D725" s="22">
        <f t="array" ref="D725">IF($C725="","",IFERROR(INDEX(DATA_MASTER!$C$2:$C$5000,MATCH($C725,DATA_MASTER!$D$2:$D$5000,0)),""))</f>
        <v/>
      </c>
      <c r="E725" s="22">
        <f t="array" ref="E725">IF($C725="","",IFERROR(INDEX(DATA_MASTER!$I$2:$I$5000,MATCH($C725,DATA_MASTER!$D$2:$D$5000,0)),""))</f>
        <v/>
      </c>
      <c r="F725" s="22">
        <f t="array" ref="F725">IF($C725="","",IFERROR(INDEX(DATA_MASTER!$L$2:$L$5000,MATCH($C725,DATA_MASTER!$D$2:$D$5000,0)),""))</f>
        <v/>
      </c>
      <c r="G725" s="24" t="n"/>
      <c r="H725" s="24" t="n"/>
      <c r="I725" s="30" t="n"/>
      <c r="J725" s="23">
        <f>IF(OR($H725="",$I725=""),"",$H725*$I725)</f>
        <v/>
      </c>
      <c r="K725" s="24" t="n"/>
      <c r="L725" s="24" t="n"/>
      <c r="M725" s="29" t="n"/>
      <c r="N725" s="28" t="n"/>
      <c r="O725" s="24" t="n"/>
      <c r="P725" s="24" t="n"/>
      <c r="Q725" s="24" t="n"/>
      <c r="R725" s="24" t="n"/>
      <c r="S725" s="22">
        <f>IF(AND($A725="",$C725=""),"",IF($A725="","Thiếu mã đơn; ","")&amp;IF(COUNTIF($A$2:$A725,$A725)&gt;1,"Trùng mã đơn; ","")&amp;IF(ISNA(MATCH($C725,DATA_MASTER!$D$2:$D$5000,0)),"SĐT chưa đăng ký hội viên; ","")&amp;IF(AND($L725="Đã chuyển khoản",$M725=""),"Thiếu ngày nhận CK; ",""))</f>
        <v/>
      </c>
      <c r="T725" s="24" t="n"/>
    </row>
    <row r="726" ht="14.25" customHeight="1" s="40">
      <c r="A726" s="24" t="n"/>
      <c r="B726" s="29" t="n"/>
      <c r="C726" s="28" t="n"/>
      <c r="D726" s="22">
        <f t="array" ref="D726">IF($C726="","",IFERROR(INDEX(DATA_MASTER!$C$2:$C$5000,MATCH($C726,DATA_MASTER!$D$2:$D$5000,0)),""))</f>
        <v/>
      </c>
      <c r="E726" s="22">
        <f t="array" ref="E726">IF($C726="","",IFERROR(INDEX(DATA_MASTER!$I$2:$I$5000,MATCH($C726,DATA_MASTER!$D$2:$D$5000,0)),""))</f>
        <v/>
      </c>
      <c r="F726" s="22">
        <f t="array" ref="F726">IF($C726="","",IFERROR(INDEX(DATA_MASTER!$L$2:$L$5000,MATCH($C726,DATA_MASTER!$D$2:$D$5000,0)),""))</f>
        <v/>
      </c>
      <c r="G726" s="24" t="n"/>
      <c r="H726" s="24" t="n"/>
      <c r="I726" s="30" t="n"/>
      <c r="J726" s="23">
        <f>IF(OR($H726="",$I726=""),"",$H726*$I726)</f>
        <v/>
      </c>
      <c r="K726" s="24" t="n"/>
      <c r="L726" s="24" t="n"/>
      <c r="M726" s="29" t="n"/>
      <c r="N726" s="28" t="n"/>
      <c r="O726" s="24" t="n"/>
      <c r="P726" s="24" t="n"/>
      <c r="Q726" s="24" t="n"/>
      <c r="R726" s="24" t="n"/>
      <c r="S726" s="22">
        <f>IF(AND($A726="",$C726=""),"",IF($A726="","Thiếu mã đơn; ","")&amp;IF(COUNTIF($A$2:$A726,$A726)&gt;1,"Trùng mã đơn; ","")&amp;IF(ISNA(MATCH($C726,DATA_MASTER!$D$2:$D$5000,0)),"SĐT chưa đăng ký hội viên; ","")&amp;IF(AND($L726="Đã chuyển khoản",$M726=""),"Thiếu ngày nhận CK; ",""))</f>
        <v/>
      </c>
      <c r="T726" s="24" t="n"/>
    </row>
    <row r="727" ht="14.25" customHeight="1" s="40">
      <c r="A727" s="24" t="n"/>
      <c r="B727" s="29" t="n"/>
      <c r="C727" s="28" t="n"/>
      <c r="D727" s="22">
        <f t="array" ref="D727">IF($C727="","",IFERROR(INDEX(DATA_MASTER!$C$2:$C$5000,MATCH($C727,DATA_MASTER!$D$2:$D$5000,0)),""))</f>
        <v/>
      </c>
      <c r="E727" s="22">
        <f t="array" ref="E727">IF($C727="","",IFERROR(INDEX(DATA_MASTER!$I$2:$I$5000,MATCH($C727,DATA_MASTER!$D$2:$D$5000,0)),""))</f>
        <v/>
      </c>
      <c r="F727" s="22">
        <f t="array" ref="F727">IF($C727="","",IFERROR(INDEX(DATA_MASTER!$L$2:$L$5000,MATCH($C727,DATA_MASTER!$D$2:$D$5000,0)),""))</f>
        <v/>
      </c>
      <c r="G727" s="24" t="n"/>
      <c r="H727" s="24" t="n"/>
      <c r="I727" s="30" t="n"/>
      <c r="J727" s="23">
        <f>IF(OR($H727="",$I727=""),"",$H727*$I727)</f>
        <v/>
      </c>
      <c r="K727" s="24" t="n"/>
      <c r="L727" s="24" t="n"/>
      <c r="M727" s="29" t="n"/>
      <c r="N727" s="28" t="n"/>
      <c r="O727" s="24" t="n"/>
      <c r="P727" s="24" t="n"/>
      <c r="Q727" s="24" t="n"/>
      <c r="R727" s="24" t="n"/>
      <c r="S727" s="22">
        <f>IF(AND($A727="",$C727=""),"",IF($A727="","Thiếu mã đơn; ","")&amp;IF(COUNTIF($A$2:$A727,$A727)&gt;1,"Trùng mã đơn; ","")&amp;IF(ISNA(MATCH($C727,DATA_MASTER!$D$2:$D$5000,0)),"SĐT chưa đăng ký hội viên; ","")&amp;IF(AND($L727="Đã chuyển khoản",$M727=""),"Thiếu ngày nhận CK; ",""))</f>
        <v/>
      </c>
      <c r="T727" s="24" t="n"/>
    </row>
    <row r="728" ht="14.25" customHeight="1" s="40">
      <c r="A728" s="24" t="n"/>
      <c r="B728" s="29" t="n"/>
      <c r="C728" s="28" t="n"/>
      <c r="D728" s="22">
        <f t="array" ref="D728">IF($C728="","",IFERROR(INDEX(DATA_MASTER!$C$2:$C$5000,MATCH($C728,DATA_MASTER!$D$2:$D$5000,0)),""))</f>
        <v/>
      </c>
      <c r="E728" s="22">
        <f t="array" ref="E728">IF($C728="","",IFERROR(INDEX(DATA_MASTER!$I$2:$I$5000,MATCH($C728,DATA_MASTER!$D$2:$D$5000,0)),""))</f>
        <v/>
      </c>
      <c r="F728" s="22">
        <f t="array" ref="F728">IF($C728="","",IFERROR(INDEX(DATA_MASTER!$L$2:$L$5000,MATCH($C728,DATA_MASTER!$D$2:$D$5000,0)),""))</f>
        <v/>
      </c>
      <c r="G728" s="24" t="n"/>
      <c r="H728" s="24" t="n"/>
      <c r="I728" s="30" t="n"/>
      <c r="J728" s="23">
        <f>IF(OR($H728="",$I728=""),"",$H728*$I728)</f>
        <v/>
      </c>
      <c r="K728" s="24" t="n"/>
      <c r="L728" s="24" t="n"/>
      <c r="M728" s="29" t="n"/>
      <c r="N728" s="28" t="n"/>
      <c r="O728" s="24" t="n"/>
      <c r="P728" s="24" t="n"/>
      <c r="Q728" s="24" t="n"/>
      <c r="R728" s="24" t="n"/>
      <c r="S728" s="22">
        <f>IF(AND($A728="",$C728=""),"",IF($A728="","Thiếu mã đơn; ","")&amp;IF(COUNTIF($A$2:$A728,$A728)&gt;1,"Trùng mã đơn; ","")&amp;IF(ISNA(MATCH($C728,DATA_MASTER!$D$2:$D$5000,0)),"SĐT chưa đăng ký hội viên; ","")&amp;IF(AND($L728="Đã chuyển khoản",$M728=""),"Thiếu ngày nhận CK; ",""))</f>
        <v/>
      </c>
      <c r="T728" s="24" t="n"/>
    </row>
    <row r="729" ht="14.25" customHeight="1" s="40">
      <c r="A729" s="24" t="n"/>
      <c r="B729" s="29" t="n"/>
      <c r="C729" s="28" t="n"/>
      <c r="D729" s="22">
        <f t="array" ref="D729">IF($C729="","",IFERROR(INDEX(DATA_MASTER!$C$2:$C$5000,MATCH($C729,DATA_MASTER!$D$2:$D$5000,0)),""))</f>
        <v/>
      </c>
      <c r="E729" s="22">
        <f t="array" ref="E729">IF($C729="","",IFERROR(INDEX(DATA_MASTER!$I$2:$I$5000,MATCH($C729,DATA_MASTER!$D$2:$D$5000,0)),""))</f>
        <v/>
      </c>
      <c r="F729" s="22">
        <f t="array" ref="F729">IF($C729="","",IFERROR(INDEX(DATA_MASTER!$L$2:$L$5000,MATCH($C729,DATA_MASTER!$D$2:$D$5000,0)),""))</f>
        <v/>
      </c>
      <c r="G729" s="24" t="n"/>
      <c r="H729" s="24" t="n"/>
      <c r="I729" s="30" t="n"/>
      <c r="J729" s="23">
        <f>IF(OR($H729="",$I729=""),"",$H729*$I729)</f>
        <v/>
      </c>
      <c r="K729" s="24" t="n"/>
      <c r="L729" s="24" t="n"/>
      <c r="M729" s="29" t="n"/>
      <c r="N729" s="28" t="n"/>
      <c r="O729" s="24" t="n"/>
      <c r="P729" s="24" t="n"/>
      <c r="Q729" s="24" t="n"/>
      <c r="R729" s="24" t="n"/>
      <c r="S729" s="22">
        <f>IF(AND($A729="",$C729=""),"",IF($A729="","Thiếu mã đơn; ","")&amp;IF(COUNTIF($A$2:$A729,$A729)&gt;1,"Trùng mã đơn; ","")&amp;IF(ISNA(MATCH($C729,DATA_MASTER!$D$2:$D$5000,0)),"SĐT chưa đăng ký hội viên; ","")&amp;IF(AND($L729="Đã chuyển khoản",$M729=""),"Thiếu ngày nhận CK; ",""))</f>
        <v/>
      </c>
      <c r="T729" s="24" t="n"/>
    </row>
    <row r="730" ht="14.25" customHeight="1" s="40">
      <c r="A730" s="24" t="n"/>
      <c r="B730" s="29" t="n"/>
      <c r="C730" s="28" t="n"/>
      <c r="D730" s="22">
        <f t="array" ref="D730">IF($C730="","",IFERROR(INDEX(DATA_MASTER!$C$2:$C$5000,MATCH($C730,DATA_MASTER!$D$2:$D$5000,0)),""))</f>
        <v/>
      </c>
      <c r="E730" s="22">
        <f t="array" ref="E730">IF($C730="","",IFERROR(INDEX(DATA_MASTER!$I$2:$I$5000,MATCH($C730,DATA_MASTER!$D$2:$D$5000,0)),""))</f>
        <v/>
      </c>
      <c r="F730" s="22">
        <f t="array" ref="F730">IF($C730="","",IFERROR(INDEX(DATA_MASTER!$L$2:$L$5000,MATCH($C730,DATA_MASTER!$D$2:$D$5000,0)),""))</f>
        <v/>
      </c>
      <c r="G730" s="24" t="n"/>
      <c r="H730" s="24" t="n"/>
      <c r="I730" s="30" t="n"/>
      <c r="J730" s="23">
        <f>IF(OR($H730="",$I730=""),"",$H730*$I730)</f>
        <v/>
      </c>
      <c r="K730" s="24" t="n"/>
      <c r="L730" s="24" t="n"/>
      <c r="M730" s="29" t="n"/>
      <c r="N730" s="28" t="n"/>
      <c r="O730" s="24" t="n"/>
      <c r="P730" s="24" t="n"/>
      <c r="Q730" s="24" t="n"/>
      <c r="R730" s="24" t="n"/>
      <c r="S730" s="22">
        <f>IF(AND($A730="",$C730=""),"",IF($A730="","Thiếu mã đơn; ","")&amp;IF(COUNTIF($A$2:$A730,$A730)&gt;1,"Trùng mã đơn; ","")&amp;IF(ISNA(MATCH($C730,DATA_MASTER!$D$2:$D$5000,0)),"SĐT chưa đăng ký hội viên; ","")&amp;IF(AND($L730="Đã chuyển khoản",$M730=""),"Thiếu ngày nhận CK; ",""))</f>
        <v/>
      </c>
      <c r="T730" s="24" t="n"/>
    </row>
    <row r="731" ht="14.25" customHeight="1" s="40">
      <c r="A731" s="24" t="n"/>
      <c r="B731" s="29" t="n"/>
      <c r="C731" s="28" t="n"/>
      <c r="D731" s="22">
        <f t="array" ref="D731">IF($C731="","",IFERROR(INDEX(DATA_MASTER!$C$2:$C$5000,MATCH($C731,DATA_MASTER!$D$2:$D$5000,0)),""))</f>
        <v/>
      </c>
      <c r="E731" s="22">
        <f t="array" ref="E731">IF($C731="","",IFERROR(INDEX(DATA_MASTER!$I$2:$I$5000,MATCH($C731,DATA_MASTER!$D$2:$D$5000,0)),""))</f>
        <v/>
      </c>
      <c r="F731" s="22">
        <f t="array" ref="F731">IF($C731="","",IFERROR(INDEX(DATA_MASTER!$L$2:$L$5000,MATCH($C731,DATA_MASTER!$D$2:$D$5000,0)),""))</f>
        <v/>
      </c>
      <c r="G731" s="24" t="n"/>
      <c r="H731" s="24" t="n"/>
      <c r="I731" s="30" t="n"/>
      <c r="J731" s="23">
        <f>IF(OR($H731="",$I731=""),"",$H731*$I731)</f>
        <v/>
      </c>
      <c r="K731" s="24" t="n"/>
      <c r="L731" s="24" t="n"/>
      <c r="M731" s="29" t="n"/>
      <c r="N731" s="28" t="n"/>
      <c r="O731" s="24" t="n"/>
      <c r="P731" s="24" t="n"/>
      <c r="Q731" s="24" t="n"/>
      <c r="R731" s="24" t="n"/>
      <c r="S731" s="22">
        <f>IF(AND($A731="",$C731=""),"",IF($A731="","Thiếu mã đơn; ","")&amp;IF(COUNTIF($A$2:$A731,$A731)&gt;1,"Trùng mã đơn; ","")&amp;IF(ISNA(MATCH($C731,DATA_MASTER!$D$2:$D$5000,0)),"SĐT chưa đăng ký hội viên; ","")&amp;IF(AND($L731="Đã chuyển khoản",$M731=""),"Thiếu ngày nhận CK; ",""))</f>
        <v/>
      </c>
      <c r="T731" s="24" t="n"/>
    </row>
    <row r="732" ht="14.25" customHeight="1" s="40">
      <c r="A732" s="24" t="n"/>
      <c r="B732" s="29" t="n"/>
      <c r="C732" s="28" t="n"/>
      <c r="D732" s="22">
        <f t="array" ref="D732">IF($C732="","",IFERROR(INDEX(DATA_MASTER!$C$2:$C$5000,MATCH($C732,DATA_MASTER!$D$2:$D$5000,0)),""))</f>
        <v/>
      </c>
      <c r="E732" s="22">
        <f t="array" ref="E732">IF($C732="","",IFERROR(INDEX(DATA_MASTER!$I$2:$I$5000,MATCH($C732,DATA_MASTER!$D$2:$D$5000,0)),""))</f>
        <v/>
      </c>
      <c r="F732" s="22">
        <f t="array" ref="F732">IF($C732="","",IFERROR(INDEX(DATA_MASTER!$L$2:$L$5000,MATCH($C732,DATA_MASTER!$D$2:$D$5000,0)),""))</f>
        <v/>
      </c>
      <c r="G732" s="24" t="n"/>
      <c r="H732" s="24" t="n"/>
      <c r="I732" s="30" t="n"/>
      <c r="J732" s="23">
        <f>IF(OR($H732="",$I732=""),"",$H732*$I732)</f>
        <v/>
      </c>
      <c r="K732" s="24" t="n"/>
      <c r="L732" s="24" t="n"/>
      <c r="M732" s="29" t="n"/>
      <c r="N732" s="28" t="n"/>
      <c r="O732" s="24" t="n"/>
      <c r="P732" s="24" t="n"/>
      <c r="Q732" s="24" t="n"/>
      <c r="R732" s="24" t="n"/>
      <c r="S732" s="22">
        <f>IF(AND($A732="",$C732=""),"",IF($A732="","Thiếu mã đơn; ","")&amp;IF(COUNTIF($A$2:$A732,$A732)&gt;1,"Trùng mã đơn; ","")&amp;IF(ISNA(MATCH($C732,DATA_MASTER!$D$2:$D$5000,0)),"SĐT chưa đăng ký hội viên; ","")&amp;IF(AND($L732="Đã chuyển khoản",$M732=""),"Thiếu ngày nhận CK; ",""))</f>
        <v/>
      </c>
      <c r="T732" s="24" t="n"/>
    </row>
    <row r="733" ht="14.25" customHeight="1" s="40">
      <c r="A733" s="24" t="n"/>
      <c r="B733" s="29" t="n"/>
      <c r="C733" s="28" t="n"/>
      <c r="D733" s="22">
        <f t="array" ref="D733">IF($C733="","",IFERROR(INDEX(DATA_MASTER!$C$2:$C$5000,MATCH($C733,DATA_MASTER!$D$2:$D$5000,0)),""))</f>
        <v/>
      </c>
      <c r="E733" s="22">
        <f t="array" ref="E733">IF($C733="","",IFERROR(INDEX(DATA_MASTER!$I$2:$I$5000,MATCH($C733,DATA_MASTER!$D$2:$D$5000,0)),""))</f>
        <v/>
      </c>
      <c r="F733" s="22">
        <f t="array" ref="F733">IF($C733="","",IFERROR(INDEX(DATA_MASTER!$L$2:$L$5000,MATCH($C733,DATA_MASTER!$D$2:$D$5000,0)),""))</f>
        <v/>
      </c>
      <c r="G733" s="24" t="n"/>
      <c r="H733" s="24" t="n"/>
      <c r="I733" s="30" t="n"/>
      <c r="J733" s="23">
        <f>IF(OR($H733="",$I733=""),"",$H733*$I733)</f>
        <v/>
      </c>
      <c r="K733" s="24" t="n"/>
      <c r="L733" s="24" t="n"/>
      <c r="M733" s="29" t="n"/>
      <c r="N733" s="28" t="n"/>
      <c r="O733" s="24" t="n"/>
      <c r="P733" s="24" t="n"/>
      <c r="Q733" s="24" t="n"/>
      <c r="R733" s="24" t="n"/>
      <c r="S733" s="22">
        <f>IF(AND($A733="",$C733=""),"",IF($A733="","Thiếu mã đơn; ","")&amp;IF(COUNTIF($A$2:$A733,$A733)&gt;1,"Trùng mã đơn; ","")&amp;IF(ISNA(MATCH($C733,DATA_MASTER!$D$2:$D$5000,0)),"SĐT chưa đăng ký hội viên; ","")&amp;IF(AND($L733="Đã chuyển khoản",$M733=""),"Thiếu ngày nhận CK; ",""))</f>
        <v/>
      </c>
      <c r="T733" s="24" t="n"/>
    </row>
    <row r="734" ht="14.25" customHeight="1" s="40">
      <c r="A734" s="24" t="n"/>
      <c r="B734" s="29" t="n"/>
      <c r="C734" s="28" t="n"/>
      <c r="D734" s="22">
        <f t="array" ref="D734">IF($C734="","",IFERROR(INDEX(DATA_MASTER!$C$2:$C$5000,MATCH($C734,DATA_MASTER!$D$2:$D$5000,0)),""))</f>
        <v/>
      </c>
      <c r="E734" s="22">
        <f t="array" ref="E734">IF($C734="","",IFERROR(INDEX(DATA_MASTER!$I$2:$I$5000,MATCH($C734,DATA_MASTER!$D$2:$D$5000,0)),""))</f>
        <v/>
      </c>
      <c r="F734" s="22">
        <f t="array" ref="F734">IF($C734="","",IFERROR(INDEX(DATA_MASTER!$L$2:$L$5000,MATCH($C734,DATA_MASTER!$D$2:$D$5000,0)),""))</f>
        <v/>
      </c>
      <c r="G734" s="24" t="n"/>
      <c r="H734" s="24" t="n"/>
      <c r="I734" s="30" t="n"/>
      <c r="J734" s="23">
        <f>IF(OR($H734="",$I734=""),"",$H734*$I734)</f>
        <v/>
      </c>
      <c r="K734" s="24" t="n"/>
      <c r="L734" s="24" t="n"/>
      <c r="M734" s="29" t="n"/>
      <c r="N734" s="28" t="n"/>
      <c r="O734" s="24" t="n"/>
      <c r="P734" s="24" t="n"/>
      <c r="Q734" s="24" t="n"/>
      <c r="R734" s="24" t="n"/>
      <c r="S734" s="22">
        <f>IF(AND($A734="",$C734=""),"",IF($A734="","Thiếu mã đơn; ","")&amp;IF(COUNTIF($A$2:$A734,$A734)&gt;1,"Trùng mã đơn; ","")&amp;IF(ISNA(MATCH($C734,DATA_MASTER!$D$2:$D$5000,0)),"SĐT chưa đăng ký hội viên; ","")&amp;IF(AND($L734="Đã chuyển khoản",$M734=""),"Thiếu ngày nhận CK; ",""))</f>
        <v/>
      </c>
      <c r="T734" s="24" t="n"/>
    </row>
    <row r="735" ht="14.25" customHeight="1" s="40">
      <c r="A735" s="24" t="n"/>
      <c r="B735" s="29" t="n"/>
      <c r="C735" s="28" t="n"/>
      <c r="D735" s="22">
        <f t="array" ref="D735">IF($C735="","",IFERROR(INDEX(DATA_MASTER!$C$2:$C$5000,MATCH($C735,DATA_MASTER!$D$2:$D$5000,0)),""))</f>
        <v/>
      </c>
      <c r="E735" s="22">
        <f t="array" ref="E735">IF($C735="","",IFERROR(INDEX(DATA_MASTER!$I$2:$I$5000,MATCH($C735,DATA_MASTER!$D$2:$D$5000,0)),""))</f>
        <v/>
      </c>
      <c r="F735" s="22">
        <f t="array" ref="F735">IF($C735="","",IFERROR(INDEX(DATA_MASTER!$L$2:$L$5000,MATCH($C735,DATA_MASTER!$D$2:$D$5000,0)),""))</f>
        <v/>
      </c>
      <c r="G735" s="24" t="n"/>
      <c r="H735" s="24" t="n"/>
      <c r="I735" s="30" t="n"/>
      <c r="J735" s="23">
        <f>IF(OR($H735="",$I735=""),"",$H735*$I735)</f>
        <v/>
      </c>
      <c r="K735" s="24" t="n"/>
      <c r="L735" s="24" t="n"/>
      <c r="M735" s="29" t="n"/>
      <c r="N735" s="28" t="n"/>
      <c r="O735" s="24" t="n"/>
      <c r="P735" s="24" t="n"/>
      <c r="Q735" s="24" t="n"/>
      <c r="R735" s="24" t="n"/>
      <c r="S735" s="22">
        <f>IF(AND($A735="",$C735=""),"",IF($A735="","Thiếu mã đơn; ","")&amp;IF(COUNTIF($A$2:$A735,$A735)&gt;1,"Trùng mã đơn; ","")&amp;IF(ISNA(MATCH($C735,DATA_MASTER!$D$2:$D$5000,0)),"SĐT chưa đăng ký hội viên; ","")&amp;IF(AND($L735="Đã chuyển khoản",$M735=""),"Thiếu ngày nhận CK; ",""))</f>
        <v/>
      </c>
      <c r="T735" s="24" t="n"/>
    </row>
    <row r="736" ht="14.25" customHeight="1" s="40">
      <c r="A736" s="24" t="n"/>
      <c r="B736" s="29" t="n"/>
      <c r="C736" s="28" t="n"/>
      <c r="D736" s="22">
        <f t="array" ref="D736">IF($C736="","",IFERROR(INDEX(DATA_MASTER!$C$2:$C$5000,MATCH($C736,DATA_MASTER!$D$2:$D$5000,0)),""))</f>
        <v/>
      </c>
      <c r="E736" s="22">
        <f t="array" ref="E736">IF($C736="","",IFERROR(INDEX(DATA_MASTER!$I$2:$I$5000,MATCH($C736,DATA_MASTER!$D$2:$D$5000,0)),""))</f>
        <v/>
      </c>
      <c r="F736" s="22">
        <f t="array" ref="F736">IF($C736="","",IFERROR(INDEX(DATA_MASTER!$L$2:$L$5000,MATCH($C736,DATA_MASTER!$D$2:$D$5000,0)),""))</f>
        <v/>
      </c>
      <c r="G736" s="24" t="n"/>
      <c r="H736" s="24" t="n"/>
      <c r="I736" s="30" t="n"/>
      <c r="J736" s="23">
        <f>IF(OR($H736="",$I736=""),"",$H736*$I736)</f>
        <v/>
      </c>
      <c r="K736" s="24" t="n"/>
      <c r="L736" s="24" t="n"/>
      <c r="M736" s="29" t="n"/>
      <c r="N736" s="28" t="n"/>
      <c r="O736" s="24" t="n"/>
      <c r="P736" s="24" t="n"/>
      <c r="Q736" s="24" t="n"/>
      <c r="R736" s="24" t="n"/>
      <c r="S736" s="22">
        <f>IF(AND($A736="",$C736=""),"",IF($A736="","Thiếu mã đơn; ","")&amp;IF(COUNTIF($A$2:$A736,$A736)&gt;1,"Trùng mã đơn; ","")&amp;IF(ISNA(MATCH($C736,DATA_MASTER!$D$2:$D$5000,0)),"SĐT chưa đăng ký hội viên; ","")&amp;IF(AND($L736="Đã chuyển khoản",$M736=""),"Thiếu ngày nhận CK; ",""))</f>
        <v/>
      </c>
      <c r="T736" s="24" t="n"/>
    </row>
    <row r="737" ht="14.25" customHeight="1" s="40">
      <c r="A737" s="24" t="n"/>
      <c r="B737" s="29" t="n"/>
      <c r="C737" s="28" t="n"/>
      <c r="D737" s="22">
        <f t="array" ref="D737">IF($C737="","",IFERROR(INDEX(DATA_MASTER!$C$2:$C$5000,MATCH($C737,DATA_MASTER!$D$2:$D$5000,0)),""))</f>
        <v/>
      </c>
      <c r="E737" s="22">
        <f t="array" ref="E737">IF($C737="","",IFERROR(INDEX(DATA_MASTER!$I$2:$I$5000,MATCH($C737,DATA_MASTER!$D$2:$D$5000,0)),""))</f>
        <v/>
      </c>
      <c r="F737" s="22">
        <f t="array" ref="F737">IF($C737="","",IFERROR(INDEX(DATA_MASTER!$L$2:$L$5000,MATCH($C737,DATA_MASTER!$D$2:$D$5000,0)),""))</f>
        <v/>
      </c>
      <c r="G737" s="24" t="n"/>
      <c r="H737" s="24" t="n"/>
      <c r="I737" s="30" t="n"/>
      <c r="J737" s="23">
        <f>IF(OR($H737="",$I737=""),"",$H737*$I737)</f>
        <v/>
      </c>
      <c r="K737" s="24" t="n"/>
      <c r="L737" s="24" t="n"/>
      <c r="M737" s="29" t="n"/>
      <c r="N737" s="28" t="n"/>
      <c r="O737" s="24" t="n"/>
      <c r="P737" s="24" t="n"/>
      <c r="Q737" s="24" t="n"/>
      <c r="R737" s="24" t="n"/>
      <c r="S737" s="22">
        <f>IF(AND($A737="",$C737=""),"",IF($A737="","Thiếu mã đơn; ","")&amp;IF(COUNTIF($A$2:$A737,$A737)&gt;1,"Trùng mã đơn; ","")&amp;IF(ISNA(MATCH($C737,DATA_MASTER!$D$2:$D$5000,0)),"SĐT chưa đăng ký hội viên; ","")&amp;IF(AND($L737="Đã chuyển khoản",$M737=""),"Thiếu ngày nhận CK; ",""))</f>
        <v/>
      </c>
      <c r="T737" s="24" t="n"/>
    </row>
    <row r="738" ht="14.25" customHeight="1" s="40">
      <c r="A738" s="24" t="n"/>
      <c r="B738" s="29" t="n"/>
      <c r="C738" s="28" t="n"/>
      <c r="D738" s="22">
        <f t="array" ref="D738">IF($C738="","",IFERROR(INDEX(DATA_MASTER!$C$2:$C$5000,MATCH($C738,DATA_MASTER!$D$2:$D$5000,0)),""))</f>
        <v/>
      </c>
      <c r="E738" s="22">
        <f t="array" ref="E738">IF($C738="","",IFERROR(INDEX(DATA_MASTER!$I$2:$I$5000,MATCH($C738,DATA_MASTER!$D$2:$D$5000,0)),""))</f>
        <v/>
      </c>
      <c r="F738" s="22">
        <f t="array" ref="F738">IF($C738="","",IFERROR(INDEX(DATA_MASTER!$L$2:$L$5000,MATCH($C738,DATA_MASTER!$D$2:$D$5000,0)),""))</f>
        <v/>
      </c>
      <c r="G738" s="24" t="n"/>
      <c r="H738" s="24" t="n"/>
      <c r="I738" s="30" t="n"/>
      <c r="J738" s="23">
        <f>IF(OR($H738="",$I738=""),"",$H738*$I738)</f>
        <v/>
      </c>
      <c r="K738" s="24" t="n"/>
      <c r="L738" s="24" t="n"/>
      <c r="M738" s="29" t="n"/>
      <c r="N738" s="28" t="n"/>
      <c r="O738" s="24" t="n"/>
      <c r="P738" s="24" t="n"/>
      <c r="Q738" s="24" t="n"/>
      <c r="R738" s="24" t="n"/>
      <c r="S738" s="22">
        <f>IF(AND($A738="",$C738=""),"",IF($A738="","Thiếu mã đơn; ","")&amp;IF(COUNTIF($A$2:$A738,$A738)&gt;1,"Trùng mã đơn; ","")&amp;IF(ISNA(MATCH($C738,DATA_MASTER!$D$2:$D$5000,0)),"SĐT chưa đăng ký hội viên; ","")&amp;IF(AND($L738="Đã chuyển khoản",$M738=""),"Thiếu ngày nhận CK; ",""))</f>
        <v/>
      </c>
      <c r="T738" s="24" t="n"/>
    </row>
    <row r="739" ht="14.25" customHeight="1" s="40">
      <c r="A739" s="24" t="n"/>
      <c r="B739" s="29" t="n"/>
      <c r="C739" s="28" t="n"/>
      <c r="D739" s="22">
        <f t="array" ref="D739">IF($C739="","",IFERROR(INDEX(DATA_MASTER!$C$2:$C$5000,MATCH($C739,DATA_MASTER!$D$2:$D$5000,0)),""))</f>
        <v/>
      </c>
      <c r="E739" s="22">
        <f t="array" ref="E739">IF($C739="","",IFERROR(INDEX(DATA_MASTER!$I$2:$I$5000,MATCH($C739,DATA_MASTER!$D$2:$D$5000,0)),""))</f>
        <v/>
      </c>
      <c r="F739" s="22">
        <f t="array" ref="F739">IF($C739="","",IFERROR(INDEX(DATA_MASTER!$L$2:$L$5000,MATCH($C739,DATA_MASTER!$D$2:$D$5000,0)),""))</f>
        <v/>
      </c>
      <c r="G739" s="24" t="n"/>
      <c r="H739" s="24" t="n"/>
      <c r="I739" s="30" t="n"/>
      <c r="J739" s="23">
        <f>IF(OR($H739="",$I739=""),"",$H739*$I739)</f>
        <v/>
      </c>
      <c r="K739" s="24" t="n"/>
      <c r="L739" s="24" t="n"/>
      <c r="M739" s="29" t="n"/>
      <c r="N739" s="28" t="n"/>
      <c r="O739" s="24" t="n"/>
      <c r="P739" s="24" t="n"/>
      <c r="Q739" s="24" t="n"/>
      <c r="R739" s="24" t="n"/>
      <c r="S739" s="22">
        <f>IF(AND($A739="",$C739=""),"",IF($A739="","Thiếu mã đơn; ","")&amp;IF(COUNTIF($A$2:$A739,$A739)&gt;1,"Trùng mã đơn; ","")&amp;IF(ISNA(MATCH($C739,DATA_MASTER!$D$2:$D$5000,0)),"SĐT chưa đăng ký hội viên; ","")&amp;IF(AND($L739="Đã chuyển khoản",$M739=""),"Thiếu ngày nhận CK; ",""))</f>
        <v/>
      </c>
      <c r="T739" s="24" t="n"/>
    </row>
    <row r="740" ht="14.25" customHeight="1" s="40">
      <c r="A740" s="24" t="n"/>
      <c r="B740" s="29" t="n"/>
      <c r="C740" s="28" t="n"/>
      <c r="D740" s="22">
        <f t="array" ref="D740">IF($C740="","",IFERROR(INDEX(DATA_MASTER!$C$2:$C$5000,MATCH($C740,DATA_MASTER!$D$2:$D$5000,0)),""))</f>
        <v/>
      </c>
      <c r="E740" s="22">
        <f t="array" ref="E740">IF($C740="","",IFERROR(INDEX(DATA_MASTER!$I$2:$I$5000,MATCH($C740,DATA_MASTER!$D$2:$D$5000,0)),""))</f>
        <v/>
      </c>
      <c r="F740" s="22">
        <f t="array" ref="F740">IF($C740="","",IFERROR(INDEX(DATA_MASTER!$L$2:$L$5000,MATCH($C740,DATA_MASTER!$D$2:$D$5000,0)),""))</f>
        <v/>
      </c>
      <c r="G740" s="24" t="n"/>
      <c r="H740" s="24" t="n"/>
      <c r="I740" s="30" t="n"/>
      <c r="J740" s="23">
        <f>IF(OR($H740="",$I740=""),"",$H740*$I740)</f>
        <v/>
      </c>
      <c r="K740" s="24" t="n"/>
      <c r="L740" s="24" t="n"/>
      <c r="M740" s="29" t="n"/>
      <c r="N740" s="28" t="n"/>
      <c r="O740" s="24" t="n"/>
      <c r="P740" s="24" t="n"/>
      <c r="Q740" s="24" t="n"/>
      <c r="R740" s="24" t="n"/>
      <c r="S740" s="22">
        <f>IF(AND($A740="",$C740=""),"",IF($A740="","Thiếu mã đơn; ","")&amp;IF(COUNTIF($A$2:$A740,$A740)&gt;1,"Trùng mã đơn; ","")&amp;IF(ISNA(MATCH($C740,DATA_MASTER!$D$2:$D$5000,0)),"SĐT chưa đăng ký hội viên; ","")&amp;IF(AND($L740="Đã chuyển khoản",$M740=""),"Thiếu ngày nhận CK; ",""))</f>
        <v/>
      </c>
      <c r="T740" s="24" t="n"/>
    </row>
    <row r="741" ht="14.25" customHeight="1" s="40">
      <c r="A741" s="24" t="n"/>
      <c r="B741" s="29" t="n"/>
      <c r="C741" s="28" t="n"/>
      <c r="D741" s="22">
        <f t="array" ref="D741">IF($C741="","",IFERROR(INDEX(DATA_MASTER!$C$2:$C$5000,MATCH($C741,DATA_MASTER!$D$2:$D$5000,0)),""))</f>
        <v/>
      </c>
      <c r="E741" s="22">
        <f t="array" ref="E741">IF($C741="","",IFERROR(INDEX(DATA_MASTER!$I$2:$I$5000,MATCH($C741,DATA_MASTER!$D$2:$D$5000,0)),""))</f>
        <v/>
      </c>
      <c r="F741" s="22">
        <f t="array" ref="F741">IF($C741="","",IFERROR(INDEX(DATA_MASTER!$L$2:$L$5000,MATCH($C741,DATA_MASTER!$D$2:$D$5000,0)),""))</f>
        <v/>
      </c>
      <c r="G741" s="24" t="n"/>
      <c r="H741" s="24" t="n"/>
      <c r="I741" s="30" t="n"/>
      <c r="J741" s="23">
        <f>IF(OR($H741="",$I741=""),"",$H741*$I741)</f>
        <v/>
      </c>
      <c r="K741" s="24" t="n"/>
      <c r="L741" s="24" t="n"/>
      <c r="M741" s="29" t="n"/>
      <c r="N741" s="28" t="n"/>
      <c r="O741" s="24" t="n"/>
      <c r="P741" s="24" t="n"/>
      <c r="Q741" s="24" t="n"/>
      <c r="R741" s="24" t="n"/>
      <c r="S741" s="22">
        <f>IF(AND($A741="",$C741=""),"",IF($A741="","Thiếu mã đơn; ","")&amp;IF(COUNTIF($A$2:$A741,$A741)&gt;1,"Trùng mã đơn; ","")&amp;IF(ISNA(MATCH($C741,DATA_MASTER!$D$2:$D$5000,0)),"SĐT chưa đăng ký hội viên; ","")&amp;IF(AND($L741="Đã chuyển khoản",$M741=""),"Thiếu ngày nhận CK; ",""))</f>
        <v/>
      </c>
      <c r="T741" s="24" t="n"/>
    </row>
    <row r="742" ht="14.25" customHeight="1" s="40">
      <c r="A742" s="24" t="n"/>
      <c r="B742" s="29" t="n"/>
      <c r="C742" s="28" t="n"/>
      <c r="D742" s="22">
        <f t="array" ref="D742">IF($C742="","",IFERROR(INDEX(DATA_MASTER!$C$2:$C$5000,MATCH($C742,DATA_MASTER!$D$2:$D$5000,0)),""))</f>
        <v/>
      </c>
      <c r="E742" s="22">
        <f t="array" ref="E742">IF($C742="","",IFERROR(INDEX(DATA_MASTER!$I$2:$I$5000,MATCH($C742,DATA_MASTER!$D$2:$D$5000,0)),""))</f>
        <v/>
      </c>
      <c r="F742" s="22">
        <f t="array" ref="F742">IF($C742="","",IFERROR(INDEX(DATA_MASTER!$L$2:$L$5000,MATCH($C742,DATA_MASTER!$D$2:$D$5000,0)),""))</f>
        <v/>
      </c>
      <c r="G742" s="24" t="n"/>
      <c r="H742" s="24" t="n"/>
      <c r="I742" s="30" t="n"/>
      <c r="J742" s="23">
        <f>IF(OR($H742="",$I742=""),"",$H742*$I742)</f>
        <v/>
      </c>
      <c r="K742" s="24" t="n"/>
      <c r="L742" s="24" t="n"/>
      <c r="M742" s="29" t="n"/>
      <c r="N742" s="28" t="n"/>
      <c r="O742" s="24" t="n"/>
      <c r="P742" s="24" t="n"/>
      <c r="Q742" s="24" t="n"/>
      <c r="R742" s="24" t="n"/>
      <c r="S742" s="22">
        <f>IF(AND($A742="",$C742=""),"",IF($A742="","Thiếu mã đơn; ","")&amp;IF(COUNTIF($A$2:$A742,$A742)&gt;1,"Trùng mã đơn; ","")&amp;IF(ISNA(MATCH($C742,DATA_MASTER!$D$2:$D$5000,0)),"SĐT chưa đăng ký hội viên; ","")&amp;IF(AND($L742="Đã chuyển khoản",$M742=""),"Thiếu ngày nhận CK; ",""))</f>
        <v/>
      </c>
      <c r="T742" s="24" t="n"/>
    </row>
    <row r="743" ht="14.25" customHeight="1" s="40">
      <c r="A743" s="24" t="n"/>
      <c r="B743" s="29" t="n"/>
      <c r="C743" s="28" t="n"/>
      <c r="D743" s="22">
        <f t="array" ref="D743">IF($C743="","",IFERROR(INDEX(DATA_MASTER!$C$2:$C$5000,MATCH($C743,DATA_MASTER!$D$2:$D$5000,0)),""))</f>
        <v/>
      </c>
      <c r="E743" s="22">
        <f t="array" ref="E743">IF($C743="","",IFERROR(INDEX(DATA_MASTER!$I$2:$I$5000,MATCH($C743,DATA_MASTER!$D$2:$D$5000,0)),""))</f>
        <v/>
      </c>
      <c r="F743" s="22">
        <f t="array" ref="F743">IF($C743="","",IFERROR(INDEX(DATA_MASTER!$L$2:$L$5000,MATCH($C743,DATA_MASTER!$D$2:$D$5000,0)),""))</f>
        <v/>
      </c>
      <c r="G743" s="24" t="n"/>
      <c r="H743" s="24" t="n"/>
      <c r="I743" s="30" t="n"/>
      <c r="J743" s="23">
        <f>IF(OR($H743="",$I743=""),"",$H743*$I743)</f>
        <v/>
      </c>
      <c r="K743" s="24" t="n"/>
      <c r="L743" s="24" t="n"/>
      <c r="M743" s="29" t="n"/>
      <c r="N743" s="28" t="n"/>
      <c r="O743" s="24" t="n"/>
      <c r="P743" s="24" t="n"/>
      <c r="Q743" s="24" t="n"/>
      <c r="R743" s="24" t="n"/>
      <c r="S743" s="22">
        <f>IF(AND($A743="",$C743=""),"",IF($A743="","Thiếu mã đơn; ","")&amp;IF(COUNTIF($A$2:$A743,$A743)&gt;1,"Trùng mã đơn; ","")&amp;IF(ISNA(MATCH($C743,DATA_MASTER!$D$2:$D$5000,0)),"SĐT chưa đăng ký hội viên; ","")&amp;IF(AND($L743="Đã chuyển khoản",$M743=""),"Thiếu ngày nhận CK; ",""))</f>
        <v/>
      </c>
      <c r="T743" s="24" t="n"/>
    </row>
    <row r="744" ht="14.25" customHeight="1" s="40">
      <c r="A744" s="24" t="n"/>
      <c r="B744" s="29" t="n"/>
      <c r="C744" s="28" t="n"/>
      <c r="D744" s="22">
        <f t="array" ref="D744">IF($C744="","",IFERROR(INDEX(DATA_MASTER!$C$2:$C$5000,MATCH($C744,DATA_MASTER!$D$2:$D$5000,0)),""))</f>
        <v/>
      </c>
      <c r="E744" s="22">
        <f t="array" ref="E744">IF($C744="","",IFERROR(INDEX(DATA_MASTER!$I$2:$I$5000,MATCH($C744,DATA_MASTER!$D$2:$D$5000,0)),""))</f>
        <v/>
      </c>
      <c r="F744" s="22">
        <f t="array" ref="F744">IF($C744="","",IFERROR(INDEX(DATA_MASTER!$L$2:$L$5000,MATCH($C744,DATA_MASTER!$D$2:$D$5000,0)),""))</f>
        <v/>
      </c>
      <c r="G744" s="24" t="n"/>
      <c r="H744" s="24" t="n"/>
      <c r="I744" s="30" t="n"/>
      <c r="J744" s="23">
        <f>IF(OR($H744="",$I744=""),"",$H744*$I744)</f>
        <v/>
      </c>
      <c r="K744" s="24" t="n"/>
      <c r="L744" s="24" t="n"/>
      <c r="M744" s="29" t="n"/>
      <c r="N744" s="28" t="n"/>
      <c r="O744" s="24" t="n"/>
      <c r="P744" s="24" t="n"/>
      <c r="Q744" s="24" t="n"/>
      <c r="R744" s="24" t="n"/>
      <c r="S744" s="22">
        <f>IF(AND($A744="",$C744=""),"",IF($A744="","Thiếu mã đơn; ","")&amp;IF(COUNTIF($A$2:$A744,$A744)&gt;1,"Trùng mã đơn; ","")&amp;IF(ISNA(MATCH($C744,DATA_MASTER!$D$2:$D$5000,0)),"SĐT chưa đăng ký hội viên; ","")&amp;IF(AND($L744="Đã chuyển khoản",$M744=""),"Thiếu ngày nhận CK; ",""))</f>
        <v/>
      </c>
      <c r="T744" s="24" t="n"/>
    </row>
    <row r="745" ht="14.25" customHeight="1" s="40">
      <c r="A745" s="24" t="n"/>
      <c r="B745" s="29" t="n"/>
      <c r="C745" s="28" t="n"/>
      <c r="D745" s="22">
        <f t="array" ref="D745">IF($C745="","",IFERROR(INDEX(DATA_MASTER!$C$2:$C$5000,MATCH($C745,DATA_MASTER!$D$2:$D$5000,0)),""))</f>
        <v/>
      </c>
      <c r="E745" s="22">
        <f t="array" ref="E745">IF($C745="","",IFERROR(INDEX(DATA_MASTER!$I$2:$I$5000,MATCH($C745,DATA_MASTER!$D$2:$D$5000,0)),""))</f>
        <v/>
      </c>
      <c r="F745" s="22">
        <f t="array" ref="F745">IF($C745="","",IFERROR(INDEX(DATA_MASTER!$L$2:$L$5000,MATCH($C745,DATA_MASTER!$D$2:$D$5000,0)),""))</f>
        <v/>
      </c>
      <c r="G745" s="24" t="n"/>
      <c r="H745" s="24" t="n"/>
      <c r="I745" s="30" t="n"/>
      <c r="J745" s="23">
        <f>IF(OR($H745="",$I745=""),"",$H745*$I745)</f>
        <v/>
      </c>
      <c r="K745" s="24" t="n"/>
      <c r="L745" s="24" t="n"/>
      <c r="M745" s="29" t="n"/>
      <c r="N745" s="28" t="n"/>
      <c r="O745" s="24" t="n"/>
      <c r="P745" s="24" t="n"/>
      <c r="Q745" s="24" t="n"/>
      <c r="R745" s="24" t="n"/>
      <c r="S745" s="22">
        <f>IF(AND($A745="",$C745=""),"",IF($A745="","Thiếu mã đơn; ","")&amp;IF(COUNTIF($A$2:$A745,$A745)&gt;1,"Trùng mã đơn; ","")&amp;IF(ISNA(MATCH($C745,DATA_MASTER!$D$2:$D$5000,0)),"SĐT chưa đăng ký hội viên; ","")&amp;IF(AND($L745="Đã chuyển khoản",$M745=""),"Thiếu ngày nhận CK; ",""))</f>
        <v/>
      </c>
      <c r="T745" s="24" t="n"/>
    </row>
    <row r="746" ht="14.25" customHeight="1" s="40">
      <c r="A746" s="24" t="n"/>
      <c r="B746" s="29" t="n"/>
      <c r="C746" s="28" t="n"/>
      <c r="D746" s="22">
        <f t="array" ref="D746">IF($C746="","",IFERROR(INDEX(DATA_MASTER!$C$2:$C$5000,MATCH($C746,DATA_MASTER!$D$2:$D$5000,0)),""))</f>
        <v/>
      </c>
      <c r="E746" s="22">
        <f t="array" ref="E746">IF($C746="","",IFERROR(INDEX(DATA_MASTER!$I$2:$I$5000,MATCH($C746,DATA_MASTER!$D$2:$D$5000,0)),""))</f>
        <v/>
      </c>
      <c r="F746" s="22">
        <f t="array" ref="F746">IF($C746="","",IFERROR(INDEX(DATA_MASTER!$L$2:$L$5000,MATCH($C746,DATA_MASTER!$D$2:$D$5000,0)),""))</f>
        <v/>
      </c>
      <c r="G746" s="24" t="n"/>
      <c r="H746" s="24" t="n"/>
      <c r="I746" s="30" t="n"/>
      <c r="J746" s="23">
        <f>IF(OR($H746="",$I746=""),"",$H746*$I746)</f>
        <v/>
      </c>
      <c r="K746" s="24" t="n"/>
      <c r="L746" s="24" t="n"/>
      <c r="M746" s="29" t="n"/>
      <c r="N746" s="28" t="n"/>
      <c r="O746" s="24" t="n"/>
      <c r="P746" s="24" t="n"/>
      <c r="Q746" s="24" t="n"/>
      <c r="R746" s="24" t="n"/>
      <c r="S746" s="22">
        <f>IF(AND($A746="",$C746=""),"",IF($A746="","Thiếu mã đơn; ","")&amp;IF(COUNTIF($A$2:$A746,$A746)&gt;1,"Trùng mã đơn; ","")&amp;IF(ISNA(MATCH($C746,DATA_MASTER!$D$2:$D$5000,0)),"SĐT chưa đăng ký hội viên; ","")&amp;IF(AND($L746="Đã chuyển khoản",$M746=""),"Thiếu ngày nhận CK; ",""))</f>
        <v/>
      </c>
      <c r="T746" s="24" t="n"/>
    </row>
    <row r="747" ht="14.25" customHeight="1" s="40">
      <c r="A747" s="24" t="n"/>
      <c r="B747" s="29" t="n"/>
      <c r="C747" s="28" t="n"/>
      <c r="D747" s="22">
        <f t="array" ref="D747">IF($C747="","",IFERROR(INDEX(DATA_MASTER!$C$2:$C$5000,MATCH($C747,DATA_MASTER!$D$2:$D$5000,0)),""))</f>
        <v/>
      </c>
      <c r="E747" s="22">
        <f t="array" ref="E747">IF($C747="","",IFERROR(INDEX(DATA_MASTER!$I$2:$I$5000,MATCH($C747,DATA_MASTER!$D$2:$D$5000,0)),""))</f>
        <v/>
      </c>
      <c r="F747" s="22">
        <f t="array" ref="F747">IF($C747="","",IFERROR(INDEX(DATA_MASTER!$L$2:$L$5000,MATCH($C747,DATA_MASTER!$D$2:$D$5000,0)),""))</f>
        <v/>
      </c>
      <c r="G747" s="24" t="n"/>
      <c r="H747" s="24" t="n"/>
      <c r="I747" s="30" t="n"/>
      <c r="J747" s="23">
        <f>IF(OR($H747="",$I747=""),"",$H747*$I747)</f>
        <v/>
      </c>
      <c r="K747" s="24" t="n"/>
      <c r="L747" s="24" t="n"/>
      <c r="M747" s="29" t="n"/>
      <c r="N747" s="28" t="n"/>
      <c r="O747" s="24" t="n"/>
      <c r="P747" s="24" t="n"/>
      <c r="Q747" s="24" t="n"/>
      <c r="R747" s="24" t="n"/>
      <c r="S747" s="22">
        <f>IF(AND($A747="",$C747=""),"",IF($A747="","Thiếu mã đơn; ","")&amp;IF(COUNTIF($A$2:$A747,$A747)&gt;1,"Trùng mã đơn; ","")&amp;IF(ISNA(MATCH($C747,DATA_MASTER!$D$2:$D$5000,0)),"SĐT chưa đăng ký hội viên; ","")&amp;IF(AND($L747="Đã chuyển khoản",$M747=""),"Thiếu ngày nhận CK; ",""))</f>
        <v/>
      </c>
      <c r="T747" s="24" t="n"/>
    </row>
    <row r="748" ht="14.25" customHeight="1" s="40">
      <c r="A748" s="24" t="n"/>
      <c r="B748" s="29" t="n"/>
      <c r="C748" s="28" t="n"/>
      <c r="D748" s="22">
        <f t="array" ref="D748">IF($C748="","",IFERROR(INDEX(DATA_MASTER!$C$2:$C$5000,MATCH($C748,DATA_MASTER!$D$2:$D$5000,0)),""))</f>
        <v/>
      </c>
      <c r="E748" s="22">
        <f t="array" ref="E748">IF($C748="","",IFERROR(INDEX(DATA_MASTER!$I$2:$I$5000,MATCH($C748,DATA_MASTER!$D$2:$D$5000,0)),""))</f>
        <v/>
      </c>
      <c r="F748" s="22">
        <f t="array" ref="F748">IF($C748="","",IFERROR(INDEX(DATA_MASTER!$L$2:$L$5000,MATCH($C748,DATA_MASTER!$D$2:$D$5000,0)),""))</f>
        <v/>
      </c>
      <c r="G748" s="24" t="n"/>
      <c r="H748" s="24" t="n"/>
      <c r="I748" s="30" t="n"/>
      <c r="J748" s="23">
        <f>IF(OR($H748="",$I748=""),"",$H748*$I748)</f>
        <v/>
      </c>
      <c r="K748" s="24" t="n"/>
      <c r="L748" s="24" t="n"/>
      <c r="M748" s="29" t="n"/>
      <c r="N748" s="28" t="n"/>
      <c r="O748" s="24" t="n"/>
      <c r="P748" s="24" t="n"/>
      <c r="Q748" s="24" t="n"/>
      <c r="R748" s="24" t="n"/>
      <c r="S748" s="22">
        <f>IF(AND($A748="",$C748=""),"",IF($A748="","Thiếu mã đơn; ","")&amp;IF(COUNTIF($A$2:$A748,$A748)&gt;1,"Trùng mã đơn; ","")&amp;IF(ISNA(MATCH($C748,DATA_MASTER!$D$2:$D$5000,0)),"SĐT chưa đăng ký hội viên; ","")&amp;IF(AND($L748="Đã chuyển khoản",$M748=""),"Thiếu ngày nhận CK; ",""))</f>
        <v/>
      </c>
      <c r="T748" s="24" t="n"/>
    </row>
    <row r="749" ht="14.25" customHeight="1" s="40">
      <c r="A749" s="24" t="n"/>
      <c r="B749" s="29" t="n"/>
      <c r="C749" s="28" t="n"/>
      <c r="D749" s="22">
        <f t="array" ref="D749">IF($C749="","",IFERROR(INDEX(DATA_MASTER!$C$2:$C$5000,MATCH($C749,DATA_MASTER!$D$2:$D$5000,0)),""))</f>
        <v/>
      </c>
      <c r="E749" s="22">
        <f t="array" ref="E749">IF($C749="","",IFERROR(INDEX(DATA_MASTER!$I$2:$I$5000,MATCH($C749,DATA_MASTER!$D$2:$D$5000,0)),""))</f>
        <v/>
      </c>
      <c r="F749" s="22">
        <f t="array" ref="F749">IF($C749="","",IFERROR(INDEX(DATA_MASTER!$L$2:$L$5000,MATCH($C749,DATA_MASTER!$D$2:$D$5000,0)),""))</f>
        <v/>
      </c>
      <c r="G749" s="24" t="n"/>
      <c r="H749" s="24" t="n"/>
      <c r="I749" s="30" t="n"/>
      <c r="J749" s="23">
        <f>IF(OR($H749="",$I749=""),"",$H749*$I749)</f>
        <v/>
      </c>
      <c r="K749" s="24" t="n"/>
      <c r="L749" s="24" t="n"/>
      <c r="M749" s="29" t="n"/>
      <c r="N749" s="28" t="n"/>
      <c r="O749" s="24" t="n"/>
      <c r="P749" s="24" t="n"/>
      <c r="Q749" s="24" t="n"/>
      <c r="R749" s="24" t="n"/>
      <c r="S749" s="22">
        <f>IF(AND($A749="",$C749=""),"",IF($A749="","Thiếu mã đơn; ","")&amp;IF(COUNTIF($A$2:$A749,$A749)&gt;1,"Trùng mã đơn; ","")&amp;IF(ISNA(MATCH($C749,DATA_MASTER!$D$2:$D$5000,0)),"SĐT chưa đăng ký hội viên; ","")&amp;IF(AND($L749="Đã chuyển khoản",$M749=""),"Thiếu ngày nhận CK; ",""))</f>
        <v/>
      </c>
      <c r="T749" s="24" t="n"/>
    </row>
    <row r="750" ht="14.25" customHeight="1" s="40">
      <c r="A750" s="24" t="n"/>
      <c r="B750" s="29" t="n"/>
      <c r="C750" s="28" t="n"/>
      <c r="D750" s="22">
        <f t="array" ref="D750">IF($C750="","",IFERROR(INDEX(DATA_MASTER!$C$2:$C$5000,MATCH($C750,DATA_MASTER!$D$2:$D$5000,0)),""))</f>
        <v/>
      </c>
      <c r="E750" s="22">
        <f t="array" ref="E750">IF($C750="","",IFERROR(INDEX(DATA_MASTER!$I$2:$I$5000,MATCH($C750,DATA_MASTER!$D$2:$D$5000,0)),""))</f>
        <v/>
      </c>
      <c r="F750" s="22">
        <f t="array" ref="F750">IF($C750="","",IFERROR(INDEX(DATA_MASTER!$L$2:$L$5000,MATCH($C750,DATA_MASTER!$D$2:$D$5000,0)),""))</f>
        <v/>
      </c>
      <c r="G750" s="24" t="n"/>
      <c r="H750" s="24" t="n"/>
      <c r="I750" s="30" t="n"/>
      <c r="J750" s="23">
        <f>IF(OR($H750="",$I750=""),"",$H750*$I750)</f>
        <v/>
      </c>
      <c r="K750" s="24" t="n"/>
      <c r="L750" s="24" t="n"/>
      <c r="M750" s="29" t="n"/>
      <c r="N750" s="28" t="n"/>
      <c r="O750" s="24" t="n"/>
      <c r="P750" s="24" t="n"/>
      <c r="Q750" s="24" t="n"/>
      <c r="R750" s="24" t="n"/>
      <c r="S750" s="22">
        <f>IF(AND($A750="",$C750=""),"",IF($A750="","Thiếu mã đơn; ","")&amp;IF(COUNTIF($A$2:$A750,$A750)&gt;1,"Trùng mã đơn; ","")&amp;IF(ISNA(MATCH($C750,DATA_MASTER!$D$2:$D$5000,0)),"SĐT chưa đăng ký hội viên; ","")&amp;IF(AND($L750="Đã chuyển khoản",$M750=""),"Thiếu ngày nhận CK; ",""))</f>
        <v/>
      </c>
      <c r="T750" s="24" t="n"/>
    </row>
    <row r="751" ht="14.25" customHeight="1" s="40">
      <c r="A751" s="24" t="n"/>
      <c r="B751" s="29" t="n"/>
      <c r="C751" s="28" t="n"/>
      <c r="D751" s="22">
        <f t="array" ref="D751">IF($C751="","",IFERROR(INDEX(DATA_MASTER!$C$2:$C$5000,MATCH($C751,DATA_MASTER!$D$2:$D$5000,0)),""))</f>
        <v/>
      </c>
      <c r="E751" s="22">
        <f t="array" ref="E751">IF($C751="","",IFERROR(INDEX(DATA_MASTER!$I$2:$I$5000,MATCH($C751,DATA_MASTER!$D$2:$D$5000,0)),""))</f>
        <v/>
      </c>
      <c r="F751" s="22">
        <f t="array" ref="F751">IF($C751="","",IFERROR(INDEX(DATA_MASTER!$L$2:$L$5000,MATCH($C751,DATA_MASTER!$D$2:$D$5000,0)),""))</f>
        <v/>
      </c>
      <c r="G751" s="24" t="n"/>
      <c r="H751" s="24" t="n"/>
      <c r="I751" s="30" t="n"/>
      <c r="J751" s="23">
        <f>IF(OR($H751="",$I751=""),"",$H751*$I751)</f>
        <v/>
      </c>
      <c r="K751" s="24" t="n"/>
      <c r="L751" s="24" t="n"/>
      <c r="M751" s="29" t="n"/>
      <c r="N751" s="28" t="n"/>
      <c r="O751" s="24" t="n"/>
      <c r="P751" s="24" t="n"/>
      <c r="Q751" s="24" t="n"/>
      <c r="R751" s="24" t="n"/>
      <c r="S751" s="22">
        <f>IF(AND($A751="",$C751=""),"",IF($A751="","Thiếu mã đơn; ","")&amp;IF(COUNTIF($A$2:$A751,$A751)&gt;1,"Trùng mã đơn; ","")&amp;IF(ISNA(MATCH($C751,DATA_MASTER!$D$2:$D$5000,0)),"SĐT chưa đăng ký hội viên; ","")&amp;IF(AND($L751="Đã chuyển khoản",$M751=""),"Thiếu ngày nhận CK; ",""))</f>
        <v/>
      </c>
      <c r="T751" s="24" t="n"/>
    </row>
    <row r="752" ht="14.25" customHeight="1" s="40">
      <c r="A752" s="24" t="n"/>
      <c r="B752" s="29" t="n"/>
      <c r="C752" s="28" t="n"/>
      <c r="D752" s="22">
        <f t="array" ref="D752">IF($C752="","",IFERROR(INDEX(DATA_MASTER!$C$2:$C$5000,MATCH($C752,DATA_MASTER!$D$2:$D$5000,0)),""))</f>
        <v/>
      </c>
      <c r="E752" s="22">
        <f t="array" ref="E752">IF($C752="","",IFERROR(INDEX(DATA_MASTER!$I$2:$I$5000,MATCH($C752,DATA_MASTER!$D$2:$D$5000,0)),""))</f>
        <v/>
      </c>
      <c r="F752" s="22">
        <f t="array" ref="F752">IF($C752="","",IFERROR(INDEX(DATA_MASTER!$L$2:$L$5000,MATCH($C752,DATA_MASTER!$D$2:$D$5000,0)),""))</f>
        <v/>
      </c>
      <c r="G752" s="24" t="n"/>
      <c r="H752" s="24" t="n"/>
      <c r="I752" s="30" t="n"/>
      <c r="J752" s="23">
        <f>IF(OR($H752="",$I752=""),"",$H752*$I752)</f>
        <v/>
      </c>
      <c r="K752" s="24" t="n"/>
      <c r="L752" s="24" t="n"/>
      <c r="M752" s="29" t="n"/>
      <c r="N752" s="28" t="n"/>
      <c r="O752" s="24" t="n"/>
      <c r="P752" s="24" t="n"/>
      <c r="Q752" s="24" t="n"/>
      <c r="R752" s="24" t="n"/>
      <c r="S752" s="22">
        <f>IF(AND($A752="",$C752=""),"",IF($A752="","Thiếu mã đơn; ","")&amp;IF(COUNTIF($A$2:$A752,$A752)&gt;1,"Trùng mã đơn; ","")&amp;IF(ISNA(MATCH($C752,DATA_MASTER!$D$2:$D$5000,0)),"SĐT chưa đăng ký hội viên; ","")&amp;IF(AND($L752="Đã chuyển khoản",$M752=""),"Thiếu ngày nhận CK; ",""))</f>
        <v/>
      </c>
      <c r="T752" s="24" t="n"/>
    </row>
    <row r="753" ht="14.25" customHeight="1" s="40">
      <c r="A753" s="24" t="n"/>
      <c r="B753" s="29" t="n"/>
      <c r="C753" s="28" t="n"/>
      <c r="D753" s="22">
        <f t="array" ref="D753">IF($C753="","",IFERROR(INDEX(DATA_MASTER!$C$2:$C$5000,MATCH($C753,DATA_MASTER!$D$2:$D$5000,0)),""))</f>
        <v/>
      </c>
      <c r="E753" s="22">
        <f t="array" ref="E753">IF($C753="","",IFERROR(INDEX(DATA_MASTER!$I$2:$I$5000,MATCH($C753,DATA_MASTER!$D$2:$D$5000,0)),""))</f>
        <v/>
      </c>
      <c r="F753" s="22">
        <f t="array" ref="F753">IF($C753="","",IFERROR(INDEX(DATA_MASTER!$L$2:$L$5000,MATCH($C753,DATA_MASTER!$D$2:$D$5000,0)),""))</f>
        <v/>
      </c>
      <c r="G753" s="24" t="n"/>
      <c r="H753" s="24" t="n"/>
      <c r="I753" s="30" t="n"/>
      <c r="J753" s="23">
        <f>IF(OR($H753="",$I753=""),"",$H753*$I753)</f>
        <v/>
      </c>
      <c r="K753" s="24" t="n"/>
      <c r="L753" s="24" t="n"/>
      <c r="M753" s="29" t="n"/>
      <c r="N753" s="28" t="n"/>
      <c r="O753" s="24" t="n"/>
      <c r="P753" s="24" t="n"/>
      <c r="Q753" s="24" t="n"/>
      <c r="R753" s="24" t="n"/>
      <c r="S753" s="22">
        <f>IF(AND($A753="",$C753=""),"",IF($A753="","Thiếu mã đơn; ","")&amp;IF(COUNTIF($A$2:$A753,$A753)&gt;1,"Trùng mã đơn; ","")&amp;IF(ISNA(MATCH($C753,DATA_MASTER!$D$2:$D$5000,0)),"SĐT chưa đăng ký hội viên; ","")&amp;IF(AND($L753="Đã chuyển khoản",$M753=""),"Thiếu ngày nhận CK; ",""))</f>
        <v/>
      </c>
      <c r="T753" s="24" t="n"/>
    </row>
    <row r="754" ht="14.25" customHeight="1" s="40">
      <c r="A754" s="24" t="n"/>
      <c r="B754" s="29" t="n"/>
      <c r="C754" s="28" t="n"/>
      <c r="D754" s="22">
        <f t="array" ref="D754">IF($C754="","",IFERROR(INDEX(DATA_MASTER!$C$2:$C$5000,MATCH($C754,DATA_MASTER!$D$2:$D$5000,0)),""))</f>
        <v/>
      </c>
      <c r="E754" s="22">
        <f t="array" ref="E754">IF($C754="","",IFERROR(INDEX(DATA_MASTER!$I$2:$I$5000,MATCH($C754,DATA_MASTER!$D$2:$D$5000,0)),""))</f>
        <v/>
      </c>
      <c r="F754" s="22">
        <f t="array" ref="F754">IF($C754="","",IFERROR(INDEX(DATA_MASTER!$L$2:$L$5000,MATCH($C754,DATA_MASTER!$D$2:$D$5000,0)),""))</f>
        <v/>
      </c>
      <c r="G754" s="24" t="n"/>
      <c r="H754" s="24" t="n"/>
      <c r="I754" s="30" t="n"/>
      <c r="J754" s="23">
        <f>IF(OR($H754="",$I754=""),"",$H754*$I754)</f>
        <v/>
      </c>
      <c r="K754" s="24" t="n"/>
      <c r="L754" s="24" t="n"/>
      <c r="M754" s="29" t="n"/>
      <c r="N754" s="28" t="n"/>
      <c r="O754" s="24" t="n"/>
      <c r="P754" s="24" t="n"/>
      <c r="Q754" s="24" t="n"/>
      <c r="R754" s="24" t="n"/>
      <c r="S754" s="22">
        <f>IF(AND($A754="",$C754=""),"",IF($A754="","Thiếu mã đơn; ","")&amp;IF(COUNTIF($A$2:$A754,$A754)&gt;1,"Trùng mã đơn; ","")&amp;IF(ISNA(MATCH($C754,DATA_MASTER!$D$2:$D$5000,0)),"SĐT chưa đăng ký hội viên; ","")&amp;IF(AND($L754="Đã chuyển khoản",$M754=""),"Thiếu ngày nhận CK; ",""))</f>
        <v/>
      </c>
      <c r="T754" s="24" t="n"/>
    </row>
    <row r="755" ht="14.25" customHeight="1" s="40">
      <c r="A755" s="24" t="n"/>
      <c r="B755" s="29" t="n"/>
      <c r="C755" s="28" t="n"/>
      <c r="D755" s="22">
        <f t="array" ref="D755">IF($C755="","",IFERROR(INDEX(DATA_MASTER!$C$2:$C$5000,MATCH($C755,DATA_MASTER!$D$2:$D$5000,0)),""))</f>
        <v/>
      </c>
      <c r="E755" s="22">
        <f t="array" ref="E755">IF($C755="","",IFERROR(INDEX(DATA_MASTER!$I$2:$I$5000,MATCH($C755,DATA_MASTER!$D$2:$D$5000,0)),""))</f>
        <v/>
      </c>
      <c r="F755" s="22">
        <f t="array" ref="F755">IF($C755="","",IFERROR(INDEX(DATA_MASTER!$L$2:$L$5000,MATCH($C755,DATA_MASTER!$D$2:$D$5000,0)),""))</f>
        <v/>
      </c>
      <c r="G755" s="24" t="n"/>
      <c r="H755" s="24" t="n"/>
      <c r="I755" s="30" t="n"/>
      <c r="J755" s="23">
        <f>IF(OR($H755="",$I755=""),"",$H755*$I755)</f>
        <v/>
      </c>
      <c r="K755" s="24" t="n"/>
      <c r="L755" s="24" t="n"/>
      <c r="M755" s="29" t="n"/>
      <c r="N755" s="28" t="n"/>
      <c r="O755" s="24" t="n"/>
      <c r="P755" s="24" t="n"/>
      <c r="Q755" s="24" t="n"/>
      <c r="R755" s="24" t="n"/>
      <c r="S755" s="22">
        <f>IF(AND($A755="",$C755=""),"",IF($A755="","Thiếu mã đơn; ","")&amp;IF(COUNTIF($A$2:$A755,$A755)&gt;1,"Trùng mã đơn; ","")&amp;IF(ISNA(MATCH($C755,DATA_MASTER!$D$2:$D$5000,0)),"SĐT chưa đăng ký hội viên; ","")&amp;IF(AND($L755="Đã chuyển khoản",$M755=""),"Thiếu ngày nhận CK; ",""))</f>
        <v/>
      </c>
      <c r="T755" s="24" t="n"/>
    </row>
    <row r="756" ht="14.25" customHeight="1" s="40">
      <c r="A756" s="24" t="n"/>
      <c r="B756" s="29" t="n"/>
      <c r="C756" s="28" t="n"/>
      <c r="D756" s="22">
        <f t="array" ref="D756">IF($C756="","",IFERROR(INDEX(DATA_MASTER!$C$2:$C$5000,MATCH($C756,DATA_MASTER!$D$2:$D$5000,0)),""))</f>
        <v/>
      </c>
      <c r="E756" s="22">
        <f t="array" ref="E756">IF($C756="","",IFERROR(INDEX(DATA_MASTER!$I$2:$I$5000,MATCH($C756,DATA_MASTER!$D$2:$D$5000,0)),""))</f>
        <v/>
      </c>
      <c r="F756" s="22">
        <f t="array" ref="F756">IF($C756="","",IFERROR(INDEX(DATA_MASTER!$L$2:$L$5000,MATCH($C756,DATA_MASTER!$D$2:$D$5000,0)),""))</f>
        <v/>
      </c>
      <c r="G756" s="24" t="n"/>
      <c r="H756" s="24" t="n"/>
      <c r="I756" s="30" t="n"/>
      <c r="J756" s="23">
        <f>IF(OR($H756="",$I756=""),"",$H756*$I756)</f>
        <v/>
      </c>
      <c r="K756" s="24" t="n"/>
      <c r="L756" s="24" t="n"/>
      <c r="M756" s="29" t="n"/>
      <c r="N756" s="28" t="n"/>
      <c r="O756" s="24" t="n"/>
      <c r="P756" s="24" t="n"/>
      <c r="Q756" s="24" t="n"/>
      <c r="R756" s="24" t="n"/>
      <c r="S756" s="22">
        <f>IF(AND($A756="",$C756=""),"",IF($A756="","Thiếu mã đơn; ","")&amp;IF(COUNTIF($A$2:$A756,$A756)&gt;1,"Trùng mã đơn; ","")&amp;IF(ISNA(MATCH($C756,DATA_MASTER!$D$2:$D$5000,0)),"SĐT chưa đăng ký hội viên; ","")&amp;IF(AND($L756="Đã chuyển khoản",$M756=""),"Thiếu ngày nhận CK; ",""))</f>
        <v/>
      </c>
      <c r="T756" s="24" t="n"/>
    </row>
    <row r="757" ht="14.25" customHeight="1" s="40">
      <c r="A757" s="24" t="n"/>
      <c r="B757" s="29" t="n"/>
      <c r="C757" s="28" t="n"/>
      <c r="D757" s="22">
        <f t="array" ref="D757">IF($C757="","",IFERROR(INDEX(DATA_MASTER!$C$2:$C$5000,MATCH($C757,DATA_MASTER!$D$2:$D$5000,0)),""))</f>
        <v/>
      </c>
      <c r="E757" s="22">
        <f t="array" ref="E757">IF($C757="","",IFERROR(INDEX(DATA_MASTER!$I$2:$I$5000,MATCH($C757,DATA_MASTER!$D$2:$D$5000,0)),""))</f>
        <v/>
      </c>
      <c r="F757" s="22">
        <f t="array" ref="F757">IF($C757="","",IFERROR(INDEX(DATA_MASTER!$L$2:$L$5000,MATCH($C757,DATA_MASTER!$D$2:$D$5000,0)),""))</f>
        <v/>
      </c>
      <c r="G757" s="24" t="n"/>
      <c r="H757" s="24" t="n"/>
      <c r="I757" s="30" t="n"/>
      <c r="J757" s="23">
        <f>IF(OR($H757="",$I757=""),"",$H757*$I757)</f>
        <v/>
      </c>
      <c r="K757" s="24" t="n"/>
      <c r="L757" s="24" t="n"/>
      <c r="M757" s="29" t="n"/>
      <c r="N757" s="28" t="n"/>
      <c r="O757" s="24" t="n"/>
      <c r="P757" s="24" t="n"/>
      <c r="Q757" s="24" t="n"/>
      <c r="R757" s="24" t="n"/>
      <c r="S757" s="22">
        <f>IF(AND($A757="",$C757=""),"",IF($A757="","Thiếu mã đơn; ","")&amp;IF(COUNTIF($A$2:$A757,$A757)&gt;1,"Trùng mã đơn; ","")&amp;IF(ISNA(MATCH($C757,DATA_MASTER!$D$2:$D$5000,0)),"SĐT chưa đăng ký hội viên; ","")&amp;IF(AND($L757="Đã chuyển khoản",$M757=""),"Thiếu ngày nhận CK; ",""))</f>
        <v/>
      </c>
      <c r="T757" s="24" t="n"/>
    </row>
    <row r="758" ht="14.25" customHeight="1" s="40">
      <c r="A758" s="24" t="n"/>
      <c r="B758" s="29" t="n"/>
      <c r="C758" s="28" t="n"/>
      <c r="D758" s="22">
        <f t="array" ref="D758">IF($C758="","",IFERROR(INDEX(DATA_MASTER!$C$2:$C$5000,MATCH($C758,DATA_MASTER!$D$2:$D$5000,0)),""))</f>
        <v/>
      </c>
      <c r="E758" s="22">
        <f t="array" ref="E758">IF($C758="","",IFERROR(INDEX(DATA_MASTER!$I$2:$I$5000,MATCH($C758,DATA_MASTER!$D$2:$D$5000,0)),""))</f>
        <v/>
      </c>
      <c r="F758" s="22">
        <f t="array" ref="F758">IF($C758="","",IFERROR(INDEX(DATA_MASTER!$L$2:$L$5000,MATCH($C758,DATA_MASTER!$D$2:$D$5000,0)),""))</f>
        <v/>
      </c>
      <c r="G758" s="24" t="n"/>
      <c r="H758" s="24" t="n"/>
      <c r="I758" s="30" t="n"/>
      <c r="J758" s="23">
        <f>IF(OR($H758="",$I758=""),"",$H758*$I758)</f>
        <v/>
      </c>
      <c r="K758" s="24" t="n"/>
      <c r="L758" s="24" t="n"/>
      <c r="M758" s="29" t="n"/>
      <c r="N758" s="28" t="n"/>
      <c r="O758" s="24" t="n"/>
      <c r="P758" s="24" t="n"/>
      <c r="Q758" s="24" t="n"/>
      <c r="R758" s="24" t="n"/>
      <c r="S758" s="22">
        <f>IF(AND($A758="",$C758=""),"",IF($A758="","Thiếu mã đơn; ","")&amp;IF(COUNTIF($A$2:$A758,$A758)&gt;1,"Trùng mã đơn; ","")&amp;IF(ISNA(MATCH($C758,DATA_MASTER!$D$2:$D$5000,0)),"SĐT chưa đăng ký hội viên; ","")&amp;IF(AND($L758="Đã chuyển khoản",$M758=""),"Thiếu ngày nhận CK; ",""))</f>
        <v/>
      </c>
      <c r="T758" s="24" t="n"/>
    </row>
    <row r="759" ht="14.25" customHeight="1" s="40">
      <c r="A759" s="24" t="n"/>
      <c r="B759" s="29" t="n"/>
      <c r="C759" s="28" t="n"/>
      <c r="D759" s="22">
        <f t="array" ref="D759">IF($C759="","",IFERROR(INDEX(DATA_MASTER!$C$2:$C$5000,MATCH($C759,DATA_MASTER!$D$2:$D$5000,0)),""))</f>
        <v/>
      </c>
      <c r="E759" s="22">
        <f t="array" ref="E759">IF($C759="","",IFERROR(INDEX(DATA_MASTER!$I$2:$I$5000,MATCH($C759,DATA_MASTER!$D$2:$D$5000,0)),""))</f>
        <v/>
      </c>
      <c r="F759" s="22">
        <f t="array" ref="F759">IF($C759="","",IFERROR(INDEX(DATA_MASTER!$L$2:$L$5000,MATCH($C759,DATA_MASTER!$D$2:$D$5000,0)),""))</f>
        <v/>
      </c>
      <c r="G759" s="24" t="n"/>
      <c r="H759" s="24" t="n"/>
      <c r="I759" s="30" t="n"/>
      <c r="J759" s="23">
        <f>IF(OR($H759="",$I759=""),"",$H759*$I759)</f>
        <v/>
      </c>
      <c r="K759" s="24" t="n"/>
      <c r="L759" s="24" t="n"/>
      <c r="M759" s="29" t="n"/>
      <c r="N759" s="28" t="n"/>
      <c r="O759" s="24" t="n"/>
      <c r="P759" s="24" t="n"/>
      <c r="Q759" s="24" t="n"/>
      <c r="R759" s="24" t="n"/>
      <c r="S759" s="22">
        <f>IF(AND($A759="",$C759=""),"",IF($A759="","Thiếu mã đơn; ","")&amp;IF(COUNTIF($A$2:$A759,$A759)&gt;1,"Trùng mã đơn; ","")&amp;IF(ISNA(MATCH($C759,DATA_MASTER!$D$2:$D$5000,0)),"SĐT chưa đăng ký hội viên; ","")&amp;IF(AND($L759="Đã chuyển khoản",$M759=""),"Thiếu ngày nhận CK; ",""))</f>
        <v/>
      </c>
      <c r="T759" s="24" t="n"/>
    </row>
    <row r="760" ht="14.25" customHeight="1" s="40">
      <c r="A760" s="24" t="n"/>
      <c r="B760" s="29" t="n"/>
      <c r="C760" s="28" t="n"/>
      <c r="D760" s="22">
        <f t="array" ref="D760">IF($C760="","",IFERROR(INDEX(DATA_MASTER!$C$2:$C$5000,MATCH($C760,DATA_MASTER!$D$2:$D$5000,0)),""))</f>
        <v/>
      </c>
      <c r="E760" s="22">
        <f t="array" ref="E760">IF($C760="","",IFERROR(INDEX(DATA_MASTER!$I$2:$I$5000,MATCH($C760,DATA_MASTER!$D$2:$D$5000,0)),""))</f>
        <v/>
      </c>
      <c r="F760" s="22">
        <f t="array" ref="F760">IF($C760="","",IFERROR(INDEX(DATA_MASTER!$L$2:$L$5000,MATCH($C760,DATA_MASTER!$D$2:$D$5000,0)),""))</f>
        <v/>
      </c>
      <c r="G760" s="24" t="n"/>
      <c r="H760" s="24" t="n"/>
      <c r="I760" s="30" t="n"/>
      <c r="J760" s="23">
        <f>IF(OR($H760="",$I760=""),"",$H760*$I760)</f>
        <v/>
      </c>
      <c r="K760" s="24" t="n"/>
      <c r="L760" s="24" t="n"/>
      <c r="M760" s="29" t="n"/>
      <c r="N760" s="28" t="n"/>
      <c r="O760" s="24" t="n"/>
      <c r="P760" s="24" t="n"/>
      <c r="Q760" s="24" t="n"/>
      <c r="R760" s="24" t="n"/>
      <c r="S760" s="22">
        <f>IF(AND($A760="",$C760=""),"",IF($A760="","Thiếu mã đơn; ","")&amp;IF(COUNTIF($A$2:$A760,$A760)&gt;1,"Trùng mã đơn; ","")&amp;IF(ISNA(MATCH($C760,DATA_MASTER!$D$2:$D$5000,0)),"SĐT chưa đăng ký hội viên; ","")&amp;IF(AND($L760="Đã chuyển khoản",$M760=""),"Thiếu ngày nhận CK; ",""))</f>
        <v/>
      </c>
      <c r="T760" s="24" t="n"/>
    </row>
    <row r="761" ht="14.25" customHeight="1" s="40">
      <c r="A761" s="24" t="n"/>
      <c r="B761" s="29" t="n"/>
      <c r="C761" s="28" t="n"/>
      <c r="D761" s="22">
        <f t="array" ref="D761">IF($C761="","",IFERROR(INDEX(DATA_MASTER!$C$2:$C$5000,MATCH($C761,DATA_MASTER!$D$2:$D$5000,0)),""))</f>
        <v/>
      </c>
      <c r="E761" s="22">
        <f t="array" ref="E761">IF($C761="","",IFERROR(INDEX(DATA_MASTER!$I$2:$I$5000,MATCH($C761,DATA_MASTER!$D$2:$D$5000,0)),""))</f>
        <v/>
      </c>
      <c r="F761" s="22">
        <f t="array" ref="F761">IF($C761="","",IFERROR(INDEX(DATA_MASTER!$L$2:$L$5000,MATCH($C761,DATA_MASTER!$D$2:$D$5000,0)),""))</f>
        <v/>
      </c>
      <c r="G761" s="24" t="n"/>
      <c r="H761" s="24" t="n"/>
      <c r="I761" s="30" t="n"/>
      <c r="J761" s="23">
        <f>IF(OR($H761="",$I761=""),"",$H761*$I761)</f>
        <v/>
      </c>
      <c r="K761" s="24" t="n"/>
      <c r="L761" s="24" t="n"/>
      <c r="M761" s="29" t="n"/>
      <c r="N761" s="28" t="n"/>
      <c r="O761" s="24" t="n"/>
      <c r="P761" s="24" t="n"/>
      <c r="Q761" s="24" t="n"/>
      <c r="R761" s="24" t="n"/>
      <c r="S761" s="22">
        <f>IF(AND($A761="",$C761=""),"",IF($A761="","Thiếu mã đơn; ","")&amp;IF(COUNTIF($A$2:$A761,$A761)&gt;1,"Trùng mã đơn; ","")&amp;IF(ISNA(MATCH($C761,DATA_MASTER!$D$2:$D$5000,0)),"SĐT chưa đăng ký hội viên; ","")&amp;IF(AND($L761="Đã chuyển khoản",$M761=""),"Thiếu ngày nhận CK; ",""))</f>
        <v/>
      </c>
      <c r="T761" s="24" t="n"/>
    </row>
    <row r="762" ht="14.25" customHeight="1" s="40">
      <c r="A762" s="24" t="n"/>
      <c r="B762" s="29" t="n"/>
      <c r="C762" s="28" t="n"/>
      <c r="D762" s="22">
        <f t="array" ref="D762">IF($C762="","",IFERROR(INDEX(DATA_MASTER!$C$2:$C$5000,MATCH($C762,DATA_MASTER!$D$2:$D$5000,0)),""))</f>
        <v/>
      </c>
      <c r="E762" s="22">
        <f t="array" ref="E762">IF($C762="","",IFERROR(INDEX(DATA_MASTER!$I$2:$I$5000,MATCH($C762,DATA_MASTER!$D$2:$D$5000,0)),""))</f>
        <v/>
      </c>
      <c r="F762" s="22">
        <f t="array" ref="F762">IF($C762="","",IFERROR(INDEX(DATA_MASTER!$L$2:$L$5000,MATCH($C762,DATA_MASTER!$D$2:$D$5000,0)),""))</f>
        <v/>
      </c>
      <c r="G762" s="24" t="n"/>
      <c r="H762" s="24" t="n"/>
      <c r="I762" s="30" t="n"/>
      <c r="J762" s="23">
        <f>IF(OR($H762="",$I762=""),"",$H762*$I762)</f>
        <v/>
      </c>
      <c r="K762" s="24" t="n"/>
      <c r="L762" s="24" t="n"/>
      <c r="M762" s="29" t="n"/>
      <c r="N762" s="28" t="n"/>
      <c r="O762" s="24" t="n"/>
      <c r="P762" s="24" t="n"/>
      <c r="Q762" s="24" t="n"/>
      <c r="R762" s="24" t="n"/>
      <c r="S762" s="22">
        <f>IF(AND($A762="",$C762=""),"",IF($A762="","Thiếu mã đơn; ","")&amp;IF(COUNTIF($A$2:$A762,$A762)&gt;1,"Trùng mã đơn; ","")&amp;IF(ISNA(MATCH($C762,DATA_MASTER!$D$2:$D$5000,0)),"SĐT chưa đăng ký hội viên; ","")&amp;IF(AND($L762="Đã chuyển khoản",$M762=""),"Thiếu ngày nhận CK; ",""))</f>
        <v/>
      </c>
      <c r="T762" s="24" t="n"/>
    </row>
    <row r="763" ht="14.25" customHeight="1" s="40">
      <c r="A763" s="24" t="n"/>
      <c r="B763" s="29" t="n"/>
      <c r="C763" s="28" t="n"/>
      <c r="D763" s="22">
        <f t="array" ref="D763">IF($C763="","",IFERROR(INDEX(DATA_MASTER!$C$2:$C$5000,MATCH($C763,DATA_MASTER!$D$2:$D$5000,0)),""))</f>
        <v/>
      </c>
      <c r="E763" s="22">
        <f t="array" ref="E763">IF($C763="","",IFERROR(INDEX(DATA_MASTER!$I$2:$I$5000,MATCH($C763,DATA_MASTER!$D$2:$D$5000,0)),""))</f>
        <v/>
      </c>
      <c r="F763" s="22">
        <f t="array" ref="F763">IF($C763="","",IFERROR(INDEX(DATA_MASTER!$L$2:$L$5000,MATCH($C763,DATA_MASTER!$D$2:$D$5000,0)),""))</f>
        <v/>
      </c>
      <c r="G763" s="24" t="n"/>
      <c r="H763" s="24" t="n"/>
      <c r="I763" s="30" t="n"/>
      <c r="J763" s="23">
        <f>IF(OR($H763="",$I763=""),"",$H763*$I763)</f>
        <v/>
      </c>
      <c r="K763" s="24" t="n"/>
      <c r="L763" s="24" t="n"/>
      <c r="M763" s="29" t="n"/>
      <c r="N763" s="28" t="n"/>
      <c r="O763" s="24" t="n"/>
      <c r="P763" s="24" t="n"/>
      <c r="Q763" s="24" t="n"/>
      <c r="R763" s="24" t="n"/>
      <c r="S763" s="22">
        <f>IF(AND($A763="",$C763=""),"",IF($A763="","Thiếu mã đơn; ","")&amp;IF(COUNTIF($A$2:$A763,$A763)&gt;1,"Trùng mã đơn; ","")&amp;IF(ISNA(MATCH($C763,DATA_MASTER!$D$2:$D$5000,0)),"SĐT chưa đăng ký hội viên; ","")&amp;IF(AND($L763="Đã chuyển khoản",$M763=""),"Thiếu ngày nhận CK; ",""))</f>
        <v/>
      </c>
      <c r="T763" s="24" t="n"/>
    </row>
    <row r="764" ht="14.25" customHeight="1" s="40">
      <c r="A764" s="24" t="n"/>
      <c r="B764" s="29" t="n"/>
      <c r="C764" s="28" t="n"/>
      <c r="D764" s="22">
        <f t="array" ref="D764">IF($C764="","",IFERROR(INDEX(DATA_MASTER!$C$2:$C$5000,MATCH($C764,DATA_MASTER!$D$2:$D$5000,0)),""))</f>
        <v/>
      </c>
      <c r="E764" s="22">
        <f t="array" ref="E764">IF($C764="","",IFERROR(INDEX(DATA_MASTER!$I$2:$I$5000,MATCH($C764,DATA_MASTER!$D$2:$D$5000,0)),""))</f>
        <v/>
      </c>
      <c r="F764" s="22">
        <f t="array" ref="F764">IF($C764="","",IFERROR(INDEX(DATA_MASTER!$L$2:$L$5000,MATCH($C764,DATA_MASTER!$D$2:$D$5000,0)),""))</f>
        <v/>
      </c>
      <c r="G764" s="24" t="n"/>
      <c r="H764" s="24" t="n"/>
      <c r="I764" s="30" t="n"/>
      <c r="J764" s="23">
        <f>IF(OR($H764="",$I764=""),"",$H764*$I764)</f>
        <v/>
      </c>
      <c r="K764" s="24" t="n"/>
      <c r="L764" s="24" t="n"/>
      <c r="M764" s="29" t="n"/>
      <c r="N764" s="28" t="n"/>
      <c r="O764" s="24" t="n"/>
      <c r="P764" s="24" t="n"/>
      <c r="Q764" s="24" t="n"/>
      <c r="R764" s="24" t="n"/>
      <c r="S764" s="22">
        <f>IF(AND($A764="",$C764=""),"",IF($A764="","Thiếu mã đơn; ","")&amp;IF(COUNTIF($A$2:$A764,$A764)&gt;1,"Trùng mã đơn; ","")&amp;IF(ISNA(MATCH($C764,DATA_MASTER!$D$2:$D$5000,0)),"SĐT chưa đăng ký hội viên; ","")&amp;IF(AND($L764="Đã chuyển khoản",$M764=""),"Thiếu ngày nhận CK; ",""))</f>
        <v/>
      </c>
      <c r="T764" s="24" t="n"/>
    </row>
    <row r="765" ht="14.25" customHeight="1" s="40">
      <c r="A765" s="24" t="n"/>
      <c r="B765" s="29" t="n"/>
      <c r="C765" s="28" t="n"/>
      <c r="D765" s="22">
        <f t="array" ref="D765">IF($C765="","",IFERROR(INDEX(DATA_MASTER!$C$2:$C$5000,MATCH($C765,DATA_MASTER!$D$2:$D$5000,0)),""))</f>
        <v/>
      </c>
      <c r="E765" s="22">
        <f t="array" ref="E765">IF($C765="","",IFERROR(INDEX(DATA_MASTER!$I$2:$I$5000,MATCH($C765,DATA_MASTER!$D$2:$D$5000,0)),""))</f>
        <v/>
      </c>
      <c r="F765" s="22">
        <f t="array" ref="F765">IF($C765="","",IFERROR(INDEX(DATA_MASTER!$L$2:$L$5000,MATCH($C765,DATA_MASTER!$D$2:$D$5000,0)),""))</f>
        <v/>
      </c>
      <c r="G765" s="24" t="n"/>
      <c r="H765" s="24" t="n"/>
      <c r="I765" s="30" t="n"/>
      <c r="J765" s="23">
        <f>IF(OR($H765="",$I765=""),"",$H765*$I765)</f>
        <v/>
      </c>
      <c r="K765" s="24" t="n"/>
      <c r="L765" s="24" t="n"/>
      <c r="M765" s="29" t="n"/>
      <c r="N765" s="28" t="n"/>
      <c r="O765" s="24" t="n"/>
      <c r="P765" s="24" t="n"/>
      <c r="Q765" s="24" t="n"/>
      <c r="R765" s="24" t="n"/>
      <c r="S765" s="22">
        <f>IF(AND($A765="",$C765=""),"",IF($A765="","Thiếu mã đơn; ","")&amp;IF(COUNTIF($A$2:$A765,$A765)&gt;1,"Trùng mã đơn; ","")&amp;IF(ISNA(MATCH($C765,DATA_MASTER!$D$2:$D$5000,0)),"SĐT chưa đăng ký hội viên; ","")&amp;IF(AND($L765="Đã chuyển khoản",$M765=""),"Thiếu ngày nhận CK; ",""))</f>
        <v/>
      </c>
      <c r="T765" s="24" t="n"/>
    </row>
    <row r="766" ht="14.25" customHeight="1" s="40">
      <c r="A766" s="24" t="n"/>
      <c r="B766" s="29" t="n"/>
      <c r="C766" s="28" t="n"/>
      <c r="D766" s="22">
        <f t="array" ref="D766">IF($C766="","",IFERROR(INDEX(DATA_MASTER!$C$2:$C$5000,MATCH($C766,DATA_MASTER!$D$2:$D$5000,0)),""))</f>
        <v/>
      </c>
      <c r="E766" s="22">
        <f t="array" ref="E766">IF($C766="","",IFERROR(INDEX(DATA_MASTER!$I$2:$I$5000,MATCH($C766,DATA_MASTER!$D$2:$D$5000,0)),""))</f>
        <v/>
      </c>
      <c r="F766" s="22">
        <f t="array" ref="F766">IF($C766="","",IFERROR(INDEX(DATA_MASTER!$L$2:$L$5000,MATCH($C766,DATA_MASTER!$D$2:$D$5000,0)),""))</f>
        <v/>
      </c>
      <c r="G766" s="24" t="n"/>
      <c r="H766" s="24" t="n"/>
      <c r="I766" s="30" t="n"/>
      <c r="J766" s="23">
        <f>IF(OR($H766="",$I766=""),"",$H766*$I766)</f>
        <v/>
      </c>
      <c r="K766" s="24" t="n"/>
      <c r="L766" s="24" t="n"/>
      <c r="M766" s="29" t="n"/>
      <c r="N766" s="28" t="n"/>
      <c r="O766" s="24" t="n"/>
      <c r="P766" s="24" t="n"/>
      <c r="Q766" s="24" t="n"/>
      <c r="R766" s="24" t="n"/>
      <c r="S766" s="22">
        <f>IF(AND($A766="",$C766=""),"",IF($A766="","Thiếu mã đơn; ","")&amp;IF(COUNTIF($A$2:$A766,$A766)&gt;1,"Trùng mã đơn; ","")&amp;IF(ISNA(MATCH($C766,DATA_MASTER!$D$2:$D$5000,0)),"SĐT chưa đăng ký hội viên; ","")&amp;IF(AND($L766="Đã chuyển khoản",$M766=""),"Thiếu ngày nhận CK; ",""))</f>
        <v/>
      </c>
      <c r="T766" s="24" t="n"/>
    </row>
    <row r="767" ht="14.25" customHeight="1" s="40">
      <c r="A767" s="24" t="n"/>
      <c r="B767" s="29" t="n"/>
      <c r="C767" s="28" t="n"/>
      <c r="D767" s="22">
        <f t="array" ref="D767">IF($C767="","",IFERROR(INDEX(DATA_MASTER!$C$2:$C$5000,MATCH($C767,DATA_MASTER!$D$2:$D$5000,0)),""))</f>
        <v/>
      </c>
      <c r="E767" s="22">
        <f t="array" ref="E767">IF($C767="","",IFERROR(INDEX(DATA_MASTER!$I$2:$I$5000,MATCH($C767,DATA_MASTER!$D$2:$D$5000,0)),""))</f>
        <v/>
      </c>
      <c r="F767" s="22">
        <f t="array" ref="F767">IF($C767="","",IFERROR(INDEX(DATA_MASTER!$L$2:$L$5000,MATCH($C767,DATA_MASTER!$D$2:$D$5000,0)),""))</f>
        <v/>
      </c>
      <c r="G767" s="24" t="n"/>
      <c r="H767" s="24" t="n"/>
      <c r="I767" s="30" t="n"/>
      <c r="J767" s="23">
        <f>IF(OR($H767="",$I767=""),"",$H767*$I767)</f>
        <v/>
      </c>
      <c r="K767" s="24" t="n"/>
      <c r="L767" s="24" t="n"/>
      <c r="M767" s="29" t="n"/>
      <c r="N767" s="28" t="n"/>
      <c r="O767" s="24" t="n"/>
      <c r="P767" s="24" t="n"/>
      <c r="Q767" s="24" t="n"/>
      <c r="R767" s="24" t="n"/>
      <c r="S767" s="22">
        <f>IF(AND($A767="",$C767=""),"",IF($A767="","Thiếu mã đơn; ","")&amp;IF(COUNTIF($A$2:$A767,$A767)&gt;1,"Trùng mã đơn; ","")&amp;IF(ISNA(MATCH($C767,DATA_MASTER!$D$2:$D$5000,0)),"SĐT chưa đăng ký hội viên; ","")&amp;IF(AND($L767="Đã chuyển khoản",$M767=""),"Thiếu ngày nhận CK; ",""))</f>
        <v/>
      </c>
      <c r="T767" s="24" t="n"/>
    </row>
    <row r="768" ht="14.25" customHeight="1" s="40">
      <c r="A768" s="24" t="n"/>
      <c r="B768" s="29" t="n"/>
      <c r="C768" s="28" t="n"/>
      <c r="D768" s="22">
        <f t="array" ref="D768">IF($C768="","",IFERROR(INDEX(DATA_MASTER!$C$2:$C$5000,MATCH($C768,DATA_MASTER!$D$2:$D$5000,0)),""))</f>
        <v/>
      </c>
      <c r="E768" s="22">
        <f t="array" ref="E768">IF($C768="","",IFERROR(INDEX(DATA_MASTER!$I$2:$I$5000,MATCH($C768,DATA_MASTER!$D$2:$D$5000,0)),""))</f>
        <v/>
      </c>
      <c r="F768" s="22">
        <f t="array" ref="F768">IF($C768="","",IFERROR(INDEX(DATA_MASTER!$L$2:$L$5000,MATCH($C768,DATA_MASTER!$D$2:$D$5000,0)),""))</f>
        <v/>
      </c>
      <c r="G768" s="24" t="n"/>
      <c r="H768" s="24" t="n"/>
      <c r="I768" s="30" t="n"/>
      <c r="J768" s="23">
        <f>IF(OR($H768="",$I768=""),"",$H768*$I768)</f>
        <v/>
      </c>
      <c r="K768" s="24" t="n"/>
      <c r="L768" s="24" t="n"/>
      <c r="M768" s="29" t="n"/>
      <c r="N768" s="28" t="n"/>
      <c r="O768" s="24" t="n"/>
      <c r="P768" s="24" t="n"/>
      <c r="Q768" s="24" t="n"/>
      <c r="R768" s="24" t="n"/>
      <c r="S768" s="22">
        <f>IF(AND($A768="",$C768=""),"",IF($A768="","Thiếu mã đơn; ","")&amp;IF(COUNTIF($A$2:$A768,$A768)&gt;1,"Trùng mã đơn; ","")&amp;IF(ISNA(MATCH($C768,DATA_MASTER!$D$2:$D$5000,0)),"SĐT chưa đăng ký hội viên; ","")&amp;IF(AND($L768="Đã chuyển khoản",$M768=""),"Thiếu ngày nhận CK; ",""))</f>
        <v/>
      </c>
      <c r="T768" s="24" t="n"/>
    </row>
    <row r="769" ht="14.25" customHeight="1" s="40">
      <c r="A769" s="24" t="n"/>
      <c r="B769" s="29" t="n"/>
      <c r="C769" s="28" t="n"/>
      <c r="D769" s="22">
        <f t="array" ref="D769">IF($C769="","",IFERROR(INDEX(DATA_MASTER!$C$2:$C$5000,MATCH($C769,DATA_MASTER!$D$2:$D$5000,0)),""))</f>
        <v/>
      </c>
      <c r="E769" s="22">
        <f t="array" ref="E769">IF($C769="","",IFERROR(INDEX(DATA_MASTER!$I$2:$I$5000,MATCH($C769,DATA_MASTER!$D$2:$D$5000,0)),""))</f>
        <v/>
      </c>
      <c r="F769" s="22">
        <f t="array" ref="F769">IF($C769="","",IFERROR(INDEX(DATA_MASTER!$L$2:$L$5000,MATCH($C769,DATA_MASTER!$D$2:$D$5000,0)),""))</f>
        <v/>
      </c>
      <c r="G769" s="24" t="n"/>
      <c r="H769" s="24" t="n"/>
      <c r="I769" s="30" t="n"/>
      <c r="J769" s="23">
        <f>IF(OR($H769="",$I769=""),"",$H769*$I769)</f>
        <v/>
      </c>
      <c r="K769" s="24" t="n"/>
      <c r="L769" s="24" t="n"/>
      <c r="M769" s="29" t="n"/>
      <c r="N769" s="28" t="n"/>
      <c r="O769" s="24" t="n"/>
      <c r="P769" s="24" t="n"/>
      <c r="Q769" s="24" t="n"/>
      <c r="R769" s="24" t="n"/>
      <c r="S769" s="22">
        <f>IF(AND($A769="",$C769=""),"",IF($A769="","Thiếu mã đơn; ","")&amp;IF(COUNTIF($A$2:$A769,$A769)&gt;1,"Trùng mã đơn; ","")&amp;IF(ISNA(MATCH($C769,DATA_MASTER!$D$2:$D$5000,0)),"SĐT chưa đăng ký hội viên; ","")&amp;IF(AND($L769="Đã chuyển khoản",$M769=""),"Thiếu ngày nhận CK; ",""))</f>
        <v/>
      </c>
      <c r="T769" s="24" t="n"/>
    </row>
    <row r="770" ht="14.25" customHeight="1" s="40">
      <c r="A770" s="24" t="n"/>
      <c r="B770" s="29" t="n"/>
      <c r="C770" s="28" t="n"/>
      <c r="D770" s="22">
        <f t="array" ref="D770">IF($C770="","",IFERROR(INDEX(DATA_MASTER!$C$2:$C$5000,MATCH($C770,DATA_MASTER!$D$2:$D$5000,0)),""))</f>
        <v/>
      </c>
      <c r="E770" s="22">
        <f t="array" ref="E770">IF($C770="","",IFERROR(INDEX(DATA_MASTER!$I$2:$I$5000,MATCH($C770,DATA_MASTER!$D$2:$D$5000,0)),""))</f>
        <v/>
      </c>
      <c r="F770" s="22">
        <f t="array" ref="F770">IF($C770="","",IFERROR(INDEX(DATA_MASTER!$L$2:$L$5000,MATCH($C770,DATA_MASTER!$D$2:$D$5000,0)),""))</f>
        <v/>
      </c>
      <c r="G770" s="24" t="n"/>
      <c r="H770" s="24" t="n"/>
      <c r="I770" s="30" t="n"/>
      <c r="J770" s="23">
        <f>IF(OR($H770="",$I770=""),"",$H770*$I770)</f>
        <v/>
      </c>
      <c r="K770" s="24" t="n"/>
      <c r="L770" s="24" t="n"/>
      <c r="M770" s="29" t="n"/>
      <c r="N770" s="28" t="n"/>
      <c r="O770" s="24" t="n"/>
      <c r="P770" s="24" t="n"/>
      <c r="Q770" s="24" t="n"/>
      <c r="R770" s="24" t="n"/>
      <c r="S770" s="22">
        <f>IF(AND($A770="",$C770=""),"",IF($A770="","Thiếu mã đơn; ","")&amp;IF(COUNTIF($A$2:$A770,$A770)&gt;1,"Trùng mã đơn; ","")&amp;IF(ISNA(MATCH($C770,DATA_MASTER!$D$2:$D$5000,0)),"SĐT chưa đăng ký hội viên; ","")&amp;IF(AND($L770="Đã chuyển khoản",$M770=""),"Thiếu ngày nhận CK; ",""))</f>
        <v/>
      </c>
      <c r="T770" s="24" t="n"/>
    </row>
    <row r="771" ht="14.25" customHeight="1" s="40">
      <c r="A771" s="24" t="n"/>
      <c r="B771" s="29" t="n"/>
      <c r="C771" s="28" t="n"/>
      <c r="D771" s="22">
        <f t="array" ref="D771">IF($C771="","",IFERROR(INDEX(DATA_MASTER!$C$2:$C$5000,MATCH($C771,DATA_MASTER!$D$2:$D$5000,0)),""))</f>
        <v/>
      </c>
      <c r="E771" s="22">
        <f t="array" ref="E771">IF($C771="","",IFERROR(INDEX(DATA_MASTER!$I$2:$I$5000,MATCH($C771,DATA_MASTER!$D$2:$D$5000,0)),""))</f>
        <v/>
      </c>
      <c r="F771" s="22">
        <f t="array" ref="F771">IF($C771="","",IFERROR(INDEX(DATA_MASTER!$L$2:$L$5000,MATCH($C771,DATA_MASTER!$D$2:$D$5000,0)),""))</f>
        <v/>
      </c>
      <c r="G771" s="24" t="n"/>
      <c r="H771" s="24" t="n"/>
      <c r="I771" s="30" t="n"/>
      <c r="J771" s="23">
        <f>IF(OR($H771="",$I771=""),"",$H771*$I771)</f>
        <v/>
      </c>
      <c r="K771" s="24" t="n"/>
      <c r="L771" s="24" t="n"/>
      <c r="M771" s="29" t="n"/>
      <c r="N771" s="28" t="n"/>
      <c r="O771" s="24" t="n"/>
      <c r="P771" s="24" t="n"/>
      <c r="Q771" s="24" t="n"/>
      <c r="R771" s="24" t="n"/>
      <c r="S771" s="22">
        <f>IF(AND($A771="",$C771=""),"",IF($A771="","Thiếu mã đơn; ","")&amp;IF(COUNTIF($A$2:$A771,$A771)&gt;1,"Trùng mã đơn; ","")&amp;IF(ISNA(MATCH($C771,DATA_MASTER!$D$2:$D$5000,0)),"SĐT chưa đăng ký hội viên; ","")&amp;IF(AND($L771="Đã chuyển khoản",$M771=""),"Thiếu ngày nhận CK; ",""))</f>
        <v/>
      </c>
      <c r="T771" s="24" t="n"/>
    </row>
    <row r="772" ht="14.25" customHeight="1" s="40">
      <c r="A772" s="24" t="n"/>
      <c r="B772" s="29" t="n"/>
      <c r="C772" s="28" t="n"/>
      <c r="D772" s="22">
        <f t="array" ref="D772">IF($C772="","",IFERROR(INDEX(DATA_MASTER!$C$2:$C$5000,MATCH($C772,DATA_MASTER!$D$2:$D$5000,0)),""))</f>
        <v/>
      </c>
      <c r="E772" s="22">
        <f t="array" ref="E772">IF($C772="","",IFERROR(INDEX(DATA_MASTER!$I$2:$I$5000,MATCH($C772,DATA_MASTER!$D$2:$D$5000,0)),""))</f>
        <v/>
      </c>
      <c r="F772" s="22">
        <f t="array" ref="F772">IF($C772="","",IFERROR(INDEX(DATA_MASTER!$L$2:$L$5000,MATCH($C772,DATA_MASTER!$D$2:$D$5000,0)),""))</f>
        <v/>
      </c>
      <c r="G772" s="24" t="n"/>
      <c r="H772" s="24" t="n"/>
      <c r="I772" s="30" t="n"/>
      <c r="J772" s="23">
        <f>IF(OR($H772="",$I772=""),"",$H772*$I772)</f>
        <v/>
      </c>
      <c r="K772" s="24" t="n"/>
      <c r="L772" s="24" t="n"/>
      <c r="M772" s="29" t="n"/>
      <c r="N772" s="28" t="n"/>
      <c r="O772" s="24" t="n"/>
      <c r="P772" s="24" t="n"/>
      <c r="Q772" s="24" t="n"/>
      <c r="R772" s="24" t="n"/>
      <c r="S772" s="22">
        <f>IF(AND($A772="",$C772=""),"",IF($A772="","Thiếu mã đơn; ","")&amp;IF(COUNTIF($A$2:$A772,$A772)&gt;1,"Trùng mã đơn; ","")&amp;IF(ISNA(MATCH($C772,DATA_MASTER!$D$2:$D$5000,0)),"SĐT chưa đăng ký hội viên; ","")&amp;IF(AND($L772="Đã chuyển khoản",$M772=""),"Thiếu ngày nhận CK; ",""))</f>
        <v/>
      </c>
      <c r="T772" s="24" t="n"/>
    </row>
    <row r="773" ht="14.25" customHeight="1" s="40">
      <c r="A773" s="24" t="n"/>
      <c r="B773" s="29" t="n"/>
      <c r="C773" s="28" t="n"/>
      <c r="D773" s="22">
        <f t="array" ref="D773">IF($C773="","",IFERROR(INDEX(DATA_MASTER!$C$2:$C$5000,MATCH($C773,DATA_MASTER!$D$2:$D$5000,0)),""))</f>
        <v/>
      </c>
      <c r="E773" s="22">
        <f t="array" ref="E773">IF($C773="","",IFERROR(INDEX(DATA_MASTER!$I$2:$I$5000,MATCH($C773,DATA_MASTER!$D$2:$D$5000,0)),""))</f>
        <v/>
      </c>
      <c r="F773" s="22">
        <f t="array" ref="F773">IF($C773="","",IFERROR(INDEX(DATA_MASTER!$L$2:$L$5000,MATCH($C773,DATA_MASTER!$D$2:$D$5000,0)),""))</f>
        <v/>
      </c>
      <c r="G773" s="24" t="n"/>
      <c r="H773" s="24" t="n"/>
      <c r="I773" s="30" t="n"/>
      <c r="J773" s="23">
        <f>IF(OR($H773="",$I773=""),"",$H773*$I773)</f>
        <v/>
      </c>
      <c r="K773" s="24" t="n"/>
      <c r="L773" s="24" t="n"/>
      <c r="M773" s="29" t="n"/>
      <c r="N773" s="28" t="n"/>
      <c r="O773" s="24" t="n"/>
      <c r="P773" s="24" t="n"/>
      <c r="Q773" s="24" t="n"/>
      <c r="R773" s="24" t="n"/>
      <c r="S773" s="22">
        <f>IF(AND($A773="",$C773=""),"",IF($A773="","Thiếu mã đơn; ","")&amp;IF(COUNTIF($A$2:$A773,$A773)&gt;1,"Trùng mã đơn; ","")&amp;IF(ISNA(MATCH($C773,DATA_MASTER!$D$2:$D$5000,0)),"SĐT chưa đăng ký hội viên; ","")&amp;IF(AND($L773="Đã chuyển khoản",$M773=""),"Thiếu ngày nhận CK; ",""))</f>
        <v/>
      </c>
      <c r="T773" s="24" t="n"/>
    </row>
    <row r="774" ht="14.25" customHeight="1" s="40">
      <c r="A774" s="24" t="n"/>
      <c r="B774" s="29" t="n"/>
      <c r="C774" s="28" t="n"/>
      <c r="D774" s="22">
        <f t="array" ref="D774">IF($C774="","",IFERROR(INDEX(DATA_MASTER!$C$2:$C$5000,MATCH($C774,DATA_MASTER!$D$2:$D$5000,0)),""))</f>
        <v/>
      </c>
      <c r="E774" s="22">
        <f t="array" ref="E774">IF($C774="","",IFERROR(INDEX(DATA_MASTER!$I$2:$I$5000,MATCH($C774,DATA_MASTER!$D$2:$D$5000,0)),""))</f>
        <v/>
      </c>
      <c r="F774" s="22">
        <f t="array" ref="F774">IF($C774="","",IFERROR(INDEX(DATA_MASTER!$L$2:$L$5000,MATCH($C774,DATA_MASTER!$D$2:$D$5000,0)),""))</f>
        <v/>
      </c>
      <c r="G774" s="24" t="n"/>
      <c r="H774" s="24" t="n"/>
      <c r="I774" s="30" t="n"/>
      <c r="J774" s="23">
        <f>IF(OR($H774="",$I774=""),"",$H774*$I774)</f>
        <v/>
      </c>
      <c r="K774" s="24" t="n"/>
      <c r="L774" s="24" t="n"/>
      <c r="M774" s="29" t="n"/>
      <c r="N774" s="28" t="n"/>
      <c r="O774" s="24" t="n"/>
      <c r="P774" s="24" t="n"/>
      <c r="Q774" s="24" t="n"/>
      <c r="R774" s="24" t="n"/>
      <c r="S774" s="22">
        <f>IF(AND($A774="",$C774=""),"",IF($A774="","Thiếu mã đơn; ","")&amp;IF(COUNTIF($A$2:$A774,$A774)&gt;1,"Trùng mã đơn; ","")&amp;IF(ISNA(MATCH($C774,DATA_MASTER!$D$2:$D$5000,0)),"SĐT chưa đăng ký hội viên; ","")&amp;IF(AND($L774="Đã chuyển khoản",$M774=""),"Thiếu ngày nhận CK; ",""))</f>
        <v/>
      </c>
      <c r="T774" s="24" t="n"/>
    </row>
    <row r="775" ht="14.25" customHeight="1" s="40">
      <c r="A775" s="24" t="n"/>
      <c r="B775" s="29" t="n"/>
      <c r="C775" s="28" t="n"/>
      <c r="D775" s="22">
        <f t="array" ref="D775">IF($C775="","",IFERROR(INDEX(DATA_MASTER!$C$2:$C$5000,MATCH($C775,DATA_MASTER!$D$2:$D$5000,0)),""))</f>
        <v/>
      </c>
      <c r="E775" s="22">
        <f t="array" ref="E775">IF($C775="","",IFERROR(INDEX(DATA_MASTER!$I$2:$I$5000,MATCH($C775,DATA_MASTER!$D$2:$D$5000,0)),""))</f>
        <v/>
      </c>
      <c r="F775" s="22">
        <f t="array" ref="F775">IF($C775="","",IFERROR(INDEX(DATA_MASTER!$L$2:$L$5000,MATCH($C775,DATA_MASTER!$D$2:$D$5000,0)),""))</f>
        <v/>
      </c>
      <c r="G775" s="24" t="n"/>
      <c r="H775" s="24" t="n"/>
      <c r="I775" s="30" t="n"/>
      <c r="J775" s="23">
        <f>IF(OR($H775="",$I775=""),"",$H775*$I775)</f>
        <v/>
      </c>
      <c r="K775" s="24" t="n"/>
      <c r="L775" s="24" t="n"/>
      <c r="M775" s="29" t="n"/>
      <c r="N775" s="28" t="n"/>
      <c r="O775" s="24" t="n"/>
      <c r="P775" s="24" t="n"/>
      <c r="Q775" s="24" t="n"/>
      <c r="R775" s="24" t="n"/>
      <c r="S775" s="22">
        <f>IF(AND($A775="",$C775=""),"",IF($A775="","Thiếu mã đơn; ","")&amp;IF(COUNTIF($A$2:$A775,$A775)&gt;1,"Trùng mã đơn; ","")&amp;IF(ISNA(MATCH($C775,DATA_MASTER!$D$2:$D$5000,0)),"SĐT chưa đăng ký hội viên; ","")&amp;IF(AND($L775="Đã chuyển khoản",$M775=""),"Thiếu ngày nhận CK; ",""))</f>
        <v/>
      </c>
      <c r="T775" s="24" t="n"/>
    </row>
    <row r="776" ht="14.25" customHeight="1" s="40">
      <c r="A776" s="24" t="n"/>
      <c r="B776" s="29" t="n"/>
      <c r="C776" s="28" t="n"/>
      <c r="D776" s="22">
        <f t="array" ref="D776">IF($C776="","",IFERROR(INDEX(DATA_MASTER!$C$2:$C$5000,MATCH($C776,DATA_MASTER!$D$2:$D$5000,0)),""))</f>
        <v/>
      </c>
      <c r="E776" s="22">
        <f t="array" ref="E776">IF($C776="","",IFERROR(INDEX(DATA_MASTER!$I$2:$I$5000,MATCH($C776,DATA_MASTER!$D$2:$D$5000,0)),""))</f>
        <v/>
      </c>
      <c r="F776" s="22">
        <f t="array" ref="F776">IF($C776="","",IFERROR(INDEX(DATA_MASTER!$L$2:$L$5000,MATCH($C776,DATA_MASTER!$D$2:$D$5000,0)),""))</f>
        <v/>
      </c>
      <c r="G776" s="24" t="n"/>
      <c r="H776" s="24" t="n"/>
      <c r="I776" s="30" t="n"/>
      <c r="J776" s="23">
        <f>IF(OR($H776="",$I776=""),"",$H776*$I776)</f>
        <v/>
      </c>
      <c r="K776" s="24" t="n"/>
      <c r="L776" s="24" t="n"/>
      <c r="M776" s="29" t="n"/>
      <c r="N776" s="28" t="n"/>
      <c r="O776" s="24" t="n"/>
      <c r="P776" s="24" t="n"/>
      <c r="Q776" s="24" t="n"/>
      <c r="R776" s="24" t="n"/>
      <c r="S776" s="22">
        <f>IF(AND($A776="",$C776=""),"",IF($A776="","Thiếu mã đơn; ","")&amp;IF(COUNTIF($A$2:$A776,$A776)&gt;1,"Trùng mã đơn; ","")&amp;IF(ISNA(MATCH($C776,DATA_MASTER!$D$2:$D$5000,0)),"SĐT chưa đăng ký hội viên; ","")&amp;IF(AND($L776="Đã chuyển khoản",$M776=""),"Thiếu ngày nhận CK; ",""))</f>
        <v/>
      </c>
      <c r="T776" s="24" t="n"/>
    </row>
    <row r="777" ht="14.25" customHeight="1" s="40">
      <c r="A777" s="24" t="n"/>
      <c r="B777" s="29" t="n"/>
      <c r="C777" s="28" t="n"/>
      <c r="D777" s="22">
        <f t="array" ref="D777">IF($C777="","",IFERROR(INDEX(DATA_MASTER!$C$2:$C$5000,MATCH($C777,DATA_MASTER!$D$2:$D$5000,0)),""))</f>
        <v/>
      </c>
      <c r="E777" s="22">
        <f t="array" ref="E777">IF($C777="","",IFERROR(INDEX(DATA_MASTER!$I$2:$I$5000,MATCH($C777,DATA_MASTER!$D$2:$D$5000,0)),""))</f>
        <v/>
      </c>
      <c r="F777" s="22">
        <f t="array" ref="F777">IF($C777="","",IFERROR(INDEX(DATA_MASTER!$L$2:$L$5000,MATCH($C777,DATA_MASTER!$D$2:$D$5000,0)),""))</f>
        <v/>
      </c>
      <c r="G777" s="24" t="n"/>
      <c r="H777" s="24" t="n"/>
      <c r="I777" s="30" t="n"/>
      <c r="J777" s="23">
        <f>IF(OR($H777="",$I777=""),"",$H777*$I777)</f>
        <v/>
      </c>
      <c r="K777" s="24" t="n"/>
      <c r="L777" s="24" t="n"/>
      <c r="M777" s="29" t="n"/>
      <c r="N777" s="28" t="n"/>
      <c r="O777" s="24" t="n"/>
      <c r="P777" s="24" t="n"/>
      <c r="Q777" s="24" t="n"/>
      <c r="R777" s="24" t="n"/>
      <c r="S777" s="22">
        <f>IF(AND($A777="",$C777=""),"",IF($A777="","Thiếu mã đơn; ","")&amp;IF(COUNTIF($A$2:$A777,$A777)&gt;1,"Trùng mã đơn; ","")&amp;IF(ISNA(MATCH($C777,DATA_MASTER!$D$2:$D$5000,0)),"SĐT chưa đăng ký hội viên; ","")&amp;IF(AND($L777="Đã chuyển khoản",$M777=""),"Thiếu ngày nhận CK; ",""))</f>
        <v/>
      </c>
      <c r="T777" s="24" t="n"/>
    </row>
    <row r="778" ht="14.25" customHeight="1" s="40">
      <c r="A778" s="24" t="n"/>
      <c r="B778" s="29" t="n"/>
      <c r="C778" s="28" t="n"/>
      <c r="D778" s="22">
        <f t="array" ref="D778">IF($C778="","",IFERROR(INDEX(DATA_MASTER!$C$2:$C$5000,MATCH($C778,DATA_MASTER!$D$2:$D$5000,0)),""))</f>
        <v/>
      </c>
      <c r="E778" s="22">
        <f t="array" ref="E778">IF($C778="","",IFERROR(INDEX(DATA_MASTER!$I$2:$I$5000,MATCH($C778,DATA_MASTER!$D$2:$D$5000,0)),""))</f>
        <v/>
      </c>
      <c r="F778" s="22">
        <f t="array" ref="F778">IF($C778="","",IFERROR(INDEX(DATA_MASTER!$L$2:$L$5000,MATCH($C778,DATA_MASTER!$D$2:$D$5000,0)),""))</f>
        <v/>
      </c>
      <c r="G778" s="24" t="n"/>
      <c r="H778" s="24" t="n"/>
      <c r="I778" s="30" t="n"/>
      <c r="J778" s="23">
        <f>IF(OR($H778="",$I778=""),"",$H778*$I778)</f>
        <v/>
      </c>
      <c r="K778" s="24" t="n"/>
      <c r="L778" s="24" t="n"/>
      <c r="M778" s="29" t="n"/>
      <c r="N778" s="28" t="n"/>
      <c r="O778" s="24" t="n"/>
      <c r="P778" s="24" t="n"/>
      <c r="Q778" s="24" t="n"/>
      <c r="R778" s="24" t="n"/>
      <c r="S778" s="22">
        <f>IF(AND($A778="",$C778=""),"",IF($A778="","Thiếu mã đơn; ","")&amp;IF(COUNTIF($A$2:$A778,$A778)&gt;1,"Trùng mã đơn; ","")&amp;IF(ISNA(MATCH($C778,DATA_MASTER!$D$2:$D$5000,0)),"SĐT chưa đăng ký hội viên; ","")&amp;IF(AND($L778="Đã chuyển khoản",$M778=""),"Thiếu ngày nhận CK; ",""))</f>
        <v/>
      </c>
      <c r="T778" s="24" t="n"/>
    </row>
    <row r="779" ht="14.25" customHeight="1" s="40">
      <c r="A779" s="24" t="n"/>
      <c r="B779" s="29" t="n"/>
      <c r="C779" s="28" t="n"/>
      <c r="D779" s="22">
        <f t="array" ref="D779">IF($C779="","",IFERROR(INDEX(DATA_MASTER!$C$2:$C$5000,MATCH($C779,DATA_MASTER!$D$2:$D$5000,0)),""))</f>
        <v/>
      </c>
      <c r="E779" s="22">
        <f t="array" ref="E779">IF($C779="","",IFERROR(INDEX(DATA_MASTER!$I$2:$I$5000,MATCH($C779,DATA_MASTER!$D$2:$D$5000,0)),""))</f>
        <v/>
      </c>
      <c r="F779" s="22">
        <f t="array" ref="F779">IF($C779="","",IFERROR(INDEX(DATA_MASTER!$L$2:$L$5000,MATCH($C779,DATA_MASTER!$D$2:$D$5000,0)),""))</f>
        <v/>
      </c>
      <c r="G779" s="24" t="n"/>
      <c r="H779" s="24" t="n"/>
      <c r="I779" s="30" t="n"/>
      <c r="J779" s="23">
        <f>IF(OR($H779="",$I779=""),"",$H779*$I779)</f>
        <v/>
      </c>
      <c r="K779" s="24" t="n"/>
      <c r="L779" s="24" t="n"/>
      <c r="M779" s="29" t="n"/>
      <c r="N779" s="28" t="n"/>
      <c r="O779" s="24" t="n"/>
      <c r="P779" s="24" t="n"/>
      <c r="Q779" s="24" t="n"/>
      <c r="R779" s="24" t="n"/>
      <c r="S779" s="22">
        <f>IF(AND($A779="",$C779=""),"",IF($A779="","Thiếu mã đơn; ","")&amp;IF(COUNTIF($A$2:$A779,$A779)&gt;1,"Trùng mã đơn; ","")&amp;IF(ISNA(MATCH($C779,DATA_MASTER!$D$2:$D$5000,0)),"SĐT chưa đăng ký hội viên; ","")&amp;IF(AND($L779="Đã chuyển khoản",$M779=""),"Thiếu ngày nhận CK; ",""))</f>
        <v/>
      </c>
      <c r="T779" s="24" t="n"/>
    </row>
    <row r="780" ht="14.25" customHeight="1" s="40">
      <c r="A780" s="24" t="n"/>
      <c r="B780" s="29" t="n"/>
      <c r="C780" s="28" t="n"/>
      <c r="D780" s="22">
        <f t="array" ref="D780">IF($C780="","",IFERROR(INDEX(DATA_MASTER!$C$2:$C$5000,MATCH($C780,DATA_MASTER!$D$2:$D$5000,0)),""))</f>
        <v/>
      </c>
      <c r="E780" s="22">
        <f t="array" ref="E780">IF($C780="","",IFERROR(INDEX(DATA_MASTER!$I$2:$I$5000,MATCH($C780,DATA_MASTER!$D$2:$D$5000,0)),""))</f>
        <v/>
      </c>
      <c r="F780" s="22">
        <f t="array" ref="F780">IF($C780="","",IFERROR(INDEX(DATA_MASTER!$L$2:$L$5000,MATCH($C780,DATA_MASTER!$D$2:$D$5000,0)),""))</f>
        <v/>
      </c>
      <c r="G780" s="24" t="n"/>
      <c r="H780" s="24" t="n"/>
      <c r="I780" s="30" t="n"/>
      <c r="J780" s="23">
        <f>IF(OR($H780="",$I780=""),"",$H780*$I780)</f>
        <v/>
      </c>
      <c r="K780" s="24" t="n"/>
      <c r="L780" s="24" t="n"/>
      <c r="M780" s="29" t="n"/>
      <c r="N780" s="28" t="n"/>
      <c r="O780" s="24" t="n"/>
      <c r="P780" s="24" t="n"/>
      <c r="Q780" s="24" t="n"/>
      <c r="R780" s="24" t="n"/>
      <c r="S780" s="22">
        <f>IF(AND($A780="",$C780=""),"",IF($A780="","Thiếu mã đơn; ","")&amp;IF(COUNTIF($A$2:$A780,$A780)&gt;1,"Trùng mã đơn; ","")&amp;IF(ISNA(MATCH($C780,DATA_MASTER!$D$2:$D$5000,0)),"SĐT chưa đăng ký hội viên; ","")&amp;IF(AND($L780="Đã chuyển khoản",$M780=""),"Thiếu ngày nhận CK; ",""))</f>
        <v/>
      </c>
      <c r="T780" s="24" t="n"/>
    </row>
    <row r="781" ht="14.25" customHeight="1" s="40">
      <c r="A781" s="24" t="n"/>
      <c r="B781" s="29" t="n"/>
      <c r="C781" s="28" t="n"/>
      <c r="D781" s="22">
        <f t="array" ref="D781">IF($C781="","",IFERROR(INDEX(DATA_MASTER!$C$2:$C$5000,MATCH($C781,DATA_MASTER!$D$2:$D$5000,0)),""))</f>
        <v/>
      </c>
      <c r="E781" s="22">
        <f t="array" ref="E781">IF($C781="","",IFERROR(INDEX(DATA_MASTER!$I$2:$I$5000,MATCH($C781,DATA_MASTER!$D$2:$D$5000,0)),""))</f>
        <v/>
      </c>
      <c r="F781" s="22">
        <f t="array" ref="F781">IF($C781="","",IFERROR(INDEX(DATA_MASTER!$L$2:$L$5000,MATCH($C781,DATA_MASTER!$D$2:$D$5000,0)),""))</f>
        <v/>
      </c>
      <c r="G781" s="24" t="n"/>
      <c r="H781" s="24" t="n"/>
      <c r="I781" s="30" t="n"/>
      <c r="J781" s="23">
        <f>IF(OR($H781="",$I781=""),"",$H781*$I781)</f>
        <v/>
      </c>
      <c r="K781" s="24" t="n"/>
      <c r="L781" s="24" t="n"/>
      <c r="M781" s="29" t="n"/>
      <c r="N781" s="28" t="n"/>
      <c r="O781" s="24" t="n"/>
      <c r="P781" s="24" t="n"/>
      <c r="Q781" s="24" t="n"/>
      <c r="R781" s="24" t="n"/>
      <c r="S781" s="22">
        <f>IF(AND($A781="",$C781=""),"",IF($A781="","Thiếu mã đơn; ","")&amp;IF(COUNTIF($A$2:$A781,$A781)&gt;1,"Trùng mã đơn; ","")&amp;IF(ISNA(MATCH($C781,DATA_MASTER!$D$2:$D$5000,0)),"SĐT chưa đăng ký hội viên; ","")&amp;IF(AND($L781="Đã chuyển khoản",$M781=""),"Thiếu ngày nhận CK; ",""))</f>
        <v/>
      </c>
      <c r="T781" s="24" t="n"/>
    </row>
    <row r="782" ht="14.25" customHeight="1" s="40">
      <c r="A782" s="24" t="n"/>
      <c r="B782" s="29" t="n"/>
      <c r="C782" s="28" t="n"/>
      <c r="D782" s="22">
        <f t="array" ref="D782">IF($C782="","",IFERROR(INDEX(DATA_MASTER!$C$2:$C$5000,MATCH($C782,DATA_MASTER!$D$2:$D$5000,0)),""))</f>
        <v/>
      </c>
      <c r="E782" s="22">
        <f t="array" ref="E782">IF($C782="","",IFERROR(INDEX(DATA_MASTER!$I$2:$I$5000,MATCH($C782,DATA_MASTER!$D$2:$D$5000,0)),""))</f>
        <v/>
      </c>
      <c r="F782" s="22">
        <f t="array" ref="F782">IF($C782="","",IFERROR(INDEX(DATA_MASTER!$L$2:$L$5000,MATCH($C782,DATA_MASTER!$D$2:$D$5000,0)),""))</f>
        <v/>
      </c>
      <c r="G782" s="24" t="n"/>
      <c r="H782" s="24" t="n"/>
      <c r="I782" s="30" t="n"/>
      <c r="J782" s="23">
        <f>IF(OR($H782="",$I782=""),"",$H782*$I782)</f>
        <v/>
      </c>
      <c r="K782" s="24" t="n"/>
      <c r="L782" s="24" t="n"/>
      <c r="M782" s="29" t="n"/>
      <c r="N782" s="28" t="n"/>
      <c r="O782" s="24" t="n"/>
      <c r="P782" s="24" t="n"/>
      <c r="Q782" s="24" t="n"/>
      <c r="R782" s="24" t="n"/>
      <c r="S782" s="22">
        <f>IF(AND($A782="",$C782=""),"",IF($A782="","Thiếu mã đơn; ","")&amp;IF(COUNTIF($A$2:$A782,$A782)&gt;1,"Trùng mã đơn; ","")&amp;IF(ISNA(MATCH($C782,DATA_MASTER!$D$2:$D$5000,0)),"SĐT chưa đăng ký hội viên; ","")&amp;IF(AND($L782="Đã chuyển khoản",$M782=""),"Thiếu ngày nhận CK; ",""))</f>
        <v/>
      </c>
      <c r="T782" s="24" t="n"/>
    </row>
    <row r="783" ht="14.25" customHeight="1" s="40">
      <c r="A783" s="24" t="n"/>
      <c r="B783" s="29" t="n"/>
      <c r="C783" s="28" t="n"/>
      <c r="D783" s="22">
        <f t="array" ref="D783">IF($C783="","",IFERROR(INDEX(DATA_MASTER!$C$2:$C$5000,MATCH($C783,DATA_MASTER!$D$2:$D$5000,0)),""))</f>
        <v/>
      </c>
      <c r="E783" s="22">
        <f t="array" ref="E783">IF($C783="","",IFERROR(INDEX(DATA_MASTER!$I$2:$I$5000,MATCH($C783,DATA_MASTER!$D$2:$D$5000,0)),""))</f>
        <v/>
      </c>
      <c r="F783" s="22">
        <f t="array" ref="F783">IF($C783="","",IFERROR(INDEX(DATA_MASTER!$L$2:$L$5000,MATCH($C783,DATA_MASTER!$D$2:$D$5000,0)),""))</f>
        <v/>
      </c>
      <c r="G783" s="24" t="n"/>
      <c r="H783" s="24" t="n"/>
      <c r="I783" s="30" t="n"/>
      <c r="J783" s="23">
        <f>IF(OR($H783="",$I783=""),"",$H783*$I783)</f>
        <v/>
      </c>
      <c r="K783" s="24" t="n"/>
      <c r="L783" s="24" t="n"/>
      <c r="M783" s="29" t="n"/>
      <c r="N783" s="28" t="n"/>
      <c r="O783" s="24" t="n"/>
      <c r="P783" s="24" t="n"/>
      <c r="Q783" s="24" t="n"/>
      <c r="R783" s="24" t="n"/>
      <c r="S783" s="22">
        <f>IF(AND($A783="",$C783=""),"",IF($A783="","Thiếu mã đơn; ","")&amp;IF(COUNTIF($A$2:$A783,$A783)&gt;1,"Trùng mã đơn; ","")&amp;IF(ISNA(MATCH($C783,DATA_MASTER!$D$2:$D$5000,0)),"SĐT chưa đăng ký hội viên; ","")&amp;IF(AND($L783="Đã chuyển khoản",$M783=""),"Thiếu ngày nhận CK; ",""))</f>
        <v/>
      </c>
      <c r="T783" s="24" t="n"/>
    </row>
    <row r="784" ht="14.25" customHeight="1" s="40">
      <c r="A784" s="24" t="n"/>
      <c r="B784" s="29" t="n"/>
      <c r="C784" s="28" t="n"/>
      <c r="D784" s="22">
        <f t="array" ref="D784">IF($C784="","",IFERROR(INDEX(DATA_MASTER!$C$2:$C$5000,MATCH($C784,DATA_MASTER!$D$2:$D$5000,0)),""))</f>
        <v/>
      </c>
      <c r="E784" s="22">
        <f t="array" ref="E784">IF($C784="","",IFERROR(INDEX(DATA_MASTER!$I$2:$I$5000,MATCH($C784,DATA_MASTER!$D$2:$D$5000,0)),""))</f>
        <v/>
      </c>
      <c r="F784" s="22">
        <f t="array" ref="F784">IF($C784="","",IFERROR(INDEX(DATA_MASTER!$L$2:$L$5000,MATCH($C784,DATA_MASTER!$D$2:$D$5000,0)),""))</f>
        <v/>
      </c>
      <c r="G784" s="24" t="n"/>
      <c r="H784" s="24" t="n"/>
      <c r="I784" s="30" t="n"/>
      <c r="J784" s="23">
        <f>IF(OR($H784="",$I784=""),"",$H784*$I784)</f>
        <v/>
      </c>
      <c r="K784" s="24" t="n"/>
      <c r="L784" s="24" t="n"/>
      <c r="M784" s="29" t="n"/>
      <c r="N784" s="28" t="n"/>
      <c r="O784" s="24" t="n"/>
      <c r="P784" s="24" t="n"/>
      <c r="Q784" s="24" t="n"/>
      <c r="R784" s="24" t="n"/>
      <c r="S784" s="22">
        <f>IF(AND($A784="",$C784=""),"",IF($A784="","Thiếu mã đơn; ","")&amp;IF(COUNTIF($A$2:$A784,$A784)&gt;1,"Trùng mã đơn; ","")&amp;IF(ISNA(MATCH($C784,DATA_MASTER!$D$2:$D$5000,0)),"SĐT chưa đăng ký hội viên; ","")&amp;IF(AND($L784="Đã chuyển khoản",$M784=""),"Thiếu ngày nhận CK; ",""))</f>
        <v/>
      </c>
      <c r="T784" s="24" t="n"/>
    </row>
    <row r="785" ht="14.25" customHeight="1" s="40">
      <c r="A785" s="24" t="n"/>
      <c r="B785" s="29" t="n"/>
      <c r="C785" s="28" t="n"/>
      <c r="D785" s="22">
        <f t="array" ref="D785">IF($C785="","",IFERROR(INDEX(DATA_MASTER!$C$2:$C$5000,MATCH($C785,DATA_MASTER!$D$2:$D$5000,0)),""))</f>
        <v/>
      </c>
      <c r="E785" s="22">
        <f t="array" ref="E785">IF($C785="","",IFERROR(INDEX(DATA_MASTER!$I$2:$I$5000,MATCH($C785,DATA_MASTER!$D$2:$D$5000,0)),""))</f>
        <v/>
      </c>
      <c r="F785" s="22">
        <f t="array" ref="F785">IF($C785="","",IFERROR(INDEX(DATA_MASTER!$L$2:$L$5000,MATCH($C785,DATA_MASTER!$D$2:$D$5000,0)),""))</f>
        <v/>
      </c>
      <c r="G785" s="24" t="n"/>
      <c r="H785" s="24" t="n"/>
      <c r="I785" s="30" t="n"/>
      <c r="J785" s="23">
        <f>IF(OR($H785="",$I785=""),"",$H785*$I785)</f>
        <v/>
      </c>
      <c r="K785" s="24" t="n"/>
      <c r="L785" s="24" t="n"/>
      <c r="M785" s="29" t="n"/>
      <c r="N785" s="28" t="n"/>
      <c r="O785" s="24" t="n"/>
      <c r="P785" s="24" t="n"/>
      <c r="Q785" s="24" t="n"/>
      <c r="R785" s="24" t="n"/>
      <c r="S785" s="22">
        <f>IF(AND($A785="",$C785=""),"",IF($A785="","Thiếu mã đơn; ","")&amp;IF(COUNTIF($A$2:$A785,$A785)&gt;1,"Trùng mã đơn; ","")&amp;IF(ISNA(MATCH($C785,DATA_MASTER!$D$2:$D$5000,0)),"SĐT chưa đăng ký hội viên; ","")&amp;IF(AND($L785="Đã chuyển khoản",$M785=""),"Thiếu ngày nhận CK; ",""))</f>
        <v/>
      </c>
      <c r="T785" s="24" t="n"/>
    </row>
    <row r="786" ht="14.25" customHeight="1" s="40">
      <c r="A786" s="24" t="n"/>
      <c r="B786" s="29" t="n"/>
      <c r="C786" s="28" t="n"/>
      <c r="D786" s="22">
        <f t="array" ref="D786">IF($C786="","",IFERROR(INDEX(DATA_MASTER!$C$2:$C$5000,MATCH($C786,DATA_MASTER!$D$2:$D$5000,0)),""))</f>
        <v/>
      </c>
      <c r="E786" s="22">
        <f t="array" ref="E786">IF($C786="","",IFERROR(INDEX(DATA_MASTER!$I$2:$I$5000,MATCH($C786,DATA_MASTER!$D$2:$D$5000,0)),""))</f>
        <v/>
      </c>
      <c r="F786" s="22">
        <f t="array" ref="F786">IF($C786="","",IFERROR(INDEX(DATA_MASTER!$L$2:$L$5000,MATCH($C786,DATA_MASTER!$D$2:$D$5000,0)),""))</f>
        <v/>
      </c>
      <c r="G786" s="24" t="n"/>
      <c r="H786" s="24" t="n"/>
      <c r="I786" s="30" t="n"/>
      <c r="J786" s="23">
        <f>IF(OR($H786="",$I786=""),"",$H786*$I786)</f>
        <v/>
      </c>
      <c r="K786" s="24" t="n"/>
      <c r="L786" s="24" t="n"/>
      <c r="M786" s="29" t="n"/>
      <c r="N786" s="28" t="n"/>
      <c r="O786" s="24" t="n"/>
      <c r="P786" s="24" t="n"/>
      <c r="Q786" s="24" t="n"/>
      <c r="R786" s="24" t="n"/>
      <c r="S786" s="22">
        <f>IF(AND($A786="",$C786=""),"",IF($A786="","Thiếu mã đơn; ","")&amp;IF(COUNTIF($A$2:$A786,$A786)&gt;1,"Trùng mã đơn; ","")&amp;IF(ISNA(MATCH($C786,DATA_MASTER!$D$2:$D$5000,0)),"SĐT chưa đăng ký hội viên; ","")&amp;IF(AND($L786="Đã chuyển khoản",$M786=""),"Thiếu ngày nhận CK; ",""))</f>
        <v/>
      </c>
      <c r="T786" s="24" t="n"/>
    </row>
    <row r="787" ht="14.25" customHeight="1" s="40">
      <c r="A787" s="24" t="n"/>
      <c r="B787" s="29" t="n"/>
      <c r="C787" s="28" t="n"/>
      <c r="D787" s="22">
        <f t="array" ref="D787">IF($C787="","",IFERROR(INDEX(DATA_MASTER!$C$2:$C$5000,MATCH($C787,DATA_MASTER!$D$2:$D$5000,0)),""))</f>
        <v/>
      </c>
      <c r="E787" s="22">
        <f t="array" ref="E787">IF($C787="","",IFERROR(INDEX(DATA_MASTER!$I$2:$I$5000,MATCH($C787,DATA_MASTER!$D$2:$D$5000,0)),""))</f>
        <v/>
      </c>
      <c r="F787" s="22">
        <f t="array" ref="F787">IF($C787="","",IFERROR(INDEX(DATA_MASTER!$L$2:$L$5000,MATCH($C787,DATA_MASTER!$D$2:$D$5000,0)),""))</f>
        <v/>
      </c>
      <c r="G787" s="24" t="n"/>
      <c r="H787" s="24" t="n"/>
      <c r="I787" s="30" t="n"/>
      <c r="J787" s="23">
        <f>IF(OR($H787="",$I787=""),"",$H787*$I787)</f>
        <v/>
      </c>
      <c r="K787" s="24" t="n"/>
      <c r="L787" s="24" t="n"/>
      <c r="M787" s="29" t="n"/>
      <c r="N787" s="28" t="n"/>
      <c r="O787" s="24" t="n"/>
      <c r="P787" s="24" t="n"/>
      <c r="Q787" s="24" t="n"/>
      <c r="R787" s="24" t="n"/>
      <c r="S787" s="22">
        <f>IF(AND($A787="",$C787=""),"",IF($A787="","Thiếu mã đơn; ","")&amp;IF(COUNTIF($A$2:$A787,$A787)&gt;1,"Trùng mã đơn; ","")&amp;IF(ISNA(MATCH($C787,DATA_MASTER!$D$2:$D$5000,0)),"SĐT chưa đăng ký hội viên; ","")&amp;IF(AND($L787="Đã chuyển khoản",$M787=""),"Thiếu ngày nhận CK; ",""))</f>
        <v/>
      </c>
      <c r="T787" s="24" t="n"/>
    </row>
    <row r="788" ht="14.25" customHeight="1" s="40">
      <c r="A788" s="24" t="n"/>
      <c r="B788" s="29" t="n"/>
      <c r="C788" s="28" t="n"/>
      <c r="D788" s="22">
        <f t="array" ref="D788">IF($C788="","",IFERROR(INDEX(DATA_MASTER!$C$2:$C$5000,MATCH($C788,DATA_MASTER!$D$2:$D$5000,0)),""))</f>
        <v/>
      </c>
      <c r="E788" s="22">
        <f t="array" ref="E788">IF($C788="","",IFERROR(INDEX(DATA_MASTER!$I$2:$I$5000,MATCH($C788,DATA_MASTER!$D$2:$D$5000,0)),""))</f>
        <v/>
      </c>
      <c r="F788" s="22">
        <f t="array" ref="F788">IF($C788="","",IFERROR(INDEX(DATA_MASTER!$L$2:$L$5000,MATCH($C788,DATA_MASTER!$D$2:$D$5000,0)),""))</f>
        <v/>
      </c>
      <c r="G788" s="24" t="n"/>
      <c r="H788" s="24" t="n"/>
      <c r="I788" s="30" t="n"/>
      <c r="J788" s="23">
        <f>IF(OR($H788="",$I788=""),"",$H788*$I788)</f>
        <v/>
      </c>
      <c r="K788" s="24" t="n"/>
      <c r="L788" s="24" t="n"/>
      <c r="M788" s="29" t="n"/>
      <c r="N788" s="28" t="n"/>
      <c r="O788" s="24" t="n"/>
      <c r="P788" s="24" t="n"/>
      <c r="Q788" s="24" t="n"/>
      <c r="R788" s="24" t="n"/>
      <c r="S788" s="22">
        <f>IF(AND($A788="",$C788=""),"",IF($A788="","Thiếu mã đơn; ","")&amp;IF(COUNTIF($A$2:$A788,$A788)&gt;1,"Trùng mã đơn; ","")&amp;IF(ISNA(MATCH($C788,DATA_MASTER!$D$2:$D$5000,0)),"SĐT chưa đăng ký hội viên; ","")&amp;IF(AND($L788="Đã chuyển khoản",$M788=""),"Thiếu ngày nhận CK; ",""))</f>
        <v/>
      </c>
      <c r="T788" s="24" t="n"/>
    </row>
    <row r="789" ht="14.25" customHeight="1" s="40">
      <c r="A789" s="24" t="n"/>
      <c r="B789" s="29" t="n"/>
      <c r="C789" s="28" t="n"/>
      <c r="D789" s="22">
        <f t="array" ref="D789">IF($C789="","",IFERROR(INDEX(DATA_MASTER!$C$2:$C$5000,MATCH($C789,DATA_MASTER!$D$2:$D$5000,0)),""))</f>
        <v/>
      </c>
      <c r="E789" s="22">
        <f t="array" ref="E789">IF($C789="","",IFERROR(INDEX(DATA_MASTER!$I$2:$I$5000,MATCH($C789,DATA_MASTER!$D$2:$D$5000,0)),""))</f>
        <v/>
      </c>
      <c r="F789" s="22">
        <f t="array" ref="F789">IF($C789="","",IFERROR(INDEX(DATA_MASTER!$L$2:$L$5000,MATCH($C789,DATA_MASTER!$D$2:$D$5000,0)),""))</f>
        <v/>
      </c>
      <c r="G789" s="24" t="n"/>
      <c r="H789" s="24" t="n"/>
      <c r="I789" s="30" t="n"/>
      <c r="J789" s="23">
        <f>IF(OR($H789="",$I789=""),"",$H789*$I789)</f>
        <v/>
      </c>
      <c r="K789" s="24" t="n"/>
      <c r="L789" s="24" t="n"/>
      <c r="M789" s="29" t="n"/>
      <c r="N789" s="28" t="n"/>
      <c r="O789" s="24" t="n"/>
      <c r="P789" s="24" t="n"/>
      <c r="Q789" s="24" t="n"/>
      <c r="R789" s="24" t="n"/>
      <c r="S789" s="22">
        <f>IF(AND($A789="",$C789=""),"",IF($A789="","Thiếu mã đơn; ","")&amp;IF(COUNTIF($A$2:$A789,$A789)&gt;1,"Trùng mã đơn; ","")&amp;IF(ISNA(MATCH($C789,DATA_MASTER!$D$2:$D$5000,0)),"SĐT chưa đăng ký hội viên; ","")&amp;IF(AND($L789="Đã chuyển khoản",$M789=""),"Thiếu ngày nhận CK; ",""))</f>
        <v/>
      </c>
      <c r="T789" s="24" t="n"/>
    </row>
    <row r="790" ht="14.25" customHeight="1" s="40">
      <c r="A790" s="24" t="n"/>
      <c r="B790" s="29" t="n"/>
      <c r="C790" s="28" t="n"/>
      <c r="D790" s="22">
        <f t="array" ref="D790">IF($C790="","",IFERROR(INDEX(DATA_MASTER!$C$2:$C$5000,MATCH($C790,DATA_MASTER!$D$2:$D$5000,0)),""))</f>
        <v/>
      </c>
      <c r="E790" s="22">
        <f t="array" ref="E790">IF($C790="","",IFERROR(INDEX(DATA_MASTER!$I$2:$I$5000,MATCH($C790,DATA_MASTER!$D$2:$D$5000,0)),""))</f>
        <v/>
      </c>
      <c r="F790" s="22">
        <f t="array" ref="F790">IF($C790="","",IFERROR(INDEX(DATA_MASTER!$L$2:$L$5000,MATCH($C790,DATA_MASTER!$D$2:$D$5000,0)),""))</f>
        <v/>
      </c>
      <c r="G790" s="24" t="n"/>
      <c r="H790" s="24" t="n"/>
      <c r="I790" s="30" t="n"/>
      <c r="J790" s="23">
        <f>IF(OR($H790="",$I790=""),"",$H790*$I790)</f>
        <v/>
      </c>
      <c r="K790" s="24" t="n"/>
      <c r="L790" s="24" t="n"/>
      <c r="M790" s="29" t="n"/>
      <c r="N790" s="28" t="n"/>
      <c r="O790" s="24" t="n"/>
      <c r="P790" s="24" t="n"/>
      <c r="Q790" s="24" t="n"/>
      <c r="R790" s="24" t="n"/>
      <c r="S790" s="22">
        <f>IF(AND($A790="",$C790=""),"",IF($A790="","Thiếu mã đơn; ","")&amp;IF(COUNTIF($A$2:$A790,$A790)&gt;1,"Trùng mã đơn; ","")&amp;IF(ISNA(MATCH($C790,DATA_MASTER!$D$2:$D$5000,0)),"SĐT chưa đăng ký hội viên; ","")&amp;IF(AND($L790="Đã chuyển khoản",$M790=""),"Thiếu ngày nhận CK; ",""))</f>
        <v/>
      </c>
      <c r="T790" s="24" t="n"/>
    </row>
    <row r="791" ht="14.25" customHeight="1" s="40">
      <c r="A791" s="24" t="n"/>
      <c r="B791" s="29" t="n"/>
      <c r="C791" s="28" t="n"/>
      <c r="D791" s="22">
        <f t="array" ref="D791">IF($C791="","",IFERROR(INDEX(DATA_MASTER!$C$2:$C$5000,MATCH($C791,DATA_MASTER!$D$2:$D$5000,0)),""))</f>
        <v/>
      </c>
      <c r="E791" s="22">
        <f t="array" ref="E791">IF($C791="","",IFERROR(INDEX(DATA_MASTER!$I$2:$I$5000,MATCH($C791,DATA_MASTER!$D$2:$D$5000,0)),""))</f>
        <v/>
      </c>
      <c r="F791" s="22">
        <f t="array" ref="F791">IF($C791="","",IFERROR(INDEX(DATA_MASTER!$L$2:$L$5000,MATCH($C791,DATA_MASTER!$D$2:$D$5000,0)),""))</f>
        <v/>
      </c>
      <c r="G791" s="24" t="n"/>
      <c r="H791" s="24" t="n"/>
      <c r="I791" s="30" t="n"/>
      <c r="J791" s="23">
        <f>IF(OR($H791="",$I791=""),"",$H791*$I791)</f>
        <v/>
      </c>
      <c r="K791" s="24" t="n"/>
      <c r="L791" s="24" t="n"/>
      <c r="M791" s="29" t="n"/>
      <c r="N791" s="28" t="n"/>
      <c r="O791" s="24" t="n"/>
      <c r="P791" s="24" t="n"/>
      <c r="Q791" s="24" t="n"/>
      <c r="R791" s="24" t="n"/>
      <c r="S791" s="22">
        <f>IF(AND($A791="",$C791=""),"",IF($A791="","Thiếu mã đơn; ","")&amp;IF(COUNTIF($A$2:$A791,$A791)&gt;1,"Trùng mã đơn; ","")&amp;IF(ISNA(MATCH($C791,DATA_MASTER!$D$2:$D$5000,0)),"SĐT chưa đăng ký hội viên; ","")&amp;IF(AND($L791="Đã chuyển khoản",$M791=""),"Thiếu ngày nhận CK; ",""))</f>
        <v/>
      </c>
      <c r="T791" s="24" t="n"/>
    </row>
    <row r="792" ht="14.25" customHeight="1" s="40">
      <c r="A792" s="24" t="n"/>
      <c r="B792" s="29" t="n"/>
      <c r="C792" s="28" t="n"/>
      <c r="D792" s="22">
        <f t="array" ref="D792">IF($C792="","",IFERROR(INDEX(DATA_MASTER!$C$2:$C$5000,MATCH($C792,DATA_MASTER!$D$2:$D$5000,0)),""))</f>
        <v/>
      </c>
      <c r="E792" s="22">
        <f t="array" ref="E792">IF($C792="","",IFERROR(INDEX(DATA_MASTER!$I$2:$I$5000,MATCH($C792,DATA_MASTER!$D$2:$D$5000,0)),""))</f>
        <v/>
      </c>
      <c r="F792" s="22">
        <f t="array" ref="F792">IF($C792="","",IFERROR(INDEX(DATA_MASTER!$L$2:$L$5000,MATCH($C792,DATA_MASTER!$D$2:$D$5000,0)),""))</f>
        <v/>
      </c>
      <c r="G792" s="24" t="n"/>
      <c r="H792" s="24" t="n"/>
      <c r="I792" s="30" t="n"/>
      <c r="J792" s="23">
        <f>IF(OR($H792="",$I792=""),"",$H792*$I792)</f>
        <v/>
      </c>
      <c r="K792" s="24" t="n"/>
      <c r="L792" s="24" t="n"/>
      <c r="M792" s="29" t="n"/>
      <c r="N792" s="28" t="n"/>
      <c r="O792" s="24" t="n"/>
      <c r="P792" s="24" t="n"/>
      <c r="Q792" s="24" t="n"/>
      <c r="R792" s="24" t="n"/>
      <c r="S792" s="22">
        <f>IF(AND($A792="",$C792=""),"",IF($A792="","Thiếu mã đơn; ","")&amp;IF(COUNTIF($A$2:$A792,$A792)&gt;1,"Trùng mã đơn; ","")&amp;IF(ISNA(MATCH($C792,DATA_MASTER!$D$2:$D$5000,0)),"SĐT chưa đăng ký hội viên; ","")&amp;IF(AND($L792="Đã chuyển khoản",$M792=""),"Thiếu ngày nhận CK; ",""))</f>
        <v/>
      </c>
      <c r="T792" s="24" t="n"/>
    </row>
    <row r="793" ht="14.25" customHeight="1" s="40">
      <c r="A793" s="24" t="n"/>
      <c r="B793" s="29" t="n"/>
      <c r="C793" s="28" t="n"/>
      <c r="D793" s="22">
        <f t="array" ref="D793">IF($C793="","",IFERROR(INDEX(DATA_MASTER!$C$2:$C$5000,MATCH($C793,DATA_MASTER!$D$2:$D$5000,0)),""))</f>
        <v/>
      </c>
      <c r="E793" s="22">
        <f t="array" ref="E793">IF($C793="","",IFERROR(INDEX(DATA_MASTER!$I$2:$I$5000,MATCH($C793,DATA_MASTER!$D$2:$D$5000,0)),""))</f>
        <v/>
      </c>
      <c r="F793" s="22">
        <f t="array" ref="F793">IF($C793="","",IFERROR(INDEX(DATA_MASTER!$L$2:$L$5000,MATCH($C793,DATA_MASTER!$D$2:$D$5000,0)),""))</f>
        <v/>
      </c>
      <c r="G793" s="24" t="n"/>
      <c r="H793" s="24" t="n"/>
      <c r="I793" s="30" t="n"/>
      <c r="J793" s="23">
        <f>IF(OR($H793="",$I793=""),"",$H793*$I793)</f>
        <v/>
      </c>
      <c r="K793" s="24" t="n"/>
      <c r="L793" s="24" t="n"/>
      <c r="M793" s="29" t="n"/>
      <c r="N793" s="28" t="n"/>
      <c r="O793" s="24" t="n"/>
      <c r="P793" s="24" t="n"/>
      <c r="Q793" s="24" t="n"/>
      <c r="R793" s="24" t="n"/>
      <c r="S793" s="22">
        <f>IF(AND($A793="",$C793=""),"",IF($A793="","Thiếu mã đơn; ","")&amp;IF(COUNTIF($A$2:$A793,$A793)&gt;1,"Trùng mã đơn; ","")&amp;IF(ISNA(MATCH($C793,DATA_MASTER!$D$2:$D$5000,0)),"SĐT chưa đăng ký hội viên; ","")&amp;IF(AND($L793="Đã chuyển khoản",$M793=""),"Thiếu ngày nhận CK; ",""))</f>
        <v/>
      </c>
      <c r="T793" s="24" t="n"/>
    </row>
    <row r="794" ht="14.25" customHeight="1" s="40">
      <c r="A794" s="24" t="n"/>
      <c r="B794" s="29" t="n"/>
      <c r="C794" s="28" t="n"/>
      <c r="D794" s="22">
        <f t="array" ref="D794">IF($C794="","",IFERROR(INDEX(DATA_MASTER!$C$2:$C$5000,MATCH($C794,DATA_MASTER!$D$2:$D$5000,0)),""))</f>
        <v/>
      </c>
      <c r="E794" s="22">
        <f t="array" ref="E794">IF($C794="","",IFERROR(INDEX(DATA_MASTER!$I$2:$I$5000,MATCH($C794,DATA_MASTER!$D$2:$D$5000,0)),""))</f>
        <v/>
      </c>
      <c r="F794" s="22">
        <f t="array" ref="F794">IF($C794="","",IFERROR(INDEX(DATA_MASTER!$L$2:$L$5000,MATCH($C794,DATA_MASTER!$D$2:$D$5000,0)),""))</f>
        <v/>
      </c>
      <c r="G794" s="24" t="n"/>
      <c r="H794" s="24" t="n"/>
      <c r="I794" s="30" t="n"/>
      <c r="J794" s="23">
        <f>IF(OR($H794="",$I794=""),"",$H794*$I794)</f>
        <v/>
      </c>
      <c r="K794" s="24" t="n"/>
      <c r="L794" s="24" t="n"/>
      <c r="M794" s="29" t="n"/>
      <c r="N794" s="28" t="n"/>
      <c r="O794" s="24" t="n"/>
      <c r="P794" s="24" t="n"/>
      <c r="Q794" s="24" t="n"/>
      <c r="R794" s="24" t="n"/>
      <c r="S794" s="22">
        <f>IF(AND($A794="",$C794=""),"",IF($A794="","Thiếu mã đơn; ","")&amp;IF(COUNTIF($A$2:$A794,$A794)&gt;1,"Trùng mã đơn; ","")&amp;IF(ISNA(MATCH($C794,DATA_MASTER!$D$2:$D$5000,0)),"SĐT chưa đăng ký hội viên; ","")&amp;IF(AND($L794="Đã chuyển khoản",$M794=""),"Thiếu ngày nhận CK; ",""))</f>
        <v/>
      </c>
      <c r="T794" s="24" t="n"/>
    </row>
    <row r="795" ht="14.25" customHeight="1" s="40">
      <c r="A795" s="24" t="n"/>
      <c r="B795" s="29" t="n"/>
      <c r="C795" s="28" t="n"/>
      <c r="D795" s="22">
        <f t="array" ref="D795">IF($C795="","",IFERROR(INDEX(DATA_MASTER!$C$2:$C$5000,MATCH($C795,DATA_MASTER!$D$2:$D$5000,0)),""))</f>
        <v/>
      </c>
      <c r="E795" s="22">
        <f t="array" ref="E795">IF($C795="","",IFERROR(INDEX(DATA_MASTER!$I$2:$I$5000,MATCH($C795,DATA_MASTER!$D$2:$D$5000,0)),""))</f>
        <v/>
      </c>
      <c r="F795" s="22">
        <f t="array" ref="F795">IF($C795="","",IFERROR(INDEX(DATA_MASTER!$L$2:$L$5000,MATCH($C795,DATA_MASTER!$D$2:$D$5000,0)),""))</f>
        <v/>
      </c>
      <c r="G795" s="24" t="n"/>
      <c r="H795" s="24" t="n"/>
      <c r="I795" s="30" t="n"/>
      <c r="J795" s="23">
        <f>IF(OR($H795="",$I795=""),"",$H795*$I795)</f>
        <v/>
      </c>
      <c r="K795" s="24" t="n"/>
      <c r="L795" s="24" t="n"/>
      <c r="M795" s="29" t="n"/>
      <c r="N795" s="28" t="n"/>
      <c r="O795" s="24" t="n"/>
      <c r="P795" s="24" t="n"/>
      <c r="Q795" s="24" t="n"/>
      <c r="R795" s="24" t="n"/>
      <c r="S795" s="22">
        <f>IF(AND($A795="",$C795=""),"",IF($A795="","Thiếu mã đơn; ","")&amp;IF(COUNTIF($A$2:$A795,$A795)&gt;1,"Trùng mã đơn; ","")&amp;IF(ISNA(MATCH($C795,DATA_MASTER!$D$2:$D$5000,0)),"SĐT chưa đăng ký hội viên; ","")&amp;IF(AND($L795="Đã chuyển khoản",$M795=""),"Thiếu ngày nhận CK; ",""))</f>
        <v/>
      </c>
      <c r="T795" s="24" t="n"/>
    </row>
    <row r="796" ht="14.25" customHeight="1" s="40">
      <c r="A796" s="24" t="n"/>
      <c r="B796" s="29" t="n"/>
      <c r="C796" s="28" t="n"/>
      <c r="D796" s="22">
        <f t="array" ref="D796">IF($C796="","",IFERROR(INDEX(DATA_MASTER!$C$2:$C$5000,MATCH($C796,DATA_MASTER!$D$2:$D$5000,0)),""))</f>
        <v/>
      </c>
      <c r="E796" s="22">
        <f t="array" ref="E796">IF($C796="","",IFERROR(INDEX(DATA_MASTER!$I$2:$I$5000,MATCH($C796,DATA_MASTER!$D$2:$D$5000,0)),""))</f>
        <v/>
      </c>
      <c r="F796" s="22">
        <f t="array" ref="F796">IF($C796="","",IFERROR(INDEX(DATA_MASTER!$L$2:$L$5000,MATCH($C796,DATA_MASTER!$D$2:$D$5000,0)),""))</f>
        <v/>
      </c>
      <c r="G796" s="24" t="n"/>
      <c r="H796" s="24" t="n"/>
      <c r="I796" s="30" t="n"/>
      <c r="J796" s="23">
        <f>IF(OR($H796="",$I796=""),"",$H796*$I796)</f>
        <v/>
      </c>
      <c r="K796" s="24" t="n"/>
      <c r="L796" s="24" t="n"/>
      <c r="M796" s="29" t="n"/>
      <c r="N796" s="28" t="n"/>
      <c r="O796" s="24" t="n"/>
      <c r="P796" s="24" t="n"/>
      <c r="Q796" s="24" t="n"/>
      <c r="R796" s="24" t="n"/>
      <c r="S796" s="22">
        <f>IF(AND($A796="",$C796=""),"",IF($A796="","Thiếu mã đơn; ","")&amp;IF(COUNTIF($A$2:$A796,$A796)&gt;1,"Trùng mã đơn; ","")&amp;IF(ISNA(MATCH($C796,DATA_MASTER!$D$2:$D$5000,0)),"SĐT chưa đăng ký hội viên; ","")&amp;IF(AND($L796="Đã chuyển khoản",$M796=""),"Thiếu ngày nhận CK; ",""))</f>
        <v/>
      </c>
      <c r="T796" s="24" t="n"/>
    </row>
    <row r="797" ht="14.25" customHeight="1" s="40">
      <c r="A797" s="24" t="n"/>
      <c r="B797" s="29" t="n"/>
      <c r="C797" s="28" t="n"/>
      <c r="D797" s="22">
        <f t="array" ref="D797">IF($C797="","",IFERROR(INDEX(DATA_MASTER!$C$2:$C$5000,MATCH($C797,DATA_MASTER!$D$2:$D$5000,0)),""))</f>
        <v/>
      </c>
      <c r="E797" s="22">
        <f t="array" ref="E797">IF($C797="","",IFERROR(INDEX(DATA_MASTER!$I$2:$I$5000,MATCH($C797,DATA_MASTER!$D$2:$D$5000,0)),""))</f>
        <v/>
      </c>
      <c r="F797" s="22">
        <f t="array" ref="F797">IF($C797="","",IFERROR(INDEX(DATA_MASTER!$L$2:$L$5000,MATCH($C797,DATA_MASTER!$D$2:$D$5000,0)),""))</f>
        <v/>
      </c>
      <c r="G797" s="24" t="n"/>
      <c r="H797" s="24" t="n"/>
      <c r="I797" s="30" t="n"/>
      <c r="J797" s="23">
        <f>IF(OR($H797="",$I797=""),"",$H797*$I797)</f>
        <v/>
      </c>
      <c r="K797" s="24" t="n"/>
      <c r="L797" s="24" t="n"/>
      <c r="M797" s="29" t="n"/>
      <c r="N797" s="28" t="n"/>
      <c r="O797" s="24" t="n"/>
      <c r="P797" s="24" t="n"/>
      <c r="Q797" s="24" t="n"/>
      <c r="R797" s="24" t="n"/>
      <c r="S797" s="22">
        <f>IF(AND($A797="",$C797=""),"",IF($A797="","Thiếu mã đơn; ","")&amp;IF(COUNTIF($A$2:$A797,$A797)&gt;1,"Trùng mã đơn; ","")&amp;IF(ISNA(MATCH($C797,DATA_MASTER!$D$2:$D$5000,0)),"SĐT chưa đăng ký hội viên; ","")&amp;IF(AND($L797="Đã chuyển khoản",$M797=""),"Thiếu ngày nhận CK; ",""))</f>
        <v/>
      </c>
      <c r="T797" s="24" t="n"/>
    </row>
    <row r="798" ht="14.25" customHeight="1" s="40">
      <c r="A798" s="24" t="n"/>
      <c r="B798" s="29" t="n"/>
      <c r="C798" s="28" t="n"/>
      <c r="D798" s="22">
        <f t="array" ref="D798">IF($C798="","",IFERROR(INDEX(DATA_MASTER!$C$2:$C$5000,MATCH($C798,DATA_MASTER!$D$2:$D$5000,0)),""))</f>
        <v/>
      </c>
      <c r="E798" s="22">
        <f t="array" ref="E798">IF($C798="","",IFERROR(INDEX(DATA_MASTER!$I$2:$I$5000,MATCH($C798,DATA_MASTER!$D$2:$D$5000,0)),""))</f>
        <v/>
      </c>
      <c r="F798" s="22">
        <f t="array" ref="F798">IF($C798="","",IFERROR(INDEX(DATA_MASTER!$L$2:$L$5000,MATCH($C798,DATA_MASTER!$D$2:$D$5000,0)),""))</f>
        <v/>
      </c>
      <c r="G798" s="24" t="n"/>
      <c r="H798" s="24" t="n"/>
      <c r="I798" s="30" t="n"/>
      <c r="J798" s="23">
        <f>IF(OR($H798="",$I798=""),"",$H798*$I798)</f>
        <v/>
      </c>
      <c r="K798" s="24" t="n"/>
      <c r="L798" s="24" t="n"/>
      <c r="M798" s="29" t="n"/>
      <c r="N798" s="28" t="n"/>
      <c r="O798" s="24" t="n"/>
      <c r="P798" s="24" t="n"/>
      <c r="Q798" s="24" t="n"/>
      <c r="R798" s="24" t="n"/>
      <c r="S798" s="22">
        <f>IF(AND($A798="",$C798=""),"",IF($A798="","Thiếu mã đơn; ","")&amp;IF(COUNTIF($A$2:$A798,$A798)&gt;1,"Trùng mã đơn; ","")&amp;IF(ISNA(MATCH($C798,DATA_MASTER!$D$2:$D$5000,0)),"SĐT chưa đăng ký hội viên; ","")&amp;IF(AND($L798="Đã chuyển khoản",$M798=""),"Thiếu ngày nhận CK; ",""))</f>
        <v/>
      </c>
      <c r="T798" s="24" t="n"/>
    </row>
    <row r="799" ht="14.25" customHeight="1" s="40">
      <c r="A799" s="24" t="n"/>
      <c r="B799" s="29" t="n"/>
      <c r="C799" s="28" t="n"/>
      <c r="D799" s="22">
        <f t="array" ref="D799">IF($C799="","",IFERROR(INDEX(DATA_MASTER!$C$2:$C$5000,MATCH($C799,DATA_MASTER!$D$2:$D$5000,0)),""))</f>
        <v/>
      </c>
      <c r="E799" s="22">
        <f t="array" ref="E799">IF($C799="","",IFERROR(INDEX(DATA_MASTER!$I$2:$I$5000,MATCH($C799,DATA_MASTER!$D$2:$D$5000,0)),""))</f>
        <v/>
      </c>
      <c r="F799" s="22">
        <f t="array" ref="F799">IF($C799="","",IFERROR(INDEX(DATA_MASTER!$L$2:$L$5000,MATCH($C799,DATA_MASTER!$D$2:$D$5000,0)),""))</f>
        <v/>
      </c>
      <c r="G799" s="24" t="n"/>
      <c r="H799" s="24" t="n"/>
      <c r="I799" s="30" t="n"/>
      <c r="J799" s="23">
        <f>IF(OR($H799="",$I799=""),"",$H799*$I799)</f>
        <v/>
      </c>
      <c r="K799" s="24" t="n"/>
      <c r="L799" s="24" t="n"/>
      <c r="M799" s="29" t="n"/>
      <c r="N799" s="28" t="n"/>
      <c r="O799" s="24" t="n"/>
      <c r="P799" s="24" t="n"/>
      <c r="Q799" s="24" t="n"/>
      <c r="R799" s="24" t="n"/>
      <c r="S799" s="22">
        <f>IF(AND($A799="",$C799=""),"",IF($A799="","Thiếu mã đơn; ","")&amp;IF(COUNTIF($A$2:$A799,$A799)&gt;1,"Trùng mã đơn; ","")&amp;IF(ISNA(MATCH($C799,DATA_MASTER!$D$2:$D$5000,0)),"SĐT chưa đăng ký hội viên; ","")&amp;IF(AND($L799="Đã chuyển khoản",$M799=""),"Thiếu ngày nhận CK; ",""))</f>
        <v/>
      </c>
      <c r="T799" s="24" t="n"/>
    </row>
    <row r="800" ht="14.25" customHeight="1" s="40">
      <c r="A800" s="24" t="n"/>
      <c r="B800" s="29" t="n"/>
      <c r="C800" s="28" t="n"/>
      <c r="D800" s="22">
        <f t="array" ref="D800">IF($C800="","",IFERROR(INDEX(DATA_MASTER!$C$2:$C$5000,MATCH($C800,DATA_MASTER!$D$2:$D$5000,0)),""))</f>
        <v/>
      </c>
      <c r="E800" s="22">
        <f t="array" ref="E800">IF($C800="","",IFERROR(INDEX(DATA_MASTER!$I$2:$I$5000,MATCH($C800,DATA_MASTER!$D$2:$D$5000,0)),""))</f>
        <v/>
      </c>
      <c r="F800" s="22">
        <f t="array" ref="F800">IF($C800="","",IFERROR(INDEX(DATA_MASTER!$L$2:$L$5000,MATCH($C800,DATA_MASTER!$D$2:$D$5000,0)),""))</f>
        <v/>
      </c>
      <c r="G800" s="24" t="n"/>
      <c r="H800" s="24" t="n"/>
      <c r="I800" s="30" t="n"/>
      <c r="J800" s="23">
        <f>IF(OR($H800="",$I800=""),"",$H800*$I800)</f>
        <v/>
      </c>
      <c r="K800" s="24" t="n"/>
      <c r="L800" s="24" t="n"/>
      <c r="M800" s="29" t="n"/>
      <c r="N800" s="28" t="n"/>
      <c r="O800" s="24" t="n"/>
      <c r="P800" s="24" t="n"/>
      <c r="Q800" s="24" t="n"/>
      <c r="R800" s="24" t="n"/>
      <c r="S800" s="22">
        <f>IF(AND($A800="",$C800=""),"",IF($A800="","Thiếu mã đơn; ","")&amp;IF(COUNTIF($A$2:$A800,$A800)&gt;1,"Trùng mã đơn; ","")&amp;IF(ISNA(MATCH($C800,DATA_MASTER!$D$2:$D$5000,0)),"SĐT chưa đăng ký hội viên; ","")&amp;IF(AND($L800="Đã chuyển khoản",$M800=""),"Thiếu ngày nhận CK; ",""))</f>
        <v/>
      </c>
      <c r="T800" s="24" t="n"/>
    </row>
    <row r="801" ht="14.25" customHeight="1" s="40">
      <c r="A801" s="24" t="n"/>
      <c r="B801" s="29" t="n"/>
      <c r="C801" s="28" t="n"/>
      <c r="D801" s="22">
        <f t="array" ref="D801">IF($C801="","",IFERROR(INDEX(DATA_MASTER!$C$2:$C$5000,MATCH($C801,DATA_MASTER!$D$2:$D$5000,0)),""))</f>
        <v/>
      </c>
      <c r="E801" s="22">
        <f t="array" ref="E801">IF($C801="","",IFERROR(INDEX(DATA_MASTER!$I$2:$I$5000,MATCH($C801,DATA_MASTER!$D$2:$D$5000,0)),""))</f>
        <v/>
      </c>
      <c r="F801" s="22">
        <f t="array" ref="F801">IF($C801="","",IFERROR(INDEX(DATA_MASTER!$L$2:$L$5000,MATCH($C801,DATA_MASTER!$D$2:$D$5000,0)),""))</f>
        <v/>
      </c>
      <c r="G801" s="24" t="n"/>
      <c r="H801" s="24" t="n"/>
      <c r="I801" s="30" t="n"/>
      <c r="J801" s="23">
        <f>IF(OR($H801="",$I801=""),"",$H801*$I801)</f>
        <v/>
      </c>
      <c r="K801" s="24" t="n"/>
      <c r="L801" s="24" t="n"/>
      <c r="M801" s="29" t="n"/>
      <c r="N801" s="28" t="n"/>
      <c r="O801" s="24" t="n"/>
      <c r="P801" s="24" t="n"/>
      <c r="Q801" s="24" t="n"/>
      <c r="R801" s="24" t="n"/>
      <c r="S801" s="22">
        <f>IF(AND($A801="",$C801=""),"",IF($A801="","Thiếu mã đơn; ","")&amp;IF(COUNTIF($A$2:$A801,$A801)&gt;1,"Trùng mã đơn; ","")&amp;IF(ISNA(MATCH($C801,DATA_MASTER!$D$2:$D$5000,0)),"SĐT chưa đăng ký hội viên; ","")&amp;IF(AND($L801="Đã chuyển khoản",$M801=""),"Thiếu ngày nhận CK; ",""))</f>
        <v/>
      </c>
      <c r="T801" s="24" t="n"/>
    </row>
    <row r="802" ht="14.25" customHeight="1" s="40">
      <c r="A802" s="24" t="n"/>
      <c r="B802" s="29" t="n"/>
      <c r="C802" s="28" t="n"/>
      <c r="D802" s="22">
        <f t="array" ref="D802">IF($C802="","",IFERROR(INDEX(DATA_MASTER!$C$2:$C$5000,MATCH($C802,DATA_MASTER!$D$2:$D$5000,0)),""))</f>
        <v/>
      </c>
      <c r="E802" s="22">
        <f t="array" ref="E802">IF($C802="","",IFERROR(INDEX(DATA_MASTER!$I$2:$I$5000,MATCH($C802,DATA_MASTER!$D$2:$D$5000,0)),""))</f>
        <v/>
      </c>
      <c r="F802" s="22">
        <f t="array" ref="F802">IF($C802="","",IFERROR(INDEX(DATA_MASTER!$L$2:$L$5000,MATCH($C802,DATA_MASTER!$D$2:$D$5000,0)),""))</f>
        <v/>
      </c>
      <c r="G802" s="24" t="n"/>
      <c r="H802" s="24" t="n"/>
      <c r="I802" s="30" t="n"/>
      <c r="J802" s="23">
        <f>IF(OR($H802="",$I802=""),"",$H802*$I802)</f>
        <v/>
      </c>
      <c r="K802" s="24" t="n"/>
      <c r="L802" s="24" t="n"/>
      <c r="M802" s="29" t="n"/>
      <c r="N802" s="28" t="n"/>
      <c r="O802" s="24" t="n"/>
      <c r="P802" s="24" t="n"/>
      <c r="Q802" s="24" t="n"/>
      <c r="R802" s="24" t="n"/>
      <c r="S802" s="22">
        <f>IF(AND($A802="",$C802=""),"",IF($A802="","Thiếu mã đơn; ","")&amp;IF(COUNTIF($A$2:$A802,$A802)&gt;1,"Trùng mã đơn; ","")&amp;IF(ISNA(MATCH($C802,DATA_MASTER!$D$2:$D$5000,0)),"SĐT chưa đăng ký hội viên; ","")&amp;IF(AND($L802="Đã chuyển khoản",$M802=""),"Thiếu ngày nhận CK; ",""))</f>
        <v/>
      </c>
      <c r="T802" s="24" t="n"/>
    </row>
    <row r="803" ht="14.25" customHeight="1" s="40">
      <c r="A803" s="24" t="n"/>
      <c r="B803" s="29" t="n"/>
      <c r="C803" s="28" t="n"/>
      <c r="D803" s="22">
        <f t="array" ref="D803">IF($C803="","",IFERROR(INDEX(DATA_MASTER!$C$2:$C$5000,MATCH($C803,DATA_MASTER!$D$2:$D$5000,0)),""))</f>
        <v/>
      </c>
      <c r="E803" s="22">
        <f t="array" ref="E803">IF($C803="","",IFERROR(INDEX(DATA_MASTER!$I$2:$I$5000,MATCH($C803,DATA_MASTER!$D$2:$D$5000,0)),""))</f>
        <v/>
      </c>
      <c r="F803" s="22">
        <f t="array" ref="F803">IF($C803="","",IFERROR(INDEX(DATA_MASTER!$L$2:$L$5000,MATCH($C803,DATA_MASTER!$D$2:$D$5000,0)),""))</f>
        <v/>
      </c>
      <c r="G803" s="24" t="n"/>
      <c r="H803" s="24" t="n"/>
      <c r="I803" s="30" t="n"/>
      <c r="J803" s="23">
        <f>IF(OR($H803="",$I803=""),"",$H803*$I803)</f>
        <v/>
      </c>
      <c r="K803" s="24" t="n"/>
      <c r="L803" s="24" t="n"/>
      <c r="M803" s="29" t="n"/>
      <c r="N803" s="28" t="n"/>
      <c r="O803" s="24" t="n"/>
      <c r="P803" s="24" t="n"/>
      <c r="Q803" s="24" t="n"/>
      <c r="R803" s="24" t="n"/>
      <c r="S803" s="22">
        <f>IF(AND($A803="",$C803=""),"",IF($A803="","Thiếu mã đơn; ","")&amp;IF(COUNTIF($A$2:$A803,$A803)&gt;1,"Trùng mã đơn; ","")&amp;IF(ISNA(MATCH($C803,DATA_MASTER!$D$2:$D$5000,0)),"SĐT chưa đăng ký hội viên; ","")&amp;IF(AND($L803="Đã chuyển khoản",$M803=""),"Thiếu ngày nhận CK; ",""))</f>
        <v/>
      </c>
      <c r="T803" s="24" t="n"/>
    </row>
    <row r="804" ht="14.25" customHeight="1" s="40">
      <c r="A804" s="24" t="n"/>
      <c r="B804" s="29" t="n"/>
      <c r="C804" s="28" t="n"/>
      <c r="D804" s="22">
        <f t="array" ref="D804">IF($C804="","",IFERROR(INDEX(DATA_MASTER!$C$2:$C$5000,MATCH($C804,DATA_MASTER!$D$2:$D$5000,0)),""))</f>
        <v/>
      </c>
      <c r="E804" s="22">
        <f t="array" ref="E804">IF($C804="","",IFERROR(INDEX(DATA_MASTER!$I$2:$I$5000,MATCH($C804,DATA_MASTER!$D$2:$D$5000,0)),""))</f>
        <v/>
      </c>
      <c r="F804" s="22">
        <f t="array" ref="F804">IF($C804="","",IFERROR(INDEX(DATA_MASTER!$L$2:$L$5000,MATCH($C804,DATA_MASTER!$D$2:$D$5000,0)),""))</f>
        <v/>
      </c>
      <c r="G804" s="24" t="n"/>
      <c r="H804" s="24" t="n"/>
      <c r="I804" s="30" t="n"/>
      <c r="J804" s="23">
        <f>IF(OR($H804="",$I804=""),"",$H804*$I804)</f>
        <v/>
      </c>
      <c r="K804" s="24" t="n"/>
      <c r="L804" s="24" t="n"/>
      <c r="M804" s="29" t="n"/>
      <c r="N804" s="28" t="n"/>
      <c r="O804" s="24" t="n"/>
      <c r="P804" s="24" t="n"/>
      <c r="Q804" s="24" t="n"/>
      <c r="R804" s="24" t="n"/>
      <c r="S804" s="22">
        <f>IF(AND($A804="",$C804=""),"",IF($A804="","Thiếu mã đơn; ","")&amp;IF(COUNTIF($A$2:$A804,$A804)&gt;1,"Trùng mã đơn; ","")&amp;IF(ISNA(MATCH($C804,DATA_MASTER!$D$2:$D$5000,0)),"SĐT chưa đăng ký hội viên; ","")&amp;IF(AND($L804="Đã chuyển khoản",$M804=""),"Thiếu ngày nhận CK; ",""))</f>
        <v/>
      </c>
      <c r="T804" s="24" t="n"/>
    </row>
    <row r="805" ht="14.25" customHeight="1" s="40">
      <c r="A805" s="24" t="n"/>
      <c r="B805" s="29" t="n"/>
      <c r="C805" s="28" t="n"/>
      <c r="D805" s="22">
        <f t="array" ref="D805">IF($C805="","",IFERROR(INDEX(DATA_MASTER!$C$2:$C$5000,MATCH($C805,DATA_MASTER!$D$2:$D$5000,0)),""))</f>
        <v/>
      </c>
      <c r="E805" s="22">
        <f t="array" ref="E805">IF($C805="","",IFERROR(INDEX(DATA_MASTER!$I$2:$I$5000,MATCH($C805,DATA_MASTER!$D$2:$D$5000,0)),""))</f>
        <v/>
      </c>
      <c r="F805" s="22">
        <f t="array" ref="F805">IF($C805="","",IFERROR(INDEX(DATA_MASTER!$L$2:$L$5000,MATCH($C805,DATA_MASTER!$D$2:$D$5000,0)),""))</f>
        <v/>
      </c>
      <c r="G805" s="24" t="n"/>
      <c r="H805" s="24" t="n"/>
      <c r="I805" s="30" t="n"/>
      <c r="J805" s="23">
        <f>IF(OR($H805="",$I805=""),"",$H805*$I805)</f>
        <v/>
      </c>
      <c r="K805" s="24" t="n"/>
      <c r="L805" s="24" t="n"/>
      <c r="M805" s="29" t="n"/>
      <c r="N805" s="28" t="n"/>
      <c r="O805" s="24" t="n"/>
      <c r="P805" s="24" t="n"/>
      <c r="Q805" s="24" t="n"/>
      <c r="R805" s="24" t="n"/>
      <c r="S805" s="22">
        <f>IF(AND($A805="",$C805=""),"",IF($A805="","Thiếu mã đơn; ","")&amp;IF(COUNTIF($A$2:$A805,$A805)&gt;1,"Trùng mã đơn; ","")&amp;IF(ISNA(MATCH($C805,DATA_MASTER!$D$2:$D$5000,0)),"SĐT chưa đăng ký hội viên; ","")&amp;IF(AND($L805="Đã chuyển khoản",$M805=""),"Thiếu ngày nhận CK; ",""))</f>
        <v/>
      </c>
      <c r="T805" s="24" t="n"/>
    </row>
    <row r="806" ht="14.25" customHeight="1" s="40">
      <c r="A806" s="24" t="n"/>
      <c r="B806" s="29" t="n"/>
      <c r="C806" s="28" t="n"/>
      <c r="D806" s="22">
        <f t="array" ref="D806">IF($C806="","",IFERROR(INDEX(DATA_MASTER!$C$2:$C$5000,MATCH($C806,DATA_MASTER!$D$2:$D$5000,0)),""))</f>
        <v/>
      </c>
      <c r="E806" s="22">
        <f t="array" ref="E806">IF($C806="","",IFERROR(INDEX(DATA_MASTER!$I$2:$I$5000,MATCH($C806,DATA_MASTER!$D$2:$D$5000,0)),""))</f>
        <v/>
      </c>
      <c r="F806" s="22">
        <f t="array" ref="F806">IF($C806="","",IFERROR(INDEX(DATA_MASTER!$L$2:$L$5000,MATCH($C806,DATA_MASTER!$D$2:$D$5000,0)),""))</f>
        <v/>
      </c>
      <c r="G806" s="24" t="n"/>
      <c r="H806" s="24" t="n"/>
      <c r="I806" s="30" t="n"/>
      <c r="J806" s="23">
        <f>IF(OR($H806="",$I806=""),"",$H806*$I806)</f>
        <v/>
      </c>
      <c r="K806" s="24" t="n"/>
      <c r="L806" s="24" t="n"/>
      <c r="M806" s="29" t="n"/>
      <c r="N806" s="28" t="n"/>
      <c r="O806" s="24" t="n"/>
      <c r="P806" s="24" t="n"/>
      <c r="Q806" s="24" t="n"/>
      <c r="R806" s="24" t="n"/>
      <c r="S806" s="22">
        <f>IF(AND($A806="",$C806=""),"",IF($A806="","Thiếu mã đơn; ","")&amp;IF(COUNTIF($A$2:$A806,$A806)&gt;1,"Trùng mã đơn; ","")&amp;IF(ISNA(MATCH($C806,DATA_MASTER!$D$2:$D$5000,0)),"SĐT chưa đăng ký hội viên; ","")&amp;IF(AND($L806="Đã chuyển khoản",$M806=""),"Thiếu ngày nhận CK; ",""))</f>
        <v/>
      </c>
      <c r="T806" s="24" t="n"/>
    </row>
    <row r="807" ht="14.25" customHeight="1" s="40">
      <c r="A807" s="24" t="n"/>
      <c r="B807" s="29" t="n"/>
      <c r="C807" s="28" t="n"/>
      <c r="D807" s="22">
        <f t="array" ref="D807">IF($C807="","",IFERROR(INDEX(DATA_MASTER!$C$2:$C$5000,MATCH($C807,DATA_MASTER!$D$2:$D$5000,0)),""))</f>
        <v/>
      </c>
      <c r="E807" s="22">
        <f t="array" ref="E807">IF($C807="","",IFERROR(INDEX(DATA_MASTER!$I$2:$I$5000,MATCH($C807,DATA_MASTER!$D$2:$D$5000,0)),""))</f>
        <v/>
      </c>
      <c r="F807" s="22">
        <f t="array" ref="F807">IF($C807="","",IFERROR(INDEX(DATA_MASTER!$L$2:$L$5000,MATCH($C807,DATA_MASTER!$D$2:$D$5000,0)),""))</f>
        <v/>
      </c>
      <c r="G807" s="24" t="n"/>
      <c r="H807" s="24" t="n"/>
      <c r="I807" s="30" t="n"/>
      <c r="J807" s="23">
        <f>IF(OR($H807="",$I807=""),"",$H807*$I807)</f>
        <v/>
      </c>
      <c r="K807" s="24" t="n"/>
      <c r="L807" s="24" t="n"/>
      <c r="M807" s="29" t="n"/>
      <c r="N807" s="28" t="n"/>
      <c r="O807" s="24" t="n"/>
      <c r="P807" s="24" t="n"/>
      <c r="Q807" s="24" t="n"/>
      <c r="R807" s="24" t="n"/>
      <c r="S807" s="22">
        <f>IF(AND($A807="",$C807=""),"",IF($A807="","Thiếu mã đơn; ","")&amp;IF(COUNTIF($A$2:$A807,$A807)&gt;1,"Trùng mã đơn; ","")&amp;IF(ISNA(MATCH($C807,DATA_MASTER!$D$2:$D$5000,0)),"SĐT chưa đăng ký hội viên; ","")&amp;IF(AND($L807="Đã chuyển khoản",$M807=""),"Thiếu ngày nhận CK; ",""))</f>
        <v/>
      </c>
      <c r="T807" s="24" t="n"/>
    </row>
    <row r="808" ht="14.25" customHeight="1" s="40">
      <c r="A808" s="24" t="n"/>
      <c r="B808" s="29" t="n"/>
      <c r="C808" s="28" t="n"/>
      <c r="D808" s="22">
        <f t="array" ref="D808">IF($C808="","",IFERROR(INDEX(DATA_MASTER!$C$2:$C$5000,MATCH($C808,DATA_MASTER!$D$2:$D$5000,0)),""))</f>
        <v/>
      </c>
      <c r="E808" s="22">
        <f t="array" ref="E808">IF($C808="","",IFERROR(INDEX(DATA_MASTER!$I$2:$I$5000,MATCH($C808,DATA_MASTER!$D$2:$D$5000,0)),""))</f>
        <v/>
      </c>
      <c r="F808" s="22">
        <f t="array" ref="F808">IF($C808="","",IFERROR(INDEX(DATA_MASTER!$L$2:$L$5000,MATCH($C808,DATA_MASTER!$D$2:$D$5000,0)),""))</f>
        <v/>
      </c>
      <c r="G808" s="24" t="n"/>
      <c r="H808" s="24" t="n"/>
      <c r="I808" s="30" t="n"/>
      <c r="J808" s="23">
        <f>IF(OR($H808="",$I808=""),"",$H808*$I808)</f>
        <v/>
      </c>
      <c r="K808" s="24" t="n"/>
      <c r="L808" s="24" t="n"/>
      <c r="M808" s="29" t="n"/>
      <c r="N808" s="28" t="n"/>
      <c r="O808" s="24" t="n"/>
      <c r="P808" s="24" t="n"/>
      <c r="Q808" s="24" t="n"/>
      <c r="R808" s="24" t="n"/>
      <c r="S808" s="22">
        <f>IF(AND($A808="",$C808=""),"",IF($A808="","Thiếu mã đơn; ","")&amp;IF(COUNTIF($A$2:$A808,$A808)&gt;1,"Trùng mã đơn; ","")&amp;IF(ISNA(MATCH($C808,DATA_MASTER!$D$2:$D$5000,0)),"SĐT chưa đăng ký hội viên; ","")&amp;IF(AND($L808="Đã chuyển khoản",$M808=""),"Thiếu ngày nhận CK; ",""))</f>
        <v/>
      </c>
      <c r="T808" s="24" t="n"/>
    </row>
    <row r="809" ht="14.25" customHeight="1" s="40">
      <c r="A809" s="24" t="n"/>
      <c r="B809" s="29" t="n"/>
      <c r="C809" s="28" t="n"/>
      <c r="D809" s="22">
        <f t="array" ref="D809">IF($C809="","",IFERROR(INDEX(DATA_MASTER!$C$2:$C$5000,MATCH($C809,DATA_MASTER!$D$2:$D$5000,0)),""))</f>
        <v/>
      </c>
      <c r="E809" s="22">
        <f t="array" ref="E809">IF($C809="","",IFERROR(INDEX(DATA_MASTER!$I$2:$I$5000,MATCH($C809,DATA_MASTER!$D$2:$D$5000,0)),""))</f>
        <v/>
      </c>
      <c r="F809" s="22">
        <f t="array" ref="F809">IF($C809="","",IFERROR(INDEX(DATA_MASTER!$L$2:$L$5000,MATCH($C809,DATA_MASTER!$D$2:$D$5000,0)),""))</f>
        <v/>
      </c>
      <c r="G809" s="24" t="n"/>
      <c r="H809" s="24" t="n"/>
      <c r="I809" s="30" t="n"/>
      <c r="J809" s="23">
        <f>IF(OR($H809="",$I809=""),"",$H809*$I809)</f>
        <v/>
      </c>
      <c r="K809" s="24" t="n"/>
      <c r="L809" s="24" t="n"/>
      <c r="M809" s="29" t="n"/>
      <c r="N809" s="28" t="n"/>
      <c r="O809" s="24" t="n"/>
      <c r="P809" s="24" t="n"/>
      <c r="Q809" s="24" t="n"/>
      <c r="R809" s="24" t="n"/>
      <c r="S809" s="22">
        <f>IF(AND($A809="",$C809=""),"",IF($A809="","Thiếu mã đơn; ","")&amp;IF(COUNTIF($A$2:$A809,$A809)&gt;1,"Trùng mã đơn; ","")&amp;IF(ISNA(MATCH($C809,DATA_MASTER!$D$2:$D$5000,0)),"SĐT chưa đăng ký hội viên; ","")&amp;IF(AND($L809="Đã chuyển khoản",$M809=""),"Thiếu ngày nhận CK; ",""))</f>
        <v/>
      </c>
      <c r="T809" s="24" t="n"/>
    </row>
    <row r="810" ht="14.25" customHeight="1" s="40">
      <c r="A810" s="24" t="n"/>
      <c r="B810" s="29" t="n"/>
      <c r="C810" s="28" t="n"/>
      <c r="D810" s="22">
        <f t="array" ref="D810">IF($C810="","",IFERROR(INDEX(DATA_MASTER!$C$2:$C$5000,MATCH($C810,DATA_MASTER!$D$2:$D$5000,0)),""))</f>
        <v/>
      </c>
      <c r="E810" s="22">
        <f t="array" ref="E810">IF($C810="","",IFERROR(INDEX(DATA_MASTER!$I$2:$I$5000,MATCH($C810,DATA_MASTER!$D$2:$D$5000,0)),""))</f>
        <v/>
      </c>
      <c r="F810" s="22">
        <f t="array" ref="F810">IF($C810="","",IFERROR(INDEX(DATA_MASTER!$L$2:$L$5000,MATCH($C810,DATA_MASTER!$D$2:$D$5000,0)),""))</f>
        <v/>
      </c>
      <c r="G810" s="24" t="n"/>
      <c r="H810" s="24" t="n"/>
      <c r="I810" s="30" t="n"/>
      <c r="J810" s="23">
        <f>IF(OR($H810="",$I810=""),"",$H810*$I810)</f>
        <v/>
      </c>
      <c r="K810" s="24" t="n"/>
      <c r="L810" s="24" t="n"/>
      <c r="M810" s="29" t="n"/>
      <c r="N810" s="28" t="n"/>
      <c r="O810" s="24" t="n"/>
      <c r="P810" s="24" t="n"/>
      <c r="Q810" s="24" t="n"/>
      <c r="R810" s="24" t="n"/>
      <c r="S810" s="22">
        <f>IF(AND($A810="",$C810=""),"",IF($A810="","Thiếu mã đơn; ","")&amp;IF(COUNTIF($A$2:$A810,$A810)&gt;1,"Trùng mã đơn; ","")&amp;IF(ISNA(MATCH($C810,DATA_MASTER!$D$2:$D$5000,0)),"SĐT chưa đăng ký hội viên; ","")&amp;IF(AND($L810="Đã chuyển khoản",$M810=""),"Thiếu ngày nhận CK; ",""))</f>
        <v/>
      </c>
      <c r="T810" s="24" t="n"/>
    </row>
    <row r="811" ht="14.25" customHeight="1" s="40">
      <c r="A811" s="24" t="n"/>
      <c r="B811" s="29" t="n"/>
      <c r="C811" s="28" t="n"/>
      <c r="D811" s="22">
        <f t="array" ref="D811">IF($C811="","",IFERROR(INDEX(DATA_MASTER!$C$2:$C$5000,MATCH($C811,DATA_MASTER!$D$2:$D$5000,0)),""))</f>
        <v/>
      </c>
      <c r="E811" s="22">
        <f t="array" ref="E811">IF($C811="","",IFERROR(INDEX(DATA_MASTER!$I$2:$I$5000,MATCH($C811,DATA_MASTER!$D$2:$D$5000,0)),""))</f>
        <v/>
      </c>
      <c r="F811" s="22">
        <f t="array" ref="F811">IF($C811="","",IFERROR(INDEX(DATA_MASTER!$L$2:$L$5000,MATCH($C811,DATA_MASTER!$D$2:$D$5000,0)),""))</f>
        <v/>
      </c>
      <c r="G811" s="24" t="n"/>
      <c r="H811" s="24" t="n"/>
      <c r="I811" s="30" t="n"/>
      <c r="J811" s="23">
        <f>IF(OR($H811="",$I811=""),"",$H811*$I811)</f>
        <v/>
      </c>
      <c r="K811" s="24" t="n"/>
      <c r="L811" s="24" t="n"/>
      <c r="M811" s="29" t="n"/>
      <c r="N811" s="28" t="n"/>
      <c r="O811" s="24" t="n"/>
      <c r="P811" s="24" t="n"/>
      <c r="Q811" s="24" t="n"/>
      <c r="R811" s="24" t="n"/>
      <c r="S811" s="22">
        <f>IF(AND($A811="",$C811=""),"",IF($A811="","Thiếu mã đơn; ","")&amp;IF(COUNTIF($A$2:$A811,$A811)&gt;1,"Trùng mã đơn; ","")&amp;IF(ISNA(MATCH($C811,DATA_MASTER!$D$2:$D$5000,0)),"SĐT chưa đăng ký hội viên; ","")&amp;IF(AND($L811="Đã chuyển khoản",$M811=""),"Thiếu ngày nhận CK; ",""))</f>
        <v/>
      </c>
      <c r="T811" s="24" t="n"/>
    </row>
    <row r="812" ht="14.25" customHeight="1" s="40">
      <c r="A812" s="24" t="n"/>
      <c r="B812" s="29" t="n"/>
      <c r="C812" s="28" t="n"/>
      <c r="D812" s="22">
        <f t="array" ref="D812">IF($C812="","",IFERROR(INDEX(DATA_MASTER!$C$2:$C$5000,MATCH($C812,DATA_MASTER!$D$2:$D$5000,0)),""))</f>
        <v/>
      </c>
      <c r="E812" s="22">
        <f t="array" ref="E812">IF($C812="","",IFERROR(INDEX(DATA_MASTER!$I$2:$I$5000,MATCH($C812,DATA_MASTER!$D$2:$D$5000,0)),""))</f>
        <v/>
      </c>
      <c r="F812" s="22">
        <f t="array" ref="F812">IF($C812="","",IFERROR(INDEX(DATA_MASTER!$L$2:$L$5000,MATCH($C812,DATA_MASTER!$D$2:$D$5000,0)),""))</f>
        <v/>
      </c>
      <c r="G812" s="24" t="n"/>
      <c r="H812" s="24" t="n"/>
      <c r="I812" s="30" t="n"/>
      <c r="J812" s="23">
        <f>IF(OR($H812="",$I812=""),"",$H812*$I812)</f>
        <v/>
      </c>
      <c r="K812" s="24" t="n"/>
      <c r="L812" s="24" t="n"/>
      <c r="M812" s="29" t="n"/>
      <c r="N812" s="28" t="n"/>
      <c r="O812" s="24" t="n"/>
      <c r="P812" s="24" t="n"/>
      <c r="Q812" s="24" t="n"/>
      <c r="R812" s="24" t="n"/>
      <c r="S812" s="22">
        <f>IF(AND($A812="",$C812=""),"",IF($A812="","Thiếu mã đơn; ","")&amp;IF(COUNTIF($A$2:$A812,$A812)&gt;1,"Trùng mã đơn; ","")&amp;IF(ISNA(MATCH($C812,DATA_MASTER!$D$2:$D$5000,0)),"SĐT chưa đăng ký hội viên; ","")&amp;IF(AND($L812="Đã chuyển khoản",$M812=""),"Thiếu ngày nhận CK; ",""))</f>
        <v/>
      </c>
      <c r="T812" s="24" t="n"/>
    </row>
    <row r="813" ht="14.25" customHeight="1" s="40">
      <c r="A813" s="24" t="n"/>
      <c r="B813" s="29" t="n"/>
      <c r="C813" s="28" t="n"/>
      <c r="D813" s="22">
        <f t="array" ref="D813">IF($C813="","",IFERROR(INDEX(DATA_MASTER!$C$2:$C$5000,MATCH($C813,DATA_MASTER!$D$2:$D$5000,0)),""))</f>
        <v/>
      </c>
      <c r="E813" s="22">
        <f t="array" ref="E813">IF($C813="","",IFERROR(INDEX(DATA_MASTER!$I$2:$I$5000,MATCH($C813,DATA_MASTER!$D$2:$D$5000,0)),""))</f>
        <v/>
      </c>
      <c r="F813" s="22">
        <f t="array" ref="F813">IF($C813="","",IFERROR(INDEX(DATA_MASTER!$L$2:$L$5000,MATCH($C813,DATA_MASTER!$D$2:$D$5000,0)),""))</f>
        <v/>
      </c>
      <c r="G813" s="24" t="n"/>
      <c r="H813" s="24" t="n"/>
      <c r="I813" s="30" t="n"/>
      <c r="J813" s="23">
        <f>IF(OR($H813="",$I813=""),"",$H813*$I813)</f>
        <v/>
      </c>
      <c r="K813" s="24" t="n"/>
      <c r="L813" s="24" t="n"/>
      <c r="M813" s="29" t="n"/>
      <c r="N813" s="28" t="n"/>
      <c r="O813" s="24" t="n"/>
      <c r="P813" s="24" t="n"/>
      <c r="Q813" s="24" t="n"/>
      <c r="R813" s="24" t="n"/>
      <c r="S813" s="22">
        <f>IF(AND($A813="",$C813=""),"",IF($A813="","Thiếu mã đơn; ","")&amp;IF(COUNTIF($A$2:$A813,$A813)&gt;1,"Trùng mã đơn; ","")&amp;IF(ISNA(MATCH($C813,DATA_MASTER!$D$2:$D$5000,0)),"SĐT chưa đăng ký hội viên; ","")&amp;IF(AND($L813="Đã chuyển khoản",$M813=""),"Thiếu ngày nhận CK; ",""))</f>
        <v/>
      </c>
      <c r="T813" s="24" t="n"/>
    </row>
    <row r="814" ht="14.25" customHeight="1" s="40">
      <c r="A814" s="24" t="n"/>
      <c r="B814" s="29" t="n"/>
      <c r="C814" s="28" t="n"/>
      <c r="D814" s="22">
        <f t="array" ref="D814">IF($C814="","",IFERROR(INDEX(DATA_MASTER!$C$2:$C$5000,MATCH($C814,DATA_MASTER!$D$2:$D$5000,0)),""))</f>
        <v/>
      </c>
      <c r="E814" s="22">
        <f t="array" ref="E814">IF($C814="","",IFERROR(INDEX(DATA_MASTER!$I$2:$I$5000,MATCH($C814,DATA_MASTER!$D$2:$D$5000,0)),""))</f>
        <v/>
      </c>
      <c r="F814" s="22">
        <f t="array" ref="F814">IF($C814="","",IFERROR(INDEX(DATA_MASTER!$L$2:$L$5000,MATCH($C814,DATA_MASTER!$D$2:$D$5000,0)),""))</f>
        <v/>
      </c>
      <c r="G814" s="24" t="n"/>
      <c r="H814" s="24" t="n"/>
      <c r="I814" s="30" t="n"/>
      <c r="J814" s="23">
        <f>IF(OR($H814="",$I814=""),"",$H814*$I814)</f>
        <v/>
      </c>
      <c r="K814" s="24" t="n"/>
      <c r="L814" s="24" t="n"/>
      <c r="M814" s="29" t="n"/>
      <c r="N814" s="28" t="n"/>
      <c r="O814" s="24" t="n"/>
      <c r="P814" s="24" t="n"/>
      <c r="Q814" s="24" t="n"/>
      <c r="R814" s="24" t="n"/>
      <c r="S814" s="22">
        <f>IF(AND($A814="",$C814=""),"",IF($A814="","Thiếu mã đơn; ","")&amp;IF(COUNTIF($A$2:$A814,$A814)&gt;1,"Trùng mã đơn; ","")&amp;IF(ISNA(MATCH($C814,DATA_MASTER!$D$2:$D$5000,0)),"SĐT chưa đăng ký hội viên; ","")&amp;IF(AND($L814="Đã chuyển khoản",$M814=""),"Thiếu ngày nhận CK; ",""))</f>
        <v/>
      </c>
      <c r="T814" s="24" t="n"/>
    </row>
    <row r="815" ht="14.25" customHeight="1" s="40">
      <c r="A815" s="24" t="n"/>
      <c r="B815" s="29" t="n"/>
      <c r="C815" s="28" t="n"/>
      <c r="D815" s="22">
        <f t="array" ref="D815">IF($C815="","",IFERROR(INDEX(DATA_MASTER!$C$2:$C$5000,MATCH($C815,DATA_MASTER!$D$2:$D$5000,0)),""))</f>
        <v/>
      </c>
      <c r="E815" s="22">
        <f t="array" ref="E815">IF($C815="","",IFERROR(INDEX(DATA_MASTER!$I$2:$I$5000,MATCH($C815,DATA_MASTER!$D$2:$D$5000,0)),""))</f>
        <v/>
      </c>
      <c r="F815" s="22">
        <f t="array" ref="F815">IF($C815="","",IFERROR(INDEX(DATA_MASTER!$L$2:$L$5000,MATCH($C815,DATA_MASTER!$D$2:$D$5000,0)),""))</f>
        <v/>
      </c>
      <c r="G815" s="24" t="n"/>
      <c r="H815" s="24" t="n"/>
      <c r="I815" s="30" t="n"/>
      <c r="J815" s="23">
        <f>IF(OR($H815="",$I815=""),"",$H815*$I815)</f>
        <v/>
      </c>
      <c r="K815" s="24" t="n"/>
      <c r="L815" s="24" t="n"/>
      <c r="M815" s="29" t="n"/>
      <c r="N815" s="28" t="n"/>
      <c r="O815" s="24" t="n"/>
      <c r="P815" s="24" t="n"/>
      <c r="Q815" s="24" t="n"/>
      <c r="R815" s="24" t="n"/>
      <c r="S815" s="22">
        <f>IF(AND($A815="",$C815=""),"",IF($A815="","Thiếu mã đơn; ","")&amp;IF(COUNTIF($A$2:$A815,$A815)&gt;1,"Trùng mã đơn; ","")&amp;IF(ISNA(MATCH($C815,DATA_MASTER!$D$2:$D$5000,0)),"SĐT chưa đăng ký hội viên; ","")&amp;IF(AND($L815="Đã chuyển khoản",$M815=""),"Thiếu ngày nhận CK; ",""))</f>
        <v/>
      </c>
      <c r="T815" s="24" t="n"/>
    </row>
    <row r="816" ht="14.25" customHeight="1" s="40">
      <c r="A816" s="24" t="n"/>
      <c r="B816" s="29" t="n"/>
      <c r="C816" s="28" t="n"/>
      <c r="D816" s="22">
        <f t="array" ref="D816">IF($C816="","",IFERROR(INDEX(DATA_MASTER!$C$2:$C$5000,MATCH($C816,DATA_MASTER!$D$2:$D$5000,0)),""))</f>
        <v/>
      </c>
      <c r="E816" s="22">
        <f t="array" ref="E816">IF($C816="","",IFERROR(INDEX(DATA_MASTER!$I$2:$I$5000,MATCH($C816,DATA_MASTER!$D$2:$D$5000,0)),""))</f>
        <v/>
      </c>
      <c r="F816" s="22">
        <f t="array" ref="F816">IF($C816="","",IFERROR(INDEX(DATA_MASTER!$L$2:$L$5000,MATCH($C816,DATA_MASTER!$D$2:$D$5000,0)),""))</f>
        <v/>
      </c>
      <c r="G816" s="24" t="n"/>
      <c r="H816" s="24" t="n"/>
      <c r="I816" s="30" t="n"/>
      <c r="J816" s="23">
        <f>IF(OR($H816="",$I816=""),"",$H816*$I816)</f>
        <v/>
      </c>
      <c r="K816" s="24" t="n"/>
      <c r="L816" s="24" t="n"/>
      <c r="M816" s="29" t="n"/>
      <c r="N816" s="28" t="n"/>
      <c r="O816" s="24" t="n"/>
      <c r="P816" s="24" t="n"/>
      <c r="Q816" s="24" t="n"/>
      <c r="R816" s="24" t="n"/>
      <c r="S816" s="22">
        <f>IF(AND($A816="",$C816=""),"",IF($A816="","Thiếu mã đơn; ","")&amp;IF(COUNTIF($A$2:$A816,$A816)&gt;1,"Trùng mã đơn; ","")&amp;IF(ISNA(MATCH($C816,DATA_MASTER!$D$2:$D$5000,0)),"SĐT chưa đăng ký hội viên; ","")&amp;IF(AND($L816="Đã chuyển khoản",$M816=""),"Thiếu ngày nhận CK; ",""))</f>
        <v/>
      </c>
      <c r="T816" s="24" t="n"/>
    </row>
    <row r="817" ht="14.25" customHeight="1" s="40">
      <c r="A817" s="24" t="n"/>
      <c r="B817" s="29" t="n"/>
      <c r="C817" s="28" t="n"/>
      <c r="D817" s="22">
        <f t="array" ref="D817">IF($C817="","",IFERROR(INDEX(DATA_MASTER!$C$2:$C$5000,MATCH($C817,DATA_MASTER!$D$2:$D$5000,0)),""))</f>
        <v/>
      </c>
      <c r="E817" s="22">
        <f t="array" ref="E817">IF($C817="","",IFERROR(INDEX(DATA_MASTER!$I$2:$I$5000,MATCH($C817,DATA_MASTER!$D$2:$D$5000,0)),""))</f>
        <v/>
      </c>
      <c r="F817" s="22">
        <f t="array" ref="F817">IF($C817="","",IFERROR(INDEX(DATA_MASTER!$L$2:$L$5000,MATCH($C817,DATA_MASTER!$D$2:$D$5000,0)),""))</f>
        <v/>
      </c>
      <c r="G817" s="24" t="n"/>
      <c r="H817" s="24" t="n"/>
      <c r="I817" s="30" t="n"/>
      <c r="J817" s="23">
        <f>IF(OR($H817="",$I817=""),"",$H817*$I817)</f>
        <v/>
      </c>
      <c r="K817" s="24" t="n"/>
      <c r="L817" s="24" t="n"/>
      <c r="M817" s="29" t="n"/>
      <c r="N817" s="28" t="n"/>
      <c r="O817" s="24" t="n"/>
      <c r="P817" s="24" t="n"/>
      <c r="Q817" s="24" t="n"/>
      <c r="R817" s="24" t="n"/>
      <c r="S817" s="22">
        <f>IF(AND($A817="",$C817=""),"",IF($A817="","Thiếu mã đơn; ","")&amp;IF(COUNTIF($A$2:$A817,$A817)&gt;1,"Trùng mã đơn; ","")&amp;IF(ISNA(MATCH($C817,DATA_MASTER!$D$2:$D$5000,0)),"SĐT chưa đăng ký hội viên; ","")&amp;IF(AND($L817="Đã chuyển khoản",$M817=""),"Thiếu ngày nhận CK; ",""))</f>
        <v/>
      </c>
      <c r="T817" s="24" t="n"/>
    </row>
    <row r="818" ht="14.25" customHeight="1" s="40">
      <c r="A818" s="24" t="n"/>
      <c r="B818" s="29" t="n"/>
      <c r="C818" s="28" t="n"/>
      <c r="D818" s="22">
        <f t="array" ref="D818">IF($C818="","",IFERROR(INDEX(DATA_MASTER!$C$2:$C$5000,MATCH($C818,DATA_MASTER!$D$2:$D$5000,0)),""))</f>
        <v/>
      </c>
      <c r="E818" s="22">
        <f t="array" ref="E818">IF($C818="","",IFERROR(INDEX(DATA_MASTER!$I$2:$I$5000,MATCH($C818,DATA_MASTER!$D$2:$D$5000,0)),""))</f>
        <v/>
      </c>
      <c r="F818" s="22">
        <f t="array" ref="F818">IF($C818="","",IFERROR(INDEX(DATA_MASTER!$L$2:$L$5000,MATCH($C818,DATA_MASTER!$D$2:$D$5000,0)),""))</f>
        <v/>
      </c>
      <c r="G818" s="24" t="n"/>
      <c r="H818" s="24" t="n"/>
      <c r="I818" s="30" t="n"/>
      <c r="J818" s="23">
        <f>IF(OR($H818="",$I818=""),"",$H818*$I818)</f>
        <v/>
      </c>
      <c r="K818" s="24" t="n"/>
      <c r="L818" s="24" t="n"/>
      <c r="M818" s="29" t="n"/>
      <c r="N818" s="28" t="n"/>
      <c r="O818" s="24" t="n"/>
      <c r="P818" s="24" t="n"/>
      <c r="Q818" s="24" t="n"/>
      <c r="R818" s="24" t="n"/>
      <c r="S818" s="22">
        <f>IF(AND($A818="",$C818=""),"",IF($A818="","Thiếu mã đơn; ","")&amp;IF(COUNTIF($A$2:$A818,$A818)&gt;1,"Trùng mã đơn; ","")&amp;IF(ISNA(MATCH($C818,DATA_MASTER!$D$2:$D$5000,0)),"SĐT chưa đăng ký hội viên; ","")&amp;IF(AND($L818="Đã chuyển khoản",$M818=""),"Thiếu ngày nhận CK; ",""))</f>
        <v/>
      </c>
      <c r="T818" s="24" t="n"/>
    </row>
    <row r="819" ht="14.25" customHeight="1" s="40">
      <c r="A819" s="24" t="n"/>
      <c r="B819" s="29" t="n"/>
      <c r="C819" s="28" t="n"/>
      <c r="D819" s="22">
        <f t="array" ref="D819">IF($C819="","",IFERROR(INDEX(DATA_MASTER!$C$2:$C$5000,MATCH($C819,DATA_MASTER!$D$2:$D$5000,0)),""))</f>
        <v/>
      </c>
      <c r="E819" s="22">
        <f t="array" ref="E819">IF($C819="","",IFERROR(INDEX(DATA_MASTER!$I$2:$I$5000,MATCH($C819,DATA_MASTER!$D$2:$D$5000,0)),""))</f>
        <v/>
      </c>
      <c r="F819" s="22">
        <f t="array" ref="F819">IF($C819="","",IFERROR(INDEX(DATA_MASTER!$L$2:$L$5000,MATCH($C819,DATA_MASTER!$D$2:$D$5000,0)),""))</f>
        <v/>
      </c>
      <c r="G819" s="24" t="n"/>
      <c r="H819" s="24" t="n"/>
      <c r="I819" s="30" t="n"/>
      <c r="J819" s="23">
        <f>IF(OR($H819="",$I819=""),"",$H819*$I819)</f>
        <v/>
      </c>
      <c r="K819" s="24" t="n"/>
      <c r="L819" s="24" t="n"/>
      <c r="M819" s="29" t="n"/>
      <c r="N819" s="28" t="n"/>
      <c r="O819" s="24" t="n"/>
      <c r="P819" s="24" t="n"/>
      <c r="Q819" s="24" t="n"/>
      <c r="R819" s="24" t="n"/>
      <c r="S819" s="22">
        <f>IF(AND($A819="",$C819=""),"",IF($A819="","Thiếu mã đơn; ","")&amp;IF(COUNTIF($A$2:$A819,$A819)&gt;1,"Trùng mã đơn; ","")&amp;IF(ISNA(MATCH($C819,DATA_MASTER!$D$2:$D$5000,0)),"SĐT chưa đăng ký hội viên; ","")&amp;IF(AND($L819="Đã chuyển khoản",$M819=""),"Thiếu ngày nhận CK; ",""))</f>
        <v/>
      </c>
      <c r="T819" s="24" t="n"/>
    </row>
    <row r="820" ht="14.25" customHeight="1" s="40">
      <c r="A820" s="24" t="n"/>
      <c r="B820" s="29" t="n"/>
      <c r="C820" s="28" t="n"/>
      <c r="D820" s="22">
        <f t="array" ref="D820">IF($C820="","",IFERROR(INDEX(DATA_MASTER!$C$2:$C$5000,MATCH($C820,DATA_MASTER!$D$2:$D$5000,0)),""))</f>
        <v/>
      </c>
      <c r="E820" s="22">
        <f t="array" ref="E820">IF($C820="","",IFERROR(INDEX(DATA_MASTER!$I$2:$I$5000,MATCH($C820,DATA_MASTER!$D$2:$D$5000,0)),""))</f>
        <v/>
      </c>
      <c r="F820" s="22">
        <f t="array" ref="F820">IF($C820="","",IFERROR(INDEX(DATA_MASTER!$L$2:$L$5000,MATCH($C820,DATA_MASTER!$D$2:$D$5000,0)),""))</f>
        <v/>
      </c>
      <c r="G820" s="24" t="n"/>
      <c r="H820" s="24" t="n"/>
      <c r="I820" s="30" t="n"/>
      <c r="J820" s="23">
        <f>IF(OR($H820="",$I820=""),"",$H820*$I820)</f>
        <v/>
      </c>
      <c r="K820" s="24" t="n"/>
      <c r="L820" s="24" t="n"/>
      <c r="M820" s="29" t="n"/>
      <c r="N820" s="28" t="n"/>
      <c r="O820" s="24" t="n"/>
      <c r="P820" s="24" t="n"/>
      <c r="Q820" s="24" t="n"/>
      <c r="R820" s="24" t="n"/>
      <c r="S820" s="22">
        <f>IF(AND($A820="",$C820=""),"",IF($A820="","Thiếu mã đơn; ","")&amp;IF(COUNTIF($A$2:$A820,$A820)&gt;1,"Trùng mã đơn; ","")&amp;IF(ISNA(MATCH($C820,DATA_MASTER!$D$2:$D$5000,0)),"SĐT chưa đăng ký hội viên; ","")&amp;IF(AND($L820="Đã chuyển khoản",$M820=""),"Thiếu ngày nhận CK; ",""))</f>
        <v/>
      </c>
      <c r="T820" s="24" t="n"/>
    </row>
    <row r="821" ht="14.25" customHeight="1" s="40">
      <c r="A821" s="24" t="n"/>
      <c r="B821" s="29" t="n"/>
      <c r="C821" s="28" t="n"/>
      <c r="D821" s="22">
        <f t="array" ref="D821">IF($C821="","",IFERROR(INDEX(DATA_MASTER!$C$2:$C$5000,MATCH($C821,DATA_MASTER!$D$2:$D$5000,0)),""))</f>
        <v/>
      </c>
      <c r="E821" s="22">
        <f t="array" ref="E821">IF($C821="","",IFERROR(INDEX(DATA_MASTER!$I$2:$I$5000,MATCH($C821,DATA_MASTER!$D$2:$D$5000,0)),""))</f>
        <v/>
      </c>
      <c r="F821" s="22">
        <f t="array" ref="F821">IF($C821="","",IFERROR(INDEX(DATA_MASTER!$L$2:$L$5000,MATCH($C821,DATA_MASTER!$D$2:$D$5000,0)),""))</f>
        <v/>
      </c>
      <c r="G821" s="24" t="n"/>
      <c r="H821" s="24" t="n"/>
      <c r="I821" s="30" t="n"/>
      <c r="J821" s="23">
        <f>IF(OR($H821="",$I821=""),"",$H821*$I821)</f>
        <v/>
      </c>
      <c r="K821" s="24" t="n"/>
      <c r="L821" s="24" t="n"/>
      <c r="M821" s="29" t="n"/>
      <c r="N821" s="28" t="n"/>
      <c r="O821" s="24" t="n"/>
      <c r="P821" s="24" t="n"/>
      <c r="Q821" s="24" t="n"/>
      <c r="R821" s="24" t="n"/>
      <c r="S821" s="22">
        <f>IF(AND($A821="",$C821=""),"",IF($A821="","Thiếu mã đơn; ","")&amp;IF(COUNTIF($A$2:$A821,$A821)&gt;1,"Trùng mã đơn; ","")&amp;IF(ISNA(MATCH($C821,DATA_MASTER!$D$2:$D$5000,0)),"SĐT chưa đăng ký hội viên; ","")&amp;IF(AND($L821="Đã chuyển khoản",$M821=""),"Thiếu ngày nhận CK; ",""))</f>
        <v/>
      </c>
      <c r="T821" s="24" t="n"/>
    </row>
    <row r="822" ht="14.25" customHeight="1" s="40">
      <c r="A822" s="24" t="n"/>
      <c r="B822" s="29" t="n"/>
      <c r="C822" s="28" t="n"/>
      <c r="D822" s="22">
        <f t="array" ref="D822">IF($C822="","",IFERROR(INDEX(DATA_MASTER!$C$2:$C$5000,MATCH($C822,DATA_MASTER!$D$2:$D$5000,0)),""))</f>
        <v/>
      </c>
      <c r="E822" s="22">
        <f t="array" ref="E822">IF($C822="","",IFERROR(INDEX(DATA_MASTER!$I$2:$I$5000,MATCH($C822,DATA_MASTER!$D$2:$D$5000,0)),""))</f>
        <v/>
      </c>
      <c r="F822" s="22">
        <f t="array" ref="F822">IF($C822="","",IFERROR(INDEX(DATA_MASTER!$L$2:$L$5000,MATCH($C822,DATA_MASTER!$D$2:$D$5000,0)),""))</f>
        <v/>
      </c>
      <c r="G822" s="24" t="n"/>
      <c r="H822" s="24" t="n"/>
      <c r="I822" s="30" t="n"/>
      <c r="J822" s="23">
        <f>IF(OR($H822="",$I822=""),"",$H822*$I822)</f>
        <v/>
      </c>
      <c r="K822" s="24" t="n"/>
      <c r="L822" s="24" t="n"/>
      <c r="M822" s="29" t="n"/>
      <c r="N822" s="28" t="n"/>
      <c r="O822" s="24" t="n"/>
      <c r="P822" s="24" t="n"/>
      <c r="Q822" s="24" t="n"/>
      <c r="R822" s="24" t="n"/>
      <c r="S822" s="22">
        <f>IF(AND($A822="",$C822=""),"",IF($A822="","Thiếu mã đơn; ","")&amp;IF(COUNTIF($A$2:$A822,$A822)&gt;1,"Trùng mã đơn; ","")&amp;IF(ISNA(MATCH($C822,DATA_MASTER!$D$2:$D$5000,0)),"SĐT chưa đăng ký hội viên; ","")&amp;IF(AND($L822="Đã chuyển khoản",$M822=""),"Thiếu ngày nhận CK; ",""))</f>
        <v/>
      </c>
      <c r="T822" s="24" t="n"/>
    </row>
    <row r="823" ht="14.25" customHeight="1" s="40">
      <c r="A823" s="24" t="n"/>
      <c r="B823" s="29" t="n"/>
      <c r="C823" s="28" t="n"/>
      <c r="D823" s="22">
        <f t="array" ref="D823">IF($C823="","",IFERROR(INDEX(DATA_MASTER!$C$2:$C$5000,MATCH($C823,DATA_MASTER!$D$2:$D$5000,0)),""))</f>
        <v/>
      </c>
      <c r="E823" s="22">
        <f t="array" ref="E823">IF($C823="","",IFERROR(INDEX(DATA_MASTER!$I$2:$I$5000,MATCH($C823,DATA_MASTER!$D$2:$D$5000,0)),""))</f>
        <v/>
      </c>
      <c r="F823" s="22">
        <f t="array" ref="F823">IF($C823="","",IFERROR(INDEX(DATA_MASTER!$L$2:$L$5000,MATCH($C823,DATA_MASTER!$D$2:$D$5000,0)),""))</f>
        <v/>
      </c>
      <c r="G823" s="24" t="n"/>
      <c r="H823" s="24" t="n"/>
      <c r="I823" s="30" t="n"/>
      <c r="J823" s="23">
        <f>IF(OR($H823="",$I823=""),"",$H823*$I823)</f>
        <v/>
      </c>
      <c r="K823" s="24" t="n"/>
      <c r="L823" s="24" t="n"/>
      <c r="M823" s="29" t="n"/>
      <c r="N823" s="28" t="n"/>
      <c r="O823" s="24" t="n"/>
      <c r="P823" s="24" t="n"/>
      <c r="Q823" s="24" t="n"/>
      <c r="R823" s="24" t="n"/>
      <c r="S823" s="22">
        <f>IF(AND($A823="",$C823=""),"",IF($A823="","Thiếu mã đơn; ","")&amp;IF(COUNTIF($A$2:$A823,$A823)&gt;1,"Trùng mã đơn; ","")&amp;IF(ISNA(MATCH($C823,DATA_MASTER!$D$2:$D$5000,0)),"SĐT chưa đăng ký hội viên; ","")&amp;IF(AND($L823="Đã chuyển khoản",$M823=""),"Thiếu ngày nhận CK; ",""))</f>
        <v/>
      </c>
      <c r="T823" s="24" t="n"/>
    </row>
    <row r="824" ht="14.25" customHeight="1" s="40">
      <c r="A824" s="24" t="n"/>
      <c r="B824" s="29" t="n"/>
      <c r="C824" s="28" t="n"/>
      <c r="D824" s="22">
        <f t="array" ref="D824">IF($C824="","",IFERROR(INDEX(DATA_MASTER!$C$2:$C$5000,MATCH($C824,DATA_MASTER!$D$2:$D$5000,0)),""))</f>
        <v/>
      </c>
      <c r="E824" s="22">
        <f t="array" ref="E824">IF($C824="","",IFERROR(INDEX(DATA_MASTER!$I$2:$I$5000,MATCH($C824,DATA_MASTER!$D$2:$D$5000,0)),""))</f>
        <v/>
      </c>
      <c r="F824" s="22">
        <f t="array" ref="F824">IF($C824="","",IFERROR(INDEX(DATA_MASTER!$L$2:$L$5000,MATCH($C824,DATA_MASTER!$D$2:$D$5000,0)),""))</f>
        <v/>
      </c>
      <c r="G824" s="24" t="n"/>
      <c r="H824" s="24" t="n"/>
      <c r="I824" s="30" t="n"/>
      <c r="J824" s="23">
        <f>IF(OR($H824="",$I824=""),"",$H824*$I824)</f>
        <v/>
      </c>
      <c r="K824" s="24" t="n"/>
      <c r="L824" s="24" t="n"/>
      <c r="M824" s="29" t="n"/>
      <c r="N824" s="28" t="n"/>
      <c r="O824" s="24" t="n"/>
      <c r="P824" s="24" t="n"/>
      <c r="Q824" s="24" t="n"/>
      <c r="R824" s="24" t="n"/>
      <c r="S824" s="22">
        <f>IF(AND($A824="",$C824=""),"",IF($A824="","Thiếu mã đơn; ","")&amp;IF(COUNTIF($A$2:$A824,$A824)&gt;1,"Trùng mã đơn; ","")&amp;IF(ISNA(MATCH($C824,DATA_MASTER!$D$2:$D$5000,0)),"SĐT chưa đăng ký hội viên; ","")&amp;IF(AND($L824="Đã chuyển khoản",$M824=""),"Thiếu ngày nhận CK; ",""))</f>
        <v/>
      </c>
      <c r="T824" s="24" t="n"/>
    </row>
    <row r="825" ht="14.25" customHeight="1" s="40">
      <c r="A825" s="24" t="n"/>
      <c r="B825" s="29" t="n"/>
      <c r="C825" s="28" t="n"/>
      <c r="D825" s="22">
        <f t="array" ref="D825">IF($C825="","",IFERROR(INDEX(DATA_MASTER!$C$2:$C$5000,MATCH($C825,DATA_MASTER!$D$2:$D$5000,0)),""))</f>
        <v/>
      </c>
      <c r="E825" s="22">
        <f t="array" ref="E825">IF($C825="","",IFERROR(INDEX(DATA_MASTER!$I$2:$I$5000,MATCH($C825,DATA_MASTER!$D$2:$D$5000,0)),""))</f>
        <v/>
      </c>
      <c r="F825" s="22">
        <f t="array" ref="F825">IF($C825="","",IFERROR(INDEX(DATA_MASTER!$L$2:$L$5000,MATCH($C825,DATA_MASTER!$D$2:$D$5000,0)),""))</f>
        <v/>
      </c>
      <c r="G825" s="24" t="n"/>
      <c r="H825" s="24" t="n"/>
      <c r="I825" s="30" t="n"/>
      <c r="J825" s="23">
        <f>IF(OR($H825="",$I825=""),"",$H825*$I825)</f>
        <v/>
      </c>
      <c r="K825" s="24" t="n"/>
      <c r="L825" s="24" t="n"/>
      <c r="M825" s="29" t="n"/>
      <c r="N825" s="28" t="n"/>
      <c r="O825" s="24" t="n"/>
      <c r="P825" s="24" t="n"/>
      <c r="Q825" s="24" t="n"/>
      <c r="R825" s="24" t="n"/>
      <c r="S825" s="22">
        <f>IF(AND($A825="",$C825=""),"",IF($A825="","Thiếu mã đơn; ","")&amp;IF(COUNTIF($A$2:$A825,$A825)&gt;1,"Trùng mã đơn; ","")&amp;IF(ISNA(MATCH($C825,DATA_MASTER!$D$2:$D$5000,0)),"SĐT chưa đăng ký hội viên; ","")&amp;IF(AND($L825="Đã chuyển khoản",$M825=""),"Thiếu ngày nhận CK; ",""))</f>
        <v/>
      </c>
      <c r="T825" s="24" t="n"/>
    </row>
    <row r="826" ht="14.25" customHeight="1" s="40">
      <c r="A826" s="24" t="n"/>
      <c r="B826" s="29" t="n"/>
      <c r="C826" s="28" t="n"/>
      <c r="D826" s="22">
        <f t="array" ref="D826">IF($C826="","",IFERROR(INDEX(DATA_MASTER!$C$2:$C$5000,MATCH($C826,DATA_MASTER!$D$2:$D$5000,0)),""))</f>
        <v/>
      </c>
      <c r="E826" s="22">
        <f t="array" ref="E826">IF($C826="","",IFERROR(INDEX(DATA_MASTER!$I$2:$I$5000,MATCH($C826,DATA_MASTER!$D$2:$D$5000,0)),""))</f>
        <v/>
      </c>
      <c r="F826" s="22">
        <f t="array" ref="F826">IF($C826="","",IFERROR(INDEX(DATA_MASTER!$L$2:$L$5000,MATCH($C826,DATA_MASTER!$D$2:$D$5000,0)),""))</f>
        <v/>
      </c>
      <c r="G826" s="24" t="n"/>
      <c r="H826" s="24" t="n"/>
      <c r="I826" s="30" t="n"/>
      <c r="J826" s="23">
        <f>IF(OR($H826="",$I826=""),"",$H826*$I826)</f>
        <v/>
      </c>
      <c r="K826" s="24" t="n"/>
      <c r="L826" s="24" t="n"/>
      <c r="M826" s="29" t="n"/>
      <c r="N826" s="28" t="n"/>
      <c r="O826" s="24" t="n"/>
      <c r="P826" s="24" t="n"/>
      <c r="Q826" s="24" t="n"/>
      <c r="R826" s="24" t="n"/>
      <c r="S826" s="22">
        <f>IF(AND($A826="",$C826=""),"",IF($A826="","Thiếu mã đơn; ","")&amp;IF(COUNTIF($A$2:$A826,$A826)&gt;1,"Trùng mã đơn; ","")&amp;IF(ISNA(MATCH($C826,DATA_MASTER!$D$2:$D$5000,0)),"SĐT chưa đăng ký hội viên; ","")&amp;IF(AND($L826="Đã chuyển khoản",$M826=""),"Thiếu ngày nhận CK; ",""))</f>
        <v/>
      </c>
      <c r="T826" s="24" t="n"/>
    </row>
    <row r="827" ht="14.25" customHeight="1" s="40">
      <c r="A827" s="24" t="n"/>
      <c r="B827" s="29" t="n"/>
      <c r="C827" s="28" t="n"/>
      <c r="D827" s="22">
        <f t="array" ref="D827">IF($C827="","",IFERROR(INDEX(DATA_MASTER!$C$2:$C$5000,MATCH($C827,DATA_MASTER!$D$2:$D$5000,0)),""))</f>
        <v/>
      </c>
      <c r="E827" s="22">
        <f t="array" ref="E827">IF($C827="","",IFERROR(INDEX(DATA_MASTER!$I$2:$I$5000,MATCH($C827,DATA_MASTER!$D$2:$D$5000,0)),""))</f>
        <v/>
      </c>
      <c r="F827" s="22">
        <f t="array" ref="F827">IF($C827="","",IFERROR(INDEX(DATA_MASTER!$L$2:$L$5000,MATCH($C827,DATA_MASTER!$D$2:$D$5000,0)),""))</f>
        <v/>
      </c>
      <c r="G827" s="24" t="n"/>
      <c r="H827" s="24" t="n"/>
      <c r="I827" s="30" t="n"/>
      <c r="J827" s="23">
        <f>IF(OR($H827="",$I827=""),"",$H827*$I827)</f>
        <v/>
      </c>
      <c r="K827" s="24" t="n"/>
      <c r="L827" s="24" t="n"/>
      <c r="M827" s="29" t="n"/>
      <c r="N827" s="28" t="n"/>
      <c r="O827" s="24" t="n"/>
      <c r="P827" s="24" t="n"/>
      <c r="Q827" s="24" t="n"/>
      <c r="R827" s="24" t="n"/>
      <c r="S827" s="22">
        <f>IF(AND($A827="",$C827=""),"",IF($A827="","Thiếu mã đơn; ","")&amp;IF(COUNTIF($A$2:$A827,$A827)&gt;1,"Trùng mã đơn; ","")&amp;IF(ISNA(MATCH($C827,DATA_MASTER!$D$2:$D$5000,0)),"SĐT chưa đăng ký hội viên; ","")&amp;IF(AND($L827="Đã chuyển khoản",$M827=""),"Thiếu ngày nhận CK; ",""))</f>
        <v/>
      </c>
      <c r="T827" s="24" t="n"/>
    </row>
    <row r="828" ht="14.25" customHeight="1" s="40">
      <c r="A828" s="24" t="n"/>
      <c r="B828" s="29" t="n"/>
      <c r="C828" s="28" t="n"/>
      <c r="D828" s="22">
        <f t="array" ref="D828">IF($C828="","",IFERROR(INDEX(DATA_MASTER!$C$2:$C$5000,MATCH($C828,DATA_MASTER!$D$2:$D$5000,0)),""))</f>
        <v/>
      </c>
      <c r="E828" s="22">
        <f t="array" ref="E828">IF($C828="","",IFERROR(INDEX(DATA_MASTER!$I$2:$I$5000,MATCH($C828,DATA_MASTER!$D$2:$D$5000,0)),""))</f>
        <v/>
      </c>
      <c r="F828" s="22">
        <f t="array" ref="F828">IF($C828="","",IFERROR(INDEX(DATA_MASTER!$L$2:$L$5000,MATCH($C828,DATA_MASTER!$D$2:$D$5000,0)),""))</f>
        <v/>
      </c>
      <c r="G828" s="24" t="n"/>
      <c r="H828" s="24" t="n"/>
      <c r="I828" s="30" t="n"/>
      <c r="J828" s="23">
        <f>IF(OR($H828="",$I828=""),"",$H828*$I828)</f>
        <v/>
      </c>
      <c r="K828" s="24" t="n"/>
      <c r="L828" s="24" t="n"/>
      <c r="M828" s="29" t="n"/>
      <c r="N828" s="28" t="n"/>
      <c r="O828" s="24" t="n"/>
      <c r="P828" s="24" t="n"/>
      <c r="Q828" s="24" t="n"/>
      <c r="R828" s="24" t="n"/>
      <c r="S828" s="22">
        <f>IF(AND($A828="",$C828=""),"",IF($A828="","Thiếu mã đơn; ","")&amp;IF(COUNTIF($A$2:$A828,$A828)&gt;1,"Trùng mã đơn; ","")&amp;IF(ISNA(MATCH($C828,DATA_MASTER!$D$2:$D$5000,0)),"SĐT chưa đăng ký hội viên; ","")&amp;IF(AND($L828="Đã chuyển khoản",$M828=""),"Thiếu ngày nhận CK; ",""))</f>
        <v/>
      </c>
      <c r="T828" s="24" t="n"/>
    </row>
    <row r="829" ht="14.25" customHeight="1" s="40">
      <c r="A829" s="24" t="n"/>
      <c r="B829" s="29" t="n"/>
      <c r="C829" s="28" t="n"/>
      <c r="D829" s="22">
        <f t="array" ref="D829">IF($C829="","",IFERROR(INDEX(DATA_MASTER!$C$2:$C$5000,MATCH($C829,DATA_MASTER!$D$2:$D$5000,0)),""))</f>
        <v/>
      </c>
      <c r="E829" s="22">
        <f t="array" ref="E829">IF($C829="","",IFERROR(INDEX(DATA_MASTER!$I$2:$I$5000,MATCH($C829,DATA_MASTER!$D$2:$D$5000,0)),""))</f>
        <v/>
      </c>
      <c r="F829" s="22">
        <f t="array" ref="F829">IF($C829="","",IFERROR(INDEX(DATA_MASTER!$L$2:$L$5000,MATCH($C829,DATA_MASTER!$D$2:$D$5000,0)),""))</f>
        <v/>
      </c>
      <c r="G829" s="24" t="n"/>
      <c r="H829" s="24" t="n"/>
      <c r="I829" s="30" t="n"/>
      <c r="J829" s="23">
        <f>IF(OR($H829="",$I829=""),"",$H829*$I829)</f>
        <v/>
      </c>
      <c r="K829" s="24" t="n"/>
      <c r="L829" s="24" t="n"/>
      <c r="M829" s="29" t="n"/>
      <c r="N829" s="28" t="n"/>
      <c r="O829" s="24" t="n"/>
      <c r="P829" s="24" t="n"/>
      <c r="Q829" s="24" t="n"/>
      <c r="R829" s="24" t="n"/>
      <c r="S829" s="22">
        <f>IF(AND($A829="",$C829=""),"",IF($A829="","Thiếu mã đơn; ","")&amp;IF(COUNTIF($A$2:$A829,$A829)&gt;1,"Trùng mã đơn; ","")&amp;IF(ISNA(MATCH($C829,DATA_MASTER!$D$2:$D$5000,0)),"SĐT chưa đăng ký hội viên; ","")&amp;IF(AND($L829="Đã chuyển khoản",$M829=""),"Thiếu ngày nhận CK; ",""))</f>
        <v/>
      </c>
      <c r="T829" s="24" t="n"/>
    </row>
    <row r="830" ht="14.25" customHeight="1" s="40">
      <c r="A830" s="24" t="n"/>
      <c r="B830" s="29" t="n"/>
      <c r="C830" s="28" t="n"/>
      <c r="D830" s="22">
        <f t="array" ref="D830">IF($C830="","",IFERROR(INDEX(DATA_MASTER!$C$2:$C$5000,MATCH($C830,DATA_MASTER!$D$2:$D$5000,0)),""))</f>
        <v/>
      </c>
      <c r="E830" s="22">
        <f t="array" ref="E830">IF($C830="","",IFERROR(INDEX(DATA_MASTER!$I$2:$I$5000,MATCH($C830,DATA_MASTER!$D$2:$D$5000,0)),""))</f>
        <v/>
      </c>
      <c r="F830" s="22">
        <f t="array" ref="F830">IF($C830="","",IFERROR(INDEX(DATA_MASTER!$L$2:$L$5000,MATCH($C830,DATA_MASTER!$D$2:$D$5000,0)),""))</f>
        <v/>
      </c>
      <c r="G830" s="24" t="n"/>
      <c r="H830" s="24" t="n"/>
      <c r="I830" s="30" t="n"/>
      <c r="J830" s="23">
        <f>IF(OR($H830="",$I830=""),"",$H830*$I830)</f>
        <v/>
      </c>
      <c r="K830" s="24" t="n"/>
      <c r="L830" s="24" t="n"/>
      <c r="M830" s="29" t="n"/>
      <c r="N830" s="28" t="n"/>
      <c r="O830" s="24" t="n"/>
      <c r="P830" s="24" t="n"/>
      <c r="Q830" s="24" t="n"/>
      <c r="R830" s="24" t="n"/>
      <c r="S830" s="22">
        <f>IF(AND($A830="",$C830=""),"",IF($A830="","Thiếu mã đơn; ","")&amp;IF(COUNTIF($A$2:$A830,$A830)&gt;1,"Trùng mã đơn; ","")&amp;IF(ISNA(MATCH($C830,DATA_MASTER!$D$2:$D$5000,0)),"SĐT chưa đăng ký hội viên; ","")&amp;IF(AND($L830="Đã chuyển khoản",$M830=""),"Thiếu ngày nhận CK; ",""))</f>
        <v/>
      </c>
      <c r="T830" s="24" t="n"/>
    </row>
    <row r="831" ht="14.25" customHeight="1" s="40">
      <c r="A831" s="24" t="n"/>
      <c r="B831" s="29" t="n"/>
      <c r="C831" s="28" t="n"/>
      <c r="D831" s="22">
        <f t="array" ref="D831">IF($C831="","",IFERROR(INDEX(DATA_MASTER!$C$2:$C$5000,MATCH($C831,DATA_MASTER!$D$2:$D$5000,0)),""))</f>
        <v/>
      </c>
      <c r="E831" s="22">
        <f t="array" ref="E831">IF($C831="","",IFERROR(INDEX(DATA_MASTER!$I$2:$I$5000,MATCH($C831,DATA_MASTER!$D$2:$D$5000,0)),""))</f>
        <v/>
      </c>
      <c r="F831" s="22">
        <f t="array" ref="F831">IF($C831="","",IFERROR(INDEX(DATA_MASTER!$L$2:$L$5000,MATCH($C831,DATA_MASTER!$D$2:$D$5000,0)),""))</f>
        <v/>
      </c>
      <c r="G831" s="24" t="n"/>
      <c r="H831" s="24" t="n"/>
      <c r="I831" s="30" t="n"/>
      <c r="J831" s="23">
        <f>IF(OR($H831="",$I831=""),"",$H831*$I831)</f>
        <v/>
      </c>
      <c r="K831" s="24" t="n"/>
      <c r="L831" s="24" t="n"/>
      <c r="M831" s="29" t="n"/>
      <c r="N831" s="28" t="n"/>
      <c r="O831" s="24" t="n"/>
      <c r="P831" s="24" t="n"/>
      <c r="Q831" s="24" t="n"/>
      <c r="R831" s="24" t="n"/>
      <c r="S831" s="22">
        <f>IF(AND($A831="",$C831=""),"",IF($A831="","Thiếu mã đơn; ","")&amp;IF(COUNTIF($A$2:$A831,$A831)&gt;1,"Trùng mã đơn; ","")&amp;IF(ISNA(MATCH($C831,DATA_MASTER!$D$2:$D$5000,0)),"SĐT chưa đăng ký hội viên; ","")&amp;IF(AND($L831="Đã chuyển khoản",$M831=""),"Thiếu ngày nhận CK; ",""))</f>
        <v/>
      </c>
      <c r="T831" s="24" t="n"/>
    </row>
    <row r="832" ht="14.25" customHeight="1" s="40">
      <c r="A832" s="24" t="n"/>
      <c r="B832" s="29" t="n"/>
      <c r="C832" s="28" t="n"/>
      <c r="D832" s="22">
        <f t="array" ref="D832">IF($C832="","",IFERROR(INDEX(DATA_MASTER!$C$2:$C$5000,MATCH($C832,DATA_MASTER!$D$2:$D$5000,0)),""))</f>
        <v/>
      </c>
      <c r="E832" s="22">
        <f t="array" ref="E832">IF($C832="","",IFERROR(INDEX(DATA_MASTER!$I$2:$I$5000,MATCH($C832,DATA_MASTER!$D$2:$D$5000,0)),""))</f>
        <v/>
      </c>
      <c r="F832" s="22">
        <f t="array" ref="F832">IF($C832="","",IFERROR(INDEX(DATA_MASTER!$L$2:$L$5000,MATCH($C832,DATA_MASTER!$D$2:$D$5000,0)),""))</f>
        <v/>
      </c>
      <c r="G832" s="24" t="n"/>
      <c r="H832" s="24" t="n"/>
      <c r="I832" s="30" t="n"/>
      <c r="J832" s="23">
        <f>IF(OR($H832="",$I832=""),"",$H832*$I832)</f>
        <v/>
      </c>
      <c r="K832" s="24" t="n"/>
      <c r="L832" s="24" t="n"/>
      <c r="M832" s="29" t="n"/>
      <c r="N832" s="28" t="n"/>
      <c r="O832" s="24" t="n"/>
      <c r="P832" s="24" t="n"/>
      <c r="Q832" s="24" t="n"/>
      <c r="R832" s="24" t="n"/>
      <c r="S832" s="22">
        <f>IF(AND($A832="",$C832=""),"",IF($A832="","Thiếu mã đơn; ","")&amp;IF(COUNTIF($A$2:$A832,$A832)&gt;1,"Trùng mã đơn; ","")&amp;IF(ISNA(MATCH($C832,DATA_MASTER!$D$2:$D$5000,0)),"SĐT chưa đăng ký hội viên; ","")&amp;IF(AND($L832="Đã chuyển khoản",$M832=""),"Thiếu ngày nhận CK; ",""))</f>
        <v/>
      </c>
      <c r="T832" s="24" t="n"/>
    </row>
    <row r="833" ht="14.25" customHeight="1" s="40">
      <c r="A833" s="24" t="n"/>
      <c r="B833" s="29" t="n"/>
      <c r="C833" s="28" t="n"/>
      <c r="D833" s="22">
        <f t="array" ref="D833">IF($C833="","",IFERROR(INDEX(DATA_MASTER!$C$2:$C$5000,MATCH($C833,DATA_MASTER!$D$2:$D$5000,0)),""))</f>
        <v/>
      </c>
      <c r="E833" s="22">
        <f t="array" ref="E833">IF($C833="","",IFERROR(INDEX(DATA_MASTER!$I$2:$I$5000,MATCH($C833,DATA_MASTER!$D$2:$D$5000,0)),""))</f>
        <v/>
      </c>
      <c r="F833" s="22">
        <f t="array" ref="F833">IF($C833="","",IFERROR(INDEX(DATA_MASTER!$L$2:$L$5000,MATCH($C833,DATA_MASTER!$D$2:$D$5000,0)),""))</f>
        <v/>
      </c>
      <c r="G833" s="24" t="n"/>
      <c r="H833" s="24" t="n"/>
      <c r="I833" s="30" t="n"/>
      <c r="J833" s="23">
        <f>IF(OR($H833="",$I833=""),"",$H833*$I833)</f>
        <v/>
      </c>
      <c r="K833" s="24" t="n"/>
      <c r="L833" s="24" t="n"/>
      <c r="M833" s="29" t="n"/>
      <c r="N833" s="28" t="n"/>
      <c r="O833" s="24" t="n"/>
      <c r="P833" s="24" t="n"/>
      <c r="Q833" s="24" t="n"/>
      <c r="R833" s="24" t="n"/>
      <c r="S833" s="22">
        <f>IF(AND($A833="",$C833=""),"",IF($A833="","Thiếu mã đơn; ","")&amp;IF(COUNTIF($A$2:$A833,$A833)&gt;1,"Trùng mã đơn; ","")&amp;IF(ISNA(MATCH($C833,DATA_MASTER!$D$2:$D$5000,0)),"SĐT chưa đăng ký hội viên; ","")&amp;IF(AND($L833="Đã chuyển khoản",$M833=""),"Thiếu ngày nhận CK; ",""))</f>
        <v/>
      </c>
      <c r="T833" s="24" t="n"/>
    </row>
    <row r="834" ht="14.25" customHeight="1" s="40">
      <c r="A834" s="24" t="n"/>
      <c r="B834" s="29" t="n"/>
      <c r="C834" s="28" t="n"/>
      <c r="D834" s="22">
        <f t="array" ref="D834">IF($C834="","",IFERROR(INDEX(DATA_MASTER!$C$2:$C$5000,MATCH($C834,DATA_MASTER!$D$2:$D$5000,0)),""))</f>
        <v/>
      </c>
      <c r="E834" s="22">
        <f t="array" ref="E834">IF($C834="","",IFERROR(INDEX(DATA_MASTER!$I$2:$I$5000,MATCH($C834,DATA_MASTER!$D$2:$D$5000,0)),""))</f>
        <v/>
      </c>
      <c r="F834" s="22">
        <f t="array" ref="F834">IF($C834="","",IFERROR(INDEX(DATA_MASTER!$L$2:$L$5000,MATCH($C834,DATA_MASTER!$D$2:$D$5000,0)),""))</f>
        <v/>
      </c>
      <c r="G834" s="24" t="n"/>
      <c r="H834" s="24" t="n"/>
      <c r="I834" s="30" t="n"/>
      <c r="J834" s="23">
        <f>IF(OR($H834="",$I834=""),"",$H834*$I834)</f>
        <v/>
      </c>
      <c r="K834" s="24" t="n"/>
      <c r="L834" s="24" t="n"/>
      <c r="M834" s="29" t="n"/>
      <c r="N834" s="28" t="n"/>
      <c r="O834" s="24" t="n"/>
      <c r="P834" s="24" t="n"/>
      <c r="Q834" s="24" t="n"/>
      <c r="R834" s="24" t="n"/>
      <c r="S834" s="22">
        <f>IF(AND($A834="",$C834=""),"",IF($A834="","Thiếu mã đơn; ","")&amp;IF(COUNTIF($A$2:$A834,$A834)&gt;1,"Trùng mã đơn; ","")&amp;IF(ISNA(MATCH($C834,DATA_MASTER!$D$2:$D$5000,0)),"SĐT chưa đăng ký hội viên; ","")&amp;IF(AND($L834="Đã chuyển khoản",$M834=""),"Thiếu ngày nhận CK; ",""))</f>
        <v/>
      </c>
      <c r="T834" s="24" t="n"/>
    </row>
    <row r="835" ht="14.25" customHeight="1" s="40">
      <c r="A835" s="24" t="n"/>
      <c r="B835" s="29" t="n"/>
      <c r="C835" s="28" t="n"/>
      <c r="D835" s="22">
        <f t="array" ref="D835">IF($C835="","",IFERROR(INDEX(DATA_MASTER!$C$2:$C$5000,MATCH($C835,DATA_MASTER!$D$2:$D$5000,0)),""))</f>
        <v/>
      </c>
      <c r="E835" s="22">
        <f t="array" ref="E835">IF($C835="","",IFERROR(INDEX(DATA_MASTER!$I$2:$I$5000,MATCH($C835,DATA_MASTER!$D$2:$D$5000,0)),""))</f>
        <v/>
      </c>
      <c r="F835" s="22">
        <f t="array" ref="F835">IF($C835="","",IFERROR(INDEX(DATA_MASTER!$L$2:$L$5000,MATCH($C835,DATA_MASTER!$D$2:$D$5000,0)),""))</f>
        <v/>
      </c>
      <c r="G835" s="24" t="n"/>
      <c r="H835" s="24" t="n"/>
      <c r="I835" s="30" t="n"/>
      <c r="J835" s="23">
        <f>IF(OR($H835="",$I835=""),"",$H835*$I835)</f>
        <v/>
      </c>
      <c r="K835" s="24" t="n"/>
      <c r="L835" s="24" t="n"/>
      <c r="M835" s="29" t="n"/>
      <c r="N835" s="28" t="n"/>
      <c r="O835" s="24" t="n"/>
      <c r="P835" s="24" t="n"/>
      <c r="Q835" s="24" t="n"/>
      <c r="R835" s="24" t="n"/>
      <c r="S835" s="22">
        <f>IF(AND($A835="",$C835=""),"",IF($A835="","Thiếu mã đơn; ","")&amp;IF(COUNTIF($A$2:$A835,$A835)&gt;1,"Trùng mã đơn; ","")&amp;IF(ISNA(MATCH($C835,DATA_MASTER!$D$2:$D$5000,0)),"SĐT chưa đăng ký hội viên; ","")&amp;IF(AND($L835="Đã chuyển khoản",$M835=""),"Thiếu ngày nhận CK; ",""))</f>
        <v/>
      </c>
      <c r="T835" s="24" t="n"/>
    </row>
    <row r="836" ht="14.25" customHeight="1" s="40">
      <c r="A836" s="24" t="n"/>
      <c r="B836" s="29" t="n"/>
      <c r="C836" s="28" t="n"/>
      <c r="D836" s="22">
        <f t="array" ref="D836">IF($C836="","",IFERROR(INDEX(DATA_MASTER!$C$2:$C$5000,MATCH($C836,DATA_MASTER!$D$2:$D$5000,0)),""))</f>
        <v/>
      </c>
      <c r="E836" s="22">
        <f t="array" ref="E836">IF($C836="","",IFERROR(INDEX(DATA_MASTER!$I$2:$I$5000,MATCH($C836,DATA_MASTER!$D$2:$D$5000,0)),""))</f>
        <v/>
      </c>
      <c r="F836" s="22">
        <f t="array" ref="F836">IF($C836="","",IFERROR(INDEX(DATA_MASTER!$L$2:$L$5000,MATCH($C836,DATA_MASTER!$D$2:$D$5000,0)),""))</f>
        <v/>
      </c>
      <c r="G836" s="24" t="n"/>
      <c r="H836" s="24" t="n"/>
      <c r="I836" s="30" t="n"/>
      <c r="J836" s="23">
        <f>IF(OR($H836="",$I836=""),"",$H836*$I836)</f>
        <v/>
      </c>
      <c r="K836" s="24" t="n"/>
      <c r="L836" s="24" t="n"/>
      <c r="M836" s="29" t="n"/>
      <c r="N836" s="28" t="n"/>
      <c r="O836" s="24" t="n"/>
      <c r="P836" s="24" t="n"/>
      <c r="Q836" s="24" t="n"/>
      <c r="R836" s="24" t="n"/>
      <c r="S836" s="22">
        <f>IF(AND($A836="",$C836=""),"",IF($A836="","Thiếu mã đơn; ","")&amp;IF(COUNTIF($A$2:$A836,$A836)&gt;1,"Trùng mã đơn; ","")&amp;IF(ISNA(MATCH($C836,DATA_MASTER!$D$2:$D$5000,0)),"SĐT chưa đăng ký hội viên; ","")&amp;IF(AND($L836="Đã chuyển khoản",$M836=""),"Thiếu ngày nhận CK; ",""))</f>
        <v/>
      </c>
      <c r="T836" s="24" t="n"/>
    </row>
    <row r="837" ht="14.25" customHeight="1" s="40">
      <c r="A837" s="24" t="n"/>
      <c r="B837" s="29" t="n"/>
      <c r="C837" s="28" t="n"/>
      <c r="D837" s="22">
        <f t="array" ref="D837">IF($C837="","",IFERROR(INDEX(DATA_MASTER!$C$2:$C$5000,MATCH($C837,DATA_MASTER!$D$2:$D$5000,0)),""))</f>
        <v/>
      </c>
      <c r="E837" s="22">
        <f t="array" ref="E837">IF($C837="","",IFERROR(INDEX(DATA_MASTER!$I$2:$I$5000,MATCH($C837,DATA_MASTER!$D$2:$D$5000,0)),""))</f>
        <v/>
      </c>
      <c r="F837" s="22">
        <f t="array" ref="F837">IF($C837="","",IFERROR(INDEX(DATA_MASTER!$L$2:$L$5000,MATCH($C837,DATA_MASTER!$D$2:$D$5000,0)),""))</f>
        <v/>
      </c>
      <c r="G837" s="24" t="n"/>
      <c r="H837" s="24" t="n"/>
      <c r="I837" s="30" t="n"/>
      <c r="J837" s="23">
        <f>IF(OR($H837="",$I837=""),"",$H837*$I837)</f>
        <v/>
      </c>
      <c r="K837" s="24" t="n"/>
      <c r="L837" s="24" t="n"/>
      <c r="M837" s="29" t="n"/>
      <c r="N837" s="28" t="n"/>
      <c r="O837" s="24" t="n"/>
      <c r="P837" s="24" t="n"/>
      <c r="Q837" s="24" t="n"/>
      <c r="R837" s="24" t="n"/>
      <c r="S837" s="22">
        <f>IF(AND($A837="",$C837=""),"",IF($A837="","Thiếu mã đơn; ","")&amp;IF(COUNTIF($A$2:$A837,$A837)&gt;1,"Trùng mã đơn; ","")&amp;IF(ISNA(MATCH($C837,DATA_MASTER!$D$2:$D$5000,0)),"SĐT chưa đăng ký hội viên; ","")&amp;IF(AND($L837="Đã chuyển khoản",$M837=""),"Thiếu ngày nhận CK; ",""))</f>
        <v/>
      </c>
      <c r="T837" s="24" t="n"/>
    </row>
    <row r="838" ht="14.25" customHeight="1" s="40">
      <c r="A838" s="24" t="n"/>
      <c r="B838" s="29" t="n"/>
      <c r="C838" s="28" t="n"/>
      <c r="D838" s="22">
        <f t="array" ref="D838">IF($C838="","",IFERROR(INDEX(DATA_MASTER!$C$2:$C$5000,MATCH($C838,DATA_MASTER!$D$2:$D$5000,0)),""))</f>
        <v/>
      </c>
      <c r="E838" s="22">
        <f t="array" ref="E838">IF($C838="","",IFERROR(INDEX(DATA_MASTER!$I$2:$I$5000,MATCH($C838,DATA_MASTER!$D$2:$D$5000,0)),""))</f>
        <v/>
      </c>
      <c r="F838" s="22">
        <f t="array" ref="F838">IF($C838="","",IFERROR(INDEX(DATA_MASTER!$L$2:$L$5000,MATCH($C838,DATA_MASTER!$D$2:$D$5000,0)),""))</f>
        <v/>
      </c>
      <c r="G838" s="24" t="n"/>
      <c r="H838" s="24" t="n"/>
      <c r="I838" s="30" t="n"/>
      <c r="J838" s="23">
        <f>IF(OR($H838="",$I838=""),"",$H838*$I838)</f>
        <v/>
      </c>
      <c r="K838" s="24" t="n"/>
      <c r="L838" s="24" t="n"/>
      <c r="M838" s="29" t="n"/>
      <c r="N838" s="28" t="n"/>
      <c r="O838" s="24" t="n"/>
      <c r="P838" s="24" t="n"/>
      <c r="Q838" s="24" t="n"/>
      <c r="R838" s="24" t="n"/>
      <c r="S838" s="22">
        <f>IF(AND($A838="",$C838=""),"",IF($A838="","Thiếu mã đơn; ","")&amp;IF(COUNTIF($A$2:$A838,$A838)&gt;1,"Trùng mã đơn; ","")&amp;IF(ISNA(MATCH($C838,DATA_MASTER!$D$2:$D$5000,0)),"SĐT chưa đăng ký hội viên; ","")&amp;IF(AND($L838="Đã chuyển khoản",$M838=""),"Thiếu ngày nhận CK; ",""))</f>
        <v/>
      </c>
      <c r="T838" s="24" t="n"/>
    </row>
    <row r="839" ht="14.25" customHeight="1" s="40">
      <c r="A839" s="24" t="n"/>
      <c r="B839" s="29" t="n"/>
      <c r="C839" s="28" t="n"/>
      <c r="D839" s="22">
        <f t="array" ref="D839">IF($C839="","",IFERROR(INDEX(DATA_MASTER!$C$2:$C$5000,MATCH($C839,DATA_MASTER!$D$2:$D$5000,0)),""))</f>
        <v/>
      </c>
      <c r="E839" s="22">
        <f t="array" ref="E839">IF($C839="","",IFERROR(INDEX(DATA_MASTER!$I$2:$I$5000,MATCH($C839,DATA_MASTER!$D$2:$D$5000,0)),""))</f>
        <v/>
      </c>
      <c r="F839" s="22">
        <f t="array" ref="F839">IF($C839="","",IFERROR(INDEX(DATA_MASTER!$L$2:$L$5000,MATCH($C839,DATA_MASTER!$D$2:$D$5000,0)),""))</f>
        <v/>
      </c>
      <c r="G839" s="24" t="n"/>
      <c r="H839" s="24" t="n"/>
      <c r="I839" s="30" t="n"/>
      <c r="J839" s="23">
        <f>IF(OR($H839="",$I839=""),"",$H839*$I839)</f>
        <v/>
      </c>
      <c r="K839" s="24" t="n"/>
      <c r="L839" s="24" t="n"/>
      <c r="M839" s="29" t="n"/>
      <c r="N839" s="28" t="n"/>
      <c r="O839" s="24" t="n"/>
      <c r="P839" s="24" t="n"/>
      <c r="Q839" s="24" t="n"/>
      <c r="R839" s="24" t="n"/>
      <c r="S839" s="22">
        <f>IF(AND($A839="",$C839=""),"",IF($A839="","Thiếu mã đơn; ","")&amp;IF(COUNTIF($A$2:$A839,$A839)&gt;1,"Trùng mã đơn; ","")&amp;IF(ISNA(MATCH($C839,DATA_MASTER!$D$2:$D$5000,0)),"SĐT chưa đăng ký hội viên; ","")&amp;IF(AND($L839="Đã chuyển khoản",$M839=""),"Thiếu ngày nhận CK; ",""))</f>
        <v/>
      </c>
      <c r="T839" s="24" t="n"/>
    </row>
    <row r="840" ht="14.25" customHeight="1" s="40">
      <c r="A840" s="24" t="n"/>
      <c r="B840" s="29" t="n"/>
      <c r="C840" s="28" t="n"/>
      <c r="D840" s="22">
        <f t="array" ref="D840">IF($C840="","",IFERROR(INDEX(DATA_MASTER!$C$2:$C$5000,MATCH($C840,DATA_MASTER!$D$2:$D$5000,0)),""))</f>
        <v/>
      </c>
      <c r="E840" s="22">
        <f t="array" ref="E840">IF($C840="","",IFERROR(INDEX(DATA_MASTER!$I$2:$I$5000,MATCH($C840,DATA_MASTER!$D$2:$D$5000,0)),""))</f>
        <v/>
      </c>
      <c r="F840" s="22">
        <f t="array" ref="F840">IF($C840="","",IFERROR(INDEX(DATA_MASTER!$L$2:$L$5000,MATCH($C840,DATA_MASTER!$D$2:$D$5000,0)),""))</f>
        <v/>
      </c>
      <c r="G840" s="24" t="n"/>
      <c r="H840" s="24" t="n"/>
      <c r="I840" s="30" t="n"/>
      <c r="J840" s="23">
        <f>IF(OR($H840="",$I840=""),"",$H840*$I840)</f>
        <v/>
      </c>
      <c r="K840" s="24" t="n"/>
      <c r="L840" s="24" t="n"/>
      <c r="M840" s="29" t="n"/>
      <c r="N840" s="28" t="n"/>
      <c r="O840" s="24" t="n"/>
      <c r="P840" s="24" t="n"/>
      <c r="Q840" s="24" t="n"/>
      <c r="R840" s="24" t="n"/>
      <c r="S840" s="22">
        <f>IF(AND($A840="",$C840=""),"",IF($A840="","Thiếu mã đơn; ","")&amp;IF(COUNTIF($A$2:$A840,$A840)&gt;1,"Trùng mã đơn; ","")&amp;IF(ISNA(MATCH($C840,DATA_MASTER!$D$2:$D$5000,0)),"SĐT chưa đăng ký hội viên; ","")&amp;IF(AND($L840="Đã chuyển khoản",$M840=""),"Thiếu ngày nhận CK; ",""))</f>
        <v/>
      </c>
      <c r="T840" s="24" t="n"/>
    </row>
    <row r="841" ht="14.25" customHeight="1" s="40">
      <c r="A841" s="24" t="n"/>
      <c r="B841" s="29" t="n"/>
      <c r="C841" s="28" t="n"/>
      <c r="D841" s="22">
        <f t="array" ref="D841">IF($C841="","",IFERROR(INDEX(DATA_MASTER!$C$2:$C$5000,MATCH($C841,DATA_MASTER!$D$2:$D$5000,0)),""))</f>
        <v/>
      </c>
      <c r="E841" s="22">
        <f t="array" ref="E841">IF($C841="","",IFERROR(INDEX(DATA_MASTER!$I$2:$I$5000,MATCH($C841,DATA_MASTER!$D$2:$D$5000,0)),""))</f>
        <v/>
      </c>
      <c r="F841" s="22">
        <f t="array" ref="F841">IF($C841="","",IFERROR(INDEX(DATA_MASTER!$L$2:$L$5000,MATCH($C841,DATA_MASTER!$D$2:$D$5000,0)),""))</f>
        <v/>
      </c>
      <c r="G841" s="24" t="n"/>
      <c r="H841" s="24" t="n"/>
      <c r="I841" s="30" t="n"/>
      <c r="J841" s="23">
        <f>IF(OR($H841="",$I841=""),"",$H841*$I841)</f>
        <v/>
      </c>
      <c r="K841" s="24" t="n"/>
      <c r="L841" s="24" t="n"/>
      <c r="M841" s="29" t="n"/>
      <c r="N841" s="28" t="n"/>
      <c r="O841" s="24" t="n"/>
      <c r="P841" s="24" t="n"/>
      <c r="Q841" s="24" t="n"/>
      <c r="R841" s="24" t="n"/>
      <c r="S841" s="22">
        <f>IF(AND($A841="",$C841=""),"",IF($A841="","Thiếu mã đơn; ","")&amp;IF(COUNTIF($A$2:$A841,$A841)&gt;1,"Trùng mã đơn; ","")&amp;IF(ISNA(MATCH($C841,DATA_MASTER!$D$2:$D$5000,0)),"SĐT chưa đăng ký hội viên; ","")&amp;IF(AND($L841="Đã chuyển khoản",$M841=""),"Thiếu ngày nhận CK; ",""))</f>
        <v/>
      </c>
      <c r="T841" s="24" t="n"/>
    </row>
    <row r="842" ht="14.25" customHeight="1" s="40">
      <c r="A842" s="24" t="n"/>
      <c r="B842" s="29" t="n"/>
      <c r="C842" s="28" t="n"/>
      <c r="D842" s="22">
        <f t="array" ref="D842">IF($C842="","",IFERROR(INDEX(DATA_MASTER!$C$2:$C$5000,MATCH($C842,DATA_MASTER!$D$2:$D$5000,0)),""))</f>
        <v/>
      </c>
      <c r="E842" s="22">
        <f t="array" ref="E842">IF($C842="","",IFERROR(INDEX(DATA_MASTER!$I$2:$I$5000,MATCH($C842,DATA_MASTER!$D$2:$D$5000,0)),""))</f>
        <v/>
      </c>
      <c r="F842" s="22">
        <f t="array" ref="F842">IF($C842="","",IFERROR(INDEX(DATA_MASTER!$L$2:$L$5000,MATCH($C842,DATA_MASTER!$D$2:$D$5000,0)),""))</f>
        <v/>
      </c>
      <c r="G842" s="24" t="n"/>
      <c r="H842" s="24" t="n"/>
      <c r="I842" s="30" t="n"/>
      <c r="J842" s="23">
        <f>IF(OR($H842="",$I842=""),"",$H842*$I842)</f>
        <v/>
      </c>
      <c r="K842" s="24" t="n"/>
      <c r="L842" s="24" t="n"/>
      <c r="M842" s="29" t="n"/>
      <c r="N842" s="28" t="n"/>
      <c r="O842" s="24" t="n"/>
      <c r="P842" s="24" t="n"/>
      <c r="Q842" s="24" t="n"/>
      <c r="R842" s="24" t="n"/>
      <c r="S842" s="22">
        <f>IF(AND($A842="",$C842=""),"",IF($A842="","Thiếu mã đơn; ","")&amp;IF(COUNTIF($A$2:$A842,$A842)&gt;1,"Trùng mã đơn; ","")&amp;IF(ISNA(MATCH($C842,DATA_MASTER!$D$2:$D$5000,0)),"SĐT chưa đăng ký hội viên; ","")&amp;IF(AND($L842="Đã chuyển khoản",$M842=""),"Thiếu ngày nhận CK; ",""))</f>
        <v/>
      </c>
      <c r="T842" s="24" t="n"/>
    </row>
    <row r="843" ht="14.25" customHeight="1" s="40">
      <c r="A843" s="24" t="n"/>
      <c r="B843" s="29" t="n"/>
      <c r="C843" s="28" t="n"/>
      <c r="D843" s="22">
        <f t="array" ref="D843">IF($C843="","",IFERROR(INDEX(DATA_MASTER!$C$2:$C$5000,MATCH($C843,DATA_MASTER!$D$2:$D$5000,0)),""))</f>
        <v/>
      </c>
      <c r="E843" s="22">
        <f t="array" ref="E843">IF($C843="","",IFERROR(INDEX(DATA_MASTER!$I$2:$I$5000,MATCH($C843,DATA_MASTER!$D$2:$D$5000,0)),""))</f>
        <v/>
      </c>
      <c r="F843" s="22">
        <f t="array" ref="F843">IF($C843="","",IFERROR(INDEX(DATA_MASTER!$L$2:$L$5000,MATCH($C843,DATA_MASTER!$D$2:$D$5000,0)),""))</f>
        <v/>
      </c>
      <c r="G843" s="24" t="n"/>
      <c r="H843" s="24" t="n"/>
      <c r="I843" s="30" t="n"/>
      <c r="J843" s="23">
        <f>IF(OR($H843="",$I843=""),"",$H843*$I843)</f>
        <v/>
      </c>
      <c r="K843" s="24" t="n"/>
      <c r="L843" s="24" t="n"/>
      <c r="M843" s="29" t="n"/>
      <c r="N843" s="28" t="n"/>
      <c r="O843" s="24" t="n"/>
      <c r="P843" s="24" t="n"/>
      <c r="Q843" s="24" t="n"/>
      <c r="R843" s="24" t="n"/>
      <c r="S843" s="22">
        <f>IF(AND($A843="",$C843=""),"",IF($A843="","Thiếu mã đơn; ","")&amp;IF(COUNTIF($A$2:$A843,$A843)&gt;1,"Trùng mã đơn; ","")&amp;IF(ISNA(MATCH($C843,DATA_MASTER!$D$2:$D$5000,0)),"SĐT chưa đăng ký hội viên; ","")&amp;IF(AND($L843="Đã chuyển khoản",$M843=""),"Thiếu ngày nhận CK; ",""))</f>
        <v/>
      </c>
      <c r="T843" s="24" t="n"/>
    </row>
    <row r="844" ht="14.25" customHeight="1" s="40">
      <c r="A844" s="24" t="n"/>
      <c r="B844" s="29" t="n"/>
      <c r="C844" s="28" t="n"/>
      <c r="D844" s="22">
        <f t="array" ref="D844">IF($C844="","",IFERROR(INDEX(DATA_MASTER!$C$2:$C$5000,MATCH($C844,DATA_MASTER!$D$2:$D$5000,0)),""))</f>
        <v/>
      </c>
      <c r="E844" s="22">
        <f t="array" ref="E844">IF($C844="","",IFERROR(INDEX(DATA_MASTER!$I$2:$I$5000,MATCH($C844,DATA_MASTER!$D$2:$D$5000,0)),""))</f>
        <v/>
      </c>
      <c r="F844" s="22">
        <f t="array" ref="F844">IF($C844="","",IFERROR(INDEX(DATA_MASTER!$L$2:$L$5000,MATCH($C844,DATA_MASTER!$D$2:$D$5000,0)),""))</f>
        <v/>
      </c>
      <c r="G844" s="24" t="n"/>
      <c r="H844" s="24" t="n"/>
      <c r="I844" s="30" t="n"/>
      <c r="J844" s="23">
        <f>IF(OR($H844="",$I844=""),"",$H844*$I844)</f>
        <v/>
      </c>
      <c r="K844" s="24" t="n"/>
      <c r="L844" s="24" t="n"/>
      <c r="M844" s="29" t="n"/>
      <c r="N844" s="28" t="n"/>
      <c r="O844" s="24" t="n"/>
      <c r="P844" s="24" t="n"/>
      <c r="Q844" s="24" t="n"/>
      <c r="R844" s="24" t="n"/>
      <c r="S844" s="22">
        <f>IF(AND($A844="",$C844=""),"",IF($A844="","Thiếu mã đơn; ","")&amp;IF(COUNTIF($A$2:$A844,$A844)&gt;1,"Trùng mã đơn; ","")&amp;IF(ISNA(MATCH($C844,DATA_MASTER!$D$2:$D$5000,0)),"SĐT chưa đăng ký hội viên; ","")&amp;IF(AND($L844="Đã chuyển khoản",$M844=""),"Thiếu ngày nhận CK; ",""))</f>
        <v/>
      </c>
      <c r="T844" s="24" t="n"/>
    </row>
    <row r="845" ht="14.25" customHeight="1" s="40">
      <c r="A845" s="24" t="n"/>
      <c r="B845" s="29" t="n"/>
      <c r="C845" s="28" t="n"/>
      <c r="D845" s="22">
        <f t="array" ref="D845">IF($C845="","",IFERROR(INDEX(DATA_MASTER!$C$2:$C$5000,MATCH($C845,DATA_MASTER!$D$2:$D$5000,0)),""))</f>
        <v/>
      </c>
      <c r="E845" s="22">
        <f t="array" ref="E845">IF($C845="","",IFERROR(INDEX(DATA_MASTER!$I$2:$I$5000,MATCH($C845,DATA_MASTER!$D$2:$D$5000,0)),""))</f>
        <v/>
      </c>
      <c r="F845" s="22">
        <f t="array" ref="F845">IF($C845="","",IFERROR(INDEX(DATA_MASTER!$L$2:$L$5000,MATCH($C845,DATA_MASTER!$D$2:$D$5000,0)),""))</f>
        <v/>
      </c>
      <c r="G845" s="24" t="n"/>
      <c r="H845" s="24" t="n"/>
      <c r="I845" s="30" t="n"/>
      <c r="J845" s="23">
        <f>IF(OR($H845="",$I845=""),"",$H845*$I845)</f>
        <v/>
      </c>
      <c r="K845" s="24" t="n"/>
      <c r="L845" s="24" t="n"/>
      <c r="M845" s="29" t="n"/>
      <c r="N845" s="28" t="n"/>
      <c r="O845" s="24" t="n"/>
      <c r="P845" s="24" t="n"/>
      <c r="Q845" s="24" t="n"/>
      <c r="R845" s="24" t="n"/>
      <c r="S845" s="22">
        <f>IF(AND($A845="",$C845=""),"",IF($A845="","Thiếu mã đơn; ","")&amp;IF(COUNTIF($A$2:$A845,$A845)&gt;1,"Trùng mã đơn; ","")&amp;IF(ISNA(MATCH($C845,DATA_MASTER!$D$2:$D$5000,0)),"SĐT chưa đăng ký hội viên; ","")&amp;IF(AND($L845="Đã chuyển khoản",$M845=""),"Thiếu ngày nhận CK; ",""))</f>
        <v/>
      </c>
      <c r="T845" s="24" t="n"/>
    </row>
    <row r="846" ht="14.25" customHeight="1" s="40">
      <c r="A846" s="24" t="n"/>
      <c r="B846" s="29" t="n"/>
      <c r="C846" s="28" t="n"/>
      <c r="D846" s="22">
        <f t="array" ref="D846">IF($C846="","",IFERROR(INDEX(DATA_MASTER!$C$2:$C$5000,MATCH($C846,DATA_MASTER!$D$2:$D$5000,0)),""))</f>
        <v/>
      </c>
      <c r="E846" s="22">
        <f t="array" ref="E846">IF($C846="","",IFERROR(INDEX(DATA_MASTER!$I$2:$I$5000,MATCH($C846,DATA_MASTER!$D$2:$D$5000,0)),""))</f>
        <v/>
      </c>
      <c r="F846" s="22">
        <f t="array" ref="F846">IF($C846="","",IFERROR(INDEX(DATA_MASTER!$L$2:$L$5000,MATCH($C846,DATA_MASTER!$D$2:$D$5000,0)),""))</f>
        <v/>
      </c>
      <c r="G846" s="24" t="n"/>
      <c r="H846" s="24" t="n"/>
      <c r="I846" s="30" t="n"/>
      <c r="J846" s="23">
        <f>IF(OR($H846="",$I846=""),"",$H846*$I846)</f>
        <v/>
      </c>
      <c r="K846" s="24" t="n"/>
      <c r="L846" s="24" t="n"/>
      <c r="M846" s="29" t="n"/>
      <c r="N846" s="28" t="n"/>
      <c r="O846" s="24" t="n"/>
      <c r="P846" s="24" t="n"/>
      <c r="Q846" s="24" t="n"/>
      <c r="R846" s="24" t="n"/>
      <c r="S846" s="22">
        <f>IF(AND($A846="",$C846=""),"",IF($A846="","Thiếu mã đơn; ","")&amp;IF(COUNTIF($A$2:$A846,$A846)&gt;1,"Trùng mã đơn; ","")&amp;IF(ISNA(MATCH($C846,DATA_MASTER!$D$2:$D$5000,0)),"SĐT chưa đăng ký hội viên; ","")&amp;IF(AND($L846="Đã chuyển khoản",$M846=""),"Thiếu ngày nhận CK; ",""))</f>
        <v/>
      </c>
      <c r="T846" s="24" t="n"/>
    </row>
    <row r="847" ht="14.25" customHeight="1" s="40">
      <c r="A847" s="24" t="n"/>
      <c r="B847" s="29" t="n"/>
      <c r="C847" s="28" t="n"/>
      <c r="D847" s="22">
        <f t="array" ref="D847">IF($C847="","",IFERROR(INDEX(DATA_MASTER!$C$2:$C$5000,MATCH($C847,DATA_MASTER!$D$2:$D$5000,0)),""))</f>
        <v/>
      </c>
      <c r="E847" s="22">
        <f t="array" ref="E847">IF($C847="","",IFERROR(INDEX(DATA_MASTER!$I$2:$I$5000,MATCH($C847,DATA_MASTER!$D$2:$D$5000,0)),""))</f>
        <v/>
      </c>
      <c r="F847" s="22">
        <f t="array" ref="F847">IF($C847="","",IFERROR(INDEX(DATA_MASTER!$L$2:$L$5000,MATCH($C847,DATA_MASTER!$D$2:$D$5000,0)),""))</f>
        <v/>
      </c>
      <c r="G847" s="24" t="n"/>
      <c r="H847" s="24" t="n"/>
      <c r="I847" s="30" t="n"/>
      <c r="J847" s="23">
        <f>IF(OR($H847="",$I847=""),"",$H847*$I847)</f>
        <v/>
      </c>
      <c r="K847" s="24" t="n"/>
      <c r="L847" s="24" t="n"/>
      <c r="M847" s="29" t="n"/>
      <c r="N847" s="28" t="n"/>
      <c r="O847" s="24" t="n"/>
      <c r="P847" s="24" t="n"/>
      <c r="Q847" s="24" t="n"/>
      <c r="R847" s="24" t="n"/>
      <c r="S847" s="22">
        <f>IF(AND($A847="",$C847=""),"",IF($A847="","Thiếu mã đơn; ","")&amp;IF(COUNTIF($A$2:$A847,$A847)&gt;1,"Trùng mã đơn; ","")&amp;IF(ISNA(MATCH($C847,DATA_MASTER!$D$2:$D$5000,0)),"SĐT chưa đăng ký hội viên; ","")&amp;IF(AND($L847="Đã chuyển khoản",$M847=""),"Thiếu ngày nhận CK; ",""))</f>
        <v/>
      </c>
      <c r="T847" s="24" t="n"/>
    </row>
    <row r="848" ht="14.25" customHeight="1" s="40">
      <c r="A848" s="24" t="n"/>
      <c r="B848" s="29" t="n"/>
      <c r="C848" s="28" t="n"/>
      <c r="D848" s="22">
        <f t="array" ref="D848">IF($C848="","",IFERROR(INDEX(DATA_MASTER!$C$2:$C$5000,MATCH($C848,DATA_MASTER!$D$2:$D$5000,0)),""))</f>
        <v/>
      </c>
      <c r="E848" s="22">
        <f t="array" ref="E848">IF($C848="","",IFERROR(INDEX(DATA_MASTER!$I$2:$I$5000,MATCH($C848,DATA_MASTER!$D$2:$D$5000,0)),""))</f>
        <v/>
      </c>
      <c r="F848" s="22">
        <f t="array" ref="F848">IF($C848="","",IFERROR(INDEX(DATA_MASTER!$L$2:$L$5000,MATCH($C848,DATA_MASTER!$D$2:$D$5000,0)),""))</f>
        <v/>
      </c>
      <c r="G848" s="24" t="n"/>
      <c r="H848" s="24" t="n"/>
      <c r="I848" s="30" t="n"/>
      <c r="J848" s="23">
        <f>IF(OR($H848="",$I848=""),"",$H848*$I848)</f>
        <v/>
      </c>
      <c r="K848" s="24" t="n"/>
      <c r="L848" s="24" t="n"/>
      <c r="M848" s="29" t="n"/>
      <c r="N848" s="28" t="n"/>
      <c r="O848" s="24" t="n"/>
      <c r="P848" s="24" t="n"/>
      <c r="Q848" s="24" t="n"/>
      <c r="R848" s="24" t="n"/>
      <c r="S848" s="22">
        <f>IF(AND($A848="",$C848=""),"",IF($A848="","Thiếu mã đơn; ","")&amp;IF(COUNTIF($A$2:$A848,$A848)&gt;1,"Trùng mã đơn; ","")&amp;IF(ISNA(MATCH($C848,DATA_MASTER!$D$2:$D$5000,0)),"SĐT chưa đăng ký hội viên; ","")&amp;IF(AND($L848="Đã chuyển khoản",$M848=""),"Thiếu ngày nhận CK; ",""))</f>
        <v/>
      </c>
      <c r="T848" s="24" t="n"/>
    </row>
    <row r="849" ht="14.25" customHeight="1" s="40">
      <c r="A849" s="24" t="n"/>
      <c r="B849" s="29" t="n"/>
      <c r="C849" s="28" t="n"/>
      <c r="D849" s="22">
        <f t="array" ref="D849">IF($C849="","",IFERROR(INDEX(DATA_MASTER!$C$2:$C$5000,MATCH($C849,DATA_MASTER!$D$2:$D$5000,0)),""))</f>
        <v/>
      </c>
      <c r="E849" s="22">
        <f t="array" ref="E849">IF($C849="","",IFERROR(INDEX(DATA_MASTER!$I$2:$I$5000,MATCH($C849,DATA_MASTER!$D$2:$D$5000,0)),""))</f>
        <v/>
      </c>
      <c r="F849" s="22">
        <f t="array" ref="F849">IF($C849="","",IFERROR(INDEX(DATA_MASTER!$L$2:$L$5000,MATCH($C849,DATA_MASTER!$D$2:$D$5000,0)),""))</f>
        <v/>
      </c>
      <c r="G849" s="24" t="n"/>
      <c r="H849" s="24" t="n"/>
      <c r="I849" s="30" t="n"/>
      <c r="J849" s="23">
        <f>IF(OR($H849="",$I849=""),"",$H849*$I849)</f>
        <v/>
      </c>
      <c r="K849" s="24" t="n"/>
      <c r="L849" s="24" t="n"/>
      <c r="M849" s="29" t="n"/>
      <c r="N849" s="28" t="n"/>
      <c r="O849" s="24" t="n"/>
      <c r="P849" s="24" t="n"/>
      <c r="Q849" s="24" t="n"/>
      <c r="R849" s="24" t="n"/>
      <c r="S849" s="22">
        <f>IF(AND($A849="",$C849=""),"",IF($A849="","Thiếu mã đơn; ","")&amp;IF(COUNTIF($A$2:$A849,$A849)&gt;1,"Trùng mã đơn; ","")&amp;IF(ISNA(MATCH($C849,DATA_MASTER!$D$2:$D$5000,0)),"SĐT chưa đăng ký hội viên; ","")&amp;IF(AND($L849="Đã chuyển khoản",$M849=""),"Thiếu ngày nhận CK; ",""))</f>
        <v/>
      </c>
      <c r="T849" s="24" t="n"/>
    </row>
    <row r="850" ht="14.25" customHeight="1" s="40">
      <c r="A850" s="24" t="n"/>
      <c r="B850" s="29" t="n"/>
      <c r="C850" s="28" t="n"/>
      <c r="D850" s="22">
        <f t="array" ref="D850">IF($C850="","",IFERROR(INDEX(DATA_MASTER!$C$2:$C$5000,MATCH($C850,DATA_MASTER!$D$2:$D$5000,0)),""))</f>
        <v/>
      </c>
      <c r="E850" s="22">
        <f t="array" ref="E850">IF($C850="","",IFERROR(INDEX(DATA_MASTER!$I$2:$I$5000,MATCH($C850,DATA_MASTER!$D$2:$D$5000,0)),""))</f>
        <v/>
      </c>
      <c r="F850" s="22">
        <f t="array" ref="F850">IF($C850="","",IFERROR(INDEX(DATA_MASTER!$L$2:$L$5000,MATCH($C850,DATA_MASTER!$D$2:$D$5000,0)),""))</f>
        <v/>
      </c>
      <c r="G850" s="24" t="n"/>
      <c r="H850" s="24" t="n"/>
      <c r="I850" s="30" t="n"/>
      <c r="J850" s="23">
        <f>IF(OR($H850="",$I850=""),"",$H850*$I850)</f>
        <v/>
      </c>
      <c r="K850" s="24" t="n"/>
      <c r="L850" s="24" t="n"/>
      <c r="M850" s="29" t="n"/>
      <c r="N850" s="28" t="n"/>
      <c r="O850" s="24" t="n"/>
      <c r="P850" s="24" t="n"/>
      <c r="Q850" s="24" t="n"/>
      <c r="R850" s="24" t="n"/>
      <c r="S850" s="22">
        <f>IF(AND($A850="",$C850=""),"",IF($A850="","Thiếu mã đơn; ","")&amp;IF(COUNTIF($A$2:$A850,$A850)&gt;1,"Trùng mã đơn; ","")&amp;IF(ISNA(MATCH($C850,DATA_MASTER!$D$2:$D$5000,0)),"SĐT chưa đăng ký hội viên; ","")&amp;IF(AND($L850="Đã chuyển khoản",$M850=""),"Thiếu ngày nhận CK; ",""))</f>
        <v/>
      </c>
      <c r="T850" s="24" t="n"/>
    </row>
    <row r="851" ht="14.25" customHeight="1" s="40">
      <c r="A851" s="24" t="n"/>
      <c r="B851" s="29" t="n"/>
      <c r="C851" s="28" t="n"/>
      <c r="D851" s="22">
        <f t="array" ref="D851">IF($C851="","",IFERROR(INDEX(DATA_MASTER!$C$2:$C$5000,MATCH($C851,DATA_MASTER!$D$2:$D$5000,0)),""))</f>
        <v/>
      </c>
      <c r="E851" s="22">
        <f t="array" ref="E851">IF($C851="","",IFERROR(INDEX(DATA_MASTER!$I$2:$I$5000,MATCH($C851,DATA_MASTER!$D$2:$D$5000,0)),""))</f>
        <v/>
      </c>
      <c r="F851" s="22">
        <f t="array" ref="F851">IF($C851="","",IFERROR(INDEX(DATA_MASTER!$L$2:$L$5000,MATCH($C851,DATA_MASTER!$D$2:$D$5000,0)),""))</f>
        <v/>
      </c>
      <c r="G851" s="24" t="n"/>
      <c r="H851" s="24" t="n"/>
      <c r="I851" s="30" t="n"/>
      <c r="J851" s="23">
        <f>IF(OR($H851="",$I851=""),"",$H851*$I851)</f>
        <v/>
      </c>
      <c r="K851" s="24" t="n"/>
      <c r="L851" s="24" t="n"/>
      <c r="M851" s="29" t="n"/>
      <c r="N851" s="28" t="n"/>
      <c r="O851" s="24" t="n"/>
      <c r="P851" s="24" t="n"/>
      <c r="Q851" s="24" t="n"/>
      <c r="R851" s="24" t="n"/>
      <c r="S851" s="22">
        <f>IF(AND($A851="",$C851=""),"",IF($A851="","Thiếu mã đơn; ","")&amp;IF(COUNTIF($A$2:$A851,$A851)&gt;1,"Trùng mã đơn; ","")&amp;IF(ISNA(MATCH($C851,DATA_MASTER!$D$2:$D$5000,0)),"SĐT chưa đăng ký hội viên; ","")&amp;IF(AND($L851="Đã chuyển khoản",$M851=""),"Thiếu ngày nhận CK; ",""))</f>
        <v/>
      </c>
      <c r="T851" s="24" t="n"/>
    </row>
    <row r="852" ht="14.25" customHeight="1" s="40">
      <c r="A852" s="24" t="n"/>
      <c r="B852" s="29" t="n"/>
      <c r="C852" s="28" t="n"/>
      <c r="D852" s="22">
        <f t="array" ref="D852">IF($C852="","",IFERROR(INDEX(DATA_MASTER!$C$2:$C$5000,MATCH($C852,DATA_MASTER!$D$2:$D$5000,0)),""))</f>
        <v/>
      </c>
      <c r="E852" s="22">
        <f t="array" ref="E852">IF($C852="","",IFERROR(INDEX(DATA_MASTER!$I$2:$I$5000,MATCH($C852,DATA_MASTER!$D$2:$D$5000,0)),""))</f>
        <v/>
      </c>
      <c r="F852" s="22">
        <f t="array" ref="F852">IF($C852="","",IFERROR(INDEX(DATA_MASTER!$L$2:$L$5000,MATCH($C852,DATA_MASTER!$D$2:$D$5000,0)),""))</f>
        <v/>
      </c>
      <c r="G852" s="24" t="n"/>
      <c r="H852" s="24" t="n"/>
      <c r="I852" s="30" t="n"/>
      <c r="J852" s="23">
        <f>IF(OR($H852="",$I852=""),"",$H852*$I852)</f>
        <v/>
      </c>
      <c r="K852" s="24" t="n"/>
      <c r="L852" s="24" t="n"/>
      <c r="M852" s="29" t="n"/>
      <c r="N852" s="28" t="n"/>
      <c r="O852" s="24" t="n"/>
      <c r="P852" s="24" t="n"/>
      <c r="Q852" s="24" t="n"/>
      <c r="R852" s="24" t="n"/>
      <c r="S852" s="22">
        <f>IF(AND($A852="",$C852=""),"",IF($A852="","Thiếu mã đơn; ","")&amp;IF(COUNTIF($A$2:$A852,$A852)&gt;1,"Trùng mã đơn; ","")&amp;IF(ISNA(MATCH($C852,DATA_MASTER!$D$2:$D$5000,0)),"SĐT chưa đăng ký hội viên; ","")&amp;IF(AND($L852="Đã chuyển khoản",$M852=""),"Thiếu ngày nhận CK; ",""))</f>
        <v/>
      </c>
      <c r="T852" s="24" t="n"/>
    </row>
    <row r="853" ht="14.25" customHeight="1" s="40">
      <c r="A853" s="24" t="n"/>
      <c r="B853" s="29" t="n"/>
      <c r="C853" s="28" t="n"/>
      <c r="D853" s="22">
        <f t="array" ref="D853">IF($C853="","",IFERROR(INDEX(DATA_MASTER!$C$2:$C$5000,MATCH($C853,DATA_MASTER!$D$2:$D$5000,0)),""))</f>
        <v/>
      </c>
      <c r="E853" s="22">
        <f t="array" ref="E853">IF($C853="","",IFERROR(INDEX(DATA_MASTER!$I$2:$I$5000,MATCH($C853,DATA_MASTER!$D$2:$D$5000,0)),""))</f>
        <v/>
      </c>
      <c r="F853" s="22">
        <f t="array" ref="F853">IF($C853="","",IFERROR(INDEX(DATA_MASTER!$L$2:$L$5000,MATCH($C853,DATA_MASTER!$D$2:$D$5000,0)),""))</f>
        <v/>
      </c>
      <c r="G853" s="24" t="n"/>
      <c r="H853" s="24" t="n"/>
      <c r="I853" s="30" t="n"/>
      <c r="J853" s="23">
        <f>IF(OR($H853="",$I853=""),"",$H853*$I853)</f>
        <v/>
      </c>
      <c r="K853" s="24" t="n"/>
      <c r="L853" s="24" t="n"/>
      <c r="M853" s="29" t="n"/>
      <c r="N853" s="28" t="n"/>
      <c r="O853" s="24" t="n"/>
      <c r="P853" s="24" t="n"/>
      <c r="Q853" s="24" t="n"/>
      <c r="R853" s="24" t="n"/>
      <c r="S853" s="22">
        <f>IF(AND($A853="",$C853=""),"",IF($A853="","Thiếu mã đơn; ","")&amp;IF(COUNTIF($A$2:$A853,$A853)&gt;1,"Trùng mã đơn; ","")&amp;IF(ISNA(MATCH($C853,DATA_MASTER!$D$2:$D$5000,0)),"SĐT chưa đăng ký hội viên; ","")&amp;IF(AND($L853="Đã chuyển khoản",$M853=""),"Thiếu ngày nhận CK; ",""))</f>
        <v/>
      </c>
      <c r="T853" s="24" t="n"/>
    </row>
    <row r="854" ht="14.25" customHeight="1" s="40">
      <c r="A854" s="24" t="n"/>
      <c r="B854" s="29" t="n"/>
      <c r="C854" s="28" t="n"/>
      <c r="D854" s="22">
        <f t="array" ref="D854">IF($C854="","",IFERROR(INDEX(DATA_MASTER!$C$2:$C$5000,MATCH($C854,DATA_MASTER!$D$2:$D$5000,0)),""))</f>
        <v/>
      </c>
      <c r="E854" s="22">
        <f t="array" ref="E854">IF($C854="","",IFERROR(INDEX(DATA_MASTER!$I$2:$I$5000,MATCH($C854,DATA_MASTER!$D$2:$D$5000,0)),""))</f>
        <v/>
      </c>
      <c r="F854" s="22">
        <f t="array" ref="F854">IF($C854="","",IFERROR(INDEX(DATA_MASTER!$L$2:$L$5000,MATCH($C854,DATA_MASTER!$D$2:$D$5000,0)),""))</f>
        <v/>
      </c>
      <c r="G854" s="24" t="n"/>
      <c r="H854" s="24" t="n"/>
      <c r="I854" s="30" t="n"/>
      <c r="J854" s="23">
        <f>IF(OR($H854="",$I854=""),"",$H854*$I854)</f>
        <v/>
      </c>
      <c r="K854" s="24" t="n"/>
      <c r="L854" s="24" t="n"/>
      <c r="M854" s="29" t="n"/>
      <c r="N854" s="28" t="n"/>
      <c r="O854" s="24" t="n"/>
      <c r="P854" s="24" t="n"/>
      <c r="Q854" s="24" t="n"/>
      <c r="R854" s="24" t="n"/>
      <c r="S854" s="22">
        <f>IF(AND($A854="",$C854=""),"",IF($A854="","Thiếu mã đơn; ","")&amp;IF(COUNTIF($A$2:$A854,$A854)&gt;1,"Trùng mã đơn; ","")&amp;IF(ISNA(MATCH($C854,DATA_MASTER!$D$2:$D$5000,0)),"SĐT chưa đăng ký hội viên; ","")&amp;IF(AND($L854="Đã chuyển khoản",$M854=""),"Thiếu ngày nhận CK; ",""))</f>
        <v/>
      </c>
      <c r="T854" s="24" t="n"/>
    </row>
    <row r="855" ht="14.25" customHeight="1" s="40">
      <c r="A855" s="24" t="n"/>
      <c r="B855" s="29" t="n"/>
      <c r="C855" s="28" t="n"/>
      <c r="D855" s="22">
        <f t="array" ref="D855">IF($C855="","",IFERROR(INDEX(DATA_MASTER!$C$2:$C$5000,MATCH($C855,DATA_MASTER!$D$2:$D$5000,0)),""))</f>
        <v/>
      </c>
      <c r="E855" s="22">
        <f t="array" ref="E855">IF($C855="","",IFERROR(INDEX(DATA_MASTER!$I$2:$I$5000,MATCH($C855,DATA_MASTER!$D$2:$D$5000,0)),""))</f>
        <v/>
      </c>
      <c r="F855" s="22">
        <f t="array" ref="F855">IF($C855="","",IFERROR(INDEX(DATA_MASTER!$L$2:$L$5000,MATCH($C855,DATA_MASTER!$D$2:$D$5000,0)),""))</f>
        <v/>
      </c>
      <c r="G855" s="24" t="n"/>
      <c r="H855" s="24" t="n"/>
      <c r="I855" s="30" t="n"/>
      <c r="J855" s="23">
        <f>IF(OR($H855="",$I855=""),"",$H855*$I855)</f>
        <v/>
      </c>
      <c r="K855" s="24" t="n"/>
      <c r="L855" s="24" t="n"/>
      <c r="M855" s="29" t="n"/>
      <c r="N855" s="28" t="n"/>
      <c r="O855" s="24" t="n"/>
      <c r="P855" s="24" t="n"/>
      <c r="Q855" s="24" t="n"/>
      <c r="R855" s="24" t="n"/>
      <c r="S855" s="22">
        <f>IF(AND($A855="",$C855=""),"",IF($A855="","Thiếu mã đơn; ","")&amp;IF(COUNTIF($A$2:$A855,$A855)&gt;1,"Trùng mã đơn; ","")&amp;IF(ISNA(MATCH($C855,DATA_MASTER!$D$2:$D$5000,0)),"SĐT chưa đăng ký hội viên; ","")&amp;IF(AND($L855="Đã chuyển khoản",$M855=""),"Thiếu ngày nhận CK; ",""))</f>
        <v/>
      </c>
      <c r="T855" s="24" t="n"/>
    </row>
    <row r="856" ht="14.25" customHeight="1" s="40">
      <c r="A856" s="24" t="n"/>
      <c r="B856" s="29" t="n"/>
      <c r="C856" s="28" t="n"/>
      <c r="D856" s="22">
        <f t="array" ref="D856">IF($C856="","",IFERROR(INDEX(DATA_MASTER!$C$2:$C$5000,MATCH($C856,DATA_MASTER!$D$2:$D$5000,0)),""))</f>
        <v/>
      </c>
      <c r="E856" s="22">
        <f t="array" ref="E856">IF($C856="","",IFERROR(INDEX(DATA_MASTER!$I$2:$I$5000,MATCH($C856,DATA_MASTER!$D$2:$D$5000,0)),""))</f>
        <v/>
      </c>
      <c r="F856" s="22">
        <f t="array" ref="F856">IF($C856="","",IFERROR(INDEX(DATA_MASTER!$L$2:$L$5000,MATCH($C856,DATA_MASTER!$D$2:$D$5000,0)),""))</f>
        <v/>
      </c>
      <c r="G856" s="24" t="n"/>
      <c r="H856" s="24" t="n"/>
      <c r="I856" s="30" t="n"/>
      <c r="J856" s="23">
        <f>IF(OR($H856="",$I856=""),"",$H856*$I856)</f>
        <v/>
      </c>
      <c r="K856" s="24" t="n"/>
      <c r="L856" s="24" t="n"/>
      <c r="M856" s="29" t="n"/>
      <c r="N856" s="28" t="n"/>
      <c r="O856" s="24" t="n"/>
      <c r="P856" s="24" t="n"/>
      <c r="Q856" s="24" t="n"/>
      <c r="R856" s="24" t="n"/>
      <c r="S856" s="22">
        <f>IF(AND($A856="",$C856=""),"",IF($A856="","Thiếu mã đơn; ","")&amp;IF(COUNTIF($A$2:$A856,$A856)&gt;1,"Trùng mã đơn; ","")&amp;IF(ISNA(MATCH($C856,DATA_MASTER!$D$2:$D$5000,0)),"SĐT chưa đăng ký hội viên; ","")&amp;IF(AND($L856="Đã chuyển khoản",$M856=""),"Thiếu ngày nhận CK; ",""))</f>
        <v/>
      </c>
      <c r="T856" s="24" t="n"/>
    </row>
    <row r="857" ht="14.25" customHeight="1" s="40">
      <c r="A857" s="24" t="n"/>
      <c r="B857" s="29" t="n"/>
      <c r="C857" s="28" t="n"/>
      <c r="D857" s="22">
        <f t="array" ref="D857">IF($C857="","",IFERROR(INDEX(DATA_MASTER!$C$2:$C$5000,MATCH($C857,DATA_MASTER!$D$2:$D$5000,0)),""))</f>
        <v/>
      </c>
      <c r="E857" s="22">
        <f t="array" ref="E857">IF($C857="","",IFERROR(INDEX(DATA_MASTER!$I$2:$I$5000,MATCH($C857,DATA_MASTER!$D$2:$D$5000,0)),""))</f>
        <v/>
      </c>
      <c r="F857" s="22">
        <f t="array" ref="F857">IF($C857="","",IFERROR(INDEX(DATA_MASTER!$L$2:$L$5000,MATCH($C857,DATA_MASTER!$D$2:$D$5000,0)),""))</f>
        <v/>
      </c>
      <c r="G857" s="24" t="n"/>
      <c r="H857" s="24" t="n"/>
      <c r="I857" s="30" t="n"/>
      <c r="J857" s="23">
        <f>IF(OR($H857="",$I857=""),"",$H857*$I857)</f>
        <v/>
      </c>
      <c r="K857" s="24" t="n"/>
      <c r="L857" s="24" t="n"/>
      <c r="M857" s="29" t="n"/>
      <c r="N857" s="28" t="n"/>
      <c r="O857" s="24" t="n"/>
      <c r="P857" s="24" t="n"/>
      <c r="Q857" s="24" t="n"/>
      <c r="R857" s="24" t="n"/>
      <c r="S857" s="22">
        <f>IF(AND($A857="",$C857=""),"",IF($A857="","Thiếu mã đơn; ","")&amp;IF(COUNTIF($A$2:$A857,$A857)&gt;1,"Trùng mã đơn; ","")&amp;IF(ISNA(MATCH($C857,DATA_MASTER!$D$2:$D$5000,0)),"SĐT chưa đăng ký hội viên; ","")&amp;IF(AND($L857="Đã chuyển khoản",$M857=""),"Thiếu ngày nhận CK; ",""))</f>
        <v/>
      </c>
      <c r="T857" s="24" t="n"/>
    </row>
    <row r="858" ht="14.25" customHeight="1" s="40">
      <c r="A858" s="24" t="n"/>
      <c r="B858" s="29" t="n"/>
      <c r="C858" s="28" t="n"/>
      <c r="D858" s="22">
        <f t="array" ref="D858">IF($C858="","",IFERROR(INDEX(DATA_MASTER!$C$2:$C$5000,MATCH($C858,DATA_MASTER!$D$2:$D$5000,0)),""))</f>
        <v/>
      </c>
      <c r="E858" s="22">
        <f t="array" ref="E858">IF($C858="","",IFERROR(INDEX(DATA_MASTER!$I$2:$I$5000,MATCH($C858,DATA_MASTER!$D$2:$D$5000,0)),""))</f>
        <v/>
      </c>
      <c r="F858" s="22">
        <f t="array" ref="F858">IF($C858="","",IFERROR(INDEX(DATA_MASTER!$L$2:$L$5000,MATCH($C858,DATA_MASTER!$D$2:$D$5000,0)),""))</f>
        <v/>
      </c>
      <c r="G858" s="24" t="n"/>
      <c r="H858" s="24" t="n"/>
      <c r="I858" s="30" t="n"/>
      <c r="J858" s="23">
        <f>IF(OR($H858="",$I858=""),"",$H858*$I858)</f>
        <v/>
      </c>
      <c r="K858" s="24" t="n"/>
      <c r="L858" s="24" t="n"/>
      <c r="M858" s="29" t="n"/>
      <c r="N858" s="28" t="n"/>
      <c r="O858" s="24" t="n"/>
      <c r="P858" s="24" t="n"/>
      <c r="Q858" s="24" t="n"/>
      <c r="R858" s="24" t="n"/>
      <c r="S858" s="22">
        <f>IF(AND($A858="",$C858=""),"",IF($A858="","Thiếu mã đơn; ","")&amp;IF(COUNTIF($A$2:$A858,$A858)&gt;1,"Trùng mã đơn; ","")&amp;IF(ISNA(MATCH($C858,DATA_MASTER!$D$2:$D$5000,0)),"SĐT chưa đăng ký hội viên; ","")&amp;IF(AND($L858="Đã chuyển khoản",$M858=""),"Thiếu ngày nhận CK; ",""))</f>
        <v/>
      </c>
      <c r="T858" s="24" t="n"/>
    </row>
    <row r="859" ht="14.25" customHeight="1" s="40">
      <c r="A859" s="24" t="n"/>
      <c r="B859" s="29" t="n"/>
      <c r="C859" s="28" t="n"/>
      <c r="D859" s="22">
        <f t="array" ref="D859">IF($C859="","",IFERROR(INDEX(DATA_MASTER!$C$2:$C$5000,MATCH($C859,DATA_MASTER!$D$2:$D$5000,0)),""))</f>
        <v/>
      </c>
      <c r="E859" s="22">
        <f t="array" ref="E859">IF($C859="","",IFERROR(INDEX(DATA_MASTER!$I$2:$I$5000,MATCH($C859,DATA_MASTER!$D$2:$D$5000,0)),""))</f>
        <v/>
      </c>
      <c r="F859" s="22">
        <f t="array" ref="F859">IF($C859="","",IFERROR(INDEX(DATA_MASTER!$L$2:$L$5000,MATCH($C859,DATA_MASTER!$D$2:$D$5000,0)),""))</f>
        <v/>
      </c>
      <c r="G859" s="24" t="n"/>
      <c r="H859" s="24" t="n"/>
      <c r="I859" s="30" t="n"/>
      <c r="J859" s="23">
        <f>IF(OR($H859="",$I859=""),"",$H859*$I859)</f>
        <v/>
      </c>
      <c r="K859" s="24" t="n"/>
      <c r="L859" s="24" t="n"/>
      <c r="M859" s="29" t="n"/>
      <c r="N859" s="28" t="n"/>
      <c r="O859" s="24" t="n"/>
      <c r="P859" s="24" t="n"/>
      <c r="Q859" s="24" t="n"/>
      <c r="R859" s="24" t="n"/>
      <c r="S859" s="22">
        <f>IF(AND($A859="",$C859=""),"",IF($A859="","Thiếu mã đơn; ","")&amp;IF(COUNTIF($A$2:$A859,$A859)&gt;1,"Trùng mã đơn; ","")&amp;IF(ISNA(MATCH($C859,DATA_MASTER!$D$2:$D$5000,0)),"SĐT chưa đăng ký hội viên; ","")&amp;IF(AND($L859="Đã chuyển khoản",$M859=""),"Thiếu ngày nhận CK; ",""))</f>
        <v/>
      </c>
      <c r="T859" s="24" t="n"/>
    </row>
    <row r="860" ht="14.25" customHeight="1" s="40">
      <c r="A860" s="24" t="n"/>
      <c r="B860" s="29" t="n"/>
      <c r="C860" s="28" t="n"/>
      <c r="D860" s="22">
        <f t="array" ref="D860">IF($C860="","",IFERROR(INDEX(DATA_MASTER!$C$2:$C$5000,MATCH($C860,DATA_MASTER!$D$2:$D$5000,0)),""))</f>
        <v/>
      </c>
      <c r="E860" s="22">
        <f t="array" ref="E860">IF($C860="","",IFERROR(INDEX(DATA_MASTER!$I$2:$I$5000,MATCH($C860,DATA_MASTER!$D$2:$D$5000,0)),""))</f>
        <v/>
      </c>
      <c r="F860" s="22">
        <f t="array" ref="F860">IF($C860="","",IFERROR(INDEX(DATA_MASTER!$L$2:$L$5000,MATCH($C860,DATA_MASTER!$D$2:$D$5000,0)),""))</f>
        <v/>
      </c>
      <c r="G860" s="24" t="n"/>
      <c r="H860" s="24" t="n"/>
      <c r="I860" s="30" t="n"/>
      <c r="J860" s="23">
        <f>IF(OR($H860="",$I860=""),"",$H860*$I860)</f>
        <v/>
      </c>
      <c r="K860" s="24" t="n"/>
      <c r="L860" s="24" t="n"/>
      <c r="M860" s="29" t="n"/>
      <c r="N860" s="28" t="n"/>
      <c r="O860" s="24" t="n"/>
      <c r="P860" s="24" t="n"/>
      <c r="Q860" s="24" t="n"/>
      <c r="R860" s="24" t="n"/>
      <c r="S860" s="22">
        <f>IF(AND($A860="",$C860=""),"",IF($A860="","Thiếu mã đơn; ","")&amp;IF(COUNTIF($A$2:$A860,$A860)&gt;1,"Trùng mã đơn; ","")&amp;IF(ISNA(MATCH($C860,DATA_MASTER!$D$2:$D$5000,0)),"SĐT chưa đăng ký hội viên; ","")&amp;IF(AND($L860="Đã chuyển khoản",$M860=""),"Thiếu ngày nhận CK; ",""))</f>
        <v/>
      </c>
      <c r="T860" s="24" t="n"/>
    </row>
    <row r="861" ht="14.25" customHeight="1" s="40">
      <c r="A861" s="24" t="n"/>
      <c r="B861" s="29" t="n"/>
      <c r="C861" s="28" t="n"/>
      <c r="D861" s="22">
        <f t="array" ref="D861">IF($C861="","",IFERROR(INDEX(DATA_MASTER!$C$2:$C$5000,MATCH($C861,DATA_MASTER!$D$2:$D$5000,0)),""))</f>
        <v/>
      </c>
      <c r="E861" s="22">
        <f t="array" ref="E861">IF($C861="","",IFERROR(INDEX(DATA_MASTER!$I$2:$I$5000,MATCH($C861,DATA_MASTER!$D$2:$D$5000,0)),""))</f>
        <v/>
      </c>
      <c r="F861" s="22">
        <f t="array" ref="F861">IF($C861="","",IFERROR(INDEX(DATA_MASTER!$L$2:$L$5000,MATCH($C861,DATA_MASTER!$D$2:$D$5000,0)),""))</f>
        <v/>
      </c>
      <c r="G861" s="24" t="n"/>
      <c r="H861" s="24" t="n"/>
      <c r="I861" s="30" t="n"/>
      <c r="J861" s="23">
        <f>IF(OR($H861="",$I861=""),"",$H861*$I861)</f>
        <v/>
      </c>
      <c r="K861" s="24" t="n"/>
      <c r="L861" s="24" t="n"/>
      <c r="M861" s="29" t="n"/>
      <c r="N861" s="28" t="n"/>
      <c r="O861" s="24" t="n"/>
      <c r="P861" s="24" t="n"/>
      <c r="Q861" s="24" t="n"/>
      <c r="R861" s="24" t="n"/>
      <c r="S861" s="22">
        <f>IF(AND($A861="",$C861=""),"",IF($A861="","Thiếu mã đơn; ","")&amp;IF(COUNTIF($A$2:$A861,$A861)&gt;1,"Trùng mã đơn; ","")&amp;IF(ISNA(MATCH($C861,DATA_MASTER!$D$2:$D$5000,0)),"SĐT chưa đăng ký hội viên; ","")&amp;IF(AND($L861="Đã chuyển khoản",$M861=""),"Thiếu ngày nhận CK; ",""))</f>
        <v/>
      </c>
      <c r="T861" s="24" t="n"/>
    </row>
    <row r="862" ht="14.25" customHeight="1" s="40">
      <c r="A862" s="24" t="n"/>
      <c r="B862" s="29" t="n"/>
      <c r="C862" s="28" t="n"/>
      <c r="D862" s="22">
        <f t="array" ref="D862">IF($C862="","",IFERROR(INDEX(DATA_MASTER!$C$2:$C$5000,MATCH($C862,DATA_MASTER!$D$2:$D$5000,0)),""))</f>
        <v/>
      </c>
      <c r="E862" s="22">
        <f t="array" ref="E862">IF($C862="","",IFERROR(INDEX(DATA_MASTER!$I$2:$I$5000,MATCH($C862,DATA_MASTER!$D$2:$D$5000,0)),""))</f>
        <v/>
      </c>
      <c r="F862" s="22">
        <f t="array" ref="F862">IF($C862="","",IFERROR(INDEX(DATA_MASTER!$L$2:$L$5000,MATCH($C862,DATA_MASTER!$D$2:$D$5000,0)),""))</f>
        <v/>
      </c>
      <c r="G862" s="24" t="n"/>
      <c r="H862" s="24" t="n"/>
      <c r="I862" s="30" t="n"/>
      <c r="J862" s="23">
        <f>IF(OR($H862="",$I862=""),"",$H862*$I862)</f>
        <v/>
      </c>
      <c r="K862" s="24" t="n"/>
      <c r="L862" s="24" t="n"/>
      <c r="M862" s="29" t="n"/>
      <c r="N862" s="28" t="n"/>
      <c r="O862" s="24" t="n"/>
      <c r="P862" s="24" t="n"/>
      <c r="Q862" s="24" t="n"/>
      <c r="R862" s="24" t="n"/>
      <c r="S862" s="22">
        <f>IF(AND($A862="",$C862=""),"",IF($A862="","Thiếu mã đơn; ","")&amp;IF(COUNTIF($A$2:$A862,$A862)&gt;1,"Trùng mã đơn; ","")&amp;IF(ISNA(MATCH($C862,DATA_MASTER!$D$2:$D$5000,0)),"SĐT chưa đăng ký hội viên; ","")&amp;IF(AND($L862="Đã chuyển khoản",$M862=""),"Thiếu ngày nhận CK; ",""))</f>
        <v/>
      </c>
      <c r="T862" s="24" t="n"/>
    </row>
    <row r="863" ht="14.25" customHeight="1" s="40">
      <c r="A863" s="24" t="n"/>
      <c r="B863" s="29" t="n"/>
      <c r="C863" s="28" t="n"/>
      <c r="D863" s="22">
        <f t="array" ref="D863">IF($C863="","",IFERROR(INDEX(DATA_MASTER!$C$2:$C$5000,MATCH($C863,DATA_MASTER!$D$2:$D$5000,0)),""))</f>
        <v/>
      </c>
      <c r="E863" s="22">
        <f t="array" ref="E863">IF($C863="","",IFERROR(INDEX(DATA_MASTER!$I$2:$I$5000,MATCH($C863,DATA_MASTER!$D$2:$D$5000,0)),""))</f>
        <v/>
      </c>
      <c r="F863" s="22">
        <f t="array" ref="F863">IF($C863="","",IFERROR(INDEX(DATA_MASTER!$L$2:$L$5000,MATCH($C863,DATA_MASTER!$D$2:$D$5000,0)),""))</f>
        <v/>
      </c>
      <c r="G863" s="24" t="n"/>
      <c r="H863" s="24" t="n"/>
      <c r="I863" s="30" t="n"/>
      <c r="J863" s="23">
        <f>IF(OR($H863="",$I863=""),"",$H863*$I863)</f>
        <v/>
      </c>
      <c r="K863" s="24" t="n"/>
      <c r="L863" s="24" t="n"/>
      <c r="M863" s="29" t="n"/>
      <c r="N863" s="28" t="n"/>
      <c r="O863" s="24" t="n"/>
      <c r="P863" s="24" t="n"/>
      <c r="Q863" s="24" t="n"/>
      <c r="R863" s="24" t="n"/>
      <c r="S863" s="22">
        <f>IF(AND($A863="",$C863=""),"",IF($A863="","Thiếu mã đơn; ","")&amp;IF(COUNTIF($A$2:$A863,$A863)&gt;1,"Trùng mã đơn; ","")&amp;IF(ISNA(MATCH($C863,DATA_MASTER!$D$2:$D$5000,0)),"SĐT chưa đăng ký hội viên; ","")&amp;IF(AND($L863="Đã chuyển khoản",$M863=""),"Thiếu ngày nhận CK; ",""))</f>
        <v/>
      </c>
      <c r="T863" s="24" t="n"/>
    </row>
    <row r="864" ht="14.25" customHeight="1" s="40">
      <c r="A864" s="24" t="n"/>
      <c r="B864" s="29" t="n"/>
      <c r="C864" s="28" t="n"/>
      <c r="D864" s="22">
        <f t="array" ref="D864">IF($C864="","",IFERROR(INDEX(DATA_MASTER!$C$2:$C$5000,MATCH($C864,DATA_MASTER!$D$2:$D$5000,0)),""))</f>
        <v/>
      </c>
      <c r="E864" s="22">
        <f t="array" ref="E864">IF($C864="","",IFERROR(INDEX(DATA_MASTER!$I$2:$I$5000,MATCH($C864,DATA_MASTER!$D$2:$D$5000,0)),""))</f>
        <v/>
      </c>
      <c r="F864" s="22">
        <f t="array" ref="F864">IF($C864="","",IFERROR(INDEX(DATA_MASTER!$L$2:$L$5000,MATCH($C864,DATA_MASTER!$D$2:$D$5000,0)),""))</f>
        <v/>
      </c>
      <c r="G864" s="24" t="n"/>
      <c r="H864" s="24" t="n"/>
      <c r="I864" s="30" t="n"/>
      <c r="J864" s="23">
        <f>IF(OR($H864="",$I864=""),"",$H864*$I864)</f>
        <v/>
      </c>
      <c r="K864" s="24" t="n"/>
      <c r="L864" s="24" t="n"/>
      <c r="M864" s="29" t="n"/>
      <c r="N864" s="28" t="n"/>
      <c r="O864" s="24" t="n"/>
      <c r="P864" s="24" t="n"/>
      <c r="Q864" s="24" t="n"/>
      <c r="R864" s="24" t="n"/>
      <c r="S864" s="22">
        <f>IF(AND($A864="",$C864=""),"",IF($A864="","Thiếu mã đơn; ","")&amp;IF(COUNTIF($A$2:$A864,$A864)&gt;1,"Trùng mã đơn; ","")&amp;IF(ISNA(MATCH($C864,DATA_MASTER!$D$2:$D$5000,0)),"SĐT chưa đăng ký hội viên; ","")&amp;IF(AND($L864="Đã chuyển khoản",$M864=""),"Thiếu ngày nhận CK; ",""))</f>
        <v/>
      </c>
      <c r="T864" s="24" t="n"/>
    </row>
    <row r="865" ht="14.25" customHeight="1" s="40">
      <c r="A865" s="24" t="n"/>
      <c r="B865" s="29" t="n"/>
      <c r="C865" s="28" t="n"/>
      <c r="D865" s="22">
        <f t="array" ref="D865">IF($C865="","",IFERROR(INDEX(DATA_MASTER!$C$2:$C$5000,MATCH($C865,DATA_MASTER!$D$2:$D$5000,0)),""))</f>
        <v/>
      </c>
      <c r="E865" s="22">
        <f t="array" ref="E865">IF($C865="","",IFERROR(INDEX(DATA_MASTER!$I$2:$I$5000,MATCH($C865,DATA_MASTER!$D$2:$D$5000,0)),""))</f>
        <v/>
      </c>
      <c r="F865" s="22">
        <f t="array" ref="F865">IF($C865="","",IFERROR(INDEX(DATA_MASTER!$L$2:$L$5000,MATCH($C865,DATA_MASTER!$D$2:$D$5000,0)),""))</f>
        <v/>
      </c>
      <c r="G865" s="24" t="n"/>
      <c r="H865" s="24" t="n"/>
      <c r="I865" s="30" t="n"/>
      <c r="J865" s="23">
        <f>IF(OR($H865="",$I865=""),"",$H865*$I865)</f>
        <v/>
      </c>
      <c r="K865" s="24" t="n"/>
      <c r="L865" s="24" t="n"/>
      <c r="M865" s="29" t="n"/>
      <c r="N865" s="28" t="n"/>
      <c r="O865" s="24" t="n"/>
      <c r="P865" s="24" t="n"/>
      <c r="Q865" s="24" t="n"/>
      <c r="R865" s="24" t="n"/>
      <c r="S865" s="22">
        <f>IF(AND($A865="",$C865=""),"",IF($A865="","Thiếu mã đơn; ","")&amp;IF(COUNTIF($A$2:$A865,$A865)&gt;1,"Trùng mã đơn; ","")&amp;IF(ISNA(MATCH($C865,DATA_MASTER!$D$2:$D$5000,0)),"SĐT chưa đăng ký hội viên; ","")&amp;IF(AND($L865="Đã chuyển khoản",$M865=""),"Thiếu ngày nhận CK; ",""))</f>
        <v/>
      </c>
      <c r="T865" s="24" t="n"/>
    </row>
    <row r="866" ht="14.25" customHeight="1" s="40">
      <c r="A866" s="24" t="n"/>
      <c r="B866" s="29" t="n"/>
      <c r="C866" s="28" t="n"/>
      <c r="D866" s="22">
        <f t="array" ref="D866">IF($C866="","",IFERROR(INDEX(DATA_MASTER!$C$2:$C$5000,MATCH($C866,DATA_MASTER!$D$2:$D$5000,0)),""))</f>
        <v/>
      </c>
      <c r="E866" s="22">
        <f t="array" ref="E866">IF($C866="","",IFERROR(INDEX(DATA_MASTER!$I$2:$I$5000,MATCH($C866,DATA_MASTER!$D$2:$D$5000,0)),""))</f>
        <v/>
      </c>
      <c r="F866" s="22">
        <f t="array" ref="F866">IF($C866="","",IFERROR(INDEX(DATA_MASTER!$L$2:$L$5000,MATCH($C866,DATA_MASTER!$D$2:$D$5000,0)),""))</f>
        <v/>
      </c>
      <c r="G866" s="24" t="n"/>
      <c r="H866" s="24" t="n"/>
      <c r="I866" s="30" t="n"/>
      <c r="J866" s="23">
        <f>IF(OR($H866="",$I866=""),"",$H866*$I866)</f>
        <v/>
      </c>
      <c r="K866" s="24" t="n"/>
      <c r="L866" s="24" t="n"/>
      <c r="M866" s="29" t="n"/>
      <c r="N866" s="28" t="n"/>
      <c r="O866" s="24" t="n"/>
      <c r="P866" s="24" t="n"/>
      <c r="Q866" s="24" t="n"/>
      <c r="R866" s="24" t="n"/>
      <c r="S866" s="22">
        <f>IF(AND($A866="",$C866=""),"",IF($A866="","Thiếu mã đơn; ","")&amp;IF(COUNTIF($A$2:$A866,$A866)&gt;1,"Trùng mã đơn; ","")&amp;IF(ISNA(MATCH($C866,DATA_MASTER!$D$2:$D$5000,0)),"SĐT chưa đăng ký hội viên; ","")&amp;IF(AND($L866="Đã chuyển khoản",$M866=""),"Thiếu ngày nhận CK; ",""))</f>
        <v/>
      </c>
      <c r="T866" s="24" t="n"/>
    </row>
    <row r="867" ht="14.25" customHeight="1" s="40">
      <c r="A867" s="24" t="n"/>
      <c r="B867" s="29" t="n"/>
      <c r="C867" s="28" t="n"/>
      <c r="D867" s="22">
        <f t="array" ref="D867">IF($C867="","",IFERROR(INDEX(DATA_MASTER!$C$2:$C$5000,MATCH($C867,DATA_MASTER!$D$2:$D$5000,0)),""))</f>
        <v/>
      </c>
      <c r="E867" s="22">
        <f t="array" ref="E867">IF($C867="","",IFERROR(INDEX(DATA_MASTER!$I$2:$I$5000,MATCH($C867,DATA_MASTER!$D$2:$D$5000,0)),""))</f>
        <v/>
      </c>
      <c r="F867" s="22">
        <f t="array" ref="F867">IF($C867="","",IFERROR(INDEX(DATA_MASTER!$L$2:$L$5000,MATCH($C867,DATA_MASTER!$D$2:$D$5000,0)),""))</f>
        <v/>
      </c>
      <c r="G867" s="24" t="n"/>
      <c r="H867" s="24" t="n"/>
      <c r="I867" s="30" t="n"/>
      <c r="J867" s="23">
        <f>IF(OR($H867="",$I867=""),"",$H867*$I867)</f>
        <v/>
      </c>
      <c r="K867" s="24" t="n"/>
      <c r="L867" s="24" t="n"/>
      <c r="M867" s="29" t="n"/>
      <c r="N867" s="28" t="n"/>
      <c r="O867" s="24" t="n"/>
      <c r="P867" s="24" t="n"/>
      <c r="Q867" s="24" t="n"/>
      <c r="R867" s="24" t="n"/>
      <c r="S867" s="22">
        <f>IF(AND($A867="",$C867=""),"",IF($A867="","Thiếu mã đơn; ","")&amp;IF(COUNTIF($A$2:$A867,$A867)&gt;1,"Trùng mã đơn; ","")&amp;IF(ISNA(MATCH($C867,DATA_MASTER!$D$2:$D$5000,0)),"SĐT chưa đăng ký hội viên; ","")&amp;IF(AND($L867="Đã chuyển khoản",$M867=""),"Thiếu ngày nhận CK; ",""))</f>
        <v/>
      </c>
      <c r="T867" s="24" t="n"/>
    </row>
    <row r="868" ht="14.25" customHeight="1" s="40">
      <c r="A868" s="24" t="n"/>
      <c r="B868" s="29" t="n"/>
      <c r="C868" s="28" t="n"/>
      <c r="D868" s="22">
        <f t="array" ref="D868">IF($C868="","",IFERROR(INDEX(DATA_MASTER!$C$2:$C$5000,MATCH($C868,DATA_MASTER!$D$2:$D$5000,0)),""))</f>
        <v/>
      </c>
      <c r="E868" s="22">
        <f t="array" ref="E868">IF($C868="","",IFERROR(INDEX(DATA_MASTER!$I$2:$I$5000,MATCH($C868,DATA_MASTER!$D$2:$D$5000,0)),""))</f>
        <v/>
      </c>
      <c r="F868" s="22">
        <f t="array" ref="F868">IF($C868="","",IFERROR(INDEX(DATA_MASTER!$L$2:$L$5000,MATCH($C868,DATA_MASTER!$D$2:$D$5000,0)),""))</f>
        <v/>
      </c>
      <c r="G868" s="24" t="n"/>
      <c r="H868" s="24" t="n"/>
      <c r="I868" s="30" t="n"/>
      <c r="J868" s="23">
        <f>IF(OR($H868="",$I868=""),"",$H868*$I868)</f>
        <v/>
      </c>
      <c r="K868" s="24" t="n"/>
      <c r="L868" s="24" t="n"/>
      <c r="M868" s="29" t="n"/>
      <c r="N868" s="28" t="n"/>
      <c r="O868" s="24" t="n"/>
      <c r="P868" s="24" t="n"/>
      <c r="Q868" s="24" t="n"/>
      <c r="R868" s="24" t="n"/>
      <c r="S868" s="22">
        <f>IF(AND($A868="",$C868=""),"",IF($A868="","Thiếu mã đơn; ","")&amp;IF(COUNTIF($A$2:$A868,$A868)&gt;1,"Trùng mã đơn; ","")&amp;IF(ISNA(MATCH($C868,DATA_MASTER!$D$2:$D$5000,0)),"SĐT chưa đăng ký hội viên; ","")&amp;IF(AND($L868="Đã chuyển khoản",$M868=""),"Thiếu ngày nhận CK; ",""))</f>
        <v/>
      </c>
      <c r="T868" s="24" t="n"/>
    </row>
    <row r="869" ht="14.25" customHeight="1" s="40">
      <c r="A869" s="24" t="n"/>
      <c r="B869" s="29" t="n"/>
      <c r="C869" s="28" t="n"/>
      <c r="D869" s="22">
        <f t="array" ref="D869">IF($C869="","",IFERROR(INDEX(DATA_MASTER!$C$2:$C$5000,MATCH($C869,DATA_MASTER!$D$2:$D$5000,0)),""))</f>
        <v/>
      </c>
      <c r="E869" s="22">
        <f t="array" ref="E869">IF($C869="","",IFERROR(INDEX(DATA_MASTER!$I$2:$I$5000,MATCH($C869,DATA_MASTER!$D$2:$D$5000,0)),""))</f>
        <v/>
      </c>
      <c r="F869" s="22">
        <f t="array" ref="F869">IF($C869="","",IFERROR(INDEX(DATA_MASTER!$L$2:$L$5000,MATCH($C869,DATA_MASTER!$D$2:$D$5000,0)),""))</f>
        <v/>
      </c>
      <c r="G869" s="24" t="n"/>
      <c r="H869" s="24" t="n"/>
      <c r="I869" s="30" t="n"/>
      <c r="J869" s="23">
        <f>IF(OR($H869="",$I869=""),"",$H869*$I869)</f>
        <v/>
      </c>
      <c r="K869" s="24" t="n"/>
      <c r="L869" s="24" t="n"/>
      <c r="M869" s="29" t="n"/>
      <c r="N869" s="28" t="n"/>
      <c r="O869" s="24" t="n"/>
      <c r="P869" s="24" t="n"/>
      <c r="Q869" s="24" t="n"/>
      <c r="R869" s="24" t="n"/>
      <c r="S869" s="22">
        <f>IF(AND($A869="",$C869=""),"",IF($A869="","Thiếu mã đơn; ","")&amp;IF(COUNTIF($A$2:$A869,$A869)&gt;1,"Trùng mã đơn; ","")&amp;IF(ISNA(MATCH($C869,DATA_MASTER!$D$2:$D$5000,0)),"SĐT chưa đăng ký hội viên; ","")&amp;IF(AND($L869="Đã chuyển khoản",$M869=""),"Thiếu ngày nhận CK; ",""))</f>
        <v/>
      </c>
      <c r="T869" s="24" t="n"/>
    </row>
    <row r="870" ht="14.25" customHeight="1" s="40">
      <c r="A870" s="24" t="n"/>
      <c r="B870" s="29" t="n"/>
      <c r="C870" s="28" t="n"/>
      <c r="D870" s="22">
        <f t="array" ref="D870">IF($C870="","",IFERROR(INDEX(DATA_MASTER!$C$2:$C$5000,MATCH($C870,DATA_MASTER!$D$2:$D$5000,0)),""))</f>
        <v/>
      </c>
      <c r="E870" s="22">
        <f t="array" ref="E870">IF($C870="","",IFERROR(INDEX(DATA_MASTER!$I$2:$I$5000,MATCH($C870,DATA_MASTER!$D$2:$D$5000,0)),""))</f>
        <v/>
      </c>
      <c r="F870" s="22">
        <f t="array" ref="F870">IF($C870="","",IFERROR(INDEX(DATA_MASTER!$L$2:$L$5000,MATCH($C870,DATA_MASTER!$D$2:$D$5000,0)),""))</f>
        <v/>
      </c>
      <c r="G870" s="24" t="n"/>
      <c r="H870" s="24" t="n"/>
      <c r="I870" s="30" t="n"/>
      <c r="J870" s="23">
        <f>IF(OR($H870="",$I870=""),"",$H870*$I870)</f>
        <v/>
      </c>
      <c r="K870" s="24" t="n"/>
      <c r="L870" s="24" t="n"/>
      <c r="M870" s="29" t="n"/>
      <c r="N870" s="28" t="n"/>
      <c r="O870" s="24" t="n"/>
      <c r="P870" s="24" t="n"/>
      <c r="Q870" s="24" t="n"/>
      <c r="R870" s="24" t="n"/>
      <c r="S870" s="22">
        <f>IF(AND($A870="",$C870=""),"",IF($A870="","Thiếu mã đơn; ","")&amp;IF(COUNTIF($A$2:$A870,$A870)&gt;1,"Trùng mã đơn; ","")&amp;IF(ISNA(MATCH($C870,DATA_MASTER!$D$2:$D$5000,0)),"SĐT chưa đăng ký hội viên; ","")&amp;IF(AND($L870="Đã chuyển khoản",$M870=""),"Thiếu ngày nhận CK; ",""))</f>
        <v/>
      </c>
      <c r="T870" s="24" t="n"/>
    </row>
    <row r="871" ht="14.25" customHeight="1" s="40">
      <c r="A871" s="24" t="n"/>
      <c r="B871" s="29" t="n"/>
      <c r="C871" s="28" t="n"/>
      <c r="D871" s="22">
        <f t="array" ref="D871">IF($C871="","",IFERROR(INDEX(DATA_MASTER!$C$2:$C$5000,MATCH($C871,DATA_MASTER!$D$2:$D$5000,0)),""))</f>
        <v/>
      </c>
      <c r="E871" s="22">
        <f t="array" ref="E871">IF($C871="","",IFERROR(INDEX(DATA_MASTER!$I$2:$I$5000,MATCH($C871,DATA_MASTER!$D$2:$D$5000,0)),""))</f>
        <v/>
      </c>
      <c r="F871" s="22">
        <f t="array" ref="F871">IF($C871="","",IFERROR(INDEX(DATA_MASTER!$L$2:$L$5000,MATCH($C871,DATA_MASTER!$D$2:$D$5000,0)),""))</f>
        <v/>
      </c>
      <c r="G871" s="24" t="n"/>
      <c r="H871" s="24" t="n"/>
      <c r="I871" s="30" t="n"/>
      <c r="J871" s="23">
        <f>IF(OR($H871="",$I871=""),"",$H871*$I871)</f>
        <v/>
      </c>
      <c r="K871" s="24" t="n"/>
      <c r="L871" s="24" t="n"/>
      <c r="M871" s="29" t="n"/>
      <c r="N871" s="28" t="n"/>
      <c r="O871" s="24" t="n"/>
      <c r="P871" s="24" t="n"/>
      <c r="Q871" s="24" t="n"/>
      <c r="R871" s="24" t="n"/>
      <c r="S871" s="22">
        <f>IF(AND($A871="",$C871=""),"",IF($A871="","Thiếu mã đơn; ","")&amp;IF(COUNTIF($A$2:$A871,$A871)&gt;1,"Trùng mã đơn; ","")&amp;IF(ISNA(MATCH($C871,DATA_MASTER!$D$2:$D$5000,0)),"SĐT chưa đăng ký hội viên; ","")&amp;IF(AND($L871="Đã chuyển khoản",$M871=""),"Thiếu ngày nhận CK; ",""))</f>
        <v/>
      </c>
      <c r="T871" s="24" t="n"/>
    </row>
    <row r="872" ht="14.25" customHeight="1" s="40">
      <c r="A872" s="24" t="n"/>
      <c r="B872" s="29" t="n"/>
      <c r="C872" s="28" t="n"/>
      <c r="D872" s="22">
        <f t="array" ref="D872">IF($C872="","",IFERROR(INDEX(DATA_MASTER!$C$2:$C$5000,MATCH($C872,DATA_MASTER!$D$2:$D$5000,0)),""))</f>
        <v/>
      </c>
      <c r="E872" s="22">
        <f t="array" ref="E872">IF($C872="","",IFERROR(INDEX(DATA_MASTER!$I$2:$I$5000,MATCH($C872,DATA_MASTER!$D$2:$D$5000,0)),""))</f>
        <v/>
      </c>
      <c r="F872" s="22">
        <f t="array" ref="F872">IF($C872="","",IFERROR(INDEX(DATA_MASTER!$L$2:$L$5000,MATCH($C872,DATA_MASTER!$D$2:$D$5000,0)),""))</f>
        <v/>
      </c>
      <c r="G872" s="24" t="n"/>
      <c r="H872" s="24" t="n"/>
      <c r="I872" s="30" t="n"/>
      <c r="J872" s="23">
        <f>IF(OR($H872="",$I872=""),"",$H872*$I872)</f>
        <v/>
      </c>
      <c r="K872" s="24" t="n"/>
      <c r="L872" s="24" t="n"/>
      <c r="M872" s="29" t="n"/>
      <c r="N872" s="28" t="n"/>
      <c r="O872" s="24" t="n"/>
      <c r="P872" s="24" t="n"/>
      <c r="Q872" s="24" t="n"/>
      <c r="R872" s="24" t="n"/>
      <c r="S872" s="22">
        <f>IF(AND($A872="",$C872=""),"",IF($A872="","Thiếu mã đơn; ","")&amp;IF(COUNTIF($A$2:$A872,$A872)&gt;1,"Trùng mã đơn; ","")&amp;IF(ISNA(MATCH($C872,DATA_MASTER!$D$2:$D$5000,0)),"SĐT chưa đăng ký hội viên; ","")&amp;IF(AND($L872="Đã chuyển khoản",$M872=""),"Thiếu ngày nhận CK; ",""))</f>
        <v/>
      </c>
      <c r="T872" s="24" t="n"/>
    </row>
    <row r="873" ht="14.25" customHeight="1" s="40">
      <c r="A873" s="24" t="n"/>
      <c r="B873" s="29" t="n"/>
      <c r="C873" s="28" t="n"/>
      <c r="D873" s="22">
        <f t="array" ref="D873">IF($C873="","",IFERROR(INDEX(DATA_MASTER!$C$2:$C$5000,MATCH($C873,DATA_MASTER!$D$2:$D$5000,0)),""))</f>
        <v/>
      </c>
      <c r="E873" s="22">
        <f t="array" ref="E873">IF($C873="","",IFERROR(INDEX(DATA_MASTER!$I$2:$I$5000,MATCH($C873,DATA_MASTER!$D$2:$D$5000,0)),""))</f>
        <v/>
      </c>
      <c r="F873" s="22">
        <f t="array" ref="F873">IF($C873="","",IFERROR(INDEX(DATA_MASTER!$L$2:$L$5000,MATCH($C873,DATA_MASTER!$D$2:$D$5000,0)),""))</f>
        <v/>
      </c>
      <c r="G873" s="24" t="n"/>
      <c r="H873" s="24" t="n"/>
      <c r="I873" s="30" t="n"/>
      <c r="J873" s="23">
        <f>IF(OR($H873="",$I873=""),"",$H873*$I873)</f>
        <v/>
      </c>
      <c r="K873" s="24" t="n"/>
      <c r="L873" s="24" t="n"/>
      <c r="M873" s="29" t="n"/>
      <c r="N873" s="28" t="n"/>
      <c r="O873" s="24" t="n"/>
      <c r="P873" s="24" t="n"/>
      <c r="Q873" s="24" t="n"/>
      <c r="R873" s="24" t="n"/>
      <c r="S873" s="22">
        <f>IF(AND($A873="",$C873=""),"",IF($A873="","Thiếu mã đơn; ","")&amp;IF(COUNTIF($A$2:$A873,$A873)&gt;1,"Trùng mã đơn; ","")&amp;IF(ISNA(MATCH($C873,DATA_MASTER!$D$2:$D$5000,0)),"SĐT chưa đăng ký hội viên; ","")&amp;IF(AND($L873="Đã chuyển khoản",$M873=""),"Thiếu ngày nhận CK; ",""))</f>
        <v/>
      </c>
      <c r="T873" s="24" t="n"/>
    </row>
    <row r="874" ht="14.25" customHeight="1" s="40">
      <c r="A874" s="24" t="n"/>
      <c r="B874" s="29" t="n"/>
      <c r="C874" s="28" t="n"/>
      <c r="D874" s="22">
        <f t="array" ref="D874">IF($C874="","",IFERROR(INDEX(DATA_MASTER!$C$2:$C$5000,MATCH($C874,DATA_MASTER!$D$2:$D$5000,0)),""))</f>
        <v/>
      </c>
      <c r="E874" s="22">
        <f t="array" ref="E874">IF($C874="","",IFERROR(INDEX(DATA_MASTER!$I$2:$I$5000,MATCH($C874,DATA_MASTER!$D$2:$D$5000,0)),""))</f>
        <v/>
      </c>
      <c r="F874" s="22">
        <f t="array" ref="F874">IF($C874="","",IFERROR(INDEX(DATA_MASTER!$L$2:$L$5000,MATCH($C874,DATA_MASTER!$D$2:$D$5000,0)),""))</f>
        <v/>
      </c>
      <c r="G874" s="24" t="n"/>
      <c r="H874" s="24" t="n"/>
      <c r="I874" s="30" t="n"/>
      <c r="J874" s="23">
        <f>IF(OR($H874="",$I874=""),"",$H874*$I874)</f>
        <v/>
      </c>
      <c r="K874" s="24" t="n"/>
      <c r="L874" s="24" t="n"/>
      <c r="M874" s="29" t="n"/>
      <c r="N874" s="28" t="n"/>
      <c r="O874" s="24" t="n"/>
      <c r="P874" s="24" t="n"/>
      <c r="Q874" s="24" t="n"/>
      <c r="R874" s="24" t="n"/>
      <c r="S874" s="22">
        <f>IF(AND($A874="",$C874=""),"",IF($A874="","Thiếu mã đơn; ","")&amp;IF(COUNTIF($A$2:$A874,$A874)&gt;1,"Trùng mã đơn; ","")&amp;IF(ISNA(MATCH($C874,DATA_MASTER!$D$2:$D$5000,0)),"SĐT chưa đăng ký hội viên; ","")&amp;IF(AND($L874="Đã chuyển khoản",$M874=""),"Thiếu ngày nhận CK; ",""))</f>
        <v/>
      </c>
      <c r="T874" s="24" t="n"/>
    </row>
    <row r="875" ht="14.25" customHeight="1" s="40">
      <c r="A875" s="24" t="n"/>
      <c r="B875" s="29" t="n"/>
      <c r="C875" s="28" t="n"/>
      <c r="D875" s="22">
        <f t="array" ref="D875">IF($C875="","",IFERROR(INDEX(DATA_MASTER!$C$2:$C$5000,MATCH($C875,DATA_MASTER!$D$2:$D$5000,0)),""))</f>
        <v/>
      </c>
      <c r="E875" s="22">
        <f t="array" ref="E875">IF($C875="","",IFERROR(INDEX(DATA_MASTER!$I$2:$I$5000,MATCH($C875,DATA_MASTER!$D$2:$D$5000,0)),""))</f>
        <v/>
      </c>
      <c r="F875" s="22">
        <f t="array" ref="F875">IF($C875="","",IFERROR(INDEX(DATA_MASTER!$L$2:$L$5000,MATCH($C875,DATA_MASTER!$D$2:$D$5000,0)),""))</f>
        <v/>
      </c>
      <c r="G875" s="24" t="n"/>
      <c r="H875" s="24" t="n"/>
      <c r="I875" s="30" t="n"/>
      <c r="J875" s="23">
        <f>IF(OR($H875="",$I875=""),"",$H875*$I875)</f>
        <v/>
      </c>
      <c r="K875" s="24" t="n"/>
      <c r="L875" s="24" t="n"/>
      <c r="M875" s="29" t="n"/>
      <c r="N875" s="28" t="n"/>
      <c r="O875" s="24" t="n"/>
      <c r="P875" s="24" t="n"/>
      <c r="Q875" s="24" t="n"/>
      <c r="R875" s="24" t="n"/>
      <c r="S875" s="22">
        <f>IF(AND($A875="",$C875=""),"",IF($A875="","Thiếu mã đơn; ","")&amp;IF(COUNTIF($A$2:$A875,$A875)&gt;1,"Trùng mã đơn; ","")&amp;IF(ISNA(MATCH($C875,DATA_MASTER!$D$2:$D$5000,0)),"SĐT chưa đăng ký hội viên; ","")&amp;IF(AND($L875="Đã chuyển khoản",$M875=""),"Thiếu ngày nhận CK; ",""))</f>
        <v/>
      </c>
      <c r="T875" s="24" t="n"/>
    </row>
    <row r="876" ht="14.25" customHeight="1" s="40">
      <c r="A876" s="24" t="n"/>
      <c r="B876" s="29" t="n"/>
      <c r="C876" s="28" t="n"/>
      <c r="D876" s="22">
        <f t="array" ref="D876">IF($C876="","",IFERROR(INDEX(DATA_MASTER!$C$2:$C$5000,MATCH($C876,DATA_MASTER!$D$2:$D$5000,0)),""))</f>
        <v/>
      </c>
      <c r="E876" s="22">
        <f t="array" ref="E876">IF($C876="","",IFERROR(INDEX(DATA_MASTER!$I$2:$I$5000,MATCH($C876,DATA_MASTER!$D$2:$D$5000,0)),""))</f>
        <v/>
      </c>
      <c r="F876" s="22">
        <f t="array" ref="F876">IF($C876="","",IFERROR(INDEX(DATA_MASTER!$L$2:$L$5000,MATCH($C876,DATA_MASTER!$D$2:$D$5000,0)),""))</f>
        <v/>
      </c>
      <c r="G876" s="24" t="n"/>
      <c r="H876" s="24" t="n"/>
      <c r="I876" s="30" t="n"/>
      <c r="J876" s="23">
        <f>IF(OR($H876="",$I876=""),"",$H876*$I876)</f>
        <v/>
      </c>
      <c r="K876" s="24" t="n"/>
      <c r="L876" s="24" t="n"/>
      <c r="M876" s="29" t="n"/>
      <c r="N876" s="28" t="n"/>
      <c r="O876" s="24" t="n"/>
      <c r="P876" s="24" t="n"/>
      <c r="Q876" s="24" t="n"/>
      <c r="R876" s="24" t="n"/>
      <c r="S876" s="22">
        <f>IF(AND($A876="",$C876=""),"",IF($A876="","Thiếu mã đơn; ","")&amp;IF(COUNTIF($A$2:$A876,$A876)&gt;1,"Trùng mã đơn; ","")&amp;IF(ISNA(MATCH($C876,DATA_MASTER!$D$2:$D$5000,0)),"SĐT chưa đăng ký hội viên; ","")&amp;IF(AND($L876="Đã chuyển khoản",$M876=""),"Thiếu ngày nhận CK; ",""))</f>
        <v/>
      </c>
      <c r="T876" s="24" t="n"/>
    </row>
    <row r="877" ht="14.25" customHeight="1" s="40">
      <c r="A877" s="24" t="n"/>
      <c r="B877" s="29" t="n"/>
      <c r="C877" s="28" t="n"/>
      <c r="D877" s="22">
        <f t="array" ref="D877">IF($C877="","",IFERROR(INDEX(DATA_MASTER!$C$2:$C$5000,MATCH($C877,DATA_MASTER!$D$2:$D$5000,0)),""))</f>
        <v/>
      </c>
      <c r="E877" s="22">
        <f t="array" ref="E877">IF($C877="","",IFERROR(INDEX(DATA_MASTER!$I$2:$I$5000,MATCH($C877,DATA_MASTER!$D$2:$D$5000,0)),""))</f>
        <v/>
      </c>
      <c r="F877" s="22">
        <f t="array" ref="F877">IF($C877="","",IFERROR(INDEX(DATA_MASTER!$L$2:$L$5000,MATCH($C877,DATA_MASTER!$D$2:$D$5000,0)),""))</f>
        <v/>
      </c>
      <c r="G877" s="24" t="n"/>
      <c r="H877" s="24" t="n"/>
      <c r="I877" s="30" t="n"/>
      <c r="J877" s="23">
        <f>IF(OR($H877="",$I877=""),"",$H877*$I877)</f>
        <v/>
      </c>
      <c r="K877" s="24" t="n"/>
      <c r="L877" s="24" t="n"/>
      <c r="M877" s="29" t="n"/>
      <c r="N877" s="28" t="n"/>
      <c r="O877" s="24" t="n"/>
      <c r="P877" s="24" t="n"/>
      <c r="Q877" s="24" t="n"/>
      <c r="R877" s="24" t="n"/>
      <c r="S877" s="22">
        <f>IF(AND($A877="",$C877=""),"",IF($A877="","Thiếu mã đơn; ","")&amp;IF(COUNTIF($A$2:$A877,$A877)&gt;1,"Trùng mã đơn; ","")&amp;IF(ISNA(MATCH($C877,DATA_MASTER!$D$2:$D$5000,0)),"SĐT chưa đăng ký hội viên; ","")&amp;IF(AND($L877="Đã chuyển khoản",$M877=""),"Thiếu ngày nhận CK; ",""))</f>
        <v/>
      </c>
      <c r="T877" s="24" t="n"/>
    </row>
    <row r="878" ht="14.25" customHeight="1" s="40">
      <c r="A878" s="24" t="n"/>
      <c r="B878" s="29" t="n"/>
      <c r="C878" s="28" t="n"/>
      <c r="D878" s="22">
        <f t="array" ref="D878">IF($C878="","",IFERROR(INDEX(DATA_MASTER!$C$2:$C$5000,MATCH($C878,DATA_MASTER!$D$2:$D$5000,0)),""))</f>
        <v/>
      </c>
      <c r="E878" s="22">
        <f t="array" ref="E878">IF($C878="","",IFERROR(INDEX(DATA_MASTER!$I$2:$I$5000,MATCH($C878,DATA_MASTER!$D$2:$D$5000,0)),""))</f>
        <v/>
      </c>
      <c r="F878" s="22">
        <f t="array" ref="F878">IF($C878="","",IFERROR(INDEX(DATA_MASTER!$L$2:$L$5000,MATCH($C878,DATA_MASTER!$D$2:$D$5000,0)),""))</f>
        <v/>
      </c>
      <c r="G878" s="24" t="n"/>
      <c r="H878" s="24" t="n"/>
      <c r="I878" s="30" t="n"/>
      <c r="J878" s="23">
        <f>IF(OR($H878="",$I878=""),"",$H878*$I878)</f>
        <v/>
      </c>
      <c r="K878" s="24" t="n"/>
      <c r="L878" s="24" t="n"/>
      <c r="M878" s="29" t="n"/>
      <c r="N878" s="28" t="n"/>
      <c r="O878" s="24" t="n"/>
      <c r="P878" s="24" t="n"/>
      <c r="Q878" s="24" t="n"/>
      <c r="R878" s="24" t="n"/>
      <c r="S878" s="22">
        <f>IF(AND($A878="",$C878=""),"",IF($A878="","Thiếu mã đơn; ","")&amp;IF(COUNTIF($A$2:$A878,$A878)&gt;1,"Trùng mã đơn; ","")&amp;IF(ISNA(MATCH($C878,DATA_MASTER!$D$2:$D$5000,0)),"SĐT chưa đăng ký hội viên; ","")&amp;IF(AND($L878="Đã chuyển khoản",$M878=""),"Thiếu ngày nhận CK; ",""))</f>
        <v/>
      </c>
      <c r="T878" s="24" t="n"/>
    </row>
    <row r="879" ht="14.25" customHeight="1" s="40">
      <c r="A879" s="24" t="n"/>
      <c r="B879" s="29" t="n"/>
      <c r="C879" s="28" t="n"/>
      <c r="D879" s="22">
        <f t="array" ref="D879">IF($C879="","",IFERROR(INDEX(DATA_MASTER!$C$2:$C$5000,MATCH($C879,DATA_MASTER!$D$2:$D$5000,0)),""))</f>
        <v/>
      </c>
      <c r="E879" s="22">
        <f t="array" ref="E879">IF($C879="","",IFERROR(INDEX(DATA_MASTER!$I$2:$I$5000,MATCH($C879,DATA_MASTER!$D$2:$D$5000,0)),""))</f>
        <v/>
      </c>
      <c r="F879" s="22">
        <f t="array" ref="F879">IF($C879="","",IFERROR(INDEX(DATA_MASTER!$L$2:$L$5000,MATCH($C879,DATA_MASTER!$D$2:$D$5000,0)),""))</f>
        <v/>
      </c>
      <c r="G879" s="24" t="n"/>
      <c r="H879" s="24" t="n"/>
      <c r="I879" s="30" t="n"/>
      <c r="J879" s="23">
        <f>IF(OR($H879="",$I879=""),"",$H879*$I879)</f>
        <v/>
      </c>
      <c r="K879" s="24" t="n"/>
      <c r="L879" s="24" t="n"/>
      <c r="M879" s="29" t="n"/>
      <c r="N879" s="28" t="n"/>
      <c r="O879" s="24" t="n"/>
      <c r="P879" s="24" t="n"/>
      <c r="Q879" s="24" t="n"/>
      <c r="R879" s="24" t="n"/>
      <c r="S879" s="22">
        <f>IF(AND($A879="",$C879=""),"",IF($A879="","Thiếu mã đơn; ","")&amp;IF(COUNTIF($A$2:$A879,$A879)&gt;1,"Trùng mã đơn; ","")&amp;IF(ISNA(MATCH($C879,DATA_MASTER!$D$2:$D$5000,0)),"SĐT chưa đăng ký hội viên; ","")&amp;IF(AND($L879="Đã chuyển khoản",$M879=""),"Thiếu ngày nhận CK; ",""))</f>
        <v/>
      </c>
      <c r="T879" s="24" t="n"/>
    </row>
    <row r="880" ht="14.25" customHeight="1" s="40">
      <c r="A880" s="24" t="n"/>
      <c r="B880" s="29" t="n"/>
      <c r="C880" s="28" t="n"/>
      <c r="D880" s="22">
        <f t="array" ref="D880">IF($C880="","",IFERROR(INDEX(DATA_MASTER!$C$2:$C$5000,MATCH($C880,DATA_MASTER!$D$2:$D$5000,0)),""))</f>
        <v/>
      </c>
      <c r="E880" s="22">
        <f t="array" ref="E880">IF($C880="","",IFERROR(INDEX(DATA_MASTER!$I$2:$I$5000,MATCH($C880,DATA_MASTER!$D$2:$D$5000,0)),""))</f>
        <v/>
      </c>
      <c r="F880" s="22">
        <f t="array" ref="F880">IF($C880="","",IFERROR(INDEX(DATA_MASTER!$L$2:$L$5000,MATCH($C880,DATA_MASTER!$D$2:$D$5000,0)),""))</f>
        <v/>
      </c>
      <c r="G880" s="24" t="n"/>
      <c r="H880" s="24" t="n"/>
      <c r="I880" s="30" t="n"/>
      <c r="J880" s="23">
        <f>IF(OR($H880="",$I880=""),"",$H880*$I880)</f>
        <v/>
      </c>
      <c r="K880" s="24" t="n"/>
      <c r="L880" s="24" t="n"/>
      <c r="M880" s="29" t="n"/>
      <c r="N880" s="28" t="n"/>
      <c r="O880" s="24" t="n"/>
      <c r="P880" s="24" t="n"/>
      <c r="Q880" s="24" t="n"/>
      <c r="R880" s="24" t="n"/>
      <c r="S880" s="22">
        <f>IF(AND($A880="",$C880=""),"",IF($A880="","Thiếu mã đơn; ","")&amp;IF(COUNTIF($A$2:$A880,$A880)&gt;1,"Trùng mã đơn; ","")&amp;IF(ISNA(MATCH($C880,DATA_MASTER!$D$2:$D$5000,0)),"SĐT chưa đăng ký hội viên; ","")&amp;IF(AND($L880="Đã chuyển khoản",$M880=""),"Thiếu ngày nhận CK; ",""))</f>
        <v/>
      </c>
      <c r="T880" s="24" t="n"/>
    </row>
    <row r="881" ht="14.25" customHeight="1" s="40">
      <c r="A881" s="24" t="n"/>
      <c r="B881" s="29" t="n"/>
      <c r="C881" s="28" t="n"/>
      <c r="D881" s="22">
        <f t="array" ref="D881">IF($C881="","",IFERROR(INDEX(DATA_MASTER!$C$2:$C$5000,MATCH($C881,DATA_MASTER!$D$2:$D$5000,0)),""))</f>
        <v/>
      </c>
      <c r="E881" s="22">
        <f t="array" ref="E881">IF($C881="","",IFERROR(INDEX(DATA_MASTER!$I$2:$I$5000,MATCH($C881,DATA_MASTER!$D$2:$D$5000,0)),""))</f>
        <v/>
      </c>
      <c r="F881" s="22">
        <f t="array" ref="F881">IF($C881="","",IFERROR(INDEX(DATA_MASTER!$L$2:$L$5000,MATCH($C881,DATA_MASTER!$D$2:$D$5000,0)),""))</f>
        <v/>
      </c>
      <c r="G881" s="24" t="n"/>
      <c r="H881" s="24" t="n"/>
      <c r="I881" s="30" t="n"/>
      <c r="J881" s="23">
        <f>IF(OR($H881="",$I881=""),"",$H881*$I881)</f>
        <v/>
      </c>
      <c r="K881" s="24" t="n"/>
      <c r="L881" s="24" t="n"/>
      <c r="M881" s="29" t="n"/>
      <c r="N881" s="28" t="n"/>
      <c r="O881" s="24" t="n"/>
      <c r="P881" s="24" t="n"/>
      <c r="Q881" s="24" t="n"/>
      <c r="R881" s="24" t="n"/>
      <c r="S881" s="22">
        <f>IF(AND($A881="",$C881=""),"",IF($A881="","Thiếu mã đơn; ","")&amp;IF(COUNTIF($A$2:$A881,$A881)&gt;1,"Trùng mã đơn; ","")&amp;IF(ISNA(MATCH($C881,DATA_MASTER!$D$2:$D$5000,0)),"SĐT chưa đăng ký hội viên; ","")&amp;IF(AND($L881="Đã chuyển khoản",$M881=""),"Thiếu ngày nhận CK; ",""))</f>
        <v/>
      </c>
      <c r="T881" s="24" t="n"/>
    </row>
    <row r="882" ht="14.25" customHeight="1" s="40">
      <c r="A882" s="24" t="n"/>
      <c r="B882" s="29" t="n"/>
      <c r="C882" s="28" t="n"/>
      <c r="D882" s="22">
        <f t="array" ref="D882">IF($C882="","",IFERROR(INDEX(DATA_MASTER!$C$2:$C$5000,MATCH($C882,DATA_MASTER!$D$2:$D$5000,0)),""))</f>
        <v/>
      </c>
      <c r="E882" s="22">
        <f t="array" ref="E882">IF($C882="","",IFERROR(INDEX(DATA_MASTER!$I$2:$I$5000,MATCH($C882,DATA_MASTER!$D$2:$D$5000,0)),""))</f>
        <v/>
      </c>
      <c r="F882" s="22">
        <f t="array" ref="F882">IF($C882="","",IFERROR(INDEX(DATA_MASTER!$L$2:$L$5000,MATCH($C882,DATA_MASTER!$D$2:$D$5000,0)),""))</f>
        <v/>
      </c>
      <c r="G882" s="24" t="n"/>
      <c r="H882" s="24" t="n"/>
      <c r="I882" s="30" t="n"/>
      <c r="J882" s="23">
        <f>IF(OR($H882="",$I882=""),"",$H882*$I882)</f>
        <v/>
      </c>
      <c r="K882" s="24" t="n"/>
      <c r="L882" s="24" t="n"/>
      <c r="M882" s="29" t="n"/>
      <c r="N882" s="28" t="n"/>
      <c r="O882" s="24" t="n"/>
      <c r="P882" s="24" t="n"/>
      <c r="Q882" s="24" t="n"/>
      <c r="R882" s="24" t="n"/>
      <c r="S882" s="22">
        <f>IF(AND($A882="",$C882=""),"",IF($A882="","Thiếu mã đơn; ","")&amp;IF(COUNTIF($A$2:$A882,$A882)&gt;1,"Trùng mã đơn; ","")&amp;IF(ISNA(MATCH($C882,DATA_MASTER!$D$2:$D$5000,0)),"SĐT chưa đăng ký hội viên; ","")&amp;IF(AND($L882="Đã chuyển khoản",$M882=""),"Thiếu ngày nhận CK; ",""))</f>
        <v/>
      </c>
      <c r="T882" s="24" t="n"/>
    </row>
    <row r="883" ht="14.25" customHeight="1" s="40">
      <c r="A883" s="24" t="n"/>
      <c r="B883" s="29" t="n"/>
      <c r="C883" s="28" t="n"/>
      <c r="D883" s="22">
        <f t="array" ref="D883">IF($C883="","",IFERROR(INDEX(DATA_MASTER!$C$2:$C$5000,MATCH($C883,DATA_MASTER!$D$2:$D$5000,0)),""))</f>
        <v/>
      </c>
      <c r="E883" s="22">
        <f t="array" ref="E883">IF($C883="","",IFERROR(INDEX(DATA_MASTER!$I$2:$I$5000,MATCH($C883,DATA_MASTER!$D$2:$D$5000,0)),""))</f>
        <v/>
      </c>
      <c r="F883" s="22">
        <f t="array" ref="F883">IF($C883="","",IFERROR(INDEX(DATA_MASTER!$L$2:$L$5000,MATCH($C883,DATA_MASTER!$D$2:$D$5000,0)),""))</f>
        <v/>
      </c>
      <c r="G883" s="24" t="n"/>
      <c r="H883" s="24" t="n"/>
      <c r="I883" s="30" t="n"/>
      <c r="J883" s="23">
        <f>IF(OR($H883="",$I883=""),"",$H883*$I883)</f>
        <v/>
      </c>
      <c r="K883" s="24" t="n"/>
      <c r="L883" s="24" t="n"/>
      <c r="M883" s="29" t="n"/>
      <c r="N883" s="28" t="n"/>
      <c r="O883" s="24" t="n"/>
      <c r="P883" s="24" t="n"/>
      <c r="Q883" s="24" t="n"/>
      <c r="R883" s="24" t="n"/>
      <c r="S883" s="22">
        <f>IF(AND($A883="",$C883=""),"",IF($A883="","Thiếu mã đơn; ","")&amp;IF(COUNTIF($A$2:$A883,$A883)&gt;1,"Trùng mã đơn; ","")&amp;IF(ISNA(MATCH($C883,DATA_MASTER!$D$2:$D$5000,0)),"SĐT chưa đăng ký hội viên; ","")&amp;IF(AND($L883="Đã chuyển khoản",$M883=""),"Thiếu ngày nhận CK; ",""))</f>
        <v/>
      </c>
      <c r="T883" s="24" t="n"/>
    </row>
    <row r="884" ht="14.25" customHeight="1" s="40">
      <c r="A884" s="24" t="n"/>
      <c r="B884" s="29" t="n"/>
      <c r="C884" s="28" t="n"/>
      <c r="D884" s="22">
        <f t="array" ref="D884">IF($C884="","",IFERROR(INDEX(DATA_MASTER!$C$2:$C$5000,MATCH($C884,DATA_MASTER!$D$2:$D$5000,0)),""))</f>
        <v/>
      </c>
      <c r="E884" s="22">
        <f t="array" ref="E884">IF($C884="","",IFERROR(INDEX(DATA_MASTER!$I$2:$I$5000,MATCH($C884,DATA_MASTER!$D$2:$D$5000,0)),""))</f>
        <v/>
      </c>
      <c r="F884" s="22">
        <f t="array" ref="F884">IF($C884="","",IFERROR(INDEX(DATA_MASTER!$L$2:$L$5000,MATCH($C884,DATA_MASTER!$D$2:$D$5000,0)),""))</f>
        <v/>
      </c>
      <c r="G884" s="24" t="n"/>
      <c r="H884" s="24" t="n"/>
      <c r="I884" s="30" t="n"/>
      <c r="J884" s="23">
        <f>IF(OR($H884="",$I884=""),"",$H884*$I884)</f>
        <v/>
      </c>
      <c r="K884" s="24" t="n"/>
      <c r="L884" s="24" t="n"/>
      <c r="M884" s="29" t="n"/>
      <c r="N884" s="28" t="n"/>
      <c r="O884" s="24" t="n"/>
      <c r="P884" s="24" t="n"/>
      <c r="Q884" s="24" t="n"/>
      <c r="R884" s="24" t="n"/>
      <c r="S884" s="22">
        <f>IF(AND($A884="",$C884=""),"",IF($A884="","Thiếu mã đơn; ","")&amp;IF(COUNTIF($A$2:$A884,$A884)&gt;1,"Trùng mã đơn; ","")&amp;IF(ISNA(MATCH($C884,DATA_MASTER!$D$2:$D$5000,0)),"SĐT chưa đăng ký hội viên; ","")&amp;IF(AND($L884="Đã chuyển khoản",$M884=""),"Thiếu ngày nhận CK; ",""))</f>
        <v/>
      </c>
      <c r="T884" s="24" t="n"/>
    </row>
    <row r="885" ht="14.25" customHeight="1" s="40">
      <c r="A885" s="24" t="n"/>
      <c r="B885" s="29" t="n"/>
      <c r="C885" s="28" t="n"/>
      <c r="D885" s="22">
        <f t="array" ref="D885">IF($C885="","",IFERROR(INDEX(DATA_MASTER!$C$2:$C$5000,MATCH($C885,DATA_MASTER!$D$2:$D$5000,0)),""))</f>
        <v/>
      </c>
      <c r="E885" s="22">
        <f t="array" ref="E885">IF($C885="","",IFERROR(INDEX(DATA_MASTER!$I$2:$I$5000,MATCH($C885,DATA_MASTER!$D$2:$D$5000,0)),""))</f>
        <v/>
      </c>
      <c r="F885" s="22">
        <f t="array" ref="F885">IF($C885="","",IFERROR(INDEX(DATA_MASTER!$L$2:$L$5000,MATCH($C885,DATA_MASTER!$D$2:$D$5000,0)),""))</f>
        <v/>
      </c>
      <c r="G885" s="24" t="n"/>
      <c r="H885" s="24" t="n"/>
      <c r="I885" s="30" t="n"/>
      <c r="J885" s="23">
        <f>IF(OR($H885="",$I885=""),"",$H885*$I885)</f>
        <v/>
      </c>
      <c r="K885" s="24" t="n"/>
      <c r="L885" s="24" t="n"/>
      <c r="M885" s="29" t="n"/>
      <c r="N885" s="28" t="n"/>
      <c r="O885" s="24" t="n"/>
      <c r="P885" s="24" t="n"/>
      <c r="Q885" s="24" t="n"/>
      <c r="R885" s="24" t="n"/>
      <c r="S885" s="22">
        <f>IF(AND($A885="",$C885=""),"",IF($A885="","Thiếu mã đơn; ","")&amp;IF(COUNTIF($A$2:$A885,$A885)&gt;1,"Trùng mã đơn; ","")&amp;IF(ISNA(MATCH($C885,DATA_MASTER!$D$2:$D$5000,0)),"SĐT chưa đăng ký hội viên; ","")&amp;IF(AND($L885="Đã chuyển khoản",$M885=""),"Thiếu ngày nhận CK; ",""))</f>
        <v/>
      </c>
      <c r="T885" s="24" t="n"/>
    </row>
    <row r="886" ht="14.25" customHeight="1" s="40">
      <c r="A886" s="24" t="n"/>
      <c r="B886" s="29" t="n"/>
      <c r="C886" s="28" t="n"/>
      <c r="D886" s="22">
        <f t="array" ref="D886">IF($C886="","",IFERROR(INDEX(DATA_MASTER!$C$2:$C$5000,MATCH($C886,DATA_MASTER!$D$2:$D$5000,0)),""))</f>
        <v/>
      </c>
      <c r="E886" s="22">
        <f t="array" ref="E886">IF($C886="","",IFERROR(INDEX(DATA_MASTER!$I$2:$I$5000,MATCH($C886,DATA_MASTER!$D$2:$D$5000,0)),""))</f>
        <v/>
      </c>
      <c r="F886" s="22">
        <f t="array" ref="F886">IF($C886="","",IFERROR(INDEX(DATA_MASTER!$L$2:$L$5000,MATCH($C886,DATA_MASTER!$D$2:$D$5000,0)),""))</f>
        <v/>
      </c>
      <c r="G886" s="24" t="n"/>
      <c r="H886" s="24" t="n"/>
      <c r="I886" s="30" t="n"/>
      <c r="J886" s="23">
        <f>IF(OR($H886="",$I886=""),"",$H886*$I886)</f>
        <v/>
      </c>
      <c r="K886" s="24" t="n"/>
      <c r="L886" s="24" t="n"/>
      <c r="M886" s="29" t="n"/>
      <c r="N886" s="28" t="n"/>
      <c r="O886" s="24" t="n"/>
      <c r="P886" s="24" t="n"/>
      <c r="Q886" s="24" t="n"/>
      <c r="R886" s="24" t="n"/>
      <c r="S886" s="22">
        <f>IF(AND($A886="",$C886=""),"",IF($A886="","Thiếu mã đơn; ","")&amp;IF(COUNTIF($A$2:$A886,$A886)&gt;1,"Trùng mã đơn; ","")&amp;IF(ISNA(MATCH($C886,DATA_MASTER!$D$2:$D$5000,0)),"SĐT chưa đăng ký hội viên; ","")&amp;IF(AND($L886="Đã chuyển khoản",$M886=""),"Thiếu ngày nhận CK; ",""))</f>
        <v/>
      </c>
      <c r="T886" s="24" t="n"/>
    </row>
    <row r="887" ht="14.25" customHeight="1" s="40">
      <c r="A887" s="24" t="n"/>
      <c r="B887" s="29" t="n"/>
      <c r="C887" s="28" t="n"/>
      <c r="D887" s="22">
        <f t="array" ref="D887">IF($C887="","",IFERROR(INDEX(DATA_MASTER!$C$2:$C$5000,MATCH($C887,DATA_MASTER!$D$2:$D$5000,0)),""))</f>
        <v/>
      </c>
      <c r="E887" s="22">
        <f t="array" ref="E887">IF($C887="","",IFERROR(INDEX(DATA_MASTER!$I$2:$I$5000,MATCH($C887,DATA_MASTER!$D$2:$D$5000,0)),""))</f>
        <v/>
      </c>
      <c r="F887" s="22">
        <f t="array" ref="F887">IF($C887="","",IFERROR(INDEX(DATA_MASTER!$L$2:$L$5000,MATCH($C887,DATA_MASTER!$D$2:$D$5000,0)),""))</f>
        <v/>
      </c>
      <c r="G887" s="24" t="n"/>
      <c r="H887" s="24" t="n"/>
      <c r="I887" s="30" t="n"/>
      <c r="J887" s="23">
        <f>IF(OR($H887="",$I887=""),"",$H887*$I887)</f>
        <v/>
      </c>
      <c r="K887" s="24" t="n"/>
      <c r="L887" s="24" t="n"/>
      <c r="M887" s="29" t="n"/>
      <c r="N887" s="28" t="n"/>
      <c r="O887" s="24" t="n"/>
      <c r="P887" s="24" t="n"/>
      <c r="Q887" s="24" t="n"/>
      <c r="R887" s="24" t="n"/>
      <c r="S887" s="22">
        <f>IF(AND($A887="",$C887=""),"",IF($A887="","Thiếu mã đơn; ","")&amp;IF(COUNTIF($A$2:$A887,$A887)&gt;1,"Trùng mã đơn; ","")&amp;IF(ISNA(MATCH($C887,DATA_MASTER!$D$2:$D$5000,0)),"SĐT chưa đăng ký hội viên; ","")&amp;IF(AND($L887="Đã chuyển khoản",$M887=""),"Thiếu ngày nhận CK; ",""))</f>
        <v/>
      </c>
      <c r="T887" s="24" t="n"/>
    </row>
    <row r="888" ht="14.25" customHeight="1" s="40">
      <c r="A888" s="24" t="n"/>
      <c r="B888" s="29" t="n"/>
      <c r="C888" s="28" t="n"/>
      <c r="D888" s="22">
        <f t="array" ref="D888">IF($C888="","",IFERROR(INDEX(DATA_MASTER!$C$2:$C$5000,MATCH($C888,DATA_MASTER!$D$2:$D$5000,0)),""))</f>
        <v/>
      </c>
      <c r="E888" s="22">
        <f t="array" ref="E888">IF($C888="","",IFERROR(INDEX(DATA_MASTER!$I$2:$I$5000,MATCH($C888,DATA_MASTER!$D$2:$D$5000,0)),""))</f>
        <v/>
      </c>
      <c r="F888" s="22">
        <f t="array" ref="F888">IF($C888="","",IFERROR(INDEX(DATA_MASTER!$L$2:$L$5000,MATCH($C888,DATA_MASTER!$D$2:$D$5000,0)),""))</f>
        <v/>
      </c>
      <c r="G888" s="24" t="n"/>
      <c r="H888" s="24" t="n"/>
      <c r="I888" s="30" t="n"/>
      <c r="J888" s="23">
        <f>IF(OR($H888="",$I888=""),"",$H888*$I888)</f>
        <v/>
      </c>
      <c r="K888" s="24" t="n"/>
      <c r="L888" s="24" t="n"/>
      <c r="M888" s="29" t="n"/>
      <c r="N888" s="28" t="n"/>
      <c r="O888" s="24" t="n"/>
      <c r="P888" s="24" t="n"/>
      <c r="Q888" s="24" t="n"/>
      <c r="R888" s="24" t="n"/>
      <c r="S888" s="22">
        <f>IF(AND($A888="",$C888=""),"",IF($A888="","Thiếu mã đơn; ","")&amp;IF(COUNTIF($A$2:$A888,$A888)&gt;1,"Trùng mã đơn; ","")&amp;IF(ISNA(MATCH($C888,DATA_MASTER!$D$2:$D$5000,0)),"SĐT chưa đăng ký hội viên; ","")&amp;IF(AND($L888="Đã chuyển khoản",$M888=""),"Thiếu ngày nhận CK; ",""))</f>
        <v/>
      </c>
      <c r="T888" s="24" t="n"/>
    </row>
    <row r="889" ht="14.25" customHeight="1" s="40">
      <c r="A889" s="24" t="n"/>
      <c r="B889" s="29" t="n"/>
      <c r="C889" s="28" t="n"/>
      <c r="D889" s="22">
        <f t="array" ref="D889">IF($C889="","",IFERROR(INDEX(DATA_MASTER!$C$2:$C$5000,MATCH($C889,DATA_MASTER!$D$2:$D$5000,0)),""))</f>
        <v/>
      </c>
      <c r="E889" s="22">
        <f t="array" ref="E889">IF($C889="","",IFERROR(INDEX(DATA_MASTER!$I$2:$I$5000,MATCH($C889,DATA_MASTER!$D$2:$D$5000,0)),""))</f>
        <v/>
      </c>
      <c r="F889" s="22">
        <f t="array" ref="F889">IF($C889="","",IFERROR(INDEX(DATA_MASTER!$L$2:$L$5000,MATCH($C889,DATA_MASTER!$D$2:$D$5000,0)),""))</f>
        <v/>
      </c>
      <c r="G889" s="24" t="n"/>
      <c r="H889" s="24" t="n"/>
      <c r="I889" s="30" t="n"/>
      <c r="J889" s="23">
        <f>IF(OR($H889="",$I889=""),"",$H889*$I889)</f>
        <v/>
      </c>
      <c r="K889" s="24" t="n"/>
      <c r="L889" s="24" t="n"/>
      <c r="M889" s="29" t="n"/>
      <c r="N889" s="28" t="n"/>
      <c r="O889" s="24" t="n"/>
      <c r="P889" s="24" t="n"/>
      <c r="Q889" s="24" t="n"/>
      <c r="R889" s="24" t="n"/>
      <c r="S889" s="22">
        <f>IF(AND($A889="",$C889=""),"",IF($A889="","Thiếu mã đơn; ","")&amp;IF(COUNTIF($A$2:$A889,$A889)&gt;1,"Trùng mã đơn; ","")&amp;IF(ISNA(MATCH($C889,DATA_MASTER!$D$2:$D$5000,0)),"SĐT chưa đăng ký hội viên; ","")&amp;IF(AND($L889="Đã chuyển khoản",$M889=""),"Thiếu ngày nhận CK; ",""))</f>
        <v/>
      </c>
      <c r="T889" s="24" t="n"/>
    </row>
    <row r="890" ht="14.25" customHeight="1" s="40">
      <c r="A890" s="24" t="n"/>
      <c r="B890" s="29" t="n"/>
      <c r="C890" s="28" t="n"/>
      <c r="D890" s="22">
        <f t="array" ref="D890">IF($C890="","",IFERROR(INDEX(DATA_MASTER!$C$2:$C$5000,MATCH($C890,DATA_MASTER!$D$2:$D$5000,0)),""))</f>
        <v/>
      </c>
      <c r="E890" s="22">
        <f t="array" ref="E890">IF($C890="","",IFERROR(INDEX(DATA_MASTER!$I$2:$I$5000,MATCH($C890,DATA_MASTER!$D$2:$D$5000,0)),""))</f>
        <v/>
      </c>
      <c r="F890" s="22">
        <f t="array" ref="F890">IF($C890="","",IFERROR(INDEX(DATA_MASTER!$L$2:$L$5000,MATCH($C890,DATA_MASTER!$D$2:$D$5000,0)),""))</f>
        <v/>
      </c>
      <c r="G890" s="24" t="n"/>
      <c r="H890" s="24" t="n"/>
      <c r="I890" s="30" t="n"/>
      <c r="J890" s="23">
        <f>IF(OR($H890="",$I890=""),"",$H890*$I890)</f>
        <v/>
      </c>
      <c r="K890" s="24" t="n"/>
      <c r="L890" s="24" t="n"/>
      <c r="M890" s="29" t="n"/>
      <c r="N890" s="28" t="n"/>
      <c r="O890" s="24" t="n"/>
      <c r="P890" s="24" t="n"/>
      <c r="Q890" s="24" t="n"/>
      <c r="R890" s="24" t="n"/>
      <c r="S890" s="22">
        <f>IF(AND($A890="",$C890=""),"",IF($A890="","Thiếu mã đơn; ","")&amp;IF(COUNTIF($A$2:$A890,$A890)&gt;1,"Trùng mã đơn; ","")&amp;IF(ISNA(MATCH($C890,DATA_MASTER!$D$2:$D$5000,0)),"SĐT chưa đăng ký hội viên; ","")&amp;IF(AND($L890="Đã chuyển khoản",$M890=""),"Thiếu ngày nhận CK; ",""))</f>
        <v/>
      </c>
      <c r="T890" s="24" t="n"/>
    </row>
    <row r="891" ht="14.25" customHeight="1" s="40">
      <c r="A891" s="24" t="n"/>
      <c r="B891" s="29" t="n"/>
      <c r="C891" s="28" t="n"/>
      <c r="D891" s="22">
        <f t="array" ref="D891">IF($C891="","",IFERROR(INDEX(DATA_MASTER!$C$2:$C$5000,MATCH($C891,DATA_MASTER!$D$2:$D$5000,0)),""))</f>
        <v/>
      </c>
      <c r="E891" s="22">
        <f t="array" ref="E891">IF($C891="","",IFERROR(INDEX(DATA_MASTER!$I$2:$I$5000,MATCH($C891,DATA_MASTER!$D$2:$D$5000,0)),""))</f>
        <v/>
      </c>
      <c r="F891" s="22">
        <f t="array" ref="F891">IF($C891="","",IFERROR(INDEX(DATA_MASTER!$L$2:$L$5000,MATCH($C891,DATA_MASTER!$D$2:$D$5000,0)),""))</f>
        <v/>
      </c>
      <c r="G891" s="24" t="n"/>
      <c r="H891" s="24" t="n"/>
      <c r="I891" s="30" t="n"/>
      <c r="J891" s="23">
        <f>IF(OR($H891="",$I891=""),"",$H891*$I891)</f>
        <v/>
      </c>
      <c r="K891" s="24" t="n"/>
      <c r="L891" s="24" t="n"/>
      <c r="M891" s="29" t="n"/>
      <c r="N891" s="28" t="n"/>
      <c r="O891" s="24" t="n"/>
      <c r="P891" s="24" t="n"/>
      <c r="Q891" s="24" t="n"/>
      <c r="R891" s="24" t="n"/>
      <c r="S891" s="22">
        <f>IF(AND($A891="",$C891=""),"",IF($A891="","Thiếu mã đơn; ","")&amp;IF(COUNTIF($A$2:$A891,$A891)&gt;1,"Trùng mã đơn; ","")&amp;IF(ISNA(MATCH($C891,DATA_MASTER!$D$2:$D$5000,0)),"SĐT chưa đăng ký hội viên; ","")&amp;IF(AND($L891="Đã chuyển khoản",$M891=""),"Thiếu ngày nhận CK; ",""))</f>
        <v/>
      </c>
      <c r="T891" s="24" t="n"/>
    </row>
    <row r="892" ht="14.25" customHeight="1" s="40">
      <c r="A892" s="24" t="n"/>
      <c r="B892" s="29" t="n"/>
      <c r="C892" s="28" t="n"/>
      <c r="D892" s="22">
        <f t="array" ref="D892">IF($C892="","",IFERROR(INDEX(DATA_MASTER!$C$2:$C$5000,MATCH($C892,DATA_MASTER!$D$2:$D$5000,0)),""))</f>
        <v/>
      </c>
      <c r="E892" s="22">
        <f t="array" ref="E892">IF($C892="","",IFERROR(INDEX(DATA_MASTER!$I$2:$I$5000,MATCH($C892,DATA_MASTER!$D$2:$D$5000,0)),""))</f>
        <v/>
      </c>
      <c r="F892" s="22">
        <f t="array" ref="F892">IF($C892="","",IFERROR(INDEX(DATA_MASTER!$L$2:$L$5000,MATCH($C892,DATA_MASTER!$D$2:$D$5000,0)),""))</f>
        <v/>
      </c>
      <c r="G892" s="24" t="n"/>
      <c r="H892" s="24" t="n"/>
      <c r="I892" s="30" t="n"/>
      <c r="J892" s="23">
        <f>IF(OR($H892="",$I892=""),"",$H892*$I892)</f>
        <v/>
      </c>
      <c r="K892" s="24" t="n"/>
      <c r="L892" s="24" t="n"/>
      <c r="M892" s="29" t="n"/>
      <c r="N892" s="28" t="n"/>
      <c r="O892" s="24" t="n"/>
      <c r="P892" s="24" t="n"/>
      <c r="Q892" s="24" t="n"/>
      <c r="R892" s="24" t="n"/>
      <c r="S892" s="22">
        <f>IF(AND($A892="",$C892=""),"",IF($A892="","Thiếu mã đơn; ","")&amp;IF(COUNTIF($A$2:$A892,$A892)&gt;1,"Trùng mã đơn; ","")&amp;IF(ISNA(MATCH($C892,DATA_MASTER!$D$2:$D$5000,0)),"SĐT chưa đăng ký hội viên; ","")&amp;IF(AND($L892="Đã chuyển khoản",$M892=""),"Thiếu ngày nhận CK; ",""))</f>
        <v/>
      </c>
      <c r="T892" s="24" t="n"/>
    </row>
    <row r="893" ht="14.25" customHeight="1" s="40">
      <c r="A893" s="24" t="n"/>
      <c r="B893" s="29" t="n"/>
      <c r="C893" s="28" t="n"/>
      <c r="D893" s="22">
        <f t="array" ref="D893">IF($C893="","",IFERROR(INDEX(DATA_MASTER!$C$2:$C$5000,MATCH($C893,DATA_MASTER!$D$2:$D$5000,0)),""))</f>
        <v/>
      </c>
      <c r="E893" s="22">
        <f t="array" ref="E893">IF($C893="","",IFERROR(INDEX(DATA_MASTER!$I$2:$I$5000,MATCH($C893,DATA_MASTER!$D$2:$D$5000,0)),""))</f>
        <v/>
      </c>
      <c r="F893" s="22">
        <f t="array" ref="F893">IF($C893="","",IFERROR(INDEX(DATA_MASTER!$L$2:$L$5000,MATCH($C893,DATA_MASTER!$D$2:$D$5000,0)),""))</f>
        <v/>
      </c>
      <c r="G893" s="24" t="n"/>
      <c r="H893" s="24" t="n"/>
      <c r="I893" s="30" t="n"/>
      <c r="J893" s="23">
        <f>IF(OR($H893="",$I893=""),"",$H893*$I893)</f>
        <v/>
      </c>
      <c r="K893" s="24" t="n"/>
      <c r="L893" s="24" t="n"/>
      <c r="M893" s="29" t="n"/>
      <c r="N893" s="28" t="n"/>
      <c r="O893" s="24" t="n"/>
      <c r="P893" s="24" t="n"/>
      <c r="Q893" s="24" t="n"/>
      <c r="R893" s="24" t="n"/>
      <c r="S893" s="22">
        <f>IF(AND($A893="",$C893=""),"",IF($A893="","Thiếu mã đơn; ","")&amp;IF(COUNTIF($A$2:$A893,$A893)&gt;1,"Trùng mã đơn; ","")&amp;IF(ISNA(MATCH($C893,DATA_MASTER!$D$2:$D$5000,0)),"SĐT chưa đăng ký hội viên; ","")&amp;IF(AND($L893="Đã chuyển khoản",$M893=""),"Thiếu ngày nhận CK; ",""))</f>
        <v/>
      </c>
      <c r="T893" s="24" t="n"/>
    </row>
    <row r="894" ht="14.25" customHeight="1" s="40">
      <c r="A894" s="24" t="n"/>
      <c r="B894" s="29" t="n"/>
      <c r="C894" s="28" t="n"/>
      <c r="D894" s="22">
        <f t="array" ref="D894">IF($C894="","",IFERROR(INDEX(DATA_MASTER!$C$2:$C$5000,MATCH($C894,DATA_MASTER!$D$2:$D$5000,0)),""))</f>
        <v/>
      </c>
      <c r="E894" s="22">
        <f t="array" ref="E894">IF($C894="","",IFERROR(INDEX(DATA_MASTER!$I$2:$I$5000,MATCH($C894,DATA_MASTER!$D$2:$D$5000,0)),""))</f>
        <v/>
      </c>
      <c r="F894" s="22">
        <f t="array" ref="F894">IF($C894="","",IFERROR(INDEX(DATA_MASTER!$L$2:$L$5000,MATCH($C894,DATA_MASTER!$D$2:$D$5000,0)),""))</f>
        <v/>
      </c>
      <c r="G894" s="24" t="n"/>
      <c r="H894" s="24" t="n"/>
      <c r="I894" s="30" t="n"/>
      <c r="J894" s="23">
        <f>IF(OR($H894="",$I894=""),"",$H894*$I894)</f>
        <v/>
      </c>
      <c r="K894" s="24" t="n"/>
      <c r="L894" s="24" t="n"/>
      <c r="M894" s="29" t="n"/>
      <c r="N894" s="28" t="n"/>
      <c r="O894" s="24" t="n"/>
      <c r="P894" s="24" t="n"/>
      <c r="Q894" s="24" t="n"/>
      <c r="R894" s="24" t="n"/>
      <c r="S894" s="22">
        <f>IF(AND($A894="",$C894=""),"",IF($A894="","Thiếu mã đơn; ","")&amp;IF(COUNTIF($A$2:$A894,$A894)&gt;1,"Trùng mã đơn; ","")&amp;IF(ISNA(MATCH($C894,DATA_MASTER!$D$2:$D$5000,0)),"SĐT chưa đăng ký hội viên; ","")&amp;IF(AND($L894="Đã chuyển khoản",$M894=""),"Thiếu ngày nhận CK; ",""))</f>
        <v/>
      </c>
      <c r="T894" s="24" t="n"/>
    </row>
    <row r="895" ht="14.25" customHeight="1" s="40">
      <c r="A895" s="24" t="n"/>
      <c r="B895" s="29" t="n"/>
      <c r="C895" s="28" t="n"/>
      <c r="D895" s="22">
        <f t="array" ref="D895">IF($C895="","",IFERROR(INDEX(DATA_MASTER!$C$2:$C$5000,MATCH($C895,DATA_MASTER!$D$2:$D$5000,0)),""))</f>
        <v/>
      </c>
      <c r="E895" s="22">
        <f t="array" ref="E895">IF($C895="","",IFERROR(INDEX(DATA_MASTER!$I$2:$I$5000,MATCH($C895,DATA_MASTER!$D$2:$D$5000,0)),""))</f>
        <v/>
      </c>
      <c r="F895" s="22">
        <f t="array" ref="F895">IF($C895="","",IFERROR(INDEX(DATA_MASTER!$L$2:$L$5000,MATCH($C895,DATA_MASTER!$D$2:$D$5000,0)),""))</f>
        <v/>
      </c>
      <c r="G895" s="24" t="n"/>
      <c r="H895" s="24" t="n"/>
      <c r="I895" s="30" t="n"/>
      <c r="J895" s="23">
        <f>IF(OR($H895="",$I895=""),"",$H895*$I895)</f>
        <v/>
      </c>
      <c r="K895" s="24" t="n"/>
      <c r="L895" s="24" t="n"/>
      <c r="M895" s="29" t="n"/>
      <c r="N895" s="28" t="n"/>
      <c r="O895" s="24" t="n"/>
      <c r="P895" s="24" t="n"/>
      <c r="Q895" s="24" t="n"/>
      <c r="R895" s="24" t="n"/>
      <c r="S895" s="22">
        <f>IF(AND($A895="",$C895=""),"",IF($A895="","Thiếu mã đơn; ","")&amp;IF(COUNTIF($A$2:$A895,$A895)&gt;1,"Trùng mã đơn; ","")&amp;IF(ISNA(MATCH($C895,DATA_MASTER!$D$2:$D$5000,0)),"SĐT chưa đăng ký hội viên; ","")&amp;IF(AND($L895="Đã chuyển khoản",$M895=""),"Thiếu ngày nhận CK; ",""))</f>
        <v/>
      </c>
      <c r="T895" s="24" t="n"/>
    </row>
    <row r="896" ht="14.25" customHeight="1" s="40">
      <c r="A896" s="24" t="n"/>
      <c r="B896" s="29" t="n"/>
      <c r="C896" s="28" t="n"/>
      <c r="D896" s="22">
        <f t="array" ref="D896">IF($C896="","",IFERROR(INDEX(DATA_MASTER!$C$2:$C$5000,MATCH($C896,DATA_MASTER!$D$2:$D$5000,0)),""))</f>
        <v/>
      </c>
      <c r="E896" s="22">
        <f t="array" ref="E896">IF($C896="","",IFERROR(INDEX(DATA_MASTER!$I$2:$I$5000,MATCH($C896,DATA_MASTER!$D$2:$D$5000,0)),""))</f>
        <v/>
      </c>
      <c r="F896" s="22">
        <f t="array" ref="F896">IF($C896="","",IFERROR(INDEX(DATA_MASTER!$L$2:$L$5000,MATCH($C896,DATA_MASTER!$D$2:$D$5000,0)),""))</f>
        <v/>
      </c>
      <c r="G896" s="24" t="n"/>
      <c r="H896" s="24" t="n"/>
      <c r="I896" s="30" t="n"/>
      <c r="J896" s="23">
        <f>IF(OR($H896="",$I896=""),"",$H896*$I896)</f>
        <v/>
      </c>
      <c r="K896" s="24" t="n"/>
      <c r="L896" s="24" t="n"/>
      <c r="M896" s="29" t="n"/>
      <c r="N896" s="28" t="n"/>
      <c r="O896" s="24" t="n"/>
      <c r="P896" s="24" t="n"/>
      <c r="Q896" s="24" t="n"/>
      <c r="R896" s="24" t="n"/>
      <c r="S896" s="22">
        <f>IF(AND($A896="",$C896=""),"",IF($A896="","Thiếu mã đơn; ","")&amp;IF(COUNTIF($A$2:$A896,$A896)&gt;1,"Trùng mã đơn; ","")&amp;IF(ISNA(MATCH($C896,DATA_MASTER!$D$2:$D$5000,0)),"SĐT chưa đăng ký hội viên; ","")&amp;IF(AND($L896="Đã chuyển khoản",$M896=""),"Thiếu ngày nhận CK; ",""))</f>
        <v/>
      </c>
      <c r="T896" s="24" t="n"/>
    </row>
    <row r="897" ht="14.25" customHeight="1" s="40">
      <c r="A897" s="24" t="n"/>
      <c r="B897" s="29" t="n"/>
      <c r="C897" s="28" t="n"/>
      <c r="D897" s="22">
        <f t="array" ref="D897">IF($C897="","",IFERROR(INDEX(DATA_MASTER!$C$2:$C$5000,MATCH($C897,DATA_MASTER!$D$2:$D$5000,0)),""))</f>
        <v/>
      </c>
      <c r="E897" s="22">
        <f t="array" ref="E897">IF($C897="","",IFERROR(INDEX(DATA_MASTER!$I$2:$I$5000,MATCH($C897,DATA_MASTER!$D$2:$D$5000,0)),""))</f>
        <v/>
      </c>
      <c r="F897" s="22">
        <f t="array" ref="F897">IF($C897="","",IFERROR(INDEX(DATA_MASTER!$L$2:$L$5000,MATCH($C897,DATA_MASTER!$D$2:$D$5000,0)),""))</f>
        <v/>
      </c>
      <c r="G897" s="24" t="n"/>
      <c r="H897" s="24" t="n"/>
      <c r="I897" s="30" t="n"/>
      <c r="J897" s="23">
        <f>IF(OR($H897="",$I897=""),"",$H897*$I897)</f>
        <v/>
      </c>
      <c r="K897" s="24" t="n"/>
      <c r="L897" s="24" t="n"/>
      <c r="M897" s="29" t="n"/>
      <c r="N897" s="28" t="n"/>
      <c r="O897" s="24" t="n"/>
      <c r="P897" s="24" t="n"/>
      <c r="Q897" s="24" t="n"/>
      <c r="R897" s="24" t="n"/>
      <c r="S897" s="22">
        <f>IF(AND($A897="",$C897=""),"",IF($A897="","Thiếu mã đơn; ","")&amp;IF(COUNTIF($A$2:$A897,$A897)&gt;1,"Trùng mã đơn; ","")&amp;IF(ISNA(MATCH($C897,DATA_MASTER!$D$2:$D$5000,0)),"SĐT chưa đăng ký hội viên; ","")&amp;IF(AND($L897="Đã chuyển khoản",$M897=""),"Thiếu ngày nhận CK; ",""))</f>
        <v/>
      </c>
      <c r="T897" s="24" t="n"/>
    </row>
    <row r="898" ht="14.25" customHeight="1" s="40">
      <c r="A898" s="24" t="n"/>
      <c r="B898" s="29" t="n"/>
      <c r="C898" s="28" t="n"/>
      <c r="D898" s="22">
        <f t="array" ref="D898">IF($C898="","",IFERROR(INDEX(DATA_MASTER!$C$2:$C$5000,MATCH($C898,DATA_MASTER!$D$2:$D$5000,0)),""))</f>
        <v/>
      </c>
      <c r="E898" s="22">
        <f t="array" ref="E898">IF($C898="","",IFERROR(INDEX(DATA_MASTER!$I$2:$I$5000,MATCH($C898,DATA_MASTER!$D$2:$D$5000,0)),""))</f>
        <v/>
      </c>
      <c r="F898" s="22">
        <f t="array" ref="F898">IF($C898="","",IFERROR(INDEX(DATA_MASTER!$L$2:$L$5000,MATCH($C898,DATA_MASTER!$D$2:$D$5000,0)),""))</f>
        <v/>
      </c>
      <c r="G898" s="24" t="n"/>
      <c r="H898" s="24" t="n"/>
      <c r="I898" s="30" t="n"/>
      <c r="J898" s="23">
        <f>IF(OR($H898="",$I898=""),"",$H898*$I898)</f>
        <v/>
      </c>
      <c r="K898" s="24" t="n"/>
      <c r="L898" s="24" t="n"/>
      <c r="M898" s="29" t="n"/>
      <c r="N898" s="28" t="n"/>
      <c r="O898" s="24" t="n"/>
      <c r="P898" s="24" t="n"/>
      <c r="Q898" s="24" t="n"/>
      <c r="R898" s="24" t="n"/>
      <c r="S898" s="22">
        <f>IF(AND($A898="",$C898=""),"",IF($A898="","Thiếu mã đơn; ","")&amp;IF(COUNTIF($A$2:$A898,$A898)&gt;1,"Trùng mã đơn; ","")&amp;IF(ISNA(MATCH($C898,DATA_MASTER!$D$2:$D$5000,0)),"SĐT chưa đăng ký hội viên; ","")&amp;IF(AND($L898="Đã chuyển khoản",$M898=""),"Thiếu ngày nhận CK; ",""))</f>
        <v/>
      </c>
      <c r="T898" s="24" t="n"/>
    </row>
    <row r="899" ht="14.25" customHeight="1" s="40">
      <c r="A899" s="24" t="n"/>
      <c r="B899" s="29" t="n"/>
      <c r="C899" s="28" t="n"/>
      <c r="D899" s="22">
        <f t="array" ref="D899">IF($C899="","",IFERROR(INDEX(DATA_MASTER!$C$2:$C$5000,MATCH($C899,DATA_MASTER!$D$2:$D$5000,0)),""))</f>
        <v/>
      </c>
      <c r="E899" s="22">
        <f t="array" ref="E899">IF($C899="","",IFERROR(INDEX(DATA_MASTER!$I$2:$I$5000,MATCH($C899,DATA_MASTER!$D$2:$D$5000,0)),""))</f>
        <v/>
      </c>
      <c r="F899" s="22">
        <f t="array" ref="F899">IF($C899="","",IFERROR(INDEX(DATA_MASTER!$L$2:$L$5000,MATCH($C899,DATA_MASTER!$D$2:$D$5000,0)),""))</f>
        <v/>
      </c>
      <c r="G899" s="24" t="n"/>
      <c r="H899" s="24" t="n"/>
      <c r="I899" s="30" t="n"/>
      <c r="J899" s="23">
        <f>IF(OR($H899="",$I899=""),"",$H899*$I899)</f>
        <v/>
      </c>
      <c r="K899" s="24" t="n"/>
      <c r="L899" s="24" t="n"/>
      <c r="M899" s="29" t="n"/>
      <c r="N899" s="28" t="n"/>
      <c r="O899" s="24" t="n"/>
      <c r="P899" s="24" t="n"/>
      <c r="Q899" s="24" t="n"/>
      <c r="R899" s="24" t="n"/>
      <c r="S899" s="22">
        <f>IF(AND($A899="",$C899=""),"",IF($A899="","Thiếu mã đơn; ","")&amp;IF(COUNTIF($A$2:$A899,$A899)&gt;1,"Trùng mã đơn; ","")&amp;IF(ISNA(MATCH($C899,DATA_MASTER!$D$2:$D$5000,0)),"SĐT chưa đăng ký hội viên; ","")&amp;IF(AND($L899="Đã chuyển khoản",$M899=""),"Thiếu ngày nhận CK; ",""))</f>
        <v/>
      </c>
      <c r="T899" s="24" t="n"/>
    </row>
    <row r="900" ht="14.25" customHeight="1" s="40">
      <c r="A900" s="24" t="n"/>
      <c r="B900" s="29" t="n"/>
      <c r="C900" s="28" t="n"/>
      <c r="D900" s="22">
        <f t="array" ref="D900">IF($C900="","",IFERROR(INDEX(DATA_MASTER!$C$2:$C$5000,MATCH($C900,DATA_MASTER!$D$2:$D$5000,0)),""))</f>
        <v/>
      </c>
      <c r="E900" s="22">
        <f t="array" ref="E900">IF($C900="","",IFERROR(INDEX(DATA_MASTER!$I$2:$I$5000,MATCH($C900,DATA_MASTER!$D$2:$D$5000,0)),""))</f>
        <v/>
      </c>
      <c r="F900" s="22">
        <f t="array" ref="F900">IF($C900="","",IFERROR(INDEX(DATA_MASTER!$L$2:$L$5000,MATCH($C900,DATA_MASTER!$D$2:$D$5000,0)),""))</f>
        <v/>
      </c>
      <c r="G900" s="24" t="n"/>
      <c r="H900" s="24" t="n"/>
      <c r="I900" s="30" t="n"/>
      <c r="J900" s="23">
        <f>IF(OR($H900="",$I900=""),"",$H900*$I900)</f>
        <v/>
      </c>
      <c r="K900" s="24" t="n"/>
      <c r="L900" s="24" t="n"/>
      <c r="M900" s="29" t="n"/>
      <c r="N900" s="28" t="n"/>
      <c r="O900" s="24" t="n"/>
      <c r="P900" s="24" t="n"/>
      <c r="Q900" s="24" t="n"/>
      <c r="R900" s="24" t="n"/>
      <c r="S900" s="22">
        <f>IF(AND($A900="",$C900=""),"",IF($A900="","Thiếu mã đơn; ","")&amp;IF(COUNTIF($A$2:$A900,$A900)&gt;1,"Trùng mã đơn; ","")&amp;IF(ISNA(MATCH($C900,DATA_MASTER!$D$2:$D$5000,0)),"SĐT chưa đăng ký hội viên; ","")&amp;IF(AND($L900="Đã chuyển khoản",$M900=""),"Thiếu ngày nhận CK; ",""))</f>
        <v/>
      </c>
      <c r="T900" s="24" t="n"/>
    </row>
    <row r="901" ht="14.25" customHeight="1" s="40">
      <c r="A901" s="24" t="n"/>
      <c r="B901" s="29" t="n"/>
      <c r="C901" s="28" t="n"/>
      <c r="D901" s="22">
        <f t="array" ref="D901">IF($C901="","",IFERROR(INDEX(DATA_MASTER!$C$2:$C$5000,MATCH($C901,DATA_MASTER!$D$2:$D$5000,0)),""))</f>
        <v/>
      </c>
      <c r="E901" s="22">
        <f t="array" ref="E901">IF($C901="","",IFERROR(INDEX(DATA_MASTER!$I$2:$I$5000,MATCH($C901,DATA_MASTER!$D$2:$D$5000,0)),""))</f>
        <v/>
      </c>
      <c r="F901" s="22">
        <f t="array" ref="F901">IF($C901="","",IFERROR(INDEX(DATA_MASTER!$L$2:$L$5000,MATCH($C901,DATA_MASTER!$D$2:$D$5000,0)),""))</f>
        <v/>
      </c>
      <c r="G901" s="24" t="n"/>
      <c r="H901" s="24" t="n"/>
      <c r="I901" s="30" t="n"/>
      <c r="J901" s="23">
        <f>IF(OR($H901="",$I901=""),"",$H901*$I901)</f>
        <v/>
      </c>
      <c r="K901" s="24" t="n"/>
      <c r="L901" s="24" t="n"/>
      <c r="M901" s="29" t="n"/>
      <c r="N901" s="28" t="n"/>
      <c r="O901" s="24" t="n"/>
      <c r="P901" s="24" t="n"/>
      <c r="Q901" s="24" t="n"/>
      <c r="R901" s="24" t="n"/>
      <c r="S901" s="22">
        <f>IF(AND($A901="",$C901=""),"",IF($A901="","Thiếu mã đơn; ","")&amp;IF(COUNTIF($A$2:$A901,$A901)&gt;1,"Trùng mã đơn; ","")&amp;IF(ISNA(MATCH($C901,DATA_MASTER!$D$2:$D$5000,0)),"SĐT chưa đăng ký hội viên; ","")&amp;IF(AND($L901="Đã chuyển khoản",$M901=""),"Thiếu ngày nhận CK; ",""))</f>
        <v/>
      </c>
      <c r="T901" s="24" t="n"/>
    </row>
    <row r="902" ht="14.25" customHeight="1" s="40">
      <c r="A902" s="24" t="n"/>
      <c r="B902" s="29" t="n"/>
      <c r="C902" s="28" t="n"/>
      <c r="D902" s="22">
        <f t="array" ref="D902">IF($C902="","",IFERROR(INDEX(DATA_MASTER!$C$2:$C$5000,MATCH($C902,DATA_MASTER!$D$2:$D$5000,0)),""))</f>
        <v/>
      </c>
      <c r="E902" s="22">
        <f t="array" ref="E902">IF($C902="","",IFERROR(INDEX(DATA_MASTER!$I$2:$I$5000,MATCH($C902,DATA_MASTER!$D$2:$D$5000,0)),""))</f>
        <v/>
      </c>
      <c r="F902" s="22">
        <f t="array" ref="F902">IF($C902="","",IFERROR(INDEX(DATA_MASTER!$L$2:$L$5000,MATCH($C902,DATA_MASTER!$D$2:$D$5000,0)),""))</f>
        <v/>
      </c>
      <c r="G902" s="24" t="n"/>
      <c r="H902" s="24" t="n"/>
      <c r="I902" s="30" t="n"/>
      <c r="J902" s="23">
        <f>IF(OR($H902="",$I902=""),"",$H902*$I902)</f>
        <v/>
      </c>
      <c r="K902" s="24" t="n"/>
      <c r="L902" s="24" t="n"/>
      <c r="M902" s="29" t="n"/>
      <c r="N902" s="28" t="n"/>
      <c r="O902" s="24" t="n"/>
      <c r="P902" s="24" t="n"/>
      <c r="Q902" s="24" t="n"/>
      <c r="R902" s="24" t="n"/>
      <c r="S902" s="22">
        <f>IF(AND($A902="",$C902=""),"",IF($A902="","Thiếu mã đơn; ","")&amp;IF(COUNTIF($A$2:$A902,$A902)&gt;1,"Trùng mã đơn; ","")&amp;IF(ISNA(MATCH($C902,DATA_MASTER!$D$2:$D$5000,0)),"SĐT chưa đăng ký hội viên; ","")&amp;IF(AND($L902="Đã chuyển khoản",$M902=""),"Thiếu ngày nhận CK; ",""))</f>
        <v/>
      </c>
      <c r="T902" s="24" t="n"/>
    </row>
    <row r="903" ht="14.25" customHeight="1" s="40">
      <c r="A903" s="24" t="n"/>
      <c r="B903" s="29" t="n"/>
      <c r="C903" s="28" t="n"/>
      <c r="D903" s="22">
        <f t="array" ref="D903">IF($C903="","",IFERROR(INDEX(DATA_MASTER!$C$2:$C$5000,MATCH($C903,DATA_MASTER!$D$2:$D$5000,0)),""))</f>
        <v/>
      </c>
      <c r="E903" s="22">
        <f t="array" ref="E903">IF($C903="","",IFERROR(INDEX(DATA_MASTER!$I$2:$I$5000,MATCH($C903,DATA_MASTER!$D$2:$D$5000,0)),""))</f>
        <v/>
      </c>
      <c r="F903" s="22">
        <f t="array" ref="F903">IF($C903="","",IFERROR(INDEX(DATA_MASTER!$L$2:$L$5000,MATCH($C903,DATA_MASTER!$D$2:$D$5000,0)),""))</f>
        <v/>
      </c>
      <c r="G903" s="24" t="n"/>
      <c r="H903" s="24" t="n"/>
      <c r="I903" s="30" t="n"/>
      <c r="J903" s="23">
        <f>IF(OR($H903="",$I903=""),"",$H903*$I903)</f>
        <v/>
      </c>
      <c r="K903" s="24" t="n"/>
      <c r="L903" s="24" t="n"/>
      <c r="M903" s="29" t="n"/>
      <c r="N903" s="28" t="n"/>
      <c r="O903" s="24" t="n"/>
      <c r="P903" s="24" t="n"/>
      <c r="Q903" s="24" t="n"/>
      <c r="R903" s="24" t="n"/>
      <c r="S903" s="22">
        <f>IF(AND($A903="",$C903=""),"",IF($A903="","Thiếu mã đơn; ","")&amp;IF(COUNTIF($A$2:$A903,$A903)&gt;1,"Trùng mã đơn; ","")&amp;IF(ISNA(MATCH($C903,DATA_MASTER!$D$2:$D$5000,0)),"SĐT chưa đăng ký hội viên; ","")&amp;IF(AND($L903="Đã chuyển khoản",$M903=""),"Thiếu ngày nhận CK; ",""))</f>
        <v/>
      </c>
      <c r="T903" s="24" t="n"/>
    </row>
    <row r="904" ht="14.25" customHeight="1" s="40">
      <c r="A904" s="24" t="n"/>
      <c r="B904" s="29" t="n"/>
      <c r="C904" s="28" t="n"/>
      <c r="D904" s="22">
        <f t="array" ref="D904">IF($C904="","",IFERROR(INDEX(DATA_MASTER!$C$2:$C$5000,MATCH($C904,DATA_MASTER!$D$2:$D$5000,0)),""))</f>
        <v/>
      </c>
      <c r="E904" s="22">
        <f t="array" ref="E904">IF($C904="","",IFERROR(INDEX(DATA_MASTER!$I$2:$I$5000,MATCH($C904,DATA_MASTER!$D$2:$D$5000,0)),""))</f>
        <v/>
      </c>
      <c r="F904" s="22">
        <f t="array" ref="F904">IF($C904="","",IFERROR(INDEX(DATA_MASTER!$L$2:$L$5000,MATCH($C904,DATA_MASTER!$D$2:$D$5000,0)),""))</f>
        <v/>
      </c>
      <c r="G904" s="24" t="n"/>
      <c r="H904" s="24" t="n"/>
      <c r="I904" s="30" t="n"/>
      <c r="J904" s="23">
        <f>IF(OR($H904="",$I904=""),"",$H904*$I904)</f>
        <v/>
      </c>
      <c r="K904" s="24" t="n"/>
      <c r="L904" s="24" t="n"/>
      <c r="M904" s="29" t="n"/>
      <c r="N904" s="28" t="n"/>
      <c r="O904" s="24" t="n"/>
      <c r="P904" s="24" t="n"/>
      <c r="Q904" s="24" t="n"/>
      <c r="R904" s="24" t="n"/>
      <c r="S904" s="22">
        <f>IF(AND($A904="",$C904=""),"",IF($A904="","Thiếu mã đơn; ","")&amp;IF(COUNTIF($A$2:$A904,$A904)&gt;1,"Trùng mã đơn; ","")&amp;IF(ISNA(MATCH($C904,DATA_MASTER!$D$2:$D$5000,0)),"SĐT chưa đăng ký hội viên; ","")&amp;IF(AND($L904="Đã chuyển khoản",$M904=""),"Thiếu ngày nhận CK; ",""))</f>
        <v/>
      </c>
      <c r="T904" s="24" t="n"/>
    </row>
    <row r="905" ht="14.25" customHeight="1" s="40">
      <c r="A905" s="24" t="n"/>
      <c r="B905" s="29" t="n"/>
      <c r="C905" s="28" t="n"/>
      <c r="D905" s="22">
        <f t="array" ref="D905">IF($C905="","",IFERROR(INDEX(DATA_MASTER!$C$2:$C$5000,MATCH($C905,DATA_MASTER!$D$2:$D$5000,0)),""))</f>
        <v/>
      </c>
      <c r="E905" s="22">
        <f t="array" ref="E905">IF($C905="","",IFERROR(INDEX(DATA_MASTER!$I$2:$I$5000,MATCH($C905,DATA_MASTER!$D$2:$D$5000,0)),""))</f>
        <v/>
      </c>
      <c r="F905" s="22">
        <f t="array" ref="F905">IF($C905="","",IFERROR(INDEX(DATA_MASTER!$L$2:$L$5000,MATCH($C905,DATA_MASTER!$D$2:$D$5000,0)),""))</f>
        <v/>
      </c>
      <c r="G905" s="24" t="n"/>
      <c r="H905" s="24" t="n"/>
      <c r="I905" s="30" t="n"/>
      <c r="J905" s="23">
        <f>IF(OR($H905="",$I905=""),"",$H905*$I905)</f>
        <v/>
      </c>
      <c r="K905" s="24" t="n"/>
      <c r="L905" s="24" t="n"/>
      <c r="M905" s="29" t="n"/>
      <c r="N905" s="28" t="n"/>
      <c r="O905" s="24" t="n"/>
      <c r="P905" s="24" t="n"/>
      <c r="Q905" s="24" t="n"/>
      <c r="R905" s="24" t="n"/>
      <c r="S905" s="22">
        <f>IF(AND($A905="",$C905=""),"",IF($A905="","Thiếu mã đơn; ","")&amp;IF(COUNTIF($A$2:$A905,$A905)&gt;1,"Trùng mã đơn; ","")&amp;IF(ISNA(MATCH($C905,DATA_MASTER!$D$2:$D$5000,0)),"SĐT chưa đăng ký hội viên; ","")&amp;IF(AND($L905="Đã chuyển khoản",$M905=""),"Thiếu ngày nhận CK; ",""))</f>
        <v/>
      </c>
      <c r="T905" s="24" t="n"/>
    </row>
    <row r="906" ht="14.25" customHeight="1" s="40">
      <c r="A906" s="24" t="n"/>
      <c r="B906" s="29" t="n"/>
      <c r="C906" s="28" t="n"/>
      <c r="D906" s="22">
        <f t="array" ref="D906">IF($C906="","",IFERROR(INDEX(DATA_MASTER!$C$2:$C$5000,MATCH($C906,DATA_MASTER!$D$2:$D$5000,0)),""))</f>
        <v/>
      </c>
      <c r="E906" s="22">
        <f t="array" ref="E906">IF($C906="","",IFERROR(INDEX(DATA_MASTER!$I$2:$I$5000,MATCH($C906,DATA_MASTER!$D$2:$D$5000,0)),""))</f>
        <v/>
      </c>
      <c r="F906" s="22">
        <f t="array" ref="F906">IF($C906="","",IFERROR(INDEX(DATA_MASTER!$L$2:$L$5000,MATCH($C906,DATA_MASTER!$D$2:$D$5000,0)),""))</f>
        <v/>
      </c>
      <c r="G906" s="24" t="n"/>
      <c r="H906" s="24" t="n"/>
      <c r="I906" s="30" t="n"/>
      <c r="J906" s="23">
        <f>IF(OR($H906="",$I906=""),"",$H906*$I906)</f>
        <v/>
      </c>
      <c r="K906" s="24" t="n"/>
      <c r="L906" s="24" t="n"/>
      <c r="M906" s="29" t="n"/>
      <c r="N906" s="28" t="n"/>
      <c r="O906" s="24" t="n"/>
      <c r="P906" s="24" t="n"/>
      <c r="Q906" s="24" t="n"/>
      <c r="R906" s="24" t="n"/>
      <c r="S906" s="22">
        <f>IF(AND($A906="",$C906=""),"",IF($A906="","Thiếu mã đơn; ","")&amp;IF(COUNTIF($A$2:$A906,$A906)&gt;1,"Trùng mã đơn; ","")&amp;IF(ISNA(MATCH($C906,DATA_MASTER!$D$2:$D$5000,0)),"SĐT chưa đăng ký hội viên; ","")&amp;IF(AND($L906="Đã chuyển khoản",$M906=""),"Thiếu ngày nhận CK; ",""))</f>
        <v/>
      </c>
      <c r="T906" s="24" t="n"/>
    </row>
    <row r="907" ht="14.25" customHeight="1" s="40">
      <c r="A907" s="24" t="n"/>
      <c r="B907" s="29" t="n"/>
      <c r="C907" s="28" t="n"/>
      <c r="D907" s="22">
        <f t="array" ref="D907">IF($C907="","",IFERROR(INDEX(DATA_MASTER!$C$2:$C$5000,MATCH($C907,DATA_MASTER!$D$2:$D$5000,0)),""))</f>
        <v/>
      </c>
      <c r="E907" s="22">
        <f t="array" ref="E907">IF($C907="","",IFERROR(INDEX(DATA_MASTER!$I$2:$I$5000,MATCH($C907,DATA_MASTER!$D$2:$D$5000,0)),""))</f>
        <v/>
      </c>
      <c r="F907" s="22">
        <f t="array" ref="F907">IF($C907="","",IFERROR(INDEX(DATA_MASTER!$L$2:$L$5000,MATCH($C907,DATA_MASTER!$D$2:$D$5000,0)),""))</f>
        <v/>
      </c>
      <c r="G907" s="24" t="n"/>
      <c r="H907" s="24" t="n"/>
      <c r="I907" s="30" t="n"/>
      <c r="J907" s="23">
        <f>IF(OR($H907="",$I907=""),"",$H907*$I907)</f>
        <v/>
      </c>
      <c r="K907" s="24" t="n"/>
      <c r="L907" s="24" t="n"/>
      <c r="M907" s="29" t="n"/>
      <c r="N907" s="28" t="n"/>
      <c r="O907" s="24" t="n"/>
      <c r="P907" s="24" t="n"/>
      <c r="Q907" s="24" t="n"/>
      <c r="R907" s="24" t="n"/>
      <c r="S907" s="22">
        <f>IF(AND($A907="",$C907=""),"",IF($A907="","Thiếu mã đơn; ","")&amp;IF(COUNTIF($A$2:$A907,$A907)&gt;1,"Trùng mã đơn; ","")&amp;IF(ISNA(MATCH($C907,DATA_MASTER!$D$2:$D$5000,0)),"SĐT chưa đăng ký hội viên; ","")&amp;IF(AND($L907="Đã chuyển khoản",$M907=""),"Thiếu ngày nhận CK; ",""))</f>
        <v/>
      </c>
      <c r="T907" s="24" t="n"/>
    </row>
    <row r="908" ht="14.25" customHeight="1" s="40">
      <c r="A908" s="24" t="n"/>
      <c r="B908" s="29" t="n"/>
      <c r="C908" s="28" t="n"/>
      <c r="D908" s="22">
        <f t="array" ref="D908">IF($C908="","",IFERROR(INDEX(DATA_MASTER!$C$2:$C$5000,MATCH($C908,DATA_MASTER!$D$2:$D$5000,0)),""))</f>
        <v/>
      </c>
      <c r="E908" s="22">
        <f t="array" ref="E908">IF($C908="","",IFERROR(INDEX(DATA_MASTER!$I$2:$I$5000,MATCH($C908,DATA_MASTER!$D$2:$D$5000,0)),""))</f>
        <v/>
      </c>
      <c r="F908" s="22">
        <f t="array" ref="F908">IF($C908="","",IFERROR(INDEX(DATA_MASTER!$L$2:$L$5000,MATCH($C908,DATA_MASTER!$D$2:$D$5000,0)),""))</f>
        <v/>
      </c>
      <c r="G908" s="24" t="n"/>
      <c r="H908" s="24" t="n"/>
      <c r="I908" s="30" t="n"/>
      <c r="J908" s="23">
        <f>IF(OR($H908="",$I908=""),"",$H908*$I908)</f>
        <v/>
      </c>
      <c r="K908" s="24" t="n"/>
      <c r="L908" s="24" t="n"/>
      <c r="M908" s="29" t="n"/>
      <c r="N908" s="28" t="n"/>
      <c r="O908" s="24" t="n"/>
      <c r="P908" s="24" t="n"/>
      <c r="Q908" s="24" t="n"/>
      <c r="R908" s="24" t="n"/>
      <c r="S908" s="22">
        <f>IF(AND($A908="",$C908=""),"",IF($A908="","Thiếu mã đơn; ","")&amp;IF(COUNTIF($A$2:$A908,$A908)&gt;1,"Trùng mã đơn; ","")&amp;IF(ISNA(MATCH($C908,DATA_MASTER!$D$2:$D$5000,0)),"SĐT chưa đăng ký hội viên; ","")&amp;IF(AND($L908="Đã chuyển khoản",$M908=""),"Thiếu ngày nhận CK; ",""))</f>
        <v/>
      </c>
      <c r="T908" s="24" t="n"/>
    </row>
    <row r="909" ht="14.25" customHeight="1" s="40">
      <c r="A909" s="24" t="n"/>
      <c r="B909" s="29" t="n"/>
      <c r="C909" s="28" t="n"/>
      <c r="D909" s="22">
        <f t="array" ref="D909">IF($C909="","",IFERROR(INDEX(DATA_MASTER!$C$2:$C$5000,MATCH($C909,DATA_MASTER!$D$2:$D$5000,0)),""))</f>
        <v/>
      </c>
      <c r="E909" s="22">
        <f t="array" ref="E909">IF($C909="","",IFERROR(INDEX(DATA_MASTER!$I$2:$I$5000,MATCH($C909,DATA_MASTER!$D$2:$D$5000,0)),""))</f>
        <v/>
      </c>
      <c r="F909" s="22">
        <f t="array" ref="F909">IF($C909="","",IFERROR(INDEX(DATA_MASTER!$L$2:$L$5000,MATCH($C909,DATA_MASTER!$D$2:$D$5000,0)),""))</f>
        <v/>
      </c>
      <c r="G909" s="24" t="n"/>
      <c r="H909" s="24" t="n"/>
      <c r="I909" s="30" t="n"/>
      <c r="J909" s="23">
        <f>IF(OR($H909="",$I909=""),"",$H909*$I909)</f>
        <v/>
      </c>
      <c r="K909" s="24" t="n"/>
      <c r="L909" s="24" t="n"/>
      <c r="M909" s="29" t="n"/>
      <c r="N909" s="28" t="n"/>
      <c r="O909" s="24" t="n"/>
      <c r="P909" s="24" t="n"/>
      <c r="Q909" s="24" t="n"/>
      <c r="R909" s="24" t="n"/>
      <c r="S909" s="22">
        <f>IF(AND($A909="",$C909=""),"",IF($A909="","Thiếu mã đơn; ","")&amp;IF(COUNTIF($A$2:$A909,$A909)&gt;1,"Trùng mã đơn; ","")&amp;IF(ISNA(MATCH($C909,DATA_MASTER!$D$2:$D$5000,0)),"SĐT chưa đăng ký hội viên; ","")&amp;IF(AND($L909="Đã chuyển khoản",$M909=""),"Thiếu ngày nhận CK; ",""))</f>
        <v/>
      </c>
      <c r="T909" s="24" t="n"/>
    </row>
    <row r="910" ht="14.25" customHeight="1" s="40">
      <c r="A910" s="24" t="n"/>
      <c r="B910" s="29" t="n"/>
      <c r="C910" s="28" t="n"/>
      <c r="D910" s="22">
        <f t="array" ref="D910">IF($C910="","",IFERROR(INDEX(DATA_MASTER!$C$2:$C$5000,MATCH($C910,DATA_MASTER!$D$2:$D$5000,0)),""))</f>
        <v/>
      </c>
      <c r="E910" s="22">
        <f t="array" ref="E910">IF($C910="","",IFERROR(INDEX(DATA_MASTER!$I$2:$I$5000,MATCH($C910,DATA_MASTER!$D$2:$D$5000,0)),""))</f>
        <v/>
      </c>
      <c r="F910" s="22">
        <f t="array" ref="F910">IF($C910="","",IFERROR(INDEX(DATA_MASTER!$L$2:$L$5000,MATCH($C910,DATA_MASTER!$D$2:$D$5000,0)),""))</f>
        <v/>
      </c>
      <c r="G910" s="24" t="n"/>
      <c r="H910" s="24" t="n"/>
      <c r="I910" s="30" t="n"/>
      <c r="J910" s="23">
        <f>IF(OR($H910="",$I910=""),"",$H910*$I910)</f>
        <v/>
      </c>
      <c r="K910" s="24" t="n"/>
      <c r="L910" s="24" t="n"/>
      <c r="M910" s="29" t="n"/>
      <c r="N910" s="28" t="n"/>
      <c r="O910" s="24" t="n"/>
      <c r="P910" s="24" t="n"/>
      <c r="Q910" s="24" t="n"/>
      <c r="R910" s="24" t="n"/>
      <c r="S910" s="22">
        <f>IF(AND($A910="",$C910=""),"",IF($A910="","Thiếu mã đơn; ","")&amp;IF(COUNTIF($A$2:$A910,$A910)&gt;1,"Trùng mã đơn; ","")&amp;IF(ISNA(MATCH($C910,DATA_MASTER!$D$2:$D$5000,0)),"SĐT chưa đăng ký hội viên; ","")&amp;IF(AND($L910="Đã chuyển khoản",$M910=""),"Thiếu ngày nhận CK; ",""))</f>
        <v/>
      </c>
      <c r="T910" s="24" t="n"/>
    </row>
    <row r="911" ht="14.25" customHeight="1" s="40">
      <c r="A911" s="24" t="n"/>
      <c r="B911" s="29" t="n"/>
      <c r="C911" s="28" t="n"/>
      <c r="D911" s="22">
        <f t="array" ref="D911">IF($C911="","",IFERROR(INDEX(DATA_MASTER!$C$2:$C$5000,MATCH($C911,DATA_MASTER!$D$2:$D$5000,0)),""))</f>
        <v/>
      </c>
      <c r="E911" s="22">
        <f t="array" ref="E911">IF($C911="","",IFERROR(INDEX(DATA_MASTER!$I$2:$I$5000,MATCH($C911,DATA_MASTER!$D$2:$D$5000,0)),""))</f>
        <v/>
      </c>
      <c r="F911" s="22">
        <f t="array" ref="F911">IF($C911="","",IFERROR(INDEX(DATA_MASTER!$L$2:$L$5000,MATCH($C911,DATA_MASTER!$D$2:$D$5000,0)),""))</f>
        <v/>
      </c>
      <c r="G911" s="24" t="n"/>
      <c r="H911" s="24" t="n"/>
      <c r="I911" s="30" t="n"/>
      <c r="J911" s="23">
        <f>IF(OR($H911="",$I911=""),"",$H911*$I911)</f>
        <v/>
      </c>
      <c r="K911" s="24" t="n"/>
      <c r="L911" s="24" t="n"/>
      <c r="M911" s="29" t="n"/>
      <c r="N911" s="28" t="n"/>
      <c r="O911" s="24" t="n"/>
      <c r="P911" s="24" t="n"/>
      <c r="Q911" s="24" t="n"/>
      <c r="R911" s="24" t="n"/>
      <c r="S911" s="22">
        <f>IF(AND($A911="",$C911=""),"",IF($A911="","Thiếu mã đơn; ","")&amp;IF(COUNTIF($A$2:$A911,$A911)&gt;1,"Trùng mã đơn; ","")&amp;IF(ISNA(MATCH($C911,DATA_MASTER!$D$2:$D$5000,0)),"SĐT chưa đăng ký hội viên; ","")&amp;IF(AND($L911="Đã chuyển khoản",$M911=""),"Thiếu ngày nhận CK; ",""))</f>
        <v/>
      </c>
      <c r="T911" s="24" t="n"/>
    </row>
    <row r="912" ht="14.25" customHeight="1" s="40">
      <c r="A912" s="24" t="n"/>
      <c r="B912" s="29" t="n"/>
      <c r="C912" s="28" t="n"/>
      <c r="D912" s="22">
        <f t="array" ref="D912">IF($C912="","",IFERROR(INDEX(DATA_MASTER!$C$2:$C$5000,MATCH($C912,DATA_MASTER!$D$2:$D$5000,0)),""))</f>
        <v/>
      </c>
      <c r="E912" s="22">
        <f t="array" ref="E912">IF($C912="","",IFERROR(INDEX(DATA_MASTER!$I$2:$I$5000,MATCH($C912,DATA_MASTER!$D$2:$D$5000,0)),""))</f>
        <v/>
      </c>
      <c r="F912" s="22">
        <f t="array" ref="F912">IF($C912="","",IFERROR(INDEX(DATA_MASTER!$L$2:$L$5000,MATCH($C912,DATA_MASTER!$D$2:$D$5000,0)),""))</f>
        <v/>
      </c>
      <c r="G912" s="24" t="n"/>
      <c r="H912" s="24" t="n"/>
      <c r="I912" s="30" t="n"/>
      <c r="J912" s="23">
        <f>IF(OR($H912="",$I912=""),"",$H912*$I912)</f>
        <v/>
      </c>
      <c r="K912" s="24" t="n"/>
      <c r="L912" s="24" t="n"/>
      <c r="M912" s="29" t="n"/>
      <c r="N912" s="28" t="n"/>
      <c r="O912" s="24" t="n"/>
      <c r="P912" s="24" t="n"/>
      <c r="Q912" s="24" t="n"/>
      <c r="R912" s="24" t="n"/>
      <c r="S912" s="22">
        <f>IF(AND($A912="",$C912=""),"",IF($A912="","Thiếu mã đơn; ","")&amp;IF(COUNTIF($A$2:$A912,$A912)&gt;1,"Trùng mã đơn; ","")&amp;IF(ISNA(MATCH($C912,DATA_MASTER!$D$2:$D$5000,0)),"SĐT chưa đăng ký hội viên; ","")&amp;IF(AND($L912="Đã chuyển khoản",$M912=""),"Thiếu ngày nhận CK; ",""))</f>
        <v/>
      </c>
      <c r="T912" s="24" t="n"/>
    </row>
    <row r="913" ht="14.25" customHeight="1" s="40">
      <c r="A913" s="24" t="n"/>
      <c r="B913" s="29" t="n"/>
      <c r="C913" s="28" t="n"/>
      <c r="D913" s="22">
        <f t="array" ref="D913">IF($C913="","",IFERROR(INDEX(DATA_MASTER!$C$2:$C$5000,MATCH($C913,DATA_MASTER!$D$2:$D$5000,0)),""))</f>
        <v/>
      </c>
      <c r="E913" s="22">
        <f t="array" ref="E913">IF($C913="","",IFERROR(INDEX(DATA_MASTER!$I$2:$I$5000,MATCH($C913,DATA_MASTER!$D$2:$D$5000,0)),""))</f>
        <v/>
      </c>
      <c r="F913" s="22">
        <f t="array" ref="F913">IF($C913="","",IFERROR(INDEX(DATA_MASTER!$L$2:$L$5000,MATCH($C913,DATA_MASTER!$D$2:$D$5000,0)),""))</f>
        <v/>
      </c>
      <c r="G913" s="24" t="n"/>
      <c r="H913" s="24" t="n"/>
      <c r="I913" s="30" t="n"/>
      <c r="J913" s="23">
        <f>IF(OR($H913="",$I913=""),"",$H913*$I913)</f>
        <v/>
      </c>
      <c r="K913" s="24" t="n"/>
      <c r="L913" s="24" t="n"/>
      <c r="M913" s="29" t="n"/>
      <c r="N913" s="28" t="n"/>
      <c r="O913" s="24" t="n"/>
      <c r="P913" s="24" t="n"/>
      <c r="Q913" s="24" t="n"/>
      <c r="R913" s="24" t="n"/>
      <c r="S913" s="22">
        <f>IF(AND($A913="",$C913=""),"",IF($A913="","Thiếu mã đơn; ","")&amp;IF(COUNTIF($A$2:$A913,$A913)&gt;1,"Trùng mã đơn; ","")&amp;IF(ISNA(MATCH($C913,DATA_MASTER!$D$2:$D$5000,0)),"SĐT chưa đăng ký hội viên; ","")&amp;IF(AND($L913="Đã chuyển khoản",$M913=""),"Thiếu ngày nhận CK; ",""))</f>
        <v/>
      </c>
      <c r="T913" s="24" t="n"/>
    </row>
    <row r="914" ht="14.25" customHeight="1" s="40">
      <c r="A914" s="24" t="n"/>
      <c r="B914" s="29" t="n"/>
      <c r="C914" s="28" t="n"/>
      <c r="D914" s="22">
        <f t="array" ref="D914">IF($C914="","",IFERROR(INDEX(DATA_MASTER!$C$2:$C$5000,MATCH($C914,DATA_MASTER!$D$2:$D$5000,0)),""))</f>
        <v/>
      </c>
      <c r="E914" s="22">
        <f t="array" ref="E914">IF($C914="","",IFERROR(INDEX(DATA_MASTER!$I$2:$I$5000,MATCH($C914,DATA_MASTER!$D$2:$D$5000,0)),""))</f>
        <v/>
      </c>
      <c r="F914" s="22">
        <f t="array" ref="F914">IF($C914="","",IFERROR(INDEX(DATA_MASTER!$L$2:$L$5000,MATCH($C914,DATA_MASTER!$D$2:$D$5000,0)),""))</f>
        <v/>
      </c>
      <c r="G914" s="24" t="n"/>
      <c r="H914" s="24" t="n"/>
      <c r="I914" s="30" t="n"/>
      <c r="J914" s="23">
        <f>IF(OR($H914="",$I914=""),"",$H914*$I914)</f>
        <v/>
      </c>
      <c r="K914" s="24" t="n"/>
      <c r="L914" s="24" t="n"/>
      <c r="M914" s="29" t="n"/>
      <c r="N914" s="28" t="n"/>
      <c r="O914" s="24" t="n"/>
      <c r="P914" s="24" t="n"/>
      <c r="Q914" s="24" t="n"/>
      <c r="R914" s="24" t="n"/>
      <c r="S914" s="22">
        <f>IF(AND($A914="",$C914=""),"",IF($A914="","Thiếu mã đơn; ","")&amp;IF(COUNTIF($A$2:$A914,$A914)&gt;1,"Trùng mã đơn; ","")&amp;IF(ISNA(MATCH($C914,DATA_MASTER!$D$2:$D$5000,0)),"SĐT chưa đăng ký hội viên; ","")&amp;IF(AND($L914="Đã chuyển khoản",$M914=""),"Thiếu ngày nhận CK; ",""))</f>
        <v/>
      </c>
      <c r="T914" s="24" t="n"/>
    </row>
    <row r="915" ht="14.25" customHeight="1" s="40">
      <c r="A915" s="24" t="n"/>
      <c r="B915" s="29" t="n"/>
      <c r="C915" s="28" t="n"/>
      <c r="D915" s="22">
        <f t="array" ref="D915">IF($C915="","",IFERROR(INDEX(DATA_MASTER!$C$2:$C$5000,MATCH($C915,DATA_MASTER!$D$2:$D$5000,0)),""))</f>
        <v/>
      </c>
      <c r="E915" s="22">
        <f t="array" ref="E915">IF($C915="","",IFERROR(INDEX(DATA_MASTER!$I$2:$I$5000,MATCH($C915,DATA_MASTER!$D$2:$D$5000,0)),""))</f>
        <v/>
      </c>
      <c r="F915" s="22">
        <f t="array" ref="F915">IF($C915="","",IFERROR(INDEX(DATA_MASTER!$L$2:$L$5000,MATCH($C915,DATA_MASTER!$D$2:$D$5000,0)),""))</f>
        <v/>
      </c>
      <c r="G915" s="24" t="n"/>
      <c r="H915" s="24" t="n"/>
      <c r="I915" s="30" t="n"/>
      <c r="J915" s="23">
        <f>IF(OR($H915="",$I915=""),"",$H915*$I915)</f>
        <v/>
      </c>
      <c r="K915" s="24" t="n"/>
      <c r="L915" s="24" t="n"/>
      <c r="M915" s="29" t="n"/>
      <c r="N915" s="28" t="n"/>
      <c r="O915" s="24" t="n"/>
      <c r="P915" s="24" t="n"/>
      <c r="Q915" s="24" t="n"/>
      <c r="R915" s="24" t="n"/>
      <c r="S915" s="22">
        <f>IF(AND($A915="",$C915=""),"",IF($A915="","Thiếu mã đơn; ","")&amp;IF(COUNTIF($A$2:$A915,$A915)&gt;1,"Trùng mã đơn; ","")&amp;IF(ISNA(MATCH($C915,DATA_MASTER!$D$2:$D$5000,0)),"SĐT chưa đăng ký hội viên; ","")&amp;IF(AND($L915="Đã chuyển khoản",$M915=""),"Thiếu ngày nhận CK; ",""))</f>
        <v/>
      </c>
      <c r="T915" s="24" t="n"/>
    </row>
    <row r="916" ht="14.25" customHeight="1" s="40">
      <c r="A916" s="24" t="n"/>
      <c r="B916" s="29" t="n"/>
      <c r="C916" s="28" t="n"/>
      <c r="D916" s="22">
        <f t="array" ref="D916">IF($C916="","",IFERROR(INDEX(DATA_MASTER!$C$2:$C$5000,MATCH($C916,DATA_MASTER!$D$2:$D$5000,0)),""))</f>
        <v/>
      </c>
      <c r="E916" s="22">
        <f t="array" ref="E916">IF($C916="","",IFERROR(INDEX(DATA_MASTER!$I$2:$I$5000,MATCH($C916,DATA_MASTER!$D$2:$D$5000,0)),""))</f>
        <v/>
      </c>
      <c r="F916" s="22">
        <f t="array" ref="F916">IF($C916="","",IFERROR(INDEX(DATA_MASTER!$L$2:$L$5000,MATCH($C916,DATA_MASTER!$D$2:$D$5000,0)),""))</f>
        <v/>
      </c>
      <c r="G916" s="24" t="n"/>
      <c r="H916" s="24" t="n"/>
      <c r="I916" s="30" t="n"/>
      <c r="J916" s="23">
        <f>IF(OR($H916="",$I916=""),"",$H916*$I916)</f>
        <v/>
      </c>
      <c r="K916" s="24" t="n"/>
      <c r="L916" s="24" t="n"/>
      <c r="M916" s="29" t="n"/>
      <c r="N916" s="28" t="n"/>
      <c r="O916" s="24" t="n"/>
      <c r="P916" s="24" t="n"/>
      <c r="Q916" s="24" t="n"/>
      <c r="R916" s="24" t="n"/>
      <c r="S916" s="22">
        <f>IF(AND($A916="",$C916=""),"",IF($A916="","Thiếu mã đơn; ","")&amp;IF(COUNTIF($A$2:$A916,$A916)&gt;1,"Trùng mã đơn; ","")&amp;IF(ISNA(MATCH($C916,DATA_MASTER!$D$2:$D$5000,0)),"SĐT chưa đăng ký hội viên; ","")&amp;IF(AND($L916="Đã chuyển khoản",$M916=""),"Thiếu ngày nhận CK; ",""))</f>
        <v/>
      </c>
      <c r="T916" s="24" t="n"/>
    </row>
    <row r="917" ht="14.25" customHeight="1" s="40">
      <c r="A917" s="24" t="n"/>
      <c r="B917" s="29" t="n"/>
      <c r="C917" s="28" t="n"/>
      <c r="D917" s="22">
        <f t="array" ref="D917">IF($C917="","",IFERROR(INDEX(DATA_MASTER!$C$2:$C$5000,MATCH($C917,DATA_MASTER!$D$2:$D$5000,0)),""))</f>
        <v/>
      </c>
      <c r="E917" s="22">
        <f t="array" ref="E917">IF($C917="","",IFERROR(INDEX(DATA_MASTER!$I$2:$I$5000,MATCH($C917,DATA_MASTER!$D$2:$D$5000,0)),""))</f>
        <v/>
      </c>
      <c r="F917" s="22">
        <f t="array" ref="F917">IF($C917="","",IFERROR(INDEX(DATA_MASTER!$L$2:$L$5000,MATCH($C917,DATA_MASTER!$D$2:$D$5000,0)),""))</f>
        <v/>
      </c>
      <c r="G917" s="24" t="n"/>
      <c r="H917" s="24" t="n"/>
      <c r="I917" s="30" t="n"/>
      <c r="J917" s="23">
        <f>IF(OR($H917="",$I917=""),"",$H917*$I917)</f>
        <v/>
      </c>
      <c r="K917" s="24" t="n"/>
      <c r="L917" s="24" t="n"/>
      <c r="M917" s="29" t="n"/>
      <c r="N917" s="28" t="n"/>
      <c r="O917" s="24" t="n"/>
      <c r="P917" s="24" t="n"/>
      <c r="Q917" s="24" t="n"/>
      <c r="R917" s="24" t="n"/>
      <c r="S917" s="22">
        <f>IF(AND($A917="",$C917=""),"",IF($A917="","Thiếu mã đơn; ","")&amp;IF(COUNTIF($A$2:$A917,$A917)&gt;1,"Trùng mã đơn; ","")&amp;IF(ISNA(MATCH($C917,DATA_MASTER!$D$2:$D$5000,0)),"SĐT chưa đăng ký hội viên; ","")&amp;IF(AND($L917="Đã chuyển khoản",$M917=""),"Thiếu ngày nhận CK; ",""))</f>
        <v/>
      </c>
      <c r="T917" s="24" t="n"/>
    </row>
    <row r="918" ht="14.25" customHeight="1" s="40">
      <c r="A918" s="24" t="n"/>
      <c r="B918" s="29" t="n"/>
      <c r="C918" s="28" t="n"/>
      <c r="D918" s="22">
        <f t="array" ref="D918">IF($C918="","",IFERROR(INDEX(DATA_MASTER!$C$2:$C$5000,MATCH($C918,DATA_MASTER!$D$2:$D$5000,0)),""))</f>
        <v/>
      </c>
      <c r="E918" s="22">
        <f t="array" ref="E918">IF($C918="","",IFERROR(INDEX(DATA_MASTER!$I$2:$I$5000,MATCH($C918,DATA_MASTER!$D$2:$D$5000,0)),""))</f>
        <v/>
      </c>
      <c r="F918" s="22">
        <f t="array" ref="F918">IF($C918="","",IFERROR(INDEX(DATA_MASTER!$L$2:$L$5000,MATCH($C918,DATA_MASTER!$D$2:$D$5000,0)),""))</f>
        <v/>
      </c>
      <c r="G918" s="24" t="n"/>
      <c r="H918" s="24" t="n"/>
      <c r="I918" s="30" t="n"/>
      <c r="J918" s="23">
        <f>IF(OR($H918="",$I918=""),"",$H918*$I918)</f>
        <v/>
      </c>
      <c r="K918" s="24" t="n"/>
      <c r="L918" s="24" t="n"/>
      <c r="M918" s="29" t="n"/>
      <c r="N918" s="28" t="n"/>
      <c r="O918" s="24" t="n"/>
      <c r="P918" s="24" t="n"/>
      <c r="Q918" s="24" t="n"/>
      <c r="R918" s="24" t="n"/>
      <c r="S918" s="22">
        <f>IF(AND($A918="",$C918=""),"",IF($A918="","Thiếu mã đơn; ","")&amp;IF(COUNTIF($A$2:$A918,$A918)&gt;1,"Trùng mã đơn; ","")&amp;IF(ISNA(MATCH($C918,DATA_MASTER!$D$2:$D$5000,0)),"SĐT chưa đăng ký hội viên; ","")&amp;IF(AND($L918="Đã chuyển khoản",$M918=""),"Thiếu ngày nhận CK; ",""))</f>
        <v/>
      </c>
      <c r="T918" s="24" t="n"/>
    </row>
    <row r="919" ht="14.25" customHeight="1" s="40">
      <c r="A919" s="24" t="n"/>
      <c r="B919" s="29" t="n"/>
      <c r="C919" s="28" t="n"/>
      <c r="D919" s="22">
        <f t="array" ref="D919">IF($C919="","",IFERROR(INDEX(DATA_MASTER!$C$2:$C$5000,MATCH($C919,DATA_MASTER!$D$2:$D$5000,0)),""))</f>
        <v/>
      </c>
      <c r="E919" s="22">
        <f t="array" ref="E919">IF($C919="","",IFERROR(INDEX(DATA_MASTER!$I$2:$I$5000,MATCH($C919,DATA_MASTER!$D$2:$D$5000,0)),""))</f>
        <v/>
      </c>
      <c r="F919" s="22">
        <f t="array" ref="F919">IF($C919="","",IFERROR(INDEX(DATA_MASTER!$L$2:$L$5000,MATCH($C919,DATA_MASTER!$D$2:$D$5000,0)),""))</f>
        <v/>
      </c>
      <c r="G919" s="24" t="n"/>
      <c r="H919" s="24" t="n"/>
      <c r="I919" s="30" t="n"/>
      <c r="J919" s="23">
        <f>IF(OR($H919="",$I919=""),"",$H919*$I919)</f>
        <v/>
      </c>
      <c r="K919" s="24" t="n"/>
      <c r="L919" s="24" t="n"/>
      <c r="M919" s="29" t="n"/>
      <c r="N919" s="28" t="n"/>
      <c r="O919" s="24" t="n"/>
      <c r="P919" s="24" t="n"/>
      <c r="Q919" s="24" t="n"/>
      <c r="R919" s="24" t="n"/>
      <c r="S919" s="22">
        <f>IF(AND($A919="",$C919=""),"",IF($A919="","Thiếu mã đơn; ","")&amp;IF(COUNTIF($A$2:$A919,$A919)&gt;1,"Trùng mã đơn; ","")&amp;IF(ISNA(MATCH($C919,DATA_MASTER!$D$2:$D$5000,0)),"SĐT chưa đăng ký hội viên; ","")&amp;IF(AND($L919="Đã chuyển khoản",$M919=""),"Thiếu ngày nhận CK; ",""))</f>
        <v/>
      </c>
      <c r="T919" s="24" t="n"/>
    </row>
    <row r="920" ht="14.25" customHeight="1" s="40">
      <c r="A920" s="24" t="n"/>
      <c r="B920" s="29" t="n"/>
      <c r="C920" s="28" t="n"/>
      <c r="D920" s="22">
        <f t="array" ref="D920">IF($C920="","",IFERROR(INDEX(DATA_MASTER!$C$2:$C$5000,MATCH($C920,DATA_MASTER!$D$2:$D$5000,0)),""))</f>
        <v/>
      </c>
      <c r="E920" s="22">
        <f t="array" ref="E920">IF($C920="","",IFERROR(INDEX(DATA_MASTER!$I$2:$I$5000,MATCH($C920,DATA_MASTER!$D$2:$D$5000,0)),""))</f>
        <v/>
      </c>
      <c r="F920" s="22">
        <f t="array" ref="F920">IF($C920="","",IFERROR(INDEX(DATA_MASTER!$L$2:$L$5000,MATCH($C920,DATA_MASTER!$D$2:$D$5000,0)),""))</f>
        <v/>
      </c>
      <c r="G920" s="24" t="n"/>
      <c r="H920" s="24" t="n"/>
      <c r="I920" s="30" t="n"/>
      <c r="J920" s="23">
        <f>IF(OR($H920="",$I920=""),"",$H920*$I920)</f>
        <v/>
      </c>
      <c r="K920" s="24" t="n"/>
      <c r="L920" s="24" t="n"/>
      <c r="M920" s="29" t="n"/>
      <c r="N920" s="28" t="n"/>
      <c r="O920" s="24" t="n"/>
      <c r="P920" s="24" t="n"/>
      <c r="Q920" s="24" t="n"/>
      <c r="R920" s="24" t="n"/>
      <c r="S920" s="22">
        <f>IF(AND($A920="",$C920=""),"",IF($A920="","Thiếu mã đơn; ","")&amp;IF(COUNTIF($A$2:$A920,$A920)&gt;1,"Trùng mã đơn; ","")&amp;IF(ISNA(MATCH($C920,DATA_MASTER!$D$2:$D$5000,0)),"SĐT chưa đăng ký hội viên; ","")&amp;IF(AND($L920="Đã chuyển khoản",$M920=""),"Thiếu ngày nhận CK; ",""))</f>
        <v/>
      </c>
      <c r="T920" s="24" t="n"/>
    </row>
    <row r="921" ht="14.25" customHeight="1" s="40">
      <c r="A921" s="24" t="n"/>
      <c r="B921" s="29" t="n"/>
      <c r="C921" s="28" t="n"/>
      <c r="D921" s="22">
        <f t="array" ref="D921">IF($C921="","",IFERROR(INDEX(DATA_MASTER!$C$2:$C$5000,MATCH($C921,DATA_MASTER!$D$2:$D$5000,0)),""))</f>
        <v/>
      </c>
      <c r="E921" s="22">
        <f t="array" ref="E921">IF($C921="","",IFERROR(INDEX(DATA_MASTER!$I$2:$I$5000,MATCH($C921,DATA_MASTER!$D$2:$D$5000,0)),""))</f>
        <v/>
      </c>
      <c r="F921" s="22">
        <f t="array" ref="F921">IF($C921="","",IFERROR(INDEX(DATA_MASTER!$L$2:$L$5000,MATCH($C921,DATA_MASTER!$D$2:$D$5000,0)),""))</f>
        <v/>
      </c>
      <c r="G921" s="24" t="n"/>
      <c r="H921" s="24" t="n"/>
      <c r="I921" s="30" t="n"/>
      <c r="J921" s="23">
        <f>IF(OR($H921="",$I921=""),"",$H921*$I921)</f>
        <v/>
      </c>
      <c r="K921" s="24" t="n"/>
      <c r="L921" s="24" t="n"/>
      <c r="M921" s="29" t="n"/>
      <c r="N921" s="28" t="n"/>
      <c r="O921" s="24" t="n"/>
      <c r="P921" s="24" t="n"/>
      <c r="Q921" s="24" t="n"/>
      <c r="R921" s="24" t="n"/>
      <c r="S921" s="22">
        <f>IF(AND($A921="",$C921=""),"",IF($A921="","Thiếu mã đơn; ","")&amp;IF(COUNTIF($A$2:$A921,$A921)&gt;1,"Trùng mã đơn; ","")&amp;IF(ISNA(MATCH($C921,DATA_MASTER!$D$2:$D$5000,0)),"SĐT chưa đăng ký hội viên; ","")&amp;IF(AND($L921="Đã chuyển khoản",$M921=""),"Thiếu ngày nhận CK; ",""))</f>
        <v/>
      </c>
      <c r="T921" s="24" t="n"/>
    </row>
    <row r="922" ht="14.25" customHeight="1" s="40">
      <c r="A922" s="24" t="n"/>
      <c r="B922" s="29" t="n"/>
      <c r="C922" s="28" t="n"/>
      <c r="D922" s="22">
        <f t="array" ref="D922">IF($C922="","",IFERROR(INDEX(DATA_MASTER!$C$2:$C$5000,MATCH($C922,DATA_MASTER!$D$2:$D$5000,0)),""))</f>
        <v/>
      </c>
      <c r="E922" s="22">
        <f t="array" ref="E922">IF($C922="","",IFERROR(INDEX(DATA_MASTER!$I$2:$I$5000,MATCH($C922,DATA_MASTER!$D$2:$D$5000,0)),""))</f>
        <v/>
      </c>
      <c r="F922" s="22">
        <f t="array" ref="F922">IF($C922="","",IFERROR(INDEX(DATA_MASTER!$L$2:$L$5000,MATCH($C922,DATA_MASTER!$D$2:$D$5000,0)),""))</f>
        <v/>
      </c>
      <c r="G922" s="24" t="n"/>
      <c r="H922" s="24" t="n"/>
      <c r="I922" s="30" t="n"/>
      <c r="J922" s="23">
        <f>IF(OR($H922="",$I922=""),"",$H922*$I922)</f>
        <v/>
      </c>
      <c r="K922" s="24" t="n"/>
      <c r="L922" s="24" t="n"/>
      <c r="M922" s="29" t="n"/>
      <c r="N922" s="28" t="n"/>
      <c r="O922" s="24" t="n"/>
      <c r="P922" s="24" t="n"/>
      <c r="Q922" s="24" t="n"/>
      <c r="R922" s="24" t="n"/>
      <c r="S922" s="22">
        <f>IF(AND($A922="",$C922=""),"",IF($A922="","Thiếu mã đơn; ","")&amp;IF(COUNTIF($A$2:$A922,$A922)&gt;1,"Trùng mã đơn; ","")&amp;IF(ISNA(MATCH($C922,DATA_MASTER!$D$2:$D$5000,0)),"SĐT chưa đăng ký hội viên; ","")&amp;IF(AND($L922="Đã chuyển khoản",$M922=""),"Thiếu ngày nhận CK; ",""))</f>
        <v/>
      </c>
      <c r="T922" s="24" t="n"/>
    </row>
    <row r="923" ht="14.25" customHeight="1" s="40">
      <c r="A923" s="24" t="n"/>
      <c r="B923" s="29" t="n"/>
      <c r="C923" s="28" t="n"/>
      <c r="D923" s="22">
        <f t="array" ref="D923">IF($C923="","",IFERROR(INDEX(DATA_MASTER!$C$2:$C$5000,MATCH($C923,DATA_MASTER!$D$2:$D$5000,0)),""))</f>
        <v/>
      </c>
      <c r="E923" s="22">
        <f t="array" ref="E923">IF($C923="","",IFERROR(INDEX(DATA_MASTER!$I$2:$I$5000,MATCH($C923,DATA_MASTER!$D$2:$D$5000,0)),""))</f>
        <v/>
      </c>
      <c r="F923" s="22">
        <f t="array" ref="F923">IF($C923="","",IFERROR(INDEX(DATA_MASTER!$L$2:$L$5000,MATCH($C923,DATA_MASTER!$D$2:$D$5000,0)),""))</f>
        <v/>
      </c>
      <c r="G923" s="24" t="n"/>
      <c r="H923" s="24" t="n"/>
      <c r="I923" s="30" t="n"/>
      <c r="J923" s="23">
        <f>IF(OR($H923="",$I923=""),"",$H923*$I923)</f>
        <v/>
      </c>
      <c r="K923" s="24" t="n"/>
      <c r="L923" s="24" t="n"/>
      <c r="M923" s="29" t="n"/>
      <c r="N923" s="28" t="n"/>
      <c r="O923" s="24" t="n"/>
      <c r="P923" s="24" t="n"/>
      <c r="Q923" s="24" t="n"/>
      <c r="R923" s="24" t="n"/>
      <c r="S923" s="22">
        <f>IF(AND($A923="",$C923=""),"",IF($A923="","Thiếu mã đơn; ","")&amp;IF(COUNTIF($A$2:$A923,$A923)&gt;1,"Trùng mã đơn; ","")&amp;IF(ISNA(MATCH($C923,DATA_MASTER!$D$2:$D$5000,0)),"SĐT chưa đăng ký hội viên; ","")&amp;IF(AND($L923="Đã chuyển khoản",$M923=""),"Thiếu ngày nhận CK; ",""))</f>
        <v/>
      </c>
      <c r="T923" s="24" t="n"/>
    </row>
    <row r="924" ht="14.25" customHeight="1" s="40">
      <c r="A924" s="24" t="n"/>
      <c r="B924" s="29" t="n"/>
      <c r="C924" s="28" t="n"/>
      <c r="D924" s="22">
        <f t="array" ref="D924">IF($C924="","",IFERROR(INDEX(DATA_MASTER!$C$2:$C$5000,MATCH($C924,DATA_MASTER!$D$2:$D$5000,0)),""))</f>
        <v/>
      </c>
      <c r="E924" s="22">
        <f t="array" ref="E924">IF($C924="","",IFERROR(INDEX(DATA_MASTER!$I$2:$I$5000,MATCH($C924,DATA_MASTER!$D$2:$D$5000,0)),""))</f>
        <v/>
      </c>
      <c r="F924" s="22">
        <f t="array" ref="F924">IF($C924="","",IFERROR(INDEX(DATA_MASTER!$L$2:$L$5000,MATCH($C924,DATA_MASTER!$D$2:$D$5000,0)),""))</f>
        <v/>
      </c>
      <c r="G924" s="24" t="n"/>
      <c r="H924" s="24" t="n"/>
      <c r="I924" s="30" t="n"/>
      <c r="J924" s="23">
        <f>IF(OR($H924="",$I924=""),"",$H924*$I924)</f>
        <v/>
      </c>
      <c r="K924" s="24" t="n"/>
      <c r="L924" s="24" t="n"/>
      <c r="M924" s="29" t="n"/>
      <c r="N924" s="28" t="n"/>
      <c r="O924" s="24" t="n"/>
      <c r="P924" s="24" t="n"/>
      <c r="Q924" s="24" t="n"/>
      <c r="R924" s="24" t="n"/>
      <c r="S924" s="22">
        <f>IF(AND($A924="",$C924=""),"",IF($A924="","Thiếu mã đơn; ","")&amp;IF(COUNTIF($A$2:$A924,$A924)&gt;1,"Trùng mã đơn; ","")&amp;IF(ISNA(MATCH($C924,DATA_MASTER!$D$2:$D$5000,0)),"SĐT chưa đăng ký hội viên; ","")&amp;IF(AND($L924="Đã chuyển khoản",$M924=""),"Thiếu ngày nhận CK; ",""))</f>
        <v/>
      </c>
      <c r="T924" s="24" t="n"/>
    </row>
    <row r="925" ht="14.25" customHeight="1" s="40">
      <c r="A925" s="24" t="n"/>
      <c r="B925" s="29" t="n"/>
      <c r="C925" s="28" t="n"/>
      <c r="D925" s="22">
        <f t="array" ref="D925">IF($C925="","",IFERROR(INDEX(DATA_MASTER!$C$2:$C$5000,MATCH($C925,DATA_MASTER!$D$2:$D$5000,0)),""))</f>
        <v/>
      </c>
      <c r="E925" s="22">
        <f t="array" ref="E925">IF($C925="","",IFERROR(INDEX(DATA_MASTER!$I$2:$I$5000,MATCH($C925,DATA_MASTER!$D$2:$D$5000,0)),""))</f>
        <v/>
      </c>
      <c r="F925" s="22">
        <f t="array" ref="F925">IF($C925="","",IFERROR(INDEX(DATA_MASTER!$L$2:$L$5000,MATCH($C925,DATA_MASTER!$D$2:$D$5000,0)),""))</f>
        <v/>
      </c>
      <c r="G925" s="24" t="n"/>
      <c r="H925" s="24" t="n"/>
      <c r="I925" s="30" t="n"/>
      <c r="J925" s="23">
        <f>IF(OR($H925="",$I925=""),"",$H925*$I925)</f>
        <v/>
      </c>
      <c r="K925" s="24" t="n"/>
      <c r="L925" s="24" t="n"/>
      <c r="M925" s="29" t="n"/>
      <c r="N925" s="28" t="n"/>
      <c r="O925" s="24" t="n"/>
      <c r="P925" s="24" t="n"/>
      <c r="Q925" s="24" t="n"/>
      <c r="R925" s="24" t="n"/>
      <c r="S925" s="22">
        <f>IF(AND($A925="",$C925=""),"",IF($A925="","Thiếu mã đơn; ","")&amp;IF(COUNTIF($A$2:$A925,$A925)&gt;1,"Trùng mã đơn; ","")&amp;IF(ISNA(MATCH($C925,DATA_MASTER!$D$2:$D$5000,0)),"SĐT chưa đăng ký hội viên; ","")&amp;IF(AND($L925="Đã chuyển khoản",$M925=""),"Thiếu ngày nhận CK; ",""))</f>
        <v/>
      </c>
      <c r="T925" s="24" t="n"/>
    </row>
    <row r="926" ht="14.25" customHeight="1" s="40">
      <c r="A926" s="24" t="n"/>
      <c r="B926" s="29" t="n"/>
      <c r="C926" s="28" t="n"/>
      <c r="D926" s="22">
        <f t="array" ref="D926">IF($C926="","",IFERROR(INDEX(DATA_MASTER!$C$2:$C$5000,MATCH($C926,DATA_MASTER!$D$2:$D$5000,0)),""))</f>
        <v/>
      </c>
      <c r="E926" s="22">
        <f t="array" ref="E926">IF($C926="","",IFERROR(INDEX(DATA_MASTER!$I$2:$I$5000,MATCH($C926,DATA_MASTER!$D$2:$D$5000,0)),""))</f>
        <v/>
      </c>
      <c r="F926" s="22">
        <f t="array" ref="F926">IF($C926="","",IFERROR(INDEX(DATA_MASTER!$L$2:$L$5000,MATCH($C926,DATA_MASTER!$D$2:$D$5000,0)),""))</f>
        <v/>
      </c>
      <c r="G926" s="24" t="n"/>
      <c r="H926" s="24" t="n"/>
      <c r="I926" s="30" t="n"/>
      <c r="J926" s="23">
        <f>IF(OR($H926="",$I926=""),"",$H926*$I926)</f>
        <v/>
      </c>
      <c r="K926" s="24" t="n"/>
      <c r="L926" s="24" t="n"/>
      <c r="M926" s="29" t="n"/>
      <c r="N926" s="28" t="n"/>
      <c r="O926" s="24" t="n"/>
      <c r="P926" s="24" t="n"/>
      <c r="Q926" s="24" t="n"/>
      <c r="R926" s="24" t="n"/>
      <c r="S926" s="22">
        <f>IF(AND($A926="",$C926=""),"",IF($A926="","Thiếu mã đơn; ","")&amp;IF(COUNTIF($A$2:$A926,$A926)&gt;1,"Trùng mã đơn; ","")&amp;IF(ISNA(MATCH($C926,DATA_MASTER!$D$2:$D$5000,0)),"SĐT chưa đăng ký hội viên; ","")&amp;IF(AND($L926="Đã chuyển khoản",$M926=""),"Thiếu ngày nhận CK; ",""))</f>
        <v/>
      </c>
      <c r="T926" s="24" t="n"/>
    </row>
    <row r="927" ht="14.25" customHeight="1" s="40">
      <c r="A927" s="24" t="n"/>
      <c r="B927" s="29" t="n"/>
      <c r="C927" s="28" t="n"/>
      <c r="D927" s="22">
        <f t="array" ref="D927">IF($C927="","",IFERROR(INDEX(DATA_MASTER!$C$2:$C$5000,MATCH($C927,DATA_MASTER!$D$2:$D$5000,0)),""))</f>
        <v/>
      </c>
      <c r="E927" s="22">
        <f t="array" ref="E927">IF($C927="","",IFERROR(INDEX(DATA_MASTER!$I$2:$I$5000,MATCH($C927,DATA_MASTER!$D$2:$D$5000,0)),""))</f>
        <v/>
      </c>
      <c r="F927" s="22">
        <f t="array" ref="F927">IF($C927="","",IFERROR(INDEX(DATA_MASTER!$L$2:$L$5000,MATCH($C927,DATA_MASTER!$D$2:$D$5000,0)),""))</f>
        <v/>
      </c>
      <c r="G927" s="24" t="n"/>
      <c r="H927" s="24" t="n"/>
      <c r="I927" s="30" t="n"/>
      <c r="J927" s="23">
        <f>IF(OR($H927="",$I927=""),"",$H927*$I927)</f>
        <v/>
      </c>
      <c r="K927" s="24" t="n"/>
      <c r="L927" s="24" t="n"/>
      <c r="M927" s="29" t="n"/>
      <c r="N927" s="28" t="n"/>
      <c r="O927" s="24" t="n"/>
      <c r="P927" s="24" t="n"/>
      <c r="Q927" s="24" t="n"/>
      <c r="R927" s="24" t="n"/>
      <c r="S927" s="22">
        <f>IF(AND($A927="",$C927=""),"",IF($A927="","Thiếu mã đơn; ","")&amp;IF(COUNTIF($A$2:$A927,$A927)&gt;1,"Trùng mã đơn; ","")&amp;IF(ISNA(MATCH($C927,DATA_MASTER!$D$2:$D$5000,0)),"SĐT chưa đăng ký hội viên; ","")&amp;IF(AND($L927="Đã chuyển khoản",$M927=""),"Thiếu ngày nhận CK; ",""))</f>
        <v/>
      </c>
      <c r="T927" s="24" t="n"/>
    </row>
    <row r="928" ht="14.25" customHeight="1" s="40">
      <c r="A928" s="24" t="n"/>
      <c r="B928" s="29" t="n"/>
      <c r="C928" s="28" t="n"/>
      <c r="D928" s="22">
        <f t="array" ref="D928">IF($C928="","",IFERROR(INDEX(DATA_MASTER!$C$2:$C$5000,MATCH($C928,DATA_MASTER!$D$2:$D$5000,0)),""))</f>
        <v/>
      </c>
      <c r="E928" s="22">
        <f t="array" ref="E928">IF($C928="","",IFERROR(INDEX(DATA_MASTER!$I$2:$I$5000,MATCH($C928,DATA_MASTER!$D$2:$D$5000,0)),""))</f>
        <v/>
      </c>
      <c r="F928" s="22">
        <f t="array" ref="F928">IF($C928="","",IFERROR(INDEX(DATA_MASTER!$L$2:$L$5000,MATCH($C928,DATA_MASTER!$D$2:$D$5000,0)),""))</f>
        <v/>
      </c>
      <c r="G928" s="24" t="n"/>
      <c r="H928" s="24" t="n"/>
      <c r="I928" s="30" t="n"/>
      <c r="J928" s="23">
        <f>IF(OR($H928="",$I928=""),"",$H928*$I928)</f>
        <v/>
      </c>
      <c r="K928" s="24" t="n"/>
      <c r="L928" s="24" t="n"/>
      <c r="M928" s="29" t="n"/>
      <c r="N928" s="28" t="n"/>
      <c r="O928" s="24" t="n"/>
      <c r="P928" s="24" t="n"/>
      <c r="Q928" s="24" t="n"/>
      <c r="R928" s="24" t="n"/>
      <c r="S928" s="22">
        <f>IF(AND($A928="",$C928=""),"",IF($A928="","Thiếu mã đơn; ","")&amp;IF(COUNTIF($A$2:$A928,$A928)&gt;1,"Trùng mã đơn; ","")&amp;IF(ISNA(MATCH($C928,DATA_MASTER!$D$2:$D$5000,0)),"SĐT chưa đăng ký hội viên; ","")&amp;IF(AND($L928="Đã chuyển khoản",$M928=""),"Thiếu ngày nhận CK; ",""))</f>
        <v/>
      </c>
      <c r="T928" s="24" t="n"/>
    </row>
    <row r="929" ht="14.25" customHeight="1" s="40">
      <c r="A929" s="24" t="n"/>
      <c r="B929" s="29" t="n"/>
      <c r="C929" s="28" t="n"/>
      <c r="D929" s="22">
        <f t="array" ref="D929">IF($C929="","",IFERROR(INDEX(DATA_MASTER!$C$2:$C$5000,MATCH($C929,DATA_MASTER!$D$2:$D$5000,0)),""))</f>
        <v/>
      </c>
      <c r="E929" s="22">
        <f t="array" ref="E929">IF($C929="","",IFERROR(INDEX(DATA_MASTER!$I$2:$I$5000,MATCH($C929,DATA_MASTER!$D$2:$D$5000,0)),""))</f>
        <v/>
      </c>
      <c r="F929" s="22">
        <f t="array" ref="F929">IF($C929="","",IFERROR(INDEX(DATA_MASTER!$L$2:$L$5000,MATCH($C929,DATA_MASTER!$D$2:$D$5000,0)),""))</f>
        <v/>
      </c>
      <c r="G929" s="24" t="n"/>
      <c r="H929" s="24" t="n"/>
      <c r="I929" s="30" t="n"/>
      <c r="J929" s="23">
        <f>IF(OR($H929="",$I929=""),"",$H929*$I929)</f>
        <v/>
      </c>
      <c r="K929" s="24" t="n"/>
      <c r="L929" s="24" t="n"/>
      <c r="M929" s="29" t="n"/>
      <c r="N929" s="28" t="n"/>
      <c r="O929" s="24" t="n"/>
      <c r="P929" s="24" t="n"/>
      <c r="Q929" s="24" t="n"/>
      <c r="R929" s="24" t="n"/>
      <c r="S929" s="22">
        <f>IF(AND($A929="",$C929=""),"",IF($A929="","Thiếu mã đơn; ","")&amp;IF(COUNTIF($A$2:$A929,$A929)&gt;1,"Trùng mã đơn; ","")&amp;IF(ISNA(MATCH($C929,DATA_MASTER!$D$2:$D$5000,0)),"SĐT chưa đăng ký hội viên; ","")&amp;IF(AND($L929="Đã chuyển khoản",$M929=""),"Thiếu ngày nhận CK; ",""))</f>
        <v/>
      </c>
      <c r="T929" s="24" t="n"/>
    </row>
    <row r="930" ht="14.25" customHeight="1" s="40">
      <c r="A930" s="24" t="n"/>
      <c r="B930" s="29" t="n"/>
      <c r="C930" s="28" t="n"/>
      <c r="D930" s="22">
        <f t="array" ref="D930">IF($C930="","",IFERROR(INDEX(DATA_MASTER!$C$2:$C$5000,MATCH($C930,DATA_MASTER!$D$2:$D$5000,0)),""))</f>
        <v/>
      </c>
      <c r="E930" s="22">
        <f t="array" ref="E930">IF($C930="","",IFERROR(INDEX(DATA_MASTER!$I$2:$I$5000,MATCH($C930,DATA_MASTER!$D$2:$D$5000,0)),""))</f>
        <v/>
      </c>
      <c r="F930" s="22">
        <f t="array" ref="F930">IF($C930="","",IFERROR(INDEX(DATA_MASTER!$L$2:$L$5000,MATCH($C930,DATA_MASTER!$D$2:$D$5000,0)),""))</f>
        <v/>
      </c>
      <c r="G930" s="24" t="n"/>
      <c r="H930" s="24" t="n"/>
      <c r="I930" s="30" t="n"/>
      <c r="J930" s="23">
        <f>IF(OR($H930="",$I930=""),"",$H930*$I930)</f>
        <v/>
      </c>
      <c r="K930" s="24" t="n"/>
      <c r="L930" s="24" t="n"/>
      <c r="M930" s="29" t="n"/>
      <c r="N930" s="28" t="n"/>
      <c r="O930" s="24" t="n"/>
      <c r="P930" s="24" t="n"/>
      <c r="Q930" s="24" t="n"/>
      <c r="R930" s="24" t="n"/>
      <c r="S930" s="22">
        <f>IF(AND($A930="",$C930=""),"",IF($A930="","Thiếu mã đơn; ","")&amp;IF(COUNTIF($A$2:$A930,$A930)&gt;1,"Trùng mã đơn; ","")&amp;IF(ISNA(MATCH($C930,DATA_MASTER!$D$2:$D$5000,0)),"SĐT chưa đăng ký hội viên; ","")&amp;IF(AND($L930="Đã chuyển khoản",$M930=""),"Thiếu ngày nhận CK; ",""))</f>
        <v/>
      </c>
      <c r="T930" s="24" t="n"/>
    </row>
    <row r="931" ht="14.25" customHeight="1" s="40">
      <c r="A931" s="24" t="n"/>
      <c r="B931" s="29" t="n"/>
      <c r="C931" s="28" t="n"/>
      <c r="D931" s="22">
        <f t="array" ref="D931">IF($C931="","",IFERROR(INDEX(DATA_MASTER!$C$2:$C$5000,MATCH($C931,DATA_MASTER!$D$2:$D$5000,0)),""))</f>
        <v/>
      </c>
      <c r="E931" s="22">
        <f t="array" ref="E931">IF($C931="","",IFERROR(INDEX(DATA_MASTER!$I$2:$I$5000,MATCH($C931,DATA_MASTER!$D$2:$D$5000,0)),""))</f>
        <v/>
      </c>
      <c r="F931" s="22">
        <f t="array" ref="F931">IF($C931="","",IFERROR(INDEX(DATA_MASTER!$L$2:$L$5000,MATCH($C931,DATA_MASTER!$D$2:$D$5000,0)),""))</f>
        <v/>
      </c>
      <c r="G931" s="24" t="n"/>
      <c r="H931" s="24" t="n"/>
      <c r="I931" s="30" t="n"/>
      <c r="J931" s="23">
        <f>IF(OR($H931="",$I931=""),"",$H931*$I931)</f>
        <v/>
      </c>
      <c r="K931" s="24" t="n"/>
      <c r="L931" s="24" t="n"/>
      <c r="M931" s="29" t="n"/>
      <c r="N931" s="28" t="n"/>
      <c r="O931" s="24" t="n"/>
      <c r="P931" s="24" t="n"/>
      <c r="Q931" s="24" t="n"/>
      <c r="R931" s="24" t="n"/>
      <c r="S931" s="22">
        <f>IF(AND($A931="",$C931=""),"",IF($A931="","Thiếu mã đơn; ","")&amp;IF(COUNTIF($A$2:$A931,$A931)&gt;1,"Trùng mã đơn; ","")&amp;IF(ISNA(MATCH($C931,DATA_MASTER!$D$2:$D$5000,0)),"SĐT chưa đăng ký hội viên; ","")&amp;IF(AND($L931="Đã chuyển khoản",$M931=""),"Thiếu ngày nhận CK; ",""))</f>
        <v/>
      </c>
      <c r="T931" s="24" t="n"/>
    </row>
    <row r="932" ht="14.25" customHeight="1" s="40">
      <c r="A932" s="24" t="n"/>
      <c r="B932" s="29" t="n"/>
      <c r="C932" s="28" t="n"/>
      <c r="D932" s="22">
        <f t="array" ref="D932">IF($C932="","",IFERROR(INDEX(DATA_MASTER!$C$2:$C$5000,MATCH($C932,DATA_MASTER!$D$2:$D$5000,0)),""))</f>
        <v/>
      </c>
      <c r="E932" s="22">
        <f t="array" ref="E932">IF($C932="","",IFERROR(INDEX(DATA_MASTER!$I$2:$I$5000,MATCH($C932,DATA_MASTER!$D$2:$D$5000,0)),""))</f>
        <v/>
      </c>
      <c r="F932" s="22">
        <f t="array" ref="F932">IF($C932="","",IFERROR(INDEX(DATA_MASTER!$L$2:$L$5000,MATCH($C932,DATA_MASTER!$D$2:$D$5000,0)),""))</f>
        <v/>
      </c>
      <c r="G932" s="24" t="n"/>
      <c r="H932" s="24" t="n"/>
      <c r="I932" s="30" t="n"/>
      <c r="J932" s="23">
        <f>IF(OR($H932="",$I932=""),"",$H932*$I932)</f>
        <v/>
      </c>
      <c r="K932" s="24" t="n"/>
      <c r="L932" s="24" t="n"/>
      <c r="M932" s="29" t="n"/>
      <c r="N932" s="28" t="n"/>
      <c r="O932" s="24" t="n"/>
      <c r="P932" s="24" t="n"/>
      <c r="Q932" s="24" t="n"/>
      <c r="R932" s="24" t="n"/>
      <c r="S932" s="22">
        <f>IF(AND($A932="",$C932=""),"",IF($A932="","Thiếu mã đơn; ","")&amp;IF(COUNTIF($A$2:$A932,$A932)&gt;1,"Trùng mã đơn; ","")&amp;IF(ISNA(MATCH($C932,DATA_MASTER!$D$2:$D$5000,0)),"SĐT chưa đăng ký hội viên; ","")&amp;IF(AND($L932="Đã chuyển khoản",$M932=""),"Thiếu ngày nhận CK; ",""))</f>
        <v/>
      </c>
      <c r="T932" s="24" t="n"/>
    </row>
    <row r="933" ht="14.25" customHeight="1" s="40">
      <c r="A933" s="24" t="n"/>
      <c r="B933" s="29" t="n"/>
      <c r="C933" s="28" t="n"/>
      <c r="D933" s="22">
        <f t="array" ref="D933">IF($C933="","",IFERROR(INDEX(DATA_MASTER!$C$2:$C$5000,MATCH($C933,DATA_MASTER!$D$2:$D$5000,0)),""))</f>
        <v/>
      </c>
      <c r="E933" s="22">
        <f t="array" ref="E933">IF($C933="","",IFERROR(INDEX(DATA_MASTER!$I$2:$I$5000,MATCH($C933,DATA_MASTER!$D$2:$D$5000,0)),""))</f>
        <v/>
      </c>
      <c r="F933" s="22">
        <f t="array" ref="F933">IF($C933="","",IFERROR(INDEX(DATA_MASTER!$L$2:$L$5000,MATCH($C933,DATA_MASTER!$D$2:$D$5000,0)),""))</f>
        <v/>
      </c>
      <c r="G933" s="24" t="n"/>
      <c r="H933" s="24" t="n"/>
      <c r="I933" s="30" t="n"/>
      <c r="J933" s="23">
        <f>IF(OR($H933="",$I933=""),"",$H933*$I933)</f>
        <v/>
      </c>
      <c r="K933" s="24" t="n"/>
      <c r="L933" s="24" t="n"/>
      <c r="M933" s="29" t="n"/>
      <c r="N933" s="28" t="n"/>
      <c r="O933" s="24" t="n"/>
      <c r="P933" s="24" t="n"/>
      <c r="Q933" s="24" t="n"/>
      <c r="R933" s="24" t="n"/>
      <c r="S933" s="22">
        <f>IF(AND($A933="",$C933=""),"",IF($A933="","Thiếu mã đơn; ","")&amp;IF(COUNTIF($A$2:$A933,$A933)&gt;1,"Trùng mã đơn; ","")&amp;IF(ISNA(MATCH($C933,DATA_MASTER!$D$2:$D$5000,0)),"SĐT chưa đăng ký hội viên; ","")&amp;IF(AND($L933="Đã chuyển khoản",$M933=""),"Thiếu ngày nhận CK; ",""))</f>
        <v/>
      </c>
      <c r="T933" s="24" t="n"/>
    </row>
    <row r="934" ht="14.25" customHeight="1" s="40">
      <c r="A934" s="24" t="n"/>
      <c r="B934" s="29" t="n"/>
      <c r="C934" s="28" t="n"/>
      <c r="D934" s="22">
        <f t="array" ref="D934">IF($C934="","",IFERROR(INDEX(DATA_MASTER!$C$2:$C$5000,MATCH($C934,DATA_MASTER!$D$2:$D$5000,0)),""))</f>
        <v/>
      </c>
      <c r="E934" s="22">
        <f t="array" ref="E934">IF($C934="","",IFERROR(INDEX(DATA_MASTER!$I$2:$I$5000,MATCH($C934,DATA_MASTER!$D$2:$D$5000,0)),""))</f>
        <v/>
      </c>
      <c r="F934" s="22">
        <f t="array" ref="F934">IF($C934="","",IFERROR(INDEX(DATA_MASTER!$L$2:$L$5000,MATCH($C934,DATA_MASTER!$D$2:$D$5000,0)),""))</f>
        <v/>
      </c>
      <c r="G934" s="24" t="n"/>
      <c r="H934" s="24" t="n"/>
      <c r="I934" s="30" t="n"/>
      <c r="J934" s="23">
        <f>IF(OR($H934="",$I934=""),"",$H934*$I934)</f>
        <v/>
      </c>
      <c r="K934" s="24" t="n"/>
      <c r="L934" s="24" t="n"/>
      <c r="M934" s="29" t="n"/>
      <c r="N934" s="28" t="n"/>
      <c r="O934" s="24" t="n"/>
      <c r="P934" s="24" t="n"/>
      <c r="Q934" s="24" t="n"/>
      <c r="R934" s="24" t="n"/>
      <c r="S934" s="22">
        <f>IF(AND($A934="",$C934=""),"",IF($A934="","Thiếu mã đơn; ","")&amp;IF(COUNTIF($A$2:$A934,$A934)&gt;1,"Trùng mã đơn; ","")&amp;IF(ISNA(MATCH($C934,DATA_MASTER!$D$2:$D$5000,0)),"SĐT chưa đăng ký hội viên; ","")&amp;IF(AND($L934="Đã chuyển khoản",$M934=""),"Thiếu ngày nhận CK; ",""))</f>
        <v/>
      </c>
      <c r="T934" s="24" t="n"/>
    </row>
    <row r="935" ht="14.25" customHeight="1" s="40">
      <c r="A935" s="24" t="n"/>
      <c r="B935" s="29" t="n"/>
      <c r="C935" s="28" t="n"/>
      <c r="D935" s="22">
        <f t="array" ref="D935">IF($C935="","",IFERROR(INDEX(DATA_MASTER!$C$2:$C$5000,MATCH($C935,DATA_MASTER!$D$2:$D$5000,0)),""))</f>
        <v/>
      </c>
      <c r="E935" s="22">
        <f t="array" ref="E935">IF($C935="","",IFERROR(INDEX(DATA_MASTER!$I$2:$I$5000,MATCH($C935,DATA_MASTER!$D$2:$D$5000,0)),""))</f>
        <v/>
      </c>
      <c r="F935" s="22">
        <f t="array" ref="F935">IF($C935="","",IFERROR(INDEX(DATA_MASTER!$L$2:$L$5000,MATCH($C935,DATA_MASTER!$D$2:$D$5000,0)),""))</f>
        <v/>
      </c>
      <c r="G935" s="24" t="n"/>
      <c r="H935" s="24" t="n"/>
      <c r="I935" s="30" t="n"/>
      <c r="J935" s="23">
        <f>IF(OR($H935="",$I935=""),"",$H935*$I935)</f>
        <v/>
      </c>
      <c r="K935" s="24" t="n"/>
      <c r="L935" s="24" t="n"/>
      <c r="M935" s="29" t="n"/>
      <c r="N935" s="28" t="n"/>
      <c r="O935" s="24" t="n"/>
      <c r="P935" s="24" t="n"/>
      <c r="Q935" s="24" t="n"/>
      <c r="R935" s="24" t="n"/>
      <c r="S935" s="22">
        <f>IF(AND($A935="",$C935=""),"",IF($A935="","Thiếu mã đơn; ","")&amp;IF(COUNTIF($A$2:$A935,$A935)&gt;1,"Trùng mã đơn; ","")&amp;IF(ISNA(MATCH($C935,DATA_MASTER!$D$2:$D$5000,0)),"SĐT chưa đăng ký hội viên; ","")&amp;IF(AND($L935="Đã chuyển khoản",$M935=""),"Thiếu ngày nhận CK; ",""))</f>
        <v/>
      </c>
      <c r="T935" s="24" t="n"/>
    </row>
    <row r="936" ht="14.25" customHeight="1" s="40">
      <c r="A936" s="24" t="n"/>
      <c r="B936" s="29" t="n"/>
      <c r="C936" s="28" t="n"/>
      <c r="D936" s="22">
        <f t="array" ref="D936">IF($C936="","",IFERROR(INDEX(DATA_MASTER!$C$2:$C$5000,MATCH($C936,DATA_MASTER!$D$2:$D$5000,0)),""))</f>
        <v/>
      </c>
      <c r="E936" s="22">
        <f t="array" ref="E936">IF($C936="","",IFERROR(INDEX(DATA_MASTER!$I$2:$I$5000,MATCH($C936,DATA_MASTER!$D$2:$D$5000,0)),""))</f>
        <v/>
      </c>
      <c r="F936" s="22">
        <f t="array" ref="F936">IF($C936="","",IFERROR(INDEX(DATA_MASTER!$L$2:$L$5000,MATCH($C936,DATA_MASTER!$D$2:$D$5000,0)),""))</f>
        <v/>
      </c>
      <c r="G936" s="24" t="n"/>
      <c r="H936" s="24" t="n"/>
      <c r="I936" s="30" t="n"/>
      <c r="J936" s="23">
        <f>IF(OR($H936="",$I936=""),"",$H936*$I936)</f>
        <v/>
      </c>
      <c r="K936" s="24" t="n"/>
      <c r="L936" s="24" t="n"/>
      <c r="M936" s="29" t="n"/>
      <c r="N936" s="28" t="n"/>
      <c r="O936" s="24" t="n"/>
      <c r="P936" s="24" t="n"/>
      <c r="Q936" s="24" t="n"/>
      <c r="R936" s="24" t="n"/>
      <c r="S936" s="22">
        <f>IF(AND($A936="",$C936=""),"",IF($A936="","Thiếu mã đơn; ","")&amp;IF(COUNTIF($A$2:$A936,$A936)&gt;1,"Trùng mã đơn; ","")&amp;IF(ISNA(MATCH($C936,DATA_MASTER!$D$2:$D$5000,0)),"SĐT chưa đăng ký hội viên; ","")&amp;IF(AND($L936="Đã chuyển khoản",$M936=""),"Thiếu ngày nhận CK; ",""))</f>
        <v/>
      </c>
      <c r="T936" s="24" t="n"/>
    </row>
    <row r="937" ht="14.25" customHeight="1" s="40">
      <c r="A937" s="24" t="n"/>
      <c r="B937" s="29" t="n"/>
      <c r="C937" s="28" t="n"/>
      <c r="D937" s="22">
        <f t="array" ref="D937">IF($C937="","",IFERROR(INDEX(DATA_MASTER!$C$2:$C$5000,MATCH($C937,DATA_MASTER!$D$2:$D$5000,0)),""))</f>
        <v/>
      </c>
      <c r="E937" s="22">
        <f t="array" ref="E937">IF($C937="","",IFERROR(INDEX(DATA_MASTER!$I$2:$I$5000,MATCH($C937,DATA_MASTER!$D$2:$D$5000,0)),""))</f>
        <v/>
      </c>
      <c r="F937" s="22">
        <f t="array" ref="F937">IF($C937="","",IFERROR(INDEX(DATA_MASTER!$L$2:$L$5000,MATCH($C937,DATA_MASTER!$D$2:$D$5000,0)),""))</f>
        <v/>
      </c>
      <c r="G937" s="24" t="n"/>
      <c r="H937" s="24" t="n"/>
      <c r="I937" s="30" t="n"/>
      <c r="J937" s="23">
        <f>IF(OR($H937="",$I937=""),"",$H937*$I937)</f>
        <v/>
      </c>
      <c r="K937" s="24" t="n"/>
      <c r="L937" s="24" t="n"/>
      <c r="M937" s="29" t="n"/>
      <c r="N937" s="28" t="n"/>
      <c r="O937" s="24" t="n"/>
      <c r="P937" s="24" t="n"/>
      <c r="Q937" s="24" t="n"/>
      <c r="R937" s="24" t="n"/>
      <c r="S937" s="22">
        <f>IF(AND($A937="",$C937=""),"",IF($A937="","Thiếu mã đơn; ","")&amp;IF(COUNTIF($A$2:$A937,$A937)&gt;1,"Trùng mã đơn; ","")&amp;IF(ISNA(MATCH($C937,DATA_MASTER!$D$2:$D$5000,0)),"SĐT chưa đăng ký hội viên; ","")&amp;IF(AND($L937="Đã chuyển khoản",$M937=""),"Thiếu ngày nhận CK; ",""))</f>
        <v/>
      </c>
      <c r="T937" s="24" t="n"/>
    </row>
    <row r="938" ht="14.25" customHeight="1" s="40">
      <c r="A938" s="24" t="n"/>
      <c r="B938" s="29" t="n"/>
      <c r="C938" s="28" t="n"/>
      <c r="D938" s="22">
        <f t="array" ref="D938">IF($C938="","",IFERROR(INDEX(DATA_MASTER!$C$2:$C$5000,MATCH($C938,DATA_MASTER!$D$2:$D$5000,0)),""))</f>
        <v/>
      </c>
      <c r="E938" s="22">
        <f t="array" ref="E938">IF($C938="","",IFERROR(INDEX(DATA_MASTER!$I$2:$I$5000,MATCH($C938,DATA_MASTER!$D$2:$D$5000,0)),""))</f>
        <v/>
      </c>
      <c r="F938" s="22">
        <f t="array" ref="F938">IF($C938="","",IFERROR(INDEX(DATA_MASTER!$L$2:$L$5000,MATCH($C938,DATA_MASTER!$D$2:$D$5000,0)),""))</f>
        <v/>
      </c>
      <c r="G938" s="24" t="n"/>
      <c r="H938" s="24" t="n"/>
      <c r="I938" s="30" t="n"/>
      <c r="J938" s="23">
        <f>IF(OR($H938="",$I938=""),"",$H938*$I938)</f>
        <v/>
      </c>
      <c r="K938" s="24" t="n"/>
      <c r="L938" s="24" t="n"/>
      <c r="M938" s="29" t="n"/>
      <c r="N938" s="28" t="n"/>
      <c r="O938" s="24" t="n"/>
      <c r="P938" s="24" t="n"/>
      <c r="Q938" s="24" t="n"/>
      <c r="R938" s="24" t="n"/>
      <c r="S938" s="22">
        <f>IF(AND($A938="",$C938=""),"",IF($A938="","Thiếu mã đơn; ","")&amp;IF(COUNTIF($A$2:$A938,$A938)&gt;1,"Trùng mã đơn; ","")&amp;IF(ISNA(MATCH($C938,DATA_MASTER!$D$2:$D$5000,0)),"SĐT chưa đăng ký hội viên; ","")&amp;IF(AND($L938="Đã chuyển khoản",$M938=""),"Thiếu ngày nhận CK; ",""))</f>
        <v/>
      </c>
      <c r="T938" s="24" t="n"/>
    </row>
    <row r="939" ht="14.25" customHeight="1" s="40">
      <c r="A939" s="24" t="n"/>
      <c r="B939" s="29" t="n"/>
      <c r="C939" s="28" t="n"/>
      <c r="D939" s="22">
        <f t="array" ref="D939">IF($C939="","",IFERROR(INDEX(DATA_MASTER!$C$2:$C$5000,MATCH($C939,DATA_MASTER!$D$2:$D$5000,0)),""))</f>
        <v/>
      </c>
      <c r="E939" s="22">
        <f t="array" ref="E939">IF($C939="","",IFERROR(INDEX(DATA_MASTER!$I$2:$I$5000,MATCH($C939,DATA_MASTER!$D$2:$D$5000,0)),""))</f>
        <v/>
      </c>
      <c r="F939" s="22">
        <f t="array" ref="F939">IF($C939="","",IFERROR(INDEX(DATA_MASTER!$L$2:$L$5000,MATCH($C939,DATA_MASTER!$D$2:$D$5000,0)),""))</f>
        <v/>
      </c>
      <c r="G939" s="24" t="n"/>
      <c r="H939" s="24" t="n"/>
      <c r="I939" s="30" t="n"/>
      <c r="J939" s="23">
        <f>IF(OR($H939="",$I939=""),"",$H939*$I939)</f>
        <v/>
      </c>
      <c r="K939" s="24" t="n"/>
      <c r="L939" s="24" t="n"/>
      <c r="M939" s="29" t="n"/>
      <c r="N939" s="28" t="n"/>
      <c r="O939" s="24" t="n"/>
      <c r="P939" s="24" t="n"/>
      <c r="Q939" s="24" t="n"/>
      <c r="R939" s="24" t="n"/>
      <c r="S939" s="22">
        <f>IF(AND($A939="",$C939=""),"",IF($A939="","Thiếu mã đơn; ","")&amp;IF(COUNTIF($A$2:$A939,$A939)&gt;1,"Trùng mã đơn; ","")&amp;IF(ISNA(MATCH($C939,DATA_MASTER!$D$2:$D$5000,0)),"SĐT chưa đăng ký hội viên; ","")&amp;IF(AND($L939="Đã chuyển khoản",$M939=""),"Thiếu ngày nhận CK; ",""))</f>
        <v/>
      </c>
      <c r="T939" s="24" t="n"/>
    </row>
    <row r="940" ht="14.25" customHeight="1" s="40">
      <c r="A940" s="24" t="n"/>
      <c r="B940" s="29" t="n"/>
      <c r="C940" s="28" t="n"/>
      <c r="D940" s="22">
        <f t="array" ref="D940">IF($C940="","",IFERROR(INDEX(DATA_MASTER!$C$2:$C$5000,MATCH($C940,DATA_MASTER!$D$2:$D$5000,0)),""))</f>
        <v/>
      </c>
      <c r="E940" s="22">
        <f t="array" ref="E940">IF($C940="","",IFERROR(INDEX(DATA_MASTER!$I$2:$I$5000,MATCH($C940,DATA_MASTER!$D$2:$D$5000,0)),""))</f>
        <v/>
      </c>
      <c r="F940" s="22">
        <f t="array" ref="F940">IF($C940="","",IFERROR(INDEX(DATA_MASTER!$L$2:$L$5000,MATCH($C940,DATA_MASTER!$D$2:$D$5000,0)),""))</f>
        <v/>
      </c>
      <c r="G940" s="24" t="n"/>
      <c r="H940" s="24" t="n"/>
      <c r="I940" s="30" t="n"/>
      <c r="J940" s="23">
        <f>IF(OR($H940="",$I940=""),"",$H940*$I940)</f>
        <v/>
      </c>
      <c r="K940" s="24" t="n"/>
      <c r="L940" s="24" t="n"/>
      <c r="M940" s="29" t="n"/>
      <c r="N940" s="28" t="n"/>
      <c r="O940" s="24" t="n"/>
      <c r="P940" s="24" t="n"/>
      <c r="Q940" s="24" t="n"/>
      <c r="R940" s="24" t="n"/>
      <c r="S940" s="22">
        <f>IF(AND($A940="",$C940=""),"",IF($A940="","Thiếu mã đơn; ","")&amp;IF(COUNTIF($A$2:$A940,$A940)&gt;1,"Trùng mã đơn; ","")&amp;IF(ISNA(MATCH($C940,DATA_MASTER!$D$2:$D$5000,0)),"SĐT chưa đăng ký hội viên; ","")&amp;IF(AND($L940="Đã chuyển khoản",$M940=""),"Thiếu ngày nhận CK; ",""))</f>
        <v/>
      </c>
      <c r="T940" s="24" t="n"/>
    </row>
    <row r="941" ht="14.25" customHeight="1" s="40">
      <c r="A941" s="24" t="n"/>
      <c r="B941" s="29" t="n"/>
      <c r="C941" s="28" t="n"/>
      <c r="D941" s="22">
        <f t="array" ref="D941">IF($C941="","",IFERROR(INDEX(DATA_MASTER!$C$2:$C$5000,MATCH($C941,DATA_MASTER!$D$2:$D$5000,0)),""))</f>
        <v/>
      </c>
      <c r="E941" s="22">
        <f t="array" ref="E941">IF($C941="","",IFERROR(INDEX(DATA_MASTER!$I$2:$I$5000,MATCH($C941,DATA_MASTER!$D$2:$D$5000,0)),""))</f>
        <v/>
      </c>
      <c r="F941" s="22">
        <f t="array" ref="F941">IF($C941="","",IFERROR(INDEX(DATA_MASTER!$L$2:$L$5000,MATCH($C941,DATA_MASTER!$D$2:$D$5000,0)),""))</f>
        <v/>
      </c>
      <c r="G941" s="24" t="n"/>
      <c r="H941" s="24" t="n"/>
      <c r="I941" s="30" t="n"/>
      <c r="J941" s="23">
        <f>IF(OR($H941="",$I941=""),"",$H941*$I941)</f>
        <v/>
      </c>
      <c r="K941" s="24" t="n"/>
      <c r="L941" s="24" t="n"/>
      <c r="M941" s="29" t="n"/>
      <c r="N941" s="28" t="n"/>
      <c r="O941" s="24" t="n"/>
      <c r="P941" s="24" t="n"/>
      <c r="Q941" s="24" t="n"/>
      <c r="R941" s="24" t="n"/>
      <c r="S941" s="22">
        <f>IF(AND($A941="",$C941=""),"",IF($A941="","Thiếu mã đơn; ","")&amp;IF(COUNTIF($A$2:$A941,$A941)&gt;1,"Trùng mã đơn; ","")&amp;IF(ISNA(MATCH($C941,DATA_MASTER!$D$2:$D$5000,0)),"SĐT chưa đăng ký hội viên; ","")&amp;IF(AND($L941="Đã chuyển khoản",$M941=""),"Thiếu ngày nhận CK; ",""))</f>
        <v/>
      </c>
      <c r="T941" s="24" t="n"/>
    </row>
    <row r="942" ht="14.25" customHeight="1" s="40">
      <c r="A942" s="24" t="n"/>
      <c r="B942" s="29" t="n"/>
      <c r="C942" s="28" t="n"/>
      <c r="D942" s="22">
        <f t="array" ref="D942">IF($C942="","",IFERROR(INDEX(DATA_MASTER!$C$2:$C$5000,MATCH($C942,DATA_MASTER!$D$2:$D$5000,0)),""))</f>
        <v/>
      </c>
      <c r="E942" s="22">
        <f t="array" ref="E942">IF($C942="","",IFERROR(INDEX(DATA_MASTER!$I$2:$I$5000,MATCH($C942,DATA_MASTER!$D$2:$D$5000,0)),""))</f>
        <v/>
      </c>
      <c r="F942" s="22">
        <f t="array" ref="F942">IF($C942="","",IFERROR(INDEX(DATA_MASTER!$L$2:$L$5000,MATCH($C942,DATA_MASTER!$D$2:$D$5000,0)),""))</f>
        <v/>
      </c>
      <c r="G942" s="24" t="n"/>
      <c r="H942" s="24" t="n"/>
      <c r="I942" s="30" t="n"/>
      <c r="J942" s="23">
        <f>IF(OR($H942="",$I942=""),"",$H942*$I942)</f>
        <v/>
      </c>
      <c r="K942" s="24" t="n"/>
      <c r="L942" s="24" t="n"/>
      <c r="M942" s="29" t="n"/>
      <c r="N942" s="28" t="n"/>
      <c r="O942" s="24" t="n"/>
      <c r="P942" s="24" t="n"/>
      <c r="Q942" s="24" t="n"/>
      <c r="R942" s="24" t="n"/>
      <c r="S942" s="22">
        <f>IF(AND($A942="",$C942=""),"",IF($A942="","Thiếu mã đơn; ","")&amp;IF(COUNTIF($A$2:$A942,$A942)&gt;1,"Trùng mã đơn; ","")&amp;IF(ISNA(MATCH($C942,DATA_MASTER!$D$2:$D$5000,0)),"SĐT chưa đăng ký hội viên; ","")&amp;IF(AND($L942="Đã chuyển khoản",$M942=""),"Thiếu ngày nhận CK; ",""))</f>
        <v/>
      </c>
      <c r="T942" s="24" t="n"/>
    </row>
    <row r="943" ht="14.25" customHeight="1" s="40">
      <c r="A943" s="24" t="n"/>
      <c r="B943" s="29" t="n"/>
      <c r="C943" s="28" t="n"/>
      <c r="D943" s="22">
        <f t="array" ref="D943">IF($C943="","",IFERROR(INDEX(DATA_MASTER!$C$2:$C$5000,MATCH($C943,DATA_MASTER!$D$2:$D$5000,0)),""))</f>
        <v/>
      </c>
      <c r="E943" s="22">
        <f t="array" ref="E943">IF($C943="","",IFERROR(INDEX(DATA_MASTER!$I$2:$I$5000,MATCH($C943,DATA_MASTER!$D$2:$D$5000,0)),""))</f>
        <v/>
      </c>
      <c r="F943" s="22">
        <f t="array" ref="F943">IF($C943="","",IFERROR(INDEX(DATA_MASTER!$L$2:$L$5000,MATCH($C943,DATA_MASTER!$D$2:$D$5000,0)),""))</f>
        <v/>
      </c>
      <c r="G943" s="24" t="n"/>
      <c r="H943" s="24" t="n"/>
      <c r="I943" s="30" t="n"/>
      <c r="J943" s="23">
        <f>IF(OR($H943="",$I943=""),"",$H943*$I943)</f>
        <v/>
      </c>
      <c r="K943" s="24" t="n"/>
      <c r="L943" s="24" t="n"/>
      <c r="M943" s="29" t="n"/>
      <c r="N943" s="28" t="n"/>
      <c r="O943" s="24" t="n"/>
      <c r="P943" s="24" t="n"/>
      <c r="Q943" s="24" t="n"/>
      <c r="R943" s="24" t="n"/>
      <c r="S943" s="22">
        <f>IF(AND($A943="",$C943=""),"",IF($A943="","Thiếu mã đơn; ","")&amp;IF(COUNTIF($A$2:$A943,$A943)&gt;1,"Trùng mã đơn; ","")&amp;IF(ISNA(MATCH($C943,DATA_MASTER!$D$2:$D$5000,0)),"SĐT chưa đăng ký hội viên; ","")&amp;IF(AND($L943="Đã chuyển khoản",$M943=""),"Thiếu ngày nhận CK; ",""))</f>
        <v/>
      </c>
      <c r="T943" s="24" t="n"/>
    </row>
    <row r="944" ht="14.25" customHeight="1" s="40">
      <c r="A944" s="24" t="n"/>
      <c r="B944" s="29" t="n"/>
      <c r="C944" s="28" t="n"/>
      <c r="D944" s="22">
        <f t="array" ref="D944">IF($C944="","",IFERROR(INDEX(DATA_MASTER!$C$2:$C$5000,MATCH($C944,DATA_MASTER!$D$2:$D$5000,0)),""))</f>
        <v/>
      </c>
      <c r="E944" s="22">
        <f t="array" ref="E944">IF($C944="","",IFERROR(INDEX(DATA_MASTER!$I$2:$I$5000,MATCH($C944,DATA_MASTER!$D$2:$D$5000,0)),""))</f>
        <v/>
      </c>
      <c r="F944" s="22">
        <f t="array" ref="F944">IF($C944="","",IFERROR(INDEX(DATA_MASTER!$L$2:$L$5000,MATCH($C944,DATA_MASTER!$D$2:$D$5000,0)),""))</f>
        <v/>
      </c>
      <c r="G944" s="24" t="n"/>
      <c r="H944" s="24" t="n"/>
      <c r="I944" s="30" t="n"/>
      <c r="J944" s="23">
        <f>IF(OR($H944="",$I944=""),"",$H944*$I944)</f>
        <v/>
      </c>
      <c r="K944" s="24" t="n"/>
      <c r="L944" s="24" t="n"/>
      <c r="M944" s="29" t="n"/>
      <c r="N944" s="28" t="n"/>
      <c r="O944" s="24" t="n"/>
      <c r="P944" s="24" t="n"/>
      <c r="Q944" s="24" t="n"/>
      <c r="R944" s="24" t="n"/>
      <c r="S944" s="22">
        <f>IF(AND($A944="",$C944=""),"",IF($A944="","Thiếu mã đơn; ","")&amp;IF(COUNTIF($A$2:$A944,$A944)&gt;1,"Trùng mã đơn; ","")&amp;IF(ISNA(MATCH($C944,DATA_MASTER!$D$2:$D$5000,0)),"SĐT chưa đăng ký hội viên; ","")&amp;IF(AND($L944="Đã chuyển khoản",$M944=""),"Thiếu ngày nhận CK; ",""))</f>
        <v/>
      </c>
      <c r="T944" s="24" t="n"/>
    </row>
    <row r="945" ht="14.25" customHeight="1" s="40">
      <c r="A945" s="24" t="n"/>
      <c r="B945" s="29" t="n"/>
      <c r="C945" s="28" t="n"/>
      <c r="D945" s="22">
        <f t="array" ref="D945">IF($C945="","",IFERROR(INDEX(DATA_MASTER!$C$2:$C$5000,MATCH($C945,DATA_MASTER!$D$2:$D$5000,0)),""))</f>
        <v/>
      </c>
      <c r="E945" s="22">
        <f t="array" ref="E945">IF($C945="","",IFERROR(INDEX(DATA_MASTER!$I$2:$I$5000,MATCH($C945,DATA_MASTER!$D$2:$D$5000,0)),""))</f>
        <v/>
      </c>
      <c r="F945" s="22">
        <f t="array" ref="F945">IF($C945="","",IFERROR(INDEX(DATA_MASTER!$L$2:$L$5000,MATCH($C945,DATA_MASTER!$D$2:$D$5000,0)),""))</f>
        <v/>
      </c>
      <c r="G945" s="24" t="n"/>
      <c r="H945" s="24" t="n"/>
      <c r="I945" s="30" t="n"/>
      <c r="J945" s="23">
        <f>IF(OR($H945="",$I945=""),"",$H945*$I945)</f>
        <v/>
      </c>
      <c r="K945" s="24" t="n"/>
      <c r="L945" s="24" t="n"/>
      <c r="M945" s="29" t="n"/>
      <c r="N945" s="28" t="n"/>
      <c r="O945" s="24" t="n"/>
      <c r="P945" s="24" t="n"/>
      <c r="Q945" s="24" t="n"/>
      <c r="R945" s="24" t="n"/>
      <c r="S945" s="22">
        <f>IF(AND($A945="",$C945=""),"",IF($A945="","Thiếu mã đơn; ","")&amp;IF(COUNTIF($A$2:$A945,$A945)&gt;1,"Trùng mã đơn; ","")&amp;IF(ISNA(MATCH($C945,DATA_MASTER!$D$2:$D$5000,0)),"SĐT chưa đăng ký hội viên; ","")&amp;IF(AND($L945="Đã chuyển khoản",$M945=""),"Thiếu ngày nhận CK; ",""))</f>
        <v/>
      </c>
      <c r="T945" s="24" t="n"/>
    </row>
    <row r="946" ht="14.25" customHeight="1" s="40">
      <c r="A946" s="24" t="n"/>
      <c r="B946" s="29" t="n"/>
      <c r="C946" s="28" t="n"/>
      <c r="D946" s="22">
        <f t="array" ref="D946">IF($C946="","",IFERROR(INDEX(DATA_MASTER!$C$2:$C$5000,MATCH($C946,DATA_MASTER!$D$2:$D$5000,0)),""))</f>
        <v/>
      </c>
      <c r="E946" s="22">
        <f t="array" ref="E946">IF($C946="","",IFERROR(INDEX(DATA_MASTER!$I$2:$I$5000,MATCH($C946,DATA_MASTER!$D$2:$D$5000,0)),""))</f>
        <v/>
      </c>
      <c r="F946" s="22">
        <f t="array" ref="F946">IF($C946="","",IFERROR(INDEX(DATA_MASTER!$L$2:$L$5000,MATCH($C946,DATA_MASTER!$D$2:$D$5000,0)),""))</f>
        <v/>
      </c>
      <c r="G946" s="24" t="n"/>
      <c r="H946" s="24" t="n"/>
      <c r="I946" s="30" t="n"/>
      <c r="J946" s="23">
        <f>IF(OR($H946="",$I946=""),"",$H946*$I946)</f>
        <v/>
      </c>
      <c r="K946" s="24" t="n"/>
      <c r="L946" s="24" t="n"/>
      <c r="M946" s="29" t="n"/>
      <c r="N946" s="28" t="n"/>
      <c r="O946" s="24" t="n"/>
      <c r="P946" s="24" t="n"/>
      <c r="Q946" s="24" t="n"/>
      <c r="R946" s="24" t="n"/>
      <c r="S946" s="22">
        <f>IF(AND($A946="",$C946=""),"",IF($A946="","Thiếu mã đơn; ","")&amp;IF(COUNTIF($A$2:$A946,$A946)&gt;1,"Trùng mã đơn; ","")&amp;IF(ISNA(MATCH($C946,DATA_MASTER!$D$2:$D$5000,0)),"SĐT chưa đăng ký hội viên; ","")&amp;IF(AND($L946="Đã chuyển khoản",$M946=""),"Thiếu ngày nhận CK; ",""))</f>
        <v/>
      </c>
      <c r="T946" s="24" t="n"/>
    </row>
    <row r="947" ht="14.25" customHeight="1" s="40">
      <c r="A947" s="24" t="n"/>
      <c r="B947" s="29" t="n"/>
      <c r="C947" s="28" t="n"/>
      <c r="D947" s="22">
        <f t="array" ref="D947">IF($C947="","",IFERROR(INDEX(DATA_MASTER!$C$2:$C$5000,MATCH($C947,DATA_MASTER!$D$2:$D$5000,0)),""))</f>
        <v/>
      </c>
      <c r="E947" s="22">
        <f t="array" ref="E947">IF($C947="","",IFERROR(INDEX(DATA_MASTER!$I$2:$I$5000,MATCH($C947,DATA_MASTER!$D$2:$D$5000,0)),""))</f>
        <v/>
      </c>
      <c r="F947" s="22">
        <f t="array" ref="F947">IF($C947="","",IFERROR(INDEX(DATA_MASTER!$L$2:$L$5000,MATCH($C947,DATA_MASTER!$D$2:$D$5000,0)),""))</f>
        <v/>
      </c>
      <c r="G947" s="24" t="n"/>
      <c r="H947" s="24" t="n"/>
      <c r="I947" s="30" t="n"/>
      <c r="J947" s="23">
        <f>IF(OR($H947="",$I947=""),"",$H947*$I947)</f>
        <v/>
      </c>
      <c r="K947" s="24" t="n"/>
      <c r="L947" s="24" t="n"/>
      <c r="M947" s="29" t="n"/>
      <c r="N947" s="28" t="n"/>
      <c r="O947" s="24" t="n"/>
      <c r="P947" s="24" t="n"/>
      <c r="Q947" s="24" t="n"/>
      <c r="R947" s="24" t="n"/>
      <c r="S947" s="22">
        <f>IF(AND($A947="",$C947=""),"",IF($A947="","Thiếu mã đơn; ","")&amp;IF(COUNTIF($A$2:$A947,$A947)&gt;1,"Trùng mã đơn; ","")&amp;IF(ISNA(MATCH($C947,DATA_MASTER!$D$2:$D$5000,0)),"SĐT chưa đăng ký hội viên; ","")&amp;IF(AND($L947="Đã chuyển khoản",$M947=""),"Thiếu ngày nhận CK; ",""))</f>
        <v/>
      </c>
      <c r="T947" s="24" t="n"/>
    </row>
    <row r="948" ht="14.25" customHeight="1" s="40">
      <c r="A948" s="24" t="n"/>
      <c r="B948" s="29" t="n"/>
      <c r="C948" s="28" t="n"/>
      <c r="D948" s="22">
        <f t="array" ref="D948">IF($C948="","",IFERROR(INDEX(DATA_MASTER!$C$2:$C$5000,MATCH($C948,DATA_MASTER!$D$2:$D$5000,0)),""))</f>
        <v/>
      </c>
      <c r="E948" s="22">
        <f t="array" ref="E948">IF($C948="","",IFERROR(INDEX(DATA_MASTER!$I$2:$I$5000,MATCH($C948,DATA_MASTER!$D$2:$D$5000,0)),""))</f>
        <v/>
      </c>
      <c r="F948" s="22">
        <f t="array" ref="F948">IF($C948="","",IFERROR(INDEX(DATA_MASTER!$L$2:$L$5000,MATCH($C948,DATA_MASTER!$D$2:$D$5000,0)),""))</f>
        <v/>
      </c>
      <c r="G948" s="24" t="n"/>
      <c r="H948" s="24" t="n"/>
      <c r="I948" s="30" t="n"/>
      <c r="J948" s="23">
        <f>IF(OR($H948="",$I948=""),"",$H948*$I948)</f>
        <v/>
      </c>
      <c r="K948" s="24" t="n"/>
      <c r="L948" s="24" t="n"/>
      <c r="M948" s="29" t="n"/>
      <c r="N948" s="28" t="n"/>
      <c r="O948" s="24" t="n"/>
      <c r="P948" s="24" t="n"/>
      <c r="Q948" s="24" t="n"/>
      <c r="R948" s="24" t="n"/>
      <c r="S948" s="22">
        <f>IF(AND($A948="",$C948=""),"",IF($A948="","Thiếu mã đơn; ","")&amp;IF(COUNTIF($A$2:$A948,$A948)&gt;1,"Trùng mã đơn; ","")&amp;IF(ISNA(MATCH($C948,DATA_MASTER!$D$2:$D$5000,0)),"SĐT chưa đăng ký hội viên; ","")&amp;IF(AND($L948="Đã chuyển khoản",$M948=""),"Thiếu ngày nhận CK; ",""))</f>
        <v/>
      </c>
      <c r="T948" s="24" t="n"/>
    </row>
    <row r="949" ht="14.25" customHeight="1" s="40">
      <c r="A949" s="24" t="n"/>
      <c r="B949" s="29" t="n"/>
      <c r="C949" s="28" t="n"/>
      <c r="D949" s="22">
        <f t="array" ref="D949">IF($C949="","",IFERROR(INDEX(DATA_MASTER!$C$2:$C$5000,MATCH($C949,DATA_MASTER!$D$2:$D$5000,0)),""))</f>
        <v/>
      </c>
      <c r="E949" s="22">
        <f t="array" ref="E949">IF($C949="","",IFERROR(INDEX(DATA_MASTER!$I$2:$I$5000,MATCH($C949,DATA_MASTER!$D$2:$D$5000,0)),""))</f>
        <v/>
      </c>
      <c r="F949" s="22">
        <f t="array" ref="F949">IF($C949="","",IFERROR(INDEX(DATA_MASTER!$L$2:$L$5000,MATCH($C949,DATA_MASTER!$D$2:$D$5000,0)),""))</f>
        <v/>
      </c>
      <c r="G949" s="24" t="n"/>
      <c r="H949" s="24" t="n"/>
      <c r="I949" s="30" t="n"/>
      <c r="J949" s="23">
        <f>IF(OR($H949="",$I949=""),"",$H949*$I949)</f>
        <v/>
      </c>
      <c r="K949" s="24" t="n"/>
      <c r="L949" s="24" t="n"/>
      <c r="M949" s="29" t="n"/>
      <c r="N949" s="28" t="n"/>
      <c r="O949" s="24" t="n"/>
      <c r="P949" s="24" t="n"/>
      <c r="Q949" s="24" t="n"/>
      <c r="R949" s="24" t="n"/>
      <c r="S949" s="22">
        <f>IF(AND($A949="",$C949=""),"",IF($A949="","Thiếu mã đơn; ","")&amp;IF(COUNTIF($A$2:$A949,$A949)&gt;1,"Trùng mã đơn; ","")&amp;IF(ISNA(MATCH($C949,DATA_MASTER!$D$2:$D$5000,0)),"SĐT chưa đăng ký hội viên; ","")&amp;IF(AND($L949="Đã chuyển khoản",$M949=""),"Thiếu ngày nhận CK; ",""))</f>
        <v/>
      </c>
      <c r="T949" s="24" t="n"/>
    </row>
    <row r="950" ht="14.25" customHeight="1" s="40">
      <c r="A950" s="24" t="n"/>
      <c r="B950" s="29" t="n"/>
      <c r="C950" s="28" t="n"/>
      <c r="D950" s="22">
        <f t="array" ref="D950">IF($C950="","",IFERROR(INDEX(DATA_MASTER!$C$2:$C$5000,MATCH($C950,DATA_MASTER!$D$2:$D$5000,0)),""))</f>
        <v/>
      </c>
      <c r="E950" s="22">
        <f t="array" ref="E950">IF($C950="","",IFERROR(INDEX(DATA_MASTER!$I$2:$I$5000,MATCH($C950,DATA_MASTER!$D$2:$D$5000,0)),""))</f>
        <v/>
      </c>
      <c r="F950" s="22">
        <f t="array" ref="F950">IF($C950="","",IFERROR(INDEX(DATA_MASTER!$L$2:$L$5000,MATCH($C950,DATA_MASTER!$D$2:$D$5000,0)),""))</f>
        <v/>
      </c>
      <c r="G950" s="24" t="n"/>
      <c r="H950" s="24" t="n"/>
      <c r="I950" s="30" t="n"/>
      <c r="J950" s="23">
        <f>IF(OR($H950="",$I950=""),"",$H950*$I950)</f>
        <v/>
      </c>
      <c r="K950" s="24" t="n"/>
      <c r="L950" s="24" t="n"/>
      <c r="M950" s="29" t="n"/>
      <c r="N950" s="28" t="n"/>
      <c r="O950" s="24" t="n"/>
      <c r="P950" s="24" t="n"/>
      <c r="Q950" s="24" t="n"/>
      <c r="R950" s="24" t="n"/>
      <c r="S950" s="22">
        <f>IF(AND($A950="",$C950=""),"",IF($A950="","Thiếu mã đơn; ","")&amp;IF(COUNTIF($A$2:$A950,$A950)&gt;1,"Trùng mã đơn; ","")&amp;IF(ISNA(MATCH($C950,DATA_MASTER!$D$2:$D$5000,0)),"SĐT chưa đăng ký hội viên; ","")&amp;IF(AND($L950="Đã chuyển khoản",$M950=""),"Thiếu ngày nhận CK; ",""))</f>
        <v/>
      </c>
      <c r="T950" s="24" t="n"/>
    </row>
    <row r="951" ht="14.25" customHeight="1" s="40">
      <c r="A951" s="24" t="n"/>
      <c r="B951" s="29" t="n"/>
      <c r="C951" s="28" t="n"/>
      <c r="D951" s="22">
        <f t="array" ref="D951">IF($C951="","",IFERROR(INDEX(DATA_MASTER!$C$2:$C$5000,MATCH($C951,DATA_MASTER!$D$2:$D$5000,0)),""))</f>
        <v/>
      </c>
      <c r="E951" s="22">
        <f t="array" ref="E951">IF($C951="","",IFERROR(INDEX(DATA_MASTER!$I$2:$I$5000,MATCH($C951,DATA_MASTER!$D$2:$D$5000,0)),""))</f>
        <v/>
      </c>
      <c r="F951" s="22">
        <f t="array" ref="F951">IF($C951="","",IFERROR(INDEX(DATA_MASTER!$L$2:$L$5000,MATCH($C951,DATA_MASTER!$D$2:$D$5000,0)),""))</f>
        <v/>
      </c>
      <c r="G951" s="24" t="n"/>
      <c r="H951" s="24" t="n"/>
      <c r="I951" s="30" t="n"/>
      <c r="J951" s="23">
        <f>IF(OR($H951="",$I951=""),"",$H951*$I951)</f>
        <v/>
      </c>
      <c r="K951" s="24" t="n"/>
      <c r="L951" s="24" t="n"/>
      <c r="M951" s="29" t="n"/>
      <c r="N951" s="28" t="n"/>
      <c r="O951" s="24" t="n"/>
      <c r="P951" s="24" t="n"/>
      <c r="Q951" s="24" t="n"/>
      <c r="R951" s="24" t="n"/>
      <c r="S951" s="22">
        <f>IF(AND($A951="",$C951=""),"",IF($A951="","Thiếu mã đơn; ","")&amp;IF(COUNTIF($A$2:$A951,$A951)&gt;1,"Trùng mã đơn; ","")&amp;IF(ISNA(MATCH($C951,DATA_MASTER!$D$2:$D$5000,0)),"SĐT chưa đăng ký hội viên; ","")&amp;IF(AND($L951="Đã chuyển khoản",$M951=""),"Thiếu ngày nhận CK; ",""))</f>
        <v/>
      </c>
      <c r="T951" s="24" t="n"/>
    </row>
    <row r="952" ht="14.25" customHeight="1" s="40">
      <c r="A952" s="24" t="n"/>
      <c r="B952" s="29" t="n"/>
      <c r="C952" s="28" t="n"/>
      <c r="D952" s="22">
        <f t="array" ref="D952">IF($C952="","",IFERROR(INDEX(DATA_MASTER!$C$2:$C$5000,MATCH($C952,DATA_MASTER!$D$2:$D$5000,0)),""))</f>
        <v/>
      </c>
      <c r="E952" s="22">
        <f t="array" ref="E952">IF($C952="","",IFERROR(INDEX(DATA_MASTER!$I$2:$I$5000,MATCH($C952,DATA_MASTER!$D$2:$D$5000,0)),""))</f>
        <v/>
      </c>
      <c r="F952" s="22">
        <f t="array" ref="F952">IF($C952="","",IFERROR(INDEX(DATA_MASTER!$L$2:$L$5000,MATCH($C952,DATA_MASTER!$D$2:$D$5000,0)),""))</f>
        <v/>
      </c>
      <c r="G952" s="24" t="n"/>
      <c r="H952" s="24" t="n"/>
      <c r="I952" s="30" t="n"/>
      <c r="J952" s="23">
        <f>IF(OR($H952="",$I952=""),"",$H952*$I952)</f>
        <v/>
      </c>
      <c r="K952" s="24" t="n"/>
      <c r="L952" s="24" t="n"/>
      <c r="M952" s="29" t="n"/>
      <c r="N952" s="28" t="n"/>
      <c r="O952" s="24" t="n"/>
      <c r="P952" s="24" t="n"/>
      <c r="Q952" s="24" t="n"/>
      <c r="R952" s="24" t="n"/>
      <c r="S952" s="22">
        <f>IF(AND($A952="",$C952=""),"",IF($A952="","Thiếu mã đơn; ","")&amp;IF(COUNTIF($A$2:$A952,$A952)&gt;1,"Trùng mã đơn; ","")&amp;IF(ISNA(MATCH($C952,DATA_MASTER!$D$2:$D$5000,0)),"SĐT chưa đăng ký hội viên; ","")&amp;IF(AND($L952="Đã chuyển khoản",$M952=""),"Thiếu ngày nhận CK; ",""))</f>
        <v/>
      </c>
      <c r="T952" s="24" t="n"/>
    </row>
    <row r="953" ht="14.25" customHeight="1" s="40">
      <c r="A953" s="24" t="n"/>
      <c r="B953" s="29" t="n"/>
      <c r="C953" s="28" t="n"/>
      <c r="D953" s="22">
        <f t="array" ref="D953">IF($C953="","",IFERROR(INDEX(DATA_MASTER!$C$2:$C$5000,MATCH($C953,DATA_MASTER!$D$2:$D$5000,0)),""))</f>
        <v/>
      </c>
      <c r="E953" s="22">
        <f t="array" ref="E953">IF($C953="","",IFERROR(INDEX(DATA_MASTER!$I$2:$I$5000,MATCH($C953,DATA_MASTER!$D$2:$D$5000,0)),""))</f>
        <v/>
      </c>
      <c r="F953" s="22">
        <f t="array" ref="F953">IF($C953="","",IFERROR(INDEX(DATA_MASTER!$L$2:$L$5000,MATCH($C953,DATA_MASTER!$D$2:$D$5000,0)),""))</f>
        <v/>
      </c>
      <c r="G953" s="24" t="n"/>
      <c r="H953" s="24" t="n"/>
      <c r="I953" s="30" t="n"/>
      <c r="J953" s="23">
        <f>IF(OR($H953="",$I953=""),"",$H953*$I953)</f>
        <v/>
      </c>
      <c r="K953" s="24" t="n"/>
      <c r="L953" s="24" t="n"/>
      <c r="M953" s="29" t="n"/>
      <c r="N953" s="28" t="n"/>
      <c r="O953" s="24" t="n"/>
      <c r="P953" s="24" t="n"/>
      <c r="Q953" s="24" t="n"/>
      <c r="R953" s="24" t="n"/>
      <c r="S953" s="22">
        <f>IF(AND($A953="",$C953=""),"",IF($A953="","Thiếu mã đơn; ","")&amp;IF(COUNTIF($A$2:$A953,$A953)&gt;1,"Trùng mã đơn; ","")&amp;IF(ISNA(MATCH($C953,DATA_MASTER!$D$2:$D$5000,0)),"SĐT chưa đăng ký hội viên; ","")&amp;IF(AND($L953="Đã chuyển khoản",$M953=""),"Thiếu ngày nhận CK; ",""))</f>
        <v/>
      </c>
      <c r="T953" s="24" t="n"/>
    </row>
    <row r="954" ht="14.25" customHeight="1" s="40">
      <c r="A954" s="24" t="n"/>
      <c r="B954" s="29" t="n"/>
      <c r="C954" s="28" t="n"/>
      <c r="D954" s="22">
        <f t="array" ref="D954">IF($C954="","",IFERROR(INDEX(DATA_MASTER!$C$2:$C$5000,MATCH($C954,DATA_MASTER!$D$2:$D$5000,0)),""))</f>
        <v/>
      </c>
      <c r="E954" s="22">
        <f t="array" ref="E954">IF($C954="","",IFERROR(INDEX(DATA_MASTER!$I$2:$I$5000,MATCH($C954,DATA_MASTER!$D$2:$D$5000,0)),""))</f>
        <v/>
      </c>
      <c r="F954" s="22">
        <f t="array" ref="F954">IF($C954="","",IFERROR(INDEX(DATA_MASTER!$L$2:$L$5000,MATCH($C954,DATA_MASTER!$D$2:$D$5000,0)),""))</f>
        <v/>
      </c>
      <c r="G954" s="24" t="n"/>
      <c r="H954" s="24" t="n"/>
      <c r="I954" s="30" t="n"/>
      <c r="J954" s="23">
        <f>IF(OR($H954="",$I954=""),"",$H954*$I954)</f>
        <v/>
      </c>
      <c r="K954" s="24" t="n"/>
      <c r="L954" s="24" t="n"/>
      <c r="M954" s="29" t="n"/>
      <c r="N954" s="28" t="n"/>
      <c r="O954" s="24" t="n"/>
      <c r="P954" s="24" t="n"/>
      <c r="Q954" s="24" t="n"/>
      <c r="R954" s="24" t="n"/>
      <c r="S954" s="22">
        <f>IF(AND($A954="",$C954=""),"",IF($A954="","Thiếu mã đơn; ","")&amp;IF(COUNTIF($A$2:$A954,$A954)&gt;1,"Trùng mã đơn; ","")&amp;IF(ISNA(MATCH($C954,DATA_MASTER!$D$2:$D$5000,0)),"SĐT chưa đăng ký hội viên; ","")&amp;IF(AND($L954="Đã chuyển khoản",$M954=""),"Thiếu ngày nhận CK; ",""))</f>
        <v/>
      </c>
      <c r="T954" s="24" t="n"/>
    </row>
    <row r="955" ht="14.25" customHeight="1" s="40">
      <c r="A955" s="24" t="n"/>
      <c r="B955" s="29" t="n"/>
      <c r="C955" s="28" t="n"/>
      <c r="D955" s="22">
        <f t="array" ref="D955">IF($C955="","",IFERROR(INDEX(DATA_MASTER!$C$2:$C$5000,MATCH($C955,DATA_MASTER!$D$2:$D$5000,0)),""))</f>
        <v/>
      </c>
      <c r="E955" s="22">
        <f t="array" ref="E955">IF($C955="","",IFERROR(INDEX(DATA_MASTER!$I$2:$I$5000,MATCH($C955,DATA_MASTER!$D$2:$D$5000,0)),""))</f>
        <v/>
      </c>
      <c r="F955" s="22">
        <f t="array" ref="F955">IF($C955="","",IFERROR(INDEX(DATA_MASTER!$L$2:$L$5000,MATCH($C955,DATA_MASTER!$D$2:$D$5000,0)),""))</f>
        <v/>
      </c>
      <c r="G955" s="24" t="n"/>
      <c r="H955" s="24" t="n"/>
      <c r="I955" s="30" t="n"/>
      <c r="J955" s="23">
        <f>IF(OR($H955="",$I955=""),"",$H955*$I955)</f>
        <v/>
      </c>
      <c r="K955" s="24" t="n"/>
      <c r="L955" s="24" t="n"/>
      <c r="M955" s="29" t="n"/>
      <c r="N955" s="28" t="n"/>
      <c r="O955" s="24" t="n"/>
      <c r="P955" s="24" t="n"/>
      <c r="Q955" s="24" t="n"/>
      <c r="R955" s="24" t="n"/>
      <c r="S955" s="22">
        <f>IF(AND($A955="",$C955=""),"",IF($A955="","Thiếu mã đơn; ","")&amp;IF(COUNTIF($A$2:$A955,$A955)&gt;1,"Trùng mã đơn; ","")&amp;IF(ISNA(MATCH($C955,DATA_MASTER!$D$2:$D$5000,0)),"SĐT chưa đăng ký hội viên; ","")&amp;IF(AND($L955="Đã chuyển khoản",$M955=""),"Thiếu ngày nhận CK; ",""))</f>
        <v/>
      </c>
      <c r="T955" s="24" t="n"/>
    </row>
    <row r="956" ht="14.25" customHeight="1" s="40">
      <c r="A956" s="24" t="n"/>
      <c r="B956" s="29" t="n"/>
      <c r="C956" s="28" t="n"/>
      <c r="D956" s="22">
        <f t="array" ref="D956">IF($C956="","",IFERROR(INDEX(DATA_MASTER!$C$2:$C$5000,MATCH($C956,DATA_MASTER!$D$2:$D$5000,0)),""))</f>
        <v/>
      </c>
      <c r="E956" s="22">
        <f t="array" ref="E956">IF($C956="","",IFERROR(INDEX(DATA_MASTER!$I$2:$I$5000,MATCH($C956,DATA_MASTER!$D$2:$D$5000,0)),""))</f>
        <v/>
      </c>
      <c r="F956" s="22">
        <f t="array" ref="F956">IF($C956="","",IFERROR(INDEX(DATA_MASTER!$L$2:$L$5000,MATCH($C956,DATA_MASTER!$D$2:$D$5000,0)),""))</f>
        <v/>
      </c>
      <c r="G956" s="24" t="n"/>
      <c r="H956" s="24" t="n"/>
      <c r="I956" s="30" t="n"/>
      <c r="J956" s="23">
        <f>IF(OR($H956="",$I956=""),"",$H956*$I956)</f>
        <v/>
      </c>
      <c r="K956" s="24" t="n"/>
      <c r="L956" s="24" t="n"/>
      <c r="M956" s="29" t="n"/>
      <c r="N956" s="28" t="n"/>
      <c r="O956" s="24" t="n"/>
      <c r="P956" s="24" t="n"/>
      <c r="Q956" s="24" t="n"/>
      <c r="R956" s="24" t="n"/>
      <c r="S956" s="22">
        <f>IF(AND($A956="",$C956=""),"",IF($A956="","Thiếu mã đơn; ","")&amp;IF(COUNTIF($A$2:$A956,$A956)&gt;1,"Trùng mã đơn; ","")&amp;IF(ISNA(MATCH($C956,DATA_MASTER!$D$2:$D$5000,0)),"SĐT chưa đăng ký hội viên; ","")&amp;IF(AND($L956="Đã chuyển khoản",$M956=""),"Thiếu ngày nhận CK; ",""))</f>
        <v/>
      </c>
      <c r="T956" s="24" t="n"/>
    </row>
    <row r="957" ht="14.25" customHeight="1" s="40">
      <c r="A957" s="24" t="n"/>
      <c r="B957" s="29" t="n"/>
      <c r="C957" s="28" t="n"/>
      <c r="D957" s="22">
        <f t="array" ref="D957">IF($C957="","",IFERROR(INDEX(DATA_MASTER!$C$2:$C$5000,MATCH($C957,DATA_MASTER!$D$2:$D$5000,0)),""))</f>
        <v/>
      </c>
      <c r="E957" s="22">
        <f t="array" ref="E957">IF($C957="","",IFERROR(INDEX(DATA_MASTER!$I$2:$I$5000,MATCH($C957,DATA_MASTER!$D$2:$D$5000,0)),""))</f>
        <v/>
      </c>
      <c r="F957" s="22">
        <f t="array" ref="F957">IF($C957="","",IFERROR(INDEX(DATA_MASTER!$L$2:$L$5000,MATCH($C957,DATA_MASTER!$D$2:$D$5000,0)),""))</f>
        <v/>
      </c>
      <c r="G957" s="24" t="n"/>
      <c r="H957" s="24" t="n"/>
      <c r="I957" s="30" t="n"/>
      <c r="J957" s="23">
        <f>IF(OR($H957="",$I957=""),"",$H957*$I957)</f>
        <v/>
      </c>
      <c r="K957" s="24" t="n"/>
      <c r="L957" s="24" t="n"/>
      <c r="M957" s="29" t="n"/>
      <c r="N957" s="28" t="n"/>
      <c r="O957" s="24" t="n"/>
      <c r="P957" s="24" t="n"/>
      <c r="Q957" s="24" t="n"/>
      <c r="R957" s="24" t="n"/>
      <c r="S957" s="22">
        <f>IF(AND($A957="",$C957=""),"",IF($A957="","Thiếu mã đơn; ","")&amp;IF(COUNTIF($A$2:$A957,$A957)&gt;1,"Trùng mã đơn; ","")&amp;IF(ISNA(MATCH($C957,DATA_MASTER!$D$2:$D$5000,0)),"SĐT chưa đăng ký hội viên; ","")&amp;IF(AND($L957="Đã chuyển khoản",$M957=""),"Thiếu ngày nhận CK; ",""))</f>
        <v/>
      </c>
      <c r="T957" s="24" t="n"/>
    </row>
    <row r="958" ht="14.25" customHeight="1" s="40">
      <c r="A958" s="24" t="n"/>
      <c r="B958" s="29" t="n"/>
      <c r="C958" s="28" t="n"/>
      <c r="D958" s="22">
        <f t="array" ref="D958">IF($C958="","",IFERROR(INDEX(DATA_MASTER!$C$2:$C$5000,MATCH($C958,DATA_MASTER!$D$2:$D$5000,0)),""))</f>
        <v/>
      </c>
      <c r="E958" s="22">
        <f t="array" ref="E958">IF($C958="","",IFERROR(INDEX(DATA_MASTER!$I$2:$I$5000,MATCH($C958,DATA_MASTER!$D$2:$D$5000,0)),""))</f>
        <v/>
      </c>
      <c r="F958" s="22">
        <f t="array" ref="F958">IF($C958="","",IFERROR(INDEX(DATA_MASTER!$L$2:$L$5000,MATCH($C958,DATA_MASTER!$D$2:$D$5000,0)),""))</f>
        <v/>
      </c>
      <c r="G958" s="24" t="n"/>
      <c r="H958" s="24" t="n"/>
      <c r="I958" s="30" t="n"/>
      <c r="J958" s="23">
        <f>IF(OR($H958="",$I958=""),"",$H958*$I958)</f>
        <v/>
      </c>
      <c r="K958" s="24" t="n"/>
      <c r="L958" s="24" t="n"/>
      <c r="M958" s="29" t="n"/>
      <c r="N958" s="28" t="n"/>
      <c r="O958" s="24" t="n"/>
      <c r="P958" s="24" t="n"/>
      <c r="Q958" s="24" t="n"/>
      <c r="R958" s="24" t="n"/>
      <c r="S958" s="22">
        <f>IF(AND($A958="",$C958=""),"",IF($A958="","Thiếu mã đơn; ","")&amp;IF(COUNTIF($A$2:$A958,$A958)&gt;1,"Trùng mã đơn; ","")&amp;IF(ISNA(MATCH($C958,DATA_MASTER!$D$2:$D$5000,0)),"SĐT chưa đăng ký hội viên; ","")&amp;IF(AND($L958="Đã chuyển khoản",$M958=""),"Thiếu ngày nhận CK; ",""))</f>
        <v/>
      </c>
      <c r="T958" s="24" t="n"/>
    </row>
    <row r="959" ht="14.25" customHeight="1" s="40">
      <c r="A959" s="24" t="n"/>
      <c r="B959" s="29" t="n"/>
      <c r="C959" s="28" t="n"/>
      <c r="D959" s="22">
        <f t="array" ref="D959">IF($C959="","",IFERROR(INDEX(DATA_MASTER!$C$2:$C$5000,MATCH($C959,DATA_MASTER!$D$2:$D$5000,0)),""))</f>
        <v/>
      </c>
      <c r="E959" s="22">
        <f t="array" ref="E959">IF($C959="","",IFERROR(INDEX(DATA_MASTER!$I$2:$I$5000,MATCH($C959,DATA_MASTER!$D$2:$D$5000,0)),""))</f>
        <v/>
      </c>
      <c r="F959" s="22">
        <f t="array" ref="F959">IF($C959="","",IFERROR(INDEX(DATA_MASTER!$L$2:$L$5000,MATCH($C959,DATA_MASTER!$D$2:$D$5000,0)),""))</f>
        <v/>
      </c>
      <c r="G959" s="24" t="n"/>
      <c r="H959" s="24" t="n"/>
      <c r="I959" s="30" t="n"/>
      <c r="J959" s="23">
        <f>IF(OR($H959="",$I959=""),"",$H959*$I959)</f>
        <v/>
      </c>
      <c r="K959" s="24" t="n"/>
      <c r="L959" s="24" t="n"/>
      <c r="M959" s="29" t="n"/>
      <c r="N959" s="28" t="n"/>
      <c r="O959" s="24" t="n"/>
      <c r="P959" s="24" t="n"/>
      <c r="Q959" s="24" t="n"/>
      <c r="R959" s="24" t="n"/>
      <c r="S959" s="22">
        <f>IF(AND($A959="",$C959=""),"",IF($A959="","Thiếu mã đơn; ","")&amp;IF(COUNTIF($A$2:$A959,$A959)&gt;1,"Trùng mã đơn; ","")&amp;IF(ISNA(MATCH($C959,DATA_MASTER!$D$2:$D$5000,0)),"SĐT chưa đăng ký hội viên; ","")&amp;IF(AND($L959="Đã chuyển khoản",$M959=""),"Thiếu ngày nhận CK; ",""))</f>
        <v/>
      </c>
      <c r="T959" s="24" t="n"/>
    </row>
    <row r="960" ht="14.25" customHeight="1" s="40">
      <c r="A960" s="24" t="n"/>
      <c r="B960" s="29" t="n"/>
      <c r="C960" s="28" t="n"/>
      <c r="D960" s="22">
        <f t="array" ref="D960">IF($C960="","",IFERROR(INDEX(DATA_MASTER!$C$2:$C$5000,MATCH($C960,DATA_MASTER!$D$2:$D$5000,0)),""))</f>
        <v/>
      </c>
      <c r="E960" s="22">
        <f t="array" ref="E960">IF($C960="","",IFERROR(INDEX(DATA_MASTER!$I$2:$I$5000,MATCH($C960,DATA_MASTER!$D$2:$D$5000,0)),""))</f>
        <v/>
      </c>
      <c r="F960" s="22">
        <f t="array" ref="F960">IF($C960="","",IFERROR(INDEX(DATA_MASTER!$L$2:$L$5000,MATCH($C960,DATA_MASTER!$D$2:$D$5000,0)),""))</f>
        <v/>
      </c>
      <c r="G960" s="24" t="n"/>
      <c r="H960" s="24" t="n"/>
      <c r="I960" s="30" t="n"/>
      <c r="J960" s="23">
        <f>IF(OR($H960="",$I960=""),"",$H960*$I960)</f>
        <v/>
      </c>
      <c r="K960" s="24" t="n"/>
      <c r="L960" s="24" t="n"/>
      <c r="M960" s="29" t="n"/>
      <c r="N960" s="28" t="n"/>
      <c r="O960" s="24" t="n"/>
      <c r="P960" s="24" t="n"/>
      <c r="Q960" s="24" t="n"/>
      <c r="R960" s="24" t="n"/>
      <c r="S960" s="22">
        <f>IF(AND($A960="",$C960=""),"",IF($A960="","Thiếu mã đơn; ","")&amp;IF(COUNTIF($A$2:$A960,$A960)&gt;1,"Trùng mã đơn; ","")&amp;IF(ISNA(MATCH($C960,DATA_MASTER!$D$2:$D$5000,0)),"SĐT chưa đăng ký hội viên; ","")&amp;IF(AND($L960="Đã chuyển khoản",$M960=""),"Thiếu ngày nhận CK; ",""))</f>
        <v/>
      </c>
      <c r="T960" s="24" t="n"/>
    </row>
    <row r="961" ht="14.25" customHeight="1" s="40">
      <c r="A961" s="24" t="n"/>
      <c r="B961" s="29" t="n"/>
      <c r="C961" s="28" t="n"/>
      <c r="D961" s="22">
        <f t="array" ref="D961">IF($C961="","",IFERROR(INDEX(DATA_MASTER!$C$2:$C$5000,MATCH($C961,DATA_MASTER!$D$2:$D$5000,0)),""))</f>
        <v/>
      </c>
      <c r="E961" s="22">
        <f t="array" ref="E961">IF($C961="","",IFERROR(INDEX(DATA_MASTER!$I$2:$I$5000,MATCH($C961,DATA_MASTER!$D$2:$D$5000,0)),""))</f>
        <v/>
      </c>
      <c r="F961" s="22">
        <f t="array" ref="F961">IF($C961="","",IFERROR(INDEX(DATA_MASTER!$L$2:$L$5000,MATCH($C961,DATA_MASTER!$D$2:$D$5000,0)),""))</f>
        <v/>
      </c>
      <c r="G961" s="24" t="n"/>
      <c r="H961" s="24" t="n"/>
      <c r="I961" s="30" t="n"/>
      <c r="J961" s="23">
        <f>IF(OR($H961="",$I961=""),"",$H961*$I961)</f>
        <v/>
      </c>
      <c r="K961" s="24" t="n"/>
      <c r="L961" s="24" t="n"/>
      <c r="M961" s="29" t="n"/>
      <c r="N961" s="28" t="n"/>
      <c r="O961" s="24" t="n"/>
      <c r="P961" s="24" t="n"/>
      <c r="Q961" s="24" t="n"/>
      <c r="R961" s="24" t="n"/>
      <c r="S961" s="22">
        <f>IF(AND($A961="",$C961=""),"",IF($A961="","Thiếu mã đơn; ","")&amp;IF(COUNTIF($A$2:$A961,$A961)&gt;1,"Trùng mã đơn; ","")&amp;IF(ISNA(MATCH($C961,DATA_MASTER!$D$2:$D$5000,0)),"SĐT chưa đăng ký hội viên; ","")&amp;IF(AND($L961="Đã chuyển khoản",$M961=""),"Thiếu ngày nhận CK; ",""))</f>
        <v/>
      </c>
      <c r="T961" s="24" t="n"/>
    </row>
    <row r="962" ht="14.25" customHeight="1" s="40">
      <c r="A962" s="24" t="n"/>
      <c r="B962" s="29" t="n"/>
      <c r="C962" s="28" t="n"/>
      <c r="D962" s="22">
        <f t="array" ref="D962">IF($C962="","",IFERROR(INDEX(DATA_MASTER!$C$2:$C$5000,MATCH($C962,DATA_MASTER!$D$2:$D$5000,0)),""))</f>
        <v/>
      </c>
      <c r="E962" s="22">
        <f t="array" ref="E962">IF($C962="","",IFERROR(INDEX(DATA_MASTER!$I$2:$I$5000,MATCH($C962,DATA_MASTER!$D$2:$D$5000,0)),""))</f>
        <v/>
      </c>
      <c r="F962" s="22">
        <f t="array" ref="F962">IF($C962="","",IFERROR(INDEX(DATA_MASTER!$L$2:$L$5000,MATCH($C962,DATA_MASTER!$D$2:$D$5000,0)),""))</f>
        <v/>
      </c>
      <c r="G962" s="24" t="n"/>
      <c r="H962" s="24" t="n"/>
      <c r="I962" s="30" t="n"/>
      <c r="J962" s="23">
        <f>IF(OR($H962="",$I962=""),"",$H962*$I962)</f>
        <v/>
      </c>
      <c r="K962" s="24" t="n"/>
      <c r="L962" s="24" t="n"/>
      <c r="M962" s="29" t="n"/>
      <c r="N962" s="28" t="n"/>
      <c r="O962" s="24" t="n"/>
      <c r="P962" s="24" t="n"/>
      <c r="Q962" s="24" t="n"/>
      <c r="R962" s="24" t="n"/>
      <c r="S962" s="22">
        <f>IF(AND($A962="",$C962=""),"",IF($A962="","Thiếu mã đơn; ","")&amp;IF(COUNTIF($A$2:$A962,$A962)&gt;1,"Trùng mã đơn; ","")&amp;IF(ISNA(MATCH($C962,DATA_MASTER!$D$2:$D$5000,0)),"SĐT chưa đăng ký hội viên; ","")&amp;IF(AND($L962="Đã chuyển khoản",$M962=""),"Thiếu ngày nhận CK; ",""))</f>
        <v/>
      </c>
      <c r="T962" s="24" t="n"/>
    </row>
    <row r="963" ht="14.25" customHeight="1" s="40">
      <c r="A963" s="24" t="n"/>
      <c r="B963" s="29" t="n"/>
      <c r="C963" s="28" t="n"/>
      <c r="D963" s="22">
        <f t="array" ref="D963">IF($C963="","",IFERROR(INDEX(DATA_MASTER!$C$2:$C$5000,MATCH($C963,DATA_MASTER!$D$2:$D$5000,0)),""))</f>
        <v/>
      </c>
      <c r="E963" s="22">
        <f t="array" ref="E963">IF($C963="","",IFERROR(INDEX(DATA_MASTER!$I$2:$I$5000,MATCH($C963,DATA_MASTER!$D$2:$D$5000,0)),""))</f>
        <v/>
      </c>
      <c r="F963" s="22">
        <f t="array" ref="F963">IF($C963="","",IFERROR(INDEX(DATA_MASTER!$L$2:$L$5000,MATCH($C963,DATA_MASTER!$D$2:$D$5000,0)),""))</f>
        <v/>
      </c>
      <c r="G963" s="24" t="n"/>
      <c r="H963" s="24" t="n"/>
      <c r="I963" s="30" t="n"/>
      <c r="J963" s="23">
        <f>IF(OR($H963="",$I963=""),"",$H963*$I963)</f>
        <v/>
      </c>
      <c r="K963" s="24" t="n"/>
      <c r="L963" s="24" t="n"/>
      <c r="M963" s="29" t="n"/>
      <c r="N963" s="28" t="n"/>
      <c r="O963" s="24" t="n"/>
      <c r="P963" s="24" t="n"/>
      <c r="Q963" s="24" t="n"/>
      <c r="R963" s="24" t="n"/>
      <c r="S963" s="22">
        <f>IF(AND($A963="",$C963=""),"",IF($A963="","Thiếu mã đơn; ","")&amp;IF(COUNTIF($A$2:$A963,$A963)&gt;1,"Trùng mã đơn; ","")&amp;IF(ISNA(MATCH($C963,DATA_MASTER!$D$2:$D$5000,0)),"SĐT chưa đăng ký hội viên; ","")&amp;IF(AND($L963="Đã chuyển khoản",$M963=""),"Thiếu ngày nhận CK; ",""))</f>
        <v/>
      </c>
      <c r="T963" s="24" t="n"/>
    </row>
    <row r="964" ht="14.25" customHeight="1" s="40">
      <c r="A964" s="24" t="n"/>
      <c r="B964" s="29" t="n"/>
      <c r="C964" s="28" t="n"/>
      <c r="D964" s="22">
        <f t="array" ref="D964">IF($C964="","",IFERROR(INDEX(DATA_MASTER!$C$2:$C$5000,MATCH($C964,DATA_MASTER!$D$2:$D$5000,0)),""))</f>
        <v/>
      </c>
      <c r="E964" s="22">
        <f t="array" ref="E964">IF($C964="","",IFERROR(INDEX(DATA_MASTER!$I$2:$I$5000,MATCH($C964,DATA_MASTER!$D$2:$D$5000,0)),""))</f>
        <v/>
      </c>
      <c r="F964" s="22">
        <f t="array" ref="F964">IF($C964="","",IFERROR(INDEX(DATA_MASTER!$L$2:$L$5000,MATCH($C964,DATA_MASTER!$D$2:$D$5000,0)),""))</f>
        <v/>
      </c>
      <c r="G964" s="24" t="n"/>
      <c r="H964" s="24" t="n"/>
      <c r="I964" s="30" t="n"/>
      <c r="J964" s="23">
        <f>IF(OR($H964="",$I964=""),"",$H964*$I964)</f>
        <v/>
      </c>
      <c r="K964" s="24" t="n"/>
      <c r="L964" s="24" t="n"/>
      <c r="M964" s="29" t="n"/>
      <c r="N964" s="28" t="n"/>
      <c r="O964" s="24" t="n"/>
      <c r="P964" s="24" t="n"/>
      <c r="Q964" s="24" t="n"/>
      <c r="R964" s="24" t="n"/>
      <c r="S964" s="22">
        <f>IF(AND($A964="",$C964=""),"",IF($A964="","Thiếu mã đơn; ","")&amp;IF(COUNTIF($A$2:$A964,$A964)&gt;1,"Trùng mã đơn; ","")&amp;IF(ISNA(MATCH($C964,DATA_MASTER!$D$2:$D$5000,0)),"SĐT chưa đăng ký hội viên; ","")&amp;IF(AND($L964="Đã chuyển khoản",$M964=""),"Thiếu ngày nhận CK; ",""))</f>
        <v/>
      </c>
      <c r="T964" s="24" t="n"/>
    </row>
    <row r="965" ht="14.25" customHeight="1" s="40">
      <c r="A965" s="24" t="n"/>
      <c r="B965" s="29" t="n"/>
      <c r="C965" s="28" t="n"/>
      <c r="D965" s="22">
        <f t="array" ref="D965">IF($C965="","",IFERROR(INDEX(DATA_MASTER!$C$2:$C$5000,MATCH($C965,DATA_MASTER!$D$2:$D$5000,0)),""))</f>
        <v/>
      </c>
      <c r="E965" s="22">
        <f t="array" ref="E965">IF($C965="","",IFERROR(INDEX(DATA_MASTER!$I$2:$I$5000,MATCH($C965,DATA_MASTER!$D$2:$D$5000,0)),""))</f>
        <v/>
      </c>
      <c r="F965" s="22">
        <f t="array" ref="F965">IF($C965="","",IFERROR(INDEX(DATA_MASTER!$L$2:$L$5000,MATCH($C965,DATA_MASTER!$D$2:$D$5000,0)),""))</f>
        <v/>
      </c>
      <c r="G965" s="24" t="n"/>
      <c r="H965" s="24" t="n"/>
      <c r="I965" s="30" t="n"/>
      <c r="J965" s="23">
        <f>IF(OR($H965="",$I965=""),"",$H965*$I965)</f>
        <v/>
      </c>
      <c r="K965" s="24" t="n"/>
      <c r="L965" s="24" t="n"/>
      <c r="M965" s="29" t="n"/>
      <c r="N965" s="28" t="n"/>
      <c r="O965" s="24" t="n"/>
      <c r="P965" s="24" t="n"/>
      <c r="Q965" s="24" t="n"/>
      <c r="R965" s="24" t="n"/>
      <c r="S965" s="22">
        <f>IF(AND($A965="",$C965=""),"",IF($A965="","Thiếu mã đơn; ","")&amp;IF(COUNTIF($A$2:$A965,$A965)&gt;1,"Trùng mã đơn; ","")&amp;IF(ISNA(MATCH($C965,DATA_MASTER!$D$2:$D$5000,0)),"SĐT chưa đăng ký hội viên; ","")&amp;IF(AND($L965="Đã chuyển khoản",$M965=""),"Thiếu ngày nhận CK; ",""))</f>
        <v/>
      </c>
      <c r="T965" s="24" t="n"/>
    </row>
    <row r="966" ht="14.25" customHeight="1" s="40">
      <c r="A966" s="24" t="n"/>
      <c r="B966" s="29" t="n"/>
      <c r="C966" s="28" t="n"/>
      <c r="D966" s="22">
        <f t="array" ref="D966">IF($C966="","",IFERROR(INDEX(DATA_MASTER!$C$2:$C$5000,MATCH($C966,DATA_MASTER!$D$2:$D$5000,0)),""))</f>
        <v/>
      </c>
      <c r="E966" s="22">
        <f t="array" ref="E966">IF($C966="","",IFERROR(INDEX(DATA_MASTER!$I$2:$I$5000,MATCH($C966,DATA_MASTER!$D$2:$D$5000,0)),""))</f>
        <v/>
      </c>
      <c r="F966" s="22">
        <f t="array" ref="F966">IF($C966="","",IFERROR(INDEX(DATA_MASTER!$L$2:$L$5000,MATCH($C966,DATA_MASTER!$D$2:$D$5000,0)),""))</f>
        <v/>
      </c>
      <c r="G966" s="24" t="n"/>
      <c r="H966" s="24" t="n"/>
      <c r="I966" s="30" t="n"/>
      <c r="J966" s="23">
        <f>IF(OR($H966="",$I966=""),"",$H966*$I966)</f>
        <v/>
      </c>
      <c r="K966" s="24" t="n"/>
      <c r="L966" s="24" t="n"/>
      <c r="M966" s="29" t="n"/>
      <c r="N966" s="28" t="n"/>
      <c r="O966" s="24" t="n"/>
      <c r="P966" s="24" t="n"/>
      <c r="Q966" s="24" t="n"/>
      <c r="R966" s="24" t="n"/>
      <c r="S966" s="22">
        <f>IF(AND($A966="",$C966=""),"",IF($A966="","Thiếu mã đơn; ","")&amp;IF(COUNTIF($A$2:$A966,$A966)&gt;1,"Trùng mã đơn; ","")&amp;IF(ISNA(MATCH($C966,DATA_MASTER!$D$2:$D$5000,0)),"SĐT chưa đăng ký hội viên; ","")&amp;IF(AND($L966="Đã chuyển khoản",$M966=""),"Thiếu ngày nhận CK; ",""))</f>
        <v/>
      </c>
      <c r="T966" s="24" t="n"/>
    </row>
    <row r="967" ht="14.25" customHeight="1" s="40">
      <c r="A967" s="24" t="n"/>
      <c r="B967" s="29" t="n"/>
      <c r="C967" s="28" t="n"/>
      <c r="D967" s="22">
        <f t="array" ref="D967">IF($C967="","",IFERROR(INDEX(DATA_MASTER!$C$2:$C$5000,MATCH($C967,DATA_MASTER!$D$2:$D$5000,0)),""))</f>
        <v/>
      </c>
      <c r="E967" s="22">
        <f t="array" ref="E967">IF($C967="","",IFERROR(INDEX(DATA_MASTER!$I$2:$I$5000,MATCH($C967,DATA_MASTER!$D$2:$D$5000,0)),""))</f>
        <v/>
      </c>
      <c r="F967" s="22">
        <f t="array" ref="F967">IF($C967="","",IFERROR(INDEX(DATA_MASTER!$L$2:$L$5000,MATCH($C967,DATA_MASTER!$D$2:$D$5000,0)),""))</f>
        <v/>
      </c>
      <c r="G967" s="24" t="n"/>
      <c r="H967" s="24" t="n"/>
      <c r="I967" s="30" t="n"/>
      <c r="J967" s="23">
        <f>IF(OR($H967="",$I967=""),"",$H967*$I967)</f>
        <v/>
      </c>
      <c r="K967" s="24" t="n"/>
      <c r="L967" s="24" t="n"/>
      <c r="M967" s="29" t="n"/>
      <c r="N967" s="28" t="n"/>
      <c r="O967" s="24" t="n"/>
      <c r="P967" s="24" t="n"/>
      <c r="Q967" s="24" t="n"/>
      <c r="R967" s="24" t="n"/>
      <c r="S967" s="22">
        <f>IF(AND($A967="",$C967=""),"",IF($A967="","Thiếu mã đơn; ","")&amp;IF(COUNTIF($A$2:$A967,$A967)&gt;1,"Trùng mã đơn; ","")&amp;IF(ISNA(MATCH($C967,DATA_MASTER!$D$2:$D$5000,0)),"SĐT chưa đăng ký hội viên; ","")&amp;IF(AND($L967="Đã chuyển khoản",$M967=""),"Thiếu ngày nhận CK; ",""))</f>
        <v/>
      </c>
      <c r="T967" s="24" t="n"/>
    </row>
    <row r="968" ht="14.25" customHeight="1" s="40">
      <c r="A968" s="24" t="n"/>
      <c r="B968" s="29" t="n"/>
      <c r="C968" s="28" t="n"/>
      <c r="D968" s="22">
        <f t="array" ref="D968">IF($C968="","",IFERROR(INDEX(DATA_MASTER!$C$2:$C$5000,MATCH($C968,DATA_MASTER!$D$2:$D$5000,0)),""))</f>
        <v/>
      </c>
      <c r="E968" s="22">
        <f t="array" ref="E968">IF($C968="","",IFERROR(INDEX(DATA_MASTER!$I$2:$I$5000,MATCH($C968,DATA_MASTER!$D$2:$D$5000,0)),""))</f>
        <v/>
      </c>
      <c r="F968" s="22">
        <f t="array" ref="F968">IF($C968="","",IFERROR(INDEX(DATA_MASTER!$L$2:$L$5000,MATCH($C968,DATA_MASTER!$D$2:$D$5000,0)),""))</f>
        <v/>
      </c>
      <c r="G968" s="24" t="n"/>
      <c r="H968" s="24" t="n"/>
      <c r="I968" s="30" t="n"/>
      <c r="J968" s="23">
        <f>IF(OR($H968="",$I968=""),"",$H968*$I968)</f>
        <v/>
      </c>
      <c r="K968" s="24" t="n"/>
      <c r="L968" s="24" t="n"/>
      <c r="M968" s="29" t="n"/>
      <c r="N968" s="28" t="n"/>
      <c r="O968" s="24" t="n"/>
      <c r="P968" s="24" t="n"/>
      <c r="Q968" s="24" t="n"/>
      <c r="R968" s="24" t="n"/>
      <c r="S968" s="22">
        <f>IF(AND($A968="",$C968=""),"",IF($A968="","Thiếu mã đơn; ","")&amp;IF(COUNTIF($A$2:$A968,$A968)&gt;1,"Trùng mã đơn; ","")&amp;IF(ISNA(MATCH($C968,DATA_MASTER!$D$2:$D$5000,0)),"SĐT chưa đăng ký hội viên; ","")&amp;IF(AND($L968="Đã chuyển khoản",$M968=""),"Thiếu ngày nhận CK; ",""))</f>
        <v/>
      </c>
      <c r="T968" s="24" t="n"/>
    </row>
    <row r="969" ht="14.25" customHeight="1" s="40">
      <c r="A969" s="24" t="n"/>
      <c r="B969" s="29" t="n"/>
      <c r="C969" s="28" t="n"/>
      <c r="D969" s="22">
        <f t="array" ref="D969">IF($C969="","",IFERROR(INDEX(DATA_MASTER!$C$2:$C$5000,MATCH($C969,DATA_MASTER!$D$2:$D$5000,0)),""))</f>
        <v/>
      </c>
      <c r="E969" s="22">
        <f t="array" ref="E969">IF($C969="","",IFERROR(INDEX(DATA_MASTER!$I$2:$I$5000,MATCH($C969,DATA_MASTER!$D$2:$D$5000,0)),""))</f>
        <v/>
      </c>
      <c r="F969" s="22">
        <f t="array" ref="F969">IF($C969="","",IFERROR(INDEX(DATA_MASTER!$L$2:$L$5000,MATCH($C969,DATA_MASTER!$D$2:$D$5000,0)),""))</f>
        <v/>
      </c>
      <c r="G969" s="24" t="n"/>
      <c r="H969" s="24" t="n"/>
      <c r="I969" s="30" t="n"/>
      <c r="J969" s="23">
        <f>IF(OR($H969="",$I969=""),"",$H969*$I969)</f>
        <v/>
      </c>
      <c r="K969" s="24" t="n"/>
      <c r="L969" s="24" t="n"/>
      <c r="M969" s="29" t="n"/>
      <c r="N969" s="28" t="n"/>
      <c r="O969" s="24" t="n"/>
      <c r="P969" s="24" t="n"/>
      <c r="Q969" s="24" t="n"/>
      <c r="R969" s="24" t="n"/>
      <c r="S969" s="22">
        <f>IF(AND($A969="",$C969=""),"",IF($A969="","Thiếu mã đơn; ","")&amp;IF(COUNTIF($A$2:$A969,$A969)&gt;1,"Trùng mã đơn; ","")&amp;IF(ISNA(MATCH($C969,DATA_MASTER!$D$2:$D$5000,0)),"SĐT chưa đăng ký hội viên; ","")&amp;IF(AND($L969="Đã chuyển khoản",$M969=""),"Thiếu ngày nhận CK; ",""))</f>
        <v/>
      </c>
      <c r="T969" s="24" t="n"/>
    </row>
    <row r="970" ht="14.25" customHeight="1" s="40">
      <c r="A970" s="24" t="n"/>
      <c r="B970" s="29" t="n"/>
      <c r="C970" s="28" t="n"/>
      <c r="D970" s="22">
        <f t="array" ref="D970">IF($C970="","",IFERROR(INDEX(DATA_MASTER!$C$2:$C$5000,MATCH($C970,DATA_MASTER!$D$2:$D$5000,0)),""))</f>
        <v/>
      </c>
      <c r="E970" s="22">
        <f t="array" ref="E970">IF($C970="","",IFERROR(INDEX(DATA_MASTER!$I$2:$I$5000,MATCH($C970,DATA_MASTER!$D$2:$D$5000,0)),""))</f>
        <v/>
      </c>
      <c r="F970" s="22">
        <f t="array" ref="F970">IF($C970="","",IFERROR(INDEX(DATA_MASTER!$L$2:$L$5000,MATCH($C970,DATA_MASTER!$D$2:$D$5000,0)),""))</f>
        <v/>
      </c>
      <c r="G970" s="24" t="n"/>
      <c r="H970" s="24" t="n"/>
      <c r="I970" s="30" t="n"/>
      <c r="J970" s="23">
        <f>IF(OR($H970="",$I970=""),"",$H970*$I970)</f>
        <v/>
      </c>
      <c r="K970" s="24" t="n"/>
      <c r="L970" s="24" t="n"/>
      <c r="M970" s="29" t="n"/>
      <c r="N970" s="28" t="n"/>
      <c r="O970" s="24" t="n"/>
      <c r="P970" s="24" t="n"/>
      <c r="Q970" s="24" t="n"/>
      <c r="R970" s="24" t="n"/>
      <c r="S970" s="22">
        <f>IF(AND($A970="",$C970=""),"",IF($A970="","Thiếu mã đơn; ","")&amp;IF(COUNTIF($A$2:$A970,$A970)&gt;1,"Trùng mã đơn; ","")&amp;IF(ISNA(MATCH($C970,DATA_MASTER!$D$2:$D$5000,0)),"SĐT chưa đăng ký hội viên; ","")&amp;IF(AND($L970="Đã chuyển khoản",$M970=""),"Thiếu ngày nhận CK; ",""))</f>
        <v/>
      </c>
      <c r="T970" s="24" t="n"/>
    </row>
    <row r="971" ht="14.25" customHeight="1" s="40">
      <c r="A971" s="24" t="n"/>
      <c r="B971" s="29" t="n"/>
      <c r="C971" s="28" t="n"/>
      <c r="D971" s="22">
        <f t="array" ref="D971">IF($C971="","",IFERROR(INDEX(DATA_MASTER!$C$2:$C$5000,MATCH($C971,DATA_MASTER!$D$2:$D$5000,0)),""))</f>
        <v/>
      </c>
      <c r="E971" s="22">
        <f t="array" ref="E971">IF($C971="","",IFERROR(INDEX(DATA_MASTER!$I$2:$I$5000,MATCH($C971,DATA_MASTER!$D$2:$D$5000,0)),""))</f>
        <v/>
      </c>
      <c r="F971" s="22">
        <f t="array" ref="F971">IF($C971="","",IFERROR(INDEX(DATA_MASTER!$L$2:$L$5000,MATCH($C971,DATA_MASTER!$D$2:$D$5000,0)),""))</f>
        <v/>
      </c>
      <c r="G971" s="24" t="n"/>
      <c r="H971" s="24" t="n"/>
      <c r="I971" s="30" t="n"/>
      <c r="J971" s="23">
        <f>IF(OR($H971="",$I971=""),"",$H971*$I971)</f>
        <v/>
      </c>
      <c r="K971" s="24" t="n"/>
      <c r="L971" s="24" t="n"/>
      <c r="M971" s="29" t="n"/>
      <c r="N971" s="28" t="n"/>
      <c r="O971" s="24" t="n"/>
      <c r="P971" s="24" t="n"/>
      <c r="Q971" s="24" t="n"/>
      <c r="R971" s="24" t="n"/>
      <c r="S971" s="22">
        <f>IF(AND($A971="",$C971=""),"",IF($A971="","Thiếu mã đơn; ","")&amp;IF(COUNTIF($A$2:$A971,$A971)&gt;1,"Trùng mã đơn; ","")&amp;IF(ISNA(MATCH($C971,DATA_MASTER!$D$2:$D$5000,0)),"SĐT chưa đăng ký hội viên; ","")&amp;IF(AND($L971="Đã chuyển khoản",$M971=""),"Thiếu ngày nhận CK; ",""))</f>
        <v/>
      </c>
      <c r="T971" s="24" t="n"/>
    </row>
    <row r="972" ht="14.25" customHeight="1" s="40">
      <c r="A972" s="24" t="n"/>
      <c r="B972" s="29" t="n"/>
      <c r="C972" s="28" t="n"/>
      <c r="D972" s="22">
        <f t="array" ref="D972">IF($C972="","",IFERROR(INDEX(DATA_MASTER!$C$2:$C$5000,MATCH($C972,DATA_MASTER!$D$2:$D$5000,0)),""))</f>
        <v/>
      </c>
      <c r="E972" s="22">
        <f t="array" ref="E972">IF($C972="","",IFERROR(INDEX(DATA_MASTER!$I$2:$I$5000,MATCH($C972,DATA_MASTER!$D$2:$D$5000,0)),""))</f>
        <v/>
      </c>
      <c r="F972" s="22">
        <f t="array" ref="F972">IF($C972="","",IFERROR(INDEX(DATA_MASTER!$L$2:$L$5000,MATCH($C972,DATA_MASTER!$D$2:$D$5000,0)),""))</f>
        <v/>
      </c>
      <c r="G972" s="24" t="n"/>
      <c r="H972" s="24" t="n"/>
      <c r="I972" s="30" t="n"/>
      <c r="J972" s="23">
        <f>IF(OR($H972="",$I972=""),"",$H972*$I972)</f>
        <v/>
      </c>
      <c r="K972" s="24" t="n"/>
      <c r="L972" s="24" t="n"/>
      <c r="M972" s="29" t="n"/>
      <c r="N972" s="28" t="n"/>
      <c r="O972" s="24" t="n"/>
      <c r="P972" s="24" t="n"/>
      <c r="Q972" s="24" t="n"/>
      <c r="R972" s="24" t="n"/>
      <c r="S972" s="22">
        <f>IF(AND($A972="",$C972=""),"",IF($A972="","Thiếu mã đơn; ","")&amp;IF(COUNTIF($A$2:$A972,$A972)&gt;1,"Trùng mã đơn; ","")&amp;IF(ISNA(MATCH($C972,DATA_MASTER!$D$2:$D$5000,0)),"SĐT chưa đăng ký hội viên; ","")&amp;IF(AND($L972="Đã chuyển khoản",$M972=""),"Thiếu ngày nhận CK; ",""))</f>
        <v/>
      </c>
      <c r="T972" s="24" t="n"/>
    </row>
    <row r="973" ht="14.25" customHeight="1" s="40">
      <c r="A973" s="24" t="n"/>
      <c r="B973" s="29" t="n"/>
      <c r="C973" s="28" t="n"/>
      <c r="D973" s="22">
        <f t="array" ref="D973">IF($C973="","",IFERROR(INDEX(DATA_MASTER!$C$2:$C$5000,MATCH($C973,DATA_MASTER!$D$2:$D$5000,0)),""))</f>
        <v/>
      </c>
      <c r="E973" s="22">
        <f t="array" ref="E973">IF($C973="","",IFERROR(INDEX(DATA_MASTER!$I$2:$I$5000,MATCH($C973,DATA_MASTER!$D$2:$D$5000,0)),""))</f>
        <v/>
      </c>
      <c r="F973" s="22">
        <f t="array" ref="F973">IF($C973="","",IFERROR(INDEX(DATA_MASTER!$L$2:$L$5000,MATCH($C973,DATA_MASTER!$D$2:$D$5000,0)),""))</f>
        <v/>
      </c>
      <c r="G973" s="24" t="n"/>
      <c r="H973" s="24" t="n"/>
      <c r="I973" s="30" t="n"/>
      <c r="J973" s="23">
        <f>IF(OR($H973="",$I973=""),"",$H973*$I973)</f>
        <v/>
      </c>
      <c r="K973" s="24" t="n"/>
      <c r="L973" s="24" t="n"/>
      <c r="M973" s="29" t="n"/>
      <c r="N973" s="28" t="n"/>
      <c r="O973" s="24" t="n"/>
      <c r="P973" s="24" t="n"/>
      <c r="Q973" s="24" t="n"/>
      <c r="R973" s="24" t="n"/>
      <c r="S973" s="22">
        <f>IF(AND($A973="",$C973=""),"",IF($A973="","Thiếu mã đơn; ","")&amp;IF(COUNTIF($A$2:$A973,$A973)&gt;1,"Trùng mã đơn; ","")&amp;IF(ISNA(MATCH($C973,DATA_MASTER!$D$2:$D$5000,0)),"SĐT chưa đăng ký hội viên; ","")&amp;IF(AND($L973="Đã chuyển khoản",$M973=""),"Thiếu ngày nhận CK; ",""))</f>
        <v/>
      </c>
      <c r="T973" s="24" t="n"/>
    </row>
    <row r="974" ht="14.25" customHeight="1" s="40">
      <c r="A974" s="24" t="n"/>
      <c r="B974" s="29" t="n"/>
      <c r="C974" s="28" t="n"/>
      <c r="D974" s="22">
        <f t="array" ref="D974">IF($C974="","",IFERROR(INDEX(DATA_MASTER!$C$2:$C$5000,MATCH($C974,DATA_MASTER!$D$2:$D$5000,0)),""))</f>
        <v/>
      </c>
      <c r="E974" s="22">
        <f t="array" ref="E974">IF($C974="","",IFERROR(INDEX(DATA_MASTER!$I$2:$I$5000,MATCH($C974,DATA_MASTER!$D$2:$D$5000,0)),""))</f>
        <v/>
      </c>
      <c r="F974" s="22">
        <f t="array" ref="F974">IF($C974="","",IFERROR(INDEX(DATA_MASTER!$L$2:$L$5000,MATCH($C974,DATA_MASTER!$D$2:$D$5000,0)),""))</f>
        <v/>
      </c>
      <c r="G974" s="24" t="n"/>
      <c r="H974" s="24" t="n"/>
      <c r="I974" s="30" t="n"/>
      <c r="J974" s="23">
        <f>IF(OR($H974="",$I974=""),"",$H974*$I974)</f>
        <v/>
      </c>
      <c r="K974" s="24" t="n"/>
      <c r="L974" s="24" t="n"/>
      <c r="M974" s="29" t="n"/>
      <c r="N974" s="28" t="n"/>
      <c r="O974" s="24" t="n"/>
      <c r="P974" s="24" t="n"/>
      <c r="Q974" s="24" t="n"/>
      <c r="R974" s="24" t="n"/>
      <c r="S974" s="22">
        <f>IF(AND($A974="",$C974=""),"",IF($A974="","Thiếu mã đơn; ","")&amp;IF(COUNTIF($A$2:$A974,$A974)&gt;1,"Trùng mã đơn; ","")&amp;IF(ISNA(MATCH($C974,DATA_MASTER!$D$2:$D$5000,0)),"SĐT chưa đăng ký hội viên; ","")&amp;IF(AND($L974="Đã chuyển khoản",$M974=""),"Thiếu ngày nhận CK; ",""))</f>
        <v/>
      </c>
      <c r="T974" s="24" t="n"/>
    </row>
    <row r="975" ht="14.25" customHeight="1" s="40">
      <c r="A975" s="24" t="n"/>
      <c r="B975" s="29" t="n"/>
      <c r="C975" s="28" t="n"/>
      <c r="D975" s="22">
        <f t="array" ref="D975">IF($C975="","",IFERROR(INDEX(DATA_MASTER!$C$2:$C$5000,MATCH($C975,DATA_MASTER!$D$2:$D$5000,0)),""))</f>
        <v/>
      </c>
      <c r="E975" s="22">
        <f t="array" ref="E975">IF($C975="","",IFERROR(INDEX(DATA_MASTER!$I$2:$I$5000,MATCH($C975,DATA_MASTER!$D$2:$D$5000,0)),""))</f>
        <v/>
      </c>
      <c r="F975" s="22">
        <f t="array" ref="F975">IF($C975="","",IFERROR(INDEX(DATA_MASTER!$L$2:$L$5000,MATCH($C975,DATA_MASTER!$D$2:$D$5000,0)),""))</f>
        <v/>
      </c>
      <c r="G975" s="24" t="n"/>
      <c r="H975" s="24" t="n"/>
      <c r="I975" s="30" t="n"/>
      <c r="J975" s="23">
        <f>IF(OR($H975="",$I975=""),"",$H975*$I975)</f>
        <v/>
      </c>
      <c r="K975" s="24" t="n"/>
      <c r="L975" s="24" t="n"/>
      <c r="M975" s="29" t="n"/>
      <c r="N975" s="28" t="n"/>
      <c r="O975" s="24" t="n"/>
      <c r="P975" s="24" t="n"/>
      <c r="Q975" s="24" t="n"/>
      <c r="R975" s="24" t="n"/>
      <c r="S975" s="22">
        <f>IF(AND($A975="",$C975=""),"",IF($A975="","Thiếu mã đơn; ","")&amp;IF(COUNTIF($A$2:$A975,$A975)&gt;1,"Trùng mã đơn; ","")&amp;IF(ISNA(MATCH($C975,DATA_MASTER!$D$2:$D$5000,0)),"SĐT chưa đăng ký hội viên; ","")&amp;IF(AND($L975="Đã chuyển khoản",$M975=""),"Thiếu ngày nhận CK; ",""))</f>
        <v/>
      </c>
      <c r="T975" s="24" t="n"/>
    </row>
    <row r="976" ht="14.25" customHeight="1" s="40">
      <c r="A976" s="24" t="n"/>
      <c r="B976" s="29" t="n"/>
      <c r="C976" s="28" t="n"/>
      <c r="D976" s="22">
        <f t="array" ref="D976">IF($C976="","",IFERROR(INDEX(DATA_MASTER!$C$2:$C$5000,MATCH($C976,DATA_MASTER!$D$2:$D$5000,0)),""))</f>
        <v/>
      </c>
      <c r="E976" s="22">
        <f t="array" ref="E976">IF($C976="","",IFERROR(INDEX(DATA_MASTER!$I$2:$I$5000,MATCH($C976,DATA_MASTER!$D$2:$D$5000,0)),""))</f>
        <v/>
      </c>
      <c r="F976" s="22">
        <f t="array" ref="F976">IF($C976="","",IFERROR(INDEX(DATA_MASTER!$L$2:$L$5000,MATCH($C976,DATA_MASTER!$D$2:$D$5000,0)),""))</f>
        <v/>
      </c>
      <c r="G976" s="24" t="n"/>
      <c r="H976" s="24" t="n"/>
      <c r="I976" s="30" t="n"/>
      <c r="J976" s="23">
        <f>IF(OR($H976="",$I976=""),"",$H976*$I976)</f>
        <v/>
      </c>
      <c r="K976" s="24" t="n"/>
      <c r="L976" s="24" t="n"/>
      <c r="M976" s="29" t="n"/>
      <c r="N976" s="28" t="n"/>
      <c r="O976" s="24" t="n"/>
      <c r="P976" s="24" t="n"/>
      <c r="Q976" s="24" t="n"/>
      <c r="R976" s="24" t="n"/>
      <c r="S976" s="22">
        <f>IF(AND($A976="",$C976=""),"",IF($A976="","Thiếu mã đơn; ","")&amp;IF(COUNTIF($A$2:$A976,$A976)&gt;1,"Trùng mã đơn; ","")&amp;IF(ISNA(MATCH($C976,DATA_MASTER!$D$2:$D$5000,0)),"SĐT chưa đăng ký hội viên; ","")&amp;IF(AND($L976="Đã chuyển khoản",$M976=""),"Thiếu ngày nhận CK; ",""))</f>
        <v/>
      </c>
      <c r="T976" s="24" t="n"/>
    </row>
    <row r="977" ht="14.25" customHeight="1" s="40">
      <c r="A977" s="24" t="n"/>
      <c r="B977" s="29" t="n"/>
      <c r="C977" s="28" t="n"/>
      <c r="D977" s="22">
        <f t="array" ref="D977">IF($C977="","",IFERROR(INDEX(DATA_MASTER!$C$2:$C$5000,MATCH($C977,DATA_MASTER!$D$2:$D$5000,0)),""))</f>
        <v/>
      </c>
      <c r="E977" s="22">
        <f t="array" ref="E977">IF($C977="","",IFERROR(INDEX(DATA_MASTER!$I$2:$I$5000,MATCH($C977,DATA_MASTER!$D$2:$D$5000,0)),""))</f>
        <v/>
      </c>
      <c r="F977" s="22">
        <f t="array" ref="F977">IF($C977="","",IFERROR(INDEX(DATA_MASTER!$L$2:$L$5000,MATCH($C977,DATA_MASTER!$D$2:$D$5000,0)),""))</f>
        <v/>
      </c>
      <c r="G977" s="24" t="n"/>
      <c r="H977" s="24" t="n"/>
      <c r="I977" s="30" t="n"/>
      <c r="J977" s="23">
        <f>IF(OR($H977="",$I977=""),"",$H977*$I977)</f>
        <v/>
      </c>
      <c r="K977" s="24" t="n"/>
      <c r="L977" s="24" t="n"/>
      <c r="M977" s="29" t="n"/>
      <c r="N977" s="28" t="n"/>
      <c r="O977" s="24" t="n"/>
      <c r="P977" s="24" t="n"/>
      <c r="Q977" s="24" t="n"/>
      <c r="R977" s="24" t="n"/>
      <c r="S977" s="22">
        <f>IF(AND($A977="",$C977=""),"",IF($A977="","Thiếu mã đơn; ","")&amp;IF(COUNTIF($A$2:$A977,$A977)&gt;1,"Trùng mã đơn; ","")&amp;IF(ISNA(MATCH($C977,DATA_MASTER!$D$2:$D$5000,0)),"SĐT chưa đăng ký hội viên; ","")&amp;IF(AND($L977="Đã chuyển khoản",$M977=""),"Thiếu ngày nhận CK; ",""))</f>
        <v/>
      </c>
      <c r="T977" s="24" t="n"/>
    </row>
    <row r="978" ht="14.25" customHeight="1" s="40">
      <c r="A978" s="24" t="n"/>
      <c r="B978" s="29" t="n"/>
      <c r="C978" s="28" t="n"/>
      <c r="D978" s="22">
        <f t="array" ref="D978">IF($C978="","",IFERROR(INDEX(DATA_MASTER!$C$2:$C$5000,MATCH($C978,DATA_MASTER!$D$2:$D$5000,0)),""))</f>
        <v/>
      </c>
      <c r="E978" s="22">
        <f t="array" ref="E978">IF($C978="","",IFERROR(INDEX(DATA_MASTER!$I$2:$I$5000,MATCH($C978,DATA_MASTER!$D$2:$D$5000,0)),""))</f>
        <v/>
      </c>
      <c r="F978" s="22">
        <f t="array" ref="F978">IF($C978="","",IFERROR(INDEX(DATA_MASTER!$L$2:$L$5000,MATCH($C978,DATA_MASTER!$D$2:$D$5000,0)),""))</f>
        <v/>
      </c>
      <c r="G978" s="24" t="n"/>
      <c r="H978" s="24" t="n"/>
      <c r="I978" s="30" t="n"/>
      <c r="J978" s="23">
        <f>IF(OR($H978="",$I978=""),"",$H978*$I978)</f>
        <v/>
      </c>
      <c r="K978" s="24" t="n"/>
      <c r="L978" s="24" t="n"/>
      <c r="M978" s="29" t="n"/>
      <c r="N978" s="28" t="n"/>
      <c r="O978" s="24" t="n"/>
      <c r="P978" s="24" t="n"/>
      <c r="Q978" s="24" t="n"/>
      <c r="R978" s="24" t="n"/>
      <c r="S978" s="22">
        <f>IF(AND($A978="",$C978=""),"",IF($A978="","Thiếu mã đơn; ","")&amp;IF(COUNTIF($A$2:$A978,$A978)&gt;1,"Trùng mã đơn; ","")&amp;IF(ISNA(MATCH($C978,DATA_MASTER!$D$2:$D$5000,0)),"SĐT chưa đăng ký hội viên; ","")&amp;IF(AND($L978="Đã chuyển khoản",$M978=""),"Thiếu ngày nhận CK; ",""))</f>
        <v/>
      </c>
      <c r="T978" s="24" t="n"/>
    </row>
    <row r="979" ht="14.25" customHeight="1" s="40">
      <c r="A979" s="24" t="n"/>
      <c r="B979" s="29" t="n"/>
      <c r="C979" s="28" t="n"/>
      <c r="D979" s="22">
        <f t="array" ref="D979">IF($C979="","",IFERROR(INDEX(DATA_MASTER!$C$2:$C$5000,MATCH($C979,DATA_MASTER!$D$2:$D$5000,0)),""))</f>
        <v/>
      </c>
      <c r="E979" s="22">
        <f t="array" ref="E979">IF($C979="","",IFERROR(INDEX(DATA_MASTER!$I$2:$I$5000,MATCH($C979,DATA_MASTER!$D$2:$D$5000,0)),""))</f>
        <v/>
      </c>
      <c r="F979" s="22">
        <f t="array" ref="F979">IF($C979="","",IFERROR(INDEX(DATA_MASTER!$L$2:$L$5000,MATCH($C979,DATA_MASTER!$D$2:$D$5000,0)),""))</f>
        <v/>
      </c>
      <c r="G979" s="24" t="n"/>
      <c r="H979" s="24" t="n"/>
      <c r="I979" s="30" t="n"/>
      <c r="J979" s="23">
        <f>IF(OR($H979="",$I979=""),"",$H979*$I979)</f>
        <v/>
      </c>
      <c r="K979" s="24" t="n"/>
      <c r="L979" s="24" t="n"/>
      <c r="M979" s="29" t="n"/>
      <c r="N979" s="28" t="n"/>
      <c r="O979" s="24" t="n"/>
      <c r="P979" s="24" t="n"/>
      <c r="Q979" s="24" t="n"/>
      <c r="R979" s="24" t="n"/>
      <c r="S979" s="22">
        <f>IF(AND($A979="",$C979=""),"",IF($A979="","Thiếu mã đơn; ","")&amp;IF(COUNTIF($A$2:$A979,$A979)&gt;1,"Trùng mã đơn; ","")&amp;IF(ISNA(MATCH($C979,DATA_MASTER!$D$2:$D$5000,0)),"SĐT chưa đăng ký hội viên; ","")&amp;IF(AND($L979="Đã chuyển khoản",$M979=""),"Thiếu ngày nhận CK; ",""))</f>
        <v/>
      </c>
      <c r="T979" s="24" t="n"/>
    </row>
    <row r="980" ht="14.25" customHeight="1" s="40">
      <c r="A980" s="24" t="n"/>
      <c r="B980" s="29" t="n"/>
      <c r="C980" s="28" t="n"/>
      <c r="D980" s="22">
        <f t="array" ref="D980">IF($C980="","",IFERROR(INDEX(DATA_MASTER!$C$2:$C$5000,MATCH($C980,DATA_MASTER!$D$2:$D$5000,0)),""))</f>
        <v/>
      </c>
      <c r="E980" s="22">
        <f t="array" ref="E980">IF($C980="","",IFERROR(INDEX(DATA_MASTER!$I$2:$I$5000,MATCH($C980,DATA_MASTER!$D$2:$D$5000,0)),""))</f>
        <v/>
      </c>
      <c r="F980" s="22">
        <f t="array" ref="F980">IF($C980="","",IFERROR(INDEX(DATA_MASTER!$L$2:$L$5000,MATCH($C980,DATA_MASTER!$D$2:$D$5000,0)),""))</f>
        <v/>
      </c>
      <c r="G980" s="24" t="n"/>
      <c r="H980" s="24" t="n"/>
      <c r="I980" s="30" t="n"/>
      <c r="J980" s="23">
        <f>IF(OR($H980="",$I980=""),"",$H980*$I980)</f>
        <v/>
      </c>
      <c r="K980" s="24" t="n"/>
      <c r="L980" s="24" t="n"/>
      <c r="M980" s="29" t="n"/>
      <c r="N980" s="28" t="n"/>
      <c r="O980" s="24" t="n"/>
      <c r="P980" s="24" t="n"/>
      <c r="Q980" s="24" t="n"/>
      <c r="R980" s="24" t="n"/>
      <c r="S980" s="22">
        <f>IF(AND($A980="",$C980=""),"",IF($A980="","Thiếu mã đơn; ","")&amp;IF(COUNTIF($A$2:$A980,$A980)&gt;1,"Trùng mã đơn; ","")&amp;IF(ISNA(MATCH($C980,DATA_MASTER!$D$2:$D$5000,0)),"SĐT chưa đăng ký hội viên; ","")&amp;IF(AND($L980="Đã chuyển khoản",$M980=""),"Thiếu ngày nhận CK; ",""))</f>
        <v/>
      </c>
      <c r="T980" s="24" t="n"/>
    </row>
    <row r="981" ht="14.25" customHeight="1" s="40">
      <c r="A981" s="24" t="n"/>
      <c r="B981" s="29" t="n"/>
      <c r="C981" s="28" t="n"/>
      <c r="D981" s="22">
        <f t="array" ref="D981">IF($C981="","",IFERROR(INDEX(DATA_MASTER!$C$2:$C$5000,MATCH($C981,DATA_MASTER!$D$2:$D$5000,0)),""))</f>
        <v/>
      </c>
      <c r="E981" s="22">
        <f t="array" ref="E981">IF($C981="","",IFERROR(INDEX(DATA_MASTER!$I$2:$I$5000,MATCH($C981,DATA_MASTER!$D$2:$D$5000,0)),""))</f>
        <v/>
      </c>
      <c r="F981" s="22">
        <f t="array" ref="F981">IF($C981="","",IFERROR(INDEX(DATA_MASTER!$L$2:$L$5000,MATCH($C981,DATA_MASTER!$D$2:$D$5000,0)),""))</f>
        <v/>
      </c>
      <c r="G981" s="24" t="n"/>
      <c r="H981" s="24" t="n"/>
      <c r="I981" s="30" t="n"/>
      <c r="J981" s="23">
        <f>IF(OR($H981="",$I981=""),"",$H981*$I981)</f>
        <v/>
      </c>
      <c r="K981" s="24" t="n"/>
      <c r="L981" s="24" t="n"/>
      <c r="M981" s="29" t="n"/>
      <c r="N981" s="28" t="n"/>
      <c r="O981" s="24" t="n"/>
      <c r="P981" s="24" t="n"/>
      <c r="Q981" s="24" t="n"/>
      <c r="R981" s="24" t="n"/>
      <c r="S981" s="22">
        <f>IF(AND($A981="",$C981=""),"",IF($A981="","Thiếu mã đơn; ","")&amp;IF(COUNTIF($A$2:$A981,$A981)&gt;1,"Trùng mã đơn; ","")&amp;IF(ISNA(MATCH($C981,DATA_MASTER!$D$2:$D$5000,0)),"SĐT chưa đăng ký hội viên; ","")&amp;IF(AND($L981="Đã chuyển khoản",$M981=""),"Thiếu ngày nhận CK; ",""))</f>
        <v/>
      </c>
      <c r="T981" s="24" t="n"/>
    </row>
    <row r="982" ht="14.25" customHeight="1" s="40">
      <c r="A982" s="24" t="n"/>
      <c r="B982" s="29" t="n"/>
      <c r="C982" s="28" t="n"/>
      <c r="D982" s="22">
        <f t="array" ref="D982">IF($C982="","",IFERROR(INDEX(DATA_MASTER!$C$2:$C$5000,MATCH($C982,DATA_MASTER!$D$2:$D$5000,0)),""))</f>
        <v/>
      </c>
      <c r="E982" s="22">
        <f t="array" ref="E982">IF($C982="","",IFERROR(INDEX(DATA_MASTER!$I$2:$I$5000,MATCH($C982,DATA_MASTER!$D$2:$D$5000,0)),""))</f>
        <v/>
      </c>
      <c r="F982" s="22">
        <f t="array" ref="F982">IF($C982="","",IFERROR(INDEX(DATA_MASTER!$L$2:$L$5000,MATCH($C982,DATA_MASTER!$D$2:$D$5000,0)),""))</f>
        <v/>
      </c>
      <c r="G982" s="24" t="n"/>
      <c r="H982" s="24" t="n"/>
      <c r="I982" s="30" t="n"/>
      <c r="J982" s="23">
        <f>IF(OR($H982="",$I982=""),"",$H982*$I982)</f>
        <v/>
      </c>
      <c r="K982" s="24" t="n"/>
      <c r="L982" s="24" t="n"/>
      <c r="M982" s="29" t="n"/>
      <c r="N982" s="28" t="n"/>
      <c r="O982" s="24" t="n"/>
      <c r="P982" s="24" t="n"/>
      <c r="Q982" s="24" t="n"/>
      <c r="R982" s="24" t="n"/>
      <c r="S982" s="22">
        <f>IF(AND($A982="",$C982=""),"",IF($A982="","Thiếu mã đơn; ","")&amp;IF(COUNTIF($A$2:$A982,$A982)&gt;1,"Trùng mã đơn; ","")&amp;IF(ISNA(MATCH($C982,DATA_MASTER!$D$2:$D$5000,0)),"SĐT chưa đăng ký hội viên; ","")&amp;IF(AND($L982="Đã chuyển khoản",$M982=""),"Thiếu ngày nhận CK; ",""))</f>
        <v/>
      </c>
      <c r="T982" s="24" t="n"/>
    </row>
    <row r="983" ht="14.25" customHeight="1" s="40">
      <c r="A983" s="24" t="n"/>
      <c r="B983" s="29" t="n"/>
      <c r="C983" s="28" t="n"/>
      <c r="D983" s="22">
        <f t="array" ref="D983">IF($C983="","",IFERROR(INDEX(DATA_MASTER!$C$2:$C$5000,MATCH($C983,DATA_MASTER!$D$2:$D$5000,0)),""))</f>
        <v/>
      </c>
      <c r="E983" s="22">
        <f t="array" ref="E983">IF($C983="","",IFERROR(INDEX(DATA_MASTER!$I$2:$I$5000,MATCH($C983,DATA_MASTER!$D$2:$D$5000,0)),""))</f>
        <v/>
      </c>
      <c r="F983" s="22">
        <f t="array" ref="F983">IF($C983="","",IFERROR(INDEX(DATA_MASTER!$L$2:$L$5000,MATCH($C983,DATA_MASTER!$D$2:$D$5000,0)),""))</f>
        <v/>
      </c>
      <c r="G983" s="24" t="n"/>
      <c r="H983" s="24" t="n"/>
      <c r="I983" s="30" t="n"/>
      <c r="J983" s="23">
        <f>IF(OR($H983="",$I983=""),"",$H983*$I983)</f>
        <v/>
      </c>
      <c r="K983" s="24" t="n"/>
      <c r="L983" s="24" t="n"/>
      <c r="M983" s="29" t="n"/>
      <c r="N983" s="28" t="n"/>
      <c r="O983" s="24" t="n"/>
      <c r="P983" s="24" t="n"/>
      <c r="Q983" s="24" t="n"/>
      <c r="R983" s="24" t="n"/>
      <c r="S983" s="22">
        <f>IF(AND($A983="",$C983=""),"",IF($A983="","Thiếu mã đơn; ","")&amp;IF(COUNTIF($A$2:$A983,$A983)&gt;1,"Trùng mã đơn; ","")&amp;IF(ISNA(MATCH($C983,DATA_MASTER!$D$2:$D$5000,0)),"SĐT chưa đăng ký hội viên; ","")&amp;IF(AND($L983="Đã chuyển khoản",$M983=""),"Thiếu ngày nhận CK; ",""))</f>
        <v/>
      </c>
      <c r="T983" s="24" t="n"/>
    </row>
    <row r="984" ht="14.25" customHeight="1" s="40">
      <c r="A984" s="24" t="n"/>
      <c r="B984" s="29" t="n"/>
      <c r="C984" s="28" t="n"/>
      <c r="D984" s="22">
        <f t="array" ref="D984">IF($C984="","",IFERROR(INDEX(DATA_MASTER!$C$2:$C$5000,MATCH($C984,DATA_MASTER!$D$2:$D$5000,0)),""))</f>
        <v/>
      </c>
      <c r="E984" s="22">
        <f t="array" ref="E984">IF($C984="","",IFERROR(INDEX(DATA_MASTER!$I$2:$I$5000,MATCH($C984,DATA_MASTER!$D$2:$D$5000,0)),""))</f>
        <v/>
      </c>
      <c r="F984" s="22">
        <f t="array" ref="F984">IF($C984="","",IFERROR(INDEX(DATA_MASTER!$L$2:$L$5000,MATCH($C984,DATA_MASTER!$D$2:$D$5000,0)),""))</f>
        <v/>
      </c>
      <c r="G984" s="24" t="n"/>
      <c r="H984" s="24" t="n"/>
      <c r="I984" s="30" t="n"/>
      <c r="J984" s="23">
        <f>IF(OR($H984="",$I984=""),"",$H984*$I984)</f>
        <v/>
      </c>
      <c r="K984" s="24" t="n"/>
      <c r="L984" s="24" t="n"/>
      <c r="M984" s="29" t="n"/>
      <c r="N984" s="28" t="n"/>
      <c r="O984" s="24" t="n"/>
      <c r="P984" s="24" t="n"/>
      <c r="Q984" s="24" t="n"/>
      <c r="R984" s="24" t="n"/>
      <c r="S984" s="22">
        <f>IF(AND($A984="",$C984=""),"",IF($A984="","Thiếu mã đơn; ","")&amp;IF(COUNTIF($A$2:$A984,$A984)&gt;1,"Trùng mã đơn; ","")&amp;IF(ISNA(MATCH($C984,DATA_MASTER!$D$2:$D$5000,0)),"SĐT chưa đăng ký hội viên; ","")&amp;IF(AND($L984="Đã chuyển khoản",$M984=""),"Thiếu ngày nhận CK; ",""))</f>
        <v/>
      </c>
      <c r="T984" s="24" t="n"/>
    </row>
    <row r="985" ht="14.25" customHeight="1" s="40">
      <c r="A985" s="24" t="n"/>
      <c r="B985" s="29" t="n"/>
      <c r="C985" s="28" t="n"/>
      <c r="D985" s="22">
        <f t="array" ref="D985">IF($C985="","",IFERROR(INDEX(DATA_MASTER!$C$2:$C$5000,MATCH($C985,DATA_MASTER!$D$2:$D$5000,0)),""))</f>
        <v/>
      </c>
      <c r="E985" s="22">
        <f t="array" ref="E985">IF($C985="","",IFERROR(INDEX(DATA_MASTER!$I$2:$I$5000,MATCH($C985,DATA_MASTER!$D$2:$D$5000,0)),""))</f>
        <v/>
      </c>
      <c r="F985" s="22">
        <f t="array" ref="F985">IF($C985="","",IFERROR(INDEX(DATA_MASTER!$L$2:$L$5000,MATCH($C985,DATA_MASTER!$D$2:$D$5000,0)),""))</f>
        <v/>
      </c>
      <c r="G985" s="24" t="n"/>
      <c r="H985" s="24" t="n"/>
      <c r="I985" s="30" t="n"/>
      <c r="J985" s="23">
        <f>IF(OR($H985="",$I985=""),"",$H985*$I985)</f>
        <v/>
      </c>
      <c r="K985" s="24" t="n"/>
      <c r="L985" s="24" t="n"/>
      <c r="M985" s="29" t="n"/>
      <c r="N985" s="28" t="n"/>
      <c r="O985" s="24" t="n"/>
      <c r="P985" s="24" t="n"/>
      <c r="Q985" s="24" t="n"/>
      <c r="R985" s="24" t="n"/>
      <c r="S985" s="22">
        <f>IF(AND($A985="",$C985=""),"",IF($A985="","Thiếu mã đơn; ","")&amp;IF(COUNTIF($A$2:$A985,$A985)&gt;1,"Trùng mã đơn; ","")&amp;IF(ISNA(MATCH($C985,DATA_MASTER!$D$2:$D$5000,0)),"SĐT chưa đăng ký hội viên; ","")&amp;IF(AND($L985="Đã chuyển khoản",$M985=""),"Thiếu ngày nhận CK; ",""))</f>
        <v/>
      </c>
      <c r="T985" s="24" t="n"/>
    </row>
    <row r="986" ht="14.25" customHeight="1" s="40">
      <c r="A986" s="24" t="n"/>
      <c r="B986" s="29" t="n"/>
      <c r="C986" s="28" t="n"/>
      <c r="D986" s="22">
        <f t="array" ref="D986">IF($C986="","",IFERROR(INDEX(DATA_MASTER!$C$2:$C$5000,MATCH($C986,DATA_MASTER!$D$2:$D$5000,0)),""))</f>
        <v/>
      </c>
      <c r="E986" s="22">
        <f t="array" ref="E986">IF($C986="","",IFERROR(INDEX(DATA_MASTER!$I$2:$I$5000,MATCH($C986,DATA_MASTER!$D$2:$D$5000,0)),""))</f>
        <v/>
      </c>
      <c r="F986" s="22">
        <f t="array" ref="F986">IF($C986="","",IFERROR(INDEX(DATA_MASTER!$L$2:$L$5000,MATCH($C986,DATA_MASTER!$D$2:$D$5000,0)),""))</f>
        <v/>
      </c>
      <c r="G986" s="24" t="n"/>
      <c r="H986" s="24" t="n"/>
      <c r="I986" s="30" t="n"/>
      <c r="J986" s="23">
        <f>IF(OR($H986="",$I986=""),"",$H986*$I986)</f>
        <v/>
      </c>
      <c r="K986" s="24" t="n"/>
      <c r="L986" s="24" t="n"/>
      <c r="M986" s="29" t="n"/>
      <c r="N986" s="28" t="n"/>
      <c r="O986" s="24" t="n"/>
      <c r="P986" s="24" t="n"/>
      <c r="Q986" s="24" t="n"/>
      <c r="R986" s="24" t="n"/>
      <c r="S986" s="22">
        <f>IF(AND($A986="",$C986=""),"",IF($A986="","Thiếu mã đơn; ","")&amp;IF(COUNTIF($A$2:$A986,$A986)&gt;1,"Trùng mã đơn; ","")&amp;IF(ISNA(MATCH($C986,DATA_MASTER!$D$2:$D$5000,0)),"SĐT chưa đăng ký hội viên; ","")&amp;IF(AND($L986="Đã chuyển khoản",$M986=""),"Thiếu ngày nhận CK; ",""))</f>
        <v/>
      </c>
      <c r="T986" s="24" t="n"/>
    </row>
    <row r="987" ht="14.25" customHeight="1" s="40">
      <c r="A987" s="24" t="n"/>
      <c r="B987" s="29" t="n"/>
      <c r="C987" s="28" t="n"/>
      <c r="D987" s="22">
        <f t="array" ref="D987">IF($C987="","",IFERROR(INDEX(DATA_MASTER!$C$2:$C$5000,MATCH($C987,DATA_MASTER!$D$2:$D$5000,0)),""))</f>
        <v/>
      </c>
      <c r="E987" s="22">
        <f t="array" ref="E987">IF($C987="","",IFERROR(INDEX(DATA_MASTER!$I$2:$I$5000,MATCH($C987,DATA_MASTER!$D$2:$D$5000,0)),""))</f>
        <v/>
      </c>
      <c r="F987" s="22">
        <f t="array" ref="F987">IF($C987="","",IFERROR(INDEX(DATA_MASTER!$L$2:$L$5000,MATCH($C987,DATA_MASTER!$D$2:$D$5000,0)),""))</f>
        <v/>
      </c>
      <c r="G987" s="24" t="n"/>
      <c r="H987" s="24" t="n"/>
      <c r="I987" s="30" t="n"/>
      <c r="J987" s="23">
        <f>IF(OR($H987="",$I987=""),"",$H987*$I987)</f>
        <v/>
      </c>
      <c r="K987" s="24" t="n"/>
      <c r="L987" s="24" t="n"/>
      <c r="M987" s="29" t="n"/>
      <c r="N987" s="28" t="n"/>
      <c r="O987" s="24" t="n"/>
      <c r="P987" s="24" t="n"/>
      <c r="Q987" s="24" t="n"/>
      <c r="R987" s="24" t="n"/>
      <c r="S987" s="22">
        <f>IF(AND($A987="",$C987=""),"",IF($A987="","Thiếu mã đơn; ","")&amp;IF(COUNTIF($A$2:$A987,$A987)&gt;1,"Trùng mã đơn; ","")&amp;IF(ISNA(MATCH($C987,DATA_MASTER!$D$2:$D$5000,0)),"SĐT chưa đăng ký hội viên; ","")&amp;IF(AND($L987="Đã chuyển khoản",$M987=""),"Thiếu ngày nhận CK; ",""))</f>
        <v/>
      </c>
      <c r="T987" s="24" t="n"/>
    </row>
    <row r="988" ht="14.25" customHeight="1" s="40">
      <c r="A988" s="24" t="n"/>
      <c r="B988" s="29" t="n"/>
      <c r="C988" s="28" t="n"/>
      <c r="D988" s="22">
        <f t="array" ref="D988">IF($C988="","",IFERROR(INDEX(DATA_MASTER!$C$2:$C$5000,MATCH($C988,DATA_MASTER!$D$2:$D$5000,0)),""))</f>
        <v/>
      </c>
      <c r="E988" s="22">
        <f t="array" ref="E988">IF($C988="","",IFERROR(INDEX(DATA_MASTER!$I$2:$I$5000,MATCH($C988,DATA_MASTER!$D$2:$D$5000,0)),""))</f>
        <v/>
      </c>
      <c r="F988" s="22">
        <f t="array" ref="F988">IF($C988="","",IFERROR(INDEX(DATA_MASTER!$L$2:$L$5000,MATCH($C988,DATA_MASTER!$D$2:$D$5000,0)),""))</f>
        <v/>
      </c>
      <c r="G988" s="24" t="n"/>
      <c r="H988" s="24" t="n"/>
      <c r="I988" s="30" t="n"/>
      <c r="J988" s="23">
        <f>IF(OR($H988="",$I988=""),"",$H988*$I988)</f>
        <v/>
      </c>
      <c r="K988" s="24" t="n"/>
      <c r="L988" s="24" t="n"/>
      <c r="M988" s="29" t="n"/>
      <c r="N988" s="28" t="n"/>
      <c r="O988" s="24" t="n"/>
      <c r="P988" s="24" t="n"/>
      <c r="Q988" s="24" t="n"/>
      <c r="R988" s="24" t="n"/>
      <c r="S988" s="22">
        <f>IF(AND($A988="",$C988=""),"",IF($A988="","Thiếu mã đơn; ","")&amp;IF(COUNTIF($A$2:$A988,$A988)&gt;1,"Trùng mã đơn; ","")&amp;IF(ISNA(MATCH($C988,DATA_MASTER!$D$2:$D$5000,0)),"SĐT chưa đăng ký hội viên; ","")&amp;IF(AND($L988="Đã chuyển khoản",$M988=""),"Thiếu ngày nhận CK; ",""))</f>
        <v/>
      </c>
      <c r="T988" s="24" t="n"/>
    </row>
    <row r="989" ht="14.25" customHeight="1" s="40">
      <c r="A989" s="24" t="n"/>
      <c r="B989" s="29" t="n"/>
      <c r="C989" s="28" t="n"/>
      <c r="D989" s="22">
        <f t="array" ref="D989">IF($C989="","",IFERROR(INDEX(DATA_MASTER!$C$2:$C$5000,MATCH($C989,DATA_MASTER!$D$2:$D$5000,0)),""))</f>
        <v/>
      </c>
      <c r="E989" s="22">
        <f t="array" ref="E989">IF($C989="","",IFERROR(INDEX(DATA_MASTER!$I$2:$I$5000,MATCH($C989,DATA_MASTER!$D$2:$D$5000,0)),""))</f>
        <v/>
      </c>
      <c r="F989" s="22">
        <f t="array" ref="F989">IF($C989="","",IFERROR(INDEX(DATA_MASTER!$L$2:$L$5000,MATCH($C989,DATA_MASTER!$D$2:$D$5000,0)),""))</f>
        <v/>
      </c>
      <c r="G989" s="24" t="n"/>
      <c r="H989" s="24" t="n"/>
      <c r="I989" s="30" t="n"/>
      <c r="J989" s="23">
        <f>IF(OR($H989="",$I989=""),"",$H989*$I989)</f>
        <v/>
      </c>
      <c r="K989" s="24" t="n"/>
      <c r="L989" s="24" t="n"/>
      <c r="M989" s="29" t="n"/>
      <c r="N989" s="28" t="n"/>
      <c r="O989" s="24" t="n"/>
      <c r="P989" s="24" t="n"/>
      <c r="Q989" s="24" t="n"/>
      <c r="R989" s="24" t="n"/>
      <c r="S989" s="22">
        <f>IF(AND($A989="",$C989=""),"",IF($A989="","Thiếu mã đơn; ","")&amp;IF(COUNTIF($A$2:$A989,$A989)&gt;1,"Trùng mã đơn; ","")&amp;IF(ISNA(MATCH($C989,DATA_MASTER!$D$2:$D$5000,0)),"SĐT chưa đăng ký hội viên; ","")&amp;IF(AND($L989="Đã chuyển khoản",$M989=""),"Thiếu ngày nhận CK; ",""))</f>
        <v/>
      </c>
      <c r="T989" s="24" t="n"/>
    </row>
    <row r="990" ht="14.25" customHeight="1" s="40">
      <c r="A990" s="24" t="n"/>
      <c r="B990" s="29" t="n"/>
      <c r="C990" s="28" t="n"/>
      <c r="D990" s="22">
        <f t="array" ref="D990">IF($C990="","",IFERROR(INDEX(DATA_MASTER!$C$2:$C$5000,MATCH($C990,DATA_MASTER!$D$2:$D$5000,0)),""))</f>
        <v/>
      </c>
      <c r="E990" s="22">
        <f t="array" ref="E990">IF($C990="","",IFERROR(INDEX(DATA_MASTER!$I$2:$I$5000,MATCH($C990,DATA_MASTER!$D$2:$D$5000,0)),""))</f>
        <v/>
      </c>
      <c r="F990" s="22">
        <f t="array" ref="F990">IF($C990="","",IFERROR(INDEX(DATA_MASTER!$L$2:$L$5000,MATCH($C990,DATA_MASTER!$D$2:$D$5000,0)),""))</f>
        <v/>
      </c>
      <c r="G990" s="24" t="n"/>
      <c r="H990" s="24" t="n"/>
      <c r="I990" s="30" t="n"/>
      <c r="J990" s="23">
        <f>IF(OR($H990="",$I990=""),"",$H990*$I990)</f>
        <v/>
      </c>
      <c r="K990" s="24" t="n"/>
      <c r="L990" s="24" t="n"/>
      <c r="M990" s="29" t="n"/>
      <c r="N990" s="28" t="n"/>
      <c r="O990" s="24" t="n"/>
      <c r="P990" s="24" t="n"/>
      <c r="Q990" s="24" t="n"/>
      <c r="R990" s="24" t="n"/>
      <c r="S990" s="22">
        <f>IF(AND($A990="",$C990=""),"",IF($A990="","Thiếu mã đơn; ","")&amp;IF(COUNTIF($A$2:$A990,$A990)&gt;1,"Trùng mã đơn; ","")&amp;IF(ISNA(MATCH($C990,DATA_MASTER!$D$2:$D$5000,0)),"SĐT chưa đăng ký hội viên; ","")&amp;IF(AND($L990="Đã chuyển khoản",$M990=""),"Thiếu ngày nhận CK; ",""))</f>
        <v/>
      </c>
      <c r="T990" s="24" t="n"/>
    </row>
    <row r="991" ht="14.25" customHeight="1" s="40">
      <c r="A991" s="24" t="n"/>
      <c r="B991" s="29" t="n"/>
      <c r="C991" s="28" t="n"/>
      <c r="D991" s="22">
        <f t="array" ref="D991">IF($C991="","",IFERROR(INDEX(DATA_MASTER!$C$2:$C$5000,MATCH($C991,DATA_MASTER!$D$2:$D$5000,0)),""))</f>
        <v/>
      </c>
      <c r="E991" s="22">
        <f t="array" ref="E991">IF($C991="","",IFERROR(INDEX(DATA_MASTER!$I$2:$I$5000,MATCH($C991,DATA_MASTER!$D$2:$D$5000,0)),""))</f>
        <v/>
      </c>
      <c r="F991" s="22">
        <f t="array" ref="F991">IF($C991="","",IFERROR(INDEX(DATA_MASTER!$L$2:$L$5000,MATCH($C991,DATA_MASTER!$D$2:$D$5000,0)),""))</f>
        <v/>
      </c>
      <c r="G991" s="24" t="n"/>
      <c r="H991" s="24" t="n"/>
      <c r="I991" s="30" t="n"/>
      <c r="J991" s="23">
        <f>IF(OR($H991="",$I991=""),"",$H991*$I991)</f>
        <v/>
      </c>
      <c r="K991" s="24" t="n"/>
      <c r="L991" s="24" t="n"/>
      <c r="M991" s="29" t="n"/>
      <c r="N991" s="28" t="n"/>
      <c r="O991" s="24" t="n"/>
      <c r="P991" s="24" t="n"/>
      <c r="Q991" s="24" t="n"/>
      <c r="R991" s="24" t="n"/>
      <c r="S991" s="22">
        <f>IF(AND($A991="",$C991=""),"",IF($A991="","Thiếu mã đơn; ","")&amp;IF(COUNTIF($A$2:$A991,$A991)&gt;1,"Trùng mã đơn; ","")&amp;IF(ISNA(MATCH($C991,DATA_MASTER!$D$2:$D$5000,0)),"SĐT chưa đăng ký hội viên; ","")&amp;IF(AND($L991="Đã chuyển khoản",$M991=""),"Thiếu ngày nhận CK; ",""))</f>
        <v/>
      </c>
      <c r="T991" s="24" t="n"/>
    </row>
    <row r="992" ht="14.25" customHeight="1" s="40">
      <c r="A992" s="24" t="n"/>
      <c r="B992" s="29" t="n"/>
      <c r="C992" s="28" t="n"/>
      <c r="D992" s="22">
        <f t="array" ref="D992">IF($C992="","",IFERROR(INDEX(DATA_MASTER!$C$2:$C$5000,MATCH($C992,DATA_MASTER!$D$2:$D$5000,0)),""))</f>
        <v/>
      </c>
      <c r="E992" s="22">
        <f t="array" ref="E992">IF($C992="","",IFERROR(INDEX(DATA_MASTER!$I$2:$I$5000,MATCH($C992,DATA_MASTER!$D$2:$D$5000,0)),""))</f>
        <v/>
      </c>
      <c r="F992" s="22">
        <f t="array" ref="F992">IF($C992="","",IFERROR(INDEX(DATA_MASTER!$L$2:$L$5000,MATCH($C992,DATA_MASTER!$D$2:$D$5000,0)),""))</f>
        <v/>
      </c>
      <c r="G992" s="24" t="n"/>
      <c r="H992" s="24" t="n"/>
      <c r="I992" s="30" t="n"/>
      <c r="J992" s="23">
        <f>IF(OR($H992="",$I992=""),"",$H992*$I992)</f>
        <v/>
      </c>
      <c r="K992" s="24" t="n"/>
      <c r="L992" s="24" t="n"/>
      <c r="M992" s="29" t="n"/>
      <c r="N992" s="28" t="n"/>
      <c r="O992" s="24" t="n"/>
      <c r="P992" s="24" t="n"/>
      <c r="Q992" s="24" t="n"/>
      <c r="R992" s="24" t="n"/>
      <c r="S992" s="22">
        <f>IF(AND($A992="",$C992=""),"",IF($A992="","Thiếu mã đơn; ","")&amp;IF(COUNTIF($A$2:$A992,$A992)&gt;1,"Trùng mã đơn; ","")&amp;IF(ISNA(MATCH($C992,DATA_MASTER!$D$2:$D$5000,0)),"SĐT chưa đăng ký hội viên; ","")&amp;IF(AND($L992="Đã chuyển khoản",$M992=""),"Thiếu ngày nhận CK; ",""))</f>
        <v/>
      </c>
      <c r="T992" s="24" t="n"/>
    </row>
    <row r="993" ht="14.25" customHeight="1" s="40">
      <c r="A993" s="24" t="n"/>
      <c r="B993" s="29" t="n"/>
      <c r="C993" s="28" t="n"/>
      <c r="D993" s="22">
        <f t="array" ref="D993">IF($C993="","",IFERROR(INDEX(DATA_MASTER!$C$2:$C$5000,MATCH($C993,DATA_MASTER!$D$2:$D$5000,0)),""))</f>
        <v/>
      </c>
      <c r="E993" s="22">
        <f t="array" ref="E993">IF($C993="","",IFERROR(INDEX(DATA_MASTER!$I$2:$I$5000,MATCH($C993,DATA_MASTER!$D$2:$D$5000,0)),""))</f>
        <v/>
      </c>
      <c r="F993" s="22">
        <f t="array" ref="F993">IF($C993="","",IFERROR(INDEX(DATA_MASTER!$L$2:$L$5000,MATCH($C993,DATA_MASTER!$D$2:$D$5000,0)),""))</f>
        <v/>
      </c>
      <c r="G993" s="24" t="n"/>
      <c r="H993" s="24" t="n"/>
      <c r="I993" s="30" t="n"/>
      <c r="J993" s="23">
        <f>IF(OR($H993="",$I993=""),"",$H993*$I993)</f>
        <v/>
      </c>
      <c r="K993" s="24" t="n"/>
      <c r="L993" s="24" t="n"/>
      <c r="M993" s="29" t="n"/>
      <c r="N993" s="28" t="n"/>
      <c r="O993" s="24" t="n"/>
      <c r="P993" s="24" t="n"/>
      <c r="Q993" s="24" t="n"/>
      <c r="R993" s="24" t="n"/>
      <c r="S993" s="22">
        <f>IF(AND($A993="",$C993=""),"",IF($A993="","Thiếu mã đơn; ","")&amp;IF(COUNTIF($A$2:$A993,$A993)&gt;1,"Trùng mã đơn; ","")&amp;IF(ISNA(MATCH($C993,DATA_MASTER!$D$2:$D$5000,0)),"SĐT chưa đăng ký hội viên; ","")&amp;IF(AND($L993="Đã chuyển khoản",$M993=""),"Thiếu ngày nhận CK; ",""))</f>
        <v/>
      </c>
      <c r="T993" s="24" t="n"/>
    </row>
    <row r="994" ht="14.25" customHeight="1" s="40">
      <c r="A994" s="24" t="n"/>
      <c r="B994" s="29" t="n"/>
      <c r="C994" s="28" t="n"/>
      <c r="D994" s="22">
        <f t="array" ref="D994">IF($C994="","",IFERROR(INDEX(DATA_MASTER!$C$2:$C$5000,MATCH($C994,DATA_MASTER!$D$2:$D$5000,0)),""))</f>
        <v/>
      </c>
      <c r="E994" s="22">
        <f t="array" ref="E994">IF($C994="","",IFERROR(INDEX(DATA_MASTER!$I$2:$I$5000,MATCH($C994,DATA_MASTER!$D$2:$D$5000,0)),""))</f>
        <v/>
      </c>
      <c r="F994" s="22">
        <f t="array" ref="F994">IF($C994="","",IFERROR(INDEX(DATA_MASTER!$L$2:$L$5000,MATCH($C994,DATA_MASTER!$D$2:$D$5000,0)),""))</f>
        <v/>
      </c>
      <c r="G994" s="24" t="n"/>
      <c r="H994" s="24" t="n"/>
      <c r="I994" s="30" t="n"/>
      <c r="J994" s="23">
        <f>IF(OR($H994="",$I994=""),"",$H994*$I994)</f>
        <v/>
      </c>
      <c r="K994" s="24" t="n"/>
      <c r="L994" s="24" t="n"/>
      <c r="M994" s="29" t="n"/>
      <c r="N994" s="28" t="n"/>
      <c r="O994" s="24" t="n"/>
      <c r="P994" s="24" t="n"/>
      <c r="Q994" s="24" t="n"/>
      <c r="R994" s="24" t="n"/>
      <c r="S994" s="22">
        <f>IF(AND($A994="",$C994=""),"",IF($A994="","Thiếu mã đơn; ","")&amp;IF(COUNTIF($A$2:$A994,$A994)&gt;1,"Trùng mã đơn; ","")&amp;IF(ISNA(MATCH($C994,DATA_MASTER!$D$2:$D$5000,0)),"SĐT chưa đăng ký hội viên; ","")&amp;IF(AND($L994="Đã chuyển khoản",$M994=""),"Thiếu ngày nhận CK; ",""))</f>
        <v/>
      </c>
      <c r="T994" s="24" t="n"/>
    </row>
    <row r="995" ht="14.25" customHeight="1" s="40">
      <c r="A995" s="24" t="n"/>
      <c r="B995" s="29" t="n"/>
      <c r="C995" s="28" t="n"/>
      <c r="D995" s="22">
        <f t="array" ref="D995">IF($C995="","",IFERROR(INDEX(DATA_MASTER!$C$2:$C$5000,MATCH($C995,DATA_MASTER!$D$2:$D$5000,0)),""))</f>
        <v/>
      </c>
      <c r="E995" s="22">
        <f t="array" ref="E995">IF($C995="","",IFERROR(INDEX(DATA_MASTER!$I$2:$I$5000,MATCH($C995,DATA_MASTER!$D$2:$D$5000,0)),""))</f>
        <v/>
      </c>
      <c r="F995" s="22">
        <f t="array" ref="F995">IF($C995="","",IFERROR(INDEX(DATA_MASTER!$L$2:$L$5000,MATCH($C995,DATA_MASTER!$D$2:$D$5000,0)),""))</f>
        <v/>
      </c>
      <c r="G995" s="24" t="n"/>
      <c r="H995" s="24" t="n"/>
      <c r="I995" s="30" t="n"/>
      <c r="J995" s="23">
        <f>IF(OR($H995="",$I995=""),"",$H995*$I995)</f>
        <v/>
      </c>
      <c r="K995" s="24" t="n"/>
      <c r="L995" s="24" t="n"/>
      <c r="M995" s="29" t="n"/>
      <c r="N995" s="28" t="n"/>
      <c r="O995" s="24" t="n"/>
      <c r="P995" s="24" t="n"/>
      <c r="Q995" s="24" t="n"/>
      <c r="R995" s="24" t="n"/>
      <c r="S995" s="22">
        <f>IF(AND($A995="",$C995=""),"",IF($A995="","Thiếu mã đơn; ","")&amp;IF(COUNTIF($A$2:$A995,$A995)&gt;1,"Trùng mã đơn; ","")&amp;IF(ISNA(MATCH($C995,DATA_MASTER!$D$2:$D$5000,0)),"SĐT chưa đăng ký hội viên; ","")&amp;IF(AND($L995="Đã chuyển khoản",$M995=""),"Thiếu ngày nhận CK; ",""))</f>
        <v/>
      </c>
      <c r="T995" s="24" t="n"/>
    </row>
    <row r="996" ht="14.25" customHeight="1" s="40">
      <c r="A996" s="24" t="n"/>
      <c r="B996" s="29" t="n"/>
      <c r="C996" s="28" t="n"/>
      <c r="D996" s="22">
        <f t="array" ref="D996">IF($C996="","",IFERROR(INDEX(DATA_MASTER!$C$2:$C$5000,MATCH($C996,DATA_MASTER!$D$2:$D$5000,0)),""))</f>
        <v/>
      </c>
      <c r="E996" s="22">
        <f t="array" ref="E996">IF($C996="","",IFERROR(INDEX(DATA_MASTER!$I$2:$I$5000,MATCH($C996,DATA_MASTER!$D$2:$D$5000,0)),""))</f>
        <v/>
      </c>
      <c r="F996" s="22">
        <f t="array" ref="F996">IF($C996="","",IFERROR(INDEX(DATA_MASTER!$L$2:$L$5000,MATCH($C996,DATA_MASTER!$D$2:$D$5000,0)),""))</f>
        <v/>
      </c>
      <c r="G996" s="24" t="n"/>
      <c r="H996" s="24" t="n"/>
      <c r="I996" s="30" t="n"/>
      <c r="J996" s="23">
        <f>IF(OR($H996="",$I996=""),"",$H996*$I996)</f>
        <v/>
      </c>
      <c r="K996" s="24" t="n"/>
      <c r="L996" s="24" t="n"/>
      <c r="M996" s="29" t="n"/>
      <c r="N996" s="28" t="n"/>
      <c r="O996" s="24" t="n"/>
      <c r="P996" s="24" t="n"/>
      <c r="Q996" s="24" t="n"/>
      <c r="R996" s="24" t="n"/>
      <c r="S996" s="22">
        <f>IF(AND($A996="",$C996=""),"",IF($A996="","Thiếu mã đơn; ","")&amp;IF(COUNTIF($A$2:$A996,$A996)&gt;1,"Trùng mã đơn; ","")&amp;IF(ISNA(MATCH($C996,DATA_MASTER!$D$2:$D$5000,0)),"SĐT chưa đăng ký hội viên; ","")&amp;IF(AND($L996="Đã chuyển khoản",$M996=""),"Thiếu ngày nhận CK; ",""))</f>
        <v/>
      </c>
      <c r="T996" s="24" t="n"/>
    </row>
    <row r="997" ht="14.25" customHeight="1" s="40">
      <c r="A997" s="24" t="n"/>
      <c r="B997" s="29" t="n"/>
      <c r="C997" s="28" t="n"/>
      <c r="D997" s="22">
        <f t="array" ref="D997">IF($C997="","",IFERROR(INDEX(DATA_MASTER!$C$2:$C$5000,MATCH($C997,DATA_MASTER!$D$2:$D$5000,0)),""))</f>
        <v/>
      </c>
      <c r="E997" s="22">
        <f t="array" ref="E997">IF($C997="","",IFERROR(INDEX(DATA_MASTER!$I$2:$I$5000,MATCH($C997,DATA_MASTER!$D$2:$D$5000,0)),""))</f>
        <v/>
      </c>
      <c r="F997" s="22">
        <f t="array" ref="F997">IF($C997="","",IFERROR(INDEX(DATA_MASTER!$L$2:$L$5000,MATCH($C997,DATA_MASTER!$D$2:$D$5000,0)),""))</f>
        <v/>
      </c>
      <c r="G997" s="24" t="n"/>
      <c r="H997" s="24" t="n"/>
      <c r="I997" s="30" t="n"/>
      <c r="J997" s="23">
        <f>IF(OR($H997="",$I997=""),"",$H997*$I997)</f>
        <v/>
      </c>
      <c r="K997" s="24" t="n"/>
      <c r="L997" s="24" t="n"/>
      <c r="M997" s="29" t="n"/>
      <c r="N997" s="28" t="n"/>
      <c r="O997" s="24" t="n"/>
      <c r="P997" s="24" t="n"/>
      <c r="Q997" s="24" t="n"/>
      <c r="R997" s="24" t="n"/>
      <c r="S997" s="22">
        <f>IF(AND($A997="",$C997=""),"",IF($A997="","Thiếu mã đơn; ","")&amp;IF(COUNTIF($A$2:$A997,$A997)&gt;1,"Trùng mã đơn; ","")&amp;IF(ISNA(MATCH($C997,DATA_MASTER!$D$2:$D$5000,0)),"SĐT chưa đăng ký hội viên; ","")&amp;IF(AND($L997="Đã chuyển khoản",$M997=""),"Thiếu ngày nhận CK; ",""))</f>
        <v/>
      </c>
      <c r="T997" s="24" t="n"/>
    </row>
    <row r="998" ht="14.25" customHeight="1" s="40">
      <c r="A998" s="24" t="n"/>
      <c r="B998" s="29" t="n"/>
      <c r="C998" s="28" t="n"/>
      <c r="D998" s="22">
        <f t="array" ref="D998">IF($C998="","",IFERROR(INDEX(DATA_MASTER!$C$2:$C$5000,MATCH($C998,DATA_MASTER!$D$2:$D$5000,0)),""))</f>
        <v/>
      </c>
      <c r="E998" s="22">
        <f t="array" ref="E998">IF($C998="","",IFERROR(INDEX(DATA_MASTER!$I$2:$I$5000,MATCH($C998,DATA_MASTER!$D$2:$D$5000,0)),""))</f>
        <v/>
      </c>
      <c r="F998" s="22">
        <f t="array" ref="F998">IF($C998="","",IFERROR(INDEX(DATA_MASTER!$L$2:$L$5000,MATCH($C998,DATA_MASTER!$D$2:$D$5000,0)),""))</f>
        <v/>
      </c>
      <c r="G998" s="24" t="n"/>
      <c r="H998" s="24" t="n"/>
      <c r="I998" s="30" t="n"/>
      <c r="J998" s="23">
        <f>IF(OR($H998="",$I998=""),"",$H998*$I998)</f>
        <v/>
      </c>
      <c r="K998" s="24" t="n"/>
      <c r="L998" s="24" t="n"/>
      <c r="M998" s="29" t="n"/>
      <c r="N998" s="28" t="n"/>
      <c r="O998" s="24" t="n"/>
      <c r="P998" s="24" t="n"/>
      <c r="Q998" s="24" t="n"/>
      <c r="R998" s="24" t="n"/>
      <c r="S998" s="22">
        <f>IF(AND($A998="",$C998=""),"",IF($A998="","Thiếu mã đơn; ","")&amp;IF(COUNTIF($A$2:$A998,$A998)&gt;1,"Trùng mã đơn; ","")&amp;IF(ISNA(MATCH($C998,DATA_MASTER!$D$2:$D$5000,0)),"SĐT chưa đăng ký hội viên; ","")&amp;IF(AND($L998="Đã chuyển khoản",$M998=""),"Thiếu ngày nhận CK; ",""))</f>
        <v/>
      </c>
      <c r="T998" s="24" t="n"/>
    </row>
    <row r="999" ht="14.25" customHeight="1" s="40">
      <c r="A999" s="24" t="n"/>
      <c r="B999" s="29" t="n"/>
      <c r="C999" s="28" t="n"/>
      <c r="D999" s="22">
        <f t="array" ref="D999">IF($C999="","",IFERROR(INDEX(DATA_MASTER!$C$2:$C$5000,MATCH($C999,DATA_MASTER!$D$2:$D$5000,0)),""))</f>
        <v/>
      </c>
      <c r="E999" s="22">
        <f t="array" ref="E999">IF($C999="","",IFERROR(INDEX(DATA_MASTER!$I$2:$I$5000,MATCH($C999,DATA_MASTER!$D$2:$D$5000,0)),""))</f>
        <v/>
      </c>
      <c r="F999" s="22">
        <f t="array" ref="F999">IF($C999="","",IFERROR(INDEX(DATA_MASTER!$L$2:$L$5000,MATCH($C999,DATA_MASTER!$D$2:$D$5000,0)),""))</f>
        <v/>
      </c>
      <c r="G999" s="24" t="n"/>
      <c r="H999" s="24" t="n"/>
      <c r="I999" s="30" t="n"/>
      <c r="J999" s="23">
        <f>IF(OR($H999="",$I999=""),"",$H999*$I999)</f>
        <v/>
      </c>
      <c r="K999" s="24" t="n"/>
      <c r="L999" s="24" t="n"/>
      <c r="M999" s="29" t="n"/>
      <c r="N999" s="28" t="n"/>
      <c r="O999" s="24" t="n"/>
      <c r="P999" s="24" t="n"/>
      <c r="Q999" s="24" t="n"/>
      <c r="R999" s="24" t="n"/>
      <c r="S999" s="22">
        <f>IF(AND($A999="",$C999=""),"",IF($A999="","Thiếu mã đơn; ","")&amp;IF(COUNTIF($A$2:$A999,$A999)&gt;1,"Trùng mã đơn; ","")&amp;IF(ISNA(MATCH($C999,DATA_MASTER!$D$2:$D$5000,0)),"SĐT chưa đăng ký hội viên; ","")&amp;IF(AND($L999="Đã chuyển khoản",$M999=""),"Thiếu ngày nhận CK; ",""))</f>
        <v/>
      </c>
      <c r="T999" s="24" t="n"/>
    </row>
    <row r="1000" ht="14.25" customHeight="1" s="40">
      <c r="A1000" s="24" t="n"/>
      <c r="B1000" s="29" t="n"/>
      <c r="C1000" s="28" t="n"/>
      <c r="D1000" s="22">
        <f t="array" ref="D1000">IF($C1000="","",IFERROR(INDEX(DATA_MASTER!$C$2:$C$5000,MATCH($C1000,DATA_MASTER!$D$2:$D$5000,0)),""))</f>
        <v/>
      </c>
      <c r="E1000" s="22">
        <f t="array" ref="E1000">IF($C1000="","",IFERROR(INDEX(DATA_MASTER!$I$2:$I$5000,MATCH($C1000,DATA_MASTER!$D$2:$D$5000,0)),""))</f>
        <v/>
      </c>
      <c r="F1000" s="22">
        <f t="array" ref="F1000">IF($C1000="","",IFERROR(INDEX(DATA_MASTER!$L$2:$L$5000,MATCH($C1000,DATA_MASTER!$D$2:$D$5000,0)),""))</f>
        <v/>
      </c>
      <c r="G1000" s="24" t="n"/>
      <c r="H1000" s="24" t="n"/>
      <c r="I1000" s="30" t="n"/>
      <c r="J1000" s="23">
        <f>IF(OR($H1000="",$I1000=""),"",$H1000*$I1000)</f>
        <v/>
      </c>
      <c r="K1000" s="24" t="n"/>
      <c r="L1000" s="24" t="n"/>
      <c r="M1000" s="29" t="n"/>
      <c r="N1000" s="28" t="n"/>
      <c r="O1000" s="24" t="n"/>
      <c r="P1000" s="24" t="n"/>
      <c r="Q1000" s="24" t="n"/>
      <c r="R1000" s="24" t="n"/>
      <c r="S1000" s="22">
        <f>IF(AND($A1000="",$C1000=""),"",IF($A1000="","Thiếu mã đơn; ","")&amp;IF(COUNTIF($A$2:$A1000,$A1000)&gt;1,"Trùng mã đơn; ","")&amp;IF(ISNA(MATCH($C1000,DATA_MASTER!$D$2:$D$5000,0)),"SĐT chưa đăng ký hội viên; ","")&amp;IF(AND($L1000="Đã chuyển khoản",$M1000=""),"Thiếu ngày nhận CK; ",""))</f>
        <v/>
      </c>
      <c r="T1000" s="24" t="n"/>
    </row>
    <row r="1001" ht="14.25" customHeight="1" s="40">
      <c r="A1001" s="24" t="n"/>
      <c r="B1001" s="29" t="n"/>
      <c r="C1001" s="28" t="n"/>
      <c r="D1001" s="22">
        <f t="array" ref="D1001">IF($C1001="","",IFERROR(INDEX(DATA_MASTER!$C$2:$C$5000,MATCH($C1001,DATA_MASTER!$D$2:$D$5000,0)),""))</f>
        <v/>
      </c>
      <c r="E1001" s="22">
        <f t="array" ref="E1001">IF($C1001="","",IFERROR(INDEX(DATA_MASTER!$I$2:$I$5000,MATCH($C1001,DATA_MASTER!$D$2:$D$5000,0)),""))</f>
        <v/>
      </c>
      <c r="F1001" s="22">
        <f t="array" ref="F1001">IF($C1001="","",IFERROR(INDEX(DATA_MASTER!$L$2:$L$5000,MATCH($C1001,DATA_MASTER!$D$2:$D$5000,0)),""))</f>
        <v/>
      </c>
      <c r="G1001" s="24" t="n"/>
      <c r="H1001" s="24" t="n"/>
      <c r="I1001" s="30" t="n"/>
      <c r="J1001" s="23">
        <f>IF(OR($H1001="",$I1001=""),"",$H1001*$I1001)</f>
        <v/>
      </c>
      <c r="K1001" s="24" t="n"/>
      <c r="L1001" s="24" t="n"/>
      <c r="M1001" s="29" t="n"/>
      <c r="N1001" s="28" t="n"/>
      <c r="O1001" s="24" t="n"/>
      <c r="P1001" s="24" t="n"/>
      <c r="Q1001" s="24" t="n"/>
      <c r="R1001" s="24" t="n"/>
      <c r="S1001" s="22">
        <f>IF(AND($A1001="",$C1001=""),"",IF($A1001="","Thiếu mã đơn; ","")&amp;IF(COUNTIF($A$2:$A1001,$A1001)&gt;1,"Trùng mã đơn; ","")&amp;IF(ISNA(MATCH($C1001,DATA_MASTER!$D$2:$D$5000,0)),"SĐT chưa đăng ký hội viên; ","")&amp;IF(AND($L1001="Đã chuyển khoản",$M1001=""),"Thiếu ngày nhận CK; ",""))</f>
        <v/>
      </c>
      <c r="T1001" s="24" t="n"/>
    </row>
    <row r="1002" ht="14.25" customHeight="1" s="40">
      <c r="A1002" s="24" t="n"/>
      <c r="B1002" s="29" t="n"/>
      <c r="C1002" s="28" t="n"/>
      <c r="D1002" s="22">
        <f t="array" ref="D1002">IF($C1002="","",IFERROR(INDEX(DATA_MASTER!$C$2:$C$5000,MATCH($C1002,DATA_MASTER!$D$2:$D$5000,0)),""))</f>
        <v/>
      </c>
      <c r="E1002" s="22">
        <f t="array" ref="E1002">IF($C1002="","",IFERROR(INDEX(DATA_MASTER!$I$2:$I$5000,MATCH($C1002,DATA_MASTER!$D$2:$D$5000,0)),""))</f>
        <v/>
      </c>
      <c r="F1002" s="22">
        <f t="array" ref="F1002">IF($C1002="","",IFERROR(INDEX(DATA_MASTER!$L$2:$L$5000,MATCH($C1002,DATA_MASTER!$D$2:$D$5000,0)),""))</f>
        <v/>
      </c>
      <c r="G1002" s="24" t="n"/>
      <c r="H1002" s="24" t="n"/>
      <c r="I1002" s="30" t="n"/>
      <c r="J1002" s="23">
        <f>IF(OR($H1002="",$I1002=""),"",$H1002*$I1002)</f>
        <v/>
      </c>
      <c r="K1002" s="24" t="n"/>
      <c r="L1002" s="24" t="n"/>
      <c r="M1002" s="29" t="n"/>
      <c r="N1002" s="28" t="n"/>
      <c r="O1002" s="24" t="n"/>
      <c r="P1002" s="24" t="n"/>
      <c r="Q1002" s="24" t="n"/>
      <c r="R1002" s="24" t="n"/>
      <c r="S1002" s="22">
        <f>IF(AND($A1002="",$C1002=""),"",IF($A1002="","Thiếu mã đơn; ","")&amp;IF(COUNTIF($A$2:$A1002,$A1002)&gt;1,"Trùng mã đơn; ","")&amp;IF(ISNA(MATCH($C1002,DATA_MASTER!$D$2:$D$5000,0)),"SĐT chưa đăng ký hội viên; ","")&amp;IF(AND($L1002="Đã chuyển khoản",$M1002=""),"Thiếu ngày nhận CK; ",""))</f>
        <v/>
      </c>
      <c r="T1002" s="24" t="n"/>
    </row>
    <row r="1003" ht="14.25" customHeight="1" s="40">
      <c r="A1003" s="24" t="n"/>
      <c r="B1003" s="29" t="n"/>
      <c r="C1003" s="28" t="n"/>
      <c r="D1003" s="22">
        <f t="array" ref="D1003">IF($C1003="","",IFERROR(INDEX(DATA_MASTER!$C$2:$C$5000,MATCH($C1003,DATA_MASTER!$D$2:$D$5000,0)),""))</f>
        <v/>
      </c>
      <c r="E1003" s="22">
        <f t="array" ref="E1003">IF($C1003="","",IFERROR(INDEX(DATA_MASTER!$I$2:$I$5000,MATCH($C1003,DATA_MASTER!$D$2:$D$5000,0)),""))</f>
        <v/>
      </c>
      <c r="F1003" s="22">
        <f t="array" ref="F1003">IF($C1003="","",IFERROR(INDEX(DATA_MASTER!$L$2:$L$5000,MATCH($C1003,DATA_MASTER!$D$2:$D$5000,0)),""))</f>
        <v/>
      </c>
      <c r="G1003" s="24" t="n"/>
      <c r="H1003" s="24" t="n"/>
      <c r="I1003" s="30" t="n"/>
      <c r="J1003" s="23">
        <f>IF(OR($H1003="",$I1003=""),"",$H1003*$I1003)</f>
        <v/>
      </c>
      <c r="K1003" s="24" t="n"/>
      <c r="L1003" s="24" t="n"/>
      <c r="M1003" s="29" t="n"/>
      <c r="N1003" s="28" t="n"/>
      <c r="O1003" s="24" t="n"/>
      <c r="P1003" s="24" t="n"/>
      <c r="Q1003" s="24" t="n"/>
      <c r="R1003" s="24" t="n"/>
      <c r="S1003" s="22">
        <f>IF(AND($A1003="",$C1003=""),"",IF($A1003="","Thiếu mã đơn; ","")&amp;IF(COUNTIF($A$2:$A1003,$A1003)&gt;1,"Trùng mã đơn; ","")&amp;IF(ISNA(MATCH($C1003,DATA_MASTER!$D$2:$D$5000,0)),"SĐT chưa đăng ký hội viên; ","")&amp;IF(AND($L1003="Đã chuyển khoản",$M1003=""),"Thiếu ngày nhận CK; ",""))</f>
        <v/>
      </c>
      <c r="T1003" s="24" t="n"/>
    </row>
    <row r="1004" ht="14.25" customHeight="1" s="40">
      <c r="A1004" s="24" t="n"/>
      <c r="B1004" s="29" t="n"/>
      <c r="C1004" s="28" t="n"/>
      <c r="D1004" s="22">
        <f t="array" ref="D1004">IF($C1004="","",IFERROR(INDEX(DATA_MASTER!$C$2:$C$5000,MATCH($C1004,DATA_MASTER!$D$2:$D$5000,0)),""))</f>
        <v/>
      </c>
      <c r="E1004" s="22">
        <f t="array" ref="E1004">IF($C1004="","",IFERROR(INDEX(DATA_MASTER!$I$2:$I$5000,MATCH($C1004,DATA_MASTER!$D$2:$D$5000,0)),""))</f>
        <v/>
      </c>
      <c r="F1004" s="22">
        <f t="array" ref="F1004">IF($C1004="","",IFERROR(INDEX(DATA_MASTER!$L$2:$L$5000,MATCH($C1004,DATA_MASTER!$D$2:$D$5000,0)),""))</f>
        <v/>
      </c>
      <c r="G1004" s="24" t="n"/>
      <c r="H1004" s="24" t="n"/>
      <c r="I1004" s="30" t="n"/>
      <c r="J1004" s="23">
        <f>IF(OR($H1004="",$I1004=""),"",$H1004*$I1004)</f>
        <v/>
      </c>
      <c r="K1004" s="24" t="n"/>
      <c r="L1004" s="24" t="n"/>
      <c r="M1004" s="29" t="n"/>
      <c r="N1004" s="28" t="n"/>
      <c r="O1004" s="24" t="n"/>
      <c r="P1004" s="24" t="n"/>
      <c r="Q1004" s="24" t="n"/>
      <c r="R1004" s="24" t="n"/>
      <c r="S1004" s="22">
        <f>IF(AND($A1004="",$C1004=""),"",IF($A1004="","Thiếu mã đơn; ","")&amp;IF(COUNTIF($A$2:$A1004,$A1004)&gt;1,"Trùng mã đơn; ","")&amp;IF(ISNA(MATCH($C1004,DATA_MASTER!$D$2:$D$5000,0)),"SĐT chưa đăng ký hội viên; ","")&amp;IF(AND($L1004="Đã chuyển khoản",$M1004=""),"Thiếu ngày nhận CK; ",""))</f>
        <v/>
      </c>
      <c r="T1004" s="24" t="n"/>
    </row>
    <row r="1005" ht="14.25" customHeight="1" s="40">
      <c r="A1005" s="24" t="n"/>
      <c r="B1005" s="29" t="n"/>
      <c r="C1005" s="28" t="n"/>
      <c r="D1005" s="22">
        <f t="array" ref="D1005">IF($C1005="","",IFERROR(INDEX(DATA_MASTER!$C$2:$C$5000,MATCH($C1005,DATA_MASTER!$D$2:$D$5000,0)),""))</f>
        <v/>
      </c>
      <c r="E1005" s="22">
        <f t="array" ref="E1005">IF($C1005="","",IFERROR(INDEX(DATA_MASTER!$I$2:$I$5000,MATCH($C1005,DATA_MASTER!$D$2:$D$5000,0)),""))</f>
        <v/>
      </c>
      <c r="F1005" s="22">
        <f t="array" ref="F1005">IF($C1005="","",IFERROR(INDEX(DATA_MASTER!$L$2:$L$5000,MATCH($C1005,DATA_MASTER!$D$2:$D$5000,0)),""))</f>
        <v/>
      </c>
      <c r="G1005" s="24" t="n"/>
      <c r="H1005" s="24" t="n"/>
      <c r="I1005" s="30" t="n"/>
      <c r="J1005" s="23">
        <f>IF(OR($H1005="",$I1005=""),"",$H1005*$I1005)</f>
        <v/>
      </c>
      <c r="K1005" s="24" t="n"/>
      <c r="L1005" s="24" t="n"/>
      <c r="M1005" s="29" t="n"/>
      <c r="N1005" s="28" t="n"/>
      <c r="O1005" s="24" t="n"/>
      <c r="P1005" s="24" t="n"/>
      <c r="Q1005" s="24" t="n"/>
      <c r="R1005" s="24" t="n"/>
      <c r="S1005" s="22">
        <f>IF(AND($A1005="",$C1005=""),"",IF($A1005="","Thiếu mã đơn; ","")&amp;IF(COUNTIF($A$2:$A1005,$A1005)&gt;1,"Trùng mã đơn; ","")&amp;IF(ISNA(MATCH($C1005,DATA_MASTER!$D$2:$D$5000,0)),"SĐT chưa đăng ký hội viên; ","")&amp;IF(AND($L1005="Đã chuyển khoản",$M1005=""),"Thiếu ngày nhận CK; ",""))</f>
        <v/>
      </c>
      <c r="T1005" s="24" t="n"/>
    </row>
    <row r="1006" ht="14.25" customHeight="1" s="40">
      <c r="A1006" s="24" t="n"/>
      <c r="B1006" s="29" t="n"/>
      <c r="C1006" s="28" t="n"/>
      <c r="D1006" s="22">
        <f t="array" ref="D1006">IF($C1006="","",IFERROR(INDEX(DATA_MASTER!$C$2:$C$5000,MATCH($C1006,DATA_MASTER!$D$2:$D$5000,0)),""))</f>
        <v/>
      </c>
      <c r="E1006" s="22">
        <f t="array" ref="E1006">IF($C1006="","",IFERROR(INDEX(DATA_MASTER!$I$2:$I$5000,MATCH($C1006,DATA_MASTER!$D$2:$D$5000,0)),""))</f>
        <v/>
      </c>
      <c r="F1006" s="22">
        <f t="array" ref="F1006">IF($C1006="","",IFERROR(INDEX(DATA_MASTER!$L$2:$L$5000,MATCH($C1006,DATA_MASTER!$D$2:$D$5000,0)),""))</f>
        <v/>
      </c>
      <c r="G1006" s="24" t="n"/>
      <c r="H1006" s="24" t="n"/>
      <c r="I1006" s="30" t="n"/>
      <c r="J1006" s="23">
        <f>IF(OR($H1006="",$I1006=""),"",$H1006*$I1006)</f>
        <v/>
      </c>
      <c r="K1006" s="24" t="n"/>
      <c r="L1006" s="24" t="n"/>
      <c r="M1006" s="29" t="n"/>
      <c r="N1006" s="28" t="n"/>
      <c r="O1006" s="24" t="n"/>
      <c r="P1006" s="24" t="n"/>
      <c r="Q1006" s="24" t="n"/>
      <c r="R1006" s="24" t="n"/>
      <c r="S1006" s="22">
        <f>IF(AND($A1006="",$C1006=""),"",IF($A1006="","Thiếu mã đơn; ","")&amp;IF(COUNTIF($A$2:$A1006,$A1006)&gt;1,"Trùng mã đơn; ","")&amp;IF(ISNA(MATCH($C1006,DATA_MASTER!$D$2:$D$5000,0)),"SĐT chưa đăng ký hội viên; ","")&amp;IF(AND($L1006="Đã chuyển khoản",$M1006=""),"Thiếu ngày nhận CK; ",""))</f>
        <v/>
      </c>
      <c r="T1006" s="24" t="n"/>
    </row>
    <row r="1007" ht="14.25" customHeight="1" s="40">
      <c r="A1007" s="24" t="n"/>
      <c r="B1007" s="29" t="n"/>
      <c r="C1007" s="28" t="n"/>
      <c r="D1007" s="22">
        <f t="array" ref="D1007">IF($C1007="","",IFERROR(INDEX(DATA_MASTER!$C$2:$C$5000,MATCH($C1007,DATA_MASTER!$D$2:$D$5000,0)),""))</f>
        <v/>
      </c>
      <c r="E1007" s="22">
        <f t="array" ref="E1007">IF($C1007="","",IFERROR(INDEX(DATA_MASTER!$I$2:$I$5000,MATCH($C1007,DATA_MASTER!$D$2:$D$5000,0)),""))</f>
        <v/>
      </c>
      <c r="F1007" s="22">
        <f t="array" ref="F1007">IF($C1007="","",IFERROR(INDEX(DATA_MASTER!$L$2:$L$5000,MATCH($C1007,DATA_MASTER!$D$2:$D$5000,0)),""))</f>
        <v/>
      </c>
      <c r="G1007" s="24" t="n"/>
      <c r="H1007" s="24" t="n"/>
      <c r="I1007" s="30" t="n"/>
      <c r="J1007" s="23">
        <f>IF(OR($H1007="",$I1007=""),"",$H1007*$I1007)</f>
        <v/>
      </c>
      <c r="K1007" s="24" t="n"/>
      <c r="L1007" s="24" t="n"/>
      <c r="M1007" s="29" t="n"/>
      <c r="N1007" s="28" t="n"/>
      <c r="O1007" s="24" t="n"/>
      <c r="P1007" s="24" t="n"/>
      <c r="Q1007" s="24" t="n"/>
      <c r="R1007" s="24" t="n"/>
      <c r="S1007" s="22">
        <f>IF(AND($A1007="",$C1007=""),"",IF($A1007="","Thiếu mã đơn; ","")&amp;IF(COUNTIF($A$2:$A1007,$A1007)&gt;1,"Trùng mã đơn; ","")&amp;IF(ISNA(MATCH($C1007,DATA_MASTER!$D$2:$D$5000,0)),"SĐT chưa đăng ký hội viên; ","")&amp;IF(AND($L1007="Đã chuyển khoản",$M1007=""),"Thiếu ngày nhận CK; ",""))</f>
        <v/>
      </c>
      <c r="T1007" s="24" t="n"/>
    </row>
    <row r="1008" ht="14.25" customHeight="1" s="40">
      <c r="A1008" s="24" t="n"/>
      <c r="B1008" s="29" t="n"/>
      <c r="C1008" s="28" t="n"/>
      <c r="D1008" s="22">
        <f t="array" ref="D1008">IF($C1008="","",IFERROR(INDEX(DATA_MASTER!$C$2:$C$5000,MATCH($C1008,DATA_MASTER!$D$2:$D$5000,0)),""))</f>
        <v/>
      </c>
      <c r="E1008" s="22">
        <f t="array" ref="E1008">IF($C1008="","",IFERROR(INDEX(DATA_MASTER!$I$2:$I$5000,MATCH($C1008,DATA_MASTER!$D$2:$D$5000,0)),""))</f>
        <v/>
      </c>
      <c r="F1008" s="22">
        <f t="array" ref="F1008">IF($C1008="","",IFERROR(INDEX(DATA_MASTER!$L$2:$L$5000,MATCH($C1008,DATA_MASTER!$D$2:$D$5000,0)),""))</f>
        <v/>
      </c>
      <c r="G1008" s="24" t="n"/>
      <c r="H1008" s="24" t="n"/>
      <c r="I1008" s="30" t="n"/>
      <c r="J1008" s="23">
        <f>IF(OR($H1008="",$I1008=""),"",$H1008*$I1008)</f>
        <v/>
      </c>
      <c r="K1008" s="24" t="n"/>
      <c r="L1008" s="24" t="n"/>
      <c r="M1008" s="29" t="n"/>
      <c r="N1008" s="28" t="n"/>
      <c r="O1008" s="24" t="n"/>
      <c r="P1008" s="24" t="n"/>
      <c r="Q1008" s="24" t="n"/>
      <c r="R1008" s="24" t="n"/>
      <c r="S1008" s="22">
        <f>IF(AND($A1008="",$C1008=""),"",IF($A1008="","Thiếu mã đơn; ","")&amp;IF(COUNTIF($A$2:$A1008,$A1008)&gt;1,"Trùng mã đơn; ","")&amp;IF(ISNA(MATCH($C1008,DATA_MASTER!$D$2:$D$5000,0)),"SĐT chưa đăng ký hội viên; ","")&amp;IF(AND($L1008="Đã chuyển khoản",$M1008=""),"Thiếu ngày nhận CK; ",""))</f>
        <v/>
      </c>
      <c r="T1008" s="24" t="n"/>
    </row>
    <row r="1009" ht="14.25" customHeight="1" s="40">
      <c r="A1009" s="24" t="n"/>
      <c r="B1009" s="29" t="n"/>
      <c r="C1009" s="28" t="n"/>
      <c r="D1009" s="22">
        <f t="array" ref="D1009">IF($C1009="","",IFERROR(INDEX(DATA_MASTER!$C$2:$C$5000,MATCH($C1009,DATA_MASTER!$D$2:$D$5000,0)),""))</f>
        <v/>
      </c>
      <c r="E1009" s="22">
        <f t="array" ref="E1009">IF($C1009="","",IFERROR(INDEX(DATA_MASTER!$I$2:$I$5000,MATCH($C1009,DATA_MASTER!$D$2:$D$5000,0)),""))</f>
        <v/>
      </c>
      <c r="F1009" s="22">
        <f t="array" ref="F1009">IF($C1009="","",IFERROR(INDEX(DATA_MASTER!$L$2:$L$5000,MATCH($C1009,DATA_MASTER!$D$2:$D$5000,0)),""))</f>
        <v/>
      </c>
      <c r="G1009" s="24" t="n"/>
      <c r="H1009" s="24" t="n"/>
      <c r="I1009" s="30" t="n"/>
      <c r="J1009" s="23">
        <f>IF(OR($H1009="",$I1009=""),"",$H1009*$I1009)</f>
        <v/>
      </c>
      <c r="K1009" s="24" t="n"/>
      <c r="L1009" s="24" t="n"/>
      <c r="M1009" s="29" t="n"/>
      <c r="N1009" s="28" t="n"/>
      <c r="O1009" s="24" t="n"/>
      <c r="P1009" s="24" t="n"/>
      <c r="Q1009" s="24" t="n"/>
      <c r="R1009" s="24" t="n"/>
      <c r="S1009" s="22">
        <f>IF(AND($A1009="",$C1009=""),"",IF($A1009="","Thiếu mã đơn; ","")&amp;IF(COUNTIF($A$2:$A1009,$A1009)&gt;1,"Trùng mã đơn; ","")&amp;IF(ISNA(MATCH($C1009,DATA_MASTER!$D$2:$D$5000,0)),"SĐT chưa đăng ký hội viên; ","")&amp;IF(AND($L1009="Đã chuyển khoản",$M1009=""),"Thiếu ngày nhận CK; ",""))</f>
        <v/>
      </c>
      <c r="T1009" s="24" t="n"/>
    </row>
    <row r="1010" ht="14.25" customHeight="1" s="40">
      <c r="A1010" s="24" t="n"/>
      <c r="B1010" s="29" t="n"/>
      <c r="C1010" s="28" t="n"/>
      <c r="D1010" s="22">
        <f t="array" ref="D1010">IF($C1010="","",IFERROR(INDEX(DATA_MASTER!$C$2:$C$5000,MATCH($C1010,DATA_MASTER!$D$2:$D$5000,0)),""))</f>
        <v/>
      </c>
      <c r="E1010" s="22">
        <f t="array" ref="E1010">IF($C1010="","",IFERROR(INDEX(DATA_MASTER!$I$2:$I$5000,MATCH($C1010,DATA_MASTER!$D$2:$D$5000,0)),""))</f>
        <v/>
      </c>
      <c r="F1010" s="22">
        <f t="array" ref="F1010">IF($C1010="","",IFERROR(INDEX(DATA_MASTER!$L$2:$L$5000,MATCH($C1010,DATA_MASTER!$D$2:$D$5000,0)),""))</f>
        <v/>
      </c>
      <c r="G1010" s="24" t="n"/>
      <c r="H1010" s="24" t="n"/>
      <c r="I1010" s="30" t="n"/>
      <c r="J1010" s="23">
        <f>IF(OR($H1010="",$I1010=""),"",$H1010*$I1010)</f>
        <v/>
      </c>
      <c r="K1010" s="24" t="n"/>
      <c r="L1010" s="24" t="n"/>
      <c r="M1010" s="29" t="n"/>
      <c r="N1010" s="28" t="n"/>
      <c r="O1010" s="24" t="n"/>
      <c r="P1010" s="24" t="n"/>
      <c r="Q1010" s="24" t="n"/>
      <c r="R1010" s="24" t="n"/>
      <c r="S1010" s="22">
        <f>IF(AND($A1010="",$C1010=""),"",IF($A1010="","Thiếu mã đơn; ","")&amp;IF(COUNTIF($A$2:$A1010,$A1010)&gt;1,"Trùng mã đơn; ","")&amp;IF(ISNA(MATCH($C1010,DATA_MASTER!$D$2:$D$5000,0)),"SĐT chưa đăng ký hội viên; ","")&amp;IF(AND($L1010="Đã chuyển khoản",$M1010=""),"Thiếu ngày nhận CK; ",""))</f>
        <v/>
      </c>
      <c r="T1010" s="24" t="n"/>
    </row>
    <row r="1011" ht="14.25" customHeight="1" s="40">
      <c r="A1011" s="24" t="n"/>
      <c r="B1011" s="29" t="n"/>
      <c r="C1011" s="28" t="n"/>
      <c r="D1011" s="22">
        <f t="array" ref="D1011">IF($C1011="","",IFERROR(INDEX(DATA_MASTER!$C$2:$C$5000,MATCH($C1011,DATA_MASTER!$D$2:$D$5000,0)),""))</f>
        <v/>
      </c>
      <c r="E1011" s="22">
        <f t="array" ref="E1011">IF($C1011="","",IFERROR(INDEX(DATA_MASTER!$I$2:$I$5000,MATCH($C1011,DATA_MASTER!$D$2:$D$5000,0)),""))</f>
        <v/>
      </c>
      <c r="F1011" s="22">
        <f t="array" ref="F1011">IF($C1011="","",IFERROR(INDEX(DATA_MASTER!$L$2:$L$5000,MATCH($C1011,DATA_MASTER!$D$2:$D$5000,0)),""))</f>
        <v/>
      </c>
      <c r="G1011" s="24" t="n"/>
      <c r="H1011" s="24" t="n"/>
      <c r="I1011" s="30" t="n"/>
      <c r="J1011" s="23">
        <f>IF(OR($H1011="",$I1011=""),"",$H1011*$I1011)</f>
        <v/>
      </c>
      <c r="K1011" s="24" t="n"/>
      <c r="L1011" s="24" t="n"/>
      <c r="M1011" s="29" t="n"/>
      <c r="N1011" s="28" t="n"/>
      <c r="O1011" s="24" t="n"/>
      <c r="P1011" s="24" t="n"/>
      <c r="Q1011" s="24" t="n"/>
      <c r="R1011" s="24" t="n"/>
      <c r="S1011" s="22">
        <f>IF(AND($A1011="",$C1011=""),"",IF($A1011="","Thiếu mã đơn; ","")&amp;IF(COUNTIF($A$2:$A1011,$A1011)&gt;1,"Trùng mã đơn; ","")&amp;IF(ISNA(MATCH($C1011,DATA_MASTER!$D$2:$D$5000,0)),"SĐT chưa đăng ký hội viên; ","")&amp;IF(AND($L1011="Đã chuyển khoản",$M1011=""),"Thiếu ngày nhận CK; ",""))</f>
        <v/>
      </c>
      <c r="T1011" s="24" t="n"/>
    </row>
    <row r="1012" ht="14.25" customHeight="1" s="40">
      <c r="A1012" s="24" t="n"/>
      <c r="B1012" s="29" t="n"/>
      <c r="C1012" s="28" t="n"/>
      <c r="D1012" s="22">
        <f t="array" ref="D1012">IF($C1012="","",IFERROR(INDEX(DATA_MASTER!$C$2:$C$5000,MATCH($C1012,DATA_MASTER!$D$2:$D$5000,0)),""))</f>
        <v/>
      </c>
      <c r="E1012" s="22">
        <f t="array" ref="E1012">IF($C1012="","",IFERROR(INDEX(DATA_MASTER!$I$2:$I$5000,MATCH($C1012,DATA_MASTER!$D$2:$D$5000,0)),""))</f>
        <v/>
      </c>
      <c r="F1012" s="22">
        <f t="array" ref="F1012">IF($C1012="","",IFERROR(INDEX(DATA_MASTER!$L$2:$L$5000,MATCH($C1012,DATA_MASTER!$D$2:$D$5000,0)),""))</f>
        <v/>
      </c>
      <c r="G1012" s="24" t="n"/>
      <c r="H1012" s="24" t="n"/>
      <c r="I1012" s="30" t="n"/>
      <c r="J1012" s="23">
        <f>IF(OR($H1012="",$I1012=""),"",$H1012*$I1012)</f>
        <v/>
      </c>
      <c r="K1012" s="24" t="n"/>
      <c r="L1012" s="24" t="n"/>
      <c r="M1012" s="29" t="n"/>
      <c r="N1012" s="28" t="n"/>
      <c r="O1012" s="24" t="n"/>
      <c r="P1012" s="24" t="n"/>
      <c r="Q1012" s="24" t="n"/>
      <c r="R1012" s="24" t="n"/>
      <c r="S1012" s="22">
        <f>IF(AND($A1012="",$C1012=""),"",IF($A1012="","Thiếu mã đơn; ","")&amp;IF(COUNTIF($A$2:$A1012,$A1012)&gt;1,"Trùng mã đơn; ","")&amp;IF(ISNA(MATCH($C1012,DATA_MASTER!$D$2:$D$5000,0)),"SĐT chưa đăng ký hội viên; ","")&amp;IF(AND($L1012="Đã chuyển khoản",$M1012=""),"Thiếu ngày nhận CK; ",""))</f>
        <v/>
      </c>
      <c r="T1012" s="24" t="n"/>
    </row>
    <row r="1013" ht="14.25" customHeight="1" s="40">
      <c r="A1013" s="24" t="n"/>
      <c r="B1013" s="29" t="n"/>
      <c r="C1013" s="28" t="n"/>
      <c r="D1013" s="22">
        <f t="array" ref="D1013">IF($C1013="","",IFERROR(INDEX(DATA_MASTER!$C$2:$C$5000,MATCH($C1013,DATA_MASTER!$D$2:$D$5000,0)),""))</f>
        <v/>
      </c>
      <c r="E1013" s="22">
        <f t="array" ref="E1013">IF($C1013="","",IFERROR(INDEX(DATA_MASTER!$I$2:$I$5000,MATCH($C1013,DATA_MASTER!$D$2:$D$5000,0)),""))</f>
        <v/>
      </c>
      <c r="F1013" s="22">
        <f t="array" ref="F1013">IF($C1013="","",IFERROR(INDEX(DATA_MASTER!$L$2:$L$5000,MATCH($C1013,DATA_MASTER!$D$2:$D$5000,0)),""))</f>
        <v/>
      </c>
      <c r="G1013" s="24" t="n"/>
      <c r="H1013" s="24" t="n"/>
      <c r="I1013" s="30" t="n"/>
      <c r="J1013" s="23">
        <f>IF(OR($H1013="",$I1013=""),"",$H1013*$I1013)</f>
        <v/>
      </c>
      <c r="K1013" s="24" t="n"/>
      <c r="L1013" s="24" t="n"/>
      <c r="M1013" s="29" t="n"/>
      <c r="N1013" s="28" t="n"/>
      <c r="O1013" s="24" t="n"/>
      <c r="P1013" s="24" t="n"/>
      <c r="Q1013" s="24" t="n"/>
      <c r="R1013" s="24" t="n"/>
      <c r="S1013" s="22">
        <f>IF(AND($A1013="",$C1013=""),"",IF($A1013="","Thiếu mã đơn; ","")&amp;IF(COUNTIF($A$2:$A1013,$A1013)&gt;1,"Trùng mã đơn; ","")&amp;IF(ISNA(MATCH($C1013,DATA_MASTER!$D$2:$D$5000,0)),"SĐT chưa đăng ký hội viên; ","")&amp;IF(AND($L1013="Đã chuyển khoản",$M1013=""),"Thiếu ngày nhận CK; ",""))</f>
        <v/>
      </c>
      <c r="T1013" s="24" t="n"/>
    </row>
    <row r="1014" ht="14.25" customHeight="1" s="40">
      <c r="A1014" s="24" t="n"/>
      <c r="B1014" s="29" t="n"/>
      <c r="C1014" s="28" t="n"/>
      <c r="D1014" s="22">
        <f t="array" ref="D1014">IF($C1014="","",IFERROR(INDEX(DATA_MASTER!$C$2:$C$5000,MATCH($C1014,DATA_MASTER!$D$2:$D$5000,0)),""))</f>
        <v/>
      </c>
      <c r="E1014" s="22">
        <f t="array" ref="E1014">IF($C1014="","",IFERROR(INDEX(DATA_MASTER!$I$2:$I$5000,MATCH($C1014,DATA_MASTER!$D$2:$D$5000,0)),""))</f>
        <v/>
      </c>
      <c r="F1014" s="22">
        <f t="array" ref="F1014">IF($C1014="","",IFERROR(INDEX(DATA_MASTER!$L$2:$L$5000,MATCH($C1014,DATA_MASTER!$D$2:$D$5000,0)),""))</f>
        <v/>
      </c>
      <c r="G1014" s="24" t="n"/>
      <c r="H1014" s="24" t="n"/>
      <c r="I1014" s="30" t="n"/>
      <c r="J1014" s="23">
        <f>IF(OR($H1014="",$I1014=""),"",$H1014*$I1014)</f>
        <v/>
      </c>
      <c r="K1014" s="24" t="n"/>
      <c r="L1014" s="24" t="n"/>
      <c r="M1014" s="29" t="n"/>
      <c r="N1014" s="28" t="n"/>
      <c r="O1014" s="24" t="n"/>
      <c r="P1014" s="24" t="n"/>
      <c r="Q1014" s="24" t="n"/>
      <c r="R1014" s="24" t="n"/>
      <c r="S1014" s="22">
        <f>IF(AND($A1014="",$C1014=""),"",IF($A1014="","Thiếu mã đơn; ","")&amp;IF(COUNTIF($A$2:$A1014,$A1014)&gt;1,"Trùng mã đơn; ","")&amp;IF(ISNA(MATCH($C1014,DATA_MASTER!$D$2:$D$5000,0)),"SĐT chưa đăng ký hội viên; ","")&amp;IF(AND($L1014="Đã chuyển khoản",$M1014=""),"Thiếu ngày nhận CK; ",""))</f>
        <v/>
      </c>
      <c r="T1014" s="24" t="n"/>
    </row>
    <row r="1015" ht="14.25" customHeight="1" s="40">
      <c r="A1015" s="24" t="n"/>
      <c r="B1015" s="29" t="n"/>
      <c r="C1015" s="28" t="n"/>
      <c r="D1015" s="22">
        <f t="array" ref="D1015">IF($C1015="","",IFERROR(INDEX(DATA_MASTER!$C$2:$C$5000,MATCH($C1015,DATA_MASTER!$D$2:$D$5000,0)),""))</f>
        <v/>
      </c>
      <c r="E1015" s="22">
        <f t="array" ref="E1015">IF($C1015="","",IFERROR(INDEX(DATA_MASTER!$I$2:$I$5000,MATCH($C1015,DATA_MASTER!$D$2:$D$5000,0)),""))</f>
        <v/>
      </c>
      <c r="F1015" s="22">
        <f t="array" ref="F1015">IF($C1015="","",IFERROR(INDEX(DATA_MASTER!$L$2:$L$5000,MATCH($C1015,DATA_MASTER!$D$2:$D$5000,0)),""))</f>
        <v/>
      </c>
      <c r="G1015" s="24" t="n"/>
      <c r="H1015" s="24" t="n"/>
      <c r="I1015" s="30" t="n"/>
      <c r="J1015" s="23">
        <f>IF(OR($H1015="",$I1015=""),"",$H1015*$I1015)</f>
        <v/>
      </c>
      <c r="K1015" s="24" t="n"/>
      <c r="L1015" s="24" t="n"/>
      <c r="M1015" s="29" t="n"/>
      <c r="N1015" s="28" t="n"/>
      <c r="O1015" s="24" t="n"/>
      <c r="P1015" s="24" t="n"/>
      <c r="Q1015" s="24" t="n"/>
      <c r="R1015" s="24" t="n"/>
      <c r="S1015" s="22">
        <f>IF(AND($A1015="",$C1015=""),"",IF($A1015="","Thiếu mã đơn; ","")&amp;IF(COUNTIF($A$2:$A1015,$A1015)&gt;1,"Trùng mã đơn; ","")&amp;IF(ISNA(MATCH($C1015,DATA_MASTER!$D$2:$D$5000,0)),"SĐT chưa đăng ký hội viên; ","")&amp;IF(AND($L1015="Đã chuyển khoản",$M1015=""),"Thiếu ngày nhận CK; ",""))</f>
        <v/>
      </c>
      <c r="T1015" s="24" t="n"/>
    </row>
    <row r="1016" ht="14.25" customHeight="1" s="40">
      <c r="A1016" s="24" t="n"/>
      <c r="B1016" s="29" t="n"/>
      <c r="C1016" s="28" t="n"/>
      <c r="D1016" s="22">
        <f t="array" ref="D1016">IF($C1016="","",IFERROR(INDEX(DATA_MASTER!$C$2:$C$5000,MATCH($C1016,DATA_MASTER!$D$2:$D$5000,0)),""))</f>
        <v/>
      </c>
      <c r="E1016" s="22">
        <f t="array" ref="E1016">IF($C1016="","",IFERROR(INDEX(DATA_MASTER!$I$2:$I$5000,MATCH($C1016,DATA_MASTER!$D$2:$D$5000,0)),""))</f>
        <v/>
      </c>
      <c r="F1016" s="22">
        <f t="array" ref="F1016">IF($C1016="","",IFERROR(INDEX(DATA_MASTER!$L$2:$L$5000,MATCH($C1016,DATA_MASTER!$D$2:$D$5000,0)),""))</f>
        <v/>
      </c>
      <c r="G1016" s="24" t="n"/>
      <c r="H1016" s="24" t="n"/>
      <c r="I1016" s="30" t="n"/>
      <c r="J1016" s="23">
        <f>IF(OR($H1016="",$I1016=""),"",$H1016*$I1016)</f>
        <v/>
      </c>
      <c r="K1016" s="24" t="n"/>
      <c r="L1016" s="24" t="n"/>
      <c r="M1016" s="29" t="n"/>
      <c r="N1016" s="28" t="n"/>
      <c r="O1016" s="24" t="n"/>
      <c r="P1016" s="24" t="n"/>
      <c r="Q1016" s="24" t="n"/>
      <c r="R1016" s="24" t="n"/>
      <c r="S1016" s="22">
        <f>IF(AND($A1016="",$C1016=""),"",IF($A1016="","Thiếu mã đơn; ","")&amp;IF(COUNTIF($A$2:$A1016,$A1016)&gt;1,"Trùng mã đơn; ","")&amp;IF(ISNA(MATCH($C1016,DATA_MASTER!$D$2:$D$5000,0)),"SĐT chưa đăng ký hội viên; ","")&amp;IF(AND($L1016="Đã chuyển khoản",$M1016=""),"Thiếu ngày nhận CK; ",""))</f>
        <v/>
      </c>
      <c r="T1016" s="24" t="n"/>
    </row>
    <row r="1017" ht="14.25" customHeight="1" s="40">
      <c r="A1017" s="24" t="n"/>
      <c r="B1017" s="29" t="n"/>
      <c r="C1017" s="28" t="n"/>
      <c r="D1017" s="22">
        <f t="array" ref="D1017">IF($C1017="","",IFERROR(INDEX(DATA_MASTER!$C$2:$C$5000,MATCH($C1017,DATA_MASTER!$D$2:$D$5000,0)),""))</f>
        <v/>
      </c>
      <c r="E1017" s="22">
        <f t="array" ref="E1017">IF($C1017="","",IFERROR(INDEX(DATA_MASTER!$I$2:$I$5000,MATCH($C1017,DATA_MASTER!$D$2:$D$5000,0)),""))</f>
        <v/>
      </c>
      <c r="F1017" s="22">
        <f t="array" ref="F1017">IF($C1017="","",IFERROR(INDEX(DATA_MASTER!$L$2:$L$5000,MATCH($C1017,DATA_MASTER!$D$2:$D$5000,0)),""))</f>
        <v/>
      </c>
      <c r="G1017" s="24" t="n"/>
      <c r="H1017" s="24" t="n"/>
      <c r="I1017" s="30" t="n"/>
      <c r="J1017" s="23">
        <f>IF(OR($H1017="",$I1017=""),"",$H1017*$I1017)</f>
        <v/>
      </c>
      <c r="K1017" s="24" t="n"/>
      <c r="L1017" s="24" t="n"/>
      <c r="M1017" s="29" t="n"/>
      <c r="N1017" s="28" t="n"/>
      <c r="O1017" s="24" t="n"/>
      <c r="P1017" s="24" t="n"/>
      <c r="Q1017" s="24" t="n"/>
      <c r="R1017" s="24" t="n"/>
      <c r="S1017" s="22">
        <f>IF(AND($A1017="",$C1017=""),"",IF($A1017="","Thiếu mã đơn; ","")&amp;IF(COUNTIF($A$2:$A1017,$A1017)&gt;1,"Trùng mã đơn; ","")&amp;IF(ISNA(MATCH($C1017,DATA_MASTER!$D$2:$D$5000,0)),"SĐT chưa đăng ký hội viên; ","")&amp;IF(AND($L1017="Đã chuyển khoản",$M1017=""),"Thiếu ngày nhận CK; ",""))</f>
        <v/>
      </c>
      <c r="T1017" s="24" t="n"/>
    </row>
    <row r="1018" ht="14.25" customHeight="1" s="40">
      <c r="A1018" s="24" t="n"/>
      <c r="B1018" s="29" t="n"/>
      <c r="C1018" s="28" t="n"/>
      <c r="D1018" s="22">
        <f t="array" ref="D1018">IF($C1018="","",IFERROR(INDEX(DATA_MASTER!$C$2:$C$5000,MATCH($C1018,DATA_MASTER!$D$2:$D$5000,0)),""))</f>
        <v/>
      </c>
      <c r="E1018" s="22">
        <f t="array" ref="E1018">IF($C1018="","",IFERROR(INDEX(DATA_MASTER!$I$2:$I$5000,MATCH($C1018,DATA_MASTER!$D$2:$D$5000,0)),""))</f>
        <v/>
      </c>
      <c r="F1018" s="22">
        <f t="array" ref="F1018">IF($C1018="","",IFERROR(INDEX(DATA_MASTER!$L$2:$L$5000,MATCH($C1018,DATA_MASTER!$D$2:$D$5000,0)),""))</f>
        <v/>
      </c>
      <c r="G1018" s="24" t="n"/>
      <c r="H1018" s="24" t="n"/>
      <c r="I1018" s="30" t="n"/>
      <c r="J1018" s="23">
        <f>IF(OR($H1018="",$I1018=""),"",$H1018*$I1018)</f>
        <v/>
      </c>
      <c r="K1018" s="24" t="n"/>
      <c r="L1018" s="24" t="n"/>
      <c r="M1018" s="29" t="n"/>
      <c r="N1018" s="28" t="n"/>
      <c r="O1018" s="24" t="n"/>
      <c r="P1018" s="24" t="n"/>
      <c r="Q1018" s="24" t="n"/>
      <c r="R1018" s="24" t="n"/>
      <c r="S1018" s="22">
        <f>IF(AND($A1018="",$C1018=""),"",IF($A1018="","Thiếu mã đơn; ","")&amp;IF(COUNTIF($A$2:$A1018,$A1018)&gt;1,"Trùng mã đơn; ","")&amp;IF(ISNA(MATCH($C1018,DATA_MASTER!$D$2:$D$5000,0)),"SĐT chưa đăng ký hội viên; ","")&amp;IF(AND($L1018="Đã chuyển khoản",$M1018=""),"Thiếu ngày nhận CK; ",""))</f>
        <v/>
      </c>
      <c r="T1018" s="24" t="n"/>
    </row>
    <row r="1019" ht="14.25" customHeight="1" s="40">
      <c r="A1019" s="24" t="n"/>
      <c r="B1019" s="29" t="n"/>
      <c r="C1019" s="28" t="n"/>
      <c r="D1019" s="22">
        <f t="array" ref="D1019">IF($C1019="","",IFERROR(INDEX(DATA_MASTER!$C$2:$C$5000,MATCH($C1019,DATA_MASTER!$D$2:$D$5000,0)),""))</f>
        <v/>
      </c>
      <c r="E1019" s="22">
        <f t="array" ref="E1019">IF($C1019="","",IFERROR(INDEX(DATA_MASTER!$I$2:$I$5000,MATCH($C1019,DATA_MASTER!$D$2:$D$5000,0)),""))</f>
        <v/>
      </c>
      <c r="F1019" s="22">
        <f t="array" ref="F1019">IF($C1019="","",IFERROR(INDEX(DATA_MASTER!$L$2:$L$5000,MATCH($C1019,DATA_MASTER!$D$2:$D$5000,0)),""))</f>
        <v/>
      </c>
      <c r="G1019" s="24" t="n"/>
      <c r="H1019" s="24" t="n"/>
      <c r="I1019" s="30" t="n"/>
      <c r="J1019" s="23">
        <f>IF(OR($H1019="",$I1019=""),"",$H1019*$I1019)</f>
        <v/>
      </c>
      <c r="K1019" s="24" t="n"/>
      <c r="L1019" s="24" t="n"/>
      <c r="M1019" s="29" t="n"/>
      <c r="N1019" s="28" t="n"/>
      <c r="O1019" s="24" t="n"/>
      <c r="P1019" s="24" t="n"/>
      <c r="Q1019" s="24" t="n"/>
      <c r="R1019" s="24" t="n"/>
      <c r="S1019" s="22">
        <f>IF(AND($A1019="",$C1019=""),"",IF($A1019="","Thiếu mã đơn; ","")&amp;IF(COUNTIF($A$2:$A1019,$A1019)&gt;1,"Trùng mã đơn; ","")&amp;IF(ISNA(MATCH($C1019,DATA_MASTER!$D$2:$D$5000,0)),"SĐT chưa đăng ký hội viên; ","")&amp;IF(AND($L1019="Đã chuyển khoản",$M1019=""),"Thiếu ngày nhận CK; ",""))</f>
        <v/>
      </c>
      <c r="T1019" s="24" t="n"/>
    </row>
    <row r="1020" ht="14.25" customHeight="1" s="40">
      <c r="A1020" s="24" t="n"/>
      <c r="B1020" s="29" t="n"/>
      <c r="C1020" s="28" t="n"/>
      <c r="D1020" s="22">
        <f t="array" ref="D1020">IF($C1020="","",IFERROR(INDEX(DATA_MASTER!$C$2:$C$5000,MATCH($C1020,DATA_MASTER!$D$2:$D$5000,0)),""))</f>
        <v/>
      </c>
      <c r="E1020" s="22">
        <f t="array" ref="E1020">IF($C1020="","",IFERROR(INDEX(DATA_MASTER!$I$2:$I$5000,MATCH($C1020,DATA_MASTER!$D$2:$D$5000,0)),""))</f>
        <v/>
      </c>
      <c r="F1020" s="22">
        <f t="array" ref="F1020">IF($C1020="","",IFERROR(INDEX(DATA_MASTER!$L$2:$L$5000,MATCH($C1020,DATA_MASTER!$D$2:$D$5000,0)),""))</f>
        <v/>
      </c>
      <c r="G1020" s="24" t="n"/>
      <c r="H1020" s="24" t="n"/>
      <c r="I1020" s="30" t="n"/>
      <c r="J1020" s="23">
        <f>IF(OR($H1020="",$I1020=""),"",$H1020*$I1020)</f>
        <v/>
      </c>
      <c r="K1020" s="24" t="n"/>
      <c r="L1020" s="24" t="n"/>
      <c r="M1020" s="29" t="n"/>
      <c r="N1020" s="28" t="n"/>
      <c r="O1020" s="24" t="n"/>
      <c r="P1020" s="24" t="n"/>
      <c r="Q1020" s="24" t="n"/>
      <c r="R1020" s="24" t="n"/>
      <c r="S1020" s="22">
        <f>IF(AND($A1020="",$C1020=""),"",IF($A1020="","Thiếu mã đơn; ","")&amp;IF(COUNTIF($A$2:$A1020,$A1020)&gt;1,"Trùng mã đơn; ","")&amp;IF(ISNA(MATCH($C1020,DATA_MASTER!$D$2:$D$5000,0)),"SĐT chưa đăng ký hội viên; ","")&amp;IF(AND($L1020="Đã chuyển khoản",$M1020=""),"Thiếu ngày nhận CK; ",""))</f>
        <v/>
      </c>
      <c r="T1020" s="24" t="n"/>
    </row>
    <row r="1021" ht="14.25" customHeight="1" s="40">
      <c r="A1021" s="24" t="n"/>
      <c r="B1021" s="29" t="n"/>
      <c r="C1021" s="28" t="n"/>
      <c r="D1021" s="22">
        <f t="array" ref="D1021">IF($C1021="","",IFERROR(INDEX(DATA_MASTER!$C$2:$C$5000,MATCH($C1021,DATA_MASTER!$D$2:$D$5000,0)),""))</f>
        <v/>
      </c>
      <c r="E1021" s="22">
        <f t="array" ref="E1021">IF($C1021="","",IFERROR(INDEX(DATA_MASTER!$I$2:$I$5000,MATCH($C1021,DATA_MASTER!$D$2:$D$5000,0)),""))</f>
        <v/>
      </c>
      <c r="F1021" s="22">
        <f t="array" ref="F1021">IF($C1021="","",IFERROR(INDEX(DATA_MASTER!$L$2:$L$5000,MATCH($C1021,DATA_MASTER!$D$2:$D$5000,0)),""))</f>
        <v/>
      </c>
      <c r="G1021" s="24" t="n"/>
      <c r="H1021" s="24" t="n"/>
      <c r="I1021" s="30" t="n"/>
      <c r="J1021" s="23">
        <f>IF(OR($H1021="",$I1021=""),"",$H1021*$I1021)</f>
        <v/>
      </c>
      <c r="K1021" s="24" t="n"/>
      <c r="L1021" s="24" t="n"/>
      <c r="M1021" s="29" t="n"/>
      <c r="N1021" s="28" t="n"/>
      <c r="O1021" s="24" t="n"/>
      <c r="P1021" s="24" t="n"/>
      <c r="Q1021" s="24" t="n"/>
      <c r="R1021" s="24" t="n"/>
      <c r="S1021" s="22">
        <f>IF(AND($A1021="",$C1021=""),"",IF($A1021="","Thiếu mã đơn; ","")&amp;IF(COUNTIF($A$2:$A1021,$A1021)&gt;1,"Trùng mã đơn; ","")&amp;IF(ISNA(MATCH($C1021,DATA_MASTER!$D$2:$D$5000,0)),"SĐT chưa đăng ký hội viên; ","")&amp;IF(AND($L1021="Đã chuyển khoản",$M1021=""),"Thiếu ngày nhận CK; ",""))</f>
        <v/>
      </c>
      <c r="T1021" s="24" t="n"/>
    </row>
    <row r="1022" ht="14.25" customHeight="1" s="40">
      <c r="A1022" s="24" t="n"/>
      <c r="B1022" s="29" t="n"/>
      <c r="C1022" s="28" t="n"/>
      <c r="D1022" s="22">
        <f t="array" ref="D1022">IF($C1022="","",IFERROR(INDEX(DATA_MASTER!$C$2:$C$5000,MATCH($C1022,DATA_MASTER!$D$2:$D$5000,0)),""))</f>
        <v/>
      </c>
      <c r="E1022" s="22">
        <f t="array" ref="E1022">IF($C1022="","",IFERROR(INDEX(DATA_MASTER!$I$2:$I$5000,MATCH($C1022,DATA_MASTER!$D$2:$D$5000,0)),""))</f>
        <v/>
      </c>
      <c r="F1022" s="22">
        <f t="array" ref="F1022">IF($C1022="","",IFERROR(INDEX(DATA_MASTER!$L$2:$L$5000,MATCH($C1022,DATA_MASTER!$D$2:$D$5000,0)),""))</f>
        <v/>
      </c>
      <c r="G1022" s="24" t="n"/>
      <c r="H1022" s="24" t="n"/>
      <c r="I1022" s="30" t="n"/>
      <c r="J1022" s="23">
        <f>IF(OR($H1022="",$I1022=""),"",$H1022*$I1022)</f>
        <v/>
      </c>
      <c r="K1022" s="24" t="n"/>
      <c r="L1022" s="24" t="n"/>
      <c r="M1022" s="29" t="n"/>
      <c r="N1022" s="28" t="n"/>
      <c r="O1022" s="24" t="n"/>
      <c r="P1022" s="24" t="n"/>
      <c r="Q1022" s="24" t="n"/>
      <c r="R1022" s="24" t="n"/>
      <c r="S1022" s="22">
        <f>IF(AND($A1022="",$C1022=""),"",IF($A1022="","Thiếu mã đơn; ","")&amp;IF(COUNTIF($A$2:$A1022,$A1022)&gt;1,"Trùng mã đơn; ","")&amp;IF(ISNA(MATCH($C1022,DATA_MASTER!$D$2:$D$5000,0)),"SĐT chưa đăng ký hội viên; ","")&amp;IF(AND($L1022="Đã chuyển khoản",$M1022=""),"Thiếu ngày nhận CK; ",""))</f>
        <v/>
      </c>
      <c r="T1022" s="24" t="n"/>
    </row>
    <row r="1023" ht="14.25" customHeight="1" s="40">
      <c r="A1023" s="24" t="n"/>
      <c r="B1023" s="29" t="n"/>
      <c r="C1023" s="28" t="n"/>
      <c r="D1023" s="22">
        <f t="array" ref="D1023">IF($C1023="","",IFERROR(INDEX(DATA_MASTER!$C$2:$C$5000,MATCH($C1023,DATA_MASTER!$D$2:$D$5000,0)),""))</f>
        <v/>
      </c>
      <c r="E1023" s="22">
        <f t="array" ref="E1023">IF($C1023="","",IFERROR(INDEX(DATA_MASTER!$I$2:$I$5000,MATCH($C1023,DATA_MASTER!$D$2:$D$5000,0)),""))</f>
        <v/>
      </c>
      <c r="F1023" s="22">
        <f t="array" ref="F1023">IF($C1023="","",IFERROR(INDEX(DATA_MASTER!$L$2:$L$5000,MATCH($C1023,DATA_MASTER!$D$2:$D$5000,0)),""))</f>
        <v/>
      </c>
      <c r="G1023" s="24" t="n"/>
      <c r="H1023" s="24" t="n"/>
      <c r="I1023" s="30" t="n"/>
      <c r="J1023" s="23">
        <f>IF(OR($H1023="",$I1023=""),"",$H1023*$I1023)</f>
        <v/>
      </c>
      <c r="K1023" s="24" t="n"/>
      <c r="L1023" s="24" t="n"/>
      <c r="M1023" s="29" t="n"/>
      <c r="N1023" s="28" t="n"/>
      <c r="O1023" s="24" t="n"/>
      <c r="P1023" s="24" t="n"/>
      <c r="Q1023" s="24" t="n"/>
      <c r="R1023" s="24" t="n"/>
      <c r="S1023" s="22">
        <f>IF(AND($A1023="",$C1023=""),"",IF($A1023="","Thiếu mã đơn; ","")&amp;IF(COUNTIF($A$2:$A1023,$A1023)&gt;1,"Trùng mã đơn; ","")&amp;IF(ISNA(MATCH($C1023,DATA_MASTER!$D$2:$D$5000,0)),"SĐT chưa đăng ký hội viên; ","")&amp;IF(AND($L1023="Đã chuyển khoản",$M1023=""),"Thiếu ngày nhận CK; ",""))</f>
        <v/>
      </c>
      <c r="T1023" s="24" t="n"/>
    </row>
    <row r="1024" ht="14.25" customHeight="1" s="40">
      <c r="A1024" s="24" t="n"/>
      <c r="B1024" s="29" t="n"/>
      <c r="C1024" s="28" t="n"/>
      <c r="D1024" s="22">
        <f t="array" ref="D1024">IF($C1024="","",IFERROR(INDEX(DATA_MASTER!$C$2:$C$5000,MATCH($C1024,DATA_MASTER!$D$2:$D$5000,0)),""))</f>
        <v/>
      </c>
      <c r="E1024" s="22">
        <f t="array" ref="E1024">IF($C1024="","",IFERROR(INDEX(DATA_MASTER!$I$2:$I$5000,MATCH($C1024,DATA_MASTER!$D$2:$D$5000,0)),""))</f>
        <v/>
      </c>
      <c r="F1024" s="22">
        <f t="array" ref="F1024">IF($C1024="","",IFERROR(INDEX(DATA_MASTER!$L$2:$L$5000,MATCH($C1024,DATA_MASTER!$D$2:$D$5000,0)),""))</f>
        <v/>
      </c>
      <c r="G1024" s="24" t="n"/>
      <c r="H1024" s="24" t="n"/>
      <c r="I1024" s="30" t="n"/>
      <c r="J1024" s="23">
        <f>IF(OR($H1024="",$I1024=""),"",$H1024*$I1024)</f>
        <v/>
      </c>
      <c r="K1024" s="24" t="n"/>
      <c r="L1024" s="24" t="n"/>
      <c r="M1024" s="29" t="n"/>
      <c r="N1024" s="28" t="n"/>
      <c r="O1024" s="24" t="n"/>
      <c r="P1024" s="24" t="n"/>
      <c r="Q1024" s="24" t="n"/>
      <c r="R1024" s="24" t="n"/>
      <c r="S1024" s="22">
        <f>IF(AND($A1024="",$C1024=""),"",IF($A1024="","Thiếu mã đơn; ","")&amp;IF(COUNTIF($A$2:$A1024,$A1024)&gt;1,"Trùng mã đơn; ","")&amp;IF(ISNA(MATCH($C1024,DATA_MASTER!$D$2:$D$5000,0)),"SĐT chưa đăng ký hội viên; ","")&amp;IF(AND($L1024="Đã chuyển khoản",$M1024=""),"Thiếu ngày nhận CK; ",""))</f>
        <v/>
      </c>
      <c r="T1024" s="24" t="n"/>
    </row>
    <row r="1025" ht="14.25" customHeight="1" s="40">
      <c r="A1025" s="24" t="n"/>
      <c r="B1025" s="29" t="n"/>
      <c r="C1025" s="28" t="n"/>
      <c r="D1025" s="22">
        <f t="array" ref="D1025">IF($C1025="","",IFERROR(INDEX(DATA_MASTER!$C$2:$C$5000,MATCH($C1025,DATA_MASTER!$D$2:$D$5000,0)),""))</f>
        <v/>
      </c>
      <c r="E1025" s="22">
        <f t="array" ref="E1025">IF($C1025="","",IFERROR(INDEX(DATA_MASTER!$I$2:$I$5000,MATCH($C1025,DATA_MASTER!$D$2:$D$5000,0)),""))</f>
        <v/>
      </c>
      <c r="F1025" s="22">
        <f t="array" ref="F1025">IF($C1025="","",IFERROR(INDEX(DATA_MASTER!$L$2:$L$5000,MATCH($C1025,DATA_MASTER!$D$2:$D$5000,0)),""))</f>
        <v/>
      </c>
      <c r="G1025" s="24" t="n"/>
      <c r="H1025" s="24" t="n"/>
      <c r="I1025" s="30" t="n"/>
      <c r="J1025" s="23">
        <f>IF(OR($H1025="",$I1025=""),"",$H1025*$I1025)</f>
        <v/>
      </c>
      <c r="K1025" s="24" t="n"/>
      <c r="L1025" s="24" t="n"/>
      <c r="M1025" s="29" t="n"/>
      <c r="N1025" s="28" t="n"/>
      <c r="O1025" s="24" t="n"/>
      <c r="P1025" s="24" t="n"/>
      <c r="Q1025" s="24" t="n"/>
      <c r="R1025" s="24" t="n"/>
      <c r="S1025" s="22">
        <f>IF(AND($A1025="",$C1025=""),"",IF($A1025="","Thiếu mã đơn; ","")&amp;IF(COUNTIF($A$2:$A1025,$A1025)&gt;1,"Trùng mã đơn; ","")&amp;IF(ISNA(MATCH($C1025,DATA_MASTER!$D$2:$D$5000,0)),"SĐT chưa đăng ký hội viên; ","")&amp;IF(AND($L1025="Đã chuyển khoản",$M1025=""),"Thiếu ngày nhận CK; ",""))</f>
        <v/>
      </c>
      <c r="T1025" s="24" t="n"/>
    </row>
    <row r="1026" ht="14.25" customHeight="1" s="40">
      <c r="A1026" s="24" t="n"/>
      <c r="B1026" s="29" t="n"/>
      <c r="C1026" s="28" t="n"/>
      <c r="D1026" s="22">
        <f t="array" ref="D1026">IF($C1026="","",IFERROR(INDEX(DATA_MASTER!$C$2:$C$5000,MATCH($C1026,DATA_MASTER!$D$2:$D$5000,0)),""))</f>
        <v/>
      </c>
      <c r="E1026" s="22">
        <f t="array" ref="E1026">IF($C1026="","",IFERROR(INDEX(DATA_MASTER!$I$2:$I$5000,MATCH($C1026,DATA_MASTER!$D$2:$D$5000,0)),""))</f>
        <v/>
      </c>
      <c r="F1026" s="22">
        <f t="array" ref="F1026">IF($C1026="","",IFERROR(INDEX(DATA_MASTER!$L$2:$L$5000,MATCH($C1026,DATA_MASTER!$D$2:$D$5000,0)),""))</f>
        <v/>
      </c>
      <c r="G1026" s="24" t="n"/>
      <c r="H1026" s="24" t="n"/>
      <c r="I1026" s="30" t="n"/>
      <c r="J1026" s="23">
        <f>IF(OR($H1026="",$I1026=""),"",$H1026*$I1026)</f>
        <v/>
      </c>
      <c r="K1026" s="24" t="n"/>
      <c r="L1026" s="24" t="n"/>
      <c r="M1026" s="29" t="n"/>
      <c r="N1026" s="28" t="n"/>
      <c r="O1026" s="24" t="n"/>
      <c r="P1026" s="24" t="n"/>
      <c r="Q1026" s="24" t="n"/>
      <c r="R1026" s="24" t="n"/>
      <c r="S1026" s="22">
        <f>IF(AND($A1026="",$C1026=""),"",IF($A1026="","Thiếu mã đơn; ","")&amp;IF(COUNTIF($A$2:$A1026,$A1026)&gt;1,"Trùng mã đơn; ","")&amp;IF(ISNA(MATCH($C1026,DATA_MASTER!$D$2:$D$5000,0)),"SĐT chưa đăng ký hội viên; ","")&amp;IF(AND($L1026="Đã chuyển khoản",$M1026=""),"Thiếu ngày nhận CK; ",""))</f>
        <v/>
      </c>
      <c r="T1026" s="24" t="n"/>
    </row>
    <row r="1027" ht="14.25" customHeight="1" s="40">
      <c r="A1027" s="24" t="n"/>
      <c r="B1027" s="29" t="n"/>
      <c r="C1027" s="28" t="n"/>
      <c r="D1027" s="22">
        <f t="array" ref="D1027">IF($C1027="","",IFERROR(INDEX(DATA_MASTER!$C$2:$C$5000,MATCH($C1027,DATA_MASTER!$D$2:$D$5000,0)),""))</f>
        <v/>
      </c>
      <c r="E1027" s="22">
        <f t="array" ref="E1027">IF($C1027="","",IFERROR(INDEX(DATA_MASTER!$I$2:$I$5000,MATCH($C1027,DATA_MASTER!$D$2:$D$5000,0)),""))</f>
        <v/>
      </c>
      <c r="F1027" s="22">
        <f t="array" ref="F1027">IF($C1027="","",IFERROR(INDEX(DATA_MASTER!$L$2:$L$5000,MATCH($C1027,DATA_MASTER!$D$2:$D$5000,0)),""))</f>
        <v/>
      </c>
      <c r="G1027" s="24" t="n"/>
      <c r="H1027" s="24" t="n"/>
      <c r="I1027" s="30" t="n"/>
      <c r="J1027" s="23">
        <f>IF(OR($H1027="",$I1027=""),"",$H1027*$I1027)</f>
        <v/>
      </c>
      <c r="K1027" s="24" t="n"/>
      <c r="L1027" s="24" t="n"/>
      <c r="M1027" s="29" t="n"/>
      <c r="N1027" s="28" t="n"/>
      <c r="O1027" s="24" t="n"/>
      <c r="P1027" s="24" t="n"/>
      <c r="Q1027" s="24" t="n"/>
      <c r="R1027" s="24" t="n"/>
      <c r="S1027" s="22">
        <f>IF(AND($A1027="",$C1027=""),"",IF($A1027="","Thiếu mã đơn; ","")&amp;IF(COUNTIF($A$2:$A1027,$A1027)&gt;1,"Trùng mã đơn; ","")&amp;IF(ISNA(MATCH($C1027,DATA_MASTER!$D$2:$D$5000,0)),"SĐT chưa đăng ký hội viên; ","")&amp;IF(AND($L1027="Đã chuyển khoản",$M1027=""),"Thiếu ngày nhận CK; ",""))</f>
        <v/>
      </c>
      <c r="T1027" s="24" t="n"/>
    </row>
    <row r="1028" ht="14.25" customHeight="1" s="40">
      <c r="A1028" s="24" t="n"/>
      <c r="B1028" s="29" t="n"/>
      <c r="C1028" s="28" t="n"/>
      <c r="D1028" s="22">
        <f t="array" ref="D1028">IF($C1028="","",IFERROR(INDEX(DATA_MASTER!$C$2:$C$5000,MATCH($C1028,DATA_MASTER!$D$2:$D$5000,0)),""))</f>
        <v/>
      </c>
      <c r="E1028" s="22">
        <f t="array" ref="E1028">IF($C1028="","",IFERROR(INDEX(DATA_MASTER!$I$2:$I$5000,MATCH($C1028,DATA_MASTER!$D$2:$D$5000,0)),""))</f>
        <v/>
      </c>
      <c r="F1028" s="22">
        <f t="array" ref="F1028">IF($C1028="","",IFERROR(INDEX(DATA_MASTER!$L$2:$L$5000,MATCH($C1028,DATA_MASTER!$D$2:$D$5000,0)),""))</f>
        <v/>
      </c>
      <c r="G1028" s="24" t="n"/>
      <c r="H1028" s="24" t="n"/>
      <c r="I1028" s="30" t="n"/>
      <c r="J1028" s="23">
        <f>IF(OR($H1028="",$I1028=""),"",$H1028*$I1028)</f>
        <v/>
      </c>
      <c r="K1028" s="24" t="n"/>
      <c r="L1028" s="24" t="n"/>
      <c r="M1028" s="29" t="n"/>
      <c r="N1028" s="28" t="n"/>
      <c r="O1028" s="24" t="n"/>
      <c r="P1028" s="24" t="n"/>
      <c r="Q1028" s="24" t="n"/>
      <c r="R1028" s="24" t="n"/>
      <c r="S1028" s="22">
        <f>IF(AND($A1028="",$C1028=""),"",IF($A1028="","Thiếu mã đơn; ","")&amp;IF(COUNTIF($A$2:$A1028,$A1028)&gt;1,"Trùng mã đơn; ","")&amp;IF(ISNA(MATCH($C1028,DATA_MASTER!$D$2:$D$5000,0)),"SĐT chưa đăng ký hội viên; ","")&amp;IF(AND($L1028="Đã chuyển khoản",$M1028=""),"Thiếu ngày nhận CK; ",""))</f>
        <v/>
      </c>
      <c r="T1028" s="24" t="n"/>
    </row>
    <row r="1029" ht="14.25" customHeight="1" s="40">
      <c r="A1029" s="24" t="n"/>
      <c r="B1029" s="29" t="n"/>
      <c r="C1029" s="28" t="n"/>
      <c r="D1029" s="22">
        <f t="array" ref="D1029">IF($C1029="","",IFERROR(INDEX(DATA_MASTER!$C$2:$C$5000,MATCH($C1029,DATA_MASTER!$D$2:$D$5000,0)),""))</f>
        <v/>
      </c>
      <c r="E1029" s="22">
        <f t="array" ref="E1029">IF($C1029="","",IFERROR(INDEX(DATA_MASTER!$I$2:$I$5000,MATCH($C1029,DATA_MASTER!$D$2:$D$5000,0)),""))</f>
        <v/>
      </c>
      <c r="F1029" s="22">
        <f t="array" ref="F1029">IF($C1029="","",IFERROR(INDEX(DATA_MASTER!$L$2:$L$5000,MATCH($C1029,DATA_MASTER!$D$2:$D$5000,0)),""))</f>
        <v/>
      </c>
      <c r="G1029" s="24" t="n"/>
      <c r="H1029" s="24" t="n"/>
      <c r="I1029" s="30" t="n"/>
      <c r="J1029" s="23">
        <f>IF(OR($H1029="",$I1029=""),"",$H1029*$I1029)</f>
        <v/>
      </c>
      <c r="K1029" s="24" t="n"/>
      <c r="L1029" s="24" t="n"/>
      <c r="M1029" s="29" t="n"/>
      <c r="N1029" s="28" t="n"/>
      <c r="O1029" s="24" t="n"/>
      <c r="P1029" s="24" t="n"/>
      <c r="Q1029" s="24" t="n"/>
      <c r="R1029" s="24" t="n"/>
      <c r="S1029" s="22">
        <f>IF(AND($A1029="",$C1029=""),"",IF($A1029="","Thiếu mã đơn; ","")&amp;IF(COUNTIF($A$2:$A1029,$A1029)&gt;1,"Trùng mã đơn; ","")&amp;IF(ISNA(MATCH($C1029,DATA_MASTER!$D$2:$D$5000,0)),"SĐT chưa đăng ký hội viên; ","")&amp;IF(AND($L1029="Đã chuyển khoản",$M1029=""),"Thiếu ngày nhận CK; ",""))</f>
        <v/>
      </c>
      <c r="T1029" s="24" t="n"/>
    </row>
    <row r="1030" ht="14.25" customHeight="1" s="40">
      <c r="A1030" s="24" t="n"/>
      <c r="B1030" s="29" t="n"/>
      <c r="C1030" s="28" t="n"/>
      <c r="D1030" s="22">
        <f t="array" ref="D1030">IF($C1030="","",IFERROR(INDEX(DATA_MASTER!$C$2:$C$5000,MATCH($C1030,DATA_MASTER!$D$2:$D$5000,0)),""))</f>
        <v/>
      </c>
      <c r="E1030" s="22">
        <f t="array" ref="E1030">IF($C1030="","",IFERROR(INDEX(DATA_MASTER!$I$2:$I$5000,MATCH($C1030,DATA_MASTER!$D$2:$D$5000,0)),""))</f>
        <v/>
      </c>
      <c r="F1030" s="22">
        <f t="array" ref="F1030">IF($C1030="","",IFERROR(INDEX(DATA_MASTER!$L$2:$L$5000,MATCH($C1030,DATA_MASTER!$D$2:$D$5000,0)),""))</f>
        <v/>
      </c>
      <c r="G1030" s="24" t="n"/>
      <c r="H1030" s="24" t="n"/>
      <c r="I1030" s="30" t="n"/>
      <c r="J1030" s="23">
        <f>IF(OR($H1030="",$I1030=""),"",$H1030*$I1030)</f>
        <v/>
      </c>
      <c r="K1030" s="24" t="n"/>
      <c r="L1030" s="24" t="n"/>
      <c r="M1030" s="29" t="n"/>
      <c r="N1030" s="28" t="n"/>
      <c r="O1030" s="24" t="n"/>
      <c r="P1030" s="24" t="n"/>
      <c r="Q1030" s="24" t="n"/>
      <c r="R1030" s="24" t="n"/>
      <c r="S1030" s="22">
        <f>IF(AND($A1030="",$C1030=""),"",IF($A1030="","Thiếu mã đơn; ","")&amp;IF(COUNTIF($A$2:$A1030,$A1030)&gt;1,"Trùng mã đơn; ","")&amp;IF(ISNA(MATCH($C1030,DATA_MASTER!$D$2:$D$5000,0)),"SĐT chưa đăng ký hội viên; ","")&amp;IF(AND($L1030="Đã chuyển khoản",$M1030=""),"Thiếu ngày nhận CK; ",""))</f>
        <v/>
      </c>
      <c r="T1030" s="24" t="n"/>
    </row>
    <row r="1031" ht="14.25" customHeight="1" s="40">
      <c r="A1031" s="24" t="n"/>
      <c r="B1031" s="29" t="n"/>
      <c r="C1031" s="28" t="n"/>
      <c r="D1031" s="22">
        <f t="array" ref="D1031">IF($C1031="","",IFERROR(INDEX(DATA_MASTER!$C$2:$C$5000,MATCH($C1031,DATA_MASTER!$D$2:$D$5000,0)),""))</f>
        <v/>
      </c>
      <c r="E1031" s="22">
        <f t="array" ref="E1031">IF($C1031="","",IFERROR(INDEX(DATA_MASTER!$I$2:$I$5000,MATCH($C1031,DATA_MASTER!$D$2:$D$5000,0)),""))</f>
        <v/>
      </c>
      <c r="F1031" s="22">
        <f t="array" ref="F1031">IF($C1031="","",IFERROR(INDEX(DATA_MASTER!$L$2:$L$5000,MATCH($C1031,DATA_MASTER!$D$2:$D$5000,0)),""))</f>
        <v/>
      </c>
      <c r="G1031" s="24" t="n"/>
      <c r="H1031" s="24" t="n"/>
      <c r="I1031" s="30" t="n"/>
      <c r="J1031" s="23">
        <f>IF(OR($H1031="",$I1031=""),"",$H1031*$I1031)</f>
        <v/>
      </c>
      <c r="K1031" s="24" t="n"/>
      <c r="L1031" s="24" t="n"/>
      <c r="M1031" s="29" t="n"/>
      <c r="N1031" s="28" t="n"/>
      <c r="O1031" s="24" t="n"/>
      <c r="P1031" s="24" t="n"/>
      <c r="Q1031" s="24" t="n"/>
      <c r="R1031" s="24" t="n"/>
      <c r="S1031" s="22">
        <f>IF(AND($A1031="",$C1031=""),"",IF($A1031="","Thiếu mã đơn; ","")&amp;IF(COUNTIF($A$2:$A1031,$A1031)&gt;1,"Trùng mã đơn; ","")&amp;IF(ISNA(MATCH($C1031,DATA_MASTER!$D$2:$D$5000,0)),"SĐT chưa đăng ký hội viên; ","")&amp;IF(AND($L1031="Đã chuyển khoản",$M1031=""),"Thiếu ngày nhận CK; ",""))</f>
        <v/>
      </c>
      <c r="T1031" s="24" t="n"/>
    </row>
    <row r="1032" ht="14.25" customHeight="1" s="40">
      <c r="A1032" s="24" t="n"/>
      <c r="B1032" s="29" t="n"/>
      <c r="C1032" s="28" t="n"/>
      <c r="D1032" s="22">
        <f t="array" ref="D1032">IF($C1032="","",IFERROR(INDEX(DATA_MASTER!$C$2:$C$5000,MATCH($C1032,DATA_MASTER!$D$2:$D$5000,0)),""))</f>
        <v/>
      </c>
      <c r="E1032" s="22">
        <f t="array" ref="E1032">IF($C1032="","",IFERROR(INDEX(DATA_MASTER!$I$2:$I$5000,MATCH($C1032,DATA_MASTER!$D$2:$D$5000,0)),""))</f>
        <v/>
      </c>
      <c r="F1032" s="22">
        <f t="array" ref="F1032">IF($C1032="","",IFERROR(INDEX(DATA_MASTER!$L$2:$L$5000,MATCH($C1032,DATA_MASTER!$D$2:$D$5000,0)),""))</f>
        <v/>
      </c>
      <c r="G1032" s="24" t="n"/>
      <c r="H1032" s="24" t="n"/>
      <c r="I1032" s="30" t="n"/>
      <c r="J1032" s="23">
        <f>IF(OR($H1032="",$I1032=""),"",$H1032*$I1032)</f>
        <v/>
      </c>
      <c r="K1032" s="24" t="n"/>
      <c r="L1032" s="24" t="n"/>
      <c r="M1032" s="29" t="n"/>
      <c r="N1032" s="28" t="n"/>
      <c r="O1032" s="24" t="n"/>
      <c r="P1032" s="24" t="n"/>
      <c r="Q1032" s="24" t="n"/>
      <c r="R1032" s="24" t="n"/>
      <c r="S1032" s="22">
        <f>IF(AND($A1032="",$C1032=""),"",IF($A1032="","Thiếu mã đơn; ","")&amp;IF(COUNTIF($A$2:$A1032,$A1032)&gt;1,"Trùng mã đơn; ","")&amp;IF(ISNA(MATCH($C1032,DATA_MASTER!$D$2:$D$5000,0)),"SĐT chưa đăng ký hội viên; ","")&amp;IF(AND($L1032="Đã chuyển khoản",$M1032=""),"Thiếu ngày nhận CK; ",""))</f>
        <v/>
      </c>
      <c r="T1032" s="24" t="n"/>
    </row>
    <row r="1033" ht="14.25" customHeight="1" s="40">
      <c r="A1033" s="24" t="n"/>
      <c r="B1033" s="29" t="n"/>
      <c r="C1033" s="28" t="n"/>
      <c r="D1033" s="22">
        <f t="array" ref="D1033">IF($C1033="","",IFERROR(INDEX(DATA_MASTER!$C$2:$C$5000,MATCH($C1033,DATA_MASTER!$D$2:$D$5000,0)),""))</f>
        <v/>
      </c>
      <c r="E1033" s="22">
        <f t="array" ref="E1033">IF($C1033="","",IFERROR(INDEX(DATA_MASTER!$I$2:$I$5000,MATCH($C1033,DATA_MASTER!$D$2:$D$5000,0)),""))</f>
        <v/>
      </c>
      <c r="F1033" s="22">
        <f t="array" ref="F1033">IF($C1033="","",IFERROR(INDEX(DATA_MASTER!$L$2:$L$5000,MATCH($C1033,DATA_MASTER!$D$2:$D$5000,0)),""))</f>
        <v/>
      </c>
      <c r="G1033" s="24" t="n"/>
      <c r="H1033" s="24" t="n"/>
      <c r="I1033" s="30" t="n"/>
      <c r="J1033" s="23">
        <f>IF(OR($H1033="",$I1033=""),"",$H1033*$I1033)</f>
        <v/>
      </c>
      <c r="K1033" s="24" t="n"/>
      <c r="L1033" s="24" t="n"/>
      <c r="M1033" s="29" t="n"/>
      <c r="N1033" s="28" t="n"/>
      <c r="O1033" s="24" t="n"/>
      <c r="P1033" s="24" t="n"/>
      <c r="Q1033" s="24" t="n"/>
      <c r="R1033" s="24" t="n"/>
      <c r="S1033" s="22">
        <f>IF(AND($A1033="",$C1033=""),"",IF($A1033="","Thiếu mã đơn; ","")&amp;IF(COUNTIF($A$2:$A1033,$A1033)&gt;1,"Trùng mã đơn; ","")&amp;IF(ISNA(MATCH($C1033,DATA_MASTER!$D$2:$D$5000,0)),"SĐT chưa đăng ký hội viên; ","")&amp;IF(AND($L1033="Đã chuyển khoản",$M1033=""),"Thiếu ngày nhận CK; ",""))</f>
        <v/>
      </c>
      <c r="T1033" s="24" t="n"/>
    </row>
    <row r="1034" ht="14.25" customHeight="1" s="40">
      <c r="A1034" s="24" t="n"/>
      <c r="B1034" s="29" t="n"/>
      <c r="C1034" s="28" t="n"/>
      <c r="D1034" s="22">
        <f t="array" ref="D1034">IF($C1034="","",IFERROR(INDEX(DATA_MASTER!$C$2:$C$5000,MATCH($C1034,DATA_MASTER!$D$2:$D$5000,0)),""))</f>
        <v/>
      </c>
      <c r="E1034" s="22">
        <f t="array" ref="E1034">IF($C1034="","",IFERROR(INDEX(DATA_MASTER!$I$2:$I$5000,MATCH($C1034,DATA_MASTER!$D$2:$D$5000,0)),""))</f>
        <v/>
      </c>
      <c r="F1034" s="22">
        <f t="array" ref="F1034">IF($C1034="","",IFERROR(INDEX(DATA_MASTER!$L$2:$L$5000,MATCH($C1034,DATA_MASTER!$D$2:$D$5000,0)),""))</f>
        <v/>
      </c>
      <c r="G1034" s="24" t="n"/>
      <c r="H1034" s="24" t="n"/>
      <c r="I1034" s="30" t="n"/>
      <c r="J1034" s="23">
        <f>IF(OR($H1034="",$I1034=""),"",$H1034*$I1034)</f>
        <v/>
      </c>
      <c r="K1034" s="24" t="n"/>
      <c r="L1034" s="24" t="n"/>
      <c r="M1034" s="29" t="n"/>
      <c r="N1034" s="28" t="n"/>
      <c r="O1034" s="24" t="n"/>
      <c r="P1034" s="24" t="n"/>
      <c r="Q1034" s="24" t="n"/>
      <c r="R1034" s="24" t="n"/>
      <c r="S1034" s="22">
        <f>IF(AND($A1034="",$C1034=""),"",IF($A1034="","Thiếu mã đơn; ","")&amp;IF(COUNTIF($A$2:$A1034,$A1034)&gt;1,"Trùng mã đơn; ","")&amp;IF(ISNA(MATCH($C1034,DATA_MASTER!$D$2:$D$5000,0)),"SĐT chưa đăng ký hội viên; ","")&amp;IF(AND($L1034="Đã chuyển khoản",$M1034=""),"Thiếu ngày nhận CK; ",""))</f>
        <v/>
      </c>
      <c r="T1034" s="24" t="n"/>
    </row>
    <row r="1035" ht="14.25" customHeight="1" s="40">
      <c r="A1035" s="24" t="n"/>
      <c r="B1035" s="29" t="n"/>
      <c r="C1035" s="28" t="n"/>
      <c r="D1035" s="22">
        <f t="array" ref="D1035">IF($C1035="","",IFERROR(INDEX(DATA_MASTER!$C$2:$C$5000,MATCH($C1035,DATA_MASTER!$D$2:$D$5000,0)),""))</f>
        <v/>
      </c>
      <c r="E1035" s="22">
        <f t="array" ref="E1035">IF($C1035="","",IFERROR(INDEX(DATA_MASTER!$I$2:$I$5000,MATCH($C1035,DATA_MASTER!$D$2:$D$5000,0)),""))</f>
        <v/>
      </c>
      <c r="F1035" s="22">
        <f t="array" ref="F1035">IF($C1035="","",IFERROR(INDEX(DATA_MASTER!$L$2:$L$5000,MATCH($C1035,DATA_MASTER!$D$2:$D$5000,0)),""))</f>
        <v/>
      </c>
      <c r="G1035" s="24" t="n"/>
      <c r="H1035" s="24" t="n"/>
      <c r="I1035" s="30" t="n"/>
      <c r="J1035" s="23">
        <f>IF(OR($H1035="",$I1035=""),"",$H1035*$I1035)</f>
        <v/>
      </c>
      <c r="K1035" s="24" t="n"/>
      <c r="L1035" s="24" t="n"/>
      <c r="M1035" s="29" t="n"/>
      <c r="N1035" s="28" t="n"/>
      <c r="O1035" s="24" t="n"/>
      <c r="P1035" s="24" t="n"/>
      <c r="Q1035" s="24" t="n"/>
      <c r="R1035" s="24" t="n"/>
      <c r="S1035" s="22">
        <f>IF(AND($A1035="",$C1035=""),"",IF($A1035="","Thiếu mã đơn; ","")&amp;IF(COUNTIF($A$2:$A1035,$A1035)&gt;1,"Trùng mã đơn; ","")&amp;IF(ISNA(MATCH($C1035,DATA_MASTER!$D$2:$D$5000,0)),"SĐT chưa đăng ký hội viên; ","")&amp;IF(AND($L1035="Đã chuyển khoản",$M1035=""),"Thiếu ngày nhận CK; ",""))</f>
        <v/>
      </c>
      <c r="T1035" s="24" t="n"/>
    </row>
    <row r="1036" ht="14.25" customHeight="1" s="40">
      <c r="A1036" s="24" t="n"/>
      <c r="B1036" s="29" t="n"/>
      <c r="C1036" s="28" t="n"/>
      <c r="D1036" s="22">
        <f t="array" ref="D1036">IF($C1036="","",IFERROR(INDEX(DATA_MASTER!$C$2:$C$5000,MATCH($C1036,DATA_MASTER!$D$2:$D$5000,0)),""))</f>
        <v/>
      </c>
      <c r="E1036" s="22">
        <f t="array" ref="E1036">IF($C1036="","",IFERROR(INDEX(DATA_MASTER!$I$2:$I$5000,MATCH($C1036,DATA_MASTER!$D$2:$D$5000,0)),""))</f>
        <v/>
      </c>
      <c r="F1036" s="22">
        <f t="array" ref="F1036">IF($C1036="","",IFERROR(INDEX(DATA_MASTER!$L$2:$L$5000,MATCH($C1036,DATA_MASTER!$D$2:$D$5000,0)),""))</f>
        <v/>
      </c>
      <c r="G1036" s="24" t="n"/>
      <c r="H1036" s="24" t="n"/>
      <c r="I1036" s="30" t="n"/>
      <c r="J1036" s="23">
        <f>IF(OR($H1036="",$I1036=""),"",$H1036*$I1036)</f>
        <v/>
      </c>
      <c r="K1036" s="24" t="n"/>
      <c r="L1036" s="24" t="n"/>
      <c r="M1036" s="29" t="n"/>
      <c r="N1036" s="28" t="n"/>
      <c r="O1036" s="24" t="n"/>
      <c r="P1036" s="24" t="n"/>
      <c r="Q1036" s="24" t="n"/>
      <c r="R1036" s="24" t="n"/>
      <c r="S1036" s="22">
        <f>IF(AND($A1036="",$C1036=""),"",IF($A1036="","Thiếu mã đơn; ","")&amp;IF(COUNTIF($A$2:$A1036,$A1036)&gt;1,"Trùng mã đơn; ","")&amp;IF(ISNA(MATCH($C1036,DATA_MASTER!$D$2:$D$5000,0)),"SĐT chưa đăng ký hội viên; ","")&amp;IF(AND($L1036="Đã chuyển khoản",$M1036=""),"Thiếu ngày nhận CK; ",""))</f>
        <v/>
      </c>
      <c r="T1036" s="24" t="n"/>
    </row>
    <row r="1037" ht="14.25" customHeight="1" s="40">
      <c r="A1037" s="24" t="n"/>
      <c r="B1037" s="29" t="n"/>
      <c r="C1037" s="28" t="n"/>
      <c r="D1037" s="22">
        <f t="array" ref="D1037">IF($C1037="","",IFERROR(INDEX(DATA_MASTER!$C$2:$C$5000,MATCH($C1037,DATA_MASTER!$D$2:$D$5000,0)),""))</f>
        <v/>
      </c>
      <c r="E1037" s="22">
        <f t="array" ref="E1037">IF($C1037="","",IFERROR(INDEX(DATA_MASTER!$I$2:$I$5000,MATCH($C1037,DATA_MASTER!$D$2:$D$5000,0)),""))</f>
        <v/>
      </c>
      <c r="F1037" s="22">
        <f t="array" ref="F1037">IF($C1037="","",IFERROR(INDEX(DATA_MASTER!$L$2:$L$5000,MATCH($C1037,DATA_MASTER!$D$2:$D$5000,0)),""))</f>
        <v/>
      </c>
      <c r="G1037" s="24" t="n"/>
      <c r="H1037" s="24" t="n"/>
      <c r="I1037" s="30" t="n"/>
      <c r="J1037" s="23">
        <f>IF(OR($H1037="",$I1037=""),"",$H1037*$I1037)</f>
        <v/>
      </c>
      <c r="K1037" s="24" t="n"/>
      <c r="L1037" s="24" t="n"/>
      <c r="M1037" s="29" t="n"/>
      <c r="N1037" s="28" t="n"/>
      <c r="O1037" s="24" t="n"/>
      <c r="P1037" s="24" t="n"/>
      <c r="Q1037" s="24" t="n"/>
      <c r="R1037" s="24" t="n"/>
      <c r="S1037" s="22">
        <f>IF(AND($A1037="",$C1037=""),"",IF($A1037="","Thiếu mã đơn; ","")&amp;IF(COUNTIF($A$2:$A1037,$A1037)&gt;1,"Trùng mã đơn; ","")&amp;IF(ISNA(MATCH($C1037,DATA_MASTER!$D$2:$D$5000,0)),"SĐT chưa đăng ký hội viên; ","")&amp;IF(AND($L1037="Đã chuyển khoản",$M1037=""),"Thiếu ngày nhận CK; ",""))</f>
        <v/>
      </c>
      <c r="T1037" s="24" t="n"/>
    </row>
    <row r="1038" ht="14.25" customHeight="1" s="40">
      <c r="A1038" s="24" t="n"/>
      <c r="B1038" s="29" t="n"/>
      <c r="C1038" s="28" t="n"/>
      <c r="D1038" s="22">
        <f t="array" ref="D1038">IF($C1038="","",IFERROR(INDEX(DATA_MASTER!$C$2:$C$5000,MATCH($C1038,DATA_MASTER!$D$2:$D$5000,0)),""))</f>
        <v/>
      </c>
      <c r="E1038" s="22">
        <f t="array" ref="E1038">IF($C1038="","",IFERROR(INDEX(DATA_MASTER!$I$2:$I$5000,MATCH($C1038,DATA_MASTER!$D$2:$D$5000,0)),""))</f>
        <v/>
      </c>
      <c r="F1038" s="22">
        <f t="array" ref="F1038">IF($C1038="","",IFERROR(INDEX(DATA_MASTER!$L$2:$L$5000,MATCH($C1038,DATA_MASTER!$D$2:$D$5000,0)),""))</f>
        <v/>
      </c>
      <c r="G1038" s="24" t="n"/>
      <c r="H1038" s="24" t="n"/>
      <c r="I1038" s="30" t="n"/>
      <c r="J1038" s="23">
        <f>IF(OR($H1038="",$I1038=""),"",$H1038*$I1038)</f>
        <v/>
      </c>
      <c r="K1038" s="24" t="n"/>
      <c r="L1038" s="24" t="n"/>
      <c r="M1038" s="29" t="n"/>
      <c r="N1038" s="28" t="n"/>
      <c r="O1038" s="24" t="n"/>
      <c r="P1038" s="24" t="n"/>
      <c r="Q1038" s="24" t="n"/>
      <c r="R1038" s="24" t="n"/>
      <c r="S1038" s="22">
        <f>IF(AND($A1038="",$C1038=""),"",IF($A1038="","Thiếu mã đơn; ","")&amp;IF(COUNTIF($A$2:$A1038,$A1038)&gt;1,"Trùng mã đơn; ","")&amp;IF(ISNA(MATCH($C1038,DATA_MASTER!$D$2:$D$5000,0)),"SĐT chưa đăng ký hội viên; ","")&amp;IF(AND($L1038="Đã chuyển khoản",$M1038=""),"Thiếu ngày nhận CK; ",""))</f>
        <v/>
      </c>
      <c r="T1038" s="24" t="n"/>
    </row>
    <row r="1039" ht="14.25" customHeight="1" s="40">
      <c r="A1039" s="24" t="n"/>
      <c r="B1039" s="29" t="n"/>
      <c r="C1039" s="28" t="n"/>
      <c r="D1039" s="22">
        <f t="array" ref="D1039">IF($C1039="","",IFERROR(INDEX(DATA_MASTER!$C$2:$C$5000,MATCH($C1039,DATA_MASTER!$D$2:$D$5000,0)),""))</f>
        <v/>
      </c>
      <c r="E1039" s="22">
        <f t="array" ref="E1039">IF($C1039="","",IFERROR(INDEX(DATA_MASTER!$I$2:$I$5000,MATCH($C1039,DATA_MASTER!$D$2:$D$5000,0)),""))</f>
        <v/>
      </c>
      <c r="F1039" s="22">
        <f t="array" ref="F1039">IF($C1039="","",IFERROR(INDEX(DATA_MASTER!$L$2:$L$5000,MATCH($C1039,DATA_MASTER!$D$2:$D$5000,0)),""))</f>
        <v/>
      </c>
      <c r="G1039" s="24" t="n"/>
      <c r="H1039" s="24" t="n"/>
      <c r="I1039" s="30" t="n"/>
      <c r="J1039" s="23">
        <f>IF(OR($H1039="",$I1039=""),"",$H1039*$I1039)</f>
        <v/>
      </c>
      <c r="K1039" s="24" t="n"/>
      <c r="L1039" s="24" t="n"/>
      <c r="M1039" s="29" t="n"/>
      <c r="N1039" s="28" t="n"/>
      <c r="O1039" s="24" t="n"/>
      <c r="P1039" s="24" t="n"/>
      <c r="Q1039" s="24" t="n"/>
      <c r="R1039" s="24" t="n"/>
      <c r="S1039" s="22">
        <f>IF(AND($A1039="",$C1039=""),"",IF($A1039="","Thiếu mã đơn; ","")&amp;IF(COUNTIF($A$2:$A1039,$A1039)&gt;1,"Trùng mã đơn; ","")&amp;IF(ISNA(MATCH($C1039,DATA_MASTER!$D$2:$D$5000,0)),"SĐT chưa đăng ký hội viên; ","")&amp;IF(AND($L1039="Đã chuyển khoản",$M1039=""),"Thiếu ngày nhận CK; ",""))</f>
        <v/>
      </c>
      <c r="T1039" s="24" t="n"/>
    </row>
    <row r="1040" ht="14.25" customHeight="1" s="40">
      <c r="A1040" s="24" t="n"/>
      <c r="B1040" s="29" t="n"/>
      <c r="C1040" s="28" t="n"/>
      <c r="D1040" s="22">
        <f t="array" ref="D1040">IF($C1040="","",IFERROR(INDEX(DATA_MASTER!$C$2:$C$5000,MATCH($C1040,DATA_MASTER!$D$2:$D$5000,0)),""))</f>
        <v/>
      </c>
      <c r="E1040" s="22">
        <f t="array" ref="E1040">IF($C1040="","",IFERROR(INDEX(DATA_MASTER!$I$2:$I$5000,MATCH($C1040,DATA_MASTER!$D$2:$D$5000,0)),""))</f>
        <v/>
      </c>
      <c r="F1040" s="22">
        <f t="array" ref="F1040">IF($C1040="","",IFERROR(INDEX(DATA_MASTER!$L$2:$L$5000,MATCH($C1040,DATA_MASTER!$D$2:$D$5000,0)),""))</f>
        <v/>
      </c>
      <c r="G1040" s="24" t="n"/>
      <c r="H1040" s="24" t="n"/>
      <c r="I1040" s="30" t="n"/>
      <c r="J1040" s="23">
        <f>IF(OR($H1040="",$I1040=""),"",$H1040*$I1040)</f>
        <v/>
      </c>
      <c r="K1040" s="24" t="n"/>
      <c r="L1040" s="24" t="n"/>
      <c r="M1040" s="29" t="n"/>
      <c r="N1040" s="28" t="n"/>
      <c r="O1040" s="24" t="n"/>
      <c r="P1040" s="24" t="n"/>
      <c r="Q1040" s="24" t="n"/>
      <c r="R1040" s="24" t="n"/>
      <c r="S1040" s="22">
        <f>IF(AND($A1040="",$C1040=""),"",IF($A1040="","Thiếu mã đơn; ","")&amp;IF(COUNTIF($A$2:$A1040,$A1040)&gt;1,"Trùng mã đơn; ","")&amp;IF(ISNA(MATCH($C1040,DATA_MASTER!$D$2:$D$5000,0)),"SĐT chưa đăng ký hội viên; ","")&amp;IF(AND($L1040="Đã chuyển khoản",$M1040=""),"Thiếu ngày nhận CK; ",""))</f>
        <v/>
      </c>
      <c r="T1040" s="24" t="n"/>
    </row>
    <row r="1041" ht="14.25" customHeight="1" s="40">
      <c r="A1041" s="24" t="n"/>
      <c r="B1041" s="29" t="n"/>
      <c r="C1041" s="28" t="n"/>
      <c r="D1041" s="22">
        <f t="array" ref="D1041">IF($C1041="","",IFERROR(INDEX(DATA_MASTER!$C$2:$C$5000,MATCH($C1041,DATA_MASTER!$D$2:$D$5000,0)),""))</f>
        <v/>
      </c>
      <c r="E1041" s="22">
        <f t="array" ref="E1041">IF($C1041="","",IFERROR(INDEX(DATA_MASTER!$I$2:$I$5000,MATCH($C1041,DATA_MASTER!$D$2:$D$5000,0)),""))</f>
        <v/>
      </c>
      <c r="F1041" s="22">
        <f t="array" ref="F1041">IF($C1041="","",IFERROR(INDEX(DATA_MASTER!$L$2:$L$5000,MATCH($C1041,DATA_MASTER!$D$2:$D$5000,0)),""))</f>
        <v/>
      </c>
      <c r="G1041" s="24" t="n"/>
      <c r="H1041" s="24" t="n"/>
      <c r="I1041" s="30" t="n"/>
      <c r="J1041" s="23">
        <f>IF(OR($H1041="",$I1041=""),"",$H1041*$I1041)</f>
        <v/>
      </c>
      <c r="K1041" s="24" t="n"/>
      <c r="L1041" s="24" t="n"/>
      <c r="M1041" s="29" t="n"/>
      <c r="N1041" s="28" t="n"/>
      <c r="O1041" s="24" t="n"/>
      <c r="P1041" s="24" t="n"/>
      <c r="Q1041" s="24" t="n"/>
      <c r="R1041" s="24" t="n"/>
      <c r="S1041" s="22">
        <f>IF(AND($A1041="",$C1041=""),"",IF($A1041="","Thiếu mã đơn; ","")&amp;IF(COUNTIF($A$2:$A1041,$A1041)&gt;1,"Trùng mã đơn; ","")&amp;IF(ISNA(MATCH($C1041,DATA_MASTER!$D$2:$D$5000,0)),"SĐT chưa đăng ký hội viên; ","")&amp;IF(AND($L1041="Đã chuyển khoản",$M1041=""),"Thiếu ngày nhận CK; ",""))</f>
        <v/>
      </c>
      <c r="T1041" s="24" t="n"/>
    </row>
    <row r="1042" ht="14.25" customHeight="1" s="40">
      <c r="A1042" s="24" t="n"/>
      <c r="B1042" s="29" t="n"/>
      <c r="C1042" s="28" t="n"/>
      <c r="D1042" s="22">
        <f t="array" ref="D1042">IF($C1042="","",IFERROR(INDEX(DATA_MASTER!$C$2:$C$5000,MATCH($C1042,DATA_MASTER!$D$2:$D$5000,0)),""))</f>
        <v/>
      </c>
      <c r="E1042" s="22">
        <f t="array" ref="E1042">IF($C1042="","",IFERROR(INDEX(DATA_MASTER!$I$2:$I$5000,MATCH($C1042,DATA_MASTER!$D$2:$D$5000,0)),""))</f>
        <v/>
      </c>
      <c r="F1042" s="22">
        <f t="array" ref="F1042">IF($C1042="","",IFERROR(INDEX(DATA_MASTER!$L$2:$L$5000,MATCH($C1042,DATA_MASTER!$D$2:$D$5000,0)),""))</f>
        <v/>
      </c>
      <c r="G1042" s="24" t="n"/>
      <c r="H1042" s="24" t="n"/>
      <c r="I1042" s="30" t="n"/>
      <c r="J1042" s="23">
        <f>IF(OR($H1042="",$I1042=""),"",$H1042*$I1042)</f>
        <v/>
      </c>
      <c r="K1042" s="24" t="n"/>
      <c r="L1042" s="24" t="n"/>
      <c r="M1042" s="29" t="n"/>
      <c r="N1042" s="28" t="n"/>
      <c r="O1042" s="24" t="n"/>
      <c r="P1042" s="24" t="n"/>
      <c r="Q1042" s="24" t="n"/>
      <c r="R1042" s="24" t="n"/>
      <c r="S1042" s="22">
        <f>IF(AND($A1042="",$C1042=""),"",IF($A1042="","Thiếu mã đơn; ","")&amp;IF(COUNTIF($A$2:$A1042,$A1042)&gt;1,"Trùng mã đơn; ","")&amp;IF(ISNA(MATCH($C1042,DATA_MASTER!$D$2:$D$5000,0)),"SĐT chưa đăng ký hội viên; ","")&amp;IF(AND($L1042="Đã chuyển khoản",$M1042=""),"Thiếu ngày nhận CK; ",""))</f>
        <v/>
      </c>
      <c r="T1042" s="24" t="n"/>
    </row>
    <row r="1043" ht="14.25" customHeight="1" s="40">
      <c r="A1043" s="24" t="n"/>
      <c r="B1043" s="29" t="n"/>
      <c r="C1043" s="28" t="n"/>
      <c r="D1043" s="22">
        <f t="array" ref="D1043">IF($C1043="","",IFERROR(INDEX(DATA_MASTER!$C$2:$C$5000,MATCH($C1043,DATA_MASTER!$D$2:$D$5000,0)),""))</f>
        <v/>
      </c>
      <c r="E1043" s="22">
        <f t="array" ref="E1043">IF($C1043="","",IFERROR(INDEX(DATA_MASTER!$I$2:$I$5000,MATCH($C1043,DATA_MASTER!$D$2:$D$5000,0)),""))</f>
        <v/>
      </c>
      <c r="F1043" s="22">
        <f t="array" ref="F1043">IF($C1043="","",IFERROR(INDEX(DATA_MASTER!$L$2:$L$5000,MATCH($C1043,DATA_MASTER!$D$2:$D$5000,0)),""))</f>
        <v/>
      </c>
      <c r="G1043" s="24" t="n"/>
      <c r="H1043" s="24" t="n"/>
      <c r="I1043" s="30" t="n"/>
      <c r="J1043" s="23">
        <f>IF(OR($H1043="",$I1043=""),"",$H1043*$I1043)</f>
        <v/>
      </c>
      <c r="K1043" s="24" t="n"/>
      <c r="L1043" s="24" t="n"/>
      <c r="M1043" s="29" t="n"/>
      <c r="N1043" s="28" t="n"/>
      <c r="O1043" s="24" t="n"/>
      <c r="P1043" s="24" t="n"/>
      <c r="Q1043" s="24" t="n"/>
      <c r="R1043" s="24" t="n"/>
      <c r="S1043" s="22">
        <f>IF(AND($A1043="",$C1043=""),"",IF($A1043="","Thiếu mã đơn; ","")&amp;IF(COUNTIF($A$2:$A1043,$A1043)&gt;1,"Trùng mã đơn; ","")&amp;IF(ISNA(MATCH($C1043,DATA_MASTER!$D$2:$D$5000,0)),"SĐT chưa đăng ký hội viên; ","")&amp;IF(AND($L1043="Đã chuyển khoản",$M1043=""),"Thiếu ngày nhận CK; ",""))</f>
        <v/>
      </c>
      <c r="T1043" s="24" t="n"/>
    </row>
    <row r="1044" ht="14.25" customHeight="1" s="40">
      <c r="A1044" s="24" t="n"/>
      <c r="B1044" s="29" t="n"/>
      <c r="C1044" s="28" t="n"/>
      <c r="D1044" s="22">
        <f t="array" ref="D1044">IF($C1044="","",IFERROR(INDEX(DATA_MASTER!$C$2:$C$5000,MATCH($C1044,DATA_MASTER!$D$2:$D$5000,0)),""))</f>
        <v/>
      </c>
      <c r="E1044" s="22">
        <f t="array" ref="E1044">IF($C1044="","",IFERROR(INDEX(DATA_MASTER!$I$2:$I$5000,MATCH($C1044,DATA_MASTER!$D$2:$D$5000,0)),""))</f>
        <v/>
      </c>
      <c r="F1044" s="22">
        <f t="array" ref="F1044">IF($C1044="","",IFERROR(INDEX(DATA_MASTER!$L$2:$L$5000,MATCH($C1044,DATA_MASTER!$D$2:$D$5000,0)),""))</f>
        <v/>
      </c>
      <c r="G1044" s="24" t="n"/>
      <c r="H1044" s="24" t="n"/>
      <c r="I1044" s="30" t="n"/>
      <c r="J1044" s="23">
        <f>IF(OR($H1044="",$I1044=""),"",$H1044*$I1044)</f>
        <v/>
      </c>
      <c r="K1044" s="24" t="n"/>
      <c r="L1044" s="24" t="n"/>
      <c r="M1044" s="29" t="n"/>
      <c r="N1044" s="28" t="n"/>
      <c r="O1044" s="24" t="n"/>
      <c r="P1044" s="24" t="n"/>
      <c r="Q1044" s="24" t="n"/>
      <c r="R1044" s="24" t="n"/>
      <c r="S1044" s="22">
        <f>IF(AND($A1044="",$C1044=""),"",IF($A1044="","Thiếu mã đơn; ","")&amp;IF(COUNTIF($A$2:$A1044,$A1044)&gt;1,"Trùng mã đơn; ","")&amp;IF(ISNA(MATCH($C1044,DATA_MASTER!$D$2:$D$5000,0)),"SĐT chưa đăng ký hội viên; ","")&amp;IF(AND($L1044="Đã chuyển khoản",$M1044=""),"Thiếu ngày nhận CK; ",""))</f>
        <v/>
      </c>
      <c r="T1044" s="24" t="n"/>
    </row>
    <row r="1045" ht="14.25" customHeight="1" s="40">
      <c r="A1045" s="24" t="n"/>
      <c r="B1045" s="29" t="n"/>
      <c r="C1045" s="28" t="n"/>
      <c r="D1045" s="22">
        <f t="array" ref="D1045">IF($C1045="","",IFERROR(INDEX(DATA_MASTER!$C$2:$C$5000,MATCH($C1045,DATA_MASTER!$D$2:$D$5000,0)),""))</f>
        <v/>
      </c>
      <c r="E1045" s="22">
        <f t="array" ref="E1045">IF($C1045="","",IFERROR(INDEX(DATA_MASTER!$I$2:$I$5000,MATCH($C1045,DATA_MASTER!$D$2:$D$5000,0)),""))</f>
        <v/>
      </c>
      <c r="F1045" s="22">
        <f t="array" ref="F1045">IF($C1045="","",IFERROR(INDEX(DATA_MASTER!$L$2:$L$5000,MATCH($C1045,DATA_MASTER!$D$2:$D$5000,0)),""))</f>
        <v/>
      </c>
      <c r="G1045" s="24" t="n"/>
      <c r="H1045" s="24" t="n"/>
      <c r="I1045" s="30" t="n"/>
      <c r="J1045" s="23">
        <f>IF(OR($H1045="",$I1045=""),"",$H1045*$I1045)</f>
        <v/>
      </c>
      <c r="K1045" s="24" t="n"/>
      <c r="L1045" s="24" t="n"/>
      <c r="M1045" s="29" t="n"/>
      <c r="N1045" s="28" t="n"/>
      <c r="O1045" s="24" t="n"/>
      <c r="P1045" s="24" t="n"/>
      <c r="Q1045" s="24" t="n"/>
      <c r="R1045" s="24" t="n"/>
      <c r="S1045" s="22">
        <f>IF(AND($A1045="",$C1045=""),"",IF($A1045="","Thiếu mã đơn; ","")&amp;IF(COUNTIF($A$2:$A1045,$A1045)&gt;1,"Trùng mã đơn; ","")&amp;IF(ISNA(MATCH($C1045,DATA_MASTER!$D$2:$D$5000,0)),"SĐT chưa đăng ký hội viên; ","")&amp;IF(AND($L1045="Đã chuyển khoản",$M1045=""),"Thiếu ngày nhận CK; ",""))</f>
        <v/>
      </c>
      <c r="T1045" s="24" t="n"/>
    </row>
    <row r="1046" ht="14.25" customHeight="1" s="40">
      <c r="A1046" s="24" t="n"/>
      <c r="B1046" s="29" t="n"/>
      <c r="C1046" s="28" t="n"/>
      <c r="D1046" s="22">
        <f t="array" ref="D1046">IF($C1046="","",IFERROR(INDEX(DATA_MASTER!$C$2:$C$5000,MATCH($C1046,DATA_MASTER!$D$2:$D$5000,0)),""))</f>
        <v/>
      </c>
      <c r="E1046" s="22">
        <f t="array" ref="E1046">IF($C1046="","",IFERROR(INDEX(DATA_MASTER!$I$2:$I$5000,MATCH($C1046,DATA_MASTER!$D$2:$D$5000,0)),""))</f>
        <v/>
      </c>
      <c r="F1046" s="22">
        <f t="array" ref="F1046">IF($C1046="","",IFERROR(INDEX(DATA_MASTER!$L$2:$L$5000,MATCH($C1046,DATA_MASTER!$D$2:$D$5000,0)),""))</f>
        <v/>
      </c>
      <c r="G1046" s="24" t="n"/>
      <c r="H1046" s="24" t="n"/>
      <c r="I1046" s="30" t="n"/>
      <c r="J1046" s="23">
        <f>IF(OR($H1046="",$I1046=""),"",$H1046*$I1046)</f>
        <v/>
      </c>
      <c r="K1046" s="24" t="n"/>
      <c r="L1046" s="24" t="n"/>
      <c r="M1046" s="29" t="n"/>
      <c r="N1046" s="28" t="n"/>
      <c r="O1046" s="24" t="n"/>
      <c r="P1046" s="24" t="n"/>
      <c r="Q1046" s="24" t="n"/>
      <c r="R1046" s="24" t="n"/>
      <c r="S1046" s="22">
        <f>IF(AND($A1046="",$C1046=""),"",IF($A1046="","Thiếu mã đơn; ","")&amp;IF(COUNTIF($A$2:$A1046,$A1046)&gt;1,"Trùng mã đơn; ","")&amp;IF(ISNA(MATCH($C1046,DATA_MASTER!$D$2:$D$5000,0)),"SĐT chưa đăng ký hội viên; ","")&amp;IF(AND($L1046="Đã chuyển khoản",$M1046=""),"Thiếu ngày nhận CK; ",""))</f>
        <v/>
      </c>
      <c r="T1046" s="24" t="n"/>
    </row>
    <row r="1047" ht="14.25" customHeight="1" s="40">
      <c r="A1047" s="24" t="n"/>
      <c r="B1047" s="29" t="n"/>
      <c r="C1047" s="28" t="n"/>
      <c r="D1047" s="22">
        <f t="array" ref="D1047">IF($C1047="","",IFERROR(INDEX(DATA_MASTER!$C$2:$C$5000,MATCH($C1047,DATA_MASTER!$D$2:$D$5000,0)),""))</f>
        <v/>
      </c>
      <c r="E1047" s="22">
        <f t="array" ref="E1047">IF($C1047="","",IFERROR(INDEX(DATA_MASTER!$I$2:$I$5000,MATCH($C1047,DATA_MASTER!$D$2:$D$5000,0)),""))</f>
        <v/>
      </c>
      <c r="F1047" s="22">
        <f t="array" ref="F1047">IF($C1047="","",IFERROR(INDEX(DATA_MASTER!$L$2:$L$5000,MATCH($C1047,DATA_MASTER!$D$2:$D$5000,0)),""))</f>
        <v/>
      </c>
      <c r="G1047" s="24" t="n"/>
      <c r="H1047" s="24" t="n"/>
      <c r="I1047" s="30" t="n"/>
      <c r="J1047" s="23">
        <f>IF(OR($H1047="",$I1047=""),"",$H1047*$I1047)</f>
        <v/>
      </c>
      <c r="K1047" s="24" t="n"/>
      <c r="L1047" s="24" t="n"/>
      <c r="M1047" s="29" t="n"/>
      <c r="N1047" s="28" t="n"/>
      <c r="O1047" s="24" t="n"/>
      <c r="P1047" s="24" t="n"/>
      <c r="Q1047" s="24" t="n"/>
      <c r="R1047" s="24" t="n"/>
      <c r="S1047" s="22">
        <f>IF(AND($A1047="",$C1047=""),"",IF($A1047="","Thiếu mã đơn; ","")&amp;IF(COUNTIF($A$2:$A1047,$A1047)&gt;1,"Trùng mã đơn; ","")&amp;IF(ISNA(MATCH($C1047,DATA_MASTER!$D$2:$D$5000,0)),"SĐT chưa đăng ký hội viên; ","")&amp;IF(AND($L1047="Đã chuyển khoản",$M1047=""),"Thiếu ngày nhận CK; ",""))</f>
        <v/>
      </c>
      <c r="T1047" s="24" t="n"/>
    </row>
    <row r="1048" ht="14.25" customHeight="1" s="40">
      <c r="A1048" s="24" t="n"/>
      <c r="B1048" s="29" t="n"/>
      <c r="C1048" s="28" t="n"/>
      <c r="D1048" s="22">
        <f t="array" ref="D1048">IF($C1048="","",IFERROR(INDEX(DATA_MASTER!$C$2:$C$5000,MATCH($C1048,DATA_MASTER!$D$2:$D$5000,0)),""))</f>
        <v/>
      </c>
      <c r="E1048" s="22">
        <f t="array" ref="E1048">IF($C1048="","",IFERROR(INDEX(DATA_MASTER!$I$2:$I$5000,MATCH($C1048,DATA_MASTER!$D$2:$D$5000,0)),""))</f>
        <v/>
      </c>
      <c r="F1048" s="22">
        <f t="array" ref="F1048">IF($C1048="","",IFERROR(INDEX(DATA_MASTER!$L$2:$L$5000,MATCH($C1048,DATA_MASTER!$D$2:$D$5000,0)),""))</f>
        <v/>
      </c>
      <c r="G1048" s="24" t="n"/>
      <c r="H1048" s="24" t="n"/>
      <c r="I1048" s="30" t="n"/>
      <c r="J1048" s="23">
        <f>IF(OR($H1048="",$I1048=""),"",$H1048*$I1048)</f>
        <v/>
      </c>
      <c r="K1048" s="24" t="n"/>
      <c r="L1048" s="24" t="n"/>
      <c r="M1048" s="29" t="n"/>
      <c r="N1048" s="28" t="n"/>
      <c r="O1048" s="24" t="n"/>
      <c r="P1048" s="24" t="n"/>
      <c r="Q1048" s="24" t="n"/>
      <c r="R1048" s="24" t="n"/>
      <c r="S1048" s="22">
        <f>IF(AND($A1048="",$C1048=""),"",IF($A1048="","Thiếu mã đơn; ","")&amp;IF(COUNTIF($A$2:$A1048,$A1048)&gt;1,"Trùng mã đơn; ","")&amp;IF(ISNA(MATCH($C1048,DATA_MASTER!$D$2:$D$5000,0)),"SĐT chưa đăng ký hội viên; ","")&amp;IF(AND($L1048="Đã chuyển khoản",$M1048=""),"Thiếu ngày nhận CK; ",""))</f>
        <v/>
      </c>
      <c r="T1048" s="24" t="n"/>
    </row>
    <row r="1049" ht="14.25" customHeight="1" s="40">
      <c r="A1049" s="24" t="n"/>
      <c r="B1049" s="29" t="n"/>
      <c r="C1049" s="28" t="n"/>
      <c r="D1049" s="22">
        <f t="array" ref="D1049">IF($C1049="","",IFERROR(INDEX(DATA_MASTER!$C$2:$C$5000,MATCH($C1049,DATA_MASTER!$D$2:$D$5000,0)),""))</f>
        <v/>
      </c>
      <c r="E1049" s="22">
        <f t="array" ref="E1049">IF($C1049="","",IFERROR(INDEX(DATA_MASTER!$I$2:$I$5000,MATCH($C1049,DATA_MASTER!$D$2:$D$5000,0)),""))</f>
        <v/>
      </c>
      <c r="F1049" s="22">
        <f t="array" ref="F1049">IF($C1049="","",IFERROR(INDEX(DATA_MASTER!$L$2:$L$5000,MATCH($C1049,DATA_MASTER!$D$2:$D$5000,0)),""))</f>
        <v/>
      </c>
      <c r="G1049" s="24" t="n"/>
      <c r="H1049" s="24" t="n"/>
      <c r="I1049" s="30" t="n"/>
      <c r="J1049" s="23">
        <f>IF(OR($H1049="",$I1049=""),"",$H1049*$I1049)</f>
        <v/>
      </c>
      <c r="K1049" s="24" t="n"/>
      <c r="L1049" s="24" t="n"/>
      <c r="M1049" s="29" t="n"/>
      <c r="N1049" s="28" t="n"/>
      <c r="O1049" s="24" t="n"/>
      <c r="P1049" s="24" t="n"/>
      <c r="Q1049" s="24" t="n"/>
      <c r="R1049" s="24" t="n"/>
      <c r="S1049" s="22">
        <f>IF(AND($A1049="",$C1049=""),"",IF($A1049="","Thiếu mã đơn; ","")&amp;IF(COUNTIF($A$2:$A1049,$A1049)&gt;1,"Trùng mã đơn; ","")&amp;IF(ISNA(MATCH($C1049,DATA_MASTER!$D$2:$D$5000,0)),"SĐT chưa đăng ký hội viên; ","")&amp;IF(AND($L1049="Đã chuyển khoản",$M1049=""),"Thiếu ngày nhận CK; ",""))</f>
        <v/>
      </c>
      <c r="T1049" s="24" t="n"/>
    </row>
    <row r="1050" ht="14.25" customHeight="1" s="40">
      <c r="A1050" s="24" t="n"/>
      <c r="B1050" s="29" t="n"/>
      <c r="C1050" s="28" t="n"/>
      <c r="D1050" s="22">
        <f t="array" ref="D1050">IF($C1050="","",IFERROR(INDEX(DATA_MASTER!$C$2:$C$5000,MATCH($C1050,DATA_MASTER!$D$2:$D$5000,0)),""))</f>
        <v/>
      </c>
      <c r="E1050" s="22">
        <f t="array" ref="E1050">IF($C1050="","",IFERROR(INDEX(DATA_MASTER!$I$2:$I$5000,MATCH($C1050,DATA_MASTER!$D$2:$D$5000,0)),""))</f>
        <v/>
      </c>
      <c r="F1050" s="22">
        <f t="array" ref="F1050">IF($C1050="","",IFERROR(INDEX(DATA_MASTER!$L$2:$L$5000,MATCH($C1050,DATA_MASTER!$D$2:$D$5000,0)),""))</f>
        <v/>
      </c>
      <c r="G1050" s="24" t="n"/>
      <c r="H1050" s="24" t="n"/>
      <c r="I1050" s="30" t="n"/>
      <c r="J1050" s="23">
        <f>IF(OR($H1050="",$I1050=""),"",$H1050*$I1050)</f>
        <v/>
      </c>
      <c r="K1050" s="24" t="n"/>
      <c r="L1050" s="24" t="n"/>
      <c r="M1050" s="29" t="n"/>
      <c r="N1050" s="28" t="n"/>
      <c r="O1050" s="24" t="n"/>
      <c r="P1050" s="24" t="n"/>
      <c r="Q1050" s="24" t="n"/>
      <c r="R1050" s="24" t="n"/>
      <c r="S1050" s="22">
        <f>IF(AND($A1050="",$C1050=""),"",IF($A1050="","Thiếu mã đơn; ","")&amp;IF(COUNTIF($A$2:$A1050,$A1050)&gt;1,"Trùng mã đơn; ","")&amp;IF(ISNA(MATCH($C1050,DATA_MASTER!$D$2:$D$5000,0)),"SĐT chưa đăng ký hội viên; ","")&amp;IF(AND($L1050="Đã chuyển khoản",$M1050=""),"Thiếu ngày nhận CK; ",""))</f>
        <v/>
      </c>
      <c r="T1050" s="24" t="n"/>
    </row>
    <row r="1051" ht="14.25" customHeight="1" s="40">
      <c r="A1051" s="24" t="n"/>
      <c r="B1051" s="29" t="n"/>
      <c r="C1051" s="28" t="n"/>
      <c r="D1051" s="22">
        <f t="array" ref="D1051">IF($C1051="","",IFERROR(INDEX(DATA_MASTER!$C$2:$C$5000,MATCH($C1051,DATA_MASTER!$D$2:$D$5000,0)),""))</f>
        <v/>
      </c>
      <c r="E1051" s="22">
        <f t="array" ref="E1051">IF($C1051="","",IFERROR(INDEX(DATA_MASTER!$I$2:$I$5000,MATCH($C1051,DATA_MASTER!$D$2:$D$5000,0)),""))</f>
        <v/>
      </c>
      <c r="F1051" s="22">
        <f t="array" ref="F1051">IF($C1051="","",IFERROR(INDEX(DATA_MASTER!$L$2:$L$5000,MATCH($C1051,DATA_MASTER!$D$2:$D$5000,0)),""))</f>
        <v/>
      </c>
      <c r="G1051" s="24" t="n"/>
      <c r="H1051" s="24" t="n"/>
      <c r="I1051" s="30" t="n"/>
      <c r="J1051" s="23">
        <f>IF(OR($H1051="",$I1051=""),"",$H1051*$I1051)</f>
        <v/>
      </c>
      <c r="K1051" s="24" t="n"/>
      <c r="L1051" s="24" t="n"/>
      <c r="M1051" s="29" t="n"/>
      <c r="N1051" s="28" t="n"/>
      <c r="O1051" s="24" t="n"/>
      <c r="P1051" s="24" t="n"/>
      <c r="Q1051" s="24" t="n"/>
      <c r="R1051" s="24" t="n"/>
      <c r="S1051" s="22">
        <f>IF(AND($A1051="",$C1051=""),"",IF($A1051="","Thiếu mã đơn; ","")&amp;IF(COUNTIF($A$2:$A1051,$A1051)&gt;1,"Trùng mã đơn; ","")&amp;IF(ISNA(MATCH($C1051,DATA_MASTER!$D$2:$D$5000,0)),"SĐT chưa đăng ký hội viên; ","")&amp;IF(AND($L1051="Đã chuyển khoản",$M1051=""),"Thiếu ngày nhận CK; ",""))</f>
        <v/>
      </c>
      <c r="T1051" s="24" t="n"/>
    </row>
    <row r="1052" ht="14.25" customHeight="1" s="40">
      <c r="A1052" s="24" t="n"/>
      <c r="B1052" s="29" t="n"/>
      <c r="C1052" s="28" t="n"/>
      <c r="D1052" s="22">
        <f t="array" ref="D1052">IF($C1052="","",IFERROR(INDEX(DATA_MASTER!$C$2:$C$5000,MATCH($C1052,DATA_MASTER!$D$2:$D$5000,0)),""))</f>
        <v/>
      </c>
      <c r="E1052" s="22">
        <f t="array" ref="E1052">IF($C1052="","",IFERROR(INDEX(DATA_MASTER!$I$2:$I$5000,MATCH($C1052,DATA_MASTER!$D$2:$D$5000,0)),""))</f>
        <v/>
      </c>
      <c r="F1052" s="22">
        <f t="array" ref="F1052">IF($C1052="","",IFERROR(INDEX(DATA_MASTER!$L$2:$L$5000,MATCH($C1052,DATA_MASTER!$D$2:$D$5000,0)),""))</f>
        <v/>
      </c>
      <c r="G1052" s="24" t="n"/>
      <c r="H1052" s="24" t="n"/>
      <c r="I1052" s="30" t="n"/>
      <c r="J1052" s="23">
        <f>IF(OR($H1052="",$I1052=""),"",$H1052*$I1052)</f>
        <v/>
      </c>
      <c r="K1052" s="24" t="n"/>
      <c r="L1052" s="24" t="n"/>
      <c r="M1052" s="29" t="n"/>
      <c r="N1052" s="28" t="n"/>
      <c r="O1052" s="24" t="n"/>
      <c r="P1052" s="24" t="n"/>
      <c r="Q1052" s="24" t="n"/>
      <c r="R1052" s="24" t="n"/>
      <c r="S1052" s="22">
        <f>IF(AND($A1052="",$C1052=""),"",IF($A1052="","Thiếu mã đơn; ","")&amp;IF(COUNTIF($A$2:$A1052,$A1052)&gt;1,"Trùng mã đơn; ","")&amp;IF(ISNA(MATCH($C1052,DATA_MASTER!$D$2:$D$5000,0)),"SĐT chưa đăng ký hội viên; ","")&amp;IF(AND($L1052="Đã chuyển khoản",$M1052=""),"Thiếu ngày nhận CK; ",""))</f>
        <v/>
      </c>
      <c r="T1052" s="24" t="n"/>
    </row>
    <row r="1053" ht="14.25" customHeight="1" s="40">
      <c r="A1053" s="24" t="n"/>
      <c r="B1053" s="29" t="n"/>
      <c r="C1053" s="28" t="n"/>
      <c r="D1053" s="22">
        <f t="array" ref="D1053">IF($C1053="","",IFERROR(INDEX(DATA_MASTER!$C$2:$C$5000,MATCH($C1053,DATA_MASTER!$D$2:$D$5000,0)),""))</f>
        <v/>
      </c>
      <c r="E1053" s="22">
        <f t="array" ref="E1053">IF($C1053="","",IFERROR(INDEX(DATA_MASTER!$I$2:$I$5000,MATCH($C1053,DATA_MASTER!$D$2:$D$5000,0)),""))</f>
        <v/>
      </c>
      <c r="F1053" s="22">
        <f t="array" ref="F1053">IF($C1053="","",IFERROR(INDEX(DATA_MASTER!$L$2:$L$5000,MATCH($C1053,DATA_MASTER!$D$2:$D$5000,0)),""))</f>
        <v/>
      </c>
      <c r="G1053" s="24" t="n"/>
      <c r="H1053" s="24" t="n"/>
      <c r="I1053" s="30" t="n"/>
      <c r="J1053" s="23">
        <f>IF(OR($H1053="",$I1053=""),"",$H1053*$I1053)</f>
        <v/>
      </c>
      <c r="K1053" s="24" t="n"/>
      <c r="L1053" s="24" t="n"/>
      <c r="M1053" s="29" t="n"/>
      <c r="N1053" s="28" t="n"/>
      <c r="O1053" s="24" t="n"/>
      <c r="P1053" s="24" t="n"/>
      <c r="Q1053" s="24" t="n"/>
      <c r="R1053" s="24" t="n"/>
      <c r="S1053" s="22">
        <f>IF(AND($A1053="",$C1053=""),"",IF($A1053="","Thiếu mã đơn; ","")&amp;IF(COUNTIF($A$2:$A1053,$A1053)&gt;1,"Trùng mã đơn; ","")&amp;IF(ISNA(MATCH($C1053,DATA_MASTER!$D$2:$D$5000,0)),"SĐT chưa đăng ký hội viên; ","")&amp;IF(AND($L1053="Đã chuyển khoản",$M1053=""),"Thiếu ngày nhận CK; ",""))</f>
        <v/>
      </c>
      <c r="T1053" s="24" t="n"/>
    </row>
    <row r="1054" ht="14.25" customHeight="1" s="40">
      <c r="A1054" s="24" t="n"/>
      <c r="B1054" s="29" t="n"/>
      <c r="C1054" s="28" t="n"/>
      <c r="D1054" s="22">
        <f t="array" ref="D1054">IF($C1054="","",IFERROR(INDEX(DATA_MASTER!$C$2:$C$5000,MATCH($C1054,DATA_MASTER!$D$2:$D$5000,0)),""))</f>
        <v/>
      </c>
      <c r="E1054" s="22">
        <f t="array" ref="E1054">IF($C1054="","",IFERROR(INDEX(DATA_MASTER!$I$2:$I$5000,MATCH($C1054,DATA_MASTER!$D$2:$D$5000,0)),""))</f>
        <v/>
      </c>
      <c r="F1054" s="22">
        <f t="array" ref="F1054">IF($C1054="","",IFERROR(INDEX(DATA_MASTER!$L$2:$L$5000,MATCH($C1054,DATA_MASTER!$D$2:$D$5000,0)),""))</f>
        <v/>
      </c>
      <c r="G1054" s="24" t="n"/>
      <c r="H1054" s="24" t="n"/>
      <c r="I1054" s="30" t="n"/>
      <c r="J1054" s="23">
        <f>IF(OR($H1054="",$I1054=""),"",$H1054*$I1054)</f>
        <v/>
      </c>
      <c r="K1054" s="24" t="n"/>
      <c r="L1054" s="24" t="n"/>
      <c r="M1054" s="29" t="n"/>
      <c r="N1054" s="28" t="n"/>
      <c r="O1054" s="24" t="n"/>
      <c r="P1054" s="24" t="n"/>
      <c r="Q1054" s="24" t="n"/>
      <c r="R1054" s="24" t="n"/>
      <c r="S1054" s="22">
        <f>IF(AND($A1054="",$C1054=""),"",IF($A1054="","Thiếu mã đơn; ","")&amp;IF(COUNTIF($A$2:$A1054,$A1054)&gt;1,"Trùng mã đơn; ","")&amp;IF(ISNA(MATCH($C1054,DATA_MASTER!$D$2:$D$5000,0)),"SĐT chưa đăng ký hội viên; ","")&amp;IF(AND($L1054="Đã chuyển khoản",$M1054=""),"Thiếu ngày nhận CK; ",""))</f>
        <v/>
      </c>
      <c r="T1054" s="24" t="n"/>
    </row>
    <row r="1055" ht="14.25" customHeight="1" s="40">
      <c r="A1055" s="24" t="n"/>
      <c r="B1055" s="29" t="n"/>
      <c r="C1055" s="28" t="n"/>
      <c r="D1055" s="22">
        <f t="array" ref="D1055">IF($C1055="","",IFERROR(INDEX(DATA_MASTER!$C$2:$C$5000,MATCH($C1055,DATA_MASTER!$D$2:$D$5000,0)),""))</f>
        <v/>
      </c>
      <c r="E1055" s="22">
        <f t="array" ref="E1055">IF($C1055="","",IFERROR(INDEX(DATA_MASTER!$I$2:$I$5000,MATCH($C1055,DATA_MASTER!$D$2:$D$5000,0)),""))</f>
        <v/>
      </c>
      <c r="F1055" s="22">
        <f t="array" ref="F1055">IF($C1055="","",IFERROR(INDEX(DATA_MASTER!$L$2:$L$5000,MATCH($C1055,DATA_MASTER!$D$2:$D$5000,0)),""))</f>
        <v/>
      </c>
      <c r="G1055" s="24" t="n"/>
      <c r="H1055" s="24" t="n"/>
      <c r="I1055" s="30" t="n"/>
      <c r="J1055" s="23">
        <f>IF(OR($H1055="",$I1055=""),"",$H1055*$I1055)</f>
        <v/>
      </c>
      <c r="K1055" s="24" t="n"/>
      <c r="L1055" s="24" t="n"/>
      <c r="M1055" s="29" t="n"/>
      <c r="N1055" s="28" t="n"/>
      <c r="O1055" s="24" t="n"/>
      <c r="P1055" s="24" t="n"/>
      <c r="Q1055" s="24" t="n"/>
      <c r="R1055" s="24" t="n"/>
      <c r="S1055" s="22">
        <f>IF(AND($A1055="",$C1055=""),"",IF($A1055="","Thiếu mã đơn; ","")&amp;IF(COUNTIF($A$2:$A1055,$A1055)&gt;1,"Trùng mã đơn; ","")&amp;IF(ISNA(MATCH($C1055,DATA_MASTER!$D$2:$D$5000,0)),"SĐT chưa đăng ký hội viên; ","")&amp;IF(AND($L1055="Đã chuyển khoản",$M1055=""),"Thiếu ngày nhận CK; ",""))</f>
        <v/>
      </c>
      <c r="T1055" s="24" t="n"/>
    </row>
    <row r="1056" ht="14.25" customHeight="1" s="40">
      <c r="A1056" s="24" t="n"/>
      <c r="B1056" s="29" t="n"/>
      <c r="C1056" s="28" t="n"/>
      <c r="D1056" s="22">
        <f t="array" ref="D1056">IF($C1056="","",IFERROR(INDEX(DATA_MASTER!$C$2:$C$5000,MATCH($C1056,DATA_MASTER!$D$2:$D$5000,0)),""))</f>
        <v/>
      </c>
      <c r="E1056" s="22">
        <f t="array" ref="E1056">IF($C1056="","",IFERROR(INDEX(DATA_MASTER!$I$2:$I$5000,MATCH($C1056,DATA_MASTER!$D$2:$D$5000,0)),""))</f>
        <v/>
      </c>
      <c r="F1056" s="22">
        <f t="array" ref="F1056">IF($C1056="","",IFERROR(INDEX(DATA_MASTER!$L$2:$L$5000,MATCH($C1056,DATA_MASTER!$D$2:$D$5000,0)),""))</f>
        <v/>
      </c>
      <c r="G1056" s="24" t="n"/>
      <c r="H1056" s="24" t="n"/>
      <c r="I1056" s="30" t="n"/>
      <c r="J1056" s="23">
        <f>IF(OR($H1056="",$I1056=""),"",$H1056*$I1056)</f>
        <v/>
      </c>
      <c r="K1056" s="24" t="n"/>
      <c r="L1056" s="24" t="n"/>
      <c r="M1056" s="29" t="n"/>
      <c r="N1056" s="28" t="n"/>
      <c r="O1056" s="24" t="n"/>
      <c r="P1056" s="24" t="n"/>
      <c r="Q1056" s="24" t="n"/>
      <c r="R1056" s="24" t="n"/>
      <c r="S1056" s="22">
        <f>IF(AND($A1056="",$C1056=""),"",IF($A1056="","Thiếu mã đơn; ","")&amp;IF(COUNTIF($A$2:$A1056,$A1056)&gt;1,"Trùng mã đơn; ","")&amp;IF(ISNA(MATCH($C1056,DATA_MASTER!$D$2:$D$5000,0)),"SĐT chưa đăng ký hội viên; ","")&amp;IF(AND($L1056="Đã chuyển khoản",$M1056=""),"Thiếu ngày nhận CK; ",""))</f>
        <v/>
      </c>
      <c r="T1056" s="24" t="n"/>
    </row>
    <row r="1057" ht="14.25" customHeight="1" s="40">
      <c r="A1057" s="24" t="n"/>
      <c r="B1057" s="29" t="n"/>
      <c r="C1057" s="28" t="n"/>
      <c r="D1057" s="22">
        <f t="array" ref="D1057">IF($C1057="","",IFERROR(INDEX(DATA_MASTER!$C$2:$C$5000,MATCH($C1057,DATA_MASTER!$D$2:$D$5000,0)),""))</f>
        <v/>
      </c>
      <c r="E1057" s="22">
        <f t="array" ref="E1057">IF($C1057="","",IFERROR(INDEX(DATA_MASTER!$I$2:$I$5000,MATCH($C1057,DATA_MASTER!$D$2:$D$5000,0)),""))</f>
        <v/>
      </c>
      <c r="F1057" s="22">
        <f t="array" ref="F1057">IF($C1057="","",IFERROR(INDEX(DATA_MASTER!$L$2:$L$5000,MATCH($C1057,DATA_MASTER!$D$2:$D$5000,0)),""))</f>
        <v/>
      </c>
      <c r="G1057" s="24" t="n"/>
      <c r="H1057" s="24" t="n"/>
      <c r="I1057" s="30" t="n"/>
      <c r="J1057" s="23">
        <f>IF(OR($H1057="",$I1057=""),"",$H1057*$I1057)</f>
        <v/>
      </c>
      <c r="K1057" s="24" t="n"/>
      <c r="L1057" s="24" t="n"/>
      <c r="M1057" s="29" t="n"/>
      <c r="N1057" s="28" t="n"/>
      <c r="O1057" s="24" t="n"/>
      <c r="P1057" s="24" t="n"/>
      <c r="Q1057" s="24" t="n"/>
      <c r="R1057" s="24" t="n"/>
      <c r="S1057" s="22">
        <f>IF(AND($A1057="",$C1057=""),"",IF($A1057="","Thiếu mã đơn; ","")&amp;IF(COUNTIF($A$2:$A1057,$A1057)&gt;1,"Trùng mã đơn; ","")&amp;IF(ISNA(MATCH($C1057,DATA_MASTER!$D$2:$D$5000,0)),"SĐT chưa đăng ký hội viên; ","")&amp;IF(AND($L1057="Đã chuyển khoản",$M1057=""),"Thiếu ngày nhận CK; ",""))</f>
        <v/>
      </c>
      <c r="T1057" s="24" t="n"/>
    </row>
    <row r="1058" ht="14.25" customHeight="1" s="40">
      <c r="A1058" s="24" t="n"/>
      <c r="B1058" s="29" t="n"/>
      <c r="C1058" s="28" t="n"/>
      <c r="D1058" s="22">
        <f t="array" ref="D1058">IF($C1058="","",IFERROR(INDEX(DATA_MASTER!$C$2:$C$5000,MATCH($C1058,DATA_MASTER!$D$2:$D$5000,0)),""))</f>
        <v/>
      </c>
      <c r="E1058" s="22">
        <f t="array" ref="E1058">IF($C1058="","",IFERROR(INDEX(DATA_MASTER!$I$2:$I$5000,MATCH($C1058,DATA_MASTER!$D$2:$D$5000,0)),""))</f>
        <v/>
      </c>
      <c r="F1058" s="22">
        <f t="array" ref="F1058">IF($C1058="","",IFERROR(INDEX(DATA_MASTER!$L$2:$L$5000,MATCH($C1058,DATA_MASTER!$D$2:$D$5000,0)),""))</f>
        <v/>
      </c>
      <c r="G1058" s="24" t="n"/>
      <c r="H1058" s="24" t="n"/>
      <c r="I1058" s="30" t="n"/>
      <c r="J1058" s="23">
        <f>IF(OR($H1058="",$I1058=""),"",$H1058*$I1058)</f>
        <v/>
      </c>
      <c r="K1058" s="24" t="n"/>
      <c r="L1058" s="24" t="n"/>
      <c r="M1058" s="29" t="n"/>
      <c r="N1058" s="28" t="n"/>
      <c r="O1058" s="24" t="n"/>
      <c r="P1058" s="24" t="n"/>
      <c r="Q1058" s="24" t="n"/>
      <c r="R1058" s="24" t="n"/>
      <c r="S1058" s="22">
        <f>IF(AND($A1058="",$C1058=""),"",IF($A1058="","Thiếu mã đơn; ","")&amp;IF(COUNTIF($A$2:$A1058,$A1058)&gt;1,"Trùng mã đơn; ","")&amp;IF(ISNA(MATCH($C1058,DATA_MASTER!$D$2:$D$5000,0)),"SĐT chưa đăng ký hội viên; ","")&amp;IF(AND($L1058="Đã chuyển khoản",$M1058=""),"Thiếu ngày nhận CK; ",""))</f>
        <v/>
      </c>
      <c r="T1058" s="24" t="n"/>
    </row>
    <row r="1059" ht="14.25" customHeight="1" s="40">
      <c r="A1059" s="24" t="n"/>
      <c r="B1059" s="29" t="n"/>
      <c r="C1059" s="28" t="n"/>
      <c r="D1059" s="22">
        <f t="array" ref="D1059">IF($C1059="","",IFERROR(INDEX(DATA_MASTER!$C$2:$C$5000,MATCH($C1059,DATA_MASTER!$D$2:$D$5000,0)),""))</f>
        <v/>
      </c>
      <c r="E1059" s="22">
        <f t="array" ref="E1059">IF($C1059="","",IFERROR(INDEX(DATA_MASTER!$I$2:$I$5000,MATCH($C1059,DATA_MASTER!$D$2:$D$5000,0)),""))</f>
        <v/>
      </c>
      <c r="F1059" s="22">
        <f t="array" ref="F1059">IF($C1059="","",IFERROR(INDEX(DATA_MASTER!$L$2:$L$5000,MATCH($C1059,DATA_MASTER!$D$2:$D$5000,0)),""))</f>
        <v/>
      </c>
      <c r="G1059" s="24" t="n"/>
      <c r="H1059" s="24" t="n"/>
      <c r="I1059" s="30" t="n"/>
      <c r="J1059" s="23">
        <f>IF(OR($H1059="",$I1059=""),"",$H1059*$I1059)</f>
        <v/>
      </c>
      <c r="K1059" s="24" t="n"/>
      <c r="L1059" s="24" t="n"/>
      <c r="M1059" s="29" t="n"/>
      <c r="N1059" s="28" t="n"/>
      <c r="O1059" s="24" t="n"/>
      <c r="P1059" s="24" t="n"/>
      <c r="Q1059" s="24" t="n"/>
      <c r="R1059" s="24" t="n"/>
      <c r="S1059" s="22">
        <f>IF(AND($A1059="",$C1059=""),"",IF($A1059="","Thiếu mã đơn; ","")&amp;IF(COUNTIF($A$2:$A1059,$A1059)&gt;1,"Trùng mã đơn; ","")&amp;IF(ISNA(MATCH($C1059,DATA_MASTER!$D$2:$D$5000,0)),"SĐT chưa đăng ký hội viên; ","")&amp;IF(AND($L1059="Đã chuyển khoản",$M1059=""),"Thiếu ngày nhận CK; ",""))</f>
        <v/>
      </c>
      <c r="T1059" s="24" t="n"/>
    </row>
    <row r="1060" ht="14.25" customHeight="1" s="40">
      <c r="A1060" s="24" t="n"/>
      <c r="B1060" s="29" t="n"/>
      <c r="C1060" s="28" t="n"/>
      <c r="D1060" s="22">
        <f t="array" ref="D1060">IF($C1060="","",IFERROR(INDEX(DATA_MASTER!$C$2:$C$5000,MATCH($C1060,DATA_MASTER!$D$2:$D$5000,0)),""))</f>
        <v/>
      </c>
      <c r="E1060" s="22">
        <f t="array" ref="E1060">IF($C1060="","",IFERROR(INDEX(DATA_MASTER!$I$2:$I$5000,MATCH($C1060,DATA_MASTER!$D$2:$D$5000,0)),""))</f>
        <v/>
      </c>
      <c r="F1060" s="22">
        <f t="array" ref="F1060">IF($C1060="","",IFERROR(INDEX(DATA_MASTER!$L$2:$L$5000,MATCH($C1060,DATA_MASTER!$D$2:$D$5000,0)),""))</f>
        <v/>
      </c>
      <c r="G1060" s="24" t="n"/>
      <c r="H1060" s="24" t="n"/>
      <c r="I1060" s="30" t="n"/>
      <c r="J1060" s="23">
        <f>IF(OR($H1060="",$I1060=""),"",$H1060*$I1060)</f>
        <v/>
      </c>
      <c r="K1060" s="24" t="n"/>
      <c r="L1060" s="24" t="n"/>
      <c r="M1060" s="29" t="n"/>
      <c r="N1060" s="28" t="n"/>
      <c r="O1060" s="24" t="n"/>
      <c r="P1060" s="24" t="n"/>
      <c r="Q1060" s="24" t="n"/>
      <c r="R1060" s="24" t="n"/>
      <c r="S1060" s="22">
        <f>IF(AND($A1060="",$C1060=""),"",IF($A1060="","Thiếu mã đơn; ","")&amp;IF(COUNTIF($A$2:$A1060,$A1060)&gt;1,"Trùng mã đơn; ","")&amp;IF(ISNA(MATCH($C1060,DATA_MASTER!$D$2:$D$5000,0)),"SĐT chưa đăng ký hội viên; ","")&amp;IF(AND($L1060="Đã chuyển khoản",$M1060=""),"Thiếu ngày nhận CK; ",""))</f>
        <v/>
      </c>
      <c r="T1060" s="24" t="n"/>
    </row>
    <row r="1061" ht="14.25" customHeight="1" s="40">
      <c r="A1061" s="24" t="n"/>
      <c r="B1061" s="29" t="n"/>
      <c r="C1061" s="28" t="n"/>
      <c r="D1061" s="22">
        <f t="array" ref="D1061">IF($C1061="","",IFERROR(INDEX(DATA_MASTER!$C$2:$C$5000,MATCH($C1061,DATA_MASTER!$D$2:$D$5000,0)),""))</f>
        <v/>
      </c>
      <c r="E1061" s="22">
        <f t="array" ref="E1061">IF($C1061="","",IFERROR(INDEX(DATA_MASTER!$I$2:$I$5000,MATCH($C1061,DATA_MASTER!$D$2:$D$5000,0)),""))</f>
        <v/>
      </c>
      <c r="F1061" s="22">
        <f t="array" ref="F1061">IF($C1061="","",IFERROR(INDEX(DATA_MASTER!$L$2:$L$5000,MATCH($C1061,DATA_MASTER!$D$2:$D$5000,0)),""))</f>
        <v/>
      </c>
      <c r="G1061" s="24" t="n"/>
      <c r="H1061" s="24" t="n"/>
      <c r="I1061" s="30" t="n"/>
      <c r="J1061" s="23">
        <f>IF(OR($H1061="",$I1061=""),"",$H1061*$I1061)</f>
        <v/>
      </c>
      <c r="K1061" s="24" t="n"/>
      <c r="L1061" s="24" t="n"/>
      <c r="M1061" s="29" t="n"/>
      <c r="N1061" s="28" t="n"/>
      <c r="O1061" s="24" t="n"/>
      <c r="P1061" s="24" t="n"/>
      <c r="Q1061" s="24" t="n"/>
      <c r="R1061" s="24" t="n"/>
      <c r="S1061" s="22">
        <f>IF(AND($A1061="",$C1061=""),"",IF($A1061="","Thiếu mã đơn; ","")&amp;IF(COUNTIF($A$2:$A1061,$A1061)&gt;1,"Trùng mã đơn; ","")&amp;IF(ISNA(MATCH($C1061,DATA_MASTER!$D$2:$D$5000,0)),"SĐT chưa đăng ký hội viên; ","")&amp;IF(AND($L1061="Đã chuyển khoản",$M1061=""),"Thiếu ngày nhận CK; ",""))</f>
        <v/>
      </c>
      <c r="T1061" s="24" t="n"/>
    </row>
    <row r="1062" ht="14.25" customHeight="1" s="40">
      <c r="A1062" s="24" t="n"/>
      <c r="B1062" s="29" t="n"/>
      <c r="C1062" s="28" t="n"/>
      <c r="D1062" s="22">
        <f t="array" ref="D1062">IF($C1062="","",IFERROR(INDEX(DATA_MASTER!$C$2:$C$5000,MATCH($C1062,DATA_MASTER!$D$2:$D$5000,0)),""))</f>
        <v/>
      </c>
      <c r="E1062" s="22">
        <f t="array" ref="E1062">IF($C1062="","",IFERROR(INDEX(DATA_MASTER!$I$2:$I$5000,MATCH($C1062,DATA_MASTER!$D$2:$D$5000,0)),""))</f>
        <v/>
      </c>
      <c r="F1062" s="22">
        <f t="array" ref="F1062">IF($C1062="","",IFERROR(INDEX(DATA_MASTER!$L$2:$L$5000,MATCH($C1062,DATA_MASTER!$D$2:$D$5000,0)),""))</f>
        <v/>
      </c>
      <c r="G1062" s="24" t="n"/>
      <c r="H1062" s="24" t="n"/>
      <c r="I1062" s="30" t="n"/>
      <c r="J1062" s="23">
        <f>IF(OR($H1062="",$I1062=""),"",$H1062*$I1062)</f>
        <v/>
      </c>
      <c r="K1062" s="24" t="n"/>
      <c r="L1062" s="24" t="n"/>
      <c r="M1062" s="29" t="n"/>
      <c r="N1062" s="28" t="n"/>
      <c r="O1062" s="24" t="n"/>
      <c r="P1062" s="24" t="n"/>
      <c r="Q1062" s="24" t="n"/>
      <c r="R1062" s="24" t="n"/>
      <c r="S1062" s="22">
        <f>IF(AND($A1062="",$C1062=""),"",IF($A1062="","Thiếu mã đơn; ","")&amp;IF(COUNTIF($A$2:$A1062,$A1062)&gt;1,"Trùng mã đơn; ","")&amp;IF(ISNA(MATCH($C1062,DATA_MASTER!$D$2:$D$5000,0)),"SĐT chưa đăng ký hội viên; ","")&amp;IF(AND($L1062="Đã chuyển khoản",$M1062=""),"Thiếu ngày nhận CK; ",""))</f>
        <v/>
      </c>
      <c r="T1062" s="24" t="n"/>
    </row>
    <row r="1063" ht="14.25" customHeight="1" s="40">
      <c r="A1063" s="24" t="n"/>
      <c r="B1063" s="29" t="n"/>
      <c r="C1063" s="28" t="n"/>
      <c r="D1063" s="22">
        <f t="array" ref="D1063">IF($C1063="","",IFERROR(INDEX(DATA_MASTER!$C$2:$C$5000,MATCH($C1063,DATA_MASTER!$D$2:$D$5000,0)),""))</f>
        <v/>
      </c>
      <c r="E1063" s="22">
        <f t="array" ref="E1063">IF($C1063="","",IFERROR(INDEX(DATA_MASTER!$I$2:$I$5000,MATCH($C1063,DATA_MASTER!$D$2:$D$5000,0)),""))</f>
        <v/>
      </c>
      <c r="F1063" s="22">
        <f t="array" ref="F1063">IF($C1063="","",IFERROR(INDEX(DATA_MASTER!$L$2:$L$5000,MATCH($C1063,DATA_MASTER!$D$2:$D$5000,0)),""))</f>
        <v/>
      </c>
      <c r="G1063" s="24" t="n"/>
      <c r="H1063" s="24" t="n"/>
      <c r="I1063" s="30" t="n"/>
      <c r="J1063" s="23">
        <f>IF(OR($H1063="",$I1063=""),"",$H1063*$I1063)</f>
        <v/>
      </c>
      <c r="K1063" s="24" t="n"/>
      <c r="L1063" s="24" t="n"/>
      <c r="M1063" s="29" t="n"/>
      <c r="N1063" s="28" t="n"/>
      <c r="O1063" s="24" t="n"/>
      <c r="P1063" s="24" t="n"/>
      <c r="Q1063" s="24" t="n"/>
      <c r="R1063" s="24" t="n"/>
      <c r="S1063" s="22">
        <f>IF(AND($A1063="",$C1063=""),"",IF($A1063="","Thiếu mã đơn; ","")&amp;IF(COUNTIF($A$2:$A1063,$A1063)&gt;1,"Trùng mã đơn; ","")&amp;IF(ISNA(MATCH($C1063,DATA_MASTER!$D$2:$D$5000,0)),"SĐT chưa đăng ký hội viên; ","")&amp;IF(AND($L1063="Đã chuyển khoản",$M1063=""),"Thiếu ngày nhận CK; ",""))</f>
        <v/>
      </c>
      <c r="T1063" s="24" t="n"/>
    </row>
    <row r="1064" ht="14.25" customHeight="1" s="40">
      <c r="A1064" s="24" t="n"/>
      <c r="B1064" s="29" t="n"/>
      <c r="C1064" s="28" t="n"/>
      <c r="D1064" s="22">
        <f t="array" ref="D1064">IF($C1064="","",IFERROR(INDEX(DATA_MASTER!$C$2:$C$5000,MATCH($C1064,DATA_MASTER!$D$2:$D$5000,0)),""))</f>
        <v/>
      </c>
      <c r="E1064" s="22">
        <f t="array" ref="E1064">IF($C1064="","",IFERROR(INDEX(DATA_MASTER!$I$2:$I$5000,MATCH($C1064,DATA_MASTER!$D$2:$D$5000,0)),""))</f>
        <v/>
      </c>
      <c r="F1064" s="22">
        <f t="array" ref="F1064">IF($C1064="","",IFERROR(INDEX(DATA_MASTER!$L$2:$L$5000,MATCH($C1064,DATA_MASTER!$D$2:$D$5000,0)),""))</f>
        <v/>
      </c>
      <c r="G1064" s="24" t="n"/>
      <c r="H1064" s="24" t="n"/>
      <c r="I1064" s="30" t="n"/>
      <c r="J1064" s="23">
        <f>IF(OR($H1064="",$I1064=""),"",$H1064*$I1064)</f>
        <v/>
      </c>
      <c r="K1064" s="24" t="n"/>
      <c r="L1064" s="24" t="n"/>
      <c r="M1064" s="29" t="n"/>
      <c r="N1064" s="28" t="n"/>
      <c r="O1064" s="24" t="n"/>
      <c r="P1064" s="24" t="n"/>
      <c r="Q1064" s="24" t="n"/>
      <c r="R1064" s="24" t="n"/>
      <c r="S1064" s="22">
        <f>IF(AND($A1064="",$C1064=""),"",IF($A1064="","Thiếu mã đơn; ","")&amp;IF(COUNTIF($A$2:$A1064,$A1064)&gt;1,"Trùng mã đơn; ","")&amp;IF(ISNA(MATCH($C1064,DATA_MASTER!$D$2:$D$5000,0)),"SĐT chưa đăng ký hội viên; ","")&amp;IF(AND($L1064="Đã chuyển khoản",$M1064=""),"Thiếu ngày nhận CK; ",""))</f>
        <v/>
      </c>
      <c r="T1064" s="24" t="n"/>
    </row>
    <row r="1065" ht="14.25" customHeight="1" s="40">
      <c r="A1065" s="24" t="n"/>
      <c r="B1065" s="29" t="n"/>
      <c r="C1065" s="28" t="n"/>
      <c r="D1065" s="22">
        <f t="array" ref="D1065">IF($C1065="","",IFERROR(INDEX(DATA_MASTER!$C$2:$C$5000,MATCH($C1065,DATA_MASTER!$D$2:$D$5000,0)),""))</f>
        <v/>
      </c>
      <c r="E1065" s="22">
        <f t="array" ref="E1065">IF($C1065="","",IFERROR(INDEX(DATA_MASTER!$I$2:$I$5000,MATCH($C1065,DATA_MASTER!$D$2:$D$5000,0)),""))</f>
        <v/>
      </c>
      <c r="F1065" s="22">
        <f t="array" ref="F1065">IF($C1065="","",IFERROR(INDEX(DATA_MASTER!$L$2:$L$5000,MATCH($C1065,DATA_MASTER!$D$2:$D$5000,0)),""))</f>
        <v/>
      </c>
      <c r="G1065" s="24" t="n"/>
      <c r="H1065" s="24" t="n"/>
      <c r="I1065" s="30" t="n"/>
      <c r="J1065" s="23">
        <f>IF(OR($H1065="",$I1065=""),"",$H1065*$I1065)</f>
        <v/>
      </c>
      <c r="K1065" s="24" t="n"/>
      <c r="L1065" s="24" t="n"/>
      <c r="M1065" s="29" t="n"/>
      <c r="N1065" s="28" t="n"/>
      <c r="O1065" s="24" t="n"/>
      <c r="P1065" s="24" t="n"/>
      <c r="Q1065" s="24" t="n"/>
      <c r="R1065" s="24" t="n"/>
      <c r="S1065" s="22">
        <f>IF(AND($A1065="",$C1065=""),"",IF($A1065="","Thiếu mã đơn; ","")&amp;IF(COUNTIF($A$2:$A1065,$A1065)&gt;1,"Trùng mã đơn; ","")&amp;IF(ISNA(MATCH($C1065,DATA_MASTER!$D$2:$D$5000,0)),"SĐT chưa đăng ký hội viên; ","")&amp;IF(AND($L1065="Đã chuyển khoản",$M1065=""),"Thiếu ngày nhận CK; ",""))</f>
        <v/>
      </c>
      <c r="T1065" s="24" t="n"/>
    </row>
    <row r="1066" ht="14.25" customHeight="1" s="40">
      <c r="A1066" s="24" t="n"/>
      <c r="B1066" s="29" t="n"/>
      <c r="C1066" s="28" t="n"/>
      <c r="D1066" s="22">
        <f t="array" ref="D1066">IF($C1066="","",IFERROR(INDEX(DATA_MASTER!$C$2:$C$5000,MATCH($C1066,DATA_MASTER!$D$2:$D$5000,0)),""))</f>
        <v/>
      </c>
      <c r="E1066" s="22">
        <f t="array" ref="E1066">IF($C1066="","",IFERROR(INDEX(DATA_MASTER!$I$2:$I$5000,MATCH($C1066,DATA_MASTER!$D$2:$D$5000,0)),""))</f>
        <v/>
      </c>
      <c r="F1066" s="22">
        <f t="array" ref="F1066">IF($C1066="","",IFERROR(INDEX(DATA_MASTER!$L$2:$L$5000,MATCH($C1066,DATA_MASTER!$D$2:$D$5000,0)),""))</f>
        <v/>
      </c>
      <c r="G1066" s="24" t="n"/>
      <c r="H1066" s="24" t="n"/>
      <c r="I1066" s="30" t="n"/>
      <c r="J1066" s="23">
        <f>IF(OR($H1066="",$I1066=""),"",$H1066*$I1066)</f>
        <v/>
      </c>
      <c r="K1066" s="24" t="n"/>
      <c r="L1066" s="24" t="n"/>
      <c r="M1066" s="29" t="n"/>
      <c r="N1066" s="28" t="n"/>
      <c r="O1066" s="24" t="n"/>
      <c r="P1066" s="24" t="n"/>
      <c r="Q1066" s="24" t="n"/>
      <c r="R1066" s="24" t="n"/>
      <c r="S1066" s="22">
        <f>IF(AND($A1066="",$C1066=""),"",IF($A1066="","Thiếu mã đơn; ","")&amp;IF(COUNTIF($A$2:$A1066,$A1066)&gt;1,"Trùng mã đơn; ","")&amp;IF(ISNA(MATCH($C1066,DATA_MASTER!$D$2:$D$5000,0)),"SĐT chưa đăng ký hội viên; ","")&amp;IF(AND($L1066="Đã chuyển khoản",$M1066=""),"Thiếu ngày nhận CK; ",""))</f>
        <v/>
      </c>
      <c r="T1066" s="24" t="n"/>
    </row>
    <row r="1067" ht="14.25" customHeight="1" s="40">
      <c r="A1067" s="24" t="n"/>
      <c r="B1067" s="29" t="n"/>
      <c r="C1067" s="28" t="n"/>
      <c r="D1067" s="22">
        <f t="array" ref="D1067">IF($C1067="","",IFERROR(INDEX(DATA_MASTER!$C$2:$C$5000,MATCH($C1067,DATA_MASTER!$D$2:$D$5000,0)),""))</f>
        <v/>
      </c>
      <c r="E1067" s="22">
        <f t="array" ref="E1067">IF($C1067="","",IFERROR(INDEX(DATA_MASTER!$I$2:$I$5000,MATCH($C1067,DATA_MASTER!$D$2:$D$5000,0)),""))</f>
        <v/>
      </c>
      <c r="F1067" s="22">
        <f t="array" ref="F1067">IF($C1067="","",IFERROR(INDEX(DATA_MASTER!$L$2:$L$5000,MATCH($C1067,DATA_MASTER!$D$2:$D$5000,0)),""))</f>
        <v/>
      </c>
      <c r="G1067" s="24" t="n"/>
      <c r="H1067" s="24" t="n"/>
      <c r="I1067" s="30" t="n"/>
      <c r="J1067" s="23">
        <f>IF(OR($H1067="",$I1067=""),"",$H1067*$I1067)</f>
        <v/>
      </c>
      <c r="K1067" s="24" t="n"/>
      <c r="L1067" s="24" t="n"/>
      <c r="M1067" s="29" t="n"/>
      <c r="N1067" s="28" t="n"/>
      <c r="O1067" s="24" t="n"/>
      <c r="P1067" s="24" t="n"/>
      <c r="Q1067" s="24" t="n"/>
      <c r="R1067" s="24" t="n"/>
      <c r="S1067" s="22">
        <f>IF(AND($A1067="",$C1067=""),"",IF($A1067="","Thiếu mã đơn; ","")&amp;IF(COUNTIF($A$2:$A1067,$A1067)&gt;1,"Trùng mã đơn; ","")&amp;IF(ISNA(MATCH($C1067,DATA_MASTER!$D$2:$D$5000,0)),"SĐT chưa đăng ký hội viên; ","")&amp;IF(AND($L1067="Đã chuyển khoản",$M1067=""),"Thiếu ngày nhận CK; ",""))</f>
        <v/>
      </c>
      <c r="T1067" s="24" t="n"/>
    </row>
    <row r="1068" ht="14.25" customHeight="1" s="40">
      <c r="A1068" s="24" t="n"/>
      <c r="B1068" s="29" t="n"/>
      <c r="C1068" s="28" t="n"/>
      <c r="D1068" s="22">
        <f t="array" ref="D1068">IF($C1068="","",IFERROR(INDEX(DATA_MASTER!$C$2:$C$5000,MATCH($C1068,DATA_MASTER!$D$2:$D$5000,0)),""))</f>
        <v/>
      </c>
      <c r="E1068" s="22">
        <f t="array" ref="E1068">IF($C1068="","",IFERROR(INDEX(DATA_MASTER!$I$2:$I$5000,MATCH($C1068,DATA_MASTER!$D$2:$D$5000,0)),""))</f>
        <v/>
      </c>
      <c r="F1068" s="22">
        <f t="array" ref="F1068">IF($C1068="","",IFERROR(INDEX(DATA_MASTER!$L$2:$L$5000,MATCH($C1068,DATA_MASTER!$D$2:$D$5000,0)),""))</f>
        <v/>
      </c>
      <c r="G1068" s="24" t="n"/>
      <c r="H1068" s="24" t="n"/>
      <c r="I1068" s="30" t="n"/>
      <c r="J1068" s="23">
        <f>IF(OR($H1068="",$I1068=""),"",$H1068*$I1068)</f>
        <v/>
      </c>
      <c r="K1068" s="24" t="n"/>
      <c r="L1068" s="24" t="n"/>
      <c r="M1068" s="29" t="n"/>
      <c r="N1068" s="28" t="n"/>
      <c r="O1068" s="24" t="n"/>
      <c r="P1068" s="24" t="n"/>
      <c r="Q1068" s="24" t="n"/>
      <c r="R1068" s="24" t="n"/>
      <c r="S1068" s="22">
        <f>IF(AND($A1068="",$C1068=""),"",IF($A1068="","Thiếu mã đơn; ","")&amp;IF(COUNTIF($A$2:$A1068,$A1068)&gt;1,"Trùng mã đơn; ","")&amp;IF(ISNA(MATCH($C1068,DATA_MASTER!$D$2:$D$5000,0)),"SĐT chưa đăng ký hội viên; ","")&amp;IF(AND($L1068="Đã chuyển khoản",$M1068=""),"Thiếu ngày nhận CK; ",""))</f>
        <v/>
      </c>
      <c r="T1068" s="24" t="n"/>
    </row>
    <row r="1069" ht="14.25" customHeight="1" s="40">
      <c r="A1069" s="24" t="n"/>
      <c r="B1069" s="29" t="n"/>
      <c r="C1069" s="28" t="n"/>
      <c r="D1069" s="22">
        <f t="array" ref="D1069">IF($C1069="","",IFERROR(INDEX(DATA_MASTER!$C$2:$C$5000,MATCH($C1069,DATA_MASTER!$D$2:$D$5000,0)),""))</f>
        <v/>
      </c>
      <c r="E1069" s="22">
        <f t="array" ref="E1069">IF($C1069="","",IFERROR(INDEX(DATA_MASTER!$I$2:$I$5000,MATCH($C1069,DATA_MASTER!$D$2:$D$5000,0)),""))</f>
        <v/>
      </c>
      <c r="F1069" s="22">
        <f t="array" ref="F1069">IF($C1069="","",IFERROR(INDEX(DATA_MASTER!$L$2:$L$5000,MATCH($C1069,DATA_MASTER!$D$2:$D$5000,0)),""))</f>
        <v/>
      </c>
      <c r="G1069" s="24" t="n"/>
      <c r="H1069" s="24" t="n"/>
      <c r="I1069" s="30" t="n"/>
      <c r="J1069" s="23">
        <f>IF(OR($H1069="",$I1069=""),"",$H1069*$I1069)</f>
        <v/>
      </c>
      <c r="K1069" s="24" t="n"/>
      <c r="L1069" s="24" t="n"/>
      <c r="M1069" s="29" t="n"/>
      <c r="N1069" s="28" t="n"/>
      <c r="O1069" s="24" t="n"/>
      <c r="P1069" s="24" t="n"/>
      <c r="Q1069" s="24" t="n"/>
      <c r="R1069" s="24" t="n"/>
      <c r="S1069" s="22">
        <f>IF(AND($A1069="",$C1069=""),"",IF($A1069="","Thiếu mã đơn; ","")&amp;IF(COUNTIF($A$2:$A1069,$A1069)&gt;1,"Trùng mã đơn; ","")&amp;IF(ISNA(MATCH($C1069,DATA_MASTER!$D$2:$D$5000,0)),"SĐT chưa đăng ký hội viên; ","")&amp;IF(AND($L1069="Đã chuyển khoản",$M1069=""),"Thiếu ngày nhận CK; ",""))</f>
        <v/>
      </c>
      <c r="T1069" s="24" t="n"/>
    </row>
    <row r="1070" ht="14.25" customHeight="1" s="40">
      <c r="A1070" s="24" t="n"/>
      <c r="B1070" s="29" t="n"/>
      <c r="C1070" s="28" t="n"/>
      <c r="D1070" s="22">
        <f t="array" ref="D1070">IF($C1070="","",IFERROR(INDEX(DATA_MASTER!$C$2:$C$5000,MATCH($C1070,DATA_MASTER!$D$2:$D$5000,0)),""))</f>
        <v/>
      </c>
      <c r="E1070" s="22">
        <f t="array" ref="E1070">IF($C1070="","",IFERROR(INDEX(DATA_MASTER!$I$2:$I$5000,MATCH($C1070,DATA_MASTER!$D$2:$D$5000,0)),""))</f>
        <v/>
      </c>
      <c r="F1070" s="22">
        <f t="array" ref="F1070">IF($C1070="","",IFERROR(INDEX(DATA_MASTER!$L$2:$L$5000,MATCH($C1070,DATA_MASTER!$D$2:$D$5000,0)),""))</f>
        <v/>
      </c>
      <c r="G1070" s="24" t="n"/>
      <c r="H1070" s="24" t="n"/>
      <c r="I1070" s="30" t="n"/>
      <c r="J1070" s="23">
        <f>IF(OR($H1070="",$I1070=""),"",$H1070*$I1070)</f>
        <v/>
      </c>
      <c r="K1070" s="24" t="n"/>
      <c r="L1070" s="24" t="n"/>
      <c r="M1070" s="29" t="n"/>
      <c r="N1070" s="28" t="n"/>
      <c r="O1070" s="24" t="n"/>
      <c r="P1070" s="24" t="n"/>
      <c r="Q1070" s="24" t="n"/>
      <c r="R1070" s="24" t="n"/>
      <c r="S1070" s="22">
        <f>IF(AND($A1070="",$C1070=""),"",IF($A1070="","Thiếu mã đơn; ","")&amp;IF(COUNTIF($A$2:$A1070,$A1070)&gt;1,"Trùng mã đơn; ","")&amp;IF(ISNA(MATCH($C1070,DATA_MASTER!$D$2:$D$5000,0)),"SĐT chưa đăng ký hội viên; ","")&amp;IF(AND($L1070="Đã chuyển khoản",$M1070=""),"Thiếu ngày nhận CK; ",""))</f>
        <v/>
      </c>
      <c r="T1070" s="24" t="n"/>
    </row>
    <row r="1071" ht="14.25" customHeight="1" s="40">
      <c r="A1071" s="24" t="n"/>
      <c r="B1071" s="29" t="n"/>
      <c r="C1071" s="28" t="n"/>
      <c r="D1071" s="22">
        <f t="array" ref="D1071">IF($C1071="","",IFERROR(INDEX(DATA_MASTER!$C$2:$C$5000,MATCH($C1071,DATA_MASTER!$D$2:$D$5000,0)),""))</f>
        <v/>
      </c>
      <c r="E1071" s="22">
        <f t="array" ref="E1071">IF($C1071="","",IFERROR(INDEX(DATA_MASTER!$I$2:$I$5000,MATCH($C1071,DATA_MASTER!$D$2:$D$5000,0)),""))</f>
        <v/>
      </c>
      <c r="F1071" s="22">
        <f t="array" ref="F1071">IF($C1071="","",IFERROR(INDEX(DATA_MASTER!$L$2:$L$5000,MATCH($C1071,DATA_MASTER!$D$2:$D$5000,0)),""))</f>
        <v/>
      </c>
      <c r="G1071" s="24" t="n"/>
      <c r="H1071" s="24" t="n"/>
      <c r="I1071" s="30" t="n"/>
      <c r="J1071" s="23">
        <f>IF(OR($H1071="",$I1071=""),"",$H1071*$I1071)</f>
        <v/>
      </c>
      <c r="K1071" s="24" t="n"/>
      <c r="L1071" s="24" t="n"/>
      <c r="M1071" s="29" t="n"/>
      <c r="N1071" s="28" t="n"/>
      <c r="O1071" s="24" t="n"/>
      <c r="P1071" s="24" t="n"/>
      <c r="Q1071" s="24" t="n"/>
      <c r="R1071" s="24" t="n"/>
      <c r="S1071" s="22">
        <f>IF(AND($A1071="",$C1071=""),"",IF($A1071="","Thiếu mã đơn; ","")&amp;IF(COUNTIF($A$2:$A1071,$A1071)&gt;1,"Trùng mã đơn; ","")&amp;IF(ISNA(MATCH($C1071,DATA_MASTER!$D$2:$D$5000,0)),"SĐT chưa đăng ký hội viên; ","")&amp;IF(AND($L1071="Đã chuyển khoản",$M1071=""),"Thiếu ngày nhận CK; ",""))</f>
        <v/>
      </c>
      <c r="T1071" s="24" t="n"/>
    </row>
    <row r="1072" ht="14.25" customHeight="1" s="40">
      <c r="A1072" s="24" t="n"/>
      <c r="B1072" s="29" t="n"/>
      <c r="C1072" s="28" t="n"/>
      <c r="D1072" s="22">
        <f t="array" ref="D1072">IF($C1072="","",IFERROR(INDEX(DATA_MASTER!$C$2:$C$5000,MATCH($C1072,DATA_MASTER!$D$2:$D$5000,0)),""))</f>
        <v/>
      </c>
      <c r="E1072" s="22">
        <f t="array" ref="E1072">IF($C1072="","",IFERROR(INDEX(DATA_MASTER!$I$2:$I$5000,MATCH($C1072,DATA_MASTER!$D$2:$D$5000,0)),""))</f>
        <v/>
      </c>
      <c r="F1072" s="22">
        <f t="array" ref="F1072">IF($C1072="","",IFERROR(INDEX(DATA_MASTER!$L$2:$L$5000,MATCH($C1072,DATA_MASTER!$D$2:$D$5000,0)),""))</f>
        <v/>
      </c>
      <c r="G1072" s="24" t="n"/>
      <c r="H1072" s="24" t="n"/>
      <c r="I1072" s="30" t="n"/>
      <c r="J1072" s="23">
        <f>IF(OR($H1072="",$I1072=""),"",$H1072*$I1072)</f>
        <v/>
      </c>
      <c r="K1072" s="24" t="n"/>
      <c r="L1072" s="24" t="n"/>
      <c r="M1072" s="29" t="n"/>
      <c r="N1072" s="28" t="n"/>
      <c r="O1072" s="24" t="n"/>
      <c r="P1072" s="24" t="n"/>
      <c r="Q1072" s="24" t="n"/>
      <c r="R1072" s="24" t="n"/>
      <c r="S1072" s="22">
        <f>IF(AND($A1072="",$C1072=""),"",IF($A1072="","Thiếu mã đơn; ","")&amp;IF(COUNTIF($A$2:$A1072,$A1072)&gt;1,"Trùng mã đơn; ","")&amp;IF(ISNA(MATCH($C1072,DATA_MASTER!$D$2:$D$5000,0)),"SĐT chưa đăng ký hội viên; ","")&amp;IF(AND($L1072="Đã chuyển khoản",$M1072=""),"Thiếu ngày nhận CK; ",""))</f>
        <v/>
      </c>
      <c r="T1072" s="24" t="n"/>
    </row>
    <row r="1073" ht="14.25" customHeight="1" s="40">
      <c r="A1073" s="24" t="n"/>
      <c r="B1073" s="29" t="n"/>
      <c r="C1073" s="28" t="n"/>
      <c r="D1073" s="22">
        <f t="array" ref="D1073">IF($C1073="","",IFERROR(INDEX(DATA_MASTER!$C$2:$C$5000,MATCH($C1073,DATA_MASTER!$D$2:$D$5000,0)),""))</f>
        <v/>
      </c>
      <c r="E1073" s="22">
        <f t="array" ref="E1073">IF($C1073="","",IFERROR(INDEX(DATA_MASTER!$I$2:$I$5000,MATCH($C1073,DATA_MASTER!$D$2:$D$5000,0)),""))</f>
        <v/>
      </c>
      <c r="F1073" s="22">
        <f t="array" ref="F1073">IF($C1073="","",IFERROR(INDEX(DATA_MASTER!$L$2:$L$5000,MATCH($C1073,DATA_MASTER!$D$2:$D$5000,0)),""))</f>
        <v/>
      </c>
      <c r="G1073" s="24" t="n"/>
      <c r="H1073" s="24" t="n"/>
      <c r="I1073" s="30" t="n"/>
      <c r="J1073" s="23">
        <f>IF(OR($H1073="",$I1073=""),"",$H1073*$I1073)</f>
        <v/>
      </c>
      <c r="K1073" s="24" t="n"/>
      <c r="L1073" s="24" t="n"/>
      <c r="M1073" s="29" t="n"/>
      <c r="N1073" s="28" t="n"/>
      <c r="O1073" s="24" t="n"/>
      <c r="P1073" s="24" t="n"/>
      <c r="Q1073" s="24" t="n"/>
      <c r="R1073" s="24" t="n"/>
      <c r="S1073" s="22">
        <f>IF(AND($A1073="",$C1073=""),"",IF($A1073="","Thiếu mã đơn; ","")&amp;IF(COUNTIF($A$2:$A1073,$A1073)&gt;1,"Trùng mã đơn; ","")&amp;IF(ISNA(MATCH($C1073,DATA_MASTER!$D$2:$D$5000,0)),"SĐT chưa đăng ký hội viên; ","")&amp;IF(AND($L1073="Đã chuyển khoản",$M1073=""),"Thiếu ngày nhận CK; ",""))</f>
        <v/>
      </c>
      <c r="T1073" s="24" t="n"/>
    </row>
    <row r="1074" ht="14.25" customHeight="1" s="40">
      <c r="A1074" s="24" t="n"/>
      <c r="B1074" s="29" t="n"/>
      <c r="C1074" s="28" t="n"/>
      <c r="D1074" s="22">
        <f t="array" ref="D1074">IF($C1074="","",IFERROR(INDEX(DATA_MASTER!$C$2:$C$5000,MATCH($C1074,DATA_MASTER!$D$2:$D$5000,0)),""))</f>
        <v/>
      </c>
      <c r="E1074" s="22">
        <f t="array" ref="E1074">IF($C1074="","",IFERROR(INDEX(DATA_MASTER!$I$2:$I$5000,MATCH($C1074,DATA_MASTER!$D$2:$D$5000,0)),""))</f>
        <v/>
      </c>
      <c r="F1074" s="22">
        <f t="array" ref="F1074">IF($C1074="","",IFERROR(INDEX(DATA_MASTER!$L$2:$L$5000,MATCH($C1074,DATA_MASTER!$D$2:$D$5000,0)),""))</f>
        <v/>
      </c>
      <c r="G1074" s="24" t="n"/>
      <c r="H1074" s="24" t="n"/>
      <c r="I1074" s="30" t="n"/>
      <c r="J1074" s="23">
        <f>IF(OR($H1074="",$I1074=""),"",$H1074*$I1074)</f>
        <v/>
      </c>
      <c r="K1074" s="24" t="n"/>
      <c r="L1074" s="24" t="n"/>
      <c r="M1074" s="29" t="n"/>
      <c r="N1074" s="28" t="n"/>
      <c r="O1074" s="24" t="n"/>
      <c r="P1074" s="24" t="n"/>
      <c r="Q1074" s="24" t="n"/>
      <c r="R1074" s="24" t="n"/>
      <c r="S1074" s="22">
        <f>IF(AND($A1074="",$C1074=""),"",IF($A1074="","Thiếu mã đơn; ","")&amp;IF(COUNTIF($A$2:$A1074,$A1074)&gt;1,"Trùng mã đơn; ","")&amp;IF(ISNA(MATCH($C1074,DATA_MASTER!$D$2:$D$5000,0)),"SĐT chưa đăng ký hội viên; ","")&amp;IF(AND($L1074="Đã chuyển khoản",$M1074=""),"Thiếu ngày nhận CK; ",""))</f>
        <v/>
      </c>
      <c r="T1074" s="24" t="n"/>
    </row>
    <row r="1075" ht="14.25" customHeight="1" s="40">
      <c r="A1075" s="24" t="n"/>
      <c r="B1075" s="29" t="n"/>
      <c r="C1075" s="28" t="n"/>
      <c r="D1075" s="22">
        <f t="array" ref="D1075">IF($C1075="","",IFERROR(INDEX(DATA_MASTER!$C$2:$C$5000,MATCH($C1075,DATA_MASTER!$D$2:$D$5000,0)),""))</f>
        <v/>
      </c>
      <c r="E1075" s="22">
        <f t="array" ref="E1075">IF($C1075="","",IFERROR(INDEX(DATA_MASTER!$I$2:$I$5000,MATCH($C1075,DATA_MASTER!$D$2:$D$5000,0)),""))</f>
        <v/>
      </c>
      <c r="F1075" s="22">
        <f t="array" ref="F1075">IF($C1075="","",IFERROR(INDEX(DATA_MASTER!$L$2:$L$5000,MATCH($C1075,DATA_MASTER!$D$2:$D$5000,0)),""))</f>
        <v/>
      </c>
      <c r="G1075" s="24" t="n"/>
      <c r="H1075" s="24" t="n"/>
      <c r="I1075" s="30" t="n"/>
      <c r="J1075" s="23">
        <f>IF(OR($H1075="",$I1075=""),"",$H1075*$I1075)</f>
        <v/>
      </c>
      <c r="K1075" s="24" t="n"/>
      <c r="L1075" s="24" t="n"/>
      <c r="M1075" s="29" t="n"/>
      <c r="N1075" s="28" t="n"/>
      <c r="O1075" s="24" t="n"/>
      <c r="P1075" s="24" t="n"/>
      <c r="Q1075" s="24" t="n"/>
      <c r="R1075" s="24" t="n"/>
      <c r="S1075" s="22">
        <f>IF(AND($A1075="",$C1075=""),"",IF($A1075="","Thiếu mã đơn; ","")&amp;IF(COUNTIF($A$2:$A1075,$A1075)&gt;1,"Trùng mã đơn; ","")&amp;IF(ISNA(MATCH($C1075,DATA_MASTER!$D$2:$D$5000,0)),"SĐT chưa đăng ký hội viên; ","")&amp;IF(AND($L1075="Đã chuyển khoản",$M1075=""),"Thiếu ngày nhận CK; ",""))</f>
        <v/>
      </c>
      <c r="T1075" s="24" t="n"/>
    </row>
    <row r="1076" ht="14.25" customHeight="1" s="40">
      <c r="A1076" s="24" t="n"/>
      <c r="B1076" s="29" t="n"/>
      <c r="C1076" s="28" t="n"/>
      <c r="D1076" s="22">
        <f t="array" ref="D1076">IF($C1076="","",IFERROR(INDEX(DATA_MASTER!$C$2:$C$5000,MATCH($C1076,DATA_MASTER!$D$2:$D$5000,0)),""))</f>
        <v/>
      </c>
      <c r="E1076" s="22">
        <f t="array" ref="E1076">IF($C1076="","",IFERROR(INDEX(DATA_MASTER!$I$2:$I$5000,MATCH($C1076,DATA_MASTER!$D$2:$D$5000,0)),""))</f>
        <v/>
      </c>
      <c r="F1076" s="22">
        <f t="array" ref="F1076">IF($C1076="","",IFERROR(INDEX(DATA_MASTER!$L$2:$L$5000,MATCH($C1076,DATA_MASTER!$D$2:$D$5000,0)),""))</f>
        <v/>
      </c>
      <c r="G1076" s="24" t="n"/>
      <c r="H1076" s="24" t="n"/>
      <c r="I1076" s="30" t="n"/>
      <c r="J1076" s="23">
        <f>IF(OR($H1076="",$I1076=""),"",$H1076*$I1076)</f>
        <v/>
      </c>
      <c r="K1076" s="24" t="n"/>
      <c r="L1076" s="24" t="n"/>
      <c r="M1076" s="29" t="n"/>
      <c r="N1076" s="28" t="n"/>
      <c r="O1076" s="24" t="n"/>
      <c r="P1076" s="24" t="n"/>
      <c r="Q1076" s="24" t="n"/>
      <c r="R1076" s="24" t="n"/>
      <c r="S1076" s="22">
        <f>IF(AND($A1076="",$C1076=""),"",IF($A1076="","Thiếu mã đơn; ","")&amp;IF(COUNTIF($A$2:$A1076,$A1076)&gt;1,"Trùng mã đơn; ","")&amp;IF(ISNA(MATCH($C1076,DATA_MASTER!$D$2:$D$5000,0)),"SĐT chưa đăng ký hội viên; ","")&amp;IF(AND($L1076="Đã chuyển khoản",$M1076=""),"Thiếu ngày nhận CK; ",""))</f>
        <v/>
      </c>
      <c r="T1076" s="24" t="n"/>
    </row>
    <row r="1077" ht="14.25" customHeight="1" s="40">
      <c r="A1077" s="24" t="n"/>
      <c r="B1077" s="29" t="n"/>
      <c r="C1077" s="28" t="n"/>
      <c r="D1077" s="22">
        <f t="array" ref="D1077">IF($C1077="","",IFERROR(INDEX(DATA_MASTER!$C$2:$C$5000,MATCH($C1077,DATA_MASTER!$D$2:$D$5000,0)),""))</f>
        <v/>
      </c>
      <c r="E1077" s="22">
        <f t="array" ref="E1077">IF($C1077="","",IFERROR(INDEX(DATA_MASTER!$I$2:$I$5000,MATCH($C1077,DATA_MASTER!$D$2:$D$5000,0)),""))</f>
        <v/>
      </c>
      <c r="F1077" s="22">
        <f t="array" ref="F1077">IF($C1077="","",IFERROR(INDEX(DATA_MASTER!$L$2:$L$5000,MATCH($C1077,DATA_MASTER!$D$2:$D$5000,0)),""))</f>
        <v/>
      </c>
      <c r="G1077" s="24" t="n"/>
      <c r="H1077" s="24" t="n"/>
      <c r="I1077" s="30" t="n"/>
      <c r="J1077" s="23">
        <f>IF(OR($H1077="",$I1077=""),"",$H1077*$I1077)</f>
        <v/>
      </c>
      <c r="K1077" s="24" t="n"/>
      <c r="L1077" s="24" t="n"/>
      <c r="M1077" s="29" t="n"/>
      <c r="N1077" s="28" t="n"/>
      <c r="O1077" s="24" t="n"/>
      <c r="P1077" s="24" t="n"/>
      <c r="Q1077" s="24" t="n"/>
      <c r="R1077" s="24" t="n"/>
      <c r="S1077" s="22">
        <f>IF(AND($A1077="",$C1077=""),"",IF($A1077="","Thiếu mã đơn; ","")&amp;IF(COUNTIF($A$2:$A1077,$A1077)&gt;1,"Trùng mã đơn; ","")&amp;IF(ISNA(MATCH($C1077,DATA_MASTER!$D$2:$D$5000,0)),"SĐT chưa đăng ký hội viên; ","")&amp;IF(AND($L1077="Đã chuyển khoản",$M1077=""),"Thiếu ngày nhận CK; ",""))</f>
        <v/>
      </c>
      <c r="T1077" s="24" t="n"/>
    </row>
    <row r="1078" ht="14.25" customHeight="1" s="40">
      <c r="A1078" s="24" t="n"/>
      <c r="B1078" s="29" t="n"/>
      <c r="C1078" s="28" t="n"/>
      <c r="D1078" s="22">
        <f t="array" ref="D1078">IF($C1078="","",IFERROR(INDEX(DATA_MASTER!$C$2:$C$5000,MATCH($C1078,DATA_MASTER!$D$2:$D$5000,0)),""))</f>
        <v/>
      </c>
      <c r="E1078" s="22">
        <f t="array" ref="E1078">IF($C1078="","",IFERROR(INDEX(DATA_MASTER!$I$2:$I$5000,MATCH($C1078,DATA_MASTER!$D$2:$D$5000,0)),""))</f>
        <v/>
      </c>
      <c r="F1078" s="22">
        <f t="array" ref="F1078">IF($C1078="","",IFERROR(INDEX(DATA_MASTER!$L$2:$L$5000,MATCH($C1078,DATA_MASTER!$D$2:$D$5000,0)),""))</f>
        <v/>
      </c>
      <c r="G1078" s="24" t="n"/>
      <c r="H1078" s="24" t="n"/>
      <c r="I1078" s="30" t="n"/>
      <c r="J1078" s="23">
        <f>IF(OR($H1078="",$I1078=""),"",$H1078*$I1078)</f>
        <v/>
      </c>
      <c r="K1078" s="24" t="n"/>
      <c r="L1078" s="24" t="n"/>
      <c r="M1078" s="29" t="n"/>
      <c r="N1078" s="28" t="n"/>
      <c r="O1078" s="24" t="n"/>
      <c r="P1078" s="24" t="n"/>
      <c r="Q1078" s="24" t="n"/>
      <c r="R1078" s="24" t="n"/>
      <c r="S1078" s="22">
        <f>IF(AND($A1078="",$C1078=""),"",IF($A1078="","Thiếu mã đơn; ","")&amp;IF(COUNTIF($A$2:$A1078,$A1078)&gt;1,"Trùng mã đơn; ","")&amp;IF(ISNA(MATCH($C1078,DATA_MASTER!$D$2:$D$5000,0)),"SĐT chưa đăng ký hội viên; ","")&amp;IF(AND($L1078="Đã chuyển khoản",$M1078=""),"Thiếu ngày nhận CK; ",""))</f>
        <v/>
      </c>
      <c r="T1078" s="24" t="n"/>
    </row>
    <row r="1079" ht="14.25" customHeight="1" s="40">
      <c r="A1079" s="24" t="n"/>
      <c r="B1079" s="29" t="n"/>
      <c r="C1079" s="28" t="n"/>
      <c r="D1079" s="22">
        <f t="array" ref="D1079">IF($C1079="","",IFERROR(INDEX(DATA_MASTER!$C$2:$C$5000,MATCH($C1079,DATA_MASTER!$D$2:$D$5000,0)),""))</f>
        <v/>
      </c>
      <c r="E1079" s="22">
        <f t="array" ref="E1079">IF($C1079="","",IFERROR(INDEX(DATA_MASTER!$I$2:$I$5000,MATCH($C1079,DATA_MASTER!$D$2:$D$5000,0)),""))</f>
        <v/>
      </c>
      <c r="F1079" s="22">
        <f t="array" ref="F1079">IF($C1079="","",IFERROR(INDEX(DATA_MASTER!$L$2:$L$5000,MATCH($C1079,DATA_MASTER!$D$2:$D$5000,0)),""))</f>
        <v/>
      </c>
      <c r="G1079" s="24" t="n"/>
      <c r="H1079" s="24" t="n"/>
      <c r="I1079" s="30" t="n"/>
      <c r="J1079" s="23">
        <f>IF(OR($H1079="",$I1079=""),"",$H1079*$I1079)</f>
        <v/>
      </c>
      <c r="K1079" s="24" t="n"/>
      <c r="L1079" s="24" t="n"/>
      <c r="M1079" s="29" t="n"/>
      <c r="N1079" s="28" t="n"/>
      <c r="O1079" s="24" t="n"/>
      <c r="P1079" s="24" t="n"/>
      <c r="Q1079" s="24" t="n"/>
      <c r="R1079" s="24" t="n"/>
      <c r="S1079" s="22">
        <f>IF(AND($A1079="",$C1079=""),"",IF($A1079="","Thiếu mã đơn; ","")&amp;IF(COUNTIF($A$2:$A1079,$A1079)&gt;1,"Trùng mã đơn; ","")&amp;IF(ISNA(MATCH($C1079,DATA_MASTER!$D$2:$D$5000,0)),"SĐT chưa đăng ký hội viên; ","")&amp;IF(AND($L1079="Đã chuyển khoản",$M1079=""),"Thiếu ngày nhận CK; ",""))</f>
        <v/>
      </c>
      <c r="T1079" s="24" t="n"/>
    </row>
    <row r="1080" ht="14.25" customHeight="1" s="40">
      <c r="A1080" s="24" t="n"/>
      <c r="B1080" s="29" t="n"/>
      <c r="C1080" s="28" t="n"/>
      <c r="D1080" s="22">
        <f t="array" ref="D1080">IF($C1080="","",IFERROR(INDEX(DATA_MASTER!$C$2:$C$5000,MATCH($C1080,DATA_MASTER!$D$2:$D$5000,0)),""))</f>
        <v/>
      </c>
      <c r="E1080" s="22">
        <f t="array" ref="E1080">IF($C1080="","",IFERROR(INDEX(DATA_MASTER!$I$2:$I$5000,MATCH($C1080,DATA_MASTER!$D$2:$D$5000,0)),""))</f>
        <v/>
      </c>
      <c r="F1080" s="22">
        <f t="array" ref="F1080">IF($C1080="","",IFERROR(INDEX(DATA_MASTER!$L$2:$L$5000,MATCH($C1080,DATA_MASTER!$D$2:$D$5000,0)),""))</f>
        <v/>
      </c>
      <c r="G1080" s="24" t="n"/>
      <c r="H1080" s="24" t="n"/>
      <c r="I1080" s="30" t="n"/>
      <c r="J1080" s="23">
        <f>IF(OR($H1080="",$I1080=""),"",$H1080*$I1080)</f>
        <v/>
      </c>
      <c r="K1080" s="24" t="n"/>
      <c r="L1080" s="24" t="n"/>
      <c r="M1080" s="29" t="n"/>
      <c r="N1080" s="28" t="n"/>
      <c r="O1080" s="24" t="n"/>
      <c r="P1080" s="24" t="n"/>
      <c r="Q1080" s="24" t="n"/>
      <c r="R1080" s="24" t="n"/>
      <c r="S1080" s="22">
        <f>IF(AND($A1080="",$C1080=""),"",IF($A1080="","Thiếu mã đơn; ","")&amp;IF(COUNTIF($A$2:$A1080,$A1080)&gt;1,"Trùng mã đơn; ","")&amp;IF(ISNA(MATCH($C1080,DATA_MASTER!$D$2:$D$5000,0)),"SĐT chưa đăng ký hội viên; ","")&amp;IF(AND($L1080="Đã chuyển khoản",$M1080=""),"Thiếu ngày nhận CK; ",""))</f>
        <v/>
      </c>
      <c r="T1080" s="24" t="n"/>
    </row>
    <row r="1081" ht="14.25" customHeight="1" s="40">
      <c r="A1081" s="24" t="n"/>
      <c r="B1081" s="29" t="n"/>
      <c r="C1081" s="28" t="n"/>
      <c r="D1081" s="22">
        <f t="array" ref="D1081">IF($C1081="","",IFERROR(INDEX(DATA_MASTER!$C$2:$C$5000,MATCH($C1081,DATA_MASTER!$D$2:$D$5000,0)),""))</f>
        <v/>
      </c>
      <c r="E1081" s="22">
        <f t="array" ref="E1081">IF($C1081="","",IFERROR(INDEX(DATA_MASTER!$I$2:$I$5000,MATCH($C1081,DATA_MASTER!$D$2:$D$5000,0)),""))</f>
        <v/>
      </c>
      <c r="F1081" s="22">
        <f t="array" ref="F1081">IF($C1081="","",IFERROR(INDEX(DATA_MASTER!$L$2:$L$5000,MATCH($C1081,DATA_MASTER!$D$2:$D$5000,0)),""))</f>
        <v/>
      </c>
      <c r="G1081" s="24" t="n"/>
      <c r="H1081" s="24" t="n"/>
      <c r="I1081" s="30" t="n"/>
      <c r="J1081" s="23">
        <f>IF(OR($H1081="",$I1081=""),"",$H1081*$I1081)</f>
        <v/>
      </c>
      <c r="K1081" s="24" t="n"/>
      <c r="L1081" s="24" t="n"/>
      <c r="M1081" s="29" t="n"/>
      <c r="N1081" s="28" t="n"/>
      <c r="O1081" s="24" t="n"/>
      <c r="P1081" s="24" t="n"/>
      <c r="Q1081" s="24" t="n"/>
      <c r="R1081" s="24" t="n"/>
      <c r="S1081" s="22">
        <f>IF(AND($A1081="",$C1081=""),"",IF($A1081="","Thiếu mã đơn; ","")&amp;IF(COUNTIF($A$2:$A1081,$A1081)&gt;1,"Trùng mã đơn; ","")&amp;IF(ISNA(MATCH($C1081,DATA_MASTER!$D$2:$D$5000,0)),"SĐT chưa đăng ký hội viên; ","")&amp;IF(AND($L1081="Đã chuyển khoản",$M1081=""),"Thiếu ngày nhận CK; ",""))</f>
        <v/>
      </c>
      <c r="T1081" s="24" t="n"/>
    </row>
    <row r="1082" ht="14.25" customHeight="1" s="40">
      <c r="A1082" s="24" t="n"/>
      <c r="B1082" s="29" t="n"/>
      <c r="C1082" s="28" t="n"/>
      <c r="D1082" s="22">
        <f t="array" ref="D1082">IF($C1082="","",IFERROR(INDEX(DATA_MASTER!$C$2:$C$5000,MATCH($C1082,DATA_MASTER!$D$2:$D$5000,0)),""))</f>
        <v/>
      </c>
      <c r="E1082" s="22">
        <f t="array" ref="E1082">IF($C1082="","",IFERROR(INDEX(DATA_MASTER!$I$2:$I$5000,MATCH($C1082,DATA_MASTER!$D$2:$D$5000,0)),""))</f>
        <v/>
      </c>
      <c r="F1082" s="22">
        <f t="array" ref="F1082">IF($C1082="","",IFERROR(INDEX(DATA_MASTER!$L$2:$L$5000,MATCH($C1082,DATA_MASTER!$D$2:$D$5000,0)),""))</f>
        <v/>
      </c>
      <c r="G1082" s="24" t="n"/>
      <c r="H1082" s="24" t="n"/>
      <c r="I1082" s="30" t="n"/>
      <c r="J1082" s="23">
        <f>IF(OR($H1082="",$I1082=""),"",$H1082*$I1082)</f>
        <v/>
      </c>
      <c r="K1082" s="24" t="n"/>
      <c r="L1082" s="24" t="n"/>
      <c r="M1082" s="29" t="n"/>
      <c r="N1082" s="28" t="n"/>
      <c r="O1082" s="24" t="n"/>
      <c r="P1082" s="24" t="n"/>
      <c r="Q1082" s="24" t="n"/>
      <c r="R1082" s="24" t="n"/>
      <c r="S1082" s="22">
        <f>IF(AND($A1082="",$C1082=""),"",IF($A1082="","Thiếu mã đơn; ","")&amp;IF(COUNTIF($A$2:$A1082,$A1082)&gt;1,"Trùng mã đơn; ","")&amp;IF(ISNA(MATCH($C1082,DATA_MASTER!$D$2:$D$5000,0)),"SĐT chưa đăng ký hội viên; ","")&amp;IF(AND($L1082="Đã chuyển khoản",$M1082=""),"Thiếu ngày nhận CK; ",""))</f>
        <v/>
      </c>
      <c r="T1082" s="24" t="n"/>
    </row>
    <row r="1083" ht="14.25" customHeight="1" s="40">
      <c r="A1083" s="24" t="n"/>
      <c r="B1083" s="29" t="n"/>
      <c r="C1083" s="28" t="n"/>
      <c r="D1083" s="22">
        <f t="array" ref="D1083">IF($C1083="","",IFERROR(INDEX(DATA_MASTER!$C$2:$C$5000,MATCH($C1083,DATA_MASTER!$D$2:$D$5000,0)),""))</f>
        <v/>
      </c>
      <c r="E1083" s="22">
        <f t="array" ref="E1083">IF($C1083="","",IFERROR(INDEX(DATA_MASTER!$I$2:$I$5000,MATCH($C1083,DATA_MASTER!$D$2:$D$5000,0)),""))</f>
        <v/>
      </c>
      <c r="F1083" s="22">
        <f t="array" ref="F1083">IF($C1083="","",IFERROR(INDEX(DATA_MASTER!$L$2:$L$5000,MATCH($C1083,DATA_MASTER!$D$2:$D$5000,0)),""))</f>
        <v/>
      </c>
      <c r="G1083" s="24" t="n"/>
      <c r="H1083" s="24" t="n"/>
      <c r="I1083" s="30" t="n"/>
      <c r="J1083" s="23">
        <f>IF(OR($H1083="",$I1083=""),"",$H1083*$I1083)</f>
        <v/>
      </c>
      <c r="K1083" s="24" t="n"/>
      <c r="L1083" s="24" t="n"/>
      <c r="M1083" s="29" t="n"/>
      <c r="N1083" s="28" t="n"/>
      <c r="O1083" s="24" t="n"/>
      <c r="P1083" s="24" t="n"/>
      <c r="Q1083" s="24" t="n"/>
      <c r="R1083" s="24" t="n"/>
      <c r="S1083" s="22">
        <f>IF(AND($A1083="",$C1083=""),"",IF($A1083="","Thiếu mã đơn; ","")&amp;IF(COUNTIF($A$2:$A1083,$A1083)&gt;1,"Trùng mã đơn; ","")&amp;IF(ISNA(MATCH($C1083,DATA_MASTER!$D$2:$D$5000,0)),"SĐT chưa đăng ký hội viên; ","")&amp;IF(AND($L1083="Đã chuyển khoản",$M1083=""),"Thiếu ngày nhận CK; ",""))</f>
        <v/>
      </c>
      <c r="T1083" s="24" t="n"/>
    </row>
    <row r="1084" ht="14.25" customHeight="1" s="40">
      <c r="A1084" s="24" t="n"/>
      <c r="B1084" s="29" t="n"/>
      <c r="C1084" s="28" t="n"/>
      <c r="D1084" s="22">
        <f t="array" ref="D1084">IF($C1084="","",IFERROR(INDEX(DATA_MASTER!$C$2:$C$5000,MATCH($C1084,DATA_MASTER!$D$2:$D$5000,0)),""))</f>
        <v/>
      </c>
      <c r="E1084" s="22">
        <f t="array" ref="E1084">IF($C1084="","",IFERROR(INDEX(DATA_MASTER!$I$2:$I$5000,MATCH($C1084,DATA_MASTER!$D$2:$D$5000,0)),""))</f>
        <v/>
      </c>
      <c r="F1084" s="22">
        <f t="array" ref="F1084">IF($C1084="","",IFERROR(INDEX(DATA_MASTER!$L$2:$L$5000,MATCH($C1084,DATA_MASTER!$D$2:$D$5000,0)),""))</f>
        <v/>
      </c>
      <c r="G1084" s="24" t="n"/>
      <c r="H1084" s="24" t="n"/>
      <c r="I1084" s="30" t="n"/>
      <c r="J1084" s="23">
        <f>IF(OR($H1084="",$I1084=""),"",$H1084*$I1084)</f>
        <v/>
      </c>
      <c r="K1084" s="24" t="n"/>
      <c r="L1084" s="24" t="n"/>
      <c r="M1084" s="29" t="n"/>
      <c r="N1084" s="28" t="n"/>
      <c r="O1084" s="24" t="n"/>
      <c r="P1084" s="24" t="n"/>
      <c r="Q1084" s="24" t="n"/>
      <c r="R1084" s="24" t="n"/>
      <c r="S1084" s="22">
        <f>IF(AND($A1084="",$C1084=""),"",IF($A1084="","Thiếu mã đơn; ","")&amp;IF(COUNTIF($A$2:$A1084,$A1084)&gt;1,"Trùng mã đơn; ","")&amp;IF(ISNA(MATCH($C1084,DATA_MASTER!$D$2:$D$5000,0)),"SĐT chưa đăng ký hội viên; ","")&amp;IF(AND($L1084="Đã chuyển khoản",$M1084=""),"Thiếu ngày nhận CK; ",""))</f>
        <v/>
      </c>
      <c r="T1084" s="24" t="n"/>
    </row>
    <row r="1085" ht="14.25" customHeight="1" s="40">
      <c r="A1085" s="24" t="n"/>
      <c r="B1085" s="29" t="n"/>
      <c r="C1085" s="28" t="n"/>
      <c r="D1085" s="22">
        <f t="array" ref="D1085">IF($C1085="","",IFERROR(INDEX(DATA_MASTER!$C$2:$C$5000,MATCH($C1085,DATA_MASTER!$D$2:$D$5000,0)),""))</f>
        <v/>
      </c>
      <c r="E1085" s="22">
        <f t="array" ref="E1085">IF($C1085="","",IFERROR(INDEX(DATA_MASTER!$I$2:$I$5000,MATCH($C1085,DATA_MASTER!$D$2:$D$5000,0)),""))</f>
        <v/>
      </c>
      <c r="F1085" s="22">
        <f t="array" ref="F1085">IF($C1085="","",IFERROR(INDEX(DATA_MASTER!$L$2:$L$5000,MATCH($C1085,DATA_MASTER!$D$2:$D$5000,0)),""))</f>
        <v/>
      </c>
      <c r="G1085" s="24" t="n"/>
      <c r="H1085" s="24" t="n"/>
      <c r="I1085" s="30" t="n"/>
      <c r="J1085" s="23">
        <f>IF(OR($H1085="",$I1085=""),"",$H1085*$I1085)</f>
        <v/>
      </c>
      <c r="K1085" s="24" t="n"/>
      <c r="L1085" s="24" t="n"/>
      <c r="M1085" s="29" t="n"/>
      <c r="N1085" s="28" t="n"/>
      <c r="O1085" s="24" t="n"/>
      <c r="P1085" s="24" t="n"/>
      <c r="Q1085" s="24" t="n"/>
      <c r="R1085" s="24" t="n"/>
      <c r="S1085" s="22">
        <f>IF(AND($A1085="",$C1085=""),"",IF($A1085="","Thiếu mã đơn; ","")&amp;IF(COUNTIF($A$2:$A1085,$A1085)&gt;1,"Trùng mã đơn; ","")&amp;IF(ISNA(MATCH($C1085,DATA_MASTER!$D$2:$D$5000,0)),"SĐT chưa đăng ký hội viên; ","")&amp;IF(AND($L1085="Đã chuyển khoản",$M1085=""),"Thiếu ngày nhận CK; ",""))</f>
        <v/>
      </c>
      <c r="T1085" s="24" t="n"/>
    </row>
    <row r="1086" ht="14.25" customHeight="1" s="40">
      <c r="A1086" s="24" t="n"/>
      <c r="B1086" s="29" t="n"/>
      <c r="C1086" s="28" t="n"/>
      <c r="D1086" s="22">
        <f t="array" ref="D1086">IF($C1086="","",IFERROR(INDEX(DATA_MASTER!$C$2:$C$5000,MATCH($C1086,DATA_MASTER!$D$2:$D$5000,0)),""))</f>
        <v/>
      </c>
      <c r="E1086" s="22">
        <f t="array" ref="E1086">IF($C1086="","",IFERROR(INDEX(DATA_MASTER!$I$2:$I$5000,MATCH($C1086,DATA_MASTER!$D$2:$D$5000,0)),""))</f>
        <v/>
      </c>
      <c r="F1086" s="22">
        <f t="array" ref="F1086">IF($C1086="","",IFERROR(INDEX(DATA_MASTER!$L$2:$L$5000,MATCH($C1086,DATA_MASTER!$D$2:$D$5000,0)),""))</f>
        <v/>
      </c>
      <c r="G1086" s="24" t="n"/>
      <c r="H1086" s="24" t="n"/>
      <c r="I1086" s="30" t="n"/>
      <c r="J1086" s="23">
        <f>IF(OR($H1086="",$I1086=""),"",$H1086*$I1086)</f>
        <v/>
      </c>
      <c r="K1086" s="24" t="n"/>
      <c r="L1086" s="24" t="n"/>
      <c r="M1086" s="29" t="n"/>
      <c r="N1086" s="28" t="n"/>
      <c r="O1086" s="24" t="n"/>
      <c r="P1086" s="24" t="n"/>
      <c r="Q1086" s="24" t="n"/>
      <c r="R1086" s="24" t="n"/>
      <c r="S1086" s="22">
        <f>IF(AND($A1086="",$C1086=""),"",IF($A1086="","Thiếu mã đơn; ","")&amp;IF(COUNTIF($A$2:$A1086,$A1086)&gt;1,"Trùng mã đơn; ","")&amp;IF(ISNA(MATCH($C1086,DATA_MASTER!$D$2:$D$5000,0)),"SĐT chưa đăng ký hội viên; ","")&amp;IF(AND($L1086="Đã chuyển khoản",$M1086=""),"Thiếu ngày nhận CK; ",""))</f>
        <v/>
      </c>
      <c r="T1086" s="24" t="n"/>
    </row>
    <row r="1087" ht="14.25" customHeight="1" s="40">
      <c r="A1087" s="24" t="n"/>
      <c r="B1087" s="29" t="n"/>
      <c r="C1087" s="28" t="n"/>
      <c r="D1087" s="22">
        <f t="array" ref="D1087">IF($C1087="","",IFERROR(INDEX(DATA_MASTER!$C$2:$C$5000,MATCH($C1087,DATA_MASTER!$D$2:$D$5000,0)),""))</f>
        <v/>
      </c>
      <c r="E1087" s="22">
        <f t="array" ref="E1087">IF($C1087="","",IFERROR(INDEX(DATA_MASTER!$I$2:$I$5000,MATCH($C1087,DATA_MASTER!$D$2:$D$5000,0)),""))</f>
        <v/>
      </c>
      <c r="F1087" s="22">
        <f t="array" ref="F1087">IF($C1087="","",IFERROR(INDEX(DATA_MASTER!$L$2:$L$5000,MATCH($C1087,DATA_MASTER!$D$2:$D$5000,0)),""))</f>
        <v/>
      </c>
      <c r="G1087" s="24" t="n"/>
      <c r="H1087" s="24" t="n"/>
      <c r="I1087" s="30" t="n"/>
      <c r="J1087" s="23">
        <f>IF(OR($H1087="",$I1087=""),"",$H1087*$I1087)</f>
        <v/>
      </c>
      <c r="K1087" s="24" t="n"/>
      <c r="L1087" s="24" t="n"/>
      <c r="M1087" s="29" t="n"/>
      <c r="N1087" s="28" t="n"/>
      <c r="O1087" s="24" t="n"/>
      <c r="P1087" s="24" t="n"/>
      <c r="Q1087" s="24" t="n"/>
      <c r="R1087" s="24" t="n"/>
      <c r="S1087" s="22">
        <f>IF(AND($A1087="",$C1087=""),"",IF($A1087="","Thiếu mã đơn; ","")&amp;IF(COUNTIF($A$2:$A1087,$A1087)&gt;1,"Trùng mã đơn; ","")&amp;IF(ISNA(MATCH($C1087,DATA_MASTER!$D$2:$D$5000,0)),"SĐT chưa đăng ký hội viên; ","")&amp;IF(AND($L1087="Đã chuyển khoản",$M1087=""),"Thiếu ngày nhận CK; ",""))</f>
        <v/>
      </c>
      <c r="T1087" s="24" t="n"/>
    </row>
    <row r="1088" ht="14.25" customHeight="1" s="40">
      <c r="A1088" s="24" t="n"/>
      <c r="B1088" s="29" t="n"/>
      <c r="C1088" s="28" t="n"/>
      <c r="D1088" s="22">
        <f t="array" ref="D1088">IF($C1088="","",IFERROR(INDEX(DATA_MASTER!$C$2:$C$5000,MATCH($C1088,DATA_MASTER!$D$2:$D$5000,0)),""))</f>
        <v/>
      </c>
      <c r="E1088" s="22">
        <f t="array" ref="E1088">IF($C1088="","",IFERROR(INDEX(DATA_MASTER!$I$2:$I$5000,MATCH($C1088,DATA_MASTER!$D$2:$D$5000,0)),""))</f>
        <v/>
      </c>
      <c r="F1088" s="22">
        <f t="array" ref="F1088">IF($C1088="","",IFERROR(INDEX(DATA_MASTER!$L$2:$L$5000,MATCH($C1088,DATA_MASTER!$D$2:$D$5000,0)),""))</f>
        <v/>
      </c>
      <c r="G1088" s="24" t="n"/>
      <c r="H1088" s="24" t="n"/>
      <c r="I1088" s="30" t="n"/>
      <c r="J1088" s="23">
        <f>IF(OR($H1088="",$I1088=""),"",$H1088*$I1088)</f>
        <v/>
      </c>
      <c r="K1088" s="24" t="n"/>
      <c r="L1088" s="24" t="n"/>
      <c r="M1088" s="29" t="n"/>
      <c r="N1088" s="28" t="n"/>
      <c r="O1088" s="24" t="n"/>
      <c r="P1088" s="24" t="n"/>
      <c r="Q1088" s="24" t="n"/>
      <c r="R1088" s="24" t="n"/>
      <c r="S1088" s="22">
        <f>IF(AND($A1088="",$C1088=""),"",IF($A1088="","Thiếu mã đơn; ","")&amp;IF(COUNTIF($A$2:$A1088,$A1088)&gt;1,"Trùng mã đơn; ","")&amp;IF(ISNA(MATCH($C1088,DATA_MASTER!$D$2:$D$5000,0)),"SĐT chưa đăng ký hội viên; ","")&amp;IF(AND($L1088="Đã chuyển khoản",$M1088=""),"Thiếu ngày nhận CK; ",""))</f>
        <v/>
      </c>
      <c r="T1088" s="24" t="n"/>
    </row>
    <row r="1089" ht="14.25" customHeight="1" s="40">
      <c r="A1089" s="24" t="n"/>
      <c r="B1089" s="29" t="n"/>
      <c r="C1089" s="28" t="n"/>
      <c r="D1089" s="22">
        <f t="array" ref="D1089">IF($C1089="","",IFERROR(INDEX(DATA_MASTER!$C$2:$C$5000,MATCH($C1089,DATA_MASTER!$D$2:$D$5000,0)),""))</f>
        <v/>
      </c>
      <c r="E1089" s="22">
        <f t="array" ref="E1089">IF($C1089="","",IFERROR(INDEX(DATA_MASTER!$I$2:$I$5000,MATCH($C1089,DATA_MASTER!$D$2:$D$5000,0)),""))</f>
        <v/>
      </c>
      <c r="F1089" s="22">
        <f t="array" ref="F1089">IF($C1089="","",IFERROR(INDEX(DATA_MASTER!$L$2:$L$5000,MATCH($C1089,DATA_MASTER!$D$2:$D$5000,0)),""))</f>
        <v/>
      </c>
      <c r="G1089" s="24" t="n"/>
      <c r="H1089" s="24" t="n"/>
      <c r="I1089" s="30" t="n"/>
      <c r="J1089" s="23">
        <f>IF(OR($H1089="",$I1089=""),"",$H1089*$I1089)</f>
        <v/>
      </c>
      <c r="K1089" s="24" t="n"/>
      <c r="L1089" s="24" t="n"/>
      <c r="M1089" s="29" t="n"/>
      <c r="N1089" s="28" t="n"/>
      <c r="O1089" s="24" t="n"/>
      <c r="P1089" s="24" t="n"/>
      <c r="Q1089" s="24" t="n"/>
      <c r="R1089" s="24" t="n"/>
      <c r="S1089" s="22">
        <f>IF(AND($A1089="",$C1089=""),"",IF($A1089="","Thiếu mã đơn; ","")&amp;IF(COUNTIF($A$2:$A1089,$A1089)&gt;1,"Trùng mã đơn; ","")&amp;IF(ISNA(MATCH($C1089,DATA_MASTER!$D$2:$D$5000,0)),"SĐT chưa đăng ký hội viên; ","")&amp;IF(AND($L1089="Đã chuyển khoản",$M1089=""),"Thiếu ngày nhận CK; ",""))</f>
        <v/>
      </c>
      <c r="T1089" s="24" t="n"/>
    </row>
    <row r="1090" ht="14.25" customHeight="1" s="40">
      <c r="A1090" s="24" t="n"/>
      <c r="B1090" s="29" t="n"/>
      <c r="C1090" s="28" t="n"/>
      <c r="D1090" s="22">
        <f t="array" ref="D1090">IF($C1090="","",IFERROR(INDEX(DATA_MASTER!$C$2:$C$5000,MATCH($C1090,DATA_MASTER!$D$2:$D$5000,0)),""))</f>
        <v/>
      </c>
      <c r="E1090" s="22">
        <f t="array" ref="E1090">IF($C1090="","",IFERROR(INDEX(DATA_MASTER!$I$2:$I$5000,MATCH($C1090,DATA_MASTER!$D$2:$D$5000,0)),""))</f>
        <v/>
      </c>
      <c r="F1090" s="22">
        <f t="array" ref="F1090">IF($C1090="","",IFERROR(INDEX(DATA_MASTER!$L$2:$L$5000,MATCH($C1090,DATA_MASTER!$D$2:$D$5000,0)),""))</f>
        <v/>
      </c>
      <c r="G1090" s="24" t="n"/>
      <c r="H1090" s="24" t="n"/>
      <c r="I1090" s="30" t="n"/>
      <c r="J1090" s="23">
        <f>IF(OR($H1090="",$I1090=""),"",$H1090*$I1090)</f>
        <v/>
      </c>
      <c r="K1090" s="24" t="n"/>
      <c r="L1090" s="24" t="n"/>
      <c r="M1090" s="29" t="n"/>
      <c r="N1090" s="28" t="n"/>
      <c r="O1090" s="24" t="n"/>
      <c r="P1090" s="24" t="n"/>
      <c r="Q1090" s="24" t="n"/>
      <c r="R1090" s="24" t="n"/>
      <c r="S1090" s="22">
        <f>IF(AND($A1090="",$C1090=""),"",IF($A1090="","Thiếu mã đơn; ","")&amp;IF(COUNTIF($A$2:$A1090,$A1090)&gt;1,"Trùng mã đơn; ","")&amp;IF(ISNA(MATCH($C1090,DATA_MASTER!$D$2:$D$5000,0)),"SĐT chưa đăng ký hội viên; ","")&amp;IF(AND($L1090="Đã chuyển khoản",$M1090=""),"Thiếu ngày nhận CK; ",""))</f>
        <v/>
      </c>
      <c r="T1090" s="24" t="n"/>
    </row>
    <row r="1091" ht="14.25" customHeight="1" s="40">
      <c r="A1091" s="24" t="n"/>
      <c r="B1091" s="29" t="n"/>
      <c r="C1091" s="28" t="n"/>
      <c r="D1091" s="22">
        <f t="array" ref="D1091">IF($C1091="","",IFERROR(INDEX(DATA_MASTER!$C$2:$C$5000,MATCH($C1091,DATA_MASTER!$D$2:$D$5000,0)),""))</f>
        <v/>
      </c>
      <c r="E1091" s="22">
        <f t="array" ref="E1091">IF($C1091="","",IFERROR(INDEX(DATA_MASTER!$I$2:$I$5000,MATCH($C1091,DATA_MASTER!$D$2:$D$5000,0)),""))</f>
        <v/>
      </c>
      <c r="F1091" s="22">
        <f t="array" ref="F1091">IF($C1091="","",IFERROR(INDEX(DATA_MASTER!$L$2:$L$5000,MATCH($C1091,DATA_MASTER!$D$2:$D$5000,0)),""))</f>
        <v/>
      </c>
      <c r="G1091" s="24" t="n"/>
      <c r="H1091" s="24" t="n"/>
      <c r="I1091" s="30" t="n"/>
      <c r="J1091" s="23">
        <f>IF(OR($H1091="",$I1091=""),"",$H1091*$I1091)</f>
        <v/>
      </c>
      <c r="K1091" s="24" t="n"/>
      <c r="L1091" s="24" t="n"/>
      <c r="M1091" s="29" t="n"/>
      <c r="N1091" s="28" t="n"/>
      <c r="O1091" s="24" t="n"/>
      <c r="P1091" s="24" t="n"/>
      <c r="Q1091" s="24" t="n"/>
      <c r="R1091" s="24" t="n"/>
      <c r="S1091" s="22">
        <f>IF(AND($A1091="",$C1091=""),"",IF($A1091="","Thiếu mã đơn; ","")&amp;IF(COUNTIF($A$2:$A1091,$A1091)&gt;1,"Trùng mã đơn; ","")&amp;IF(ISNA(MATCH($C1091,DATA_MASTER!$D$2:$D$5000,0)),"SĐT chưa đăng ký hội viên; ","")&amp;IF(AND($L1091="Đã chuyển khoản",$M1091=""),"Thiếu ngày nhận CK; ",""))</f>
        <v/>
      </c>
      <c r="T1091" s="24" t="n"/>
    </row>
    <row r="1092" ht="14.25" customHeight="1" s="40">
      <c r="A1092" s="24" t="n"/>
      <c r="B1092" s="29" t="n"/>
      <c r="C1092" s="28" t="n"/>
      <c r="D1092" s="22">
        <f t="array" ref="D1092">IF($C1092="","",IFERROR(INDEX(DATA_MASTER!$C$2:$C$5000,MATCH($C1092,DATA_MASTER!$D$2:$D$5000,0)),""))</f>
        <v/>
      </c>
      <c r="E1092" s="22">
        <f t="array" ref="E1092">IF($C1092="","",IFERROR(INDEX(DATA_MASTER!$I$2:$I$5000,MATCH($C1092,DATA_MASTER!$D$2:$D$5000,0)),""))</f>
        <v/>
      </c>
      <c r="F1092" s="22">
        <f t="array" ref="F1092">IF($C1092="","",IFERROR(INDEX(DATA_MASTER!$L$2:$L$5000,MATCH($C1092,DATA_MASTER!$D$2:$D$5000,0)),""))</f>
        <v/>
      </c>
      <c r="G1092" s="24" t="n"/>
      <c r="H1092" s="24" t="n"/>
      <c r="I1092" s="30" t="n"/>
      <c r="J1092" s="23">
        <f>IF(OR($H1092="",$I1092=""),"",$H1092*$I1092)</f>
        <v/>
      </c>
      <c r="K1092" s="24" t="n"/>
      <c r="L1092" s="24" t="n"/>
      <c r="M1092" s="29" t="n"/>
      <c r="N1092" s="28" t="n"/>
      <c r="O1092" s="24" t="n"/>
      <c r="P1092" s="24" t="n"/>
      <c r="Q1092" s="24" t="n"/>
      <c r="R1092" s="24" t="n"/>
      <c r="S1092" s="22">
        <f>IF(AND($A1092="",$C1092=""),"",IF($A1092="","Thiếu mã đơn; ","")&amp;IF(COUNTIF($A$2:$A1092,$A1092)&gt;1,"Trùng mã đơn; ","")&amp;IF(ISNA(MATCH($C1092,DATA_MASTER!$D$2:$D$5000,0)),"SĐT chưa đăng ký hội viên; ","")&amp;IF(AND($L1092="Đã chuyển khoản",$M1092=""),"Thiếu ngày nhận CK; ",""))</f>
        <v/>
      </c>
      <c r="T1092" s="24" t="n"/>
    </row>
    <row r="1093" ht="14.25" customHeight="1" s="40">
      <c r="A1093" s="24" t="n"/>
      <c r="B1093" s="29" t="n"/>
      <c r="C1093" s="28" t="n"/>
      <c r="D1093" s="22">
        <f t="array" ref="D1093">IF($C1093="","",IFERROR(INDEX(DATA_MASTER!$C$2:$C$5000,MATCH($C1093,DATA_MASTER!$D$2:$D$5000,0)),""))</f>
        <v/>
      </c>
      <c r="E1093" s="22">
        <f t="array" ref="E1093">IF($C1093="","",IFERROR(INDEX(DATA_MASTER!$I$2:$I$5000,MATCH($C1093,DATA_MASTER!$D$2:$D$5000,0)),""))</f>
        <v/>
      </c>
      <c r="F1093" s="22">
        <f t="array" ref="F1093">IF($C1093="","",IFERROR(INDEX(DATA_MASTER!$L$2:$L$5000,MATCH($C1093,DATA_MASTER!$D$2:$D$5000,0)),""))</f>
        <v/>
      </c>
      <c r="G1093" s="24" t="n"/>
      <c r="H1093" s="24" t="n"/>
      <c r="I1093" s="30" t="n"/>
      <c r="J1093" s="23">
        <f>IF(OR($H1093="",$I1093=""),"",$H1093*$I1093)</f>
        <v/>
      </c>
      <c r="K1093" s="24" t="n"/>
      <c r="L1093" s="24" t="n"/>
      <c r="M1093" s="29" t="n"/>
      <c r="N1093" s="28" t="n"/>
      <c r="O1093" s="24" t="n"/>
      <c r="P1093" s="24" t="n"/>
      <c r="Q1093" s="24" t="n"/>
      <c r="R1093" s="24" t="n"/>
      <c r="S1093" s="22">
        <f>IF(AND($A1093="",$C1093=""),"",IF($A1093="","Thiếu mã đơn; ","")&amp;IF(COUNTIF($A$2:$A1093,$A1093)&gt;1,"Trùng mã đơn; ","")&amp;IF(ISNA(MATCH($C1093,DATA_MASTER!$D$2:$D$5000,0)),"SĐT chưa đăng ký hội viên; ","")&amp;IF(AND($L1093="Đã chuyển khoản",$M1093=""),"Thiếu ngày nhận CK; ",""))</f>
        <v/>
      </c>
      <c r="T1093" s="24" t="n"/>
    </row>
    <row r="1094" ht="14.25" customHeight="1" s="40">
      <c r="A1094" s="24" t="n"/>
      <c r="B1094" s="29" t="n"/>
      <c r="C1094" s="28" t="n"/>
      <c r="D1094" s="22">
        <f t="array" ref="D1094">IF($C1094="","",IFERROR(INDEX(DATA_MASTER!$C$2:$C$5000,MATCH($C1094,DATA_MASTER!$D$2:$D$5000,0)),""))</f>
        <v/>
      </c>
      <c r="E1094" s="22">
        <f t="array" ref="E1094">IF($C1094="","",IFERROR(INDEX(DATA_MASTER!$I$2:$I$5000,MATCH($C1094,DATA_MASTER!$D$2:$D$5000,0)),""))</f>
        <v/>
      </c>
      <c r="F1094" s="22">
        <f t="array" ref="F1094">IF($C1094="","",IFERROR(INDEX(DATA_MASTER!$L$2:$L$5000,MATCH($C1094,DATA_MASTER!$D$2:$D$5000,0)),""))</f>
        <v/>
      </c>
      <c r="G1094" s="24" t="n"/>
      <c r="H1094" s="24" t="n"/>
      <c r="I1094" s="30" t="n"/>
      <c r="J1094" s="23">
        <f>IF(OR($H1094="",$I1094=""),"",$H1094*$I1094)</f>
        <v/>
      </c>
      <c r="K1094" s="24" t="n"/>
      <c r="L1094" s="24" t="n"/>
      <c r="M1094" s="29" t="n"/>
      <c r="N1094" s="28" t="n"/>
      <c r="O1094" s="24" t="n"/>
      <c r="P1094" s="24" t="n"/>
      <c r="Q1094" s="24" t="n"/>
      <c r="R1094" s="24" t="n"/>
      <c r="S1094" s="22">
        <f>IF(AND($A1094="",$C1094=""),"",IF($A1094="","Thiếu mã đơn; ","")&amp;IF(COUNTIF($A$2:$A1094,$A1094)&gt;1,"Trùng mã đơn; ","")&amp;IF(ISNA(MATCH($C1094,DATA_MASTER!$D$2:$D$5000,0)),"SĐT chưa đăng ký hội viên; ","")&amp;IF(AND($L1094="Đã chuyển khoản",$M1094=""),"Thiếu ngày nhận CK; ",""))</f>
        <v/>
      </c>
      <c r="T1094" s="24" t="n"/>
    </row>
    <row r="1095" ht="14.25" customHeight="1" s="40">
      <c r="A1095" s="24" t="n"/>
      <c r="B1095" s="29" t="n"/>
      <c r="C1095" s="28" t="n"/>
      <c r="D1095" s="22">
        <f t="array" ref="D1095">IF($C1095="","",IFERROR(INDEX(DATA_MASTER!$C$2:$C$5000,MATCH($C1095,DATA_MASTER!$D$2:$D$5000,0)),""))</f>
        <v/>
      </c>
      <c r="E1095" s="22">
        <f t="array" ref="E1095">IF($C1095="","",IFERROR(INDEX(DATA_MASTER!$I$2:$I$5000,MATCH($C1095,DATA_MASTER!$D$2:$D$5000,0)),""))</f>
        <v/>
      </c>
      <c r="F1095" s="22">
        <f t="array" ref="F1095">IF($C1095="","",IFERROR(INDEX(DATA_MASTER!$L$2:$L$5000,MATCH($C1095,DATA_MASTER!$D$2:$D$5000,0)),""))</f>
        <v/>
      </c>
      <c r="G1095" s="24" t="n"/>
      <c r="H1095" s="24" t="n"/>
      <c r="I1095" s="30" t="n"/>
      <c r="J1095" s="23">
        <f>IF(OR($H1095="",$I1095=""),"",$H1095*$I1095)</f>
        <v/>
      </c>
      <c r="K1095" s="24" t="n"/>
      <c r="L1095" s="24" t="n"/>
      <c r="M1095" s="29" t="n"/>
      <c r="N1095" s="28" t="n"/>
      <c r="O1095" s="24" t="n"/>
      <c r="P1095" s="24" t="n"/>
      <c r="Q1095" s="24" t="n"/>
      <c r="R1095" s="24" t="n"/>
      <c r="S1095" s="22">
        <f>IF(AND($A1095="",$C1095=""),"",IF($A1095="","Thiếu mã đơn; ","")&amp;IF(COUNTIF($A$2:$A1095,$A1095)&gt;1,"Trùng mã đơn; ","")&amp;IF(ISNA(MATCH($C1095,DATA_MASTER!$D$2:$D$5000,0)),"SĐT chưa đăng ký hội viên; ","")&amp;IF(AND($L1095="Đã chuyển khoản",$M1095=""),"Thiếu ngày nhận CK; ",""))</f>
        <v/>
      </c>
      <c r="T1095" s="24" t="n"/>
    </row>
    <row r="1096" ht="14.25" customHeight="1" s="40">
      <c r="A1096" s="24" t="n"/>
      <c r="B1096" s="29" t="n"/>
      <c r="C1096" s="28" t="n"/>
      <c r="D1096" s="22">
        <f t="array" ref="D1096">IF($C1096="","",IFERROR(INDEX(DATA_MASTER!$C$2:$C$5000,MATCH($C1096,DATA_MASTER!$D$2:$D$5000,0)),""))</f>
        <v/>
      </c>
      <c r="E1096" s="22">
        <f t="array" ref="E1096">IF($C1096="","",IFERROR(INDEX(DATA_MASTER!$I$2:$I$5000,MATCH($C1096,DATA_MASTER!$D$2:$D$5000,0)),""))</f>
        <v/>
      </c>
      <c r="F1096" s="22">
        <f t="array" ref="F1096">IF($C1096="","",IFERROR(INDEX(DATA_MASTER!$L$2:$L$5000,MATCH($C1096,DATA_MASTER!$D$2:$D$5000,0)),""))</f>
        <v/>
      </c>
      <c r="G1096" s="24" t="n"/>
      <c r="H1096" s="24" t="n"/>
      <c r="I1096" s="30" t="n"/>
      <c r="J1096" s="23">
        <f>IF(OR($H1096="",$I1096=""),"",$H1096*$I1096)</f>
        <v/>
      </c>
      <c r="K1096" s="24" t="n"/>
      <c r="L1096" s="24" t="n"/>
      <c r="M1096" s="29" t="n"/>
      <c r="N1096" s="28" t="n"/>
      <c r="O1096" s="24" t="n"/>
      <c r="P1096" s="24" t="n"/>
      <c r="Q1096" s="24" t="n"/>
      <c r="R1096" s="24" t="n"/>
      <c r="S1096" s="22">
        <f>IF(AND($A1096="",$C1096=""),"",IF($A1096="","Thiếu mã đơn; ","")&amp;IF(COUNTIF($A$2:$A1096,$A1096)&gt;1,"Trùng mã đơn; ","")&amp;IF(ISNA(MATCH($C1096,DATA_MASTER!$D$2:$D$5000,0)),"SĐT chưa đăng ký hội viên; ","")&amp;IF(AND($L1096="Đã chuyển khoản",$M1096=""),"Thiếu ngày nhận CK; ",""))</f>
        <v/>
      </c>
      <c r="T1096" s="24" t="n"/>
    </row>
    <row r="1097" ht="14.25" customHeight="1" s="40">
      <c r="A1097" s="24" t="n"/>
      <c r="B1097" s="29" t="n"/>
      <c r="C1097" s="28" t="n"/>
      <c r="D1097" s="22">
        <f t="array" ref="D1097">IF($C1097="","",IFERROR(INDEX(DATA_MASTER!$C$2:$C$5000,MATCH($C1097,DATA_MASTER!$D$2:$D$5000,0)),""))</f>
        <v/>
      </c>
      <c r="E1097" s="22">
        <f t="array" ref="E1097">IF($C1097="","",IFERROR(INDEX(DATA_MASTER!$I$2:$I$5000,MATCH($C1097,DATA_MASTER!$D$2:$D$5000,0)),""))</f>
        <v/>
      </c>
      <c r="F1097" s="22">
        <f t="array" ref="F1097">IF($C1097="","",IFERROR(INDEX(DATA_MASTER!$L$2:$L$5000,MATCH($C1097,DATA_MASTER!$D$2:$D$5000,0)),""))</f>
        <v/>
      </c>
      <c r="G1097" s="24" t="n"/>
      <c r="H1097" s="24" t="n"/>
      <c r="I1097" s="30" t="n"/>
      <c r="J1097" s="23">
        <f>IF(OR($H1097="",$I1097=""),"",$H1097*$I1097)</f>
        <v/>
      </c>
      <c r="K1097" s="24" t="n"/>
      <c r="L1097" s="24" t="n"/>
      <c r="M1097" s="29" t="n"/>
      <c r="N1097" s="28" t="n"/>
      <c r="O1097" s="24" t="n"/>
      <c r="P1097" s="24" t="n"/>
      <c r="Q1097" s="24" t="n"/>
      <c r="R1097" s="24" t="n"/>
      <c r="S1097" s="22">
        <f>IF(AND($A1097="",$C1097=""),"",IF($A1097="","Thiếu mã đơn; ","")&amp;IF(COUNTIF($A$2:$A1097,$A1097)&gt;1,"Trùng mã đơn; ","")&amp;IF(ISNA(MATCH($C1097,DATA_MASTER!$D$2:$D$5000,0)),"SĐT chưa đăng ký hội viên; ","")&amp;IF(AND($L1097="Đã chuyển khoản",$M1097=""),"Thiếu ngày nhận CK; ",""))</f>
        <v/>
      </c>
      <c r="T1097" s="24" t="n"/>
    </row>
    <row r="1098" ht="14.25" customHeight="1" s="40">
      <c r="A1098" s="24" t="n"/>
      <c r="B1098" s="29" t="n"/>
      <c r="C1098" s="28" t="n"/>
      <c r="D1098" s="22">
        <f t="array" ref="D1098">IF($C1098="","",IFERROR(INDEX(DATA_MASTER!$C$2:$C$5000,MATCH($C1098,DATA_MASTER!$D$2:$D$5000,0)),""))</f>
        <v/>
      </c>
      <c r="E1098" s="22">
        <f t="array" ref="E1098">IF($C1098="","",IFERROR(INDEX(DATA_MASTER!$I$2:$I$5000,MATCH($C1098,DATA_MASTER!$D$2:$D$5000,0)),""))</f>
        <v/>
      </c>
      <c r="F1098" s="22">
        <f t="array" ref="F1098">IF($C1098="","",IFERROR(INDEX(DATA_MASTER!$L$2:$L$5000,MATCH($C1098,DATA_MASTER!$D$2:$D$5000,0)),""))</f>
        <v/>
      </c>
      <c r="G1098" s="24" t="n"/>
      <c r="H1098" s="24" t="n"/>
      <c r="I1098" s="30" t="n"/>
      <c r="J1098" s="23">
        <f>IF(OR($H1098="",$I1098=""),"",$H1098*$I1098)</f>
        <v/>
      </c>
      <c r="K1098" s="24" t="n"/>
      <c r="L1098" s="24" t="n"/>
      <c r="M1098" s="29" t="n"/>
      <c r="N1098" s="28" t="n"/>
      <c r="O1098" s="24" t="n"/>
      <c r="P1098" s="24" t="n"/>
      <c r="Q1098" s="24" t="n"/>
      <c r="R1098" s="24" t="n"/>
      <c r="S1098" s="22">
        <f>IF(AND($A1098="",$C1098=""),"",IF($A1098="","Thiếu mã đơn; ","")&amp;IF(COUNTIF($A$2:$A1098,$A1098)&gt;1,"Trùng mã đơn; ","")&amp;IF(ISNA(MATCH($C1098,DATA_MASTER!$D$2:$D$5000,0)),"SĐT chưa đăng ký hội viên; ","")&amp;IF(AND($L1098="Đã chuyển khoản",$M1098=""),"Thiếu ngày nhận CK; ",""))</f>
        <v/>
      </c>
      <c r="T1098" s="24" t="n"/>
    </row>
    <row r="1099" ht="14.25" customHeight="1" s="40">
      <c r="A1099" s="24" t="n"/>
      <c r="B1099" s="29" t="n"/>
      <c r="C1099" s="28" t="n"/>
      <c r="D1099" s="22">
        <f t="array" ref="D1099">IF($C1099="","",IFERROR(INDEX(DATA_MASTER!$C$2:$C$5000,MATCH($C1099,DATA_MASTER!$D$2:$D$5000,0)),""))</f>
        <v/>
      </c>
      <c r="E1099" s="22">
        <f t="array" ref="E1099">IF($C1099="","",IFERROR(INDEX(DATA_MASTER!$I$2:$I$5000,MATCH($C1099,DATA_MASTER!$D$2:$D$5000,0)),""))</f>
        <v/>
      </c>
      <c r="F1099" s="22">
        <f t="array" ref="F1099">IF($C1099="","",IFERROR(INDEX(DATA_MASTER!$L$2:$L$5000,MATCH($C1099,DATA_MASTER!$D$2:$D$5000,0)),""))</f>
        <v/>
      </c>
      <c r="G1099" s="24" t="n"/>
      <c r="H1099" s="24" t="n"/>
      <c r="I1099" s="30" t="n"/>
      <c r="J1099" s="23">
        <f>IF(OR($H1099="",$I1099=""),"",$H1099*$I1099)</f>
        <v/>
      </c>
      <c r="K1099" s="24" t="n"/>
      <c r="L1099" s="24" t="n"/>
      <c r="M1099" s="29" t="n"/>
      <c r="N1099" s="28" t="n"/>
      <c r="O1099" s="24" t="n"/>
      <c r="P1099" s="24" t="n"/>
      <c r="Q1099" s="24" t="n"/>
      <c r="R1099" s="24" t="n"/>
      <c r="S1099" s="22">
        <f>IF(AND($A1099="",$C1099=""),"",IF($A1099="","Thiếu mã đơn; ","")&amp;IF(COUNTIF($A$2:$A1099,$A1099)&gt;1,"Trùng mã đơn; ","")&amp;IF(ISNA(MATCH($C1099,DATA_MASTER!$D$2:$D$5000,0)),"SĐT chưa đăng ký hội viên; ","")&amp;IF(AND($L1099="Đã chuyển khoản",$M1099=""),"Thiếu ngày nhận CK; ",""))</f>
        <v/>
      </c>
      <c r="T1099" s="24" t="n"/>
    </row>
    <row r="1100" ht="14.25" customHeight="1" s="40">
      <c r="A1100" s="24" t="n"/>
      <c r="B1100" s="29" t="n"/>
      <c r="C1100" s="28" t="n"/>
      <c r="D1100" s="22">
        <f t="array" ref="D1100">IF($C1100="","",IFERROR(INDEX(DATA_MASTER!$C$2:$C$5000,MATCH($C1100,DATA_MASTER!$D$2:$D$5000,0)),""))</f>
        <v/>
      </c>
      <c r="E1100" s="22">
        <f t="array" ref="E1100">IF($C1100="","",IFERROR(INDEX(DATA_MASTER!$I$2:$I$5000,MATCH($C1100,DATA_MASTER!$D$2:$D$5000,0)),""))</f>
        <v/>
      </c>
      <c r="F1100" s="22">
        <f t="array" ref="F1100">IF($C1100="","",IFERROR(INDEX(DATA_MASTER!$L$2:$L$5000,MATCH($C1100,DATA_MASTER!$D$2:$D$5000,0)),""))</f>
        <v/>
      </c>
      <c r="G1100" s="24" t="n"/>
      <c r="H1100" s="24" t="n"/>
      <c r="I1100" s="30" t="n"/>
      <c r="J1100" s="23">
        <f>IF(OR($H1100="",$I1100=""),"",$H1100*$I1100)</f>
        <v/>
      </c>
      <c r="K1100" s="24" t="n"/>
      <c r="L1100" s="24" t="n"/>
      <c r="M1100" s="29" t="n"/>
      <c r="N1100" s="28" t="n"/>
      <c r="O1100" s="24" t="n"/>
      <c r="P1100" s="24" t="n"/>
      <c r="Q1100" s="24" t="n"/>
      <c r="R1100" s="24" t="n"/>
      <c r="S1100" s="22">
        <f>IF(AND($A1100="",$C1100=""),"",IF($A1100="","Thiếu mã đơn; ","")&amp;IF(COUNTIF($A$2:$A1100,$A1100)&gt;1,"Trùng mã đơn; ","")&amp;IF(ISNA(MATCH($C1100,DATA_MASTER!$D$2:$D$5000,0)),"SĐT chưa đăng ký hội viên; ","")&amp;IF(AND($L1100="Đã chuyển khoản",$M1100=""),"Thiếu ngày nhận CK; ",""))</f>
        <v/>
      </c>
      <c r="T1100" s="24" t="n"/>
    </row>
    <row r="1101" ht="14.25" customHeight="1" s="40">
      <c r="A1101" s="24" t="n"/>
      <c r="B1101" s="29" t="n"/>
      <c r="C1101" s="28" t="n"/>
      <c r="D1101" s="22">
        <f t="array" ref="D1101">IF($C1101="","",IFERROR(INDEX(DATA_MASTER!$C$2:$C$5000,MATCH($C1101,DATA_MASTER!$D$2:$D$5000,0)),""))</f>
        <v/>
      </c>
      <c r="E1101" s="22">
        <f t="array" ref="E1101">IF($C1101="","",IFERROR(INDEX(DATA_MASTER!$I$2:$I$5000,MATCH($C1101,DATA_MASTER!$D$2:$D$5000,0)),""))</f>
        <v/>
      </c>
      <c r="F1101" s="22">
        <f t="array" ref="F1101">IF($C1101="","",IFERROR(INDEX(DATA_MASTER!$L$2:$L$5000,MATCH($C1101,DATA_MASTER!$D$2:$D$5000,0)),""))</f>
        <v/>
      </c>
      <c r="G1101" s="24" t="n"/>
      <c r="H1101" s="24" t="n"/>
      <c r="I1101" s="30" t="n"/>
      <c r="J1101" s="23">
        <f>IF(OR($H1101="",$I1101=""),"",$H1101*$I1101)</f>
        <v/>
      </c>
      <c r="K1101" s="24" t="n"/>
      <c r="L1101" s="24" t="n"/>
      <c r="M1101" s="29" t="n"/>
      <c r="N1101" s="28" t="n"/>
      <c r="O1101" s="24" t="n"/>
      <c r="P1101" s="24" t="n"/>
      <c r="Q1101" s="24" t="n"/>
      <c r="R1101" s="24" t="n"/>
      <c r="S1101" s="22">
        <f>IF(AND($A1101="",$C1101=""),"",IF($A1101="","Thiếu mã đơn; ","")&amp;IF(COUNTIF($A$2:$A1101,$A1101)&gt;1,"Trùng mã đơn; ","")&amp;IF(ISNA(MATCH($C1101,DATA_MASTER!$D$2:$D$5000,0)),"SĐT chưa đăng ký hội viên; ","")&amp;IF(AND($L1101="Đã chuyển khoản",$M1101=""),"Thiếu ngày nhận CK; ",""))</f>
        <v/>
      </c>
      <c r="T1101" s="24" t="n"/>
    </row>
    <row r="1102" ht="14.25" customHeight="1" s="40">
      <c r="A1102" s="24" t="n"/>
      <c r="B1102" s="29" t="n"/>
      <c r="C1102" s="28" t="n"/>
      <c r="D1102" s="22">
        <f t="array" ref="D1102">IF($C1102="","",IFERROR(INDEX(DATA_MASTER!$C$2:$C$5000,MATCH($C1102,DATA_MASTER!$D$2:$D$5000,0)),""))</f>
        <v/>
      </c>
      <c r="E1102" s="22">
        <f t="array" ref="E1102">IF($C1102="","",IFERROR(INDEX(DATA_MASTER!$I$2:$I$5000,MATCH($C1102,DATA_MASTER!$D$2:$D$5000,0)),""))</f>
        <v/>
      </c>
      <c r="F1102" s="22">
        <f t="array" ref="F1102">IF($C1102="","",IFERROR(INDEX(DATA_MASTER!$L$2:$L$5000,MATCH($C1102,DATA_MASTER!$D$2:$D$5000,0)),""))</f>
        <v/>
      </c>
      <c r="G1102" s="24" t="n"/>
      <c r="H1102" s="24" t="n"/>
      <c r="I1102" s="30" t="n"/>
      <c r="J1102" s="23">
        <f>IF(OR($H1102="",$I1102=""),"",$H1102*$I1102)</f>
        <v/>
      </c>
      <c r="K1102" s="24" t="n"/>
      <c r="L1102" s="24" t="n"/>
      <c r="M1102" s="29" t="n"/>
      <c r="N1102" s="28" t="n"/>
      <c r="O1102" s="24" t="n"/>
      <c r="P1102" s="24" t="n"/>
      <c r="Q1102" s="24" t="n"/>
      <c r="R1102" s="24" t="n"/>
      <c r="S1102" s="22">
        <f>IF(AND($A1102="",$C1102=""),"",IF($A1102="","Thiếu mã đơn; ","")&amp;IF(COUNTIF($A$2:$A1102,$A1102)&gt;1,"Trùng mã đơn; ","")&amp;IF(ISNA(MATCH($C1102,DATA_MASTER!$D$2:$D$5000,0)),"SĐT chưa đăng ký hội viên; ","")&amp;IF(AND($L1102="Đã chuyển khoản",$M1102=""),"Thiếu ngày nhận CK; ",""))</f>
        <v/>
      </c>
      <c r="T1102" s="24" t="n"/>
    </row>
    <row r="1103" ht="14.25" customHeight="1" s="40">
      <c r="A1103" s="24" t="n"/>
      <c r="B1103" s="29" t="n"/>
      <c r="C1103" s="28" t="n"/>
      <c r="D1103" s="22">
        <f t="array" ref="D1103">IF($C1103="","",IFERROR(INDEX(DATA_MASTER!$C$2:$C$5000,MATCH($C1103,DATA_MASTER!$D$2:$D$5000,0)),""))</f>
        <v/>
      </c>
      <c r="E1103" s="22">
        <f t="array" ref="E1103">IF($C1103="","",IFERROR(INDEX(DATA_MASTER!$I$2:$I$5000,MATCH($C1103,DATA_MASTER!$D$2:$D$5000,0)),""))</f>
        <v/>
      </c>
      <c r="F1103" s="22">
        <f t="array" ref="F1103">IF($C1103="","",IFERROR(INDEX(DATA_MASTER!$L$2:$L$5000,MATCH($C1103,DATA_MASTER!$D$2:$D$5000,0)),""))</f>
        <v/>
      </c>
      <c r="G1103" s="24" t="n"/>
      <c r="H1103" s="24" t="n"/>
      <c r="I1103" s="30" t="n"/>
      <c r="J1103" s="23">
        <f>IF(OR($H1103="",$I1103=""),"",$H1103*$I1103)</f>
        <v/>
      </c>
      <c r="K1103" s="24" t="n"/>
      <c r="L1103" s="24" t="n"/>
      <c r="M1103" s="29" t="n"/>
      <c r="N1103" s="28" t="n"/>
      <c r="O1103" s="24" t="n"/>
      <c r="P1103" s="24" t="n"/>
      <c r="Q1103" s="24" t="n"/>
      <c r="R1103" s="24" t="n"/>
      <c r="S1103" s="22">
        <f>IF(AND($A1103="",$C1103=""),"",IF($A1103="","Thiếu mã đơn; ","")&amp;IF(COUNTIF($A$2:$A1103,$A1103)&gt;1,"Trùng mã đơn; ","")&amp;IF(ISNA(MATCH($C1103,DATA_MASTER!$D$2:$D$5000,0)),"SĐT chưa đăng ký hội viên; ","")&amp;IF(AND($L1103="Đã chuyển khoản",$M1103=""),"Thiếu ngày nhận CK; ",""))</f>
        <v/>
      </c>
      <c r="T1103" s="24" t="n"/>
    </row>
    <row r="1104" ht="14.25" customHeight="1" s="40">
      <c r="A1104" s="24" t="n"/>
      <c r="B1104" s="29" t="n"/>
      <c r="C1104" s="28" t="n"/>
      <c r="D1104" s="22">
        <f t="array" ref="D1104">IF($C1104="","",IFERROR(INDEX(DATA_MASTER!$C$2:$C$5000,MATCH($C1104,DATA_MASTER!$D$2:$D$5000,0)),""))</f>
        <v/>
      </c>
      <c r="E1104" s="22">
        <f t="array" ref="E1104">IF($C1104="","",IFERROR(INDEX(DATA_MASTER!$I$2:$I$5000,MATCH($C1104,DATA_MASTER!$D$2:$D$5000,0)),""))</f>
        <v/>
      </c>
      <c r="F1104" s="22">
        <f t="array" ref="F1104">IF($C1104="","",IFERROR(INDEX(DATA_MASTER!$L$2:$L$5000,MATCH($C1104,DATA_MASTER!$D$2:$D$5000,0)),""))</f>
        <v/>
      </c>
      <c r="G1104" s="24" t="n"/>
      <c r="H1104" s="24" t="n"/>
      <c r="I1104" s="30" t="n"/>
      <c r="J1104" s="23">
        <f>IF(OR($H1104="",$I1104=""),"",$H1104*$I1104)</f>
        <v/>
      </c>
      <c r="K1104" s="24" t="n"/>
      <c r="L1104" s="24" t="n"/>
      <c r="M1104" s="29" t="n"/>
      <c r="N1104" s="28" t="n"/>
      <c r="O1104" s="24" t="n"/>
      <c r="P1104" s="24" t="n"/>
      <c r="Q1104" s="24" t="n"/>
      <c r="R1104" s="24" t="n"/>
      <c r="S1104" s="22">
        <f>IF(AND($A1104="",$C1104=""),"",IF($A1104="","Thiếu mã đơn; ","")&amp;IF(COUNTIF($A$2:$A1104,$A1104)&gt;1,"Trùng mã đơn; ","")&amp;IF(ISNA(MATCH($C1104,DATA_MASTER!$D$2:$D$5000,0)),"SĐT chưa đăng ký hội viên; ","")&amp;IF(AND($L1104="Đã chuyển khoản",$M1104=""),"Thiếu ngày nhận CK; ",""))</f>
        <v/>
      </c>
      <c r="T1104" s="24" t="n"/>
    </row>
    <row r="1105" ht="14.25" customHeight="1" s="40">
      <c r="A1105" s="24" t="n"/>
      <c r="B1105" s="29" t="n"/>
      <c r="C1105" s="28" t="n"/>
      <c r="D1105" s="22">
        <f t="array" ref="D1105">IF($C1105="","",IFERROR(INDEX(DATA_MASTER!$C$2:$C$5000,MATCH($C1105,DATA_MASTER!$D$2:$D$5000,0)),""))</f>
        <v/>
      </c>
      <c r="E1105" s="22">
        <f t="array" ref="E1105">IF($C1105="","",IFERROR(INDEX(DATA_MASTER!$I$2:$I$5000,MATCH($C1105,DATA_MASTER!$D$2:$D$5000,0)),""))</f>
        <v/>
      </c>
      <c r="F1105" s="22">
        <f t="array" ref="F1105">IF($C1105="","",IFERROR(INDEX(DATA_MASTER!$L$2:$L$5000,MATCH($C1105,DATA_MASTER!$D$2:$D$5000,0)),""))</f>
        <v/>
      </c>
      <c r="G1105" s="24" t="n"/>
      <c r="H1105" s="24" t="n"/>
      <c r="I1105" s="30" t="n"/>
      <c r="J1105" s="23">
        <f>IF(OR($H1105="",$I1105=""),"",$H1105*$I1105)</f>
        <v/>
      </c>
      <c r="K1105" s="24" t="n"/>
      <c r="L1105" s="24" t="n"/>
      <c r="M1105" s="29" t="n"/>
      <c r="N1105" s="28" t="n"/>
      <c r="O1105" s="24" t="n"/>
      <c r="P1105" s="24" t="n"/>
      <c r="Q1105" s="24" t="n"/>
      <c r="R1105" s="24" t="n"/>
      <c r="S1105" s="22">
        <f>IF(AND($A1105="",$C1105=""),"",IF($A1105="","Thiếu mã đơn; ","")&amp;IF(COUNTIF($A$2:$A1105,$A1105)&gt;1,"Trùng mã đơn; ","")&amp;IF(ISNA(MATCH($C1105,DATA_MASTER!$D$2:$D$5000,0)),"SĐT chưa đăng ký hội viên; ","")&amp;IF(AND($L1105="Đã chuyển khoản",$M1105=""),"Thiếu ngày nhận CK; ",""))</f>
        <v/>
      </c>
      <c r="T1105" s="24" t="n"/>
    </row>
    <row r="1106" ht="14.25" customHeight="1" s="40">
      <c r="A1106" s="24" t="n"/>
      <c r="B1106" s="29" t="n"/>
      <c r="C1106" s="28" t="n"/>
      <c r="D1106" s="22">
        <f t="array" ref="D1106">IF($C1106="","",IFERROR(INDEX(DATA_MASTER!$C$2:$C$5000,MATCH($C1106,DATA_MASTER!$D$2:$D$5000,0)),""))</f>
        <v/>
      </c>
      <c r="E1106" s="22">
        <f t="array" ref="E1106">IF($C1106="","",IFERROR(INDEX(DATA_MASTER!$I$2:$I$5000,MATCH($C1106,DATA_MASTER!$D$2:$D$5000,0)),""))</f>
        <v/>
      </c>
      <c r="F1106" s="22">
        <f t="array" ref="F1106">IF($C1106="","",IFERROR(INDEX(DATA_MASTER!$L$2:$L$5000,MATCH($C1106,DATA_MASTER!$D$2:$D$5000,0)),""))</f>
        <v/>
      </c>
      <c r="G1106" s="24" t="n"/>
      <c r="H1106" s="24" t="n"/>
      <c r="I1106" s="30" t="n"/>
      <c r="J1106" s="23">
        <f>IF(OR($H1106="",$I1106=""),"",$H1106*$I1106)</f>
        <v/>
      </c>
      <c r="K1106" s="24" t="n"/>
      <c r="L1106" s="24" t="n"/>
      <c r="M1106" s="29" t="n"/>
      <c r="N1106" s="28" t="n"/>
      <c r="O1106" s="24" t="n"/>
      <c r="P1106" s="24" t="n"/>
      <c r="Q1106" s="24" t="n"/>
      <c r="R1106" s="24" t="n"/>
      <c r="S1106" s="22">
        <f>IF(AND($A1106="",$C1106=""),"",IF($A1106="","Thiếu mã đơn; ","")&amp;IF(COUNTIF($A$2:$A1106,$A1106)&gt;1,"Trùng mã đơn; ","")&amp;IF(ISNA(MATCH($C1106,DATA_MASTER!$D$2:$D$5000,0)),"SĐT chưa đăng ký hội viên; ","")&amp;IF(AND($L1106="Đã chuyển khoản",$M1106=""),"Thiếu ngày nhận CK; ",""))</f>
        <v/>
      </c>
      <c r="T1106" s="24" t="n"/>
    </row>
    <row r="1107" ht="14.25" customHeight="1" s="40">
      <c r="A1107" s="24" t="n"/>
      <c r="B1107" s="29" t="n"/>
      <c r="C1107" s="28" t="n"/>
      <c r="D1107" s="22">
        <f t="array" ref="D1107">IF($C1107="","",IFERROR(INDEX(DATA_MASTER!$C$2:$C$5000,MATCH($C1107,DATA_MASTER!$D$2:$D$5000,0)),""))</f>
        <v/>
      </c>
      <c r="E1107" s="22">
        <f t="array" ref="E1107">IF($C1107="","",IFERROR(INDEX(DATA_MASTER!$I$2:$I$5000,MATCH($C1107,DATA_MASTER!$D$2:$D$5000,0)),""))</f>
        <v/>
      </c>
      <c r="F1107" s="22">
        <f t="array" ref="F1107">IF($C1107="","",IFERROR(INDEX(DATA_MASTER!$L$2:$L$5000,MATCH($C1107,DATA_MASTER!$D$2:$D$5000,0)),""))</f>
        <v/>
      </c>
      <c r="G1107" s="24" t="n"/>
      <c r="H1107" s="24" t="n"/>
      <c r="I1107" s="30" t="n"/>
      <c r="J1107" s="23">
        <f>IF(OR($H1107="",$I1107=""),"",$H1107*$I1107)</f>
        <v/>
      </c>
      <c r="K1107" s="24" t="n"/>
      <c r="L1107" s="24" t="n"/>
      <c r="M1107" s="29" t="n"/>
      <c r="N1107" s="28" t="n"/>
      <c r="O1107" s="24" t="n"/>
      <c r="P1107" s="24" t="n"/>
      <c r="Q1107" s="24" t="n"/>
      <c r="R1107" s="24" t="n"/>
      <c r="S1107" s="22">
        <f>IF(AND($A1107="",$C1107=""),"",IF($A1107="","Thiếu mã đơn; ","")&amp;IF(COUNTIF($A$2:$A1107,$A1107)&gt;1,"Trùng mã đơn; ","")&amp;IF(ISNA(MATCH($C1107,DATA_MASTER!$D$2:$D$5000,0)),"SĐT chưa đăng ký hội viên; ","")&amp;IF(AND($L1107="Đã chuyển khoản",$M1107=""),"Thiếu ngày nhận CK; ",""))</f>
        <v/>
      </c>
      <c r="T1107" s="24" t="n"/>
    </row>
    <row r="1108" ht="14.25" customHeight="1" s="40">
      <c r="A1108" s="24" t="n"/>
      <c r="B1108" s="29" t="n"/>
      <c r="C1108" s="28" t="n"/>
      <c r="D1108" s="22">
        <f t="array" ref="D1108">IF($C1108="","",IFERROR(INDEX(DATA_MASTER!$C$2:$C$5000,MATCH($C1108,DATA_MASTER!$D$2:$D$5000,0)),""))</f>
        <v/>
      </c>
      <c r="E1108" s="22">
        <f t="array" ref="E1108">IF($C1108="","",IFERROR(INDEX(DATA_MASTER!$I$2:$I$5000,MATCH($C1108,DATA_MASTER!$D$2:$D$5000,0)),""))</f>
        <v/>
      </c>
      <c r="F1108" s="22">
        <f t="array" ref="F1108">IF($C1108="","",IFERROR(INDEX(DATA_MASTER!$L$2:$L$5000,MATCH($C1108,DATA_MASTER!$D$2:$D$5000,0)),""))</f>
        <v/>
      </c>
      <c r="G1108" s="24" t="n"/>
      <c r="H1108" s="24" t="n"/>
      <c r="I1108" s="30" t="n"/>
      <c r="J1108" s="23">
        <f>IF(OR($H1108="",$I1108=""),"",$H1108*$I1108)</f>
        <v/>
      </c>
      <c r="K1108" s="24" t="n"/>
      <c r="L1108" s="24" t="n"/>
      <c r="M1108" s="29" t="n"/>
      <c r="N1108" s="28" t="n"/>
      <c r="O1108" s="24" t="n"/>
      <c r="P1108" s="24" t="n"/>
      <c r="Q1108" s="24" t="n"/>
      <c r="R1108" s="24" t="n"/>
      <c r="S1108" s="22">
        <f>IF(AND($A1108="",$C1108=""),"",IF($A1108="","Thiếu mã đơn; ","")&amp;IF(COUNTIF($A$2:$A1108,$A1108)&gt;1,"Trùng mã đơn; ","")&amp;IF(ISNA(MATCH($C1108,DATA_MASTER!$D$2:$D$5000,0)),"SĐT chưa đăng ký hội viên; ","")&amp;IF(AND($L1108="Đã chuyển khoản",$M1108=""),"Thiếu ngày nhận CK; ",""))</f>
        <v/>
      </c>
      <c r="T1108" s="24" t="n"/>
    </row>
    <row r="1109" ht="14.25" customHeight="1" s="40">
      <c r="A1109" s="24" t="n"/>
      <c r="B1109" s="29" t="n"/>
      <c r="C1109" s="28" t="n"/>
      <c r="D1109" s="22">
        <f t="array" ref="D1109">IF($C1109="","",IFERROR(INDEX(DATA_MASTER!$C$2:$C$5000,MATCH($C1109,DATA_MASTER!$D$2:$D$5000,0)),""))</f>
        <v/>
      </c>
      <c r="E1109" s="22">
        <f t="array" ref="E1109">IF($C1109="","",IFERROR(INDEX(DATA_MASTER!$I$2:$I$5000,MATCH($C1109,DATA_MASTER!$D$2:$D$5000,0)),""))</f>
        <v/>
      </c>
      <c r="F1109" s="22">
        <f t="array" ref="F1109">IF($C1109="","",IFERROR(INDEX(DATA_MASTER!$L$2:$L$5000,MATCH($C1109,DATA_MASTER!$D$2:$D$5000,0)),""))</f>
        <v/>
      </c>
      <c r="G1109" s="24" t="n"/>
      <c r="H1109" s="24" t="n"/>
      <c r="I1109" s="30" t="n"/>
      <c r="J1109" s="23">
        <f>IF(OR($H1109="",$I1109=""),"",$H1109*$I1109)</f>
        <v/>
      </c>
      <c r="K1109" s="24" t="n"/>
      <c r="L1109" s="24" t="n"/>
      <c r="M1109" s="29" t="n"/>
      <c r="N1109" s="28" t="n"/>
      <c r="O1109" s="24" t="n"/>
      <c r="P1109" s="24" t="n"/>
      <c r="Q1109" s="24" t="n"/>
      <c r="R1109" s="24" t="n"/>
      <c r="S1109" s="22">
        <f>IF(AND($A1109="",$C1109=""),"",IF($A1109="","Thiếu mã đơn; ","")&amp;IF(COUNTIF($A$2:$A1109,$A1109)&gt;1,"Trùng mã đơn; ","")&amp;IF(ISNA(MATCH($C1109,DATA_MASTER!$D$2:$D$5000,0)),"SĐT chưa đăng ký hội viên; ","")&amp;IF(AND($L1109="Đã chuyển khoản",$M1109=""),"Thiếu ngày nhận CK; ",""))</f>
        <v/>
      </c>
      <c r="T1109" s="24" t="n"/>
    </row>
    <row r="1110" ht="14.25" customHeight="1" s="40">
      <c r="A1110" s="24" t="n"/>
      <c r="B1110" s="29" t="n"/>
      <c r="C1110" s="28" t="n"/>
      <c r="D1110" s="22">
        <f t="array" ref="D1110">IF($C1110="","",IFERROR(INDEX(DATA_MASTER!$C$2:$C$5000,MATCH($C1110,DATA_MASTER!$D$2:$D$5000,0)),""))</f>
        <v/>
      </c>
      <c r="E1110" s="22">
        <f t="array" ref="E1110">IF($C1110="","",IFERROR(INDEX(DATA_MASTER!$I$2:$I$5000,MATCH($C1110,DATA_MASTER!$D$2:$D$5000,0)),""))</f>
        <v/>
      </c>
      <c r="F1110" s="22">
        <f t="array" ref="F1110">IF($C1110="","",IFERROR(INDEX(DATA_MASTER!$L$2:$L$5000,MATCH($C1110,DATA_MASTER!$D$2:$D$5000,0)),""))</f>
        <v/>
      </c>
      <c r="G1110" s="24" t="n"/>
      <c r="H1110" s="24" t="n"/>
      <c r="I1110" s="30" t="n"/>
      <c r="J1110" s="23">
        <f>IF(OR($H1110="",$I1110=""),"",$H1110*$I1110)</f>
        <v/>
      </c>
      <c r="K1110" s="24" t="n"/>
      <c r="L1110" s="24" t="n"/>
      <c r="M1110" s="29" t="n"/>
      <c r="N1110" s="28" t="n"/>
      <c r="O1110" s="24" t="n"/>
      <c r="P1110" s="24" t="n"/>
      <c r="Q1110" s="24" t="n"/>
      <c r="R1110" s="24" t="n"/>
      <c r="S1110" s="22">
        <f>IF(AND($A1110="",$C1110=""),"",IF($A1110="","Thiếu mã đơn; ","")&amp;IF(COUNTIF($A$2:$A1110,$A1110)&gt;1,"Trùng mã đơn; ","")&amp;IF(ISNA(MATCH($C1110,DATA_MASTER!$D$2:$D$5000,0)),"SĐT chưa đăng ký hội viên; ","")&amp;IF(AND($L1110="Đã chuyển khoản",$M1110=""),"Thiếu ngày nhận CK; ",""))</f>
        <v/>
      </c>
      <c r="T1110" s="24" t="n"/>
    </row>
    <row r="1111" ht="14.25" customHeight="1" s="40">
      <c r="A1111" s="24" t="n"/>
      <c r="B1111" s="29" t="n"/>
      <c r="C1111" s="28" t="n"/>
      <c r="D1111" s="22">
        <f t="array" ref="D1111">IF($C1111="","",IFERROR(INDEX(DATA_MASTER!$C$2:$C$5000,MATCH($C1111,DATA_MASTER!$D$2:$D$5000,0)),""))</f>
        <v/>
      </c>
      <c r="E1111" s="22">
        <f t="array" ref="E1111">IF($C1111="","",IFERROR(INDEX(DATA_MASTER!$I$2:$I$5000,MATCH($C1111,DATA_MASTER!$D$2:$D$5000,0)),""))</f>
        <v/>
      </c>
      <c r="F1111" s="22">
        <f t="array" ref="F1111">IF($C1111="","",IFERROR(INDEX(DATA_MASTER!$L$2:$L$5000,MATCH($C1111,DATA_MASTER!$D$2:$D$5000,0)),""))</f>
        <v/>
      </c>
      <c r="G1111" s="24" t="n"/>
      <c r="H1111" s="24" t="n"/>
      <c r="I1111" s="30" t="n"/>
      <c r="J1111" s="23">
        <f>IF(OR($H1111="",$I1111=""),"",$H1111*$I1111)</f>
        <v/>
      </c>
      <c r="K1111" s="24" t="n"/>
      <c r="L1111" s="24" t="n"/>
      <c r="M1111" s="29" t="n"/>
      <c r="N1111" s="28" t="n"/>
      <c r="O1111" s="24" t="n"/>
      <c r="P1111" s="24" t="n"/>
      <c r="Q1111" s="24" t="n"/>
      <c r="R1111" s="24" t="n"/>
      <c r="S1111" s="22">
        <f>IF(AND($A1111="",$C1111=""),"",IF($A1111="","Thiếu mã đơn; ","")&amp;IF(COUNTIF($A$2:$A1111,$A1111)&gt;1,"Trùng mã đơn; ","")&amp;IF(ISNA(MATCH($C1111,DATA_MASTER!$D$2:$D$5000,0)),"SĐT chưa đăng ký hội viên; ","")&amp;IF(AND($L1111="Đã chuyển khoản",$M1111=""),"Thiếu ngày nhận CK; ",""))</f>
        <v/>
      </c>
      <c r="T1111" s="24" t="n"/>
    </row>
    <row r="1112" ht="14.25" customHeight="1" s="40">
      <c r="A1112" s="24" t="n"/>
      <c r="B1112" s="29" t="n"/>
      <c r="C1112" s="28" t="n"/>
      <c r="D1112" s="22">
        <f t="array" ref="D1112">IF($C1112="","",IFERROR(INDEX(DATA_MASTER!$C$2:$C$5000,MATCH($C1112,DATA_MASTER!$D$2:$D$5000,0)),""))</f>
        <v/>
      </c>
      <c r="E1112" s="22">
        <f t="array" ref="E1112">IF($C1112="","",IFERROR(INDEX(DATA_MASTER!$I$2:$I$5000,MATCH($C1112,DATA_MASTER!$D$2:$D$5000,0)),""))</f>
        <v/>
      </c>
      <c r="F1112" s="22">
        <f t="array" ref="F1112">IF($C1112="","",IFERROR(INDEX(DATA_MASTER!$L$2:$L$5000,MATCH($C1112,DATA_MASTER!$D$2:$D$5000,0)),""))</f>
        <v/>
      </c>
      <c r="G1112" s="24" t="n"/>
      <c r="H1112" s="24" t="n"/>
      <c r="I1112" s="30" t="n"/>
      <c r="J1112" s="23">
        <f>IF(OR($H1112="",$I1112=""),"",$H1112*$I1112)</f>
        <v/>
      </c>
      <c r="K1112" s="24" t="n"/>
      <c r="L1112" s="24" t="n"/>
      <c r="M1112" s="29" t="n"/>
      <c r="N1112" s="28" t="n"/>
      <c r="O1112" s="24" t="n"/>
      <c r="P1112" s="24" t="n"/>
      <c r="Q1112" s="24" t="n"/>
      <c r="R1112" s="24" t="n"/>
      <c r="S1112" s="22">
        <f>IF(AND($A1112="",$C1112=""),"",IF($A1112="","Thiếu mã đơn; ","")&amp;IF(COUNTIF($A$2:$A1112,$A1112)&gt;1,"Trùng mã đơn; ","")&amp;IF(ISNA(MATCH($C1112,DATA_MASTER!$D$2:$D$5000,0)),"SĐT chưa đăng ký hội viên; ","")&amp;IF(AND($L1112="Đã chuyển khoản",$M1112=""),"Thiếu ngày nhận CK; ",""))</f>
        <v/>
      </c>
      <c r="T1112" s="24" t="n"/>
    </row>
    <row r="1113" ht="14.25" customHeight="1" s="40">
      <c r="A1113" s="24" t="n"/>
      <c r="B1113" s="29" t="n"/>
      <c r="C1113" s="28" t="n"/>
      <c r="D1113" s="22">
        <f t="array" ref="D1113">IF($C1113="","",IFERROR(INDEX(DATA_MASTER!$C$2:$C$5000,MATCH($C1113,DATA_MASTER!$D$2:$D$5000,0)),""))</f>
        <v/>
      </c>
      <c r="E1113" s="22">
        <f t="array" ref="E1113">IF($C1113="","",IFERROR(INDEX(DATA_MASTER!$I$2:$I$5000,MATCH($C1113,DATA_MASTER!$D$2:$D$5000,0)),""))</f>
        <v/>
      </c>
      <c r="F1113" s="22">
        <f t="array" ref="F1113">IF($C1113="","",IFERROR(INDEX(DATA_MASTER!$L$2:$L$5000,MATCH($C1113,DATA_MASTER!$D$2:$D$5000,0)),""))</f>
        <v/>
      </c>
      <c r="G1113" s="24" t="n"/>
      <c r="H1113" s="24" t="n"/>
      <c r="I1113" s="30" t="n"/>
      <c r="J1113" s="23">
        <f>IF(OR($H1113="",$I1113=""),"",$H1113*$I1113)</f>
        <v/>
      </c>
      <c r="K1113" s="24" t="n"/>
      <c r="L1113" s="24" t="n"/>
      <c r="M1113" s="29" t="n"/>
      <c r="N1113" s="28" t="n"/>
      <c r="O1113" s="24" t="n"/>
      <c r="P1113" s="24" t="n"/>
      <c r="Q1113" s="24" t="n"/>
      <c r="R1113" s="24" t="n"/>
      <c r="S1113" s="22">
        <f>IF(AND($A1113="",$C1113=""),"",IF($A1113="","Thiếu mã đơn; ","")&amp;IF(COUNTIF($A$2:$A1113,$A1113)&gt;1,"Trùng mã đơn; ","")&amp;IF(ISNA(MATCH($C1113,DATA_MASTER!$D$2:$D$5000,0)),"SĐT chưa đăng ký hội viên; ","")&amp;IF(AND($L1113="Đã chuyển khoản",$M1113=""),"Thiếu ngày nhận CK; ",""))</f>
        <v/>
      </c>
      <c r="T1113" s="24" t="n"/>
    </row>
    <row r="1114" ht="14.25" customHeight="1" s="40">
      <c r="A1114" s="24" t="n"/>
      <c r="B1114" s="29" t="n"/>
      <c r="C1114" s="28" t="n"/>
      <c r="D1114" s="22">
        <f t="array" ref="D1114">IF($C1114="","",IFERROR(INDEX(DATA_MASTER!$C$2:$C$5000,MATCH($C1114,DATA_MASTER!$D$2:$D$5000,0)),""))</f>
        <v/>
      </c>
      <c r="E1114" s="22">
        <f t="array" ref="E1114">IF($C1114="","",IFERROR(INDEX(DATA_MASTER!$I$2:$I$5000,MATCH($C1114,DATA_MASTER!$D$2:$D$5000,0)),""))</f>
        <v/>
      </c>
      <c r="F1114" s="22">
        <f t="array" ref="F1114">IF($C1114="","",IFERROR(INDEX(DATA_MASTER!$L$2:$L$5000,MATCH($C1114,DATA_MASTER!$D$2:$D$5000,0)),""))</f>
        <v/>
      </c>
      <c r="G1114" s="24" t="n"/>
      <c r="H1114" s="24" t="n"/>
      <c r="I1114" s="30" t="n"/>
      <c r="J1114" s="23">
        <f>IF(OR($H1114="",$I1114=""),"",$H1114*$I1114)</f>
        <v/>
      </c>
      <c r="K1114" s="24" t="n"/>
      <c r="L1114" s="24" t="n"/>
      <c r="M1114" s="29" t="n"/>
      <c r="N1114" s="28" t="n"/>
      <c r="O1114" s="24" t="n"/>
      <c r="P1114" s="24" t="n"/>
      <c r="Q1114" s="24" t="n"/>
      <c r="R1114" s="24" t="n"/>
      <c r="S1114" s="22">
        <f>IF(AND($A1114="",$C1114=""),"",IF($A1114="","Thiếu mã đơn; ","")&amp;IF(COUNTIF($A$2:$A1114,$A1114)&gt;1,"Trùng mã đơn; ","")&amp;IF(ISNA(MATCH($C1114,DATA_MASTER!$D$2:$D$5000,0)),"SĐT chưa đăng ký hội viên; ","")&amp;IF(AND($L1114="Đã chuyển khoản",$M1114=""),"Thiếu ngày nhận CK; ",""))</f>
        <v/>
      </c>
      <c r="T1114" s="24" t="n"/>
    </row>
    <row r="1115" ht="14.25" customHeight="1" s="40">
      <c r="A1115" s="24" t="n"/>
      <c r="B1115" s="29" t="n"/>
      <c r="C1115" s="28" t="n"/>
      <c r="D1115" s="22">
        <f t="array" ref="D1115">IF($C1115="","",IFERROR(INDEX(DATA_MASTER!$C$2:$C$5000,MATCH($C1115,DATA_MASTER!$D$2:$D$5000,0)),""))</f>
        <v/>
      </c>
      <c r="E1115" s="22">
        <f t="array" ref="E1115">IF($C1115="","",IFERROR(INDEX(DATA_MASTER!$I$2:$I$5000,MATCH($C1115,DATA_MASTER!$D$2:$D$5000,0)),""))</f>
        <v/>
      </c>
      <c r="F1115" s="22">
        <f t="array" ref="F1115">IF($C1115="","",IFERROR(INDEX(DATA_MASTER!$L$2:$L$5000,MATCH($C1115,DATA_MASTER!$D$2:$D$5000,0)),""))</f>
        <v/>
      </c>
      <c r="G1115" s="24" t="n"/>
      <c r="H1115" s="24" t="n"/>
      <c r="I1115" s="30" t="n"/>
      <c r="J1115" s="23">
        <f>IF(OR($H1115="",$I1115=""),"",$H1115*$I1115)</f>
        <v/>
      </c>
      <c r="K1115" s="24" t="n"/>
      <c r="L1115" s="24" t="n"/>
      <c r="M1115" s="29" t="n"/>
      <c r="N1115" s="28" t="n"/>
      <c r="O1115" s="24" t="n"/>
      <c r="P1115" s="24" t="n"/>
      <c r="Q1115" s="24" t="n"/>
      <c r="R1115" s="24" t="n"/>
      <c r="S1115" s="22">
        <f>IF(AND($A1115="",$C1115=""),"",IF($A1115="","Thiếu mã đơn; ","")&amp;IF(COUNTIF($A$2:$A1115,$A1115)&gt;1,"Trùng mã đơn; ","")&amp;IF(ISNA(MATCH($C1115,DATA_MASTER!$D$2:$D$5000,0)),"SĐT chưa đăng ký hội viên; ","")&amp;IF(AND($L1115="Đã chuyển khoản",$M1115=""),"Thiếu ngày nhận CK; ",""))</f>
        <v/>
      </c>
      <c r="T1115" s="24" t="n"/>
    </row>
    <row r="1116" ht="14.25" customHeight="1" s="40">
      <c r="A1116" s="24" t="n"/>
      <c r="B1116" s="29" t="n"/>
      <c r="C1116" s="28" t="n"/>
      <c r="D1116" s="22">
        <f t="array" ref="D1116">IF($C1116="","",IFERROR(INDEX(DATA_MASTER!$C$2:$C$5000,MATCH($C1116,DATA_MASTER!$D$2:$D$5000,0)),""))</f>
        <v/>
      </c>
      <c r="E1116" s="22">
        <f t="array" ref="E1116">IF($C1116="","",IFERROR(INDEX(DATA_MASTER!$I$2:$I$5000,MATCH($C1116,DATA_MASTER!$D$2:$D$5000,0)),""))</f>
        <v/>
      </c>
      <c r="F1116" s="22">
        <f t="array" ref="F1116">IF($C1116="","",IFERROR(INDEX(DATA_MASTER!$L$2:$L$5000,MATCH($C1116,DATA_MASTER!$D$2:$D$5000,0)),""))</f>
        <v/>
      </c>
      <c r="G1116" s="24" t="n"/>
      <c r="H1116" s="24" t="n"/>
      <c r="I1116" s="30" t="n"/>
      <c r="J1116" s="23">
        <f>IF(OR($H1116="",$I1116=""),"",$H1116*$I1116)</f>
        <v/>
      </c>
      <c r="K1116" s="24" t="n"/>
      <c r="L1116" s="24" t="n"/>
      <c r="M1116" s="29" t="n"/>
      <c r="N1116" s="28" t="n"/>
      <c r="O1116" s="24" t="n"/>
      <c r="P1116" s="24" t="n"/>
      <c r="Q1116" s="24" t="n"/>
      <c r="R1116" s="24" t="n"/>
      <c r="S1116" s="22">
        <f>IF(AND($A1116="",$C1116=""),"",IF($A1116="","Thiếu mã đơn; ","")&amp;IF(COUNTIF($A$2:$A1116,$A1116)&gt;1,"Trùng mã đơn; ","")&amp;IF(ISNA(MATCH($C1116,DATA_MASTER!$D$2:$D$5000,0)),"SĐT chưa đăng ký hội viên; ","")&amp;IF(AND($L1116="Đã chuyển khoản",$M1116=""),"Thiếu ngày nhận CK; ",""))</f>
        <v/>
      </c>
      <c r="T1116" s="24" t="n"/>
    </row>
    <row r="1117" ht="14.25" customHeight="1" s="40">
      <c r="A1117" s="24" t="n"/>
      <c r="B1117" s="29" t="n"/>
      <c r="C1117" s="28" t="n"/>
      <c r="D1117" s="22">
        <f t="array" ref="D1117">IF($C1117="","",IFERROR(INDEX(DATA_MASTER!$C$2:$C$5000,MATCH($C1117,DATA_MASTER!$D$2:$D$5000,0)),""))</f>
        <v/>
      </c>
      <c r="E1117" s="22">
        <f t="array" ref="E1117">IF($C1117="","",IFERROR(INDEX(DATA_MASTER!$I$2:$I$5000,MATCH($C1117,DATA_MASTER!$D$2:$D$5000,0)),""))</f>
        <v/>
      </c>
      <c r="F1117" s="22">
        <f t="array" ref="F1117">IF($C1117="","",IFERROR(INDEX(DATA_MASTER!$L$2:$L$5000,MATCH($C1117,DATA_MASTER!$D$2:$D$5000,0)),""))</f>
        <v/>
      </c>
      <c r="G1117" s="24" t="n"/>
      <c r="H1117" s="24" t="n"/>
      <c r="I1117" s="30" t="n"/>
      <c r="J1117" s="23">
        <f>IF(OR($H1117="",$I1117=""),"",$H1117*$I1117)</f>
        <v/>
      </c>
      <c r="K1117" s="24" t="n"/>
      <c r="L1117" s="24" t="n"/>
      <c r="M1117" s="29" t="n"/>
      <c r="N1117" s="28" t="n"/>
      <c r="O1117" s="24" t="n"/>
      <c r="P1117" s="24" t="n"/>
      <c r="Q1117" s="24" t="n"/>
      <c r="R1117" s="24" t="n"/>
      <c r="S1117" s="22">
        <f>IF(AND($A1117="",$C1117=""),"",IF($A1117="","Thiếu mã đơn; ","")&amp;IF(COUNTIF($A$2:$A1117,$A1117)&gt;1,"Trùng mã đơn; ","")&amp;IF(ISNA(MATCH($C1117,DATA_MASTER!$D$2:$D$5000,0)),"SĐT chưa đăng ký hội viên; ","")&amp;IF(AND($L1117="Đã chuyển khoản",$M1117=""),"Thiếu ngày nhận CK; ",""))</f>
        <v/>
      </c>
      <c r="T1117" s="24" t="n"/>
    </row>
    <row r="1118" ht="14.25" customHeight="1" s="40">
      <c r="A1118" s="24" t="n"/>
      <c r="B1118" s="29" t="n"/>
      <c r="C1118" s="28" t="n"/>
      <c r="D1118" s="22">
        <f t="array" ref="D1118">IF($C1118="","",IFERROR(INDEX(DATA_MASTER!$C$2:$C$5000,MATCH($C1118,DATA_MASTER!$D$2:$D$5000,0)),""))</f>
        <v/>
      </c>
      <c r="E1118" s="22">
        <f t="array" ref="E1118">IF($C1118="","",IFERROR(INDEX(DATA_MASTER!$I$2:$I$5000,MATCH($C1118,DATA_MASTER!$D$2:$D$5000,0)),""))</f>
        <v/>
      </c>
      <c r="F1118" s="22">
        <f t="array" ref="F1118">IF($C1118="","",IFERROR(INDEX(DATA_MASTER!$L$2:$L$5000,MATCH($C1118,DATA_MASTER!$D$2:$D$5000,0)),""))</f>
        <v/>
      </c>
      <c r="G1118" s="24" t="n"/>
      <c r="H1118" s="24" t="n"/>
      <c r="I1118" s="30" t="n"/>
      <c r="J1118" s="23">
        <f>IF(OR($H1118="",$I1118=""),"",$H1118*$I1118)</f>
        <v/>
      </c>
      <c r="K1118" s="24" t="n"/>
      <c r="L1118" s="24" t="n"/>
      <c r="M1118" s="29" t="n"/>
      <c r="N1118" s="28" t="n"/>
      <c r="O1118" s="24" t="n"/>
      <c r="P1118" s="24" t="n"/>
      <c r="Q1118" s="24" t="n"/>
      <c r="R1118" s="24" t="n"/>
      <c r="S1118" s="22">
        <f>IF(AND($A1118="",$C1118=""),"",IF($A1118="","Thiếu mã đơn; ","")&amp;IF(COUNTIF($A$2:$A1118,$A1118)&gt;1,"Trùng mã đơn; ","")&amp;IF(ISNA(MATCH($C1118,DATA_MASTER!$D$2:$D$5000,0)),"SĐT chưa đăng ký hội viên; ","")&amp;IF(AND($L1118="Đã chuyển khoản",$M1118=""),"Thiếu ngày nhận CK; ",""))</f>
        <v/>
      </c>
      <c r="T1118" s="24" t="n"/>
    </row>
    <row r="1119" ht="14.25" customHeight="1" s="40">
      <c r="A1119" s="24" t="n"/>
      <c r="B1119" s="29" t="n"/>
      <c r="C1119" s="28" t="n"/>
      <c r="D1119" s="22">
        <f t="array" ref="D1119">IF($C1119="","",IFERROR(INDEX(DATA_MASTER!$C$2:$C$5000,MATCH($C1119,DATA_MASTER!$D$2:$D$5000,0)),""))</f>
        <v/>
      </c>
      <c r="E1119" s="22">
        <f t="array" ref="E1119">IF($C1119="","",IFERROR(INDEX(DATA_MASTER!$I$2:$I$5000,MATCH($C1119,DATA_MASTER!$D$2:$D$5000,0)),""))</f>
        <v/>
      </c>
      <c r="F1119" s="22">
        <f t="array" ref="F1119">IF($C1119="","",IFERROR(INDEX(DATA_MASTER!$L$2:$L$5000,MATCH($C1119,DATA_MASTER!$D$2:$D$5000,0)),""))</f>
        <v/>
      </c>
      <c r="G1119" s="24" t="n"/>
      <c r="H1119" s="24" t="n"/>
      <c r="I1119" s="30" t="n"/>
      <c r="J1119" s="23">
        <f>IF(OR($H1119="",$I1119=""),"",$H1119*$I1119)</f>
        <v/>
      </c>
      <c r="K1119" s="24" t="n"/>
      <c r="L1119" s="24" t="n"/>
      <c r="M1119" s="29" t="n"/>
      <c r="N1119" s="28" t="n"/>
      <c r="O1119" s="24" t="n"/>
      <c r="P1119" s="24" t="n"/>
      <c r="Q1119" s="24" t="n"/>
      <c r="R1119" s="24" t="n"/>
      <c r="S1119" s="22">
        <f>IF(AND($A1119="",$C1119=""),"",IF($A1119="","Thiếu mã đơn; ","")&amp;IF(COUNTIF($A$2:$A1119,$A1119)&gt;1,"Trùng mã đơn; ","")&amp;IF(ISNA(MATCH($C1119,DATA_MASTER!$D$2:$D$5000,0)),"SĐT chưa đăng ký hội viên; ","")&amp;IF(AND($L1119="Đã chuyển khoản",$M1119=""),"Thiếu ngày nhận CK; ",""))</f>
        <v/>
      </c>
      <c r="T1119" s="24" t="n"/>
    </row>
    <row r="1120" ht="14.25" customHeight="1" s="40">
      <c r="A1120" s="24" t="n"/>
      <c r="B1120" s="29" t="n"/>
      <c r="C1120" s="28" t="n"/>
      <c r="D1120" s="22">
        <f t="array" ref="D1120">IF($C1120="","",IFERROR(INDEX(DATA_MASTER!$C$2:$C$5000,MATCH($C1120,DATA_MASTER!$D$2:$D$5000,0)),""))</f>
        <v/>
      </c>
      <c r="E1120" s="22">
        <f t="array" ref="E1120">IF($C1120="","",IFERROR(INDEX(DATA_MASTER!$I$2:$I$5000,MATCH($C1120,DATA_MASTER!$D$2:$D$5000,0)),""))</f>
        <v/>
      </c>
      <c r="F1120" s="22">
        <f t="array" ref="F1120">IF($C1120="","",IFERROR(INDEX(DATA_MASTER!$L$2:$L$5000,MATCH($C1120,DATA_MASTER!$D$2:$D$5000,0)),""))</f>
        <v/>
      </c>
      <c r="G1120" s="24" t="n"/>
      <c r="H1120" s="24" t="n"/>
      <c r="I1120" s="30" t="n"/>
      <c r="J1120" s="23">
        <f>IF(OR($H1120="",$I1120=""),"",$H1120*$I1120)</f>
        <v/>
      </c>
      <c r="K1120" s="24" t="n"/>
      <c r="L1120" s="24" t="n"/>
      <c r="M1120" s="29" t="n"/>
      <c r="N1120" s="28" t="n"/>
      <c r="O1120" s="24" t="n"/>
      <c r="P1120" s="24" t="n"/>
      <c r="Q1120" s="24" t="n"/>
      <c r="R1120" s="24" t="n"/>
      <c r="S1120" s="22">
        <f>IF(AND($A1120="",$C1120=""),"",IF($A1120="","Thiếu mã đơn; ","")&amp;IF(COUNTIF($A$2:$A1120,$A1120)&gt;1,"Trùng mã đơn; ","")&amp;IF(ISNA(MATCH($C1120,DATA_MASTER!$D$2:$D$5000,0)),"SĐT chưa đăng ký hội viên; ","")&amp;IF(AND($L1120="Đã chuyển khoản",$M1120=""),"Thiếu ngày nhận CK; ",""))</f>
        <v/>
      </c>
      <c r="T1120" s="24" t="n"/>
    </row>
    <row r="1121" ht="14.25" customHeight="1" s="40">
      <c r="A1121" s="24" t="n"/>
      <c r="B1121" s="29" t="n"/>
      <c r="C1121" s="28" t="n"/>
      <c r="D1121" s="22">
        <f t="array" ref="D1121">IF($C1121="","",IFERROR(INDEX(DATA_MASTER!$C$2:$C$5000,MATCH($C1121,DATA_MASTER!$D$2:$D$5000,0)),""))</f>
        <v/>
      </c>
      <c r="E1121" s="22">
        <f t="array" ref="E1121">IF($C1121="","",IFERROR(INDEX(DATA_MASTER!$I$2:$I$5000,MATCH($C1121,DATA_MASTER!$D$2:$D$5000,0)),""))</f>
        <v/>
      </c>
      <c r="F1121" s="22">
        <f t="array" ref="F1121">IF($C1121="","",IFERROR(INDEX(DATA_MASTER!$L$2:$L$5000,MATCH($C1121,DATA_MASTER!$D$2:$D$5000,0)),""))</f>
        <v/>
      </c>
      <c r="G1121" s="24" t="n"/>
      <c r="H1121" s="24" t="n"/>
      <c r="I1121" s="30" t="n"/>
      <c r="J1121" s="23">
        <f>IF(OR($H1121="",$I1121=""),"",$H1121*$I1121)</f>
        <v/>
      </c>
      <c r="K1121" s="24" t="n"/>
      <c r="L1121" s="24" t="n"/>
      <c r="M1121" s="29" t="n"/>
      <c r="N1121" s="28" t="n"/>
      <c r="O1121" s="24" t="n"/>
      <c r="P1121" s="24" t="n"/>
      <c r="Q1121" s="24" t="n"/>
      <c r="R1121" s="24" t="n"/>
      <c r="S1121" s="22">
        <f>IF(AND($A1121="",$C1121=""),"",IF($A1121="","Thiếu mã đơn; ","")&amp;IF(COUNTIF($A$2:$A1121,$A1121)&gt;1,"Trùng mã đơn; ","")&amp;IF(ISNA(MATCH($C1121,DATA_MASTER!$D$2:$D$5000,0)),"SĐT chưa đăng ký hội viên; ","")&amp;IF(AND($L1121="Đã chuyển khoản",$M1121=""),"Thiếu ngày nhận CK; ",""))</f>
        <v/>
      </c>
      <c r="T1121" s="24" t="n"/>
    </row>
    <row r="1122" ht="14.25" customHeight="1" s="40">
      <c r="A1122" s="24" t="n"/>
      <c r="B1122" s="29" t="n"/>
      <c r="C1122" s="28" t="n"/>
      <c r="D1122" s="22">
        <f t="array" ref="D1122">IF($C1122="","",IFERROR(INDEX(DATA_MASTER!$C$2:$C$5000,MATCH($C1122,DATA_MASTER!$D$2:$D$5000,0)),""))</f>
        <v/>
      </c>
      <c r="E1122" s="22">
        <f t="array" ref="E1122">IF($C1122="","",IFERROR(INDEX(DATA_MASTER!$I$2:$I$5000,MATCH($C1122,DATA_MASTER!$D$2:$D$5000,0)),""))</f>
        <v/>
      </c>
      <c r="F1122" s="22">
        <f t="array" ref="F1122">IF($C1122="","",IFERROR(INDEX(DATA_MASTER!$L$2:$L$5000,MATCH($C1122,DATA_MASTER!$D$2:$D$5000,0)),""))</f>
        <v/>
      </c>
      <c r="G1122" s="24" t="n"/>
      <c r="H1122" s="24" t="n"/>
      <c r="I1122" s="30" t="n"/>
      <c r="J1122" s="23">
        <f>IF(OR($H1122="",$I1122=""),"",$H1122*$I1122)</f>
        <v/>
      </c>
      <c r="K1122" s="24" t="n"/>
      <c r="L1122" s="24" t="n"/>
      <c r="M1122" s="29" t="n"/>
      <c r="N1122" s="28" t="n"/>
      <c r="O1122" s="24" t="n"/>
      <c r="P1122" s="24" t="n"/>
      <c r="Q1122" s="24" t="n"/>
      <c r="R1122" s="24" t="n"/>
      <c r="S1122" s="22">
        <f>IF(AND($A1122="",$C1122=""),"",IF($A1122="","Thiếu mã đơn; ","")&amp;IF(COUNTIF($A$2:$A1122,$A1122)&gt;1,"Trùng mã đơn; ","")&amp;IF(ISNA(MATCH($C1122,DATA_MASTER!$D$2:$D$5000,0)),"SĐT chưa đăng ký hội viên; ","")&amp;IF(AND($L1122="Đã chuyển khoản",$M1122=""),"Thiếu ngày nhận CK; ",""))</f>
        <v/>
      </c>
      <c r="T1122" s="24" t="n"/>
    </row>
    <row r="1123" ht="14.25" customHeight="1" s="40">
      <c r="A1123" s="24" t="n"/>
      <c r="B1123" s="29" t="n"/>
      <c r="C1123" s="28" t="n"/>
      <c r="D1123" s="22">
        <f t="array" ref="D1123">IF($C1123="","",IFERROR(INDEX(DATA_MASTER!$C$2:$C$5000,MATCH($C1123,DATA_MASTER!$D$2:$D$5000,0)),""))</f>
        <v/>
      </c>
      <c r="E1123" s="22">
        <f t="array" ref="E1123">IF($C1123="","",IFERROR(INDEX(DATA_MASTER!$I$2:$I$5000,MATCH($C1123,DATA_MASTER!$D$2:$D$5000,0)),""))</f>
        <v/>
      </c>
      <c r="F1123" s="22">
        <f t="array" ref="F1123">IF($C1123="","",IFERROR(INDEX(DATA_MASTER!$L$2:$L$5000,MATCH($C1123,DATA_MASTER!$D$2:$D$5000,0)),""))</f>
        <v/>
      </c>
      <c r="G1123" s="24" t="n"/>
      <c r="H1123" s="24" t="n"/>
      <c r="I1123" s="30" t="n"/>
      <c r="J1123" s="23">
        <f>IF(OR($H1123="",$I1123=""),"",$H1123*$I1123)</f>
        <v/>
      </c>
      <c r="K1123" s="24" t="n"/>
      <c r="L1123" s="24" t="n"/>
      <c r="M1123" s="29" t="n"/>
      <c r="N1123" s="28" t="n"/>
      <c r="O1123" s="24" t="n"/>
      <c r="P1123" s="24" t="n"/>
      <c r="Q1123" s="24" t="n"/>
      <c r="R1123" s="24" t="n"/>
      <c r="S1123" s="22">
        <f>IF(AND($A1123="",$C1123=""),"",IF($A1123="","Thiếu mã đơn; ","")&amp;IF(COUNTIF($A$2:$A1123,$A1123)&gt;1,"Trùng mã đơn; ","")&amp;IF(ISNA(MATCH($C1123,DATA_MASTER!$D$2:$D$5000,0)),"SĐT chưa đăng ký hội viên; ","")&amp;IF(AND($L1123="Đã chuyển khoản",$M1123=""),"Thiếu ngày nhận CK; ",""))</f>
        <v/>
      </c>
      <c r="T1123" s="24" t="n"/>
    </row>
    <row r="1124" ht="14.25" customHeight="1" s="40">
      <c r="A1124" s="24" t="n"/>
      <c r="B1124" s="29" t="n"/>
      <c r="C1124" s="28" t="n"/>
      <c r="D1124" s="22">
        <f t="array" ref="D1124">IF($C1124="","",IFERROR(INDEX(DATA_MASTER!$C$2:$C$5000,MATCH($C1124,DATA_MASTER!$D$2:$D$5000,0)),""))</f>
        <v/>
      </c>
      <c r="E1124" s="22">
        <f t="array" ref="E1124">IF($C1124="","",IFERROR(INDEX(DATA_MASTER!$I$2:$I$5000,MATCH($C1124,DATA_MASTER!$D$2:$D$5000,0)),""))</f>
        <v/>
      </c>
      <c r="F1124" s="22">
        <f t="array" ref="F1124">IF($C1124="","",IFERROR(INDEX(DATA_MASTER!$L$2:$L$5000,MATCH($C1124,DATA_MASTER!$D$2:$D$5000,0)),""))</f>
        <v/>
      </c>
      <c r="G1124" s="24" t="n"/>
      <c r="H1124" s="24" t="n"/>
      <c r="I1124" s="30" t="n"/>
      <c r="J1124" s="23">
        <f>IF(OR($H1124="",$I1124=""),"",$H1124*$I1124)</f>
        <v/>
      </c>
      <c r="K1124" s="24" t="n"/>
      <c r="L1124" s="24" t="n"/>
      <c r="M1124" s="29" t="n"/>
      <c r="N1124" s="28" t="n"/>
      <c r="O1124" s="24" t="n"/>
      <c r="P1124" s="24" t="n"/>
      <c r="Q1124" s="24" t="n"/>
      <c r="R1124" s="24" t="n"/>
      <c r="S1124" s="22">
        <f>IF(AND($A1124="",$C1124=""),"",IF($A1124="","Thiếu mã đơn; ","")&amp;IF(COUNTIF($A$2:$A1124,$A1124)&gt;1,"Trùng mã đơn; ","")&amp;IF(ISNA(MATCH($C1124,DATA_MASTER!$D$2:$D$5000,0)),"SĐT chưa đăng ký hội viên; ","")&amp;IF(AND($L1124="Đã chuyển khoản",$M1124=""),"Thiếu ngày nhận CK; ",""))</f>
        <v/>
      </c>
      <c r="T1124" s="24" t="n"/>
    </row>
    <row r="1125" ht="14.25" customHeight="1" s="40">
      <c r="A1125" s="24" t="n"/>
      <c r="B1125" s="29" t="n"/>
      <c r="C1125" s="28" t="n"/>
      <c r="D1125" s="22">
        <f t="array" ref="D1125">IF($C1125="","",IFERROR(INDEX(DATA_MASTER!$C$2:$C$5000,MATCH($C1125,DATA_MASTER!$D$2:$D$5000,0)),""))</f>
        <v/>
      </c>
      <c r="E1125" s="22">
        <f t="array" ref="E1125">IF($C1125="","",IFERROR(INDEX(DATA_MASTER!$I$2:$I$5000,MATCH($C1125,DATA_MASTER!$D$2:$D$5000,0)),""))</f>
        <v/>
      </c>
      <c r="F1125" s="22">
        <f t="array" ref="F1125">IF($C1125="","",IFERROR(INDEX(DATA_MASTER!$L$2:$L$5000,MATCH($C1125,DATA_MASTER!$D$2:$D$5000,0)),""))</f>
        <v/>
      </c>
      <c r="G1125" s="24" t="n"/>
      <c r="H1125" s="24" t="n"/>
      <c r="I1125" s="30" t="n"/>
      <c r="J1125" s="23">
        <f>IF(OR($H1125="",$I1125=""),"",$H1125*$I1125)</f>
        <v/>
      </c>
      <c r="K1125" s="24" t="n"/>
      <c r="L1125" s="24" t="n"/>
      <c r="M1125" s="29" t="n"/>
      <c r="N1125" s="28" t="n"/>
      <c r="O1125" s="24" t="n"/>
      <c r="P1125" s="24" t="n"/>
      <c r="Q1125" s="24" t="n"/>
      <c r="R1125" s="24" t="n"/>
      <c r="S1125" s="22">
        <f>IF(AND($A1125="",$C1125=""),"",IF($A1125="","Thiếu mã đơn; ","")&amp;IF(COUNTIF($A$2:$A1125,$A1125)&gt;1,"Trùng mã đơn; ","")&amp;IF(ISNA(MATCH($C1125,DATA_MASTER!$D$2:$D$5000,0)),"SĐT chưa đăng ký hội viên; ","")&amp;IF(AND($L1125="Đã chuyển khoản",$M1125=""),"Thiếu ngày nhận CK; ",""))</f>
        <v/>
      </c>
      <c r="T1125" s="24" t="n"/>
    </row>
    <row r="1126" ht="14.25" customHeight="1" s="40">
      <c r="A1126" s="24" t="n"/>
      <c r="B1126" s="29" t="n"/>
      <c r="C1126" s="28" t="n"/>
      <c r="D1126" s="22">
        <f t="array" ref="D1126">IF($C1126="","",IFERROR(INDEX(DATA_MASTER!$C$2:$C$5000,MATCH($C1126,DATA_MASTER!$D$2:$D$5000,0)),""))</f>
        <v/>
      </c>
      <c r="E1126" s="22">
        <f t="array" ref="E1126">IF($C1126="","",IFERROR(INDEX(DATA_MASTER!$I$2:$I$5000,MATCH($C1126,DATA_MASTER!$D$2:$D$5000,0)),""))</f>
        <v/>
      </c>
      <c r="F1126" s="22">
        <f t="array" ref="F1126">IF($C1126="","",IFERROR(INDEX(DATA_MASTER!$L$2:$L$5000,MATCH($C1126,DATA_MASTER!$D$2:$D$5000,0)),""))</f>
        <v/>
      </c>
      <c r="G1126" s="24" t="n"/>
      <c r="H1126" s="24" t="n"/>
      <c r="I1126" s="30" t="n"/>
      <c r="J1126" s="23">
        <f>IF(OR($H1126="",$I1126=""),"",$H1126*$I1126)</f>
        <v/>
      </c>
      <c r="K1126" s="24" t="n"/>
      <c r="L1126" s="24" t="n"/>
      <c r="M1126" s="29" t="n"/>
      <c r="N1126" s="28" t="n"/>
      <c r="O1126" s="24" t="n"/>
      <c r="P1126" s="24" t="n"/>
      <c r="Q1126" s="24" t="n"/>
      <c r="R1126" s="24" t="n"/>
      <c r="S1126" s="22">
        <f>IF(AND($A1126="",$C1126=""),"",IF($A1126="","Thiếu mã đơn; ","")&amp;IF(COUNTIF($A$2:$A1126,$A1126)&gt;1,"Trùng mã đơn; ","")&amp;IF(ISNA(MATCH($C1126,DATA_MASTER!$D$2:$D$5000,0)),"SĐT chưa đăng ký hội viên; ","")&amp;IF(AND($L1126="Đã chuyển khoản",$M1126=""),"Thiếu ngày nhận CK; ",""))</f>
        <v/>
      </c>
      <c r="T1126" s="24" t="n"/>
    </row>
    <row r="1127" ht="14.25" customHeight="1" s="40">
      <c r="A1127" s="24" t="n"/>
      <c r="B1127" s="29" t="n"/>
      <c r="C1127" s="28" t="n"/>
      <c r="D1127" s="22">
        <f t="array" ref="D1127">IF($C1127="","",IFERROR(INDEX(DATA_MASTER!$C$2:$C$5000,MATCH($C1127,DATA_MASTER!$D$2:$D$5000,0)),""))</f>
        <v/>
      </c>
      <c r="E1127" s="22">
        <f t="array" ref="E1127">IF($C1127="","",IFERROR(INDEX(DATA_MASTER!$I$2:$I$5000,MATCH($C1127,DATA_MASTER!$D$2:$D$5000,0)),""))</f>
        <v/>
      </c>
      <c r="F1127" s="22">
        <f t="array" ref="F1127">IF($C1127="","",IFERROR(INDEX(DATA_MASTER!$L$2:$L$5000,MATCH($C1127,DATA_MASTER!$D$2:$D$5000,0)),""))</f>
        <v/>
      </c>
      <c r="G1127" s="24" t="n"/>
      <c r="H1127" s="24" t="n"/>
      <c r="I1127" s="30" t="n"/>
      <c r="J1127" s="23">
        <f>IF(OR($H1127="",$I1127=""),"",$H1127*$I1127)</f>
        <v/>
      </c>
      <c r="K1127" s="24" t="n"/>
      <c r="L1127" s="24" t="n"/>
      <c r="M1127" s="29" t="n"/>
      <c r="N1127" s="28" t="n"/>
      <c r="O1127" s="24" t="n"/>
      <c r="P1127" s="24" t="n"/>
      <c r="Q1127" s="24" t="n"/>
      <c r="R1127" s="24" t="n"/>
      <c r="S1127" s="22">
        <f>IF(AND($A1127="",$C1127=""),"",IF($A1127="","Thiếu mã đơn; ","")&amp;IF(COUNTIF($A$2:$A1127,$A1127)&gt;1,"Trùng mã đơn; ","")&amp;IF(ISNA(MATCH($C1127,DATA_MASTER!$D$2:$D$5000,0)),"SĐT chưa đăng ký hội viên; ","")&amp;IF(AND($L1127="Đã chuyển khoản",$M1127=""),"Thiếu ngày nhận CK; ",""))</f>
        <v/>
      </c>
      <c r="T1127" s="24" t="n"/>
    </row>
    <row r="1128" ht="14.25" customHeight="1" s="40">
      <c r="A1128" s="24" t="n"/>
      <c r="B1128" s="29" t="n"/>
      <c r="C1128" s="28" t="n"/>
      <c r="D1128" s="22">
        <f t="array" ref="D1128">IF($C1128="","",IFERROR(INDEX(DATA_MASTER!$C$2:$C$5000,MATCH($C1128,DATA_MASTER!$D$2:$D$5000,0)),""))</f>
        <v/>
      </c>
      <c r="E1128" s="22">
        <f t="array" ref="E1128">IF($C1128="","",IFERROR(INDEX(DATA_MASTER!$I$2:$I$5000,MATCH($C1128,DATA_MASTER!$D$2:$D$5000,0)),""))</f>
        <v/>
      </c>
      <c r="F1128" s="22">
        <f t="array" ref="F1128">IF($C1128="","",IFERROR(INDEX(DATA_MASTER!$L$2:$L$5000,MATCH($C1128,DATA_MASTER!$D$2:$D$5000,0)),""))</f>
        <v/>
      </c>
      <c r="G1128" s="24" t="n"/>
      <c r="H1128" s="24" t="n"/>
      <c r="I1128" s="30" t="n"/>
      <c r="J1128" s="23">
        <f>IF(OR($H1128="",$I1128=""),"",$H1128*$I1128)</f>
        <v/>
      </c>
      <c r="K1128" s="24" t="n"/>
      <c r="L1128" s="24" t="n"/>
      <c r="M1128" s="29" t="n"/>
      <c r="N1128" s="28" t="n"/>
      <c r="O1128" s="24" t="n"/>
      <c r="P1128" s="24" t="n"/>
      <c r="Q1128" s="24" t="n"/>
      <c r="R1128" s="24" t="n"/>
      <c r="S1128" s="22">
        <f>IF(AND($A1128="",$C1128=""),"",IF($A1128="","Thiếu mã đơn; ","")&amp;IF(COUNTIF($A$2:$A1128,$A1128)&gt;1,"Trùng mã đơn; ","")&amp;IF(ISNA(MATCH($C1128,DATA_MASTER!$D$2:$D$5000,0)),"SĐT chưa đăng ký hội viên; ","")&amp;IF(AND($L1128="Đã chuyển khoản",$M1128=""),"Thiếu ngày nhận CK; ",""))</f>
        <v/>
      </c>
      <c r="T1128" s="24" t="n"/>
    </row>
    <row r="1129" ht="14.25" customHeight="1" s="40">
      <c r="A1129" s="24" t="n"/>
      <c r="B1129" s="29" t="n"/>
      <c r="C1129" s="28" t="n"/>
      <c r="D1129" s="22">
        <f t="array" ref="D1129">IF($C1129="","",IFERROR(INDEX(DATA_MASTER!$C$2:$C$5000,MATCH($C1129,DATA_MASTER!$D$2:$D$5000,0)),""))</f>
        <v/>
      </c>
      <c r="E1129" s="22">
        <f t="array" ref="E1129">IF($C1129="","",IFERROR(INDEX(DATA_MASTER!$I$2:$I$5000,MATCH($C1129,DATA_MASTER!$D$2:$D$5000,0)),""))</f>
        <v/>
      </c>
      <c r="F1129" s="22">
        <f t="array" ref="F1129">IF($C1129="","",IFERROR(INDEX(DATA_MASTER!$L$2:$L$5000,MATCH($C1129,DATA_MASTER!$D$2:$D$5000,0)),""))</f>
        <v/>
      </c>
      <c r="G1129" s="24" t="n"/>
      <c r="H1129" s="24" t="n"/>
      <c r="I1129" s="30" t="n"/>
      <c r="J1129" s="23">
        <f>IF(OR($H1129="",$I1129=""),"",$H1129*$I1129)</f>
        <v/>
      </c>
      <c r="K1129" s="24" t="n"/>
      <c r="L1129" s="24" t="n"/>
      <c r="M1129" s="29" t="n"/>
      <c r="N1129" s="28" t="n"/>
      <c r="O1129" s="24" t="n"/>
      <c r="P1129" s="24" t="n"/>
      <c r="Q1129" s="24" t="n"/>
      <c r="R1129" s="24" t="n"/>
      <c r="S1129" s="22">
        <f>IF(AND($A1129="",$C1129=""),"",IF($A1129="","Thiếu mã đơn; ","")&amp;IF(COUNTIF($A$2:$A1129,$A1129)&gt;1,"Trùng mã đơn; ","")&amp;IF(ISNA(MATCH($C1129,DATA_MASTER!$D$2:$D$5000,0)),"SĐT chưa đăng ký hội viên; ","")&amp;IF(AND($L1129="Đã chuyển khoản",$M1129=""),"Thiếu ngày nhận CK; ",""))</f>
        <v/>
      </c>
      <c r="T1129" s="24" t="n"/>
    </row>
    <row r="1130" ht="14.25" customHeight="1" s="40">
      <c r="A1130" s="24" t="n"/>
      <c r="B1130" s="29" t="n"/>
      <c r="C1130" s="28" t="n"/>
      <c r="D1130" s="22">
        <f t="array" ref="D1130">IF($C1130="","",IFERROR(INDEX(DATA_MASTER!$C$2:$C$5000,MATCH($C1130,DATA_MASTER!$D$2:$D$5000,0)),""))</f>
        <v/>
      </c>
      <c r="E1130" s="22">
        <f t="array" ref="E1130">IF($C1130="","",IFERROR(INDEX(DATA_MASTER!$I$2:$I$5000,MATCH($C1130,DATA_MASTER!$D$2:$D$5000,0)),""))</f>
        <v/>
      </c>
      <c r="F1130" s="22">
        <f t="array" ref="F1130">IF($C1130="","",IFERROR(INDEX(DATA_MASTER!$L$2:$L$5000,MATCH($C1130,DATA_MASTER!$D$2:$D$5000,0)),""))</f>
        <v/>
      </c>
      <c r="G1130" s="24" t="n"/>
      <c r="H1130" s="24" t="n"/>
      <c r="I1130" s="30" t="n"/>
      <c r="J1130" s="23">
        <f>IF(OR($H1130="",$I1130=""),"",$H1130*$I1130)</f>
        <v/>
      </c>
      <c r="K1130" s="24" t="n"/>
      <c r="L1130" s="24" t="n"/>
      <c r="M1130" s="29" t="n"/>
      <c r="N1130" s="28" t="n"/>
      <c r="O1130" s="24" t="n"/>
      <c r="P1130" s="24" t="n"/>
      <c r="Q1130" s="24" t="n"/>
      <c r="R1130" s="24" t="n"/>
      <c r="S1130" s="22">
        <f>IF(AND($A1130="",$C1130=""),"",IF($A1130="","Thiếu mã đơn; ","")&amp;IF(COUNTIF($A$2:$A1130,$A1130)&gt;1,"Trùng mã đơn; ","")&amp;IF(ISNA(MATCH($C1130,DATA_MASTER!$D$2:$D$5000,0)),"SĐT chưa đăng ký hội viên; ","")&amp;IF(AND($L1130="Đã chuyển khoản",$M1130=""),"Thiếu ngày nhận CK; ",""))</f>
        <v/>
      </c>
      <c r="T1130" s="24" t="n"/>
    </row>
    <row r="1131" ht="14.25" customHeight="1" s="40">
      <c r="A1131" s="24" t="n"/>
      <c r="B1131" s="29" t="n"/>
      <c r="C1131" s="28" t="n"/>
      <c r="D1131" s="22">
        <f t="array" ref="D1131">IF($C1131="","",IFERROR(INDEX(DATA_MASTER!$C$2:$C$5000,MATCH($C1131,DATA_MASTER!$D$2:$D$5000,0)),""))</f>
        <v/>
      </c>
      <c r="E1131" s="22">
        <f t="array" ref="E1131">IF($C1131="","",IFERROR(INDEX(DATA_MASTER!$I$2:$I$5000,MATCH($C1131,DATA_MASTER!$D$2:$D$5000,0)),""))</f>
        <v/>
      </c>
      <c r="F1131" s="22">
        <f t="array" ref="F1131">IF($C1131="","",IFERROR(INDEX(DATA_MASTER!$L$2:$L$5000,MATCH($C1131,DATA_MASTER!$D$2:$D$5000,0)),""))</f>
        <v/>
      </c>
      <c r="G1131" s="24" t="n"/>
      <c r="H1131" s="24" t="n"/>
      <c r="I1131" s="30" t="n"/>
      <c r="J1131" s="23">
        <f>IF(OR($H1131="",$I1131=""),"",$H1131*$I1131)</f>
        <v/>
      </c>
      <c r="K1131" s="24" t="n"/>
      <c r="L1131" s="24" t="n"/>
      <c r="M1131" s="29" t="n"/>
      <c r="N1131" s="28" t="n"/>
      <c r="O1131" s="24" t="n"/>
      <c r="P1131" s="24" t="n"/>
      <c r="Q1131" s="24" t="n"/>
      <c r="R1131" s="24" t="n"/>
      <c r="S1131" s="22">
        <f>IF(AND($A1131="",$C1131=""),"",IF($A1131="","Thiếu mã đơn; ","")&amp;IF(COUNTIF($A$2:$A1131,$A1131)&gt;1,"Trùng mã đơn; ","")&amp;IF(ISNA(MATCH($C1131,DATA_MASTER!$D$2:$D$5000,0)),"SĐT chưa đăng ký hội viên; ","")&amp;IF(AND($L1131="Đã chuyển khoản",$M1131=""),"Thiếu ngày nhận CK; ",""))</f>
        <v/>
      </c>
      <c r="T1131" s="24" t="n"/>
    </row>
    <row r="1132" ht="14.25" customHeight="1" s="40">
      <c r="A1132" s="24" t="n"/>
      <c r="B1132" s="29" t="n"/>
      <c r="C1132" s="28" t="n"/>
      <c r="D1132" s="22">
        <f t="array" ref="D1132">IF($C1132="","",IFERROR(INDEX(DATA_MASTER!$C$2:$C$5000,MATCH($C1132,DATA_MASTER!$D$2:$D$5000,0)),""))</f>
        <v/>
      </c>
      <c r="E1132" s="22">
        <f t="array" ref="E1132">IF($C1132="","",IFERROR(INDEX(DATA_MASTER!$I$2:$I$5000,MATCH($C1132,DATA_MASTER!$D$2:$D$5000,0)),""))</f>
        <v/>
      </c>
      <c r="F1132" s="22">
        <f t="array" ref="F1132">IF($C1132="","",IFERROR(INDEX(DATA_MASTER!$L$2:$L$5000,MATCH($C1132,DATA_MASTER!$D$2:$D$5000,0)),""))</f>
        <v/>
      </c>
      <c r="G1132" s="24" t="n"/>
      <c r="H1132" s="24" t="n"/>
      <c r="I1132" s="30" t="n"/>
      <c r="J1132" s="23">
        <f>IF(OR($H1132="",$I1132=""),"",$H1132*$I1132)</f>
        <v/>
      </c>
      <c r="K1132" s="24" t="n"/>
      <c r="L1132" s="24" t="n"/>
      <c r="M1132" s="29" t="n"/>
      <c r="N1132" s="28" t="n"/>
      <c r="O1132" s="24" t="n"/>
      <c r="P1132" s="24" t="n"/>
      <c r="Q1132" s="24" t="n"/>
      <c r="R1132" s="24" t="n"/>
      <c r="S1132" s="22">
        <f>IF(AND($A1132="",$C1132=""),"",IF($A1132="","Thiếu mã đơn; ","")&amp;IF(COUNTIF($A$2:$A1132,$A1132)&gt;1,"Trùng mã đơn; ","")&amp;IF(ISNA(MATCH($C1132,DATA_MASTER!$D$2:$D$5000,0)),"SĐT chưa đăng ký hội viên; ","")&amp;IF(AND($L1132="Đã chuyển khoản",$M1132=""),"Thiếu ngày nhận CK; ",""))</f>
        <v/>
      </c>
      <c r="T1132" s="24" t="n"/>
    </row>
    <row r="1133" ht="14.25" customHeight="1" s="40">
      <c r="A1133" s="24" t="n"/>
      <c r="B1133" s="29" t="n"/>
      <c r="C1133" s="28" t="n"/>
      <c r="D1133" s="22">
        <f t="array" ref="D1133">IF($C1133="","",IFERROR(INDEX(DATA_MASTER!$C$2:$C$5000,MATCH($C1133,DATA_MASTER!$D$2:$D$5000,0)),""))</f>
        <v/>
      </c>
      <c r="E1133" s="22">
        <f t="array" ref="E1133">IF($C1133="","",IFERROR(INDEX(DATA_MASTER!$I$2:$I$5000,MATCH($C1133,DATA_MASTER!$D$2:$D$5000,0)),""))</f>
        <v/>
      </c>
      <c r="F1133" s="22">
        <f t="array" ref="F1133">IF($C1133="","",IFERROR(INDEX(DATA_MASTER!$L$2:$L$5000,MATCH($C1133,DATA_MASTER!$D$2:$D$5000,0)),""))</f>
        <v/>
      </c>
      <c r="G1133" s="24" t="n"/>
      <c r="H1133" s="24" t="n"/>
      <c r="I1133" s="30" t="n"/>
      <c r="J1133" s="23">
        <f>IF(OR($H1133="",$I1133=""),"",$H1133*$I1133)</f>
        <v/>
      </c>
      <c r="K1133" s="24" t="n"/>
      <c r="L1133" s="24" t="n"/>
      <c r="M1133" s="29" t="n"/>
      <c r="N1133" s="28" t="n"/>
      <c r="O1133" s="24" t="n"/>
      <c r="P1133" s="24" t="n"/>
      <c r="Q1133" s="24" t="n"/>
      <c r="R1133" s="24" t="n"/>
      <c r="S1133" s="22">
        <f>IF(AND($A1133="",$C1133=""),"",IF($A1133="","Thiếu mã đơn; ","")&amp;IF(COUNTIF($A$2:$A1133,$A1133)&gt;1,"Trùng mã đơn; ","")&amp;IF(ISNA(MATCH($C1133,DATA_MASTER!$D$2:$D$5000,0)),"SĐT chưa đăng ký hội viên; ","")&amp;IF(AND($L1133="Đã chuyển khoản",$M1133=""),"Thiếu ngày nhận CK; ",""))</f>
        <v/>
      </c>
      <c r="T1133" s="24" t="n"/>
    </row>
    <row r="1134" ht="14.25" customHeight="1" s="40">
      <c r="A1134" s="24" t="n"/>
      <c r="B1134" s="29" t="n"/>
      <c r="C1134" s="28" t="n"/>
      <c r="D1134" s="22">
        <f t="array" ref="D1134">IF($C1134="","",IFERROR(INDEX(DATA_MASTER!$C$2:$C$5000,MATCH($C1134,DATA_MASTER!$D$2:$D$5000,0)),""))</f>
        <v/>
      </c>
      <c r="E1134" s="22">
        <f t="array" ref="E1134">IF($C1134="","",IFERROR(INDEX(DATA_MASTER!$I$2:$I$5000,MATCH($C1134,DATA_MASTER!$D$2:$D$5000,0)),""))</f>
        <v/>
      </c>
      <c r="F1134" s="22">
        <f t="array" ref="F1134">IF($C1134="","",IFERROR(INDEX(DATA_MASTER!$L$2:$L$5000,MATCH($C1134,DATA_MASTER!$D$2:$D$5000,0)),""))</f>
        <v/>
      </c>
      <c r="G1134" s="24" t="n"/>
      <c r="H1134" s="24" t="n"/>
      <c r="I1134" s="30" t="n"/>
      <c r="J1134" s="23">
        <f>IF(OR($H1134="",$I1134=""),"",$H1134*$I1134)</f>
        <v/>
      </c>
      <c r="K1134" s="24" t="n"/>
      <c r="L1134" s="24" t="n"/>
      <c r="M1134" s="29" t="n"/>
      <c r="N1134" s="28" t="n"/>
      <c r="O1134" s="24" t="n"/>
      <c r="P1134" s="24" t="n"/>
      <c r="Q1134" s="24" t="n"/>
      <c r="R1134" s="24" t="n"/>
      <c r="S1134" s="22">
        <f>IF(AND($A1134="",$C1134=""),"",IF($A1134="","Thiếu mã đơn; ","")&amp;IF(COUNTIF($A$2:$A1134,$A1134)&gt;1,"Trùng mã đơn; ","")&amp;IF(ISNA(MATCH($C1134,DATA_MASTER!$D$2:$D$5000,0)),"SĐT chưa đăng ký hội viên; ","")&amp;IF(AND($L1134="Đã chuyển khoản",$M1134=""),"Thiếu ngày nhận CK; ",""))</f>
        <v/>
      </c>
      <c r="T1134" s="24" t="n"/>
    </row>
    <row r="1135" ht="14.25" customHeight="1" s="40">
      <c r="A1135" s="24" t="n"/>
      <c r="B1135" s="29" t="n"/>
      <c r="C1135" s="28" t="n"/>
      <c r="D1135" s="22">
        <f t="array" ref="D1135">IF($C1135="","",IFERROR(INDEX(DATA_MASTER!$C$2:$C$5000,MATCH($C1135,DATA_MASTER!$D$2:$D$5000,0)),""))</f>
        <v/>
      </c>
      <c r="E1135" s="22">
        <f t="array" ref="E1135">IF($C1135="","",IFERROR(INDEX(DATA_MASTER!$I$2:$I$5000,MATCH($C1135,DATA_MASTER!$D$2:$D$5000,0)),""))</f>
        <v/>
      </c>
      <c r="F1135" s="22">
        <f t="array" ref="F1135">IF($C1135="","",IFERROR(INDEX(DATA_MASTER!$L$2:$L$5000,MATCH($C1135,DATA_MASTER!$D$2:$D$5000,0)),""))</f>
        <v/>
      </c>
      <c r="G1135" s="24" t="n"/>
      <c r="H1135" s="24" t="n"/>
      <c r="I1135" s="30" t="n"/>
      <c r="J1135" s="23">
        <f>IF(OR($H1135="",$I1135=""),"",$H1135*$I1135)</f>
        <v/>
      </c>
      <c r="K1135" s="24" t="n"/>
      <c r="L1135" s="24" t="n"/>
      <c r="M1135" s="29" t="n"/>
      <c r="N1135" s="28" t="n"/>
      <c r="O1135" s="24" t="n"/>
      <c r="P1135" s="24" t="n"/>
      <c r="Q1135" s="24" t="n"/>
      <c r="R1135" s="24" t="n"/>
      <c r="S1135" s="22">
        <f>IF(AND($A1135="",$C1135=""),"",IF($A1135="","Thiếu mã đơn; ","")&amp;IF(COUNTIF($A$2:$A1135,$A1135)&gt;1,"Trùng mã đơn; ","")&amp;IF(ISNA(MATCH($C1135,DATA_MASTER!$D$2:$D$5000,0)),"SĐT chưa đăng ký hội viên; ","")&amp;IF(AND($L1135="Đã chuyển khoản",$M1135=""),"Thiếu ngày nhận CK; ",""))</f>
        <v/>
      </c>
      <c r="T1135" s="24" t="n"/>
    </row>
    <row r="1136" ht="14.25" customHeight="1" s="40">
      <c r="A1136" s="24" t="n"/>
      <c r="B1136" s="29" t="n"/>
      <c r="C1136" s="28" t="n"/>
      <c r="D1136" s="22">
        <f t="array" ref="D1136">IF($C1136="","",IFERROR(INDEX(DATA_MASTER!$C$2:$C$5000,MATCH($C1136,DATA_MASTER!$D$2:$D$5000,0)),""))</f>
        <v/>
      </c>
      <c r="E1136" s="22">
        <f t="array" ref="E1136">IF($C1136="","",IFERROR(INDEX(DATA_MASTER!$I$2:$I$5000,MATCH($C1136,DATA_MASTER!$D$2:$D$5000,0)),""))</f>
        <v/>
      </c>
      <c r="F1136" s="22">
        <f t="array" ref="F1136">IF($C1136="","",IFERROR(INDEX(DATA_MASTER!$L$2:$L$5000,MATCH($C1136,DATA_MASTER!$D$2:$D$5000,0)),""))</f>
        <v/>
      </c>
      <c r="G1136" s="24" t="n"/>
      <c r="H1136" s="24" t="n"/>
      <c r="I1136" s="30" t="n"/>
      <c r="J1136" s="23">
        <f>IF(OR($H1136="",$I1136=""),"",$H1136*$I1136)</f>
        <v/>
      </c>
      <c r="K1136" s="24" t="n"/>
      <c r="L1136" s="24" t="n"/>
      <c r="M1136" s="29" t="n"/>
      <c r="N1136" s="28" t="n"/>
      <c r="O1136" s="24" t="n"/>
      <c r="P1136" s="24" t="n"/>
      <c r="Q1136" s="24" t="n"/>
      <c r="R1136" s="24" t="n"/>
      <c r="S1136" s="22">
        <f>IF(AND($A1136="",$C1136=""),"",IF($A1136="","Thiếu mã đơn; ","")&amp;IF(COUNTIF($A$2:$A1136,$A1136)&gt;1,"Trùng mã đơn; ","")&amp;IF(ISNA(MATCH($C1136,DATA_MASTER!$D$2:$D$5000,0)),"SĐT chưa đăng ký hội viên; ","")&amp;IF(AND($L1136="Đã chuyển khoản",$M1136=""),"Thiếu ngày nhận CK; ",""))</f>
        <v/>
      </c>
      <c r="T1136" s="24" t="n"/>
    </row>
    <row r="1137" ht="14.25" customHeight="1" s="40">
      <c r="A1137" s="24" t="n"/>
      <c r="B1137" s="29" t="n"/>
      <c r="C1137" s="28" t="n"/>
      <c r="D1137" s="22">
        <f t="array" ref="D1137">IF($C1137="","",IFERROR(INDEX(DATA_MASTER!$C$2:$C$5000,MATCH($C1137,DATA_MASTER!$D$2:$D$5000,0)),""))</f>
        <v/>
      </c>
      <c r="E1137" s="22">
        <f t="array" ref="E1137">IF($C1137="","",IFERROR(INDEX(DATA_MASTER!$I$2:$I$5000,MATCH($C1137,DATA_MASTER!$D$2:$D$5000,0)),""))</f>
        <v/>
      </c>
      <c r="F1137" s="22">
        <f t="array" ref="F1137">IF($C1137="","",IFERROR(INDEX(DATA_MASTER!$L$2:$L$5000,MATCH($C1137,DATA_MASTER!$D$2:$D$5000,0)),""))</f>
        <v/>
      </c>
      <c r="G1137" s="24" t="n"/>
      <c r="H1137" s="24" t="n"/>
      <c r="I1137" s="30" t="n"/>
      <c r="J1137" s="23">
        <f>IF(OR($H1137="",$I1137=""),"",$H1137*$I1137)</f>
        <v/>
      </c>
      <c r="K1137" s="24" t="n"/>
      <c r="L1137" s="24" t="n"/>
      <c r="M1137" s="29" t="n"/>
      <c r="N1137" s="28" t="n"/>
      <c r="O1137" s="24" t="n"/>
      <c r="P1137" s="24" t="n"/>
      <c r="Q1137" s="24" t="n"/>
      <c r="R1137" s="24" t="n"/>
      <c r="S1137" s="22">
        <f>IF(AND($A1137="",$C1137=""),"",IF($A1137="","Thiếu mã đơn; ","")&amp;IF(COUNTIF($A$2:$A1137,$A1137)&gt;1,"Trùng mã đơn; ","")&amp;IF(ISNA(MATCH($C1137,DATA_MASTER!$D$2:$D$5000,0)),"SĐT chưa đăng ký hội viên; ","")&amp;IF(AND($L1137="Đã chuyển khoản",$M1137=""),"Thiếu ngày nhận CK; ",""))</f>
        <v/>
      </c>
      <c r="T1137" s="24" t="n"/>
    </row>
    <row r="1138" ht="14.25" customHeight="1" s="40">
      <c r="A1138" s="24" t="n"/>
      <c r="B1138" s="29" t="n"/>
      <c r="C1138" s="28" t="n"/>
      <c r="D1138" s="22">
        <f t="array" ref="D1138">IF($C1138="","",IFERROR(INDEX(DATA_MASTER!$C$2:$C$5000,MATCH($C1138,DATA_MASTER!$D$2:$D$5000,0)),""))</f>
        <v/>
      </c>
      <c r="E1138" s="22">
        <f t="array" ref="E1138">IF($C1138="","",IFERROR(INDEX(DATA_MASTER!$I$2:$I$5000,MATCH($C1138,DATA_MASTER!$D$2:$D$5000,0)),""))</f>
        <v/>
      </c>
      <c r="F1138" s="22">
        <f t="array" ref="F1138">IF($C1138="","",IFERROR(INDEX(DATA_MASTER!$L$2:$L$5000,MATCH($C1138,DATA_MASTER!$D$2:$D$5000,0)),""))</f>
        <v/>
      </c>
      <c r="G1138" s="24" t="n"/>
      <c r="H1138" s="24" t="n"/>
      <c r="I1138" s="30" t="n"/>
      <c r="J1138" s="23">
        <f>IF(OR($H1138="",$I1138=""),"",$H1138*$I1138)</f>
        <v/>
      </c>
      <c r="K1138" s="24" t="n"/>
      <c r="L1138" s="24" t="n"/>
      <c r="M1138" s="29" t="n"/>
      <c r="N1138" s="28" t="n"/>
      <c r="O1138" s="24" t="n"/>
      <c r="P1138" s="24" t="n"/>
      <c r="Q1138" s="24" t="n"/>
      <c r="R1138" s="24" t="n"/>
      <c r="S1138" s="22">
        <f>IF(AND($A1138="",$C1138=""),"",IF($A1138="","Thiếu mã đơn; ","")&amp;IF(COUNTIF($A$2:$A1138,$A1138)&gt;1,"Trùng mã đơn; ","")&amp;IF(ISNA(MATCH($C1138,DATA_MASTER!$D$2:$D$5000,0)),"SĐT chưa đăng ký hội viên; ","")&amp;IF(AND($L1138="Đã chuyển khoản",$M1138=""),"Thiếu ngày nhận CK; ",""))</f>
        <v/>
      </c>
      <c r="T1138" s="24" t="n"/>
    </row>
    <row r="1139" ht="14.25" customHeight="1" s="40">
      <c r="A1139" s="24" t="n"/>
      <c r="B1139" s="29" t="n"/>
      <c r="C1139" s="28" t="n"/>
      <c r="D1139" s="22">
        <f t="array" ref="D1139">IF($C1139="","",IFERROR(INDEX(DATA_MASTER!$C$2:$C$5000,MATCH($C1139,DATA_MASTER!$D$2:$D$5000,0)),""))</f>
        <v/>
      </c>
      <c r="E1139" s="22">
        <f t="array" ref="E1139">IF($C1139="","",IFERROR(INDEX(DATA_MASTER!$I$2:$I$5000,MATCH($C1139,DATA_MASTER!$D$2:$D$5000,0)),""))</f>
        <v/>
      </c>
      <c r="F1139" s="22">
        <f t="array" ref="F1139">IF($C1139="","",IFERROR(INDEX(DATA_MASTER!$L$2:$L$5000,MATCH($C1139,DATA_MASTER!$D$2:$D$5000,0)),""))</f>
        <v/>
      </c>
      <c r="G1139" s="24" t="n"/>
      <c r="H1139" s="24" t="n"/>
      <c r="I1139" s="30" t="n"/>
      <c r="J1139" s="23">
        <f>IF(OR($H1139="",$I1139=""),"",$H1139*$I1139)</f>
        <v/>
      </c>
      <c r="K1139" s="24" t="n"/>
      <c r="L1139" s="24" t="n"/>
      <c r="M1139" s="29" t="n"/>
      <c r="N1139" s="28" t="n"/>
      <c r="O1139" s="24" t="n"/>
      <c r="P1139" s="24" t="n"/>
      <c r="Q1139" s="24" t="n"/>
      <c r="R1139" s="24" t="n"/>
      <c r="S1139" s="22">
        <f>IF(AND($A1139="",$C1139=""),"",IF($A1139="","Thiếu mã đơn; ","")&amp;IF(COUNTIF($A$2:$A1139,$A1139)&gt;1,"Trùng mã đơn; ","")&amp;IF(ISNA(MATCH($C1139,DATA_MASTER!$D$2:$D$5000,0)),"SĐT chưa đăng ký hội viên; ","")&amp;IF(AND($L1139="Đã chuyển khoản",$M1139=""),"Thiếu ngày nhận CK; ",""))</f>
        <v/>
      </c>
      <c r="T1139" s="24" t="n"/>
    </row>
    <row r="1140" ht="14.25" customHeight="1" s="40">
      <c r="A1140" s="24" t="n"/>
      <c r="B1140" s="29" t="n"/>
      <c r="C1140" s="28" t="n"/>
      <c r="D1140" s="22">
        <f t="array" ref="D1140">IF($C1140="","",IFERROR(INDEX(DATA_MASTER!$C$2:$C$5000,MATCH($C1140,DATA_MASTER!$D$2:$D$5000,0)),""))</f>
        <v/>
      </c>
      <c r="E1140" s="22">
        <f t="array" ref="E1140">IF($C1140="","",IFERROR(INDEX(DATA_MASTER!$I$2:$I$5000,MATCH($C1140,DATA_MASTER!$D$2:$D$5000,0)),""))</f>
        <v/>
      </c>
      <c r="F1140" s="22">
        <f t="array" ref="F1140">IF($C1140="","",IFERROR(INDEX(DATA_MASTER!$L$2:$L$5000,MATCH($C1140,DATA_MASTER!$D$2:$D$5000,0)),""))</f>
        <v/>
      </c>
      <c r="G1140" s="24" t="n"/>
      <c r="H1140" s="24" t="n"/>
      <c r="I1140" s="30" t="n"/>
      <c r="J1140" s="23">
        <f>IF(OR($H1140="",$I1140=""),"",$H1140*$I1140)</f>
        <v/>
      </c>
      <c r="K1140" s="24" t="n"/>
      <c r="L1140" s="24" t="n"/>
      <c r="M1140" s="29" t="n"/>
      <c r="N1140" s="28" t="n"/>
      <c r="O1140" s="24" t="n"/>
      <c r="P1140" s="24" t="n"/>
      <c r="Q1140" s="24" t="n"/>
      <c r="R1140" s="24" t="n"/>
      <c r="S1140" s="22">
        <f>IF(AND($A1140="",$C1140=""),"",IF($A1140="","Thiếu mã đơn; ","")&amp;IF(COUNTIF($A$2:$A1140,$A1140)&gt;1,"Trùng mã đơn; ","")&amp;IF(ISNA(MATCH($C1140,DATA_MASTER!$D$2:$D$5000,0)),"SĐT chưa đăng ký hội viên; ","")&amp;IF(AND($L1140="Đã chuyển khoản",$M1140=""),"Thiếu ngày nhận CK; ",""))</f>
        <v/>
      </c>
      <c r="T1140" s="24" t="n"/>
    </row>
    <row r="1141" ht="14.25" customHeight="1" s="40">
      <c r="A1141" s="24" t="n"/>
      <c r="B1141" s="29" t="n"/>
      <c r="C1141" s="28" t="n"/>
      <c r="D1141" s="22">
        <f t="array" ref="D1141">IF($C1141="","",IFERROR(INDEX(DATA_MASTER!$C$2:$C$5000,MATCH($C1141,DATA_MASTER!$D$2:$D$5000,0)),""))</f>
        <v/>
      </c>
      <c r="E1141" s="22">
        <f t="array" ref="E1141">IF($C1141="","",IFERROR(INDEX(DATA_MASTER!$I$2:$I$5000,MATCH($C1141,DATA_MASTER!$D$2:$D$5000,0)),""))</f>
        <v/>
      </c>
      <c r="F1141" s="22">
        <f t="array" ref="F1141">IF($C1141="","",IFERROR(INDEX(DATA_MASTER!$L$2:$L$5000,MATCH($C1141,DATA_MASTER!$D$2:$D$5000,0)),""))</f>
        <v/>
      </c>
      <c r="G1141" s="24" t="n"/>
      <c r="H1141" s="24" t="n"/>
      <c r="I1141" s="30" t="n"/>
      <c r="J1141" s="23">
        <f>IF(OR($H1141="",$I1141=""),"",$H1141*$I1141)</f>
        <v/>
      </c>
      <c r="K1141" s="24" t="n"/>
      <c r="L1141" s="24" t="n"/>
      <c r="M1141" s="29" t="n"/>
      <c r="N1141" s="28" t="n"/>
      <c r="O1141" s="24" t="n"/>
      <c r="P1141" s="24" t="n"/>
      <c r="Q1141" s="24" t="n"/>
      <c r="R1141" s="24" t="n"/>
      <c r="S1141" s="22">
        <f>IF(AND($A1141="",$C1141=""),"",IF($A1141="","Thiếu mã đơn; ","")&amp;IF(COUNTIF($A$2:$A1141,$A1141)&gt;1,"Trùng mã đơn; ","")&amp;IF(ISNA(MATCH($C1141,DATA_MASTER!$D$2:$D$5000,0)),"SĐT chưa đăng ký hội viên; ","")&amp;IF(AND($L1141="Đã chuyển khoản",$M1141=""),"Thiếu ngày nhận CK; ",""))</f>
        <v/>
      </c>
      <c r="T1141" s="24" t="n"/>
    </row>
    <row r="1142" ht="14.25" customHeight="1" s="40">
      <c r="A1142" s="24" t="n"/>
      <c r="B1142" s="29" t="n"/>
      <c r="C1142" s="28" t="n"/>
      <c r="D1142" s="22">
        <f t="array" ref="D1142">IF($C1142="","",IFERROR(INDEX(DATA_MASTER!$C$2:$C$5000,MATCH($C1142,DATA_MASTER!$D$2:$D$5000,0)),""))</f>
        <v/>
      </c>
      <c r="E1142" s="22">
        <f t="array" ref="E1142">IF($C1142="","",IFERROR(INDEX(DATA_MASTER!$I$2:$I$5000,MATCH($C1142,DATA_MASTER!$D$2:$D$5000,0)),""))</f>
        <v/>
      </c>
      <c r="F1142" s="22">
        <f t="array" ref="F1142">IF($C1142="","",IFERROR(INDEX(DATA_MASTER!$L$2:$L$5000,MATCH($C1142,DATA_MASTER!$D$2:$D$5000,0)),""))</f>
        <v/>
      </c>
      <c r="G1142" s="24" t="n"/>
      <c r="H1142" s="24" t="n"/>
      <c r="I1142" s="30" t="n"/>
      <c r="J1142" s="23">
        <f>IF(OR($H1142="",$I1142=""),"",$H1142*$I1142)</f>
        <v/>
      </c>
      <c r="K1142" s="24" t="n"/>
      <c r="L1142" s="24" t="n"/>
      <c r="M1142" s="29" t="n"/>
      <c r="N1142" s="28" t="n"/>
      <c r="O1142" s="24" t="n"/>
      <c r="P1142" s="24" t="n"/>
      <c r="Q1142" s="24" t="n"/>
      <c r="R1142" s="24" t="n"/>
      <c r="S1142" s="22">
        <f>IF(AND($A1142="",$C1142=""),"",IF($A1142="","Thiếu mã đơn; ","")&amp;IF(COUNTIF($A$2:$A1142,$A1142)&gt;1,"Trùng mã đơn; ","")&amp;IF(ISNA(MATCH($C1142,DATA_MASTER!$D$2:$D$5000,0)),"SĐT chưa đăng ký hội viên; ","")&amp;IF(AND($L1142="Đã chuyển khoản",$M1142=""),"Thiếu ngày nhận CK; ",""))</f>
        <v/>
      </c>
      <c r="T1142" s="24" t="n"/>
    </row>
    <row r="1143" ht="14.25" customHeight="1" s="40">
      <c r="A1143" s="24" t="n"/>
      <c r="B1143" s="29" t="n"/>
      <c r="C1143" s="28" t="n"/>
      <c r="D1143" s="22">
        <f t="array" ref="D1143">IF($C1143="","",IFERROR(INDEX(DATA_MASTER!$C$2:$C$5000,MATCH($C1143,DATA_MASTER!$D$2:$D$5000,0)),""))</f>
        <v/>
      </c>
      <c r="E1143" s="22">
        <f t="array" ref="E1143">IF($C1143="","",IFERROR(INDEX(DATA_MASTER!$I$2:$I$5000,MATCH($C1143,DATA_MASTER!$D$2:$D$5000,0)),""))</f>
        <v/>
      </c>
      <c r="F1143" s="22">
        <f t="array" ref="F1143">IF($C1143="","",IFERROR(INDEX(DATA_MASTER!$L$2:$L$5000,MATCH($C1143,DATA_MASTER!$D$2:$D$5000,0)),""))</f>
        <v/>
      </c>
      <c r="G1143" s="24" t="n"/>
      <c r="H1143" s="24" t="n"/>
      <c r="I1143" s="30" t="n"/>
      <c r="J1143" s="23">
        <f>IF(OR($H1143="",$I1143=""),"",$H1143*$I1143)</f>
        <v/>
      </c>
      <c r="K1143" s="24" t="n"/>
      <c r="L1143" s="24" t="n"/>
      <c r="M1143" s="29" t="n"/>
      <c r="N1143" s="28" t="n"/>
      <c r="O1143" s="24" t="n"/>
      <c r="P1143" s="24" t="n"/>
      <c r="Q1143" s="24" t="n"/>
      <c r="R1143" s="24" t="n"/>
      <c r="S1143" s="22">
        <f>IF(AND($A1143="",$C1143=""),"",IF($A1143="","Thiếu mã đơn; ","")&amp;IF(COUNTIF($A$2:$A1143,$A1143)&gt;1,"Trùng mã đơn; ","")&amp;IF(ISNA(MATCH($C1143,DATA_MASTER!$D$2:$D$5000,0)),"SĐT chưa đăng ký hội viên; ","")&amp;IF(AND($L1143="Đã chuyển khoản",$M1143=""),"Thiếu ngày nhận CK; ",""))</f>
        <v/>
      </c>
      <c r="T1143" s="24" t="n"/>
    </row>
    <row r="1144" ht="14.25" customHeight="1" s="40">
      <c r="A1144" s="24" t="n"/>
      <c r="B1144" s="29" t="n"/>
      <c r="C1144" s="28" t="n"/>
      <c r="D1144" s="22">
        <f t="array" ref="D1144">IF($C1144="","",IFERROR(INDEX(DATA_MASTER!$C$2:$C$5000,MATCH($C1144,DATA_MASTER!$D$2:$D$5000,0)),""))</f>
        <v/>
      </c>
      <c r="E1144" s="22">
        <f t="array" ref="E1144">IF($C1144="","",IFERROR(INDEX(DATA_MASTER!$I$2:$I$5000,MATCH($C1144,DATA_MASTER!$D$2:$D$5000,0)),""))</f>
        <v/>
      </c>
      <c r="F1144" s="22">
        <f t="array" ref="F1144">IF($C1144="","",IFERROR(INDEX(DATA_MASTER!$L$2:$L$5000,MATCH($C1144,DATA_MASTER!$D$2:$D$5000,0)),""))</f>
        <v/>
      </c>
      <c r="G1144" s="24" t="n"/>
      <c r="H1144" s="24" t="n"/>
      <c r="I1144" s="30" t="n"/>
      <c r="J1144" s="23">
        <f>IF(OR($H1144="",$I1144=""),"",$H1144*$I1144)</f>
        <v/>
      </c>
      <c r="K1144" s="24" t="n"/>
      <c r="L1144" s="24" t="n"/>
      <c r="M1144" s="29" t="n"/>
      <c r="N1144" s="28" t="n"/>
      <c r="O1144" s="24" t="n"/>
      <c r="P1144" s="24" t="n"/>
      <c r="Q1144" s="24" t="n"/>
      <c r="R1144" s="24" t="n"/>
      <c r="S1144" s="22">
        <f>IF(AND($A1144="",$C1144=""),"",IF($A1144="","Thiếu mã đơn; ","")&amp;IF(COUNTIF($A$2:$A1144,$A1144)&gt;1,"Trùng mã đơn; ","")&amp;IF(ISNA(MATCH($C1144,DATA_MASTER!$D$2:$D$5000,0)),"SĐT chưa đăng ký hội viên; ","")&amp;IF(AND($L1144="Đã chuyển khoản",$M1144=""),"Thiếu ngày nhận CK; ",""))</f>
        <v/>
      </c>
      <c r="T1144" s="24" t="n"/>
    </row>
    <row r="1145" ht="14.25" customHeight="1" s="40">
      <c r="A1145" s="24" t="n"/>
      <c r="B1145" s="29" t="n"/>
      <c r="C1145" s="28" t="n"/>
      <c r="D1145" s="22">
        <f t="array" ref="D1145">IF($C1145="","",IFERROR(INDEX(DATA_MASTER!$C$2:$C$5000,MATCH($C1145,DATA_MASTER!$D$2:$D$5000,0)),""))</f>
        <v/>
      </c>
      <c r="E1145" s="22">
        <f t="array" ref="E1145">IF($C1145="","",IFERROR(INDEX(DATA_MASTER!$I$2:$I$5000,MATCH($C1145,DATA_MASTER!$D$2:$D$5000,0)),""))</f>
        <v/>
      </c>
      <c r="F1145" s="22">
        <f t="array" ref="F1145">IF($C1145="","",IFERROR(INDEX(DATA_MASTER!$L$2:$L$5000,MATCH($C1145,DATA_MASTER!$D$2:$D$5000,0)),""))</f>
        <v/>
      </c>
      <c r="G1145" s="24" t="n"/>
      <c r="H1145" s="24" t="n"/>
      <c r="I1145" s="30" t="n"/>
      <c r="J1145" s="23">
        <f>IF(OR($H1145="",$I1145=""),"",$H1145*$I1145)</f>
        <v/>
      </c>
      <c r="K1145" s="24" t="n"/>
      <c r="L1145" s="24" t="n"/>
      <c r="M1145" s="29" t="n"/>
      <c r="N1145" s="28" t="n"/>
      <c r="O1145" s="24" t="n"/>
      <c r="P1145" s="24" t="n"/>
      <c r="Q1145" s="24" t="n"/>
      <c r="R1145" s="24" t="n"/>
      <c r="S1145" s="22">
        <f>IF(AND($A1145="",$C1145=""),"",IF($A1145="","Thiếu mã đơn; ","")&amp;IF(COUNTIF($A$2:$A1145,$A1145)&gt;1,"Trùng mã đơn; ","")&amp;IF(ISNA(MATCH($C1145,DATA_MASTER!$D$2:$D$5000,0)),"SĐT chưa đăng ký hội viên; ","")&amp;IF(AND($L1145="Đã chuyển khoản",$M1145=""),"Thiếu ngày nhận CK; ",""))</f>
        <v/>
      </c>
      <c r="T1145" s="24" t="n"/>
    </row>
    <row r="1146" ht="14.25" customHeight="1" s="40">
      <c r="A1146" s="24" t="n"/>
      <c r="B1146" s="29" t="n"/>
      <c r="C1146" s="28" t="n"/>
      <c r="D1146" s="22">
        <f t="array" ref="D1146">IF($C1146="","",IFERROR(INDEX(DATA_MASTER!$C$2:$C$5000,MATCH($C1146,DATA_MASTER!$D$2:$D$5000,0)),""))</f>
        <v/>
      </c>
      <c r="E1146" s="22">
        <f t="array" ref="E1146">IF($C1146="","",IFERROR(INDEX(DATA_MASTER!$I$2:$I$5000,MATCH($C1146,DATA_MASTER!$D$2:$D$5000,0)),""))</f>
        <v/>
      </c>
      <c r="F1146" s="22">
        <f t="array" ref="F1146">IF($C1146="","",IFERROR(INDEX(DATA_MASTER!$L$2:$L$5000,MATCH($C1146,DATA_MASTER!$D$2:$D$5000,0)),""))</f>
        <v/>
      </c>
      <c r="G1146" s="24" t="n"/>
      <c r="H1146" s="24" t="n"/>
      <c r="I1146" s="30" t="n"/>
      <c r="J1146" s="23">
        <f>IF(OR($H1146="",$I1146=""),"",$H1146*$I1146)</f>
        <v/>
      </c>
      <c r="K1146" s="24" t="n"/>
      <c r="L1146" s="24" t="n"/>
      <c r="M1146" s="29" t="n"/>
      <c r="N1146" s="28" t="n"/>
      <c r="O1146" s="24" t="n"/>
      <c r="P1146" s="24" t="n"/>
      <c r="Q1146" s="24" t="n"/>
      <c r="R1146" s="24" t="n"/>
      <c r="S1146" s="22">
        <f>IF(AND($A1146="",$C1146=""),"",IF($A1146="","Thiếu mã đơn; ","")&amp;IF(COUNTIF($A$2:$A1146,$A1146)&gt;1,"Trùng mã đơn; ","")&amp;IF(ISNA(MATCH($C1146,DATA_MASTER!$D$2:$D$5000,0)),"SĐT chưa đăng ký hội viên; ","")&amp;IF(AND($L1146="Đã chuyển khoản",$M1146=""),"Thiếu ngày nhận CK; ",""))</f>
        <v/>
      </c>
      <c r="T1146" s="24" t="n"/>
    </row>
    <row r="1147" ht="14.25" customHeight="1" s="40">
      <c r="A1147" s="24" t="n"/>
      <c r="B1147" s="29" t="n"/>
      <c r="C1147" s="28" t="n"/>
      <c r="D1147" s="22">
        <f t="array" ref="D1147">IF($C1147="","",IFERROR(INDEX(DATA_MASTER!$C$2:$C$5000,MATCH($C1147,DATA_MASTER!$D$2:$D$5000,0)),""))</f>
        <v/>
      </c>
      <c r="E1147" s="22">
        <f t="array" ref="E1147">IF($C1147="","",IFERROR(INDEX(DATA_MASTER!$I$2:$I$5000,MATCH($C1147,DATA_MASTER!$D$2:$D$5000,0)),""))</f>
        <v/>
      </c>
      <c r="F1147" s="22">
        <f t="array" ref="F1147">IF($C1147="","",IFERROR(INDEX(DATA_MASTER!$L$2:$L$5000,MATCH($C1147,DATA_MASTER!$D$2:$D$5000,0)),""))</f>
        <v/>
      </c>
      <c r="G1147" s="24" t="n"/>
      <c r="H1147" s="24" t="n"/>
      <c r="I1147" s="30" t="n"/>
      <c r="J1147" s="23">
        <f>IF(OR($H1147="",$I1147=""),"",$H1147*$I1147)</f>
        <v/>
      </c>
      <c r="K1147" s="24" t="n"/>
      <c r="L1147" s="24" t="n"/>
      <c r="M1147" s="29" t="n"/>
      <c r="N1147" s="28" t="n"/>
      <c r="O1147" s="24" t="n"/>
      <c r="P1147" s="24" t="n"/>
      <c r="Q1147" s="24" t="n"/>
      <c r="R1147" s="24" t="n"/>
      <c r="S1147" s="22">
        <f>IF(AND($A1147="",$C1147=""),"",IF($A1147="","Thiếu mã đơn; ","")&amp;IF(COUNTIF($A$2:$A1147,$A1147)&gt;1,"Trùng mã đơn; ","")&amp;IF(ISNA(MATCH($C1147,DATA_MASTER!$D$2:$D$5000,0)),"SĐT chưa đăng ký hội viên; ","")&amp;IF(AND($L1147="Đã chuyển khoản",$M1147=""),"Thiếu ngày nhận CK; ",""))</f>
        <v/>
      </c>
      <c r="T1147" s="24" t="n"/>
    </row>
    <row r="1148" ht="14.25" customHeight="1" s="40">
      <c r="A1148" s="24" t="n"/>
      <c r="B1148" s="29" t="n"/>
      <c r="C1148" s="28" t="n"/>
      <c r="D1148" s="22">
        <f t="array" ref="D1148">IF($C1148="","",IFERROR(INDEX(DATA_MASTER!$C$2:$C$5000,MATCH($C1148,DATA_MASTER!$D$2:$D$5000,0)),""))</f>
        <v/>
      </c>
      <c r="E1148" s="22">
        <f t="array" ref="E1148">IF($C1148="","",IFERROR(INDEX(DATA_MASTER!$I$2:$I$5000,MATCH($C1148,DATA_MASTER!$D$2:$D$5000,0)),""))</f>
        <v/>
      </c>
      <c r="F1148" s="22">
        <f t="array" ref="F1148">IF($C1148="","",IFERROR(INDEX(DATA_MASTER!$L$2:$L$5000,MATCH($C1148,DATA_MASTER!$D$2:$D$5000,0)),""))</f>
        <v/>
      </c>
      <c r="G1148" s="24" t="n"/>
      <c r="H1148" s="24" t="n"/>
      <c r="I1148" s="30" t="n"/>
      <c r="J1148" s="23">
        <f>IF(OR($H1148="",$I1148=""),"",$H1148*$I1148)</f>
        <v/>
      </c>
      <c r="K1148" s="24" t="n"/>
      <c r="L1148" s="24" t="n"/>
      <c r="M1148" s="29" t="n"/>
      <c r="N1148" s="28" t="n"/>
      <c r="O1148" s="24" t="n"/>
      <c r="P1148" s="24" t="n"/>
      <c r="Q1148" s="24" t="n"/>
      <c r="R1148" s="24" t="n"/>
      <c r="S1148" s="22">
        <f>IF(AND($A1148="",$C1148=""),"",IF($A1148="","Thiếu mã đơn; ","")&amp;IF(COUNTIF($A$2:$A1148,$A1148)&gt;1,"Trùng mã đơn; ","")&amp;IF(ISNA(MATCH($C1148,DATA_MASTER!$D$2:$D$5000,0)),"SĐT chưa đăng ký hội viên; ","")&amp;IF(AND($L1148="Đã chuyển khoản",$M1148=""),"Thiếu ngày nhận CK; ",""))</f>
        <v/>
      </c>
      <c r="T1148" s="24" t="n"/>
    </row>
    <row r="1149" ht="14.25" customHeight="1" s="40">
      <c r="A1149" s="24" t="n"/>
      <c r="B1149" s="29" t="n"/>
      <c r="C1149" s="28" t="n"/>
      <c r="D1149" s="22">
        <f t="array" ref="D1149">IF($C1149="","",IFERROR(INDEX(DATA_MASTER!$C$2:$C$5000,MATCH($C1149,DATA_MASTER!$D$2:$D$5000,0)),""))</f>
        <v/>
      </c>
      <c r="E1149" s="22">
        <f t="array" ref="E1149">IF($C1149="","",IFERROR(INDEX(DATA_MASTER!$I$2:$I$5000,MATCH($C1149,DATA_MASTER!$D$2:$D$5000,0)),""))</f>
        <v/>
      </c>
      <c r="F1149" s="22">
        <f t="array" ref="F1149">IF($C1149="","",IFERROR(INDEX(DATA_MASTER!$L$2:$L$5000,MATCH($C1149,DATA_MASTER!$D$2:$D$5000,0)),""))</f>
        <v/>
      </c>
      <c r="G1149" s="24" t="n"/>
      <c r="H1149" s="24" t="n"/>
      <c r="I1149" s="30" t="n"/>
      <c r="J1149" s="23">
        <f>IF(OR($H1149="",$I1149=""),"",$H1149*$I1149)</f>
        <v/>
      </c>
      <c r="K1149" s="24" t="n"/>
      <c r="L1149" s="24" t="n"/>
      <c r="M1149" s="29" t="n"/>
      <c r="N1149" s="28" t="n"/>
      <c r="O1149" s="24" t="n"/>
      <c r="P1149" s="24" t="n"/>
      <c r="Q1149" s="24" t="n"/>
      <c r="R1149" s="24" t="n"/>
      <c r="S1149" s="22">
        <f>IF(AND($A1149="",$C1149=""),"",IF($A1149="","Thiếu mã đơn; ","")&amp;IF(COUNTIF($A$2:$A1149,$A1149)&gt;1,"Trùng mã đơn; ","")&amp;IF(ISNA(MATCH($C1149,DATA_MASTER!$D$2:$D$5000,0)),"SĐT chưa đăng ký hội viên; ","")&amp;IF(AND($L1149="Đã chuyển khoản",$M1149=""),"Thiếu ngày nhận CK; ",""))</f>
        <v/>
      </c>
      <c r="T1149" s="24" t="n"/>
    </row>
    <row r="1150" ht="14.25" customHeight="1" s="40">
      <c r="A1150" s="24" t="n"/>
      <c r="B1150" s="29" t="n"/>
      <c r="C1150" s="28" t="n"/>
      <c r="D1150" s="22">
        <f t="array" ref="D1150">IF($C1150="","",IFERROR(INDEX(DATA_MASTER!$C$2:$C$5000,MATCH($C1150,DATA_MASTER!$D$2:$D$5000,0)),""))</f>
        <v/>
      </c>
      <c r="E1150" s="22">
        <f t="array" ref="E1150">IF($C1150="","",IFERROR(INDEX(DATA_MASTER!$I$2:$I$5000,MATCH($C1150,DATA_MASTER!$D$2:$D$5000,0)),""))</f>
        <v/>
      </c>
      <c r="F1150" s="22">
        <f t="array" ref="F1150">IF($C1150="","",IFERROR(INDEX(DATA_MASTER!$L$2:$L$5000,MATCH($C1150,DATA_MASTER!$D$2:$D$5000,0)),""))</f>
        <v/>
      </c>
      <c r="G1150" s="24" t="n"/>
      <c r="H1150" s="24" t="n"/>
      <c r="I1150" s="30" t="n"/>
      <c r="J1150" s="23">
        <f>IF(OR($H1150="",$I1150=""),"",$H1150*$I1150)</f>
        <v/>
      </c>
      <c r="K1150" s="24" t="n"/>
      <c r="L1150" s="24" t="n"/>
      <c r="M1150" s="29" t="n"/>
      <c r="N1150" s="28" t="n"/>
      <c r="O1150" s="24" t="n"/>
      <c r="P1150" s="24" t="n"/>
      <c r="Q1150" s="24" t="n"/>
      <c r="R1150" s="24" t="n"/>
      <c r="S1150" s="22">
        <f>IF(AND($A1150="",$C1150=""),"",IF($A1150="","Thiếu mã đơn; ","")&amp;IF(COUNTIF($A$2:$A1150,$A1150)&gt;1,"Trùng mã đơn; ","")&amp;IF(ISNA(MATCH($C1150,DATA_MASTER!$D$2:$D$5000,0)),"SĐT chưa đăng ký hội viên; ","")&amp;IF(AND($L1150="Đã chuyển khoản",$M1150=""),"Thiếu ngày nhận CK; ",""))</f>
        <v/>
      </c>
      <c r="T1150" s="24" t="n"/>
    </row>
    <row r="1151" ht="14.25" customHeight="1" s="40">
      <c r="A1151" s="24" t="n"/>
      <c r="B1151" s="29" t="n"/>
      <c r="C1151" s="28" t="n"/>
      <c r="D1151" s="22">
        <f t="array" ref="D1151">IF($C1151="","",IFERROR(INDEX(DATA_MASTER!$C$2:$C$5000,MATCH($C1151,DATA_MASTER!$D$2:$D$5000,0)),""))</f>
        <v/>
      </c>
      <c r="E1151" s="22">
        <f t="array" ref="E1151">IF($C1151="","",IFERROR(INDEX(DATA_MASTER!$I$2:$I$5000,MATCH($C1151,DATA_MASTER!$D$2:$D$5000,0)),""))</f>
        <v/>
      </c>
      <c r="F1151" s="22">
        <f t="array" ref="F1151">IF($C1151="","",IFERROR(INDEX(DATA_MASTER!$L$2:$L$5000,MATCH($C1151,DATA_MASTER!$D$2:$D$5000,0)),""))</f>
        <v/>
      </c>
      <c r="G1151" s="24" t="n"/>
      <c r="H1151" s="24" t="n"/>
      <c r="I1151" s="30" t="n"/>
      <c r="J1151" s="23">
        <f>IF(OR($H1151="",$I1151=""),"",$H1151*$I1151)</f>
        <v/>
      </c>
      <c r="K1151" s="24" t="n"/>
      <c r="L1151" s="24" t="n"/>
      <c r="M1151" s="29" t="n"/>
      <c r="N1151" s="28" t="n"/>
      <c r="O1151" s="24" t="n"/>
      <c r="P1151" s="24" t="n"/>
      <c r="Q1151" s="24" t="n"/>
      <c r="R1151" s="24" t="n"/>
      <c r="S1151" s="22">
        <f>IF(AND($A1151="",$C1151=""),"",IF($A1151="","Thiếu mã đơn; ","")&amp;IF(COUNTIF($A$2:$A1151,$A1151)&gt;1,"Trùng mã đơn; ","")&amp;IF(ISNA(MATCH($C1151,DATA_MASTER!$D$2:$D$5000,0)),"SĐT chưa đăng ký hội viên; ","")&amp;IF(AND($L1151="Đã chuyển khoản",$M1151=""),"Thiếu ngày nhận CK; ",""))</f>
        <v/>
      </c>
      <c r="T1151" s="24" t="n"/>
    </row>
    <row r="1152" ht="14.25" customHeight="1" s="40">
      <c r="A1152" s="24" t="n"/>
      <c r="B1152" s="29" t="n"/>
      <c r="C1152" s="28" t="n"/>
      <c r="D1152" s="22">
        <f t="array" ref="D1152">IF($C1152="","",IFERROR(INDEX(DATA_MASTER!$C$2:$C$5000,MATCH($C1152,DATA_MASTER!$D$2:$D$5000,0)),""))</f>
        <v/>
      </c>
      <c r="E1152" s="22">
        <f t="array" ref="E1152">IF($C1152="","",IFERROR(INDEX(DATA_MASTER!$I$2:$I$5000,MATCH($C1152,DATA_MASTER!$D$2:$D$5000,0)),""))</f>
        <v/>
      </c>
      <c r="F1152" s="22">
        <f t="array" ref="F1152">IF($C1152="","",IFERROR(INDEX(DATA_MASTER!$L$2:$L$5000,MATCH($C1152,DATA_MASTER!$D$2:$D$5000,0)),""))</f>
        <v/>
      </c>
      <c r="G1152" s="24" t="n"/>
      <c r="H1152" s="24" t="n"/>
      <c r="I1152" s="30" t="n"/>
      <c r="J1152" s="23">
        <f>IF(OR($H1152="",$I1152=""),"",$H1152*$I1152)</f>
        <v/>
      </c>
      <c r="K1152" s="24" t="n"/>
      <c r="L1152" s="24" t="n"/>
      <c r="M1152" s="29" t="n"/>
      <c r="N1152" s="28" t="n"/>
      <c r="O1152" s="24" t="n"/>
      <c r="P1152" s="24" t="n"/>
      <c r="Q1152" s="24" t="n"/>
      <c r="R1152" s="24" t="n"/>
      <c r="S1152" s="22">
        <f>IF(AND($A1152="",$C1152=""),"",IF($A1152="","Thiếu mã đơn; ","")&amp;IF(COUNTIF($A$2:$A1152,$A1152)&gt;1,"Trùng mã đơn; ","")&amp;IF(ISNA(MATCH($C1152,DATA_MASTER!$D$2:$D$5000,0)),"SĐT chưa đăng ký hội viên; ","")&amp;IF(AND($L1152="Đã chuyển khoản",$M1152=""),"Thiếu ngày nhận CK; ",""))</f>
        <v/>
      </c>
      <c r="T1152" s="24" t="n"/>
    </row>
    <row r="1153" ht="14.25" customHeight="1" s="40">
      <c r="A1153" s="24" t="n"/>
      <c r="B1153" s="29" t="n"/>
      <c r="C1153" s="28" t="n"/>
      <c r="D1153" s="22">
        <f t="array" ref="D1153">IF($C1153="","",IFERROR(INDEX(DATA_MASTER!$C$2:$C$5000,MATCH($C1153,DATA_MASTER!$D$2:$D$5000,0)),""))</f>
        <v/>
      </c>
      <c r="E1153" s="22">
        <f t="array" ref="E1153">IF($C1153="","",IFERROR(INDEX(DATA_MASTER!$I$2:$I$5000,MATCH($C1153,DATA_MASTER!$D$2:$D$5000,0)),""))</f>
        <v/>
      </c>
      <c r="F1153" s="22">
        <f t="array" ref="F1153">IF($C1153="","",IFERROR(INDEX(DATA_MASTER!$L$2:$L$5000,MATCH($C1153,DATA_MASTER!$D$2:$D$5000,0)),""))</f>
        <v/>
      </c>
      <c r="G1153" s="24" t="n"/>
      <c r="H1153" s="24" t="n"/>
      <c r="I1153" s="30" t="n"/>
      <c r="J1153" s="23">
        <f>IF(OR($H1153="",$I1153=""),"",$H1153*$I1153)</f>
        <v/>
      </c>
      <c r="K1153" s="24" t="n"/>
      <c r="L1153" s="24" t="n"/>
      <c r="M1153" s="29" t="n"/>
      <c r="N1153" s="28" t="n"/>
      <c r="O1153" s="24" t="n"/>
      <c r="P1153" s="24" t="n"/>
      <c r="Q1153" s="24" t="n"/>
      <c r="R1153" s="24" t="n"/>
      <c r="S1153" s="22">
        <f>IF(AND($A1153="",$C1153=""),"",IF($A1153="","Thiếu mã đơn; ","")&amp;IF(COUNTIF($A$2:$A1153,$A1153)&gt;1,"Trùng mã đơn; ","")&amp;IF(ISNA(MATCH($C1153,DATA_MASTER!$D$2:$D$5000,0)),"SĐT chưa đăng ký hội viên; ","")&amp;IF(AND($L1153="Đã chuyển khoản",$M1153=""),"Thiếu ngày nhận CK; ",""))</f>
        <v/>
      </c>
      <c r="T1153" s="24" t="n"/>
    </row>
    <row r="1154" ht="14.25" customHeight="1" s="40">
      <c r="A1154" s="24" t="n"/>
      <c r="B1154" s="29" t="n"/>
      <c r="C1154" s="28" t="n"/>
      <c r="D1154" s="22">
        <f t="array" ref="D1154">IF($C1154="","",IFERROR(INDEX(DATA_MASTER!$C$2:$C$5000,MATCH($C1154,DATA_MASTER!$D$2:$D$5000,0)),""))</f>
        <v/>
      </c>
      <c r="E1154" s="22">
        <f t="array" ref="E1154">IF($C1154="","",IFERROR(INDEX(DATA_MASTER!$I$2:$I$5000,MATCH($C1154,DATA_MASTER!$D$2:$D$5000,0)),""))</f>
        <v/>
      </c>
      <c r="F1154" s="22">
        <f t="array" ref="F1154">IF($C1154="","",IFERROR(INDEX(DATA_MASTER!$L$2:$L$5000,MATCH($C1154,DATA_MASTER!$D$2:$D$5000,0)),""))</f>
        <v/>
      </c>
      <c r="G1154" s="24" t="n"/>
      <c r="H1154" s="24" t="n"/>
      <c r="I1154" s="30" t="n"/>
      <c r="J1154" s="23">
        <f>IF(OR($H1154="",$I1154=""),"",$H1154*$I1154)</f>
        <v/>
      </c>
      <c r="K1154" s="24" t="n"/>
      <c r="L1154" s="24" t="n"/>
      <c r="M1154" s="29" t="n"/>
      <c r="N1154" s="28" t="n"/>
      <c r="O1154" s="24" t="n"/>
      <c r="P1154" s="24" t="n"/>
      <c r="Q1154" s="24" t="n"/>
      <c r="R1154" s="24" t="n"/>
      <c r="S1154" s="22">
        <f>IF(AND($A1154="",$C1154=""),"",IF($A1154="","Thiếu mã đơn; ","")&amp;IF(COUNTIF($A$2:$A1154,$A1154)&gt;1,"Trùng mã đơn; ","")&amp;IF(ISNA(MATCH($C1154,DATA_MASTER!$D$2:$D$5000,0)),"SĐT chưa đăng ký hội viên; ","")&amp;IF(AND($L1154="Đã chuyển khoản",$M1154=""),"Thiếu ngày nhận CK; ",""))</f>
        <v/>
      </c>
      <c r="T1154" s="24" t="n"/>
    </row>
    <row r="1155" ht="14.25" customHeight="1" s="40">
      <c r="A1155" s="24" t="n"/>
      <c r="B1155" s="29" t="n"/>
      <c r="C1155" s="28" t="n"/>
      <c r="D1155" s="22">
        <f t="array" ref="D1155">IF($C1155="","",IFERROR(INDEX(DATA_MASTER!$C$2:$C$5000,MATCH($C1155,DATA_MASTER!$D$2:$D$5000,0)),""))</f>
        <v/>
      </c>
      <c r="E1155" s="22">
        <f t="array" ref="E1155">IF($C1155="","",IFERROR(INDEX(DATA_MASTER!$I$2:$I$5000,MATCH($C1155,DATA_MASTER!$D$2:$D$5000,0)),""))</f>
        <v/>
      </c>
      <c r="F1155" s="22">
        <f t="array" ref="F1155">IF($C1155="","",IFERROR(INDEX(DATA_MASTER!$L$2:$L$5000,MATCH($C1155,DATA_MASTER!$D$2:$D$5000,0)),""))</f>
        <v/>
      </c>
      <c r="G1155" s="24" t="n"/>
      <c r="H1155" s="24" t="n"/>
      <c r="I1155" s="30" t="n"/>
      <c r="J1155" s="23">
        <f>IF(OR($H1155="",$I1155=""),"",$H1155*$I1155)</f>
        <v/>
      </c>
      <c r="K1155" s="24" t="n"/>
      <c r="L1155" s="24" t="n"/>
      <c r="M1155" s="29" t="n"/>
      <c r="N1155" s="28" t="n"/>
      <c r="O1155" s="24" t="n"/>
      <c r="P1155" s="24" t="n"/>
      <c r="Q1155" s="24" t="n"/>
      <c r="R1155" s="24" t="n"/>
      <c r="S1155" s="22">
        <f>IF(AND($A1155="",$C1155=""),"",IF($A1155="","Thiếu mã đơn; ","")&amp;IF(COUNTIF($A$2:$A1155,$A1155)&gt;1,"Trùng mã đơn; ","")&amp;IF(ISNA(MATCH($C1155,DATA_MASTER!$D$2:$D$5000,0)),"SĐT chưa đăng ký hội viên; ","")&amp;IF(AND($L1155="Đã chuyển khoản",$M1155=""),"Thiếu ngày nhận CK; ",""))</f>
        <v/>
      </c>
      <c r="T1155" s="24" t="n"/>
    </row>
    <row r="1156" ht="14.25" customHeight="1" s="40">
      <c r="A1156" s="24" t="n"/>
      <c r="B1156" s="29" t="n"/>
      <c r="C1156" s="28" t="n"/>
      <c r="D1156" s="22">
        <f t="array" ref="D1156">IF($C1156="","",IFERROR(INDEX(DATA_MASTER!$C$2:$C$5000,MATCH($C1156,DATA_MASTER!$D$2:$D$5000,0)),""))</f>
        <v/>
      </c>
      <c r="E1156" s="22">
        <f t="array" ref="E1156">IF($C1156="","",IFERROR(INDEX(DATA_MASTER!$I$2:$I$5000,MATCH($C1156,DATA_MASTER!$D$2:$D$5000,0)),""))</f>
        <v/>
      </c>
      <c r="F1156" s="22">
        <f t="array" ref="F1156">IF($C1156="","",IFERROR(INDEX(DATA_MASTER!$L$2:$L$5000,MATCH($C1156,DATA_MASTER!$D$2:$D$5000,0)),""))</f>
        <v/>
      </c>
      <c r="G1156" s="24" t="n"/>
      <c r="H1156" s="24" t="n"/>
      <c r="I1156" s="30" t="n"/>
      <c r="J1156" s="23">
        <f>IF(OR($H1156="",$I1156=""),"",$H1156*$I1156)</f>
        <v/>
      </c>
      <c r="K1156" s="24" t="n"/>
      <c r="L1156" s="24" t="n"/>
      <c r="M1156" s="29" t="n"/>
      <c r="N1156" s="28" t="n"/>
      <c r="O1156" s="24" t="n"/>
      <c r="P1156" s="24" t="n"/>
      <c r="Q1156" s="24" t="n"/>
      <c r="R1156" s="24" t="n"/>
      <c r="S1156" s="22">
        <f>IF(AND($A1156="",$C1156=""),"",IF($A1156="","Thiếu mã đơn; ","")&amp;IF(COUNTIF($A$2:$A1156,$A1156)&gt;1,"Trùng mã đơn; ","")&amp;IF(ISNA(MATCH($C1156,DATA_MASTER!$D$2:$D$5000,0)),"SĐT chưa đăng ký hội viên; ","")&amp;IF(AND($L1156="Đã chuyển khoản",$M1156=""),"Thiếu ngày nhận CK; ",""))</f>
        <v/>
      </c>
      <c r="T1156" s="24" t="n"/>
    </row>
    <row r="1157" ht="14.25" customHeight="1" s="40">
      <c r="A1157" s="24" t="n"/>
      <c r="B1157" s="29" t="n"/>
      <c r="C1157" s="28" t="n"/>
      <c r="D1157" s="22">
        <f t="array" ref="D1157">IF($C1157="","",IFERROR(INDEX(DATA_MASTER!$C$2:$C$5000,MATCH($C1157,DATA_MASTER!$D$2:$D$5000,0)),""))</f>
        <v/>
      </c>
      <c r="E1157" s="22">
        <f t="array" ref="E1157">IF($C1157="","",IFERROR(INDEX(DATA_MASTER!$I$2:$I$5000,MATCH($C1157,DATA_MASTER!$D$2:$D$5000,0)),""))</f>
        <v/>
      </c>
      <c r="F1157" s="22">
        <f t="array" ref="F1157">IF($C1157="","",IFERROR(INDEX(DATA_MASTER!$L$2:$L$5000,MATCH($C1157,DATA_MASTER!$D$2:$D$5000,0)),""))</f>
        <v/>
      </c>
      <c r="G1157" s="24" t="n"/>
      <c r="H1157" s="24" t="n"/>
      <c r="I1157" s="30" t="n"/>
      <c r="J1157" s="23">
        <f>IF(OR($H1157="",$I1157=""),"",$H1157*$I1157)</f>
        <v/>
      </c>
      <c r="K1157" s="24" t="n"/>
      <c r="L1157" s="24" t="n"/>
      <c r="M1157" s="29" t="n"/>
      <c r="N1157" s="28" t="n"/>
      <c r="O1157" s="24" t="n"/>
      <c r="P1157" s="24" t="n"/>
      <c r="Q1157" s="24" t="n"/>
      <c r="R1157" s="24" t="n"/>
      <c r="S1157" s="22">
        <f>IF(AND($A1157="",$C1157=""),"",IF($A1157="","Thiếu mã đơn; ","")&amp;IF(COUNTIF($A$2:$A1157,$A1157)&gt;1,"Trùng mã đơn; ","")&amp;IF(ISNA(MATCH($C1157,DATA_MASTER!$D$2:$D$5000,0)),"SĐT chưa đăng ký hội viên; ","")&amp;IF(AND($L1157="Đã chuyển khoản",$M1157=""),"Thiếu ngày nhận CK; ",""))</f>
        <v/>
      </c>
      <c r="T1157" s="24" t="n"/>
    </row>
    <row r="1158" ht="14.25" customHeight="1" s="40">
      <c r="A1158" s="24" t="n"/>
      <c r="B1158" s="29" t="n"/>
      <c r="C1158" s="28" t="n"/>
      <c r="D1158" s="22">
        <f t="array" ref="D1158">IF($C1158="","",IFERROR(INDEX(DATA_MASTER!$C$2:$C$5000,MATCH($C1158,DATA_MASTER!$D$2:$D$5000,0)),""))</f>
        <v/>
      </c>
      <c r="E1158" s="22">
        <f t="array" ref="E1158">IF($C1158="","",IFERROR(INDEX(DATA_MASTER!$I$2:$I$5000,MATCH($C1158,DATA_MASTER!$D$2:$D$5000,0)),""))</f>
        <v/>
      </c>
      <c r="F1158" s="22">
        <f t="array" ref="F1158">IF($C1158="","",IFERROR(INDEX(DATA_MASTER!$L$2:$L$5000,MATCH($C1158,DATA_MASTER!$D$2:$D$5000,0)),""))</f>
        <v/>
      </c>
      <c r="G1158" s="24" t="n"/>
      <c r="H1158" s="24" t="n"/>
      <c r="I1158" s="30" t="n"/>
      <c r="J1158" s="23">
        <f>IF(OR($H1158="",$I1158=""),"",$H1158*$I1158)</f>
        <v/>
      </c>
      <c r="K1158" s="24" t="n"/>
      <c r="L1158" s="24" t="n"/>
      <c r="M1158" s="29" t="n"/>
      <c r="N1158" s="28" t="n"/>
      <c r="O1158" s="24" t="n"/>
      <c r="P1158" s="24" t="n"/>
      <c r="Q1158" s="24" t="n"/>
      <c r="R1158" s="24" t="n"/>
      <c r="S1158" s="22">
        <f>IF(AND($A1158="",$C1158=""),"",IF($A1158="","Thiếu mã đơn; ","")&amp;IF(COUNTIF($A$2:$A1158,$A1158)&gt;1,"Trùng mã đơn; ","")&amp;IF(ISNA(MATCH($C1158,DATA_MASTER!$D$2:$D$5000,0)),"SĐT chưa đăng ký hội viên; ","")&amp;IF(AND($L1158="Đã chuyển khoản",$M1158=""),"Thiếu ngày nhận CK; ",""))</f>
        <v/>
      </c>
      <c r="T1158" s="24" t="n"/>
    </row>
    <row r="1159" ht="14.25" customHeight="1" s="40">
      <c r="A1159" s="24" t="n"/>
      <c r="B1159" s="29" t="n"/>
      <c r="C1159" s="28" t="n"/>
      <c r="D1159" s="22">
        <f t="array" ref="D1159">IF($C1159="","",IFERROR(INDEX(DATA_MASTER!$C$2:$C$5000,MATCH($C1159,DATA_MASTER!$D$2:$D$5000,0)),""))</f>
        <v/>
      </c>
      <c r="E1159" s="22">
        <f t="array" ref="E1159">IF($C1159="","",IFERROR(INDEX(DATA_MASTER!$I$2:$I$5000,MATCH($C1159,DATA_MASTER!$D$2:$D$5000,0)),""))</f>
        <v/>
      </c>
      <c r="F1159" s="22">
        <f t="array" ref="F1159">IF($C1159="","",IFERROR(INDEX(DATA_MASTER!$L$2:$L$5000,MATCH($C1159,DATA_MASTER!$D$2:$D$5000,0)),""))</f>
        <v/>
      </c>
      <c r="G1159" s="24" t="n"/>
      <c r="H1159" s="24" t="n"/>
      <c r="I1159" s="30" t="n"/>
      <c r="J1159" s="23">
        <f>IF(OR($H1159="",$I1159=""),"",$H1159*$I1159)</f>
        <v/>
      </c>
      <c r="K1159" s="24" t="n"/>
      <c r="L1159" s="24" t="n"/>
      <c r="M1159" s="29" t="n"/>
      <c r="N1159" s="28" t="n"/>
      <c r="O1159" s="24" t="n"/>
      <c r="P1159" s="24" t="n"/>
      <c r="Q1159" s="24" t="n"/>
      <c r="R1159" s="24" t="n"/>
      <c r="S1159" s="22">
        <f>IF(AND($A1159="",$C1159=""),"",IF($A1159="","Thiếu mã đơn; ","")&amp;IF(COUNTIF($A$2:$A1159,$A1159)&gt;1,"Trùng mã đơn; ","")&amp;IF(ISNA(MATCH($C1159,DATA_MASTER!$D$2:$D$5000,0)),"SĐT chưa đăng ký hội viên; ","")&amp;IF(AND($L1159="Đã chuyển khoản",$M1159=""),"Thiếu ngày nhận CK; ",""))</f>
        <v/>
      </c>
      <c r="T1159" s="24" t="n"/>
    </row>
    <row r="1160" ht="14.25" customHeight="1" s="40">
      <c r="A1160" s="24" t="n"/>
      <c r="B1160" s="29" t="n"/>
      <c r="C1160" s="28" t="n"/>
      <c r="D1160" s="22">
        <f t="array" ref="D1160">IF($C1160="","",IFERROR(INDEX(DATA_MASTER!$C$2:$C$5000,MATCH($C1160,DATA_MASTER!$D$2:$D$5000,0)),""))</f>
        <v/>
      </c>
      <c r="E1160" s="22">
        <f t="array" ref="E1160">IF($C1160="","",IFERROR(INDEX(DATA_MASTER!$I$2:$I$5000,MATCH($C1160,DATA_MASTER!$D$2:$D$5000,0)),""))</f>
        <v/>
      </c>
      <c r="F1160" s="22">
        <f t="array" ref="F1160">IF($C1160="","",IFERROR(INDEX(DATA_MASTER!$L$2:$L$5000,MATCH($C1160,DATA_MASTER!$D$2:$D$5000,0)),""))</f>
        <v/>
      </c>
      <c r="G1160" s="24" t="n"/>
      <c r="H1160" s="24" t="n"/>
      <c r="I1160" s="30" t="n"/>
      <c r="J1160" s="23">
        <f>IF(OR($H1160="",$I1160=""),"",$H1160*$I1160)</f>
        <v/>
      </c>
      <c r="K1160" s="24" t="n"/>
      <c r="L1160" s="24" t="n"/>
      <c r="M1160" s="29" t="n"/>
      <c r="N1160" s="28" t="n"/>
      <c r="O1160" s="24" t="n"/>
      <c r="P1160" s="24" t="n"/>
      <c r="Q1160" s="24" t="n"/>
      <c r="R1160" s="24" t="n"/>
      <c r="S1160" s="22">
        <f>IF(AND($A1160="",$C1160=""),"",IF($A1160="","Thiếu mã đơn; ","")&amp;IF(COUNTIF($A$2:$A1160,$A1160)&gt;1,"Trùng mã đơn; ","")&amp;IF(ISNA(MATCH($C1160,DATA_MASTER!$D$2:$D$5000,0)),"SĐT chưa đăng ký hội viên; ","")&amp;IF(AND($L1160="Đã chuyển khoản",$M1160=""),"Thiếu ngày nhận CK; ",""))</f>
        <v/>
      </c>
      <c r="T1160" s="24" t="n"/>
    </row>
    <row r="1161" ht="14.25" customHeight="1" s="40">
      <c r="A1161" s="24" t="n"/>
      <c r="B1161" s="29" t="n"/>
      <c r="C1161" s="28" t="n"/>
      <c r="D1161" s="22">
        <f t="array" ref="D1161">IF($C1161="","",IFERROR(INDEX(DATA_MASTER!$C$2:$C$5000,MATCH($C1161,DATA_MASTER!$D$2:$D$5000,0)),""))</f>
        <v/>
      </c>
      <c r="E1161" s="22">
        <f t="array" ref="E1161">IF($C1161="","",IFERROR(INDEX(DATA_MASTER!$I$2:$I$5000,MATCH($C1161,DATA_MASTER!$D$2:$D$5000,0)),""))</f>
        <v/>
      </c>
      <c r="F1161" s="22">
        <f t="array" ref="F1161">IF($C1161="","",IFERROR(INDEX(DATA_MASTER!$L$2:$L$5000,MATCH($C1161,DATA_MASTER!$D$2:$D$5000,0)),""))</f>
        <v/>
      </c>
      <c r="G1161" s="24" t="n"/>
      <c r="H1161" s="24" t="n"/>
      <c r="I1161" s="30" t="n"/>
      <c r="J1161" s="23">
        <f>IF(OR($H1161="",$I1161=""),"",$H1161*$I1161)</f>
        <v/>
      </c>
      <c r="K1161" s="24" t="n"/>
      <c r="L1161" s="24" t="n"/>
      <c r="M1161" s="29" t="n"/>
      <c r="N1161" s="28" t="n"/>
      <c r="O1161" s="24" t="n"/>
      <c r="P1161" s="24" t="n"/>
      <c r="Q1161" s="24" t="n"/>
      <c r="R1161" s="24" t="n"/>
      <c r="S1161" s="22">
        <f>IF(AND($A1161="",$C1161=""),"",IF($A1161="","Thiếu mã đơn; ","")&amp;IF(COUNTIF($A$2:$A1161,$A1161)&gt;1,"Trùng mã đơn; ","")&amp;IF(ISNA(MATCH($C1161,DATA_MASTER!$D$2:$D$5000,0)),"SĐT chưa đăng ký hội viên; ","")&amp;IF(AND($L1161="Đã chuyển khoản",$M1161=""),"Thiếu ngày nhận CK; ",""))</f>
        <v/>
      </c>
      <c r="T1161" s="24" t="n"/>
    </row>
    <row r="1162" ht="14.25" customHeight="1" s="40">
      <c r="A1162" s="24" t="n"/>
      <c r="B1162" s="29" t="n"/>
      <c r="C1162" s="28" t="n"/>
      <c r="D1162" s="22">
        <f t="array" ref="D1162">IF($C1162="","",IFERROR(INDEX(DATA_MASTER!$C$2:$C$5000,MATCH($C1162,DATA_MASTER!$D$2:$D$5000,0)),""))</f>
        <v/>
      </c>
      <c r="E1162" s="22">
        <f t="array" ref="E1162">IF($C1162="","",IFERROR(INDEX(DATA_MASTER!$I$2:$I$5000,MATCH($C1162,DATA_MASTER!$D$2:$D$5000,0)),""))</f>
        <v/>
      </c>
      <c r="F1162" s="22">
        <f t="array" ref="F1162">IF($C1162="","",IFERROR(INDEX(DATA_MASTER!$L$2:$L$5000,MATCH($C1162,DATA_MASTER!$D$2:$D$5000,0)),""))</f>
        <v/>
      </c>
      <c r="G1162" s="24" t="n"/>
      <c r="H1162" s="24" t="n"/>
      <c r="I1162" s="30" t="n"/>
      <c r="J1162" s="23">
        <f>IF(OR($H1162="",$I1162=""),"",$H1162*$I1162)</f>
        <v/>
      </c>
      <c r="K1162" s="24" t="n"/>
      <c r="L1162" s="24" t="n"/>
      <c r="M1162" s="29" t="n"/>
      <c r="N1162" s="28" t="n"/>
      <c r="O1162" s="24" t="n"/>
      <c r="P1162" s="24" t="n"/>
      <c r="Q1162" s="24" t="n"/>
      <c r="R1162" s="24" t="n"/>
      <c r="S1162" s="22">
        <f>IF(AND($A1162="",$C1162=""),"",IF($A1162="","Thiếu mã đơn; ","")&amp;IF(COUNTIF($A$2:$A1162,$A1162)&gt;1,"Trùng mã đơn; ","")&amp;IF(ISNA(MATCH($C1162,DATA_MASTER!$D$2:$D$5000,0)),"SĐT chưa đăng ký hội viên; ","")&amp;IF(AND($L1162="Đã chuyển khoản",$M1162=""),"Thiếu ngày nhận CK; ",""))</f>
        <v/>
      </c>
      <c r="T1162" s="24" t="n"/>
    </row>
    <row r="1163" ht="14.25" customHeight="1" s="40">
      <c r="A1163" s="24" t="n"/>
      <c r="B1163" s="29" t="n"/>
      <c r="C1163" s="28" t="n"/>
      <c r="D1163" s="22">
        <f t="array" ref="D1163">IF($C1163="","",IFERROR(INDEX(DATA_MASTER!$C$2:$C$5000,MATCH($C1163,DATA_MASTER!$D$2:$D$5000,0)),""))</f>
        <v/>
      </c>
      <c r="E1163" s="22">
        <f t="array" ref="E1163">IF($C1163="","",IFERROR(INDEX(DATA_MASTER!$I$2:$I$5000,MATCH($C1163,DATA_MASTER!$D$2:$D$5000,0)),""))</f>
        <v/>
      </c>
      <c r="F1163" s="22">
        <f t="array" ref="F1163">IF($C1163="","",IFERROR(INDEX(DATA_MASTER!$L$2:$L$5000,MATCH($C1163,DATA_MASTER!$D$2:$D$5000,0)),""))</f>
        <v/>
      </c>
      <c r="G1163" s="24" t="n"/>
      <c r="H1163" s="24" t="n"/>
      <c r="I1163" s="30" t="n"/>
      <c r="J1163" s="23">
        <f>IF(OR($H1163="",$I1163=""),"",$H1163*$I1163)</f>
        <v/>
      </c>
      <c r="K1163" s="24" t="n"/>
      <c r="L1163" s="24" t="n"/>
      <c r="M1163" s="29" t="n"/>
      <c r="N1163" s="28" t="n"/>
      <c r="O1163" s="24" t="n"/>
      <c r="P1163" s="24" t="n"/>
      <c r="Q1163" s="24" t="n"/>
      <c r="R1163" s="24" t="n"/>
      <c r="S1163" s="22">
        <f>IF(AND($A1163="",$C1163=""),"",IF($A1163="","Thiếu mã đơn; ","")&amp;IF(COUNTIF($A$2:$A1163,$A1163)&gt;1,"Trùng mã đơn; ","")&amp;IF(ISNA(MATCH($C1163,DATA_MASTER!$D$2:$D$5000,0)),"SĐT chưa đăng ký hội viên; ","")&amp;IF(AND($L1163="Đã chuyển khoản",$M1163=""),"Thiếu ngày nhận CK; ",""))</f>
        <v/>
      </c>
      <c r="T1163" s="24" t="n"/>
    </row>
    <row r="1164" ht="14.25" customHeight="1" s="40">
      <c r="A1164" s="24" t="n"/>
      <c r="B1164" s="29" t="n"/>
      <c r="C1164" s="28" t="n"/>
      <c r="D1164" s="22">
        <f t="array" ref="D1164">IF($C1164="","",IFERROR(INDEX(DATA_MASTER!$C$2:$C$5000,MATCH($C1164,DATA_MASTER!$D$2:$D$5000,0)),""))</f>
        <v/>
      </c>
      <c r="E1164" s="22">
        <f t="array" ref="E1164">IF($C1164="","",IFERROR(INDEX(DATA_MASTER!$I$2:$I$5000,MATCH($C1164,DATA_MASTER!$D$2:$D$5000,0)),""))</f>
        <v/>
      </c>
      <c r="F1164" s="22">
        <f t="array" ref="F1164">IF($C1164="","",IFERROR(INDEX(DATA_MASTER!$L$2:$L$5000,MATCH($C1164,DATA_MASTER!$D$2:$D$5000,0)),""))</f>
        <v/>
      </c>
      <c r="G1164" s="24" t="n"/>
      <c r="H1164" s="24" t="n"/>
      <c r="I1164" s="30" t="n"/>
      <c r="J1164" s="23">
        <f>IF(OR($H1164="",$I1164=""),"",$H1164*$I1164)</f>
        <v/>
      </c>
      <c r="K1164" s="24" t="n"/>
      <c r="L1164" s="24" t="n"/>
      <c r="M1164" s="29" t="n"/>
      <c r="N1164" s="28" t="n"/>
      <c r="O1164" s="24" t="n"/>
      <c r="P1164" s="24" t="n"/>
      <c r="Q1164" s="24" t="n"/>
      <c r="R1164" s="24" t="n"/>
      <c r="S1164" s="22">
        <f>IF(AND($A1164="",$C1164=""),"",IF($A1164="","Thiếu mã đơn; ","")&amp;IF(COUNTIF($A$2:$A1164,$A1164)&gt;1,"Trùng mã đơn; ","")&amp;IF(ISNA(MATCH($C1164,DATA_MASTER!$D$2:$D$5000,0)),"SĐT chưa đăng ký hội viên; ","")&amp;IF(AND($L1164="Đã chuyển khoản",$M1164=""),"Thiếu ngày nhận CK; ",""))</f>
        <v/>
      </c>
      <c r="T1164" s="24" t="n"/>
    </row>
    <row r="1165" ht="14.25" customHeight="1" s="40">
      <c r="A1165" s="24" t="n"/>
      <c r="B1165" s="29" t="n"/>
      <c r="C1165" s="28" t="n"/>
      <c r="D1165" s="22">
        <f t="array" ref="D1165">IF($C1165="","",IFERROR(INDEX(DATA_MASTER!$C$2:$C$5000,MATCH($C1165,DATA_MASTER!$D$2:$D$5000,0)),""))</f>
        <v/>
      </c>
      <c r="E1165" s="22">
        <f t="array" ref="E1165">IF($C1165="","",IFERROR(INDEX(DATA_MASTER!$I$2:$I$5000,MATCH($C1165,DATA_MASTER!$D$2:$D$5000,0)),""))</f>
        <v/>
      </c>
      <c r="F1165" s="22">
        <f t="array" ref="F1165">IF($C1165="","",IFERROR(INDEX(DATA_MASTER!$L$2:$L$5000,MATCH($C1165,DATA_MASTER!$D$2:$D$5000,0)),""))</f>
        <v/>
      </c>
      <c r="G1165" s="24" t="n"/>
      <c r="H1165" s="24" t="n"/>
      <c r="I1165" s="30" t="n"/>
      <c r="J1165" s="23">
        <f>IF(OR($H1165="",$I1165=""),"",$H1165*$I1165)</f>
        <v/>
      </c>
      <c r="K1165" s="24" t="n"/>
      <c r="L1165" s="24" t="n"/>
      <c r="M1165" s="29" t="n"/>
      <c r="N1165" s="28" t="n"/>
      <c r="O1165" s="24" t="n"/>
      <c r="P1165" s="24" t="n"/>
      <c r="Q1165" s="24" t="n"/>
      <c r="R1165" s="24" t="n"/>
      <c r="S1165" s="22">
        <f>IF(AND($A1165="",$C1165=""),"",IF($A1165="","Thiếu mã đơn; ","")&amp;IF(COUNTIF($A$2:$A1165,$A1165)&gt;1,"Trùng mã đơn; ","")&amp;IF(ISNA(MATCH($C1165,DATA_MASTER!$D$2:$D$5000,0)),"SĐT chưa đăng ký hội viên; ","")&amp;IF(AND($L1165="Đã chuyển khoản",$M1165=""),"Thiếu ngày nhận CK; ",""))</f>
        <v/>
      </c>
      <c r="T1165" s="24" t="n"/>
    </row>
    <row r="1166" ht="14.25" customHeight="1" s="40">
      <c r="A1166" s="24" t="n"/>
      <c r="B1166" s="29" t="n"/>
      <c r="C1166" s="28" t="n"/>
      <c r="D1166" s="22">
        <f t="array" ref="D1166">IF($C1166="","",IFERROR(INDEX(DATA_MASTER!$C$2:$C$5000,MATCH($C1166,DATA_MASTER!$D$2:$D$5000,0)),""))</f>
        <v/>
      </c>
      <c r="E1166" s="22">
        <f t="array" ref="E1166">IF($C1166="","",IFERROR(INDEX(DATA_MASTER!$I$2:$I$5000,MATCH($C1166,DATA_MASTER!$D$2:$D$5000,0)),""))</f>
        <v/>
      </c>
      <c r="F1166" s="22">
        <f t="array" ref="F1166">IF($C1166="","",IFERROR(INDEX(DATA_MASTER!$L$2:$L$5000,MATCH($C1166,DATA_MASTER!$D$2:$D$5000,0)),""))</f>
        <v/>
      </c>
      <c r="G1166" s="24" t="n"/>
      <c r="H1166" s="24" t="n"/>
      <c r="I1166" s="30" t="n"/>
      <c r="J1166" s="23">
        <f>IF(OR($H1166="",$I1166=""),"",$H1166*$I1166)</f>
        <v/>
      </c>
      <c r="K1166" s="24" t="n"/>
      <c r="L1166" s="24" t="n"/>
      <c r="M1166" s="29" t="n"/>
      <c r="N1166" s="28" t="n"/>
      <c r="O1166" s="24" t="n"/>
      <c r="P1166" s="24" t="n"/>
      <c r="Q1166" s="24" t="n"/>
      <c r="R1166" s="24" t="n"/>
      <c r="S1166" s="22">
        <f>IF(AND($A1166="",$C1166=""),"",IF($A1166="","Thiếu mã đơn; ","")&amp;IF(COUNTIF($A$2:$A1166,$A1166)&gt;1,"Trùng mã đơn; ","")&amp;IF(ISNA(MATCH($C1166,DATA_MASTER!$D$2:$D$5000,0)),"SĐT chưa đăng ký hội viên; ","")&amp;IF(AND($L1166="Đã chuyển khoản",$M1166=""),"Thiếu ngày nhận CK; ",""))</f>
        <v/>
      </c>
      <c r="T1166" s="24" t="n"/>
    </row>
    <row r="1167" ht="14.25" customHeight="1" s="40">
      <c r="A1167" s="24" t="n"/>
      <c r="B1167" s="29" t="n"/>
      <c r="C1167" s="28" t="n"/>
      <c r="D1167" s="22">
        <f t="array" ref="D1167">IF($C1167="","",IFERROR(INDEX(DATA_MASTER!$C$2:$C$5000,MATCH($C1167,DATA_MASTER!$D$2:$D$5000,0)),""))</f>
        <v/>
      </c>
      <c r="E1167" s="22">
        <f t="array" ref="E1167">IF($C1167="","",IFERROR(INDEX(DATA_MASTER!$I$2:$I$5000,MATCH($C1167,DATA_MASTER!$D$2:$D$5000,0)),""))</f>
        <v/>
      </c>
      <c r="F1167" s="22">
        <f t="array" ref="F1167">IF($C1167="","",IFERROR(INDEX(DATA_MASTER!$L$2:$L$5000,MATCH($C1167,DATA_MASTER!$D$2:$D$5000,0)),""))</f>
        <v/>
      </c>
      <c r="G1167" s="24" t="n"/>
      <c r="H1167" s="24" t="n"/>
      <c r="I1167" s="30" t="n"/>
      <c r="J1167" s="23">
        <f>IF(OR($H1167="",$I1167=""),"",$H1167*$I1167)</f>
        <v/>
      </c>
      <c r="K1167" s="24" t="n"/>
      <c r="L1167" s="24" t="n"/>
      <c r="M1167" s="29" t="n"/>
      <c r="N1167" s="28" t="n"/>
      <c r="O1167" s="24" t="n"/>
      <c r="P1167" s="24" t="n"/>
      <c r="Q1167" s="24" t="n"/>
      <c r="R1167" s="24" t="n"/>
      <c r="S1167" s="22">
        <f>IF(AND($A1167="",$C1167=""),"",IF($A1167="","Thiếu mã đơn; ","")&amp;IF(COUNTIF($A$2:$A1167,$A1167)&gt;1,"Trùng mã đơn; ","")&amp;IF(ISNA(MATCH($C1167,DATA_MASTER!$D$2:$D$5000,0)),"SĐT chưa đăng ký hội viên; ","")&amp;IF(AND($L1167="Đã chuyển khoản",$M1167=""),"Thiếu ngày nhận CK; ",""))</f>
        <v/>
      </c>
      <c r="T1167" s="24" t="n"/>
    </row>
    <row r="1168" ht="14.25" customHeight="1" s="40">
      <c r="A1168" s="24" t="n"/>
      <c r="B1168" s="29" t="n"/>
      <c r="C1168" s="28" t="n"/>
      <c r="D1168" s="22">
        <f t="array" ref="D1168">IF($C1168="","",IFERROR(INDEX(DATA_MASTER!$C$2:$C$5000,MATCH($C1168,DATA_MASTER!$D$2:$D$5000,0)),""))</f>
        <v/>
      </c>
      <c r="E1168" s="22">
        <f t="array" ref="E1168">IF($C1168="","",IFERROR(INDEX(DATA_MASTER!$I$2:$I$5000,MATCH($C1168,DATA_MASTER!$D$2:$D$5000,0)),""))</f>
        <v/>
      </c>
      <c r="F1168" s="22">
        <f t="array" ref="F1168">IF($C1168="","",IFERROR(INDEX(DATA_MASTER!$L$2:$L$5000,MATCH($C1168,DATA_MASTER!$D$2:$D$5000,0)),""))</f>
        <v/>
      </c>
      <c r="G1168" s="24" t="n"/>
      <c r="H1168" s="24" t="n"/>
      <c r="I1168" s="30" t="n"/>
      <c r="J1168" s="23">
        <f>IF(OR($H1168="",$I1168=""),"",$H1168*$I1168)</f>
        <v/>
      </c>
      <c r="K1168" s="24" t="n"/>
      <c r="L1168" s="24" t="n"/>
      <c r="M1168" s="29" t="n"/>
      <c r="N1168" s="28" t="n"/>
      <c r="O1168" s="24" t="n"/>
      <c r="P1168" s="24" t="n"/>
      <c r="Q1168" s="24" t="n"/>
      <c r="R1168" s="24" t="n"/>
      <c r="S1168" s="22">
        <f>IF(AND($A1168="",$C1168=""),"",IF($A1168="","Thiếu mã đơn; ","")&amp;IF(COUNTIF($A$2:$A1168,$A1168)&gt;1,"Trùng mã đơn; ","")&amp;IF(ISNA(MATCH($C1168,DATA_MASTER!$D$2:$D$5000,0)),"SĐT chưa đăng ký hội viên; ","")&amp;IF(AND($L1168="Đã chuyển khoản",$M1168=""),"Thiếu ngày nhận CK; ",""))</f>
        <v/>
      </c>
      <c r="T1168" s="24" t="n"/>
    </row>
    <row r="1169" ht="14.25" customHeight="1" s="40">
      <c r="A1169" s="24" t="n"/>
      <c r="B1169" s="29" t="n"/>
      <c r="C1169" s="28" t="n"/>
      <c r="D1169" s="22">
        <f t="array" ref="D1169">IF($C1169="","",IFERROR(INDEX(DATA_MASTER!$C$2:$C$5000,MATCH($C1169,DATA_MASTER!$D$2:$D$5000,0)),""))</f>
        <v/>
      </c>
      <c r="E1169" s="22">
        <f t="array" ref="E1169">IF($C1169="","",IFERROR(INDEX(DATA_MASTER!$I$2:$I$5000,MATCH($C1169,DATA_MASTER!$D$2:$D$5000,0)),""))</f>
        <v/>
      </c>
      <c r="F1169" s="22">
        <f t="array" ref="F1169">IF($C1169="","",IFERROR(INDEX(DATA_MASTER!$L$2:$L$5000,MATCH($C1169,DATA_MASTER!$D$2:$D$5000,0)),""))</f>
        <v/>
      </c>
      <c r="G1169" s="24" t="n"/>
      <c r="H1169" s="24" t="n"/>
      <c r="I1169" s="30" t="n"/>
      <c r="J1169" s="23">
        <f>IF(OR($H1169="",$I1169=""),"",$H1169*$I1169)</f>
        <v/>
      </c>
      <c r="K1169" s="24" t="n"/>
      <c r="L1169" s="24" t="n"/>
      <c r="M1169" s="29" t="n"/>
      <c r="N1169" s="28" t="n"/>
      <c r="O1169" s="24" t="n"/>
      <c r="P1169" s="24" t="n"/>
      <c r="Q1169" s="24" t="n"/>
      <c r="R1169" s="24" t="n"/>
      <c r="S1169" s="22">
        <f>IF(AND($A1169="",$C1169=""),"",IF($A1169="","Thiếu mã đơn; ","")&amp;IF(COUNTIF($A$2:$A1169,$A1169)&gt;1,"Trùng mã đơn; ","")&amp;IF(ISNA(MATCH($C1169,DATA_MASTER!$D$2:$D$5000,0)),"SĐT chưa đăng ký hội viên; ","")&amp;IF(AND($L1169="Đã chuyển khoản",$M1169=""),"Thiếu ngày nhận CK; ",""))</f>
        <v/>
      </c>
      <c r="T1169" s="24" t="n"/>
    </row>
    <row r="1170" ht="14.25" customHeight="1" s="40">
      <c r="A1170" s="24" t="n"/>
      <c r="B1170" s="29" t="n"/>
      <c r="C1170" s="28" t="n"/>
      <c r="D1170" s="22">
        <f t="array" ref="D1170">IF($C1170="","",IFERROR(INDEX(DATA_MASTER!$C$2:$C$5000,MATCH($C1170,DATA_MASTER!$D$2:$D$5000,0)),""))</f>
        <v/>
      </c>
      <c r="E1170" s="22">
        <f t="array" ref="E1170">IF($C1170="","",IFERROR(INDEX(DATA_MASTER!$I$2:$I$5000,MATCH($C1170,DATA_MASTER!$D$2:$D$5000,0)),""))</f>
        <v/>
      </c>
      <c r="F1170" s="22">
        <f t="array" ref="F1170">IF($C1170="","",IFERROR(INDEX(DATA_MASTER!$L$2:$L$5000,MATCH($C1170,DATA_MASTER!$D$2:$D$5000,0)),""))</f>
        <v/>
      </c>
      <c r="G1170" s="24" t="n"/>
      <c r="H1170" s="24" t="n"/>
      <c r="I1170" s="30" t="n"/>
      <c r="J1170" s="23">
        <f>IF(OR($H1170="",$I1170=""),"",$H1170*$I1170)</f>
        <v/>
      </c>
      <c r="K1170" s="24" t="n"/>
      <c r="L1170" s="24" t="n"/>
      <c r="M1170" s="29" t="n"/>
      <c r="N1170" s="28" t="n"/>
      <c r="O1170" s="24" t="n"/>
      <c r="P1170" s="24" t="n"/>
      <c r="Q1170" s="24" t="n"/>
      <c r="R1170" s="24" t="n"/>
      <c r="S1170" s="22">
        <f>IF(AND($A1170="",$C1170=""),"",IF($A1170="","Thiếu mã đơn; ","")&amp;IF(COUNTIF($A$2:$A1170,$A1170)&gt;1,"Trùng mã đơn; ","")&amp;IF(ISNA(MATCH($C1170,DATA_MASTER!$D$2:$D$5000,0)),"SĐT chưa đăng ký hội viên; ","")&amp;IF(AND($L1170="Đã chuyển khoản",$M1170=""),"Thiếu ngày nhận CK; ",""))</f>
        <v/>
      </c>
      <c r="T1170" s="24" t="n"/>
    </row>
    <row r="1171" ht="14.25" customHeight="1" s="40">
      <c r="A1171" s="24" t="n"/>
      <c r="B1171" s="29" t="n"/>
      <c r="C1171" s="28" t="n"/>
      <c r="D1171" s="22">
        <f t="array" ref="D1171">IF($C1171="","",IFERROR(INDEX(DATA_MASTER!$C$2:$C$5000,MATCH($C1171,DATA_MASTER!$D$2:$D$5000,0)),""))</f>
        <v/>
      </c>
      <c r="E1171" s="22">
        <f t="array" ref="E1171">IF($C1171="","",IFERROR(INDEX(DATA_MASTER!$I$2:$I$5000,MATCH($C1171,DATA_MASTER!$D$2:$D$5000,0)),""))</f>
        <v/>
      </c>
      <c r="F1171" s="22">
        <f t="array" ref="F1171">IF($C1171="","",IFERROR(INDEX(DATA_MASTER!$L$2:$L$5000,MATCH($C1171,DATA_MASTER!$D$2:$D$5000,0)),""))</f>
        <v/>
      </c>
      <c r="G1171" s="24" t="n"/>
      <c r="H1171" s="24" t="n"/>
      <c r="I1171" s="30" t="n"/>
      <c r="J1171" s="23">
        <f>IF(OR($H1171="",$I1171=""),"",$H1171*$I1171)</f>
        <v/>
      </c>
      <c r="K1171" s="24" t="n"/>
      <c r="L1171" s="24" t="n"/>
      <c r="M1171" s="29" t="n"/>
      <c r="N1171" s="28" t="n"/>
      <c r="O1171" s="24" t="n"/>
      <c r="P1171" s="24" t="n"/>
      <c r="Q1171" s="24" t="n"/>
      <c r="R1171" s="24" t="n"/>
      <c r="S1171" s="22">
        <f>IF(AND($A1171="",$C1171=""),"",IF($A1171="","Thiếu mã đơn; ","")&amp;IF(COUNTIF($A$2:$A1171,$A1171)&gt;1,"Trùng mã đơn; ","")&amp;IF(ISNA(MATCH($C1171,DATA_MASTER!$D$2:$D$5000,0)),"SĐT chưa đăng ký hội viên; ","")&amp;IF(AND($L1171="Đã chuyển khoản",$M1171=""),"Thiếu ngày nhận CK; ",""))</f>
        <v/>
      </c>
      <c r="T1171" s="24" t="n"/>
    </row>
    <row r="1172" ht="14.25" customHeight="1" s="40">
      <c r="A1172" s="24" t="n"/>
      <c r="B1172" s="29" t="n"/>
      <c r="C1172" s="28" t="n"/>
      <c r="D1172" s="22">
        <f t="array" ref="D1172">IF($C1172="","",IFERROR(INDEX(DATA_MASTER!$C$2:$C$5000,MATCH($C1172,DATA_MASTER!$D$2:$D$5000,0)),""))</f>
        <v/>
      </c>
      <c r="E1172" s="22">
        <f t="array" ref="E1172">IF($C1172="","",IFERROR(INDEX(DATA_MASTER!$I$2:$I$5000,MATCH($C1172,DATA_MASTER!$D$2:$D$5000,0)),""))</f>
        <v/>
      </c>
      <c r="F1172" s="22">
        <f t="array" ref="F1172">IF($C1172="","",IFERROR(INDEX(DATA_MASTER!$L$2:$L$5000,MATCH($C1172,DATA_MASTER!$D$2:$D$5000,0)),""))</f>
        <v/>
      </c>
      <c r="G1172" s="24" t="n"/>
      <c r="H1172" s="24" t="n"/>
      <c r="I1172" s="30" t="n"/>
      <c r="J1172" s="23">
        <f>IF(OR($H1172="",$I1172=""),"",$H1172*$I1172)</f>
        <v/>
      </c>
      <c r="K1172" s="24" t="n"/>
      <c r="L1172" s="24" t="n"/>
      <c r="M1172" s="29" t="n"/>
      <c r="N1172" s="28" t="n"/>
      <c r="O1172" s="24" t="n"/>
      <c r="P1172" s="24" t="n"/>
      <c r="Q1172" s="24" t="n"/>
      <c r="R1172" s="24" t="n"/>
      <c r="S1172" s="22">
        <f>IF(AND($A1172="",$C1172=""),"",IF($A1172="","Thiếu mã đơn; ","")&amp;IF(COUNTIF($A$2:$A1172,$A1172)&gt;1,"Trùng mã đơn; ","")&amp;IF(ISNA(MATCH($C1172,DATA_MASTER!$D$2:$D$5000,0)),"SĐT chưa đăng ký hội viên; ","")&amp;IF(AND($L1172="Đã chuyển khoản",$M1172=""),"Thiếu ngày nhận CK; ",""))</f>
        <v/>
      </c>
      <c r="T1172" s="24" t="n"/>
    </row>
    <row r="1173" ht="14.25" customHeight="1" s="40">
      <c r="A1173" s="24" t="n"/>
      <c r="B1173" s="29" t="n"/>
      <c r="C1173" s="28" t="n"/>
      <c r="D1173" s="22">
        <f t="array" ref="D1173">IF($C1173="","",IFERROR(INDEX(DATA_MASTER!$C$2:$C$5000,MATCH($C1173,DATA_MASTER!$D$2:$D$5000,0)),""))</f>
        <v/>
      </c>
      <c r="E1173" s="22">
        <f t="array" ref="E1173">IF($C1173="","",IFERROR(INDEX(DATA_MASTER!$I$2:$I$5000,MATCH($C1173,DATA_MASTER!$D$2:$D$5000,0)),""))</f>
        <v/>
      </c>
      <c r="F1173" s="22">
        <f t="array" ref="F1173">IF($C1173="","",IFERROR(INDEX(DATA_MASTER!$L$2:$L$5000,MATCH($C1173,DATA_MASTER!$D$2:$D$5000,0)),""))</f>
        <v/>
      </c>
      <c r="G1173" s="24" t="n"/>
      <c r="H1173" s="24" t="n"/>
      <c r="I1173" s="30" t="n"/>
      <c r="J1173" s="23">
        <f>IF(OR($H1173="",$I1173=""),"",$H1173*$I1173)</f>
        <v/>
      </c>
      <c r="K1173" s="24" t="n"/>
      <c r="L1173" s="24" t="n"/>
      <c r="M1173" s="29" t="n"/>
      <c r="N1173" s="28" t="n"/>
      <c r="O1173" s="24" t="n"/>
      <c r="P1173" s="24" t="n"/>
      <c r="Q1173" s="24" t="n"/>
      <c r="R1173" s="24" t="n"/>
      <c r="S1173" s="22">
        <f>IF(AND($A1173="",$C1173=""),"",IF($A1173="","Thiếu mã đơn; ","")&amp;IF(COUNTIF($A$2:$A1173,$A1173)&gt;1,"Trùng mã đơn; ","")&amp;IF(ISNA(MATCH($C1173,DATA_MASTER!$D$2:$D$5000,0)),"SĐT chưa đăng ký hội viên; ","")&amp;IF(AND($L1173="Đã chuyển khoản",$M1173=""),"Thiếu ngày nhận CK; ",""))</f>
        <v/>
      </c>
      <c r="T1173" s="24" t="n"/>
    </row>
    <row r="1174" ht="14.25" customHeight="1" s="40">
      <c r="A1174" s="24" t="n"/>
      <c r="B1174" s="29" t="n"/>
      <c r="C1174" s="28" t="n"/>
      <c r="D1174" s="22">
        <f t="array" ref="D1174">IF($C1174="","",IFERROR(INDEX(DATA_MASTER!$C$2:$C$5000,MATCH($C1174,DATA_MASTER!$D$2:$D$5000,0)),""))</f>
        <v/>
      </c>
      <c r="E1174" s="22">
        <f t="array" ref="E1174">IF($C1174="","",IFERROR(INDEX(DATA_MASTER!$I$2:$I$5000,MATCH($C1174,DATA_MASTER!$D$2:$D$5000,0)),""))</f>
        <v/>
      </c>
      <c r="F1174" s="22">
        <f t="array" ref="F1174">IF($C1174="","",IFERROR(INDEX(DATA_MASTER!$L$2:$L$5000,MATCH($C1174,DATA_MASTER!$D$2:$D$5000,0)),""))</f>
        <v/>
      </c>
      <c r="G1174" s="24" t="n"/>
      <c r="H1174" s="24" t="n"/>
      <c r="I1174" s="30" t="n"/>
      <c r="J1174" s="23">
        <f>IF(OR($H1174="",$I1174=""),"",$H1174*$I1174)</f>
        <v/>
      </c>
      <c r="K1174" s="24" t="n"/>
      <c r="L1174" s="24" t="n"/>
      <c r="M1174" s="29" t="n"/>
      <c r="N1174" s="28" t="n"/>
      <c r="O1174" s="24" t="n"/>
      <c r="P1174" s="24" t="n"/>
      <c r="Q1174" s="24" t="n"/>
      <c r="R1174" s="24" t="n"/>
      <c r="S1174" s="22">
        <f>IF(AND($A1174="",$C1174=""),"",IF($A1174="","Thiếu mã đơn; ","")&amp;IF(COUNTIF($A$2:$A1174,$A1174)&gt;1,"Trùng mã đơn; ","")&amp;IF(ISNA(MATCH($C1174,DATA_MASTER!$D$2:$D$5000,0)),"SĐT chưa đăng ký hội viên; ","")&amp;IF(AND($L1174="Đã chuyển khoản",$M1174=""),"Thiếu ngày nhận CK; ",""))</f>
        <v/>
      </c>
      <c r="T1174" s="24" t="n"/>
    </row>
    <row r="1175" ht="14.25" customHeight="1" s="40">
      <c r="A1175" s="24" t="n"/>
      <c r="B1175" s="29" t="n"/>
      <c r="C1175" s="28" t="n"/>
      <c r="D1175" s="22">
        <f t="array" ref="D1175">IF($C1175="","",IFERROR(INDEX(DATA_MASTER!$C$2:$C$5000,MATCH($C1175,DATA_MASTER!$D$2:$D$5000,0)),""))</f>
        <v/>
      </c>
      <c r="E1175" s="22">
        <f t="array" ref="E1175">IF($C1175="","",IFERROR(INDEX(DATA_MASTER!$I$2:$I$5000,MATCH($C1175,DATA_MASTER!$D$2:$D$5000,0)),""))</f>
        <v/>
      </c>
      <c r="F1175" s="22">
        <f t="array" ref="F1175">IF($C1175="","",IFERROR(INDEX(DATA_MASTER!$L$2:$L$5000,MATCH($C1175,DATA_MASTER!$D$2:$D$5000,0)),""))</f>
        <v/>
      </c>
      <c r="G1175" s="24" t="n"/>
      <c r="H1175" s="24" t="n"/>
      <c r="I1175" s="30" t="n"/>
      <c r="J1175" s="23">
        <f>IF(OR($H1175="",$I1175=""),"",$H1175*$I1175)</f>
        <v/>
      </c>
      <c r="K1175" s="24" t="n"/>
      <c r="L1175" s="24" t="n"/>
      <c r="M1175" s="29" t="n"/>
      <c r="N1175" s="28" t="n"/>
      <c r="O1175" s="24" t="n"/>
      <c r="P1175" s="24" t="n"/>
      <c r="Q1175" s="24" t="n"/>
      <c r="R1175" s="24" t="n"/>
      <c r="S1175" s="22">
        <f>IF(AND($A1175="",$C1175=""),"",IF($A1175="","Thiếu mã đơn; ","")&amp;IF(COUNTIF($A$2:$A1175,$A1175)&gt;1,"Trùng mã đơn; ","")&amp;IF(ISNA(MATCH($C1175,DATA_MASTER!$D$2:$D$5000,0)),"SĐT chưa đăng ký hội viên; ","")&amp;IF(AND($L1175="Đã chuyển khoản",$M1175=""),"Thiếu ngày nhận CK; ",""))</f>
        <v/>
      </c>
      <c r="T1175" s="24" t="n"/>
    </row>
    <row r="1176" ht="14.25" customHeight="1" s="40">
      <c r="A1176" s="24" t="n"/>
      <c r="B1176" s="29" t="n"/>
      <c r="C1176" s="28" t="n"/>
      <c r="D1176" s="22">
        <f t="array" ref="D1176">IF($C1176="","",IFERROR(INDEX(DATA_MASTER!$C$2:$C$5000,MATCH($C1176,DATA_MASTER!$D$2:$D$5000,0)),""))</f>
        <v/>
      </c>
      <c r="E1176" s="22">
        <f t="array" ref="E1176">IF($C1176="","",IFERROR(INDEX(DATA_MASTER!$I$2:$I$5000,MATCH($C1176,DATA_MASTER!$D$2:$D$5000,0)),""))</f>
        <v/>
      </c>
      <c r="F1176" s="22">
        <f t="array" ref="F1176">IF($C1176="","",IFERROR(INDEX(DATA_MASTER!$L$2:$L$5000,MATCH($C1176,DATA_MASTER!$D$2:$D$5000,0)),""))</f>
        <v/>
      </c>
      <c r="G1176" s="24" t="n"/>
      <c r="H1176" s="24" t="n"/>
      <c r="I1176" s="30" t="n"/>
      <c r="J1176" s="23">
        <f>IF(OR($H1176="",$I1176=""),"",$H1176*$I1176)</f>
        <v/>
      </c>
      <c r="K1176" s="24" t="n"/>
      <c r="L1176" s="24" t="n"/>
      <c r="M1176" s="29" t="n"/>
      <c r="N1176" s="28" t="n"/>
      <c r="O1176" s="24" t="n"/>
      <c r="P1176" s="24" t="n"/>
      <c r="Q1176" s="24" t="n"/>
      <c r="R1176" s="24" t="n"/>
      <c r="S1176" s="22">
        <f>IF(AND($A1176="",$C1176=""),"",IF($A1176="","Thiếu mã đơn; ","")&amp;IF(COUNTIF($A$2:$A1176,$A1176)&gt;1,"Trùng mã đơn; ","")&amp;IF(ISNA(MATCH($C1176,DATA_MASTER!$D$2:$D$5000,0)),"SĐT chưa đăng ký hội viên; ","")&amp;IF(AND($L1176="Đã chuyển khoản",$M1176=""),"Thiếu ngày nhận CK; ",""))</f>
        <v/>
      </c>
      <c r="T1176" s="24" t="n"/>
    </row>
    <row r="1177" ht="14.25" customHeight="1" s="40">
      <c r="A1177" s="24" t="n"/>
      <c r="B1177" s="29" t="n"/>
      <c r="C1177" s="28" t="n"/>
      <c r="D1177" s="22">
        <f t="array" ref="D1177">IF($C1177="","",IFERROR(INDEX(DATA_MASTER!$C$2:$C$5000,MATCH($C1177,DATA_MASTER!$D$2:$D$5000,0)),""))</f>
        <v/>
      </c>
      <c r="E1177" s="22">
        <f t="array" ref="E1177">IF($C1177="","",IFERROR(INDEX(DATA_MASTER!$I$2:$I$5000,MATCH($C1177,DATA_MASTER!$D$2:$D$5000,0)),""))</f>
        <v/>
      </c>
      <c r="F1177" s="22">
        <f t="array" ref="F1177">IF($C1177="","",IFERROR(INDEX(DATA_MASTER!$L$2:$L$5000,MATCH($C1177,DATA_MASTER!$D$2:$D$5000,0)),""))</f>
        <v/>
      </c>
      <c r="G1177" s="24" t="n"/>
      <c r="H1177" s="24" t="n"/>
      <c r="I1177" s="30" t="n"/>
      <c r="J1177" s="23">
        <f>IF(OR($H1177="",$I1177=""),"",$H1177*$I1177)</f>
        <v/>
      </c>
      <c r="K1177" s="24" t="n"/>
      <c r="L1177" s="24" t="n"/>
      <c r="M1177" s="29" t="n"/>
      <c r="N1177" s="28" t="n"/>
      <c r="O1177" s="24" t="n"/>
      <c r="P1177" s="24" t="n"/>
      <c r="Q1177" s="24" t="n"/>
      <c r="R1177" s="24" t="n"/>
      <c r="S1177" s="22">
        <f>IF(AND($A1177="",$C1177=""),"",IF($A1177="","Thiếu mã đơn; ","")&amp;IF(COUNTIF($A$2:$A1177,$A1177)&gt;1,"Trùng mã đơn; ","")&amp;IF(ISNA(MATCH($C1177,DATA_MASTER!$D$2:$D$5000,0)),"SĐT chưa đăng ký hội viên; ","")&amp;IF(AND($L1177="Đã chuyển khoản",$M1177=""),"Thiếu ngày nhận CK; ",""))</f>
        <v/>
      </c>
      <c r="T1177" s="24" t="n"/>
    </row>
    <row r="1178" ht="14.25" customHeight="1" s="40">
      <c r="A1178" s="24" t="n"/>
      <c r="B1178" s="29" t="n"/>
      <c r="C1178" s="28" t="n"/>
      <c r="D1178" s="22">
        <f t="array" ref="D1178">IF($C1178="","",IFERROR(INDEX(DATA_MASTER!$C$2:$C$5000,MATCH($C1178,DATA_MASTER!$D$2:$D$5000,0)),""))</f>
        <v/>
      </c>
      <c r="E1178" s="22">
        <f t="array" ref="E1178">IF($C1178="","",IFERROR(INDEX(DATA_MASTER!$I$2:$I$5000,MATCH($C1178,DATA_MASTER!$D$2:$D$5000,0)),""))</f>
        <v/>
      </c>
      <c r="F1178" s="22">
        <f t="array" ref="F1178">IF($C1178="","",IFERROR(INDEX(DATA_MASTER!$L$2:$L$5000,MATCH($C1178,DATA_MASTER!$D$2:$D$5000,0)),""))</f>
        <v/>
      </c>
      <c r="G1178" s="24" t="n"/>
      <c r="H1178" s="24" t="n"/>
      <c r="I1178" s="30" t="n"/>
      <c r="J1178" s="23">
        <f>IF(OR($H1178="",$I1178=""),"",$H1178*$I1178)</f>
        <v/>
      </c>
      <c r="K1178" s="24" t="n"/>
      <c r="L1178" s="24" t="n"/>
      <c r="M1178" s="29" t="n"/>
      <c r="N1178" s="28" t="n"/>
      <c r="O1178" s="24" t="n"/>
      <c r="P1178" s="24" t="n"/>
      <c r="Q1178" s="24" t="n"/>
      <c r="R1178" s="24" t="n"/>
      <c r="S1178" s="22">
        <f>IF(AND($A1178="",$C1178=""),"",IF($A1178="","Thiếu mã đơn; ","")&amp;IF(COUNTIF($A$2:$A1178,$A1178)&gt;1,"Trùng mã đơn; ","")&amp;IF(ISNA(MATCH($C1178,DATA_MASTER!$D$2:$D$5000,0)),"SĐT chưa đăng ký hội viên; ","")&amp;IF(AND($L1178="Đã chuyển khoản",$M1178=""),"Thiếu ngày nhận CK; ",""))</f>
        <v/>
      </c>
      <c r="T1178" s="24" t="n"/>
    </row>
    <row r="1179" ht="14.25" customHeight="1" s="40">
      <c r="A1179" s="24" t="n"/>
      <c r="B1179" s="29" t="n"/>
      <c r="C1179" s="28" t="n"/>
      <c r="D1179" s="22">
        <f t="array" ref="D1179">IF($C1179="","",IFERROR(INDEX(DATA_MASTER!$C$2:$C$5000,MATCH($C1179,DATA_MASTER!$D$2:$D$5000,0)),""))</f>
        <v/>
      </c>
      <c r="E1179" s="22">
        <f t="array" ref="E1179">IF($C1179="","",IFERROR(INDEX(DATA_MASTER!$I$2:$I$5000,MATCH($C1179,DATA_MASTER!$D$2:$D$5000,0)),""))</f>
        <v/>
      </c>
      <c r="F1179" s="22">
        <f t="array" ref="F1179">IF($C1179="","",IFERROR(INDEX(DATA_MASTER!$L$2:$L$5000,MATCH($C1179,DATA_MASTER!$D$2:$D$5000,0)),""))</f>
        <v/>
      </c>
      <c r="G1179" s="24" t="n"/>
      <c r="H1179" s="24" t="n"/>
      <c r="I1179" s="30" t="n"/>
      <c r="J1179" s="23">
        <f>IF(OR($H1179="",$I1179=""),"",$H1179*$I1179)</f>
        <v/>
      </c>
      <c r="K1179" s="24" t="n"/>
      <c r="L1179" s="24" t="n"/>
      <c r="M1179" s="29" t="n"/>
      <c r="N1179" s="28" t="n"/>
      <c r="O1179" s="24" t="n"/>
      <c r="P1179" s="24" t="n"/>
      <c r="Q1179" s="24" t="n"/>
      <c r="R1179" s="24" t="n"/>
      <c r="S1179" s="22">
        <f>IF(AND($A1179="",$C1179=""),"",IF($A1179="","Thiếu mã đơn; ","")&amp;IF(COUNTIF($A$2:$A1179,$A1179)&gt;1,"Trùng mã đơn; ","")&amp;IF(ISNA(MATCH($C1179,DATA_MASTER!$D$2:$D$5000,0)),"SĐT chưa đăng ký hội viên; ","")&amp;IF(AND($L1179="Đã chuyển khoản",$M1179=""),"Thiếu ngày nhận CK; ",""))</f>
        <v/>
      </c>
      <c r="T1179" s="24" t="n"/>
    </row>
    <row r="1180" ht="14.25" customHeight="1" s="40">
      <c r="A1180" s="24" t="n"/>
      <c r="B1180" s="29" t="n"/>
      <c r="C1180" s="28" t="n"/>
      <c r="D1180" s="22">
        <f t="array" ref="D1180">IF($C1180="","",IFERROR(INDEX(DATA_MASTER!$C$2:$C$5000,MATCH($C1180,DATA_MASTER!$D$2:$D$5000,0)),""))</f>
        <v/>
      </c>
      <c r="E1180" s="22">
        <f t="array" ref="E1180">IF($C1180="","",IFERROR(INDEX(DATA_MASTER!$I$2:$I$5000,MATCH($C1180,DATA_MASTER!$D$2:$D$5000,0)),""))</f>
        <v/>
      </c>
      <c r="F1180" s="22">
        <f t="array" ref="F1180">IF($C1180="","",IFERROR(INDEX(DATA_MASTER!$L$2:$L$5000,MATCH($C1180,DATA_MASTER!$D$2:$D$5000,0)),""))</f>
        <v/>
      </c>
      <c r="G1180" s="24" t="n"/>
      <c r="H1180" s="24" t="n"/>
      <c r="I1180" s="30" t="n"/>
      <c r="J1180" s="23">
        <f>IF(OR($H1180="",$I1180=""),"",$H1180*$I1180)</f>
        <v/>
      </c>
      <c r="K1180" s="24" t="n"/>
      <c r="L1180" s="24" t="n"/>
      <c r="M1180" s="29" t="n"/>
      <c r="N1180" s="28" t="n"/>
      <c r="O1180" s="24" t="n"/>
      <c r="P1180" s="24" t="n"/>
      <c r="Q1180" s="24" t="n"/>
      <c r="R1180" s="24" t="n"/>
      <c r="S1180" s="22">
        <f>IF(AND($A1180="",$C1180=""),"",IF($A1180="","Thiếu mã đơn; ","")&amp;IF(COUNTIF($A$2:$A1180,$A1180)&gt;1,"Trùng mã đơn; ","")&amp;IF(ISNA(MATCH($C1180,DATA_MASTER!$D$2:$D$5000,0)),"SĐT chưa đăng ký hội viên; ","")&amp;IF(AND($L1180="Đã chuyển khoản",$M1180=""),"Thiếu ngày nhận CK; ",""))</f>
        <v/>
      </c>
      <c r="T1180" s="24" t="n"/>
    </row>
    <row r="1181" ht="14.25" customHeight="1" s="40">
      <c r="A1181" s="24" t="n"/>
      <c r="B1181" s="29" t="n"/>
      <c r="C1181" s="28" t="n"/>
      <c r="D1181" s="22">
        <f t="array" ref="D1181">IF($C1181="","",IFERROR(INDEX(DATA_MASTER!$C$2:$C$5000,MATCH($C1181,DATA_MASTER!$D$2:$D$5000,0)),""))</f>
        <v/>
      </c>
      <c r="E1181" s="22">
        <f t="array" ref="E1181">IF($C1181="","",IFERROR(INDEX(DATA_MASTER!$I$2:$I$5000,MATCH($C1181,DATA_MASTER!$D$2:$D$5000,0)),""))</f>
        <v/>
      </c>
      <c r="F1181" s="22">
        <f t="array" ref="F1181">IF($C1181="","",IFERROR(INDEX(DATA_MASTER!$L$2:$L$5000,MATCH($C1181,DATA_MASTER!$D$2:$D$5000,0)),""))</f>
        <v/>
      </c>
      <c r="G1181" s="24" t="n"/>
      <c r="H1181" s="24" t="n"/>
      <c r="I1181" s="30" t="n"/>
      <c r="J1181" s="23">
        <f>IF(OR($H1181="",$I1181=""),"",$H1181*$I1181)</f>
        <v/>
      </c>
      <c r="K1181" s="24" t="n"/>
      <c r="L1181" s="24" t="n"/>
      <c r="M1181" s="29" t="n"/>
      <c r="N1181" s="28" t="n"/>
      <c r="O1181" s="24" t="n"/>
      <c r="P1181" s="24" t="n"/>
      <c r="Q1181" s="24" t="n"/>
      <c r="R1181" s="24" t="n"/>
      <c r="S1181" s="22">
        <f>IF(AND($A1181="",$C1181=""),"",IF($A1181="","Thiếu mã đơn; ","")&amp;IF(COUNTIF($A$2:$A1181,$A1181)&gt;1,"Trùng mã đơn; ","")&amp;IF(ISNA(MATCH($C1181,DATA_MASTER!$D$2:$D$5000,0)),"SĐT chưa đăng ký hội viên; ","")&amp;IF(AND($L1181="Đã chuyển khoản",$M1181=""),"Thiếu ngày nhận CK; ",""))</f>
        <v/>
      </c>
      <c r="T1181" s="24" t="n"/>
    </row>
    <row r="1182" ht="14.25" customHeight="1" s="40">
      <c r="A1182" s="24" t="n"/>
      <c r="B1182" s="29" t="n"/>
      <c r="C1182" s="28" t="n"/>
      <c r="D1182" s="22">
        <f t="array" ref="D1182">IF($C1182="","",IFERROR(INDEX(DATA_MASTER!$C$2:$C$5000,MATCH($C1182,DATA_MASTER!$D$2:$D$5000,0)),""))</f>
        <v/>
      </c>
      <c r="E1182" s="22">
        <f t="array" ref="E1182">IF($C1182="","",IFERROR(INDEX(DATA_MASTER!$I$2:$I$5000,MATCH($C1182,DATA_MASTER!$D$2:$D$5000,0)),""))</f>
        <v/>
      </c>
      <c r="F1182" s="22">
        <f t="array" ref="F1182">IF($C1182="","",IFERROR(INDEX(DATA_MASTER!$L$2:$L$5000,MATCH($C1182,DATA_MASTER!$D$2:$D$5000,0)),""))</f>
        <v/>
      </c>
      <c r="G1182" s="24" t="n"/>
      <c r="H1182" s="24" t="n"/>
      <c r="I1182" s="30" t="n"/>
      <c r="J1182" s="23">
        <f>IF(OR($H1182="",$I1182=""),"",$H1182*$I1182)</f>
        <v/>
      </c>
      <c r="K1182" s="24" t="n"/>
      <c r="L1182" s="24" t="n"/>
      <c r="M1182" s="29" t="n"/>
      <c r="N1182" s="28" t="n"/>
      <c r="O1182" s="24" t="n"/>
      <c r="P1182" s="24" t="n"/>
      <c r="Q1182" s="24" t="n"/>
      <c r="R1182" s="24" t="n"/>
      <c r="S1182" s="22">
        <f>IF(AND($A1182="",$C1182=""),"",IF($A1182="","Thiếu mã đơn; ","")&amp;IF(COUNTIF($A$2:$A1182,$A1182)&gt;1,"Trùng mã đơn; ","")&amp;IF(ISNA(MATCH($C1182,DATA_MASTER!$D$2:$D$5000,0)),"SĐT chưa đăng ký hội viên; ","")&amp;IF(AND($L1182="Đã chuyển khoản",$M1182=""),"Thiếu ngày nhận CK; ",""))</f>
        <v/>
      </c>
      <c r="T1182" s="24" t="n"/>
    </row>
    <row r="1183" ht="14.25" customHeight="1" s="40">
      <c r="A1183" s="24" t="n"/>
      <c r="B1183" s="29" t="n"/>
      <c r="C1183" s="28" t="n"/>
      <c r="D1183" s="22">
        <f t="array" ref="D1183">IF($C1183="","",IFERROR(INDEX(DATA_MASTER!$C$2:$C$5000,MATCH($C1183,DATA_MASTER!$D$2:$D$5000,0)),""))</f>
        <v/>
      </c>
      <c r="E1183" s="22">
        <f t="array" ref="E1183">IF($C1183="","",IFERROR(INDEX(DATA_MASTER!$I$2:$I$5000,MATCH($C1183,DATA_MASTER!$D$2:$D$5000,0)),""))</f>
        <v/>
      </c>
      <c r="F1183" s="22">
        <f t="array" ref="F1183">IF($C1183="","",IFERROR(INDEX(DATA_MASTER!$L$2:$L$5000,MATCH($C1183,DATA_MASTER!$D$2:$D$5000,0)),""))</f>
        <v/>
      </c>
      <c r="G1183" s="24" t="n"/>
      <c r="H1183" s="24" t="n"/>
      <c r="I1183" s="30" t="n"/>
      <c r="J1183" s="23">
        <f>IF(OR($H1183="",$I1183=""),"",$H1183*$I1183)</f>
        <v/>
      </c>
      <c r="K1183" s="24" t="n"/>
      <c r="L1183" s="24" t="n"/>
      <c r="M1183" s="29" t="n"/>
      <c r="N1183" s="28" t="n"/>
      <c r="O1183" s="24" t="n"/>
      <c r="P1183" s="24" t="n"/>
      <c r="Q1183" s="24" t="n"/>
      <c r="R1183" s="24" t="n"/>
      <c r="S1183" s="22">
        <f>IF(AND($A1183="",$C1183=""),"",IF($A1183="","Thiếu mã đơn; ","")&amp;IF(COUNTIF($A$2:$A1183,$A1183)&gt;1,"Trùng mã đơn; ","")&amp;IF(ISNA(MATCH($C1183,DATA_MASTER!$D$2:$D$5000,0)),"SĐT chưa đăng ký hội viên; ","")&amp;IF(AND($L1183="Đã chuyển khoản",$M1183=""),"Thiếu ngày nhận CK; ",""))</f>
        <v/>
      </c>
      <c r="T1183" s="24" t="n"/>
    </row>
    <row r="1184" ht="14.25" customHeight="1" s="40">
      <c r="A1184" s="24" t="n"/>
      <c r="B1184" s="29" t="n"/>
      <c r="C1184" s="28" t="n"/>
      <c r="D1184" s="22">
        <f t="array" ref="D1184">IF($C1184="","",IFERROR(INDEX(DATA_MASTER!$C$2:$C$5000,MATCH($C1184,DATA_MASTER!$D$2:$D$5000,0)),""))</f>
        <v/>
      </c>
      <c r="E1184" s="22">
        <f t="array" ref="E1184">IF($C1184="","",IFERROR(INDEX(DATA_MASTER!$I$2:$I$5000,MATCH($C1184,DATA_MASTER!$D$2:$D$5000,0)),""))</f>
        <v/>
      </c>
      <c r="F1184" s="22">
        <f t="array" ref="F1184">IF($C1184="","",IFERROR(INDEX(DATA_MASTER!$L$2:$L$5000,MATCH($C1184,DATA_MASTER!$D$2:$D$5000,0)),""))</f>
        <v/>
      </c>
      <c r="G1184" s="24" t="n"/>
      <c r="H1184" s="24" t="n"/>
      <c r="I1184" s="30" t="n"/>
      <c r="J1184" s="23">
        <f>IF(OR($H1184="",$I1184=""),"",$H1184*$I1184)</f>
        <v/>
      </c>
      <c r="K1184" s="24" t="n"/>
      <c r="L1184" s="24" t="n"/>
      <c r="M1184" s="29" t="n"/>
      <c r="N1184" s="28" t="n"/>
      <c r="O1184" s="24" t="n"/>
      <c r="P1184" s="24" t="n"/>
      <c r="Q1184" s="24" t="n"/>
      <c r="R1184" s="24" t="n"/>
      <c r="S1184" s="22">
        <f>IF(AND($A1184="",$C1184=""),"",IF($A1184="","Thiếu mã đơn; ","")&amp;IF(COUNTIF($A$2:$A1184,$A1184)&gt;1,"Trùng mã đơn; ","")&amp;IF(ISNA(MATCH($C1184,DATA_MASTER!$D$2:$D$5000,0)),"SĐT chưa đăng ký hội viên; ","")&amp;IF(AND($L1184="Đã chuyển khoản",$M1184=""),"Thiếu ngày nhận CK; ",""))</f>
        <v/>
      </c>
      <c r="T1184" s="24" t="n"/>
    </row>
    <row r="1185" ht="14.25" customHeight="1" s="40">
      <c r="A1185" s="24" t="n"/>
      <c r="B1185" s="29" t="n"/>
      <c r="C1185" s="28" t="n"/>
      <c r="D1185" s="22">
        <f t="array" ref="D1185">IF($C1185="","",IFERROR(INDEX(DATA_MASTER!$C$2:$C$5000,MATCH($C1185,DATA_MASTER!$D$2:$D$5000,0)),""))</f>
        <v/>
      </c>
      <c r="E1185" s="22">
        <f t="array" ref="E1185">IF($C1185="","",IFERROR(INDEX(DATA_MASTER!$I$2:$I$5000,MATCH($C1185,DATA_MASTER!$D$2:$D$5000,0)),""))</f>
        <v/>
      </c>
      <c r="F1185" s="22">
        <f t="array" ref="F1185">IF($C1185="","",IFERROR(INDEX(DATA_MASTER!$L$2:$L$5000,MATCH($C1185,DATA_MASTER!$D$2:$D$5000,0)),""))</f>
        <v/>
      </c>
      <c r="G1185" s="24" t="n"/>
      <c r="H1185" s="24" t="n"/>
      <c r="I1185" s="30" t="n"/>
      <c r="J1185" s="23">
        <f>IF(OR($H1185="",$I1185=""),"",$H1185*$I1185)</f>
        <v/>
      </c>
      <c r="K1185" s="24" t="n"/>
      <c r="L1185" s="24" t="n"/>
      <c r="M1185" s="29" t="n"/>
      <c r="N1185" s="28" t="n"/>
      <c r="O1185" s="24" t="n"/>
      <c r="P1185" s="24" t="n"/>
      <c r="Q1185" s="24" t="n"/>
      <c r="R1185" s="24" t="n"/>
      <c r="S1185" s="22">
        <f>IF(AND($A1185="",$C1185=""),"",IF($A1185="","Thiếu mã đơn; ","")&amp;IF(COUNTIF($A$2:$A1185,$A1185)&gt;1,"Trùng mã đơn; ","")&amp;IF(ISNA(MATCH($C1185,DATA_MASTER!$D$2:$D$5000,0)),"SĐT chưa đăng ký hội viên; ","")&amp;IF(AND($L1185="Đã chuyển khoản",$M1185=""),"Thiếu ngày nhận CK; ",""))</f>
        <v/>
      </c>
      <c r="T1185" s="24" t="n"/>
    </row>
    <row r="1186" ht="14.25" customHeight="1" s="40">
      <c r="A1186" s="24" t="n"/>
      <c r="B1186" s="29" t="n"/>
      <c r="C1186" s="28" t="n"/>
      <c r="D1186" s="22">
        <f t="array" ref="D1186">IF($C1186="","",IFERROR(INDEX(DATA_MASTER!$C$2:$C$5000,MATCH($C1186,DATA_MASTER!$D$2:$D$5000,0)),""))</f>
        <v/>
      </c>
      <c r="E1186" s="22">
        <f t="array" ref="E1186">IF($C1186="","",IFERROR(INDEX(DATA_MASTER!$I$2:$I$5000,MATCH($C1186,DATA_MASTER!$D$2:$D$5000,0)),""))</f>
        <v/>
      </c>
      <c r="F1186" s="22">
        <f t="array" ref="F1186">IF($C1186="","",IFERROR(INDEX(DATA_MASTER!$L$2:$L$5000,MATCH($C1186,DATA_MASTER!$D$2:$D$5000,0)),""))</f>
        <v/>
      </c>
      <c r="G1186" s="24" t="n"/>
      <c r="H1186" s="24" t="n"/>
      <c r="I1186" s="30" t="n"/>
      <c r="J1186" s="23">
        <f>IF(OR($H1186="",$I1186=""),"",$H1186*$I1186)</f>
        <v/>
      </c>
      <c r="K1186" s="24" t="n"/>
      <c r="L1186" s="24" t="n"/>
      <c r="M1186" s="29" t="n"/>
      <c r="N1186" s="28" t="n"/>
      <c r="O1186" s="24" t="n"/>
      <c r="P1186" s="24" t="n"/>
      <c r="Q1186" s="24" t="n"/>
      <c r="R1186" s="24" t="n"/>
      <c r="S1186" s="22">
        <f>IF(AND($A1186="",$C1186=""),"",IF($A1186="","Thiếu mã đơn; ","")&amp;IF(COUNTIF($A$2:$A1186,$A1186)&gt;1,"Trùng mã đơn; ","")&amp;IF(ISNA(MATCH($C1186,DATA_MASTER!$D$2:$D$5000,0)),"SĐT chưa đăng ký hội viên; ","")&amp;IF(AND($L1186="Đã chuyển khoản",$M1186=""),"Thiếu ngày nhận CK; ",""))</f>
        <v/>
      </c>
      <c r="T1186" s="24" t="n"/>
    </row>
    <row r="1187" ht="14.25" customHeight="1" s="40">
      <c r="A1187" s="24" t="n"/>
      <c r="B1187" s="29" t="n"/>
      <c r="C1187" s="28" t="n"/>
      <c r="D1187" s="22">
        <f t="array" ref="D1187">IF($C1187="","",IFERROR(INDEX(DATA_MASTER!$C$2:$C$5000,MATCH($C1187,DATA_MASTER!$D$2:$D$5000,0)),""))</f>
        <v/>
      </c>
      <c r="E1187" s="22">
        <f t="array" ref="E1187">IF($C1187="","",IFERROR(INDEX(DATA_MASTER!$I$2:$I$5000,MATCH($C1187,DATA_MASTER!$D$2:$D$5000,0)),""))</f>
        <v/>
      </c>
      <c r="F1187" s="22">
        <f t="array" ref="F1187">IF($C1187="","",IFERROR(INDEX(DATA_MASTER!$L$2:$L$5000,MATCH($C1187,DATA_MASTER!$D$2:$D$5000,0)),""))</f>
        <v/>
      </c>
      <c r="G1187" s="24" t="n"/>
      <c r="H1187" s="24" t="n"/>
      <c r="I1187" s="30" t="n"/>
      <c r="J1187" s="23">
        <f>IF(OR($H1187="",$I1187=""),"",$H1187*$I1187)</f>
        <v/>
      </c>
      <c r="K1187" s="24" t="n"/>
      <c r="L1187" s="24" t="n"/>
      <c r="M1187" s="29" t="n"/>
      <c r="N1187" s="28" t="n"/>
      <c r="O1187" s="24" t="n"/>
      <c r="P1187" s="24" t="n"/>
      <c r="Q1187" s="24" t="n"/>
      <c r="R1187" s="24" t="n"/>
      <c r="S1187" s="22">
        <f>IF(AND($A1187="",$C1187=""),"",IF($A1187="","Thiếu mã đơn; ","")&amp;IF(COUNTIF($A$2:$A1187,$A1187)&gt;1,"Trùng mã đơn; ","")&amp;IF(ISNA(MATCH($C1187,DATA_MASTER!$D$2:$D$5000,0)),"SĐT chưa đăng ký hội viên; ","")&amp;IF(AND($L1187="Đã chuyển khoản",$M1187=""),"Thiếu ngày nhận CK; ",""))</f>
        <v/>
      </c>
      <c r="T1187" s="24" t="n"/>
    </row>
    <row r="1188" ht="14.25" customHeight="1" s="40">
      <c r="A1188" s="24" t="n"/>
      <c r="B1188" s="29" t="n"/>
      <c r="C1188" s="28" t="n"/>
      <c r="D1188" s="22">
        <f t="array" ref="D1188">IF($C1188="","",IFERROR(INDEX(DATA_MASTER!$C$2:$C$5000,MATCH($C1188,DATA_MASTER!$D$2:$D$5000,0)),""))</f>
        <v/>
      </c>
      <c r="E1188" s="22">
        <f t="array" ref="E1188">IF($C1188="","",IFERROR(INDEX(DATA_MASTER!$I$2:$I$5000,MATCH($C1188,DATA_MASTER!$D$2:$D$5000,0)),""))</f>
        <v/>
      </c>
      <c r="F1188" s="22">
        <f t="array" ref="F1188">IF($C1188="","",IFERROR(INDEX(DATA_MASTER!$L$2:$L$5000,MATCH($C1188,DATA_MASTER!$D$2:$D$5000,0)),""))</f>
        <v/>
      </c>
      <c r="G1188" s="24" t="n"/>
      <c r="H1188" s="24" t="n"/>
      <c r="I1188" s="30" t="n"/>
      <c r="J1188" s="23">
        <f>IF(OR($H1188="",$I1188=""),"",$H1188*$I1188)</f>
        <v/>
      </c>
      <c r="K1188" s="24" t="n"/>
      <c r="L1188" s="24" t="n"/>
      <c r="M1188" s="29" t="n"/>
      <c r="N1188" s="28" t="n"/>
      <c r="O1188" s="24" t="n"/>
      <c r="P1188" s="24" t="n"/>
      <c r="Q1188" s="24" t="n"/>
      <c r="R1188" s="24" t="n"/>
      <c r="S1188" s="22">
        <f>IF(AND($A1188="",$C1188=""),"",IF($A1188="","Thiếu mã đơn; ","")&amp;IF(COUNTIF($A$2:$A1188,$A1188)&gt;1,"Trùng mã đơn; ","")&amp;IF(ISNA(MATCH($C1188,DATA_MASTER!$D$2:$D$5000,0)),"SĐT chưa đăng ký hội viên; ","")&amp;IF(AND($L1188="Đã chuyển khoản",$M1188=""),"Thiếu ngày nhận CK; ",""))</f>
        <v/>
      </c>
      <c r="T1188" s="24" t="n"/>
    </row>
    <row r="1189" ht="14.25" customHeight="1" s="40">
      <c r="A1189" s="24" t="n"/>
      <c r="B1189" s="29" t="n"/>
      <c r="C1189" s="28" t="n"/>
      <c r="D1189" s="22">
        <f t="array" ref="D1189">IF($C1189="","",IFERROR(INDEX(DATA_MASTER!$C$2:$C$5000,MATCH($C1189,DATA_MASTER!$D$2:$D$5000,0)),""))</f>
        <v/>
      </c>
      <c r="E1189" s="22">
        <f t="array" ref="E1189">IF($C1189="","",IFERROR(INDEX(DATA_MASTER!$I$2:$I$5000,MATCH($C1189,DATA_MASTER!$D$2:$D$5000,0)),""))</f>
        <v/>
      </c>
      <c r="F1189" s="22">
        <f t="array" ref="F1189">IF($C1189="","",IFERROR(INDEX(DATA_MASTER!$L$2:$L$5000,MATCH($C1189,DATA_MASTER!$D$2:$D$5000,0)),""))</f>
        <v/>
      </c>
      <c r="G1189" s="24" t="n"/>
      <c r="H1189" s="24" t="n"/>
      <c r="I1189" s="30" t="n"/>
      <c r="J1189" s="23">
        <f>IF(OR($H1189="",$I1189=""),"",$H1189*$I1189)</f>
        <v/>
      </c>
      <c r="K1189" s="24" t="n"/>
      <c r="L1189" s="24" t="n"/>
      <c r="M1189" s="29" t="n"/>
      <c r="N1189" s="28" t="n"/>
      <c r="O1189" s="24" t="n"/>
      <c r="P1189" s="24" t="n"/>
      <c r="Q1189" s="24" t="n"/>
      <c r="R1189" s="24" t="n"/>
      <c r="S1189" s="22">
        <f>IF(AND($A1189="",$C1189=""),"",IF($A1189="","Thiếu mã đơn; ","")&amp;IF(COUNTIF($A$2:$A1189,$A1189)&gt;1,"Trùng mã đơn; ","")&amp;IF(ISNA(MATCH($C1189,DATA_MASTER!$D$2:$D$5000,0)),"SĐT chưa đăng ký hội viên; ","")&amp;IF(AND($L1189="Đã chuyển khoản",$M1189=""),"Thiếu ngày nhận CK; ",""))</f>
        <v/>
      </c>
      <c r="T1189" s="24" t="n"/>
    </row>
    <row r="1190" ht="14.25" customHeight="1" s="40">
      <c r="A1190" s="24" t="n"/>
      <c r="B1190" s="29" t="n"/>
      <c r="C1190" s="28" t="n"/>
      <c r="D1190" s="22">
        <f t="array" ref="D1190">IF($C1190="","",IFERROR(INDEX(DATA_MASTER!$C$2:$C$5000,MATCH($C1190,DATA_MASTER!$D$2:$D$5000,0)),""))</f>
        <v/>
      </c>
      <c r="E1190" s="22">
        <f t="array" ref="E1190">IF($C1190="","",IFERROR(INDEX(DATA_MASTER!$I$2:$I$5000,MATCH($C1190,DATA_MASTER!$D$2:$D$5000,0)),""))</f>
        <v/>
      </c>
      <c r="F1190" s="22">
        <f t="array" ref="F1190">IF($C1190="","",IFERROR(INDEX(DATA_MASTER!$L$2:$L$5000,MATCH($C1190,DATA_MASTER!$D$2:$D$5000,0)),""))</f>
        <v/>
      </c>
      <c r="G1190" s="24" t="n"/>
      <c r="H1190" s="24" t="n"/>
      <c r="I1190" s="30" t="n"/>
      <c r="J1190" s="23">
        <f>IF(OR($H1190="",$I1190=""),"",$H1190*$I1190)</f>
        <v/>
      </c>
      <c r="K1190" s="24" t="n"/>
      <c r="L1190" s="24" t="n"/>
      <c r="M1190" s="29" t="n"/>
      <c r="N1190" s="28" t="n"/>
      <c r="O1190" s="24" t="n"/>
      <c r="P1190" s="24" t="n"/>
      <c r="Q1190" s="24" t="n"/>
      <c r="R1190" s="24" t="n"/>
      <c r="S1190" s="22">
        <f>IF(AND($A1190="",$C1190=""),"",IF($A1190="","Thiếu mã đơn; ","")&amp;IF(COUNTIF($A$2:$A1190,$A1190)&gt;1,"Trùng mã đơn; ","")&amp;IF(ISNA(MATCH($C1190,DATA_MASTER!$D$2:$D$5000,0)),"SĐT chưa đăng ký hội viên; ","")&amp;IF(AND($L1190="Đã chuyển khoản",$M1190=""),"Thiếu ngày nhận CK; ",""))</f>
        <v/>
      </c>
      <c r="T1190" s="24" t="n"/>
    </row>
    <row r="1191" ht="14.25" customHeight="1" s="40">
      <c r="A1191" s="24" t="n"/>
      <c r="B1191" s="29" t="n"/>
      <c r="C1191" s="28" t="n"/>
      <c r="D1191" s="22">
        <f t="array" ref="D1191">IF($C1191="","",IFERROR(INDEX(DATA_MASTER!$C$2:$C$5000,MATCH($C1191,DATA_MASTER!$D$2:$D$5000,0)),""))</f>
        <v/>
      </c>
      <c r="E1191" s="22">
        <f t="array" ref="E1191">IF($C1191="","",IFERROR(INDEX(DATA_MASTER!$I$2:$I$5000,MATCH($C1191,DATA_MASTER!$D$2:$D$5000,0)),""))</f>
        <v/>
      </c>
      <c r="F1191" s="22">
        <f t="array" ref="F1191">IF($C1191="","",IFERROR(INDEX(DATA_MASTER!$L$2:$L$5000,MATCH($C1191,DATA_MASTER!$D$2:$D$5000,0)),""))</f>
        <v/>
      </c>
      <c r="G1191" s="24" t="n"/>
      <c r="H1191" s="24" t="n"/>
      <c r="I1191" s="30" t="n"/>
      <c r="J1191" s="23">
        <f>IF(OR($H1191="",$I1191=""),"",$H1191*$I1191)</f>
        <v/>
      </c>
      <c r="K1191" s="24" t="n"/>
      <c r="L1191" s="24" t="n"/>
      <c r="M1191" s="29" t="n"/>
      <c r="N1191" s="28" t="n"/>
      <c r="O1191" s="24" t="n"/>
      <c r="P1191" s="24" t="n"/>
      <c r="Q1191" s="24" t="n"/>
      <c r="R1191" s="24" t="n"/>
      <c r="S1191" s="22">
        <f>IF(AND($A1191="",$C1191=""),"",IF($A1191="","Thiếu mã đơn; ","")&amp;IF(COUNTIF($A$2:$A1191,$A1191)&gt;1,"Trùng mã đơn; ","")&amp;IF(ISNA(MATCH($C1191,DATA_MASTER!$D$2:$D$5000,0)),"SĐT chưa đăng ký hội viên; ","")&amp;IF(AND($L1191="Đã chuyển khoản",$M1191=""),"Thiếu ngày nhận CK; ",""))</f>
        <v/>
      </c>
      <c r="T1191" s="24" t="n"/>
    </row>
    <row r="1192" ht="14.25" customHeight="1" s="40">
      <c r="A1192" s="24" t="n"/>
      <c r="B1192" s="29" t="n"/>
      <c r="C1192" s="28" t="n"/>
      <c r="D1192" s="22">
        <f t="array" ref="D1192">IF($C1192="","",IFERROR(INDEX(DATA_MASTER!$C$2:$C$5000,MATCH($C1192,DATA_MASTER!$D$2:$D$5000,0)),""))</f>
        <v/>
      </c>
      <c r="E1192" s="22">
        <f t="array" ref="E1192">IF($C1192="","",IFERROR(INDEX(DATA_MASTER!$I$2:$I$5000,MATCH($C1192,DATA_MASTER!$D$2:$D$5000,0)),""))</f>
        <v/>
      </c>
      <c r="F1192" s="22">
        <f t="array" ref="F1192">IF($C1192="","",IFERROR(INDEX(DATA_MASTER!$L$2:$L$5000,MATCH($C1192,DATA_MASTER!$D$2:$D$5000,0)),""))</f>
        <v/>
      </c>
      <c r="G1192" s="24" t="n"/>
      <c r="H1192" s="24" t="n"/>
      <c r="I1192" s="30" t="n"/>
      <c r="J1192" s="23">
        <f>IF(OR($H1192="",$I1192=""),"",$H1192*$I1192)</f>
        <v/>
      </c>
      <c r="K1192" s="24" t="n"/>
      <c r="L1192" s="24" t="n"/>
      <c r="M1192" s="29" t="n"/>
      <c r="N1192" s="28" t="n"/>
      <c r="O1192" s="24" t="n"/>
      <c r="P1192" s="24" t="n"/>
      <c r="Q1192" s="24" t="n"/>
      <c r="R1192" s="24" t="n"/>
      <c r="S1192" s="22">
        <f>IF(AND($A1192="",$C1192=""),"",IF($A1192="","Thiếu mã đơn; ","")&amp;IF(COUNTIF($A$2:$A1192,$A1192)&gt;1,"Trùng mã đơn; ","")&amp;IF(ISNA(MATCH($C1192,DATA_MASTER!$D$2:$D$5000,0)),"SĐT chưa đăng ký hội viên; ","")&amp;IF(AND($L1192="Đã chuyển khoản",$M1192=""),"Thiếu ngày nhận CK; ",""))</f>
        <v/>
      </c>
      <c r="T1192" s="24" t="n"/>
    </row>
    <row r="1193" ht="14.25" customHeight="1" s="40">
      <c r="A1193" s="24" t="n"/>
      <c r="B1193" s="29" t="n"/>
      <c r="C1193" s="28" t="n"/>
      <c r="D1193" s="22">
        <f t="array" ref="D1193">IF($C1193="","",IFERROR(INDEX(DATA_MASTER!$C$2:$C$5000,MATCH($C1193,DATA_MASTER!$D$2:$D$5000,0)),""))</f>
        <v/>
      </c>
      <c r="E1193" s="22">
        <f t="array" ref="E1193">IF($C1193="","",IFERROR(INDEX(DATA_MASTER!$I$2:$I$5000,MATCH($C1193,DATA_MASTER!$D$2:$D$5000,0)),""))</f>
        <v/>
      </c>
      <c r="F1193" s="22">
        <f t="array" ref="F1193">IF($C1193="","",IFERROR(INDEX(DATA_MASTER!$L$2:$L$5000,MATCH($C1193,DATA_MASTER!$D$2:$D$5000,0)),""))</f>
        <v/>
      </c>
      <c r="G1193" s="24" t="n"/>
      <c r="H1193" s="24" t="n"/>
      <c r="I1193" s="30" t="n"/>
      <c r="J1193" s="23">
        <f>IF(OR($H1193="",$I1193=""),"",$H1193*$I1193)</f>
        <v/>
      </c>
      <c r="K1193" s="24" t="n"/>
      <c r="L1193" s="24" t="n"/>
      <c r="M1193" s="29" t="n"/>
      <c r="N1193" s="28" t="n"/>
      <c r="O1193" s="24" t="n"/>
      <c r="P1193" s="24" t="n"/>
      <c r="Q1193" s="24" t="n"/>
      <c r="R1193" s="24" t="n"/>
      <c r="S1193" s="22">
        <f>IF(AND($A1193="",$C1193=""),"",IF($A1193="","Thiếu mã đơn; ","")&amp;IF(COUNTIF($A$2:$A1193,$A1193)&gt;1,"Trùng mã đơn; ","")&amp;IF(ISNA(MATCH($C1193,DATA_MASTER!$D$2:$D$5000,0)),"SĐT chưa đăng ký hội viên; ","")&amp;IF(AND($L1193="Đã chuyển khoản",$M1193=""),"Thiếu ngày nhận CK; ",""))</f>
        <v/>
      </c>
      <c r="T1193" s="24" t="n"/>
    </row>
    <row r="1194" ht="14.25" customHeight="1" s="40">
      <c r="A1194" s="24" t="n"/>
      <c r="B1194" s="29" t="n"/>
      <c r="C1194" s="28" t="n"/>
      <c r="D1194" s="22">
        <f t="array" ref="D1194">IF($C1194="","",IFERROR(INDEX(DATA_MASTER!$C$2:$C$5000,MATCH($C1194,DATA_MASTER!$D$2:$D$5000,0)),""))</f>
        <v/>
      </c>
      <c r="E1194" s="22">
        <f t="array" ref="E1194">IF($C1194="","",IFERROR(INDEX(DATA_MASTER!$I$2:$I$5000,MATCH($C1194,DATA_MASTER!$D$2:$D$5000,0)),""))</f>
        <v/>
      </c>
      <c r="F1194" s="22">
        <f t="array" ref="F1194">IF($C1194="","",IFERROR(INDEX(DATA_MASTER!$L$2:$L$5000,MATCH($C1194,DATA_MASTER!$D$2:$D$5000,0)),""))</f>
        <v/>
      </c>
      <c r="G1194" s="24" t="n"/>
      <c r="H1194" s="24" t="n"/>
      <c r="I1194" s="30" t="n"/>
      <c r="J1194" s="23">
        <f>IF(OR($H1194="",$I1194=""),"",$H1194*$I1194)</f>
        <v/>
      </c>
      <c r="K1194" s="24" t="n"/>
      <c r="L1194" s="24" t="n"/>
      <c r="M1194" s="29" t="n"/>
      <c r="N1194" s="28" t="n"/>
      <c r="O1194" s="24" t="n"/>
      <c r="P1194" s="24" t="n"/>
      <c r="Q1194" s="24" t="n"/>
      <c r="R1194" s="24" t="n"/>
      <c r="S1194" s="22">
        <f>IF(AND($A1194="",$C1194=""),"",IF($A1194="","Thiếu mã đơn; ","")&amp;IF(COUNTIF($A$2:$A1194,$A1194)&gt;1,"Trùng mã đơn; ","")&amp;IF(ISNA(MATCH($C1194,DATA_MASTER!$D$2:$D$5000,0)),"SĐT chưa đăng ký hội viên; ","")&amp;IF(AND($L1194="Đã chuyển khoản",$M1194=""),"Thiếu ngày nhận CK; ",""))</f>
        <v/>
      </c>
      <c r="T1194" s="24" t="n"/>
    </row>
    <row r="1195" ht="14.25" customHeight="1" s="40">
      <c r="A1195" s="24" t="n"/>
      <c r="B1195" s="29" t="n"/>
      <c r="C1195" s="28" t="n"/>
      <c r="D1195" s="22">
        <f t="array" ref="D1195">IF($C1195="","",IFERROR(INDEX(DATA_MASTER!$C$2:$C$5000,MATCH($C1195,DATA_MASTER!$D$2:$D$5000,0)),""))</f>
        <v/>
      </c>
      <c r="E1195" s="22">
        <f t="array" ref="E1195">IF($C1195="","",IFERROR(INDEX(DATA_MASTER!$I$2:$I$5000,MATCH($C1195,DATA_MASTER!$D$2:$D$5000,0)),""))</f>
        <v/>
      </c>
      <c r="F1195" s="22">
        <f t="array" ref="F1195">IF($C1195="","",IFERROR(INDEX(DATA_MASTER!$L$2:$L$5000,MATCH($C1195,DATA_MASTER!$D$2:$D$5000,0)),""))</f>
        <v/>
      </c>
      <c r="G1195" s="24" t="n"/>
      <c r="H1195" s="24" t="n"/>
      <c r="I1195" s="30" t="n"/>
      <c r="J1195" s="23">
        <f>IF(OR($H1195="",$I1195=""),"",$H1195*$I1195)</f>
        <v/>
      </c>
      <c r="K1195" s="24" t="n"/>
      <c r="L1195" s="24" t="n"/>
      <c r="M1195" s="29" t="n"/>
      <c r="N1195" s="28" t="n"/>
      <c r="O1195" s="24" t="n"/>
      <c r="P1195" s="24" t="n"/>
      <c r="Q1195" s="24" t="n"/>
      <c r="R1195" s="24" t="n"/>
      <c r="S1195" s="22">
        <f>IF(AND($A1195="",$C1195=""),"",IF($A1195="","Thiếu mã đơn; ","")&amp;IF(COUNTIF($A$2:$A1195,$A1195)&gt;1,"Trùng mã đơn; ","")&amp;IF(ISNA(MATCH($C1195,DATA_MASTER!$D$2:$D$5000,0)),"SĐT chưa đăng ký hội viên; ","")&amp;IF(AND($L1195="Đã chuyển khoản",$M1195=""),"Thiếu ngày nhận CK; ",""))</f>
        <v/>
      </c>
      <c r="T1195" s="24" t="n"/>
    </row>
    <row r="1196" ht="14.25" customHeight="1" s="40">
      <c r="A1196" s="24" t="n"/>
      <c r="B1196" s="29" t="n"/>
      <c r="C1196" s="28" t="n"/>
      <c r="D1196" s="22">
        <f t="array" ref="D1196">IF($C1196="","",IFERROR(INDEX(DATA_MASTER!$C$2:$C$5000,MATCH($C1196,DATA_MASTER!$D$2:$D$5000,0)),""))</f>
        <v/>
      </c>
      <c r="E1196" s="22">
        <f t="array" ref="E1196">IF($C1196="","",IFERROR(INDEX(DATA_MASTER!$I$2:$I$5000,MATCH($C1196,DATA_MASTER!$D$2:$D$5000,0)),""))</f>
        <v/>
      </c>
      <c r="F1196" s="22">
        <f t="array" ref="F1196">IF($C1196="","",IFERROR(INDEX(DATA_MASTER!$L$2:$L$5000,MATCH($C1196,DATA_MASTER!$D$2:$D$5000,0)),""))</f>
        <v/>
      </c>
      <c r="G1196" s="24" t="n"/>
      <c r="H1196" s="24" t="n"/>
      <c r="I1196" s="30" t="n"/>
      <c r="J1196" s="23">
        <f>IF(OR($H1196="",$I1196=""),"",$H1196*$I1196)</f>
        <v/>
      </c>
      <c r="K1196" s="24" t="n"/>
      <c r="L1196" s="24" t="n"/>
      <c r="M1196" s="29" t="n"/>
      <c r="N1196" s="28" t="n"/>
      <c r="O1196" s="24" t="n"/>
      <c r="P1196" s="24" t="n"/>
      <c r="Q1196" s="24" t="n"/>
      <c r="R1196" s="24" t="n"/>
      <c r="S1196" s="22">
        <f>IF(AND($A1196="",$C1196=""),"",IF($A1196="","Thiếu mã đơn; ","")&amp;IF(COUNTIF($A$2:$A1196,$A1196)&gt;1,"Trùng mã đơn; ","")&amp;IF(ISNA(MATCH($C1196,DATA_MASTER!$D$2:$D$5000,0)),"SĐT chưa đăng ký hội viên; ","")&amp;IF(AND($L1196="Đã chuyển khoản",$M1196=""),"Thiếu ngày nhận CK; ",""))</f>
        <v/>
      </c>
      <c r="T1196" s="24" t="n"/>
    </row>
    <row r="1197" ht="14.25" customHeight="1" s="40">
      <c r="A1197" s="24" t="n"/>
      <c r="B1197" s="29" t="n"/>
      <c r="C1197" s="28" t="n"/>
      <c r="D1197" s="22">
        <f t="array" ref="D1197">IF($C1197="","",IFERROR(INDEX(DATA_MASTER!$C$2:$C$5000,MATCH($C1197,DATA_MASTER!$D$2:$D$5000,0)),""))</f>
        <v/>
      </c>
      <c r="E1197" s="22">
        <f t="array" ref="E1197">IF($C1197="","",IFERROR(INDEX(DATA_MASTER!$I$2:$I$5000,MATCH($C1197,DATA_MASTER!$D$2:$D$5000,0)),""))</f>
        <v/>
      </c>
      <c r="F1197" s="22">
        <f t="array" ref="F1197">IF($C1197="","",IFERROR(INDEX(DATA_MASTER!$L$2:$L$5000,MATCH($C1197,DATA_MASTER!$D$2:$D$5000,0)),""))</f>
        <v/>
      </c>
      <c r="G1197" s="24" t="n"/>
      <c r="H1197" s="24" t="n"/>
      <c r="I1197" s="30" t="n"/>
      <c r="J1197" s="23">
        <f>IF(OR($H1197="",$I1197=""),"",$H1197*$I1197)</f>
        <v/>
      </c>
      <c r="K1197" s="24" t="n"/>
      <c r="L1197" s="24" t="n"/>
      <c r="M1197" s="29" t="n"/>
      <c r="N1197" s="28" t="n"/>
      <c r="O1197" s="24" t="n"/>
      <c r="P1197" s="24" t="n"/>
      <c r="Q1197" s="24" t="n"/>
      <c r="R1197" s="24" t="n"/>
      <c r="S1197" s="22">
        <f>IF(AND($A1197="",$C1197=""),"",IF($A1197="","Thiếu mã đơn; ","")&amp;IF(COUNTIF($A$2:$A1197,$A1197)&gt;1,"Trùng mã đơn; ","")&amp;IF(ISNA(MATCH($C1197,DATA_MASTER!$D$2:$D$5000,0)),"SĐT chưa đăng ký hội viên; ","")&amp;IF(AND($L1197="Đã chuyển khoản",$M1197=""),"Thiếu ngày nhận CK; ",""))</f>
        <v/>
      </c>
      <c r="T1197" s="24" t="n"/>
    </row>
    <row r="1198" ht="14.25" customHeight="1" s="40">
      <c r="A1198" s="24" t="n"/>
      <c r="B1198" s="29" t="n"/>
      <c r="C1198" s="28" t="n"/>
      <c r="D1198" s="22">
        <f t="array" ref="D1198">IF($C1198="","",IFERROR(INDEX(DATA_MASTER!$C$2:$C$5000,MATCH($C1198,DATA_MASTER!$D$2:$D$5000,0)),""))</f>
        <v/>
      </c>
      <c r="E1198" s="22">
        <f t="array" ref="E1198">IF($C1198="","",IFERROR(INDEX(DATA_MASTER!$I$2:$I$5000,MATCH($C1198,DATA_MASTER!$D$2:$D$5000,0)),""))</f>
        <v/>
      </c>
      <c r="F1198" s="22">
        <f t="array" ref="F1198">IF($C1198="","",IFERROR(INDEX(DATA_MASTER!$L$2:$L$5000,MATCH($C1198,DATA_MASTER!$D$2:$D$5000,0)),""))</f>
        <v/>
      </c>
      <c r="G1198" s="24" t="n"/>
      <c r="H1198" s="24" t="n"/>
      <c r="I1198" s="30" t="n"/>
      <c r="J1198" s="23">
        <f>IF(OR($H1198="",$I1198=""),"",$H1198*$I1198)</f>
        <v/>
      </c>
      <c r="K1198" s="24" t="n"/>
      <c r="L1198" s="24" t="n"/>
      <c r="M1198" s="29" t="n"/>
      <c r="N1198" s="28" t="n"/>
      <c r="O1198" s="24" t="n"/>
      <c r="P1198" s="24" t="n"/>
      <c r="Q1198" s="24" t="n"/>
      <c r="R1198" s="24" t="n"/>
      <c r="S1198" s="22">
        <f>IF(AND($A1198="",$C1198=""),"",IF($A1198="","Thiếu mã đơn; ","")&amp;IF(COUNTIF($A$2:$A1198,$A1198)&gt;1,"Trùng mã đơn; ","")&amp;IF(ISNA(MATCH($C1198,DATA_MASTER!$D$2:$D$5000,0)),"SĐT chưa đăng ký hội viên; ","")&amp;IF(AND($L1198="Đã chuyển khoản",$M1198=""),"Thiếu ngày nhận CK; ",""))</f>
        <v/>
      </c>
      <c r="T1198" s="24" t="n"/>
    </row>
    <row r="1199" ht="14.25" customHeight="1" s="40">
      <c r="A1199" s="24" t="n"/>
      <c r="B1199" s="29" t="n"/>
      <c r="C1199" s="28" t="n"/>
      <c r="D1199" s="22">
        <f t="array" ref="D1199">IF($C1199="","",IFERROR(INDEX(DATA_MASTER!$C$2:$C$5000,MATCH($C1199,DATA_MASTER!$D$2:$D$5000,0)),""))</f>
        <v/>
      </c>
      <c r="E1199" s="22">
        <f t="array" ref="E1199">IF($C1199="","",IFERROR(INDEX(DATA_MASTER!$I$2:$I$5000,MATCH($C1199,DATA_MASTER!$D$2:$D$5000,0)),""))</f>
        <v/>
      </c>
      <c r="F1199" s="22">
        <f t="array" ref="F1199">IF($C1199="","",IFERROR(INDEX(DATA_MASTER!$L$2:$L$5000,MATCH($C1199,DATA_MASTER!$D$2:$D$5000,0)),""))</f>
        <v/>
      </c>
      <c r="G1199" s="24" t="n"/>
      <c r="H1199" s="24" t="n"/>
      <c r="I1199" s="30" t="n"/>
      <c r="J1199" s="23">
        <f>IF(OR($H1199="",$I1199=""),"",$H1199*$I1199)</f>
        <v/>
      </c>
      <c r="K1199" s="24" t="n"/>
      <c r="L1199" s="24" t="n"/>
      <c r="M1199" s="29" t="n"/>
      <c r="N1199" s="28" t="n"/>
      <c r="O1199" s="24" t="n"/>
      <c r="P1199" s="24" t="n"/>
      <c r="Q1199" s="24" t="n"/>
      <c r="R1199" s="24" t="n"/>
      <c r="S1199" s="22">
        <f>IF(AND($A1199="",$C1199=""),"",IF($A1199="","Thiếu mã đơn; ","")&amp;IF(COUNTIF($A$2:$A1199,$A1199)&gt;1,"Trùng mã đơn; ","")&amp;IF(ISNA(MATCH($C1199,DATA_MASTER!$D$2:$D$5000,0)),"SĐT chưa đăng ký hội viên; ","")&amp;IF(AND($L1199="Đã chuyển khoản",$M1199=""),"Thiếu ngày nhận CK; ",""))</f>
        <v/>
      </c>
      <c r="T1199" s="24" t="n"/>
    </row>
    <row r="1200" ht="14.25" customHeight="1" s="40">
      <c r="A1200" s="24" t="n"/>
      <c r="B1200" s="29" t="n"/>
      <c r="C1200" s="28" t="n"/>
      <c r="D1200" s="22">
        <f t="array" ref="D1200">IF($C1200="","",IFERROR(INDEX(DATA_MASTER!$C$2:$C$5000,MATCH($C1200,DATA_MASTER!$D$2:$D$5000,0)),""))</f>
        <v/>
      </c>
      <c r="E1200" s="22">
        <f t="array" ref="E1200">IF($C1200="","",IFERROR(INDEX(DATA_MASTER!$I$2:$I$5000,MATCH($C1200,DATA_MASTER!$D$2:$D$5000,0)),""))</f>
        <v/>
      </c>
      <c r="F1200" s="22">
        <f t="array" ref="F1200">IF($C1200="","",IFERROR(INDEX(DATA_MASTER!$L$2:$L$5000,MATCH($C1200,DATA_MASTER!$D$2:$D$5000,0)),""))</f>
        <v/>
      </c>
      <c r="G1200" s="24" t="n"/>
      <c r="H1200" s="24" t="n"/>
      <c r="I1200" s="30" t="n"/>
      <c r="J1200" s="23">
        <f>IF(OR($H1200="",$I1200=""),"",$H1200*$I1200)</f>
        <v/>
      </c>
      <c r="K1200" s="24" t="n"/>
      <c r="L1200" s="24" t="n"/>
      <c r="M1200" s="29" t="n"/>
      <c r="N1200" s="28" t="n"/>
      <c r="O1200" s="24" t="n"/>
      <c r="P1200" s="24" t="n"/>
      <c r="Q1200" s="24" t="n"/>
      <c r="R1200" s="24" t="n"/>
      <c r="S1200" s="22">
        <f>IF(AND($A1200="",$C1200=""),"",IF($A1200="","Thiếu mã đơn; ","")&amp;IF(COUNTIF($A$2:$A1200,$A1200)&gt;1,"Trùng mã đơn; ","")&amp;IF(ISNA(MATCH($C1200,DATA_MASTER!$D$2:$D$5000,0)),"SĐT chưa đăng ký hội viên; ","")&amp;IF(AND($L1200="Đã chuyển khoản",$M1200=""),"Thiếu ngày nhận CK; ",""))</f>
        <v/>
      </c>
      <c r="T1200" s="24" t="n"/>
    </row>
    <row r="1201" ht="14.25" customHeight="1" s="40">
      <c r="A1201" s="24" t="n"/>
      <c r="B1201" s="29" t="n"/>
      <c r="C1201" s="28" t="n"/>
      <c r="D1201" s="22">
        <f t="array" ref="D1201">IF($C1201="","",IFERROR(INDEX(DATA_MASTER!$C$2:$C$5000,MATCH($C1201,DATA_MASTER!$D$2:$D$5000,0)),""))</f>
        <v/>
      </c>
      <c r="E1201" s="22">
        <f t="array" ref="E1201">IF($C1201="","",IFERROR(INDEX(DATA_MASTER!$I$2:$I$5000,MATCH($C1201,DATA_MASTER!$D$2:$D$5000,0)),""))</f>
        <v/>
      </c>
      <c r="F1201" s="22">
        <f t="array" ref="F1201">IF($C1201="","",IFERROR(INDEX(DATA_MASTER!$L$2:$L$5000,MATCH($C1201,DATA_MASTER!$D$2:$D$5000,0)),""))</f>
        <v/>
      </c>
      <c r="G1201" s="24" t="n"/>
      <c r="H1201" s="24" t="n"/>
      <c r="I1201" s="30" t="n"/>
      <c r="J1201" s="23">
        <f>IF(OR($H1201="",$I1201=""),"",$H1201*$I1201)</f>
        <v/>
      </c>
      <c r="K1201" s="24" t="n"/>
      <c r="L1201" s="24" t="n"/>
      <c r="M1201" s="29" t="n"/>
      <c r="N1201" s="28" t="n"/>
      <c r="O1201" s="24" t="n"/>
      <c r="P1201" s="24" t="n"/>
      <c r="Q1201" s="24" t="n"/>
      <c r="R1201" s="24" t="n"/>
      <c r="S1201" s="22">
        <f>IF(AND($A1201="",$C1201=""),"",IF($A1201="","Thiếu mã đơn; ","")&amp;IF(COUNTIF($A$2:$A1201,$A1201)&gt;1,"Trùng mã đơn; ","")&amp;IF(ISNA(MATCH($C1201,DATA_MASTER!$D$2:$D$5000,0)),"SĐT chưa đăng ký hội viên; ","")&amp;IF(AND($L1201="Đã chuyển khoản",$M1201=""),"Thiếu ngày nhận CK; ",""))</f>
        <v/>
      </c>
      <c r="T1201" s="24" t="n"/>
    </row>
    <row r="1202" ht="14.25" customHeight="1" s="40">
      <c r="A1202" s="24" t="n"/>
      <c r="B1202" s="29" t="n"/>
      <c r="C1202" s="28" t="n"/>
      <c r="D1202" s="22">
        <f t="array" ref="D1202">IF($C1202="","",IFERROR(INDEX(DATA_MASTER!$C$2:$C$5000,MATCH($C1202,DATA_MASTER!$D$2:$D$5000,0)),""))</f>
        <v/>
      </c>
      <c r="E1202" s="22">
        <f t="array" ref="E1202">IF($C1202="","",IFERROR(INDEX(DATA_MASTER!$I$2:$I$5000,MATCH($C1202,DATA_MASTER!$D$2:$D$5000,0)),""))</f>
        <v/>
      </c>
      <c r="F1202" s="22">
        <f t="array" ref="F1202">IF($C1202="","",IFERROR(INDEX(DATA_MASTER!$L$2:$L$5000,MATCH($C1202,DATA_MASTER!$D$2:$D$5000,0)),""))</f>
        <v/>
      </c>
      <c r="G1202" s="24" t="n"/>
      <c r="H1202" s="24" t="n"/>
      <c r="I1202" s="30" t="n"/>
      <c r="J1202" s="23">
        <f>IF(OR($H1202="",$I1202=""),"",$H1202*$I1202)</f>
        <v/>
      </c>
      <c r="K1202" s="24" t="n"/>
      <c r="L1202" s="24" t="n"/>
      <c r="M1202" s="29" t="n"/>
      <c r="N1202" s="28" t="n"/>
      <c r="O1202" s="24" t="n"/>
      <c r="P1202" s="24" t="n"/>
      <c r="Q1202" s="24" t="n"/>
      <c r="R1202" s="24" t="n"/>
      <c r="S1202" s="22">
        <f>IF(AND($A1202="",$C1202=""),"",IF($A1202="","Thiếu mã đơn; ","")&amp;IF(COUNTIF($A$2:$A1202,$A1202)&gt;1,"Trùng mã đơn; ","")&amp;IF(ISNA(MATCH($C1202,DATA_MASTER!$D$2:$D$5000,0)),"SĐT chưa đăng ký hội viên; ","")&amp;IF(AND($L1202="Đã chuyển khoản",$M1202=""),"Thiếu ngày nhận CK; ",""))</f>
        <v/>
      </c>
      <c r="T1202" s="24" t="n"/>
    </row>
    <row r="1203" ht="14.25" customHeight="1" s="40">
      <c r="A1203" s="24" t="n"/>
      <c r="B1203" s="29" t="n"/>
      <c r="C1203" s="28" t="n"/>
      <c r="D1203" s="22">
        <f t="array" ref="D1203">IF($C1203="","",IFERROR(INDEX(DATA_MASTER!$C$2:$C$5000,MATCH($C1203,DATA_MASTER!$D$2:$D$5000,0)),""))</f>
        <v/>
      </c>
      <c r="E1203" s="22">
        <f t="array" ref="E1203">IF($C1203="","",IFERROR(INDEX(DATA_MASTER!$I$2:$I$5000,MATCH($C1203,DATA_MASTER!$D$2:$D$5000,0)),""))</f>
        <v/>
      </c>
      <c r="F1203" s="22">
        <f t="array" ref="F1203">IF($C1203="","",IFERROR(INDEX(DATA_MASTER!$L$2:$L$5000,MATCH($C1203,DATA_MASTER!$D$2:$D$5000,0)),""))</f>
        <v/>
      </c>
      <c r="G1203" s="24" t="n"/>
      <c r="H1203" s="24" t="n"/>
      <c r="I1203" s="30" t="n"/>
      <c r="J1203" s="23">
        <f>IF(OR($H1203="",$I1203=""),"",$H1203*$I1203)</f>
        <v/>
      </c>
      <c r="K1203" s="24" t="n"/>
      <c r="L1203" s="24" t="n"/>
      <c r="M1203" s="29" t="n"/>
      <c r="N1203" s="28" t="n"/>
      <c r="O1203" s="24" t="n"/>
      <c r="P1203" s="24" t="n"/>
      <c r="Q1203" s="24" t="n"/>
      <c r="R1203" s="24" t="n"/>
      <c r="S1203" s="22">
        <f>IF(AND($A1203="",$C1203=""),"",IF($A1203="","Thiếu mã đơn; ","")&amp;IF(COUNTIF($A$2:$A1203,$A1203)&gt;1,"Trùng mã đơn; ","")&amp;IF(ISNA(MATCH($C1203,DATA_MASTER!$D$2:$D$5000,0)),"SĐT chưa đăng ký hội viên; ","")&amp;IF(AND($L1203="Đã chuyển khoản",$M1203=""),"Thiếu ngày nhận CK; ",""))</f>
        <v/>
      </c>
      <c r="T1203" s="24" t="n"/>
    </row>
    <row r="1204" ht="14.25" customHeight="1" s="40">
      <c r="A1204" s="24" t="n"/>
      <c r="B1204" s="29" t="n"/>
      <c r="C1204" s="28" t="n"/>
      <c r="D1204" s="22">
        <f t="array" ref="D1204">IF($C1204="","",IFERROR(INDEX(DATA_MASTER!$C$2:$C$5000,MATCH($C1204,DATA_MASTER!$D$2:$D$5000,0)),""))</f>
        <v/>
      </c>
      <c r="E1204" s="22">
        <f t="array" ref="E1204">IF($C1204="","",IFERROR(INDEX(DATA_MASTER!$I$2:$I$5000,MATCH($C1204,DATA_MASTER!$D$2:$D$5000,0)),""))</f>
        <v/>
      </c>
      <c r="F1204" s="22">
        <f t="array" ref="F1204">IF($C1204="","",IFERROR(INDEX(DATA_MASTER!$L$2:$L$5000,MATCH($C1204,DATA_MASTER!$D$2:$D$5000,0)),""))</f>
        <v/>
      </c>
      <c r="G1204" s="24" t="n"/>
      <c r="H1204" s="24" t="n"/>
      <c r="I1204" s="30" t="n"/>
      <c r="J1204" s="23">
        <f>IF(OR($H1204="",$I1204=""),"",$H1204*$I1204)</f>
        <v/>
      </c>
      <c r="K1204" s="24" t="n"/>
      <c r="L1204" s="24" t="n"/>
      <c r="M1204" s="29" t="n"/>
      <c r="N1204" s="28" t="n"/>
      <c r="O1204" s="24" t="n"/>
      <c r="P1204" s="24" t="n"/>
      <c r="Q1204" s="24" t="n"/>
      <c r="R1204" s="24" t="n"/>
      <c r="S1204" s="22">
        <f>IF(AND($A1204="",$C1204=""),"",IF($A1204="","Thiếu mã đơn; ","")&amp;IF(COUNTIF($A$2:$A1204,$A1204)&gt;1,"Trùng mã đơn; ","")&amp;IF(ISNA(MATCH($C1204,DATA_MASTER!$D$2:$D$5000,0)),"SĐT chưa đăng ký hội viên; ","")&amp;IF(AND($L1204="Đã chuyển khoản",$M1204=""),"Thiếu ngày nhận CK; ",""))</f>
        <v/>
      </c>
      <c r="T1204" s="24" t="n"/>
    </row>
    <row r="1205" ht="14.25" customHeight="1" s="40">
      <c r="A1205" s="24" t="n"/>
      <c r="B1205" s="29" t="n"/>
      <c r="C1205" s="28" t="n"/>
      <c r="D1205" s="22">
        <f t="array" ref="D1205">IF($C1205="","",IFERROR(INDEX(DATA_MASTER!$C$2:$C$5000,MATCH($C1205,DATA_MASTER!$D$2:$D$5000,0)),""))</f>
        <v/>
      </c>
      <c r="E1205" s="22">
        <f t="array" ref="E1205">IF($C1205="","",IFERROR(INDEX(DATA_MASTER!$I$2:$I$5000,MATCH($C1205,DATA_MASTER!$D$2:$D$5000,0)),""))</f>
        <v/>
      </c>
      <c r="F1205" s="22">
        <f t="array" ref="F1205">IF($C1205="","",IFERROR(INDEX(DATA_MASTER!$L$2:$L$5000,MATCH($C1205,DATA_MASTER!$D$2:$D$5000,0)),""))</f>
        <v/>
      </c>
      <c r="G1205" s="24" t="n"/>
      <c r="H1205" s="24" t="n"/>
      <c r="I1205" s="30" t="n"/>
      <c r="J1205" s="23">
        <f>IF(OR($H1205="",$I1205=""),"",$H1205*$I1205)</f>
        <v/>
      </c>
      <c r="K1205" s="24" t="n"/>
      <c r="L1205" s="24" t="n"/>
      <c r="M1205" s="29" t="n"/>
      <c r="N1205" s="28" t="n"/>
      <c r="O1205" s="24" t="n"/>
      <c r="P1205" s="24" t="n"/>
      <c r="Q1205" s="24" t="n"/>
      <c r="R1205" s="24" t="n"/>
      <c r="S1205" s="22">
        <f>IF(AND($A1205="",$C1205=""),"",IF($A1205="","Thiếu mã đơn; ","")&amp;IF(COUNTIF($A$2:$A1205,$A1205)&gt;1,"Trùng mã đơn; ","")&amp;IF(ISNA(MATCH($C1205,DATA_MASTER!$D$2:$D$5000,0)),"SĐT chưa đăng ký hội viên; ","")&amp;IF(AND($L1205="Đã chuyển khoản",$M1205=""),"Thiếu ngày nhận CK; ",""))</f>
        <v/>
      </c>
      <c r="T1205" s="24" t="n"/>
    </row>
    <row r="1206" ht="14.25" customHeight="1" s="40">
      <c r="A1206" s="24" t="n"/>
      <c r="B1206" s="29" t="n"/>
      <c r="C1206" s="28" t="n"/>
      <c r="D1206" s="22">
        <f t="array" ref="D1206">IF($C1206="","",IFERROR(INDEX(DATA_MASTER!$C$2:$C$5000,MATCH($C1206,DATA_MASTER!$D$2:$D$5000,0)),""))</f>
        <v/>
      </c>
      <c r="E1206" s="22">
        <f t="array" ref="E1206">IF($C1206="","",IFERROR(INDEX(DATA_MASTER!$I$2:$I$5000,MATCH($C1206,DATA_MASTER!$D$2:$D$5000,0)),""))</f>
        <v/>
      </c>
      <c r="F1206" s="22">
        <f t="array" ref="F1206">IF($C1206="","",IFERROR(INDEX(DATA_MASTER!$L$2:$L$5000,MATCH($C1206,DATA_MASTER!$D$2:$D$5000,0)),""))</f>
        <v/>
      </c>
      <c r="G1206" s="24" t="n"/>
      <c r="H1206" s="24" t="n"/>
      <c r="I1206" s="30" t="n"/>
      <c r="J1206" s="23">
        <f>IF(OR($H1206="",$I1206=""),"",$H1206*$I1206)</f>
        <v/>
      </c>
      <c r="K1206" s="24" t="n"/>
      <c r="L1206" s="24" t="n"/>
      <c r="M1206" s="29" t="n"/>
      <c r="N1206" s="28" t="n"/>
      <c r="O1206" s="24" t="n"/>
      <c r="P1206" s="24" t="n"/>
      <c r="Q1206" s="24" t="n"/>
      <c r="R1206" s="24" t="n"/>
      <c r="S1206" s="22">
        <f>IF(AND($A1206="",$C1206=""),"",IF($A1206="","Thiếu mã đơn; ","")&amp;IF(COUNTIF($A$2:$A1206,$A1206)&gt;1,"Trùng mã đơn; ","")&amp;IF(ISNA(MATCH($C1206,DATA_MASTER!$D$2:$D$5000,0)),"SĐT chưa đăng ký hội viên; ","")&amp;IF(AND($L1206="Đã chuyển khoản",$M1206=""),"Thiếu ngày nhận CK; ",""))</f>
        <v/>
      </c>
      <c r="T1206" s="24" t="n"/>
    </row>
    <row r="1207" ht="14.25" customHeight="1" s="40">
      <c r="A1207" s="24" t="n"/>
      <c r="B1207" s="29" t="n"/>
      <c r="C1207" s="28" t="n"/>
      <c r="D1207" s="22">
        <f t="array" ref="D1207">IF($C1207="","",IFERROR(INDEX(DATA_MASTER!$C$2:$C$5000,MATCH($C1207,DATA_MASTER!$D$2:$D$5000,0)),""))</f>
        <v/>
      </c>
      <c r="E1207" s="22">
        <f t="array" ref="E1207">IF($C1207="","",IFERROR(INDEX(DATA_MASTER!$I$2:$I$5000,MATCH($C1207,DATA_MASTER!$D$2:$D$5000,0)),""))</f>
        <v/>
      </c>
      <c r="F1207" s="22">
        <f t="array" ref="F1207">IF($C1207="","",IFERROR(INDEX(DATA_MASTER!$L$2:$L$5000,MATCH($C1207,DATA_MASTER!$D$2:$D$5000,0)),""))</f>
        <v/>
      </c>
      <c r="G1207" s="24" t="n"/>
      <c r="H1207" s="24" t="n"/>
      <c r="I1207" s="30" t="n"/>
      <c r="J1207" s="23">
        <f>IF(OR($H1207="",$I1207=""),"",$H1207*$I1207)</f>
        <v/>
      </c>
      <c r="K1207" s="24" t="n"/>
      <c r="L1207" s="24" t="n"/>
      <c r="M1207" s="29" t="n"/>
      <c r="N1207" s="28" t="n"/>
      <c r="O1207" s="24" t="n"/>
      <c r="P1207" s="24" t="n"/>
      <c r="Q1207" s="24" t="n"/>
      <c r="R1207" s="24" t="n"/>
      <c r="S1207" s="22">
        <f>IF(AND($A1207="",$C1207=""),"",IF($A1207="","Thiếu mã đơn; ","")&amp;IF(COUNTIF($A$2:$A1207,$A1207)&gt;1,"Trùng mã đơn; ","")&amp;IF(ISNA(MATCH($C1207,DATA_MASTER!$D$2:$D$5000,0)),"SĐT chưa đăng ký hội viên; ","")&amp;IF(AND($L1207="Đã chuyển khoản",$M1207=""),"Thiếu ngày nhận CK; ",""))</f>
        <v/>
      </c>
      <c r="T1207" s="24" t="n"/>
    </row>
    <row r="1208" ht="14.25" customHeight="1" s="40">
      <c r="A1208" s="24" t="n"/>
      <c r="B1208" s="29" t="n"/>
      <c r="C1208" s="28" t="n"/>
      <c r="D1208" s="22">
        <f t="array" ref="D1208">IF($C1208="","",IFERROR(INDEX(DATA_MASTER!$C$2:$C$5000,MATCH($C1208,DATA_MASTER!$D$2:$D$5000,0)),""))</f>
        <v/>
      </c>
      <c r="E1208" s="22">
        <f t="array" ref="E1208">IF($C1208="","",IFERROR(INDEX(DATA_MASTER!$I$2:$I$5000,MATCH($C1208,DATA_MASTER!$D$2:$D$5000,0)),""))</f>
        <v/>
      </c>
      <c r="F1208" s="22">
        <f t="array" ref="F1208">IF($C1208="","",IFERROR(INDEX(DATA_MASTER!$L$2:$L$5000,MATCH($C1208,DATA_MASTER!$D$2:$D$5000,0)),""))</f>
        <v/>
      </c>
      <c r="G1208" s="24" t="n"/>
      <c r="H1208" s="24" t="n"/>
      <c r="I1208" s="30" t="n"/>
      <c r="J1208" s="23">
        <f>IF(OR($H1208="",$I1208=""),"",$H1208*$I1208)</f>
        <v/>
      </c>
      <c r="K1208" s="24" t="n"/>
      <c r="L1208" s="24" t="n"/>
      <c r="M1208" s="29" t="n"/>
      <c r="N1208" s="28" t="n"/>
      <c r="O1208" s="24" t="n"/>
      <c r="P1208" s="24" t="n"/>
      <c r="Q1208" s="24" t="n"/>
      <c r="R1208" s="24" t="n"/>
      <c r="S1208" s="22">
        <f>IF(AND($A1208="",$C1208=""),"",IF($A1208="","Thiếu mã đơn; ","")&amp;IF(COUNTIF($A$2:$A1208,$A1208)&gt;1,"Trùng mã đơn; ","")&amp;IF(ISNA(MATCH($C1208,DATA_MASTER!$D$2:$D$5000,0)),"SĐT chưa đăng ký hội viên; ","")&amp;IF(AND($L1208="Đã chuyển khoản",$M1208=""),"Thiếu ngày nhận CK; ",""))</f>
        <v/>
      </c>
      <c r="T1208" s="24" t="n"/>
    </row>
    <row r="1209" ht="14.25" customHeight="1" s="40">
      <c r="A1209" s="24" t="n"/>
      <c r="B1209" s="29" t="n"/>
      <c r="C1209" s="28" t="n"/>
      <c r="D1209" s="22">
        <f t="array" ref="D1209">IF($C1209="","",IFERROR(INDEX(DATA_MASTER!$C$2:$C$5000,MATCH($C1209,DATA_MASTER!$D$2:$D$5000,0)),""))</f>
        <v/>
      </c>
      <c r="E1209" s="22">
        <f t="array" ref="E1209">IF($C1209="","",IFERROR(INDEX(DATA_MASTER!$I$2:$I$5000,MATCH($C1209,DATA_MASTER!$D$2:$D$5000,0)),""))</f>
        <v/>
      </c>
      <c r="F1209" s="22">
        <f t="array" ref="F1209">IF($C1209="","",IFERROR(INDEX(DATA_MASTER!$L$2:$L$5000,MATCH($C1209,DATA_MASTER!$D$2:$D$5000,0)),""))</f>
        <v/>
      </c>
      <c r="G1209" s="24" t="n"/>
      <c r="H1209" s="24" t="n"/>
      <c r="I1209" s="30" t="n"/>
      <c r="J1209" s="23">
        <f>IF(OR($H1209="",$I1209=""),"",$H1209*$I1209)</f>
        <v/>
      </c>
      <c r="K1209" s="24" t="n"/>
      <c r="L1209" s="24" t="n"/>
      <c r="M1209" s="29" t="n"/>
      <c r="N1209" s="28" t="n"/>
      <c r="O1209" s="24" t="n"/>
      <c r="P1209" s="24" t="n"/>
      <c r="Q1209" s="24" t="n"/>
      <c r="R1209" s="24" t="n"/>
      <c r="S1209" s="22">
        <f>IF(AND($A1209="",$C1209=""),"",IF($A1209="","Thiếu mã đơn; ","")&amp;IF(COUNTIF($A$2:$A1209,$A1209)&gt;1,"Trùng mã đơn; ","")&amp;IF(ISNA(MATCH($C1209,DATA_MASTER!$D$2:$D$5000,0)),"SĐT chưa đăng ký hội viên; ","")&amp;IF(AND($L1209="Đã chuyển khoản",$M1209=""),"Thiếu ngày nhận CK; ",""))</f>
        <v/>
      </c>
      <c r="T1209" s="24" t="n"/>
    </row>
    <row r="1210" ht="14.25" customHeight="1" s="40">
      <c r="A1210" s="24" t="n"/>
      <c r="B1210" s="29" t="n"/>
      <c r="C1210" s="28" t="n"/>
      <c r="D1210" s="22">
        <f t="array" ref="D1210">IF($C1210="","",IFERROR(INDEX(DATA_MASTER!$C$2:$C$5000,MATCH($C1210,DATA_MASTER!$D$2:$D$5000,0)),""))</f>
        <v/>
      </c>
      <c r="E1210" s="22">
        <f t="array" ref="E1210">IF($C1210="","",IFERROR(INDEX(DATA_MASTER!$I$2:$I$5000,MATCH($C1210,DATA_MASTER!$D$2:$D$5000,0)),""))</f>
        <v/>
      </c>
      <c r="F1210" s="22">
        <f t="array" ref="F1210">IF($C1210="","",IFERROR(INDEX(DATA_MASTER!$L$2:$L$5000,MATCH($C1210,DATA_MASTER!$D$2:$D$5000,0)),""))</f>
        <v/>
      </c>
      <c r="G1210" s="24" t="n"/>
      <c r="H1210" s="24" t="n"/>
      <c r="I1210" s="30" t="n"/>
      <c r="J1210" s="23">
        <f>IF(OR($H1210="",$I1210=""),"",$H1210*$I1210)</f>
        <v/>
      </c>
      <c r="K1210" s="24" t="n"/>
      <c r="L1210" s="24" t="n"/>
      <c r="M1210" s="29" t="n"/>
      <c r="N1210" s="28" t="n"/>
      <c r="O1210" s="24" t="n"/>
      <c r="P1210" s="24" t="n"/>
      <c r="Q1210" s="24" t="n"/>
      <c r="R1210" s="24" t="n"/>
      <c r="S1210" s="22">
        <f>IF(AND($A1210="",$C1210=""),"",IF($A1210="","Thiếu mã đơn; ","")&amp;IF(COUNTIF($A$2:$A1210,$A1210)&gt;1,"Trùng mã đơn; ","")&amp;IF(ISNA(MATCH($C1210,DATA_MASTER!$D$2:$D$5000,0)),"SĐT chưa đăng ký hội viên; ","")&amp;IF(AND($L1210="Đã chuyển khoản",$M1210=""),"Thiếu ngày nhận CK; ",""))</f>
        <v/>
      </c>
      <c r="T1210" s="24" t="n"/>
    </row>
    <row r="1211" ht="14.25" customHeight="1" s="40">
      <c r="A1211" s="24" t="n"/>
      <c r="B1211" s="29" t="n"/>
      <c r="C1211" s="28" t="n"/>
      <c r="D1211" s="22">
        <f t="array" ref="D1211">IF($C1211="","",IFERROR(INDEX(DATA_MASTER!$C$2:$C$5000,MATCH($C1211,DATA_MASTER!$D$2:$D$5000,0)),""))</f>
        <v/>
      </c>
      <c r="E1211" s="22">
        <f t="array" ref="E1211">IF($C1211="","",IFERROR(INDEX(DATA_MASTER!$I$2:$I$5000,MATCH($C1211,DATA_MASTER!$D$2:$D$5000,0)),""))</f>
        <v/>
      </c>
      <c r="F1211" s="22">
        <f t="array" ref="F1211">IF($C1211="","",IFERROR(INDEX(DATA_MASTER!$L$2:$L$5000,MATCH($C1211,DATA_MASTER!$D$2:$D$5000,0)),""))</f>
        <v/>
      </c>
      <c r="G1211" s="24" t="n"/>
      <c r="H1211" s="24" t="n"/>
      <c r="I1211" s="30" t="n"/>
      <c r="J1211" s="23">
        <f>IF(OR($H1211="",$I1211=""),"",$H1211*$I1211)</f>
        <v/>
      </c>
      <c r="K1211" s="24" t="n"/>
      <c r="L1211" s="24" t="n"/>
      <c r="M1211" s="29" t="n"/>
      <c r="N1211" s="28" t="n"/>
      <c r="O1211" s="24" t="n"/>
      <c r="P1211" s="24" t="n"/>
      <c r="Q1211" s="24" t="n"/>
      <c r="R1211" s="24" t="n"/>
      <c r="S1211" s="22">
        <f>IF(AND($A1211="",$C1211=""),"",IF($A1211="","Thiếu mã đơn; ","")&amp;IF(COUNTIF($A$2:$A1211,$A1211)&gt;1,"Trùng mã đơn; ","")&amp;IF(ISNA(MATCH($C1211,DATA_MASTER!$D$2:$D$5000,0)),"SĐT chưa đăng ký hội viên; ","")&amp;IF(AND($L1211="Đã chuyển khoản",$M1211=""),"Thiếu ngày nhận CK; ",""))</f>
        <v/>
      </c>
      <c r="T1211" s="24" t="n"/>
    </row>
    <row r="1212" ht="14.25" customHeight="1" s="40">
      <c r="A1212" s="24" t="n"/>
      <c r="B1212" s="29" t="n"/>
      <c r="C1212" s="28" t="n"/>
      <c r="D1212" s="22">
        <f t="array" ref="D1212">IF($C1212="","",IFERROR(INDEX(DATA_MASTER!$C$2:$C$5000,MATCH($C1212,DATA_MASTER!$D$2:$D$5000,0)),""))</f>
        <v/>
      </c>
      <c r="E1212" s="22">
        <f t="array" ref="E1212">IF($C1212="","",IFERROR(INDEX(DATA_MASTER!$I$2:$I$5000,MATCH($C1212,DATA_MASTER!$D$2:$D$5000,0)),""))</f>
        <v/>
      </c>
      <c r="F1212" s="22">
        <f t="array" ref="F1212">IF($C1212="","",IFERROR(INDEX(DATA_MASTER!$L$2:$L$5000,MATCH($C1212,DATA_MASTER!$D$2:$D$5000,0)),""))</f>
        <v/>
      </c>
      <c r="G1212" s="24" t="n"/>
      <c r="H1212" s="24" t="n"/>
      <c r="I1212" s="30" t="n"/>
      <c r="J1212" s="23">
        <f>IF(OR($H1212="",$I1212=""),"",$H1212*$I1212)</f>
        <v/>
      </c>
      <c r="K1212" s="24" t="n"/>
      <c r="L1212" s="24" t="n"/>
      <c r="M1212" s="29" t="n"/>
      <c r="N1212" s="28" t="n"/>
      <c r="O1212" s="24" t="n"/>
      <c r="P1212" s="24" t="n"/>
      <c r="Q1212" s="24" t="n"/>
      <c r="R1212" s="24" t="n"/>
      <c r="S1212" s="22">
        <f>IF(AND($A1212="",$C1212=""),"",IF($A1212="","Thiếu mã đơn; ","")&amp;IF(COUNTIF($A$2:$A1212,$A1212)&gt;1,"Trùng mã đơn; ","")&amp;IF(ISNA(MATCH($C1212,DATA_MASTER!$D$2:$D$5000,0)),"SĐT chưa đăng ký hội viên; ","")&amp;IF(AND($L1212="Đã chuyển khoản",$M1212=""),"Thiếu ngày nhận CK; ",""))</f>
        <v/>
      </c>
      <c r="T1212" s="24" t="n"/>
    </row>
    <row r="1213" ht="14.25" customHeight="1" s="40">
      <c r="A1213" s="24" t="n"/>
      <c r="B1213" s="29" t="n"/>
      <c r="C1213" s="28" t="n"/>
      <c r="D1213" s="22">
        <f t="array" ref="D1213">IF($C1213="","",IFERROR(INDEX(DATA_MASTER!$C$2:$C$5000,MATCH($C1213,DATA_MASTER!$D$2:$D$5000,0)),""))</f>
        <v/>
      </c>
      <c r="E1213" s="22">
        <f t="array" ref="E1213">IF($C1213="","",IFERROR(INDEX(DATA_MASTER!$I$2:$I$5000,MATCH($C1213,DATA_MASTER!$D$2:$D$5000,0)),""))</f>
        <v/>
      </c>
      <c r="F1213" s="22">
        <f t="array" ref="F1213">IF($C1213="","",IFERROR(INDEX(DATA_MASTER!$L$2:$L$5000,MATCH($C1213,DATA_MASTER!$D$2:$D$5000,0)),""))</f>
        <v/>
      </c>
      <c r="G1213" s="24" t="n"/>
      <c r="H1213" s="24" t="n"/>
      <c r="I1213" s="30" t="n"/>
      <c r="J1213" s="23">
        <f>IF(OR($H1213="",$I1213=""),"",$H1213*$I1213)</f>
        <v/>
      </c>
      <c r="K1213" s="24" t="n"/>
      <c r="L1213" s="24" t="n"/>
      <c r="M1213" s="29" t="n"/>
      <c r="N1213" s="28" t="n"/>
      <c r="O1213" s="24" t="n"/>
      <c r="P1213" s="24" t="n"/>
      <c r="Q1213" s="24" t="n"/>
      <c r="R1213" s="24" t="n"/>
      <c r="S1213" s="22">
        <f>IF(AND($A1213="",$C1213=""),"",IF($A1213="","Thiếu mã đơn; ","")&amp;IF(COUNTIF($A$2:$A1213,$A1213)&gt;1,"Trùng mã đơn; ","")&amp;IF(ISNA(MATCH($C1213,DATA_MASTER!$D$2:$D$5000,0)),"SĐT chưa đăng ký hội viên; ","")&amp;IF(AND($L1213="Đã chuyển khoản",$M1213=""),"Thiếu ngày nhận CK; ",""))</f>
        <v/>
      </c>
      <c r="T1213" s="24" t="n"/>
    </row>
    <row r="1214" ht="14.25" customHeight="1" s="40">
      <c r="A1214" s="24" t="n"/>
      <c r="B1214" s="29" t="n"/>
      <c r="C1214" s="28" t="n"/>
      <c r="D1214" s="22">
        <f t="array" ref="D1214">IF($C1214="","",IFERROR(INDEX(DATA_MASTER!$C$2:$C$5000,MATCH($C1214,DATA_MASTER!$D$2:$D$5000,0)),""))</f>
        <v/>
      </c>
      <c r="E1214" s="22">
        <f t="array" ref="E1214">IF($C1214="","",IFERROR(INDEX(DATA_MASTER!$I$2:$I$5000,MATCH($C1214,DATA_MASTER!$D$2:$D$5000,0)),""))</f>
        <v/>
      </c>
      <c r="F1214" s="22">
        <f t="array" ref="F1214">IF($C1214="","",IFERROR(INDEX(DATA_MASTER!$L$2:$L$5000,MATCH($C1214,DATA_MASTER!$D$2:$D$5000,0)),""))</f>
        <v/>
      </c>
      <c r="G1214" s="24" t="n"/>
      <c r="H1214" s="24" t="n"/>
      <c r="I1214" s="30" t="n"/>
      <c r="J1214" s="23">
        <f>IF(OR($H1214="",$I1214=""),"",$H1214*$I1214)</f>
        <v/>
      </c>
      <c r="K1214" s="24" t="n"/>
      <c r="L1214" s="24" t="n"/>
      <c r="M1214" s="29" t="n"/>
      <c r="N1214" s="28" t="n"/>
      <c r="O1214" s="24" t="n"/>
      <c r="P1214" s="24" t="n"/>
      <c r="Q1214" s="24" t="n"/>
      <c r="R1214" s="24" t="n"/>
      <c r="S1214" s="22">
        <f>IF(AND($A1214="",$C1214=""),"",IF($A1214="","Thiếu mã đơn; ","")&amp;IF(COUNTIF($A$2:$A1214,$A1214)&gt;1,"Trùng mã đơn; ","")&amp;IF(ISNA(MATCH($C1214,DATA_MASTER!$D$2:$D$5000,0)),"SĐT chưa đăng ký hội viên; ","")&amp;IF(AND($L1214="Đã chuyển khoản",$M1214=""),"Thiếu ngày nhận CK; ",""))</f>
        <v/>
      </c>
      <c r="T1214" s="24" t="n"/>
    </row>
    <row r="1215" ht="14.25" customHeight="1" s="40">
      <c r="A1215" s="24" t="n"/>
      <c r="B1215" s="29" t="n"/>
      <c r="C1215" s="28" t="n"/>
      <c r="D1215" s="22">
        <f t="array" ref="D1215">IF($C1215="","",IFERROR(INDEX(DATA_MASTER!$C$2:$C$5000,MATCH($C1215,DATA_MASTER!$D$2:$D$5000,0)),""))</f>
        <v/>
      </c>
      <c r="E1215" s="22">
        <f t="array" ref="E1215">IF($C1215="","",IFERROR(INDEX(DATA_MASTER!$I$2:$I$5000,MATCH($C1215,DATA_MASTER!$D$2:$D$5000,0)),""))</f>
        <v/>
      </c>
      <c r="F1215" s="22">
        <f t="array" ref="F1215">IF($C1215="","",IFERROR(INDEX(DATA_MASTER!$L$2:$L$5000,MATCH($C1215,DATA_MASTER!$D$2:$D$5000,0)),""))</f>
        <v/>
      </c>
      <c r="G1215" s="24" t="n"/>
      <c r="H1215" s="24" t="n"/>
      <c r="I1215" s="30" t="n"/>
      <c r="J1215" s="23">
        <f>IF(OR($H1215="",$I1215=""),"",$H1215*$I1215)</f>
        <v/>
      </c>
      <c r="K1215" s="24" t="n"/>
      <c r="L1215" s="24" t="n"/>
      <c r="M1215" s="29" t="n"/>
      <c r="N1215" s="28" t="n"/>
      <c r="O1215" s="24" t="n"/>
      <c r="P1215" s="24" t="n"/>
      <c r="Q1215" s="24" t="n"/>
      <c r="R1215" s="24" t="n"/>
      <c r="S1215" s="22">
        <f>IF(AND($A1215="",$C1215=""),"",IF($A1215="","Thiếu mã đơn; ","")&amp;IF(COUNTIF($A$2:$A1215,$A1215)&gt;1,"Trùng mã đơn; ","")&amp;IF(ISNA(MATCH($C1215,DATA_MASTER!$D$2:$D$5000,0)),"SĐT chưa đăng ký hội viên; ","")&amp;IF(AND($L1215="Đã chuyển khoản",$M1215=""),"Thiếu ngày nhận CK; ",""))</f>
        <v/>
      </c>
      <c r="T1215" s="24" t="n"/>
    </row>
    <row r="1216" ht="14.25" customHeight="1" s="40">
      <c r="A1216" s="24" t="n"/>
      <c r="B1216" s="29" t="n"/>
      <c r="C1216" s="28" t="n"/>
      <c r="D1216" s="22">
        <f t="array" ref="D1216">IF($C1216="","",IFERROR(INDEX(DATA_MASTER!$C$2:$C$5000,MATCH($C1216,DATA_MASTER!$D$2:$D$5000,0)),""))</f>
        <v/>
      </c>
      <c r="E1216" s="22">
        <f t="array" ref="E1216">IF($C1216="","",IFERROR(INDEX(DATA_MASTER!$I$2:$I$5000,MATCH($C1216,DATA_MASTER!$D$2:$D$5000,0)),""))</f>
        <v/>
      </c>
      <c r="F1216" s="22">
        <f t="array" ref="F1216">IF($C1216="","",IFERROR(INDEX(DATA_MASTER!$L$2:$L$5000,MATCH($C1216,DATA_MASTER!$D$2:$D$5000,0)),""))</f>
        <v/>
      </c>
      <c r="G1216" s="24" t="n"/>
      <c r="H1216" s="24" t="n"/>
      <c r="I1216" s="30" t="n"/>
      <c r="J1216" s="23">
        <f>IF(OR($H1216="",$I1216=""),"",$H1216*$I1216)</f>
        <v/>
      </c>
      <c r="K1216" s="24" t="n"/>
      <c r="L1216" s="24" t="n"/>
      <c r="M1216" s="29" t="n"/>
      <c r="N1216" s="28" t="n"/>
      <c r="O1216" s="24" t="n"/>
      <c r="P1216" s="24" t="n"/>
      <c r="Q1216" s="24" t="n"/>
      <c r="R1216" s="24" t="n"/>
      <c r="S1216" s="22">
        <f>IF(AND($A1216="",$C1216=""),"",IF($A1216="","Thiếu mã đơn; ","")&amp;IF(COUNTIF($A$2:$A1216,$A1216)&gt;1,"Trùng mã đơn; ","")&amp;IF(ISNA(MATCH($C1216,DATA_MASTER!$D$2:$D$5000,0)),"SĐT chưa đăng ký hội viên; ","")&amp;IF(AND($L1216="Đã chuyển khoản",$M1216=""),"Thiếu ngày nhận CK; ",""))</f>
        <v/>
      </c>
      <c r="T1216" s="24" t="n"/>
    </row>
    <row r="1217" ht="14.25" customHeight="1" s="40">
      <c r="A1217" s="24" t="n"/>
      <c r="B1217" s="29" t="n"/>
      <c r="C1217" s="28" t="n"/>
      <c r="D1217" s="22">
        <f t="array" ref="D1217">IF($C1217="","",IFERROR(INDEX(DATA_MASTER!$C$2:$C$5000,MATCH($C1217,DATA_MASTER!$D$2:$D$5000,0)),""))</f>
        <v/>
      </c>
      <c r="E1217" s="22">
        <f t="array" ref="E1217">IF($C1217="","",IFERROR(INDEX(DATA_MASTER!$I$2:$I$5000,MATCH($C1217,DATA_MASTER!$D$2:$D$5000,0)),""))</f>
        <v/>
      </c>
      <c r="F1217" s="22">
        <f t="array" ref="F1217">IF($C1217="","",IFERROR(INDEX(DATA_MASTER!$L$2:$L$5000,MATCH($C1217,DATA_MASTER!$D$2:$D$5000,0)),""))</f>
        <v/>
      </c>
      <c r="G1217" s="24" t="n"/>
      <c r="H1217" s="24" t="n"/>
      <c r="I1217" s="30" t="n"/>
      <c r="J1217" s="23">
        <f>IF(OR($H1217="",$I1217=""),"",$H1217*$I1217)</f>
        <v/>
      </c>
      <c r="K1217" s="24" t="n"/>
      <c r="L1217" s="24" t="n"/>
      <c r="M1217" s="29" t="n"/>
      <c r="N1217" s="28" t="n"/>
      <c r="O1217" s="24" t="n"/>
      <c r="P1217" s="24" t="n"/>
      <c r="Q1217" s="24" t="n"/>
      <c r="R1217" s="24" t="n"/>
      <c r="S1217" s="22">
        <f>IF(AND($A1217="",$C1217=""),"",IF($A1217="","Thiếu mã đơn; ","")&amp;IF(COUNTIF($A$2:$A1217,$A1217)&gt;1,"Trùng mã đơn; ","")&amp;IF(ISNA(MATCH($C1217,DATA_MASTER!$D$2:$D$5000,0)),"SĐT chưa đăng ký hội viên; ","")&amp;IF(AND($L1217="Đã chuyển khoản",$M1217=""),"Thiếu ngày nhận CK; ",""))</f>
        <v/>
      </c>
      <c r="T1217" s="24" t="n"/>
    </row>
    <row r="1218" ht="14.25" customHeight="1" s="40">
      <c r="A1218" s="24" t="n"/>
      <c r="B1218" s="29" t="n"/>
      <c r="C1218" s="28" t="n"/>
      <c r="D1218" s="22">
        <f t="array" ref="D1218">IF($C1218="","",IFERROR(INDEX(DATA_MASTER!$C$2:$C$5000,MATCH($C1218,DATA_MASTER!$D$2:$D$5000,0)),""))</f>
        <v/>
      </c>
      <c r="E1218" s="22">
        <f t="array" ref="E1218">IF($C1218="","",IFERROR(INDEX(DATA_MASTER!$I$2:$I$5000,MATCH($C1218,DATA_MASTER!$D$2:$D$5000,0)),""))</f>
        <v/>
      </c>
      <c r="F1218" s="22">
        <f t="array" ref="F1218">IF($C1218="","",IFERROR(INDEX(DATA_MASTER!$L$2:$L$5000,MATCH($C1218,DATA_MASTER!$D$2:$D$5000,0)),""))</f>
        <v/>
      </c>
      <c r="G1218" s="24" t="n"/>
      <c r="H1218" s="24" t="n"/>
      <c r="I1218" s="30" t="n"/>
      <c r="J1218" s="23">
        <f>IF(OR($H1218="",$I1218=""),"",$H1218*$I1218)</f>
        <v/>
      </c>
      <c r="K1218" s="24" t="n"/>
      <c r="L1218" s="24" t="n"/>
      <c r="M1218" s="29" t="n"/>
      <c r="N1218" s="28" t="n"/>
      <c r="O1218" s="24" t="n"/>
      <c r="P1218" s="24" t="n"/>
      <c r="Q1218" s="24" t="n"/>
      <c r="R1218" s="24" t="n"/>
      <c r="S1218" s="22">
        <f>IF(AND($A1218="",$C1218=""),"",IF($A1218="","Thiếu mã đơn; ","")&amp;IF(COUNTIF($A$2:$A1218,$A1218)&gt;1,"Trùng mã đơn; ","")&amp;IF(ISNA(MATCH($C1218,DATA_MASTER!$D$2:$D$5000,0)),"SĐT chưa đăng ký hội viên; ","")&amp;IF(AND($L1218="Đã chuyển khoản",$M1218=""),"Thiếu ngày nhận CK; ",""))</f>
        <v/>
      </c>
      <c r="T1218" s="24" t="n"/>
    </row>
    <row r="1219" ht="14.25" customHeight="1" s="40">
      <c r="A1219" s="24" t="n"/>
      <c r="B1219" s="29" t="n"/>
      <c r="C1219" s="28" t="n"/>
      <c r="D1219" s="22">
        <f t="array" ref="D1219">IF($C1219="","",IFERROR(INDEX(DATA_MASTER!$C$2:$C$5000,MATCH($C1219,DATA_MASTER!$D$2:$D$5000,0)),""))</f>
        <v/>
      </c>
      <c r="E1219" s="22">
        <f t="array" ref="E1219">IF($C1219="","",IFERROR(INDEX(DATA_MASTER!$I$2:$I$5000,MATCH($C1219,DATA_MASTER!$D$2:$D$5000,0)),""))</f>
        <v/>
      </c>
      <c r="F1219" s="22">
        <f t="array" ref="F1219">IF($C1219="","",IFERROR(INDEX(DATA_MASTER!$L$2:$L$5000,MATCH($C1219,DATA_MASTER!$D$2:$D$5000,0)),""))</f>
        <v/>
      </c>
      <c r="G1219" s="24" t="n"/>
      <c r="H1219" s="24" t="n"/>
      <c r="I1219" s="30" t="n"/>
      <c r="J1219" s="23">
        <f>IF(OR($H1219="",$I1219=""),"",$H1219*$I1219)</f>
        <v/>
      </c>
      <c r="K1219" s="24" t="n"/>
      <c r="L1219" s="24" t="n"/>
      <c r="M1219" s="29" t="n"/>
      <c r="N1219" s="28" t="n"/>
      <c r="O1219" s="24" t="n"/>
      <c r="P1219" s="24" t="n"/>
      <c r="Q1219" s="24" t="n"/>
      <c r="R1219" s="24" t="n"/>
      <c r="S1219" s="22">
        <f>IF(AND($A1219="",$C1219=""),"",IF($A1219="","Thiếu mã đơn; ","")&amp;IF(COUNTIF($A$2:$A1219,$A1219)&gt;1,"Trùng mã đơn; ","")&amp;IF(ISNA(MATCH($C1219,DATA_MASTER!$D$2:$D$5000,0)),"SĐT chưa đăng ký hội viên; ","")&amp;IF(AND($L1219="Đã chuyển khoản",$M1219=""),"Thiếu ngày nhận CK; ",""))</f>
        <v/>
      </c>
      <c r="T1219" s="24" t="n"/>
    </row>
    <row r="1220" ht="14.25" customHeight="1" s="40">
      <c r="A1220" s="24" t="n"/>
      <c r="B1220" s="29" t="n"/>
      <c r="C1220" s="28" t="n"/>
      <c r="D1220" s="22">
        <f t="array" ref="D1220">IF($C1220="","",IFERROR(INDEX(DATA_MASTER!$C$2:$C$5000,MATCH($C1220,DATA_MASTER!$D$2:$D$5000,0)),""))</f>
        <v/>
      </c>
      <c r="E1220" s="22">
        <f t="array" ref="E1220">IF($C1220="","",IFERROR(INDEX(DATA_MASTER!$I$2:$I$5000,MATCH($C1220,DATA_MASTER!$D$2:$D$5000,0)),""))</f>
        <v/>
      </c>
      <c r="F1220" s="22">
        <f t="array" ref="F1220">IF($C1220="","",IFERROR(INDEX(DATA_MASTER!$L$2:$L$5000,MATCH($C1220,DATA_MASTER!$D$2:$D$5000,0)),""))</f>
        <v/>
      </c>
      <c r="G1220" s="24" t="n"/>
      <c r="H1220" s="24" t="n"/>
      <c r="I1220" s="30" t="n"/>
      <c r="J1220" s="23">
        <f>IF(OR($H1220="",$I1220=""),"",$H1220*$I1220)</f>
        <v/>
      </c>
      <c r="K1220" s="24" t="n"/>
      <c r="L1220" s="24" t="n"/>
      <c r="M1220" s="29" t="n"/>
      <c r="N1220" s="28" t="n"/>
      <c r="O1220" s="24" t="n"/>
      <c r="P1220" s="24" t="n"/>
      <c r="Q1220" s="24" t="n"/>
      <c r="R1220" s="24" t="n"/>
      <c r="S1220" s="22">
        <f>IF(AND($A1220="",$C1220=""),"",IF($A1220="","Thiếu mã đơn; ","")&amp;IF(COUNTIF($A$2:$A1220,$A1220)&gt;1,"Trùng mã đơn; ","")&amp;IF(ISNA(MATCH($C1220,DATA_MASTER!$D$2:$D$5000,0)),"SĐT chưa đăng ký hội viên; ","")&amp;IF(AND($L1220="Đã chuyển khoản",$M1220=""),"Thiếu ngày nhận CK; ",""))</f>
        <v/>
      </c>
      <c r="T1220" s="24" t="n"/>
    </row>
    <row r="1221" ht="14.25" customHeight="1" s="40">
      <c r="A1221" s="24" t="n"/>
      <c r="B1221" s="29" t="n"/>
      <c r="C1221" s="28" t="n"/>
      <c r="D1221" s="22">
        <f t="array" ref="D1221">IF($C1221="","",IFERROR(INDEX(DATA_MASTER!$C$2:$C$5000,MATCH($C1221,DATA_MASTER!$D$2:$D$5000,0)),""))</f>
        <v/>
      </c>
      <c r="E1221" s="22">
        <f t="array" ref="E1221">IF($C1221="","",IFERROR(INDEX(DATA_MASTER!$I$2:$I$5000,MATCH($C1221,DATA_MASTER!$D$2:$D$5000,0)),""))</f>
        <v/>
      </c>
      <c r="F1221" s="22">
        <f t="array" ref="F1221">IF($C1221="","",IFERROR(INDEX(DATA_MASTER!$L$2:$L$5000,MATCH($C1221,DATA_MASTER!$D$2:$D$5000,0)),""))</f>
        <v/>
      </c>
      <c r="G1221" s="24" t="n"/>
      <c r="H1221" s="24" t="n"/>
      <c r="I1221" s="30" t="n"/>
      <c r="J1221" s="23">
        <f>IF(OR($H1221="",$I1221=""),"",$H1221*$I1221)</f>
        <v/>
      </c>
      <c r="K1221" s="24" t="n"/>
      <c r="L1221" s="24" t="n"/>
      <c r="M1221" s="29" t="n"/>
      <c r="N1221" s="28" t="n"/>
      <c r="O1221" s="24" t="n"/>
      <c r="P1221" s="24" t="n"/>
      <c r="Q1221" s="24" t="n"/>
      <c r="R1221" s="24" t="n"/>
      <c r="S1221" s="22">
        <f>IF(AND($A1221="",$C1221=""),"",IF($A1221="","Thiếu mã đơn; ","")&amp;IF(COUNTIF($A$2:$A1221,$A1221)&gt;1,"Trùng mã đơn; ","")&amp;IF(ISNA(MATCH($C1221,DATA_MASTER!$D$2:$D$5000,0)),"SĐT chưa đăng ký hội viên; ","")&amp;IF(AND($L1221="Đã chuyển khoản",$M1221=""),"Thiếu ngày nhận CK; ",""))</f>
        <v/>
      </c>
      <c r="T1221" s="24" t="n"/>
    </row>
    <row r="1222" ht="14.25" customHeight="1" s="40">
      <c r="A1222" s="24" t="n"/>
      <c r="B1222" s="29" t="n"/>
      <c r="C1222" s="28" t="n"/>
      <c r="D1222" s="22">
        <f t="array" ref="D1222">IF($C1222="","",IFERROR(INDEX(DATA_MASTER!$C$2:$C$5000,MATCH($C1222,DATA_MASTER!$D$2:$D$5000,0)),""))</f>
        <v/>
      </c>
      <c r="E1222" s="22">
        <f t="array" ref="E1222">IF($C1222="","",IFERROR(INDEX(DATA_MASTER!$I$2:$I$5000,MATCH($C1222,DATA_MASTER!$D$2:$D$5000,0)),""))</f>
        <v/>
      </c>
      <c r="F1222" s="22">
        <f t="array" ref="F1222">IF($C1222="","",IFERROR(INDEX(DATA_MASTER!$L$2:$L$5000,MATCH($C1222,DATA_MASTER!$D$2:$D$5000,0)),""))</f>
        <v/>
      </c>
      <c r="G1222" s="24" t="n"/>
      <c r="H1222" s="24" t="n"/>
      <c r="I1222" s="30" t="n"/>
      <c r="J1222" s="23">
        <f>IF(OR($H1222="",$I1222=""),"",$H1222*$I1222)</f>
        <v/>
      </c>
      <c r="K1222" s="24" t="n"/>
      <c r="L1222" s="24" t="n"/>
      <c r="M1222" s="29" t="n"/>
      <c r="N1222" s="28" t="n"/>
      <c r="O1222" s="24" t="n"/>
      <c r="P1222" s="24" t="n"/>
      <c r="Q1222" s="24" t="n"/>
      <c r="R1222" s="24" t="n"/>
      <c r="S1222" s="22">
        <f>IF(AND($A1222="",$C1222=""),"",IF($A1222="","Thiếu mã đơn; ","")&amp;IF(COUNTIF($A$2:$A1222,$A1222)&gt;1,"Trùng mã đơn; ","")&amp;IF(ISNA(MATCH($C1222,DATA_MASTER!$D$2:$D$5000,0)),"SĐT chưa đăng ký hội viên; ","")&amp;IF(AND($L1222="Đã chuyển khoản",$M1222=""),"Thiếu ngày nhận CK; ",""))</f>
        <v/>
      </c>
      <c r="T1222" s="24" t="n"/>
    </row>
    <row r="1223" ht="14.25" customHeight="1" s="40">
      <c r="A1223" s="24" t="n"/>
      <c r="B1223" s="29" t="n"/>
      <c r="C1223" s="28" t="n"/>
      <c r="D1223" s="22">
        <f t="array" ref="D1223">IF($C1223="","",IFERROR(INDEX(DATA_MASTER!$C$2:$C$5000,MATCH($C1223,DATA_MASTER!$D$2:$D$5000,0)),""))</f>
        <v/>
      </c>
      <c r="E1223" s="22">
        <f t="array" ref="E1223">IF($C1223="","",IFERROR(INDEX(DATA_MASTER!$I$2:$I$5000,MATCH($C1223,DATA_MASTER!$D$2:$D$5000,0)),""))</f>
        <v/>
      </c>
      <c r="F1223" s="22">
        <f t="array" ref="F1223">IF($C1223="","",IFERROR(INDEX(DATA_MASTER!$L$2:$L$5000,MATCH($C1223,DATA_MASTER!$D$2:$D$5000,0)),""))</f>
        <v/>
      </c>
      <c r="G1223" s="24" t="n"/>
      <c r="H1223" s="24" t="n"/>
      <c r="I1223" s="30" t="n"/>
      <c r="J1223" s="23">
        <f>IF(OR($H1223="",$I1223=""),"",$H1223*$I1223)</f>
        <v/>
      </c>
      <c r="K1223" s="24" t="n"/>
      <c r="L1223" s="24" t="n"/>
      <c r="M1223" s="29" t="n"/>
      <c r="N1223" s="28" t="n"/>
      <c r="O1223" s="24" t="n"/>
      <c r="P1223" s="24" t="n"/>
      <c r="Q1223" s="24" t="n"/>
      <c r="R1223" s="24" t="n"/>
      <c r="S1223" s="22">
        <f>IF(AND($A1223="",$C1223=""),"",IF($A1223="","Thiếu mã đơn; ","")&amp;IF(COUNTIF($A$2:$A1223,$A1223)&gt;1,"Trùng mã đơn; ","")&amp;IF(ISNA(MATCH($C1223,DATA_MASTER!$D$2:$D$5000,0)),"SĐT chưa đăng ký hội viên; ","")&amp;IF(AND($L1223="Đã chuyển khoản",$M1223=""),"Thiếu ngày nhận CK; ",""))</f>
        <v/>
      </c>
      <c r="T1223" s="24" t="n"/>
    </row>
    <row r="1224" ht="14.25" customHeight="1" s="40">
      <c r="A1224" s="24" t="n"/>
      <c r="B1224" s="29" t="n"/>
      <c r="C1224" s="28" t="n"/>
      <c r="D1224" s="22">
        <f t="array" ref="D1224">IF($C1224="","",IFERROR(INDEX(DATA_MASTER!$C$2:$C$5000,MATCH($C1224,DATA_MASTER!$D$2:$D$5000,0)),""))</f>
        <v/>
      </c>
      <c r="E1224" s="22">
        <f t="array" ref="E1224">IF($C1224="","",IFERROR(INDEX(DATA_MASTER!$I$2:$I$5000,MATCH($C1224,DATA_MASTER!$D$2:$D$5000,0)),""))</f>
        <v/>
      </c>
      <c r="F1224" s="22">
        <f t="array" ref="F1224">IF($C1224="","",IFERROR(INDEX(DATA_MASTER!$L$2:$L$5000,MATCH($C1224,DATA_MASTER!$D$2:$D$5000,0)),""))</f>
        <v/>
      </c>
      <c r="G1224" s="24" t="n"/>
      <c r="H1224" s="24" t="n"/>
      <c r="I1224" s="30" t="n"/>
      <c r="J1224" s="23">
        <f>IF(OR($H1224="",$I1224=""),"",$H1224*$I1224)</f>
        <v/>
      </c>
      <c r="K1224" s="24" t="n"/>
      <c r="L1224" s="24" t="n"/>
      <c r="M1224" s="29" t="n"/>
      <c r="N1224" s="28" t="n"/>
      <c r="O1224" s="24" t="n"/>
      <c r="P1224" s="24" t="n"/>
      <c r="Q1224" s="24" t="n"/>
      <c r="R1224" s="24" t="n"/>
      <c r="S1224" s="22">
        <f>IF(AND($A1224="",$C1224=""),"",IF($A1224="","Thiếu mã đơn; ","")&amp;IF(COUNTIF($A$2:$A1224,$A1224)&gt;1,"Trùng mã đơn; ","")&amp;IF(ISNA(MATCH($C1224,DATA_MASTER!$D$2:$D$5000,0)),"SĐT chưa đăng ký hội viên; ","")&amp;IF(AND($L1224="Đã chuyển khoản",$M1224=""),"Thiếu ngày nhận CK; ",""))</f>
        <v/>
      </c>
      <c r="T1224" s="24" t="n"/>
    </row>
    <row r="1225" ht="14.25" customHeight="1" s="40">
      <c r="A1225" s="24" t="n"/>
      <c r="B1225" s="29" t="n"/>
      <c r="C1225" s="28" t="n"/>
      <c r="D1225" s="22">
        <f t="array" ref="D1225">IF($C1225="","",IFERROR(INDEX(DATA_MASTER!$C$2:$C$5000,MATCH($C1225,DATA_MASTER!$D$2:$D$5000,0)),""))</f>
        <v/>
      </c>
      <c r="E1225" s="22">
        <f t="array" ref="E1225">IF($C1225="","",IFERROR(INDEX(DATA_MASTER!$I$2:$I$5000,MATCH($C1225,DATA_MASTER!$D$2:$D$5000,0)),""))</f>
        <v/>
      </c>
      <c r="F1225" s="22">
        <f t="array" ref="F1225">IF($C1225="","",IFERROR(INDEX(DATA_MASTER!$L$2:$L$5000,MATCH($C1225,DATA_MASTER!$D$2:$D$5000,0)),""))</f>
        <v/>
      </c>
      <c r="G1225" s="24" t="n"/>
      <c r="H1225" s="24" t="n"/>
      <c r="I1225" s="30" t="n"/>
      <c r="J1225" s="23">
        <f>IF(OR($H1225="",$I1225=""),"",$H1225*$I1225)</f>
        <v/>
      </c>
      <c r="K1225" s="24" t="n"/>
      <c r="L1225" s="24" t="n"/>
      <c r="M1225" s="29" t="n"/>
      <c r="N1225" s="28" t="n"/>
      <c r="O1225" s="24" t="n"/>
      <c r="P1225" s="24" t="n"/>
      <c r="Q1225" s="24" t="n"/>
      <c r="R1225" s="24" t="n"/>
      <c r="S1225" s="22">
        <f>IF(AND($A1225="",$C1225=""),"",IF($A1225="","Thiếu mã đơn; ","")&amp;IF(COUNTIF($A$2:$A1225,$A1225)&gt;1,"Trùng mã đơn; ","")&amp;IF(ISNA(MATCH($C1225,DATA_MASTER!$D$2:$D$5000,0)),"SĐT chưa đăng ký hội viên; ","")&amp;IF(AND($L1225="Đã chuyển khoản",$M1225=""),"Thiếu ngày nhận CK; ",""))</f>
        <v/>
      </c>
      <c r="T1225" s="24" t="n"/>
    </row>
    <row r="1226" ht="14.25" customHeight="1" s="40">
      <c r="A1226" s="24" t="n"/>
      <c r="B1226" s="29" t="n"/>
      <c r="C1226" s="28" t="n"/>
      <c r="D1226" s="22">
        <f t="array" ref="D1226">IF($C1226="","",IFERROR(INDEX(DATA_MASTER!$C$2:$C$5000,MATCH($C1226,DATA_MASTER!$D$2:$D$5000,0)),""))</f>
        <v/>
      </c>
      <c r="E1226" s="22">
        <f t="array" ref="E1226">IF($C1226="","",IFERROR(INDEX(DATA_MASTER!$I$2:$I$5000,MATCH($C1226,DATA_MASTER!$D$2:$D$5000,0)),""))</f>
        <v/>
      </c>
      <c r="F1226" s="22">
        <f t="array" ref="F1226">IF($C1226="","",IFERROR(INDEX(DATA_MASTER!$L$2:$L$5000,MATCH($C1226,DATA_MASTER!$D$2:$D$5000,0)),""))</f>
        <v/>
      </c>
      <c r="G1226" s="24" t="n"/>
      <c r="H1226" s="24" t="n"/>
      <c r="I1226" s="30" t="n"/>
      <c r="J1226" s="23">
        <f>IF(OR($H1226="",$I1226=""),"",$H1226*$I1226)</f>
        <v/>
      </c>
      <c r="K1226" s="24" t="n"/>
      <c r="L1226" s="24" t="n"/>
      <c r="M1226" s="29" t="n"/>
      <c r="N1226" s="28" t="n"/>
      <c r="O1226" s="24" t="n"/>
      <c r="P1226" s="24" t="n"/>
      <c r="Q1226" s="24" t="n"/>
      <c r="R1226" s="24" t="n"/>
      <c r="S1226" s="22">
        <f>IF(AND($A1226="",$C1226=""),"",IF($A1226="","Thiếu mã đơn; ","")&amp;IF(COUNTIF($A$2:$A1226,$A1226)&gt;1,"Trùng mã đơn; ","")&amp;IF(ISNA(MATCH($C1226,DATA_MASTER!$D$2:$D$5000,0)),"SĐT chưa đăng ký hội viên; ","")&amp;IF(AND($L1226="Đã chuyển khoản",$M1226=""),"Thiếu ngày nhận CK; ",""))</f>
        <v/>
      </c>
      <c r="T1226" s="24" t="n"/>
    </row>
    <row r="1227" ht="14.25" customHeight="1" s="40">
      <c r="A1227" s="24" t="n"/>
      <c r="B1227" s="29" t="n"/>
      <c r="C1227" s="28" t="n"/>
      <c r="D1227" s="22">
        <f t="array" ref="D1227">IF($C1227="","",IFERROR(INDEX(DATA_MASTER!$C$2:$C$5000,MATCH($C1227,DATA_MASTER!$D$2:$D$5000,0)),""))</f>
        <v/>
      </c>
      <c r="E1227" s="22">
        <f t="array" ref="E1227">IF($C1227="","",IFERROR(INDEX(DATA_MASTER!$I$2:$I$5000,MATCH($C1227,DATA_MASTER!$D$2:$D$5000,0)),""))</f>
        <v/>
      </c>
      <c r="F1227" s="22">
        <f t="array" ref="F1227">IF($C1227="","",IFERROR(INDEX(DATA_MASTER!$L$2:$L$5000,MATCH($C1227,DATA_MASTER!$D$2:$D$5000,0)),""))</f>
        <v/>
      </c>
      <c r="G1227" s="24" t="n"/>
      <c r="H1227" s="24" t="n"/>
      <c r="I1227" s="30" t="n"/>
      <c r="J1227" s="23">
        <f>IF(OR($H1227="",$I1227=""),"",$H1227*$I1227)</f>
        <v/>
      </c>
      <c r="K1227" s="24" t="n"/>
      <c r="L1227" s="24" t="n"/>
      <c r="M1227" s="29" t="n"/>
      <c r="N1227" s="28" t="n"/>
      <c r="O1227" s="24" t="n"/>
      <c r="P1227" s="24" t="n"/>
      <c r="Q1227" s="24" t="n"/>
      <c r="R1227" s="24" t="n"/>
      <c r="S1227" s="22">
        <f>IF(AND($A1227="",$C1227=""),"",IF($A1227="","Thiếu mã đơn; ","")&amp;IF(COUNTIF($A$2:$A1227,$A1227)&gt;1,"Trùng mã đơn; ","")&amp;IF(ISNA(MATCH($C1227,DATA_MASTER!$D$2:$D$5000,0)),"SĐT chưa đăng ký hội viên; ","")&amp;IF(AND($L1227="Đã chuyển khoản",$M1227=""),"Thiếu ngày nhận CK; ",""))</f>
        <v/>
      </c>
      <c r="T1227" s="24" t="n"/>
    </row>
    <row r="1228" ht="14.25" customHeight="1" s="40">
      <c r="A1228" s="24" t="n"/>
      <c r="B1228" s="29" t="n"/>
      <c r="C1228" s="28" t="n"/>
      <c r="D1228" s="22">
        <f t="array" ref="D1228">IF($C1228="","",IFERROR(INDEX(DATA_MASTER!$C$2:$C$5000,MATCH($C1228,DATA_MASTER!$D$2:$D$5000,0)),""))</f>
        <v/>
      </c>
      <c r="E1228" s="22">
        <f t="array" ref="E1228">IF($C1228="","",IFERROR(INDEX(DATA_MASTER!$I$2:$I$5000,MATCH($C1228,DATA_MASTER!$D$2:$D$5000,0)),""))</f>
        <v/>
      </c>
      <c r="F1228" s="22">
        <f t="array" ref="F1228">IF($C1228="","",IFERROR(INDEX(DATA_MASTER!$L$2:$L$5000,MATCH($C1228,DATA_MASTER!$D$2:$D$5000,0)),""))</f>
        <v/>
      </c>
      <c r="G1228" s="24" t="n"/>
      <c r="H1228" s="24" t="n"/>
      <c r="I1228" s="30" t="n"/>
      <c r="J1228" s="23">
        <f>IF(OR($H1228="",$I1228=""),"",$H1228*$I1228)</f>
        <v/>
      </c>
      <c r="K1228" s="24" t="n"/>
      <c r="L1228" s="24" t="n"/>
      <c r="M1228" s="29" t="n"/>
      <c r="N1228" s="28" t="n"/>
      <c r="O1228" s="24" t="n"/>
      <c r="P1228" s="24" t="n"/>
      <c r="Q1228" s="24" t="n"/>
      <c r="R1228" s="24" t="n"/>
      <c r="S1228" s="22">
        <f>IF(AND($A1228="",$C1228=""),"",IF($A1228="","Thiếu mã đơn; ","")&amp;IF(COUNTIF($A$2:$A1228,$A1228)&gt;1,"Trùng mã đơn; ","")&amp;IF(ISNA(MATCH($C1228,DATA_MASTER!$D$2:$D$5000,0)),"SĐT chưa đăng ký hội viên; ","")&amp;IF(AND($L1228="Đã chuyển khoản",$M1228=""),"Thiếu ngày nhận CK; ",""))</f>
        <v/>
      </c>
      <c r="T1228" s="24" t="n"/>
    </row>
    <row r="1229" ht="14.25" customHeight="1" s="40">
      <c r="A1229" s="24" t="n"/>
      <c r="B1229" s="29" t="n"/>
      <c r="C1229" s="28" t="n"/>
      <c r="D1229" s="22">
        <f t="array" ref="D1229">IF($C1229="","",IFERROR(INDEX(DATA_MASTER!$C$2:$C$5000,MATCH($C1229,DATA_MASTER!$D$2:$D$5000,0)),""))</f>
        <v/>
      </c>
      <c r="E1229" s="22">
        <f t="array" ref="E1229">IF($C1229="","",IFERROR(INDEX(DATA_MASTER!$I$2:$I$5000,MATCH($C1229,DATA_MASTER!$D$2:$D$5000,0)),""))</f>
        <v/>
      </c>
      <c r="F1229" s="22">
        <f t="array" ref="F1229">IF($C1229="","",IFERROR(INDEX(DATA_MASTER!$L$2:$L$5000,MATCH($C1229,DATA_MASTER!$D$2:$D$5000,0)),""))</f>
        <v/>
      </c>
      <c r="G1229" s="24" t="n"/>
      <c r="H1229" s="24" t="n"/>
      <c r="I1229" s="30" t="n"/>
      <c r="J1229" s="23">
        <f>IF(OR($H1229="",$I1229=""),"",$H1229*$I1229)</f>
        <v/>
      </c>
      <c r="K1229" s="24" t="n"/>
      <c r="L1229" s="24" t="n"/>
      <c r="M1229" s="29" t="n"/>
      <c r="N1229" s="28" t="n"/>
      <c r="O1229" s="24" t="n"/>
      <c r="P1229" s="24" t="n"/>
      <c r="Q1229" s="24" t="n"/>
      <c r="R1229" s="24" t="n"/>
      <c r="S1229" s="22">
        <f>IF(AND($A1229="",$C1229=""),"",IF($A1229="","Thiếu mã đơn; ","")&amp;IF(COUNTIF($A$2:$A1229,$A1229)&gt;1,"Trùng mã đơn; ","")&amp;IF(ISNA(MATCH($C1229,DATA_MASTER!$D$2:$D$5000,0)),"SĐT chưa đăng ký hội viên; ","")&amp;IF(AND($L1229="Đã chuyển khoản",$M1229=""),"Thiếu ngày nhận CK; ",""))</f>
        <v/>
      </c>
      <c r="T1229" s="24" t="n"/>
    </row>
    <row r="1230" ht="14.25" customHeight="1" s="40">
      <c r="A1230" s="24" t="n"/>
      <c r="B1230" s="29" t="n"/>
      <c r="C1230" s="28" t="n"/>
      <c r="D1230" s="22">
        <f t="array" ref="D1230">IF($C1230="","",IFERROR(INDEX(DATA_MASTER!$C$2:$C$5000,MATCH($C1230,DATA_MASTER!$D$2:$D$5000,0)),""))</f>
        <v/>
      </c>
      <c r="E1230" s="22">
        <f t="array" ref="E1230">IF($C1230="","",IFERROR(INDEX(DATA_MASTER!$I$2:$I$5000,MATCH($C1230,DATA_MASTER!$D$2:$D$5000,0)),""))</f>
        <v/>
      </c>
      <c r="F1230" s="22">
        <f t="array" ref="F1230">IF($C1230="","",IFERROR(INDEX(DATA_MASTER!$L$2:$L$5000,MATCH($C1230,DATA_MASTER!$D$2:$D$5000,0)),""))</f>
        <v/>
      </c>
      <c r="G1230" s="24" t="n"/>
      <c r="H1230" s="24" t="n"/>
      <c r="I1230" s="30" t="n"/>
      <c r="J1230" s="23">
        <f>IF(OR($H1230="",$I1230=""),"",$H1230*$I1230)</f>
        <v/>
      </c>
      <c r="K1230" s="24" t="n"/>
      <c r="L1230" s="24" t="n"/>
      <c r="M1230" s="29" t="n"/>
      <c r="N1230" s="28" t="n"/>
      <c r="O1230" s="24" t="n"/>
      <c r="P1230" s="24" t="n"/>
      <c r="Q1230" s="24" t="n"/>
      <c r="R1230" s="24" t="n"/>
      <c r="S1230" s="22">
        <f>IF(AND($A1230="",$C1230=""),"",IF($A1230="","Thiếu mã đơn; ","")&amp;IF(COUNTIF($A$2:$A1230,$A1230)&gt;1,"Trùng mã đơn; ","")&amp;IF(ISNA(MATCH($C1230,DATA_MASTER!$D$2:$D$5000,0)),"SĐT chưa đăng ký hội viên; ","")&amp;IF(AND($L1230="Đã chuyển khoản",$M1230=""),"Thiếu ngày nhận CK; ",""))</f>
        <v/>
      </c>
      <c r="T1230" s="24" t="n"/>
    </row>
    <row r="1231" ht="14.25" customHeight="1" s="40">
      <c r="A1231" s="24" t="n"/>
      <c r="B1231" s="29" t="n"/>
      <c r="C1231" s="28" t="n"/>
      <c r="D1231" s="22">
        <f t="array" ref="D1231">IF($C1231="","",IFERROR(INDEX(DATA_MASTER!$C$2:$C$5000,MATCH($C1231,DATA_MASTER!$D$2:$D$5000,0)),""))</f>
        <v/>
      </c>
      <c r="E1231" s="22">
        <f t="array" ref="E1231">IF($C1231="","",IFERROR(INDEX(DATA_MASTER!$I$2:$I$5000,MATCH($C1231,DATA_MASTER!$D$2:$D$5000,0)),""))</f>
        <v/>
      </c>
      <c r="F1231" s="22">
        <f t="array" ref="F1231">IF($C1231="","",IFERROR(INDEX(DATA_MASTER!$L$2:$L$5000,MATCH($C1231,DATA_MASTER!$D$2:$D$5000,0)),""))</f>
        <v/>
      </c>
      <c r="G1231" s="24" t="n"/>
      <c r="H1231" s="24" t="n"/>
      <c r="I1231" s="30" t="n"/>
      <c r="J1231" s="23">
        <f>IF(OR($H1231="",$I1231=""),"",$H1231*$I1231)</f>
        <v/>
      </c>
      <c r="K1231" s="24" t="n"/>
      <c r="L1231" s="24" t="n"/>
      <c r="M1231" s="29" t="n"/>
      <c r="N1231" s="28" t="n"/>
      <c r="O1231" s="24" t="n"/>
      <c r="P1231" s="24" t="n"/>
      <c r="Q1231" s="24" t="n"/>
      <c r="R1231" s="24" t="n"/>
      <c r="S1231" s="22">
        <f>IF(AND($A1231="",$C1231=""),"",IF($A1231="","Thiếu mã đơn; ","")&amp;IF(COUNTIF($A$2:$A1231,$A1231)&gt;1,"Trùng mã đơn; ","")&amp;IF(ISNA(MATCH($C1231,DATA_MASTER!$D$2:$D$5000,0)),"SĐT chưa đăng ký hội viên; ","")&amp;IF(AND($L1231="Đã chuyển khoản",$M1231=""),"Thiếu ngày nhận CK; ",""))</f>
        <v/>
      </c>
      <c r="T1231" s="24" t="n"/>
    </row>
    <row r="1232" ht="14.25" customHeight="1" s="40">
      <c r="A1232" s="24" t="n"/>
      <c r="B1232" s="29" t="n"/>
      <c r="C1232" s="28" t="n"/>
      <c r="D1232" s="22">
        <f t="array" ref="D1232">IF($C1232="","",IFERROR(INDEX(DATA_MASTER!$C$2:$C$5000,MATCH($C1232,DATA_MASTER!$D$2:$D$5000,0)),""))</f>
        <v/>
      </c>
      <c r="E1232" s="22">
        <f t="array" ref="E1232">IF($C1232="","",IFERROR(INDEX(DATA_MASTER!$I$2:$I$5000,MATCH($C1232,DATA_MASTER!$D$2:$D$5000,0)),""))</f>
        <v/>
      </c>
      <c r="F1232" s="22">
        <f t="array" ref="F1232">IF($C1232="","",IFERROR(INDEX(DATA_MASTER!$L$2:$L$5000,MATCH($C1232,DATA_MASTER!$D$2:$D$5000,0)),""))</f>
        <v/>
      </c>
      <c r="G1232" s="24" t="n"/>
      <c r="H1232" s="24" t="n"/>
      <c r="I1232" s="30" t="n"/>
      <c r="J1232" s="23">
        <f>IF(OR($H1232="",$I1232=""),"",$H1232*$I1232)</f>
        <v/>
      </c>
      <c r="K1232" s="24" t="n"/>
      <c r="L1232" s="24" t="n"/>
      <c r="M1232" s="29" t="n"/>
      <c r="N1232" s="28" t="n"/>
      <c r="O1232" s="24" t="n"/>
      <c r="P1232" s="24" t="n"/>
      <c r="Q1232" s="24" t="n"/>
      <c r="R1232" s="24" t="n"/>
      <c r="S1232" s="22">
        <f>IF(AND($A1232="",$C1232=""),"",IF($A1232="","Thiếu mã đơn; ","")&amp;IF(COUNTIF($A$2:$A1232,$A1232)&gt;1,"Trùng mã đơn; ","")&amp;IF(ISNA(MATCH($C1232,DATA_MASTER!$D$2:$D$5000,0)),"SĐT chưa đăng ký hội viên; ","")&amp;IF(AND($L1232="Đã chuyển khoản",$M1232=""),"Thiếu ngày nhận CK; ",""))</f>
        <v/>
      </c>
      <c r="T1232" s="24" t="n"/>
    </row>
    <row r="1233" ht="14.25" customHeight="1" s="40">
      <c r="A1233" s="24" t="n"/>
      <c r="B1233" s="29" t="n"/>
      <c r="C1233" s="28" t="n"/>
      <c r="D1233" s="22">
        <f t="array" ref="D1233">IF($C1233="","",IFERROR(INDEX(DATA_MASTER!$C$2:$C$5000,MATCH($C1233,DATA_MASTER!$D$2:$D$5000,0)),""))</f>
        <v/>
      </c>
      <c r="E1233" s="22">
        <f t="array" ref="E1233">IF($C1233="","",IFERROR(INDEX(DATA_MASTER!$I$2:$I$5000,MATCH($C1233,DATA_MASTER!$D$2:$D$5000,0)),""))</f>
        <v/>
      </c>
      <c r="F1233" s="22">
        <f t="array" ref="F1233">IF($C1233="","",IFERROR(INDEX(DATA_MASTER!$L$2:$L$5000,MATCH($C1233,DATA_MASTER!$D$2:$D$5000,0)),""))</f>
        <v/>
      </c>
      <c r="G1233" s="24" t="n"/>
      <c r="H1233" s="24" t="n"/>
      <c r="I1233" s="30" t="n"/>
      <c r="J1233" s="23">
        <f>IF(OR($H1233="",$I1233=""),"",$H1233*$I1233)</f>
        <v/>
      </c>
      <c r="K1233" s="24" t="n"/>
      <c r="L1233" s="24" t="n"/>
      <c r="M1233" s="29" t="n"/>
      <c r="N1233" s="28" t="n"/>
      <c r="O1233" s="24" t="n"/>
      <c r="P1233" s="24" t="n"/>
      <c r="Q1233" s="24" t="n"/>
      <c r="R1233" s="24" t="n"/>
      <c r="S1233" s="22">
        <f>IF(AND($A1233="",$C1233=""),"",IF($A1233="","Thiếu mã đơn; ","")&amp;IF(COUNTIF($A$2:$A1233,$A1233)&gt;1,"Trùng mã đơn; ","")&amp;IF(ISNA(MATCH($C1233,DATA_MASTER!$D$2:$D$5000,0)),"SĐT chưa đăng ký hội viên; ","")&amp;IF(AND($L1233="Đã chuyển khoản",$M1233=""),"Thiếu ngày nhận CK; ",""))</f>
        <v/>
      </c>
      <c r="T1233" s="24" t="n"/>
    </row>
    <row r="1234" ht="14.25" customHeight="1" s="40">
      <c r="A1234" s="24" t="n"/>
      <c r="B1234" s="29" t="n"/>
      <c r="C1234" s="28" t="n"/>
      <c r="D1234" s="22">
        <f t="array" ref="D1234">IF($C1234="","",IFERROR(INDEX(DATA_MASTER!$C$2:$C$5000,MATCH($C1234,DATA_MASTER!$D$2:$D$5000,0)),""))</f>
        <v/>
      </c>
      <c r="E1234" s="22">
        <f t="array" ref="E1234">IF($C1234="","",IFERROR(INDEX(DATA_MASTER!$I$2:$I$5000,MATCH($C1234,DATA_MASTER!$D$2:$D$5000,0)),""))</f>
        <v/>
      </c>
      <c r="F1234" s="22">
        <f t="array" ref="F1234">IF($C1234="","",IFERROR(INDEX(DATA_MASTER!$L$2:$L$5000,MATCH($C1234,DATA_MASTER!$D$2:$D$5000,0)),""))</f>
        <v/>
      </c>
      <c r="G1234" s="24" t="n"/>
      <c r="H1234" s="24" t="n"/>
      <c r="I1234" s="30" t="n"/>
      <c r="J1234" s="23">
        <f>IF(OR($H1234="",$I1234=""),"",$H1234*$I1234)</f>
        <v/>
      </c>
      <c r="K1234" s="24" t="n"/>
      <c r="L1234" s="24" t="n"/>
      <c r="M1234" s="29" t="n"/>
      <c r="N1234" s="28" t="n"/>
      <c r="O1234" s="24" t="n"/>
      <c r="P1234" s="24" t="n"/>
      <c r="Q1234" s="24" t="n"/>
      <c r="R1234" s="24" t="n"/>
      <c r="S1234" s="22">
        <f>IF(AND($A1234="",$C1234=""),"",IF($A1234="","Thiếu mã đơn; ","")&amp;IF(COUNTIF($A$2:$A1234,$A1234)&gt;1,"Trùng mã đơn; ","")&amp;IF(ISNA(MATCH($C1234,DATA_MASTER!$D$2:$D$5000,0)),"SĐT chưa đăng ký hội viên; ","")&amp;IF(AND($L1234="Đã chuyển khoản",$M1234=""),"Thiếu ngày nhận CK; ",""))</f>
        <v/>
      </c>
      <c r="T1234" s="24" t="n"/>
    </row>
    <row r="1235" ht="14.25" customHeight="1" s="40">
      <c r="A1235" s="24" t="n"/>
      <c r="B1235" s="29" t="n"/>
      <c r="C1235" s="28" t="n"/>
      <c r="D1235" s="22">
        <f t="array" ref="D1235">IF($C1235="","",IFERROR(INDEX(DATA_MASTER!$C$2:$C$5000,MATCH($C1235,DATA_MASTER!$D$2:$D$5000,0)),""))</f>
        <v/>
      </c>
      <c r="E1235" s="22">
        <f t="array" ref="E1235">IF($C1235="","",IFERROR(INDEX(DATA_MASTER!$I$2:$I$5000,MATCH($C1235,DATA_MASTER!$D$2:$D$5000,0)),""))</f>
        <v/>
      </c>
      <c r="F1235" s="22">
        <f t="array" ref="F1235">IF($C1235="","",IFERROR(INDEX(DATA_MASTER!$L$2:$L$5000,MATCH($C1235,DATA_MASTER!$D$2:$D$5000,0)),""))</f>
        <v/>
      </c>
      <c r="G1235" s="24" t="n"/>
      <c r="H1235" s="24" t="n"/>
      <c r="I1235" s="30" t="n"/>
      <c r="J1235" s="23">
        <f>IF(OR($H1235="",$I1235=""),"",$H1235*$I1235)</f>
        <v/>
      </c>
      <c r="K1235" s="24" t="n"/>
      <c r="L1235" s="24" t="n"/>
      <c r="M1235" s="29" t="n"/>
      <c r="N1235" s="28" t="n"/>
      <c r="O1235" s="24" t="n"/>
      <c r="P1235" s="24" t="n"/>
      <c r="Q1235" s="24" t="n"/>
      <c r="R1235" s="24" t="n"/>
      <c r="S1235" s="22">
        <f>IF(AND($A1235="",$C1235=""),"",IF($A1235="","Thiếu mã đơn; ","")&amp;IF(COUNTIF($A$2:$A1235,$A1235)&gt;1,"Trùng mã đơn; ","")&amp;IF(ISNA(MATCH($C1235,DATA_MASTER!$D$2:$D$5000,0)),"SĐT chưa đăng ký hội viên; ","")&amp;IF(AND($L1235="Đã chuyển khoản",$M1235=""),"Thiếu ngày nhận CK; ",""))</f>
        <v/>
      </c>
      <c r="T1235" s="24" t="n"/>
    </row>
    <row r="1236" ht="14.25" customHeight="1" s="40">
      <c r="A1236" s="24" t="n"/>
      <c r="B1236" s="29" t="n"/>
      <c r="C1236" s="28" t="n"/>
      <c r="D1236" s="22">
        <f t="array" ref="D1236">IF($C1236="","",IFERROR(INDEX(DATA_MASTER!$C$2:$C$5000,MATCH($C1236,DATA_MASTER!$D$2:$D$5000,0)),""))</f>
        <v/>
      </c>
      <c r="E1236" s="22">
        <f t="array" ref="E1236">IF($C1236="","",IFERROR(INDEX(DATA_MASTER!$I$2:$I$5000,MATCH($C1236,DATA_MASTER!$D$2:$D$5000,0)),""))</f>
        <v/>
      </c>
      <c r="F1236" s="22">
        <f t="array" ref="F1236">IF($C1236="","",IFERROR(INDEX(DATA_MASTER!$L$2:$L$5000,MATCH($C1236,DATA_MASTER!$D$2:$D$5000,0)),""))</f>
        <v/>
      </c>
      <c r="G1236" s="24" t="n"/>
      <c r="H1236" s="24" t="n"/>
      <c r="I1236" s="30" t="n"/>
      <c r="J1236" s="23">
        <f>IF(OR($H1236="",$I1236=""),"",$H1236*$I1236)</f>
        <v/>
      </c>
      <c r="K1236" s="24" t="n"/>
      <c r="L1236" s="24" t="n"/>
      <c r="M1236" s="29" t="n"/>
      <c r="N1236" s="28" t="n"/>
      <c r="O1236" s="24" t="n"/>
      <c r="P1236" s="24" t="n"/>
      <c r="Q1236" s="24" t="n"/>
      <c r="R1236" s="24" t="n"/>
      <c r="S1236" s="22">
        <f>IF(AND($A1236="",$C1236=""),"",IF($A1236="","Thiếu mã đơn; ","")&amp;IF(COUNTIF($A$2:$A1236,$A1236)&gt;1,"Trùng mã đơn; ","")&amp;IF(ISNA(MATCH($C1236,DATA_MASTER!$D$2:$D$5000,0)),"SĐT chưa đăng ký hội viên; ","")&amp;IF(AND($L1236="Đã chuyển khoản",$M1236=""),"Thiếu ngày nhận CK; ",""))</f>
        <v/>
      </c>
      <c r="T1236" s="24" t="n"/>
    </row>
    <row r="1237" ht="14.25" customHeight="1" s="40">
      <c r="A1237" s="24" t="n"/>
      <c r="B1237" s="29" t="n"/>
      <c r="C1237" s="28" t="n"/>
      <c r="D1237" s="22">
        <f t="array" ref="D1237">IF($C1237="","",IFERROR(INDEX(DATA_MASTER!$C$2:$C$5000,MATCH($C1237,DATA_MASTER!$D$2:$D$5000,0)),""))</f>
        <v/>
      </c>
      <c r="E1237" s="22">
        <f t="array" ref="E1237">IF($C1237="","",IFERROR(INDEX(DATA_MASTER!$I$2:$I$5000,MATCH($C1237,DATA_MASTER!$D$2:$D$5000,0)),""))</f>
        <v/>
      </c>
      <c r="F1237" s="22">
        <f t="array" ref="F1237">IF($C1237="","",IFERROR(INDEX(DATA_MASTER!$L$2:$L$5000,MATCH($C1237,DATA_MASTER!$D$2:$D$5000,0)),""))</f>
        <v/>
      </c>
      <c r="G1237" s="24" t="n"/>
      <c r="H1237" s="24" t="n"/>
      <c r="I1237" s="30" t="n"/>
      <c r="J1237" s="23">
        <f>IF(OR($H1237="",$I1237=""),"",$H1237*$I1237)</f>
        <v/>
      </c>
      <c r="K1237" s="24" t="n"/>
      <c r="L1237" s="24" t="n"/>
      <c r="M1237" s="29" t="n"/>
      <c r="N1237" s="28" t="n"/>
      <c r="O1237" s="24" t="n"/>
      <c r="P1237" s="24" t="n"/>
      <c r="Q1237" s="24" t="n"/>
      <c r="R1237" s="24" t="n"/>
      <c r="S1237" s="22">
        <f>IF(AND($A1237="",$C1237=""),"",IF($A1237="","Thiếu mã đơn; ","")&amp;IF(COUNTIF($A$2:$A1237,$A1237)&gt;1,"Trùng mã đơn; ","")&amp;IF(ISNA(MATCH($C1237,DATA_MASTER!$D$2:$D$5000,0)),"SĐT chưa đăng ký hội viên; ","")&amp;IF(AND($L1237="Đã chuyển khoản",$M1237=""),"Thiếu ngày nhận CK; ",""))</f>
        <v/>
      </c>
      <c r="T1237" s="24" t="n"/>
    </row>
    <row r="1238" ht="14.25" customHeight="1" s="40">
      <c r="A1238" s="24" t="n"/>
      <c r="B1238" s="29" t="n"/>
      <c r="C1238" s="28" t="n"/>
      <c r="D1238" s="22">
        <f t="array" ref="D1238">IF($C1238="","",IFERROR(INDEX(DATA_MASTER!$C$2:$C$5000,MATCH($C1238,DATA_MASTER!$D$2:$D$5000,0)),""))</f>
        <v/>
      </c>
      <c r="E1238" s="22">
        <f t="array" ref="E1238">IF($C1238="","",IFERROR(INDEX(DATA_MASTER!$I$2:$I$5000,MATCH($C1238,DATA_MASTER!$D$2:$D$5000,0)),""))</f>
        <v/>
      </c>
      <c r="F1238" s="22">
        <f t="array" ref="F1238">IF($C1238="","",IFERROR(INDEX(DATA_MASTER!$L$2:$L$5000,MATCH($C1238,DATA_MASTER!$D$2:$D$5000,0)),""))</f>
        <v/>
      </c>
      <c r="G1238" s="24" t="n"/>
      <c r="H1238" s="24" t="n"/>
      <c r="I1238" s="30" t="n"/>
      <c r="J1238" s="23">
        <f>IF(OR($H1238="",$I1238=""),"",$H1238*$I1238)</f>
        <v/>
      </c>
      <c r="K1238" s="24" t="n"/>
      <c r="L1238" s="24" t="n"/>
      <c r="M1238" s="29" t="n"/>
      <c r="N1238" s="28" t="n"/>
      <c r="O1238" s="24" t="n"/>
      <c r="P1238" s="24" t="n"/>
      <c r="Q1238" s="24" t="n"/>
      <c r="R1238" s="24" t="n"/>
      <c r="S1238" s="22">
        <f>IF(AND($A1238="",$C1238=""),"",IF($A1238="","Thiếu mã đơn; ","")&amp;IF(COUNTIF($A$2:$A1238,$A1238)&gt;1,"Trùng mã đơn; ","")&amp;IF(ISNA(MATCH($C1238,DATA_MASTER!$D$2:$D$5000,0)),"SĐT chưa đăng ký hội viên; ","")&amp;IF(AND($L1238="Đã chuyển khoản",$M1238=""),"Thiếu ngày nhận CK; ",""))</f>
        <v/>
      </c>
      <c r="T1238" s="24" t="n"/>
    </row>
    <row r="1239" ht="14.25" customHeight="1" s="40">
      <c r="A1239" s="24" t="n"/>
      <c r="B1239" s="29" t="n"/>
      <c r="C1239" s="28" t="n"/>
      <c r="D1239" s="22">
        <f t="array" ref="D1239">IF($C1239="","",IFERROR(INDEX(DATA_MASTER!$C$2:$C$5000,MATCH($C1239,DATA_MASTER!$D$2:$D$5000,0)),""))</f>
        <v/>
      </c>
      <c r="E1239" s="22">
        <f t="array" ref="E1239">IF($C1239="","",IFERROR(INDEX(DATA_MASTER!$I$2:$I$5000,MATCH($C1239,DATA_MASTER!$D$2:$D$5000,0)),""))</f>
        <v/>
      </c>
      <c r="F1239" s="22">
        <f t="array" ref="F1239">IF($C1239="","",IFERROR(INDEX(DATA_MASTER!$L$2:$L$5000,MATCH($C1239,DATA_MASTER!$D$2:$D$5000,0)),""))</f>
        <v/>
      </c>
      <c r="G1239" s="24" t="n"/>
      <c r="H1239" s="24" t="n"/>
      <c r="I1239" s="30" t="n"/>
      <c r="J1239" s="23">
        <f>IF(OR($H1239="",$I1239=""),"",$H1239*$I1239)</f>
        <v/>
      </c>
      <c r="K1239" s="24" t="n"/>
      <c r="L1239" s="24" t="n"/>
      <c r="M1239" s="29" t="n"/>
      <c r="N1239" s="28" t="n"/>
      <c r="O1239" s="24" t="n"/>
      <c r="P1239" s="24" t="n"/>
      <c r="Q1239" s="24" t="n"/>
      <c r="R1239" s="24" t="n"/>
      <c r="S1239" s="22">
        <f>IF(AND($A1239="",$C1239=""),"",IF($A1239="","Thiếu mã đơn; ","")&amp;IF(COUNTIF($A$2:$A1239,$A1239)&gt;1,"Trùng mã đơn; ","")&amp;IF(ISNA(MATCH($C1239,DATA_MASTER!$D$2:$D$5000,0)),"SĐT chưa đăng ký hội viên; ","")&amp;IF(AND($L1239="Đã chuyển khoản",$M1239=""),"Thiếu ngày nhận CK; ",""))</f>
        <v/>
      </c>
      <c r="T1239" s="24" t="n"/>
    </row>
    <row r="1240" ht="14.25" customHeight="1" s="40">
      <c r="A1240" s="24" t="n"/>
      <c r="B1240" s="29" t="n"/>
      <c r="C1240" s="28" t="n"/>
      <c r="D1240" s="22">
        <f t="array" ref="D1240">IF($C1240="","",IFERROR(INDEX(DATA_MASTER!$C$2:$C$5000,MATCH($C1240,DATA_MASTER!$D$2:$D$5000,0)),""))</f>
        <v/>
      </c>
      <c r="E1240" s="22">
        <f t="array" ref="E1240">IF($C1240="","",IFERROR(INDEX(DATA_MASTER!$I$2:$I$5000,MATCH($C1240,DATA_MASTER!$D$2:$D$5000,0)),""))</f>
        <v/>
      </c>
      <c r="F1240" s="22">
        <f t="array" ref="F1240">IF($C1240="","",IFERROR(INDEX(DATA_MASTER!$L$2:$L$5000,MATCH($C1240,DATA_MASTER!$D$2:$D$5000,0)),""))</f>
        <v/>
      </c>
      <c r="G1240" s="24" t="n"/>
      <c r="H1240" s="24" t="n"/>
      <c r="I1240" s="30" t="n"/>
      <c r="J1240" s="23">
        <f>IF(OR($H1240="",$I1240=""),"",$H1240*$I1240)</f>
        <v/>
      </c>
      <c r="K1240" s="24" t="n"/>
      <c r="L1240" s="24" t="n"/>
      <c r="M1240" s="29" t="n"/>
      <c r="N1240" s="28" t="n"/>
      <c r="O1240" s="24" t="n"/>
      <c r="P1240" s="24" t="n"/>
      <c r="Q1240" s="24" t="n"/>
      <c r="R1240" s="24" t="n"/>
      <c r="S1240" s="22">
        <f>IF(AND($A1240="",$C1240=""),"",IF($A1240="","Thiếu mã đơn; ","")&amp;IF(COUNTIF($A$2:$A1240,$A1240)&gt;1,"Trùng mã đơn; ","")&amp;IF(ISNA(MATCH($C1240,DATA_MASTER!$D$2:$D$5000,0)),"SĐT chưa đăng ký hội viên; ","")&amp;IF(AND($L1240="Đã chuyển khoản",$M1240=""),"Thiếu ngày nhận CK; ",""))</f>
        <v/>
      </c>
      <c r="T1240" s="24" t="n"/>
    </row>
    <row r="1241" ht="14.25" customHeight="1" s="40">
      <c r="A1241" s="24" t="n"/>
      <c r="B1241" s="29" t="n"/>
      <c r="C1241" s="28" t="n"/>
      <c r="D1241" s="22">
        <f t="array" ref="D1241">IF($C1241="","",IFERROR(INDEX(DATA_MASTER!$C$2:$C$5000,MATCH($C1241,DATA_MASTER!$D$2:$D$5000,0)),""))</f>
        <v/>
      </c>
      <c r="E1241" s="22">
        <f t="array" ref="E1241">IF($C1241="","",IFERROR(INDEX(DATA_MASTER!$I$2:$I$5000,MATCH($C1241,DATA_MASTER!$D$2:$D$5000,0)),""))</f>
        <v/>
      </c>
      <c r="F1241" s="22">
        <f t="array" ref="F1241">IF($C1241="","",IFERROR(INDEX(DATA_MASTER!$L$2:$L$5000,MATCH($C1241,DATA_MASTER!$D$2:$D$5000,0)),""))</f>
        <v/>
      </c>
      <c r="G1241" s="24" t="n"/>
      <c r="H1241" s="24" t="n"/>
      <c r="I1241" s="30" t="n"/>
      <c r="J1241" s="23">
        <f>IF(OR($H1241="",$I1241=""),"",$H1241*$I1241)</f>
        <v/>
      </c>
      <c r="K1241" s="24" t="n"/>
      <c r="L1241" s="24" t="n"/>
      <c r="M1241" s="29" t="n"/>
      <c r="N1241" s="28" t="n"/>
      <c r="O1241" s="24" t="n"/>
      <c r="P1241" s="24" t="n"/>
      <c r="Q1241" s="24" t="n"/>
      <c r="R1241" s="24" t="n"/>
      <c r="S1241" s="22">
        <f>IF(AND($A1241="",$C1241=""),"",IF($A1241="","Thiếu mã đơn; ","")&amp;IF(COUNTIF($A$2:$A1241,$A1241)&gt;1,"Trùng mã đơn; ","")&amp;IF(ISNA(MATCH($C1241,DATA_MASTER!$D$2:$D$5000,0)),"SĐT chưa đăng ký hội viên; ","")&amp;IF(AND($L1241="Đã chuyển khoản",$M1241=""),"Thiếu ngày nhận CK; ",""))</f>
        <v/>
      </c>
      <c r="T1241" s="24" t="n"/>
    </row>
    <row r="1242" ht="14.25" customHeight="1" s="40">
      <c r="A1242" s="24" t="n"/>
      <c r="B1242" s="29" t="n"/>
      <c r="C1242" s="28" t="n"/>
      <c r="D1242" s="22">
        <f t="array" ref="D1242">IF($C1242="","",IFERROR(INDEX(DATA_MASTER!$C$2:$C$5000,MATCH($C1242,DATA_MASTER!$D$2:$D$5000,0)),""))</f>
        <v/>
      </c>
      <c r="E1242" s="22">
        <f t="array" ref="E1242">IF($C1242="","",IFERROR(INDEX(DATA_MASTER!$I$2:$I$5000,MATCH($C1242,DATA_MASTER!$D$2:$D$5000,0)),""))</f>
        <v/>
      </c>
      <c r="F1242" s="22">
        <f t="array" ref="F1242">IF($C1242="","",IFERROR(INDEX(DATA_MASTER!$L$2:$L$5000,MATCH($C1242,DATA_MASTER!$D$2:$D$5000,0)),""))</f>
        <v/>
      </c>
      <c r="G1242" s="24" t="n"/>
      <c r="H1242" s="24" t="n"/>
      <c r="I1242" s="30" t="n"/>
      <c r="J1242" s="23">
        <f>IF(OR($H1242="",$I1242=""),"",$H1242*$I1242)</f>
        <v/>
      </c>
      <c r="K1242" s="24" t="n"/>
      <c r="L1242" s="24" t="n"/>
      <c r="M1242" s="29" t="n"/>
      <c r="N1242" s="28" t="n"/>
      <c r="O1242" s="24" t="n"/>
      <c r="P1242" s="24" t="n"/>
      <c r="Q1242" s="24" t="n"/>
      <c r="R1242" s="24" t="n"/>
      <c r="S1242" s="22">
        <f>IF(AND($A1242="",$C1242=""),"",IF($A1242="","Thiếu mã đơn; ","")&amp;IF(COUNTIF($A$2:$A1242,$A1242)&gt;1,"Trùng mã đơn; ","")&amp;IF(ISNA(MATCH($C1242,DATA_MASTER!$D$2:$D$5000,0)),"SĐT chưa đăng ký hội viên; ","")&amp;IF(AND($L1242="Đã chuyển khoản",$M1242=""),"Thiếu ngày nhận CK; ",""))</f>
        <v/>
      </c>
      <c r="T1242" s="24" t="n"/>
    </row>
    <row r="1243" ht="14.25" customHeight="1" s="40">
      <c r="A1243" s="24" t="n"/>
      <c r="B1243" s="29" t="n"/>
      <c r="C1243" s="28" t="n"/>
      <c r="D1243" s="22">
        <f t="array" ref="D1243">IF($C1243="","",IFERROR(INDEX(DATA_MASTER!$C$2:$C$5000,MATCH($C1243,DATA_MASTER!$D$2:$D$5000,0)),""))</f>
        <v/>
      </c>
      <c r="E1243" s="22">
        <f t="array" ref="E1243">IF($C1243="","",IFERROR(INDEX(DATA_MASTER!$I$2:$I$5000,MATCH($C1243,DATA_MASTER!$D$2:$D$5000,0)),""))</f>
        <v/>
      </c>
      <c r="F1243" s="22">
        <f t="array" ref="F1243">IF($C1243="","",IFERROR(INDEX(DATA_MASTER!$L$2:$L$5000,MATCH($C1243,DATA_MASTER!$D$2:$D$5000,0)),""))</f>
        <v/>
      </c>
      <c r="G1243" s="24" t="n"/>
      <c r="H1243" s="24" t="n"/>
      <c r="I1243" s="30" t="n"/>
      <c r="J1243" s="23">
        <f>IF(OR($H1243="",$I1243=""),"",$H1243*$I1243)</f>
        <v/>
      </c>
      <c r="K1243" s="24" t="n"/>
      <c r="L1243" s="24" t="n"/>
      <c r="M1243" s="29" t="n"/>
      <c r="N1243" s="28" t="n"/>
      <c r="O1243" s="24" t="n"/>
      <c r="P1243" s="24" t="n"/>
      <c r="Q1243" s="24" t="n"/>
      <c r="R1243" s="24" t="n"/>
      <c r="S1243" s="22">
        <f>IF(AND($A1243="",$C1243=""),"",IF($A1243="","Thiếu mã đơn; ","")&amp;IF(COUNTIF($A$2:$A1243,$A1243)&gt;1,"Trùng mã đơn; ","")&amp;IF(ISNA(MATCH($C1243,DATA_MASTER!$D$2:$D$5000,0)),"SĐT chưa đăng ký hội viên; ","")&amp;IF(AND($L1243="Đã chuyển khoản",$M1243=""),"Thiếu ngày nhận CK; ",""))</f>
        <v/>
      </c>
      <c r="T1243" s="24" t="n"/>
    </row>
    <row r="1244" ht="14.25" customHeight="1" s="40">
      <c r="A1244" s="24" t="n"/>
      <c r="B1244" s="29" t="n"/>
      <c r="C1244" s="28" t="n"/>
      <c r="D1244" s="22">
        <f t="array" ref="D1244">IF($C1244="","",IFERROR(INDEX(DATA_MASTER!$C$2:$C$5000,MATCH($C1244,DATA_MASTER!$D$2:$D$5000,0)),""))</f>
        <v/>
      </c>
      <c r="E1244" s="22">
        <f t="array" ref="E1244">IF($C1244="","",IFERROR(INDEX(DATA_MASTER!$I$2:$I$5000,MATCH($C1244,DATA_MASTER!$D$2:$D$5000,0)),""))</f>
        <v/>
      </c>
      <c r="F1244" s="22">
        <f t="array" ref="F1244">IF($C1244="","",IFERROR(INDEX(DATA_MASTER!$L$2:$L$5000,MATCH($C1244,DATA_MASTER!$D$2:$D$5000,0)),""))</f>
        <v/>
      </c>
      <c r="G1244" s="24" t="n"/>
      <c r="H1244" s="24" t="n"/>
      <c r="I1244" s="30" t="n"/>
      <c r="J1244" s="23">
        <f>IF(OR($H1244="",$I1244=""),"",$H1244*$I1244)</f>
        <v/>
      </c>
      <c r="K1244" s="24" t="n"/>
      <c r="L1244" s="24" t="n"/>
      <c r="M1244" s="29" t="n"/>
      <c r="N1244" s="28" t="n"/>
      <c r="O1244" s="24" t="n"/>
      <c r="P1244" s="24" t="n"/>
      <c r="Q1244" s="24" t="n"/>
      <c r="R1244" s="24" t="n"/>
      <c r="S1244" s="22">
        <f>IF(AND($A1244="",$C1244=""),"",IF($A1244="","Thiếu mã đơn; ","")&amp;IF(COUNTIF($A$2:$A1244,$A1244)&gt;1,"Trùng mã đơn; ","")&amp;IF(ISNA(MATCH($C1244,DATA_MASTER!$D$2:$D$5000,0)),"SĐT chưa đăng ký hội viên; ","")&amp;IF(AND($L1244="Đã chuyển khoản",$M1244=""),"Thiếu ngày nhận CK; ",""))</f>
        <v/>
      </c>
      <c r="T1244" s="24" t="n"/>
    </row>
    <row r="1245" ht="14.25" customHeight="1" s="40">
      <c r="A1245" s="24" t="n"/>
      <c r="B1245" s="29" t="n"/>
      <c r="C1245" s="28" t="n"/>
      <c r="D1245" s="22">
        <f t="array" ref="D1245">IF($C1245="","",IFERROR(INDEX(DATA_MASTER!$C$2:$C$5000,MATCH($C1245,DATA_MASTER!$D$2:$D$5000,0)),""))</f>
        <v/>
      </c>
      <c r="E1245" s="22">
        <f t="array" ref="E1245">IF($C1245="","",IFERROR(INDEX(DATA_MASTER!$I$2:$I$5000,MATCH($C1245,DATA_MASTER!$D$2:$D$5000,0)),""))</f>
        <v/>
      </c>
      <c r="F1245" s="22">
        <f t="array" ref="F1245">IF($C1245="","",IFERROR(INDEX(DATA_MASTER!$L$2:$L$5000,MATCH($C1245,DATA_MASTER!$D$2:$D$5000,0)),""))</f>
        <v/>
      </c>
      <c r="G1245" s="24" t="n"/>
      <c r="H1245" s="24" t="n"/>
      <c r="I1245" s="30" t="n"/>
      <c r="J1245" s="23">
        <f>IF(OR($H1245="",$I1245=""),"",$H1245*$I1245)</f>
        <v/>
      </c>
      <c r="K1245" s="24" t="n"/>
      <c r="L1245" s="24" t="n"/>
      <c r="M1245" s="29" t="n"/>
      <c r="N1245" s="28" t="n"/>
      <c r="O1245" s="24" t="n"/>
      <c r="P1245" s="24" t="n"/>
      <c r="Q1245" s="24" t="n"/>
      <c r="R1245" s="24" t="n"/>
      <c r="S1245" s="22">
        <f>IF(AND($A1245="",$C1245=""),"",IF($A1245="","Thiếu mã đơn; ","")&amp;IF(COUNTIF($A$2:$A1245,$A1245)&gt;1,"Trùng mã đơn; ","")&amp;IF(ISNA(MATCH($C1245,DATA_MASTER!$D$2:$D$5000,0)),"SĐT chưa đăng ký hội viên; ","")&amp;IF(AND($L1245="Đã chuyển khoản",$M1245=""),"Thiếu ngày nhận CK; ",""))</f>
        <v/>
      </c>
      <c r="T1245" s="24" t="n"/>
    </row>
    <row r="1246" ht="14.25" customHeight="1" s="40">
      <c r="A1246" s="24" t="n"/>
      <c r="B1246" s="29" t="n"/>
      <c r="C1246" s="28" t="n"/>
      <c r="D1246" s="22">
        <f t="array" ref="D1246">IF($C1246="","",IFERROR(INDEX(DATA_MASTER!$C$2:$C$5000,MATCH($C1246,DATA_MASTER!$D$2:$D$5000,0)),""))</f>
        <v/>
      </c>
      <c r="E1246" s="22">
        <f t="array" ref="E1246">IF($C1246="","",IFERROR(INDEX(DATA_MASTER!$I$2:$I$5000,MATCH($C1246,DATA_MASTER!$D$2:$D$5000,0)),""))</f>
        <v/>
      </c>
      <c r="F1246" s="22">
        <f t="array" ref="F1246">IF($C1246="","",IFERROR(INDEX(DATA_MASTER!$L$2:$L$5000,MATCH($C1246,DATA_MASTER!$D$2:$D$5000,0)),""))</f>
        <v/>
      </c>
      <c r="G1246" s="24" t="n"/>
      <c r="H1246" s="24" t="n"/>
      <c r="I1246" s="30" t="n"/>
      <c r="J1246" s="23">
        <f>IF(OR($H1246="",$I1246=""),"",$H1246*$I1246)</f>
        <v/>
      </c>
      <c r="K1246" s="24" t="n"/>
      <c r="L1246" s="24" t="n"/>
      <c r="M1246" s="29" t="n"/>
      <c r="N1246" s="28" t="n"/>
      <c r="O1246" s="24" t="n"/>
      <c r="P1246" s="24" t="n"/>
      <c r="Q1246" s="24" t="n"/>
      <c r="R1246" s="24" t="n"/>
      <c r="S1246" s="22">
        <f>IF(AND($A1246="",$C1246=""),"",IF($A1246="","Thiếu mã đơn; ","")&amp;IF(COUNTIF($A$2:$A1246,$A1246)&gt;1,"Trùng mã đơn; ","")&amp;IF(ISNA(MATCH($C1246,DATA_MASTER!$D$2:$D$5000,0)),"SĐT chưa đăng ký hội viên; ","")&amp;IF(AND($L1246="Đã chuyển khoản",$M1246=""),"Thiếu ngày nhận CK; ",""))</f>
        <v/>
      </c>
      <c r="T1246" s="24" t="n"/>
    </row>
    <row r="1247" ht="14.25" customHeight="1" s="40">
      <c r="A1247" s="24" t="n"/>
      <c r="B1247" s="29" t="n"/>
      <c r="C1247" s="28" t="n"/>
      <c r="D1247" s="22">
        <f t="array" ref="D1247">IF($C1247="","",IFERROR(INDEX(DATA_MASTER!$C$2:$C$5000,MATCH($C1247,DATA_MASTER!$D$2:$D$5000,0)),""))</f>
        <v/>
      </c>
      <c r="E1247" s="22">
        <f t="array" ref="E1247">IF($C1247="","",IFERROR(INDEX(DATA_MASTER!$I$2:$I$5000,MATCH($C1247,DATA_MASTER!$D$2:$D$5000,0)),""))</f>
        <v/>
      </c>
      <c r="F1247" s="22">
        <f t="array" ref="F1247">IF($C1247="","",IFERROR(INDEX(DATA_MASTER!$L$2:$L$5000,MATCH($C1247,DATA_MASTER!$D$2:$D$5000,0)),""))</f>
        <v/>
      </c>
      <c r="G1247" s="24" t="n"/>
      <c r="H1247" s="24" t="n"/>
      <c r="I1247" s="30" t="n"/>
      <c r="J1247" s="23">
        <f>IF(OR($H1247="",$I1247=""),"",$H1247*$I1247)</f>
        <v/>
      </c>
      <c r="K1247" s="24" t="n"/>
      <c r="L1247" s="24" t="n"/>
      <c r="M1247" s="29" t="n"/>
      <c r="N1247" s="28" t="n"/>
      <c r="O1247" s="24" t="n"/>
      <c r="P1247" s="24" t="n"/>
      <c r="Q1247" s="24" t="n"/>
      <c r="R1247" s="24" t="n"/>
      <c r="S1247" s="22">
        <f>IF(AND($A1247="",$C1247=""),"",IF($A1247="","Thiếu mã đơn; ","")&amp;IF(COUNTIF($A$2:$A1247,$A1247)&gt;1,"Trùng mã đơn; ","")&amp;IF(ISNA(MATCH($C1247,DATA_MASTER!$D$2:$D$5000,0)),"SĐT chưa đăng ký hội viên; ","")&amp;IF(AND($L1247="Đã chuyển khoản",$M1247=""),"Thiếu ngày nhận CK; ",""))</f>
        <v/>
      </c>
      <c r="T1247" s="24" t="n"/>
    </row>
    <row r="1248" ht="14.25" customHeight="1" s="40">
      <c r="A1248" s="24" t="n"/>
      <c r="B1248" s="29" t="n"/>
      <c r="C1248" s="28" t="n"/>
      <c r="D1248" s="22">
        <f t="array" ref="D1248">IF($C1248="","",IFERROR(INDEX(DATA_MASTER!$C$2:$C$5000,MATCH($C1248,DATA_MASTER!$D$2:$D$5000,0)),""))</f>
        <v/>
      </c>
      <c r="E1248" s="22">
        <f t="array" ref="E1248">IF($C1248="","",IFERROR(INDEX(DATA_MASTER!$I$2:$I$5000,MATCH($C1248,DATA_MASTER!$D$2:$D$5000,0)),""))</f>
        <v/>
      </c>
      <c r="F1248" s="22">
        <f t="array" ref="F1248">IF($C1248="","",IFERROR(INDEX(DATA_MASTER!$L$2:$L$5000,MATCH($C1248,DATA_MASTER!$D$2:$D$5000,0)),""))</f>
        <v/>
      </c>
      <c r="G1248" s="24" t="n"/>
      <c r="H1248" s="24" t="n"/>
      <c r="I1248" s="30" t="n"/>
      <c r="J1248" s="23">
        <f>IF(OR($H1248="",$I1248=""),"",$H1248*$I1248)</f>
        <v/>
      </c>
      <c r="K1248" s="24" t="n"/>
      <c r="L1248" s="24" t="n"/>
      <c r="M1248" s="29" t="n"/>
      <c r="N1248" s="28" t="n"/>
      <c r="O1248" s="24" t="n"/>
      <c r="P1248" s="24" t="n"/>
      <c r="Q1248" s="24" t="n"/>
      <c r="R1248" s="24" t="n"/>
      <c r="S1248" s="22">
        <f>IF(AND($A1248="",$C1248=""),"",IF($A1248="","Thiếu mã đơn; ","")&amp;IF(COUNTIF($A$2:$A1248,$A1248)&gt;1,"Trùng mã đơn; ","")&amp;IF(ISNA(MATCH($C1248,DATA_MASTER!$D$2:$D$5000,0)),"SĐT chưa đăng ký hội viên; ","")&amp;IF(AND($L1248="Đã chuyển khoản",$M1248=""),"Thiếu ngày nhận CK; ",""))</f>
        <v/>
      </c>
      <c r="T1248" s="24" t="n"/>
    </row>
    <row r="1249" ht="14.25" customHeight="1" s="40">
      <c r="A1249" s="24" t="n"/>
      <c r="B1249" s="29" t="n"/>
      <c r="C1249" s="28" t="n"/>
      <c r="D1249" s="22">
        <f t="array" ref="D1249">IF($C1249="","",IFERROR(INDEX(DATA_MASTER!$C$2:$C$5000,MATCH($C1249,DATA_MASTER!$D$2:$D$5000,0)),""))</f>
        <v/>
      </c>
      <c r="E1249" s="22">
        <f t="array" ref="E1249">IF($C1249="","",IFERROR(INDEX(DATA_MASTER!$I$2:$I$5000,MATCH($C1249,DATA_MASTER!$D$2:$D$5000,0)),""))</f>
        <v/>
      </c>
      <c r="F1249" s="22">
        <f t="array" ref="F1249">IF($C1249="","",IFERROR(INDEX(DATA_MASTER!$L$2:$L$5000,MATCH($C1249,DATA_MASTER!$D$2:$D$5000,0)),""))</f>
        <v/>
      </c>
      <c r="G1249" s="24" t="n"/>
      <c r="H1249" s="24" t="n"/>
      <c r="I1249" s="30" t="n"/>
      <c r="J1249" s="23">
        <f>IF(OR($H1249="",$I1249=""),"",$H1249*$I1249)</f>
        <v/>
      </c>
      <c r="K1249" s="24" t="n"/>
      <c r="L1249" s="24" t="n"/>
      <c r="M1249" s="29" t="n"/>
      <c r="N1249" s="28" t="n"/>
      <c r="O1249" s="24" t="n"/>
      <c r="P1249" s="24" t="n"/>
      <c r="Q1249" s="24" t="n"/>
      <c r="R1249" s="24" t="n"/>
      <c r="S1249" s="22">
        <f>IF(AND($A1249="",$C1249=""),"",IF($A1249="","Thiếu mã đơn; ","")&amp;IF(COUNTIF($A$2:$A1249,$A1249)&gt;1,"Trùng mã đơn; ","")&amp;IF(ISNA(MATCH($C1249,DATA_MASTER!$D$2:$D$5000,0)),"SĐT chưa đăng ký hội viên; ","")&amp;IF(AND($L1249="Đã chuyển khoản",$M1249=""),"Thiếu ngày nhận CK; ",""))</f>
        <v/>
      </c>
      <c r="T1249" s="24" t="n"/>
    </row>
    <row r="1250" ht="14.25" customHeight="1" s="40">
      <c r="A1250" s="24" t="n"/>
      <c r="B1250" s="29" t="n"/>
      <c r="C1250" s="28" t="n"/>
      <c r="D1250" s="22">
        <f t="array" ref="D1250">IF($C1250="","",IFERROR(INDEX(DATA_MASTER!$C$2:$C$5000,MATCH($C1250,DATA_MASTER!$D$2:$D$5000,0)),""))</f>
        <v/>
      </c>
      <c r="E1250" s="22">
        <f t="array" ref="E1250">IF($C1250="","",IFERROR(INDEX(DATA_MASTER!$I$2:$I$5000,MATCH($C1250,DATA_MASTER!$D$2:$D$5000,0)),""))</f>
        <v/>
      </c>
      <c r="F1250" s="22">
        <f t="array" ref="F1250">IF($C1250="","",IFERROR(INDEX(DATA_MASTER!$L$2:$L$5000,MATCH($C1250,DATA_MASTER!$D$2:$D$5000,0)),""))</f>
        <v/>
      </c>
      <c r="G1250" s="24" t="n"/>
      <c r="H1250" s="24" t="n"/>
      <c r="I1250" s="30" t="n"/>
      <c r="J1250" s="23">
        <f>IF(OR($H1250="",$I1250=""),"",$H1250*$I1250)</f>
        <v/>
      </c>
      <c r="K1250" s="24" t="n"/>
      <c r="L1250" s="24" t="n"/>
      <c r="M1250" s="29" t="n"/>
      <c r="N1250" s="28" t="n"/>
      <c r="O1250" s="24" t="n"/>
      <c r="P1250" s="24" t="n"/>
      <c r="Q1250" s="24" t="n"/>
      <c r="R1250" s="24" t="n"/>
      <c r="S1250" s="22">
        <f>IF(AND($A1250="",$C1250=""),"",IF($A1250="","Thiếu mã đơn; ","")&amp;IF(COUNTIF($A$2:$A1250,$A1250)&gt;1,"Trùng mã đơn; ","")&amp;IF(ISNA(MATCH($C1250,DATA_MASTER!$D$2:$D$5000,0)),"SĐT chưa đăng ký hội viên; ","")&amp;IF(AND($L1250="Đã chuyển khoản",$M1250=""),"Thiếu ngày nhận CK; ",""))</f>
        <v/>
      </c>
      <c r="T1250" s="24" t="n"/>
    </row>
    <row r="1251" ht="14.25" customHeight="1" s="40">
      <c r="A1251" s="24" t="n"/>
      <c r="B1251" s="29" t="n"/>
      <c r="C1251" s="28" t="n"/>
      <c r="D1251" s="22">
        <f t="array" ref="D1251">IF($C1251="","",IFERROR(INDEX(DATA_MASTER!$C$2:$C$5000,MATCH($C1251,DATA_MASTER!$D$2:$D$5000,0)),""))</f>
        <v/>
      </c>
      <c r="E1251" s="22">
        <f t="array" ref="E1251">IF($C1251="","",IFERROR(INDEX(DATA_MASTER!$I$2:$I$5000,MATCH($C1251,DATA_MASTER!$D$2:$D$5000,0)),""))</f>
        <v/>
      </c>
      <c r="F1251" s="22">
        <f t="array" ref="F1251">IF($C1251="","",IFERROR(INDEX(DATA_MASTER!$L$2:$L$5000,MATCH($C1251,DATA_MASTER!$D$2:$D$5000,0)),""))</f>
        <v/>
      </c>
      <c r="G1251" s="24" t="n"/>
      <c r="H1251" s="24" t="n"/>
      <c r="I1251" s="30" t="n"/>
      <c r="J1251" s="23">
        <f>IF(OR($H1251="",$I1251=""),"",$H1251*$I1251)</f>
        <v/>
      </c>
      <c r="K1251" s="24" t="n"/>
      <c r="L1251" s="24" t="n"/>
      <c r="M1251" s="29" t="n"/>
      <c r="N1251" s="28" t="n"/>
      <c r="O1251" s="24" t="n"/>
      <c r="P1251" s="24" t="n"/>
      <c r="Q1251" s="24" t="n"/>
      <c r="R1251" s="24" t="n"/>
      <c r="S1251" s="22">
        <f>IF(AND($A1251="",$C1251=""),"",IF($A1251="","Thiếu mã đơn; ","")&amp;IF(COUNTIF($A$2:$A1251,$A1251)&gt;1,"Trùng mã đơn; ","")&amp;IF(ISNA(MATCH($C1251,DATA_MASTER!$D$2:$D$5000,0)),"SĐT chưa đăng ký hội viên; ","")&amp;IF(AND($L1251="Đã chuyển khoản",$M1251=""),"Thiếu ngày nhận CK; ",""))</f>
        <v/>
      </c>
      <c r="T1251" s="24" t="n"/>
    </row>
    <row r="1252" ht="14.25" customHeight="1" s="40">
      <c r="A1252" s="24" t="n"/>
      <c r="B1252" s="29" t="n"/>
      <c r="C1252" s="28" t="n"/>
      <c r="D1252" s="22">
        <f t="array" ref="D1252">IF($C1252="","",IFERROR(INDEX(DATA_MASTER!$C$2:$C$5000,MATCH($C1252,DATA_MASTER!$D$2:$D$5000,0)),""))</f>
        <v/>
      </c>
      <c r="E1252" s="22">
        <f t="array" ref="E1252">IF($C1252="","",IFERROR(INDEX(DATA_MASTER!$I$2:$I$5000,MATCH($C1252,DATA_MASTER!$D$2:$D$5000,0)),""))</f>
        <v/>
      </c>
      <c r="F1252" s="22">
        <f t="array" ref="F1252">IF($C1252="","",IFERROR(INDEX(DATA_MASTER!$L$2:$L$5000,MATCH($C1252,DATA_MASTER!$D$2:$D$5000,0)),""))</f>
        <v/>
      </c>
      <c r="G1252" s="24" t="n"/>
      <c r="H1252" s="24" t="n"/>
      <c r="I1252" s="30" t="n"/>
      <c r="J1252" s="23">
        <f>IF(OR($H1252="",$I1252=""),"",$H1252*$I1252)</f>
        <v/>
      </c>
      <c r="K1252" s="24" t="n"/>
      <c r="L1252" s="24" t="n"/>
      <c r="M1252" s="29" t="n"/>
      <c r="N1252" s="28" t="n"/>
      <c r="O1252" s="24" t="n"/>
      <c r="P1252" s="24" t="n"/>
      <c r="Q1252" s="24" t="n"/>
      <c r="R1252" s="24" t="n"/>
      <c r="S1252" s="22">
        <f>IF(AND($A1252="",$C1252=""),"",IF($A1252="","Thiếu mã đơn; ","")&amp;IF(COUNTIF($A$2:$A1252,$A1252)&gt;1,"Trùng mã đơn; ","")&amp;IF(ISNA(MATCH($C1252,DATA_MASTER!$D$2:$D$5000,0)),"SĐT chưa đăng ký hội viên; ","")&amp;IF(AND($L1252="Đã chuyển khoản",$M1252=""),"Thiếu ngày nhận CK; ",""))</f>
        <v/>
      </c>
      <c r="T1252" s="24" t="n"/>
    </row>
    <row r="1253" ht="14.25" customHeight="1" s="40">
      <c r="A1253" s="24" t="n"/>
      <c r="B1253" s="29" t="n"/>
      <c r="C1253" s="28" t="n"/>
      <c r="D1253" s="22">
        <f t="array" ref="D1253">IF($C1253="","",IFERROR(INDEX(DATA_MASTER!$C$2:$C$5000,MATCH($C1253,DATA_MASTER!$D$2:$D$5000,0)),""))</f>
        <v/>
      </c>
      <c r="E1253" s="22">
        <f t="array" ref="E1253">IF($C1253="","",IFERROR(INDEX(DATA_MASTER!$I$2:$I$5000,MATCH($C1253,DATA_MASTER!$D$2:$D$5000,0)),""))</f>
        <v/>
      </c>
      <c r="F1253" s="22">
        <f t="array" ref="F1253">IF($C1253="","",IFERROR(INDEX(DATA_MASTER!$L$2:$L$5000,MATCH($C1253,DATA_MASTER!$D$2:$D$5000,0)),""))</f>
        <v/>
      </c>
      <c r="G1253" s="24" t="n"/>
      <c r="H1253" s="24" t="n"/>
      <c r="I1253" s="30" t="n"/>
      <c r="J1253" s="23">
        <f>IF(OR($H1253="",$I1253=""),"",$H1253*$I1253)</f>
        <v/>
      </c>
      <c r="K1253" s="24" t="n"/>
      <c r="L1253" s="24" t="n"/>
      <c r="M1253" s="29" t="n"/>
      <c r="N1253" s="28" t="n"/>
      <c r="O1253" s="24" t="n"/>
      <c r="P1253" s="24" t="n"/>
      <c r="Q1253" s="24" t="n"/>
      <c r="R1253" s="24" t="n"/>
      <c r="S1253" s="22">
        <f>IF(AND($A1253="",$C1253=""),"",IF($A1253="","Thiếu mã đơn; ","")&amp;IF(COUNTIF($A$2:$A1253,$A1253)&gt;1,"Trùng mã đơn; ","")&amp;IF(ISNA(MATCH($C1253,DATA_MASTER!$D$2:$D$5000,0)),"SĐT chưa đăng ký hội viên; ","")&amp;IF(AND($L1253="Đã chuyển khoản",$M1253=""),"Thiếu ngày nhận CK; ",""))</f>
        <v/>
      </c>
      <c r="T1253" s="24" t="n"/>
    </row>
    <row r="1254" ht="14.25" customHeight="1" s="40">
      <c r="A1254" s="24" t="n"/>
      <c r="B1254" s="29" t="n"/>
      <c r="C1254" s="28" t="n"/>
      <c r="D1254" s="22">
        <f t="array" ref="D1254">IF($C1254="","",IFERROR(INDEX(DATA_MASTER!$C$2:$C$5000,MATCH($C1254,DATA_MASTER!$D$2:$D$5000,0)),""))</f>
        <v/>
      </c>
      <c r="E1254" s="22">
        <f t="array" ref="E1254">IF($C1254="","",IFERROR(INDEX(DATA_MASTER!$I$2:$I$5000,MATCH($C1254,DATA_MASTER!$D$2:$D$5000,0)),""))</f>
        <v/>
      </c>
      <c r="F1254" s="22">
        <f t="array" ref="F1254">IF($C1254="","",IFERROR(INDEX(DATA_MASTER!$L$2:$L$5000,MATCH($C1254,DATA_MASTER!$D$2:$D$5000,0)),""))</f>
        <v/>
      </c>
      <c r="G1254" s="24" t="n"/>
      <c r="H1254" s="24" t="n"/>
      <c r="I1254" s="30" t="n"/>
      <c r="J1254" s="23">
        <f>IF(OR($H1254="",$I1254=""),"",$H1254*$I1254)</f>
        <v/>
      </c>
      <c r="K1254" s="24" t="n"/>
      <c r="L1254" s="24" t="n"/>
      <c r="M1254" s="29" t="n"/>
      <c r="N1254" s="28" t="n"/>
      <c r="O1254" s="24" t="n"/>
      <c r="P1254" s="24" t="n"/>
      <c r="Q1254" s="24" t="n"/>
      <c r="R1254" s="24" t="n"/>
      <c r="S1254" s="22">
        <f>IF(AND($A1254="",$C1254=""),"",IF($A1254="","Thiếu mã đơn; ","")&amp;IF(COUNTIF($A$2:$A1254,$A1254)&gt;1,"Trùng mã đơn; ","")&amp;IF(ISNA(MATCH($C1254,DATA_MASTER!$D$2:$D$5000,0)),"SĐT chưa đăng ký hội viên; ","")&amp;IF(AND($L1254="Đã chuyển khoản",$M1254=""),"Thiếu ngày nhận CK; ",""))</f>
        <v/>
      </c>
      <c r="T1254" s="24" t="n"/>
    </row>
    <row r="1255" ht="14.25" customHeight="1" s="40">
      <c r="A1255" s="24" t="n"/>
      <c r="B1255" s="29" t="n"/>
      <c r="C1255" s="28" t="n"/>
      <c r="D1255" s="22">
        <f t="array" ref="D1255">IF($C1255="","",IFERROR(INDEX(DATA_MASTER!$C$2:$C$5000,MATCH($C1255,DATA_MASTER!$D$2:$D$5000,0)),""))</f>
        <v/>
      </c>
      <c r="E1255" s="22">
        <f t="array" ref="E1255">IF($C1255="","",IFERROR(INDEX(DATA_MASTER!$I$2:$I$5000,MATCH($C1255,DATA_MASTER!$D$2:$D$5000,0)),""))</f>
        <v/>
      </c>
      <c r="F1255" s="22">
        <f t="array" ref="F1255">IF($C1255="","",IFERROR(INDEX(DATA_MASTER!$L$2:$L$5000,MATCH($C1255,DATA_MASTER!$D$2:$D$5000,0)),""))</f>
        <v/>
      </c>
      <c r="G1255" s="24" t="n"/>
      <c r="H1255" s="24" t="n"/>
      <c r="I1255" s="30" t="n"/>
      <c r="J1255" s="23">
        <f>IF(OR($H1255="",$I1255=""),"",$H1255*$I1255)</f>
        <v/>
      </c>
      <c r="K1255" s="24" t="n"/>
      <c r="L1255" s="24" t="n"/>
      <c r="M1255" s="29" t="n"/>
      <c r="N1255" s="28" t="n"/>
      <c r="O1255" s="24" t="n"/>
      <c r="P1255" s="24" t="n"/>
      <c r="Q1255" s="24" t="n"/>
      <c r="R1255" s="24" t="n"/>
      <c r="S1255" s="22">
        <f>IF(AND($A1255="",$C1255=""),"",IF($A1255="","Thiếu mã đơn; ","")&amp;IF(COUNTIF($A$2:$A1255,$A1255)&gt;1,"Trùng mã đơn; ","")&amp;IF(ISNA(MATCH($C1255,DATA_MASTER!$D$2:$D$5000,0)),"SĐT chưa đăng ký hội viên; ","")&amp;IF(AND($L1255="Đã chuyển khoản",$M1255=""),"Thiếu ngày nhận CK; ",""))</f>
        <v/>
      </c>
      <c r="T1255" s="24" t="n"/>
    </row>
    <row r="1256" ht="14.25" customHeight="1" s="40">
      <c r="A1256" s="24" t="n"/>
      <c r="B1256" s="29" t="n"/>
      <c r="C1256" s="28" t="n"/>
      <c r="D1256" s="22">
        <f t="array" ref="D1256">IF($C1256="","",IFERROR(INDEX(DATA_MASTER!$C$2:$C$5000,MATCH($C1256,DATA_MASTER!$D$2:$D$5000,0)),""))</f>
        <v/>
      </c>
      <c r="E1256" s="22">
        <f t="array" ref="E1256">IF($C1256="","",IFERROR(INDEX(DATA_MASTER!$I$2:$I$5000,MATCH($C1256,DATA_MASTER!$D$2:$D$5000,0)),""))</f>
        <v/>
      </c>
      <c r="F1256" s="22">
        <f t="array" ref="F1256">IF($C1256="","",IFERROR(INDEX(DATA_MASTER!$L$2:$L$5000,MATCH($C1256,DATA_MASTER!$D$2:$D$5000,0)),""))</f>
        <v/>
      </c>
      <c r="G1256" s="24" t="n"/>
      <c r="H1256" s="24" t="n"/>
      <c r="I1256" s="30" t="n"/>
      <c r="J1256" s="23">
        <f>IF(OR($H1256="",$I1256=""),"",$H1256*$I1256)</f>
        <v/>
      </c>
      <c r="K1256" s="24" t="n"/>
      <c r="L1256" s="24" t="n"/>
      <c r="M1256" s="29" t="n"/>
      <c r="N1256" s="28" t="n"/>
      <c r="O1256" s="24" t="n"/>
      <c r="P1256" s="24" t="n"/>
      <c r="Q1256" s="24" t="n"/>
      <c r="R1256" s="24" t="n"/>
      <c r="S1256" s="22">
        <f>IF(AND($A1256="",$C1256=""),"",IF($A1256="","Thiếu mã đơn; ","")&amp;IF(COUNTIF($A$2:$A1256,$A1256)&gt;1,"Trùng mã đơn; ","")&amp;IF(ISNA(MATCH($C1256,DATA_MASTER!$D$2:$D$5000,0)),"SĐT chưa đăng ký hội viên; ","")&amp;IF(AND($L1256="Đã chuyển khoản",$M1256=""),"Thiếu ngày nhận CK; ",""))</f>
        <v/>
      </c>
      <c r="T1256" s="24" t="n"/>
    </row>
    <row r="1257" ht="14.25" customHeight="1" s="40">
      <c r="A1257" s="24" t="n"/>
      <c r="B1257" s="29" t="n"/>
      <c r="C1257" s="28" t="n"/>
      <c r="D1257" s="22">
        <f t="array" ref="D1257">IF($C1257="","",IFERROR(INDEX(DATA_MASTER!$C$2:$C$5000,MATCH($C1257,DATA_MASTER!$D$2:$D$5000,0)),""))</f>
        <v/>
      </c>
      <c r="E1257" s="22">
        <f t="array" ref="E1257">IF($C1257="","",IFERROR(INDEX(DATA_MASTER!$I$2:$I$5000,MATCH($C1257,DATA_MASTER!$D$2:$D$5000,0)),""))</f>
        <v/>
      </c>
      <c r="F1257" s="22">
        <f t="array" ref="F1257">IF($C1257="","",IFERROR(INDEX(DATA_MASTER!$L$2:$L$5000,MATCH($C1257,DATA_MASTER!$D$2:$D$5000,0)),""))</f>
        <v/>
      </c>
      <c r="G1257" s="24" t="n"/>
      <c r="H1257" s="24" t="n"/>
      <c r="I1257" s="30" t="n"/>
      <c r="J1257" s="23">
        <f>IF(OR($H1257="",$I1257=""),"",$H1257*$I1257)</f>
        <v/>
      </c>
      <c r="K1257" s="24" t="n"/>
      <c r="L1257" s="24" t="n"/>
      <c r="M1257" s="29" t="n"/>
      <c r="N1257" s="28" t="n"/>
      <c r="O1257" s="24" t="n"/>
      <c r="P1257" s="24" t="n"/>
      <c r="Q1257" s="24" t="n"/>
      <c r="R1257" s="24" t="n"/>
      <c r="S1257" s="22">
        <f>IF(AND($A1257="",$C1257=""),"",IF($A1257="","Thiếu mã đơn; ","")&amp;IF(COUNTIF($A$2:$A1257,$A1257)&gt;1,"Trùng mã đơn; ","")&amp;IF(ISNA(MATCH($C1257,DATA_MASTER!$D$2:$D$5000,0)),"SĐT chưa đăng ký hội viên; ","")&amp;IF(AND($L1257="Đã chuyển khoản",$M1257=""),"Thiếu ngày nhận CK; ",""))</f>
        <v/>
      </c>
      <c r="T1257" s="24" t="n"/>
    </row>
    <row r="1258" ht="14.25" customHeight="1" s="40">
      <c r="A1258" s="24" t="n"/>
      <c r="B1258" s="29" t="n"/>
      <c r="C1258" s="28" t="n"/>
      <c r="D1258" s="22">
        <f t="array" ref="D1258">IF($C1258="","",IFERROR(INDEX(DATA_MASTER!$C$2:$C$5000,MATCH($C1258,DATA_MASTER!$D$2:$D$5000,0)),""))</f>
        <v/>
      </c>
      <c r="E1258" s="22">
        <f t="array" ref="E1258">IF($C1258="","",IFERROR(INDEX(DATA_MASTER!$I$2:$I$5000,MATCH($C1258,DATA_MASTER!$D$2:$D$5000,0)),""))</f>
        <v/>
      </c>
      <c r="F1258" s="22">
        <f t="array" ref="F1258">IF($C1258="","",IFERROR(INDEX(DATA_MASTER!$L$2:$L$5000,MATCH($C1258,DATA_MASTER!$D$2:$D$5000,0)),""))</f>
        <v/>
      </c>
      <c r="G1258" s="24" t="n"/>
      <c r="H1258" s="24" t="n"/>
      <c r="I1258" s="30" t="n"/>
      <c r="J1258" s="23">
        <f>IF(OR($H1258="",$I1258=""),"",$H1258*$I1258)</f>
        <v/>
      </c>
      <c r="K1258" s="24" t="n"/>
      <c r="L1258" s="24" t="n"/>
      <c r="M1258" s="29" t="n"/>
      <c r="N1258" s="28" t="n"/>
      <c r="O1258" s="24" t="n"/>
      <c r="P1258" s="24" t="n"/>
      <c r="Q1258" s="24" t="n"/>
      <c r="R1258" s="24" t="n"/>
      <c r="S1258" s="22">
        <f>IF(AND($A1258="",$C1258=""),"",IF($A1258="","Thiếu mã đơn; ","")&amp;IF(COUNTIF($A$2:$A1258,$A1258)&gt;1,"Trùng mã đơn; ","")&amp;IF(ISNA(MATCH($C1258,DATA_MASTER!$D$2:$D$5000,0)),"SĐT chưa đăng ký hội viên; ","")&amp;IF(AND($L1258="Đã chuyển khoản",$M1258=""),"Thiếu ngày nhận CK; ",""))</f>
        <v/>
      </c>
      <c r="T1258" s="24" t="n"/>
    </row>
    <row r="1259" ht="14.25" customHeight="1" s="40">
      <c r="A1259" s="24" t="n"/>
      <c r="B1259" s="29" t="n"/>
      <c r="C1259" s="28" t="n"/>
      <c r="D1259" s="22">
        <f t="array" ref="D1259">IF($C1259="","",IFERROR(INDEX(DATA_MASTER!$C$2:$C$5000,MATCH($C1259,DATA_MASTER!$D$2:$D$5000,0)),""))</f>
        <v/>
      </c>
      <c r="E1259" s="22">
        <f t="array" ref="E1259">IF($C1259="","",IFERROR(INDEX(DATA_MASTER!$I$2:$I$5000,MATCH($C1259,DATA_MASTER!$D$2:$D$5000,0)),""))</f>
        <v/>
      </c>
      <c r="F1259" s="22">
        <f t="array" ref="F1259">IF($C1259="","",IFERROR(INDEX(DATA_MASTER!$L$2:$L$5000,MATCH($C1259,DATA_MASTER!$D$2:$D$5000,0)),""))</f>
        <v/>
      </c>
      <c r="G1259" s="24" t="n"/>
      <c r="H1259" s="24" t="n"/>
      <c r="I1259" s="30" t="n"/>
      <c r="J1259" s="23">
        <f>IF(OR($H1259="",$I1259=""),"",$H1259*$I1259)</f>
        <v/>
      </c>
      <c r="K1259" s="24" t="n"/>
      <c r="L1259" s="24" t="n"/>
      <c r="M1259" s="29" t="n"/>
      <c r="N1259" s="28" t="n"/>
      <c r="O1259" s="24" t="n"/>
      <c r="P1259" s="24" t="n"/>
      <c r="Q1259" s="24" t="n"/>
      <c r="R1259" s="24" t="n"/>
      <c r="S1259" s="22">
        <f>IF(AND($A1259="",$C1259=""),"",IF($A1259="","Thiếu mã đơn; ","")&amp;IF(COUNTIF($A$2:$A1259,$A1259)&gt;1,"Trùng mã đơn; ","")&amp;IF(ISNA(MATCH($C1259,DATA_MASTER!$D$2:$D$5000,0)),"SĐT chưa đăng ký hội viên; ","")&amp;IF(AND($L1259="Đã chuyển khoản",$M1259=""),"Thiếu ngày nhận CK; ",""))</f>
        <v/>
      </c>
      <c r="T1259" s="24" t="n"/>
    </row>
    <row r="1260" ht="14.25" customHeight="1" s="40">
      <c r="A1260" s="24" t="n"/>
      <c r="B1260" s="29" t="n"/>
      <c r="C1260" s="28" t="n"/>
      <c r="D1260" s="22">
        <f t="array" ref="D1260">IF($C1260="","",IFERROR(INDEX(DATA_MASTER!$C$2:$C$5000,MATCH($C1260,DATA_MASTER!$D$2:$D$5000,0)),""))</f>
        <v/>
      </c>
      <c r="E1260" s="22">
        <f t="array" ref="E1260">IF($C1260="","",IFERROR(INDEX(DATA_MASTER!$I$2:$I$5000,MATCH($C1260,DATA_MASTER!$D$2:$D$5000,0)),""))</f>
        <v/>
      </c>
      <c r="F1260" s="22">
        <f t="array" ref="F1260">IF($C1260="","",IFERROR(INDEX(DATA_MASTER!$L$2:$L$5000,MATCH($C1260,DATA_MASTER!$D$2:$D$5000,0)),""))</f>
        <v/>
      </c>
      <c r="G1260" s="24" t="n"/>
      <c r="H1260" s="24" t="n"/>
      <c r="I1260" s="30" t="n"/>
      <c r="J1260" s="23">
        <f>IF(OR($H1260="",$I1260=""),"",$H1260*$I1260)</f>
        <v/>
      </c>
      <c r="K1260" s="24" t="n"/>
      <c r="L1260" s="24" t="n"/>
      <c r="M1260" s="29" t="n"/>
      <c r="N1260" s="28" t="n"/>
      <c r="O1260" s="24" t="n"/>
      <c r="P1260" s="24" t="n"/>
      <c r="Q1260" s="24" t="n"/>
      <c r="R1260" s="24" t="n"/>
      <c r="S1260" s="22">
        <f>IF(AND($A1260="",$C1260=""),"",IF($A1260="","Thiếu mã đơn; ","")&amp;IF(COUNTIF($A$2:$A1260,$A1260)&gt;1,"Trùng mã đơn; ","")&amp;IF(ISNA(MATCH($C1260,DATA_MASTER!$D$2:$D$5000,0)),"SĐT chưa đăng ký hội viên; ","")&amp;IF(AND($L1260="Đã chuyển khoản",$M1260=""),"Thiếu ngày nhận CK; ",""))</f>
        <v/>
      </c>
      <c r="T1260" s="24" t="n"/>
    </row>
    <row r="1261" ht="14.25" customHeight="1" s="40">
      <c r="A1261" s="24" t="n"/>
      <c r="B1261" s="29" t="n"/>
      <c r="C1261" s="28" t="n"/>
      <c r="D1261" s="22">
        <f t="array" ref="D1261">IF($C1261="","",IFERROR(INDEX(DATA_MASTER!$C$2:$C$5000,MATCH($C1261,DATA_MASTER!$D$2:$D$5000,0)),""))</f>
        <v/>
      </c>
      <c r="E1261" s="22">
        <f t="array" ref="E1261">IF($C1261="","",IFERROR(INDEX(DATA_MASTER!$I$2:$I$5000,MATCH($C1261,DATA_MASTER!$D$2:$D$5000,0)),""))</f>
        <v/>
      </c>
      <c r="F1261" s="22">
        <f t="array" ref="F1261">IF($C1261="","",IFERROR(INDEX(DATA_MASTER!$L$2:$L$5000,MATCH($C1261,DATA_MASTER!$D$2:$D$5000,0)),""))</f>
        <v/>
      </c>
      <c r="G1261" s="24" t="n"/>
      <c r="H1261" s="24" t="n"/>
      <c r="I1261" s="30" t="n"/>
      <c r="J1261" s="23">
        <f>IF(OR($H1261="",$I1261=""),"",$H1261*$I1261)</f>
        <v/>
      </c>
      <c r="K1261" s="24" t="n"/>
      <c r="L1261" s="24" t="n"/>
      <c r="M1261" s="29" t="n"/>
      <c r="N1261" s="28" t="n"/>
      <c r="O1261" s="24" t="n"/>
      <c r="P1261" s="24" t="n"/>
      <c r="Q1261" s="24" t="n"/>
      <c r="R1261" s="24" t="n"/>
      <c r="S1261" s="22">
        <f>IF(AND($A1261="",$C1261=""),"",IF($A1261="","Thiếu mã đơn; ","")&amp;IF(COUNTIF($A$2:$A1261,$A1261)&gt;1,"Trùng mã đơn; ","")&amp;IF(ISNA(MATCH($C1261,DATA_MASTER!$D$2:$D$5000,0)),"SĐT chưa đăng ký hội viên; ","")&amp;IF(AND($L1261="Đã chuyển khoản",$M1261=""),"Thiếu ngày nhận CK; ",""))</f>
        <v/>
      </c>
      <c r="T1261" s="24" t="n"/>
    </row>
    <row r="1262" ht="14.25" customHeight="1" s="40">
      <c r="A1262" s="24" t="n"/>
      <c r="B1262" s="29" t="n"/>
      <c r="C1262" s="28" t="n"/>
      <c r="D1262" s="22">
        <f t="array" ref="D1262">IF($C1262="","",IFERROR(INDEX(DATA_MASTER!$C$2:$C$5000,MATCH($C1262,DATA_MASTER!$D$2:$D$5000,0)),""))</f>
        <v/>
      </c>
      <c r="E1262" s="22">
        <f t="array" ref="E1262">IF($C1262="","",IFERROR(INDEX(DATA_MASTER!$I$2:$I$5000,MATCH($C1262,DATA_MASTER!$D$2:$D$5000,0)),""))</f>
        <v/>
      </c>
      <c r="F1262" s="22">
        <f t="array" ref="F1262">IF($C1262="","",IFERROR(INDEX(DATA_MASTER!$L$2:$L$5000,MATCH($C1262,DATA_MASTER!$D$2:$D$5000,0)),""))</f>
        <v/>
      </c>
      <c r="G1262" s="24" t="n"/>
      <c r="H1262" s="24" t="n"/>
      <c r="I1262" s="30" t="n"/>
      <c r="J1262" s="23">
        <f>IF(OR($H1262="",$I1262=""),"",$H1262*$I1262)</f>
        <v/>
      </c>
      <c r="K1262" s="24" t="n"/>
      <c r="L1262" s="24" t="n"/>
      <c r="M1262" s="29" t="n"/>
      <c r="N1262" s="28" t="n"/>
      <c r="O1262" s="24" t="n"/>
      <c r="P1262" s="24" t="n"/>
      <c r="Q1262" s="24" t="n"/>
      <c r="R1262" s="24" t="n"/>
      <c r="S1262" s="22">
        <f>IF(AND($A1262="",$C1262=""),"",IF($A1262="","Thiếu mã đơn; ","")&amp;IF(COUNTIF($A$2:$A1262,$A1262)&gt;1,"Trùng mã đơn; ","")&amp;IF(ISNA(MATCH($C1262,DATA_MASTER!$D$2:$D$5000,0)),"SĐT chưa đăng ký hội viên; ","")&amp;IF(AND($L1262="Đã chuyển khoản",$M1262=""),"Thiếu ngày nhận CK; ",""))</f>
        <v/>
      </c>
      <c r="T1262" s="24" t="n"/>
    </row>
    <row r="1263" ht="14.25" customHeight="1" s="40">
      <c r="A1263" s="24" t="n"/>
      <c r="B1263" s="29" t="n"/>
      <c r="C1263" s="28" t="n"/>
      <c r="D1263" s="22">
        <f t="array" ref="D1263">IF($C1263="","",IFERROR(INDEX(DATA_MASTER!$C$2:$C$5000,MATCH($C1263,DATA_MASTER!$D$2:$D$5000,0)),""))</f>
        <v/>
      </c>
      <c r="E1263" s="22">
        <f t="array" ref="E1263">IF($C1263="","",IFERROR(INDEX(DATA_MASTER!$I$2:$I$5000,MATCH($C1263,DATA_MASTER!$D$2:$D$5000,0)),""))</f>
        <v/>
      </c>
      <c r="F1263" s="22">
        <f t="array" ref="F1263">IF($C1263="","",IFERROR(INDEX(DATA_MASTER!$L$2:$L$5000,MATCH($C1263,DATA_MASTER!$D$2:$D$5000,0)),""))</f>
        <v/>
      </c>
      <c r="G1263" s="24" t="n"/>
      <c r="H1263" s="24" t="n"/>
      <c r="I1263" s="30" t="n"/>
      <c r="J1263" s="23">
        <f>IF(OR($H1263="",$I1263=""),"",$H1263*$I1263)</f>
        <v/>
      </c>
      <c r="K1263" s="24" t="n"/>
      <c r="L1263" s="24" t="n"/>
      <c r="M1263" s="29" t="n"/>
      <c r="N1263" s="28" t="n"/>
      <c r="O1263" s="24" t="n"/>
      <c r="P1263" s="24" t="n"/>
      <c r="Q1263" s="24" t="n"/>
      <c r="R1263" s="24" t="n"/>
      <c r="S1263" s="22">
        <f>IF(AND($A1263="",$C1263=""),"",IF($A1263="","Thiếu mã đơn; ","")&amp;IF(COUNTIF($A$2:$A1263,$A1263)&gt;1,"Trùng mã đơn; ","")&amp;IF(ISNA(MATCH($C1263,DATA_MASTER!$D$2:$D$5000,0)),"SĐT chưa đăng ký hội viên; ","")&amp;IF(AND($L1263="Đã chuyển khoản",$M1263=""),"Thiếu ngày nhận CK; ",""))</f>
        <v/>
      </c>
      <c r="T1263" s="24" t="n"/>
    </row>
    <row r="1264" ht="14.25" customHeight="1" s="40">
      <c r="A1264" s="24" t="n"/>
      <c r="B1264" s="29" t="n"/>
      <c r="C1264" s="28" t="n"/>
      <c r="D1264" s="22">
        <f t="array" ref="D1264">IF($C1264="","",IFERROR(INDEX(DATA_MASTER!$C$2:$C$5000,MATCH($C1264,DATA_MASTER!$D$2:$D$5000,0)),""))</f>
        <v/>
      </c>
      <c r="E1264" s="22">
        <f t="array" ref="E1264">IF($C1264="","",IFERROR(INDEX(DATA_MASTER!$I$2:$I$5000,MATCH($C1264,DATA_MASTER!$D$2:$D$5000,0)),""))</f>
        <v/>
      </c>
      <c r="F1264" s="22">
        <f t="array" ref="F1264">IF($C1264="","",IFERROR(INDEX(DATA_MASTER!$L$2:$L$5000,MATCH($C1264,DATA_MASTER!$D$2:$D$5000,0)),""))</f>
        <v/>
      </c>
      <c r="G1264" s="24" t="n"/>
      <c r="H1264" s="24" t="n"/>
      <c r="I1264" s="30" t="n"/>
      <c r="J1264" s="23">
        <f>IF(OR($H1264="",$I1264=""),"",$H1264*$I1264)</f>
        <v/>
      </c>
      <c r="K1264" s="24" t="n"/>
      <c r="L1264" s="24" t="n"/>
      <c r="M1264" s="29" t="n"/>
      <c r="N1264" s="28" t="n"/>
      <c r="O1264" s="24" t="n"/>
      <c r="P1264" s="24" t="n"/>
      <c r="Q1264" s="24" t="n"/>
      <c r="R1264" s="24" t="n"/>
      <c r="S1264" s="22">
        <f>IF(AND($A1264="",$C1264=""),"",IF($A1264="","Thiếu mã đơn; ","")&amp;IF(COUNTIF($A$2:$A1264,$A1264)&gt;1,"Trùng mã đơn; ","")&amp;IF(ISNA(MATCH($C1264,DATA_MASTER!$D$2:$D$5000,0)),"SĐT chưa đăng ký hội viên; ","")&amp;IF(AND($L1264="Đã chuyển khoản",$M1264=""),"Thiếu ngày nhận CK; ",""))</f>
        <v/>
      </c>
      <c r="T1264" s="24" t="n"/>
    </row>
    <row r="1265" ht="14.25" customHeight="1" s="40">
      <c r="A1265" s="24" t="n"/>
      <c r="B1265" s="29" t="n"/>
      <c r="C1265" s="28" t="n"/>
      <c r="D1265" s="22">
        <f t="array" ref="D1265">IF($C1265="","",IFERROR(INDEX(DATA_MASTER!$C$2:$C$5000,MATCH($C1265,DATA_MASTER!$D$2:$D$5000,0)),""))</f>
        <v/>
      </c>
      <c r="E1265" s="22">
        <f t="array" ref="E1265">IF($C1265="","",IFERROR(INDEX(DATA_MASTER!$I$2:$I$5000,MATCH($C1265,DATA_MASTER!$D$2:$D$5000,0)),""))</f>
        <v/>
      </c>
      <c r="F1265" s="22">
        <f t="array" ref="F1265">IF($C1265="","",IFERROR(INDEX(DATA_MASTER!$L$2:$L$5000,MATCH($C1265,DATA_MASTER!$D$2:$D$5000,0)),""))</f>
        <v/>
      </c>
      <c r="G1265" s="24" t="n"/>
      <c r="H1265" s="24" t="n"/>
      <c r="I1265" s="30" t="n"/>
      <c r="J1265" s="23">
        <f>IF(OR($H1265="",$I1265=""),"",$H1265*$I1265)</f>
        <v/>
      </c>
      <c r="K1265" s="24" t="n"/>
      <c r="L1265" s="24" t="n"/>
      <c r="M1265" s="29" t="n"/>
      <c r="N1265" s="28" t="n"/>
      <c r="O1265" s="24" t="n"/>
      <c r="P1265" s="24" t="n"/>
      <c r="Q1265" s="24" t="n"/>
      <c r="R1265" s="24" t="n"/>
      <c r="S1265" s="22">
        <f>IF(AND($A1265="",$C1265=""),"",IF($A1265="","Thiếu mã đơn; ","")&amp;IF(COUNTIF($A$2:$A1265,$A1265)&gt;1,"Trùng mã đơn; ","")&amp;IF(ISNA(MATCH($C1265,DATA_MASTER!$D$2:$D$5000,0)),"SĐT chưa đăng ký hội viên; ","")&amp;IF(AND($L1265="Đã chuyển khoản",$M1265=""),"Thiếu ngày nhận CK; ",""))</f>
        <v/>
      </c>
      <c r="T1265" s="24" t="n"/>
    </row>
    <row r="1266" ht="14.25" customHeight="1" s="40">
      <c r="A1266" s="24" t="n"/>
      <c r="B1266" s="29" t="n"/>
      <c r="C1266" s="28" t="n"/>
      <c r="D1266" s="22">
        <f t="array" ref="D1266">IF($C1266="","",IFERROR(INDEX(DATA_MASTER!$C$2:$C$5000,MATCH($C1266,DATA_MASTER!$D$2:$D$5000,0)),""))</f>
        <v/>
      </c>
      <c r="E1266" s="22">
        <f t="array" ref="E1266">IF($C1266="","",IFERROR(INDEX(DATA_MASTER!$I$2:$I$5000,MATCH($C1266,DATA_MASTER!$D$2:$D$5000,0)),""))</f>
        <v/>
      </c>
      <c r="F1266" s="22">
        <f t="array" ref="F1266">IF($C1266="","",IFERROR(INDEX(DATA_MASTER!$L$2:$L$5000,MATCH($C1266,DATA_MASTER!$D$2:$D$5000,0)),""))</f>
        <v/>
      </c>
      <c r="G1266" s="24" t="n"/>
      <c r="H1266" s="24" t="n"/>
      <c r="I1266" s="30" t="n"/>
      <c r="J1266" s="23">
        <f>IF(OR($H1266="",$I1266=""),"",$H1266*$I1266)</f>
        <v/>
      </c>
      <c r="K1266" s="24" t="n"/>
      <c r="L1266" s="24" t="n"/>
      <c r="M1266" s="29" t="n"/>
      <c r="N1266" s="28" t="n"/>
      <c r="O1266" s="24" t="n"/>
      <c r="P1266" s="24" t="n"/>
      <c r="Q1266" s="24" t="n"/>
      <c r="R1266" s="24" t="n"/>
      <c r="S1266" s="22">
        <f>IF(AND($A1266="",$C1266=""),"",IF($A1266="","Thiếu mã đơn; ","")&amp;IF(COUNTIF($A$2:$A1266,$A1266)&gt;1,"Trùng mã đơn; ","")&amp;IF(ISNA(MATCH($C1266,DATA_MASTER!$D$2:$D$5000,0)),"SĐT chưa đăng ký hội viên; ","")&amp;IF(AND($L1266="Đã chuyển khoản",$M1266=""),"Thiếu ngày nhận CK; ",""))</f>
        <v/>
      </c>
      <c r="T1266" s="24" t="n"/>
    </row>
    <row r="1267" ht="14.25" customHeight="1" s="40">
      <c r="A1267" s="24" t="n"/>
      <c r="B1267" s="29" t="n"/>
      <c r="C1267" s="28" t="n"/>
      <c r="D1267" s="22">
        <f t="array" ref="D1267">IF($C1267="","",IFERROR(INDEX(DATA_MASTER!$C$2:$C$5000,MATCH($C1267,DATA_MASTER!$D$2:$D$5000,0)),""))</f>
        <v/>
      </c>
      <c r="E1267" s="22">
        <f t="array" ref="E1267">IF($C1267="","",IFERROR(INDEX(DATA_MASTER!$I$2:$I$5000,MATCH($C1267,DATA_MASTER!$D$2:$D$5000,0)),""))</f>
        <v/>
      </c>
      <c r="F1267" s="22">
        <f t="array" ref="F1267">IF($C1267="","",IFERROR(INDEX(DATA_MASTER!$L$2:$L$5000,MATCH($C1267,DATA_MASTER!$D$2:$D$5000,0)),""))</f>
        <v/>
      </c>
      <c r="G1267" s="24" t="n"/>
      <c r="H1267" s="24" t="n"/>
      <c r="I1267" s="30" t="n"/>
      <c r="J1267" s="23">
        <f>IF(OR($H1267="",$I1267=""),"",$H1267*$I1267)</f>
        <v/>
      </c>
      <c r="K1267" s="24" t="n"/>
      <c r="L1267" s="24" t="n"/>
      <c r="M1267" s="29" t="n"/>
      <c r="N1267" s="28" t="n"/>
      <c r="O1267" s="24" t="n"/>
      <c r="P1267" s="24" t="n"/>
      <c r="Q1267" s="24" t="n"/>
      <c r="R1267" s="24" t="n"/>
      <c r="S1267" s="22">
        <f>IF(AND($A1267="",$C1267=""),"",IF($A1267="","Thiếu mã đơn; ","")&amp;IF(COUNTIF($A$2:$A1267,$A1267)&gt;1,"Trùng mã đơn; ","")&amp;IF(ISNA(MATCH($C1267,DATA_MASTER!$D$2:$D$5000,0)),"SĐT chưa đăng ký hội viên; ","")&amp;IF(AND($L1267="Đã chuyển khoản",$M1267=""),"Thiếu ngày nhận CK; ",""))</f>
        <v/>
      </c>
      <c r="T1267" s="24" t="n"/>
    </row>
    <row r="1268" ht="14.25" customHeight="1" s="40">
      <c r="A1268" s="24" t="n"/>
      <c r="B1268" s="29" t="n"/>
      <c r="C1268" s="28" t="n"/>
      <c r="D1268" s="22">
        <f t="array" ref="D1268">IF($C1268="","",IFERROR(INDEX(DATA_MASTER!$C$2:$C$5000,MATCH($C1268,DATA_MASTER!$D$2:$D$5000,0)),""))</f>
        <v/>
      </c>
      <c r="E1268" s="22">
        <f t="array" ref="E1268">IF($C1268="","",IFERROR(INDEX(DATA_MASTER!$I$2:$I$5000,MATCH($C1268,DATA_MASTER!$D$2:$D$5000,0)),""))</f>
        <v/>
      </c>
      <c r="F1268" s="22">
        <f t="array" ref="F1268">IF($C1268="","",IFERROR(INDEX(DATA_MASTER!$L$2:$L$5000,MATCH($C1268,DATA_MASTER!$D$2:$D$5000,0)),""))</f>
        <v/>
      </c>
      <c r="G1268" s="24" t="n"/>
      <c r="H1268" s="24" t="n"/>
      <c r="I1268" s="30" t="n"/>
      <c r="J1268" s="23">
        <f>IF(OR($H1268="",$I1268=""),"",$H1268*$I1268)</f>
        <v/>
      </c>
      <c r="K1268" s="24" t="n"/>
      <c r="L1268" s="24" t="n"/>
      <c r="M1268" s="29" t="n"/>
      <c r="N1268" s="28" t="n"/>
      <c r="O1268" s="24" t="n"/>
      <c r="P1268" s="24" t="n"/>
      <c r="Q1268" s="24" t="n"/>
      <c r="R1268" s="24" t="n"/>
      <c r="S1268" s="22">
        <f>IF(AND($A1268="",$C1268=""),"",IF($A1268="","Thiếu mã đơn; ","")&amp;IF(COUNTIF($A$2:$A1268,$A1268)&gt;1,"Trùng mã đơn; ","")&amp;IF(ISNA(MATCH($C1268,DATA_MASTER!$D$2:$D$5000,0)),"SĐT chưa đăng ký hội viên; ","")&amp;IF(AND($L1268="Đã chuyển khoản",$M1268=""),"Thiếu ngày nhận CK; ",""))</f>
        <v/>
      </c>
      <c r="T1268" s="24" t="n"/>
    </row>
    <row r="1269" ht="14.25" customHeight="1" s="40">
      <c r="A1269" s="24" t="n"/>
      <c r="B1269" s="29" t="n"/>
      <c r="C1269" s="28" t="n"/>
      <c r="D1269" s="22">
        <f t="array" ref="D1269">IF($C1269="","",IFERROR(INDEX(DATA_MASTER!$C$2:$C$5000,MATCH($C1269,DATA_MASTER!$D$2:$D$5000,0)),""))</f>
        <v/>
      </c>
      <c r="E1269" s="22">
        <f t="array" ref="E1269">IF($C1269="","",IFERROR(INDEX(DATA_MASTER!$I$2:$I$5000,MATCH($C1269,DATA_MASTER!$D$2:$D$5000,0)),""))</f>
        <v/>
      </c>
      <c r="F1269" s="22">
        <f t="array" ref="F1269">IF($C1269="","",IFERROR(INDEX(DATA_MASTER!$L$2:$L$5000,MATCH($C1269,DATA_MASTER!$D$2:$D$5000,0)),""))</f>
        <v/>
      </c>
      <c r="G1269" s="24" t="n"/>
      <c r="H1269" s="24" t="n"/>
      <c r="I1269" s="30" t="n"/>
      <c r="J1269" s="23">
        <f>IF(OR($H1269="",$I1269=""),"",$H1269*$I1269)</f>
        <v/>
      </c>
      <c r="K1269" s="24" t="n"/>
      <c r="L1269" s="24" t="n"/>
      <c r="M1269" s="29" t="n"/>
      <c r="N1269" s="28" t="n"/>
      <c r="O1269" s="24" t="n"/>
      <c r="P1269" s="24" t="n"/>
      <c r="Q1269" s="24" t="n"/>
      <c r="R1269" s="24" t="n"/>
      <c r="S1269" s="22">
        <f>IF(AND($A1269="",$C1269=""),"",IF($A1269="","Thiếu mã đơn; ","")&amp;IF(COUNTIF($A$2:$A1269,$A1269)&gt;1,"Trùng mã đơn; ","")&amp;IF(ISNA(MATCH($C1269,DATA_MASTER!$D$2:$D$5000,0)),"SĐT chưa đăng ký hội viên; ","")&amp;IF(AND($L1269="Đã chuyển khoản",$M1269=""),"Thiếu ngày nhận CK; ",""))</f>
        <v/>
      </c>
      <c r="T1269" s="24" t="n"/>
    </row>
    <row r="1270" ht="14.25" customHeight="1" s="40">
      <c r="A1270" s="24" t="n"/>
      <c r="B1270" s="29" t="n"/>
      <c r="C1270" s="28" t="n"/>
      <c r="D1270" s="22">
        <f t="array" ref="D1270">IF($C1270="","",IFERROR(INDEX(DATA_MASTER!$C$2:$C$5000,MATCH($C1270,DATA_MASTER!$D$2:$D$5000,0)),""))</f>
        <v/>
      </c>
      <c r="E1270" s="22">
        <f t="array" ref="E1270">IF($C1270="","",IFERROR(INDEX(DATA_MASTER!$I$2:$I$5000,MATCH($C1270,DATA_MASTER!$D$2:$D$5000,0)),""))</f>
        <v/>
      </c>
      <c r="F1270" s="22">
        <f t="array" ref="F1270">IF($C1270="","",IFERROR(INDEX(DATA_MASTER!$L$2:$L$5000,MATCH($C1270,DATA_MASTER!$D$2:$D$5000,0)),""))</f>
        <v/>
      </c>
      <c r="G1270" s="24" t="n"/>
      <c r="H1270" s="24" t="n"/>
      <c r="I1270" s="30" t="n"/>
      <c r="J1270" s="23">
        <f>IF(OR($H1270="",$I1270=""),"",$H1270*$I1270)</f>
        <v/>
      </c>
      <c r="K1270" s="24" t="n"/>
      <c r="L1270" s="24" t="n"/>
      <c r="M1270" s="29" t="n"/>
      <c r="N1270" s="28" t="n"/>
      <c r="O1270" s="24" t="n"/>
      <c r="P1270" s="24" t="n"/>
      <c r="Q1270" s="24" t="n"/>
      <c r="R1270" s="24" t="n"/>
      <c r="S1270" s="22">
        <f>IF(AND($A1270="",$C1270=""),"",IF($A1270="","Thiếu mã đơn; ","")&amp;IF(COUNTIF($A$2:$A1270,$A1270)&gt;1,"Trùng mã đơn; ","")&amp;IF(ISNA(MATCH($C1270,DATA_MASTER!$D$2:$D$5000,0)),"SĐT chưa đăng ký hội viên; ","")&amp;IF(AND($L1270="Đã chuyển khoản",$M1270=""),"Thiếu ngày nhận CK; ",""))</f>
        <v/>
      </c>
      <c r="T1270" s="24" t="n"/>
    </row>
    <row r="1271" ht="14.25" customHeight="1" s="40">
      <c r="A1271" s="24" t="n"/>
      <c r="B1271" s="29" t="n"/>
      <c r="C1271" s="28" t="n"/>
      <c r="D1271" s="22">
        <f t="array" ref="D1271">IF($C1271="","",IFERROR(INDEX(DATA_MASTER!$C$2:$C$5000,MATCH($C1271,DATA_MASTER!$D$2:$D$5000,0)),""))</f>
        <v/>
      </c>
      <c r="E1271" s="22">
        <f t="array" ref="E1271">IF($C1271="","",IFERROR(INDEX(DATA_MASTER!$I$2:$I$5000,MATCH($C1271,DATA_MASTER!$D$2:$D$5000,0)),""))</f>
        <v/>
      </c>
      <c r="F1271" s="22">
        <f t="array" ref="F1271">IF($C1271="","",IFERROR(INDEX(DATA_MASTER!$L$2:$L$5000,MATCH($C1271,DATA_MASTER!$D$2:$D$5000,0)),""))</f>
        <v/>
      </c>
      <c r="G1271" s="24" t="n"/>
      <c r="H1271" s="24" t="n"/>
      <c r="I1271" s="30" t="n"/>
      <c r="J1271" s="23">
        <f>IF(OR($H1271="",$I1271=""),"",$H1271*$I1271)</f>
        <v/>
      </c>
      <c r="K1271" s="24" t="n"/>
      <c r="L1271" s="24" t="n"/>
      <c r="M1271" s="29" t="n"/>
      <c r="N1271" s="28" t="n"/>
      <c r="O1271" s="24" t="n"/>
      <c r="P1271" s="24" t="n"/>
      <c r="Q1271" s="24" t="n"/>
      <c r="R1271" s="24" t="n"/>
      <c r="S1271" s="22">
        <f>IF(AND($A1271="",$C1271=""),"",IF($A1271="","Thiếu mã đơn; ","")&amp;IF(COUNTIF($A$2:$A1271,$A1271)&gt;1,"Trùng mã đơn; ","")&amp;IF(ISNA(MATCH($C1271,DATA_MASTER!$D$2:$D$5000,0)),"SĐT chưa đăng ký hội viên; ","")&amp;IF(AND($L1271="Đã chuyển khoản",$M1271=""),"Thiếu ngày nhận CK; ",""))</f>
        <v/>
      </c>
      <c r="T1271" s="24" t="n"/>
    </row>
    <row r="1272" ht="14.25" customHeight="1" s="40">
      <c r="A1272" s="24" t="n"/>
      <c r="B1272" s="29" t="n"/>
      <c r="C1272" s="28" t="n"/>
      <c r="D1272" s="22">
        <f t="array" ref="D1272">IF($C1272="","",IFERROR(INDEX(DATA_MASTER!$C$2:$C$5000,MATCH($C1272,DATA_MASTER!$D$2:$D$5000,0)),""))</f>
        <v/>
      </c>
      <c r="E1272" s="22">
        <f t="array" ref="E1272">IF($C1272="","",IFERROR(INDEX(DATA_MASTER!$I$2:$I$5000,MATCH($C1272,DATA_MASTER!$D$2:$D$5000,0)),""))</f>
        <v/>
      </c>
      <c r="F1272" s="22">
        <f t="array" ref="F1272">IF($C1272="","",IFERROR(INDEX(DATA_MASTER!$L$2:$L$5000,MATCH($C1272,DATA_MASTER!$D$2:$D$5000,0)),""))</f>
        <v/>
      </c>
      <c r="G1272" s="24" t="n"/>
      <c r="H1272" s="24" t="n"/>
      <c r="I1272" s="30" t="n"/>
      <c r="J1272" s="23">
        <f>IF(OR($H1272="",$I1272=""),"",$H1272*$I1272)</f>
        <v/>
      </c>
      <c r="K1272" s="24" t="n"/>
      <c r="L1272" s="24" t="n"/>
      <c r="M1272" s="29" t="n"/>
      <c r="N1272" s="28" t="n"/>
      <c r="O1272" s="24" t="n"/>
      <c r="P1272" s="24" t="n"/>
      <c r="Q1272" s="24" t="n"/>
      <c r="R1272" s="24" t="n"/>
      <c r="S1272" s="22">
        <f>IF(AND($A1272="",$C1272=""),"",IF($A1272="","Thiếu mã đơn; ","")&amp;IF(COUNTIF($A$2:$A1272,$A1272)&gt;1,"Trùng mã đơn; ","")&amp;IF(ISNA(MATCH($C1272,DATA_MASTER!$D$2:$D$5000,0)),"SĐT chưa đăng ký hội viên; ","")&amp;IF(AND($L1272="Đã chuyển khoản",$M1272=""),"Thiếu ngày nhận CK; ",""))</f>
        <v/>
      </c>
      <c r="T1272" s="24" t="n"/>
    </row>
    <row r="1273" ht="14.25" customHeight="1" s="40">
      <c r="A1273" s="24" t="n"/>
      <c r="B1273" s="29" t="n"/>
      <c r="C1273" s="28" t="n"/>
      <c r="D1273" s="22">
        <f t="array" ref="D1273">IF($C1273="","",IFERROR(INDEX(DATA_MASTER!$C$2:$C$5000,MATCH($C1273,DATA_MASTER!$D$2:$D$5000,0)),""))</f>
        <v/>
      </c>
      <c r="E1273" s="22">
        <f t="array" ref="E1273">IF($C1273="","",IFERROR(INDEX(DATA_MASTER!$I$2:$I$5000,MATCH($C1273,DATA_MASTER!$D$2:$D$5000,0)),""))</f>
        <v/>
      </c>
      <c r="F1273" s="22">
        <f t="array" ref="F1273">IF($C1273="","",IFERROR(INDEX(DATA_MASTER!$L$2:$L$5000,MATCH($C1273,DATA_MASTER!$D$2:$D$5000,0)),""))</f>
        <v/>
      </c>
      <c r="G1273" s="24" t="n"/>
      <c r="H1273" s="24" t="n"/>
      <c r="I1273" s="30" t="n"/>
      <c r="J1273" s="23">
        <f>IF(OR($H1273="",$I1273=""),"",$H1273*$I1273)</f>
        <v/>
      </c>
      <c r="K1273" s="24" t="n"/>
      <c r="L1273" s="24" t="n"/>
      <c r="M1273" s="29" t="n"/>
      <c r="N1273" s="28" t="n"/>
      <c r="O1273" s="24" t="n"/>
      <c r="P1273" s="24" t="n"/>
      <c r="Q1273" s="24" t="n"/>
      <c r="R1273" s="24" t="n"/>
      <c r="S1273" s="22">
        <f>IF(AND($A1273="",$C1273=""),"",IF($A1273="","Thiếu mã đơn; ","")&amp;IF(COUNTIF($A$2:$A1273,$A1273)&gt;1,"Trùng mã đơn; ","")&amp;IF(ISNA(MATCH($C1273,DATA_MASTER!$D$2:$D$5000,0)),"SĐT chưa đăng ký hội viên; ","")&amp;IF(AND($L1273="Đã chuyển khoản",$M1273=""),"Thiếu ngày nhận CK; ",""))</f>
        <v/>
      </c>
      <c r="T1273" s="24" t="n"/>
    </row>
    <row r="1274" ht="14.25" customHeight="1" s="40">
      <c r="A1274" s="24" t="n"/>
      <c r="B1274" s="29" t="n"/>
      <c r="C1274" s="28" t="n"/>
      <c r="D1274" s="22">
        <f t="array" ref="D1274">IF($C1274="","",IFERROR(INDEX(DATA_MASTER!$C$2:$C$5000,MATCH($C1274,DATA_MASTER!$D$2:$D$5000,0)),""))</f>
        <v/>
      </c>
      <c r="E1274" s="22">
        <f t="array" ref="E1274">IF($C1274="","",IFERROR(INDEX(DATA_MASTER!$I$2:$I$5000,MATCH($C1274,DATA_MASTER!$D$2:$D$5000,0)),""))</f>
        <v/>
      </c>
      <c r="F1274" s="22">
        <f t="array" ref="F1274">IF($C1274="","",IFERROR(INDEX(DATA_MASTER!$L$2:$L$5000,MATCH($C1274,DATA_MASTER!$D$2:$D$5000,0)),""))</f>
        <v/>
      </c>
      <c r="G1274" s="24" t="n"/>
      <c r="H1274" s="24" t="n"/>
      <c r="I1274" s="30" t="n"/>
      <c r="J1274" s="23">
        <f>IF(OR($H1274="",$I1274=""),"",$H1274*$I1274)</f>
        <v/>
      </c>
      <c r="K1274" s="24" t="n"/>
      <c r="L1274" s="24" t="n"/>
      <c r="M1274" s="29" t="n"/>
      <c r="N1274" s="28" t="n"/>
      <c r="O1274" s="24" t="n"/>
      <c r="P1274" s="24" t="n"/>
      <c r="Q1274" s="24" t="n"/>
      <c r="R1274" s="24" t="n"/>
      <c r="S1274" s="22">
        <f>IF(AND($A1274="",$C1274=""),"",IF($A1274="","Thiếu mã đơn; ","")&amp;IF(COUNTIF($A$2:$A1274,$A1274)&gt;1,"Trùng mã đơn; ","")&amp;IF(ISNA(MATCH($C1274,DATA_MASTER!$D$2:$D$5000,0)),"SĐT chưa đăng ký hội viên; ","")&amp;IF(AND($L1274="Đã chuyển khoản",$M1274=""),"Thiếu ngày nhận CK; ",""))</f>
        <v/>
      </c>
      <c r="T1274" s="24" t="n"/>
    </row>
    <row r="1275" ht="14.25" customHeight="1" s="40">
      <c r="A1275" s="24" t="n"/>
      <c r="B1275" s="29" t="n"/>
      <c r="C1275" s="28" t="n"/>
      <c r="D1275" s="22">
        <f t="array" ref="D1275">IF($C1275="","",IFERROR(INDEX(DATA_MASTER!$C$2:$C$5000,MATCH($C1275,DATA_MASTER!$D$2:$D$5000,0)),""))</f>
        <v/>
      </c>
      <c r="E1275" s="22">
        <f t="array" ref="E1275">IF($C1275="","",IFERROR(INDEX(DATA_MASTER!$I$2:$I$5000,MATCH($C1275,DATA_MASTER!$D$2:$D$5000,0)),""))</f>
        <v/>
      </c>
      <c r="F1275" s="22">
        <f t="array" ref="F1275">IF($C1275="","",IFERROR(INDEX(DATA_MASTER!$L$2:$L$5000,MATCH($C1275,DATA_MASTER!$D$2:$D$5000,0)),""))</f>
        <v/>
      </c>
      <c r="G1275" s="24" t="n"/>
      <c r="H1275" s="24" t="n"/>
      <c r="I1275" s="30" t="n"/>
      <c r="J1275" s="23">
        <f>IF(OR($H1275="",$I1275=""),"",$H1275*$I1275)</f>
        <v/>
      </c>
      <c r="K1275" s="24" t="n"/>
      <c r="L1275" s="24" t="n"/>
      <c r="M1275" s="29" t="n"/>
      <c r="N1275" s="28" t="n"/>
      <c r="O1275" s="24" t="n"/>
      <c r="P1275" s="24" t="n"/>
      <c r="Q1275" s="24" t="n"/>
      <c r="R1275" s="24" t="n"/>
      <c r="S1275" s="22">
        <f>IF(AND($A1275="",$C1275=""),"",IF($A1275="","Thiếu mã đơn; ","")&amp;IF(COUNTIF($A$2:$A1275,$A1275)&gt;1,"Trùng mã đơn; ","")&amp;IF(ISNA(MATCH($C1275,DATA_MASTER!$D$2:$D$5000,0)),"SĐT chưa đăng ký hội viên; ","")&amp;IF(AND($L1275="Đã chuyển khoản",$M1275=""),"Thiếu ngày nhận CK; ",""))</f>
        <v/>
      </c>
      <c r="T1275" s="24" t="n"/>
    </row>
    <row r="1276" ht="14.25" customHeight="1" s="40">
      <c r="A1276" s="24" t="n"/>
      <c r="B1276" s="29" t="n"/>
      <c r="C1276" s="28" t="n"/>
      <c r="D1276" s="22">
        <f t="array" ref="D1276">IF($C1276="","",IFERROR(INDEX(DATA_MASTER!$C$2:$C$5000,MATCH($C1276,DATA_MASTER!$D$2:$D$5000,0)),""))</f>
        <v/>
      </c>
      <c r="E1276" s="22">
        <f t="array" ref="E1276">IF($C1276="","",IFERROR(INDEX(DATA_MASTER!$I$2:$I$5000,MATCH($C1276,DATA_MASTER!$D$2:$D$5000,0)),""))</f>
        <v/>
      </c>
      <c r="F1276" s="22">
        <f t="array" ref="F1276">IF($C1276="","",IFERROR(INDEX(DATA_MASTER!$L$2:$L$5000,MATCH($C1276,DATA_MASTER!$D$2:$D$5000,0)),""))</f>
        <v/>
      </c>
      <c r="G1276" s="24" t="n"/>
      <c r="H1276" s="24" t="n"/>
      <c r="I1276" s="30" t="n"/>
      <c r="J1276" s="23">
        <f>IF(OR($H1276="",$I1276=""),"",$H1276*$I1276)</f>
        <v/>
      </c>
      <c r="K1276" s="24" t="n"/>
      <c r="L1276" s="24" t="n"/>
      <c r="M1276" s="29" t="n"/>
      <c r="N1276" s="28" t="n"/>
      <c r="O1276" s="24" t="n"/>
      <c r="P1276" s="24" t="n"/>
      <c r="Q1276" s="24" t="n"/>
      <c r="R1276" s="24" t="n"/>
      <c r="S1276" s="22">
        <f>IF(AND($A1276="",$C1276=""),"",IF($A1276="","Thiếu mã đơn; ","")&amp;IF(COUNTIF($A$2:$A1276,$A1276)&gt;1,"Trùng mã đơn; ","")&amp;IF(ISNA(MATCH($C1276,DATA_MASTER!$D$2:$D$5000,0)),"SĐT chưa đăng ký hội viên; ","")&amp;IF(AND($L1276="Đã chuyển khoản",$M1276=""),"Thiếu ngày nhận CK; ",""))</f>
        <v/>
      </c>
      <c r="T1276" s="24" t="n"/>
    </row>
    <row r="1277" ht="14.25" customHeight="1" s="40">
      <c r="A1277" s="24" t="n"/>
      <c r="B1277" s="29" t="n"/>
      <c r="C1277" s="28" t="n"/>
      <c r="D1277" s="22">
        <f t="array" ref="D1277">IF($C1277="","",IFERROR(INDEX(DATA_MASTER!$C$2:$C$5000,MATCH($C1277,DATA_MASTER!$D$2:$D$5000,0)),""))</f>
        <v/>
      </c>
      <c r="E1277" s="22">
        <f t="array" ref="E1277">IF($C1277="","",IFERROR(INDEX(DATA_MASTER!$I$2:$I$5000,MATCH($C1277,DATA_MASTER!$D$2:$D$5000,0)),""))</f>
        <v/>
      </c>
      <c r="F1277" s="22">
        <f t="array" ref="F1277">IF($C1277="","",IFERROR(INDEX(DATA_MASTER!$L$2:$L$5000,MATCH($C1277,DATA_MASTER!$D$2:$D$5000,0)),""))</f>
        <v/>
      </c>
      <c r="G1277" s="24" t="n"/>
      <c r="H1277" s="24" t="n"/>
      <c r="I1277" s="30" t="n"/>
      <c r="J1277" s="23">
        <f>IF(OR($H1277="",$I1277=""),"",$H1277*$I1277)</f>
        <v/>
      </c>
      <c r="K1277" s="24" t="n"/>
      <c r="L1277" s="24" t="n"/>
      <c r="M1277" s="29" t="n"/>
      <c r="N1277" s="28" t="n"/>
      <c r="O1277" s="24" t="n"/>
      <c r="P1277" s="24" t="n"/>
      <c r="Q1277" s="24" t="n"/>
      <c r="R1277" s="24" t="n"/>
      <c r="S1277" s="22">
        <f>IF(AND($A1277="",$C1277=""),"",IF($A1277="","Thiếu mã đơn; ","")&amp;IF(COUNTIF($A$2:$A1277,$A1277)&gt;1,"Trùng mã đơn; ","")&amp;IF(ISNA(MATCH($C1277,DATA_MASTER!$D$2:$D$5000,0)),"SĐT chưa đăng ký hội viên; ","")&amp;IF(AND($L1277="Đã chuyển khoản",$M1277=""),"Thiếu ngày nhận CK; ",""))</f>
        <v/>
      </c>
      <c r="T1277" s="24" t="n"/>
    </row>
    <row r="1278" ht="14.25" customHeight="1" s="40">
      <c r="A1278" s="24" t="n"/>
      <c r="B1278" s="29" t="n"/>
      <c r="C1278" s="28" t="n"/>
      <c r="D1278" s="22">
        <f t="array" ref="D1278">IF($C1278="","",IFERROR(INDEX(DATA_MASTER!$C$2:$C$5000,MATCH($C1278,DATA_MASTER!$D$2:$D$5000,0)),""))</f>
        <v/>
      </c>
      <c r="E1278" s="22">
        <f t="array" ref="E1278">IF($C1278="","",IFERROR(INDEX(DATA_MASTER!$I$2:$I$5000,MATCH($C1278,DATA_MASTER!$D$2:$D$5000,0)),""))</f>
        <v/>
      </c>
      <c r="F1278" s="22">
        <f t="array" ref="F1278">IF($C1278="","",IFERROR(INDEX(DATA_MASTER!$L$2:$L$5000,MATCH($C1278,DATA_MASTER!$D$2:$D$5000,0)),""))</f>
        <v/>
      </c>
      <c r="G1278" s="24" t="n"/>
      <c r="H1278" s="24" t="n"/>
      <c r="I1278" s="30" t="n"/>
      <c r="J1278" s="23">
        <f>IF(OR($H1278="",$I1278=""),"",$H1278*$I1278)</f>
        <v/>
      </c>
      <c r="K1278" s="24" t="n"/>
      <c r="L1278" s="24" t="n"/>
      <c r="M1278" s="29" t="n"/>
      <c r="N1278" s="28" t="n"/>
      <c r="O1278" s="24" t="n"/>
      <c r="P1278" s="24" t="n"/>
      <c r="Q1278" s="24" t="n"/>
      <c r="R1278" s="24" t="n"/>
      <c r="S1278" s="22">
        <f>IF(AND($A1278="",$C1278=""),"",IF($A1278="","Thiếu mã đơn; ","")&amp;IF(COUNTIF($A$2:$A1278,$A1278)&gt;1,"Trùng mã đơn; ","")&amp;IF(ISNA(MATCH($C1278,DATA_MASTER!$D$2:$D$5000,0)),"SĐT chưa đăng ký hội viên; ","")&amp;IF(AND($L1278="Đã chuyển khoản",$M1278=""),"Thiếu ngày nhận CK; ",""))</f>
        <v/>
      </c>
      <c r="T1278" s="24" t="n"/>
    </row>
    <row r="1279" ht="14.25" customHeight="1" s="40">
      <c r="A1279" s="24" t="n"/>
      <c r="B1279" s="29" t="n"/>
      <c r="C1279" s="28" t="n"/>
      <c r="D1279" s="22">
        <f t="array" ref="D1279">IF($C1279="","",IFERROR(INDEX(DATA_MASTER!$C$2:$C$5000,MATCH($C1279,DATA_MASTER!$D$2:$D$5000,0)),""))</f>
        <v/>
      </c>
      <c r="E1279" s="22">
        <f t="array" ref="E1279">IF($C1279="","",IFERROR(INDEX(DATA_MASTER!$I$2:$I$5000,MATCH($C1279,DATA_MASTER!$D$2:$D$5000,0)),""))</f>
        <v/>
      </c>
      <c r="F1279" s="22">
        <f t="array" ref="F1279">IF($C1279="","",IFERROR(INDEX(DATA_MASTER!$L$2:$L$5000,MATCH($C1279,DATA_MASTER!$D$2:$D$5000,0)),""))</f>
        <v/>
      </c>
      <c r="G1279" s="24" t="n"/>
      <c r="H1279" s="24" t="n"/>
      <c r="I1279" s="30" t="n"/>
      <c r="J1279" s="23">
        <f>IF(OR($H1279="",$I1279=""),"",$H1279*$I1279)</f>
        <v/>
      </c>
      <c r="K1279" s="24" t="n"/>
      <c r="L1279" s="24" t="n"/>
      <c r="M1279" s="29" t="n"/>
      <c r="N1279" s="28" t="n"/>
      <c r="O1279" s="24" t="n"/>
      <c r="P1279" s="24" t="n"/>
      <c r="Q1279" s="24" t="n"/>
      <c r="R1279" s="24" t="n"/>
      <c r="S1279" s="22">
        <f>IF(AND($A1279="",$C1279=""),"",IF($A1279="","Thiếu mã đơn; ","")&amp;IF(COUNTIF($A$2:$A1279,$A1279)&gt;1,"Trùng mã đơn; ","")&amp;IF(ISNA(MATCH($C1279,DATA_MASTER!$D$2:$D$5000,0)),"SĐT chưa đăng ký hội viên; ","")&amp;IF(AND($L1279="Đã chuyển khoản",$M1279=""),"Thiếu ngày nhận CK; ",""))</f>
        <v/>
      </c>
      <c r="T1279" s="24" t="n"/>
    </row>
    <row r="1280" ht="14.25" customHeight="1" s="40">
      <c r="A1280" s="24" t="n"/>
      <c r="B1280" s="29" t="n"/>
      <c r="C1280" s="28" t="n"/>
      <c r="D1280" s="22">
        <f t="array" ref="D1280">IF($C1280="","",IFERROR(INDEX(DATA_MASTER!$C$2:$C$5000,MATCH($C1280,DATA_MASTER!$D$2:$D$5000,0)),""))</f>
        <v/>
      </c>
      <c r="E1280" s="22">
        <f t="array" ref="E1280">IF($C1280="","",IFERROR(INDEX(DATA_MASTER!$I$2:$I$5000,MATCH($C1280,DATA_MASTER!$D$2:$D$5000,0)),""))</f>
        <v/>
      </c>
      <c r="F1280" s="22">
        <f t="array" ref="F1280">IF($C1280="","",IFERROR(INDEX(DATA_MASTER!$L$2:$L$5000,MATCH($C1280,DATA_MASTER!$D$2:$D$5000,0)),""))</f>
        <v/>
      </c>
      <c r="G1280" s="24" t="n"/>
      <c r="H1280" s="24" t="n"/>
      <c r="I1280" s="30" t="n"/>
      <c r="J1280" s="23">
        <f>IF(OR($H1280="",$I1280=""),"",$H1280*$I1280)</f>
        <v/>
      </c>
      <c r="K1280" s="24" t="n"/>
      <c r="L1280" s="24" t="n"/>
      <c r="M1280" s="29" t="n"/>
      <c r="N1280" s="28" t="n"/>
      <c r="O1280" s="24" t="n"/>
      <c r="P1280" s="24" t="n"/>
      <c r="Q1280" s="24" t="n"/>
      <c r="R1280" s="24" t="n"/>
      <c r="S1280" s="22">
        <f>IF(AND($A1280="",$C1280=""),"",IF($A1280="","Thiếu mã đơn; ","")&amp;IF(COUNTIF($A$2:$A1280,$A1280)&gt;1,"Trùng mã đơn; ","")&amp;IF(ISNA(MATCH($C1280,DATA_MASTER!$D$2:$D$5000,0)),"SĐT chưa đăng ký hội viên; ","")&amp;IF(AND($L1280="Đã chuyển khoản",$M1280=""),"Thiếu ngày nhận CK; ",""))</f>
        <v/>
      </c>
      <c r="T1280" s="24" t="n"/>
    </row>
    <row r="1281" ht="14.25" customHeight="1" s="40">
      <c r="A1281" s="24" t="n"/>
      <c r="B1281" s="29" t="n"/>
      <c r="C1281" s="28" t="n"/>
      <c r="D1281" s="22">
        <f t="array" ref="D1281">IF($C1281="","",IFERROR(INDEX(DATA_MASTER!$C$2:$C$5000,MATCH($C1281,DATA_MASTER!$D$2:$D$5000,0)),""))</f>
        <v/>
      </c>
      <c r="E1281" s="22">
        <f t="array" ref="E1281">IF($C1281="","",IFERROR(INDEX(DATA_MASTER!$I$2:$I$5000,MATCH($C1281,DATA_MASTER!$D$2:$D$5000,0)),""))</f>
        <v/>
      </c>
      <c r="F1281" s="22">
        <f t="array" ref="F1281">IF($C1281="","",IFERROR(INDEX(DATA_MASTER!$L$2:$L$5000,MATCH($C1281,DATA_MASTER!$D$2:$D$5000,0)),""))</f>
        <v/>
      </c>
      <c r="G1281" s="24" t="n"/>
      <c r="H1281" s="24" t="n"/>
      <c r="I1281" s="30" t="n"/>
      <c r="J1281" s="23">
        <f>IF(OR($H1281="",$I1281=""),"",$H1281*$I1281)</f>
        <v/>
      </c>
      <c r="K1281" s="24" t="n"/>
      <c r="L1281" s="24" t="n"/>
      <c r="M1281" s="29" t="n"/>
      <c r="N1281" s="28" t="n"/>
      <c r="O1281" s="24" t="n"/>
      <c r="P1281" s="24" t="n"/>
      <c r="Q1281" s="24" t="n"/>
      <c r="R1281" s="24" t="n"/>
      <c r="S1281" s="22">
        <f>IF(AND($A1281="",$C1281=""),"",IF($A1281="","Thiếu mã đơn; ","")&amp;IF(COUNTIF($A$2:$A1281,$A1281)&gt;1,"Trùng mã đơn; ","")&amp;IF(ISNA(MATCH($C1281,DATA_MASTER!$D$2:$D$5000,0)),"SĐT chưa đăng ký hội viên; ","")&amp;IF(AND($L1281="Đã chuyển khoản",$M1281=""),"Thiếu ngày nhận CK; ",""))</f>
        <v/>
      </c>
      <c r="T1281" s="24" t="n"/>
    </row>
    <row r="1282" ht="14.25" customHeight="1" s="40">
      <c r="A1282" s="24" t="n"/>
      <c r="B1282" s="29" t="n"/>
      <c r="C1282" s="28" t="n"/>
      <c r="D1282" s="22">
        <f t="array" ref="D1282">IF($C1282="","",IFERROR(INDEX(DATA_MASTER!$C$2:$C$5000,MATCH($C1282,DATA_MASTER!$D$2:$D$5000,0)),""))</f>
        <v/>
      </c>
      <c r="E1282" s="22">
        <f t="array" ref="E1282">IF($C1282="","",IFERROR(INDEX(DATA_MASTER!$I$2:$I$5000,MATCH($C1282,DATA_MASTER!$D$2:$D$5000,0)),""))</f>
        <v/>
      </c>
      <c r="F1282" s="22">
        <f t="array" ref="F1282">IF($C1282="","",IFERROR(INDEX(DATA_MASTER!$L$2:$L$5000,MATCH($C1282,DATA_MASTER!$D$2:$D$5000,0)),""))</f>
        <v/>
      </c>
      <c r="G1282" s="24" t="n"/>
      <c r="H1282" s="24" t="n"/>
      <c r="I1282" s="30" t="n"/>
      <c r="J1282" s="23">
        <f>IF(OR($H1282="",$I1282=""),"",$H1282*$I1282)</f>
        <v/>
      </c>
      <c r="K1282" s="24" t="n"/>
      <c r="L1282" s="24" t="n"/>
      <c r="M1282" s="29" t="n"/>
      <c r="N1282" s="28" t="n"/>
      <c r="O1282" s="24" t="n"/>
      <c r="P1282" s="24" t="n"/>
      <c r="Q1282" s="24" t="n"/>
      <c r="R1282" s="24" t="n"/>
      <c r="S1282" s="22">
        <f>IF(AND($A1282="",$C1282=""),"",IF($A1282="","Thiếu mã đơn; ","")&amp;IF(COUNTIF($A$2:$A1282,$A1282)&gt;1,"Trùng mã đơn; ","")&amp;IF(ISNA(MATCH($C1282,DATA_MASTER!$D$2:$D$5000,0)),"SĐT chưa đăng ký hội viên; ","")&amp;IF(AND($L1282="Đã chuyển khoản",$M1282=""),"Thiếu ngày nhận CK; ",""))</f>
        <v/>
      </c>
      <c r="T1282" s="24" t="n"/>
    </row>
    <row r="1283" ht="14.25" customHeight="1" s="40">
      <c r="A1283" s="24" t="n"/>
      <c r="B1283" s="29" t="n"/>
      <c r="C1283" s="28" t="n"/>
      <c r="D1283" s="22">
        <f t="array" ref="D1283">IF($C1283="","",IFERROR(INDEX(DATA_MASTER!$C$2:$C$5000,MATCH($C1283,DATA_MASTER!$D$2:$D$5000,0)),""))</f>
        <v/>
      </c>
      <c r="E1283" s="22">
        <f t="array" ref="E1283">IF($C1283="","",IFERROR(INDEX(DATA_MASTER!$I$2:$I$5000,MATCH($C1283,DATA_MASTER!$D$2:$D$5000,0)),""))</f>
        <v/>
      </c>
      <c r="F1283" s="22">
        <f t="array" ref="F1283">IF($C1283="","",IFERROR(INDEX(DATA_MASTER!$L$2:$L$5000,MATCH($C1283,DATA_MASTER!$D$2:$D$5000,0)),""))</f>
        <v/>
      </c>
      <c r="G1283" s="24" t="n"/>
      <c r="H1283" s="24" t="n"/>
      <c r="I1283" s="30" t="n"/>
      <c r="J1283" s="23">
        <f>IF(OR($H1283="",$I1283=""),"",$H1283*$I1283)</f>
        <v/>
      </c>
      <c r="K1283" s="24" t="n"/>
      <c r="L1283" s="24" t="n"/>
      <c r="M1283" s="29" t="n"/>
      <c r="N1283" s="28" t="n"/>
      <c r="O1283" s="24" t="n"/>
      <c r="P1283" s="24" t="n"/>
      <c r="Q1283" s="24" t="n"/>
      <c r="R1283" s="24" t="n"/>
      <c r="S1283" s="22">
        <f>IF(AND($A1283="",$C1283=""),"",IF($A1283="","Thiếu mã đơn; ","")&amp;IF(COUNTIF($A$2:$A1283,$A1283)&gt;1,"Trùng mã đơn; ","")&amp;IF(ISNA(MATCH($C1283,DATA_MASTER!$D$2:$D$5000,0)),"SĐT chưa đăng ký hội viên; ","")&amp;IF(AND($L1283="Đã chuyển khoản",$M1283=""),"Thiếu ngày nhận CK; ",""))</f>
        <v/>
      </c>
      <c r="T1283" s="24" t="n"/>
    </row>
    <row r="1284" ht="14.25" customHeight="1" s="40">
      <c r="A1284" s="24" t="n"/>
      <c r="B1284" s="29" t="n"/>
      <c r="C1284" s="28" t="n"/>
      <c r="D1284" s="22">
        <f t="array" ref="D1284">IF($C1284="","",IFERROR(INDEX(DATA_MASTER!$C$2:$C$5000,MATCH($C1284,DATA_MASTER!$D$2:$D$5000,0)),""))</f>
        <v/>
      </c>
      <c r="E1284" s="22">
        <f t="array" ref="E1284">IF($C1284="","",IFERROR(INDEX(DATA_MASTER!$I$2:$I$5000,MATCH($C1284,DATA_MASTER!$D$2:$D$5000,0)),""))</f>
        <v/>
      </c>
      <c r="F1284" s="22">
        <f t="array" ref="F1284">IF($C1284="","",IFERROR(INDEX(DATA_MASTER!$L$2:$L$5000,MATCH($C1284,DATA_MASTER!$D$2:$D$5000,0)),""))</f>
        <v/>
      </c>
      <c r="G1284" s="24" t="n"/>
      <c r="H1284" s="24" t="n"/>
      <c r="I1284" s="30" t="n"/>
      <c r="J1284" s="23">
        <f>IF(OR($H1284="",$I1284=""),"",$H1284*$I1284)</f>
        <v/>
      </c>
      <c r="K1284" s="24" t="n"/>
      <c r="L1284" s="24" t="n"/>
      <c r="M1284" s="29" t="n"/>
      <c r="N1284" s="28" t="n"/>
      <c r="O1284" s="24" t="n"/>
      <c r="P1284" s="24" t="n"/>
      <c r="Q1284" s="24" t="n"/>
      <c r="R1284" s="24" t="n"/>
      <c r="S1284" s="22">
        <f>IF(AND($A1284="",$C1284=""),"",IF($A1284="","Thiếu mã đơn; ","")&amp;IF(COUNTIF($A$2:$A1284,$A1284)&gt;1,"Trùng mã đơn; ","")&amp;IF(ISNA(MATCH($C1284,DATA_MASTER!$D$2:$D$5000,0)),"SĐT chưa đăng ký hội viên; ","")&amp;IF(AND($L1284="Đã chuyển khoản",$M1284=""),"Thiếu ngày nhận CK; ",""))</f>
        <v/>
      </c>
      <c r="T1284" s="24" t="n"/>
    </row>
    <row r="1285" ht="14.25" customHeight="1" s="40">
      <c r="A1285" s="24" t="n"/>
      <c r="B1285" s="29" t="n"/>
      <c r="C1285" s="28" t="n"/>
      <c r="D1285" s="22">
        <f t="array" ref="D1285">IF($C1285="","",IFERROR(INDEX(DATA_MASTER!$C$2:$C$5000,MATCH($C1285,DATA_MASTER!$D$2:$D$5000,0)),""))</f>
        <v/>
      </c>
      <c r="E1285" s="22">
        <f t="array" ref="E1285">IF($C1285="","",IFERROR(INDEX(DATA_MASTER!$I$2:$I$5000,MATCH($C1285,DATA_MASTER!$D$2:$D$5000,0)),""))</f>
        <v/>
      </c>
      <c r="F1285" s="22">
        <f t="array" ref="F1285">IF($C1285="","",IFERROR(INDEX(DATA_MASTER!$L$2:$L$5000,MATCH($C1285,DATA_MASTER!$D$2:$D$5000,0)),""))</f>
        <v/>
      </c>
      <c r="G1285" s="24" t="n"/>
      <c r="H1285" s="24" t="n"/>
      <c r="I1285" s="30" t="n"/>
      <c r="J1285" s="23">
        <f>IF(OR($H1285="",$I1285=""),"",$H1285*$I1285)</f>
        <v/>
      </c>
      <c r="K1285" s="24" t="n"/>
      <c r="L1285" s="24" t="n"/>
      <c r="M1285" s="29" t="n"/>
      <c r="N1285" s="28" t="n"/>
      <c r="O1285" s="24" t="n"/>
      <c r="P1285" s="24" t="n"/>
      <c r="Q1285" s="24" t="n"/>
      <c r="R1285" s="24" t="n"/>
      <c r="S1285" s="22">
        <f>IF(AND($A1285="",$C1285=""),"",IF($A1285="","Thiếu mã đơn; ","")&amp;IF(COUNTIF($A$2:$A1285,$A1285)&gt;1,"Trùng mã đơn; ","")&amp;IF(ISNA(MATCH($C1285,DATA_MASTER!$D$2:$D$5000,0)),"SĐT chưa đăng ký hội viên; ","")&amp;IF(AND($L1285="Đã chuyển khoản",$M1285=""),"Thiếu ngày nhận CK; ",""))</f>
        <v/>
      </c>
      <c r="T1285" s="24" t="n"/>
    </row>
    <row r="1286" ht="14.25" customHeight="1" s="40">
      <c r="A1286" s="24" t="n"/>
      <c r="B1286" s="29" t="n"/>
      <c r="C1286" s="28" t="n"/>
      <c r="D1286" s="22">
        <f t="array" ref="D1286">IF($C1286="","",IFERROR(INDEX(DATA_MASTER!$C$2:$C$5000,MATCH($C1286,DATA_MASTER!$D$2:$D$5000,0)),""))</f>
        <v/>
      </c>
      <c r="E1286" s="22">
        <f t="array" ref="E1286">IF($C1286="","",IFERROR(INDEX(DATA_MASTER!$I$2:$I$5000,MATCH($C1286,DATA_MASTER!$D$2:$D$5000,0)),""))</f>
        <v/>
      </c>
      <c r="F1286" s="22">
        <f t="array" ref="F1286">IF($C1286="","",IFERROR(INDEX(DATA_MASTER!$L$2:$L$5000,MATCH($C1286,DATA_MASTER!$D$2:$D$5000,0)),""))</f>
        <v/>
      </c>
      <c r="G1286" s="24" t="n"/>
      <c r="H1286" s="24" t="n"/>
      <c r="I1286" s="30" t="n"/>
      <c r="J1286" s="23">
        <f>IF(OR($H1286="",$I1286=""),"",$H1286*$I1286)</f>
        <v/>
      </c>
      <c r="K1286" s="24" t="n"/>
      <c r="L1286" s="24" t="n"/>
      <c r="M1286" s="29" t="n"/>
      <c r="N1286" s="28" t="n"/>
      <c r="O1286" s="24" t="n"/>
      <c r="P1286" s="24" t="n"/>
      <c r="Q1286" s="24" t="n"/>
      <c r="R1286" s="24" t="n"/>
      <c r="S1286" s="22">
        <f>IF(AND($A1286="",$C1286=""),"",IF($A1286="","Thiếu mã đơn; ","")&amp;IF(COUNTIF($A$2:$A1286,$A1286)&gt;1,"Trùng mã đơn; ","")&amp;IF(ISNA(MATCH($C1286,DATA_MASTER!$D$2:$D$5000,0)),"SĐT chưa đăng ký hội viên; ","")&amp;IF(AND($L1286="Đã chuyển khoản",$M1286=""),"Thiếu ngày nhận CK; ",""))</f>
        <v/>
      </c>
      <c r="T1286" s="24" t="n"/>
    </row>
    <row r="1287" ht="14.25" customHeight="1" s="40">
      <c r="A1287" s="24" t="n"/>
      <c r="B1287" s="29" t="n"/>
      <c r="C1287" s="28" t="n"/>
      <c r="D1287" s="22">
        <f t="array" ref="D1287">IF($C1287="","",IFERROR(INDEX(DATA_MASTER!$C$2:$C$5000,MATCH($C1287,DATA_MASTER!$D$2:$D$5000,0)),""))</f>
        <v/>
      </c>
      <c r="E1287" s="22">
        <f t="array" ref="E1287">IF($C1287="","",IFERROR(INDEX(DATA_MASTER!$I$2:$I$5000,MATCH($C1287,DATA_MASTER!$D$2:$D$5000,0)),""))</f>
        <v/>
      </c>
      <c r="F1287" s="22">
        <f t="array" ref="F1287">IF($C1287="","",IFERROR(INDEX(DATA_MASTER!$L$2:$L$5000,MATCH($C1287,DATA_MASTER!$D$2:$D$5000,0)),""))</f>
        <v/>
      </c>
      <c r="G1287" s="24" t="n"/>
      <c r="H1287" s="24" t="n"/>
      <c r="I1287" s="30" t="n"/>
      <c r="J1287" s="23">
        <f>IF(OR($H1287="",$I1287=""),"",$H1287*$I1287)</f>
        <v/>
      </c>
      <c r="K1287" s="24" t="n"/>
      <c r="L1287" s="24" t="n"/>
      <c r="M1287" s="29" t="n"/>
      <c r="N1287" s="28" t="n"/>
      <c r="O1287" s="24" t="n"/>
      <c r="P1287" s="24" t="n"/>
      <c r="Q1287" s="24" t="n"/>
      <c r="R1287" s="24" t="n"/>
      <c r="S1287" s="22">
        <f>IF(AND($A1287="",$C1287=""),"",IF($A1287="","Thiếu mã đơn; ","")&amp;IF(COUNTIF($A$2:$A1287,$A1287)&gt;1,"Trùng mã đơn; ","")&amp;IF(ISNA(MATCH($C1287,DATA_MASTER!$D$2:$D$5000,0)),"SĐT chưa đăng ký hội viên; ","")&amp;IF(AND($L1287="Đã chuyển khoản",$M1287=""),"Thiếu ngày nhận CK; ",""))</f>
        <v/>
      </c>
      <c r="T1287" s="24" t="n"/>
    </row>
    <row r="1288" ht="14.25" customHeight="1" s="40">
      <c r="A1288" s="24" t="n"/>
      <c r="B1288" s="29" t="n"/>
      <c r="C1288" s="28" t="n"/>
      <c r="D1288" s="22">
        <f t="array" ref="D1288">IF($C1288="","",IFERROR(INDEX(DATA_MASTER!$C$2:$C$5000,MATCH($C1288,DATA_MASTER!$D$2:$D$5000,0)),""))</f>
        <v/>
      </c>
      <c r="E1288" s="22">
        <f t="array" ref="E1288">IF($C1288="","",IFERROR(INDEX(DATA_MASTER!$I$2:$I$5000,MATCH($C1288,DATA_MASTER!$D$2:$D$5000,0)),""))</f>
        <v/>
      </c>
      <c r="F1288" s="22">
        <f t="array" ref="F1288">IF($C1288="","",IFERROR(INDEX(DATA_MASTER!$L$2:$L$5000,MATCH($C1288,DATA_MASTER!$D$2:$D$5000,0)),""))</f>
        <v/>
      </c>
      <c r="G1288" s="24" t="n"/>
      <c r="H1288" s="24" t="n"/>
      <c r="I1288" s="30" t="n"/>
      <c r="J1288" s="23">
        <f>IF(OR($H1288="",$I1288=""),"",$H1288*$I1288)</f>
        <v/>
      </c>
      <c r="K1288" s="24" t="n"/>
      <c r="L1288" s="24" t="n"/>
      <c r="M1288" s="29" t="n"/>
      <c r="N1288" s="28" t="n"/>
      <c r="O1288" s="24" t="n"/>
      <c r="P1288" s="24" t="n"/>
      <c r="Q1288" s="24" t="n"/>
      <c r="R1288" s="24" t="n"/>
      <c r="S1288" s="22">
        <f>IF(AND($A1288="",$C1288=""),"",IF($A1288="","Thiếu mã đơn; ","")&amp;IF(COUNTIF($A$2:$A1288,$A1288)&gt;1,"Trùng mã đơn; ","")&amp;IF(ISNA(MATCH($C1288,DATA_MASTER!$D$2:$D$5000,0)),"SĐT chưa đăng ký hội viên; ","")&amp;IF(AND($L1288="Đã chuyển khoản",$M1288=""),"Thiếu ngày nhận CK; ",""))</f>
        <v/>
      </c>
      <c r="T1288" s="24" t="n"/>
    </row>
    <row r="1289" ht="14.25" customHeight="1" s="40">
      <c r="A1289" s="24" t="n"/>
      <c r="B1289" s="29" t="n"/>
      <c r="C1289" s="28" t="n"/>
      <c r="D1289" s="22">
        <f t="array" ref="D1289">IF($C1289="","",IFERROR(INDEX(DATA_MASTER!$C$2:$C$5000,MATCH($C1289,DATA_MASTER!$D$2:$D$5000,0)),""))</f>
        <v/>
      </c>
      <c r="E1289" s="22">
        <f t="array" ref="E1289">IF($C1289="","",IFERROR(INDEX(DATA_MASTER!$I$2:$I$5000,MATCH($C1289,DATA_MASTER!$D$2:$D$5000,0)),""))</f>
        <v/>
      </c>
      <c r="F1289" s="22">
        <f t="array" ref="F1289">IF($C1289="","",IFERROR(INDEX(DATA_MASTER!$L$2:$L$5000,MATCH($C1289,DATA_MASTER!$D$2:$D$5000,0)),""))</f>
        <v/>
      </c>
      <c r="G1289" s="24" t="n"/>
      <c r="H1289" s="24" t="n"/>
      <c r="I1289" s="30" t="n"/>
      <c r="J1289" s="23">
        <f>IF(OR($H1289="",$I1289=""),"",$H1289*$I1289)</f>
        <v/>
      </c>
      <c r="K1289" s="24" t="n"/>
      <c r="L1289" s="24" t="n"/>
      <c r="M1289" s="29" t="n"/>
      <c r="N1289" s="28" t="n"/>
      <c r="O1289" s="24" t="n"/>
      <c r="P1289" s="24" t="n"/>
      <c r="Q1289" s="24" t="n"/>
      <c r="R1289" s="24" t="n"/>
      <c r="S1289" s="22">
        <f>IF(AND($A1289="",$C1289=""),"",IF($A1289="","Thiếu mã đơn; ","")&amp;IF(COUNTIF($A$2:$A1289,$A1289)&gt;1,"Trùng mã đơn; ","")&amp;IF(ISNA(MATCH($C1289,DATA_MASTER!$D$2:$D$5000,0)),"SĐT chưa đăng ký hội viên; ","")&amp;IF(AND($L1289="Đã chuyển khoản",$M1289=""),"Thiếu ngày nhận CK; ",""))</f>
        <v/>
      </c>
      <c r="T1289" s="24" t="n"/>
    </row>
    <row r="1290" ht="14.25" customHeight="1" s="40">
      <c r="A1290" s="24" t="n"/>
      <c r="B1290" s="29" t="n"/>
      <c r="C1290" s="28" t="n"/>
      <c r="D1290" s="22">
        <f t="array" ref="D1290">IF($C1290="","",IFERROR(INDEX(DATA_MASTER!$C$2:$C$5000,MATCH($C1290,DATA_MASTER!$D$2:$D$5000,0)),""))</f>
        <v/>
      </c>
      <c r="E1290" s="22">
        <f t="array" ref="E1290">IF($C1290="","",IFERROR(INDEX(DATA_MASTER!$I$2:$I$5000,MATCH($C1290,DATA_MASTER!$D$2:$D$5000,0)),""))</f>
        <v/>
      </c>
      <c r="F1290" s="22">
        <f t="array" ref="F1290">IF($C1290="","",IFERROR(INDEX(DATA_MASTER!$L$2:$L$5000,MATCH($C1290,DATA_MASTER!$D$2:$D$5000,0)),""))</f>
        <v/>
      </c>
      <c r="G1290" s="24" t="n"/>
      <c r="H1290" s="24" t="n"/>
      <c r="I1290" s="30" t="n"/>
      <c r="J1290" s="23">
        <f>IF(OR($H1290="",$I1290=""),"",$H1290*$I1290)</f>
        <v/>
      </c>
      <c r="K1290" s="24" t="n"/>
      <c r="L1290" s="24" t="n"/>
      <c r="M1290" s="29" t="n"/>
      <c r="N1290" s="28" t="n"/>
      <c r="O1290" s="24" t="n"/>
      <c r="P1290" s="24" t="n"/>
      <c r="Q1290" s="24" t="n"/>
      <c r="R1290" s="24" t="n"/>
      <c r="S1290" s="22">
        <f>IF(AND($A1290="",$C1290=""),"",IF($A1290="","Thiếu mã đơn; ","")&amp;IF(COUNTIF($A$2:$A1290,$A1290)&gt;1,"Trùng mã đơn; ","")&amp;IF(ISNA(MATCH($C1290,DATA_MASTER!$D$2:$D$5000,0)),"SĐT chưa đăng ký hội viên; ","")&amp;IF(AND($L1290="Đã chuyển khoản",$M1290=""),"Thiếu ngày nhận CK; ",""))</f>
        <v/>
      </c>
      <c r="T1290" s="24" t="n"/>
    </row>
    <row r="1291" ht="14.25" customHeight="1" s="40">
      <c r="A1291" s="24" t="n"/>
      <c r="B1291" s="29" t="n"/>
      <c r="C1291" s="28" t="n"/>
      <c r="D1291" s="22">
        <f t="array" ref="D1291">IF($C1291="","",IFERROR(INDEX(DATA_MASTER!$C$2:$C$5000,MATCH($C1291,DATA_MASTER!$D$2:$D$5000,0)),""))</f>
        <v/>
      </c>
      <c r="E1291" s="22">
        <f t="array" ref="E1291">IF($C1291="","",IFERROR(INDEX(DATA_MASTER!$I$2:$I$5000,MATCH($C1291,DATA_MASTER!$D$2:$D$5000,0)),""))</f>
        <v/>
      </c>
      <c r="F1291" s="22">
        <f t="array" ref="F1291">IF($C1291="","",IFERROR(INDEX(DATA_MASTER!$L$2:$L$5000,MATCH($C1291,DATA_MASTER!$D$2:$D$5000,0)),""))</f>
        <v/>
      </c>
      <c r="G1291" s="24" t="n"/>
      <c r="H1291" s="24" t="n"/>
      <c r="I1291" s="30" t="n"/>
      <c r="J1291" s="23">
        <f>IF(OR($H1291="",$I1291=""),"",$H1291*$I1291)</f>
        <v/>
      </c>
      <c r="K1291" s="24" t="n"/>
      <c r="L1291" s="24" t="n"/>
      <c r="M1291" s="29" t="n"/>
      <c r="N1291" s="28" t="n"/>
      <c r="O1291" s="24" t="n"/>
      <c r="P1291" s="24" t="n"/>
      <c r="Q1291" s="24" t="n"/>
      <c r="R1291" s="24" t="n"/>
      <c r="S1291" s="22">
        <f>IF(AND($A1291="",$C1291=""),"",IF($A1291="","Thiếu mã đơn; ","")&amp;IF(COUNTIF($A$2:$A1291,$A1291)&gt;1,"Trùng mã đơn; ","")&amp;IF(ISNA(MATCH($C1291,DATA_MASTER!$D$2:$D$5000,0)),"SĐT chưa đăng ký hội viên; ","")&amp;IF(AND($L1291="Đã chuyển khoản",$M1291=""),"Thiếu ngày nhận CK; ",""))</f>
        <v/>
      </c>
      <c r="T1291" s="24" t="n"/>
    </row>
    <row r="1292" ht="14.25" customHeight="1" s="40">
      <c r="A1292" s="24" t="n"/>
      <c r="B1292" s="29" t="n"/>
      <c r="C1292" s="28" t="n"/>
      <c r="D1292" s="22">
        <f t="array" ref="D1292">IF($C1292="","",IFERROR(INDEX(DATA_MASTER!$C$2:$C$5000,MATCH($C1292,DATA_MASTER!$D$2:$D$5000,0)),""))</f>
        <v/>
      </c>
      <c r="E1292" s="22">
        <f t="array" ref="E1292">IF($C1292="","",IFERROR(INDEX(DATA_MASTER!$I$2:$I$5000,MATCH($C1292,DATA_MASTER!$D$2:$D$5000,0)),""))</f>
        <v/>
      </c>
      <c r="F1292" s="22">
        <f t="array" ref="F1292">IF($C1292="","",IFERROR(INDEX(DATA_MASTER!$L$2:$L$5000,MATCH($C1292,DATA_MASTER!$D$2:$D$5000,0)),""))</f>
        <v/>
      </c>
      <c r="G1292" s="24" t="n"/>
      <c r="H1292" s="24" t="n"/>
      <c r="I1292" s="30" t="n"/>
      <c r="J1292" s="23">
        <f>IF(OR($H1292="",$I1292=""),"",$H1292*$I1292)</f>
        <v/>
      </c>
      <c r="K1292" s="24" t="n"/>
      <c r="L1292" s="24" t="n"/>
      <c r="M1292" s="29" t="n"/>
      <c r="N1292" s="28" t="n"/>
      <c r="O1292" s="24" t="n"/>
      <c r="P1292" s="24" t="n"/>
      <c r="Q1292" s="24" t="n"/>
      <c r="R1292" s="24" t="n"/>
      <c r="S1292" s="22">
        <f>IF(AND($A1292="",$C1292=""),"",IF($A1292="","Thiếu mã đơn; ","")&amp;IF(COUNTIF($A$2:$A1292,$A1292)&gt;1,"Trùng mã đơn; ","")&amp;IF(ISNA(MATCH($C1292,DATA_MASTER!$D$2:$D$5000,0)),"SĐT chưa đăng ký hội viên; ","")&amp;IF(AND($L1292="Đã chuyển khoản",$M1292=""),"Thiếu ngày nhận CK; ",""))</f>
        <v/>
      </c>
      <c r="T1292" s="24" t="n"/>
    </row>
    <row r="1293" ht="14.25" customHeight="1" s="40">
      <c r="A1293" s="24" t="n"/>
      <c r="B1293" s="29" t="n"/>
      <c r="C1293" s="28" t="n"/>
      <c r="D1293" s="22">
        <f t="array" ref="D1293">IF($C1293="","",IFERROR(INDEX(DATA_MASTER!$C$2:$C$5000,MATCH($C1293,DATA_MASTER!$D$2:$D$5000,0)),""))</f>
        <v/>
      </c>
      <c r="E1293" s="22">
        <f t="array" ref="E1293">IF($C1293="","",IFERROR(INDEX(DATA_MASTER!$I$2:$I$5000,MATCH($C1293,DATA_MASTER!$D$2:$D$5000,0)),""))</f>
        <v/>
      </c>
      <c r="F1293" s="22">
        <f t="array" ref="F1293">IF($C1293="","",IFERROR(INDEX(DATA_MASTER!$L$2:$L$5000,MATCH($C1293,DATA_MASTER!$D$2:$D$5000,0)),""))</f>
        <v/>
      </c>
      <c r="G1293" s="24" t="n"/>
      <c r="H1293" s="24" t="n"/>
      <c r="I1293" s="30" t="n"/>
      <c r="J1293" s="23">
        <f>IF(OR($H1293="",$I1293=""),"",$H1293*$I1293)</f>
        <v/>
      </c>
      <c r="K1293" s="24" t="n"/>
      <c r="L1293" s="24" t="n"/>
      <c r="M1293" s="29" t="n"/>
      <c r="N1293" s="28" t="n"/>
      <c r="O1293" s="24" t="n"/>
      <c r="P1293" s="24" t="n"/>
      <c r="Q1293" s="24" t="n"/>
      <c r="R1293" s="24" t="n"/>
      <c r="S1293" s="22">
        <f>IF(AND($A1293="",$C1293=""),"",IF($A1293="","Thiếu mã đơn; ","")&amp;IF(COUNTIF($A$2:$A1293,$A1293)&gt;1,"Trùng mã đơn; ","")&amp;IF(ISNA(MATCH($C1293,DATA_MASTER!$D$2:$D$5000,0)),"SĐT chưa đăng ký hội viên; ","")&amp;IF(AND($L1293="Đã chuyển khoản",$M1293=""),"Thiếu ngày nhận CK; ",""))</f>
        <v/>
      </c>
      <c r="T1293" s="24" t="n"/>
    </row>
    <row r="1294" ht="14.25" customHeight="1" s="40">
      <c r="A1294" s="24" t="n"/>
      <c r="B1294" s="29" t="n"/>
      <c r="C1294" s="28" t="n"/>
      <c r="D1294" s="22">
        <f t="array" ref="D1294">IF($C1294="","",IFERROR(INDEX(DATA_MASTER!$C$2:$C$5000,MATCH($C1294,DATA_MASTER!$D$2:$D$5000,0)),""))</f>
        <v/>
      </c>
      <c r="E1294" s="22">
        <f t="array" ref="E1294">IF($C1294="","",IFERROR(INDEX(DATA_MASTER!$I$2:$I$5000,MATCH($C1294,DATA_MASTER!$D$2:$D$5000,0)),""))</f>
        <v/>
      </c>
      <c r="F1294" s="22">
        <f t="array" ref="F1294">IF($C1294="","",IFERROR(INDEX(DATA_MASTER!$L$2:$L$5000,MATCH($C1294,DATA_MASTER!$D$2:$D$5000,0)),""))</f>
        <v/>
      </c>
      <c r="G1294" s="24" t="n"/>
      <c r="H1294" s="24" t="n"/>
      <c r="I1294" s="30" t="n"/>
      <c r="J1294" s="23">
        <f>IF(OR($H1294="",$I1294=""),"",$H1294*$I1294)</f>
        <v/>
      </c>
      <c r="K1294" s="24" t="n"/>
      <c r="L1294" s="24" t="n"/>
      <c r="M1294" s="29" t="n"/>
      <c r="N1294" s="28" t="n"/>
      <c r="O1294" s="24" t="n"/>
      <c r="P1294" s="24" t="n"/>
      <c r="Q1294" s="24" t="n"/>
      <c r="R1294" s="24" t="n"/>
      <c r="S1294" s="22">
        <f>IF(AND($A1294="",$C1294=""),"",IF($A1294="","Thiếu mã đơn; ","")&amp;IF(COUNTIF($A$2:$A1294,$A1294)&gt;1,"Trùng mã đơn; ","")&amp;IF(ISNA(MATCH($C1294,DATA_MASTER!$D$2:$D$5000,0)),"SĐT chưa đăng ký hội viên; ","")&amp;IF(AND($L1294="Đã chuyển khoản",$M1294=""),"Thiếu ngày nhận CK; ",""))</f>
        <v/>
      </c>
      <c r="T1294" s="24" t="n"/>
    </row>
    <row r="1295" ht="14.25" customHeight="1" s="40">
      <c r="A1295" s="24" t="n"/>
      <c r="B1295" s="29" t="n"/>
      <c r="C1295" s="28" t="n"/>
      <c r="D1295" s="22">
        <f t="array" ref="D1295">IF($C1295="","",IFERROR(INDEX(DATA_MASTER!$C$2:$C$5000,MATCH($C1295,DATA_MASTER!$D$2:$D$5000,0)),""))</f>
        <v/>
      </c>
      <c r="E1295" s="22">
        <f t="array" ref="E1295">IF($C1295="","",IFERROR(INDEX(DATA_MASTER!$I$2:$I$5000,MATCH($C1295,DATA_MASTER!$D$2:$D$5000,0)),""))</f>
        <v/>
      </c>
      <c r="F1295" s="22">
        <f t="array" ref="F1295">IF($C1295="","",IFERROR(INDEX(DATA_MASTER!$L$2:$L$5000,MATCH($C1295,DATA_MASTER!$D$2:$D$5000,0)),""))</f>
        <v/>
      </c>
      <c r="G1295" s="24" t="n"/>
      <c r="H1295" s="24" t="n"/>
      <c r="I1295" s="30" t="n"/>
      <c r="J1295" s="23">
        <f>IF(OR($H1295="",$I1295=""),"",$H1295*$I1295)</f>
        <v/>
      </c>
      <c r="K1295" s="24" t="n"/>
      <c r="L1295" s="24" t="n"/>
      <c r="M1295" s="29" t="n"/>
      <c r="N1295" s="28" t="n"/>
      <c r="O1295" s="24" t="n"/>
      <c r="P1295" s="24" t="n"/>
      <c r="Q1295" s="24" t="n"/>
      <c r="R1295" s="24" t="n"/>
      <c r="S1295" s="22">
        <f>IF(AND($A1295="",$C1295=""),"",IF($A1295="","Thiếu mã đơn; ","")&amp;IF(COUNTIF($A$2:$A1295,$A1295)&gt;1,"Trùng mã đơn; ","")&amp;IF(ISNA(MATCH($C1295,DATA_MASTER!$D$2:$D$5000,0)),"SĐT chưa đăng ký hội viên; ","")&amp;IF(AND($L1295="Đã chuyển khoản",$M1295=""),"Thiếu ngày nhận CK; ",""))</f>
        <v/>
      </c>
      <c r="T1295" s="24" t="n"/>
    </row>
    <row r="1296" ht="14.25" customHeight="1" s="40">
      <c r="A1296" s="24" t="n"/>
      <c r="B1296" s="29" t="n"/>
      <c r="C1296" s="28" t="n"/>
      <c r="D1296" s="22">
        <f t="array" ref="D1296">IF($C1296="","",IFERROR(INDEX(DATA_MASTER!$C$2:$C$5000,MATCH($C1296,DATA_MASTER!$D$2:$D$5000,0)),""))</f>
        <v/>
      </c>
      <c r="E1296" s="22">
        <f t="array" ref="E1296">IF($C1296="","",IFERROR(INDEX(DATA_MASTER!$I$2:$I$5000,MATCH($C1296,DATA_MASTER!$D$2:$D$5000,0)),""))</f>
        <v/>
      </c>
      <c r="F1296" s="22">
        <f t="array" ref="F1296">IF($C1296="","",IFERROR(INDEX(DATA_MASTER!$L$2:$L$5000,MATCH($C1296,DATA_MASTER!$D$2:$D$5000,0)),""))</f>
        <v/>
      </c>
      <c r="G1296" s="24" t="n"/>
      <c r="H1296" s="24" t="n"/>
      <c r="I1296" s="30" t="n"/>
      <c r="J1296" s="23">
        <f>IF(OR($H1296="",$I1296=""),"",$H1296*$I1296)</f>
        <v/>
      </c>
      <c r="K1296" s="24" t="n"/>
      <c r="L1296" s="24" t="n"/>
      <c r="M1296" s="29" t="n"/>
      <c r="N1296" s="28" t="n"/>
      <c r="O1296" s="24" t="n"/>
      <c r="P1296" s="24" t="n"/>
      <c r="Q1296" s="24" t="n"/>
      <c r="R1296" s="24" t="n"/>
      <c r="S1296" s="22">
        <f>IF(AND($A1296="",$C1296=""),"",IF($A1296="","Thiếu mã đơn; ","")&amp;IF(COUNTIF($A$2:$A1296,$A1296)&gt;1,"Trùng mã đơn; ","")&amp;IF(ISNA(MATCH($C1296,DATA_MASTER!$D$2:$D$5000,0)),"SĐT chưa đăng ký hội viên; ","")&amp;IF(AND($L1296="Đã chuyển khoản",$M1296=""),"Thiếu ngày nhận CK; ",""))</f>
        <v/>
      </c>
      <c r="T1296" s="24" t="n"/>
    </row>
    <row r="1297" ht="14.25" customHeight="1" s="40">
      <c r="A1297" s="24" t="n"/>
      <c r="B1297" s="29" t="n"/>
      <c r="C1297" s="28" t="n"/>
      <c r="D1297" s="22">
        <f t="array" ref="D1297">IF($C1297="","",IFERROR(INDEX(DATA_MASTER!$C$2:$C$5000,MATCH($C1297,DATA_MASTER!$D$2:$D$5000,0)),""))</f>
        <v/>
      </c>
      <c r="E1297" s="22">
        <f t="array" ref="E1297">IF($C1297="","",IFERROR(INDEX(DATA_MASTER!$I$2:$I$5000,MATCH($C1297,DATA_MASTER!$D$2:$D$5000,0)),""))</f>
        <v/>
      </c>
      <c r="F1297" s="22">
        <f t="array" ref="F1297">IF($C1297="","",IFERROR(INDEX(DATA_MASTER!$L$2:$L$5000,MATCH($C1297,DATA_MASTER!$D$2:$D$5000,0)),""))</f>
        <v/>
      </c>
      <c r="G1297" s="24" t="n"/>
      <c r="H1297" s="24" t="n"/>
      <c r="I1297" s="30" t="n"/>
      <c r="J1297" s="23">
        <f>IF(OR($H1297="",$I1297=""),"",$H1297*$I1297)</f>
        <v/>
      </c>
      <c r="K1297" s="24" t="n"/>
      <c r="L1297" s="24" t="n"/>
      <c r="M1297" s="29" t="n"/>
      <c r="N1297" s="28" t="n"/>
      <c r="O1297" s="24" t="n"/>
      <c r="P1297" s="24" t="n"/>
      <c r="Q1297" s="24" t="n"/>
      <c r="R1297" s="24" t="n"/>
      <c r="S1297" s="22">
        <f>IF(AND($A1297="",$C1297=""),"",IF($A1297="","Thiếu mã đơn; ","")&amp;IF(COUNTIF($A$2:$A1297,$A1297)&gt;1,"Trùng mã đơn; ","")&amp;IF(ISNA(MATCH($C1297,DATA_MASTER!$D$2:$D$5000,0)),"SĐT chưa đăng ký hội viên; ","")&amp;IF(AND($L1297="Đã chuyển khoản",$M1297=""),"Thiếu ngày nhận CK; ",""))</f>
        <v/>
      </c>
      <c r="T1297" s="24" t="n"/>
    </row>
    <row r="1298" ht="14.25" customHeight="1" s="40">
      <c r="A1298" s="24" t="n"/>
      <c r="B1298" s="29" t="n"/>
      <c r="C1298" s="28" t="n"/>
      <c r="D1298" s="22">
        <f t="array" ref="D1298">IF($C1298="","",IFERROR(INDEX(DATA_MASTER!$C$2:$C$5000,MATCH($C1298,DATA_MASTER!$D$2:$D$5000,0)),""))</f>
        <v/>
      </c>
      <c r="E1298" s="22">
        <f t="array" ref="E1298">IF($C1298="","",IFERROR(INDEX(DATA_MASTER!$I$2:$I$5000,MATCH($C1298,DATA_MASTER!$D$2:$D$5000,0)),""))</f>
        <v/>
      </c>
      <c r="F1298" s="22">
        <f t="array" ref="F1298">IF($C1298="","",IFERROR(INDEX(DATA_MASTER!$L$2:$L$5000,MATCH($C1298,DATA_MASTER!$D$2:$D$5000,0)),""))</f>
        <v/>
      </c>
      <c r="G1298" s="24" t="n"/>
      <c r="H1298" s="24" t="n"/>
      <c r="I1298" s="30" t="n"/>
      <c r="J1298" s="23">
        <f>IF(OR($H1298="",$I1298=""),"",$H1298*$I1298)</f>
        <v/>
      </c>
      <c r="K1298" s="24" t="n"/>
      <c r="L1298" s="24" t="n"/>
      <c r="M1298" s="29" t="n"/>
      <c r="N1298" s="28" t="n"/>
      <c r="O1298" s="24" t="n"/>
      <c r="P1298" s="24" t="n"/>
      <c r="Q1298" s="24" t="n"/>
      <c r="R1298" s="24" t="n"/>
      <c r="S1298" s="22">
        <f>IF(AND($A1298="",$C1298=""),"",IF($A1298="","Thiếu mã đơn; ","")&amp;IF(COUNTIF($A$2:$A1298,$A1298)&gt;1,"Trùng mã đơn; ","")&amp;IF(ISNA(MATCH($C1298,DATA_MASTER!$D$2:$D$5000,0)),"SĐT chưa đăng ký hội viên; ","")&amp;IF(AND($L1298="Đã chuyển khoản",$M1298=""),"Thiếu ngày nhận CK; ",""))</f>
        <v/>
      </c>
      <c r="T1298" s="24" t="n"/>
    </row>
    <row r="1299" ht="14.25" customHeight="1" s="40">
      <c r="A1299" s="24" t="n"/>
      <c r="B1299" s="29" t="n"/>
      <c r="C1299" s="28" t="n"/>
      <c r="D1299" s="22">
        <f t="array" ref="D1299">IF($C1299="","",IFERROR(INDEX(DATA_MASTER!$C$2:$C$5000,MATCH($C1299,DATA_MASTER!$D$2:$D$5000,0)),""))</f>
        <v/>
      </c>
      <c r="E1299" s="22">
        <f t="array" ref="E1299">IF($C1299="","",IFERROR(INDEX(DATA_MASTER!$I$2:$I$5000,MATCH($C1299,DATA_MASTER!$D$2:$D$5000,0)),""))</f>
        <v/>
      </c>
      <c r="F1299" s="22">
        <f t="array" ref="F1299">IF($C1299="","",IFERROR(INDEX(DATA_MASTER!$L$2:$L$5000,MATCH($C1299,DATA_MASTER!$D$2:$D$5000,0)),""))</f>
        <v/>
      </c>
      <c r="G1299" s="24" t="n"/>
      <c r="H1299" s="24" t="n"/>
      <c r="I1299" s="30" t="n"/>
      <c r="J1299" s="23">
        <f>IF(OR($H1299="",$I1299=""),"",$H1299*$I1299)</f>
        <v/>
      </c>
      <c r="K1299" s="24" t="n"/>
      <c r="L1299" s="24" t="n"/>
      <c r="M1299" s="29" t="n"/>
      <c r="N1299" s="28" t="n"/>
      <c r="O1299" s="24" t="n"/>
      <c r="P1299" s="24" t="n"/>
      <c r="Q1299" s="24" t="n"/>
      <c r="R1299" s="24" t="n"/>
      <c r="S1299" s="22">
        <f>IF(AND($A1299="",$C1299=""),"",IF($A1299="","Thiếu mã đơn; ","")&amp;IF(COUNTIF($A$2:$A1299,$A1299)&gt;1,"Trùng mã đơn; ","")&amp;IF(ISNA(MATCH($C1299,DATA_MASTER!$D$2:$D$5000,0)),"SĐT chưa đăng ký hội viên; ","")&amp;IF(AND($L1299="Đã chuyển khoản",$M1299=""),"Thiếu ngày nhận CK; ",""))</f>
        <v/>
      </c>
      <c r="T1299" s="24" t="n"/>
    </row>
    <row r="1300" ht="14.25" customHeight="1" s="40">
      <c r="A1300" s="24" t="n"/>
      <c r="B1300" s="29" t="n"/>
      <c r="C1300" s="28" t="n"/>
      <c r="D1300" s="22">
        <f t="array" ref="D1300">IF($C1300="","",IFERROR(INDEX(DATA_MASTER!$C$2:$C$5000,MATCH($C1300,DATA_MASTER!$D$2:$D$5000,0)),""))</f>
        <v/>
      </c>
      <c r="E1300" s="22">
        <f t="array" ref="E1300">IF($C1300="","",IFERROR(INDEX(DATA_MASTER!$I$2:$I$5000,MATCH($C1300,DATA_MASTER!$D$2:$D$5000,0)),""))</f>
        <v/>
      </c>
      <c r="F1300" s="22">
        <f t="array" ref="F1300">IF($C1300="","",IFERROR(INDEX(DATA_MASTER!$L$2:$L$5000,MATCH($C1300,DATA_MASTER!$D$2:$D$5000,0)),""))</f>
        <v/>
      </c>
      <c r="G1300" s="24" t="n"/>
      <c r="H1300" s="24" t="n"/>
      <c r="I1300" s="30" t="n"/>
      <c r="J1300" s="23">
        <f>IF(OR($H1300="",$I1300=""),"",$H1300*$I1300)</f>
        <v/>
      </c>
      <c r="K1300" s="24" t="n"/>
      <c r="L1300" s="24" t="n"/>
      <c r="M1300" s="29" t="n"/>
      <c r="N1300" s="28" t="n"/>
      <c r="O1300" s="24" t="n"/>
      <c r="P1300" s="24" t="n"/>
      <c r="Q1300" s="24" t="n"/>
      <c r="R1300" s="24" t="n"/>
      <c r="S1300" s="22">
        <f>IF(AND($A1300="",$C1300=""),"",IF($A1300="","Thiếu mã đơn; ","")&amp;IF(COUNTIF($A$2:$A1300,$A1300)&gt;1,"Trùng mã đơn; ","")&amp;IF(ISNA(MATCH($C1300,DATA_MASTER!$D$2:$D$5000,0)),"SĐT chưa đăng ký hội viên; ","")&amp;IF(AND($L1300="Đã chuyển khoản",$M1300=""),"Thiếu ngày nhận CK; ",""))</f>
        <v/>
      </c>
      <c r="T1300" s="24" t="n"/>
    </row>
    <row r="1301" ht="14.25" customHeight="1" s="40">
      <c r="A1301" s="24" t="n"/>
      <c r="B1301" s="29" t="n"/>
      <c r="C1301" s="28" t="n"/>
      <c r="D1301" s="22">
        <f t="array" ref="D1301">IF($C1301="","",IFERROR(INDEX(DATA_MASTER!$C$2:$C$5000,MATCH($C1301,DATA_MASTER!$D$2:$D$5000,0)),""))</f>
        <v/>
      </c>
      <c r="E1301" s="22">
        <f t="array" ref="E1301">IF($C1301="","",IFERROR(INDEX(DATA_MASTER!$I$2:$I$5000,MATCH($C1301,DATA_MASTER!$D$2:$D$5000,0)),""))</f>
        <v/>
      </c>
      <c r="F1301" s="22">
        <f t="array" ref="F1301">IF($C1301="","",IFERROR(INDEX(DATA_MASTER!$L$2:$L$5000,MATCH($C1301,DATA_MASTER!$D$2:$D$5000,0)),""))</f>
        <v/>
      </c>
      <c r="G1301" s="24" t="n"/>
      <c r="H1301" s="24" t="n"/>
      <c r="I1301" s="30" t="n"/>
      <c r="J1301" s="23">
        <f>IF(OR($H1301="",$I1301=""),"",$H1301*$I1301)</f>
        <v/>
      </c>
      <c r="K1301" s="24" t="n"/>
      <c r="L1301" s="24" t="n"/>
      <c r="M1301" s="29" t="n"/>
      <c r="N1301" s="28" t="n"/>
      <c r="O1301" s="24" t="n"/>
      <c r="P1301" s="24" t="n"/>
      <c r="Q1301" s="24" t="n"/>
      <c r="R1301" s="24" t="n"/>
      <c r="S1301" s="22">
        <f>IF(AND($A1301="",$C1301=""),"",IF($A1301="","Thiếu mã đơn; ","")&amp;IF(COUNTIF($A$2:$A1301,$A1301)&gt;1,"Trùng mã đơn; ","")&amp;IF(ISNA(MATCH($C1301,DATA_MASTER!$D$2:$D$5000,0)),"SĐT chưa đăng ký hội viên; ","")&amp;IF(AND($L1301="Đã chuyển khoản",$M1301=""),"Thiếu ngày nhận CK; ",""))</f>
        <v/>
      </c>
      <c r="T1301" s="24" t="n"/>
    </row>
    <row r="1302" ht="14.25" customHeight="1" s="40">
      <c r="A1302" s="24" t="n"/>
      <c r="B1302" s="29" t="n"/>
      <c r="C1302" s="28" t="n"/>
      <c r="D1302" s="22">
        <f t="array" ref="D1302">IF($C1302="","",IFERROR(INDEX(DATA_MASTER!$C$2:$C$5000,MATCH($C1302,DATA_MASTER!$D$2:$D$5000,0)),""))</f>
        <v/>
      </c>
      <c r="E1302" s="22">
        <f t="array" ref="E1302">IF($C1302="","",IFERROR(INDEX(DATA_MASTER!$I$2:$I$5000,MATCH($C1302,DATA_MASTER!$D$2:$D$5000,0)),""))</f>
        <v/>
      </c>
      <c r="F1302" s="22">
        <f t="array" ref="F1302">IF($C1302="","",IFERROR(INDEX(DATA_MASTER!$L$2:$L$5000,MATCH($C1302,DATA_MASTER!$D$2:$D$5000,0)),""))</f>
        <v/>
      </c>
      <c r="G1302" s="24" t="n"/>
      <c r="H1302" s="24" t="n"/>
      <c r="I1302" s="30" t="n"/>
      <c r="J1302" s="23">
        <f>IF(OR($H1302="",$I1302=""),"",$H1302*$I1302)</f>
        <v/>
      </c>
      <c r="K1302" s="24" t="n"/>
      <c r="L1302" s="24" t="n"/>
      <c r="M1302" s="29" t="n"/>
      <c r="N1302" s="28" t="n"/>
      <c r="O1302" s="24" t="n"/>
      <c r="P1302" s="24" t="n"/>
      <c r="Q1302" s="24" t="n"/>
      <c r="R1302" s="24" t="n"/>
      <c r="S1302" s="22">
        <f>IF(AND($A1302="",$C1302=""),"",IF($A1302="","Thiếu mã đơn; ","")&amp;IF(COUNTIF($A$2:$A1302,$A1302)&gt;1,"Trùng mã đơn; ","")&amp;IF(ISNA(MATCH($C1302,DATA_MASTER!$D$2:$D$5000,0)),"SĐT chưa đăng ký hội viên; ","")&amp;IF(AND($L1302="Đã chuyển khoản",$M1302=""),"Thiếu ngày nhận CK; ",""))</f>
        <v/>
      </c>
      <c r="T1302" s="24" t="n"/>
    </row>
    <row r="1303" ht="14.25" customHeight="1" s="40">
      <c r="A1303" s="24" t="n"/>
      <c r="B1303" s="29" t="n"/>
      <c r="C1303" s="28" t="n"/>
      <c r="D1303" s="22">
        <f t="array" ref="D1303">IF($C1303="","",IFERROR(INDEX(DATA_MASTER!$C$2:$C$5000,MATCH($C1303,DATA_MASTER!$D$2:$D$5000,0)),""))</f>
        <v/>
      </c>
      <c r="E1303" s="22">
        <f t="array" ref="E1303">IF($C1303="","",IFERROR(INDEX(DATA_MASTER!$I$2:$I$5000,MATCH($C1303,DATA_MASTER!$D$2:$D$5000,0)),""))</f>
        <v/>
      </c>
      <c r="F1303" s="22">
        <f t="array" ref="F1303">IF($C1303="","",IFERROR(INDEX(DATA_MASTER!$L$2:$L$5000,MATCH($C1303,DATA_MASTER!$D$2:$D$5000,0)),""))</f>
        <v/>
      </c>
      <c r="G1303" s="24" t="n"/>
      <c r="H1303" s="24" t="n"/>
      <c r="I1303" s="30" t="n"/>
      <c r="J1303" s="23">
        <f>IF(OR($H1303="",$I1303=""),"",$H1303*$I1303)</f>
        <v/>
      </c>
      <c r="K1303" s="24" t="n"/>
      <c r="L1303" s="24" t="n"/>
      <c r="M1303" s="29" t="n"/>
      <c r="N1303" s="28" t="n"/>
      <c r="O1303" s="24" t="n"/>
      <c r="P1303" s="24" t="n"/>
      <c r="Q1303" s="24" t="n"/>
      <c r="R1303" s="24" t="n"/>
      <c r="S1303" s="22">
        <f>IF(AND($A1303="",$C1303=""),"",IF($A1303="","Thiếu mã đơn; ","")&amp;IF(COUNTIF($A$2:$A1303,$A1303)&gt;1,"Trùng mã đơn; ","")&amp;IF(ISNA(MATCH($C1303,DATA_MASTER!$D$2:$D$5000,0)),"SĐT chưa đăng ký hội viên; ","")&amp;IF(AND($L1303="Đã chuyển khoản",$M1303=""),"Thiếu ngày nhận CK; ",""))</f>
        <v/>
      </c>
      <c r="T1303" s="24" t="n"/>
    </row>
    <row r="1304" ht="14.25" customHeight="1" s="40">
      <c r="A1304" s="24" t="n"/>
      <c r="B1304" s="29" t="n"/>
      <c r="C1304" s="28" t="n"/>
      <c r="D1304" s="22">
        <f t="array" ref="D1304">IF($C1304="","",IFERROR(INDEX(DATA_MASTER!$C$2:$C$5000,MATCH($C1304,DATA_MASTER!$D$2:$D$5000,0)),""))</f>
        <v/>
      </c>
      <c r="E1304" s="22">
        <f t="array" ref="E1304">IF($C1304="","",IFERROR(INDEX(DATA_MASTER!$I$2:$I$5000,MATCH($C1304,DATA_MASTER!$D$2:$D$5000,0)),""))</f>
        <v/>
      </c>
      <c r="F1304" s="22">
        <f t="array" ref="F1304">IF($C1304="","",IFERROR(INDEX(DATA_MASTER!$L$2:$L$5000,MATCH($C1304,DATA_MASTER!$D$2:$D$5000,0)),""))</f>
        <v/>
      </c>
      <c r="G1304" s="24" t="n"/>
      <c r="H1304" s="24" t="n"/>
      <c r="I1304" s="30" t="n"/>
      <c r="J1304" s="23">
        <f>IF(OR($H1304="",$I1304=""),"",$H1304*$I1304)</f>
        <v/>
      </c>
      <c r="K1304" s="24" t="n"/>
      <c r="L1304" s="24" t="n"/>
      <c r="M1304" s="29" t="n"/>
      <c r="N1304" s="28" t="n"/>
      <c r="O1304" s="24" t="n"/>
      <c r="P1304" s="24" t="n"/>
      <c r="Q1304" s="24" t="n"/>
      <c r="R1304" s="24" t="n"/>
      <c r="S1304" s="22">
        <f>IF(AND($A1304="",$C1304=""),"",IF($A1304="","Thiếu mã đơn; ","")&amp;IF(COUNTIF($A$2:$A1304,$A1304)&gt;1,"Trùng mã đơn; ","")&amp;IF(ISNA(MATCH($C1304,DATA_MASTER!$D$2:$D$5000,0)),"SĐT chưa đăng ký hội viên; ","")&amp;IF(AND($L1304="Đã chuyển khoản",$M1304=""),"Thiếu ngày nhận CK; ",""))</f>
        <v/>
      </c>
      <c r="T1304" s="24" t="n"/>
    </row>
    <row r="1305" ht="14.25" customHeight="1" s="40">
      <c r="A1305" s="24" t="n"/>
      <c r="B1305" s="29" t="n"/>
      <c r="C1305" s="28" t="n"/>
      <c r="D1305" s="22">
        <f t="array" ref="D1305">IF($C1305="","",IFERROR(INDEX(DATA_MASTER!$C$2:$C$5000,MATCH($C1305,DATA_MASTER!$D$2:$D$5000,0)),""))</f>
        <v/>
      </c>
      <c r="E1305" s="22">
        <f t="array" ref="E1305">IF($C1305="","",IFERROR(INDEX(DATA_MASTER!$I$2:$I$5000,MATCH($C1305,DATA_MASTER!$D$2:$D$5000,0)),""))</f>
        <v/>
      </c>
      <c r="F1305" s="22">
        <f t="array" ref="F1305">IF($C1305="","",IFERROR(INDEX(DATA_MASTER!$L$2:$L$5000,MATCH($C1305,DATA_MASTER!$D$2:$D$5000,0)),""))</f>
        <v/>
      </c>
      <c r="G1305" s="24" t="n"/>
      <c r="H1305" s="24" t="n"/>
      <c r="I1305" s="30" t="n"/>
      <c r="J1305" s="23">
        <f>IF(OR($H1305="",$I1305=""),"",$H1305*$I1305)</f>
        <v/>
      </c>
      <c r="K1305" s="24" t="n"/>
      <c r="L1305" s="24" t="n"/>
      <c r="M1305" s="29" t="n"/>
      <c r="N1305" s="28" t="n"/>
      <c r="O1305" s="24" t="n"/>
      <c r="P1305" s="24" t="n"/>
      <c r="Q1305" s="24" t="n"/>
      <c r="R1305" s="24" t="n"/>
      <c r="S1305" s="22">
        <f>IF(AND($A1305="",$C1305=""),"",IF($A1305="","Thiếu mã đơn; ","")&amp;IF(COUNTIF($A$2:$A1305,$A1305)&gt;1,"Trùng mã đơn; ","")&amp;IF(ISNA(MATCH($C1305,DATA_MASTER!$D$2:$D$5000,0)),"SĐT chưa đăng ký hội viên; ","")&amp;IF(AND($L1305="Đã chuyển khoản",$M1305=""),"Thiếu ngày nhận CK; ",""))</f>
        <v/>
      </c>
      <c r="T1305" s="24" t="n"/>
    </row>
    <row r="1306" ht="14.25" customHeight="1" s="40">
      <c r="A1306" s="24" t="n"/>
      <c r="B1306" s="29" t="n"/>
      <c r="C1306" s="28" t="n"/>
      <c r="D1306" s="22">
        <f t="array" ref="D1306">IF($C1306="","",IFERROR(INDEX(DATA_MASTER!$C$2:$C$5000,MATCH($C1306,DATA_MASTER!$D$2:$D$5000,0)),""))</f>
        <v/>
      </c>
      <c r="E1306" s="22">
        <f t="array" ref="E1306">IF($C1306="","",IFERROR(INDEX(DATA_MASTER!$I$2:$I$5000,MATCH($C1306,DATA_MASTER!$D$2:$D$5000,0)),""))</f>
        <v/>
      </c>
      <c r="F1306" s="22">
        <f t="array" ref="F1306">IF($C1306="","",IFERROR(INDEX(DATA_MASTER!$L$2:$L$5000,MATCH($C1306,DATA_MASTER!$D$2:$D$5000,0)),""))</f>
        <v/>
      </c>
      <c r="G1306" s="24" t="n"/>
      <c r="H1306" s="24" t="n"/>
      <c r="I1306" s="30" t="n"/>
      <c r="J1306" s="23">
        <f>IF(OR($H1306="",$I1306=""),"",$H1306*$I1306)</f>
        <v/>
      </c>
      <c r="K1306" s="24" t="n"/>
      <c r="L1306" s="24" t="n"/>
      <c r="M1306" s="29" t="n"/>
      <c r="N1306" s="28" t="n"/>
      <c r="O1306" s="24" t="n"/>
      <c r="P1306" s="24" t="n"/>
      <c r="Q1306" s="24" t="n"/>
      <c r="R1306" s="24" t="n"/>
      <c r="S1306" s="22">
        <f>IF(AND($A1306="",$C1306=""),"",IF($A1306="","Thiếu mã đơn; ","")&amp;IF(COUNTIF($A$2:$A1306,$A1306)&gt;1,"Trùng mã đơn; ","")&amp;IF(ISNA(MATCH($C1306,DATA_MASTER!$D$2:$D$5000,0)),"SĐT chưa đăng ký hội viên; ","")&amp;IF(AND($L1306="Đã chuyển khoản",$M1306=""),"Thiếu ngày nhận CK; ",""))</f>
        <v/>
      </c>
      <c r="T1306" s="24" t="n"/>
    </row>
    <row r="1307" ht="14.25" customHeight="1" s="40">
      <c r="A1307" s="24" t="n"/>
      <c r="B1307" s="29" t="n"/>
      <c r="C1307" s="28" t="n"/>
      <c r="D1307" s="22">
        <f t="array" ref="D1307">IF($C1307="","",IFERROR(INDEX(DATA_MASTER!$C$2:$C$5000,MATCH($C1307,DATA_MASTER!$D$2:$D$5000,0)),""))</f>
        <v/>
      </c>
      <c r="E1307" s="22">
        <f t="array" ref="E1307">IF($C1307="","",IFERROR(INDEX(DATA_MASTER!$I$2:$I$5000,MATCH($C1307,DATA_MASTER!$D$2:$D$5000,0)),""))</f>
        <v/>
      </c>
      <c r="F1307" s="22">
        <f t="array" ref="F1307">IF($C1307="","",IFERROR(INDEX(DATA_MASTER!$L$2:$L$5000,MATCH($C1307,DATA_MASTER!$D$2:$D$5000,0)),""))</f>
        <v/>
      </c>
      <c r="G1307" s="24" t="n"/>
      <c r="H1307" s="24" t="n"/>
      <c r="I1307" s="30" t="n"/>
      <c r="J1307" s="23">
        <f>IF(OR($H1307="",$I1307=""),"",$H1307*$I1307)</f>
        <v/>
      </c>
      <c r="K1307" s="24" t="n"/>
      <c r="L1307" s="24" t="n"/>
      <c r="M1307" s="29" t="n"/>
      <c r="N1307" s="28" t="n"/>
      <c r="O1307" s="24" t="n"/>
      <c r="P1307" s="24" t="n"/>
      <c r="Q1307" s="24" t="n"/>
      <c r="R1307" s="24" t="n"/>
      <c r="S1307" s="22">
        <f>IF(AND($A1307="",$C1307=""),"",IF($A1307="","Thiếu mã đơn; ","")&amp;IF(COUNTIF($A$2:$A1307,$A1307)&gt;1,"Trùng mã đơn; ","")&amp;IF(ISNA(MATCH($C1307,DATA_MASTER!$D$2:$D$5000,0)),"SĐT chưa đăng ký hội viên; ","")&amp;IF(AND($L1307="Đã chuyển khoản",$M1307=""),"Thiếu ngày nhận CK; ",""))</f>
        <v/>
      </c>
      <c r="T1307" s="24" t="n"/>
    </row>
    <row r="1308" ht="14.25" customHeight="1" s="40">
      <c r="A1308" s="24" t="n"/>
      <c r="B1308" s="29" t="n"/>
      <c r="C1308" s="28" t="n"/>
      <c r="D1308" s="22">
        <f t="array" ref="D1308">IF($C1308="","",IFERROR(INDEX(DATA_MASTER!$C$2:$C$5000,MATCH($C1308,DATA_MASTER!$D$2:$D$5000,0)),""))</f>
        <v/>
      </c>
      <c r="E1308" s="22">
        <f t="array" ref="E1308">IF($C1308="","",IFERROR(INDEX(DATA_MASTER!$I$2:$I$5000,MATCH($C1308,DATA_MASTER!$D$2:$D$5000,0)),""))</f>
        <v/>
      </c>
      <c r="F1308" s="22">
        <f t="array" ref="F1308">IF($C1308="","",IFERROR(INDEX(DATA_MASTER!$L$2:$L$5000,MATCH($C1308,DATA_MASTER!$D$2:$D$5000,0)),""))</f>
        <v/>
      </c>
      <c r="G1308" s="24" t="n"/>
      <c r="H1308" s="24" t="n"/>
      <c r="I1308" s="30" t="n"/>
      <c r="J1308" s="23">
        <f>IF(OR($H1308="",$I1308=""),"",$H1308*$I1308)</f>
        <v/>
      </c>
      <c r="K1308" s="24" t="n"/>
      <c r="L1308" s="24" t="n"/>
      <c r="M1308" s="29" t="n"/>
      <c r="N1308" s="28" t="n"/>
      <c r="O1308" s="24" t="n"/>
      <c r="P1308" s="24" t="n"/>
      <c r="Q1308" s="24" t="n"/>
      <c r="R1308" s="24" t="n"/>
      <c r="S1308" s="22">
        <f>IF(AND($A1308="",$C1308=""),"",IF($A1308="","Thiếu mã đơn; ","")&amp;IF(COUNTIF($A$2:$A1308,$A1308)&gt;1,"Trùng mã đơn; ","")&amp;IF(ISNA(MATCH($C1308,DATA_MASTER!$D$2:$D$5000,0)),"SĐT chưa đăng ký hội viên; ","")&amp;IF(AND($L1308="Đã chuyển khoản",$M1308=""),"Thiếu ngày nhận CK; ",""))</f>
        <v/>
      </c>
      <c r="T1308" s="24" t="n"/>
    </row>
    <row r="1309" ht="14.25" customHeight="1" s="40">
      <c r="A1309" s="24" t="n"/>
      <c r="B1309" s="29" t="n"/>
      <c r="C1309" s="28" t="n"/>
      <c r="D1309" s="22">
        <f t="array" ref="D1309">IF($C1309="","",IFERROR(INDEX(DATA_MASTER!$C$2:$C$5000,MATCH($C1309,DATA_MASTER!$D$2:$D$5000,0)),""))</f>
        <v/>
      </c>
      <c r="E1309" s="22">
        <f t="array" ref="E1309">IF($C1309="","",IFERROR(INDEX(DATA_MASTER!$I$2:$I$5000,MATCH($C1309,DATA_MASTER!$D$2:$D$5000,0)),""))</f>
        <v/>
      </c>
      <c r="F1309" s="22">
        <f t="array" ref="F1309">IF($C1309="","",IFERROR(INDEX(DATA_MASTER!$L$2:$L$5000,MATCH($C1309,DATA_MASTER!$D$2:$D$5000,0)),""))</f>
        <v/>
      </c>
      <c r="G1309" s="24" t="n"/>
      <c r="H1309" s="24" t="n"/>
      <c r="I1309" s="30" t="n"/>
      <c r="J1309" s="23">
        <f>IF(OR($H1309="",$I1309=""),"",$H1309*$I1309)</f>
        <v/>
      </c>
      <c r="K1309" s="24" t="n"/>
      <c r="L1309" s="24" t="n"/>
      <c r="M1309" s="29" t="n"/>
      <c r="N1309" s="28" t="n"/>
      <c r="O1309" s="24" t="n"/>
      <c r="P1309" s="24" t="n"/>
      <c r="Q1309" s="24" t="n"/>
      <c r="R1309" s="24" t="n"/>
      <c r="S1309" s="22">
        <f>IF(AND($A1309="",$C1309=""),"",IF($A1309="","Thiếu mã đơn; ","")&amp;IF(COUNTIF($A$2:$A1309,$A1309)&gt;1,"Trùng mã đơn; ","")&amp;IF(ISNA(MATCH($C1309,DATA_MASTER!$D$2:$D$5000,0)),"SĐT chưa đăng ký hội viên; ","")&amp;IF(AND($L1309="Đã chuyển khoản",$M1309=""),"Thiếu ngày nhận CK; ",""))</f>
        <v/>
      </c>
      <c r="T1309" s="24" t="n"/>
    </row>
    <row r="1310" ht="14.25" customHeight="1" s="40">
      <c r="A1310" s="24" t="n"/>
      <c r="B1310" s="29" t="n"/>
      <c r="C1310" s="28" t="n"/>
      <c r="D1310" s="22">
        <f t="array" ref="D1310">IF($C1310="","",IFERROR(INDEX(DATA_MASTER!$C$2:$C$5000,MATCH($C1310,DATA_MASTER!$D$2:$D$5000,0)),""))</f>
        <v/>
      </c>
      <c r="E1310" s="22">
        <f t="array" ref="E1310">IF($C1310="","",IFERROR(INDEX(DATA_MASTER!$I$2:$I$5000,MATCH($C1310,DATA_MASTER!$D$2:$D$5000,0)),""))</f>
        <v/>
      </c>
      <c r="F1310" s="22">
        <f t="array" ref="F1310">IF($C1310="","",IFERROR(INDEX(DATA_MASTER!$L$2:$L$5000,MATCH($C1310,DATA_MASTER!$D$2:$D$5000,0)),""))</f>
        <v/>
      </c>
      <c r="G1310" s="24" t="n"/>
      <c r="H1310" s="24" t="n"/>
      <c r="I1310" s="30" t="n"/>
      <c r="J1310" s="23">
        <f>IF(OR($H1310="",$I1310=""),"",$H1310*$I1310)</f>
        <v/>
      </c>
      <c r="K1310" s="24" t="n"/>
      <c r="L1310" s="24" t="n"/>
      <c r="M1310" s="29" t="n"/>
      <c r="N1310" s="28" t="n"/>
      <c r="O1310" s="24" t="n"/>
      <c r="P1310" s="24" t="n"/>
      <c r="Q1310" s="24" t="n"/>
      <c r="R1310" s="24" t="n"/>
      <c r="S1310" s="22">
        <f>IF(AND($A1310="",$C1310=""),"",IF($A1310="","Thiếu mã đơn; ","")&amp;IF(COUNTIF($A$2:$A1310,$A1310)&gt;1,"Trùng mã đơn; ","")&amp;IF(ISNA(MATCH($C1310,DATA_MASTER!$D$2:$D$5000,0)),"SĐT chưa đăng ký hội viên; ","")&amp;IF(AND($L1310="Đã chuyển khoản",$M1310=""),"Thiếu ngày nhận CK; ",""))</f>
        <v/>
      </c>
      <c r="T1310" s="24" t="n"/>
    </row>
    <row r="1311" ht="14.25" customHeight="1" s="40">
      <c r="A1311" s="24" t="n"/>
      <c r="B1311" s="29" t="n"/>
      <c r="C1311" s="28" t="n"/>
      <c r="D1311" s="22">
        <f t="array" ref="D1311">IF($C1311="","",IFERROR(INDEX(DATA_MASTER!$C$2:$C$5000,MATCH($C1311,DATA_MASTER!$D$2:$D$5000,0)),""))</f>
        <v/>
      </c>
      <c r="E1311" s="22">
        <f t="array" ref="E1311">IF($C1311="","",IFERROR(INDEX(DATA_MASTER!$I$2:$I$5000,MATCH($C1311,DATA_MASTER!$D$2:$D$5000,0)),""))</f>
        <v/>
      </c>
      <c r="F1311" s="22">
        <f t="array" ref="F1311">IF($C1311="","",IFERROR(INDEX(DATA_MASTER!$L$2:$L$5000,MATCH($C1311,DATA_MASTER!$D$2:$D$5000,0)),""))</f>
        <v/>
      </c>
      <c r="G1311" s="24" t="n"/>
      <c r="H1311" s="24" t="n"/>
      <c r="I1311" s="30" t="n"/>
      <c r="J1311" s="23">
        <f>IF(OR($H1311="",$I1311=""),"",$H1311*$I1311)</f>
        <v/>
      </c>
      <c r="K1311" s="24" t="n"/>
      <c r="L1311" s="24" t="n"/>
      <c r="M1311" s="29" t="n"/>
      <c r="N1311" s="28" t="n"/>
      <c r="O1311" s="24" t="n"/>
      <c r="P1311" s="24" t="n"/>
      <c r="Q1311" s="24" t="n"/>
      <c r="R1311" s="24" t="n"/>
      <c r="S1311" s="22">
        <f>IF(AND($A1311="",$C1311=""),"",IF($A1311="","Thiếu mã đơn; ","")&amp;IF(COUNTIF($A$2:$A1311,$A1311)&gt;1,"Trùng mã đơn; ","")&amp;IF(ISNA(MATCH($C1311,DATA_MASTER!$D$2:$D$5000,0)),"SĐT chưa đăng ký hội viên; ","")&amp;IF(AND($L1311="Đã chuyển khoản",$M1311=""),"Thiếu ngày nhận CK; ",""))</f>
        <v/>
      </c>
      <c r="T1311" s="24" t="n"/>
    </row>
    <row r="1312" ht="14.25" customHeight="1" s="40">
      <c r="A1312" s="24" t="n"/>
      <c r="B1312" s="29" t="n"/>
      <c r="C1312" s="28" t="n"/>
      <c r="D1312" s="22">
        <f t="array" ref="D1312">IF($C1312="","",IFERROR(INDEX(DATA_MASTER!$C$2:$C$5000,MATCH($C1312,DATA_MASTER!$D$2:$D$5000,0)),""))</f>
        <v/>
      </c>
      <c r="E1312" s="22">
        <f t="array" ref="E1312">IF($C1312="","",IFERROR(INDEX(DATA_MASTER!$I$2:$I$5000,MATCH($C1312,DATA_MASTER!$D$2:$D$5000,0)),""))</f>
        <v/>
      </c>
      <c r="F1312" s="22">
        <f t="array" ref="F1312">IF($C1312="","",IFERROR(INDEX(DATA_MASTER!$L$2:$L$5000,MATCH($C1312,DATA_MASTER!$D$2:$D$5000,0)),""))</f>
        <v/>
      </c>
      <c r="G1312" s="24" t="n"/>
      <c r="H1312" s="24" t="n"/>
      <c r="I1312" s="30" t="n"/>
      <c r="J1312" s="23">
        <f>IF(OR($H1312="",$I1312=""),"",$H1312*$I1312)</f>
        <v/>
      </c>
      <c r="K1312" s="24" t="n"/>
      <c r="L1312" s="24" t="n"/>
      <c r="M1312" s="29" t="n"/>
      <c r="N1312" s="28" t="n"/>
      <c r="O1312" s="24" t="n"/>
      <c r="P1312" s="24" t="n"/>
      <c r="Q1312" s="24" t="n"/>
      <c r="R1312" s="24" t="n"/>
      <c r="S1312" s="22">
        <f>IF(AND($A1312="",$C1312=""),"",IF($A1312="","Thiếu mã đơn; ","")&amp;IF(COUNTIF($A$2:$A1312,$A1312)&gt;1,"Trùng mã đơn; ","")&amp;IF(ISNA(MATCH($C1312,DATA_MASTER!$D$2:$D$5000,0)),"SĐT chưa đăng ký hội viên; ","")&amp;IF(AND($L1312="Đã chuyển khoản",$M1312=""),"Thiếu ngày nhận CK; ",""))</f>
        <v/>
      </c>
      <c r="T1312" s="24" t="n"/>
    </row>
    <row r="1313" ht="14.25" customHeight="1" s="40">
      <c r="A1313" s="24" t="n"/>
      <c r="B1313" s="29" t="n"/>
      <c r="C1313" s="28" t="n"/>
      <c r="D1313" s="22">
        <f t="array" ref="D1313">IF($C1313="","",IFERROR(INDEX(DATA_MASTER!$C$2:$C$5000,MATCH($C1313,DATA_MASTER!$D$2:$D$5000,0)),""))</f>
        <v/>
      </c>
      <c r="E1313" s="22">
        <f t="array" ref="E1313">IF($C1313="","",IFERROR(INDEX(DATA_MASTER!$I$2:$I$5000,MATCH($C1313,DATA_MASTER!$D$2:$D$5000,0)),""))</f>
        <v/>
      </c>
      <c r="F1313" s="22">
        <f t="array" ref="F1313">IF($C1313="","",IFERROR(INDEX(DATA_MASTER!$L$2:$L$5000,MATCH($C1313,DATA_MASTER!$D$2:$D$5000,0)),""))</f>
        <v/>
      </c>
      <c r="G1313" s="24" t="n"/>
      <c r="H1313" s="24" t="n"/>
      <c r="I1313" s="30" t="n"/>
      <c r="J1313" s="23">
        <f>IF(OR($H1313="",$I1313=""),"",$H1313*$I1313)</f>
        <v/>
      </c>
      <c r="K1313" s="24" t="n"/>
      <c r="L1313" s="24" t="n"/>
      <c r="M1313" s="29" t="n"/>
      <c r="N1313" s="28" t="n"/>
      <c r="O1313" s="24" t="n"/>
      <c r="P1313" s="24" t="n"/>
      <c r="Q1313" s="24" t="n"/>
      <c r="R1313" s="24" t="n"/>
      <c r="S1313" s="22">
        <f>IF(AND($A1313="",$C1313=""),"",IF($A1313="","Thiếu mã đơn; ","")&amp;IF(COUNTIF($A$2:$A1313,$A1313)&gt;1,"Trùng mã đơn; ","")&amp;IF(ISNA(MATCH($C1313,DATA_MASTER!$D$2:$D$5000,0)),"SĐT chưa đăng ký hội viên; ","")&amp;IF(AND($L1313="Đã chuyển khoản",$M1313=""),"Thiếu ngày nhận CK; ",""))</f>
        <v/>
      </c>
      <c r="T1313" s="24" t="n"/>
    </row>
    <row r="1314" ht="14.25" customHeight="1" s="40">
      <c r="A1314" s="24" t="n"/>
      <c r="B1314" s="29" t="n"/>
      <c r="C1314" s="28" t="n"/>
      <c r="D1314" s="22">
        <f t="array" ref="D1314">IF($C1314="","",IFERROR(INDEX(DATA_MASTER!$C$2:$C$5000,MATCH($C1314,DATA_MASTER!$D$2:$D$5000,0)),""))</f>
        <v/>
      </c>
      <c r="E1314" s="22">
        <f t="array" ref="E1314">IF($C1314="","",IFERROR(INDEX(DATA_MASTER!$I$2:$I$5000,MATCH($C1314,DATA_MASTER!$D$2:$D$5000,0)),""))</f>
        <v/>
      </c>
      <c r="F1314" s="22">
        <f t="array" ref="F1314">IF($C1314="","",IFERROR(INDEX(DATA_MASTER!$L$2:$L$5000,MATCH($C1314,DATA_MASTER!$D$2:$D$5000,0)),""))</f>
        <v/>
      </c>
      <c r="G1314" s="24" t="n"/>
      <c r="H1314" s="24" t="n"/>
      <c r="I1314" s="30" t="n"/>
      <c r="J1314" s="23">
        <f>IF(OR($H1314="",$I1314=""),"",$H1314*$I1314)</f>
        <v/>
      </c>
      <c r="K1314" s="24" t="n"/>
      <c r="L1314" s="24" t="n"/>
      <c r="M1314" s="29" t="n"/>
      <c r="N1314" s="28" t="n"/>
      <c r="O1314" s="24" t="n"/>
      <c r="P1314" s="24" t="n"/>
      <c r="Q1314" s="24" t="n"/>
      <c r="R1314" s="24" t="n"/>
      <c r="S1314" s="22">
        <f>IF(AND($A1314="",$C1314=""),"",IF($A1314="","Thiếu mã đơn; ","")&amp;IF(COUNTIF($A$2:$A1314,$A1314)&gt;1,"Trùng mã đơn; ","")&amp;IF(ISNA(MATCH($C1314,DATA_MASTER!$D$2:$D$5000,0)),"SĐT chưa đăng ký hội viên; ","")&amp;IF(AND($L1314="Đã chuyển khoản",$M1314=""),"Thiếu ngày nhận CK; ",""))</f>
        <v/>
      </c>
      <c r="T1314" s="24" t="n"/>
    </row>
    <row r="1315" ht="14.25" customHeight="1" s="40">
      <c r="A1315" s="24" t="n"/>
      <c r="B1315" s="29" t="n"/>
      <c r="C1315" s="28" t="n"/>
      <c r="D1315" s="22">
        <f t="array" ref="D1315">IF($C1315="","",IFERROR(INDEX(DATA_MASTER!$C$2:$C$5000,MATCH($C1315,DATA_MASTER!$D$2:$D$5000,0)),""))</f>
        <v/>
      </c>
      <c r="E1315" s="22">
        <f t="array" ref="E1315">IF($C1315="","",IFERROR(INDEX(DATA_MASTER!$I$2:$I$5000,MATCH($C1315,DATA_MASTER!$D$2:$D$5000,0)),""))</f>
        <v/>
      </c>
      <c r="F1315" s="22">
        <f t="array" ref="F1315">IF($C1315="","",IFERROR(INDEX(DATA_MASTER!$L$2:$L$5000,MATCH($C1315,DATA_MASTER!$D$2:$D$5000,0)),""))</f>
        <v/>
      </c>
      <c r="G1315" s="24" t="n"/>
      <c r="H1315" s="24" t="n"/>
      <c r="I1315" s="30" t="n"/>
      <c r="J1315" s="23">
        <f>IF(OR($H1315="",$I1315=""),"",$H1315*$I1315)</f>
        <v/>
      </c>
      <c r="K1315" s="24" t="n"/>
      <c r="L1315" s="24" t="n"/>
      <c r="M1315" s="29" t="n"/>
      <c r="N1315" s="28" t="n"/>
      <c r="O1315" s="24" t="n"/>
      <c r="P1315" s="24" t="n"/>
      <c r="Q1315" s="24" t="n"/>
      <c r="R1315" s="24" t="n"/>
      <c r="S1315" s="22">
        <f>IF(AND($A1315="",$C1315=""),"",IF($A1315="","Thiếu mã đơn; ","")&amp;IF(COUNTIF($A$2:$A1315,$A1315)&gt;1,"Trùng mã đơn; ","")&amp;IF(ISNA(MATCH($C1315,DATA_MASTER!$D$2:$D$5000,0)),"SĐT chưa đăng ký hội viên; ","")&amp;IF(AND($L1315="Đã chuyển khoản",$M1315=""),"Thiếu ngày nhận CK; ",""))</f>
        <v/>
      </c>
      <c r="T1315" s="24" t="n"/>
    </row>
    <row r="1316" ht="14.25" customHeight="1" s="40">
      <c r="A1316" s="24" t="n"/>
      <c r="B1316" s="29" t="n"/>
      <c r="C1316" s="28" t="n"/>
      <c r="D1316" s="22">
        <f t="array" ref="D1316">IF($C1316="","",IFERROR(INDEX(DATA_MASTER!$C$2:$C$5000,MATCH($C1316,DATA_MASTER!$D$2:$D$5000,0)),""))</f>
        <v/>
      </c>
      <c r="E1316" s="22">
        <f t="array" ref="E1316">IF($C1316="","",IFERROR(INDEX(DATA_MASTER!$I$2:$I$5000,MATCH($C1316,DATA_MASTER!$D$2:$D$5000,0)),""))</f>
        <v/>
      </c>
      <c r="F1316" s="22">
        <f t="array" ref="F1316">IF($C1316="","",IFERROR(INDEX(DATA_MASTER!$L$2:$L$5000,MATCH($C1316,DATA_MASTER!$D$2:$D$5000,0)),""))</f>
        <v/>
      </c>
      <c r="G1316" s="24" t="n"/>
      <c r="H1316" s="24" t="n"/>
      <c r="I1316" s="30" t="n"/>
      <c r="J1316" s="23">
        <f>IF(OR($H1316="",$I1316=""),"",$H1316*$I1316)</f>
        <v/>
      </c>
      <c r="K1316" s="24" t="n"/>
      <c r="L1316" s="24" t="n"/>
      <c r="M1316" s="29" t="n"/>
      <c r="N1316" s="28" t="n"/>
      <c r="O1316" s="24" t="n"/>
      <c r="P1316" s="24" t="n"/>
      <c r="Q1316" s="24" t="n"/>
      <c r="R1316" s="24" t="n"/>
      <c r="S1316" s="22">
        <f>IF(AND($A1316="",$C1316=""),"",IF($A1316="","Thiếu mã đơn; ","")&amp;IF(COUNTIF($A$2:$A1316,$A1316)&gt;1,"Trùng mã đơn; ","")&amp;IF(ISNA(MATCH($C1316,DATA_MASTER!$D$2:$D$5000,0)),"SĐT chưa đăng ký hội viên; ","")&amp;IF(AND($L1316="Đã chuyển khoản",$M1316=""),"Thiếu ngày nhận CK; ",""))</f>
        <v/>
      </c>
      <c r="T1316" s="24" t="n"/>
    </row>
    <row r="1317" ht="14.25" customHeight="1" s="40">
      <c r="A1317" s="24" t="n"/>
      <c r="B1317" s="29" t="n"/>
      <c r="C1317" s="28" t="n"/>
      <c r="D1317" s="22">
        <f t="array" ref="D1317">IF($C1317="","",IFERROR(INDEX(DATA_MASTER!$C$2:$C$5000,MATCH($C1317,DATA_MASTER!$D$2:$D$5000,0)),""))</f>
        <v/>
      </c>
      <c r="E1317" s="22">
        <f t="array" ref="E1317">IF($C1317="","",IFERROR(INDEX(DATA_MASTER!$I$2:$I$5000,MATCH($C1317,DATA_MASTER!$D$2:$D$5000,0)),""))</f>
        <v/>
      </c>
      <c r="F1317" s="22">
        <f t="array" ref="F1317">IF($C1317="","",IFERROR(INDEX(DATA_MASTER!$L$2:$L$5000,MATCH($C1317,DATA_MASTER!$D$2:$D$5000,0)),""))</f>
        <v/>
      </c>
      <c r="G1317" s="24" t="n"/>
      <c r="H1317" s="24" t="n"/>
      <c r="I1317" s="30" t="n"/>
      <c r="J1317" s="23">
        <f>IF(OR($H1317="",$I1317=""),"",$H1317*$I1317)</f>
        <v/>
      </c>
      <c r="K1317" s="24" t="n"/>
      <c r="L1317" s="24" t="n"/>
      <c r="M1317" s="29" t="n"/>
      <c r="N1317" s="28" t="n"/>
      <c r="O1317" s="24" t="n"/>
      <c r="P1317" s="24" t="n"/>
      <c r="Q1317" s="24" t="n"/>
      <c r="R1317" s="24" t="n"/>
      <c r="S1317" s="22">
        <f>IF(AND($A1317="",$C1317=""),"",IF($A1317="","Thiếu mã đơn; ","")&amp;IF(COUNTIF($A$2:$A1317,$A1317)&gt;1,"Trùng mã đơn; ","")&amp;IF(ISNA(MATCH($C1317,DATA_MASTER!$D$2:$D$5000,0)),"SĐT chưa đăng ký hội viên; ","")&amp;IF(AND($L1317="Đã chuyển khoản",$M1317=""),"Thiếu ngày nhận CK; ",""))</f>
        <v/>
      </c>
      <c r="T1317" s="24" t="n"/>
    </row>
    <row r="1318" ht="14.25" customHeight="1" s="40">
      <c r="A1318" s="24" t="n"/>
      <c r="B1318" s="29" t="n"/>
      <c r="C1318" s="28" t="n"/>
      <c r="D1318" s="22">
        <f t="array" ref="D1318">IF($C1318="","",IFERROR(INDEX(DATA_MASTER!$C$2:$C$5000,MATCH($C1318,DATA_MASTER!$D$2:$D$5000,0)),""))</f>
        <v/>
      </c>
      <c r="E1318" s="22">
        <f t="array" ref="E1318">IF($C1318="","",IFERROR(INDEX(DATA_MASTER!$I$2:$I$5000,MATCH($C1318,DATA_MASTER!$D$2:$D$5000,0)),""))</f>
        <v/>
      </c>
      <c r="F1318" s="22">
        <f t="array" ref="F1318">IF($C1318="","",IFERROR(INDEX(DATA_MASTER!$L$2:$L$5000,MATCH($C1318,DATA_MASTER!$D$2:$D$5000,0)),""))</f>
        <v/>
      </c>
      <c r="G1318" s="24" t="n"/>
      <c r="H1318" s="24" t="n"/>
      <c r="I1318" s="30" t="n"/>
      <c r="J1318" s="23">
        <f>IF(OR($H1318="",$I1318=""),"",$H1318*$I1318)</f>
        <v/>
      </c>
      <c r="K1318" s="24" t="n"/>
      <c r="L1318" s="24" t="n"/>
      <c r="M1318" s="29" t="n"/>
      <c r="N1318" s="28" t="n"/>
      <c r="O1318" s="24" t="n"/>
      <c r="P1318" s="24" t="n"/>
      <c r="Q1318" s="24" t="n"/>
      <c r="R1318" s="24" t="n"/>
      <c r="S1318" s="22">
        <f>IF(AND($A1318="",$C1318=""),"",IF($A1318="","Thiếu mã đơn; ","")&amp;IF(COUNTIF($A$2:$A1318,$A1318)&gt;1,"Trùng mã đơn; ","")&amp;IF(ISNA(MATCH($C1318,DATA_MASTER!$D$2:$D$5000,0)),"SĐT chưa đăng ký hội viên; ","")&amp;IF(AND($L1318="Đã chuyển khoản",$M1318=""),"Thiếu ngày nhận CK; ",""))</f>
        <v/>
      </c>
      <c r="T1318" s="24" t="n"/>
    </row>
    <row r="1319" ht="14.25" customHeight="1" s="40">
      <c r="A1319" s="24" t="n"/>
      <c r="B1319" s="29" t="n"/>
      <c r="C1319" s="28" t="n"/>
      <c r="D1319" s="22">
        <f t="array" ref="D1319">IF($C1319="","",IFERROR(INDEX(DATA_MASTER!$C$2:$C$5000,MATCH($C1319,DATA_MASTER!$D$2:$D$5000,0)),""))</f>
        <v/>
      </c>
      <c r="E1319" s="22">
        <f t="array" ref="E1319">IF($C1319="","",IFERROR(INDEX(DATA_MASTER!$I$2:$I$5000,MATCH($C1319,DATA_MASTER!$D$2:$D$5000,0)),""))</f>
        <v/>
      </c>
      <c r="F1319" s="22">
        <f t="array" ref="F1319">IF($C1319="","",IFERROR(INDEX(DATA_MASTER!$L$2:$L$5000,MATCH($C1319,DATA_MASTER!$D$2:$D$5000,0)),""))</f>
        <v/>
      </c>
      <c r="G1319" s="24" t="n"/>
      <c r="H1319" s="24" t="n"/>
      <c r="I1319" s="30" t="n"/>
      <c r="J1319" s="23">
        <f>IF(OR($H1319="",$I1319=""),"",$H1319*$I1319)</f>
        <v/>
      </c>
      <c r="K1319" s="24" t="n"/>
      <c r="L1319" s="24" t="n"/>
      <c r="M1319" s="29" t="n"/>
      <c r="N1319" s="28" t="n"/>
      <c r="O1319" s="24" t="n"/>
      <c r="P1319" s="24" t="n"/>
      <c r="Q1319" s="24" t="n"/>
      <c r="R1319" s="24" t="n"/>
      <c r="S1319" s="22">
        <f>IF(AND($A1319="",$C1319=""),"",IF($A1319="","Thiếu mã đơn; ","")&amp;IF(COUNTIF($A$2:$A1319,$A1319)&gt;1,"Trùng mã đơn; ","")&amp;IF(ISNA(MATCH($C1319,DATA_MASTER!$D$2:$D$5000,0)),"SĐT chưa đăng ký hội viên; ","")&amp;IF(AND($L1319="Đã chuyển khoản",$M1319=""),"Thiếu ngày nhận CK; ",""))</f>
        <v/>
      </c>
      <c r="T1319" s="24" t="n"/>
    </row>
    <row r="1320" ht="14.25" customHeight="1" s="40">
      <c r="A1320" s="24" t="n"/>
      <c r="B1320" s="29" t="n"/>
      <c r="C1320" s="28" t="n"/>
      <c r="D1320" s="22">
        <f t="array" ref="D1320">IF($C1320="","",IFERROR(INDEX(DATA_MASTER!$C$2:$C$5000,MATCH($C1320,DATA_MASTER!$D$2:$D$5000,0)),""))</f>
        <v/>
      </c>
      <c r="E1320" s="22">
        <f t="array" ref="E1320">IF($C1320="","",IFERROR(INDEX(DATA_MASTER!$I$2:$I$5000,MATCH($C1320,DATA_MASTER!$D$2:$D$5000,0)),""))</f>
        <v/>
      </c>
      <c r="F1320" s="22">
        <f t="array" ref="F1320">IF($C1320="","",IFERROR(INDEX(DATA_MASTER!$L$2:$L$5000,MATCH($C1320,DATA_MASTER!$D$2:$D$5000,0)),""))</f>
        <v/>
      </c>
      <c r="G1320" s="24" t="n"/>
      <c r="H1320" s="24" t="n"/>
      <c r="I1320" s="30" t="n"/>
      <c r="J1320" s="23">
        <f>IF(OR($H1320="",$I1320=""),"",$H1320*$I1320)</f>
        <v/>
      </c>
      <c r="K1320" s="24" t="n"/>
      <c r="L1320" s="24" t="n"/>
      <c r="M1320" s="29" t="n"/>
      <c r="N1320" s="28" t="n"/>
      <c r="O1320" s="24" t="n"/>
      <c r="P1320" s="24" t="n"/>
      <c r="Q1320" s="24" t="n"/>
      <c r="R1320" s="24" t="n"/>
      <c r="S1320" s="22">
        <f>IF(AND($A1320="",$C1320=""),"",IF($A1320="","Thiếu mã đơn; ","")&amp;IF(COUNTIF($A$2:$A1320,$A1320)&gt;1,"Trùng mã đơn; ","")&amp;IF(ISNA(MATCH($C1320,DATA_MASTER!$D$2:$D$5000,0)),"SĐT chưa đăng ký hội viên; ","")&amp;IF(AND($L1320="Đã chuyển khoản",$M1320=""),"Thiếu ngày nhận CK; ",""))</f>
        <v/>
      </c>
      <c r="T1320" s="24" t="n"/>
    </row>
    <row r="1321" ht="14.25" customHeight="1" s="40">
      <c r="A1321" s="24" t="n"/>
      <c r="B1321" s="29" t="n"/>
      <c r="C1321" s="28" t="n"/>
      <c r="D1321" s="22">
        <f t="array" ref="D1321">IF($C1321="","",IFERROR(INDEX(DATA_MASTER!$C$2:$C$5000,MATCH($C1321,DATA_MASTER!$D$2:$D$5000,0)),""))</f>
        <v/>
      </c>
      <c r="E1321" s="22">
        <f t="array" ref="E1321">IF($C1321="","",IFERROR(INDEX(DATA_MASTER!$I$2:$I$5000,MATCH($C1321,DATA_MASTER!$D$2:$D$5000,0)),""))</f>
        <v/>
      </c>
      <c r="F1321" s="22">
        <f t="array" ref="F1321">IF($C1321="","",IFERROR(INDEX(DATA_MASTER!$L$2:$L$5000,MATCH($C1321,DATA_MASTER!$D$2:$D$5000,0)),""))</f>
        <v/>
      </c>
      <c r="G1321" s="24" t="n"/>
      <c r="H1321" s="24" t="n"/>
      <c r="I1321" s="30" t="n"/>
      <c r="J1321" s="23">
        <f>IF(OR($H1321="",$I1321=""),"",$H1321*$I1321)</f>
        <v/>
      </c>
      <c r="K1321" s="24" t="n"/>
      <c r="L1321" s="24" t="n"/>
      <c r="M1321" s="29" t="n"/>
      <c r="N1321" s="28" t="n"/>
      <c r="O1321" s="24" t="n"/>
      <c r="P1321" s="24" t="n"/>
      <c r="Q1321" s="24" t="n"/>
      <c r="R1321" s="24" t="n"/>
      <c r="S1321" s="22">
        <f>IF(AND($A1321="",$C1321=""),"",IF($A1321="","Thiếu mã đơn; ","")&amp;IF(COUNTIF($A$2:$A1321,$A1321)&gt;1,"Trùng mã đơn; ","")&amp;IF(ISNA(MATCH($C1321,DATA_MASTER!$D$2:$D$5000,0)),"SĐT chưa đăng ký hội viên; ","")&amp;IF(AND($L1321="Đã chuyển khoản",$M1321=""),"Thiếu ngày nhận CK; ",""))</f>
        <v/>
      </c>
      <c r="T1321" s="24" t="n"/>
    </row>
    <row r="1322" ht="14.25" customHeight="1" s="40">
      <c r="A1322" s="24" t="n"/>
      <c r="B1322" s="29" t="n"/>
      <c r="C1322" s="28" t="n"/>
      <c r="D1322" s="22">
        <f t="array" ref="D1322">IF($C1322="","",IFERROR(INDEX(DATA_MASTER!$C$2:$C$5000,MATCH($C1322,DATA_MASTER!$D$2:$D$5000,0)),""))</f>
        <v/>
      </c>
      <c r="E1322" s="22">
        <f t="array" ref="E1322">IF($C1322="","",IFERROR(INDEX(DATA_MASTER!$I$2:$I$5000,MATCH($C1322,DATA_MASTER!$D$2:$D$5000,0)),""))</f>
        <v/>
      </c>
      <c r="F1322" s="22">
        <f t="array" ref="F1322">IF($C1322="","",IFERROR(INDEX(DATA_MASTER!$L$2:$L$5000,MATCH($C1322,DATA_MASTER!$D$2:$D$5000,0)),""))</f>
        <v/>
      </c>
      <c r="G1322" s="24" t="n"/>
      <c r="H1322" s="24" t="n"/>
      <c r="I1322" s="30" t="n"/>
      <c r="J1322" s="23">
        <f>IF(OR($H1322="",$I1322=""),"",$H1322*$I1322)</f>
        <v/>
      </c>
      <c r="K1322" s="24" t="n"/>
      <c r="L1322" s="24" t="n"/>
      <c r="M1322" s="29" t="n"/>
      <c r="N1322" s="28" t="n"/>
      <c r="O1322" s="24" t="n"/>
      <c r="P1322" s="24" t="n"/>
      <c r="Q1322" s="24" t="n"/>
      <c r="R1322" s="24" t="n"/>
      <c r="S1322" s="22">
        <f>IF(AND($A1322="",$C1322=""),"",IF($A1322="","Thiếu mã đơn; ","")&amp;IF(COUNTIF($A$2:$A1322,$A1322)&gt;1,"Trùng mã đơn; ","")&amp;IF(ISNA(MATCH($C1322,DATA_MASTER!$D$2:$D$5000,0)),"SĐT chưa đăng ký hội viên; ","")&amp;IF(AND($L1322="Đã chuyển khoản",$M1322=""),"Thiếu ngày nhận CK; ",""))</f>
        <v/>
      </c>
      <c r="T1322" s="24" t="n"/>
    </row>
    <row r="1323" ht="14.25" customHeight="1" s="40">
      <c r="A1323" s="24" t="n"/>
      <c r="B1323" s="29" t="n"/>
      <c r="C1323" s="28" t="n"/>
      <c r="D1323" s="22">
        <f t="array" ref="D1323">IF($C1323="","",IFERROR(INDEX(DATA_MASTER!$C$2:$C$5000,MATCH($C1323,DATA_MASTER!$D$2:$D$5000,0)),""))</f>
        <v/>
      </c>
      <c r="E1323" s="22">
        <f t="array" ref="E1323">IF($C1323="","",IFERROR(INDEX(DATA_MASTER!$I$2:$I$5000,MATCH($C1323,DATA_MASTER!$D$2:$D$5000,0)),""))</f>
        <v/>
      </c>
      <c r="F1323" s="22">
        <f t="array" ref="F1323">IF($C1323="","",IFERROR(INDEX(DATA_MASTER!$L$2:$L$5000,MATCH($C1323,DATA_MASTER!$D$2:$D$5000,0)),""))</f>
        <v/>
      </c>
      <c r="G1323" s="24" t="n"/>
      <c r="H1323" s="24" t="n"/>
      <c r="I1323" s="30" t="n"/>
      <c r="J1323" s="23">
        <f>IF(OR($H1323="",$I1323=""),"",$H1323*$I1323)</f>
        <v/>
      </c>
      <c r="K1323" s="24" t="n"/>
      <c r="L1323" s="24" t="n"/>
      <c r="M1323" s="29" t="n"/>
      <c r="N1323" s="28" t="n"/>
      <c r="O1323" s="24" t="n"/>
      <c r="P1323" s="24" t="n"/>
      <c r="Q1323" s="24" t="n"/>
      <c r="R1323" s="24" t="n"/>
      <c r="S1323" s="22">
        <f>IF(AND($A1323="",$C1323=""),"",IF($A1323="","Thiếu mã đơn; ","")&amp;IF(COUNTIF($A$2:$A1323,$A1323)&gt;1,"Trùng mã đơn; ","")&amp;IF(ISNA(MATCH($C1323,DATA_MASTER!$D$2:$D$5000,0)),"SĐT chưa đăng ký hội viên; ","")&amp;IF(AND($L1323="Đã chuyển khoản",$M1323=""),"Thiếu ngày nhận CK; ",""))</f>
        <v/>
      </c>
      <c r="T1323" s="24" t="n"/>
    </row>
    <row r="1324" ht="14.25" customHeight="1" s="40">
      <c r="A1324" s="24" t="n"/>
      <c r="B1324" s="29" t="n"/>
      <c r="C1324" s="28" t="n"/>
      <c r="D1324" s="22">
        <f t="array" ref="D1324">IF($C1324="","",IFERROR(INDEX(DATA_MASTER!$C$2:$C$5000,MATCH($C1324,DATA_MASTER!$D$2:$D$5000,0)),""))</f>
        <v/>
      </c>
      <c r="E1324" s="22">
        <f t="array" ref="E1324">IF($C1324="","",IFERROR(INDEX(DATA_MASTER!$I$2:$I$5000,MATCH($C1324,DATA_MASTER!$D$2:$D$5000,0)),""))</f>
        <v/>
      </c>
      <c r="F1324" s="22">
        <f t="array" ref="F1324">IF($C1324="","",IFERROR(INDEX(DATA_MASTER!$L$2:$L$5000,MATCH($C1324,DATA_MASTER!$D$2:$D$5000,0)),""))</f>
        <v/>
      </c>
      <c r="G1324" s="24" t="n"/>
      <c r="H1324" s="24" t="n"/>
      <c r="I1324" s="30" t="n"/>
      <c r="J1324" s="23">
        <f>IF(OR($H1324="",$I1324=""),"",$H1324*$I1324)</f>
        <v/>
      </c>
      <c r="K1324" s="24" t="n"/>
      <c r="L1324" s="24" t="n"/>
      <c r="M1324" s="29" t="n"/>
      <c r="N1324" s="28" t="n"/>
      <c r="O1324" s="24" t="n"/>
      <c r="P1324" s="24" t="n"/>
      <c r="Q1324" s="24" t="n"/>
      <c r="R1324" s="24" t="n"/>
      <c r="S1324" s="22">
        <f>IF(AND($A1324="",$C1324=""),"",IF($A1324="","Thiếu mã đơn; ","")&amp;IF(COUNTIF($A$2:$A1324,$A1324)&gt;1,"Trùng mã đơn; ","")&amp;IF(ISNA(MATCH($C1324,DATA_MASTER!$D$2:$D$5000,0)),"SĐT chưa đăng ký hội viên; ","")&amp;IF(AND($L1324="Đã chuyển khoản",$M1324=""),"Thiếu ngày nhận CK; ",""))</f>
        <v/>
      </c>
      <c r="T1324" s="24" t="n"/>
    </row>
    <row r="1325" ht="14.25" customHeight="1" s="40">
      <c r="A1325" s="24" t="n"/>
      <c r="B1325" s="29" t="n"/>
      <c r="C1325" s="28" t="n"/>
      <c r="D1325" s="22">
        <f t="array" ref="D1325">IF($C1325="","",IFERROR(INDEX(DATA_MASTER!$C$2:$C$5000,MATCH($C1325,DATA_MASTER!$D$2:$D$5000,0)),""))</f>
        <v/>
      </c>
      <c r="E1325" s="22">
        <f t="array" ref="E1325">IF($C1325="","",IFERROR(INDEX(DATA_MASTER!$I$2:$I$5000,MATCH($C1325,DATA_MASTER!$D$2:$D$5000,0)),""))</f>
        <v/>
      </c>
      <c r="F1325" s="22">
        <f t="array" ref="F1325">IF($C1325="","",IFERROR(INDEX(DATA_MASTER!$L$2:$L$5000,MATCH($C1325,DATA_MASTER!$D$2:$D$5000,0)),""))</f>
        <v/>
      </c>
      <c r="G1325" s="24" t="n"/>
      <c r="H1325" s="24" t="n"/>
      <c r="I1325" s="30" t="n"/>
      <c r="J1325" s="23">
        <f>IF(OR($H1325="",$I1325=""),"",$H1325*$I1325)</f>
        <v/>
      </c>
      <c r="K1325" s="24" t="n"/>
      <c r="L1325" s="24" t="n"/>
      <c r="M1325" s="29" t="n"/>
      <c r="N1325" s="28" t="n"/>
      <c r="O1325" s="24" t="n"/>
      <c r="P1325" s="24" t="n"/>
      <c r="Q1325" s="24" t="n"/>
      <c r="R1325" s="24" t="n"/>
      <c r="S1325" s="22">
        <f>IF(AND($A1325="",$C1325=""),"",IF($A1325="","Thiếu mã đơn; ","")&amp;IF(COUNTIF($A$2:$A1325,$A1325)&gt;1,"Trùng mã đơn; ","")&amp;IF(ISNA(MATCH($C1325,DATA_MASTER!$D$2:$D$5000,0)),"SĐT chưa đăng ký hội viên; ","")&amp;IF(AND($L1325="Đã chuyển khoản",$M1325=""),"Thiếu ngày nhận CK; ",""))</f>
        <v/>
      </c>
      <c r="T1325" s="24" t="n"/>
    </row>
    <row r="1326" ht="14.25" customHeight="1" s="40">
      <c r="A1326" s="24" t="n"/>
      <c r="B1326" s="29" t="n"/>
      <c r="C1326" s="28" t="n"/>
      <c r="D1326" s="22">
        <f t="array" ref="D1326">IF($C1326="","",IFERROR(INDEX(DATA_MASTER!$C$2:$C$5000,MATCH($C1326,DATA_MASTER!$D$2:$D$5000,0)),""))</f>
        <v/>
      </c>
      <c r="E1326" s="22">
        <f t="array" ref="E1326">IF($C1326="","",IFERROR(INDEX(DATA_MASTER!$I$2:$I$5000,MATCH($C1326,DATA_MASTER!$D$2:$D$5000,0)),""))</f>
        <v/>
      </c>
      <c r="F1326" s="22">
        <f t="array" ref="F1326">IF($C1326="","",IFERROR(INDEX(DATA_MASTER!$L$2:$L$5000,MATCH($C1326,DATA_MASTER!$D$2:$D$5000,0)),""))</f>
        <v/>
      </c>
      <c r="G1326" s="24" t="n"/>
      <c r="H1326" s="24" t="n"/>
      <c r="I1326" s="30" t="n"/>
      <c r="J1326" s="23">
        <f>IF(OR($H1326="",$I1326=""),"",$H1326*$I1326)</f>
        <v/>
      </c>
      <c r="K1326" s="24" t="n"/>
      <c r="L1326" s="24" t="n"/>
      <c r="M1326" s="29" t="n"/>
      <c r="N1326" s="28" t="n"/>
      <c r="O1326" s="24" t="n"/>
      <c r="P1326" s="24" t="n"/>
      <c r="Q1326" s="24" t="n"/>
      <c r="R1326" s="24" t="n"/>
      <c r="S1326" s="22">
        <f>IF(AND($A1326="",$C1326=""),"",IF($A1326="","Thiếu mã đơn; ","")&amp;IF(COUNTIF($A$2:$A1326,$A1326)&gt;1,"Trùng mã đơn; ","")&amp;IF(ISNA(MATCH($C1326,DATA_MASTER!$D$2:$D$5000,0)),"SĐT chưa đăng ký hội viên; ","")&amp;IF(AND($L1326="Đã chuyển khoản",$M1326=""),"Thiếu ngày nhận CK; ",""))</f>
        <v/>
      </c>
      <c r="T1326" s="24" t="n"/>
    </row>
    <row r="1327" ht="14.25" customHeight="1" s="40">
      <c r="A1327" s="24" t="n"/>
      <c r="B1327" s="29" t="n"/>
      <c r="C1327" s="28" t="n"/>
      <c r="D1327" s="22">
        <f t="array" ref="D1327">IF($C1327="","",IFERROR(INDEX(DATA_MASTER!$C$2:$C$5000,MATCH($C1327,DATA_MASTER!$D$2:$D$5000,0)),""))</f>
        <v/>
      </c>
      <c r="E1327" s="22">
        <f t="array" ref="E1327">IF($C1327="","",IFERROR(INDEX(DATA_MASTER!$I$2:$I$5000,MATCH($C1327,DATA_MASTER!$D$2:$D$5000,0)),""))</f>
        <v/>
      </c>
      <c r="F1327" s="22">
        <f t="array" ref="F1327">IF($C1327="","",IFERROR(INDEX(DATA_MASTER!$L$2:$L$5000,MATCH($C1327,DATA_MASTER!$D$2:$D$5000,0)),""))</f>
        <v/>
      </c>
      <c r="G1327" s="24" t="n"/>
      <c r="H1327" s="24" t="n"/>
      <c r="I1327" s="30" t="n"/>
      <c r="J1327" s="23">
        <f>IF(OR($H1327="",$I1327=""),"",$H1327*$I1327)</f>
        <v/>
      </c>
      <c r="K1327" s="24" t="n"/>
      <c r="L1327" s="24" t="n"/>
      <c r="M1327" s="29" t="n"/>
      <c r="N1327" s="28" t="n"/>
      <c r="O1327" s="24" t="n"/>
      <c r="P1327" s="24" t="n"/>
      <c r="Q1327" s="24" t="n"/>
      <c r="R1327" s="24" t="n"/>
      <c r="S1327" s="22">
        <f>IF(AND($A1327="",$C1327=""),"",IF($A1327="","Thiếu mã đơn; ","")&amp;IF(COUNTIF($A$2:$A1327,$A1327)&gt;1,"Trùng mã đơn; ","")&amp;IF(ISNA(MATCH($C1327,DATA_MASTER!$D$2:$D$5000,0)),"SĐT chưa đăng ký hội viên; ","")&amp;IF(AND($L1327="Đã chuyển khoản",$M1327=""),"Thiếu ngày nhận CK; ",""))</f>
        <v/>
      </c>
      <c r="T1327" s="24" t="n"/>
    </row>
    <row r="1328" ht="14.25" customHeight="1" s="40">
      <c r="A1328" s="24" t="n"/>
      <c r="B1328" s="29" t="n"/>
      <c r="C1328" s="28" t="n"/>
      <c r="D1328" s="22">
        <f t="array" ref="D1328">IF($C1328="","",IFERROR(INDEX(DATA_MASTER!$C$2:$C$5000,MATCH($C1328,DATA_MASTER!$D$2:$D$5000,0)),""))</f>
        <v/>
      </c>
      <c r="E1328" s="22">
        <f t="array" ref="E1328">IF($C1328="","",IFERROR(INDEX(DATA_MASTER!$I$2:$I$5000,MATCH($C1328,DATA_MASTER!$D$2:$D$5000,0)),""))</f>
        <v/>
      </c>
      <c r="F1328" s="22">
        <f t="array" ref="F1328">IF($C1328="","",IFERROR(INDEX(DATA_MASTER!$L$2:$L$5000,MATCH($C1328,DATA_MASTER!$D$2:$D$5000,0)),""))</f>
        <v/>
      </c>
      <c r="G1328" s="24" t="n"/>
      <c r="H1328" s="24" t="n"/>
      <c r="I1328" s="30" t="n"/>
      <c r="J1328" s="23">
        <f>IF(OR($H1328="",$I1328=""),"",$H1328*$I1328)</f>
        <v/>
      </c>
      <c r="K1328" s="24" t="n"/>
      <c r="L1328" s="24" t="n"/>
      <c r="M1328" s="29" t="n"/>
      <c r="N1328" s="28" t="n"/>
      <c r="O1328" s="24" t="n"/>
      <c r="P1328" s="24" t="n"/>
      <c r="Q1328" s="24" t="n"/>
      <c r="R1328" s="24" t="n"/>
      <c r="S1328" s="22">
        <f>IF(AND($A1328="",$C1328=""),"",IF($A1328="","Thiếu mã đơn; ","")&amp;IF(COUNTIF($A$2:$A1328,$A1328)&gt;1,"Trùng mã đơn; ","")&amp;IF(ISNA(MATCH($C1328,DATA_MASTER!$D$2:$D$5000,0)),"SĐT chưa đăng ký hội viên; ","")&amp;IF(AND($L1328="Đã chuyển khoản",$M1328=""),"Thiếu ngày nhận CK; ",""))</f>
        <v/>
      </c>
      <c r="T1328" s="24" t="n"/>
    </row>
    <row r="1329" ht="14.25" customHeight="1" s="40">
      <c r="A1329" s="24" t="n"/>
      <c r="B1329" s="29" t="n"/>
      <c r="C1329" s="28" t="n"/>
      <c r="D1329" s="22">
        <f t="array" ref="D1329">IF($C1329="","",IFERROR(INDEX(DATA_MASTER!$C$2:$C$5000,MATCH($C1329,DATA_MASTER!$D$2:$D$5000,0)),""))</f>
        <v/>
      </c>
      <c r="E1329" s="22">
        <f t="array" ref="E1329">IF($C1329="","",IFERROR(INDEX(DATA_MASTER!$I$2:$I$5000,MATCH($C1329,DATA_MASTER!$D$2:$D$5000,0)),""))</f>
        <v/>
      </c>
      <c r="F1329" s="22">
        <f t="array" ref="F1329">IF($C1329="","",IFERROR(INDEX(DATA_MASTER!$L$2:$L$5000,MATCH($C1329,DATA_MASTER!$D$2:$D$5000,0)),""))</f>
        <v/>
      </c>
      <c r="G1329" s="24" t="n"/>
      <c r="H1329" s="24" t="n"/>
      <c r="I1329" s="30" t="n"/>
      <c r="J1329" s="23">
        <f>IF(OR($H1329="",$I1329=""),"",$H1329*$I1329)</f>
        <v/>
      </c>
      <c r="K1329" s="24" t="n"/>
      <c r="L1329" s="24" t="n"/>
      <c r="M1329" s="29" t="n"/>
      <c r="N1329" s="28" t="n"/>
      <c r="O1329" s="24" t="n"/>
      <c r="P1329" s="24" t="n"/>
      <c r="Q1329" s="24" t="n"/>
      <c r="R1329" s="24" t="n"/>
      <c r="S1329" s="22">
        <f>IF(AND($A1329="",$C1329=""),"",IF($A1329="","Thiếu mã đơn; ","")&amp;IF(COUNTIF($A$2:$A1329,$A1329)&gt;1,"Trùng mã đơn; ","")&amp;IF(ISNA(MATCH($C1329,DATA_MASTER!$D$2:$D$5000,0)),"SĐT chưa đăng ký hội viên; ","")&amp;IF(AND($L1329="Đã chuyển khoản",$M1329=""),"Thiếu ngày nhận CK; ",""))</f>
        <v/>
      </c>
      <c r="T1329" s="24" t="n"/>
    </row>
    <row r="1330" ht="14.25" customHeight="1" s="40">
      <c r="A1330" s="24" t="n"/>
      <c r="B1330" s="29" t="n"/>
      <c r="C1330" s="28" t="n"/>
      <c r="D1330" s="22">
        <f t="array" ref="D1330">IF($C1330="","",IFERROR(INDEX(DATA_MASTER!$C$2:$C$5000,MATCH($C1330,DATA_MASTER!$D$2:$D$5000,0)),""))</f>
        <v/>
      </c>
      <c r="E1330" s="22">
        <f t="array" ref="E1330">IF($C1330="","",IFERROR(INDEX(DATA_MASTER!$I$2:$I$5000,MATCH($C1330,DATA_MASTER!$D$2:$D$5000,0)),""))</f>
        <v/>
      </c>
      <c r="F1330" s="22">
        <f t="array" ref="F1330">IF($C1330="","",IFERROR(INDEX(DATA_MASTER!$L$2:$L$5000,MATCH($C1330,DATA_MASTER!$D$2:$D$5000,0)),""))</f>
        <v/>
      </c>
      <c r="G1330" s="24" t="n"/>
      <c r="H1330" s="24" t="n"/>
      <c r="I1330" s="30" t="n"/>
      <c r="J1330" s="23">
        <f>IF(OR($H1330="",$I1330=""),"",$H1330*$I1330)</f>
        <v/>
      </c>
      <c r="K1330" s="24" t="n"/>
      <c r="L1330" s="24" t="n"/>
      <c r="M1330" s="29" t="n"/>
      <c r="N1330" s="28" t="n"/>
      <c r="O1330" s="24" t="n"/>
      <c r="P1330" s="24" t="n"/>
      <c r="Q1330" s="24" t="n"/>
      <c r="R1330" s="24" t="n"/>
      <c r="S1330" s="22">
        <f>IF(AND($A1330="",$C1330=""),"",IF($A1330="","Thiếu mã đơn; ","")&amp;IF(COUNTIF($A$2:$A1330,$A1330)&gt;1,"Trùng mã đơn; ","")&amp;IF(ISNA(MATCH($C1330,DATA_MASTER!$D$2:$D$5000,0)),"SĐT chưa đăng ký hội viên; ","")&amp;IF(AND($L1330="Đã chuyển khoản",$M1330=""),"Thiếu ngày nhận CK; ",""))</f>
        <v/>
      </c>
      <c r="T1330" s="24" t="n"/>
    </row>
    <row r="1331" ht="14.25" customHeight="1" s="40">
      <c r="A1331" s="24" t="n"/>
      <c r="B1331" s="29" t="n"/>
      <c r="C1331" s="28" t="n"/>
      <c r="D1331" s="22">
        <f t="array" ref="D1331">IF($C1331="","",IFERROR(INDEX(DATA_MASTER!$C$2:$C$5000,MATCH($C1331,DATA_MASTER!$D$2:$D$5000,0)),""))</f>
        <v/>
      </c>
      <c r="E1331" s="22">
        <f t="array" ref="E1331">IF($C1331="","",IFERROR(INDEX(DATA_MASTER!$I$2:$I$5000,MATCH($C1331,DATA_MASTER!$D$2:$D$5000,0)),""))</f>
        <v/>
      </c>
      <c r="F1331" s="22">
        <f t="array" ref="F1331">IF($C1331="","",IFERROR(INDEX(DATA_MASTER!$L$2:$L$5000,MATCH($C1331,DATA_MASTER!$D$2:$D$5000,0)),""))</f>
        <v/>
      </c>
      <c r="G1331" s="24" t="n"/>
      <c r="H1331" s="24" t="n"/>
      <c r="I1331" s="30" t="n"/>
      <c r="J1331" s="23">
        <f>IF(OR($H1331="",$I1331=""),"",$H1331*$I1331)</f>
        <v/>
      </c>
      <c r="K1331" s="24" t="n"/>
      <c r="L1331" s="24" t="n"/>
      <c r="M1331" s="29" t="n"/>
      <c r="N1331" s="28" t="n"/>
      <c r="O1331" s="24" t="n"/>
      <c r="P1331" s="24" t="n"/>
      <c r="Q1331" s="24" t="n"/>
      <c r="R1331" s="24" t="n"/>
      <c r="S1331" s="22">
        <f>IF(AND($A1331="",$C1331=""),"",IF($A1331="","Thiếu mã đơn; ","")&amp;IF(COUNTIF($A$2:$A1331,$A1331)&gt;1,"Trùng mã đơn; ","")&amp;IF(ISNA(MATCH($C1331,DATA_MASTER!$D$2:$D$5000,0)),"SĐT chưa đăng ký hội viên; ","")&amp;IF(AND($L1331="Đã chuyển khoản",$M1331=""),"Thiếu ngày nhận CK; ",""))</f>
        <v/>
      </c>
      <c r="T1331" s="24" t="n"/>
    </row>
    <row r="1332" ht="14.25" customHeight="1" s="40">
      <c r="A1332" s="24" t="n"/>
      <c r="B1332" s="29" t="n"/>
      <c r="C1332" s="28" t="n"/>
      <c r="D1332" s="22">
        <f t="array" ref="D1332">IF($C1332="","",IFERROR(INDEX(DATA_MASTER!$C$2:$C$5000,MATCH($C1332,DATA_MASTER!$D$2:$D$5000,0)),""))</f>
        <v/>
      </c>
      <c r="E1332" s="22">
        <f t="array" ref="E1332">IF($C1332="","",IFERROR(INDEX(DATA_MASTER!$I$2:$I$5000,MATCH($C1332,DATA_MASTER!$D$2:$D$5000,0)),""))</f>
        <v/>
      </c>
      <c r="F1332" s="22">
        <f t="array" ref="F1332">IF($C1332="","",IFERROR(INDEX(DATA_MASTER!$L$2:$L$5000,MATCH($C1332,DATA_MASTER!$D$2:$D$5000,0)),""))</f>
        <v/>
      </c>
      <c r="G1332" s="24" t="n"/>
      <c r="H1332" s="24" t="n"/>
      <c r="I1332" s="30" t="n"/>
      <c r="J1332" s="23">
        <f>IF(OR($H1332="",$I1332=""),"",$H1332*$I1332)</f>
        <v/>
      </c>
      <c r="K1332" s="24" t="n"/>
      <c r="L1332" s="24" t="n"/>
      <c r="M1332" s="29" t="n"/>
      <c r="N1332" s="28" t="n"/>
      <c r="O1332" s="24" t="n"/>
      <c r="P1332" s="24" t="n"/>
      <c r="Q1332" s="24" t="n"/>
      <c r="R1332" s="24" t="n"/>
      <c r="S1332" s="22">
        <f>IF(AND($A1332="",$C1332=""),"",IF($A1332="","Thiếu mã đơn; ","")&amp;IF(COUNTIF($A$2:$A1332,$A1332)&gt;1,"Trùng mã đơn; ","")&amp;IF(ISNA(MATCH($C1332,DATA_MASTER!$D$2:$D$5000,0)),"SĐT chưa đăng ký hội viên; ","")&amp;IF(AND($L1332="Đã chuyển khoản",$M1332=""),"Thiếu ngày nhận CK; ",""))</f>
        <v/>
      </c>
      <c r="T1332" s="24" t="n"/>
    </row>
    <row r="1333" ht="14.25" customHeight="1" s="40">
      <c r="A1333" s="24" t="n"/>
      <c r="B1333" s="29" t="n"/>
      <c r="C1333" s="28" t="n"/>
      <c r="D1333" s="22">
        <f t="array" ref="D1333">IF($C1333="","",IFERROR(INDEX(DATA_MASTER!$C$2:$C$5000,MATCH($C1333,DATA_MASTER!$D$2:$D$5000,0)),""))</f>
        <v/>
      </c>
      <c r="E1333" s="22">
        <f t="array" ref="E1333">IF($C1333="","",IFERROR(INDEX(DATA_MASTER!$I$2:$I$5000,MATCH($C1333,DATA_MASTER!$D$2:$D$5000,0)),""))</f>
        <v/>
      </c>
      <c r="F1333" s="22">
        <f t="array" ref="F1333">IF($C1333="","",IFERROR(INDEX(DATA_MASTER!$L$2:$L$5000,MATCH($C1333,DATA_MASTER!$D$2:$D$5000,0)),""))</f>
        <v/>
      </c>
      <c r="G1333" s="24" t="n"/>
      <c r="H1333" s="24" t="n"/>
      <c r="I1333" s="30" t="n"/>
      <c r="J1333" s="23">
        <f>IF(OR($H1333="",$I1333=""),"",$H1333*$I1333)</f>
        <v/>
      </c>
      <c r="K1333" s="24" t="n"/>
      <c r="L1333" s="24" t="n"/>
      <c r="M1333" s="29" t="n"/>
      <c r="N1333" s="28" t="n"/>
      <c r="O1333" s="24" t="n"/>
      <c r="P1333" s="24" t="n"/>
      <c r="Q1333" s="24" t="n"/>
      <c r="R1333" s="24" t="n"/>
      <c r="S1333" s="22">
        <f>IF(AND($A1333="",$C1333=""),"",IF($A1333="","Thiếu mã đơn; ","")&amp;IF(COUNTIF($A$2:$A1333,$A1333)&gt;1,"Trùng mã đơn; ","")&amp;IF(ISNA(MATCH($C1333,DATA_MASTER!$D$2:$D$5000,0)),"SĐT chưa đăng ký hội viên; ","")&amp;IF(AND($L1333="Đã chuyển khoản",$M1333=""),"Thiếu ngày nhận CK; ",""))</f>
        <v/>
      </c>
      <c r="T1333" s="24" t="n"/>
    </row>
    <row r="1334" ht="14.25" customHeight="1" s="40">
      <c r="A1334" s="24" t="n"/>
      <c r="B1334" s="29" t="n"/>
      <c r="C1334" s="28" t="n"/>
      <c r="D1334" s="22">
        <f t="array" ref="D1334">IF($C1334="","",IFERROR(INDEX(DATA_MASTER!$C$2:$C$5000,MATCH($C1334,DATA_MASTER!$D$2:$D$5000,0)),""))</f>
        <v/>
      </c>
      <c r="E1334" s="22">
        <f t="array" ref="E1334">IF($C1334="","",IFERROR(INDEX(DATA_MASTER!$I$2:$I$5000,MATCH($C1334,DATA_MASTER!$D$2:$D$5000,0)),""))</f>
        <v/>
      </c>
      <c r="F1334" s="22">
        <f t="array" ref="F1334">IF($C1334="","",IFERROR(INDEX(DATA_MASTER!$L$2:$L$5000,MATCH($C1334,DATA_MASTER!$D$2:$D$5000,0)),""))</f>
        <v/>
      </c>
      <c r="G1334" s="24" t="n"/>
      <c r="H1334" s="24" t="n"/>
      <c r="I1334" s="30" t="n"/>
      <c r="J1334" s="23">
        <f>IF(OR($H1334="",$I1334=""),"",$H1334*$I1334)</f>
        <v/>
      </c>
      <c r="K1334" s="24" t="n"/>
      <c r="L1334" s="24" t="n"/>
      <c r="M1334" s="29" t="n"/>
      <c r="N1334" s="28" t="n"/>
      <c r="O1334" s="24" t="n"/>
      <c r="P1334" s="24" t="n"/>
      <c r="Q1334" s="24" t="n"/>
      <c r="R1334" s="24" t="n"/>
      <c r="S1334" s="22">
        <f>IF(AND($A1334="",$C1334=""),"",IF($A1334="","Thiếu mã đơn; ","")&amp;IF(COUNTIF($A$2:$A1334,$A1334)&gt;1,"Trùng mã đơn; ","")&amp;IF(ISNA(MATCH($C1334,DATA_MASTER!$D$2:$D$5000,0)),"SĐT chưa đăng ký hội viên; ","")&amp;IF(AND($L1334="Đã chuyển khoản",$M1334=""),"Thiếu ngày nhận CK; ",""))</f>
        <v/>
      </c>
      <c r="T1334" s="24" t="n"/>
    </row>
    <row r="1335" ht="14.25" customHeight="1" s="40">
      <c r="A1335" s="24" t="n"/>
      <c r="B1335" s="29" t="n"/>
      <c r="C1335" s="28" t="n"/>
      <c r="D1335" s="22">
        <f t="array" ref="D1335">IF($C1335="","",IFERROR(INDEX(DATA_MASTER!$C$2:$C$5000,MATCH($C1335,DATA_MASTER!$D$2:$D$5000,0)),""))</f>
        <v/>
      </c>
      <c r="E1335" s="22">
        <f t="array" ref="E1335">IF($C1335="","",IFERROR(INDEX(DATA_MASTER!$I$2:$I$5000,MATCH($C1335,DATA_MASTER!$D$2:$D$5000,0)),""))</f>
        <v/>
      </c>
      <c r="F1335" s="22">
        <f t="array" ref="F1335">IF($C1335="","",IFERROR(INDEX(DATA_MASTER!$L$2:$L$5000,MATCH($C1335,DATA_MASTER!$D$2:$D$5000,0)),""))</f>
        <v/>
      </c>
      <c r="G1335" s="24" t="n"/>
      <c r="H1335" s="24" t="n"/>
      <c r="I1335" s="30" t="n"/>
      <c r="J1335" s="23">
        <f>IF(OR($H1335="",$I1335=""),"",$H1335*$I1335)</f>
        <v/>
      </c>
      <c r="K1335" s="24" t="n"/>
      <c r="L1335" s="24" t="n"/>
      <c r="M1335" s="29" t="n"/>
      <c r="N1335" s="28" t="n"/>
      <c r="O1335" s="24" t="n"/>
      <c r="P1335" s="24" t="n"/>
      <c r="Q1335" s="24" t="n"/>
      <c r="R1335" s="24" t="n"/>
      <c r="S1335" s="22">
        <f>IF(AND($A1335="",$C1335=""),"",IF($A1335="","Thiếu mã đơn; ","")&amp;IF(COUNTIF($A$2:$A1335,$A1335)&gt;1,"Trùng mã đơn; ","")&amp;IF(ISNA(MATCH($C1335,DATA_MASTER!$D$2:$D$5000,0)),"SĐT chưa đăng ký hội viên; ","")&amp;IF(AND($L1335="Đã chuyển khoản",$M1335=""),"Thiếu ngày nhận CK; ",""))</f>
        <v/>
      </c>
      <c r="T1335" s="24" t="n"/>
    </row>
    <row r="1336" ht="14.25" customHeight="1" s="40">
      <c r="A1336" s="24" t="n"/>
      <c r="B1336" s="29" t="n"/>
      <c r="C1336" s="28" t="n"/>
      <c r="D1336" s="22">
        <f t="array" ref="D1336">IF($C1336="","",IFERROR(INDEX(DATA_MASTER!$C$2:$C$5000,MATCH($C1336,DATA_MASTER!$D$2:$D$5000,0)),""))</f>
        <v/>
      </c>
      <c r="E1336" s="22">
        <f t="array" ref="E1336">IF($C1336="","",IFERROR(INDEX(DATA_MASTER!$I$2:$I$5000,MATCH($C1336,DATA_MASTER!$D$2:$D$5000,0)),""))</f>
        <v/>
      </c>
      <c r="F1336" s="22">
        <f t="array" ref="F1336">IF($C1336="","",IFERROR(INDEX(DATA_MASTER!$L$2:$L$5000,MATCH($C1336,DATA_MASTER!$D$2:$D$5000,0)),""))</f>
        <v/>
      </c>
      <c r="G1336" s="24" t="n"/>
      <c r="H1336" s="24" t="n"/>
      <c r="I1336" s="30" t="n"/>
      <c r="J1336" s="23">
        <f>IF(OR($H1336="",$I1336=""),"",$H1336*$I1336)</f>
        <v/>
      </c>
      <c r="K1336" s="24" t="n"/>
      <c r="L1336" s="24" t="n"/>
      <c r="M1336" s="29" t="n"/>
      <c r="N1336" s="28" t="n"/>
      <c r="O1336" s="24" t="n"/>
      <c r="P1336" s="24" t="n"/>
      <c r="Q1336" s="24" t="n"/>
      <c r="R1336" s="24" t="n"/>
      <c r="S1336" s="22">
        <f>IF(AND($A1336="",$C1336=""),"",IF($A1336="","Thiếu mã đơn; ","")&amp;IF(COUNTIF($A$2:$A1336,$A1336)&gt;1,"Trùng mã đơn; ","")&amp;IF(ISNA(MATCH($C1336,DATA_MASTER!$D$2:$D$5000,0)),"SĐT chưa đăng ký hội viên; ","")&amp;IF(AND($L1336="Đã chuyển khoản",$M1336=""),"Thiếu ngày nhận CK; ",""))</f>
        <v/>
      </c>
      <c r="T1336" s="24" t="n"/>
    </row>
    <row r="1337" ht="14.25" customHeight="1" s="40">
      <c r="A1337" s="24" t="n"/>
      <c r="B1337" s="29" t="n"/>
      <c r="C1337" s="28" t="n"/>
      <c r="D1337" s="22">
        <f t="array" ref="D1337">IF($C1337="","",IFERROR(INDEX(DATA_MASTER!$C$2:$C$5000,MATCH($C1337,DATA_MASTER!$D$2:$D$5000,0)),""))</f>
        <v/>
      </c>
      <c r="E1337" s="22">
        <f t="array" ref="E1337">IF($C1337="","",IFERROR(INDEX(DATA_MASTER!$I$2:$I$5000,MATCH($C1337,DATA_MASTER!$D$2:$D$5000,0)),""))</f>
        <v/>
      </c>
      <c r="F1337" s="22">
        <f t="array" ref="F1337">IF($C1337="","",IFERROR(INDEX(DATA_MASTER!$L$2:$L$5000,MATCH($C1337,DATA_MASTER!$D$2:$D$5000,0)),""))</f>
        <v/>
      </c>
      <c r="G1337" s="24" t="n"/>
      <c r="H1337" s="24" t="n"/>
      <c r="I1337" s="30" t="n"/>
      <c r="J1337" s="23">
        <f>IF(OR($H1337="",$I1337=""),"",$H1337*$I1337)</f>
        <v/>
      </c>
      <c r="K1337" s="24" t="n"/>
      <c r="L1337" s="24" t="n"/>
      <c r="M1337" s="29" t="n"/>
      <c r="N1337" s="28" t="n"/>
      <c r="O1337" s="24" t="n"/>
      <c r="P1337" s="24" t="n"/>
      <c r="Q1337" s="24" t="n"/>
      <c r="R1337" s="24" t="n"/>
      <c r="S1337" s="22">
        <f>IF(AND($A1337="",$C1337=""),"",IF($A1337="","Thiếu mã đơn; ","")&amp;IF(COUNTIF($A$2:$A1337,$A1337)&gt;1,"Trùng mã đơn; ","")&amp;IF(ISNA(MATCH($C1337,DATA_MASTER!$D$2:$D$5000,0)),"SĐT chưa đăng ký hội viên; ","")&amp;IF(AND($L1337="Đã chuyển khoản",$M1337=""),"Thiếu ngày nhận CK; ",""))</f>
        <v/>
      </c>
      <c r="T1337" s="24" t="n"/>
    </row>
    <row r="1338" ht="14.25" customHeight="1" s="40">
      <c r="A1338" s="24" t="n"/>
      <c r="B1338" s="29" t="n"/>
      <c r="C1338" s="28" t="n"/>
      <c r="D1338" s="22">
        <f t="array" ref="D1338">IF($C1338="","",IFERROR(INDEX(DATA_MASTER!$C$2:$C$5000,MATCH($C1338,DATA_MASTER!$D$2:$D$5000,0)),""))</f>
        <v/>
      </c>
      <c r="E1338" s="22">
        <f t="array" ref="E1338">IF($C1338="","",IFERROR(INDEX(DATA_MASTER!$I$2:$I$5000,MATCH($C1338,DATA_MASTER!$D$2:$D$5000,0)),""))</f>
        <v/>
      </c>
      <c r="F1338" s="22">
        <f t="array" ref="F1338">IF($C1338="","",IFERROR(INDEX(DATA_MASTER!$L$2:$L$5000,MATCH($C1338,DATA_MASTER!$D$2:$D$5000,0)),""))</f>
        <v/>
      </c>
      <c r="G1338" s="24" t="n"/>
      <c r="H1338" s="24" t="n"/>
      <c r="I1338" s="30" t="n"/>
      <c r="J1338" s="23">
        <f>IF(OR($H1338="",$I1338=""),"",$H1338*$I1338)</f>
        <v/>
      </c>
      <c r="K1338" s="24" t="n"/>
      <c r="L1338" s="24" t="n"/>
      <c r="M1338" s="29" t="n"/>
      <c r="N1338" s="28" t="n"/>
      <c r="O1338" s="24" t="n"/>
      <c r="P1338" s="24" t="n"/>
      <c r="Q1338" s="24" t="n"/>
      <c r="R1338" s="24" t="n"/>
      <c r="S1338" s="22">
        <f>IF(AND($A1338="",$C1338=""),"",IF($A1338="","Thiếu mã đơn; ","")&amp;IF(COUNTIF($A$2:$A1338,$A1338)&gt;1,"Trùng mã đơn; ","")&amp;IF(ISNA(MATCH($C1338,DATA_MASTER!$D$2:$D$5000,0)),"SĐT chưa đăng ký hội viên; ","")&amp;IF(AND($L1338="Đã chuyển khoản",$M1338=""),"Thiếu ngày nhận CK; ",""))</f>
        <v/>
      </c>
      <c r="T1338" s="24" t="n"/>
    </row>
    <row r="1339" ht="14.25" customHeight="1" s="40">
      <c r="A1339" s="24" t="n"/>
      <c r="B1339" s="29" t="n"/>
      <c r="C1339" s="28" t="n"/>
      <c r="D1339" s="22">
        <f t="array" ref="D1339">IF($C1339="","",IFERROR(INDEX(DATA_MASTER!$C$2:$C$5000,MATCH($C1339,DATA_MASTER!$D$2:$D$5000,0)),""))</f>
        <v/>
      </c>
      <c r="E1339" s="22">
        <f t="array" ref="E1339">IF($C1339="","",IFERROR(INDEX(DATA_MASTER!$I$2:$I$5000,MATCH($C1339,DATA_MASTER!$D$2:$D$5000,0)),""))</f>
        <v/>
      </c>
      <c r="F1339" s="22">
        <f t="array" ref="F1339">IF($C1339="","",IFERROR(INDEX(DATA_MASTER!$L$2:$L$5000,MATCH($C1339,DATA_MASTER!$D$2:$D$5000,0)),""))</f>
        <v/>
      </c>
      <c r="G1339" s="24" t="n"/>
      <c r="H1339" s="24" t="n"/>
      <c r="I1339" s="30" t="n"/>
      <c r="J1339" s="23">
        <f>IF(OR($H1339="",$I1339=""),"",$H1339*$I1339)</f>
        <v/>
      </c>
      <c r="K1339" s="24" t="n"/>
      <c r="L1339" s="24" t="n"/>
      <c r="M1339" s="29" t="n"/>
      <c r="N1339" s="28" t="n"/>
      <c r="O1339" s="24" t="n"/>
      <c r="P1339" s="24" t="n"/>
      <c r="Q1339" s="24" t="n"/>
      <c r="R1339" s="24" t="n"/>
      <c r="S1339" s="22">
        <f>IF(AND($A1339="",$C1339=""),"",IF($A1339="","Thiếu mã đơn; ","")&amp;IF(COUNTIF($A$2:$A1339,$A1339)&gt;1,"Trùng mã đơn; ","")&amp;IF(ISNA(MATCH($C1339,DATA_MASTER!$D$2:$D$5000,0)),"SĐT chưa đăng ký hội viên; ","")&amp;IF(AND($L1339="Đã chuyển khoản",$M1339=""),"Thiếu ngày nhận CK; ",""))</f>
        <v/>
      </c>
      <c r="T1339" s="24" t="n"/>
    </row>
    <row r="1340" ht="14.25" customHeight="1" s="40">
      <c r="A1340" s="24" t="n"/>
      <c r="B1340" s="29" t="n"/>
      <c r="C1340" s="28" t="n"/>
      <c r="D1340" s="22">
        <f t="array" ref="D1340">IF($C1340="","",IFERROR(INDEX(DATA_MASTER!$C$2:$C$5000,MATCH($C1340,DATA_MASTER!$D$2:$D$5000,0)),""))</f>
        <v/>
      </c>
      <c r="E1340" s="22">
        <f t="array" ref="E1340">IF($C1340="","",IFERROR(INDEX(DATA_MASTER!$I$2:$I$5000,MATCH($C1340,DATA_MASTER!$D$2:$D$5000,0)),""))</f>
        <v/>
      </c>
      <c r="F1340" s="22">
        <f t="array" ref="F1340">IF($C1340="","",IFERROR(INDEX(DATA_MASTER!$L$2:$L$5000,MATCH($C1340,DATA_MASTER!$D$2:$D$5000,0)),""))</f>
        <v/>
      </c>
      <c r="G1340" s="24" t="n"/>
      <c r="H1340" s="24" t="n"/>
      <c r="I1340" s="30" t="n"/>
      <c r="J1340" s="23">
        <f>IF(OR($H1340="",$I1340=""),"",$H1340*$I1340)</f>
        <v/>
      </c>
      <c r="K1340" s="24" t="n"/>
      <c r="L1340" s="24" t="n"/>
      <c r="M1340" s="29" t="n"/>
      <c r="N1340" s="28" t="n"/>
      <c r="O1340" s="24" t="n"/>
      <c r="P1340" s="24" t="n"/>
      <c r="Q1340" s="24" t="n"/>
      <c r="R1340" s="24" t="n"/>
      <c r="S1340" s="22">
        <f>IF(AND($A1340="",$C1340=""),"",IF($A1340="","Thiếu mã đơn; ","")&amp;IF(COUNTIF($A$2:$A1340,$A1340)&gt;1,"Trùng mã đơn; ","")&amp;IF(ISNA(MATCH($C1340,DATA_MASTER!$D$2:$D$5000,0)),"SĐT chưa đăng ký hội viên; ","")&amp;IF(AND($L1340="Đã chuyển khoản",$M1340=""),"Thiếu ngày nhận CK; ",""))</f>
        <v/>
      </c>
      <c r="T1340" s="24" t="n"/>
    </row>
    <row r="1341" ht="14.25" customHeight="1" s="40">
      <c r="A1341" s="24" t="n"/>
      <c r="B1341" s="29" t="n"/>
      <c r="C1341" s="28" t="n"/>
      <c r="D1341" s="22">
        <f t="array" ref="D1341">IF($C1341="","",IFERROR(INDEX(DATA_MASTER!$C$2:$C$5000,MATCH($C1341,DATA_MASTER!$D$2:$D$5000,0)),""))</f>
        <v/>
      </c>
      <c r="E1341" s="22">
        <f t="array" ref="E1341">IF($C1341="","",IFERROR(INDEX(DATA_MASTER!$I$2:$I$5000,MATCH($C1341,DATA_MASTER!$D$2:$D$5000,0)),""))</f>
        <v/>
      </c>
      <c r="F1341" s="22">
        <f t="array" ref="F1341">IF($C1341="","",IFERROR(INDEX(DATA_MASTER!$L$2:$L$5000,MATCH($C1341,DATA_MASTER!$D$2:$D$5000,0)),""))</f>
        <v/>
      </c>
      <c r="G1341" s="24" t="n"/>
      <c r="H1341" s="24" t="n"/>
      <c r="I1341" s="30" t="n"/>
      <c r="J1341" s="23">
        <f>IF(OR($H1341="",$I1341=""),"",$H1341*$I1341)</f>
        <v/>
      </c>
      <c r="K1341" s="24" t="n"/>
      <c r="L1341" s="24" t="n"/>
      <c r="M1341" s="29" t="n"/>
      <c r="N1341" s="28" t="n"/>
      <c r="O1341" s="24" t="n"/>
      <c r="P1341" s="24" t="n"/>
      <c r="Q1341" s="24" t="n"/>
      <c r="R1341" s="24" t="n"/>
      <c r="S1341" s="22">
        <f>IF(AND($A1341="",$C1341=""),"",IF($A1341="","Thiếu mã đơn; ","")&amp;IF(COUNTIF($A$2:$A1341,$A1341)&gt;1,"Trùng mã đơn; ","")&amp;IF(ISNA(MATCH($C1341,DATA_MASTER!$D$2:$D$5000,0)),"SĐT chưa đăng ký hội viên; ","")&amp;IF(AND($L1341="Đã chuyển khoản",$M1341=""),"Thiếu ngày nhận CK; ",""))</f>
        <v/>
      </c>
      <c r="T1341" s="24" t="n"/>
    </row>
    <row r="1342" ht="14.25" customHeight="1" s="40">
      <c r="A1342" s="24" t="n"/>
      <c r="B1342" s="29" t="n"/>
      <c r="C1342" s="28" t="n"/>
      <c r="D1342" s="22">
        <f t="array" ref="D1342">IF($C1342="","",IFERROR(INDEX(DATA_MASTER!$C$2:$C$5000,MATCH($C1342,DATA_MASTER!$D$2:$D$5000,0)),""))</f>
        <v/>
      </c>
      <c r="E1342" s="22">
        <f t="array" ref="E1342">IF($C1342="","",IFERROR(INDEX(DATA_MASTER!$I$2:$I$5000,MATCH($C1342,DATA_MASTER!$D$2:$D$5000,0)),""))</f>
        <v/>
      </c>
      <c r="F1342" s="22">
        <f t="array" ref="F1342">IF($C1342="","",IFERROR(INDEX(DATA_MASTER!$L$2:$L$5000,MATCH($C1342,DATA_MASTER!$D$2:$D$5000,0)),""))</f>
        <v/>
      </c>
      <c r="G1342" s="24" t="n"/>
      <c r="H1342" s="24" t="n"/>
      <c r="I1342" s="30" t="n"/>
      <c r="J1342" s="23">
        <f>IF(OR($H1342="",$I1342=""),"",$H1342*$I1342)</f>
        <v/>
      </c>
      <c r="K1342" s="24" t="n"/>
      <c r="L1342" s="24" t="n"/>
      <c r="M1342" s="29" t="n"/>
      <c r="N1342" s="28" t="n"/>
      <c r="O1342" s="24" t="n"/>
      <c r="P1342" s="24" t="n"/>
      <c r="Q1342" s="24" t="n"/>
      <c r="R1342" s="24" t="n"/>
      <c r="S1342" s="22">
        <f>IF(AND($A1342="",$C1342=""),"",IF($A1342="","Thiếu mã đơn; ","")&amp;IF(COUNTIF($A$2:$A1342,$A1342)&gt;1,"Trùng mã đơn; ","")&amp;IF(ISNA(MATCH($C1342,DATA_MASTER!$D$2:$D$5000,0)),"SĐT chưa đăng ký hội viên; ","")&amp;IF(AND($L1342="Đã chuyển khoản",$M1342=""),"Thiếu ngày nhận CK; ",""))</f>
        <v/>
      </c>
      <c r="T1342" s="24" t="n"/>
    </row>
    <row r="1343" ht="14.25" customHeight="1" s="40">
      <c r="A1343" s="24" t="n"/>
      <c r="B1343" s="29" t="n"/>
      <c r="C1343" s="28" t="n"/>
      <c r="D1343" s="22">
        <f t="array" ref="D1343">IF($C1343="","",IFERROR(INDEX(DATA_MASTER!$C$2:$C$5000,MATCH($C1343,DATA_MASTER!$D$2:$D$5000,0)),""))</f>
        <v/>
      </c>
      <c r="E1343" s="22">
        <f t="array" ref="E1343">IF($C1343="","",IFERROR(INDEX(DATA_MASTER!$I$2:$I$5000,MATCH($C1343,DATA_MASTER!$D$2:$D$5000,0)),""))</f>
        <v/>
      </c>
      <c r="F1343" s="22">
        <f t="array" ref="F1343">IF($C1343="","",IFERROR(INDEX(DATA_MASTER!$L$2:$L$5000,MATCH($C1343,DATA_MASTER!$D$2:$D$5000,0)),""))</f>
        <v/>
      </c>
      <c r="G1343" s="24" t="n"/>
      <c r="H1343" s="24" t="n"/>
      <c r="I1343" s="30" t="n"/>
      <c r="J1343" s="23">
        <f>IF(OR($H1343="",$I1343=""),"",$H1343*$I1343)</f>
        <v/>
      </c>
      <c r="K1343" s="24" t="n"/>
      <c r="L1343" s="24" t="n"/>
      <c r="M1343" s="29" t="n"/>
      <c r="N1343" s="28" t="n"/>
      <c r="O1343" s="24" t="n"/>
      <c r="P1343" s="24" t="n"/>
      <c r="Q1343" s="24" t="n"/>
      <c r="R1343" s="24" t="n"/>
      <c r="S1343" s="22">
        <f>IF(AND($A1343="",$C1343=""),"",IF($A1343="","Thiếu mã đơn; ","")&amp;IF(COUNTIF($A$2:$A1343,$A1343)&gt;1,"Trùng mã đơn; ","")&amp;IF(ISNA(MATCH($C1343,DATA_MASTER!$D$2:$D$5000,0)),"SĐT chưa đăng ký hội viên; ","")&amp;IF(AND($L1343="Đã chuyển khoản",$M1343=""),"Thiếu ngày nhận CK; ",""))</f>
        <v/>
      </c>
      <c r="T1343" s="24" t="n"/>
    </row>
    <row r="1344" ht="14.25" customHeight="1" s="40">
      <c r="A1344" s="24" t="n"/>
      <c r="B1344" s="29" t="n"/>
      <c r="C1344" s="28" t="n"/>
      <c r="D1344" s="22">
        <f t="array" ref="D1344">IF($C1344="","",IFERROR(INDEX(DATA_MASTER!$C$2:$C$5000,MATCH($C1344,DATA_MASTER!$D$2:$D$5000,0)),""))</f>
        <v/>
      </c>
      <c r="E1344" s="22">
        <f t="array" ref="E1344">IF($C1344="","",IFERROR(INDEX(DATA_MASTER!$I$2:$I$5000,MATCH($C1344,DATA_MASTER!$D$2:$D$5000,0)),""))</f>
        <v/>
      </c>
      <c r="F1344" s="22">
        <f t="array" ref="F1344">IF($C1344="","",IFERROR(INDEX(DATA_MASTER!$L$2:$L$5000,MATCH($C1344,DATA_MASTER!$D$2:$D$5000,0)),""))</f>
        <v/>
      </c>
      <c r="G1344" s="24" t="n"/>
      <c r="H1344" s="24" t="n"/>
      <c r="I1344" s="30" t="n"/>
      <c r="J1344" s="23">
        <f>IF(OR($H1344="",$I1344=""),"",$H1344*$I1344)</f>
        <v/>
      </c>
      <c r="K1344" s="24" t="n"/>
      <c r="L1344" s="24" t="n"/>
      <c r="M1344" s="29" t="n"/>
      <c r="N1344" s="28" t="n"/>
      <c r="O1344" s="24" t="n"/>
      <c r="P1344" s="24" t="n"/>
      <c r="Q1344" s="24" t="n"/>
      <c r="R1344" s="24" t="n"/>
      <c r="S1344" s="22">
        <f>IF(AND($A1344="",$C1344=""),"",IF($A1344="","Thiếu mã đơn; ","")&amp;IF(COUNTIF($A$2:$A1344,$A1344)&gt;1,"Trùng mã đơn; ","")&amp;IF(ISNA(MATCH($C1344,DATA_MASTER!$D$2:$D$5000,0)),"SĐT chưa đăng ký hội viên; ","")&amp;IF(AND($L1344="Đã chuyển khoản",$M1344=""),"Thiếu ngày nhận CK; ",""))</f>
        <v/>
      </c>
      <c r="T1344" s="24" t="n"/>
    </row>
    <row r="1345" ht="14.25" customHeight="1" s="40">
      <c r="A1345" s="24" t="n"/>
      <c r="B1345" s="29" t="n"/>
      <c r="C1345" s="28" t="n"/>
      <c r="D1345" s="22">
        <f t="array" ref="D1345">IF($C1345="","",IFERROR(INDEX(DATA_MASTER!$C$2:$C$5000,MATCH($C1345,DATA_MASTER!$D$2:$D$5000,0)),""))</f>
        <v/>
      </c>
      <c r="E1345" s="22">
        <f t="array" ref="E1345">IF($C1345="","",IFERROR(INDEX(DATA_MASTER!$I$2:$I$5000,MATCH($C1345,DATA_MASTER!$D$2:$D$5000,0)),""))</f>
        <v/>
      </c>
      <c r="F1345" s="22">
        <f t="array" ref="F1345">IF($C1345="","",IFERROR(INDEX(DATA_MASTER!$L$2:$L$5000,MATCH($C1345,DATA_MASTER!$D$2:$D$5000,0)),""))</f>
        <v/>
      </c>
      <c r="G1345" s="24" t="n"/>
      <c r="H1345" s="24" t="n"/>
      <c r="I1345" s="30" t="n"/>
      <c r="J1345" s="23">
        <f>IF(OR($H1345="",$I1345=""),"",$H1345*$I1345)</f>
        <v/>
      </c>
      <c r="K1345" s="24" t="n"/>
      <c r="L1345" s="24" t="n"/>
      <c r="M1345" s="29" t="n"/>
      <c r="N1345" s="28" t="n"/>
      <c r="O1345" s="24" t="n"/>
      <c r="P1345" s="24" t="n"/>
      <c r="Q1345" s="24" t="n"/>
      <c r="R1345" s="24" t="n"/>
      <c r="S1345" s="22">
        <f>IF(AND($A1345="",$C1345=""),"",IF($A1345="","Thiếu mã đơn; ","")&amp;IF(COUNTIF($A$2:$A1345,$A1345)&gt;1,"Trùng mã đơn; ","")&amp;IF(ISNA(MATCH($C1345,DATA_MASTER!$D$2:$D$5000,0)),"SĐT chưa đăng ký hội viên; ","")&amp;IF(AND($L1345="Đã chuyển khoản",$M1345=""),"Thiếu ngày nhận CK; ",""))</f>
        <v/>
      </c>
      <c r="T1345" s="24" t="n"/>
    </row>
    <row r="1346" ht="14.25" customHeight="1" s="40">
      <c r="A1346" s="24" t="n"/>
      <c r="B1346" s="29" t="n"/>
      <c r="C1346" s="28" t="n"/>
      <c r="D1346" s="22">
        <f t="array" ref="D1346">IF($C1346="","",IFERROR(INDEX(DATA_MASTER!$C$2:$C$5000,MATCH($C1346,DATA_MASTER!$D$2:$D$5000,0)),""))</f>
        <v/>
      </c>
      <c r="E1346" s="22">
        <f t="array" ref="E1346">IF($C1346="","",IFERROR(INDEX(DATA_MASTER!$I$2:$I$5000,MATCH($C1346,DATA_MASTER!$D$2:$D$5000,0)),""))</f>
        <v/>
      </c>
      <c r="F1346" s="22">
        <f t="array" ref="F1346">IF($C1346="","",IFERROR(INDEX(DATA_MASTER!$L$2:$L$5000,MATCH($C1346,DATA_MASTER!$D$2:$D$5000,0)),""))</f>
        <v/>
      </c>
      <c r="G1346" s="24" t="n"/>
      <c r="H1346" s="24" t="n"/>
      <c r="I1346" s="30" t="n"/>
      <c r="J1346" s="23">
        <f>IF(OR($H1346="",$I1346=""),"",$H1346*$I1346)</f>
        <v/>
      </c>
      <c r="K1346" s="24" t="n"/>
      <c r="L1346" s="24" t="n"/>
      <c r="M1346" s="29" t="n"/>
      <c r="N1346" s="28" t="n"/>
      <c r="O1346" s="24" t="n"/>
      <c r="P1346" s="24" t="n"/>
      <c r="Q1346" s="24" t="n"/>
      <c r="R1346" s="24" t="n"/>
      <c r="S1346" s="22">
        <f>IF(AND($A1346="",$C1346=""),"",IF($A1346="","Thiếu mã đơn; ","")&amp;IF(COUNTIF($A$2:$A1346,$A1346)&gt;1,"Trùng mã đơn; ","")&amp;IF(ISNA(MATCH($C1346,DATA_MASTER!$D$2:$D$5000,0)),"SĐT chưa đăng ký hội viên; ","")&amp;IF(AND($L1346="Đã chuyển khoản",$M1346=""),"Thiếu ngày nhận CK; ",""))</f>
        <v/>
      </c>
      <c r="T1346" s="24" t="n"/>
    </row>
    <row r="1347" ht="14.25" customHeight="1" s="40">
      <c r="A1347" s="24" t="n"/>
      <c r="B1347" s="29" t="n"/>
      <c r="C1347" s="28" t="n"/>
      <c r="D1347" s="22">
        <f t="array" ref="D1347">IF($C1347="","",IFERROR(INDEX(DATA_MASTER!$C$2:$C$5000,MATCH($C1347,DATA_MASTER!$D$2:$D$5000,0)),""))</f>
        <v/>
      </c>
      <c r="E1347" s="22">
        <f t="array" ref="E1347">IF($C1347="","",IFERROR(INDEX(DATA_MASTER!$I$2:$I$5000,MATCH($C1347,DATA_MASTER!$D$2:$D$5000,0)),""))</f>
        <v/>
      </c>
      <c r="F1347" s="22">
        <f t="array" ref="F1347">IF($C1347="","",IFERROR(INDEX(DATA_MASTER!$L$2:$L$5000,MATCH($C1347,DATA_MASTER!$D$2:$D$5000,0)),""))</f>
        <v/>
      </c>
      <c r="G1347" s="24" t="n"/>
      <c r="H1347" s="24" t="n"/>
      <c r="I1347" s="30" t="n"/>
      <c r="J1347" s="23">
        <f>IF(OR($H1347="",$I1347=""),"",$H1347*$I1347)</f>
        <v/>
      </c>
      <c r="K1347" s="24" t="n"/>
      <c r="L1347" s="24" t="n"/>
      <c r="M1347" s="29" t="n"/>
      <c r="N1347" s="28" t="n"/>
      <c r="O1347" s="24" t="n"/>
      <c r="P1347" s="24" t="n"/>
      <c r="Q1347" s="24" t="n"/>
      <c r="R1347" s="24" t="n"/>
      <c r="S1347" s="22">
        <f>IF(AND($A1347="",$C1347=""),"",IF($A1347="","Thiếu mã đơn; ","")&amp;IF(COUNTIF($A$2:$A1347,$A1347)&gt;1,"Trùng mã đơn; ","")&amp;IF(ISNA(MATCH($C1347,DATA_MASTER!$D$2:$D$5000,0)),"SĐT chưa đăng ký hội viên; ","")&amp;IF(AND($L1347="Đã chuyển khoản",$M1347=""),"Thiếu ngày nhận CK; ",""))</f>
        <v/>
      </c>
      <c r="T1347" s="24" t="n"/>
    </row>
    <row r="1348" ht="14.25" customHeight="1" s="40">
      <c r="A1348" s="24" t="n"/>
      <c r="B1348" s="29" t="n"/>
      <c r="C1348" s="28" t="n"/>
      <c r="D1348" s="22">
        <f t="array" ref="D1348">IF($C1348="","",IFERROR(INDEX(DATA_MASTER!$C$2:$C$5000,MATCH($C1348,DATA_MASTER!$D$2:$D$5000,0)),""))</f>
        <v/>
      </c>
      <c r="E1348" s="22">
        <f t="array" ref="E1348">IF($C1348="","",IFERROR(INDEX(DATA_MASTER!$I$2:$I$5000,MATCH($C1348,DATA_MASTER!$D$2:$D$5000,0)),""))</f>
        <v/>
      </c>
      <c r="F1348" s="22">
        <f t="array" ref="F1348">IF($C1348="","",IFERROR(INDEX(DATA_MASTER!$L$2:$L$5000,MATCH($C1348,DATA_MASTER!$D$2:$D$5000,0)),""))</f>
        <v/>
      </c>
      <c r="G1348" s="24" t="n"/>
      <c r="H1348" s="24" t="n"/>
      <c r="I1348" s="30" t="n"/>
      <c r="J1348" s="23">
        <f>IF(OR($H1348="",$I1348=""),"",$H1348*$I1348)</f>
        <v/>
      </c>
      <c r="K1348" s="24" t="n"/>
      <c r="L1348" s="24" t="n"/>
      <c r="M1348" s="29" t="n"/>
      <c r="N1348" s="28" t="n"/>
      <c r="O1348" s="24" t="n"/>
      <c r="P1348" s="24" t="n"/>
      <c r="Q1348" s="24" t="n"/>
      <c r="R1348" s="24" t="n"/>
      <c r="S1348" s="22">
        <f>IF(AND($A1348="",$C1348=""),"",IF($A1348="","Thiếu mã đơn; ","")&amp;IF(COUNTIF($A$2:$A1348,$A1348)&gt;1,"Trùng mã đơn; ","")&amp;IF(ISNA(MATCH($C1348,DATA_MASTER!$D$2:$D$5000,0)),"SĐT chưa đăng ký hội viên; ","")&amp;IF(AND($L1348="Đã chuyển khoản",$M1348=""),"Thiếu ngày nhận CK; ",""))</f>
        <v/>
      </c>
      <c r="T1348" s="24" t="n"/>
    </row>
    <row r="1349" ht="14.25" customHeight="1" s="40">
      <c r="A1349" s="24" t="n"/>
      <c r="B1349" s="29" t="n"/>
      <c r="C1349" s="28" t="n"/>
      <c r="D1349" s="22">
        <f t="array" ref="D1349">IF($C1349="","",IFERROR(INDEX(DATA_MASTER!$C$2:$C$5000,MATCH($C1349,DATA_MASTER!$D$2:$D$5000,0)),""))</f>
        <v/>
      </c>
      <c r="E1349" s="22">
        <f t="array" ref="E1349">IF($C1349="","",IFERROR(INDEX(DATA_MASTER!$I$2:$I$5000,MATCH($C1349,DATA_MASTER!$D$2:$D$5000,0)),""))</f>
        <v/>
      </c>
      <c r="F1349" s="22">
        <f t="array" ref="F1349">IF($C1349="","",IFERROR(INDEX(DATA_MASTER!$L$2:$L$5000,MATCH($C1349,DATA_MASTER!$D$2:$D$5000,0)),""))</f>
        <v/>
      </c>
      <c r="G1349" s="24" t="n"/>
      <c r="H1349" s="24" t="n"/>
      <c r="I1349" s="30" t="n"/>
      <c r="J1349" s="23">
        <f>IF(OR($H1349="",$I1349=""),"",$H1349*$I1349)</f>
        <v/>
      </c>
      <c r="K1349" s="24" t="n"/>
      <c r="L1349" s="24" t="n"/>
      <c r="M1349" s="29" t="n"/>
      <c r="N1349" s="28" t="n"/>
      <c r="O1349" s="24" t="n"/>
      <c r="P1349" s="24" t="n"/>
      <c r="Q1349" s="24" t="n"/>
      <c r="R1349" s="24" t="n"/>
      <c r="S1349" s="22">
        <f>IF(AND($A1349="",$C1349=""),"",IF($A1349="","Thiếu mã đơn; ","")&amp;IF(COUNTIF($A$2:$A1349,$A1349)&gt;1,"Trùng mã đơn; ","")&amp;IF(ISNA(MATCH($C1349,DATA_MASTER!$D$2:$D$5000,0)),"SĐT chưa đăng ký hội viên; ","")&amp;IF(AND($L1349="Đã chuyển khoản",$M1349=""),"Thiếu ngày nhận CK; ",""))</f>
        <v/>
      </c>
      <c r="T1349" s="24" t="n"/>
    </row>
    <row r="1350" ht="14.25" customHeight="1" s="40">
      <c r="A1350" s="24" t="n"/>
      <c r="B1350" s="29" t="n"/>
      <c r="C1350" s="28" t="n"/>
      <c r="D1350" s="22">
        <f t="array" ref="D1350">IF($C1350="","",IFERROR(INDEX(DATA_MASTER!$C$2:$C$5000,MATCH($C1350,DATA_MASTER!$D$2:$D$5000,0)),""))</f>
        <v/>
      </c>
      <c r="E1350" s="22">
        <f t="array" ref="E1350">IF($C1350="","",IFERROR(INDEX(DATA_MASTER!$I$2:$I$5000,MATCH($C1350,DATA_MASTER!$D$2:$D$5000,0)),""))</f>
        <v/>
      </c>
      <c r="F1350" s="22">
        <f t="array" ref="F1350">IF($C1350="","",IFERROR(INDEX(DATA_MASTER!$L$2:$L$5000,MATCH($C1350,DATA_MASTER!$D$2:$D$5000,0)),""))</f>
        <v/>
      </c>
      <c r="G1350" s="24" t="n"/>
      <c r="H1350" s="24" t="n"/>
      <c r="I1350" s="30" t="n"/>
      <c r="J1350" s="23">
        <f>IF(OR($H1350="",$I1350=""),"",$H1350*$I1350)</f>
        <v/>
      </c>
      <c r="K1350" s="24" t="n"/>
      <c r="L1350" s="24" t="n"/>
      <c r="M1350" s="29" t="n"/>
      <c r="N1350" s="28" t="n"/>
      <c r="O1350" s="24" t="n"/>
      <c r="P1350" s="24" t="n"/>
      <c r="Q1350" s="24" t="n"/>
      <c r="R1350" s="24" t="n"/>
      <c r="S1350" s="22">
        <f>IF(AND($A1350="",$C1350=""),"",IF($A1350="","Thiếu mã đơn; ","")&amp;IF(COUNTIF($A$2:$A1350,$A1350)&gt;1,"Trùng mã đơn; ","")&amp;IF(ISNA(MATCH($C1350,DATA_MASTER!$D$2:$D$5000,0)),"SĐT chưa đăng ký hội viên; ","")&amp;IF(AND($L1350="Đã chuyển khoản",$M1350=""),"Thiếu ngày nhận CK; ",""))</f>
        <v/>
      </c>
      <c r="T1350" s="24" t="n"/>
    </row>
    <row r="1351" ht="14.25" customHeight="1" s="40">
      <c r="A1351" s="24" t="n"/>
      <c r="B1351" s="29" t="n"/>
      <c r="C1351" s="28" t="n"/>
      <c r="D1351" s="22">
        <f t="array" ref="D1351">IF($C1351="","",IFERROR(INDEX(DATA_MASTER!$C$2:$C$5000,MATCH($C1351,DATA_MASTER!$D$2:$D$5000,0)),""))</f>
        <v/>
      </c>
      <c r="E1351" s="22">
        <f t="array" ref="E1351">IF($C1351="","",IFERROR(INDEX(DATA_MASTER!$I$2:$I$5000,MATCH($C1351,DATA_MASTER!$D$2:$D$5000,0)),""))</f>
        <v/>
      </c>
      <c r="F1351" s="22">
        <f t="array" ref="F1351">IF($C1351="","",IFERROR(INDEX(DATA_MASTER!$L$2:$L$5000,MATCH($C1351,DATA_MASTER!$D$2:$D$5000,0)),""))</f>
        <v/>
      </c>
      <c r="G1351" s="24" t="n"/>
      <c r="H1351" s="24" t="n"/>
      <c r="I1351" s="30" t="n"/>
      <c r="J1351" s="23">
        <f>IF(OR($H1351="",$I1351=""),"",$H1351*$I1351)</f>
        <v/>
      </c>
      <c r="K1351" s="24" t="n"/>
      <c r="L1351" s="24" t="n"/>
      <c r="M1351" s="29" t="n"/>
      <c r="N1351" s="28" t="n"/>
      <c r="O1351" s="24" t="n"/>
      <c r="P1351" s="24" t="n"/>
      <c r="Q1351" s="24" t="n"/>
      <c r="R1351" s="24" t="n"/>
      <c r="S1351" s="22">
        <f>IF(AND($A1351="",$C1351=""),"",IF($A1351="","Thiếu mã đơn; ","")&amp;IF(COUNTIF($A$2:$A1351,$A1351)&gt;1,"Trùng mã đơn; ","")&amp;IF(ISNA(MATCH($C1351,DATA_MASTER!$D$2:$D$5000,0)),"SĐT chưa đăng ký hội viên; ","")&amp;IF(AND($L1351="Đã chuyển khoản",$M1351=""),"Thiếu ngày nhận CK; ",""))</f>
        <v/>
      </c>
      <c r="T1351" s="24" t="n"/>
    </row>
    <row r="1352" ht="14.25" customHeight="1" s="40">
      <c r="A1352" s="24" t="n"/>
      <c r="B1352" s="29" t="n"/>
      <c r="C1352" s="28" t="n"/>
      <c r="D1352" s="22">
        <f t="array" ref="D1352">IF($C1352="","",IFERROR(INDEX(DATA_MASTER!$C$2:$C$5000,MATCH($C1352,DATA_MASTER!$D$2:$D$5000,0)),""))</f>
        <v/>
      </c>
      <c r="E1352" s="22">
        <f t="array" ref="E1352">IF($C1352="","",IFERROR(INDEX(DATA_MASTER!$I$2:$I$5000,MATCH($C1352,DATA_MASTER!$D$2:$D$5000,0)),""))</f>
        <v/>
      </c>
      <c r="F1352" s="22">
        <f t="array" ref="F1352">IF($C1352="","",IFERROR(INDEX(DATA_MASTER!$L$2:$L$5000,MATCH($C1352,DATA_MASTER!$D$2:$D$5000,0)),""))</f>
        <v/>
      </c>
      <c r="G1352" s="24" t="n"/>
      <c r="H1352" s="24" t="n"/>
      <c r="I1352" s="30" t="n"/>
      <c r="J1352" s="23">
        <f>IF(OR($H1352="",$I1352=""),"",$H1352*$I1352)</f>
        <v/>
      </c>
      <c r="K1352" s="24" t="n"/>
      <c r="L1352" s="24" t="n"/>
      <c r="M1352" s="29" t="n"/>
      <c r="N1352" s="28" t="n"/>
      <c r="O1352" s="24" t="n"/>
      <c r="P1352" s="24" t="n"/>
      <c r="Q1352" s="24" t="n"/>
      <c r="R1352" s="24" t="n"/>
      <c r="S1352" s="22">
        <f>IF(AND($A1352="",$C1352=""),"",IF($A1352="","Thiếu mã đơn; ","")&amp;IF(COUNTIF($A$2:$A1352,$A1352)&gt;1,"Trùng mã đơn; ","")&amp;IF(ISNA(MATCH($C1352,DATA_MASTER!$D$2:$D$5000,0)),"SĐT chưa đăng ký hội viên; ","")&amp;IF(AND($L1352="Đã chuyển khoản",$M1352=""),"Thiếu ngày nhận CK; ",""))</f>
        <v/>
      </c>
      <c r="T1352" s="24" t="n"/>
    </row>
    <row r="1353" ht="14.25" customHeight="1" s="40">
      <c r="A1353" s="24" t="n"/>
      <c r="B1353" s="29" t="n"/>
      <c r="C1353" s="28" t="n"/>
      <c r="D1353" s="22">
        <f t="array" ref="D1353">IF($C1353="","",IFERROR(INDEX(DATA_MASTER!$C$2:$C$5000,MATCH($C1353,DATA_MASTER!$D$2:$D$5000,0)),""))</f>
        <v/>
      </c>
      <c r="E1353" s="22">
        <f t="array" ref="E1353">IF($C1353="","",IFERROR(INDEX(DATA_MASTER!$I$2:$I$5000,MATCH($C1353,DATA_MASTER!$D$2:$D$5000,0)),""))</f>
        <v/>
      </c>
      <c r="F1353" s="22">
        <f t="array" ref="F1353">IF($C1353="","",IFERROR(INDEX(DATA_MASTER!$L$2:$L$5000,MATCH($C1353,DATA_MASTER!$D$2:$D$5000,0)),""))</f>
        <v/>
      </c>
      <c r="G1353" s="24" t="n"/>
      <c r="H1353" s="24" t="n"/>
      <c r="I1353" s="30" t="n"/>
      <c r="J1353" s="23">
        <f>IF(OR($H1353="",$I1353=""),"",$H1353*$I1353)</f>
        <v/>
      </c>
      <c r="K1353" s="24" t="n"/>
      <c r="L1353" s="24" t="n"/>
      <c r="M1353" s="29" t="n"/>
      <c r="N1353" s="28" t="n"/>
      <c r="O1353" s="24" t="n"/>
      <c r="P1353" s="24" t="n"/>
      <c r="Q1353" s="24" t="n"/>
      <c r="R1353" s="24" t="n"/>
      <c r="S1353" s="22">
        <f>IF(AND($A1353="",$C1353=""),"",IF($A1353="","Thiếu mã đơn; ","")&amp;IF(COUNTIF($A$2:$A1353,$A1353)&gt;1,"Trùng mã đơn; ","")&amp;IF(ISNA(MATCH($C1353,DATA_MASTER!$D$2:$D$5000,0)),"SĐT chưa đăng ký hội viên; ","")&amp;IF(AND($L1353="Đã chuyển khoản",$M1353=""),"Thiếu ngày nhận CK; ",""))</f>
        <v/>
      </c>
      <c r="T1353" s="24" t="n"/>
    </row>
    <row r="1354" ht="14.25" customHeight="1" s="40">
      <c r="A1354" s="24" t="n"/>
      <c r="B1354" s="29" t="n"/>
      <c r="C1354" s="28" t="n"/>
      <c r="D1354" s="22">
        <f t="array" ref="D1354">IF($C1354="","",IFERROR(INDEX(DATA_MASTER!$C$2:$C$5000,MATCH($C1354,DATA_MASTER!$D$2:$D$5000,0)),""))</f>
        <v/>
      </c>
      <c r="E1354" s="22">
        <f t="array" ref="E1354">IF($C1354="","",IFERROR(INDEX(DATA_MASTER!$I$2:$I$5000,MATCH($C1354,DATA_MASTER!$D$2:$D$5000,0)),""))</f>
        <v/>
      </c>
      <c r="F1354" s="22">
        <f t="array" ref="F1354">IF($C1354="","",IFERROR(INDEX(DATA_MASTER!$L$2:$L$5000,MATCH($C1354,DATA_MASTER!$D$2:$D$5000,0)),""))</f>
        <v/>
      </c>
      <c r="G1354" s="24" t="n"/>
      <c r="H1354" s="24" t="n"/>
      <c r="I1354" s="30" t="n"/>
      <c r="J1354" s="23">
        <f>IF(OR($H1354="",$I1354=""),"",$H1354*$I1354)</f>
        <v/>
      </c>
      <c r="K1354" s="24" t="n"/>
      <c r="L1354" s="24" t="n"/>
      <c r="M1354" s="29" t="n"/>
      <c r="N1354" s="28" t="n"/>
      <c r="O1354" s="24" t="n"/>
      <c r="P1354" s="24" t="n"/>
      <c r="Q1354" s="24" t="n"/>
      <c r="R1354" s="24" t="n"/>
      <c r="S1354" s="22">
        <f>IF(AND($A1354="",$C1354=""),"",IF($A1354="","Thiếu mã đơn; ","")&amp;IF(COUNTIF($A$2:$A1354,$A1354)&gt;1,"Trùng mã đơn; ","")&amp;IF(ISNA(MATCH($C1354,DATA_MASTER!$D$2:$D$5000,0)),"SĐT chưa đăng ký hội viên; ","")&amp;IF(AND($L1354="Đã chuyển khoản",$M1354=""),"Thiếu ngày nhận CK; ",""))</f>
        <v/>
      </c>
      <c r="T1354" s="24" t="n"/>
    </row>
    <row r="1355" ht="14.25" customHeight="1" s="40">
      <c r="A1355" s="24" t="n"/>
      <c r="B1355" s="29" t="n"/>
      <c r="C1355" s="28" t="n"/>
      <c r="D1355" s="22">
        <f t="array" ref="D1355">IF($C1355="","",IFERROR(INDEX(DATA_MASTER!$C$2:$C$5000,MATCH($C1355,DATA_MASTER!$D$2:$D$5000,0)),""))</f>
        <v/>
      </c>
      <c r="E1355" s="22">
        <f t="array" ref="E1355">IF($C1355="","",IFERROR(INDEX(DATA_MASTER!$I$2:$I$5000,MATCH($C1355,DATA_MASTER!$D$2:$D$5000,0)),""))</f>
        <v/>
      </c>
      <c r="F1355" s="22">
        <f t="array" ref="F1355">IF($C1355="","",IFERROR(INDEX(DATA_MASTER!$L$2:$L$5000,MATCH($C1355,DATA_MASTER!$D$2:$D$5000,0)),""))</f>
        <v/>
      </c>
      <c r="G1355" s="24" t="n"/>
      <c r="H1355" s="24" t="n"/>
      <c r="I1355" s="30" t="n"/>
      <c r="J1355" s="23">
        <f>IF(OR($H1355="",$I1355=""),"",$H1355*$I1355)</f>
        <v/>
      </c>
      <c r="K1355" s="24" t="n"/>
      <c r="L1355" s="24" t="n"/>
      <c r="M1355" s="29" t="n"/>
      <c r="N1355" s="28" t="n"/>
      <c r="O1355" s="24" t="n"/>
      <c r="P1355" s="24" t="n"/>
      <c r="Q1355" s="24" t="n"/>
      <c r="R1355" s="24" t="n"/>
      <c r="S1355" s="22">
        <f>IF(AND($A1355="",$C1355=""),"",IF($A1355="","Thiếu mã đơn; ","")&amp;IF(COUNTIF($A$2:$A1355,$A1355)&gt;1,"Trùng mã đơn; ","")&amp;IF(ISNA(MATCH($C1355,DATA_MASTER!$D$2:$D$5000,0)),"SĐT chưa đăng ký hội viên; ","")&amp;IF(AND($L1355="Đã chuyển khoản",$M1355=""),"Thiếu ngày nhận CK; ",""))</f>
        <v/>
      </c>
      <c r="T1355" s="24" t="n"/>
    </row>
    <row r="1356" ht="14.25" customHeight="1" s="40">
      <c r="A1356" s="24" t="n"/>
      <c r="B1356" s="29" t="n"/>
      <c r="C1356" s="28" t="n"/>
      <c r="D1356" s="22">
        <f t="array" ref="D1356">IF($C1356="","",IFERROR(INDEX(DATA_MASTER!$C$2:$C$5000,MATCH($C1356,DATA_MASTER!$D$2:$D$5000,0)),""))</f>
        <v/>
      </c>
      <c r="E1356" s="22">
        <f t="array" ref="E1356">IF($C1356="","",IFERROR(INDEX(DATA_MASTER!$I$2:$I$5000,MATCH($C1356,DATA_MASTER!$D$2:$D$5000,0)),""))</f>
        <v/>
      </c>
      <c r="F1356" s="22">
        <f t="array" ref="F1356">IF($C1356="","",IFERROR(INDEX(DATA_MASTER!$L$2:$L$5000,MATCH($C1356,DATA_MASTER!$D$2:$D$5000,0)),""))</f>
        <v/>
      </c>
      <c r="G1356" s="24" t="n"/>
      <c r="H1356" s="24" t="n"/>
      <c r="I1356" s="30" t="n"/>
      <c r="J1356" s="23">
        <f>IF(OR($H1356="",$I1356=""),"",$H1356*$I1356)</f>
        <v/>
      </c>
      <c r="K1356" s="24" t="n"/>
      <c r="L1356" s="24" t="n"/>
      <c r="M1356" s="29" t="n"/>
      <c r="N1356" s="28" t="n"/>
      <c r="O1356" s="24" t="n"/>
      <c r="P1356" s="24" t="n"/>
      <c r="Q1356" s="24" t="n"/>
      <c r="R1356" s="24" t="n"/>
      <c r="S1356" s="22">
        <f>IF(AND($A1356="",$C1356=""),"",IF($A1356="","Thiếu mã đơn; ","")&amp;IF(COUNTIF($A$2:$A1356,$A1356)&gt;1,"Trùng mã đơn; ","")&amp;IF(ISNA(MATCH($C1356,DATA_MASTER!$D$2:$D$5000,0)),"SĐT chưa đăng ký hội viên; ","")&amp;IF(AND($L1356="Đã chuyển khoản",$M1356=""),"Thiếu ngày nhận CK; ",""))</f>
        <v/>
      </c>
      <c r="T1356" s="24" t="n"/>
    </row>
    <row r="1357" ht="14.25" customHeight="1" s="40">
      <c r="A1357" s="24" t="n"/>
      <c r="B1357" s="29" t="n"/>
      <c r="C1357" s="28" t="n"/>
      <c r="D1357" s="22">
        <f t="array" ref="D1357">IF($C1357="","",IFERROR(INDEX(DATA_MASTER!$C$2:$C$5000,MATCH($C1357,DATA_MASTER!$D$2:$D$5000,0)),""))</f>
        <v/>
      </c>
      <c r="E1357" s="22">
        <f t="array" ref="E1357">IF($C1357="","",IFERROR(INDEX(DATA_MASTER!$I$2:$I$5000,MATCH($C1357,DATA_MASTER!$D$2:$D$5000,0)),""))</f>
        <v/>
      </c>
      <c r="F1357" s="22">
        <f t="array" ref="F1357">IF($C1357="","",IFERROR(INDEX(DATA_MASTER!$L$2:$L$5000,MATCH($C1357,DATA_MASTER!$D$2:$D$5000,0)),""))</f>
        <v/>
      </c>
      <c r="G1357" s="24" t="n"/>
      <c r="H1357" s="24" t="n"/>
      <c r="I1357" s="30" t="n"/>
      <c r="J1357" s="23">
        <f>IF(OR($H1357="",$I1357=""),"",$H1357*$I1357)</f>
        <v/>
      </c>
      <c r="K1357" s="24" t="n"/>
      <c r="L1357" s="24" t="n"/>
      <c r="M1357" s="29" t="n"/>
      <c r="N1357" s="28" t="n"/>
      <c r="O1357" s="24" t="n"/>
      <c r="P1357" s="24" t="n"/>
      <c r="Q1357" s="24" t="n"/>
      <c r="R1357" s="24" t="n"/>
      <c r="S1357" s="22">
        <f>IF(AND($A1357="",$C1357=""),"",IF($A1357="","Thiếu mã đơn; ","")&amp;IF(COUNTIF($A$2:$A1357,$A1357)&gt;1,"Trùng mã đơn; ","")&amp;IF(ISNA(MATCH($C1357,DATA_MASTER!$D$2:$D$5000,0)),"SĐT chưa đăng ký hội viên; ","")&amp;IF(AND($L1357="Đã chuyển khoản",$M1357=""),"Thiếu ngày nhận CK; ",""))</f>
        <v/>
      </c>
      <c r="T1357" s="24" t="n"/>
    </row>
    <row r="1358" ht="14.25" customHeight="1" s="40">
      <c r="A1358" s="24" t="n"/>
      <c r="B1358" s="29" t="n"/>
      <c r="C1358" s="28" t="n"/>
      <c r="D1358" s="22">
        <f t="array" ref="D1358">IF($C1358="","",IFERROR(INDEX(DATA_MASTER!$C$2:$C$5000,MATCH($C1358,DATA_MASTER!$D$2:$D$5000,0)),""))</f>
        <v/>
      </c>
      <c r="E1358" s="22">
        <f t="array" ref="E1358">IF($C1358="","",IFERROR(INDEX(DATA_MASTER!$I$2:$I$5000,MATCH($C1358,DATA_MASTER!$D$2:$D$5000,0)),""))</f>
        <v/>
      </c>
      <c r="F1358" s="22">
        <f t="array" ref="F1358">IF($C1358="","",IFERROR(INDEX(DATA_MASTER!$L$2:$L$5000,MATCH($C1358,DATA_MASTER!$D$2:$D$5000,0)),""))</f>
        <v/>
      </c>
      <c r="G1358" s="24" t="n"/>
      <c r="H1358" s="24" t="n"/>
      <c r="I1358" s="30" t="n"/>
      <c r="J1358" s="23">
        <f>IF(OR($H1358="",$I1358=""),"",$H1358*$I1358)</f>
        <v/>
      </c>
      <c r="K1358" s="24" t="n"/>
      <c r="L1358" s="24" t="n"/>
      <c r="M1358" s="29" t="n"/>
      <c r="N1358" s="28" t="n"/>
      <c r="O1358" s="24" t="n"/>
      <c r="P1358" s="24" t="n"/>
      <c r="Q1358" s="24" t="n"/>
      <c r="R1358" s="24" t="n"/>
      <c r="S1358" s="22">
        <f>IF(AND($A1358="",$C1358=""),"",IF($A1358="","Thiếu mã đơn; ","")&amp;IF(COUNTIF($A$2:$A1358,$A1358)&gt;1,"Trùng mã đơn; ","")&amp;IF(ISNA(MATCH($C1358,DATA_MASTER!$D$2:$D$5000,0)),"SĐT chưa đăng ký hội viên; ","")&amp;IF(AND($L1358="Đã chuyển khoản",$M1358=""),"Thiếu ngày nhận CK; ",""))</f>
        <v/>
      </c>
      <c r="T1358" s="24" t="n"/>
    </row>
    <row r="1359" ht="14.25" customHeight="1" s="40">
      <c r="A1359" s="24" t="n"/>
      <c r="B1359" s="29" t="n"/>
      <c r="C1359" s="28" t="n"/>
      <c r="D1359" s="22">
        <f t="array" ref="D1359">IF($C1359="","",IFERROR(INDEX(DATA_MASTER!$C$2:$C$5000,MATCH($C1359,DATA_MASTER!$D$2:$D$5000,0)),""))</f>
        <v/>
      </c>
      <c r="E1359" s="22">
        <f t="array" ref="E1359">IF($C1359="","",IFERROR(INDEX(DATA_MASTER!$I$2:$I$5000,MATCH($C1359,DATA_MASTER!$D$2:$D$5000,0)),""))</f>
        <v/>
      </c>
      <c r="F1359" s="22">
        <f t="array" ref="F1359">IF($C1359="","",IFERROR(INDEX(DATA_MASTER!$L$2:$L$5000,MATCH($C1359,DATA_MASTER!$D$2:$D$5000,0)),""))</f>
        <v/>
      </c>
      <c r="G1359" s="24" t="n"/>
      <c r="H1359" s="24" t="n"/>
      <c r="I1359" s="30" t="n"/>
      <c r="J1359" s="23">
        <f>IF(OR($H1359="",$I1359=""),"",$H1359*$I1359)</f>
        <v/>
      </c>
      <c r="K1359" s="24" t="n"/>
      <c r="L1359" s="24" t="n"/>
      <c r="M1359" s="29" t="n"/>
      <c r="N1359" s="28" t="n"/>
      <c r="O1359" s="24" t="n"/>
      <c r="P1359" s="24" t="n"/>
      <c r="Q1359" s="24" t="n"/>
      <c r="R1359" s="24" t="n"/>
      <c r="S1359" s="22">
        <f>IF(AND($A1359="",$C1359=""),"",IF($A1359="","Thiếu mã đơn; ","")&amp;IF(COUNTIF($A$2:$A1359,$A1359)&gt;1,"Trùng mã đơn; ","")&amp;IF(ISNA(MATCH($C1359,DATA_MASTER!$D$2:$D$5000,0)),"SĐT chưa đăng ký hội viên; ","")&amp;IF(AND($L1359="Đã chuyển khoản",$M1359=""),"Thiếu ngày nhận CK; ",""))</f>
        <v/>
      </c>
      <c r="T1359" s="24" t="n"/>
    </row>
    <row r="1360" ht="14.25" customHeight="1" s="40">
      <c r="A1360" s="24" t="n"/>
      <c r="B1360" s="29" t="n"/>
      <c r="C1360" s="28" t="n"/>
      <c r="D1360" s="22">
        <f t="array" ref="D1360">IF($C1360="","",IFERROR(INDEX(DATA_MASTER!$C$2:$C$5000,MATCH($C1360,DATA_MASTER!$D$2:$D$5000,0)),""))</f>
        <v/>
      </c>
      <c r="E1360" s="22">
        <f t="array" ref="E1360">IF($C1360="","",IFERROR(INDEX(DATA_MASTER!$I$2:$I$5000,MATCH($C1360,DATA_MASTER!$D$2:$D$5000,0)),""))</f>
        <v/>
      </c>
      <c r="F1360" s="22">
        <f t="array" ref="F1360">IF($C1360="","",IFERROR(INDEX(DATA_MASTER!$L$2:$L$5000,MATCH($C1360,DATA_MASTER!$D$2:$D$5000,0)),""))</f>
        <v/>
      </c>
      <c r="G1360" s="24" t="n"/>
      <c r="H1360" s="24" t="n"/>
      <c r="I1360" s="30" t="n"/>
      <c r="J1360" s="23">
        <f>IF(OR($H1360="",$I1360=""),"",$H1360*$I1360)</f>
        <v/>
      </c>
      <c r="K1360" s="24" t="n"/>
      <c r="L1360" s="24" t="n"/>
      <c r="M1360" s="29" t="n"/>
      <c r="N1360" s="28" t="n"/>
      <c r="O1360" s="24" t="n"/>
      <c r="P1360" s="24" t="n"/>
      <c r="Q1360" s="24" t="n"/>
      <c r="R1360" s="24" t="n"/>
      <c r="S1360" s="22">
        <f>IF(AND($A1360="",$C1360=""),"",IF($A1360="","Thiếu mã đơn; ","")&amp;IF(COUNTIF($A$2:$A1360,$A1360)&gt;1,"Trùng mã đơn; ","")&amp;IF(ISNA(MATCH($C1360,DATA_MASTER!$D$2:$D$5000,0)),"SĐT chưa đăng ký hội viên; ","")&amp;IF(AND($L1360="Đã chuyển khoản",$M1360=""),"Thiếu ngày nhận CK; ",""))</f>
        <v/>
      </c>
      <c r="T1360" s="24" t="n"/>
    </row>
    <row r="1361" ht="14.25" customHeight="1" s="40">
      <c r="A1361" s="24" t="n"/>
      <c r="B1361" s="29" t="n"/>
      <c r="C1361" s="28" t="n"/>
      <c r="D1361" s="22">
        <f t="array" ref="D1361">IF($C1361="","",IFERROR(INDEX(DATA_MASTER!$C$2:$C$5000,MATCH($C1361,DATA_MASTER!$D$2:$D$5000,0)),""))</f>
        <v/>
      </c>
      <c r="E1361" s="22">
        <f t="array" ref="E1361">IF($C1361="","",IFERROR(INDEX(DATA_MASTER!$I$2:$I$5000,MATCH($C1361,DATA_MASTER!$D$2:$D$5000,0)),""))</f>
        <v/>
      </c>
      <c r="F1361" s="22">
        <f t="array" ref="F1361">IF($C1361="","",IFERROR(INDEX(DATA_MASTER!$L$2:$L$5000,MATCH($C1361,DATA_MASTER!$D$2:$D$5000,0)),""))</f>
        <v/>
      </c>
      <c r="G1361" s="24" t="n"/>
      <c r="H1361" s="24" t="n"/>
      <c r="I1361" s="30" t="n"/>
      <c r="J1361" s="23">
        <f>IF(OR($H1361="",$I1361=""),"",$H1361*$I1361)</f>
        <v/>
      </c>
      <c r="K1361" s="24" t="n"/>
      <c r="L1361" s="24" t="n"/>
      <c r="M1361" s="29" t="n"/>
      <c r="N1361" s="28" t="n"/>
      <c r="O1361" s="24" t="n"/>
      <c r="P1361" s="24" t="n"/>
      <c r="Q1361" s="24" t="n"/>
      <c r="R1361" s="24" t="n"/>
      <c r="S1361" s="22">
        <f>IF(AND($A1361="",$C1361=""),"",IF($A1361="","Thiếu mã đơn; ","")&amp;IF(COUNTIF($A$2:$A1361,$A1361)&gt;1,"Trùng mã đơn; ","")&amp;IF(ISNA(MATCH($C1361,DATA_MASTER!$D$2:$D$5000,0)),"SĐT chưa đăng ký hội viên; ","")&amp;IF(AND($L1361="Đã chuyển khoản",$M1361=""),"Thiếu ngày nhận CK; ",""))</f>
        <v/>
      </c>
      <c r="T1361" s="24" t="n"/>
    </row>
    <row r="1362" ht="14.25" customHeight="1" s="40">
      <c r="A1362" s="24" t="n"/>
      <c r="B1362" s="29" t="n"/>
      <c r="C1362" s="28" t="n"/>
      <c r="D1362" s="22">
        <f t="array" ref="D1362">IF($C1362="","",IFERROR(INDEX(DATA_MASTER!$C$2:$C$5000,MATCH($C1362,DATA_MASTER!$D$2:$D$5000,0)),""))</f>
        <v/>
      </c>
      <c r="E1362" s="22">
        <f t="array" ref="E1362">IF($C1362="","",IFERROR(INDEX(DATA_MASTER!$I$2:$I$5000,MATCH($C1362,DATA_MASTER!$D$2:$D$5000,0)),""))</f>
        <v/>
      </c>
      <c r="F1362" s="22">
        <f t="array" ref="F1362">IF($C1362="","",IFERROR(INDEX(DATA_MASTER!$L$2:$L$5000,MATCH($C1362,DATA_MASTER!$D$2:$D$5000,0)),""))</f>
        <v/>
      </c>
      <c r="G1362" s="24" t="n"/>
      <c r="H1362" s="24" t="n"/>
      <c r="I1362" s="30" t="n"/>
      <c r="J1362" s="23">
        <f>IF(OR($H1362="",$I1362=""),"",$H1362*$I1362)</f>
        <v/>
      </c>
      <c r="K1362" s="24" t="n"/>
      <c r="L1362" s="24" t="n"/>
      <c r="M1362" s="29" t="n"/>
      <c r="N1362" s="28" t="n"/>
      <c r="O1362" s="24" t="n"/>
      <c r="P1362" s="24" t="n"/>
      <c r="Q1362" s="24" t="n"/>
      <c r="R1362" s="24" t="n"/>
      <c r="S1362" s="22">
        <f>IF(AND($A1362="",$C1362=""),"",IF($A1362="","Thiếu mã đơn; ","")&amp;IF(COUNTIF($A$2:$A1362,$A1362)&gt;1,"Trùng mã đơn; ","")&amp;IF(ISNA(MATCH($C1362,DATA_MASTER!$D$2:$D$5000,0)),"SĐT chưa đăng ký hội viên; ","")&amp;IF(AND($L1362="Đã chuyển khoản",$M1362=""),"Thiếu ngày nhận CK; ",""))</f>
        <v/>
      </c>
      <c r="T1362" s="24" t="n"/>
    </row>
    <row r="1363" ht="14.25" customHeight="1" s="40">
      <c r="A1363" s="24" t="n"/>
      <c r="B1363" s="29" t="n"/>
      <c r="C1363" s="28" t="n"/>
      <c r="D1363" s="22">
        <f t="array" ref="D1363">IF($C1363="","",IFERROR(INDEX(DATA_MASTER!$C$2:$C$5000,MATCH($C1363,DATA_MASTER!$D$2:$D$5000,0)),""))</f>
        <v/>
      </c>
      <c r="E1363" s="22">
        <f t="array" ref="E1363">IF($C1363="","",IFERROR(INDEX(DATA_MASTER!$I$2:$I$5000,MATCH($C1363,DATA_MASTER!$D$2:$D$5000,0)),""))</f>
        <v/>
      </c>
      <c r="F1363" s="22">
        <f t="array" ref="F1363">IF($C1363="","",IFERROR(INDEX(DATA_MASTER!$L$2:$L$5000,MATCH($C1363,DATA_MASTER!$D$2:$D$5000,0)),""))</f>
        <v/>
      </c>
      <c r="G1363" s="24" t="n"/>
      <c r="H1363" s="24" t="n"/>
      <c r="I1363" s="30" t="n"/>
      <c r="J1363" s="23">
        <f>IF(OR($H1363="",$I1363=""),"",$H1363*$I1363)</f>
        <v/>
      </c>
      <c r="K1363" s="24" t="n"/>
      <c r="L1363" s="24" t="n"/>
      <c r="M1363" s="29" t="n"/>
      <c r="N1363" s="28" t="n"/>
      <c r="O1363" s="24" t="n"/>
      <c r="P1363" s="24" t="n"/>
      <c r="Q1363" s="24" t="n"/>
      <c r="R1363" s="24" t="n"/>
      <c r="S1363" s="22">
        <f>IF(AND($A1363="",$C1363=""),"",IF($A1363="","Thiếu mã đơn; ","")&amp;IF(COUNTIF($A$2:$A1363,$A1363)&gt;1,"Trùng mã đơn; ","")&amp;IF(ISNA(MATCH($C1363,DATA_MASTER!$D$2:$D$5000,0)),"SĐT chưa đăng ký hội viên; ","")&amp;IF(AND($L1363="Đã chuyển khoản",$M1363=""),"Thiếu ngày nhận CK; ",""))</f>
        <v/>
      </c>
      <c r="T1363" s="24" t="n"/>
    </row>
    <row r="1364" ht="14.25" customHeight="1" s="40">
      <c r="A1364" s="24" t="n"/>
      <c r="B1364" s="29" t="n"/>
      <c r="C1364" s="28" t="n"/>
      <c r="D1364" s="22">
        <f t="array" ref="D1364">IF($C1364="","",IFERROR(INDEX(DATA_MASTER!$C$2:$C$5000,MATCH($C1364,DATA_MASTER!$D$2:$D$5000,0)),""))</f>
        <v/>
      </c>
      <c r="E1364" s="22">
        <f t="array" ref="E1364">IF($C1364="","",IFERROR(INDEX(DATA_MASTER!$I$2:$I$5000,MATCH($C1364,DATA_MASTER!$D$2:$D$5000,0)),""))</f>
        <v/>
      </c>
      <c r="F1364" s="22">
        <f t="array" ref="F1364">IF($C1364="","",IFERROR(INDEX(DATA_MASTER!$L$2:$L$5000,MATCH($C1364,DATA_MASTER!$D$2:$D$5000,0)),""))</f>
        <v/>
      </c>
      <c r="G1364" s="24" t="n"/>
      <c r="H1364" s="24" t="n"/>
      <c r="I1364" s="30" t="n"/>
      <c r="J1364" s="23">
        <f>IF(OR($H1364="",$I1364=""),"",$H1364*$I1364)</f>
        <v/>
      </c>
      <c r="K1364" s="24" t="n"/>
      <c r="L1364" s="24" t="n"/>
      <c r="M1364" s="29" t="n"/>
      <c r="N1364" s="28" t="n"/>
      <c r="O1364" s="24" t="n"/>
      <c r="P1364" s="24" t="n"/>
      <c r="Q1364" s="24" t="n"/>
      <c r="R1364" s="24" t="n"/>
      <c r="S1364" s="22">
        <f>IF(AND($A1364="",$C1364=""),"",IF($A1364="","Thiếu mã đơn; ","")&amp;IF(COUNTIF($A$2:$A1364,$A1364)&gt;1,"Trùng mã đơn; ","")&amp;IF(ISNA(MATCH($C1364,DATA_MASTER!$D$2:$D$5000,0)),"SĐT chưa đăng ký hội viên; ","")&amp;IF(AND($L1364="Đã chuyển khoản",$M1364=""),"Thiếu ngày nhận CK; ",""))</f>
        <v/>
      </c>
      <c r="T1364" s="24" t="n"/>
    </row>
    <row r="1365" ht="14.25" customHeight="1" s="40">
      <c r="A1365" s="24" t="n"/>
      <c r="B1365" s="29" t="n"/>
      <c r="C1365" s="28" t="n"/>
      <c r="D1365" s="22">
        <f t="array" ref="D1365">IF($C1365="","",IFERROR(INDEX(DATA_MASTER!$C$2:$C$5000,MATCH($C1365,DATA_MASTER!$D$2:$D$5000,0)),""))</f>
        <v/>
      </c>
      <c r="E1365" s="22">
        <f t="array" ref="E1365">IF($C1365="","",IFERROR(INDEX(DATA_MASTER!$I$2:$I$5000,MATCH($C1365,DATA_MASTER!$D$2:$D$5000,0)),""))</f>
        <v/>
      </c>
      <c r="F1365" s="22">
        <f t="array" ref="F1365">IF($C1365="","",IFERROR(INDEX(DATA_MASTER!$L$2:$L$5000,MATCH($C1365,DATA_MASTER!$D$2:$D$5000,0)),""))</f>
        <v/>
      </c>
      <c r="G1365" s="24" t="n"/>
      <c r="H1365" s="24" t="n"/>
      <c r="I1365" s="30" t="n"/>
      <c r="J1365" s="23">
        <f>IF(OR($H1365="",$I1365=""),"",$H1365*$I1365)</f>
        <v/>
      </c>
      <c r="K1365" s="24" t="n"/>
      <c r="L1365" s="24" t="n"/>
      <c r="M1365" s="29" t="n"/>
      <c r="N1365" s="28" t="n"/>
      <c r="O1365" s="24" t="n"/>
      <c r="P1365" s="24" t="n"/>
      <c r="Q1365" s="24" t="n"/>
      <c r="R1365" s="24" t="n"/>
      <c r="S1365" s="22">
        <f>IF(AND($A1365="",$C1365=""),"",IF($A1365="","Thiếu mã đơn; ","")&amp;IF(COUNTIF($A$2:$A1365,$A1365)&gt;1,"Trùng mã đơn; ","")&amp;IF(ISNA(MATCH($C1365,DATA_MASTER!$D$2:$D$5000,0)),"SĐT chưa đăng ký hội viên; ","")&amp;IF(AND($L1365="Đã chuyển khoản",$M1365=""),"Thiếu ngày nhận CK; ",""))</f>
        <v/>
      </c>
      <c r="T1365" s="24" t="n"/>
    </row>
    <row r="1366" ht="14.25" customHeight="1" s="40">
      <c r="A1366" s="24" t="n"/>
      <c r="B1366" s="29" t="n"/>
      <c r="C1366" s="28" t="n"/>
      <c r="D1366" s="22">
        <f t="array" ref="D1366">IF($C1366="","",IFERROR(INDEX(DATA_MASTER!$C$2:$C$5000,MATCH($C1366,DATA_MASTER!$D$2:$D$5000,0)),""))</f>
        <v/>
      </c>
      <c r="E1366" s="22">
        <f t="array" ref="E1366">IF($C1366="","",IFERROR(INDEX(DATA_MASTER!$I$2:$I$5000,MATCH($C1366,DATA_MASTER!$D$2:$D$5000,0)),""))</f>
        <v/>
      </c>
      <c r="F1366" s="22">
        <f t="array" ref="F1366">IF($C1366="","",IFERROR(INDEX(DATA_MASTER!$L$2:$L$5000,MATCH($C1366,DATA_MASTER!$D$2:$D$5000,0)),""))</f>
        <v/>
      </c>
      <c r="G1366" s="24" t="n"/>
      <c r="H1366" s="24" t="n"/>
      <c r="I1366" s="30" t="n"/>
      <c r="J1366" s="23">
        <f>IF(OR($H1366="",$I1366=""),"",$H1366*$I1366)</f>
        <v/>
      </c>
      <c r="K1366" s="24" t="n"/>
      <c r="L1366" s="24" t="n"/>
      <c r="M1366" s="29" t="n"/>
      <c r="N1366" s="28" t="n"/>
      <c r="O1366" s="24" t="n"/>
      <c r="P1366" s="24" t="n"/>
      <c r="Q1366" s="24" t="n"/>
      <c r="R1366" s="24" t="n"/>
      <c r="S1366" s="22">
        <f>IF(AND($A1366="",$C1366=""),"",IF($A1366="","Thiếu mã đơn; ","")&amp;IF(COUNTIF($A$2:$A1366,$A1366)&gt;1,"Trùng mã đơn; ","")&amp;IF(ISNA(MATCH($C1366,DATA_MASTER!$D$2:$D$5000,0)),"SĐT chưa đăng ký hội viên; ","")&amp;IF(AND($L1366="Đã chuyển khoản",$M1366=""),"Thiếu ngày nhận CK; ",""))</f>
        <v/>
      </c>
      <c r="T1366" s="24" t="n"/>
    </row>
    <row r="1367" ht="14.25" customHeight="1" s="40">
      <c r="A1367" s="24" t="n"/>
      <c r="B1367" s="29" t="n"/>
      <c r="C1367" s="28" t="n"/>
      <c r="D1367" s="22">
        <f t="array" ref="D1367">IF($C1367="","",IFERROR(INDEX(DATA_MASTER!$C$2:$C$5000,MATCH($C1367,DATA_MASTER!$D$2:$D$5000,0)),""))</f>
        <v/>
      </c>
      <c r="E1367" s="22">
        <f t="array" ref="E1367">IF($C1367="","",IFERROR(INDEX(DATA_MASTER!$I$2:$I$5000,MATCH($C1367,DATA_MASTER!$D$2:$D$5000,0)),""))</f>
        <v/>
      </c>
      <c r="F1367" s="22">
        <f t="array" ref="F1367">IF($C1367="","",IFERROR(INDEX(DATA_MASTER!$L$2:$L$5000,MATCH($C1367,DATA_MASTER!$D$2:$D$5000,0)),""))</f>
        <v/>
      </c>
      <c r="G1367" s="24" t="n"/>
      <c r="H1367" s="24" t="n"/>
      <c r="I1367" s="30" t="n"/>
      <c r="J1367" s="23">
        <f>IF(OR($H1367="",$I1367=""),"",$H1367*$I1367)</f>
        <v/>
      </c>
      <c r="K1367" s="24" t="n"/>
      <c r="L1367" s="24" t="n"/>
      <c r="M1367" s="29" t="n"/>
      <c r="N1367" s="28" t="n"/>
      <c r="O1367" s="24" t="n"/>
      <c r="P1367" s="24" t="n"/>
      <c r="Q1367" s="24" t="n"/>
      <c r="R1367" s="24" t="n"/>
      <c r="S1367" s="22">
        <f>IF(AND($A1367="",$C1367=""),"",IF($A1367="","Thiếu mã đơn; ","")&amp;IF(COUNTIF($A$2:$A1367,$A1367)&gt;1,"Trùng mã đơn; ","")&amp;IF(ISNA(MATCH($C1367,DATA_MASTER!$D$2:$D$5000,0)),"SĐT chưa đăng ký hội viên; ","")&amp;IF(AND($L1367="Đã chuyển khoản",$M1367=""),"Thiếu ngày nhận CK; ",""))</f>
        <v/>
      </c>
      <c r="T1367" s="24" t="n"/>
    </row>
    <row r="1368" ht="14.25" customHeight="1" s="40">
      <c r="A1368" s="24" t="n"/>
      <c r="B1368" s="29" t="n"/>
      <c r="C1368" s="28" t="n"/>
      <c r="D1368" s="22">
        <f t="array" ref="D1368">IF($C1368="","",IFERROR(INDEX(DATA_MASTER!$C$2:$C$5000,MATCH($C1368,DATA_MASTER!$D$2:$D$5000,0)),""))</f>
        <v/>
      </c>
      <c r="E1368" s="22">
        <f t="array" ref="E1368">IF($C1368="","",IFERROR(INDEX(DATA_MASTER!$I$2:$I$5000,MATCH($C1368,DATA_MASTER!$D$2:$D$5000,0)),""))</f>
        <v/>
      </c>
      <c r="F1368" s="22">
        <f t="array" ref="F1368">IF($C1368="","",IFERROR(INDEX(DATA_MASTER!$L$2:$L$5000,MATCH($C1368,DATA_MASTER!$D$2:$D$5000,0)),""))</f>
        <v/>
      </c>
      <c r="G1368" s="24" t="n"/>
      <c r="H1368" s="24" t="n"/>
      <c r="I1368" s="30" t="n"/>
      <c r="J1368" s="23">
        <f>IF(OR($H1368="",$I1368=""),"",$H1368*$I1368)</f>
        <v/>
      </c>
      <c r="K1368" s="24" t="n"/>
      <c r="L1368" s="24" t="n"/>
      <c r="M1368" s="29" t="n"/>
      <c r="N1368" s="28" t="n"/>
      <c r="O1368" s="24" t="n"/>
      <c r="P1368" s="24" t="n"/>
      <c r="Q1368" s="24" t="n"/>
      <c r="R1368" s="24" t="n"/>
      <c r="S1368" s="22">
        <f>IF(AND($A1368="",$C1368=""),"",IF($A1368="","Thiếu mã đơn; ","")&amp;IF(COUNTIF($A$2:$A1368,$A1368)&gt;1,"Trùng mã đơn; ","")&amp;IF(ISNA(MATCH($C1368,DATA_MASTER!$D$2:$D$5000,0)),"SĐT chưa đăng ký hội viên; ","")&amp;IF(AND($L1368="Đã chuyển khoản",$M1368=""),"Thiếu ngày nhận CK; ",""))</f>
        <v/>
      </c>
      <c r="T1368" s="24" t="n"/>
    </row>
    <row r="1369" ht="14.25" customHeight="1" s="40">
      <c r="A1369" s="24" t="n"/>
      <c r="B1369" s="29" t="n"/>
      <c r="C1369" s="28" t="n"/>
      <c r="D1369" s="22">
        <f t="array" ref="D1369">IF($C1369="","",IFERROR(INDEX(DATA_MASTER!$C$2:$C$5000,MATCH($C1369,DATA_MASTER!$D$2:$D$5000,0)),""))</f>
        <v/>
      </c>
      <c r="E1369" s="22">
        <f t="array" ref="E1369">IF($C1369="","",IFERROR(INDEX(DATA_MASTER!$I$2:$I$5000,MATCH($C1369,DATA_MASTER!$D$2:$D$5000,0)),""))</f>
        <v/>
      </c>
      <c r="F1369" s="22">
        <f t="array" ref="F1369">IF($C1369="","",IFERROR(INDEX(DATA_MASTER!$L$2:$L$5000,MATCH($C1369,DATA_MASTER!$D$2:$D$5000,0)),""))</f>
        <v/>
      </c>
      <c r="G1369" s="24" t="n"/>
      <c r="H1369" s="24" t="n"/>
      <c r="I1369" s="30" t="n"/>
      <c r="J1369" s="23">
        <f>IF(OR($H1369="",$I1369=""),"",$H1369*$I1369)</f>
        <v/>
      </c>
      <c r="K1369" s="24" t="n"/>
      <c r="L1369" s="24" t="n"/>
      <c r="M1369" s="29" t="n"/>
      <c r="N1369" s="28" t="n"/>
      <c r="O1369" s="24" t="n"/>
      <c r="P1369" s="24" t="n"/>
      <c r="Q1369" s="24" t="n"/>
      <c r="R1369" s="24" t="n"/>
      <c r="S1369" s="22">
        <f>IF(AND($A1369="",$C1369=""),"",IF($A1369="","Thiếu mã đơn; ","")&amp;IF(COUNTIF($A$2:$A1369,$A1369)&gt;1,"Trùng mã đơn; ","")&amp;IF(ISNA(MATCH($C1369,DATA_MASTER!$D$2:$D$5000,0)),"SĐT chưa đăng ký hội viên; ","")&amp;IF(AND($L1369="Đã chuyển khoản",$M1369=""),"Thiếu ngày nhận CK; ",""))</f>
        <v/>
      </c>
      <c r="T1369" s="24" t="n"/>
    </row>
    <row r="1370" ht="14.25" customHeight="1" s="40">
      <c r="A1370" s="24" t="n"/>
      <c r="B1370" s="29" t="n"/>
      <c r="C1370" s="28" t="n"/>
      <c r="D1370" s="22">
        <f t="array" ref="D1370">IF($C1370="","",IFERROR(INDEX(DATA_MASTER!$C$2:$C$5000,MATCH($C1370,DATA_MASTER!$D$2:$D$5000,0)),""))</f>
        <v/>
      </c>
      <c r="E1370" s="22">
        <f t="array" ref="E1370">IF($C1370="","",IFERROR(INDEX(DATA_MASTER!$I$2:$I$5000,MATCH($C1370,DATA_MASTER!$D$2:$D$5000,0)),""))</f>
        <v/>
      </c>
      <c r="F1370" s="22">
        <f t="array" ref="F1370">IF($C1370="","",IFERROR(INDEX(DATA_MASTER!$L$2:$L$5000,MATCH($C1370,DATA_MASTER!$D$2:$D$5000,0)),""))</f>
        <v/>
      </c>
      <c r="G1370" s="24" t="n"/>
      <c r="H1370" s="24" t="n"/>
      <c r="I1370" s="30" t="n"/>
      <c r="J1370" s="23">
        <f>IF(OR($H1370="",$I1370=""),"",$H1370*$I1370)</f>
        <v/>
      </c>
      <c r="K1370" s="24" t="n"/>
      <c r="L1370" s="24" t="n"/>
      <c r="M1370" s="29" t="n"/>
      <c r="N1370" s="28" t="n"/>
      <c r="O1370" s="24" t="n"/>
      <c r="P1370" s="24" t="n"/>
      <c r="Q1370" s="24" t="n"/>
      <c r="R1370" s="24" t="n"/>
      <c r="S1370" s="22">
        <f>IF(AND($A1370="",$C1370=""),"",IF($A1370="","Thiếu mã đơn; ","")&amp;IF(COUNTIF($A$2:$A1370,$A1370)&gt;1,"Trùng mã đơn; ","")&amp;IF(ISNA(MATCH($C1370,DATA_MASTER!$D$2:$D$5000,0)),"SĐT chưa đăng ký hội viên; ","")&amp;IF(AND($L1370="Đã chuyển khoản",$M1370=""),"Thiếu ngày nhận CK; ",""))</f>
        <v/>
      </c>
      <c r="T1370" s="24" t="n"/>
    </row>
    <row r="1371" ht="14.25" customHeight="1" s="40">
      <c r="A1371" s="24" t="n"/>
      <c r="B1371" s="29" t="n"/>
      <c r="C1371" s="28" t="n"/>
      <c r="D1371" s="22">
        <f t="array" ref="D1371">IF($C1371="","",IFERROR(INDEX(DATA_MASTER!$C$2:$C$5000,MATCH($C1371,DATA_MASTER!$D$2:$D$5000,0)),""))</f>
        <v/>
      </c>
      <c r="E1371" s="22">
        <f t="array" ref="E1371">IF($C1371="","",IFERROR(INDEX(DATA_MASTER!$I$2:$I$5000,MATCH($C1371,DATA_MASTER!$D$2:$D$5000,0)),""))</f>
        <v/>
      </c>
      <c r="F1371" s="22">
        <f t="array" ref="F1371">IF($C1371="","",IFERROR(INDEX(DATA_MASTER!$L$2:$L$5000,MATCH($C1371,DATA_MASTER!$D$2:$D$5000,0)),""))</f>
        <v/>
      </c>
      <c r="G1371" s="24" t="n"/>
      <c r="H1371" s="24" t="n"/>
      <c r="I1371" s="30" t="n"/>
      <c r="J1371" s="23">
        <f>IF(OR($H1371="",$I1371=""),"",$H1371*$I1371)</f>
        <v/>
      </c>
      <c r="K1371" s="24" t="n"/>
      <c r="L1371" s="24" t="n"/>
      <c r="M1371" s="29" t="n"/>
      <c r="N1371" s="28" t="n"/>
      <c r="O1371" s="24" t="n"/>
      <c r="P1371" s="24" t="n"/>
      <c r="Q1371" s="24" t="n"/>
      <c r="R1371" s="24" t="n"/>
      <c r="S1371" s="22">
        <f>IF(AND($A1371="",$C1371=""),"",IF($A1371="","Thiếu mã đơn; ","")&amp;IF(COUNTIF($A$2:$A1371,$A1371)&gt;1,"Trùng mã đơn; ","")&amp;IF(ISNA(MATCH($C1371,DATA_MASTER!$D$2:$D$5000,0)),"SĐT chưa đăng ký hội viên; ","")&amp;IF(AND($L1371="Đã chuyển khoản",$M1371=""),"Thiếu ngày nhận CK; ",""))</f>
        <v/>
      </c>
      <c r="T1371" s="24" t="n"/>
    </row>
    <row r="1372" ht="14.25" customHeight="1" s="40">
      <c r="A1372" s="24" t="n"/>
      <c r="B1372" s="29" t="n"/>
      <c r="C1372" s="28" t="n"/>
      <c r="D1372" s="22">
        <f t="array" ref="D1372">IF($C1372="","",IFERROR(INDEX(DATA_MASTER!$C$2:$C$5000,MATCH($C1372,DATA_MASTER!$D$2:$D$5000,0)),""))</f>
        <v/>
      </c>
      <c r="E1372" s="22">
        <f t="array" ref="E1372">IF($C1372="","",IFERROR(INDEX(DATA_MASTER!$I$2:$I$5000,MATCH($C1372,DATA_MASTER!$D$2:$D$5000,0)),""))</f>
        <v/>
      </c>
      <c r="F1372" s="22">
        <f t="array" ref="F1372">IF($C1372="","",IFERROR(INDEX(DATA_MASTER!$L$2:$L$5000,MATCH($C1372,DATA_MASTER!$D$2:$D$5000,0)),""))</f>
        <v/>
      </c>
      <c r="G1372" s="24" t="n"/>
      <c r="H1372" s="24" t="n"/>
      <c r="I1372" s="30" t="n"/>
      <c r="J1372" s="23">
        <f>IF(OR($H1372="",$I1372=""),"",$H1372*$I1372)</f>
        <v/>
      </c>
      <c r="K1372" s="24" t="n"/>
      <c r="L1372" s="24" t="n"/>
      <c r="M1372" s="29" t="n"/>
      <c r="N1372" s="28" t="n"/>
      <c r="O1372" s="24" t="n"/>
      <c r="P1372" s="24" t="n"/>
      <c r="Q1372" s="24" t="n"/>
      <c r="R1372" s="24" t="n"/>
      <c r="S1372" s="22">
        <f>IF(AND($A1372="",$C1372=""),"",IF($A1372="","Thiếu mã đơn; ","")&amp;IF(COUNTIF($A$2:$A1372,$A1372)&gt;1,"Trùng mã đơn; ","")&amp;IF(ISNA(MATCH($C1372,DATA_MASTER!$D$2:$D$5000,0)),"SĐT chưa đăng ký hội viên; ","")&amp;IF(AND($L1372="Đã chuyển khoản",$M1372=""),"Thiếu ngày nhận CK; ",""))</f>
        <v/>
      </c>
      <c r="T1372" s="24" t="n"/>
    </row>
    <row r="1373" ht="14.25" customHeight="1" s="40">
      <c r="A1373" s="24" t="n"/>
      <c r="B1373" s="29" t="n"/>
      <c r="C1373" s="28" t="n"/>
      <c r="D1373" s="22">
        <f t="array" ref="D1373">IF($C1373="","",IFERROR(INDEX(DATA_MASTER!$C$2:$C$5000,MATCH($C1373,DATA_MASTER!$D$2:$D$5000,0)),""))</f>
        <v/>
      </c>
      <c r="E1373" s="22">
        <f t="array" ref="E1373">IF($C1373="","",IFERROR(INDEX(DATA_MASTER!$I$2:$I$5000,MATCH($C1373,DATA_MASTER!$D$2:$D$5000,0)),""))</f>
        <v/>
      </c>
      <c r="F1373" s="22">
        <f t="array" ref="F1373">IF($C1373="","",IFERROR(INDEX(DATA_MASTER!$L$2:$L$5000,MATCH($C1373,DATA_MASTER!$D$2:$D$5000,0)),""))</f>
        <v/>
      </c>
      <c r="G1373" s="24" t="n"/>
      <c r="H1373" s="24" t="n"/>
      <c r="I1373" s="30" t="n"/>
      <c r="J1373" s="23">
        <f>IF(OR($H1373="",$I1373=""),"",$H1373*$I1373)</f>
        <v/>
      </c>
      <c r="K1373" s="24" t="n"/>
      <c r="L1373" s="24" t="n"/>
      <c r="M1373" s="29" t="n"/>
      <c r="N1373" s="28" t="n"/>
      <c r="O1373" s="24" t="n"/>
      <c r="P1373" s="24" t="n"/>
      <c r="Q1373" s="24" t="n"/>
      <c r="R1373" s="24" t="n"/>
      <c r="S1373" s="22">
        <f>IF(AND($A1373="",$C1373=""),"",IF($A1373="","Thiếu mã đơn; ","")&amp;IF(COUNTIF($A$2:$A1373,$A1373)&gt;1,"Trùng mã đơn; ","")&amp;IF(ISNA(MATCH($C1373,DATA_MASTER!$D$2:$D$5000,0)),"SĐT chưa đăng ký hội viên; ","")&amp;IF(AND($L1373="Đã chuyển khoản",$M1373=""),"Thiếu ngày nhận CK; ",""))</f>
        <v/>
      </c>
      <c r="T1373" s="24" t="n"/>
    </row>
    <row r="1374" ht="14.25" customHeight="1" s="40">
      <c r="A1374" s="24" t="n"/>
      <c r="B1374" s="29" t="n"/>
      <c r="C1374" s="28" t="n"/>
      <c r="D1374" s="22">
        <f t="array" ref="D1374">IF($C1374="","",IFERROR(INDEX(DATA_MASTER!$C$2:$C$5000,MATCH($C1374,DATA_MASTER!$D$2:$D$5000,0)),""))</f>
        <v/>
      </c>
      <c r="E1374" s="22">
        <f t="array" ref="E1374">IF($C1374="","",IFERROR(INDEX(DATA_MASTER!$I$2:$I$5000,MATCH($C1374,DATA_MASTER!$D$2:$D$5000,0)),""))</f>
        <v/>
      </c>
      <c r="F1374" s="22">
        <f t="array" ref="F1374">IF($C1374="","",IFERROR(INDEX(DATA_MASTER!$L$2:$L$5000,MATCH($C1374,DATA_MASTER!$D$2:$D$5000,0)),""))</f>
        <v/>
      </c>
      <c r="G1374" s="24" t="n"/>
      <c r="H1374" s="24" t="n"/>
      <c r="I1374" s="30" t="n"/>
      <c r="J1374" s="23">
        <f>IF(OR($H1374="",$I1374=""),"",$H1374*$I1374)</f>
        <v/>
      </c>
      <c r="K1374" s="24" t="n"/>
      <c r="L1374" s="24" t="n"/>
      <c r="M1374" s="29" t="n"/>
      <c r="N1374" s="28" t="n"/>
      <c r="O1374" s="24" t="n"/>
      <c r="P1374" s="24" t="n"/>
      <c r="Q1374" s="24" t="n"/>
      <c r="R1374" s="24" t="n"/>
      <c r="S1374" s="22">
        <f>IF(AND($A1374="",$C1374=""),"",IF($A1374="","Thiếu mã đơn; ","")&amp;IF(COUNTIF($A$2:$A1374,$A1374)&gt;1,"Trùng mã đơn; ","")&amp;IF(ISNA(MATCH($C1374,DATA_MASTER!$D$2:$D$5000,0)),"SĐT chưa đăng ký hội viên; ","")&amp;IF(AND($L1374="Đã chuyển khoản",$M1374=""),"Thiếu ngày nhận CK; ",""))</f>
        <v/>
      </c>
      <c r="T1374" s="24" t="n"/>
    </row>
    <row r="1375" ht="14.25" customHeight="1" s="40">
      <c r="A1375" s="24" t="n"/>
      <c r="B1375" s="29" t="n"/>
      <c r="C1375" s="28" t="n"/>
      <c r="D1375" s="22">
        <f t="array" ref="D1375">IF($C1375="","",IFERROR(INDEX(DATA_MASTER!$C$2:$C$5000,MATCH($C1375,DATA_MASTER!$D$2:$D$5000,0)),""))</f>
        <v/>
      </c>
      <c r="E1375" s="22">
        <f t="array" ref="E1375">IF($C1375="","",IFERROR(INDEX(DATA_MASTER!$I$2:$I$5000,MATCH($C1375,DATA_MASTER!$D$2:$D$5000,0)),""))</f>
        <v/>
      </c>
      <c r="F1375" s="22">
        <f t="array" ref="F1375">IF($C1375="","",IFERROR(INDEX(DATA_MASTER!$L$2:$L$5000,MATCH($C1375,DATA_MASTER!$D$2:$D$5000,0)),""))</f>
        <v/>
      </c>
      <c r="G1375" s="24" t="n"/>
      <c r="H1375" s="24" t="n"/>
      <c r="I1375" s="30" t="n"/>
      <c r="J1375" s="23">
        <f>IF(OR($H1375="",$I1375=""),"",$H1375*$I1375)</f>
        <v/>
      </c>
      <c r="K1375" s="24" t="n"/>
      <c r="L1375" s="24" t="n"/>
      <c r="M1375" s="29" t="n"/>
      <c r="N1375" s="28" t="n"/>
      <c r="O1375" s="24" t="n"/>
      <c r="P1375" s="24" t="n"/>
      <c r="Q1375" s="24" t="n"/>
      <c r="R1375" s="24" t="n"/>
      <c r="S1375" s="22">
        <f>IF(AND($A1375="",$C1375=""),"",IF($A1375="","Thiếu mã đơn; ","")&amp;IF(COUNTIF($A$2:$A1375,$A1375)&gt;1,"Trùng mã đơn; ","")&amp;IF(ISNA(MATCH($C1375,DATA_MASTER!$D$2:$D$5000,0)),"SĐT chưa đăng ký hội viên; ","")&amp;IF(AND($L1375="Đã chuyển khoản",$M1375=""),"Thiếu ngày nhận CK; ",""))</f>
        <v/>
      </c>
      <c r="T1375" s="24" t="n"/>
    </row>
    <row r="1376" ht="14.25" customHeight="1" s="40">
      <c r="A1376" s="24" t="n"/>
      <c r="B1376" s="29" t="n"/>
      <c r="C1376" s="28" t="n"/>
      <c r="D1376" s="22">
        <f t="array" ref="D1376">IF($C1376="","",IFERROR(INDEX(DATA_MASTER!$C$2:$C$5000,MATCH($C1376,DATA_MASTER!$D$2:$D$5000,0)),""))</f>
        <v/>
      </c>
      <c r="E1376" s="22">
        <f t="array" ref="E1376">IF($C1376="","",IFERROR(INDEX(DATA_MASTER!$I$2:$I$5000,MATCH($C1376,DATA_MASTER!$D$2:$D$5000,0)),""))</f>
        <v/>
      </c>
      <c r="F1376" s="22">
        <f t="array" ref="F1376">IF($C1376="","",IFERROR(INDEX(DATA_MASTER!$L$2:$L$5000,MATCH($C1376,DATA_MASTER!$D$2:$D$5000,0)),""))</f>
        <v/>
      </c>
      <c r="G1376" s="24" t="n"/>
      <c r="H1376" s="24" t="n"/>
      <c r="I1376" s="30" t="n"/>
      <c r="J1376" s="23">
        <f>IF(OR($H1376="",$I1376=""),"",$H1376*$I1376)</f>
        <v/>
      </c>
      <c r="K1376" s="24" t="n"/>
      <c r="L1376" s="24" t="n"/>
      <c r="M1376" s="29" t="n"/>
      <c r="N1376" s="28" t="n"/>
      <c r="O1376" s="24" t="n"/>
      <c r="P1376" s="24" t="n"/>
      <c r="Q1376" s="24" t="n"/>
      <c r="R1376" s="24" t="n"/>
      <c r="S1376" s="22">
        <f>IF(AND($A1376="",$C1376=""),"",IF($A1376="","Thiếu mã đơn; ","")&amp;IF(COUNTIF($A$2:$A1376,$A1376)&gt;1,"Trùng mã đơn; ","")&amp;IF(ISNA(MATCH($C1376,DATA_MASTER!$D$2:$D$5000,0)),"SĐT chưa đăng ký hội viên; ","")&amp;IF(AND($L1376="Đã chuyển khoản",$M1376=""),"Thiếu ngày nhận CK; ",""))</f>
        <v/>
      </c>
      <c r="T1376" s="24" t="n"/>
    </row>
    <row r="1377" ht="14.25" customHeight="1" s="40">
      <c r="A1377" s="24" t="n"/>
      <c r="B1377" s="29" t="n"/>
      <c r="C1377" s="28" t="n"/>
      <c r="D1377" s="22">
        <f t="array" ref="D1377">IF($C1377="","",IFERROR(INDEX(DATA_MASTER!$C$2:$C$5000,MATCH($C1377,DATA_MASTER!$D$2:$D$5000,0)),""))</f>
        <v/>
      </c>
      <c r="E1377" s="22">
        <f t="array" ref="E1377">IF($C1377="","",IFERROR(INDEX(DATA_MASTER!$I$2:$I$5000,MATCH($C1377,DATA_MASTER!$D$2:$D$5000,0)),""))</f>
        <v/>
      </c>
      <c r="F1377" s="22">
        <f t="array" ref="F1377">IF($C1377="","",IFERROR(INDEX(DATA_MASTER!$L$2:$L$5000,MATCH($C1377,DATA_MASTER!$D$2:$D$5000,0)),""))</f>
        <v/>
      </c>
      <c r="G1377" s="24" t="n"/>
      <c r="H1377" s="24" t="n"/>
      <c r="I1377" s="30" t="n"/>
      <c r="J1377" s="23">
        <f>IF(OR($H1377="",$I1377=""),"",$H1377*$I1377)</f>
        <v/>
      </c>
      <c r="K1377" s="24" t="n"/>
      <c r="L1377" s="24" t="n"/>
      <c r="M1377" s="29" t="n"/>
      <c r="N1377" s="28" t="n"/>
      <c r="O1377" s="24" t="n"/>
      <c r="P1377" s="24" t="n"/>
      <c r="Q1377" s="24" t="n"/>
      <c r="R1377" s="24" t="n"/>
      <c r="S1377" s="22">
        <f>IF(AND($A1377="",$C1377=""),"",IF($A1377="","Thiếu mã đơn; ","")&amp;IF(COUNTIF($A$2:$A1377,$A1377)&gt;1,"Trùng mã đơn; ","")&amp;IF(ISNA(MATCH($C1377,DATA_MASTER!$D$2:$D$5000,0)),"SĐT chưa đăng ký hội viên; ","")&amp;IF(AND($L1377="Đã chuyển khoản",$M1377=""),"Thiếu ngày nhận CK; ",""))</f>
        <v/>
      </c>
      <c r="T1377" s="24" t="n"/>
    </row>
    <row r="1378" ht="14.25" customHeight="1" s="40">
      <c r="A1378" s="24" t="n"/>
      <c r="B1378" s="29" t="n"/>
      <c r="C1378" s="28" t="n"/>
      <c r="D1378" s="22">
        <f t="array" ref="D1378">IF($C1378="","",IFERROR(INDEX(DATA_MASTER!$C$2:$C$5000,MATCH($C1378,DATA_MASTER!$D$2:$D$5000,0)),""))</f>
        <v/>
      </c>
      <c r="E1378" s="22">
        <f t="array" ref="E1378">IF($C1378="","",IFERROR(INDEX(DATA_MASTER!$I$2:$I$5000,MATCH($C1378,DATA_MASTER!$D$2:$D$5000,0)),""))</f>
        <v/>
      </c>
      <c r="F1378" s="22">
        <f t="array" ref="F1378">IF($C1378="","",IFERROR(INDEX(DATA_MASTER!$L$2:$L$5000,MATCH($C1378,DATA_MASTER!$D$2:$D$5000,0)),""))</f>
        <v/>
      </c>
      <c r="G1378" s="24" t="n"/>
      <c r="H1378" s="24" t="n"/>
      <c r="I1378" s="30" t="n"/>
      <c r="J1378" s="23">
        <f>IF(OR($H1378="",$I1378=""),"",$H1378*$I1378)</f>
        <v/>
      </c>
      <c r="K1378" s="24" t="n"/>
      <c r="L1378" s="24" t="n"/>
      <c r="M1378" s="29" t="n"/>
      <c r="N1378" s="28" t="n"/>
      <c r="O1378" s="24" t="n"/>
      <c r="P1378" s="24" t="n"/>
      <c r="Q1378" s="24" t="n"/>
      <c r="R1378" s="24" t="n"/>
      <c r="S1378" s="22">
        <f>IF(AND($A1378="",$C1378=""),"",IF($A1378="","Thiếu mã đơn; ","")&amp;IF(COUNTIF($A$2:$A1378,$A1378)&gt;1,"Trùng mã đơn; ","")&amp;IF(ISNA(MATCH($C1378,DATA_MASTER!$D$2:$D$5000,0)),"SĐT chưa đăng ký hội viên; ","")&amp;IF(AND($L1378="Đã chuyển khoản",$M1378=""),"Thiếu ngày nhận CK; ",""))</f>
        <v/>
      </c>
      <c r="T1378" s="24" t="n"/>
    </row>
    <row r="1379" ht="14.25" customHeight="1" s="40">
      <c r="A1379" s="24" t="n"/>
      <c r="B1379" s="29" t="n"/>
      <c r="C1379" s="28" t="n"/>
      <c r="D1379" s="22">
        <f t="array" ref="D1379">IF($C1379="","",IFERROR(INDEX(DATA_MASTER!$C$2:$C$5000,MATCH($C1379,DATA_MASTER!$D$2:$D$5000,0)),""))</f>
        <v/>
      </c>
      <c r="E1379" s="22">
        <f t="array" ref="E1379">IF($C1379="","",IFERROR(INDEX(DATA_MASTER!$I$2:$I$5000,MATCH($C1379,DATA_MASTER!$D$2:$D$5000,0)),""))</f>
        <v/>
      </c>
      <c r="F1379" s="22">
        <f t="array" ref="F1379">IF($C1379="","",IFERROR(INDEX(DATA_MASTER!$L$2:$L$5000,MATCH($C1379,DATA_MASTER!$D$2:$D$5000,0)),""))</f>
        <v/>
      </c>
      <c r="G1379" s="24" t="n"/>
      <c r="H1379" s="24" t="n"/>
      <c r="I1379" s="30" t="n"/>
      <c r="J1379" s="23">
        <f>IF(OR($H1379="",$I1379=""),"",$H1379*$I1379)</f>
        <v/>
      </c>
      <c r="K1379" s="24" t="n"/>
      <c r="L1379" s="24" t="n"/>
      <c r="M1379" s="29" t="n"/>
      <c r="N1379" s="28" t="n"/>
      <c r="O1379" s="24" t="n"/>
      <c r="P1379" s="24" t="n"/>
      <c r="Q1379" s="24" t="n"/>
      <c r="R1379" s="24" t="n"/>
      <c r="S1379" s="22">
        <f>IF(AND($A1379="",$C1379=""),"",IF($A1379="","Thiếu mã đơn; ","")&amp;IF(COUNTIF($A$2:$A1379,$A1379)&gt;1,"Trùng mã đơn; ","")&amp;IF(ISNA(MATCH($C1379,DATA_MASTER!$D$2:$D$5000,0)),"SĐT chưa đăng ký hội viên; ","")&amp;IF(AND($L1379="Đã chuyển khoản",$M1379=""),"Thiếu ngày nhận CK; ",""))</f>
        <v/>
      </c>
      <c r="T1379" s="24" t="n"/>
    </row>
    <row r="1380" ht="14.25" customHeight="1" s="40">
      <c r="A1380" s="24" t="n"/>
      <c r="B1380" s="29" t="n"/>
      <c r="C1380" s="28" t="n"/>
      <c r="D1380" s="22">
        <f t="array" ref="D1380">IF($C1380="","",IFERROR(INDEX(DATA_MASTER!$C$2:$C$5000,MATCH($C1380,DATA_MASTER!$D$2:$D$5000,0)),""))</f>
        <v/>
      </c>
      <c r="E1380" s="22">
        <f t="array" ref="E1380">IF($C1380="","",IFERROR(INDEX(DATA_MASTER!$I$2:$I$5000,MATCH($C1380,DATA_MASTER!$D$2:$D$5000,0)),""))</f>
        <v/>
      </c>
      <c r="F1380" s="22">
        <f t="array" ref="F1380">IF($C1380="","",IFERROR(INDEX(DATA_MASTER!$L$2:$L$5000,MATCH($C1380,DATA_MASTER!$D$2:$D$5000,0)),""))</f>
        <v/>
      </c>
      <c r="G1380" s="24" t="n"/>
      <c r="H1380" s="24" t="n"/>
      <c r="I1380" s="30" t="n"/>
      <c r="J1380" s="23">
        <f>IF(OR($H1380="",$I1380=""),"",$H1380*$I1380)</f>
        <v/>
      </c>
      <c r="K1380" s="24" t="n"/>
      <c r="L1380" s="24" t="n"/>
      <c r="M1380" s="29" t="n"/>
      <c r="N1380" s="28" t="n"/>
      <c r="O1380" s="24" t="n"/>
      <c r="P1380" s="24" t="n"/>
      <c r="Q1380" s="24" t="n"/>
      <c r="R1380" s="24" t="n"/>
      <c r="S1380" s="22">
        <f>IF(AND($A1380="",$C1380=""),"",IF($A1380="","Thiếu mã đơn; ","")&amp;IF(COUNTIF($A$2:$A1380,$A1380)&gt;1,"Trùng mã đơn; ","")&amp;IF(ISNA(MATCH($C1380,DATA_MASTER!$D$2:$D$5000,0)),"SĐT chưa đăng ký hội viên; ","")&amp;IF(AND($L1380="Đã chuyển khoản",$M1380=""),"Thiếu ngày nhận CK; ",""))</f>
        <v/>
      </c>
      <c r="T1380" s="24" t="n"/>
    </row>
    <row r="1381" ht="14.25" customHeight="1" s="40">
      <c r="A1381" s="24" t="n"/>
      <c r="B1381" s="29" t="n"/>
      <c r="C1381" s="28" t="n"/>
      <c r="D1381" s="22">
        <f t="array" ref="D1381">IF($C1381="","",IFERROR(INDEX(DATA_MASTER!$C$2:$C$5000,MATCH($C1381,DATA_MASTER!$D$2:$D$5000,0)),""))</f>
        <v/>
      </c>
      <c r="E1381" s="22">
        <f t="array" ref="E1381">IF($C1381="","",IFERROR(INDEX(DATA_MASTER!$I$2:$I$5000,MATCH($C1381,DATA_MASTER!$D$2:$D$5000,0)),""))</f>
        <v/>
      </c>
      <c r="F1381" s="22">
        <f t="array" ref="F1381">IF($C1381="","",IFERROR(INDEX(DATA_MASTER!$L$2:$L$5000,MATCH($C1381,DATA_MASTER!$D$2:$D$5000,0)),""))</f>
        <v/>
      </c>
      <c r="G1381" s="24" t="n"/>
      <c r="H1381" s="24" t="n"/>
      <c r="I1381" s="30" t="n"/>
      <c r="J1381" s="23">
        <f>IF(OR($H1381="",$I1381=""),"",$H1381*$I1381)</f>
        <v/>
      </c>
      <c r="K1381" s="24" t="n"/>
      <c r="L1381" s="24" t="n"/>
      <c r="M1381" s="29" t="n"/>
      <c r="N1381" s="28" t="n"/>
      <c r="O1381" s="24" t="n"/>
      <c r="P1381" s="24" t="n"/>
      <c r="Q1381" s="24" t="n"/>
      <c r="R1381" s="24" t="n"/>
      <c r="S1381" s="22">
        <f>IF(AND($A1381="",$C1381=""),"",IF($A1381="","Thiếu mã đơn; ","")&amp;IF(COUNTIF($A$2:$A1381,$A1381)&gt;1,"Trùng mã đơn; ","")&amp;IF(ISNA(MATCH($C1381,DATA_MASTER!$D$2:$D$5000,0)),"SĐT chưa đăng ký hội viên; ","")&amp;IF(AND($L1381="Đã chuyển khoản",$M1381=""),"Thiếu ngày nhận CK; ",""))</f>
        <v/>
      </c>
      <c r="T1381" s="24" t="n"/>
    </row>
    <row r="1382" ht="14.25" customHeight="1" s="40">
      <c r="A1382" s="24" t="n"/>
      <c r="B1382" s="29" t="n"/>
      <c r="C1382" s="28" t="n"/>
      <c r="D1382" s="22">
        <f t="array" ref="D1382">IF($C1382="","",IFERROR(INDEX(DATA_MASTER!$C$2:$C$5000,MATCH($C1382,DATA_MASTER!$D$2:$D$5000,0)),""))</f>
        <v/>
      </c>
      <c r="E1382" s="22">
        <f t="array" ref="E1382">IF($C1382="","",IFERROR(INDEX(DATA_MASTER!$I$2:$I$5000,MATCH($C1382,DATA_MASTER!$D$2:$D$5000,0)),""))</f>
        <v/>
      </c>
      <c r="F1382" s="22">
        <f t="array" ref="F1382">IF($C1382="","",IFERROR(INDEX(DATA_MASTER!$L$2:$L$5000,MATCH($C1382,DATA_MASTER!$D$2:$D$5000,0)),""))</f>
        <v/>
      </c>
      <c r="G1382" s="24" t="n"/>
      <c r="H1382" s="24" t="n"/>
      <c r="I1382" s="30" t="n"/>
      <c r="J1382" s="23">
        <f>IF(OR($H1382="",$I1382=""),"",$H1382*$I1382)</f>
        <v/>
      </c>
      <c r="K1382" s="24" t="n"/>
      <c r="L1382" s="24" t="n"/>
      <c r="M1382" s="29" t="n"/>
      <c r="N1382" s="28" t="n"/>
      <c r="O1382" s="24" t="n"/>
      <c r="P1382" s="24" t="n"/>
      <c r="Q1382" s="24" t="n"/>
      <c r="R1382" s="24" t="n"/>
      <c r="S1382" s="22">
        <f>IF(AND($A1382="",$C1382=""),"",IF($A1382="","Thiếu mã đơn; ","")&amp;IF(COUNTIF($A$2:$A1382,$A1382)&gt;1,"Trùng mã đơn; ","")&amp;IF(ISNA(MATCH($C1382,DATA_MASTER!$D$2:$D$5000,0)),"SĐT chưa đăng ký hội viên; ","")&amp;IF(AND($L1382="Đã chuyển khoản",$M1382=""),"Thiếu ngày nhận CK; ",""))</f>
        <v/>
      </c>
      <c r="T1382" s="24" t="n"/>
    </row>
    <row r="1383" ht="14.25" customHeight="1" s="40">
      <c r="A1383" s="24" t="n"/>
      <c r="B1383" s="29" t="n"/>
      <c r="C1383" s="28" t="n"/>
      <c r="D1383" s="22">
        <f t="array" ref="D1383">IF($C1383="","",IFERROR(INDEX(DATA_MASTER!$C$2:$C$5000,MATCH($C1383,DATA_MASTER!$D$2:$D$5000,0)),""))</f>
        <v/>
      </c>
      <c r="E1383" s="22">
        <f t="array" ref="E1383">IF($C1383="","",IFERROR(INDEX(DATA_MASTER!$I$2:$I$5000,MATCH($C1383,DATA_MASTER!$D$2:$D$5000,0)),""))</f>
        <v/>
      </c>
      <c r="F1383" s="22">
        <f t="array" ref="F1383">IF($C1383="","",IFERROR(INDEX(DATA_MASTER!$L$2:$L$5000,MATCH($C1383,DATA_MASTER!$D$2:$D$5000,0)),""))</f>
        <v/>
      </c>
      <c r="G1383" s="24" t="n"/>
      <c r="H1383" s="24" t="n"/>
      <c r="I1383" s="30" t="n"/>
      <c r="J1383" s="23">
        <f>IF(OR($H1383="",$I1383=""),"",$H1383*$I1383)</f>
        <v/>
      </c>
      <c r="K1383" s="24" t="n"/>
      <c r="L1383" s="24" t="n"/>
      <c r="M1383" s="29" t="n"/>
      <c r="N1383" s="28" t="n"/>
      <c r="O1383" s="24" t="n"/>
      <c r="P1383" s="24" t="n"/>
      <c r="Q1383" s="24" t="n"/>
      <c r="R1383" s="24" t="n"/>
      <c r="S1383" s="22">
        <f>IF(AND($A1383="",$C1383=""),"",IF($A1383="","Thiếu mã đơn; ","")&amp;IF(COUNTIF($A$2:$A1383,$A1383)&gt;1,"Trùng mã đơn; ","")&amp;IF(ISNA(MATCH($C1383,DATA_MASTER!$D$2:$D$5000,0)),"SĐT chưa đăng ký hội viên; ","")&amp;IF(AND($L1383="Đã chuyển khoản",$M1383=""),"Thiếu ngày nhận CK; ",""))</f>
        <v/>
      </c>
      <c r="T1383" s="24" t="n"/>
    </row>
    <row r="1384" ht="14.25" customHeight="1" s="40">
      <c r="A1384" s="24" t="n"/>
      <c r="B1384" s="29" t="n"/>
      <c r="C1384" s="28" t="n"/>
      <c r="D1384" s="22">
        <f t="array" ref="D1384">IF($C1384="","",IFERROR(INDEX(DATA_MASTER!$C$2:$C$5000,MATCH($C1384,DATA_MASTER!$D$2:$D$5000,0)),""))</f>
        <v/>
      </c>
      <c r="E1384" s="22">
        <f t="array" ref="E1384">IF($C1384="","",IFERROR(INDEX(DATA_MASTER!$I$2:$I$5000,MATCH($C1384,DATA_MASTER!$D$2:$D$5000,0)),""))</f>
        <v/>
      </c>
      <c r="F1384" s="22">
        <f t="array" ref="F1384">IF($C1384="","",IFERROR(INDEX(DATA_MASTER!$L$2:$L$5000,MATCH($C1384,DATA_MASTER!$D$2:$D$5000,0)),""))</f>
        <v/>
      </c>
      <c r="G1384" s="24" t="n"/>
      <c r="H1384" s="24" t="n"/>
      <c r="I1384" s="30" t="n"/>
      <c r="J1384" s="23">
        <f>IF(OR($H1384="",$I1384=""),"",$H1384*$I1384)</f>
        <v/>
      </c>
      <c r="K1384" s="24" t="n"/>
      <c r="L1384" s="24" t="n"/>
      <c r="M1384" s="29" t="n"/>
      <c r="N1384" s="28" t="n"/>
      <c r="O1384" s="24" t="n"/>
      <c r="P1384" s="24" t="n"/>
      <c r="Q1384" s="24" t="n"/>
      <c r="R1384" s="24" t="n"/>
      <c r="S1384" s="22">
        <f>IF(AND($A1384="",$C1384=""),"",IF($A1384="","Thiếu mã đơn; ","")&amp;IF(COUNTIF($A$2:$A1384,$A1384)&gt;1,"Trùng mã đơn; ","")&amp;IF(ISNA(MATCH($C1384,DATA_MASTER!$D$2:$D$5000,0)),"SĐT chưa đăng ký hội viên; ","")&amp;IF(AND($L1384="Đã chuyển khoản",$M1384=""),"Thiếu ngày nhận CK; ",""))</f>
        <v/>
      </c>
      <c r="T1384" s="24" t="n"/>
    </row>
    <row r="1385" ht="14.25" customHeight="1" s="40">
      <c r="A1385" s="24" t="n"/>
      <c r="B1385" s="29" t="n"/>
      <c r="C1385" s="28" t="n"/>
      <c r="D1385" s="22">
        <f t="array" ref="D1385">IF($C1385="","",IFERROR(INDEX(DATA_MASTER!$C$2:$C$5000,MATCH($C1385,DATA_MASTER!$D$2:$D$5000,0)),""))</f>
        <v/>
      </c>
      <c r="E1385" s="22">
        <f t="array" ref="E1385">IF($C1385="","",IFERROR(INDEX(DATA_MASTER!$I$2:$I$5000,MATCH($C1385,DATA_MASTER!$D$2:$D$5000,0)),""))</f>
        <v/>
      </c>
      <c r="F1385" s="22">
        <f t="array" ref="F1385">IF($C1385="","",IFERROR(INDEX(DATA_MASTER!$L$2:$L$5000,MATCH($C1385,DATA_MASTER!$D$2:$D$5000,0)),""))</f>
        <v/>
      </c>
      <c r="G1385" s="24" t="n"/>
      <c r="H1385" s="24" t="n"/>
      <c r="I1385" s="30" t="n"/>
      <c r="J1385" s="23">
        <f>IF(OR($H1385="",$I1385=""),"",$H1385*$I1385)</f>
        <v/>
      </c>
      <c r="K1385" s="24" t="n"/>
      <c r="L1385" s="24" t="n"/>
      <c r="M1385" s="29" t="n"/>
      <c r="N1385" s="28" t="n"/>
      <c r="O1385" s="24" t="n"/>
      <c r="P1385" s="24" t="n"/>
      <c r="Q1385" s="24" t="n"/>
      <c r="R1385" s="24" t="n"/>
      <c r="S1385" s="22">
        <f>IF(AND($A1385="",$C1385=""),"",IF($A1385="","Thiếu mã đơn; ","")&amp;IF(COUNTIF($A$2:$A1385,$A1385)&gt;1,"Trùng mã đơn; ","")&amp;IF(ISNA(MATCH($C1385,DATA_MASTER!$D$2:$D$5000,0)),"SĐT chưa đăng ký hội viên; ","")&amp;IF(AND($L1385="Đã chuyển khoản",$M1385=""),"Thiếu ngày nhận CK; ",""))</f>
        <v/>
      </c>
      <c r="T1385" s="24" t="n"/>
    </row>
    <row r="1386" ht="14.25" customHeight="1" s="40">
      <c r="A1386" s="24" t="n"/>
      <c r="B1386" s="29" t="n"/>
      <c r="C1386" s="28" t="n"/>
      <c r="D1386" s="22">
        <f t="array" ref="D1386">IF($C1386="","",IFERROR(INDEX(DATA_MASTER!$C$2:$C$5000,MATCH($C1386,DATA_MASTER!$D$2:$D$5000,0)),""))</f>
        <v/>
      </c>
      <c r="E1386" s="22">
        <f t="array" ref="E1386">IF($C1386="","",IFERROR(INDEX(DATA_MASTER!$I$2:$I$5000,MATCH($C1386,DATA_MASTER!$D$2:$D$5000,0)),""))</f>
        <v/>
      </c>
      <c r="F1386" s="22">
        <f t="array" ref="F1386">IF($C1386="","",IFERROR(INDEX(DATA_MASTER!$L$2:$L$5000,MATCH($C1386,DATA_MASTER!$D$2:$D$5000,0)),""))</f>
        <v/>
      </c>
      <c r="G1386" s="24" t="n"/>
      <c r="H1386" s="24" t="n"/>
      <c r="I1386" s="30" t="n"/>
      <c r="J1386" s="23">
        <f>IF(OR($H1386="",$I1386=""),"",$H1386*$I1386)</f>
        <v/>
      </c>
      <c r="K1386" s="24" t="n"/>
      <c r="L1386" s="24" t="n"/>
      <c r="M1386" s="29" t="n"/>
      <c r="N1386" s="28" t="n"/>
      <c r="O1386" s="24" t="n"/>
      <c r="P1386" s="24" t="n"/>
      <c r="Q1386" s="24" t="n"/>
      <c r="R1386" s="24" t="n"/>
      <c r="S1386" s="22">
        <f>IF(AND($A1386="",$C1386=""),"",IF($A1386="","Thiếu mã đơn; ","")&amp;IF(COUNTIF($A$2:$A1386,$A1386)&gt;1,"Trùng mã đơn; ","")&amp;IF(ISNA(MATCH($C1386,DATA_MASTER!$D$2:$D$5000,0)),"SĐT chưa đăng ký hội viên; ","")&amp;IF(AND($L1386="Đã chuyển khoản",$M1386=""),"Thiếu ngày nhận CK; ",""))</f>
        <v/>
      </c>
      <c r="T1386" s="24" t="n"/>
    </row>
    <row r="1387" ht="14.25" customHeight="1" s="40">
      <c r="A1387" s="24" t="n"/>
      <c r="B1387" s="29" t="n"/>
      <c r="C1387" s="28" t="n"/>
      <c r="D1387" s="22">
        <f t="array" ref="D1387">IF($C1387="","",IFERROR(INDEX(DATA_MASTER!$C$2:$C$5000,MATCH($C1387,DATA_MASTER!$D$2:$D$5000,0)),""))</f>
        <v/>
      </c>
      <c r="E1387" s="22">
        <f t="array" ref="E1387">IF($C1387="","",IFERROR(INDEX(DATA_MASTER!$I$2:$I$5000,MATCH($C1387,DATA_MASTER!$D$2:$D$5000,0)),""))</f>
        <v/>
      </c>
      <c r="F1387" s="22">
        <f t="array" ref="F1387">IF($C1387="","",IFERROR(INDEX(DATA_MASTER!$L$2:$L$5000,MATCH($C1387,DATA_MASTER!$D$2:$D$5000,0)),""))</f>
        <v/>
      </c>
      <c r="G1387" s="24" t="n"/>
      <c r="H1387" s="24" t="n"/>
      <c r="I1387" s="30" t="n"/>
      <c r="J1387" s="23">
        <f>IF(OR($H1387="",$I1387=""),"",$H1387*$I1387)</f>
        <v/>
      </c>
      <c r="K1387" s="24" t="n"/>
      <c r="L1387" s="24" t="n"/>
      <c r="M1387" s="29" t="n"/>
      <c r="N1387" s="28" t="n"/>
      <c r="O1387" s="24" t="n"/>
      <c r="P1387" s="24" t="n"/>
      <c r="Q1387" s="24" t="n"/>
      <c r="R1387" s="24" t="n"/>
      <c r="S1387" s="22">
        <f>IF(AND($A1387="",$C1387=""),"",IF($A1387="","Thiếu mã đơn; ","")&amp;IF(COUNTIF($A$2:$A1387,$A1387)&gt;1,"Trùng mã đơn; ","")&amp;IF(ISNA(MATCH($C1387,DATA_MASTER!$D$2:$D$5000,0)),"SĐT chưa đăng ký hội viên; ","")&amp;IF(AND($L1387="Đã chuyển khoản",$M1387=""),"Thiếu ngày nhận CK; ",""))</f>
        <v/>
      </c>
      <c r="T1387" s="24" t="n"/>
    </row>
    <row r="1388" ht="14.25" customHeight="1" s="40">
      <c r="A1388" s="24" t="n"/>
      <c r="B1388" s="29" t="n"/>
      <c r="C1388" s="28" t="n"/>
      <c r="D1388" s="22">
        <f t="array" ref="D1388">IF($C1388="","",IFERROR(INDEX(DATA_MASTER!$C$2:$C$5000,MATCH($C1388,DATA_MASTER!$D$2:$D$5000,0)),""))</f>
        <v/>
      </c>
      <c r="E1388" s="22">
        <f t="array" ref="E1388">IF($C1388="","",IFERROR(INDEX(DATA_MASTER!$I$2:$I$5000,MATCH($C1388,DATA_MASTER!$D$2:$D$5000,0)),""))</f>
        <v/>
      </c>
      <c r="F1388" s="22">
        <f t="array" ref="F1388">IF($C1388="","",IFERROR(INDEX(DATA_MASTER!$L$2:$L$5000,MATCH($C1388,DATA_MASTER!$D$2:$D$5000,0)),""))</f>
        <v/>
      </c>
      <c r="G1388" s="24" t="n"/>
      <c r="H1388" s="24" t="n"/>
      <c r="I1388" s="30" t="n"/>
      <c r="J1388" s="23">
        <f>IF(OR($H1388="",$I1388=""),"",$H1388*$I1388)</f>
        <v/>
      </c>
      <c r="K1388" s="24" t="n"/>
      <c r="L1388" s="24" t="n"/>
      <c r="M1388" s="29" t="n"/>
      <c r="N1388" s="28" t="n"/>
      <c r="O1388" s="24" t="n"/>
      <c r="P1388" s="24" t="n"/>
      <c r="Q1388" s="24" t="n"/>
      <c r="R1388" s="24" t="n"/>
      <c r="S1388" s="22">
        <f>IF(AND($A1388="",$C1388=""),"",IF($A1388="","Thiếu mã đơn; ","")&amp;IF(COUNTIF($A$2:$A1388,$A1388)&gt;1,"Trùng mã đơn; ","")&amp;IF(ISNA(MATCH($C1388,DATA_MASTER!$D$2:$D$5000,0)),"SĐT chưa đăng ký hội viên; ","")&amp;IF(AND($L1388="Đã chuyển khoản",$M1388=""),"Thiếu ngày nhận CK; ",""))</f>
        <v/>
      </c>
      <c r="T1388" s="24" t="n"/>
    </row>
    <row r="1389" ht="14.25" customHeight="1" s="40">
      <c r="A1389" s="24" t="n"/>
      <c r="B1389" s="29" t="n"/>
      <c r="C1389" s="28" t="n"/>
      <c r="D1389" s="22">
        <f t="array" ref="D1389">IF($C1389="","",IFERROR(INDEX(DATA_MASTER!$C$2:$C$5000,MATCH($C1389,DATA_MASTER!$D$2:$D$5000,0)),""))</f>
        <v/>
      </c>
      <c r="E1389" s="22">
        <f t="array" ref="E1389">IF($C1389="","",IFERROR(INDEX(DATA_MASTER!$I$2:$I$5000,MATCH($C1389,DATA_MASTER!$D$2:$D$5000,0)),""))</f>
        <v/>
      </c>
      <c r="F1389" s="22">
        <f t="array" ref="F1389">IF($C1389="","",IFERROR(INDEX(DATA_MASTER!$L$2:$L$5000,MATCH($C1389,DATA_MASTER!$D$2:$D$5000,0)),""))</f>
        <v/>
      </c>
      <c r="G1389" s="24" t="n"/>
      <c r="H1389" s="24" t="n"/>
      <c r="I1389" s="30" t="n"/>
      <c r="J1389" s="23">
        <f>IF(OR($H1389="",$I1389=""),"",$H1389*$I1389)</f>
        <v/>
      </c>
      <c r="K1389" s="24" t="n"/>
      <c r="L1389" s="24" t="n"/>
      <c r="M1389" s="29" t="n"/>
      <c r="N1389" s="28" t="n"/>
      <c r="O1389" s="24" t="n"/>
      <c r="P1389" s="24" t="n"/>
      <c r="Q1389" s="24" t="n"/>
      <c r="R1389" s="24" t="n"/>
      <c r="S1389" s="22">
        <f>IF(AND($A1389="",$C1389=""),"",IF($A1389="","Thiếu mã đơn; ","")&amp;IF(COUNTIF($A$2:$A1389,$A1389)&gt;1,"Trùng mã đơn; ","")&amp;IF(ISNA(MATCH($C1389,DATA_MASTER!$D$2:$D$5000,0)),"SĐT chưa đăng ký hội viên; ","")&amp;IF(AND($L1389="Đã chuyển khoản",$M1389=""),"Thiếu ngày nhận CK; ",""))</f>
        <v/>
      </c>
      <c r="T1389" s="24" t="n"/>
    </row>
    <row r="1390" ht="14.25" customHeight="1" s="40">
      <c r="A1390" s="24" t="n"/>
      <c r="B1390" s="29" t="n"/>
      <c r="C1390" s="28" t="n"/>
      <c r="D1390" s="22">
        <f t="array" ref="D1390">IF($C1390="","",IFERROR(INDEX(DATA_MASTER!$C$2:$C$5000,MATCH($C1390,DATA_MASTER!$D$2:$D$5000,0)),""))</f>
        <v/>
      </c>
      <c r="E1390" s="22">
        <f t="array" ref="E1390">IF($C1390="","",IFERROR(INDEX(DATA_MASTER!$I$2:$I$5000,MATCH($C1390,DATA_MASTER!$D$2:$D$5000,0)),""))</f>
        <v/>
      </c>
      <c r="F1390" s="22">
        <f t="array" ref="F1390">IF($C1390="","",IFERROR(INDEX(DATA_MASTER!$L$2:$L$5000,MATCH($C1390,DATA_MASTER!$D$2:$D$5000,0)),""))</f>
        <v/>
      </c>
      <c r="G1390" s="24" t="n"/>
      <c r="H1390" s="24" t="n"/>
      <c r="I1390" s="30" t="n"/>
      <c r="J1390" s="23">
        <f>IF(OR($H1390="",$I1390=""),"",$H1390*$I1390)</f>
        <v/>
      </c>
      <c r="K1390" s="24" t="n"/>
      <c r="L1390" s="24" t="n"/>
      <c r="M1390" s="29" t="n"/>
      <c r="N1390" s="28" t="n"/>
      <c r="O1390" s="24" t="n"/>
      <c r="P1390" s="24" t="n"/>
      <c r="Q1390" s="24" t="n"/>
      <c r="R1390" s="24" t="n"/>
      <c r="S1390" s="22">
        <f>IF(AND($A1390="",$C1390=""),"",IF($A1390="","Thiếu mã đơn; ","")&amp;IF(COUNTIF($A$2:$A1390,$A1390)&gt;1,"Trùng mã đơn; ","")&amp;IF(ISNA(MATCH($C1390,DATA_MASTER!$D$2:$D$5000,0)),"SĐT chưa đăng ký hội viên; ","")&amp;IF(AND($L1390="Đã chuyển khoản",$M1390=""),"Thiếu ngày nhận CK; ",""))</f>
        <v/>
      </c>
      <c r="T1390" s="24" t="n"/>
    </row>
    <row r="1391" ht="14.25" customHeight="1" s="40">
      <c r="A1391" s="24" t="n"/>
      <c r="B1391" s="29" t="n"/>
      <c r="C1391" s="28" t="n"/>
      <c r="D1391" s="22">
        <f t="array" ref="D1391">IF($C1391="","",IFERROR(INDEX(DATA_MASTER!$C$2:$C$5000,MATCH($C1391,DATA_MASTER!$D$2:$D$5000,0)),""))</f>
        <v/>
      </c>
      <c r="E1391" s="22">
        <f t="array" ref="E1391">IF($C1391="","",IFERROR(INDEX(DATA_MASTER!$I$2:$I$5000,MATCH($C1391,DATA_MASTER!$D$2:$D$5000,0)),""))</f>
        <v/>
      </c>
      <c r="F1391" s="22">
        <f t="array" ref="F1391">IF($C1391="","",IFERROR(INDEX(DATA_MASTER!$L$2:$L$5000,MATCH($C1391,DATA_MASTER!$D$2:$D$5000,0)),""))</f>
        <v/>
      </c>
      <c r="G1391" s="24" t="n"/>
      <c r="H1391" s="24" t="n"/>
      <c r="I1391" s="30" t="n"/>
      <c r="J1391" s="23">
        <f>IF(OR($H1391="",$I1391=""),"",$H1391*$I1391)</f>
        <v/>
      </c>
      <c r="K1391" s="24" t="n"/>
      <c r="L1391" s="24" t="n"/>
      <c r="M1391" s="29" t="n"/>
      <c r="N1391" s="28" t="n"/>
      <c r="O1391" s="24" t="n"/>
      <c r="P1391" s="24" t="n"/>
      <c r="Q1391" s="24" t="n"/>
      <c r="R1391" s="24" t="n"/>
      <c r="S1391" s="22">
        <f>IF(AND($A1391="",$C1391=""),"",IF($A1391="","Thiếu mã đơn; ","")&amp;IF(COUNTIF($A$2:$A1391,$A1391)&gt;1,"Trùng mã đơn; ","")&amp;IF(ISNA(MATCH($C1391,DATA_MASTER!$D$2:$D$5000,0)),"SĐT chưa đăng ký hội viên; ","")&amp;IF(AND($L1391="Đã chuyển khoản",$M1391=""),"Thiếu ngày nhận CK; ",""))</f>
        <v/>
      </c>
      <c r="T1391" s="24" t="n"/>
    </row>
    <row r="1392" ht="14.25" customHeight="1" s="40">
      <c r="A1392" s="24" t="n"/>
      <c r="B1392" s="29" t="n"/>
      <c r="C1392" s="28" t="n"/>
      <c r="D1392" s="22">
        <f t="array" ref="D1392">IF($C1392="","",IFERROR(INDEX(DATA_MASTER!$C$2:$C$5000,MATCH($C1392,DATA_MASTER!$D$2:$D$5000,0)),""))</f>
        <v/>
      </c>
      <c r="E1392" s="22">
        <f t="array" ref="E1392">IF($C1392="","",IFERROR(INDEX(DATA_MASTER!$I$2:$I$5000,MATCH($C1392,DATA_MASTER!$D$2:$D$5000,0)),""))</f>
        <v/>
      </c>
      <c r="F1392" s="22">
        <f t="array" ref="F1392">IF($C1392="","",IFERROR(INDEX(DATA_MASTER!$L$2:$L$5000,MATCH($C1392,DATA_MASTER!$D$2:$D$5000,0)),""))</f>
        <v/>
      </c>
      <c r="G1392" s="24" t="n"/>
      <c r="H1392" s="24" t="n"/>
      <c r="I1392" s="30" t="n"/>
      <c r="J1392" s="23">
        <f>IF(OR($H1392="",$I1392=""),"",$H1392*$I1392)</f>
        <v/>
      </c>
      <c r="K1392" s="24" t="n"/>
      <c r="L1392" s="24" t="n"/>
      <c r="M1392" s="29" t="n"/>
      <c r="N1392" s="28" t="n"/>
      <c r="O1392" s="24" t="n"/>
      <c r="P1392" s="24" t="n"/>
      <c r="Q1392" s="24" t="n"/>
      <c r="R1392" s="24" t="n"/>
      <c r="S1392" s="22">
        <f>IF(AND($A1392="",$C1392=""),"",IF($A1392="","Thiếu mã đơn; ","")&amp;IF(COUNTIF($A$2:$A1392,$A1392)&gt;1,"Trùng mã đơn; ","")&amp;IF(ISNA(MATCH($C1392,DATA_MASTER!$D$2:$D$5000,0)),"SĐT chưa đăng ký hội viên; ","")&amp;IF(AND($L1392="Đã chuyển khoản",$M1392=""),"Thiếu ngày nhận CK; ",""))</f>
        <v/>
      </c>
      <c r="T1392" s="24" t="n"/>
    </row>
    <row r="1393" ht="14.25" customHeight="1" s="40">
      <c r="A1393" s="24" t="n"/>
      <c r="B1393" s="29" t="n"/>
      <c r="C1393" s="28" t="n"/>
      <c r="D1393" s="22">
        <f t="array" ref="D1393">IF($C1393="","",IFERROR(INDEX(DATA_MASTER!$C$2:$C$5000,MATCH($C1393,DATA_MASTER!$D$2:$D$5000,0)),""))</f>
        <v/>
      </c>
      <c r="E1393" s="22">
        <f t="array" ref="E1393">IF($C1393="","",IFERROR(INDEX(DATA_MASTER!$I$2:$I$5000,MATCH($C1393,DATA_MASTER!$D$2:$D$5000,0)),""))</f>
        <v/>
      </c>
      <c r="F1393" s="22">
        <f t="array" ref="F1393">IF($C1393="","",IFERROR(INDEX(DATA_MASTER!$L$2:$L$5000,MATCH($C1393,DATA_MASTER!$D$2:$D$5000,0)),""))</f>
        <v/>
      </c>
      <c r="G1393" s="24" t="n"/>
      <c r="H1393" s="24" t="n"/>
      <c r="I1393" s="30" t="n"/>
      <c r="J1393" s="23">
        <f>IF(OR($H1393="",$I1393=""),"",$H1393*$I1393)</f>
        <v/>
      </c>
      <c r="K1393" s="24" t="n"/>
      <c r="L1393" s="24" t="n"/>
      <c r="M1393" s="29" t="n"/>
      <c r="N1393" s="28" t="n"/>
      <c r="O1393" s="24" t="n"/>
      <c r="P1393" s="24" t="n"/>
      <c r="Q1393" s="24" t="n"/>
      <c r="R1393" s="24" t="n"/>
      <c r="S1393" s="22">
        <f>IF(AND($A1393="",$C1393=""),"",IF($A1393="","Thiếu mã đơn; ","")&amp;IF(COUNTIF($A$2:$A1393,$A1393)&gt;1,"Trùng mã đơn; ","")&amp;IF(ISNA(MATCH($C1393,DATA_MASTER!$D$2:$D$5000,0)),"SĐT chưa đăng ký hội viên; ","")&amp;IF(AND($L1393="Đã chuyển khoản",$M1393=""),"Thiếu ngày nhận CK; ",""))</f>
        <v/>
      </c>
      <c r="T1393" s="24" t="n"/>
    </row>
    <row r="1394" ht="14.25" customHeight="1" s="40">
      <c r="A1394" s="24" t="n"/>
      <c r="B1394" s="29" t="n"/>
      <c r="C1394" s="28" t="n"/>
      <c r="D1394" s="22">
        <f t="array" ref="D1394">IF($C1394="","",IFERROR(INDEX(DATA_MASTER!$C$2:$C$5000,MATCH($C1394,DATA_MASTER!$D$2:$D$5000,0)),""))</f>
        <v/>
      </c>
      <c r="E1394" s="22">
        <f t="array" ref="E1394">IF($C1394="","",IFERROR(INDEX(DATA_MASTER!$I$2:$I$5000,MATCH($C1394,DATA_MASTER!$D$2:$D$5000,0)),""))</f>
        <v/>
      </c>
      <c r="F1394" s="22">
        <f t="array" ref="F1394">IF($C1394="","",IFERROR(INDEX(DATA_MASTER!$L$2:$L$5000,MATCH($C1394,DATA_MASTER!$D$2:$D$5000,0)),""))</f>
        <v/>
      </c>
      <c r="G1394" s="24" t="n"/>
      <c r="H1394" s="24" t="n"/>
      <c r="I1394" s="30" t="n"/>
      <c r="J1394" s="23">
        <f>IF(OR($H1394="",$I1394=""),"",$H1394*$I1394)</f>
        <v/>
      </c>
      <c r="K1394" s="24" t="n"/>
      <c r="L1394" s="24" t="n"/>
      <c r="M1394" s="29" t="n"/>
      <c r="N1394" s="28" t="n"/>
      <c r="O1394" s="24" t="n"/>
      <c r="P1394" s="24" t="n"/>
      <c r="Q1394" s="24" t="n"/>
      <c r="R1394" s="24" t="n"/>
      <c r="S1394" s="22">
        <f>IF(AND($A1394="",$C1394=""),"",IF($A1394="","Thiếu mã đơn; ","")&amp;IF(COUNTIF($A$2:$A1394,$A1394)&gt;1,"Trùng mã đơn; ","")&amp;IF(ISNA(MATCH($C1394,DATA_MASTER!$D$2:$D$5000,0)),"SĐT chưa đăng ký hội viên; ","")&amp;IF(AND($L1394="Đã chuyển khoản",$M1394=""),"Thiếu ngày nhận CK; ",""))</f>
        <v/>
      </c>
      <c r="T1394" s="24" t="n"/>
    </row>
    <row r="1395" ht="14.25" customHeight="1" s="40">
      <c r="A1395" s="24" t="n"/>
      <c r="B1395" s="29" t="n"/>
      <c r="C1395" s="28" t="n"/>
      <c r="D1395" s="22">
        <f t="array" ref="D1395">IF($C1395="","",IFERROR(INDEX(DATA_MASTER!$C$2:$C$5000,MATCH($C1395,DATA_MASTER!$D$2:$D$5000,0)),""))</f>
        <v/>
      </c>
      <c r="E1395" s="22">
        <f t="array" ref="E1395">IF($C1395="","",IFERROR(INDEX(DATA_MASTER!$I$2:$I$5000,MATCH($C1395,DATA_MASTER!$D$2:$D$5000,0)),""))</f>
        <v/>
      </c>
      <c r="F1395" s="22">
        <f t="array" ref="F1395">IF($C1395="","",IFERROR(INDEX(DATA_MASTER!$L$2:$L$5000,MATCH($C1395,DATA_MASTER!$D$2:$D$5000,0)),""))</f>
        <v/>
      </c>
      <c r="G1395" s="24" t="n"/>
      <c r="H1395" s="24" t="n"/>
      <c r="I1395" s="30" t="n"/>
      <c r="J1395" s="23">
        <f>IF(OR($H1395="",$I1395=""),"",$H1395*$I1395)</f>
        <v/>
      </c>
      <c r="K1395" s="24" t="n"/>
      <c r="L1395" s="24" t="n"/>
      <c r="M1395" s="29" t="n"/>
      <c r="N1395" s="28" t="n"/>
      <c r="O1395" s="24" t="n"/>
      <c r="P1395" s="24" t="n"/>
      <c r="Q1395" s="24" t="n"/>
      <c r="R1395" s="24" t="n"/>
      <c r="S1395" s="22">
        <f>IF(AND($A1395="",$C1395=""),"",IF($A1395="","Thiếu mã đơn; ","")&amp;IF(COUNTIF($A$2:$A1395,$A1395)&gt;1,"Trùng mã đơn; ","")&amp;IF(ISNA(MATCH($C1395,DATA_MASTER!$D$2:$D$5000,0)),"SĐT chưa đăng ký hội viên; ","")&amp;IF(AND($L1395="Đã chuyển khoản",$M1395=""),"Thiếu ngày nhận CK; ",""))</f>
        <v/>
      </c>
      <c r="T1395" s="24" t="n"/>
    </row>
    <row r="1396" ht="14.25" customHeight="1" s="40">
      <c r="A1396" s="24" t="n"/>
      <c r="B1396" s="29" t="n"/>
      <c r="C1396" s="28" t="n"/>
      <c r="D1396" s="22">
        <f t="array" ref="D1396">IF($C1396="","",IFERROR(INDEX(DATA_MASTER!$C$2:$C$5000,MATCH($C1396,DATA_MASTER!$D$2:$D$5000,0)),""))</f>
        <v/>
      </c>
      <c r="E1396" s="22">
        <f t="array" ref="E1396">IF($C1396="","",IFERROR(INDEX(DATA_MASTER!$I$2:$I$5000,MATCH($C1396,DATA_MASTER!$D$2:$D$5000,0)),""))</f>
        <v/>
      </c>
      <c r="F1396" s="22">
        <f t="array" ref="F1396">IF($C1396="","",IFERROR(INDEX(DATA_MASTER!$L$2:$L$5000,MATCH($C1396,DATA_MASTER!$D$2:$D$5000,0)),""))</f>
        <v/>
      </c>
      <c r="G1396" s="24" t="n"/>
      <c r="H1396" s="24" t="n"/>
      <c r="I1396" s="30" t="n"/>
      <c r="J1396" s="23">
        <f>IF(OR($H1396="",$I1396=""),"",$H1396*$I1396)</f>
        <v/>
      </c>
      <c r="K1396" s="24" t="n"/>
      <c r="L1396" s="24" t="n"/>
      <c r="M1396" s="29" t="n"/>
      <c r="N1396" s="28" t="n"/>
      <c r="O1396" s="24" t="n"/>
      <c r="P1396" s="24" t="n"/>
      <c r="Q1396" s="24" t="n"/>
      <c r="R1396" s="24" t="n"/>
      <c r="S1396" s="22">
        <f>IF(AND($A1396="",$C1396=""),"",IF($A1396="","Thiếu mã đơn; ","")&amp;IF(COUNTIF($A$2:$A1396,$A1396)&gt;1,"Trùng mã đơn; ","")&amp;IF(ISNA(MATCH($C1396,DATA_MASTER!$D$2:$D$5000,0)),"SĐT chưa đăng ký hội viên; ","")&amp;IF(AND($L1396="Đã chuyển khoản",$M1396=""),"Thiếu ngày nhận CK; ",""))</f>
        <v/>
      </c>
      <c r="T1396" s="24" t="n"/>
    </row>
    <row r="1397" ht="14.25" customHeight="1" s="40">
      <c r="A1397" s="24" t="n"/>
      <c r="B1397" s="29" t="n"/>
      <c r="C1397" s="28" t="n"/>
      <c r="D1397" s="22">
        <f t="array" ref="D1397">IF($C1397="","",IFERROR(INDEX(DATA_MASTER!$C$2:$C$5000,MATCH($C1397,DATA_MASTER!$D$2:$D$5000,0)),""))</f>
        <v/>
      </c>
      <c r="E1397" s="22">
        <f t="array" ref="E1397">IF($C1397="","",IFERROR(INDEX(DATA_MASTER!$I$2:$I$5000,MATCH($C1397,DATA_MASTER!$D$2:$D$5000,0)),""))</f>
        <v/>
      </c>
      <c r="F1397" s="22">
        <f t="array" ref="F1397">IF($C1397="","",IFERROR(INDEX(DATA_MASTER!$L$2:$L$5000,MATCH($C1397,DATA_MASTER!$D$2:$D$5000,0)),""))</f>
        <v/>
      </c>
      <c r="G1397" s="24" t="n"/>
      <c r="H1397" s="24" t="n"/>
      <c r="I1397" s="30" t="n"/>
      <c r="J1397" s="23">
        <f>IF(OR($H1397="",$I1397=""),"",$H1397*$I1397)</f>
        <v/>
      </c>
      <c r="K1397" s="24" t="n"/>
      <c r="L1397" s="24" t="n"/>
      <c r="M1397" s="29" t="n"/>
      <c r="N1397" s="28" t="n"/>
      <c r="O1397" s="24" t="n"/>
      <c r="P1397" s="24" t="n"/>
      <c r="Q1397" s="24" t="n"/>
      <c r="R1397" s="24" t="n"/>
      <c r="S1397" s="22">
        <f>IF(AND($A1397="",$C1397=""),"",IF($A1397="","Thiếu mã đơn; ","")&amp;IF(COUNTIF($A$2:$A1397,$A1397)&gt;1,"Trùng mã đơn; ","")&amp;IF(ISNA(MATCH($C1397,DATA_MASTER!$D$2:$D$5000,0)),"SĐT chưa đăng ký hội viên; ","")&amp;IF(AND($L1397="Đã chuyển khoản",$M1397=""),"Thiếu ngày nhận CK; ",""))</f>
        <v/>
      </c>
      <c r="T1397" s="24" t="n"/>
    </row>
    <row r="1398" ht="14.25" customHeight="1" s="40">
      <c r="A1398" s="24" t="n"/>
      <c r="B1398" s="29" t="n"/>
      <c r="C1398" s="28" t="n"/>
      <c r="D1398" s="22">
        <f t="array" ref="D1398">IF($C1398="","",IFERROR(INDEX(DATA_MASTER!$C$2:$C$5000,MATCH($C1398,DATA_MASTER!$D$2:$D$5000,0)),""))</f>
        <v/>
      </c>
      <c r="E1398" s="22">
        <f t="array" ref="E1398">IF($C1398="","",IFERROR(INDEX(DATA_MASTER!$I$2:$I$5000,MATCH($C1398,DATA_MASTER!$D$2:$D$5000,0)),""))</f>
        <v/>
      </c>
      <c r="F1398" s="22">
        <f t="array" ref="F1398">IF($C1398="","",IFERROR(INDEX(DATA_MASTER!$L$2:$L$5000,MATCH($C1398,DATA_MASTER!$D$2:$D$5000,0)),""))</f>
        <v/>
      </c>
      <c r="G1398" s="24" t="n"/>
      <c r="H1398" s="24" t="n"/>
      <c r="I1398" s="30" t="n"/>
      <c r="J1398" s="23">
        <f>IF(OR($H1398="",$I1398=""),"",$H1398*$I1398)</f>
        <v/>
      </c>
      <c r="K1398" s="24" t="n"/>
      <c r="L1398" s="24" t="n"/>
      <c r="M1398" s="29" t="n"/>
      <c r="N1398" s="28" t="n"/>
      <c r="O1398" s="24" t="n"/>
      <c r="P1398" s="24" t="n"/>
      <c r="Q1398" s="24" t="n"/>
      <c r="R1398" s="24" t="n"/>
      <c r="S1398" s="22">
        <f>IF(AND($A1398="",$C1398=""),"",IF($A1398="","Thiếu mã đơn; ","")&amp;IF(COUNTIF($A$2:$A1398,$A1398)&gt;1,"Trùng mã đơn; ","")&amp;IF(ISNA(MATCH($C1398,DATA_MASTER!$D$2:$D$5000,0)),"SĐT chưa đăng ký hội viên; ","")&amp;IF(AND($L1398="Đã chuyển khoản",$M1398=""),"Thiếu ngày nhận CK; ",""))</f>
        <v/>
      </c>
      <c r="T1398" s="24" t="n"/>
    </row>
    <row r="1399" ht="14.25" customHeight="1" s="40">
      <c r="A1399" s="24" t="n"/>
      <c r="B1399" s="29" t="n"/>
      <c r="C1399" s="28" t="n"/>
      <c r="D1399" s="22">
        <f t="array" ref="D1399">IF($C1399="","",IFERROR(INDEX(DATA_MASTER!$C$2:$C$5000,MATCH($C1399,DATA_MASTER!$D$2:$D$5000,0)),""))</f>
        <v/>
      </c>
      <c r="E1399" s="22">
        <f t="array" ref="E1399">IF($C1399="","",IFERROR(INDEX(DATA_MASTER!$I$2:$I$5000,MATCH($C1399,DATA_MASTER!$D$2:$D$5000,0)),""))</f>
        <v/>
      </c>
      <c r="F1399" s="22">
        <f t="array" ref="F1399">IF($C1399="","",IFERROR(INDEX(DATA_MASTER!$L$2:$L$5000,MATCH($C1399,DATA_MASTER!$D$2:$D$5000,0)),""))</f>
        <v/>
      </c>
      <c r="G1399" s="24" t="n"/>
      <c r="H1399" s="24" t="n"/>
      <c r="I1399" s="30" t="n"/>
      <c r="J1399" s="23">
        <f>IF(OR($H1399="",$I1399=""),"",$H1399*$I1399)</f>
        <v/>
      </c>
      <c r="K1399" s="24" t="n"/>
      <c r="L1399" s="24" t="n"/>
      <c r="M1399" s="29" t="n"/>
      <c r="N1399" s="28" t="n"/>
      <c r="O1399" s="24" t="n"/>
      <c r="P1399" s="24" t="n"/>
      <c r="Q1399" s="24" t="n"/>
      <c r="R1399" s="24" t="n"/>
      <c r="S1399" s="22">
        <f>IF(AND($A1399="",$C1399=""),"",IF($A1399="","Thiếu mã đơn; ","")&amp;IF(COUNTIF($A$2:$A1399,$A1399)&gt;1,"Trùng mã đơn; ","")&amp;IF(ISNA(MATCH($C1399,DATA_MASTER!$D$2:$D$5000,0)),"SĐT chưa đăng ký hội viên; ","")&amp;IF(AND($L1399="Đã chuyển khoản",$M1399=""),"Thiếu ngày nhận CK; ",""))</f>
        <v/>
      </c>
      <c r="T1399" s="24" t="n"/>
    </row>
    <row r="1400" ht="14.25" customHeight="1" s="40">
      <c r="A1400" s="24" t="n"/>
      <c r="B1400" s="29" t="n"/>
      <c r="C1400" s="28" t="n"/>
      <c r="D1400" s="22">
        <f t="array" ref="D1400">IF($C1400="","",IFERROR(INDEX(DATA_MASTER!$C$2:$C$5000,MATCH($C1400,DATA_MASTER!$D$2:$D$5000,0)),""))</f>
        <v/>
      </c>
      <c r="E1400" s="22">
        <f t="array" ref="E1400">IF($C1400="","",IFERROR(INDEX(DATA_MASTER!$I$2:$I$5000,MATCH($C1400,DATA_MASTER!$D$2:$D$5000,0)),""))</f>
        <v/>
      </c>
      <c r="F1400" s="22">
        <f t="array" ref="F1400">IF($C1400="","",IFERROR(INDEX(DATA_MASTER!$L$2:$L$5000,MATCH($C1400,DATA_MASTER!$D$2:$D$5000,0)),""))</f>
        <v/>
      </c>
      <c r="G1400" s="24" t="n"/>
      <c r="H1400" s="24" t="n"/>
      <c r="I1400" s="30" t="n"/>
      <c r="J1400" s="23">
        <f>IF(OR($H1400="",$I1400=""),"",$H1400*$I1400)</f>
        <v/>
      </c>
      <c r="K1400" s="24" t="n"/>
      <c r="L1400" s="24" t="n"/>
      <c r="M1400" s="29" t="n"/>
      <c r="N1400" s="28" t="n"/>
      <c r="O1400" s="24" t="n"/>
      <c r="P1400" s="24" t="n"/>
      <c r="Q1400" s="24" t="n"/>
      <c r="R1400" s="24" t="n"/>
      <c r="S1400" s="22">
        <f>IF(AND($A1400="",$C1400=""),"",IF($A1400="","Thiếu mã đơn; ","")&amp;IF(COUNTIF($A$2:$A1400,$A1400)&gt;1,"Trùng mã đơn; ","")&amp;IF(ISNA(MATCH($C1400,DATA_MASTER!$D$2:$D$5000,0)),"SĐT chưa đăng ký hội viên; ","")&amp;IF(AND($L1400="Đã chuyển khoản",$M1400=""),"Thiếu ngày nhận CK; ",""))</f>
        <v/>
      </c>
      <c r="T1400" s="24" t="n"/>
    </row>
    <row r="1401" ht="14.25" customHeight="1" s="40">
      <c r="A1401" s="24" t="n"/>
      <c r="B1401" s="29" t="n"/>
      <c r="C1401" s="28" t="n"/>
      <c r="D1401" s="22">
        <f t="array" ref="D1401">IF($C1401="","",IFERROR(INDEX(DATA_MASTER!$C$2:$C$5000,MATCH($C1401,DATA_MASTER!$D$2:$D$5000,0)),""))</f>
        <v/>
      </c>
      <c r="E1401" s="22">
        <f t="array" ref="E1401">IF($C1401="","",IFERROR(INDEX(DATA_MASTER!$I$2:$I$5000,MATCH($C1401,DATA_MASTER!$D$2:$D$5000,0)),""))</f>
        <v/>
      </c>
      <c r="F1401" s="22">
        <f t="array" ref="F1401">IF($C1401="","",IFERROR(INDEX(DATA_MASTER!$L$2:$L$5000,MATCH($C1401,DATA_MASTER!$D$2:$D$5000,0)),""))</f>
        <v/>
      </c>
      <c r="G1401" s="24" t="n"/>
      <c r="H1401" s="24" t="n"/>
      <c r="I1401" s="30" t="n"/>
      <c r="J1401" s="23">
        <f>IF(OR($H1401="",$I1401=""),"",$H1401*$I1401)</f>
        <v/>
      </c>
      <c r="K1401" s="24" t="n"/>
      <c r="L1401" s="24" t="n"/>
      <c r="M1401" s="29" t="n"/>
      <c r="N1401" s="28" t="n"/>
      <c r="O1401" s="24" t="n"/>
      <c r="P1401" s="24" t="n"/>
      <c r="Q1401" s="24" t="n"/>
      <c r="R1401" s="24" t="n"/>
      <c r="S1401" s="22">
        <f>IF(AND($A1401="",$C1401=""),"",IF($A1401="","Thiếu mã đơn; ","")&amp;IF(COUNTIF($A$2:$A1401,$A1401)&gt;1,"Trùng mã đơn; ","")&amp;IF(ISNA(MATCH($C1401,DATA_MASTER!$D$2:$D$5000,0)),"SĐT chưa đăng ký hội viên; ","")&amp;IF(AND($L1401="Đã chuyển khoản",$M1401=""),"Thiếu ngày nhận CK; ",""))</f>
        <v/>
      </c>
      <c r="T1401" s="24" t="n"/>
    </row>
    <row r="1402" ht="14.25" customHeight="1" s="40">
      <c r="A1402" s="24" t="n"/>
      <c r="B1402" s="29" t="n"/>
      <c r="C1402" s="28" t="n"/>
      <c r="D1402" s="22">
        <f t="array" ref="D1402">IF($C1402="","",IFERROR(INDEX(DATA_MASTER!$C$2:$C$5000,MATCH($C1402,DATA_MASTER!$D$2:$D$5000,0)),""))</f>
        <v/>
      </c>
      <c r="E1402" s="22">
        <f t="array" ref="E1402">IF($C1402="","",IFERROR(INDEX(DATA_MASTER!$I$2:$I$5000,MATCH($C1402,DATA_MASTER!$D$2:$D$5000,0)),""))</f>
        <v/>
      </c>
      <c r="F1402" s="22">
        <f t="array" ref="F1402">IF($C1402="","",IFERROR(INDEX(DATA_MASTER!$L$2:$L$5000,MATCH($C1402,DATA_MASTER!$D$2:$D$5000,0)),""))</f>
        <v/>
      </c>
      <c r="G1402" s="24" t="n"/>
      <c r="H1402" s="24" t="n"/>
      <c r="I1402" s="30" t="n"/>
      <c r="J1402" s="23">
        <f>IF(OR($H1402="",$I1402=""),"",$H1402*$I1402)</f>
        <v/>
      </c>
      <c r="K1402" s="24" t="n"/>
      <c r="L1402" s="24" t="n"/>
      <c r="M1402" s="29" t="n"/>
      <c r="N1402" s="28" t="n"/>
      <c r="O1402" s="24" t="n"/>
      <c r="P1402" s="24" t="n"/>
      <c r="Q1402" s="24" t="n"/>
      <c r="R1402" s="24" t="n"/>
      <c r="S1402" s="22">
        <f>IF(AND($A1402="",$C1402=""),"",IF($A1402="","Thiếu mã đơn; ","")&amp;IF(COUNTIF($A$2:$A1402,$A1402)&gt;1,"Trùng mã đơn; ","")&amp;IF(ISNA(MATCH($C1402,DATA_MASTER!$D$2:$D$5000,0)),"SĐT chưa đăng ký hội viên; ","")&amp;IF(AND($L1402="Đã chuyển khoản",$M1402=""),"Thiếu ngày nhận CK; ",""))</f>
        <v/>
      </c>
      <c r="T1402" s="24" t="n"/>
    </row>
    <row r="1403" ht="14.25" customHeight="1" s="40">
      <c r="A1403" s="24" t="n"/>
      <c r="B1403" s="29" t="n"/>
      <c r="C1403" s="28" t="n"/>
      <c r="D1403" s="22">
        <f t="array" ref="D1403">IF($C1403="","",IFERROR(INDEX(DATA_MASTER!$C$2:$C$5000,MATCH($C1403,DATA_MASTER!$D$2:$D$5000,0)),""))</f>
        <v/>
      </c>
      <c r="E1403" s="22">
        <f t="array" ref="E1403">IF($C1403="","",IFERROR(INDEX(DATA_MASTER!$I$2:$I$5000,MATCH($C1403,DATA_MASTER!$D$2:$D$5000,0)),""))</f>
        <v/>
      </c>
      <c r="F1403" s="22">
        <f t="array" ref="F1403">IF($C1403="","",IFERROR(INDEX(DATA_MASTER!$L$2:$L$5000,MATCH($C1403,DATA_MASTER!$D$2:$D$5000,0)),""))</f>
        <v/>
      </c>
      <c r="G1403" s="24" t="n"/>
      <c r="H1403" s="24" t="n"/>
      <c r="I1403" s="30" t="n"/>
      <c r="J1403" s="23">
        <f>IF(OR($H1403="",$I1403=""),"",$H1403*$I1403)</f>
        <v/>
      </c>
      <c r="K1403" s="24" t="n"/>
      <c r="L1403" s="24" t="n"/>
      <c r="M1403" s="29" t="n"/>
      <c r="N1403" s="28" t="n"/>
      <c r="O1403" s="24" t="n"/>
      <c r="P1403" s="24" t="n"/>
      <c r="Q1403" s="24" t="n"/>
      <c r="R1403" s="24" t="n"/>
      <c r="S1403" s="22">
        <f>IF(AND($A1403="",$C1403=""),"",IF($A1403="","Thiếu mã đơn; ","")&amp;IF(COUNTIF($A$2:$A1403,$A1403)&gt;1,"Trùng mã đơn; ","")&amp;IF(ISNA(MATCH($C1403,DATA_MASTER!$D$2:$D$5000,0)),"SĐT chưa đăng ký hội viên; ","")&amp;IF(AND($L1403="Đã chuyển khoản",$M1403=""),"Thiếu ngày nhận CK; ",""))</f>
        <v/>
      </c>
      <c r="T1403" s="24" t="n"/>
    </row>
    <row r="1404" ht="14.25" customHeight="1" s="40">
      <c r="A1404" s="24" t="n"/>
      <c r="B1404" s="29" t="n"/>
      <c r="C1404" s="28" t="n"/>
      <c r="D1404" s="22">
        <f t="array" ref="D1404">IF($C1404="","",IFERROR(INDEX(DATA_MASTER!$C$2:$C$5000,MATCH($C1404,DATA_MASTER!$D$2:$D$5000,0)),""))</f>
        <v/>
      </c>
      <c r="E1404" s="22">
        <f t="array" ref="E1404">IF($C1404="","",IFERROR(INDEX(DATA_MASTER!$I$2:$I$5000,MATCH($C1404,DATA_MASTER!$D$2:$D$5000,0)),""))</f>
        <v/>
      </c>
      <c r="F1404" s="22">
        <f t="array" ref="F1404">IF($C1404="","",IFERROR(INDEX(DATA_MASTER!$L$2:$L$5000,MATCH($C1404,DATA_MASTER!$D$2:$D$5000,0)),""))</f>
        <v/>
      </c>
      <c r="G1404" s="24" t="n"/>
      <c r="H1404" s="24" t="n"/>
      <c r="I1404" s="30" t="n"/>
      <c r="J1404" s="23">
        <f>IF(OR($H1404="",$I1404=""),"",$H1404*$I1404)</f>
        <v/>
      </c>
      <c r="K1404" s="24" t="n"/>
      <c r="L1404" s="24" t="n"/>
      <c r="M1404" s="29" t="n"/>
      <c r="N1404" s="28" t="n"/>
      <c r="O1404" s="24" t="n"/>
      <c r="P1404" s="24" t="n"/>
      <c r="Q1404" s="24" t="n"/>
      <c r="R1404" s="24" t="n"/>
      <c r="S1404" s="22">
        <f>IF(AND($A1404="",$C1404=""),"",IF($A1404="","Thiếu mã đơn; ","")&amp;IF(COUNTIF($A$2:$A1404,$A1404)&gt;1,"Trùng mã đơn; ","")&amp;IF(ISNA(MATCH($C1404,DATA_MASTER!$D$2:$D$5000,0)),"SĐT chưa đăng ký hội viên; ","")&amp;IF(AND($L1404="Đã chuyển khoản",$M1404=""),"Thiếu ngày nhận CK; ",""))</f>
        <v/>
      </c>
      <c r="T1404" s="24" t="n"/>
    </row>
    <row r="1405" ht="14.25" customHeight="1" s="40">
      <c r="A1405" s="24" t="n"/>
      <c r="B1405" s="29" t="n"/>
      <c r="C1405" s="28" t="n"/>
      <c r="D1405" s="22">
        <f t="array" ref="D1405">IF($C1405="","",IFERROR(INDEX(DATA_MASTER!$C$2:$C$5000,MATCH($C1405,DATA_MASTER!$D$2:$D$5000,0)),""))</f>
        <v/>
      </c>
      <c r="E1405" s="22">
        <f t="array" ref="E1405">IF($C1405="","",IFERROR(INDEX(DATA_MASTER!$I$2:$I$5000,MATCH($C1405,DATA_MASTER!$D$2:$D$5000,0)),""))</f>
        <v/>
      </c>
      <c r="F1405" s="22">
        <f t="array" ref="F1405">IF($C1405="","",IFERROR(INDEX(DATA_MASTER!$L$2:$L$5000,MATCH($C1405,DATA_MASTER!$D$2:$D$5000,0)),""))</f>
        <v/>
      </c>
      <c r="G1405" s="24" t="n"/>
      <c r="H1405" s="24" t="n"/>
      <c r="I1405" s="30" t="n"/>
      <c r="J1405" s="23">
        <f>IF(OR($H1405="",$I1405=""),"",$H1405*$I1405)</f>
        <v/>
      </c>
      <c r="K1405" s="24" t="n"/>
      <c r="L1405" s="24" t="n"/>
      <c r="M1405" s="29" t="n"/>
      <c r="N1405" s="28" t="n"/>
      <c r="O1405" s="24" t="n"/>
      <c r="P1405" s="24" t="n"/>
      <c r="Q1405" s="24" t="n"/>
      <c r="R1405" s="24" t="n"/>
      <c r="S1405" s="22">
        <f>IF(AND($A1405="",$C1405=""),"",IF($A1405="","Thiếu mã đơn; ","")&amp;IF(COUNTIF($A$2:$A1405,$A1405)&gt;1,"Trùng mã đơn; ","")&amp;IF(ISNA(MATCH($C1405,DATA_MASTER!$D$2:$D$5000,0)),"SĐT chưa đăng ký hội viên; ","")&amp;IF(AND($L1405="Đã chuyển khoản",$M1405=""),"Thiếu ngày nhận CK; ",""))</f>
        <v/>
      </c>
      <c r="T1405" s="24" t="n"/>
    </row>
    <row r="1406" ht="14.25" customHeight="1" s="40">
      <c r="A1406" s="24" t="n"/>
      <c r="B1406" s="29" t="n"/>
      <c r="C1406" s="28" t="n"/>
      <c r="D1406" s="22">
        <f t="array" ref="D1406">IF($C1406="","",IFERROR(INDEX(DATA_MASTER!$C$2:$C$5000,MATCH($C1406,DATA_MASTER!$D$2:$D$5000,0)),""))</f>
        <v/>
      </c>
      <c r="E1406" s="22">
        <f t="array" ref="E1406">IF($C1406="","",IFERROR(INDEX(DATA_MASTER!$I$2:$I$5000,MATCH($C1406,DATA_MASTER!$D$2:$D$5000,0)),""))</f>
        <v/>
      </c>
      <c r="F1406" s="22">
        <f t="array" ref="F1406">IF($C1406="","",IFERROR(INDEX(DATA_MASTER!$L$2:$L$5000,MATCH($C1406,DATA_MASTER!$D$2:$D$5000,0)),""))</f>
        <v/>
      </c>
      <c r="G1406" s="24" t="n"/>
      <c r="H1406" s="24" t="n"/>
      <c r="I1406" s="30" t="n"/>
      <c r="J1406" s="23">
        <f>IF(OR($H1406="",$I1406=""),"",$H1406*$I1406)</f>
        <v/>
      </c>
      <c r="K1406" s="24" t="n"/>
      <c r="L1406" s="24" t="n"/>
      <c r="M1406" s="29" t="n"/>
      <c r="N1406" s="28" t="n"/>
      <c r="O1406" s="24" t="n"/>
      <c r="P1406" s="24" t="n"/>
      <c r="Q1406" s="24" t="n"/>
      <c r="R1406" s="24" t="n"/>
      <c r="S1406" s="22">
        <f>IF(AND($A1406="",$C1406=""),"",IF($A1406="","Thiếu mã đơn; ","")&amp;IF(COUNTIF($A$2:$A1406,$A1406)&gt;1,"Trùng mã đơn; ","")&amp;IF(ISNA(MATCH($C1406,DATA_MASTER!$D$2:$D$5000,0)),"SĐT chưa đăng ký hội viên; ","")&amp;IF(AND($L1406="Đã chuyển khoản",$M1406=""),"Thiếu ngày nhận CK; ",""))</f>
        <v/>
      </c>
      <c r="T1406" s="24" t="n"/>
    </row>
    <row r="1407" ht="14.25" customHeight="1" s="40">
      <c r="A1407" s="24" t="n"/>
      <c r="B1407" s="29" t="n"/>
      <c r="C1407" s="28" t="n"/>
      <c r="D1407" s="22">
        <f t="array" ref="D1407">IF($C1407="","",IFERROR(INDEX(DATA_MASTER!$C$2:$C$5000,MATCH($C1407,DATA_MASTER!$D$2:$D$5000,0)),""))</f>
        <v/>
      </c>
      <c r="E1407" s="22">
        <f t="array" ref="E1407">IF($C1407="","",IFERROR(INDEX(DATA_MASTER!$I$2:$I$5000,MATCH($C1407,DATA_MASTER!$D$2:$D$5000,0)),""))</f>
        <v/>
      </c>
      <c r="F1407" s="22">
        <f t="array" ref="F1407">IF($C1407="","",IFERROR(INDEX(DATA_MASTER!$L$2:$L$5000,MATCH($C1407,DATA_MASTER!$D$2:$D$5000,0)),""))</f>
        <v/>
      </c>
      <c r="G1407" s="24" t="n"/>
      <c r="H1407" s="24" t="n"/>
      <c r="I1407" s="30" t="n"/>
      <c r="J1407" s="23">
        <f>IF(OR($H1407="",$I1407=""),"",$H1407*$I1407)</f>
        <v/>
      </c>
      <c r="K1407" s="24" t="n"/>
      <c r="L1407" s="24" t="n"/>
      <c r="M1407" s="29" t="n"/>
      <c r="N1407" s="28" t="n"/>
      <c r="O1407" s="24" t="n"/>
      <c r="P1407" s="24" t="n"/>
      <c r="Q1407" s="24" t="n"/>
      <c r="R1407" s="24" t="n"/>
      <c r="S1407" s="22">
        <f>IF(AND($A1407="",$C1407=""),"",IF($A1407="","Thiếu mã đơn; ","")&amp;IF(COUNTIF($A$2:$A1407,$A1407)&gt;1,"Trùng mã đơn; ","")&amp;IF(ISNA(MATCH($C1407,DATA_MASTER!$D$2:$D$5000,0)),"SĐT chưa đăng ký hội viên; ","")&amp;IF(AND($L1407="Đã chuyển khoản",$M1407=""),"Thiếu ngày nhận CK; ",""))</f>
        <v/>
      </c>
      <c r="T1407" s="24" t="n"/>
    </row>
    <row r="1408" ht="14.25" customHeight="1" s="40">
      <c r="A1408" s="24" t="n"/>
      <c r="B1408" s="29" t="n"/>
      <c r="C1408" s="28" t="n"/>
      <c r="D1408" s="22">
        <f t="array" ref="D1408">IF($C1408="","",IFERROR(INDEX(DATA_MASTER!$C$2:$C$5000,MATCH($C1408,DATA_MASTER!$D$2:$D$5000,0)),""))</f>
        <v/>
      </c>
      <c r="E1408" s="22">
        <f t="array" ref="E1408">IF($C1408="","",IFERROR(INDEX(DATA_MASTER!$I$2:$I$5000,MATCH($C1408,DATA_MASTER!$D$2:$D$5000,0)),""))</f>
        <v/>
      </c>
      <c r="F1408" s="22">
        <f t="array" ref="F1408">IF($C1408="","",IFERROR(INDEX(DATA_MASTER!$L$2:$L$5000,MATCH($C1408,DATA_MASTER!$D$2:$D$5000,0)),""))</f>
        <v/>
      </c>
      <c r="G1408" s="24" t="n"/>
      <c r="H1408" s="24" t="n"/>
      <c r="I1408" s="30" t="n"/>
      <c r="J1408" s="23">
        <f>IF(OR($H1408="",$I1408=""),"",$H1408*$I1408)</f>
        <v/>
      </c>
      <c r="K1408" s="24" t="n"/>
      <c r="L1408" s="24" t="n"/>
      <c r="M1408" s="29" t="n"/>
      <c r="N1408" s="28" t="n"/>
      <c r="O1408" s="24" t="n"/>
      <c r="P1408" s="24" t="n"/>
      <c r="Q1408" s="24" t="n"/>
      <c r="R1408" s="24" t="n"/>
      <c r="S1408" s="22">
        <f>IF(AND($A1408="",$C1408=""),"",IF($A1408="","Thiếu mã đơn; ","")&amp;IF(COUNTIF($A$2:$A1408,$A1408)&gt;1,"Trùng mã đơn; ","")&amp;IF(ISNA(MATCH($C1408,DATA_MASTER!$D$2:$D$5000,0)),"SĐT chưa đăng ký hội viên; ","")&amp;IF(AND($L1408="Đã chuyển khoản",$M1408=""),"Thiếu ngày nhận CK; ",""))</f>
        <v/>
      </c>
      <c r="T1408" s="24" t="n"/>
    </row>
    <row r="1409" ht="14.25" customHeight="1" s="40">
      <c r="A1409" s="24" t="n"/>
      <c r="B1409" s="29" t="n"/>
      <c r="C1409" s="28" t="n"/>
      <c r="D1409" s="22">
        <f t="array" ref="D1409">IF($C1409="","",IFERROR(INDEX(DATA_MASTER!$C$2:$C$5000,MATCH($C1409,DATA_MASTER!$D$2:$D$5000,0)),""))</f>
        <v/>
      </c>
      <c r="E1409" s="22">
        <f t="array" ref="E1409">IF($C1409="","",IFERROR(INDEX(DATA_MASTER!$I$2:$I$5000,MATCH($C1409,DATA_MASTER!$D$2:$D$5000,0)),""))</f>
        <v/>
      </c>
      <c r="F1409" s="22">
        <f t="array" ref="F1409">IF($C1409="","",IFERROR(INDEX(DATA_MASTER!$L$2:$L$5000,MATCH($C1409,DATA_MASTER!$D$2:$D$5000,0)),""))</f>
        <v/>
      </c>
      <c r="G1409" s="24" t="n"/>
      <c r="H1409" s="24" t="n"/>
      <c r="I1409" s="30" t="n"/>
      <c r="J1409" s="23">
        <f>IF(OR($H1409="",$I1409=""),"",$H1409*$I1409)</f>
        <v/>
      </c>
      <c r="K1409" s="24" t="n"/>
      <c r="L1409" s="24" t="n"/>
      <c r="M1409" s="29" t="n"/>
      <c r="N1409" s="28" t="n"/>
      <c r="O1409" s="24" t="n"/>
      <c r="P1409" s="24" t="n"/>
      <c r="Q1409" s="24" t="n"/>
      <c r="R1409" s="24" t="n"/>
      <c r="S1409" s="22">
        <f>IF(AND($A1409="",$C1409=""),"",IF($A1409="","Thiếu mã đơn; ","")&amp;IF(COUNTIF($A$2:$A1409,$A1409)&gt;1,"Trùng mã đơn; ","")&amp;IF(ISNA(MATCH($C1409,DATA_MASTER!$D$2:$D$5000,0)),"SĐT chưa đăng ký hội viên; ","")&amp;IF(AND($L1409="Đã chuyển khoản",$M1409=""),"Thiếu ngày nhận CK; ",""))</f>
        <v/>
      </c>
      <c r="T1409" s="24" t="n"/>
    </row>
    <row r="1410" ht="14.25" customHeight="1" s="40">
      <c r="A1410" s="24" t="n"/>
      <c r="B1410" s="29" t="n"/>
      <c r="C1410" s="28" t="n"/>
      <c r="D1410" s="22">
        <f t="array" ref="D1410">IF($C1410="","",IFERROR(INDEX(DATA_MASTER!$C$2:$C$5000,MATCH($C1410,DATA_MASTER!$D$2:$D$5000,0)),""))</f>
        <v/>
      </c>
      <c r="E1410" s="22">
        <f t="array" ref="E1410">IF($C1410="","",IFERROR(INDEX(DATA_MASTER!$I$2:$I$5000,MATCH($C1410,DATA_MASTER!$D$2:$D$5000,0)),""))</f>
        <v/>
      </c>
      <c r="F1410" s="22">
        <f t="array" ref="F1410">IF($C1410="","",IFERROR(INDEX(DATA_MASTER!$L$2:$L$5000,MATCH($C1410,DATA_MASTER!$D$2:$D$5000,0)),""))</f>
        <v/>
      </c>
      <c r="G1410" s="24" t="n"/>
      <c r="H1410" s="24" t="n"/>
      <c r="I1410" s="30" t="n"/>
      <c r="J1410" s="23">
        <f>IF(OR($H1410="",$I1410=""),"",$H1410*$I1410)</f>
        <v/>
      </c>
      <c r="K1410" s="24" t="n"/>
      <c r="L1410" s="24" t="n"/>
      <c r="M1410" s="29" t="n"/>
      <c r="N1410" s="28" t="n"/>
      <c r="O1410" s="24" t="n"/>
      <c r="P1410" s="24" t="n"/>
      <c r="Q1410" s="24" t="n"/>
      <c r="R1410" s="24" t="n"/>
      <c r="S1410" s="22">
        <f>IF(AND($A1410="",$C1410=""),"",IF($A1410="","Thiếu mã đơn; ","")&amp;IF(COUNTIF($A$2:$A1410,$A1410)&gt;1,"Trùng mã đơn; ","")&amp;IF(ISNA(MATCH($C1410,DATA_MASTER!$D$2:$D$5000,0)),"SĐT chưa đăng ký hội viên; ","")&amp;IF(AND($L1410="Đã chuyển khoản",$M1410=""),"Thiếu ngày nhận CK; ",""))</f>
        <v/>
      </c>
      <c r="T1410" s="24" t="n"/>
    </row>
    <row r="1411" ht="14.25" customHeight="1" s="40">
      <c r="A1411" s="24" t="n"/>
      <c r="B1411" s="29" t="n"/>
      <c r="C1411" s="28" t="n"/>
      <c r="D1411" s="22">
        <f t="array" ref="D1411">IF($C1411="","",IFERROR(INDEX(DATA_MASTER!$C$2:$C$5000,MATCH($C1411,DATA_MASTER!$D$2:$D$5000,0)),""))</f>
        <v/>
      </c>
      <c r="E1411" s="22">
        <f t="array" ref="E1411">IF($C1411="","",IFERROR(INDEX(DATA_MASTER!$I$2:$I$5000,MATCH($C1411,DATA_MASTER!$D$2:$D$5000,0)),""))</f>
        <v/>
      </c>
      <c r="F1411" s="22">
        <f t="array" ref="F1411">IF($C1411="","",IFERROR(INDEX(DATA_MASTER!$L$2:$L$5000,MATCH($C1411,DATA_MASTER!$D$2:$D$5000,0)),""))</f>
        <v/>
      </c>
      <c r="G1411" s="24" t="n"/>
      <c r="H1411" s="24" t="n"/>
      <c r="I1411" s="30" t="n"/>
      <c r="J1411" s="23">
        <f>IF(OR($H1411="",$I1411=""),"",$H1411*$I1411)</f>
        <v/>
      </c>
      <c r="K1411" s="24" t="n"/>
      <c r="L1411" s="24" t="n"/>
      <c r="M1411" s="29" t="n"/>
      <c r="N1411" s="28" t="n"/>
      <c r="O1411" s="24" t="n"/>
      <c r="P1411" s="24" t="n"/>
      <c r="Q1411" s="24" t="n"/>
      <c r="R1411" s="24" t="n"/>
      <c r="S1411" s="22">
        <f>IF(AND($A1411="",$C1411=""),"",IF($A1411="","Thiếu mã đơn; ","")&amp;IF(COUNTIF($A$2:$A1411,$A1411)&gt;1,"Trùng mã đơn; ","")&amp;IF(ISNA(MATCH($C1411,DATA_MASTER!$D$2:$D$5000,0)),"SĐT chưa đăng ký hội viên; ","")&amp;IF(AND($L1411="Đã chuyển khoản",$M1411=""),"Thiếu ngày nhận CK; ",""))</f>
        <v/>
      </c>
      <c r="T1411" s="24" t="n"/>
    </row>
    <row r="1412" ht="14.25" customHeight="1" s="40">
      <c r="A1412" s="24" t="n"/>
      <c r="B1412" s="29" t="n"/>
      <c r="C1412" s="28" t="n"/>
      <c r="D1412" s="22">
        <f t="array" ref="D1412">IF($C1412="","",IFERROR(INDEX(DATA_MASTER!$C$2:$C$5000,MATCH($C1412,DATA_MASTER!$D$2:$D$5000,0)),""))</f>
        <v/>
      </c>
      <c r="E1412" s="22">
        <f t="array" ref="E1412">IF($C1412="","",IFERROR(INDEX(DATA_MASTER!$I$2:$I$5000,MATCH($C1412,DATA_MASTER!$D$2:$D$5000,0)),""))</f>
        <v/>
      </c>
      <c r="F1412" s="22">
        <f t="array" ref="F1412">IF($C1412="","",IFERROR(INDEX(DATA_MASTER!$L$2:$L$5000,MATCH($C1412,DATA_MASTER!$D$2:$D$5000,0)),""))</f>
        <v/>
      </c>
      <c r="G1412" s="24" t="n"/>
      <c r="H1412" s="24" t="n"/>
      <c r="I1412" s="30" t="n"/>
      <c r="J1412" s="23">
        <f>IF(OR($H1412="",$I1412=""),"",$H1412*$I1412)</f>
        <v/>
      </c>
      <c r="K1412" s="24" t="n"/>
      <c r="L1412" s="24" t="n"/>
      <c r="M1412" s="29" t="n"/>
      <c r="N1412" s="28" t="n"/>
      <c r="O1412" s="24" t="n"/>
      <c r="P1412" s="24" t="n"/>
      <c r="Q1412" s="24" t="n"/>
      <c r="R1412" s="24" t="n"/>
      <c r="S1412" s="22">
        <f>IF(AND($A1412="",$C1412=""),"",IF($A1412="","Thiếu mã đơn; ","")&amp;IF(COUNTIF($A$2:$A1412,$A1412)&gt;1,"Trùng mã đơn; ","")&amp;IF(ISNA(MATCH($C1412,DATA_MASTER!$D$2:$D$5000,0)),"SĐT chưa đăng ký hội viên; ","")&amp;IF(AND($L1412="Đã chuyển khoản",$M1412=""),"Thiếu ngày nhận CK; ",""))</f>
        <v/>
      </c>
      <c r="T1412" s="24" t="n"/>
    </row>
    <row r="1413" ht="14.25" customHeight="1" s="40">
      <c r="A1413" s="24" t="n"/>
      <c r="B1413" s="29" t="n"/>
      <c r="C1413" s="28" t="n"/>
      <c r="D1413" s="22">
        <f t="array" ref="D1413">IF($C1413="","",IFERROR(INDEX(DATA_MASTER!$C$2:$C$5000,MATCH($C1413,DATA_MASTER!$D$2:$D$5000,0)),""))</f>
        <v/>
      </c>
      <c r="E1413" s="22">
        <f t="array" ref="E1413">IF($C1413="","",IFERROR(INDEX(DATA_MASTER!$I$2:$I$5000,MATCH($C1413,DATA_MASTER!$D$2:$D$5000,0)),""))</f>
        <v/>
      </c>
      <c r="F1413" s="22">
        <f t="array" ref="F1413">IF($C1413="","",IFERROR(INDEX(DATA_MASTER!$L$2:$L$5000,MATCH($C1413,DATA_MASTER!$D$2:$D$5000,0)),""))</f>
        <v/>
      </c>
      <c r="G1413" s="24" t="n"/>
      <c r="H1413" s="24" t="n"/>
      <c r="I1413" s="30" t="n"/>
      <c r="J1413" s="23">
        <f>IF(OR($H1413="",$I1413=""),"",$H1413*$I1413)</f>
        <v/>
      </c>
      <c r="K1413" s="24" t="n"/>
      <c r="L1413" s="24" t="n"/>
      <c r="M1413" s="29" t="n"/>
      <c r="N1413" s="28" t="n"/>
      <c r="O1413" s="24" t="n"/>
      <c r="P1413" s="24" t="n"/>
      <c r="Q1413" s="24" t="n"/>
      <c r="R1413" s="24" t="n"/>
      <c r="S1413" s="22">
        <f>IF(AND($A1413="",$C1413=""),"",IF($A1413="","Thiếu mã đơn; ","")&amp;IF(COUNTIF($A$2:$A1413,$A1413)&gt;1,"Trùng mã đơn; ","")&amp;IF(ISNA(MATCH($C1413,DATA_MASTER!$D$2:$D$5000,0)),"SĐT chưa đăng ký hội viên; ","")&amp;IF(AND($L1413="Đã chuyển khoản",$M1413=""),"Thiếu ngày nhận CK; ",""))</f>
        <v/>
      </c>
      <c r="T1413" s="24" t="n"/>
    </row>
    <row r="1414" ht="14.25" customHeight="1" s="40">
      <c r="A1414" s="24" t="n"/>
      <c r="B1414" s="29" t="n"/>
      <c r="C1414" s="28" t="n"/>
      <c r="D1414" s="22">
        <f t="array" ref="D1414">IF($C1414="","",IFERROR(INDEX(DATA_MASTER!$C$2:$C$5000,MATCH($C1414,DATA_MASTER!$D$2:$D$5000,0)),""))</f>
        <v/>
      </c>
      <c r="E1414" s="22">
        <f t="array" ref="E1414">IF($C1414="","",IFERROR(INDEX(DATA_MASTER!$I$2:$I$5000,MATCH($C1414,DATA_MASTER!$D$2:$D$5000,0)),""))</f>
        <v/>
      </c>
      <c r="F1414" s="22">
        <f t="array" ref="F1414">IF($C1414="","",IFERROR(INDEX(DATA_MASTER!$L$2:$L$5000,MATCH($C1414,DATA_MASTER!$D$2:$D$5000,0)),""))</f>
        <v/>
      </c>
      <c r="G1414" s="24" t="n"/>
      <c r="H1414" s="24" t="n"/>
      <c r="I1414" s="30" t="n"/>
      <c r="J1414" s="23">
        <f>IF(OR($H1414="",$I1414=""),"",$H1414*$I1414)</f>
        <v/>
      </c>
      <c r="K1414" s="24" t="n"/>
      <c r="L1414" s="24" t="n"/>
      <c r="M1414" s="29" t="n"/>
      <c r="N1414" s="28" t="n"/>
      <c r="O1414" s="24" t="n"/>
      <c r="P1414" s="24" t="n"/>
      <c r="Q1414" s="24" t="n"/>
      <c r="R1414" s="24" t="n"/>
      <c r="S1414" s="22">
        <f>IF(AND($A1414="",$C1414=""),"",IF($A1414="","Thiếu mã đơn; ","")&amp;IF(COUNTIF($A$2:$A1414,$A1414)&gt;1,"Trùng mã đơn; ","")&amp;IF(ISNA(MATCH($C1414,DATA_MASTER!$D$2:$D$5000,0)),"SĐT chưa đăng ký hội viên; ","")&amp;IF(AND($L1414="Đã chuyển khoản",$M1414=""),"Thiếu ngày nhận CK; ",""))</f>
        <v/>
      </c>
      <c r="T1414" s="24" t="n"/>
    </row>
    <row r="1415" ht="14.25" customHeight="1" s="40">
      <c r="A1415" s="24" t="n"/>
      <c r="B1415" s="29" t="n"/>
      <c r="C1415" s="28" t="n"/>
      <c r="D1415" s="22">
        <f t="array" ref="D1415">IF($C1415="","",IFERROR(INDEX(DATA_MASTER!$C$2:$C$5000,MATCH($C1415,DATA_MASTER!$D$2:$D$5000,0)),""))</f>
        <v/>
      </c>
      <c r="E1415" s="22">
        <f t="array" ref="E1415">IF($C1415="","",IFERROR(INDEX(DATA_MASTER!$I$2:$I$5000,MATCH($C1415,DATA_MASTER!$D$2:$D$5000,0)),""))</f>
        <v/>
      </c>
      <c r="F1415" s="22">
        <f t="array" ref="F1415">IF($C1415="","",IFERROR(INDEX(DATA_MASTER!$L$2:$L$5000,MATCH($C1415,DATA_MASTER!$D$2:$D$5000,0)),""))</f>
        <v/>
      </c>
      <c r="G1415" s="24" t="n"/>
      <c r="H1415" s="24" t="n"/>
      <c r="I1415" s="30" t="n"/>
      <c r="J1415" s="23">
        <f>IF(OR($H1415="",$I1415=""),"",$H1415*$I1415)</f>
        <v/>
      </c>
      <c r="K1415" s="24" t="n"/>
      <c r="L1415" s="24" t="n"/>
      <c r="M1415" s="29" t="n"/>
      <c r="N1415" s="28" t="n"/>
      <c r="O1415" s="24" t="n"/>
      <c r="P1415" s="24" t="n"/>
      <c r="Q1415" s="24" t="n"/>
      <c r="R1415" s="24" t="n"/>
      <c r="S1415" s="22">
        <f>IF(AND($A1415="",$C1415=""),"",IF($A1415="","Thiếu mã đơn; ","")&amp;IF(COUNTIF($A$2:$A1415,$A1415)&gt;1,"Trùng mã đơn; ","")&amp;IF(ISNA(MATCH($C1415,DATA_MASTER!$D$2:$D$5000,0)),"SĐT chưa đăng ký hội viên; ","")&amp;IF(AND($L1415="Đã chuyển khoản",$M1415=""),"Thiếu ngày nhận CK; ",""))</f>
        <v/>
      </c>
      <c r="T1415" s="24" t="n"/>
    </row>
    <row r="1416" ht="14.25" customHeight="1" s="40">
      <c r="A1416" s="24" t="n"/>
      <c r="B1416" s="29" t="n"/>
      <c r="C1416" s="28" t="n"/>
      <c r="D1416" s="22">
        <f t="array" ref="D1416">IF($C1416="","",IFERROR(INDEX(DATA_MASTER!$C$2:$C$5000,MATCH($C1416,DATA_MASTER!$D$2:$D$5000,0)),""))</f>
        <v/>
      </c>
      <c r="E1416" s="22">
        <f t="array" ref="E1416">IF($C1416="","",IFERROR(INDEX(DATA_MASTER!$I$2:$I$5000,MATCH($C1416,DATA_MASTER!$D$2:$D$5000,0)),""))</f>
        <v/>
      </c>
      <c r="F1416" s="22">
        <f t="array" ref="F1416">IF($C1416="","",IFERROR(INDEX(DATA_MASTER!$L$2:$L$5000,MATCH($C1416,DATA_MASTER!$D$2:$D$5000,0)),""))</f>
        <v/>
      </c>
      <c r="G1416" s="24" t="n"/>
      <c r="H1416" s="24" t="n"/>
      <c r="I1416" s="30" t="n"/>
      <c r="J1416" s="23">
        <f>IF(OR($H1416="",$I1416=""),"",$H1416*$I1416)</f>
        <v/>
      </c>
      <c r="K1416" s="24" t="n"/>
      <c r="L1416" s="24" t="n"/>
      <c r="M1416" s="29" t="n"/>
      <c r="N1416" s="28" t="n"/>
      <c r="O1416" s="24" t="n"/>
      <c r="P1416" s="24" t="n"/>
      <c r="Q1416" s="24" t="n"/>
      <c r="R1416" s="24" t="n"/>
      <c r="S1416" s="22">
        <f>IF(AND($A1416="",$C1416=""),"",IF($A1416="","Thiếu mã đơn; ","")&amp;IF(COUNTIF($A$2:$A1416,$A1416)&gt;1,"Trùng mã đơn; ","")&amp;IF(ISNA(MATCH($C1416,DATA_MASTER!$D$2:$D$5000,0)),"SĐT chưa đăng ký hội viên; ","")&amp;IF(AND($L1416="Đã chuyển khoản",$M1416=""),"Thiếu ngày nhận CK; ",""))</f>
        <v/>
      </c>
      <c r="T1416" s="24" t="n"/>
    </row>
    <row r="1417" ht="14.25" customHeight="1" s="40">
      <c r="A1417" s="24" t="n"/>
      <c r="B1417" s="29" t="n"/>
      <c r="C1417" s="28" t="n"/>
      <c r="D1417" s="22">
        <f t="array" ref="D1417">IF($C1417="","",IFERROR(INDEX(DATA_MASTER!$C$2:$C$5000,MATCH($C1417,DATA_MASTER!$D$2:$D$5000,0)),""))</f>
        <v/>
      </c>
      <c r="E1417" s="22">
        <f t="array" ref="E1417">IF($C1417="","",IFERROR(INDEX(DATA_MASTER!$I$2:$I$5000,MATCH($C1417,DATA_MASTER!$D$2:$D$5000,0)),""))</f>
        <v/>
      </c>
      <c r="F1417" s="22">
        <f t="array" ref="F1417">IF($C1417="","",IFERROR(INDEX(DATA_MASTER!$L$2:$L$5000,MATCH($C1417,DATA_MASTER!$D$2:$D$5000,0)),""))</f>
        <v/>
      </c>
      <c r="G1417" s="24" t="n"/>
      <c r="H1417" s="24" t="n"/>
      <c r="I1417" s="30" t="n"/>
      <c r="J1417" s="23">
        <f>IF(OR($H1417="",$I1417=""),"",$H1417*$I1417)</f>
        <v/>
      </c>
      <c r="K1417" s="24" t="n"/>
      <c r="L1417" s="24" t="n"/>
      <c r="M1417" s="29" t="n"/>
      <c r="N1417" s="28" t="n"/>
      <c r="O1417" s="24" t="n"/>
      <c r="P1417" s="24" t="n"/>
      <c r="Q1417" s="24" t="n"/>
      <c r="R1417" s="24" t="n"/>
      <c r="S1417" s="22">
        <f>IF(AND($A1417="",$C1417=""),"",IF($A1417="","Thiếu mã đơn; ","")&amp;IF(COUNTIF($A$2:$A1417,$A1417)&gt;1,"Trùng mã đơn; ","")&amp;IF(ISNA(MATCH($C1417,DATA_MASTER!$D$2:$D$5000,0)),"SĐT chưa đăng ký hội viên; ","")&amp;IF(AND($L1417="Đã chuyển khoản",$M1417=""),"Thiếu ngày nhận CK; ",""))</f>
        <v/>
      </c>
      <c r="T1417" s="24" t="n"/>
    </row>
    <row r="1418" ht="14.25" customHeight="1" s="40">
      <c r="A1418" s="24" t="n"/>
      <c r="B1418" s="29" t="n"/>
      <c r="C1418" s="28" t="n"/>
      <c r="D1418" s="22">
        <f t="array" ref="D1418">IF($C1418="","",IFERROR(INDEX(DATA_MASTER!$C$2:$C$5000,MATCH($C1418,DATA_MASTER!$D$2:$D$5000,0)),""))</f>
        <v/>
      </c>
      <c r="E1418" s="22">
        <f t="array" ref="E1418">IF($C1418="","",IFERROR(INDEX(DATA_MASTER!$I$2:$I$5000,MATCH($C1418,DATA_MASTER!$D$2:$D$5000,0)),""))</f>
        <v/>
      </c>
      <c r="F1418" s="22">
        <f t="array" ref="F1418">IF($C1418="","",IFERROR(INDEX(DATA_MASTER!$L$2:$L$5000,MATCH($C1418,DATA_MASTER!$D$2:$D$5000,0)),""))</f>
        <v/>
      </c>
      <c r="G1418" s="24" t="n"/>
      <c r="H1418" s="24" t="n"/>
      <c r="I1418" s="30" t="n"/>
      <c r="J1418" s="23">
        <f>IF(OR($H1418="",$I1418=""),"",$H1418*$I1418)</f>
        <v/>
      </c>
      <c r="K1418" s="24" t="n"/>
      <c r="L1418" s="24" t="n"/>
      <c r="M1418" s="29" t="n"/>
      <c r="N1418" s="28" t="n"/>
      <c r="O1418" s="24" t="n"/>
      <c r="P1418" s="24" t="n"/>
      <c r="Q1418" s="24" t="n"/>
      <c r="R1418" s="24" t="n"/>
      <c r="S1418" s="22">
        <f>IF(AND($A1418="",$C1418=""),"",IF($A1418="","Thiếu mã đơn; ","")&amp;IF(COUNTIF($A$2:$A1418,$A1418)&gt;1,"Trùng mã đơn; ","")&amp;IF(ISNA(MATCH($C1418,DATA_MASTER!$D$2:$D$5000,0)),"SĐT chưa đăng ký hội viên; ","")&amp;IF(AND($L1418="Đã chuyển khoản",$M1418=""),"Thiếu ngày nhận CK; ",""))</f>
        <v/>
      </c>
      <c r="T1418" s="24" t="n"/>
    </row>
    <row r="1419" ht="14.25" customHeight="1" s="40">
      <c r="A1419" s="24" t="n"/>
      <c r="B1419" s="29" t="n"/>
      <c r="C1419" s="28" t="n"/>
      <c r="D1419" s="22">
        <f t="array" ref="D1419">IF($C1419="","",IFERROR(INDEX(DATA_MASTER!$C$2:$C$5000,MATCH($C1419,DATA_MASTER!$D$2:$D$5000,0)),""))</f>
        <v/>
      </c>
      <c r="E1419" s="22">
        <f t="array" ref="E1419">IF($C1419="","",IFERROR(INDEX(DATA_MASTER!$I$2:$I$5000,MATCH($C1419,DATA_MASTER!$D$2:$D$5000,0)),""))</f>
        <v/>
      </c>
      <c r="F1419" s="22">
        <f t="array" ref="F1419">IF($C1419="","",IFERROR(INDEX(DATA_MASTER!$L$2:$L$5000,MATCH($C1419,DATA_MASTER!$D$2:$D$5000,0)),""))</f>
        <v/>
      </c>
      <c r="G1419" s="24" t="n"/>
      <c r="H1419" s="24" t="n"/>
      <c r="I1419" s="30" t="n"/>
      <c r="J1419" s="23">
        <f>IF(OR($H1419="",$I1419=""),"",$H1419*$I1419)</f>
        <v/>
      </c>
      <c r="K1419" s="24" t="n"/>
      <c r="L1419" s="24" t="n"/>
      <c r="M1419" s="29" t="n"/>
      <c r="N1419" s="28" t="n"/>
      <c r="O1419" s="24" t="n"/>
      <c r="P1419" s="24" t="n"/>
      <c r="Q1419" s="24" t="n"/>
      <c r="R1419" s="24" t="n"/>
      <c r="S1419" s="22">
        <f>IF(AND($A1419="",$C1419=""),"",IF($A1419="","Thiếu mã đơn; ","")&amp;IF(COUNTIF($A$2:$A1419,$A1419)&gt;1,"Trùng mã đơn; ","")&amp;IF(ISNA(MATCH($C1419,DATA_MASTER!$D$2:$D$5000,0)),"SĐT chưa đăng ký hội viên; ","")&amp;IF(AND($L1419="Đã chuyển khoản",$M1419=""),"Thiếu ngày nhận CK; ",""))</f>
        <v/>
      </c>
      <c r="T1419" s="24" t="n"/>
    </row>
    <row r="1420" ht="14.25" customHeight="1" s="40">
      <c r="A1420" s="24" t="n"/>
      <c r="B1420" s="29" t="n"/>
      <c r="C1420" s="28" t="n"/>
      <c r="D1420" s="22">
        <f t="array" ref="D1420">IF($C1420="","",IFERROR(INDEX(DATA_MASTER!$C$2:$C$5000,MATCH($C1420,DATA_MASTER!$D$2:$D$5000,0)),""))</f>
        <v/>
      </c>
      <c r="E1420" s="22">
        <f t="array" ref="E1420">IF($C1420="","",IFERROR(INDEX(DATA_MASTER!$I$2:$I$5000,MATCH($C1420,DATA_MASTER!$D$2:$D$5000,0)),""))</f>
        <v/>
      </c>
      <c r="F1420" s="22">
        <f t="array" ref="F1420">IF($C1420="","",IFERROR(INDEX(DATA_MASTER!$L$2:$L$5000,MATCH($C1420,DATA_MASTER!$D$2:$D$5000,0)),""))</f>
        <v/>
      </c>
      <c r="G1420" s="24" t="n"/>
      <c r="H1420" s="24" t="n"/>
      <c r="I1420" s="30" t="n"/>
      <c r="J1420" s="23">
        <f>IF(OR($H1420="",$I1420=""),"",$H1420*$I1420)</f>
        <v/>
      </c>
      <c r="K1420" s="24" t="n"/>
      <c r="L1420" s="24" t="n"/>
      <c r="M1420" s="29" t="n"/>
      <c r="N1420" s="28" t="n"/>
      <c r="O1420" s="24" t="n"/>
      <c r="P1420" s="24" t="n"/>
      <c r="Q1420" s="24" t="n"/>
      <c r="R1420" s="24" t="n"/>
      <c r="S1420" s="22">
        <f>IF(AND($A1420="",$C1420=""),"",IF($A1420="","Thiếu mã đơn; ","")&amp;IF(COUNTIF($A$2:$A1420,$A1420)&gt;1,"Trùng mã đơn; ","")&amp;IF(ISNA(MATCH($C1420,DATA_MASTER!$D$2:$D$5000,0)),"SĐT chưa đăng ký hội viên; ","")&amp;IF(AND($L1420="Đã chuyển khoản",$M1420=""),"Thiếu ngày nhận CK; ",""))</f>
        <v/>
      </c>
      <c r="T1420" s="24" t="n"/>
    </row>
    <row r="1421" ht="14.25" customHeight="1" s="40">
      <c r="A1421" s="24" t="n"/>
      <c r="B1421" s="29" t="n"/>
      <c r="C1421" s="28" t="n"/>
      <c r="D1421" s="22">
        <f t="array" ref="D1421">IF($C1421="","",IFERROR(INDEX(DATA_MASTER!$C$2:$C$5000,MATCH($C1421,DATA_MASTER!$D$2:$D$5000,0)),""))</f>
        <v/>
      </c>
      <c r="E1421" s="22">
        <f t="array" ref="E1421">IF($C1421="","",IFERROR(INDEX(DATA_MASTER!$I$2:$I$5000,MATCH($C1421,DATA_MASTER!$D$2:$D$5000,0)),""))</f>
        <v/>
      </c>
      <c r="F1421" s="22">
        <f t="array" ref="F1421">IF($C1421="","",IFERROR(INDEX(DATA_MASTER!$L$2:$L$5000,MATCH($C1421,DATA_MASTER!$D$2:$D$5000,0)),""))</f>
        <v/>
      </c>
      <c r="G1421" s="24" t="n"/>
      <c r="H1421" s="24" t="n"/>
      <c r="I1421" s="30" t="n"/>
      <c r="J1421" s="23">
        <f>IF(OR($H1421="",$I1421=""),"",$H1421*$I1421)</f>
        <v/>
      </c>
      <c r="K1421" s="24" t="n"/>
      <c r="L1421" s="24" t="n"/>
      <c r="M1421" s="29" t="n"/>
      <c r="N1421" s="28" t="n"/>
      <c r="O1421" s="24" t="n"/>
      <c r="P1421" s="24" t="n"/>
      <c r="Q1421" s="24" t="n"/>
      <c r="R1421" s="24" t="n"/>
      <c r="S1421" s="22">
        <f>IF(AND($A1421="",$C1421=""),"",IF($A1421="","Thiếu mã đơn; ","")&amp;IF(COUNTIF($A$2:$A1421,$A1421)&gt;1,"Trùng mã đơn; ","")&amp;IF(ISNA(MATCH($C1421,DATA_MASTER!$D$2:$D$5000,0)),"SĐT chưa đăng ký hội viên; ","")&amp;IF(AND($L1421="Đã chuyển khoản",$M1421=""),"Thiếu ngày nhận CK; ",""))</f>
        <v/>
      </c>
      <c r="T1421" s="24" t="n"/>
    </row>
    <row r="1422" ht="14.25" customHeight="1" s="40">
      <c r="A1422" s="24" t="n"/>
      <c r="B1422" s="29" t="n"/>
      <c r="C1422" s="28" t="n"/>
      <c r="D1422" s="22">
        <f t="array" ref="D1422">IF($C1422="","",IFERROR(INDEX(DATA_MASTER!$C$2:$C$5000,MATCH($C1422,DATA_MASTER!$D$2:$D$5000,0)),""))</f>
        <v/>
      </c>
      <c r="E1422" s="22">
        <f t="array" ref="E1422">IF($C1422="","",IFERROR(INDEX(DATA_MASTER!$I$2:$I$5000,MATCH($C1422,DATA_MASTER!$D$2:$D$5000,0)),""))</f>
        <v/>
      </c>
      <c r="F1422" s="22">
        <f t="array" ref="F1422">IF($C1422="","",IFERROR(INDEX(DATA_MASTER!$L$2:$L$5000,MATCH($C1422,DATA_MASTER!$D$2:$D$5000,0)),""))</f>
        <v/>
      </c>
      <c r="G1422" s="24" t="n"/>
      <c r="H1422" s="24" t="n"/>
      <c r="I1422" s="30" t="n"/>
      <c r="J1422" s="23">
        <f>IF(OR($H1422="",$I1422=""),"",$H1422*$I1422)</f>
        <v/>
      </c>
      <c r="K1422" s="24" t="n"/>
      <c r="L1422" s="24" t="n"/>
      <c r="M1422" s="29" t="n"/>
      <c r="N1422" s="28" t="n"/>
      <c r="O1422" s="24" t="n"/>
      <c r="P1422" s="24" t="n"/>
      <c r="Q1422" s="24" t="n"/>
      <c r="R1422" s="24" t="n"/>
      <c r="S1422" s="22">
        <f>IF(AND($A1422="",$C1422=""),"",IF($A1422="","Thiếu mã đơn; ","")&amp;IF(COUNTIF($A$2:$A1422,$A1422)&gt;1,"Trùng mã đơn; ","")&amp;IF(ISNA(MATCH($C1422,DATA_MASTER!$D$2:$D$5000,0)),"SĐT chưa đăng ký hội viên; ","")&amp;IF(AND($L1422="Đã chuyển khoản",$M1422=""),"Thiếu ngày nhận CK; ",""))</f>
        <v/>
      </c>
      <c r="T1422" s="24" t="n"/>
    </row>
    <row r="1423" ht="14.25" customHeight="1" s="40">
      <c r="A1423" s="24" t="n"/>
      <c r="B1423" s="29" t="n"/>
      <c r="C1423" s="28" t="n"/>
      <c r="D1423" s="22">
        <f t="array" ref="D1423">IF($C1423="","",IFERROR(INDEX(DATA_MASTER!$C$2:$C$5000,MATCH($C1423,DATA_MASTER!$D$2:$D$5000,0)),""))</f>
        <v/>
      </c>
      <c r="E1423" s="22">
        <f t="array" ref="E1423">IF($C1423="","",IFERROR(INDEX(DATA_MASTER!$I$2:$I$5000,MATCH($C1423,DATA_MASTER!$D$2:$D$5000,0)),""))</f>
        <v/>
      </c>
      <c r="F1423" s="22">
        <f t="array" ref="F1423">IF($C1423="","",IFERROR(INDEX(DATA_MASTER!$L$2:$L$5000,MATCH($C1423,DATA_MASTER!$D$2:$D$5000,0)),""))</f>
        <v/>
      </c>
      <c r="G1423" s="24" t="n"/>
      <c r="H1423" s="24" t="n"/>
      <c r="I1423" s="30" t="n"/>
      <c r="J1423" s="23">
        <f>IF(OR($H1423="",$I1423=""),"",$H1423*$I1423)</f>
        <v/>
      </c>
      <c r="K1423" s="24" t="n"/>
      <c r="L1423" s="24" t="n"/>
      <c r="M1423" s="29" t="n"/>
      <c r="N1423" s="28" t="n"/>
      <c r="O1423" s="24" t="n"/>
      <c r="P1423" s="24" t="n"/>
      <c r="Q1423" s="24" t="n"/>
      <c r="R1423" s="24" t="n"/>
      <c r="S1423" s="22">
        <f>IF(AND($A1423="",$C1423=""),"",IF($A1423="","Thiếu mã đơn; ","")&amp;IF(COUNTIF($A$2:$A1423,$A1423)&gt;1,"Trùng mã đơn; ","")&amp;IF(ISNA(MATCH($C1423,DATA_MASTER!$D$2:$D$5000,0)),"SĐT chưa đăng ký hội viên; ","")&amp;IF(AND($L1423="Đã chuyển khoản",$M1423=""),"Thiếu ngày nhận CK; ",""))</f>
        <v/>
      </c>
      <c r="T1423" s="24" t="n"/>
    </row>
    <row r="1424" ht="14.25" customHeight="1" s="40">
      <c r="A1424" s="24" t="n"/>
      <c r="B1424" s="29" t="n"/>
      <c r="C1424" s="28" t="n"/>
      <c r="D1424" s="22">
        <f t="array" ref="D1424">IF($C1424="","",IFERROR(INDEX(DATA_MASTER!$C$2:$C$5000,MATCH($C1424,DATA_MASTER!$D$2:$D$5000,0)),""))</f>
        <v/>
      </c>
      <c r="E1424" s="22">
        <f t="array" ref="E1424">IF($C1424="","",IFERROR(INDEX(DATA_MASTER!$I$2:$I$5000,MATCH($C1424,DATA_MASTER!$D$2:$D$5000,0)),""))</f>
        <v/>
      </c>
      <c r="F1424" s="22">
        <f t="array" ref="F1424">IF($C1424="","",IFERROR(INDEX(DATA_MASTER!$L$2:$L$5000,MATCH($C1424,DATA_MASTER!$D$2:$D$5000,0)),""))</f>
        <v/>
      </c>
      <c r="G1424" s="24" t="n"/>
      <c r="H1424" s="24" t="n"/>
      <c r="I1424" s="30" t="n"/>
      <c r="J1424" s="23">
        <f>IF(OR($H1424="",$I1424=""),"",$H1424*$I1424)</f>
        <v/>
      </c>
      <c r="K1424" s="24" t="n"/>
      <c r="L1424" s="24" t="n"/>
      <c r="M1424" s="29" t="n"/>
      <c r="N1424" s="28" t="n"/>
      <c r="O1424" s="24" t="n"/>
      <c r="P1424" s="24" t="n"/>
      <c r="Q1424" s="24" t="n"/>
      <c r="R1424" s="24" t="n"/>
      <c r="S1424" s="22">
        <f>IF(AND($A1424="",$C1424=""),"",IF($A1424="","Thiếu mã đơn; ","")&amp;IF(COUNTIF($A$2:$A1424,$A1424)&gt;1,"Trùng mã đơn; ","")&amp;IF(ISNA(MATCH($C1424,DATA_MASTER!$D$2:$D$5000,0)),"SĐT chưa đăng ký hội viên; ","")&amp;IF(AND($L1424="Đã chuyển khoản",$M1424=""),"Thiếu ngày nhận CK; ",""))</f>
        <v/>
      </c>
      <c r="T1424" s="24" t="n"/>
    </row>
    <row r="1425" ht="14.25" customHeight="1" s="40">
      <c r="A1425" s="24" t="n"/>
      <c r="B1425" s="29" t="n"/>
      <c r="C1425" s="28" t="n"/>
      <c r="D1425" s="22">
        <f t="array" ref="D1425">IF($C1425="","",IFERROR(INDEX(DATA_MASTER!$C$2:$C$5000,MATCH($C1425,DATA_MASTER!$D$2:$D$5000,0)),""))</f>
        <v/>
      </c>
      <c r="E1425" s="22">
        <f t="array" ref="E1425">IF($C1425="","",IFERROR(INDEX(DATA_MASTER!$I$2:$I$5000,MATCH($C1425,DATA_MASTER!$D$2:$D$5000,0)),""))</f>
        <v/>
      </c>
      <c r="F1425" s="22">
        <f t="array" ref="F1425">IF($C1425="","",IFERROR(INDEX(DATA_MASTER!$L$2:$L$5000,MATCH($C1425,DATA_MASTER!$D$2:$D$5000,0)),""))</f>
        <v/>
      </c>
      <c r="G1425" s="24" t="n"/>
      <c r="H1425" s="24" t="n"/>
      <c r="I1425" s="30" t="n"/>
      <c r="J1425" s="23">
        <f>IF(OR($H1425="",$I1425=""),"",$H1425*$I1425)</f>
        <v/>
      </c>
      <c r="K1425" s="24" t="n"/>
      <c r="L1425" s="24" t="n"/>
      <c r="M1425" s="29" t="n"/>
      <c r="N1425" s="28" t="n"/>
      <c r="O1425" s="24" t="n"/>
      <c r="P1425" s="24" t="n"/>
      <c r="Q1425" s="24" t="n"/>
      <c r="R1425" s="24" t="n"/>
      <c r="S1425" s="22">
        <f>IF(AND($A1425="",$C1425=""),"",IF($A1425="","Thiếu mã đơn; ","")&amp;IF(COUNTIF($A$2:$A1425,$A1425)&gt;1,"Trùng mã đơn; ","")&amp;IF(ISNA(MATCH($C1425,DATA_MASTER!$D$2:$D$5000,0)),"SĐT chưa đăng ký hội viên; ","")&amp;IF(AND($L1425="Đã chuyển khoản",$M1425=""),"Thiếu ngày nhận CK; ",""))</f>
        <v/>
      </c>
      <c r="T1425" s="24" t="n"/>
    </row>
    <row r="1426" ht="14.25" customHeight="1" s="40">
      <c r="A1426" s="24" t="n"/>
      <c r="B1426" s="29" t="n"/>
      <c r="C1426" s="28" t="n"/>
      <c r="D1426" s="22">
        <f t="array" ref="D1426">IF($C1426="","",IFERROR(INDEX(DATA_MASTER!$C$2:$C$5000,MATCH($C1426,DATA_MASTER!$D$2:$D$5000,0)),""))</f>
        <v/>
      </c>
      <c r="E1426" s="22">
        <f t="array" ref="E1426">IF($C1426="","",IFERROR(INDEX(DATA_MASTER!$I$2:$I$5000,MATCH($C1426,DATA_MASTER!$D$2:$D$5000,0)),""))</f>
        <v/>
      </c>
      <c r="F1426" s="22">
        <f t="array" ref="F1426">IF($C1426="","",IFERROR(INDEX(DATA_MASTER!$L$2:$L$5000,MATCH($C1426,DATA_MASTER!$D$2:$D$5000,0)),""))</f>
        <v/>
      </c>
      <c r="G1426" s="24" t="n"/>
      <c r="H1426" s="24" t="n"/>
      <c r="I1426" s="30" t="n"/>
      <c r="J1426" s="23">
        <f>IF(OR($H1426="",$I1426=""),"",$H1426*$I1426)</f>
        <v/>
      </c>
      <c r="K1426" s="24" t="n"/>
      <c r="L1426" s="24" t="n"/>
      <c r="M1426" s="29" t="n"/>
      <c r="N1426" s="28" t="n"/>
      <c r="O1426" s="24" t="n"/>
      <c r="P1426" s="24" t="n"/>
      <c r="Q1426" s="24" t="n"/>
      <c r="R1426" s="24" t="n"/>
      <c r="S1426" s="22">
        <f>IF(AND($A1426="",$C1426=""),"",IF($A1426="","Thiếu mã đơn; ","")&amp;IF(COUNTIF($A$2:$A1426,$A1426)&gt;1,"Trùng mã đơn; ","")&amp;IF(ISNA(MATCH($C1426,DATA_MASTER!$D$2:$D$5000,0)),"SĐT chưa đăng ký hội viên; ","")&amp;IF(AND($L1426="Đã chuyển khoản",$M1426=""),"Thiếu ngày nhận CK; ",""))</f>
        <v/>
      </c>
      <c r="T1426" s="24" t="n"/>
    </row>
    <row r="1427" ht="14.25" customHeight="1" s="40">
      <c r="A1427" s="24" t="n"/>
      <c r="B1427" s="29" t="n"/>
      <c r="C1427" s="28" t="n"/>
      <c r="D1427" s="22">
        <f t="array" ref="D1427">IF($C1427="","",IFERROR(INDEX(DATA_MASTER!$C$2:$C$5000,MATCH($C1427,DATA_MASTER!$D$2:$D$5000,0)),""))</f>
        <v/>
      </c>
      <c r="E1427" s="22">
        <f t="array" ref="E1427">IF($C1427="","",IFERROR(INDEX(DATA_MASTER!$I$2:$I$5000,MATCH($C1427,DATA_MASTER!$D$2:$D$5000,0)),""))</f>
        <v/>
      </c>
      <c r="F1427" s="22">
        <f t="array" ref="F1427">IF($C1427="","",IFERROR(INDEX(DATA_MASTER!$L$2:$L$5000,MATCH($C1427,DATA_MASTER!$D$2:$D$5000,0)),""))</f>
        <v/>
      </c>
      <c r="G1427" s="24" t="n"/>
      <c r="H1427" s="24" t="n"/>
      <c r="I1427" s="30" t="n"/>
      <c r="J1427" s="23">
        <f>IF(OR($H1427="",$I1427=""),"",$H1427*$I1427)</f>
        <v/>
      </c>
      <c r="K1427" s="24" t="n"/>
      <c r="L1427" s="24" t="n"/>
      <c r="M1427" s="29" t="n"/>
      <c r="N1427" s="28" t="n"/>
      <c r="O1427" s="24" t="n"/>
      <c r="P1427" s="24" t="n"/>
      <c r="Q1427" s="24" t="n"/>
      <c r="R1427" s="24" t="n"/>
      <c r="S1427" s="22">
        <f>IF(AND($A1427="",$C1427=""),"",IF($A1427="","Thiếu mã đơn; ","")&amp;IF(COUNTIF($A$2:$A1427,$A1427)&gt;1,"Trùng mã đơn; ","")&amp;IF(ISNA(MATCH($C1427,DATA_MASTER!$D$2:$D$5000,0)),"SĐT chưa đăng ký hội viên; ","")&amp;IF(AND($L1427="Đã chuyển khoản",$M1427=""),"Thiếu ngày nhận CK; ",""))</f>
        <v/>
      </c>
      <c r="T1427" s="24" t="n"/>
    </row>
    <row r="1428" ht="14.25" customHeight="1" s="40">
      <c r="A1428" s="24" t="n"/>
      <c r="B1428" s="29" t="n"/>
      <c r="C1428" s="28" t="n"/>
      <c r="D1428" s="22">
        <f t="array" ref="D1428">IF($C1428="","",IFERROR(INDEX(DATA_MASTER!$C$2:$C$5000,MATCH($C1428,DATA_MASTER!$D$2:$D$5000,0)),""))</f>
        <v/>
      </c>
      <c r="E1428" s="22">
        <f t="array" ref="E1428">IF($C1428="","",IFERROR(INDEX(DATA_MASTER!$I$2:$I$5000,MATCH($C1428,DATA_MASTER!$D$2:$D$5000,0)),""))</f>
        <v/>
      </c>
      <c r="F1428" s="22">
        <f t="array" ref="F1428">IF($C1428="","",IFERROR(INDEX(DATA_MASTER!$L$2:$L$5000,MATCH($C1428,DATA_MASTER!$D$2:$D$5000,0)),""))</f>
        <v/>
      </c>
      <c r="G1428" s="24" t="n"/>
      <c r="H1428" s="24" t="n"/>
      <c r="I1428" s="30" t="n"/>
      <c r="J1428" s="23">
        <f>IF(OR($H1428="",$I1428=""),"",$H1428*$I1428)</f>
        <v/>
      </c>
      <c r="K1428" s="24" t="n"/>
      <c r="L1428" s="24" t="n"/>
      <c r="M1428" s="29" t="n"/>
      <c r="N1428" s="28" t="n"/>
      <c r="O1428" s="24" t="n"/>
      <c r="P1428" s="24" t="n"/>
      <c r="Q1428" s="24" t="n"/>
      <c r="R1428" s="24" t="n"/>
      <c r="S1428" s="22">
        <f>IF(AND($A1428="",$C1428=""),"",IF($A1428="","Thiếu mã đơn; ","")&amp;IF(COUNTIF($A$2:$A1428,$A1428)&gt;1,"Trùng mã đơn; ","")&amp;IF(ISNA(MATCH($C1428,DATA_MASTER!$D$2:$D$5000,0)),"SĐT chưa đăng ký hội viên; ","")&amp;IF(AND($L1428="Đã chuyển khoản",$M1428=""),"Thiếu ngày nhận CK; ",""))</f>
        <v/>
      </c>
      <c r="T1428" s="24" t="n"/>
    </row>
    <row r="1429" ht="14.25" customHeight="1" s="40">
      <c r="A1429" s="24" t="n"/>
      <c r="B1429" s="29" t="n"/>
      <c r="C1429" s="28" t="n"/>
      <c r="D1429" s="22">
        <f t="array" ref="D1429">IF($C1429="","",IFERROR(INDEX(DATA_MASTER!$C$2:$C$5000,MATCH($C1429,DATA_MASTER!$D$2:$D$5000,0)),""))</f>
        <v/>
      </c>
      <c r="E1429" s="22">
        <f t="array" ref="E1429">IF($C1429="","",IFERROR(INDEX(DATA_MASTER!$I$2:$I$5000,MATCH($C1429,DATA_MASTER!$D$2:$D$5000,0)),""))</f>
        <v/>
      </c>
      <c r="F1429" s="22">
        <f t="array" ref="F1429">IF($C1429="","",IFERROR(INDEX(DATA_MASTER!$L$2:$L$5000,MATCH($C1429,DATA_MASTER!$D$2:$D$5000,0)),""))</f>
        <v/>
      </c>
      <c r="G1429" s="24" t="n"/>
      <c r="H1429" s="24" t="n"/>
      <c r="I1429" s="30" t="n"/>
      <c r="J1429" s="23">
        <f>IF(OR($H1429="",$I1429=""),"",$H1429*$I1429)</f>
        <v/>
      </c>
      <c r="K1429" s="24" t="n"/>
      <c r="L1429" s="24" t="n"/>
      <c r="M1429" s="29" t="n"/>
      <c r="N1429" s="28" t="n"/>
      <c r="O1429" s="24" t="n"/>
      <c r="P1429" s="24" t="n"/>
      <c r="Q1429" s="24" t="n"/>
      <c r="R1429" s="24" t="n"/>
      <c r="S1429" s="22">
        <f>IF(AND($A1429="",$C1429=""),"",IF($A1429="","Thiếu mã đơn; ","")&amp;IF(COUNTIF($A$2:$A1429,$A1429)&gt;1,"Trùng mã đơn; ","")&amp;IF(ISNA(MATCH($C1429,DATA_MASTER!$D$2:$D$5000,0)),"SĐT chưa đăng ký hội viên; ","")&amp;IF(AND($L1429="Đã chuyển khoản",$M1429=""),"Thiếu ngày nhận CK; ",""))</f>
        <v/>
      </c>
      <c r="T1429" s="24" t="n"/>
    </row>
    <row r="1430" ht="14.25" customHeight="1" s="40">
      <c r="A1430" s="24" t="n"/>
      <c r="B1430" s="29" t="n"/>
      <c r="C1430" s="28" t="n"/>
      <c r="D1430" s="22">
        <f t="array" ref="D1430">IF($C1430="","",IFERROR(INDEX(DATA_MASTER!$C$2:$C$5000,MATCH($C1430,DATA_MASTER!$D$2:$D$5000,0)),""))</f>
        <v/>
      </c>
      <c r="E1430" s="22">
        <f t="array" ref="E1430">IF($C1430="","",IFERROR(INDEX(DATA_MASTER!$I$2:$I$5000,MATCH($C1430,DATA_MASTER!$D$2:$D$5000,0)),""))</f>
        <v/>
      </c>
      <c r="F1430" s="22">
        <f t="array" ref="F1430">IF($C1430="","",IFERROR(INDEX(DATA_MASTER!$L$2:$L$5000,MATCH($C1430,DATA_MASTER!$D$2:$D$5000,0)),""))</f>
        <v/>
      </c>
      <c r="G1430" s="24" t="n"/>
      <c r="H1430" s="24" t="n"/>
      <c r="I1430" s="30" t="n"/>
      <c r="J1430" s="23">
        <f>IF(OR($H1430="",$I1430=""),"",$H1430*$I1430)</f>
        <v/>
      </c>
      <c r="K1430" s="24" t="n"/>
      <c r="L1430" s="24" t="n"/>
      <c r="M1430" s="29" t="n"/>
      <c r="N1430" s="28" t="n"/>
      <c r="O1430" s="24" t="n"/>
      <c r="P1430" s="24" t="n"/>
      <c r="Q1430" s="24" t="n"/>
      <c r="R1430" s="24" t="n"/>
      <c r="S1430" s="22">
        <f>IF(AND($A1430="",$C1430=""),"",IF($A1430="","Thiếu mã đơn; ","")&amp;IF(COUNTIF($A$2:$A1430,$A1430)&gt;1,"Trùng mã đơn; ","")&amp;IF(ISNA(MATCH($C1430,DATA_MASTER!$D$2:$D$5000,0)),"SĐT chưa đăng ký hội viên; ","")&amp;IF(AND($L1430="Đã chuyển khoản",$M1430=""),"Thiếu ngày nhận CK; ",""))</f>
        <v/>
      </c>
      <c r="T1430" s="24" t="n"/>
    </row>
    <row r="1431" ht="14.25" customHeight="1" s="40">
      <c r="A1431" s="24" t="n"/>
      <c r="B1431" s="29" t="n"/>
      <c r="C1431" s="28" t="n"/>
      <c r="D1431" s="22">
        <f t="array" ref="D1431">IF($C1431="","",IFERROR(INDEX(DATA_MASTER!$C$2:$C$5000,MATCH($C1431,DATA_MASTER!$D$2:$D$5000,0)),""))</f>
        <v/>
      </c>
      <c r="E1431" s="22">
        <f t="array" ref="E1431">IF($C1431="","",IFERROR(INDEX(DATA_MASTER!$I$2:$I$5000,MATCH($C1431,DATA_MASTER!$D$2:$D$5000,0)),""))</f>
        <v/>
      </c>
      <c r="F1431" s="22">
        <f t="array" ref="F1431">IF($C1431="","",IFERROR(INDEX(DATA_MASTER!$L$2:$L$5000,MATCH($C1431,DATA_MASTER!$D$2:$D$5000,0)),""))</f>
        <v/>
      </c>
      <c r="G1431" s="24" t="n"/>
      <c r="H1431" s="24" t="n"/>
      <c r="I1431" s="30" t="n"/>
      <c r="J1431" s="23">
        <f>IF(OR($H1431="",$I1431=""),"",$H1431*$I1431)</f>
        <v/>
      </c>
      <c r="K1431" s="24" t="n"/>
      <c r="L1431" s="24" t="n"/>
      <c r="M1431" s="29" t="n"/>
      <c r="N1431" s="28" t="n"/>
      <c r="O1431" s="24" t="n"/>
      <c r="P1431" s="24" t="n"/>
      <c r="Q1431" s="24" t="n"/>
      <c r="R1431" s="24" t="n"/>
      <c r="S1431" s="22">
        <f>IF(AND($A1431="",$C1431=""),"",IF($A1431="","Thiếu mã đơn; ","")&amp;IF(COUNTIF($A$2:$A1431,$A1431)&gt;1,"Trùng mã đơn; ","")&amp;IF(ISNA(MATCH($C1431,DATA_MASTER!$D$2:$D$5000,0)),"SĐT chưa đăng ký hội viên; ","")&amp;IF(AND($L1431="Đã chuyển khoản",$M1431=""),"Thiếu ngày nhận CK; ",""))</f>
        <v/>
      </c>
      <c r="T1431" s="24" t="n"/>
    </row>
    <row r="1432" ht="14.25" customHeight="1" s="40">
      <c r="A1432" s="24" t="n"/>
      <c r="B1432" s="29" t="n"/>
      <c r="C1432" s="28" t="n"/>
      <c r="D1432" s="22">
        <f t="array" ref="D1432">IF($C1432="","",IFERROR(INDEX(DATA_MASTER!$C$2:$C$5000,MATCH($C1432,DATA_MASTER!$D$2:$D$5000,0)),""))</f>
        <v/>
      </c>
      <c r="E1432" s="22">
        <f t="array" ref="E1432">IF($C1432="","",IFERROR(INDEX(DATA_MASTER!$I$2:$I$5000,MATCH($C1432,DATA_MASTER!$D$2:$D$5000,0)),""))</f>
        <v/>
      </c>
      <c r="F1432" s="22">
        <f t="array" ref="F1432">IF($C1432="","",IFERROR(INDEX(DATA_MASTER!$L$2:$L$5000,MATCH($C1432,DATA_MASTER!$D$2:$D$5000,0)),""))</f>
        <v/>
      </c>
      <c r="G1432" s="24" t="n"/>
      <c r="H1432" s="24" t="n"/>
      <c r="I1432" s="30" t="n"/>
      <c r="J1432" s="23">
        <f>IF(OR($H1432="",$I1432=""),"",$H1432*$I1432)</f>
        <v/>
      </c>
      <c r="K1432" s="24" t="n"/>
      <c r="L1432" s="24" t="n"/>
      <c r="M1432" s="29" t="n"/>
      <c r="N1432" s="28" t="n"/>
      <c r="O1432" s="24" t="n"/>
      <c r="P1432" s="24" t="n"/>
      <c r="Q1432" s="24" t="n"/>
      <c r="R1432" s="24" t="n"/>
      <c r="S1432" s="22">
        <f>IF(AND($A1432="",$C1432=""),"",IF($A1432="","Thiếu mã đơn; ","")&amp;IF(COUNTIF($A$2:$A1432,$A1432)&gt;1,"Trùng mã đơn; ","")&amp;IF(ISNA(MATCH($C1432,DATA_MASTER!$D$2:$D$5000,0)),"SĐT chưa đăng ký hội viên; ","")&amp;IF(AND($L1432="Đã chuyển khoản",$M1432=""),"Thiếu ngày nhận CK; ",""))</f>
        <v/>
      </c>
      <c r="T1432" s="24" t="n"/>
    </row>
    <row r="1433" ht="14.25" customHeight="1" s="40">
      <c r="A1433" s="24" t="n"/>
      <c r="B1433" s="29" t="n"/>
      <c r="C1433" s="28" t="n"/>
      <c r="D1433" s="22">
        <f t="array" ref="D1433">IF($C1433="","",IFERROR(INDEX(DATA_MASTER!$C$2:$C$5000,MATCH($C1433,DATA_MASTER!$D$2:$D$5000,0)),""))</f>
        <v/>
      </c>
      <c r="E1433" s="22">
        <f t="array" ref="E1433">IF($C1433="","",IFERROR(INDEX(DATA_MASTER!$I$2:$I$5000,MATCH($C1433,DATA_MASTER!$D$2:$D$5000,0)),""))</f>
        <v/>
      </c>
      <c r="F1433" s="22">
        <f t="array" ref="F1433">IF($C1433="","",IFERROR(INDEX(DATA_MASTER!$L$2:$L$5000,MATCH($C1433,DATA_MASTER!$D$2:$D$5000,0)),""))</f>
        <v/>
      </c>
      <c r="G1433" s="24" t="n"/>
      <c r="H1433" s="24" t="n"/>
      <c r="I1433" s="30" t="n"/>
      <c r="J1433" s="23">
        <f>IF(OR($H1433="",$I1433=""),"",$H1433*$I1433)</f>
        <v/>
      </c>
      <c r="K1433" s="24" t="n"/>
      <c r="L1433" s="24" t="n"/>
      <c r="M1433" s="29" t="n"/>
      <c r="N1433" s="28" t="n"/>
      <c r="O1433" s="24" t="n"/>
      <c r="P1433" s="24" t="n"/>
      <c r="Q1433" s="24" t="n"/>
      <c r="R1433" s="24" t="n"/>
      <c r="S1433" s="22">
        <f>IF(AND($A1433="",$C1433=""),"",IF($A1433="","Thiếu mã đơn; ","")&amp;IF(COUNTIF($A$2:$A1433,$A1433)&gt;1,"Trùng mã đơn; ","")&amp;IF(ISNA(MATCH($C1433,DATA_MASTER!$D$2:$D$5000,0)),"SĐT chưa đăng ký hội viên; ","")&amp;IF(AND($L1433="Đã chuyển khoản",$M1433=""),"Thiếu ngày nhận CK; ",""))</f>
        <v/>
      </c>
      <c r="T1433" s="24" t="n"/>
    </row>
    <row r="1434" ht="14.25" customHeight="1" s="40">
      <c r="A1434" s="24" t="n"/>
      <c r="B1434" s="29" t="n"/>
      <c r="C1434" s="28" t="n"/>
      <c r="D1434" s="22">
        <f t="array" ref="D1434">IF($C1434="","",IFERROR(INDEX(DATA_MASTER!$C$2:$C$5000,MATCH($C1434,DATA_MASTER!$D$2:$D$5000,0)),""))</f>
        <v/>
      </c>
      <c r="E1434" s="22">
        <f t="array" ref="E1434">IF($C1434="","",IFERROR(INDEX(DATA_MASTER!$I$2:$I$5000,MATCH($C1434,DATA_MASTER!$D$2:$D$5000,0)),""))</f>
        <v/>
      </c>
      <c r="F1434" s="22">
        <f t="array" ref="F1434">IF($C1434="","",IFERROR(INDEX(DATA_MASTER!$L$2:$L$5000,MATCH($C1434,DATA_MASTER!$D$2:$D$5000,0)),""))</f>
        <v/>
      </c>
      <c r="G1434" s="24" t="n"/>
      <c r="H1434" s="24" t="n"/>
      <c r="I1434" s="30" t="n"/>
      <c r="J1434" s="23">
        <f>IF(OR($H1434="",$I1434=""),"",$H1434*$I1434)</f>
        <v/>
      </c>
      <c r="K1434" s="24" t="n"/>
      <c r="L1434" s="24" t="n"/>
      <c r="M1434" s="29" t="n"/>
      <c r="N1434" s="28" t="n"/>
      <c r="O1434" s="24" t="n"/>
      <c r="P1434" s="24" t="n"/>
      <c r="Q1434" s="24" t="n"/>
      <c r="R1434" s="24" t="n"/>
      <c r="S1434" s="22">
        <f>IF(AND($A1434="",$C1434=""),"",IF($A1434="","Thiếu mã đơn; ","")&amp;IF(COUNTIF($A$2:$A1434,$A1434)&gt;1,"Trùng mã đơn; ","")&amp;IF(ISNA(MATCH($C1434,DATA_MASTER!$D$2:$D$5000,0)),"SĐT chưa đăng ký hội viên; ","")&amp;IF(AND($L1434="Đã chuyển khoản",$M1434=""),"Thiếu ngày nhận CK; ",""))</f>
        <v/>
      </c>
      <c r="T1434" s="24" t="n"/>
    </row>
    <row r="1435" ht="14.25" customHeight="1" s="40">
      <c r="A1435" s="24" t="n"/>
      <c r="B1435" s="29" t="n"/>
      <c r="C1435" s="28" t="n"/>
      <c r="D1435" s="22">
        <f t="array" ref="D1435">IF($C1435="","",IFERROR(INDEX(DATA_MASTER!$C$2:$C$5000,MATCH($C1435,DATA_MASTER!$D$2:$D$5000,0)),""))</f>
        <v/>
      </c>
      <c r="E1435" s="22">
        <f t="array" ref="E1435">IF($C1435="","",IFERROR(INDEX(DATA_MASTER!$I$2:$I$5000,MATCH($C1435,DATA_MASTER!$D$2:$D$5000,0)),""))</f>
        <v/>
      </c>
      <c r="F1435" s="22">
        <f t="array" ref="F1435">IF($C1435="","",IFERROR(INDEX(DATA_MASTER!$L$2:$L$5000,MATCH($C1435,DATA_MASTER!$D$2:$D$5000,0)),""))</f>
        <v/>
      </c>
      <c r="G1435" s="24" t="n"/>
      <c r="H1435" s="24" t="n"/>
      <c r="I1435" s="30" t="n"/>
      <c r="J1435" s="23">
        <f>IF(OR($H1435="",$I1435=""),"",$H1435*$I1435)</f>
        <v/>
      </c>
      <c r="K1435" s="24" t="n"/>
      <c r="L1435" s="24" t="n"/>
      <c r="M1435" s="29" t="n"/>
      <c r="N1435" s="28" t="n"/>
      <c r="O1435" s="24" t="n"/>
      <c r="P1435" s="24" t="n"/>
      <c r="Q1435" s="24" t="n"/>
      <c r="R1435" s="24" t="n"/>
      <c r="S1435" s="22">
        <f>IF(AND($A1435="",$C1435=""),"",IF($A1435="","Thiếu mã đơn; ","")&amp;IF(COUNTIF($A$2:$A1435,$A1435)&gt;1,"Trùng mã đơn; ","")&amp;IF(ISNA(MATCH($C1435,DATA_MASTER!$D$2:$D$5000,0)),"SĐT chưa đăng ký hội viên; ","")&amp;IF(AND($L1435="Đã chuyển khoản",$M1435=""),"Thiếu ngày nhận CK; ",""))</f>
        <v/>
      </c>
      <c r="T1435" s="24" t="n"/>
    </row>
    <row r="1436" ht="14.25" customHeight="1" s="40">
      <c r="A1436" s="24" t="n"/>
      <c r="B1436" s="29" t="n"/>
      <c r="C1436" s="28" t="n"/>
      <c r="D1436" s="22">
        <f t="array" ref="D1436">IF($C1436="","",IFERROR(INDEX(DATA_MASTER!$C$2:$C$5000,MATCH($C1436,DATA_MASTER!$D$2:$D$5000,0)),""))</f>
        <v/>
      </c>
      <c r="E1436" s="22">
        <f t="array" ref="E1436">IF($C1436="","",IFERROR(INDEX(DATA_MASTER!$I$2:$I$5000,MATCH($C1436,DATA_MASTER!$D$2:$D$5000,0)),""))</f>
        <v/>
      </c>
      <c r="F1436" s="22">
        <f t="array" ref="F1436">IF($C1436="","",IFERROR(INDEX(DATA_MASTER!$L$2:$L$5000,MATCH($C1436,DATA_MASTER!$D$2:$D$5000,0)),""))</f>
        <v/>
      </c>
      <c r="G1436" s="24" t="n"/>
      <c r="H1436" s="24" t="n"/>
      <c r="I1436" s="30" t="n"/>
      <c r="J1436" s="23">
        <f>IF(OR($H1436="",$I1436=""),"",$H1436*$I1436)</f>
        <v/>
      </c>
      <c r="K1436" s="24" t="n"/>
      <c r="L1436" s="24" t="n"/>
      <c r="M1436" s="29" t="n"/>
      <c r="N1436" s="28" t="n"/>
      <c r="O1436" s="24" t="n"/>
      <c r="P1436" s="24" t="n"/>
      <c r="Q1436" s="24" t="n"/>
      <c r="R1436" s="24" t="n"/>
      <c r="S1436" s="22">
        <f>IF(AND($A1436="",$C1436=""),"",IF($A1436="","Thiếu mã đơn; ","")&amp;IF(COUNTIF($A$2:$A1436,$A1436)&gt;1,"Trùng mã đơn; ","")&amp;IF(ISNA(MATCH($C1436,DATA_MASTER!$D$2:$D$5000,0)),"SĐT chưa đăng ký hội viên; ","")&amp;IF(AND($L1436="Đã chuyển khoản",$M1436=""),"Thiếu ngày nhận CK; ",""))</f>
        <v/>
      </c>
      <c r="T1436" s="24" t="n"/>
    </row>
    <row r="1437" ht="14.25" customHeight="1" s="40">
      <c r="A1437" s="24" t="n"/>
      <c r="B1437" s="29" t="n"/>
      <c r="C1437" s="28" t="n"/>
      <c r="D1437" s="22">
        <f t="array" ref="D1437">IF($C1437="","",IFERROR(INDEX(DATA_MASTER!$C$2:$C$5000,MATCH($C1437,DATA_MASTER!$D$2:$D$5000,0)),""))</f>
        <v/>
      </c>
      <c r="E1437" s="22">
        <f t="array" ref="E1437">IF($C1437="","",IFERROR(INDEX(DATA_MASTER!$I$2:$I$5000,MATCH($C1437,DATA_MASTER!$D$2:$D$5000,0)),""))</f>
        <v/>
      </c>
      <c r="F1437" s="22">
        <f t="array" ref="F1437">IF($C1437="","",IFERROR(INDEX(DATA_MASTER!$L$2:$L$5000,MATCH($C1437,DATA_MASTER!$D$2:$D$5000,0)),""))</f>
        <v/>
      </c>
      <c r="G1437" s="24" t="n"/>
      <c r="H1437" s="24" t="n"/>
      <c r="I1437" s="30" t="n"/>
      <c r="J1437" s="23">
        <f>IF(OR($H1437="",$I1437=""),"",$H1437*$I1437)</f>
        <v/>
      </c>
      <c r="K1437" s="24" t="n"/>
      <c r="L1437" s="24" t="n"/>
      <c r="M1437" s="29" t="n"/>
      <c r="N1437" s="28" t="n"/>
      <c r="O1437" s="24" t="n"/>
      <c r="P1437" s="24" t="n"/>
      <c r="Q1437" s="24" t="n"/>
      <c r="R1437" s="24" t="n"/>
      <c r="S1437" s="22">
        <f>IF(AND($A1437="",$C1437=""),"",IF($A1437="","Thiếu mã đơn; ","")&amp;IF(COUNTIF($A$2:$A1437,$A1437)&gt;1,"Trùng mã đơn; ","")&amp;IF(ISNA(MATCH($C1437,DATA_MASTER!$D$2:$D$5000,0)),"SĐT chưa đăng ký hội viên; ","")&amp;IF(AND($L1437="Đã chuyển khoản",$M1437=""),"Thiếu ngày nhận CK; ",""))</f>
        <v/>
      </c>
      <c r="T1437" s="24" t="n"/>
    </row>
    <row r="1438" ht="14.25" customHeight="1" s="40">
      <c r="A1438" s="24" t="n"/>
      <c r="B1438" s="29" t="n"/>
      <c r="C1438" s="28" t="n"/>
      <c r="D1438" s="22">
        <f t="array" ref="D1438">IF($C1438="","",IFERROR(INDEX(DATA_MASTER!$C$2:$C$5000,MATCH($C1438,DATA_MASTER!$D$2:$D$5000,0)),""))</f>
        <v/>
      </c>
      <c r="E1438" s="22">
        <f t="array" ref="E1438">IF($C1438="","",IFERROR(INDEX(DATA_MASTER!$I$2:$I$5000,MATCH($C1438,DATA_MASTER!$D$2:$D$5000,0)),""))</f>
        <v/>
      </c>
      <c r="F1438" s="22">
        <f t="array" ref="F1438">IF($C1438="","",IFERROR(INDEX(DATA_MASTER!$L$2:$L$5000,MATCH($C1438,DATA_MASTER!$D$2:$D$5000,0)),""))</f>
        <v/>
      </c>
      <c r="G1438" s="24" t="n"/>
      <c r="H1438" s="24" t="n"/>
      <c r="I1438" s="30" t="n"/>
      <c r="J1438" s="23">
        <f>IF(OR($H1438="",$I1438=""),"",$H1438*$I1438)</f>
        <v/>
      </c>
      <c r="K1438" s="24" t="n"/>
      <c r="L1438" s="24" t="n"/>
      <c r="M1438" s="29" t="n"/>
      <c r="N1438" s="28" t="n"/>
      <c r="O1438" s="24" t="n"/>
      <c r="P1438" s="24" t="n"/>
      <c r="Q1438" s="24" t="n"/>
      <c r="R1438" s="24" t="n"/>
      <c r="S1438" s="22">
        <f>IF(AND($A1438="",$C1438=""),"",IF($A1438="","Thiếu mã đơn; ","")&amp;IF(COUNTIF($A$2:$A1438,$A1438)&gt;1,"Trùng mã đơn; ","")&amp;IF(ISNA(MATCH($C1438,DATA_MASTER!$D$2:$D$5000,0)),"SĐT chưa đăng ký hội viên; ","")&amp;IF(AND($L1438="Đã chuyển khoản",$M1438=""),"Thiếu ngày nhận CK; ",""))</f>
        <v/>
      </c>
      <c r="T1438" s="24" t="n"/>
    </row>
    <row r="1439" ht="14.25" customHeight="1" s="40">
      <c r="A1439" s="24" t="n"/>
      <c r="B1439" s="29" t="n"/>
      <c r="C1439" s="28" t="n"/>
      <c r="D1439" s="22">
        <f t="array" ref="D1439">IF($C1439="","",IFERROR(INDEX(DATA_MASTER!$C$2:$C$5000,MATCH($C1439,DATA_MASTER!$D$2:$D$5000,0)),""))</f>
        <v/>
      </c>
      <c r="E1439" s="22">
        <f t="array" ref="E1439">IF($C1439="","",IFERROR(INDEX(DATA_MASTER!$I$2:$I$5000,MATCH($C1439,DATA_MASTER!$D$2:$D$5000,0)),""))</f>
        <v/>
      </c>
      <c r="F1439" s="22">
        <f t="array" ref="F1439">IF($C1439="","",IFERROR(INDEX(DATA_MASTER!$L$2:$L$5000,MATCH($C1439,DATA_MASTER!$D$2:$D$5000,0)),""))</f>
        <v/>
      </c>
      <c r="G1439" s="24" t="n"/>
      <c r="H1439" s="24" t="n"/>
      <c r="I1439" s="30" t="n"/>
      <c r="J1439" s="23">
        <f>IF(OR($H1439="",$I1439=""),"",$H1439*$I1439)</f>
        <v/>
      </c>
      <c r="K1439" s="24" t="n"/>
      <c r="L1439" s="24" t="n"/>
      <c r="M1439" s="29" t="n"/>
      <c r="N1439" s="28" t="n"/>
      <c r="O1439" s="24" t="n"/>
      <c r="P1439" s="24" t="n"/>
      <c r="Q1439" s="24" t="n"/>
      <c r="R1439" s="24" t="n"/>
      <c r="S1439" s="22">
        <f>IF(AND($A1439="",$C1439=""),"",IF($A1439="","Thiếu mã đơn; ","")&amp;IF(COUNTIF($A$2:$A1439,$A1439)&gt;1,"Trùng mã đơn; ","")&amp;IF(ISNA(MATCH($C1439,DATA_MASTER!$D$2:$D$5000,0)),"SĐT chưa đăng ký hội viên; ","")&amp;IF(AND($L1439="Đã chuyển khoản",$M1439=""),"Thiếu ngày nhận CK; ",""))</f>
        <v/>
      </c>
      <c r="T1439" s="24" t="n"/>
    </row>
    <row r="1440" ht="14.25" customHeight="1" s="40">
      <c r="A1440" s="24" t="n"/>
      <c r="B1440" s="29" t="n"/>
      <c r="C1440" s="28" t="n"/>
      <c r="D1440" s="22">
        <f t="array" ref="D1440">IF($C1440="","",IFERROR(INDEX(DATA_MASTER!$C$2:$C$5000,MATCH($C1440,DATA_MASTER!$D$2:$D$5000,0)),""))</f>
        <v/>
      </c>
      <c r="E1440" s="22">
        <f t="array" ref="E1440">IF($C1440="","",IFERROR(INDEX(DATA_MASTER!$I$2:$I$5000,MATCH($C1440,DATA_MASTER!$D$2:$D$5000,0)),""))</f>
        <v/>
      </c>
      <c r="F1440" s="22">
        <f t="array" ref="F1440">IF($C1440="","",IFERROR(INDEX(DATA_MASTER!$L$2:$L$5000,MATCH($C1440,DATA_MASTER!$D$2:$D$5000,0)),""))</f>
        <v/>
      </c>
      <c r="G1440" s="24" t="n"/>
      <c r="H1440" s="24" t="n"/>
      <c r="I1440" s="30" t="n"/>
      <c r="J1440" s="23">
        <f>IF(OR($H1440="",$I1440=""),"",$H1440*$I1440)</f>
        <v/>
      </c>
      <c r="K1440" s="24" t="n"/>
      <c r="L1440" s="24" t="n"/>
      <c r="M1440" s="29" t="n"/>
      <c r="N1440" s="28" t="n"/>
      <c r="O1440" s="24" t="n"/>
      <c r="P1440" s="24" t="n"/>
      <c r="Q1440" s="24" t="n"/>
      <c r="R1440" s="24" t="n"/>
      <c r="S1440" s="22">
        <f>IF(AND($A1440="",$C1440=""),"",IF($A1440="","Thiếu mã đơn; ","")&amp;IF(COUNTIF($A$2:$A1440,$A1440)&gt;1,"Trùng mã đơn; ","")&amp;IF(ISNA(MATCH($C1440,DATA_MASTER!$D$2:$D$5000,0)),"SĐT chưa đăng ký hội viên; ","")&amp;IF(AND($L1440="Đã chuyển khoản",$M1440=""),"Thiếu ngày nhận CK; ",""))</f>
        <v/>
      </c>
      <c r="T1440" s="24" t="n"/>
    </row>
    <row r="1441" ht="14.25" customHeight="1" s="40">
      <c r="A1441" s="24" t="n"/>
      <c r="B1441" s="29" t="n"/>
      <c r="C1441" s="28" t="n"/>
      <c r="D1441" s="22">
        <f t="array" ref="D1441">IF($C1441="","",IFERROR(INDEX(DATA_MASTER!$C$2:$C$5000,MATCH($C1441,DATA_MASTER!$D$2:$D$5000,0)),""))</f>
        <v/>
      </c>
      <c r="E1441" s="22">
        <f t="array" ref="E1441">IF($C1441="","",IFERROR(INDEX(DATA_MASTER!$I$2:$I$5000,MATCH($C1441,DATA_MASTER!$D$2:$D$5000,0)),""))</f>
        <v/>
      </c>
      <c r="F1441" s="22">
        <f t="array" ref="F1441">IF($C1441="","",IFERROR(INDEX(DATA_MASTER!$L$2:$L$5000,MATCH($C1441,DATA_MASTER!$D$2:$D$5000,0)),""))</f>
        <v/>
      </c>
      <c r="G1441" s="24" t="n"/>
      <c r="H1441" s="24" t="n"/>
      <c r="I1441" s="30" t="n"/>
      <c r="J1441" s="23">
        <f>IF(OR($H1441="",$I1441=""),"",$H1441*$I1441)</f>
        <v/>
      </c>
      <c r="K1441" s="24" t="n"/>
      <c r="L1441" s="24" t="n"/>
      <c r="M1441" s="29" t="n"/>
      <c r="N1441" s="28" t="n"/>
      <c r="O1441" s="24" t="n"/>
      <c r="P1441" s="24" t="n"/>
      <c r="Q1441" s="24" t="n"/>
      <c r="R1441" s="24" t="n"/>
      <c r="S1441" s="22">
        <f>IF(AND($A1441="",$C1441=""),"",IF($A1441="","Thiếu mã đơn; ","")&amp;IF(COUNTIF($A$2:$A1441,$A1441)&gt;1,"Trùng mã đơn; ","")&amp;IF(ISNA(MATCH($C1441,DATA_MASTER!$D$2:$D$5000,0)),"SĐT chưa đăng ký hội viên; ","")&amp;IF(AND($L1441="Đã chuyển khoản",$M1441=""),"Thiếu ngày nhận CK; ",""))</f>
        <v/>
      </c>
      <c r="T1441" s="24" t="n"/>
    </row>
    <row r="1442" ht="14.25" customHeight="1" s="40">
      <c r="A1442" s="24" t="n"/>
      <c r="B1442" s="29" t="n"/>
      <c r="C1442" s="28" t="n"/>
      <c r="D1442" s="22">
        <f t="array" ref="D1442">IF($C1442="","",IFERROR(INDEX(DATA_MASTER!$C$2:$C$5000,MATCH($C1442,DATA_MASTER!$D$2:$D$5000,0)),""))</f>
        <v/>
      </c>
      <c r="E1442" s="22">
        <f t="array" ref="E1442">IF($C1442="","",IFERROR(INDEX(DATA_MASTER!$I$2:$I$5000,MATCH($C1442,DATA_MASTER!$D$2:$D$5000,0)),""))</f>
        <v/>
      </c>
      <c r="F1442" s="22">
        <f t="array" ref="F1442">IF($C1442="","",IFERROR(INDEX(DATA_MASTER!$L$2:$L$5000,MATCH($C1442,DATA_MASTER!$D$2:$D$5000,0)),""))</f>
        <v/>
      </c>
      <c r="G1442" s="24" t="n"/>
      <c r="H1442" s="24" t="n"/>
      <c r="I1442" s="30" t="n"/>
      <c r="J1442" s="23">
        <f>IF(OR($H1442="",$I1442=""),"",$H1442*$I1442)</f>
        <v/>
      </c>
      <c r="K1442" s="24" t="n"/>
      <c r="L1442" s="24" t="n"/>
      <c r="M1442" s="29" t="n"/>
      <c r="N1442" s="28" t="n"/>
      <c r="O1442" s="24" t="n"/>
      <c r="P1442" s="24" t="n"/>
      <c r="Q1442" s="24" t="n"/>
      <c r="R1442" s="24" t="n"/>
      <c r="S1442" s="22">
        <f>IF(AND($A1442="",$C1442=""),"",IF($A1442="","Thiếu mã đơn; ","")&amp;IF(COUNTIF($A$2:$A1442,$A1442)&gt;1,"Trùng mã đơn; ","")&amp;IF(ISNA(MATCH($C1442,DATA_MASTER!$D$2:$D$5000,0)),"SĐT chưa đăng ký hội viên; ","")&amp;IF(AND($L1442="Đã chuyển khoản",$M1442=""),"Thiếu ngày nhận CK; ",""))</f>
        <v/>
      </c>
      <c r="T1442" s="24" t="n"/>
    </row>
    <row r="1443" ht="14.25" customHeight="1" s="40">
      <c r="A1443" s="24" t="n"/>
      <c r="B1443" s="29" t="n"/>
      <c r="C1443" s="28" t="n"/>
      <c r="D1443" s="22">
        <f t="array" ref="D1443">IF($C1443="","",IFERROR(INDEX(DATA_MASTER!$C$2:$C$5000,MATCH($C1443,DATA_MASTER!$D$2:$D$5000,0)),""))</f>
        <v/>
      </c>
      <c r="E1443" s="22">
        <f t="array" ref="E1443">IF($C1443="","",IFERROR(INDEX(DATA_MASTER!$I$2:$I$5000,MATCH($C1443,DATA_MASTER!$D$2:$D$5000,0)),""))</f>
        <v/>
      </c>
      <c r="F1443" s="22">
        <f t="array" ref="F1443">IF($C1443="","",IFERROR(INDEX(DATA_MASTER!$L$2:$L$5000,MATCH($C1443,DATA_MASTER!$D$2:$D$5000,0)),""))</f>
        <v/>
      </c>
      <c r="G1443" s="24" t="n"/>
      <c r="H1443" s="24" t="n"/>
      <c r="I1443" s="30" t="n"/>
      <c r="J1443" s="23">
        <f>IF(OR($H1443="",$I1443=""),"",$H1443*$I1443)</f>
        <v/>
      </c>
      <c r="K1443" s="24" t="n"/>
      <c r="L1443" s="24" t="n"/>
      <c r="M1443" s="29" t="n"/>
      <c r="N1443" s="28" t="n"/>
      <c r="O1443" s="24" t="n"/>
      <c r="P1443" s="24" t="n"/>
      <c r="Q1443" s="24" t="n"/>
      <c r="R1443" s="24" t="n"/>
      <c r="S1443" s="22">
        <f>IF(AND($A1443="",$C1443=""),"",IF($A1443="","Thiếu mã đơn; ","")&amp;IF(COUNTIF($A$2:$A1443,$A1443)&gt;1,"Trùng mã đơn; ","")&amp;IF(ISNA(MATCH($C1443,DATA_MASTER!$D$2:$D$5000,0)),"SĐT chưa đăng ký hội viên; ","")&amp;IF(AND($L1443="Đã chuyển khoản",$M1443=""),"Thiếu ngày nhận CK; ",""))</f>
        <v/>
      </c>
      <c r="T1443" s="24" t="n"/>
    </row>
    <row r="1444" ht="14.25" customHeight="1" s="40">
      <c r="A1444" s="24" t="n"/>
      <c r="B1444" s="29" t="n"/>
      <c r="C1444" s="28" t="n"/>
      <c r="D1444" s="22">
        <f t="array" ref="D1444">IF($C1444="","",IFERROR(INDEX(DATA_MASTER!$C$2:$C$5000,MATCH($C1444,DATA_MASTER!$D$2:$D$5000,0)),""))</f>
        <v/>
      </c>
      <c r="E1444" s="22">
        <f t="array" ref="E1444">IF($C1444="","",IFERROR(INDEX(DATA_MASTER!$I$2:$I$5000,MATCH($C1444,DATA_MASTER!$D$2:$D$5000,0)),""))</f>
        <v/>
      </c>
      <c r="F1444" s="22">
        <f t="array" ref="F1444">IF($C1444="","",IFERROR(INDEX(DATA_MASTER!$L$2:$L$5000,MATCH($C1444,DATA_MASTER!$D$2:$D$5000,0)),""))</f>
        <v/>
      </c>
      <c r="G1444" s="24" t="n"/>
      <c r="H1444" s="24" t="n"/>
      <c r="I1444" s="30" t="n"/>
      <c r="J1444" s="23">
        <f>IF(OR($H1444="",$I1444=""),"",$H1444*$I1444)</f>
        <v/>
      </c>
      <c r="K1444" s="24" t="n"/>
      <c r="L1444" s="24" t="n"/>
      <c r="M1444" s="29" t="n"/>
      <c r="N1444" s="28" t="n"/>
      <c r="O1444" s="24" t="n"/>
      <c r="P1444" s="24" t="n"/>
      <c r="Q1444" s="24" t="n"/>
      <c r="R1444" s="24" t="n"/>
      <c r="S1444" s="22">
        <f>IF(AND($A1444="",$C1444=""),"",IF($A1444="","Thiếu mã đơn; ","")&amp;IF(COUNTIF($A$2:$A1444,$A1444)&gt;1,"Trùng mã đơn; ","")&amp;IF(ISNA(MATCH($C1444,DATA_MASTER!$D$2:$D$5000,0)),"SĐT chưa đăng ký hội viên; ","")&amp;IF(AND($L1444="Đã chuyển khoản",$M1444=""),"Thiếu ngày nhận CK; ",""))</f>
        <v/>
      </c>
      <c r="T1444" s="24" t="n"/>
    </row>
    <row r="1445" ht="14.25" customHeight="1" s="40">
      <c r="A1445" s="24" t="n"/>
      <c r="B1445" s="29" t="n"/>
      <c r="C1445" s="28" t="n"/>
      <c r="D1445" s="22">
        <f t="array" ref="D1445">IF($C1445="","",IFERROR(INDEX(DATA_MASTER!$C$2:$C$5000,MATCH($C1445,DATA_MASTER!$D$2:$D$5000,0)),""))</f>
        <v/>
      </c>
      <c r="E1445" s="22">
        <f t="array" ref="E1445">IF($C1445="","",IFERROR(INDEX(DATA_MASTER!$I$2:$I$5000,MATCH($C1445,DATA_MASTER!$D$2:$D$5000,0)),""))</f>
        <v/>
      </c>
      <c r="F1445" s="22">
        <f t="array" ref="F1445">IF($C1445="","",IFERROR(INDEX(DATA_MASTER!$L$2:$L$5000,MATCH($C1445,DATA_MASTER!$D$2:$D$5000,0)),""))</f>
        <v/>
      </c>
      <c r="G1445" s="24" t="n"/>
      <c r="H1445" s="24" t="n"/>
      <c r="I1445" s="30" t="n"/>
      <c r="J1445" s="23">
        <f>IF(OR($H1445="",$I1445=""),"",$H1445*$I1445)</f>
        <v/>
      </c>
      <c r="K1445" s="24" t="n"/>
      <c r="L1445" s="24" t="n"/>
      <c r="M1445" s="29" t="n"/>
      <c r="N1445" s="28" t="n"/>
      <c r="O1445" s="24" t="n"/>
      <c r="P1445" s="24" t="n"/>
      <c r="Q1445" s="24" t="n"/>
      <c r="R1445" s="24" t="n"/>
      <c r="S1445" s="22">
        <f>IF(AND($A1445="",$C1445=""),"",IF($A1445="","Thiếu mã đơn; ","")&amp;IF(COUNTIF($A$2:$A1445,$A1445)&gt;1,"Trùng mã đơn; ","")&amp;IF(ISNA(MATCH($C1445,DATA_MASTER!$D$2:$D$5000,0)),"SĐT chưa đăng ký hội viên; ","")&amp;IF(AND($L1445="Đã chuyển khoản",$M1445=""),"Thiếu ngày nhận CK; ",""))</f>
        <v/>
      </c>
      <c r="T1445" s="24" t="n"/>
    </row>
    <row r="1446" ht="14.25" customHeight="1" s="40">
      <c r="A1446" s="24" t="n"/>
      <c r="B1446" s="29" t="n"/>
      <c r="C1446" s="28" t="n"/>
      <c r="D1446" s="22">
        <f t="array" ref="D1446">IF($C1446="","",IFERROR(INDEX(DATA_MASTER!$C$2:$C$5000,MATCH($C1446,DATA_MASTER!$D$2:$D$5000,0)),""))</f>
        <v/>
      </c>
      <c r="E1446" s="22">
        <f t="array" ref="E1446">IF($C1446="","",IFERROR(INDEX(DATA_MASTER!$I$2:$I$5000,MATCH($C1446,DATA_MASTER!$D$2:$D$5000,0)),""))</f>
        <v/>
      </c>
      <c r="F1446" s="22">
        <f t="array" ref="F1446">IF($C1446="","",IFERROR(INDEX(DATA_MASTER!$L$2:$L$5000,MATCH($C1446,DATA_MASTER!$D$2:$D$5000,0)),""))</f>
        <v/>
      </c>
      <c r="G1446" s="24" t="n"/>
      <c r="H1446" s="24" t="n"/>
      <c r="I1446" s="30" t="n"/>
      <c r="J1446" s="23">
        <f>IF(OR($H1446="",$I1446=""),"",$H1446*$I1446)</f>
        <v/>
      </c>
      <c r="K1446" s="24" t="n"/>
      <c r="L1446" s="24" t="n"/>
      <c r="M1446" s="29" t="n"/>
      <c r="N1446" s="28" t="n"/>
      <c r="O1446" s="24" t="n"/>
      <c r="P1446" s="24" t="n"/>
      <c r="Q1446" s="24" t="n"/>
      <c r="R1446" s="24" t="n"/>
      <c r="S1446" s="22">
        <f>IF(AND($A1446="",$C1446=""),"",IF($A1446="","Thiếu mã đơn; ","")&amp;IF(COUNTIF($A$2:$A1446,$A1446)&gt;1,"Trùng mã đơn; ","")&amp;IF(ISNA(MATCH($C1446,DATA_MASTER!$D$2:$D$5000,0)),"SĐT chưa đăng ký hội viên; ","")&amp;IF(AND($L1446="Đã chuyển khoản",$M1446=""),"Thiếu ngày nhận CK; ",""))</f>
        <v/>
      </c>
      <c r="T1446" s="24" t="n"/>
    </row>
    <row r="1447" ht="14.25" customHeight="1" s="40">
      <c r="A1447" s="24" t="n"/>
      <c r="B1447" s="29" t="n"/>
      <c r="C1447" s="28" t="n"/>
      <c r="D1447" s="22">
        <f t="array" ref="D1447">IF($C1447="","",IFERROR(INDEX(DATA_MASTER!$C$2:$C$5000,MATCH($C1447,DATA_MASTER!$D$2:$D$5000,0)),""))</f>
        <v/>
      </c>
      <c r="E1447" s="22">
        <f t="array" ref="E1447">IF($C1447="","",IFERROR(INDEX(DATA_MASTER!$I$2:$I$5000,MATCH($C1447,DATA_MASTER!$D$2:$D$5000,0)),""))</f>
        <v/>
      </c>
      <c r="F1447" s="22">
        <f t="array" ref="F1447">IF($C1447="","",IFERROR(INDEX(DATA_MASTER!$L$2:$L$5000,MATCH($C1447,DATA_MASTER!$D$2:$D$5000,0)),""))</f>
        <v/>
      </c>
      <c r="G1447" s="24" t="n"/>
      <c r="H1447" s="24" t="n"/>
      <c r="I1447" s="30" t="n"/>
      <c r="J1447" s="23">
        <f>IF(OR($H1447="",$I1447=""),"",$H1447*$I1447)</f>
        <v/>
      </c>
      <c r="K1447" s="24" t="n"/>
      <c r="L1447" s="24" t="n"/>
      <c r="M1447" s="29" t="n"/>
      <c r="N1447" s="28" t="n"/>
      <c r="O1447" s="24" t="n"/>
      <c r="P1447" s="24" t="n"/>
      <c r="Q1447" s="24" t="n"/>
      <c r="R1447" s="24" t="n"/>
      <c r="S1447" s="22">
        <f>IF(AND($A1447="",$C1447=""),"",IF($A1447="","Thiếu mã đơn; ","")&amp;IF(COUNTIF($A$2:$A1447,$A1447)&gt;1,"Trùng mã đơn; ","")&amp;IF(ISNA(MATCH($C1447,DATA_MASTER!$D$2:$D$5000,0)),"SĐT chưa đăng ký hội viên; ","")&amp;IF(AND($L1447="Đã chuyển khoản",$M1447=""),"Thiếu ngày nhận CK; ",""))</f>
        <v/>
      </c>
      <c r="T1447" s="24" t="n"/>
    </row>
    <row r="1448" ht="14.25" customHeight="1" s="40">
      <c r="A1448" s="24" t="n"/>
      <c r="B1448" s="29" t="n"/>
      <c r="C1448" s="28" t="n"/>
      <c r="D1448" s="22">
        <f t="array" ref="D1448">IF($C1448="","",IFERROR(INDEX(DATA_MASTER!$C$2:$C$5000,MATCH($C1448,DATA_MASTER!$D$2:$D$5000,0)),""))</f>
        <v/>
      </c>
      <c r="E1448" s="22">
        <f t="array" ref="E1448">IF($C1448="","",IFERROR(INDEX(DATA_MASTER!$I$2:$I$5000,MATCH($C1448,DATA_MASTER!$D$2:$D$5000,0)),""))</f>
        <v/>
      </c>
      <c r="F1448" s="22">
        <f t="array" ref="F1448">IF($C1448="","",IFERROR(INDEX(DATA_MASTER!$L$2:$L$5000,MATCH($C1448,DATA_MASTER!$D$2:$D$5000,0)),""))</f>
        <v/>
      </c>
      <c r="G1448" s="24" t="n"/>
      <c r="H1448" s="24" t="n"/>
      <c r="I1448" s="30" t="n"/>
      <c r="J1448" s="23">
        <f>IF(OR($H1448="",$I1448=""),"",$H1448*$I1448)</f>
        <v/>
      </c>
      <c r="K1448" s="24" t="n"/>
      <c r="L1448" s="24" t="n"/>
      <c r="M1448" s="29" t="n"/>
      <c r="N1448" s="28" t="n"/>
      <c r="O1448" s="24" t="n"/>
      <c r="P1448" s="24" t="n"/>
      <c r="Q1448" s="24" t="n"/>
      <c r="R1448" s="24" t="n"/>
      <c r="S1448" s="22">
        <f>IF(AND($A1448="",$C1448=""),"",IF($A1448="","Thiếu mã đơn; ","")&amp;IF(COUNTIF($A$2:$A1448,$A1448)&gt;1,"Trùng mã đơn; ","")&amp;IF(ISNA(MATCH($C1448,DATA_MASTER!$D$2:$D$5000,0)),"SĐT chưa đăng ký hội viên; ","")&amp;IF(AND($L1448="Đã chuyển khoản",$M1448=""),"Thiếu ngày nhận CK; ",""))</f>
        <v/>
      </c>
      <c r="T1448" s="24" t="n"/>
    </row>
    <row r="1449" ht="14.25" customHeight="1" s="40">
      <c r="A1449" s="24" t="n"/>
      <c r="B1449" s="29" t="n"/>
      <c r="C1449" s="28" t="n"/>
      <c r="D1449" s="22">
        <f t="array" ref="D1449">IF($C1449="","",IFERROR(INDEX(DATA_MASTER!$C$2:$C$5000,MATCH($C1449,DATA_MASTER!$D$2:$D$5000,0)),""))</f>
        <v/>
      </c>
      <c r="E1449" s="22">
        <f t="array" ref="E1449">IF($C1449="","",IFERROR(INDEX(DATA_MASTER!$I$2:$I$5000,MATCH($C1449,DATA_MASTER!$D$2:$D$5000,0)),""))</f>
        <v/>
      </c>
      <c r="F1449" s="22">
        <f t="array" ref="F1449">IF($C1449="","",IFERROR(INDEX(DATA_MASTER!$L$2:$L$5000,MATCH($C1449,DATA_MASTER!$D$2:$D$5000,0)),""))</f>
        <v/>
      </c>
      <c r="G1449" s="24" t="n"/>
      <c r="H1449" s="24" t="n"/>
      <c r="I1449" s="30" t="n"/>
      <c r="J1449" s="23">
        <f>IF(OR($H1449="",$I1449=""),"",$H1449*$I1449)</f>
        <v/>
      </c>
      <c r="K1449" s="24" t="n"/>
      <c r="L1449" s="24" t="n"/>
      <c r="M1449" s="29" t="n"/>
      <c r="N1449" s="28" t="n"/>
      <c r="O1449" s="24" t="n"/>
      <c r="P1449" s="24" t="n"/>
      <c r="Q1449" s="24" t="n"/>
      <c r="R1449" s="24" t="n"/>
      <c r="S1449" s="22">
        <f>IF(AND($A1449="",$C1449=""),"",IF($A1449="","Thiếu mã đơn; ","")&amp;IF(COUNTIF($A$2:$A1449,$A1449)&gt;1,"Trùng mã đơn; ","")&amp;IF(ISNA(MATCH($C1449,DATA_MASTER!$D$2:$D$5000,0)),"SĐT chưa đăng ký hội viên; ","")&amp;IF(AND($L1449="Đã chuyển khoản",$M1449=""),"Thiếu ngày nhận CK; ",""))</f>
        <v/>
      </c>
      <c r="T1449" s="24" t="n"/>
    </row>
    <row r="1450" ht="14.25" customHeight="1" s="40">
      <c r="A1450" s="24" t="n"/>
      <c r="B1450" s="29" t="n"/>
      <c r="C1450" s="28" t="n"/>
      <c r="D1450" s="22">
        <f t="array" ref="D1450">IF($C1450="","",IFERROR(INDEX(DATA_MASTER!$C$2:$C$5000,MATCH($C1450,DATA_MASTER!$D$2:$D$5000,0)),""))</f>
        <v/>
      </c>
      <c r="E1450" s="22">
        <f t="array" ref="E1450">IF($C1450="","",IFERROR(INDEX(DATA_MASTER!$I$2:$I$5000,MATCH($C1450,DATA_MASTER!$D$2:$D$5000,0)),""))</f>
        <v/>
      </c>
      <c r="F1450" s="22">
        <f t="array" ref="F1450">IF($C1450="","",IFERROR(INDEX(DATA_MASTER!$L$2:$L$5000,MATCH($C1450,DATA_MASTER!$D$2:$D$5000,0)),""))</f>
        <v/>
      </c>
      <c r="G1450" s="24" t="n"/>
      <c r="H1450" s="24" t="n"/>
      <c r="I1450" s="30" t="n"/>
      <c r="J1450" s="23">
        <f>IF(OR($H1450="",$I1450=""),"",$H1450*$I1450)</f>
        <v/>
      </c>
      <c r="K1450" s="24" t="n"/>
      <c r="L1450" s="24" t="n"/>
      <c r="M1450" s="29" t="n"/>
      <c r="N1450" s="28" t="n"/>
      <c r="O1450" s="24" t="n"/>
      <c r="P1450" s="24" t="n"/>
      <c r="Q1450" s="24" t="n"/>
      <c r="R1450" s="24" t="n"/>
      <c r="S1450" s="22">
        <f>IF(AND($A1450="",$C1450=""),"",IF($A1450="","Thiếu mã đơn; ","")&amp;IF(COUNTIF($A$2:$A1450,$A1450)&gt;1,"Trùng mã đơn; ","")&amp;IF(ISNA(MATCH($C1450,DATA_MASTER!$D$2:$D$5000,0)),"SĐT chưa đăng ký hội viên; ","")&amp;IF(AND($L1450="Đã chuyển khoản",$M1450=""),"Thiếu ngày nhận CK; ",""))</f>
        <v/>
      </c>
      <c r="T1450" s="24" t="n"/>
    </row>
    <row r="1451" ht="14.25" customHeight="1" s="40">
      <c r="A1451" s="24" t="n"/>
      <c r="B1451" s="29" t="n"/>
      <c r="C1451" s="28" t="n"/>
      <c r="D1451" s="22">
        <f t="array" ref="D1451">IF($C1451="","",IFERROR(INDEX(DATA_MASTER!$C$2:$C$5000,MATCH($C1451,DATA_MASTER!$D$2:$D$5000,0)),""))</f>
        <v/>
      </c>
      <c r="E1451" s="22">
        <f t="array" ref="E1451">IF($C1451="","",IFERROR(INDEX(DATA_MASTER!$I$2:$I$5000,MATCH($C1451,DATA_MASTER!$D$2:$D$5000,0)),""))</f>
        <v/>
      </c>
      <c r="F1451" s="22">
        <f t="array" ref="F1451">IF($C1451="","",IFERROR(INDEX(DATA_MASTER!$L$2:$L$5000,MATCH($C1451,DATA_MASTER!$D$2:$D$5000,0)),""))</f>
        <v/>
      </c>
      <c r="G1451" s="24" t="n"/>
      <c r="H1451" s="24" t="n"/>
      <c r="I1451" s="30" t="n"/>
      <c r="J1451" s="23">
        <f>IF(OR($H1451="",$I1451=""),"",$H1451*$I1451)</f>
        <v/>
      </c>
      <c r="K1451" s="24" t="n"/>
      <c r="L1451" s="24" t="n"/>
      <c r="M1451" s="29" t="n"/>
      <c r="N1451" s="28" t="n"/>
      <c r="O1451" s="24" t="n"/>
      <c r="P1451" s="24" t="n"/>
      <c r="Q1451" s="24" t="n"/>
      <c r="R1451" s="24" t="n"/>
      <c r="S1451" s="22">
        <f>IF(AND($A1451="",$C1451=""),"",IF($A1451="","Thiếu mã đơn; ","")&amp;IF(COUNTIF($A$2:$A1451,$A1451)&gt;1,"Trùng mã đơn; ","")&amp;IF(ISNA(MATCH($C1451,DATA_MASTER!$D$2:$D$5000,0)),"SĐT chưa đăng ký hội viên; ","")&amp;IF(AND($L1451="Đã chuyển khoản",$M1451=""),"Thiếu ngày nhận CK; ",""))</f>
        <v/>
      </c>
      <c r="T1451" s="24" t="n"/>
    </row>
    <row r="1452" ht="14.25" customHeight="1" s="40">
      <c r="A1452" s="24" t="n"/>
      <c r="B1452" s="29" t="n"/>
      <c r="C1452" s="28" t="n"/>
      <c r="D1452" s="22">
        <f t="array" ref="D1452">IF($C1452="","",IFERROR(INDEX(DATA_MASTER!$C$2:$C$5000,MATCH($C1452,DATA_MASTER!$D$2:$D$5000,0)),""))</f>
        <v/>
      </c>
      <c r="E1452" s="22">
        <f t="array" ref="E1452">IF($C1452="","",IFERROR(INDEX(DATA_MASTER!$I$2:$I$5000,MATCH($C1452,DATA_MASTER!$D$2:$D$5000,0)),""))</f>
        <v/>
      </c>
      <c r="F1452" s="22">
        <f t="array" ref="F1452">IF($C1452="","",IFERROR(INDEX(DATA_MASTER!$L$2:$L$5000,MATCH($C1452,DATA_MASTER!$D$2:$D$5000,0)),""))</f>
        <v/>
      </c>
      <c r="G1452" s="24" t="n"/>
      <c r="H1452" s="24" t="n"/>
      <c r="I1452" s="30" t="n"/>
      <c r="J1452" s="23">
        <f>IF(OR($H1452="",$I1452=""),"",$H1452*$I1452)</f>
        <v/>
      </c>
      <c r="K1452" s="24" t="n"/>
      <c r="L1452" s="24" t="n"/>
      <c r="M1452" s="29" t="n"/>
      <c r="N1452" s="28" t="n"/>
      <c r="O1452" s="24" t="n"/>
      <c r="P1452" s="24" t="n"/>
      <c r="Q1452" s="24" t="n"/>
      <c r="R1452" s="24" t="n"/>
      <c r="S1452" s="22">
        <f>IF(AND($A1452="",$C1452=""),"",IF($A1452="","Thiếu mã đơn; ","")&amp;IF(COUNTIF($A$2:$A1452,$A1452)&gt;1,"Trùng mã đơn; ","")&amp;IF(ISNA(MATCH($C1452,DATA_MASTER!$D$2:$D$5000,0)),"SĐT chưa đăng ký hội viên; ","")&amp;IF(AND($L1452="Đã chuyển khoản",$M1452=""),"Thiếu ngày nhận CK; ",""))</f>
        <v/>
      </c>
      <c r="T1452" s="24" t="n"/>
    </row>
    <row r="1453" ht="14.25" customHeight="1" s="40">
      <c r="A1453" s="24" t="n"/>
      <c r="B1453" s="29" t="n"/>
      <c r="C1453" s="28" t="n"/>
      <c r="D1453" s="22">
        <f t="array" ref="D1453">IF($C1453="","",IFERROR(INDEX(DATA_MASTER!$C$2:$C$5000,MATCH($C1453,DATA_MASTER!$D$2:$D$5000,0)),""))</f>
        <v/>
      </c>
      <c r="E1453" s="22">
        <f t="array" ref="E1453">IF($C1453="","",IFERROR(INDEX(DATA_MASTER!$I$2:$I$5000,MATCH($C1453,DATA_MASTER!$D$2:$D$5000,0)),""))</f>
        <v/>
      </c>
      <c r="F1453" s="22">
        <f t="array" ref="F1453">IF($C1453="","",IFERROR(INDEX(DATA_MASTER!$L$2:$L$5000,MATCH($C1453,DATA_MASTER!$D$2:$D$5000,0)),""))</f>
        <v/>
      </c>
      <c r="G1453" s="24" t="n"/>
      <c r="H1453" s="24" t="n"/>
      <c r="I1453" s="30" t="n"/>
      <c r="J1453" s="23">
        <f>IF(OR($H1453="",$I1453=""),"",$H1453*$I1453)</f>
        <v/>
      </c>
      <c r="K1453" s="24" t="n"/>
      <c r="L1453" s="24" t="n"/>
      <c r="M1453" s="29" t="n"/>
      <c r="N1453" s="28" t="n"/>
      <c r="O1453" s="24" t="n"/>
      <c r="P1453" s="24" t="n"/>
      <c r="Q1453" s="24" t="n"/>
      <c r="R1453" s="24" t="n"/>
      <c r="S1453" s="22">
        <f>IF(AND($A1453="",$C1453=""),"",IF($A1453="","Thiếu mã đơn; ","")&amp;IF(COUNTIF($A$2:$A1453,$A1453)&gt;1,"Trùng mã đơn; ","")&amp;IF(ISNA(MATCH($C1453,DATA_MASTER!$D$2:$D$5000,0)),"SĐT chưa đăng ký hội viên; ","")&amp;IF(AND($L1453="Đã chuyển khoản",$M1453=""),"Thiếu ngày nhận CK; ",""))</f>
        <v/>
      </c>
      <c r="T1453" s="24" t="n"/>
    </row>
    <row r="1454" ht="14.25" customHeight="1" s="40">
      <c r="A1454" s="24" t="n"/>
      <c r="B1454" s="29" t="n"/>
      <c r="C1454" s="28" t="n"/>
      <c r="D1454" s="22">
        <f t="array" ref="D1454">IF($C1454="","",IFERROR(INDEX(DATA_MASTER!$C$2:$C$5000,MATCH($C1454,DATA_MASTER!$D$2:$D$5000,0)),""))</f>
        <v/>
      </c>
      <c r="E1454" s="22">
        <f t="array" ref="E1454">IF($C1454="","",IFERROR(INDEX(DATA_MASTER!$I$2:$I$5000,MATCH($C1454,DATA_MASTER!$D$2:$D$5000,0)),""))</f>
        <v/>
      </c>
      <c r="F1454" s="22">
        <f t="array" ref="F1454">IF($C1454="","",IFERROR(INDEX(DATA_MASTER!$L$2:$L$5000,MATCH($C1454,DATA_MASTER!$D$2:$D$5000,0)),""))</f>
        <v/>
      </c>
      <c r="G1454" s="24" t="n"/>
      <c r="H1454" s="24" t="n"/>
      <c r="I1454" s="30" t="n"/>
      <c r="J1454" s="23">
        <f>IF(OR($H1454="",$I1454=""),"",$H1454*$I1454)</f>
        <v/>
      </c>
      <c r="K1454" s="24" t="n"/>
      <c r="L1454" s="24" t="n"/>
      <c r="M1454" s="29" t="n"/>
      <c r="N1454" s="28" t="n"/>
      <c r="O1454" s="24" t="n"/>
      <c r="P1454" s="24" t="n"/>
      <c r="Q1454" s="24" t="n"/>
      <c r="R1454" s="24" t="n"/>
      <c r="S1454" s="22">
        <f>IF(AND($A1454="",$C1454=""),"",IF($A1454="","Thiếu mã đơn; ","")&amp;IF(COUNTIF($A$2:$A1454,$A1454)&gt;1,"Trùng mã đơn; ","")&amp;IF(ISNA(MATCH($C1454,DATA_MASTER!$D$2:$D$5000,0)),"SĐT chưa đăng ký hội viên; ","")&amp;IF(AND($L1454="Đã chuyển khoản",$M1454=""),"Thiếu ngày nhận CK; ",""))</f>
        <v/>
      </c>
      <c r="T1454" s="24" t="n"/>
    </row>
    <row r="1455" ht="14.25" customHeight="1" s="40">
      <c r="A1455" s="24" t="n"/>
      <c r="B1455" s="29" t="n"/>
      <c r="C1455" s="28" t="n"/>
      <c r="D1455" s="22">
        <f t="array" ref="D1455">IF($C1455="","",IFERROR(INDEX(DATA_MASTER!$C$2:$C$5000,MATCH($C1455,DATA_MASTER!$D$2:$D$5000,0)),""))</f>
        <v/>
      </c>
      <c r="E1455" s="22">
        <f t="array" ref="E1455">IF($C1455="","",IFERROR(INDEX(DATA_MASTER!$I$2:$I$5000,MATCH($C1455,DATA_MASTER!$D$2:$D$5000,0)),""))</f>
        <v/>
      </c>
      <c r="F1455" s="22">
        <f t="array" ref="F1455">IF($C1455="","",IFERROR(INDEX(DATA_MASTER!$L$2:$L$5000,MATCH($C1455,DATA_MASTER!$D$2:$D$5000,0)),""))</f>
        <v/>
      </c>
      <c r="G1455" s="24" t="n"/>
      <c r="H1455" s="24" t="n"/>
      <c r="I1455" s="30" t="n"/>
      <c r="J1455" s="23">
        <f>IF(OR($H1455="",$I1455=""),"",$H1455*$I1455)</f>
        <v/>
      </c>
      <c r="K1455" s="24" t="n"/>
      <c r="L1455" s="24" t="n"/>
      <c r="M1455" s="29" t="n"/>
      <c r="N1455" s="28" t="n"/>
      <c r="O1455" s="24" t="n"/>
      <c r="P1455" s="24" t="n"/>
      <c r="Q1455" s="24" t="n"/>
      <c r="R1455" s="24" t="n"/>
      <c r="S1455" s="22">
        <f>IF(AND($A1455="",$C1455=""),"",IF($A1455="","Thiếu mã đơn; ","")&amp;IF(COUNTIF($A$2:$A1455,$A1455)&gt;1,"Trùng mã đơn; ","")&amp;IF(ISNA(MATCH($C1455,DATA_MASTER!$D$2:$D$5000,0)),"SĐT chưa đăng ký hội viên; ","")&amp;IF(AND($L1455="Đã chuyển khoản",$M1455=""),"Thiếu ngày nhận CK; ",""))</f>
        <v/>
      </c>
      <c r="T1455" s="24" t="n"/>
    </row>
    <row r="1456" ht="14.25" customHeight="1" s="40">
      <c r="A1456" s="24" t="n"/>
      <c r="B1456" s="29" t="n"/>
      <c r="C1456" s="28" t="n"/>
      <c r="D1456" s="22">
        <f t="array" ref="D1456">IF($C1456="","",IFERROR(INDEX(DATA_MASTER!$C$2:$C$5000,MATCH($C1456,DATA_MASTER!$D$2:$D$5000,0)),""))</f>
        <v/>
      </c>
      <c r="E1456" s="22">
        <f t="array" ref="E1456">IF($C1456="","",IFERROR(INDEX(DATA_MASTER!$I$2:$I$5000,MATCH($C1456,DATA_MASTER!$D$2:$D$5000,0)),""))</f>
        <v/>
      </c>
      <c r="F1456" s="22">
        <f t="array" ref="F1456">IF($C1456="","",IFERROR(INDEX(DATA_MASTER!$L$2:$L$5000,MATCH($C1456,DATA_MASTER!$D$2:$D$5000,0)),""))</f>
        <v/>
      </c>
      <c r="G1456" s="24" t="n"/>
      <c r="H1456" s="24" t="n"/>
      <c r="I1456" s="30" t="n"/>
      <c r="J1456" s="23">
        <f>IF(OR($H1456="",$I1456=""),"",$H1456*$I1456)</f>
        <v/>
      </c>
      <c r="K1456" s="24" t="n"/>
      <c r="L1456" s="24" t="n"/>
      <c r="M1456" s="29" t="n"/>
      <c r="N1456" s="28" t="n"/>
      <c r="O1456" s="24" t="n"/>
      <c r="P1456" s="24" t="n"/>
      <c r="Q1456" s="24" t="n"/>
      <c r="R1456" s="24" t="n"/>
      <c r="S1456" s="22">
        <f>IF(AND($A1456="",$C1456=""),"",IF($A1456="","Thiếu mã đơn; ","")&amp;IF(COUNTIF($A$2:$A1456,$A1456)&gt;1,"Trùng mã đơn; ","")&amp;IF(ISNA(MATCH($C1456,DATA_MASTER!$D$2:$D$5000,0)),"SĐT chưa đăng ký hội viên; ","")&amp;IF(AND($L1456="Đã chuyển khoản",$M1456=""),"Thiếu ngày nhận CK; ",""))</f>
        <v/>
      </c>
      <c r="T1456" s="24" t="n"/>
    </row>
    <row r="1457" ht="14.25" customHeight="1" s="40">
      <c r="A1457" s="24" t="n"/>
      <c r="B1457" s="29" t="n"/>
      <c r="C1457" s="28" t="n"/>
      <c r="D1457" s="22">
        <f t="array" ref="D1457">IF($C1457="","",IFERROR(INDEX(DATA_MASTER!$C$2:$C$5000,MATCH($C1457,DATA_MASTER!$D$2:$D$5000,0)),""))</f>
        <v/>
      </c>
      <c r="E1457" s="22">
        <f t="array" ref="E1457">IF($C1457="","",IFERROR(INDEX(DATA_MASTER!$I$2:$I$5000,MATCH($C1457,DATA_MASTER!$D$2:$D$5000,0)),""))</f>
        <v/>
      </c>
      <c r="F1457" s="22">
        <f t="array" ref="F1457">IF($C1457="","",IFERROR(INDEX(DATA_MASTER!$L$2:$L$5000,MATCH($C1457,DATA_MASTER!$D$2:$D$5000,0)),""))</f>
        <v/>
      </c>
      <c r="G1457" s="24" t="n"/>
      <c r="H1457" s="24" t="n"/>
      <c r="I1457" s="30" t="n"/>
      <c r="J1457" s="23">
        <f>IF(OR($H1457="",$I1457=""),"",$H1457*$I1457)</f>
        <v/>
      </c>
      <c r="K1457" s="24" t="n"/>
      <c r="L1457" s="24" t="n"/>
      <c r="M1457" s="29" t="n"/>
      <c r="N1457" s="28" t="n"/>
      <c r="O1457" s="24" t="n"/>
      <c r="P1457" s="24" t="n"/>
      <c r="Q1457" s="24" t="n"/>
      <c r="R1457" s="24" t="n"/>
      <c r="S1457" s="22">
        <f>IF(AND($A1457="",$C1457=""),"",IF($A1457="","Thiếu mã đơn; ","")&amp;IF(COUNTIF($A$2:$A1457,$A1457)&gt;1,"Trùng mã đơn; ","")&amp;IF(ISNA(MATCH($C1457,DATA_MASTER!$D$2:$D$5000,0)),"SĐT chưa đăng ký hội viên; ","")&amp;IF(AND($L1457="Đã chuyển khoản",$M1457=""),"Thiếu ngày nhận CK; ",""))</f>
        <v/>
      </c>
      <c r="T1457" s="24" t="n"/>
    </row>
    <row r="1458" ht="14.25" customHeight="1" s="40">
      <c r="A1458" s="24" t="n"/>
      <c r="B1458" s="29" t="n"/>
      <c r="C1458" s="28" t="n"/>
      <c r="D1458" s="22">
        <f t="array" ref="D1458">IF($C1458="","",IFERROR(INDEX(DATA_MASTER!$C$2:$C$5000,MATCH($C1458,DATA_MASTER!$D$2:$D$5000,0)),""))</f>
        <v/>
      </c>
      <c r="E1458" s="22">
        <f t="array" ref="E1458">IF($C1458="","",IFERROR(INDEX(DATA_MASTER!$I$2:$I$5000,MATCH($C1458,DATA_MASTER!$D$2:$D$5000,0)),""))</f>
        <v/>
      </c>
      <c r="F1458" s="22">
        <f t="array" ref="F1458">IF($C1458="","",IFERROR(INDEX(DATA_MASTER!$L$2:$L$5000,MATCH($C1458,DATA_MASTER!$D$2:$D$5000,0)),""))</f>
        <v/>
      </c>
      <c r="G1458" s="24" t="n"/>
      <c r="H1458" s="24" t="n"/>
      <c r="I1458" s="30" t="n"/>
      <c r="J1458" s="23">
        <f>IF(OR($H1458="",$I1458=""),"",$H1458*$I1458)</f>
        <v/>
      </c>
      <c r="K1458" s="24" t="n"/>
      <c r="L1458" s="24" t="n"/>
      <c r="M1458" s="29" t="n"/>
      <c r="N1458" s="28" t="n"/>
      <c r="O1458" s="24" t="n"/>
      <c r="P1458" s="24" t="n"/>
      <c r="Q1458" s="24" t="n"/>
      <c r="R1458" s="24" t="n"/>
      <c r="S1458" s="22">
        <f>IF(AND($A1458="",$C1458=""),"",IF($A1458="","Thiếu mã đơn; ","")&amp;IF(COUNTIF($A$2:$A1458,$A1458)&gt;1,"Trùng mã đơn; ","")&amp;IF(ISNA(MATCH($C1458,DATA_MASTER!$D$2:$D$5000,0)),"SĐT chưa đăng ký hội viên; ","")&amp;IF(AND($L1458="Đã chuyển khoản",$M1458=""),"Thiếu ngày nhận CK; ",""))</f>
        <v/>
      </c>
      <c r="T1458" s="24" t="n"/>
    </row>
    <row r="1459" ht="14.25" customHeight="1" s="40">
      <c r="A1459" s="24" t="n"/>
      <c r="B1459" s="29" t="n"/>
      <c r="C1459" s="28" t="n"/>
      <c r="D1459" s="22">
        <f t="array" ref="D1459">IF($C1459="","",IFERROR(INDEX(DATA_MASTER!$C$2:$C$5000,MATCH($C1459,DATA_MASTER!$D$2:$D$5000,0)),""))</f>
        <v/>
      </c>
      <c r="E1459" s="22">
        <f t="array" ref="E1459">IF($C1459="","",IFERROR(INDEX(DATA_MASTER!$I$2:$I$5000,MATCH($C1459,DATA_MASTER!$D$2:$D$5000,0)),""))</f>
        <v/>
      </c>
      <c r="F1459" s="22">
        <f t="array" ref="F1459">IF($C1459="","",IFERROR(INDEX(DATA_MASTER!$L$2:$L$5000,MATCH($C1459,DATA_MASTER!$D$2:$D$5000,0)),""))</f>
        <v/>
      </c>
      <c r="G1459" s="24" t="n"/>
      <c r="H1459" s="24" t="n"/>
      <c r="I1459" s="30" t="n"/>
      <c r="J1459" s="23">
        <f>IF(OR($H1459="",$I1459=""),"",$H1459*$I1459)</f>
        <v/>
      </c>
      <c r="K1459" s="24" t="n"/>
      <c r="L1459" s="24" t="n"/>
      <c r="M1459" s="29" t="n"/>
      <c r="N1459" s="28" t="n"/>
      <c r="O1459" s="24" t="n"/>
      <c r="P1459" s="24" t="n"/>
      <c r="Q1459" s="24" t="n"/>
      <c r="R1459" s="24" t="n"/>
      <c r="S1459" s="22">
        <f>IF(AND($A1459="",$C1459=""),"",IF($A1459="","Thiếu mã đơn; ","")&amp;IF(COUNTIF($A$2:$A1459,$A1459)&gt;1,"Trùng mã đơn; ","")&amp;IF(ISNA(MATCH($C1459,DATA_MASTER!$D$2:$D$5000,0)),"SĐT chưa đăng ký hội viên; ","")&amp;IF(AND($L1459="Đã chuyển khoản",$M1459=""),"Thiếu ngày nhận CK; ",""))</f>
        <v/>
      </c>
      <c r="T1459" s="24" t="n"/>
    </row>
    <row r="1460" ht="14.25" customHeight="1" s="40">
      <c r="A1460" s="24" t="n"/>
      <c r="B1460" s="29" t="n"/>
      <c r="C1460" s="28" t="n"/>
      <c r="D1460" s="22">
        <f t="array" ref="D1460">IF($C1460="","",IFERROR(INDEX(DATA_MASTER!$C$2:$C$5000,MATCH($C1460,DATA_MASTER!$D$2:$D$5000,0)),""))</f>
        <v/>
      </c>
      <c r="E1460" s="22">
        <f t="array" ref="E1460">IF($C1460="","",IFERROR(INDEX(DATA_MASTER!$I$2:$I$5000,MATCH($C1460,DATA_MASTER!$D$2:$D$5000,0)),""))</f>
        <v/>
      </c>
      <c r="F1460" s="22">
        <f t="array" ref="F1460">IF($C1460="","",IFERROR(INDEX(DATA_MASTER!$L$2:$L$5000,MATCH($C1460,DATA_MASTER!$D$2:$D$5000,0)),""))</f>
        <v/>
      </c>
      <c r="G1460" s="24" t="n"/>
      <c r="H1460" s="24" t="n"/>
      <c r="I1460" s="30" t="n"/>
      <c r="J1460" s="23">
        <f>IF(OR($H1460="",$I1460=""),"",$H1460*$I1460)</f>
        <v/>
      </c>
      <c r="K1460" s="24" t="n"/>
      <c r="L1460" s="24" t="n"/>
      <c r="M1460" s="29" t="n"/>
      <c r="N1460" s="28" t="n"/>
      <c r="O1460" s="24" t="n"/>
      <c r="P1460" s="24" t="n"/>
      <c r="Q1460" s="24" t="n"/>
      <c r="R1460" s="24" t="n"/>
      <c r="S1460" s="22">
        <f>IF(AND($A1460="",$C1460=""),"",IF($A1460="","Thiếu mã đơn; ","")&amp;IF(COUNTIF($A$2:$A1460,$A1460)&gt;1,"Trùng mã đơn; ","")&amp;IF(ISNA(MATCH($C1460,DATA_MASTER!$D$2:$D$5000,0)),"SĐT chưa đăng ký hội viên; ","")&amp;IF(AND($L1460="Đã chuyển khoản",$M1460=""),"Thiếu ngày nhận CK; ",""))</f>
        <v/>
      </c>
      <c r="T1460" s="24" t="n"/>
    </row>
    <row r="1461" ht="14.25" customHeight="1" s="40">
      <c r="A1461" s="24" t="n"/>
      <c r="B1461" s="29" t="n"/>
      <c r="C1461" s="28" t="n"/>
      <c r="D1461" s="22">
        <f t="array" ref="D1461">IF($C1461="","",IFERROR(INDEX(DATA_MASTER!$C$2:$C$5000,MATCH($C1461,DATA_MASTER!$D$2:$D$5000,0)),""))</f>
        <v/>
      </c>
      <c r="E1461" s="22">
        <f t="array" ref="E1461">IF($C1461="","",IFERROR(INDEX(DATA_MASTER!$I$2:$I$5000,MATCH($C1461,DATA_MASTER!$D$2:$D$5000,0)),""))</f>
        <v/>
      </c>
      <c r="F1461" s="22">
        <f t="array" ref="F1461">IF($C1461="","",IFERROR(INDEX(DATA_MASTER!$L$2:$L$5000,MATCH($C1461,DATA_MASTER!$D$2:$D$5000,0)),""))</f>
        <v/>
      </c>
      <c r="G1461" s="24" t="n"/>
      <c r="H1461" s="24" t="n"/>
      <c r="I1461" s="30" t="n"/>
      <c r="J1461" s="23">
        <f>IF(OR($H1461="",$I1461=""),"",$H1461*$I1461)</f>
        <v/>
      </c>
      <c r="K1461" s="24" t="n"/>
      <c r="L1461" s="24" t="n"/>
      <c r="M1461" s="29" t="n"/>
      <c r="N1461" s="28" t="n"/>
      <c r="O1461" s="24" t="n"/>
      <c r="P1461" s="24" t="n"/>
      <c r="Q1461" s="24" t="n"/>
      <c r="R1461" s="24" t="n"/>
      <c r="S1461" s="22">
        <f>IF(AND($A1461="",$C1461=""),"",IF($A1461="","Thiếu mã đơn; ","")&amp;IF(COUNTIF($A$2:$A1461,$A1461)&gt;1,"Trùng mã đơn; ","")&amp;IF(ISNA(MATCH($C1461,DATA_MASTER!$D$2:$D$5000,0)),"SĐT chưa đăng ký hội viên; ","")&amp;IF(AND($L1461="Đã chuyển khoản",$M1461=""),"Thiếu ngày nhận CK; ",""))</f>
        <v/>
      </c>
      <c r="T1461" s="24" t="n"/>
    </row>
    <row r="1462" ht="14.25" customHeight="1" s="40">
      <c r="A1462" s="24" t="n"/>
      <c r="B1462" s="29" t="n"/>
      <c r="C1462" s="28" t="n"/>
      <c r="D1462" s="22">
        <f t="array" ref="D1462">IF($C1462="","",IFERROR(INDEX(DATA_MASTER!$C$2:$C$5000,MATCH($C1462,DATA_MASTER!$D$2:$D$5000,0)),""))</f>
        <v/>
      </c>
      <c r="E1462" s="22">
        <f t="array" ref="E1462">IF($C1462="","",IFERROR(INDEX(DATA_MASTER!$I$2:$I$5000,MATCH($C1462,DATA_MASTER!$D$2:$D$5000,0)),""))</f>
        <v/>
      </c>
      <c r="F1462" s="22">
        <f t="array" ref="F1462">IF($C1462="","",IFERROR(INDEX(DATA_MASTER!$L$2:$L$5000,MATCH($C1462,DATA_MASTER!$D$2:$D$5000,0)),""))</f>
        <v/>
      </c>
      <c r="G1462" s="24" t="n"/>
      <c r="H1462" s="24" t="n"/>
      <c r="I1462" s="30" t="n"/>
      <c r="J1462" s="23">
        <f>IF(OR($H1462="",$I1462=""),"",$H1462*$I1462)</f>
        <v/>
      </c>
      <c r="K1462" s="24" t="n"/>
      <c r="L1462" s="24" t="n"/>
      <c r="M1462" s="29" t="n"/>
      <c r="N1462" s="28" t="n"/>
      <c r="O1462" s="24" t="n"/>
      <c r="P1462" s="24" t="n"/>
      <c r="Q1462" s="24" t="n"/>
      <c r="R1462" s="24" t="n"/>
      <c r="S1462" s="22">
        <f>IF(AND($A1462="",$C1462=""),"",IF($A1462="","Thiếu mã đơn; ","")&amp;IF(COUNTIF($A$2:$A1462,$A1462)&gt;1,"Trùng mã đơn; ","")&amp;IF(ISNA(MATCH($C1462,DATA_MASTER!$D$2:$D$5000,0)),"SĐT chưa đăng ký hội viên; ","")&amp;IF(AND($L1462="Đã chuyển khoản",$M1462=""),"Thiếu ngày nhận CK; ",""))</f>
        <v/>
      </c>
      <c r="T1462" s="24" t="n"/>
    </row>
    <row r="1463" ht="14.25" customHeight="1" s="40">
      <c r="A1463" s="24" t="n"/>
      <c r="B1463" s="29" t="n"/>
      <c r="C1463" s="28" t="n"/>
      <c r="D1463" s="22">
        <f t="array" ref="D1463">IF($C1463="","",IFERROR(INDEX(DATA_MASTER!$C$2:$C$5000,MATCH($C1463,DATA_MASTER!$D$2:$D$5000,0)),""))</f>
        <v/>
      </c>
      <c r="E1463" s="22">
        <f t="array" ref="E1463">IF($C1463="","",IFERROR(INDEX(DATA_MASTER!$I$2:$I$5000,MATCH($C1463,DATA_MASTER!$D$2:$D$5000,0)),""))</f>
        <v/>
      </c>
      <c r="F1463" s="22">
        <f t="array" ref="F1463">IF($C1463="","",IFERROR(INDEX(DATA_MASTER!$L$2:$L$5000,MATCH($C1463,DATA_MASTER!$D$2:$D$5000,0)),""))</f>
        <v/>
      </c>
      <c r="G1463" s="24" t="n"/>
      <c r="H1463" s="24" t="n"/>
      <c r="I1463" s="30" t="n"/>
      <c r="J1463" s="23">
        <f>IF(OR($H1463="",$I1463=""),"",$H1463*$I1463)</f>
        <v/>
      </c>
      <c r="K1463" s="24" t="n"/>
      <c r="L1463" s="24" t="n"/>
      <c r="M1463" s="29" t="n"/>
      <c r="N1463" s="28" t="n"/>
      <c r="O1463" s="24" t="n"/>
      <c r="P1463" s="24" t="n"/>
      <c r="Q1463" s="24" t="n"/>
      <c r="R1463" s="24" t="n"/>
      <c r="S1463" s="22">
        <f>IF(AND($A1463="",$C1463=""),"",IF($A1463="","Thiếu mã đơn; ","")&amp;IF(COUNTIF($A$2:$A1463,$A1463)&gt;1,"Trùng mã đơn; ","")&amp;IF(ISNA(MATCH($C1463,DATA_MASTER!$D$2:$D$5000,0)),"SĐT chưa đăng ký hội viên; ","")&amp;IF(AND($L1463="Đã chuyển khoản",$M1463=""),"Thiếu ngày nhận CK; ",""))</f>
        <v/>
      </c>
      <c r="T1463" s="24" t="n"/>
    </row>
    <row r="1464" ht="14.25" customHeight="1" s="40">
      <c r="A1464" s="24" t="n"/>
      <c r="B1464" s="29" t="n"/>
      <c r="C1464" s="28" t="n"/>
      <c r="D1464" s="22">
        <f t="array" ref="D1464">IF($C1464="","",IFERROR(INDEX(DATA_MASTER!$C$2:$C$5000,MATCH($C1464,DATA_MASTER!$D$2:$D$5000,0)),""))</f>
        <v/>
      </c>
      <c r="E1464" s="22">
        <f t="array" ref="E1464">IF($C1464="","",IFERROR(INDEX(DATA_MASTER!$I$2:$I$5000,MATCH($C1464,DATA_MASTER!$D$2:$D$5000,0)),""))</f>
        <v/>
      </c>
      <c r="F1464" s="22">
        <f t="array" ref="F1464">IF($C1464="","",IFERROR(INDEX(DATA_MASTER!$L$2:$L$5000,MATCH($C1464,DATA_MASTER!$D$2:$D$5000,0)),""))</f>
        <v/>
      </c>
      <c r="G1464" s="24" t="n"/>
      <c r="H1464" s="24" t="n"/>
      <c r="I1464" s="30" t="n"/>
      <c r="J1464" s="23">
        <f>IF(OR($H1464="",$I1464=""),"",$H1464*$I1464)</f>
        <v/>
      </c>
      <c r="K1464" s="24" t="n"/>
      <c r="L1464" s="24" t="n"/>
      <c r="M1464" s="29" t="n"/>
      <c r="N1464" s="28" t="n"/>
      <c r="O1464" s="24" t="n"/>
      <c r="P1464" s="24" t="n"/>
      <c r="Q1464" s="24" t="n"/>
      <c r="R1464" s="24" t="n"/>
      <c r="S1464" s="22">
        <f>IF(AND($A1464="",$C1464=""),"",IF($A1464="","Thiếu mã đơn; ","")&amp;IF(COUNTIF($A$2:$A1464,$A1464)&gt;1,"Trùng mã đơn; ","")&amp;IF(ISNA(MATCH($C1464,DATA_MASTER!$D$2:$D$5000,0)),"SĐT chưa đăng ký hội viên; ","")&amp;IF(AND($L1464="Đã chuyển khoản",$M1464=""),"Thiếu ngày nhận CK; ",""))</f>
        <v/>
      </c>
      <c r="T1464" s="24" t="n"/>
    </row>
    <row r="1465" ht="14.25" customHeight="1" s="40">
      <c r="A1465" s="24" t="n"/>
      <c r="B1465" s="29" t="n"/>
      <c r="C1465" s="28" t="n"/>
      <c r="D1465" s="22">
        <f t="array" ref="D1465">IF($C1465="","",IFERROR(INDEX(DATA_MASTER!$C$2:$C$5000,MATCH($C1465,DATA_MASTER!$D$2:$D$5000,0)),""))</f>
        <v/>
      </c>
      <c r="E1465" s="22">
        <f t="array" ref="E1465">IF($C1465="","",IFERROR(INDEX(DATA_MASTER!$I$2:$I$5000,MATCH($C1465,DATA_MASTER!$D$2:$D$5000,0)),""))</f>
        <v/>
      </c>
      <c r="F1465" s="22">
        <f t="array" ref="F1465">IF($C1465="","",IFERROR(INDEX(DATA_MASTER!$L$2:$L$5000,MATCH($C1465,DATA_MASTER!$D$2:$D$5000,0)),""))</f>
        <v/>
      </c>
      <c r="G1465" s="24" t="n"/>
      <c r="H1465" s="24" t="n"/>
      <c r="I1465" s="30" t="n"/>
      <c r="J1465" s="23">
        <f>IF(OR($H1465="",$I1465=""),"",$H1465*$I1465)</f>
        <v/>
      </c>
      <c r="K1465" s="24" t="n"/>
      <c r="L1465" s="24" t="n"/>
      <c r="M1465" s="29" t="n"/>
      <c r="N1465" s="28" t="n"/>
      <c r="O1465" s="24" t="n"/>
      <c r="P1465" s="24" t="n"/>
      <c r="Q1465" s="24" t="n"/>
      <c r="R1465" s="24" t="n"/>
      <c r="S1465" s="22">
        <f>IF(AND($A1465="",$C1465=""),"",IF($A1465="","Thiếu mã đơn; ","")&amp;IF(COUNTIF($A$2:$A1465,$A1465)&gt;1,"Trùng mã đơn; ","")&amp;IF(ISNA(MATCH($C1465,DATA_MASTER!$D$2:$D$5000,0)),"SĐT chưa đăng ký hội viên; ","")&amp;IF(AND($L1465="Đã chuyển khoản",$M1465=""),"Thiếu ngày nhận CK; ",""))</f>
        <v/>
      </c>
      <c r="T1465" s="24" t="n"/>
    </row>
    <row r="1466" ht="14.25" customHeight="1" s="40">
      <c r="A1466" s="24" t="n"/>
      <c r="B1466" s="29" t="n"/>
      <c r="C1466" s="28" t="n"/>
      <c r="D1466" s="22">
        <f t="array" ref="D1466">IF($C1466="","",IFERROR(INDEX(DATA_MASTER!$C$2:$C$5000,MATCH($C1466,DATA_MASTER!$D$2:$D$5000,0)),""))</f>
        <v/>
      </c>
      <c r="E1466" s="22">
        <f t="array" ref="E1466">IF($C1466="","",IFERROR(INDEX(DATA_MASTER!$I$2:$I$5000,MATCH($C1466,DATA_MASTER!$D$2:$D$5000,0)),""))</f>
        <v/>
      </c>
      <c r="F1466" s="22">
        <f t="array" ref="F1466">IF($C1466="","",IFERROR(INDEX(DATA_MASTER!$L$2:$L$5000,MATCH($C1466,DATA_MASTER!$D$2:$D$5000,0)),""))</f>
        <v/>
      </c>
      <c r="G1466" s="24" t="n"/>
      <c r="H1466" s="24" t="n"/>
      <c r="I1466" s="30" t="n"/>
      <c r="J1466" s="23">
        <f>IF(OR($H1466="",$I1466=""),"",$H1466*$I1466)</f>
        <v/>
      </c>
      <c r="K1466" s="24" t="n"/>
      <c r="L1466" s="24" t="n"/>
      <c r="M1466" s="29" t="n"/>
      <c r="N1466" s="28" t="n"/>
      <c r="O1466" s="24" t="n"/>
      <c r="P1466" s="24" t="n"/>
      <c r="Q1466" s="24" t="n"/>
      <c r="R1466" s="24" t="n"/>
      <c r="S1466" s="22">
        <f>IF(AND($A1466="",$C1466=""),"",IF($A1466="","Thiếu mã đơn; ","")&amp;IF(COUNTIF($A$2:$A1466,$A1466)&gt;1,"Trùng mã đơn; ","")&amp;IF(ISNA(MATCH($C1466,DATA_MASTER!$D$2:$D$5000,0)),"SĐT chưa đăng ký hội viên; ","")&amp;IF(AND($L1466="Đã chuyển khoản",$M1466=""),"Thiếu ngày nhận CK; ",""))</f>
        <v/>
      </c>
      <c r="T1466" s="24" t="n"/>
    </row>
    <row r="1467" ht="14.25" customHeight="1" s="40">
      <c r="A1467" s="24" t="n"/>
      <c r="B1467" s="29" t="n"/>
      <c r="C1467" s="28" t="n"/>
      <c r="D1467" s="22">
        <f t="array" ref="D1467">IF($C1467="","",IFERROR(INDEX(DATA_MASTER!$C$2:$C$5000,MATCH($C1467,DATA_MASTER!$D$2:$D$5000,0)),""))</f>
        <v/>
      </c>
      <c r="E1467" s="22">
        <f t="array" ref="E1467">IF($C1467="","",IFERROR(INDEX(DATA_MASTER!$I$2:$I$5000,MATCH($C1467,DATA_MASTER!$D$2:$D$5000,0)),""))</f>
        <v/>
      </c>
      <c r="F1467" s="22">
        <f t="array" ref="F1467">IF($C1467="","",IFERROR(INDEX(DATA_MASTER!$L$2:$L$5000,MATCH($C1467,DATA_MASTER!$D$2:$D$5000,0)),""))</f>
        <v/>
      </c>
      <c r="G1467" s="24" t="n"/>
      <c r="H1467" s="24" t="n"/>
      <c r="I1467" s="30" t="n"/>
      <c r="J1467" s="23">
        <f>IF(OR($H1467="",$I1467=""),"",$H1467*$I1467)</f>
        <v/>
      </c>
      <c r="K1467" s="24" t="n"/>
      <c r="L1467" s="24" t="n"/>
      <c r="M1467" s="29" t="n"/>
      <c r="N1467" s="28" t="n"/>
      <c r="O1467" s="24" t="n"/>
      <c r="P1467" s="24" t="n"/>
      <c r="Q1467" s="24" t="n"/>
      <c r="R1467" s="24" t="n"/>
      <c r="S1467" s="22">
        <f>IF(AND($A1467="",$C1467=""),"",IF($A1467="","Thiếu mã đơn; ","")&amp;IF(COUNTIF($A$2:$A1467,$A1467)&gt;1,"Trùng mã đơn; ","")&amp;IF(ISNA(MATCH($C1467,DATA_MASTER!$D$2:$D$5000,0)),"SĐT chưa đăng ký hội viên; ","")&amp;IF(AND($L1467="Đã chuyển khoản",$M1467=""),"Thiếu ngày nhận CK; ",""))</f>
        <v/>
      </c>
      <c r="T1467" s="24" t="n"/>
    </row>
    <row r="1468" ht="14.25" customHeight="1" s="40">
      <c r="A1468" s="24" t="n"/>
      <c r="B1468" s="29" t="n"/>
      <c r="C1468" s="28" t="n"/>
      <c r="D1468" s="22">
        <f t="array" ref="D1468">IF($C1468="","",IFERROR(INDEX(DATA_MASTER!$C$2:$C$5000,MATCH($C1468,DATA_MASTER!$D$2:$D$5000,0)),""))</f>
        <v/>
      </c>
      <c r="E1468" s="22">
        <f t="array" ref="E1468">IF($C1468="","",IFERROR(INDEX(DATA_MASTER!$I$2:$I$5000,MATCH($C1468,DATA_MASTER!$D$2:$D$5000,0)),""))</f>
        <v/>
      </c>
      <c r="F1468" s="22">
        <f t="array" ref="F1468">IF($C1468="","",IFERROR(INDEX(DATA_MASTER!$L$2:$L$5000,MATCH($C1468,DATA_MASTER!$D$2:$D$5000,0)),""))</f>
        <v/>
      </c>
      <c r="G1468" s="24" t="n"/>
      <c r="H1468" s="24" t="n"/>
      <c r="I1468" s="30" t="n"/>
      <c r="J1468" s="23">
        <f>IF(OR($H1468="",$I1468=""),"",$H1468*$I1468)</f>
        <v/>
      </c>
      <c r="K1468" s="24" t="n"/>
      <c r="L1468" s="24" t="n"/>
      <c r="M1468" s="29" t="n"/>
      <c r="N1468" s="28" t="n"/>
      <c r="O1468" s="24" t="n"/>
      <c r="P1468" s="24" t="n"/>
      <c r="Q1468" s="24" t="n"/>
      <c r="R1468" s="24" t="n"/>
      <c r="S1468" s="22">
        <f>IF(AND($A1468="",$C1468=""),"",IF($A1468="","Thiếu mã đơn; ","")&amp;IF(COUNTIF($A$2:$A1468,$A1468)&gt;1,"Trùng mã đơn; ","")&amp;IF(ISNA(MATCH($C1468,DATA_MASTER!$D$2:$D$5000,0)),"SĐT chưa đăng ký hội viên; ","")&amp;IF(AND($L1468="Đã chuyển khoản",$M1468=""),"Thiếu ngày nhận CK; ",""))</f>
        <v/>
      </c>
      <c r="T1468" s="24" t="n"/>
    </row>
    <row r="1469" ht="14.25" customHeight="1" s="40">
      <c r="A1469" s="24" t="n"/>
      <c r="B1469" s="29" t="n"/>
      <c r="C1469" s="28" t="n"/>
      <c r="D1469" s="22">
        <f t="array" ref="D1469">IF($C1469="","",IFERROR(INDEX(DATA_MASTER!$C$2:$C$5000,MATCH($C1469,DATA_MASTER!$D$2:$D$5000,0)),""))</f>
        <v/>
      </c>
      <c r="E1469" s="22">
        <f t="array" ref="E1469">IF($C1469="","",IFERROR(INDEX(DATA_MASTER!$I$2:$I$5000,MATCH($C1469,DATA_MASTER!$D$2:$D$5000,0)),""))</f>
        <v/>
      </c>
      <c r="F1469" s="22">
        <f t="array" ref="F1469">IF($C1469="","",IFERROR(INDEX(DATA_MASTER!$L$2:$L$5000,MATCH($C1469,DATA_MASTER!$D$2:$D$5000,0)),""))</f>
        <v/>
      </c>
      <c r="G1469" s="24" t="n"/>
      <c r="H1469" s="24" t="n"/>
      <c r="I1469" s="30" t="n"/>
      <c r="J1469" s="23">
        <f>IF(OR($H1469="",$I1469=""),"",$H1469*$I1469)</f>
        <v/>
      </c>
      <c r="K1469" s="24" t="n"/>
      <c r="L1469" s="24" t="n"/>
      <c r="M1469" s="29" t="n"/>
      <c r="N1469" s="28" t="n"/>
      <c r="O1469" s="24" t="n"/>
      <c r="P1469" s="24" t="n"/>
      <c r="Q1469" s="24" t="n"/>
      <c r="R1469" s="24" t="n"/>
      <c r="S1469" s="22">
        <f>IF(AND($A1469="",$C1469=""),"",IF($A1469="","Thiếu mã đơn; ","")&amp;IF(COUNTIF($A$2:$A1469,$A1469)&gt;1,"Trùng mã đơn; ","")&amp;IF(ISNA(MATCH($C1469,DATA_MASTER!$D$2:$D$5000,0)),"SĐT chưa đăng ký hội viên; ","")&amp;IF(AND($L1469="Đã chuyển khoản",$M1469=""),"Thiếu ngày nhận CK; ",""))</f>
        <v/>
      </c>
      <c r="T1469" s="24" t="n"/>
    </row>
    <row r="1470" ht="14.25" customHeight="1" s="40">
      <c r="A1470" s="24" t="n"/>
      <c r="B1470" s="29" t="n"/>
      <c r="C1470" s="28" t="n"/>
      <c r="D1470" s="22">
        <f t="array" ref="D1470">IF($C1470="","",IFERROR(INDEX(DATA_MASTER!$C$2:$C$5000,MATCH($C1470,DATA_MASTER!$D$2:$D$5000,0)),""))</f>
        <v/>
      </c>
      <c r="E1470" s="22">
        <f t="array" ref="E1470">IF($C1470="","",IFERROR(INDEX(DATA_MASTER!$I$2:$I$5000,MATCH($C1470,DATA_MASTER!$D$2:$D$5000,0)),""))</f>
        <v/>
      </c>
      <c r="F1470" s="22">
        <f t="array" ref="F1470">IF($C1470="","",IFERROR(INDEX(DATA_MASTER!$L$2:$L$5000,MATCH($C1470,DATA_MASTER!$D$2:$D$5000,0)),""))</f>
        <v/>
      </c>
      <c r="G1470" s="24" t="n"/>
      <c r="H1470" s="24" t="n"/>
      <c r="I1470" s="30" t="n"/>
      <c r="J1470" s="23">
        <f>IF(OR($H1470="",$I1470=""),"",$H1470*$I1470)</f>
        <v/>
      </c>
      <c r="K1470" s="24" t="n"/>
      <c r="L1470" s="24" t="n"/>
      <c r="M1470" s="29" t="n"/>
      <c r="N1470" s="28" t="n"/>
      <c r="O1470" s="24" t="n"/>
      <c r="P1470" s="24" t="n"/>
      <c r="Q1470" s="24" t="n"/>
      <c r="R1470" s="24" t="n"/>
      <c r="S1470" s="22">
        <f>IF(AND($A1470="",$C1470=""),"",IF($A1470="","Thiếu mã đơn; ","")&amp;IF(COUNTIF($A$2:$A1470,$A1470)&gt;1,"Trùng mã đơn; ","")&amp;IF(ISNA(MATCH($C1470,DATA_MASTER!$D$2:$D$5000,0)),"SĐT chưa đăng ký hội viên; ","")&amp;IF(AND($L1470="Đã chuyển khoản",$M1470=""),"Thiếu ngày nhận CK; ",""))</f>
        <v/>
      </c>
      <c r="T1470" s="24" t="n"/>
    </row>
    <row r="1471" ht="14.25" customHeight="1" s="40">
      <c r="A1471" s="24" t="n"/>
      <c r="B1471" s="29" t="n"/>
      <c r="C1471" s="28" t="n"/>
      <c r="D1471" s="22">
        <f t="array" ref="D1471">IF($C1471="","",IFERROR(INDEX(DATA_MASTER!$C$2:$C$5000,MATCH($C1471,DATA_MASTER!$D$2:$D$5000,0)),""))</f>
        <v/>
      </c>
      <c r="E1471" s="22">
        <f t="array" ref="E1471">IF($C1471="","",IFERROR(INDEX(DATA_MASTER!$I$2:$I$5000,MATCH($C1471,DATA_MASTER!$D$2:$D$5000,0)),""))</f>
        <v/>
      </c>
      <c r="F1471" s="22">
        <f t="array" ref="F1471">IF($C1471="","",IFERROR(INDEX(DATA_MASTER!$L$2:$L$5000,MATCH($C1471,DATA_MASTER!$D$2:$D$5000,0)),""))</f>
        <v/>
      </c>
      <c r="G1471" s="24" t="n"/>
      <c r="H1471" s="24" t="n"/>
      <c r="I1471" s="30" t="n"/>
      <c r="J1471" s="23">
        <f>IF(OR($H1471="",$I1471=""),"",$H1471*$I1471)</f>
        <v/>
      </c>
      <c r="K1471" s="24" t="n"/>
      <c r="L1471" s="24" t="n"/>
      <c r="M1471" s="29" t="n"/>
      <c r="N1471" s="28" t="n"/>
      <c r="O1471" s="24" t="n"/>
      <c r="P1471" s="24" t="n"/>
      <c r="Q1471" s="24" t="n"/>
      <c r="R1471" s="24" t="n"/>
      <c r="S1471" s="22">
        <f>IF(AND($A1471="",$C1471=""),"",IF($A1471="","Thiếu mã đơn; ","")&amp;IF(COUNTIF($A$2:$A1471,$A1471)&gt;1,"Trùng mã đơn; ","")&amp;IF(ISNA(MATCH($C1471,DATA_MASTER!$D$2:$D$5000,0)),"SĐT chưa đăng ký hội viên; ","")&amp;IF(AND($L1471="Đã chuyển khoản",$M1471=""),"Thiếu ngày nhận CK; ",""))</f>
        <v/>
      </c>
      <c r="T1471" s="24" t="n"/>
    </row>
    <row r="1472" ht="14.25" customHeight="1" s="40">
      <c r="A1472" s="24" t="n"/>
      <c r="B1472" s="29" t="n"/>
      <c r="C1472" s="28" t="n"/>
      <c r="D1472" s="22">
        <f t="array" ref="D1472">IF($C1472="","",IFERROR(INDEX(DATA_MASTER!$C$2:$C$5000,MATCH($C1472,DATA_MASTER!$D$2:$D$5000,0)),""))</f>
        <v/>
      </c>
      <c r="E1472" s="22">
        <f t="array" ref="E1472">IF($C1472="","",IFERROR(INDEX(DATA_MASTER!$I$2:$I$5000,MATCH($C1472,DATA_MASTER!$D$2:$D$5000,0)),""))</f>
        <v/>
      </c>
      <c r="F1472" s="22">
        <f t="array" ref="F1472">IF($C1472="","",IFERROR(INDEX(DATA_MASTER!$L$2:$L$5000,MATCH($C1472,DATA_MASTER!$D$2:$D$5000,0)),""))</f>
        <v/>
      </c>
      <c r="G1472" s="24" t="n"/>
      <c r="H1472" s="24" t="n"/>
      <c r="I1472" s="30" t="n"/>
      <c r="J1472" s="23">
        <f>IF(OR($H1472="",$I1472=""),"",$H1472*$I1472)</f>
        <v/>
      </c>
      <c r="K1472" s="24" t="n"/>
      <c r="L1472" s="24" t="n"/>
      <c r="M1472" s="29" t="n"/>
      <c r="N1472" s="28" t="n"/>
      <c r="O1472" s="24" t="n"/>
      <c r="P1472" s="24" t="n"/>
      <c r="Q1472" s="24" t="n"/>
      <c r="R1472" s="24" t="n"/>
      <c r="S1472" s="22">
        <f>IF(AND($A1472="",$C1472=""),"",IF($A1472="","Thiếu mã đơn; ","")&amp;IF(COUNTIF($A$2:$A1472,$A1472)&gt;1,"Trùng mã đơn; ","")&amp;IF(ISNA(MATCH($C1472,DATA_MASTER!$D$2:$D$5000,0)),"SĐT chưa đăng ký hội viên; ","")&amp;IF(AND($L1472="Đã chuyển khoản",$M1472=""),"Thiếu ngày nhận CK; ",""))</f>
        <v/>
      </c>
      <c r="T1472" s="24" t="n"/>
    </row>
    <row r="1473" ht="14.25" customHeight="1" s="40">
      <c r="A1473" s="24" t="n"/>
      <c r="B1473" s="29" t="n"/>
      <c r="C1473" s="28" t="n"/>
      <c r="D1473" s="22">
        <f t="array" ref="D1473">IF($C1473="","",IFERROR(INDEX(DATA_MASTER!$C$2:$C$5000,MATCH($C1473,DATA_MASTER!$D$2:$D$5000,0)),""))</f>
        <v/>
      </c>
      <c r="E1473" s="22">
        <f t="array" ref="E1473">IF($C1473="","",IFERROR(INDEX(DATA_MASTER!$I$2:$I$5000,MATCH($C1473,DATA_MASTER!$D$2:$D$5000,0)),""))</f>
        <v/>
      </c>
      <c r="F1473" s="22">
        <f t="array" ref="F1473">IF($C1473="","",IFERROR(INDEX(DATA_MASTER!$L$2:$L$5000,MATCH($C1473,DATA_MASTER!$D$2:$D$5000,0)),""))</f>
        <v/>
      </c>
      <c r="G1473" s="24" t="n"/>
      <c r="H1473" s="24" t="n"/>
      <c r="I1473" s="30" t="n"/>
      <c r="J1473" s="23">
        <f>IF(OR($H1473="",$I1473=""),"",$H1473*$I1473)</f>
        <v/>
      </c>
      <c r="K1473" s="24" t="n"/>
      <c r="L1473" s="24" t="n"/>
      <c r="M1473" s="29" t="n"/>
      <c r="N1473" s="28" t="n"/>
      <c r="O1473" s="24" t="n"/>
      <c r="P1473" s="24" t="n"/>
      <c r="Q1473" s="24" t="n"/>
      <c r="R1473" s="24" t="n"/>
      <c r="S1473" s="22">
        <f>IF(AND($A1473="",$C1473=""),"",IF($A1473="","Thiếu mã đơn; ","")&amp;IF(COUNTIF($A$2:$A1473,$A1473)&gt;1,"Trùng mã đơn; ","")&amp;IF(ISNA(MATCH($C1473,DATA_MASTER!$D$2:$D$5000,0)),"SĐT chưa đăng ký hội viên; ","")&amp;IF(AND($L1473="Đã chuyển khoản",$M1473=""),"Thiếu ngày nhận CK; ",""))</f>
        <v/>
      </c>
      <c r="T1473" s="24" t="n"/>
    </row>
    <row r="1474" ht="14.25" customHeight="1" s="40">
      <c r="A1474" s="24" t="n"/>
      <c r="B1474" s="29" t="n"/>
      <c r="C1474" s="28" t="n"/>
      <c r="D1474" s="22">
        <f t="array" ref="D1474">IF($C1474="","",IFERROR(INDEX(DATA_MASTER!$C$2:$C$5000,MATCH($C1474,DATA_MASTER!$D$2:$D$5000,0)),""))</f>
        <v/>
      </c>
      <c r="E1474" s="22">
        <f t="array" ref="E1474">IF($C1474="","",IFERROR(INDEX(DATA_MASTER!$I$2:$I$5000,MATCH($C1474,DATA_MASTER!$D$2:$D$5000,0)),""))</f>
        <v/>
      </c>
      <c r="F1474" s="22">
        <f t="array" ref="F1474">IF($C1474="","",IFERROR(INDEX(DATA_MASTER!$L$2:$L$5000,MATCH($C1474,DATA_MASTER!$D$2:$D$5000,0)),""))</f>
        <v/>
      </c>
      <c r="G1474" s="24" t="n"/>
      <c r="H1474" s="24" t="n"/>
      <c r="I1474" s="30" t="n"/>
      <c r="J1474" s="23">
        <f>IF(OR($H1474="",$I1474=""),"",$H1474*$I1474)</f>
        <v/>
      </c>
      <c r="K1474" s="24" t="n"/>
      <c r="L1474" s="24" t="n"/>
      <c r="M1474" s="29" t="n"/>
      <c r="N1474" s="28" t="n"/>
      <c r="O1474" s="24" t="n"/>
      <c r="P1474" s="24" t="n"/>
      <c r="Q1474" s="24" t="n"/>
      <c r="R1474" s="24" t="n"/>
      <c r="S1474" s="22">
        <f>IF(AND($A1474="",$C1474=""),"",IF($A1474="","Thiếu mã đơn; ","")&amp;IF(COUNTIF($A$2:$A1474,$A1474)&gt;1,"Trùng mã đơn; ","")&amp;IF(ISNA(MATCH($C1474,DATA_MASTER!$D$2:$D$5000,0)),"SĐT chưa đăng ký hội viên; ","")&amp;IF(AND($L1474="Đã chuyển khoản",$M1474=""),"Thiếu ngày nhận CK; ",""))</f>
        <v/>
      </c>
      <c r="T1474" s="24" t="n"/>
    </row>
    <row r="1475" ht="14.25" customHeight="1" s="40">
      <c r="A1475" s="24" t="n"/>
      <c r="B1475" s="29" t="n"/>
      <c r="C1475" s="28" t="n"/>
      <c r="D1475" s="22">
        <f t="array" ref="D1475">IF($C1475="","",IFERROR(INDEX(DATA_MASTER!$C$2:$C$5000,MATCH($C1475,DATA_MASTER!$D$2:$D$5000,0)),""))</f>
        <v/>
      </c>
      <c r="E1475" s="22">
        <f t="array" ref="E1475">IF($C1475="","",IFERROR(INDEX(DATA_MASTER!$I$2:$I$5000,MATCH($C1475,DATA_MASTER!$D$2:$D$5000,0)),""))</f>
        <v/>
      </c>
      <c r="F1475" s="22">
        <f t="array" ref="F1475">IF($C1475="","",IFERROR(INDEX(DATA_MASTER!$L$2:$L$5000,MATCH($C1475,DATA_MASTER!$D$2:$D$5000,0)),""))</f>
        <v/>
      </c>
      <c r="G1475" s="24" t="n"/>
      <c r="H1475" s="24" t="n"/>
      <c r="I1475" s="30" t="n"/>
      <c r="J1475" s="23">
        <f>IF(OR($H1475="",$I1475=""),"",$H1475*$I1475)</f>
        <v/>
      </c>
      <c r="K1475" s="24" t="n"/>
      <c r="L1475" s="24" t="n"/>
      <c r="M1475" s="29" t="n"/>
      <c r="N1475" s="28" t="n"/>
      <c r="O1475" s="24" t="n"/>
      <c r="P1475" s="24" t="n"/>
      <c r="Q1475" s="24" t="n"/>
      <c r="R1475" s="24" t="n"/>
      <c r="S1475" s="22">
        <f>IF(AND($A1475="",$C1475=""),"",IF($A1475="","Thiếu mã đơn; ","")&amp;IF(COUNTIF($A$2:$A1475,$A1475)&gt;1,"Trùng mã đơn; ","")&amp;IF(ISNA(MATCH($C1475,DATA_MASTER!$D$2:$D$5000,0)),"SĐT chưa đăng ký hội viên; ","")&amp;IF(AND($L1475="Đã chuyển khoản",$M1475=""),"Thiếu ngày nhận CK; ",""))</f>
        <v/>
      </c>
      <c r="T1475" s="24" t="n"/>
    </row>
    <row r="1476" ht="14.25" customHeight="1" s="40">
      <c r="A1476" s="24" t="n"/>
      <c r="B1476" s="29" t="n"/>
      <c r="C1476" s="28" t="n"/>
      <c r="D1476" s="22">
        <f t="array" ref="D1476">IF($C1476="","",IFERROR(INDEX(DATA_MASTER!$C$2:$C$5000,MATCH($C1476,DATA_MASTER!$D$2:$D$5000,0)),""))</f>
        <v/>
      </c>
      <c r="E1476" s="22">
        <f t="array" ref="E1476">IF($C1476="","",IFERROR(INDEX(DATA_MASTER!$I$2:$I$5000,MATCH($C1476,DATA_MASTER!$D$2:$D$5000,0)),""))</f>
        <v/>
      </c>
      <c r="F1476" s="22">
        <f t="array" ref="F1476">IF($C1476="","",IFERROR(INDEX(DATA_MASTER!$L$2:$L$5000,MATCH($C1476,DATA_MASTER!$D$2:$D$5000,0)),""))</f>
        <v/>
      </c>
      <c r="G1476" s="24" t="n"/>
      <c r="H1476" s="24" t="n"/>
      <c r="I1476" s="30" t="n"/>
      <c r="J1476" s="23">
        <f>IF(OR($H1476="",$I1476=""),"",$H1476*$I1476)</f>
        <v/>
      </c>
      <c r="K1476" s="24" t="n"/>
      <c r="L1476" s="24" t="n"/>
      <c r="M1476" s="29" t="n"/>
      <c r="N1476" s="28" t="n"/>
      <c r="O1476" s="24" t="n"/>
      <c r="P1476" s="24" t="n"/>
      <c r="Q1476" s="24" t="n"/>
      <c r="R1476" s="24" t="n"/>
      <c r="S1476" s="22">
        <f>IF(AND($A1476="",$C1476=""),"",IF($A1476="","Thiếu mã đơn; ","")&amp;IF(COUNTIF($A$2:$A1476,$A1476)&gt;1,"Trùng mã đơn; ","")&amp;IF(ISNA(MATCH($C1476,DATA_MASTER!$D$2:$D$5000,0)),"SĐT chưa đăng ký hội viên; ","")&amp;IF(AND($L1476="Đã chuyển khoản",$M1476=""),"Thiếu ngày nhận CK; ",""))</f>
        <v/>
      </c>
      <c r="T1476" s="24" t="n"/>
    </row>
    <row r="1477" ht="14.25" customHeight="1" s="40">
      <c r="A1477" s="24" t="n"/>
      <c r="B1477" s="29" t="n"/>
      <c r="C1477" s="28" t="n"/>
      <c r="D1477" s="22">
        <f t="array" ref="D1477">IF($C1477="","",IFERROR(INDEX(DATA_MASTER!$C$2:$C$5000,MATCH($C1477,DATA_MASTER!$D$2:$D$5000,0)),""))</f>
        <v/>
      </c>
      <c r="E1477" s="22">
        <f t="array" ref="E1477">IF($C1477="","",IFERROR(INDEX(DATA_MASTER!$I$2:$I$5000,MATCH($C1477,DATA_MASTER!$D$2:$D$5000,0)),""))</f>
        <v/>
      </c>
      <c r="F1477" s="22">
        <f t="array" ref="F1477">IF($C1477="","",IFERROR(INDEX(DATA_MASTER!$L$2:$L$5000,MATCH($C1477,DATA_MASTER!$D$2:$D$5000,0)),""))</f>
        <v/>
      </c>
      <c r="G1477" s="24" t="n"/>
      <c r="H1477" s="24" t="n"/>
      <c r="I1477" s="30" t="n"/>
      <c r="J1477" s="23">
        <f>IF(OR($H1477="",$I1477=""),"",$H1477*$I1477)</f>
        <v/>
      </c>
      <c r="K1477" s="24" t="n"/>
      <c r="L1477" s="24" t="n"/>
      <c r="M1477" s="29" t="n"/>
      <c r="N1477" s="28" t="n"/>
      <c r="O1477" s="24" t="n"/>
      <c r="P1477" s="24" t="n"/>
      <c r="Q1477" s="24" t="n"/>
      <c r="R1477" s="24" t="n"/>
      <c r="S1477" s="22">
        <f>IF(AND($A1477="",$C1477=""),"",IF($A1477="","Thiếu mã đơn; ","")&amp;IF(COUNTIF($A$2:$A1477,$A1477)&gt;1,"Trùng mã đơn; ","")&amp;IF(ISNA(MATCH($C1477,DATA_MASTER!$D$2:$D$5000,0)),"SĐT chưa đăng ký hội viên; ","")&amp;IF(AND($L1477="Đã chuyển khoản",$M1477=""),"Thiếu ngày nhận CK; ",""))</f>
        <v/>
      </c>
      <c r="T1477" s="24" t="n"/>
    </row>
    <row r="1478" ht="14.25" customHeight="1" s="40">
      <c r="A1478" s="24" t="n"/>
      <c r="B1478" s="29" t="n"/>
      <c r="C1478" s="28" t="n"/>
      <c r="D1478" s="22">
        <f t="array" ref="D1478">IF($C1478="","",IFERROR(INDEX(DATA_MASTER!$C$2:$C$5000,MATCH($C1478,DATA_MASTER!$D$2:$D$5000,0)),""))</f>
        <v/>
      </c>
      <c r="E1478" s="22">
        <f t="array" ref="E1478">IF($C1478="","",IFERROR(INDEX(DATA_MASTER!$I$2:$I$5000,MATCH($C1478,DATA_MASTER!$D$2:$D$5000,0)),""))</f>
        <v/>
      </c>
      <c r="F1478" s="22">
        <f t="array" ref="F1478">IF($C1478="","",IFERROR(INDEX(DATA_MASTER!$L$2:$L$5000,MATCH($C1478,DATA_MASTER!$D$2:$D$5000,0)),""))</f>
        <v/>
      </c>
      <c r="G1478" s="24" t="n"/>
      <c r="H1478" s="24" t="n"/>
      <c r="I1478" s="30" t="n"/>
      <c r="J1478" s="23">
        <f>IF(OR($H1478="",$I1478=""),"",$H1478*$I1478)</f>
        <v/>
      </c>
      <c r="K1478" s="24" t="n"/>
      <c r="L1478" s="24" t="n"/>
      <c r="M1478" s="29" t="n"/>
      <c r="N1478" s="28" t="n"/>
      <c r="O1478" s="24" t="n"/>
      <c r="P1478" s="24" t="n"/>
      <c r="Q1478" s="24" t="n"/>
      <c r="R1478" s="24" t="n"/>
      <c r="S1478" s="22">
        <f>IF(AND($A1478="",$C1478=""),"",IF($A1478="","Thiếu mã đơn; ","")&amp;IF(COUNTIF($A$2:$A1478,$A1478)&gt;1,"Trùng mã đơn; ","")&amp;IF(ISNA(MATCH($C1478,DATA_MASTER!$D$2:$D$5000,0)),"SĐT chưa đăng ký hội viên; ","")&amp;IF(AND($L1478="Đã chuyển khoản",$M1478=""),"Thiếu ngày nhận CK; ",""))</f>
        <v/>
      </c>
      <c r="T1478" s="24" t="n"/>
    </row>
    <row r="1479" ht="14.25" customHeight="1" s="40">
      <c r="A1479" s="24" t="n"/>
      <c r="B1479" s="29" t="n"/>
      <c r="C1479" s="28" t="n"/>
      <c r="D1479" s="22">
        <f t="array" ref="D1479">IF($C1479="","",IFERROR(INDEX(DATA_MASTER!$C$2:$C$5000,MATCH($C1479,DATA_MASTER!$D$2:$D$5000,0)),""))</f>
        <v/>
      </c>
      <c r="E1479" s="22">
        <f t="array" ref="E1479">IF($C1479="","",IFERROR(INDEX(DATA_MASTER!$I$2:$I$5000,MATCH($C1479,DATA_MASTER!$D$2:$D$5000,0)),""))</f>
        <v/>
      </c>
      <c r="F1479" s="22">
        <f t="array" ref="F1479">IF($C1479="","",IFERROR(INDEX(DATA_MASTER!$L$2:$L$5000,MATCH($C1479,DATA_MASTER!$D$2:$D$5000,0)),""))</f>
        <v/>
      </c>
      <c r="G1479" s="24" t="n"/>
      <c r="H1479" s="24" t="n"/>
      <c r="I1479" s="30" t="n"/>
      <c r="J1479" s="23">
        <f>IF(OR($H1479="",$I1479=""),"",$H1479*$I1479)</f>
        <v/>
      </c>
      <c r="K1479" s="24" t="n"/>
      <c r="L1479" s="24" t="n"/>
      <c r="M1479" s="29" t="n"/>
      <c r="N1479" s="28" t="n"/>
      <c r="O1479" s="24" t="n"/>
      <c r="P1479" s="24" t="n"/>
      <c r="Q1479" s="24" t="n"/>
      <c r="R1479" s="24" t="n"/>
      <c r="S1479" s="22">
        <f>IF(AND($A1479="",$C1479=""),"",IF($A1479="","Thiếu mã đơn; ","")&amp;IF(COUNTIF($A$2:$A1479,$A1479)&gt;1,"Trùng mã đơn; ","")&amp;IF(ISNA(MATCH($C1479,DATA_MASTER!$D$2:$D$5000,0)),"SĐT chưa đăng ký hội viên; ","")&amp;IF(AND($L1479="Đã chuyển khoản",$M1479=""),"Thiếu ngày nhận CK; ",""))</f>
        <v/>
      </c>
      <c r="T1479" s="24" t="n"/>
    </row>
    <row r="1480" ht="14.25" customHeight="1" s="40">
      <c r="A1480" s="24" t="n"/>
      <c r="B1480" s="29" t="n"/>
      <c r="C1480" s="28" t="n"/>
      <c r="D1480" s="22">
        <f t="array" ref="D1480">IF($C1480="","",IFERROR(INDEX(DATA_MASTER!$C$2:$C$5000,MATCH($C1480,DATA_MASTER!$D$2:$D$5000,0)),""))</f>
        <v/>
      </c>
      <c r="E1480" s="22">
        <f t="array" ref="E1480">IF($C1480="","",IFERROR(INDEX(DATA_MASTER!$I$2:$I$5000,MATCH($C1480,DATA_MASTER!$D$2:$D$5000,0)),""))</f>
        <v/>
      </c>
      <c r="F1480" s="22">
        <f t="array" ref="F1480">IF($C1480="","",IFERROR(INDEX(DATA_MASTER!$L$2:$L$5000,MATCH($C1480,DATA_MASTER!$D$2:$D$5000,0)),""))</f>
        <v/>
      </c>
      <c r="G1480" s="24" t="n"/>
      <c r="H1480" s="24" t="n"/>
      <c r="I1480" s="30" t="n"/>
      <c r="J1480" s="23">
        <f>IF(OR($H1480="",$I1480=""),"",$H1480*$I1480)</f>
        <v/>
      </c>
      <c r="K1480" s="24" t="n"/>
      <c r="L1480" s="24" t="n"/>
      <c r="M1480" s="29" t="n"/>
      <c r="N1480" s="28" t="n"/>
      <c r="O1480" s="24" t="n"/>
      <c r="P1480" s="24" t="n"/>
      <c r="Q1480" s="24" t="n"/>
      <c r="R1480" s="24" t="n"/>
      <c r="S1480" s="22">
        <f>IF(AND($A1480="",$C1480=""),"",IF($A1480="","Thiếu mã đơn; ","")&amp;IF(COUNTIF($A$2:$A1480,$A1480)&gt;1,"Trùng mã đơn; ","")&amp;IF(ISNA(MATCH($C1480,DATA_MASTER!$D$2:$D$5000,0)),"SĐT chưa đăng ký hội viên; ","")&amp;IF(AND($L1480="Đã chuyển khoản",$M1480=""),"Thiếu ngày nhận CK; ",""))</f>
        <v/>
      </c>
      <c r="T1480" s="24" t="n"/>
    </row>
    <row r="1481" ht="14.25" customHeight="1" s="40">
      <c r="A1481" s="24" t="n"/>
      <c r="B1481" s="29" t="n"/>
      <c r="C1481" s="28" t="n"/>
      <c r="D1481" s="22">
        <f t="array" ref="D1481">IF($C1481="","",IFERROR(INDEX(DATA_MASTER!$C$2:$C$5000,MATCH($C1481,DATA_MASTER!$D$2:$D$5000,0)),""))</f>
        <v/>
      </c>
      <c r="E1481" s="22">
        <f t="array" ref="E1481">IF($C1481="","",IFERROR(INDEX(DATA_MASTER!$I$2:$I$5000,MATCH($C1481,DATA_MASTER!$D$2:$D$5000,0)),""))</f>
        <v/>
      </c>
      <c r="F1481" s="22">
        <f t="array" ref="F1481">IF($C1481="","",IFERROR(INDEX(DATA_MASTER!$L$2:$L$5000,MATCH($C1481,DATA_MASTER!$D$2:$D$5000,0)),""))</f>
        <v/>
      </c>
      <c r="G1481" s="24" t="n"/>
      <c r="H1481" s="24" t="n"/>
      <c r="I1481" s="30" t="n"/>
      <c r="J1481" s="23">
        <f>IF(OR($H1481="",$I1481=""),"",$H1481*$I1481)</f>
        <v/>
      </c>
      <c r="K1481" s="24" t="n"/>
      <c r="L1481" s="24" t="n"/>
      <c r="M1481" s="29" t="n"/>
      <c r="N1481" s="28" t="n"/>
      <c r="O1481" s="24" t="n"/>
      <c r="P1481" s="24" t="n"/>
      <c r="Q1481" s="24" t="n"/>
      <c r="R1481" s="24" t="n"/>
      <c r="S1481" s="22">
        <f>IF(AND($A1481="",$C1481=""),"",IF($A1481="","Thiếu mã đơn; ","")&amp;IF(COUNTIF($A$2:$A1481,$A1481)&gt;1,"Trùng mã đơn; ","")&amp;IF(ISNA(MATCH($C1481,DATA_MASTER!$D$2:$D$5000,0)),"SĐT chưa đăng ký hội viên; ","")&amp;IF(AND($L1481="Đã chuyển khoản",$M1481=""),"Thiếu ngày nhận CK; ",""))</f>
        <v/>
      </c>
      <c r="T1481" s="24" t="n"/>
    </row>
    <row r="1482" ht="14.25" customHeight="1" s="40">
      <c r="A1482" s="24" t="n"/>
      <c r="B1482" s="29" t="n"/>
      <c r="C1482" s="28" t="n"/>
      <c r="D1482" s="22">
        <f t="array" ref="D1482">IF($C1482="","",IFERROR(INDEX(DATA_MASTER!$C$2:$C$5000,MATCH($C1482,DATA_MASTER!$D$2:$D$5000,0)),""))</f>
        <v/>
      </c>
      <c r="E1482" s="22">
        <f t="array" ref="E1482">IF($C1482="","",IFERROR(INDEX(DATA_MASTER!$I$2:$I$5000,MATCH($C1482,DATA_MASTER!$D$2:$D$5000,0)),""))</f>
        <v/>
      </c>
      <c r="F1482" s="22">
        <f t="array" ref="F1482">IF($C1482="","",IFERROR(INDEX(DATA_MASTER!$L$2:$L$5000,MATCH($C1482,DATA_MASTER!$D$2:$D$5000,0)),""))</f>
        <v/>
      </c>
      <c r="G1482" s="24" t="n"/>
      <c r="H1482" s="24" t="n"/>
      <c r="I1482" s="30" t="n"/>
      <c r="J1482" s="23">
        <f>IF(OR($H1482="",$I1482=""),"",$H1482*$I1482)</f>
        <v/>
      </c>
      <c r="K1482" s="24" t="n"/>
      <c r="L1482" s="24" t="n"/>
      <c r="M1482" s="29" t="n"/>
      <c r="N1482" s="28" t="n"/>
      <c r="O1482" s="24" t="n"/>
      <c r="P1482" s="24" t="n"/>
      <c r="Q1482" s="24" t="n"/>
      <c r="R1482" s="24" t="n"/>
      <c r="S1482" s="22">
        <f>IF(AND($A1482="",$C1482=""),"",IF($A1482="","Thiếu mã đơn; ","")&amp;IF(COUNTIF($A$2:$A1482,$A1482)&gt;1,"Trùng mã đơn; ","")&amp;IF(ISNA(MATCH($C1482,DATA_MASTER!$D$2:$D$5000,0)),"SĐT chưa đăng ký hội viên; ","")&amp;IF(AND($L1482="Đã chuyển khoản",$M1482=""),"Thiếu ngày nhận CK; ",""))</f>
        <v/>
      </c>
      <c r="T1482" s="24" t="n"/>
    </row>
    <row r="1483" ht="14.25" customHeight="1" s="40">
      <c r="A1483" s="24" t="n"/>
      <c r="B1483" s="29" t="n"/>
      <c r="C1483" s="28" t="n"/>
      <c r="D1483" s="22">
        <f t="array" ref="D1483">IF($C1483="","",IFERROR(INDEX(DATA_MASTER!$C$2:$C$5000,MATCH($C1483,DATA_MASTER!$D$2:$D$5000,0)),""))</f>
        <v/>
      </c>
      <c r="E1483" s="22">
        <f t="array" ref="E1483">IF($C1483="","",IFERROR(INDEX(DATA_MASTER!$I$2:$I$5000,MATCH($C1483,DATA_MASTER!$D$2:$D$5000,0)),""))</f>
        <v/>
      </c>
      <c r="F1483" s="22">
        <f t="array" ref="F1483">IF($C1483="","",IFERROR(INDEX(DATA_MASTER!$L$2:$L$5000,MATCH($C1483,DATA_MASTER!$D$2:$D$5000,0)),""))</f>
        <v/>
      </c>
      <c r="G1483" s="24" t="n"/>
      <c r="H1483" s="24" t="n"/>
      <c r="I1483" s="30" t="n"/>
      <c r="J1483" s="23">
        <f>IF(OR($H1483="",$I1483=""),"",$H1483*$I1483)</f>
        <v/>
      </c>
      <c r="K1483" s="24" t="n"/>
      <c r="L1483" s="24" t="n"/>
      <c r="M1483" s="29" t="n"/>
      <c r="N1483" s="28" t="n"/>
      <c r="O1483" s="24" t="n"/>
      <c r="P1483" s="24" t="n"/>
      <c r="Q1483" s="24" t="n"/>
      <c r="R1483" s="24" t="n"/>
      <c r="S1483" s="22">
        <f>IF(AND($A1483="",$C1483=""),"",IF($A1483="","Thiếu mã đơn; ","")&amp;IF(COUNTIF($A$2:$A1483,$A1483)&gt;1,"Trùng mã đơn; ","")&amp;IF(ISNA(MATCH($C1483,DATA_MASTER!$D$2:$D$5000,0)),"SĐT chưa đăng ký hội viên; ","")&amp;IF(AND($L1483="Đã chuyển khoản",$M1483=""),"Thiếu ngày nhận CK; ",""))</f>
        <v/>
      </c>
      <c r="T1483" s="24" t="n"/>
    </row>
    <row r="1484" ht="14.25" customHeight="1" s="40">
      <c r="A1484" s="24" t="n"/>
      <c r="B1484" s="29" t="n"/>
      <c r="C1484" s="28" t="n"/>
      <c r="D1484" s="22">
        <f t="array" ref="D1484">IF($C1484="","",IFERROR(INDEX(DATA_MASTER!$C$2:$C$5000,MATCH($C1484,DATA_MASTER!$D$2:$D$5000,0)),""))</f>
        <v/>
      </c>
      <c r="E1484" s="22">
        <f t="array" ref="E1484">IF($C1484="","",IFERROR(INDEX(DATA_MASTER!$I$2:$I$5000,MATCH($C1484,DATA_MASTER!$D$2:$D$5000,0)),""))</f>
        <v/>
      </c>
      <c r="F1484" s="22">
        <f t="array" ref="F1484">IF($C1484="","",IFERROR(INDEX(DATA_MASTER!$L$2:$L$5000,MATCH($C1484,DATA_MASTER!$D$2:$D$5000,0)),""))</f>
        <v/>
      </c>
      <c r="G1484" s="24" t="n"/>
      <c r="H1484" s="24" t="n"/>
      <c r="I1484" s="30" t="n"/>
      <c r="J1484" s="23">
        <f>IF(OR($H1484="",$I1484=""),"",$H1484*$I1484)</f>
        <v/>
      </c>
      <c r="K1484" s="24" t="n"/>
      <c r="L1484" s="24" t="n"/>
      <c r="M1484" s="29" t="n"/>
      <c r="N1484" s="28" t="n"/>
      <c r="O1484" s="24" t="n"/>
      <c r="P1484" s="24" t="n"/>
      <c r="Q1484" s="24" t="n"/>
      <c r="R1484" s="24" t="n"/>
      <c r="S1484" s="22">
        <f>IF(AND($A1484="",$C1484=""),"",IF($A1484="","Thiếu mã đơn; ","")&amp;IF(COUNTIF($A$2:$A1484,$A1484)&gt;1,"Trùng mã đơn; ","")&amp;IF(ISNA(MATCH($C1484,DATA_MASTER!$D$2:$D$5000,0)),"SĐT chưa đăng ký hội viên; ","")&amp;IF(AND($L1484="Đã chuyển khoản",$M1484=""),"Thiếu ngày nhận CK; ",""))</f>
        <v/>
      </c>
      <c r="T1484" s="24" t="n"/>
    </row>
    <row r="1485" ht="14.25" customHeight="1" s="40">
      <c r="A1485" s="24" t="n"/>
      <c r="B1485" s="29" t="n"/>
      <c r="C1485" s="28" t="n"/>
      <c r="D1485" s="22">
        <f t="array" ref="D1485">IF($C1485="","",IFERROR(INDEX(DATA_MASTER!$C$2:$C$5000,MATCH($C1485,DATA_MASTER!$D$2:$D$5000,0)),""))</f>
        <v/>
      </c>
      <c r="E1485" s="22">
        <f t="array" ref="E1485">IF($C1485="","",IFERROR(INDEX(DATA_MASTER!$I$2:$I$5000,MATCH($C1485,DATA_MASTER!$D$2:$D$5000,0)),""))</f>
        <v/>
      </c>
      <c r="F1485" s="22">
        <f t="array" ref="F1485">IF($C1485="","",IFERROR(INDEX(DATA_MASTER!$L$2:$L$5000,MATCH($C1485,DATA_MASTER!$D$2:$D$5000,0)),""))</f>
        <v/>
      </c>
      <c r="G1485" s="24" t="n"/>
      <c r="H1485" s="24" t="n"/>
      <c r="I1485" s="30" t="n"/>
      <c r="J1485" s="23">
        <f>IF(OR($H1485="",$I1485=""),"",$H1485*$I1485)</f>
        <v/>
      </c>
      <c r="K1485" s="24" t="n"/>
      <c r="L1485" s="24" t="n"/>
      <c r="M1485" s="29" t="n"/>
      <c r="N1485" s="28" t="n"/>
      <c r="O1485" s="24" t="n"/>
      <c r="P1485" s="24" t="n"/>
      <c r="Q1485" s="24" t="n"/>
      <c r="R1485" s="24" t="n"/>
      <c r="S1485" s="22">
        <f>IF(AND($A1485="",$C1485=""),"",IF($A1485="","Thiếu mã đơn; ","")&amp;IF(COUNTIF($A$2:$A1485,$A1485)&gt;1,"Trùng mã đơn; ","")&amp;IF(ISNA(MATCH($C1485,DATA_MASTER!$D$2:$D$5000,0)),"SĐT chưa đăng ký hội viên; ","")&amp;IF(AND($L1485="Đã chuyển khoản",$M1485=""),"Thiếu ngày nhận CK; ",""))</f>
        <v/>
      </c>
      <c r="T1485" s="24" t="n"/>
    </row>
    <row r="1486" ht="14.25" customHeight="1" s="40">
      <c r="A1486" s="24" t="n"/>
      <c r="B1486" s="29" t="n"/>
      <c r="C1486" s="28" t="n"/>
      <c r="D1486" s="22">
        <f t="array" ref="D1486">IF($C1486="","",IFERROR(INDEX(DATA_MASTER!$C$2:$C$5000,MATCH($C1486,DATA_MASTER!$D$2:$D$5000,0)),""))</f>
        <v/>
      </c>
      <c r="E1486" s="22">
        <f t="array" ref="E1486">IF($C1486="","",IFERROR(INDEX(DATA_MASTER!$I$2:$I$5000,MATCH($C1486,DATA_MASTER!$D$2:$D$5000,0)),""))</f>
        <v/>
      </c>
      <c r="F1486" s="22">
        <f t="array" ref="F1486">IF($C1486="","",IFERROR(INDEX(DATA_MASTER!$L$2:$L$5000,MATCH($C1486,DATA_MASTER!$D$2:$D$5000,0)),""))</f>
        <v/>
      </c>
      <c r="G1486" s="24" t="n"/>
      <c r="H1486" s="24" t="n"/>
      <c r="I1486" s="30" t="n"/>
      <c r="J1486" s="23">
        <f>IF(OR($H1486="",$I1486=""),"",$H1486*$I1486)</f>
        <v/>
      </c>
      <c r="K1486" s="24" t="n"/>
      <c r="L1486" s="24" t="n"/>
      <c r="M1486" s="29" t="n"/>
      <c r="N1486" s="28" t="n"/>
      <c r="O1486" s="24" t="n"/>
      <c r="P1486" s="24" t="n"/>
      <c r="Q1486" s="24" t="n"/>
      <c r="R1486" s="24" t="n"/>
      <c r="S1486" s="22">
        <f>IF(AND($A1486="",$C1486=""),"",IF($A1486="","Thiếu mã đơn; ","")&amp;IF(COUNTIF($A$2:$A1486,$A1486)&gt;1,"Trùng mã đơn; ","")&amp;IF(ISNA(MATCH($C1486,DATA_MASTER!$D$2:$D$5000,0)),"SĐT chưa đăng ký hội viên; ","")&amp;IF(AND($L1486="Đã chuyển khoản",$M1486=""),"Thiếu ngày nhận CK; ",""))</f>
        <v/>
      </c>
      <c r="T1486" s="24" t="n"/>
    </row>
    <row r="1487" ht="14.25" customHeight="1" s="40">
      <c r="A1487" s="24" t="n"/>
      <c r="B1487" s="29" t="n"/>
      <c r="C1487" s="28" t="n"/>
      <c r="D1487" s="22">
        <f t="array" ref="D1487">IF($C1487="","",IFERROR(INDEX(DATA_MASTER!$C$2:$C$5000,MATCH($C1487,DATA_MASTER!$D$2:$D$5000,0)),""))</f>
        <v/>
      </c>
      <c r="E1487" s="22">
        <f t="array" ref="E1487">IF($C1487="","",IFERROR(INDEX(DATA_MASTER!$I$2:$I$5000,MATCH($C1487,DATA_MASTER!$D$2:$D$5000,0)),""))</f>
        <v/>
      </c>
      <c r="F1487" s="22">
        <f t="array" ref="F1487">IF($C1487="","",IFERROR(INDEX(DATA_MASTER!$L$2:$L$5000,MATCH($C1487,DATA_MASTER!$D$2:$D$5000,0)),""))</f>
        <v/>
      </c>
      <c r="G1487" s="24" t="n"/>
      <c r="H1487" s="24" t="n"/>
      <c r="I1487" s="30" t="n"/>
      <c r="J1487" s="23">
        <f>IF(OR($H1487="",$I1487=""),"",$H1487*$I1487)</f>
        <v/>
      </c>
      <c r="K1487" s="24" t="n"/>
      <c r="L1487" s="24" t="n"/>
      <c r="M1487" s="29" t="n"/>
      <c r="N1487" s="28" t="n"/>
      <c r="O1487" s="24" t="n"/>
      <c r="P1487" s="24" t="n"/>
      <c r="Q1487" s="24" t="n"/>
      <c r="R1487" s="24" t="n"/>
      <c r="S1487" s="22">
        <f>IF(AND($A1487="",$C1487=""),"",IF($A1487="","Thiếu mã đơn; ","")&amp;IF(COUNTIF($A$2:$A1487,$A1487)&gt;1,"Trùng mã đơn; ","")&amp;IF(ISNA(MATCH($C1487,DATA_MASTER!$D$2:$D$5000,0)),"SĐT chưa đăng ký hội viên; ","")&amp;IF(AND($L1487="Đã chuyển khoản",$M1487=""),"Thiếu ngày nhận CK; ",""))</f>
        <v/>
      </c>
      <c r="T1487" s="24" t="n"/>
    </row>
    <row r="1488" ht="14.25" customHeight="1" s="40">
      <c r="A1488" s="24" t="n"/>
      <c r="B1488" s="29" t="n"/>
      <c r="C1488" s="28" t="n"/>
      <c r="D1488" s="22">
        <f t="array" ref="D1488">IF($C1488="","",IFERROR(INDEX(DATA_MASTER!$C$2:$C$5000,MATCH($C1488,DATA_MASTER!$D$2:$D$5000,0)),""))</f>
        <v/>
      </c>
      <c r="E1488" s="22">
        <f t="array" ref="E1488">IF($C1488="","",IFERROR(INDEX(DATA_MASTER!$I$2:$I$5000,MATCH($C1488,DATA_MASTER!$D$2:$D$5000,0)),""))</f>
        <v/>
      </c>
      <c r="F1488" s="22">
        <f t="array" ref="F1488">IF($C1488="","",IFERROR(INDEX(DATA_MASTER!$L$2:$L$5000,MATCH($C1488,DATA_MASTER!$D$2:$D$5000,0)),""))</f>
        <v/>
      </c>
      <c r="G1488" s="24" t="n"/>
      <c r="H1488" s="24" t="n"/>
      <c r="I1488" s="30" t="n"/>
      <c r="J1488" s="23">
        <f>IF(OR($H1488="",$I1488=""),"",$H1488*$I1488)</f>
        <v/>
      </c>
      <c r="K1488" s="24" t="n"/>
      <c r="L1488" s="24" t="n"/>
      <c r="M1488" s="29" t="n"/>
      <c r="N1488" s="28" t="n"/>
      <c r="O1488" s="24" t="n"/>
      <c r="P1488" s="24" t="n"/>
      <c r="Q1488" s="24" t="n"/>
      <c r="R1488" s="24" t="n"/>
      <c r="S1488" s="22">
        <f>IF(AND($A1488="",$C1488=""),"",IF($A1488="","Thiếu mã đơn; ","")&amp;IF(COUNTIF($A$2:$A1488,$A1488)&gt;1,"Trùng mã đơn; ","")&amp;IF(ISNA(MATCH($C1488,DATA_MASTER!$D$2:$D$5000,0)),"SĐT chưa đăng ký hội viên; ","")&amp;IF(AND($L1488="Đã chuyển khoản",$M1488=""),"Thiếu ngày nhận CK; ",""))</f>
        <v/>
      </c>
      <c r="T1488" s="24" t="n"/>
    </row>
    <row r="1489" ht="14.25" customHeight="1" s="40">
      <c r="A1489" s="24" t="n"/>
      <c r="B1489" s="29" t="n"/>
      <c r="C1489" s="28" t="n"/>
      <c r="D1489" s="22">
        <f t="array" ref="D1489">IF($C1489="","",IFERROR(INDEX(DATA_MASTER!$C$2:$C$5000,MATCH($C1489,DATA_MASTER!$D$2:$D$5000,0)),""))</f>
        <v/>
      </c>
      <c r="E1489" s="22">
        <f t="array" ref="E1489">IF($C1489="","",IFERROR(INDEX(DATA_MASTER!$I$2:$I$5000,MATCH($C1489,DATA_MASTER!$D$2:$D$5000,0)),""))</f>
        <v/>
      </c>
      <c r="F1489" s="22">
        <f t="array" ref="F1489">IF($C1489="","",IFERROR(INDEX(DATA_MASTER!$L$2:$L$5000,MATCH($C1489,DATA_MASTER!$D$2:$D$5000,0)),""))</f>
        <v/>
      </c>
      <c r="G1489" s="24" t="n"/>
      <c r="H1489" s="24" t="n"/>
      <c r="I1489" s="30" t="n"/>
      <c r="J1489" s="23">
        <f>IF(OR($H1489="",$I1489=""),"",$H1489*$I1489)</f>
        <v/>
      </c>
      <c r="K1489" s="24" t="n"/>
      <c r="L1489" s="24" t="n"/>
      <c r="M1489" s="29" t="n"/>
      <c r="N1489" s="28" t="n"/>
      <c r="O1489" s="24" t="n"/>
      <c r="P1489" s="24" t="n"/>
      <c r="Q1489" s="24" t="n"/>
      <c r="R1489" s="24" t="n"/>
      <c r="S1489" s="22">
        <f>IF(AND($A1489="",$C1489=""),"",IF($A1489="","Thiếu mã đơn; ","")&amp;IF(COUNTIF($A$2:$A1489,$A1489)&gt;1,"Trùng mã đơn; ","")&amp;IF(ISNA(MATCH($C1489,DATA_MASTER!$D$2:$D$5000,0)),"SĐT chưa đăng ký hội viên; ","")&amp;IF(AND($L1489="Đã chuyển khoản",$M1489=""),"Thiếu ngày nhận CK; ",""))</f>
        <v/>
      </c>
      <c r="T1489" s="24" t="n"/>
    </row>
    <row r="1490" ht="14.25" customHeight="1" s="40">
      <c r="A1490" s="24" t="n"/>
      <c r="B1490" s="29" t="n"/>
      <c r="C1490" s="28" t="n"/>
      <c r="D1490" s="22">
        <f t="array" ref="D1490">IF($C1490="","",IFERROR(INDEX(DATA_MASTER!$C$2:$C$5000,MATCH($C1490,DATA_MASTER!$D$2:$D$5000,0)),""))</f>
        <v/>
      </c>
      <c r="E1490" s="22">
        <f t="array" ref="E1490">IF($C1490="","",IFERROR(INDEX(DATA_MASTER!$I$2:$I$5000,MATCH($C1490,DATA_MASTER!$D$2:$D$5000,0)),""))</f>
        <v/>
      </c>
      <c r="F1490" s="22">
        <f t="array" ref="F1490">IF($C1490="","",IFERROR(INDEX(DATA_MASTER!$L$2:$L$5000,MATCH($C1490,DATA_MASTER!$D$2:$D$5000,0)),""))</f>
        <v/>
      </c>
      <c r="G1490" s="24" t="n"/>
      <c r="H1490" s="24" t="n"/>
      <c r="I1490" s="30" t="n"/>
      <c r="J1490" s="23">
        <f>IF(OR($H1490="",$I1490=""),"",$H1490*$I1490)</f>
        <v/>
      </c>
      <c r="K1490" s="24" t="n"/>
      <c r="L1490" s="24" t="n"/>
      <c r="M1490" s="29" t="n"/>
      <c r="N1490" s="28" t="n"/>
      <c r="O1490" s="24" t="n"/>
      <c r="P1490" s="24" t="n"/>
      <c r="Q1490" s="24" t="n"/>
      <c r="R1490" s="24" t="n"/>
      <c r="S1490" s="22">
        <f>IF(AND($A1490="",$C1490=""),"",IF($A1490="","Thiếu mã đơn; ","")&amp;IF(COUNTIF($A$2:$A1490,$A1490)&gt;1,"Trùng mã đơn; ","")&amp;IF(ISNA(MATCH($C1490,DATA_MASTER!$D$2:$D$5000,0)),"SĐT chưa đăng ký hội viên; ","")&amp;IF(AND($L1490="Đã chuyển khoản",$M1490=""),"Thiếu ngày nhận CK; ",""))</f>
        <v/>
      </c>
      <c r="T1490" s="24" t="n"/>
    </row>
    <row r="1491" ht="14.25" customHeight="1" s="40">
      <c r="A1491" s="24" t="n"/>
      <c r="B1491" s="29" t="n"/>
      <c r="C1491" s="28" t="n"/>
      <c r="D1491" s="22">
        <f t="array" ref="D1491">IF($C1491="","",IFERROR(INDEX(DATA_MASTER!$C$2:$C$5000,MATCH($C1491,DATA_MASTER!$D$2:$D$5000,0)),""))</f>
        <v/>
      </c>
      <c r="E1491" s="22">
        <f t="array" ref="E1491">IF($C1491="","",IFERROR(INDEX(DATA_MASTER!$I$2:$I$5000,MATCH($C1491,DATA_MASTER!$D$2:$D$5000,0)),""))</f>
        <v/>
      </c>
      <c r="F1491" s="22">
        <f t="array" ref="F1491">IF($C1491="","",IFERROR(INDEX(DATA_MASTER!$L$2:$L$5000,MATCH($C1491,DATA_MASTER!$D$2:$D$5000,0)),""))</f>
        <v/>
      </c>
      <c r="G1491" s="24" t="n"/>
      <c r="H1491" s="24" t="n"/>
      <c r="I1491" s="30" t="n"/>
      <c r="J1491" s="23">
        <f>IF(OR($H1491="",$I1491=""),"",$H1491*$I1491)</f>
        <v/>
      </c>
      <c r="K1491" s="24" t="n"/>
      <c r="L1491" s="24" t="n"/>
      <c r="M1491" s="29" t="n"/>
      <c r="N1491" s="28" t="n"/>
      <c r="O1491" s="24" t="n"/>
      <c r="P1491" s="24" t="n"/>
      <c r="Q1491" s="24" t="n"/>
      <c r="R1491" s="24" t="n"/>
      <c r="S1491" s="22">
        <f>IF(AND($A1491="",$C1491=""),"",IF($A1491="","Thiếu mã đơn; ","")&amp;IF(COUNTIF($A$2:$A1491,$A1491)&gt;1,"Trùng mã đơn; ","")&amp;IF(ISNA(MATCH($C1491,DATA_MASTER!$D$2:$D$5000,0)),"SĐT chưa đăng ký hội viên; ","")&amp;IF(AND($L1491="Đã chuyển khoản",$M1491=""),"Thiếu ngày nhận CK; ",""))</f>
        <v/>
      </c>
      <c r="T1491" s="24" t="n"/>
    </row>
    <row r="1492" ht="14.25" customHeight="1" s="40">
      <c r="A1492" s="24" t="n"/>
      <c r="B1492" s="29" t="n"/>
      <c r="C1492" s="28" t="n"/>
      <c r="D1492" s="22">
        <f t="array" ref="D1492">IF($C1492="","",IFERROR(INDEX(DATA_MASTER!$C$2:$C$5000,MATCH($C1492,DATA_MASTER!$D$2:$D$5000,0)),""))</f>
        <v/>
      </c>
      <c r="E1492" s="22">
        <f t="array" ref="E1492">IF($C1492="","",IFERROR(INDEX(DATA_MASTER!$I$2:$I$5000,MATCH($C1492,DATA_MASTER!$D$2:$D$5000,0)),""))</f>
        <v/>
      </c>
      <c r="F1492" s="22">
        <f t="array" ref="F1492">IF($C1492="","",IFERROR(INDEX(DATA_MASTER!$L$2:$L$5000,MATCH($C1492,DATA_MASTER!$D$2:$D$5000,0)),""))</f>
        <v/>
      </c>
      <c r="G1492" s="24" t="n"/>
      <c r="H1492" s="24" t="n"/>
      <c r="I1492" s="30" t="n"/>
      <c r="J1492" s="23">
        <f>IF(OR($H1492="",$I1492=""),"",$H1492*$I1492)</f>
        <v/>
      </c>
      <c r="K1492" s="24" t="n"/>
      <c r="L1492" s="24" t="n"/>
      <c r="M1492" s="29" t="n"/>
      <c r="N1492" s="28" t="n"/>
      <c r="O1492" s="24" t="n"/>
      <c r="P1492" s="24" t="n"/>
      <c r="Q1492" s="24" t="n"/>
      <c r="R1492" s="24" t="n"/>
      <c r="S1492" s="22">
        <f>IF(AND($A1492="",$C1492=""),"",IF($A1492="","Thiếu mã đơn; ","")&amp;IF(COUNTIF($A$2:$A1492,$A1492)&gt;1,"Trùng mã đơn; ","")&amp;IF(ISNA(MATCH($C1492,DATA_MASTER!$D$2:$D$5000,0)),"SĐT chưa đăng ký hội viên; ","")&amp;IF(AND($L1492="Đã chuyển khoản",$M1492=""),"Thiếu ngày nhận CK; ",""))</f>
        <v/>
      </c>
      <c r="T1492" s="24" t="n"/>
    </row>
    <row r="1493" ht="14.25" customHeight="1" s="40">
      <c r="A1493" s="24" t="n"/>
      <c r="B1493" s="29" t="n"/>
      <c r="C1493" s="28" t="n"/>
      <c r="D1493" s="22">
        <f t="array" ref="D1493">IF($C1493="","",IFERROR(INDEX(DATA_MASTER!$C$2:$C$5000,MATCH($C1493,DATA_MASTER!$D$2:$D$5000,0)),""))</f>
        <v/>
      </c>
      <c r="E1493" s="22">
        <f t="array" ref="E1493">IF($C1493="","",IFERROR(INDEX(DATA_MASTER!$I$2:$I$5000,MATCH($C1493,DATA_MASTER!$D$2:$D$5000,0)),""))</f>
        <v/>
      </c>
      <c r="F1493" s="22">
        <f t="array" ref="F1493">IF($C1493="","",IFERROR(INDEX(DATA_MASTER!$L$2:$L$5000,MATCH($C1493,DATA_MASTER!$D$2:$D$5000,0)),""))</f>
        <v/>
      </c>
      <c r="G1493" s="24" t="n"/>
      <c r="H1493" s="24" t="n"/>
      <c r="I1493" s="30" t="n"/>
      <c r="J1493" s="23">
        <f>IF(OR($H1493="",$I1493=""),"",$H1493*$I1493)</f>
        <v/>
      </c>
      <c r="K1493" s="24" t="n"/>
      <c r="L1493" s="24" t="n"/>
      <c r="M1493" s="29" t="n"/>
      <c r="N1493" s="28" t="n"/>
      <c r="O1493" s="24" t="n"/>
      <c r="P1493" s="24" t="n"/>
      <c r="Q1493" s="24" t="n"/>
      <c r="R1493" s="24" t="n"/>
      <c r="S1493" s="22">
        <f>IF(AND($A1493="",$C1493=""),"",IF($A1493="","Thiếu mã đơn; ","")&amp;IF(COUNTIF($A$2:$A1493,$A1493)&gt;1,"Trùng mã đơn; ","")&amp;IF(ISNA(MATCH($C1493,DATA_MASTER!$D$2:$D$5000,0)),"SĐT chưa đăng ký hội viên; ","")&amp;IF(AND($L1493="Đã chuyển khoản",$M1493=""),"Thiếu ngày nhận CK; ",""))</f>
        <v/>
      </c>
      <c r="T1493" s="24" t="n"/>
    </row>
    <row r="1494" ht="14.25" customHeight="1" s="40">
      <c r="A1494" s="24" t="n"/>
      <c r="B1494" s="29" t="n"/>
      <c r="C1494" s="28" t="n"/>
      <c r="D1494" s="22">
        <f t="array" ref="D1494">IF($C1494="","",IFERROR(INDEX(DATA_MASTER!$C$2:$C$5000,MATCH($C1494,DATA_MASTER!$D$2:$D$5000,0)),""))</f>
        <v/>
      </c>
      <c r="E1494" s="22">
        <f t="array" ref="E1494">IF($C1494="","",IFERROR(INDEX(DATA_MASTER!$I$2:$I$5000,MATCH($C1494,DATA_MASTER!$D$2:$D$5000,0)),""))</f>
        <v/>
      </c>
      <c r="F1494" s="22">
        <f t="array" ref="F1494">IF($C1494="","",IFERROR(INDEX(DATA_MASTER!$L$2:$L$5000,MATCH($C1494,DATA_MASTER!$D$2:$D$5000,0)),""))</f>
        <v/>
      </c>
      <c r="G1494" s="24" t="n"/>
      <c r="H1494" s="24" t="n"/>
      <c r="I1494" s="30" t="n"/>
      <c r="J1494" s="23">
        <f>IF(OR($H1494="",$I1494=""),"",$H1494*$I1494)</f>
        <v/>
      </c>
      <c r="K1494" s="24" t="n"/>
      <c r="L1494" s="24" t="n"/>
      <c r="M1494" s="29" t="n"/>
      <c r="N1494" s="28" t="n"/>
      <c r="O1494" s="24" t="n"/>
      <c r="P1494" s="24" t="n"/>
      <c r="Q1494" s="24" t="n"/>
      <c r="R1494" s="24" t="n"/>
      <c r="S1494" s="22">
        <f>IF(AND($A1494="",$C1494=""),"",IF($A1494="","Thiếu mã đơn; ","")&amp;IF(COUNTIF($A$2:$A1494,$A1494)&gt;1,"Trùng mã đơn; ","")&amp;IF(ISNA(MATCH($C1494,DATA_MASTER!$D$2:$D$5000,0)),"SĐT chưa đăng ký hội viên; ","")&amp;IF(AND($L1494="Đã chuyển khoản",$M1494=""),"Thiếu ngày nhận CK; ",""))</f>
        <v/>
      </c>
      <c r="T1494" s="24" t="n"/>
    </row>
    <row r="1495" ht="14.25" customHeight="1" s="40">
      <c r="A1495" s="24" t="n"/>
      <c r="B1495" s="29" t="n"/>
      <c r="C1495" s="28" t="n"/>
      <c r="D1495" s="22">
        <f t="array" ref="D1495">IF($C1495="","",IFERROR(INDEX(DATA_MASTER!$C$2:$C$5000,MATCH($C1495,DATA_MASTER!$D$2:$D$5000,0)),""))</f>
        <v/>
      </c>
      <c r="E1495" s="22">
        <f t="array" ref="E1495">IF($C1495="","",IFERROR(INDEX(DATA_MASTER!$I$2:$I$5000,MATCH($C1495,DATA_MASTER!$D$2:$D$5000,0)),""))</f>
        <v/>
      </c>
      <c r="F1495" s="22">
        <f t="array" ref="F1495">IF($C1495="","",IFERROR(INDEX(DATA_MASTER!$L$2:$L$5000,MATCH($C1495,DATA_MASTER!$D$2:$D$5000,0)),""))</f>
        <v/>
      </c>
      <c r="G1495" s="24" t="n"/>
      <c r="H1495" s="24" t="n"/>
      <c r="I1495" s="30" t="n"/>
      <c r="J1495" s="23">
        <f>IF(OR($H1495="",$I1495=""),"",$H1495*$I1495)</f>
        <v/>
      </c>
      <c r="K1495" s="24" t="n"/>
      <c r="L1495" s="24" t="n"/>
      <c r="M1495" s="29" t="n"/>
      <c r="N1495" s="28" t="n"/>
      <c r="O1495" s="24" t="n"/>
      <c r="P1495" s="24" t="n"/>
      <c r="Q1495" s="24" t="n"/>
      <c r="R1495" s="24" t="n"/>
      <c r="S1495" s="22">
        <f>IF(AND($A1495="",$C1495=""),"",IF($A1495="","Thiếu mã đơn; ","")&amp;IF(COUNTIF($A$2:$A1495,$A1495)&gt;1,"Trùng mã đơn; ","")&amp;IF(ISNA(MATCH($C1495,DATA_MASTER!$D$2:$D$5000,0)),"SĐT chưa đăng ký hội viên; ","")&amp;IF(AND($L1495="Đã chuyển khoản",$M1495=""),"Thiếu ngày nhận CK; ",""))</f>
        <v/>
      </c>
      <c r="T1495" s="24" t="n"/>
    </row>
    <row r="1496" ht="14.25" customHeight="1" s="40">
      <c r="A1496" s="24" t="n"/>
      <c r="B1496" s="29" t="n"/>
      <c r="C1496" s="28" t="n"/>
      <c r="D1496" s="22">
        <f t="array" ref="D1496">IF($C1496="","",IFERROR(INDEX(DATA_MASTER!$C$2:$C$5000,MATCH($C1496,DATA_MASTER!$D$2:$D$5000,0)),""))</f>
        <v/>
      </c>
      <c r="E1496" s="22">
        <f t="array" ref="E1496">IF($C1496="","",IFERROR(INDEX(DATA_MASTER!$I$2:$I$5000,MATCH($C1496,DATA_MASTER!$D$2:$D$5000,0)),""))</f>
        <v/>
      </c>
      <c r="F1496" s="22">
        <f t="array" ref="F1496">IF($C1496="","",IFERROR(INDEX(DATA_MASTER!$L$2:$L$5000,MATCH($C1496,DATA_MASTER!$D$2:$D$5000,0)),""))</f>
        <v/>
      </c>
      <c r="G1496" s="24" t="n"/>
      <c r="H1496" s="24" t="n"/>
      <c r="I1496" s="30" t="n"/>
      <c r="J1496" s="23">
        <f>IF(OR($H1496="",$I1496=""),"",$H1496*$I1496)</f>
        <v/>
      </c>
      <c r="K1496" s="24" t="n"/>
      <c r="L1496" s="24" t="n"/>
      <c r="M1496" s="29" t="n"/>
      <c r="N1496" s="28" t="n"/>
      <c r="O1496" s="24" t="n"/>
      <c r="P1496" s="24" t="n"/>
      <c r="Q1496" s="24" t="n"/>
      <c r="R1496" s="24" t="n"/>
      <c r="S1496" s="22">
        <f>IF(AND($A1496="",$C1496=""),"",IF($A1496="","Thiếu mã đơn; ","")&amp;IF(COUNTIF($A$2:$A1496,$A1496)&gt;1,"Trùng mã đơn; ","")&amp;IF(ISNA(MATCH($C1496,DATA_MASTER!$D$2:$D$5000,0)),"SĐT chưa đăng ký hội viên; ","")&amp;IF(AND($L1496="Đã chuyển khoản",$M1496=""),"Thiếu ngày nhận CK; ",""))</f>
        <v/>
      </c>
      <c r="T1496" s="24" t="n"/>
    </row>
    <row r="1497" ht="14.25" customHeight="1" s="40">
      <c r="A1497" s="24" t="n"/>
      <c r="B1497" s="29" t="n"/>
      <c r="C1497" s="28" t="n"/>
      <c r="D1497" s="22">
        <f t="array" ref="D1497">IF($C1497="","",IFERROR(INDEX(DATA_MASTER!$C$2:$C$5000,MATCH($C1497,DATA_MASTER!$D$2:$D$5000,0)),""))</f>
        <v/>
      </c>
      <c r="E1497" s="22">
        <f t="array" ref="E1497">IF($C1497="","",IFERROR(INDEX(DATA_MASTER!$I$2:$I$5000,MATCH($C1497,DATA_MASTER!$D$2:$D$5000,0)),""))</f>
        <v/>
      </c>
      <c r="F1497" s="22">
        <f t="array" ref="F1497">IF($C1497="","",IFERROR(INDEX(DATA_MASTER!$L$2:$L$5000,MATCH($C1497,DATA_MASTER!$D$2:$D$5000,0)),""))</f>
        <v/>
      </c>
      <c r="G1497" s="24" t="n"/>
      <c r="H1497" s="24" t="n"/>
      <c r="I1497" s="30" t="n"/>
      <c r="J1497" s="23">
        <f>IF(OR($H1497="",$I1497=""),"",$H1497*$I1497)</f>
        <v/>
      </c>
      <c r="K1497" s="24" t="n"/>
      <c r="L1497" s="24" t="n"/>
      <c r="M1497" s="29" t="n"/>
      <c r="N1497" s="28" t="n"/>
      <c r="O1497" s="24" t="n"/>
      <c r="P1497" s="24" t="n"/>
      <c r="Q1497" s="24" t="n"/>
      <c r="R1497" s="24" t="n"/>
      <c r="S1497" s="22">
        <f>IF(AND($A1497="",$C1497=""),"",IF($A1497="","Thiếu mã đơn; ","")&amp;IF(COUNTIF($A$2:$A1497,$A1497)&gt;1,"Trùng mã đơn; ","")&amp;IF(ISNA(MATCH($C1497,DATA_MASTER!$D$2:$D$5000,0)),"SĐT chưa đăng ký hội viên; ","")&amp;IF(AND($L1497="Đã chuyển khoản",$M1497=""),"Thiếu ngày nhận CK; ",""))</f>
        <v/>
      </c>
      <c r="T1497" s="24" t="n"/>
    </row>
    <row r="1498" ht="14.25" customHeight="1" s="40">
      <c r="A1498" s="24" t="n"/>
      <c r="B1498" s="29" t="n"/>
      <c r="C1498" s="28" t="n"/>
      <c r="D1498" s="22">
        <f t="array" ref="D1498">IF($C1498="","",IFERROR(INDEX(DATA_MASTER!$C$2:$C$5000,MATCH($C1498,DATA_MASTER!$D$2:$D$5000,0)),""))</f>
        <v/>
      </c>
      <c r="E1498" s="22">
        <f t="array" ref="E1498">IF($C1498="","",IFERROR(INDEX(DATA_MASTER!$I$2:$I$5000,MATCH($C1498,DATA_MASTER!$D$2:$D$5000,0)),""))</f>
        <v/>
      </c>
      <c r="F1498" s="22">
        <f t="array" ref="F1498">IF($C1498="","",IFERROR(INDEX(DATA_MASTER!$L$2:$L$5000,MATCH($C1498,DATA_MASTER!$D$2:$D$5000,0)),""))</f>
        <v/>
      </c>
      <c r="G1498" s="24" t="n"/>
      <c r="H1498" s="24" t="n"/>
      <c r="I1498" s="30" t="n"/>
      <c r="J1498" s="23">
        <f>IF(OR($H1498="",$I1498=""),"",$H1498*$I1498)</f>
        <v/>
      </c>
      <c r="K1498" s="24" t="n"/>
      <c r="L1498" s="24" t="n"/>
      <c r="M1498" s="29" t="n"/>
      <c r="N1498" s="28" t="n"/>
      <c r="O1498" s="24" t="n"/>
      <c r="P1498" s="24" t="n"/>
      <c r="Q1498" s="24" t="n"/>
      <c r="R1498" s="24" t="n"/>
      <c r="S1498" s="22">
        <f>IF(AND($A1498="",$C1498=""),"",IF($A1498="","Thiếu mã đơn; ","")&amp;IF(COUNTIF($A$2:$A1498,$A1498)&gt;1,"Trùng mã đơn; ","")&amp;IF(ISNA(MATCH($C1498,DATA_MASTER!$D$2:$D$5000,0)),"SĐT chưa đăng ký hội viên; ","")&amp;IF(AND($L1498="Đã chuyển khoản",$M1498=""),"Thiếu ngày nhận CK; ",""))</f>
        <v/>
      </c>
      <c r="T1498" s="24" t="n"/>
    </row>
    <row r="1499" ht="14.25" customHeight="1" s="40">
      <c r="A1499" s="24" t="n"/>
      <c r="B1499" s="29" t="n"/>
      <c r="C1499" s="28" t="n"/>
      <c r="D1499" s="22">
        <f t="array" ref="D1499">IF($C1499="","",IFERROR(INDEX(DATA_MASTER!$C$2:$C$5000,MATCH($C1499,DATA_MASTER!$D$2:$D$5000,0)),""))</f>
        <v/>
      </c>
      <c r="E1499" s="22">
        <f t="array" ref="E1499">IF($C1499="","",IFERROR(INDEX(DATA_MASTER!$I$2:$I$5000,MATCH($C1499,DATA_MASTER!$D$2:$D$5000,0)),""))</f>
        <v/>
      </c>
      <c r="F1499" s="22">
        <f t="array" ref="F1499">IF($C1499="","",IFERROR(INDEX(DATA_MASTER!$L$2:$L$5000,MATCH($C1499,DATA_MASTER!$D$2:$D$5000,0)),""))</f>
        <v/>
      </c>
      <c r="G1499" s="24" t="n"/>
      <c r="H1499" s="24" t="n"/>
      <c r="I1499" s="30" t="n"/>
      <c r="J1499" s="23">
        <f>IF(OR($H1499="",$I1499=""),"",$H1499*$I1499)</f>
        <v/>
      </c>
      <c r="K1499" s="24" t="n"/>
      <c r="L1499" s="24" t="n"/>
      <c r="M1499" s="29" t="n"/>
      <c r="N1499" s="28" t="n"/>
      <c r="O1499" s="24" t="n"/>
      <c r="P1499" s="24" t="n"/>
      <c r="Q1499" s="24" t="n"/>
      <c r="R1499" s="24" t="n"/>
      <c r="S1499" s="22">
        <f>IF(AND($A1499="",$C1499=""),"",IF($A1499="","Thiếu mã đơn; ","")&amp;IF(COUNTIF($A$2:$A1499,$A1499)&gt;1,"Trùng mã đơn; ","")&amp;IF(ISNA(MATCH($C1499,DATA_MASTER!$D$2:$D$5000,0)),"SĐT chưa đăng ký hội viên; ","")&amp;IF(AND($L1499="Đã chuyển khoản",$M1499=""),"Thiếu ngày nhận CK; ",""))</f>
        <v/>
      </c>
      <c r="T1499" s="24" t="n"/>
    </row>
    <row r="1500" ht="14.25" customHeight="1" s="40">
      <c r="A1500" s="24" t="n"/>
      <c r="B1500" s="29" t="n"/>
      <c r="C1500" s="28" t="n"/>
      <c r="D1500" s="22">
        <f t="array" ref="D1500">IF($C1500="","",IFERROR(INDEX(DATA_MASTER!$C$2:$C$5000,MATCH($C1500,DATA_MASTER!$D$2:$D$5000,0)),""))</f>
        <v/>
      </c>
      <c r="E1500" s="22">
        <f t="array" ref="E1500">IF($C1500="","",IFERROR(INDEX(DATA_MASTER!$I$2:$I$5000,MATCH($C1500,DATA_MASTER!$D$2:$D$5000,0)),""))</f>
        <v/>
      </c>
      <c r="F1500" s="22">
        <f t="array" ref="F1500">IF($C1500="","",IFERROR(INDEX(DATA_MASTER!$L$2:$L$5000,MATCH($C1500,DATA_MASTER!$D$2:$D$5000,0)),""))</f>
        <v/>
      </c>
      <c r="G1500" s="24" t="n"/>
      <c r="H1500" s="24" t="n"/>
      <c r="I1500" s="30" t="n"/>
      <c r="J1500" s="23">
        <f>IF(OR($H1500="",$I1500=""),"",$H1500*$I1500)</f>
        <v/>
      </c>
      <c r="K1500" s="24" t="n"/>
      <c r="L1500" s="24" t="n"/>
      <c r="M1500" s="29" t="n"/>
      <c r="N1500" s="28" t="n"/>
      <c r="O1500" s="24" t="n"/>
      <c r="P1500" s="24" t="n"/>
      <c r="Q1500" s="24" t="n"/>
      <c r="R1500" s="24" t="n"/>
      <c r="S1500" s="22">
        <f>IF(AND($A1500="",$C1500=""),"",IF($A1500="","Thiếu mã đơn; ","")&amp;IF(COUNTIF($A$2:$A1500,$A1500)&gt;1,"Trùng mã đơn; ","")&amp;IF(ISNA(MATCH($C1500,DATA_MASTER!$D$2:$D$5000,0)),"SĐT chưa đăng ký hội viên; ","")&amp;IF(AND($L1500="Đã chuyển khoản",$M1500=""),"Thiếu ngày nhận CK; ",""))</f>
        <v/>
      </c>
      <c r="T1500" s="24" t="n"/>
    </row>
    <row r="1501" ht="14.25" customHeight="1" s="40">
      <c r="A1501" s="24" t="n"/>
      <c r="B1501" s="29" t="n"/>
      <c r="C1501" s="28" t="n"/>
      <c r="D1501" s="22">
        <f t="array" ref="D1501">IF($C1501="","",IFERROR(INDEX(DATA_MASTER!$C$2:$C$5000,MATCH($C1501,DATA_MASTER!$D$2:$D$5000,0)),""))</f>
        <v/>
      </c>
      <c r="E1501" s="22">
        <f t="array" ref="E1501">IF($C1501="","",IFERROR(INDEX(DATA_MASTER!$I$2:$I$5000,MATCH($C1501,DATA_MASTER!$D$2:$D$5000,0)),""))</f>
        <v/>
      </c>
      <c r="F1501" s="22">
        <f t="array" ref="F1501">IF($C1501="","",IFERROR(INDEX(DATA_MASTER!$L$2:$L$5000,MATCH($C1501,DATA_MASTER!$D$2:$D$5000,0)),""))</f>
        <v/>
      </c>
      <c r="G1501" s="24" t="n"/>
      <c r="H1501" s="24" t="n"/>
      <c r="I1501" s="30" t="n"/>
      <c r="J1501" s="23">
        <f>IF(OR($H1501="",$I1501=""),"",$H1501*$I1501)</f>
        <v/>
      </c>
      <c r="K1501" s="24" t="n"/>
      <c r="L1501" s="24" t="n"/>
      <c r="M1501" s="29" t="n"/>
      <c r="N1501" s="28" t="n"/>
      <c r="O1501" s="24" t="n"/>
      <c r="P1501" s="24" t="n"/>
      <c r="Q1501" s="24" t="n"/>
      <c r="R1501" s="24" t="n"/>
      <c r="S1501" s="22">
        <f>IF(AND($A1501="",$C1501=""),"",IF($A1501="","Thiếu mã đơn; ","")&amp;IF(COUNTIF($A$2:$A1501,$A1501)&gt;1,"Trùng mã đơn; ","")&amp;IF(ISNA(MATCH($C1501,DATA_MASTER!$D$2:$D$5000,0)),"SĐT chưa đăng ký hội viên; ","")&amp;IF(AND($L1501="Đã chuyển khoản",$M1501=""),"Thiếu ngày nhận CK; ",""))</f>
        <v/>
      </c>
      <c r="T1501" s="24" t="n"/>
    </row>
    <row r="1502" ht="14.25" customHeight="1" s="40">
      <c r="A1502" s="24" t="n"/>
      <c r="B1502" s="29" t="n"/>
      <c r="C1502" s="28" t="n"/>
      <c r="D1502" s="22">
        <f t="array" ref="D1502">IF($C1502="","",IFERROR(INDEX(DATA_MASTER!$C$2:$C$5000,MATCH($C1502,DATA_MASTER!$D$2:$D$5000,0)),""))</f>
        <v/>
      </c>
      <c r="E1502" s="22">
        <f t="array" ref="E1502">IF($C1502="","",IFERROR(INDEX(DATA_MASTER!$I$2:$I$5000,MATCH($C1502,DATA_MASTER!$D$2:$D$5000,0)),""))</f>
        <v/>
      </c>
      <c r="F1502" s="22">
        <f t="array" ref="F1502">IF($C1502="","",IFERROR(INDEX(DATA_MASTER!$L$2:$L$5000,MATCH($C1502,DATA_MASTER!$D$2:$D$5000,0)),""))</f>
        <v/>
      </c>
      <c r="G1502" s="24" t="n"/>
      <c r="H1502" s="24" t="n"/>
      <c r="I1502" s="30" t="n"/>
      <c r="J1502" s="23">
        <f>IF(OR($H1502="",$I1502=""),"",$H1502*$I1502)</f>
        <v/>
      </c>
      <c r="K1502" s="24" t="n"/>
      <c r="L1502" s="24" t="n"/>
      <c r="M1502" s="29" t="n"/>
      <c r="N1502" s="28" t="n"/>
      <c r="O1502" s="24" t="n"/>
      <c r="P1502" s="24" t="n"/>
      <c r="Q1502" s="24" t="n"/>
      <c r="R1502" s="24" t="n"/>
      <c r="S1502" s="22">
        <f>IF(AND($A1502="",$C1502=""),"",IF($A1502="","Thiếu mã đơn; ","")&amp;IF(COUNTIF($A$2:$A1502,$A1502)&gt;1,"Trùng mã đơn; ","")&amp;IF(ISNA(MATCH($C1502,DATA_MASTER!$D$2:$D$5000,0)),"SĐT chưa đăng ký hội viên; ","")&amp;IF(AND($L1502="Đã chuyển khoản",$M1502=""),"Thiếu ngày nhận CK; ",""))</f>
        <v/>
      </c>
      <c r="T1502" s="24" t="n"/>
    </row>
    <row r="1503" ht="14.25" customHeight="1" s="40">
      <c r="A1503" s="24" t="n"/>
      <c r="B1503" s="29" t="n"/>
      <c r="C1503" s="28" t="n"/>
      <c r="D1503" s="22">
        <f t="array" ref="D1503">IF($C1503="","",IFERROR(INDEX(DATA_MASTER!$C$2:$C$5000,MATCH($C1503,DATA_MASTER!$D$2:$D$5000,0)),""))</f>
        <v/>
      </c>
      <c r="E1503" s="22">
        <f t="array" ref="E1503">IF($C1503="","",IFERROR(INDEX(DATA_MASTER!$I$2:$I$5000,MATCH($C1503,DATA_MASTER!$D$2:$D$5000,0)),""))</f>
        <v/>
      </c>
      <c r="F1503" s="22">
        <f t="array" ref="F1503">IF($C1503="","",IFERROR(INDEX(DATA_MASTER!$L$2:$L$5000,MATCH($C1503,DATA_MASTER!$D$2:$D$5000,0)),""))</f>
        <v/>
      </c>
      <c r="G1503" s="24" t="n"/>
      <c r="H1503" s="24" t="n"/>
      <c r="I1503" s="30" t="n"/>
      <c r="J1503" s="23">
        <f>IF(OR($H1503="",$I1503=""),"",$H1503*$I1503)</f>
        <v/>
      </c>
      <c r="K1503" s="24" t="n"/>
      <c r="L1503" s="24" t="n"/>
      <c r="M1503" s="29" t="n"/>
      <c r="N1503" s="28" t="n"/>
      <c r="O1503" s="24" t="n"/>
      <c r="P1503" s="24" t="n"/>
      <c r="Q1503" s="24" t="n"/>
      <c r="R1503" s="24" t="n"/>
      <c r="S1503" s="22">
        <f>IF(AND($A1503="",$C1503=""),"",IF($A1503="","Thiếu mã đơn; ","")&amp;IF(COUNTIF($A$2:$A1503,$A1503)&gt;1,"Trùng mã đơn; ","")&amp;IF(ISNA(MATCH($C1503,DATA_MASTER!$D$2:$D$5000,0)),"SĐT chưa đăng ký hội viên; ","")&amp;IF(AND($L1503="Đã chuyển khoản",$M1503=""),"Thiếu ngày nhận CK; ",""))</f>
        <v/>
      </c>
      <c r="T1503" s="24" t="n"/>
    </row>
    <row r="1504" ht="14.25" customHeight="1" s="40">
      <c r="A1504" s="24" t="n"/>
      <c r="B1504" s="29" t="n"/>
      <c r="C1504" s="28" t="n"/>
      <c r="D1504" s="22">
        <f t="array" ref="D1504">IF($C1504="","",IFERROR(INDEX(DATA_MASTER!$C$2:$C$5000,MATCH($C1504,DATA_MASTER!$D$2:$D$5000,0)),""))</f>
        <v/>
      </c>
      <c r="E1504" s="22">
        <f t="array" ref="E1504">IF($C1504="","",IFERROR(INDEX(DATA_MASTER!$I$2:$I$5000,MATCH($C1504,DATA_MASTER!$D$2:$D$5000,0)),""))</f>
        <v/>
      </c>
      <c r="F1504" s="22">
        <f t="array" ref="F1504">IF($C1504="","",IFERROR(INDEX(DATA_MASTER!$L$2:$L$5000,MATCH($C1504,DATA_MASTER!$D$2:$D$5000,0)),""))</f>
        <v/>
      </c>
      <c r="G1504" s="24" t="n"/>
      <c r="H1504" s="24" t="n"/>
      <c r="I1504" s="30" t="n"/>
      <c r="J1504" s="23">
        <f>IF(OR($H1504="",$I1504=""),"",$H1504*$I1504)</f>
        <v/>
      </c>
      <c r="K1504" s="24" t="n"/>
      <c r="L1504" s="24" t="n"/>
      <c r="M1504" s="29" t="n"/>
      <c r="N1504" s="28" t="n"/>
      <c r="O1504" s="24" t="n"/>
      <c r="P1504" s="24" t="n"/>
      <c r="Q1504" s="24" t="n"/>
      <c r="R1504" s="24" t="n"/>
      <c r="S1504" s="22">
        <f>IF(AND($A1504="",$C1504=""),"",IF($A1504="","Thiếu mã đơn; ","")&amp;IF(COUNTIF($A$2:$A1504,$A1504)&gt;1,"Trùng mã đơn; ","")&amp;IF(ISNA(MATCH($C1504,DATA_MASTER!$D$2:$D$5000,0)),"SĐT chưa đăng ký hội viên; ","")&amp;IF(AND($L1504="Đã chuyển khoản",$M1504=""),"Thiếu ngày nhận CK; ",""))</f>
        <v/>
      </c>
      <c r="T1504" s="24" t="n"/>
    </row>
    <row r="1505" ht="14.25" customHeight="1" s="40">
      <c r="A1505" s="24" t="n"/>
      <c r="B1505" s="29" t="n"/>
      <c r="C1505" s="28" t="n"/>
      <c r="D1505" s="22">
        <f t="array" ref="D1505">IF($C1505="","",IFERROR(INDEX(DATA_MASTER!$C$2:$C$5000,MATCH($C1505,DATA_MASTER!$D$2:$D$5000,0)),""))</f>
        <v/>
      </c>
      <c r="E1505" s="22">
        <f t="array" ref="E1505">IF($C1505="","",IFERROR(INDEX(DATA_MASTER!$I$2:$I$5000,MATCH($C1505,DATA_MASTER!$D$2:$D$5000,0)),""))</f>
        <v/>
      </c>
      <c r="F1505" s="22">
        <f t="array" ref="F1505">IF($C1505="","",IFERROR(INDEX(DATA_MASTER!$L$2:$L$5000,MATCH($C1505,DATA_MASTER!$D$2:$D$5000,0)),""))</f>
        <v/>
      </c>
      <c r="G1505" s="24" t="n"/>
      <c r="H1505" s="24" t="n"/>
      <c r="I1505" s="30" t="n"/>
      <c r="J1505" s="23">
        <f>IF(OR($H1505="",$I1505=""),"",$H1505*$I1505)</f>
        <v/>
      </c>
      <c r="K1505" s="24" t="n"/>
      <c r="L1505" s="24" t="n"/>
      <c r="M1505" s="29" t="n"/>
      <c r="N1505" s="28" t="n"/>
      <c r="O1505" s="24" t="n"/>
      <c r="P1505" s="24" t="n"/>
      <c r="Q1505" s="24" t="n"/>
      <c r="R1505" s="24" t="n"/>
      <c r="S1505" s="22">
        <f>IF(AND($A1505="",$C1505=""),"",IF($A1505="","Thiếu mã đơn; ","")&amp;IF(COUNTIF($A$2:$A1505,$A1505)&gt;1,"Trùng mã đơn; ","")&amp;IF(ISNA(MATCH($C1505,DATA_MASTER!$D$2:$D$5000,0)),"SĐT chưa đăng ký hội viên; ","")&amp;IF(AND($L1505="Đã chuyển khoản",$M1505=""),"Thiếu ngày nhận CK; ",""))</f>
        <v/>
      </c>
      <c r="T1505" s="24" t="n"/>
    </row>
    <row r="1506" ht="14.25" customHeight="1" s="40">
      <c r="A1506" s="24" t="n"/>
      <c r="B1506" s="29" t="n"/>
      <c r="C1506" s="28" t="n"/>
      <c r="D1506" s="22">
        <f t="array" ref="D1506">IF($C1506="","",IFERROR(INDEX(DATA_MASTER!$C$2:$C$5000,MATCH($C1506,DATA_MASTER!$D$2:$D$5000,0)),""))</f>
        <v/>
      </c>
      <c r="E1506" s="22">
        <f t="array" ref="E1506">IF($C1506="","",IFERROR(INDEX(DATA_MASTER!$I$2:$I$5000,MATCH($C1506,DATA_MASTER!$D$2:$D$5000,0)),""))</f>
        <v/>
      </c>
      <c r="F1506" s="22">
        <f t="array" ref="F1506">IF($C1506="","",IFERROR(INDEX(DATA_MASTER!$L$2:$L$5000,MATCH($C1506,DATA_MASTER!$D$2:$D$5000,0)),""))</f>
        <v/>
      </c>
      <c r="G1506" s="24" t="n"/>
      <c r="H1506" s="24" t="n"/>
      <c r="I1506" s="30" t="n"/>
      <c r="J1506" s="23">
        <f>IF(OR($H1506="",$I1506=""),"",$H1506*$I1506)</f>
        <v/>
      </c>
      <c r="K1506" s="24" t="n"/>
      <c r="L1506" s="24" t="n"/>
      <c r="M1506" s="29" t="n"/>
      <c r="N1506" s="28" t="n"/>
      <c r="O1506" s="24" t="n"/>
      <c r="P1506" s="24" t="n"/>
      <c r="Q1506" s="24" t="n"/>
      <c r="R1506" s="24" t="n"/>
      <c r="S1506" s="22">
        <f>IF(AND($A1506="",$C1506=""),"",IF($A1506="","Thiếu mã đơn; ","")&amp;IF(COUNTIF($A$2:$A1506,$A1506)&gt;1,"Trùng mã đơn; ","")&amp;IF(ISNA(MATCH($C1506,DATA_MASTER!$D$2:$D$5000,0)),"SĐT chưa đăng ký hội viên; ","")&amp;IF(AND($L1506="Đã chuyển khoản",$M1506=""),"Thiếu ngày nhận CK; ",""))</f>
        <v/>
      </c>
      <c r="T1506" s="24" t="n"/>
    </row>
    <row r="1507" ht="14.25" customHeight="1" s="40">
      <c r="A1507" s="24" t="n"/>
      <c r="B1507" s="29" t="n"/>
      <c r="C1507" s="28" t="n"/>
      <c r="D1507" s="22">
        <f t="array" ref="D1507">IF($C1507="","",IFERROR(INDEX(DATA_MASTER!$C$2:$C$5000,MATCH($C1507,DATA_MASTER!$D$2:$D$5000,0)),""))</f>
        <v/>
      </c>
      <c r="E1507" s="22">
        <f t="array" ref="E1507">IF($C1507="","",IFERROR(INDEX(DATA_MASTER!$I$2:$I$5000,MATCH($C1507,DATA_MASTER!$D$2:$D$5000,0)),""))</f>
        <v/>
      </c>
      <c r="F1507" s="22">
        <f t="array" ref="F1507">IF($C1507="","",IFERROR(INDEX(DATA_MASTER!$L$2:$L$5000,MATCH($C1507,DATA_MASTER!$D$2:$D$5000,0)),""))</f>
        <v/>
      </c>
      <c r="G1507" s="24" t="n"/>
      <c r="H1507" s="24" t="n"/>
      <c r="I1507" s="30" t="n"/>
      <c r="J1507" s="23">
        <f>IF(OR($H1507="",$I1507=""),"",$H1507*$I1507)</f>
        <v/>
      </c>
      <c r="K1507" s="24" t="n"/>
      <c r="L1507" s="24" t="n"/>
      <c r="M1507" s="29" t="n"/>
      <c r="N1507" s="28" t="n"/>
      <c r="O1507" s="24" t="n"/>
      <c r="P1507" s="24" t="n"/>
      <c r="Q1507" s="24" t="n"/>
      <c r="R1507" s="24" t="n"/>
      <c r="S1507" s="22">
        <f>IF(AND($A1507="",$C1507=""),"",IF($A1507="","Thiếu mã đơn; ","")&amp;IF(COUNTIF($A$2:$A1507,$A1507)&gt;1,"Trùng mã đơn; ","")&amp;IF(ISNA(MATCH($C1507,DATA_MASTER!$D$2:$D$5000,0)),"SĐT chưa đăng ký hội viên; ","")&amp;IF(AND($L1507="Đã chuyển khoản",$M1507=""),"Thiếu ngày nhận CK; ",""))</f>
        <v/>
      </c>
      <c r="T1507" s="24" t="n"/>
    </row>
    <row r="1508" ht="14.25" customHeight="1" s="40">
      <c r="A1508" s="24" t="n"/>
      <c r="B1508" s="29" t="n"/>
      <c r="C1508" s="28" t="n"/>
      <c r="D1508" s="22">
        <f t="array" ref="D1508">IF($C1508="","",IFERROR(INDEX(DATA_MASTER!$C$2:$C$5000,MATCH($C1508,DATA_MASTER!$D$2:$D$5000,0)),""))</f>
        <v/>
      </c>
      <c r="E1508" s="22">
        <f t="array" ref="E1508">IF($C1508="","",IFERROR(INDEX(DATA_MASTER!$I$2:$I$5000,MATCH($C1508,DATA_MASTER!$D$2:$D$5000,0)),""))</f>
        <v/>
      </c>
      <c r="F1508" s="22">
        <f t="array" ref="F1508">IF($C1508="","",IFERROR(INDEX(DATA_MASTER!$L$2:$L$5000,MATCH($C1508,DATA_MASTER!$D$2:$D$5000,0)),""))</f>
        <v/>
      </c>
      <c r="G1508" s="24" t="n"/>
      <c r="H1508" s="24" t="n"/>
      <c r="I1508" s="30" t="n"/>
      <c r="J1508" s="23">
        <f>IF(OR($H1508="",$I1508=""),"",$H1508*$I1508)</f>
        <v/>
      </c>
      <c r="K1508" s="24" t="n"/>
      <c r="L1508" s="24" t="n"/>
      <c r="M1508" s="29" t="n"/>
      <c r="N1508" s="28" t="n"/>
      <c r="O1508" s="24" t="n"/>
      <c r="P1508" s="24" t="n"/>
      <c r="Q1508" s="24" t="n"/>
      <c r="R1508" s="24" t="n"/>
      <c r="S1508" s="22">
        <f>IF(AND($A1508="",$C1508=""),"",IF($A1508="","Thiếu mã đơn; ","")&amp;IF(COUNTIF($A$2:$A1508,$A1508)&gt;1,"Trùng mã đơn; ","")&amp;IF(ISNA(MATCH($C1508,DATA_MASTER!$D$2:$D$5000,0)),"SĐT chưa đăng ký hội viên; ","")&amp;IF(AND($L1508="Đã chuyển khoản",$M1508=""),"Thiếu ngày nhận CK; ",""))</f>
        <v/>
      </c>
      <c r="T1508" s="24" t="n"/>
    </row>
    <row r="1509" ht="14.25" customHeight="1" s="40">
      <c r="A1509" s="24" t="n"/>
      <c r="B1509" s="29" t="n"/>
      <c r="C1509" s="28" t="n"/>
      <c r="D1509" s="22">
        <f t="array" ref="D1509">IF($C1509="","",IFERROR(INDEX(DATA_MASTER!$C$2:$C$5000,MATCH($C1509,DATA_MASTER!$D$2:$D$5000,0)),""))</f>
        <v/>
      </c>
      <c r="E1509" s="22">
        <f t="array" ref="E1509">IF($C1509="","",IFERROR(INDEX(DATA_MASTER!$I$2:$I$5000,MATCH($C1509,DATA_MASTER!$D$2:$D$5000,0)),""))</f>
        <v/>
      </c>
      <c r="F1509" s="22">
        <f t="array" ref="F1509">IF($C1509="","",IFERROR(INDEX(DATA_MASTER!$L$2:$L$5000,MATCH($C1509,DATA_MASTER!$D$2:$D$5000,0)),""))</f>
        <v/>
      </c>
      <c r="G1509" s="24" t="n"/>
      <c r="H1509" s="24" t="n"/>
      <c r="I1509" s="30" t="n"/>
      <c r="J1509" s="23">
        <f>IF(OR($H1509="",$I1509=""),"",$H1509*$I1509)</f>
        <v/>
      </c>
      <c r="K1509" s="24" t="n"/>
      <c r="L1509" s="24" t="n"/>
      <c r="M1509" s="29" t="n"/>
      <c r="N1509" s="28" t="n"/>
      <c r="O1509" s="24" t="n"/>
      <c r="P1509" s="24" t="n"/>
      <c r="Q1509" s="24" t="n"/>
      <c r="R1509" s="24" t="n"/>
      <c r="S1509" s="22">
        <f>IF(AND($A1509="",$C1509=""),"",IF($A1509="","Thiếu mã đơn; ","")&amp;IF(COUNTIF($A$2:$A1509,$A1509)&gt;1,"Trùng mã đơn; ","")&amp;IF(ISNA(MATCH($C1509,DATA_MASTER!$D$2:$D$5000,0)),"SĐT chưa đăng ký hội viên; ","")&amp;IF(AND($L1509="Đã chuyển khoản",$M1509=""),"Thiếu ngày nhận CK; ",""))</f>
        <v/>
      </c>
      <c r="T1509" s="24" t="n"/>
    </row>
    <row r="1510" ht="14.25" customHeight="1" s="40">
      <c r="A1510" s="24" t="n"/>
      <c r="B1510" s="29" t="n"/>
      <c r="C1510" s="28" t="n"/>
      <c r="D1510" s="22">
        <f t="array" ref="D1510">IF($C1510="","",IFERROR(INDEX(DATA_MASTER!$C$2:$C$5000,MATCH($C1510,DATA_MASTER!$D$2:$D$5000,0)),""))</f>
        <v/>
      </c>
      <c r="E1510" s="22">
        <f t="array" ref="E1510">IF($C1510="","",IFERROR(INDEX(DATA_MASTER!$I$2:$I$5000,MATCH($C1510,DATA_MASTER!$D$2:$D$5000,0)),""))</f>
        <v/>
      </c>
      <c r="F1510" s="22">
        <f t="array" ref="F1510">IF($C1510="","",IFERROR(INDEX(DATA_MASTER!$L$2:$L$5000,MATCH($C1510,DATA_MASTER!$D$2:$D$5000,0)),""))</f>
        <v/>
      </c>
      <c r="G1510" s="24" t="n"/>
      <c r="H1510" s="24" t="n"/>
      <c r="I1510" s="30" t="n"/>
      <c r="J1510" s="23">
        <f>IF(OR($H1510="",$I1510=""),"",$H1510*$I1510)</f>
        <v/>
      </c>
      <c r="K1510" s="24" t="n"/>
      <c r="L1510" s="24" t="n"/>
      <c r="M1510" s="29" t="n"/>
      <c r="N1510" s="28" t="n"/>
      <c r="O1510" s="24" t="n"/>
      <c r="P1510" s="24" t="n"/>
      <c r="Q1510" s="24" t="n"/>
      <c r="R1510" s="24" t="n"/>
      <c r="S1510" s="22">
        <f>IF(AND($A1510="",$C1510=""),"",IF($A1510="","Thiếu mã đơn; ","")&amp;IF(COUNTIF($A$2:$A1510,$A1510)&gt;1,"Trùng mã đơn; ","")&amp;IF(ISNA(MATCH($C1510,DATA_MASTER!$D$2:$D$5000,0)),"SĐT chưa đăng ký hội viên; ","")&amp;IF(AND($L1510="Đã chuyển khoản",$M1510=""),"Thiếu ngày nhận CK; ",""))</f>
        <v/>
      </c>
      <c r="T1510" s="24" t="n"/>
    </row>
    <row r="1511" ht="14.25" customHeight="1" s="40">
      <c r="A1511" s="24" t="n"/>
      <c r="B1511" s="29" t="n"/>
      <c r="C1511" s="28" t="n"/>
      <c r="D1511" s="22">
        <f t="array" ref="D1511">IF($C1511="","",IFERROR(INDEX(DATA_MASTER!$C$2:$C$5000,MATCH($C1511,DATA_MASTER!$D$2:$D$5000,0)),""))</f>
        <v/>
      </c>
      <c r="E1511" s="22">
        <f t="array" ref="E1511">IF($C1511="","",IFERROR(INDEX(DATA_MASTER!$I$2:$I$5000,MATCH($C1511,DATA_MASTER!$D$2:$D$5000,0)),""))</f>
        <v/>
      </c>
      <c r="F1511" s="22">
        <f t="array" ref="F1511">IF($C1511="","",IFERROR(INDEX(DATA_MASTER!$L$2:$L$5000,MATCH($C1511,DATA_MASTER!$D$2:$D$5000,0)),""))</f>
        <v/>
      </c>
      <c r="G1511" s="24" t="n"/>
      <c r="H1511" s="24" t="n"/>
      <c r="I1511" s="30" t="n"/>
      <c r="J1511" s="23">
        <f>IF(OR($H1511="",$I1511=""),"",$H1511*$I1511)</f>
        <v/>
      </c>
      <c r="K1511" s="24" t="n"/>
      <c r="L1511" s="24" t="n"/>
      <c r="M1511" s="29" t="n"/>
      <c r="N1511" s="28" t="n"/>
      <c r="O1511" s="24" t="n"/>
      <c r="P1511" s="24" t="n"/>
      <c r="Q1511" s="24" t="n"/>
      <c r="R1511" s="24" t="n"/>
      <c r="S1511" s="22">
        <f>IF(AND($A1511="",$C1511=""),"",IF($A1511="","Thiếu mã đơn; ","")&amp;IF(COUNTIF($A$2:$A1511,$A1511)&gt;1,"Trùng mã đơn; ","")&amp;IF(ISNA(MATCH($C1511,DATA_MASTER!$D$2:$D$5000,0)),"SĐT chưa đăng ký hội viên; ","")&amp;IF(AND($L1511="Đã chuyển khoản",$M1511=""),"Thiếu ngày nhận CK; ",""))</f>
        <v/>
      </c>
      <c r="T1511" s="24" t="n"/>
    </row>
    <row r="1512" ht="14.25" customHeight="1" s="40">
      <c r="A1512" s="24" t="n"/>
      <c r="B1512" s="29" t="n"/>
      <c r="C1512" s="28" t="n"/>
      <c r="D1512" s="22">
        <f t="array" ref="D1512">IF($C1512="","",IFERROR(INDEX(DATA_MASTER!$C$2:$C$5000,MATCH($C1512,DATA_MASTER!$D$2:$D$5000,0)),""))</f>
        <v/>
      </c>
      <c r="E1512" s="22">
        <f t="array" ref="E1512">IF($C1512="","",IFERROR(INDEX(DATA_MASTER!$I$2:$I$5000,MATCH($C1512,DATA_MASTER!$D$2:$D$5000,0)),""))</f>
        <v/>
      </c>
      <c r="F1512" s="22">
        <f t="array" ref="F1512">IF($C1512="","",IFERROR(INDEX(DATA_MASTER!$L$2:$L$5000,MATCH($C1512,DATA_MASTER!$D$2:$D$5000,0)),""))</f>
        <v/>
      </c>
      <c r="G1512" s="24" t="n"/>
      <c r="H1512" s="24" t="n"/>
      <c r="I1512" s="30" t="n"/>
      <c r="J1512" s="23">
        <f>IF(OR($H1512="",$I1512=""),"",$H1512*$I1512)</f>
        <v/>
      </c>
      <c r="K1512" s="24" t="n"/>
      <c r="L1512" s="24" t="n"/>
      <c r="M1512" s="29" t="n"/>
      <c r="N1512" s="28" t="n"/>
      <c r="O1512" s="24" t="n"/>
      <c r="P1512" s="24" t="n"/>
      <c r="Q1512" s="24" t="n"/>
      <c r="R1512" s="24" t="n"/>
      <c r="S1512" s="22">
        <f>IF(AND($A1512="",$C1512=""),"",IF($A1512="","Thiếu mã đơn; ","")&amp;IF(COUNTIF($A$2:$A1512,$A1512)&gt;1,"Trùng mã đơn; ","")&amp;IF(ISNA(MATCH($C1512,DATA_MASTER!$D$2:$D$5000,0)),"SĐT chưa đăng ký hội viên; ","")&amp;IF(AND($L1512="Đã chuyển khoản",$M1512=""),"Thiếu ngày nhận CK; ",""))</f>
        <v/>
      </c>
      <c r="T1512" s="24" t="n"/>
    </row>
    <row r="1513" ht="14.25" customHeight="1" s="40">
      <c r="A1513" s="24" t="n"/>
      <c r="B1513" s="29" t="n"/>
      <c r="C1513" s="28" t="n"/>
      <c r="D1513" s="22">
        <f t="array" ref="D1513">IF($C1513="","",IFERROR(INDEX(DATA_MASTER!$C$2:$C$5000,MATCH($C1513,DATA_MASTER!$D$2:$D$5000,0)),""))</f>
        <v/>
      </c>
      <c r="E1513" s="22">
        <f t="array" ref="E1513">IF($C1513="","",IFERROR(INDEX(DATA_MASTER!$I$2:$I$5000,MATCH($C1513,DATA_MASTER!$D$2:$D$5000,0)),""))</f>
        <v/>
      </c>
      <c r="F1513" s="22">
        <f t="array" ref="F1513">IF($C1513="","",IFERROR(INDEX(DATA_MASTER!$L$2:$L$5000,MATCH($C1513,DATA_MASTER!$D$2:$D$5000,0)),""))</f>
        <v/>
      </c>
      <c r="G1513" s="24" t="n"/>
      <c r="H1513" s="24" t="n"/>
      <c r="I1513" s="30" t="n"/>
      <c r="J1513" s="23">
        <f>IF(OR($H1513="",$I1513=""),"",$H1513*$I1513)</f>
        <v/>
      </c>
      <c r="K1513" s="24" t="n"/>
      <c r="L1513" s="24" t="n"/>
      <c r="M1513" s="29" t="n"/>
      <c r="N1513" s="28" t="n"/>
      <c r="O1513" s="24" t="n"/>
      <c r="P1513" s="24" t="n"/>
      <c r="Q1513" s="24" t="n"/>
      <c r="R1513" s="24" t="n"/>
      <c r="S1513" s="22">
        <f>IF(AND($A1513="",$C1513=""),"",IF($A1513="","Thiếu mã đơn; ","")&amp;IF(COUNTIF($A$2:$A1513,$A1513)&gt;1,"Trùng mã đơn; ","")&amp;IF(ISNA(MATCH($C1513,DATA_MASTER!$D$2:$D$5000,0)),"SĐT chưa đăng ký hội viên; ","")&amp;IF(AND($L1513="Đã chuyển khoản",$M1513=""),"Thiếu ngày nhận CK; ",""))</f>
        <v/>
      </c>
      <c r="T1513" s="24" t="n"/>
    </row>
    <row r="1514" ht="14.25" customHeight="1" s="40">
      <c r="A1514" s="24" t="n"/>
      <c r="B1514" s="29" t="n"/>
      <c r="C1514" s="28" t="n"/>
      <c r="D1514" s="22">
        <f t="array" ref="D1514">IF($C1514="","",IFERROR(INDEX(DATA_MASTER!$C$2:$C$5000,MATCH($C1514,DATA_MASTER!$D$2:$D$5000,0)),""))</f>
        <v/>
      </c>
      <c r="E1514" s="22">
        <f t="array" ref="E1514">IF($C1514="","",IFERROR(INDEX(DATA_MASTER!$I$2:$I$5000,MATCH($C1514,DATA_MASTER!$D$2:$D$5000,0)),""))</f>
        <v/>
      </c>
      <c r="F1514" s="22">
        <f t="array" ref="F1514">IF($C1514="","",IFERROR(INDEX(DATA_MASTER!$L$2:$L$5000,MATCH($C1514,DATA_MASTER!$D$2:$D$5000,0)),""))</f>
        <v/>
      </c>
      <c r="G1514" s="24" t="n"/>
      <c r="H1514" s="24" t="n"/>
      <c r="I1514" s="30" t="n"/>
      <c r="J1514" s="23">
        <f>IF(OR($H1514="",$I1514=""),"",$H1514*$I1514)</f>
        <v/>
      </c>
      <c r="K1514" s="24" t="n"/>
      <c r="L1514" s="24" t="n"/>
      <c r="M1514" s="29" t="n"/>
      <c r="N1514" s="28" t="n"/>
      <c r="O1514" s="24" t="n"/>
      <c r="P1514" s="24" t="n"/>
      <c r="Q1514" s="24" t="n"/>
      <c r="R1514" s="24" t="n"/>
      <c r="S1514" s="22">
        <f>IF(AND($A1514="",$C1514=""),"",IF($A1514="","Thiếu mã đơn; ","")&amp;IF(COUNTIF($A$2:$A1514,$A1514)&gt;1,"Trùng mã đơn; ","")&amp;IF(ISNA(MATCH($C1514,DATA_MASTER!$D$2:$D$5000,0)),"SĐT chưa đăng ký hội viên; ","")&amp;IF(AND($L1514="Đã chuyển khoản",$M1514=""),"Thiếu ngày nhận CK; ",""))</f>
        <v/>
      </c>
      <c r="T1514" s="24" t="n"/>
    </row>
    <row r="1515" ht="14.25" customHeight="1" s="40">
      <c r="A1515" s="24" t="n"/>
      <c r="B1515" s="29" t="n"/>
      <c r="C1515" s="28" t="n"/>
      <c r="D1515" s="22">
        <f t="array" ref="D1515">IF($C1515="","",IFERROR(INDEX(DATA_MASTER!$C$2:$C$5000,MATCH($C1515,DATA_MASTER!$D$2:$D$5000,0)),""))</f>
        <v/>
      </c>
      <c r="E1515" s="22">
        <f t="array" ref="E1515">IF($C1515="","",IFERROR(INDEX(DATA_MASTER!$I$2:$I$5000,MATCH($C1515,DATA_MASTER!$D$2:$D$5000,0)),""))</f>
        <v/>
      </c>
      <c r="F1515" s="22">
        <f t="array" ref="F1515">IF($C1515="","",IFERROR(INDEX(DATA_MASTER!$L$2:$L$5000,MATCH($C1515,DATA_MASTER!$D$2:$D$5000,0)),""))</f>
        <v/>
      </c>
      <c r="G1515" s="24" t="n"/>
      <c r="H1515" s="24" t="n"/>
      <c r="I1515" s="30" t="n"/>
      <c r="J1515" s="23">
        <f>IF(OR($H1515="",$I1515=""),"",$H1515*$I1515)</f>
        <v/>
      </c>
      <c r="K1515" s="24" t="n"/>
      <c r="L1515" s="24" t="n"/>
      <c r="M1515" s="29" t="n"/>
      <c r="N1515" s="28" t="n"/>
      <c r="O1515" s="24" t="n"/>
      <c r="P1515" s="24" t="n"/>
      <c r="Q1515" s="24" t="n"/>
      <c r="R1515" s="24" t="n"/>
      <c r="S1515" s="22">
        <f>IF(AND($A1515="",$C1515=""),"",IF($A1515="","Thiếu mã đơn; ","")&amp;IF(COUNTIF($A$2:$A1515,$A1515)&gt;1,"Trùng mã đơn; ","")&amp;IF(ISNA(MATCH($C1515,DATA_MASTER!$D$2:$D$5000,0)),"SĐT chưa đăng ký hội viên; ","")&amp;IF(AND($L1515="Đã chuyển khoản",$M1515=""),"Thiếu ngày nhận CK; ",""))</f>
        <v/>
      </c>
      <c r="T1515" s="24" t="n"/>
    </row>
    <row r="1516" ht="14.25" customHeight="1" s="40">
      <c r="A1516" s="24" t="n"/>
      <c r="B1516" s="29" t="n"/>
      <c r="C1516" s="28" t="n"/>
      <c r="D1516" s="22">
        <f t="array" ref="D1516">IF($C1516="","",IFERROR(INDEX(DATA_MASTER!$C$2:$C$5000,MATCH($C1516,DATA_MASTER!$D$2:$D$5000,0)),""))</f>
        <v/>
      </c>
      <c r="E1516" s="22">
        <f t="array" ref="E1516">IF($C1516="","",IFERROR(INDEX(DATA_MASTER!$I$2:$I$5000,MATCH($C1516,DATA_MASTER!$D$2:$D$5000,0)),""))</f>
        <v/>
      </c>
      <c r="F1516" s="22">
        <f t="array" ref="F1516">IF($C1516="","",IFERROR(INDEX(DATA_MASTER!$L$2:$L$5000,MATCH($C1516,DATA_MASTER!$D$2:$D$5000,0)),""))</f>
        <v/>
      </c>
      <c r="G1516" s="24" t="n"/>
      <c r="H1516" s="24" t="n"/>
      <c r="I1516" s="30" t="n"/>
      <c r="J1516" s="23">
        <f>IF(OR($H1516="",$I1516=""),"",$H1516*$I1516)</f>
        <v/>
      </c>
      <c r="K1516" s="24" t="n"/>
      <c r="L1516" s="24" t="n"/>
      <c r="M1516" s="29" t="n"/>
      <c r="N1516" s="28" t="n"/>
      <c r="O1516" s="24" t="n"/>
      <c r="P1516" s="24" t="n"/>
      <c r="Q1516" s="24" t="n"/>
      <c r="R1516" s="24" t="n"/>
      <c r="S1516" s="22">
        <f>IF(AND($A1516="",$C1516=""),"",IF($A1516="","Thiếu mã đơn; ","")&amp;IF(COUNTIF($A$2:$A1516,$A1516)&gt;1,"Trùng mã đơn; ","")&amp;IF(ISNA(MATCH($C1516,DATA_MASTER!$D$2:$D$5000,0)),"SĐT chưa đăng ký hội viên; ","")&amp;IF(AND($L1516="Đã chuyển khoản",$M1516=""),"Thiếu ngày nhận CK; ",""))</f>
        <v/>
      </c>
      <c r="T1516" s="24" t="n"/>
    </row>
    <row r="1517" ht="14.25" customHeight="1" s="40">
      <c r="A1517" s="24" t="n"/>
      <c r="B1517" s="29" t="n"/>
      <c r="C1517" s="28" t="n"/>
      <c r="D1517" s="22">
        <f t="array" ref="D1517">IF($C1517="","",IFERROR(INDEX(DATA_MASTER!$C$2:$C$5000,MATCH($C1517,DATA_MASTER!$D$2:$D$5000,0)),""))</f>
        <v/>
      </c>
      <c r="E1517" s="22">
        <f t="array" ref="E1517">IF($C1517="","",IFERROR(INDEX(DATA_MASTER!$I$2:$I$5000,MATCH($C1517,DATA_MASTER!$D$2:$D$5000,0)),""))</f>
        <v/>
      </c>
      <c r="F1517" s="22">
        <f t="array" ref="F1517">IF($C1517="","",IFERROR(INDEX(DATA_MASTER!$L$2:$L$5000,MATCH($C1517,DATA_MASTER!$D$2:$D$5000,0)),""))</f>
        <v/>
      </c>
      <c r="G1517" s="24" t="n"/>
      <c r="H1517" s="24" t="n"/>
      <c r="I1517" s="30" t="n"/>
      <c r="J1517" s="23">
        <f>IF(OR($H1517="",$I1517=""),"",$H1517*$I1517)</f>
        <v/>
      </c>
      <c r="K1517" s="24" t="n"/>
      <c r="L1517" s="24" t="n"/>
      <c r="M1517" s="29" t="n"/>
      <c r="N1517" s="28" t="n"/>
      <c r="O1517" s="24" t="n"/>
      <c r="P1517" s="24" t="n"/>
      <c r="Q1517" s="24" t="n"/>
      <c r="R1517" s="24" t="n"/>
      <c r="S1517" s="22">
        <f>IF(AND($A1517="",$C1517=""),"",IF($A1517="","Thiếu mã đơn; ","")&amp;IF(COUNTIF($A$2:$A1517,$A1517)&gt;1,"Trùng mã đơn; ","")&amp;IF(ISNA(MATCH($C1517,DATA_MASTER!$D$2:$D$5000,0)),"SĐT chưa đăng ký hội viên; ","")&amp;IF(AND($L1517="Đã chuyển khoản",$M1517=""),"Thiếu ngày nhận CK; ",""))</f>
        <v/>
      </c>
      <c r="T1517" s="24" t="n"/>
    </row>
    <row r="1518" ht="14.25" customHeight="1" s="40">
      <c r="A1518" s="24" t="n"/>
      <c r="B1518" s="29" t="n"/>
      <c r="C1518" s="28" t="n"/>
      <c r="D1518" s="22">
        <f t="array" ref="D1518">IF($C1518="","",IFERROR(INDEX(DATA_MASTER!$C$2:$C$5000,MATCH($C1518,DATA_MASTER!$D$2:$D$5000,0)),""))</f>
        <v/>
      </c>
      <c r="E1518" s="22">
        <f t="array" ref="E1518">IF($C1518="","",IFERROR(INDEX(DATA_MASTER!$I$2:$I$5000,MATCH($C1518,DATA_MASTER!$D$2:$D$5000,0)),""))</f>
        <v/>
      </c>
      <c r="F1518" s="22">
        <f t="array" ref="F1518">IF($C1518="","",IFERROR(INDEX(DATA_MASTER!$L$2:$L$5000,MATCH($C1518,DATA_MASTER!$D$2:$D$5000,0)),""))</f>
        <v/>
      </c>
      <c r="G1518" s="24" t="n"/>
      <c r="H1518" s="24" t="n"/>
      <c r="I1518" s="30" t="n"/>
      <c r="J1518" s="23">
        <f>IF(OR($H1518="",$I1518=""),"",$H1518*$I1518)</f>
        <v/>
      </c>
      <c r="K1518" s="24" t="n"/>
      <c r="L1518" s="24" t="n"/>
      <c r="M1518" s="29" t="n"/>
      <c r="N1518" s="28" t="n"/>
      <c r="O1518" s="24" t="n"/>
      <c r="P1518" s="24" t="n"/>
      <c r="Q1518" s="24" t="n"/>
      <c r="R1518" s="24" t="n"/>
      <c r="S1518" s="22">
        <f>IF(AND($A1518="",$C1518=""),"",IF($A1518="","Thiếu mã đơn; ","")&amp;IF(COUNTIF($A$2:$A1518,$A1518)&gt;1,"Trùng mã đơn; ","")&amp;IF(ISNA(MATCH($C1518,DATA_MASTER!$D$2:$D$5000,0)),"SĐT chưa đăng ký hội viên; ","")&amp;IF(AND($L1518="Đã chuyển khoản",$M1518=""),"Thiếu ngày nhận CK; ",""))</f>
        <v/>
      </c>
      <c r="T1518" s="24" t="n"/>
    </row>
    <row r="1519" ht="14.25" customHeight="1" s="40">
      <c r="A1519" s="24" t="n"/>
      <c r="B1519" s="29" t="n"/>
      <c r="C1519" s="28" t="n"/>
      <c r="D1519" s="22">
        <f t="array" ref="D1519">IF($C1519="","",IFERROR(INDEX(DATA_MASTER!$C$2:$C$5000,MATCH($C1519,DATA_MASTER!$D$2:$D$5000,0)),""))</f>
        <v/>
      </c>
      <c r="E1519" s="22">
        <f t="array" ref="E1519">IF($C1519="","",IFERROR(INDEX(DATA_MASTER!$I$2:$I$5000,MATCH($C1519,DATA_MASTER!$D$2:$D$5000,0)),""))</f>
        <v/>
      </c>
      <c r="F1519" s="22">
        <f t="array" ref="F1519">IF($C1519="","",IFERROR(INDEX(DATA_MASTER!$L$2:$L$5000,MATCH($C1519,DATA_MASTER!$D$2:$D$5000,0)),""))</f>
        <v/>
      </c>
      <c r="G1519" s="24" t="n"/>
      <c r="H1519" s="24" t="n"/>
      <c r="I1519" s="30" t="n"/>
      <c r="J1519" s="23">
        <f>IF(OR($H1519="",$I1519=""),"",$H1519*$I1519)</f>
        <v/>
      </c>
      <c r="K1519" s="24" t="n"/>
      <c r="L1519" s="24" t="n"/>
      <c r="M1519" s="29" t="n"/>
      <c r="N1519" s="28" t="n"/>
      <c r="O1519" s="24" t="n"/>
      <c r="P1519" s="24" t="n"/>
      <c r="Q1519" s="24" t="n"/>
      <c r="R1519" s="24" t="n"/>
      <c r="S1519" s="22">
        <f>IF(AND($A1519="",$C1519=""),"",IF($A1519="","Thiếu mã đơn; ","")&amp;IF(COUNTIF($A$2:$A1519,$A1519)&gt;1,"Trùng mã đơn; ","")&amp;IF(ISNA(MATCH($C1519,DATA_MASTER!$D$2:$D$5000,0)),"SĐT chưa đăng ký hội viên; ","")&amp;IF(AND($L1519="Đã chuyển khoản",$M1519=""),"Thiếu ngày nhận CK; ",""))</f>
        <v/>
      </c>
      <c r="T1519" s="24" t="n"/>
    </row>
    <row r="1520" ht="14.25" customHeight="1" s="40">
      <c r="A1520" s="24" t="n"/>
      <c r="B1520" s="29" t="n"/>
      <c r="C1520" s="28" t="n"/>
      <c r="D1520" s="22">
        <f t="array" ref="D1520">IF($C1520="","",IFERROR(INDEX(DATA_MASTER!$C$2:$C$5000,MATCH($C1520,DATA_MASTER!$D$2:$D$5000,0)),""))</f>
        <v/>
      </c>
      <c r="E1520" s="22">
        <f t="array" ref="E1520">IF($C1520="","",IFERROR(INDEX(DATA_MASTER!$I$2:$I$5000,MATCH($C1520,DATA_MASTER!$D$2:$D$5000,0)),""))</f>
        <v/>
      </c>
      <c r="F1520" s="22">
        <f t="array" ref="F1520">IF($C1520="","",IFERROR(INDEX(DATA_MASTER!$L$2:$L$5000,MATCH($C1520,DATA_MASTER!$D$2:$D$5000,0)),""))</f>
        <v/>
      </c>
      <c r="G1520" s="24" t="n"/>
      <c r="H1520" s="24" t="n"/>
      <c r="I1520" s="30" t="n"/>
      <c r="J1520" s="23">
        <f>IF(OR($H1520="",$I1520=""),"",$H1520*$I1520)</f>
        <v/>
      </c>
      <c r="K1520" s="24" t="n"/>
      <c r="L1520" s="24" t="n"/>
      <c r="M1520" s="29" t="n"/>
      <c r="N1520" s="28" t="n"/>
      <c r="O1520" s="24" t="n"/>
      <c r="P1520" s="24" t="n"/>
      <c r="Q1520" s="24" t="n"/>
      <c r="R1520" s="24" t="n"/>
      <c r="S1520" s="22">
        <f>IF(AND($A1520="",$C1520=""),"",IF($A1520="","Thiếu mã đơn; ","")&amp;IF(COUNTIF($A$2:$A1520,$A1520)&gt;1,"Trùng mã đơn; ","")&amp;IF(ISNA(MATCH($C1520,DATA_MASTER!$D$2:$D$5000,0)),"SĐT chưa đăng ký hội viên; ","")&amp;IF(AND($L1520="Đã chuyển khoản",$M1520=""),"Thiếu ngày nhận CK; ",""))</f>
        <v/>
      </c>
      <c r="T1520" s="24" t="n"/>
    </row>
    <row r="1521" ht="14.25" customHeight="1" s="40">
      <c r="A1521" s="24" t="n"/>
      <c r="B1521" s="29" t="n"/>
      <c r="C1521" s="28" t="n"/>
      <c r="D1521" s="22">
        <f t="array" ref="D1521">IF($C1521="","",IFERROR(INDEX(DATA_MASTER!$C$2:$C$5000,MATCH($C1521,DATA_MASTER!$D$2:$D$5000,0)),""))</f>
        <v/>
      </c>
      <c r="E1521" s="22">
        <f t="array" ref="E1521">IF($C1521="","",IFERROR(INDEX(DATA_MASTER!$I$2:$I$5000,MATCH($C1521,DATA_MASTER!$D$2:$D$5000,0)),""))</f>
        <v/>
      </c>
      <c r="F1521" s="22">
        <f t="array" ref="F1521">IF($C1521="","",IFERROR(INDEX(DATA_MASTER!$L$2:$L$5000,MATCH($C1521,DATA_MASTER!$D$2:$D$5000,0)),""))</f>
        <v/>
      </c>
      <c r="G1521" s="24" t="n"/>
      <c r="H1521" s="24" t="n"/>
      <c r="I1521" s="30" t="n"/>
      <c r="J1521" s="23">
        <f>IF(OR($H1521="",$I1521=""),"",$H1521*$I1521)</f>
        <v/>
      </c>
      <c r="K1521" s="24" t="n"/>
      <c r="L1521" s="24" t="n"/>
      <c r="M1521" s="29" t="n"/>
      <c r="N1521" s="28" t="n"/>
      <c r="O1521" s="24" t="n"/>
      <c r="P1521" s="24" t="n"/>
      <c r="Q1521" s="24" t="n"/>
      <c r="R1521" s="24" t="n"/>
      <c r="S1521" s="22">
        <f>IF(AND($A1521="",$C1521=""),"",IF($A1521="","Thiếu mã đơn; ","")&amp;IF(COUNTIF($A$2:$A1521,$A1521)&gt;1,"Trùng mã đơn; ","")&amp;IF(ISNA(MATCH($C1521,DATA_MASTER!$D$2:$D$5000,0)),"SĐT chưa đăng ký hội viên; ","")&amp;IF(AND($L1521="Đã chuyển khoản",$M1521=""),"Thiếu ngày nhận CK; ",""))</f>
        <v/>
      </c>
      <c r="T1521" s="24" t="n"/>
    </row>
    <row r="1522" ht="14.25" customHeight="1" s="40">
      <c r="A1522" s="24" t="n"/>
      <c r="B1522" s="29" t="n"/>
      <c r="C1522" s="28" t="n"/>
      <c r="D1522" s="22">
        <f t="array" ref="D1522">IF($C1522="","",IFERROR(INDEX(DATA_MASTER!$C$2:$C$5000,MATCH($C1522,DATA_MASTER!$D$2:$D$5000,0)),""))</f>
        <v/>
      </c>
      <c r="E1522" s="22">
        <f t="array" ref="E1522">IF($C1522="","",IFERROR(INDEX(DATA_MASTER!$I$2:$I$5000,MATCH($C1522,DATA_MASTER!$D$2:$D$5000,0)),""))</f>
        <v/>
      </c>
      <c r="F1522" s="22">
        <f t="array" ref="F1522">IF($C1522="","",IFERROR(INDEX(DATA_MASTER!$L$2:$L$5000,MATCH($C1522,DATA_MASTER!$D$2:$D$5000,0)),""))</f>
        <v/>
      </c>
      <c r="G1522" s="24" t="n"/>
      <c r="H1522" s="24" t="n"/>
      <c r="I1522" s="30" t="n"/>
      <c r="J1522" s="23">
        <f>IF(OR($H1522="",$I1522=""),"",$H1522*$I1522)</f>
        <v/>
      </c>
      <c r="K1522" s="24" t="n"/>
      <c r="L1522" s="24" t="n"/>
      <c r="M1522" s="29" t="n"/>
      <c r="N1522" s="28" t="n"/>
      <c r="O1522" s="24" t="n"/>
      <c r="P1522" s="24" t="n"/>
      <c r="Q1522" s="24" t="n"/>
      <c r="R1522" s="24" t="n"/>
      <c r="S1522" s="22">
        <f>IF(AND($A1522="",$C1522=""),"",IF($A1522="","Thiếu mã đơn; ","")&amp;IF(COUNTIF($A$2:$A1522,$A1522)&gt;1,"Trùng mã đơn; ","")&amp;IF(ISNA(MATCH($C1522,DATA_MASTER!$D$2:$D$5000,0)),"SĐT chưa đăng ký hội viên; ","")&amp;IF(AND($L1522="Đã chuyển khoản",$M1522=""),"Thiếu ngày nhận CK; ",""))</f>
        <v/>
      </c>
      <c r="T1522" s="24" t="n"/>
    </row>
    <row r="1523" ht="14.25" customHeight="1" s="40">
      <c r="A1523" s="24" t="n"/>
      <c r="B1523" s="29" t="n"/>
      <c r="C1523" s="28" t="n"/>
      <c r="D1523" s="22">
        <f t="array" ref="D1523">IF($C1523="","",IFERROR(INDEX(DATA_MASTER!$C$2:$C$5000,MATCH($C1523,DATA_MASTER!$D$2:$D$5000,0)),""))</f>
        <v/>
      </c>
      <c r="E1523" s="22">
        <f t="array" ref="E1523">IF($C1523="","",IFERROR(INDEX(DATA_MASTER!$I$2:$I$5000,MATCH($C1523,DATA_MASTER!$D$2:$D$5000,0)),""))</f>
        <v/>
      </c>
      <c r="F1523" s="22">
        <f t="array" ref="F1523">IF($C1523="","",IFERROR(INDEX(DATA_MASTER!$L$2:$L$5000,MATCH($C1523,DATA_MASTER!$D$2:$D$5000,0)),""))</f>
        <v/>
      </c>
      <c r="G1523" s="24" t="n"/>
      <c r="H1523" s="24" t="n"/>
      <c r="I1523" s="30" t="n"/>
      <c r="J1523" s="23">
        <f>IF(OR($H1523="",$I1523=""),"",$H1523*$I1523)</f>
        <v/>
      </c>
      <c r="K1523" s="24" t="n"/>
      <c r="L1523" s="24" t="n"/>
      <c r="M1523" s="29" t="n"/>
      <c r="N1523" s="28" t="n"/>
      <c r="O1523" s="24" t="n"/>
      <c r="P1523" s="24" t="n"/>
      <c r="Q1523" s="24" t="n"/>
      <c r="R1523" s="24" t="n"/>
      <c r="S1523" s="22">
        <f>IF(AND($A1523="",$C1523=""),"",IF($A1523="","Thiếu mã đơn; ","")&amp;IF(COUNTIF($A$2:$A1523,$A1523)&gt;1,"Trùng mã đơn; ","")&amp;IF(ISNA(MATCH($C1523,DATA_MASTER!$D$2:$D$5000,0)),"SĐT chưa đăng ký hội viên; ","")&amp;IF(AND($L1523="Đã chuyển khoản",$M1523=""),"Thiếu ngày nhận CK; ",""))</f>
        <v/>
      </c>
      <c r="T1523" s="24" t="n"/>
    </row>
    <row r="1524" ht="14.25" customHeight="1" s="40">
      <c r="A1524" s="24" t="n"/>
      <c r="B1524" s="29" t="n"/>
      <c r="C1524" s="28" t="n"/>
      <c r="D1524" s="22">
        <f t="array" ref="D1524">IF($C1524="","",IFERROR(INDEX(DATA_MASTER!$C$2:$C$5000,MATCH($C1524,DATA_MASTER!$D$2:$D$5000,0)),""))</f>
        <v/>
      </c>
      <c r="E1524" s="22">
        <f t="array" ref="E1524">IF($C1524="","",IFERROR(INDEX(DATA_MASTER!$I$2:$I$5000,MATCH($C1524,DATA_MASTER!$D$2:$D$5000,0)),""))</f>
        <v/>
      </c>
      <c r="F1524" s="22">
        <f t="array" ref="F1524">IF($C1524="","",IFERROR(INDEX(DATA_MASTER!$L$2:$L$5000,MATCH($C1524,DATA_MASTER!$D$2:$D$5000,0)),""))</f>
        <v/>
      </c>
      <c r="G1524" s="24" t="n"/>
      <c r="H1524" s="24" t="n"/>
      <c r="I1524" s="30" t="n"/>
      <c r="J1524" s="23">
        <f>IF(OR($H1524="",$I1524=""),"",$H1524*$I1524)</f>
        <v/>
      </c>
      <c r="K1524" s="24" t="n"/>
      <c r="L1524" s="24" t="n"/>
      <c r="M1524" s="29" t="n"/>
      <c r="N1524" s="28" t="n"/>
      <c r="O1524" s="24" t="n"/>
      <c r="P1524" s="24" t="n"/>
      <c r="Q1524" s="24" t="n"/>
      <c r="R1524" s="24" t="n"/>
      <c r="S1524" s="22">
        <f>IF(AND($A1524="",$C1524=""),"",IF($A1524="","Thiếu mã đơn; ","")&amp;IF(COUNTIF($A$2:$A1524,$A1524)&gt;1,"Trùng mã đơn; ","")&amp;IF(ISNA(MATCH($C1524,DATA_MASTER!$D$2:$D$5000,0)),"SĐT chưa đăng ký hội viên; ","")&amp;IF(AND($L1524="Đã chuyển khoản",$M1524=""),"Thiếu ngày nhận CK; ",""))</f>
        <v/>
      </c>
      <c r="T1524" s="24" t="n"/>
    </row>
    <row r="1525" ht="14.25" customHeight="1" s="40">
      <c r="A1525" s="24" t="n"/>
      <c r="B1525" s="29" t="n"/>
      <c r="C1525" s="28" t="n"/>
      <c r="D1525" s="22">
        <f t="array" ref="D1525">IF($C1525="","",IFERROR(INDEX(DATA_MASTER!$C$2:$C$5000,MATCH($C1525,DATA_MASTER!$D$2:$D$5000,0)),""))</f>
        <v/>
      </c>
      <c r="E1525" s="22">
        <f t="array" ref="E1525">IF($C1525="","",IFERROR(INDEX(DATA_MASTER!$I$2:$I$5000,MATCH($C1525,DATA_MASTER!$D$2:$D$5000,0)),""))</f>
        <v/>
      </c>
      <c r="F1525" s="22">
        <f t="array" ref="F1525">IF($C1525="","",IFERROR(INDEX(DATA_MASTER!$L$2:$L$5000,MATCH($C1525,DATA_MASTER!$D$2:$D$5000,0)),""))</f>
        <v/>
      </c>
      <c r="G1525" s="24" t="n"/>
      <c r="H1525" s="24" t="n"/>
      <c r="I1525" s="30" t="n"/>
      <c r="J1525" s="23">
        <f>IF(OR($H1525="",$I1525=""),"",$H1525*$I1525)</f>
        <v/>
      </c>
      <c r="K1525" s="24" t="n"/>
      <c r="L1525" s="24" t="n"/>
      <c r="M1525" s="29" t="n"/>
      <c r="N1525" s="28" t="n"/>
      <c r="O1525" s="24" t="n"/>
      <c r="P1525" s="24" t="n"/>
      <c r="Q1525" s="24" t="n"/>
      <c r="R1525" s="24" t="n"/>
      <c r="S1525" s="22">
        <f>IF(AND($A1525="",$C1525=""),"",IF($A1525="","Thiếu mã đơn; ","")&amp;IF(COUNTIF($A$2:$A1525,$A1525)&gt;1,"Trùng mã đơn; ","")&amp;IF(ISNA(MATCH($C1525,DATA_MASTER!$D$2:$D$5000,0)),"SĐT chưa đăng ký hội viên; ","")&amp;IF(AND($L1525="Đã chuyển khoản",$M1525=""),"Thiếu ngày nhận CK; ",""))</f>
        <v/>
      </c>
      <c r="T1525" s="24" t="n"/>
    </row>
    <row r="1526" ht="14.25" customHeight="1" s="40">
      <c r="A1526" s="24" t="n"/>
      <c r="B1526" s="29" t="n"/>
      <c r="C1526" s="28" t="n"/>
      <c r="D1526" s="22">
        <f t="array" ref="D1526">IF($C1526="","",IFERROR(INDEX(DATA_MASTER!$C$2:$C$5000,MATCH($C1526,DATA_MASTER!$D$2:$D$5000,0)),""))</f>
        <v/>
      </c>
      <c r="E1526" s="22">
        <f t="array" ref="E1526">IF($C1526="","",IFERROR(INDEX(DATA_MASTER!$I$2:$I$5000,MATCH($C1526,DATA_MASTER!$D$2:$D$5000,0)),""))</f>
        <v/>
      </c>
      <c r="F1526" s="22">
        <f t="array" ref="F1526">IF($C1526="","",IFERROR(INDEX(DATA_MASTER!$L$2:$L$5000,MATCH($C1526,DATA_MASTER!$D$2:$D$5000,0)),""))</f>
        <v/>
      </c>
      <c r="G1526" s="24" t="n"/>
      <c r="H1526" s="24" t="n"/>
      <c r="I1526" s="30" t="n"/>
      <c r="J1526" s="23">
        <f>IF(OR($H1526="",$I1526=""),"",$H1526*$I1526)</f>
        <v/>
      </c>
      <c r="K1526" s="24" t="n"/>
      <c r="L1526" s="24" t="n"/>
      <c r="M1526" s="29" t="n"/>
      <c r="N1526" s="28" t="n"/>
      <c r="O1526" s="24" t="n"/>
      <c r="P1526" s="24" t="n"/>
      <c r="Q1526" s="24" t="n"/>
      <c r="R1526" s="24" t="n"/>
      <c r="S1526" s="22">
        <f>IF(AND($A1526="",$C1526=""),"",IF($A1526="","Thiếu mã đơn; ","")&amp;IF(COUNTIF($A$2:$A1526,$A1526)&gt;1,"Trùng mã đơn; ","")&amp;IF(ISNA(MATCH($C1526,DATA_MASTER!$D$2:$D$5000,0)),"SĐT chưa đăng ký hội viên; ","")&amp;IF(AND($L1526="Đã chuyển khoản",$M1526=""),"Thiếu ngày nhận CK; ",""))</f>
        <v/>
      </c>
      <c r="T1526" s="24" t="n"/>
    </row>
    <row r="1527" ht="14.25" customHeight="1" s="40">
      <c r="A1527" s="24" t="n"/>
      <c r="B1527" s="29" t="n"/>
      <c r="C1527" s="28" t="n"/>
      <c r="D1527" s="22">
        <f t="array" ref="D1527">IF($C1527="","",IFERROR(INDEX(DATA_MASTER!$C$2:$C$5000,MATCH($C1527,DATA_MASTER!$D$2:$D$5000,0)),""))</f>
        <v/>
      </c>
      <c r="E1527" s="22">
        <f t="array" ref="E1527">IF($C1527="","",IFERROR(INDEX(DATA_MASTER!$I$2:$I$5000,MATCH($C1527,DATA_MASTER!$D$2:$D$5000,0)),""))</f>
        <v/>
      </c>
      <c r="F1527" s="22">
        <f t="array" ref="F1527">IF($C1527="","",IFERROR(INDEX(DATA_MASTER!$L$2:$L$5000,MATCH($C1527,DATA_MASTER!$D$2:$D$5000,0)),""))</f>
        <v/>
      </c>
      <c r="G1527" s="24" t="n"/>
      <c r="H1527" s="24" t="n"/>
      <c r="I1527" s="30" t="n"/>
      <c r="J1527" s="23">
        <f>IF(OR($H1527="",$I1527=""),"",$H1527*$I1527)</f>
        <v/>
      </c>
      <c r="K1527" s="24" t="n"/>
      <c r="L1527" s="24" t="n"/>
      <c r="M1527" s="29" t="n"/>
      <c r="N1527" s="28" t="n"/>
      <c r="O1527" s="24" t="n"/>
      <c r="P1527" s="24" t="n"/>
      <c r="Q1527" s="24" t="n"/>
      <c r="R1527" s="24" t="n"/>
      <c r="S1527" s="22">
        <f>IF(AND($A1527="",$C1527=""),"",IF($A1527="","Thiếu mã đơn; ","")&amp;IF(COUNTIF($A$2:$A1527,$A1527)&gt;1,"Trùng mã đơn; ","")&amp;IF(ISNA(MATCH($C1527,DATA_MASTER!$D$2:$D$5000,0)),"SĐT chưa đăng ký hội viên; ","")&amp;IF(AND($L1527="Đã chuyển khoản",$M1527=""),"Thiếu ngày nhận CK; ",""))</f>
        <v/>
      </c>
      <c r="T1527" s="24" t="n"/>
    </row>
    <row r="1528" ht="14.25" customHeight="1" s="40">
      <c r="A1528" s="24" t="n"/>
      <c r="B1528" s="29" t="n"/>
      <c r="C1528" s="28" t="n"/>
      <c r="D1528" s="22">
        <f t="array" ref="D1528">IF($C1528="","",IFERROR(INDEX(DATA_MASTER!$C$2:$C$5000,MATCH($C1528,DATA_MASTER!$D$2:$D$5000,0)),""))</f>
        <v/>
      </c>
      <c r="E1528" s="22">
        <f t="array" ref="E1528">IF($C1528="","",IFERROR(INDEX(DATA_MASTER!$I$2:$I$5000,MATCH($C1528,DATA_MASTER!$D$2:$D$5000,0)),""))</f>
        <v/>
      </c>
      <c r="F1528" s="22">
        <f t="array" ref="F1528">IF($C1528="","",IFERROR(INDEX(DATA_MASTER!$L$2:$L$5000,MATCH($C1528,DATA_MASTER!$D$2:$D$5000,0)),""))</f>
        <v/>
      </c>
      <c r="G1528" s="24" t="n"/>
      <c r="H1528" s="24" t="n"/>
      <c r="I1528" s="30" t="n"/>
      <c r="J1528" s="23">
        <f>IF(OR($H1528="",$I1528=""),"",$H1528*$I1528)</f>
        <v/>
      </c>
      <c r="K1528" s="24" t="n"/>
      <c r="L1528" s="24" t="n"/>
      <c r="M1528" s="29" t="n"/>
      <c r="N1528" s="28" t="n"/>
      <c r="O1528" s="24" t="n"/>
      <c r="P1528" s="24" t="n"/>
      <c r="Q1528" s="24" t="n"/>
      <c r="R1528" s="24" t="n"/>
      <c r="S1528" s="22">
        <f>IF(AND($A1528="",$C1528=""),"",IF($A1528="","Thiếu mã đơn; ","")&amp;IF(COUNTIF($A$2:$A1528,$A1528)&gt;1,"Trùng mã đơn; ","")&amp;IF(ISNA(MATCH($C1528,DATA_MASTER!$D$2:$D$5000,0)),"SĐT chưa đăng ký hội viên; ","")&amp;IF(AND($L1528="Đã chuyển khoản",$M1528=""),"Thiếu ngày nhận CK; ",""))</f>
        <v/>
      </c>
      <c r="T1528" s="24" t="n"/>
    </row>
    <row r="1529" ht="14.25" customHeight="1" s="40">
      <c r="A1529" s="24" t="n"/>
      <c r="B1529" s="29" t="n"/>
      <c r="C1529" s="28" t="n"/>
      <c r="D1529" s="22">
        <f t="array" ref="D1529">IF($C1529="","",IFERROR(INDEX(DATA_MASTER!$C$2:$C$5000,MATCH($C1529,DATA_MASTER!$D$2:$D$5000,0)),""))</f>
        <v/>
      </c>
      <c r="E1529" s="22">
        <f t="array" ref="E1529">IF($C1529="","",IFERROR(INDEX(DATA_MASTER!$I$2:$I$5000,MATCH($C1529,DATA_MASTER!$D$2:$D$5000,0)),""))</f>
        <v/>
      </c>
      <c r="F1529" s="22">
        <f t="array" ref="F1529">IF($C1529="","",IFERROR(INDEX(DATA_MASTER!$L$2:$L$5000,MATCH($C1529,DATA_MASTER!$D$2:$D$5000,0)),""))</f>
        <v/>
      </c>
      <c r="G1529" s="24" t="n"/>
      <c r="H1529" s="24" t="n"/>
      <c r="I1529" s="30" t="n"/>
      <c r="J1529" s="23">
        <f>IF(OR($H1529="",$I1529=""),"",$H1529*$I1529)</f>
        <v/>
      </c>
      <c r="K1529" s="24" t="n"/>
      <c r="L1529" s="24" t="n"/>
      <c r="M1529" s="29" t="n"/>
      <c r="N1529" s="28" t="n"/>
      <c r="O1529" s="24" t="n"/>
      <c r="P1529" s="24" t="n"/>
      <c r="Q1529" s="24" t="n"/>
      <c r="R1529" s="24" t="n"/>
      <c r="S1529" s="22">
        <f>IF(AND($A1529="",$C1529=""),"",IF($A1529="","Thiếu mã đơn; ","")&amp;IF(COUNTIF($A$2:$A1529,$A1529)&gt;1,"Trùng mã đơn; ","")&amp;IF(ISNA(MATCH($C1529,DATA_MASTER!$D$2:$D$5000,0)),"SĐT chưa đăng ký hội viên; ","")&amp;IF(AND($L1529="Đã chuyển khoản",$M1529=""),"Thiếu ngày nhận CK; ",""))</f>
        <v/>
      </c>
      <c r="T1529" s="24" t="n"/>
    </row>
    <row r="1530" ht="14.25" customHeight="1" s="40">
      <c r="A1530" s="24" t="n"/>
      <c r="B1530" s="29" t="n"/>
      <c r="C1530" s="28" t="n"/>
      <c r="D1530" s="22">
        <f t="array" ref="D1530">IF($C1530="","",IFERROR(INDEX(DATA_MASTER!$C$2:$C$5000,MATCH($C1530,DATA_MASTER!$D$2:$D$5000,0)),""))</f>
        <v/>
      </c>
      <c r="E1530" s="22">
        <f t="array" ref="E1530">IF($C1530="","",IFERROR(INDEX(DATA_MASTER!$I$2:$I$5000,MATCH($C1530,DATA_MASTER!$D$2:$D$5000,0)),""))</f>
        <v/>
      </c>
      <c r="F1530" s="22">
        <f t="array" ref="F1530">IF($C1530="","",IFERROR(INDEX(DATA_MASTER!$L$2:$L$5000,MATCH($C1530,DATA_MASTER!$D$2:$D$5000,0)),""))</f>
        <v/>
      </c>
      <c r="G1530" s="24" t="n"/>
      <c r="H1530" s="24" t="n"/>
      <c r="I1530" s="30" t="n"/>
      <c r="J1530" s="23">
        <f>IF(OR($H1530="",$I1530=""),"",$H1530*$I1530)</f>
        <v/>
      </c>
      <c r="K1530" s="24" t="n"/>
      <c r="L1530" s="24" t="n"/>
      <c r="M1530" s="29" t="n"/>
      <c r="N1530" s="28" t="n"/>
      <c r="O1530" s="24" t="n"/>
      <c r="P1530" s="24" t="n"/>
      <c r="Q1530" s="24" t="n"/>
      <c r="R1530" s="24" t="n"/>
      <c r="S1530" s="22">
        <f>IF(AND($A1530="",$C1530=""),"",IF($A1530="","Thiếu mã đơn; ","")&amp;IF(COUNTIF($A$2:$A1530,$A1530)&gt;1,"Trùng mã đơn; ","")&amp;IF(ISNA(MATCH($C1530,DATA_MASTER!$D$2:$D$5000,0)),"SĐT chưa đăng ký hội viên; ","")&amp;IF(AND($L1530="Đã chuyển khoản",$M1530=""),"Thiếu ngày nhận CK; ",""))</f>
        <v/>
      </c>
      <c r="T1530" s="24" t="n"/>
    </row>
    <row r="1531" ht="14.25" customHeight="1" s="40">
      <c r="A1531" s="24" t="n"/>
      <c r="B1531" s="29" t="n"/>
      <c r="C1531" s="28" t="n"/>
      <c r="D1531" s="22">
        <f t="array" ref="D1531">IF($C1531="","",IFERROR(INDEX(DATA_MASTER!$C$2:$C$5000,MATCH($C1531,DATA_MASTER!$D$2:$D$5000,0)),""))</f>
        <v/>
      </c>
      <c r="E1531" s="22">
        <f t="array" ref="E1531">IF($C1531="","",IFERROR(INDEX(DATA_MASTER!$I$2:$I$5000,MATCH($C1531,DATA_MASTER!$D$2:$D$5000,0)),""))</f>
        <v/>
      </c>
      <c r="F1531" s="22">
        <f t="array" ref="F1531">IF($C1531="","",IFERROR(INDEX(DATA_MASTER!$L$2:$L$5000,MATCH($C1531,DATA_MASTER!$D$2:$D$5000,0)),""))</f>
        <v/>
      </c>
      <c r="G1531" s="24" t="n"/>
      <c r="H1531" s="24" t="n"/>
      <c r="I1531" s="30" t="n"/>
      <c r="J1531" s="23">
        <f>IF(OR($H1531="",$I1531=""),"",$H1531*$I1531)</f>
        <v/>
      </c>
      <c r="K1531" s="24" t="n"/>
      <c r="L1531" s="24" t="n"/>
      <c r="M1531" s="29" t="n"/>
      <c r="N1531" s="28" t="n"/>
      <c r="O1531" s="24" t="n"/>
      <c r="P1531" s="24" t="n"/>
      <c r="Q1531" s="24" t="n"/>
      <c r="R1531" s="24" t="n"/>
      <c r="S1531" s="22">
        <f>IF(AND($A1531="",$C1531=""),"",IF($A1531="","Thiếu mã đơn; ","")&amp;IF(COUNTIF($A$2:$A1531,$A1531)&gt;1,"Trùng mã đơn; ","")&amp;IF(ISNA(MATCH($C1531,DATA_MASTER!$D$2:$D$5000,0)),"SĐT chưa đăng ký hội viên; ","")&amp;IF(AND($L1531="Đã chuyển khoản",$M1531=""),"Thiếu ngày nhận CK; ",""))</f>
        <v/>
      </c>
      <c r="T1531" s="24" t="n"/>
    </row>
    <row r="1532" ht="14.25" customHeight="1" s="40">
      <c r="A1532" s="24" t="n"/>
      <c r="B1532" s="29" t="n"/>
      <c r="C1532" s="28" t="n"/>
      <c r="D1532" s="22">
        <f t="array" ref="D1532">IF($C1532="","",IFERROR(INDEX(DATA_MASTER!$C$2:$C$5000,MATCH($C1532,DATA_MASTER!$D$2:$D$5000,0)),""))</f>
        <v/>
      </c>
      <c r="E1532" s="22">
        <f t="array" ref="E1532">IF($C1532="","",IFERROR(INDEX(DATA_MASTER!$I$2:$I$5000,MATCH($C1532,DATA_MASTER!$D$2:$D$5000,0)),""))</f>
        <v/>
      </c>
      <c r="F1532" s="22">
        <f t="array" ref="F1532">IF($C1532="","",IFERROR(INDEX(DATA_MASTER!$L$2:$L$5000,MATCH($C1532,DATA_MASTER!$D$2:$D$5000,0)),""))</f>
        <v/>
      </c>
      <c r="G1532" s="24" t="n"/>
      <c r="H1532" s="24" t="n"/>
      <c r="I1532" s="30" t="n"/>
      <c r="J1532" s="23">
        <f>IF(OR($H1532="",$I1532=""),"",$H1532*$I1532)</f>
        <v/>
      </c>
      <c r="K1532" s="24" t="n"/>
      <c r="L1532" s="24" t="n"/>
      <c r="M1532" s="29" t="n"/>
      <c r="N1532" s="28" t="n"/>
      <c r="O1532" s="24" t="n"/>
      <c r="P1532" s="24" t="n"/>
      <c r="Q1532" s="24" t="n"/>
      <c r="R1532" s="24" t="n"/>
      <c r="S1532" s="22">
        <f>IF(AND($A1532="",$C1532=""),"",IF($A1532="","Thiếu mã đơn; ","")&amp;IF(COUNTIF($A$2:$A1532,$A1532)&gt;1,"Trùng mã đơn; ","")&amp;IF(ISNA(MATCH($C1532,DATA_MASTER!$D$2:$D$5000,0)),"SĐT chưa đăng ký hội viên; ","")&amp;IF(AND($L1532="Đã chuyển khoản",$M1532=""),"Thiếu ngày nhận CK; ",""))</f>
        <v/>
      </c>
      <c r="T1532" s="24" t="n"/>
    </row>
    <row r="1533" ht="14.25" customHeight="1" s="40">
      <c r="A1533" s="24" t="n"/>
      <c r="B1533" s="29" t="n"/>
      <c r="C1533" s="28" t="n"/>
      <c r="D1533" s="22">
        <f t="array" ref="D1533">IF($C1533="","",IFERROR(INDEX(DATA_MASTER!$C$2:$C$5000,MATCH($C1533,DATA_MASTER!$D$2:$D$5000,0)),""))</f>
        <v/>
      </c>
      <c r="E1533" s="22">
        <f t="array" ref="E1533">IF($C1533="","",IFERROR(INDEX(DATA_MASTER!$I$2:$I$5000,MATCH($C1533,DATA_MASTER!$D$2:$D$5000,0)),""))</f>
        <v/>
      </c>
      <c r="F1533" s="22">
        <f t="array" ref="F1533">IF($C1533="","",IFERROR(INDEX(DATA_MASTER!$L$2:$L$5000,MATCH($C1533,DATA_MASTER!$D$2:$D$5000,0)),""))</f>
        <v/>
      </c>
      <c r="G1533" s="24" t="n"/>
      <c r="H1533" s="24" t="n"/>
      <c r="I1533" s="30" t="n"/>
      <c r="J1533" s="23">
        <f>IF(OR($H1533="",$I1533=""),"",$H1533*$I1533)</f>
        <v/>
      </c>
      <c r="K1533" s="24" t="n"/>
      <c r="L1533" s="24" t="n"/>
      <c r="M1533" s="29" t="n"/>
      <c r="N1533" s="28" t="n"/>
      <c r="O1533" s="24" t="n"/>
      <c r="P1533" s="24" t="n"/>
      <c r="Q1533" s="24" t="n"/>
      <c r="R1533" s="24" t="n"/>
      <c r="S1533" s="22">
        <f>IF(AND($A1533="",$C1533=""),"",IF($A1533="","Thiếu mã đơn; ","")&amp;IF(COUNTIF($A$2:$A1533,$A1533)&gt;1,"Trùng mã đơn; ","")&amp;IF(ISNA(MATCH($C1533,DATA_MASTER!$D$2:$D$5000,0)),"SĐT chưa đăng ký hội viên; ","")&amp;IF(AND($L1533="Đã chuyển khoản",$M1533=""),"Thiếu ngày nhận CK; ",""))</f>
        <v/>
      </c>
      <c r="T1533" s="24" t="n"/>
    </row>
    <row r="1534" ht="14.25" customHeight="1" s="40">
      <c r="A1534" s="24" t="n"/>
      <c r="B1534" s="29" t="n"/>
      <c r="C1534" s="28" t="n"/>
      <c r="D1534" s="22">
        <f t="array" ref="D1534">IF($C1534="","",IFERROR(INDEX(DATA_MASTER!$C$2:$C$5000,MATCH($C1534,DATA_MASTER!$D$2:$D$5000,0)),""))</f>
        <v/>
      </c>
      <c r="E1534" s="22">
        <f t="array" ref="E1534">IF($C1534="","",IFERROR(INDEX(DATA_MASTER!$I$2:$I$5000,MATCH($C1534,DATA_MASTER!$D$2:$D$5000,0)),""))</f>
        <v/>
      </c>
      <c r="F1534" s="22">
        <f t="array" ref="F1534">IF($C1534="","",IFERROR(INDEX(DATA_MASTER!$L$2:$L$5000,MATCH($C1534,DATA_MASTER!$D$2:$D$5000,0)),""))</f>
        <v/>
      </c>
      <c r="G1534" s="24" t="n"/>
      <c r="H1534" s="24" t="n"/>
      <c r="I1534" s="30" t="n"/>
      <c r="J1534" s="23">
        <f>IF(OR($H1534="",$I1534=""),"",$H1534*$I1534)</f>
        <v/>
      </c>
      <c r="K1534" s="24" t="n"/>
      <c r="L1534" s="24" t="n"/>
      <c r="M1534" s="29" t="n"/>
      <c r="N1534" s="28" t="n"/>
      <c r="O1534" s="24" t="n"/>
      <c r="P1534" s="24" t="n"/>
      <c r="Q1534" s="24" t="n"/>
      <c r="R1534" s="24" t="n"/>
      <c r="S1534" s="22">
        <f>IF(AND($A1534="",$C1534=""),"",IF($A1534="","Thiếu mã đơn; ","")&amp;IF(COUNTIF($A$2:$A1534,$A1534)&gt;1,"Trùng mã đơn; ","")&amp;IF(ISNA(MATCH($C1534,DATA_MASTER!$D$2:$D$5000,0)),"SĐT chưa đăng ký hội viên; ","")&amp;IF(AND($L1534="Đã chuyển khoản",$M1534=""),"Thiếu ngày nhận CK; ",""))</f>
        <v/>
      </c>
      <c r="T1534" s="24" t="n"/>
    </row>
    <row r="1535" ht="14.25" customHeight="1" s="40">
      <c r="A1535" s="24" t="n"/>
      <c r="B1535" s="29" t="n"/>
      <c r="C1535" s="28" t="n"/>
      <c r="D1535" s="22">
        <f t="array" ref="D1535">IF($C1535="","",IFERROR(INDEX(DATA_MASTER!$C$2:$C$5000,MATCH($C1535,DATA_MASTER!$D$2:$D$5000,0)),""))</f>
        <v/>
      </c>
      <c r="E1535" s="22">
        <f t="array" ref="E1535">IF($C1535="","",IFERROR(INDEX(DATA_MASTER!$I$2:$I$5000,MATCH($C1535,DATA_MASTER!$D$2:$D$5000,0)),""))</f>
        <v/>
      </c>
      <c r="F1535" s="22">
        <f t="array" ref="F1535">IF($C1535="","",IFERROR(INDEX(DATA_MASTER!$L$2:$L$5000,MATCH($C1535,DATA_MASTER!$D$2:$D$5000,0)),""))</f>
        <v/>
      </c>
      <c r="G1535" s="24" t="n"/>
      <c r="H1535" s="24" t="n"/>
      <c r="I1535" s="30" t="n"/>
      <c r="J1535" s="23">
        <f>IF(OR($H1535="",$I1535=""),"",$H1535*$I1535)</f>
        <v/>
      </c>
      <c r="K1535" s="24" t="n"/>
      <c r="L1535" s="24" t="n"/>
      <c r="M1535" s="29" t="n"/>
      <c r="N1535" s="28" t="n"/>
      <c r="O1535" s="24" t="n"/>
      <c r="P1535" s="24" t="n"/>
      <c r="Q1535" s="24" t="n"/>
      <c r="R1535" s="24" t="n"/>
      <c r="S1535" s="22">
        <f>IF(AND($A1535="",$C1535=""),"",IF($A1535="","Thiếu mã đơn; ","")&amp;IF(COUNTIF($A$2:$A1535,$A1535)&gt;1,"Trùng mã đơn; ","")&amp;IF(ISNA(MATCH($C1535,DATA_MASTER!$D$2:$D$5000,0)),"SĐT chưa đăng ký hội viên; ","")&amp;IF(AND($L1535="Đã chuyển khoản",$M1535=""),"Thiếu ngày nhận CK; ",""))</f>
        <v/>
      </c>
      <c r="T1535" s="24" t="n"/>
    </row>
    <row r="1536" ht="14.25" customHeight="1" s="40">
      <c r="A1536" s="24" t="n"/>
      <c r="B1536" s="29" t="n"/>
      <c r="C1536" s="28" t="n"/>
      <c r="D1536" s="22">
        <f t="array" ref="D1536">IF($C1536="","",IFERROR(INDEX(DATA_MASTER!$C$2:$C$5000,MATCH($C1536,DATA_MASTER!$D$2:$D$5000,0)),""))</f>
        <v/>
      </c>
      <c r="E1536" s="22">
        <f t="array" ref="E1536">IF($C1536="","",IFERROR(INDEX(DATA_MASTER!$I$2:$I$5000,MATCH($C1536,DATA_MASTER!$D$2:$D$5000,0)),""))</f>
        <v/>
      </c>
      <c r="F1536" s="22">
        <f t="array" ref="F1536">IF($C1536="","",IFERROR(INDEX(DATA_MASTER!$L$2:$L$5000,MATCH($C1536,DATA_MASTER!$D$2:$D$5000,0)),""))</f>
        <v/>
      </c>
      <c r="G1536" s="24" t="n"/>
      <c r="H1536" s="24" t="n"/>
      <c r="I1536" s="30" t="n"/>
      <c r="J1536" s="23">
        <f>IF(OR($H1536="",$I1536=""),"",$H1536*$I1536)</f>
        <v/>
      </c>
      <c r="K1536" s="24" t="n"/>
      <c r="L1536" s="24" t="n"/>
      <c r="M1536" s="29" t="n"/>
      <c r="N1536" s="28" t="n"/>
      <c r="O1536" s="24" t="n"/>
      <c r="P1536" s="24" t="n"/>
      <c r="Q1536" s="24" t="n"/>
      <c r="R1536" s="24" t="n"/>
      <c r="S1536" s="22">
        <f>IF(AND($A1536="",$C1536=""),"",IF($A1536="","Thiếu mã đơn; ","")&amp;IF(COUNTIF($A$2:$A1536,$A1536)&gt;1,"Trùng mã đơn; ","")&amp;IF(ISNA(MATCH($C1536,DATA_MASTER!$D$2:$D$5000,0)),"SĐT chưa đăng ký hội viên; ","")&amp;IF(AND($L1536="Đã chuyển khoản",$M1536=""),"Thiếu ngày nhận CK; ",""))</f>
        <v/>
      </c>
      <c r="T1536" s="24" t="n"/>
    </row>
    <row r="1537" ht="14.25" customHeight="1" s="40">
      <c r="A1537" s="24" t="n"/>
      <c r="B1537" s="29" t="n"/>
      <c r="C1537" s="28" t="n"/>
      <c r="D1537" s="22">
        <f t="array" ref="D1537">IF($C1537="","",IFERROR(INDEX(DATA_MASTER!$C$2:$C$5000,MATCH($C1537,DATA_MASTER!$D$2:$D$5000,0)),""))</f>
        <v/>
      </c>
      <c r="E1537" s="22">
        <f t="array" ref="E1537">IF($C1537="","",IFERROR(INDEX(DATA_MASTER!$I$2:$I$5000,MATCH($C1537,DATA_MASTER!$D$2:$D$5000,0)),""))</f>
        <v/>
      </c>
      <c r="F1537" s="22">
        <f t="array" ref="F1537">IF($C1537="","",IFERROR(INDEX(DATA_MASTER!$L$2:$L$5000,MATCH($C1537,DATA_MASTER!$D$2:$D$5000,0)),""))</f>
        <v/>
      </c>
      <c r="G1537" s="24" t="n"/>
      <c r="H1537" s="24" t="n"/>
      <c r="I1537" s="30" t="n"/>
      <c r="J1537" s="23">
        <f>IF(OR($H1537="",$I1537=""),"",$H1537*$I1537)</f>
        <v/>
      </c>
      <c r="K1537" s="24" t="n"/>
      <c r="L1537" s="24" t="n"/>
      <c r="M1537" s="29" t="n"/>
      <c r="N1537" s="28" t="n"/>
      <c r="O1537" s="24" t="n"/>
      <c r="P1537" s="24" t="n"/>
      <c r="Q1537" s="24" t="n"/>
      <c r="R1537" s="24" t="n"/>
      <c r="S1537" s="22">
        <f>IF(AND($A1537="",$C1537=""),"",IF($A1537="","Thiếu mã đơn; ","")&amp;IF(COUNTIF($A$2:$A1537,$A1537)&gt;1,"Trùng mã đơn; ","")&amp;IF(ISNA(MATCH($C1537,DATA_MASTER!$D$2:$D$5000,0)),"SĐT chưa đăng ký hội viên; ","")&amp;IF(AND($L1537="Đã chuyển khoản",$M1537=""),"Thiếu ngày nhận CK; ",""))</f>
        <v/>
      </c>
      <c r="T1537" s="24" t="n"/>
    </row>
    <row r="1538" ht="14.25" customHeight="1" s="40">
      <c r="A1538" s="24" t="n"/>
      <c r="B1538" s="29" t="n"/>
      <c r="C1538" s="28" t="n"/>
      <c r="D1538" s="22">
        <f t="array" ref="D1538">IF($C1538="","",IFERROR(INDEX(DATA_MASTER!$C$2:$C$5000,MATCH($C1538,DATA_MASTER!$D$2:$D$5000,0)),""))</f>
        <v/>
      </c>
      <c r="E1538" s="22">
        <f t="array" ref="E1538">IF($C1538="","",IFERROR(INDEX(DATA_MASTER!$I$2:$I$5000,MATCH($C1538,DATA_MASTER!$D$2:$D$5000,0)),""))</f>
        <v/>
      </c>
      <c r="F1538" s="22">
        <f t="array" ref="F1538">IF($C1538="","",IFERROR(INDEX(DATA_MASTER!$L$2:$L$5000,MATCH($C1538,DATA_MASTER!$D$2:$D$5000,0)),""))</f>
        <v/>
      </c>
      <c r="G1538" s="24" t="n"/>
      <c r="H1538" s="24" t="n"/>
      <c r="I1538" s="30" t="n"/>
      <c r="J1538" s="23">
        <f>IF(OR($H1538="",$I1538=""),"",$H1538*$I1538)</f>
        <v/>
      </c>
      <c r="K1538" s="24" t="n"/>
      <c r="L1538" s="24" t="n"/>
      <c r="M1538" s="29" t="n"/>
      <c r="N1538" s="28" t="n"/>
      <c r="O1538" s="24" t="n"/>
      <c r="P1538" s="24" t="n"/>
      <c r="Q1538" s="24" t="n"/>
      <c r="R1538" s="24" t="n"/>
      <c r="S1538" s="22">
        <f>IF(AND($A1538="",$C1538=""),"",IF($A1538="","Thiếu mã đơn; ","")&amp;IF(COUNTIF($A$2:$A1538,$A1538)&gt;1,"Trùng mã đơn; ","")&amp;IF(ISNA(MATCH($C1538,DATA_MASTER!$D$2:$D$5000,0)),"SĐT chưa đăng ký hội viên; ","")&amp;IF(AND($L1538="Đã chuyển khoản",$M1538=""),"Thiếu ngày nhận CK; ",""))</f>
        <v/>
      </c>
      <c r="T1538" s="24" t="n"/>
    </row>
    <row r="1539" ht="14.25" customHeight="1" s="40">
      <c r="A1539" s="24" t="n"/>
      <c r="B1539" s="29" t="n"/>
      <c r="C1539" s="28" t="n"/>
      <c r="D1539" s="22">
        <f t="array" ref="D1539">IF($C1539="","",IFERROR(INDEX(DATA_MASTER!$C$2:$C$5000,MATCH($C1539,DATA_MASTER!$D$2:$D$5000,0)),""))</f>
        <v/>
      </c>
      <c r="E1539" s="22">
        <f t="array" ref="E1539">IF($C1539="","",IFERROR(INDEX(DATA_MASTER!$I$2:$I$5000,MATCH($C1539,DATA_MASTER!$D$2:$D$5000,0)),""))</f>
        <v/>
      </c>
      <c r="F1539" s="22">
        <f t="array" ref="F1539">IF($C1539="","",IFERROR(INDEX(DATA_MASTER!$L$2:$L$5000,MATCH($C1539,DATA_MASTER!$D$2:$D$5000,0)),""))</f>
        <v/>
      </c>
      <c r="G1539" s="24" t="n"/>
      <c r="H1539" s="24" t="n"/>
      <c r="I1539" s="30" t="n"/>
      <c r="J1539" s="23">
        <f>IF(OR($H1539="",$I1539=""),"",$H1539*$I1539)</f>
        <v/>
      </c>
      <c r="K1539" s="24" t="n"/>
      <c r="L1539" s="24" t="n"/>
      <c r="M1539" s="29" t="n"/>
      <c r="N1539" s="28" t="n"/>
      <c r="O1539" s="24" t="n"/>
      <c r="P1539" s="24" t="n"/>
      <c r="Q1539" s="24" t="n"/>
      <c r="R1539" s="24" t="n"/>
      <c r="S1539" s="22">
        <f>IF(AND($A1539="",$C1539=""),"",IF($A1539="","Thiếu mã đơn; ","")&amp;IF(COUNTIF($A$2:$A1539,$A1539)&gt;1,"Trùng mã đơn; ","")&amp;IF(ISNA(MATCH($C1539,DATA_MASTER!$D$2:$D$5000,0)),"SĐT chưa đăng ký hội viên; ","")&amp;IF(AND($L1539="Đã chuyển khoản",$M1539=""),"Thiếu ngày nhận CK; ",""))</f>
        <v/>
      </c>
      <c r="T1539" s="24" t="n"/>
    </row>
    <row r="1540" ht="14.25" customHeight="1" s="40">
      <c r="A1540" s="24" t="n"/>
      <c r="B1540" s="29" t="n"/>
      <c r="C1540" s="28" t="n"/>
      <c r="D1540" s="22">
        <f t="array" ref="D1540">IF($C1540="","",IFERROR(INDEX(DATA_MASTER!$C$2:$C$5000,MATCH($C1540,DATA_MASTER!$D$2:$D$5000,0)),""))</f>
        <v/>
      </c>
      <c r="E1540" s="22">
        <f t="array" ref="E1540">IF($C1540="","",IFERROR(INDEX(DATA_MASTER!$I$2:$I$5000,MATCH($C1540,DATA_MASTER!$D$2:$D$5000,0)),""))</f>
        <v/>
      </c>
      <c r="F1540" s="22">
        <f t="array" ref="F1540">IF($C1540="","",IFERROR(INDEX(DATA_MASTER!$L$2:$L$5000,MATCH($C1540,DATA_MASTER!$D$2:$D$5000,0)),""))</f>
        <v/>
      </c>
      <c r="G1540" s="24" t="n"/>
      <c r="H1540" s="24" t="n"/>
      <c r="I1540" s="30" t="n"/>
      <c r="J1540" s="23">
        <f>IF(OR($H1540="",$I1540=""),"",$H1540*$I1540)</f>
        <v/>
      </c>
      <c r="K1540" s="24" t="n"/>
      <c r="L1540" s="24" t="n"/>
      <c r="M1540" s="29" t="n"/>
      <c r="N1540" s="28" t="n"/>
      <c r="O1540" s="24" t="n"/>
      <c r="P1540" s="24" t="n"/>
      <c r="Q1540" s="24" t="n"/>
      <c r="R1540" s="24" t="n"/>
      <c r="S1540" s="22">
        <f>IF(AND($A1540="",$C1540=""),"",IF($A1540="","Thiếu mã đơn; ","")&amp;IF(COUNTIF($A$2:$A1540,$A1540)&gt;1,"Trùng mã đơn; ","")&amp;IF(ISNA(MATCH($C1540,DATA_MASTER!$D$2:$D$5000,0)),"SĐT chưa đăng ký hội viên; ","")&amp;IF(AND($L1540="Đã chuyển khoản",$M1540=""),"Thiếu ngày nhận CK; ",""))</f>
        <v/>
      </c>
      <c r="T1540" s="24" t="n"/>
    </row>
    <row r="1541" ht="14.25" customHeight="1" s="40">
      <c r="A1541" s="24" t="n"/>
      <c r="B1541" s="29" t="n"/>
      <c r="C1541" s="28" t="n"/>
      <c r="D1541" s="22">
        <f t="array" ref="D1541">IF($C1541="","",IFERROR(INDEX(DATA_MASTER!$C$2:$C$5000,MATCH($C1541,DATA_MASTER!$D$2:$D$5000,0)),""))</f>
        <v/>
      </c>
      <c r="E1541" s="22">
        <f t="array" ref="E1541">IF($C1541="","",IFERROR(INDEX(DATA_MASTER!$I$2:$I$5000,MATCH($C1541,DATA_MASTER!$D$2:$D$5000,0)),""))</f>
        <v/>
      </c>
      <c r="F1541" s="22">
        <f t="array" ref="F1541">IF($C1541="","",IFERROR(INDEX(DATA_MASTER!$L$2:$L$5000,MATCH($C1541,DATA_MASTER!$D$2:$D$5000,0)),""))</f>
        <v/>
      </c>
      <c r="G1541" s="24" t="n"/>
      <c r="H1541" s="24" t="n"/>
      <c r="I1541" s="30" t="n"/>
      <c r="J1541" s="23">
        <f>IF(OR($H1541="",$I1541=""),"",$H1541*$I1541)</f>
        <v/>
      </c>
      <c r="K1541" s="24" t="n"/>
      <c r="L1541" s="24" t="n"/>
      <c r="M1541" s="29" t="n"/>
      <c r="N1541" s="28" t="n"/>
      <c r="O1541" s="24" t="n"/>
      <c r="P1541" s="24" t="n"/>
      <c r="Q1541" s="24" t="n"/>
      <c r="R1541" s="24" t="n"/>
      <c r="S1541" s="22">
        <f>IF(AND($A1541="",$C1541=""),"",IF($A1541="","Thiếu mã đơn; ","")&amp;IF(COUNTIF($A$2:$A1541,$A1541)&gt;1,"Trùng mã đơn; ","")&amp;IF(ISNA(MATCH($C1541,DATA_MASTER!$D$2:$D$5000,0)),"SĐT chưa đăng ký hội viên; ","")&amp;IF(AND($L1541="Đã chuyển khoản",$M1541=""),"Thiếu ngày nhận CK; ",""))</f>
        <v/>
      </c>
      <c r="T1541" s="24" t="n"/>
    </row>
    <row r="1542" ht="14.25" customHeight="1" s="40">
      <c r="A1542" s="24" t="n"/>
      <c r="B1542" s="29" t="n"/>
      <c r="C1542" s="28" t="n"/>
      <c r="D1542" s="22">
        <f t="array" ref="D1542">IF($C1542="","",IFERROR(INDEX(DATA_MASTER!$C$2:$C$5000,MATCH($C1542,DATA_MASTER!$D$2:$D$5000,0)),""))</f>
        <v/>
      </c>
      <c r="E1542" s="22">
        <f t="array" ref="E1542">IF($C1542="","",IFERROR(INDEX(DATA_MASTER!$I$2:$I$5000,MATCH($C1542,DATA_MASTER!$D$2:$D$5000,0)),""))</f>
        <v/>
      </c>
      <c r="F1542" s="22">
        <f t="array" ref="F1542">IF($C1542="","",IFERROR(INDEX(DATA_MASTER!$L$2:$L$5000,MATCH($C1542,DATA_MASTER!$D$2:$D$5000,0)),""))</f>
        <v/>
      </c>
      <c r="G1542" s="24" t="n"/>
      <c r="H1542" s="24" t="n"/>
      <c r="I1542" s="30" t="n"/>
      <c r="J1542" s="23">
        <f>IF(OR($H1542="",$I1542=""),"",$H1542*$I1542)</f>
        <v/>
      </c>
      <c r="K1542" s="24" t="n"/>
      <c r="L1542" s="24" t="n"/>
      <c r="M1542" s="29" t="n"/>
      <c r="N1542" s="28" t="n"/>
      <c r="O1542" s="24" t="n"/>
      <c r="P1542" s="24" t="n"/>
      <c r="Q1542" s="24" t="n"/>
      <c r="R1542" s="24" t="n"/>
      <c r="S1542" s="22">
        <f>IF(AND($A1542="",$C1542=""),"",IF($A1542="","Thiếu mã đơn; ","")&amp;IF(COUNTIF($A$2:$A1542,$A1542)&gt;1,"Trùng mã đơn; ","")&amp;IF(ISNA(MATCH($C1542,DATA_MASTER!$D$2:$D$5000,0)),"SĐT chưa đăng ký hội viên; ","")&amp;IF(AND($L1542="Đã chuyển khoản",$M1542=""),"Thiếu ngày nhận CK; ",""))</f>
        <v/>
      </c>
      <c r="T1542" s="24" t="n"/>
    </row>
    <row r="1543" ht="14.25" customHeight="1" s="40">
      <c r="A1543" s="24" t="n"/>
      <c r="B1543" s="29" t="n"/>
      <c r="C1543" s="28" t="n"/>
      <c r="D1543" s="22">
        <f t="array" ref="D1543">IF($C1543="","",IFERROR(INDEX(DATA_MASTER!$C$2:$C$5000,MATCH($C1543,DATA_MASTER!$D$2:$D$5000,0)),""))</f>
        <v/>
      </c>
      <c r="E1543" s="22">
        <f t="array" ref="E1543">IF($C1543="","",IFERROR(INDEX(DATA_MASTER!$I$2:$I$5000,MATCH($C1543,DATA_MASTER!$D$2:$D$5000,0)),""))</f>
        <v/>
      </c>
      <c r="F1543" s="22">
        <f t="array" ref="F1543">IF($C1543="","",IFERROR(INDEX(DATA_MASTER!$L$2:$L$5000,MATCH($C1543,DATA_MASTER!$D$2:$D$5000,0)),""))</f>
        <v/>
      </c>
      <c r="G1543" s="24" t="n"/>
      <c r="H1543" s="24" t="n"/>
      <c r="I1543" s="30" t="n"/>
      <c r="J1543" s="23">
        <f>IF(OR($H1543="",$I1543=""),"",$H1543*$I1543)</f>
        <v/>
      </c>
      <c r="K1543" s="24" t="n"/>
      <c r="L1543" s="24" t="n"/>
      <c r="M1543" s="29" t="n"/>
      <c r="N1543" s="28" t="n"/>
      <c r="O1543" s="24" t="n"/>
      <c r="P1543" s="24" t="n"/>
      <c r="Q1543" s="24" t="n"/>
      <c r="R1543" s="24" t="n"/>
      <c r="S1543" s="22">
        <f>IF(AND($A1543="",$C1543=""),"",IF($A1543="","Thiếu mã đơn; ","")&amp;IF(COUNTIF($A$2:$A1543,$A1543)&gt;1,"Trùng mã đơn; ","")&amp;IF(ISNA(MATCH($C1543,DATA_MASTER!$D$2:$D$5000,0)),"SĐT chưa đăng ký hội viên; ","")&amp;IF(AND($L1543="Đã chuyển khoản",$M1543=""),"Thiếu ngày nhận CK; ",""))</f>
        <v/>
      </c>
      <c r="T1543" s="24" t="n"/>
    </row>
    <row r="1544" ht="14.25" customHeight="1" s="40">
      <c r="A1544" s="24" t="n"/>
      <c r="B1544" s="29" t="n"/>
      <c r="C1544" s="28" t="n"/>
      <c r="D1544" s="22">
        <f t="array" ref="D1544">IF($C1544="","",IFERROR(INDEX(DATA_MASTER!$C$2:$C$5000,MATCH($C1544,DATA_MASTER!$D$2:$D$5000,0)),""))</f>
        <v/>
      </c>
      <c r="E1544" s="22">
        <f t="array" ref="E1544">IF($C1544="","",IFERROR(INDEX(DATA_MASTER!$I$2:$I$5000,MATCH($C1544,DATA_MASTER!$D$2:$D$5000,0)),""))</f>
        <v/>
      </c>
      <c r="F1544" s="22">
        <f t="array" ref="F1544">IF($C1544="","",IFERROR(INDEX(DATA_MASTER!$L$2:$L$5000,MATCH($C1544,DATA_MASTER!$D$2:$D$5000,0)),""))</f>
        <v/>
      </c>
      <c r="G1544" s="24" t="n"/>
      <c r="H1544" s="24" t="n"/>
      <c r="I1544" s="30" t="n"/>
      <c r="J1544" s="23">
        <f>IF(OR($H1544="",$I1544=""),"",$H1544*$I1544)</f>
        <v/>
      </c>
      <c r="K1544" s="24" t="n"/>
      <c r="L1544" s="24" t="n"/>
      <c r="M1544" s="29" t="n"/>
      <c r="N1544" s="28" t="n"/>
      <c r="O1544" s="24" t="n"/>
      <c r="P1544" s="24" t="n"/>
      <c r="Q1544" s="24" t="n"/>
      <c r="R1544" s="24" t="n"/>
      <c r="S1544" s="22">
        <f>IF(AND($A1544="",$C1544=""),"",IF($A1544="","Thiếu mã đơn; ","")&amp;IF(COUNTIF($A$2:$A1544,$A1544)&gt;1,"Trùng mã đơn; ","")&amp;IF(ISNA(MATCH($C1544,DATA_MASTER!$D$2:$D$5000,0)),"SĐT chưa đăng ký hội viên; ","")&amp;IF(AND($L1544="Đã chuyển khoản",$M1544=""),"Thiếu ngày nhận CK; ",""))</f>
        <v/>
      </c>
      <c r="T1544" s="24" t="n"/>
    </row>
    <row r="1545" ht="14.25" customHeight="1" s="40">
      <c r="A1545" s="24" t="n"/>
      <c r="B1545" s="29" t="n"/>
      <c r="C1545" s="28" t="n"/>
      <c r="D1545" s="22">
        <f t="array" ref="D1545">IF($C1545="","",IFERROR(INDEX(DATA_MASTER!$C$2:$C$5000,MATCH($C1545,DATA_MASTER!$D$2:$D$5000,0)),""))</f>
        <v/>
      </c>
      <c r="E1545" s="22">
        <f t="array" ref="E1545">IF($C1545="","",IFERROR(INDEX(DATA_MASTER!$I$2:$I$5000,MATCH($C1545,DATA_MASTER!$D$2:$D$5000,0)),""))</f>
        <v/>
      </c>
      <c r="F1545" s="22">
        <f t="array" ref="F1545">IF($C1545="","",IFERROR(INDEX(DATA_MASTER!$L$2:$L$5000,MATCH($C1545,DATA_MASTER!$D$2:$D$5000,0)),""))</f>
        <v/>
      </c>
      <c r="G1545" s="24" t="n"/>
      <c r="H1545" s="24" t="n"/>
      <c r="I1545" s="30" t="n"/>
      <c r="J1545" s="23">
        <f>IF(OR($H1545="",$I1545=""),"",$H1545*$I1545)</f>
        <v/>
      </c>
      <c r="K1545" s="24" t="n"/>
      <c r="L1545" s="24" t="n"/>
      <c r="M1545" s="29" t="n"/>
      <c r="N1545" s="28" t="n"/>
      <c r="O1545" s="24" t="n"/>
      <c r="P1545" s="24" t="n"/>
      <c r="Q1545" s="24" t="n"/>
      <c r="R1545" s="24" t="n"/>
      <c r="S1545" s="22">
        <f>IF(AND($A1545="",$C1545=""),"",IF($A1545="","Thiếu mã đơn; ","")&amp;IF(COUNTIF($A$2:$A1545,$A1545)&gt;1,"Trùng mã đơn; ","")&amp;IF(ISNA(MATCH($C1545,DATA_MASTER!$D$2:$D$5000,0)),"SĐT chưa đăng ký hội viên; ","")&amp;IF(AND($L1545="Đã chuyển khoản",$M1545=""),"Thiếu ngày nhận CK; ",""))</f>
        <v/>
      </c>
      <c r="T1545" s="24" t="n"/>
    </row>
    <row r="1546" ht="14.25" customHeight="1" s="40">
      <c r="A1546" s="24" t="n"/>
      <c r="B1546" s="29" t="n"/>
      <c r="C1546" s="28" t="n"/>
      <c r="D1546" s="22">
        <f t="array" ref="D1546">IF($C1546="","",IFERROR(INDEX(DATA_MASTER!$C$2:$C$5000,MATCH($C1546,DATA_MASTER!$D$2:$D$5000,0)),""))</f>
        <v/>
      </c>
      <c r="E1546" s="22">
        <f t="array" ref="E1546">IF($C1546="","",IFERROR(INDEX(DATA_MASTER!$I$2:$I$5000,MATCH($C1546,DATA_MASTER!$D$2:$D$5000,0)),""))</f>
        <v/>
      </c>
      <c r="F1546" s="22">
        <f t="array" ref="F1546">IF($C1546="","",IFERROR(INDEX(DATA_MASTER!$L$2:$L$5000,MATCH($C1546,DATA_MASTER!$D$2:$D$5000,0)),""))</f>
        <v/>
      </c>
      <c r="G1546" s="24" t="n"/>
      <c r="H1546" s="24" t="n"/>
      <c r="I1546" s="30" t="n"/>
      <c r="J1546" s="23">
        <f>IF(OR($H1546="",$I1546=""),"",$H1546*$I1546)</f>
        <v/>
      </c>
      <c r="K1546" s="24" t="n"/>
      <c r="L1546" s="24" t="n"/>
      <c r="M1546" s="29" t="n"/>
      <c r="N1546" s="28" t="n"/>
      <c r="O1546" s="24" t="n"/>
      <c r="P1546" s="24" t="n"/>
      <c r="Q1546" s="24" t="n"/>
      <c r="R1546" s="24" t="n"/>
      <c r="S1546" s="22">
        <f>IF(AND($A1546="",$C1546=""),"",IF($A1546="","Thiếu mã đơn; ","")&amp;IF(COUNTIF($A$2:$A1546,$A1546)&gt;1,"Trùng mã đơn; ","")&amp;IF(ISNA(MATCH($C1546,DATA_MASTER!$D$2:$D$5000,0)),"SĐT chưa đăng ký hội viên; ","")&amp;IF(AND($L1546="Đã chuyển khoản",$M1546=""),"Thiếu ngày nhận CK; ",""))</f>
        <v/>
      </c>
      <c r="T1546" s="24" t="n"/>
    </row>
    <row r="1547" ht="14.25" customHeight="1" s="40">
      <c r="A1547" s="24" t="n"/>
      <c r="B1547" s="29" t="n"/>
      <c r="C1547" s="28" t="n"/>
      <c r="D1547" s="22">
        <f t="array" ref="D1547">IF($C1547="","",IFERROR(INDEX(DATA_MASTER!$C$2:$C$5000,MATCH($C1547,DATA_MASTER!$D$2:$D$5000,0)),""))</f>
        <v/>
      </c>
      <c r="E1547" s="22">
        <f t="array" ref="E1547">IF($C1547="","",IFERROR(INDEX(DATA_MASTER!$I$2:$I$5000,MATCH($C1547,DATA_MASTER!$D$2:$D$5000,0)),""))</f>
        <v/>
      </c>
      <c r="F1547" s="22">
        <f t="array" ref="F1547">IF($C1547="","",IFERROR(INDEX(DATA_MASTER!$L$2:$L$5000,MATCH($C1547,DATA_MASTER!$D$2:$D$5000,0)),""))</f>
        <v/>
      </c>
      <c r="G1547" s="24" t="n"/>
      <c r="H1547" s="24" t="n"/>
      <c r="I1547" s="30" t="n"/>
      <c r="J1547" s="23">
        <f>IF(OR($H1547="",$I1547=""),"",$H1547*$I1547)</f>
        <v/>
      </c>
      <c r="K1547" s="24" t="n"/>
      <c r="L1547" s="24" t="n"/>
      <c r="M1547" s="29" t="n"/>
      <c r="N1547" s="28" t="n"/>
      <c r="O1547" s="24" t="n"/>
      <c r="P1547" s="24" t="n"/>
      <c r="Q1547" s="24" t="n"/>
      <c r="R1547" s="24" t="n"/>
      <c r="S1547" s="22">
        <f>IF(AND($A1547="",$C1547=""),"",IF($A1547="","Thiếu mã đơn; ","")&amp;IF(COUNTIF($A$2:$A1547,$A1547)&gt;1,"Trùng mã đơn; ","")&amp;IF(ISNA(MATCH($C1547,DATA_MASTER!$D$2:$D$5000,0)),"SĐT chưa đăng ký hội viên; ","")&amp;IF(AND($L1547="Đã chuyển khoản",$M1547=""),"Thiếu ngày nhận CK; ",""))</f>
        <v/>
      </c>
      <c r="T1547" s="24" t="n"/>
    </row>
    <row r="1548" ht="14.25" customHeight="1" s="40">
      <c r="A1548" s="24" t="n"/>
      <c r="B1548" s="29" t="n"/>
      <c r="C1548" s="28" t="n"/>
      <c r="D1548" s="22">
        <f t="array" ref="D1548">IF($C1548="","",IFERROR(INDEX(DATA_MASTER!$C$2:$C$5000,MATCH($C1548,DATA_MASTER!$D$2:$D$5000,0)),""))</f>
        <v/>
      </c>
      <c r="E1548" s="22">
        <f t="array" ref="E1548">IF($C1548="","",IFERROR(INDEX(DATA_MASTER!$I$2:$I$5000,MATCH($C1548,DATA_MASTER!$D$2:$D$5000,0)),""))</f>
        <v/>
      </c>
      <c r="F1548" s="22">
        <f t="array" ref="F1548">IF($C1548="","",IFERROR(INDEX(DATA_MASTER!$L$2:$L$5000,MATCH($C1548,DATA_MASTER!$D$2:$D$5000,0)),""))</f>
        <v/>
      </c>
      <c r="G1548" s="24" t="n"/>
      <c r="H1548" s="24" t="n"/>
      <c r="I1548" s="30" t="n"/>
      <c r="J1548" s="23">
        <f>IF(OR($H1548="",$I1548=""),"",$H1548*$I1548)</f>
        <v/>
      </c>
      <c r="K1548" s="24" t="n"/>
      <c r="L1548" s="24" t="n"/>
      <c r="M1548" s="29" t="n"/>
      <c r="N1548" s="28" t="n"/>
      <c r="O1548" s="24" t="n"/>
      <c r="P1548" s="24" t="n"/>
      <c r="Q1548" s="24" t="n"/>
      <c r="R1548" s="24" t="n"/>
      <c r="S1548" s="22">
        <f>IF(AND($A1548="",$C1548=""),"",IF($A1548="","Thiếu mã đơn; ","")&amp;IF(COUNTIF($A$2:$A1548,$A1548)&gt;1,"Trùng mã đơn; ","")&amp;IF(ISNA(MATCH($C1548,DATA_MASTER!$D$2:$D$5000,0)),"SĐT chưa đăng ký hội viên; ","")&amp;IF(AND($L1548="Đã chuyển khoản",$M1548=""),"Thiếu ngày nhận CK; ",""))</f>
        <v/>
      </c>
      <c r="T1548" s="24" t="n"/>
    </row>
    <row r="1549" ht="14.25" customHeight="1" s="40">
      <c r="A1549" s="24" t="n"/>
      <c r="B1549" s="29" t="n"/>
      <c r="C1549" s="28" t="n"/>
      <c r="D1549" s="22">
        <f t="array" ref="D1549">IF($C1549="","",IFERROR(INDEX(DATA_MASTER!$C$2:$C$5000,MATCH($C1549,DATA_MASTER!$D$2:$D$5000,0)),""))</f>
        <v/>
      </c>
      <c r="E1549" s="22">
        <f t="array" ref="E1549">IF($C1549="","",IFERROR(INDEX(DATA_MASTER!$I$2:$I$5000,MATCH($C1549,DATA_MASTER!$D$2:$D$5000,0)),""))</f>
        <v/>
      </c>
      <c r="F1549" s="22">
        <f t="array" ref="F1549">IF($C1549="","",IFERROR(INDEX(DATA_MASTER!$L$2:$L$5000,MATCH($C1549,DATA_MASTER!$D$2:$D$5000,0)),""))</f>
        <v/>
      </c>
      <c r="G1549" s="24" t="n"/>
      <c r="H1549" s="24" t="n"/>
      <c r="I1549" s="30" t="n"/>
      <c r="J1549" s="23">
        <f>IF(OR($H1549="",$I1549=""),"",$H1549*$I1549)</f>
        <v/>
      </c>
      <c r="K1549" s="24" t="n"/>
      <c r="L1549" s="24" t="n"/>
      <c r="M1549" s="29" t="n"/>
      <c r="N1549" s="28" t="n"/>
      <c r="O1549" s="24" t="n"/>
      <c r="P1549" s="24" t="n"/>
      <c r="Q1549" s="24" t="n"/>
      <c r="R1549" s="24" t="n"/>
      <c r="S1549" s="22">
        <f>IF(AND($A1549="",$C1549=""),"",IF($A1549="","Thiếu mã đơn; ","")&amp;IF(COUNTIF($A$2:$A1549,$A1549)&gt;1,"Trùng mã đơn; ","")&amp;IF(ISNA(MATCH($C1549,DATA_MASTER!$D$2:$D$5000,0)),"SĐT chưa đăng ký hội viên; ","")&amp;IF(AND($L1549="Đã chuyển khoản",$M1549=""),"Thiếu ngày nhận CK; ",""))</f>
        <v/>
      </c>
      <c r="T1549" s="24" t="n"/>
    </row>
    <row r="1550" ht="14.25" customHeight="1" s="40">
      <c r="A1550" s="24" t="n"/>
      <c r="B1550" s="29" t="n"/>
      <c r="C1550" s="28" t="n"/>
      <c r="D1550" s="22">
        <f t="array" ref="D1550">IF($C1550="","",IFERROR(INDEX(DATA_MASTER!$C$2:$C$5000,MATCH($C1550,DATA_MASTER!$D$2:$D$5000,0)),""))</f>
        <v/>
      </c>
      <c r="E1550" s="22">
        <f t="array" ref="E1550">IF($C1550="","",IFERROR(INDEX(DATA_MASTER!$I$2:$I$5000,MATCH($C1550,DATA_MASTER!$D$2:$D$5000,0)),""))</f>
        <v/>
      </c>
      <c r="F1550" s="22">
        <f t="array" ref="F1550">IF($C1550="","",IFERROR(INDEX(DATA_MASTER!$L$2:$L$5000,MATCH($C1550,DATA_MASTER!$D$2:$D$5000,0)),""))</f>
        <v/>
      </c>
      <c r="G1550" s="24" t="n"/>
      <c r="H1550" s="24" t="n"/>
      <c r="I1550" s="30" t="n"/>
      <c r="J1550" s="23">
        <f>IF(OR($H1550="",$I1550=""),"",$H1550*$I1550)</f>
        <v/>
      </c>
      <c r="K1550" s="24" t="n"/>
      <c r="L1550" s="24" t="n"/>
      <c r="M1550" s="29" t="n"/>
      <c r="N1550" s="28" t="n"/>
      <c r="O1550" s="24" t="n"/>
      <c r="P1550" s="24" t="n"/>
      <c r="Q1550" s="24" t="n"/>
      <c r="R1550" s="24" t="n"/>
      <c r="S1550" s="22">
        <f>IF(AND($A1550="",$C1550=""),"",IF($A1550="","Thiếu mã đơn; ","")&amp;IF(COUNTIF($A$2:$A1550,$A1550)&gt;1,"Trùng mã đơn; ","")&amp;IF(ISNA(MATCH($C1550,DATA_MASTER!$D$2:$D$5000,0)),"SĐT chưa đăng ký hội viên; ","")&amp;IF(AND($L1550="Đã chuyển khoản",$M1550=""),"Thiếu ngày nhận CK; ",""))</f>
        <v/>
      </c>
      <c r="T1550" s="24" t="n"/>
    </row>
    <row r="1551" ht="14.25" customHeight="1" s="40">
      <c r="A1551" s="24" t="n"/>
      <c r="B1551" s="29" t="n"/>
      <c r="C1551" s="28" t="n"/>
      <c r="D1551" s="22">
        <f t="array" ref="D1551">IF($C1551="","",IFERROR(INDEX(DATA_MASTER!$C$2:$C$5000,MATCH($C1551,DATA_MASTER!$D$2:$D$5000,0)),""))</f>
        <v/>
      </c>
      <c r="E1551" s="22">
        <f t="array" ref="E1551">IF($C1551="","",IFERROR(INDEX(DATA_MASTER!$I$2:$I$5000,MATCH($C1551,DATA_MASTER!$D$2:$D$5000,0)),""))</f>
        <v/>
      </c>
      <c r="F1551" s="22">
        <f t="array" ref="F1551">IF($C1551="","",IFERROR(INDEX(DATA_MASTER!$L$2:$L$5000,MATCH($C1551,DATA_MASTER!$D$2:$D$5000,0)),""))</f>
        <v/>
      </c>
      <c r="G1551" s="24" t="n"/>
      <c r="H1551" s="24" t="n"/>
      <c r="I1551" s="30" t="n"/>
      <c r="J1551" s="23">
        <f>IF(OR($H1551="",$I1551=""),"",$H1551*$I1551)</f>
        <v/>
      </c>
      <c r="K1551" s="24" t="n"/>
      <c r="L1551" s="24" t="n"/>
      <c r="M1551" s="29" t="n"/>
      <c r="N1551" s="28" t="n"/>
      <c r="O1551" s="24" t="n"/>
      <c r="P1551" s="24" t="n"/>
      <c r="Q1551" s="24" t="n"/>
      <c r="R1551" s="24" t="n"/>
      <c r="S1551" s="22">
        <f>IF(AND($A1551="",$C1551=""),"",IF($A1551="","Thiếu mã đơn; ","")&amp;IF(COUNTIF($A$2:$A1551,$A1551)&gt;1,"Trùng mã đơn; ","")&amp;IF(ISNA(MATCH($C1551,DATA_MASTER!$D$2:$D$5000,0)),"SĐT chưa đăng ký hội viên; ","")&amp;IF(AND($L1551="Đã chuyển khoản",$M1551=""),"Thiếu ngày nhận CK; ",""))</f>
        <v/>
      </c>
      <c r="T1551" s="24" t="n"/>
    </row>
    <row r="1552" ht="14.25" customHeight="1" s="40">
      <c r="A1552" s="24" t="n"/>
      <c r="B1552" s="29" t="n"/>
      <c r="C1552" s="28" t="n"/>
      <c r="D1552" s="22">
        <f t="array" ref="D1552">IF($C1552="","",IFERROR(INDEX(DATA_MASTER!$C$2:$C$5000,MATCH($C1552,DATA_MASTER!$D$2:$D$5000,0)),""))</f>
        <v/>
      </c>
      <c r="E1552" s="22">
        <f t="array" ref="E1552">IF($C1552="","",IFERROR(INDEX(DATA_MASTER!$I$2:$I$5000,MATCH($C1552,DATA_MASTER!$D$2:$D$5000,0)),""))</f>
        <v/>
      </c>
      <c r="F1552" s="22">
        <f t="array" ref="F1552">IF($C1552="","",IFERROR(INDEX(DATA_MASTER!$L$2:$L$5000,MATCH($C1552,DATA_MASTER!$D$2:$D$5000,0)),""))</f>
        <v/>
      </c>
      <c r="G1552" s="24" t="n"/>
      <c r="H1552" s="24" t="n"/>
      <c r="I1552" s="30" t="n"/>
      <c r="J1552" s="23">
        <f>IF(OR($H1552="",$I1552=""),"",$H1552*$I1552)</f>
        <v/>
      </c>
      <c r="K1552" s="24" t="n"/>
      <c r="L1552" s="24" t="n"/>
      <c r="M1552" s="29" t="n"/>
      <c r="N1552" s="28" t="n"/>
      <c r="O1552" s="24" t="n"/>
      <c r="P1552" s="24" t="n"/>
      <c r="Q1552" s="24" t="n"/>
      <c r="R1552" s="24" t="n"/>
      <c r="S1552" s="22">
        <f>IF(AND($A1552="",$C1552=""),"",IF($A1552="","Thiếu mã đơn; ","")&amp;IF(COUNTIF($A$2:$A1552,$A1552)&gt;1,"Trùng mã đơn; ","")&amp;IF(ISNA(MATCH($C1552,DATA_MASTER!$D$2:$D$5000,0)),"SĐT chưa đăng ký hội viên; ","")&amp;IF(AND($L1552="Đã chuyển khoản",$M1552=""),"Thiếu ngày nhận CK; ",""))</f>
        <v/>
      </c>
      <c r="T1552" s="24" t="n"/>
    </row>
    <row r="1553" ht="14.25" customHeight="1" s="40">
      <c r="A1553" s="24" t="n"/>
      <c r="B1553" s="29" t="n"/>
      <c r="C1553" s="28" t="n"/>
      <c r="D1553" s="22">
        <f t="array" ref="D1553">IF($C1553="","",IFERROR(INDEX(DATA_MASTER!$C$2:$C$5000,MATCH($C1553,DATA_MASTER!$D$2:$D$5000,0)),""))</f>
        <v/>
      </c>
      <c r="E1553" s="22">
        <f t="array" ref="E1553">IF($C1553="","",IFERROR(INDEX(DATA_MASTER!$I$2:$I$5000,MATCH($C1553,DATA_MASTER!$D$2:$D$5000,0)),""))</f>
        <v/>
      </c>
      <c r="F1553" s="22">
        <f t="array" ref="F1553">IF($C1553="","",IFERROR(INDEX(DATA_MASTER!$L$2:$L$5000,MATCH($C1553,DATA_MASTER!$D$2:$D$5000,0)),""))</f>
        <v/>
      </c>
      <c r="G1553" s="24" t="n"/>
      <c r="H1553" s="24" t="n"/>
      <c r="I1553" s="30" t="n"/>
      <c r="J1553" s="23">
        <f>IF(OR($H1553="",$I1553=""),"",$H1553*$I1553)</f>
        <v/>
      </c>
      <c r="K1553" s="24" t="n"/>
      <c r="L1553" s="24" t="n"/>
      <c r="M1553" s="29" t="n"/>
      <c r="N1553" s="28" t="n"/>
      <c r="O1553" s="24" t="n"/>
      <c r="P1553" s="24" t="n"/>
      <c r="Q1553" s="24" t="n"/>
      <c r="R1553" s="24" t="n"/>
      <c r="S1553" s="22">
        <f>IF(AND($A1553="",$C1553=""),"",IF($A1553="","Thiếu mã đơn; ","")&amp;IF(COUNTIF($A$2:$A1553,$A1553)&gt;1,"Trùng mã đơn; ","")&amp;IF(ISNA(MATCH($C1553,DATA_MASTER!$D$2:$D$5000,0)),"SĐT chưa đăng ký hội viên; ","")&amp;IF(AND($L1553="Đã chuyển khoản",$M1553=""),"Thiếu ngày nhận CK; ",""))</f>
        <v/>
      </c>
      <c r="T1553" s="24" t="n"/>
    </row>
    <row r="1554" ht="14.25" customHeight="1" s="40">
      <c r="A1554" s="24" t="n"/>
      <c r="B1554" s="29" t="n"/>
      <c r="C1554" s="28" t="n"/>
      <c r="D1554" s="22">
        <f t="array" ref="D1554">IF($C1554="","",IFERROR(INDEX(DATA_MASTER!$C$2:$C$5000,MATCH($C1554,DATA_MASTER!$D$2:$D$5000,0)),""))</f>
        <v/>
      </c>
      <c r="E1554" s="22">
        <f t="array" ref="E1554">IF($C1554="","",IFERROR(INDEX(DATA_MASTER!$I$2:$I$5000,MATCH($C1554,DATA_MASTER!$D$2:$D$5000,0)),""))</f>
        <v/>
      </c>
      <c r="F1554" s="22">
        <f t="array" ref="F1554">IF($C1554="","",IFERROR(INDEX(DATA_MASTER!$L$2:$L$5000,MATCH($C1554,DATA_MASTER!$D$2:$D$5000,0)),""))</f>
        <v/>
      </c>
      <c r="G1554" s="24" t="n"/>
      <c r="H1554" s="24" t="n"/>
      <c r="I1554" s="30" t="n"/>
      <c r="J1554" s="23">
        <f>IF(OR($H1554="",$I1554=""),"",$H1554*$I1554)</f>
        <v/>
      </c>
      <c r="K1554" s="24" t="n"/>
      <c r="L1554" s="24" t="n"/>
      <c r="M1554" s="29" t="n"/>
      <c r="N1554" s="28" t="n"/>
      <c r="O1554" s="24" t="n"/>
      <c r="P1554" s="24" t="n"/>
      <c r="Q1554" s="24" t="n"/>
      <c r="R1554" s="24" t="n"/>
      <c r="S1554" s="22">
        <f>IF(AND($A1554="",$C1554=""),"",IF($A1554="","Thiếu mã đơn; ","")&amp;IF(COUNTIF($A$2:$A1554,$A1554)&gt;1,"Trùng mã đơn; ","")&amp;IF(ISNA(MATCH($C1554,DATA_MASTER!$D$2:$D$5000,0)),"SĐT chưa đăng ký hội viên; ","")&amp;IF(AND($L1554="Đã chuyển khoản",$M1554=""),"Thiếu ngày nhận CK; ",""))</f>
        <v/>
      </c>
      <c r="T1554" s="24" t="n"/>
    </row>
    <row r="1555" ht="14.25" customHeight="1" s="40">
      <c r="A1555" s="24" t="n"/>
      <c r="B1555" s="29" t="n"/>
      <c r="C1555" s="28" t="n"/>
      <c r="D1555" s="22">
        <f t="array" ref="D1555">IF($C1555="","",IFERROR(INDEX(DATA_MASTER!$C$2:$C$5000,MATCH($C1555,DATA_MASTER!$D$2:$D$5000,0)),""))</f>
        <v/>
      </c>
      <c r="E1555" s="22">
        <f t="array" ref="E1555">IF($C1555="","",IFERROR(INDEX(DATA_MASTER!$I$2:$I$5000,MATCH($C1555,DATA_MASTER!$D$2:$D$5000,0)),""))</f>
        <v/>
      </c>
      <c r="F1555" s="22">
        <f t="array" ref="F1555">IF($C1555="","",IFERROR(INDEX(DATA_MASTER!$L$2:$L$5000,MATCH($C1555,DATA_MASTER!$D$2:$D$5000,0)),""))</f>
        <v/>
      </c>
      <c r="G1555" s="24" t="n"/>
      <c r="H1555" s="24" t="n"/>
      <c r="I1555" s="30" t="n"/>
      <c r="J1555" s="23">
        <f>IF(OR($H1555="",$I1555=""),"",$H1555*$I1555)</f>
        <v/>
      </c>
      <c r="K1555" s="24" t="n"/>
      <c r="L1555" s="24" t="n"/>
      <c r="M1555" s="29" t="n"/>
      <c r="N1555" s="28" t="n"/>
      <c r="O1555" s="24" t="n"/>
      <c r="P1555" s="24" t="n"/>
      <c r="Q1555" s="24" t="n"/>
      <c r="R1555" s="24" t="n"/>
      <c r="S1555" s="22">
        <f>IF(AND($A1555="",$C1555=""),"",IF($A1555="","Thiếu mã đơn; ","")&amp;IF(COUNTIF($A$2:$A1555,$A1555)&gt;1,"Trùng mã đơn; ","")&amp;IF(ISNA(MATCH($C1555,DATA_MASTER!$D$2:$D$5000,0)),"SĐT chưa đăng ký hội viên; ","")&amp;IF(AND($L1555="Đã chuyển khoản",$M1555=""),"Thiếu ngày nhận CK; ",""))</f>
        <v/>
      </c>
      <c r="T1555" s="24" t="n"/>
    </row>
    <row r="1556" ht="14.25" customHeight="1" s="40">
      <c r="A1556" s="24" t="n"/>
      <c r="B1556" s="29" t="n"/>
      <c r="C1556" s="28" t="n"/>
      <c r="D1556" s="22">
        <f t="array" ref="D1556">IF($C1556="","",IFERROR(INDEX(DATA_MASTER!$C$2:$C$5000,MATCH($C1556,DATA_MASTER!$D$2:$D$5000,0)),""))</f>
        <v/>
      </c>
      <c r="E1556" s="22">
        <f t="array" ref="E1556">IF($C1556="","",IFERROR(INDEX(DATA_MASTER!$I$2:$I$5000,MATCH($C1556,DATA_MASTER!$D$2:$D$5000,0)),""))</f>
        <v/>
      </c>
      <c r="F1556" s="22">
        <f t="array" ref="F1556">IF($C1556="","",IFERROR(INDEX(DATA_MASTER!$L$2:$L$5000,MATCH($C1556,DATA_MASTER!$D$2:$D$5000,0)),""))</f>
        <v/>
      </c>
      <c r="G1556" s="24" t="n"/>
      <c r="H1556" s="24" t="n"/>
      <c r="I1556" s="30" t="n"/>
      <c r="J1556" s="23">
        <f>IF(OR($H1556="",$I1556=""),"",$H1556*$I1556)</f>
        <v/>
      </c>
      <c r="K1556" s="24" t="n"/>
      <c r="L1556" s="24" t="n"/>
      <c r="M1556" s="29" t="n"/>
      <c r="N1556" s="28" t="n"/>
      <c r="O1556" s="24" t="n"/>
      <c r="P1556" s="24" t="n"/>
      <c r="Q1556" s="24" t="n"/>
      <c r="R1556" s="24" t="n"/>
      <c r="S1556" s="22">
        <f>IF(AND($A1556="",$C1556=""),"",IF($A1556="","Thiếu mã đơn; ","")&amp;IF(COUNTIF($A$2:$A1556,$A1556)&gt;1,"Trùng mã đơn; ","")&amp;IF(ISNA(MATCH($C1556,DATA_MASTER!$D$2:$D$5000,0)),"SĐT chưa đăng ký hội viên; ","")&amp;IF(AND($L1556="Đã chuyển khoản",$M1556=""),"Thiếu ngày nhận CK; ",""))</f>
        <v/>
      </c>
      <c r="T1556" s="24" t="n"/>
    </row>
    <row r="1557" ht="14.25" customHeight="1" s="40">
      <c r="A1557" s="24" t="n"/>
      <c r="B1557" s="29" t="n"/>
      <c r="C1557" s="28" t="n"/>
      <c r="D1557" s="22">
        <f t="array" ref="D1557">IF($C1557="","",IFERROR(INDEX(DATA_MASTER!$C$2:$C$5000,MATCH($C1557,DATA_MASTER!$D$2:$D$5000,0)),""))</f>
        <v/>
      </c>
      <c r="E1557" s="22">
        <f t="array" ref="E1557">IF($C1557="","",IFERROR(INDEX(DATA_MASTER!$I$2:$I$5000,MATCH($C1557,DATA_MASTER!$D$2:$D$5000,0)),""))</f>
        <v/>
      </c>
      <c r="F1557" s="22">
        <f t="array" ref="F1557">IF($C1557="","",IFERROR(INDEX(DATA_MASTER!$L$2:$L$5000,MATCH($C1557,DATA_MASTER!$D$2:$D$5000,0)),""))</f>
        <v/>
      </c>
      <c r="G1557" s="24" t="n"/>
      <c r="H1557" s="24" t="n"/>
      <c r="I1557" s="30" t="n"/>
      <c r="J1557" s="23">
        <f>IF(OR($H1557="",$I1557=""),"",$H1557*$I1557)</f>
        <v/>
      </c>
      <c r="K1557" s="24" t="n"/>
      <c r="L1557" s="24" t="n"/>
      <c r="M1557" s="29" t="n"/>
      <c r="N1557" s="28" t="n"/>
      <c r="O1557" s="24" t="n"/>
      <c r="P1557" s="24" t="n"/>
      <c r="Q1557" s="24" t="n"/>
      <c r="R1557" s="24" t="n"/>
      <c r="S1557" s="22">
        <f>IF(AND($A1557="",$C1557=""),"",IF($A1557="","Thiếu mã đơn; ","")&amp;IF(COUNTIF($A$2:$A1557,$A1557)&gt;1,"Trùng mã đơn; ","")&amp;IF(ISNA(MATCH($C1557,DATA_MASTER!$D$2:$D$5000,0)),"SĐT chưa đăng ký hội viên; ","")&amp;IF(AND($L1557="Đã chuyển khoản",$M1557=""),"Thiếu ngày nhận CK; ",""))</f>
        <v/>
      </c>
      <c r="T1557" s="24" t="n"/>
    </row>
    <row r="1558" ht="14.25" customHeight="1" s="40">
      <c r="A1558" s="24" t="n"/>
      <c r="B1558" s="29" t="n"/>
      <c r="C1558" s="28" t="n"/>
      <c r="D1558" s="22">
        <f t="array" ref="D1558">IF($C1558="","",IFERROR(INDEX(DATA_MASTER!$C$2:$C$5000,MATCH($C1558,DATA_MASTER!$D$2:$D$5000,0)),""))</f>
        <v/>
      </c>
      <c r="E1558" s="22">
        <f t="array" ref="E1558">IF($C1558="","",IFERROR(INDEX(DATA_MASTER!$I$2:$I$5000,MATCH($C1558,DATA_MASTER!$D$2:$D$5000,0)),""))</f>
        <v/>
      </c>
      <c r="F1558" s="22">
        <f t="array" ref="F1558">IF($C1558="","",IFERROR(INDEX(DATA_MASTER!$L$2:$L$5000,MATCH($C1558,DATA_MASTER!$D$2:$D$5000,0)),""))</f>
        <v/>
      </c>
      <c r="G1558" s="24" t="n"/>
      <c r="H1558" s="24" t="n"/>
      <c r="I1558" s="30" t="n"/>
      <c r="J1558" s="23">
        <f>IF(OR($H1558="",$I1558=""),"",$H1558*$I1558)</f>
        <v/>
      </c>
      <c r="K1558" s="24" t="n"/>
      <c r="L1558" s="24" t="n"/>
      <c r="M1558" s="29" t="n"/>
      <c r="N1558" s="28" t="n"/>
      <c r="O1558" s="24" t="n"/>
      <c r="P1558" s="24" t="n"/>
      <c r="Q1558" s="24" t="n"/>
      <c r="R1558" s="24" t="n"/>
      <c r="S1558" s="22">
        <f>IF(AND($A1558="",$C1558=""),"",IF($A1558="","Thiếu mã đơn; ","")&amp;IF(COUNTIF($A$2:$A1558,$A1558)&gt;1,"Trùng mã đơn; ","")&amp;IF(ISNA(MATCH($C1558,DATA_MASTER!$D$2:$D$5000,0)),"SĐT chưa đăng ký hội viên; ","")&amp;IF(AND($L1558="Đã chuyển khoản",$M1558=""),"Thiếu ngày nhận CK; ",""))</f>
        <v/>
      </c>
      <c r="T1558" s="24" t="n"/>
    </row>
    <row r="1559" ht="14.25" customHeight="1" s="40">
      <c r="A1559" s="24" t="n"/>
      <c r="B1559" s="29" t="n"/>
      <c r="C1559" s="28" t="n"/>
      <c r="D1559" s="22">
        <f t="array" ref="D1559">IF($C1559="","",IFERROR(INDEX(DATA_MASTER!$C$2:$C$5000,MATCH($C1559,DATA_MASTER!$D$2:$D$5000,0)),""))</f>
        <v/>
      </c>
      <c r="E1559" s="22">
        <f t="array" ref="E1559">IF($C1559="","",IFERROR(INDEX(DATA_MASTER!$I$2:$I$5000,MATCH($C1559,DATA_MASTER!$D$2:$D$5000,0)),""))</f>
        <v/>
      </c>
      <c r="F1559" s="22">
        <f t="array" ref="F1559">IF($C1559="","",IFERROR(INDEX(DATA_MASTER!$L$2:$L$5000,MATCH($C1559,DATA_MASTER!$D$2:$D$5000,0)),""))</f>
        <v/>
      </c>
      <c r="G1559" s="24" t="n"/>
      <c r="H1559" s="24" t="n"/>
      <c r="I1559" s="30" t="n"/>
      <c r="J1559" s="23">
        <f>IF(OR($H1559="",$I1559=""),"",$H1559*$I1559)</f>
        <v/>
      </c>
      <c r="K1559" s="24" t="n"/>
      <c r="L1559" s="24" t="n"/>
      <c r="M1559" s="29" t="n"/>
      <c r="N1559" s="28" t="n"/>
      <c r="O1559" s="24" t="n"/>
      <c r="P1559" s="24" t="n"/>
      <c r="Q1559" s="24" t="n"/>
      <c r="R1559" s="24" t="n"/>
      <c r="S1559" s="22">
        <f>IF(AND($A1559="",$C1559=""),"",IF($A1559="","Thiếu mã đơn; ","")&amp;IF(COUNTIF($A$2:$A1559,$A1559)&gt;1,"Trùng mã đơn; ","")&amp;IF(ISNA(MATCH($C1559,DATA_MASTER!$D$2:$D$5000,0)),"SĐT chưa đăng ký hội viên; ","")&amp;IF(AND($L1559="Đã chuyển khoản",$M1559=""),"Thiếu ngày nhận CK; ",""))</f>
        <v/>
      </c>
      <c r="T1559" s="24" t="n"/>
    </row>
    <row r="1560" ht="14.25" customHeight="1" s="40">
      <c r="A1560" s="24" t="n"/>
      <c r="B1560" s="29" t="n"/>
      <c r="C1560" s="28" t="n"/>
      <c r="D1560" s="22">
        <f t="array" ref="D1560">IF($C1560="","",IFERROR(INDEX(DATA_MASTER!$C$2:$C$5000,MATCH($C1560,DATA_MASTER!$D$2:$D$5000,0)),""))</f>
        <v/>
      </c>
      <c r="E1560" s="22">
        <f t="array" ref="E1560">IF($C1560="","",IFERROR(INDEX(DATA_MASTER!$I$2:$I$5000,MATCH($C1560,DATA_MASTER!$D$2:$D$5000,0)),""))</f>
        <v/>
      </c>
      <c r="F1560" s="22">
        <f t="array" ref="F1560">IF($C1560="","",IFERROR(INDEX(DATA_MASTER!$L$2:$L$5000,MATCH($C1560,DATA_MASTER!$D$2:$D$5000,0)),""))</f>
        <v/>
      </c>
      <c r="G1560" s="24" t="n"/>
      <c r="H1560" s="24" t="n"/>
      <c r="I1560" s="30" t="n"/>
      <c r="J1560" s="23">
        <f>IF(OR($H1560="",$I1560=""),"",$H1560*$I1560)</f>
        <v/>
      </c>
      <c r="K1560" s="24" t="n"/>
      <c r="L1560" s="24" t="n"/>
      <c r="M1560" s="29" t="n"/>
      <c r="N1560" s="28" t="n"/>
      <c r="O1560" s="24" t="n"/>
      <c r="P1560" s="24" t="n"/>
      <c r="Q1560" s="24" t="n"/>
      <c r="R1560" s="24" t="n"/>
      <c r="S1560" s="22">
        <f>IF(AND($A1560="",$C1560=""),"",IF($A1560="","Thiếu mã đơn; ","")&amp;IF(COUNTIF($A$2:$A1560,$A1560)&gt;1,"Trùng mã đơn; ","")&amp;IF(ISNA(MATCH($C1560,DATA_MASTER!$D$2:$D$5000,0)),"SĐT chưa đăng ký hội viên; ","")&amp;IF(AND($L1560="Đã chuyển khoản",$M1560=""),"Thiếu ngày nhận CK; ",""))</f>
        <v/>
      </c>
      <c r="T1560" s="24" t="n"/>
    </row>
    <row r="1561" ht="14.25" customHeight="1" s="40">
      <c r="A1561" s="24" t="n"/>
      <c r="B1561" s="29" t="n"/>
      <c r="C1561" s="28" t="n"/>
      <c r="D1561" s="22">
        <f t="array" ref="D1561">IF($C1561="","",IFERROR(INDEX(DATA_MASTER!$C$2:$C$5000,MATCH($C1561,DATA_MASTER!$D$2:$D$5000,0)),""))</f>
        <v/>
      </c>
      <c r="E1561" s="22">
        <f t="array" ref="E1561">IF($C1561="","",IFERROR(INDEX(DATA_MASTER!$I$2:$I$5000,MATCH($C1561,DATA_MASTER!$D$2:$D$5000,0)),""))</f>
        <v/>
      </c>
      <c r="F1561" s="22">
        <f t="array" ref="F1561">IF($C1561="","",IFERROR(INDEX(DATA_MASTER!$L$2:$L$5000,MATCH($C1561,DATA_MASTER!$D$2:$D$5000,0)),""))</f>
        <v/>
      </c>
      <c r="G1561" s="24" t="n"/>
      <c r="H1561" s="24" t="n"/>
      <c r="I1561" s="30" t="n"/>
      <c r="J1561" s="23">
        <f>IF(OR($H1561="",$I1561=""),"",$H1561*$I1561)</f>
        <v/>
      </c>
      <c r="K1561" s="24" t="n"/>
      <c r="L1561" s="24" t="n"/>
      <c r="M1561" s="29" t="n"/>
      <c r="N1561" s="28" t="n"/>
      <c r="O1561" s="24" t="n"/>
      <c r="P1561" s="24" t="n"/>
      <c r="Q1561" s="24" t="n"/>
      <c r="R1561" s="24" t="n"/>
      <c r="S1561" s="22">
        <f>IF(AND($A1561="",$C1561=""),"",IF($A1561="","Thiếu mã đơn; ","")&amp;IF(COUNTIF($A$2:$A1561,$A1561)&gt;1,"Trùng mã đơn; ","")&amp;IF(ISNA(MATCH($C1561,DATA_MASTER!$D$2:$D$5000,0)),"SĐT chưa đăng ký hội viên; ","")&amp;IF(AND($L1561="Đã chuyển khoản",$M1561=""),"Thiếu ngày nhận CK; ",""))</f>
        <v/>
      </c>
      <c r="T1561" s="24" t="n"/>
    </row>
    <row r="1562" ht="14.25" customHeight="1" s="40">
      <c r="A1562" s="24" t="n"/>
      <c r="B1562" s="29" t="n"/>
      <c r="C1562" s="28" t="n"/>
      <c r="D1562" s="22">
        <f t="array" ref="D1562">IF($C1562="","",IFERROR(INDEX(DATA_MASTER!$C$2:$C$5000,MATCH($C1562,DATA_MASTER!$D$2:$D$5000,0)),""))</f>
        <v/>
      </c>
      <c r="E1562" s="22">
        <f t="array" ref="E1562">IF($C1562="","",IFERROR(INDEX(DATA_MASTER!$I$2:$I$5000,MATCH($C1562,DATA_MASTER!$D$2:$D$5000,0)),""))</f>
        <v/>
      </c>
      <c r="F1562" s="22">
        <f t="array" ref="F1562">IF($C1562="","",IFERROR(INDEX(DATA_MASTER!$L$2:$L$5000,MATCH($C1562,DATA_MASTER!$D$2:$D$5000,0)),""))</f>
        <v/>
      </c>
      <c r="G1562" s="24" t="n"/>
      <c r="H1562" s="24" t="n"/>
      <c r="I1562" s="30" t="n"/>
      <c r="J1562" s="23">
        <f>IF(OR($H1562="",$I1562=""),"",$H1562*$I1562)</f>
        <v/>
      </c>
      <c r="K1562" s="24" t="n"/>
      <c r="L1562" s="24" t="n"/>
      <c r="M1562" s="29" t="n"/>
      <c r="N1562" s="28" t="n"/>
      <c r="O1562" s="24" t="n"/>
      <c r="P1562" s="24" t="n"/>
      <c r="Q1562" s="24" t="n"/>
      <c r="R1562" s="24" t="n"/>
      <c r="S1562" s="22">
        <f>IF(AND($A1562="",$C1562=""),"",IF($A1562="","Thiếu mã đơn; ","")&amp;IF(COUNTIF($A$2:$A1562,$A1562)&gt;1,"Trùng mã đơn; ","")&amp;IF(ISNA(MATCH($C1562,DATA_MASTER!$D$2:$D$5000,0)),"SĐT chưa đăng ký hội viên; ","")&amp;IF(AND($L1562="Đã chuyển khoản",$M1562=""),"Thiếu ngày nhận CK; ",""))</f>
        <v/>
      </c>
      <c r="T1562" s="24" t="n"/>
    </row>
    <row r="1563" ht="14.25" customHeight="1" s="40">
      <c r="A1563" s="24" t="n"/>
      <c r="B1563" s="29" t="n"/>
      <c r="C1563" s="28" t="n"/>
      <c r="D1563" s="22">
        <f t="array" ref="D1563">IF($C1563="","",IFERROR(INDEX(DATA_MASTER!$C$2:$C$5000,MATCH($C1563,DATA_MASTER!$D$2:$D$5000,0)),""))</f>
        <v/>
      </c>
      <c r="E1563" s="22">
        <f t="array" ref="E1563">IF($C1563="","",IFERROR(INDEX(DATA_MASTER!$I$2:$I$5000,MATCH($C1563,DATA_MASTER!$D$2:$D$5000,0)),""))</f>
        <v/>
      </c>
      <c r="F1563" s="22">
        <f t="array" ref="F1563">IF($C1563="","",IFERROR(INDEX(DATA_MASTER!$L$2:$L$5000,MATCH($C1563,DATA_MASTER!$D$2:$D$5000,0)),""))</f>
        <v/>
      </c>
      <c r="G1563" s="24" t="n"/>
      <c r="H1563" s="24" t="n"/>
      <c r="I1563" s="30" t="n"/>
      <c r="J1563" s="23">
        <f>IF(OR($H1563="",$I1563=""),"",$H1563*$I1563)</f>
        <v/>
      </c>
      <c r="K1563" s="24" t="n"/>
      <c r="L1563" s="24" t="n"/>
      <c r="M1563" s="29" t="n"/>
      <c r="N1563" s="28" t="n"/>
      <c r="O1563" s="24" t="n"/>
      <c r="P1563" s="24" t="n"/>
      <c r="Q1563" s="24" t="n"/>
      <c r="R1563" s="24" t="n"/>
      <c r="S1563" s="22">
        <f>IF(AND($A1563="",$C1563=""),"",IF($A1563="","Thiếu mã đơn; ","")&amp;IF(COUNTIF($A$2:$A1563,$A1563)&gt;1,"Trùng mã đơn; ","")&amp;IF(ISNA(MATCH($C1563,DATA_MASTER!$D$2:$D$5000,0)),"SĐT chưa đăng ký hội viên; ","")&amp;IF(AND($L1563="Đã chuyển khoản",$M1563=""),"Thiếu ngày nhận CK; ",""))</f>
        <v/>
      </c>
      <c r="T1563" s="24" t="n"/>
    </row>
    <row r="1564" ht="14.25" customHeight="1" s="40">
      <c r="A1564" s="24" t="n"/>
      <c r="B1564" s="29" t="n"/>
      <c r="C1564" s="28" t="n"/>
      <c r="D1564" s="22">
        <f t="array" ref="D1564">IF($C1564="","",IFERROR(INDEX(DATA_MASTER!$C$2:$C$5000,MATCH($C1564,DATA_MASTER!$D$2:$D$5000,0)),""))</f>
        <v/>
      </c>
      <c r="E1564" s="22">
        <f t="array" ref="E1564">IF($C1564="","",IFERROR(INDEX(DATA_MASTER!$I$2:$I$5000,MATCH($C1564,DATA_MASTER!$D$2:$D$5000,0)),""))</f>
        <v/>
      </c>
      <c r="F1564" s="22">
        <f t="array" ref="F1564">IF($C1564="","",IFERROR(INDEX(DATA_MASTER!$L$2:$L$5000,MATCH($C1564,DATA_MASTER!$D$2:$D$5000,0)),""))</f>
        <v/>
      </c>
      <c r="G1564" s="24" t="n"/>
      <c r="H1564" s="24" t="n"/>
      <c r="I1564" s="30" t="n"/>
      <c r="J1564" s="23">
        <f>IF(OR($H1564="",$I1564=""),"",$H1564*$I1564)</f>
        <v/>
      </c>
      <c r="K1564" s="24" t="n"/>
      <c r="L1564" s="24" t="n"/>
      <c r="M1564" s="29" t="n"/>
      <c r="N1564" s="28" t="n"/>
      <c r="O1564" s="24" t="n"/>
      <c r="P1564" s="24" t="n"/>
      <c r="Q1564" s="24" t="n"/>
      <c r="R1564" s="24" t="n"/>
      <c r="S1564" s="22">
        <f>IF(AND($A1564="",$C1564=""),"",IF($A1564="","Thiếu mã đơn; ","")&amp;IF(COUNTIF($A$2:$A1564,$A1564)&gt;1,"Trùng mã đơn; ","")&amp;IF(ISNA(MATCH($C1564,DATA_MASTER!$D$2:$D$5000,0)),"SĐT chưa đăng ký hội viên; ","")&amp;IF(AND($L1564="Đã chuyển khoản",$M1564=""),"Thiếu ngày nhận CK; ",""))</f>
        <v/>
      </c>
      <c r="T1564" s="24" t="n"/>
    </row>
    <row r="1565" ht="14.25" customHeight="1" s="40">
      <c r="A1565" s="24" t="n"/>
      <c r="B1565" s="29" t="n"/>
      <c r="C1565" s="28" t="n"/>
      <c r="D1565" s="22">
        <f t="array" ref="D1565">IF($C1565="","",IFERROR(INDEX(DATA_MASTER!$C$2:$C$5000,MATCH($C1565,DATA_MASTER!$D$2:$D$5000,0)),""))</f>
        <v/>
      </c>
      <c r="E1565" s="22">
        <f t="array" ref="E1565">IF($C1565="","",IFERROR(INDEX(DATA_MASTER!$I$2:$I$5000,MATCH($C1565,DATA_MASTER!$D$2:$D$5000,0)),""))</f>
        <v/>
      </c>
      <c r="F1565" s="22">
        <f t="array" ref="F1565">IF($C1565="","",IFERROR(INDEX(DATA_MASTER!$L$2:$L$5000,MATCH($C1565,DATA_MASTER!$D$2:$D$5000,0)),""))</f>
        <v/>
      </c>
      <c r="G1565" s="24" t="n"/>
      <c r="H1565" s="24" t="n"/>
      <c r="I1565" s="30" t="n"/>
      <c r="J1565" s="23">
        <f>IF(OR($H1565="",$I1565=""),"",$H1565*$I1565)</f>
        <v/>
      </c>
      <c r="K1565" s="24" t="n"/>
      <c r="L1565" s="24" t="n"/>
      <c r="M1565" s="29" t="n"/>
      <c r="N1565" s="28" t="n"/>
      <c r="O1565" s="24" t="n"/>
      <c r="P1565" s="24" t="n"/>
      <c r="Q1565" s="24" t="n"/>
      <c r="R1565" s="24" t="n"/>
      <c r="S1565" s="22">
        <f>IF(AND($A1565="",$C1565=""),"",IF($A1565="","Thiếu mã đơn; ","")&amp;IF(COUNTIF($A$2:$A1565,$A1565)&gt;1,"Trùng mã đơn; ","")&amp;IF(ISNA(MATCH($C1565,DATA_MASTER!$D$2:$D$5000,0)),"SĐT chưa đăng ký hội viên; ","")&amp;IF(AND($L1565="Đã chuyển khoản",$M1565=""),"Thiếu ngày nhận CK; ",""))</f>
        <v/>
      </c>
      <c r="T1565" s="24" t="n"/>
    </row>
    <row r="1566" ht="14.25" customHeight="1" s="40">
      <c r="A1566" s="24" t="n"/>
      <c r="B1566" s="29" t="n"/>
      <c r="C1566" s="28" t="n"/>
      <c r="D1566" s="22">
        <f t="array" ref="D1566">IF($C1566="","",IFERROR(INDEX(DATA_MASTER!$C$2:$C$5000,MATCH($C1566,DATA_MASTER!$D$2:$D$5000,0)),""))</f>
        <v/>
      </c>
      <c r="E1566" s="22">
        <f t="array" ref="E1566">IF($C1566="","",IFERROR(INDEX(DATA_MASTER!$I$2:$I$5000,MATCH($C1566,DATA_MASTER!$D$2:$D$5000,0)),""))</f>
        <v/>
      </c>
      <c r="F1566" s="22">
        <f t="array" ref="F1566">IF($C1566="","",IFERROR(INDEX(DATA_MASTER!$L$2:$L$5000,MATCH($C1566,DATA_MASTER!$D$2:$D$5000,0)),""))</f>
        <v/>
      </c>
      <c r="G1566" s="24" t="n"/>
      <c r="H1566" s="24" t="n"/>
      <c r="I1566" s="30" t="n"/>
      <c r="J1566" s="23">
        <f>IF(OR($H1566="",$I1566=""),"",$H1566*$I1566)</f>
        <v/>
      </c>
      <c r="K1566" s="24" t="n"/>
      <c r="L1566" s="24" t="n"/>
      <c r="M1566" s="29" t="n"/>
      <c r="N1566" s="28" t="n"/>
      <c r="O1566" s="24" t="n"/>
      <c r="P1566" s="24" t="n"/>
      <c r="Q1566" s="24" t="n"/>
      <c r="R1566" s="24" t="n"/>
      <c r="S1566" s="22">
        <f>IF(AND($A1566="",$C1566=""),"",IF($A1566="","Thiếu mã đơn; ","")&amp;IF(COUNTIF($A$2:$A1566,$A1566)&gt;1,"Trùng mã đơn; ","")&amp;IF(ISNA(MATCH($C1566,DATA_MASTER!$D$2:$D$5000,0)),"SĐT chưa đăng ký hội viên; ","")&amp;IF(AND($L1566="Đã chuyển khoản",$M1566=""),"Thiếu ngày nhận CK; ",""))</f>
        <v/>
      </c>
      <c r="T1566" s="24" t="n"/>
    </row>
    <row r="1567" ht="14.25" customHeight="1" s="40">
      <c r="A1567" s="24" t="n"/>
      <c r="B1567" s="29" t="n"/>
      <c r="C1567" s="28" t="n"/>
      <c r="D1567" s="22">
        <f t="array" ref="D1567">IF($C1567="","",IFERROR(INDEX(DATA_MASTER!$C$2:$C$5000,MATCH($C1567,DATA_MASTER!$D$2:$D$5000,0)),""))</f>
        <v/>
      </c>
      <c r="E1567" s="22">
        <f t="array" ref="E1567">IF($C1567="","",IFERROR(INDEX(DATA_MASTER!$I$2:$I$5000,MATCH($C1567,DATA_MASTER!$D$2:$D$5000,0)),""))</f>
        <v/>
      </c>
      <c r="F1567" s="22">
        <f t="array" ref="F1567">IF($C1567="","",IFERROR(INDEX(DATA_MASTER!$L$2:$L$5000,MATCH($C1567,DATA_MASTER!$D$2:$D$5000,0)),""))</f>
        <v/>
      </c>
      <c r="G1567" s="24" t="n"/>
      <c r="H1567" s="24" t="n"/>
      <c r="I1567" s="30" t="n"/>
      <c r="J1567" s="23">
        <f>IF(OR($H1567="",$I1567=""),"",$H1567*$I1567)</f>
        <v/>
      </c>
      <c r="K1567" s="24" t="n"/>
      <c r="L1567" s="24" t="n"/>
      <c r="M1567" s="29" t="n"/>
      <c r="N1567" s="28" t="n"/>
      <c r="O1567" s="24" t="n"/>
      <c r="P1567" s="24" t="n"/>
      <c r="Q1567" s="24" t="n"/>
      <c r="R1567" s="24" t="n"/>
      <c r="S1567" s="22">
        <f>IF(AND($A1567="",$C1567=""),"",IF($A1567="","Thiếu mã đơn; ","")&amp;IF(COUNTIF($A$2:$A1567,$A1567)&gt;1,"Trùng mã đơn; ","")&amp;IF(ISNA(MATCH($C1567,DATA_MASTER!$D$2:$D$5000,0)),"SĐT chưa đăng ký hội viên; ","")&amp;IF(AND($L1567="Đã chuyển khoản",$M1567=""),"Thiếu ngày nhận CK; ",""))</f>
        <v/>
      </c>
      <c r="T1567" s="24" t="n"/>
    </row>
    <row r="1568" ht="14.25" customHeight="1" s="40">
      <c r="A1568" s="24" t="n"/>
      <c r="B1568" s="29" t="n"/>
      <c r="C1568" s="28" t="n"/>
      <c r="D1568" s="22">
        <f t="array" ref="D1568">IF($C1568="","",IFERROR(INDEX(DATA_MASTER!$C$2:$C$5000,MATCH($C1568,DATA_MASTER!$D$2:$D$5000,0)),""))</f>
        <v/>
      </c>
      <c r="E1568" s="22">
        <f t="array" ref="E1568">IF($C1568="","",IFERROR(INDEX(DATA_MASTER!$I$2:$I$5000,MATCH($C1568,DATA_MASTER!$D$2:$D$5000,0)),""))</f>
        <v/>
      </c>
      <c r="F1568" s="22">
        <f t="array" ref="F1568">IF($C1568="","",IFERROR(INDEX(DATA_MASTER!$L$2:$L$5000,MATCH($C1568,DATA_MASTER!$D$2:$D$5000,0)),""))</f>
        <v/>
      </c>
      <c r="G1568" s="24" t="n"/>
      <c r="H1568" s="24" t="n"/>
      <c r="I1568" s="30" t="n"/>
      <c r="J1568" s="23">
        <f>IF(OR($H1568="",$I1568=""),"",$H1568*$I1568)</f>
        <v/>
      </c>
      <c r="K1568" s="24" t="n"/>
      <c r="L1568" s="24" t="n"/>
      <c r="M1568" s="29" t="n"/>
      <c r="N1568" s="28" t="n"/>
      <c r="O1568" s="24" t="n"/>
      <c r="P1568" s="24" t="n"/>
      <c r="Q1568" s="24" t="n"/>
      <c r="R1568" s="24" t="n"/>
      <c r="S1568" s="22">
        <f>IF(AND($A1568="",$C1568=""),"",IF($A1568="","Thiếu mã đơn; ","")&amp;IF(COUNTIF($A$2:$A1568,$A1568)&gt;1,"Trùng mã đơn; ","")&amp;IF(ISNA(MATCH($C1568,DATA_MASTER!$D$2:$D$5000,0)),"SĐT chưa đăng ký hội viên; ","")&amp;IF(AND($L1568="Đã chuyển khoản",$M1568=""),"Thiếu ngày nhận CK; ",""))</f>
        <v/>
      </c>
      <c r="T1568" s="24" t="n"/>
    </row>
    <row r="1569" ht="14.25" customHeight="1" s="40">
      <c r="A1569" s="24" t="n"/>
      <c r="B1569" s="29" t="n"/>
      <c r="C1569" s="28" t="n"/>
      <c r="D1569" s="22">
        <f t="array" ref="D1569">IF($C1569="","",IFERROR(INDEX(DATA_MASTER!$C$2:$C$5000,MATCH($C1569,DATA_MASTER!$D$2:$D$5000,0)),""))</f>
        <v/>
      </c>
      <c r="E1569" s="22">
        <f t="array" ref="E1569">IF($C1569="","",IFERROR(INDEX(DATA_MASTER!$I$2:$I$5000,MATCH($C1569,DATA_MASTER!$D$2:$D$5000,0)),""))</f>
        <v/>
      </c>
      <c r="F1569" s="22">
        <f t="array" ref="F1569">IF($C1569="","",IFERROR(INDEX(DATA_MASTER!$L$2:$L$5000,MATCH($C1569,DATA_MASTER!$D$2:$D$5000,0)),""))</f>
        <v/>
      </c>
      <c r="G1569" s="24" t="n"/>
      <c r="H1569" s="24" t="n"/>
      <c r="I1569" s="30" t="n"/>
      <c r="J1569" s="23">
        <f>IF(OR($H1569="",$I1569=""),"",$H1569*$I1569)</f>
        <v/>
      </c>
      <c r="K1569" s="24" t="n"/>
      <c r="L1569" s="24" t="n"/>
      <c r="M1569" s="29" t="n"/>
      <c r="N1569" s="28" t="n"/>
      <c r="O1569" s="24" t="n"/>
      <c r="P1569" s="24" t="n"/>
      <c r="Q1569" s="24" t="n"/>
      <c r="R1569" s="24" t="n"/>
      <c r="S1569" s="22">
        <f>IF(AND($A1569="",$C1569=""),"",IF($A1569="","Thiếu mã đơn; ","")&amp;IF(COUNTIF($A$2:$A1569,$A1569)&gt;1,"Trùng mã đơn; ","")&amp;IF(ISNA(MATCH($C1569,DATA_MASTER!$D$2:$D$5000,0)),"SĐT chưa đăng ký hội viên; ","")&amp;IF(AND($L1569="Đã chuyển khoản",$M1569=""),"Thiếu ngày nhận CK; ",""))</f>
        <v/>
      </c>
      <c r="T1569" s="24" t="n"/>
    </row>
    <row r="1570" ht="14.25" customHeight="1" s="40">
      <c r="A1570" s="24" t="n"/>
      <c r="B1570" s="29" t="n"/>
      <c r="C1570" s="28" t="n"/>
      <c r="D1570" s="22">
        <f t="array" ref="D1570">IF($C1570="","",IFERROR(INDEX(DATA_MASTER!$C$2:$C$5000,MATCH($C1570,DATA_MASTER!$D$2:$D$5000,0)),""))</f>
        <v/>
      </c>
      <c r="E1570" s="22">
        <f t="array" ref="E1570">IF($C1570="","",IFERROR(INDEX(DATA_MASTER!$I$2:$I$5000,MATCH($C1570,DATA_MASTER!$D$2:$D$5000,0)),""))</f>
        <v/>
      </c>
      <c r="F1570" s="22">
        <f t="array" ref="F1570">IF($C1570="","",IFERROR(INDEX(DATA_MASTER!$L$2:$L$5000,MATCH($C1570,DATA_MASTER!$D$2:$D$5000,0)),""))</f>
        <v/>
      </c>
      <c r="G1570" s="24" t="n"/>
      <c r="H1570" s="24" t="n"/>
      <c r="I1570" s="30" t="n"/>
      <c r="J1570" s="23">
        <f>IF(OR($H1570="",$I1570=""),"",$H1570*$I1570)</f>
        <v/>
      </c>
      <c r="K1570" s="24" t="n"/>
      <c r="L1570" s="24" t="n"/>
      <c r="M1570" s="29" t="n"/>
      <c r="N1570" s="28" t="n"/>
      <c r="O1570" s="24" t="n"/>
      <c r="P1570" s="24" t="n"/>
      <c r="Q1570" s="24" t="n"/>
      <c r="R1570" s="24" t="n"/>
      <c r="S1570" s="22">
        <f>IF(AND($A1570="",$C1570=""),"",IF($A1570="","Thiếu mã đơn; ","")&amp;IF(COUNTIF($A$2:$A1570,$A1570)&gt;1,"Trùng mã đơn; ","")&amp;IF(ISNA(MATCH($C1570,DATA_MASTER!$D$2:$D$5000,0)),"SĐT chưa đăng ký hội viên; ","")&amp;IF(AND($L1570="Đã chuyển khoản",$M1570=""),"Thiếu ngày nhận CK; ",""))</f>
        <v/>
      </c>
      <c r="T1570" s="24" t="n"/>
    </row>
    <row r="1571" ht="14.25" customHeight="1" s="40">
      <c r="A1571" s="24" t="n"/>
      <c r="B1571" s="29" t="n"/>
      <c r="C1571" s="28" t="n"/>
      <c r="D1571" s="22">
        <f t="array" ref="D1571">IF($C1571="","",IFERROR(INDEX(DATA_MASTER!$C$2:$C$5000,MATCH($C1571,DATA_MASTER!$D$2:$D$5000,0)),""))</f>
        <v/>
      </c>
      <c r="E1571" s="22">
        <f t="array" ref="E1571">IF($C1571="","",IFERROR(INDEX(DATA_MASTER!$I$2:$I$5000,MATCH($C1571,DATA_MASTER!$D$2:$D$5000,0)),""))</f>
        <v/>
      </c>
      <c r="F1571" s="22">
        <f t="array" ref="F1571">IF($C1571="","",IFERROR(INDEX(DATA_MASTER!$L$2:$L$5000,MATCH($C1571,DATA_MASTER!$D$2:$D$5000,0)),""))</f>
        <v/>
      </c>
      <c r="G1571" s="24" t="n"/>
      <c r="H1571" s="24" t="n"/>
      <c r="I1571" s="30" t="n"/>
      <c r="J1571" s="23">
        <f>IF(OR($H1571="",$I1571=""),"",$H1571*$I1571)</f>
        <v/>
      </c>
      <c r="K1571" s="24" t="n"/>
      <c r="L1571" s="24" t="n"/>
      <c r="M1571" s="29" t="n"/>
      <c r="N1571" s="28" t="n"/>
      <c r="O1571" s="24" t="n"/>
      <c r="P1571" s="24" t="n"/>
      <c r="Q1571" s="24" t="n"/>
      <c r="R1571" s="24" t="n"/>
      <c r="S1571" s="22">
        <f>IF(AND($A1571="",$C1571=""),"",IF($A1571="","Thiếu mã đơn; ","")&amp;IF(COUNTIF($A$2:$A1571,$A1571)&gt;1,"Trùng mã đơn; ","")&amp;IF(ISNA(MATCH($C1571,DATA_MASTER!$D$2:$D$5000,0)),"SĐT chưa đăng ký hội viên; ","")&amp;IF(AND($L1571="Đã chuyển khoản",$M1571=""),"Thiếu ngày nhận CK; ",""))</f>
        <v/>
      </c>
      <c r="T1571" s="24" t="n"/>
    </row>
    <row r="1572" ht="14.25" customHeight="1" s="40">
      <c r="A1572" s="24" t="n"/>
      <c r="B1572" s="29" t="n"/>
      <c r="C1572" s="28" t="n"/>
      <c r="D1572" s="22">
        <f t="array" ref="D1572">IF($C1572="","",IFERROR(INDEX(DATA_MASTER!$C$2:$C$5000,MATCH($C1572,DATA_MASTER!$D$2:$D$5000,0)),""))</f>
        <v/>
      </c>
      <c r="E1572" s="22">
        <f t="array" ref="E1572">IF($C1572="","",IFERROR(INDEX(DATA_MASTER!$I$2:$I$5000,MATCH($C1572,DATA_MASTER!$D$2:$D$5000,0)),""))</f>
        <v/>
      </c>
      <c r="F1572" s="22">
        <f t="array" ref="F1572">IF($C1572="","",IFERROR(INDEX(DATA_MASTER!$L$2:$L$5000,MATCH($C1572,DATA_MASTER!$D$2:$D$5000,0)),""))</f>
        <v/>
      </c>
      <c r="G1572" s="24" t="n"/>
      <c r="H1572" s="24" t="n"/>
      <c r="I1572" s="30" t="n"/>
      <c r="J1572" s="23">
        <f>IF(OR($H1572="",$I1572=""),"",$H1572*$I1572)</f>
        <v/>
      </c>
      <c r="K1572" s="24" t="n"/>
      <c r="L1572" s="24" t="n"/>
      <c r="M1572" s="29" t="n"/>
      <c r="N1572" s="28" t="n"/>
      <c r="O1572" s="24" t="n"/>
      <c r="P1572" s="24" t="n"/>
      <c r="Q1572" s="24" t="n"/>
      <c r="R1572" s="24" t="n"/>
      <c r="S1572" s="22">
        <f>IF(AND($A1572="",$C1572=""),"",IF($A1572="","Thiếu mã đơn; ","")&amp;IF(COUNTIF($A$2:$A1572,$A1572)&gt;1,"Trùng mã đơn; ","")&amp;IF(ISNA(MATCH($C1572,DATA_MASTER!$D$2:$D$5000,0)),"SĐT chưa đăng ký hội viên; ","")&amp;IF(AND($L1572="Đã chuyển khoản",$M1572=""),"Thiếu ngày nhận CK; ",""))</f>
        <v/>
      </c>
      <c r="T1572" s="24" t="n"/>
    </row>
    <row r="1573" ht="14.25" customHeight="1" s="40">
      <c r="A1573" s="24" t="n"/>
      <c r="B1573" s="29" t="n"/>
      <c r="C1573" s="28" t="n"/>
      <c r="D1573" s="22">
        <f t="array" ref="D1573">IF($C1573="","",IFERROR(INDEX(DATA_MASTER!$C$2:$C$5000,MATCH($C1573,DATA_MASTER!$D$2:$D$5000,0)),""))</f>
        <v/>
      </c>
      <c r="E1573" s="22">
        <f t="array" ref="E1573">IF($C1573="","",IFERROR(INDEX(DATA_MASTER!$I$2:$I$5000,MATCH($C1573,DATA_MASTER!$D$2:$D$5000,0)),""))</f>
        <v/>
      </c>
      <c r="F1573" s="22">
        <f t="array" ref="F1573">IF($C1573="","",IFERROR(INDEX(DATA_MASTER!$L$2:$L$5000,MATCH($C1573,DATA_MASTER!$D$2:$D$5000,0)),""))</f>
        <v/>
      </c>
      <c r="G1573" s="24" t="n"/>
      <c r="H1573" s="24" t="n"/>
      <c r="I1573" s="30" t="n"/>
      <c r="J1573" s="23">
        <f>IF(OR($H1573="",$I1573=""),"",$H1573*$I1573)</f>
        <v/>
      </c>
      <c r="K1573" s="24" t="n"/>
      <c r="L1573" s="24" t="n"/>
      <c r="M1573" s="29" t="n"/>
      <c r="N1573" s="28" t="n"/>
      <c r="O1573" s="24" t="n"/>
      <c r="P1573" s="24" t="n"/>
      <c r="Q1573" s="24" t="n"/>
      <c r="R1573" s="24" t="n"/>
      <c r="S1573" s="22">
        <f>IF(AND($A1573="",$C1573=""),"",IF($A1573="","Thiếu mã đơn; ","")&amp;IF(COUNTIF($A$2:$A1573,$A1573)&gt;1,"Trùng mã đơn; ","")&amp;IF(ISNA(MATCH($C1573,DATA_MASTER!$D$2:$D$5000,0)),"SĐT chưa đăng ký hội viên; ","")&amp;IF(AND($L1573="Đã chuyển khoản",$M1573=""),"Thiếu ngày nhận CK; ",""))</f>
        <v/>
      </c>
      <c r="T1573" s="24" t="n"/>
    </row>
    <row r="1574" ht="14.25" customHeight="1" s="40">
      <c r="A1574" s="24" t="n"/>
      <c r="B1574" s="29" t="n"/>
      <c r="C1574" s="28" t="n"/>
      <c r="D1574" s="22">
        <f t="array" ref="D1574">IF($C1574="","",IFERROR(INDEX(DATA_MASTER!$C$2:$C$5000,MATCH($C1574,DATA_MASTER!$D$2:$D$5000,0)),""))</f>
        <v/>
      </c>
      <c r="E1574" s="22">
        <f t="array" ref="E1574">IF($C1574="","",IFERROR(INDEX(DATA_MASTER!$I$2:$I$5000,MATCH($C1574,DATA_MASTER!$D$2:$D$5000,0)),""))</f>
        <v/>
      </c>
      <c r="F1574" s="22">
        <f t="array" ref="F1574">IF($C1574="","",IFERROR(INDEX(DATA_MASTER!$L$2:$L$5000,MATCH($C1574,DATA_MASTER!$D$2:$D$5000,0)),""))</f>
        <v/>
      </c>
      <c r="G1574" s="24" t="n"/>
      <c r="H1574" s="24" t="n"/>
      <c r="I1574" s="30" t="n"/>
      <c r="J1574" s="23">
        <f>IF(OR($H1574="",$I1574=""),"",$H1574*$I1574)</f>
        <v/>
      </c>
      <c r="K1574" s="24" t="n"/>
      <c r="L1574" s="24" t="n"/>
      <c r="M1574" s="29" t="n"/>
      <c r="N1574" s="28" t="n"/>
      <c r="O1574" s="24" t="n"/>
      <c r="P1574" s="24" t="n"/>
      <c r="Q1574" s="24" t="n"/>
      <c r="R1574" s="24" t="n"/>
      <c r="S1574" s="22">
        <f>IF(AND($A1574="",$C1574=""),"",IF($A1574="","Thiếu mã đơn; ","")&amp;IF(COUNTIF($A$2:$A1574,$A1574)&gt;1,"Trùng mã đơn; ","")&amp;IF(ISNA(MATCH($C1574,DATA_MASTER!$D$2:$D$5000,0)),"SĐT chưa đăng ký hội viên; ","")&amp;IF(AND($L1574="Đã chuyển khoản",$M1574=""),"Thiếu ngày nhận CK; ",""))</f>
        <v/>
      </c>
      <c r="T1574" s="24" t="n"/>
    </row>
    <row r="1575" ht="14.25" customHeight="1" s="40">
      <c r="A1575" s="24" t="n"/>
      <c r="B1575" s="29" t="n"/>
      <c r="C1575" s="28" t="n"/>
      <c r="D1575" s="22">
        <f t="array" ref="D1575">IF($C1575="","",IFERROR(INDEX(DATA_MASTER!$C$2:$C$5000,MATCH($C1575,DATA_MASTER!$D$2:$D$5000,0)),""))</f>
        <v/>
      </c>
      <c r="E1575" s="22">
        <f t="array" ref="E1575">IF($C1575="","",IFERROR(INDEX(DATA_MASTER!$I$2:$I$5000,MATCH($C1575,DATA_MASTER!$D$2:$D$5000,0)),""))</f>
        <v/>
      </c>
      <c r="F1575" s="22">
        <f t="array" ref="F1575">IF($C1575="","",IFERROR(INDEX(DATA_MASTER!$L$2:$L$5000,MATCH($C1575,DATA_MASTER!$D$2:$D$5000,0)),""))</f>
        <v/>
      </c>
      <c r="G1575" s="24" t="n"/>
      <c r="H1575" s="24" t="n"/>
      <c r="I1575" s="30" t="n"/>
      <c r="J1575" s="23">
        <f>IF(OR($H1575="",$I1575=""),"",$H1575*$I1575)</f>
        <v/>
      </c>
      <c r="K1575" s="24" t="n"/>
      <c r="L1575" s="24" t="n"/>
      <c r="M1575" s="29" t="n"/>
      <c r="N1575" s="28" t="n"/>
      <c r="O1575" s="24" t="n"/>
      <c r="P1575" s="24" t="n"/>
      <c r="Q1575" s="24" t="n"/>
      <c r="R1575" s="24" t="n"/>
      <c r="S1575" s="22">
        <f>IF(AND($A1575="",$C1575=""),"",IF($A1575="","Thiếu mã đơn; ","")&amp;IF(COUNTIF($A$2:$A1575,$A1575)&gt;1,"Trùng mã đơn; ","")&amp;IF(ISNA(MATCH($C1575,DATA_MASTER!$D$2:$D$5000,0)),"SĐT chưa đăng ký hội viên; ","")&amp;IF(AND($L1575="Đã chuyển khoản",$M1575=""),"Thiếu ngày nhận CK; ",""))</f>
        <v/>
      </c>
      <c r="T1575" s="24" t="n"/>
    </row>
    <row r="1576" ht="14.25" customHeight="1" s="40">
      <c r="A1576" s="24" t="n"/>
      <c r="B1576" s="29" t="n"/>
      <c r="C1576" s="28" t="n"/>
      <c r="D1576" s="22">
        <f t="array" ref="D1576">IF($C1576="","",IFERROR(INDEX(DATA_MASTER!$C$2:$C$5000,MATCH($C1576,DATA_MASTER!$D$2:$D$5000,0)),""))</f>
        <v/>
      </c>
      <c r="E1576" s="22">
        <f t="array" ref="E1576">IF($C1576="","",IFERROR(INDEX(DATA_MASTER!$I$2:$I$5000,MATCH($C1576,DATA_MASTER!$D$2:$D$5000,0)),""))</f>
        <v/>
      </c>
      <c r="F1576" s="22">
        <f t="array" ref="F1576">IF($C1576="","",IFERROR(INDEX(DATA_MASTER!$L$2:$L$5000,MATCH($C1576,DATA_MASTER!$D$2:$D$5000,0)),""))</f>
        <v/>
      </c>
      <c r="G1576" s="24" t="n"/>
      <c r="H1576" s="24" t="n"/>
      <c r="I1576" s="30" t="n"/>
      <c r="J1576" s="23">
        <f>IF(OR($H1576="",$I1576=""),"",$H1576*$I1576)</f>
        <v/>
      </c>
      <c r="K1576" s="24" t="n"/>
      <c r="L1576" s="24" t="n"/>
      <c r="M1576" s="29" t="n"/>
      <c r="N1576" s="28" t="n"/>
      <c r="O1576" s="24" t="n"/>
      <c r="P1576" s="24" t="n"/>
      <c r="Q1576" s="24" t="n"/>
      <c r="R1576" s="24" t="n"/>
      <c r="S1576" s="22">
        <f>IF(AND($A1576="",$C1576=""),"",IF($A1576="","Thiếu mã đơn; ","")&amp;IF(COUNTIF($A$2:$A1576,$A1576)&gt;1,"Trùng mã đơn; ","")&amp;IF(ISNA(MATCH($C1576,DATA_MASTER!$D$2:$D$5000,0)),"SĐT chưa đăng ký hội viên; ","")&amp;IF(AND($L1576="Đã chuyển khoản",$M1576=""),"Thiếu ngày nhận CK; ",""))</f>
        <v/>
      </c>
      <c r="T1576" s="24" t="n"/>
    </row>
    <row r="1577" ht="14.25" customHeight="1" s="40">
      <c r="A1577" s="24" t="n"/>
      <c r="B1577" s="29" t="n"/>
      <c r="C1577" s="28" t="n"/>
      <c r="D1577" s="22">
        <f t="array" ref="D1577">IF($C1577="","",IFERROR(INDEX(DATA_MASTER!$C$2:$C$5000,MATCH($C1577,DATA_MASTER!$D$2:$D$5000,0)),""))</f>
        <v/>
      </c>
      <c r="E1577" s="22">
        <f t="array" ref="E1577">IF($C1577="","",IFERROR(INDEX(DATA_MASTER!$I$2:$I$5000,MATCH($C1577,DATA_MASTER!$D$2:$D$5000,0)),""))</f>
        <v/>
      </c>
      <c r="F1577" s="22">
        <f t="array" ref="F1577">IF($C1577="","",IFERROR(INDEX(DATA_MASTER!$L$2:$L$5000,MATCH($C1577,DATA_MASTER!$D$2:$D$5000,0)),""))</f>
        <v/>
      </c>
      <c r="G1577" s="24" t="n"/>
      <c r="H1577" s="24" t="n"/>
      <c r="I1577" s="30" t="n"/>
      <c r="J1577" s="23">
        <f>IF(OR($H1577="",$I1577=""),"",$H1577*$I1577)</f>
        <v/>
      </c>
      <c r="K1577" s="24" t="n"/>
      <c r="L1577" s="24" t="n"/>
      <c r="M1577" s="29" t="n"/>
      <c r="N1577" s="28" t="n"/>
      <c r="O1577" s="24" t="n"/>
      <c r="P1577" s="24" t="n"/>
      <c r="Q1577" s="24" t="n"/>
      <c r="R1577" s="24" t="n"/>
      <c r="S1577" s="22">
        <f>IF(AND($A1577="",$C1577=""),"",IF($A1577="","Thiếu mã đơn; ","")&amp;IF(COUNTIF($A$2:$A1577,$A1577)&gt;1,"Trùng mã đơn; ","")&amp;IF(ISNA(MATCH($C1577,DATA_MASTER!$D$2:$D$5000,0)),"SĐT chưa đăng ký hội viên; ","")&amp;IF(AND($L1577="Đã chuyển khoản",$M1577=""),"Thiếu ngày nhận CK; ",""))</f>
        <v/>
      </c>
      <c r="T1577" s="24" t="n"/>
    </row>
    <row r="1578" ht="14.25" customHeight="1" s="40">
      <c r="A1578" s="24" t="n"/>
      <c r="B1578" s="29" t="n"/>
      <c r="C1578" s="28" t="n"/>
      <c r="D1578" s="22">
        <f t="array" ref="D1578">IF($C1578="","",IFERROR(INDEX(DATA_MASTER!$C$2:$C$5000,MATCH($C1578,DATA_MASTER!$D$2:$D$5000,0)),""))</f>
        <v/>
      </c>
      <c r="E1578" s="22">
        <f t="array" ref="E1578">IF($C1578="","",IFERROR(INDEX(DATA_MASTER!$I$2:$I$5000,MATCH($C1578,DATA_MASTER!$D$2:$D$5000,0)),""))</f>
        <v/>
      </c>
      <c r="F1578" s="22">
        <f t="array" ref="F1578">IF($C1578="","",IFERROR(INDEX(DATA_MASTER!$L$2:$L$5000,MATCH($C1578,DATA_MASTER!$D$2:$D$5000,0)),""))</f>
        <v/>
      </c>
      <c r="G1578" s="24" t="n"/>
      <c r="H1578" s="24" t="n"/>
      <c r="I1578" s="30" t="n"/>
      <c r="J1578" s="23">
        <f>IF(OR($H1578="",$I1578=""),"",$H1578*$I1578)</f>
        <v/>
      </c>
      <c r="K1578" s="24" t="n"/>
      <c r="L1578" s="24" t="n"/>
      <c r="M1578" s="29" t="n"/>
      <c r="N1578" s="28" t="n"/>
      <c r="O1578" s="24" t="n"/>
      <c r="P1578" s="24" t="n"/>
      <c r="Q1578" s="24" t="n"/>
      <c r="R1578" s="24" t="n"/>
      <c r="S1578" s="22">
        <f>IF(AND($A1578="",$C1578=""),"",IF($A1578="","Thiếu mã đơn; ","")&amp;IF(COUNTIF($A$2:$A1578,$A1578)&gt;1,"Trùng mã đơn; ","")&amp;IF(ISNA(MATCH($C1578,DATA_MASTER!$D$2:$D$5000,0)),"SĐT chưa đăng ký hội viên; ","")&amp;IF(AND($L1578="Đã chuyển khoản",$M1578=""),"Thiếu ngày nhận CK; ",""))</f>
        <v/>
      </c>
      <c r="T1578" s="24" t="n"/>
    </row>
    <row r="1579" ht="14.25" customHeight="1" s="40">
      <c r="A1579" s="24" t="n"/>
      <c r="B1579" s="29" t="n"/>
      <c r="C1579" s="28" t="n"/>
      <c r="D1579" s="22">
        <f t="array" ref="D1579">IF($C1579="","",IFERROR(INDEX(DATA_MASTER!$C$2:$C$5000,MATCH($C1579,DATA_MASTER!$D$2:$D$5000,0)),""))</f>
        <v/>
      </c>
      <c r="E1579" s="22">
        <f t="array" ref="E1579">IF($C1579="","",IFERROR(INDEX(DATA_MASTER!$I$2:$I$5000,MATCH($C1579,DATA_MASTER!$D$2:$D$5000,0)),""))</f>
        <v/>
      </c>
      <c r="F1579" s="22">
        <f t="array" ref="F1579">IF($C1579="","",IFERROR(INDEX(DATA_MASTER!$L$2:$L$5000,MATCH($C1579,DATA_MASTER!$D$2:$D$5000,0)),""))</f>
        <v/>
      </c>
      <c r="G1579" s="24" t="n"/>
      <c r="H1579" s="24" t="n"/>
      <c r="I1579" s="30" t="n"/>
      <c r="J1579" s="23">
        <f>IF(OR($H1579="",$I1579=""),"",$H1579*$I1579)</f>
        <v/>
      </c>
      <c r="K1579" s="24" t="n"/>
      <c r="L1579" s="24" t="n"/>
      <c r="M1579" s="29" t="n"/>
      <c r="N1579" s="28" t="n"/>
      <c r="O1579" s="24" t="n"/>
      <c r="P1579" s="24" t="n"/>
      <c r="Q1579" s="24" t="n"/>
      <c r="R1579" s="24" t="n"/>
      <c r="S1579" s="22">
        <f>IF(AND($A1579="",$C1579=""),"",IF($A1579="","Thiếu mã đơn; ","")&amp;IF(COUNTIF($A$2:$A1579,$A1579)&gt;1,"Trùng mã đơn; ","")&amp;IF(ISNA(MATCH($C1579,DATA_MASTER!$D$2:$D$5000,0)),"SĐT chưa đăng ký hội viên; ","")&amp;IF(AND($L1579="Đã chuyển khoản",$M1579=""),"Thiếu ngày nhận CK; ",""))</f>
        <v/>
      </c>
      <c r="T1579" s="24" t="n"/>
    </row>
    <row r="1580" ht="14.25" customHeight="1" s="40">
      <c r="A1580" s="24" t="n"/>
      <c r="B1580" s="29" t="n"/>
      <c r="C1580" s="28" t="n"/>
      <c r="D1580" s="22">
        <f t="array" ref="D1580">IF($C1580="","",IFERROR(INDEX(DATA_MASTER!$C$2:$C$5000,MATCH($C1580,DATA_MASTER!$D$2:$D$5000,0)),""))</f>
        <v/>
      </c>
      <c r="E1580" s="22">
        <f t="array" ref="E1580">IF($C1580="","",IFERROR(INDEX(DATA_MASTER!$I$2:$I$5000,MATCH($C1580,DATA_MASTER!$D$2:$D$5000,0)),""))</f>
        <v/>
      </c>
      <c r="F1580" s="22">
        <f t="array" ref="F1580">IF($C1580="","",IFERROR(INDEX(DATA_MASTER!$L$2:$L$5000,MATCH($C1580,DATA_MASTER!$D$2:$D$5000,0)),""))</f>
        <v/>
      </c>
      <c r="G1580" s="24" t="n"/>
      <c r="H1580" s="24" t="n"/>
      <c r="I1580" s="30" t="n"/>
      <c r="J1580" s="23">
        <f>IF(OR($H1580="",$I1580=""),"",$H1580*$I1580)</f>
        <v/>
      </c>
      <c r="K1580" s="24" t="n"/>
      <c r="L1580" s="24" t="n"/>
      <c r="M1580" s="29" t="n"/>
      <c r="N1580" s="28" t="n"/>
      <c r="O1580" s="24" t="n"/>
      <c r="P1580" s="24" t="n"/>
      <c r="Q1580" s="24" t="n"/>
      <c r="R1580" s="24" t="n"/>
      <c r="S1580" s="22">
        <f>IF(AND($A1580="",$C1580=""),"",IF($A1580="","Thiếu mã đơn; ","")&amp;IF(COUNTIF($A$2:$A1580,$A1580)&gt;1,"Trùng mã đơn; ","")&amp;IF(ISNA(MATCH($C1580,DATA_MASTER!$D$2:$D$5000,0)),"SĐT chưa đăng ký hội viên; ","")&amp;IF(AND($L1580="Đã chuyển khoản",$M1580=""),"Thiếu ngày nhận CK; ",""))</f>
        <v/>
      </c>
      <c r="T1580" s="24" t="n"/>
    </row>
    <row r="1581" ht="14.25" customHeight="1" s="40">
      <c r="A1581" s="24" t="n"/>
      <c r="B1581" s="29" t="n"/>
      <c r="C1581" s="28" t="n"/>
      <c r="D1581" s="22">
        <f t="array" ref="D1581">IF($C1581="","",IFERROR(INDEX(DATA_MASTER!$C$2:$C$5000,MATCH($C1581,DATA_MASTER!$D$2:$D$5000,0)),""))</f>
        <v/>
      </c>
      <c r="E1581" s="22">
        <f t="array" ref="E1581">IF($C1581="","",IFERROR(INDEX(DATA_MASTER!$I$2:$I$5000,MATCH($C1581,DATA_MASTER!$D$2:$D$5000,0)),""))</f>
        <v/>
      </c>
      <c r="F1581" s="22">
        <f t="array" ref="F1581">IF($C1581="","",IFERROR(INDEX(DATA_MASTER!$L$2:$L$5000,MATCH($C1581,DATA_MASTER!$D$2:$D$5000,0)),""))</f>
        <v/>
      </c>
      <c r="G1581" s="24" t="n"/>
      <c r="H1581" s="24" t="n"/>
      <c r="I1581" s="30" t="n"/>
      <c r="J1581" s="23">
        <f>IF(OR($H1581="",$I1581=""),"",$H1581*$I1581)</f>
        <v/>
      </c>
      <c r="K1581" s="24" t="n"/>
      <c r="L1581" s="24" t="n"/>
      <c r="M1581" s="29" t="n"/>
      <c r="N1581" s="28" t="n"/>
      <c r="O1581" s="24" t="n"/>
      <c r="P1581" s="24" t="n"/>
      <c r="Q1581" s="24" t="n"/>
      <c r="R1581" s="24" t="n"/>
      <c r="S1581" s="22">
        <f>IF(AND($A1581="",$C1581=""),"",IF($A1581="","Thiếu mã đơn; ","")&amp;IF(COUNTIF($A$2:$A1581,$A1581)&gt;1,"Trùng mã đơn; ","")&amp;IF(ISNA(MATCH($C1581,DATA_MASTER!$D$2:$D$5000,0)),"SĐT chưa đăng ký hội viên; ","")&amp;IF(AND($L1581="Đã chuyển khoản",$M1581=""),"Thiếu ngày nhận CK; ",""))</f>
        <v/>
      </c>
      <c r="T1581" s="24" t="n"/>
    </row>
    <row r="1582" ht="14.25" customHeight="1" s="40">
      <c r="A1582" s="24" t="n"/>
      <c r="B1582" s="29" t="n"/>
      <c r="C1582" s="28" t="n"/>
      <c r="D1582" s="22">
        <f t="array" ref="D1582">IF($C1582="","",IFERROR(INDEX(DATA_MASTER!$C$2:$C$5000,MATCH($C1582,DATA_MASTER!$D$2:$D$5000,0)),""))</f>
        <v/>
      </c>
      <c r="E1582" s="22">
        <f t="array" ref="E1582">IF($C1582="","",IFERROR(INDEX(DATA_MASTER!$I$2:$I$5000,MATCH($C1582,DATA_MASTER!$D$2:$D$5000,0)),""))</f>
        <v/>
      </c>
      <c r="F1582" s="22">
        <f t="array" ref="F1582">IF($C1582="","",IFERROR(INDEX(DATA_MASTER!$L$2:$L$5000,MATCH($C1582,DATA_MASTER!$D$2:$D$5000,0)),""))</f>
        <v/>
      </c>
      <c r="G1582" s="24" t="n"/>
      <c r="H1582" s="24" t="n"/>
      <c r="I1582" s="30" t="n"/>
      <c r="J1582" s="23">
        <f>IF(OR($H1582="",$I1582=""),"",$H1582*$I1582)</f>
        <v/>
      </c>
      <c r="K1582" s="24" t="n"/>
      <c r="L1582" s="24" t="n"/>
      <c r="M1582" s="29" t="n"/>
      <c r="N1582" s="28" t="n"/>
      <c r="O1582" s="24" t="n"/>
      <c r="P1582" s="24" t="n"/>
      <c r="Q1582" s="24" t="n"/>
      <c r="R1582" s="24" t="n"/>
      <c r="S1582" s="22">
        <f>IF(AND($A1582="",$C1582=""),"",IF($A1582="","Thiếu mã đơn; ","")&amp;IF(COUNTIF($A$2:$A1582,$A1582)&gt;1,"Trùng mã đơn; ","")&amp;IF(ISNA(MATCH($C1582,DATA_MASTER!$D$2:$D$5000,0)),"SĐT chưa đăng ký hội viên; ","")&amp;IF(AND($L1582="Đã chuyển khoản",$M1582=""),"Thiếu ngày nhận CK; ",""))</f>
        <v/>
      </c>
      <c r="T1582" s="24" t="n"/>
    </row>
    <row r="1583" ht="14.25" customHeight="1" s="40">
      <c r="A1583" s="24" t="n"/>
      <c r="B1583" s="29" t="n"/>
      <c r="C1583" s="28" t="n"/>
      <c r="D1583" s="22">
        <f t="array" ref="D1583">IF($C1583="","",IFERROR(INDEX(DATA_MASTER!$C$2:$C$5000,MATCH($C1583,DATA_MASTER!$D$2:$D$5000,0)),""))</f>
        <v/>
      </c>
      <c r="E1583" s="22">
        <f t="array" ref="E1583">IF($C1583="","",IFERROR(INDEX(DATA_MASTER!$I$2:$I$5000,MATCH($C1583,DATA_MASTER!$D$2:$D$5000,0)),""))</f>
        <v/>
      </c>
      <c r="F1583" s="22">
        <f t="array" ref="F1583">IF($C1583="","",IFERROR(INDEX(DATA_MASTER!$L$2:$L$5000,MATCH($C1583,DATA_MASTER!$D$2:$D$5000,0)),""))</f>
        <v/>
      </c>
      <c r="G1583" s="24" t="n"/>
      <c r="H1583" s="24" t="n"/>
      <c r="I1583" s="30" t="n"/>
      <c r="J1583" s="23">
        <f>IF(OR($H1583="",$I1583=""),"",$H1583*$I1583)</f>
        <v/>
      </c>
      <c r="K1583" s="24" t="n"/>
      <c r="L1583" s="24" t="n"/>
      <c r="M1583" s="29" t="n"/>
      <c r="N1583" s="28" t="n"/>
      <c r="O1583" s="24" t="n"/>
      <c r="P1583" s="24" t="n"/>
      <c r="Q1583" s="24" t="n"/>
      <c r="R1583" s="24" t="n"/>
      <c r="S1583" s="22">
        <f>IF(AND($A1583="",$C1583=""),"",IF($A1583="","Thiếu mã đơn; ","")&amp;IF(COUNTIF($A$2:$A1583,$A1583)&gt;1,"Trùng mã đơn; ","")&amp;IF(ISNA(MATCH($C1583,DATA_MASTER!$D$2:$D$5000,0)),"SĐT chưa đăng ký hội viên; ","")&amp;IF(AND($L1583="Đã chuyển khoản",$M1583=""),"Thiếu ngày nhận CK; ",""))</f>
        <v/>
      </c>
      <c r="T1583" s="24" t="n"/>
    </row>
    <row r="1584" ht="14.25" customHeight="1" s="40">
      <c r="A1584" s="24" t="n"/>
      <c r="B1584" s="29" t="n"/>
      <c r="C1584" s="28" t="n"/>
      <c r="D1584" s="22">
        <f t="array" ref="D1584">IF($C1584="","",IFERROR(INDEX(DATA_MASTER!$C$2:$C$5000,MATCH($C1584,DATA_MASTER!$D$2:$D$5000,0)),""))</f>
        <v/>
      </c>
      <c r="E1584" s="22">
        <f t="array" ref="E1584">IF($C1584="","",IFERROR(INDEX(DATA_MASTER!$I$2:$I$5000,MATCH($C1584,DATA_MASTER!$D$2:$D$5000,0)),""))</f>
        <v/>
      </c>
      <c r="F1584" s="22">
        <f t="array" ref="F1584">IF($C1584="","",IFERROR(INDEX(DATA_MASTER!$L$2:$L$5000,MATCH($C1584,DATA_MASTER!$D$2:$D$5000,0)),""))</f>
        <v/>
      </c>
      <c r="G1584" s="24" t="n"/>
      <c r="H1584" s="24" t="n"/>
      <c r="I1584" s="30" t="n"/>
      <c r="J1584" s="23">
        <f>IF(OR($H1584="",$I1584=""),"",$H1584*$I1584)</f>
        <v/>
      </c>
      <c r="K1584" s="24" t="n"/>
      <c r="L1584" s="24" t="n"/>
      <c r="M1584" s="29" t="n"/>
      <c r="N1584" s="28" t="n"/>
      <c r="O1584" s="24" t="n"/>
      <c r="P1584" s="24" t="n"/>
      <c r="Q1584" s="24" t="n"/>
      <c r="R1584" s="24" t="n"/>
      <c r="S1584" s="22">
        <f>IF(AND($A1584="",$C1584=""),"",IF($A1584="","Thiếu mã đơn; ","")&amp;IF(COUNTIF($A$2:$A1584,$A1584)&gt;1,"Trùng mã đơn; ","")&amp;IF(ISNA(MATCH($C1584,DATA_MASTER!$D$2:$D$5000,0)),"SĐT chưa đăng ký hội viên; ","")&amp;IF(AND($L1584="Đã chuyển khoản",$M1584=""),"Thiếu ngày nhận CK; ",""))</f>
        <v/>
      </c>
      <c r="T1584" s="24" t="n"/>
    </row>
    <row r="1585" ht="14.25" customHeight="1" s="40">
      <c r="A1585" s="24" t="n"/>
      <c r="B1585" s="29" t="n"/>
      <c r="C1585" s="28" t="n"/>
      <c r="D1585" s="22">
        <f t="array" ref="D1585">IF($C1585="","",IFERROR(INDEX(DATA_MASTER!$C$2:$C$5000,MATCH($C1585,DATA_MASTER!$D$2:$D$5000,0)),""))</f>
        <v/>
      </c>
      <c r="E1585" s="22">
        <f t="array" ref="E1585">IF($C1585="","",IFERROR(INDEX(DATA_MASTER!$I$2:$I$5000,MATCH($C1585,DATA_MASTER!$D$2:$D$5000,0)),""))</f>
        <v/>
      </c>
      <c r="F1585" s="22">
        <f t="array" ref="F1585">IF($C1585="","",IFERROR(INDEX(DATA_MASTER!$L$2:$L$5000,MATCH($C1585,DATA_MASTER!$D$2:$D$5000,0)),""))</f>
        <v/>
      </c>
      <c r="G1585" s="24" t="n"/>
      <c r="H1585" s="24" t="n"/>
      <c r="I1585" s="30" t="n"/>
      <c r="J1585" s="23">
        <f>IF(OR($H1585="",$I1585=""),"",$H1585*$I1585)</f>
        <v/>
      </c>
      <c r="K1585" s="24" t="n"/>
      <c r="L1585" s="24" t="n"/>
      <c r="M1585" s="29" t="n"/>
      <c r="N1585" s="28" t="n"/>
      <c r="O1585" s="24" t="n"/>
      <c r="P1585" s="24" t="n"/>
      <c r="Q1585" s="24" t="n"/>
      <c r="R1585" s="24" t="n"/>
      <c r="S1585" s="22">
        <f>IF(AND($A1585="",$C1585=""),"",IF($A1585="","Thiếu mã đơn; ","")&amp;IF(COUNTIF($A$2:$A1585,$A1585)&gt;1,"Trùng mã đơn; ","")&amp;IF(ISNA(MATCH($C1585,DATA_MASTER!$D$2:$D$5000,0)),"SĐT chưa đăng ký hội viên; ","")&amp;IF(AND($L1585="Đã chuyển khoản",$M1585=""),"Thiếu ngày nhận CK; ",""))</f>
        <v/>
      </c>
      <c r="T1585" s="24" t="n"/>
    </row>
    <row r="1586" ht="14.25" customHeight="1" s="40">
      <c r="A1586" s="24" t="n"/>
      <c r="B1586" s="29" t="n"/>
      <c r="C1586" s="28" t="n"/>
      <c r="D1586" s="22">
        <f t="array" ref="D1586">IF($C1586="","",IFERROR(INDEX(DATA_MASTER!$C$2:$C$5000,MATCH($C1586,DATA_MASTER!$D$2:$D$5000,0)),""))</f>
        <v/>
      </c>
      <c r="E1586" s="22">
        <f t="array" ref="E1586">IF($C1586="","",IFERROR(INDEX(DATA_MASTER!$I$2:$I$5000,MATCH($C1586,DATA_MASTER!$D$2:$D$5000,0)),""))</f>
        <v/>
      </c>
      <c r="F1586" s="22">
        <f t="array" ref="F1586">IF($C1586="","",IFERROR(INDEX(DATA_MASTER!$L$2:$L$5000,MATCH($C1586,DATA_MASTER!$D$2:$D$5000,0)),""))</f>
        <v/>
      </c>
      <c r="G1586" s="24" t="n"/>
      <c r="H1586" s="24" t="n"/>
      <c r="I1586" s="30" t="n"/>
      <c r="J1586" s="23">
        <f>IF(OR($H1586="",$I1586=""),"",$H1586*$I1586)</f>
        <v/>
      </c>
      <c r="K1586" s="24" t="n"/>
      <c r="L1586" s="24" t="n"/>
      <c r="M1586" s="29" t="n"/>
      <c r="N1586" s="28" t="n"/>
      <c r="O1586" s="24" t="n"/>
      <c r="P1586" s="24" t="n"/>
      <c r="Q1586" s="24" t="n"/>
      <c r="R1586" s="24" t="n"/>
      <c r="S1586" s="22">
        <f>IF(AND($A1586="",$C1586=""),"",IF($A1586="","Thiếu mã đơn; ","")&amp;IF(COUNTIF($A$2:$A1586,$A1586)&gt;1,"Trùng mã đơn; ","")&amp;IF(ISNA(MATCH($C1586,DATA_MASTER!$D$2:$D$5000,0)),"SĐT chưa đăng ký hội viên; ","")&amp;IF(AND($L1586="Đã chuyển khoản",$M1586=""),"Thiếu ngày nhận CK; ",""))</f>
        <v/>
      </c>
      <c r="T1586" s="24" t="n"/>
    </row>
    <row r="1587" ht="14.25" customHeight="1" s="40">
      <c r="A1587" s="24" t="n"/>
      <c r="B1587" s="29" t="n"/>
      <c r="C1587" s="28" t="n"/>
      <c r="D1587" s="22">
        <f t="array" ref="D1587">IF($C1587="","",IFERROR(INDEX(DATA_MASTER!$C$2:$C$5000,MATCH($C1587,DATA_MASTER!$D$2:$D$5000,0)),""))</f>
        <v/>
      </c>
      <c r="E1587" s="22">
        <f t="array" ref="E1587">IF($C1587="","",IFERROR(INDEX(DATA_MASTER!$I$2:$I$5000,MATCH($C1587,DATA_MASTER!$D$2:$D$5000,0)),""))</f>
        <v/>
      </c>
      <c r="F1587" s="22">
        <f t="array" ref="F1587">IF($C1587="","",IFERROR(INDEX(DATA_MASTER!$L$2:$L$5000,MATCH($C1587,DATA_MASTER!$D$2:$D$5000,0)),""))</f>
        <v/>
      </c>
      <c r="G1587" s="24" t="n"/>
      <c r="H1587" s="24" t="n"/>
      <c r="I1587" s="30" t="n"/>
      <c r="J1587" s="23">
        <f>IF(OR($H1587="",$I1587=""),"",$H1587*$I1587)</f>
        <v/>
      </c>
      <c r="K1587" s="24" t="n"/>
      <c r="L1587" s="24" t="n"/>
      <c r="M1587" s="29" t="n"/>
      <c r="N1587" s="28" t="n"/>
      <c r="O1587" s="24" t="n"/>
      <c r="P1587" s="24" t="n"/>
      <c r="Q1587" s="24" t="n"/>
      <c r="R1587" s="24" t="n"/>
      <c r="S1587" s="22">
        <f>IF(AND($A1587="",$C1587=""),"",IF($A1587="","Thiếu mã đơn; ","")&amp;IF(COUNTIF($A$2:$A1587,$A1587)&gt;1,"Trùng mã đơn; ","")&amp;IF(ISNA(MATCH($C1587,DATA_MASTER!$D$2:$D$5000,0)),"SĐT chưa đăng ký hội viên; ","")&amp;IF(AND($L1587="Đã chuyển khoản",$M1587=""),"Thiếu ngày nhận CK; ",""))</f>
        <v/>
      </c>
      <c r="T1587" s="24" t="n"/>
    </row>
    <row r="1588" ht="14.25" customHeight="1" s="40">
      <c r="A1588" s="24" t="n"/>
      <c r="B1588" s="29" t="n"/>
      <c r="C1588" s="28" t="n"/>
      <c r="D1588" s="22">
        <f t="array" ref="D1588">IF($C1588="","",IFERROR(INDEX(DATA_MASTER!$C$2:$C$5000,MATCH($C1588,DATA_MASTER!$D$2:$D$5000,0)),""))</f>
        <v/>
      </c>
      <c r="E1588" s="22">
        <f t="array" ref="E1588">IF($C1588="","",IFERROR(INDEX(DATA_MASTER!$I$2:$I$5000,MATCH($C1588,DATA_MASTER!$D$2:$D$5000,0)),""))</f>
        <v/>
      </c>
      <c r="F1588" s="22">
        <f t="array" ref="F1588">IF($C1588="","",IFERROR(INDEX(DATA_MASTER!$L$2:$L$5000,MATCH($C1588,DATA_MASTER!$D$2:$D$5000,0)),""))</f>
        <v/>
      </c>
      <c r="G1588" s="24" t="n"/>
      <c r="H1588" s="24" t="n"/>
      <c r="I1588" s="30" t="n"/>
      <c r="J1588" s="23">
        <f>IF(OR($H1588="",$I1588=""),"",$H1588*$I1588)</f>
        <v/>
      </c>
      <c r="K1588" s="24" t="n"/>
      <c r="L1588" s="24" t="n"/>
      <c r="M1588" s="29" t="n"/>
      <c r="N1588" s="28" t="n"/>
      <c r="O1588" s="24" t="n"/>
      <c r="P1588" s="24" t="n"/>
      <c r="Q1588" s="24" t="n"/>
      <c r="R1588" s="24" t="n"/>
      <c r="S1588" s="22">
        <f>IF(AND($A1588="",$C1588=""),"",IF($A1588="","Thiếu mã đơn; ","")&amp;IF(COUNTIF($A$2:$A1588,$A1588)&gt;1,"Trùng mã đơn; ","")&amp;IF(ISNA(MATCH($C1588,DATA_MASTER!$D$2:$D$5000,0)),"SĐT chưa đăng ký hội viên; ","")&amp;IF(AND($L1588="Đã chuyển khoản",$M1588=""),"Thiếu ngày nhận CK; ",""))</f>
        <v/>
      </c>
      <c r="T1588" s="24" t="n"/>
    </row>
    <row r="1589" ht="14.25" customHeight="1" s="40">
      <c r="A1589" s="24" t="n"/>
      <c r="B1589" s="29" t="n"/>
      <c r="C1589" s="28" t="n"/>
      <c r="D1589" s="22">
        <f t="array" ref="D1589">IF($C1589="","",IFERROR(INDEX(DATA_MASTER!$C$2:$C$5000,MATCH($C1589,DATA_MASTER!$D$2:$D$5000,0)),""))</f>
        <v/>
      </c>
      <c r="E1589" s="22">
        <f t="array" ref="E1589">IF($C1589="","",IFERROR(INDEX(DATA_MASTER!$I$2:$I$5000,MATCH($C1589,DATA_MASTER!$D$2:$D$5000,0)),""))</f>
        <v/>
      </c>
      <c r="F1589" s="22">
        <f t="array" ref="F1589">IF($C1589="","",IFERROR(INDEX(DATA_MASTER!$L$2:$L$5000,MATCH($C1589,DATA_MASTER!$D$2:$D$5000,0)),""))</f>
        <v/>
      </c>
      <c r="G1589" s="24" t="n"/>
      <c r="H1589" s="24" t="n"/>
      <c r="I1589" s="30" t="n"/>
      <c r="J1589" s="23">
        <f>IF(OR($H1589="",$I1589=""),"",$H1589*$I1589)</f>
        <v/>
      </c>
      <c r="K1589" s="24" t="n"/>
      <c r="L1589" s="24" t="n"/>
      <c r="M1589" s="29" t="n"/>
      <c r="N1589" s="28" t="n"/>
      <c r="O1589" s="24" t="n"/>
      <c r="P1589" s="24" t="n"/>
      <c r="Q1589" s="24" t="n"/>
      <c r="R1589" s="24" t="n"/>
      <c r="S1589" s="22">
        <f>IF(AND($A1589="",$C1589=""),"",IF($A1589="","Thiếu mã đơn; ","")&amp;IF(COUNTIF($A$2:$A1589,$A1589)&gt;1,"Trùng mã đơn; ","")&amp;IF(ISNA(MATCH($C1589,DATA_MASTER!$D$2:$D$5000,0)),"SĐT chưa đăng ký hội viên; ","")&amp;IF(AND($L1589="Đã chuyển khoản",$M1589=""),"Thiếu ngày nhận CK; ",""))</f>
        <v/>
      </c>
      <c r="T1589" s="24" t="n"/>
    </row>
    <row r="1590" ht="14.25" customHeight="1" s="40">
      <c r="A1590" s="24" t="n"/>
      <c r="B1590" s="29" t="n"/>
      <c r="C1590" s="28" t="n"/>
      <c r="D1590" s="22">
        <f t="array" ref="D1590">IF($C1590="","",IFERROR(INDEX(DATA_MASTER!$C$2:$C$5000,MATCH($C1590,DATA_MASTER!$D$2:$D$5000,0)),""))</f>
        <v/>
      </c>
      <c r="E1590" s="22">
        <f t="array" ref="E1590">IF($C1590="","",IFERROR(INDEX(DATA_MASTER!$I$2:$I$5000,MATCH($C1590,DATA_MASTER!$D$2:$D$5000,0)),""))</f>
        <v/>
      </c>
      <c r="F1590" s="22">
        <f t="array" ref="F1590">IF($C1590="","",IFERROR(INDEX(DATA_MASTER!$L$2:$L$5000,MATCH($C1590,DATA_MASTER!$D$2:$D$5000,0)),""))</f>
        <v/>
      </c>
      <c r="G1590" s="24" t="n"/>
      <c r="H1590" s="24" t="n"/>
      <c r="I1590" s="30" t="n"/>
      <c r="J1590" s="23">
        <f>IF(OR($H1590="",$I1590=""),"",$H1590*$I1590)</f>
        <v/>
      </c>
      <c r="K1590" s="24" t="n"/>
      <c r="L1590" s="24" t="n"/>
      <c r="M1590" s="29" t="n"/>
      <c r="N1590" s="28" t="n"/>
      <c r="O1590" s="24" t="n"/>
      <c r="P1590" s="24" t="n"/>
      <c r="Q1590" s="24" t="n"/>
      <c r="R1590" s="24" t="n"/>
      <c r="S1590" s="22">
        <f>IF(AND($A1590="",$C1590=""),"",IF($A1590="","Thiếu mã đơn; ","")&amp;IF(COUNTIF($A$2:$A1590,$A1590)&gt;1,"Trùng mã đơn; ","")&amp;IF(ISNA(MATCH($C1590,DATA_MASTER!$D$2:$D$5000,0)),"SĐT chưa đăng ký hội viên; ","")&amp;IF(AND($L1590="Đã chuyển khoản",$M1590=""),"Thiếu ngày nhận CK; ",""))</f>
        <v/>
      </c>
      <c r="T1590" s="24" t="n"/>
    </row>
    <row r="1591" ht="14.25" customHeight="1" s="40">
      <c r="A1591" s="24" t="n"/>
      <c r="B1591" s="29" t="n"/>
      <c r="C1591" s="28" t="n"/>
      <c r="D1591" s="22">
        <f t="array" ref="D1591">IF($C1591="","",IFERROR(INDEX(DATA_MASTER!$C$2:$C$5000,MATCH($C1591,DATA_MASTER!$D$2:$D$5000,0)),""))</f>
        <v/>
      </c>
      <c r="E1591" s="22">
        <f t="array" ref="E1591">IF($C1591="","",IFERROR(INDEX(DATA_MASTER!$I$2:$I$5000,MATCH($C1591,DATA_MASTER!$D$2:$D$5000,0)),""))</f>
        <v/>
      </c>
      <c r="F1591" s="22">
        <f t="array" ref="F1591">IF($C1591="","",IFERROR(INDEX(DATA_MASTER!$L$2:$L$5000,MATCH($C1591,DATA_MASTER!$D$2:$D$5000,0)),""))</f>
        <v/>
      </c>
      <c r="G1591" s="24" t="n"/>
      <c r="H1591" s="24" t="n"/>
      <c r="I1591" s="30" t="n"/>
      <c r="J1591" s="23">
        <f>IF(OR($H1591="",$I1591=""),"",$H1591*$I1591)</f>
        <v/>
      </c>
      <c r="K1591" s="24" t="n"/>
      <c r="L1591" s="24" t="n"/>
      <c r="M1591" s="29" t="n"/>
      <c r="N1591" s="28" t="n"/>
      <c r="O1591" s="24" t="n"/>
      <c r="P1591" s="24" t="n"/>
      <c r="Q1591" s="24" t="n"/>
      <c r="R1591" s="24" t="n"/>
      <c r="S1591" s="22">
        <f>IF(AND($A1591="",$C1591=""),"",IF($A1591="","Thiếu mã đơn; ","")&amp;IF(COUNTIF($A$2:$A1591,$A1591)&gt;1,"Trùng mã đơn; ","")&amp;IF(ISNA(MATCH($C1591,DATA_MASTER!$D$2:$D$5000,0)),"SĐT chưa đăng ký hội viên; ","")&amp;IF(AND($L1591="Đã chuyển khoản",$M1591=""),"Thiếu ngày nhận CK; ",""))</f>
        <v/>
      </c>
      <c r="T1591" s="24" t="n"/>
    </row>
    <row r="1592" ht="14.25" customHeight="1" s="40">
      <c r="A1592" s="24" t="n"/>
      <c r="B1592" s="29" t="n"/>
      <c r="C1592" s="28" t="n"/>
      <c r="D1592" s="22">
        <f t="array" ref="D1592">IF($C1592="","",IFERROR(INDEX(DATA_MASTER!$C$2:$C$5000,MATCH($C1592,DATA_MASTER!$D$2:$D$5000,0)),""))</f>
        <v/>
      </c>
      <c r="E1592" s="22">
        <f t="array" ref="E1592">IF($C1592="","",IFERROR(INDEX(DATA_MASTER!$I$2:$I$5000,MATCH($C1592,DATA_MASTER!$D$2:$D$5000,0)),""))</f>
        <v/>
      </c>
      <c r="F1592" s="22">
        <f t="array" ref="F1592">IF($C1592="","",IFERROR(INDEX(DATA_MASTER!$L$2:$L$5000,MATCH($C1592,DATA_MASTER!$D$2:$D$5000,0)),""))</f>
        <v/>
      </c>
      <c r="G1592" s="24" t="n"/>
      <c r="H1592" s="24" t="n"/>
      <c r="I1592" s="30" t="n"/>
      <c r="J1592" s="23">
        <f>IF(OR($H1592="",$I1592=""),"",$H1592*$I1592)</f>
        <v/>
      </c>
      <c r="K1592" s="24" t="n"/>
      <c r="L1592" s="24" t="n"/>
      <c r="M1592" s="29" t="n"/>
      <c r="N1592" s="28" t="n"/>
      <c r="O1592" s="24" t="n"/>
      <c r="P1592" s="24" t="n"/>
      <c r="Q1592" s="24" t="n"/>
      <c r="R1592" s="24" t="n"/>
      <c r="S1592" s="22">
        <f>IF(AND($A1592="",$C1592=""),"",IF($A1592="","Thiếu mã đơn; ","")&amp;IF(COUNTIF($A$2:$A1592,$A1592)&gt;1,"Trùng mã đơn; ","")&amp;IF(ISNA(MATCH($C1592,DATA_MASTER!$D$2:$D$5000,0)),"SĐT chưa đăng ký hội viên; ","")&amp;IF(AND($L1592="Đã chuyển khoản",$M1592=""),"Thiếu ngày nhận CK; ",""))</f>
        <v/>
      </c>
      <c r="T1592" s="24" t="n"/>
    </row>
    <row r="1593" ht="14.25" customHeight="1" s="40">
      <c r="A1593" s="24" t="n"/>
      <c r="B1593" s="29" t="n"/>
      <c r="C1593" s="28" t="n"/>
      <c r="D1593" s="22">
        <f t="array" ref="D1593">IF($C1593="","",IFERROR(INDEX(DATA_MASTER!$C$2:$C$5000,MATCH($C1593,DATA_MASTER!$D$2:$D$5000,0)),""))</f>
        <v/>
      </c>
      <c r="E1593" s="22">
        <f t="array" ref="E1593">IF($C1593="","",IFERROR(INDEX(DATA_MASTER!$I$2:$I$5000,MATCH($C1593,DATA_MASTER!$D$2:$D$5000,0)),""))</f>
        <v/>
      </c>
      <c r="F1593" s="22">
        <f t="array" ref="F1593">IF($C1593="","",IFERROR(INDEX(DATA_MASTER!$L$2:$L$5000,MATCH($C1593,DATA_MASTER!$D$2:$D$5000,0)),""))</f>
        <v/>
      </c>
      <c r="G1593" s="24" t="n"/>
      <c r="H1593" s="24" t="n"/>
      <c r="I1593" s="30" t="n"/>
      <c r="J1593" s="23">
        <f>IF(OR($H1593="",$I1593=""),"",$H1593*$I1593)</f>
        <v/>
      </c>
      <c r="K1593" s="24" t="n"/>
      <c r="L1593" s="24" t="n"/>
      <c r="M1593" s="29" t="n"/>
      <c r="N1593" s="28" t="n"/>
      <c r="O1593" s="24" t="n"/>
      <c r="P1593" s="24" t="n"/>
      <c r="Q1593" s="24" t="n"/>
      <c r="R1593" s="24" t="n"/>
      <c r="S1593" s="22">
        <f>IF(AND($A1593="",$C1593=""),"",IF($A1593="","Thiếu mã đơn; ","")&amp;IF(COUNTIF($A$2:$A1593,$A1593)&gt;1,"Trùng mã đơn; ","")&amp;IF(ISNA(MATCH($C1593,DATA_MASTER!$D$2:$D$5000,0)),"SĐT chưa đăng ký hội viên; ","")&amp;IF(AND($L1593="Đã chuyển khoản",$M1593=""),"Thiếu ngày nhận CK; ",""))</f>
        <v/>
      </c>
      <c r="T1593" s="24" t="n"/>
    </row>
    <row r="1594" ht="14.25" customHeight="1" s="40">
      <c r="A1594" s="24" t="n"/>
      <c r="B1594" s="29" t="n"/>
      <c r="C1594" s="28" t="n"/>
      <c r="D1594" s="22">
        <f t="array" ref="D1594">IF($C1594="","",IFERROR(INDEX(DATA_MASTER!$C$2:$C$5000,MATCH($C1594,DATA_MASTER!$D$2:$D$5000,0)),""))</f>
        <v/>
      </c>
      <c r="E1594" s="22">
        <f t="array" ref="E1594">IF($C1594="","",IFERROR(INDEX(DATA_MASTER!$I$2:$I$5000,MATCH($C1594,DATA_MASTER!$D$2:$D$5000,0)),""))</f>
        <v/>
      </c>
      <c r="F1594" s="22">
        <f t="array" ref="F1594">IF($C1594="","",IFERROR(INDEX(DATA_MASTER!$L$2:$L$5000,MATCH($C1594,DATA_MASTER!$D$2:$D$5000,0)),""))</f>
        <v/>
      </c>
      <c r="G1594" s="24" t="n"/>
      <c r="H1594" s="24" t="n"/>
      <c r="I1594" s="30" t="n"/>
      <c r="J1594" s="23">
        <f>IF(OR($H1594="",$I1594=""),"",$H1594*$I1594)</f>
        <v/>
      </c>
      <c r="K1594" s="24" t="n"/>
      <c r="L1594" s="24" t="n"/>
      <c r="M1594" s="29" t="n"/>
      <c r="N1594" s="28" t="n"/>
      <c r="O1594" s="24" t="n"/>
      <c r="P1594" s="24" t="n"/>
      <c r="Q1594" s="24" t="n"/>
      <c r="R1594" s="24" t="n"/>
      <c r="S1594" s="22">
        <f>IF(AND($A1594="",$C1594=""),"",IF($A1594="","Thiếu mã đơn; ","")&amp;IF(COUNTIF($A$2:$A1594,$A1594)&gt;1,"Trùng mã đơn; ","")&amp;IF(ISNA(MATCH($C1594,DATA_MASTER!$D$2:$D$5000,0)),"SĐT chưa đăng ký hội viên; ","")&amp;IF(AND($L1594="Đã chuyển khoản",$M1594=""),"Thiếu ngày nhận CK; ",""))</f>
        <v/>
      </c>
      <c r="T1594" s="24" t="n"/>
    </row>
    <row r="1595" ht="14.25" customHeight="1" s="40">
      <c r="A1595" s="24" t="n"/>
      <c r="B1595" s="29" t="n"/>
      <c r="C1595" s="28" t="n"/>
      <c r="D1595" s="22">
        <f t="array" ref="D1595">IF($C1595="","",IFERROR(INDEX(DATA_MASTER!$C$2:$C$5000,MATCH($C1595,DATA_MASTER!$D$2:$D$5000,0)),""))</f>
        <v/>
      </c>
      <c r="E1595" s="22">
        <f t="array" ref="E1595">IF($C1595="","",IFERROR(INDEX(DATA_MASTER!$I$2:$I$5000,MATCH($C1595,DATA_MASTER!$D$2:$D$5000,0)),""))</f>
        <v/>
      </c>
      <c r="F1595" s="22">
        <f t="array" ref="F1595">IF($C1595="","",IFERROR(INDEX(DATA_MASTER!$L$2:$L$5000,MATCH($C1595,DATA_MASTER!$D$2:$D$5000,0)),""))</f>
        <v/>
      </c>
      <c r="G1595" s="24" t="n"/>
      <c r="H1595" s="24" t="n"/>
      <c r="I1595" s="30" t="n"/>
      <c r="J1595" s="23">
        <f>IF(OR($H1595="",$I1595=""),"",$H1595*$I1595)</f>
        <v/>
      </c>
      <c r="K1595" s="24" t="n"/>
      <c r="L1595" s="24" t="n"/>
      <c r="M1595" s="29" t="n"/>
      <c r="N1595" s="28" t="n"/>
      <c r="O1595" s="24" t="n"/>
      <c r="P1595" s="24" t="n"/>
      <c r="Q1595" s="24" t="n"/>
      <c r="R1595" s="24" t="n"/>
      <c r="S1595" s="22">
        <f>IF(AND($A1595="",$C1595=""),"",IF($A1595="","Thiếu mã đơn; ","")&amp;IF(COUNTIF($A$2:$A1595,$A1595)&gt;1,"Trùng mã đơn; ","")&amp;IF(ISNA(MATCH($C1595,DATA_MASTER!$D$2:$D$5000,0)),"SĐT chưa đăng ký hội viên; ","")&amp;IF(AND($L1595="Đã chuyển khoản",$M1595=""),"Thiếu ngày nhận CK; ",""))</f>
        <v/>
      </c>
      <c r="T1595" s="24" t="n"/>
    </row>
    <row r="1596" ht="14.25" customHeight="1" s="40">
      <c r="A1596" s="24" t="n"/>
      <c r="B1596" s="29" t="n"/>
      <c r="C1596" s="28" t="n"/>
      <c r="D1596" s="22">
        <f t="array" ref="D1596">IF($C1596="","",IFERROR(INDEX(DATA_MASTER!$C$2:$C$5000,MATCH($C1596,DATA_MASTER!$D$2:$D$5000,0)),""))</f>
        <v/>
      </c>
      <c r="E1596" s="22">
        <f t="array" ref="E1596">IF($C1596="","",IFERROR(INDEX(DATA_MASTER!$I$2:$I$5000,MATCH($C1596,DATA_MASTER!$D$2:$D$5000,0)),""))</f>
        <v/>
      </c>
      <c r="F1596" s="22">
        <f t="array" ref="F1596">IF($C1596="","",IFERROR(INDEX(DATA_MASTER!$L$2:$L$5000,MATCH($C1596,DATA_MASTER!$D$2:$D$5000,0)),""))</f>
        <v/>
      </c>
      <c r="G1596" s="24" t="n"/>
      <c r="H1596" s="24" t="n"/>
      <c r="I1596" s="30" t="n"/>
      <c r="J1596" s="23">
        <f>IF(OR($H1596="",$I1596=""),"",$H1596*$I1596)</f>
        <v/>
      </c>
      <c r="K1596" s="24" t="n"/>
      <c r="L1596" s="24" t="n"/>
      <c r="M1596" s="29" t="n"/>
      <c r="N1596" s="28" t="n"/>
      <c r="O1596" s="24" t="n"/>
      <c r="P1596" s="24" t="n"/>
      <c r="Q1596" s="24" t="n"/>
      <c r="R1596" s="24" t="n"/>
      <c r="S1596" s="22">
        <f>IF(AND($A1596="",$C1596=""),"",IF($A1596="","Thiếu mã đơn; ","")&amp;IF(COUNTIF($A$2:$A1596,$A1596)&gt;1,"Trùng mã đơn; ","")&amp;IF(ISNA(MATCH($C1596,DATA_MASTER!$D$2:$D$5000,0)),"SĐT chưa đăng ký hội viên; ","")&amp;IF(AND($L1596="Đã chuyển khoản",$M1596=""),"Thiếu ngày nhận CK; ",""))</f>
        <v/>
      </c>
      <c r="T1596" s="24" t="n"/>
    </row>
    <row r="1597" ht="14.25" customHeight="1" s="40">
      <c r="A1597" s="24" t="n"/>
      <c r="B1597" s="29" t="n"/>
      <c r="C1597" s="28" t="n"/>
      <c r="D1597" s="22">
        <f t="array" ref="D1597">IF($C1597="","",IFERROR(INDEX(DATA_MASTER!$C$2:$C$5000,MATCH($C1597,DATA_MASTER!$D$2:$D$5000,0)),""))</f>
        <v/>
      </c>
      <c r="E1597" s="22">
        <f t="array" ref="E1597">IF($C1597="","",IFERROR(INDEX(DATA_MASTER!$I$2:$I$5000,MATCH($C1597,DATA_MASTER!$D$2:$D$5000,0)),""))</f>
        <v/>
      </c>
      <c r="F1597" s="22">
        <f t="array" ref="F1597">IF($C1597="","",IFERROR(INDEX(DATA_MASTER!$L$2:$L$5000,MATCH($C1597,DATA_MASTER!$D$2:$D$5000,0)),""))</f>
        <v/>
      </c>
      <c r="G1597" s="24" t="n"/>
      <c r="H1597" s="24" t="n"/>
      <c r="I1597" s="30" t="n"/>
      <c r="J1597" s="23">
        <f>IF(OR($H1597="",$I1597=""),"",$H1597*$I1597)</f>
        <v/>
      </c>
      <c r="K1597" s="24" t="n"/>
      <c r="L1597" s="24" t="n"/>
      <c r="M1597" s="29" t="n"/>
      <c r="N1597" s="28" t="n"/>
      <c r="O1597" s="24" t="n"/>
      <c r="P1597" s="24" t="n"/>
      <c r="Q1597" s="24" t="n"/>
      <c r="R1597" s="24" t="n"/>
      <c r="S1597" s="22">
        <f>IF(AND($A1597="",$C1597=""),"",IF($A1597="","Thiếu mã đơn; ","")&amp;IF(COUNTIF($A$2:$A1597,$A1597)&gt;1,"Trùng mã đơn; ","")&amp;IF(ISNA(MATCH($C1597,DATA_MASTER!$D$2:$D$5000,0)),"SĐT chưa đăng ký hội viên; ","")&amp;IF(AND($L1597="Đã chuyển khoản",$M1597=""),"Thiếu ngày nhận CK; ",""))</f>
        <v/>
      </c>
      <c r="T1597" s="24" t="n"/>
    </row>
    <row r="1598" ht="14.25" customHeight="1" s="40">
      <c r="A1598" s="24" t="n"/>
      <c r="B1598" s="29" t="n"/>
      <c r="C1598" s="28" t="n"/>
      <c r="D1598" s="22">
        <f t="array" ref="D1598">IF($C1598="","",IFERROR(INDEX(DATA_MASTER!$C$2:$C$5000,MATCH($C1598,DATA_MASTER!$D$2:$D$5000,0)),""))</f>
        <v/>
      </c>
      <c r="E1598" s="22">
        <f t="array" ref="E1598">IF($C1598="","",IFERROR(INDEX(DATA_MASTER!$I$2:$I$5000,MATCH($C1598,DATA_MASTER!$D$2:$D$5000,0)),""))</f>
        <v/>
      </c>
      <c r="F1598" s="22">
        <f t="array" ref="F1598">IF($C1598="","",IFERROR(INDEX(DATA_MASTER!$L$2:$L$5000,MATCH($C1598,DATA_MASTER!$D$2:$D$5000,0)),""))</f>
        <v/>
      </c>
      <c r="G1598" s="24" t="n"/>
      <c r="H1598" s="24" t="n"/>
      <c r="I1598" s="30" t="n"/>
      <c r="J1598" s="23">
        <f>IF(OR($H1598="",$I1598=""),"",$H1598*$I1598)</f>
        <v/>
      </c>
      <c r="K1598" s="24" t="n"/>
      <c r="L1598" s="24" t="n"/>
      <c r="M1598" s="29" t="n"/>
      <c r="N1598" s="28" t="n"/>
      <c r="O1598" s="24" t="n"/>
      <c r="P1598" s="24" t="n"/>
      <c r="Q1598" s="24" t="n"/>
      <c r="R1598" s="24" t="n"/>
      <c r="S1598" s="22">
        <f>IF(AND($A1598="",$C1598=""),"",IF($A1598="","Thiếu mã đơn; ","")&amp;IF(COUNTIF($A$2:$A1598,$A1598)&gt;1,"Trùng mã đơn; ","")&amp;IF(ISNA(MATCH($C1598,DATA_MASTER!$D$2:$D$5000,0)),"SĐT chưa đăng ký hội viên; ","")&amp;IF(AND($L1598="Đã chuyển khoản",$M1598=""),"Thiếu ngày nhận CK; ",""))</f>
        <v/>
      </c>
      <c r="T1598" s="24" t="n"/>
    </row>
    <row r="1599" ht="14.25" customHeight="1" s="40">
      <c r="A1599" s="24" t="n"/>
      <c r="B1599" s="29" t="n"/>
      <c r="C1599" s="28" t="n"/>
      <c r="D1599" s="22">
        <f t="array" ref="D1599">IF($C1599="","",IFERROR(INDEX(DATA_MASTER!$C$2:$C$5000,MATCH($C1599,DATA_MASTER!$D$2:$D$5000,0)),""))</f>
        <v/>
      </c>
      <c r="E1599" s="22">
        <f t="array" ref="E1599">IF($C1599="","",IFERROR(INDEX(DATA_MASTER!$I$2:$I$5000,MATCH($C1599,DATA_MASTER!$D$2:$D$5000,0)),""))</f>
        <v/>
      </c>
      <c r="F1599" s="22">
        <f t="array" ref="F1599">IF($C1599="","",IFERROR(INDEX(DATA_MASTER!$L$2:$L$5000,MATCH($C1599,DATA_MASTER!$D$2:$D$5000,0)),""))</f>
        <v/>
      </c>
      <c r="G1599" s="24" t="n"/>
      <c r="H1599" s="24" t="n"/>
      <c r="I1599" s="30" t="n"/>
      <c r="J1599" s="23">
        <f>IF(OR($H1599="",$I1599=""),"",$H1599*$I1599)</f>
        <v/>
      </c>
      <c r="K1599" s="24" t="n"/>
      <c r="L1599" s="24" t="n"/>
      <c r="M1599" s="29" t="n"/>
      <c r="N1599" s="28" t="n"/>
      <c r="O1599" s="24" t="n"/>
      <c r="P1599" s="24" t="n"/>
      <c r="Q1599" s="24" t="n"/>
      <c r="R1599" s="24" t="n"/>
      <c r="S1599" s="22">
        <f>IF(AND($A1599="",$C1599=""),"",IF($A1599="","Thiếu mã đơn; ","")&amp;IF(COUNTIF($A$2:$A1599,$A1599)&gt;1,"Trùng mã đơn; ","")&amp;IF(ISNA(MATCH($C1599,DATA_MASTER!$D$2:$D$5000,0)),"SĐT chưa đăng ký hội viên; ","")&amp;IF(AND($L1599="Đã chuyển khoản",$M1599=""),"Thiếu ngày nhận CK; ",""))</f>
        <v/>
      </c>
      <c r="T1599" s="24" t="n"/>
    </row>
    <row r="1600" ht="14.25" customHeight="1" s="40">
      <c r="A1600" s="24" t="n"/>
      <c r="B1600" s="29" t="n"/>
      <c r="C1600" s="28" t="n"/>
      <c r="D1600" s="22">
        <f t="array" ref="D1600">IF($C1600="","",IFERROR(INDEX(DATA_MASTER!$C$2:$C$5000,MATCH($C1600,DATA_MASTER!$D$2:$D$5000,0)),""))</f>
        <v/>
      </c>
      <c r="E1600" s="22">
        <f t="array" ref="E1600">IF($C1600="","",IFERROR(INDEX(DATA_MASTER!$I$2:$I$5000,MATCH($C1600,DATA_MASTER!$D$2:$D$5000,0)),""))</f>
        <v/>
      </c>
      <c r="F1600" s="22">
        <f t="array" ref="F1600">IF($C1600="","",IFERROR(INDEX(DATA_MASTER!$L$2:$L$5000,MATCH($C1600,DATA_MASTER!$D$2:$D$5000,0)),""))</f>
        <v/>
      </c>
      <c r="G1600" s="24" t="n"/>
      <c r="H1600" s="24" t="n"/>
      <c r="I1600" s="30" t="n"/>
      <c r="J1600" s="23">
        <f>IF(OR($H1600="",$I1600=""),"",$H1600*$I1600)</f>
        <v/>
      </c>
      <c r="K1600" s="24" t="n"/>
      <c r="L1600" s="24" t="n"/>
      <c r="M1600" s="29" t="n"/>
      <c r="N1600" s="28" t="n"/>
      <c r="O1600" s="24" t="n"/>
      <c r="P1600" s="24" t="n"/>
      <c r="Q1600" s="24" t="n"/>
      <c r="R1600" s="24" t="n"/>
      <c r="S1600" s="22">
        <f>IF(AND($A1600="",$C1600=""),"",IF($A1600="","Thiếu mã đơn; ","")&amp;IF(COUNTIF($A$2:$A1600,$A1600)&gt;1,"Trùng mã đơn; ","")&amp;IF(ISNA(MATCH($C1600,DATA_MASTER!$D$2:$D$5000,0)),"SĐT chưa đăng ký hội viên; ","")&amp;IF(AND($L1600="Đã chuyển khoản",$M1600=""),"Thiếu ngày nhận CK; ",""))</f>
        <v/>
      </c>
      <c r="T1600" s="24" t="n"/>
    </row>
    <row r="1601" ht="14.25" customHeight="1" s="40">
      <c r="A1601" s="24" t="n"/>
      <c r="B1601" s="29" t="n"/>
      <c r="C1601" s="28" t="n"/>
      <c r="D1601" s="22">
        <f t="array" ref="D1601">IF($C1601="","",IFERROR(INDEX(DATA_MASTER!$C$2:$C$5000,MATCH($C1601,DATA_MASTER!$D$2:$D$5000,0)),""))</f>
        <v/>
      </c>
      <c r="E1601" s="22">
        <f t="array" ref="E1601">IF($C1601="","",IFERROR(INDEX(DATA_MASTER!$I$2:$I$5000,MATCH($C1601,DATA_MASTER!$D$2:$D$5000,0)),""))</f>
        <v/>
      </c>
      <c r="F1601" s="22">
        <f t="array" ref="F1601">IF($C1601="","",IFERROR(INDEX(DATA_MASTER!$L$2:$L$5000,MATCH($C1601,DATA_MASTER!$D$2:$D$5000,0)),""))</f>
        <v/>
      </c>
      <c r="G1601" s="24" t="n"/>
      <c r="H1601" s="24" t="n"/>
      <c r="I1601" s="30" t="n"/>
      <c r="J1601" s="23">
        <f>IF(OR($H1601="",$I1601=""),"",$H1601*$I1601)</f>
        <v/>
      </c>
      <c r="K1601" s="24" t="n"/>
      <c r="L1601" s="24" t="n"/>
      <c r="M1601" s="29" t="n"/>
      <c r="N1601" s="28" t="n"/>
      <c r="O1601" s="24" t="n"/>
      <c r="P1601" s="24" t="n"/>
      <c r="Q1601" s="24" t="n"/>
      <c r="R1601" s="24" t="n"/>
      <c r="S1601" s="22">
        <f>IF(AND($A1601="",$C1601=""),"",IF($A1601="","Thiếu mã đơn; ","")&amp;IF(COUNTIF($A$2:$A1601,$A1601)&gt;1,"Trùng mã đơn; ","")&amp;IF(ISNA(MATCH($C1601,DATA_MASTER!$D$2:$D$5000,0)),"SĐT chưa đăng ký hội viên; ","")&amp;IF(AND($L1601="Đã chuyển khoản",$M1601=""),"Thiếu ngày nhận CK; ",""))</f>
        <v/>
      </c>
      <c r="T1601" s="24" t="n"/>
    </row>
    <row r="1602" ht="14.25" customHeight="1" s="40">
      <c r="A1602" s="24" t="n"/>
      <c r="B1602" s="29" t="n"/>
      <c r="C1602" s="28" t="n"/>
      <c r="D1602" s="22">
        <f t="array" ref="D1602">IF($C1602="","",IFERROR(INDEX(DATA_MASTER!$C$2:$C$5000,MATCH($C1602,DATA_MASTER!$D$2:$D$5000,0)),""))</f>
        <v/>
      </c>
      <c r="E1602" s="22">
        <f t="array" ref="E1602">IF($C1602="","",IFERROR(INDEX(DATA_MASTER!$I$2:$I$5000,MATCH($C1602,DATA_MASTER!$D$2:$D$5000,0)),""))</f>
        <v/>
      </c>
      <c r="F1602" s="22">
        <f t="array" ref="F1602">IF($C1602="","",IFERROR(INDEX(DATA_MASTER!$L$2:$L$5000,MATCH($C1602,DATA_MASTER!$D$2:$D$5000,0)),""))</f>
        <v/>
      </c>
      <c r="G1602" s="24" t="n"/>
      <c r="H1602" s="24" t="n"/>
      <c r="I1602" s="30" t="n"/>
      <c r="J1602" s="23">
        <f>IF(OR($H1602="",$I1602=""),"",$H1602*$I1602)</f>
        <v/>
      </c>
      <c r="K1602" s="24" t="n"/>
      <c r="L1602" s="24" t="n"/>
      <c r="M1602" s="29" t="n"/>
      <c r="N1602" s="28" t="n"/>
      <c r="O1602" s="24" t="n"/>
      <c r="P1602" s="24" t="n"/>
      <c r="Q1602" s="24" t="n"/>
      <c r="R1602" s="24" t="n"/>
      <c r="S1602" s="22">
        <f>IF(AND($A1602="",$C1602=""),"",IF($A1602="","Thiếu mã đơn; ","")&amp;IF(COUNTIF($A$2:$A1602,$A1602)&gt;1,"Trùng mã đơn; ","")&amp;IF(ISNA(MATCH($C1602,DATA_MASTER!$D$2:$D$5000,0)),"SĐT chưa đăng ký hội viên; ","")&amp;IF(AND($L1602="Đã chuyển khoản",$M1602=""),"Thiếu ngày nhận CK; ",""))</f>
        <v/>
      </c>
      <c r="T1602" s="24" t="n"/>
    </row>
    <row r="1603" ht="14.25" customHeight="1" s="40">
      <c r="A1603" s="24" t="n"/>
      <c r="B1603" s="29" t="n"/>
      <c r="C1603" s="28" t="n"/>
      <c r="D1603" s="22">
        <f t="array" ref="D1603">IF($C1603="","",IFERROR(INDEX(DATA_MASTER!$C$2:$C$5000,MATCH($C1603,DATA_MASTER!$D$2:$D$5000,0)),""))</f>
        <v/>
      </c>
      <c r="E1603" s="22">
        <f t="array" ref="E1603">IF($C1603="","",IFERROR(INDEX(DATA_MASTER!$I$2:$I$5000,MATCH($C1603,DATA_MASTER!$D$2:$D$5000,0)),""))</f>
        <v/>
      </c>
      <c r="F1603" s="22">
        <f t="array" ref="F1603">IF($C1603="","",IFERROR(INDEX(DATA_MASTER!$L$2:$L$5000,MATCH($C1603,DATA_MASTER!$D$2:$D$5000,0)),""))</f>
        <v/>
      </c>
      <c r="G1603" s="24" t="n"/>
      <c r="H1603" s="24" t="n"/>
      <c r="I1603" s="30" t="n"/>
      <c r="J1603" s="23">
        <f>IF(OR($H1603="",$I1603=""),"",$H1603*$I1603)</f>
        <v/>
      </c>
      <c r="K1603" s="24" t="n"/>
      <c r="L1603" s="24" t="n"/>
      <c r="M1603" s="29" t="n"/>
      <c r="N1603" s="28" t="n"/>
      <c r="O1603" s="24" t="n"/>
      <c r="P1603" s="24" t="n"/>
      <c r="Q1603" s="24" t="n"/>
      <c r="R1603" s="24" t="n"/>
      <c r="S1603" s="22">
        <f>IF(AND($A1603="",$C1603=""),"",IF($A1603="","Thiếu mã đơn; ","")&amp;IF(COUNTIF($A$2:$A1603,$A1603)&gt;1,"Trùng mã đơn; ","")&amp;IF(ISNA(MATCH($C1603,DATA_MASTER!$D$2:$D$5000,0)),"SĐT chưa đăng ký hội viên; ","")&amp;IF(AND($L1603="Đã chuyển khoản",$M1603=""),"Thiếu ngày nhận CK; ",""))</f>
        <v/>
      </c>
      <c r="T1603" s="24" t="n"/>
    </row>
    <row r="1604" ht="14.25" customHeight="1" s="40">
      <c r="A1604" s="24" t="n"/>
      <c r="B1604" s="29" t="n"/>
      <c r="C1604" s="28" t="n"/>
      <c r="D1604" s="22">
        <f t="array" ref="D1604">IF($C1604="","",IFERROR(INDEX(DATA_MASTER!$C$2:$C$5000,MATCH($C1604,DATA_MASTER!$D$2:$D$5000,0)),""))</f>
        <v/>
      </c>
      <c r="E1604" s="22">
        <f t="array" ref="E1604">IF($C1604="","",IFERROR(INDEX(DATA_MASTER!$I$2:$I$5000,MATCH($C1604,DATA_MASTER!$D$2:$D$5000,0)),""))</f>
        <v/>
      </c>
      <c r="F1604" s="22">
        <f t="array" ref="F1604">IF($C1604="","",IFERROR(INDEX(DATA_MASTER!$L$2:$L$5000,MATCH($C1604,DATA_MASTER!$D$2:$D$5000,0)),""))</f>
        <v/>
      </c>
      <c r="G1604" s="24" t="n"/>
      <c r="H1604" s="24" t="n"/>
      <c r="I1604" s="30" t="n"/>
      <c r="J1604" s="23">
        <f>IF(OR($H1604="",$I1604=""),"",$H1604*$I1604)</f>
        <v/>
      </c>
      <c r="K1604" s="24" t="n"/>
      <c r="L1604" s="24" t="n"/>
      <c r="M1604" s="29" t="n"/>
      <c r="N1604" s="28" t="n"/>
      <c r="O1604" s="24" t="n"/>
      <c r="P1604" s="24" t="n"/>
      <c r="Q1604" s="24" t="n"/>
      <c r="R1604" s="24" t="n"/>
      <c r="S1604" s="22">
        <f>IF(AND($A1604="",$C1604=""),"",IF($A1604="","Thiếu mã đơn; ","")&amp;IF(COUNTIF($A$2:$A1604,$A1604)&gt;1,"Trùng mã đơn; ","")&amp;IF(ISNA(MATCH($C1604,DATA_MASTER!$D$2:$D$5000,0)),"SĐT chưa đăng ký hội viên; ","")&amp;IF(AND($L1604="Đã chuyển khoản",$M1604=""),"Thiếu ngày nhận CK; ",""))</f>
        <v/>
      </c>
      <c r="T1604" s="24" t="n"/>
    </row>
    <row r="1605" ht="14.25" customHeight="1" s="40">
      <c r="A1605" s="24" t="n"/>
      <c r="B1605" s="29" t="n"/>
      <c r="C1605" s="28" t="n"/>
      <c r="D1605" s="22">
        <f t="array" ref="D1605">IF($C1605="","",IFERROR(INDEX(DATA_MASTER!$C$2:$C$5000,MATCH($C1605,DATA_MASTER!$D$2:$D$5000,0)),""))</f>
        <v/>
      </c>
      <c r="E1605" s="22">
        <f t="array" ref="E1605">IF($C1605="","",IFERROR(INDEX(DATA_MASTER!$I$2:$I$5000,MATCH($C1605,DATA_MASTER!$D$2:$D$5000,0)),""))</f>
        <v/>
      </c>
      <c r="F1605" s="22">
        <f t="array" ref="F1605">IF($C1605="","",IFERROR(INDEX(DATA_MASTER!$L$2:$L$5000,MATCH($C1605,DATA_MASTER!$D$2:$D$5000,0)),""))</f>
        <v/>
      </c>
      <c r="G1605" s="24" t="n"/>
      <c r="H1605" s="24" t="n"/>
      <c r="I1605" s="30" t="n"/>
      <c r="J1605" s="23">
        <f>IF(OR($H1605="",$I1605=""),"",$H1605*$I1605)</f>
        <v/>
      </c>
      <c r="K1605" s="24" t="n"/>
      <c r="L1605" s="24" t="n"/>
      <c r="M1605" s="29" t="n"/>
      <c r="N1605" s="28" t="n"/>
      <c r="O1605" s="24" t="n"/>
      <c r="P1605" s="24" t="n"/>
      <c r="Q1605" s="24" t="n"/>
      <c r="R1605" s="24" t="n"/>
      <c r="S1605" s="22">
        <f>IF(AND($A1605="",$C1605=""),"",IF($A1605="","Thiếu mã đơn; ","")&amp;IF(COUNTIF($A$2:$A1605,$A1605)&gt;1,"Trùng mã đơn; ","")&amp;IF(ISNA(MATCH($C1605,DATA_MASTER!$D$2:$D$5000,0)),"SĐT chưa đăng ký hội viên; ","")&amp;IF(AND($L1605="Đã chuyển khoản",$M1605=""),"Thiếu ngày nhận CK; ",""))</f>
        <v/>
      </c>
      <c r="T1605" s="24" t="n"/>
    </row>
    <row r="1606" ht="14.25" customHeight="1" s="40">
      <c r="A1606" s="24" t="n"/>
      <c r="B1606" s="29" t="n"/>
      <c r="C1606" s="28" t="n"/>
      <c r="D1606" s="22">
        <f t="array" ref="D1606">IF($C1606="","",IFERROR(INDEX(DATA_MASTER!$C$2:$C$5000,MATCH($C1606,DATA_MASTER!$D$2:$D$5000,0)),""))</f>
        <v/>
      </c>
      <c r="E1606" s="22">
        <f t="array" ref="E1606">IF($C1606="","",IFERROR(INDEX(DATA_MASTER!$I$2:$I$5000,MATCH($C1606,DATA_MASTER!$D$2:$D$5000,0)),""))</f>
        <v/>
      </c>
      <c r="F1606" s="22">
        <f t="array" ref="F1606">IF($C1606="","",IFERROR(INDEX(DATA_MASTER!$L$2:$L$5000,MATCH($C1606,DATA_MASTER!$D$2:$D$5000,0)),""))</f>
        <v/>
      </c>
      <c r="G1606" s="24" t="n"/>
      <c r="H1606" s="24" t="n"/>
      <c r="I1606" s="30" t="n"/>
      <c r="J1606" s="23">
        <f>IF(OR($H1606="",$I1606=""),"",$H1606*$I1606)</f>
        <v/>
      </c>
      <c r="K1606" s="24" t="n"/>
      <c r="L1606" s="24" t="n"/>
      <c r="M1606" s="29" t="n"/>
      <c r="N1606" s="28" t="n"/>
      <c r="O1606" s="24" t="n"/>
      <c r="P1606" s="24" t="n"/>
      <c r="Q1606" s="24" t="n"/>
      <c r="R1606" s="24" t="n"/>
      <c r="S1606" s="22">
        <f>IF(AND($A1606="",$C1606=""),"",IF($A1606="","Thiếu mã đơn; ","")&amp;IF(COUNTIF($A$2:$A1606,$A1606)&gt;1,"Trùng mã đơn; ","")&amp;IF(ISNA(MATCH($C1606,DATA_MASTER!$D$2:$D$5000,0)),"SĐT chưa đăng ký hội viên; ","")&amp;IF(AND($L1606="Đã chuyển khoản",$M1606=""),"Thiếu ngày nhận CK; ",""))</f>
        <v/>
      </c>
      <c r="T1606" s="24" t="n"/>
    </row>
    <row r="1607" ht="14.25" customHeight="1" s="40">
      <c r="A1607" s="24" t="n"/>
      <c r="B1607" s="29" t="n"/>
      <c r="C1607" s="28" t="n"/>
      <c r="D1607" s="22">
        <f t="array" ref="D1607">IF($C1607="","",IFERROR(INDEX(DATA_MASTER!$C$2:$C$5000,MATCH($C1607,DATA_MASTER!$D$2:$D$5000,0)),""))</f>
        <v/>
      </c>
      <c r="E1607" s="22">
        <f t="array" ref="E1607">IF($C1607="","",IFERROR(INDEX(DATA_MASTER!$I$2:$I$5000,MATCH($C1607,DATA_MASTER!$D$2:$D$5000,0)),""))</f>
        <v/>
      </c>
      <c r="F1607" s="22">
        <f t="array" ref="F1607">IF($C1607="","",IFERROR(INDEX(DATA_MASTER!$L$2:$L$5000,MATCH($C1607,DATA_MASTER!$D$2:$D$5000,0)),""))</f>
        <v/>
      </c>
      <c r="G1607" s="24" t="n"/>
      <c r="H1607" s="24" t="n"/>
      <c r="I1607" s="30" t="n"/>
      <c r="J1607" s="23">
        <f>IF(OR($H1607="",$I1607=""),"",$H1607*$I1607)</f>
        <v/>
      </c>
      <c r="K1607" s="24" t="n"/>
      <c r="L1607" s="24" t="n"/>
      <c r="M1607" s="29" t="n"/>
      <c r="N1607" s="28" t="n"/>
      <c r="O1607" s="24" t="n"/>
      <c r="P1607" s="24" t="n"/>
      <c r="Q1607" s="24" t="n"/>
      <c r="R1607" s="24" t="n"/>
      <c r="S1607" s="22">
        <f>IF(AND($A1607="",$C1607=""),"",IF($A1607="","Thiếu mã đơn; ","")&amp;IF(COUNTIF($A$2:$A1607,$A1607)&gt;1,"Trùng mã đơn; ","")&amp;IF(ISNA(MATCH($C1607,DATA_MASTER!$D$2:$D$5000,0)),"SĐT chưa đăng ký hội viên; ","")&amp;IF(AND($L1607="Đã chuyển khoản",$M1607=""),"Thiếu ngày nhận CK; ",""))</f>
        <v/>
      </c>
      <c r="T1607" s="24" t="n"/>
    </row>
    <row r="1608" ht="14.25" customHeight="1" s="40">
      <c r="A1608" s="24" t="n"/>
      <c r="B1608" s="29" t="n"/>
      <c r="C1608" s="28" t="n"/>
      <c r="D1608" s="22">
        <f t="array" ref="D1608">IF($C1608="","",IFERROR(INDEX(DATA_MASTER!$C$2:$C$5000,MATCH($C1608,DATA_MASTER!$D$2:$D$5000,0)),""))</f>
        <v/>
      </c>
      <c r="E1608" s="22">
        <f t="array" ref="E1608">IF($C1608="","",IFERROR(INDEX(DATA_MASTER!$I$2:$I$5000,MATCH($C1608,DATA_MASTER!$D$2:$D$5000,0)),""))</f>
        <v/>
      </c>
      <c r="F1608" s="22">
        <f t="array" ref="F1608">IF($C1608="","",IFERROR(INDEX(DATA_MASTER!$L$2:$L$5000,MATCH($C1608,DATA_MASTER!$D$2:$D$5000,0)),""))</f>
        <v/>
      </c>
      <c r="G1608" s="24" t="n"/>
      <c r="H1608" s="24" t="n"/>
      <c r="I1608" s="30" t="n"/>
      <c r="J1608" s="23">
        <f>IF(OR($H1608="",$I1608=""),"",$H1608*$I1608)</f>
        <v/>
      </c>
      <c r="K1608" s="24" t="n"/>
      <c r="L1608" s="24" t="n"/>
      <c r="M1608" s="29" t="n"/>
      <c r="N1608" s="28" t="n"/>
      <c r="O1608" s="24" t="n"/>
      <c r="P1608" s="24" t="n"/>
      <c r="Q1608" s="24" t="n"/>
      <c r="R1608" s="24" t="n"/>
      <c r="S1608" s="22">
        <f>IF(AND($A1608="",$C1608=""),"",IF($A1608="","Thiếu mã đơn; ","")&amp;IF(COUNTIF($A$2:$A1608,$A1608)&gt;1,"Trùng mã đơn; ","")&amp;IF(ISNA(MATCH($C1608,DATA_MASTER!$D$2:$D$5000,0)),"SĐT chưa đăng ký hội viên; ","")&amp;IF(AND($L1608="Đã chuyển khoản",$M1608=""),"Thiếu ngày nhận CK; ",""))</f>
        <v/>
      </c>
      <c r="T1608" s="24" t="n"/>
    </row>
    <row r="1609" ht="14.25" customHeight="1" s="40">
      <c r="A1609" s="24" t="n"/>
      <c r="B1609" s="29" t="n"/>
      <c r="C1609" s="28" t="n"/>
      <c r="D1609" s="22">
        <f t="array" ref="D1609">IF($C1609="","",IFERROR(INDEX(DATA_MASTER!$C$2:$C$5000,MATCH($C1609,DATA_MASTER!$D$2:$D$5000,0)),""))</f>
        <v/>
      </c>
      <c r="E1609" s="22">
        <f t="array" ref="E1609">IF($C1609="","",IFERROR(INDEX(DATA_MASTER!$I$2:$I$5000,MATCH($C1609,DATA_MASTER!$D$2:$D$5000,0)),""))</f>
        <v/>
      </c>
      <c r="F1609" s="22">
        <f t="array" ref="F1609">IF($C1609="","",IFERROR(INDEX(DATA_MASTER!$L$2:$L$5000,MATCH($C1609,DATA_MASTER!$D$2:$D$5000,0)),""))</f>
        <v/>
      </c>
      <c r="G1609" s="24" t="n"/>
      <c r="H1609" s="24" t="n"/>
      <c r="I1609" s="30" t="n"/>
      <c r="J1609" s="23">
        <f>IF(OR($H1609="",$I1609=""),"",$H1609*$I1609)</f>
        <v/>
      </c>
      <c r="K1609" s="24" t="n"/>
      <c r="L1609" s="24" t="n"/>
      <c r="M1609" s="29" t="n"/>
      <c r="N1609" s="28" t="n"/>
      <c r="O1609" s="24" t="n"/>
      <c r="P1609" s="24" t="n"/>
      <c r="Q1609" s="24" t="n"/>
      <c r="R1609" s="24" t="n"/>
      <c r="S1609" s="22">
        <f>IF(AND($A1609="",$C1609=""),"",IF($A1609="","Thiếu mã đơn; ","")&amp;IF(COUNTIF($A$2:$A1609,$A1609)&gt;1,"Trùng mã đơn; ","")&amp;IF(ISNA(MATCH($C1609,DATA_MASTER!$D$2:$D$5000,0)),"SĐT chưa đăng ký hội viên; ","")&amp;IF(AND($L1609="Đã chuyển khoản",$M1609=""),"Thiếu ngày nhận CK; ",""))</f>
        <v/>
      </c>
      <c r="T1609" s="24" t="n"/>
    </row>
    <row r="1610" ht="14.25" customHeight="1" s="40">
      <c r="A1610" s="24" t="n"/>
      <c r="B1610" s="29" t="n"/>
      <c r="C1610" s="28" t="n"/>
      <c r="D1610" s="22">
        <f t="array" ref="D1610">IF($C1610="","",IFERROR(INDEX(DATA_MASTER!$C$2:$C$5000,MATCH($C1610,DATA_MASTER!$D$2:$D$5000,0)),""))</f>
        <v/>
      </c>
      <c r="E1610" s="22">
        <f t="array" ref="E1610">IF($C1610="","",IFERROR(INDEX(DATA_MASTER!$I$2:$I$5000,MATCH($C1610,DATA_MASTER!$D$2:$D$5000,0)),""))</f>
        <v/>
      </c>
      <c r="F1610" s="22">
        <f t="array" ref="F1610">IF($C1610="","",IFERROR(INDEX(DATA_MASTER!$L$2:$L$5000,MATCH($C1610,DATA_MASTER!$D$2:$D$5000,0)),""))</f>
        <v/>
      </c>
      <c r="G1610" s="24" t="n"/>
      <c r="H1610" s="24" t="n"/>
      <c r="I1610" s="30" t="n"/>
      <c r="J1610" s="23">
        <f>IF(OR($H1610="",$I1610=""),"",$H1610*$I1610)</f>
        <v/>
      </c>
      <c r="K1610" s="24" t="n"/>
      <c r="L1610" s="24" t="n"/>
      <c r="M1610" s="29" t="n"/>
      <c r="N1610" s="28" t="n"/>
      <c r="O1610" s="24" t="n"/>
      <c r="P1610" s="24" t="n"/>
      <c r="Q1610" s="24" t="n"/>
      <c r="R1610" s="24" t="n"/>
      <c r="S1610" s="22">
        <f>IF(AND($A1610="",$C1610=""),"",IF($A1610="","Thiếu mã đơn; ","")&amp;IF(COUNTIF($A$2:$A1610,$A1610)&gt;1,"Trùng mã đơn; ","")&amp;IF(ISNA(MATCH($C1610,DATA_MASTER!$D$2:$D$5000,0)),"SĐT chưa đăng ký hội viên; ","")&amp;IF(AND($L1610="Đã chuyển khoản",$M1610=""),"Thiếu ngày nhận CK; ",""))</f>
        <v/>
      </c>
      <c r="T1610" s="24" t="n"/>
    </row>
    <row r="1611" ht="14.25" customHeight="1" s="40">
      <c r="A1611" s="24" t="n"/>
      <c r="B1611" s="29" t="n"/>
      <c r="C1611" s="28" t="n"/>
      <c r="D1611" s="22">
        <f t="array" ref="D1611">IF($C1611="","",IFERROR(INDEX(DATA_MASTER!$C$2:$C$5000,MATCH($C1611,DATA_MASTER!$D$2:$D$5000,0)),""))</f>
        <v/>
      </c>
      <c r="E1611" s="22">
        <f t="array" ref="E1611">IF($C1611="","",IFERROR(INDEX(DATA_MASTER!$I$2:$I$5000,MATCH($C1611,DATA_MASTER!$D$2:$D$5000,0)),""))</f>
        <v/>
      </c>
      <c r="F1611" s="22">
        <f t="array" ref="F1611">IF($C1611="","",IFERROR(INDEX(DATA_MASTER!$L$2:$L$5000,MATCH($C1611,DATA_MASTER!$D$2:$D$5000,0)),""))</f>
        <v/>
      </c>
      <c r="G1611" s="24" t="n"/>
      <c r="H1611" s="24" t="n"/>
      <c r="I1611" s="30" t="n"/>
      <c r="J1611" s="23">
        <f>IF(OR($H1611="",$I1611=""),"",$H1611*$I1611)</f>
        <v/>
      </c>
      <c r="K1611" s="24" t="n"/>
      <c r="L1611" s="24" t="n"/>
      <c r="M1611" s="29" t="n"/>
      <c r="N1611" s="28" t="n"/>
      <c r="O1611" s="24" t="n"/>
      <c r="P1611" s="24" t="n"/>
      <c r="Q1611" s="24" t="n"/>
      <c r="R1611" s="24" t="n"/>
      <c r="S1611" s="22">
        <f>IF(AND($A1611="",$C1611=""),"",IF($A1611="","Thiếu mã đơn; ","")&amp;IF(COUNTIF($A$2:$A1611,$A1611)&gt;1,"Trùng mã đơn; ","")&amp;IF(ISNA(MATCH($C1611,DATA_MASTER!$D$2:$D$5000,0)),"SĐT chưa đăng ký hội viên; ","")&amp;IF(AND($L1611="Đã chuyển khoản",$M1611=""),"Thiếu ngày nhận CK; ",""))</f>
        <v/>
      </c>
      <c r="T1611" s="24" t="n"/>
    </row>
    <row r="1612" ht="14.25" customHeight="1" s="40">
      <c r="A1612" s="24" t="n"/>
      <c r="B1612" s="29" t="n"/>
      <c r="C1612" s="28" t="n"/>
      <c r="D1612" s="22">
        <f t="array" ref="D1612">IF($C1612="","",IFERROR(INDEX(DATA_MASTER!$C$2:$C$5000,MATCH($C1612,DATA_MASTER!$D$2:$D$5000,0)),""))</f>
        <v/>
      </c>
      <c r="E1612" s="22">
        <f t="array" ref="E1612">IF($C1612="","",IFERROR(INDEX(DATA_MASTER!$I$2:$I$5000,MATCH($C1612,DATA_MASTER!$D$2:$D$5000,0)),""))</f>
        <v/>
      </c>
      <c r="F1612" s="22">
        <f t="array" ref="F1612">IF($C1612="","",IFERROR(INDEX(DATA_MASTER!$L$2:$L$5000,MATCH($C1612,DATA_MASTER!$D$2:$D$5000,0)),""))</f>
        <v/>
      </c>
      <c r="G1612" s="24" t="n"/>
      <c r="H1612" s="24" t="n"/>
      <c r="I1612" s="30" t="n"/>
      <c r="J1612" s="23">
        <f>IF(OR($H1612="",$I1612=""),"",$H1612*$I1612)</f>
        <v/>
      </c>
      <c r="K1612" s="24" t="n"/>
      <c r="L1612" s="24" t="n"/>
      <c r="M1612" s="29" t="n"/>
      <c r="N1612" s="28" t="n"/>
      <c r="O1612" s="24" t="n"/>
      <c r="P1612" s="24" t="n"/>
      <c r="Q1612" s="24" t="n"/>
      <c r="R1612" s="24" t="n"/>
      <c r="S1612" s="22">
        <f>IF(AND($A1612="",$C1612=""),"",IF($A1612="","Thiếu mã đơn; ","")&amp;IF(COUNTIF($A$2:$A1612,$A1612)&gt;1,"Trùng mã đơn; ","")&amp;IF(ISNA(MATCH($C1612,DATA_MASTER!$D$2:$D$5000,0)),"SĐT chưa đăng ký hội viên; ","")&amp;IF(AND($L1612="Đã chuyển khoản",$M1612=""),"Thiếu ngày nhận CK; ",""))</f>
        <v/>
      </c>
      <c r="T1612" s="24" t="n"/>
    </row>
    <row r="1613" ht="14.25" customHeight="1" s="40">
      <c r="A1613" s="24" t="n"/>
      <c r="B1613" s="29" t="n"/>
      <c r="C1613" s="28" t="n"/>
      <c r="D1613" s="22">
        <f t="array" ref="D1613">IF($C1613="","",IFERROR(INDEX(DATA_MASTER!$C$2:$C$5000,MATCH($C1613,DATA_MASTER!$D$2:$D$5000,0)),""))</f>
        <v/>
      </c>
      <c r="E1613" s="22">
        <f t="array" ref="E1613">IF($C1613="","",IFERROR(INDEX(DATA_MASTER!$I$2:$I$5000,MATCH($C1613,DATA_MASTER!$D$2:$D$5000,0)),""))</f>
        <v/>
      </c>
      <c r="F1613" s="22">
        <f t="array" ref="F1613">IF($C1613="","",IFERROR(INDEX(DATA_MASTER!$L$2:$L$5000,MATCH($C1613,DATA_MASTER!$D$2:$D$5000,0)),""))</f>
        <v/>
      </c>
      <c r="G1613" s="24" t="n"/>
      <c r="H1613" s="24" t="n"/>
      <c r="I1613" s="30" t="n"/>
      <c r="J1613" s="23">
        <f>IF(OR($H1613="",$I1613=""),"",$H1613*$I1613)</f>
        <v/>
      </c>
      <c r="K1613" s="24" t="n"/>
      <c r="L1613" s="24" t="n"/>
      <c r="M1613" s="29" t="n"/>
      <c r="N1613" s="28" t="n"/>
      <c r="O1613" s="24" t="n"/>
      <c r="P1613" s="24" t="n"/>
      <c r="Q1613" s="24" t="n"/>
      <c r="R1613" s="24" t="n"/>
      <c r="S1613" s="22">
        <f>IF(AND($A1613="",$C1613=""),"",IF($A1613="","Thiếu mã đơn; ","")&amp;IF(COUNTIF($A$2:$A1613,$A1613)&gt;1,"Trùng mã đơn; ","")&amp;IF(ISNA(MATCH($C1613,DATA_MASTER!$D$2:$D$5000,0)),"SĐT chưa đăng ký hội viên; ","")&amp;IF(AND($L1613="Đã chuyển khoản",$M1613=""),"Thiếu ngày nhận CK; ",""))</f>
        <v/>
      </c>
      <c r="T1613" s="24" t="n"/>
    </row>
    <row r="1614" ht="14.25" customHeight="1" s="40">
      <c r="A1614" s="24" t="n"/>
      <c r="B1614" s="29" t="n"/>
      <c r="C1614" s="28" t="n"/>
      <c r="D1614" s="22">
        <f t="array" ref="D1614">IF($C1614="","",IFERROR(INDEX(DATA_MASTER!$C$2:$C$5000,MATCH($C1614,DATA_MASTER!$D$2:$D$5000,0)),""))</f>
        <v/>
      </c>
      <c r="E1614" s="22">
        <f t="array" ref="E1614">IF($C1614="","",IFERROR(INDEX(DATA_MASTER!$I$2:$I$5000,MATCH($C1614,DATA_MASTER!$D$2:$D$5000,0)),""))</f>
        <v/>
      </c>
      <c r="F1614" s="22">
        <f t="array" ref="F1614">IF($C1614="","",IFERROR(INDEX(DATA_MASTER!$L$2:$L$5000,MATCH($C1614,DATA_MASTER!$D$2:$D$5000,0)),""))</f>
        <v/>
      </c>
      <c r="G1614" s="24" t="n"/>
      <c r="H1614" s="24" t="n"/>
      <c r="I1614" s="30" t="n"/>
      <c r="J1614" s="23">
        <f>IF(OR($H1614="",$I1614=""),"",$H1614*$I1614)</f>
        <v/>
      </c>
      <c r="K1614" s="24" t="n"/>
      <c r="L1614" s="24" t="n"/>
      <c r="M1614" s="29" t="n"/>
      <c r="N1614" s="28" t="n"/>
      <c r="O1614" s="24" t="n"/>
      <c r="P1614" s="24" t="n"/>
      <c r="Q1614" s="24" t="n"/>
      <c r="R1614" s="24" t="n"/>
      <c r="S1614" s="22">
        <f>IF(AND($A1614="",$C1614=""),"",IF($A1614="","Thiếu mã đơn; ","")&amp;IF(COUNTIF($A$2:$A1614,$A1614)&gt;1,"Trùng mã đơn; ","")&amp;IF(ISNA(MATCH($C1614,DATA_MASTER!$D$2:$D$5000,0)),"SĐT chưa đăng ký hội viên; ","")&amp;IF(AND($L1614="Đã chuyển khoản",$M1614=""),"Thiếu ngày nhận CK; ",""))</f>
        <v/>
      </c>
      <c r="T1614" s="24" t="n"/>
    </row>
    <row r="1615" ht="14.25" customHeight="1" s="40">
      <c r="A1615" s="24" t="n"/>
      <c r="B1615" s="29" t="n"/>
      <c r="C1615" s="28" t="n"/>
      <c r="D1615" s="22">
        <f t="array" ref="D1615">IF($C1615="","",IFERROR(INDEX(DATA_MASTER!$C$2:$C$5000,MATCH($C1615,DATA_MASTER!$D$2:$D$5000,0)),""))</f>
        <v/>
      </c>
      <c r="E1615" s="22">
        <f t="array" ref="E1615">IF($C1615="","",IFERROR(INDEX(DATA_MASTER!$I$2:$I$5000,MATCH($C1615,DATA_MASTER!$D$2:$D$5000,0)),""))</f>
        <v/>
      </c>
      <c r="F1615" s="22">
        <f t="array" ref="F1615">IF($C1615="","",IFERROR(INDEX(DATA_MASTER!$L$2:$L$5000,MATCH($C1615,DATA_MASTER!$D$2:$D$5000,0)),""))</f>
        <v/>
      </c>
      <c r="G1615" s="24" t="n"/>
      <c r="H1615" s="24" t="n"/>
      <c r="I1615" s="30" t="n"/>
      <c r="J1615" s="23">
        <f>IF(OR($H1615="",$I1615=""),"",$H1615*$I1615)</f>
        <v/>
      </c>
      <c r="K1615" s="24" t="n"/>
      <c r="L1615" s="24" t="n"/>
      <c r="M1615" s="29" t="n"/>
      <c r="N1615" s="28" t="n"/>
      <c r="O1615" s="24" t="n"/>
      <c r="P1615" s="24" t="n"/>
      <c r="Q1615" s="24" t="n"/>
      <c r="R1615" s="24" t="n"/>
      <c r="S1615" s="22">
        <f>IF(AND($A1615="",$C1615=""),"",IF($A1615="","Thiếu mã đơn; ","")&amp;IF(COUNTIF($A$2:$A1615,$A1615)&gt;1,"Trùng mã đơn; ","")&amp;IF(ISNA(MATCH($C1615,DATA_MASTER!$D$2:$D$5000,0)),"SĐT chưa đăng ký hội viên; ","")&amp;IF(AND($L1615="Đã chuyển khoản",$M1615=""),"Thiếu ngày nhận CK; ",""))</f>
        <v/>
      </c>
      <c r="T1615" s="24" t="n"/>
    </row>
    <row r="1616" ht="14.25" customHeight="1" s="40">
      <c r="A1616" s="24" t="n"/>
      <c r="B1616" s="29" t="n"/>
      <c r="C1616" s="28" t="n"/>
      <c r="D1616" s="22">
        <f t="array" ref="D1616">IF($C1616="","",IFERROR(INDEX(DATA_MASTER!$C$2:$C$5000,MATCH($C1616,DATA_MASTER!$D$2:$D$5000,0)),""))</f>
        <v/>
      </c>
      <c r="E1616" s="22">
        <f t="array" ref="E1616">IF($C1616="","",IFERROR(INDEX(DATA_MASTER!$I$2:$I$5000,MATCH($C1616,DATA_MASTER!$D$2:$D$5000,0)),""))</f>
        <v/>
      </c>
      <c r="F1616" s="22">
        <f t="array" ref="F1616">IF($C1616="","",IFERROR(INDEX(DATA_MASTER!$L$2:$L$5000,MATCH($C1616,DATA_MASTER!$D$2:$D$5000,0)),""))</f>
        <v/>
      </c>
      <c r="G1616" s="24" t="n"/>
      <c r="H1616" s="24" t="n"/>
      <c r="I1616" s="30" t="n"/>
      <c r="J1616" s="23">
        <f>IF(OR($H1616="",$I1616=""),"",$H1616*$I1616)</f>
        <v/>
      </c>
      <c r="K1616" s="24" t="n"/>
      <c r="L1616" s="24" t="n"/>
      <c r="M1616" s="29" t="n"/>
      <c r="N1616" s="28" t="n"/>
      <c r="O1616" s="24" t="n"/>
      <c r="P1616" s="24" t="n"/>
      <c r="Q1616" s="24" t="n"/>
      <c r="R1616" s="24" t="n"/>
      <c r="S1616" s="22">
        <f>IF(AND($A1616="",$C1616=""),"",IF($A1616="","Thiếu mã đơn; ","")&amp;IF(COUNTIF($A$2:$A1616,$A1616)&gt;1,"Trùng mã đơn; ","")&amp;IF(ISNA(MATCH($C1616,DATA_MASTER!$D$2:$D$5000,0)),"SĐT chưa đăng ký hội viên; ","")&amp;IF(AND($L1616="Đã chuyển khoản",$M1616=""),"Thiếu ngày nhận CK; ",""))</f>
        <v/>
      </c>
      <c r="T1616" s="24" t="n"/>
    </row>
    <row r="1617" ht="14.25" customHeight="1" s="40">
      <c r="A1617" s="24" t="n"/>
      <c r="B1617" s="29" t="n"/>
      <c r="C1617" s="28" t="n"/>
      <c r="D1617" s="22">
        <f t="array" ref="D1617">IF($C1617="","",IFERROR(INDEX(DATA_MASTER!$C$2:$C$5000,MATCH($C1617,DATA_MASTER!$D$2:$D$5000,0)),""))</f>
        <v/>
      </c>
      <c r="E1617" s="22">
        <f t="array" ref="E1617">IF($C1617="","",IFERROR(INDEX(DATA_MASTER!$I$2:$I$5000,MATCH($C1617,DATA_MASTER!$D$2:$D$5000,0)),""))</f>
        <v/>
      </c>
      <c r="F1617" s="22">
        <f t="array" ref="F1617">IF($C1617="","",IFERROR(INDEX(DATA_MASTER!$L$2:$L$5000,MATCH($C1617,DATA_MASTER!$D$2:$D$5000,0)),""))</f>
        <v/>
      </c>
      <c r="G1617" s="24" t="n"/>
      <c r="H1617" s="24" t="n"/>
      <c r="I1617" s="30" t="n"/>
      <c r="J1617" s="23">
        <f>IF(OR($H1617="",$I1617=""),"",$H1617*$I1617)</f>
        <v/>
      </c>
      <c r="K1617" s="24" t="n"/>
      <c r="L1617" s="24" t="n"/>
      <c r="M1617" s="29" t="n"/>
      <c r="N1617" s="28" t="n"/>
      <c r="O1617" s="24" t="n"/>
      <c r="P1617" s="24" t="n"/>
      <c r="Q1617" s="24" t="n"/>
      <c r="R1617" s="24" t="n"/>
      <c r="S1617" s="22">
        <f>IF(AND($A1617="",$C1617=""),"",IF($A1617="","Thiếu mã đơn; ","")&amp;IF(COUNTIF($A$2:$A1617,$A1617)&gt;1,"Trùng mã đơn; ","")&amp;IF(ISNA(MATCH($C1617,DATA_MASTER!$D$2:$D$5000,0)),"SĐT chưa đăng ký hội viên; ","")&amp;IF(AND($L1617="Đã chuyển khoản",$M1617=""),"Thiếu ngày nhận CK; ",""))</f>
        <v/>
      </c>
      <c r="T1617" s="24" t="n"/>
    </row>
    <row r="1618" ht="14.25" customHeight="1" s="40">
      <c r="A1618" s="24" t="n"/>
      <c r="B1618" s="29" t="n"/>
      <c r="C1618" s="28" t="n"/>
      <c r="D1618" s="22">
        <f t="array" ref="D1618">IF($C1618="","",IFERROR(INDEX(DATA_MASTER!$C$2:$C$5000,MATCH($C1618,DATA_MASTER!$D$2:$D$5000,0)),""))</f>
        <v/>
      </c>
      <c r="E1618" s="22">
        <f t="array" ref="E1618">IF($C1618="","",IFERROR(INDEX(DATA_MASTER!$I$2:$I$5000,MATCH($C1618,DATA_MASTER!$D$2:$D$5000,0)),""))</f>
        <v/>
      </c>
      <c r="F1618" s="22">
        <f t="array" ref="F1618">IF($C1618="","",IFERROR(INDEX(DATA_MASTER!$L$2:$L$5000,MATCH($C1618,DATA_MASTER!$D$2:$D$5000,0)),""))</f>
        <v/>
      </c>
      <c r="G1618" s="24" t="n"/>
      <c r="H1618" s="24" t="n"/>
      <c r="I1618" s="30" t="n"/>
      <c r="J1618" s="23">
        <f>IF(OR($H1618="",$I1618=""),"",$H1618*$I1618)</f>
        <v/>
      </c>
      <c r="K1618" s="24" t="n"/>
      <c r="L1618" s="24" t="n"/>
      <c r="M1618" s="29" t="n"/>
      <c r="N1618" s="28" t="n"/>
      <c r="O1618" s="24" t="n"/>
      <c r="P1618" s="24" t="n"/>
      <c r="Q1618" s="24" t="n"/>
      <c r="R1618" s="24" t="n"/>
      <c r="S1618" s="22">
        <f>IF(AND($A1618="",$C1618=""),"",IF($A1618="","Thiếu mã đơn; ","")&amp;IF(COUNTIF($A$2:$A1618,$A1618)&gt;1,"Trùng mã đơn; ","")&amp;IF(ISNA(MATCH($C1618,DATA_MASTER!$D$2:$D$5000,0)),"SĐT chưa đăng ký hội viên; ","")&amp;IF(AND($L1618="Đã chuyển khoản",$M1618=""),"Thiếu ngày nhận CK; ",""))</f>
        <v/>
      </c>
      <c r="T1618" s="24" t="n"/>
    </row>
    <row r="1619" ht="14.25" customHeight="1" s="40">
      <c r="A1619" s="24" t="n"/>
      <c r="B1619" s="29" t="n"/>
      <c r="C1619" s="28" t="n"/>
      <c r="D1619" s="22">
        <f t="array" ref="D1619">IF($C1619="","",IFERROR(INDEX(DATA_MASTER!$C$2:$C$5000,MATCH($C1619,DATA_MASTER!$D$2:$D$5000,0)),""))</f>
        <v/>
      </c>
      <c r="E1619" s="22">
        <f t="array" ref="E1619">IF($C1619="","",IFERROR(INDEX(DATA_MASTER!$I$2:$I$5000,MATCH($C1619,DATA_MASTER!$D$2:$D$5000,0)),""))</f>
        <v/>
      </c>
      <c r="F1619" s="22">
        <f t="array" ref="F1619">IF($C1619="","",IFERROR(INDEX(DATA_MASTER!$L$2:$L$5000,MATCH($C1619,DATA_MASTER!$D$2:$D$5000,0)),""))</f>
        <v/>
      </c>
      <c r="G1619" s="24" t="n"/>
      <c r="H1619" s="24" t="n"/>
      <c r="I1619" s="30" t="n"/>
      <c r="J1619" s="23">
        <f>IF(OR($H1619="",$I1619=""),"",$H1619*$I1619)</f>
        <v/>
      </c>
      <c r="K1619" s="24" t="n"/>
      <c r="L1619" s="24" t="n"/>
      <c r="M1619" s="29" t="n"/>
      <c r="N1619" s="28" t="n"/>
      <c r="O1619" s="24" t="n"/>
      <c r="P1619" s="24" t="n"/>
      <c r="Q1619" s="24" t="n"/>
      <c r="R1619" s="24" t="n"/>
      <c r="S1619" s="22">
        <f>IF(AND($A1619="",$C1619=""),"",IF($A1619="","Thiếu mã đơn; ","")&amp;IF(COUNTIF($A$2:$A1619,$A1619)&gt;1,"Trùng mã đơn; ","")&amp;IF(ISNA(MATCH($C1619,DATA_MASTER!$D$2:$D$5000,0)),"SĐT chưa đăng ký hội viên; ","")&amp;IF(AND($L1619="Đã chuyển khoản",$M1619=""),"Thiếu ngày nhận CK; ",""))</f>
        <v/>
      </c>
      <c r="T1619" s="24" t="n"/>
    </row>
    <row r="1620" ht="14.25" customHeight="1" s="40">
      <c r="A1620" s="24" t="n"/>
      <c r="B1620" s="29" t="n"/>
      <c r="C1620" s="28" t="n"/>
      <c r="D1620" s="22">
        <f t="array" ref="D1620">IF($C1620="","",IFERROR(INDEX(DATA_MASTER!$C$2:$C$5000,MATCH($C1620,DATA_MASTER!$D$2:$D$5000,0)),""))</f>
        <v/>
      </c>
      <c r="E1620" s="22">
        <f t="array" ref="E1620">IF($C1620="","",IFERROR(INDEX(DATA_MASTER!$I$2:$I$5000,MATCH($C1620,DATA_MASTER!$D$2:$D$5000,0)),""))</f>
        <v/>
      </c>
      <c r="F1620" s="22">
        <f t="array" ref="F1620">IF($C1620="","",IFERROR(INDEX(DATA_MASTER!$L$2:$L$5000,MATCH($C1620,DATA_MASTER!$D$2:$D$5000,0)),""))</f>
        <v/>
      </c>
      <c r="G1620" s="24" t="n"/>
      <c r="H1620" s="24" t="n"/>
      <c r="I1620" s="30" t="n"/>
      <c r="J1620" s="23">
        <f>IF(OR($H1620="",$I1620=""),"",$H1620*$I1620)</f>
        <v/>
      </c>
      <c r="K1620" s="24" t="n"/>
      <c r="L1620" s="24" t="n"/>
      <c r="M1620" s="29" t="n"/>
      <c r="N1620" s="28" t="n"/>
      <c r="O1620" s="24" t="n"/>
      <c r="P1620" s="24" t="n"/>
      <c r="Q1620" s="24" t="n"/>
      <c r="R1620" s="24" t="n"/>
      <c r="S1620" s="22">
        <f>IF(AND($A1620="",$C1620=""),"",IF($A1620="","Thiếu mã đơn; ","")&amp;IF(COUNTIF($A$2:$A1620,$A1620)&gt;1,"Trùng mã đơn; ","")&amp;IF(ISNA(MATCH($C1620,DATA_MASTER!$D$2:$D$5000,0)),"SĐT chưa đăng ký hội viên; ","")&amp;IF(AND($L1620="Đã chuyển khoản",$M1620=""),"Thiếu ngày nhận CK; ",""))</f>
        <v/>
      </c>
      <c r="T1620" s="24" t="n"/>
    </row>
    <row r="1621" ht="14.25" customHeight="1" s="40">
      <c r="A1621" s="24" t="n"/>
      <c r="B1621" s="29" t="n"/>
      <c r="C1621" s="28" t="n"/>
      <c r="D1621" s="22">
        <f t="array" ref="D1621">IF($C1621="","",IFERROR(INDEX(DATA_MASTER!$C$2:$C$5000,MATCH($C1621,DATA_MASTER!$D$2:$D$5000,0)),""))</f>
        <v/>
      </c>
      <c r="E1621" s="22">
        <f t="array" ref="E1621">IF($C1621="","",IFERROR(INDEX(DATA_MASTER!$I$2:$I$5000,MATCH($C1621,DATA_MASTER!$D$2:$D$5000,0)),""))</f>
        <v/>
      </c>
      <c r="F1621" s="22">
        <f t="array" ref="F1621">IF($C1621="","",IFERROR(INDEX(DATA_MASTER!$L$2:$L$5000,MATCH($C1621,DATA_MASTER!$D$2:$D$5000,0)),""))</f>
        <v/>
      </c>
      <c r="G1621" s="24" t="n"/>
      <c r="H1621" s="24" t="n"/>
      <c r="I1621" s="30" t="n"/>
      <c r="J1621" s="23">
        <f>IF(OR($H1621="",$I1621=""),"",$H1621*$I1621)</f>
        <v/>
      </c>
      <c r="K1621" s="24" t="n"/>
      <c r="L1621" s="24" t="n"/>
      <c r="M1621" s="29" t="n"/>
      <c r="N1621" s="28" t="n"/>
      <c r="O1621" s="24" t="n"/>
      <c r="P1621" s="24" t="n"/>
      <c r="Q1621" s="24" t="n"/>
      <c r="R1621" s="24" t="n"/>
      <c r="S1621" s="22">
        <f>IF(AND($A1621="",$C1621=""),"",IF($A1621="","Thiếu mã đơn; ","")&amp;IF(COUNTIF($A$2:$A1621,$A1621)&gt;1,"Trùng mã đơn; ","")&amp;IF(ISNA(MATCH($C1621,DATA_MASTER!$D$2:$D$5000,0)),"SĐT chưa đăng ký hội viên; ","")&amp;IF(AND($L1621="Đã chuyển khoản",$M1621=""),"Thiếu ngày nhận CK; ",""))</f>
        <v/>
      </c>
      <c r="T1621" s="24" t="n"/>
    </row>
    <row r="1622" ht="14.25" customHeight="1" s="40">
      <c r="A1622" s="24" t="n"/>
      <c r="B1622" s="29" t="n"/>
      <c r="C1622" s="28" t="n"/>
      <c r="D1622" s="22">
        <f t="array" ref="D1622">IF($C1622="","",IFERROR(INDEX(DATA_MASTER!$C$2:$C$5000,MATCH($C1622,DATA_MASTER!$D$2:$D$5000,0)),""))</f>
        <v/>
      </c>
      <c r="E1622" s="22">
        <f t="array" ref="E1622">IF($C1622="","",IFERROR(INDEX(DATA_MASTER!$I$2:$I$5000,MATCH($C1622,DATA_MASTER!$D$2:$D$5000,0)),""))</f>
        <v/>
      </c>
      <c r="F1622" s="22">
        <f t="array" ref="F1622">IF($C1622="","",IFERROR(INDEX(DATA_MASTER!$L$2:$L$5000,MATCH($C1622,DATA_MASTER!$D$2:$D$5000,0)),""))</f>
        <v/>
      </c>
      <c r="G1622" s="24" t="n"/>
      <c r="H1622" s="24" t="n"/>
      <c r="I1622" s="30" t="n"/>
      <c r="J1622" s="23">
        <f>IF(OR($H1622="",$I1622=""),"",$H1622*$I1622)</f>
        <v/>
      </c>
      <c r="K1622" s="24" t="n"/>
      <c r="L1622" s="24" t="n"/>
      <c r="M1622" s="29" t="n"/>
      <c r="N1622" s="28" t="n"/>
      <c r="O1622" s="24" t="n"/>
      <c r="P1622" s="24" t="n"/>
      <c r="Q1622" s="24" t="n"/>
      <c r="R1622" s="24" t="n"/>
      <c r="S1622" s="22">
        <f>IF(AND($A1622="",$C1622=""),"",IF($A1622="","Thiếu mã đơn; ","")&amp;IF(COUNTIF($A$2:$A1622,$A1622)&gt;1,"Trùng mã đơn; ","")&amp;IF(ISNA(MATCH($C1622,DATA_MASTER!$D$2:$D$5000,0)),"SĐT chưa đăng ký hội viên; ","")&amp;IF(AND($L1622="Đã chuyển khoản",$M1622=""),"Thiếu ngày nhận CK; ",""))</f>
        <v/>
      </c>
      <c r="T1622" s="24" t="n"/>
    </row>
    <row r="1623" ht="14.25" customHeight="1" s="40">
      <c r="A1623" s="24" t="n"/>
      <c r="B1623" s="29" t="n"/>
      <c r="C1623" s="28" t="n"/>
      <c r="D1623" s="22">
        <f t="array" ref="D1623">IF($C1623="","",IFERROR(INDEX(DATA_MASTER!$C$2:$C$5000,MATCH($C1623,DATA_MASTER!$D$2:$D$5000,0)),""))</f>
        <v/>
      </c>
      <c r="E1623" s="22">
        <f t="array" ref="E1623">IF($C1623="","",IFERROR(INDEX(DATA_MASTER!$I$2:$I$5000,MATCH($C1623,DATA_MASTER!$D$2:$D$5000,0)),""))</f>
        <v/>
      </c>
      <c r="F1623" s="22">
        <f t="array" ref="F1623">IF($C1623="","",IFERROR(INDEX(DATA_MASTER!$L$2:$L$5000,MATCH($C1623,DATA_MASTER!$D$2:$D$5000,0)),""))</f>
        <v/>
      </c>
      <c r="G1623" s="24" t="n"/>
      <c r="H1623" s="24" t="n"/>
      <c r="I1623" s="30" t="n"/>
      <c r="J1623" s="23">
        <f>IF(OR($H1623="",$I1623=""),"",$H1623*$I1623)</f>
        <v/>
      </c>
      <c r="K1623" s="24" t="n"/>
      <c r="L1623" s="24" t="n"/>
      <c r="M1623" s="29" t="n"/>
      <c r="N1623" s="28" t="n"/>
      <c r="O1623" s="24" t="n"/>
      <c r="P1623" s="24" t="n"/>
      <c r="Q1623" s="24" t="n"/>
      <c r="R1623" s="24" t="n"/>
      <c r="S1623" s="22">
        <f>IF(AND($A1623="",$C1623=""),"",IF($A1623="","Thiếu mã đơn; ","")&amp;IF(COUNTIF($A$2:$A1623,$A1623)&gt;1,"Trùng mã đơn; ","")&amp;IF(ISNA(MATCH($C1623,DATA_MASTER!$D$2:$D$5000,0)),"SĐT chưa đăng ký hội viên; ","")&amp;IF(AND($L1623="Đã chuyển khoản",$M1623=""),"Thiếu ngày nhận CK; ",""))</f>
        <v/>
      </c>
      <c r="T1623" s="24" t="n"/>
    </row>
    <row r="1624" ht="14.25" customHeight="1" s="40">
      <c r="A1624" s="24" t="n"/>
      <c r="B1624" s="29" t="n"/>
      <c r="C1624" s="28" t="n"/>
      <c r="D1624" s="22">
        <f t="array" ref="D1624">IF($C1624="","",IFERROR(INDEX(DATA_MASTER!$C$2:$C$5000,MATCH($C1624,DATA_MASTER!$D$2:$D$5000,0)),""))</f>
        <v/>
      </c>
      <c r="E1624" s="22">
        <f t="array" ref="E1624">IF($C1624="","",IFERROR(INDEX(DATA_MASTER!$I$2:$I$5000,MATCH($C1624,DATA_MASTER!$D$2:$D$5000,0)),""))</f>
        <v/>
      </c>
      <c r="F1624" s="22">
        <f t="array" ref="F1624">IF($C1624="","",IFERROR(INDEX(DATA_MASTER!$L$2:$L$5000,MATCH($C1624,DATA_MASTER!$D$2:$D$5000,0)),""))</f>
        <v/>
      </c>
      <c r="G1624" s="24" t="n"/>
      <c r="H1624" s="24" t="n"/>
      <c r="I1624" s="30" t="n"/>
      <c r="J1624" s="23">
        <f>IF(OR($H1624="",$I1624=""),"",$H1624*$I1624)</f>
        <v/>
      </c>
      <c r="K1624" s="24" t="n"/>
      <c r="L1624" s="24" t="n"/>
      <c r="M1624" s="29" t="n"/>
      <c r="N1624" s="28" t="n"/>
      <c r="O1624" s="24" t="n"/>
      <c r="P1624" s="24" t="n"/>
      <c r="Q1624" s="24" t="n"/>
      <c r="R1624" s="24" t="n"/>
      <c r="S1624" s="22">
        <f>IF(AND($A1624="",$C1624=""),"",IF($A1624="","Thiếu mã đơn; ","")&amp;IF(COUNTIF($A$2:$A1624,$A1624)&gt;1,"Trùng mã đơn; ","")&amp;IF(ISNA(MATCH($C1624,DATA_MASTER!$D$2:$D$5000,0)),"SĐT chưa đăng ký hội viên; ","")&amp;IF(AND($L1624="Đã chuyển khoản",$M1624=""),"Thiếu ngày nhận CK; ",""))</f>
        <v/>
      </c>
      <c r="T1624" s="24" t="n"/>
    </row>
    <row r="1625" ht="14.25" customHeight="1" s="40">
      <c r="A1625" s="24" t="n"/>
      <c r="B1625" s="29" t="n"/>
      <c r="C1625" s="28" t="n"/>
      <c r="D1625" s="22">
        <f t="array" ref="D1625">IF($C1625="","",IFERROR(INDEX(DATA_MASTER!$C$2:$C$5000,MATCH($C1625,DATA_MASTER!$D$2:$D$5000,0)),""))</f>
        <v/>
      </c>
      <c r="E1625" s="22">
        <f t="array" ref="E1625">IF($C1625="","",IFERROR(INDEX(DATA_MASTER!$I$2:$I$5000,MATCH($C1625,DATA_MASTER!$D$2:$D$5000,0)),""))</f>
        <v/>
      </c>
      <c r="F1625" s="22">
        <f t="array" ref="F1625">IF($C1625="","",IFERROR(INDEX(DATA_MASTER!$L$2:$L$5000,MATCH($C1625,DATA_MASTER!$D$2:$D$5000,0)),""))</f>
        <v/>
      </c>
      <c r="G1625" s="24" t="n"/>
      <c r="H1625" s="24" t="n"/>
      <c r="I1625" s="30" t="n"/>
      <c r="J1625" s="23">
        <f>IF(OR($H1625="",$I1625=""),"",$H1625*$I1625)</f>
        <v/>
      </c>
      <c r="K1625" s="24" t="n"/>
      <c r="L1625" s="24" t="n"/>
      <c r="M1625" s="29" t="n"/>
      <c r="N1625" s="28" t="n"/>
      <c r="O1625" s="24" t="n"/>
      <c r="P1625" s="24" t="n"/>
      <c r="Q1625" s="24" t="n"/>
      <c r="R1625" s="24" t="n"/>
      <c r="S1625" s="22">
        <f>IF(AND($A1625="",$C1625=""),"",IF($A1625="","Thiếu mã đơn; ","")&amp;IF(COUNTIF($A$2:$A1625,$A1625)&gt;1,"Trùng mã đơn; ","")&amp;IF(ISNA(MATCH($C1625,DATA_MASTER!$D$2:$D$5000,0)),"SĐT chưa đăng ký hội viên; ","")&amp;IF(AND($L1625="Đã chuyển khoản",$M1625=""),"Thiếu ngày nhận CK; ",""))</f>
        <v/>
      </c>
      <c r="T1625" s="24" t="n"/>
    </row>
    <row r="1626" ht="14.25" customHeight="1" s="40">
      <c r="A1626" s="24" t="n"/>
      <c r="B1626" s="29" t="n"/>
      <c r="C1626" s="28" t="n"/>
      <c r="D1626" s="22">
        <f t="array" ref="D1626">IF($C1626="","",IFERROR(INDEX(DATA_MASTER!$C$2:$C$5000,MATCH($C1626,DATA_MASTER!$D$2:$D$5000,0)),""))</f>
        <v/>
      </c>
      <c r="E1626" s="22">
        <f t="array" ref="E1626">IF($C1626="","",IFERROR(INDEX(DATA_MASTER!$I$2:$I$5000,MATCH($C1626,DATA_MASTER!$D$2:$D$5000,0)),""))</f>
        <v/>
      </c>
      <c r="F1626" s="22">
        <f t="array" ref="F1626">IF($C1626="","",IFERROR(INDEX(DATA_MASTER!$L$2:$L$5000,MATCH($C1626,DATA_MASTER!$D$2:$D$5000,0)),""))</f>
        <v/>
      </c>
      <c r="G1626" s="24" t="n"/>
      <c r="H1626" s="24" t="n"/>
      <c r="I1626" s="30" t="n"/>
      <c r="J1626" s="23">
        <f>IF(OR($H1626="",$I1626=""),"",$H1626*$I1626)</f>
        <v/>
      </c>
      <c r="K1626" s="24" t="n"/>
      <c r="L1626" s="24" t="n"/>
      <c r="M1626" s="29" t="n"/>
      <c r="N1626" s="28" t="n"/>
      <c r="O1626" s="24" t="n"/>
      <c r="P1626" s="24" t="n"/>
      <c r="Q1626" s="24" t="n"/>
      <c r="R1626" s="24" t="n"/>
      <c r="S1626" s="22">
        <f>IF(AND($A1626="",$C1626=""),"",IF($A1626="","Thiếu mã đơn; ","")&amp;IF(COUNTIF($A$2:$A1626,$A1626)&gt;1,"Trùng mã đơn; ","")&amp;IF(ISNA(MATCH($C1626,DATA_MASTER!$D$2:$D$5000,0)),"SĐT chưa đăng ký hội viên; ","")&amp;IF(AND($L1626="Đã chuyển khoản",$M1626=""),"Thiếu ngày nhận CK; ",""))</f>
        <v/>
      </c>
      <c r="T1626" s="24" t="n"/>
    </row>
    <row r="1627" ht="14.25" customHeight="1" s="40">
      <c r="A1627" s="24" t="n"/>
      <c r="B1627" s="29" t="n"/>
      <c r="C1627" s="28" t="n"/>
      <c r="D1627" s="22">
        <f t="array" ref="D1627">IF($C1627="","",IFERROR(INDEX(DATA_MASTER!$C$2:$C$5000,MATCH($C1627,DATA_MASTER!$D$2:$D$5000,0)),""))</f>
        <v/>
      </c>
      <c r="E1627" s="22">
        <f t="array" ref="E1627">IF($C1627="","",IFERROR(INDEX(DATA_MASTER!$I$2:$I$5000,MATCH($C1627,DATA_MASTER!$D$2:$D$5000,0)),""))</f>
        <v/>
      </c>
      <c r="F1627" s="22">
        <f t="array" ref="F1627">IF($C1627="","",IFERROR(INDEX(DATA_MASTER!$L$2:$L$5000,MATCH($C1627,DATA_MASTER!$D$2:$D$5000,0)),""))</f>
        <v/>
      </c>
      <c r="G1627" s="24" t="n"/>
      <c r="H1627" s="24" t="n"/>
      <c r="I1627" s="30" t="n"/>
      <c r="J1627" s="23">
        <f>IF(OR($H1627="",$I1627=""),"",$H1627*$I1627)</f>
        <v/>
      </c>
      <c r="K1627" s="24" t="n"/>
      <c r="L1627" s="24" t="n"/>
      <c r="M1627" s="29" t="n"/>
      <c r="N1627" s="28" t="n"/>
      <c r="O1627" s="24" t="n"/>
      <c r="P1627" s="24" t="n"/>
      <c r="Q1627" s="24" t="n"/>
      <c r="R1627" s="24" t="n"/>
      <c r="S1627" s="22">
        <f>IF(AND($A1627="",$C1627=""),"",IF($A1627="","Thiếu mã đơn; ","")&amp;IF(COUNTIF($A$2:$A1627,$A1627)&gt;1,"Trùng mã đơn; ","")&amp;IF(ISNA(MATCH($C1627,DATA_MASTER!$D$2:$D$5000,0)),"SĐT chưa đăng ký hội viên; ","")&amp;IF(AND($L1627="Đã chuyển khoản",$M1627=""),"Thiếu ngày nhận CK; ",""))</f>
        <v/>
      </c>
      <c r="T1627" s="24" t="n"/>
    </row>
    <row r="1628" ht="14.25" customHeight="1" s="40">
      <c r="A1628" s="24" t="n"/>
      <c r="B1628" s="29" t="n"/>
      <c r="C1628" s="28" t="n"/>
      <c r="D1628" s="22">
        <f t="array" ref="D1628">IF($C1628="","",IFERROR(INDEX(DATA_MASTER!$C$2:$C$5000,MATCH($C1628,DATA_MASTER!$D$2:$D$5000,0)),""))</f>
        <v/>
      </c>
      <c r="E1628" s="22">
        <f t="array" ref="E1628">IF($C1628="","",IFERROR(INDEX(DATA_MASTER!$I$2:$I$5000,MATCH($C1628,DATA_MASTER!$D$2:$D$5000,0)),""))</f>
        <v/>
      </c>
      <c r="F1628" s="22">
        <f t="array" ref="F1628">IF($C1628="","",IFERROR(INDEX(DATA_MASTER!$L$2:$L$5000,MATCH($C1628,DATA_MASTER!$D$2:$D$5000,0)),""))</f>
        <v/>
      </c>
      <c r="G1628" s="24" t="n"/>
      <c r="H1628" s="24" t="n"/>
      <c r="I1628" s="30" t="n"/>
      <c r="J1628" s="23">
        <f>IF(OR($H1628="",$I1628=""),"",$H1628*$I1628)</f>
        <v/>
      </c>
      <c r="K1628" s="24" t="n"/>
      <c r="L1628" s="24" t="n"/>
      <c r="M1628" s="29" t="n"/>
      <c r="N1628" s="28" t="n"/>
      <c r="O1628" s="24" t="n"/>
      <c r="P1628" s="24" t="n"/>
      <c r="Q1628" s="24" t="n"/>
      <c r="R1628" s="24" t="n"/>
      <c r="S1628" s="22">
        <f>IF(AND($A1628="",$C1628=""),"",IF($A1628="","Thiếu mã đơn; ","")&amp;IF(COUNTIF($A$2:$A1628,$A1628)&gt;1,"Trùng mã đơn; ","")&amp;IF(ISNA(MATCH($C1628,DATA_MASTER!$D$2:$D$5000,0)),"SĐT chưa đăng ký hội viên; ","")&amp;IF(AND($L1628="Đã chuyển khoản",$M1628=""),"Thiếu ngày nhận CK; ",""))</f>
        <v/>
      </c>
      <c r="T1628" s="24" t="n"/>
    </row>
    <row r="1629" ht="14.25" customHeight="1" s="40">
      <c r="A1629" s="24" t="n"/>
      <c r="B1629" s="29" t="n"/>
      <c r="C1629" s="28" t="n"/>
      <c r="D1629" s="22">
        <f t="array" ref="D1629">IF($C1629="","",IFERROR(INDEX(DATA_MASTER!$C$2:$C$5000,MATCH($C1629,DATA_MASTER!$D$2:$D$5000,0)),""))</f>
        <v/>
      </c>
      <c r="E1629" s="22">
        <f t="array" ref="E1629">IF($C1629="","",IFERROR(INDEX(DATA_MASTER!$I$2:$I$5000,MATCH($C1629,DATA_MASTER!$D$2:$D$5000,0)),""))</f>
        <v/>
      </c>
      <c r="F1629" s="22">
        <f t="array" ref="F1629">IF($C1629="","",IFERROR(INDEX(DATA_MASTER!$L$2:$L$5000,MATCH($C1629,DATA_MASTER!$D$2:$D$5000,0)),""))</f>
        <v/>
      </c>
      <c r="G1629" s="24" t="n"/>
      <c r="H1629" s="24" t="n"/>
      <c r="I1629" s="30" t="n"/>
      <c r="J1629" s="23">
        <f>IF(OR($H1629="",$I1629=""),"",$H1629*$I1629)</f>
        <v/>
      </c>
      <c r="K1629" s="24" t="n"/>
      <c r="L1629" s="24" t="n"/>
      <c r="M1629" s="29" t="n"/>
      <c r="N1629" s="28" t="n"/>
      <c r="O1629" s="24" t="n"/>
      <c r="P1629" s="24" t="n"/>
      <c r="Q1629" s="24" t="n"/>
      <c r="R1629" s="24" t="n"/>
      <c r="S1629" s="22">
        <f>IF(AND($A1629="",$C1629=""),"",IF($A1629="","Thiếu mã đơn; ","")&amp;IF(COUNTIF($A$2:$A1629,$A1629)&gt;1,"Trùng mã đơn; ","")&amp;IF(ISNA(MATCH($C1629,DATA_MASTER!$D$2:$D$5000,0)),"SĐT chưa đăng ký hội viên; ","")&amp;IF(AND($L1629="Đã chuyển khoản",$M1629=""),"Thiếu ngày nhận CK; ",""))</f>
        <v/>
      </c>
      <c r="T1629" s="24" t="n"/>
    </row>
    <row r="1630" ht="14.25" customHeight="1" s="40">
      <c r="A1630" s="24" t="n"/>
      <c r="B1630" s="29" t="n"/>
      <c r="C1630" s="28" t="n"/>
      <c r="D1630" s="22">
        <f t="array" ref="D1630">IF($C1630="","",IFERROR(INDEX(DATA_MASTER!$C$2:$C$5000,MATCH($C1630,DATA_MASTER!$D$2:$D$5000,0)),""))</f>
        <v/>
      </c>
      <c r="E1630" s="22">
        <f t="array" ref="E1630">IF($C1630="","",IFERROR(INDEX(DATA_MASTER!$I$2:$I$5000,MATCH($C1630,DATA_MASTER!$D$2:$D$5000,0)),""))</f>
        <v/>
      </c>
      <c r="F1630" s="22">
        <f t="array" ref="F1630">IF($C1630="","",IFERROR(INDEX(DATA_MASTER!$L$2:$L$5000,MATCH($C1630,DATA_MASTER!$D$2:$D$5000,0)),""))</f>
        <v/>
      </c>
      <c r="G1630" s="24" t="n"/>
      <c r="H1630" s="24" t="n"/>
      <c r="I1630" s="30" t="n"/>
      <c r="J1630" s="23">
        <f>IF(OR($H1630="",$I1630=""),"",$H1630*$I1630)</f>
        <v/>
      </c>
      <c r="K1630" s="24" t="n"/>
      <c r="L1630" s="24" t="n"/>
      <c r="M1630" s="29" t="n"/>
      <c r="N1630" s="28" t="n"/>
      <c r="O1630" s="24" t="n"/>
      <c r="P1630" s="24" t="n"/>
      <c r="Q1630" s="24" t="n"/>
      <c r="R1630" s="24" t="n"/>
      <c r="S1630" s="22">
        <f>IF(AND($A1630="",$C1630=""),"",IF($A1630="","Thiếu mã đơn; ","")&amp;IF(COUNTIF($A$2:$A1630,$A1630)&gt;1,"Trùng mã đơn; ","")&amp;IF(ISNA(MATCH($C1630,DATA_MASTER!$D$2:$D$5000,0)),"SĐT chưa đăng ký hội viên; ","")&amp;IF(AND($L1630="Đã chuyển khoản",$M1630=""),"Thiếu ngày nhận CK; ",""))</f>
        <v/>
      </c>
      <c r="T1630" s="24" t="n"/>
    </row>
    <row r="1631" ht="14.25" customHeight="1" s="40">
      <c r="A1631" s="24" t="n"/>
      <c r="B1631" s="29" t="n"/>
      <c r="C1631" s="28" t="n"/>
      <c r="D1631" s="22">
        <f t="array" ref="D1631">IF($C1631="","",IFERROR(INDEX(DATA_MASTER!$C$2:$C$5000,MATCH($C1631,DATA_MASTER!$D$2:$D$5000,0)),""))</f>
        <v/>
      </c>
      <c r="E1631" s="22">
        <f t="array" ref="E1631">IF($C1631="","",IFERROR(INDEX(DATA_MASTER!$I$2:$I$5000,MATCH($C1631,DATA_MASTER!$D$2:$D$5000,0)),""))</f>
        <v/>
      </c>
      <c r="F1631" s="22">
        <f t="array" ref="F1631">IF($C1631="","",IFERROR(INDEX(DATA_MASTER!$L$2:$L$5000,MATCH($C1631,DATA_MASTER!$D$2:$D$5000,0)),""))</f>
        <v/>
      </c>
      <c r="G1631" s="24" t="n"/>
      <c r="H1631" s="24" t="n"/>
      <c r="I1631" s="30" t="n"/>
      <c r="J1631" s="23">
        <f>IF(OR($H1631="",$I1631=""),"",$H1631*$I1631)</f>
        <v/>
      </c>
      <c r="K1631" s="24" t="n"/>
      <c r="L1631" s="24" t="n"/>
      <c r="M1631" s="29" t="n"/>
      <c r="N1631" s="28" t="n"/>
      <c r="O1631" s="24" t="n"/>
      <c r="P1631" s="24" t="n"/>
      <c r="Q1631" s="24" t="n"/>
      <c r="R1631" s="24" t="n"/>
      <c r="S1631" s="22">
        <f>IF(AND($A1631="",$C1631=""),"",IF($A1631="","Thiếu mã đơn; ","")&amp;IF(COUNTIF($A$2:$A1631,$A1631)&gt;1,"Trùng mã đơn; ","")&amp;IF(ISNA(MATCH($C1631,DATA_MASTER!$D$2:$D$5000,0)),"SĐT chưa đăng ký hội viên; ","")&amp;IF(AND($L1631="Đã chuyển khoản",$M1631=""),"Thiếu ngày nhận CK; ",""))</f>
        <v/>
      </c>
      <c r="T1631" s="24" t="n"/>
    </row>
    <row r="1632" ht="14.25" customHeight="1" s="40">
      <c r="A1632" s="24" t="n"/>
      <c r="B1632" s="29" t="n"/>
      <c r="C1632" s="28" t="n"/>
      <c r="D1632" s="22">
        <f t="array" ref="D1632">IF($C1632="","",IFERROR(INDEX(DATA_MASTER!$C$2:$C$5000,MATCH($C1632,DATA_MASTER!$D$2:$D$5000,0)),""))</f>
        <v/>
      </c>
      <c r="E1632" s="22">
        <f t="array" ref="E1632">IF($C1632="","",IFERROR(INDEX(DATA_MASTER!$I$2:$I$5000,MATCH($C1632,DATA_MASTER!$D$2:$D$5000,0)),""))</f>
        <v/>
      </c>
      <c r="F1632" s="22">
        <f t="array" ref="F1632">IF($C1632="","",IFERROR(INDEX(DATA_MASTER!$L$2:$L$5000,MATCH($C1632,DATA_MASTER!$D$2:$D$5000,0)),""))</f>
        <v/>
      </c>
      <c r="G1632" s="24" t="n"/>
      <c r="H1632" s="24" t="n"/>
      <c r="I1632" s="30" t="n"/>
      <c r="J1632" s="23">
        <f>IF(OR($H1632="",$I1632=""),"",$H1632*$I1632)</f>
        <v/>
      </c>
      <c r="K1632" s="24" t="n"/>
      <c r="L1632" s="24" t="n"/>
      <c r="M1632" s="29" t="n"/>
      <c r="N1632" s="28" t="n"/>
      <c r="O1632" s="24" t="n"/>
      <c r="P1632" s="24" t="n"/>
      <c r="Q1632" s="24" t="n"/>
      <c r="R1632" s="24" t="n"/>
      <c r="S1632" s="22">
        <f>IF(AND($A1632="",$C1632=""),"",IF($A1632="","Thiếu mã đơn; ","")&amp;IF(COUNTIF($A$2:$A1632,$A1632)&gt;1,"Trùng mã đơn; ","")&amp;IF(ISNA(MATCH($C1632,DATA_MASTER!$D$2:$D$5000,0)),"SĐT chưa đăng ký hội viên; ","")&amp;IF(AND($L1632="Đã chuyển khoản",$M1632=""),"Thiếu ngày nhận CK; ",""))</f>
        <v/>
      </c>
      <c r="T1632" s="24" t="n"/>
    </row>
    <row r="1633" ht="14.25" customHeight="1" s="40">
      <c r="A1633" s="24" t="n"/>
      <c r="B1633" s="29" t="n"/>
      <c r="C1633" s="28" t="n"/>
      <c r="D1633" s="22">
        <f t="array" ref="D1633">IF($C1633="","",IFERROR(INDEX(DATA_MASTER!$C$2:$C$5000,MATCH($C1633,DATA_MASTER!$D$2:$D$5000,0)),""))</f>
        <v/>
      </c>
      <c r="E1633" s="22">
        <f t="array" ref="E1633">IF($C1633="","",IFERROR(INDEX(DATA_MASTER!$I$2:$I$5000,MATCH($C1633,DATA_MASTER!$D$2:$D$5000,0)),""))</f>
        <v/>
      </c>
      <c r="F1633" s="22">
        <f t="array" ref="F1633">IF($C1633="","",IFERROR(INDEX(DATA_MASTER!$L$2:$L$5000,MATCH($C1633,DATA_MASTER!$D$2:$D$5000,0)),""))</f>
        <v/>
      </c>
      <c r="G1633" s="24" t="n"/>
      <c r="H1633" s="24" t="n"/>
      <c r="I1633" s="30" t="n"/>
      <c r="J1633" s="23">
        <f>IF(OR($H1633="",$I1633=""),"",$H1633*$I1633)</f>
        <v/>
      </c>
      <c r="K1633" s="24" t="n"/>
      <c r="L1633" s="24" t="n"/>
      <c r="M1633" s="29" t="n"/>
      <c r="N1633" s="28" t="n"/>
      <c r="O1633" s="24" t="n"/>
      <c r="P1633" s="24" t="n"/>
      <c r="Q1633" s="24" t="n"/>
      <c r="R1633" s="24" t="n"/>
      <c r="S1633" s="22">
        <f>IF(AND($A1633="",$C1633=""),"",IF($A1633="","Thiếu mã đơn; ","")&amp;IF(COUNTIF($A$2:$A1633,$A1633)&gt;1,"Trùng mã đơn; ","")&amp;IF(ISNA(MATCH($C1633,DATA_MASTER!$D$2:$D$5000,0)),"SĐT chưa đăng ký hội viên; ","")&amp;IF(AND($L1633="Đã chuyển khoản",$M1633=""),"Thiếu ngày nhận CK; ",""))</f>
        <v/>
      </c>
      <c r="T1633" s="24" t="n"/>
    </row>
    <row r="1634" ht="14.25" customHeight="1" s="40">
      <c r="A1634" s="24" t="n"/>
      <c r="B1634" s="29" t="n"/>
      <c r="C1634" s="28" t="n"/>
      <c r="D1634" s="22">
        <f t="array" ref="D1634">IF($C1634="","",IFERROR(INDEX(DATA_MASTER!$C$2:$C$5000,MATCH($C1634,DATA_MASTER!$D$2:$D$5000,0)),""))</f>
        <v/>
      </c>
      <c r="E1634" s="22">
        <f t="array" ref="E1634">IF($C1634="","",IFERROR(INDEX(DATA_MASTER!$I$2:$I$5000,MATCH($C1634,DATA_MASTER!$D$2:$D$5000,0)),""))</f>
        <v/>
      </c>
      <c r="F1634" s="22">
        <f t="array" ref="F1634">IF($C1634="","",IFERROR(INDEX(DATA_MASTER!$L$2:$L$5000,MATCH($C1634,DATA_MASTER!$D$2:$D$5000,0)),""))</f>
        <v/>
      </c>
      <c r="G1634" s="24" t="n"/>
      <c r="H1634" s="24" t="n"/>
      <c r="I1634" s="30" t="n"/>
      <c r="J1634" s="23">
        <f>IF(OR($H1634="",$I1634=""),"",$H1634*$I1634)</f>
        <v/>
      </c>
      <c r="K1634" s="24" t="n"/>
      <c r="L1634" s="24" t="n"/>
      <c r="M1634" s="29" t="n"/>
      <c r="N1634" s="28" t="n"/>
      <c r="O1634" s="24" t="n"/>
      <c r="P1634" s="24" t="n"/>
      <c r="Q1634" s="24" t="n"/>
      <c r="R1634" s="24" t="n"/>
      <c r="S1634" s="22">
        <f>IF(AND($A1634="",$C1634=""),"",IF($A1634="","Thiếu mã đơn; ","")&amp;IF(COUNTIF($A$2:$A1634,$A1634)&gt;1,"Trùng mã đơn; ","")&amp;IF(ISNA(MATCH($C1634,DATA_MASTER!$D$2:$D$5000,0)),"SĐT chưa đăng ký hội viên; ","")&amp;IF(AND($L1634="Đã chuyển khoản",$M1634=""),"Thiếu ngày nhận CK; ",""))</f>
        <v/>
      </c>
      <c r="T1634" s="24" t="n"/>
    </row>
    <row r="1635" ht="14.25" customHeight="1" s="40">
      <c r="A1635" s="24" t="n"/>
      <c r="B1635" s="29" t="n"/>
      <c r="C1635" s="28" t="n"/>
      <c r="D1635" s="22">
        <f t="array" ref="D1635">IF($C1635="","",IFERROR(INDEX(DATA_MASTER!$C$2:$C$5000,MATCH($C1635,DATA_MASTER!$D$2:$D$5000,0)),""))</f>
        <v/>
      </c>
      <c r="E1635" s="22">
        <f t="array" ref="E1635">IF($C1635="","",IFERROR(INDEX(DATA_MASTER!$I$2:$I$5000,MATCH($C1635,DATA_MASTER!$D$2:$D$5000,0)),""))</f>
        <v/>
      </c>
      <c r="F1635" s="22">
        <f t="array" ref="F1635">IF($C1635="","",IFERROR(INDEX(DATA_MASTER!$L$2:$L$5000,MATCH($C1635,DATA_MASTER!$D$2:$D$5000,0)),""))</f>
        <v/>
      </c>
      <c r="G1635" s="24" t="n"/>
      <c r="H1635" s="24" t="n"/>
      <c r="I1635" s="30" t="n"/>
      <c r="J1635" s="23">
        <f>IF(OR($H1635="",$I1635=""),"",$H1635*$I1635)</f>
        <v/>
      </c>
      <c r="K1635" s="24" t="n"/>
      <c r="L1635" s="24" t="n"/>
      <c r="M1635" s="29" t="n"/>
      <c r="N1635" s="28" t="n"/>
      <c r="O1635" s="24" t="n"/>
      <c r="P1635" s="24" t="n"/>
      <c r="Q1635" s="24" t="n"/>
      <c r="R1635" s="24" t="n"/>
      <c r="S1635" s="22">
        <f>IF(AND($A1635="",$C1635=""),"",IF($A1635="","Thiếu mã đơn; ","")&amp;IF(COUNTIF($A$2:$A1635,$A1635)&gt;1,"Trùng mã đơn; ","")&amp;IF(ISNA(MATCH($C1635,DATA_MASTER!$D$2:$D$5000,0)),"SĐT chưa đăng ký hội viên; ","")&amp;IF(AND($L1635="Đã chuyển khoản",$M1635=""),"Thiếu ngày nhận CK; ",""))</f>
        <v/>
      </c>
      <c r="T1635" s="24" t="n"/>
    </row>
    <row r="1636" ht="14.25" customHeight="1" s="40">
      <c r="A1636" s="24" t="n"/>
      <c r="B1636" s="29" t="n"/>
      <c r="C1636" s="28" t="n"/>
      <c r="D1636" s="22">
        <f t="array" ref="D1636">IF($C1636="","",IFERROR(INDEX(DATA_MASTER!$C$2:$C$5000,MATCH($C1636,DATA_MASTER!$D$2:$D$5000,0)),""))</f>
        <v/>
      </c>
      <c r="E1636" s="22">
        <f t="array" ref="E1636">IF($C1636="","",IFERROR(INDEX(DATA_MASTER!$I$2:$I$5000,MATCH($C1636,DATA_MASTER!$D$2:$D$5000,0)),""))</f>
        <v/>
      </c>
      <c r="F1636" s="22">
        <f t="array" ref="F1636">IF($C1636="","",IFERROR(INDEX(DATA_MASTER!$L$2:$L$5000,MATCH($C1636,DATA_MASTER!$D$2:$D$5000,0)),""))</f>
        <v/>
      </c>
      <c r="G1636" s="24" t="n"/>
      <c r="H1636" s="24" t="n"/>
      <c r="I1636" s="30" t="n"/>
      <c r="J1636" s="23">
        <f>IF(OR($H1636="",$I1636=""),"",$H1636*$I1636)</f>
        <v/>
      </c>
      <c r="K1636" s="24" t="n"/>
      <c r="L1636" s="24" t="n"/>
      <c r="M1636" s="29" t="n"/>
      <c r="N1636" s="28" t="n"/>
      <c r="O1636" s="24" t="n"/>
      <c r="P1636" s="24" t="n"/>
      <c r="Q1636" s="24" t="n"/>
      <c r="R1636" s="24" t="n"/>
      <c r="S1636" s="22">
        <f>IF(AND($A1636="",$C1636=""),"",IF($A1636="","Thiếu mã đơn; ","")&amp;IF(COUNTIF($A$2:$A1636,$A1636)&gt;1,"Trùng mã đơn; ","")&amp;IF(ISNA(MATCH($C1636,DATA_MASTER!$D$2:$D$5000,0)),"SĐT chưa đăng ký hội viên; ","")&amp;IF(AND($L1636="Đã chuyển khoản",$M1636=""),"Thiếu ngày nhận CK; ",""))</f>
        <v/>
      </c>
      <c r="T1636" s="24" t="n"/>
    </row>
    <row r="1637" ht="14.25" customHeight="1" s="40">
      <c r="A1637" s="24" t="n"/>
      <c r="B1637" s="29" t="n"/>
      <c r="C1637" s="28" t="n"/>
      <c r="D1637" s="22">
        <f t="array" ref="D1637">IF($C1637="","",IFERROR(INDEX(DATA_MASTER!$C$2:$C$5000,MATCH($C1637,DATA_MASTER!$D$2:$D$5000,0)),""))</f>
        <v/>
      </c>
      <c r="E1637" s="22">
        <f t="array" ref="E1637">IF($C1637="","",IFERROR(INDEX(DATA_MASTER!$I$2:$I$5000,MATCH($C1637,DATA_MASTER!$D$2:$D$5000,0)),""))</f>
        <v/>
      </c>
      <c r="F1637" s="22">
        <f t="array" ref="F1637">IF($C1637="","",IFERROR(INDEX(DATA_MASTER!$L$2:$L$5000,MATCH($C1637,DATA_MASTER!$D$2:$D$5000,0)),""))</f>
        <v/>
      </c>
      <c r="G1637" s="24" t="n"/>
      <c r="H1637" s="24" t="n"/>
      <c r="I1637" s="30" t="n"/>
      <c r="J1637" s="23">
        <f>IF(OR($H1637="",$I1637=""),"",$H1637*$I1637)</f>
        <v/>
      </c>
      <c r="K1637" s="24" t="n"/>
      <c r="L1637" s="24" t="n"/>
      <c r="M1637" s="29" t="n"/>
      <c r="N1637" s="28" t="n"/>
      <c r="O1637" s="24" t="n"/>
      <c r="P1637" s="24" t="n"/>
      <c r="Q1637" s="24" t="n"/>
      <c r="R1637" s="24" t="n"/>
      <c r="S1637" s="22">
        <f>IF(AND($A1637="",$C1637=""),"",IF($A1637="","Thiếu mã đơn; ","")&amp;IF(COUNTIF($A$2:$A1637,$A1637)&gt;1,"Trùng mã đơn; ","")&amp;IF(ISNA(MATCH($C1637,DATA_MASTER!$D$2:$D$5000,0)),"SĐT chưa đăng ký hội viên; ","")&amp;IF(AND($L1637="Đã chuyển khoản",$M1637=""),"Thiếu ngày nhận CK; ",""))</f>
        <v/>
      </c>
      <c r="T1637" s="24" t="n"/>
    </row>
    <row r="1638" ht="14.25" customHeight="1" s="40">
      <c r="A1638" s="24" t="n"/>
      <c r="B1638" s="29" t="n"/>
      <c r="C1638" s="28" t="n"/>
      <c r="D1638" s="22">
        <f t="array" ref="D1638">IF($C1638="","",IFERROR(INDEX(DATA_MASTER!$C$2:$C$5000,MATCH($C1638,DATA_MASTER!$D$2:$D$5000,0)),""))</f>
        <v/>
      </c>
      <c r="E1638" s="22">
        <f t="array" ref="E1638">IF($C1638="","",IFERROR(INDEX(DATA_MASTER!$I$2:$I$5000,MATCH($C1638,DATA_MASTER!$D$2:$D$5000,0)),""))</f>
        <v/>
      </c>
      <c r="F1638" s="22">
        <f t="array" ref="F1638">IF($C1638="","",IFERROR(INDEX(DATA_MASTER!$L$2:$L$5000,MATCH($C1638,DATA_MASTER!$D$2:$D$5000,0)),""))</f>
        <v/>
      </c>
      <c r="G1638" s="24" t="n"/>
      <c r="H1638" s="24" t="n"/>
      <c r="I1638" s="30" t="n"/>
      <c r="J1638" s="23">
        <f>IF(OR($H1638="",$I1638=""),"",$H1638*$I1638)</f>
        <v/>
      </c>
      <c r="K1638" s="24" t="n"/>
      <c r="L1638" s="24" t="n"/>
      <c r="M1638" s="29" t="n"/>
      <c r="N1638" s="28" t="n"/>
      <c r="O1638" s="24" t="n"/>
      <c r="P1638" s="24" t="n"/>
      <c r="Q1638" s="24" t="n"/>
      <c r="R1638" s="24" t="n"/>
      <c r="S1638" s="22">
        <f>IF(AND($A1638="",$C1638=""),"",IF($A1638="","Thiếu mã đơn; ","")&amp;IF(COUNTIF($A$2:$A1638,$A1638)&gt;1,"Trùng mã đơn; ","")&amp;IF(ISNA(MATCH($C1638,DATA_MASTER!$D$2:$D$5000,0)),"SĐT chưa đăng ký hội viên; ","")&amp;IF(AND($L1638="Đã chuyển khoản",$M1638=""),"Thiếu ngày nhận CK; ",""))</f>
        <v/>
      </c>
      <c r="T1638" s="24" t="n"/>
    </row>
    <row r="1639" ht="14.25" customHeight="1" s="40">
      <c r="A1639" s="24" t="n"/>
      <c r="B1639" s="29" t="n"/>
      <c r="C1639" s="28" t="n"/>
      <c r="D1639" s="22">
        <f t="array" ref="D1639">IF($C1639="","",IFERROR(INDEX(DATA_MASTER!$C$2:$C$5000,MATCH($C1639,DATA_MASTER!$D$2:$D$5000,0)),""))</f>
        <v/>
      </c>
      <c r="E1639" s="22">
        <f t="array" ref="E1639">IF($C1639="","",IFERROR(INDEX(DATA_MASTER!$I$2:$I$5000,MATCH($C1639,DATA_MASTER!$D$2:$D$5000,0)),""))</f>
        <v/>
      </c>
      <c r="F1639" s="22">
        <f t="array" ref="F1639">IF($C1639="","",IFERROR(INDEX(DATA_MASTER!$L$2:$L$5000,MATCH($C1639,DATA_MASTER!$D$2:$D$5000,0)),""))</f>
        <v/>
      </c>
      <c r="G1639" s="24" t="n"/>
      <c r="H1639" s="24" t="n"/>
      <c r="I1639" s="30" t="n"/>
      <c r="J1639" s="23">
        <f>IF(OR($H1639="",$I1639=""),"",$H1639*$I1639)</f>
        <v/>
      </c>
      <c r="K1639" s="24" t="n"/>
      <c r="L1639" s="24" t="n"/>
      <c r="M1639" s="29" t="n"/>
      <c r="N1639" s="28" t="n"/>
      <c r="O1639" s="24" t="n"/>
      <c r="P1639" s="24" t="n"/>
      <c r="Q1639" s="24" t="n"/>
      <c r="R1639" s="24" t="n"/>
      <c r="S1639" s="22">
        <f>IF(AND($A1639="",$C1639=""),"",IF($A1639="","Thiếu mã đơn; ","")&amp;IF(COUNTIF($A$2:$A1639,$A1639)&gt;1,"Trùng mã đơn; ","")&amp;IF(ISNA(MATCH($C1639,DATA_MASTER!$D$2:$D$5000,0)),"SĐT chưa đăng ký hội viên; ","")&amp;IF(AND($L1639="Đã chuyển khoản",$M1639=""),"Thiếu ngày nhận CK; ",""))</f>
        <v/>
      </c>
      <c r="T1639" s="24" t="n"/>
    </row>
    <row r="1640" ht="14.25" customHeight="1" s="40">
      <c r="A1640" s="24" t="n"/>
      <c r="B1640" s="29" t="n"/>
      <c r="C1640" s="28" t="n"/>
      <c r="D1640" s="22">
        <f t="array" ref="D1640">IF($C1640="","",IFERROR(INDEX(DATA_MASTER!$C$2:$C$5000,MATCH($C1640,DATA_MASTER!$D$2:$D$5000,0)),""))</f>
        <v/>
      </c>
      <c r="E1640" s="22">
        <f t="array" ref="E1640">IF($C1640="","",IFERROR(INDEX(DATA_MASTER!$I$2:$I$5000,MATCH($C1640,DATA_MASTER!$D$2:$D$5000,0)),""))</f>
        <v/>
      </c>
      <c r="F1640" s="22">
        <f t="array" ref="F1640">IF($C1640="","",IFERROR(INDEX(DATA_MASTER!$L$2:$L$5000,MATCH($C1640,DATA_MASTER!$D$2:$D$5000,0)),""))</f>
        <v/>
      </c>
      <c r="G1640" s="24" t="n"/>
      <c r="H1640" s="24" t="n"/>
      <c r="I1640" s="30" t="n"/>
      <c r="J1640" s="23">
        <f>IF(OR($H1640="",$I1640=""),"",$H1640*$I1640)</f>
        <v/>
      </c>
      <c r="K1640" s="24" t="n"/>
      <c r="L1640" s="24" t="n"/>
      <c r="M1640" s="29" t="n"/>
      <c r="N1640" s="28" t="n"/>
      <c r="O1640" s="24" t="n"/>
      <c r="P1640" s="24" t="n"/>
      <c r="Q1640" s="24" t="n"/>
      <c r="R1640" s="24" t="n"/>
      <c r="S1640" s="22">
        <f>IF(AND($A1640="",$C1640=""),"",IF($A1640="","Thiếu mã đơn; ","")&amp;IF(COUNTIF($A$2:$A1640,$A1640)&gt;1,"Trùng mã đơn; ","")&amp;IF(ISNA(MATCH($C1640,DATA_MASTER!$D$2:$D$5000,0)),"SĐT chưa đăng ký hội viên; ","")&amp;IF(AND($L1640="Đã chuyển khoản",$M1640=""),"Thiếu ngày nhận CK; ",""))</f>
        <v/>
      </c>
      <c r="T1640" s="24" t="n"/>
    </row>
    <row r="1641" ht="14.25" customHeight="1" s="40">
      <c r="A1641" s="24" t="n"/>
      <c r="B1641" s="29" t="n"/>
      <c r="C1641" s="28" t="n"/>
      <c r="D1641" s="22">
        <f t="array" ref="D1641">IF($C1641="","",IFERROR(INDEX(DATA_MASTER!$C$2:$C$5000,MATCH($C1641,DATA_MASTER!$D$2:$D$5000,0)),""))</f>
        <v/>
      </c>
      <c r="E1641" s="22">
        <f t="array" ref="E1641">IF($C1641="","",IFERROR(INDEX(DATA_MASTER!$I$2:$I$5000,MATCH($C1641,DATA_MASTER!$D$2:$D$5000,0)),""))</f>
        <v/>
      </c>
      <c r="F1641" s="22">
        <f t="array" ref="F1641">IF($C1641="","",IFERROR(INDEX(DATA_MASTER!$L$2:$L$5000,MATCH($C1641,DATA_MASTER!$D$2:$D$5000,0)),""))</f>
        <v/>
      </c>
      <c r="G1641" s="24" t="n"/>
      <c r="H1641" s="24" t="n"/>
      <c r="I1641" s="30" t="n"/>
      <c r="J1641" s="23">
        <f>IF(OR($H1641="",$I1641=""),"",$H1641*$I1641)</f>
        <v/>
      </c>
      <c r="K1641" s="24" t="n"/>
      <c r="L1641" s="24" t="n"/>
      <c r="M1641" s="29" t="n"/>
      <c r="N1641" s="28" t="n"/>
      <c r="O1641" s="24" t="n"/>
      <c r="P1641" s="24" t="n"/>
      <c r="Q1641" s="24" t="n"/>
      <c r="R1641" s="24" t="n"/>
      <c r="S1641" s="22">
        <f>IF(AND($A1641="",$C1641=""),"",IF($A1641="","Thiếu mã đơn; ","")&amp;IF(COUNTIF($A$2:$A1641,$A1641)&gt;1,"Trùng mã đơn; ","")&amp;IF(ISNA(MATCH($C1641,DATA_MASTER!$D$2:$D$5000,0)),"SĐT chưa đăng ký hội viên; ","")&amp;IF(AND($L1641="Đã chuyển khoản",$M1641=""),"Thiếu ngày nhận CK; ",""))</f>
        <v/>
      </c>
      <c r="T1641" s="24" t="n"/>
    </row>
    <row r="1642" ht="14.25" customHeight="1" s="40">
      <c r="A1642" s="24" t="n"/>
      <c r="B1642" s="29" t="n"/>
      <c r="C1642" s="28" t="n"/>
      <c r="D1642" s="22">
        <f t="array" ref="D1642">IF($C1642="","",IFERROR(INDEX(DATA_MASTER!$C$2:$C$5000,MATCH($C1642,DATA_MASTER!$D$2:$D$5000,0)),""))</f>
        <v/>
      </c>
      <c r="E1642" s="22">
        <f t="array" ref="E1642">IF($C1642="","",IFERROR(INDEX(DATA_MASTER!$I$2:$I$5000,MATCH($C1642,DATA_MASTER!$D$2:$D$5000,0)),""))</f>
        <v/>
      </c>
      <c r="F1642" s="22">
        <f t="array" ref="F1642">IF($C1642="","",IFERROR(INDEX(DATA_MASTER!$L$2:$L$5000,MATCH($C1642,DATA_MASTER!$D$2:$D$5000,0)),""))</f>
        <v/>
      </c>
      <c r="G1642" s="24" t="n"/>
      <c r="H1642" s="24" t="n"/>
      <c r="I1642" s="30" t="n"/>
      <c r="J1642" s="23">
        <f>IF(OR($H1642="",$I1642=""),"",$H1642*$I1642)</f>
        <v/>
      </c>
      <c r="K1642" s="24" t="n"/>
      <c r="L1642" s="24" t="n"/>
      <c r="M1642" s="29" t="n"/>
      <c r="N1642" s="28" t="n"/>
      <c r="O1642" s="24" t="n"/>
      <c r="P1642" s="24" t="n"/>
      <c r="Q1642" s="24" t="n"/>
      <c r="R1642" s="24" t="n"/>
      <c r="S1642" s="22">
        <f>IF(AND($A1642="",$C1642=""),"",IF($A1642="","Thiếu mã đơn; ","")&amp;IF(COUNTIF($A$2:$A1642,$A1642)&gt;1,"Trùng mã đơn; ","")&amp;IF(ISNA(MATCH($C1642,DATA_MASTER!$D$2:$D$5000,0)),"SĐT chưa đăng ký hội viên; ","")&amp;IF(AND($L1642="Đã chuyển khoản",$M1642=""),"Thiếu ngày nhận CK; ",""))</f>
        <v/>
      </c>
      <c r="T1642" s="24" t="n"/>
    </row>
    <row r="1643" ht="14.25" customHeight="1" s="40">
      <c r="A1643" s="24" t="n"/>
      <c r="B1643" s="29" t="n"/>
      <c r="C1643" s="28" t="n"/>
      <c r="D1643" s="22">
        <f t="array" ref="D1643">IF($C1643="","",IFERROR(INDEX(DATA_MASTER!$C$2:$C$5000,MATCH($C1643,DATA_MASTER!$D$2:$D$5000,0)),""))</f>
        <v/>
      </c>
      <c r="E1643" s="22">
        <f t="array" ref="E1643">IF($C1643="","",IFERROR(INDEX(DATA_MASTER!$I$2:$I$5000,MATCH($C1643,DATA_MASTER!$D$2:$D$5000,0)),""))</f>
        <v/>
      </c>
      <c r="F1643" s="22">
        <f t="array" ref="F1643">IF($C1643="","",IFERROR(INDEX(DATA_MASTER!$L$2:$L$5000,MATCH($C1643,DATA_MASTER!$D$2:$D$5000,0)),""))</f>
        <v/>
      </c>
      <c r="G1643" s="24" t="n"/>
      <c r="H1643" s="24" t="n"/>
      <c r="I1643" s="30" t="n"/>
      <c r="J1643" s="23">
        <f>IF(OR($H1643="",$I1643=""),"",$H1643*$I1643)</f>
        <v/>
      </c>
      <c r="K1643" s="24" t="n"/>
      <c r="L1643" s="24" t="n"/>
      <c r="M1643" s="29" t="n"/>
      <c r="N1643" s="28" t="n"/>
      <c r="O1643" s="24" t="n"/>
      <c r="P1643" s="24" t="n"/>
      <c r="Q1643" s="24" t="n"/>
      <c r="R1643" s="24" t="n"/>
      <c r="S1643" s="22">
        <f>IF(AND($A1643="",$C1643=""),"",IF($A1643="","Thiếu mã đơn; ","")&amp;IF(COUNTIF($A$2:$A1643,$A1643)&gt;1,"Trùng mã đơn; ","")&amp;IF(ISNA(MATCH($C1643,DATA_MASTER!$D$2:$D$5000,0)),"SĐT chưa đăng ký hội viên; ","")&amp;IF(AND($L1643="Đã chuyển khoản",$M1643=""),"Thiếu ngày nhận CK; ",""))</f>
        <v/>
      </c>
      <c r="T1643" s="24" t="n"/>
    </row>
    <row r="1644" ht="14.25" customHeight="1" s="40">
      <c r="A1644" s="24" t="n"/>
      <c r="B1644" s="29" t="n"/>
      <c r="C1644" s="28" t="n"/>
      <c r="D1644" s="22">
        <f t="array" ref="D1644">IF($C1644="","",IFERROR(INDEX(DATA_MASTER!$C$2:$C$5000,MATCH($C1644,DATA_MASTER!$D$2:$D$5000,0)),""))</f>
        <v/>
      </c>
      <c r="E1644" s="22">
        <f t="array" ref="E1644">IF($C1644="","",IFERROR(INDEX(DATA_MASTER!$I$2:$I$5000,MATCH($C1644,DATA_MASTER!$D$2:$D$5000,0)),""))</f>
        <v/>
      </c>
      <c r="F1644" s="22">
        <f t="array" ref="F1644">IF($C1644="","",IFERROR(INDEX(DATA_MASTER!$L$2:$L$5000,MATCH($C1644,DATA_MASTER!$D$2:$D$5000,0)),""))</f>
        <v/>
      </c>
      <c r="G1644" s="24" t="n"/>
      <c r="H1644" s="24" t="n"/>
      <c r="I1644" s="30" t="n"/>
      <c r="J1644" s="23">
        <f>IF(OR($H1644="",$I1644=""),"",$H1644*$I1644)</f>
        <v/>
      </c>
      <c r="K1644" s="24" t="n"/>
      <c r="L1644" s="24" t="n"/>
      <c r="M1644" s="29" t="n"/>
      <c r="N1644" s="28" t="n"/>
      <c r="O1644" s="24" t="n"/>
      <c r="P1644" s="24" t="n"/>
      <c r="Q1644" s="24" t="n"/>
      <c r="R1644" s="24" t="n"/>
      <c r="S1644" s="22">
        <f>IF(AND($A1644="",$C1644=""),"",IF($A1644="","Thiếu mã đơn; ","")&amp;IF(COUNTIF($A$2:$A1644,$A1644)&gt;1,"Trùng mã đơn; ","")&amp;IF(ISNA(MATCH($C1644,DATA_MASTER!$D$2:$D$5000,0)),"SĐT chưa đăng ký hội viên; ","")&amp;IF(AND($L1644="Đã chuyển khoản",$M1644=""),"Thiếu ngày nhận CK; ",""))</f>
        <v/>
      </c>
      <c r="T1644" s="24" t="n"/>
    </row>
    <row r="1645" ht="14.25" customHeight="1" s="40">
      <c r="A1645" s="24" t="n"/>
      <c r="B1645" s="29" t="n"/>
      <c r="C1645" s="28" t="n"/>
      <c r="D1645" s="22">
        <f t="array" ref="D1645">IF($C1645="","",IFERROR(INDEX(DATA_MASTER!$C$2:$C$5000,MATCH($C1645,DATA_MASTER!$D$2:$D$5000,0)),""))</f>
        <v/>
      </c>
      <c r="E1645" s="22">
        <f t="array" ref="E1645">IF($C1645="","",IFERROR(INDEX(DATA_MASTER!$I$2:$I$5000,MATCH($C1645,DATA_MASTER!$D$2:$D$5000,0)),""))</f>
        <v/>
      </c>
      <c r="F1645" s="22">
        <f t="array" ref="F1645">IF($C1645="","",IFERROR(INDEX(DATA_MASTER!$L$2:$L$5000,MATCH($C1645,DATA_MASTER!$D$2:$D$5000,0)),""))</f>
        <v/>
      </c>
      <c r="G1645" s="24" t="n"/>
      <c r="H1645" s="24" t="n"/>
      <c r="I1645" s="30" t="n"/>
      <c r="J1645" s="23">
        <f>IF(OR($H1645="",$I1645=""),"",$H1645*$I1645)</f>
        <v/>
      </c>
      <c r="K1645" s="24" t="n"/>
      <c r="L1645" s="24" t="n"/>
      <c r="M1645" s="29" t="n"/>
      <c r="N1645" s="28" t="n"/>
      <c r="O1645" s="24" t="n"/>
      <c r="P1645" s="24" t="n"/>
      <c r="Q1645" s="24" t="n"/>
      <c r="R1645" s="24" t="n"/>
      <c r="S1645" s="22">
        <f>IF(AND($A1645="",$C1645=""),"",IF($A1645="","Thiếu mã đơn; ","")&amp;IF(COUNTIF($A$2:$A1645,$A1645)&gt;1,"Trùng mã đơn; ","")&amp;IF(ISNA(MATCH($C1645,DATA_MASTER!$D$2:$D$5000,0)),"SĐT chưa đăng ký hội viên; ","")&amp;IF(AND($L1645="Đã chuyển khoản",$M1645=""),"Thiếu ngày nhận CK; ",""))</f>
        <v/>
      </c>
      <c r="T1645" s="24" t="n"/>
    </row>
    <row r="1646" ht="14.25" customHeight="1" s="40">
      <c r="A1646" s="24" t="n"/>
      <c r="B1646" s="29" t="n"/>
      <c r="C1646" s="28" t="n"/>
      <c r="D1646" s="22">
        <f t="array" ref="D1646">IF($C1646="","",IFERROR(INDEX(DATA_MASTER!$C$2:$C$5000,MATCH($C1646,DATA_MASTER!$D$2:$D$5000,0)),""))</f>
        <v/>
      </c>
      <c r="E1646" s="22">
        <f t="array" ref="E1646">IF($C1646="","",IFERROR(INDEX(DATA_MASTER!$I$2:$I$5000,MATCH($C1646,DATA_MASTER!$D$2:$D$5000,0)),""))</f>
        <v/>
      </c>
      <c r="F1646" s="22">
        <f t="array" ref="F1646">IF($C1646="","",IFERROR(INDEX(DATA_MASTER!$L$2:$L$5000,MATCH($C1646,DATA_MASTER!$D$2:$D$5000,0)),""))</f>
        <v/>
      </c>
      <c r="G1646" s="24" t="n"/>
      <c r="H1646" s="24" t="n"/>
      <c r="I1646" s="30" t="n"/>
      <c r="J1646" s="23">
        <f>IF(OR($H1646="",$I1646=""),"",$H1646*$I1646)</f>
        <v/>
      </c>
      <c r="K1646" s="24" t="n"/>
      <c r="L1646" s="24" t="n"/>
      <c r="M1646" s="29" t="n"/>
      <c r="N1646" s="28" t="n"/>
      <c r="O1646" s="24" t="n"/>
      <c r="P1646" s="24" t="n"/>
      <c r="Q1646" s="24" t="n"/>
      <c r="R1646" s="24" t="n"/>
      <c r="S1646" s="22">
        <f>IF(AND($A1646="",$C1646=""),"",IF($A1646="","Thiếu mã đơn; ","")&amp;IF(COUNTIF($A$2:$A1646,$A1646)&gt;1,"Trùng mã đơn; ","")&amp;IF(ISNA(MATCH($C1646,DATA_MASTER!$D$2:$D$5000,0)),"SĐT chưa đăng ký hội viên; ","")&amp;IF(AND($L1646="Đã chuyển khoản",$M1646=""),"Thiếu ngày nhận CK; ",""))</f>
        <v/>
      </c>
      <c r="T1646" s="24" t="n"/>
    </row>
    <row r="1647" ht="14.25" customHeight="1" s="40">
      <c r="A1647" s="24" t="n"/>
      <c r="B1647" s="29" t="n"/>
      <c r="C1647" s="28" t="n"/>
      <c r="D1647" s="22">
        <f t="array" ref="D1647">IF($C1647="","",IFERROR(INDEX(DATA_MASTER!$C$2:$C$5000,MATCH($C1647,DATA_MASTER!$D$2:$D$5000,0)),""))</f>
        <v/>
      </c>
      <c r="E1647" s="22">
        <f t="array" ref="E1647">IF($C1647="","",IFERROR(INDEX(DATA_MASTER!$I$2:$I$5000,MATCH($C1647,DATA_MASTER!$D$2:$D$5000,0)),""))</f>
        <v/>
      </c>
      <c r="F1647" s="22">
        <f t="array" ref="F1647">IF($C1647="","",IFERROR(INDEX(DATA_MASTER!$L$2:$L$5000,MATCH($C1647,DATA_MASTER!$D$2:$D$5000,0)),""))</f>
        <v/>
      </c>
      <c r="G1647" s="24" t="n"/>
      <c r="H1647" s="24" t="n"/>
      <c r="I1647" s="30" t="n"/>
      <c r="J1647" s="23">
        <f>IF(OR($H1647="",$I1647=""),"",$H1647*$I1647)</f>
        <v/>
      </c>
      <c r="K1647" s="24" t="n"/>
      <c r="L1647" s="24" t="n"/>
      <c r="M1647" s="29" t="n"/>
      <c r="N1647" s="28" t="n"/>
      <c r="O1647" s="24" t="n"/>
      <c r="P1647" s="24" t="n"/>
      <c r="Q1647" s="24" t="n"/>
      <c r="R1647" s="24" t="n"/>
      <c r="S1647" s="22">
        <f>IF(AND($A1647="",$C1647=""),"",IF($A1647="","Thiếu mã đơn; ","")&amp;IF(COUNTIF($A$2:$A1647,$A1647)&gt;1,"Trùng mã đơn; ","")&amp;IF(ISNA(MATCH($C1647,DATA_MASTER!$D$2:$D$5000,0)),"SĐT chưa đăng ký hội viên; ","")&amp;IF(AND($L1647="Đã chuyển khoản",$M1647=""),"Thiếu ngày nhận CK; ",""))</f>
        <v/>
      </c>
      <c r="T1647" s="24" t="n"/>
    </row>
    <row r="1648" ht="14.25" customHeight="1" s="40">
      <c r="A1648" s="24" t="n"/>
      <c r="B1648" s="29" t="n"/>
      <c r="C1648" s="28" t="n"/>
      <c r="D1648" s="22">
        <f t="array" ref="D1648">IF($C1648="","",IFERROR(INDEX(DATA_MASTER!$C$2:$C$5000,MATCH($C1648,DATA_MASTER!$D$2:$D$5000,0)),""))</f>
        <v/>
      </c>
      <c r="E1648" s="22">
        <f t="array" ref="E1648">IF($C1648="","",IFERROR(INDEX(DATA_MASTER!$I$2:$I$5000,MATCH($C1648,DATA_MASTER!$D$2:$D$5000,0)),""))</f>
        <v/>
      </c>
      <c r="F1648" s="22">
        <f t="array" ref="F1648">IF($C1648="","",IFERROR(INDEX(DATA_MASTER!$L$2:$L$5000,MATCH($C1648,DATA_MASTER!$D$2:$D$5000,0)),""))</f>
        <v/>
      </c>
      <c r="G1648" s="24" t="n"/>
      <c r="H1648" s="24" t="n"/>
      <c r="I1648" s="30" t="n"/>
      <c r="J1648" s="23">
        <f>IF(OR($H1648="",$I1648=""),"",$H1648*$I1648)</f>
        <v/>
      </c>
      <c r="K1648" s="24" t="n"/>
      <c r="L1648" s="24" t="n"/>
      <c r="M1648" s="29" t="n"/>
      <c r="N1648" s="28" t="n"/>
      <c r="O1648" s="24" t="n"/>
      <c r="P1648" s="24" t="n"/>
      <c r="Q1648" s="24" t="n"/>
      <c r="R1648" s="24" t="n"/>
      <c r="S1648" s="22">
        <f>IF(AND($A1648="",$C1648=""),"",IF($A1648="","Thiếu mã đơn; ","")&amp;IF(COUNTIF($A$2:$A1648,$A1648)&gt;1,"Trùng mã đơn; ","")&amp;IF(ISNA(MATCH($C1648,DATA_MASTER!$D$2:$D$5000,0)),"SĐT chưa đăng ký hội viên; ","")&amp;IF(AND($L1648="Đã chuyển khoản",$M1648=""),"Thiếu ngày nhận CK; ",""))</f>
        <v/>
      </c>
      <c r="T1648" s="24" t="n"/>
    </row>
    <row r="1649" ht="14.25" customHeight="1" s="40">
      <c r="A1649" s="24" t="n"/>
      <c r="B1649" s="29" t="n"/>
      <c r="C1649" s="28" t="n"/>
      <c r="D1649" s="22">
        <f t="array" ref="D1649">IF($C1649="","",IFERROR(INDEX(DATA_MASTER!$C$2:$C$5000,MATCH($C1649,DATA_MASTER!$D$2:$D$5000,0)),""))</f>
        <v/>
      </c>
      <c r="E1649" s="22">
        <f t="array" ref="E1649">IF($C1649="","",IFERROR(INDEX(DATA_MASTER!$I$2:$I$5000,MATCH($C1649,DATA_MASTER!$D$2:$D$5000,0)),""))</f>
        <v/>
      </c>
      <c r="F1649" s="22">
        <f t="array" ref="F1649">IF($C1649="","",IFERROR(INDEX(DATA_MASTER!$L$2:$L$5000,MATCH($C1649,DATA_MASTER!$D$2:$D$5000,0)),""))</f>
        <v/>
      </c>
      <c r="G1649" s="24" t="n"/>
      <c r="H1649" s="24" t="n"/>
      <c r="I1649" s="30" t="n"/>
      <c r="J1649" s="23">
        <f>IF(OR($H1649="",$I1649=""),"",$H1649*$I1649)</f>
        <v/>
      </c>
      <c r="K1649" s="24" t="n"/>
      <c r="L1649" s="24" t="n"/>
      <c r="M1649" s="29" t="n"/>
      <c r="N1649" s="28" t="n"/>
      <c r="O1649" s="24" t="n"/>
      <c r="P1649" s="24" t="n"/>
      <c r="Q1649" s="24" t="n"/>
      <c r="R1649" s="24" t="n"/>
      <c r="S1649" s="22">
        <f>IF(AND($A1649="",$C1649=""),"",IF($A1649="","Thiếu mã đơn; ","")&amp;IF(COUNTIF($A$2:$A1649,$A1649)&gt;1,"Trùng mã đơn; ","")&amp;IF(ISNA(MATCH($C1649,DATA_MASTER!$D$2:$D$5000,0)),"SĐT chưa đăng ký hội viên; ","")&amp;IF(AND($L1649="Đã chuyển khoản",$M1649=""),"Thiếu ngày nhận CK; ",""))</f>
        <v/>
      </c>
      <c r="T1649" s="24" t="n"/>
    </row>
    <row r="1650" ht="14.25" customHeight="1" s="40">
      <c r="A1650" s="24" t="n"/>
      <c r="B1650" s="29" t="n"/>
      <c r="C1650" s="28" t="n"/>
      <c r="D1650" s="22">
        <f t="array" ref="D1650">IF($C1650="","",IFERROR(INDEX(DATA_MASTER!$C$2:$C$5000,MATCH($C1650,DATA_MASTER!$D$2:$D$5000,0)),""))</f>
        <v/>
      </c>
      <c r="E1650" s="22">
        <f t="array" ref="E1650">IF($C1650="","",IFERROR(INDEX(DATA_MASTER!$I$2:$I$5000,MATCH($C1650,DATA_MASTER!$D$2:$D$5000,0)),""))</f>
        <v/>
      </c>
      <c r="F1650" s="22">
        <f t="array" ref="F1650">IF($C1650="","",IFERROR(INDEX(DATA_MASTER!$L$2:$L$5000,MATCH($C1650,DATA_MASTER!$D$2:$D$5000,0)),""))</f>
        <v/>
      </c>
      <c r="G1650" s="24" t="n"/>
      <c r="H1650" s="24" t="n"/>
      <c r="I1650" s="30" t="n"/>
      <c r="J1650" s="23">
        <f>IF(OR($H1650="",$I1650=""),"",$H1650*$I1650)</f>
        <v/>
      </c>
      <c r="K1650" s="24" t="n"/>
      <c r="L1650" s="24" t="n"/>
      <c r="M1650" s="29" t="n"/>
      <c r="N1650" s="28" t="n"/>
      <c r="O1650" s="24" t="n"/>
      <c r="P1650" s="24" t="n"/>
      <c r="Q1650" s="24" t="n"/>
      <c r="R1650" s="24" t="n"/>
      <c r="S1650" s="22">
        <f>IF(AND($A1650="",$C1650=""),"",IF($A1650="","Thiếu mã đơn; ","")&amp;IF(COUNTIF($A$2:$A1650,$A1650)&gt;1,"Trùng mã đơn; ","")&amp;IF(ISNA(MATCH($C1650,DATA_MASTER!$D$2:$D$5000,0)),"SĐT chưa đăng ký hội viên; ","")&amp;IF(AND($L1650="Đã chuyển khoản",$M1650=""),"Thiếu ngày nhận CK; ",""))</f>
        <v/>
      </c>
      <c r="T1650" s="24" t="n"/>
    </row>
    <row r="1651" ht="14.25" customHeight="1" s="40">
      <c r="A1651" s="24" t="n"/>
      <c r="B1651" s="29" t="n"/>
      <c r="C1651" s="28" t="n"/>
      <c r="D1651" s="22">
        <f t="array" ref="D1651">IF($C1651="","",IFERROR(INDEX(DATA_MASTER!$C$2:$C$5000,MATCH($C1651,DATA_MASTER!$D$2:$D$5000,0)),""))</f>
        <v/>
      </c>
      <c r="E1651" s="22">
        <f t="array" ref="E1651">IF($C1651="","",IFERROR(INDEX(DATA_MASTER!$I$2:$I$5000,MATCH($C1651,DATA_MASTER!$D$2:$D$5000,0)),""))</f>
        <v/>
      </c>
      <c r="F1651" s="22">
        <f t="array" ref="F1651">IF($C1651="","",IFERROR(INDEX(DATA_MASTER!$L$2:$L$5000,MATCH($C1651,DATA_MASTER!$D$2:$D$5000,0)),""))</f>
        <v/>
      </c>
      <c r="G1651" s="24" t="n"/>
      <c r="H1651" s="24" t="n"/>
      <c r="I1651" s="30" t="n"/>
      <c r="J1651" s="23">
        <f>IF(OR($H1651="",$I1651=""),"",$H1651*$I1651)</f>
        <v/>
      </c>
      <c r="K1651" s="24" t="n"/>
      <c r="L1651" s="24" t="n"/>
      <c r="M1651" s="29" t="n"/>
      <c r="N1651" s="28" t="n"/>
      <c r="O1651" s="24" t="n"/>
      <c r="P1651" s="24" t="n"/>
      <c r="Q1651" s="24" t="n"/>
      <c r="R1651" s="24" t="n"/>
      <c r="S1651" s="22">
        <f>IF(AND($A1651="",$C1651=""),"",IF($A1651="","Thiếu mã đơn; ","")&amp;IF(COUNTIF($A$2:$A1651,$A1651)&gt;1,"Trùng mã đơn; ","")&amp;IF(ISNA(MATCH($C1651,DATA_MASTER!$D$2:$D$5000,0)),"SĐT chưa đăng ký hội viên; ","")&amp;IF(AND($L1651="Đã chuyển khoản",$M1651=""),"Thiếu ngày nhận CK; ",""))</f>
        <v/>
      </c>
      <c r="T1651" s="24" t="n"/>
    </row>
    <row r="1652" ht="14.25" customHeight="1" s="40">
      <c r="A1652" s="24" t="n"/>
      <c r="B1652" s="29" t="n"/>
      <c r="C1652" s="28" t="n"/>
      <c r="D1652" s="22">
        <f t="array" ref="D1652">IF($C1652="","",IFERROR(INDEX(DATA_MASTER!$C$2:$C$5000,MATCH($C1652,DATA_MASTER!$D$2:$D$5000,0)),""))</f>
        <v/>
      </c>
      <c r="E1652" s="22">
        <f t="array" ref="E1652">IF($C1652="","",IFERROR(INDEX(DATA_MASTER!$I$2:$I$5000,MATCH($C1652,DATA_MASTER!$D$2:$D$5000,0)),""))</f>
        <v/>
      </c>
      <c r="F1652" s="22">
        <f t="array" ref="F1652">IF($C1652="","",IFERROR(INDEX(DATA_MASTER!$L$2:$L$5000,MATCH($C1652,DATA_MASTER!$D$2:$D$5000,0)),""))</f>
        <v/>
      </c>
      <c r="G1652" s="24" t="n"/>
      <c r="H1652" s="24" t="n"/>
      <c r="I1652" s="30" t="n"/>
      <c r="J1652" s="23">
        <f>IF(OR($H1652="",$I1652=""),"",$H1652*$I1652)</f>
        <v/>
      </c>
      <c r="K1652" s="24" t="n"/>
      <c r="L1652" s="24" t="n"/>
      <c r="M1652" s="29" t="n"/>
      <c r="N1652" s="28" t="n"/>
      <c r="O1652" s="24" t="n"/>
      <c r="P1652" s="24" t="n"/>
      <c r="Q1652" s="24" t="n"/>
      <c r="R1652" s="24" t="n"/>
      <c r="S1652" s="22">
        <f>IF(AND($A1652="",$C1652=""),"",IF($A1652="","Thiếu mã đơn; ","")&amp;IF(COUNTIF($A$2:$A1652,$A1652)&gt;1,"Trùng mã đơn; ","")&amp;IF(ISNA(MATCH($C1652,DATA_MASTER!$D$2:$D$5000,0)),"SĐT chưa đăng ký hội viên; ","")&amp;IF(AND($L1652="Đã chuyển khoản",$M1652=""),"Thiếu ngày nhận CK; ",""))</f>
        <v/>
      </c>
      <c r="T1652" s="24" t="n"/>
    </row>
    <row r="1653" ht="14.25" customHeight="1" s="40">
      <c r="A1653" s="24" t="n"/>
      <c r="B1653" s="29" t="n"/>
      <c r="C1653" s="28" t="n"/>
      <c r="D1653" s="22">
        <f t="array" ref="D1653">IF($C1653="","",IFERROR(INDEX(DATA_MASTER!$C$2:$C$5000,MATCH($C1653,DATA_MASTER!$D$2:$D$5000,0)),""))</f>
        <v/>
      </c>
      <c r="E1653" s="22">
        <f t="array" ref="E1653">IF($C1653="","",IFERROR(INDEX(DATA_MASTER!$I$2:$I$5000,MATCH($C1653,DATA_MASTER!$D$2:$D$5000,0)),""))</f>
        <v/>
      </c>
      <c r="F1653" s="22">
        <f t="array" ref="F1653">IF($C1653="","",IFERROR(INDEX(DATA_MASTER!$L$2:$L$5000,MATCH($C1653,DATA_MASTER!$D$2:$D$5000,0)),""))</f>
        <v/>
      </c>
      <c r="G1653" s="24" t="n"/>
      <c r="H1653" s="24" t="n"/>
      <c r="I1653" s="30" t="n"/>
      <c r="J1653" s="23">
        <f>IF(OR($H1653="",$I1653=""),"",$H1653*$I1653)</f>
        <v/>
      </c>
      <c r="K1653" s="24" t="n"/>
      <c r="L1653" s="24" t="n"/>
      <c r="M1653" s="29" t="n"/>
      <c r="N1653" s="28" t="n"/>
      <c r="O1653" s="24" t="n"/>
      <c r="P1653" s="24" t="n"/>
      <c r="Q1653" s="24" t="n"/>
      <c r="R1653" s="24" t="n"/>
      <c r="S1653" s="22">
        <f>IF(AND($A1653="",$C1653=""),"",IF($A1653="","Thiếu mã đơn; ","")&amp;IF(COUNTIF($A$2:$A1653,$A1653)&gt;1,"Trùng mã đơn; ","")&amp;IF(ISNA(MATCH($C1653,DATA_MASTER!$D$2:$D$5000,0)),"SĐT chưa đăng ký hội viên; ","")&amp;IF(AND($L1653="Đã chuyển khoản",$M1653=""),"Thiếu ngày nhận CK; ",""))</f>
        <v/>
      </c>
      <c r="T1653" s="24" t="n"/>
    </row>
    <row r="1654" ht="14.25" customHeight="1" s="40">
      <c r="A1654" s="24" t="n"/>
      <c r="B1654" s="29" t="n"/>
      <c r="C1654" s="28" t="n"/>
      <c r="D1654" s="22">
        <f t="array" ref="D1654">IF($C1654="","",IFERROR(INDEX(DATA_MASTER!$C$2:$C$5000,MATCH($C1654,DATA_MASTER!$D$2:$D$5000,0)),""))</f>
        <v/>
      </c>
      <c r="E1654" s="22">
        <f t="array" ref="E1654">IF($C1654="","",IFERROR(INDEX(DATA_MASTER!$I$2:$I$5000,MATCH($C1654,DATA_MASTER!$D$2:$D$5000,0)),""))</f>
        <v/>
      </c>
      <c r="F1654" s="22">
        <f t="array" ref="F1654">IF($C1654="","",IFERROR(INDEX(DATA_MASTER!$L$2:$L$5000,MATCH($C1654,DATA_MASTER!$D$2:$D$5000,0)),""))</f>
        <v/>
      </c>
      <c r="G1654" s="24" t="n"/>
      <c r="H1654" s="24" t="n"/>
      <c r="I1654" s="30" t="n"/>
      <c r="J1654" s="23">
        <f>IF(OR($H1654="",$I1654=""),"",$H1654*$I1654)</f>
        <v/>
      </c>
      <c r="K1654" s="24" t="n"/>
      <c r="L1654" s="24" t="n"/>
      <c r="M1654" s="29" t="n"/>
      <c r="N1654" s="28" t="n"/>
      <c r="O1654" s="24" t="n"/>
      <c r="P1654" s="24" t="n"/>
      <c r="Q1654" s="24" t="n"/>
      <c r="R1654" s="24" t="n"/>
      <c r="S1654" s="22">
        <f>IF(AND($A1654="",$C1654=""),"",IF($A1654="","Thiếu mã đơn; ","")&amp;IF(COUNTIF($A$2:$A1654,$A1654)&gt;1,"Trùng mã đơn; ","")&amp;IF(ISNA(MATCH($C1654,DATA_MASTER!$D$2:$D$5000,0)),"SĐT chưa đăng ký hội viên; ","")&amp;IF(AND($L1654="Đã chuyển khoản",$M1654=""),"Thiếu ngày nhận CK; ",""))</f>
        <v/>
      </c>
      <c r="T1654" s="24" t="n"/>
    </row>
    <row r="1655" ht="14.25" customHeight="1" s="40">
      <c r="A1655" s="24" t="n"/>
      <c r="B1655" s="29" t="n"/>
      <c r="C1655" s="28" t="n"/>
      <c r="D1655" s="22">
        <f t="array" ref="D1655">IF($C1655="","",IFERROR(INDEX(DATA_MASTER!$C$2:$C$5000,MATCH($C1655,DATA_MASTER!$D$2:$D$5000,0)),""))</f>
        <v/>
      </c>
      <c r="E1655" s="22">
        <f t="array" ref="E1655">IF($C1655="","",IFERROR(INDEX(DATA_MASTER!$I$2:$I$5000,MATCH($C1655,DATA_MASTER!$D$2:$D$5000,0)),""))</f>
        <v/>
      </c>
      <c r="F1655" s="22">
        <f t="array" ref="F1655">IF($C1655="","",IFERROR(INDEX(DATA_MASTER!$L$2:$L$5000,MATCH($C1655,DATA_MASTER!$D$2:$D$5000,0)),""))</f>
        <v/>
      </c>
      <c r="G1655" s="24" t="n"/>
      <c r="H1655" s="24" t="n"/>
      <c r="I1655" s="30" t="n"/>
      <c r="J1655" s="23">
        <f>IF(OR($H1655="",$I1655=""),"",$H1655*$I1655)</f>
        <v/>
      </c>
      <c r="K1655" s="24" t="n"/>
      <c r="L1655" s="24" t="n"/>
      <c r="M1655" s="29" t="n"/>
      <c r="N1655" s="28" t="n"/>
      <c r="O1655" s="24" t="n"/>
      <c r="P1655" s="24" t="n"/>
      <c r="Q1655" s="24" t="n"/>
      <c r="R1655" s="24" t="n"/>
      <c r="S1655" s="22">
        <f>IF(AND($A1655="",$C1655=""),"",IF($A1655="","Thiếu mã đơn; ","")&amp;IF(COUNTIF($A$2:$A1655,$A1655)&gt;1,"Trùng mã đơn; ","")&amp;IF(ISNA(MATCH($C1655,DATA_MASTER!$D$2:$D$5000,0)),"SĐT chưa đăng ký hội viên; ","")&amp;IF(AND($L1655="Đã chuyển khoản",$M1655=""),"Thiếu ngày nhận CK; ",""))</f>
        <v/>
      </c>
      <c r="T1655" s="24" t="n"/>
    </row>
    <row r="1656" ht="14.25" customHeight="1" s="40">
      <c r="A1656" s="24" t="n"/>
      <c r="B1656" s="29" t="n"/>
      <c r="C1656" s="28" t="n"/>
      <c r="D1656" s="22">
        <f t="array" ref="D1656">IF($C1656="","",IFERROR(INDEX(DATA_MASTER!$C$2:$C$5000,MATCH($C1656,DATA_MASTER!$D$2:$D$5000,0)),""))</f>
        <v/>
      </c>
      <c r="E1656" s="22">
        <f t="array" ref="E1656">IF($C1656="","",IFERROR(INDEX(DATA_MASTER!$I$2:$I$5000,MATCH($C1656,DATA_MASTER!$D$2:$D$5000,0)),""))</f>
        <v/>
      </c>
      <c r="F1656" s="22">
        <f t="array" ref="F1656">IF($C1656="","",IFERROR(INDEX(DATA_MASTER!$L$2:$L$5000,MATCH($C1656,DATA_MASTER!$D$2:$D$5000,0)),""))</f>
        <v/>
      </c>
      <c r="G1656" s="24" t="n"/>
      <c r="H1656" s="24" t="n"/>
      <c r="I1656" s="30" t="n"/>
      <c r="J1656" s="23">
        <f>IF(OR($H1656="",$I1656=""),"",$H1656*$I1656)</f>
        <v/>
      </c>
      <c r="K1656" s="24" t="n"/>
      <c r="L1656" s="24" t="n"/>
      <c r="M1656" s="29" t="n"/>
      <c r="N1656" s="28" t="n"/>
      <c r="O1656" s="24" t="n"/>
      <c r="P1656" s="24" t="n"/>
      <c r="Q1656" s="24" t="n"/>
      <c r="R1656" s="24" t="n"/>
      <c r="S1656" s="22">
        <f>IF(AND($A1656="",$C1656=""),"",IF($A1656="","Thiếu mã đơn; ","")&amp;IF(COUNTIF($A$2:$A1656,$A1656)&gt;1,"Trùng mã đơn; ","")&amp;IF(ISNA(MATCH($C1656,DATA_MASTER!$D$2:$D$5000,0)),"SĐT chưa đăng ký hội viên; ","")&amp;IF(AND($L1656="Đã chuyển khoản",$M1656=""),"Thiếu ngày nhận CK; ",""))</f>
        <v/>
      </c>
      <c r="T1656" s="24" t="n"/>
    </row>
    <row r="1657" ht="14.25" customHeight="1" s="40">
      <c r="A1657" s="24" t="n"/>
      <c r="B1657" s="29" t="n"/>
      <c r="C1657" s="28" t="n"/>
      <c r="D1657" s="22">
        <f t="array" ref="D1657">IF($C1657="","",IFERROR(INDEX(DATA_MASTER!$C$2:$C$5000,MATCH($C1657,DATA_MASTER!$D$2:$D$5000,0)),""))</f>
        <v/>
      </c>
      <c r="E1657" s="22">
        <f t="array" ref="E1657">IF($C1657="","",IFERROR(INDEX(DATA_MASTER!$I$2:$I$5000,MATCH($C1657,DATA_MASTER!$D$2:$D$5000,0)),""))</f>
        <v/>
      </c>
      <c r="F1657" s="22">
        <f t="array" ref="F1657">IF($C1657="","",IFERROR(INDEX(DATA_MASTER!$L$2:$L$5000,MATCH($C1657,DATA_MASTER!$D$2:$D$5000,0)),""))</f>
        <v/>
      </c>
      <c r="G1657" s="24" t="n"/>
      <c r="H1657" s="24" t="n"/>
      <c r="I1657" s="30" t="n"/>
      <c r="J1657" s="23">
        <f>IF(OR($H1657="",$I1657=""),"",$H1657*$I1657)</f>
        <v/>
      </c>
      <c r="K1657" s="24" t="n"/>
      <c r="L1657" s="24" t="n"/>
      <c r="M1657" s="29" t="n"/>
      <c r="N1657" s="28" t="n"/>
      <c r="O1657" s="24" t="n"/>
      <c r="P1657" s="24" t="n"/>
      <c r="Q1657" s="24" t="n"/>
      <c r="R1657" s="24" t="n"/>
      <c r="S1657" s="22">
        <f>IF(AND($A1657="",$C1657=""),"",IF($A1657="","Thiếu mã đơn; ","")&amp;IF(COUNTIF($A$2:$A1657,$A1657)&gt;1,"Trùng mã đơn; ","")&amp;IF(ISNA(MATCH($C1657,DATA_MASTER!$D$2:$D$5000,0)),"SĐT chưa đăng ký hội viên; ","")&amp;IF(AND($L1657="Đã chuyển khoản",$M1657=""),"Thiếu ngày nhận CK; ",""))</f>
        <v/>
      </c>
      <c r="T1657" s="24" t="n"/>
    </row>
    <row r="1658" ht="14.25" customHeight="1" s="40">
      <c r="A1658" s="24" t="n"/>
      <c r="B1658" s="29" t="n"/>
      <c r="C1658" s="28" t="n"/>
      <c r="D1658" s="22">
        <f t="array" ref="D1658">IF($C1658="","",IFERROR(INDEX(DATA_MASTER!$C$2:$C$5000,MATCH($C1658,DATA_MASTER!$D$2:$D$5000,0)),""))</f>
        <v/>
      </c>
      <c r="E1658" s="22">
        <f t="array" ref="E1658">IF($C1658="","",IFERROR(INDEX(DATA_MASTER!$I$2:$I$5000,MATCH($C1658,DATA_MASTER!$D$2:$D$5000,0)),""))</f>
        <v/>
      </c>
      <c r="F1658" s="22">
        <f t="array" ref="F1658">IF($C1658="","",IFERROR(INDEX(DATA_MASTER!$L$2:$L$5000,MATCH($C1658,DATA_MASTER!$D$2:$D$5000,0)),""))</f>
        <v/>
      </c>
      <c r="G1658" s="24" t="n"/>
      <c r="H1658" s="24" t="n"/>
      <c r="I1658" s="30" t="n"/>
      <c r="J1658" s="23">
        <f>IF(OR($H1658="",$I1658=""),"",$H1658*$I1658)</f>
        <v/>
      </c>
      <c r="K1658" s="24" t="n"/>
      <c r="L1658" s="24" t="n"/>
      <c r="M1658" s="29" t="n"/>
      <c r="N1658" s="28" t="n"/>
      <c r="O1658" s="24" t="n"/>
      <c r="P1658" s="24" t="n"/>
      <c r="Q1658" s="24" t="n"/>
      <c r="R1658" s="24" t="n"/>
      <c r="S1658" s="22">
        <f>IF(AND($A1658="",$C1658=""),"",IF($A1658="","Thiếu mã đơn; ","")&amp;IF(COUNTIF($A$2:$A1658,$A1658)&gt;1,"Trùng mã đơn; ","")&amp;IF(ISNA(MATCH($C1658,DATA_MASTER!$D$2:$D$5000,0)),"SĐT chưa đăng ký hội viên; ","")&amp;IF(AND($L1658="Đã chuyển khoản",$M1658=""),"Thiếu ngày nhận CK; ",""))</f>
        <v/>
      </c>
      <c r="T1658" s="24" t="n"/>
    </row>
    <row r="1659" ht="14.25" customHeight="1" s="40">
      <c r="A1659" s="24" t="n"/>
      <c r="B1659" s="29" t="n"/>
      <c r="C1659" s="28" t="n"/>
      <c r="D1659" s="22">
        <f t="array" ref="D1659">IF($C1659="","",IFERROR(INDEX(DATA_MASTER!$C$2:$C$5000,MATCH($C1659,DATA_MASTER!$D$2:$D$5000,0)),""))</f>
        <v/>
      </c>
      <c r="E1659" s="22">
        <f t="array" ref="E1659">IF($C1659="","",IFERROR(INDEX(DATA_MASTER!$I$2:$I$5000,MATCH($C1659,DATA_MASTER!$D$2:$D$5000,0)),""))</f>
        <v/>
      </c>
      <c r="F1659" s="22">
        <f t="array" ref="F1659">IF($C1659="","",IFERROR(INDEX(DATA_MASTER!$L$2:$L$5000,MATCH($C1659,DATA_MASTER!$D$2:$D$5000,0)),""))</f>
        <v/>
      </c>
      <c r="G1659" s="24" t="n"/>
      <c r="H1659" s="24" t="n"/>
      <c r="I1659" s="30" t="n"/>
      <c r="J1659" s="23">
        <f>IF(OR($H1659="",$I1659=""),"",$H1659*$I1659)</f>
        <v/>
      </c>
      <c r="K1659" s="24" t="n"/>
      <c r="L1659" s="24" t="n"/>
      <c r="M1659" s="29" t="n"/>
      <c r="N1659" s="28" t="n"/>
      <c r="O1659" s="24" t="n"/>
      <c r="P1659" s="24" t="n"/>
      <c r="Q1659" s="24" t="n"/>
      <c r="R1659" s="24" t="n"/>
      <c r="S1659" s="22">
        <f>IF(AND($A1659="",$C1659=""),"",IF($A1659="","Thiếu mã đơn; ","")&amp;IF(COUNTIF($A$2:$A1659,$A1659)&gt;1,"Trùng mã đơn; ","")&amp;IF(ISNA(MATCH($C1659,DATA_MASTER!$D$2:$D$5000,0)),"SĐT chưa đăng ký hội viên; ","")&amp;IF(AND($L1659="Đã chuyển khoản",$M1659=""),"Thiếu ngày nhận CK; ",""))</f>
        <v/>
      </c>
      <c r="T1659" s="24" t="n"/>
    </row>
    <row r="1660" ht="14.25" customHeight="1" s="40">
      <c r="A1660" s="24" t="n"/>
      <c r="B1660" s="29" t="n"/>
      <c r="C1660" s="28" t="n"/>
      <c r="D1660" s="22">
        <f t="array" ref="D1660">IF($C1660="","",IFERROR(INDEX(DATA_MASTER!$C$2:$C$5000,MATCH($C1660,DATA_MASTER!$D$2:$D$5000,0)),""))</f>
        <v/>
      </c>
      <c r="E1660" s="22">
        <f t="array" ref="E1660">IF($C1660="","",IFERROR(INDEX(DATA_MASTER!$I$2:$I$5000,MATCH($C1660,DATA_MASTER!$D$2:$D$5000,0)),""))</f>
        <v/>
      </c>
      <c r="F1660" s="22">
        <f t="array" ref="F1660">IF($C1660="","",IFERROR(INDEX(DATA_MASTER!$L$2:$L$5000,MATCH($C1660,DATA_MASTER!$D$2:$D$5000,0)),""))</f>
        <v/>
      </c>
      <c r="G1660" s="24" t="n"/>
      <c r="H1660" s="24" t="n"/>
      <c r="I1660" s="30" t="n"/>
      <c r="J1660" s="23">
        <f>IF(OR($H1660="",$I1660=""),"",$H1660*$I1660)</f>
        <v/>
      </c>
      <c r="K1660" s="24" t="n"/>
      <c r="L1660" s="24" t="n"/>
      <c r="M1660" s="29" t="n"/>
      <c r="N1660" s="28" t="n"/>
      <c r="O1660" s="24" t="n"/>
      <c r="P1660" s="24" t="n"/>
      <c r="Q1660" s="24" t="n"/>
      <c r="R1660" s="24" t="n"/>
      <c r="S1660" s="22">
        <f>IF(AND($A1660="",$C1660=""),"",IF($A1660="","Thiếu mã đơn; ","")&amp;IF(COUNTIF($A$2:$A1660,$A1660)&gt;1,"Trùng mã đơn; ","")&amp;IF(ISNA(MATCH($C1660,DATA_MASTER!$D$2:$D$5000,0)),"SĐT chưa đăng ký hội viên; ","")&amp;IF(AND($L1660="Đã chuyển khoản",$M1660=""),"Thiếu ngày nhận CK; ",""))</f>
        <v/>
      </c>
      <c r="T1660" s="24" t="n"/>
    </row>
    <row r="1661" ht="14.25" customHeight="1" s="40">
      <c r="A1661" s="24" t="n"/>
      <c r="B1661" s="29" t="n"/>
      <c r="C1661" s="28" t="n"/>
      <c r="D1661" s="22">
        <f t="array" ref="D1661">IF($C1661="","",IFERROR(INDEX(DATA_MASTER!$C$2:$C$5000,MATCH($C1661,DATA_MASTER!$D$2:$D$5000,0)),""))</f>
        <v/>
      </c>
      <c r="E1661" s="22">
        <f t="array" ref="E1661">IF($C1661="","",IFERROR(INDEX(DATA_MASTER!$I$2:$I$5000,MATCH($C1661,DATA_MASTER!$D$2:$D$5000,0)),""))</f>
        <v/>
      </c>
      <c r="F1661" s="22">
        <f t="array" ref="F1661">IF($C1661="","",IFERROR(INDEX(DATA_MASTER!$L$2:$L$5000,MATCH($C1661,DATA_MASTER!$D$2:$D$5000,0)),""))</f>
        <v/>
      </c>
      <c r="G1661" s="24" t="n"/>
      <c r="H1661" s="24" t="n"/>
      <c r="I1661" s="30" t="n"/>
      <c r="J1661" s="23">
        <f>IF(OR($H1661="",$I1661=""),"",$H1661*$I1661)</f>
        <v/>
      </c>
      <c r="K1661" s="24" t="n"/>
      <c r="L1661" s="24" t="n"/>
      <c r="M1661" s="29" t="n"/>
      <c r="N1661" s="28" t="n"/>
      <c r="O1661" s="24" t="n"/>
      <c r="P1661" s="24" t="n"/>
      <c r="Q1661" s="24" t="n"/>
      <c r="R1661" s="24" t="n"/>
      <c r="S1661" s="22">
        <f>IF(AND($A1661="",$C1661=""),"",IF($A1661="","Thiếu mã đơn; ","")&amp;IF(COUNTIF($A$2:$A1661,$A1661)&gt;1,"Trùng mã đơn; ","")&amp;IF(ISNA(MATCH($C1661,DATA_MASTER!$D$2:$D$5000,0)),"SĐT chưa đăng ký hội viên; ","")&amp;IF(AND($L1661="Đã chuyển khoản",$M1661=""),"Thiếu ngày nhận CK; ",""))</f>
        <v/>
      </c>
      <c r="T1661" s="24" t="n"/>
    </row>
    <row r="1662" ht="14.25" customHeight="1" s="40">
      <c r="A1662" s="24" t="n"/>
      <c r="B1662" s="29" t="n"/>
      <c r="C1662" s="28" t="n"/>
      <c r="D1662" s="22">
        <f t="array" ref="D1662">IF($C1662="","",IFERROR(INDEX(DATA_MASTER!$C$2:$C$5000,MATCH($C1662,DATA_MASTER!$D$2:$D$5000,0)),""))</f>
        <v/>
      </c>
      <c r="E1662" s="22">
        <f t="array" ref="E1662">IF($C1662="","",IFERROR(INDEX(DATA_MASTER!$I$2:$I$5000,MATCH($C1662,DATA_MASTER!$D$2:$D$5000,0)),""))</f>
        <v/>
      </c>
      <c r="F1662" s="22">
        <f t="array" ref="F1662">IF($C1662="","",IFERROR(INDEX(DATA_MASTER!$L$2:$L$5000,MATCH($C1662,DATA_MASTER!$D$2:$D$5000,0)),""))</f>
        <v/>
      </c>
      <c r="G1662" s="24" t="n"/>
      <c r="H1662" s="24" t="n"/>
      <c r="I1662" s="30" t="n"/>
      <c r="J1662" s="23">
        <f>IF(OR($H1662="",$I1662=""),"",$H1662*$I1662)</f>
        <v/>
      </c>
      <c r="K1662" s="24" t="n"/>
      <c r="L1662" s="24" t="n"/>
      <c r="M1662" s="29" t="n"/>
      <c r="N1662" s="28" t="n"/>
      <c r="O1662" s="24" t="n"/>
      <c r="P1662" s="24" t="n"/>
      <c r="Q1662" s="24" t="n"/>
      <c r="R1662" s="24" t="n"/>
      <c r="S1662" s="22">
        <f>IF(AND($A1662="",$C1662=""),"",IF($A1662="","Thiếu mã đơn; ","")&amp;IF(COUNTIF($A$2:$A1662,$A1662)&gt;1,"Trùng mã đơn; ","")&amp;IF(ISNA(MATCH($C1662,DATA_MASTER!$D$2:$D$5000,0)),"SĐT chưa đăng ký hội viên; ","")&amp;IF(AND($L1662="Đã chuyển khoản",$M1662=""),"Thiếu ngày nhận CK; ",""))</f>
        <v/>
      </c>
      <c r="T1662" s="24" t="n"/>
    </row>
    <row r="1663" ht="14.25" customHeight="1" s="40">
      <c r="A1663" s="24" t="n"/>
      <c r="B1663" s="29" t="n"/>
      <c r="C1663" s="28" t="n"/>
      <c r="D1663" s="22">
        <f t="array" ref="D1663">IF($C1663="","",IFERROR(INDEX(DATA_MASTER!$C$2:$C$5000,MATCH($C1663,DATA_MASTER!$D$2:$D$5000,0)),""))</f>
        <v/>
      </c>
      <c r="E1663" s="22">
        <f t="array" ref="E1663">IF($C1663="","",IFERROR(INDEX(DATA_MASTER!$I$2:$I$5000,MATCH($C1663,DATA_MASTER!$D$2:$D$5000,0)),""))</f>
        <v/>
      </c>
      <c r="F1663" s="22">
        <f t="array" ref="F1663">IF($C1663="","",IFERROR(INDEX(DATA_MASTER!$L$2:$L$5000,MATCH($C1663,DATA_MASTER!$D$2:$D$5000,0)),""))</f>
        <v/>
      </c>
      <c r="G1663" s="24" t="n"/>
      <c r="H1663" s="24" t="n"/>
      <c r="I1663" s="30" t="n"/>
      <c r="J1663" s="23">
        <f>IF(OR($H1663="",$I1663=""),"",$H1663*$I1663)</f>
        <v/>
      </c>
      <c r="K1663" s="24" t="n"/>
      <c r="L1663" s="24" t="n"/>
      <c r="M1663" s="29" t="n"/>
      <c r="N1663" s="28" t="n"/>
      <c r="O1663" s="24" t="n"/>
      <c r="P1663" s="24" t="n"/>
      <c r="Q1663" s="24" t="n"/>
      <c r="R1663" s="24" t="n"/>
      <c r="S1663" s="22">
        <f>IF(AND($A1663="",$C1663=""),"",IF($A1663="","Thiếu mã đơn; ","")&amp;IF(COUNTIF($A$2:$A1663,$A1663)&gt;1,"Trùng mã đơn; ","")&amp;IF(ISNA(MATCH($C1663,DATA_MASTER!$D$2:$D$5000,0)),"SĐT chưa đăng ký hội viên; ","")&amp;IF(AND($L1663="Đã chuyển khoản",$M1663=""),"Thiếu ngày nhận CK; ",""))</f>
        <v/>
      </c>
      <c r="T1663" s="24" t="n"/>
    </row>
    <row r="1664" ht="14.25" customHeight="1" s="40">
      <c r="A1664" s="24" t="n"/>
      <c r="B1664" s="29" t="n"/>
      <c r="C1664" s="28" t="n"/>
      <c r="D1664" s="22">
        <f t="array" ref="D1664">IF($C1664="","",IFERROR(INDEX(DATA_MASTER!$C$2:$C$5000,MATCH($C1664,DATA_MASTER!$D$2:$D$5000,0)),""))</f>
        <v/>
      </c>
      <c r="E1664" s="22">
        <f t="array" ref="E1664">IF($C1664="","",IFERROR(INDEX(DATA_MASTER!$I$2:$I$5000,MATCH($C1664,DATA_MASTER!$D$2:$D$5000,0)),""))</f>
        <v/>
      </c>
      <c r="F1664" s="22">
        <f t="array" ref="F1664">IF($C1664="","",IFERROR(INDEX(DATA_MASTER!$L$2:$L$5000,MATCH($C1664,DATA_MASTER!$D$2:$D$5000,0)),""))</f>
        <v/>
      </c>
      <c r="G1664" s="24" t="n"/>
      <c r="H1664" s="24" t="n"/>
      <c r="I1664" s="30" t="n"/>
      <c r="J1664" s="23">
        <f>IF(OR($H1664="",$I1664=""),"",$H1664*$I1664)</f>
        <v/>
      </c>
      <c r="K1664" s="24" t="n"/>
      <c r="L1664" s="24" t="n"/>
      <c r="M1664" s="29" t="n"/>
      <c r="N1664" s="28" t="n"/>
      <c r="O1664" s="24" t="n"/>
      <c r="P1664" s="24" t="n"/>
      <c r="Q1664" s="24" t="n"/>
      <c r="R1664" s="24" t="n"/>
      <c r="S1664" s="22">
        <f>IF(AND($A1664="",$C1664=""),"",IF($A1664="","Thiếu mã đơn; ","")&amp;IF(COUNTIF($A$2:$A1664,$A1664)&gt;1,"Trùng mã đơn; ","")&amp;IF(ISNA(MATCH($C1664,DATA_MASTER!$D$2:$D$5000,0)),"SĐT chưa đăng ký hội viên; ","")&amp;IF(AND($L1664="Đã chuyển khoản",$M1664=""),"Thiếu ngày nhận CK; ",""))</f>
        <v/>
      </c>
      <c r="T1664" s="24" t="n"/>
    </row>
    <row r="1665" ht="14.25" customHeight="1" s="40">
      <c r="A1665" s="24" t="n"/>
      <c r="B1665" s="29" t="n"/>
      <c r="C1665" s="28" t="n"/>
      <c r="D1665" s="22">
        <f t="array" ref="D1665">IF($C1665="","",IFERROR(INDEX(DATA_MASTER!$C$2:$C$5000,MATCH($C1665,DATA_MASTER!$D$2:$D$5000,0)),""))</f>
        <v/>
      </c>
      <c r="E1665" s="22">
        <f t="array" ref="E1665">IF($C1665="","",IFERROR(INDEX(DATA_MASTER!$I$2:$I$5000,MATCH($C1665,DATA_MASTER!$D$2:$D$5000,0)),""))</f>
        <v/>
      </c>
      <c r="F1665" s="22">
        <f t="array" ref="F1665">IF($C1665="","",IFERROR(INDEX(DATA_MASTER!$L$2:$L$5000,MATCH($C1665,DATA_MASTER!$D$2:$D$5000,0)),""))</f>
        <v/>
      </c>
      <c r="G1665" s="24" t="n"/>
      <c r="H1665" s="24" t="n"/>
      <c r="I1665" s="30" t="n"/>
      <c r="J1665" s="23">
        <f>IF(OR($H1665="",$I1665=""),"",$H1665*$I1665)</f>
        <v/>
      </c>
      <c r="K1665" s="24" t="n"/>
      <c r="L1665" s="24" t="n"/>
      <c r="M1665" s="29" t="n"/>
      <c r="N1665" s="28" t="n"/>
      <c r="O1665" s="24" t="n"/>
      <c r="P1665" s="24" t="n"/>
      <c r="Q1665" s="24" t="n"/>
      <c r="R1665" s="24" t="n"/>
      <c r="S1665" s="22">
        <f>IF(AND($A1665="",$C1665=""),"",IF($A1665="","Thiếu mã đơn; ","")&amp;IF(COUNTIF($A$2:$A1665,$A1665)&gt;1,"Trùng mã đơn; ","")&amp;IF(ISNA(MATCH($C1665,DATA_MASTER!$D$2:$D$5000,0)),"SĐT chưa đăng ký hội viên; ","")&amp;IF(AND($L1665="Đã chuyển khoản",$M1665=""),"Thiếu ngày nhận CK; ",""))</f>
        <v/>
      </c>
      <c r="T1665" s="24" t="n"/>
    </row>
    <row r="1666" ht="14.25" customHeight="1" s="40">
      <c r="A1666" s="24" t="n"/>
      <c r="B1666" s="29" t="n"/>
      <c r="C1666" s="28" t="n"/>
      <c r="D1666" s="22">
        <f t="array" ref="D1666">IF($C1666="","",IFERROR(INDEX(DATA_MASTER!$C$2:$C$5000,MATCH($C1666,DATA_MASTER!$D$2:$D$5000,0)),""))</f>
        <v/>
      </c>
      <c r="E1666" s="22">
        <f t="array" ref="E1666">IF($C1666="","",IFERROR(INDEX(DATA_MASTER!$I$2:$I$5000,MATCH($C1666,DATA_MASTER!$D$2:$D$5000,0)),""))</f>
        <v/>
      </c>
      <c r="F1666" s="22">
        <f t="array" ref="F1666">IF($C1666="","",IFERROR(INDEX(DATA_MASTER!$L$2:$L$5000,MATCH($C1666,DATA_MASTER!$D$2:$D$5000,0)),""))</f>
        <v/>
      </c>
      <c r="G1666" s="24" t="n"/>
      <c r="H1666" s="24" t="n"/>
      <c r="I1666" s="30" t="n"/>
      <c r="J1666" s="23">
        <f>IF(OR($H1666="",$I1666=""),"",$H1666*$I1666)</f>
        <v/>
      </c>
      <c r="K1666" s="24" t="n"/>
      <c r="L1666" s="24" t="n"/>
      <c r="M1666" s="29" t="n"/>
      <c r="N1666" s="28" t="n"/>
      <c r="O1666" s="24" t="n"/>
      <c r="P1666" s="24" t="n"/>
      <c r="Q1666" s="24" t="n"/>
      <c r="R1666" s="24" t="n"/>
      <c r="S1666" s="22">
        <f>IF(AND($A1666="",$C1666=""),"",IF($A1666="","Thiếu mã đơn; ","")&amp;IF(COUNTIF($A$2:$A1666,$A1666)&gt;1,"Trùng mã đơn; ","")&amp;IF(ISNA(MATCH($C1666,DATA_MASTER!$D$2:$D$5000,0)),"SĐT chưa đăng ký hội viên; ","")&amp;IF(AND($L1666="Đã chuyển khoản",$M1666=""),"Thiếu ngày nhận CK; ",""))</f>
        <v/>
      </c>
      <c r="T1666" s="24" t="n"/>
    </row>
    <row r="1667" ht="14.25" customHeight="1" s="40">
      <c r="A1667" s="24" t="n"/>
      <c r="B1667" s="29" t="n"/>
      <c r="C1667" s="28" t="n"/>
      <c r="D1667" s="22">
        <f t="array" ref="D1667">IF($C1667="","",IFERROR(INDEX(DATA_MASTER!$C$2:$C$5000,MATCH($C1667,DATA_MASTER!$D$2:$D$5000,0)),""))</f>
        <v/>
      </c>
      <c r="E1667" s="22">
        <f t="array" ref="E1667">IF($C1667="","",IFERROR(INDEX(DATA_MASTER!$I$2:$I$5000,MATCH($C1667,DATA_MASTER!$D$2:$D$5000,0)),""))</f>
        <v/>
      </c>
      <c r="F1667" s="22">
        <f t="array" ref="F1667">IF($C1667="","",IFERROR(INDEX(DATA_MASTER!$L$2:$L$5000,MATCH($C1667,DATA_MASTER!$D$2:$D$5000,0)),""))</f>
        <v/>
      </c>
      <c r="G1667" s="24" t="n"/>
      <c r="H1667" s="24" t="n"/>
      <c r="I1667" s="30" t="n"/>
      <c r="J1667" s="23">
        <f>IF(OR($H1667="",$I1667=""),"",$H1667*$I1667)</f>
        <v/>
      </c>
      <c r="K1667" s="24" t="n"/>
      <c r="L1667" s="24" t="n"/>
      <c r="M1667" s="29" t="n"/>
      <c r="N1667" s="28" t="n"/>
      <c r="O1667" s="24" t="n"/>
      <c r="P1667" s="24" t="n"/>
      <c r="Q1667" s="24" t="n"/>
      <c r="R1667" s="24" t="n"/>
      <c r="S1667" s="22">
        <f>IF(AND($A1667="",$C1667=""),"",IF($A1667="","Thiếu mã đơn; ","")&amp;IF(COUNTIF($A$2:$A1667,$A1667)&gt;1,"Trùng mã đơn; ","")&amp;IF(ISNA(MATCH($C1667,DATA_MASTER!$D$2:$D$5000,0)),"SĐT chưa đăng ký hội viên; ","")&amp;IF(AND($L1667="Đã chuyển khoản",$M1667=""),"Thiếu ngày nhận CK; ",""))</f>
        <v/>
      </c>
      <c r="T1667" s="24" t="n"/>
    </row>
    <row r="1668" ht="14.25" customHeight="1" s="40">
      <c r="A1668" s="24" t="n"/>
      <c r="B1668" s="29" t="n"/>
      <c r="C1668" s="28" t="n"/>
      <c r="D1668" s="22">
        <f t="array" ref="D1668">IF($C1668="","",IFERROR(INDEX(DATA_MASTER!$C$2:$C$5000,MATCH($C1668,DATA_MASTER!$D$2:$D$5000,0)),""))</f>
        <v/>
      </c>
      <c r="E1668" s="22">
        <f t="array" ref="E1668">IF($C1668="","",IFERROR(INDEX(DATA_MASTER!$I$2:$I$5000,MATCH($C1668,DATA_MASTER!$D$2:$D$5000,0)),""))</f>
        <v/>
      </c>
      <c r="F1668" s="22">
        <f t="array" ref="F1668">IF($C1668="","",IFERROR(INDEX(DATA_MASTER!$L$2:$L$5000,MATCH($C1668,DATA_MASTER!$D$2:$D$5000,0)),""))</f>
        <v/>
      </c>
      <c r="G1668" s="24" t="n"/>
      <c r="H1668" s="24" t="n"/>
      <c r="I1668" s="30" t="n"/>
      <c r="J1668" s="23">
        <f>IF(OR($H1668="",$I1668=""),"",$H1668*$I1668)</f>
        <v/>
      </c>
      <c r="K1668" s="24" t="n"/>
      <c r="L1668" s="24" t="n"/>
      <c r="M1668" s="29" t="n"/>
      <c r="N1668" s="28" t="n"/>
      <c r="O1668" s="24" t="n"/>
      <c r="P1668" s="24" t="n"/>
      <c r="Q1668" s="24" t="n"/>
      <c r="R1668" s="24" t="n"/>
      <c r="S1668" s="22">
        <f>IF(AND($A1668="",$C1668=""),"",IF($A1668="","Thiếu mã đơn; ","")&amp;IF(COUNTIF($A$2:$A1668,$A1668)&gt;1,"Trùng mã đơn; ","")&amp;IF(ISNA(MATCH($C1668,DATA_MASTER!$D$2:$D$5000,0)),"SĐT chưa đăng ký hội viên; ","")&amp;IF(AND($L1668="Đã chuyển khoản",$M1668=""),"Thiếu ngày nhận CK; ",""))</f>
        <v/>
      </c>
      <c r="T1668" s="24" t="n"/>
    </row>
    <row r="1669" ht="14.25" customHeight="1" s="40">
      <c r="A1669" s="24" t="n"/>
      <c r="B1669" s="29" t="n"/>
      <c r="C1669" s="28" t="n"/>
      <c r="D1669" s="22">
        <f t="array" ref="D1669">IF($C1669="","",IFERROR(INDEX(DATA_MASTER!$C$2:$C$5000,MATCH($C1669,DATA_MASTER!$D$2:$D$5000,0)),""))</f>
        <v/>
      </c>
      <c r="E1669" s="22">
        <f t="array" ref="E1669">IF($C1669="","",IFERROR(INDEX(DATA_MASTER!$I$2:$I$5000,MATCH($C1669,DATA_MASTER!$D$2:$D$5000,0)),""))</f>
        <v/>
      </c>
      <c r="F1669" s="22">
        <f t="array" ref="F1669">IF($C1669="","",IFERROR(INDEX(DATA_MASTER!$L$2:$L$5000,MATCH($C1669,DATA_MASTER!$D$2:$D$5000,0)),""))</f>
        <v/>
      </c>
      <c r="G1669" s="24" t="n"/>
      <c r="H1669" s="24" t="n"/>
      <c r="I1669" s="30" t="n"/>
      <c r="J1669" s="23">
        <f>IF(OR($H1669="",$I1669=""),"",$H1669*$I1669)</f>
        <v/>
      </c>
      <c r="K1669" s="24" t="n"/>
      <c r="L1669" s="24" t="n"/>
      <c r="M1669" s="29" t="n"/>
      <c r="N1669" s="28" t="n"/>
      <c r="O1669" s="24" t="n"/>
      <c r="P1669" s="24" t="n"/>
      <c r="Q1669" s="24" t="n"/>
      <c r="R1669" s="24" t="n"/>
      <c r="S1669" s="22">
        <f>IF(AND($A1669="",$C1669=""),"",IF($A1669="","Thiếu mã đơn; ","")&amp;IF(COUNTIF($A$2:$A1669,$A1669)&gt;1,"Trùng mã đơn; ","")&amp;IF(ISNA(MATCH($C1669,DATA_MASTER!$D$2:$D$5000,0)),"SĐT chưa đăng ký hội viên; ","")&amp;IF(AND($L1669="Đã chuyển khoản",$M1669=""),"Thiếu ngày nhận CK; ",""))</f>
        <v/>
      </c>
      <c r="T1669" s="24" t="n"/>
    </row>
    <row r="1670" ht="14.25" customHeight="1" s="40">
      <c r="A1670" s="24" t="n"/>
      <c r="B1670" s="29" t="n"/>
      <c r="C1670" s="28" t="n"/>
      <c r="D1670" s="22">
        <f t="array" ref="D1670">IF($C1670="","",IFERROR(INDEX(DATA_MASTER!$C$2:$C$5000,MATCH($C1670,DATA_MASTER!$D$2:$D$5000,0)),""))</f>
        <v/>
      </c>
      <c r="E1670" s="22">
        <f t="array" ref="E1670">IF($C1670="","",IFERROR(INDEX(DATA_MASTER!$I$2:$I$5000,MATCH($C1670,DATA_MASTER!$D$2:$D$5000,0)),""))</f>
        <v/>
      </c>
      <c r="F1670" s="22">
        <f t="array" ref="F1670">IF($C1670="","",IFERROR(INDEX(DATA_MASTER!$L$2:$L$5000,MATCH($C1670,DATA_MASTER!$D$2:$D$5000,0)),""))</f>
        <v/>
      </c>
      <c r="G1670" s="24" t="n"/>
      <c r="H1670" s="24" t="n"/>
      <c r="I1670" s="30" t="n"/>
      <c r="J1670" s="23">
        <f>IF(OR($H1670="",$I1670=""),"",$H1670*$I1670)</f>
        <v/>
      </c>
      <c r="K1670" s="24" t="n"/>
      <c r="L1670" s="24" t="n"/>
      <c r="M1670" s="29" t="n"/>
      <c r="N1670" s="28" t="n"/>
      <c r="O1670" s="24" t="n"/>
      <c r="P1670" s="24" t="n"/>
      <c r="Q1670" s="24" t="n"/>
      <c r="R1670" s="24" t="n"/>
      <c r="S1670" s="22">
        <f>IF(AND($A1670="",$C1670=""),"",IF($A1670="","Thiếu mã đơn; ","")&amp;IF(COUNTIF($A$2:$A1670,$A1670)&gt;1,"Trùng mã đơn; ","")&amp;IF(ISNA(MATCH($C1670,DATA_MASTER!$D$2:$D$5000,0)),"SĐT chưa đăng ký hội viên; ","")&amp;IF(AND($L1670="Đã chuyển khoản",$M1670=""),"Thiếu ngày nhận CK; ",""))</f>
        <v/>
      </c>
      <c r="T1670" s="24" t="n"/>
    </row>
    <row r="1671" ht="14.25" customHeight="1" s="40">
      <c r="A1671" s="24" t="n"/>
      <c r="B1671" s="29" t="n"/>
      <c r="C1671" s="28" t="n"/>
      <c r="D1671" s="22">
        <f t="array" ref="D1671">IF($C1671="","",IFERROR(INDEX(DATA_MASTER!$C$2:$C$5000,MATCH($C1671,DATA_MASTER!$D$2:$D$5000,0)),""))</f>
        <v/>
      </c>
      <c r="E1671" s="22">
        <f t="array" ref="E1671">IF($C1671="","",IFERROR(INDEX(DATA_MASTER!$I$2:$I$5000,MATCH($C1671,DATA_MASTER!$D$2:$D$5000,0)),""))</f>
        <v/>
      </c>
      <c r="F1671" s="22">
        <f t="array" ref="F1671">IF($C1671="","",IFERROR(INDEX(DATA_MASTER!$L$2:$L$5000,MATCH($C1671,DATA_MASTER!$D$2:$D$5000,0)),""))</f>
        <v/>
      </c>
      <c r="G1671" s="24" t="n"/>
      <c r="H1671" s="24" t="n"/>
      <c r="I1671" s="30" t="n"/>
      <c r="J1671" s="23">
        <f>IF(OR($H1671="",$I1671=""),"",$H1671*$I1671)</f>
        <v/>
      </c>
      <c r="K1671" s="24" t="n"/>
      <c r="L1671" s="24" t="n"/>
      <c r="M1671" s="29" t="n"/>
      <c r="N1671" s="28" t="n"/>
      <c r="O1671" s="24" t="n"/>
      <c r="P1671" s="24" t="n"/>
      <c r="Q1671" s="24" t="n"/>
      <c r="R1671" s="24" t="n"/>
      <c r="S1671" s="22">
        <f>IF(AND($A1671="",$C1671=""),"",IF($A1671="","Thiếu mã đơn; ","")&amp;IF(COUNTIF($A$2:$A1671,$A1671)&gt;1,"Trùng mã đơn; ","")&amp;IF(ISNA(MATCH($C1671,DATA_MASTER!$D$2:$D$5000,0)),"SĐT chưa đăng ký hội viên; ","")&amp;IF(AND($L1671="Đã chuyển khoản",$M1671=""),"Thiếu ngày nhận CK; ",""))</f>
        <v/>
      </c>
      <c r="T1671" s="24" t="n"/>
    </row>
    <row r="1672" ht="14.25" customHeight="1" s="40">
      <c r="A1672" s="24" t="n"/>
      <c r="B1672" s="29" t="n"/>
      <c r="C1672" s="28" t="n"/>
      <c r="D1672" s="22">
        <f t="array" ref="D1672">IF($C1672="","",IFERROR(INDEX(DATA_MASTER!$C$2:$C$5000,MATCH($C1672,DATA_MASTER!$D$2:$D$5000,0)),""))</f>
        <v/>
      </c>
      <c r="E1672" s="22">
        <f t="array" ref="E1672">IF($C1672="","",IFERROR(INDEX(DATA_MASTER!$I$2:$I$5000,MATCH($C1672,DATA_MASTER!$D$2:$D$5000,0)),""))</f>
        <v/>
      </c>
      <c r="F1672" s="22">
        <f t="array" ref="F1672">IF($C1672="","",IFERROR(INDEX(DATA_MASTER!$L$2:$L$5000,MATCH($C1672,DATA_MASTER!$D$2:$D$5000,0)),""))</f>
        <v/>
      </c>
      <c r="G1672" s="24" t="n"/>
      <c r="H1672" s="24" t="n"/>
      <c r="I1672" s="30" t="n"/>
      <c r="J1672" s="23">
        <f>IF(OR($H1672="",$I1672=""),"",$H1672*$I1672)</f>
        <v/>
      </c>
      <c r="K1672" s="24" t="n"/>
      <c r="L1672" s="24" t="n"/>
      <c r="M1672" s="29" t="n"/>
      <c r="N1672" s="28" t="n"/>
      <c r="O1672" s="24" t="n"/>
      <c r="P1672" s="24" t="n"/>
      <c r="Q1672" s="24" t="n"/>
      <c r="R1672" s="24" t="n"/>
      <c r="S1672" s="22">
        <f>IF(AND($A1672="",$C1672=""),"",IF($A1672="","Thiếu mã đơn; ","")&amp;IF(COUNTIF($A$2:$A1672,$A1672)&gt;1,"Trùng mã đơn; ","")&amp;IF(ISNA(MATCH($C1672,DATA_MASTER!$D$2:$D$5000,0)),"SĐT chưa đăng ký hội viên; ","")&amp;IF(AND($L1672="Đã chuyển khoản",$M1672=""),"Thiếu ngày nhận CK; ",""))</f>
        <v/>
      </c>
      <c r="T1672" s="24" t="n"/>
    </row>
    <row r="1673" ht="14.25" customHeight="1" s="40">
      <c r="A1673" s="24" t="n"/>
      <c r="B1673" s="29" t="n"/>
      <c r="C1673" s="28" t="n"/>
      <c r="D1673" s="22">
        <f t="array" ref="D1673">IF($C1673="","",IFERROR(INDEX(DATA_MASTER!$C$2:$C$5000,MATCH($C1673,DATA_MASTER!$D$2:$D$5000,0)),""))</f>
        <v/>
      </c>
      <c r="E1673" s="22">
        <f t="array" ref="E1673">IF($C1673="","",IFERROR(INDEX(DATA_MASTER!$I$2:$I$5000,MATCH($C1673,DATA_MASTER!$D$2:$D$5000,0)),""))</f>
        <v/>
      </c>
      <c r="F1673" s="22">
        <f t="array" ref="F1673">IF($C1673="","",IFERROR(INDEX(DATA_MASTER!$L$2:$L$5000,MATCH($C1673,DATA_MASTER!$D$2:$D$5000,0)),""))</f>
        <v/>
      </c>
      <c r="G1673" s="24" t="n"/>
      <c r="H1673" s="24" t="n"/>
      <c r="I1673" s="30" t="n"/>
      <c r="J1673" s="23">
        <f>IF(OR($H1673="",$I1673=""),"",$H1673*$I1673)</f>
        <v/>
      </c>
      <c r="K1673" s="24" t="n"/>
      <c r="L1673" s="24" t="n"/>
      <c r="M1673" s="29" t="n"/>
      <c r="N1673" s="28" t="n"/>
      <c r="O1673" s="24" t="n"/>
      <c r="P1673" s="24" t="n"/>
      <c r="Q1673" s="24" t="n"/>
      <c r="R1673" s="24" t="n"/>
      <c r="S1673" s="22">
        <f>IF(AND($A1673="",$C1673=""),"",IF($A1673="","Thiếu mã đơn; ","")&amp;IF(COUNTIF($A$2:$A1673,$A1673)&gt;1,"Trùng mã đơn; ","")&amp;IF(ISNA(MATCH($C1673,DATA_MASTER!$D$2:$D$5000,0)),"SĐT chưa đăng ký hội viên; ","")&amp;IF(AND($L1673="Đã chuyển khoản",$M1673=""),"Thiếu ngày nhận CK; ",""))</f>
        <v/>
      </c>
      <c r="T1673" s="24" t="n"/>
    </row>
    <row r="1674" ht="14.25" customHeight="1" s="40">
      <c r="A1674" s="24" t="n"/>
      <c r="B1674" s="29" t="n"/>
      <c r="C1674" s="28" t="n"/>
      <c r="D1674" s="22">
        <f t="array" ref="D1674">IF($C1674="","",IFERROR(INDEX(DATA_MASTER!$C$2:$C$5000,MATCH($C1674,DATA_MASTER!$D$2:$D$5000,0)),""))</f>
        <v/>
      </c>
      <c r="E1674" s="22">
        <f t="array" ref="E1674">IF($C1674="","",IFERROR(INDEX(DATA_MASTER!$I$2:$I$5000,MATCH($C1674,DATA_MASTER!$D$2:$D$5000,0)),""))</f>
        <v/>
      </c>
      <c r="F1674" s="22">
        <f t="array" ref="F1674">IF($C1674="","",IFERROR(INDEX(DATA_MASTER!$L$2:$L$5000,MATCH($C1674,DATA_MASTER!$D$2:$D$5000,0)),""))</f>
        <v/>
      </c>
      <c r="G1674" s="24" t="n"/>
      <c r="H1674" s="24" t="n"/>
      <c r="I1674" s="30" t="n"/>
      <c r="J1674" s="23">
        <f>IF(OR($H1674="",$I1674=""),"",$H1674*$I1674)</f>
        <v/>
      </c>
      <c r="K1674" s="24" t="n"/>
      <c r="L1674" s="24" t="n"/>
      <c r="M1674" s="29" t="n"/>
      <c r="N1674" s="28" t="n"/>
      <c r="O1674" s="24" t="n"/>
      <c r="P1674" s="24" t="n"/>
      <c r="Q1674" s="24" t="n"/>
      <c r="R1674" s="24" t="n"/>
      <c r="S1674" s="22">
        <f>IF(AND($A1674="",$C1674=""),"",IF($A1674="","Thiếu mã đơn; ","")&amp;IF(COUNTIF($A$2:$A1674,$A1674)&gt;1,"Trùng mã đơn; ","")&amp;IF(ISNA(MATCH($C1674,DATA_MASTER!$D$2:$D$5000,0)),"SĐT chưa đăng ký hội viên; ","")&amp;IF(AND($L1674="Đã chuyển khoản",$M1674=""),"Thiếu ngày nhận CK; ",""))</f>
        <v/>
      </c>
      <c r="T1674" s="24" t="n"/>
    </row>
    <row r="1675" ht="14.25" customHeight="1" s="40">
      <c r="A1675" s="24" t="n"/>
      <c r="B1675" s="29" t="n"/>
      <c r="C1675" s="28" t="n"/>
      <c r="D1675" s="22">
        <f t="array" ref="D1675">IF($C1675="","",IFERROR(INDEX(DATA_MASTER!$C$2:$C$5000,MATCH($C1675,DATA_MASTER!$D$2:$D$5000,0)),""))</f>
        <v/>
      </c>
      <c r="E1675" s="22">
        <f t="array" ref="E1675">IF($C1675="","",IFERROR(INDEX(DATA_MASTER!$I$2:$I$5000,MATCH($C1675,DATA_MASTER!$D$2:$D$5000,0)),""))</f>
        <v/>
      </c>
      <c r="F1675" s="22">
        <f t="array" ref="F1675">IF($C1675="","",IFERROR(INDEX(DATA_MASTER!$L$2:$L$5000,MATCH($C1675,DATA_MASTER!$D$2:$D$5000,0)),""))</f>
        <v/>
      </c>
      <c r="G1675" s="24" t="n"/>
      <c r="H1675" s="24" t="n"/>
      <c r="I1675" s="30" t="n"/>
      <c r="J1675" s="23">
        <f>IF(OR($H1675="",$I1675=""),"",$H1675*$I1675)</f>
        <v/>
      </c>
      <c r="K1675" s="24" t="n"/>
      <c r="L1675" s="24" t="n"/>
      <c r="M1675" s="29" t="n"/>
      <c r="N1675" s="28" t="n"/>
      <c r="O1675" s="24" t="n"/>
      <c r="P1675" s="24" t="n"/>
      <c r="Q1675" s="24" t="n"/>
      <c r="R1675" s="24" t="n"/>
      <c r="S1675" s="22">
        <f>IF(AND($A1675="",$C1675=""),"",IF($A1675="","Thiếu mã đơn; ","")&amp;IF(COUNTIF($A$2:$A1675,$A1675)&gt;1,"Trùng mã đơn; ","")&amp;IF(ISNA(MATCH($C1675,DATA_MASTER!$D$2:$D$5000,0)),"SĐT chưa đăng ký hội viên; ","")&amp;IF(AND($L1675="Đã chuyển khoản",$M1675=""),"Thiếu ngày nhận CK; ",""))</f>
        <v/>
      </c>
      <c r="T1675" s="24" t="n"/>
    </row>
    <row r="1676" ht="14.25" customHeight="1" s="40">
      <c r="A1676" s="24" t="n"/>
      <c r="B1676" s="29" t="n"/>
      <c r="C1676" s="28" t="n"/>
      <c r="D1676" s="22">
        <f t="array" ref="D1676">IF($C1676="","",IFERROR(INDEX(DATA_MASTER!$C$2:$C$5000,MATCH($C1676,DATA_MASTER!$D$2:$D$5000,0)),""))</f>
        <v/>
      </c>
      <c r="E1676" s="22">
        <f t="array" ref="E1676">IF($C1676="","",IFERROR(INDEX(DATA_MASTER!$I$2:$I$5000,MATCH($C1676,DATA_MASTER!$D$2:$D$5000,0)),""))</f>
        <v/>
      </c>
      <c r="F1676" s="22">
        <f t="array" ref="F1676">IF($C1676="","",IFERROR(INDEX(DATA_MASTER!$L$2:$L$5000,MATCH($C1676,DATA_MASTER!$D$2:$D$5000,0)),""))</f>
        <v/>
      </c>
      <c r="G1676" s="24" t="n"/>
      <c r="H1676" s="24" t="n"/>
      <c r="I1676" s="30" t="n"/>
      <c r="J1676" s="23">
        <f>IF(OR($H1676="",$I1676=""),"",$H1676*$I1676)</f>
        <v/>
      </c>
      <c r="K1676" s="24" t="n"/>
      <c r="L1676" s="24" t="n"/>
      <c r="M1676" s="29" t="n"/>
      <c r="N1676" s="28" t="n"/>
      <c r="O1676" s="24" t="n"/>
      <c r="P1676" s="24" t="n"/>
      <c r="Q1676" s="24" t="n"/>
      <c r="R1676" s="24" t="n"/>
      <c r="S1676" s="22">
        <f>IF(AND($A1676="",$C1676=""),"",IF($A1676="","Thiếu mã đơn; ","")&amp;IF(COUNTIF($A$2:$A1676,$A1676)&gt;1,"Trùng mã đơn; ","")&amp;IF(ISNA(MATCH($C1676,DATA_MASTER!$D$2:$D$5000,0)),"SĐT chưa đăng ký hội viên; ","")&amp;IF(AND($L1676="Đã chuyển khoản",$M1676=""),"Thiếu ngày nhận CK; ",""))</f>
        <v/>
      </c>
      <c r="T1676" s="24" t="n"/>
    </row>
    <row r="1677" ht="14.25" customHeight="1" s="40">
      <c r="A1677" s="24" t="n"/>
      <c r="B1677" s="29" t="n"/>
      <c r="C1677" s="28" t="n"/>
      <c r="D1677" s="22">
        <f t="array" ref="D1677">IF($C1677="","",IFERROR(INDEX(DATA_MASTER!$C$2:$C$5000,MATCH($C1677,DATA_MASTER!$D$2:$D$5000,0)),""))</f>
        <v/>
      </c>
      <c r="E1677" s="22">
        <f t="array" ref="E1677">IF($C1677="","",IFERROR(INDEX(DATA_MASTER!$I$2:$I$5000,MATCH($C1677,DATA_MASTER!$D$2:$D$5000,0)),""))</f>
        <v/>
      </c>
      <c r="F1677" s="22">
        <f t="array" ref="F1677">IF($C1677="","",IFERROR(INDEX(DATA_MASTER!$L$2:$L$5000,MATCH($C1677,DATA_MASTER!$D$2:$D$5000,0)),""))</f>
        <v/>
      </c>
      <c r="G1677" s="24" t="n"/>
      <c r="H1677" s="24" t="n"/>
      <c r="I1677" s="30" t="n"/>
      <c r="J1677" s="23">
        <f>IF(OR($H1677="",$I1677=""),"",$H1677*$I1677)</f>
        <v/>
      </c>
      <c r="K1677" s="24" t="n"/>
      <c r="L1677" s="24" t="n"/>
      <c r="M1677" s="29" t="n"/>
      <c r="N1677" s="28" t="n"/>
      <c r="O1677" s="24" t="n"/>
      <c r="P1677" s="24" t="n"/>
      <c r="Q1677" s="24" t="n"/>
      <c r="R1677" s="24" t="n"/>
      <c r="S1677" s="22">
        <f>IF(AND($A1677="",$C1677=""),"",IF($A1677="","Thiếu mã đơn; ","")&amp;IF(COUNTIF($A$2:$A1677,$A1677)&gt;1,"Trùng mã đơn; ","")&amp;IF(ISNA(MATCH($C1677,DATA_MASTER!$D$2:$D$5000,0)),"SĐT chưa đăng ký hội viên; ","")&amp;IF(AND($L1677="Đã chuyển khoản",$M1677=""),"Thiếu ngày nhận CK; ",""))</f>
        <v/>
      </c>
      <c r="T1677" s="24" t="n"/>
    </row>
    <row r="1678" ht="14.25" customHeight="1" s="40">
      <c r="A1678" s="24" t="n"/>
      <c r="B1678" s="29" t="n"/>
      <c r="C1678" s="28" t="n"/>
      <c r="D1678" s="22">
        <f t="array" ref="D1678">IF($C1678="","",IFERROR(INDEX(DATA_MASTER!$C$2:$C$5000,MATCH($C1678,DATA_MASTER!$D$2:$D$5000,0)),""))</f>
        <v/>
      </c>
      <c r="E1678" s="22">
        <f t="array" ref="E1678">IF($C1678="","",IFERROR(INDEX(DATA_MASTER!$I$2:$I$5000,MATCH($C1678,DATA_MASTER!$D$2:$D$5000,0)),""))</f>
        <v/>
      </c>
      <c r="F1678" s="22">
        <f t="array" ref="F1678">IF($C1678="","",IFERROR(INDEX(DATA_MASTER!$L$2:$L$5000,MATCH($C1678,DATA_MASTER!$D$2:$D$5000,0)),""))</f>
        <v/>
      </c>
      <c r="G1678" s="24" t="n"/>
      <c r="H1678" s="24" t="n"/>
      <c r="I1678" s="30" t="n"/>
      <c r="J1678" s="23">
        <f>IF(OR($H1678="",$I1678=""),"",$H1678*$I1678)</f>
        <v/>
      </c>
      <c r="K1678" s="24" t="n"/>
      <c r="L1678" s="24" t="n"/>
      <c r="M1678" s="29" t="n"/>
      <c r="N1678" s="28" t="n"/>
      <c r="O1678" s="24" t="n"/>
      <c r="P1678" s="24" t="n"/>
      <c r="Q1678" s="24" t="n"/>
      <c r="R1678" s="24" t="n"/>
      <c r="S1678" s="22">
        <f>IF(AND($A1678="",$C1678=""),"",IF($A1678="","Thiếu mã đơn; ","")&amp;IF(COUNTIF($A$2:$A1678,$A1678)&gt;1,"Trùng mã đơn; ","")&amp;IF(ISNA(MATCH($C1678,DATA_MASTER!$D$2:$D$5000,0)),"SĐT chưa đăng ký hội viên; ","")&amp;IF(AND($L1678="Đã chuyển khoản",$M1678=""),"Thiếu ngày nhận CK; ",""))</f>
        <v/>
      </c>
      <c r="T1678" s="24" t="n"/>
    </row>
    <row r="1679" ht="14.25" customHeight="1" s="40">
      <c r="A1679" s="24" t="n"/>
      <c r="B1679" s="29" t="n"/>
      <c r="C1679" s="28" t="n"/>
      <c r="D1679" s="22">
        <f t="array" ref="D1679">IF($C1679="","",IFERROR(INDEX(DATA_MASTER!$C$2:$C$5000,MATCH($C1679,DATA_MASTER!$D$2:$D$5000,0)),""))</f>
        <v/>
      </c>
      <c r="E1679" s="22">
        <f t="array" ref="E1679">IF($C1679="","",IFERROR(INDEX(DATA_MASTER!$I$2:$I$5000,MATCH($C1679,DATA_MASTER!$D$2:$D$5000,0)),""))</f>
        <v/>
      </c>
      <c r="F1679" s="22">
        <f t="array" ref="F1679">IF($C1679="","",IFERROR(INDEX(DATA_MASTER!$L$2:$L$5000,MATCH($C1679,DATA_MASTER!$D$2:$D$5000,0)),""))</f>
        <v/>
      </c>
      <c r="G1679" s="24" t="n"/>
      <c r="H1679" s="24" t="n"/>
      <c r="I1679" s="30" t="n"/>
      <c r="J1679" s="23">
        <f>IF(OR($H1679="",$I1679=""),"",$H1679*$I1679)</f>
        <v/>
      </c>
      <c r="K1679" s="24" t="n"/>
      <c r="L1679" s="24" t="n"/>
      <c r="M1679" s="29" t="n"/>
      <c r="N1679" s="28" t="n"/>
      <c r="O1679" s="24" t="n"/>
      <c r="P1679" s="24" t="n"/>
      <c r="Q1679" s="24" t="n"/>
      <c r="R1679" s="24" t="n"/>
      <c r="S1679" s="22">
        <f>IF(AND($A1679="",$C1679=""),"",IF($A1679="","Thiếu mã đơn; ","")&amp;IF(COUNTIF($A$2:$A1679,$A1679)&gt;1,"Trùng mã đơn; ","")&amp;IF(ISNA(MATCH($C1679,DATA_MASTER!$D$2:$D$5000,0)),"SĐT chưa đăng ký hội viên; ","")&amp;IF(AND($L1679="Đã chuyển khoản",$M1679=""),"Thiếu ngày nhận CK; ",""))</f>
        <v/>
      </c>
      <c r="T1679" s="24" t="n"/>
    </row>
    <row r="1680" ht="14.25" customHeight="1" s="40">
      <c r="A1680" s="24" t="n"/>
      <c r="B1680" s="29" t="n"/>
      <c r="C1680" s="28" t="n"/>
      <c r="D1680" s="22">
        <f t="array" ref="D1680">IF($C1680="","",IFERROR(INDEX(DATA_MASTER!$C$2:$C$5000,MATCH($C1680,DATA_MASTER!$D$2:$D$5000,0)),""))</f>
        <v/>
      </c>
      <c r="E1680" s="22">
        <f t="array" ref="E1680">IF($C1680="","",IFERROR(INDEX(DATA_MASTER!$I$2:$I$5000,MATCH($C1680,DATA_MASTER!$D$2:$D$5000,0)),""))</f>
        <v/>
      </c>
      <c r="F1680" s="22">
        <f t="array" ref="F1680">IF($C1680="","",IFERROR(INDEX(DATA_MASTER!$L$2:$L$5000,MATCH($C1680,DATA_MASTER!$D$2:$D$5000,0)),""))</f>
        <v/>
      </c>
      <c r="G1680" s="24" t="n"/>
      <c r="H1680" s="24" t="n"/>
      <c r="I1680" s="30" t="n"/>
      <c r="J1680" s="23">
        <f>IF(OR($H1680="",$I1680=""),"",$H1680*$I1680)</f>
        <v/>
      </c>
      <c r="K1680" s="24" t="n"/>
      <c r="L1680" s="24" t="n"/>
      <c r="M1680" s="29" t="n"/>
      <c r="N1680" s="28" t="n"/>
      <c r="O1680" s="24" t="n"/>
      <c r="P1680" s="24" t="n"/>
      <c r="Q1680" s="24" t="n"/>
      <c r="R1680" s="24" t="n"/>
      <c r="S1680" s="22">
        <f>IF(AND($A1680="",$C1680=""),"",IF($A1680="","Thiếu mã đơn; ","")&amp;IF(COUNTIF($A$2:$A1680,$A1680)&gt;1,"Trùng mã đơn; ","")&amp;IF(ISNA(MATCH($C1680,DATA_MASTER!$D$2:$D$5000,0)),"SĐT chưa đăng ký hội viên; ","")&amp;IF(AND($L1680="Đã chuyển khoản",$M1680=""),"Thiếu ngày nhận CK; ",""))</f>
        <v/>
      </c>
      <c r="T1680" s="24" t="n"/>
    </row>
    <row r="1681" ht="14.25" customHeight="1" s="40">
      <c r="A1681" s="24" t="n"/>
      <c r="B1681" s="29" t="n"/>
      <c r="C1681" s="28" t="n"/>
      <c r="D1681" s="22">
        <f t="array" ref="D1681">IF($C1681="","",IFERROR(INDEX(DATA_MASTER!$C$2:$C$5000,MATCH($C1681,DATA_MASTER!$D$2:$D$5000,0)),""))</f>
        <v/>
      </c>
      <c r="E1681" s="22">
        <f t="array" ref="E1681">IF($C1681="","",IFERROR(INDEX(DATA_MASTER!$I$2:$I$5000,MATCH($C1681,DATA_MASTER!$D$2:$D$5000,0)),""))</f>
        <v/>
      </c>
      <c r="F1681" s="22">
        <f t="array" ref="F1681">IF($C1681="","",IFERROR(INDEX(DATA_MASTER!$L$2:$L$5000,MATCH($C1681,DATA_MASTER!$D$2:$D$5000,0)),""))</f>
        <v/>
      </c>
      <c r="G1681" s="24" t="n"/>
      <c r="H1681" s="24" t="n"/>
      <c r="I1681" s="30" t="n"/>
      <c r="J1681" s="23">
        <f>IF(OR($H1681="",$I1681=""),"",$H1681*$I1681)</f>
        <v/>
      </c>
      <c r="K1681" s="24" t="n"/>
      <c r="L1681" s="24" t="n"/>
      <c r="M1681" s="29" t="n"/>
      <c r="N1681" s="28" t="n"/>
      <c r="O1681" s="24" t="n"/>
      <c r="P1681" s="24" t="n"/>
      <c r="Q1681" s="24" t="n"/>
      <c r="R1681" s="24" t="n"/>
      <c r="S1681" s="22">
        <f>IF(AND($A1681="",$C1681=""),"",IF($A1681="","Thiếu mã đơn; ","")&amp;IF(COUNTIF($A$2:$A1681,$A1681)&gt;1,"Trùng mã đơn; ","")&amp;IF(ISNA(MATCH($C1681,DATA_MASTER!$D$2:$D$5000,0)),"SĐT chưa đăng ký hội viên; ","")&amp;IF(AND($L1681="Đã chuyển khoản",$M1681=""),"Thiếu ngày nhận CK; ",""))</f>
        <v/>
      </c>
      <c r="T1681" s="24" t="n"/>
    </row>
    <row r="1682" ht="14.25" customHeight="1" s="40">
      <c r="A1682" s="24" t="n"/>
      <c r="B1682" s="29" t="n"/>
      <c r="C1682" s="28" t="n"/>
      <c r="D1682" s="22">
        <f t="array" ref="D1682">IF($C1682="","",IFERROR(INDEX(DATA_MASTER!$C$2:$C$5000,MATCH($C1682,DATA_MASTER!$D$2:$D$5000,0)),""))</f>
        <v/>
      </c>
      <c r="E1682" s="22">
        <f t="array" ref="E1682">IF($C1682="","",IFERROR(INDEX(DATA_MASTER!$I$2:$I$5000,MATCH($C1682,DATA_MASTER!$D$2:$D$5000,0)),""))</f>
        <v/>
      </c>
      <c r="F1682" s="22">
        <f t="array" ref="F1682">IF($C1682="","",IFERROR(INDEX(DATA_MASTER!$L$2:$L$5000,MATCH($C1682,DATA_MASTER!$D$2:$D$5000,0)),""))</f>
        <v/>
      </c>
      <c r="G1682" s="24" t="n"/>
      <c r="H1682" s="24" t="n"/>
      <c r="I1682" s="30" t="n"/>
      <c r="J1682" s="23">
        <f>IF(OR($H1682="",$I1682=""),"",$H1682*$I1682)</f>
        <v/>
      </c>
      <c r="K1682" s="24" t="n"/>
      <c r="L1682" s="24" t="n"/>
      <c r="M1682" s="29" t="n"/>
      <c r="N1682" s="28" t="n"/>
      <c r="O1682" s="24" t="n"/>
      <c r="P1682" s="24" t="n"/>
      <c r="Q1682" s="24" t="n"/>
      <c r="R1682" s="24" t="n"/>
      <c r="S1682" s="22">
        <f>IF(AND($A1682="",$C1682=""),"",IF($A1682="","Thiếu mã đơn; ","")&amp;IF(COUNTIF($A$2:$A1682,$A1682)&gt;1,"Trùng mã đơn; ","")&amp;IF(ISNA(MATCH($C1682,DATA_MASTER!$D$2:$D$5000,0)),"SĐT chưa đăng ký hội viên; ","")&amp;IF(AND($L1682="Đã chuyển khoản",$M1682=""),"Thiếu ngày nhận CK; ",""))</f>
        <v/>
      </c>
      <c r="T1682" s="24" t="n"/>
    </row>
    <row r="1683" ht="14.25" customHeight="1" s="40">
      <c r="A1683" s="24" t="n"/>
      <c r="B1683" s="29" t="n"/>
      <c r="C1683" s="28" t="n"/>
      <c r="D1683" s="22">
        <f t="array" ref="D1683">IF($C1683="","",IFERROR(INDEX(DATA_MASTER!$C$2:$C$5000,MATCH($C1683,DATA_MASTER!$D$2:$D$5000,0)),""))</f>
        <v/>
      </c>
      <c r="E1683" s="22">
        <f t="array" ref="E1683">IF($C1683="","",IFERROR(INDEX(DATA_MASTER!$I$2:$I$5000,MATCH($C1683,DATA_MASTER!$D$2:$D$5000,0)),""))</f>
        <v/>
      </c>
      <c r="F1683" s="22">
        <f t="array" ref="F1683">IF($C1683="","",IFERROR(INDEX(DATA_MASTER!$L$2:$L$5000,MATCH($C1683,DATA_MASTER!$D$2:$D$5000,0)),""))</f>
        <v/>
      </c>
      <c r="G1683" s="24" t="n"/>
      <c r="H1683" s="24" t="n"/>
      <c r="I1683" s="30" t="n"/>
      <c r="J1683" s="23">
        <f>IF(OR($H1683="",$I1683=""),"",$H1683*$I1683)</f>
        <v/>
      </c>
      <c r="K1683" s="24" t="n"/>
      <c r="L1683" s="24" t="n"/>
      <c r="M1683" s="29" t="n"/>
      <c r="N1683" s="28" t="n"/>
      <c r="O1683" s="24" t="n"/>
      <c r="P1683" s="24" t="n"/>
      <c r="Q1683" s="24" t="n"/>
      <c r="R1683" s="24" t="n"/>
      <c r="S1683" s="22">
        <f>IF(AND($A1683="",$C1683=""),"",IF($A1683="","Thiếu mã đơn; ","")&amp;IF(COUNTIF($A$2:$A1683,$A1683)&gt;1,"Trùng mã đơn; ","")&amp;IF(ISNA(MATCH($C1683,DATA_MASTER!$D$2:$D$5000,0)),"SĐT chưa đăng ký hội viên; ","")&amp;IF(AND($L1683="Đã chuyển khoản",$M1683=""),"Thiếu ngày nhận CK; ",""))</f>
        <v/>
      </c>
      <c r="T1683" s="24" t="n"/>
    </row>
    <row r="1684" ht="14.25" customHeight="1" s="40">
      <c r="A1684" s="24" t="n"/>
      <c r="B1684" s="29" t="n"/>
      <c r="C1684" s="28" t="n"/>
      <c r="D1684" s="22">
        <f t="array" ref="D1684">IF($C1684="","",IFERROR(INDEX(DATA_MASTER!$C$2:$C$5000,MATCH($C1684,DATA_MASTER!$D$2:$D$5000,0)),""))</f>
        <v/>
      </c>
      <c r="E1684" s="22">
        <f t="array" ref="E1684">IF($C1684="","",IFERROR(INDEX(DATA_MASTER!$I$2:$I$5000,MATCH($C1684,DATA_MASTER!$D$2:$D$5000,0)),""))</f>
        <v/>
      </c>
      <c r="F1684" s="22">
        <f t="array" ref="F1684">IF($C1684="","",IFERROR(INDEX(DATA_MASTER!$L$2:$L$5000,MATCH($C1684,DATA_MASTER!$D$2:$D$5000,0)),""))</f>
        <v/>
      </c>
      <c r="G1684" s="24" t="n"/>
      <c r="H1684" s="24" t="n"/>
      <c r="I1684" s="30" t="n"/>
      <c r="J1684" s="23">
        <f>IF(OR($H1684="",$I1684=""),"",$H1684*$I1684)</f>
        <v/>
      </c>
      <c r="K1684" s="24" t="n"/>
      <c r="L1684" s="24" t="n"/>
      <c r="M1684" s="29" t="n"/>
      <c r="N1684" s="28" t="n"/>
      <c r="O1684" s="24" t="n"/>
      <c r="P1684" s="24" t="n"/>
      <c r="Q1684" s="24" t="n"/>
      <c r="R1684" s="24" t="n"/>
      <c r="S1684" s="22">
        <f>IF(AND($A1684="",$C1684=""),"",IF($A1684="","Thiếu mã đơn; ","")&amp;IF(COUNTIF($A$2:$A1684,$A1684)&gt;1,"Trùng mã đơn; ","")&amp;IF(ISNA(MATCH($C1684,DATA_MASTER!$D$2:$D$5000,0)),"SĐT chưa đăng ký hội viên; ","")&amp;IF(AND($L1684="Đã chuyển khoản",$M1684=""),"Thiếu ngày nhận CK; ",""))</f>
        <v/>
      </c>
      <c r="T1684" s="24" t="n"/>
    </row>
    <row r="1685" ht="14.25" customHeight="1" s="40">
      <c r="A1685" s="24" t="n"/>
      <c r="B1685" s="29" t="n"/>
      <c r="C1685" s="28" t="n"/>
      <c r="D1685" s="22">
        <f t="array" ref="D1685">IF($C1685="","",IFERROR(INDEX(DATA_MASTER!$C$2:$C$5000,MATCH($C1685,DATA_MASTER!$D$2:$D$5000,0)),""))</f>
        <v/>
      </c>
      <c r="E1685" s="22">
        <f t="array" ref="E1685">IF($C1685="","",IFERROR(INDEX(DATA_MASTER!$I$2:$I$5000,MATCH($C1685,DATA_MASTER!$D$2:$D$5000,0)),""))</f>
        <v/>
      </c>
      <c r="F1685" s="22">
        <f t="array" ref="F1685">IF($C1685="","",IFERROR(INDEX(DATA_MASTER!$L$2:$L$5000,MATCH($C1685,DATA_MASTER!$D$2:$D$5000,0)),""))</f>
        <v/>
      </c>
      <c r="G1685" s="24" t="n"/>
      <c r="H1685" s="24" t="n"/>
      <c r="I1685" s="30" t="n"/>
      <c r="J1685" s="23">
        <f>IF(OR($H1685="",$I1685=""),"",$H1685*$I1685)</f>
        <v/>
      </c>
      <c r="K1685" s="24" t="n"/>
      <c r="L1685" s="24" t="n"/>
      <c r="M1685" s="29" t="n"/>
      <c r="N1685" s="28" t="n"/>
      <c r="O1685" s="24" t="n"/>
      <c r="P1685" s="24" t="n"/>
      <c r="Q1685" s="24" t="n"/>
      <c r="R1685" s="24" t="n"/>
      <c r="S1685" s="22">
        <f>IF(AND($A1685="",$C1685=""),"",IF($A1685="","Thiếu mã đơn; ","")&amp;IF(COUNTIF($A$2:$A1685,$A1685)&gt;1,"Trùng mã đơn; ","")&amp;IF(ISNA(MATCH($C1685,DATA_MASTER!$D$2:$D$5000,0)),"SĐT chưa đăng ký hội viên; ","")&amp;IF(AND($L1685="Đã chuyển khoản",$M1685=""),"Thiếu ngày nhận CK; ",""))</f>
        <v/>
      </c>
      <c r="T1685" s="24" t="n"/>
    </row>
    <row r="1686" ht="14.25" customHeight="1" s="40">
      <c r="A1686" s="24" t="n"/>
      <c r="B1686" s="29" t="n"/>
      <c r="C1686" s="28" t="n"/>
      <c r="D1686" s="22">
        <f t="array" ref="D1686">IF($C1686="","",IFERROR(INDEX(DATA_MASTER!$C$2:$C$5000,MATCH($C1686,DATA_MASTER!$D$2:$D$5000,0)),""))</f>
        <v/>
      </c>
      <c r="E1686" s="22">
        <f t="array" ref="E1686">IF($C1686="","",IFERROR(INDEX(DATA_MASTER!$I$2:$I$5000,MATCH($C1686,DATA_MASTER!$D$2:$D$5000,0)),""))</f>
        <v/>
      </c>
      <c r="F1686" s="22">
        <f t="array" ref="F1686">IF($C1686="","",IFERROR(INDEX(DATA_MASTER!$L$2:$L$5000,MATCH($C1686,DATA_MASTER!$D$2:$D$5000,0)),""))</f>
        <v/>
      </c>
      <c r="G1686" s="24" t="n"/>
      <c r="H1686" s="24" t="n"/>
      <c r="I1686" s="30" t="n"/>
      <c r="J1686" s="23">
        <f>IF(OR($H1686="",$I1686=""),"",$H1686*$I1686)</f>
        <v/>
      </c>
      <c r="K1686" s="24" t="n"/>
      <c r="L1686" s="24" t="n"/>
      <c r="M1686" s="29" t="n"/>
      <c r="N1686" s="28" t="n"/>
      <c r="O1686" s="24" t="n"/>
      <c r="P1686" s="24" t="n"/>
      <c r="Q1686" s="24" t="n"/>
      <c r="R1686" s="24" t="n"/>
      <c r="S1686" s="22">
        <f>IF(AND($A1686="",$C1686=""),"",IF($A1686="","Thiếu mã đơn; ","")&amp;IF(COUNTIF($A$2:$A1686,$A1686)&gt;1,"Trùng mã đơn; ","")&amp;IF(ISNA(MATCH($C1686,DATA_MASTER!$D$2:$D$5000,0)),"SĐT chưa đăng ký hội viên; ","")&amp;IF(AND($L1686="Đã chuyển khoản",$M1686=""),"Thiếu ngày nhận CK; ",""))</f>
        <v/>
      </c>
      <c r="T1686" s="24" t="n"/>
    </row>
    <row r="1687" ht="14.25" customHeight="1" s="40">
      <c r="A1687" s="24" t="n"/>
      <c r="B1687" s="29" t="n"/>
      <c r="C1687" s="28" t="n"/>
      <c r="D1687" s="22">
        <f t="array" ref="D1687">IF($C1687="","",IFERROR(INDEX(DATA_MASTER!$C$2:$C$5000,MATCH($C1687,DATA_MASTER!$D$2:$D$5000,0)),""))</f>
        <v/>
      </c>
      <c r="E1687" s="22">
        <f t="array" ref="E1687">IF($C1687="","",IFERROR(INDEX(DATA_MASTER!$I$2:$I$5000,MATCH($C1687,DATA_MASTER!$D$2:$D$5000,0)),""))</f>
        <v/>
      </c>
      <c r="F1687" s="22">
        <f t="array" ref="F1687">IF($C1687="","",IFERROR(INDEX(DATA_MASTER!$L$2:$L$5000,MATCH($C1687,DATA_MASTER!$D$2:$D$5000,0)),""))</f>
        <v/>
      </c>
      <c r="G1687" s="24" t="n"/>
      <c r="H1687" s="24" t="n"/>
      <c r="I1687" s="30" t="n"/>
      <c r="J1687" s="23">
        <f>IF(OR($H1687="",$I1687=""),"",$H1687*$I1687)</f>
        <v/>
      </c>
      <c r="K1687" s="24" t="n"/>
      <c r="L1687" s="24" t="n"/>
      <c r="M1687" s="29" t="n"/>
      <c r="N1687" s="28" t="n"/>
      <c r="O1687" s="24" t="n"/>
      <c r="P1687" s="24" t="n"/>
      <c r="Q1687" s="24" t="n"/>
      <c r="R1687" s="24" t="n"/>
      <c r="S1687" s="22">
        <f>IF(AND($A1687="",$C1687=""),"",IF($A1687="","Thiếu mã đơn; ","")&amp;IF(COUNTIF($A$2:$A1687,$A1687)&gt;1,"Trùng mã đơn; ","")&amp;IF(ISNA(MATCH($C1687,DATA_MASTER!$D$2:$D$5000,0)),"SĐT chưa đăng ký hội viên; ","")&amp;IF(AND($L1687="Đã chuyển khoản",$M1687=""),"Thiếu ngày nhận CK; ",""))</f>
        <v/>
      </c>
      <c r="T1687" s="24" t="n"/>
    </row>
    <row r="1688" ht="14.25" customHeight="1" s="40">
      <c r="A1688" s="24" t="n"/>
      <c r="B1688" s="29" t="n"/>
      <c r="C1688" s="28" t="n"/>
      <c r="D1688" s="22">
        <f t="array" ref="D1688">IF($C1688="","",IFERROR(INDEX(DATA_MASTER!$C$2:$C$5000,MATCH($C1688,DATA_MASTER!$D$2:$D$5000,0)),""))</f>
        <v/>
      </c>
      <c r="E1688" s="22">
        <f t="array" ref="E1688">IF($C1688="","",IFERROR(INDEX(DATA_MASTER!$I$2:$I$5000,MATCH($C1688,DATA_MASTER!$D$2:$D$5000,0)),""))</f>
        <v/>
      </c>
      <c r="F1688" s="22">
        <f t="array" ref="F1688">IF($C1688="","",IFERROR(INDEX(DATA_MASTER!$L$2:$L$5000,MATCH($C1688,DATA_MASTER!$D$2:$D$5000,0)),""))</f>
        <v/>
      </c>
      <c r="G1688" s="24" t="n"/>
      <c r="H1688" s="24" t="n"/>
      <c r="I1688" s="30" t="n"/>
      <c r="J1688" s="23">
        <f>IF(OR($H1688="",$I1688=""),"",$H1688*$I1688)</f>
        <v/>
      </c>
      <c r="K1688" s="24" t="n"/>
      <c r="L1688" s="24" t="n"/>
      <c r="M1688" s="29" t="n"/>
      <c r="N1688" s="28" t="n"/>
      <c r="O1688" s="24" t="n"/>
      <c r="P1688" s="24" t="n"/>
      <c r="Q1688" s="24" t="n"/>
      <c r="R1688" s="24" t="n"/>
      <c r="S1688" s="22">
        <f>IF(AND($A1688="",$C1688=""),"",IF($A1688="","Thiếu mã đơn; ","")&amp;IF(COUNTIF($A$2:$A1688,$A1688)&gt;1,"Trùng mã đơn; ","")&amp;IF(ISNA(MATCH($C1688,DATA_MASTER!$D$2:$D$5000,0)),"SĐT chưa đăng ký hội viên; ","")&amp;IF(AND($L1688="Đã chuyển khoản",$M1688=""),"Thiếu ngày nhận CK; ",""))</f>
        <v/>
      </c>
      <c r="T1688" s="24" t="n"/>
    </row>
    <row r="1689" ht="14.25" customHeight="1" s="40">
      <c r="A1689" s="24" t="n"/>
      <c r="B1689" s="29" t="n"/>
      <c r="C1689" s="28" t="n"/>
      <c r="D1689" s="22">
        <f t="array" ref="D1689">IF($C1689="","",IFERROR(INDEX(DATA_MASTER!$C$2:$C$5000,MATCH($C1689,DATA_MASTER!$D$2:$D$5000,0)),""))</f>
        <v/>
      </c>
      <c r="E1689" s="22">
        <f t="array" ref="E1689">IF($C1689="","",IFERROR(INDEX(DATA_MASTER!$I$2:$I$5000,MATCH($C1689,DATA_MASTER!$D$2:$D$5000,0)),""))</f>
        <v/>
      </c>
      <c r="F1689" s="22">
        <f t="array" ref="F1689">IF($C1689="","",IFERROR(INDEX(DATA_MASTER!$L$2:$L$5000,MATCH($C1689,DATA_MASTER!$D$2:$D$5000,0)),""))</f>
        <v/>
      </c>
      <c r="G1689" s="24" t="n"/>
      <c r="H1689" s="24" t="n"/>
      <c r="I1689" s="30" t="n"/>
      <c r="J1689" s="23">
        <f>IF(OR($H1689="",$I1689=""),"",$H1689*$I1689)</f>
        <v/>
      </c>
      <c r="K1689" s="24" t="n"/>
      <c r="L1689" s="24" t="n"/>
      <c r="M1689" s="29" t="n"/>
      <c r="N1689" s="28" t="n"/>
      <c r="O1689" s="24" t="n"/>
      <c r="P1689" s="24" t="n"/>
      <c r="Q1689" s="24" t="n"/>
      <c r="R1689" s="24" t="n"/>
      <c r="S1689" s="22">
        <f>IF(AND($A1689="",$C1689=""),"",IF($A1689="","Thiếu mã đơn; ","")&amp;IF(COUNTIF($A$2:$A1689,$A1689)&gt;1,"Trùng mã đơn; ","")&amp;IF(ISNA(MATCH($C1689,DATA_MASTER!$D$2:$D$5000,0)),"SĐT chưa đăng ký hội viên; ","")&amp;IF(AND($L1689="Đã chuyển khoản",$M1689=""),"Thiếu ngày nhận CK; ",""))</f>
        <v/>
      </c>
      <c r="T1689" s="24" t="n"/>
    </row>
    <row r="1690" ht="14.25" customHeight="1" s="40">
      <c r="A1690" s="24" t="n"/>
      <c r="B1690" s="29" t="n"/>
      <c r="C1690" s="28" t="n"/>
      <c r="D1690" s="22">
        <f t="array" ref="D1690">IF($C1690="","",IFERROR(INDEX(DATA_MASTER!$C$2:$C$5000,MATCH($C1690,DATA_MASTER!$D$2:$D$5000,0)),""))</f>
        <v/>
      </c>
      <c r="E1690" s="22">
        <f t="array" ref="E1690">IF($C1690="","",IFERROR(INDEX(DATA_MASTER!$I$2:$I$5000,MATCH($C1690,DATA_MASTER!$D$2:$D$5000,0)),""))</f>
        <v/>
      </c>
      <c r="F1690" s="22">
        <f t="array" ref="F1690">IF($C1690="","",IFERROR(INDEX(DATA_MASTER!$L$2:$L$5000,MATCH($C1690,DATA_MASTER!$D$2:$D$5000,0)),""))</f>
        <v/>
      </c>
      <c r="G1690" s="24" t="n"/>
      <c r="H1690" s="24" t="n"/>
      <c r="I1690" s="30" t="n"/>
      <c r="J1690" s="23">
        <f>IF(OR($H1690="",$I1690=""),"",$H1690*$I1690)</f>
        <v/>
      </c>
      <c r="K1690" s="24" t="n"/>
      <c r="L1690" s="24" t="n"/>
      <c r="M1690" s="29" t="n"/>
      <c r="N1690" s="28" t="n"/>
      <c r="O1690" s="24" t="n"/>
      <c r="P1690" s="24" t="n"/>
      <c r="Q1690" s="24" t="n"/>
      <c r="R1690" s="24" t="n"/>
      <c r="S1690" s="22">
        <f>IF(AND($A1690="",$C1690=""),"",IF($A1690="","Thiếu mã đơn; ","")&amp;IF(COUNTIF($A$2:$A1690,$A1690)&gt;1,"Trùng mã đơn; ","")&amp;IF(ISNA(MATCH($C1690,DATA_MASTER!$D$2:$D$5000,0)),"SĐT chưa đăng ký hội viên; ","")&amp;IF(AND($L1690="Đã chuyển khoản",$M1690=""),"Thiếu ngày nhận CK; ",""))</f>
        <v/>
      </c>
      <c r="T1690" s="24" t="n"/>
    </row>
    <row r="1691" ht="14.25" customHeight="1" s="40">
      <c r="A1691" s="24" t="n"/>
      <c r="B1691" s="29" t="n"/>
      <c r="C1691" s="28" t="n"/>
      <c r="D1691" s="22">
        <f t="array" ref="D1691">IF($C1691="","",IFERROR(INDEX(DATA_MASTER!$C$2:$C$5000,MATCH($C1691,DATA_MASTER!$D$2:$D$5000,0)),""))</f>
        <v/>
      </c>
      <c r="E1691" s="22">
        <f t="array" ref="E1691">IF($C1691="","",IFERROR(INDEX(DATA_MASTER!$I$2:$I$5000,MATCH($C1691,DATA_MASTER!$D$2:$D$5000,0)),""))</f>
        <v/>
      </c>
      <c r="F1691" s="22">
        <f t="array" ref="F1691">IF($C1691="","",IFERROR(INDEX(DATA_MASTER!$L$2:$L$5000,MATCH($C1691,DATA_MASTER!$D$2:$D$5000,0)),""))</f>
        <v/>
      </c>
      <c r="G1691" s="24" t="n"/>
      <c r="H1691" s="24" t="n"/>
      <c r="I1691" s="30" t="n"/>
      <c r="J1691" s="23">
        <f>IF(OR($H1691="",$I1691=""),"",$H1691*$I1691)</f>
        <v/>
      </c>
      <c r="K1691" s="24" t="n"/>
      <c r="L1691" s="24" t="n"/>
      <c r="M1691" s="29" t="n"/>
      <c r="N1691" s="28" t="n"/>
      <c r="O1691" s="24" t="n"/>
      <c r="P1691" s="24" t="n"/>
      <c r="Q1691" s="24" t="n"/>
      <c r="R1691" s="24" t="n"/>
      <c r="S1691" s="22">
        <f>IF(AND($A1691="",$C1691=""),"",IF($A1691="","Thiếu mã đơn; ","")&amp;IF(COUNTIF($A$2:$A1691,$A1691)&gt;1,"Trùng mã đơn; ","")&amp;IF(ISNA(MATCH($C1691,DATA_MASTER!$D$2:$D$5000,0)),"SĐT chưa đăng ký hội viên; ","")&amp;IF(AND($L1691="Đã chuyển khoản",$M1691=""),"Thiếu ngày nhận CK; ",""))</f>
        <v/>
      </c>
      <c r="T1691" s="24" t="n"/>
    </row>
    <row r="1692" ht="14.25" customHeight="1" s="40">
      <c r="A1692" s="24" t="n"/>
      <c r="B1692" s="29" t="n"/>
      <c r="C1692" s="28" t="n"/>
      <c r="D1692" s="22">
        <f t="array" ref="D1692">IF($C1692="","",IFERROR(INDEX(DATA_MASTER!$C$2:$C$5000,MATCH($C1692,DATA_MASTER!$D$2:$D$5000,0)),""))</f>
        <v/>
      </c>
      <c r="E1692" s="22">
        <f t="array" ref="E1692">IF($C1692="","",IFERROR(INDEX(DATA_MASTER!$I$2:$I$5000,MATCH($C1692,DATA_MASTER!$D$2:$D$5000,0)),""))</f>
        <v/>
      </c>
      <c r="F1692" s="22">
        <f t="array" ref="F1692">IF($C1692="","",IFERROR(INDEX(DATA_MASTER!$L$2:$L$5000,MATCH($C1692,DATA_MASTER!$D$2:$D$5000,0)),""))</f>
        <v/>
      </c>
      <c r="G1692" s="24" t="n"/>
      <c r="H1692" s="24" t="n"/>
      <c r="I1692" s="30" t="n"/>
      <c r="J1692" s="23">
        <f>IF(OR($H1692="",$I1692=""),"",$H1692*$I1692)</f>
        <v/>
      </c>
      <c r="K1692" s="24" t="n"/>
      <c r="L1692" s="24" t="n"/>
      <c r="M1692" s="29" t="n"/>
      <c r="N1692" s="28" t="n"/>
      <c r="O1692" s="24" t="n"/>
      <c r="P1692" s="24" t="n"/>
      <c r="Q1692" s="24" t="n"/>
      <c r="R1692" s="24" t="n"/>
      <c r="S1692" s="22">
        <f>IF(AND($A1692="",$C1692=""),"",IF($A1692="","Thiếu mã đơn; ","")&amp;IF(COUNTIF($A$2:$A1692,$A1692)&gt;1,"Trùng mã đơn; ","")&amp;IF(ISNA(MATCH($C1692,DATA_MASTER!$D$2:$D$5000,0)),"SĐT chưa đăng ký hội viên; ","")&amp;IF(AND($L1692="Đã chuyển khoản",$M1692=""),"Thiếu ngày nhận CK; ",""))</f>
        <v/>
      </c>
      <c r="T1692" s="24" t="n"/>
    </row>
    <row r="1693" ht="14.25" customHeight="1" s="40">
      <c r="A1693" s="24" t="n"/>
      <c r="B1693" s="29" t="n"/>
      <c r="C1693" s="28" t="n"/>
      <c r="D1693" s="22">
        <f t="array" ref="D1693">IF($C1693="","",IFERROR(INDEX(DATA_MASTER!$C$2:$C$5000,MATCH($C1693,DATA_MASTER!$D$2:$D$5000,0)),""))</f>
        <v/>
      </c>
      <c r="E1693" s="22">
        <f t="array" ref="E1693">IF($C1693="","",IFERROR(INDEX(DATA_MASTER!$I$2:$I$5000,MATCH($C1693,DATA_MASTER!$D$2:$D$5000,0)),""))</f>
        <v/>
      </c>
      <c r="F1693" s="22">
        <f t="array" ref="F1693">IF($C1693="","",IFERROR(INDEX(DATA_MASTER!$L$2:$L$5000,MATCH($C1693,DATA_MASTER!$D$2:$D$5000,0)),""))</f>
        <v/>
      </c>
      <c r="G1693" s="24" t="n"/>
      <c r="H1693" s="24" t="n"/>
      <c r="I1693" s="30" t="n"/>
      <c r="J1693" s="23">
        <f>IF(OR($H1693="",$I1693=""),"",$H1693*$I1693)</f>
        <v/>
      </c>
      <c r="K1693" s="24" t="n"/>
      <c r="L1693" s="24" t="n"/>
      <c r="M1693" s="29" t="n"/>
      <c r="N1693" s="28" t="n"/>
      <c r="O1693" s="24" t="n"/>
      <c r="P1693" s="24" t="n"/>
      <c r="Q1693" s="24" t="n"/>
      <c r="R1693" s="24" t="n"/>
      <c r="S1693" s="22">
        <f>IF(AND($A1693="",$C1693=""),"",IF($A1693="","Thiếu mã đơn; ","")&amp;IF(COUNTIF($A$2:$A1693,$A1693)&gt;1,"Trùng mã đơn; ","")&amp;IF(ISNA(MATCH($C1693,DATA_MASTER!$D$2:$D$5000,0)),"SĐT chưa đăng ký hội viên; ","")&amp;IF(AND($L1693="Đã chuyển khoản",$M1693=""),"Thiếu ngày nhận CK; ",""))</f>
        <v/>
      </c>
      <c r="T1693" s="24" t="n"/>
    </row>
    <row r="1694" ht="14.25" customHeight="1" s="40">
      <c r="A1694" s="24" t="n"/>
      <c r="B1694" s="29" t="n"/>
      <c r="C1694" s="28" t="n"/>
      <c r="D1694" s="22">
        <f t="array" ref="D1694">IF($C1694="","",IFERROR(INDEX(DATA_MASTER!$C$2:$C$5000,MATCH($C1694,DATA_MASTER!$D$2:$D$5000,0)),""))</f>
        <v/>
      </c>
      <c r="E1694" s="22">
        <f t="array" ref="E1694">IF($C1694="","",IFERROR(INDEX(DATA_MASTER!$I$2:$I$5000,MATCH($C1694,DATA_MASTER!$D$2:$D$5000,0)),""))</f>
        <v/>
      </c>
      <c r="F1694" s="22">
        <f t="array" ref="F1694">IF($C1694="","",IFERROR(INDEX(DATA_MASTER!$L$2:$L$5000,MATCH($C1694,DATA_MASTER!$D$2:$D$5000,0)),""))</f>
        <v/>
      </c>
      <c r="G1694" s="24" t="n"/>
      <c r="H1694" s="24" t="n"/>
      <c r="I1694" s="30" t="n"/>
      <c r="J1694" s="23">
        <f>IF(OR($H1694="",$I1694=""),"",$H1694*$I1694)</f>
        <v/>
      </c>
      <c r="K1694" s="24" t="n"/>
      <c r="L1694" s="24" t="n"/>
      <c r="M1694" s="29" t="n"/>
      <c r="N1694" s="28" t="n"/>
      <c r="O1694" s="24" t="n"/>
      <c r="P1694" s="24" t="n"/>
      <c r="Q1694" s="24" t="n"/>
      <c r="R1694" s="24" t="n"/>
      <c r="S1694" s="22">
        <f>IF(AND($A1694="",$C1694=""),"",IF($A1694="","Thiếu mã đơn; ","")&amp;IF(COUNTIF($A$2:$A1694,$A1694)&gt;1,"Trùng mã đơn; ","")&amp;IF(ISNA(MATCH($C1694,DATA_MASTER!$D$2:$D$5000,0)),"SĐT chưa đăng ký hội viên; ","")&amp;IF(AND($L1694="Đã chuyển khoản",$M1694=""),"Thiếu ngày nhận CK; ",""))</f>
        <v/>
      </c>
      <c r="T1694" s="24" t="n"/>
    </row>
    <row r="1695" ht="14.25" customHeight="1" s="40">
      <c r="A1695" s="24" t="n"/>
      <c r="B1695" s="29" t="n"/>
      <c r="C1695" s="28" t="n"/>
      <c r="D1695" s="22">
        <f t="array" ref="D1695">IF($C1695="","",IFERROR(INDEX(DATA_MASTER!$C$2:$C$5000,MATCH($C1695,DATA_MASTER!$D$2:$D$5000,0)),""))</f>
        <v/>
      </c>
      <c r="E1695" s="22">
        <f t="array" ref="E1695">IF($C1695="","",IFERROR(INDEX(DATA_MASTER!$I$2:$I$5000,MATCH($C1695,DATA_MASTER!$D$2:$D$5000,0)),""))</f>
        <v/>
      </c>
      <c r="F1695" s="22">
        <f t="array" ref="F1695">IF($C1695="","",IFERROR(INDEX(DATA_MASTER!$L$2:$L$5000,MATCH($C1695,DATA_MASTER!$D$2:$D$5000,0)),""))</f>
        <v/>
      </c>
      <c r="G1695" s="24" t="n"/>
      <c r="H1695" s="24" t="n"/>
      <c r="I1695" s="30" t="n"/>
      <c r="J1695" s="23">
        <f>IF(OR($H1695="",$I1695=""),"",$H1695*$I1695)</f>
        <v/>
      </c>
      <c r="K1695" s="24" t="n"/>
      <c r="L1695" s="24" t="n"/>
      <c r="M1695" s="29" t="n"/>
      <c r="N1695" s="28" t="n"/>
      <c r="O1695" s="24" t="n"/>
      <c r="P1695" s="24" t="n"/>
      <c r="Q1695" s="24" t="n"/>
      <c r="R1695" s="24" t="n"/>
      <c r="S1695" s="22">
        <f>IF(AND($A1695="",$C1695=""),"",IF($A1695="","Thiếu mã đơn; ","")&amp;IF(COUNTIF($A$2:$A1695,$A1695)&gt;1,"Trùng mã đơn; ","")&amp;IF(ISNA(MATCH($C1695,DATA_MASTER!$D$2:$D$5000,0)),"SĐT chưa đăng ký hội viên; ","")&amp;IF(AND($L1695="Đã chuyển khoản",$M1695=""),"Thiếu ngày nhận CK; ",""))</f>
        <v/>
      </c>
      <c r="T1695" s="24" t="n"/>
    </row>
    <row r="1696" ht="14.25" customHeight="1" s="40">
      <c r="A1696" s="24" t="n"/>
      <c r="B1696" s="29" t="n"/>
      <c r="C1696" s="28" t="n"/>
      <c r="D1696" s="22">
        <f t="array" ref="D1696">IF($C1696="","",IFERROR(INDEX(DATA_MASTER!$C$2:$C$5000,MATCH($C1696,DATA_MASTER!$D$2:$D$5000,0)),""))</f>
        <v/>
      </c>
      <c r="E1696" s="22">
        <f t="array" ref="E1696">IF($C1696="","",IFERROR(INDEX(DATA_MASTER!$I$2:$I$5000,MATCH($C1696,DATA_MASTER!$D$2:$D$5000,0)),""))</f>
        <v/>
      </c>
      <c r="F1696" s="22">
        <f t="array" ref="F1696">IF($C1696="","",IFERROR(INDEX(DATA_MASTER!$L$2:$L$5000,MATCH($C1696,DATA_MASTER!$D$2:$D$5000,0)),""))</f>
        <v/>
      </c>
      <c r="G1696" s="24" t="n"/>
      <c r="H1696" s="24" t="n"/>
      <c r="I1696" s="30" t="n"/>
      <c r="J1696" s="23">
        <f>IF(OR($H1696="",$I1696=""),"",$H1696*$I1696)</f>
        <v/>
      </c>
      <c r="K1696" s="24" t="n"/>
      <c r="L1696" s="24" t="n"/>
      <c r="M1696" s="29" t="n"/>
      <c r="N1696" s="28" t="n"/>
      <c r="O1696" s="24" t="n"/>
      <c r="P1696" s="24" t="n"/>
      <c r="Q1696" s="24" t="n"/>
      <c r="R1696" s="24" t="n"/>
      <c r="S1696" s="22">
        <f>IF(AND($A1696="",$C1696=""),"",IF($A1696="","Thiếu mã đơn; ","")&amp;IF(COUNTIF($A$2:$A1696,$A1696)&gt;1,"Trùng mã đơn; ","")&amp;IF(ISNA(MATCH($C1696,DATA_MASTER!$D$2:$D$5000,0)),"SĐT chưa đăng ký hội viên; ","")&amp;IF(AND($L1696="Đã chuyển khoản",$M1696=""),"Thiếu ngày nhận CK; ",""))</f>
        <v/>
      </c>
      <c r="T1696" s="24" t="n"/>
    </row>
    <row r="1697" ht="14.25" customHeight="1" s="40">
      <c r="A1697" s="24" t="n"/>
      <c r="B1697" s="29" t="n"/>
      <c r="C1697" s="28" t="n"/>
      <c r="D1697" s="22">
        <f t="array" ref="D1697">IF($C1697="","",IFERROR(INDEX(DATA_MASTER!$C$2:$C$5000,MATCH($C1697,DATA_MASTER!$D$2:$D$5000,0)),""))</f>
        <v/>
      </c>
      <c r="E1697" s="22">
        <f t="array" ref="E1697">IF($C1697="","",IFERROR(INDEX(DATA_MASTER!$I$2:$I$5000,MATCH($C1697,DATA_MASTER!$D$2:$D$5000,0)),""))</f>
        <v/>
      </c>
      <c r="F1697" s="22">
        <f t="array" ref="F1697">IF($C1697="","",IFERROR(INDEX(DATA_MASTER!$L$2:$L$5000,MATCH($C1697,DATA_MASTER!$D$2:$D$5000,0)),""))</f>
        <v/>
      </c>
      <c r="G1697" s="24" t="n"/>
      <c r="H1697" s="24" t="n"/>
      <c r="I1697" s="30" t="n"/>
      <c r="J1697" s="23">
        <f>IF(OR($H1697="",$I1697=""),"",$H1697*$I1697)</f>
        <v/>
      </c>
      <c r="K1697" s="24" t="n"/>
      <c r="L1697" s="24" t="n"/>
      <c r="M1697" s="29" t="n"/>
      <c r="N1697" s="28" t="n"/>
      <c r="O1697" s="24" t="n"/>
      <c r="P1697" s="24" t="n"/>
      <c r="Q1697" s="24" t="n"/>
      <c r="R1697" s="24" t="n"/>
      <c r="S1697" s="22">
        <f>IF(AND($A1697="",$C1697=""),"",IF($A1697="","Thiếu mã đơn; ","")&amp;IF(COUNTIF($A$2:$A1697,$A1697)&gt;1,"Trùng mã đơn; ","")&amp;IF(ISNA(MATCH($C1697,DATA_MASTER!$D$2:$D$5000,0)),"SĐT chưa đăng ký hội viên; ","")&amp;IF(AND($L1697="Đã chuyển khoản",$M1697=""),"Thiếu ngày nhận CK; ",""))</f>
        <v/>
      </c>
      <c r="T1697" s="24" t="n"/>
    </row>
    <row r="1698" ht="14.25" customHeight="1" s="40">
      <c r="A1698" s="24" t="n"/>
      <c r="B1698" s="29" t="n"/>
      <c r="C1698" s="28" t="n"/>
      <c r="D1698" s="22">
        <f t="array" ref="D1698">IF($C1698="","",IFERROR(INDEX(DATA_MASTER!$C$2:$C$5000,MATCH($C1698,DATA_MASTER!$D$2:$D$5000,0)),""))</f>
        <v/>
      </c>
      <c r="E1698" s="22">
        <f t="array" ref="E1698">IF($C1698="","",IFERROR(INDEX(DATA_MASTER!$I$2:$I$5000,MATCH($C1698,DATA_MASTER!$D$2:$D$5000,0)),""))</f>
        <v/>
      </c>
      <c r="F1698" s="22">
        <f t="array" ref="F1698">IF($C1698="","",IFERROR(INDEX(DATA_MASTER!$L$2:$L$5000,MATCH($C1698,DATA_MASTER!$D$2:$D$5000,0)),""))</f>
        <v/>
      </c>
      <c r="G1698" s="24" t="n"/>
      <c r="H1698" s="24" t="n"/>
      <c r="I1698" s="30" t="n"/>
      <c r="J1698" s="23">
        <f>IF(OR($H1698="",$I1698=""),"",$H1698*$I1698)</f>
        <v/>
      </c>
      <c r="K1698" s="24" t="n"/>
      <c r="L1698" s="24" t="n"/>
      <c r="M1698" s="29" t="n"/>
      <c r="N1698" s="28" t="n"/>
      <c r="O1698" s="24" t="n"/>
      <c r="P1698" s="24" t="n"/>
      <c r="Q1698" s="24" t="n"/>
      <c r="R1698" s="24" t="n"/>
      <c r="S1698" s="22">
        <f>IF(AND($A1698="",$C1698=""),"",IF($A1698="","Thiếu mã đơn; ","")&amp;IF(COUNTIF($A$2:$A1698,$A1698)&gt;1,"Trùng mã đơn; ","")&amp;IF(ISNA(MATCH($C1698,DATA_MASTER!$D$2:$D$5000,0)),"SĐT chưa đăng ký hội viên; ","")&amp;IF(AND($L1698="Đã chuyển khoản",$M1698=""),"Thiếu ngày nhận CK; ",""))</f>
        <v/>
      </c>
      <c r="T1698" s="24" t="n"/>
    </row>
    <row r="1699" ht="14.25" customHeight="1" s="40">
      <c r="A1699" s="24" t="n"/>
      <c r="B1699" s="29" t="n"/>
      <c r="C1699" s="28" t="n"/>
      <c r="D1699" s="22">
        <f t="array" ref="D1699">IF($C1699="","",IFERROR(INDEX(DATA_MASTER!$C$2:$C$5000,MATCH($C1699,DATA_MASTER!$D$2:$D$5000,0)),""))</f>
        <v/>
      </c>
      <c r="E1699" s="22">
        <f t="array" ref="E1699">IF($C1699="","",IFERROR(INDEX(DATA_MASTER!$I$2:$I$5000,MATCH($C1699,DATA_MASTER!$D$2:$D$5000,0)),""))</f>
        <v/>
      </c>
      <c r="F1699" s="22">
        <f t="array" ref="F1699">IF($C1699="","",IFERROR(INDEX(DATA_MASTER!$L$2:$L$5000,MATCH($C1699,DATA_MASTER!$D$2:$D$5000,0)),""))</f>
        <v/>
      </c>
      <c r="G1699" s="24" t="n"/>
      <c r="H1699" s="24" t="n"/>
      <c r="I1699" s="30" t="n"/>
      <c r="J1699" s="23">
        <f>IF(OR($H1699="",$I1699=""),"",$H1699*$I1699)</f>
        <v/>
      </c>
      <c r="K1699" s="24" t="n"/>
      <c r="L1699" s="24" t="n"/>
      <c r="M1699" s="29" t="n"/>
      <c r="N1699" s="28" t="n"/>
      <c r="O1699" s="24" t="n"/>
      <c r="P1699" s="24" t="n"/>
      <c r="Q1699" s="24" t="n"/>
      <c r="R1699" s="24" t="n"/>
      <c r="S1699" s="22">
        <f>IF(AND($A1699="",$C1699=""),"",IF($A1699="","Thiếu mã đơn; ","")&amp;IF(COUNTIF($A$2:$A1699,$A1699)&gt;1,"Trùng mã đơn; ","")&amp;IF(ISNA(MATCH($C1699,DATA_MASTER!$D$2:$D$5000,0)),"SĐT chưa đăng ký hội viên; ","")&amp;IF(AND($L1699="Đã chuyển khoản",$M1699=""),"Thiếu ngày nhận CK; ",""))</f>
        <v/>
      </c>
      <c r="T1699" s="24" t="n"/>
    </row>
    <row r="1700" ht="14.25" customHeight="1" s="40">
      <c r="A1700" s="24" t="n"/>
      <c r="B1700" s="29" t="n"/>
      <c r="C1700" s="28" t="n"/>
      <c r="D1700" s="22">
        <f t="array" ref="D1700">IF($C1700="","",IFERROR(INDEX(DATA_MASTER!$C$2:$C$5000,MATCH($C1700,DATA_MASTER!$D$2:$D$5000,0)),""))</f>
        <v/>
      </c>
      <c r="E1700" s="22">
        <f t="array" ref="E1700">IF($C1700="","",IFERROR(INDEX(DATA_MASTER!$I$2:$I$5000,MATCH($C1700,DATA_MASTER!$D$2:$D$5000,0)),""))</f>
        <v/>
      </c>
      <c r="F1700" s="22">
        <f t="array" ref="F1700">IF($C1700="","",IFERROR(INDEX(DATA_MASTER!$L$2:$L$5000,MATCH($C1700,DATA_MASTER!$D$2:$D$5000,0)),""))</f>
        <v/>
      </c>
      <c r="G1700" s="24" t="n"/>
      <c r="H1700" s="24" t="n"/>
      <c r="I1700" s="30" t="n"/>
      <c r="J1700" s="23">
        <f>IF(OR($H1700="",$I1700=""),"",$H1700*$I1700)</f>
        <v/>
      </c>
      <c r="K1700" s="24" t="n"/>
      <c r="L1700" s="24" t="n"/>
      <c r="M1700" s="29" t="n"/>
      <c r="N1700" s="28" t="n"/>
      <c r="O1700" s="24" t="n"/>
      <c r="P1700" s="24" t="n"/>
      <c r="Q1700" s="24" t="n"/>
      <c r="R1700" s="24" t="n"/>
      <c r="S1700" s="22">
        <f>IF(AND($A1700="",$C1700=""),"",IF($A1700="","Thiếu mã đơn; ","")&amp;IF(COUNTIF($A$2:$A1700,$A1700)&gt;1,"Trùng mã đơn; ","")&amp;IF(ISNA(MATCH($C1700,DATA_MASTER!$D$2:$D$5000,0)),"SĐT chưa đăng ký hội viên; ","")&amp;IF(AND($L1700="Đã chuyển khoản",$M1700=""),"Thiếu ngày nhận CK; ",""))</f>
        <v/>
      </c>
      <c r="T1700" s="24" t="n"/>
    </row>
    <row r="1701" ht="14.25" customHeight="1" s="40">
      <c r="A1701" s="24" t="n"/>
      <c r="B1701" s="29" t="n"/>
      <c r="C1701" s="28" t="n"/>
      <c r="D1701" s="22">
        <f t="array" ref="D1701">IF($C1701="","",IFERROR(INDEX(DATA_MASTER!$C$2:$C$5000,MATCH($C1701,DATA_MASTER!$D$2:$D$5000,0)),""))</f>
        <v/>
      </c>
      <c r="E1701" s="22">
        <f t="array" ref="E1701">IF($C1701="","",IFERROR(INDEX(DATA_MASTER!$I$2:$I$5000,MATCH($C1701,DATA_MASTER!$D$2:$D$5000,0)),""))</f>
        <v/>
      </c>
      <c r="F1701" s="22">
        <f t="array" ref="F1701">IF($C1701="","",IFERROR(INDEX(DATA_MASTER!$L$2:$L$5000,MATCH($C1701,DATA_MASTER!$D$2:$D$5000,0)),""))</f>
        <v/>
      </c>
      <c r="G1701" s="24" t="n"/>
      <c r="H1701" s="24" t="n"/>
      <c r="I1701" s="30" t="n"/>
      <c r="J1701" s="23">
        <f>IF(OR($H1701="",$I1701=""),"",$H1701*$I1701)</f>
        <v/>
      </c>
      <c r="K1701" s="24" t="n"/>
      <c r="L1701" s="24" t="n"/>
      <c r="M1701" s="29" t="n"/>
      <c r="N1701" s="28" t="n"/>
      <c r="O1701" s="24" t="n"/>
      <c r="P1701" s="24" t="n"/>
      <c r="Q1701" s="24" t="n"/>
      <c r="R1701" s="24" t="n"/>
      <c r="S1701" s="22">
        <f>IF(AND($A1701="",$C1701=""),"",IF($A1701="","Thiếu mã đơn; ","")&amp;IF(COUNTIF($A$2:$A1701,$A1701)&gt;1,"Trùng mã đơn; ","")&amp;IF(ISNA(MATCH($C1701,DATA_MASTER!$D$2:$D$5000,0)),"SĐT chưa đăng ký hội viên; ","")&amp;IF(AND($L1701="Đã chuyển khoản",$M1701=""),"Thiếu ngày nhận CK; ",""))</f>
        <v/>
      </c>
      <c r="T1701" s="24" t="n"/>
    </row>
    <row r="1702" ht="14.25" customHeight="1" s="40">
      <c r="A1702" s="24" t="n"/>
      <c r="B1702" s="29" t="n"/>
      <c r="C1702" s="28" t="n"/>
      <c r="D1702" s="22">
        <f t="array" ref="D1702">IF($C1702="","",IFERROR(INDEX(DATA_MASTER!$C$2:$C$5000,MATCH($C1702,DATA_MASTER!$D$2:$D$5000,0)),""))</f>
        <v/>
      </c>
      <c r="E1702" s="22">
        <f t="array" ref="E1702">IF($C1702="","",IFERROR(INDEX(DATA_MASTER!$I$2:$I$5000,MATCH($C1702,DATA_MASTER!$D$2:$D$5000,0)),""))</f>
        <v/>
      </c>
      <c r="F1702" s="22">
        <f t="array" ref="F1702">IF($C1702="","",IFERROR(INDEX(DATA_MASTER!$L$2:$L$5000,MATCH($C1702,DATA_MASTER!$D$2:$D$5000,0)),""))</f>
        <v/>
      </c>
      <c r="G1702" s="24" t="n"/>
      <c r="H1702" s="24" t="n"/>
      <c r="I1702" s="30" t="n"/>
      <c r="J1702" s="23">
        <f>IF(OR($H1702="",$I1702=""),"",$H1702*$I1702)</f>
        <v/>
      </c>
      <c r="K1702" s="24" t="n"/>
      <c r="L1702" s="24" t="n"/>
      <c r="M1702" s="29" t="n"/>
      <c r="N1702" s="28" t="n"/>
      <c r="O1702" s="24" t="n"/>
      <c r="P1702" s="24" t="n"/>
      <c r="Q1702" s="24" t="n"/>
      <c r="R1702" s="24" t="n"/>
      <c r="S1702" s="22">
        <f>IF(AND($A1702="",$C1702=""),"",IF($A1702="","Thiếu mã đơn; ","")&amp;IF(COUNTIF($A$2:$A1702,$A1702)&gt;1,"Trùng mã đơn; ","")&amp;IF(ISNA(MATCH($C1702,DATA_MASTER!$D$2:$D$5000,0)),"SĐT chưa đăng ký hội viên; ","")&amp;IF(AND($L1702="Đã chuyển khoản",$M1702=""),"Thiếu ngày nhận CK; ",""))</f>
        <v/>
      </c>
      <c r="T1702" s="24" t="n"/>
    </row>
    <row r="1703" ht="14.25" customHeight="1" s="40">
      <c r="A1703" s="24" t="n"/>
      <c r="B1703" s="29" t="n"/>
      <c r="C1703" s="28" t="n"/>
      <c r="D1703" s="22">
        <f t="array" ref="D1703">IF($C1703="","",IFERROR(INDEX(DATA_MASTER!$C$2:$C$5000,MATCH($C1703,DATA_MASTER!$D$2:$D$5000,0)),""))</f>
        <v/>
      </c>
      <c r="E1703" s="22">
        <f t="array" ref="E1703">IF($C1703="","",IFERROR(INDEX(DATA_MASTER!$I$2:$I$5000,MATCH($C1703,DATA_MASTER!$D$2:$D$5000,0)),""))</f>
        <v/>
      </c>
      <c r="F1703" s="22">
        <f t="array" ref="F1703">IF($C1703="","",IFERROR(INDEX(DATA_MASTER!$L$2:$L$5000,MATCH($C1703,DATA_MASTER!$D$2:$D$5000,0)),""))</f>
        <v/>
      </c>
      <c r="G1703" s="24" t="n"/>
      <c r="H1703" s="24" t="n"/>
      <c r="I1703" s="30" t="n"/>
      <c r="J1703" s="23">
        <f>IF(OR($H1703="",$I1703=""),"",$H1703*$I1703)</f>
        <v/>
      </c>
      <c r="K1703" s="24" t="n"/>
      <c r="L1703" s="24" t="n"/>
      <c r="M1703" s="29" t="n"/>
      <c r="N1703" s="28" t="n"/>
      <c r="O1703" s="24" t="n"/>
      <c r="P1703" s="24" t="n"/>
      <c r="Q1703" s="24" t="n"/>
      <c r="R1703" s="24" t="n"/>
      <c r="S1703" s="22">
        <f>IF(AND($A1703="",$C1703=""),"",IF($A1703="","Thiếu mã đơn; ","")&amp;IF(COUNTIF($A$2:$A1703,$A1703)&gt;1,"Trùng mã đơn; ","")&amp;IF(ISNA(MATCH($C1703,DATA_MASTER!$D$2:$D$5000,0)),"SĐT chưa đăng ký hội viên; ","")&amp;IF(AND($L1703="Đã chuyển khoản",$M1703=""),"Thiếu ngày nhận CK; ",""))</f>
        <v/>
      </c>
      <c r="T1703" s="24" t="n"/>
    </row>
    <row r="1704" ht="14.25" customHeight="1" s="40">
      <c r="A1704" s="24" t="n"/>
      <c r="B1704" s="29" t="n"/>
      <c r="C1704" s="28" t="n"/>
      <c r="D1704" s="22">
        <f t="array" ref="D1704">IF($C1704="","",IFERROR(INDEX(DATA_MASTER!$C$2:$C$5000,MATCH($C1704,DATA_MASTER!$D$2:$D$5000,0)),""))</f>
        <v/>
      </c>
      <c r="E1704" s="22">
        <f t="array" ref="E1704">IF($C1704="","",IFERROR(INDEX(DATA_MASTER!$I$2:$I$5000,MATCH($C1704,DATA_MASTER!$D$2:$D$5000,0)),""))</f>
        <v/>
      </c>
      <c r="F1704" s="22">
        <f t="array" ref="F1704">IF($C1704="","",IFERROR(INDEX(DATA_MASTER!$L$2:$L$5000,MATCH($C1704,DATA_MASTER!$D$2:$D$5000,0)),""))</f>
        <v/>
      </c>
      <c r="G1704" s="24" t="n"/>
      <c r="H1704" s="24" t="n"/>
      <c r="I1704" s="30" t="n"/>
      <c r="J1704" s="23">
        <f>IF(OR($H1704="",$I1704=""),"",$H1704*$I1704)</f>
        <v/>
      </c>
      <c r="K1704" s="24" t="n"/>
      <c r="L1704" s="24" t="n"/>
      <c r="M1704" s="29" t="n"/>
      <c r="N1704" s="28" t="n"/>
      <c r="O1704" s="24" t="n"/>
      <c r="P1704" s="24" t="n"/>
      <c r="Q1704" s="24" t="n"/>
      <c r="R1704" s="24" t="n"/>
      <c r="S1704" s="22">
        <f>IF(AND($A1704="",$C1704=""),"",IF($A1704="","Thiếu mã đơn; ","")&amp;IF(COUNTIF($A$2:$A1704,$A1704)&gt;1,"Trùng mã đơn; ","")&amp;IF(ISNA(MATCH($C1704,DATA_MASTER!$D$2:$D$5000,0)),"SĐT chưa đăng ký hội viên; ","")&amp;IF(AND($L1704="Đã chuyển khoản",$M1704=""),"Thiếu ngày nhận CK; ",""))</f>
        <v/>
      </c>
      <c r="T1704" s="24" t="n"/>
    </row>
    <row r="1705" ht="14.25" customHeight="1" s="40">
      <c r="A1705" s="24" t="n"/>
      <c r="B1705" s="29" t="n"/>
      <c r="C1705" s="28" t="n"/>
      <c r="D1705" s="22">
        <f t="array" ref="D1705">IF($C1705="","",IFERROR(INDEX(DATA_MASTER!$C$2:$C$5000,MATCH($C1705,DATA_MASTER!$D$2:$D$5000,0)),""))</f>
        <v/>
      </c>
      <c r="E1705" s="22">
        <f t="array" ref="E1705">IF($C1705="","",IFERROR(INDEX(DATA_MASTER!$I$2:$I$5000,MATCH($C1705,DATA_MASTER!$D$2:$D$5000,0)),""))</f>
        <v/>
      </c>
      <c r="F1705" s="22">
        <f t="array" ref="F1705">IF($C1705="","",IFERROR(INDEX(DATA_MASTER!$L$2:$L$5000,MATCH($C1705,DATA_MASTER!$D$2:$D$5000,0)),""))</f>
        <v/>
      </c>
      <c r="G1705" s="24" t="n"/>
      <c r="H1705" s="24" t="n"/>
      <c r="I1705" s="30" t="n"/>
      <c r="J1705" s="23">
        <f>IF(OR($H1705="",$I1705=""),"",$H1705*$I1705)</f>
        <v/>
      </c>
      <c r="K1705" s="24" t="n"/>
      <c r="L1705" s="24" t="n"/>
      <c r="M1705" s="29" t="n"/>
      <c r="N1705" s="28" t="n"/>
      <c r="O1705" s="24" t="n"/>
      <c r="P1705" s="24" t="n"/>
      <c r="Q1705" s="24" t="n"/>
      <c r="R1705" s="24" t="n"/>
      <c r="S1705" s="22">
        <f>IF(AND($A1705="",$C1705=""),"",IF($A1705="","Thiếu mã đơn; ","")&amp;IF(COUNTIF($A$2:$A1705,$A1705)&gt;1,"Trùng mã đơn; ","")&amp;IF(ISNA(MATCH($C1705,DATA_MASTER!$D$2:$D$5000,0)),"SĐT chưa đăng ký hội viên; ","")&amp;IF(AND($L1705="Đã chuyển khoản",$M1705=""),"Thiếu ngày nhận CK; ",""))</f>
        <v/>
      </c>
      <c r="T1705" s="24" t="n"/>
    </row>
    <row r="1706" ht="14.25" customHeight="1" s="40">
      <c r="A1706" s="24" t="n"/>
      <c r="B1706" s="29" t="n"/>
      <c r="C1706" s="28" t="n"/>
      <c r="D1706" s="22">
        <f t="array" ref="D1706">IF($C1706="","",IFERROR(INDEX(DATA_MASTER!$C$2:$C$5000,MATCH($C1706,DATA_MASTER!$D$2:$D$5000,0)),""))</f>
        <v/>
      </c>
      <c r="E1706" s="22">
        <f t="array" ref="E1706">IF($C1706="","",IFERROR(INDEX(DATA_MASTER!$I$2:$I$5000,MATCH($C1706,DATA_MASTER!$D$2:$D$5000,0)),""))</f>
        <v/>
      </c>
      <c r="F1706" s="22">
        <f t="array" ref="F1706">IF($C1706="","",IFERROR(INDEX(DATA_MASTER!$L$2:$L$5000,MATCH($C1706,DATA_MASTER!$D$2:$D$5000,0)),""))</f>
        <v/>
      </c>
      <c r="G1706" s="24" t="n"/>
      <c r="H1706" s="24" t="n"/>
      <c r="I1706" s="30" t="n"/>
      <c r="J1706" s="23">
        <f>IF(OR($H1706="",$I1706=""),"",$H1706*$I1706)</f>
        <v/>
      </c>
      <c r="K1706" s="24" t="n"/>
      <c r="L1706" s="24" t="n"/>
      <c r="M1706" s="29" t="n"/>
      <c r="N1706" s="28" t="n"/>
      <c r="O1706" s="24" t="n"/>
      <c r="P1706" s="24" t="n"/>
      <c r="Q1706" s="24" t="n"/>
      <c r="R1706" s="24" t="n"/>
      <c r="S1706" s="22">
        <f>IF(AND($A1706="",$C1706=""),"",IF($A1706="","Thiếu mã đơn; ","")&amp;IF(COUNTIF($A$2:$A1706,$A1706)&gt;1,"Trùng mã đơn; ","")&amp;IF(ISNA(MATCH($C1706,DATA_MASTER!$D$2:$D$5000,0)),"SĐT chưa đăng ký hội viên; ","")&amp;IF(AND($L1706="Đã chuyển khoản",$M1706=""),"Thiếu ngày nhận CK; ",""))</f>
        <v/>
      </c>
      <c r="T1706" s="24" t="n"/>
    </row>
    <row r="1707" ht="14.25" customHeight="1" s="40">
      <c r="A1707" s="24" t="n"/>
      <c r="B1707" s="29" t="n"/>
      <c r="C1707" s="28" t="n"/>
      <c r="D1707" s="22">
        <f t="array" ref="D1707">IF($C1707="","",IFERROR(INDEX(DATA_MASTER!$C$2:$C$5000,MATCH($C1707,DATA_MASTER!$D$2:$D$5000,0)),""))</f>
        <v/>
      </c>
      <c r="E1707" s="22">
        <f t="array" ref="E1707">IF($C1707="","",IFERROR(INDEX(DATA_MASTER!$I$2:$I$5000,MATCH($C1707,DATA_MASTER!$D$2:$D$5000,0)),""))</f>
        <v/>
      </c>
      <c r="F1707" s="22">
        <f t="array" ref="F1707">IF($C1707="","",IFERROR(INDEX(DATA_MASTER!$L$2:$L$5000,MATCH($C1707,DATA_MASTER!$D$2:$D$5000,0)),""))</f>
        <v/>
      </c>
      <c r="G1707" s="24" t="n"/>
      <c r="H1707" s="24" t="n"/>
      <c r="I1707" s="30" t="n"/>
      <c r="J1707" s="23">
        <f>IF(OR($H1707="",$I1707=""),"",$H1707*$I1707)</f>
        <v/>
      </c>
      <c r="K1707" s="24" t="n"/>
      <c r="L1707" s="24" t="n"/>
      <c r="M1707" s="29" t="n"/>
      <c r="N1707" s="28" t="n"/>
      <c r="O1707" s="24" t="n"/>
      <c r="P1707" s="24" t="n"/>
      <c r="Q1707" s="24" t="n"/>
      <c r="R1707" s="24" t="n"/>
      <c r="S1707" s="22">
        <f>IF(AND($A1707="",$C1707=""),"",IF($A1707="","Thiếu mã đơn; ","")&amp;IF(COUNTIF($A$2:$A1707,$A1707)&gt;1,"Trùng mã đơn; ","")&amp;IF(ISNA(MATCH($C1707,DATA_MASTER!$D$2:$D$5000,0)),"SĐT chưa đăng ký hội viên; ","")&amp;IF(AND($L1707="Đã chuyển khoản",$M1707=""),"Thiếu ngày nhận CK; ",""))</f>
        <v/>
      </c>
      <c r="T1707" s="24" t="n"/>
    </row>
    <row r="1708" ht="14.25" customHeight="1" s="40">
      <c r="A1708" s="24" t="n"/>
      <c r="B1708" s="29" t="n"/>
      <c r="C1708" s="28" t="n"/>
      <c r="D1708" s="22">
        <f t="array" ref="D1708">IF($C1708="","",IFERROR(INDEX(DATA_MASTER!$C$2:$C$5000,MATCH($C1708,DATA_MASTER!$D$2:$D$5000,0)),""))</f>
        <v/>
      </c>
      <c r="E1708" s="22">
        <f t="array" ref="E1708">IF($C1708="","",IFERROR(INDEX(DATA_MASTER!$I$2:$I$5000,MATCH($C1708,DATA_MASTER!$D$2:$D$5000,0)),""))</f>
        <v/>
      </c>
      <c r="F1708" s="22">
        <f t="array" ref="F1708">IF($C1708="","",IFERROR(INDEX(DATA_MASTER!$L$2:$L$5000,MATCH($C1708,DATA_MASTER!$D$2:$D$5000,0)),""))</f>
        <v/>
      </c>
      <c r="G1708" s="24" t="n"/>
      <c r="H1708" s="24" t="n"/>
      <c r="I1708" s="30" t="n"/>
      <c r="J1708" s="23">
        <f>IF(OR($H1708="",$I1708=""),"",$H1708*$I1708)</f>
        <v/>
      </c>
      <c r="K1708" s="24" t="n"/>
      <c r="L1708" s="24" t="n"/>
      <c r="M1708" s="29" t="n"/>
      <c r="N1708" s="28" t="n"/>
      <c r="O1708" s="24" t="n"/>
      <c r="P1708" s="24" t="n"/>
      <c r="Q1708" s="24" t="n"/>
      <c r="R1708" s="24" t="n"/>
      <c r="S1708" s="22">
        <f>IF(AND($A1708="",$C1708=""),"",IF($A1708="","Thiếu mã đơn; ","")&amp;IF(COUNTIF($A$2:$A1708,$A1708)&gt;1,"Trùng mã đơn; ","")&amp;IF(ISNA(MATCH($C1708,DATA_MASTER!$D$2:$D$5000,0)),"SĐT chưa đăng ký hội viên; ","")&amp;IF(AND($L1708="Đã chuyển khoản",$M1708=""),"Thiếu ngày nhận CK; ",""))</f>
        <v/>
      </c>
      <c r="T1708" s="24" t="n"/>
    </row>
    <row r="1709" ht="14.25" customHeight="1" s="40">
      <c r="A1709" s="24" t="n"/>
      <c r="B1709" s="29" t="n"/>
      <c r="C1709" s="28" t="n"/>
      <c r="D1709" s="22">
        <f t="array" ref="D1709">IF($C1709="","",IFERROR(INDEX(DATA_MASTER!$C$2:$C$5000,MATCH($C1709,DATA_MASTER!$D$2:$D$5000,0)),""))</f>
        <v/>
      </c>
      <c r="E1709" s="22">
        <f t="array" ref="E1709">IF($C1709="","",IFERROR(INDEX(DATA_MASTER!$I$2:$I$5000,MATCH($C1709,DATA_MASTER!$D$2:$D$5000,0)),""))</f>
        <v/>
      </c>
      <c r="F1709" s="22">
        <f t="array" ref="F1709">IF($C1709="","",IFERROR(INDEX(DATA_MASTER!$L$2:$L$5000,MATCH($C1709,DATA_MASTER!$D$2:$D$5000,0)),""))</f>
        <v/>
      </c>
      <c r="G1709" s="24" t="n"/>
      <c r="H1709" s="24" t="n"/>
      <c r="I1709" s="30" t="n"/>
      <c r="J1709" s="23">
        <f>IF(OR($H1709="",$I1709=""),"",$H1709*$I1709)</f>
        <v/>
      </c>
      <c r="K1709" s="24" t="n"/>
      <c r="L1709" s="24" t="n"/>
      <c r="M1709" s="29" t="n"/>
      <c r="N1709" s="28" t="n"/>
      <c r="O1709" s="24" t="n"/>
      <c r="P1709" s="24" t="n"/>
      <c r="Q1709" s="24" t="n"/>
      <c r="R1709" s="24" t="n"/>
      <c r="S1709" s="22">
        <f>IF(AND($A1709="",$C1709=""),"",IF($A1709="","Thiếu mã đơn; ","")&amp;IF(COUNTIF($A$2:$A1709,$A1709)&gt;1,"Trùng mã đơn; ","")&amp;IF(ISNA(MATCH($C1709,DATA_MASTER!$D$2:$D$5000,0)),"SĐT chưa đăng ký hội viên; ","")&amp;IF(AND($L1709="Đã chuyển khoản",$M1709=""),"Thiếu ngày nhận CK; ",""))</f>
        <v/>
      </c>
      <c r="T1709" s="24" t="n"/>
    </row>
    <row r="1710" ht="14.25" customHeight="1" s="40">
      <c r="A1710" s="24" t="n"/>
      <c r="B1710" s="29" t="n"/>
      <c r="C1710" s="28" t="n"/>
      <c r="D1710" s="22">
        <f t="array" ref="D1710">IF($C1710="","",IFERROR(INDEX(DATA_MASTER!$C$2:$C$5000,MATCH($C1710,DATA_MASTER!$D$2:$D$5000,0)),""))</f>
        <v/>
      </c>
      <c r="E1710" s="22">
        <f t="array" ref="E1710">IF($C1710="","",IFERROR(INDEX(DATA_MASTER!$I$2:$I$5000,MATCH($C1710,DATA_MASTER!$D$2:$D$5000,0)),""))</f>
        <v/>
      </c>
      <c r="F1710" s="22">
        <f t="array" ref="F1710">IF($C1710="","",IFERROR(INDEX(DATA_MASTER!$L$2:$L$5000,MATCH($C1710,DATA_MASTER!$D$2:$D$5000,0)),""))</f>
        <v/>
      </c>
      <c r="G1710" s="24" t="n"/>
      <c r="H1710" s="24" t="n"/>
      <c r="I1710" s="30" t="n"/>
      <c r="J1710" s="23">
        <f>IF(OR($H1710="",$I1710=""),"",$H1710*$I1710)</f>
        <v/>
      </c>
      <c r="K1710" s="24" t="n"/>
      <c r="L1710" s="24" t="n"/>
      <c r="M1710" s="29" t="n"/>
      <c r="N1710" s="28" t="n"/>
      <c r="O1710" s="24" t="n"/>
      <c r="P1710" s="24" t="n"/>
      <c r="Q1710" s="24" t="n"/>
      <c r="R1710" s="24" t="n"/>
      <c r="S1710" s="22">
        <f>IF(AND($A1710="",$C1710=""),"",IF($A1710="","Thiếu mã đơn; ","")&amp;IF(COUNTIF($A$2:$A1710,$A1710)&gt;1,"Trùng mã đơn; ","")&amp;IF(ISNA(MATCH($C1710,DATA_MASTER!$D$2:$D$5000,0)),"SĐT chưa đăng ký hội viên; ","")&amp;IF(AND($L1710="Đã chuyển khoản",$M1710=""),"Thiếu ngày nhận CK; ",""))</f>
        <v/>
      </c>
      <c r="T1710" s="24" t="n"/>
    </row>
    <row r="1711" ht="14.25" customHeight="1" s="40">
      <c r="A1711" s="24" t="n"/>
      <c r="B1711" s="29" t="n"/>
      <c r="C1711" s="28" t="n"/>
      <c r="D1711" s="22">
        <f t="array" ref="D1711">IF($C1711="","",IFERROR(INDEX(DATA_MASTER!$C$2:$C$5000,MATCH($C1711,DATA_MASTER!$D$2:$D$5000,0)),""))</f>
        <v/>
      </c>
      <c r="E1711" s="22">
        <f t="array" ref="E1711">IF($C1711="","",IFERROR(INDEX(DATA_MASTER!$I$2:$I$5000,MATCH($C1711,DATA_MASTER!$D$2:$D$5000,0)),""))</f>
        <v/>
      </c>
      <c r="F1711" s="22">
        <f t="array" ref="F1711">IF($C1711="","",IFERROR(INDEX(DATA_MASTER!$L$2:$L$5000,MATCH($C1711,DATA_MASTER!$D$2:$D$5000,0)),""))</f>
        <v/>
      </c>
      <c r="G1711" s="24" t="n"/>
      <c r="H1711" s="24" t="n"/>
      <c r="I1711" s="30" t="n"/>
      <c r="J1711" s="23">
        <f>IF(OR($H1711="",$I1711=""),"",$H1711*$I1711)</f>
        <v/>
      </c>
      <c r="K1711" s="24" t="n"/>
      <c r="L1711" s="24" t="n"/>
      <c r="M1711" s="29" t="n"/>
      <c r="N1711" s="28" t="n"/>
      <c r="O1711" s="24" t="n"/>
      <c r="P1711" s="24" t="n"/>
      <c r="Q1711" s="24" t="n"/>
      <c r="R1711" s="24" t="n"/>
      <c r="S1711" s="22">
        <f>IF(AND($A1711="",$C1711=""),"",IF($A1711="","Thiếu mã đơn; ","")&amp;IF(COUNTIF($A$2:$A1711,$A1711)&gt;1,"Trùng mã đơn; ","")&amp;IF(ISNA(MATCH($C1711,DATA_MASTER!$D$2:$D$5000,0)),"SĐT chưa đăng ký hội viên; ","")&amp;IF(AND($L1711="Đã chuyển khoản",$M1711=""),"Thiếu ngày nhận CK; ",""))</f>
        <v/>
      </c>
      <c r="T1711" s="24" t="n"/>
    </row>
    <row r="1712" ht="14.25" customHeight="1" s="40">
      <c r="A1712" s="24" t="n"/>
      <c r="B1712" s="29" t="n"/>
      <c r="C1712" s="28" t="n"/>
      <c r="D1712" s="22">
        <f t="array" ref="D1712">IF($C1712="","",IFERROR(INDEX(DATA_MASTER!$C$2:$C$5000,MATCH($C1712,DATA_MASTER!$D$2:$D$5000,0)),""))</f>
        <v/>
      </c>
      <c r="E1712" s="22">
        <f t="array" ref="E1712">IF($C1712="","",IFERROR(INDEX(DATA_MASTER!$I$2:$I$5000,MATCH($C1712,DATA_MASTER!$D$2:$D$5000,0)),""))</f>
        <v/>
      </c>
      <c r="F1712" s="22">
        <f t="array" ref="F1712">IF($C1712="","",IFERROR(INDEX(DATA_MASTER!$L$2:$L$5000,MATCH($C1712,DATA_MASTER!$D$2:$D$5000,0)),""))</f>
        <v/>
      </c>
      <c r="G1712" s="24" t="n"/>
      <c r="H1712" s="24" t="n"/>
      <c r="I1712" s="30" t="n"/>
      <c r="J1712" s="23">
        <f>IF(OR($H1712="",$I1712=""),"",$H1712*$I1712)</f>
        <v/>
      </c>
      <c r="K1712" s="24" t="n"/>
      <c r="L1712" s="24" t="n"/>
      <c r="M1712" s="29" t="n"/>
      <c r="N1712" s="28" t="n"/>
      <c r="O1712" s="24" t="n"/>
      <c r="P1712" s="24" t="n"/>
      <c r="Q1712" s="24" t="n"/>
      <c r="R1712" s="24" t="n"/>
      <c r="S1712" s="22">
        <f>IF(AND($A1712="",$C1712=""),"",IF($A1712="","Thiếu mã đơn; ","")&amp;IF(COUNTIF($A$2:$A1712,$A1712)&gt;1,"Trùng mã đơn; ","")&amp;IF(ISNA(MATCH($C1712,DATA_MASTER!$D$2:$D$5000,0)),"SĐT chưa đăng ký hội viên; ","")&amp;IF(AND($L1712="Đã chuyển khoản",$M1712=""),"Thiếu ngày nhận CK; ",""))</f>
        <v/>
      </c>
      <c r="T1712" s="24" t="n"/>
    </row>
    <row r="1713" ht="14.25" customHeight="1" s="40">
      <c r="A1713" s="24" t="n"/>
      <c r="B1713" s="29" t="n"/>
      <c r="C1713" s="28" t="n"/>
      <c r="D1713" s="22">
        <f t="array" ref="D1713">IF($C1713="","",IFERROR(INDEX(DATA_MASTER!$C$2:$C$5000,MATCH($C1713,DATA_MASTER!$D$2:$D$5000,0)),""))</f>
        <v/>
      </c>
      <c r="E1713" s="22">
        <f t="array" ref="E1713">IF($C1713="","",IFERROR(INDEX(DATA_MASTER!$I$2:$I$5000,MATCH($C1713,DATA_MASTER!$D$2:$D$5000,0)),""))</f>
        <v/>
      </c>
      <c r="F1713" s="22">
        <f t="array" ref="F1713">IF($C1713="","",IFERROR(INDEX(DATA_MASTER!$L$2:$L$5000,MATCH($C1713,DATA_MASTER!$D$2:$D$5000,0)),""))</f>
        <v/>
      </c>
      <c r="G1713" s="24" t="n"/>
      <c r="H1713" s="24" t="n"/>
      <c r="I1713" s="30" t="n"/>
      <c r="J1713" s="23">
        <f>IF(OR($H1713="",$I1713=""),"",$H1713*$I1713)</f>
        <v/>
      </c>
      <c r="K1713" s="24" t="n"/>
      <c r="L1713" s="24" t="n"/>
      <c r="M1713" s="29" t="n"/>
      <c r="N1713" s="28" t="n"/>
      <c r="O1713" s="24" t="n"/>
      <c r="P1713" s="24" t="n"/>
      <c r="Q1713" s="24" t="n"/>
      <c r="R1713" s="24" t="n"/>
      <c r="S1713" s="22">
        <f>IF(AND($A1713="",$C1713=""),"",IF($A1713="","Thiếu mã đơn; ","")&amp;IF(COUNTIF($A$2:$A1713,$A1713)&gt;1,"Trùng mã đơn; ","")&amp;IF(ISNA(MATCH($C1713,DATA_MASTER!$D$2:$D$5000,0)),"SĐT chưa đăng ký hội viên; ","")&amp;IF(AND($L1713="Đã chuyển khoản",$M1713=""),"Thiếu ngày nhận CK; ",""))</f>
        <v/>
      </c>
      <c r="T1713" s="24" t="n"/>
    </row>
    <row r="1714" ht="14.25" customHeight="1" s="40">
      <c r="A1714" s="24" t="n"/>
      <c r="B1714" s="29" t="n"/>
      <c r="C1714" s="28" t="n"/>
      <c r="D1714" s="22">
        <f t="array" ref="D1714">IF($C1714="","",IFERROR(INDEX(DATA_MASTER!$C$2:$C$5000,MATCH($C1714,DATA_MASTER!$D$2:$D$5000,0)),""))</f>
        <v/>
      </c>
      <c r="E1714" s="22">
        <f t="array" ref="E1714">IF($C1714="","",IFERROR(INDEX(DATA_MASTER!$I$2:$I$5000,MATCH($C1714,DATA_MASTER!$D$2:$D$5000,0)),""))</f>
        <v/>
      </c>
      <c r="F1714" s="22">
        <f t="array" ref="F1714">IF($C1714="","",IFERROR(INDEX(DATA_MASTER!$L$2:$L$5000,MATCH($C1714,DATA_MASTER!$D$2:$D$5000,0)),""))</f>
        <v/>
      </c>
      <c r="G1714" s="24" t="n"/>
      <c r="H1714" s="24" t="n"/>
      <c r="I1714" s="30" t="n"/>
      <c r="J1714" s="23">
        <f>IF(OR($H1714="",$I1714=""),"",$H1714*$I1714)</f>
        <v/>
      </c>
      <c r="K1714" s="24" t="n"/>
      <c r="L1714" s="24" t="n"/>
      <c r="M1714" s="29" t="n"/>
      <c r="N1714" s="28" t="n"/>
      <c r="O1714" s="24" t="n"/>
      <c r="P1714" s="24" t="n"/>
      <c r="Q1714" s="24" t="n"/>
      <c r="R1714" s="24" t="n"/>
      <c r="S1714" s="22">
        <f>IF(AND($A1714="",$C1714=""),"",IF($A1714="","Thiếu mã đơn; ","")&amp;IF(COUNTIF($A$2:$A1714,$A1714)&gt;1,"Trùng mã đơn; ","")&amp;IF(ISNA(MATCH($C1714,DATA_MASTER!$D$2:$D$5000,0)),"SĐT chưa đăng ký hội viên; ","")&amp;IF(AND($L1714="Đã chuyển khoản",$M1714=""),"Thiếu ngày nhận CK; ",""))</f>
        <v/>
      </c>
      <c r="T1714" s="24" t="n"/>
    </row>
    <row r="1715" ht="14.25" customHeight="1" s="40">
      <c r="A1715" s="24" t="n"/>
      <c r="B1715" s="29" t="n"/>
      <c r="C1715" s="28" t="n"/>
      <c r="D1715" s="22">
        <f t="array" ref="D1715">IF($C1715="","",IFERROR(INDEX(DATA_MASTER!$C$2:$C$5000,MATCH($C1715,DATA_MASTER!$D$2:$D$5000,0)),""))</f>
        <v/>
      </c>
      <c r="E1715" s="22">
        <f t="array" ref="E1715">IF($C1715="","",IFERROR(INDEX(DATA_MASTER!$I$2:$I$5000,MATCH($C1715,DATA_MASTER!$D$2:$D$5000,0)),""))</f>
        <v/>
      </c>
      <c r="F1715" s="22">
        <f t="array" ref="F1715">IF($C1715="","",IFERROR(INDEX(DATA_MASTER!$L$2:$L$5000,MATCH($C1715,DATA_MASTER!$D$2:$D$5000,0)),""))</f>
        <v/>
      </c>
      <c r="G1715" s="24" t="n"/>
      <c r="H1715" s="24" t="n"/>
      <c r="I1715" s="30" t="n"/>
      <c r="J1715" s="23">
        <f>IF(OR($H1715="",$I1715=""),"",$H1715*$I1715)</f>
        <v/>
      </c>
      <c r="K1715" s="24" t="n"/>
      <c r="L1715" s="24" t="n"/>
      <c r="M1715" s="29" t="n"/>
      <c r="N1715" s="28" t="n"/>
      <c r="O1715" s="24" t="n"/>
      <c r="P1715" s="24" t="n"/>
      <c r="Q1715" s="24" t="n"/>
      <c r="R1715" s="24" t="n"/>
      <c r="S1715" s="22">
        <f>IF(AND($A1715="",$C1715=""),"",IF($A1715="","Thiếu mã đơn; ","")&amp;IF(COUNTIF($A$2:$A1715,$A1715)&gt;1,"Trùng mã đơn; ","")&amp;IF(ISNA(MATCH($C1715,DATA_MASTER!$D$2:$D$5000,0)),"SĐT chưa đăng ký hội viên; ","")&amp;IF(AND($L1715="Đã chuyển khoản",$M1715=""),"Thiếu ngày nhận CK; ",""))</f>
        <v/>
      </c>
      <c r="T1715" s="24" t="n"/>
    </row>
    <row r="1716" ht="14.25" customHeight="1" s="40">
      <c r="A1716" s="24" t="n"/>
      <c r="B1716" s="29" t="n"/>
      <c r="C1716" s="28" t="n"/>
      <c r="D1716" s="22">
        <f t="array" ref="D1716">IF($C1716="","",IFERROR(INDEX(DATA_MASTER!$C$2:$C$5000,MATCH($C1716,DATA_MASTER!$D$2:$D$5000,0)),""))</f>
        <v/>
      </c>
      <c r="E1716" s="22">
        <f t="array" ref="E1716">IF($C1716="","",IFERROR(INDEX(DATA_MASTER!$I$2:$I$5000,MATCH($C1716,DATA_MASTER!$D$2:$D$5000,0)),""))</f>
        <v/>
      </c>
      <c r="F1716" s="22">
        <f t="array" ref="F1716">IF($C1716="","",IFERROR(INDEX(DATA_MASTER!$L$2:$L$5000,MATCH($C1716,DATA_MASTER!$D$2:$D$5000,0)),""))</f>
        <v/>
      </c>
      <c r="G1716" s="24" t="n"/>
      <c r="H1716" s="24" t="n"/>
      <c r="I1716" s="30" t="n"/>
      <c r="J1716" s="23">
        <f>IF(OR($H1716="",$I1716=""),"",$H1716*$I1716)</f>
        <v/>
      </c>
      <c r="K1716" s="24" t="n"/>
      <c r="L1716" s="24" t="n"/>
      <c r="M1716" s="29" t="n"/>
      <c r="N1716" s="28" t="n"/>
      <c r="O1716" s="24" t="n"/>
      <c r="P1716" s="24" t="n"/>
      <c r="Q1716" s="24" t="n"/>
      <c r="R1716" s="24" t="n"/>
      <c r="S1716" s="22">
        <f>IF(AND($A1716="",$C1716=""),"",IF($A1716="","Thiếu mã đơn; ","")&amp;IF(COUNTIF($A$2:$A1716,$A1716)&gt;1,"Trùng mã đơn; ","")&amp;IF(ISNA(MATCH($C1716,DATA_MASTER!$D$2:$D$5000,0)),"SĐT chưa đăng ký hội viên; ","")&amp;IF(AND($L1716="Đã chuyển khoản",$M1716=""),"Thiếu ngày nhận CK; ",""))</f>
        <v/>
      </c>
      <c r="T1716" s="24" t="n"/>
    </row>
    <row r="1717" ht="14.25" customHeight="1" s="40">
      <c r="A1717" s="24" t="n"/>
      <c r="B1717" s="29" t="n"/>
      <c r="C1717" s="28" t="n"/>
      <c r="D1717" s="22">
        <f t="array" ref="D1717">IF($C1717="","",IFERROR(INDEX(DATA_MASTER!$C$2:$C$5000,MATCH($C1717,DATA_MASTER!$D$2:$D$5000,0)),""))</f>
        <v/>
      </c>
      <c r="E1717" s="22">
        <f t="array" ref="E1717">IF($C1717="","",IFERROR(INDEX(DATA_MASTER!$I$2:$I$5000,MATCH($C1717,DATA_MASTER!$D$2:$D$5000,0)),""))</f>
        <v/>
      </c>
      <c r="F1717" s="22">
        <f t="array" ref="F1717">IF($C1717="","",IFERROR(INDEX(DATA_MASTER!$L$2:$L$5000,MATCH($C1717,DATA_MASTER!$D$2:$D$5000,0)),""))</f>
        <v/>
      </c>
      <c r="G1717" s="24" t="n"/>
      <c r="H1717" s="24" t="n"/>
      <c r="I1717" s="30" t="n"/>
      <c r="J1717" s="23">
        <f>IF(OR($H1717="",$I1717=""),"",$H1717*$I1717)</f>
        <v/>
      </c>
      <c r="K1717" s="24" t="n"/>
      <c r="L1717" s="24" t="n"/>
      <c r="M1717" s="29" t="n"/>
      <c r="N1717" s="28" t="n"/>
      <c r="O1717" s="24" t="n"/>
      <c r="P1717" s="24" t="n"/>
      <c r="Q1717" s="24" t="n"/>
      <c r="R1717" s="24" t="n"/>
      <c r="S1717" s="22">
        <f>IF(AND($A1717="",$C1717=""),"",IF($A1717="","Thiếu mã đơn; ","")&amp;IF(COUNTIF($A$2:$A1717,$A1717)&gt;1,"Trùng mã đơn; ","")&amp;IF(ISNA(MATCH($C1717,DATA_MASTER!$D$2:$D$5000,0)),"SĐT chưa đăng ký hội viên; ","")&amp;IF(AND($L1717="Đã chuyển khoản",$M1717=""),"Thiếu ngày nhận CK; ",""))</f>
        <v/>
      </c>
      <c r="T1717" s="24" t="n"/>
    </row>
    <row r="1718" ht="14.25" customHeight="1" s="40">
      <c r="A1718" s="24" t="n"/>
      <c r="B1718" s="29" t="n"/>
      <c r="C1718" s="28" t="n"/>
      <c r="D1718" s="22">
        <f t="array" ref="D1718">IF($C1718="","",IFERROR(INDEX(DATA_MASTER!$C$2:$C$5000,MATCH($C1718,DATA_MASTER!$D$2:$D$5000,0)),""))</f>
        <v/>
      </c>
      <c r="E1718" s="22">
        <f t="array" ref="E1718">IF($C1718="","",IFERROR(INDEX(DATA_MASTER!$I$2:$I$5000,MATCH($C1718,DATA_MASTER!$D$2:$D$5000,0)),""))</f>
        <v/>
      </c>
      <c r="F1718" s="22">
        <f t="array" ref="F1718">IF($C1718="","",IFERROR(INDEX(DATA_MASTER!$L$2:$L$5000,MATCH($C1718,DATA_MASTER!$D$2:$D$5000,0)),""))</f>
        <v/>
      </c>
      <c r="G1718" s="24" t="n"/>
      <c r="H1718" s="24" t="n"/>
      <c r="I1718" s="30" t="n"/>
      <c r="J1718" s="23">
        <f>IF(OR($H1718="",$I1718=""),"",$H1718*$I1718)</f>
        <v/>
      </c>
      <c r="K1718" s="24" t="n"/>
      <c r="L1718" s="24" t="n"/>
      <c r="M1718" s="29" t="n"/>
      <c r="N1718" s="28" t="n"/>
      <c r="O1718" s="24" t="n"/>
      <c r="P1718" s="24" t="n"/>
      <c r="Q1718" s="24" t="n"/>
      <c r="R1718" s="24" t="n"/>
      <c r="S1718" s="22">
        <f>IF(AND($A1718="",$C1718=""),"",IF($A1718="","Thiếu mã đơn; ","")&amp;IF(COUNTIF($A$2:$A1718,$A1718)&gt;1,"Trùng mã đơn; ","")&amp;IF(ISNA(MATCH($C1718,DATA_MASTER!$D$2:$D$5000,0)),"SĐT chưa đăng ký hội viên; ","")&amp;IF(AND($L1718="Đã chuyển khoản",$M1718=""),"Thiếu ngày nhận CK; ",""))</f>
        <v/>
      </c>
      <c r="T1718" s="24" t="n"/>
    </row>
    <row r="1719" ht="14.25" customHeight="1" s="40">
      <c r="A1719" s="24" t="n"/>
      <c r="B1719" s="29" t="n"/>
      <c r="C1719" s="28" t="n"/>
      <c r="D1719" s="22">
        <f t="array" ref="D1719">IF($C1719="","",IFERROR(INDEX(DATA_MASTER!$C$2:$C$5000,MATCH($C1719,DATA_MASTER!$D$2:$D$5000,0)),""))</f>
        <v/>
      </c>
      <c r="E1719" s="22">
        <f t="array" ref="E1719">IF($C1719="","",IFERROR(INDEX(DATA_MASTER!$I$2:$I$5000,MATCH($C1719,DATA_MASTER!$D$2:$D$5000,0)),""))</f>
        <v/>
      </c>
      <c r="F1719" s="22">
        <f t="array" ref="F1719">IF($C1719="","",IFERROR(INDEX(DATA_MASTER!$L$2:$L$5000,MATCH($C1719,DATA_MASTER!$D$2:$D$5000,0)),""))</f>
        <v/>
      </c>
      <c r="G1719" s="24" t="n"/>
      <c r="H1719" s="24" t="n"/>
      <c r="I1719" s="30" t="n"/>
      <c r="J1719" s="23">
        <f>IF(OR($H1719="",$I1719=""),"",$H1719*$I1719)</f>
        <v/>
      </c>
      <c r="K1719" s="24" t="n"/>
      <c r="L1719" s="24" t="n"/>
      <c r="M1719" s="29" t="n"/>
      <c r="N1719" s="28" t="n"/>
      <c r="O1719" s="24" t="n"/>
      <c r="P1719" s="24" t="n"/>
      <c r="Q1719" s="24" t="n"/>
      <c r="R1719" s="24" t="n"/>
      <c r="S1719" s="22">
        <f>IF(AND($A1719="",$C1719=""),"",IF($A1719="","Thiếu mã đơn; ","")&amp;IF(COUNTIF($A$2:$A1719,$A1719)&gt;1,"Trùng mã đơn; ","")&amp;IF(ISNA(MATCH($C1719,DATA_MASTER!$D$2:$D$5000,0)),"SĐT chưa đăng ký hội viên; ","")&amp;IF(AND($L1719="Đã chuyển khoản",$M1719=""),"Thiếu ngày nhận CK; ",""))</f>
        <v/>
      </c>
      <c r="T1719" s="24" t="n"/>
    </row>
    <row r="1720" ht="14.25" customHeight="1" s="40">
      <c r="A1720" s="24" t="n"/>
      <c r="B1720" s="29" t="n"/>
      <c r="C1720" s="28" t="n"/>
      <c r="D1720" s="22">
        <f t="array" ref="D1720">IF($C1720="","",IFERROR(INDEX(DATA_MASTER!$C$2:$C$5000,MATCH($C1720,DATA_MASTER!$D$2:$D$5000,0)),""))</f>
        <v/>
      </c>
      <c r="E1720" s="22">
        <f t="array" ref="E1720">IF($C1720="","",IFERROR(INDEX(DATA_MASTER!$I$2:$I$5000,MATCH($C1720,DATA_MASTER!$D$2:$D$5000,0)),""))</f>
        <v/>
      </c>
      <c r="F1720" s="22">
        <f t="array" ref="F1720">IF($C1720="","",IFERROR(INDEX(DATA_MASTER!$L$2:$L$5000,MATCH($C1720,DATA_MASTER!$D$2:$D$5000,0)),""))</f>
        <v/>
      </c>
      <c r="G1720" s="24" t="n"/>
      <c r="H1720" s="24" t="n"/>
      <c r="I1720" s="30" t="n"/>
      <c r="J1720" s="23">
        <f>IF(OR($H1720="",$I1720=""),"",$H1720*$I1720)</f>
        <v/>
      </c>
      <c r="K1720" s="24" t="n"/>
      <c r="L1720" s="24" t="n"/>
      <c r="M1720" s="29" t="n"/>
      <c r="N1720" s="28" t="n"/>
      <c r="O1720" s="24" t="n"/>
      <c r="P1720" s="24" t="n"/>
      <c r="Q1720" s="24" t="n"/>
      <c r="R1720" s="24" t="n"/>
      <c r="S1720" s="22">
        <f>IF(AND($A1720="",$C1720=""),"",IF($A1720="","Thiếu mã đơn; ","")&amp;IF(COUNTIF($A$2:$A1720,$A1720)&gt;1,"Trùng mã đơn; ","")&amp;IF(ISNA(MATCH($C1720,DATA_MASTER!$D$2:$D$5000,0)),"SĐT chưa đăng ký hội viên; ","")&amp;IF(AND($L1720="Đã chuyển khoản",$M1720=""),"Thiếu ngày nhận CK; ",""))</f>
        <v/>
      </c>
      <c r="T1720" s="24" t="n"/>
    </row>
    <row r="1721" ht="14.25" customHeight="1" s="40">
      <c r="A1721" s="24" t="n"/>
      <c r="B1721" s="29" t="n"/>
      <c r="C1721" s="28" t="n"/>
      <c r="D1721" s="22">
        <f t="array" ref="D1721">IF($C1721="","",IFERROR(INDEX(DATA_MASTER!$C$2:$C$5000,MATCH($C1721,DATA_MASTER!$D$2:$D$5000,0)),""))</f>
        <v/>
      </c>
      <c r="E1721" s="22">
        <f t="array" ref="E1721">IF($C1721="","",IFERROR(INDEX(DATA_MASTER!$I$2:$I$5000,MATCH($C1721,DATA_MASTER!$D$2:$D$5000,0)),""))</f>
        <v/>
      </c>
      <c r="F1721" s="22">
        <f t="array" ref="F1721">IF($C1721="","",IFERROR(INDEX(DATA_MASTER!$L$2:$L$5000,MATCH($C1721,DATA_MASTER!$D$2:$D$5000,0)),""))</f>
        <v/>
      </c>
      <c r="G1721" s="24" t="n"/>
      <c r="H1721" s="24" t="n"/>
      <c r="I1721" s="30" t="n"/>
      <c r="J1721" s="23">
        <f>IF(OR($H1721="",$I1721=""),"",$H1721*$I1721)</f>
        <v/>
      </c>
      <c r="K1721" s="24" t="n"/>
      <c r="L1721" s="24" t="n"/>
      <c r="M1721" s="29" t="n"/>
      <c r="N1721" s="28" t="n"/>
      <c r="O1721" s="24" t="n"/>
      <c r="P1721" s="24" t="n"/>
      <c r="Q1721" s="24" t="n"/>
      <c r="R1721" s="24" t="n"/>
      <c r="S1721" s="22">
        <f>IF(AND($A1721="",$C1721=""),"",IF($A1721="","Thiếu mã đơn; ","")&amp;IF(COUNTIF($A$2:$A1721,$A1721)&gt;1,"Trùng mã đơn; ","")&amp;IF(ISNA(MATCH($C1721,DATA_MASTER!$D$2:$D$5000,0)),"SĐT chưa đăng ký hội viên; ","")&amp;IF(AND($L1721="Đã chuyển khoản",$M1721=""),"Thiếu ngày nhận CK; ",""))</f>
        <v/>
      </c>
      <c r="T1721" s="24" t="n"/>
    </row>
    <row r="1722" ht="14.25" customHeight="1" s="40">
      <c r="A1722" s="24" t="n"/>
      <c r="B1722" s="29" t="n"/>
      <c r="C1722" s="28" t="n"/>
      <c r="D1722" s="22">
        <f t="array" ref="D1722">IF($C1722="","",IFERROR(INDEX(DATA_MASTER!$C$2:$C$5000,MATCH($C1722,DATA_MASTER!$D$2:$D$5000,0)),""))</f>
        <v/>
      </c>
      <c r="E1722" s="22">
        <f t="array" ref="E1722">IF($C1722="","",IFERROR(INDEX(DATA_MASTER!$I$2:$I$5000,MATCH($C1722,DATA_MASTER!$D$2:$D$5000,0)),""))</f>
        <v/>
      </c>
      <c r="F1722" s="22">
        <f t="array" ref="F1722">IF($C1722="","",IFERROR(INDEX(DATA_MASTER!$L$2:$L$5000,MATCH($C1722,DATA_MASTER!$D$2:$D$5000,0)),""))</f>
        <v/>
      </c>
      <c r="G1722" s="24" t="n"/>
      <c r="H1722" s="24" t="n"/>
      <c r="I1722" s="30" t="n"/>
      <c r="J1722" s="23">
        <f>IF(OR($H1722="",$I1722=""),"",$H1722*$I1722)</f>
        <v/>
      </c>
      <c r="K1722" s="24" t="n"/>
      <c r="L1722" s="24" t="n"/>
      <c r="M1722" s="29" t="n"/>
      <c r="N1722" s="28" t="n"/>
      <c r="O1722" s="24" t="n"/>
      <c r="P1722" s="24" t="n"/>
      <c r="Q1722" s="24" t="n"/>
      <c r="R1722" s="24" t="n"/>
      <c r="S1722" s="22">
        <f>IF(AND($A1722="",$C1722=""),"",IF($A1722="","Thiếu mã đơn; ","")&amp;IF(COUNTIF($A$2:$A1722,$A1722)&gt;1,"Trùng mã đơn; ","")&amp;IF(ISNA(MATCH($C1722,DATA_MASTER!$D$2:$D$5000,0)),"SĐT chưa đăng ký hội viên; ","")&amp;IF(AND($L1722="Đã chuyển khoản",$M1722=""),"Thiếu ngày nhận CK; ",""))</f>
        <v/>
      </c>
      <c r="T1722" s="24" t="n"/>
    </row>
    <row r="1723" ht="14.25" customHeight="1" s="40">
      <c r="A1723" s="24" t="n"/>
      <c r="B1723" s="29" t="n"/>
      <c r="C1723" s="28" t="n"/>
      <c r="D1723" s="22">
        <f t="array" ref="D1723">IF($C1723="","",IFERROR(INDEX(DATA_MASTER!$C$2:$C$5000,MATCH($C1723,DATA_MASTER!$D$2:$D$5000,0)),""))</f>
        <v/>
      </c>
      <c r="E1723" s="22">
        <f t="array" ref="E1723">IF($C1723="","",IFERROR(INDEX(DATA_MASTER!$I$2:$I$5000,MATCH($C1723,DATA_MASTER!$D$2:$D$5000,0)),""))</f>
        <v/>
      </c>
      <c r="F1723" s="22">
        <f t="array" ref="F1723">IF($C1723="","",IFERROR(INDEX(DATA_MASTER!$L$2:$L$5000,MATCH($C1723,DATA_MASTER!$D$2:$D$5000,0)),""))</f>
        <v/>
      </c>
      <c r="G1723" s="24" t="n"/>
      <c r="H1723" s="24" t="n"/>
      <c r="I1723" s="30" t="n"/>
      <c r="J1723" s="23">
        <f>IF(OR($H1723="",$I1723=""),"",$H1723*$I1723)</f>
        <v/>
      </c>
      <c r="K1723" s="24" t="n"/>
      <c r="L1723" s="24" t="n"/>
      <c r="M1723" s="29" t="n"/>
      <c r="N1723" s="28" t="n"/>
      <c r="O1723" s="24" t="n"/>
      <c r="P1723" s="24" t="n"/>
      <c r="Q1723" s="24" t="n"/>
      <c r="R1723" s="24" t="n"/>
      <c r="S1723" s="22">
        <f>IF(AND($A1723="",$C1723=""),"",IF($A1723="","Thiếu mã đơn; ","")&amp;IF(COUNTIF($A$2:$A1723,$A1723)&gt;1,"Trùng mã đơn; ","")&amp;IF(ISNA(MATCH($C1723,DATA_MASTER!$D$2:$D$5000,0)),"SĐT chưa đăng ký hội viên; ","")&amp;IF(AND($L1723="Đã chuyển khoản",$M1723=""),"Thiếu ngày nhận CK; ",""))</f>
        <v/>
      </c>
      <c r="T1723" s="24" t="n"/>
    </row>
    <row r="1724" ht="14.25" customHeight="1" s="40">
      <c r="A1724" s="24" t="n"/>
      <c r="B1724" s="29" t="n"/>
      <c r="C1724" s="28" t="n"/>
      <c r="D1724" s="22">
        <f t="array" ref="D1724">IF($C1724="","",IFERROR(INDEX(DATA_MASTER!$C$2:$C$5000,MATCH($C1724,DATA_MASTER!$D$2:$D$5000,0)),""))</f>
        <v/>
      </c>
      <c r="E1724" s="22">
        <f t="array" ref="E1724">IF($C1724="","",IFERROR(INDEX(DATA_MASTER!$I$2:$I$5000,MATCH($C1724,DATA_MASTER!$D$2:$D$5000,0)),""))</f>
        <v/>
      </c>
      <c r="F1724" s="22">
        <f t="array" ref="F1724">IF($C1724="","",IFERROR(INDEX(DATA_MASTER!$L$2:$L$5000,MATCH($C1724,DATA_MASTER!$D$2:$D$5000,0)),""))</f>
        <v/>
      </c>
      <c r="G1724" s="24" t="n"/>
      <c r="H1724" s="24" t="n"/>
      <c r="I1724" s="30" t="n"/>
      <c r="J1724" s="23">
        <f>IF(OR($H1724="",$I1724=""),"",$H1724*$I1724)</f>
        <v/>
      </c>
      <c r="K1724" s="24" t="n"/>
      <c r="L1724" s="24" t="n"/>
      <c r="M1724" s="29" t="n"/>
      <c r="N1724" s="28" t="n"/>
      <c r="O1724" s="24" t="n"/>
      <c r="P1724" s="24" t="n"/>
      <c r="Q1724" s="24" t="n"/>
      <c r="R1724" s="24" t="n"/>
      <c r="S1724" s="22">
        <f>IF(AND($A1724="",$C1724=""),"",IF($A1724="","Thiếu mã đơn; ","")&amp;IF(COUNTIF($A$2:$A1724,$A1724)&gt;1,"Trùng mã đơn; ","")&amp;IF(ISNA(MATCH($C1724,DATA_MASTER!$D$2:$D$5000,0)),"SĐT chưa đăng ký hội viên; ","")&amp;IF(AND($L1724="Đã chuyển khoản",$M1724=""),"Thiếu ngày nhận CK; ",""))</f>
        <v/>
      </c>
      <c r="T1724" s="24" t="n"/>
    </row>
    <row r="1725" ht="14.25" customHeight="1" s="40">
      <c r="A1725" s="24" t="n"/>
      <c r="B1725" s="29" t="n"/>
      <c r="C1725" s="28" t="n"/>
      <c r="D1725" s="22">
        <f t="array" ref="D1725">IF($C1725="","",IFERROR(INDEX(DATA_MASTER!$C$2:$C$5000,MATCH($C1725,DATA_MASTER!$D$2:$D$5000,0)),""))</f>
        <v/>
      </c>
      <c r="E1725" s="22">
        <f t="array" ref="E1725">IF($C1725="","",IFERROR(INDEX(DATA_MASTER!$I$2:$I$5000,MATCH($C1725,DATA_MASTER!$D$2:$D$5000,0)),""))</f>
        <v/>
      </c>
      <c r="F1725" s="22">
        <f t="array" ref="F1725">IF($C1725="","",IFERROR(INDEX(DATA_MASTER!$L$2:$L$5000,MATCH($C1725,DATA_MASTER!$D$2:$D$5000,0)),""))</f>
        <v/>
      </c>
      <c r="G1725" s="24" t="n"/>
      <c r="H1725" s="24" t="n"/>
      <c r="I1725" s="30" t="n"/>
      <c r="J1725" s="23">
        <f>IF(OR($H1725="",$I1725=""),"",$H1725*$I1725)</f>
        <v/>
      </c>
      <c r="K1725" s="24" t="n"/>
      <c r="L1725" s="24" t="n"/>
      <c r="M1725" s="29" t="n"/>
      <c r="N1725" s="28" t="n"/>
      <c r="O1725" s="24" t="n"/>
      <c r="P1725" s="24" t="n"/>
      <c r="Q1725" s="24" t="n"/>
      <c r="R1725" s="24" t="n"/>
      <c r="S1725" s="22">
        <f>IF(AND($A1725="",$C1725=""),"",IF($A1725="","Thiếu mã đơn; ","")&amp;IF(COUNTIF($A$2:$A1725,$A1725)&gt;1,"Trùng mã đơn; ","")&amp;IF(ISNA(MATCH($C1725,DATA_MASTER!$D$2:$D$5000,0)),"SĐT chưa đăng ký hội viên; ","")&amp;IF(AND($L1725="Đã chuyển khoản",$M1725=""),"Thiếu ngày nhận CK; ",""))</f>
        <v/>
      </c>
      <c r="T1725" s="24" t="n"/>
    </row>
    <row r="1726" ht="14.25" customHeight="1" s="40">
      <c r="A1726" s="24" t="n"/>
      <c r="B1726" s="29" t="n"/>
      <c r="C1726" s="28" t="n"/>
      <c r="D1726" s="22">
        <f t="array" ref="D1726">IF($C1726="","",IFERROR(INDEX(DATA_MASTER!$C$2:$C$5000,MATCH($C1726,DATA_MASTER!$D$2:$D$5000,0)),""))</f>
        <v/>
      </c>
      <c r="E1726" s="22">
        <f t="array" ref="E1726">IF($C1726="","",IFERROR(INDEX(DATA_MASTER!$I$2:$I$5000,MATCH($C1726,DATA_MASTER!$D$2:$D$5000,0)),""))</f>
        <v/>
      </c>
      <c r="F1726" s="22">
        <f t="array" ref="F1726">IF($C1726="","",IFERROR(INDEX(DATA_MASTER!$L$2:$L$5000,MATCH($C1726,DATA_MASTER!$D$2:$D$5000,0)),""))</f>
        <v/>
      </c>
      <c r="G1726" s="24" t="n"/>
      <c r="H1726" s="24" t="n"/>
      <c r="I1726" s="30" t="n"/>
      <c r="J1726" s="23">
        <f>IF(OR($H1726="",$I1726=""),"",$H1726*$I1726)</f>
        <v/>
      </c>
      <c r="K1726" s="24" t="n"/>
      <c r="L1726" s="24" t="n"/>
      <c r="M1726" s="29" t="n"/>
      <c r="N1726" s="28" t="n"/>
      <c r="O1726" s="24" t="n"/>
      <c r="P1726" s="24" t="n"/>
      <c r="Q1726" s="24" t="n"/>
      <c r="R1726" s="24" t="n"/>
      <c r="S1726" s="22">
        <f>IF(AND($A1726="",$C1726=""),"",IF($A1726="","Thiếu mã đơn; ","")&amp;IF(COUNTIF($A$2:$A1726,$A1726)&gt;1,"Trùng mã đơn; ","")&amp;IF(ISNA(MATCH($C1726,DATA_MASTER!$D$2:$D$5000,0)),"SĐT chưa đăng ký hội viên; ","")&amp;IF(AND($L1726="Đã chuyển khoản",$M1726=""),"Thiếu ngày nhận CK; ",""))</f>
        <v/>
      </c>
      <c r="T1726" s="24" t="n"/>
    </row>
    <row r="1727" ht="14.25" customHeight="1" s="40">
      <c r="A1727" s="24" t="n"/>
      <c r="B1727" s="29" t="n"/>
      <c r="C1727" s="28" t="n"/>
      <c r="D1727" s="22">
        <f t="array" ref="D1727">IF($C1727="","",IFERROR(INDEX(DATA_MASTER!$C$2:$C$5000,MATCH($C1727,DATA_MASTER!$D$2:$D$5000,0)),""))</f>
        <v/>
      </c>
      <c r="E1727" s="22">
        <f t="array" ref="E1727">IF($C1727="","",IFERROR(INDEX(DATA_MASTER!$I$2:$I$5000,MATCH($C1727,DATA_MASTER!$D$2:$D$5000,0)),""))</f>
        <v/>
      </c>
      <c r="F1727" s="22">
        <f t="array" ref="F1727">IF($C1727="","",IFERROR(INDEX(DATA_MASTER!$L$2:$L$5000,MATCH($C1727,DATA_MASTER!$D$2:$D$5000,0)),""))</f>
        <v/>
      </c>
      <c r="G1727" s="24" t="n"/>
      <c r="H1727" s="24" t="n"/>
      <c r="I1727" s="30" t="n"/>
      <c r="J1727" s="23">
        <f>IF(OR($H1727="",$I1727=""),"",$H1727*$I1727)</f>
        <v/>
      </c>
      <c r="K1727" s="24" t="n"/>
      <c r="L1727" s="24" t="n"/>
      <c r="M1727" s="29" t="n"/>
      <c r="N1727" s="28" t="n"/>
      <c r="O1727" s="24" t="n"/>
      <c r="P1727" s="24" t="n"/>
      <c r="Q1727" s="24" t="n"/>
      <c r="R1727" s="24" t="n"/>
      <c r="S1727" s="22">
        <f>IF(AND($A1727="",$C1727=""),"",IF($A1727="","Thiếu mã đơn; ","")&amp;IF(COUNTIF($A$2:$A1727,$A1727)&gt;1,"Trùng mã đơn; ","")&amp;IF(ISNA(MATCH($C1727,DATA_MASTER!$D$2:$D$5000,0)),"SĐT chưa đăng ký hội viên; ","")&amp;IF(AND($L1727="Đã chuyển khoản",$M1727=""),"Thiếu ngày nhận CK; ",""))</f>
        <v/>
      </c>
      <c r="T1727" s="24" t="n"/>
    </row>
    <row r="1728" ht="14.25" customHeight="1" s="40">
      <c r="A1728" s="24" t="n"/>
      <c r="B1728" s="29" t="n"/>
      <c r="C1728" s="28" t="n"/>
      <c r="D1728" s="22">
        <f t="array" ref="D1728">IF($C1728="","",IFERROR(INDEX(DATA_MASTER!$C$2:$C$5000,MATCH($C1728,DATA_MASTER!$D$2:$D$5000,0)),""))</f>
        <v/>
      </c>
      <c r="E1728" s="22">
        <f t="array" ref="E1728">IF($C1728="","",IFERROR(INDEX(DATA_MASTER!$I$2:$I$5000,MATCH($C1728,DATA_MASTER!$D$2:$D$5000,0)),""))</f>
        <v/>
      </c>
      <c r="F1728" s="22">
        <f t="array" ref="F1728">IF($C1728="","",IFERROR(INDEX(DATA_MASTER!$L$2:$L$5000,MATCH($C1728,DATA_MASTER!$D$2:$D$5000,0)),""))</f>
        <v/>
      </c>
      <c r="G1728" s="24" t="n"/>
      <c r="H1728" s="24" t="n"/>
      <c r="I1728" s="30" t="n"/>
      <c r="J1728" s="23">
        <f>IF(OR($H1728="",$I1728=""),"",$H1728*$I1728)</f>
        <v/>
      </c>
      <c r="K1728" s="24" t="n"/>
      <c r="L1728" s="24" t="n"/>
      <c r="M1728" s="29" t="n"/>
      <c r="N1728" s="28" t="n"/>
      <c r="O1728" s="24" t="n"/>
      <c r="P1728" s="24" t="n"/>
      <c r="Q1728" s="24" t="n"/>
      <c r="R1728" s="24" t="n"/>
      <c r="S1728" s="22">
        <f>IF(AND($A1728="",$C1728=""),"",IF($A1728="","Thiếu mã đơn; ","")&amp;IF(COUNTIF($A$2:$A1728,$A1728)&gt;1,"Trùng mã đơn; ","")&amp;IF(ISNA(MATCH($C1728,DATA_MASTER!$D$2:$D$5000,0)),"SĐT chưa đăng ký hội viên; ","")&amp;IF(AND($L1728="Đã chuyển khoản",$M1728=""),"Thiếu ngày nhận CK; ",""))</f>
        <v/>
      </c>
      <c r="T1728" s="24" t="n"/>
    </row>
    <row r="1729" ht="14.25" customHeight="1" s="40">
      <c r="A1729" s="24" t="n"/>
      <c r="B1729" s="29" t="n"/>
      <c r="C1729" s="28" t="n"/>
      <c r="D1729" s="22">
        <f t="array" ref="D1729">IF($C1729="","",IFERROR(INDEX(DATA_MASTER!$C$2:$C$5000,MATCH($C1729,DATA_MASTER!$D$2:$D$5000,0)),""))</f>
        <v/>
      </c>
      <c r="E1729" s="22">
        <f t="array" ref="E1729">IF($C1729="","",IFERROR(INDEX(DATA_MASTER!$I$2:$I$5000,MATCH($C1729,DATA_MASTER!$D$2:$D$5000,0)),""))</f>
        <v/>
      </c>
      <c r="F1729" s="22">
        <f t="array" ref="F1729">IF($C1729="","",IFERROR(INDEX(DATA_MASTER!$L$2:$L$5000,MATCH($C1729,DATA_MASTER!$D$2:$D$5000,0)),""))</f>
        <v/>
      </c>
      <c r="G1729" s="24" t="n"/>
      <c r="H1729" s="24" t="n"/>
      <c r="I1729" s="30" t="n"/>
      <c r="J1729" s="23">
        <f>IF(OR($H1729="",$I1729=""),"",$H1729*$I1729)</f>
        <v/>
      </c>
      <c r="K1729" s="24" t="n"/>
      <c r="L1729" s="24" t="n"/>
      <c r="M1729" s="29" t="n"/>
      <c r="N1729" s="28" t="n"/>
      <c r="O1729" s="24" t="n"/>
      <c r="P1729" s="24" t="n"/>
      <c r="Q1729" s="24" t="n"/>
      <c r="R1729" s="24" t="n"/>
      <c r="S1729" s="22">
        <f>IF(AND($A1729="",$C1729=""),"",IF($A1729="","Thiếu mã đơn; ","")&amp;IF(COUNTIF($A$2:$A1729,$A1729)&gt;1,"Trùng mã đơn; ","")&amp;IF(ISNA(MATCH($C1729,DATA_MASTER!$D$2:$D$5000,0)),"SĐT chưa đăng ký hội viên; ","")&amp;IF(AND($L1729="Đã chuyển khoản",$M1729=""),"Thiếu ngày nhận CK; ",""))</f>
        <v/>
      </c>
      <c r="T1729" s="24" t="n"/>
    </row>
    <row r="1730" ht="14.25" customHeight="1" s="40">
      <c r="A1730" s="24" t="n"/>
      <c r="B1730" s="29" t="n"/>
      <c r="C1730" s="28" t="n"/>
      <c r="D1730" s="22">
        <f t="array" ref="D1730">IF($C1730="","",IFERROR(INDEX(DATA_MASTER!$C$2:$C$5000,MATCH($C1730,DATA_MASTER!$D$2:$D$5000,0)),""))</f>
        <v/>
      </c>
      <c r="E1730" s="22">
        <f t="array" ref="E1730">IF($C1730="","",IFERROR(INDEX(DATA_MASTER!$I$2:$I$5000,MATCH($C1730,DATA_MASTER!$D$2:$D$5000,0)),""))</f>
        <v/>
      </c>
      <c r="F1730" s="22">
        <f t="array" ref="F1730">IF($C1730="","",IFERROR(INDEX(DATA_MASTER!$L$2:$L$5000,MATCH($C1730,DATA_MASTER!$D$2:$D$5000,0)),""))</f>
        <v/>
      </c>
      <c r="G1730" s="24" t="n"/>
      <c r="H1730" s="24" t="n"/>
      <c r="I1730" s="30" t="n"/>
      <c r="J1730" s="23">
        <f>IF(OR($H1730="",$I1730=""),"",$H1730*$I1730)</f>
        <v/>
      </c>
      <c r="K1730" s="24" t="n"/>
      <c r="L1730" s="24" t="n"/>
      <c r="M1730" s="29" t="n"/>
      <c r="N1730" s="28" t="n"/>
      <c r="O1730" s="24" t="n"/>
      <c r="P1730" s="24" t="n"/>
      <c r="Q1730" s="24" t="n"/>
      <c r="R1730" s="24" t="n"/>
      <c r="S1730" s="22">
        <f>IF(AND($A1730="",$C1730=""),"",IF($A1730="","Thiếu mã đơn; ","")&amp;IF(COUNTIF($A$2:$A1730,$A1730)&gt;1,"Trùng mã đơn; ","")&amp;IF(ISNA(MATCH($C1730,DATA_MASTER!$D$2:$D$5000,0)),"SĐT chưa đăng ký hội viên; ","")&amp;IF(AND($L1730="Đã chuyển khoản",$M1730=""),"Thiếu ngày nhận CK; ",""))</f>
        <v/>
      </c>
      <c r="T1730" s="24" t="n"/>
    </row>
    <row r="1731" ht="14.25" customHeight="1" s="40">
      <c r="A1731" s="24" t="n"/>
      <c r="B1731" s="29" t="n"/>
      <c r="C1731" s="28" t="n"/>
      <c r="D1731" s="22">
        <f t="array" ref="D1731">IF($C1731="","",IFERROR(INDEX(DATA_MASTER!$C$2:$C$5000,MATCH($C1731,DATA_MASTER!$D$2:$D$5000,0)),""))</f>
        <v/>
      </c>
      <c r="E1731" s="22">
        <f t="array" ref="E1731">IF($C1731="","",IFERROR(INDEX(DATA_MASTER!$I$2:$I$5000,MATCH($C1731,DATA_MASTER!$D$2:$D$5000,0)),""))</f>
        <v/>
      </c>
      <c r="F1731" s="22">
        <f t="array" ref="F1731">IF($C1731="","",IFERROR(INDEX(DATA_MASTER!$L$2:$L$5000,MATCH($C1731,DATA_MASTER!$D$2:$D$5000,0)),""))</f>
        <v/>
      </c>
      <c r="G1731" s="24" t="n"/>
      <c r="H1731" s="24" t="n"/>
      <c r="I1731" s="30" t="n"/>
      <c r="J1731" s="23">
        <f>IF(OR($H1731="",$I1731=""),"",$H1731*$I1731)</f>
        <v/>
      </c>
      <c r="K1731" s="24" t="n"/>
      <c r="L1731" s="24" t="n"/>
      <c r="M1731" s="29" t="n"/>
      <c r="N1731" s="28" t="n"/>
      <c r="O1731" s="24" t="n"/>
      <c r="P1731" s="24" t="n"/>
      <c r="Q1731" s="24" t="n"/>
      <c r="R1731" s="24" t="n"/>
      <c r="S1731" s="22">
        <f>IF(AND($A1731="",$C1731=""),"",IF($A1731="","Thiếu mã đơn; ","")&amp;IF(COUNTIF($A$2:$A1731,$A1731)&gt;1,"Trùng mã đơn; ","")&amp;IF(ISNA(MATCH($C1731,DATA_MASTER!$D$2:$D$5000,0)),"SĐT chưa đăng ký hội viên; ","")&amp;IF(AND($L1731="Đã chuyển khoản",$M1731=""),"Thiếu ngày nhận CK; ",""))</f>
        <v/>
      </c>
      <c r="T1731" s="24" t="n"/>
    </row>
    <row r="1732" ht="14.25" customHeight="1" s="40">
      <c r="A1732" s="24" t="n"/>
      <c r="B1732" s="29" t="n"/>
      <c r="C1732" s="28" t="n"/>
      <c r="D1732" s="22">
        <f t="array" ref="D1732">IF($C1732="","",IFERROR(INDEX(DATA_MASTER!$C$2:$C$5000,MATCH($C1732,DATA_MASTER!$D$2:$D$5000,0)),""))</f>
        <v/>
      </c>
      <c r="E1732" s="22">
        <f t="array" ref="E1732">IF($C1732="","",IFERROR(INDEX(DATA_MASTER!$I$2:$I$5000,MATCH($C1732,DATA_MASTER!$D$2:$D$5000,0)),""))</f>
        <v/>
      </c>
      <c r="F1732" s="22">
        <f t="array" ref="F1732">IF($C1732="","",IFERROR(INDEX(DATA_MASTER!$L$2:$L$5000,MATCH($C1732,DATA_MASTER!$D$2:$D$5000,0)),""))</f>
        <v/>
      </c>
      <c r="G1732" s="24" t="n"/>
      <c r="H1732" s="24" t="n"/>
      <c r="I1732" s="30" t="n"/>
      <c r="J1732" s="23">
        <f>IF(OR($H1732="",$I1732=""),"",$H1732*$I1732)</f>
        <v/>
      </c>
      <c r="K1732" s="24" t="n"/>
      <c r="L1732" s="24" t="n"/>
      <c r="M1732" s="29" t="n"/>
      <c r="N1732" s="28" t="n"/>
      <c r="O1732" s="24" t="n"/>
      <c r="P1732" s="24" t="n"/>
      <c r="Q1732" s="24" t="n"/>
      <c r="R1732" s="24" t="n"/>
      <c r="S1732" s="22">
        <f>IF(AND($A1732="",$C1732=""),"",IF($A1732="","Thiếu mã đơn; ","")&amp;IF(COUNTIF($A$2:$A1732,$A1732)&gt;1,"Trùng mã đơn; ","")&amp;IF(ISNA(MATCH($C1732,DATA_MASTER!$D$2:$D$5000,0)),"SĐT chưa đăng ký hội viên; ","")&amp;IF(AND($L1732="Đã chuyển khoản",$M1732=""),"Thiếu ngày nhận CK; ",""))</f>
        <v/>
      </c>
      <c r="T1732" s="24" t="n"/>
    </row>
    <row r="1733" ht="14.25" customHeight="1" s="40">
      <c r="A1733" s="24" t="n"/>
      <c r="B1733" s="29" t="n"/>
      <c r="C1733" s="28" t="n"/>
      <c r="D1733" s="22">
        <f t="array" ref="D1733">IF($C1733="","",IFERROR(INDEX(DATA_MASTER!$C$2:$C$5000,MATCH($C1733,DATA_MASTER!$D$2:$D$5000,0)),""))</f>
        <v/>
      </c>
      <c r="E1733" s="22">
        <f t="array" ref="E1733">IF($C1733="","",IFERROR(INDEX(DATA_MASTER!$I$2:$I$5000,MATCH($C1733,DATA_MASTER!$D$2:$D$5000,0)),""))</f>
        <v/>
      </c>
      <c r="F1733" s="22">
        <f t="array" ref="F1733">IF($C1733="","",IFERROR(INDEX(DATA_MASTER!$L$2:$L$5000,MATCH($C1733,DATA_MASTER!$D$2:$D$5000,0)),""))</f>
        <v/>
      </c>
      <c r="G1733" s="24" t="n"/>
      <c r="H1733" s="24" t="n"/>
      <c r="I1733" s="30" t="n"/>
      <c r="J1733" s="23">
        <f>IF(OR($H1733="",$I1733=""),"",$H1733*$I1733)</f>
        <v/>
      </c>
      <c r="K1733" s="24" t="n"/>
      <c r="L1733" s="24" t="n"/>
      <c r="M1733" s="29" t="n"/>
      <c r="N1733" s="28" t="n"/>
      <c r="O1733" s="24" t="n"/>
      <c r="P1733" s="24" t="n"/>
      <c r="Q1733" s="24" t="n"/>
      <c r="R1733" s="24" t="n"/>
      <c r="S1733" s="22">
        <f>IF(AND($A1733="",$C1733=""),"",IF($A1733="","Thiếu mã đơn; ","")&amp;IF(COUNTIF($A$2:$A1733,$A1733)&gt;1,"Trùng mã đơn; ","")&amp;IF(ISNA(MATCH($C1733,DATA_MASTER!$D$2:$D$5000,0)),"SĐT chưa đăng ký hội viên; ","")&amp;IF(AND($L1733="Đã chuyển khoản",$M1733=""),"Thiếu ngày nhận CK; ",""))</f>
        <v/>
      </c>
      <c r="T1733" s="24" t="n"/>
    </row>
    <row r="1734" ht="14.25" customHeight="1" s="40">
      <c r="A1734" s="24" t="n"/>
      <c r="B1734" s="29" t="n"/>
      <c r="C1734" s="28" t="n"/>
      <c r="D1734" s="22">
        <f t="array" ref="D1734">IF($C1734="","",IFERROR(INDEX(DATA_MASTER!$C$2:$C$5000,MATCH($C1734,DATA_MASTER!$D$2:$D$5000,0)),""))</f>
        <v/>
      </c>
      <c r="E1734" s="22">
        <f t="array" ref="E1734">IF($C1734="","",IFERROR(INDEX(DATA_MASTER!$I$2:$I$5000,MATCH($C1734,DATA_MASTER!$D$2:$D$5000,0)),""))</f>
        <v/>
      </c>
      <c r="F1734" s="22">
        <f t="array" ref="F1734">IF($C1734="","",IFERROR(INDEX(DATA_MASTER!$L$2:$L$5000,MATCH($C1734,DATA_MASTER!$D$2:$D$5000,0)),""))</f>
        <v/>
      </c>
      <c r="G1734" s="24" t="n"/>
      <c r="H1734" s="24" t="n"/>
      <c r="I1734" s="30" t="n"/>
      <c r="J1734" s="23">
        <f>IF(OR($H1734="",$I1734=""),"",$H1734*$I1734)</f>
        <v/>
      </c>
      <c r="K1734" s="24" t="n"/>
      <c r="L1734" s="24" t="n"/>
      <c r="M1734" s="29" t="n"/>
      <c r="N1734" s="28" t="n"/>
      <c r="O1734" s="24" t="n"/>
      <c r="P1734" s="24" t="n"/>
      <c r="Q1734" s="24" t="n"/>
      <c r="R1734" s="24" t="n"/>
      <c r="S1734" s="22">
        <f>IF(AND($A1734="",$C1734=""),"",IF($A1734="","Thiếu mã đơn; ","")&amp;IF(COUNTIF($A$2:$A1734,$A1734)&gt;1,"Trùng mã đơn; ","")&amp;IF(ISNA(MATCH($C1734,DATA_MASTER!$D$2:$D$5000,0)),"SĐT chưa đăng ký hội viên; ","")&amp;IF(AND($L1734="Đã chuyển khoản",$M1734=""),"Thiếu ngày nhận CK; ",""))</f>
        <v/>
      </c>
      <c r="T1734" s="24" t="n"/>
    </row>
    <row r="1735" ht="14.25" customHeight="1" s="40">
      <c r="A1735" s="24" t="n"/>
      <c r="B1735" s="29" t="n"/>
      <c r="C1735" s="28" t="n"/>
      <c r="D1735" s="22">
        <f t="array" ref="D1735">IF($C1735="","",IFERROR(INDEX(DATA_MASTER!$C$2:$C$5000,MATCH($C1735,DATA_MASTER!$D$2:$D$5000,0)),""))</f>
        <v/>
      </c>
      <c r="E1735" s="22">
        <f t="array" ref="E1735">IF($C1735="","",IFERROR(INDEX(DATA_MASTER!$I$2:$I$5000,MATCH($C1735,DATA_MASTER!$D$2:$D$5000,0)),""))</f>
        <v/>
      </c>
      <c r="F1735" s="22">
        <f t="array" ref="F1735">IF($C1735="","",IFERROR(INDEX(DATA_MASTER!$L$2:$L$5000,MATCH($C1735,DATA_MASTER!$D$2:$D$5000,0)),""))</f>
        <v/>
      </c>
      <c r="G1735" s="24" t="n"/>
      <c r="H1735" s="24" t="n"/>
      <c r="I1735" s="30" t="n"/>
      <c r="J1735" s="23">
        <f>IF(OR($H1735="",$I1735=""),"",$H1735*$I1735)</f>
        <v/>
      </c>
      <c r="K1735" s="24" t="n"/>
      <c r="L1735" s="24" t="n"/>
      <c r="M1735" s="29" t="n"/>
      <c r="N1735" s="28" t="n"/>
      <c r="O1735" s="24" t="n"/>
      <c r="P1735" s="24" t="n"/>
      <c r="Q1735" s="24" t="n"/>
      <c r="R1735" s="24" t="n"/>
      <c r="S1735" s="22">
        <f>IF(AND($A1735="",$C1735=""),"",IF($A1735="","Thiếu mã đơn; ","")&amp;IF(COUNTIF($A$2:$A1735,$A1735)&gt;1,"Trùng mã đơn; ","")&amp;IF(ISNA(MATCH($C1735,DATA_MASTER!$D$2:$D$5000,0)),"SĐT chưa đăng ký hội viên; ","")&amp;IF(AND($L1735="Đã chuyển khoản",$M1735=""),"Thiếu ngày nhận CK; ",""))</f>
        <v/>
      </c>
      <c r="T1735" s="24" t="n"/>
    </row>
    <row r="1736" ht="14.25" customHeight="1" s="40">
      <c r="A1736" s="24" t="n"/>
      <c r="B1736" s="29" t="n"/>
      <c r="C1736" s="28" t="n"/>
      <c r="D1736" s="22">
        <f t="array" ref="D1736">IF($C1736="","",IFERROR(INDEX(DATA_MASTER!$C$2:$C$5000,MATCH($C1736,DATA_MASTER!$D$2:$D$5000,0)),""))</f>
        <v/>
      </c>
      <c r="E1736" s="22">
        <f t="array" ref="E1736">IF($C1736="","",IFERROR(INDEX(DATA_MASTER!$I$2:$I$5000,MATCH($C1736,DATA_MASTER!$D$2:$D$5000,0)),""))</f>
        <v/>
      </c>
      <c r="F1736" s="22">
        <f t="array" ref="F1736">IF($C1736="","",IFERROR(INDEX(DATA_MASTER!$L$2:$L$5000,MATCH($C1736,DATA_MASTER!$D$2:$D$5000,0)),""))</f>
        <v/>
      </c>
      <c r="G1736" s="24" t="n"/>
      <c r="H1736" s="24" t="n"/>
      <c r="I1736" s="30" t="n"/>
      <c r="J1736" s="23">
        <f>IF(OR($H1736="",$I1736=""),"",$H1736*$I1736)</f>
        <v/>
      </c>
      <c r="K1736" s="24" t="n"/>
      <c r="L1736" s="24" t="n"/>
      <c r="M1736" s="29" t="n"/>
      <c r="N1736" s="28" t="n"/>
      <c r="O1736" s="24" t="n"/>
      <c r="P1736" s="24" t="n"/>
      <c r="Q1736" s="24" t="n"/>
      <c r="R1736" s="24" t="n"/>
      <c r="S1736" s="22">
        <f>IF(AND($A1736="",$C1736=""),"",IF($A1736="","Thiếu mã đơn; ","")&amp;IF(COUNTIF($A$2:$A1736,$A1736)&gt;1,"Trùng mã đơn; ","")&amp;IF(ISNA(MATCH($C1736,DATA_MASTER!$D$2:$D$5000,0)),"SĐT chưa đăng ký hội viên; ","")&amp;IF(AND($L1736="Đã chuyển khoản",$M1736=""),"Thiếu ngày nhận CK; ",""))</f>
        <v/>
      </c>
      <c r="T1736" s="24" t="n"/>
    </row>
    <row r="1737" ht="14.25" customHeight="1" s="40">
      <c r="A1737" s="24" t="n"/>
      <c r="B1737" s="29" t="n"/>
      <c r="C1737" s="28" t="n"/>
      <c r="D1737" s="22">
        <f t="array" ref="D1737">IF($C1737="","",IFERROR(INDEX(DATA_MASTER!$C$2:$C$5000,MATCH($C1737,DATA_MASTER!$D$2:$D$5000,0)),""))</f>
        <v/>
      </c>
      <c r="E1737" s="22">
        <f t="array" ref="E1737">IF($C1737="","",IFERROR(INDEX(DATA_MASTER!$I$2:$I$5000,MATCH($C1737,DATA_MASTER!$D$2:$D$5000,0)),""))</f>
        <v/>
      </c>
      <c r="F1737" s="22">
        <f t="array" ref="F1737">IF($C1737="","",IFERROR(INDEX(DATA_MASTER!$L$2:$L$5000,MATCH($C1737,DATA_MASTER!$D$2:$D$5000,0)),""))</f>
        <v/>
      </c>
      <c r="G1737" s="24" t="n"/>
      <c r="H1737" s="24" t="n"/>
      <c r="I1737" s="30" t="n"/>
      <c r="J1737" s="23">
        <f>IF(OR($H1737="",$I1737=""),"",$H1737*$I1737)</f>
        <v/>
      </c>
      <c r="K1737" s="24" t="n"/>
      <c r="L1737" s="24" t="n"/>
      <c r="M1737" s="29" t="n"/>
      <c r="N1737" s="28" t="n"/>
      <c r="O1737" s="24" t="n"/>
      <c r="P1737" s="24" t="n"/>
      <c r="Q1737" s="24" t="n"/>
      <c r="R1737" s="24" t="n"/>
      <c r="S1737" s="22">
        <f>IF(AND($A1737="",$C1737=""),"",IF($A1737="","Thiếu mã đơn; ","")&amp;IF(COUNTIF($A$2:$A1737,$A1737)&gt;1,"Trùng mã đơn; ","")&amp;IF(ISNA(MATCH($C1737,DATA_MASTER!$D$2:$D$5000,0)),"SĐT chưa đăng ký hội viên; ","")&amp;IF(AND($L1737="Đã chuyển khoản",$M1737=""),"Thiếu ngày nhận CK; ",""))</f>
        <v/>
      </c>
      <c r="T1737" s="24" t="n"/>
    </row>
    <row r="1738" ht="14.25" customHeight="1" s="40">
      <c r="A1738" s="24" t="n"/>
      <c r="B1738" s="29" t="n"/>
      <c r="C1738" s="28" t="n"/>
      <c r="D1738" s="22">
        <f t="array" ref="D1738">IF($C1738="","",IFERROR(INDEX(DATA_MASTER!$C$2:$C$5000,MATCH($C1738,DATA_MASTER!$D$2:$D$5000,0)),""))</f>
        <v/>
      </c>
      <c r="E1738" s="22">
        <f t="array" ref="E1738">IF($C1738="","",IFERROR(INDEX(DATA_MASTER!$I$2:$I$5000,MATCH($C1738,DATA_MASTER!$D$2:$D$5000,0)),""))</f>
        <v/>
      </c>
      <c r="F1738" s="22">
        <f t="array" ref="F1738">IF($C1738="","",IFERROR(INDEX(DATA_MASTER!$L$2:$L$5000,MATCH($C1738,DATA_MASTER!$D$2:$D$5000,0)),""))</f>
        <v/>
      </c>
      <c r="G1738" s="24" t="n"/>
      <c r="H1738" s="24" t="n"/>
      <c r="I1738" s="30" t="n"/>
      <c r="J1738" s="23">
        <f>IF(OR($H1738="",$I1738=""),"",$H1738*$I1738)</f>
        <v/>
      </c>
      <c r="K1738" s="24" t="n"/>
      <c r="L1738" s="24" t="n"/>
      <c r="M1738" s="29" t="n"/>
      <c r="N1738" s="28" t="n"/>
      <c r="O1738" s="24" t="n"/>
      <c r="P1738" s="24" t="n"/>
      <c r="Q1738" s="24" t="n"/>
      <c r="R1738" s="24" t="n"/>
      <c r="S1738" s="22">
        <f>IF(AND($A1738="",$C1738=""),"",IF($A1738="","Thiếu mã đơn; ","")&amp;IF(COUNTIF($A$2:$A1738,$A1738)&gt;1,"Trùng mã đơn; ","")&amp;IF(ISNA(MATCH($C1738,DATA_MASTER!$D$2:$D$5000,0)),"SĐT chưa đăng ký hội viên; ","")&amp;IF(AND($L1738="Đã chuyển khoản",$M1738=""),"Thiếu ngày nhận CK; ",""))</f>
        <v/>
      </c>
      <c r="T1738" s="24" t="n"/>
    </row>
    <row r="1739" ht="14.25" customHeight="1" s="40">
      <c r="A1739" s="24" t="n"/>
      <c r="B1739" s="29" t="n"/>
      <c r="C1739" s="28" t="n"/>
      <c r="D1739" s="22">
        <f t="array" ref="D1739">IF($C1739="","",IFERROR(INDEX(DATA_MASTER!$C$2:$C$5000,MATCH($C1739,DATA_MASTER!$D$2:$D$5000,0)),""))</f>
        <v/>
      </c>
      <c r="E1739" s="22">
        <f t="array" ref="E1739">IF($C1739="","",IFERROR(INDEX(DATA_MASTER!$I$2:$I$5000,MATCH($C1739,DATA_MASTER!$D$2:$D$5000,0)),""))</f>
        <v/>
      </c>
      <c r="F1739" s="22">
        <f t="array" ref="F1739">IF($C1739="","",IFERROR(INDEX(DATA_MASTER!$L$2:$L$5000,MATCH($C1739,DATA_MASTER!$D$2:$D$5000,0)),""))</f>
        <v/>
      </c>
      <c r="G1739" s="24" t="n"/>
      <c r="H1739" s="24" t="n"/>
      <c r="I1739" s="30" t="n"/>
      <c r="J1739" s="23">
        <f>IF(OR($H1739="",$I1739=""),"",$H1739*$I1739)</f>
        <v/>
      </c>
      <c r="K1739" s="24" t="n"/>
      <c r="L1739" s="24" t="n"/>
      <c r="M1739" s="29" t="n"/>
      <c r="N1739" s="28" t="n"/>
      <c r="O1739" s="24" t="n"/>
      <c r="P1739" s="24" t="n"/>
      <c r="Q1739" s="24" t="n"/>
      <c r="R1739" s="24" t="n"/>
      <c r="S1739" s="22">
        <f>IF(AND($A1739="",$C1739=""),"",IF($A1739="","Thiếu mã đơn; ","")&amp;IF(COUNTIF($A$2:$A1739,$A1739)&gt;1,"Trùng mã đơn; ","")&amp;IF(ISNA(MATCH($C1739,DATA_MASTER!$D$2:$D$5000,0)),"SĐT chưa đăng ký hội viên; ","")&amp;IF(AND($L1739="Đã chuyển khoản",$M1739=""),"Thiếu ngày nhận CK; ",""))</f>
        <v/>
      </c>
      <c r="T1739" s="24" t="n"/>
    </row>
    <row r="1740" ht="14.25" customHeight="1" s="40">
      <c r="A1740" s="24" t="n"/>
      <c r="B1740" s="29" t="n"/>
      <c r="C1740" s="28" t="n"/>
      <c r="D1740" s="22">
        <f t="array" ref="D1740">IF($C1740="","",IFERROR(INDEX(DATA_MASTER!$C$2:$C$5000,MATCH($C1740,DATA_MASTER!$D$2:$D$5000,0)),""))</f>
        <v/>
      </c>
      <c r="E1740" s="22">
        <f t="array" ref="E1740">IF($C1740="","",IFERROR(INDEX(DATA_MASTER!$I$2:$I$5000,MATCH($C1740,DATA_MASTER!$D$2:$D$5000,0)),""))</f>
        <v/>
      </c>
      <c r="F1740" s="22">
        <f t="array" ref="F1740">IF($C1740="","",IFERROR(INDEX(DATA_MASTER!$L$2:$L$5000,MATCH($C1740,DATA_MASTER!$D$2:$D$5000,0)),""))</f>
        <v/>
      </c>
      <c r="G1740" s="24" t="n"/>
      <c r="H1740" s="24" t="n"/>
      <c r="I1740" s="30" t="n"/>
      <c r="J1740" s="23">
        <f>IF(OR($H1740="",$I1740=""),"",$H1740*$I1740)</f>
        <v/>
      </c>
      <c r="K1740" s="24" t="n"/>
      <c r="L1740" s="24" t="n"/>
      <c r="M1740" s="29" t="n"/>
      <c r="N1740" s="28" t="n"/>
      <c r="O1740" s="24" t="n"/>
      <c r="P1740" s="24" t="n"/>
      <c r="Q1740" s="24" t="n"/>
      <c r="R1740" s="24" t="n"/>
      <c r="S1740" s="22">
        <f>IF(AND($A1740="",$C1740=""),"",IF($A1740="","Thiếu mã đơn; ","")&amp;IF(COUNTIF($A$2:$A1740,$A1740)&gt;1,"Trùng mã đơn; ","")&amp;IF(ISNA(MATCH($C1740,DATA_MASTER!$D$2:$D$5000,0)),"SĐT chưa đăng ký hội viên; ","")&amp;IF(AND($L1740="Đã chuyển khoản",$M1740=""),"Thiếu ngày nhận CK; ",""))</f>
        <v/>
      </c>
      <c r="T1740" s="24" t="n"/>
    </row>
    <row r="1741" ht="14.25" customHeight="1" s="40">
      <c r="A1741" s="24" t="n"/>
      <c r="B1741" s="29" t="n"/>
      <c r="C1741" s="28" t="n"/>
      <c r="D1741" s="22">
        <f t="array" ref="D1741">IF($C1741="","",IFERROR(INDEX(DATA_MASTER!$C$2:$C$5000,MATCH($C1741,DATA_MASTER!$D$2:$D$5000,0)),""))</f>
        <v/>
      </c>
      <c r="E1741" s="22">
        <f t="array" ref="E1741">IF($C1741="","",IFERROR(INDEX(DATA_MASTER!$I$2:$I$5000,MATCH($C1741,DATA_MASTER!$D$2:$D$5000,0)),""))</f>
        <v/>
      </c>
      <c r="F1741" s="22">
        <f t="array" ref="F1741">IF($C1741="","",IFERROR(INDEX(DATA_MASTER!$L$2:$L$5000,MATCH($C1741,DATA_MASTER!$D$2:$D$5000,0)),""))</f>
        <v/>
      </c>
      <c r="G1741" s="24" t="n"/>
      <c r="H1741" s="24" t="n"/>
      <c r="I1741" s="30" t="n"/>
      <c r="J1741" s="23">
        <f>IF(OR($H1741="",$I1741=""),"",$H1741*$I1741)</f>
        <v/>
      </c>
      <c r="K1741" s="24" t="n"/>
      <c r="L1741" s="24" t="n"/>
      <c r="M1741" s="29" t="n"/>
      <c r="N1741" s="28" t="n"/>
      <c r="O1741" s="24" t="n"/>
      <c r="P1741" s="24" t="n"/>
      <c r="Q1741" s="24" t="n"/>
      <c r="R1741" s="24" t="n"/>
      <c r="S1741" s="22">
        <f>IF(AND($A1741="",$C1741=""),"",IF($A1741="","Thiếu mã đơn; ","")&amp;IF(COUNTIF($A$2:$A1741,$A1741)&gt;1,"Trùng mã đơn; ","")&amp;IF(ISNA(MATCH($C1741,DATA_MASTER!$D$2:$D$5000,0)),"SĐT chưa đăng ký hội viên; ","")&amp;IF(AND($L1741="Đã chuyển khoản",$M1741=""),"Thiếu ngày nhận CK; ",""))</f>
        <v/>
      </c>
      <c r="T1741" s="24" t="n"/>
    </row>
    <row r="1742" ht="14.25" customHeight="1" s="40">
      <c r="A1742" s="24" t="n"/>
      <c r="B1742" s="29" t="n"/>
      <c r="C1742" s="28" t="n"/>
      <c r="D1742" s="22">
        <f t="array" ref="D1742">IF($C1742="","",IFERROR(INDEX(DATA_MASTER!$C$2:$C$5000,MATCH($C1742,DATA_MASTER!$D$2:$D$5000,0)),""))</f>
        <v/>
      </c>
      <c r="E1742" s="22">
        <f t="array" ref="E1742">IF($C1742="","",IFERROR(INDEX(DATA_MASTER!$I$2:$I$5000,MATCH($C1742,DATA_MASTER!$D$2:$D$5000,0)),""))</f>
        <v/>
      </c>
      <c r="F1742" s="22">
        <f t="array" ref="F1742">IF($C1742="","",IFERROR(INDEX(DATA_MASTER!$L$2:$L$5000,MATCH($C1742,DATA_MASTER!$D$2:$D$5000,0)),""))</f>
        <v/>
      </c>
      <c r="G1742" s="24" t="n"/>
      <c r="H1742" s="24" t="n"/>
      <c r="I1742" s="30" t="n"/>
      <c r="J1742" s="23">
        <f>IF(OR($H1742="",$I1742=""),"",$H1742*$I1742)</f>
        <v/>
      </c>
      <c r="K1742" s="24" t="n"/>
      <c r="L1742" s="24" t="n"/>
      <c r="M1742" s="29" t="n"/>
      <c r="N1742" s="28" t="n"/>
      <c r="O1742" s="24" t="n"/>
      <c r="P1742" s="24" t="n"/>
      <c r="Q1742" s="24" t="n"/>
      <c r="R1742" s="24" t="n"/>
      <c r="S1742" s="22">
        <f>IF(AND($A1742="",$C1742=""),"",IF($A1742="","Thiếu mã đơn; ","")&amp;IF(COUNTIF($A$2:$A1742,$A1742)&gt;1,"Trùng mã đơn; ","")&amp;IF(ISNA(MATCH($C1742,DATA_MASTER!$D$2:$D$5000,0)),"SĐT chưa đăng ký hội viên; ","")&amp;IF(AND($L1742="Đã chuyển khoản",$M1742=""),"Thiếu ngày nhận CK; ",""))</f>
        <v/>
      </c>
      <c r="T1742" s="24" t="n"/>
    </row>
    <row r="1743" ht="14.25" customHeight="1" s="40">
      <c r="A1743" s="24" t="n"/>
      <c r="B1743" s="29" t="n"/>
      <c r="C1743" s="28" t="n"/>
      <c r="D1743" s="22">
        <f t="array" ref="D1743">IF($C1743="","",IFERROR(INDEX(DATA_MASTER!$C$2:$C$5000,MATCH($C1743,DATA_MASTER!$D$2:$D$5000,0)),""))</f>
        <v/>
      </c>
      <c r="E1743" s="22">
        <f t="array" ref="E1743">IF($C1743="","",IFERROR(INDEX(DATA_MASTER!$I$2:$I$5000,MATCH($C1743,DATA_MASTER!$D$2:$D$5000,0)),""))</f>
        <v/>
      </c>
      <c r="F1743" s="22">
        <f t="array" ref="F1743">IF($C1743="","",IFERROR(INDEX(DATA_MASTER!$L$2:$L$5000,MATCH($C1743,DATA_MASTER!$D$2:$D$5000,0)),""))</f>
        <v/>
      </c>
      <c r="G1743" s="24" t="n"/>
      <c r="H1743" s="24" t="n"/>
      <c r="I1743" s="30" t="n"/>
      <c r="J1743" s="23">
        <f>IF(OR($H1743="",$I1743=""),"",$H1743*$I1743)</f>
        <v/>
      </c>
      <c r="K1743" s="24" t="n"/>
      <c r="L1743" s="24" t="n"/>
      <c r="M1743" s="29" t="n"/>
      <c r="N1743" s="28" t="n"/>
      <c r="O1743" s="24" t="n"/>
      <c r="P1743" s="24" t="n"/>
      <c r="Q1743" s="24" t="n"/>
      <c r="R1743" s="24" t="n"/>
      <c r="S1743" s="22">
        <f>IF(AND($A1743="",$C1743=""),"",IF($A1743="","Thiếu mã đơn; ","")&amp;IF(COUNTIF($A$2:$A1743,$A1743)&gt;1,"Trùng mã đơn; ","")&amp;IF(ISNA(MATCH($C1743,DATA_MASTER!$D$2:$D$5000,0)),"SĐT chưa đăng ký hội viên; ","")&amp;IF(AND($L1743="Đã chuyển khoản",$M1743=""),"Thiếu ngày nhận CK; ",""))</f>
        <v/>
      </c>
      <c r="T1743" s="24" t="n"/>
    </row>
    <row r="1744" ht="14.25" customHeight="1" s="40">
      <c r="A1744" s="24" t="n"/>
      <c r="B1744" s="29" t="n"/>
      <c r="C1744" s="28" t="n"/>
      <c r="D1744" s="22">
        <f t="array" ref="D1744">IF($C1744="","",IFERROR(INDEX(DATA_MASTER!$C$2:$C$5000,MATCH($C1744,DATA_MASTER!$D$2:$D$5000,0)),""))</f>
        <v/>
      </c>
      <c r="E1744" s="22">
        <f t="array" ref="E1744">IF($C1744="","",IFERROR(INDEX(DATA_MASTER!$I$2:$I$5000,MATCH($C1744,DATA_MASTER!$D$2:$D$5000,0)),""))</f>
        <v/>
      </c>
      <c r="F1744" s="22">
        <f t="array" ref="F1744">IF($C1744="","",IFERROR(INDEX(DATA_MASTER!$L$2:$L$5000,MATCH($C1744,DATA_MASTER!$D$2:$D$5000,0)),""))</f>
        <v/>
      </c>
      <c r="G1744" s="24" t="n"/>
      <c r="H1744" s="24" t="n"/>
      <c r="I1744" s="30" t="n"/>
      <c r="J1744" s="23">
        <f>IF(OR($H1744="",$I1744=""),"",$H1744*$I1744)</f>
        <v/>
      </c>
      <c r="K1744" s="24" t="n"/>
      <c r="L1744" s="24" t="n"/>
      <c r="M1744" s="29" t="n"/>
      <c r="N1744" s="28" t="n"/>
      <c r="O1744" s="24" t="n"/>
      <c r="P1744" s="24" t="n"/>
      <c r="Q1744" s="24" t="n"/>
      <c r="R1744" s="24" t="n"/>
      <c r="S1744" s="22">
        <f>IF(AND($A1744="",$C1744=""),"",IF($A1744="","Thiếu mã đơn; ","")&amp;IF(COUNTIF($A$2:$A1744,$A1744)&gt;1,"Trùng mã đơn; ","")&amp;IF(ISNA(MATCH($C1744,DATA_MASTER!$D$2:$D$5000,0)),"SĐT chưa đăng ký hội viên; ","")&amp;IF(AND($L1744="Đã chuyển khoản",$M1744=""),"Thiếu ngày nhận CK; ",""))</f>
        <v/>
      </c>
      <c r="T1744" s="24" t="n"/>
    </row>
    <row r="1745" ht="14.25" customHeight="1" s="40">
      <c r="A1745" s="24" t="n"/>
      <c r="B1745" s="29" t="n"/>
      <c r="C1745" s="28" t="n"/>
      <c r="D1745" s="22">
        <f t="array" ref="D1745">IF($C1745="","",IFERROR(INDEX(DATA_MASTER!$C$2:$C$5000,MATCH($C1745,DATA_MASTER!$D$2:$D$5000,0)),""))</f>
        <v/>
      </c>
      <c r="E1745" s="22">
        <f t="array" ref="E1745">IF($C1745="","",IFERROR(INDEX(DATA_MASTER!$I$2:$I$5000,MATCH($C1745,DATA_MASTER!$D$2:$D$5000,0)),""))</f>
        <v/>
      </c>
      <c r="F1745" s="22">
        <f t="array" ref="F1745">IF($C1745="","",IFERROR(INDEX(DATA_MASTER!$L$2:$L$5000,MATCH($C1745,DATA_MASTER!$D$2:$D$5000,0)),""))</f>
        <v/>
      </c>
      <c r="G1745" s="24" t="n"/>
      <c r="H1745" s="24" t="n"/>
      <c r="I1745" s="30" t="n"/>
      <c r="J1745" s="23">
        <f>IF(OR($H1745="",$I1745=""),"",$H1745*$I1745)</f>
        <v/>
      </c>
      <c r="K1745" s="24" t="n"/>
      <c r="L1745" s="24" t="n"/>
      <c r="M1745" s="29" t="n"/>
      <c r="N1745" s="28" t="n"/>
      <c r="O1745" s="24" t="n"/>
      <c r="P1745" s="24" t="n"/>
      <c r="Q1745" s="24" t="n"/>
      <c r="R1745" s="24" t="n"/>
      <c r="S1745" s="22">
        <f>IF(AND($A1745="",$C1745=""),"",IF($A1745="","Thiếu mã đơn; ","")&amp;IF(COUNTIF($A$2:$A1745,$A1745)&gt;1,"Trùng mã đơn; ","")&amp;IF(ISNA(MATCH($C1745,DATA_MASTER!$D$2:$D$5000,0)),"SĐT chưa đăng ký hội viên; ","")&amp;IF(AND($L1745="Đã chuyển khoản",$M1745=""),"Thiếu ngày nhận CK; ",""))</f>
        <v/>
      </c>
      <c r="T1745" s="24" t="n"/>
    </row>
    <row r="1746" ht="14.25" customHeight="1" s="40">
      <c r="A1746" s="24" t="n"/>
      <c r="B1746" s="29" t="n"/>
      <c r="C1746" s="28" t="n"/>
      <c r="D1746" s="22">
        <f t="array" ref="D1746">IF($C1746="","",IFERROR(INDEX(DATA_MASTER!$C$2:$C$5000,MATCH($C1746,DATA_MASTER!$D$2:$D$5000,0)),""))</f>
        <v/>
      </c>
      <c r="E1746" s="22">
        <f t="array" ref="E1746">IF($C1746="","",IFERROR(INDEX(DATA_MASTER!$I$2:$I$5000,MATCH($C1746,DATA_MASTER!$D$2:$D$5000,0)),""))</f>
        <v/>
      </c>
      <c r="F1746" s="22">
        <f t="array" ref="F1746">IF($C1746="","",IFERROR(INDEX(DATA_MASTER!$L$2:$L$5000,MATCH($C1746,DATA_MASTER!$D$2:$D$5000,0)),""))</f>
        <v/>
      </c>
      <c r="G1746" s="24" t="n"/>
      <c r="H1746" s="24" t="n"/>
      <c r="I1746" s="30" t="n"/>
      <c r="J1746" s="23">
        <f>IF(OR($H1746="",$I1746=""),"",$H1746*$I1746)</f>
        <v/>
      </c>
      <c r="K1746" s="24" t="n"/>
      <c r="L1746" s="24" t="n"/>
      <c r="M1746" s="29" t="n"/>
      <c r="N1746" s="28" t="n"/>
      <c r="O1746" s="24" t="n"/>
      <c r="P1746" s="24" t="n"/>
      <c r="Q1746" s="24" t="n"/>
      <c r="R1746" s="24" t="n"/>
      <c r="S1746" s="22">
        <f>IF(AND($A1746="",$C1746=""),"",IF($A1746="","Thiếu mã đơn; ","")&amp;IF(COUNTIF($A$2:$A1746,$A1746)&gt;1,"Trùng mã đơn; ","")&amp;IF(ISNA(MATCH($C1746,DATA_MASTER!$D$2:$D$5000,0)),"SĐT chưa đăng ký hội viên; ","")&amp;IF(AND($L1746="Đã chuyển khoản",$M1746=""),"Thiếu ngày nhận CK; ",""))</f>
        <v/>
      </c>
      <c r="T1746" s="24" t="n"/>
    </row>
    <row r="1747" ht="14.25" customHeight="1" s="40">
      <c r="A1747" s="24" t="n"/>
      <c r="B1747" s="29" t="n"/>
      <c r="C1747" s="28" t="n"/>
      <c r="D1747" s="22">
        <f t="array" ref="D1747">IF($C1747="","",IFERROR(INDEX(DATA_MASTER!$C$2:$C$5000,MATCH($C1747,DATA_MASTER!$D$2:$D$5000,0)),""))</f>
        <v/>
      </c>
      <c r="E1747" s="22">
        <f t="array" ref="E1747">IF($C1747="","",IFERROR(INDEX(DATA_MASTER!$I$2:$I$5000,MATCH($C1747,DATA_MASTER!$D$2:$D$5000,0)),""))</f>
        <v/>
      </c>
      <c r="F1747" s="22">
        <f t="array" ref="F1747">IF($C1747="","",IFERROR(INDEX(DATA_MASTER!$L$2:$L$5000,MATCH($C1747,DATA_MASTER!$D$2:$D$5000,0)),""))</f>
        <v/>
      </c>
      <c r="G1747" s="24" t="n"/>
      <c r="H1747" s="24" t="n"/>
      <c r="I1747" s="30" t="n"/>
      <c r="J1747" s="23">
        <f>IF(OR($H1747="",$I1747=""),"",$H1747*$I1747)</f>
        <v/>
      </c>
      <c r="K1747" s="24" t="n"/>
      <c r="L1747" s="24" t="n"/>
      <c r="M1747" s="29" t="n"/>
      <c r="N1747" s="28" t="n"/>
      <c r="O1747" s="24" t="n"/>
      <c r="P1747" s="24" t="n"/>
      <c r="Q1747" s="24" t="n"/>
      <c r="R1747" s="24" t="n"/>
      <c r="S1747" s="22">
        <f>IF(AND($A1747="",$C1747=""),"",IF($A1747="","Thiếu mã đơn; ","")&amp;IF(COUNTIF($A$2:$A1747,$A1747)&gt;1,"Trùng mã đơn; ","")&amp;IF(ISNA(MATCH($C1747,DATA_MASTER!$D$2:$D$5000,0)),"SĐT chưa đăng ký hội viên; ","")&amp;IF(AND($L1747="Đã chuyển khoản",$M1747=""),"Thiếu ngày nhận CK; ",""))</f>
        <v/>
      </c>
      <c r="T1747" s="24" t="n"/>
    </row>
    <row r="1748" ht="14.25" customHeight="1" s="40">
      <c r="A1748" s="24" t="n"/>
      <c r="B1748" s="29" t="n"/>
      <c r="C1748" s="28" t="n"/>
      <c r="D1748" s="22">
        <f t="array" ref="D1748">IF($C1748="","",IFERROR(INDEX(DATA_MASTER!$C$2:$C$5000,MATCH($C1748,DATA_MASTER!$D$2:$D$5000,0)),""))</f>
        <v/>
      </c>
      <c r="E1748" s="22">
        <f t="array" ref="E1748">IF($C1748="","",IFERROR(INDEX(DATA_MASTER!$I$2:$I$5000,MATCH($C1748,DATA_MASTER!$D$2:$D$5000,0)),""))</f>
        <v/>
      </c>
      <c r="F1748" s="22">
        <f t="array" ref="F1748">IF($C1748="","",IFERROR(INDEX(DATA_MASTER!$L$2:$L$5000,MATCH($C1748,DATA_MASTER!$D$2:$D$5000,0)),""))</f>
        <v/>
      </c>
      <c r="G1748" s="24" t="n"/>
      <c r="H1748" s="24" t="n"/>
      <c r="I1748" s="30" t="n"/>
      <c r="J1748" s="23">
        <f>IF(OR($H1748="",$I1748=""),"",$H1748*$I1748)</f>
        <v/>
      </c>
      <c r="K1748" s="24" t="n"/>
      <c r="L1748" s="24" t="n"/>
      <c r="M1748" s="29" t="n"/>
      <c r="N1748" s="28" t="n"/>
      <c r="O1748" s="24" t="n"/>
      <c r="P1748" s="24" t="n"/>
      <c r="Q1748" s="24" t="n"/>
      <c r="R1748" s="24" t="n"/>
      <c r="S1748" s="22">
        <f>IF(AND($A1748="",$C1748=""),"",IF($A1748="","Thiếu mã đơn; ","")&amp;IF(COUNTIF($A$2:$A1748,$A1748)&gt;1,"Trùng mã đơn; ","")&amp;IF(ISNA(MATCH($C1748,DATA_MASTER!$D$2:$D$5000,0)),"SĐT chưa đăng ký hội viên; ","")&amp;IF(AND($L1748="Đã chuyển khoản",$M1748=""),"Thiếu ngày nhận CK; ",""))</f>
        <v/>
      </c>
      <c r="T1748" s="24" t="n"/>
    </row>
    <row r="1749" ht="14.25" customHeight="1" s="40">
      <c r="A1749" s="24" t="n"/>
      <c r="B1749" s="29" t="n"/>
      <c r="C1749" s="28" t="n"/>
      <c r="D1749" s="22">
        <f t="array" ref="D1749">IF($C1749="","",IFERROR(INDEX(DATA_MASTER!$C$2:$C$5000,MATCH($C1749,DATA_MASTER!$D$2:$D$5000,0)),""))</f>
        <v/>
      </c>
      <c r="E1749" s="22">
        <f t="array" ref="E1749">IF($C1749="","",IFERROR(INDEX(DATA_MASTER!$I$2:$I$5000,MATCH($C1749,DATA_MASTER!$D$2:$D$5000,0)),""))</f>
        <v/>
      </c>
      <c r="F1749" s="22">
        <f t="array" ref="F1749">IF($C1749="","",IFERROR(INDEX(DATA_MASTER!$L$2:$L$5000,MATCH($C1749,DATA_MASTER!$D$2:$D$5000,0)),""))</f>
        <v/>
      </c>
      <c r="G1749" s="24" t="n"/>
      <c r="H1749" s="24" t="n"/>
      <c r="I1749" s="30" t="n"/>
      <c r="J1749" s="23">
        <f>IF(OR($H1749="",$I1749=""),"",$H1749*$I1749)</f>
        <v/>
      </c>
      <c r="K1749" s="24" t="n"/>
      <c r="L1749" s="24" t="n"/>
      <c r="M1749" s="29" t="n"/>
      <c r="N1749" s="28" t="n"/>
      <c r="O1749" s="24" t="n"/>
      <c r="P1749" s="24" t="n"/>
      <c r="Q1749" s="24" t="n"/>
      <c r="R1749" s="24" t="n"/>
      <c r="S1749" s="22">
        <f>IF(AND($A1749="",$C1749=""),"",IF($A1749="","Thiếu mã đơn; ","")&amp;IF(COUNTIF($A$2:$A1749,$A1749)&gt;1,"Trùng mã đơn; ","")&amp;IF(ISNA(MATCH($C1749,DATA_MASTER!$D$2:$D$5000,0)),"SĐT chưa đăng ký hội viên; ","")&amp;IF(AND($L1749="Đã chuyển khoản",$M1749=""),"Thiếu ngày nhận CK; ",""))</f>
        <v/>
      </c>
      <c r="T1749" s="24" t="n"/>
    </row>
    <row r="1750" ht="14.25" customHeight="1" s="40">
      <c r="A1750" s="24" t="n"/>
      <c r="B1750" s="29" t="n"/>
      <c r="C1750" s="28" t="n"/>
      <c r="D1750" s="22">
        <f t="array" ref="D1750">IF($C1750="","",IFERROR(INDEX(DATA_MASTER!$C$2:$C$5000,MATCH($C1750,DATA_MASTER!$D$2:$D$5000,0)),""))</f>
        <v/>
      </c>
      <c r="E1750" s="22">
        <f t="array" ref="E1750">IF($C1750="","",IFERROR(INDEX(DATA_MASTER!$I$2:$I$5000,MATCH($C1750,DATA_MASTER!$D$2:$D$5000,0)),""))</f>
        <v/>
      </c>
      <c r="F1750" s="22">
        <f t="array" ref="F1750">IF($C1750="","",IFERROR(INDEX(DATA_MASTER!$L$2:$L$5000,MATCH($C1750,DATA_MASTER!$D$2:$D$5000,0)),""))</f>
        <v/>
      </c>
      <c r="G1750" s="24" t="n"/>
      <c r="H1750" s="24" t="n"/>
      <c r="I1750" s="30" t="n"/>
      <c r="J1750" s="23">
        <f>IF(OR($H1750="",$I1750=""),"",$H1750*$I1750)</f>
        <v/>
      </c>
      <c r="K1750" s="24" t="n"/>
      <c r="L1750" s="24" t="n"/>
      <c r="M1750" s="29" t="n"/>
      <c r="N1750" s="28" t="n"/>
      <c r="O1750" s="24" t="n"/>
      <c r="P1750" s="24" t="n"/>
      <c r="Q1750" s="24" t="n"/>
      <c r="R1750" s="24" t="n"/>
      <c r="S1750" s="22">
        <f>IF(AND($A1750="",$C1750=""),"",IF($A1750="","Thiếu mã đơn; ","")&amp;IF(COUNTIF($A$2:$A1750,$A1750)&gt;1,"Trùng mã đơn; ","")&amp;IF(ISNA(MATCH($C1750,DATA_MASTER!$D$2:$D$5000,0)),"SĐT chưa đăng ký hội viên; ","")&amp;IF(AND($L1750="Đã chuyển khoản",$M1750=""),"Thiếu ngày nhận CK; ",""))</f>
        <v/>
      </c>
      <c r="T1750" s="24" t="n"/>
    </row>
    <row r="1751" ht="14.25" customHeight="1" s="40">
      <c r="A1751" s="24" t="n"/>
      <c r="B1751" s="29" t="n"/>
      <c r="C1751" s="28" t="n"/>
      <c r="D1751" s="22">
        <f t="array" ref="D1751">IF($C1751="","",IFERROR(INDEX(DATA_MASTER!$C$2:$C$5000,MATCH($C1751,DATA_MASTER!$D$2:$D$5000,0)),""))</f>
        <v/>
      </c>
      <c r="E1751" s="22">
        <f t="array" ref="E1751">IF($C1751="","",IFERROR(INDEX(DATA_MASTER!$I$2:$I$5000,MATCH($C1751,DATA_MASTER!$D$2:$D$5000,0)),""))</f>
        <v/>
      </c>
      <c r="F1751" s="22">
        <f t="array" ref="F1751">IF($C1751="","",IFERROR(INDEX(DATA_MASTER!$L$2:$L$5000,MATCH($C1751,DATA_MASTER!$D$2:$D$5000,0)),""))</f>
        <v/>
      </c>
      <c r="G1751" s="24" t="n"/>
      <c r="H1751" s="24" t="n"/>
      <c r="I1751" s="30" t="n"/>
      <c r="J1751" s="23">
        <f>IF(OR($H1751="",$I1751=""),"",$H1751*$I1751)</f>
        <v/>
      </c>
      <c r="K1751" s="24" t="n"/>
      <c r="L1751" s="24" t="n"/>
      <c r="M1751" s="29" t="n"/>
      <c r="N1751" s="28" t="n"/>
      <c r="O1751" s="24" t="n"/>
      <c r="P1751" s="24" t="n"/>
      <c r="Q1751" s="24" t="n"/>
      <c r="R1751" s="24" t="n"/>
      <c r="S1751" s="22">
        <f>IF(AND($A1751="",$C1751=""),"",IF($A1751="","Thiếu mã đơn; ","")&amp;IF(COUNTIF($A$2:$A1751,$A1751)&gt;1,"Trùng mã đơn; ","")&amp;IF(ISNA(MATCH($C1751,DATA_MASTER!$D$2:$D$5000,0)),"SĐT chưa đăng ký hội viên; ","")&amp;IF(AND($L1751="Đã chuyển khoản",$M1751=""),"Thiếu ngày nhận CK; ",""))</f>
        <v/>
      </c>
      <c r="T1751" s="24" t="n"/>
    </row>
    <row r="1752" ht="14.25" customHeight="1" s="40">
      <c r="A1752" s="24" t="n"/>
      <c r="B1752" s="29" t="n"/>
      <c r="C1752" s="28" t="n"/>
      <c r="D1752" s="22">
        <f t="array" ref="D1752">IF($C1752="","",IFERROR(INDEX(DATA_MASTER!$C$2:$C$5000,MATCH($C1752,DATA_MASTER!$D$2:$D$5000,0)),""))</f>
        <v/>
      </c>
      <c r="E1752" s="22">
        <f t="array" ref="E1752">IF($C1752="","",IFERROR(INDEX(DATA_MASTER!$I$2:$I$5000,MATCH($C1752,DATA_MASTER!$D$2:$D$5000,0)),""))</f>
        <v/>
      </c>
      <c r="F1752" s="22">
        <f t="array" ref="F1752">IF($C1752="","",IFERROR(INDEX(DATA_MASTER!$L$2:$L$5000,MATCH($C1752,DATA_MASTER!$D$2:$D$5000,0)),""))</f>
        <v/>
      </c>
      <c r="G1752" s="24" t="n"/>
      <c r="H1752" s="24" t="n"/>
      <c r="I1752" s="30" t="n"/>
      <c r="J1752" s="23">
        <f>IF(OR($H1752="",$I1752=""),"",$H1752*$I1752)</f>
        <v/>
      </c>
      <c r="K1752" s="24" t="n"/>
      <c r="L1752" s="24" t="n"/>
      <c r="M1752" s="29" t="n"/>
      <c r="N1752" s="28" t="n"/>
      <c r="O1752" s="24" t="n"/>
      <c r="P1752" s="24" t="n"/>
      <c r="Q1752" s="24" t="n"/>
      <c r="R1752" s="24" t="n"/>
      <c r="S1752" s="22">
        <f>IF(AND($A1752="",$C1752=""),"",IF($A1752="","Thiếu mã đơn; ","")&amp;IF(COUNTIF($A$2:$A1752,$A1752)&gt;1,"Trùng mã đơn; ","")&amp;IF(ISNA(MATCH($C1752,DATA_MASTER!$D$2:$D$5000,0)),"SĐT chưa đăng ký hội viên; ","")&amp;IF(AND($L1752="Đã chuyển khoản",$M1752=""),"Thiếu ngày nhận CK; ",""))</f>
        <v/>
      </c>
      <c r="T1752" s="24" t="n"/>
    </row>
    <row r="1753" ht="14.25" customHeight="1" s="40">
      <c r="A1753" s="24" t="n"/>
      <c r="B1753" s="29" t="n"/>
      <c r="C1753" s="28" t="n"/>
      <c r="D1753" s="22">
        <f t="array" ref="D1753">IF($C1753="","",IFERROR(INDEX(DATA_MASTER!$C$2:$C$5000,MATCH($C1753,DATA_MASTER!$D$2:$D$5000,0)),""))</f>
        <v/>
      </c>
      <c r="E1753" s="22">
        <f t="array" ref="E1753">IF($C1753="","",IFERROR(INDEX(DATA_MASTER!$I$2:$I$5000,MATCH($C1753,DATA_MASTER!$D$2:$D$5000,0)),""))</f>
        <v/>
      </c>
      <c r="F1753" s="22">
        <f t="array" ref="F1753">IF($C1753="","",IFERROR(INDEX(DATA_MASTER!$L$2:$L$5000,MATCH($C1753,DATA_MASTER!$D$2:$D$5000,0)),""))</f>
        <v/>
      </c>
      <c r="G1753" s="24" t="n"/>
      <c r="H1753" s="24" t="n"/>
      <c r="I1753" s="30" t="n"/>
      <c r="J1753" s="23">
        <f>IF(OR($H1753="",$I1753=""),"",$H1753*$I1753)</f>
        <v/>
      </c>
      <c r="K1753" s="24" t="n"/>
      <c r="L1753" s="24" t="n"/>
      <c r="M1753" s="29" t="n"/>
      <c r="N1753" s="28" t="n"/>
      <c r="O1753" s="24" t="n"/>
      <c r="P1753" s="24" t="n"/>
      <c r="Q1753" s="24" t="n"/>
      <c r="R1753" s="24" t="n"/>
      <c r="S1753" s="22">
        <f>IF(AND($A1753="",$C1753=""),"",IF($A1753="","Thiếu mã đơn; ","")&amp;IF(COUNTIF($A$2:$A1753,$A1753)&gt;1,"Trùng mã đơn; ","")&amp;IF(ISNA(MATCH($C1753,DATA_MASTER!$D$2:$D$5000,0)),"SĐT chưa đăng ký hội viên; ","")&amp;IF(AND($L1753="Đã chuyển khoản",$M1753=""),"Thiếu ngày nhận CK; ",""))</f>
        <v/>
      </c>
      <c r="T1753" s="24" t="n"/>
    </row>
    <row r="1754" ht="14.25" customHeight="1" s="40">
      <c r="A1754" s="24" t="n"/>
      <c r="B1754" s="29" t="n"/>
      <c r="C1754" s="28" t="n"/>
      <c r="D1754" s="22">
        <f t="array" ref="D1754">IF($C1754="","",IFERROR(INDEX(DATA_MASTER!$C$2:$C$5000,MATCH($C1754,DATA_MASTER!$D$2:$D$5000,0)),""))</f>
        <v/>
      </c>
      <c r="E1754" s="22">
        <f t="array" ref="E1754">IF($C1754="","",IFERROR(INDEX(DATA_MASTER!$I$2:$I$5000,MATCH($C1754,DATA_MASTER!$D$2:$D$5000,0)),""))</f>
        <v/>
      </c>
      <c r="F1754" s="22">
        <f t="array" ref="F1754">IF($C1754="","",IFERROR(INDEX(DATA_MASTER!$L$2:$L$5000,MATCH($C1754,DATA_MASTER!$D$2:$D$5000,0)),""))</f>
        <v/>
      </c>
      <c r="G1754" s="24" t="n"/>
      <c r="H1754" s="24" t="n"/>
      <c r="I1754" s="30" t="n"/>
      <c r="J1754" s="23">
        <f>IF(OR($H1754="",$I1754=""),"",$H1754*$I1754)</f>
        <v/>
      </c>
      <c r="K1754" s="24" t="n"/>
      <c r="L1754" s="24" t="n"/>
      <c r="M1754" s="29" t="n"/>
      <c r="N1754" s="28" t="n"/>
      <c r="O1754" s="24" t="n"/>
      <c r="P1754" s="24" t="n"/>
      <c r="Q1754" s="24" t="n"/>
      <c r="R1754" s="24" t="n"/>
      <c r="S1754" s="22">
        <f>IF(AND($A1754="",$C1754=""),"",IF($A1754="","Thiếu mã đơn; ","")&amp;IF(COUNTIF($A$2:$A1754,$A1754)&gt;1,"Trùng mã đơn; ","")&amp;IF(ISNA(MATCH($C1754,DATA_MASTER!$D$2:$D$5000,0)),"SĐT chưa đăng ký hội viên; ","")&amp;IF(AND($L1754="Đã chuyển khoản",$M1754=""),"Thiếu ngày nhận CK; ",""))</f>
        <v/>
      </c>
      <c r="T1754" s="24" t="n"/>
    </row>
    <row r="1755" ht="14.25" customHeight="1" s="40">
      <c r="A1755" s="24" t="n"/>
      <c r="B1755" s="29" t="n"/>
      <c r="C1755" s="28" t="n"/>
      <c r="D1755" s="22">
        <f t="array" ref="D1755">IF($C1755="","",IFERROR(INDEX(DATA_MASTER!$C$2:$C$5000,MATCH($C1755,DATA_MASTER!$D$2:$D$5000,0)),""))</f>
        <v/>
      </c>
      <c r="E1755" s="22">
        <f t="array" ref="E1755">IF($C1755="","",IFERROR(INDEX(DATA_MASTER!$I$2:$I$5000,MATCH($C1755,DATA_MASTER!$D$2:$D$5000,0)),""))</f>
        <v/>
      </c>
      <c r="F1755" s="22">
        <f t="array" ref="F1755">IF($C1755="","",IFERROR(INDEX(DATA_MASTER!$L$2:$L$5000,MATCH($C1755,DATA_MASTER!$D$2:$D$5000,0)),""))</f>
        <v/>
      </c>
      <c r="G1755" s="24" t="n"/>
      <c r="H1755" s="24" t="n"/>
      <c r="I1755" s="30" t="n"/>
      <c r="J1755" s="23">
        <f>IF(OR($H1755="",$I1755=""),"",$H1755*$I1755)</f>
        <v/>
      </c>
      <c r="K1755" s="24" t="n"/>
      <c r="L1755" s="24" t="n"/>
      <c r="M1755" s="29" t="n"/>
      <c r="N1755" s="28" t="n"/>
      <c r="O1755" s="24" t="n"/>
      <c r="P1755" s="24" t="n"/>
      <c r="Q1755" s="24" t="n"/>
      <c r="R1755" s="24" t="n"/>
      <c r="S1755" s="22">
        <f>IF(AND($A1755="",$C1755=""),"",IF($A1755="","Thiếu mã đơn; ","")&amp;IF(COUNTIF($A$2:$A1755,$A1755)&gt;1,"Trùng mã đơn; ","")&amp;IF(ISNA(MATCH($C1755,DATA_MASTER!$D$2:$D$5000,0)),"SĐT chưa đăng ký hội viên; ","")&amp;IF(AND($L1755="Đã chuyển khoản",$M1755=""),"Thiếu ngày nhận CK; ",""))</f>
        <v/>
      </c>
      <c r="T1755" s="24" t="n"/>
    </row>
    <row r="1756" ht="14.25" customHeight="1" s="40">
      <c r="A1756" s="24" t="n"/>
      <c r="B1756" s="29" t="n"/>
      <c r="C1756" s="28" t="n"/>
      <c r="D1756" s="22">
        <f t="array" ref="D1756">IF($C1756="","",IFERROR(INDEX(DATA_MASTER!$C$2:$C$5000,MATCH($C1756,DATA_MASTER!$D$2:$D$5000,0)),""))</f>
        <v/>
      </c>
      <c r="E1756" s="22">
        <f t="array" ref="E1756">IF($C1756="","",IFERROR(INDEX(DATA_MASTER!$I$2:$I$5000,MATCH($C1756,DATA_MASTER!$D$2:$D$5000,0)),""))</f>
        <v/>
      </c>
      <c r="F1756" s="22">
        <f t="array" ref="F1756">IF($C1756="","",IFERROR(INDEX(DATA_MASTER!$L$2:$L$5000,MATCH($C1756,DATA_MASTER!$D$2:$D$5000,0)),""))</f>
        <v/>
      </c>
      <c r="G1756" s="24" t="n"/>
      <c r="H1756" s="24" t="n"/>
      <c r="I1756" s="30" t="n"/>
      <c r="J1756" s="23">
        <f>IF(OR($H1756="",$I1756=""),"",$H1756*$I1756)</f>
        <v/>
      </c>
      <c r="K1756" s="24" t="n"/>
      <c r="L1756" s="24" t="n"/>
      <c r="M1756" s="29" t="n"/>
      <c r="N1756" s="28" t="n"/>
      <c r="O1756" s="24" t="n"/>
      <c r="P1756" s="24" t="n"/>
      <c r="Q1756" s="24" t="n"/>
      <c r="R1756" s="24" t="n"/>
      <c r="S1756" s="22">
        <f>IF(AND($A1756="",$C1756=""),"",IF($A1756="","Thiếu mã đơn; ","")&amp;IF(COUNTIF($A$2:$A1756,$A1756)&gt;1,"Trùng mã đơn; ","")&amp;IF(ISNA(MATCH($C1756,DATA_MASTER!$D$2:$D$5000,0)),"SĐT chưa đăng ký hội viên; ","")&amp;IF(AND($L1756="Đã chuyển khoản",$M1756=""),"Thiếu ngày nhận CK; ",""))</f>
        <v/>
      </c>
      <c r="T1756" s="24" t="n"/>
    </row>
    <row r="1757" ht="14.25" customHeight="1" s="40">
      <c r="A1757" s="24" t="n"/>
      <c r="B1757" s="29" t="n"/>
      <c r="C1757" s="28" t="n"/>
      <c r="D1757" s="22">
        <f t="array" ref="D1757">IF($C1757="","",IFERROR(INDEX(DATA_MASTER!$C$2:$C$5000,MATCH($C1757,DATA_MASTER!$D$2:$D$5000,0)),""))</f>
        <v/>
      </c>
      <c r="E1757" s="22">
        <f t="array" ref="E1757">IF($C1757="","",IFERROR(INDEX(DATA_MASTER!$I$2:$I$5000,MATCH($C1757,DATA_MASTER!$D$2:$D$5000,0)),""))</f>
        <v/>
      </c>
      <c r="F1757" s="22">
        <f t="array" ref="F1757">IF($C1757="","",IFERROR(INDEX(DATA_MASTER!$L$2:$L$5000,MATCH($C1757,DATA_MASTER!$D$2:$D$5000,0)),""))</f>
        <v/>
      </c>
      <c r="G1757" s="24" t="n"/>
      <c r="H1757" s="24" t="n"/>
      <c r="I1757" s="30" t="n"/>
      <c r="J1757" s="23">
        <f>IF(OR($H1757="",$I1757=""),"",$H1757*$I1757)</f>
        <v/>
      </c>
      <c r="K1757" s="24" t="n"/>
      <c r="L1757" s="24" t="n"/>
      <c r="M1757" s="29" t="n"/>
      <c r="N1757" s="28" t="n"/>
      <c r="O1757" s="24" t="n"/>
      <c r="P1757" s="24" t="n"/>
      <c r="Q1757" s="24" t="n"/>
      <c r="R1757" s="24" t="n"/>
      <c r="S1757" s="22">
        <f>IF(AND($A1757="",$C1757=""),"",IF($A1757="","Thiếu mã đơn; ","")&amp;IF(COUNTIF($A$2:$A1757,$A1757)&gt;1,"Trùng mã đơn; ","")&amp;IF(ISNA(MATCH($C1757,DATA_MASTER!$D$2:$D$5000,0)),"SĐT chưa đăng ký hội viên; ","")&amp;IF(AND($L1757="Đã chuyển khoản",$M1757=""),"Thiếu ngày nhận CK; ",""))</f>
        <v/>
      </c>
      <c r="T1757" s="24" t="n"/>
    </row>
    <row r="1758" ht="14.25" customHeight="1" s="40">
      <c r="A1758" s="24" t="n"/>
      <c r="B1758" s="29" t="n"/>
      <c r="C1758" s="28" t="n"/>
      <c r="D1758" s="22">
        <f t="array" ref="D1758">IF($C1758="","",IFERROR(INDEX(DATA_MASTER!$C$2:$C$5000,MATCH($C1758,DATA_MASTER!$D$2:$D$5000,0)),""))</f>
        <v/>
      </c>
      <c r="E1758" s="22">
        <f t="array" ref="E1758">IF($C1758="","",IFERROR(INDEX(DATA_MASTER!$I$2:$I$5000,MATCH($C1758,DATA_MASTER!$D$2:$D$5000,0)),""))</f>
        <v/>
      </c>
      <c r="F1758" s="22">
        <f t="array" ref="F1758">IF($C1758="","",IFERROR(INDEX(DATA_MASTER!$L$2:$L$5000,MATCH($C1758,DATA_MASTER!$D$2:$D$5000,0)),""))</f>
        <v/>
      </c>
      <c r="G1758" s="24" t="n"/>
      <c r="H1758" s="24" t="n"/>
      <c r="I1758" s="30" t="n"/>
      <c r="J1758" s="23">
        <f>IF(OR($H1758="",$I1758=""),"",$H1758*$I1758)</f>
        <v/>
      </c>
      <c r="K1758" s="24" t="n"/>
      <c r="L1758" s="24" t="n"/>
      <c r="M1758" s="29" t="n"/>
      <c r="N1758" s="28" t="n"/>
      <c r="O1758" s="24" t="n"/>
      <c r="P1758" s="24" t="n"/>
      <c r="Q1758" s="24" t="n"/>
      <c r="R1758" s="24" t="n"/>
      <c r="S1758" s="22">
        <f>IF(AND($A1758="",$C1758=""),"",IF($A1758="","Thiếu mã đơn; ","")&amp;IF(COUNTIF($A$2:$A1758,$A1758)&gt;1,"Trùng mã đơn; ","")&amp;IF(ISNA(MATCH($C1758,DATA_MASTER!$D$2:$D$5000,0)),"SĐT chưa đăng ký hội viên; ","")&amp;IF(AND($L1758="Đã chuyển khoản",$M1758=""),"Thiếu ngày nhận CK; ",""))</f>
        <v/>
      </c>
      <c r="T1758" s="24" t="n"/>
    </row>
    <row r="1759" ht="14.25" customHeight="1" s="40">
      <c r="A1759" s="24" t="n"/>
      <c r="B1759" s="29" t="n"/>
      <c r="C1759" s="28" t="n"/>
      <c r="D1759" s="22">
        <f t="array" ref="D1759">IF($C1759="","",IFERROR(INDEX(DATA_MASTER!$C$2:$C$5000,MATCH($C1759,DATA_MASTER!$D$2:$D$5000,0)),""))</f>
        <v/>
      </c>
      <c r="E1759" s="22">
        <f t="array" ref="E1759">IF($C1759="","",IFERROR(INDEX(DATA_MASTER!$I$2:$I$5000,MATCH($C1759,DATA_MASTER!$D$2:$D$5000,0)),""))</f>
        <v/>
      </c>
      <c r="F1759" s="22">
        <f t="array" ref="F1759">IF($C1759="","",IFERROR(INDEX(DATA_MASTER!$L$2:$L$5000,MATCH($C1759,DATA_MASTER!$D$2:$D$5000,0)),""))</f>
        <v/>
      </c>
      <c r="G1759" s="24" t="n"/>
      <c r="H1759" s="24" t="n"/>
      <c r="I1759" s="30" t="n"/>
      <c r="J1759" s="23">
        <f>IF(OR($H1759="",$I1759=""),"",$H1759*$I1759)</f>
        <v/>
      </c>
      <c r="K1759" s="24" t="n"/>
      <c r="L1759" s="24" t="n"/>
      <c r="M1759" s="29" t="n"/>
      <c r="N1759" s="28" t="n"/>
      <c r="O1759" s="24" t="n"/>
      <c r="P1759" s="24" t="n"/>
      <c r="Q1759" s="24" t="n"/>
      <c r="R1759" s="24" t="n"/>
      <c r="S1759" s="22">
        <f>IF(AND($A1759="",$C1759=""),"",IF($A1759="","Thiếu mã đơn; ","")&amp;IF(COUNTIF($A$2:$A1759,$A1759)&gt;1,"Trùng mã đơn; ","")&amp;IF(ISNA(MATCH($C1759,DATA_MASTER!$D$2:$D$5000,0)),"SĐT chưa đăng ký hội viên; ","")&amp;IF(AND($L1759="Đã chuyển khoản",$M1759=""),"Thiếu ngày nhận CK; ",""))</f>
        <v/>
      </c>
      <c r="T1759" s="24" t="n"/>
    </row>
    <row r="1760" ht="14.25" customHeight="1" s="40">
      <c r="A1760" s="24" t="n"/>
      <c r="B1760" s="29" t="n"/>
      <c r="C1760" s="28" t="n"/>
      <c r="D1760" s="22">
        <f t="array" ref="D1760">IF($C1760="","",IFERROR(INDEX(DATA_MASTER!$C$2:$C$5000,MATCH($C1760,DATA_MASTER!$D$2:$D$5000,0)),""))</f>
        <v/>
      </c>
      <c r="E1760" s="22">
        <f t="array" ref="E1760">IF($C1760="","",IFERROR(INDEX(DATA_MASTER!$I$2:$I$5000,MATCH($C1760,DATA_MASTER!$D$2:$D$5000,0)),""))</f>
        <v/>
      </c>
      <c r="F1760" s="22">
        <f t="array" ref="F1760">IF($C1760="","",IFERROR(INDEX(DATA_MASTER!$L$2:$L$5000,MATCH($C1760,DATA_MASTER!$D$2:$D$5000,0)),""))</f>
        <v/>
      </c>
      <c r="G1760" s="24" t="n"/>
      <c r="H1760" s="24" t="n"/>
      <c r="I1760" s="30" t="n"/>
      <c r="J1760" s="23">
        <f>IF(OR($H1760="",$I1760=""),"",$H1760*$I1760)</f>
        <v/>
      </c>
      <c r="K1760" s="24" t="n"/>
      <c r="L1760" s="24" t="n"/>
      <c r="M1760" s="29" t="n"/>
      <c r="N1760" s="28" t="n"/>
      <c r="O1760" s="24" t="n"/>
      <c r="P1760" s="24" t="n"/>
      <c r="Q1760" s="24" t="n"/>
      <c r="R1760" s="24" t="n"/>
      <c r="S1760" s="22">
        <f>IF(AND($A1760="",$C1760=""),"",IF($A1760="","Thiếu mã đơn; ","")&amp;IF(COUNTIF($A$2:$A1760,$A1760)&gt;1,"Trùng mã đơn; ","")&amp;IF(ISNA(MATCH($C1760,DATA_MASTER!$D$2:$D$5000,0)),"SĐT chưa đăng ký hội viên; ","")&amp;IF(AND($L1760="Đã chuyển khoản",$M1760=""),"Thiếu ngày nhận CK; ",""))</f>
        <v/>
      </c>
      <c r="T1760" s="24" t="n"/>
    </row>
    <row r="1761" ht="14.25" customHeight="1" s="40">
      <c r="A1761" s="24" t="n"/>
      <c r="B1761" s="29" t="n"/>
      <c r="C1761" s="28" t="n"/>
      <c r="D1761" s="22">
        <f t="array" ref="D1761">IF($C1761="","",IFERROR(INDEX(DATA_MASTER!$C$2:$C$5000,MATCH($C1761,DATA_MASTER!$D$2:$D$5000,0)),""))</f>
        <v/>
      </c>
      <c r="E1761" s="22">
        <f t="array" ref="E1761">IF($C1761="","",IFERROR(INDEX(DATA_MASTER!$I$2:$I$5000,MATCH($C1761,DATA_MASTER!$D$2:$D$5000,0)),""))</f>
        <v/>
      </c>
      <c r="F1761" s="22">
        <f t="array" ref="F1761">IF($C1761="","",IFERROR(INDEX(DATA_MASTER!$L$2:$L$5000,MATCH($C1761,DATA_MASTER!$D$2:$D$5000,0)),""))</f>
        <v/>
      </c>
      <c r="G1761" s="24" t="n"/>
      <c r="H1761" s="24" t="n"/>
      <c r="I1761" s="30" t="n"/>
      <c r="J1761" s="23">
        <f>IF(OR($H1761="",$I1761=""),"",$H1761*$I1761)</f>
        <v/>
      </c>
      <c r="K1761" s="24" t="n"/>
      <c r="L1761" s="24" t="n"/>
      <c r="M1761" s="29" t="n"/>
      <c r="N1761" s="28" t="n"/>
      <c r="O1761" s="24" t="n"/>
      <c r="P1761" s="24" t="n"/>
      <c r="Q1761" s="24" t="n"/>
      <c r="R1761" s="24" t="n"/>
      <c r="S1761" s="22">
        <f>IF(AND($A1761="",$C1761=""),"",IF($A1761="","Thiếu mã đơn; ","")&amp;IF(COUNTIF($A$2:$A1761,$A1761)&gt;1,"Trùng mã đơn; ","")&amp;IF(ISNA(MATCH($C1761,DATA_MASTER!$D$2:$D$5000,0)),"SĐT chưa đăng ký hội viên; ","")&amp;IF(AND($L1761="Đã chuyển khoản",$M1761=""),"Thiếu ngày nhận CK; ",""))</f>
        <v/>
      </c>
      <c r="T1761" s="24" t="n"/>
    </row>
    <row r="1762" ht="14.25" customHeight="1" s="40">
      <c r="A1762" s="24" t="n"/>
      <c r="B1762" s="29" t="n"/>
      <c r="C1762" s="28" t="n"/>
      <c r="D1762" s="22">
        <f t="array" ref="D1762">IF($C1762="","",IFERROR(INDEX(DATA_MASTER!$C$2:$C$5000,MATCH($C1762,DATA_MASTER!$D$2:$D$5000,0)),""))</f>
        <v/>
      </c>
      <c r="E1762" s="22">
        <f t="array" ref="E1762">IF($C1762="","",IFERROR(INDEX(DATA_MASTER!$I$2:$I$5000,MATCH($C1762,DATA_MASTER!$D$2:$D$5000,0)),""))</f>
        <v/>
      </c>
      <c r="F1762" s="22">
        <f t="array" ref="F1762">IF($C1762="","",IFERROR(INDEX(DATA_MASTER!$L$2:$L$5000,MATCH($C1762,DATA_MASTER!$D$2:$D$5000,0)),""))</f>
        <v/>
      </c>
      <c r="G1762" s="24" t="n"/>
      <c r="H1762" s="24" t="n"/>
      <c r="I1762" s="30" t="n"/>
      <c r="J1762" s="23">
        <f>IF(OR($H1762="",$I1762=""),"",$H1762*$I1762)</f>
        <v/>
      </c>
      <c r="K1762" s="24" t="n"/>
      <c r="L1762" s="24" t="n"/>
      <c r="M1762" s="29" t="n"/>
      <c r="N1762" s="28" t="n"/>
      <c r="O1762" s="24" t="n"/>
      <c r="P1762" s="24" t="n"/>
      <c r="Q1762" s="24" t="n"/>
      <c r="R1762" s="24" t="n"/>
      <c r="S1762" s="22">
        <f>IF(AND($A1762="",$C1762=""),"",IF($A1762="","Thiếu mã đơn; ","")&amp;IF(COUNTIF($A$2:$A1762,$A1762)&gt;1,"Trùng mã đơn; ","")&amp;IF(ISNA(MATCH($C1762,DATA_MASTER!$D$2:$D$5000,0)),"SĐT chưa đăng ký hội viên; ","")&amp;IF(AND($L1762="Đã chuyển khoản",$M1762=""),"Thiếu ngày nhận CK; ",""))</f>
        <v/>
      </c>
      <c r="T1762" s="24" t="n"/>
    </row>
    <row r="1763" ht="14.25" customHeight="1" s="40">
      <c r="A1763" s="24" t="n"/>
      <c r="B1763" s="29" t="n"/>
      <c r="C1763" s="28" t="n"/>
      <c r="D1763" s="22">
        <f t="array" ref="D1763">IF($C1763="","",IFERROR(INDEX(DATA_MASTER!$C$2:$C$5000,MATCH($C1763,DATA_MASTER!$D$2:$D$5000,0)),""))</f>
        <v/>
      </c>
      <c r="E1763" s="22">
        <f t="array" ref="E1763">IF($C1763="","",IFERROR(INDEX(DATA_MASTER!$I$2:$I$5000,MATCH($C1763,DATA_MASTER!$D$2:$D$5000,0)),""))</f>
        <v/>
      </c>
      <c r="F1763" s="22">
        <f t="array" ref="F1763">IF($C1763="","",IFERROR(INDEX(DATA_MASTER!$L$2:$L$5000,MATCH($C1763,DATA_MASTER!$D$2:$D$5000,0)),""))</f>
        <v/>
      </c>
      <c r="G1763" s="24" t="n"/>
      <c r="H1763" s="24" t="n"/>
      <c r="I1763" s="30" t="n"/>
      <c r="J1763" s="23">
        <f>IF(OR($H1763="",$I1763=""),"",$H1763*$I1763)</f>
        <v/>
      </c>
      <c r="K1763" s="24" t="n"/>
      <c r="L1763" s="24" t="n"/>
      <c r="M1763" s="29" t="n"/>
      <c r="N1763" s="28" t="n"/>
      <c r="O1763" s="24" t="n"/>
      <c r="P1763" s="24" t="n"/>
      <c r="Q1763" s="24" t="n"/>
      <c r="R1763" s="24" t="n"/>
      <c r="S1763" s="22">
        <f>IF(AND($A1763="",$C1763=""),"",IF($A1763="","Thiếu mã đơn; ","")&amp;IF(COUNTIF($A$2:$A1763,$A1763)&gt;1,"Trùng mã đơn; ","")&amp;IF(ISNA(MATCH($C1763,DATA_MASTER!$D$2:$D$5000,0)),"SĐT chưa đăng ký hội viên; ","")&amp;IF(AND($L1763="Đã chuyển khoản",$M1763=""),"Thiếu ngày nhận CK; ",""))</f>
        <v/>
      </c>
      <c r="T1763" s="24" t="n"/>
    </row>
    <row r="1764" ht="14.25" customHeight="1" s="40">
      <c r="A1764" s="24" t="n"/>
      <c r="B1764" s="29" t="n"/>
      <c r="C1764" s="28" t="n"/>
      <c r="D1764" s="22">
        <f t="array" ref="D1764">IF($C1764="","",IFERROR(INDEX(DATA_MASTER!$C$2:$C$5000,MATCH($C1764,DATA_MASTER!$D$2:$D$5000,0)),""))</f>
        <v/>
      </c>
      <c r="E1764" s="22">
        <f t="array" ref="E1764">IF($C1764="","",IFERROR(INDEX(DATA_MASTER!$I$2:$I$5000,MATCH($C1764,DATA_MASTER!$D$2:$D$5000,0)),""))</f>
        <v/>
      </c>
      <c r="F1764" s="22">
        <f t="array" ref="F1764">IF($C1764="","",IFERROR(INDEX(DATA_MASTER!$L$2:$L$5000,MATCH($C1764,DATA_MASTER!$D$2:$D$5000,0)),""))</f>
        <v/>
      </c>
      <c r="G1764" s="24" t="n"/>
      <c r="H1764" s="24" t="n"/>
      <c r="I1764" s="30" t="n"/>
      <c r="J1764" s="23">
        <f>IF(OR($H1764="",$I1764=""),"",$H1764*$I1764)</f>
        <v/>
      </c>
      <c r="K1764" s="24" t="n"/>
      <c r="L1764" s="24" t="n"/>
      <c r="M1764" s="29" t="n"/>
      <c r="N1764" s="28" t="n"/>
      <c r="O1764" s="24" t="n"/>
      <c r="P1764" s="24" t="n"/>
      <c r="Q1764" s="24" t="n"/>
      <c r="R1764" s="24" t="n"/>
      <c r="S1764" s="22">
        <f>IF(AND($A1764="",$C1764=""),"",IF($A1764="","Thiếu mã đơn; ","")&amp;IF(COUNTIF($A$2:$A1764,$A1764)&gt;1,"Trùng mã đơn; ","")&amp;IF(ISNA(MATCH($C1764,DATA_MASTER!$D$2:$D$5000,0)),"SĐT chưa đăng ký hội viên; ","")&amp;IF(AND($L1764="Đã chuyển khoản",$M1764=""),"Thiếu ngày nhận CK; ",""))</f>
        <v/>
      </c>
      <c r="T1764" s="24" t="n"/>
    </row>
    <row r="1765" ht="14.25" customHeight="1" s="40">
      <c r="A1765" s="24" t="n"/>
      <c r="B1765" s="29" t="n"/>
      <c r="C1765" s="28" t="n"/>
      <c r="D1765" s="22">
        <f t="array" ref="D1765">IF($C1765="","",IFERROR(INDEX(DATA_MASTER!$C$2:$C$5000,MATCH($C1765,DATA_MASTER!$D$2:$D$5000,0)),""))</f>
        <v/>
      </c>
      <c r="E1765" s="22">
        <f t="array" ref="E1765">IF($C1765="","",IFERROR(INDEX(DATA_MASTER!$I$2:$I$5000,MATCH($C1765,DATA_MASTER!$D$2:$D$5000,0)),""))</f>
        <v/>
      </c>
      <c r="F1765" s="22">
        <f t="array" ref="F1765">IF($C1765="","",IFERROR(INDEX(DATA_MASTER!$L$2:$L$5000,MATCH($C1765,DATA_MASTER!$D$2:$D$5000,0)),""))</f>
        <v/>
      </c>
      <c r="G1765" s="24" t="n"/>
      <c r="H1765" s="24" t="n"/>
      <c r="I1765" s="30" t="n"/>
      <c r="J1765" s="23">
        <f>IF(OR($H1765="",$I1765=""),"",$H1765*$I1765)</f>
        <v/>
      </c>
      <c r="K1765" s="24" t="n"/>
      <c r="L1765" s="24" t="n"/>
      <c r="M1765" s="29" t="n"/>
      <c r="N1765" s="28" t="n"/>
      <c r="O1765" s="24" t="n"/>
      <c r="P1765" s="24" t="n"/>
      <c r="Q1765" s="24" t="n"/>
      <c r="R1765" s="24" t="n"/>
      <c r="S1765" s="22">
        <f>IF(AND($A1765="",$C1765=""),"",IF($A1765="","Thiếu mã đơn; ","")&amp;IF(COUNTIF($A$2:$A1765,$A1765)&gt;1,"Trùng mã đơn; ","")&amp;IF(ISNA(MATCH($C1765,DATA_MASTER!$D$2:$D$5000,0)),"SĐT chưa đăng ký hội viên; ","")&amp;IF(AND($L1765="Đã chuyển khoản",$M1765=""),"Thiếu ngày nhận CK; ",""))</f>
        <v/>
      </c>
      <c r="T1765" s="24" t="n"/>
    </row>
    <row r="1766" ht="14.25" customHeight="1" s="40">
      <c r="A1766" s="24" t="n"/>
      <c r="B1766" s="29" t="n"/>
      <c r="C1766" s="28" t="n"/>
      <c r="D1766" s="22">
        <f t="array" ref="D1766">IF($C1766="","",IFERROR(INDEX(DATA_MASTER!$C$2:$C$5000,MATCH($C1766,DATA_MASTER!$D$2:$D$5000,0)),""))</f>
        <v/>
      </c>
      <c r="E1766" s="22">
        <f t="array" ref="E1766">IF($C1766="","",IFERROR(INDEX(DATA_MASTER!$I$2:$I$5000,MATCH($C1766,DATA_MASTER!$D$2:$D$5000,0)),""))</f>
        <v/>
      </c>
      <c r="F1766" s="22">
        <f t="array" ref="F1766">IF($C1766="","",IFERROR(INDEX(DATA_MASTER!$L$2:$L$5000,MATCH($C1766,DATA_MASTER!$D$2:$D$5000,0)),""))</f>
        <v/>
      </c>
      <c r="G1766" s="24" t="n"/>
      <c r="H1766" s="24" t="n"/>
      <c r="I1766" s="30" t="n"/>
      <c r="J1766" s="23">
        <f>IF(OR($H1766="",$I1766=""),"",$H1766*$I1766)</f>
        <v/>
      </c>
      <c r="K1766" s="24" t="n"/>
      <c r="L1766" s="24" t="n"/>
      <c r="M1766" s="29" t="n"/>
      <c r="N1766" s="28" t="n"/>
      <c r="O1766" s="24" t="n"/>
      <c r="P1766" s="24" t="n"/>
      <c r="Q1766" s="24" t="n"/>
      <c r="R1766" s="24" t="n"/>
      <c r="S1766" s="22">
        <f>IF(AND($A1766="",$C1766=""),"",IF($A1766="","Thiếu mã đơn; ","")&amp;IF(COUNTIF($A$2:$A1766,$A1766)&gt;1,"Trùng mã đơn; ","")&amp;IF(ISNA(MATCH($C1766,DATA_MASTER!$D$2:$D$5000,0)),"SĐT chưa đăng ký hội viên; ","")&amp;IF(AND($L1766="Đã chuyển khoản",$M1766=""),"Thiếu ngày nhận CK; ",""))</f>
        <v/>
      </c>
      <c r="T1766" s="24" t="n"/>
    </row>
    <row r="1767" ht="14.25" customHeight="1" s="40">
      <c r="A1767" s="24" t="n"/>
      <c r="B1767" s="29" t="n"/>
      <c r="C1767" s="28" t="n"/>
      <c r="D1767" s="22">
        <f t="array" ref="D1767">IF($C1767="","",IFERROR(INDEX(DATA_MASTER!$C$2:$C$5000,MATCH($C1767,DATA_MASTER!$D$2:$D$5000,0)),""))</f>
        <v/>
      </c>
      <c r="E1767" s="22">
        <f t="array" ref="E1767">IF($C1767="","",IFERROR(INDEX(DATA_MASTER!$I$2:$I$5000,MATCH($C1767,DATA_MASTER!$D$2:$D$5000,0)),""))</f>
        <v/>
      </c>
      <c r="F1767" s="22">
        <f t="array" ref="F1767">IF($C1767="","",IFERROR(INDEX(DATA_MASTER!$L$2:$L$5000,MATCH($C1767,DATA_MASTER!$D$2:$D$5000,0)),""))</f>
        <v/>
      </c>
      <c r="G1767" s="24" t="n"/>
      <c r="H1767" s="24" t="n"/>
      <c r="I1767" s="30" t="n"/>
      <c r="J1767" s="23">
        <f>IF(OR($H1767="",$I1767=""),"",$H1767*$I1767)</f>
        <v/>
      </c>
      <c r="K1767" s="24" t="n"/>
      <c r="L1767" s="24" t="n"/>
      <c r="M1767" s="29" t="n"/>
      <c r="N1767" s="28" t="n"/>
      <c r="O1767" s="24" t="n"/>
      <c r="P1767" s="24" t="n"/>
      <c r="Q1767" s="24" t="n"/>
      <c r="R1767" s="24" t="n"/>
      <c r="S1767" s="22">
        <f>IF(AND($A1767="",$C1767=""),"",IF($A1767="","Thiếu mã đơn; ","")&amp;IF(COUNTIF($A$2:$A1767,$A1767)&gt;1,"Trùng mã đơn; ","")&amp;IF(ISNA(MATCH($C1767,DATA_MASTER!$D$2:$D$5000,0)),"SĐT chưa đăng ký hội viên; ","")&amp;IF(AND($L1767="Đã chuyển khoản",$M1767=""),"Thiếu ngày nhận CK; ",""))</f>
        <v/>
      </c>
      <c r="T1767" s="24" t="n"/>
    </row>
    <row r="1768" ht="14.25" customHeight="1" s="40">
      <c r="A1768" s="24" t="n"/>
      <c r="B1768" s="29" t="n"/>
      <c r="C1768" s="28" t="n"/>
      <c r="D1768" s="22">
        <f t="array" ref="D1768">IF($C1768="","",IFERROR(INDEX(DATA_MASTER!$C$2:$C$5000,MATCH($C1768,DATA_MASTER!$D$2:$D$5000,0)),""))</f>
        <v/>
      </c>
      <c r="E1768" s="22">
        <f t="array" ref="E1768">IF($C1768="","",IFERROR(INDEX(DATA_MASTER!$I$2:$I$5000,MATCH($C1768,DATA_MASTER!$D$2:$D$5000,0)),""))</f>
        <v/>
      </c>
      <c r="F1768" s="22">
        <f t="array" ref="F1768">IF($C1768="","",IFERROR(INDEX(DATA_MASTER!$L$2:$L$5000,MATCH($C1768,DATA_MASTER!$D$2:$D$5000,0)),""))</f>
        <v/>
      </c>
      <c r="G1768" s="24" t="n"/>
      <c r="H1768" s="24" t="n"/>
      <c r="I1768" s="30" t="n"/>
      <c r="J1768" s="23">
        <f>IF(OR($H1768="",$I1768=""),"",$H1768*$I1768)</f>
        <v/>
      </c>
      <c r="K1768" s="24" t="n"/>
      <c r="L1768" s="24" t="n"/>
      <c r="M1768" s="29" t="n"/>
      <c r="N1768" s="28" t="n"/>
      <c r="O1768" s="24" t="n"/>
      <c r="P1768" s="24" t="n"/>
      <c r="Q1768" s="24" t="n"/>
      <c r="R1768" s="24" t="n"/>
      <c r="S1768" s="22">
        <f>IF(AND($A1768="",$C1768=""),"",IF($A1768="","Thiếu mã đơn; ","")&amp;IF(COUNTIF($A$2:$A1768,$A1768)&gt;1,"Trùng mã đơn; ","")&amp;IF(ISNA(MATCH($C1768,DATA_MASTER!$D$2:$D$5000,0)),"SĐT chưa đăng ký hội viên; ","")&amp;IF(AND($L1768="Đã chuyển khoản",$M1768=""),"Thiếu ngày nhận CK; ",""))</f>
        <v/>
      </c>
      <c r="T1768" s="24" t="n"/>
    </row>
    <row r="1769" ht="14.25" customHeight="1" s="40">
      <c r="A1769" s="24" t="n"/>
      <c r="B1769" s="29" t="n"/>
      <c r="C1769" s="28" t="n"/>
      <c r="D1769" s="22">
        <f t="array" ref="D1769">IF($C1769="","",IFERROR(INDEX(DATA_MASTER!$C$2:$C$5000,MATCH($C1769,DATA_MASTER!$D$2:$D$5000,0)),""))</f>
        <v/>
      </c>
      <c r="E1769" s="22">
        <f t="array" ref="E1769">IF($C1769="","",IFERROR(INDEX(DATA_MASTER!$I$2:$I$5000,MATCH($C1769,DATA_MASTER!$D$2:$D$5000,0)),""))</f>
        <v/>
      </c>
      <c r="F1769" s="22">
        <f t="array" ref="F1769">IF($C1769="","",IFERROR(INDEX(DATA_MASTER!$L$2:$L$5000,MATCH($C1769,DATA_MASTER!$D$2:$D$5000,0)),""))</f>
        <v/>
      </c>
      <c r="G1769" s="24" t="n"/>
      <c r="H1769" s="24" t="n"/>
      <c r="I1769" s="30" t="n"/>
      <c r="J1769" s="23">
        <f>IF(OR($H1769="",$I1769=""),"",$H1769*$I1769)</f>
        <v/>
      </c>
      <c r="K1769" s="24" t="n"/>
      <c r="L1769" s="24" t="n"/>
      <c r="M1769" s="29" t="n"/>
      <c r="N1769" s="28" t="n"/>
      <c r="O1769" s="24" t="n"/>
      <c r="P1769" s="24" t="n"/>
      <c r="Q1769" s="24" t="n"/>
      <c r="R1769" s="24" t="n"/>
      <c r="S1769" s="22">
        <f>IF(AND($A1769="",$C1769=""),"",IF($A1769="","Thiếu mã đơn; ","")&amp;IF(COUNTIF($A$2:$A1769,$A1769)&gt;1,"Trùng mã đơn; ","")&amp;IF(ISNA(MATCH($C1769,DATA_MASTER!$D$2:$D$5000,0)),"SĐT chưa đăng ký hội viên; ","")&amp;IF(AND($L1769="Đã chuyển khoản",$M1769=""),"Thiếu ngày nhận CK; ",""))</f>
        <v/>
      </c>
      <c r="T1769" s="24" t="n"/>
    </row>
    <row r="1770" ht="14.25" customHeight="1" s="40">
      <c r="A1770" s="24" t="n"/>
      <c r="B1770" s="29" t="n"/>
      <c r="C1770" s="28" t="n"/>
      <c r="D1770" s="22">
        <f t="array" ref="D1770">IF($C1770="","",IFERROR(INDEX(DATA_MASTER!$C$2:$C$5000,MATCH($C1770,DATA_MASTER!$D$2:$D$5000,0)),""))</f>
        <v/>
      </c>
      <c r="E1770" s="22">
        <f t="array" ref="E1770">IF($C1770="","",IFERROR(INDEX(DATA_MASTER!$I$2:$I$5000,MATCH($C1770,DATA_MASTER!$D$2:$D$5000,0)),""))</f>
        <v/>
      </c>
      <c r="F1770" s="22">
        <f t="array" ref="F1770">IF($C1770="","",IFERROR(INDEX(DATA_MASTER!$L$2:$L$5000,MATCH($C1770,DATA_MASTER!$D$2:$D$5000,0)),""))</f>
        <v/>
      </c>
      <c r="G1770" s="24" t="n"/>
      <c r="H1770" s="24" t="n"/>
      <c r="I1770" s="30" t="n"/>
      <c r="J1770" s="23">
        <f>IF(OR($H1770="",$I1770=""),"",$H1770*$I1770)</f>
        <v/>
      </c>
      <c r="K1770" s="24" t="n"/>
      <c r="L1770" s="24" t="n"/>
      <c r="M1770" s="29" t="n"/>
      <c r="N1770" s="28" t="n"/>
      <c r="O1770" s="24" t="n"/>
      <c r="P1770" s="24" t="n"/>
      <c r="Q1770" s="24" t="n"/>
      <c r="R1770" s="24" t="n"/>
      <c r="S1770" s="22">
        <f>IF(AND($A1770="",$C1770=""),"",IF($A1770="","Thiếu mã đơn; ","")&amp;IF(COUNTIF($A$2:$A1770,$A1770)&gt;1,"Trùng mã đơn; ","")&amp;IF(ISNA(MATCH($C1770,DATA_MASTER!$D$2:$D$5000,0)),"SĐT chưa đăng ký hội viên; ","")&amp;IF(AND($L1770="Đã chuyển khoản",$M1770=""),"Thiếu ngày nhận CK; ",""))</f>
        <v/>
      </c>
      <c r="T1770" s="24" t="n"/>
    </row>
    <row r="1771" ht="14.25" customHeight="1" s="40">
      <c r="A1771" s="24" t="n"/>
      <c r="B1771" s="29" t="n"/>
      <c r="C1771" s="28" t="n"/>
      <c r="D1771" s="22">
        <f t="array" ref="D1771">IF($C1771="","",IFERROR(INDEX(DATA_MASTER!$C$2:$C$5000,MATCH($C1771,DATA_MASTER!$D$2:$D$5000,0)),""))</f>
        <v/>
      </c>
      <c r="E1771" s="22">
        <f t="array" ref="E1771">IF($C1771="","",IFERROR(INDEX(DATA_MASTER!$I$2:$I$5000,MATCH($C1771,DATA_MASTER!$D$2:$D$5000,0)),""))</f>
        <v/>
      </c>
      <c r="F1771" s="22">
        <f t="array" ref="F1771">IF($C1771="","",IFERROR(INDEX(DATA_MASTER!$L$2:$L$5000,MATCH($C1771,DATA_MASTER!$D$2:$D$5000,0)),""))</f>
        <v/>
      </c>
      <c r="G1771" s="24" t="n"/>
      <c r="H1771" s="24" t="n"/>
      <c r="I1771" s="30" t="n"/>
      <c r="J1771" s="23">
        <f>IF(OR($H1771="",$I1771=""),"",$H1771*$I1771)</f>
        <v/>
      </c>
      <c r="K1771" s="24" t="n"/>
      <c r="L1771" s="24" t="n"/>
      <c r="M1771" s="29" t="n"/>
      <c r="N1771" s="28" t="n"/>
      <c r="O1771" s="24" t="n"/>
      <c r="P1771" s="24" t="n"/>
      <c r="Q1771" s="24" t="n"/>
      <c r="R1771" s="24" t="n"/>
      <c r="S1771" s="22">
        <f>IF(AND($A1771="",$C1771=""),"",IF($A1771="","Thiếu mã đơn; ","")&amp;IF(COUNTIF($A$2:$A1771,$A1771)&gt;1,"Trùng mã đơn; ","")&amp;IF(ISNA(MATCH($C1771,DATA_MASTER!$D$2:$D$5000,0)),"SĐT chưa đăng ký hội viên; ","")&amp;IF(AND($L1771="Đã chuyển khoản",$M1771=""),"Thiếu ngày nhận CK; ",""))</f>
        <v/>
      </c>
      <c r="T1771" s="24" t="n"/>
    </row>
    <row r="1772" ht="14.25" customHeight="1" s="40">
      <c r="A1772" s="24" t="n"/>
      <c r="B1772" s="29" t="n"/>
      <c r="C1772" s="28" t="n"/>
      <c r="D1772" s="22">
        <f t="array" ref="D1772">IF($C1772="","",IFERROR(INDEX(DATA_MASTER!$C$2:$C$5000,MATCH($C1772,DATA_MASTER!$D$2:$D$5000,0)),""))</f>
        <v/>
      </c>
      <c r="E1772" s="22">
        <f t="array" ref="E1772">IF($C1772="","",IFERROR(INDEX(DATA_MASTER!$I$2:$I$5000,MATCH($C1772,DATA_MASTER!$D$2:$D$5000,0)),""))</f>
        <v/>
      </c>
      <c r="F1772" s="22">
        <f t="array" ref="F1772">IF($C1772="","",IFERROR(INDEX(DATA_MASTER!$L$2:$L$5000,MATCH($C1772,DATA_MASTER!$D$2:$D$5000,0)),""))</f>
        <v/>
      </c>
      <c r="G1772" s="24" t="n"/>
      <c r="H1772" s="24" t="n"/>
      <c r="I1772" s="30" t="n"/>
      <c r="J1772" s="23">
        <f>IF(OR($H1772="",$I1772=""),"",$H1772*$I1772)</f>
        <v/>
      </c>
      <c r="K1772" s="24" t="n"/>
      <c r="L1772" s="24" t="n"/>
      <c r="M1772" s="29" t="n"/>
      <c r="N1772" s="28" t="n"/>
      <c r="O1772" s="24" t="n"/>
      <c r="P1772" s="24" t="n"/>
      <c r="Q1772" s="24" t="n"/>
      <c r="R1772" s="24" t="n"/>
      <c r="S1772" s="22">
        <f>IF(AND($A1772="",$C1772=""),"",IF($A1772="","Thiếu mã đơn; ","")&amp;IF(COUNTIF($A$2:$A1772,$A1772)&gt;1,"Trùng mã đơn; ","")&amp;IF(ISNA(MATCH($C1772,DATA_MASTER!$D$2:$D$5000,0)),"SĐT chưa đăng ký hội viên; ","")&amp;IF(AND($L1772="Đã chuyển khoản",$M1772=""),"Thiếu ngày nhận CK; ",""))</f>
        <v/>
      </c>
      <c r="T1772" s="24" t="n"/>
    </row>
    <row r="1773" ht="14.25" customHeight="1" s="40">
      <c r="A1773" s="24" t="n"/>
      <c r="B1773" s="29" t="n"/>
      <c r="C1773" s="28" t="n"/>
      <c r="D1773" s="22">
        <f t="array" ref="D1773">IF($C1773="","",IFERROR(INDEX(DATA_MASTER!$C$2:$C$5000,MATCH($C1773,DATA_MASTER!$D$2:$D$5000,0)),""))</f>
        <v/>
      </c>
      <c r="E1773" s="22">
        <f t="array" ref="E1773">IF($C1773="","",IFERROR(INDEX(DATA_MASTER!$I$2:$I$5000,MATCH($C1773,DATA_MASTER!$D$2:$D$5000,0)),""))</f>
        <v/>
      </c>
      <c r="F1773" s="22">
        <f t="array" ref="F1773">IF($C1773="","",IFERROR(INDEX(DATA_MASTER!$L$2:$L$5000,MATCH($C1773,DATA_MASTER!$D$2:$D$5000,0)),""))</f>
        <v/>
      </c>
      <c r="G1773" s="24" t="n"/>
      <c r="H1773" s="24" t="n"/>
      <c r="I1773" s="30" t="n"/>
      <c r="J1773" s="23">
        <f>IF(OR($H1773="",$I1773=""),"",$H1773*$I1773)</f>
        <v/>
      </c>
      <c r="K1773" s="24" t="n"/>
      <c r="L1773" s="24" t="n"/>
      <c r="M1773" s="29" t="n"/>
      <c r="N1773" s="28" t="n"/>
      <c r="O1773" s="24" t="n"/>
      <c r="P1773" s="24" t="n"/>
      <c r="Q1773" s="24" t="n"/>
      <c r="R1773" s="24" t="n"/>
      <c r="S1773" s="22">
        <f>IF(AND($A1773="",$C1773=""),"",IF($A1773="","Thiếu mã đơn; ","")&amp;IF(COUNTIF($A$2:$A1773,$A1773)&gt;1,"Trùng mã đơn; ","")&amp;IF(ISNA(MATCH($C1773,DATA_MASTER!$D$2:$D$5000,0)),"SĐT chưa đăng ký hội viên; ","")&amp;IF(AND($L1773="Đã chuyển khoản",$M1773=""),"Thiếu ngày nhận CK; ",""))</f>
        <v/>
      </c>
      <c r="T1773" s="24" t="n"/>
    </row>
    <row r="1774" ht="14.25" customHeight="1" s="40">
      <c r="A1774" s="24" t="n"/>
      <c r="B1774" s="29" t="n"/>
      <c r="C1774" s="28" t="n"/>
      <c r="D1774" s="22">
        <f t="array" ref="D1774">IF($C1774="","",IFERROR(INDEX(DATA_MASTER!$C$2:$C$5000,MATCH($C1774,DATA_MASTER!$D$2:$D$5000,0)),""))</f>
        <v/>
      </c>
      <c r="E1774" s="22">
        <f t="array" ref="E1774">IF($C1774="","",IFERROR(INDEX(DATA_MASTER!$I$2:$I$5000,MATCH($C1774,DATA_MASTER!$D$2:$D$5000,0)),""))</f>
        <v/>
      </c>
      <c r="F1774" s="22">
        <f t="array" ref="F1774">IF($C1774="","",IFERROR(INDEX(DATA_MASTER!$L$2:$L$5000,MATCH($C1774,DATA_MASTER!$D$2:$D$5000,0)),""))</f>
        <v/>
      </c>
      <c r="G1774" s="24" t="n"/>
      <c r="H1774" s="24" t="n"/>
      <c r="I1774" s="30" t="n"/>
      <c r="J1774" s="23">
        <f>IF(OR($H1774="",$I1774=""),"",$H1774*$I1774)</f>
        <v/>
      </c>
      <c r="K1774" s="24" t="n"/>
      <c r="L1774" s="24" t="n"/>
      <c r="M1774" s="29" t="n"/>
      <c r="N1774" s="28" t="n"/>
      <c r="O1774" s="24" t="n"/>
      <c r="P1774" s="24" t="n"/>
      <c r="Q1774" s="24" t="n"/>
      <c r="R1774" s="24" t="n"/>
      <c r="S1774" s="22">
        <f>IF(AND($A1774="",$C1774=""),"",IF($A1774="","Thiếu mã đơn; ","")&amp;IF(COUNTIF($A$2:$A1774,$A1774)&gt;1,"Trùng mã đơn; ","")&amp;IF(ISNA(MATCH($C1774,DATA_MASTER!$D$2:$D$5000,0)),"SĐT chưa đăng ký hội viên; ","")&amp;IF(AND($L1774="Đã chuyển khoản",$M1774=""),"Thiếu ngày nhận CK; ",""))</f>
        <v/>
      </c>
      <c r="T1774" s="24" t="n"/>
    </row>
    <row r="1775" ht="14.25" customHeight="1" s="40">
      <c r="A1775" s="24" t="n"/>
      <c r="B1775" s="29" t="n"/>
      <c r="C1775" s="28" t="n"/>
      <c r="D1775" s="22">
        <f t="array" ref="D1775">IF($C1775="","",IFERROR(INDEX(DATA_MASTER!$C$2:$C$5000,MATCH($C1775,DATA_MASTER!$D$2:$D$5000,0)),""))</f>
        <v/>
      </c>
      <c r="E1775" s="22">
        <f t="array" ref="E1775">IF($C1775="","",IFERROR(INDEX(DATA_MASTER!$I$2:$I$5000,MATCH($C1775,DATA_MASTER!$D$2:$D$5000,0)),""))</f>
        <v/>
      </c>
      <c r="F1775" s="22">
        <f t="array" ref="F1775">IF($C1775="","",IFERROR(INDEX(DATA_MASTER!$L$2:$L$5000,MATCH($C1775,DATA_MASTER!$D$2:$D$5000,0)),""))</f>
        <v/>
      </c>
      <c r="G1775" s="24" t="n"/>
      <c r="H1775" s="24" t="n"/>
      <c r="I1775" s="30" t="n"/>
      <c r="J1775" s="23">
        <f>IF(OR($H1775="",$I1775=""),"",$H1775*$I1775)</f>
        <v/>
      </c>
      <c r="K1775" s="24" t="n"/>
      <c r="L1775" s="24" t="n"/>
      <c r="M1775" s="29" t="n"/>
      <c r="N1775" s="28" t="n"/>
      <c r="O1775" s="24" t="n"/>
      <c r="P1775" s="24" t="n"/>
      <c r="Q1775" s="24" t="n"/>
      <c r="R1775" s="24" t="n"/>
      <c r="S1775" s="22">
        <f>IF(AND($A1775="",$C1775=""),"",IF($A1775="","Thiếu mã đơn; ","")&amp;IF(COUNTIF($A$2:$A1775,$A1775)&gt;1,"Trùng mã đơn; ","")&amp;IF(ISNA(MATCH($C1775,DATA_MASTER!$D$2:$D$5000,0)),"SĐT chưa đăng ký hội viên; ","")&amp;IF(AND($L1775="Đã chuyển khoản",$M1775=""),"Thiếu ngày nhận CK; ",""))</f>
        <v/>
      </c>
      <c r="T1775" s="24" t="n"/>
    </row>
    <row r="1776" ht="14.25" customHeight="1" s="40">
      <c r="A1776" s="24" t="n"/>
      <c r="B1776" s="29" t="n"/>
      <c r="C1776" s="28" t="n"/>
      <c r="D1776" s="22">
        <f t="array" ref="D1776">IF($C1776="","",IFERROR(INDEX(DATA_MASTER!$C$2:$C$5000,MATCH($C1776,DATA_MASTER!$D$2:$D$5000,0)),""))</f>
        <v/>
      </c>
      <c r="E1776" s="22">
        <f t="array" ref="E1776">IF($C1776="","",IFERROR(INDEX(DATA_MASTER!$I$2:$I$5000,MATCH($C1776,DATA_MASTER!$D$2:$D$5000,0)),""))</f>
        <v/>
      </c>
      <c r="F1776" s="22">
        <f t="array" ref="F1776">IF($C1776="","",IFERROR(INDEX(DATA_MASTER!$L$2:$L$5000,MATCH($C1776,DATA_MASTER!$D$2:$D$5000,0)),""))</f>
        <v/>
      </c>
      <c r="G1776" s="24" t="n"/>
      <c r="H1776" s="24" t="n"/>
      <c r="I1776" s="30" t="n"/>
      <c r="J1776" s="23">
        <f>IF(OR($H1776="",$I1776=""),"",$H1776*$I1776)</f>
        <v/>
      </c>
      <c r="K1776" s="24" t="n"/>
      <c r="L1776" s="24" t="n"/>
      <c r="M1776" s="29" t="n"/>
      <c r="N1776" s="28" t="n"/>
      <c r="O1776" s="24" t="n"/>
      <c r="P1776" s="24" t="n"/>
      <c r="Q1776" s="24" t="n"/>
      <c r="R1776" s="24" t="n"/>
      <c r="S1776" s="22">
        <f>IF(AND($A1776="",$C1776=""),"",IF($A1776="","Thiếu mã đơn; ","")&amp;IF(COUNTIF($A$2:$A1776,$A1776)&gt;1,"Trùng mã đơn; ","")&amp;IF(ISNA(MATCH($C1776,DATA_MASTER!$D$2:$D$5000,0)),"SĐT chưa đăng ký hội viên; ","")&amp;IF(AND($L1776="Đã chuyển khoản",$M1776=""),"Thiếu ngày nhận CK; ",""))</f>
        <v/>
      </c>
      <c r="T1776" s="24" t="n"/>
    </row>
    <row r="1777" ht="14.25" customHeight="1" s="40">
      <c r="A1777" s="24" t="n"/>
      <c r="B1777" s="29" t="n"/>
      <c r="C1777" s="28" t="n"/>
      <c r="D1777" s="22">
        <f t="array" ref="D1777">IF($C1777="","",IFERROR(INDEX(DATA_MASTER!$C$2:$C$5000,MATCH($C1777,DATA_MASTER!$D$2:$D$5000,0)),""))</f>
        <v/>
      </c>
      <c r="E1777" s="22">
        <f t="array" ref="E1777">IF($C1777="","",IFERROR(INDEX(DATA_MASTER!$I$2:$I$5000,MATCH($C1777,DATA_MASTER!$D$2:$D$5000,0)),""))</f>
        <v/>
      </c>
      <c r="F1777" s="22">
        <f t="array" ref="F1777">IF($C1777="","",IFERROR(INDEX(DATA_MASTER!$L$2:$L$5000,MATCH($C1777,DATA_MASTER!$D$2:$D$5000,0)),""))</f>
        <v/>
      </c>
      <c r="G1777" s="24" t="n"/>
      <c r="H1777" s="24" t="n"/>
      <c r="I1777" s="30" t="n"/>
      <c r="J1777" s="23">
        <f>IF(OR($H1777="",$I1777=""),"",$H1777*$I1777)</f>
        <v/>
      </c>
      <c r="K1777" s="24" t="n"/>
      <c r="L1777" s="24" t="n"/>
      <c r="M1777" s="29" t="n"/>
      <c r="N1777" s="28" t="n"/>
      <c r="O1777" s="24" t="n"/>
      <c r="P1777" s="24" t="n"/>
      <c r="Q1777" s="24" t="n"/>
      <c r="R1777" s="24" t="n"/>
      <c r="S1777" s="22">
        <f>IF(AND($A1777="",$C1777=""),"",IF($A1777="","Thiếu mã đơn; ","")&amp;IF(COUNTIF($A$2:$A1777,$A1777)&gt;1,"Trùng mã đơn; ","")&amp;IF(ISNA(MATCH($C1777,DATA_MASTER!$D$2:$D$5000,0)),"SĐT chưa đăng ký hội viên; ","")&amp;IF(AND($L1777="Đã chuyển khoản",$M1777=""),"Thiếu ngày nhận CK; ",""))</f>
        <v/>
      </c>
      <c r="T1777" s="24" t="n"/>
    </row>
    <row r="1778" ht="14.25" customHeight="1" s="40">
      <c r="A1778" s="24" t="n"/>
      <c r="B1778" s="29" t="n"/>
      <c r="C1778" s="28" t="n"/>
      <c r="D1778" s="22">
        <f t="array" ref="D1778">IF($C1778="","",IFERROR(INDEX(DATA_MASTER!$C$2:$C$5000,MATCH($C1778,DATA_MASTER!$D$2:$D$5000,0)),""))</f>
        <v/>
      </c>
      <c r="E1778" s="22">
        <f t="array" ref="E1778">IF($C1778="","",IFERROR(INDEX(DATA_MASTER!$I$2:$I$5000,MATCH($C1778,DATA_MASTER!$D$2:$D$5000,0)),""))</f>
        <v/>
      </c>
      <c r="F1778" s="22">
        <f t="array" ref="F1778">IF($C1778="","",IFERROR(INDEX(DATA_MASTER!$L$2:$L$5000,MATCH($C1778,DATA_MASTER!$D$2:$D$5000,0)),""))</f>
        <v/>
      </c>
      <c r="G1778" s="24" t="n"/>
      <c r="H1778" s="24" t="n"/>
      <c r="I1778" s="30" t="n"/>
      <c r="J1778" s="23">
        <f>IF(OR($H1778="",$I1778=""),"",$H1778*$I1778)</f>
        <v/>
      </c>
      <c r="K1778" s="24" t="n"/>
      <c r="L1778" s="24" t="n"/>
      <c r="M1778" s="29" t="n"/>
      <c r="N1778" s="28" t="n"/>
      <c r="O1778" s="24" t="n"/>
      <c r="P1778" s="24" t="n"/>
      <c r="Q1778" s="24" t="n"/>
      <c r="R1778" s="24" t="n"/>
      <c r="S1778" s="22">
        <f>IF(AND($A1778="",$C1778=""),"",IF($A1778="","Thiếu mã đơn; ","")&amp;IF(COUNTIF($A$2:$A1778,$A1778)&gt;1,"Trùng mã đơn; ","")&amp;IF(ISNA(MATCH($C1778,DATA_MASTER!$D$2:$D$5000,0)),"SĐT chưa đăng ký hội viên; ","")&amp;IF(AND($L1778="Đã chuyển khoản",$M1778=""),"Thiếu ngày nhận CK; ",""))</f>
        <v/>
      </c>
      <c r="T1778" s="24" t="n"/>
    </row>
    <row r="1779" ht="14.25" customHeight="1" s="40">
      <c r="A1779" s="24" t="n"/>
      <c r="B1779" s="29" t="n"/>
      <c r="C1779" s="28" t="n"/>
      <c r="D1779" s="22">
        <f t="array" ref="D1779">IF($C1779="","",IFERROR(INDEX(DATA_MASTER!$C$2:$C$5000,MATCH($C1779,DATA_MASTER!$D$2:$D$5000,0)),""))</f>
        <v/>
      </c>
      <c r="E1779" s="22">
        <f t="array" ref="E1779">IF($C1779="","",IFERROR(INDEX(DATA_MASTER!$I$2:$I$5000,MATCH($C1779,DATA_MASTER!$D$2:$D$5000,0)),""))</f>
        <v/>
      </c>
      <c r="F1779" s="22">
        <f t="array" ref="F1779">IF($C1779="","",IFERROR(INDEX(DATA_MASTER!$L$2:$L$5000,MATCH($C1779,DATA_MASTER!$D$2:$D$5000,0)),""))</f>
        <v/>
      </c>
      <c r="G1779" s="24" t="n"/>
      <c r="H1779" s="24" t="n"/>
      <c r="I1779" s="30" t="n"/>
      <c r="J1779" s="23">
        <f>IF(OR($H1779="",$I1779=""),"",$H1779*$I1779)</f>
        <v/>
      </c>
      <c r="K1779" s="24" t="n"/>
      <c r="L1779" s="24" t="n"/>
      <c r="M1779" s="29" t="n"/>
      <c r="N1779" s="28" t="n"/>
      <c r="O1779" s="24" t="n"/>
      <c r="P1779" s="24" t="n"/>
      <c r="Q1779" s="24" t="n"/>
      <c r="R1779" s="24" t="n"/>
      <c r="S1779" s="22">
        <f>IF(AND($A1779="",$C1779=""),"",IF($A1779="","Thiếu mã đơn; ","")&amp;IF(COUNTIF($A$2:$A1779,$A1779)&gt;1,"Trùng mã đơn; ","")&amp;IF(ISNA(MATCH($C1779,DATA_MASTER!$D$2:$D$5000,0)),"SĐT chưa đăng ký hội viên; ","")&amp;IF(AND($L1779="Đã chuyển khoản",$M1779=""),"Thiếu ngày nhận CK; ",""))</f>
        <v/>
      </c>
      <c r="T1779" s="24" t="n"/>
    </row>
    <row r="1780" ht="14.25" customHeight="1" s="40">
      <c r="A1780" s="24" t="n"/>
      <c r="B1780" s="29" t="n"/>
      <c r="C1780" s="28" t="n"/>
      <c r="D1780" s="22">
        <f t="array" ref="D1780">IF($C1780="","",IFERROR(INDEX(DATA_MASTER!$C$2:$C$5000,MATCH($C1780,DATA_MASTER!$D$2:$D$5000,0)),""))</f>
        <v/>
      </c>
      <c r="E1780" s="22">
        <f t="array" ref="E1780">IF($C1780="","",IFERROR(INDEX(DATA_MASTER!$I$2:$I$5000,MATCH($C1780,DATA_MASTER!$D$2:$D$5000,0)),""))</f>
        <v/>
      </c>
      <c r="F1780" s="22">
        <f t="array" ref="F1780">IF($C1780="","",IFERROR(INDEX(DATA_MASTER!$L$2:$L$5000,MATCH($C1780,DATA_MASTER!$D$2:$D$5000,0)),""))</f>
        <v/>
      </c>
      <c r="G1780" s="24" t="n"/>
      <c r="H1780" s="24" t="n"/>
      <c r="I1780" s="30" t="n"/>
      <c r="J1780" s="23">
        <f>IF(OR($H1780="",$I1780=""),"",$H1780*$I1780)</f>
        <v/>
      </c>
      <c r="K1780" s="24" t="n"/>
      <c r="L1780" s="24" t="n"/>
      <c r="M1780" s="29" t="n"/>
      <c r="N1780" s="28" t="n"/>
      <c r="O1780" s="24" t="n"/>
      <c r="P1780" s="24" t="n"/>
      <c r="Q1780" s="24" t="n"/>
      <c r="R1780" s="24" t="n"/>
      <c r="S1780" s="22">
        <f>IF(AND($A1780="",$C1780=""),"",IF($A1780="","Thiếu mã đơn; ","")&amp;IF(COUNTIF($A$2:$A1780,$A1780)&gt;1,"Trùng mã đơn; ","")&amp;IF(ISNA(MATCH($C1780,DATA_MASTER!$D$2:$D$5000,0)),"SĐT chưa đăng ký hội viên; ","")&amp;IF(AND($L1780="Đã chuyển khoản",$M1780=""),"Thiếu ngày nhận CK; ",""))</f>
        <v/>
      </c>
      <c r="T1780" s="24" t="n"/>
    </row>
    <row r="1781" ht="14.25" customHeight="1" s="40">
      <c r="A1781" s="24" t="n"/>
      <c r="B1781" s="29" t="n"/>
      <c r="C1781" s="28" t="n"/>
      <c r="D1781" s="22">
        <f t="array" ref="D1781">IF($C1781="","",IFERROR(INDEX(DATA_MASTER!$C$2:$C$5000,MATCH($C1781,DATA_MASTER!$D$2:$D$5000,0)),""))</f>
        <v/>
      </c>
      <c r="E1781" s="22">
        <f t="array" ref="E1781">IF($C1781="","",IFERROR(INDEX(DATA_MASTER!$I$2:$I$5000,MATCH($C1781,DATA_MASTER!$D$2:$D$5000,0)),""))</f>
        <v/>
      </c>
      <c r="F1781" s="22">
        <f t="array" ref="F1781">IF($C1781="","",IFERROR(INDEX(DATA_MASTER!$L$2:$L$5000,MATCH($C1781,DATA_MASTER!$D$2:$D$5000,0)),""))</f>
        <v/>
      </c>
      <c r="G1781" s="24" t="n"/>
      <c r="H1781" s="24" t="n"/>
      <c r="I1781" s="30" t="n"/>
      <c r="J1781" s="23">
        <f>IF(OR($H1781="",$I1781=""),"",$H1781*$I1781)</f>
        <v/>
      </c>
      <c r="K1781" s="24" t="n"/>
      <c r="L1781" s="24" t="n"/>
      <c r="M1781" s="29" t="n"/>
      <c r="N1781" s="28" t="n"/>
      <c r="O1781" s="24" t="n"/>
      <c r="P1781" s="24" t="n"/>
      <c r="Q1781" s="24" t="n"/>
      <c r="R1781" s="24" t="n"/>
      <c r="S1781" s="22">
        <f>IF(AND($A1781="",$C1781=""),"",IF($A1781="","Thiếu mã đơn; ","")&amp;IF(COUNTIF($A$2:$A1781,$A1781)&gt;1,"Trùng mã đơn; ","")&amp;IF(ISNA(MATCH($C1781,DATA_MASTER!$D$2:$D$5000,0)),"SĐT chưa đăng ký hội viên; ","")&amp;IF(AND($L1781="Đã chuyển khoản",$M1781=""),"Thiếu ngày nhận CK; ",""))</f>
        <v/>
      </c>
      <c r="T1781" s="24" t="n"/>
    </row>
    <row r="1782" ht="14.25" customHeight="1" s="40">
      <c r="A1782" s="24" t="n"/>
      <c r="B1782" s="29" t="n"/>
      <c r="C1782" s="28" t="n"/>
      <c r="D1782" s="22">
        <f t="array" ref="D1782">IF($C1782="","",IFERROR(INDEX(DATA_MASTER!$C$2:$C$5000,MATCH($C1782,DATA_MASTER!$D$2:$D$5000,0)),""))</f>
        <v/>
      </c>
      <c r="E1782" s="22">
        <f t="array" ref="E1782">IF($C1782="","",IFERROR(INDEX(DATA_MASTER!$I$2:$I$5000,MATCH($C1782,DATA_MASTER!$D$2:$D$5000,0)),""))</f>
        <v/>
      </c>
      <c r="F1782" s="22">
        <f t="array" ref="F1782">IF($C1782="","",IFERROR(INDEX(DATA_MASTER!$L$2:$L$5000,MATCH($C1782,DATA_MASTER!$D$2:$D$5000,0)),""))</f>
        <v/>
      </c>
      <c r="G1782" s="24" t="n"/>
      <c r="H1782" s="24" t="n"/>
      <c r="I1782" s="30" t="n"/>
      <c r="J1782" s="23">
        <f>IF(OR($H1782="",$I1782=""),"",$H1782*$I1782)</f>
        <v/>
      </c>
      <c r="K1782" s="24" t="n"/>
      <c r="L1782" s="24" t="n"/>
      <c r="M1782" s="29" t="n"/>
      <c r="N1782" s="28" t="n"/>
      <c r="O1782" s="24" t="n"/>
      <c r="P1782" s="24" t="n"/>
      <c r="Q1782" s="24" t="n"/>
      <c r="R1782" s="24" t="n"/>
      <c r="S1782" s="22">
        <f>IF(AND($A1782="",$C1782=""),"",IF($A1782="","Thiếu mã đơn; ","")&amp;IF(COUNTIF($A$2:$A1782,$A1782)&gt;1,"Trùng mã đơn; ","")&amp;IF(ISNA(MATCH($C1782,DATA_MASTER!$D$2:$D$5000,0)),"SĐT chưa đăng ký hội viên; ","")&amp;IF(AND($L1782="Đã chuyển khoản",$M1782=""),"Thiếu ngày nhận CK; ",""))</f>
        <v/>
      </c>
      <c r="T1782" s="24" t="n"/>
    </row>
    <row r="1783" ht="14.25" customHeight="1" s="40">
      <c r="A1783" s="24" t="n"/>
      <c r="B1783" s="29" t="n"/>
      <c r="C1783" s="28" t="n"/>
      <c r="D1783" s="22">
        <f t="array" ref="D1783">IF($C1783="","",IFERROR(INDEX(DATA_MASTER!$C$2:$C$5000,MATCH($C1783,DATA_MASTER!$D$2:$D$5000,0)),""))</f>
        <v/>
      </c>
      <c r="E1783" s="22">
        <f t="array" ref="E1783">IF($C1783="","",IFERROR(INDEX(DATA_MASTER!$I$2:$I$5000,MATCH($C1783,DATA_MASTER!$D$2:$D$5000,0)),""))</f>
        <v/>
      </c>
      <c r="F1783" s="22">
        <f t="array" ref="F1783">IF($C1783="","",IFERROR(INDEX(DATA_MASTER!$L$2:$L$5000,MATCH($C1783,DATA_MASTER!$D$2:$D$5000,0)),""))</f>
        <v/>
      </c>
      <c r="G1783" s="24" t="n"/>
      <c r="H1783" s="24" t="n"/>
      <c r="I1783" s="30" t="n"/>
      <c r="J1783" s="23">
        <f>IF(OR($H1783="",$I1783=""),"",$H1783*$I1783)</f>
        <v/>
      </c>
      <c r="K1783" s="24" t="n"/>
      <c r="L1783" s="24" t="n"/>
      <c r="M1783" s="29" t="n"/>
      <c r="N1783" s="28" t="n"/>
      <c r="O1783" s="24" t="n"/>
      <c r="P1783" s="24" t="n"/>
      <c r="Q1783" s="24" t="n"/>
      <c r="R1783" s="24" t="n"/>
      <c r="S1783" s="22">
        <f>IF(AND($A1783="",$C1783=""),"",IF($A1783="","Thiếu mã đơn; ","")&amp;IF(COUNTIF($A$2:$A1783,$A1783)&gt;1,"Trùng mã đơn; ","")&amp;IF(ISNA(MATCH($C1783,DATA_MASTER!$D$2:$D$5000,0)),"SĐT chưa đăng ký hội viên; ","")&amp;IF(AND($L1783="Đã chuyển khoản",$M1783=""),"Thiếu ngày nhận CK; ",""))</f>
        <v/>
      </c>
      <c r="T1783" s="24" t="n"/>
    </row>
    <row r="1784" ht="14.25" customHeight="1" s="40">
      <c r="A1784" s="24" t="n"/>
      <c r="B1784" s="29" t="n"/>
      <c r="C1784" s="28" t="n"/>
      <c r="D1784" s="22">
        <f t="array" ref="D1784">IF($C1784="","",IFERROR(INDEX(DATA_MASTER!$C$2:$C$5000,MATCH($C1784,DATA_MASTER!$D$2:$D$5000,0)),""))</f>
        <v/>
      </c>
      <c r="E1784" s="22">
        <f t="array" ref="E1784">IF($C1784="","",IFERROR(INDEX(DATA_MASTER!$I$2:$I$5000,MATCH($C1784,DATA_MASTER!$D$2:$D$5000,0)),""))</f>
        <v/>
      </c>
      <c r="F1784" s="22">
        <f t="array" ref="F1784">IF($C1784="","",IFERROR(INDEX(DATA_MASTER!$L$2:$L$5000,MATCH($C1784,DATA_MASTER!$D$2:$D$5000,0)),""))</f>
        <v/>
      </c>
      <c r="G1784" s="24" t="n"/>
      <c r="H1784" s="24" t="n"/>
      <c r="I1784" s="30" t="n"/>
      <c r="J1784" s="23">
        <f>IF(OR($H1784="",$I1784=""),"",$H1784*$I1784)</f>
        <v/>
      </c>
      <c r="K1784" s="24" t="n"/>
      <c r="L1784" s="24" t="n"/>
      <c r="M1784" s="29" t="n"/>
      <c r="N1784" s="28" t="n"/>
      <c r="O1784" s="24" t="n"/>
      <c r="P1784" s="24" t="n"/>
      <c r="Q1784" s="24" t="n"/>
      <c r="R1784" s="24" t="n"/>
      <c r="S1784" s="22">
        <f>IF(AND($A1784="",$C1784=""),"",IF($A1784="","Thiếu mã đơn; ","")&amp;IF(COUNTIF($A$2:$A1784,$A1784)&gt;1,"Trùng mã đơn; ","")&amp;IF(ISNA(MATCH($C1784,DATA_MASTER!$D$2:$D$5000,0)),"SĐT chưa đăng ký hội viên; ","")&amp;IF(AND($L1784="Đã chuyển khoản",$M1784=""),"Thiếu ngày nhận CK; ",""))</f>
        <v/>
      </c>
      <c r="T1784" s="24" t="n"/>
    </row>
    <row r="1785" ht="14.25" customHeight="1" s="40">
      <c r="A1785" s="24" t="n"/>
      <c r="B1785" s="29" t="n"/>
      <c r="C1785" s="28" t="n"/>
      <c r="D1785" s="22">
        <f t="array" ref="D1785">IF($C1785="","",IFERROR(INDEX(DATA_MASTER!$C$2:$C$5000,MATCH($C1785,DATA_MASTER!$D$2:$D$5000,0)),""))</f>
        <v/>
      </c>
      <c r="E1785" s="22">
        <f t="array" ref="E1785">IF($C1785="","",IFERROR(INDEX(DATA_MASTER!$I$2:$I$5000,MATCH($C1785,DATA_MASTER!$D$2:$D$5000,0)),""))</f>
        <v/>
      </c>
      <c r="F1785" s="22">
        <f t="array" ref="F1785">IF($C1785="","",IFERROR(INDEX(DATA_MASTER!$L$2:$L$5000,MATCH($C1785,DATA_MASTER!$D$2:$D$5000,0)),""))</f>
        <v/>
      </c>
      <c r="G1785" s="24" t="n"/>
      <c r="H1785" s="24" t="n"/>
      <c r="I1785" s="30" t="n"/>
      <c r="J1785" s="23">
        <f>IF(OR($H1785="",$I1785=""),"",$H1785*$I1785)</f>
        <v/>
      </c>
      <c r="K1785" s="24" t="n"/>
      <c r="L1785" s="24" t="n"/>
      <c r="M1785" s="29" t="n"/>
      <c r="N1785" s="28" t="n"/>
      <c r="O1785" s="24" t="n"/>
      <c r="P1785" s="24" t="n"/>
      <c r="Q1785" s="24" t="n"/>
      <c r="R1785" s="24" t="n"/>
      <c r="S1785" s="22">
        <f>IF(AND($A1785="",$C1785=""),"",IF($A1785="","Thiếu mã đơn; ","")&amp;IF(COUNTIF($A$2:$A1785,$A1785)&gt;1,"Trùng mã đơn; ","")&amp;IF(ISNA(MATCH($C1785,DATA_MASTER!$D$2:$D$5000,0)),"SĐT chưa đăng ký hội viên; ","")&amp;IF(AND($L1785="Đã chuyển khoản",$M1785=""),"Thiếu ngày nhận CK; ",""))</f>
        <v/>
      </c>
      <c r="T1785" s="24" t="n"/>
    </row>
    <row r="1786" ht="14.25" customHeight="1" s="40">
      <c r="A1786" s="24" t="n"/>
      <c r="B1786" s="29" t="n"/>
      <c r="C1786" s="28" t="n"/>
      <c r="D1786" s="22">
        <f t="array" ref="D1786">IF($C1786="","",IFERROR(INDEX(DATA_MASTER!$C$2:$C$5000,MATCH($C1786,DATA_MASTER!$D$2:$D$5000,0)),""))</f>
        <v/>
      </c>
      <c r="E1786" s="22">
        <f t="array" ref="E1786">IF($C1786="","",IFERROR(INDEX(DATA_MASTER!$I$2:$I$5000,MATCH($C1786,DATA_MASTER!$D$2:$D$5000,0)),""))</f>
        <v/>
      </c>
      <c r="F1786" s="22">
        <f t="array" ref="F1786">IF($C1786="","",IFERROR(INDEX(DATA_MASTER!$L$2:$L$5000,MATCH($C1786,DATA_MASTER!$D$2:$D$5000,0)),""))</f>
        <v/>
      </c>
      <c r="G1786" s="24" t="n"/>
      <c r="H1786" s="24" t="n"/>
      <c r="I1786" s="30" t="n"/>
      <c r="J1786" s="23">
        <f>IF(OR($H1786="",$I1786=""),"",$H1786*$I1786)</f>
        <v/>
      </c>
      <c r="K1786" s="24" t="n"/>
      <c r="L1786" s="24" t="n"/>
      <c r="M1786" s="29" t="n"/>
      <c r="N1786" s="28" t="n"/>
      <c r="O1786" s="24" t="n"/>
      <c r="P1786" s="24" t="n"/>
      <c r="Q1786" s="24" t="n"/>
      <c r="R1786" s="24" t="n"/>
      <c r="S1786" s="22">
        <f>IF(AND($A1786="",$C1786=""),"",IF($A1786="","Thiếu mã đơn; ","")&amp;IF(COUNTIF($A$2:$A1786,$A1786)&gt;1,"Trùng mã đơn; ","")&amp;IF(ISNA(MATCH($C1786,DATA_MASTER!$D$2:$D$5000,0)),"SĐT chưa đăng ký hội viên; ","")&amp;IF(AND($L1786="Đã chuyển khoản",$M1786=""),"Thiếu ngày nhận CK; ",""))</f>
        <v/>
      </c>
      <c r="T1786" s="24" t="n"/>
    </row>
    <row r="1787" ht="14.25" customHeight="1" s="40">
      <c r="A1787" s="24" t="n"/>
      <c r="B1787" s="29" t="n"/>
      <c r="C1787" s="28" t="n"/>
      <c r="D1787" s="22">
        <f t="array" ref="D1787">IF($C1787="","",IFERROR(INDEX(DATA_MASTER!$C$2:$C$5000,MATCH($C1787,DATA_MASTER!$D$2:$D$5000,0)),""))</f>
        <v/>
      </c>
      <c r="E1787" s="22">
        <f t="array" ref="E1787">IF($C1787="","",IFERROR(INDEX(DATA_MASTER!$I$2:$I$5000,MATCH($C1787,DATA_MASTER!$D$2:$D$5000,0)),""))</f>
        <v/>
      </c>
      <c r="F1787" s="22">
        <f t="array" ref="F1787">IF($C1787="","",IFERROR(INDEX(DATA_MASTER!$L$2:$L$5000,MATCH($C1787,DATA_MASTER!$D$2:$D$5000,0)),""))</f>
        <v/>
      </c>
      <c r="G1787" s="24" t="n"/>
      <c r="H1787" s="24" t="n"/>
      <c r="I1787" s="30" t="n"/>
      <c r="J1787" s="23">
        <f>IF(OR($H1787="",$I1787=""),"",$H1787*$I1787)</f>
        <v/>
      </c>
      <c r="K1787" s="24" t="n"/>
      <c r="L1787" s="24" t="n"/>
      <c r="M1787" s="29" t="n"/>
      <c r="N1787" s="28" t="n"/>
      <c r="O1787" s="24" t="n"/>
      <c r="P1787" s="24" t="n"/>
      <c r="Q1787" s="24" t="n"/>
      <c r="R1787" s="24" t="n"/>
      <c r="S1787" s="22">
        <f>IF(AND($A1787="",$C1787=""),"",IF($A1787="","Thiếu mã đơn; ","")&amp;IF(COUNTIF($A$2:$A1787,$A1787)&gt;1,"Trùng mã đơn; ","")&amp;IF(ISNA(MATCH($C1787,DATA_MASTER!$D$2:$D$5000,0)),"SĐT chưa đăng ký hội viên; ","")&amp;IF(AND($L1787="Đã chuyển khoản",$M1787=""),"Thiếu ngày nhận CK; ",""))</f>
        <v/>
      </c>
      <c r="T1787" s="24" t="n"/>
    </row>
    <row r="1788" ht="14.25" customHeight="1" s="40">
      <c r="A1788" s="24" t="n"/>
      <c r="B1788" s="29" t="n"/>
      <c r="C1788" s="28" t="n"/>
      <c r="D1788" s="22">
        <f t="array" ref="D1788">IF($C1788="","",IFERROR(INDEX(DATA_MASTER!$C$2:$C$5000,MATCH($C1788,DATA_MASTER!$D$2:$D$5000,0)),""))</f>
        <v/>
      </c>
      <c r="E1788" s="22">
        <f t="array" ref="E1788">IF($C1788="","",IFERROR(INDEX(DATA_MASTER!$I$2:$I$5000,MATCH($C1788,DATA_MASTER!$D$2:$D$5000,0)),""))</f>
        <v/>
      </c>
      <c r="F1788" s="22">
        <f t="array" ref="F1788">IF($C1788="","",IFERROR(INDEX(DATA_MASTER!$L$2:$L$5000,MATCH($C1788,DATA_MASTER!$D$2:$D$5000,0)),""))</f>
        <v/>
      </c>
      <c r="G1788" s="24" t="n"/>
      <c r="H1788" s="24" t="n"/>
      <c r="I1788" s="30" t="n"/>
      <c r="J1788" s="23">
        <f>IF(OR($H1788="",$I1788=""),"",$H1788*$I1788)</f>
        <v/>
      </c>
      <c r="K1788" s="24" t="n"/>
      <c r="L1788" s="24" t="n"/>
      <c r="M1788" s="29" t="n"/>
      <c r="N1788" s="28" t="n"/>
      <c r="O1788" s="24" t="n"/>
      <c r="P1788" s="24" t="n"/>
      <c r="Q1788" s="24" t="n"/>
      <c r="R1788" s="24" t="n"/>
      <c r="S1788" s="22">
        <f>IF(AND($A1788="",$C1788=""),"",IF($A1788="","Thiếu mã đơn; ","")&amp;IF(COUNTIF($A$2:$A1788,$A1788)&gt;1,"Trùng mã đơn; ","")&amp;IF(ISNA(MATCH($C1788,DATA_MASTER!$D$2:$D$5000,0)),"SĐT chưa đăng ký hội viên; ","")&amp;IF(AND($L1788="Đã chuyển khoản",$M1788=""),"Thiếu ngày nhận CK; ",""))</f>
        <v/>
      </c>
      <c r="T1788" s="24" t="n"/>
    </row>
    <row r="1789" ht="14.25" customHeight="1" s="40">
      <c r="A1789" s="24" t="n"/>
      <c r="B1789" s="29" t="n"/>
      <c r="C1789" s="28" t="n"/>
      <c r="D1789" s="22">
        <f t="array" ref="D1789">IF($C1789="","",IFERROR(INDEX(DATA_MASTER!$C$2:$C$5000,MATCH($C1789,DATA_MASTER!$D$2:$D$5000,0)),""))</f>
        <v/>
      </c>
      <c r="E1789" s="22">
        <f t="array" ref="E1789">IF($C1789="","",IFERROR(INDEX(DATA_MASTER!$I$2:$I$5000,MATCH($C1789,DATA_MASTER!$D$2:$D$5000,0)),""))</f>
        <v/>
      </c>
      <c r="F1789" s="22">
        <f t="array" ref="F1789">IF($C1789="","",IFERROR(INDEX(DATA_MASTER!$L$2:$L$5000,MATCH($C1789,DATA_MASTER!$D$2:$D$5000,0)),""))</f>
        <v/>
      </c>
      <c r="G1789" s="24" t="n"/>
      <c r="H1789" s="24" t="n"/>
      <c r="I1789" s="30" t="n"/>
      <c r="J1789" s="23">
        <f>IF(OR($H1789="",$I1789=""),"",$H1789*$I1789)</f>
        <v/>
      </c>
      <c r="K1789" s="24" t="n"/>
      <c r="L1789" s="24" t="n"/>
      <c r="M1789" s="29" t="n"/>
      <c r="N1789" s="28" t="n"/>
      <c r="O1789" s="24" t="n"/>
      <c r="P1789" s="24" t="n"/>
      <c r="Q1789" s="24" t="n"/>
      <c r="R1789" s="24" t="n"/>
      <c r="S1789" s="22">
        <f>IF(AND($A1789="",$C1789=""),"",IF($A1789="","Thiếu mã đơn; ","")&amp;IF(COUNTIF($A$2:$A1789,$A1789)&gt;1,"Trùng mã đơn; ","")&amp;IF(ISNA(MATCH($C1789,DATA_MASTER!$D$2:$D$5000,0)),"SĐT chưa đăng ký hội viên; ","")&amp;IF(AND($L1789="Đã chuyển khoản",$M1789=""),"Thiếu ngày nhận CK; ",""))</f>
        <v/>
      </c>
      <c r="T1789" s="24" t="n"/>
    </row>
    <row r="1790" ht="14.25" customHeight="1" s="40">
      <c r="A1790" s="24" t="n"/>
      <c r="B1790" s="29" t="n"/>
      <c r="C1790" s="28" t="n"/>
      <c r="D1790" s="22">
        <f t="array" ref="D1790">IF($C1790="","",IFERROR(INDEX(DATA_MASTER!$C$2:$C$5000,MATCH($C1790,DATA_MASTER!$D$2:$D$5000,0)),""))</f>
        <v/>
      </c>
      <c r="E1790" s="22">
        <f t="array" ref="E1790">IF($C1790="","",IFERROR(INDEX(DATA_MASTER!$I$2:$I$5000,MATCH($C1790,DATA_MASTER!$D$2:$D$5000,0)),""))</f>
        <v/>
      </c>
      <c r="F1790" s="22">
        <f t="array" ref="F1790">IF($C1790="","",IFERROR(INDEX(DATA_MASTER!$L$2:$L$5000,MATCH($C1790,DATA_MASTER!$D$2:$D$5000,0)),""))</f>
        <v/>
      </c>
      <c r="G1790" s="24" t="n"/>
      <c r="H1790" s="24" t="n"/>
      <c r="I1790" s="30" t="n"/>
      <c r="J1790" s="23">
        <f>IF(OR($H1790="",$I1790=""),"",$H1790*$I1790)</f>
        <v/>
      </c>
      <c r="K1790" s="24" t="n"/>
      <c r="L1790" s="24" t="n"/>
      <c r="M1790" s="29" t="n"/>
      <c r="N1790" s="28" t="n"/>
      <c r="O1790" s="24" t="n"/>
      <c r="P1790" s="24" t="n"/>
      <c r="Q1790" s="24" t="n"/>
      <c r="R1790" s="24" t="n"/>
      <c r="S1790" s="22">
        <f>IF(AND($A1790="",$C1790=""),"",IF($A1790="","Thiếu mã đơn; ","")&amp;IF(COUNTIF($A$2:$A1790,$A1790)&gt;1,"Trùng mã đơn; ","")&amp;IF(ISNA(MATCH($C1790,DATA_MASTER!$D$2:$D$5000,0)),"SĐT chưa đăng ký hội viên; ","")&amp;IF(AND($L1790="Đã chuyển khoản",$M1790=""),"Thiếu ngày nhận CK; ",""))</f>
        <v/>
      </c>
      <c r="T1790" s="24" t="n"/>
    </row>
    <row r="1791" ht="14.25" customHeight="1" s="40">
      <c r="A1791" s="24" t="n"/>
      <c r="B1791" s="29" t="n"/>
      <c r="C1791" s="28" t="n"/>
      <c r="D1791" s="22">
        <f t="array" ref="D1791">IF($C1791="","",IFERROR(INDEX(DATA_MASTER!$C$2:$C$5000,MATCH($C1791,DATA_MASTER!$D$2:$D$5000,0)),""))</f>
        <v/>
      </c>
      <c r="E1791" s="22">
        <f t="array" ref="E1791">IF($C1791="","",IFERROR(INDEX(DATA_MASTER!$I$2:$I$5000,MATCH($C1791,DATA_MASTER!$D$2:$D$5000,0)),""))</f>
        <v/>
      </c>
      <c r="F1791" s="22">
        <f t="array" ref="F1791">IF($C1791="","",IFERROR(INDEX(DATA_MASTER!$L$2:$L$5000,MATCH($C1791,DATA_MASTER!$D$2:$D$5000,0)),""))</f>
        <v/>
      </c>
      <c r="G1791" s="24" t="n"/>
      <c r="H1791" s="24" t="n"/>
      <c r="I1791" s="30" t="n"/>
      <c r="J1791" s="23">
        <f>IF(OR($H1791="",$I1791=""),"",$H1791*$I1791)</f>
        <v/>
      </c>
      <c r="K1791" s="24" t="n"/>
      <c r="L1791" s="24" t="n"/>
      <c r="M1791" s="29" t="n"/>
      <c r="N1791" s="28" t="n"/>
      <c r="O1791" s="24" t="n"/>
      <c r="P1791" s="24" t="n"/>
      <c r="Q1791" s="24" t="n"/>
      <c r="R1791" s="24" t="n"/>
      <c r="S1791" s="22">
        <f>IF(AND($A1791="",$C1791=""),"",IF($A1791="","Thiếu mã đơn; ","")&amp;IF(COUNTIF($A$2:$A1791,$A1791)&gt;1,"Trùng mã đơn; ","")&amp;IF(ISNA(MATCH($C1791,DATA_MASTER!$D$2:$D$5000,0)),"SĐT chưa đăng ký hội viên; ","")&amp;IF(AND($L1791="Đã chuyển khoản",$M1791=""),"Thiếu ngày nhận CK; ",""))</f>
        <v/>
      </c>
      <c r="T1791" s="24" t="n"/>
    </row>
    <row r="1792" ht="14.25" customHeight="1" s="40">
      <c r="A1792" s="24" t="n"/>
      <c r="B1792" s="29" t="n"/>
      <c r="C1792" s="28" t="n"/>
      <c r="D1792" s="22">
        <f t="array" ref="D1792">IF($C1792="","",IFERROR(INDEX(DATA_MASTER!$C$2:$C$5000,MATCH($C1792,DATA_MASTER!$D$2:$D$5000,0)),""))</f>
        <v/>
      </c>
      <c r="E1792" s="22">
        <f t="array" ref="E1792">IF($C1792="","",IFERROR(INDEX(DATA_MASTER!$I$2:$I$5000,MATCH($C1792,DATA_MASTER!$D$2:$D$5000,0)),""))</f>
        <v/>
      </c>
      <c r="F1792" s="22">
        <f t="array" ref="F1792">IF($C1792="","",IFERROR(INDEX(DATA_MASTER!$L$2:$L$5000,MATCH($C1792,DATA_MASTER!$D$2:$D$5000,0)),""))</f>
        <v/>
      </c>
      <c r="G1792" s="24" t="n"/>
      <c r="H1792" s="24" t="n"/>
      <c r="I1792" s="30" t="n"/>
      <c r="J1792" s="23">
        <f>IF(OR($H1792="",$I1792=""),"",$H1792*$I1792)</f>
        <v/>
      </c>
      <c r="K1792" s="24" t="n"/>
      <c r="L1792" s="24" t="n"/>
      <c r="M1792" s="29" t="n"/>
      <c r="N1792" s="28" t="n"/>
      <c r="O1792" s="24" t="n"/>
      <c r="P1792" s="24" t="n"/>
      <c r="Q1792" s="24" t="n"/>
      <c r="R1792" s="24" t="n"/>
      <c r="S1792" s="22">
        <f>IF(AND($A1792="",$C1792=""),"",IF($A1792="","Thiếu mã đơn; ","")&amp;IF(COUNTIF($A$2:$A1792,$A1792)&gt;1,"Trùng mã đơn; ","")&amp;IF(ISNA(MATCH($C1792,DATA_MASTER!$D$2:$D$5000,0)),"SĐT chưa đăng ký hội viên; ","")&amp;IF(AND($L1792="Đã chuyển khoản",$M1792=""),"Thiếu ngày nhận CK; ",""))</f>
        <v/>
      </c>
      <c r="T1792" s="24" t="n"/>
    </row>
    <row r="1793" ht="14.25" customHeight="1" s="40">
      <c r="A1793" s="24" t="n"/>
      <c r="B1793" s="29" t="n"/>
      <c r="C1793" s="28" t="n"/>
      <c r="D1793" s="22">
        <f t="array" ref="D1793">IF($C1793="","",IFERROR(INDEX(DATA_MASTER!$C$2:$C$5000,MATCH($C1793,DATA_MASTER!$D$2:$D$5000,0)),""))</f>
        <v/>
      </c>
      <c r="E1793" s="22">
        <f t="array" ref="E1793">IF($C1793="","",IFERROR(INDEX(DATA_MASTER!$I$2:$I$5000,MATCH($C1793,DATA_MASTER!$D$2:$D$5000,0)),""))</f>
        <v/>
      </c>
      <c r="F1793" s="22">
        <f t="array" ref="F1793">IF($C1793="","",IFERROR(INDEX(DATA_MASTER!$L$2:$L$5000,MATCH($C1793,DATA_MASTER!$D$2:$D$5000,0)),""))</f>
        <v/>
      </c>
      <c r="G1793" s="24" t="n"/>
      <c r="H1793" s="24" t="n"/>
      <c r="I1793" s="30" t="n"/>
      <c r="J1793" s="23">
        <f>IF(OR($H1793="",$I1793=""),"",$H1793*$I1793)</f>
        <v/>
      </c>
      <c r="K1793" s="24" t="n"/>
      <c r="L1793" s="24" t="n"/>
      <c r="M1793" s="29" t="n"/>
      <c r="N1793" s="28" t="n"/>
      <c r="O1793" s="24" t="n"/>
      <c r="P1793" s="24" t="n"/>
      <c r="Q1793" s="24" t="n"/>
      <c r="R1793" s="24" t="n"/>
      <c r="S1793" s="22">
        <f>IF(AND($A1793="",$C1793=""),"",IF($A1793="","Thiếu mã đơn; ","")&amp;IF(COUNTIF($A$2:$A1793,$A1793)&gt;1,"Trùng mã đơn; ","")&amp;IF(ISNA(MATCH($C1793,DATA_MASTER!$D$2:$D$5000,0)),"SĐT chưa đăng ký hội viên; ","")&amp;IF(AND($L1793="Đã chuyển khoản",$M1793=""),"Thiếu ngày nhận CK; ",""))</f>
        <v/>
      </c>
      <c r="T1793" s="24" t="n"/>
    </row>
    <row r="1794" ht="14.25" customHeight="1" s="40">
      <c r="A1794" s="24" t="n"/>
      <c r="B1794" s="29" t="n"/>
      <c r="C1794" s="28" t="n"/>
      <c r="D1794" s="22">
        <f t="array" ref="D1794">IF($C1794="","",IFERROR(INDEX(DATA_MASTER!$C$2:$C$5000,MATCH($C1794,DATA_MASTER!$D$2:$D$5000,0)),""))</f>
        <v/>
      </c>
      <c r="E1794" s="22">
        <f t="array" ref="E1794">IF($C1794="","",IFERROR(INDEX(DATA_MASTER!$I$2:$I$5000,MATCH($C1794,DATA_MASTER!$D$2:$D$5000,0)),""))</f>
        <v/>
      </c>
      <c r="F1794" s="22">
        <f t="array" ref="F1794">IF($C1794="","",IFERROR(INDEX(DATA_MASTER!$L$2:$L$5000,MATCH($C1794,DATA_MASTER!$D$2:$D$5000,0)),""))</f>
        <v/>
      </c>
      <c r="G1794" s="24" t="n"/>
      <c r="H1794" s="24" t="n"/>
      <c r="I1794" s="30" t="n"/>
      <c r="J1794" s="23">
        <f>IF(OR($H1794="",$I1794=""),"",$H1794*$I1794)</f>
        <v/>
      </c>
      <c r="K1794" s="24" t="n"/>
      <c r="L1794" s="24" t="n"/>
      <c r="M1794" s="29" t="n"/>
      <c r="N1794" s="28" t="n"/>
      <c r="O1794" s="24" t="n"/>
      <c r="P1794" s="24" t="n"/>
      <c r="Q1794" s="24" t="n"/>
      <c r="R1794" s="24" t="n"/>
      <c r="S1794" s="22">
        <f>IF(AND($A1794="",$C1794=""),"",IF($A1794="","Thiếu mã đơn; ","")&amp;IF(COUNTIF($A$2:$A1794,$A1794)&gt;1,"Trùng mã đơn; ","")&amp;IF(ISNA(MATCH($C1794,DATA_MASTER!$D$2:$D$5000,0)),"SĐT chưa đăng ký hội viên; ","")&amp;IF(AND($L1794="Đã chuyển khoản",$M1794=""),"Thiếu ngày nhận CK; ",""))</f>
        <v/>
      </c>
      <c r="T1794" s="24" t="n"/>
    </row>
    <row r="1795" ht="14.25" customHeight="1" s="40">
      <c r="A1795" s="24" t="n"/>
      <c r="B1795" s="29" t="n"/>
      <c r="C1795" s="28" t="n"/>
      <c r="D1795" s="22">
        <f t="array" ref="D1795">IF($C1795="","",IFERROR(INDEX(DATA_MASTER!$C$2:$C$5000,MATCH($C1795,DATA_MASTER!$D$2:$D$5000,0)),""))</f>
        <v/>
      </c>
      <c r="E1795" s="22">
        <f t="array" ref="E1795">IF($C1795="","",IFERROR(INDEX(DATA_MASTER!$I$2:$I$5000,MATCH($C1795,DATA_MASTER!$D$2:$D$5000,0)),""))</f>
        <v/>
      </c>
      <c r="F1795" s="22">
        <f t="array" ref="F1795">IF($C1795="","",IFERROR(INDEX(DATA_MASTER!$L$2:$L$5000,MATCH($C1795,DATA_MASTER!$D$2:$D$5000,0)),""))</f>
        <v/>
      </c>
      <c r="G1795" s="24" t="n"/>
      <c r="H1795" s="24" t="n"/>
      <c r="I1795" s="30" t="n"/>
      <c r="J1795" s="23">
        <f>IF(OR($H1795="",$I1795=""),"",$H1795*$I1795)</f>
        <v/>
      </c>
      <c r="K1795" s="24" t="n"/>
      <c r="L1795" s="24" t="n"/>
      <c r="M1795" s="29" t="n"/>
      <c r="N1795" s="28" t="n"/>
      <c r="O1795" s="24" t="n"/>
      <c r="P1795" s="24" t="n"/>
      <c r="Q1795" s="24" t="n"/>
      <c r="R1795" s="24" t="n"/>
      <c r="S1795" s="22">
        <f>IF(AND($A1795="",$C1795=""),"",IF($A1795="","Thiếu mã đơn; ","")&amp;IF(COUNTIF($A$2:$A1795,$A1795)&gt;1,"Trùng mã đơn; ","")&amp;IF(ISNA(MATCH($C1795,DATA_MASTER!$D$2:$D$5000,0)),"SĐT chưa đăng ký hội viên; ","")&amp;IF(AND($L1795="Đã chuyển khoản",$M1795=""),"Thiếu ngày nhận CK; ",""))</f>
        <v/>
      </c>
      <c r="T1795" s="24" t="n"/>
    </row>
    <row r="1796" ht="14.25" customHeight="1" s="40">
      <c r="A1796" s="24" t="n"/>
      <c r="B1796" s="29" t="n"/>
      <c r="C1796" s="28" t="n"/>
      <c r="D1796" s="22">
        <f t="array" ref="D1796">IF($C1796="","",IFERROR(INDEX(DATA_MASTER!$C$2:$C$5000,MATCH($C1796,DATA_MASTER!$D$2:$D$5000,0)),""))</f>
        <v/>
      </c>
      <c r="E1796" s="22">
        <f t="array" ref="E1796">IF($C1796="","",IFERROR(INDEX(DATA_MASTER!$I$2:$I$5000,MATCH($C1796,DATA_MASTER!$D$2:$D$5000,0)),""))</f>
        <v/>
      </c>
      <c r="F1796" s="22">
        <f t="array" ref="F1796">IF($C1796="","",IFERROR(INDEX(DATA_MASTER!$L$2:$L$5000,MATCH($C1796,DATA_MASTER!$D$2:$D$5000,0)),""))</f>
        <v/>
      </c>
      <c r="G1796" s="24" t="n"/>
      <c r="H1796" s="24" t="n"/>
      <c r="I1796" s="30" t="n"/>
      <c r="J1796" s="23">
        <f>IF(OR($H1796="",$I1796=""),"",$H1796*$I1796)</f>
        <v/>
      </c>
      <c r="K1796" s="24" t="n"/>
      <c r="L1796" s="24" t="n"/>
      <c r="M1796" s="29" t="n"/>
      <c r="N1796" s="28" t="n"/>
      <c r="O1796" s="24" t="n"/>
      <c r="P1796" s="24" t="n"/>
      <c r="Q1796" s="24" t="n"/>
      <c r="R1796" s="24" t="n"/>
      <c r="S1796" s="22">
        <f>IF(AND($A1796="",$C1796=""),"",IF($A1796="","Thiếu mã đơn; ","")&amp;IF(COUNTIF($A$2:$A1796,$A1796)&gt;1,"Trùng mã đơn; ","")&amp;IF(ISNA(MATCH($C1796,DATA_MASTER!$D$2:$D$5000,0)),"SĐT chưa đăng ký hội viên; ","")&amp;IF(AND($L1796="Đã chuyển khoản",$M1796=""),"Thiếu ngày nhận CK; ",""))</f>
        <v/>
      </c>
      <c r="T1796" s="24" t="n"/>
    </row>
    <row r="1797" ht="14.25" customHeight="1" s="40">
      <c r="A1797" s="24" t="n"/>
      <c r="B1797" s="29" t="n"/>
      <c r="C1797" s="28" t="n"/>
      <c r="D1797" s="22">
        <f t="array" ref="D1797">IF($C1797="","",IFERROR(INDEX(DATA_MASTER!$C$2:$C$5000,MATCH($C1797,DATA_MASTER!$D$2:$D$5000,0)),""))</f>
        <v/>
      </c>
      <c r="E1797" s="22">
        <f t="array" ref="E1797">IF($C1797="","",IFERROR(INDEX(DATA_MASTER!$I$2:$I$5000,MATCH($C1797,DATA_MASTER!$D$2:$D$5000,0)),""))</f>
        <v/>
      </c>
      <c r="F1797" s="22">
        <f t="array" ref="F1797">IF($C1797="","",IFERROR(INDEX(DATA_MASTER!$L$2:$L$5000,MATCH($C1797,DATA_MASTER!$D$2:$D$5000,0)),""))</f>
        <v/>
      </c>
      <c r="G1797" s="24" t="n"/>
      <c r="H1797" s="24" t="n"/>
      <c r="I1797" s="30" t="n"/>
      <c r="J1797" s="23">
        <f>IF(OR($H1797="",$I1797=""),"",$H1797*$I1797)</f>
        <v/>
      </c>
      <c r="K1797" s="24" t="n"/>
      <c r="L1797" s="24" t="n"/>
      <c r="M1797" s="29" t="n"/>
      <c r="N1797" s="28" t="n"/>
      <c r="O1797" s="24" t="n"/>
      <c r="P1797" s="24" t="n"/>
      <c r="Q1797" s="24" t="n"/>
      <c r="R1797" s="24" t="n"/>
      <c r="S1797" s="22">
        <f>IF(AND($A1797="",$C1797=""),"",IF($A1797="","Thiếu mã đơn; ","")&amp;IF(COUNTIF($A$2:$A1797,$A1797)&gt;1,"Trùng mã đơn; ","")&amp;IF(ISNA(MATCH($C1797,DATA_MASTER!$D$2:$D$5000,0)),"SĐT chưa đăng ký hội viên; ","")&amp;IF(AND($L1797="Đã chuyển khoản",$M1797=""),"Thiếu ngày nhận CK; ",""))</f>
        <v/>
      </c>
      <c r="T1797" s="24" t="n"/>
    </row>
    <row r="1798" ht="14.25" customHeight="1" s="40">
      <c r="A1798" s="24" t="n"/>
      <c r="B1798" s="29" t="n"/>
      <c r="C1798" s="28" t="n"/>
      <c r="D1798" s="22">
        <f t="array" ref="D1798">IF($C1798="","",IFERROR(INDEX(DATA_MASTER!$C$2:$C$5000,MATCH($C1798,DATA_MASTER!$D$2:$D$5000,0)),""))</f>
        <v/>
      </c>
      <c r="E1798" s="22">
        <f t="array" ref="E1798">IF($C1798="","",IFERROR(INDEX(DATA_MASTER!$I$2:$I$5000,MATCH($C1798,DATA_MASTER!$D$2:$D$5000,0)),""))</f>
        <v/>
      </c>
      <c r="F1798" s="22">
        <f t="array" ref="F1798">IF($C1798="","",IFERROR(INDEX(DATA_MASTER!$L$2:$L$5000,MATCH($C1798,DATA_MASTER!$D$2:$D$5000,0)),""))</f>
        <v/>
      </c>
      <c r="G1798" s="24" t="n"/>
      <c r="H1798" s="24" t="n"/>
      <c r="I1798" s="30" t="n"/>
      <c r="J1798" s="23">
        <f>IF(OR($H1798="",$I1798=""),"",$H1798*$I1798)</f>
        <v/>
      </c>
      <c r="K1798" s="24" t="n"/>
      <c r="L1798" s="24" t="n"/>
      <c r="M1798" s="29" t="n"/>
      <c r="N1798" s="28" t="n"/>
      <c r="O1798" s="24" t="n"/>
      <c r="P1798" s="24" t="n"/>
      <c r="Q1798" s="24" t="n"/>
      <c r="R1798" s="24" t="n"/>
      <c r="S1798" s="22">
        <f>IF(AND($A1798="",$C1798=""),"",IF($A1798="","Thiếu mã đơn; ","")&amp;IF(COUNTIF($A$2:$A1798,$A1798)&gt;1,"Trùng mã đơn; ","")&amp;IF(ISNA(MATCH($C1798,DATA_MASTER!$D$2:$D$5000,0)),"SĐT chưa đăng ký hội viên; ","")&amp;IF(AND($L1798="Đã chuyển khoản",$M1798=""),"Thiếu ngày nhận CK; ",""))</f>
        <v/>
      </c>
      <c r="T1798" s="24" t="n"/>
    </row>
    <row r="1799" ht="14.25" customHeight="1" s="40">
      <c r="A1799" s="24" t="n"/>
      <c r="B1799" s="29" t="n"/>
      <c r="C1799" s="28" t="n"/>
      <c r="D1799" s="22">
        <f t="array" ref="D1799">IF($C1799="","",IFERROR(INDEX(DATA_MASTER!$C$2:$C$5000,MATCH($C1799,DATA_MASTER!$D$2:$D$5000,0)),""))</f>
        <v/>
      </c>
      <c r="E1799" s="22">
        <f t="array" ref="E1799">IF($C1799="","",IFERROR(INDEX(DATA_MASTER!$I$2:$I$5000,MATCH($C1799,DATA_MASTER!$D$2:$D$5000,0)),""))</f>
        <v/>
      </c>
      <c r="F1799" s="22">
        <f t="array" ref="F1799">IF($C1799="","",IFERROR(INDEX(DATA_MASTER!$L$2:$L$5000,MATCH($C1799,DATA_MASTER!$D$2:$D$5000,0)),""))</f>
        <v/>
      </c>
      <c r="G1799" s="24" t="n"/>
      <c r="H1799" s="24" t="n"/>
      <c r="I1799" s="30" t="n"/>
      <c r="J1799" s="23">
        <f>IF(OR($H1799="",$I1799=""),"",$H1799*$I1799)</f>
        <v/>
      </c>
      <c r="K1799" s="24" t="n"/>
      <c r="L1799" s="24" t="n"/>
      <c r="M1799" s="29" t="n"/>
      <c r="N1799" s="28" t="n"/>
      <c r="O1799" s="24" t="n"/>
      <c r="P1799" s="24" t="n"/>
      <c r="Q1799" s="24" t="n"/>
      <c r="R1799" s="24" t="n"/>
      <c r="S1799" s="22">
        <f>IF(AND($A1799="",$C1799=""),"",IF($A1799="","Thiếu mã đơn; ","")&amp;IF(COUNTIF($A$2:$A1799,$A1799)&gt;1,"Trùng mã đơn; ","")&amp;IF(ISNA(MATCH($C1799,DATA_MASTER!$D$2:$D$5000,0)),"SĐT chưa đăng ký hội viên; ","")&amp;IF(AND($L1799="Đã chuyển khoản",$M1799=""),"Thiếu ngày nhận CK; ",""))</f>
        <v/>
      </c>
      <c r="T1799" s="24" t="n"/>
    </row>
    <row r="1800" ht="14.25" customHeight="1" s="40">
      <c r="A1800" s="24" t="n"/>
      <c r="B1800" s="29" t="n"/>
      <c r="C1800" s="28" t="n"/>
      <c r="D1800" s="22">
        <f t="array" ref="D1800">IF($C1800="","",IFERROR(INDEX(DATA_MASTER!$C$2:$C$5000,MATCH($C1800,DATA_MASTER!$D$2:$D$5000,0)),""))</f>
        <v/>
      </c>
      <c r="E1800" s="22">
        <f t="array" ref="E1800">IF($C1800="","",IFERROR(INDEX(DATA_MASTER!$I$2:$I$5000,MATCH($C1800,DATA_MASTER!$D$2:$D$5000,0)),""))</f>
        <v/>
      </c>
      <c r="F1800" s="22">
        <f t="array" ref="F1800">IF($C1800="","",IFERROR(INDEX(DATA_MASTER!$L$2:$L$5000,MATCH($C1800,DATA_MASTER!$D$2:$D$5000,0)),""))</f>
        <v/>
      </c>
      <c r="G1800" s="24" t="n"/>
      <c r="H1800" s="24" t="n"/>
      <c r="I1800" s="30" t="n"/>
      <c r="J1800" s="23">
        <f>IF(OR($H1800="",$I1800=""),"",$H1800*$I1800)</f>
        <v/>
      </c>
      <c r="K1800" s="24" t="n"/>
      <c r="L1800" s="24" t="n"/>
      <c r="M1800" s="29" t="n"/>
      <c r="N1800" s="28" t="n"/>
      <c r="O1800" s="24" t="n"/>
      <c r="P1800" s="24" t="n"/>
      <c r="Q1800" s="24" t="n"/>
      <c r="R1800" s="24" t="n"/>
      <c r="S1800" s="22">
        <f>IF(AND($A1800="",$C1800=""),"",IF($A1800="","Thiếu mã đơn; ","")&amp;IF(COUNTIF($A$2:$A1800,$A1800)&gt;1,"Trùng mã đơn; ","")&amp;IF(ISNA(MATCH($C1800,DATA_MASTER!$D$2:$D$5000,0)),"SĐT chưa đăng ký hội viên; ","")&amp;IF(AND($L1800="Đã chuyển khoản",$M1800=""),"Thiếu ngày nhận CK; ",""))</f>
        <v/>
      </c>
      <c r="T1800" s="24" t="n"/>
    </row>
    <row r="1801" ht="14.25" customHeight="1" s="40">
      <c r="A1801" s="24" t="n"/>
      <c r="B1801" s="29" t="n"/>
      <c r="C1801" s="28" t="n"/>
      <c r="D1801" s="22">
        <f t="array" ref="D1801">IF($C1801="","",IFERROR(INDEX(DATA_MASTER!$C$2:$C$5000,MATCH($C1801,DATA_MASTER!$D$2:$D$5000,0)),""))</f>
        <v/>
      </c>
      <c r="E1801" s="22">
        <f t="array" ref="E1801">IF($C1801="","",IFERROR(INDEX(DATA_MASTER!$I$2:$I$5000,MATCH($C1801,DATA_MASTER!$D$2:$D$5000,0)),""))</f>
        <v/>
      </c>
      <c r="F1801" s="22">
        <f t="array" ref="F1801">IF($C1801="","",IFERROR(INDEX(DATA_MASTER!$L$2:$L$5000,MATCH($C1801,DATA_MASTER!$D$2:$D$5000,0)),""))</f>
        <v/>
      </c>
      <c r="G1801" s="24" t="n"/>
      <c r="H1801" s="24" t="n"/>
      <c r="I1801" s="30" t="n"/>
      <c r="J1801" s="23">
        <f>IF(OR($H1801="",$I1801=""),"",$H1801*$I1801)</f>
        <v/>
      </c>
      <c r="K1801" s="24" t="n"/>
      <c r="L1801" s="24" t="n"/>
      <c r="M1801" s="29" t="n"/>
      <c r="N1801" s="28" t="n"/>
      <c r="O1801" s="24" t="n"/>
      <c r="P1801" s="24" t="n"/>
      <c r="Q1801" s="24" t="n"/>
      <c r="R1801" s="24" t="n"/>
      <c r="S1801" s="22">
        <f>IF(AND($A1801="",$C1801=""),"",IF($A1801="","Thiếu mã đơn; ","")&amp;IF(COUNTIF($A$2:$A1801,$A1801)&gt;1,"Trùng mã đơn; ","")&amp;IF(ISNA(MATCH($C1801,DATA_MASTER!$D$2:$D$5000,0)),"SĐT chưa đăng ký hội viên; ","")&amp;IF(AND($L1801="Đã chuyển khoản",$M1801=""),"Thiếu ngày nhận CK; ",""))</f>
        <v/>
      </c>
      <c r="T1801" s="24" t="n"/>
    </row>
    <row r="1802" ht="14.25" customHeight="1" s="40">
      <c r="A1802" s="24" t="n"/>
      <c r="B1802" s="29" t="n"/>
      <c r="C1802" s="28" t="n"/>
      <c r="D1802" s="22">
        <f t="array" ref="D1802">IF($C1802="","",IFERROR(INDEX(DATA_MASTER!$C$2:$C$5000,MATCH($C1802,DATA_MASTER!$D$2:$D$5000,0)),""))</f>
        <v/>
      </c>
      <c r="E1802" s="22">
        <f t="array" ref="E1802">IF($C1802="","",IFERROR(INDEX(DATA_MASTER!$I$2:$I$5000,MATCH($C1802,DATA_MASTER!$D$2:$D$5000,0)),""))</f>
        <v/>
      </c>
      <c r="F1802" s="22">
        <f t="array" ref="F1802">IF($C1802="","",IFERROR(INDEX(DATA_MASTER!$L$2:$L$5000,MATCH($C1802,DATA_MASTER!$D$2:$D$5000,0)),""))</f>
        <v/>
      </c>
      <c r="G1802" s="24" t="n"/>
      <c r="H1802" s="24" t="n"/>
      <c r="I1802" s="30" t="n"/>
      <c r="J1802" s="23">
        <f>IF(OR($H1802="",$I1802=""),"",$H1802*$I1802)</f>
        <v/>
      </c>
      <c r="K1802" s="24" t="n"/>
      <c r="L1802" s="24" t="n"/>
      <c r="M1802" s="29" t="n"/>
      <c r="N1802" s="28" t="n"/>
      <c r="O1802" s="24" t="n"/>
      <c r="P1802" s="24" t="n"/>
      <c r="Q1802" s="24" t="n"/>
      <c r="R1802" s="24" t="n"/>
      <c r="S1802" s="22">
        <f>IF(AND($A1802="",$C1802=""),"",IF($A1802="","Thiếu mã đơn; ","")&amp;IF(COUNTIF($A$2:$A1802,$A1802)&gt;1,"Trùng mã đơn; ","")&amp;IF(ISNA(MATCH($C1802,DATA_MASTER!$D$2:$D$5000,0)),"SĐT chưa đăng ký hội viên; ","")&amp;IF(AND($L1802="Đã chuyển khoản",$M1802=""),"Thiếu ngày nhận CK; ",""))</f>
        <v/>
      </c>
      <c r="T1802" s="24" t="n"/>
    </row>
    <row r="1803" ht="14.25" customHeight="1" s="40">
      <c r="A1803" s="24" t="n"/>
      <c r="B1803" s="29" t="n"/>
      <c r="C1803" s="28" t="n"/>
      <c r="D1803" s="22">
        <f t="array" ref="D1803">IF($C1803="","",IFERROR(INDEX(DATA_MASTER!$C$2:$C$5000,MATCH($C1803,DATA_MASTER!$D$2:$D$5000,0)),""))</f>
        <v/>
      </c>
      <c r="E1803" s="22">
        <f t="array" ref="E1803">IF($C1803="","",IFERROR(INDEX(DATA_MASTER!$I$2:$I$5000,MATCH($C1803,DATA_MASTER!$D$2:$D$5000,0)),""))</f>
        <v/>
      </c>
      <c r="F1803" s="22">
        <f t="array" ref="F1803">IF($C1803="","",IFERROR(INDEX(DATA_MASTER!$L$2:$L$5000,MATCH($C1803,DATA_MASTER!$D$2:$D$5000,0)),""))</f>
        <v/>
      </c>
      <c r="G1803" s="24" t="n"/>
      <c r="H1803" s="24" t="n"/>
      <c r="I1803" s="30" t="n"/>
      <c r="J1803" s="23">
        <f>IF(OR($H1803="",$I1803=""),"",$H1803*$I1803)</f>
        <v/>
      </c>
      <c r="K1803" s="24" t="n"/>
      <c r="L1803" s="24" t="n"/>
      <c r="M1803" s="29" t="n"/>
      <c r="N1803" s="28" t="n"/>
      <c r="O1803" s="24" t="n"/>
      <c r="P1803" s="24" t="n"/>
      <c r="Q1803" s="24" t="n"/>
      <c r="R1803" s="24" t="n"/>
      <c r="S1803" s="22">
        <f>IF(AND($A1803="",$C1803=""),"",IF($A1803="","Thiếu mã đơn; ","")&amp;IF(COUNTIF($A$2:$A1803,$A1803)&gt;1,"Trùng mã đơn; ","")&amp;IF(ISNA(MATCH($C1803,DATA_MASTER!$D$2:$D$5000,0)),"SĐT chưa đăng ký hội viên; ","")&amp;IF(AND($L1803="Đã chuyển khoản",$M1803=""),"Thiếu ngày nhận CK; ",""))</f>
        <v/>
      </c>
      <c r="T1803" s="24" t="n"/>
    </row>
    <row r="1804" ht="14.25" customHeight="1" s="40">
      <c r="A1804" s="24" t="n"/>
      <c r="B1804" s="29" t="n"/>
      <c r="C1804" s="28" t="n"/>
      <c r="D1804" s="22">
        <f t="array" ref="D1804">IF($C1804="","",IFERROR(INDEX(DATA_MASTER!$C$2:$C$5000,MATCH($C1804,DATA_MASTER!$D$2:$D$5000,0)),""))</f>
        <v/>
      </c>
      <c r="E1804" s="22">
        <f t="array" ref="E1804">IF($C1804="","",IFERROR(INDEX(DATA_MASTER!$I$2:$I$5000,MATCH($C1804,DATA_MASTER!$D$2:$D$5000,0)),""))</f>
        <v/>
      </c>
      <c r="F1804" s="22">
        <f t="array" ref="F1804">IF($C1804="","",IFERROR(INDEX(DATA_MASTER!$L$2:$L$5000,MATCH($C1804,DATA_MASTER!$D$2:$D$5000,0)),""))</f>
        <v/>
      </c>
      <c r="G1804" s="24" t="n"/>
      <c r="H1804" s="24" t="n"/>
      <c r="I1804" s="30" t="n"/>
      <c r="J1804" s="23">
        <f>IF(OR($H1804="",$I1804=""),"",$H1804*$I1804)</f>
        <v/>
      </c>
      <c r="K1804" s="24" t="n"/>
      <c r="L1804" s="24" t="n"/>
      <c r="M1804" s="29" t="n"/>
      <c r="N1804" s="28" t="n"/>
      <c r="O1804" s="24" t="n"/>
      <c r="P1804" s="24" t="n"/>
      <c r="Q1804" s="24" t="n"/>
      <c r="R1804" s="24" t="n"/>
      <c r="S1804" s="22">
        <f>IF(AND($A1804="",$C1804=""),"",IF($A1804="","Thiếu mã đơn; ","")&amp;IF(COUNTIF($A$2:$A1804,$A1804)&gt;1,"Trùng mã đơn; ","")&amp;IF(ISNA(MATCH($C1804,DATA_MASTER!$D$2:$D$5000,0)),"SĐT chưa đăng ký hội viên; ","")&amp;IF(AND($L1804="Đã chuyển khoản",$M1804=""),"Thiếu ngày nhận CK; ",""))</f>
        <v/>
      </c>
      <c r="T1804" s="24" t="n"/>
    </row>
    <row r="1805" ht="14.25" customHeight="1" s="40">
      <c r="A1805" s="24" t="n"/>
      <c r="B1805" s="29" t="n"/>
      <c r="C1805" s="28" t="n"/>
      <c r="D1805" s="22">
        <f t="array" ref="D1805">IF($C1805="","",IFERROR(INDEX(DATA_MASTER!$C$2:$C$5000,MATCH($C1805,DATA_MASTER!$D$2:$D$5000,0)),""))</f>
        <v/>
      </c>
      <c r="E1805" s="22">
        <f t="array" ref="E1805">IF($C1805="","",IFERROR(INDEX(DATA_MASTER!$I$2:$I$5000,MATCH($C1805,DATA_MASTER!$D$2:$D$5000,0)),""))</f>
        <v/>
      </c>
      <c r="F1805" s="22">
        <f t="array" ref="F1805">IF($C1805="","",IFERROR(INDEX(DATA_MASTER!$L$2:$L$5000,MATCH($C1805,DATA_MASTER!$D$2:$D$5000,0)),""))</f>
        <v/>
      </c>
      <c r="G1805" s="24" t="n"/>
      <c r="H1805" s="24" t="n"/>
      <c r="I1805" s="30" t="n"/>
      <c r="J1805" s="23">
        <f>IF(OR($H1805="",$I1805=""),"",$H1805*$I1805)</f>
        <v/>
      </c>
      <c r="K1805" s="24" t="n"/>
      <c r="L1805" s="24" t="n"/>
      <c r="M1805" s="29" t="n"/>
      <c r="N1805" s="28" t="n"/>
      <c r="O1805" s="24" t="n"/>
      <c r="P1805" s="24" t="n"/>
      <c r="Q1805" s="24" t="n"/>
      <c r="R1805" s="24" t="n"/>
      <c r="S1805" s="22">
        <f>IF(AND($A1805="",$C1805=""),"",IF($A1805="","Thiếu mã đơn; ","")&amp;IF(COUNTIF($A$2:$A1805,$A1805)&gt;1,"Trùng mã đơn; ","")&amp;IF(ISNA(MATCH($C1805,DATA_MASTER!$D$2:$D$5000,0)),"SĐT chưa đăng ký hội viên; ","")&amp;IF(AND($L1805="Đã chuyển khoản",$M1805=""),"Thiếu ngày nhận CK; ",""))</f>
        <v/>
      </c>
      <c r="T1805" s="24" t="n"/>
    </row>
    <row r="1806" ht="14.25" customHeight="1" s="40">
      <c r="A1806" s="24" t="n"/>
      <c r="B1806" s="29" t="n"/>
      <c r="C1806" s="28" t="n"/>
      <c r="D1806" s="22">
        <f t="array" ref="D1806">IF($C1806="","",IFERROR(INDEX(DATA_MASTER!$C$2:$C$5000,MATCH($C1806,DATA_MASTER!$D$2:$D$5000,0)),""))</f>
        <v/>
      </c>
      <c r="E1806" s="22">
        <f t="array" ref="E1806">IF($C1806="","",IFERROR(INDEX(DATA_MASTER!$I$2:$I$5000,MATCH($C1806,DATA_MASTER!$D$2:$D$5000,0)),""))</f>
        <v/>
      </c>
      <c r="F1806" s="22">
        <f t="array" ref="F1806">IF($C1806="","",IFERROR(INDEX(DATA_MASTER!$L$2:$L$5000,MATCH($C1806,DATA_MASTER!$D$2:$D$5000,0)),""))</f>
        <v/>
      </c>
      <c r="G1806" s="24" t="n"/>
      <c r="H1806" s="24" t="n"/>
      <c r="I1806" s="30" t="n"/>
      <c r="J1806" s="23">
        <f>IF(OR($H1806="",$I1806=""),"",$H1806*$I1806)</f>
        <v/>
      </c>
      <c r="K1806" s="24" t="n"/>
      <c r="L1806" s="24" t="n"/>
      <c r="M1806" s="29" t="n"/>
      <c r="N1806" s="28" t="n"/>
      <c r="O1806" s="24" t="n"/>
      <c r="P1806" s="24" t="n"/>
      <c r="Q1806" s="24" t="n"/>
      <c r="R1806" s="24" t="n"/>
      <c r="S1806" s="22">
        <f>IF(AND($A1806="",$C1806=""),"",IF($A1806="","Thiếu mã đơn; ","")&amp;IF(COUNTIF($A$2:$A1806,$A1806)&gt;1,"Trùng mã đơn; ","")&amp;IF(ISNA(MATCH($C1806,DATA_MASTER!$D$2:$D$5000,0)),"SĐT chưa đăng ký hội viên; ","")&amp;IF(AND($L1806="Đã chuyển khoản",$M1806=""),"Thiếu ngày nhận CK; ",""))</f>
        <v/>
      </c>
      <c r="T1806" s="24" t="n"/>
    </row>
    <row r="1807" ht="14.25" customHeight="1" s="40">
      <c r="A1807" s="24" t="n"/>
      <c r="B1807" s="29" t="n"/>
      <c r="C1807" s="28" t="n"/>
      <c r="D1807" s="22">
        <f t="array" ref="D1807">IF($C1807="","",IFERROR(INDEX(DATA_MASTER!$C$2:$C$5000,MATCH($C1807,DATA_MASTER!$D$2:$D$5000,0)),""))</f>
        <v/>
      </c>
      <c r="E1807" s="22">
        <f t="array" ref="E1807">IF($C1807="","",IFERROR(INDEX(DATA_MASTER!$I$2:$I$5000,MATCH($C1807,DATA_MASTER!$D$2:$D$5000,0)),""))</f>
        <v/>
      </c>
      <c r="F1807" s="22">
        <f t="array" ref="F1807">IF($C1807="","",IFERROR(INDEX(DATA_MASTER!$L$2:$L$5000,MATCH($C1807,DATA_MASTER!$D$2:$D$5000,0)),""))</f>
        <v/>
      </c>
      <c r="G1807" s="24" t="n"/>
      <c r="H1807" s="24" t="n"/>
      <c r="I1807" s="30" t="n"/>
      <c r="J1807" s="23">
        <f>IF(OR($H1807="",$I1807=""),"",$H1807*$I1807)</f>
        <v/>
      </c>
      <c r="K1807" s="24" t="n"/>
      <c r="L1807" s="24" t="n"/>
      <c r="M1807" s="29" t="n"/>
      <c r="N1807" s="28" t="n"/>
      <c r="O1807" s="24" t="n"/>
      <c r="P1807" s="24" t="n"/>
      <c r="Q1807" s="24" t="n"/>
      <c r="R1807" s="24" t="n"/>
      <c r="S1807" s="22">
        <f>IF(AND($A1807="",$C1807=""),"",IF($A1807="","Thiếu mã đơn; ","")&amp;IF(COUNTIF($A$2:$A1807,$A1807)&gt;1,"Trùng mã đơn; ","")&amp;IF(ISNA(MATCH($C1807,DATA_MASTER!$D$2:$D$5000,0)),"SĐT chưa đăng ký hội viên; ","")&amp;IF(AND($L1807="Đã chuyển khoản",$M1807=""),"Thiếu ngày nhận CK; ",""))</f>
        <v/>
      </c>
      <c r="T1807" s="24" t="n"/>
    </row>
    <row r="1808" ht="14.25" customHeight="1" s="40">
      <c r="A1808" s="24" t="n"/>
      <c r="B1808" s="29" t="n"/>
      <c r="C1808" s="28" t="n"/>
      <c r="D1808" s="22">
        <f t="array" ref="D1808">IF($C1808="","",IFERROR(INDEX(DATA_MASTER!$C$2:$C$5000,MATCH($C1808,DATA_MASTER!$D$2:$D$5000,0)),""))</f>
        <v/>
      </c>
      <c r="E1808" s="22">
        <f t="array" ref="E1808">IF($C1808="","",IFERROR(INDEX(DATA_MASTER!$I$2:$I$5000,MATCH($C1808,DATA_MASTER!$D$2:$D$5000,0)),""))</f>
        <v/>
      </c>
      <c r="F1808" s="22">
        <f t="array" ref="F1808">IF($C1808="","",IFERROR(INDEX(DATA_MASTER!$L$2:$L$5000,MATCH($C1808,DATA_MASTER!$D$2:$D$5000,0)),""))</f>
        <v/>
      </c>
      <c r="G1808" s="24" t="n"/>
      <c r="H1808" s="24" t="n"/>
      <c r="I1808" s="30" t="n"/>
      <c r="J1808" s="23">
        <f>IF(OR($H1808="",$I1808=""),"",$H1808*$I1808)</f>
        <v/>
      </c>
      <c r="K1808" s="24" t="n"/>
      <c r="L1808" s="24" t="n"/>
      <c r="M1808" s="29" t="n"/>
      <c r="N1808" s="28" t="n"/>
      <c r="O1808" s="24" t="n"/>
      <c r="P1808" s="24" t="n"/>
      <c r="Q1808" s="24" t="n"/>
      <c r="R1808" s="24" t="n"/>
      <c r="S1808" s="22">
        <f>IF(AND($A1808="",$C1808=""),"",IF($A1808="","Thiếu mã đơn; ","")&amp;IF(COUNTIF($A$2:$A1808,$A1808)&gt;1,"Trùng mã đơn; ","")&amp;IF(ISNA(MATCH($C1808,DATA_MASTER!$D$2:$D$5000,0)),"SĐT chưa đăng ký hội viên; ","")&amp;IF(AND($L1808="Đã chuyển khoản",$M1808=""),"Thiếu ngày nhận CK; ",""))</f>
        <v/>
      </c>
      <c r="T1808" s="24" t="n"/>
    </row>
    <row r="1809" ht="14.25" customHeight="1" s="40">
      <c r="A1809" s="24" t="n"/>
      <c r="B1809" s="29" t="n"/>
      <c r="C1809" s="28" t="n"/>
      <c r="D1809" s="22">
        <f t="array" ref="D1809">IF($C1809="","",IFERROR(INDEX(DATA_MASTER!$C$2:$C$5000,MATCH($C1809,DATA_MASTER!$D$2:$D$5000,0)),""))</f>
        <v/>
      </c>
      <c r="E1809" s="22">
        <f t="array" ref="E1809">IF($C1809="","",IFERROR(INDEX(DATA_MASTER!$I$2:$I$5000,MATCH($C1809,DATA_MASTER!$D$2:$D$5000,0)),""))</f>
        <v/>
      </c>
      <c r="F1809" s="22">
        <f t="array" ref="F1809">IF($C1809="","",IFERROR(INDEX(DATA_MASTER!$L$2:$L$5000,MATCH($C1809,DATA_MASTER!$D$2:$D$5000,0)),""))</f>
        <v/>
      </c>
      <c r="G1809" s="24" t="n"/>
      <c r="H1809" s="24" t="n"/>
      <c r="I1809" s="30" t="n"/>
      <c r="J1809" s="23">
        <f>IF(OR($H1809="",$I1809=""),"",$H1809*$I1809)</f>
        <v/>
      </c>
      <c r="K1809" s="24" t="n"/>
      <c r="L1809" s="24" t="n"/>
      <c r="M1809" s="29" t="n"/>
      <c r="N1809" s="28" t="n"/>
      <c r="O1809" s="24" t="n"/>
      <c r="P1809" s="24" t="n"/>
      <c r="Q1809" s="24" t="n"/>
      <c r="R1809" s="24" t="n"/>
      <c r="S1809" s="22">
        <f>IF(AND($A1809="",$C1809=""),"",IF($A1809="","Thiếu mã đơn; ","")&amp;IF(COUNTIF($A$2:$A1809,$A1809)&gt;1,"Trùng mã đơn; ","")&amp;IF(ISNA(MATCH($C1809,DATA_MASTER!$D$2:$D$5000,0)),"SĐT chưa đăng ký hội viên; ","")&amp;IF(AND($L1809="Đã chuyển khoản",$M1809=""),"Thiếu ngày nhận CK; ",""))</f>
        <v/>
      </c>
      <c r="T1809" s="24" t="n"/>
    </row>
    <row r="1810" ht="14.25" customHeight="1" s="40">
      <c r="A1810" s="24" t="n"/>
      <c r="B1810" s="29" t="n"/>
      <c r="C1810" s="28" t="n"/>
      <c r="D1810" s="22">
        <f t="array" ref="D1810">IF($C1810="","",IFERROR(INDEX(DATA_MASTER!$C$2:$C$5000,MATCH($C1810,DATA_MASTER!$D$2:$D$5000,0)),""))</f>
        <v/>
      </c>
      <c r="E1810" s="22">
        <f t="array" ref="E1810">IF($C1810="","",IFERROR(INDEX(DATA_MASTER!$I$2:$I$5000,MATCH($C1810,DATA_MASTER!$D$2:$D$5000,0)),""))</f>
        <v/>
      </c>
      <c r="F1810" s="22">
        <f t="array" ref="F1810">IF($C1810="","",IFERROR(INDEX(DATA_MASTER!$L$2:$L$5000,MATCH($C1810,DATA_MASTER!$D$2:$D$5000,0)),""))</f>
        <v/>
      </c>
      <c r="G1810" s="24" t="n"/>
      <c r="H1810" s="24" t="n"/>
      <c r="I1810" s="30" t="n"/>
      <c r="J1810" s="23">
        <f>IF(OR($H1810="",$I1810=""),"",$H1810*$I1810)</f>
        <v/>
      </c>
      <c r="K1810" s="24" t="n"/>
      <c r="L1810" s="24" t="n"/>
      <c r="M1810" s="29" t="n"/>
      <c r="N1810" s="28" t="n"/>
      <c r="O1810" s="24" t="n"/>
      <c r="P1810" s="24" t="n"/>
      <c r="Q1810" s="24" t="n"/>
      <c r="R1810" s="24" t="n"/>
      <c r="S1810" s="22">
        <f>IF(AND($A1810="",$C1810=""),"",IF($A1810="","Thiếu mã đơn; ","")&amp;IF(COUNTIF($A$2:$A1810,$A1810)&gt;1,"Trùng mã đơn; ","")&amp;IF(ISNA(MATCH($C1810,DATA_MASTER!$D$2:$D$5000,0)),"SĐT chưa đăng ký hội viên; ","")&amp;IF(AND($L1810="Đã chuyển khoản",$M1810=""),"Thiếu ngày nhận CK; ",""))</f>
        <v/>
      </c>
      <c r="T1810" s="24" t="n"/>
    </row>
    <row r="1811" ht="14.25" customHeight="1" s="40">
      <c r="A1811" s="24" t="n"/>
      <c r="B1811" s="29" t="n"/>
      <c r="C1811" s="28" t="n"/>
      <c r="D1811" s="22">
        <f t="array" ref="D1811">IF($C1811="","",IFERROR(INDEX(DATA_MASTER!$C$2:$C$5000,MATCH($C1811,DATA_MASTER!$D$2:$D$5000,0)),""))</f>
        <v/>
      </c>
      <c r="E1811" s="22">
        <f t="array" ref="E1811">IF($C1811="","",IFERROR(INDEX(DATA_MASTER!$I$2:$I$5000,MATCH($C1811,DATA_MASTER!$D$2:$D$5000,0)),""))</f>
        <v/>
      </c>
      <c r="F1811" s="22">
        <f t="array" ref="F1811">IF($C1811="","",IFERROR(INDEX(DATA_MASTER!$L$2:$L$5000,MATCH($C1811,DATA_MASTER!$D$2:$D$5000,0)),""))</f>
        <v/>
      </c>
      <c r="G1811" s="24" t="n"/>
      <c r="H1811" s="24" t="n"/>
      <c r="I1811" s="30" t="n"/>
      <c r="J1811" s="23">
        <f>IF(OR($H1811="",$I1811=""),"",$H1811*$I1811)</f>
        <v/>
      </c>
      <c r="K1811" s="24" t="n"/>
      <c r="L1811" s="24" t="n"/>
      <c r="M1811" s="29" t="n"/>
      <c r="N1811" s="28" t="n"/>
      <c r="O1811" s="24" t="n"/>
      <c r="P1811" s="24" t="n"/>
      <c r="Q1811" s="24" t="n"/>
      <c r="R1811" s="24" t="n"/>
      <c r="S1811" s="22">
        <f>IF(AND($A1811="",$C1811=""),"",IF($A1811="","Thiếu mã đơn; ","")&amp;IF(COUNTIF($A$2:$A1811,$A1811)&gt;1,"Trùng mã đơn; ","")&amp;IF(ISNA(MATCH($C1811,DATA_MASTER!$D$2:$D$5000,0)),"SĐT chưa đăng ký hội viên; ","")&amp;IF(AND($L1811="Đã chuyển khoản",$M1811=""),"Thiếu ngày nhận CK; ",""))</f>
        <v/>
      </c>
      <c r="T1811" s="24" t="n"/>
    </row>
    <row r="1812" ht="14.25" customHeight="1" s="40">
      <c r="A1812" s="24" t="n"/>
      <c r="B1812" s="29" t="n"/>
      <c r="C1812" s="28" t="n"/>
      <c r="D1812" s="22">
        <f t="array" ref="D1812">IF($C1812="","",IFERROR(INDEX(DATA_MASTER!$C$2:$C$5000,MATCH($C1812,DATA_MASTER!$D$2:$D$5000,0)),""))</f>
        <v/>
      </c>
      <c r="E1812" s="22">
        <f t="array" ref="E1812">IF($C1812="","",IFERROR(INDEX(DATA_MASTER!$I$2:$I$5000,MATCH($C1812,DATA_MASTER!$D$2:$D$5000,0)),""))</f>
        <v/>
      </c>
      <c r="F1812" s="22">
        <f t="array" ref="F1812">IF($C1812="","",IFERROR(INDEX(DATA_MASTER!$L$2:$L$5000,MATCH($C1812,DATA_MASTER!$D$2:$D$5000,0)),""))</f>
        <v/>
      </c>
      <c r="G1812" s="24" t="n"/>
      <c r="H1812" s="24" t="n"/>
      <c r="I1812" s="30" t="n"/>
      <c r="J1812" s="23">
        <f>IF(OR($H1812="",$I1812=""),"",$H1812*$I1812)</f>
        <v/>
      </c>
      <c r="K1812" s="24" t="n"/>
      <c r="L1812" s="24" t="n"/>
      <c r="M1812" s="29" t="n"/>
      <c r="N1812" s="28" t="n"/>
      <c r="O1812" s="24" t="n"/>
      <c r="P1812" s="24" t="n"/>
      <c r="Q1812" s="24" t="n"/>
      <c r="R1812" s="24" t="n"/>
      <c r="S1812" s="22">
        <f>IF(AND($A1812="",$C1812=""),"",IF($A1812="","Thiếu mã đơn; ","")&amp;IF(COUNTIF($A$2:$A1812,$A1812)&gt;1,"Trùng mã đơn; ","")&amp;IF(ISNA(MATCH($C1812,DATA_MASTER!$D$2:$D$5000,0)),"SĐT chưa đăng ký hội viên; ","")&amp;IF(AND($L1812="Đã chuyển khoản",$M1812=""),"Thiếu ngày nhận CK; ",""))</f>
        <v/>
      </c>
      <c r="T1812" s="24" t="n"/>
    </row>
    <row r="1813" ht="14.25" customHeight="1" s="40">
      <c r="A1813" s="24" t="n"/>
      <c r="B1813" s="29" t="n"/>
      <c r="C1813" s="28" t="n"/>
      <c r="D1813" s="22">
        <f t="array" ref="D1813">IF($C1813="","",IFERROR(INDEX(DATA_MASTER!$C$2:$C$5000,MATCH($C1813,DATA_MASTER!$D$2:$D$5000,0)),""))</f>
        <v/>
      </c>
      <c r="E1813" s="22">
        <f t="array" ref="E1813">IF($C1813="","",IFERROR(INDEX(DATA_MASTER!$I$2:$I$5000,MATCH($C1813,DATA_MASTER!$D$2:$D$5000,0)),""))</f>
        <v/>
      </c>
      <c r="F1813" s="22">
        <f t="array" ref="F1813">IF($C1813="","",IFERROR(INDEX(DATA_MASTER!$L$2:$L$5000,MATCH($C1813,DATA_MASTER!$D$2:$D$5000,0)),""))</f>
        <v/>
      </c>
      <c r="G1813" s="24" t="n"/>
      <c r="H1813" s="24" t="n"/>
      <c r="I1813" s="30" t="n"/>
      <c r="J1813" s="23">
        <f>IF(OR($H1813="",$I1813=""),"",$H1813*$I1813)</f>
        <v/>
      </c>
      <c r="K1813" s="24" t="n"/>
      <c r="L1813" s="24" t="n"/>
      <c r="M1813" s="29" t="n"/>
      <c r="N1813" s="28" t="n"/>
      <c r="O1813" s="24" t="n"/>
      <c r="P1813" s="24" t="n"/>
      <c r="Q1813" s="24" t="n"/>
      <c r="R1813" s="24" t="n"/>
      <c r="S1813" s="22">
        <f>IF(AND($A1813="",$C1813=""),"",IF($A1813="","Thiếu mã đơn; ","")&amp;IF(COUNTIF($A$2:$A1813,$A1813)&gt;1,"Trùng mã đơn; ","")&amp;IF(ISNA(MATCH($C1813,DATA_MASTER!$D$2:$D$5000,0)),"SĐT chưa đăng ký hội viên; ","")&amp;IF(AND($L1813="Đã chuyển khoản",$M1813=""),"Thiếu ngày nhận CK; ",""))</f>
        <v/>
      </c>
      <c r="T1813" s="24" t="n"/>
    </row>
    <row r="1814" ht="14.25" customHeight="1" s="40">
      <c r="A1814" s="24" t="n"/>
      <c r="B1814" s="29" t="n"/>
      <c r="C1814" s="28" t="n"/>
      <c r="D1814" s="22">
        <f t="array" ref="D1814">IF($C1814="","",IFERROR(INDEX(DATA_MASTER!$C$2:$C$5000,MATCH($C1814,DATA_MASTER!$D$2:$D$5000,0)),""))</f>
        <v/>
      </c>
      <c r="E1814" s="22">
        <f t="array" ref="E1814">IF($C1814="","",IFERROR(INDEX(DATA_MASTER!$I$2:$I$5000,MATCH($C1814,DATA_MASTER!$D$2:$D$5000,0)),""))</f>
        <v/>
      </c>
      <c r="F1814" s="22">
        <f t="array" ref="F1814">IF($C1814="","",IFERROR(INDEX(DATA_MASTER!$L$2:$L$5000,MATCH($C1814,DATA_MASTER!$D$2:$D$5000,0)),""))</f>
        <v/>
      </c>
      <c r="G1814" s="24" t="n"/>
      <c r="H1814" s="24" t="n"/>
      <c r="I1814" s="30" t="n"/>
      <c r="J1814" s="23">
        <f>IF(OR($H1814="",$I1814=""),"",$H1814*$I1814)</f>
        <v/>
      </c>
      <c r="K1814" s="24" t="n"/>
      <c r="L1814" s="24" t="n"/>
      <c r="M1814" s="29" t="n"/>
      <c r="N1814" s="28" t="n"/>
      <c r="O1814" s="24" t="n"/>
      <c r="P1814" s="24" t="n"/>
      <c r="Q1814" s="24" t="n"/>
      <c r="R1814" s="24" t="n"/>
      <c r="S1814" s="22">
        <f>IF(AND($A1814="",$C1814=""),"",IF($A1814="","Thiếu mã đơn; ","")&amp;IF(COUNTIF($A$2:$A1814,$A1814)&gt;1,"Trùng mã đơn; ","")&amp;IF(ISNA(MATCH($C1814,DATA_MASTER!$D$2:$D$5000,0)),"SĐT chưa đăng ký hội viên; ","")&amp;IF(AND($L1814="Đã chuyển khoản",$M1814=""),"Thiếu ngày nhận CK; ",""))</f>
        <v/>
      </c>
      <c r="T1814" s="24" t="n"/>
    </row>
    <row r="1815" ht="14.25" customHeight="1" s="40">
      <c r="A1815" s="24" t="n"/>
      <c r="B1815" s="29" t="n"/>
      <c r="C1815" s="28" t="n"/>
      <c r="D1815" s="22">
        <f t="array" ref="D1815">IF($C1815="","",IFERROR(INDEX(DATA_MASTER!$C$2:$C$5000,MATCH($C1815,DATA_MASTER!$D$2:$D$5000,0)),""))</f>
        <v/>
      </c>
      <c r="E1815" s="22">
        <f t="array" ref="E1815">IF($C1815="","",IFERROR(INDEX(DATA_MASTER!$I$2:$I$5000,MATCH($C1815,DATA_MASTER!$D$2:$D$5000,0)),""))</f>
        <v/>
      </c>
      <c r="F1815" s="22">
        <f t="array" ref="F1815">IF($C1815="","",IFERROR(INDEX(DATA_MASTER!$L$2:$L$5000,MATCH($C1815,DATA_MASTER!$D$2:$D$5000,0)),""))</f>
        <v/>
      </c>
      <c r="G1815" s="24" t="n"/>
      <c r="H1815" s="24" t="n"/>
      <c r="I1815" s="30" t="n"/>
      <c r="J1815" s="23">
        <f>IF(OR($H1815="",$I1815=""),"",$H1815*$I1815)</f>
        <v/>
      </c>
      <c r="K1815" s="24" t="n"/>
      <c r="L1815" s="24" t="n"/>
      <c r="M1815" s="29" t="n"/>
      <c r="N1815" s="28" t="n"/>
      <c r="O1815" s="24" t="n"/>
      <c r="P1815" s="24" t="n"/>
      <c r="Q1815" s="24" t="n"/>
      <c r="R1815" s="24" t="n"/>
      <c r="S1815" s="22">
        <f>IF(AND($A1815="",$C1815=""),"",IF($A1815="","Thiếu mã đơn; ","")&amp;IF(COUNTIF($A$2:$A1815,$A1815)&gt;1,"Trùng mã đơn; ","")&amp;IF(ISNA(MATCH($C1815,DATA_MASTER!$D$2:$D$5000,0)),"SĐT chưa đăng ký hội viên; ","")&amp;IF(AND($L1815="Đã chuyển khoản",$M1815=""),"Thiếu ngày nhận CK; ",""))</f>
        <v/>
      </c>
      <c r="T1815" s="24" t="n"/>
    </row>
    <row r="1816" ht="14.25" customHeight="1" s="40">
      <c r="A1816" s="24" t="n"/>
      <c r="B1816" s="29" t="n"/>
      <c r="C1816" s="28" t="n"/>
      <c r="D1816" s="22">
        <f t="array" ref="D1816">IF($C1816="","",IFERROR(INDEX(DATA_MASTER!$C$2:$C$5000,MATCH($C1816,DATA_MASTER!$D$2:$D$5000,0)),""))</f>
        <v/>
      </c>
      <c r="E1816" s="22">
        <f t="array" ref="E1816">IF($C1816="","",IFERROR(INDEX(DATA_MASTER!$I$2:$I$5000,MATCH($C1816,DATA_MASTER!$D$2:$D$5000,0)),""))</f>
        <v/>
      </c>
      <c r="F1816" s="22">
        <f t="array" ref="F1816">IF($C1816="","",IFERROR(INDEX(DATA_MASTER!$L$2:$L$5000,MATCH($C1816,DATA_MASTER!$D$2:$D$5000,0)),""))</f>
        <v/>
      </c>
      <c r="G1816" s="24" t="n"/>
      <c r="H1816" s="24" t="n"/>
      <c r="I1816" s="30" t="n"/>
      <c r="J1816" s="23">
        <f>IF(OR($H1816="",$I1816=""),"",$H1816*$I1816)</f>
        <v/>
      </c>
      <c r="K1816" s="24" t="n"/>
      <c r="L1816" s="24" t="n"/>
      <c r="M1816" s="29" t="n"/>
      <c r="N1816" s="28" t="n"/>
      <c r="O1816" s="24" t="n"/>
      <c r="P1816" s="24" t="n"/>
      <c r="Q1816" s="24" t="n"/>
      <c r="R1816" s="24" t="n"/>
      <c r="S1816" s="22">
        <f>IF(AND($A1816="",$C1816=""),"",IF($A1816="","Thiếu mã đơn; ","")&amp;IF(COUNTIF($A$2:$A1816,$A1816)&gt;1,"Trùng mã đơn; ","")&amp;IF(ISNA(MATCH($C1816,DATA_MASTER!$D$2:$D$5000,0)),"SĐT chưa đăng ký hội viên; ","")&amp;IF(AND($L1816="Đã chuyển khoản",$M1816=""),"Thiếu ngày nhận CK; ",""))</f>
        <v/>
      </c>
      <c r="T1816" s="24" t="n"/>
    </row>
    <row r="1817" ht="14.25" customHeight="1" s="40">
      <c r="A1817" s="24" t="n"/>
      <c r="B1817" s="29" t="n"/>
      <c r="C1817" s="28" t="n"/>
      <c r="D1817" s="22">
        <f t="array" ref="D1817">IF($C1817="","",IFERROR(INDEX(DATA_MASTER!$C$2:$C$5000,MATCH($C1817,DATA_MASTER!$D$2:$D$5000,0)),""))</f>
        <v/>
      </c>
      <c r="E1817" s="22">
        <f t="array" ref="E1817">IF($C1817="","",IFERROR(INDEX(DATA_MASTER!$I$2:$I$5000,MATCH($C1817,DATA_MASTER!$D$2:$D$5000,0)),""))</f>
        <v/>
      </c>
      <c r="F1817" s="22">
        <f t="array" ref="F1817">IF($C1817="","",IFERROR(INDEX(DATA_MASTER!$L$2:$L$5000,MATCH($C1817,DATA_MASTER!$D$2:$D$5000,0)),""))</f>
        <v/>
      </c>
      <c r="G1817" s="24" t="n"/>
      <c r="H1817" s="24" t="n"/>
      <c r="I1817" s="30" t="n"/>
      <c r="J1817" s="23">
        <f>IF(OR($H1817="",$I1817=""),"",$H1817*$I1817)</f>
        <v/>
      </c>
      <c r="K1817" s="24" t="n"/>
      <c r="L1817" s="24" t="n"/>
      <c r="M1817" s="29" t="n"/>
      <c r="N1817" s="28" t="n"/>
      <c r="O1817" s="24" t="n"/>
      <c r="P1817" s="24" t="n"/>
      <c r="Q1817" s="24" t="n"/>
      <c r="R1817" s="24" t="n"/>
      <c r="S1817" s="22">
        <f>IF(AND($A1817="",$C1817=""),"",IF($A1817="","Thiếu mã đơn; ","")&amp;IF(COUNTIF($A$2:$A1817,$A1817)&gt;1,"Trùng mã đơn; ","")&amp;IF(ISNA(MATCH($C1817,DATA_MASTER!$D$2:$D$5000,0)),"SĐT chưa đăng ký hội viên; ","")&amp;IF(AND($L1817="Đã chuyển khoản",$M1817=""),"Thiếu ngày nhận CK; ",""))</f>
        <v/>
      </c>
      <c r="T1817" s="24" t="n"/>
    </row>
    <row r="1818" ht="14.25" customHeight="1" s="40">
      <c r="A1818" s="24" t="n"/>
      <c r="B1818" s="29" t="n"/>
      <c r="C1818" s="28" t="n"/>
      <c r="D1818" s="22">
        <f t="array" ref="D1818">IF($C1818="","",IFERROR(INDEX(DATA_MASTER!$C$2:$C$5000,MATCH($C1818,DATA_MASTER!$D$2:$D$5000,0)),""))</f>
        <v/>
      </c>
      <c r="E1818" s="22">
        <f t="array" ref="E1818">IF($C1818="","",IFERROR(INDEX(DATA_MASTER!$I$2:$I$5000,MATCH($C1818,DATA_MASTER!$D$2:$D$5000,0)),""))</f>
        <v/>
      </c>
      <c r="F1818" s="22">
        <f t="array" ref="F1818">IF($C1818="","",IFERROR(INDEX(DATA_MASTER!$L$2:$L$5000,MATCH($C1818,DATA_MASTER!$D$2:$D$5000,0)),""))</f>
        <v/>
      </c>
      <c r="G1818" s="24" t="n"/>
      <c r="H1818" s="24" t="n"/>
      <c r="I1818" s="30" t="n"/>
      <c r="J1818" s="23">
        <f>IF(OR($H1818="",$I1818=""),"",$H1818*$I1818)</f>
        <v/>
      </c>
      <c r="K1818" s="24" t="n"/>
      <c r="L1818" s="24" t="n"/>
      <c r="M1818" s="29" t="n"/>
      <c r="N1818" s="28" t="n"/>
      <c r="O1818" s="24" t="n"/>
      <c r="P1818" s="24" t="n"/>
      <c r="Q1818" s="24" t="n"/>
      <c r="R1818" s="24" t="n"/>
      <c r="S1818" s="22">
        <f>IF(AND($A1818="",$C1818=""),"",IF($A1818="","Thiếu mã đơn; ","")&amp;IF(COUNTIF($A$2:$A1818,$A1818)&gt;1,"Trùng mã đơn; ","")&amp;IF(ISNA(MATCH($C1818,DATA_MASTER!$D$2:$D$5000,0)),"SĐT chưa đăng ký hội viên; ","")&amp;IF(AND($L1818="Đã chuyển khoản",$M1818=""),"Thiếu ngày nhận CK; ",""))</f>
        <v/>
      </c>
      <c r="T1818" s="24" t="n"/>
    </row>
    <row r="1819" ht="14.25" customHeight="1" s="40">
      <c r="A1819" s="24" t="n"/>
      <c r="B1819" s="29" t="n"/>
      <c r="C1819" s="28" t="n"/>
      <c r="D1819" s="22">
        <f t="array" ref="D1819">IF($C1819="","",IFERROR(INDEX(DATA_MASTER!$C$2:$C$5000,MATCH($C1819,DATA_MASTER!$D$2:$D$5000,0)),""))</f>
        <v/>
      </c>
      <c r="E1819" s="22">
        <f t="array" ref="E1819">IF($C1819="","",IFERROR(INDEX(DATA_MASTER!$I$2:$I$5000,MATCH($C1819,DATA_MASTER!$D$2:$D$5000,0)),""))</f>
        <v/>
      </c>
      <c r="F1819" s="22">
        <f t="array" ref="F1819">IF($C1819="","",IFERROR(INDEX(DATA_MASTER!$L$2:$L$5000,MATCH($C1819,DATA_MASTER!$D$2:$D$5000,0)),""))</f>
        <v/>
      </c>
      <c r="G1819" s="24" t="n"/>
      <c r="H1819" s="24" t="n"/>
      <c r="I1819" s="30" t="n"/>
      <c r="J1819" s="23">
        <f>IF(OR($H1819="",$I1819=""),"",$H1819*$I1819)</f>
        <v/>
      </c>
      <c r="K1819" s="24" t="n"/>
      <c r="L1819" s="24" t="n"/>
      <c r="M1819" s="29" t="n"/>
      <c r="N1819" s="28" t="n"/>
      <c r="O1819" s="24" t="n"/>
      <c r="P1819" s="24" t="n"/>
      <c r="Q1819" s="24" t="n"/>
      <c r="R1819" s="24" t="n"/>
      <c r="S1819" s="22">
        <f>IF(AND($A1819="",$C1819=""),"",IF($A1819="","Thiếu mã đơn; ","")&amp;IF(COUNTIF($A$2:$A1819,$A1819)&gt;1,"Trùng mã đơn; ","")&amp;IF(ISNA(MATCH($C1819,DATA_MASTER!$D$2:$D$5000,0)),"SĐT chưa đăng ký hội viên; ","")&amp;IF(AND($L1819="Đã chuyển khoản",$M1819=""),"Thiếu ngày nhận CK; ",""))</f>
        <v/>
      </c>
      <c r="T1819" s="24" t="n"/>
    </row>
    <row r="1820" ht="14.25" customHeight="1" s="40">
      <c r="A1820" s="24" t="n"/>
      <c r="B1820" s="29" t="n"/>
      <c r="C1820" s="28" t="n"/>
      <c r="D1820" s="22">
        <f t="array" ref="D1820">IF($C1820="","",IFERROR(INDEX(DATA_MASTER!$C$2:$C$5000,MATCH($C1820,DATA_MASTER!$D$2:$D$5000,0)),""))</f>
        <v/>
      </c>
      <c r="E1820" s="22">
        <f t="array" ref="E1820">IF($C1820="","",IFERROR(INDEX(DATA_MASTER!$I$2:$I$5000,MATCH($C1820,DATA_MASTER!$D$2:$D$5000,0)),""))</f>
        <v/>
      </c>
      <c r="F1820" s="22">
        <f t="array" ref="F1820">IF($C1820="","",IFERROR(INDEX(DATA_MASTER!$L$2:$L$5000,MATCH($C1820,DATA_MASTER!$D$2:$D$5000,0)),""))</f>
        <v/>
      </c>
      <c r="G1820" s="24" t="n"/>
      <c r="H1820" s="24" t="n"/>
      <c r="I1820" s="30" t="n"/>
      <c r="J1820" s="23">
        <f>IF(OR($H1820="",$I1820=""),"",$H1820*$I1820)</f>
        <v/>
      </c>
      <c r="K1820" s="24" t="n"/>
      <c r="L1820" s="24" t="n"/>
      <c r="M1820" s="29" t="n"/>
      <c r="N1820" s="28" t="n"/>
      <c r="O1820" s="24" t="n"/>
      <c r="P1820" s="24" t="n"/>
      <c r="Q1820" s="24" t="n"/>
      <c r="R1820" s="24" t="n"/>
      <c r="S1820" s="22">
        <f>IF(AND($A1820="",$C1820=""),"",IF($A1820="","Thiếu mã đơn; ","")&amp;IF(COUNTIF($A$2:$A1820,$A1820)&gt;1,"Trùng mã đơn; ","")&amp;IF(ISNA(MATCH($C1820,DATA_MASTER!$D$2:$D$5000,0)),"SĐT chưa đăng ký hội viên; ","")&amp;IF(AND($L1820="Đã chuyển khoản",$M1820=""),"Thiếu ngày nhận CK; ",""))</f>
        <v/>
      </c>
      <c r="T1820" s="24" t="n"/>
    </row>
    <row r="1821" ht="14.25" customHeight="1" s="40">
      <c r="A1821" s="24" t="n"/>
      <c r="B1821" s="29" t="n"/>
      <c r="C1821" s="28" t="n"/>
      <c r="D1821" s="22">
        <f t="array" ref="D1821">IF($C1821="","",IFERROR(INDEX(DATA_MASTER!$C$2:$C$5000,MATCH($C1821,DATA_MASTER!$D$2:$D$5000,0)),""))</f>
        <v/>
      </c>
      <c r="E1821" s="22">
        <f t="array" ref="E1821">IF($C1821="","",IFERROR(INDEX(DATA_MASTER!$I$2:$I$5000,MATCH($C1821,DATA_MASTER!$D$2:$D$5000,0)),""))</f>
        <v/>
      </c>
      <c r="F1821" s="22">
        <f t="array" ref="F1821">IF($C1821="","",IFERROR(INDEX(DATA_MASTER!$L$2:$L$5000,MATCH($C1821,DATA_MASTER!$D$2:$D$5000,0)),""))</f>
        <v/>
      </c>
      <c r="G1821" s="24" t="n"/>
      <c r="H1821" s="24" t="n"/>
      <c r="I1821" s="30" t="n"/>
      <c r="J1821" s="23">
        <f>IF(OR($H1821="",$I1821=""),"",$H1821*$I1821)</f>
        <v/>
      </c>
      <c r="K1821" s="24" t="n"/>
      <c r="L1821" s="24" t="n"/>
      <c r="M1821" s="29" t="n"/>
      <c r="N1821" s="28" t="n"/>
      <c r="O1821" s="24" t="n"/>
      <c r="P1821" s="24" t="n"/>
      <c r="Q1821" s="24" t="n"/>
      <c r="R1821" s="24" t="n"/>
      <c r="S1821" s="22">
        <f>IF(AND($A1821="",$C1821=""),"",IF($A1821="","Thiếu mã đơn; ","")&amp;IF(COUNTIF($A$2:$A1821,$A1821)&gt;1,"Trùng mã đơn; ","")&amp;IF(ISNA(MATCH($C1821,DATA_MASTER!$D$2:$D$5000,0)),"SĐT chưa đăng ký hội viên; ","")&amp;IF(AND($L1821="Đã chuyển khoản",$M1821=""),"Thiếu ngày nhận CK; ",""))</f>
        <v/>
      </c>
      <c r="T1821" s="24" t="n"/>
    </row>
    <row r="1822" ht="14.25" customHeight="1" s="40">
      <c r="A1822" s="24" t="n"/>
      <c r="B1822" s="29" t="n"/>
      <c r="C1822" s="28" t="n"/>
      <c r="D1822" s="22">
        <f t="array" ref="D1822">IF($C1822="","",IFERROR(INDEX(DATA_MASTER!$C$2:$C$5000,MATCH($C1822,DATA_MASTER!$D$2:$D$5000,0)),""))</f>
        <v/>
      </c>
      <c r="E1822" s="22">
        <f t="array" ref="E1822">IF($C1822="","",IFERROR(INDEX(DATA_MASTER!$I$2:$I$5000,MATCH($C1822,DATA_MASTER!$D$2:$D$5000,0)),""))</f>
        <v/>
      </c>
      <c r="F1822" s="22">
        <f t="array" ref="F1822">IF($C1822="","",IFERROR(INDEX(DATA_MASTER!$L$2:$L$5000,MATCH($C1822,DATA_MASTER!$D$2:$D$5000,0)),""))</f>
        <v/>
      </c>
      <c r="G1822" s="24" t="n"/>
      <c r="H1822" s="24" t="n"/>
      <c r="I1822" s="30" t="n"/>
      <c r="J1822" s="23">
        <f>IF(OR($H1822="",$I1822=""),"",$H1822*$I1822)</f>
        <v/>
      </c>
      <c r="K1822" s="24" t="n"/>
      <c r="L1822" s="24" t="n"/>
      <c r="M1822" s="29" t="n"/>
      <c r="N1822" s="28" t="n"/>
      <c r="O1822" s="24" t="n"/>
      <c r="P1822" s="24" t="n"/>
      <c r="Q1822" s="24" t="n"/>
      <c r="R1822" s="24" t="n"/>
      <c r="S1822" s="22">
        <f>IF(AND($A1822="",$C1822=""),"",IF($A1822="","Thiếu mã đơn; ","")&amp;IF(COUNTIF($A$2:$A1822,$A1822)&gt;1,"Trùng mã đơn; ","")&amp;IF(ISNA(MATCH($C1822,DATA_MASTER!$D$2:$D$5000,0)),"SĐT chưa đăng ký hội viên; ","")&amp;IF(AND($L1822="Đã chuyển khoản",$M1822=""),"Thiếu ngày nhận CK; ",""))</f>
        <v/>
      </c>
      <c r="T1822" s="24" t="n"/>
    </row>
    <row r="1823" ht="14.25" customHeight="1" s="40">
      <c r="A1823" s="24" t="n"/>
      <c r="B1823" s="29" t="n"/>
      <c r="C1823" s="28" t="n"/>
      <c r="D1823" s="22">
        <f t="array" ref="D1823">IF($C1823="","",IFERROR(INDEX(DATA_MASTER!$C$2:$C$5000,MATCH($C1823,DATA_MASTER!$D$2:$D$5000,0)),""))</f>
        <v/>
      </c>
      <c r="E1823" s="22">
        <f t="array" ref="E1823">IF($C1823="","",IFERROR(INDEX(DATA_MASTER!$I$2:$I$5000,MATCH($C1823,DATA_MASTER!$D$2:$D$5000,0)),""))</f>
        <v/>
      </c>
      <c r="F1823" s="22">
        <f t="array" ref="F1823">IF($C1823="","",IFERROR(INDEX(DATA_MASTER!$L$2:$L$5000,MATCH($C1823,DATA_MASTER!$D$2:$D$5000,0)),""))</f>
        <v/>
      </c>
      <c r="G1823" s="24" t="n"/>
      <c r="H1823" s="24" t="n"/>
      <c r="I1823" s="30" t="n"/>
      <c r="J1823" s="23">
        <f>IF(OR($H1823="",$I1823=""),"",$H1823*$I1823)</f>
        <v/>
      </c>
      <c r="K1823" s="24" t="n"/>
      <c r="L1823" s="24" t="n"/>
      <c r="M1823" s="29" t="n"/>
      <c r="N1823" s="28" t="n"/>
      <c r="O1823" s="24" t="n"/>
      <c r="P1823" s="24" t="n"/>
      <c r="Q1823" s="24" t="n"/>
      <c r="R1823" s="24" t="n"/>
      <c r="S1823" s="22">
        <f>IF(AND($A1823="",$C1823=""),"",IF($A1823="","Thiếu mã đơn; ","")&amp;IF(COUNTIF($A$2:$A1823,$A1823)&gt;1,"Trùng mã đơn; ","")&amp;IF(ISNA(MATCH($C1823,DATA_MASTER!$D$2:$D$5000,0)),"SĐT chưa đăng ký hội viên; ","")&amp;IF(AND($L1823="Đã chuyển khoản",$M1823=""),"Thiếu ngày nhận CK; ",""))</f>
        <v/>
      </c>
      <c r="T1823" s="24" t="n"/>
    </row>
    <row r="1824" ht="14.25" customHeight="1" s="40">
      <c r="A1824" s="24" t="n"/>
      <c r="B1824" s="29" t="n"/>
      <c r="C1824" s="28" t="n"/>
      <c r="D1824" s="22">
        <f t="array" ref="D1824">IF($C1824="","",IFERROR(INDEX(DATA_MASTER!$C$2:$C$5000,MATCH($C1824,DATA_MASTER!$D$2:$D$5000,0)),""))</f>
        <v/>
      </c>
      <c r="E1824" s="22">
        <f t="array" ref="E1824">IF($C1824="","",IFERROR(INDEX(DATA_MASTER!$I$2:$I$5000,MATCH($C1824,DATA_MASTER!$D$2:$D$5000,0)),""))</f>
        <v/>
      </c>
      <c r="F1824" s="22">
        <f t="array" ref="F1824">IF($C1824="","",IFERROR(INDEX(DATA_MASTER!$L$2:$L$5000,MATCH($C1824,DATA_MASTER!$D$2:$D$5000,0)),""))</f>
        <v/>
      </c>
      <c r="G1824" s="24" t="n"/>
      <c r="H1824" s="24" t="n"/>
      <c r="I1824" s="30" t="n"/>
      <c r="J1824" s="23">
        <f>IF(OR($H1824="",$I1824=""),"",$H1824*$I1824)</f>
        <v/>
      </c>
      <c r="K1824" s="24" t="n"/>
      <c r="L1824" s="24" t="n"/>
      <c r="M1824" s="29" t="n"/>
      <c r="N1824" s="28" t="n"/>
      <c r="O1824" s="24" t="n"/>
      <c r="P1824" s="24" t="n"/>
      <c r="Q1824" s="24" t="n"/>
      <c r="R1824" s="24" t="n"/>
      <c r="S1824" s="22">
        <f>IF(AND($A1824="",$C1824=""),"",IF($A1824="","Thiếu mã đơn; ","")&amp;IF(COUNTIF($A$2:$A1824,$A1824)&gt;1,"Trùng mã đơn; ","")&amp;IF(ISNA(MATCH($C1824,DATA_MASTER!$D$2:$D$5000,0)),"SĐT chưa đăng ký hội viên; ","")&amp;IF(AND($L1824="Đã chuyển khoản",$M1824=""),"Thiếu ngày nhận CK; ",""))</f>
        <v/>
      </c>
      <c r="T1824" s="24" t="n"/>
    </row>
    <row r="1825" ht="14.25" customHeight="1" s="40">
      <c r="A1825" s="24" t="n"/>
      <c r="B1825" s="29" t="n"/>
      <c r="C1825" s="28" t="n"/>
      <c r="D1825" s="22">
        <f t="array" ref="D1825">IF($C1825="","",IFERROR(INDEX(DATA_MASTER!$C$2:$C$5000,MATCH($C1825,DATA_MASTER!$D$2:$D$5000,0)),""))</f>
        <v/>
      </c>
      <c r="E1825" s="22">
        <f t="array" ref="E1825">IF($C1825="","",IFERROR(INDEX(DATA_MASTER!$I$2:$I$5000,MATCH($C1825,DATA_MASTER!$D$2:$D$5000,0)),""))</f>
        <v/>
      </c>
      <c r="F1825" s="22">
        <f t="array" ref="F1825">IF($C1825="","",IFERROR(INDEX(DATA_MASTER!$L$2:$L$5000,MATCH($C1825,DATA_MASTER!$D$2:$D$5000,0)),""))</f>
        <v/>
      </c>
      <c r="G1825" s="24" t="n"/>
      <c r="H1825" s="24" t="n"/>
      <c r="I1825" s="30" t="n"/>
      <c r="J1825" s="23">
        <f>IF(OR($H1825="",$I1825=""),"",$H1825*$I1825)</f>
        <v/>
      </c>
      <c r="K1825" s="24" t="n"/>
      <c r="L1825" s="24" t="n"/>
      <c r="M1825" s="29" t="n"/>
      <c r="N1825" s="28" t="n"/>
      <c r="O1825" s="24" t="n"/>
      <c r="P1825" s="24" t="n"/>
      <c r="Q1825" s="24" t="n"/>
      <c r="R1825" s="24" t="n"/>
      <c r="S1825" s="22">
        <f>IF(AND($A1825="",$C1825=""),"",IF($A1825="","Thiếu mã đơn; ","")&amp;IF(COUNTIF($A$2:$A1825,$A1825)&gt;1,"Trùng mã đơn; ","")&amp;IF(ISNA(MATCH($C1825,DATA_MASTER!$D$2:$D$5000,0)),"SĐT chưa đăng ký hội viên; ","")&amp;IF(AND($L1825="Đã chuyển khoản",$M1825=""),"Thiếu ngày nhận CK; ",""))</f>
        <v/>
      </c>
      <c r="T1825" s="24" t="n"/>
    </row>
    <row r="1826" ht="14.25" customHeight="1" s="40">
      <c r="A1826" s="24" t="n"/>
      <c r="B1826" s="29" t="n"/>
      <c r="C1826" s="28" t="n"/>
      <c r="D1826" s="22">
        <f t="array" ref="D1826">IF($C1826="","",IFERROR(INDEX(DATA_MASTER!$C$2:$C$5000,MATCH($C1826,DATA_MASTER!$D$2:$D$5000,0)),""))</f>
        <v/>
      </c>
      <c r="E1826" s="22">
        <f t="array" ref="E1826">IF($C1826="","",IFERROR(INDEX(DATA_MASTER!$I$2:$I$5000,MATCH($C1826,DATA_MASTER!$D$2:$D$5000,0)),""))</f>
        <v/>
      </c>
      <c r="F1826" s="22">
        <f t="array" ref="F1826">IF($C1826="","",IFERROR(INDEX(DATA_MASTER!$L$2:$L$5000,MATCH($C1826,DATA_MASTER!$D$2:$D$5000,0)),""))</f>
        <v/>
      </c>
      <c r="G1826" s="24" t="n"/>
      <c r="H1826" s="24" t="n"/>
      <c r="I1826" s="30" t="n"/>
      <c r="J1826" s="23">
        <f>IF(OR($H1826="",$I1826=""),"",$H1826*$I1826)</f>
        <v/>
      </c>
      <c r="K1826" s="24" t="n"/>
      <c r="L1826" s="24" t="n"/>
      <c r="M1826" s="29" t="n"/>
      <c r="N1826" s="28" t="n"/>
      <c r="O1826" s="24" t="n"/>
      <c r="P1826" s="24" t="n"/>
      <c r="Q1826" s="24" t="n"/>
      <c r="R1826" s="24" t="n"/>
      <c r="S1826" s="22">
        <f>IF(AND($A1826="",$C1826=""),"",IF($A1826="","Thiếu mã đơn; ","")&amp;IF(COUNTIF($A$2:$A1826,$A1826)&gt;1,"Trùng mã đơn; ","")&amp;IF(ISNA(MATCH($C1826,DATA_MASTER!$D$2:$D$5000,0)),"SĐT chưa đăng ký hội viên; ","")&amp;IF(AND($L1826="Đã chuyển khoản",$M1826=""),"Thiếu ngày nhận CK; ",""))</f>
        <v/>
      </c>
      <c r="T1826" s="24" t="n"/>
    </row>
    <row r="1827" ht="14.25" customHeight="1" s="40">
      <c r="A1827" s="24" t="n"/>
      <c r="B1827" s="29" t="n"/>
      <c r="C1827" s="28" t="n"/>
      <c r="D1827" s="22">
        <f t="array" ref="D1827">IF($C1827="","",IFERROR(INDEX(DATA_MASTER!$C$2:$C$5000,MATCH($C1827,DATA_MASTER!$D$2:$D$5000,0)),""))</f>
        <v/>
      </c>
      <c r="E1827" s="22">
        <f t="array" ref="E1827">IF($C1827="","",IFERROR(INDEX(DATA_MASTER!$I$2:$I$5000,MATCH($C1827,DATA_MASTER!$D$2:$D$5000,0)),""))</f>
        <v/>
      </c>
      <c r="F1827" s="22">
        <f t="array" ref="F1827">IF($C1827="","",IFERROR(INDEX(DATA_MASTER!$L$2:$L$5000,MATCH($C1827,DATA_MASTER!$D$2:$D$5000,0)),""))</f>
        <v/>
      </c>
      <c r="G1827" s="24" t="n"/>
      <c r="H1827" s="24" t="n"/>
      <c r="I1827" s="30" t="n"/>
      <c r="J1827" s="23">
        <f>IF(OR($H1827="",$I1827=""),"",$H1827*$I1827)</f>
        <v/>
      </c>
      <c r="K1827" s="24" t="n"/>
      <c r="L1827" s="24" t="n"/>
      <c r="M1827" s="29" t="n"/>
      <c r="N1827" s="28" t="n"/>
      <c r="O1827" s="24" t="n"/>
      <c r="P1827" s="24" t="n"/>
      <c r="Q1827" s="24" t="n"/>
      <c r="R1827" s="24" t="n"/>
      <c r="S1827" s="22">
        <f>IF(AND($A1827="",$C1827=""),"",IF($A1827="","Thiếu mã đơn; ","")&amp;IF(COUNTIF($A$2:$A1827,$A1827)&gt;1,"Trùng mã đơn; ","")&amp;IF(ISNA(MATCH($C1827,DATA_MASTER!$D$2:$D$5000,0)),"SĐT chưa đăng ký hội viên; ","")&amp;IF(AND($L1827="Đã chuyển khoản",$M1827=""),"Thiếu ngày nhận CK; ",""))</f>
        <v/>
      </c>
      <c r="T1827" s="24" t="n"/>
    </row>
    <row r="1828" ht="14.25" customHeight="1" s="40">
      <c r="A1828" s="24" t="n"/>
      <c r="B1828" s="29" t="n"/>
      <c r="C1828" s="28" t="n"/>
      <c r="D1828" s="22">
        <f t="array" ref="D1828">IF($C1828="","",IFERROR(INDEX(DATA_MASTER!$C$2:$C$5000,MATCH($C1828,DATA_MASTER!$D$2:$D$5000,0)),""))</f>
        <v/>
      </c>
      <c r="E1828" s="22">
        <f t="array" ref="E1828">IF($C1828="","",IFERROR(INDEX(DATA_MASTER!$I$2:$I$5000,MATCH($C1828,DATA_MASTER!$D$2:$D$5000,0)),""))</f>
        <v/>
      </c>
      <c r="F1828" s="22">
        <f t="array" ref="F1828">IF($C1828="","",IFERROR(INDEX(DATA_MASTER!$L$2:$L$5000,MATCH($C1828,DATA_MASTER!$D$2:$D$5000,0)),""))</f>
        <v/>
      </c>
      <c r="G1828" s="24" t="n"/>
      <c r="H1828" s="24" t="n"/>
      <c r="I1828" s="30" t="n"/>
      <c r="J1828" s="23">
        <f>IF(OR($H1828="",$I1828=""),"",$H1828*$I1828)</f>
        <v/>
      </c>
      <c r="K1828" s="24" t="n"/>
      <c r="L1828" s="24" t="n"/>
      <c r="M1828" s="29" t="n"/>
      <c r="N1828" s="28" t="n"/>
      <c r="O1828" s="24" t="n"/>
      <c r="P1828" s="24" t="n"/>
      <c r="Q1828" s="24" t="n"/>
      <c r="R1828" s="24" t="n"/>
      <c r="S1828" s="22">
        <f>IF(AND($A1828="",$C1828=""),"",IF($A1828="","Thiếu mã đơn; ","")&amp;IF(COUNTIF($A$2:$A1828,$A1828)&gt;1,"Trùng mã đơn; ","")&amp;IF(ISNA(MATCH($C1828,DATA_MASTER!$D$2:$D$5000,0)),"SĐT chưa đăng ký hội viên; ","")&amp;IF(AND($L1828="Đã chuyển khoản",$M1828=""),"Thiếu ngày nhận CK; ",""))</f>
        <v/>
      </c>
      <c r="T1828" s="24" t="n"/>
    </row>
    <row r="1829" ht="14.25" customHeight="1" s="40">
      <c r="A1829" s="24" t="n"/>
      <c r="B1829" s="29" t="n"/>
      <c r="C1829" s="28" t="n"/>
      <c r="D1829" s="22">
        <f t="array" ref="D1829">IF($C1829="","",IFERROR(INDEX(DATA_MASTER!$C$2:$C$5000,MATCH($C1829,DATA_MASTER!$D$2:$D$5000,0)),""))</f>
        <v/>
      </c>
      <c r="E1829" s="22">
        <f t="array" ref="E1829">IF($C1829="","",IFERROR(INDEX(DATA_MASTER!$I$2:$I$5000,MATCH($C1829,DATA_MASTER!$D$2:$D$5000,0)),""))</f>
        <v/>
      </c>
      <c r="F1829" s="22">
        <f t="array" ref="F1829">IF($C1829="","",IFERROR(INDEX(DATA_MASTER!$L$2:$L$5000,MATCH($C1829,DATA_MASTER!$D$2:$D$5000,0)),""))</f>
        <v/>
      </c>
      <c r="G1829" s="24" t="n"/>
      <c r="H1829" s="24" t="n"/>
      <c r="I1829" s="30" t="n"/>
      <c r="J1829" s="23">
        <f>IF(OR($H1829="",$I1829=""),"",$H1829*$I1829)</f>
        <v/>
      </c>
      <c r="K1829" s="24" t="n"/>
      <c r="L1829" s="24" t="n"/>
      <c r="M1829" s="29" t="n"/>
      <c r="N1829" s="28" t="n"/>
      <c r="O1829" s="24" t="n"/>
      <c r="P1829" s="24" t="n"/>
      <c r="Q1829" s="24" t="n"/>
      <c r="R1829" s="24" t="n"/>
      <c r="S1829" s="22">
        <f>IF(AND($A1829="",$C1829=""),"",IF($A1829="","Thiếu mã đơn; ","")&amp;IF(COUNTIF($A$2:$A1829,$A1829)&gt;1,"Trùng mã đơn; ","")&amp;IF(ISNA(MATCH($C1829,DATA_MASTER!$D$2:$D$5000,0)),"SĐT chưa đăng ký hội viên; ","")&amp;IF(AND($L1829="Đã chuyển khoản",$M1829=""),"Thiếu ngày nhận CK; ",""))</f>
        <v/>
      </c>
      <c r="T1829" s="24" t="n"/>
    </row>
    <row r="1830" ht="14.25" customHeight="1" s="40">
      <c r="A1830" s="24" t="n"/>
      <c r="B1830" s="29" t="n"/>
      <c r="C1830" s="28" t="n"/>
      <c r="D1830" s="22">
        <f t="array" ref="D1830">IF($C1830="","",IFERROR(INDEX(DATA_MASTER!$C$2:$C$5000,MATCH($C1830,DATA_MASTER!$D$2:$D$5000,0)),""))</f>
        <v/>
      </c>
      <c r="E1830" s="22">
        <f t="array" ref="E1830">IF($C1830="","",IFERROR(INDEX(DATA_MASTER!$I$2:$I$5000,MATCH($C1830,DATA_MASTER!$D$2:$D$5000,0)),""))</f>
        <v/>
      </c>
      <c r="F1830" s="22">
        <f t="array" ref="F1830">IF($C1830="","",IFERROR(INDEX(DATA_MASTER!$L$2:$L$5000,MATCH($C1830,DATA_MASTER!$D$2:$D$5000,0)),""))</f>
        <v/>
      </c>
      <c r="G1830" s="24" t="n"/>
      <c r="H1830" s="24" t="n"/>
      <c r="I1830" s="30" t="n"/>
      <c r="J1830" s="23">
        <f>IF(OR($H1830="",$I1830=""),"",$H1830*$I1830)</f>
        <v/>
      </c>
      <c r="K1830" s="24" t="n"/>
      <c r="L1830" s="24" t="n"/>
      <c r="M1830" s="29" t="n"/>
      <c r="N1830" s="28" t="n"/>
      <c r="O1830" s="24" t="n"/>
      <c r="P1830" s="24" t="n"/>
      <c r="Q1830" s="24" t="n"/>
      <c r="R1830" s="24" t="n"/>
      <c r="S1830" s="22">
        <f>IF(AND($A1830="",$C1830=""),"",IF($A1830="","Thiếu mã đơn; ","")&amp;IF(COUNTIF($A$2:$A1830,$A1830)&gt;1,"Trùng mã đơn; ","")&amp;IF(ISNA(MATCH($C1830,DATA_MASTER!$D$2:$D$5000,0)),"SĐT chưa đăng ký hội viên; ","")&amp;IF(AND($L1830="Đã chuyển khoản",$M1830=""),"Thiếu ngày nhận CK; ",""))</f>
        <v/>
      </c>
      <c r="T1830" s="24" t="n"/>
    </row>
    <row r="1831" ht="14.25" customHeight="1" s="40">
      <c r="A1831" s="24" t="n"/>
      <c r="B1831" s="29" t="n"/>
      <c r="C1831" s="28" t="n"/>
      <c r="D1831" s="22">
        <f t="array" ref="D1831">IF($C1831="","",IFERROR(INDEX(DATA_MASTER!$C$2:$C$5000,MATCH($C1831,DATA_MASTER!$D$2:$D$5000,0)),""))</f>
        <v/>
      </c>
      <c r="E1831" s="22">
        <f t="array" ref="E1831">IF($C1831="","",IFERROR(INDEX(DATA_MASTER!$I$2:$I$5000,MATCH($C1831,DATA_MASTER!$D$2:$D$5000,0)),""))</f>
        <v/>
      </c>
      <c r="F1831" s="22">
        <f t="array" ref="F1831">IF($C1831="","",IFERROR(INDEX(DATA_MASTER!$L$2:$L$5000,MATCH($C1831,DATA_MASTER!$D$2:$D$5000,0)),""))</f>
        <v/>
      </c>
      <c r="G1831" s="24" t="n"/>
      <c r="H1831" s="24" t="n"/>
      <c r="I1831" s="30" t="n"/>
      <c r="J1831" s="23">
        <f>IF(OR($H1831="",$I1831=""),"",$H1831*$I1831)</f>
        <v/>
      </c>
      <c r="K1831" s="24" t="n"/>
      <c r="L1831" s="24" t="n"/>
      <c r="M1831" s="29" t="n"/>
      <c r="N1831" s="28" t="n"/>
      <c r="O1831" s="24" t="n"/>
      <c r="P1831" s="24" t="n"/>
      <c r="Q1831" s="24" t="n"/>
      <c r="R1831" s="24" t="n"/>
      <c r="S1831" s="22">
        <f>IF(AND($A1831="",$C1831=""),"",IF($A1831="","Thiếu mã đơn; ","")&amp;IF(COUNTIF($A$2:$A1831,$A1831)&gt;1,"Trùng mã đơn; ","")&amp;IF(ISNA(MATCH($C1831,DATA_MASTER!$D$2:$D$5000,0)),"SĐT chưa đăng ký hội viên; ","")&amp;IF(AND($L1831="Đã chuyển khoản",$M1831=""),"Thiếu ngày nhận CK; ",""))</f>
        <v/>
      </c>
      <c r="T1831" s="24" t="n"/>
    </row>
    <row r="1832" ht="14.25" customHeight="1" s="40">
      <c r="A1832" s="24" t="n"/>
      <c r="B1832" s="29" t="n"/>
      <c r="C1832" s="28" t="n"/>
      <c r="D1832" s="22">
        <f t="array" ref="D1832">IF($C1832="","",IFERROR(INDEX(DATA_MASTER!$C$2:$C$5000,MATCH($C1832,DATA_MASTER!$D$2:$D$5000,0)),""))</f>
        <v/>
      </c>
      <c r="E1832" s="22">
        <f t="array" ref="E1832">IF($C1832="","",IFERROR(INDEX(DATA_MASTER!$I$2:$I$5000,MATCH($C1832,DATA_MASTER!$D$2:$D$5000,0)),""))</f>
        <v/>
      </c>
      <c r="F1832" s="22">
        <f t="array" ref="F1832">IF($C1832="","",IFERROR(INDEX(DATA_MASTER!$L$2:$L$5000,MATCH($C1832,DATA_MASTER!$D$2:$D$5000,0)),""))</f>
        <v/>
      </c>
      <c r="G1832" s="24" t="n"/>
      <c r="H1832" s="24" t="n"/>
      <c r="I1832" s="30" t="n"/>
      <c r="J1832" s="23">
        <f>IF(OR($H1832="",$I1832=""),"",$H1832*$I1832)</f>
        <v/>
      </c>
      <c r="K1832" s="24" t="n"/>
      <c r="L1832" s="24" t="n"/>
      <c r="M1832" s="29" t="n"/>
      <c r="N1832" s="28" t="n"/>
      <c r="O1832" s="24" t="n"/>
      <c r="P1832" s="24" t="n"/>
      <c r="Q1832" s="24" t="n"/>
      <c r="R1832" s="24" t="n"/>
      <c r="S1832" s="22">
        <f>IF(AND($A1832="",$C1832=""),"",IF($A1832="","Thiếu mã đơn; ","")&amp;IF(COUNTIF($A$2:$A1832,$A1832)&gt;1,"Trùng mã đơn; ","")&amp;IF(ISNA(MATCH($C1832,DATA_MASTER!$D$2:$D$5000,0)),"SĐT chưa đăng ký hội viên; ","")&amp;IF(AND($L1832="Đã chuyển khoản",$M1832=""),"Thiếu ngày nhận CK; ",""))</f>
        <v/>
      </c>
      <c r="T1832" s="24" t="n"/>
    </row>
    <row r="1833" ht="14.25" customHeight="1" s="40">
      <c r="A1833" s="24" t="n"/>
      <c r="B1833" s="29" t="n"/>
      <c r="C1833" s="28" t="n"/>
      <c r="D1833" s="22">
        <f t="array" ref="D1833">IF($C1833="","",IFERROR(INDEX(DATA_MASTER!$C$2:$C$5000,MATCH($C1833,DATA_MASTER!$D$2:$D$5000,0)),""))</f>
        <v/>
      </c>
      <c r="E1833" s="22">
        <f t="array" ref="E1833">IF($C1833="","",IFERROR(INDEX(DATA_MASTER!$I$2:$I$5000,MATCH($C1833,DATA_MASTER!$D$2:$D$5000,0)),""))</f>
        <v/>
      </c>
      <c r="F1833" s="22">
        <f t="array" ref="F1833">IF($C1833="","",IFERROR(INDEX(DATA_MASTER!$L$2:$L$5000,MATCH($C1833,DATA_MASTER!$D$2:$D$5000,0)),""))</f>
        <v/>
      </c>
      <c r="G1833" s="24" t="n"/>
      <c r="H1833" s="24" t="n"/>
      <c r="I1833" s="30" t="n"/>
      <c r="J1833" s="23">
        <f>IF(OR($H1833="",$I1833=""),"",$H1833*$I1833)</f>
        <v/>
      </c>
      <c r="K1833" s="24" t="n"/>
      <c r="L1833" s="24" t="n"/>
      <c r="M1833" s="29" t="n"/>
      <c r="N1833" s="28" t="n"/>
      <c r="O1833" s="24" t="n"/>
      <c r="P1833" s="24" t="n"/>
      <c r="Q1833" s="24" t="n"/>
      <c r="R1833" s="24" t="n"/>
      <c r="S1833" s="22">
        <f>IF(AND($A1833="",$C1833=""),"",IF($A1833="","Thiếu mã đơn; ","")&amp;IF(COUNTIF($A$2:$A1833,$A1833)&gt;1,"Trùng mã đơn; ","")&amp;IF(ISNA(MATCH($C1833,DATA_MASTER!$D$2:$D$5000,0)),"SĐT chưa đăng ký hội viên; ","")&amp;IF(AND($L1833="Đã chuyển khoản",$M1833=""),"Thiếu ngày nhận CK; ",""))</f>
        <v/>
      </c>
      <c r="T1833" s="24" t="n"/>
    </row>
    <row r="1834" ht="14.25" customHeight="1" s="40">
      <c r="A1834" s="24" t="n"/>
      <c r="B1834" s="29" t="n"/>
      <c r="C1834" s="28" t="n"/>
      <c r="D1834" s="22">
        <f t="array" ref="D1834">IF($C1834="","",IFERROR(INDEX(DATA_MASTER!$C$2:$C$5000,MATCH($C1834,DATA_MASTER!$D$2:$D$5000,0)),""))</f>
        <v/>
      </c>
      <c r="E1834" s="22">
        <f t="array" ref="E1834">IF($C1834="","",IFERROR(INDEX(DATA_MASTER!$I$2:$I$5000,MATCH($C1834,DATA_MASTER!$D$2:$D$5000,0)),""))</f>
        <v/>
      </c>
      <c r="F1834" s="22">
        <f t="array" ref="F1834">IF($C1834="","",IFERROR(INDEX(DATA_MASTER!$L$2:$L$5000,MATCH($C1834,DATA_MASTER!$D$2:$D$5000,0)),""))</f>
        <v/>
      </c>
      <c r="G1834" s="24" t="n"/>
      <c r="H1834" s="24" t="n"/>
      <c r="I1834" s="30" t="n"/>
      <c r="J1834" s="23">
        <f>IF(OR($H1834="",$I1834=""),"",$H1834*$I1834)</f>
        <v/>
      </c>
      <c r="K1834" s="24" t="n"/>
      <c r="L1834" s="24" t="n"/>
      <c r="M1834" s="29" t="n"/>
      <c r="N1834" s="28" t="n"/>
      <c r="O1834" s="24" t="n"/>
      <c r="P1834" s="24" t="n"/>
      <c r="Q1834" s="24" t="n"/>
      <c r="R1834" s="24" t="n"/>
      <c r="S1834" s="22">
        <f>IF(AND($A1834="",$C1834=""),"",IF($A1834="","Thiếu mã đơn; ","")&amp;IF(COUNTIF($A$2:$A1834,$A1834)&gt;1,"Trùng mã đơn; ","")&amp;IF(ISNA(MATCH($C1834,DATA_MASTER!$D$2:$D$5000,0)),"SĐT chưa đăng ký hội viên; ","")&amp;IF(AND($L1834="Đã chuyển khoản",$M1834=""),"Thiếu ngày nhận CK; ",""))</f>
        <v/>
      </c>
      <c r="T1834" s="24" t="n"/>
    </row>
    <row r="1835" ht="14.25" customHeight="1" s="40">
      <c r="A1835" s="24" t="n"/>
      <c r="B1835" s="29" t="n"/>
      <c r="C1835" s="28" t="n"/>
      <c r="D1835" s="22">
        <f t="array" ref="D1835">IF($C1835="","",IFERROR(INDEX(DATA_MASTER!$C$2:$C$5000,MATCH($C1835,DATA_MASTER!$D$2:$D$5000,0)),""))</f>
        <v/>
      </c>
      <c r="E1835" s="22">
        <f t="array" ref="E1835">IF($C1835="","",IFERROR(INDEX(DATA_MASTER!$I$2:$I$5000,MATCH($C1835,DATA_MASTER!$D$2:$D$5000,0)),""))</f>
        <v/>
      </c>
      <c r="F1835" s="22">
        <f t="array" ref="F1835">IF($C1835="","",IFERROR(INDEX(DATA_MASTER!$L$2:$L$5000,MATCH($C1835,DATA_MASTER!$D$2:$D$5000,0)),""))</f>
        <v/>
      </c>
      <c r="G1835" s="24" t="n"/>
      <c r="H1835" s="24" t="n"/>
      <c r="I1835" s="30" t="n"/>
      <c r="J1835" s="23">
        <f>IF(OR($H1835="",$I1835=""),"",$H1835*$I1835)</f>
        <v/>
      </c>
      <c r="K1835" s="24" t="n"/>
      <c r="L1835" s="24" t="n"/>
      <c r="M1835" s="29" t="n"/>
      <c r="N1835" s="28" t="n"/>
      <c r="O1835" s="24" t="n"/>
      <c r="P1835" s="24" t="n"/>
      <c r="Q1835" s="24" t="n"/>
      <c r="R1835" s="24" t="n"/>
      <c r="S1835" s="22">
        <f>IF(AND($A1835="",$C1835=""),"",IF($A1835="","Thiếu mã đơn; ","")&amp;IF(COUNTIF($A$2:$A1835,$A1835)&gt;1,"Trùng mã đơn; ","")&amp;IF(ISNA(MATCH($C1835,DATA_MASTER!$D$2:$D$5000,0)),"SĐT chưa đăng ký hội viên; ","")&amp;IF(AND($L1835="Đã chuyển khoản",$M1835=""),"Thiếu ngày nhận CK; ",""))</f>
        <v/>
      </c>
      <c r="T1835" s="24" t="n"/>
    </row>
    <row r="1836" ht="14.25" customHeight="1" s="40">
      <c r="A1836" s="24" t="n"/>
      <c r="B1836" s="29" t="n"/>
      <c r="C1836" s="28" t="n"/>
      <c r="D1836" s="22">
        <f t="array" ref="D1836">IF($C1836="","",IFERROR(INDEX(DATA_MASTER!$C$2:$C$5000,MATCH($C1836,DATA_MASTER!$D$2:$D$5000,0)),""))</f>
        <v/>
      </c>
      <c r="E1836" s="22">
        <f t="array" ref="E1836">IF($C1836="","",IFERROR(INDEX(DATA_MASTER!$I$2:$I$5000,MATCH($C1836,DATA_MASTER!$D$2:$D$5000,0)),""))</f>
        <v/>
      </c>
      <c r="F1836" s="22">
        <f t="array" ref="F1836">IF($C1836="","",IFERROR(INDEX(DATA_MASTER!$L$2:$L$5000,MATCH($C1836,DATA_MASTER!$D$2:$D$5000,0)),""))</f>
        <v/>
      </c>
      <c r="G1836" s="24" t="n"/>
      <c r="H1836" s="24" t="n"/>
      <c r="I1836" s="30" t="n"/>
      <c r="J1836" s="23">
        <f>IF(OR($H1836="",$I1836=""),"",$H1836*$I1836)</f>
        <v/>
      </c>
      <c r="K1836" s="24" t="n"/>
      <c r="L1836" s="24" t="n"/>
      <c r="M1836" s="29" t="n"/>
      <c r="N1836" s="28" t="n"/>
      <c r="O1836" s="24" t="n"/>
      <c r="P1836" s="24" t="n"/>
      <c r="Q1836" s="24" t="n"/>
      <c r="R1836" s="24" t="n"/>
      <c r="S1836" s="22">
        <f>IF(AND($A1836="",$C1836=""),"",IF($A1836="","Thiếu mã đơn; ","")&amp;IF(COUNTIF($A$2:$A1836,$A1836)&gt;1,"Trùng mã đơn; ","")&amp;IF(ISNA(MATCH($C1836,DATA_MASTER!$D$2:$D$5000,0)),"SĐT chưa đăng ký hội viên; ","")&amp;IF(AND($L1836="Đã chuyển khoản",$M1836=""),"Thiếu ngày nhận CK; ",""))</f>
        <v/>
      </c>
      <c r="T1836" s="24" t="n"/>
    </row>
    <row r="1837" ht="14.25" customHeight="1" s="40">
      <c r="A1837" s="24" t="n"/>
      <c r="B1837" s="29" t="n"/>
      <c r="C1837" s="28" t="n"/>
      <c r="D1837" s="22">
        <f t="array" ref="D1837">IF($C1837="","",IFERROR(INDEX(DATA_MASTER!$C$2:$C$5000,MATCH($C1837,DATA_MASTER!$D$2:$D$5000,0)),""))</f>
        <v/>
      </c>
      <c r="E1837" s="22">
        <f t="array" ref="E1837">IF($C1837="","",IFERROR(INDEX(DATA_MASTER!$I$2:$I$5000,MATCH($C1837,DATA_MASTER!$D$2:$D$5000,0)),""))</f>
        <v/>
      </c>
      <c r="F1837" s="22">
        <f t="array" ref="F1837">IF($C1837="","",IFERROR(INDEX(DATA_MASTER!$L$2:$L$5000,MATCH($C1837,DATA_MASTER!$D$2:$D$5000,0)),""))</f>
        <v/>
      </c>
      <c r="G1837" s="24" t="n"/>
      <c r="H1837" s="24" t="n"/>
      <c r="I1837" s="30" t="n"/>
      <c r="J1837" s="23">
        <f>IF(OR($H1837="",$I1837=""),"",$H1837*$I1837)</f>
        <v/>
      </c>
      <c r="K1837" s="24" t="n"/>
      <c r="L1837" s="24" t="n"/>
      <c r="M1837" s="29" t="n"/>
      <c r="N1837" s="28" t="n"/>
      <c r="O1837" s="24" t="n"/>
      <c r="P1837" s="24" t="n"/>
      <c r="Q1837" s="24" t="n"/>
      <c r="R1837" s="24" t="n"/>
      <c r="S1837" s="22">
        <f>IF(AND($A1837="",$C1837=""),"",IF($A1837="","Thiếu mã đơn; ","")&amp;IF(COUNTIF($A$2:$A1837,$A1837)&gt;1,"Trùng mã đơn; ","")&amp;IF(ISNA(MATCH($C1837,DATA_MASTER!$D$2:$D$5000,0)),"SĐT chưa đăng ký hội viên; ","")&amp;IF(AND($L1837="Đã chuyển khoản",$M1837=""),"Thiếu ngày nhận CK; ",""))</f>
        <v/>
      </c>
      <c r="T1837" s="24" t="n"/>
    </row>
    <row r="1838" ht="14.25" customHeight="1" s="40">
      <c r="A1838" s="24" t="n"/>
      <c r="B1838" s="29" t="n"/>
      <c r="C1838" s="28" t="n"/>
      <c r="D1838" s="22">
        <f t="array" ref="D1838">IF($C1838="","",IFERROR(INDEX(DATA_MASTER!$C$2:$C$5000,MATCH($C1838,DATA_MASTER!$D$2:$D$5000,0)),""))</f>
        <v/>
      </c>
      <c r="E1838" s="22">
        <f t="array" ref="E1838">IF($C1838="","",IFERROR(INDEX(DATA_MASTER!$I$2:$I$5000,MATCH($C1838,DATA_MASTER!$D$2:$D$5000,0)),""))</f>
        <v/>
      </c>
      <c r="F1838" s="22">
        <f t="array" ref="F1838">IF($C1838="","",IFERROR(INDEX(DATA_MASTER!$L$2:$L$5000,MATCH($C1838,DATA_MASTER!$D$2:$D$5000,0)),""))</f>
        <v/>
      </c>
      <c r="G1838" s="24" t="n"/>
      <c r="H1838" s="24" t="n"/>
      <c r="I1838" s="30" t="n"/>
      <c r="J1838" s="23">
        <f>IF(OR($H1838="",$I1838=""),"",$H1838*$I1838)</f>
        <v/>
      </c>
      <c r="K1838" s="24" t="n"/>
      <c r="L1838" s="24" t="n"/>
      <c r="M1838" s="29" t="n"/>
      <c r="N1838" s="28" t="n"/>
      <c r="O1838" s="24" t="n"/>
      <c r="P1838" s="24" t="n"/>
      <c r="Q1838" s="24" t="n"/>
      <c r="R1838" s="24" t="n"/>
      <c r="S1838" s="22">
        <f>IF(AND($A1838="",$C1838=""),"",IF($A1838="","Thiếu mã đơn; ","")&amp;IF(COUNTIF($A$2:$A1838,$A1838)&gt;1,"Trùng mã đơn; ","")&amp;IF(ISNA(MATCH($C1838,DATA_MASTER!$D$2:$D$5000,0)),"SĐT chưa đăng ký hội viên; ","")&amp;IF(AND($L1838="Đã chuyển khoản",$M1838=""),"Thiếu ngày nhận CK; ",""))</f>
        <v/>
      </c>
      <c r="T1838" s="24" t="n"/>
    </row>
    <row r="1839" ht="14.25" customHeight="1" s="40">
      <c r="A1839" s="24" t="n"/>
      <c r="B1839" s="29" t="n"/>
      <c r="C1839" s="28" t="n"/>
      <c r="D1839" s="22">
        <f t="array" ref="D1839">IF($C1839="","",IFERROR(INDEX(DATA_MASTER!$C$2:$C$5000,MATCH($C1839,DATA_MASTER!$D$2:$D$5000,0)),""))</f>
        <v/>
      </c>
      <c r="E1839" s="22">
        <f t="array" ref="E1839">IF($C1839="","",IFERROR(INDEX(DATA_MASTER!$I$2:$I$5000,MATCH($C1839,DATA_MASTER!$D$2:$D$5000,0)),""))</f>
        <v/>
      </c>
      <c r="F1839" s="22">
        <f t="array" ref="F1839">IF($C1839="","",IFERROR(INDEX(DATA_MASTER!$L$2:$L$5000,MATCH($C1839,DATA_MASTER!$D$2:$D$5000,0)),""))</f>
        <v/>
      </c>
      <c r="G1839" s="24" t="n"/>
      <c r="H1839" s="24" t="n"/>
      <c r="I1839" s="30" t="n"/>
      <c r="J1839" s="23">
        <f>IF(OR($H1839="",$I1839=""),"",$H1839*$I1839)</f>
        <v/>
      </c>
      <c r="K1839" s="24" t="n"/>
      <c r="L1839" s="24" t="n"/>
      <c r="M1839" s="29" t="n"/>
      <c r="N1839" s="28" t="n"/>
      <c r="O1839" s="24" t="n"/>
      <c r="P1839" s="24" t="n"/>
      <c r="Q1839" s="24" t="n"/>
      <c r="R1839" s="24" t="n"/>
      <c r="S1839" s="22">
        <f>IF(AND($A1839="",$C1839=""),"",IF($A1839="","Thiếu mã đơn; ","")&amp;IF(COUNTIF($A$2:$A1839,$A1839)&gt;1,"Trùng mã đơn; ","")&amp;IF(ISNA(MATCH($C1839,DATA_MASTER!$D$2:$D$5000,0)),"SĐT chưa đăng ký hội viên; ","")&amp;IF(AND($L1839="Đã chuyển khoản",$M1839=""),"Thiếu ngày nhận CK; ",""))</f>
        <v/>
      </c>
      <c r="T1839" s="24" t="n"/>
    </row>
    <row r="1840" ht="14.25" customHeight="1" s="40">
      <c r="A1840" s="24" t="n"/>
      <c r="B1840" s="29" t="n"/>
      <c r="C1840" s="28" t="n"/>
      <c r="D1840" s="22">
        <f t="array" ref="D1840">IF($C1840="","",IFERROR(INDEX(DATA_MASTER!$C$2:$C$5000,MATCH($C1840,DATA_MASTER!$D$2:$D$5000,0)),""))</f>
        <v/>
      </c>
      <c r="E1840" s="22">
        <f t="array" ref="E1840">IF($C1840="","",IFERROR(INDEX(DATA_MASTER!$I$2:$I$5000,MATCH($C1840,DATA_MASTER!$D$2:$D$5000,0)),""))</f>
        <v/>
      </c>
      <c r="F1840" s="22">
        <f t="array" ref="F1840">IF($C1840="","",IFERROR(INDEX(DATA_MASTER!$L$2:$L$5000,MATCH($C1840,DATA_MASTER!$D$2:$D$5000,0)),""))</f>
        <v/>
      </c>
      <c r="G1840" s="24" t="n"/>
      <c r="H1840" s="24" t="n"/>
      <c r="I1840" s="30" t="n"/>
      <c r="J1840" s="23">
        <f>IF(OR($H1840="",$I1840=""),"",$H1840*$I1840)</f>
        <v/>
      </c>
      <c r="K1840" s="24" t="n"/>
      <c r="L1840" s="24" t="n"/>
      <c r="M1840" s="29" t="n"/>
      <c r="N1840" s="28" t="n"/>
      <c r="O1840" s="24" t="n"/>
      <c r="P1840" s="24" t="n"/>
      <c r="Q1840" s="24" t="n"/>
      <c r="R1840" s="24" t="n"/>
      <c r="S1840" s="22">
        <f>IF(AND($A1840="",$C1840=""),"",IF($A1840="","Thiếu mã đơn; ","")&amp;IF(COUNTIF($A$2:$A1840,$A1840)&gt;1,"Trùng mã đơn; ","")&amp;IF(ISNA(MATCH($C1840,DATA_MASTER!$D$2:$D$5000,0)),"SĐT chưa đăng ký hội viên; ","")&amp;IF(AND($L1840="Đã chuyển khoản",$M1840=""),"Thiếu ngày nhận CK; ",""))</f>
        <v/>
      </c>
      <c r="T1840" s="24" t="n"/>
    </row>
    <row r="1841" ht="14.25" customHeight="1" s="40">
      <c r="A1841" s="24" t="n"/>
      <c r="B1841" s="29" t="n"/>
      <c r="C1841" s="28" t="n"/>
      <c r="D1841" s="22">
        <f t="array" ref="D1841">IF($C1841="","",IFERROR(INDEX(DATA_MASTER!$C$2:$C$5000,MATCH($C1841,DATA_MASTER!$D$2:$D$5000,0)),""))</f>
        <v/>
      </c>
      <c r="E1841" s="22">
        <f t="array" ref="E1841">IF($C1841="","",IFERROR(INDEX(DATA_MASTER!$I$2:$I$5000,MATCH($C1841,DATA_MASTER!$D$2:$D$5000,0)),""))</f>
        <v/>
      </c>
      <c r="F1841" s="22">
        <f t="array" ref="F1841">IF($C1841="","",IFERROR(INDEX(DATA_MASTER!$L$2:$L$5000,MATCH($C1841,DATA_MASTER!$D$2:$D$5000,0)),""))</f>
        <v/>
      </c>
      <c r="G1841" s="24" t="n"/>
      <c r="H1841" s="24" t="n"/>
      <c r="I1841" s="30" t="n"/>
      <c r="J1841" s="23">
        <f>IF(OR($H1841="",$I1841=""),"",$H1841*$I1841)</f>
        <v/>
      </c>
      <c r="K1841" s="24" t="n"/>
      <c r="L1841" s="24" t="n"/>
      <c r="M1841" s="29" t="n"/>
      <c r="N1841" s="28" t="n"/>
      <c r="O1841" s="24" t="n"/>
      <c r="P1841" s="24" t="n"/>
      <c r="Q1841" s="24" t="n"/>
      <c r="R1841" s="24" t="n"/>
      <c r="S1841" s="22">
        <f>IF(AND($A1841="",$C1841=""),"",IF($A1841="","Thiếu mã đơn; ","")&amp;IF(COUNTIF($A$2:$A1841,$A1841)&gt;1,"Trùng mã đơn; ","")&amp;IF(ISNA(MATCH($C1841,DATA_MASTER!$D$2:$D$5000,0)),"SĐT chưa đăng ký hội viên; ","")&amp;IF(AND($L1841="Đã chuyển khoản",$M1841=""),"Thiếu ngày nhận CK; ",""))</f>
        <v/>
      </c>
      <c r="T1841" s="24" t="n"/>
    </row>
    <row r="1842" ht="14.25" customHeight="1" s="40">
      <c r="A1842" s="24" t="n"/>
      <c r="B1842" s="29" t="n"/>
      <c r="C1842" s="28" t="n"/>
      <c r="D1842" s="22">
        <f t="array" ref="D1842">IF($C1842="","",IFERROR(INDEX(DATA_MASTER!$C$2:$C$5000,MATCH($C1842,DATA_MASTER!$D$2:$D$5000,0)),""))</f>
        <v/>
      </c>
      <c r="E1842" s="22">
        <f t="array" ref="E1842">IF($C1842="","",IFERROR(INDEX(DATA_MASTER!$I$2:$I$5000,MATCH($C1842,DATA_MASTER!$D$2:$D$5000,0)),""))</f>
        <v/>
      </c>
      <c r="F1842" s="22">
        <f t="array" ref="F1842">IF($C1842="","",IFERROR(INDEX(DATA_MASTER!$L$2:$L$5000,MATCH($C1842,DATA_MASTER!$D$2:$D$5000,0)),""))</f>
        <v/>
      </c>
      <c r="G1842" s="24" t="n"/>
      <c r="H1842" s="24" t="n"/>
      <c r="I1842" s="30" t="n"/>
      <c r="J1842" s="23">
        <f>IF(OR($H1842="",$I1842=""),"",$H1842*$I1842)</f>
        <v/>
      </c>
      <c r="K1842" s="24" t="n"/>
      <c r="L1842" s="24" t="n"/>
      <c r="M1842" s="29" t="n"/>
      <c r="N1842" s="28" t="n"/>
      <c r="O1842" s="24" t="n"/>
      <c r="P1842" s="24" t="n"/>
      <c r="Q1842" s="24" t="n"/>
      <c r="R1842" s="24" t="n"/>
      <c r="S1842" s="22">
        <f>IF(AND($A1842="",$C1842=""),"",IF($A1842="","Thiếu mã đơn; ","")&amp;IF(COUNTIF($A$2:$A1842,$A1842)&gt;1,"Trùng mã đơn; ","")&amp;IF(ISNA(MATCH($C1842,DATA_MASTER!$D$2:$D$5000,0)),"SĐT chưa đăng ký hội viên; ","")&amp;IF(AND($L1842="Đã chuyển khoản",$M1842=""),"Thiếu ngày nhận CK; ",""))</f>
        <v/>
      </c>
      <c r="T1842" s="24" t="n"/>
    </row>
    <row r="1843" ht="14.25" customHeight="1" s="40">
      <c r="A1843" s="24" t="n"/>
      <c r="B1843" s="29" t="n"/>
      <c r="C1843" s="28" t="n"/>
      <c r="D1843" s="22">
        <f t="array" ref="D1843">IF($C1843="","",IFERROR(INDEX(DATA_MASTER!$C$2:$C$5000,MATCH($C1843,DATA_MASTER!$D$2:$D$5000,0)),""))</f>
        <v/>
      </c>
      <c r="E1843" s="22">
        <f t="array" ref="E1843">IF($C1843="","",IFERROR(INDEX(DATA_MASTER!$I$2:$I$5000,MATCH($C1843,DATA_MASTER!$D$2:$D$5000,0)),""))</f>
        <v/>
      </c>
      <c r="F1843" s="22">
        <f t="array" ref="F1843">IF($C1843="","",IFERROR(INDEX(DATA_MASTER!$L$2:$L$5000,MATCH($C1843,DATA_MASTER!$D$2:$D$5000,0)),""))</f>
        <v/>
      </c>
      <c r="G1843" s="24" t="n"/>
      <c r="H1843" s="24" t="n"/>
      <c r="I1843" s="30" t="n"/>
      <c r="J1843" s="23">
        <f>IF(OR($H1843="",$I1843=""),"",$H1843*$I1843)</f>
        <v/>
      </c>
      <c r="K1843" s="24" t="n"/>
      <c r="L1843" s="24" t="n"/>
      <c r="M1843" s="29" t="n"/>
      <c r="N1843" s="28" t="n"/>
      <c r="O1843" s="24" t="n"/>
      <c r="P1843" s="24" t="n"/>
      <c r="Q1843" s="24" t="n"/>
      <c r="R1843" s="24" t="n"/>
      <c r="S1843" s="22">
        <f>IF(AND($A1843="",$C1843=""),"",IF($A1843="","Thiếu mã đơn; ","")&amp;IF(COUNTIF($A$2:$A1843,$A1843)&gt;1,"Trùng mã đơn; ","")&amp;IF(ISNA(MATCH($C1843,DATA_MASTER!$D$2:$D$5000,0)),"SĐT chưa đăng ký hội viên; ","")&amp;IF(AND($L1843="Đã chuyển khoản",$M1843=""),"Thiếu ngày nhận CK; ",""))</f>
        <v/>
      </c>
      <c r="T1843" s="24" t="n"/>
    </row>
    <row r="1844" ht="14.25" customHeight="1" s="40">
      <c r="A1844" s="24" t="n"/>
      <c r="B1844" s="29" t="n"/>
      <c r="C1844" s="28" t="n"/>
      <c r="D1844" s="22">
        <f t="array" ref="D1844">IF($C1844="","",IFERROR(INDEX(DATA_MASTER!$C$2:$C$5000,MATCH($C1844,DATA_MASTER!$D$2:$D$5000,0)),""))</f>
        <v/>
      </c>
      <c r="E1844" s="22">
        <f t="array" ref="E1844">IF($C1844="","",IFERROR(INDEX(DATA_MASTER!$I$2:$I$5000,MATCH($C1844,DATA_MASTER!$D$2:$D$5000,0)),""))</f>
        <v/>
      </c>
      <c r="F1844" s="22">
        <f t="array" ref="F1844">IF($C1844="","",IFERROR(INDEX(DATA_MASTER!$L$2:$L$5000,MATCH($C1844,DATA_MASTER!$D$2:$D$5000,0)),""))</f>
        <v/>
      </c>
      <c r="G1844" s="24" t="n"/>
      <c r="H1844" s="24" t="n"/>
      <c r="I1844" s="30" t="n"/>
      <c r="J1844" s="23">
        <f>IF(OR($H1844="",$I1844=""),"",$H1844*$I1844)</f>
        <v/>
      </c>
      <c r="K1844" s="24" t="n"/>
      <c r="L1844" s="24" t="n"/>
      <c r="M1844" s="29" t="n"/>
      <c r="N1844" s="28" t="n"/>
      <c r="O1844" s="24" t="n"/>
      <c r="P1844" s="24" t="n"/>
      <c r="Q1844" s="24" t="n"/>
      <c r="R1844" s="24" t="n"/>
      <c r="S1844" s="22">
        <f>IF(AND($A1844="",$C1844=""),"",IF($A1844="","Thiếu mã đơn; ","")&amp;IF(COUNTIF($A$2:$A1844,$A1844)&gt;1,"Trùng mã đơn; ","")&amp;IF(ISNA(MATCH($C1844,DATA_MASTER!$D$2:$D$5000,0)),"SĐT chưa đăng ký hội viên; ","")&amp;IF(AND($L1844="Đã chuyển khoản",$M1844=""),"Thiếu ngày nhận CK; ",""))</f>
        <v/>
      </c>
      <c r="T1844" s="24" t="n"/>
    </row>
    <row r="1845" ht="14.25" customHeight="1" s="40">
      <c r="A1845" s="24" t="n"/>
      <c r="B1845" s="29" t="n"/>
      <c r="C1845" s="28" t="n"/>
      <c r="D1845" s="22">
        <f t="array" ref="D1845">IF($C1845="","",IFERROR(INDEX(DATA_MASTER!$C$2:$C$5000,MATCH($C1845,DATA_MASTER!$D$2:$D$5000,0)),""))</f>
        <v/>
      </c>
      <c r="E1845" s="22">
        <f t="array" ref="E1845">IF($C1845="","",IFERROR(INDEX(DATA_MASTER!$I$2:$I$5000,MATCH($C1845,DATA_MASTER!$D$2:$D$5000,0)),""))</f>
        <v/>
      </c>
      <c r="F1845" s="22">
        <f t="array" ref="F1845">IF($C1845="","",IFERROR(INDEX(DATA_MASTER!$L$2:$L$5000,MATCH($C1845,DATA_MASTER!$D$2:$D$5000,0)),""))</f>
        <v/>
      </c>
      <c r="G1845" s="24" t="n"/>
      <c r="H1845" s="24" t="n"/>
      <c r="I1845" s="30" t="n"/>
      <c r="J1845" s="23">
        <f>IF(OR($H1845="",$I1845=""),"",$H1845*$I1845)</f>
        <v/>
      </c>
      <c r="K1845" s="24" t="n"/>
      <c r="L1845" s="24" t="n"/>
      <c r="M1845" s="29" t="n"/>
      <c r="N1845" s="28" t="n"/>
      <c r="O1845" s="24" t="n"/>
      <c r="P1845" s="24" t="n"/>
      <c r="Q1845" s="24" t="n"/>
      <c r="R1845" s="24" t="n"/>
      <c r="S1845" s="22">
        <f>IF(AND($A1845="",$C1845=""),"",IF($A1845="","Thiếu mã đơn; ","")&amp;IF(COUNTIF($A$2:$A1845,$A1845)&gt;1,"Trùng mã đơn; ","")&amp;IF(ISNA(MATCH($C1845,DATA_MASTER!$D$2:$D$5000,0)),"SĐT chưa đăng ký hội viên; ","")&amp;IF(AND($L1845="Đã chuyển khoản",$M1845=""),"Thiếu ngày nhận CK; ",""))</f>
        <v/>
      </c>
      <c r="T1845" s="24" t="n"/>
    </row>
    <row r="1846" ht="14.25" customHeight="1" s="40">
      <c r="A1846" s="24" t="n"/>
      <c r="B1846" s="29" t="n"/>
      <c r="C1846" s="28" t="n"/>
      <c r="D1846" s="22">
        <f t="array" ref="D1846">IF($C1846="","",IFERROR(INDEX(DATA_MASTER!$C$2:$C$5000,MATCH($C1846,DATA_MASTER!$D$2:$D$5000,0)),""))</f>
        <v/>
      </c>
      <c r="E1846" s="22">
        <f t="array" ref="E1846">IF($C1846="","",IFERROR(INDEX(DATA_MASTER!$I$2:$I$5000,MATCH($C1846,DATA_MASTER!$D$2:$D$5000,0)),""))</f>
        <v/>
      </c>
      <c r="F1846" s="22">
        <f t="array" ref="F1846">IF($C1846="","",IFERROR(INDEX(DATA_MASTER!$L$2:$L$5000,MATCH($C1846,DATA_MASTER!$D$2:$D$5000,0)),""))</f>
        <v/>
      </c>
      <c r="G1846" s="24" t="n"/>
      <c r="H1846" s="24" t="n"/>
      <c r="I1846" s="30" t="n"/>
      <c r="J1846" s="23">
        <f>IF(OR($H1846="",$I1846=""),"",$H1846*$I1846)</f>
        <v/>
      </c>
      <c r="K1846" s="24" t="n"/>
      <c r="L1846" s="24" t="n"/>
      <c r="M1846" s="29" t="n"/>
      <c r="N1846" s="28" t="n"/>
      <c r="O1846" s="24" t="n"/>
      <c r="P1846" s="24" t="n"/>
      <c r="Q1846" s="24" t="n"/>
      <c r="R1846" s="24" t="n"/>
      <c r="S1846" s="22">
        <f>IF(AND($A1846="",$C1846=""),"",IF($A1846="","Thiếu mã đơn; ","")&amp;IF(COUNTIF($A$2:$A1846,$A1846)&gt;1,"Trùng mã đơn; ","")&amp;IF(ISNA(MATCH($C1846,DATA_MASTER!$D$2:$D$5000,0)),"SĐT chưa đăng ký hội viên; ","")&amp;IF(AND($L1846="Đã chuyển khoản",$M1846=""),"Thiếu ngày nhận CK; ",""))</f>
        <v/>
      </c>
      <c r="T1846" s="24" t="n"/>
    </row>
    <row r="1847" ht="14.25" customHeight="1" s="40">
      <c r="A1847" s="24" t="n"/>
      <c r="B1847" s="29" t="n"/>
      <c r="C1847" s="28" t="n"/>
      <c r="D1847" s="22">
        <f t="array" ref="D1847">IF($C1847="","",IFERROR(INDEX(DATA_MASTER!$C$2:$C$5000,MATCH($C1847,DATA_MASTER!$D$2:$D$5000,0)),""))</f>
        <v/>
      </c>
      <c r="E1847" s="22">
        <f t="array" ref="E1847">IF($C1847="","",IFERROR(INDEX(DATA_MASTER!$I$2:$I$5000,MATCH($C1847,DATA_MASTER!$D$2:$D$5000,0)),""))</f>
        <v/>
      </c>
      <c r="F1847" s="22">
        <f t="array" ref="F1847">IF($C1847="","",IFERROR(INDEX(DATA_MASTER!$L$2:$L$5000,MATCH($C1847,DATA_MASTER!$D$2:$D$5000,0)),""))</f>
        <v/>
      </c>
      <c r="G1847" s="24" t="n"/>
      <c r="H1847" s="24" t="n"/>
      <c r="I1847" s="30" t="n"/>
      <c r="J1847" s="23">
        <f>IF(OR($H1847="",$I1847=""),"",$H1847*$I1847)</f>
        <v/>
      </c>
      <c r="K1847" s="24" t="n"/>
      <c r="L1847" s="24" t="n"/>
      <c r="M1847" s="29" t="n"/>
      <c r="N1847" s="28" t="n"/>
      <c r="O1847" s="24" t="n"/>
      <c r="P1847" s="24" t="n"/>
      <c r="Q1847" s="24" t="n"/>
      <c r="R1847" s="24" t="n"/>
      <c r="S1847" s="22">
        <f>IF(AND($A1847="",$C1847=""),"",IF($A1847="","Thiếu mã đơn; ","")&amp;IF(COUNTIF($A$2:$A1847,$A1847)&gt;1,"Trùng mã đơn; ","")&amp;IF(ISNA(MATCH($C1847,DATA_MASTER!$D$2:$D$5000,0)),"SĐT chưa đăng ký hội viên; ","")&amp;IF(AND($L1847="Đã chuyển khoản",$M1847=""),"Thiếu ngày nhận CK; ",""))</f>
        <v/>
      </c>
      <c r="T1847" s="24" t="n"/>
    </row>
    <row r="1848" ht="14.25" customHeight="1" s="40">
      <c r="A1848" s="24" t="n"/>
      <c r="B1848" s="29" t="n"/>
      <c r="C1848" s="28" t="n"/>
      <c r="D1848" s="22">
        <f t="array" ref="D1848">IF($C1848="","",IFERROR(INDEX(DATA_MASTER!$C$2:$C$5000,MATCH($C1848,DATA_MASTER!$D$2:$D$5000,0)),""))</f>
        <v/>
      </c>
      <c r="E1848" s="22">
        <f t="array" ref="E1848">IF($C1848="","",IFERROR(INDEX(DATA_MASTER!$I$2:$I$5000,MATCH($C1848,DATA_MASTER!$D$2:$D$5000,0)),""))</f>
        <v/>
      </c>
      <c r="F1848" s="22">
        <f t="array" ref="F1848">IF($C1848="","",IFERROR(INDEX(DATA_MASTER!$L$2:$L$5000,MATCH($C1848,DATA_MASTER!$D$2:$D$5000,0)),""))</f>
        <v/>
      </c>
      <c r="G1848" s="24" t="n"/>
      <c r="H1848" s="24" t="n"/>
      <c r="I1848" s="30" t="n"/>
      <c r="J1848" s="23">
        <f>IF(OR($H1848="",$I1848=""),"",$H1848*$I1848)</f>
        <v/>
      </c>
      <c r="K1848" s="24" t="n"/>
      <c r="L1848" s="24" t="n"/>
      <c r="M1848" s="29" t="n"/>
      <c r="N1848" s="28" t="n"/>
      <c r="O1848" s="24" t="n"/>
      <c r="P1848" s="24" t="n"/>
      <c r="Q1848" s="24" t="n"/>
      <c r="R1848" s="24" t="n"/>
      <c r="S1848" s="22">
        <f>IF(AND($A1848="",$C1848=""),"",IF($A1848="","Thiếu mã đơn; ","")&amp;IF(COUNTIF($A$2:$A1848,$A1848)&gt;1,"Trùng mã đơn; ","")&amp;IF(ISNA(MATCH($C1848,DATA_MASTER!$D$2:$D$5000,0)),"SĐT chưa đăng ký hội viên; ","")&amp;IF(AND($L1848="Đã chuyển khoản",$M1848=""),"Thiếu ngày nhận CK; ",""))</f>
        <v/>
      </c>
      <c r="T1848" s="24" t="n"/>
    </row>
    <row r="1849" ht="14.25" customHeight="1" s="40">
      <c r="A1849" s="24" t="n"/>
      <c r="B1849" s="29" t="n"/>
      <c r="C1849" s="28" t="n"/>
      <c r="D1849" s="22">
        <f t="array" ref="D1849">IF($C1849="","",IFERROR(INDEX(DATA_MASTER!$C$2:$C$5000,MATCH($C1849,DATA_MASTER!$D$2:$D$5000,0)),""))</f>
        <v/>
      </c>
      <c r="E1849" s="22">
        <f t="array" ref="E1849">IF($C1849="","",IFERROR(INDEX(DATA_MASTER!$I$2:$I$5000,MATCH($C1849,DATA_MASTER!$D$2:$D$5000,0)),""))</f>
        <v/>
      </c>
      <c r="F1849" s="22">
        <f t="array" ref="F1849">IF($C1849="","",IFERROR(INDEX(DATA_MASTER!$L$2:$L$5000,MATCH($C1849,DATA_MASTER!$D$2:$D$5000,0)),""))</f>
        <v/>
      </c>
      <c r="G1849" s="24" t="n"/>
      <c r="H1849" s="24" t="n"/>
      <c r="I1849" s="30" t="n"/>
      <c r="J1849" s="23">
        <f>IF(OR($H1849="",$I1849=""),"",$H1849*$I1849)</f>
        <v/>
      </c>
      <c r="K1849" s="24" t="n"/>
      <c r="L1849" s="24" t="n"/>
      <c r="M1849" s="29" t="n"/>
      <c r="N1849" s="28" t="n"/>
      <c r="O1849" s="24" t="n"/>
      <c r="P1849" s="24" t="n"/>
      <c r="Q1849" s="24" t="n"/>
      <c r="R1849" s="24" t="n"/>
      <c r="S1849" s="22">
        <f>IF(AND($A1849="",$C1849=""),"",IF($A1849="","Thiếu mã đơn; ","")&amp;IF(COUNTIF($A$2:$A1849,$A1849)&gt;1,"Trùng mã đơn; ","")&amp;IF(ISNA(MATCH($C1849,DATA_MASTER!$D$2:$D$5000,0)),"SĐT chưa đăng ký hội viên; ","")&amp;IF(AND($L1849="Đã chuyển khoản",$M1849=""),"Thiếu ngày nhận CK; ",""))</f>
        <v/>
      </c>
      <c r="T1849" s="24" t="n"/>
    </row>
    <row r="1850" ht="14.25" customHeight="1" s="40">
      <c r="A1850" s="24" t="n"/>
      <c r="B1850" s="29" t="n"/>
      <c r="C1850" s="28" t="n"/>
      <c r="D1850" s="22">
        <f t="array" ref="D1850">IF($C1850="","",IFERROR(INDEX(DATA_MASTER!$C$2:$C$5000,MATCH($C1850,DATA_MASTER!$D$2:$D$5000,0)),""))</f>
        <v/>
      </c>
      <c r="E1850" s="22">
        <f t="array" ref="E1850">IF($C1850="","",IFERROR(INDEX(DATA_MASTER!$I$2:$I$5000,MATCH($C1850,DATA_MASTER!$D$2:$D$5000,0)),""))</f>
        <v/>
      </c>
      <c r="F1850" s="22">
        <f t="array" ref="F1850">IF($C1850="","",IFERROR(INDEX(DATA_MASTER!$L$2:$L$5000,MATCH($C1850,DATA_MASTER!$D$2:$D$5000,0)),""))</f>
        <v/>
      </c>
      <c r="G1850" s="24" t="n"/>
      <c r="H1850" s="24" t="n"/>
      <c r="I1850" s="30" t="n"/>
      <c r="J1850" s="23">
        <f>IF(OR($H1850="",$I1850=""),"",$H1850*$I1850)</f>
        <v/>
      </c>
      <c r="K1850" s="24" t="n"/>
      <c r="L1850" s="24" t="n"/>
      <c r="M1850" s="29" t="n"/>
      <c r="N1850" s="28" t="n"/>
      <c r="O1850" s="24" t="n"/>
      <c r="P1850" s="24" t="n"/>
      <c r="Q1850" s="24" t="n"/>
      <c r="R1850" s="24" t="n"/>
      <c r="S1850" s="22">
        <f>IF(AND($A1850="",$C1850=""),"",IF($A1850="","Thiếu mã đơn; ","")&amp;IF(COUNTIF($A$2:$A1850,$A1850)&gt;1,"Trùng mã đơn; ","")&amp;IF(ISNA(MATCH($C1850,DATA_MASTER!$D$2:$D$5000,0)),"SĐT chưa đăng ký hội viên; ","")&amp;IF(AND($L1850="Đã chuyển khoản",$M1850=""),"Thiếu ngày nhận CK; ",""))</f>
        <v/>
      </c>
      <c r="T1850" s="24" t="n"/>
    </row>
    <row r="1851" ht="14.25" customHeight="1" s="40">
      <c r="A1851" s="24" t="n"/>
      <c r="B1851" s="29" t="n"/>
      <c r="C1851" s="28" t="n"/>
      <c r="D1851" s="22">
        <f t="array" ref="D1851">IF($C1851="","",IFERROR(INDEX(DATA_MASTER!$C$2:$C$5000,MATCH($C1851,DATA_MASTER!$D$2:$D$5000,0)),""))</f>
        <v/>
      </c>
      <c r="E1851" s="22">
        <f t="array" ref="E1851">IF($C1851="","",IFERROR(INDEX(DATA_MASTER!$I$2:$I$5000,MATCH($C1851,DATA_MASTER!$D$2:$D$5000,0)),""))</f>
        <v/>
      </c>
      <c r="F1851" s="22">
        <f t="array" ref="F1851">IF($C1851="","",IFERROR(INDEX(DATA_MASTER!$L$2:$L$5000,MATCH($C1851,DATA_MASTER!$D$2:$D$5000,0)),""))</f>
        <v/>
      </c>
      <c r="G1851" s="24" t="n"/>
      <c r="H1851" s="24" t="n"/>
      <c r="I1851" s="30" t="n"/>
      <c r="J1851" s="23">
        <f>IF(OR($H1851="",$I1851=""),"",$H1851*$I1851)</f>
        <v/>
      </c>
      <c r="K1851" s="24" t="n"/>
      <c r="L1851" s="24" t="n"/>
      <c r="M1851" s="29" t="n"/>
      <c r="N1851" s="28" t="n"/>
      <c r="O1851" s="24" t="n"/>
      <c r="P1851" s="24" t="n"/>
      <c r="Q1851" s="24" t="n"/>
      <c r="R1851" s="24" t="n"/>
      <c r="S1851" s="22">
        <f>IF(AND($A1851="",$C1851=""),"",IF($A1851="","Thiếu mã đơn; ","")&amp;IF(COUNTIF($A$2:$A1851,$A1851)&gt;1,"Trùng mã đơn; ","")&amp;IF(ISNA(MATCH($C1851,DATA_MASTER!$D$2:$D$5000,0)),"SĐT chưa đăng ký hội viên; ","")&amp;IF(AND($L1851="Đã chuyển khoản",$M1851=""),"Thiếu ngày nhận CK; ",""))</f>
        <v/>
      </c>
      <c r="T1851" s="24" t="n"/>
    </row>
    <row r="1852" ht="14.25" customHeight="1" s="40">
      <c r="A1852" s="24" t="n"/>
      <c r="B1852" s="29" t="n"/>
      <c r="C1852" s="28" t="n"/>
      <c r="D1852" s="22">
        <f t="array" ref="D1852">IF($C1852="","",IFERROR(INDEX(DATA_MASTER!$C$2:$C$5000,MATCH($C1852,DATA_MASTER!$D$2:$D$5000,0)),""))</f>
        <v/>
      </c>
      <c r="E1852" s="22">
        <f t="array" ref="E1852">IF($C1852="","",IFERROR(INDEX(DATA_MASTER!$I$2:$I$5000,MATCH($C1852,DATA_MASTER!$D$2:$D$5000,0)),""))</f>
        <v/>
      </c>
      <c r="F1852" s="22">
        <f t="array" ref="F1852">IF($C1852="","",IFERROR(INDEX(DATA_MASTER!$L$2:$L$5000,MATCH($C1852,DATA_MASTER!$D$2:$D$5000,0)),""))</f>
        <v/>
      </c>
      <c r="G1852" s="24" t="n"/>
      <c r="H1852" s="24" t="n"/>
      <c r="I1852" s="30" t="n"/>
      <c r="J1852" s="23">
        <f>IF(OR($H1852="",$I1852=""),"",$H1852*$I1852)</f>
        <v/>
      </c>
      <c r="K1852" s="24" t="n"/>
      <c r="L1852" s="24" t="n"/>
      <c r="M1852" s="29" t="n"/>
      <c r="N1852" s="28" t="n"/>
      <c r="O1852" s="24" t="n"/>
      <c r="P1852" s="24" t="n"/>
      <c r="Q1852" s="24" t="n"/>
      <c r="R1852" s="24" t="n"/>
      <c r="S1852" s="22">
        <f>IF(AND($A1852="",$C1852=""),"",IF($A1852="","Thiếu mã đơn; ","")&amp;IF(COUNTIF($A$2:$A1852,$A1852)&gt;1,"Trùng mã đơn; ","")&amp;IF(ISNA(MATCH($C1852,DATA_MASTER!$D$2:$D$5000,0)),"SĐT chưa đăng ký hội viên; ","")&amp;IF(AND($L1852="Đã chuyển khoản",$M1852=""),"Thiếu ngày nhận CK; ",""))</f>
        <v/>
      </c>
      <c r="T1852" s="24" t="n"/>
    </row>
    <row r="1853" ht="14.25" customHeight="1" s="40">
      <c r="A1853" s="24" t="n"/>
      <c r="B1853" s="29" t="n"/>
      <c r="C1853" s="28" t="n"/>
      <c r="D1853" s="22">
        <f t="array" ref="D1853">IF($C1853="","",IFERROR(INDEX(DATA_MASTER!$C$2:$C$5000,MATCH($C1853,DATA_MASTER!$D$2:$D$5000,0)),""))</f>
        <v/>
      </c>
      <c r="E1853" s="22">
        <f t="array" ref="E1853">IF($C1853="","",IFERROR(INDEX(DATA_MASTER!$I$2:$I$5000,MATCH($C1853,DATA_MASTER!$D$2:$D$5000,0)),""))</f>
        <v/>
      </c>
      <c r="F1853" s="22">
        <f t="array" ref="F1853">IF($C1853="","",IFERROR(INDEX(DATA_MASTER!$L$2:$L$5000,MATCH($C1853,DATA_MASTER!$D$2:$D$5000,0)),""))</f>
        <v/>
      </c>
      <c r="G1853" s="24" t="n"/>
      <c r="H1853" s="24" t="n"/>
      <c r="I1853" s="30" t="n"/>
      <c r="J1853" s="23">
        <f>IF(OR($H1853="",$I1853=""),"",$H1853*$I1853)</f>
        <v/>
      </c>
      <c r="K1853" s="24" t="n"/>
      <c r="L1853" s="24" t="n"/>
      <c r="M1853" s="29" t="n"/>
      <c r="N1853" s="28" t="n"/>
      <c r="O1853" s="24" t="n"/>
      <c r="P1853" s="24" t="n"/>
      <c r="Q1853" s="24" t="n"/>
      <c r="R1853" s="24" t="n"/>
      <c r="S1853" s="22">
        <f>IF(AND($A1853="",$C1853=""),"",IF($A1853="","Thiếu mã đơn; ","")&amp;IF(COUNTIF($A$2:$A1853,$A1853)&gt;1,"Trùng mã đơn; ","")&amp;IF(ISNA(MATCH($C1853,DATA_MASTER!$D$2:$D$5000,0)),"SĐT chưa đăng ký hội viên; ","")&amp;IF(AND($L1853="Đã chuyển khoản",$M1853=""),"Thiếu ngày nhận CK; ",""))</f>
        <v/>
      </c>
      <c r="T1853" s="24" t="n"/>
    </row>
    <row r="1854" ht="14.25" customHeight="1" s="40">
      <c r="A1854" s="24" t="n"/>
      <c r="B1854" s="29" t="n"/>
      <c r="C1854" s="28" t="n"/>
      <c r="D1854" s="22">
        <f t="array" ref="D1854">IF($C1854="","",IFERROR(INDEX(DATA_MASTER!$C$2:$C$5000,MATCH($C1854,DATA_MASTER!$D$2:$D$5000,0)),""))</f>
        <v/>
      </c>
      <c r="E1854" s="22">
        <f t="array" ref="E1854">IF($C1854="","",IFERROR(INDEX(DATA_MASTER!$I$2:$I$5000,MATCH($C1854,DATA_MASTER!$D$2:$D$5000,0)),""))</f>
        <v/>
      </c>
      <c r="F1854" s="22">
        <f t="array" ref="F1854">IF($C1854="","",IFERROR(INDEX(DATA_MASTER!$L$2:$L$5000,MATCH($C1854,DATA_MASTER!$D$2:$D$5000,0)),""))</f>
        <v/>
      </c>
      <c r="G1854" s="24" t="n"/>
      <c r="H1854" s="24" t="n"/>
      <c r="I1854" s="30" t="n"/>
      <c r="J1854" s="23">
        <f>IF(OR($H1854="",$I1854=""),"",$H1854*$I1854)</f>
        <v/>
      </c>
      <c r="K1854" s="24" t="n"/>
      <c r="L1854" s="24" t="n"/>
      <c r="M1854" s="29" t="n"/>
      <c r="N1854" s="28" t="n"/>
      <c r="O1854" s="24" t="n"/>
      <c r="P1854" s="24" t="n"/>
      <c r="Q1854" s="24" t="n"/>
      <c r="R1854" s="24" t="n"/>
      <c r="S1854" s="22">
        <f>IF(AND($A1854="",$C1854=""),"",IF($A1854="","Thiếu mã đơn; ","")&amp;IF(COUNTIF($A$2:$A1854,$A1854)&gt;1,"Trùng mã đơn; ","")&amp;IF(ISNA(MATCH($C1854,DATA_MASTER!$D$2:$D$5000,0)),"SĐT chưa đăng ký hội viên; ","")&amp;IF(AND($L1854="Đã chuyển khoản",$M1854=""),"Thiếu ngày nhận CK; ",""))</f>
        <v/>
      </c>
      <c r="T1854" s="24" t="n"/>
    </row>
    <row r="1855" ht="14.25" customHeight="1" s="40">
      <c r="A1855" s="24" t="n"/>
      <c r="B1855" s="29" t="n"/>
      <c r="C1855" s="28" t="n"/>
      <c r="D1855" s="22">
        <f t="array" ref="D1855">IF($C1855="","",IFERROR(INDEX(DATA_MASTER!$C$2:$C$5000,MATCH($C1855,DATA_MASTER!$D$2:$D$5000,0)),""))</f>
        <v/>
      </c>
      <c r="E1855" s="22">
        <f t="array" ref="E1855">IF($C1855="","",IFERROR(INDEX(DATA_MASTER!$I$2:$I$5000,MATCH($C1855,DATA_MASTER!$D$2:$D$5000,0)),""))</f>
        <v/>
      </c>
      <c r="F1855" s="22">
        <f t="array" ref="F1855">IF($C1855="","",IFERROR(INDEX(DATA_MASTER!$L$2:$L$5000,MATCH($C1855,DATA_MASTER!$D$2:$D$5000,0)),""))</f>
        <v/>
      </c>
      <c r="G1855" s="24" t="n"/>
      <c r="H1855" s="24" t="n"/>
      <c r="I1855" s="30" t="n"/>
      <c r="J1855" s="23">
        <f>IF(OR($H1855="",$I1855=""),"",$H1855*$I1855)</f>
        <v/>
      </c>
      <c r="K1855" s="24" t="n"/>
      <c r="L1855" s="24" t="n"/>
      <c r="M1855" s="29" t="n"/>
      <c r="N1855" s="28" t="n"/>
      <c r="O1855" s="24" t="n"/>
      <c r="P1855" s="24" t="n"/>
      <c r="Q1855" s="24" t="n"/>
      <c r="R1855" s="24" t="n"/>
      <c r="S1855" s="22">
        <f>IF(AND($A1855="",$C1855=""),"",IF($A1855="","Thiếu mã đơn; ","")&amp;IF(COUNTIF($A$2:$A1855,$A1855)&gt;1,"Trùng mã đơn; ","")&amp;IF(ISNA(MATCH($C1855,DATA_MASTER!$D$2:$D$5000,0)),"SĐT chưa đăng ký hội viên; ","")&amp;IF(AND($L1855="Đã chuyển khoản",$M1855=""),"Thiếu ngày nhận CK; ",""))</f>
        <v/>
      </c>
      <c r="T1855" s="24" t="n"/>
    </row>
    <row r="1856" ht="14.25" customHeight="1" s="40">
      <c r="A1856" s="24" t="n"/>
      <c r="B1856" s="29" t="n"/>
      <c r="C1856" s="28" t="n"/>
      <c r="D1856" s="22">
        <f t="array" ref="D1856">IF($C1856="","",IFERROR(INDEX(DATA_MASTER!$C$2:$C$5000,MATCH($C1856,DATA_MASTER!$D$2:$D$5000,0)),""))</f>
        <v/>
      </c>
      <c r="E1856" s="22">
        <f t="array" ref="E1856">IF($C1856="","",IFERROR(INDEX(DATA_MASTER!$I$2:$I$5000,MATCH($C1856,DATA_MASTER!$D$2:$D$5000,0)),""))</f>
        <v/>
      </c>
      <c r="F1856" s="22">
        <f t="array" ref="F1856">IF($C1856="","",IFERROR(INDEX(DATA_MASTER!$L$2:$L$5000,MATCH($C1856,DATA_MASTER!$D$2:$D$5000,0)),""))</f>
        <v/>
      </c>
      <c r="G1856" s="24" t="n"/>
      <c r="H1856" s="24" t="n"/>
      <c r="I1856" s="30" t="n"/>
      <c r="J1856" s="23">
        <f>IF(OR($H1856="",$I1856=""),"",$H1856*$I1856)</f>
        <v/>
      </c>
      <c r="K1856" s="24" t="n"/>
      <c r="L1856" s="24" t="n"/>
      <c r="M1856" s="29" t="n"/>
      <c r="N1856" s="28" t="n"/>
      <c r="O1856" s="24" t="n"/>
      <c r="P1856" s="24" t="n"/>
      <c r="Q1856" s="24" t="n"/>
      <c r="R1856" s="24" t="n"/>
      <c r="S1856" s="22">
        <f>IF(AND($A1856="",$C1856=""),"",IF($A1856="","Thiếu mã đơn; ","")&amp;IF(COUNTIF($A$2:$A1856,$A1856)&gt;1,"Trùng mã đơn; ","")&amp;IF(ISNA(MATCH($C1856,DATA_MASTER!$D$2:$D$5000,0)),"SĐT chưa đăng ký hội viên; ","")&amp;IF(AND($L1856="Đã chuyển khoản",$M1856=""),"Thiếu ngày nhận CK; ",""))</f>
        <v/>
      </c>
      <c r="T1856" s="24" t="n"/>
    </row>
    <row r="1857" ht="14.25" customHeight="1" s="40">
      <c r="A1857" s="24" t="n"/>
      <c r="B1857" s="29" t="n"/>
      <c r="C1857" s="28" t="n"/>
      <c r="D1857" s="22">
        <f t="array" ref="D1857">IF($C1857="","",IFERROR(INDEX(DATA_MASTER!$C$2:$C$5000,MATCH($C1857,DATA_MASTER!$D$2:$D$5000,0)),""))</f>
        <v/>
      </c>
      <c r="E1857" s="22">
        <f t="array" ref="E1857">IF($C1857="","",IFERROR(INDEX(DATA_MASTER!$I$2:$I$5000,MATCH($C1857,DATA_MASTER!$D$2:$D$5000,0)),""))</f>
        <v/>
      </c>
      <c r="F1857" s="22">
        <f t="array" ref="F1857">IF($C1857="","",IFERROR(INDEX(DATA_MASTER!$L$2:$L$5000,MATCH($C1857,DATA_MASTER!$D$2:$D$5000,0)),""))</f>
        <v/>
      </c>
      <c r="G1857" s="24" t="n"/>
      <c r="H1857" s="24" t="n"/>
      <c r="I1857" s="30" t="n"/>
      <c r="J1857" s="23">
        <f>IF(OR($H1857="",$I1857=""),"",$H1857*$I1857)</f>
        <v/>
      </c>
      <c r="K1857" s="24" t="n"/>
      <c r="L1857" s="24" t="n"/>
      <c r="M1857" s="29" t="n"/>
      <c r="N1857" s="28" t="n"/>
      <c r="O1857" s="24" t="n"/>
      <c r="P1857" s="24" t="n"/>
      <c r="Q1857" s="24" t="n"/>
      <c r="R1857" s="24" t="n"/>
      <c r="S1857" s="22">
        <f>IF(AND($A1857="",$C1857=""),"",IF($A1857="","Thiếu mã đơn; ","")&amp;IF(COUNTIF($A$2:$A1857,$A1857)&gt;1,"Trùng mã đơn; ","")&amp;IF(ISNA(MATCH($C1857,DATA_MASTER!$D$2:$D$5000,0)),"SĐT chưa đăng ký hội viên; ","")&amp;IF(AND($L1857="Đã chuyển khoản",$M1857=""),"Thiếu ngày nhận CK; ",""))</f>
        <v/>
      </c>
      <c r="T1857" s="24" t="n"/>
    </row>
    <row r="1858" ht="14.25" customHeight="1" s="40">
      <c r="A1858" s="24" t="n"/>
      <c r="B1858" s="29" t="n"/>
      <c r="C1858" s="28" t="n"/>
      <c r="D1858" s="22">
        <f t="array" ref="D1858">IF($C1858="","",IFERROR(INDEX(DATA_MASTER!$C$2:$C$5000,MATCH($C1858,DATA_MASTER!$D$2:$D$5000,0)),""))</f>
        <v/>
      </c>
      <c r="E1858" s="22">
        <f t="array" ref="E1858">IF($C1858="","",IFERROR(INDEX(DATA_MASTER!$I$2:$I$5000,MATCH($C1858,DATA_MASTER!$D$2:$D$5000,0)),""))</f>
        <v/>
      </c>
      <c r="F1858" s="22">
        <f t="array" ref="F1858">IF($C1858="","",IFERROR(INDEX(DATA_MASTER!$L$2:$L$5000,MATCH($C1858,DATA_MASTER!$D$2:$D$5000,0)),""))</f>
        <v/>
      </c>
      <c r="G1858" s="24" t="n"/>
      <c r="H1858" s="24" t="n"/>
      <c r="I1858" s="30" t="n"/>
      <c r="J1858" s="23">
        <f>IF(OR($H1858="",$I1858=""),"",$H1858*$I1858)</f>
        <v/>
      </c>
      <c r="K1858" s="24" t="n"/>
      <c r="L1858" s="24" t="n"/>
      <c r="M1858" s="29" t="n"/>
      <c r="N1858" s="28" t="n"/>
      <c r="O1858" s="24" t="n"/>
      <c r="P1858" s="24" t="n"/>
      <c r="Q1858" s="24" t="n"/>
      <c r="R1858" s="24" t="n"/>
      <c r="S1858" s="22">
        <f>IF(AND($A1858="",$C1858=""),"",IF($A1858="","Thiếu mã đơn; ","")&amp;IF(COUNTIF($A$2:$A1858,$A1858)&gt;1,"Trùng mã đơn; ","")&amp;IF(ISNA(MATCH($C1858,DATA_MASTER!$D$2:$D$5000,0)),"SĐT chưa đăng ký hội viên; ","")&amp;IF(AND($L1858="Đã chuyển khoản",$M1858=""),"Thiếu ngày nhận CK; ",""))</f>
        <v/>
      </c>
      <c r="T1858" s="24" t="n"/>
    </row>
    <row r="1859" ht="14.25" customHeight="1" s="40">
      <c r="A1859" s="24" t="n"/>
      <c r="B1859" s="29" t="n"/>
      <c r="C1859" s="28" t="n"/>
      <c r="D1859" s="22">
        <f t="array" ref="D1859">IF($C1859="","",IFERROR(INDEX(DATA_MASTER!$C$2:$C$5000,MATCH($C1859,DATA_MASTER!$D$2:$D$5000,0)),""))</f>
        <v/>
      </c>
      <c r="E1859" s="22">
        <f t="array" ref="E1859">IF($C1859="","",IFERROR(INDEX(DATA_MASTER!$I$2:$I$5000,MATCH($C1859,DATA_MASTER!$D$2:$D$5000,0)),""))</f>
        <v/>
      </c>
      <c r="F1859" s="22">
        <f t="array" ref="F1859">IF($C1859="","",IFERROR(INDEX(DATA_MASTER!$L$2:$L$5000,MATCH($C1859,DATA_MASTER!$D$2:$D$5000,0)),""))</f>
        <v/>
      </c>
      <c r="G1859" s="24" t="n"/>
      <c r="H1859" s="24" t="n"/>
      <c r="I1859" s="30" t="n"/>
      <c r="J1859" s="23">
        <f>IF(OR($H1859="",$I1859=""),"",$H1859*$I1859)</f>
        <v/>
      </c>
      <c r="K1859" s="24" t="n"/>
      <c r="L1859" s="24" t="n"/>
      <c r="M1859" s="29" t="n"/>
      <c r="N1859" s="28" t="n"/>
      <c r="O1859" s="24" t="n"/>
      <c r="P1859" s="24" t="n"/>
      <c r="Q1859" s="24" t="n"/>
      <c r="R1859" s="24" t="n"/>
      <c r="S1859" s="22">
        <f>IF(AND($A1859="",$C1859=""),"",IF($A1859="","Thiếu mã đơn; ","")&amp;IF(COUNTIF($A$2:$A1859,$A1859)&gt;1,"Trùng mã đơn; ","")&amp;IF(ISNA(MATCH($C1859,DATA_MASTER!$D$2:$D$5000,0)),"SĐT chưa đăng ký hội viên; ","")&amp;IF(AND($L1859="Đã chuyển khoản",$M1859=""),"Thiếu ngày nhận CK; ",""))</f>
        <v/>
      </c>
      <c r="T1859" s="24" t="n"/>
    </row>
    <row r="1860" ht="14.25" customHeight="1" s="40">
      <c r="A1860" s="24" t="n"/>
      <c r="B1860" s="29" t="n"/>
      <c r="C1860" s="28" t="n"/>
      <c r="D1860" s="22">
        <f t="array" ref="D1860">IF($C1860="","",IFERROR(INDEX(DATA_MASTER!$C$2:$C$5000,MATCH($C1860,DATA_MASTER!$D$2:$D$5000,0)),""))</f>
        <v/>
      </c>
      <c r="E1860" s="22">
        <f t="array" ref="E1860">IF($C1860="","",IFERROR(INDEX(DATA_MASTER!$I$2:$I$5000,MATCH($C1860,DATA_MASTER!$D$2:$D$5000,0)),""))</f>
        <v/>
      </c>
      <c r="F1860" s="22">
        <f t="array" ref="F1860">IF($C1860="","",IFERROR(INDEX(DATA_MASTER!$L$2:$L$5000,MATCH($C1860,DATA_MASTER!$D$2:$D$5000,0)),""))</f>
        <v/>
      </c>
      <c r="G1860" s="24" t="n"/>
      <c r="H1860" s="24" t="n"/>
      <c r="I1860" s="30" t="n"/>
      <c r="J1860" s="23">
        <f>IF(OR($H1860="",$I1860=""),"",$H1860*$I1860)</f>
        <v/>
      </c>
      <c r="K1860" s="24" t="n"/>
      <c r="L1860" s="24" t="n"/>
      <c r="M1860" s="29" t="n"/>
      <c r="N1860" s="28" t="n"/>
      <c r="O1860" s="24" t="n"/>
      <c r="P1860" s="24" t="n"/>
      <c r="Q1860" s="24" t="n"/>
      <c r="R1860" s="24" t="n"/>
      <c r="S1860" s="22">
        <f>IF(AND($A1860="",$C1860=""),"",IF($A1860="","Thiếu mã đơn; ","")&amp;IF(COUNTIF($A$2:$A1860,$A1860)&gt;1,"Trùng mã đơn; ","")&amp;IF(ISNA(MATCH($C1860,DATA_MASTER!$D$2:$D$5000,0)),"SĐT chưa đăng ký hội viên; ","")&amp;IF(AND($L1860="Đã chuyển khoản",$M1860=""),"Thiếu ngày nhận CK; ",""))</f>
        <v/>
      </c>
      <c r="T1860" s="24" t="n"/>
    </row>
    <row r="1861" ht="14.25" customHeight="1" s="40">
      <c r="A1861" s="24" t="n"/>
      <c r="B1861" s="29" t="n"/>
      <c r="C1861" s="28" t="n"/>
      <c r="D1861" s="22">
        <f t="array" ref="D1861">IF($C1861="","",IFERROR(INDEX(DATA_MASTER!$C$2:$C$5000,MATCH($C1861,DATA_MASTER!$D$2:$D$5000,0)),""))</f>
        <v/>
      </c>
      <c r="E1861" s="22">
        <f t="array" ref="E1861">IF($C1861="","",IFERROR(INDEX(DATA_MASTER!$I$2:$I$5000,MATCH($C1861,DATA_MASTER!$D$2:$D$5000,0)),""))</f>
        <v/>
      </c>
      <c r="F1861" s="22">
        <f t="array" ref="F1861">IF($C1861="","",IFERROR(INDEX(DATA_MASTER!$L$2:$L$5000,MATCH($C1861,DATA_MASTER!$D$2:$D$5000,0)),""))</f>
        <v/>
      </c>
      <c r="G1861" s="24" t="n"/>
      <c r="H1861" s="24" t="n"/>
      <c r="I1861" s="30" t="n"/>
      <c r="J1861" s="23">
        <f>IF(OR($H1861="",$I1861=""),"",$H1861*$I1861)</f>
        <v/>
      </c>
      <c r="K1861" s="24" t="n"/>
      <c r="L1861" s="24" t="n"/>
      <c r="M1861" s="29" t="n"/>
      <c r="N1861" s="28" t="n"/>
      <c r="O1861" s="24" t="n"/>
      <c r="P1861" s="24" t="n"/>
      <c r="Q1861" s="24" t="n"/>
      <c r="R1861" s="24" t="n"/>
      <c r="S1861" s="22">
        <f>IF(AND($A1861="",$C1861=""),"",IF($A1861="","Thiếu mã đơn; ","")&amp;IF(COUNTIF($A$2:$A1861,$A1861)&gt;1,"Trùng mã đơn; ","")&amp;IF(ISNA(MATCH($C1861,DATA_MASTER!$D$2:$D$5000,0)),"SĐT chưa đăng ký hội viên; ","")&amp;IF(AND($L1861="Đã chuyển khoản",$M1861=""),"Thiếu ngày nhận CK; ",""))</f>
        <v/>
      </c>
      <c r="T1861" s="24" t="n"/>
    </row>
    <row r="1862" ht="14.25" customHeight="1" s="40">
      <c r="A1862" s="24" t="n"/>
      <c r="B1862" s="29" t="n"/>
      <c r="C1862" s="28" t="n"/>
      <c r="D1862" s="22">
        <f t="array" ref="D1862">IF($C1862="","",IFERROR(INDEX(DATA_MASTER!$C$2:$C$5000,MATCH($C1862,DATA_MASTER!$D$2:$D$5000,0)),""))</f>
        <v/>
      </c>
      <c r="E1862" s="22">
        <f t="array" ref="E1862">IF($C1862="","",IFERROR(INDEX(DATA_MASTER!$I$2:$I$5000,MATCH($C1862,DATA_MASTER!$D$2:$D$5000,0)),""))</f>
        <v/>
      </c>
      <c r="F1862" s="22">
        <f t="array" ref="F1862">IF($C1862="","",IFERROR(INDEX(DATA_MASTER!$L$2:$L$5000,MATCH($C1862,DATA_MASTER!$D$2:$D$5000,0)),""))</f>
        <v/>
      </c>
      <c r="G1862" s="24" t="n"/>
      <c r="H1862" s="24" t="n"/>
      <c r="I1862" s="30" t="n"/>
      <c r="J1862" s="23">
        <f>IF(OR($H1862="",$I1862=""),"",$H1862*$I1862)</f>
        <v/>
      </c>
      <c r="K1862" s="24" t="n"/>
      <c r="L1862" s="24" t="n"/>
      <c r="M1862" s="29" t="n"/>
      <c r="N1862" s="28" t="n"/>
      <c r="O1862" s="24" t="n"/>
      <c r="P1862" s="24" t="n"/>
      <c r="Q1862" s="24" t="n"/>
      <c r="R1862" s="24" t="n"/>
      <c r="S1862" s="22">
        <f>IF(AND($A1862="",$C1862=""),"",IF($A1862="","Thiếu mã đơn; ","")&amp;IF(COUNTIF($A$2:$A1862,$A1862)&gt;1,"Trùng mã đơn; ","")&amp;IF(ISNA(MATCH($C1862,DATA_MASTER!$D$2:$D$5000,0)),"SĐT chưa đăng ký hội viên; ","")&amp;IF(AND($L1862="Đã chuyển khoản",$M1862=""),"Thiếu ngày nhận CK; ",""))</f>
        <v/>
      </c>
      <c r="T1862" s="24" t="n"/>
    </row>
    <row r="1863" ht="14.25" customHeight="1" s="40">
      <c r="A1863" s="24" t="n"/>
      <c r="B1863" s="29" t="n"/>
      <c r="C1863" s="28" t="n"/>
      <c r="D1863" s="22">
        <f t="array" ref="D1863">IF($C1863="","",IFERROR(INDEX(DATA_MASTER!$C$2:$C$5000,MATCH($C1863,DATA_MASTER!$D$2:$D$5000,0)),""))</f>
        <v/>
      </c>
      <c r="E1863" s="22">
        <f t="array" ref="E1863">IF($C1863="","",IFERROR(INDEX(DATA_MASTER!$I$2:$I$5000,MATCH($C1863,DATA_MASTER!$D$2:$D$5000,0)),""))</f>
        <v/>
      </c>
      <c r="F1863" s="22">
        <f t="array" ref="F1863">IF($C1863="","",IFERROR(INDEX(DATA_MASTER!$L$2:$L$5000,MATCH($C1863,DATA_MASTER!$D$2:$D$5000,0)),""))</f>
        <v/>
      </c>
      <c r="G1863" s="24" t="n"/>
      <c r="H1863" s="24" t="n"/>
      <c r="I1863" s="30" t="n"/>
      <c r="J1863" s="23">
        <f>IF(OR($H1863="",$I1863=""),"",$H1863*$I1863)</f>
        <v/>
      </c>
      <c r="K1863" s="24" t="n"/>
      <c r="L1863" s="24" t="n"/>
      <c r="M1863" s="29" t="n"/>
      <c r="N1863" s="28" t="n"/>
      <c r="O1863" s="24" t="n"/>
      <c r="P1863" s="24" t="n"/>
      <c r="Q1863" s="24" t="n"/>
      <c r="R1863" s="24" t="n"/>
      <c r="S1863" s="22">
        <f>IF(AND($A1863="",$C1863=""),"",IF($A1863="","Thiếu mã đơn; ","")&amp;IF(COUNTIF($A$2:$A1863,$A1863)&gt;1,"Trùng mã đơn; ","")&amp;IF(ISNA(MATCH($C1863,DATA_MASTER!$D$2:$D$5000,0)),"SĐT chưa đăng ký hội viên; ","")&amp;IF(AND($L1863="Đã chuyển khoản",$M1863=""),"Thiếu ngày nhận CK; ",""))</f>
        <v/>
      </c>
      <c r="T1863" s="24" t="n"/>
    </row>
    <row r="1864" ht="14.25" customHeight="1" s="40">
      <c r="A1864" s="24" t="n"/>
      <c r="B1864" s="29" t="n"/>
      <c r="C1864" s="28" t="n"/>
      <c r="D1864" s="22">
        <f t="array" ref="D1864">IF($C1864="","",IFERROR(INDEX(DATA_MASTER!$C$2:$C$5000,MATCH($C1864,DATA_MASTER!$D$2:$D$5000,0)),""))</f>
        <v/>
      </c>
      <c r="E1864" s="22">
        <f t="array" ref="E1864">IF($C1864="","",IFERROR(INDEX(DATA_MASTER!$I$2:$I$5000,MATCH($C1864,DATA_MASTER!$D$2:$D$5000,0)),""))</f>
        <v/>
      </c>
      <c r="F1864" s="22">
        <f t="array" ref="F1864">IF($C1864="","",IFERROR(INDEX(DATA_MASTER!$L$2:$L$5000,MATCH($C1864,DATA_MASTER!$D$2:$D$5000,0)),""))</f>
        <v/>
      </c>
      <c r="G1864" s="24" t="n"/>
      <c r="H1864" s="24" t="n"/>
      <c r="I1864" s="30" t="n"/>
      <c r="J1864" s="23">
        <f>IF(OR($H1864="",$I1864=""),"",$H1864*$I1864)</f>
        <v/>
      </c>
      <c r="K1864" s="24" t="n"/>
      <c r="L1864" s="24" t="n"/>
      <c r="M1864" s="29" t="n"/>
      <c r="N1864" s="28" t="n"/>
      <c r="O1864" s="24" t="n"/>
      <c r="P1864" s="24" t="n"/>
      <c r="Q1864" s="24" t="n"/>
      <c r="R1864" s="24" t="n"/>
      <c r="S1864" s="22">
        <f>IF(AND($A1864="",$C1864=""),"",IF($A1864="","Thiếu mã đơn; ","")&amp;IF(COUNTIF($A$2:$A1864,$A1864)&gt;1,"Trùng mã đơn; ","")&amp;IF(ISNA(MATCH($C1864,DATA_MASTER!$D$2:$D$5000,0)),"SĐT chưa đăng ký hội viên; ","")&amp;IF(AND($L1864="Đã chuyển khoản",$M1864=""),"Thiếu ngày nhận CK; ",""))</f>
        <v/>
      </c>
      <c r="T1864" s="24" t="n"/>
    </row>
    <row r="1865" ht="14.25" customHeight="1" s="40">
      <c r="A1865" s="24" t="n"/>
      <c r="B1865" s="29" t="n"/>
      <c r="C1865" s="28" t="n"/>
      <c r="D1865" s="22">
        <f t="array" ref="D1865">IF($C1865="","",IFERROR(INDEX(DATA_MASTER!$C$2:$C$5000,MATCH($C1865,DATA_MASTER!$D$2:$D$5000,0)),""))</f>
        <v/>
      </c>
      <c r="E1865" s="22">
        <f t="array" ref="E1865">IF($C1865="","",IFERROR(INDEX(DATA_MASTER!$I$2:$I$5000,MATCH($C1865,DATA_MASTER!$D$2:$D$5000,0)),""))</f>
        <v/>
      </c>
      <c r="F1865" s="22">
        <f t="array" ref="F1865">IF($C1865="","",IFERROR(INDEX(DATA_MASTER!$L$2:$L$5000,MATCH($C1865,DATA_MASTER!$D$2:$D$5000,0)),""))</f>
        <v/>
      </c>
      <c r="G1865" s="24" t="n"/>
      <c r="H1865" s="24" t="n"/>
      <c r="I1865" s="30" t="n"/>
      <c r="J1865" s="23">
        <f>IF(OR($H1865="",$I1865=""),"",$H1865*$I1865)</f>
        <v/>
      </c>
      <c r="K1865" s="24" t="n"/>
      <c r="L1865" s="24" t="n"/>
      <c r="M1865" s="29" t="n"/>
      <c r="N1865" s="28" t="n"/>
      <c r="O1865" s="24" t="n"/>
      <c r="P1865" s="24" t="n"/>
      <c r="Q1865" s="24" t="n"/>
      <c r="R1865" s="24" t="n"/>
      <c r="S1865" s="22">
        <f>IF(AND($A1865="",$C1865=""),"",IF($A1865="","Thiếu mã đơn; ","")&amp;IF(COUNTIF($A$2:$A1865,$A1865)&gt;1,"Trùng mã đơn; ","")&amp;IF(ISNA(MATCH($C1865,DATA_MASTER!$D$2:$D$5000,0)),"SĐT chưa đăng ký hội viên; ","")&amp;IF(AND($L1865="Đã chuyển khoản",$M1865=""),"Thiếu ngày nhận CK; ",""))</f>
        <v/>
      </c>
      <c r="T1865" s="24" t="n"/>
    </row>
    <row r="1866" ht="14.25" customHeight="1" s="40">
      <c r="A1866" s="24" t="n"/>
      <c r="B1866" s="29" t="n"/>
      <c r="C1866" s="28" t="n"/>
      <c r="D1866" s="22">
        <f t="array" ref="D1866">IF($C1866="","",IFERROR(INDEX(DATA_MASTER!$C$2:$C$5000,MATCH($C1866,DATA_MASTER!$D$2:$D$5000,0)),""))</f>
        <v/>
      </c>
      <c r="E1866" s="22">
        <f t="array" ref="E1866">IF($C1866="","",IFERROR(INDEX(DATA_MASTER!$I$2:$I$5000,MATCH($C1866,DATA_MASTER!$D$2:$D$5000,0)),""))</f>
        <v/>
      </c>
      <c r="F1866" s="22">
        <f t="array" ref="F1866">IF($C1866="","",IFERROR(INDEX(DATA_MASTER!$L$2:$L$5000,MATCH($C1866,DATA_MASTER!$D$2:$D$5000,0)),""))</f>
        <v/>
      </c>
      <c r="G1866" s="24" t="n"/>
      <c r="H1866" s="24" t="n"/>
      <c r="I1866" s="30" t="n"/>
      <c r="J1866" s="23">
        <f>IF(OR($H1866="",$I1866=""),"",$H1866*$I1866)</f>
        <v/>
      </c>
      <c r="K1866" s="24" t="n"/>
      <c r="L1866" s="24" t="n"/>
      <c r="M1866" s="29" t="n"/>
      <c r="N1866" s="28" t="n"/>
      <c r="O1866" s="24" t="n"/>
      <c r="P1866" s="24" t="n"/>
      <c r="Q1866" s="24" t="n"/>
      <c r="R1866" s="24" t="n"/>
      <c r="S1866" s="22">
        <f>IF(AND($A1866="",$C1866=""),"",IF($A1866="","Thiếu mã đơn; ","")&amp;IF(COUNTIF($A$2:$A1866,$A1866)&gt;1,"Trùng mã đơn; ","")&amp;IF(ISNA(MATCH($C1866,DATA_MASTER!$D$2:$D$5000,0)),"SĐT chưa đăng ký hội viên; ","")&amp;IF(AND($L1866="Đã chuyển khoản",$M1866=""),"Thiếu ngày nhận CK; ",""))</f>
        <v/>
      </c>
      <c r="T1866" s="24" t="n"/>
    </row>
    <row r="1867" ht="14.25" customHeight="1" s="40">
      <c r="A1867" s="24" t="n"/>
      <c r="B1867" s="29" t="n"/>
      <c r="C1867" s="28" t="n"/>
      <c r="D1867" s="22">
        <f t="array" ref="D1867">IF($C1867="","",IFERROR(INDEX(DATA_MASTER!$C$2:$C$5000,MATCH($C1867,DATA_MASTER!$D$2:$D$5000,0)),""))</f>
        <v/>
      </c>
      <c r="E1867" s="22">
        <f t="array" ref="E1867">IF($C1867="","",IFERROR(INDEX(DATA_MASTER!$I$2:$I$5000,MATCH($C1867,DATA_MASTER!$D$2:$D$5000,0)),""))</f>
        <v/>
      </c>
      <c r="F1867" s="22">
        <f t="array" ref="F1867">IF($C1867="","",IFERROR(INDEX(DATA_MASTER!$L$2:$L$5000,MATCH($C1867,DATA_MASTER!$D$2:$D$5000,0)),""))</f>
        <v/>
      </c>
      <c r="G1867" s="24" t="n"/>
      <c r="H1867" s="24" t="n"/>
      <c r="I1867" s="30" t="n"/>
      <c r="J1867" s="23">
        <f>IF(OR($H1867="",$I1867=""),"",$H1867*$I1867)</f>
        <v/>
      </c>
      <c r="K1867" s="24" t="n"/>
      <c r="L1867" s="24" t="n"/>
      <c r="M1867" s="29" t="n"/>
      <c r="N1867" s="28" t="n"/>
      <c r="O1867" s="24" t="n"/>
      <c r="P1867" s="24" t="n"/>
      <c r="Q1867" s="24" t="n"/>
      <c r="R1867" s="24" t="n"/>
      <c r="S1867" s="22">
        <f>IF(AND($A1867="",$C1867=""),"",IF($A1867="","Thiếu mã đơn; ","")&amp;IF(COUNTIF($A$2:$A1867,$A1867)&gt;1,"Trùng mã đơn; ","")&amp;IF(ISNA(MATCH($C1867,DATA_MASTER!$D$2:$D$5000,0)),"SĐT chưa đăng ký hội viên; ","")&amp;IF(AND($L1867="Đã chuyển khoản",$M1867=""),"Thiếu ngày nhận CK; ",""))</f>
        <v/>
      </c>
      <c r="T1867" s="24" t="n"/>
    </row>
    <row r="1868" ht="14.25" customHeight="1" s="40">
      <c r="A1868" s="24" t="n"/>
      <c r="B1868" s="29" t="n"/>
      <c r="C1868" s="28" t="n"/>
      <c r="D1868" s="22">
        <f t="array" ref="D1868">IF($C1868="","",IFERROR(INDEX(DATA_MASTER!$C$2:$C$5000,MATCH($C1868,DATA_MASTER!$D$2:$D$5000,0)),""))</f>
        <v/>
      </c>
      <c r="E1868" s="22">
        <f t="array" ref="E1868">IF($C1868="","",IFERROR(INDEX(DATA_MASTER!$I$2:$I$5000,MATCH($C1868,DATA_MASTER!$D$2:$D$5000,0)),""))</f>
        <v/>
      </c>
      <c r="F1868" s="22">
        <f t="array" ref="F1868">IF($C1868="","",IFERROR(INDEX(DATA_MASTER!$L$2:$L$5000,MATCH($C1868,DATA_MASTER!$D$2:$D$5000,0)),""))</f>
        <v/>
      </c>
      <c r="G1868" s="24" t="n"/>
      <c r="H1868" s="24" t="n"/>
      <c r="I1868" s="30" t="n"/>
      <c r="J1868" s="23">
        <f>IF(OR($H1868="",$I1868=""),"",$H1868*$I1868)</f>
        <v/>
      </c>
      <c r="K1868" s="24" t="n"/>
      <c r="L1868" s="24" t="n"/>
      <c r="M1868" s="29" t="n"/>
      <c r="N1868" s="28" t="n"/>
      <c r="O1868" s="24" t="n"/>
      <c r="P1868" s="24" t="n"/>
      <c r="Q1868" s="24" t="n"/>
      <c r="R1868" s="24" t="n"/>
      <c r="S1868" s="22">
        <f>IF(AND($A1868="",$C1868=""),"",IF($A1868="","Thiếu mã đơn; ","")&amp;IF(COUNTIF($A$2:$A1868,$A1868)&gt;1,"Trùng mã đơn; ","")&amp;IF(ISNA(MATCH($C1868,DATA_MASTER!$D$2:$D$5000,0)),"SĐT chưa đăng ký hội viên; ","")&amp;IF(AND($L1868="Đã chuyển khoản",$M1868=""),"Thiếu ngày nhận CK; ",""))</f>
        <v/>
      </c>
      <c r="T1868" s="24" t="n"/>
    </row>
    <row r="1869" ht="14.25" customHeight="1" s="40">
      <c r="A1869" s="24" t="n"/>
      <c r="B1869" s="29" t="n"/>
      <c r="C1869" s="28" t="n"/>
      <c r="D1869" s="22">
        <f t="array" ref="D1869">IF($C1869="","",IFERROR(INDEX(DATA_MASTER!$C$2:$C$5000,MATCH($C1869,DATA_MASTER!$D$2:$D$5000,0)),""))</f>
        <v/>
      </c>
      <c r="E1869" s="22">
        <f t="array" ref="E1869">IF($C1869="","",IFERROR(INDEX(DATA_MASTER!$I$2:$I$5000,MATCH($C1869,DATA_MASTER!$D$2:$D$5000,0)),""))</f>
        <v/>
      </c>
      <c r="F1869" s="22">
        <f t="array" ref="F1869">IF($C1869="","",IFERROR(INDEX(DATA_MASTER!$L$2:$L$5000,MATCH($C1869,DATA_MASTER!$D$2:$D$5000,0)),""))</f>
        <v/>
      </c>
      <c r="G1869" s="24" t="n"/>
      <c r="H1869" s="24" t="n"/>
      <c r="I1869" s="30" t="n"/>
      <c r="J1869" s="23">
        <f>IF(OR($H1869="",$I1869=""),"",$H1869*$I1869)</f>
        <v/>
      </c>
      <c r="K1869" s="24" t="n"/>
      <c r="L1869" s="24" t="n"/>
      <c r="M1869" s="29" t="n"/>
      <c r="N1869" s="28" t="n"/>
      <c r="O1869" s="24" t="n"/>
      <c r="P1869" s="24" t="n"/>
      <c r="Q1869" s="24" t="n"/>
      <c r="R1869" s="24" t="n"/>
      <c r="S1869" s="22">
        <f>IF(AND($A1869="",$C1869=""),"",IF($A1869="","Thiếu mã đơn; ","")&amp;IF(COUNTIF($A$2:$A1869,$A1869)&gt;1,"Trùng mã đơn; ","")&amp;IF(ISNA(MATCH($C1869,DATA_MASTER!$D$2:$D$5000,0)),"SĐT chưa đăng ký hội viên; ","")&amp;IF(AND($L1869="Đã chuyển khoản",$M1869=""),"Thiếu ngày nhận CK; ",""))</f>
        <v/>
      </c>
      <c r="T1869" s="24" t="n"/>
    </row>
    <row r="1870" ht="14.25" customHeight="1" s="40">
      <c r="A1870" s="24" t="n"/>
      <c r="B1870" s="29" t="n"/>
      <c r="C1870" s="28" t="n"/>
      <c r="D1870" s="22">
        <f t="array" ref="D1870">IF($C1870="","",IFERROR(INDEX(DATA_MASTER!$C$2:$C$5000,MATCH($C1870,DATA_MASTER!$D$2:$D$5000,0)),""))</f>
        <v/>
      </c>
      <c r="E1870" s="22">
        <f t="array" ref="E1870">IF($C1870="","",IFERROR(INDEX(DATA_MASTER!$I$2:$I$5000,MATCH($C1870,DATA_MASTER!$D$2:$D$5000,0)),""))</f>
        <v/>
      </c>
      <c r="F1870" s="22">
        <f t="array" ref="F1870">IF($C1870="","",IFERROR(INDEX(DATA_MASTER!$L$2:$L$5000,MATCH($C1870,DATA_MASTER!$D$2:$D$5000,0)),""))</f>
        <v/>
      </c>
      <c r="G1870" s="24" t="n"/>
      <c r="H1870" s="24" t="n"/>
      <c r="I1870" s="30" t="n"/>
      <c r="J1870" s="23">
        <f>IF(OR($H1870="",$I1870=""),"",$H1870*$I1870)</f>
        <v/>
      </c>
      <c r="K1870" s="24" t="n"/>
      <c r="L1870" s="24" t="n"/>
      <c r="M1870" s="29" t="n"/>
      <c r="N1870" s="28" t="n"/>
      <c r="O1870" s="24" t="n"/>
      <c r="P1870" s="24" t="n"/>
      <c r="Q1870" s="24" t="n"/>
      <c r="R1870" s="24" t="n"/>
      <c r="S1870" s="22">
        <f>IF(AND($A1870="",$C1870=""),"",IF($A1870="","Thiếu mã đơn; ","")&amp;IF(COUNTIF($A$2:$A1870,$A1870)&gt;1,"Trùng mã đơn; ","")&amp;IF(ISNA(MATCH($C1870,DATA_MASTER!$D$2:$D$5000,0)),"SĐT chưa đăng ký hội viên; ","")&amp;IF(AND($L1870="Đã chuyển khoản",$M1870=""),"Thiếu ngày nhận CK; ",""))</f>
        <v/>
      </c>
      <c r="T1870" s="24" t="n"/>
    </row>
    <row r="1871" ht="14.25" customHeight="1" s="40">
      <c r="A1871" s="24" t="n"/>
      <c r="B1871" s="29" t="n"/>
      <c r="C1871" s="28" t="n"/>
      <c r="D1871" s="22">
        <f t="array" ref="D1871">IF($C1871="","",IFERROR(INDEX(DATA_MASTER!$C$2:$C$5000,MATCH($C1871,DATA_MASTER!$D$2:$D$5000,0)),""))</f>
        <v/>
      </c>
      <c r="E1871" s="22">
        <f t="array" ref="E1871">IF($C1871="","",IFERROR(INDEX(DATA_MASTER!$I$2:$I$5000,MATCH($C1871,DATA_MASTER!$D$2:$D$5000,0)),""))</f>
        <v/>
      </c>
      <c r="F1871" s="22">
        <f t="array" ref="F1871">IF($C1871="","",IFERROR(INDEX(DATA_MASTER!$L$2:$L$5000,MATCH($C1871,DATA_MASTER!$D$2:$D$5000,0)),""))</f>
        <v/>
      </c>
      <c r="G1871" s="24" t="n"/>
      <c r="H1871" s="24" t="n"/>
      <c r="I1871" s="30" t="n"/>
      <c r="J1871" s="23">
        <f>IF(OR($H1871="",$I1871=""),"",$H1871*$I1871)</f>
        <v/>
      </c>
      <c r="K1871" s="24" t="n"/>
      <c r="L1871" s="24" t="n"/>
      <c r="M1871" s="29" t="n"/>
      <c r="N1871" s="28" t="n"/>
      <c r="O1871" s="24" t="n"/>
      <c r="P1871" s="24" t="n"/>
      <c r="Q1871" s="24" t="n"/>
      <c r="R1871" s="24" t="n"/>
      <c r="S1871" s="22">
        <f>IF(AND($A1871="",$C1871=""),"",IF($A1871="","Thiếu mã đơn; ","")&amp;IF(COUNTIF($A$2:$A1871,$A1871)&gt;1,"Trùng mã đơn; ","")&amp;IF(ISNA(MATCH($C1871,DATA_MASTER!$D$2:$D$5000,0)),"SĐT chưa đăng ký hội viên; ","")&amp;IF(AND($L1871="Đã chuyển khoản",$M1871=""),"Thiếu ngày nhận CK; ",""))</f>
        <v/>
      </c>
      <c r="T1871" s="24" t="n"/>
    </row>
    <row r="1872" ht="14.25" customHeight="1" s="40">
      <c r="A1872" s="24" t="n"/>
      <c r="B1872" s="29" t="n"/>
      <c r="C1872" s="28" t="n"/>
      <c r="D1872" s="22">
        <f t="array" ref="D1872">IF($C1872="","",IFERROR(INDEX(DATA_MASTER!$C$2:$C$5000,MATCH($C1872,DATA_MASTER!$D$2:$D$5000,0)),""))</f>
        <v/>
      </c>
      <c r="E1872" s="22">
        <f t="array" ref="E1872">IF($C1872="","",IFERROR(INDEX(DATA_MASTER!$I$2:$I$5000,MATCH($C1872,DATA_MASTER!$D$2:$D$5000,0)),""))</f>
        <v/>
      </c>
      <c r="F1872" s="22">
        <f t="array" ref="F1872">IF($C1872="","",IFERROR(INDEX(DATA_MASTER!$L$2:$L$5000,MATCH($C1872,DATA_MASTER!$D$2:$D$5000,0)),""))</f>
        <v/>
      </c>
      <c r="G1872" s="24" t="n"/>
      <c r="H1872" s="24" t="n"/>
      <c r="I1872" s="30" t="n"/>
      <c r="J1872" s="23">
        <f>IF(OR($H1872="",$I1872=""),"",$H1872*$I1872)</f>
        <v/>
      </c>
      <c r="K1872" s="24" t="n"/>
      <c r="L1872" s="24" t="n"/>
      <c r="M1872" s="29" t="n"/>
      <c r="N1872" s="28" t="n"/>
      <c r="O1872" s="24" t="n"/>
      <c r="P1872" s="24" t="n"/>
      <c r="Q1872" s="24" t="n"/>
      <c r="R1872" s="24" t="n"/>
      <c r="S1872" s="22">
        <f>IF(AND($A1872="",$C1872=""),"",IF($A1872="","Thiếu mã đơn; ","")&amp;IF(COUNTIF($A$2:$A1872,$A1872)&gt;1,"Trùng mã đơn; ","")&amp;IF(ISNA(MATCH($C1872,DATA_MASTER!$D$2:$D$5000,0)),"SĐT chưa đăng ký hội viên; ","")&amp;IF(AND($L1872="Đã chuyển khoản",$M1872=""),"Thiếu ngày nhận CK; ",""))</f>
        <v/>
      </c>
      <c r="T1872" s="24" t="n"/>
    </row>
    <row r="1873" ht="14.25" customHeight="1" s="40">
      <c r="A1873" s="24" t="n"/>
      <c r="B1873" s="29" t="n"/>
      <c r="C1873" s="28" t="n"/>
      <c r="D1873" s="22">
        <f t="array" ref="D1873">IF($C1873="","",IFERROR(INDEX(DATA_MASTER!$C$2:$C$5000,MATCH($C1873,DATA_MASTER!$D$2:$D$5000,0)),""))</f>
        <v/>
      </c>
      <c r="E1873" s="22">
        <f t="array" ref="E1873">IF($C1873="","",IFERROR(INDEX(DATA_MASTER!$I$2:$I$5000,MATCH($C1873,DATA_MASTER!$D$2:$D$5000,0)),""))</f>
        <v/>
      </c>
      <c r="F1873" s="22">
        <f t="array" ref="F1873">IF($C1873="","",IFERROR(INDEX(DATA_MASTER!$L$2:$L$5000,MATCH($C1873,DATA_MASTER!$D$2:$D$5000,0)),""))</f>
        <v/>
      </c>
      <c r="G1873" s="24" t="n"/>
      <c r="H1873" s="24" t="n"/>
      <c r="I1873" s="30" t="n"/>
      <c r="J1873" s="23">
        <f>IF(OR($H1873="",$I1873=""),"",$H1873*$I1873)</f>
        <v/>
      </c>
      <c r="K1873" s="24" t="n"/>
      <c r="L1873" s="24" t="n"/>
      <c r="M1873" s="29" t="n"/>
      <c r="N1873" s="28" t="n"/>
      <c r="O1873" s="24" t="n"/>
      <c r="P1873" s="24" t="n"/>
      <c r="Q1873" s="24" t="n"/>
      <c r="R1873" s="24" t="n"/>
      <c r="S1873" s="22">
        <f>IF(AND($A1873="",$C1873=""),"",IF($A1873="","Thiếu mã đơn; ","")&amp;IF(COUNTIF($A$2:$A1873,$A1873)&gt;1,"Trùng mã đơn; ","")&amp;IF(ISNA(MATCH($C1873,DATA_MASTER!$D$2:$D$5000,0)),"SĐT chưa đăng ký hội viên; ","")&amp;IF(AND($L1873="Đã chuyển khoản",$M1873=""),"Thiếu ngày nhận CK; ",""))</f>
        <v/>
      </c>
      <c r="T1873" s="24" t="n"/>
    </row>
    <row r="1874" ht="14.25" customHeight="1" s="40">
      <c r="A1874" s="24" t="n"/>
      <c r="B1874" s="29" t="n"/>
      <c r="C1874" s="28" t="n"/>
      <c r="D1874" s="22">
        <f t="array" ref="D1874">IF($C1874="","",IFERROR(INDEX(DATA_MASTER!$C$2:$C$5000,MATCH($C1874,DATA_MASTER!$D$2:$D$5000,0)),""))</f>
        <v/>
      </c>
      <c r="E1874" s="22">
        <f t="array" ref="E1874">IF($C1874="","",IFERROR(INDEX(DATA_MASTER!$I$2:$I$5000,MATCH($C1874,DATA_MASTER!$D$2:$D$5000,0)),""))</f>
        <v/>
      </c>
      <c r="F1874" s="22">
        <f t="array" ref="F1874">IF($C1874="","",IFERROR(INDEX(DATA_MASTER!$L$2:$L$5000,MATCH($C1874,DATA_MASTER!$D$2:$D$5000,0)),""))</f>
        <v/>
      </c>
      <c r="G1874" s="24" t="n"/>
      <c r="H1874" s="24" t="n"/>
      <c r="I1874" s="30" t="n"/>
      <c r="J1874" s="23">
        <f>IF(OR($H1874="",$I1874=""),"",$H1874*$I1874)</f>
        <v/>
      </c>
      <c r="K1874" s="24" t="n"/>
      <c r="L1874" s="24" t="n"/>
      <c r="M1874" s="29" t="n"/>
      <c r="N1874" s="28" t="n"/>
      <c r="O1874" s="24" t="n"/>
      <c r="P1874" s="24" t="n"/>
      <c r="Q1874" s="24" t="n"/>
      <c r="R1874" s="24" t="n"/>
      <c r="S1874" s="22">
        <f>IF(AND($A1874="",$C1874=""),"",IF($A1874="","Thiếu mã đơn; ","")&amp;IF(COUNTIF($A$2:$A1874,$A1874)&gt;1,"Trùng mã đơn; ","")&amp;IF(ISNA(MATCH($C1874,DATA_MASTER!$D$2:$D$5000,0)),"SĐT chưa đăng ký hội viên; ","")&amp;IF(AND($L1874="Đã chuyển khoản",$M1874=""),"Thiếu ngày nhận CK; ",""))</f>
        <v/>
      </c>
      <c r="T1874" s="24" t="n"/>
    </row>
    <row r="1875" ht="14.25" customHeight="1" s="40">
      <c r="A1875" s="24" t="n"/>
      <c r="B1875" s="29" t="n"/>
      <c r="C1875" s="28" t="n"/>
      <c r="D1875" s="22">
        <f t="array" ref="D1875">IF($C1875="","",IFERROR(INDEX(DATA_MASTER!$C$2:$C$5000,MATCH($C1875,DATA_MASTER!$D$2:$D$5000,0)),""))</f>
        <v/>
      </c>
      <c r="E1875" s="22">
        <f t="array" ref="E1875">IF($C1875="","",IFERROR(INDEX(DATA_MASTER!$I$2:$I$5000,MATCH($C1875,DATA_MASTER!$D$2:$D$5000,0)),""))</f>
        <v/>
      </c>
      <c r="F1875" s="22">
        <f t="array" ref="F1875">IF($C1875="","",IFERROR(INDEX(DATA_MASTER!$L$2:$L$5000,MATCH($C1875,DATA_MASTER!$D$2:$D$5000,0)),""))</f>
        <v/>
      </c>
      <c r="G1875" s="24" t="n"/>
      <c r="H1875" s="24" t="n"/>
      <c r="I1875" s="30" t="n"/>
      <c r="J1875" s="23">
        <f>IF(OR($H1875="",$I1875=""),"",$H1875*$I1875)</f>
        <v/>
      </c>
      <c r="K1875" s="24" t="n"/>
      <c r="L1875" s="24" t="n"/>
      <c r="M1875" s="29" t="n"/>
      <c r="N1875" s="28" t="n"/>
      <c r="O1875" s="24" t="n"/>
      <c r="P1875" s="24" t="n"/>
      <c r="Q1875" s="24" t="n"/>
      <c r="R1875" s="24" t="n"/>
      <c r="S1875" s="22">
        <f>IF(AND($A1875="",$C1875=""),"",IF($A1875="","Thiếu mã đơn; ","")&amp;IF(COUNTIF($A$2:$A1875,$A1875)&gt;1,"Trùng mã đơn; ","")&amp;IF(ISNA(MATCH($C1875,DATA_MASTER!$D$2:$D$5000,0)),"SĐT chưa đăng ký hội viên; ","")&amp;IF(AND($L1875="Đã chuyển khoản",$M1875=""),"Thiếu ngày nhận CK; ",""))</f>
        <v/>
      </c>
      <c r="T1875" s="24" t="n"/>
    </row>
    <row r="1876" ht="14.25" customHeight="1" s="40">
      <c r="A1876" s="24" t="n"/>
      <c r="B1876" s="29" t="n"/>
      <c r="C1876" s="28" t="n"/>
      <c r="D1876" s="22">
        <f t="array" ref="D1876">IF($C1876="","",IFERROR(INDEX(DATA_MASTER!$C$2:$C$5000,MATCH($C1876,DATA_MASTER!$D$2:$D$5000,0)),""))</f>
        <v/>
      </c>
      <c r="E1876" s="22">
        <f t="array" ref="E1876">IF($C1876="","",IFERROR(INDEX(DATA_MASTER!$I$2:$I$5000,MATCH($C1876,DATA_MASTER!$D$2:$D$5000,0)),""))</f>
        <v/>
      </c>
      <c r="F1876" s="22">
        <f t="array" ref="F1876">IF($C1876="","",IFERROR(INDEX(DATA_MASTER!$L$2:$L$5000,MATCH($C1876,DATA_MASTER!$D$2:$D$5000,0)),""))</f>
        <v/>
      </c>
      <c r="G1876" s="24" t="n"/>
      <c r="H1876" s="24" t="n"/>
      <c r="I1876" s="30" t="n"/>
      <c r="J1876" s="23">
        <f>IF(OR($H1876="",$I1876=""),"",$H1876*$I1876)</f>
        <v/>
      </c>
      <c r="K1876" s="24" t="n"/>
      <c r="L1876" s="24" t="n"/>
      <c r="M1876" s="29" t="n"/>
      <c r="N1876" s="28" t="n"/>
      <c r="O1876" s="24" t="n"/>
      <c r="P1876" s="24" t="n"/>
      <c r="Q1876" s="24" t="n"/>
      <c r="R1876" s="24" t="n"/>
      <c r="S1876" s="22">
        <f>IF(AND($A1876="",$C1876=""),"",IF($A1876="","Thiếu mã đơn; ","")&amp;IF(COUNTIF($A$2:$A1876,$A1876)&gt;1,"Trùng mã đơn; ","")&amp;IF(ISNA(MATCH($C1876,DATA_MASTER!$D$2:$D$5000,0)),"SĐT chưa đăng ký hội viên; ","")&amp;IF(AND($L1876="Đã chuyển khoản",$M1876=""),"Thiếu ngày nhận CK; ",""))</f>
        <v/>
      </c>
      <c r="T1876" s="24" t="n"/>
    </row>
    <row r="1877" ht="14.25" customHeight="1" s="40">
      <c r="A1877" s="24" t="n"/>
      <c r="B1877" s="29" t="n"/>
      <c r="C1877" s="28" t="n"/>
      <c r="D1877" s="22">
        <f t="array" ref="D1877">IF($C1877="","",IFERROR(INDEX(DATA_MASTER!$C$2:$C$5000,MATCH($C1877,DATA_MASTER!$D$2:$D$5000,0)),""))</f>
        <v/>
      </c>
      <c r="E1877" s="22">
        <f t="array" ref="E1877">IF($C1877="","",IFERROR(INDEX(DATA_MASTER!$I$2:$I$5000,MATCH($C1877,DATA_MASTER!$D$2:$D$5000,0)),""))</f>
        <v/>
      </c>
      <c r="F1877" s="22">
        <f t="array" ref="F1877">IF($C1877="","",IFERROR(INDEX(DATA_MASTER!$L$2:$L$5000,MATCH($C1877,DATA_MASTER!$D$2:$D$5000,0)),""))</f>
        <v/>
      </c>
      <c r="G1877" s="24" t="n"/>
      <c r="H1877" s="24" t="n"/>
      <c r="I1877" s="30" t="n"/>
      <c r="J1877" s="23">
        <f>IF(OR($H1877="",$I1877=""),"",$H1877*$I1877)</f>
        <v/>
      </c>
      <c r="K1877" s="24" t="n"/>
      <c r="L1877" s="24" t="n"/>
      <c r="M1877" s="29" t="n"/>
      <c r="N1877" s="28" t="n"/>
      <c r="O1877" s="24" t="n"/>
      <c r="P1877" s="24" t="n"/>
      <c r="Q1877" s="24" t="n"/>
      <c r="R1877" s="24" t="n"/>
      <c r="S1877" s="22">
        <f>IF(AND($A1877="",$C1877=""),"",IF($A1877="","Thiếu mã đơn; ","")&amp;IF(COUNTIF($A$2:$A1877,$A1877)&gt;1,"Trùng mã đơn; ","")&amp;IF(ISNA(MATCH($C1877,DATA_MASTER!$D$2:$D$5000,0)),"SĐT chưa đăng ký hội viên; ","")&amp;IF(AND($L1877="Đã chuyển khoản",$M1877=""),"Thiếu ngày nhận CK; ",""))</f>
        <v/>
      </c>
      <c r="T1877" s="24" t="n"/>
    </row>
    <row r="1878" ht="14.25" customHeight="1" s="40">
      <c r="A1878" s="24" t="n"/>
      <c r="B1878" s="29" t="n"/>
      <c r="C1878" s="28" t="n"/>
      <c r="D1878" s="22">
        <f t="array" ref="D1878">IF($C1878="","",IFERROR(INDEX(DATA_MASTER!$C$2:$C$5000,MATCH($C1878,DATA_MASTER!$D$2:$D$5000,0)),""))</f>
        <v/>
      </c>
      <c r="E1878" s="22">
        <f t="array" ref="E1878">IF($C1878="","",IFERROR(INDEX(DATA_MASTER!$I$2:$I$5000,MATCH($C1878,DATA_MASTER!$D$2:$D$5000,0)),""))</f>
        <v/>
      </c>
      <c r="F1878" s="22">
        <f t="array" ref="F1878">IF($C1878="","",IFERROR(INDEX(DATA_MASTER!$L$2:$L$5000,MATCH($C1878,DATA_MASTER!$D$2:$D$5000,0)),""))</f>
        <v/>
      </c>
      <c r="G1878" s="24" t="n"/>
      <c r="H1878" s="24" t="n"/>
      <c r="I1878" s="30" t="n"/>
      <c r="J1878" s="23">
        <f>IF(OR($H1878="",$I1878=""),"",$H1878*$I1878)</f>
        <v/>
      </c>
      <c r="K1878" s="24" t="n"/>
      <c r="L1878" s="24" t="n"/>
      <c r="M1878" s="29" t="n"/>
      <c r="N1878" s="28" t="n"/>
      <c r="O1878" s="24" t="n"/>
      <c r="P1878" s="24" t="n"/>
      <c r="Q1878" s="24" t="n"/>
      <c r="R1878" s="24" t="n"/>
      <c r="S1878" s="22">
        <f>IF(AND($A1878="",$C1878=""),"",IF($A1878="","Thiếu mã đơn; ","")&amp;IF(COUNTIF($A$2:$A1878,$A1878)&gt;1,"Trùng mã đơn; ","")&amp;IF(ISNA(MATCH($C1878,DATA_MASTER!$D$2:$D$5000,0)),"SĐT chưa đăng ký hội viên; ","")&amp;IF(AND($L1878="Đã chuyển khoản",$M1878=""),"Thiếu ngày nhận CK; ",""))</f>
        <v/>
      </c>
      <c r="T1878" s="24" t="n"/>
    </row>
    <row r="1879" ht="14.25" customHeight="1" s="40">
      <c r="A1879" s="24" t="n"/>
      <c r="B1879" s="29" t="n"/>
      <c r="C1879" s="28" t="n"/>
      <c r="D1879" s="22">
        <f t="array" ref="D1879">IF($C1879="","",IFERROR(INDEX(DATA_MASTER!$C$2:$C$5000,MATCH($C1879,DATA_MASTER!$D$2:$D$5000,0)),""))</f>
        <v/>
      </c>
      <c r="E1879" s="22">
        <f t="array" ref="E1879">IF($C1879="","",IFERROR(INDEX(DATA_MASTER!$I$2:$I$5000,MATCH($C1879,DATA_MASTER!$D$2:$D$5000,0)),""))</f>
        <v/>
      </c>
      <c r="F1879" s="22">
        <f t="array" ref="F1879">IF($C1879="","",IFERROR(INDEX(DATA_MASTER!$L$2:$L$5000,MATCH($C1879,DATA_MASTER!$D$2:$D$5000,0)),""))</f>
        <v/>
      </c>
      <c r="G1879" s="24" t="n"/>
      <c r="H1879" s="24" t="n"/>
      <c r="I1879" s="30" t="n"/>
      <c r="J1879" s="23">
        <f>IF(OR($H1879="",$I1879=""),"",$H1879*$I1879)</f>
        <v/>
      </c>
      <c r="K1879" s="24" t="n"/>
      <c r="L1879" s="24" t="n"/>
      <c r="M1879" s="29" t="n"/>
      <c r="N1879" s="28" t="n"/>
      <c r="O1879" s="24" t="n"/>
      <c r="P1879" s="24" t="n"/>
      <c r="Q1879" s="24" t="n"/>
      <c r="R1879" s="24" t="n"/>
      <c r="S1879" s="22">
        <f>IF(AND($A1879="",$C1879=""),"",IF($A1879="","Thiếu mã đơn; ","")&amp;IF(COUNTIF($A$2:$A1879,$A1879)&gt;1,"Trùng mã đơn; ","")&amp;IF(ISNA(MATCH($C1879,DATA_MASTER!$D$2:$D$5000,0)),"SĐT chưa đăng ký hội viên; ","")&amp;IF(AND($L1879="Đã chuyển khoản",$M1879=""),"Thiếu ngày nhận CK; ",""))</f>
        <v/>
      </c>
      <c r="T1879" s="24" t="n"/>
    </row>
    <row r="1880" ht="14.25" customHeight="1" s="40">
      <c r="A1880" s="24" t="n"/>
      <c r="B1880" s="29" t="n"/>
      <c r="C1880" s="28" t="n"/>
      <c r="D1880" s="22">
        <f t="array" ref="D1880">IF($C1880="","",IFERROR(INDEX(DATA_MASTER!$C$2:$C$5000,MATCH($C1880,DATA_MASTER!$D$2:$D$5000,0)),""))</f>
        <v/>
      </c>
      <c r="E1880" s="22">
        <f t="array" ref="E1880">IF($C1880="","",IFERROR(INDEX(DATA_MASTER!$I$2:$I$5000,MATCH($C1880,DATA_MASTER!$D$2:$D$5000,0)),""))</f>
        <v/>
      </c>
      <c r="F1880" s="22">
        <f t="array" ref="F1880">IF($C1880="","",IFERROR(INDEX(DATA_MASTER!$L$2:$L$5000,MATCH($C1880,DATA_MASTER!$D$2:$D$5000,0)),""))</f>
        <v/>
      </c>
      <c r="G1880" s="24" t="n"/>
      <c r="H1880" s="24" t="n"/>
      <c r="I1880" s="30" t="n"/>
      <c r="J1880" s="23">
        <f>IF(OR($H1880="",$I1880=""),"",$H1880*$I1880)</f>
        <v/>
      </c>
      <c r="K1880" s="24" t="n"/>
      <c r="L1880" s="24" t="n"/>
      <c r="M1880" s="29" t="n"/>
      <c r="N1880" s="28" t="n"/>
      <c r="O1880" s="24" t="n"/>
      <c r="P1880" s="24" t="n"/>
      <c r="Q1880" s="24" t="n"/>
      <c r="R1880" s="24" t="n"/>
      <c r="S1880" s="22">
        <f>IF(AND($A1880="",$C1880=""),"",IF($A1880="","Thiếu mã đơn; ","")&amp;IF(COUNTIF($A$2:$A1880,$A1880)&gt;1,"Trùng mã đơn; ","")&amp;IF(ISNA(MATCH($C1880,DATA_MASTER!$D$2:$D$5000,0)),"SĐT chưa đăng ký hội viên; ","")&amp;IF(AND($L1880="Đã chuyển khoản",$M1880=""),"Thiếu ngày nhận CK; ",""))</f>
        <v/>
      </c>
      <c r="T1880" s="24" t="n"/>
    </row>
    <row r="1881" ht="14.25" customHeight="1" s="40">
      <c r="A1881" s="24" t="n"/>
      <c r="B1881" s="29" t="n"/>
      <c r="C1881" s="28" t="n"/>
      <c r="D1881" s="22">
        <f t="array" ref="D1881">IF($C1881="","",IFERROR(INDEX(DATA_MASTER!$C$2:$C$5000,MATCH($C1881,DATA_MASTER!$D$2:$D$5000,0)),""))</f>
        <v/>
      </c>
      <c r="E1881" s="22">
        <f t="array" ref="E1881">IF($C1881="","",IFERROR(INDEX(DATA_MASTER!$I$2:$I$5000,MATCH($C1881,DATA_MASTER!$D$2:$D$5000,0)),""))</f>
        <v/>
      </c>
      <c r="F1881" s="22">
        <f t="array" ref="F1881">IF($C1881="","",IFERROR(INDEX(DATA_MASTER!$L$2:$L$5000,MATCH($C1881,DATA_MASTER!$D$2:$D$5000,0)),""))</f>
        <v/>
      </c>
      <c r="G1881" s="24" t="n"/>
      <c r="H1881" s="24" t="n"/>
      <c r="I1881" s="30" t="n"/>
      <c r="J1881" s="23">
        <f>IF(OR($H1881="",$I1881=""),"",$H1881*$I1881)</f>
        <v/>
      </c>
      <c r="K1881" s="24" t="n"/>
      <c r="L1881" s="24" t="n"/>
      <c r="M1881" s="29" t="n"/>
      <c r="N1881" s="28" t="n"/>
      <c r="O1881" s="24" t="n"/>
      <c r="P1881" s="24" t="n"/>
      <c r="Q1881" s="24" t="n"/>
      <c r="R1881" s="24" t="n"/>
      <c r="S1881" s="22">
        <f>IF(AND($A1881="",$C1881=""),"",IF($A1881="","Thiếu mã đơn; ","")&amp;IF(COUNTIF($A$2:$A1881,$A1881)&gt;1,"Trùng mã đơn; ","")&amp;IF(ISNA(MATCH($C1881,DATA_MASTER!$D$2:$D$5000,0)),"SĐT chưa đăng ký hội viên; ","")&amp;IF(AND($L1881="Đã chuyển khoản",$M1881=""),"Thiếu ngày nhận CK; ",""))</f>
        <v/>
      </c>
      <c r="T1881" s="24" t="n"/>
    </row>
    <row r="1882" ht="14.25" customHeight="1" s="40">
      <c r="A1882" s="24" t="n"/>
      <c r="B1882" s="29" t="n"/>
      <c r="C1882" s="28" t="n"/>
      <c r="D1882" s="22">
        <f t="array" ref="D1882">IF($C1882="","",IFERROR(INDEX(DATA_MASTER!$C$2:$C$5000,MATCH($C1882,DATA_MASTER!$D$2:$D$5000,0)),""))</f>
        <v/>
      </c>
      <c r="E1882" s="22">
        <f t="array" ref="E1882">IF($C1882="","",IFERROR(INDEX(DATA_MASTER!$I$2:$I$5000,MATCH($C1882,DATA_MASTER!$D$2:$D$5000,0)),""))</f>
        <v/>
      </c>
      <c r="F1882" s="22">
        <f t="array" ref="F1882">IF($C1882="","",IFERROR(INDEX(DATA_MASTER!$L$2:$L$5000,MATCH($C1882,DATA_MASTER!$D$2:$D$5000,0)),""))</f>
        <v/>
      </c>
      <c r="G1882" s="24" t="n"/>
      <c r="H1882" s="24" t="n"/>
      <c r="I1882" s="30" t="n"/>
      <c r="J1882" s="23">
        <f>IF(OR($H1882="",$I1882=""),"",$H1882*$I1882)</f>
        <v/>
      </c>
      <c r="K1882" s="24" t="n"/>
      <c r="L1882" s="24" t="n"/>
      <c r="M1882" s="29" t="n"/>
      <c r="N1882" s="28" t="n"/>
      <c r="O1882" s="24" t="n"/>
      <c r="P1882" s="24" t="n"/>
      <c r="Q1882" s="24" t="n"/>
      <c r="R1882" s="24" t="n"/>
      <c r="S1882" s="22">
        <f>IF(AND($A1882="",$C1882=""),"",IF($A1882="","Thiếu mã đơn; ","")&amp;IF(COUNTIF($A$2:$A1882,$A1882)&gt;1,"Trùng mã đơn; ","")&amp;IF(ISNA(MATCH($C1882,DATA_MASTER!$D$2:$D$5000,0)),"SĐT chưa đăng ký hội viên; ","")&amp;IF(AND($L1882="Đã chuyển khoản",$M1882=""),"Thiếu ngày nhận CK; ",""))</f>
        <v/>
      </c>
      <c r="T1882" s="24" t="n"/>
    </row>
    <row r="1883" ht="14.25" customHeight="1" s="40">
      <c r="A1883" s="24" t="n"/>
      <c r="B1883" s="29" t="n"/>
      <c r="C1883" s="28" t="n"/>
      <c r="D1883" s="22">
        <f t="array" ref="D1883">IF($C1883="","",IFERROR(INDEX(DATA_MASTER!$C$2:$C$5000,MATCH($C1883,DATA_MASTER!$D$2:$D$5000,0)),""))</f>
        <v/>
      </c>
      <c r="E1883" s="22">
        <f t="array" ref="E1883">IF($C1883="","",IFERROR(INDEX(DATA_MASTER!$I$2:$I$5000,MATCH($C1883,DATA_MASTER!$D$2:$D$5000,0)),""))</f>
        <v/>
      </c>
      <c r="F1883" s="22">
        <f t="array" ref="F1883">IF($C1883="","",IFERROR(INDEX(DATA_MASTER!$L$2:$L$5000,MATCH($C1883,DATA_MASTER!$D$2:$D$5000,0)),""))</f>
        <v/>
      </c>
      <c r="G1883" s="24" t="n"/>
      <c r="H1883" s="24" t="n"/>
      <c r="I1883" s="30" t="n"/>
      <c r="J1883" s="23">
        <f>IF(OR($H1883="",$I1883=""),"",$H1883*$I1883)</f>
        <v/>
      </c>
      <c r="K1883" s="24" t="n"/>
      <c r="L1883" s="24" t="n"/>
      <c r="M1883" s="29" t="n"/>
      <c r="N1883" s="28" t="n"/>
      <c r="O1883" s="24" t="n"/>
      <c r="P1883" s="24" t="n"/>
      <c r="Q1883" s="24" t="n"/>
      <c r="R1883" s="24" t="n"/>
      <c r="S1883" s="22">
        <f>IF(AND($A1883="",$C1883=""),"",IF($A1883="","Thiếu mã đơn; ","")&amp;IF(COUNTIF($A$2:$A1883,$A1883)&gt;1,"Trùng mã đơn; ","")&amp;IF(ISNA(MATCH($C1883,DATA_MASTER!$D$2:$D$5000,0)),"SĐT chưa đăng ký hội viên; ","")&amp;IF(AND($L1883="Đã chuyển khoản",$M1883=""),"Thiếu ngày nhận CK; ",""))</f>
        <v/>
      </c>
      <c r="T1883" s="24" t="n"/>
    </row>
    <row r="1884" ht="14.25" customHeight="1" s="40">
      <c r="A1884" s="24" t="n"/>
      <c r="B1884" s="29" t="n"/>
      <c r="C1884" s="28" t="n"/>
      <c r="D1884" s="22">
        <f t="array" ref="D1884">IF($C1884="","",IFERROR(INDEX(DATA_MASTER!$C$2:$C$5000,MATCH($C1884,DATA_MASTER!$D$2:$D$5000,0)),""))</f>
        <v/>
      </c>
      <c r="E1884" s="22">
        <f t="array" ref="E1884">IF($C1884="","",IFERROR(INDEX(DATA_MASTER!$I$2:$I$5000,MATCH($C1884,DATA_MASTER!$D$2:$D$5000,0)),""))</f>
        <v/>
      </c>
      <c r="F1884" s="22">
        <f t="array" ref="F1884">IF($C1884="","",IFERROR(INDEX(DATA_MASTER!$L$2:$L$5000,MATCH($C1884,DATA_MASTER!$D$2:$D$5000,0)),""))</f>
        <v/>
      </c>
      <c r="G1884" s="24" t="n"/>
      <c r="H1884" s="24" t="n"/>
      <c r="I1884" s="30" t="n"/>
      <c r="J1884" s="23">
        <f>IF(OR($H1884="",$I1884=""),"",$H1884*$I1884)</f>
        <v/>
      </c>
      <c r="K1884" s="24" t="n"/>
      <c r="L1884" s="24" t="n"/>
      <c r="M1884" s="29" t="n"/>
      <c r="N1884" s="28" t="n"/>
      <c r="O1884" s="24" t="n"/>
      <c r="P1884" s="24" t="n"/>
      <c r="Q1884" s="24" t="n"/>
      <c r="R1884" s="24" t="n"/>
      <c r="S1884" s="22">
        <f>IF(AND($A1884="",$C1884=""),"",IF($A1884="","Thiếu mã đơn; ","")&amp;IF(COUNTIF($A$2:$A1884,$A1884)&gt;1,"Trùng mã đơn; ","")&amp;IF(ISNA(MATCH($C1884,DATA_MASTER!$D$2:$D$5000,0)),"SĐT chưa đăng ký hội viên; ","")&amp;IF(AND($L1884="Đã chuyển khoản",$M1884=""),"Thiếu ngày nhận CK; ",""))</f>
        <v/>
      </c>
      <c r="T1884" s="24" t="n"/>
    </row>
    <row r="1885" ht="14.25" customHeight="1" s="40">
      <c r="A1885" s="24" t="n"/>
      <c r="B1885" s="29" t="n"/>
      <c r="C1885" s="28" t="n"/>
      <c r="D1885" s="22">
        <f t="array" ref="D1885">IF($C1885="","",IFERROR(INDEX(DATA_MASTER!$C$2:$C$5000,MATCH($C1885,DATA_MASTER!$D$2:$D$5000,0)),""))</f>
        <v/>
      </c>
      <c r="E1885" s="22">
        <f t="array" ref="E1885">IF($C1885="","",IFERROR(INDEX(DATA_MASTER!$I$2:$I$5000,MATCH($C1885,DATA_MASTER!$D$2:$D$5000,0)),""))</f>
        <v/>
      </c>
      <c r="F1885" s="22">
        <f t="array" ref="F1885">IF($C1885="","",IFERROR(INDEX(DATA_MASTER!$L$2:$L$5000,MATCH($C1885,DATA_MASTER!$D$2:$D$5000,0)),""))</f>
        <v/>
      </c>
      <c r="G1885" s="24" t="n"/>
      <c r="H1885" s="24" t="n"/>
      <c r="I1885" s="30" t="n"/>
      <c r="J1885" s="23">
        <f>IF(OR($H1885="",$I1885=""),"",$H1885*$I1885)</f>
        <v/>
      </c>
      <c r="K1885" s="24" t="n"/>
      <c r="L1885" s="24" t="n"/>
      <c r="M1885" s="29" t="n"/>
      <c r="N1885" s="28" t="n"/>
      <c r="O1885" s="24" t="n"/>
      <c r="P1885" s="24" t="n"/>
      <c r="Q1885" s="24" t="n"/>
      <c r="R1885" s="24" t="n"/>
      <c r="S1885" s="22">
        <f>IF(AND($A1885="",$C1885=""),"",IF($A1885="","Thiếu mã đơn; ","")&amp;IF(COUNTIF($A$2:$A1885,$A1885)&gt;1,"Trùng mã đơn; ","")&amp;IF(ISNA(MATCH($C1885,DATA_MASTER!$D$2:$D$5000,0)),"SĐT chưa đăng ký hội viên; ","")&amp;IF(AND($L1885="Đã chuyển khoản",$M1885=""),"Thiếu ngày nhận CK; ",""))</f>
        <v/>
      </c>
      <c r="T1885" s="24" t="n"/>
    </row>
    <row r="1886" ht="14.25" customHeight="1" s="40">
      <c r="A1886" s="24" t="n"/>
      <c r="B1886" s="29" t="n"/>
      <c r="C1886" s="28" t="n"/>
      <c r="D1886" s="22">
        <f t="array" ref="D1886">IF($C1886="","",IFERROR(INDEX(DATA_MASTER!$C$2:$C$5000,MATCH($C1886,DATA_MASTER!$D$2:$D$5000,0)),""))</f>
        <v/>
      </c>
      <c r="E1886" s="22">
        <f t="array" ref="E1886">IF($C1886="","",IFERROR(INDEX(DATA_MASTER!$I$2:$I$5000,MATCH($C1886,DATA_MASTER!$D$2:$D$5000,0)),""))</f>
        <v/>
      </c>
      <c r="F1886" s="22">
        <f t="array" ref="F1886">IF($C1886="","",IFERROR(INDEX(DATA_MASTER!$L$2:$L$5000,MATCH($C1886,DATA_MASTER!$D$2:$D$5000,0)),""))</f>
        <v/>
      </c>
      <c r="G1886" s="24" t="n"/>
      <c r="H1886" s="24" t="n"/>
      <c r="I1886" s="30" t="n"/>
      <c r="J1886" s="23">
        <f>IF(OR($H1886="",$I1886=""),"",$H1886*$I1886)</f>
        <v/>
      </c>
      <c r="K1886" s="24" t="n"/>
      <c r="L1886" s="24" t="n"/>
      <c r="M1886" s="29" t="n"/>
      <c r="N1886" s="28" t="n"/>
      <c r="O1886" s="24" t="n"/>
      <c r="P1886" s="24" t="n"/>
      <c r="Q1886" s="24" t="n"/>
      <c r="R1886" s="24" t="n"/>
      <c r="S1886" s="22">
        <f>IF(AND($A1886="",$C1886=""),"",IF($A1886="","Thiếu mã đơn; ","")&amp;IF(COUNTIF($A$2:$A1886,$A1886)&gt;1,"Trùng mã đơn; ","")&amp;IF(ISNA(MATCH($C1886,DATA_MASTER!$D$2:$D$5000,0)),"SĐT chưa đăng ký hội viên; ","")&amp;IF(AND($L1886="Đã chuyển khoản",$M1886=""),"Thiếu ngày nhận CK; ",""))</f>
        <v/>
      </c>
      <c r="T1886" s="24" t="n"/>
    </row>
    <row r="1887" ht="14.25" customHeight="1" s="40">
      <c r="A1887" s="24" t="n"/>
      <c r="B1887" s="29" t="n"/>
      <c r="C1887" s="28" t="n"/>
      <c r="D1887" s="22">
        <f t="array" ref="D1887">IF($C1887="","",IFERROR(INDEX(DATA_MASTER!$C$2:$C$5000,MATCH($C1887,DATA_MASTER!$D$2:$D$5000,0)),""))</f>
        <v/>
      </c>
      <c r="E1887" s="22">
        <f t="array" ref="E1887">IF($C1887="","",IFERROR(INDEX(DATA_MASTER!$I$2:$I$5000,MATCH($C1887,DATA_MASTER!$D$2:$D$5000,0)),""))</f>
        <v/>
      </c>
      <c r="F1887" s="22">
        <f t="array" ref="F1887">IF($C1887="","",IFERROR(INDEX(DATA_MASTER!$L$2:$L$5000,MATCH($C1887,DATA_MASTER!$D$2:$D$5000,0)),""))</f>
        <v/>
      </c>
      <c r="G1887" s="24" t="n"/>
      <c r="H1887" s="24" t="n"/>
      <c r="I1887" s="30" t="n"/>
      <c r="J1887" s="23">
        <f>IF(OR($H1887="",$I1887=""),"",$H1887*$I1887)</f>
        <v/>
      </c>
      <c r="K1887" s="24" t="n"/>
      <c r="L1887" s="24" t="n"/>
      <c r="M1887" s="29" t="n"/>
      <c r="N1887" s="28" t="n"/>
      <c r="O1887" s="24" t="n"/>
      <c r="P1887" s="24" t="n"/>
      <c r="Q1887" s="24" t="n"/>
      <c r="R1887" s="24" t="n"/>
      <c r="S1887" s="22">
        <f>IF(AND($A1887="",$C1887=""),"",IF($A1887="","Thiếu mã đơn; ","")&amp;IF(COUNTIF($A$2:$A1887,$A1887)&gt;1,"Trùng mã đơn; ","")&amp;IF(ISNA(MATCH($C1887,DATA_MASTER!$D$2:$D$5000,0)),"SĐT chưa đăng ký hội viên; ","")&amp;IF(AND($L1887="Đã chuyển khoản",$M1887=""),"Thiếu ngày nhận CK; ",""))</f>
        <v/>
      </c>
      <c r="T1887" s="24" t="n"/>
    </row>
    <row r="1888" ht="14.25" customHeight="1" s="40">
      <c r="A1888" s="24" t="n"/>
      <c r="B1888" s="29" t="n"/>
      <c r="C1888" s="28" t="n"/>
      <c r="D1888" s="22">
        <f t="array" ref="D1888">IF($C1888="","",IFERROR(INDEX(DATA_MASTER!$C$2:$C$5000,MATCH($C1888,DATA_MASTER!$D$2:$D$5000,0)),""))</f>
        <v/>
      </c>
      <c r="E1888" s="22">
        <f t="array" ref="E1888">IF($C1888="","",IFERROR(INDEX(DATA_MASTER!$I$2:$I$5000,MATCH($C1888,DATA_MASTER!$D$2:$D$5000,0)),""))</f>
        <v/>
      </c>
      <c r="F1888" s="22">
        <f t="array" ref="F1888">IF($C1888="","",IFERROR(INDEX(DATA_MASTER!$L$2:$L$5000,MATCH($C1888,DATA_MASTER!$D$2:$D$5000,0)),""))</f>
        <v/>
      </c>
      <c r="G1888" s="24" t="n"/>
      <c r="H1888" s="24" t="n"/>
      <c r="I1888" s="30" t="n"/>
      <c r="J1888" s="23">
        <f>IF(OR($H1888="",$I1888=""),"",$H1888*$I1888)</f>
        <v/>
      </c>
      <c r="K1888" s="24" t="n"/>
      <c r="L1888" s="24" t="n"/>
      <c r="M1888" s="29" t="n"/>
      <c r="N1888" s="28" t="n"/>
      <c r="O1888" s="24" t="n"/>
      <c r="P1888" s="24" t="n"/>
      <c r="Q1888" s="24" t="n"/>
      <c r="R1888" s="24" t="n"/>
      <c r="S1888" s="22">
        <f>IF(AND($A1888="",$C1888=""),"",IF($A1888="","Thiếu mã đơn; ","")&amp;IF(COUNTIF($A$2:$A1888,$A1888)&gt;1,"Trùng mã đơn; ","")&amp;IF(ISNA(MATCH($C1888,DATA_MASTER!$D$2:$D$5000,0)),"SĐT chưa đăng ký hội viên; ","")&amp;IF(AND($L1888="Đã chuyển khoản",$M1888=""),"Thiếu ngày nhận CK; ",""))</f>
        <v/>
      </c>
      <c r="T1888" s="24" t="n"/>
    </row>
    <row r="1889" ht="14.25" customHeight="1" s="40">
      <c r="A1889" s="24" t="n"/>
      <c r="B1889" s="29" t="n"/>
      <c r="C1889" s="28" t="n"/>
      <c r="D1889" s="22">
        <f t="array" ref="D1889">IF($C1889="","",IFERROR(INDEX(DATA_MASTER!$C$2:$C$5000,MATCH($C1889,DATA_MASTER!$D$2:$D$5000,0)),""))</f>
        <v/>
      </c>
      <c r="E1889" s="22">
        <f t="array" ref="E1889">IF($C1889="","",IFERROR(INDEX(DATA_MASTER!$I$2:$I$5000,MATCH($C1889,DATA_MASTER!$D$2:$D$5000,0)),""))</f>
        <v/>
      </c>
      <c r="F1889" s="22">
        <f t="array" ref="F1889">IF($C1889="","",IFERROR(INDEX(DATA_MASTER!$L$2:$L$5000,MATCH($C1889,DATA_MASTER!$D$2:$D$5000,0)),""))</f>
        <v/>
      </c>
      <c r="G1889" s="24" t="n"/>
      <c r="H1889" s="24" t="n"/>
      <c r="I1889" s="30" t="n"/>
      <c r="J1889" s="23">
        <f>IF(OR($H1889="",$I1889=""),"",$H1889*$I1889)</f>
        <v/>
      </c>
      <c r="K1889" s="24" t="n"/>
      <c r="L1889" s="24" t="n"/>
      <c r="M1889" s="29" t="n"/>
      <c r="N1889" s="28" t="n"/>
      <c r="O1889" s="24" t="n"/>
      <c r="P1889" s="24" t="n"/>
      <c r="Q1889" s="24" t="n"/>
      <c r="R1889" s="24" t="n"/>
      <c r="S1889" s="22">
        <f>IF(AND($A1889="",$C1889=""),"",IF($A1889="","Thiếu mã đơn; ","")&amp;IF(COUNTIF($A$2:$A1889,$A1889)&gt;1,"Trùng mã đơn; ","")&amp;IF(ISNA(MATCH($C1889,DATA_MASTER!$D$2:$D$5000,0)),"SĐT chưa đăng ký hội viên; ","")&amp;IF(AND($L1889="Đã chuyển khoản",$M1889=""),"Thiếu ngày nhận CK; ",""))</f>
        <v/>
      </c>
      <c r="T1889" s="24" t="n"/>
    </row>
    <row r="1890" ht="14.25" customHeight="1" s="40">
      <c r="A1890" s="24" t="n"/>
      <c r="B1890" s="29" t="n"/>
      <c r="C1890" s="28" t="n"/>
      <c r="D1890" s="22">
        <f t="array" ref="D1890">IF($C1890="","",IFERROR(INDEX(DATA_MASTER!$C$2:$C$5000,MATCH($C1890,DATA_MASTER!$D$2:$D$5000,0)),""))</f>
        <v/>
      </c>
      <c r="E1890" s="22">
        <f t="array" ref="E1890">IF($C1890="","",IFERROR(INDEX(DATA_MASTER!$I$2:$I$5000,MATCH($C1890,DATA_MASTER!$D$2:$D$5000,0)),""))</f>
        <v/>
      </c>
      <c r="F1890" s="22">
        <f t="array" ref="F1890">IF($C1890="","",IFERROR(INDEX(DATA_MASTER!$L$2:$L$5000,MATCH($C1890,DATA_MASTER!$D$2:$D$5000,0)),""))</f>
        <v/>
      </c>
      <c r="G1890" s="24" t="n"/>
      <c r="H1890" s="24" t="n"/>
      <c r="I1890" s="30" t="n"/>
      <c r="J1890" s="23">
        <f>IF(OR($H1890="",$I1890=""),"",$H1890*$I1890)</f>
        <v/>
      </c>
      <c r="K1890" s="24" t="n"/>
      <c r="L1890" s="24" t="n"/>
      <c r="M1890" s="29" t="n"/>
      <c r="N1890" s="28" t="n"/>
      <c r="O1890" s="24" t="n"/>
      <c r="P1890" s="24" t="n"/>
      <c r="Q1890" s="24" t="n"/>
      <c r="R1890" s="24" t="n"/>
      <c r="S1890" s="22">
        <f>IF(AND($A1890="",$C1890=""),"",IF($A1890="","Thiếu mã đơn; ","")&amp;IF(COUNTIF($A$2:$A1890,$A1890)&gt;1,"Trùng mã đơn; ","")&amp;IF(ISNA(MATCH($C1890,DATA_MASTER!$D$2:$D$5000,0)),"SĐT chưa đăng ký hội viên; ","")&amp;IF(AND($L1890="Đã chuyển khoản",$M1890=""),"Thiếu ngày nhận CK; ",""))</f>
        <v/>
      </c>
      <c r="T1890" s="24" t="n"/>
    </row>
    <row r="1891" ht="14.25" customHeight="1" s="40">
      <c r="A1891" s="24" t="n"/>
      <c r="B1891" s="29" t="n"/>
      <c r="C1891" s="28" t="n"/>
      <c r="D1891" s="22">
        <f t="array" ref="D1891">IF($C1891="","",IFERROR(INDEX(DATA_MASTER!$C$2:$C$5000,MATCH($C1891,DATA_MASTER!$D$2:$D$5000,0)),""))</f>
        <v/>
      </c>
      <c r="E1891" s="22">
        <f t="array" ref="E1891">IF($C1891="","",IFERROR(INDEX(DATA_MASTER!$I$2:$I$5000,MATCH($C1891,DATA_MASTER!$D$2:$D$5000,0)),""))</f>
        <v/>
      </c>
      <c r="F1891" s="22">
        <f t="array" ref="F1891">IF($C1891="","",IFERROR(INDEX(DATA_MASTER!$L$2:$L$5000,MATCH($C1891,DATA_MASTER!$D$2:$D$5000,0)),""))</f>
        <v/>
      </c>
      <c r="G1891" s="24" t="n"/>
      <c r="H1891" s="24" t="n"/>
      <c r="I1891" s="30" t="n"/>
      <c r="J1891" s="23">
        <f>IF(OR($H1891="",$I1891=""),"",$H1891*$I1891)</f>
        <v/>
      </c>
      <c r="K1891" s="24" t="n"/>
      <c r="L1891" s="24" t="n"/>
      <c r="M1891" s="29" t="n"/>
      <c r="N1891" s="28" t="n"/>
      <c r="O1891" s="24" t="n"/>
      <c r="P1891" s="24" t="n"/>
      <c r="Q1891" s="24" t="n"/>
      <c r="R1891" s="24" t="n"/>
      <c r="S1891" s="22">
        <f>IF(AND($A1891="",$C1891=""),"",IF($A1891="","Thiếu mã đơn; ","")&amp;IF(COUNTIF($A$2:$A1891,$A1891)&gt;1,"Trùng mã đơn; ","")&amp;IF(ISNA(MATCH($C1891,DATA_MASTER!$D$2:$D$5000,0)),"SĐT chưa đăng ký hội viên; ","")&amp;IF(AND($L1891="Đã chuyển khoản",$M1891=""),"Thiếu ngày nhận CK; ",""))</f>
        <v/>
      </c>
      <c r="T1891" s="24" t="n"/>
    </row>
    <row r="1892" ht="14.25" customHeight="1" s="40">
      <c r="A1892" s="24" t="n"/>
      <c r="B1892" s="29" t="n"/>
      <c r="C1892" s="28" t="n"/>
      <c r="D1892" s="22">
        <f t="array" ref="D1892">IF($C1892="","",IFERROR(INDEX(DATA_MASTER!$C$2:$C$5000,MATCH($C1892,DATA_MASTER!$D$2:$D$5000,0)),""))</f>
        <v/>
      </c>
      <c r="E1892" s="22">
        <f t="array" ref="E1892">IF($C1892="","",IFERROR(INDEX(DATA_MASTER!$I$2:$I$5000,MATCH($C1892,DATA_MASTER!$D$2:$D$5000,0)),""))</f>
        <v/>
      </c>
      <c r="F1892" s="22">
        <f t="array" ref="F1892">IF($C1892="","",IFERROR(INDEX(DATA_MASTER!$L$2:$L$5000,MATCH($C1892,DATA_MASTER!$D$2:$D$5000,0)),""))</f>
        <v/>
      </c>
      <c r="G1892" s="24" t="n"/>
      <c r="H1892" s="24" t="n"/>
      <c r="I1892" s="30" t="n"/>
      <c r="J1892" s="23">
        <f>IF(OR($H1892="",$I1892=""),"",$H1892*$I1892)</f>
        <v/>
      </c>
      <c r="K1892" s="24" t="n"/>
      <c r="L1892" s="24" t="n"/>
      <c r="M1892" s="29" t="n"/>
      <c r="N1892" s="28" t="n"/>
      <c r="O1892" s="24" t="n"/>
      <c r="P1892" s="24" t="n"/>
      <c r="Q1892" s="24" t="n"/>
      <c r="R1892" s="24" t="n"/>
      <c r="S1892" s="22">
        <f>IF(AND($A1892="",$C1892=""),"",IF($A1892="","Thiếu mã đơn; ","")&amp;IF(COUNTIF($A$2:$A1892,$A1892)&gt;1,"Trùng mã đơn; ","")&amp;IF(ISNA(MATCH($C1892,DATA_MASTER!$D$2:$D$5000,0)),"SĐT chưa đăng ký hội viên; ","")&amp;IF(AND($L1892="Đã chuyển khoản",$M1892=""),"Thiếu ngày nhận CK; ",""))</f>
        <v/>
      </c>
      <c r="T1892" s="24" t="n"/>
    </row>
    <row r="1893" ht="14.25" customHeight="1" s="40">
      <c r="A1893" s="24" t="n"/>
      <c r="B1893" s="29" t="n"/>
      <c r="C1893" s="28" t="n"/>
      <c r="D1893" s="22">
        <f t="array" ref="D1893">IF($C1893="","",IFERROR(INDEX(DATA_MASTER!$C$2:$C$5000,MATCH($C1893,DATA_MASTER!$D$2:$D$5000,0)),""))</f>
        <v/>
      </c>
      <c r="E1893" s="22">
        <f t="array" ref="E1893">IF($C1893="","",IFERROR(INDEX(DATA_MASTER!$I$2:$I$5000,MATCH($C1893,DATA_MASTER!$D$2:$D$5000,0)),""))</f>
        <v/>
      </c>
      <c r="F1893" s="22">
        <f t="array" ref="F1893">IF($C1893="","",IFERROR(INDEX(DATA_MASTER!$L$2:$L$5000,MATCH($C1893,DATA_MASTER!$D$2:$D$5000,0)),""))</f>
        <v/>
      </c>
      <c r="G1893" s="24" t="n"/>
      <c r="H1893" s="24" t="n"/>
      <c r="I1893" s="30" t="n"/>
      <c r="J1893" s="23">
        <f>IF(OR($H1893="",$I1893=""),"",$H1893*$I1893)</f>
        <v/>
      </c>
      <c r="K1893" s="24" t="n"/>
      <c r="L1893" s="24" t="n"/>
      <c r="M1893" s="29" t="n"/>
      <c r="N1893" s="28" t="n"/>
      <c r="O1893" s="24" t="n"/>
      <c r="P1893" s="24" t="n"/>
      <c r="Q1893" s="24" t="n"/>
      <c r="R1893" s="24" t="n"/>
      <c r="S1893" s="22">
        <f>IF(AND($A1893="",$C1893=""),"",IF($A1893="","Thiếu mã đơn; ","")&amp;IF(COUNTIF($A$2:$A1893,$A1893)&gt;1,"Trùng mã đơn; ","")&amp;IF(ISNA(MATCH($C1893,DATA_MASTER!$D$2:$D$5000,0)),"SĐT chưa đăng ký hội viên; ","")&amp;IF(AND($L1893="Đã chuyển khoản",$M1893=""),"Thiếu ngày nhận CK; ",""))</f>
        <v/>
      </c>
      <c r="T1893" s="24" t="n"/>
    </row>
    <row r="1894" ht="14.25" customHeight="1" s="40">
      <c r="A1894" s="24" t="n"/>
      <c r="B1894" s="29" t="n"/>
      <c r="C1894" s="28" t="n"/>
      <c r="D1894" s="22">
        <f t="array" ref="D1894">IF($C1894="","",IFERROR(INDEX(DATA_MASTER!$C$2:$C$5000,MATCH($C1894,DATA_MASTER!$D$2:$D$5000,0)),""))</f>
        <v/>
      </c>
      <c r="E1894" s="22">
        <f t="array" ref="E1894">IF($C1894="","",IFERROR(INDEX(DATA_MASTER!$I$2:$I$5000,MATCH($C1894,DATA_MASTER!$D$2:$D$5000,0)),""))</f>
        <v/>
      </c>
      <c r="F1894" s="22">
        <f t="array" ref="F1894">IF($C1894="","",IFERROR(INDEX(DATA_MASTER!$L$2:$L$5000,MATCH($C1894,DATA_MASTER!$D$2:$D$5000,0)),""))</f>
        <v/>
      </c>
      <c r="G1894" s="24" t="n"/>
      <c r="H1894" s="24" t="n"/>
      <c r="I1894" s="30" t="n"/>
      <c r="J1894" s="23">
        <f>IF(OR($H1894="",$I1894=""),"",$H1894*$I1894)</f>
        <v/>
      </c>
      <c r="K1894" s="24" t="n"/>
      <c r="L1894" s="24" t="n"/>
      <c r="M1894" s="29" t="n"/>
      <c r="N1894" s="28" t="n"/>
      <c r="O1894" s="24" t="n"/>
      <c r="P1894" s="24" t="n"/>
      <c r="Q1894" s="24" t="n"/>
      <c r="R1894" s="24" t="n"/>
      <c r="S1894" s="22">
        <f>IF(AND($A1894="",$C1894=""),"",IF($A1894="","Thiếu mã đơn; ","")&amp;IF(COUNTIF($A$2:$A1894,$A1894)&gt;1,"Trùng mã đơn; ","")&amp;IF(ISNA(MATCH($C1894,DATA_MASTER!$D$2:$D$5000,0)),"SĐT chưa đăng ký hội viên; ","")&amp;IF(AND($L1894="Đã chuyển khoản",$M1894=""),"Thiếu ngày nhận CK; ",""))</f>
        <v/>
      </c>
      <c r="T1894" s="24" t="n"/>
    </row>
    <row r="1895" ht="14.25" customHeight="1" s="40">
      <c r="A1895" s="24" t="n"/>
      <c r="B1895" s="29" t="n"/>
      <c r="C1895" s="28" t="n"/>
      <c r="D1895" s="22">
        <f t="array" ref="D1895">IF($C1895="","",IFERROR(INDEX(DATA_MASTER!$C$2:$C$5000,MATCH($C1895,DATA_MASTER!$D$2:$D$5000,0)),""))</f>
        <v/>
      </c>
      <c r="E1895" s="22">
        <f t="array" ref="E1895">IF($C1895="","",IFERROR(INDEX(DATA_MASTER!$I$2:$I$5000,MATCH($C1895,DATA_MASTER!$D$2:$D$5000,0)),""))</f>
        <v/>
      </c>
      <c r="F1895" s="22">
        <f t="array" ref="F1895">IF($C1895="","",IFERROR(INDEX(DATA_MASTER!$L$2:$L$5000,MATCH($C1895,DATA_MASTER!$D$2:$D$5000,0)),""))</f>
        <v/>
      </c>
      <c r="G1895" s="24" t="n"/>
      <c r="H1895" s="24" t="n"/>
      <c r="I1895" s="30" t="n"/>
      <c r="J1895" s="23">
        <f>IF(OR($H1895="",$I1895=""),"",$H1895*$I1895)</f>
        <v/>
      </c>
      <c r="K1895" s="24" t="n"/>
      <c r="L1895" s="24" t="n"/>
      <c r="M1895" s="29" t="n"/>
      <c r="N1895" s="28" t="n"/>
      <c r="O1895" s="24" t="n"/>
      <c r="P1895" s="24" t="n"/>
      <c r="Q1895" s="24" t="n"/>
      <c r="R1895" s="24" t="n"/>
      <c r="S1895" s="22">
        <f>IF(AND($A1895="",$C1895=""),"",IF($A1895="","Thiếu mã đơn; ","")&amp;IF(COUNTIF($A$2:$A1895,$A1895)&gt;1,"Trùng mã đơn; ","")&amp;IF(ISNA(MATCH($C1895,DATA_MASTER!$D$2:$D$5000,0)),"SĐT chưa đăng ký hội viên; ","")&amp;IF(AND($L1895="Đã chuyển khoản",$M1895=""),"Thiếu ngày nhận CK; ",""))</f>
        <v/>
      </c>
      <c r="T1895" s="24" t="n"/>
    </row>
    <row r="1896" ht="14.25" customHeight="1" s="40">
      <c r="A1896" s="24" t="n"/>
      <c r="B1896" s="29" t="n"/>
      <c r="C1896" s="28" t="n"/>
      <c r="D1896" s="22">
        <f t="array" ref="D1896">IF($C1896="","",IFERROR(INDEX(DATA_MASTER!$C$2:$C$5000,MATCH($C1896,DATA_MASTER!$D$2:$D$5000,0)),""))</f>
        <v/>
      </c>
      <c r="E1896" s="22">
        <f t="array" ref="E1896">IF($C1896="","",IFERROR(INDEX(DATA_MASTER!$I$2:$I$5000,MATCH($C1896,DATA_MASTER!$D$2:$D$5000,0)),""))</f>
        <v/>
      </c>
      <c r="F1896" s="22">
        <f t="array" ref="F1896">IF($C1896="","",IFERROR(INDEX(DATA_MASTER!$L$2:$L$5000,MATCH($C1896,DATA_MASTER!$D$2:$D$5000,0)),""))</f>
        <v/>
      </c>
      <c r="G1896" s="24" t="n"/>
      <c r="H1896" s="24" t="n"/>
      <c r="I1896" s="30" t="n"/>
      <c r="J1896" s="23">
        <f>IF(OR($H1896="",$I1896=""),"",$H1896*$I1896)</f>
        <v/>
      </c>
      <c r="K1896" s="24" t="n"/>
      <c r="L1896" s="24" t="n"/>
      <c r="M1896" s="29" t="n"/>
      <c r="N1896" s="28" t="n"/>
      <c r="O1896" s="24" t="n"/>
      <c r="P1896" s="24" t="n"/>
      <c r="Q1896" s="24" t="n"/>
      <c r="R1896" s="24" t="n"/>
      <c r="S1896" s="22">
        <f>IF(AND($A1896="",$C1896=""),"",IF($A1896="","Thiếu mã đơn; ","")&amp;IF(COUNTIF($A$2:$A1896,$A1896)&gt;1,"Trùng mã đơn; ","")&amp;IF(ISNA(MATCH($C1896,DATA_MASTER!$D$2:$D$5000,0)),"SĐT chưa đăng ký hội viên; ","")&amp;IF(AND($L1896="Đã chuyển khoản",$M1896=""),"Thiếu ngày nhận CK; ",""))</f>
        <v/>
      </c>
      <c r="T1896" s="24" t="n"/>
    </row>
    <row r="1897" ht="14.25" customHeight="1" s="40">
      <c r="A1897" s="24" t="n"/>
      <c r="B1897" s="29" t="n"/>
      <c r="C1897" s="28" t="n"/>
      <c r="D1897" s="22">
        <f t="array" ref="D1897">IF($C1897="","",IFERROR(INDEX(DATA_MASTER!$C$2:$C$5000,MATCH($C1897,DATA_MASTER!$D$2:$D$5000,0)),""))</f>
        <v/>
      </c>
      <c r="E1897" s="22">
        <f t="array" ref="E1897">IF($C1897="","",IFERROR(INDEX(DATA_MASTER!$I$2:$I$5000,MATCH($C1897,DATA_MASTER!$D$2:$D$5000,0)),""))</f>
        <v/>
      </c>
      <c r="F1897" s="22">
        <f t="array" ref="F1897">IF($C1897="","",IFERROR(INDEX(DATA_MASTER!$L$2:$L$5000,MATCH($C1897,DATA_MASTER!$D$2:$D$5000,0)),""))</f>
        <v/>
      </c>
      <c r="G1897" s="24" t="n"/>
      <c r="H1897" s="24" t="n"/>
      <c r="I1897" s="30" t="n"/>
      <c r="J1897" s="23">
        <f>IF(OR($H1897="",$I1897=""),"",$H1897*$I1897)</f>
        <v/>
      </c>
      <c r="K1897" s="24" t="n"/>
      <c r="L1897" s="24" t="n"/>
      <c r="M1897" s="29" t="n"/>
      <c r="N1897" s="28" t="n"/>
      <c r="O1897" s="24" t="n"/>
      <c r="P1897" s="24" t="n"/>
      <c r="Q1897" s="24" t="n"/>
      <c r="R1897" s="24" t="n"/>
      <c r="S1897" s="22">
        <f>IF(AND($A1897="",$C1897=""),"",IF($A1897="","Thiếu mã đơn; ","")&amp;IF(COUNTIF($A$2:$A1897,$A1897)&gt;1,"Trùng mã đơn; ","")&amp;IF(ISNA(MATCH($C1897,DATA_MASTER!$D$2:$D$5000,0)),"SĐT chưa đăng ký hội viên; ","")&amp;IF(AND($L1897="Đã chuyển khoản",$M1897=""),"Thiếu ngày nhận CK; ",""))</f>
        <v/>
      </c>
      <c r="T1897" s="24" t="n"/>
    </row>
    <row r="1898" ht="14.25" customHeight="1" s="40">
      <c r="A1898" s="24" t="n"/>
      <c r="B1898" s="29" t="n"/>
      <c r="C1898" s="28" t="n"/>
      <c r="D1898" s="22">
        <f t="array" ref="D1898">IF($C1898="","",IFERROR(INDEX(DATA_MASTER!$C$2:$C$5000,MATCH($C1898,DATA_MASTER!$D$2:$D$5000,0)),""))</f>
        <v/>
      </c>
      <c r="E1898" s="22">
        <f t="array" ref="E1898">IF($C1898="","",IFERROR(INDEX(DATA_MASTER!$I$2:$I$5000,MATCH($C1898,DATA_MASTER!$D$2:$D$5000,0)),""))</f>
        <v/>
      </c>
      <c r="F1898" s="22">
        <f t="array" ref="F1898">IF($C1898="","",IFERROR(INDEX(DATA_MASTER!$L$2:$L$5000,MATCH($C1898,DATA_MASTER!$D$2:$D$5000,0)),""))</f>
        <v/>
      </c>
      <c r="G1898" s="24" t="n"/>
      <c r="H1898" s="24" t="n"/>
      <c r="I1898" s="30" t="n"/>
      <c r="J1898" s="23">
        <f>IF(OR($H1898="",$I1898=""),"",$H1898*$I1898)</f>
        <v/>
      </c>
      <c r="K1898" s="24" t="n"/>
      <c r="L1898" s="24" t="n"/>
      <c r="M1898" s="29" t="n"/>
      <c r="N1898" s="28" t="n"/>
      <c r="O1898" s="24" t="n"/>
      <c r="P1898" s="24" t="n"/>
      <c r="Q1898" s="24" t="n"/>
      <c r="R1898" s="24" t="n"/>
      <c r="S1898" s="22">
        <f>IF(AND($A1898="",$C1898=""),"",IF($A1898="","Thiếu mã đơn; ","")&amp;IF(COUNTIF($A$2:$A1898,$A1898)&gt;1,"Trùng mã đơn; ","")&amp;IF(ISNA(MATCH($C1898,DATA_MASTER!$D$2:$D$5000,0)),"SĐT chưa đăng ký hội viên; ","")&amp;IF(AND($L1898="Đã chuyển khoản",$M1898=""),"Thiếu ngày nhận CK; ",""))</f>
        <v/>
      </c>
      <c r="T1898" s="24" t="n"/>
    </row>
    <row r="1899" ht="14.25" customHeight="1" s="40">
      <c r="A1899" s="24" t="n"/>
      <c r="B1899" s="29" t="n"/>
      <c r="C1899" s="28" t="n"/>
      <c r="D1899" s="22">
        <f t="array" ref="D1899">IF($C1899="","",IFERROR(INDEX(DATA_MASTER!$C$2:$C$5000,MATCH($C1899,DATA_MASTER!$D$2:$D$5000,0)),""))</f>
        <v/>
      </c>
      <c r="E1899" s="22">
        <f t="array" ref="E1899">IF($C1899="","",IFERROR(INDEX(DATA_MASTER!$I$2:$I$5000,MATCH($C1899,DATA_MASTER!$D$2:$D$5000,0)),""))</f>
        <v/>
      </c>
      <c r="F1899" s="22">
        <f t="array" ref="F1899">IF($C1899="","",IFERROR(INDEX(DATA_MASTER!$L$2:$L$5000,MATCH($C1899,DATA_MASTER!$D$2:$D$5000,0)),""))</f>
        <v/>
      </c>
      <c r="G1899" s="24" t="n"/>
      <c r="H1899" s="24" t="n"/>
      <c r="I1899" s="30" t="n"/>
      <c r="J1899" s="23">
        <f>IF(OR($H1899="",$I1899=""),"",$H1899*$I1899)</f>
        <v/>
      </c>
      <c r="K1899" s="24" t="n"/>
      <c r="L1899" s="24" t="n"/>
      <c r="M1899" s="29" t="n"/>
      <c r="N1899" s="28" t="n"/>
      <c r="O1899" s="24" t="n"/>
      <c r="P1899" s="24" t="n"/>
      <c r="Q1899" s="24" t="n"/>
      <c r="R1899" s="24" t="n"/>
      <c r="S1899" s="22">
        <f>IF(AND($A1899="",$C1899=""),"",IF($A1899="","Thiếu mã đơn; ","")&amp;IF(COUNTIF($A$2:$A1899,$A1899)&gt;1,"Trùng mã đơn; ","")&amp;IF(ISNA(MATCH($C1899,DATA_MASTER!$D$2:$D$5000,0)),"SĐT chưa đăng ký hội viên; ","")&amp;IF(AND($L1899="Đã chuyển khoản",$M1899=""),"Thiếu ngày nhận CK; ",""))</f>
        <v/>
      </c>
      <c r="T1899" s="24" t="n"/>
    </row>
    <row r="1900" ht="14.25" customHeight="1" s="40">
      <c r="A1900" s="24" t="n"/>
      <c r="B1900" s="29" t="n"/>
      <c r="C1900" s="28" t="n"/>
      <c r="D1900" s="22">
        <f t="array" ref="D1900">IF($C1900="","",IFERROR(INDEX(DATA_MASTER!$C$2:$C$5000,MATCH($C1900,DATA_MASTER!$D$2:$D$5000,0)),""))</f>
        <v/>
      </c>
      <c r="E1900" s="22">
        <f t="array" ref="E1900">IF($C1900="","",IFERROR(INDEX(DATA_MASTER!$I$2:$I$5000,MATCH($C1900,DATA_MASTER!$D$2:$D$5000,0)),""))</f>
        <v/>
      </c>
      <c r="F1900" s="22">
        <f t="array" ref="F1900">IF($C1900="","",IFERROR(INDEX(DATA_MASTER!$L$2:$L$5000,MATCH($C1900,DATA_MASTER!$D$2:$D$5000,0)),""))</f>
        <v/>
      </c>
      <c r="G1900" s="24" t="n"/>
      <c r="H1900" s="24" t="n"/>
      <c r="I1900" s="30" t="n"/>
      <c r="J1900" s="23">
        <f>IF(OR($H1900="",$I1900=""),"",$H1900*$I1900)</f>
        <v/>
      </c>
      <c r="K1900" s="24" t="n"/>
      <c r="L1900" s="24" t="n"/>
      <c r="M1900" s="29" t="n"/>
      <c r="N1900" s="28" t="n"/>
      <c r="O1900" s="24" t="n"/>
      <c r="P1900" s="24" t="n"/>
      <c r="Q1900" s="24" t="n"/>
      <c r="R1900" s="24" t="n"/>
      <c r="S1900" s="22">
        <f>IF(AND($A1900="",$C1900=""),"",IF($A1900="","Thiếu mã đơn; ","")&amp;IF(COUNTIF($A$2:$A1900,$A1900)&gt;1,"Trùng mã đơn; ","")&amp;IF(ISNA(MATCH($C1900,DATA_MASTER!$D$2:$D$5000,0)),"SĐT chưa đăng ký hội viên; ","")&amp;IF(AND($L1900="Đã chuyển khoản",$M1900=""),"Thiếu ngày nhận CK; ",""))</f>
        <v/>
      </c>
      <c r="T1900" s="24" t="n"/>
    </row>
    <row r="1901" ht="14.25" customHeight="1" s="40">
      <c r="A1901" s="24" t="n"/>
      <c r="B1901" s="29" t="n"/>
      <c r="C1901" s="28" t="n"/>
      <c r="D1901" s="22">
        <f t="array" ref="D1901">IF($C1901="","",IFERROR(INDEX(DATA_MASTER!$C$2:$C$5000,MATCH($C1901,DATA_MASTER!$D$2:$D$5000,0)),""))</f>
        <v/>
      </c>
      <c r="E1901" s="22">
        <f t="array" ref="E1901">IF($C1901="","",IFERROR(INDEX(DATA_MASTER!$I$2:$I$5000,MATCH($C1901,DATA_MASTER!$D$2:$D$5000,0)),""))</f>
        <v/>
      </c>
      <c r="F1901" s="22">
        <f t="array" ref="F1901">IF($C1901="","",IFERROR(INDEX(DATA_MASTER!$L$2:$L$5000,MATCH($C1901,DATA_MASTER!$D$2:$D$5000,0)),""))</f>
        <v/>
      </c>
      <c r="G1901" s="24" t="n"/>
      <c r="H1901" s="24" t="n"/>
      <c r="I1901" s="30" t="n"/>
      <c r="J1901" s="23">
        <f>IF(OR($H1901="",$I1901=""),"",$H1901*$I1901)</f>
        <v/>
      </c>
      <c r="K1901" s="24" t="n"/>
      <c r="L1901" s="24" t="n"/>
      <c r="M1901" s="29" t="n"/>
      <c r="N1901" s="28" t="n"/>
      <c r="O1901" s="24" t="n"/>
      <c r="P1901" s="24" t="n"/>
      <c r="Q1901" s="24" t="n"/>
      <c r="R1901" s="24" t="n"/>
      <c r="S1901" s="22">
        <f>IF(AND($A1901="",$C1901=""),"",IF($A1901="","Thiếu mã đơn; ","")&amp;IF(COUNTIF($A$2:$A1901,$A1901)&gt;1,"Trùng mã đơn; ","")&amp;IF(ISNA(MATCH($C1901,DATA_MASTER!$D$2:$D$5000,0)),"SĐT chưa đăng ký hội viên; ","")&amp;IF(AND($L1901="Đã chuyển khoản",$M1901=""),"Thiếu ngày nhận CK; ",""))</f>
        <v/>
      </c>
      <c r="T1901" s="24" t="n"/>
    </row>
    <row r="1902" ht="14.25" customHeight="1" s="40">
      <c r="A1902" s="24" t="n"/>
      <c r="B1902" s="29" t="n"/>
      <c r="C1902" s="28" t="n"/>
      <c r="D1902" s="22">
        <f t="array" ref="D1902">IF($C1902="","",IFERROR(INDEX(DATA_MASTER!$C$2:$C$5000,MATCH($C1902,DATA_MASTER!$D$2:$D$5000,0)),""))</f>
        <v/>
      </c>
      <c r="E1902" s="22">
        <f t="array" ref="E1902">IF($C1902="","",IFERROR(INDEX(DATA_MASTER!$I$2:$I$5000,MATCH($C1902,DATA_MASTER!$D$2:$D$5000,0)),""))</f>
        <v/>
      </c>
      <c r="F1902" s="22">
        <f t="array" ref="F1902">IF($C1902="","",IFERROR(INDEX(DATA_MASTER!$L$2:$L$5000,MATCH($C1902,DATA_MASTER!$D$2:$D$5000,0)),""))</f>
        <v/>
      </c>
      <c r="G1902" s="24" t="n"/>
      <c r="H1902" s="24" t="n"/>
      <c r="I1902" s="30" t="n"/>
      <c r="J1902" s="23">
        <f>IF(OR($H1902="",$I1902=""),"",$H1902*$I1902)</f>
        <v/>
      </c>
      <c r="K1902" s="24" t="n"/>
      <c r="L1902" s="24" t="n"/>
      <c r="M1902" s="29" t="n"/>
      <c r="N1902" s="28" t="n"/>
      <c r="O1902" s="24" t="n"/>
      <c r="P1902" s="24" t="n"/>
      <c r="Q1902" s="24" t="n"/>
      <c r="R1902" s="24" t="n"/>
      <c r="S1902" s="22">
        <f>IF(AND($A1902="",$C1902=""),"",IF($A1902="","Thiếu mã đơn; ","")&amp;IF(COUNTIF($A$2:$A1902,$A1902)&gt;1,"Trùng mã đơn; ","")&amp;IF(ISNA(MATCH($C1902,DATA_MASTER!$D$2:$D$5000,0)),"SĐT chưa đăng ký hội viên; ","")&amp;IF(AND($L1902="Đã chuyển khoản",$M1902=""),"Thiếu ngày nhận CK; ",""))</f>
        <v/>
      </c>
      <c r="T1902" s="24" t="n"/>
    </row>
    <row r="1903" ht="14.25" customHeight="1" s="40">
      <c r="A1903" s="24" t="n"/>
      <c r="B1903" s="29" t="n"/>
      <c r="C1903" s="28" t="n"/>
      <c r="D1903" s="22">
        <f t="array" ref="D1903">IF($C1903="","",IFERROR(INDEX(DATA_MASTER!$C$2:$C$5000,MATCH($C1903,DATA_MASTER!$D$2:$D$5000,0)),""))</f>
        <v/>
      </c>
      <c r="E1903" s="22">
        <f t="array" ref="E1903">IF($C1903="","",IFERROR(INDEX(DATA_MASTER!$I$2:$I$5000,MATCH($C1903,DATA_MASTER!$D$2:$D$5000,0)),""))</f>
        <v/>
      </c>
      <c r="F1903" s="22">
        <f t="array" ref="F1903">IF($C1903="","",IFERROR(INDEX(DATA_MASTER!$L$2:$L$5000,MATCH($C1903,DATA_MASTER!$D$2:$D$5000,0)),""))</f>
        <v/>
      </c>
      <c r="G1903" s="24" t="n"/>
      <c r="H1903" s="24" t="n"/>
      <c r="I1903" s="30" t="n"/>
      <c r="J1903" s="23">
        <f>IF(OR($H1903="",$I1903=""),"",$H1903*$I1903)</f>
        <v/>
      </c>
      <c r="K1903" s="24" t="n"/>
      <c r="L1903" s="24" t="n"/>
      <c r="M1903" s="29" t="n"/>
      <c r="N1903" s="28" t="n"/>
      <c r="O1903" s="24" t="n"/>
      <c r="P1903" s="24" t="n"/>
      <c r="Q1903" s="24" t="n"/>
      <c r="R1903" s="24" t="n"/>
      <c r="S1903" s="22">
        <f>IF(AND($A1903="",$C1903=""),"",IF($A1903="","Thiếu mã đơn; ","")&amp;IF(COUNTIF($A$2:$A1903,$A1903)&gt;1,"Trùng mã đơn; ","")&amp;IF(ISNA(MATCH($C1903,DATA_MASTER!$D$2:$D$5000,0)),"SĐT chưa đăng ký hội viên; ","")&amp;IF(AND($L1903="Đã chuyển khoản",$M1903=""),"Thiếu ngày nhận CK; ",""))</f>
        <v/>
      </c>
      <c r="T1903" s="24" t="n"/>
    </row>
    <row r="1904" ht="14.25" customHeight="1" s="40">
      <c r="A1904" s="24" t="n"/>
      <c r="B1904" s="29" t="n"/>
      <c r="C1904" s="28" t="n"/>
      <c r="D1904" s="22">
        <f t="array" ref="D1904">IF($C1904="","",IFERROR(INDEX(DATA_MASTER!$C$2:$C$5000,MATCH($C1904,DATA_MASTER!$D$2:$D$5000,0)),""))</f>
        <v/>
      </c>
      <c r="E1904" s="22">
        <f t="array" ref="E1904">IF($C1904="","",IFERROR(INDEX(DATA_MASTER!$I$2:$I$5000,MATCH($C1904,DATA_MASTER!$D$2:$D$5000,0)),""))</f>
        <v/>
      </c>
      <c r="F1904" s="22">
        <f t="array" ref="F1904">IF($C1904="","",IFERROR(INDEX(DATA_MASTER!$L$2:$L$5000,MATCH($C1904,DATA_MASTER!$D$2:$D$5000,0)),""))</f>
        <v/>
      </c>
      <c r="G1904" s="24" t="n"/>
      <c r="H1904" s="24" t="n"/>
      <c r="I1904" s="30" t="n"/>
      <c r="J1904" s="23">
        <f>IF(OR($H1904="",$I1904=""),"",$H1904*$I1904)</f>
        <v/>
      </c>
      <c r="K1904" s="24" t="n"/>
      <c r="L1904" s="24" t="n"/>
      <c r="M1904" s="29" t="n"/>
      <c r="N1904" s="28" t="n"/>
      <c r="O1904" s="24" t="n"/>
      <c r="P1904" s="24" t="n"/>
      <c r="Q1904" s="24" t="n"/>
      <c r="R1904" s="24" t="n"/>
      <c r="S1904" s="22">
        <f>IF(AND($A1904="",$C1904=""),"",IF($A1904="","Thiếu mã đơn; ","")&amp;IF(COUNTIF($A$2:$A1904,$A1904)&gt;1,"Trùng mã đơn; ","")&amp;IF(ISNA(MATCH($C1904,DATA_MASTER!$D$2:$D$5000,0)),"SĐT chưa đăng ký hội viên; ","")&amp;IF(AND($L1904="Đã chuyển khoản",$M1904=""),"Thiếu ngày nhận CK; ",""))</f>
        <v/>
      </c>
      <c r="T1904" s="24" t="n"/>
    </row>
    <row r="1905" ht="14.25" customHeight="1" s="40">
      <c r="A1905" s="24" t="n"/>
      <c r="B1905" s="29" t="n"/>
      <c r="C1905" s="28" t="n"/>
      <c r="D1905" s="22">
        <f t="array" ref="D1905">IF($C1905="","",IFERROR(INDEX(DATA_MASTER!$C$2:$C$5000,MATCH($C1905,DATA_MASTER!$D$2:$D$5000,0)),""))</f>
        <v/>
      </c>
      <c r="E1905" s="22">
        <f t="array" ref="E1905">IF($C1905="","",IFERROR(INDEX(DATA_MASTER!$I$2:$I$5000,MATCH($C1905,DATA_MASTER!$D$2:$D$5000,0)),""))</f>
        <v/>
      </c>
      <c r="F1905" s="22">
        <f t="array" ref="F1905">IF($C1905="","",IFERROR(INDEX(DATA_MASTER!$L$2:$L$5000,MATCH($C1905,DATA_MASTER!$D$2:$D$5000,0)),""))</f>
        <v/>
      </c>
      <c r="G1905" s="24" t="n"/>
      <c r="H1905" s="24" t="n"/>
      <c r="I1905" s="30" t="n"/>
      <c r="J1905" s="23">
        <f>IF(OR($H1905="",$I1905=""),"",$H1905*$I1905)</f>
        <v/>
      </c>
      <c r="K1905" s="24" t="n"/>
      <c r="L1905" s="24" t="n"/>
      <c r="M1905" s="29" t="n"/>
      <c r="N1905" s="28" t="n"/>
      <c r="O1905" s="24" t="n"/>
      <c r="P1905" s="24" t="n"/>
      <c r="Q1905" s="24" t="n"/>
      <c r="R1905" s="24" t="n"/>
      <c r="S1905" s="22">
        <f>IF(AND($A1905="",$C1905=""),"",IF($A1905="","Thiếu mã đơn; ","")&amp;IF(COUNTIF($A$2:$A1905,$A1905)&gt;1,"Trùng mã đơn; ","")&amp;IF(ISNA(MATCH($C1905,DATA_MASTER!$D$2:$D$5000,0)),"SĐT chưa đăng ký hội viên; ","")&amp;IF(AND($L1905="Đã chuyển khoản",$M1905=""),"Thiếu ngày nhận CK; ",""))</f>
        <v/>
      </c>
      <c r="T1905" s="24" t="n"/>
    </row>
    <row r="1906" ht="14.25" customHeight="1" s="40">
      <c r="A1906" s="24" t="n"/>
      <c r="B1906" s="29" t="n"/>
      <c r="C1906" s="28" t="n"/>
      <c r="D1906" s="22">
        <f t="array" ref="D1906">IF($C1906="","",IFERROR(INDEX(DATA_MASTER!$C$2:$C$5000,MATCH($C1906,DATA_MASTER!$D$2:$D$5000,0)),""))</f>
        <v/>
      </c>
      <c r="E1906" s="22">
        <f t="array" ref="E1906">IF($C1906="","",IFERROR(INDEX(DATA_MASTER!$I$2:$I$5000,MATCH($C1906,DATA_MASTER!$D$2:$D$5000,0)),""))</f>
        <v/>
      </c>
      <c r="F1906" s="22">
        <f t="array" ref="F1906">IF($C1906="","",IFERROR(INDEX(DATA_MASTER!$L$2:$L$5000,MATCH($C1906,DATA_MASTER!$D$2:$D$5000,0)),""))</f>
        <v/>
      </c>
      <c r="G1906" s="24" t="n"/>
      <c r="H1906" s="24" t="n"/>
      <c r="I1906" s="30" t="n"/>
      <c r="J1906" s="23">
        <f>IF(OR($H1906="",$I1906=""),"",$H1906*$I1906)</f>
        <v/>
      </c>
      <c r="K1906" s="24" t="n"/>
      <c r="L1906" s="24" t="n"/>
      <c r="M1906" s="29" t="n"/>
      <c r="N1906" s="28" t="n"/>
      <c r="O1906" s="24" t="n"/>
      <c r="P1906" s="24" t="n"/>
      <c r="Q1906" s="24" t="n"/>
      <c r="R1906" s="24" t="n"/>
      <c r="S1906" s="22">
        <f>IF(AND($A1906="",$C1906=""),"",IF($A1906="","Thiếu mã đơn; ","")&amp;IF(COUNTIF($A$2:$A1906,$A1906)&gt;1,"Trùng mã đơn; ","")&amp;IF(ISNA(MATCH($C1906,DATA_MASTER!$D$2:$D$5000,0)),"SĐT chưa đăng ký hội viên; ","")&amp;IF(AND($L1906="Đã chuyển khoản",$M1906=""),"Thiếu ngày nhận CK; ",""))</f>
        <v/>
      </c>
      <c r="T1906" s="24" t="n"/>
    </row>
    <row r="1907" ht="14.25" customHeight="1" s="40">
      <c r="A1907" s="24" t="n"/>
      <c r="B1907" s="29" t="n"/>
      <c r="C1907" s="28" t="n"/>
      <c r="D1907" s="22">
        <f t="array" ref="D1907">IF($C1907="","",IFERROR(INDEX(DATA_MASTER!$C$2:$C$5000,MATCH($C1907,DATA_MASTER!$D$2:$D$5000,0)),""))</f>
        <v/>
      </c>
      <c r="E1907" s="22">
        <f t="array" ref="E1907">IF($C1907="","",IFERROR(INDEX(DATA_MASTER!$I$2:$I$5000,MATCH($C1907,DATA_MASTER!$D$2:$D$5000,0)),""))</f>
        <v/>
      </c>
      <c r="F1907" s="22">
        <f t="array" ref="F1907">IF($C1907="","",IFERROR(INDEX(DATA_MASTER!$L$2:$L$5000,MATCH($C1907,DATA_MASTER!$D$2:$D$5000,0)),""))</f>
        <v/>
      </c>
      <c r="G1907" s="24" t="n"/>
      <c r="H1907" s="24" t="n"/>
      <c r="I1907" s="30" t="n"/>
      <c r="J1907" s="23">
        <f>IF(OR($H1907="",$I1907=""),"",$H1907*$I1907)</f>
        <v/>
      </c>
      <c r="K1907" s="24" t="n"/>
      <c r="L1907" s="24" t="n"/>
      <c r="M1907" s="29" t="n"/>
      <c r="N1907" s="28" t="n"/>
      <c r="O1907" s="24" t="n"/>
      <c r="P1907" s="24" t="n"/>
      <c r="Q1907" s="24" t="n"/>
      <c r="R1907" s="24" t="n"/>
      <c r="S1907" s="22">
        <f>IF(AND($A1907="",$C1907=""),"",IF($A1907="","Thiếu mã đơn; ","")&amp;IF(COUNTIF($A$2:$A1907,$A1907)&gt;1,"Trùng mã đơn; ","")&amp;IF(ISNA(MATCH($C1907,DATA_MASTER!$D$2:$D$5000,0)),"SĐT chưa đăng ký hội viên; ","")&amp;IF(AND($L1907="Đã chuyển khoản",$M1907=""),"Thiếu ngày nhận CK; ",""))</f>
        <v/>
      </c>
      <c r="T1907" s="24" t="n"/>
    </row>
    <row r="1908" ht="14.25" customHeight="1" s="40">
      <c r="A1908" s="24" t="n"/>
      <c r="B1908" s="29" t="n"/>
      <c r="C1908" s="28" t="n"/>
      <c r="D1908" s="22">
        <f t="array" ref="D1908">IF($C1908="","",IFERROR(INDEX(DATA_MASTER!$C$2:$C$5000,MATCH($C1908,DATA_MASTER!$D$2:$D$5000,0)),""))</f>
        <v/>
      </c>
      <c r="E1908" s="22">
        <f t="array" ref="E1908">IF($C1908="","",IFERROR(INDEX(DATA_MASTER!$I$2:$I$5000,MATCH($C1908,DATA_MASTER!$D$2:$D$5000,0)),""))</f>
        <v/>
      </c>
      <c r="F1908" s="22">
        <f t="array" ref="F1908">IF($C1908="","",IFERROR(INDEX(DATA_MASTER!$L$2:$L$5000,MATCH($C1908,DATA_MASTER!$D$2:$D$5000,0)),""))</f>
        <v/>
      </c>
      <c r="G1908" s="24" t="n"/>
      <c r="H1908" s="24" t="n"/>
      <c r="I1908" s="30" t="n"/>
      <c r="J1908" s="23">
        <f>IF(OR($H1908="",$I1908=""),"",$H1908*$I1908)</f>
        <v/>
      </c>
      <c r="K1908" s="24" t="n"/>
      <c r="L1908" s="24" t="n"/>
      <c r="M1908" s="29" t="n"/>
      <c r="N1908" s="28" t="n"/>
      <c r="O1908" s="24" t="n"/>
      <c r="P1908" s="24" t="n"/>
      <c r="Q1908" s="24" t="n"/>
      <c r="R1908" s="24" t="n"/>
      <c r="S1908" s="22">
        <f>IF(AND($A1908="",$C1908=""),"",IF($A1908="","Thiếu mã đơn; ","")&amp;IF(COUNTIF($A$2:$A1908,$A1908)&gt;1,"Trùng mã đơn; ","")&amp;IF(ISNA(MATCH($C1908,DATA_MASTER!$D$2:$D$5000,0)),"SĐT chưa đăng ký hội viên; ","")&amp;IF(AND($L1908="Đã chuyển khoản",$M1908=""),"Thiếu ngày nhận CK; ",""))</f>
        <v/>
      </c>
      <c r="T1908" s="24" t="n"/>
    </row>
    <row r="1909" ht="14.25" customHeight="1" s="40">
      <c r="A1909" s="24" t="n"/>
      <c r="B1909" s="29" t="n"/>
      <c r="C1909" s="28" t="n"/>
      <c r="D1909" s="22">
        <f t="array" ref="D1909">IF($C1909="","",IFERROR(INDEX(DATA_MASTER!$C$2:$C$5000,MATCH($C1909,DATA_MASTER!$D$2:$D$5000,0)),""))</f>
        <v/>
      </c>
      <c r="E1909" s="22">
        <f t="array" ref="E1909">IF($C1909="","",IFERROR(INDEX(DATA_MASTER!$I$2:$I$5000,MATCH($C1909,DATA_MASTER!$D$2:$D$5000,0)),""))</f>
        <v/>
      </c>
      <c r="F1909" s="22">
        <f t="array" ref="F1909">IF($C1909="","",IFERROR(INDEX(DATA_MASTER!$L$2:$L$5000,MATCH($C1909,DATA_MASTER!$D$2:$D$5000,0)),""))</f>
        <v/>
      </c>
      <c r="G1909" s="24" t="n"/>
      <c r="H1909" s="24" t="n"/>
      <c r="I1909" s="30" t="n"/>
      <c r="J1909" s="23">
        <f>IF(OR($H1909="",$I1909=""),"",$H1909*$I1909)</f>
        <v/>
      </c>
      <c r="K1909" s="24" t="n"/>
      <c r="L1909" s="24" t="n"/>
      <c r="M1909" s="29" t="n"/>
      <c r="N1909" s="28" t="n"/>
      <c r="O1909" s="24" t="n"/>
      <c r="P1909" s="24" t="n"/>
      <c r="Q1909" s="24" t="n"/>
      <c r="R1909" s="24" t="n"/>
      <c r="S1909" s="22">
        <f>IF(AND($A1909="",$C1909=""),"",IF($A1909="","Thiếu mã đơn; ","")&amp;IF(COUNTIF($A$2:$A1909,$A1909)&gt;1,"Trùng mã đơn; ","")&amp;IF(ISNA(MATCH($C1909,DATA_MASTER!$D$2:$D$5000,0)),"SĐT chưa đăng ký hội viên; ","")&amp;IF(AND($L1909="Đã chuyển khoản",$M1909=""),"Thiếu ngày nhận CK; ",""))</f>
        <v/>
      </c>
      <c r="T1909" s="24" t="n"/>
    </row>
    <row r="1910" ht="14.25" customHeight="1" s="40">
      <c r="A1910" s="24" t="n"/>
      <c r="B1910" s="29" t="n"/>
      <c r="C1910" s="28" t="n"/>
      <c r="D1910" s="22">
        <f t="array" ref="D1910">IF($C1910="","",IFERROR(INDEX(DATA_MASTER!$C$2:$C$5000,MATCH($C1910,DATA_MASTER!$D$2:$D$5000,0)),""))</f>
        <v/>
      </c>
      <c r="E1910" s="22">
        <f t="array" ref="E1910">IF($C1910="","",IFERROR(INDEX(DATA_MASTER!$I$2:$I$5000,MATCH($C1910,DATA_MASTER!$D$2:$D$5000,0)),""))</f>
        <v/>
      </c>
      <c r="F1910" s="22">
        <f t="array" ref="F1910">IF($C1910="","",IFERROR(INDEX(DATA_MASTER!$L$2:$L$5000,MATCH($C1910,DATA_MASTER!$D$2:$D$5000,0)),""))</f>
        <v/>
      </c>
      <c r="G1910" s="24" t="n"/>
      <c r="H1910" s="24" t="n"/>
      <c r="I1910" s="30" t="n"/>
      <c r="J1910" s="23">
        <f>IF(OR($H1910="",$I1910=""),"",$H1910*$I1910)</f>
        <v/>
      </c>
      <c r="K1910" s="24" t="n"/>
      <c r="L1910" s="24" t="n"/>
      <c r="M1910" s="29" t="n"/>
      <c r="N1910" s="28" t="n"/>
      <c r="O1910" s="24" t="n"/>
      <c r="P1910" s="24" t="n"/>
      <c r="Q1910" s="24" t="n"/>
      <c r="R1910" s="24" t="n"/>
      <c r="S1910" s="22">
        <f>IF(AND($A1910="",$C1910=""),"",IF($A1910="","Thiếu mã đơn; ","")&amp;IF(COUNTIF($A$2:$A1910,$A1910)&gt;1,"Trùng mã đơn; ","")&amp;IF(ISNA(MATCH($C1910,DATA_MASTER!$D$2:$D$5000,0)),"SĐT chưa đăng ký hội viên; ","")&amp;IF(AND($L1910="Đã chuyển khoản",$M1910=""),"Thiếu ngày nhận CK; ",""))</f>
        <v/>
      </c>
      <c r="T1910" s="24" t="n"/>
    </row>
    <row r="1911" ht="14.25" customHeight="1" s="40">
      <c r="A1911" s="24" t="n"/>
      <c r="B1911" s="29" t="n"/>
      <c r="C1911" s="28" t="n"/>
      <c r="D1911" s="22">
        <f t="array" ref="D1911">IF($C1911="","",IFERROR(INDEX(DATA_MASTER!$C$2:$C$5000,MATCH($C1911,DATA_MASTER!$D$2:$D$5000,0)),""))</f>
        <v/>
      </c>
      <c r="E1911" s="22">
        <f t="array" ref="E1911">IF($C1911="","",IFERROR(INDEX(DATA_MASTER!$I$2:$I$5000,MATCH($C1911,DATA_MASTER!$D$2:$D$5000,0)),""))</f>
        <v/>
      </c>
      <c r="F1911" s="22">
        <f t="array" ref="F1911">IF($C1911="","",IFERROR(INDEX(DATA_MASTER!$L$2:$L$5000,MATCH($C1911,DATA_MASTER!$D$2:$D$5000,0)),""))</f>
        <v/>
      </c>
      <c r="G1911" s="24" t="n"/>
      <c r="H1911" s="24" t="n"/>
      <c r="I1911" s="30" t="n"/>
      <c r="J1911" s="23">
        <f>IF(OR($H1911="",$I1911=""),"",$H1911*$I1911)</f>
        <v/>
      </c>
      <c r="K1911" s="24" t="n"/>
      <c r="L1911" s="24" t="n"/>
      <c r="M1911" s="29" t="n"/>
      <c r="N1911" s="28" t="n"/>
      <c r="O1911" s="24" t="n"/>
      <c r="P1911" s="24" t="n"/>
      <c r="Q1911" s="24" t="n"/>
      <c r="R1911" s="24" t="n"/>
      <c r="S1911" s="22">
        <f>IF(AND($A1911="",$C1911=""),"",IF($A1911="","Thiếu mã đơn; ","")&amp;IF(COUNTIF($A$2:$A1911,$A1911)&gt;1,"Trùng mã đơn; ","")&amp;IF(ISNA(MATCH($C1911,DATA_MASTER!$D$2:$D$5000,0)),"SĐT chưa đăng ký hội viên; ","")&amp;IF(AND($L1911="Đã chuyển khoản",$M1911=""),"Thiếu ngày nhận CK; ",""))</f>
        <v/>
      </c>
      <c r="T1911" s="24" t="n"/>
    </row>
    <row r="1912" ht="14.25" customHeight="1" s="40">
      <c r="A1912" s="24" t="n"/>
      <c r="B1912" s="29" t="n"/>
      <c r="C1912" s="28" t="n"/>
      <c r="D1912" s="22">
        <f t="array" ref="D1912">IF($C1912="","",IFERROR(INDEX(DATA_MASTER!$C$2:$C$5000,MATCH($C1912,DATA_MASTER!$D$2:$D$5000,0)),""))</f>
        <v/>
      </c>
      <c r="E1912" s="22">
        <f t="array" ref="E1912">IF($C1912="","",IFERROR(INDEX(DATA_MASTER!$I$2:$I$5000,MATCH($C1912,DATA_MASTER!$D$2:$D$5000,0)),""))</f>
        <v/>
      </c>
      <c r="F1912" s="22">
        <f t="array" ref="F1912">IF($C1912="","",IFERROR(INDEX(DATA_MASTER!$L$2:$L$5000,MATCH($C1912,DATA_MASTER!$D$2:$D$5000,0)),""))</f>
        <v/>
      </c>
      <c r="G1912" s="24" t="n"/>
      <c r="H1912" s="24" t="n"/>
      <c r="I1912" s="30" t="n"/>
      <c r="J1912" s="23">
        <f>IF(OR($H1912="",$I1912=""),"",$H1912*$I1912)</f>
        <v/>
      </c>
      <c r="K1912" s="24" t="n"/>
      <c r="L1912" s="24" t="n"/>
      <c r="M1912" s="29" t="n"/>
      <c r="N1912" s="28" t="n"/>
      <c r="O1912" s="24" t="n"/>
      <c r="P1912" s="24" t="n"/>
      <c r="Q1912" s="24" t="n"/>
      <c r="R1912" s="24" t="n"/>
      <c r="S1912" s="22">
        <f>IF(AND($A1912="",$C1912=""),"",IF($A1912="","Thiếu mã đơn; ","")&amp;IF(COUNTIF($A$2:$A1912,$A1912)&gt;1,"Trùng mã đơn; ","")&amp;IF(ISNA(MATCH($C1912,DATA_MASTER!$D$2:$D$5000,0)),"SĐT chưa đăng ký hội viên; ","")&amp;IF(AND($L1912="Đã chuyển khoản",$M1912=""),"Thiếu ngày nhận CK; ",""))</f>
        <v/>
      </c>
      <c r="T1912" s="24" t="n"/>
    </row>
    <row r="1913" ht="14.25" customHeight="1" s="40">
      <c r="A1913" s="24" t="n"/>
      <c r="B1913" s="29" t="n"/>
      <c r="C1913" s="28" t="n"/>
      <c r="D1913" s="22">
        <f t="array" ref="D1913">IF($C1913="","",IFERROR(INDEX(DATA_MASTER!$C$2:$C$5000,MATCH($C1913,DATA_MASTER!$D$2:$D$5000,0)),""))</f>
        <v/>
      </c>
      <c r="E1913" s="22">
        <f t="array" ref="E1913">IF($C1913="","",IFERROR(INDEX(DATA_MASTER!$I$2:$I$5000,MATCH($C1913,DATA_MASTER!$D$2:$D$5000,0)),""))</f>
        <v/>
      </c>
      <c r="F1913" s="22">
        <f t="array" ref="F1913">IF($C1913="","",IFERROR(INDEX(DATA_MASTER!$L$2:$L$5000,MATCH($C1913,DATA_MASTER!$D$2:$D$5000,0)),""))</f>
        <v/>
      </c>
      <c r="G1913" s="24" t="n"/>
      <c r="H1913" s="24" t="n"/>
      <c r="I1913" s="30" t="n"/>
      <c r="J1913" s="23">
        <f>IF(OR($H1913="",$I1913=""),"",$H1913*$I1913)</f>
        <v/>
      </c>
      <c r="K1913" s="24" t="n"/>
      <c r="L1913" s="24" t="n"/>
      <c r="M1913" s="29" t="n"/>
      <c r="N1913" s="28" t="n"/>
      <c r="O1913" s="24" t="n"/>
      <c r="P1913" s="24" t="n"/>
      <c r="Q1913" s="24" t="n"/>
      <c r="R1913" s="24" t="n"/>
      <c r="S1913" s="22">
        <f>IF(AND($A1913="",$C1913=""),"",IF($A1913="","Thiếu mã đơn; ","")&amp;IF(COUNTIF($A$2:$A1913,$A1913)&gt;1,"Trùng mã đơn; ","")&amp;IF(ISNA(MATCH($C1913,DATA_MASTER!$D$2:$D$5000,0)),"SĐT chưa đăng ký hội viên; ","")&amp;IF(AND($L1913="Đã chuyển khoản",$M1913=""),"Thiếu ngày nhận CK; ",""))</f>
        <v/>
      </c>
      <c r="T1913" s="24" t="n"/>
    </row>
    <row r="1914" ht="14.25" customHeight="1" s="40">
      <c r="A1914" s="24" t="n"/>
      <c r="B1914" s="29" t="n"/>
      <c r="C1914" s="28" t="n"/>
      <c r="D1914" s="22">
        <f t="array" ref="D1914">IF($C1914="","",IFERROR(INDEX(DATA_MASTER!$C$2:$C$5000,MATCH($C1914,DATA_MASTER!$D$2:$D$5000,0)),""))</f>
        <v/>
      </c>
      <c r="E1914" s="22">
        <f t="array" ref="E1914">IF($C1914="","",IFERROR(INDEX(DATA_MASTER!$I$2:$I$5000,MATCH($C1914,DATA_MASTER!$D$2:$D$5000,0)),""))</f>
        <v/>
      </c>
      <c r="F1914" s="22">
        <f t="array" ref="F1914">IF($C1914="","",IFERROR(INDEX(DATA_MASTER!$L$2:$L$5000,MATCH($C1914,DATA_MASTER!$D$2:$D$5000,0)),""))</f>
        <v/>
      </c>
      <c r="G1914" s="24" t="n"/>
      <c r="H1914" s="24" t="n"/>
      <c r="I1914" s="30" t="n"/>
      <c r="J1914" s="23">
        <f>IF(OR($H1914="",$I1914=""),"",$H1914*$I1914)</f>
        <v/>
      </c>
      <c r="K1914" s="24" t="n"/>
      <c r="L1914" s="24" t="n"/>
      <c r="M1914" s="29" t="n"/>
      <c r="N1914" s="28" t="n"/>
      <c r="O1914" s="24" t="n"/>
      <c r="P1914" s="24" t="n"/>
      <c r="Q1914" s="24" t="n"/>
      <c r="R1914" s="24" t="n"/>
      <c r="S1914" s="22">
        <f>IF(AND($A1914="",$C1914=""),"",IF($A1914="","Thiếu mã đơn; ","")&amp;IF(COUNTIF($A$2:$A1914,$A1914)&gt;1,"Trùng mã đơn; ","")&amp;IF(ISNA(MATCH($C1914,DATA_MASTER!$D$2:$D$5000,0)),"SĐT chưa đăng ký hội viên; ","")&amp;IF(AND($L1914="Đã chuyển khoản",$M1914=""),"Thiếu ngày nhận CK; ",""))</f>
        <v/>
      </c>
      <c r="T1914" s="24" t="n"/>
    </row>
    <row r="1915" ht="14.25" customHeight="1" s="40">
      <c r="A1915" s="24" t="n"/>
      <c r="B1915" s="29" t="n"/>
      <c r="C1915" s="28" t="n"/>
      <c r="D1915" s="22">
        <f t="array" ref="D1915">IF($C1915="","",IFERROR(INDEX(DATA_MASTER!$C$2:$C$5000,MATCH($C1915,DATA_MASTER!$D$2:$D$5000,0)),""))</f>
        <v/>
      </c>
      <c r="E1915" s="22">
        <f t="array" ref="E1915">IF($C1915="","",IFERROR(INDEX(DATA_MASTER!$I$2:$I$5000,MATCH($C1915,DATA_MASTER!$D$2:$D$5000,0)),""))</f>
        <v/>
      </c>
      <c r="F1915" s="22">
        <f t="array" ref="F1915">IF($C1915="","",IFERROR(INDEX(DATA_MASTER!$L$2:$L$5000,MATCH($C1915,DATA_MASTER!$D$2:$D$5000,0)),""))</f>
        <v/>
      </c>
      <c r="G1915" s="24" t="n"/>
      <c r="H1915" s="24" t="n"/>
      <c r="I1915" s="30" t="n"/>
      <c r="J1915" s="23">
        <f>IF(OR($H1915="",$I1915=""),"",$H1915*$I1915)</f>
        <v/>
      </c>
      <c r="K1915" s="24" t="n"/>
      <c r="L1915" s="24" t="n"/>
      <c r="M1915" s="29" t="n"/>
      <c r="N1915" s="28" t="n"/>
      <c r="O1915" s="24" t="n"/>
      <c r="P1915" s="24" t="n"/>
      <c r="Q1915" s="24" t="n"/>
      <c r="R1915" s="24" t="n"/>
      <c r="S1915" s="22">
        <f>IF(AND($A1915="",$C1915=""),"",IF($A1915="","Thiếu mã đơn; ","")&amp;IF(COUNTIF($A$2:$A1915,$A1915)&gt;1,"Trùng mã đơn; ","")&amp;IF(ISNA(MATCH($C1915,DATA_MASTER!$D$2:$D$5000,0)),"SĐT chưa đăng ký hội viên; ","")&amp;IF(AND($L1915="Đã chuyển khoản",$M1915=""),"Thiếu ngày nhận CK; ",""))</f>
        <v/>
      </c>
      <c r="T1915" s="24" t="n"/>
    </row>
    <row r="1916" ht="14.25" customHeight="1" s="40">
      <c r="A1916" s="24" t="n"/>
      <c r="B1916" s="29" t="n"/>
      <c r="C1916" s="28" t="n"/>
      <c r="D1916" s="22">
        <f t="array" ref="D1916">IF($C1916="","",IFERROR(INDEX(DATA_MASTER!$C$2:$C$5000,MATCH($C1916,DATA_MASTER!$D$2:$D$5000,0)),""))</f>
        <v/>
      </c>
      <c r="E1916" s="22">
        <f t="array" ref="E1916">IF($C1916="","",IFERROR(INDEX(DATA_MASTER!$I$2:$I$5000,MATCH($C1916,DATA_MASTER!$D$2:$D$5000,0)),""))</f>
        <v/>
      </c>
      <c r="F1916" s="22">
        <f t="array" ref="F1916">IF($C1916="","",IFERROR(INDEX(DATA_MASTER!$L$2:$L$5000,MATCH($C1916,DATA_MASTER!$D$2:$D$5000,0)),""))</f>
        <v/>
      </c>
      <c r="G1916" s="24" t="n"/>
      <c r="H1916" s="24" t="n"/>
      <c r="I1916" s="30" t="n"/>
      <c r="J1916" s="23">
        <f>IF(OR($H1916="",$I1916=""),"",$H1916*$I1916)</f>
        <v/>
      </c>
      <c r="K1916" s="24" t="n"/>
      <c r="L1916" s="24" t="n"/>
      <c r="M1916" s="29" t="n"/>
      <c r="N1916" s="28" t="n"/>
      <c r="O1916" s="24" t="n"/>
      <c r="P1916" s="24" t="n"/>
      <c r="Q1916" s="24" t="n"/>
      <c r="R1916" s="24" t="n"/>
      <c r="S1916" s="22">
        <f>IF(AND($A1916="",$C1916=""),"",IF($A1916="","Thiếu mã đơn; ","")&amp;IF(COUNTIF($A$2:$A1916,$A1916)&gt;1,"Trùng mã đơn; ","")&amp;IF(ISNA(MATCH($C1916,DATA_MASTER!$D$2:$D$5000,0)),"SĐT chưa đăng ký hội viên; ","")&amp;IF(AND($L1916="Đã chuyển khoản",$M1916=""),"Thiếu ngày nhận CK; ",""))</f>
        <v/>
      </c>
      <c r="T1916" s="24" t="n"/>
    </row>
    <row r="1917" ht="14.25" customHeight="1" s="40">
      <c r="A1917" s="24" t="n"/>
      <c r="B1917" s="29" t="n"/>
      <c r="C1917" s="28" t="n"/>
      <c r="D1917" s="22">
        <f t="array" ref="D1917">IF($C1917="","",IFERROR(INDEX(DATA_MASTER!$C$2:$C$5000,MATCH($C1917,DATA_MASTER!$D$2:$D$5000,0)),""))</f>
        <v/>
      </c>
      <c r="E1917" s="22">
        <f t="array" ref="E1917">IF($C1917="","",IFERROR(INDEX(DATA_MASTER!$I$2:$I$5000,MATCH($C1917,DATA_MASTER!$D$2:$D$5000,0)),""))</f>
        <v/>
      </c>
      <c r="F1917" s="22">
        <f t="array" ref="F1917">IF($C1917="","",IFERROR(INDEX(DATA_MASTER!$L$2:$L$5000,MATCH($C1917,DATA_MASTER!$D$2:$D$5000,0)),""))</f>
        <v/>
      </c>
      <c r="G1917" s="24" t="n"/>
      <c r="H1917" s="24" t="n"/>
      <c r="I1917" s="30" t="n"/>
      <c r="J1917" s="23">
        <f>IF(OR($H1917="",$I1917=""),"",$H1917*$I1917)</f>
        <v/>
      </c>
      <c r="K1917" s="24" t="n"/>
      <c r="L1917" s="24" t="n"/>
      <c r="M1917" s="29" t="n"/>
      <c r="N1917" s="28" t="n"/>
      <c r="O1917" s="24" t="n"/>
      <c r="P1917" s="24" t="n"/>
      <c r="Q1917" s="24" t="n"/>
      <c r="R1917" s="24" t="n"/>
      <c r="S1917" s="22">
        <f>IF(AND($A1917="",$C1917=""),"",IF($A1917="","Thiếu mã đơn; ","")&amp;IF(COUNTIF($A$2:$A1917,$A1917)&gt;1,"Trùng mã đơn; ","")&amp;IF(ISNA(MATCH($C1917,DATA_MASTER!$D$2:$D$5000,0)),"SĐT chưa đăng ký hội viên; ","")&amp;IF(AND($L1917="Đã chuyển khoản",$M1917=""),"Thiếu ngày nhận CK; ",""))</f>
        <v/>
      </c>
      <c r="T1917" s="24" t="n"/>
    </row>
    <row r="1918" ht="14.25" customHeight="1" s="40">
      <c r="A1918" s="24" t="n"/>
      <c r="B1918" s="29" t="n"/>
      <c r="C1918" s="28" t="n"/>
      <c r="D1918" s="22">
        <f t="array" ref="D1918">IF($C1918="","",IFERROR(INDEX(DATA_MASTER!$C$2:$C$5000,MATCH($C1918,DATA_MASTER!$D$2:$D$5000,0)),""))</f>
        <v/>
      </c>
      <c r="E1918" s="22">
        <f t="array" ref="E1918">IF($C1918="","",IFERROR(INDEX(DATA_MASTER!$I$2:$I$5000,MATCH($C1918,DATA_MASTER!$D$2:$D$5000,0)),""))</f>
        <v/>
      </c>
      <c r="F1918" s="22">
        <f t="array" ref="F1918">IF($C1918="","",IFERROR(INDEX(DATA_MASTER!$L$2:$L$5000,MATCH($C1918,DATA_MASTER!$D$2:$D$5000,0)),""))</f>
        <v/>
      </c>
      <c r="G1918" s="24" t="n"/>
      <c r="H1918" s="24" t="n"/>
      <c r="I1918" s="30" t="n"/>
      <c r="J1918" s="23">
        <f>IF(OR($H1918="",$I1918=""),"",$H1918*$I1918)</f>
        <v/>
      </c>
      <c r="K1918" s="24" t="n"/>
      <c r="L1918" s="24" t="n"/>
      <c r="M1918" s="29" t="n"/>
      <c r="N1918" s="28" t="n"/>
      <c r="O1918" s="24" t="n"/>
      <c r="P1918" s="24" t="n"/>
      <c r="Q1918" s="24" t="n"/>
      <c r="R1918" s="24" t="n"/>
      <c r="S1918" s="22">
        <f>IF(AND($A1918="",$C1918=""),"",IF($A1918="","Thiếu mã đơn; ","")&amp;IF(COUNTIF($A$2:$A1918,$A1918)&gt;1,"Trùng mã đơn; ","")&amp;IF(ISNA(MATCH($C1918,DATA_MASTER!$D$2:$D$5000,0)),"SĐT chưa đăng ký hội viên; ","")&amp;IF(AND($L1918="Đã chuyển khoản",$M1918=""),"Thiếu ngày nhận CK; ",""))</f>
        <v/>
      </c>
      <c r="T1918" s="24" t="n"/>
    </row>
    <row r="1919" ht="14.25" customHeight="1" s="40">
      <c r="A1919" s="24" t="n"/>
      <c r="B1919" s="29" t="n"/>
      <c r="C1919" s="28" t="n"/>
      <c r="D1919" s="22">
        <f t="array" ref="D1919">IF($C1919="","",IFERROR(INDEX(DATA_MASTER!$C$2:$C$5000,MATCH($C1919,DATA_MASTER!$D$2:$D$5000,0)),""))</f>
        <v/>
      </c>
      <c r="E1919" s="22">
        <f t="array" ref="E1919">IF($C1919="","",IFERROR(INDEX(DATA_MASTER!$I$2:$I$5000,MATCH($C1919,DATA_MASTER!$D$2:$D$5000,0)),""))</f>
        <v/>
      </c>
      <c r="F1919" s="22">
        <f t="array" ref="F1919">IF($C1919="","",IFERROR(INDEX(DATA_MASTER!$L$2:$L$5000,MATCH($C1919,DATA_MASTER!$D$2:$D$5000,0)),""))</f>
        <v/>
      </c>
      <c r="G1919" s="24" t="n"/>
      <c r="H1919" s="24" t="n"/>
      <c r="I1919" s="30" t="n"/>
      <c r="J1919" s="23">
        <f>IF(OR($H1919="",$I1919=""),"",$H1919*$I1919)</f>
        <v/>
      </c>
      <c r="K1919" s="24" t="n"/>
      <c r="L1919" s="24" t="n"/>
      <c r="M1919" s="29" t="n"/>
      <c r="N1919" s="28" t="n"/>
      <c r="O1919" s="24" t="n"/>
      <c r="P1919" s="24" t="n"/>
      <c r="Q1919" s="24" t="n"/>
      <c r="R1919" s="24" t="n"/>
      <c r="S1919" s="22">
        <f>IF(AND($A1919="",$C1919=""),"",IF($A1919="","Thiếu mã đơn; ","")&amp;IF(COUNTIF($A$2:$A1919,$A1919)&gt;1,"Trùng mã đơn; ","")&amp;IF(ISNA(MATCH($C1919,DATA_MASTER!$D$2:$D$5000,0)),"SĐT chưa đăng ký hội viên; ","")&amp;IF(AND($L1919="Đã chuyển khoản",$M1919=""),"Thiếu ngày nhận CK; ",""))</f>
        <v/>
      </c>
      <c r="T1919" s="24" t="n"/>
    </row>
    <row r="1920" ht="14.25" customHeight="1" s="40">
      <c r="A1920" s="24" t="n"/>
      <c r="B1920" s="29" t="n"/>
      <c r="C1920" s="28" t="n"/>
      <c r="D1920" s="22">
        <f t="array" ref="D1920">IF($C1920="","",IFERROR(INDEX(DATA_MASTER!$C$2:$C$5000,MATCH($C1920,DATA_MASTER!$D$2:$D$5000,0)),""))</f>
        <v/>
      </c>
      <c r="E1920" s="22">
        <f t="array" ref="E1920">IF($C1920="","",IFERROR(INDEX(DATA_MASTER!$I$2:$I$5000,MATCH($C1920,DATA_MASTER!$D$2:$D$5000,0)),""))</f>
        <v/>
      </c>
      <c r="F1920" s="22">
        <f t="array" ref="F1920">IF($C1920="","",IFERROR(INDEX(DATA_MASTER!$L$2:$L$5000,MATCH($C1920,DATA_MASTER!$D$2:$D$5000,0)),""))</f>
        <v/>
      </c>
      <c r="G1920" s="24" t="n"/>
      <c r="H1920" s="24" t="n"/>
      <c r="I1920" s="30" t="n"/>
      <c r="J1920" s="23">
        <f>IF(OR($H1920="",$I1920=""),"",$H1920*$I1920)</f>
        <v/>
      </c>
      <c r="K1920" s="24" t="n"/>
      <c r="L1920" s="24" t="n"/>
      <c r="M1920" s="29" t="n"/>
      <c r="N1920" s="28" t="n"/>
      <c r="O1920" s="24" t="n"/>
      <c r="P1920" s="24" t="n"/>
      <c r="Q1920" s="24" t="n"/>
      <c r="R1920" s="24" t="n"/>
      <c r="S1920" s="22">
        <f>IF(AND($A1920="",$C1920=""),"",IF($A1920="","Thiếu mã đơn; ","")&amp;IF(COUNTIF($A$2:$A1920,$A1920)&gt;1,"Trùng mã đơn; ","")&amp;IF(ISNA(MATCH($C1920,DATA_MASTER!$D$2:$D$5000,0)),"SĐT chưa đăng ký hội viên; ","")&amp;IF(AND($L1920="Đã chuyển khoản",$M1920=""),"Thiếu ngày nhận CK; ",""))</f>
        <v/>
      </c>
      <c r="T1920" s="24" t="n"/>
    </row>
    <row r="1921" ht="14.25" customHeight="1" s="40">
      <c r="A1921" s="24" t="n"/>
      <c r="B1921" s="29" t="n"/>
      <c r="C1921" s="28" t="n"/>
      <c r="D1921" s="22">
        <f t="array" ref="D1921">IF($C1921="","",IFERROR(INDEX(DATA_MASTER!$C$2:$C$5000,MATCH($C1921,DATA_MASTER!$D$2:$D$5000,0)),""))</f>
        <v/>
      </c>
      <c r="E1921" s="22">
        <f t="array" ref="E1921">IF($C1921="","",IFERROR(INDEX(DATA_MASTER!$I$2:$I$5000,MATCH($C1921,DATA_MASTER!$D$2:$D$5000,0)),""))</f>
        <v/>
      </c>
      <c r="F1921" s="22">
        <f t="array" ref="F1921">IF($C1921="","",IFERROR(INDEX(DATA_MASTER!$L$2:$L$5000,MATCH($C1921,DATA_MASTER!$D$2:$D$5000,0)),""))</f>
        <v/>
      </c>
      <c r="G1921" s="24" t="n"/>
      <c r="H1921" s="24" t="n"/>
      <c r="I1921" s="30" t="n"/>
      <c r="J1921" s="23">
        <f>IF(OR($H1921="",$I1921=""),"",$H1921*$I1921)</f>
        <v/>
      </c>
      <c r="K1921" s="24" t="n"/>
      <c r="L1921" s="24" t="n"/>
      <c r="M1921" s="29" t="n"/>
      <c r="N1921" s="28" t="n"/>
      <c r="O1921" s="24" t="n"/>
      <c r="P1921" s="24" t="n"/>
      <c r="Q1921" s="24" t="n"/>
      <c r="R1921" s="24" t="n"/>
      <c r="S1921" s="22">
        <f>IF(AND($A1921="",$C1921=""),"",IF($A1921="","Thiếu mã đơn; ","")&amp;IF(COUNTIF($A$2:$A1921,$A1921)&gt;1,"Trùng mã đơn; ","")&amp;IF(ISNA(MATCH($C1921,DATA_MASTER!$D$2:$D$5000,0)),"SĐT chưa đăng ký hội viên; ","")&amp;IF(AND($L1921="Đã chuyển khoản",$M1921=""),"Thiếu ngày nhận CK; ",""))</f>
        <v/>
      </c>
      <c r="T1921" s="24" t="n"/>
    </row>
    <row r="1922" ht="14.25" customHeight="1" s="40">
      <c r="A1922" s="24" t="n"/>
      <c r="B1922" s="29" t="n"/>
      <c r="C1922" s="28" t="n"/>
      <c r="D1922" s="22">
        <f t="array" ref="D1922">IF($C1922="","",IFERROR(INDEX(DATA_MASTER!$C$2:$C$5000,MATCH($C1922,DATA_MASTER!$D$2:$D$5000,0)),""))</f>
        <v/>
      </c>
      <c r="E1922" s="22">
        <f t="array" ref="E1922">IF($C1922="","",IFERROR(INDEX(DATA_MASTER!$I$2:$I$5000,MATCH($C1922,DATA_MASTER!$D$2:$D$5000,0)),""))</f>
        <v/>
      </c>
      <c r="F1922" s="22">
        <f t="array" ref="F1922">IF($C1922="","",IFERROR(INDEX(DATA_MASTER!$L$2:$L$5000,MATCH($C1922,DATA_MASTER!$D$2:$D$5000,0)),""))</f>
        <v/>
      </c>
      <c r="G1922" s="24" t="n"/>
      <c r="H1922" s="24" t="n"/>
      <c r="I1922" s="30" t="n"/>
      <c r="J1922" s="23">
        <f>IF(OR($H1922="",$I1922=""),"",$H1922*$I1922)</f>
        <v/>
      </c>
      <c r="K1922" s="24" t="n"/>
      <c r="L1922" s="24" t="n"/>
      <c r="M1922" s="29" t="n"/>
      <c r="N1922" s="28" t="n"/>
      <c r="O1922" s="24" t="n"/>
      <c r="P1922" s="24" t="n"/>
      <c r="Q1922" s="24" t="n"/>
      <c r="R1922" s="24" t="n"/>
      <c r="S1922" s="22">
        <f>IF(AND($A1922="",$C1922=""),"",IF($A1922="","Thiếu mã đơn; ","")&amp;IF(COUNTIF($A$2:$A1922,$A1922)&gt;1,"Trùng mã đơn; ","")&amp;IF(ISNA(MATCH($C1922,DATA_MASTER!$D$2:$D$5000,0)),"SĐT chưa đăng ký hội viên; ","")&amp;IF(AND($L1922="Đã chuyển khoản",$M1922=""),"Thiếu ngày nhận CK; ",""))</f>
        <v/>
      </c>
      <c r="T1922" s="24" t="n"/>
    </row>
    <row r="1923" ht="14.25" customHeight="1" s="40">
      <c r="A1923" s="24" t="n"/>
      <c r="B1923" s="29" t="n"/>
      <c r="C1923" s="28" t="n"/>
      <c r="D1923" s="22">
        <f t="array" ref="D1923">IF($C1923="","",IFERROR(INDEX(DATA_MASTER!$C$2:$C$5000,MATCH($C1923,DATA_MASTER!$D$2:$D$5000,0)),""))</f>
        <v/>
      </c>
      <c r="E1923" s="22">
        <f t="array" ref="E1923">IF($C1923="","",IFERROR(INDEX(DATA_MASTER!$I$2:$I$5000,MATCH($C1923,DATA_MASTER!$D$2:$D$5000,0)),""))</f>
        <v/>
      </c>
      <c r="F1923" s="22">
        <f t="array" ref="F1923">IF($C1923="","",IFERROR(INDEX(DATA_MASTER!$L$2:$L$5000,MATCH($C1923,DATA_MASTER!$D$2:$D$5000,0)),""))</f>
        <v/>
      </c>
      <c r="G1923" s="24" t="n"/>
      <c r="H1923" s="24" t="n"/>
      <c r="I1923" s="30" t="n"/>
      <c r="J1923" s="23">
        <f>IF(OR($H1923="",$I1923=""),"",$H1923*$I1923)</f>
        <v/>
      </c>
      <c r="K1923" s="24" t="n"/>
      <c r="L1923" s="24" t="n"/>
      <c r="M1923" s="29" t="n"/>
      <c r="N1923" s="28" t="n"/>
      <c r="O1923" s="24" t="n"/>
      <c r="P1923" s="24" t="n"/>
      <c r="Q1923" s="24" t="n"/>
      <c r="R1923" s="24" t="n"/>
      <c r="S1923" s="22">
        <f>IF(AND($A1923="",$C1923=""),"",IF($A1923="","Thiếu mã đơn; ","")&amp;IF(COUNTIF($A$2:$A1923,$A1923)&gt;1,"Trùng mã đơn; ","")&amp;IF(ISNA(MATCH($C1923,DATA_MASTER!$D$2:$D$5000,0)),"SĐT chưa đăng ký hội viên; ","")&amp;IF(AND($L1923="Đã chuyển khoản",$M1923=""),"Thiếu ngày nhận CK; ",""))</f>
        <v/>
      </c>
      <c r="T1923" s="24" t="n"/>
    </row>
    <row r="1924" ht="14.25" customHeight="1" s="40">
      <c r="A1924" s="24" t="n"/>
      <c r="B1924" s="29" t="n"/>
      <c r="C1924" s="28" t="n"/>
      <c r="D1924" s="22">
        <f t="array" ref="D1924">IF($C1924="","",IFERROR(INDEX(DATA_MASTER!$C$2:$C$5000,MATCH($C1924,DATA_MASTER!$D$2:$D$5000,0)),""))</f>
        <v/>
      </c>
      <c r="E1924" s="22">
        <f t="array" ref="E1924">IF($C1924="","",IFERROR(INDEX(DATA_MASTER!$I$2:$I$5000,MATCH($C1924,DATA_MASTER!$D$2:$D$5000,0)),""))</f>
        <v/>
      </c>
      <c r="F1924" s="22">
        <f t="array" ref="F1924">IF($C1924="","",IFERROR(INDEX(DATA_MASTER!$L$2:$L$5000,MATCH($C1924,DATA_MASTER!$D$2:$D$5000,0)),""))</f>
        <v/>
      </c>
      <c r="G1924" s="24" t="n"/>
      <c r="H1924" s="24" t="n"/>
      <c r="I1924" s="30" t="n"/>
      <c r="J1924" s="23">
        <f>IF(OR($H1924="",$I1924=""),"",$H1924*$I1924)</f>
        <v/>
      </c>
      <c r="K1924" s="24" t="n"/>
      <c r="L1924" s="24" t="n"/>
      <c r="M1924" s="29" t="n"/>
      <c r="N1924" s="28" t="n"/>
      <c r="O1924" s="24" t="n"/>
      <c r="P1924" s="24" t="n"/>
      <c r="Q1924" s="24" t="n"/>
      <c r="R1924" s="24" t="n"/>
      <c r="S1924" s="22">
        <f>IF(AND($A1924="",$C1924=""),"",IF($A1924="","Thiếu mã đơn; ","")&amp;IF(COUNTIF($A$2:$A1924,$A1924)&gt;1,"Trùng mã đơn; ","")&amp;IF(ISNA(MATCH($C1924,DATA_MASTER!$D$2:$D$5000,0)),"SĐT chưa đăng ký hội viên; ","")&amp;IF(AND($L1924="Đã chuyển khoản",$M1924=""),"Thiếu ngày nhận CK; ",""))</f>
        <v/>
      </c>
      <c r="T1924" s="24" t="n"/>
    </row>
    <row r="1925" ht="14.25" customHeight="1" s="40">
      <c r="A1925" s="24" t="n"/>
      <c r="B1925" s="29" t="n"/>
      <c r="C1925" s="28" t="n"/>
      <c r="D1925" s="22">
        <f t="array" ref="D1925">IF($C1925="","",IFERROR(INDEX(DATA_MASTER!$C$2:$C$5000,MATCH($C1925,DATA_MASTER!$D$2:$D$5000,0)),""))</f>
        <v/>
      </c>
      <c r="E1925" s="22">
        <f t="array" ref="E1925">IF($C1925="","",IFERROR(INDEX(DATA_MASTER!$I$2:$I$5000,MATCH($C1925,DATA_MASTER!$D$2:$D$5000,0)),""))</f>
        <v/>
      </c>
      <c r="F1925" s="22">
        <f t="array" ref="F1925">IF($C1925="","",IFERROR(INDEX(DATA_MASTER!$L$2:$L$5000,MATCH($C1925,DATA_MASTER!$D$2:$D$5000,0)),""))</f>
        <v/>
      </c>
      <c r="G1925" s="24" t="n"/>
      <c r="H1925" s="24" t="n"/>
      <c r="I1925" s="30" t="n"/>
      <c r="J1925" s="23">
        <f>IF(OR($H1925="",$I1925=""),"",$H1925*$I1925)</f>
        <v/>
      </c>
      <c r="K1925" s="24" t="n"/>
      <c r="L1925" s="24" t="n"/>
      <c r="M1925" s="29" t="n"/>
      <c r="N1925" s="28" t="n"/>
      <c r="O1925" s="24" t="n"/>
      <c r="P1925" s="24" t="n"/>
      <c r="Q1925" s="24" t="n"/>
      <c r="R1925" s="24" t="n"/>
      <c r="S1925" s="22">
        <f>IF(AND($A1925="",$C1925=""),"",IF($A1925="","Thiếu mã đơn; ","")&amp;IF(COUNTIF($A$2:$A1925,$A1925)&gt;1,"Trùng mã đơn; ","")&amp;IF(ISNA(MATCH($C1925,DATA_MASTER!$D$2:$D$5000,0)),"SĐT chưa đăng ký hội viên; ","")&amp;IF(AND($L1925="Đã chuyển khoản",$M1925=""),"Thiếu ngày nhận CK; ",""))</f>
        <v/>
      </c>
      <c r="T1925" s="24" t="n"/>
    </row>
    <row r="1926" ht="14.25" customHeight="1" s="40">
      <c r="A1926" s="24" t="n"/>
      <c r="B1926" s="29" t="n"/>
      <c r="C1926" s="28" t="n"/>
      <c r="D1926" s="22">
        <f t="array" ref="D1926">IF($C1926="","",IFERROR(INDEX(DATA_MASTER!$C$2:$C$5000,MATCH($C1926,DATA_MASTER!$D$2:$D$5000,0)),""))</f>
        <v/>
      </c>
      <c r="E1926" s="22">
        <f t="array" ref="E1926">IF($C1926="","",IFERROR(INDEX(DATA_MASTER!$I$2:$I$5000,MATCH($C1926,DATA_MASTER!$D$2:$D$5000,0)),""))</f>
        <v/>
      </c>
      <c r="F1926" s="22">
        <f t="array" ref="F1926">IF($C1926="","",IFERROR(INDEX(DATA_MASTER!$L$2:$L$5000,MATCH($C1926,DATA_MASTER!$D$2:$D$5000,0)),""))</f>
        <v/>
      </c>
      <c r="G1926" s="24" t="n"/>
      <c r="H1926" s="24" t="n"/>
      <c r="I1926" s="30" t="n"/>
      <c r="J1926" s="23">
        <f>IF(OR($H1926="",$I1926=""),"",$H1926*$I1926)</f>
        <v/>
      </c>
      <c r="K1926" s="24" t="n"/>
      <c r="L1926" s="24" t="n"/>
      <c r="M1926" s="29" t="n"/>
      <c r="N1926" s="28" t="n"/>
      <c r="O1926" s="24" t="n"/>
      <c r="P1926" s="24" t="n"/>
      <c r="Q1926" s="24" t="n"/>
      <c r="R1926" s="24" t="n"/>
      <c r="S1926" s="22">
        <f>IF(AND($A1926="",$C1926=""),"",IF($A1926="","Thiếu mã đơn; ","")&amp;IF(COUNTIF($A$2:$A1926,$A1926)&gt;1,"Trùng mã đơn; ","")&amp;IF(ISNA(MATCH($C1926,DATA_MASTER!$D$2:$D$5000,0)),"SĐT chưa đăng ký hội viên; ","")&amp;IF(AND($L1926="Đã chuyển khoản",$M1926=""),"Thiếu ngày nhận CK; ",""))</f>
        <v/>
      </c>
      <c r="T1926" s="24" t="n"/>
    </row>
    <row r="1927" ht="14.25" customHeight="1" s="40">
      <c r="A1927" s="24" t="n"/>
      <c r="B1927" s="29" t="n"/>
      <c r="C1927" s="28" t="n"/>
      <c r="D1927" s="22">
        <f t="array" ref="D1927">IF($C1927="","",IFERROR(INDEX(DATA_MASTER!$C$2:$C$5000,MATCH($C1927,DATA_MASTER!$D$2:$D$5000,0)),""))</f>
        <v/>
      </c>
      <c r="E1927" s="22">
        <f t="array" ref="E1927">IF($C1927="","",IFERROR(INDEX(DATA_MASTER!$I$2:$I$5000,MATCH($C1927,DATA_MASTER!$D$2:$D$5000,0)),""))</f>
        <v/>
      </c>
      <c r="F1927" s="22">
        <f t="array" ref="F1927">IF($C1927="","",IFERROR(INDEX(DATA_MASTER!$L$2:$L$5000,MATCH($C1927,DATA_MASTER!$D$2:$D$5000,0)),""))</f>
        <v/>
      </c>
      <c r="G1927" s="24" t="n"/>
      <c r="H1927" s="24" t="n"/>
      <c r="I1927" s="30" t="n"/>
      <c r="J1927" s="23">
        <f>IF(OR($H1927="",$I1927=""),"",$H1927*$I1927)</f>
        <v/>
      </c>
      <c r="K1927" s="24" t="n"/>
      <c r="L1927" s="24" t="n"/>
      <c r="M1927" s="29" t="n"/>
      <c r="N1927" s="28" t="n"/>
      <c r="O1927" s="24" t="n"/>
      <c r="P1927" s="24" t="n"/>
      <c r="Q1927" s="24" t="n"/>
      <c r="R1927" s="24" t="n"/>
      <c r="S1927" s="22">
        <f>IF(AND($A1927="",$C1927=""),"",IF($A1927="","Thiếu mã đơn; ","")&amp;IF(COUNTIF($A$2:$A1927,$A1927)&gt;1,"Trùng mã đơn; ","")&amp;IF(ISNA(MATCH($C1927,DATA_MASTER!$D$2:$D$5000,0)),"SĐT chưa đăng ký hội viên; ","")&amp;IF(AND($L1927="Đã chuyển khoản",$M1927=""),"Thiếu ngày nhận CK; ",""))</f>
        <v/>
      </c>
      <c r="T1927" s="24" t="n"/>
    </row>
    <row r="1928" ht="14.25" customHeight="1" s="40">
      <c r="A1928" s="24" t="n"/>
      <c r="B1928" s="29" t="n"/>
      <c r="C1928" s="28" t="n"/>
      <c r="D1928" s="22">
        <f t="array" ref="D1928">IF($C1928="","",IFERROR(INDEX(DATA_MASTER!$C$2:$C$5000,MATCH($C1928,DATA_MASTER!$D$2:$D$5000,0)),""))</f>
        <v/>
      </c>
      <c r="E1928" s="22">
        <f t="array" ref="E1928">IF($C1928="","",IFERROR(INDEX(DATA_MASTER!$I$2:$I$5000,MATCH($C1928,DATA_MASTER!$D$2:$D$5000,0)),""))</f>
        <v/>
      </c>
      <c r="F1928" s="22">
        <f t="array" ref="F1928">IF($C1928="","",IFERROR(INDEX(DATA_MASTER!$L$2:$L$5000,MATCH($C1928,DATA_MASTER!$D$2:$D$5000,0)),""))</f>
        <v/>
      </c>
      <c r="G1928" s="24" t="n"/>
      <c r="H1928" s="24" t="n"/>
      <c r="I1928" s="30" t="n"/>
      <c r="J1928" s="23">
        <f>IF(OR($H1928="",$I1928=""),"",$H1928*$I1928)</f>
        <v/>
      </c>
      <c r="K1928" s="24" t="n"/>
      <c r="L1928" s="24" t="n"/>
      <c r="M1928" s="29" t="n"/>
      <c r="N1928" s="28" t="n"/>
      <c r="O1928" s="24" t="n"/>
      <c r="P1928" s="24" t="n"/>
      <c r="Q1928" s="24" t="n"/>
      <c r="R1928" s="24" t="n"/>
      <c r="S1928" s="22">
        <f>IF(AND($A1928="",$C1928=""),"",IF($A1928="","Thiếu mã đơn; ","")&amp;IF(COUNTIF($A$2:$A1928,$A1928)&gt;1,"Trùng mã đơn; ","")&amp;IF(ISNA(MATCH($C1928,DATA_MASTER!$D$2:$D$5000,0)),"SĐT chưa đăng ký hội viên; ","")&amp;IF(AND($L1928="Đã chuyển khoản",$M1928=""),"Thiếu ngày nhận CK; ",""))</f>
        <v/>
      </c>
      <c r="T1928" s="24" t="n"/>
    </row>
    <row r="1929" ht="14.25" customHeight="1" s="40">
      <c r="A1929" s="24" t="n"/>
      <c r="B1929" s="29" t="n"/>
      <c r="C1929" s="28" t="n"/>
      <c r="D1929" s="22">
        <f t="array" ref="D1929">IF($C1929="","",IFERROR(INDEX(DATA_MASTER!$C$2:$C$5000,MATCH($C1929,DATA_MASTER!$D$2:$D$5000,0)),""))</f>
        <v/>
      </c>
      <c r="E1929" s="22">
        <f t="array" ref="E1929">IF($C1929="","",IFERROR(INDEX(DATA_MASTER!$I$2:$I$5000,MATCH($C1929,DATA_MASTER!$D$2:$D$5000,0)),""))</f>
        <v/>
      </c>
      <c r="F1929" s="22">
        <f t="array" ref="F1929">IF($C1929="","",IFERROR(INDEX(DATA_MASTER!$L$2:$L$5000,MATCH($C1929,DATA_MASTER!$D$2:$D$5000,0)),""))</f>
        <v/>
      </c>
      <c r="G1929" s="24" t="n"/>
      <c r="H1929" s="24" t="n"/>
      <c r="I1929" s="30" t="n"/>
      <c r="J1929" s="23">
        <f>IF(OR($H1929="",$I1929=""),"",$H1929*$I1929)</f>
        <v/>
      </c>
      <c r="K1929" s="24" t="n"/>
      <c r="L1929" s="24" t="n"/>
      <c r="M1929" s="29" t="n"/>
      <c r="N1929" s="28" t="n"/>
      <c r="O1929" s="24" t="n"/>
      <c r="P1929" s="24" t="n"/>
      <c r="Q1929" s="24" t="n"/>
      <c r="R1929" s="24" t="n"/>
      <c r="S1929" s="22">
        <f>IF(AND($A1929="",$C1929=""),"",IF($A1929="","Thiếu mã đơn; ","")&amp;IF(COUNTIF($A$2:$A1929,$A1929)&gt;1,"Trùng mã đơn; ","")&amp;IF(ISNA(MATCH($C1929,DATA_MASTER!$D$2:$D$5000,0)),"SĐT chưa đăng ký hội viên; ","")&amp;IF(AND($L1929="Đã chuyển khoản",$M1929=""),"Thiếu ngày nhận CK; ",""))</f>
        <v/>
      </c>
      <c r="T1929" s="24" t="n"/>
    </row>
    <row r="1930" ht="14.25" customHeight="1" s="40">
      <c r="A1930" s="24" t="n"/>
      <c r="B1930" s="29" t="n"/>
      <c r="C1930" s="28" t="n"/>
      <c r="D1930" s="22">
        <f t="array" ref="D1930">IF($C1930="","",IFERROR(INDEX(DATA_MASTER!$C$2:$C$5000,MATCH($C1930,DATA_MASTER!$D$2:$D$5000,0)),""))</f>
        <v/>
      </c>
      <c r="E1930" s="22">
        <f t="array" ref="E1930">IF($C1930="","",IFERROR(INDEX(DATA_MASTER!$I$2:$I$5000,MATCH($C1930,DATA_MASTER!$D$2:$D$5000,0)),""))</f>
        <v/>
      </c>
      <c r="F1930" s="22">
        <f t="array" ref="F1930">IF($C1930="","",IFERROR(INDEX(DATA_MASTER!$L$2:$L$5000,MATCH($C1930,DATA_MASTER!$D$2:$D$5000,0)),""))</f>
        <v/>
      </c>
      <c r="G1930" s="24" t="n"/>
      <c r="H1930" s="24" t="n"/>
      <c r="I1930" s="30" t="n"/>
      <c r="J1930" s="23">
        <f>IF(OR($H1930="",$I1930=""),"",$H1930*$I1930)</f>
        <v/>
      </c>
      <c r="K1930" s="24" t="n"/>
      <c r="L1930" s="24" t="n"/>
      <c r="M1930" s="29" t="n"/>
      <c r="N1930" s="28" t="n"/>
      <c r="O1930" s="24" t="n"/>
      <c r="P1930" s="24" t="n"/>
      <c r="Q1930" s="24" t="n"/>
      <c r="R1930" s="24" t="n"/>
      <c r="S1930" s="22">
        <f>IF(AND($A1930="",$C1930=""),"",IF($A1930="","Thiếu mã đơn; ","")&amp;IF(COUNTIF($A$2:$A1930,$A1930)&gt;1,"Trùng mã đơn; ","")&amp;IF(ISNA(MATCH($C1930,DATA_MASTER!$D$2:$D$5000,0)),"SĐT chưa đăng ký hội viên; ","")&amp;IF(AND($L1930="Đã chuyển khoản",$M1930=""),"Thiếu ngày nhận CK; ",""))</f>
        <v/>
      </c>
      <c r="T1930" s="24" t="n"/>
    </row>
    <row r="1931" ht="14.25" customHeight="1" s="40">
      <c r="A1931" s="24" t="n"/>
      <c r="B1931" s="29" t="n"/>
      <c r="C1931" s="28" t="n"/>
      <c r="D1931" s="22">
        <f t="array" ref="D1931">IF($C1931="","",IFERROR(INDEX(DATA_MASTER!$C$2:$C$5000,MATCH($C1931,DATA_MASTER!$D$2:$D$5000,0)),""))</f>
        <v/>
      </c>
      <c r="E1931" s="22">
        <f t="array" ref="E1931">IF($C1931="","",IFERROR(INDEX(DATA_MASTER!$I$2:$I$5000,MATCH($C1931,DATA_MASTER!$D$2:$D$5000,0)),""))</f>
        <v/>
      </c>
      <c r="F1931" s="22">
        <f t="array" ref="F1931">IF($C1931="","",IFERROR(INDEX(DATA_MASTER!$L$2:$L$5000,MATCH($C1931,DATA_MASTER!$D$2:$D$5000,0)),""))</f>
        <v/>
      </c>
      <c r="G1931" s="24" t="n"/>
      <c r="H1931" s="24" t="n"/>
      <c r="I1931" s="30" t="n"/>
      <c r="J1931" s="23">
        <f>IF(OR($H1931="",$I1931=""),"",$H1931*$I1931)</f>
        <v/>
      </c>
      <c r="K1931" s="24" t="n"/>
      <c r="L1931" s="24" t="n"/>
      <c r="M1931" s="29" t="n"/>
      <c r="N1931" s="28" t="n"/>
      <c r="O1931" s="24" t="n"/>
      <c r="P1931" s="24" t="n"/>
      <c r="Q1931" s="24" t="n"/>
      <c r="R1931" s="24" t="n"/>
      <c r="S1931" s="22">
        <f>IF(AND($A1931="",$C1931=""),"",IF($A1931="","Thiếu mã đơn; ","")&amp;IF(COUNTIF($A$2:$A1931,$A1931)&gt;1,"Trùng mã đơn; ","")&amp;IF(ISNA(MATCH($C1931,DATA_MASTER!$D$2:$D$5000,0)),"SĐT chưa đăng ký hội viên; ","")&amp;IF(AND($L1931="Đã chuyển khoản",$M1931=""),"Thiếu ngày nhận CK; ",""))</f>
        <v/>
      </c>
      <c r="T1931" s="24" t="n"/>
    </row>
    <row r="1932" ht="14.25" customHeight="1" s="40">
      <c r="A1932" s="24" t="n"/>
      <c r="B1932" s="29" t="n"/>
      <c r="C1932" s="28" t="n"/>
      <c r="D1932" s="22">
        <f t="array" ref="D1932">IF($C1932="","",IFERROR(INDEX(DATA_MASTER!$C$2:$C$5000,MATCH($C1932,DATA_MASTER!$D$2:$D$5000,0)),""))</f>
        <v/>
      </c>
      <c r="E1932" s="22">
        <f t="array" ref="E1932">IF($C1932="","",IFERROR(INDEX(DATA_MASTER!$I$2:$I$5000,MATCH($C1932,DATA_MASTER!$D$2:$D$5000,0)),""))</f>
        <v/>
      </c>
      <c r="F1932" s="22">
        <f t="array" ref="F1932">IF($C1932="","",IFERROR(INDEX(DATA_MASTER!$L$2:$L$5000,MATCH($C1932,DATA_MASTER!$D$2:$D$5000,0)),""))</f>
        <v/>
      </c>
      <c r="G1932" s="24" t="n"/>
      <c r="H1932" s="24" t="n"/>
      <c r="I1932" s="30" t="n"/>
      <c r="J1932" s="23">
        <f>IF(OR($H1932="",$I1932=""),"",$H1932*$I1932)</f>
        <v/>
      </c>
      <c r="K1932" s="24" t="n"/>
      <c r="L1932" s="24" t="n"/>
      <c r="M1932" s="29" t="n"/>
      <c r="N1932" s="28" t="n"/>
      <c r="O1932" s="24" t="n"/>
      <c r="P1932" s="24" t="n"/>
      <c r="Q1932" s="24" t="n"/>
      <c r="R1932" s="24" t="n"/>
      <c r="S1932" s="22">
        <f>IF(AND($A1932="",$C1932=""),"",IF($A1932="","Thiếu mã đơn; ","")&amp;IF(COUNTIF($A$2:$A1932,$A1932)&gt;1,"Trùng mã đơn; ","")&amp;IF(ISNA(MATCH($C1932,DATA_MASTER!$D$2:$D$5000,0)),"SĐT chưa đăng ký hội viên; ","")&amp;IF(AND($L1932="Đã chuyển khoản",$M1932=""),"Thiếu ngày nhận CK; ",""))</f>
        <v/>
      </c>
      <c r="T1932" s="24" t="n"/>
    </row>
    <row r="1933" ht="14.25" customHeight="1" s="40">
      <c r="A1933" s="24" t="n"/>
      <c r="B1933" s="29" t="n"/>
      <c r="C1933" s="28" t="n"/>
      <c r="D1933" s="22">
        <f t="array" ref="D1933">IF($C1933="","",IFERROR(INDEX(DATA_MASTER!$C$2:$C$5000,MATCH($C1933,DATA_MASTER!$D$2:$D$5000,0)),""))</f>
        <v/>
      </c>
      <c r="E1933" s="22">
        <f t="array" ref="E1933">IF($C1933="","",IFERROR(INDEX(DATA_MASTER!$I$2:$I$5000,MATCH($C1933,DATA_MASTER!$D$2:$D$5000,0)),""))</f>
        <v/>
      </c>
      <c r="F1933" s="22">
        <f t="array" ref="F1933">IF($C1933="","",IFERROR(INDEX(DATA_MASTER!$L$2:$L$5000,MATCH($C1933,DATA_MASTER!$D$2:$D$5000,0)),""))</f>
        <v/>
      </c>
      <c r="G1933" s="24" t="n"/>
      <c r="H1933" s="24" t="n"/>
      <c r="I1933" s="30" t="n"/>
      <c r="J1933" s="23">
        <f>IF(OR($H1933="",$I1933=""),"",$H1933*$I1933)</f>
        <v/>
      </c>
      <c r="K1933" s="24" t="n"/>
      <c r="L1933" s="24" t="n"/>
      <c r="M1933" s="29" t="n"/>
      <c r="N1933" s="28" t="n"/>
      <c r="O1933" s="24" t="n"/>
      <c r="P1933" s="24" t="n"/>
      <c r="Q1933" s="24" t="n"/>
      <c r="R1933" s="24" t="n"/>
      <c r="S1933" s="22">
        <f>IF(AND($A1933="",$C1933=""),"",IF($A1933="","Thiếu mã đơn; ","")&amp;IF(COUNTIF($A$2:$A1933,$A1933)&gt;1,"Trùng mã đơn; ","")&amp;IF(ISNA(MATCH($C1933,DATA_MASTER!$D$2:$D$5000,0)),"SĐT chưa đăng ký hội viên; ","")&amp;IF(AND($L1933="Đã chuyển khoản",$M1933=""),"Thiếu ngày nhận CK; ",""))</f>
        <v/>
      </c>
      <c r="T1933" s="24" t="n"/>
    </row>
    <row r="1934" ht="14.25" customHeight="1" s="40">
      <c r="A1934" s="24" t="n"/>
      <c r="B1934" s="29" t="n"/>
      <c r="C1934" s="28" t="n"/>
      <c r="D1934" s="22">
        <f t="array" ref="D1934">IF($C1934="","",IFERROR(INDEX(DATA_MASTER!$C$2:$C$5000,MATCH($C1934,DATA_MASTER!$D$2:$D$5000,0)),""))</f>
        <v/>
      </c>
      <c r="E1934" s="22">
        <f t="array" ref="E1934">IF($C1934="","",IFERROR(INDEX(DATA_MASTER!$I$2:$I$5000,MATCH($C1934,DATA_MASTER!$D$2:$D$5000,0)),""))</f>
        <v/>
      </c>
      <c r="F1934" s="22">
        <f t="array" ref="F1934">IF($C1934="","",IFERROR(INDEX(DATA_MASTER!$L$2:$L$5000,MATCH($C1934,DATA_MASTER!$D$2:$D$5000,0)),""))</f>
        <v/>
      </c>
      <c r="G1934" s="24" t="n"/>
      <c r="H1934" s="24" t="n"/>
      <c r="I1934" s="30" t="n"/>
      <c r="J1934" s="23">
        <f>IF(OR($H1934="",$I1934=""),"",$H1934*$I1934)</f>
        <v/>
      </c>
      <c r="K1934" s="24" t="n"/>
      <c r="L1934" s="24" t="n"/>
      <c r="M1934" s="29" t="n"/>
      <c r="N1934" s="28" t="n"/>
      <c r="O1934" s="24" t="n"/>
      <c r="P1934" s="24" t="n"/>
      <c r="Q1934" s="24" t="n"/>
      <c r="R1934" s="24" t="n"/>
      <c r="S1934" s="22">
        <f>IF(AND($A1934="",$C1934=""),"",IF($A1934="","Thiếu mã đơn; ","")&amp;IF(COUNTIF($A$2:$A1934,$A1934)&gt;1,"Trùng mã đơn; ","")&amp;IF(ISNA(MATCH($C1934,DATA_MASTER!$D$2:$D$5000,0)),"SĐT chưa đăng ký hội viên; ","")&amp;IF(AND($L1934="Đã chuyển khoản",$M1934=""),"Thiếu ngày nhận CK; ",""))</f>
        <v/>
      </c>
      <c r="T1934" s="24" t="n"/>
    </row>
    <row r="1935" ht="14.25" customHeight="1" s="40">
      <c r="A1935" s="24" t="n"/>
      <c r="B1935" s="29" t="n"/>
      <c r="C1935" s="28" t="n"/>
      <c r="D1935" s="22">
        <f t="array" ref="D1935">IF($C1935="","",IFERROR(INDEX(DATA_MASTER!$C$2:$C$5000,MATCH($C1935,DATA_MASTER!$D$2:$D$5000,0)),""))</f>
        <v/>
      </c>
      <c r="E1935" s="22">
        <f t="array" ref="E1935">IF($C1935="","",IFERROR(INDEX(DATA_MASTER!$I$2:$I$5000,MATCH($C1935,DATA_MASTER!$D$2:$D$5000,0)),""))</f>
        <v/>
      </c>
      <c r="F1935" s="22">
        <f t="array" ref="F1935">IF($C1935="","",IFERROR(INDEX(DATA_MASTER!$L$2:$L$5000,MATCH($C1935,DATA_MASTER!$D$2:$D$5000,0)),""))</f>
        <v/>
      </c>
      <c r="G1935" s="24" t="n"/>
      <c r="H1935" s="24" t="n"/>
      <c r="I1935" s="30" t="n"/>
      <c r="J1935" s="23">
        <f>IF(OR($H1935="",$I1935=""),"",$H1935*$I1935)</f>
        <v/>
      </c>
      <c r="K1935" s="24" t="n"/>
      <c r="L1935" s="24" t="n"/>
      <c r="M1935" s="29" t="n"/>
      <c r="N1935" s="28" t="n"/>
      <c r="O1935" s="24" t="n"/>
      <c r="P1935" s="24" t="n"/>
      <c r="Q1935" s="24" t="n"/>
      <c r="R1935" s="24" t="n"/>
      <c r="S1935" s="22">
        <f>IF(AND($A1935="",$C1935=""),"",IF($A1935="","Thiếu mã đơn; ","")&amp;IF(COUNTIF($A$2:$A1935,$A1935)&gt;1,"Trùng mã đơn; ","")&amp;IF(ISNA(MATCH($C1935,DATA_MASTER!$D$2:$D$5000,0)),"SĐT chưa đăng ký hội viên; ","")&amp;IF(AND($L1935="Đã chuyển khoản",$M1935=""),"Thiếu ngày nhận CK; ",""))</f>
        <v/>
      </c>
      <c r="T1935" s="24" t="n"/>
    </row>
    <row r="1936" ht="14.25" customHeight="1" s="40">
      <c r="A1936" s="24" t="n"/>
      <c r="B1936" s="29" t="n"/>
      <c r="C1936" s="28" t="n"/>
      <c r="D1936" s="22">
        <f t="array" ref="D1936">IF($C1936="","",IFERROR(INDEX(DATA_MASTER!$C$2:$C$5000,MATCH($C1936,DATA_MASTER!$D$2:$D$5000,0)),""))</f>
        <v/>
      </c>
      <c r="E1936" s="22">
        <f t="array" ref="E1936">IF($C1936="","",IFERROR(INDEX(DATA_MASTER!$I$2:$I$5000,MATCH($C1936,DATA_MASTER!$D$2:$D$5000,0)),""))</f>
        <v/>
      </c>
      <c r="F1936" s="22">
        <f t="array" ref="F1936">IF($C1936="","",IFERROR(INDEX(DATA_MASTER!$L$2:$L$5000,MATCH($C1936,DATA_MASTER!$D$2:$D$5000,0)),""))</f>
        <v/>
      </c>
      <c r="G1936" s="24" t="n"/>
      <c r="H1936" s="24" t="n"/>
      <c r="I1936" s="30" t="n"/>
      <c r="J1936" s="23">
        <f>IF(OR($H1936="",$I1936=""),"",$H1936*$I1936)</f>
        <v/>
      </c>
      <c r="K1936" s="24" t="n"/>
      <c r="L1936" s="24" t="n"/>
      <c r="M1936" s="29" t="n"/>
      <c r="N1936" s="28" t="n"/>
      <c r="O1936" s="24" t="n"/>
      <c r="P1936" s="24" t="n"/>
      <c r="Q1936" s="24" t="n"/>
      <c r="R1936" s="24" t="n"/>
      <c r="S1936" s="22">
        <f>IF(AND($A1936="",$C1936=""),"",IF($A1936="","Thiếu mã đơn; ","")&amp;IF(COUNTIF($A$2:$A1936,$A1936)&gt;1,"Trùng mã đơn; ","")&amp;IF(ISNA(MATCH($C1936,DATA_MASTER!$D$2:$D$5000,0)),"SĐT chưa đăng ký hội viên; ","")&amp;IF(AND($L1936="Đã chuyển khoản",$M1936=""),"Thiếu ngày nhận CK; ",""))</f>
        <v/>
      </c>
      <c r="T1936" s="24" t="n"/>
    </row>
    <row r="1937" ht="14.25" customHeight="1" s="40">
      <c r="A1937" s="24" t="n"/>
      <c r="B1937" s="29" t="n"/>
      <c r="C1937" s="28" t="n"/>
      <c r="D1937" s="22">
        <f t="array" ref="D1937">IF($C1937="","",IFERROR(INDEX(DATA_MASTER!$C$2:$C$5000,MATCH($C1937,DATA_MASTER!$D$2:$D$5000,0)),""))</f>
        <v/>
      </c>
      <c r="E1937" s="22">
        <f t="array" ref="E1937">IF($C1937="","",IFERROR(INDEX(DATA_MASTER!$I$2:$I$5000,MATCH($C1937,DATA_MASTER!$D$2:$D$5000,0)),""))</f>
        <v/>
      </c>
      <c r="F1937" s="22">
        <f t="array" ref="F1937">IF($C1937="","",IFERROR(INDEX(DATA_MASTER!$L$2:$L$5000,MATCH($C1937,DATA_MASTER!$D$2:$D$5000,0)),""))</f>
        <v/>
      </c>
      <c r="G1937" s="24" t="n"/>
      <c r="H1937" s="24" t="n"/>
      <c r="I1937" s="30" t="n"/>
      <c r="J1937" s="23">
        <f>IF(OR($H1937="",$I1937=""),"",$H1937*$I1937)</f>
        <v/>
      </c>
      <c r="K1937" s="24" t="n"/>
      <c r="L1937" s="24" t="n"/>
      <c r="M1937" s="29" t="n"/>
      <c r="N1937" s="28" t="n"/>
      <c r="O1937" s="24" t="n"/>
      <c r="P1937" s="24" t="n"/>
      <c r="Q1937" s="24" t="n"/>
      <c r="R1937" s="24" t="n"/>
      <c r="S1937" s="22">
        <f>IF(AND($A1937="",$C1937=""),"",IF($A1937="","Thiếu mã đơn; ","")&amp;IF(COUNTIF($A$2:$A1937,$A1937)&gt;1,"Trùng mã đơn; ","")&amp;IF(ISNA(MATCH($C1937,DATA_MASTER!$D$2:$D$5000,0)),"SĐT chưa đăng ký hội viên; ","")&amp;IF(AND($L1937="Đã chuyển khoản",$M1937=""),"Thiếu ngày nhận CK; ",""))</f>
        <v/>
      </c>
      <c r="T1937" s="24" t="n"/>
    </row>
    <row r="1938" ht="14.25" customHeight="1" s="40">
      <c r="A1938" s="24" t="n"/>
      <c r="B1938" s="29" t="n"/>
      <c r="C1938" s="28" t="n"/>
      <c r="D1938" s="22">
        <f t="array" ref="D1938">IF($C1938="","",IFERROR(INDEX(DATA_MASTER!$C$2:$C$5000,MATCH($C1938,DATA_MASTER!$D$2:$D$5000,0)),""))</f>
        <v/>
      </c>
      <c r="E1938" s="22">
        <f t="array" ref="E1938">IF($C1938="","",IFERROR(INDEX(DATA_MASTER!$I$2:$I$5000,MATCH($C1938,DATA_MASTER!$D$2:$D$5000,0)),""))</f>
        <v/>
      </c>
      <c r="F1938" s="22">
        <f t="array" ref="F1938">IF($C1938="","",IFERROR(INDEX(DATA_MASTER!$L$2:$L$5000,MATCH($C1938,DATA_MASTER!$D$2:$D$5000,0)),""))</f>
        <v/>
      </c>
      <c r="G1938" s="24" t="n"/>
      <c r="H1938" s="24" t="n"/>
      <c r="I1938" s="30" t="n"/>
      <c r="J1938" s="23">
        <f>IF(OR($H1938="",$I1938=""),"",$H1938*$I1938)</f>
        <v/>
      </c>
      <c r="K1938" s="24" t="n"/>
      <c r="L1938" s="24" t="n"/>
      <c r="M1938" s="29" t="n"/>
      <c r="N1938" s="28" t="n"/>
      <c r="O1938" s="24" t="n"/>
      <c r="P1938" s="24" t="n"/>
      <c r="Q1938" s="24" t="n"/>
      <c r="R1938" s="24" t="n"/>
      <c r="S1938" s="22">
        <f>IF(AND($A1938="",$C1938=""),"",IF($A1938="","Thiếu mã đơn; ","")&amp;IF(COUNTIF($A$2:$A1938,$A1938)&gt;1,"Trùng mã đơn; ","")&amp;IF(ISNA(MATCH($C1938,DATA_MASTER!$D$2:$D$5000,0)),"SĐT chưa đăng ký hội viên; ","")&amp;IF(AND($L1938="Đã chuyển khoản",$M1938=""),"Thiếu ngày nhận CK; ",""))</f>
        <v/>
      </c>
      <c r="T1938" s="24" t="n"/>
    </row>
    <row r="1939" ht="14.25" customHeight="1" s="40">
      <c r="A1939" s="24" t="n"/>
      <c r="B1939" s="29" t="n"/>
      <c r="C1939" s="28" t="n"/>
      <c r="D1939" s="22">
        <f t="array" ref="D1939">IF($C1939="","",IFERROR(INDEX(DATA_MASTER!$C$2:$C$5000,MATCH($C1939,DATA_MASTER!$D$2:$D$5000,0)),""))</f>
        <v/>
      </c>
      <c r="E1939" s="22">
        <f t="array" ref="E1939">IF($C1939="","",IFERROR(INDEX(DATA_MASTER!$I$2:$I$5000,MATCH($C1939,DATA_MASTER!$D$2:$D$5000,0)),""))</f>
        <v/>
      </c>
      <c r="F1939" s="22">
        <f t="array" ref="F1939">IF($C1939="","",IFERROR(INDEX(DATA_MASTER!$L$2:$L$5000,MATCH($C1939,DATA_MASTER!$D$2:$D$5000,0)),""))</f>
        <v/>
      </c>
      <c r="G1939" s="24" t="n"/>
      <c r="H1939" s="24" t="n"/>
      <c r="I1939" s="30" t="n"/>
      <c r="J1939" s="23">
        <f>IF(OR($H1939="",$I1939=""),"",$H1939*$I1939)</f>
        <v/>
      </c>
      <c r="K1939" s="24" t="n"/>
      <c r="L1939" s="24" t="n"/>
      <c r="M1939" s="29" t="n"/>
      <c r="N1939" s="28" t="n"/>
      <c r="O1939" s="24" t="n"/>
      <c r="P1939" s="24" t="n"/>
      <c r="Q1939" s="24" t="n"/>
      <c r="R1939" s="24" t="n"/>
      <c r="S1939" s="22">
        <f>IF(AND($A1939="",$C1939=""),"",IF($A1939="","Thiếu mã đơn; ","")&amp;IF(COUNTIF($A$2:$A1939,$A1939)&gt;1,"Trùng mã đơn; ","")&amp;IF(ISNA(MATCH($C1939,DATA_MASTER!$D$2:$D$5000,0)),"SĐT chưa đăng ký hội viên; ","")&amp;IF(AND($L1939="Đã chuyển khoản",$M1939=""),"Thiếu ngày nhận CK; ",""))</f>
        <v/>
      </c>
      <c r="T1939" s="24" t="n"/>
    </row>
    <row r="1940" ht="14.25" customHeight="1" s="40">
      <c r="A1940" s="24" t="n"/>
      <c r="B1940" s="29" t="n"/>
      <c r="C1940" s="28" t="n"/>
      <c r="D1940" s="22">
        <f t="array" ref="D1940">IF($C1940="","",IFERROR(INDEX(DATA_MASTER!$C$2:$C$5000,MATCH($C1940,DATA_MASTER!$D$2:$D$5000,0)),""))</f>
        <v/>
      </c>
      <c r="E1940" s="22">
        <f t="array" ref="E1940">IF($C1940="","",IFERROR(INDEX(DATA_MASTER!$I$2:$I$5000,MATCH($C1940,DATA_MASTER!$D$2:$D$5000,0)),""))</f>
        <v/>
      </c>
      <c r="F1940" s="22">
        <f t="array" ref="F1940">IF($C1940="","",IFERROR(INDEX(DATA_MASTER!$L$2:$L$5000,MATCH($C1940,DATA_MASTER!$D$2:$D$5000,0)),""))</f>
        <v/>
      </c>
      <c r="G1940" s="24" t="n"/>
      <c r="H1940" s="24" t="n"/>
      <c r="I1940" s="30" t="n"/>
      <c r="J1940" s="23">
        <f>IF(OR($H1940="",$I1940=""),"",$H1940*$I1940)</f>
        <v/>
      </c>
      <c r="K1940" s="24" t="n"/>
      <c r="L1940" s="24" t="n"/>
      <c r="M1940" s="29" t="n"/>
      <c r="N1940" s="28" t="n"/>
      <c r="O1940" s="24" t="n"/>
      <c r="P1940" s="24" t="n"/>
      <c r="Q1940" s="24" t="n"/>
      <c r="R1940" s="24" t="n"/>
      <c r="S1940" s="22">
        <f>IF(AND($A1940="",$C1940=""),"",IF($A1940="","Thiếu mã đơn; ","")&amp;IF(COUNTIF($A$2:$A1940,$A1940)&gt;1,"Trùng mã đơn; ","")&amp;IF(ISNA(MATCH($C1940,DATA_MASTER!$D$2:$D$5000,0)),"SĐT chưa đăng ký hội viên; ","")&amp;IF(AND($L1940="Đã chuyển khoản",$M1940=""),"Thiếu ngày nhận CK; ",""))</f>
        <v/>
      </c>
      <c r="T1940" s="24" t="n"/>
    </row>
    <row r="1941" ht="14.25" customHeight="1" s="40">
      <c r="A1941" s="24" t="n"/>
      <c r="B1941" s="29" t="n"/>
      <c r="C1941" s="28" t="n"/>
      <c r="D1941" s="22">
        <f t="array" ref="D1941">IF($C1941="","",IFERROR(INDEX(DATA_MASTER!$C$2:$C$5000,MATCH($C1941,DATA_MASTER!$D$2:$D$5000,0)),""))</f>
        <v/>
      </c>
      <c r="E1941" s="22">
        <f t="array" ref="E1941">IF($C1941="","",IFERROR(INDEX(DATA_MASTER!$I$2:$I$5000,MATCH($C1941,DATA_MASTER!$D$2:$D$5000,0)),""))</f>
        <v/>
      </c>
      <c r="F1941" s="22">
        <f t="array" ref="F1941">IF($C1941="","",IFERROR(INDEX(DATA_MASTER!$L$2:$L$5000,MATCH($C1941,DATA_MASTER!$D$2:$D$5000,0)),""))</f>
        <v/>
      </c>
      <c r="G1941" s="24" t="n"/>
      <c r="H1941" s="24" t="n"/>
      <c r="I1941" s="30" t="n"/>
      <c r="J1941" s="23">
        <f>IF(OR($H1941="",$I1941=""),"",$H1941*$I1941)</f>
        <v/>
      </c>
      <c r="K1941" s="24" t="n"/>
      <c r="L1941" s="24" t="n"/>
      <c r="M1941" s="29" t="n"/>
      <c r="N1941" s="28" t="n"/>
      <c r="O1941" s="24" t="n"/>
      <c r="P1941" s="24" t="n"/>
      <c r="Q1941" s="24" t="n"/>
      <c r="R1941" s="24" t="n"/>
      <c r="S1941" s="22">
        <f>IF(AND($A1941="",$C1941=""),"",IF($A1941="","Thiếu mã đơn; ","")&amp;IF(COUNTIF($A$2:$A1941,$A1941)&gt;1,"Trùng mã đơn; ","")&amp;IF(ISNA(MATCH($C1941,DATA_MASTER!$D$2:$D$5000,0)),"SĐT chưa đăng ký hội viên; ","")&amp;IF(AND($L1941="Đã chuyển khoản",$M1941=""),"Thiếu ngày nhận CK; ",""))</f>
        <v/>
      </c>
      <c r="T1941" s="24" t="n"/>
    </row>
    <row r="1942" ht="14.25" customHeight="1" s="40">
      <c r="A1942" s="24" t="n"/>
      <c r="B1942" s="29" t="n"/>
      <c r="C1942" s="28" t="n"/>
      <c r="D1942" s="22">
        <f t="array" ref="D1942">IF($C1942="","",IFERROR(INDEX(DATA_MASTER!$C$2:$C$5000,MATCH($C1942,DATA_MASTER!$D$2:$D$5000,0)),""))</f>
        <v/>
      </c>
      <c r="E1942" s="22">
        <f t="array" ref="E1942">IF($C1942="","",IFERROR(INDEX(DATA_MASTER!$I$2:$I$5000,MATCH($C1942,DATA_MASTER!$D$2:$D$5000,0)),""))</f>
        <v/>
      </c>
      <c r="F1942" s="22">
        <f t="array" ref="F1942">IF($C1942="","",IFERROR(INDEX(DATA_MASTER!$L$2:$L$5000,MATCH($C1942,DATA_MASTER!$D$2:$D$5000,0)),""))</f>
        <v/>
      </c>
      <c r="G1942" s="24" t="n"/>
      <c r="H1942" s="24" t="n"/>
      <c r="I1942" s="30" t="n"/>
      <c r="J1942" s="23">
        <f>IF(OR($H1942="",$I1942=""),"",$H1942*$I1942)</f>
        <v/>
      </c>
      <c r="K1942" s="24" t="n"/>
      <c r="L1942" s="24" t="n"/>
      <c r="M1942" s="29" t="n"/>
      <c r="N1942" s="28" t="n"/>
      <c r="O1942" s="24" t="n"/>
      <c r="P1942" s="24" t="n"/>
      <c r="Q1942" s="24" t="n"/>
      <c r="R1942" s="24" t="n"/>
      <c r="S1942" s="22">
        <f>IF(AND($A1942="",$C1942=""),"",IF($A1942="","Thiếu mã đơn; ","")&amp;IF(COUNTIF($A$2:$A1942,$A1942)&gt;1,"Trùng mã đơn; ","")&amp;IF(ISNA(MATCH($C1942,DATA_MASTER!$D$2:$D$5000,0)),"SĐT chưa đăng ký hội viên; ","")&amp;IF(AND($L1942="Đã chuyển khoản",$M1942=""),"Thiếu ngày nhận CK; ",""))</f>
        <v/>
      </c>
      <c r="T1942" s="24" t="n"/>
    </row>
    <row r="1943" ht="14.25" customHeight="1" s="40">
      <c r="A1943" s="24" t="n"/>
      <c r="B1943" s="29" t="n"/>
      <c r="C1943" s="28" t="n"/>
      <c r="D1943" s="22">
        <f t="array" ref="D1943">IF($C1943="","",IFERROR(INDEX(DATA_MASTER!$C$2:$C$5000,MATCH($C1943,DATA_MASTER!$D$2:$D$5000,0)),""))</f>
        <v/>
      </c>
      <c r="E1943" s="22">
        <f t="array" ref="E1943">IF($C1943="","",IFERROR(INDEX(DATA_MASTER!$I$2:$I$5000,MATCH($C1943,DATA_MASTER!$D$2:$D$5000,0)),""))</f>
        <v/>
      </c>
      <c r="F1943" s="22">
        <f t="array" ref="F1943">IF($C1943="","",IFERROR(INDEX(DATA_MASTER!$L$2:$L$5000,MATCH($C1943,DATA_MASTER!$D$2:$D$5000,0)),""))</f>
        <v/>
      </c>
      <c r="G1943" s="24" t="n"/>
      <c r="H1943" s="24" t="n"/>
      <c r="I1943" s="30" t="n"/>
      <c r="J1943" s="23">
        <f>IF(OR($H1943="",$I1943=""),"",$H1943*$I1943)</f>
        <v/>
      </c>
      <c r="K1943" s="24" t="n"/>
      <c r="L1943" s="24" t="n"/>
      <c r="M1943" s="29" t="n"/>
      <c r="N1943" s="28" t="n"/>
      <c r="O1943" s="24" t="n"/>
      <c r="P1943" s="24" t="n"/>
      <c r="Q1943" s="24" t="n"/>
      <c r="R1943" s="24" t="n"/>
      <c r="S1943" s="22">
        <f>IF(AND($A1943="",$C1943=""),"",IF($A1943="","Thiếu mã đơn; ","")&amp;IF(COUNTIF($A$2:$A1943,$A1943)&gt;1,"Trùng mã đơn; ","")&amp;IF(ISNA(MATCH($C1943,DATA_MASTER!$D$2:$D$5000,0)),"SĐT chưa đăng ký hội viên; ","")&amp;IF(AND($L1943="Đã chuyển khoản",$M1943=""),"Thiếu ngày nhận CK; ",""))</f>
        <v/>
      </c>
      <c r="T1943" s="24" t="n"/>
    </row>
    <row r="1944" ht="14.25" customHeight="1" s="40">
      <c r="A1944" s="24" t="n"/>
      <c r="B1944" s="29" t="n"/>
      <c r="C1944" s="28" t="n"/>
      <c r="D1944" s="22">
        <f t="array" ref="D1944">IF($C1944="","",IFERROR(INDEX(DATA_MASTER!$C$2:$C$5000,MATCH($C1944,DATA_MASTER!$D$2:$D$5000,0)),""))</f>
        <v/>
      </c>
      <c r="E1944" s="22">
        <f t="array" ref="E1944">IF($C1944="","",IFERROR(INDEX(DATA_MASTER!$I$2:$I$5000,MATCH($C1944,DATA_MASTER!$D$2:$D$5000,0)),""))</f>
        <v/>
      </c>
      <c r="F1944" s="22">
        <f t="array" ref="F1944">IF($C1944="","",IFERROR(INDEX(DATA_MASTER!$L$2:$L$5000,MATCH($C1944,DATA_MASTER!$D$2:$D$5000,0)),""))</f>
        <v/>
      </c>
      <c r="G1944" s="24" t="n"/>
      <c r="H1944" s="24" t="n"/>
      <c r="I1944" s="30" t="n"/>
      <c r="J1944" s="23">
        <f>IF(OR($H1944="",$I1944=""),"",$H1944*$I1944)</f>
        <v/>
      </c>
      <c r="K1944" s="24" t="n"/>
      <c r="L1944" s="24" t="n"/>
      <c r="M1944" s="29" t="n"/>
      <c r="N1944" s="28" t="n"/>
      <c r="O1944" s="24" t="n"/>
      <c r="P1944" s="24" t="n"/>
      <c r="Q1944" s="24" t="n"/>
      <c r="R1944" s="24" t="n"/>
      <c r="S1944" s="22">
        <f>IF(AND($A1944="",$C1944=""),"",IF($A1944="","Thiếu mã đơn; ","")&amp;IF(COUNTIF($A$2:$A1944,$A1944)&gt;1,"Trùng mã đơn; ","")&amp;IF(ISNA(MATCH($C1944,DATA_MASTER!$D$2:$D$5000,0)),"SĐT chưa đăng ký hội viên; ","")&amp;IF(AND($L1944="Đã chuyển khoản",$M1944=""),"Thiếu ngày nhận CK; ",""))</f>
        <v/>
      </c>
      <c r="T1944" s="24" t="n"/>
    </row>
    <row r="1945" ht="14.25" customHeight="1" s="40">
      <c r="A1945" s="24" t="n"/>
      <c r="B1945" s="29" t="n"/>
      <c r="C1945" s="28" t="n"/>
      <c r="D1945" s="22">
        <f t="array" ref="D1945">IF($C1945="","",IFERROR(INDEX(DATA_MASTER!$C$2:$C$5000,MATCH($C1945,DATA_MASTER!$D$2:$D$5000,0)),""))</f>
        <v/>
      </c>
      <c r="E1945" s="22">
        <f t="array" ref="E1945">IF($C1945="","",IFERROR(INDEX(DATA_MASTER!$I$2:$I$5000,MATCH($C1945,DATA_MASTER!$D$2:$D$5000,0)),""))</f>
        <v/>
      </c>
      <c r="F1945" s="22">
        <f t="array" ref="F1945">IF($C1945="","",IFERROR(INDEX(DATA_MASTER!$L$2:$L$5000,MATCH($C1945,DATA_MASTER!$D$2:$D$5000,0)),""))</f>
        <v/>
      </c>
      <c r="G1945" s="24" t="n"/>
      <c r="H1945" s="24" t="n"/>
      <c r="I1945" s="30" t="n"/>
      <c r="J1945" s="23">
        <f>IF(OR($H1945="",$I1945=""),"",$H1945*$I1945)</f>
        <v/>
      </c>
      <c r="K1945" s="24" t="n"/>
      <c r="L1945" s="24" t="n"/>
      <c r="M1945" s="29" t="n"/>
      <c r="N1945" s="28" t="n"/>
      <c r="O1945" s="24" t="n"/>
      <c r="P1945" s="24" t="n"/>
      <c r="Q1945" s="24" t="n"/>
      <c r="R1945" s="24" t="n"/>
      <c r="S1945" s="22">
        <f>IF(AND($A1945="",$C1945=""),"",IF($A1945="","Thiếu mã đơn; ","")&amp;IF(COUNTIF($A$2:$A1945,$A1945)&gt;1,"Trùng mã đơn; ","")&amp;IF(ISNA(MATCH($C1945,DATA_MASTER!$D$2:$D$5000,0)),"SĐT chưa đăng ký hội viên; ","")&amp;IF(AND($L1945="Đã chuyển khoản",$M1945=""),"Thiếu ngày nhận CK; ",""))</f>
        <v/>
      </c>
      <c r="T1945" s="24" t="n"/>
    </row>
    <row r="1946" ht="14.25" customHeight="1" s="40">
      <c r="A1946" s="24" t="n"/>
      <c r="B1946" s="29" t="n"/>
      <c r="C1946" s="28" t="n"/>
      <c r="D1946" s="22">
        <f t="array" ref="D1946">IF($C1946="","",IFERROR(INDEX(DATA_MASTER!$C$2:$C$5000,MATCH($C1946,DATA_MASTER!$D$2:$D$5000,0)),""))</f>
        <v/>
      </c>
      <c r="E1946" s="22">
        <f t="array" ref="E1946">IF($C1946="","",IFERROR(INDEX(DATA_MASTER!$I$2:$I$5000,MATCH($C1946,DATA_MASTER!$D$2:$D$5000,0)),""))</f>
        <v/>
      </c>
      <c r="F1946" s="22">
        <f t="array" ref="F1946">IF($C1946="","",IFERROR(INDEX(DATA_MASTER!$L$2:$L$5000,MATCH($C1946,DATA_MASTER!$D$2:$D$5000,0)),""))</f>
        <v/>
      </c>
      <c r="G1946" s="24" t="n"/>
      <c r="H1946" s="24" t="n"/>
      <c r="I1946" s="30" t="n"/>
      <c r="J1946" s="23">
        <f>IF(OR($H1946="",$I1946=""),"",$H1946*$I1946)</f>
        <v/>
      </c>
      <c r="K1946" s="24" t="n"/>
      <c r="L1946" s="24" t="n"/>
      <c r="M1946" s="29" t="n"/>
      <c r="N1946" s="28" t="n"/>
      <c r="O1946" s="24" t="n"/>
      <c r="P1946" s="24" t="n"/>
      <c r="Q1946" s="24" t="n"/>
      <c r="R1946" s="24" t="n"/>
      <c r="S1946" s="22">
        <f>IF(AND($A1946="",$C1946=""),"",IF($A1946="","Thiếu mã đơn; ","")&amp;IF(COUNTIF($A$2:$A1946,$A1946)&gt;1,"Trùng mã đơn; ","")&amp;IF(ISNA(MATCH($C1946,DATA_MASTER!$D$2:$D$5000,0)),"SĐT chưa đăng ký hội viên; ","")&amp;IF(AND($L1946="Đã chuyển khoản",$M1946=""),"Thiếu ngày nhận CK; ",""))</f>
        <v/>
      </c>
      <c r="T1946" s="24" t="n"/>
    </row>
    <row r="1947" ht="14.25" customHeight="1" s="40">
      <c r="A1947" s="24" t="n"/>
      <c r="B1947" s="29" t="n"/>
      <c r="C1947" s="28" t="n"/>
      <c r="D1947" s="22">
        <f t="array" ref="D1947">IF($C1947="","",IFERROR(INDEX(DATA_MASTER!$C$2:$C$5000,MATCH($C1947,DATA_MASTER!$D$2:$D$5000,0)),""))</f>
        <v/>
      </c>
      <c r="E1947" s="22">
        <f t="array" ref="E1947">IF($C1947="","",IFERROR(INDEX(DATA_MASTER!$I$2:$I$5000,MATCH($C1947,DATA_MASTER!$D$2:$D$5000,0)),""))</f>
        <v/>
      </c>
      <c r="F1947" s="22">
        <f t="array" ref="F1947">IF($C1947="","",IFERROR(INDEX(DATA_MASTER!$L$2:$L$5000,MATCH($C1947,DATA_MASTER!$D$2:$D$5000,0)),""))</f>
        <v/>
      </c>
      <c r="G1947" s="24" t="n"/>
      <c r="H1947" s="24" t="n"/>
      <c r="I1947" s="30" t="n"/>
      <c r="J1947" s="23">
        <f>IF(OR($H1947="",$I1947=""),"",$H1947*$I1947)</f>
        <v/>
      </c>
      <c r="K1947" s="24" t="n"/>
      <c r="L1947" s="24" t="n"/>
      <c r="M1947" s="29" t="n"/>
      <c r="N1947" s="28" t="n"/>
      <c r="O1947" s="24" t="n"/>
      <c r="P1947" s="24" t="n"/>
      <c r="Q1947" s="24" t="n"/>
      <c r="R1947" s="24" t="n"/>
      <c r="S1947" s="22">
        <f>IF(AND($A1947="",$C1947=""),"",IF($A1947="","Thiếu mã đơn; ","")&amp;IF(COUNTIF($A$2:$A1947,$A1947)&gt;1,"Trùng mã đơn; ","")&amp;IF(ISNA(MATCH($C1947,DATA_MASTER!$D$2:$D$5000,0)),"SĐT chưa đăng ký hội viên; ","")&amp;IF(AND($L1947="Đã chuyển khoản",$M1947=""),"Thiếu ngày nhận CK; ",""))</f>
        <v/>
      </c>
      <c r="T1947" s="24" t="n"/>
    </row>
    <row r="1948" ht="14.25" customHeight="1" s="40">
      <c r="A1948" s="24" t="n"/>
      <c r="B1948" s="29" t="n"/>
      <c r="C1948" s="28" t="n"/>
      <c r="D1948" s="22">
        <f t="array" ref="D1948">IF($C1948="","",IFERROR(INDEX(DATA_MASTER!$C$2:$C$5000,MATCH($C1948,DATA_MASTER!$D$2:$D$5000,0)),""))</f>
        <v/>
      </c>
      <c r="E1948" s="22">
        <f t="array" ref="E1948">IF($C1948="","",IFERROR(INDEX(DATA_MASTER!$I$2:$I$5000,MATCH($C1948,DATA_MASTER!$D$2:$D$5000,0)),""))</f>
        <v/>
      </c>
      <c r="F1948" s="22">
        <f t="array" ref="F1948">IF($C1948="","",IFERROR(INDEX(DATA_MASTER!$L$2:$L$5000,MATCH($C1948,DATA_MASTER!$D$2:$D$5000,0)),""))</f>
        <v/>
      </c>
      <c r="G1948" s="24" t="n"/>
      <c r="H1948" s="24" t="n"/>
      <c r="I1948" s="30" t="n"/>
      <c r="J1948" s="23">
        <f>IF(OR($H1948="",$I1948=""),"",$H1948*$I1948)</f>
        <v/>
      </c>
      <c r="K1948" s="24" t="n"/>
      <c r="L1948" s="24" t="n"/>
      <c r="M1948" s="29" t="n"/>
      <c r="N1948" s="28" t="n"/>
      <c r="O1948" s="24" t="n"/>
      <c r="P1948" s="24" t="n"/>
      <c r="Q1948" s="24" t="n"/>
      <c r="R1948" s="24" t="n"/>
      <c r="S1948" s="22">
        <f>IF(AND($A1948="",$C1948=""),"",IF($A1948="","Thiếu mã đơn; ","")&amp;IF(COUNTIF($A$2:$A1948,$A1948)&gt;1,"Trùng mã đơn; ","")&amp;IF(ISNA(MATCH($C1948,DATA_MASTER!$D$2:$D$5000,0)),"SĐT chưa đăng ký hội viên; ","")&amp;IF(AND($L1948="Đã chuyển khoản",$M1948=""),"Thiếu ngày nhận CK; ",""))</f>
        <v/>
      </c>
      <c r="T1948" s="24" t="n"/>
    </row>
    <row r="1949" ht="14.25" customHeight="1" s="40">
      <c r="A1949" s="24" t="n"/>
      <c r="B1949" s="29" t="n"/>
      <c r="C1949" s="28" t="n"/>
      <c r="D1949" s="22">
        <f t="array" ref="D1949">IF($C1949="","",IFERROR(INDEX(DATA_MASTER!$C$2:$C$5000,MATCH($C1949,DATA_MASTER!$D$2:$D$5000,0)),""))</f>
        <v/>
      </c>
      <c r="E1949" s="22">
        <f t="array" ref="E1949">IF($C1949="","",IFERROR(INDEX(DATA_MASTER!$I$2:$I$5000,MATCH($C1949,DATA_MASTER!$D$2:$D$5000,0)),""))</f>
        <v/>
      </c>
      <c r="F1949" s="22">
        <f t="array" ref="F1949">IF($C1949="","",IFERROR(INDEX(DATA_MASTER!$L$2:$L$5000,MATCH($C1949,DATA_MASTER!$D$2:$D$5000,0)),""))</f>
        <v/>
      </c>
      <c r="G1949" s="24" t="n"/>
      <c r="H1949" s="24" t="n"/>
      <c r="I1949" s="30" t="n"/>
      <c r="J1949" s="23">
        <f>IF(OR($H1949="",$I1949=""),"",$H1949*$I1949)</f>
        <v/>
      </c>
      <c r="K1949" s="24" t="n"/>
      <c r="L1949" s="24" t="n"/>
      <c r="M1949" s="29" t="n"/>
      <c r="N1949" s="28" t="n"/>
      <c r="O1949" s="24" t="n"/>
      <c r="P1949" s="24" t="n"/>
      <c r="Q1949" s="24" t="n"/>
      <c r="R1949" s="24" t="n"/>
      <c r="S1949" s="22">
        <f>IF(AND($A1949="",$C1949=""),"",IF($A1949="","Thiếu mã đơn; ","")&amp;IF(COUNTIF($A$2:$A1949,$A1949)&gt;1,"Trùng mã đơn; ","")&amp;IF(ISNA(MATCH($C1949,DATA_MASTER!$D$2:$D$5000,0)),"SĐT chưa đăng ký hội viên; ","")&amp;IF(AND($L1949="Đã chuyển khoản",$M1949=""),"Thiếu ngày nhận CK; ",""))</f>
        <v/>
      </c>
      <c r="T1949" s="24" t="n"/>
    </row>
    <row r="1950" ht="14.25" customHeight="1" s="40">
      <c r="A1950" s="24" t="n"/>
      <c r="B1950" s="29" t="n"/>
      <c r="C1950" s="28" t="n"/>
      <c r="D1950" s="22">
        <f t="array" ref="D1950">IF($C1950="","",IFERROR(INDEX(DATA_MASTER!$C$2:$C$5000,MATCH($C1950,DATA_MASTER!$D$2:$D$5000,0)),""))</f>
        <v/>
      </c>
      <c r="E1950" s="22">
        <f t="array" ref="E1950">IF($C1950="","",IFERROR(INDEX(DATA_MASTER!$I$2:$I$5000,MATCH($C1950,DATA_MASTER!$D$2:$D$5000,0)),""))</f>
        <v/>
      </c>
      <c r="F1950" s="22">
        <f t="array" ref="F1950">IF($C1950="","",IFERROR(INDEX(DATA_MASTER!$L$2:$L$5000,MATCH($C1950,DATA_MASTER!$D$2:$D$5000,0)),""))</f>
        <v/>
      </c>
      <c r="G1950" s="24" t="n"/>
      <c r="H1950" s="24" t="n"/>
      <c r="I1950" s="30" t="n"/>
      <c r="J1950" s="23">
        <f>IF(OR($H1950="",$I1950=""),"",$H1950*$I1950)</f>
        <v/>
      </c>
      <c r="K1950" s="24" t="n"/>
      <c r="L1950" s="24" t="n"/>
      <c r="M1950" s="29" t="n"/>
      <c r="N1950" s="28" t="n"/>
      <c r="O1950" s="24" t="n"/>
      <c r="P1950" s="24" t="n"/>
      <c r="Q1950" s="24" t="n"/>
      <c r="R1950" s="24" t="n"/>
      <c r="S1950" s="22">
        <f>IF(AND($A1950="",$C1950=""),"",IF($A1950="","Thiếu mã đơn; ","")&amp;IF(COUNTIF($A$2:$A1950,$A1950)&gt;1,"Trùng mã đơn; ","")&amp;IF(ISNA(MATCH($C1950,DATA_MASTER!$D$2:$D$5000,0)),"SĐT chưa đăng ký hội viên; ","")&amp;IF(AND($L1950="Đã chuyển khoản",$M1950=""),"Thiếu ngày nhận CK; ",""))</f>
        <v/>
      </c>
      <c r="T1950" s="24" t="n"/>
    </row>
    <row r="1951" ht="14.25" customHeight="1" s="40">
      <c r="A1951" s="24" t="n"/>
      <c r="B1951" s="29" t="n"/>
      <c r="C1951" s="28" t="n"/>
      <c r="D1951" s="22">
        <f t="array" ref="D1951">IF($C1951="","",IFERROR(INDEX(DATA_MASTER!$C$2:$C$5000,MATCH($C1951,DATA_MASTER!$D$2:$D$5000,0)),""))</f>
        <v/>
      </c>
      <c r="E1951" s="22">
        <f t="array" ref="E1951">IF($C1951="","",IFERROR(INDEX(DATA_MASTER!$I$2:$I$5000,MATCH($C1951,DATA_MASTER!$D$2:$D$5000,0)),""))</f>
        <v/>
      </c>
      <c r="F1951" s="22">
        <f t="array" ref="F1951">IF($C1951="","",IFERROR(INDEX(DATA_MASTER!$L$2:$L$5000,MATCH($C1951,DATA_MASTER!$D$2:$D$5000,0)),""))</f>
        <v/>
      </c>
      <c r="G1951" s="24" t="n"/>
      <c r="H1951" s="24" t="n"/>
      <c r="I1951" s="30" t="n"/>
      <c r="J1951" s="23">
        <f>IF(OR($H1951="",$I1951=""),"",$H1951*$I1951)</f>
        <v/>
      </c>
      <c r="K1951" s="24" t="n"/>
      <c r="L1951" s="24" t="n"/>
      <c r="M1951" s="29" t="n"/>
      <c r="N1951" s="28" t="n"/>
      <c r="O1951" s="24" t="n"/>
      <c r="P1951" s="24" t="n"/>
      <c r="Q1951" s="24" t="n"/>
      <c r="R1951" s="24" t="n"/>
      <c r="S1951" s="22">
        <f>IF(AND($A1951="",$C1951=""),"",IF($A1951="","Thiếu mã đơn; ","")&amp;IF(COUNTIF($A$2:$A1951,$A1951)&gt;1,"Trùng mã đơn; ","")&amp;IF(ISNA(MATCH($C1951,DATA_MASTER!$D$2:$D$5000,0)),"SĐT chưa đăng ký hội viên; ","")&amp;IF(AND($L1951="Đã chuyển khoản",$M1951=""),"Thiếu ngày nhận CK; ",""))</f>
        <v/>
      </c>
      <c r="T1951" s="24" t="n"/>
    </row>
    <row r="1952" ht="14.25" customHeight="1" s="40">
      <c r="A1952" s="24" t="n"/>
      <c r="B1952" s="29" t="n"/>
      <c r="C1952" s="28" t="n"/>
      <c r="D1952" s="22">
        <f t="array" ref="D1952">IF($C1952="","",IFERROR(INDEX(DATA_MASTER!$C$2:$C$5000,MATCH($C1952,DATA_MASTER!$D$2:$D$5000,0)),""))</f>
        <v/>
      </c>
      <c r="E1952" s="22">
        <f t="array" ref="E1952">IF($C1952="","",IFERROR(INDEX(DATA_MASTER!$I$2:$I$5000,MATCH($C1952,DATA_MASTER!$D$2:$D$5000,0)),""))</f>
        <v/>
      </c>
      <c r="F1952" s="22">
        <f t="array" ref="F1952">IF($C1952="","",IFERROR(INDEX(DATA_MASTER!$L$2:$L$5000,MATCH($C1952,DATA_MASTER!$D$2:$D$5000,0)),""))</f>
        <v/>
      </c>
      <c r="G1952" s="24" t="n"/>
      <c r="H1952" s="24" t="n"/>
      <c r="I1952" s="30" t="n"/>
      <c r="J1952" s="23">
        <f>IF(OR($H1952="",$I1952=""),"",$H1952*$I1952)</f>
        <v/>
      </c>
      <c r="K1952" s="24" t="n"/>
      <c r="L1952" s="24" t="n"/>
      <c r="M1952" s="29" t="n"/>
      <c r="N1952" s="28" t="n"/>
      <c r="O1952" s="24" t="n"/>
      <c r="P1952" s="24" t="n"/>
      <c r="Q1952" s="24" t="n"/>
      <c r="R1952" s="24" t="n"/>
      <c r="S1952" s="22">
        <f>IF(AND($A1952="",$C1952=""),"",IF($A1952="","Thiếu mã đơn; ","")&amp;IF(COUNTIF($A$2:$A1952,$A1952)&gt;1,"Trùng mã đơn; ","")&amp;IF(ISNA(MATCH($C1952,DATA_MASTER!$D$2:$D$5000,0)),"SĐT chưa đăng ký hội viên; ","")&amp;IF(AND($L1952="Đã chuyển khoản",$M1952=""),"Thiếu ngày nhận CK; ",""))</f>
        <v/>
      </c>
      <c r="T1952" s="24" t="n"/>
    </row>
    <row r="1953" ht="14.25" customHeight="1" s="40">
      <c r="A1953" s="24" t="n"/>
      <c r="B1953" s="29" t="n"/>
      <c r="C1953" s="28" t="n"/>
      <c r="D1953" s="22">
        <f t="array" ref="D1953">IF($C1953="","",IFERROR(INDEX(DATA_MASTER!$C$2:$C$5000,MATCH($C1953,DATA_MASTER!$D$2:$D$5000,0)),""))</f>
        <v/>
      </c>
      <c r="E1953" s="22">
        <f t="array" ref="E1953">IF($C1953="","",IFERROR(INDEX(DATA_MASTER!$I$2:$I$5000,MATCH($C1953,DATA_MASTER!$D$2:$D$5000,0)),""))</f>
        <v/>
      </c>
      <c r="F1953" s="22">
        <f t="array" ref="F1953">IF($C1953="","",IFERROR(INDEX(DATA_MASTER!$L$2:$L$5000,MATCH($C1953,DATA_MASTER!$D$2:$D$5000,0)),""))</f>
        <v/>
      </c>
      <c r="G1953" s="24" t="n"/>
      <c r="H1953" s="24" t="n"/>
      <c r="I1953" s="30" t="n"/>
      <c r="J1953" s="23">
        <f>IF(OR($H1953="",$I1953=""),"",$H1953*$I1953)</f>
        <v/>
      </c>
      <c r="K1953" s="24" t="n"/>
      <c r="L1953" s="24" t="n"/>
      <c r="M1953" s="29" t="n"/>
      <c r="N1953" s="28" t="n"/>
      <c r="O1953" s="24" t="n"/>
      <c r="P1953" s="24" t="n"/>
      <c r="Q1953" s="24" t="n"/>
      <c r="R1953" s="24" t="n"/>
      <c r="S1953" s="22">
        <f>IF(AND($A1953="",$C1953=""),"",IF($A1953="","Thiếu mã đơn; ","")&amp;IF(COUNTIF($A$2:$A1953,$A1953)&gt;1,"Trùng mã đơn; ","")&amp;IF(ISNA(MATCH($C1953,DATA_MASTER!$D$2:$D$5000,0)),"SĐT chưa đăng ký hội viên; ","")&amp;IF(AND($L1953="Đã chuyển khoản",$M1953=""),"Thiếu ngày nhận CK; ",""))</f>
        <v/>
      </c>
      <c r="T1953" s="24" t="n"/>
    </row>
    <row r="1954" ht="14.25" customHeight="1" s="40">
      <c r="A1954" s="24" t="n"/>
      <c r="B1954" s="29" t="n"/>
      <c r="C1954" s="28" t="n"/>
      <c r="D1954" s="22">
        <f t="array" ref="D1954">IF($C1954="","",IFERROR(INDEX(DATA_MASTER!$C$2:$C$5000,MATCH($C1954,DATA_MASTER!$D$2:$D$5000,0)),""))</f>
        <v/>
      </c>
      <c r="E1954" s="22">
        <f t="array" ref="E1954">IF($C1954="","",IFERROR(INDEX(DATA_MASTER!$I$2:$I$5000,MATCH($C1954,DATA_MASTER!$D$2:$D$5000,0)),""))</f>
        <v/>
      </c>
      <c r="F1954" s="22">
        <f t="array" ref="F1954">IF($C1954="","",IFERROR(INDEX(DATA_MASTER!$L$2:$L$5000,MATCH($C1954,DATA_MASTER!$D$2:$D$5000,0)),""))</f>
        <v/>
      </c>
      <c r="G1954" s="24" t="n"/>
      <c r="H1954" s="24" t="n"/>
      <c r="I1954" s="30" t="n"/>
      <c r="J1954" s="23">
        <f>IF(OR($H1954="",$I1954=""),"",$H1954*$I1954)</f>
        <v/>
      </c>
      <c r="K1954" s="24" t="n"/>
      <c r="L1954" s="24" t="n"/>
      <c r="M1954" s="29" t="n"/>
      <c r="N1954" s="28" t="n"/>
      <c r="O1954" s="24" t="n"/>
      <c r="P1954" s="24" t="n"/>
      <c r="Q1954" s="24" t="n"/>
      <c r="R1954" s="24" t="n"/>
      <c r="S1954" s="22">
        <f>IF(AND($A1954="",$C1954=""),"",IF($A1954="","Thiếu mã đơn; ","")&amp;IF(COUNTIF($A$2:$A1954,$A1954)&gt;1,"Trùng mã đơn; ","")&amp;IF(ISNA(MATCH($C1954,DATA_MASTER!$D$2:$D$5000,0)),"SĐT chưa đăng ký hội viên; ","")&amp;IF(AND($L1954="Đã chuyển khoản",$M1954=""),"Thiếu ngày nhận CK; ",""))</f>
        <v/>
      </c>
      <c r="T1954" s="24" t="n"/>
    </row>
    <row r="1955" ht="14.25" customHeight="1" s="40">
      <c r="A1955" s="24" t="n"/>
      <c r="B1955" s="29" t="n"/>
      <c r="C1955" s="28" t="n"/>
      <c r="D1955" s="22">
        <f t="array" ref="D1955">IF($C1955="","",IFERROR(INDEX(DATA_MASTER!$C$2:$C$5000,MATCH($C1955,DATA_MASTER!$D$2:$D$5000,0)),""))</f>
        <v/>
      </c>
      <c r="E1955" s="22">
        <f t="array" ref="E1955">IF($C1955="","",IFERROR(INDEX(DATA_MASTER!$I$2:$I$5000,MATCH($C1955,DATA_MASTER!$D$2:$D$5000,0)),""))</f>
        <v/>
      </c>
      <c r="F1955" s="22">
        <f t="array" ref="F1955">IF($C1955="","",IFERROR(INDEX(DATA_MASTER!$L$2:$L$5000,MATCH($C1955,DATA_MASTER!$D$2:$D$5000,0)),""))</f>
        <v/>
      </c>
      <c r="G1955" s="24" t="n"/>
      <c r="H1955" s="24" t="n"/>
      <c r="I1955" s="30" t="n"/>
      <c r="J1955" s="23">
        <f>IF(OR($H1955="",$I1955=""),"",$H1955*$I1955)</f>
        <v/>
      </c>
      <c r="K1955" s="24" t="n"/>
      <c r="L1955" s="24" t="n"/>
      <c r="M1955" s="29" t="n"/>
      <c r="N1955" s="28" t="n"/>
      <c r="O1955" s="24" t="n"/>
      <c r="P1955" s="24" t="n"/>
      <c r="Q1955" s="24" t="n"/>
      <c r="R1955" s="24" t="n"/>
      <c r="S1955" s="22">
        <f>IF(AND($A1955="",$C1955=""),"",IF($A1955="","Thiếu mã đơn; ","")&amp;IF(COUNTIF($A$2:$A1955,$A1955)&gt;1,"Trùng mã đơn; ","")&amp;IF(ISNA(MATCH($C1955,DATA_MASTER!$D$2:$D$5000,0)),"SĐT chưa đăng ký hội viên; ","")&amp;IF(AND($L1955="Đã chuyển khoản",$M1955=""),"Thiếu ngày nhận CK; ",""))</f>
        <v/>
      </c>
      <c r="T1955" s="24" t="n"/>
    </row>
    <row r="1956" ht="14.25" customHeight="1" s="40">
      <c r="A1956" s="24" t="n"/>
      <c r="B1956" s="29" t="n"/>
      <c r="C1956" s="28" t="n"/>
      <c r="D1956" s="22">
        <f t="array" ref="D1956">IF($C1956="","",IFERROR(INDEX(DATA_MASTER!$C$2:$C$5000,MATCH($C1956,DATA_MASTER!$D$2:$D$5000,0)),""))</f>
        <v/>
      </c>
      <c r="E1956" s="22">
        <f t="array" ref="E1956">IF($C1956="","",IFERROR(INDEX(DATA_MASTER!$I$2:$I$5000,MATCH($C1956,DATA_MASTER!$D$2:$D$5000,0)),""))</f>
        <v/>
      </c>
      <c r="F1956" s="22">
        <f t="array" ref="F1956">IF($C1956="","",IFERROR(INDEX(DATA_MASTER!$L$2:$L$5000,MATCH($C1956,DATA_MASTER!$D$2:$D$5000,0)),""))</f>
        <v/>
      </c>
      <c r="G1956" s="24" t="n"/>
      <c r="H1956" s="24" t="n"/>
      <c r="I1956" s="30" t="n"/>
      <c r="J1956" s="23">
        <f>IF(OR($H1956="",$I1956=""),"",$H1956*$I1956)</f>
        <v/>
      </c>
      <c r="K1956" s="24" t="n"/>
      <c r="L1956" s="24" t="n"/>
      <c r="M1956" s="29" t="n"/>
      <c r="N1956" s="28" t="n"/>
      <c r="O1956" s="24" t="n"/>
      <c r="P1956" s="24" t="n"/>
      <c r="Q1956" s="24" t="n"/>
      <c r="R1956" s="24" t="n"/>
      <c r="S1956" s="22">
        <f>IF(AND($A1956="",$C1956=""),"",IF($A1956="","Thiếu mã đơn; ","")&amp;IF(COUNTIF($A$2:$A1956,$A1956)&gt;1,"Trùng mã đơn; ","")&amp;IF(ISNA(MATCH($C1956,DATA_MASTER!$D$2:$D$5000,0)),"SĐT chưa đăng ký hội viên; ","")&amp;IF(AND($L1956="Đã chuyển khoản",$M1956=""),"Thiếu ngày nhận CK; ",""))</f>
        <v/>
      </c>
      <c r="T1956" s="24" t="n"/>
    </row>
    <row r="1957" ht="14.25" customHeight="1" s="40">
      <c r="A1957" s="24" t="n"/>
      <c r="B1957" s="29" t="n"/>
      <c r="C1957" s="28" t="n"/>
      <c r="D1957" s="22">
        <f t="array" ref="D1957">IF($C1957="","",IFERROR(INDEX(DATA_MASTER!$C$2:$C$5000,MATCH($C1957,DATA_MASTER!$D$2:$D$5000,0)),""))</f>
        <v/>
      </c>
      <c r="E1957" s="22">
        <f t="array" ref="E1957">IF($C1957="","",IFERROR(INDEX(DATA_MASTER!$I$2:$I$5000,MATCH($C1957,DATA_MASTER!$D$2:$D$5000,0)),""))</f>
        <v/>
      </c>
      <c r="F1957" s="22">
        <f t="array" ref="F1957">IF($C1957="","",IFERROR(INDEX(DATA_MASTER!$L$2:$L$5000,MATCH($C1957,DATA_MASTER!$D$2:$D$5000,0)),""))</f>
        <v/>
      </c>
      <c r="G1957" s="24" t="n"/>
      <c r="H1957" s="24" t="n"/>
      <c r="I1957" s="30" t="n"/>
      <c r="J1957" s="23">
        <f>IF(OR($H1957="",$I1957=""),"",$H1957*$I1957)</f>
        <v/>
      </c>
      <c r="K1957" s="24" t="n"/>
      <c r="L1957" s="24" t="n"/>
      <c r="M1957" s="29" t="n"/>
      <c r="N1957" s="28" t="n"/>
      <c r="O1957" s="24" t="n"/>
      <c r="P1957" s="24" t="n"/>
      <c r="Q1957" s="24" t="n"/>
      <c r="R1957" s="24" t="n"/>
      <c r="S1957" s="22">
        <f>IF(AND($A1957="",$C1957=""),"",IF($A1957="","Thiếu mã đơn; ","")&amp;IF(COUNTIF($A$2:$A1957,$A1957)&gt;1,"Trùng mã đơn; ","")&amp;IF(ISNA(MATCH($C1957,DATA_MASTER!$D$2:$D$5000,0)),"SĐT chưa đăng ký hội viên; ","")&amp;IF(AND($L1957="Đã chuyển khoản",$M1957=""),"Thiếu ngày nhận CK; ",""))</f>
        <v/>
      </c>
      <c r="T1957" s="24" t="n"/>
    </row>
    <row r="1958" ht="14.25" customHeight="1" s="40">
      <c r="A1958" s="24" t="n"/>
      <c r="B1958" s="29" t="n"/>
      <c r="C1958" s="28" t="n"/>
      <c r="D1958" s="22">
        <f t="array" ref="D1958">IF($C1958="","",IFERROR(INDEX(DATA_MASTER!$C$2:$C$5000,MATCH($C1958,DATA_MASTER!$D$2:$D$5000,0)),""))</f>
        <v/>
      </c>
      <c r="E1958" s="22">
        <f t="array" ref="E1958">IF($C1958="","",IFERROR(INDEX(DATA_MASTER!$I$2:$I$5000,MATCH($C1958,DATA_MASTER!$D$2:$D$5000,0)),""))</f>
        <v/>
      </c>
      <c r="F1958" s="22">
        <f t="array" ref="F1958">IF($C1958="","",IFERROR(INDEX(DATA_MASTER!$L$2:$L$5000,MATCH($C1958,DATA_MASTER!$D$2:$D$5000,0)),""))</f>
        <v/>
      </c>
      <c r="G1958" s="24" t="n"/>
      <c r="H1958" s="24" t="n"/>
      <c r="I1958" s="30" t="n"/>
      <c r="J1958" s="23">
        <f>IF(OR($H1958="",$I1958=""),"",$H1958*$I1958)</f>
        <v/>
      </c>
      <c r="K1958" s="24" t="n"/>
      <c r="L1958" s="24" t="n"/>
      <c r="M1958" s="29" t="n"/>
      <c r="N1958" s="28" t="n"/>
      <c r="O1958" s="24" t="n"/>
      <c r="P1958" s="24" t="n"/>
      <c r="Q1958" s="24" t="n"/>
      <c r="R1958" s="24" t="n"/>
      <c r="S1958" s="22">
        <f>IF(AND($A1958="",$C1958=""),"",IF($A1958="","Thiếu mã đơn; ","")&amp;IF(COUNTIF($A$2:$A1958,$A1958)&gt;1,"Trùng mã đơn; ","")&amp;IF(ISNA(MATCH($C1958,DATA_MASTER!$D$2:$D$5000,0)),"SĐT chưa đăng ký hội viên; ","")&amp;IF(AND($L1958="Đã chuyển khoản",$M1958=""),"Thiếu ngày nhận CK; ",""))</f>
        <v/>
      </c>
      <c r="T1958" s="24" t="n"/>
    </row>
    <row r="1959" ht="14.25" customHeight="1" s="40">
      <c r="A1959" s="24" t="n"/>
      <c r="B1959" s="29" t="n"/>
      <c r="C1959" s="28" t="n"/>
      <c r="D1959" s="22">
        <f t="array" ref="D1959">IF($C1959="","",IFERROR(INDEX(DATA_MASTER!$C$2:$C$5000,MATCH($C1959,DATA_MASTER!$D$2:$D$5000,0)),""))</f>
        <v/>
      </c>
      <c r="E1959" s="22">
        <f t="array" ref="E1959">IF($C1959="","",IFERROR(INDEX(DATA_MASTER!$I$2:$I$5000,MATCH($C1959,DATA_MASTER!$D$2:$D$5000,0)),""))</f>
        <v/>
      </c>
      <c r="F1959" s="22">
        <f t="array" ref="F1959">IF($C1959="","",IFERROR(INDEX(DATA_MASTER!$L$2:$L$5000,MATCH($C1959,DATA_MASTER!$D$2:$D$5000,0)),""))</f>
        <v/>
      </c>
      <c r="G1959" s="24" t="n"/>
      <c r="H1959" s="24" t="n"/>
      <c r="I1959" s="30" t="n"/>
      <c r="J1959" s="23">
        <f>IF(OR($H1959="",$I1959=""),"",$H1959*$I1959)</f>
        <v/>
      </c>
      <c r="K1959" s="24" t="n"/>
      <c r="L1959" s="24" t="n"/>
      <c r="M1959" s="29" t="n"/>
      <c r="N1959" s="28" t="n"/>
      <c r="O1959" s="24" t="n"/>
      <c r="P1959" s="24" t="n"/>
      <c r="Q1959" s="24" t="n"/>
      <c r="R1959" s="24" t="n"/>
      <c r="S1959" s="22">
        <f>IF(AND($A1959="",$C1959=""),"",IF($A1959="","Thiếu mã đơn; ","")&amp;IF(COUNTIF($A$2:$A1959,$A1959)&gt;1,"Trùng mã đơn; ","")&amp;IF(ISNA(MATCH($C1959,DATA_MASTER!$D$2:$D$5000,0)),"SĐT chưa đăng ký hội viên; ","")&amp;IF(AND($L1959="Đã chuyển khoản",$M1959=""),"Thiếu ngày nhận CK; ",""))</f>
        <v/>
      </c>
      <c r="T1959" s="24" t="n"/>
    </row>
    <row r="1960" ht="14.25" customHeight="1" s="40">
      <c r="A1960" s="24" t="n"/>
      <c r="B1960" s="29" t="n"/>
      <c r="C1960" s="28" t="n"/>
      <c r="D1960" s="22">
        <f t="array" ref="D1960">IF($C1960="","",IFERROR(INDEX(DATA_MASTER!$C$2:$C$5000,MATCH($C1960,DATA_MASTER!$D$2:$D$5000,0)),""))</f>
        <v/>
      </c>
      <c r="E1960" s="22">
        <f t="array" ref="E1960">IF($C1960="","",IFERROR(INDEX(DATA_MASTER!$I$2:$I$5000,MATCH($C1960,DATA_MASTER!$D$2:$D$5000,0)),""))</f>
        <v/>
      </c>
      <c r="F1960" s="22">
        <f t="array" ref="F1960">IF($C1960="","",IFERROR(INDEX(DATA_MASTER!$L$2:$L$5000,MATCH($C1960,DATA_MASTER!$D$2:$D$5000,0)),""))</f>
        <v/>
      </c>
      <c r="G1960" s="24" t="n"/>
      <c r="H1960" s="24" t="n"/>
      <c r="I1960" s="30" t="n"/>
      <c r="J1960" s="23">
        <f>IF(OR($H1960="",$I1960=""),"",$H1960*$I1960)</f>
        <v/>
      </c>
      <c r="K1960" s="24" t="n"/>
      <c r="L1960" s="24" t="n"/>
      <c r="M1960" s="29" t="n"/>
      <c r="N1960" s="28" t="n"/>
      <c r="O1960" s="24" t="n"/>
      <c r="P1960" s="24" t="n"/>
      <c r="Q1960" s="24" t="n"/>
      <c r="R1960" s="24" t="n"/>
      <c r="S1960" s="22">
        <f>IF(AND($A1960="",$C1960=""),"",IF($A1960="","Thiếu mã đơn; ","")&amp;IF(COUNTIF($A$2:$A1960,$A1960)&gt;1,"Trùng mã đơn; ","")&amp;IF(ISNA(MATCH($C1960,DATA_MASTER!$D$2:$D$5000,0)),"SĐT chưa đăng ký hội viên; ","")&amp;IF(AND($L1960="Đã chuyển khoản",$M1960=""),"Thiếu ngày nhận CK; ",""))</f>
        <v/>
      </c>
      <c r="T1960" s="24" t="n"/>
    </row>
    <row r="1961" ht="14.25" customHeight="1" s="40">
      <c r="A1961" s="24" t="n"/>
      <c r="B1961" s="29" t="n"/>
      <c r="C1961" s="28" t="n"/>
      <c r="D1961" s="22">
        <f t="array" ref="D1961">IF($C1961="","",IFERROR(INDEX(DATA_MASTER!$C$2:$C$5000,MATCH($C1961,DATA_MASTER!$D$2:$D$5000,0)),""))</f>
        <v/>
      </c>
      <c r="E1961" s="22">
        <f t="array" ref="E1961">IF($C1961="","",IFERROR(INDEX(DATA_MASTER!$I$2:$I$5000,MATCH($C1961,DATA_MASTER!$D$2:$D$5000,0)),""))</f>
        <v/>
      </c>
      <c r="F1961" s="22">
        <f t="array" ref="F1961">IF($C1961="","",IFERROR(INDEX(DATA_MASTER!$L$2:$L$5000,MATCH($C1961,DATA_MASTER!$D$2:$D$5000,0)),""))</f>
        <v/>
      </c>
      <c r="G1961" s="24" t="n"/>
      <c r="H1961" s="24" t="n"/>
      <c r="I1961" s="30" t="n"/>
      <c r="J1961" s="23">
        <f>IF(OR($H1961="",$I1961=""),"",$H1961*$I1961)</f>
        <v/>
      </c>
      <c r="K1961" s="24" t="n"/>
      <c r="L1961" s="24" t="n"/>
      <c r="M1961" s="29" t="n"/>
      <c r="N1961" s="28" t="n"/>
      <c r="O1961" s="24" t="n"/>
      <c r="P1961" s="24" t="n"/>
      <c r="Q1961" s="24" t="n"/>
      <c r="R1961" s="24" t="n"/>
      <c r="S1961" s="22">
        <f>IF(AND($A1961="",$C1961=""),"",IF($A1961="","Thiếu mã đơn; ","")&amp;IF(COUNTIF($A$2:$A1961,$A1961)&gt;1,"Trùng mã đơn; ","")&amp;IF(ISNA(MATCH($C1961,DATA_MASTER!$D$2:$D$5000,0)),"SĐT chưa đăng ký hội viên; ","")&amp;IF(AND($L1961="Đã chuyển khoản",$M1961=""),"Thiếu ngày nhận CK; ",""))</f>
        <v/>
      </c>
      <c r="T1961" s="24" t="n"/>
    </row>
    <row r="1962" ht="14.25" customHeight="1" s="40">
      <c r="A1962" s="24" t="n"/>
      <c r="B1962" s="29" t="n"/>
      <c r="C1962" s="28" t="n"/>
      <c r="D1962" s="22">
        <f t="array" ref="D1962">IF($C1962="","",IFERROR(INDEX(DATA_MASTER!$C$2:$C$5000,MATCH($C1962,DATA_MASTER!$D$2:$D$5000,0)),""))</f>
        <v/>
      </c>
      <c r="E1962" s="22">
        <f t="array" ref="E1962">IF($C1962="","",IFERROR(INDEX(DATA_MASTER!$I$2:$I$5000,MATCH($C1962,DATA_MASTER!$D$2:$D$5000,0)),""))</f>
        <v/>
      </c>
      <c r="F1962" s="22">
        <f t="array" ref="F1962">IF($C1962="","",IFERROR(INDEX(DATA_MASTER!$L$2:$L$5000,MATCH($C1962,DATA_MASTER!$D$2:$D$5000,0)),""))</f>
        <v/>
      </c>
      <c r="G1962" s="24" t="n"/>
      <c r="H1962" s="24" t="n"/>
      <c r="I1962" s="30" t="n"/>
      <c r="J1962" s="23">
        <f>IF(OR($H1962="",$I1962=""),"",$H1962*$I1962)</f>
        <v/>
      </c>
      <c r="K1962" s="24" t="n"/>
      <c r="L1962" s="24" t="n"/>
      <c r="M1962" s="29" t="n"/>
      <c r="N1962" s="28" t="n"/>
      <c r="O1962" s="24" t="n"/>
      <c r="P1962" s="24" t="n"/>
      <c r="Q1962" s="24" t="n"/>
      <c r="R1962" s="24" t="n"/>
      <c r="S1962" s="22">
        <f>IF(AND($A1962="",$C1962=""),"",IF($A1962="","Thiếu mã đơn; ","")&amp;IF(COUNTIF($A$2:$A1962,$A1962)&gt;1,"Trùng mã đơn; ","")&amp;IF(ISNA(MATCH($C1962,DATA_MASTER!$D$2:$D$5000,0)),"SĐT chưa đăng ký hội viên; ","")&amp;IF(AND($L1962="Đã chuyển khoản",$M1962=""),"Thiếu ngày nhận CK; ",""))</f>
        <v/>
      </c>
      <c r="T1962" s="24" t="n"/>
    </row>
    <row r="1963" ht="14.25" customHeight="1" s="40">
      <c r="A1963" s="24" t="n"/>
      <c r="B1963" s="29" t="n"/>
      <c r="C1963" s="28" t="n"/>
      <c r="D1963" s="22">
        <f t="array" ref="D1963">IF($C1963="","",IFERROR(INDEX(DATA_MASTER!$C$2:$C$5000,MATCH($C1963,DATA_MASTER!$D$2:$D$5000,0)),""))</f>
        <v/>
      </c>
      <c r="E1963" s="22">
        <f t="array" ref="E1963">IF($C1963="","",IFERROR(INDEX(DATA_MASTER!$I$2:$I$5000,MATCH($C1963,DATA_MASTER!$D$2:$D$5000,0)),""))</f>
        <v/>
      </c>
      <c r="F1963" s="22">
        <f t="array" ref="F1963">IF($C1963="","",IFERROR(INDEX(DATA_MASTER!$L$2:$L$5000,MATCH($C1963,DATA_MASTER!$D$2:$D$5000,0)),""))</f>
        <v/>
      </c>
      <c r="G1963" s="24" t="n"/>
      <c r="H1963" s="24" t="n"/>
      <c r="I1963" s="30" t="n"/>
      <c r="J1963" s="23">
        <f>IF(OR($H1963="",$I1963=""),"",$H1963*$I1963)</f>
        <v/>
      </c>
      <c r="K1963" s="24" t="n"/>
      <c r="L1963" s="24" t="n"/>
      <c r="M1963" s="29" t="n"/>
      <c r="N1963" s="28" t="n"/>
      <c r="O1963" s="24" t="n"/>
      <c r="P1963" s="24" t="n"/>
      <c r="Q1963" s="24" t="n"/>
      <c r="R1963" s="24" t="n"/>
      <c r="S1963" s="22">
        <f>IF(AND($A1963="",$C1963=""),"",IF($A1963="","Thiếu mã đơn; ","")&amp;IF(COUNTIF($A$2:$A1963,$A1963)&gt;1,"Trùng mã đơn; ","")&amp;IF(ISNA(MATCH($C1963,DATA_MASTER!$D$2:$D$5000,0)),"SĐT chưa đăng ký hội viên; ","")&amp;IF(AND($L1963="Đã chuyển khoản",$M1963=""),"Thiếu ngày nhận CK; ",""))</f>
        <v/>
      </c>
      <c r="T1963" s="24" t="n"/>
    </row>
    <row r="1964" ht="14.25" customHeight="1" s="40">
      <c r="A1964" s="24" t="n"/>
      <c r="B1964" s="29" t="n"/>
      <c r="C1964" s="28" t="n"/>
      <c r="D1964" s="22">
        <f t="array" ref="D1964">IF($C1964="","",IFERROR(INDEX(DATA_MASTER!$C$2:$C$5000,MATCH($C1964,DATA_MASTER!$D$2:$D$5000,0)),""))</f>
        <v/>
      </c>
      <c r="E1964" s="22">
        <f t="array" ref="E1964">IF($C1964="","",IFERROR(INDEX(DATA_MASTER!$I$2:$I$5000,MATCH($C1964,DATA_MASTER!$D$2:$D$5000,0)),""))</f>
        <v/>
      </c>
      <c r="F1964" s="22">
        <f t="array" ref="F1964">IF($C1964="","",IFERROR(INDEX(DATA_MASTER!$L$2:$L$5000,MATCH($C1964,DATA_MASTER!$D$2:$D$5000,0)),""))</f>
        <v/>
      </c>
      <c r="G1964" s="24" t="n"/>
      <c r="H1964" s="24" t="n"/>
      <c r="I1964" s="30" t="n"/>
      <c r="J1964" s="23">
        <f>IF(OR($H1964="",$I1964=""),"",$H1964*$I1964)</f>
        <v/>
      </c>
      <c r="K1964" s="24" t="n"/>
      <c r="L1964" s="24" t="n"/>
      <c r="M1964" s="29" t="n"/>
      <c r="N1964" s="28" t="n"/>
      <c r="O1964" s="24" t="n"/>
      <c r="P1964" s="24" t="n"/>
      <c r="Q1964" s="24" t="n"/>
      <c r="R1964" s="24" t="n"/>
      <c r="S1964" s="22">
        <f>IF(AND($A1964="",$C1964=""),"",IF($A1964="","Thiếu mã đơn; ","")&amp;IF(COUNTIF($A$2:$A1964,$A1964)&gt;1,"Trùng mã đơn; ","")&amp;IF(ISNA(MATCH($C1964,DATA_MASTER!$D$2:$D$5000,0)),"SĐT chưa đăng ký hội viên; ","")&amp;IF(AND($L1964="Đã chuyển khoản",$M1964=""),"Thiếu ngày nhận CK; ",""))</f>
        <v/>
      </c>
      <c r="T1964" s="24" t="n"/>
    </row>
    <row r="1965" ht="14.25" customHeight="1" s="40">
      <c r="A1965" s="24" t="n"/>
      <c r="B1965" s="29" t="n"/>
      <c r="C1965" s="28" t="n"/>
      <c r="D1965" s="22">
        <f t="array" ref="D1965">IF($C1965="","",IFERROR(INDEX(DATA_MASTER!$C$2:$C$5000,MATCH($C1965,DATA_MASTER!$D$2:$D$5000,0)),""))</f>
        <v/>
      </c>
      <c r="E1965" s="22">
        <f t="array" ref="E1965">IF($C1965="","",IFERROR(INDEX(DATA_MASTER!$I$2:$I$5000,MATCH($C1965,DATA_MASTER!$D$2:$D$5000,0)),""))</f>
        <v/>
      </c>
      <c r="F1965" s="22">
        <f t="array" ref="F1965">IF($C1965="","",IFERROR(INDEX(DATA_MASTER!$L$2:$L$5000,MATCH($C1965,DATA_MASTER!$D$2:$D$5000,0)),""))</f>
        <v/>
      </c>
      <c r="G1965" s="24" t="n"/>
      <c r="H1965" s="24" t="n"/>
      <c r="I1965" s="30" t="n"/>
      <c r="J1965" s="23">
        <f>IF(OR($H1965="",$I1965=""),"",$H1965*$I1965)</f>
        <v/>
      </c>
      <c r="K1965" s="24" t="n"/>
      <c r="L1965" s="24" t="n"/>
      <c r="M1965" s="29" t="n"/>
      <c r="N1965" s="28" t="n"/>
      <c r="O1965" s="24" t="n"/>
      <c r="P1965" s="24" t="n"/>
      <c r="Q1965" s="24" t="n"/>
      <c r="R1965" s="24" t="n"/>
      <c r="S1965" s="22">
        <f>IF(AND($A1965="",$C1965=""),"",IF($A1965="","Thiếu mã đơn; ","")&amp;IF(COUNTIF($A$2:$A1965,$A1965)&gt;1,"Trùng mã đơn; ","")&amp;IF(ISNA(MATCH($C1965,DATA_MASTER!$D$2:$D$5000,0)),"SĐT chưa đăng ký hội viên; ","")&amp;IF(AND($L1965="Đã chuyển khoản",$M1965=""),"Thiếu ngày nhận CK; ",""))</f>
        <v/>
      </c>
      <c r="T1965" s="24" t="n"/>
    </row>
    <row r="1966" ht="14.25" customHeight="1" s="40">
      <c r="A1966" s="24" t="n"/>
      <c r="B1966" s="29" t="n"/>
      <c r="C1966" s="28" t="n"/>
      <c r="D1966" s="22">
        <f t="array" ref="D1966">IF($C1966="","",IFERROR(INDEX(DATA_MASTER!$C$2:$C$5000,MATCH($C1966,DATA_MASTER!$D$2:$D$5000,0)),""))</f>
        <v/>
      </c>
      <c r="E1966" s="22">
        <f t="array" ref="E1966">IF($C1966="","",IFERROR(INDEX(DATA_MASTER!$I$2:$I$5000,MATCH($C1966,DATA_MASTER!$D$2:$D$5000,0)),""))</f>
        <v/>
      </c>
      <c r="F1966" s="22">
        <f t="array" ref="F1966">IF($C1966="","",IFERROR(INDEX(DATA_MASTER!$L$2:$L$5000,MATCH($C1966,DATA_MASTER!$D$2:$D$5000,0)),""))</f>
        <v/>
      </c>
      <c r="G1966" s="24" t="n"/>
      <c r="H1966" s="24" t="n"/>
      <c r="I1966" s="30" t="n"/>
      <c r="J1966" s="23">
        <f>IF(OR($H1966="",$I1966=""),"",$H1966*$I1966)</f>
        <v/>
      </c>
      <c r="K1966" s="24" t="n"/>
      <c r="L1966" s="24" t="n"/>
      <c r="M1966" s="29" t="n"/>
      <c r="N1966" s="28" t="n"/>
      <c r="O1966" s="24" t="n"/>
      <c r="P1966" s="24" t="n"/>
      <c r="Q1966" s="24" t="n"/>
      <c r="R1966" s="24" t="n"/>
      <c r="S1966" s="22">
        <f>IF(AND($A1966="",$C1966=""),"",IF($A1966="","Thiếu mã đơn; ","")&amp;IF(COUNTIF($A$2:$A1966,$A1966)&gt;1,"Trùng mã đơn; ","")&amp;IF(ISNA(MATCH($C1966,DATA_MASTER!$D$2:$D$5000,0)),"SĐT chưa đăng ký hội viên; ","")&amp;IF(AND($L1966="Đã chuyển khoản",$M1966=""),"Thiếu ngày nhận CK; ",""))</f>
        <v/>
      </c>
      <c r="T1966" s="24" t="n"/>
    </row>
    <row r="1967" ht="14.25" customHeight="1" s="40">
      <c r="A1967" s="24" t="n"/>
      <c r="B1967" s="29" t="n"/>
      <c r="C1967" s="28" t="n"/>
      <c r="D1967" s="22">
        <f t="array" ref="D1967">IF($C1967="","",IFERROR(INDEX(DATA_MASTER!$C$2:$C$5000,MATCH($C1967,DATA_MASTER!$D$2:$D$5000,0)),""))</f>
        <v/>
      </c>
      <c r="E1967" s="22">
        <f t="array" ref="E1967">IF($C1967="","",IFERROR(INDEX(DATA_MASTER!$I$2:$I$5000,MATCH($C1967,DATA_MASTER!$D$2:$D$5000,0)),""))</f>
        <v/>
      </c>
      <c r="F1967" s="22">
        <f t="array" ref="F1967">IF($C1967="","",IFERROR(INDEX(DATA_MASTER!$L$2:$L$5000,MATCH($C1967,DATA_MASTER!$D$2:$D$5000,0)),""))</f>
        <v/>
      </c>
      <c r="G1967" s="24" t="n"/>
      <c r="H1967" s="24" t="n"/>
      <c r="I1967" s="30" t="n"/>
      <c r="J1967" s="23">
        <f>IF(OR($H1967="",$I1967=""),"",$H1967*$I1967)</f>
        <v/>
      </c>
      <c r="K1967" s="24" t="n"/>
      <c r="L1967" s="24" t="n"/>
      <c r="M1967" s="29" t="n"/>
      <c r="N1967" s="28" t="n"/>
      <c r="O1967" s="24" t="n"/>
      <c r="P1967" s="24" t="n"/>
      <c r="Q1967" s="24" t="n"/>
      <c r="R1967" s="24" t="n"/>
      <c r="S1967" s="22">
        <f>IF(AND($A1967="",$C1967=""),"",IF($A1967="","Thiếu mã đơn; ","")&amp;IF(COUNTIF($A$2:$A1967,$A1967)&gt;1,"Trùng mã đơn; ","")&amp;IF(ISNA(MATCH($C1967,DATA_MASTER!$D$2:$D$5000,0)),"SĐT chưa đăng ký hội viên; ","")&amp;IF(AND($L1967="Đã chuyển khoản",$M1967=""),"Thiếu ngày nhận CK; ",""))</f>
        <v/>
      </c>
      <c r="T1967" s="24" t="n"/>
    </row>
    <row r="1968" ht="14.25" customHeight="1" s="40">
      <c r="A1968" s="24" t="n"/>
      <c r="B1968" s="29" t="n"/>
      <c r="C1968" s="28" t="n"/>
      <c r="D1968" s="22">
        <f t="array" ref="D1968">IF($C1968="","",IFERROR(INDEX(DATA_MASTER!$C$2:$C$5000,MATCH($C1968,DATA_MASTER!$D$2:$D$5000,0)),""))</f>
        <v/>
      </c>
      <c r="E1968" s="22">
        <f t="array" ref="E1968">IF($C1968="","",IFERROR(INDEX(DATA_MASTER!$I$2:$I$5000,MATCH($C1968,DATA_MASTER!$D$2:$D$5000,0)),""))</f>
        <v/>
      </c>
      <c r="F1968" s="22">
        <f t="array" ref="F1968">IF($C1968="","",IFERROR(INDEX(DATA_MASTER!$L$2:$L$5000,MATCH($C1968,DATA_MASTER!$D$2:$D$5000,0)),""))</f>
        <v/>
      </c>
      <c r="G1968" s="24" t="n"/>
      <c r="H1968" s="24" t="n"/>
      <c r="I1968" s="30" t="n"/>
      <c r="J1968" s="23">
        <f>IF(OR($H1968="",$I1968=""),"",$H1968*$I1968)</f>
        <v/>
      </c>
      <c r="K1968" s="24" t="n"/>
      <c r="L1968" s="24" t="n"/>
      <c r="M1968" s="29" t="n"/>
      <c r="N1968" s="28" t="n"/>
      <c r="O1968" s="24" t="n"/>
      <c r="P1968" s="24" t="n"/>
      <c r="Q1968" s="24" t="n"/>
      <c r="R1968" s="24" t="n"/>
      <c r="S1968" s="22">
        <f>IF(AND($A1968="",$C1968=""),"",IF($A1968="","Thiếu mã đơn; ","")&amp;IF(COUNTIF($A$2:$A1968,$A1968)&gt;1,"Trùng mã đơn; ","")&amp;IF(ISNA(MATCH($C1968,DATA_MASTER!$D$2:$D$5000,0)),"SĐT chưa đăng ký hội viên; ","")&amp;IF(AND($L1968="Đã chuyển khoản",$M1968=""),"Thiếu ngày nhận CK; ",""))</f>
        <v/>
      </c>
      <c r="T1968" s="24" t="n"/>
    </row>
    <row r="1969" ht="14.25" customHeight="1" s="40">
      <c r="A1969" s="24" t="n"/>
      <c r="B1969" s="29" t="n"/>
      <c r="C1969" s="28" t="n"/>
      <c r="D1969" s="22">
        <f t="array" ref="D1969">IF($C1969="","",IFERROR(INDEX(DATA_MASTER!$C$2:$C$5000,MATCH($C1969,DATA_MASTER!$D$2:$D$5000,0)),""))</f>
        <v/>
      </c>
      <c r="E1969" s="22">
        <f t="array" ref="E1969">IF($C1969="","",IFERROR(INDEX(DATA_MASTER!$I$2:$I$5000,MATCH($C1969,DATA_MASTER!$D$2:$D$5000,0)),""))</f>
        <v/>
      </c>
      <c r="F1969" s="22">
        <f t="array" ref="F1969">IF($C1969="","",IFERROR(INDEX(DATA_MASTER!$L$2:$L$5000,MATCH($C1969,DATA_MASTER!$D$2:$D$5000,0)),""))</f>
        <v/>
      </c>
      <c r="G1969" s="24" t="n"/>
      <c r="H1969" s="24" t="n"/>
      <c r="I1969" s="30" t="n"/>
      <c r="J1969" s="23">
        <f>IF(OR($H1969="",$I1969=""),"",$H1969*$I1969)</f>
        <v/>
      </c>
      <c r="K1969" s="24" t="n"/>
      <c r="L1969" s="24" t="n"/>
      <c r="M1969" s="29" t="n"/>
      <c r="N1969" s="28" t="n"/>
      <c r="O1969" s="24" t="n"/>
      <c r="P1969" s="24" t="n"/>
      <c r="Q1969" s="24" t="n"/>
      <c r="R1969" s="24" t="n"/>
      <c r="S1969" s="22">
        <f>IF(AND($A1969="",$C1969=""),"",IF($A1969="","Thiếu mã đơn; ","")&amp;IF(COUNTIF($A$2:$A1969,$A1969)&gt;1,"Trùng mã đơn; ","")&amp;IF(ISNA(MATCH($C1969,DATA_MASTER!$D$2:$D$5000,0)),"SĐT chưa đăng ký hội viên; ","")&amp;IF(AND($L1969="Đã chuyển khoản",$M1969=""),"Thiếu ngày nhận CK; ",""))</f>
        <v/>
      </c>
      <c r="T1969" s="24" t="n"/>
    </row>
    <row r="1970" ht="14.25" customHeight="1" s="40">
      <c r="A1970" s="24" t="n"/>
      <c r="B1970" s="29" t="n"/>
      <c r="C1970" s="28" t="n"/>
      <c r="D1970" s="22">
        <f t="array" ref="D1970">IF($C1970="","",IFERROR(INDEX(DATA_MASTER!$C$2:$C$5000,MATCH($C1970,DATA_MASTER!$D$2:$D$5000,0)),""))</f>
        <v/>
      </c>
      <c r="E1970" s="22">
        <f t="array" ref="E1970">IF($C1970="","",IFERROR(INDEX(DATA_MASTER!$I$2:$I$5000,MATCH($C1970,DATA_MASTER!$D$2:$D$5000,0)),""))</f>
        <v/>
      </c>
      <c r="F1970" s="22">
        <f t="array" ref="F1970">IF($C1970="","",IFERROR(INDEX(DATA_MASTER!$L$2:$L$5000,MATCH($C1970,DATA_MASTER!$D$2:$D$5000,0)),""))</f>
        <v/>
      </c>
      <c r="G1970" s="24" t="n"/>
      <c r="H1970" s="24" t="n"/>
      <c r="I1970" s="30" t="n"/>
      <c r="J1970" s="23">
        <f>IF(OR($H1970="",$I1970=""),"",$H1970*$I1970)</f>
        <v/>
      </c>
      <c r="K1970" s="24" t="n"/>
      <c r="L1970" s="24" t="n"/>
      <c r="M1970" s="29" t="n"/>
      <c r="N1970" s="28" t="n"/>
      <c r="O1970" s="24" t="n"/>
      <c r="P1970" s="24" t="n"/>
      <c r="Q1970" s="24" t="n"/>
      <c r="R1970" s="24" t="n"/>
      <c r="S1970" s="22">
        <f>IF(AND($A1970="",$C1970=""),"",IF($A1970="","Thiếu mã đơn; ","")&amp;IF(COUNTIF($A$2:$A1970,$A1970)&gt;1,"Trùng mã đơn; ","")&amp;IF(ISNA(MATCH($C1970,DATA_MASTER!$D$2:$D$5000,0)),"SĐT chưa đăng ký hội viên; ","")&amp;IF(AND($L1970="Đã chuyển khoản",$M1970=""),"Thiếu ngày nhận CK; ",""))</f>
        <v/>
      </c>
      <c r="T1970" s="24" t="n"/>
    </row>
    <row r="1971" ht="14.25" customHeight="1" s="40">
      <c r="A1971" s="24" t="n"/>
      <c r="B1971" s="29" t="n"/>
      <c r="C1971" s="28" t="n"/>
      <c r="D1971" s="22">
        <f t="array" ref="D1971">IF($C1971="","",IFERROR(INDEX(DATA_MASTER!$C$2:$C$5000,MATCH($C1971,DATA_MASTER!$D$2:$D$5000,0)),""))</f>
        <v/>
      </c>
      <c r="E1971" s="22">
        <f t="array" ref="E1971">IF($C1971="","",IFERROR(INDEX(DATA_MASTER!$I$2:$I$5000,MATCH($C1971,DATA_MASTER!$D$2:$D$5000,0)),""))</f>
        <v/>
      </c>
      <c r="F1971" s="22">
        <f t="array" ref="F1971">IF($C1971="","",IFERROR(INDEX(DATA_MASTER!$L$2:$L$5000,MATCH($C1971,DATA_MASTER!$D$2:$D$5000,0)),""))</f>
        <v/>
      </c>
      <c r="G1971" s="24" t="n"/>
      <c r="H1971" s="24" t="n"/>
      <c r="I1971" s="30" t="n"/>
      <c r="J1971" s="23">
        <f>IF(OR($H1971="",$I1971=""),"",$H1971*$I1971)</f>
        <v/>
      </c>
      <c r="K1971" s="24" t="n"/>
      <c r="L1971" s="24" t="n"/>
      <c r="M1971" s="29" t="n"/>
      <c r="N1971" s="28" t="n"/>
      <c r="O1971" s="24" t="n"/>
      <c r="P1971" s="24" t="n"/>
      <c r="Q1971" s="24" t="n"/>
      <c r="R1971" s="24" t="n"/>
      <c r="S1971" s="22">
        <f>IF(AND($A1971="",$C1971=""),"",IF($A1971="","Thiếu mã đơn; ","")&amp;IF(COUNTIF($A$2:$A1971,$A1971)&gt;1,"Trùng mã đơn; ","")&amp;IF(ISNA(MATCH($C1971,DATA_MASTER!$D$2:$D$5000,0)),"SĐT chưa đăng ký hội viên; ","")&amp;IF(AND($L1971="Đã chuyển khoản",$M1971=""),"Thiếu ngày nhận CK; ",""))</f>
        <v/>
      </c>
      <c r="T1971" s="24" t="n"/>
    </row>
    <row r="1972" ht="14.25" customHeight="1" s="40">
      <c r="A1972" s="24" t="n"/>
      <c r="B1972" s="29" t="n"/>
      <c r="C1972" s="28" t="n"/>
      <c r="D1972" s="22">
        <f t="array" ref="D1972">IF($C1972="","",IFERROR(INDEX(DATA_MASTER!$C$2:$C$5000,MATCH($C1972,DATA_MASTER!$D$2:$D$5000,0)),""))</f>
        <v/>
      </c>
      <c r="E1972" s="22">
        <f t="array" ref="E1972">IF($C1972="","",IFERROR(INDEX(DATA_MASTER!$I$2:$I$5000,MATCH($C1972,DATA_MASTER!$D$2:$D$5000,0)),""))</f>
        <v/>
      </c>
      <c r="F1972" s="22">
        <f t="array" ref="F1972">IF($C1972="","",IFERROR(INDEX(DATA_MASTER!$L$2:$L$5000,MATCH($C1972,DATA_MASTER!$D$2:$D$5000,0)),""))</f>
        <v/>
      </c>
      <c r="G1972" s="24" t="n"/>
      <c r="H1972" s="24" t="n"/>
      <c r="I1972" s="30" t="n"/>
      <c r="J1972" s="23">
        <f>IF(OR($H1972="",$I1972=""),"",$H1972*$I1972)</f>
        <v/>
      </c>
      <c r="K1972" s="24" t="n"/>
      <c r="L1972" s="24" t="n"/>
      <c r="M1972" s="29" t="n"/>
      <c r="N1972" s="28" t="n"/>
      <c r="O1972" s="24" t="n"/>
      <c r="P1972" s="24" t="n"/>
      <c r="Q1972" s="24" t="n"/>
      <c r="R1972" s="24" t="n"/>
      <c r="S1972" s="22">
        <f>IF(AND($A1972="",$C1972=""),"",IF($A1972="","Thiếu mã đơn; ","")&amp;IF(COUNTIF($A$2:$A1972,$A1972)&gt;1,"Trùng mã đơn; ","")&amp;IF(ISNA(MATCH($C1972,DATA_MASTER!$D$2:$D$5000,0)),"SĐT chưa đăng ký hội viên; ","")&amp;IF(AND($L1972="Đã chuyển khoản",$M1972=""),"Thiếu ngày nhận CK; ",""))</f>
        <v/>
      </c>
      <c r="T1972" s="24" t="n"/>
    </row>
    <row r="1973" ht="14.25" customHeight="1" s="40">
      <c r="A1973" s="24" t="n"/>
      <c r="B1973" s="29" t="n"/>
      <c r="C1973" s="28" t="n"/>
      <c r="D1973" s="22">
        <f t="array" ref="D1973">IF($C1973="","",IFERROR(INDEX(DATA_MASTER!$C$2:$C$5000,MATCH($C1973,DATA_MASTER!$D$2:$D$5000,0)),""))</f>
        <v/>
      </c>
      <c r="E1973" s="22">
        <f t="array" ref="E1973">IF($C1973="","",IFERROR(INDEX(DATA_MASTER!$I$2:$I$5000,MATCH($C1973,DATA_MASTER!$D$2:$D$5000,0)),""))</f>
        <v/>
      </c>
      <c r="F1973" s="22">
        <f t="array" ref="F1973">IF($C1973="","",IFERROR(INDEX(DATA_MASTER!$L$2:$L$5000,MATCH($C1973,DATA_MASTER!$D$2:$D$5000,0)),""))</f>
        <v/>
      </c>
      <c r="G1973" s="24" t="n"/>
      <c r="H1973" s="24" t="n"/>
      <c r="I1973" s="30" t="n"/>
      <c r="J1973" s="23">
        <f>IF(OR($H1973="",$I1973=""),"",$H1973*$I1973)</f>
        <v/>
      </c>
      <c r="K1973" s="24" t="n"/>
      <c r="L1973" s="24" t="n"/>
      <c r="M1973" s="29" t="n"/>
      <c r="N1973" s="28" t="n"/>
      <c r="O1973" s="24" t="n"/>
      <c r="P1973" s="24" t="n"/>
      <c r="Q1973" s="24" t="n"/>
      <c r="R1973" s="24" t="n"/>
      <c r="S1973" s="22">
        <f>IF(AND($A1973="",$C1973=""),"",IF($A1973="","Thiếu mã đơn; ","")&amp;IF(COUNTIF($A$2:$A1973,$A1973)&gt;1,"Trùng mã đơn; ","")&amp;IF(ISNA(MATCH($C1973,DATA_MASTER!$D$2:$D$5000,0)),"SĐT chưa đăng ký hội viên; ","")&amp;IF(AND($L1973="Đã chuyển khoản",$M1973=""),"Thiếu ngày nhận CK; ",""))</f>
        <v/>
      </c>
      <c r="T1973" s="24" t="n"/>
    </row>
    <row r="1974" ht="14.25" customHeight="1" s="40">
      <c r="A1974" s="24" t="n"/>
      <c r="B1974" s="29" t="n"/>
      <c r="C1974" s="28" t="n"/>
      <c r="D1974" s="22">
        <f t="array" ref="D1974">IF($C1974="","",IFERROR(INDEX(DATA_MASTER!$C$2:$C$5000,MATCH($C1974,DATA_MASTER!$D$2:$D$5000,0)),""))</f>
        <v/>
      </c>
      <c r="E1974" s="22">
        <f t="array" ref="E1974">IF($C1974="","",IFERROR(INDEX(DATA_MASTER!$I$2:$I$5000,MATCH($C1974,DATA_MASTER!$D$2:$D$5000,0)),""))</f>
        <v/>
      </c>
      <c r="F1974" s="22">
        <f t="array" ref="F1974">IF($C1974="","",IFERROR(INDEX(DATA_MASTER!$L$2:$L$5000,MATCH($C1974,DATA_MASTER!$D$2:$D$5000,0)),""))</f>
        <v/>
      </c>
      <c r="G1974" s="24" t="n"/>
      <c r="H1974" s="24" t="n"/>
      <c r="I1974" s="30" t="n"/>
      <c r="J1974" s="23">
        <f>IF(OR($H1974="",$I1974=""),"",$H1974*$I1974)</f>
        <v/>
      </c>
      <c r="K1974" s="24" t="n"/>
      <c r="L1974" s="24" t="n"/>
      <c r="M1974" s="29" t="n"/>
      <c r="N1974" s="28" t="n"/>
      <c r="O1974" s="24" t="n"/>
      <c r="P1974" s="24" t="n"/>
      <c r="Q1974" s="24" t="n"/>
      <c r="R1974" s="24" t="n"/>
      <c r="S1974" s="22">
        <f>IF(AND($A1974="",$C1974=""),"",IF($A1974="","Thiếu mã đơn; ","")&amp;IF(COUNTIF($A$2:$A1974,$A1974)&gt;1,"Trùng mã đơn; ","")&amp;IF(ISNA(MATCH($C1974,DATA_MASTER!$D$2:$D$5000,0)),"SĐT chưa đăng ký hội viên; ","")&amp;IF(AND($L1974="Đã chuyển khoản",$M1974=""),"Thiếu ngày nhận CK; ",""))</f>
        <v/>
      </c>
      <c r="T1974" s="24" t="n"/>
    </row>
    <row r="1975" ht="14.25" customHeight="1" s="40">
      <c r="A1975" s="24" t="n"/>
      <c r="B1975" s="29" t="n"/>
      <c r="C1975" s="28" t="n"/>
      <c r="D1975" s="22">
        <f t="array" ref="D1975">IF($C1975="","",IFERROR(INDEX(DATA_MASTER!$C$2:$C$5000,MATCH($C1975,DATA_MASTER!$D$2:$D$5000,0)),""))</f>
        <v/>
      </c>
      <c r="E1975" s="22">
        <f t="array" ref="E1975">IF($C1975="","",IFERROR(INDEX(DATA_MASTER!$I$2:$I$5000,MATCH($C1975,DATA_MASTER!$D$2:$D$5000,0)),""))</f>
        <v/>
      </c>
      <c r="F1975" s="22">
        <f t="array" ref="F1975">IF($C1975="","",IFERROR(INDEX(DATA_MASTER!$L$2:$L$5000,MATCH($C1975,DATA_MASTER!$D$2:$D$5000,0)),""))</f>
        <v/>
      </c>
      <c r="G1975" s="24" t="n"/>
      <c r="H1975" s="24" t="n"/>
      <c r="I1975" s="30" t="n"/>
      <c r="J1975" s="23">
        <f>IF(OR($H1975="",$I1975=""),"",$H1975*$I1975)</f>
        <v/>
      </c>
      <c r="K1975" s="24" t="n"/>
      <c r="L1975" s="24" t="n"/>
      <c r="M1975" s="29" t="n"/>
      <c r="N1975" s="28" t="n"/>
      <c r="O1975" s="24" t="n"/>
      <c r="P1975" s="24" t="n"/>
      <c r="Q1975" s="24" t="n"/>
      <c r="R1975" s="24" t="n"/>
      <c r="S1975" s="22">
        <f>IF(AND($A1975="",$C1975=""),"",IF($A1975="","Thiếu mã đơn; ","")&amp;IF(COUNTIF($A$2:$A1975,$A1975)&gt;1,"Trùng mã đơn; ","")&amp;IF(ISNA(MATCH($C1975,DATA_MASTER!$D$2:$D$5000,0)),"SĐT chưa đăng ký hội viên; ","")&amp;IF(AND($L1975="Đã chuyển khoản",$M1975=""),"Thiếu ngày nhận CK; ",""))</f>
        <v/>
      </c>
      <c r="T1975" s="24" t="n"/>
    </row>
    <row r="1976" ht="14.25" customHeight="1" s="40">
      <c r="A1976" s="24" t="n"/>
      <c r="B1976" s="29" t="n"/>
      <c r="C1976" s="28" t="n"/>
      <c r="D1976" s="22">
        <f t="array" ref="D1976">IF($C1976="","",IFERROR(INDEX(DATA_MASTER!$C$2:$C$5000,MATCH($C1976,DATA_MASTER!$D$2:$D$5000,0)),""))</f>
        <v/>
      </c>
      <c r="E1976" s="22">
        <f t="array" ref="E1976">IF($C1976="","",IFERROR(INDEX(DATA_MASTER!$I$2:$I$5000,MATCH($C1976,DATA_MASTER!$D$2:$D$5000,0)),""))</f>
        <v/>
      </c>
      <c r="F1976" s="22">
        <f t="array" ref="F1976">IF($C1976="","",IFERROR(INDEX(DATA_MASTER!$L$2:$L$5000,MATCH($C1976,DATA_MASTER!$D$2:$D$5000,0)),""))</f>
        <v/>
      </c>
      <c r="G1976" s="24" t="n"/>
      <c r="H1976" s="24" t="n"/>
      <c r="I1976" s="30" t="n"/>
      <c r="J1976" s="23">
        <f>IF(OR($H1976="",$I1976=""),"",$H1976*$I1976)</f>
        <v/>
      </c>
      <c r="K1976" s="24" t="n"/>
      <c r="L1976" s="24" t="n"/>
      <c r="M1976" s="29" t="n"/>
      <c r="N1976" s="28" t="n"/>
      <c r="O1976" s="24" t="n"/>
      <c r="P1976" s="24" t="n"/>
      <c r="Q1976" s="24" t="n"/>
      <c r="R1976" s="24" t="n"/>
      <c r="S1976" s="22">
        <f>IF(AND($A1976="",$C1976=""),"",IF($A1976="","Thiếu mã đơn; ","")&amp;IF(COUNTIF($A$2:$A1976,$A1976)&gt;1,"Trùng mã đơn; ","")&amp;IF(ISNA(MATCH($C1976,DATA_MASTER!$D$2:$D$5000,0)),"SĐT chưa đăng ký hội viên; ","")&amp;IF(AND($L1976="Đã chuyển khoản",$M1976=""),"Thiếu ngày nhận CK; ",""))</f>
        <v/>
      </c>
      <c r="T1976" s="24" t="n"/>
    </row>
    <row r="1977" ht="14.25" customHeight="1" s="40">
      <c r="A1977" s="24" t="n"/>
      <c r="B1977" s="29" t="n"/>
      <c r="C1977" s="28" t="n"/>
      <c r="D1977" s="22">
        <f t="array" ref="D1977">IF($C1977="","",IFERROR(INDEX(DATA_MASTER!$C$2:$C$5000,MATCH($C1977,DATA_MASTER!$D$2:$D$5000,0)),""))</f>
        <v/>
      </c>
      <c r="E1977" s="22">
        <f t="array" ref="E1977">IF($C1977="","",IFERROR(INDEX(DATA_MASTER!$I$2:$I$5000,MATCH($C1977,DATA_MASTER!$D$2:$D$5000,0)),""))</f>
        <v/>
      </c>
      <c r="F1977" s="22">
        <f t="array" ref="F1977">IF($C1977="","",IFERROR(INDEX(DATA_MASTER!$L$2:$L$5000,MATCH($C1977,DATA_MASTER!$D$2:$D$5000,0)),""))</f>
        <v/>
      </c>
      <c r="G1977" s="24" t="n"/>
      <c r="H1977" s="24" t="n"/>
      <c r="I1977" s="30" t="n"/>
      <c r="J1977" s="23">
        <f>IF(OR($H1977="",$I1977=""),"",$H1977*$I1977)</f>
        <v/>
      </c>
      <c r="K1977" s="24" t="n"/>
      <c r="L1977" s="24" t="n"/>
      <c r="M1977" s="29" t="n"/>
      <c r="N1977" s="28" t="n"/>
      <c r="O1977" s="24" t="n"/>
      <c r="P1977" s="24" t="n"/>
      <c r="Q1977" s="24" t="n"/>
      <c r="R1977" s="24" t="n"/>
      <c r="S1977" s="22">
        <f>IF(AND($A1977="",$C1977=""),"",IF($A1977="","Thiếu mã đơn; ","")&amp;IF(COUNTIF($A$2:$A1977,$A1977)&gt;1,"Trùng mã đơn; ","")&amp;IF(ISNA(MATCH($C1977,DATA_MASTER!$D$2:$D$5000,0)),"SĐT chưa đăng ký hội viên; ","")&amp;IF(AND($L1977="Đã chuyển khoản",$M1977=""),"Thiếu ngày nhận CK; ",""))</f>
        <v/>
      </c>
      <c r="T1977" s="24" t="n"/>
    </row>
    <row r="1978" ht="14.25" customHeight="1" s="40">
      <c r="A1978" s="24" t="n"/>
      <c r="B1978" s="29" t="n"/>
      <c r="C1978" s="28" t="n"/>
      <c r="D1978" s="22">
        <f t="array" ref="D1978">IF($C1978="","",IFERROR(INDEX(DATA_MASTER!$C$2:$C$5000,MATCH($C1978,DATA_MASTER!$D$2:$D$5000,0)),""))</f>
        <v/>
      </c>
      <c r="E1978" s="22">
        <f t="array" ref="E1978">IF($C1978="","",IFERROR(INDEX(DATA_MASTER!$I$2:$I$5000,MATCH($C1978,DATA_MASTER!$D$2:$D$5000,0)),""))</f>
        <v/>
      </c>
      <c r="F1978" s="22">
        <f t="array" ref="F1978">IF($C1978="","",IFERROR(INDEX(DATA_MASTER!$L$2:$L$5000,MATCH($C1978,DATA_MASTER!$D$2:$D$5000,0)),""))</f>
        <v/>
      </c>
      <c r="G1978" s="24" t="n"/>
      <c r="H1978" s="24" t="n"/>
      <c r="I1978" s="30" t="n"/>
      <c r="J1978" s="23">
        <f>IF(OR($H1978="",$I1978=""),"",$H1978*$I1978)</f>
        <v/>
      </c>
      <c r="K1978" s="24" t="n"/>
      <c r="L1978" s="24" t="n"/>
      <c r="M1978" s="29" t="n"/>
      <c r="N1978" s="28" t="n"/>
      <c r="O1978" s="24" t="n"/>
      <c r="P1978" s="24" t="n"/>
      <c r="Q1978" s="24" t="n"/>
      <c r="R1978" s="24" t="n"/>
      <c r="S1978" s="22">
        <f>IF(AND($A1978="",$C1978=""),"",IF($A1978="","Thiếu mã đơn; ","")&amp;IF(COUNTIF($A$2:$A1978,$A1978)&gt;1,"Trùng mã đơn; ","")&amp;IF(ISNA(MATCH($C1978,DATA_MASTER!$D$2:$D$5000,0)),"SĐT chưa đăng ký hội viên; ","")&amp;IF(AND($L1978="Đã chuyển khoản",$M1978=""),"Thiếu ngày nhận CK; ",""))</f>
        <v/>
      </c>
      <c r="T1978" s="24" t="n"/>
    </row>
    <row r="1979" ht="14.25" customHeight="1" s="40">
      <c r="A1979" s="24" t="n"/>
      <c r="B1979" s="29" t="n"/>
      <c r="C1979" s="28" t="n"/>
      <c r="D1979" s="22">
        <f t="array" ref="D1979">IF($C1979="","",IFERROR(INDEX(DATA_MASTER!$C$2:$C$5000,MATCH($C1979,DATA_MASTER!$D$2:$D$5000,0)),""))</f>
        <v/>
      </c>
      <c r="E1979" s="22">
        <f t="array" ref="E1979">IF($C1979="","",IFERROR(INDEX(DATA_MASTER!$I$2:$I$5000,MATCH($C1979,DATA_MASTER!$D$2:$D$5000,0)),""))</f>
        <v/>
      </c>
      <c r="F1979" s="22">
        <f t="array" ref="F1979">IF($C1979="","",IFERROR(INDEX(DATA_MASTER!$L$2:$L$5000,MATCH($C1979,DATA_MASTER!$D$2:$D$5000,0)),""))</f>
        <v/>
      </c>
      <c r="G1979" s="24" t="n"/>
      <c r="H1979" s="24" t="n"/>
      <c r="I1979" s="30" t="n"/>
      <c r="J1979" s="23">
        <f>IF(OR($H1979="",$I1979=""),"",$H1979*$I1979)</f>
        <v/>
      </c>
      <c r="K1979" s="24" t="n"/>
      <c r="L1979" s="24" t="n"/>
      <c r="M1979" s="29" t="n"/>
      <c r="N1979" s="28" t="n"/>
      <c r="O1979" s="24" t="n"/>
      <c r="P1979" s="24" t="n"/>
      <c r="Q1979" s="24" t="n"/>
      <c r="R1979" s="24" t="n"/>
      <c r="S1979" s="22">
        <f>IF(AND($A1979="",$C1979=""),"",IF($A1979="","Thiếu mã đơn; ","")&amp;IF(COUNTIF($A$2:$A1979,$A1979)&gt;1,"Trùng mã đơn; ","")&amp;IF(ISNA(MATCH($C1979,DATA_MASTER!$D$2:$D$5000,0)),"SĐT chưa đăng ký hội viên; ","")&amp;IF(AND($L1979="Đã chuyển khoản",$M1979=""),"Thiếu ngày nhận CK; ",""))</f>
        <v/>
      </c>
      <c r="T1979" s="24" t="n"/>
    </row>
    <row r="1980" ht="14.25" customHeight="1" s="40">
      <c r="A1980" s="24" t="n"/>
      <c r="B1980" s="29" t="n"/>
      <c r="C1980" s="28" t="n"/>
      <c r="D1980" s="22">
        <f t="array" ref="D1980">IF($C1980="","",IFERROR(INDEX(DATA_MASTER!$C$2:$C$5000,MATCH($C1980,DATA_MASTER!$D$2:$D$5000,0)),""))</f>
        <v/>
      </c>
      <c r="E1980" s="22">
        <f t="array" ref="E1980">IF($C1980="","",IFERROR(INDEX(DATA_MASTER!$I$2:$I$5000,MATCH($C1980,DATA_MASTER!$D$2:$D$5000,0)),""))</f>
        <v/>
      </c>
      <c r="F1980" s="22">
        <f t="array" ref="F1980">IF($C1980="","",IFERROR(INDEX(DATA_MASTER!$L$2:$L$5000,MATCH($C1980,DATA_MASTER!$D$2:$D$5000,0)),""))</f>
        <v/>
      </c>
      <c r="G1980" s="24" t="n"/>
      <c r="H1980" s="24" t="n"/>
      <c r="I1980" s="30" t="n"/>
      <c r="J1980" s="23">
        <f>IF(OR($H1980="",$I1980=""),"",$H1980*$I1980)</f>
        <v/>
      </c>
      <c r="K1980" s="24" t="n"/>
      <c r="L1980" s="24" t="n"/>
      <c r="M1980" s="29" t="n"/>
      <c r="N1980" s="28" t="n"/>
      <c r="O1980" s="24" t="n"/>
      <c r="P1980" s="24" t="n"/>
      <c r="Q1980" s="24" t="n"/>
      <c r="R1980" s="24" t="n"/>
      <c r="S1980" s="22">
        <f>IF(AND($A1980="",$C1980=""),"",IF($A1980="","Thiếu mã đơn; ","")&amp;IF(COUNTIF($A$2:$A1980,$A1980)&gt;1,"Trùng mã đơn; ","")&amp;IF(ISNA(MATCH($C1980,DATA_MASTER!$D$2:$D$5000,0)),"SĐT chưa đăng ký hội viên; ","")&amp;IF(AND($L1980="Đã chuyển khoản",$M1980=""),"Thiếu ngày nhận CK; ",""))</f>
        <v/>
      </c>
      <c r="T1980" s="24" t="n"/>
    </row>
    <row r="1981" ht="14.25" customHeight="1" s="40">
      <c r="A1981" s="24" t="n"/>
      <c r="B1981" s="29" t="n"/>
      <c r="C1981" s="28" t="n"/>
      <c r="D1981" s="22">
        <f t="array" ref="D1981">IF($C1981="","",IFERROR(INDEX(DATA_MASTER!$C$2:$C$5000,MATCH($C1981,DATA_MASTER!$D$2:$D$5000,0)),""))</f>
        <v/>
      </c>
      <c r="E1981" s="22">
        <f t="array" ref="E1981">IF($C1981="","",IFERROR(INDEX(DATA_MASTER!$I$2:$I$5000,MATCH($C1981,DATA_MASTER!$D$2:$D$5000,0)),""))</f>
        <v/>
      </c>
      <c r="F1981" s="22">
        <f t="array" ref="F1981">IF($C1981="","",IFERROR(INDEX(DATA_MASTER!$L$2:$L$5000,MATCH($C1981,DATA_MASTER!$D$2:$D$5000,0)),""))</f>
        <v/>
      </c>
      <c r="G1981" s="24" t="n"/>
      <c r="H1981" s="24" t="n"/>
      <c r="I1981" s="30" t="n"/>
      <c r="J1981" s="23">
        <f>IF(OR($H1981="",$I1981=""),"",$H1981*$I1981)</f>
        <v/>
      </c>
      <c r="K1981" s="24" t="n"/>
      <c r="L1981" s="24" t="n"/>
      <c r="M1981" s="29" t="n"/>
      <c r="N1981" s="28" t="n"/>
      <c r="O1981" s="24" t="n"/>
      <c r="P1981" s="24" t="n"/>
      <c r="Q1981" s="24" t="n"/>
      <c r="R1981" s="24" t="n"/>
      <c r="S1981" s="22">
        <f>IF(AND($A1981="",$C1981=""),"",IF($A1981="","Thiếu mã đơn; ","")&amp;IF(COUNTIF($A$2:$A1981,$A1981)&gt;1,"Trùng mã đơn; ","")&amp;IF(ISNA(MATCH($C1981,DATA_MASTER!$D$2:$D$5000,0)),"SĐT chưa đăng ký hội viên; ","")&amp;IF(AND($L1981="Đã chuyển khoản",$M1981=""),"Thiếu ngày nhận CK; ",""))</f>
        <v/>
      </c>
      <c r="T1981" s="24" t="n"/>
    </row>
    <row r="1982" ht="14.25" customHeight="1" s="40">
      <c r="A1982" s="24" t="n"/>
      <c r="B1982" s="29" t="n"/>
      <c r="C1982" s="28" t="n"/>
      <c r="D1982" s="22">
        <f t="array" ref="D1982">IF($C1982="","",IFERROR(INDEX(DATA_MASTER!$C$2:$C$5000,MATCH($C1982,DATA_MASTER!$D$2:$D$5000,0)),""))</f>
        <v/>
      </c>
      <c r="E1982" s="22">
        <f t="array" ref="E1982">IF($C1982="","",IFERROR(INDEX(DATA_MASTER!$I$2:$I$5000,MATCH($C1982,DATA_MASTER!$D$2:$D$5000,0)),""))</f>
        <v/>
      </c>
      <c r="F1982" s="22">
        <f t="array" ref="F1982">IF($C1982="","",IFERROR(INDEX(DATA_MASTER!$L$2:$L$5000,MATCH($C1982,DATA_MASTER!$D$2:$D$5000,0)),""))</f>
        <v/>
      </c>
      <c r="G1982" s="24" t="n"/>
      <c r="H1982" s="24" t="n"/>
      <c r="I1982" s="30" t="n"/>
      <c r="J1982" s="23">
        <f>IF(OR($H1982="",$I1982=""),"",$H1982*$I1982)</f>
        <v/>
      </c>
      <c r="K1982" s="24" t="n"/>
      <c r="L1982" s="24" t="n"/>
      <c r="M1982" s="29" t="n"/>
      <c r="N1982" s="28" t="n"/>
      <c r="O1982" s="24" t="n"/>
      <c r="P1982" s="24" t="n"/>
      <c r="Q1982" s="24" t="n"/>
      <c r="R1982" s="24" t="n"/>
      <c r="S1982" s="22">
        <f>IF(AND($A1982="",$C1982=""),"",IF($A1982="","Thiếu mã đơn; ","")&amp;IF(COUNTIF($A$2:$A1982,$A1982)&gt;1,"Trùng mã đơn; ","")&amp;IF(ISNA(MATCH($C1982,DATA_MASTER!$D$2:$D$5000,0)),"SĐT chưa đăng ký hội viên; ","")&amp;IF(AND($L1982="Đã chuyển khoản",$M1982=""),"Thiếu ngày nhận CK; ",""))</f>
        <v/>
      </c>
      <c r="T1982" s="24" t="n"/>
    </row>
    <row r="1983" ht="14.25" customHeight="1" s="40">
      <c r="A1983" s="24" t="n"/>
      <c r="B1983" s="29" t="n"/>
      <c r="C1983" s="28" t="n"/>
      <c r="D1983" s="22">
        <f t="array" ref="D1983">IF($C1983="","",IFERROR(INDEX(DATA_MASTER!$C$2:$C$5000,MATCH($C1983,DATA_MASTER!$D$2:$D$5000,0)),""))</f>
        <v/>
      </c>
      <c r="E1983" s="22">
        <f t="array" ref="E1983">IF($C1983="","",IFERROR(INDEX(DATA_MASTER!$I$2:$I$5000,MATCH($C1983,DATA_MASTER!$D$2:$D$5000,0)),""))</f>
        <v/>
      </c>
      <c r="F1983" s="22">
        <f t="array" ref="F1983">IF($C1983="","",IFERROR(INDEX(DATA_MASTER!$L$2:$L$5000,MATCH($C1983,DATA_MASTER!$D$2:$D$5000,0)),""))</f>
        <v/>
      </c>
      <c r="G1983" s="24" t="n"/>
      <c r="H1983" s="24" t="n"/>
      <c r="I1983" s="30" t="n"/>
      <c r="J1983" s="23">
        <f>IF(OR($H1983="",$I1983=""),"",$H1983*$I1983)</f>
        <v/>
      </c>
      <c r="K1983" s="24" t="n"/>
      <c r="L1983" s="24" t="n"/>
      <c r="M1983" s="29" t="n"/>
      <c r="N1983" s="28" t="n"/>
      <c r="O1983" s="24" t="n"/>
      <c r="P1983" s="24" t="n"/>
      <c r="Q1983" s="24" t="n"/>
      <c r="R1983" s="24" t="n"/>
      <c r="S1983" s="22">
        <f>IF(AND($A1983="",$C1983=""),"",IF($A1983="","Thiếu mã đơn; ","")&amp;IF(COUNTIF($A$2:$A1983,$A1983)&gt;1,"Trùng mã đơn; ","")&amp;IF(ISNA(MATCH($C1983,DATA_MASTER!$D$2:$D$5000,0)),"SĐT chưa đăng ký hội viên; ","")&amp;IF(AND($L1983="Đã chuyển khoản",$M1983=""),"Thiếu ngày nhận CK; ",""))</f>
        <v/>
      </c>
      <c r="T1983" s="24" t="n"/>
    </row>
    <row r="1984" ht="14.25" customHeight="1" s="40">
      <c r="A1984" s="24" t="n"/>
      <c r="B1984" s="29" t="n"/>
      <c r="C1984" s="28" t="n"/>
      <c r="D1984" s="22">
        <f t="array" ref="D1984">IF($C1984="","",IFERROR(INDEX(DATA_MASTER!$C$2:$C$5000,MATCH($C1984,DATA_MASTER!$D$2:$D$5000,0)),""))</f>
        <v/>
      </c>
      <c r="E1984" s="22">
        <f t="array" ref="E1984">IF($C1984="","",IFERROR(INDEX(DATA_MASTER!$I$2:$I$5000,MATCH($C1984,DATA_MASTER!$D$2:$D$5000,0)),""))</f>
        <v/>
      </c>
      <c r="F1984" s="22">
        <f t="array" ref="F1984">IF($C1984="","",IFERROR(INDEX(DATA_MASTER!$L$2:$L$5000,MATCH($C1984,DATA_MASTER!$D$2:$D$5000,0)),""))</f>
        <v/>
      </c>
      <c r="G1984" s="24" t="n"/>
      <c r="H1984" s="24" t="n"/>
      <c r="I1984" s="30" t="n"/>
      <c r="J1984" s="23">
        <f>IF(OR($H1984="",$I1984=""),"",$H1984*$I1984)</f>
        <v/>
      </c>
      <c r="K1984" s="24" t="n"/>
      <c r="L1984" s="24" t="n"/>
      <c r="M1984" s="29" t="n"/>
      <c r="N1984" s="28" t="n"/>
      <c r="O1984" s="24" t="n"/>
      <c r="P1984" s="24" t="n"/>
      <c r="Q1984" s="24" t="n"/>
      <c r="R1984" s="24" t="n"/>
      <c r="S1984" s="22">
        <f>IF(AND($A1984="",$C1984=""),"",IF($A1984="","Thiếu mã đơn; ","")&amp;IF(COUNTIF($A$2:$A1984,$A1984)&gt;1,"Trùng mã đơn; ","")&amp;IF(ISNA(MATCH($C1984,DATA_MASTER!$D$2:$D$5000,0)),"SĐT chưa đăng ký hội viên; ","")&amp;IF(AND($L1984="Đã chuyển khoản",$M1984=""),"Thiếu ngày nhận CK; ",""))</f>
        <v/>
      </c>
      <c r="T1984" s="24" t="n"/>
    </row>
    <row r="1985" ht="14.25" customHeight="1" s="40">
      <c r="A1985" s="24" t="n"/>
      <c r="B1985" s="29" t="n"/>
      <c r="C1985" s="28" t="n"/>
      <c r="D1985" s="22">
        <f t="array" ref="D1985">IF($C1985="","",IFERROR(INDEX(DATA_MASTER!$C$2:$C$5000,MATCH($C1985,DATA_MASTER!$D$2:$D$5000,0)),""))</f>
        <v/>
      </c>
      <c r="E1985" s="22">
        <f t="array" ref="E1985">IF($C1985="","",IFERROR(INDEX(DATA_MASTER!$I$2:$I$5000,MATCH($C1985,DATA_MASTER!$D$2:$D$5000,0)),""))</f>
        <v/>
      </c>
      <c r="F1985" s="22">
        <f t="array" ref="F1985">IF($C1985="","",IFERROR(INDEX(DATA_MASTER!$L$2:$L$5000,MATCH($C1985,DATA_MASTER!$D$2:$D$5000,0)),""))</f>
        <v/>
      </c>
      <c r="G1985" s="24" t="n"/>
      <c r="H1985" s="24" t="n"/>
      <c r="I1985" s="30" t="n"/>
      <c r="J1985" s="23">
        <f>IF(OR($H1985="",$I1985=""),"",$H1985*$I1985)</f>
        <v/>
      </c>
      <c r="K1985" s="24" t="n"/>
      <c r="L1985" s="24" t="n"/>
      <c r="M1985" s="29" t="n"/>
      <c r="N1985" s="28" t="n"/>
      <c r="O1985" s="24" t="n"/>
      <c r="P1985" s="24" t="n"/>
      <c r="Q1985" s="24" t="n"/>
      <c r="R1985" s="24" t="n"/>
      <c r="S1985" s="22">
        <f>IF(AND($A1985="",$C1985=""),"",IF($A1985="","Thiếu mã đơn; ","")&amp;IF(COUNTIF($A$2:$A1985,$A1985)&gt;1,"Trùng mã đơn; ","")&amp;IF(ISNA(MATCH($C1985,DATA_MASTER!$D$2:$D$5000,0)),"SĐT chưa đăng ký hội viên; ","")&amp;IF(AND($L1985="Đã chuyển khoản",$M1985=""),"Thiếu ngày nhận CK; ",""))</f>
        <v/>
      </c>
      <c r="T1985" s="24" t="n"/>
    </row>
    <row r="1986" ht="14.25" customHeight="1" s="40">
      <c r="A1986" s="24" t="n"/>
      <c r="B1986" s="29" t="n"/>
      <c r="C1986" s="28" t="n"/>
      <c r="D1986" s="22">
        <f t="array" ref="D1986">IF($C1986="","",IFERROR(INDEX(DATA_MASTER!$C$2:$C$5000,MATCH($C1986,DATA_MASTER!$D$2:$D$5000,0)),""))</f>
        <v/>
      </c>
      <c r="E1986" s="22">
        <f t="array" ref="E1986">IF($C1986="","",IFERROR(INDEX(DATA_MASTER!$I$2:$I$5000,MATCH($C1986,DATA_MASTER!$D$2:$D$5000,0)),""))</f>
        <v/>
      </c>
      <c r="F1986" s="22">
        <f t="array" ref="F1986">IF($C1986="","",IFERROR(INDEX(DATA_MASTER!$L$2:$L$5000,MATCH($C1986,DATA_MASTER!$D$2:$D$5000,0)),""))</f>
        <v/>
      </c>
      <c r="G1986" s="24" t="n"/>
      <c r="H1986" s="24" t="n"/>
      <c r="I1986" s="30" t="n"/>
      <c r="J1986" s="23">
        <f>IF(OR($H1986="",$I1986=""),"",$H1986*$I1986)</f>
        <v/>
      </c>
      <c r="K1986" s="24" t="n"/>
      <c r="L1986" s="24" t="n"/>
      <c r="M1986" s="29" t="n"/>
      <c r="N1986" s="28" t="n"/>
      <c r="O1986" s="24" t="n"/>
      <c r="P1986" s="24" t="n"/>
      <c r="Q1986" s="24" t="n"/>
      <c r="R1986" s="24" t="n"/>
      <c r="S1986" s="22">
        <f>IF(AND($A1986="",$C1986=""),"",IF($A1986="","Thiếu mã đơn; ","")&amp;IF(COUNTIF($A$2:$A1986,$A1986)&gt;1,"Trùng mã đơn; ","")&amp;IF(ISNA(MATCH($C1986,DATA_MASTER!$D$2:$D$5000,0)),"SĐT chưa đăng ký hội viên; ","")&amp;IF(AND($L1986="Đã chuyển khoản",$M1986=""),"Thiếu ngày nhận CK; ",""))</f>
        <v/>
      </c>
      <c r="T1986" s="24" t="n"/>
    </row>
    <row r="1987" ht="14.25" customHeight="1" s="40">
      <c r="A1987" s="24" t="n"/>
      <c r="B1987" s="29" t="n"/>
      <c r="C1987" s="28" t="n"/>
      <c r="D1987" s="22">
        <f t="array" ref="D1987">IF($C1987="","",IFERROR(INDEX(DATA_MASTER!$C$2:$C$5000,MATCH($C1987,DATA_MASTER!$D$2:$D$5000,0)),""))</f>
        <v/>
      </c>
      <c r="E1987" s="22">
        <f t="array" ref="E1987">IF($C1987="","",IFERROR(INDEX(DATA_MASTER!$I$2:$I$5000,MATCH($C1987,DATA_MASTER!$D$2:$D$5000,0)),""))</f>
        <v/>
      </c>
      <c r="F1987" s="22">
        <f t="array" ref="F1987">IF($C1987="","",IFERROR(INDEX(DATA_MASTER!$L$2:$L$5000,MATCH($C1987,DATA_MASTER!$D$2:$D$5000,0)),""))</f>
        <v/>
      </c>
      <c r="G1987" s="24" t="n"/>
      <c r="H1987" s="24" t="n"/>
      <c r="I1987" s="30" t="n"/>
      <c r="J1987" s="23">
        <f>IF(OR($H1987="",$I1987=""),"",$H1987*$I1987)</f>
        <v/>
      </c>
      <c r="K1987" s="24" t="n"/>
      <c r="L1987" s="24" t="n"/>
      <c r="M1987" s="29" t="n"/>
      <c r="N1987" s="28" t="n"/>
      <c r="O1987" s="24" t="n"/>
      <c r="P1987" s="24" t="n"/>
      <c r="Q1987" s="24" t="n"/>
      <c r="R1987" s="24" t="n"/>
      <c r="S1987" s="22">
        <f>IF(AND($A1987="",$C1987=""),"",IF($A1987="","Thiếu mã đơn; ","")&amp;IF(COUNTIF($A$2:$A1987,$A1987)&gt;1,"Trùng mã đơn; ","")&amp;IF(ISNA(MATCH($C1987,DATA_MASTER!$D$2:$D$5000,0)),"SĐT chưa đăng ký hội viên; ","")&amp;IF(AND($L1987="Đã chuyển khoản",$M1987=""),"Thiếu ngày nhận CK; ",""))</f>
        <v/>
      </c>
      <c r="T1987" s="24" t="n"/>
    </row>
    <row r="1988" ht="14.25" customHeight="1" s="40">
      <c r="A1988" s="24" t="n"/>
      <c r="B1988" s="29" t="n"/>
      <c r="C1988" s="28" t="n"/>
      <c r="D1988" s="22">
        <f t="array" ref="D1988">IF($C1988="","",IFERROR(INDEX(DATA_MASTER!$C$2:$C$5000,MATCH($C1988,DATA_MASTER!$D$2:$D$5000,0)),""))</f>
        <v/>
      </c>
      <c r="E1988" s="22">
        <f t="array" ref="E1988">IF($C1988="","",IFERROR(INDEX(DATA_MASTER!$I$2:$I$5000,MATCH($C1988,DATA_MASTER!$D$2:$D$5000,0)),""))</f>
        <v/>
      </c>
      <c r="F1988" s="22">
        <f t="array" ref="F1988">IF($C1988="","",IFERROR(INDEX(DATA_MASTER!$L$2:$L$5000,MATCH($C1988,DATA_MASTER!$D$2:$D$5000,0)),""))</f>
        <v/>
      </c>
      <c r="G1988" s="24" t="n"/>
      <c r="H1988" s="24" t="n"/>
      <c r="I1988" s="30" t="n"/>
      <c r="J1988" s="23">
        <f>IF(OR($H1988="",$I1988=""),"",$H1988*$I1988)</f>
        <v/>
      </c>
      <c r="K1988" s="24" t="n"/>
      <c r="L1988" s="24" t="n"/>
      <c r="M1988" s="29" t="n"/>
      <c r="N1988" s="28" t="n"/>
      <c r="O1988" s="24" t="n"/>
      <c r="P1988" s="24" t="n"/>
      <c r="Q1988" s="24" t="n"/>
      <c r="R1988" s="24" t="n"/>
      <c r="S1988" s="22">
        <f>IF(AND($A1988="",$C1988=""),"",IF($A1988="","Thiếu mã đơn; ","")&amp;IF(COUNTIF($A$2:$A1988,$A1988)&gt;1,"Trùng mã đơn; ","")&amp;IF(ISNA(MATCH($C1988,DATA_MASTER!$D$2:$D$5000,0)),"SĐT chưa đăng ký hội viên; ","")&amp;IF(AND($L1988="Đã chuyển khoản",$M1988=""),"Thiếu ngày nhận CK; ",""))</f>
        <v/>
      </c>
      <c r="T1988" s="24" t="n"/>
    </row>
    <row r="1989" ht="14.25" customHeight="1" s="40">
      <c r="A1989" s="24" t="n"/>
      <c r="B1989" s="29" t="n"/>
      <c r="C1989" s="28" t="n"/>
      <c r="D1989" s="22">
        <f t="array" ref="D1989">IF($C1989="","",IFERROR(INDEX(DATA_MASTER!$C$2:$C$5000,MATCH($C1989,DATA_MASTER!$D$2:$D$5000,0)),""))</f>
        <v/>
      </c>
      <c r="E1989" s="22">
        <f t="array" ref="E1989">IF($C1989="","",IFERROR(INDEX(DATA_MASTER!$I$2:$I$5000,MATCH($C1989,DATA_MASTER!$D$2:$D$5000,0)),""))</f>
        <v/>
      </c>
      <c r="F1989" s="22">
        <f t="array" ref="F1989">IF($C1989="","",IFERROR(INDEX(DATA_MASTER!$L$2:$L$5000,MATCH($C1989,DATA_MASTER!$D$2:$D$5000,0)),""))</f>
        <v/>
      </c>
      <c r="G1989" s="24" t="n"/>
      <c r="H1989" s="24" t="n"/>
      <c r="I1989" s="30" t="n"/>
      <c r="J1989" s="23">
        <f>IF(OR($H1989="",$I1989=""),"",$H1989*$I1989)</f>
        <v/>
      </c>
      <c r="K1989" s="24" t="n"/>
      <c r="L1989" s="24" t="n"/>
      <c r="M1989" s="29" t="n"/>
      <c r="N1989" s="28" t="n"/>
      <c r="O1989" s="24" t="n"/>
      <c r="P1989" s="24" t="n"/>
      <c r="Q1989" s="24" t="n"/>
      <c r="R1989" s="24" t="n"/>
      <c r="S1989" s="22">
        <f>IF(AND($A1989="",$C1989=""),"",IF($A1989="","Thiếu mã đơn; ","")&amp;IF(COUNTIF($A$2:$A1989,$A1989)&gt;1,"Trùng mã đơn; ","")&amp;IF(ISNA(MATCH($C1989,DATA_MASTER!$D$2:$D$5000,0)),"SĐT chưa đăng ký hội viên; ","")&amp;IF(AND($L1989="Đã chuyển khoản",$M1989=""),"Thiếu ngày nhận CK; ",""))</f>
        <v/>
      </c>
      <c r="T1989" s="24" t="n"/>
    </row>
    <row r="1990" ht="14.25" customHeight="1" s="40">
      <c r="A1990" s="24" t="n"/>
      <c r="B1990" s="29" t="n"/>
      <c r="C1990" s="28" t="n"/>
      <c r="D1990" s="22">
        <f t="array" ref="D1990">IF($C1990="","",IFERROR(INDEX(DATA_MASTER!$C$2:$C$5000,MATCH($C1990,DATA_MASTER!$D$2:$D$5000,0)),""))</f>
        <v/>
      </c>
      <c r="E1990" s="22">
        <f t="array" ref="E1990">IF($C1990="","",IFERROR(INDEX(DATA_MASTER!$I$2:$I$5000,MATCH($C1990,DATA_MASTER!$D$2:$D$5000,0)),""))</f>
        <v/>
      </c>
      <c r="F1990" s="22">
        <f t="array" ref="F1990">IF($C1990="","",IFERROR(INDEX(DATA_MASTER!$L$2:$L$5000,MATCH($C1990,DATA_MASTER!$D$2:$D$5000,0)),""))</f>
        <v/>
      </c>
      <c r="G1990" s="24" t="n"/>
      <c r="H1990" s="24" t="n"/>
      <c r="I1990" s="30" t="n"/>
      <c r="J1990" s="23">
        <f>IF(OR($H1990="",$I1990=""),"",$H1990*$I1990)</f>
        <v/>
      </c>
      <c r="K1990" s="24" t="n"/>
      <c r="L1990" s="24" t="n"/>
      <c r="M1990" s="29" t="n"/>
      <c r="N1990" s="28" t="n"/>
      <c r="O1990" s="24" t="n"/>
      <c r="P1990" s="24" t="n"/>
      <c r="Q1990" s="24" t="n"/>
      <c r="R1990" s="24" t="n"/>
      <c r="S1990" s="22">
        <f>IF(AND($A1990="",$C1990=""),"",IF($A1990="","Thiếu mã đơn; ","")&amp;IF(COUNTIF($A$2:$A1990,$A1990)&gt;1,"Trùng mã đơn; ","")&amp;IF(ISNA(MATCH($C1990,DATA_MASTER!$D$2:$D$5000,0)),"SĐT chưa đăng ký hội viên; ","")&amp;IF(AND($L1990="Đã chuyển khoản",$M1990=""),"Thiếu ngày nhận CK; ",""))</f>
        <v/>
      </c>
      <c r="T1990" s="24" t="n"/>
    </row>
    <row r="1991" ht="14.25" customHeight="1" s="40">
      <c r="A1991" s="24" t="n"/>
      <c r="B1991" s="29" t="n"/>
      <c r="C1991" s="28" t="n"/>
      <c r="D1991" s="22">
        <f t="array" ref="D1991">IF($C1991="","",IFERROR(INDEX(DATA_MASTER!$C$2:$C$5000,MATCH($C1991,DATA_MASTER!$D$2:$D$5000,0)),""))</f>
        <v/>
      </c>
      <c r="E1991" s="22">
        <f t="array" ref="E1991">IF($C1991="","",IFERROR(INDEX(DATA_MASTER!$I$2:$I$5000,MATCH($C1991,DATA_MASTER!$D$2:$D$5000,0)),""))</f>
        <v/>
      </c>
      <c r="F1991" s="22">
        <f t="array" ref="F1991">IF($C1991="","",IFERROR(INDEX(DATA_MASTER!$L$2:$L$5000,MATCH($C1991,DATA_MASTER!$D$2:$D$5000,0)),""))</f>
        <v/>
      </c>
      <c r="G1991" s="24" t="n"/>
      <c r="H1991" s="24" t="n"/>
      <c r="I1991" s="30" t="n"/>
      <c r="J1991" s="23">
        <f>IF(OR($H1991="",$I1991=""),"",$H1991*$I1991)</f>
        <v/>
      </c>
      <c r="K1991" s="24" t="n"/>
      <c r="L1991" s="24" t="n"/>
      <c r="M1991" s="29" t="n"/>
      <c r="N1991" s="28" t="n"/>
      <c r="O1991" s="24" t="n"/>
      <c r="P1991" s="24" t="n"/>
      <c r="Q1991" s="24" t="n"/>
      <c r="R1991" s="24" t="n"/>
      <c r="S1991" s="22">
        <f>IF(AND($A1991="",$C1991=""),"",IF($A1991="","Thiếu mã đơn; ","")&amp;IF(COUNTIF($A$2:$A1991,$A1991)&gt;1,"Trùng mã đơn; ","")&amp;IF(ISNA(MATCH($C1991,DATA_MASTER!$D$2:$D$5000,0)),"SĐT chưa đăng ký hội viên; ","")&amp;IF(AND($L1991="Đã chuyển khoản",$M1991=""),"Thiếu ngày nhận CK; ",""))</f>
        <v/>
      </c>
      <c r="T1991" s="24" t="n"/>
    </row>
    <row r="1992" ht="14.25" customHeight="1" s="40">
      <c r="A1992" s="24" t="n"/>
      <c r="B1992" s="29" t="n"/>
      <c r="C1992" s="28" t="n"/>
      <c r="D1992" s="22">
        <f t="array" ref="D1992">IF($C1992="","",IFERROR(INDEX(DATA_MASTER!$C$2:$C$5000,MATCH($C1992,DATA_MASTER!$D$2:$D$5000,0)),""))</f>
        <v/>
      </c>
      <c r="E1992" s="22">
        <f t="array" ref="E1992">IF($C1992="","",IFERROR(INDEX(DATA_MASTER!$I$2:$I$5000,MATCH($C1992,DATA_MASTER!$D$2:$D$5000,0)),""))</f>
        <v/>
      </c>
      <c r="F1992" s="22">
        <f t="array" ref="F1992">IF($C1992="","",IFERROR(INDEX(DATA_MASTER!$L$2:$L$5000,MATCH($C1992,DATA_MASTER!$D$2:$D$5000,0)),""))</f>
        <v/>
      </c>
      <c r="G1992" s="24" t="n"/>
      <c r="H1992" s="24" t="n"/>
      <c r="I1992" s="30" t="n"/>
      <c r="J1992" s="23">
        <f>IF(OR($H1992="",$I1992=""),"",$H1992*$I1992)</f>
        <v/>
      </c>
      <c r="K1992" s="24" t="n"/>
      <c r="L1992" s="24" t="n"/>
      <c r="M1992" s="29" t="n"/>
      <c r="N1992" s="28" t="n"/>
      <c r="O1992" s="24" t="n"/>
      <c r="P1992" s="24" t="n"/>
      <c r="Q1992" s="24" t="n"/>
      <c r="R1992" s="24" t="n"/>
      <c r="S1992" s="22">
        <f>IF(AND($A1992="",$C1992=""),"",IF($A1992="","Thiếu mã đơn; ","")&amp;IF(COUNTIF($A$2:$A1992,$A1992)&gt;1,"Trùng mã đơn; ","")&amp;IF(ISNA(MATCH($C1992,DATA_MASTER!$D$2:$D$5000,0)),"SĐT chưa đăng ký hội viên; ","")&amp;IF(AND($L1992="Đã chuyển khoản",$M1992=""),"Thiếu ngày nhận CK; ",""))</f>
        <v/>
      </c>
      <c r="T1992" s="24" t="n"/>
    </row>
    <row r="1993" ht="14.25" customHeight="1" s="40">
      <c r="A1993" s="24" t="n"/>
      <c r="B1993" s="29" t="n"/>
      <c r="C1993" s="28" t="n"/>
      <c r="D1993" s="22">
        <f t="array" ref="D1993">IF($C1993="","",IFERROR(INDEX(DATA_MASTER!$C$2:$C$5000,MATCH($C1993,DATA_MASTER!$D$2:$D$5000,0)),""))</f>
        <v/>
      </c>
      <c r="E1993" s="22">
        <f t="array" ref="E1993">IF($C1993="","",IFERROR(INDEX(DATA_MASTER!$I$2:$I$5000,MATCH($C1993,DATA_MASTER!$D$2:$D$5000,0)),""))</f>
        <v/>
      </c>
      <c r="F1993" s="22">
        <f t="array" ref="F1993">IF($C1993="","",IFERROR(INDEX(DATA_MASTER!$L$2:$L$5000,MATCH($C1993,DATA_MASTER!$D$2:$D$5000,0)),""))</f>
        <v/>
      </c>
      <c r="G1993" s="24" t="n"/>
      <c r="H1993" s="24" t="n"/>
      <c r="I1993" s="30" t="n"/>
      <c r="J1993" s="23">
        <f>IF(OR($H1993="",$I1993=""),"",$H1993*$I1993)</f>
        <v/>
      </c>
      <c r="K1993" s="24" t="n"/>
      <c r="L1993" s="24" t="n"/>
      <c r="M1993" s="29" t="n"/>
      <c r="N1993" s="28" t="n"/>
      <c r="O1993" s="24" t="n"/>
      <c r="P1993" s="24" t="n"/>
      <c r="Q1993" s="24" t="n"/>
      <c r="R1993" s="24" t="n"/>
      <c r="S1993" s="22">
        <f>IF(AND($A1993="",$C1993=""),"",IF($A1993="","Thiếu mã đơn; ","")&amp;IF(COUNTIF($A$2:$A1993,$A1993)&gt;1,"Trùng mã đơn; ","")&amp;IF(ISNA(MATCH($C1993,DATA_MASTER!$D$2:$D$5000,0)),"SĐT chưa đăng ký hội viên; ","")&amp;IF(AND($L1993="Đã chuyển khoản",$M1993=""),"Thiếu ngày nhận CK; ",""))</f>
        <v/>
      </c>
      <c r="T1993" s="24" t="n"/>
    </row>
    <row r="1994" ht="14.25" customHeight="1" s="40">
      <c r="A1994" s="24" t="n"/>
      <c r="B1994" s="29" t="n"/>
      <c r="C1994" s="28" t="n"/>
      <c r="D1994" s="22">
        <f t="array" ref="D1994">IF($C1994="","",IFERROR(INDEX(DATA_MASTER!$C$2:$C$5000,MATCH($C1994,DATA_MASTER!$D$2:$D$5000,0)),""))</f>
        <v/>
      </c>
      <c r="E1994" s="22">
        <f t="array" ref="E1994">IF($C1994="","",IFERROR(INDEX(DATA_MASTER!$I$2:$I$5000,MATCH($C1994,DATA_MASTER!$D$2:$D$5000,0)),""))</f>
        <v/>
      </c>
      <c r="F1994" s="22">
        <f t="array" ref="F1994">IF($C1994="","",IFERROR(INDEX(DATA_MASTER!$L$2:$L$5000,MATCH($C1994,DATA_MASTER!$D$2:$D$5000,0)),""))</f>
        <v/>
      </c>
      <c r="G1994" s="24" t="n"/>
      <c r="H1994" s="24" t="n"/>
      <c r="I1994" s="30" t="n"/>
      <c r="J1994" s="23">
        <f>IF(OR($H1994="",$I1994=""),"",$H1994*$I1994)</f>
        <v/>
      </c>
      <c r="K1994" s="24" t="n"/>
      <c r="L1994" s="24" t="n"/>
      <c r="M1994" s="29" t="n"/>
      <c r="N1994" s="28" t="n"/>
      <c r="O1994" s="24" t="n"/>
      <c r="P1994" s="24" t="n"/>
      <c r="Q1994" s="24" t="n"/>
      <c r="R1994" s="24" t="n"/>
      <c r="S1994" s="22">
        <f>IF(AND($A1994="",$C1994=""),"",IF($A1994="","Thiếu mã đơn; ","")&amp;IF(COUNTIF($A$2:$A1994,$A1994)&gt;1,"Trùng mã đơn; ","")&amp;IF(ISNA(MATCH($C1994,DATA_MASTER!$D$2:$D$5000,0)),"SĐT chưa đăng ký hội viên; ","")&amp;IF(AND($L1994="Đã chuyển khoản",$M1994=""),"Thiếu ngày nhận CK; ",""))</f>
        <v/>
      </c>
      <c r="T1994" s="24" t="n"/>
    </row>
    <row r="1995" ht="14.25" customHeight="1" s="40">
      <c r="A1995" s="24" t="n"/>
      <c r="B1995" s="29" t="n"/>
      <c r="C1995" s="28" t="n"/>
      <c r="D1995" s="22">
        <f t="array" ref="D1995">IF($C1995="","",IFERROR(INDEX(DATA_MASTER!$C$2:$C$5000,MATCH($C1995,DATA_MASTER!$D$2:$D$5000,0)),""))</f>
        <v/>
      </c>
      <c r="E1995" s="22">
        <f t="array" ref="E1995">IF($C1995="","",IFERROR(INDEX(DATA_MASTER!$I$2:$I$5000,MATCH($C1995,DATA_MASTER!$D$2:$D$5000,0)),""))</f>
        <v/>
      </c>
      <c r="F1995" s="22">
        <f t="array" ref="F1995">IF($C1995="","",IFERROR(INDEX(DATA_MASTER!$L$2:$L$5000,MATCH($C1995,DATA_MASTER!$D$2:$D$5000,0)),""))</f>
        <v/>
      </c>
      <c r="G1995" s="24" t="n"/>
      <c r="H1995" s="24" t="n"/>
      <c r="I1995" s="30" t="n"/>
      <c r="J1995" s="23">
        <f>IF(OR($H1995="",$I1995=""),"",$H1995*$I1995)</f>
        <v/>
      </c>
      <c r="K1995" s="24" t="n"/>
      <c r="L1995" s="24" t="n"/>
      <c r="M1995" s="29" t="n"/>
      <c r="N1995" s="28" t="n"/>
      <c r="O1995" s="24" t="n"/>
      <c r="P1995" s="24" t="n"/>
      <c r="Q1995" s="24" t="n"/>
      <c r="R1995" s="24" t="n"/>
      <c r="S1995" s="22">
        <f>IF(AND($A1995="",$C1995=""),"",IF($A1995="","Thiếu mã đơn; ","")&amp;IF(COUNTIF($A$2:$A1995,$A1995)&gt;1,"Trùng mã đơn; ","")&amp;IF(ISNA(MATCH($C1995,DATA_MASTER!$D$2:$D$5000,0)),"SĐT chưa đăng ký hội viên; ","")&amp;IF(AND($L1995="Đã chuyển khoản",$M1995=""),"Thiếu ngày nhận CK; ",""))</f>
        <v/>
      </c>
      <c r="T1995" s="24" t="n"/>
    </row>
    <row r="1996" ht="14.25" customHeight="1" s="40">
      <c r="A1996" s="24" t="n"/>
      <c r="B1996" s="29" t="n"/>
      <c r="C1996" s="28" t="n"/>
      <c r="D1996" s="22">
        <f t="array" ref="D1996">IF($C1996="","",IFERROR(INDEX(DATA_MASTER!$C$2:$C$5000,MATCH($C1996,DATA_MASTER!$D$2:$D$5000,0)),""))</f>
        <v/>
      </c>
      <c r="E1996" s="22">
        <f t="array" ref="E1996">IF($C1996="","",IFERROR(INDEX(DATA_MASTER!$I$2:$I$5000,MATCH($C1996,DATA_MASTER!$D$2:$D$5000,0)),""))</f>
        <v/>
      </c>
      <c r="F1996" s="22">
        <f t="array" ref="F1996">IF($C1996="","",IFERROR(INDEX(DATA_MASTER!$L$2:$L$5000,MATCH($C1996,DATA_MASTER!$D$2:$D$5000,0)),""))</f>
        <v/>
      </c>
      <c r="G1996" s="24" t="n"/>
      <c r="H1996" s="24" t="n"/>
      <c r="I1996" s="30" t="n"/>
      <c r="J1996" s="23">
        <f>IF(OR($H1996="",$I1996=""),"",$H1996*$I1996)</f>
        <v/>
      </c>
      <c r="K1996" s="24" t="n"/>
      <c r="L1996" s="24" t="n"/>
      <c r="M1996" s="29" t="n"/>
      <c r="N1996" s="28" t="n"/>
      <c r="O1996" s="24" t="n"/>
      <c r="P1996" s="24" t="n"/>
      <c r="Q1996" s="24" t="n"/>
      <c r="R1996" s="24" t="n"/>
      <c r="S1996" s="22">
        <f>IF(AND($A1996="",$C1996=""),"",IF($A1996="","Thiếu mã đơn; ","")&amp;IF(COUNTIF($A$2:$A1996,$A1996)&gt;1,"Trùng mã đơn; ","")&amp;IF(ISNA(MATCH($C1996,DATA_MASTER!$D$2:$D$5000,0)),"SĐT chưa đăng ký hội viên; ","")&amp;IF(AND($L1996="Đã chuyển khoản",$M1996=""),"Thiếu ngày nhận CK; ",""))</f>
        <v/>
      </c>
      <c r="T1996" s="24" t="n"/>
    </row>
    <row r="1997" ht="14.25" customHeight="1" s="40">
      <c r="A1997" s="24" t="n"/>
      <c r="B1997" s="29" t="n"/>
      <c r="C1997" s="28" t="n"/>
      <c r="D1997" s="22">
        <f t="array" ref="D1997">IF($C1997="","",IFERROR(INDEX(DATA_MASTER!$C$2:$C$5000,MATCH($C1997,DATA_MASTER!$D$2:$D$5000,0)),""))</f>
        <v/>
      </c>
      <c r="E1997" s="22">
        <f t="array" ref="E1997">IF($C1997="","",IFERROR(INDEX(DATA_MASTER!$I$2:$I$5000,MATCH($C1997,DATA_MASTER!$D$2:$D$5000,0)),""))</f>
        <v/>
      </c>
      <c r="F1997" s="22">
        <f t="array" ref="F1997">IF($C1997="","",IFERROR(INDEX(DATA_MASTER!$L$2:$L$5000,MATCH($C1997,DATA_MASTER!$D$2:$D$5000,0)),""))</f>
        <v/>
      </c>
      <c r="G1997" s="24" t="n"/>
      <c r="H1997" s="24" t="n"/>
      <c r="I1997" s="30" t="n"/>
      <c r="J1997" s="23">
        <f>IF(OR($H1997="",$I1997=""),"",$H1997*$I1997)</f>
        <v/>
      </c>
      <c r="K1997" s="24" t="n"/>
      <c r="L1997" s="24" t="n"/>
      <c r="M1997" s="29" t="n"/>
      <c r="N1997" s="28" t="n"/>
      <c r="O1997" s="24" t="n"/>
      <c r="P1997" s="24" t="n"/>
      <c r="Q1997" s="24" t="n"/>
      <c r="R1997" s="24" t="n"/>
      <c r="S1997" s="22">
        <f>IF(AND($A1997="",$C1997=""),"",IF($A1997="","Thiếu mã đơn; ","")&amp;IF(COUNTIF($A$2:$A1997,$A1997)&gt;1,"Trùng mã đơn; ","")&amp;IF(ISNA(MATCH($C1997,DATA_MASTER!$D$2:$D$5000,0)),"SĐT chưa đăng ký hội viên; ","")&amp;IF(AND($L1997="Đã chuyển khoản",$M1997=""),"Thiếu ngày nhận CK; ",""))</f>
        <v/>
      </c>
      <c r="T1997" s="24" t="n"/>
    </row>
    <row r="1998" ht="14.25" customHeight="1" s="40">
      <c r="A1998" s="24" t="n"/>
      <c r="B1998" s="29" t="n"/>
      <c r="C1998" s="28" t="n"/>
      <c r="D1998" s="22">
        <f t="array" ref="D1998">IF($C1998="","",IFERROR(INDEX(DATA_MASTER!$C$2:$C$5000,MATCH($C1998,DATA_MASTER!$D$2:$D$5000,0)),""))</f>
        <v/>
      </c>
      <c r="E1998" s="22">
        <f t="array" ref="E1998">IF($C1998="","",IFERROR(INDEX(DATA_MASTER!$I$2:$I$5000,MATCH($C1998,DATA_MASTER!$D$2:$D$5000,0)),""))</f>
        <v/>
      </c>
      <c r="F1998" s="22">
        <f t="array" ref="F1998">IF($C1998="","",IFERROR(INDEX(DATA_MASTER!$L$2:$L$5000,MATCH($C1998,DATA_MASTER!$D$2:$D$5000,0)),""))</f>
        <v/>
      </c>
      <c r="G1998" s="24" t="n"/>
      <c r="H1998" s="24" t="n"/>
      <c r="I1998" s="30" t="n"/>
      <c r="J1998" s="23">
        <f>IF(OR($H1998="",$I1998=""),"",$H1998*$I1998)</f>
        <v/>
      </c>
      <c r="K1998" s="24" t="n"/>
      <c r="L1998" s="24" t="n"/>
      <c r="M1998" s="29" t="n"/>
      <c r="N1998" s="28" t="n"/>
      <c r="O1998" s="24" t="n"/>
      <c r="P1998" s="24" t="n"/>
      <c r="Q1998" s="24" t="n"/>
      <c r="R1998" s="24" t="n"/>
      <c r="S1998" s="22">
        <f>IF(AND($A1998="",$C1998=""),"",IF($A1998="","Thiếu mã đơn; ","")&amp;IF(COUNTIF($A$2:$A1998,$A1998)&gt;1,"Trùng mã đơn; ","")&amp;IF(ISNA(MATCH($C1998,DATA_MASTER!$D$2:$D$5000,0)),"SĐT chưa đăng ký hội viên; ","")&amp;IF(AND($L1998="Đã chuyển khoản",$M1998=""),"Thiếu ngày nhận CK; ",""))</f>
        <v/>
      </c>
      <c r="T1998" s="24" t="n"/>
    </row>
    <row r="1999" ht="14.25" customHeight="1" s="40">
      <c r="A1999" s="24" t="n"/>
      <c r="B1999" s="29" t="n"/>
      <c r="C1999" s="28" t="n"/>
      <c r="D1999" s="22">
        <f t="array" ref="D1999">IF($C1999="","",IFERROR(INDEX(DATA_MASTER!$C$2:$C$5000,MATCH($C1999,DATA_MASTER!$D$2:$D$5000,0)),""))</f>
        <v/>
      </c>
      <c r="E1999" s="22">
        <f t="array" ref="E1999">IF($C1999="","",IFERROR(INDEX(DATA_MASTER!$I$2:$I$5000,MATCH($C1999,DATA_MASTER!$D$2:$D$5000,0)),""))</f>
        <v/>
      </c>
      <c r="F1999" s="22">
        <f t="array" ref="F1999">IF($C1999="","",IFERROR(INDEX(DATA_MASTER!$L$2:$L$5000,MATCH($C1999,DATA_MASTER!$D$2:$D$5000,0)),""))</f>
        <v/>
      </c>
      <c r="G1999" s="24" t="n"/>
      <c r="H1999" s="24" t="n"/>
      <c r="I1999" s="30" t="n"/>
      <c r="J1999" s="23">
        <f>IF(OR($H1999="",$I1999=""),"",$H1999*$I1999)</f>
        <v/>
      </c>
      <c r="K1999" s="24" t="n"/>
      <c r="L1999" s="24" t="n"/>
      <c r="M1999" s="29" t="n"/>
      <c r="N1999" s="28" t="n"/>
      <c r="O1999" s="24" t="n"/>
      <c r="P1999" s="24" t="n"/>
      <c r="Q1999" s="24" t="n"/>
      <c r="R1999" s="24" t="n"/>
      <c r="S1999" s="22">
        <f>IF(AND($A1999="",$C1999=""),"",IF($A1999="","Thiếu mã đơn; ","")&amp;IF(COUNTIF($A$2:$A1999,$A1999)&gt;1,"Trùng mã đơn; ","")&amp;IF(ISNA(MATCH($C1999,DATA_MASTER!$D$2:$D$5000,0)),"SĐT chưa đăng ký hội viên; ","")&amp;IF(AND($L1999="Đã chuyển khoản",$M1999=""),"Thiếu ngày nhận CK; ",""))</f>
        <v/>
      </c>
      <c r="T1999" s="24" t="n"/>
    </row>
    <row r="2000" ht="14.25" customHeight="1" s="40">
      <c r="A2000" s="24" t="n"/>
      <c r="B2000" s="29" t="n"/>
      <c r="C2000" s="28" t="n"/>
      <c r="D2000" s="22">
        <f t="array" ref="D2000">IF($C2000="","",IFERROR(INDEX(DATA_MASTER!$C$2:$C$5000,MATCH($C2000,DATA_MASTER!$D$2:$D$5000,0)),""))</f>
        <v/>
      </c>
      <c r="E2000" s="22">
        <f t="array" ref="E2000">IF($C2000="","",IFERROR(INDEX(DATA_MASTER!$I$2:$I$5000,MATCH($C2000,DATA_MASTER!$D$2:$D$5000,0)),""))</f>
        <v/>
      </c>
      <c r="F2000" s="22">
        <f t="array" ref="F2000">IF($C2000="","",IFERROR(INDEX(DATA_MASTER!$L$2:$L$5000,MATCH($C2000,DATA_MASTER!$D$2:$D$5000,0)),""))</f>
        <v/>
      </c>
      <c r="G2000" s="24" t="n"/>
      <c r="H2000" s="24" t="n"/>
      <c r="I2000" s="30" t="n"/>
      <c r="J2000" s="23">
        <f>IF(OR($H2000="",$I2000=""),"",$H2000*$I2000)</f>
        <v/>
      </c>
      <c r="K2000" s="24" t="n"/>
      <c r="L2000" s="24" t="n"/>
      <c r="M2000" s="29" t="n"/>
      <c r="N2000" s="28" t="n"/>
      <c r="O2000" s="24" t="n"/>
      <c r="P2000" s="24" t="n"/>
      <c r="Q2000" s="24" t="n"/>
      <c r="R2000" s="24" t="n"/>
      <c r="S2000" s="22">
        <f>IF(AND($A2000="",$C2000=""),"",IF($A2000="","Thiếu mã đơn; ","")&amp;IF(COUNTIF($A$2:$A2000,$A2000)&gt;1,"Trùng mã đơn; ","")&amp;IF(ISNA(MATCH($C2000,DATA_MASTER!$D$2:$D$5000,0)),"SĐT chưa đăng ký hội viên; ","")&amp;IF(AND($L2000="Đã chuyển khoản",$M2000=""),"Thiếu ngày nhận CK; ",""))</f>
        <v/>
      </c>
      <c r="T2000" s="24" t="n"/>
    </row>
    <row r="2001" ht="14.25" customHeight="1" s="40">
      <c r="A2001" s="24" t="n"/>
      <c r="B2001" s="29" t="n"/>
      <c r="C2001" s="28" t="n"/>
      <c r="D2001" s="22">
        <f t="array" ref="D2001">IF($C2001="","",IFERROR(INDEX(DATA_MASTER!$C$2:$C$5000,MATCH($C2001,DATA_MASTER!$D$2:$D$5000,0)),""))</f>
        <v/>
      </c>
      <c r="E2001" s="22">
        <f t="array" ref="E2001">IF($C2001="","",IFERROR(INDEX(DATA_MASTER!$I$2:$I$5000,MATCH($C2001,DATA_MASTER!$D$2:$D$5000,0)),""))</f>
        <v/>
      </c>
      <c r="F2001" s="22">
        <f t="array" ref="F2001">IF($C2001="","",IFERROR(INDEX(DATA_MASTER!$L$2:$L$5000,MATCH($C2001,DATA_MASTER!$D$2:$D$5000,0)),""))</f>
        <v/>
      </c>
      <c r="G2001" s="24" t="n"/>
      <c r="H2001" s="24" t="n"/>
      <c r="I2001" s="30" t="n"/>
      <c r="J2001" s="23">
        <f>IF(OR($H2001="",$I2001=""),"",$H2001*$I2001)</f>
        <v/>
      </c>
      <c r="K2001" s="24" t="n"/>
      <c r="L2001" s="24" t="n"/>
      <c r="M2001" s="29" t="n"/>
      <c r="N2001" s="28" t="n"/>
      <c r="O2001" s="24" t="n"/>
      <c r="P2001" s="24" t="n"/>
      <c r="Q2001" s="24" t="n"/>
      <c r="R2001" s="24" t="n"/>
      <c r="S2001" s="22">
        <f>IF(AND($A2001="",$C2001=""),"",IF($A2001="","Thiếu mã đơn; ","")&amp;IF(COUNTIF($A$2:$A2001,$A2001)&gt;1,"Trùng mã đơn; ","")&amp;IF(ISNA(MATCH($C2001,DATA_MASTER!$D$2:$D$5000,0)),"SĐT chưa đăng ký hội viên; ","")&amp;IF(AND($L2001="Đã chuyển khoản",$M2001=""),"Thiếu ngày nhận CK; ",""))</f>
        <v/>
      </c>
      <c r="T2001" s="24" t="n"/>
    </row>
    <row r="2002" ht="14.25" customHeight="1" s="40">
      <c r="A2002" s="24" t="n"/>
      <c r="B2002" s="29" t="n"/>
      <c r="C2002" s="28" t="n"/>
      <c r="D2002" s="22">
        <f t="array" ref="D2002">IF($C2002="","",IFERROR(INDEX(DATA_MASTER!$C$2:$C$5000,MATCH($C2002,DATA_MASTER!$D$2:$D$5000,0)),""))</f>
        <v/>
      </c>
      <c r="E2002" s="22">
        <f t="array" ref="E2002">IF($C2002="","",IFERROR(INDEX(DATA_MASTER!$I$2:$I$5000,MATCH($C2002,DATA_MASTER!$D$2:$D$5000,0)),""))</f>
        <v/>
      </c>
      <c r="F2002" s="22">
        <f t="array" ref="F2002">IF($C2002="","",IFERROR(INDEX(DATA_MASTER!$L$2:$L$5000,MATCH($C2002,DATA_MASTER!$D$2:$D$5000,0)),""))</f>
        <v/>
      </c>
      <c r="G2002" s="24" t="n"/>
      <c r="H2002" s="24" t="n"/>
      <c r="I2002" s="30" t="n"/>
      <c r="J2002" s="23">
        <f>IF(OR($H2002="",$I2002=""),"",$H2002*$I2002)</f>
        <v/>
      </c>
      <c r="K2002" s="24" t="n"/>
      <c r="L2002" s="24" t="n"/>
      <c r="M2002" s="29" t="n"/>
      <c r="N2002" s="28" t="n"/>
      <c r="O2002" s="24" t="n"/>
      <c r="P2002" s="24" t="n"/>
      <c r="Q2002" s="24" t="n"/>
      <c r="R2002" s="24" t="n"/>
      <c r="S2002" s="22">
        <f>IF(AND($A2002="",$C2002=""),"",IF($A2002="","Thiếu mã đơn; ","")&amp;IF(COUNTIF($A$2:$A2002,$A2002)&gt;1,"Trùng mã đơn; ","")&amp;IF(ISNA(MATCH($C2002,DATA_MASTER!$D$2:$D$5000,0)),"SĐT chưa đăng ký hội viên; ","")&amp;IF(AND($L2002="Đã chuyển khoản",$M2002=""),"Thiếu ngày nhận CK; ",""))</f>
        <v/>
      </c>
      <c r="T2002" s="24" t="n"/>
    </row>
    <row r="2003" ht="14.25" customHeight="1" s="40">
      <c r="A2003" s="24" t="n"/>
      <c r="B2003" s="29" t="n"/>
      <c r="C2003" s="28" t="n"/>
      <c r="D2003" s="22">
        <f t="array" ref="D2003">IF($C2003="","",IFERROR(INDEX(DATA_MASTER!$C$2:$C$5000,MATCH($C2003,DATA_MASTER!$D$2:$D$5000,0)),""))</f>
        <v/>
      </c>
      <c r="E2003" s="22">
        <f t="array" ref="E2003">IF($C2003="","",IFERROR(INDEX(DATA_MASTER!$I$2:$I$5000,MATCH($C2003,DATA_MASTER!$D$2:$D$5000,0)),""))</f>
        <v/>
      </c>
      <c r="F2003" s="22">
        <f t="array" ref="F2003">IF($C2003="","",IFERROR(INDEX(DATA_MASTER!$L$2:$L$5000,MATCH($C2003,DATA_MASTER!$D$2:$D$5000,0)),""))</f>
        <v/>
      </c>
      <c r="G2003" s="24" t="n"/>
      <c r="H2003" s="24" t="n"/>
      <c r="I2003" s="30" t="n"/>
      <c r="J2003" s="23">
        <f>IF(OR($H2003="",$I2003=""),"",$H2003*$I2003)</f>
        <v/>
      </c>
      <c r="K2003" s="24" t="n"/>
      <c r="L2003" s="24" t="n"/>
      <c r="M2003" s="29" t="n"/>
      <c r="N2003" s="28" t="n"/>
      <c r="O2003" s="24" t="n"/>
      <c r="P2003" s="24" t="n"/>
      <c r="Q2003" s="24" t="n"/>
      <c r="R2003" s="24" t="n"/>
      <c r="S2003" s="22">
        <f>IF(AND($A2003="",$C2003=""),"",IF($A2003="","Thiếu mã đơn; ","")&amp;IF(COUNTIF($A$2:$A2003,$A2003)&gt;1,"Trùng mã đơn; ","")&amp;IF(ISNA(MATCH($C2003,DATA_MASTER!$D$2:$D$5000,0)),"SĐT chưa đăng ký hội viên; ","")&amp;IF(AND($L2003="Đã chuyển khoản",$M2003=""),"Thiếu ngày nhận CK; ",""))</f>
        <v/>
      </c>
      <c r="T2003" s="24" t="n"/>
    </row>
    <row r="2004" ht="14.25" customHeight="1" s="40">
      <c r="A2004" s="24" t="n"/>
      <c r="B2004" s="29" t="n"/>
      <c r="C2004" s="28" t="n"/>
      <c r="D2004" s="22">
        <f t="array" ref="D2004">IF($C2004="","",IFERROR(INDEX(DATA_MASTER!$C$2:$C$5000,MATCH($C2004,DATA_MASTER!$D$2:$D$5000,0)),""))</f>
        <v/>
      </c>
      <c r="E2004" s="22">
        <f t="array" ref="E2004">IF($C2004="","",IFERROR(INDEX(DATA_MASTER!$I$2:$I$5000,MATCH($C2004,DATA_MASTER!$D$2:$D$5000,0)),""))</f>
        <v/>
      </c>
      <c r="F2004" s="22">
        <f t="array" ref="F2004">IF($C2004="","",IFERROR(INDEX(DATA_MASTER!$L$2:$L$5000,MATCH($C2004,DATA_MASTER!$D$2:$D$5000,0)),""))</f>
        <v/>
      </c>
      <c r="G2004" s="24" t="n"/>
      <c r="H2004" s="24" t="n"/>
      <c r="I2004" s="30" t="n"/>
      <c r="J2004" s="23">
        <f>IF(OR($H2004="",$I2004=""),"",$H2004*$I2004)</f>
        <v/>
      </c>
      <c r="K2004" s="24" t="n"/>
      <c r="L2004" s="24" t="n"/>
      <c r="M2004" s="29" t="n"/>
      <c r="N2004" s="28" t="n"/>
      <c r="O2004" s="24" t="n"/>
      <c r="P2004" s="24" t="n"/>
      <c r="Q2004" s="24" t="n"/>
      <c r="R2004" s="24" t="n"/>
      <c r="S2004" s="22">
        <f>IF(AND($A2004="",$C2004=""),"",IF($A2004="","Thiếu mã đơn; ","")&amp;IF(COUNTIF($A$2:$A2004,$A2004)&gt;1,"Trùng mã đơn; ","")&amp;IF(ISNA(MATCH($C2004,DATA_MASTER!$D$2:$D$5000,0)),"SĐT chưa đăng ký hội viên; ","")&amp;IF(AND($L2004="Đã chuyển khoản",$M2004=""),"Thiếu ngày nhận CK; ",""))</f>
        <v/>
      </c>
      <c r="T2004" s="24" t="n"/>
    </row>
    <row r="2005" ht="14.25" customHeight="1" s="40">
      <c r="A2005" s="24" t="n"/>
      <c r="B2005" s="29" t="n"/>
      <c r="C2005" s="28" t="n"/>
      <c r="D2005" s="22">
        <f t="array" ref="D2005">IF($C2005="","",IFERROR(INDEX(DATA_MASTER!$C$2:$C$5000,MATCH($C2005,DATA_MASTER!$D$2:$D$5000,0)),""))</f>
        <v/>
      </c>
      <c r="E2005" s="22">
        <f t="array" ref="E2005">IF($C2005="","",IFERROR(INDEX(DATA_MASTER!$I$2:$I$5000,MATCH($C2005,DATA_MASTER!$D$2:$D$5000,0)),""))</f>
        <v/>
      </c>
      <c r="F2005" s="22">
        <f t="array" ref="F2005">IF($C2005="","",IFERROR(INDEX(DATA_MASTER!$L$2:$L$5000,MATCH($C2005,DATA_MASTER!$D$2:$D$5000,0)),""))</f>
        <v/>
      </c>
      <c r="G2005" s="24" t="n"/>
      <c r="H2005" s="24" t="n"/>
      <c r="I2005" s="30" t="n"/>
      <c r="J2005" s="23">
        <f>IF(OR($H2005="",$I2005=""),"",$H2005*$I2005)</f>
        <v/>
      </c>
      <c r="K2005" s="24" t="n"/>
      <c r="L2005" s="24" t="n"/>
      <c r="M2005" s="29" t="n"/>
      <c r="N2005" s="28" t="n"/>
      <c r="O2005" s="24" t="n"/>
      <c r="P2005" s="24" t="n"/>
      <c r="Q2005" s="24" t="n"/>
      <c r="R2005" s="24" t="n"/>
      <c r="S2005" s="22">
        <f>IF(AND($A2005="",$C2005=""),"",IF($A2005="","Thiếu mã đơn; ","")&amp;IF(COUNTIF($A$2:$A2005,$A2005)&gt;1,"Trùng mã đơn; ","")&amp;IF(ISNA(MATCH($C2005,DATA_MASTER!$D$2:$D$5000,0)),"SĐT chưa đăng ký hội viên; ","")&amp;IF(AND($L2005="Đã chuyển khoản",$M2005=""),"Thiếu ngày nhận CK; ",""))</f>
        <v/>
      </c>
      <c r="T2005" s="24" t="n"/>
    </row>
    <row r="2006" ht="14.25" customHeight="1" s="40">
      <c r="A2006" s="24" t="n"/>
      <c r="B2006" s="29" t="n"/>
      <c r="C2006" s="28" t="n"/>
      <c r="D2006" s="22">
        <f t="array" ref="D2006">IF($C2006="","",IFERROR(INDEX(DATA_MASTER!$C$2:$C$5000,MATCH($C2006,DATA_MASTER!$D$2:$D$5000,0)),""))</f>
        <v/>
      </c>
      <c r="E2006" s="22">
        <f t="array" ref="E2006">IF($C2006="","",IFERROR(INDEX(DATA_MASTER!$I$2:$I$5000,MATCH($C2006,DATA_MASTER!$D$2:$D$5000,0)),""))</f>
        <v/>
      </c>
      <c r="F2006" s="22">
        <f t="array" ref="F2006">IF($C2006="","",IFERROR(INDEX(DATA_MASTER!$L$2:$L$5000,MATCH($C2006,DATA_MASTER!$D$2:$D$5000,0)),""))</f>
        <v/>
      </c>
      <c r="G2006" s="24" t="n"/>
      <c r="H2006" s="24" t="n"/>
      <c r="I2006" s="30" t="n"/>
      <c r="J2006" s="23">
        <f>IF(OR($H2006="",$I2006=""),"",$H2006*$I2006)</f>
        <v/>
      </c>
      <c r="K2006" s="24" t="n"/>
      <c r="L2006" s="24" t="n"/>
      <c r="M2006" s="29" t="n"/>
      <c r="N2006" s="28" t="n"/>
      <c r="O2006" s="24" t="n"/>
      <c r="P2006" s="24" t="n"/>
      <c r="Q2006" s="24" t="n"/>
      <c r="R2006" s="24" t="n"/>
      <c r="S2006" s="22">
        <f>IF(AND($A2006="",$C2006=""),"",IF($A2006="","Thiếu mã đơn; ","")&amp;IF(COUNTIF($A$2:$A2006,$A2006)&gt;1,"Trùng mã đơn; ","")&amp;IF(ISNA(MATCH($C2006,DATA_MASTER!$D$2:$D$5000,0)),"SĐT chưa đăng ký hội viên; ","")&amp;IF(AND($L2006="Đã chuyển khoản",$M2006=""),"Thiếu ngày nhận CK; ",""))</f>
        <v/>
      </c>
      <c r="T2006" s="24" t="n"/>
    </row>
    <row r="2007" ht="14.25" customHeight="1" s="40">
      <c r="A2007" s="24" t="n"/>
      <c r="B2007" s="29" t="n"/>
      <c r="C2007" s="28" t="n"/>
      <c r="D2007" s="22">
        <f t="array" ref="D2007">IF($C2007="","",IFERROR(INDEX(DATA_MASTER!$C$2:$C$5000,MATCH($C2007,DATA_MASTER!$D$2:$D$5000,0)),""))</f>
        <v/>
      </c>
      <c r="E2007" s="22">
        <f t="array" ref="E2007">IF($C2007="","",IFERROR(INDEX(DATA_MASTER!$I$2:$I$5000,MATCH($C2007,DATA_MASTER!$D$2:$D$5000,0)),""))</f>
        <v/>
      </c>
      <c r="F2007" s="22">
        <f t="array" ref="F2007">IF($C2007="","",IFERROR(INDEX(DATA_MASTER!$L$2:$L$5000,MATCH($C2007,DATA_MASTER!$D$2:$D$5000,0)),""))</f>
        <v/>
      </c>
      <c r="G2007" s="24" t="n"/>
      <c r="H2007" s="24" t="n"/>
      <c r="I2007" s="30" t="n"/>
      <c r="J2007" s="23">
        <f>IF(OR($H2007="",$I2007=""),"",$H2007*$I2007)</f>
        <v/>
      </c>
      <c r="K2007" s="24" t="n"/>
      <c r="L2007" s="24" t="n"/>
      <c r="M2007" s="29" t="n"/>
      <c r="N2007" s="28" t="n"/>
      <c r="O2007" s="24" t="n"/>
      <c r="P2007" s="24" t="n"/>
      <c r="Q2007" s="24" t="n"/>
      <c r="R2007" s="24" t="n"/>
      <c r="S2007" s="22">
        <f>IF(AND($A2007="",$C2007=""),"",IF($A2007="","Thiếu mã đơn; ","")&amp;IF(COUNTIF($A$2:$A2007,$A2007)&gt;1,"Trùng mã đơn; ","")&amp;IF(ISNA(MATCH($C2007,DATA_MASTER!$D$2:$D$5000,0)),"SĐT chưa đăng ký hội viên; ","")&amp;IF(AND($L2007="Đã chuyển khoản",$M2007=""),"Thiếu ngày nhận CK; ",""))</f>
        <v/>
      </c>
      <c r="T2007" s="24" t="n"/>
    </row>
    <row r="2008" ht="14.25" customHeight="1" s="40">
      <c r="A2008" s="24" t="n"/>
      <c r="B2008" s="29" t="n"/>
      <c r="C2008" s="28" t="n"/>
      <c r="D2008" s="22">
        <f t="array" ref="D2008">IF($C2008="","",IFERROR(INDEX(DATA_MASTER!$C$2:$C$5000,MATCH($C2008,DATA_MASTER!$D$2:$D$5000,0)),""))</f>
        <v/>
      </c>
      <c r="E2008" s="22">
        <f t="array" ref="E2008">IF($C2008="","",IFERROR(INDEX(DATA_MASTER!$I$2:$I$5000,MATCH($C2008,DATA_MASTER!$D$2:$D$5000,0)),""))</f>
        <v/>
      </c>
      <c r="F2008" s="22">
        <f t="array" ref="F2008">IF($C2008="","",IFERROR(INDEX(DATA_MASTER!$L$2:$L$5000,MATCH($C2008,DATA_MASTER!$D$2:$D$5000,0)),""))</f>
        <v/>
      </c>
      <c r="G2008" s="24" t="n"/>
      <c r="H2008" s="24" t="n"/>
      <c r="I2008" s="30" t="n"/>
      <c r="J2008" s="23">
        <f>IF(OR($H2008="",$I2008=""),"",$H2008*$I2008)</f>
        <v/>
      </c>
      <c r="K2008" s="24" t="n"/>
      <c r="L2008" s="24" t="n"/>
      <c r="M2008" s="29" t="n"/>
      <c r="N2008" s="28" t="n"/>
      <c r="O2008" s="24" t="n"/>
      <c r="P2008" s="24" t="n"/>
      <c r="Q2008" s="24" t="n"/>
      <c r="R2008" s="24" t="n"/>
      <c r="S2008" s="22">
        <f>IF(AND($A2008="",$C2008=""),"",IF($A2008="","Thiếu mã đơn; ","")&amp;IF(COUNTIF($A$2:$A2008,$A2008)&gt;1,"Trùng mã đơn; ","")&amp;IF(ISNA(MATCH($C2008,DATA_MASTER!$D$2:$D$5000,0)),"SĐT chưa đăng ký hội viên; ","")&amp;IF(AND($L2008="Đã chuyển khoản",$M2008=""),"Thiếu ngày nhận CK; ",""))</f>
        <v/>
      </c>
      <c r="T2008" s="24" t="n"/>
    </row>
    <row r="2009" ht="14.25" customHeight="1" s="40">
      <c r="A2009" s="24" t="n"/>
      <c r="B2009" s="29" t="n"/>
      <c r="C2009" s="28" t="n"/>
      <c r="D2009" s="22">
        <f t="array" ref="D2009">IF($C2009="","",IFERROR(INDEX(DATA_MASTER!$C$2:$C$5000,MATCH($C2009,DATA_MASTER!$D$2:$D$5000,0)),""))</f>
        <v/>
      </c>
      <c r="E2009" s="22">
        <f t="array" ref="E2009">IF($C2009="","",IFERROR(INDEX(DATA_MASTER!$I$2:$I$5000,MATCH($C2009,DATA_MASTER!$D$2:$D$5000,0)),""))</f>
        <v/>
      </c>
      <c r="F2009" s="22">
        <f t="array" ref="F2009">IF($C2009="","",IFERROR(INDEX(DATA_MASTER!$L$2:$L$5000,MATCH($C2009,DATA_MASTER!$D$2:$D$5000,0)),""))</f>
        <v/>
      </c>
      <c r="G2009" s="24" t="n"/>
      <c r="H2009" s="24" t="n"/>
      <c r="I2009" s="30" t="n"/>
      <c r="J2009" s="23">
        <f>IF(OR($H2009="",$I2009=""),"",$H2009*$I2009)</f>
        <v/>
      </c>
      <c r="K2009" s="24" t="n"/>
      <c r="L2009" s="24" t="n"/>
      <c r="M2009" s="29" t="n"/>
      <c r="N2009" s="28" t="n"/>
      <c r="O2009" s="24" t="n"/>
      <c r="P2009" s="24" t="n"/>
      <c r="Q2009" s="24" t="n"/>
      <c r="R2009" s="24" t="n"/>
      <c r="S2009" s="22">
        <f>IF(AND($A2009="",$C2009=""),"",IF($A2009="","Thiếu mã đơn; ","")&amp;IF(COUNTIF($A$2:$A2009,$A2009)&gt;1,"Trùng mã đơn; ","")&amp;IF(ISNA(MATCH($C2009,DATA_MASTER!$D$2:$D$5000,0)),"SĐT chưa đăng ký hội viên; ","")&amp;IF(AND($L2009="Đã chuyển khoản",$M2009=""),"Thiếu ngày nhận CK; ",""))</f>
        <v/>
      </c>
      <c r="T2009" s="24" t="n"/>
    </row>
    <row r="2010" ht="14.25" customHeight="1" s="40">
      <c r="A2010" s="24" t="n"/>
      <c r="B2010" s="29" t="n"/>
      <c r="C2010" s="28" t="n"/>
      <c r="D2010" s="22">
        <f t="array" ref="D2010">IF($C2010="","",IFERROR(INDEX(DATA_MASTER!$C$2:$C$5000,MATCH($C2010,DATA_MASTER!$D$2:$D$5000,0)),""))</f>
        <v/>
      </c>
      <c r="E2010" s="22">
        <f t="array" ref="E2010">IF($C2010="","",IFERROR(INDEX(DATA_MASTER!$I$2:$I$5000,MATCH($C2010,DATA_MASTER!$D$2:$D$5000,0)),""))</f>
        <v/>
      </c>
      <c r="F2010" s="22">
        <f t="array" ref="F2010">IF($C2010="","",IFERROR(INDEX(DATA_MASTER!$L$2:$L$5000,MATCH($C2010,DATA_MASTER!$D$2:$D$5000,0)),""))</f>
        <v/>
      </c>
      <c r="G2010" s="24" t="n"/>
      <c r="H2010" s="24" t="n"/>
      <c r="I2010" s="30" t="n"/>
      <c r="J2010" s="23">
        <f>IF(OR($H2010="",$I2010=""),"",$H2010*$I2010)</f>
        <v/>
      </c>
      <c r="K2010" s="24" t="n"/>
      <c r="L2010" s="24" t="n"/>
      <c r="M2010" s="29" t="n"/>
      <c r="N2010" s="28" t="n"/>
      <c r="O2010" s="24" t="n"/>
      <c r="P2010" s="24" t="n"/>
      <c r="Q2010" s="24" t="n"/>
      <c r="R2010" s="24" t="n"/>
      <c r="S2010" s="22">
        <f>IF(AND($A2010="",$C2010=""),"",IF($A2010="","Thiếu mã đơn; ","")&amp;IF(COUNTIF($A$2:$A2010,$A2010)&gt;1,"Trùng mã đơn; ","")&amp;IF(ISNA(MATCH($C2010,DATA_MASTER!$D$2:$D$5000,0)),"SĐT chưa đăng ký hội viên; ","")&amp;IF(AND($L2010="Đã chuyển khoản",$M2010=""),"Thiếu ngày nhận CK; ",""))</f>
        <v/>
      </c>
      <c r="T2010" s="24" t="n"/>
    </row>
    <row r="2011" ht="14.25" customHeight="1" s="40">
      <c r="A2011" s="24" t="n"/>
      <c r="B2011" s="29" t="n"/>
      <c r="C2011" s="28" t="n"/>
      <c r="D2011" s="22">
        <f t="array" ref="D2011">IF($C2011="","",IFERROR(INDEX(DATA_MASTER!$C$2:$C$5000,MATCH($C2011,DATA_MASTER!$D$2:$D$5000,0)),""))</f>
        <v/>
      </c>
      <c r="E2011" s="22">
        <f t="array" ref="E2011">IF($C2011="","",IFERROR(INDEX(DATA_MASTER!$I$2:$I$5000,MATCH($C2011,DATA_MASTER!$D$2:$D$5000,0)),""))</f>
        <v/>
      </c>
      <c r="F2011" s="22">
        <f t="array" ref="F2011">IF($C2011="","",IFERROR(INDEX(DATA_MASTER!$L$2:$L$5000,MATCH($C2011,DATA_MASTER!$D$2:$D$5000,0)),""))</f>
        <v/>
      </c>
      <c r="G2011" s="24" t="n"/>
      <c r="H2011" s="24" t="n"/>
      <c r="I2011" s="30" t="n"/>
      <c r="J2011" s="23">
        <f>IF(OR($H2011="",$I2011=""),"",$H2011*$I2011)</f>
        <v/>
      </c>
      <c r="K2011" s="24" t="n"/>
      <c r="L2011" s="24" t="n"/>
      <c r="M2011" s="29" t="n"/>
      <c r="N2011" s="28" t="n"/>
      <c r="O2011" s="24" t="n"/>
      <c r="P2011" s="24" t="n"/>
      <c r="Q2011" s="24" t="n"/>
      <c r="R2011" s="24" t="n"/>
      <c r="S2011" s="22">
        <f>IF(AND($A2011="",$C2011=""),"",IF($A2011="","Thiếu mã đơn; ","")&amp;IF(COUNTIF($A$2:$A2011,$A2011)&gt;1,"Trùng mã đơn; ","")&amp;IF(ISNA(MATCH($C2011,DATA_MASTER!$D$2:$D$5000,0)),"SĐT chưa đăng ký hội viên; ","")&amp;IF(AND($L2011="Đã chuyển khoản",$M2011=""),"Thiếu ngày nhận CK; ",""))</f>
        <v/>
      </c>
      <c r="T2011" s="24" t="n"/>
    </row>
    <row r="2012" ht="14.25" customHeight="1" s="40">
      <c r="A2012" s="24" t="n"/>
      <c r="B2012" s="29" t="n"/>
      <c r="C2012" s="28" t="n"/>
      <c r="D2012" s="22">
        <f t="array" ref="D2012">IF($C2012="","",IFERROR(INDEX(DATA_MASTER!$C$2:$C$5000,MATCH($C2012,DATA_MASTER!$D$2:$D$5000,0)),""))</f>
        <v/>
      </c>
      <c r="E2012" s="22">
        <f t="array" ref="E2012">IF($C2012="","",IFERROR(INDEX(DATA_MASTER!$I$2:$I$5000,MATCH($C2012,DATA_MASTER!$D$2:$D$5000,0)),""))</f>
        <v/>
      </c>
      <c r="F2012" s="22">
        <f t="array" ref="F2012">IF($C2012="","",IFERROR(INDEX(DATA_MASTER!$L$2:$L$5000,MATCH($C2012,DATA_MASTER!$D$2:$D$5000,0)),""))</f>
        <v/>
      </c>
      <c r="G2012" s="24" t="n"/>
      <c r="H2012" s="24" t="n"/>
      <c r="I2012" s="30" t="n"/>
      <c r="J2012" s="23">
        <f>IF(OR($H2012="",$I2012=""),"",$H2012*$I2012)</f>
        <v/>
      </c>
      <c r="K2012" s="24" t="n"/>
      <c r="L2012" s="24" t="n"/>
      <c r="M2012" s="29" t="n"/>
      <c r="N2012" s="28" t="n"/>
      <c r="O2012" s="24" t="n"/>
      <c r="P2012" s="24" t="n"/>
      <c r="Q2012" s="24" t="n"/>
      <c r="R2012" s="24" t="n"/>
      <c r="S2012" s="22">
        <f>IF(AND($A2012="",$C2012=""),"",IF($A2012="","Thiếu mã đơn; ","")&amp;IF(COUNTIF($A$2:$A2012,$A2012)&gt;1,"Trùng mã đơn; ","")&amp;IF(ISNA(MATCH($C2012,DATA_MASTER!$D$2:$D$5000,0)),"SĐT chưa đăng ký hội viên; ","")&amp;IF(AND($L2012="Đã chuyển khoản",$M2012=""),"Thiếu ngày nhận CK; ",""))</f>
        <v/>
      </c>
      <c r="T2012" s="24" t="n"/>
    </row>
    <row r="2013" ht="14.25" customHeight="1" s="40">
      <c r="A2013" s="24" t="n"/>
      <c r="B2013" s="29" t="n"/>
      <c r="C2013" s="28" t="n"/>
      <c r="D2013" s="22">
        <f t="array" ref="D2013">IF($C2013="","",IFERROR(INDEX(DATA_MASTER!$C$2:$C$5000,MATCH($C2013,DATA_MASTER!$D$2:$D$5000,0)),""))</f>
        <v/>
      </c>
      <c r="E2013" s="22">
        <f t="array" ref="E2013">IF($C2013="","",IFERROR(INDEX(DATA_MASTER!$I$2:$I$5000,MATCH($C2013,DATA_MASTER!$D$2:$D$5000,0)),""))</f>
        <v/>
      </c>
      <c r="F2013" s="22">
        <f t="array" ref="F2013">IF($C2013="","",IFERROR(INDEX(DATA_MASTER!$L$2:$L$5000,MATCH($C2013,DATA_MASTER!$D$2:$D$5000,0)),""))</f>
        <v/>
      </c>
      <c r="G2013" s="24" t="n"/>
      <c r="H2013" s="24" t="n"/>
      <c r="I2013" s="30" t="n"/>
      <c r="J2013" s="23">
        <f>IF(OR($H2013="",$I2013=""),"",$H2013*$I2013)</f>
        <v/>
      </c>
      <c r="K2013" s="24" t="n"/>
      <c r="L2013" s="24" t="n"/>
      <c r="M2013" s="29" t="n"/>
      <c r="N2013" s="28" t="n"/>
      <c r="O2013" s="24" t="n"/>
      <c r="P2013" s="24" t="n"/>
      <c r="Q2013" s="24" t="n"/>
      <c r="R2013" s="24" t="n"/>
      <c r="S2013" s="22">
        <f>IF(AND($A2013="",$C2013=""),"",IF($A2013="","Thiếu mã đơn; ","")&amp;IF(COUNTIF($A$2:$A2013,$A2013)&gt;1,"Trùng mã đơn; ","")&amp;IF(ISNA(MATCH($C2013,DATA_MASTER!$D$2:$D$5000,0)),"SĐT chưa đăng ký hội viên; ","")&amp;IF(AND($L2013="Đã chuyển khoản",$M2013=""),"Thiếu ngày nhận CK; ",""))</f>
        <v/>
      </c>
      <c r="T2013" s="24" t="n"/>
    </row>
    <row r="2014" ht="14.25" customHeight="1" s="40">
      <c r="A2014" s="24" t="n"/>
      <c r="B2014" s="29" t="n"/>
      <c r="C2014" s="28" t="n"/>
      <c r="D2014" s="22">
        <f t="array" ref="D2014">IF($C2014="","",IFERROR(INDEX(DATA_MASTER!$C$2:$C$5000,MATCH($C2014,DATA_MASTER!$D$2:$D$5000,0)),""))</f>
        <v/>
      </c>
      <c r="E2014" s="22">
        <f t="array" ref="E2014">IF($C2014="","",IFERROR(INDEX(DATA_MASTER!$I$2:$I$5000,MATCH($C2014,DATA_MASTER!$D$2:$D$5000,0)),""))</f>
        <v/>
      </c>
      <c r="F2014" s="22">
        <f t="array" ref="F2014">IF($C2014="","",IFERROR(INDEX(DATA_MASTER!$L$2:$L$5000,MATCH($C2014,DATA_MASTER!$D$2:$D$5000,0)),""))</f>
        <v/>
      </c>
      <c r="G2014" s="24" t="n"/>
      <c r="H2014" s="24" t="n"/>
      <c r="I2014" s="30" t="n"/>
      <c r="J2014" s="23">
        <f>IF(OR($H2014="",$I2014=""),"",$H2014*$I2014)</f>
        <v/>
      </c>
      <c r="K2014" s="24" t="n"/>
      <c r="L2014" s="24" t="n"/>
      <c r="M2014" s="29" t="n"/>
      <c r="N2014" s="28" t="n"/>
      <c r="O2014" s="24" t="n"/>
      <c r="P2014" s="24" t="n"/>
      <c r="Q2014" s="24" t="n"/>
      <c r="R2014" s="24" t="n"/>
      <c r="S2014" s="22">
        <f>IF(AND($A2014="",$C2014=""),"",IF($A2014="","Thiếu mã đơn; ","")&amp;IF(COUNTIF($A$2:$A2014,$A2014)&gt;1,"Trùng mã đơn; ","")&amp;IF(ISNA(MATCH($C2014,DATA_MASTER!$D$2:$D$5000,0)),"SĐT chưa đăng ký hội viên; ","")&amp;IF(AND($L2014="Đã chuyển khoản",$M2014=""),"Thiếu ngày nhận CK; ",""))</f>
        <v/>
      </c>
      <c r="T2014" s="24" t="n"/>
    </row>
    <row r="2015" ht="14.25" customHeight="1" s="40">
      <c r="A2015" s="24" t="n"/>
      <c r="B2015" s="29" t="n"/>
      <c r="C2015" s="28" t="n"/>
      <c r="D2015" s="22">
        <f t="array" ref="D2015">IF($C2015="","",IFERROR(INDEX(DATA_MASTER!$C$2:$C$5000,MATCH($C2015,DATA_MASTER!$D$2:$D$5000,0)),""))</f>
        <v/>
      </c>
      <c r="E2015" s="22">
        <f t="array" ref="E2015">IF($C2015="","",IFERROR(INDEX(DATA_MASTER!$I$2:$I$5000,MATCH($C2015,DATA_MASTER!$D$2:$D$5000,0)),""))</f>
        <v/>
      </c>
      <c r="F2015" s="22">
        <f t="array" ref="F2015">IF($C2015="","",IFERROR(INDEX(DATA_MASTER!$L$2:$L$5000,MATCH($C2015,DATA_MASTER!$D$2:$D$5000,0)),""))</f>
        <v/>
      </c>
      <c r="G2015" s="24" t="n"/>
      <c r="H2015" s="24" t="n"/>
      <c r="I2015" s="30" t="n"/>
      <c r="J2015" s="23">
        <f>IF(OR($H2015="",$I2015=""),"",$H2015*$I2015)</f>
        <v/>
      </c>
      <c r="K2015" s="24" t="n"/>
      <c r="L2015" s="24" t="n"/>
      <c r="M2015" s="29" t="n"/>
      <c r="N2015" s="28" t="n"/>
      <c r="O2015" s="24" t="n"/>
      <c r="P2015" s="24" t="n"/>
      <c r="Q2015" s="24" t="n"/>
      <c r="R2015" s="24" t="n"/>
      <c r="S2015" s="22">
        <f>IF(AND($A2015="",$C2015=""),"",IF($A2015="","Thiếu mã đơn; ","")&amp;IF(COUNTIF($A$2:$A2015,$A2015)&gt;1,"Trùng mã đơn; ","")&amp;IF(ISNA(MATCH($C2015,DATA_MASTER!$D$2:$D$5000,0)),"SĐT chưa đăng ký hội viên; ","")&amp;IF(AND($L2015="Đã chuyển khoản",$M2015=""),"Thiếu ngày nhận CK; ",""))</f>
        <v/>
      </c>
      <c r="T2015" s="24" t="n"/>
    </row>
    <row r="2016" ht="14.25" customHeight="1" s="40">
      <c r="A2016" s="24" t="n"/>
      <c r="B2016" s="29" t="n"/>
      <c r="C2016" s="28" t="n"/>
      <c r="D2016" s="22">
        <f t="array" ref="D2016">IF($C2016="","",IFERROR(INDEX(DATA_MASTER!$C$2:$C$5000,MATCH($C2016,DATA_MASTER!$D$2:$D$5000,0)),""))</f>
        <v/>
      </c>
      <c r="E2016" s="22">
        <f t="array" ref="E2016">IF($C2016="","",IFERROR(INDEX(DATA_MASTER!$I$2:$I$5000,MATCH($C2016,DATA_MASTER!$D$2:$D$5000,0)),""))</f>
        <v/>
      </c>
      <c r="F2016" s="22">
        <f t="array" ref="F2016">IF($C2016="","",IFERROR(INDEX(DATA_MASTER!$L$2:$L$5000,MATCH($C2016,DATA_MASTER!$D$2:$D$5000,0)),""))</f>
        <v/>
      </c>
      <c r="G2016" s="24" t="n"/>
      <c r="H2016" s="24" t="n"/>
      <c r="I2016" s="30" t="n"/>
      <c r="J2016" s="23">
        <f>IF(OR($H2016="",$I2016=""),"",$H2016*$I2016)</f>
        <v/>
      </c>
      <c r="K2016" s="24" t="n"/>
      <c r="L2016" s="24" t="n"/>
      <c r="M2016" s="29" t="n"/>
      <c r="N2016" s="28" t="n"/>
      <c r="O2016" s="24" t="n"/>
      <c r="P2016" s="24" t="n"/>
      <c r="Q2016" s="24" t="n"/>
      <c r="R2016" s="24" t="n"/>
      <c r="S2016" s="22">
        <f>IF(AND($A2016="",$C2016=""),"",IF($A2016="","Thiếu mã đơn; ","")&amp;IF(COUNTIF($A$2:$A2016,$A2016)&gt;1,"Trùng mã đơn; ","")&amp;IF(ISNA(MATCH($C2016,DATA_MASTER!$D$2:$D$5000,0)),"SĐT chưa đăng ký hội viên; ","")&amp;IF(AND($L2016="Đã chuyển khoản",$M2016=""),"Thiếu ngày nhận CK; ",""))</f>
        <v/>
      </c>
      <c r="T2016" s="24" t="n"/>
    </row>
    <row r="2017" ht="14.25" customHeight="1" s="40">
      <c r="A2017" s="24" t="n"/>
      <c r="B2017" s="29" t="n"/>
      <c r="C2017" s="28" t="n"/>
      <c r="D2017" s="22">
        <f t="array" ref="D2017">IF($C2017="","",IFERROR(INDEX(DATA_MASTER!$C$2:$C$5000,MATCH($C2017,DATA_MASTER!$D$2:$D$5000,0)),""))</f>
        <v/>
      </c>
      <c r="E2017" s="22">
        <f t="array" ref="E2017">IF($C2017="","",IFERROR(INDEX(DATA_MASTER!$I$2:$I$5000,MATCH($C2017,DATA_MASTER!$D$2:$D$5000,0)),""))</f>
        <v/>
      </c>
      <c r="F2017" s="22">
        <f t="array" ref="F2017">IF($C2017="","",IFERROR(INDEX(DATA_MASTER!$L$2:$L$5000,MATCH($C2017,DATA_MASTER!$D$2:$D$5000,0)),""))</f>
        <v/>
      </c>
      <c r="G2017" s="24" t="n"/>
      <c r="H2017" s="24" t="n"/>
      <c r="I2017" s="30" t="n"/>
      <c r="J2017" s="23">
        <f>IF(OR($H2017="",$I2017=""),"",$H2017*$I2017)</f>
        <v/>
      </c>
      <c r="K2017" s="24" t="n"/>
      <c r="L2017" s="24" t="n"/>
      <c r="M2017" s="29" t="n"/>
      <c r="N2017" s="28" t="n"/>
      <c r="O2017" s="24" t="n"/>
      <c r="P2017" s="24" t="n"/>
      <c r="Q2017" s="24" t="n"/>
      <c r="R2017" s="24" t="n"/>
      <c r="S2017" s="22">
        <f>IF(AND($A2017="",$C2017=""),"",IF($A2017="","Thiếu mã đơn; ","")&amp;IF(COUNTIF($A$2:$A2017,$A2017)&gt;1,"Trùng mã đơn; ","")&amp;IF(ISNA(MATCH($C2017,DATA_MASTER!$D$2:$D$5000,0)),"SĐT chưa đăng ký hội viên; ","")&amp;IF(AND($L2017="Đã chuyển khoản",$M2017=""),"Thiếu ngày nhận CK; ",""))</f>
        <v/>
      </c>
      <c r="T2017" s="24" t="n"/>
    </row>
    <row r="2018" ht="14.25" customHeight="1" s="40">
      <c r="A2018" s="24" t="n"/>
      <c r="B2018" s="29" t="n"/>
      <c r="C2018" s="28" t="n"/>
      <c r="D2018" s="22">
        <f t="array" ref="D2018">IF($C2018="","",IFERROR(INDEX(DATA_MASTER!$C$2:$C$5000,MATCH($C2018,DATA_MASTER!$D$2:$D$5000,0)),""))</f>
        <v/>
      </c>
      <c r="E2018" s="22">
        <f t="array" ref="E2018">IF($C2018="","",IFERROR(INDEX(DATA_MASTER!$I$2:$I$5000,MATCH($C2018,DATA_MASTER!$D$2:$D$5000,0)),""))</f>
        <v/>
      </c>
      <c r="F2018" s="22">
        <f t="array" ref="F2018">IF($C2018="","",IFERROR(INDEX(DATA_MASTER!$L$2:$L$5000,MATCH($C2018,DATA_MASTER!$D$2:$D$5000,0)),""))</f>
        <v/>
      </c>
      <c r="G2018" s="24" t="n"/>
      <c r="H2018" s="24" t="n"/>
      <c r="I2018" s="30" t="n"/>
      <c r="J2018" s="23">
        <f>IF(OR($H2018="",$I2018=""),"",$H2018*$I2018)</f>
        <v/>
      </c>
      <c r="K2018" s="24" t="n"/>
      <c r="L2018" s="24" t="n"/>
      <c r="M2018" s="29" t="n"/>
      <c r="N2018" s="28" t="n"/>
      <c r="O2018" s="24" t="n"/>
      <c r="P2018" s="24" t="n"/>
      <c r="Q2018" s="24" t="n"/>
      <c r="R2018" s="24" t="n"/>
      <c r="S2018" s="22">
        <f>IF(AND($A2018="",$C2018=""),"",IF($A2018="","Thiếu mã đơn; ","")&amp;IF(COUNTIF($A$2:$A2018,$A2018)&gt;1,"Trùng mã đơn; ","")&amp;IF(ISNA(MATCH($C2018,DATA_MASTER!$D$2:$D$5000,0)),"SĐT chưa đăng ký hội viên; ","")&amp;IF(AND($L2018="Đã chuyển khoản",$M2018=""),"Thiếu ngày nhận CK; ",""))</f>
        <v/>
      </c>
      <c r="T2018" s="24" t="n"/>
    </row>
    <row r="2019" ht="14.25" customHeight="1" s="40">
      <c r="A2019" s="24" t="n"/>
      <c r="B2019" s="29" t="n"/>
      <c r="C2019" s="28" t="n"/>
      <c r="D2019" s="22">
        <f t="array" ref="D2019">IF($C2019="","",IFERROR(INDEX(DATA_MASTER!$C$2:$C$5000,MATCH($C2019,DATA_MASTER!$D$2:$D$5000,0)),""))</f>
        <v/>
      </c>
      <c r="E2019" s="22">
        <f t="array" ref="E2019">IF($C2019="","",IFERROR(INDEX(DATA_MASTER!$I$2:$I$5000,MATCH($C2019,DATA_MASTER!$D$2:$D$5000,0)),""))</f>
        <v/>
      </c>
      <c r="F2019" s="22">
        <f t="array" ref="F2019">IF($C2019="","",IFERROR(INDEX(DATA_MASTER!$L$2:$L$5000,MATCH($C2019,DATA_MASTER!$D$2:$D$5000,0)),""))</f>
        <v/>
      </c>
      <c r="G2019" s="24" t="n"/>
      <c r="H2019" s="24" t="n"/>
      <c r="I2019" s="30" t="n"/>
      <c r="J2019" s="23">
        <f>IF(OR($H2019="",$I2019=""),"",$H2019*$I2019)</f>
        <v/>
      </c>
      <c r="K2019" s="24" t="n"/>
      <c r="L2019" s="24" t="n"/>
      <c r="M2019" s="29" t="n"/>
      <c r="N2019" s="28" t="n"/>
      <c r="O2019" s="24" t="n"/>
      <c r="P2019" s="24" t="n"/>
      <c r="Q2019" s="24" t="n"/>
      <c r="R2019" s="24" t="n"/>
      <c r="S2019" s="22">
        <f>IF(AND($A2019="",$C2019=""),"",IF($A2019="","Thiếu mã đơn; ","")&amp;IF(COUNTIF($A$2:$A2019,$A2019)&gt;1,"Trùng mã đơn; ","")&amp;IF(ISNA(MATCH($C2019,DATA_MASTER!$D$2:$D$5000,0)),"SĐT chưa đăng ký hội viên; ","")&amp;IF(AND($L2019="Đã chuyển khoản",$M2019=""),"Thiếu ngày nhận CK; ",""))</f>
        <v/>
      </c>
      <c r="T2019" s="24" t="n"/>
    </row>
    <row r="2020" ht="14.25" customHeight="1" s="40">
      <c r="A2020" s="24" t="n"/>
      <c r="B2020" s="29" t="n"/>
      <c r="C2020" s="28" t="n"/>
      <c r="D2020" s="22">
        <f t="array" ref="D2020">IF($C2020="","",IFERROR(INDEX(DATA_MASTER!$C$2:$C$5000,MATCH($C2020,DATA_MASTER!$D$2:$D$5000,0)),""))</f>
        <v/>
      </c>
      <c r="E2020" s="22">
        <f t="array" ref="E2020">IF($C2020="","",IFERROR(INDEX(DATA_MASTER!$I$2:$I$5000,MATCH($C2020,DATA_MASTER!$D$2:$D$5000,0)),""))</f>
        <v/>
      </c>
      <c r="F2020" s="22">
        <f t="array" ref="F2020">IF($C2020="","",IFERROR(INDEX(DATA_MASTER!$L$2:$L$5000,MATCH($C2020,DATA_MASTER!$D$2:$D$5000,0)),""))</f>
        <v/>
      </c>
      <c r="G2020" s="24" t="n"/>
      <c r="H2020" s="24" t="n"/>
      <c r="I2020" s="30" t="n"/>
      <c r="J2020" s="23">
        <f>IF(OR($H2020="",$I2020=""),"",$H2020*$I2020)</f>
        <v/>
      </c>
      <c r="K2020" s="24" t="n"/>
      <c r="L2020" s="24" t="n"/>
      <c r="M2020" s="29" t="n"/>
      <c r="N2020" s="28" t="n"/>
      <c r="O2020" s="24" t="n"/>
      <c r="P2020" s="24" t="n"/>
      <c r="Q2020" s="24" t="n"/>
      <c r="R2020" s="24" t="n"/>
      <c r="S2020" s="22">
        <f>IF(AND($A2020="",$C2020=""),"",IF($A2020="","Thiếu mã đơn; ","")&amp;IF(COUNTIF($A$2:$A2020,$A2020)&gt;1,"Trùng mã đơn; ","")&amp;IF(ISNA(MATCH($C2020,DATA_MASTER!$D$2:$D$5000,0)),"SĐT chưa đăng ký hội viên; ","")&amp;IF(AND($L2020="Đã chuyển khoản",$M2020=""),"Thiếu ngày nhận CK; ",""))</f>
        <v/>
      </c>
      <c r="T2020" s="24" t="n"/>
    </row>
    <row r="2021" ht="14.25" customHeight="1" s="40">
      <c r="A2021" s="24" t="n"/>
      <c r="B2021" s="29" t="n"/>
      <c r="C2021" s="28" t="n"/>
      <c r="D2021" s="22">
        <f t="array" ref="D2021">IF($C2021="","",IFERROR(INDEX(DATA_MASTER!$C$2:$C$5000,MATCH($C2021,DATA_MASTER!$D$2:$D$5000,0)),""))</f>
        <v/>
      </c>
      <c r="E2021" s="22">
        <f t="array" ref="E2021">IF($C2021="","",IFERROR(INDEX(DATA_MASTER!$I$2:$I$5000,MATCH($C2021,DATA_MASTER!$D$2:$D$5000,0)),""))</f>
        <v/>
      </c>
      <c r="F2021" s="22">
        <f t="array" ref="F2021">IF($C2021="","",IFERROR(INDEX(DATA_MASTER!$L$2:$L$5000,MATCH($C2021,DATA_MASTER!$D$2:$D$5000,0)),""))</f>
        <v/>
      </c>
      <c r="G2021" s="24" t="n"/>
      <c r="H2021" s="24" t="n"/>
      <c r="I2021" s="30" t="n"/>
      <c r="J2021" s="23">
        <f>IF(OR($H2021="",$I2021=""),"",$H2021*$I2021)</f>
        <v/>
      </c>
      <c r="K2021" s="24" t="n"/>
      <c r="L2021" s="24" t="n"/>
      <c r="M2021" s="29" t="n"/>
      <c r="N2021" s="28" t="n"/>
      <c r="O2021" s="24" t="n"/>
      <c r="P2021" s="24" t="n"/>
      <c r="Q2021" s="24" t="n"/>
      <c r="R2021" s="24" t="n"/>
      <c r="S2021" s="22">
        <f>IF(AND($A2021="",$C2021=""),"",IF($A2021="","Thiếu mã đơn; ","")&amp;IF(COUNTIF($A$2:$A2021,$A2021)&gt;1,"Trùng mã đơn; ","")&amp;IF(ISNA(MATCH($C2021,DATA_MASTER!$D$2:$D$5000,0)),"SĐT chưa đăng ký hội viên; ","")&amp;IF(AND($L2021="Đã chuyển khoản",$M2021=""),"Thiếu ngày nhận CK; ",""))</f>
        <v/>
      </c>
      <c r="T2021" s="24" t="n"/>
    </row>
    <row r="2022" ht="14.25" customHeight="1" s="40">
      <c r="A2022" s="24" t="n"/>
      <c r="B2022" s="29" t="n"/>
      <c r="C2022" s="28" t="n"/>
      <c r="D2022" s="22">
        <f t="array" ref="D2022">IF($C2022="","",IFERROR(INDEX(DATA_MASTER!$C$2:$C$5000,MATCH($C2022,DATA_MASTER!$D$2:$D$5000,0)),""))</f>
        <v/>
      </c>
      <c r="E2022" s="22">
        <f t="array" ref="E2022">IF($C2022="","",IFERROR(INDEX(DATA_MASTER!$I$2:$I$5000,MATCH($C2022,DATA_MASTER!$D$2:$D$5000,0)),""))</f>
        <v/>
      </c>
      <c r="F2022" s="22">
        <f t="array" ref="F2022">IF($C2022="","",IFERROR(INDEX(DATA_MASTER!$L$2:$L$5000,MATCH($C2022,DATA_MASTER!$D$2:$D$5000,0)),""))</f>
        <v/>
      </c>
      <c r="G2022" s="24" t="n"/>
      <c r="H2022" s="24" t="n"/>
      <c r="I2022" s="30" t="n"/>
      <c r="J2022" s="23">
        <f>IF(OR($H2022="",$I2022=""),"",$H2022*$I2022)</f>
        <v/>
      </c>
      <c r="K2022" s="24" t="n"/>
      <c r="L2022" s="24" t="n"/>
      <c r="M2022" s="29" t="n"/>
      <c r="N2022" s="28" t="n"/>
      <c r="O2022" s="24" t="n"/>
      <c r="P2022" s="24" t="n"/>
      <c r="Q2022" s="24" t="n"/>
      <c r="R2022" s="24" t="n"/>
      <c r="S2022" s="22">
        <f>IF(AND($A2022="",$C2022=""),"",IF($A2022="","Thiếu mã đơn; ","")&amp;IF(COUNTIF($A$2:$A2022,$A2022)&gt;1,"Trùng mã đơn; ","")&amp;IF(ISNA(MATCH($C2022,DATA_MASTER!$D$2:$D$5000,0)),"SĐT chưa đăng ký hội viên; ","")&amp;IF(AND($L2022="Đã chuyển khoản",$M2022=""),"Thiếu ngày nhận CK; ",""))</f>
        <v/>
      </c>
      <c r="T2022" s="24" t="n"/>
    </row>
    <row r="2023" ht="14.25" customHeight="1" s="40">
      <c r="A2023" s="24" t="n"/>
      <c r="B2023" s="29" t="n"/>
      <c r="C2023" s="28" t="n"/>
      <c r="D2023" s="22">
        <f t="array" ref="D2023">IF($C2023="","",IFERROR(INDEX(DATA_MASTER!$C$2:$C$5000,MATCH($C2023,DATA_MASTER!$D$2:$D$5000,0)),""))</f>
        <v/>
      </c>
      <c r="E2023" s="22">
        <f t="array" ref="E2023">IF($C2023="","",IFERROR(INDEX(DATA_MASTER!$I$2:$I$5000,MATCH($C2023,DATA_MASTER!$D$2:$D$5000,0)),""))</f>
        <v/>
      </c>
      <c r="F2023" s="22">
        <f t="array" ref="F2023">IF($C2023="","",IFERROR(INDEX(DATA_MASTER!$L$2:$L$5000,MATCH($C2023,DATA_MASTER!$D$2:$D$5000,0)),""))</f>
        <v/>
      </c>
      <c r="G2023" s="24" t="n"/>
      <c r="H2023" s="24" t="n"/>
      <c r="I2023" s="30" t="n"/>
      <c r="J2023" s="23">
        <f>IF(OR($H2023="",$I2023=""),"",$H2023*$I2023)</f>
        <v/>
      </c>
      <c r="K2023" s="24" t="n"/>
      <c r="L2023" s="24" t="n"/>
      <c r="M2023" s="29" t="n"/>
      <c r="N2023" s="28" t="n"/>
      <c r="O2023" s="24" t="n"/>
      <c r="P2023" s="24" t="n"/>
      <c r="Q2023" s="24" t="n"/>
      <c r="R2023" s="24" t="n"/>
      <c r="S2023" s="22">
        <f>IF(AND($A2023="",$C2023=""),"",IF($A2023="","Thiếu mã đơn; ","")&amp;IF(COUNTIF($A$2:$A2023,$A2023)&gt;1,"Trùng mã đơn; ","")&amp;IF(ISNA(MATCH($C2023,DATA_MASTER!$D$2:$D$5000,0)),"SĐT chưa đăng ký hội viên; ","")&amp;IF(AND($L2023="Đã chuyển khoản",$M2023=""),"Thiếu ngày nhận CK; ",""))</f>
        <v/>
      </c>
      <c r="T2023" s="24" t="n"/>
    </row>
    <row r="2024" ht="14.25" customHeight="1" s="40">
      <c r="A2024" s="24" t="n"/>
      <c r="B2024" s="29" t="n"/>
      <c r="C2024" s="28" t="n"/>
      <c r="D2024" s="22">
        <f t="array" ref="D2024">IF($C2024="","",IFERROR(INDEX(DATA_MASTER!$C$2:$C$5000,MATCH($C2024,DATA_MASTER!$D$2:$D$5000,0)),""))</f>
        <v/>
      </c>
      <c r="E2024" s="22">
        <f t="array" ref="E2024">IF($C2024="","",IFERROR(INDEX(DATA_MASTER!$I$2:$I$5000,MATCH($C2024,DATA_MASTER!$D$2:$D$5000,0)),""))</f>
        <v/>
      </c>
      <c r="F2024" s="22">
        <f t="array" ref="F2024">IF($C2024="","",IFERROR(INDEX(DATA_MASTER!$L$2:$L$5000,MATCH($C2024,DATA_MASTER!$D$2:$D$5000,0)),""))</f>
        <v/>
      </c>
      <c r="G2024" s="24" t="n"/>
      <c r="H2024" s="24" t="n"/>
      <c r="I2024" s="30" t="n"/>
      <c r="J2024" s="23">
        <f>IF(OR($H2024="",$I2024=""),"",$H2024*$I2024)</f>
        <v/>
      </c>
      <c r="K2024" s="24" t="n"/>
      <c r="L2024" s="24" t="n"/>
      <c r="M2024" s="29" t="n"/>
      <c r="N2024" s="28" t="n"/>
      <c r="O2024" s="24" t="n"/>
      <c r="P2024" s="24" t="n"/>
      <c r="Q2024" s="24" t="n"/>
      <c r="R2024" s="24" t="n"/>
      <c r="S2024" s="22">
        <f>IF(AND($A2024="",$C2024=""),"",IF($A2024="","Thiếu mã đơn; ","")&amp;IF(COUNTIF($A$2:$A2024,$A2024)&gt;1,"Trùng mã đơn; ","")&amp;IF(ISNA(MATCH($C2024,DATA_MASTER!$D$2:$D$5000,0)),"SĐT chưa đăng ký hội viên; ","")&amp;IF(AND($L2024="Đã chuyển khoản",$M2024=""),"Thiếu ngày nhận CK; ",""))</f>
        <v/>
      </c>
      <c r="T2024" s="24" t="n"/>
    </row>
    <row r="2025" ht="14.25" customHeight="1" s="40">
      <c r="A2025" s="24" t="n"/>
      <c r="B2025" s="29" t="n"/>
      <c r="C2025" s="28" t="n"/>
      <c r="D2025" s="22">
        <f t="array" ref="D2025">IF($C2025="","",IFERROR(INDEX(DATA_MASTER!$C$2:$C$5000,MATCH($C2025,DATA_MASTER!$D$2:$D$5000,0)),""))</f>
        <v/>
      </c>
      <c r="E2025" s="22">
        <f t="array" ref="E2025">IF($C2025="","",IFERROR(INDEX(DATA_MASTER!$I$2:$I$5000,MATCH($C2025,DATA_MASTER!$D$2:$D$5000,0)),""))</f>
        <v/>
      </c>
      <c r="F2025" s="22">
        <f t="array" ref="F2025">IF($C2025="","",IFERROR(INDEX(DATA_MASTER!$L$2:$L$5000,MATCH($C2025,DATA_MASTER!$D$2:$D$5000,0)),""))</f>
        <v/>
      </c>
      <c r="G2025" s="24" t="n"/>
      <c r="H2025" s="24" t="n"/>
      <c r="I2025" s="30" t="n"/>
      <c r="J2025" s="23">
        <f>IF(OR($H2025="",$I2025=""),"",$H2025*$I2025)</f>
        <v/>
      </c>
      <c r="K2025" s="24" t="n"/>
      <c r="L2025" s="24" t="n"/>
      <c r="M2025" s="29" t="n"/>
      <c r="N2025" s="28" t="n"/>
      <c r="O2025" s="24" t="n"/>
      <c r="P2025" s="24" t="n"/>
      <c r="Q2025" s="24" t="n"/>
      <c r="R2025" s="24" t="n"/>
      <c r="S2025" s="22">
        <f>IF(AND($A2025="",$C2025=""),"",IF($A2025="","Thiếu mã đơn; ","")&amp;IF(COUNTIF($A$2:$A2025,$A2025)&gt;1,"Trùng mã đơn; ","")&amp;IF(ISNA(MATCH($C2025,DATA_MASTER!$D$2:$D$5000,0)),"SĐT chưa đăng ký hội viên; ","")&amp;IF(AND($L2025="Đã chuyển khoản",$M2025=""),"Thiếu ngày nhận CK; ",""))</f>
        <v/>
      </c>
      <c r="T2025" s="24" t="n"/>
    </row>
    <row r="2026" ht="14.25" customHeight="1" s="40">
      <c r="A2026" s="24" t="n"/>
      <c r="B2026" s="29" t="n"/>
      <c r="C2026" s="28" t="n"/>
      <c r="D2026" s="22">
        <f t="array" ref="D2026">IF($C2026="","",IFERROR(INDEX(DATA_MASTER!$C$2:$C$5000,MATCH($C2026,DATA_MASTER!$D$2:$D$5000,0)),""))</f>
        <v/>
      </c>
      <c r="E2026" s="22">
        <f t="array" ref="E2026">IF($C2026="","",IFERROR(INDEX(DATA_MASTER!$I$2:$I$5000,MATCH($C2026,DATA_MASTER!$D$2:$D$5000,0)),""))</f>
        <v/>
      </c>
      <c r="F2026" s="22">
        <f t="array" ref="F2026">IF($C2026="","",IFERROR(INDEX(DATA_MASTER!$L$2:$L$5000,MATCH($C2026,DATA_MASTER!$D$2:$D$5000,0)),""))</f>
        <v/>
      </c>
      <c r="G2026" s="24" t="n"/>
      <c r="H2026" s="24" t="n"/>
      <c r="I2026" s="30" t="n"/>
      <c r="J2026" s="23">
        <f>IF(OR($H2026="",$I2026=""),"",$H2026*$I2026)</f>
        <v/>
      </c>
      <c r="K2026" s="24" t="n"/>
      <c r="L2026" s="24" t="n"/>
      <c r="M2026" s="29" t="n"/>
      <c r="N2026" s="28" t="n"/>
      <c r="O2026" s="24" t="n"/>
      <c r="P2026" s="24" t="n"/>
      <c r="Q2026" s="24" t="n"/>
      <c r="R2026" s="24" t="n"/>
      <c r="S2026" s="22">
        <f>IF(AND($A2026="",$C2026=""),"",IF($A2026="","Thiếu mã đơn; ","")&amp;IF(COUNTIF($A$2:$A2026,$A2026)&gt;1,"Trùng mã đơn; ","")&amp;IF(ISNA(MATCH($C2026,DATA_MASTER!$D$2:$D$5000,0)),"SĐT chưa đăng ký hội viên; ","")&amp;IF(AND($L2026="Đã chuyển khoản",$M2026=""),"Thiếu ngày nhận CK; ",""))</f>
        <v/>
      </c>
      <c r="T2026" s="24" t="n"/>
    </row>
    <row r="2027" ht="14.25" customHeight="1" s="40">
      <c r="A2027" s="24" t="n"/>
      <c r="B2027" s="29" t="n"/>
      <c r="C2027" s="28" t="n"/>
      <c r="D2027" s="22">
        <f t="array" ref="D2027">IF($C2027="","",IFERROR(INDEX(DATA_MASTER!$C$2:$C$5000,MATCH($C2027,DATA_MASTER!$D$2:$D$5000,0)),""))</f>
        <v/>
      </c>
      <c r="E2027" s="22">
        <f t="array" ref="E2027">IF($C2027="","",IFERROR(INDEX(DATA_MASTER!$I$2:$I$5000,MATCH($C2027,DATA_MASTER!$D$2:$D$5000,0)),""))</f>
        <v/>
      </c>
      <c r="F2027" s="22">
        <f t="array" ref="F2027">IF($C2027="","",IFERROR(INDEX(DATA_MASTER!$L$2:$L$5000,MATCH($C2027,DATA_MASTER!$D$2:$D$5000,0)),""))</f>
        <v/>
      </c>
      <c r="G2027" s="24" t="n"/>
      <c r="H2027" s="24" t="n"/>
      <c r="I2027" s="30" t="n"/>
      <c r="J2027" s="23">
        <f>IF(OR($H2027="",$I2027=""),"",$H2027*$I2027)</f>
        <v/>
      </c>
      <c r="K2027" s="24" t="n"/>
      <c r="L2027" s="24" t="n"/>
      <c r="M2027" s="29" t="n"/>
      <c r="N2027" s="28" t="n"/>
      <c r="O2027" s="24" t="n"/>
      <c r="P2027" s="24" t="n"/>
      <c r="Q2027" s="24" t="n"/>
      <c r="R2027" s="24" t="n"/>
      <c r="S2027" s="22">
        <f>IF(AND($A2027="",$C2027=""),"",IF($A2027="","Thiếu mã đơn; ","")&amp;IF(COUNTIF($A$2:$A2027,$A2027)&gt;1,"Trùng mã đơn; ","")&amp;IF(ISNA(MATCH($C2027,DATA_MASTER!$D$2:$D$5000,0)),"SĐT chưa đăng ký hội viên; ","")&amp;IF(AND($L2027="Đã chuyển khoản",$M2027=""),"Thiếu ngày nhận CK; ",""))</f>
        <v/>
      </c>
      <c r="T2027" s="24" t="n"/>
    </row>
    <row r="2028" ht="14.25" customHeight="1" s="40">
      <c r="A2028" s="24" t="n"/>
      <c r="B2028" s="29" t="n"/>
      <c r="C2028" s="28" t="n"/>
      <c r="D2028" s="22">
        <f t="array" ref="D2028">IF($C2028="","",IFERROR(INDEX(DATA_MASTER!$C$2:$C$5000,MATCH($C2028,DATA_MASTER!$D$2:$D$5000,0)),""))</f>
        <v/>
      </c>
      <c r="E2028" s="22">
        <f t="array" ref="E2028">IF($C2028="","",IFERROR(INDEX(DATA_MASTER!$I$2:$I$5000,MATCH($C2028,DATA_MASTER!$D$2:$D$5000,0)),""))</f>
        <v/>
      </c>
      <c r="F2028" s="22">
        <f t="array" ref="F2028">IF($C2028="","",IFERROR(INDEX(DATA_MASTER!$L$2:$L$5000,MATCH($C2028,DATA_MASTER!$D$2:$D$5000,0)),""))</f>
        <v/>
      </c>
      <c r="G2028" s="24" t="n"/>
      <c r="H2028" s="24" t="n"/>
      <c r="I2028" s="30" t="n"/>
      <c r="J2028" s="23">
        <f>IF(OR($H2028="",$I2028=""),"",$H2028*$I2028)</f>
        <v/>
      </c>
      <c r="K2028" s="24" t="n"/>
      <c r="L2028" s="24" t="n"/>
      <c r="M2028" s="29" t="n"/>
      <c r="N2028" s="28" t="n"/>
      <c r="O2028" s="24" t="n"/>
      <c r="P2028" s="24" t="n"/>
      <c r="Q2028" s="24" t="n"/>
      <c r="R2028" s="24" t="n"/>
      <c r="S2028" s="22">
        <f>IF(AND($A2028="",$C2028=""),"",IF($A2028="","Thiếu mã đơn; ","")&amp;IF(COUNTIF($A$2:$A2028,$A2028)&gt;1,"Trùng mã đơn; ","")&amp;IF(ISNA(MATCH($C2028,DATA_MASTER!$D$2:$D$5000,0)),"SĐT chưa đăng ký hội viên; ","")&amp;IF(AND($L2028="Đã chuyển khoản",$M2028=""),"Thiếu ngày nhận CK; ",""))</f>
        <v/>
      </c>
      <c r="T2028" s="24" t="n"/>
    </row>
    <row r="2029" ht="14.25" customHeight="1" s="40">
      <c r="A2029" s="24" t="n"/>
      <c r="B2029" s="29" t="n"/>
      <c r="C2029" s="28" t="n"/>
      <c r="D2029" s="22">
        <f t="array" ref="D2029">IF($C2029="","",IFERROR(INDEX(DATA_MASTER!$C$2:$C$5000,MATCH($C2029,DATA_MASTER!$D$2:$D$5000,0)),""))</f>
        <v/>
      </c>
      <c r="E2029" s="22">
        <f t="array" ref="E2029">IF($C2029="","",IFERROR(INDEX(DATA_MASTER!$I$2:$I$5000,MATCH($C2029,DATA_MASTER!$D$2:$D$5000,0)),""))</f>
        <v/>
      </c>
      <c r="F2029" s="22">
        <f t="array" ref="F2029">IF($C2029="","",IFERROR(INDEX(DATA_MASTER!$L$2:$L$5000,MATCH($C2029,DATA_MASTER!$D$2:$D$5000,0)),""))</f>
        <v/>
      </c>
      <c r="G2029" s="24" t="n"/>
      <c r="H2029" s="24" t="n"/>
      <c r="I2029" s="30" t="n"/>
      <c r="J2029" s="23">
        <f>IF(OR($H2029="",$I2029=""),"",$H2029*$I2029)</f>
        <v/>
      </c>
      <c r="K2029" s="24" t="n"/>
      <c r="L2029" s="24" t="n"/>
      <c r="M2029" s="29" t="n"/>
      <c r="N2029" s="28" t="n"/>
      <c r="O2029" s="24" t="n"/>
      <c r="P2029" s="24" t="n"/>
      <c r="Q2029" s="24" t="n"/>
      <c r="R2029" s="24" t="n"/>
      <c r="S2029" s="22">
        <f>IF(AND($A2029="",$C2029=""),"",IF($A2029="","Thiếu mã đơn; ","")&amp;IF(COUNTIF($A$2:$A2029,$A2029)&gt;1,"Trùng mã đơn; ","")&amp;IF(ISNA(MATCH($C2029,DATA_MASTER!$D$2:$D$5000,0)),"SĐT chưa đăng ký hội viên; ","")&amp;IF(AND($L2029="Đã chuyển khoản",$M2029=""),"Thiếu ngày nhận CK; ",""))</f>
        <v/>
      </c>
      <c r="T2029" s="24" t="n"/>
    </row>
    <row r="2030" ht="14.25" customHeight="1" s="40">
      <c r="A2030" s="24" t="n"/>
      <c r="B2030" s="29" t="n"/>
      <c r="C2030" s="28" t="n"/>
      <c r="D2030" s="22">
        <f t="array" ref="D2030">IF($C2030="","",IFERROR(INDEX(DATA_MASTER!$C$2:$C$5000,MATCH($C2030,DATA_MASTER!$D$2:$D$5000,0)),""))</f>
        <v/>
      </c>
      <c r="E2030" s="22">
        <f t="array" ref="E2030">IF($C2030="","",IFERROR(INDEX(DATA_MASTER!$I$2:$I$5000,MATCH($C2030,DATA_MASTER!$D$2:$D$5000,0)),""))</f>
        <v/>
      </c>
      <c r="F2030" s="22">
        <f t="array" ref="F2030">IF($C2030="","",IFERROR(INDEX(DATA_MASTER!$L$2:$L$5000,MATCH($C2030,DATA_MASTER!$D$2:$D$5000,0)),""))</f>
        <v/>
      </c>
      <c r="G2030" s="24" t="n"/>
      <c r="H2030" s="24" t="n"/>
      <c r="I2030" s="30" t="n"/>
      <c r="J2030" s="23">
        <f>IF(OR($H2030="",$I2030=""),"",$H2030*$I2030)</f>
        <v/>
      </c>
      <c r="K2030" s="24" t="n"/>
      <c r="L2030" s="24" t="n"/>
      <c r="M2030" s="29" t="n"/>
      <c r="N2030" s="28" t="n"/>
      <c r="O2030" s="24" t="n"/>
      <c r="P2030" s="24" t="n"/>
      <c r="Q2030" s="24" t="n"/>
      <c r="R2030" s="24" t="n"/>
      <c r="S2030" s="22">
        <f>IF(AND($A2030="",$C2030=""),"",IF($A2030="","Thiếu mã đơn; ","")&amp;IF(COUNTIF($A$2:$A2030,$A2030)&gt;1,"Trùng mã đơn; ","")&amp;IF(ISNA(MATCH($C2030,DATA_MASTER!$D$2:$D$5000,0)),"SĐT chưa đăng ký hội viên; ","")&amp;IF(AND($L2030="Đã chuyển khoản",$M2030=""),"Thiếu ngày nhận CK; ",""))</f>
        <v/>
      </c>
      <c r="T2030" s="24" t="n"/>
    </row>
    <row r="2031" ht="14.25" customHeight="1" s="40">
      <c r="A2031" s="24" t="n"/>
      <c r="B2031" s="29" t="n"/>
      <c r="C2031" s="28" t="n"/>
      <c r="D2031" s="22">
        <f t="array" ref="D2031">IF($C2031="","",IFERROR(INDEX(DATA_MASTER!$C$2:$C$5000,MATCH($C2031,DATA_MASTER!$D$2:$D$5000,0)),""))</f>
        <v/>
      </c>
      <c r="E2031" s="22">
        <f t="array" ref="E2031">IF($C2031="","",IFERROR(INDEX(DATA_MASTER!$I$2:$I$5000,MATCH($C2031,DATA_MASTER!$D$2:$D$5000,0)),""))</f>
        <v/>
      </c>
      <c r="F2031" s="22">
        <f t="array" ref="F2031">IF($C2031="","",IFERROR(INDEX(DATA_MASTER!$L$2:$L$5000,MATCH($C2031,DATA_MASTER!$D$2:$D$5000,0)),""))</f>
        <v/>
      </c>
      <c r="G2031" s="24" t="n"/>
      <c r="H2031" s="24" t="n"/>
      <c r="I2031" s="30" t="n"/>
      <c r="J2031" s="23">
        <f>IF(OR($H2031="",$I2031=""),"",$H2031*$I2031)</f>
        <v/>
      </c>
      <c r="K2031" s="24" t="n"/>
      <c r="L2031" s="24" t="n"/>
      <c r="M2031" s="29" t="n"/>
      <c r="N2031" s="28" t="n"/>
      <c r="O2031" s="24" t="n"/>
      <c r="P2031" s="24" t="n"/>
      <c r="Q2031" s="24" t="n"/>
      <c r="R2031" s="24" t="n"/>
      <c r="S2031" s="22">
        <f>IF(AND($A2031="",$C2031=""),"",IF($A2031="","Thiếu mã đơn; ","")&amp;IF(COUNTIF($A$2:$A2031,$A2031)&gt;1,"Trùng mã đơn; ","")&amp;IF(ISNA(MATCH($C2031,DATA_MASTER!$D$2:$D$5000,0)),"SĐT chưa đăng ký hội viên; ","")&amp;IF(AND($L2031="Đã chuyển khoản",$M2031=""),"Thiếu ngày nhận CK; ",""))</f>
        <v/>
      </c>
      <c r="T2031" s="24" t="n"/>
    </row>
    <row r="2032" ht="14.25" customHeight="1" s="40">
      <c r="A2032" s="24" t="n"/>
      <c r="B2032" s="29" t="n"/>
      <c r="C2032" s="28" t="n"/>
      <c r="D2032" s="22">
        <f t="array" ref="D2032">IF($C2032="","",IFERROR(INDEX(DATA_MASTER!$C$2:$C$5000,MATCH($C2032,DATA_MASTER!$D$2:$D$5000,0)),""))</f>
        <v/>
      </c>
      <c r="E2032" s="22">
        <f t="array" ref="E2032">IF($C2032="","",IFERROR(INDEX(DATA_MASTER!$I$2:$I$5000,MATCH($C2032,DATA_MASTER!$D$2:$D$5000,0)),""))</f>
        <v/>
      </c>
      <c r="F2032" s="22">
        <f t="array" ref="F2032">IF($C2032="","",IFERROR(INDEX(DATA_MASTER!$L$2:$L$5000,MATCH($C2032,DATA_MASTER!$D$2:$D$5000,0)),""))</f>
        <v/>
      </c>
      <c r="G2032" s="24" t="n"/>
      <c r="H2032" s="24" t="n"/>
      <c r="I2032" s="30" t="n"/>
      <c r="J2032" s="23">
        <f>IF(OR($H2032="",$I2032=""),"",$H2032*$I2032)</f>
        <v/>
      </c>
      <c r="K2032" s="24" t="n"/>
      <c r="L2032" s="24" t="n"/>
      <c r="M2032" s="29" t="n"/>
      <c r="N2032" s="28" t="n"/>
      <c r="O2032" s="24" t="n"/>
      <c r="P2032" s="24" t="n"/>
      <c r="Q2032" s="24" t="n"/>
      <c r="R2032" s="24" t="n"/>
      <c r="S2032" s="22">
        <f>IF(AND($A2032="",$C2032=""),"",IF($A2032="","Thiếu mã đơn; ","")&amp;IF(COUNTIF($A$2:$A2032,$A2032)&gt;1,"Trùng mã đơn; ","")&amp;IF(ISNA(MATCH($C2032,DATA_MASTER!$D$2:$D$5000,0)),"SĐT chưa đăng ký hội viên; ","")&amp;IF(AND($L2032="Đã chuyển khoản",$M2032=""),"Thiếu ngày nhận CK; ",""))</f>
        <v/>
      </c>
      <c r="T2032" s="24" t="n"/>
    </row>
    <row r="2033" ht="14.25" customHeight="1" s="40">
      <c r="A2033" s="24" t="n"/>
      <c r="B2033" s="29" t="n"/>
      <c r="C2033" s="28" t="n"/>
      <c r="D2033" s="22">
        <f t="array" ref="D2033">IF($C2033="","",IFERROR(INDEX(DATA_MASTER!$C$2:$C$5000,MATCH($C2033,DATA_MASTER!$D$2:$D$5000,0)),""))</f>
        <v/>
      </c>
      <c r="E2033" s="22">
        <f t="array" ref="E2033">IF($C2033="","",IFERROR(INDEX(DATA_MASTER!$I$2:$I$5000,MATCH($C2033,DATA_MASTER!$D$2:$D$5000,0)),""))</f>
        <v/>
      </c>
      <c r="F2033" s="22">
        <f t="array" ref="F2033">IF($C2033="","",IFERROR(INDEX(DATA_MASTER!$L$2:$L$5000,MATCH($C2033,DATA_MASTER!$D$2:$D$5000,0)),""))</f>
        <v/>
      </c>
      <c r="G2033" s="24" t="n"/>
      <c r="H2033" s="24" t="n"/>
      <c r="I2033" s="30" t="n"/>
      <c r="J2033" s="23">
        <f>IF(OR($H2033="",$I2033=""),"",$H2033*$I2033)</f>
        <v/>
      </c>
      <c r="K2033" s="24" t="n"/>
      <c r="L2033" s="24" t="n"/>
      <c r="M2033" s="29" t="n"/>
      <c r="N2033" s="28" t="n"/>
      <c r="O2033" s="24" t="n"/>
      <c r="P2033" s="24" t="n"/>
      <c r="Q2033" s="24" t="n"/>
      <c r="R2033" s="24" t="n"/>
      <c r="S2033" s="22">
        <f>IF(AND($A2033="",$C2033=""),"",IF($A2033="","Thiếu mã đơn; ","")&amp;IF(COUNTIF($A$2:$A2033,$A2033)&gt;1,"Trùng mã đơn; ","")&amp;IF(ISNA(MATCH($C2033,DATA_MASTER!$D$2:$D$5000,0)),"SĐT chưa đăng ký hội viên; ","")&amp;IF(AND($L2033="Đã chuyển khoản",$M2033=""),"Thiếu ngày nhận CK; ",""))</f>
        <v/>
      </c>
      <c r="T2033" s="24" t="n"/>
    </row>
    <row r="2034" ht="14.25" customHeight="1" s="40">
      <c r="A2034" s="24" t="n"/>
      <c r="B2034" s="29" t="n"/>
      <c r="C2034" s="28" t="n"/>
      <c r="D2034" s="22">
        <f t="array" ref="D2034">IF($C2034="","",IFERROR(INDEX(DATA_MASTER!$C$2:$C$5000,MATCH($C2034,DATA_MASTER!$D$2:$D$5000,0)),""))</f>
        <v/>
      </c>
      <c r="E2034" s="22">
        <f t="array" ref="E2034">IF($C2034="","",IFERROR(INDEX(DATA_MASTER!$I$2:$I$5000,MATCH($C2034,DATA_MASTER!$D$2:$D$5000,0)),""))</f>
        <v/>
      </c>
      <c r="F2034" s="22">
        <f t="array" ref="F2034">IF($C2034="","",IFERROR(INDEX(DATA_MASTER!$L$2:$L$5000,MATCH($C2034,DATA_MASTER!$D$2:$D$5000,0)),""))</f>
        <v/>
      </c>
      <c r="G2034" s="24" t="n"/>
      <c r="H2034" s="24" t="n"/>
      <c r="I2034" s="30" t="n"/>
      <c r="J2034" s="23">
        <f>IF(OR($H2034="",$I2034=""),"",$H2034*$I2034)</f>
        <v/>
      </c>
      <c r="K2034" s="24" t="n"/>
      <c r="L2034" s="24" t="n"/>
      <c r="M2034" s="29" t="n"/>
      <c r="N2034" s="28" t="n"/>
      <c r="O2034" s="24" t="n"/>
      <c r="P2034" s="24" t="n"/>
      <c r="Q2034" s="24" t="n"/>
      <c r="R2034" s="24" t="n"/>
      <c r="S2034" s="22">
        <f>IF(AND($A2034="",$C2034=""),"",IF($A2034="","Thiếu mã đơn; ","")&amp;IF(COUNTIF($A$2:$A2034,$A2034)&gt;1,"Trùng mã đơn; ","")&amp;IF(ISNA(MATCH($C2034,DATA_MASTER!$D$2:$D$5000,0)),"SĐT chưa đăng ký hội viên; ","")&amp;IF(AND($L2034="Đã chuyển khoản",$M2034=""),"Thiếu ngày nhận CK; ",""))</f>
        <v/>
      </c>
      <c r="T2034" s="24" t="n"/>
    </row>
    <row r="2035" ht="14.25" customHeight="1" s="40">
      <c r="A2035" s="24" t="n"/>
      <c r="B2035" s="29" t="n"/>
      <c r="C2035" s="28" t="n"/>
      <c r="D2035" s="22">
        <f t="array" ref="D2035">IF($C2035="","",IFERROR(INDEX(DATA_MASTER!$C$2:$C$5000,MATCH($C2035,DATA_MASTER!$D$2:$D$5000,0)),""))</f>
        <v/>
      </c>
      <c r="E2035" s="22">
        <f t="array" ref="E2035">IF($C2035="","",IFERROR(INDEX(DATA_MASTER!$I$2:$I$5000,MATCH($C2035,DATA_MASTER!$D$2:$D$5000,0)),""))</f>
        <v/>
      </c>
      <c r="F2035" s="22">
        <f t="array" ref="F2035">IF($C2035="","",IFERROR(INDEX(DATA_MASTER!$L$2:$L$5000,MATCH($C2035,DATA_MASTER!$D$2:$D$5000,0)),""))</f>
        <v/>
      </c>
      <c r="G2035" s="24" t="n"/>
      <c r="H2035" s="24" t="n"/>
      <c r="I2035" s="30" t="n"/>
      <c r="J2035" s="23">
        <f>IF(OR($H2035="",$I2035=""),"",$H2035*$I2035)</f>
        <v/>
      </c>
      <c r="K2035" s="24" t="n"/>
      <c r="L2035" s="24" t="n"/>
      <c r="M2035" s="29" t="n"/>
      <c r="N2035" s="28" t="n"/>
      <c r="O2035" s="24" t="n"/>
      <c r="P2035" s="24" t="n"/>
      <c r="Q2035" s="24" t="n"/>
      <c r="R2035" s="24" t="n"/>
      <c r="S2035" s="22">
        <f>IF(AND($A2035="",$C2035=""),"",IF($A2035="","Thiếu mã đơn; ","")&amp;IF(COUNTIF($A$2:$A2035,$A2035)&gt;1,"Trùng mã đơn; ","")&amp;IF(ISNA(MATCH($C2035,DATA_MASTER!$D$2:$D$5000,0)),"SĐT chưa đăng ký hội viên; ","")&amp;IF(AND($L2035="Đã chuyển khoản",$M2035=""),"Thiếu ngày nhận CK; ",""))</f>
        <v/>
      </c>
      <c r="T2035" s="24" t="n"/>
    </row>
    <row r="2036" ht="14.25" customHeight="1" s="40">
      <c r="A2036" s="24" t="n"/>
      <c r="B2036" s="29" t="n"/>
      <c r="C2036" s="28" t="n"/>
      <c r="D2036" s="22">
        <f t="array" ref="D2036">IF($C2036="","",IFERROR(INDEX(DATA_MASTER!$C$2:$C$5000,MATCH($C2036,DATA_MASTER!$D$2:$D$5000,0)),""))</f>
        <v/>
      </c>
      <c r="E2036" s="22">
        <f t="array" ref="E2036">IF($C2036="","",IFERROR(INDEX(DATA_MASTER!$I$2:$I$5000,MATCH($C2036,DATA_MASTER!$D$2:$D$5000,0)),""))</f>
        <v/>
      </c>
      <c r="F2036" s="22">
        <f t="array" ref="F2036">IF($C2036="","",IFERROR(INDEX(DATA_MASTER!$L$2:$L$5000,MATCH($C2036,DATA_MASTER!$D$2:$D$5000,0)),""))</f>
        <v/>
      </c>
      <c r="G2036" s="24" t="n"/>
      <c r="H2036" s="24" t="n"/>
      <c r="I2036" s="30" t="n"/>
      <c r="J2036" s="23">
        <f>IF(OR($H2036="",$I2036=""),"",$H2036*$I2036)</f>
        <v/>
      </c>
      <c r="K2036" s="24" t="n"/>
      <c r="L2036" s="24" t="n"/>
      <c r="M2036" s="29" t="n"/>
      <c r="N2036" s="28" t="n"/>
      <c r="O2036" s="24" t="n"/>
      <c r="P2036" s="24" t="n"/>
      <c r="Q2036" s="24" t="n"/>
      <c r="R2036" s="24" t="n"/>
      <c r="S2036" s="22">
        <f>IF(AND($A2036="",$C2036=""),"",IF($A2036="","Thiếu mã đơn; ","")&amp;IF(COUNTIF($A$2:$A2036,$A2036)&gt;1,"Trùng mã đơn; ","")&amp;IF(ISNA(MATCH($C2036,DATA_MASTER!$D$2:$D$5000,0)),"SĐT chưa đăng ký hội viên; ","")&amp;IF(AND($L2036="Đã chuyển khoản",$M2036=""),"Thiếu ngày nhận CK; ",""))</f>
        <v/>
      </c>
      <c r="T2036" s="24" t="n"/>
    </row>
    <row r="2037" ht="14.25" customHeight="1" s="40">
      <c r="A2037" s="24" t="n"/>
      <c r="B2037" s="29" t="n"/>
      <c r="C2037" s="28" t="n"/>
      <c r="D2037" s="22">
        <f t="array" ref="D2037">IF($C2037="","",IFERROR(INDEX(DATA_MASTER!$C$2:$C$5000,MATCH($C2037,DATA_MASTER!$D$2:$D$5000,0)),""))</f>
        <v/>
      </c>
      <c r="E2037" s="22">
        <f t="array" ref="E2037">IF($C2037="","",IFERROR(INDEX(DATA_MASTER!$I$2:$I$5000,MATCH($C2037,DATA_MASTER!$D$2:$D$5000,0)),""))</f>
        <v/>
      </c>
      <c r="F2037" s="22">
        <f t="array" ref="F2037">IF($C2037="","",IFERROR(INDEX(DATA_MASTER!$L$2:$L$5000,MATCH($C2037,DATA_MASTER!$D$2:$D$5000,0)),""))</f>
        <v/>
      </c>
      <c r="G2037" s="24" t="n"/>
      <c r="H2037" s="24" t="n"/>
      <c r="I2037" s="30" t="n"/>
      <c r="J2037" s="23">
        <f>IF(OR($H2037="",$I2037=""),"",$H2037*$I2037)</f>
        <v/>
      </c>
      <c r="K2037" s="24" t="n"/>
      <c r="L2037" s="24" t="n"/>
      <c r="M2037" s="29" t="n"/>
      <c r="N2037" s="28" t="n"/>
      <c r="O2037" s="24" t="n"/>
      <c r="P2037" s="24" t="n"/>
      <c r="Q2037" s="24" t="n"/>
      <c r="R2037" s="24" t="n"/>
      <c r="S2037" s="22">
        <f>IF(AND($A2037="",$C2037=""),"",IF($A2037="","Thiếu mã đơn; ","")&amp;IF(COUNTIF($A$2:$A2037,$A2037)&gt;1,"Trùng mã đơn; ","")&amp;IF(ISNA(MATCH($C2037,DATA_MASTER!$D$2:$D$5000,0)),"SĐT chưa đăng ký hội viên; ","")&amp;IF(AND($L2037="Đã chuyển khoản",$M2037=""),"Thiếu ngày nhận CK; ",""))</f>
        <v/>
      </c>
      <c r="T2037" s="24" t="n"/>
    </row>
    <row r="2038" ht="14.25" customHeight="1" s="40">
      <c r="A2038" s="24" t="n"/>
      <c r="B2038" s="29" t="n"/>
      <c r="C2038" s="28" t="n"/>
      <c r="D2038" s="22">
        <f t="array" ref="D2038">IF($C2038="","",IFERROR(INDEX(DATA_MASTER!$C$2:$C$5000,MATCH($C2038,DATA_MASTER!$D$2:$D$5000,0)),""))</f>
        <v/>
      </c>
      <c r="E2038" s="22">
        <f t="array" ref="E2038">IF($C2038="","",IFERROR(INDEX(DATA_MASTER!$I$2:$I$5000,MATCH($C2038,DATA_MASTER!$D$2:$D$5000,0)),""))</f>
        <v/>
      </c>
      <c r="F2038" s="22">
        <f t="array" ref="F2038">IF($C2038="","",IFERROR(INDEX(DATA_MASTER!$L$2:$L$5000,MATCH($C2038,DATA_MASTER!$D$2:$D$5000,0)),""))</f>
        <v/>
      </c>
      <c r="G2038" s="24" t="n"/>
      <c r="H2038" s="24" t="n"/>
      <c r="I2038" s="30" t="n"/>
      <c r="J2038" s="23">
        <f>IF(OR($H2038="",$I2038=""),"",$H2038*$I2038)</f>
        <v/>
      </c>
      <c r="K2038" s="24" t="n"/>
      <c r="L2038" s="24" t="n"/>
      <c r="M2038" s="29" t="n"/>
      <c r="N2038" s="28" t="n"/>
      <c r="O2038" s="24" t="n"/>
      <c r="P2038" s="24" t="n"/>
      <c r="Q2038" s="24" t="n"/>
      <c r="R2038" s="24" t="n"/>
      <c r="S2038" s="22">
        <f>IF(AND($A2038="",$C2038=""),"",IF($A2038="","Thiếu mã đơn; ","")&amp;IF(COUNTIF($A$2:$A2038,$A2038)&gt;1,"Trùng mã đơn; ","")&amp;IF(ISNA(MATCH($C2038,DATA_MASTER!$D$2:$D$5000,0)),"SĐT chưa đăng ký hội viên; ","")&amp;IF(AND($L2038="Đã chuyển khoản",$M2038=""),"Thiếu ngày nhận CK; ",""))</f>
        <v/>
      </c>
      <c r="T2038" s="24" t="n"/>
    </row>
    <row r="2039" ht="14.25" customHeight="1" s="40">
      <c r="A2039" s="24" t="n"/>
      <c r="B2039" s="29" t="n"/>
      <c r="C2039" s="28" t="n"/>
      <c r="D2039" s="22">
        <f t="array" ref="D2039">IF($C2039="","",IFERROR(INDEX(DATA_MASTER!$C$2:$C$5000,MATCH($C2039,DATA_MASTER!$D$2:$D$5000,0)),""))</f>
        <v/>
      </c>
      <c r="E2039" s="22">
        <f t="array" ref="E2039">IF($C2039="","",IFERROR(INDEX(DATA_MASTER!$I$2:$I$5000,MATCH($C2039,DATA_MASTER!$D$2:$D$5000,0)),""))</f>
        <v/>
      </c>
      <c r="F2039" s="22">
        <f t="array" ref="F2039">IF($C2039="","",IFERROR(INDEX(DATA_MASTER!$L$2:$L$5000,MATCH($C2039,DATA_MASTER!$D$2:$D$5000,0)),""))</f>
        <v/>
      </c>
      <c r="G2039" s="24" t="n"/>
      <c r="H2039" s="24" t="n"/>
      <c r="I2039" s="30" t="n"/>
      <c r="J2039" s="23">
        <f>IF(OR($H2039="",$I2039=""),"",$H2039*$I2039)</f>
        <v/>
      </c>
      <c r="K2039" s="24" t="n"/>
      <c r="L2039" s="24" t="n"/>
      <c r="M2039" s="29" t="n"/>
      <c r="N2039" s="28" t="n"/>
      <c r="O2039" s="24" t="n"/>
      <c r="P2039" s="24" t="n"/>
      <c r="Q2039" s="24" t="n"/>
      <c r="R2039" s="24" t="n"/>
      <c r="S2039" s="22">
        <f>IF(AND($A2039="",$C2039=""),"",IF($A2039="","Thiếu mã đơn; ","")&amp;IF(COUNTIF($A$2:$A2039,$A2039)&gt;1,"Trùng mã đơn; ","")&amp;IF(ISNA(MATCH($C2039,DATA_MASTER!$D$2:$D$5000,0)),"SĐT chưa đăng ký hội viên; ","")&amp;IF(AND($L2039="Đã chuyển khoản",$M2039=""),"Thiếu ngày nhận CK; ",""))</f>
        <v/>
      </c>
      <c r="T2039" s="24" t="n"/>
    </row>
    <row r="2040" ht="14.25" customHeight="1" s="40">
      <c r="A2040" s="24" t="n"/>
      <c r="B2040" s="29" t="n"/>
      <c r="C2040" s="28" t="n"/>
      <c r="D2040" s="22">
        <f t="array" ref="D2040">IF($C2040="","",IFERROR(INDEX(DATA_MASTER!$C$2:$C$5000,MATCH($C2040,DATA_MASTER!$D$2:$D$5000,0)),""))</f>
        <v/>
      </c>
      <c r="E2040" s="22">
        <f t="array" ref="E2040">IF($C2040="","",IFERROR(INDEX(DATA_MASTER!$I$2:$I$5000,MATCH($C2040,DATA_MASTER!$D$2:$D$5000,0)),""))</f>
        <v/>
      </c>
      <c r="F2040" s="22">
        <f t="array" ref="F2040">IF($C2040="","",IFERROR(INDEX(DATA_MASTER!$L$2:$L$5000,MATCH($C2040,DATA_MASTER!$D$2:$D$5000,0)),""))</f>
        <v/>
      </c>
      <c r="G2040" s="24" t="n"/>
      <c r="H2040" s="24" t="n"/>
      <c r="I2040" s="30" t="n"/>
      <c r="J2040" s="23">
        <f>IF(OR($H2040="",$I2040=""),"",$H2040*$I2040)</f>
        <v/>
      </c>
      <c r="K2040" s="24" t="n"/>
      <c r="L2040" s="24" t="n"/>
      <c r="M2040" s="29" t="n"/>
      <c r="N2040" s="28" t="n"/>
      <c r="O2040" s="24" t="n"/>
      <c r="P2040" s="24" t="n"/>
      <c r="Q2040" s="24" t="n"/>
      <c r="R2040" s="24" t="n"/>
      <c r="S2040" s="22">
        <f>IF(AND($A2040="",$C2040=""),"",IF($A2040="","Thiếu mã đơn; ","")&amp;IF(COUNTIF($A$2:$A2040,$A2040)&gt;1,"Trùng mã đơn; ","")&amp;IF(ISNA(MATCH($C2040,DATA_MASTER!$D$2:$D$5000,0)),"SĐT chưa đăng ký hội viên; ","")&amp;IF(AND($L2040="Đã chuyển khoản",$M2040=""),"Thiếu ngày nhận CK; ",""))</f>
        <v/>
      </c>
      <c r="T2040" s="24" t="n"/>
    </row>
    <row r="2041" ht="14.25" customHeight="1" s="40">
      <c r="A2041" s="24" t="n"/>
      <c r="B2041" s="29" t="n"/>
      <c r="C2041" s="28" t="n"/>
      <c r="D2041" s="22">
        <f t="array" ref="D2041">IF($C2041="","",IFERROR(INDEX(DATA_MASTER!$C$2:$C$5000,MATCH($C2041,DATA_MASTER!$D$2:$D$5000,0)),""))</f>
        <v/>
      </c>
      <c r="E2041" s="22">
        <f t="array" ref="E2041">IF($C2041="","",IFERROR(INDEX(DATA_MASTER!$I$2:$I$5000,MATCH($C2041,DATA_MASTER!$D$2:$D$5000,0)),""))</f>
        <v/>
      </c>
      <c r="F2041" s="22">
        <f t="array" ref="F2041">IF($C2041="","",IFERROR(INDEX(DATA_MASTER!$L$2:$L$5000,MATCH($C2041,DATA_MASTER!$D$2:$D$5000,0)),""))</f>
        <v/>
      </c>
      <c r="G2041" s="24" t="n"/>
      <c r="H2041" s="24" t="n"/>
      <c r="I2041" s="30" t="n"/>
      <c r="J2041" s="23">
        <f>IF(OR($H2041="",$I2041=""),"",$H2041*$I2041)</f>
        <v/>
      </c>
      <c r="K2041" s="24" t="n"/>
      <c r="L2041" s="24" t="n"/>
      <c r="M2041" s="29" t="n"/>
      <c r="N2041" s="28" t="n"/>
      <c r="O2041" s="24" t="n"/>
      <c r="P2041" s="24" t="n"/>
      <c r="Q2041" s="24" t="n"/>
      <c r="R2041" s="24" t="n"/>
      <c r="S2041" s="22">
        <f>IF(AND($A2041="",$C2041=""),"",IF($A2041="","Thiếu mã đơn; ","")&amp;IF(COUNTIF($A$2:$A2041,$A2041)&gt;1,"Trùng mã đơn; ","")&amp;IF(ISNA(MATCH($C2041,DATA_MASTER!$D$2:$D$5000,0)),"SĐT chưa đăng ký hội viên; ","")&amp;IF(AND($L2041="Đã chuyển khoản",$M2041=""),"Thiếu ngày nhận CK; ",""))</f>
        <v/>
      </c>
      <c r="T2041" s="24" t="n"/>
    </row>
    <row r="2042" ht="14.25" customHeight="1" s="40">
      <c r="A2042" s="24" t="n"/>
      <c r="B2042" s="29" t="n"/>
      <c r="C2042" s="28" t="n"/>
      <c r="D2042" s="22">
        <f t="array" ref="D2042">IF($C2042="","",IFERROR(INDEX(DATA_MASTER!$C$2:$C$5000,MATCH($C2042,DATA_MASTER!$D$2:$D$5000,0)),""))</f>
        <v/>
      </c>
      <c r="E2042" s="22">
        <f t="array" ref="E2042">IF($C2042="","",IFERROR(INDEX(DATA_MASTER!$I$2:$I$5000,MATCH($C2042,DATA_MASTER!$D$2:$D$5000,0)),""))</f>
        <v/>
      </c>
      <c r="F2042" s="22">
        <f t="array" ref="F2042">IF($C2042="","",IFERROR(INDEX(DATA_MASTER!$L$2:$L$5000,MATCH($C2042,DATA_MASTER!$D$2:$D$5000,0)),""))</f>
        <v/>
      </c>
      <c r="G2042" s="24" t="n"/>
      <c r="H2042" s="24" t="n"/>
      <c r="I2042" s="30" t="n"/>
      <c r="J2042" s="23">
        <f>IF(OR($H2042="",$I2042=""),"",$H2042*$I2042)</f>
        <v/>
      </c>
      <c r="K2042" s="24" t="n"/>
      <c r="L2042" s="24" t="n"/>
      <c r="M2042" s="29" t="n"/>
      <c r="N2042" s="28" t="n"/>
      <c r="O2042" s="24" t="n"/>
      <c r="P2042" s="24" t="n"/>
      <c r="Q2042" s="24" t="n"/>
      <c r="R2042" s="24" t="n"/>
      <c r="S2042" s="22">
        <f>IF(AND($A2042="",$C2042=""),"",IF($A2042="","Thiếu mã đơn; ","")&amp;IF(COUNTIF($A$2:$A2042,$A2042)&gt;1,"Trùng mã đơn; ","")&amp;IF(ISNA(MATCH($C2042,DATA_MASTER!$D$2:$D$5000,0)),"SĐT chưa đăng ký hội viên; ","")&amp;IF(AND($L2042="Đã chuyển khoản",$M2042=""),"Thiếu ngày nhận CK; ",""))</f>
        <v/>
      </c>
      <c r="T2042" s="24" t="n"/>
    </row>
    <row r="2043" ht="14.25" customHeight="1" s="40">
      <c r="A2043" s="24" t="n"/>
      <c r="B2043" s="29" t="n"/>
      <c r="C2043" s="28" t="n"/>
      <c r="D2043" s="22">
        <f t="array" ref="D2043">IF($C2043="","",IFERROR(INDEX(DATA_MASTER!$C$2:$C$5000,MATCH($C2043,DATA_MASTER!$D$2:$D$5000,0)),""))</f>
        <v/>
      </c>
      <c r="E2043" s="22">
        <f t="array" ref="E2043">IF($C2043="","",IFERROR(INDEX(DATA_MASTER!$I$2:$I$5000,MATCH($C2043,DATA_MASTER!$D$2:$D$5000,0)),""))</f>
        <v/>
      </c>
      <c r="F2043" s="22">
        <f t="array" ref="F2043">IF($C2043="","",IFERROR(INDEX(DATA_MASTER!$L$2:$L$5000,MATCH($C2043,DATA_MASTER!$D$2:$D$5000,0)),""))</f>
        <v/>
      </c>
      <c r="G2043" s="24" t="n"/>
      <c r="H2043" s="24" t="n"/>
      <c r="I2043" s="30" t="n"/>
      <c r="J2043" s="23">
        <f>IF(OR($H2043="",$I2043=""),"",$H2043*$I2043)</f>
        <v/>
      </c>
      <c r="K2043" s="24" t="n"/>
      <c r="L2043" s="24" t="n"/>
      <c r="M2043" s="29" t="n"/>
      <c r="N2043" s="28" t="n"/>
      <c r="O2043" s="24" t="n"/>
      <c r="P2043" s="24" t="n"/>
      <c r="Q2043" s="24" t="n"/>
      <c r="R2043" s="24" t="n"/>
      <c r="S2043" s="22">
        <f>IF(AND($A2043="",$C2043=""),"",IF($A2043="","Thiếu mã đơn; ","")&amp;IF(COUNTIF($A$2:$A2043,$A2043)&gt;1,"Trùng mã đơn; ","")&amp;IF(ISNA(MATCH($C2043,DATA_MASTER!$D$2:$D$5000,0)),"SĐT chưa đăng ký hội viên; ","")&amp;IF(AND($L2043="Đã chuyển khoản",$M2043=""),"Thiếu ngày nhận CK; ",""))</f>
        <v/>
      </c>
      <c r="T2043" s="24" t="n"/>
    </row>
    <row r="2044" ht="14.25" customHeight="1" s="40">
      <c r="A2044" s="24" t="n"/>
      <c r="B2044" s="29" t="n"/>
      <c r="C2044" s="28" t="n"/>
      <c r="D2044" s="22">
        <f t="array" ref="D2044">IF($C2044="","",IFERROR(INDEX(DATA_MASTER!$C$2:$C$5000,MATCH($C2044,DATA_MASTER!$D$2:$D$5000,0)),""))</f>
        <v/>
      </c>
      <c r="E2044" s="22">
        <f t="array" ref="E2044">IF($C2044="","",IFERROR(INDEX(DATA_MASTER!$I$2:$I$5000,MATCH($C2044,DATA_MASTER!$D$2:$D$5000,0)),""))</f>
        <v/>
      </c>
      <c r="F2044" s="22">
        <f t="array" ref="F2044">IF($C2044="","",IFERROR(INDEX(DATA_MASTER!$L$2:$L$5000,MATCH($C2044,DATA_MASTER!$D$2:$D$5000,0)),""))</f>
        <v/>
      </c>
      <c r="G2044" s="24" t="n"/>
      <c r="H2044" s="24" t="n"/>
      <c r="I2044" s="30" t="n"/>
      <c r="J2044" s="23">
        <f>IF(OR($H2044="",$I2044=""),"",$H2044*$I2044)</f>
        <v/>
      </c>
      <c r="K2044" s="24" t="n"/>
      <c r="L2044" s="24" t="n"/>
      <c r="M2044" s="29" t="n"/>
      <c r="N2044" s="28" t="n"/>
      <c r="O2044" s="24" t="n"/>
      <c r="P2044" s="24" t="n"/>
      <c r="Q2044" s="24" t="n"/>
      <c r="R2044" s="24" t="n"/>
      <c r="S2044" s="22">
        <f>IF(AND($A2044="",$C2044=""),"",IF($A2044="","Thiếu mã đơn; ","")&amp;IF(COUNTIF($A$2:$A2044,$A2044)&gt;1,"Trùng mã đơn; ","")&amp;IF(ISNA(MATCH($C2044,DATA_MASTER!$D$2:$D$5000,0)),"SĐT chưa đăng ký hội viên; ","")&amp;IF(AND($L2044="Đã chuyển khoản",$M2044=""),"Thiếu ngày nhận CK; ",""))</f>
        <v/>
      </c>
      <c r="T2044" s="24" t="n"/>
    </row>
    <row r="2045" ht="14.25" customHeight="1" s="40">
      <c r="A2045" s="24" t="n"/>
      <c r="B2045" s="29" t="n"/>
      <c r="C2045" s="28" t="n"/>
      <c r="D2045" s="22">
        <f t="array" ref="D2045">IF($C2045="","",IFERROR(INDEX(DATA_MASTER!$C$2:$C$5000,MATCH($C2045,DATA_MASTER!$D$2:$D$5000,0)),""))</f>
        <v/>
      </c>
      <c r="E2045" s="22">
        <f t="array" ref="E2045">IF($C2045="","",IFERROR(INDEX(DATA_MASTER!$I$2:$I$5000,MATCH($C2045,DATA_MASTER!$D$2:$D$5000,0)),""))</f>
        <v/>
      </c>
      <c r="F2045" s="22">
        <f t="array" ref="F2045">IF($C2045="","",IFERROR(INDEX(DATA_MASTER!$L$2:$L$5000,MATCH($C2045,DATA_MASTER!$D$2:$D$5000,0)),""))</f>
        <v/>
      </c>
      <c r="G2045" s="24" t="n"/>
      <c r="H2045" s="24" t="n"/>
      <c r="I2045" s="30" t="n"/>
      <c r="J2045" s="23">
        <f>IF(OR($H2045="",$I2045=""),"",$H2045*$I2045)</f>
        <v/>
      </c>
      <c r="K2045" s="24" t="n"/>
      <c r="L2045" s="24" t="n"/>
      <c r="M2045" s="29" t="n"/>
      <c r="N2045" s="28" t="n"/>
      <c r="O2045" s="24" t="n"/>
      <c r="P2045" s="24" t="n"/>
      <c r="Q2045" s="24" t="n"/>
      <c r="R2045" s="24" t="n"/>
      <c r="S2045" s="22">
        <f>IF(AND($A2045="",$C2045=""),"",IF($A2045="","Thiếu mã đơn; ","")&amp;IF(COUNTIF($A$2:$A2045,$A2045)&gt;1,"Trùng mã đơn; ","")&amp;IF(ISNA(MATCH($C2045,DATA_MASTER!$D$2:$D$5000,0)),"SĐT chưa đăng ký hội viên; ","")&amp;IF(AND($L2045="Đã chuyển khoản",$M2045=""),"Thiếu ngày nhận CK; ",""))</f>
        <v/>
      </c>
      <c r="T2045" s="24" t="n"/>
    </row>
    <row r="2046" ht="14.25" customHeight="1" s="40">
      <c r="A2046" s="24" t="n"/>
      <c r="B2046" s="29" t="n"/>
      <c r="C2046" s="28" t="n"/>
      <c r="D2046" s="22">
        <f t="array" ref="D2046">IF($C2046="","",IFERROR(INDEX(DATA_MASTER!$C$2:$C$5000,MATCH($C2046,DATA_MASTER!$D$2:$D$5000,0)),""))</f>
        <v/>
      </c>
      <c r="E2046" s="22">
        <f t="array" ref="E2046">IF($C2046="","",IFERROR(INDEX(DATA_MASTER!$I$2:$I$5000,MATCH($C2046,DATA_MASTER!$D$2:$D$5000,0)),""))</f>
        <v/>
      </c>
      <c r="F2046" s="22">
        <f t="array" ref="F2046">IF($C2046="","",IFERROR(INDEX(DATA_MASTER!$L$2:$L$5000,MATCH($C2046,DATA_MASTER!$D$2:$D$5000,0)),""))</f>
        <v/>
      </c>
      <c r="G2046" s="24" t="n"/>
      <c r="H2046" s="24" t="n"/>
      <c r="I2046" s="30" t="n"/>
      <c r="J2046" s="23">
        <f>IF(OR($H2046="",$I2046=""),"",$H2046*$I2046)</f>
        <v/>
      </c>
      <c r="K2046" s="24" t="n"/>
      <c r="L2046" s="24" t="n"/>
      <c r="M2046" s="29" t="n"/>
      <c r="N2046" s="28" t="n"/>
      <c r="O2046" s="24" t="n"/>
      <c r="P2046" s="24" t="n"/>
      <c r="Q2046" s="24" t="n"/>
      <c r="R2046" s="24" t="n"/>
      <c r="S2046" s="22">
        <f>IF(AND($A2046="",$C2046=""),"",IF($A2046="","Thiếu mã đơn; ","")&amp;IF(COUNTIF($A$2:$A2046,$A2046)&gt;1,"Trùng mã đơn; ","")&amp;IF(ISNA(MATCH($C2046,DATA_MASTER!$D$2:$D$5000,0)),"SĐT chưa đăng ký hội viên; ","")&amp;IF(AND($L2046="Đã chuyển khoản",$M2046=""),"Thiếu ngày nhận CK; ",""))</f>
        <v/>
      </c>
      <c r="T2046" s="24" t="n"/>
    </row>
    <row r="2047" ht="14.25" customHeight="1" s="40">
      <c r="A2047" s="24" t="n"/>
      <c r="B2047" s="29" t="n"/>
      <c r="C2047" s="28" t="n"/>
      <c r="D2047" s="22">
        <f t="array" ref="D2047">IF($C2047="","",IFERROR(INDEX(DATA_MASTER!$C$2:$C$5000,MATCH($C2047,DATA_MASTER!$D$2:$D$5000,0)),""))</f>
        <v/>
      </c>
      <c r="E2047" s="22">
        <f t="array" ref="E2047">IF($C2047="","",IFERROR(INDEX(DATA_MASTER!$I$2:$I$5000,MATCH($C2047,DATA_MASTER!$D$2:$D$5000,0)),""))</f>
        <v/>
      </c>
      <c r="F2047" s="22">
        <f t="array" ref="F2047">IF($C2047="","",IFERROR(INDEX(DATA_MASTER!$L$2:$L$5000,MATCH($C2047,DATA_MASTER!$D$2:$D$5000,0)),""))</f>
        <v/>
      </c>
      <c r="G2047" s="24" t="n"/>
      <c r="H2047" s="24" t="n"/>
      <c r="I2047" s="30" t="n"/>
      <c r="J2047" s="23">
        <f>IF(OR($H2047="",$I2047=""),"",$H2047*$I2047)</f>
        <v/>
      </c>
      <c r="K2047" s="24" t="n"/>
      <c r="L2047" s="24" t="n"/>
      <c r="M2047" s="29" t="n"/>
      <c r="N2047" s="28" t="n"/>
      <c r="O2047" s="24" t="n"/>
      <c r="P2047" s="24" t="n"/>
      <c r="Q2047" s="24" t="n"/>
      <c r="R2047" s="24" t="n"/>
      <c r="S2047" s="22">
        <f>IF(AND($A2047="",$C2047=""),"",IF($A2047="","Thiếu mã đơn; ","")&amp;IF(COUNTIF($A$2:$A2047,$A2047)&gt;1,"Trùng mã đơn; ","")&amp;IF(ISNA(MATCH($C2047,DATA_MASTER!$D$2:$D$5000,0)),"SĐT chưa đăng ký hội viên; ","")&amp;IF(AND($L2047="Đã chuyển khoản",$M2047=""),"Thiếu ngày nhận CK; ",""))</f>
        <v/>
      </c>
      <c r="T2047" s="24" t="n"/>
    </row>
    <row r="2048" ht="14.25" customHeight="1" s="40">
      <c r="A2048" s="24" t="n"/>
      <c r="B2048" s="29" t="n"/>
      <c r="C2048" s="28" t="n"/>
      <c r="D2048" s="22">
        <f t="array" ref="D2048">IF($C2048="","",IFERROR(INDEX(DATA_MASTER!$C$2:$C$5000,MATCH($C2048,DATA_MASTER!$D$2:$D$5000,0)),""))</f>
        <v/>
      </c>
      <c r="E2048" s="22">
        <f t="array" ref="E2048">IF($C2048="","",IFERROR(INDEX(DATA_MASTER!$I$2:$I$5000,MATCH($C2048,DATA_MASTER!$D$2:$D$5000,0)),""))</f>
        <v/>
      </c>
      <c r="F2048" s="22">
        <f t="array" ref="F2048">IF($C2048="","",IFERROR(INDEX(DATA_MASTER!$L$2:$L$5000,MATCH($C2048,DATA_MASTER!$D$2:$D$5000,0)),""))</f>
        <v/>
      </c>
      <c r="G2048" s="24" t="n"/>
      <c r="H2048" s="24" t="n"/>
      <c r="I2048" s="30" t="n"/>
      <c r="J2048" s="23">
        <f>IF(OR($H2048="",$I2048=""),"",$H2048*$I2048)</f>
        <v/>
      </c>
      <c r="K2048" s="24" t="n"/>
      <c r="L2048" s="24" t="n"/>
      <c r="M2048" s="29" t="n"/>
      <c r="N2048" s="28" t="n"/>
      <c r="O2048" s="24" t="n"/>
      <c r="P2048" s="24" t="n"/>
      <c r="Q2048" s="24" t="n"/>
      <c r="R2048" s="24" t="n"/>
      <c r="S2048" s="22">
        <f>IF(AND($A2048="",$C2048=""),"",IF($A2048="","Thiếu mã đơn; ","")&amp;IF(COUNTIF($A$2:$A2048,$A2048)&gt;1,"Trùng mã đơn; ","")&amp;IF(ISNA(MATCH($C2048,DATA_MASTER!$D$2:$D$5000,0)),"SĐT chưa đăng ký hội viên; ","")&amp;IF(AND($L2048="Đã chuyển khoản",$M2048=""),"Thiếu ngày nhận CK; ",""))</f>
        <v/>
      </c>
      <c r="T2048" s="24" t="n"/>
    </row>
    <row r="2049" ht="14.25" customHeight="1" s="40">
      <c r="A2049" s="24" t="n"/>
      <c r="B2049" s="29" t="n"/>
      <c r="C2049" s="28" t="n"/>
      <c r="D2049" s="22">
        <f t="array" ref="D2049">IF($C2049="","",IFERROR(INDEX(DATA_MASTER!$C$2:$C$5000,MATCH($C2049,DATA_MASTER!$D$2:$D$5000,0)),""))</f>
        <v/>
      </c>
      <c r="E2049" s="22">
        <f t="array" ref="E2049">IF($C2049="","",IFERROR(INDEX(DATA_MASTER!$I$2:$I$5000,MATCH($C2049,DATA_MASTER!$D$2:$D$5000,0)),""))</f>
        <v/>
      </c>
      <c r="F2049" s="22">
        <f t="array" ref="F2049">IF($C2049="","",IFERROR(INDEX(DATA_MASTER!$L$2:$L$5000,MATCH($C2049,DATA_MASTER!$D$2:$D$5000,0)),""))</f>
        <v/>
      </c>
      <c r="G2049" s="24" t="n"/>
      <c r="H2049" s="24" t="n"/>
      <c r="I2049" s="30" t="n"/>
      <c r="J2049" s="23">
        <f>IF(OR($H2049="",$I2049=""),"",$H2049*$I2049)</f>
        <v/>
      </c>
      <c r="K2049" s="24" t="n"/>
      <c r="L2049" s="24" t="n"/>
      <c r="M2049" s="29" t="n"/>
      <c r="N2049" s="28" t="n"/>
      <c r="O2049" s="24" t="n"/>
      <c r="P2049" s="24" t="n"/>
      <c r="Q2049" s="24" t="n"/>
      <c r="R2049" s="24" t="n"/>
      <c r="S2049" s="22">
        <f>IF(AND($A2049="",$C2049=""),"",IF($A2049="","Thiếu mã đơn; ","")&amp;IF(COUNTIF($A$2:$A2049,$A2049)&gt;1,"Trùng mã đơn; ","")&amp;IF(ISNA(MATCH($C2049,DATA_MASTER!$D$2:$D$5000,0)),"SĐT chưa đăng ký hội viên; ","")&amp;IF(AND($L2049="Đã chuyển khoản",$M2049=""),"Thiếu ngày nhận CK; ",""))</f>
        <v/>
      </c>
      <c r="T2049" s="24" t="n"/>
    </row>
    <row r="2050" ht="14.25" customHeight="1" s="40">
      <c r="A2050" s="24" t="n"/>
      <c r="B2050" s="29" t="n"/>
      <c r="C2050" s="28" t="n"/>
      <c r="D2050" s="22">
        <f t="array" ref="D2050">IF($C2050="","",IFERROR(INDEX(DATA_MASTER!$C$2:$C$5000,MATCH($C2050,DATA_MASTER!$D$2:$D$5000,0)),""))</f>
        <v/>
      </c>
      <c r="E2050" s="22">
        <f t="array" ref="E2050">IF($C2050="","",IFERROR(INDEX(DATA_MASTER!$I$2:$I$5000,MATCH($C2050,DATA_MASTER!$D$2:$D$5000,0)),""))</f>
        <v/>
      </c>
      <c r="F2050" s="22">
        <f t="array" ref="F2050">IF($C2050="","",IFERROR(INDEX(DATA_MASTER!$L$2:$L$5000,MATCH($C2050,DATA_MASTER!$D$2:$D$5000,0)),""))</f>
        <v/>
      </c>
      <c r="G2050" s="24" t="n"/>
      <c r="H2050" s="24" t="n"/>
      <c r="I2050" s="30" t="n"/>
      <c r="J2050" s="23">
        <f>IF(OR($H2050="",$I2050=""),"",$H2050*$I2050)</f>
        <v/>
      </c>
      <c r="K2050" s="24" t="n"/>
      <c r="L2050" s="24" t="n"/>
      <c r="M2050" s="29" t="n"/>
      <c r="N2050" s="28" t="n"/>
      <c r="O2050" s="24" t="n"/>
      <c r="P2050" s="24" t="n"/>
      <c r="Q2050" s="24" t="n"/>
      <c r="R2050" s="24" t="n"/>
      <c r="S2050" s="22">
        <f>IF(AND($A2050="",$C2050=""),"",IF($A2050="","Thiếu mã đơn; ","")&amp;IF(COUNTIF($A$2:$A2050,$A2050)&gt;1,"Trùng mã đơn; ","")&amp;IF(ISNA(MATCH($C2050,DATA_MASTER!$D$2:$D$5000,0)),"SĐT chưa đăng ký hội viên; ","")&amp;IF(AND($L2050="Đã chuyển khoản",$M2050=""),"Thiếu ngày nhận CK; ",""))</f>
        <v/>
      </c>
      <c r="T2050" s="24" t="n"/>
    </row>
    <row r="2051" ht="14.25" customHeight="1" s="40">
      <c r="A2051" s="24" t="n"/>
      <c r="B2051" s="29" t="n"/>
      <c r="C2051" s="28" t="n"/>
      <c r="D2051" s="22">
        <f t="array" ref="D2051">IF($C2051="","",IFERROR(INDEX(DATA_MASTER!$C$2:$C$5000,MATCH($C2051,DATA_MASTER!$D$2:$D$5000,0)),""))</f>
        <v/>
      </c>
      <c r="E2051" s="22">
        <f t="array" ref="E2051">IF($C2051="","",IFERROR(INDEX(DATA_MASTER!$I$2:$I$5000,MATCH($C2051,DATA_MASTER!$D$2:$D$5000,0)),""))</f>
        <v/>
      </c>
      <c r="F2051" s="22">
        <f t="array" ref="F2051">IF($C2051="","",IFERROR(INDEX(DATA_MASTER!$L$2:$L$5000,MATCH($C2051,DATA_MASTER!$D$2:$D$5000,0)),""))</f>
        <v/>
      </c>
      <c r="G2051" s="24" t="n"/>
      <c r="H2051" s="24" t="n"/>
      <c r="I2051" s="30" t="n"/>
      <c r="J2051" s="23">
        <f>IF(OR($H2051="",$I2051=""),"",$H2051*$I2051)</f>
        <v/>
      </c>
      <c r="K2051" s="24" t="n"/>
      <c r="L2051" s="24" t="n"/>
      <c r="M2051" s="29" t="n"/>
      <c r="N2051" s="28" t="n"/>
      <c r="O2051" s="24" t="n"/>
      <c r="P2051" s="24" t="n"/>
      <c r="Q2051" s="24" t="n"/>
      <c r="R2051" s="24" t="n"/>
      <c r="S2051" s="22">
        <f>IF(AND($A2051="",$C2051=""),"",IF($A2051="","Thiếu mã đơn; ","")&amp;IF(COUNTIF($A$2:$A2051,$A2051)&gt;1,"Trùng mã đơn; ","")&amp;IF(ISNA(MATCH($C2051,DATA_MASTER!$D$2:$D$5000,0)),"SĐT chưa đăng ký hội viên; ","")&amp;IF(AND($L2051="Đã chuyển khoản",$M2051=""),"Thiếu ngày nhận CK; ",""))</f>
        <v/>
      </c>
      <c r="T2051" s="24" t="n"/>
    </row>
    <row r="2052" ht="14.25" customHeight="1" s="40">
      <c r="A2052" s="24" t="n"/>
      <c r="B2052" s="29" t="n"/>
      <c r="C2052" s="28" t="n"/>
      <c r="D2052" s="22">
        <f t="array" ref="D2052">IF($C2052="","",IFERROR(INDEX(DATA_MASTER!$C$2:$C$5000,MATCH($C2052,DATA_MASTER!$D$2:$D$5000,0)),""))</f>
        <v/>
      </c>
      <c r="E2052" s="22">
        <f t="array" ref="E2052">IF($C2052="","",IFERROR(INDEX(DATA_MASTER!$I$2:$I$5000,MATCH($C2052,DATA_MASTER!$D$2:$D$5000,0)),""))</f>
        <v/>
      </c>
      <c r="F2052" s="22">
        <f t="array" ref="F2052">IF($C2052="","",IFERROR(INDEX(DATA_MASTER!$L$2:$L$5000,MATCH($C2052,DATA_MASTER!$D$2:$D$5000,0)),""))</f>
        <v/>
      </c>
      <c r="G2052" s="24" t="n"/>
      <c r="H2052" s="24" t="n"/>
      <c r="I2052" s="30" t="n"/>
      <c r="J2052" s="23">
        <f>IF(OR($H2052="",$I2052=""),"",$H2052*$I2052)</f>
        <v/>
      </c>
      <c r="K2052" s="24" t="n"/>
      <c r="L2052" s="24" t="n"/>
      <c r="M2052" s="29" t="n"/>
      <c r="N2052" s="28" t="n"/>
      <c r="O2052" s="24" t="n"/>
      <c r="P2052" s="24" t="n"/>
      <c r="Q2052" s="24" t="n"/>
      <c r="R2052" s="24" t="n"/>
      <c r="S2052" s="22">
        <f>IF(AND($A2052="",$C2052=""),"",IF($A2052="","Thiếu mã đơn; ","")&amp;IF(COUNTIF($A$2:$A2052,$A2052)&gt;1,"Trùng mã đơn; ","")&amp;IF(ISNA(MATCH($C2052,DATA_MASTER!$D$2:$D$5000,0)),"SĐT chưa đăng ký hội viên; ","")&amp;IF(AND($L2052="Đã chuyển khoản",$M2052=""),"Thiếu ngày nhận CK; ",""))</f>
        <v/>
      </c>
      <c r="T2052" s="24" t="n"/>
    </row>
    <row r="2053" ht="14.25" customHeight="1" s="40">
      <c r="A2053" s="24" t="n"/>
      <c r="B2053" s="29" t="n"/>
      <c r="C2053" s="28" t="n"/>
      <c r="D2053" s="22">
        <f t="array" ref="D2053">IF($C2053="","",IFERROR(INDEX(DATA_MASTER!$C$2:$C$5000,MATCH($C2053,DATA_MASTER!$D$2:$D$5000,0)),""))</f>
        <v/>
      </c>
      <c r="E2053" s="22">
        <f t="array" ref="E2053">IF($C2053="","",IFERROR(INDEX(DATA_MASTER!$I$2:$I$5000,MATCH($C2053,DATA_MASTER!$D$2:$D$5000,0)),""))</f>
        <v/>
      </c>
      <c r="F2053" s="22">
        <f t="array" ref="F2053">IF($C2053="","",IFERROR(INDEX(DATA_MASTER!$L$2:$L$5000,MATCH($C2053,DATA_MASTER!$D$2:$D$5000,0)),""))</f>
        <v/>
      </c>
      <c r="G2053" s="24" t="n"/>
      <c r="H2053" s="24" t="n"/>
      <c r="I2053" s="30" t="n"/>
      <c r="J2053" s="23">
        <f>IF(OR($H2053="",$I2053=""),"",$H2053*$I2053)</f>
        <v/>
      </c>
      <c r="K2053" s="24" t="n"/>
      <c r="L2053" s="24" t="n"/>
      <c r="M2053" s="29" t="n"/>
      <c r="N2053" s="28" t="n"/>
      <c r="O2053" s="24" t="n"/>
      <c r="P2053" s="24" t="n"/>
      <c r="Q2053" s="24" t="n"/>
      <c r="R2053" s="24" t="n"/>
      <c r="S2053" s="22">
        <f>IF(AND($A2053="",$C2053=""),"",IF($A2053="","Thiếu mã đơn; ","")&amp;IF(COUNTIF($A$2:$A2053,$A2053)&gt;1,"Trùng mã đơn; ","")&amp;IF(ISNA(MATCH($C2053,DATA_MASTER!$D$2:$D$5000,0)),"SĐT chưa đăng ký hội viên; ","")&amp;IF(AND($L2053="Đã chuyển khoản",$M2053=""),"Thiếu ngày nhận CK; ",""))</f>
        <v/>
      </c>
      <c r="T2053" s="24" t="n"/>
    </row>
    <row r="2054" ht="14.25" customHeight="1" s="40">
      <c r="A2054" s="24" t="n"/>
      <c r="B2054" s="29" t="n"/>
      <c r="C2054" s="28" t="n"/>
      <c r="D2054" s="22">
        <f t="array" ref="D2054">IF($C2054="","",IFERROR(INDEX(DATA_MASTER!$C$2:$C$5000,MATCH($C2054,DATA_MASTER!$D$2:$D$5000,0)),""))</f>
        <v/>
      </c>
      <c r="E2054" s="22">
        <f t="array" ref="E2054">IF($C2054="","",IFERROR(INDEX(DATA_MASTER!$I$2:$I$5000,MATCH($C2054,DATA_MASTER!$D$2:$D$5000,0)),""))</f>
        <v/>
      </c>
      <c r="F2054" s="22">
        <f t="array" ref="F2054">IF($C2054="","",IFERROR(INDEX(DATA_MASTER!$L$2:$L$5000,MATCH($C2054,DATA_MASTER!$D$2:$D$5000,0)),""))</f>
        <v/>
      </c>
      <c r="G2054" s="24" t="n"/>
      <c r="H2054" s="24" t="n"/>
      <c r="I2054" s="30" t="n"/>
      <c r="J2054" s="23">
        <f>IF(OR($H2054="",$I2054=""),"",$H2054*$I2054)</f>
        <v/>
      </c>
      <c r="K2054" s="24" t="n"/>
      <c r="L2054" s="24" t="n"/>
      <c r="M2054" s="29" t="n"/>
      <c r="N2054" s="28" t="n"/>
      <c r="O2054" s="24" t="n"/>
      <c r="P2054" s="24" t="n"/>
      <c r="Q2054" s="24" t="n"/>
      <c r="R2054" s="24" t="n"/>
      <c r="S2054" s="22">
        <f>IF(AND($A2054="",$C2054=""),"",IF($A2054="","Thiếu mã đơn; ","")&amp;IF(COUNTIF($A$2:$A2054,$A2054)&gt;1,"Trùng mã đơn; ","")&amp;IF(ISNA(MATCH($C2054,DATA_MASTER!$D$2:$D$5000,0)),"SĐT chưa đăng ký hội viên; ","")&amp;IF(AND($L2054="Đã chuyển khoản",$M2054=""),"Thiếu ngày nhận CK; ",""))</f>
        <v/>
      </c>
      <c r="T2054" s="24" t="n"/>
    </row>
    <row r="2055" ht="14.25" customHeight="1" s="40">
      <c r="A2055" s="24" t="n"/>
      <c r="B2055" s="29" t="n"/>
      <c r="C2055" s="28" t="n"/>
      <c r="D2055" s="22">
        <f t="array" ref="D2055">IF($C2055="","",IFERROR(INDEX(DATA_MASTER!$C$2:$C$5000,MATCH($C2055,DATA_MASTER!$D$2:$D$5000,0)),""))</f>
        <v/>
      </c>
      <c r="E2055" s="22">
        <f t="array" ref="E2055">IF($C2055="","",IFERROR(INDEX(DATA_MASTER!$I$2:$I$5000,MATCH($C2055,DATA_MASTER!$D$2:$D$5000,0)),""))</f>
        <v/>
      </c>
      <c r="F2055" s="22">
        <f t="array" ref="F2055">IF($C2055="","",IFERROR(INDEX(DATA_MASTER!$L$2:$L$5000,MATCH($C2055,DATA_MASTER!$D$2:$D$5000,0)),""))</f>
        <v/>
      </c>
      <c r="G2055" s="24" t="n"/>
      <c r="H2055" s="24" t="n"/>
      <c r="I2055" s="30" t="n"/>
      <c r="J2055" s="23">
        <f>IF(OR($H2055="",$I2055=""),"",$H2055*$I2055)</f>
        <v/>
      </c>
      <c r="K2055" s="24" t="n"/>
      <c r="L2055" s="24" t="n"/>
      <c r="M2055" s="29" t="n"/>
      <c r="N2055" s="28" t="n"/>
      <c r="O2055" s="24" t="n"/>
      <c r="P2055" s="24" t="n"/>
      <c r="Q2055" s="24" t="n"/>
      <c r="R2055" s="24" t="n"/>
      <c r="S2055" s="22">
        <f>IF(AND($A2055="",$C2055=""),"",IF($A2055="","Thiếu mã đơn; ","")&amp;IF(COUNTIF($A$2:$A2055,$A2055)&gt;1,"Trùng mã đơn; ","")&amp;IF(ISNA(MATCH($C2055,DATA_MASTER!$D$2:$D$5000,0)),"SĐT chưa đăng ký hội viên; ","")&amp;IF(AND($L2055="Đã chuyển khoản",$M2055=""),"Thiếu ngày nhận CK; ",""))</f>
        <v/>
      </c>
      <c r="T2055" s="24" t="n"/>
    </row>
    <row r="2056" ht="14.25" customHeight="1" s="40">
      <c r="A2056" s="24" t="n"/>
      <c r="B2056" s="29" t="n"/>
      <c r="C2056" s="28" t="n"/>
      <c r="D2056" s="22">
        <f t="array" ref="D2056">IF($C2056="","",IFERROR(INDEX(DATA_MASTER!$C$2:$C$5000,MATCH($C2056,DATA_MASTER!$D$2:$D$5000,0)),""))</f>
        <v/>
      </c>
      <c r="E2056" s="22">
        <f t="array" ref="E2056">IF($C2056="","",IFERROR(INDEX(DATA_MASTER!$I$2:$I$5000,MATCH($C2056,DATA_MASTER!$D$2:$D$5000,0)),""))</f>
        <v/>
      </c>
      <c r="F2056" s="22">
        <f t="array" ref="F2056">IF($C2056="","",IFERROR(INDEX(DATA_MASTER!$L$2:$L$5000,MATCH($C2056,DATA_MASTER!$D$2:$D$5000,0)),""))</f>
        <v/>
      </c>
      <c r="G2056" s="24" t="n"/>
      <c r="H2056" s="24" t="n"/>
      <c r="I2056" s="30" t="n"/>
      <c r="J2056" s="23">
        <f>IF(OR($H2056="",$I2056=""),"",$H2056*$I2056)</f>
        <v/>
      </c>
      <c r="K2056" s="24" t="n"/>
      <c r="L2056" s="24" t="n"/>
      <c r="M2056" s="29" t="n"/>
      <c r="N2056" s="28" t="n"/>
      <c r="O2056" s="24" t="n"/>
      <c r="P2056" s="24" t="n"/>
      <c r="Q2056" s="24" t="n"/>
      <c r="R2056" s="24" t="n"/>
      <c r="S2056" s="22">
        <f>IF(AND($A2056="",$C2056=""),"",IF($A2056="","Thiếu mã đơn; ","")&amp;IF(COUNTIF($A$2:$A2056,$A2056)&gt;1,"Trùng mã đơn; ","")&amp;IF(ISNA(MATCH($C2056,DATA_MASTER!$D$2:$D$5000,0)),"SĐT chưa đăng ký hội viên; ","")&amp;IF(AND($L2056="Đã chuyển khoản",$M2056=""),"Thiếu ngày nhận CK; ",""))</f>
        <v/>
      </c>
      <c r="T2056" s="24" t="n"/>
    </row>
    <row r="2057" ht="14.25" customHeight="1" s="40">
      <c r="A2057" s="24" t="n"/>
      <c r="B2057" s="29" t="n"/>
      <c r="C2057" s="28" t="n"/>
      <c r="D2057" s="22">
        <f t="array" ref="D2057">IF($C2057="","",IFERROR(INDEX(DATA_MASTER!$C$2:$C$5000,MATCH($C2057,DATA_MASTER!$D$2:$D$5000,0)),""))</f>
        <v/>
      </c>
      <c r="E2057" s="22">
        <f t="array" ref="E2057">IF($C2057="","",IFERROR(INDEX(DATA_MASTER!$I$2:$I$5000,MATCH($C2057,DATA_MASTER!$D$2:$D$5000,0)),""))</f>
        <v/>
      </c>
      <c r="F2057" s="22">
        <f t="array" ref="F2057">IF($C2057="","",IFERROR(INDEX(DATA_MASTER!$L$2:$L$5000,MATCH($C2057,DATA_MASTER!$D$2:$D$5000,0)),""))</f>
        <v/>
      </c>
      <c r="G2057" s="24" t="n"/>
      <c r="H2057" s="24" t="n"/>
      <c r="I2057" s="30" t="n"/>
      <c r="J2057" s="23">
        <f>IF(OR($H2057="",$I2057=""),"",$H2057*$I2057)</f>
        <v/>
      </c>
      <c r="K2057" s="24" t="n"/>
      <c r="L2057" s="24" t="n"/>
      <c r="M2057" s="29" t="n"/>
      <c r="N2057" s="28" t="n"/>
      <c r="O2057" s="24" t="n"/>
      <c r="P2057" s="24" t="n"/>
      <c r="Q2057" s="24" t="n"/>
      <c r="R2057" s="24" t="n"/>
      <c r="S2057" s="22">
        <f>IF(AND($A2057="",$C2057=""),"",IF($A2057="","Thiếu mã đơn; ","")&amp;IF(COUNTIF($A$2:$A2057,$A2057)&gt;1,"Trùng mã đơn; ","")&amp;IF(ISNA(MATCH($C2057,DATA_MASTER!$D$2:$D$5000,0)),"SĐT chưa đăng ký hội viên; ","")&amp;IF(AND($L2057="Đã chuyển khoản",$M2057=""),"Thiếu ngày nhận CK; ",""))</f>
        <v/>
      </c>
      <c r="T2057" s="24" t="n"/>
    </row>
    <row r="2058" ht="14.25" customHeight="1" s="40">
      <c r="A2058" s="24" t="n"/>
      <c r="B2058" s="29" t="n"/>
      <c r="C2058" s="28" t="n"/>
      <c r="D2058" s="22">
        <f t="array" ref="D2058">IF($C2058="","",IFERROR(INDEX(DATA_MASTER!$C$2:$C$5000,MATCH($C2058,DATA_MASTER!$D$2:$D$5000,0)),""))</f>
        <v/>
      </c>
      <c r="E2058" s="22">
        <f t="array" ref="E2058">IF($C2058="","",IFERROR(INDEX(DATA_MASTER!$I$2:$I$5000,MATCH($C2058,DATA_MASTER!$D$2:$D$5000,0)),""))</f>
        <v/>
      </c>
      <c r="F2058" s="22">
        <f t="array" ref="F2058">IF($C2058="","",IFERROR(INDEX(DATA_MASTER!$L$2:$L$5000,MATCH($C2058,DATA_MASTER!$D$2:$D$5000,0)),""))</f>
        <v/>
      </c>
      <c r="G2058" s="24" t="n"/>
      <c r="H2058" s="24" t="n"/>
      <c r="I2058" s="30" t="n"/>
      <c r="J2058" s="23">
        <f>IF(OR($H2058="",$I2058=""),"",$H2058*$I2058)</f>
        <v/>
      </c>
      <c r="K2058" s="24" t="n"/>
      <c r="L2058" s="24" t="n"/>
      <c r="M2058" s="29" t="n"/>
      <c r="N2058" s="28" t="n"/>
      <c r="O2058" s="24" t="n"/>
      <c r="P2058" s="24" t="n"/>
      <c r="Q2058" s="24" t="n"/>
      <c r="R2058" s="24" t="n"/>
      <c r="S2058" s="22">
        <f>IF(AND($A2058="",$C2058=""),"",IF($A2058="","Thiếu mã đơn; ","")&amp;IF(COUNTIF($A$2:$A2058,$A2058)&gt;1,"Trùng mã đơn; ","")&amp;IF(ISNA(MATCH($C2058,DATA_MASTER!$D$2:$D$5000,0)),"SĐT chưa đăng ký hội viên; ","")&amp;IF(AND($L2058="Đã chuyển khoản",$M2058=""),"Thiếu ngày nhận CK; ",""))</f>
        <v/>
      </c>
      <c r="T2058" s="24" t="n"/>
    </row>
    <row r="2059" ht="14.25" customHeight="1" s="40">
      <c r="A2059" s="24" t="n"/>
      <c r="B2059" s="29" t="n"/>
      <c r="C2059" s="28" t="n"/>
      <c r="D2059" s="22">
        <f t="array" ref="D2059">IF($C2059="","",IFERROR(INDEX(DATA_MASTER!$C$2:$C$5000,MATCH($C2059,DATA_MASTER!$D$2:$D$5000,0)),""))</f>
        <v/>
      </c>
      <c r="E2059" s="22">
        <f t="array" ref="E2059">IF($C2059="","",IFERROR(INDEX(DATA_MASTER!$I$2:$I$5000,MATCH($C2059,DATA_MASTER!$D$2:$D$5000,0)),""))</f>
        <v/>
      </c>
      <c r="F2059" s="22">
        <f t="array" ref="F2059">IF($C2059="","",IFERROR(INDEX(DATA_MASTER!$L$2:$L$5000,MATCH($C2059,DATA_MASTER!$D$2:$D$5000,0)),""))</f>
        <v/>
      </c>
      <c r="G2059" s="24" t="n"/>
      <c r="H2059" s="24" t="n"/>
      <c r="I2059" s="30" t="n"/>
      <c r="J2059" s="23">
        <f>IF(OR($H2059="",$I2059=""),"",$H2059*$I2059)</f>
        <v/>
      </c>
      <c r="K2059" s="24" t="n"/>
      <c r="L2059" s="24" t="n"/>
      <c r="M2059" s="29" t="n"/>
      <c r="N2059" s="28" t="n"/>
      <c r="O2059" s="24" t="n"/>
      <c r="P2059" s="24" t="n"/>
      <c r="Q2059" s="24" t="n"/>
      <c r="R2059" s="24" t="n"/>
      <c r="S2059" s="22">
        <f>IF(AND($A2059="",$C2059=""),"",IF($A2059="","Thiếu mã đơn; ","")&amp;IF(COUNTIF($A$2:$A2059,$A2059)&gt;1,"Trùng mã đơn; ","")&amp;IF(ISNA(MATCH($C2059,DATA_MASTER!$D$2:$D$5000,0)),"SĐT chưa đăng ký hội viên; ","")&amp;IF(AND($L2059="Đã chuyển khoản",$M2059=""),"Thiếu ngày nhận CK; ",""))</f>
        <v/>
      </c>
      <c r="T2059" s="24" t="n"/>
    </row>
    <row r="2060" ht="14.25" customHeight="1" s="40">
      <c r="A2060" s="24" t="n"/>
      <c r="B2060" s="29" t="n"/>
      <c r="C2060" s="28" t="n"/>
      <c r="D2060" s="22">
        <f t="array" ref="D2060">IF($C2060="","",IFERROR(INDEX(DATA_MASTER!$C$2:$C$5000,MATCH($C2060,DATA_MASTER!$D$2:$D$5000,0)),""))</f>
        <v/>
      </c>
      <c r="E2060" s="22">
        <f t="array" ref="E2060">IF($C2060="","",IFERROR(INDEX(DATA_MASTER!$I$2:$I$5000,MATCH($C2060,DATA_MASTER!$D$2:$D$5000,0)),""))</f>
        <v/>
      </c>
      <c r="F2060" s="22">
        <f t="array" ref="F2060">IF($C2060="","",IFERROR(INDEX(DATA_MASTER!$L$2:$L$5000,MATCH($C2060,DATA_MASTER!$D$2:$D$5000,0)),""))</f>
        <v/>
      </c>
      <c r="G2060" s="24" t="n"/>
      <c r="H2060" s="24" t="n"/>
      <c r="I2060" s="30" t="n"/>
      <c r="J2060" s="23">
        <f>IF(OR($H2060="",$I2060=""),"",$H2060*$I2060)</f>
        <v/>
      </c>
      <c r="K2060" s="24" t="n"/>
      <c r="L2060" s="24" t="n"/>
      <c r="M2060" s="29" t="n"/>
      <c r="N2060" s="28" t="n"/>
      <c r="O2060" s="24" t="n"/>
      <c r="P2060" s="24" t="n"/>
      <c r="Q2060" s="24" t="n"/>
      <c r="R2060" s="24" t="n"/>
      <c r="S2060" s="22">
        <f>IF(AND($A2060="",$C2060=""),"",IF($A2060="","Thiếu mã đơn; ","")&amp;IF(COUNTIF($A$2:$A2060,$A2060)&gt;1,"Trùng mã đơn; ","")&amp;IF(ISNA(MATCH($C2060,DATA_MASTER!$D$2:$D$5000,0)),"SĐT chưa đăng ký hội viên; ","")&amp;IF(AND($L2060="Đã chuyển khoản",$M2060=""),"Thiếu ngày nhận CK; ",""))</f>
        <v/>
      </c>
      <c r="T2060" s="24" t="n"/>
    </row>
    <row r="2061" ht="14.25" customHeight="1" s="40">
      <c r="A2061" s="24" t="n"/>
      <c r="B2061" s="29" t="n"/>
      <c r="C2061" s="28" t="n"/>
      <c r="D2061" s="22">
        <f t="array" ref="D2061">IF($C2061="","",IFERROR(INDEX(DATA_MASTER!$C$2:$C$5000,MATCH($C2061,DATA_MASTER!$D$2:$D$5000,0)),""))</f>
        <v/>
      </c>
      <c r="E2061" s="22">
        <f t="array" ref="E2061">IF($C2061="","",IFERROR(INDEX(DATA_MASTER!$I$2:$I$5000,MATCH($C2061,DATA_MASTER!$D$2:$D$5000,0)),""))</f>
        <v/>
      </c>
      <c r="F2061" s="22">
        <f t="array" ref="F2061">IF($C2061="","",IFERROR(INDEX(DATA_MASTER!$L$2:$L$5000,MATCH($C2061,DATA_MASTER!$D$2:$D$5000,0)),""))</f>
        <v/>
      </c>
      <c r="G2061" s="24" t="n"/>
      <c r="H2061" s="24" t="n"/>
      <c r="I2061" s="30" t="n"/>
      <c r="J2061" s="23">
        <f>IF(OR($H2061="",$I2061=""),"",$H2061*$I2061)</f>
        <v/>
      </c>
      <c r="K2061" s="24" t="n"/>
      <c r="L2061" s="24" t="n"/>
      <c r="M2061" s="29" t="n"/>
      <c r="N2061" s="28" t="n"/>
      <c r="O2061" s="24" t="n"/>
      <c r="P2061" s="24" t="n"/>
      <c r="Q2061" s="24" t="n"/>
      <c r="R2061" s="24" t="n"/>
      <c r="S2061" s="22">
        <f>IF(AND($A2061="",$C2061=""),"",IF($A2061="","Thiếu mã đơn; ","")&amp;IF(COUNTIF($A$2:$A2061,$A2061)&gt;1,"Trùng mã đơn; ","")&amp;IF(ISNA(MATCH($C2061,DATA_MASTER!$D$2:$D$5000,0)),"SĐT chưa đăng ký hội viên; ","")&amp;IF(AND($L2061="Đã chuyển khoản",$M2061=""),"Thiếu ngày nhận CK; ",""))</f>
        <v/>
      </c>
      <c r="T2061" s="24" t="n"/>
    </row>
    <row r="2062" ht="14.25" customHeight="1" s="40">
      <c r="A2062" s="24" t="n"/>
      <c r="B2062" s="29" t="n"/>
      <c r="C2062" s="28" t="n"/>
      <c r="D2062" s="22">
        <f t="array" ref="D2062">IF($C2062="","",IFERROR(INDEX(DATA_MASTER!$C$2:$C$5000,MATCH($C2062,DATA_MASTER!$D$2:$D$5000,0)),""))</f>
        <v/>
      </c>
      <c r="E2062" s="22">
        <f t="array" ref="E2062">IF($C2062="","",IFERROR(INDEX(DATA_MASTER!$I$2:$I$5000,MATCH($C2062,DATA_MASTER!$D$2:$D$5000,0)),""))</f>
        <v/>
      </c>
      <c r="F2062" s="22">
        <f t="array" ref="F2062">IF($C2062="","",IFERROR(INDEX(DATA_MASTER!$L$2:$L$5000,MATCH($C2062,DATA_MASTER!$D$2:$D$5000,0)),""))</f>
        <v/>
      </c>
      <c r="G2062" s="24" t="n"/>
      <c r="H2062" s="24" t="n"/>
      <c r="I2062" s="30" t="n"/>
      <c r="J2062" s="23">
        <f>IF(OR($H2062="",$I2062=""),"",$H2062*$I2062)</f>
        <v/>
      </c>
      <c r="K2062" s="24" t="n"/>
      <c r="L2062" s="24" t="n"/>
      <c r="M2062" s="29" t="n"/>
      <c r="N2062" s="28" t="n"/>
      <c r="O2062" s="24" t="n"/>
      <c r="P2062" s="24" t="n"/>
      <c r="Q2062" s="24" t="n"/>
      <c r="R2062" s="24" t="n"/>
      <c r="S2062" s="22">
        <f>IF(AND($A2062="",$C2062=""),"",IF($A2062="","Thiếu mã đơn; ","")&amp;IF(COUNTIF($A$2:$A2062,$A2062)&gt;1,"Trùng mã đơn; ","")&amp;IF(ISNA(MATCH($C2062,DATA_MASTER!$D$2:$D$5000,0)),"SĐT chưa đăng ký hội viên; ","")&amp;IF(AND($L2062="Đã chuyển khoản",$M2062=""),"Thiếu ngày nhận CK; ",""))</f>
        <v/>
      </c>
      <c r="T2062" s="24" t="n"/>
    </row>
    <row r="2063" ht="14.25" customHeight="1" s="40">
      <c r="A2063" s="24" t="n"/>
      <c r="B2063" s="29" t="n"/>
      <c r="C2063" s="28" t="n"/>
      <c r="D2063" s="22">
        <f t="array" ref="D2063">IF($C2063="","",IFERROR(INDEX(DATA_MASTER!$C$2:$C$5000,MATCH($C2063,DATA_MASTER!$D$2:$D$5000,0)),""))</f>
        <v/>
      </c>
      <c r="E2063" s="22">
        <f t="array" ref="E2063">IF($C2063="","",IFERROR(INDEX(DATA_MASTER!$I$2:$I$5000,MATCH($C2063,DATA_MASTER!$D$2:$D$5000,0)),""))</f>
        <v/>
      </c>
      <c r="F2063" s="22">
        <f t="array" ref="F2063">IF($C2063="","",IFERROR(INDEX(DATA_MASTER!$L$2:$L$5000,MATCH($C2063,DATA_MASTER!$D$2:$D$5000,0)),""))</f>
        <v/>
      </c>
      <c r="G2063" s="24" t="n"/>
      <c r="H2063" s="24" t="n"/>
      <c r="I2063" s="30" t="n"/>
      <c r="J2063" s="23">
        <f>IF(OR($H2063="",$I2063=""),"",$H2063*$I2063)</f>
        <v/>
      </c>
      <c r="K2063" s="24" t="n"/>
      <c r="L2063" s="24" t="n"/>
      <c r="M2063" s="29" t="n"/>
      <c r="N2063" s="28" t="n"/>
      <c r="O2063" s="24" t="n"/>
      <c r="P2063" s="24" t="n"/>
      <c r="Q2063" s="24" t="n"/>
      <c r="R2063" s="24" t="n"/>
      <c r="S2063" s="22">
        <f>IF(AND($A2063="",$C2063=""),"",IF($A2063="","Thiếu mã đơn; ","")&amp;IF(COUNTIF($A$2:$A2063,$A2063)&gt;1,"Trùng mã đơn; ","")&amp;IF(ISNA(MATCH($C2063,DATA_MASTER!$D$2:$D$5000,0)),"SĐT chưa đăng ký hội viên; ","")&amp;IF(AND($L2063="Đã chuyển khoản",$M2063=""),"Thiếu ngày nhận CK; ",""))</f>
        <v/>
      </c>
      <c r="T2063" s="24" t="n"/>
    </row>
    <row r="2064" ht="14.25" customHeight="1" s="40">
      <c r="A2064" s="24" t="n"/>
      <c r="B2064" s="29" t="n"/>
      <c r="C2064" s="28" t="n"/>
      <c r="D2064" s="22">
        <f t="array" ref="D2064">IF($C2064="","",IFERROR(INDEX(DATA_MASTER!$C$2:$C$5000,MATCH($C2064,DATA_MASTER!$D$2:$D$5000,0)),""))</f>
        <v/>
      </c>
      <c r="E2064" s="22">
        <f t="array" ref="E2064">IF($C2064="","",IFERROR(INDEX(DATA_MASTER!$I$2:$I$5000,MATCH($C2064,DATA_MASTER!$D$2:$D$5000,0)),""))</f>
        <v/>
      </c>
      <c r="F2064" s="22">
        <f t="array" ref="F2064">IF($C2064="","",IFERROR(INDEX(DATA_MASTER!$L$2:$L$5000,MATCH($C2064,DATA_MASTER!$D$2:$D$5000,0)),""))</f>
        <v/>
      </c>
      <c r="G2064" s="24" t="n"/>
      <c r="H2064" s="24" t="n"/>
      <c r="I2064" s="30" t="n"/>
      <c r="J2064" s="23">
        <f>IF(OR($H2064="",$I2064=""),"",$H2064*$I2064)</f>
        <v/>
      </c>
      <c r="K2064" s="24" t="n"/>
      <c r="L2064" s="24" t="n"/>
      <c r="M2064" s="29" t="n"/>
      <c r="N2064" s="28" t="n"/>
      <c r="O2064" s="24" t="n"/>
      <c r="P2064" s="24" t="n"/>
      <c r="Q2064" s="24" t="n"/>
      <c r="R2064" s="24" t="n"/>
      <c r="S2064" s="22">
        <f>IF(AND($A2064="",$C2064=""),"",IF($A2064="","Thiếu mã đơn; ","")&amp;IF(COUNTIF($A$2:$A2064,$A2064)&gt;1,"Trùng mã đơn; ","")&amp;IF(ISNA(MATCH($C2064,DATA_MASTER!$D$2:$D$5000,0)),"SĐT chưa đăng ký hội viên; ","")&amp;IF(AND($L2064="Đã chuyển khoản",$M2064=""),"Thiếu ngày nhận CK; ",""))</f>
        <v/>
      </c>
      <c r="T2064" s="24" t="n"/>
    </row>
    <row r="2065" ht="14.25" customHeight="1" s="40">
      <c r="A2065" s="24" t="n"/>
      <c r="B2065" s="29" t="n"/>
      <c r="C2065" s="28" t="n"/>
      <c r="D2065" s="22">
        <f t="array" ref="D2065">IF($C2065="","",IFERROR(INDEX(DATA_MASTER!$C$2:$C$5000,MATCH($C2065,DATA_MASTER!$D$2:$D$5000,0)),""))</f>
        <v/>
      </c>
      <c r="E2065" s="22">
        <f t="array" ref="E2065">IF($C2065="","",IFERROR(INDEX(DATA_MASTER!$I$2:$I$5000,MATCH($C2065,DATA_MASTER!$D$2:$D$5000,0)),""))</f>
        <v/>
      </c>
      <c r="F2065" s="22">
        <f t="array" ref="F2065">IF($C2065="","",IFERROR(INDEX(DATA_MASTER!$L$2:$L$5000,MATCH($C2065,DATA_MASTER!$D$2:$D$5000,0)),""))</f>
        <v/>
      </c>
      <c r="G2065" s="24" t="n"/>
      <c r="H2065" s="24" t="n"/>
      <c r="I2065" s="30" t="n"/>
      <c r="J2065" s="23">
        <f>IF(OR($H2065="",$I2065=""),"",$H2065*$I2065)</f>
        <v/>
      </c>
      <c r="K2065" s="24" t="n"/>
      <c r="L2065" s="24" t="n"/>
      <c r="M2065" s="29" t="n"/>
      <c r="N2065" s="28" t="n"/>
      <c r="O2065" s="24" t="n"/>
      <c r="P2065" s="24" t="n"/>
      <c r="Q2065" s="24" t="n"/>
      <c r="R2065" s="24" t="n"/>
      <c r="S2065" s="22">
        <f>IF(AND($A2065="",$C2065=""),"",IF($A2065="","Thiếu mã đơn; ","")&amp;IF(COUNTIF($A$2:$A2065,$A2065)&gt;1,"Trùng mã đơn; ","")&amp;IF(ISNA(MATCH($C2065,DATA_MASTER!$D$2:$D$5000,0)),"SĐT chưa đăng ký hội viên; ","")&amp;IF(AND($L2065="Đã chuyển khoản",$M2065=""),"Thiếu ngày nhận CK; ",""))</f>
        <v/>
      </c>
      <c r="T2065" s="24" t="n"/>
    </row>
    <row r="2066" ht="14.25" customHeight="1" s="40">
      <c r="A2066" s="24" t="n"/>
      <c r="B2066" s="29" t="n"/>
      <c r="C2066" s="28" t="n"/>
      <c r="D2066" s="22">
        <f t="array" ref="D2066">IF($C2066="","",IFERROR(INDEX(DATA_MASTER!$C$2:$C$5000,MATCH($C2066,DATA_MASTER!$D$2:$D$5000,0)),""))</f>
        <v/>
      </c>
      <c r="E2066" s="22">
        <f t="array" ref="E2066">IF($C2066="","",IFERROR(INDEX(DATA_MASTER!$I$2:$I$5000,MATCH($C2066,DATA_MASTER!$D$2:$D$5000,0)),""))</f>
        <v/>
      </c>
      <c r="F2066" s="22">
        <f t="array" ref="F2066">IF($C2066="","",IFERROR(INDEX(DATA_MASTER!$L$2:$L$5000,MATCH($C2066,DATA_MASTER!$D$2:$D$5000,0)),""))</f>
        <v/>
      </c>
      <c r="G2066" s="24" t="n"/>
      <c r="H2066" s="24" t="n"/>
      <c r="I2066" s="30" t="n"/>
      <c r="J2066" s="23">
        <f>IF(OR($H2066="",$I2066=""),"",$H2066*$I2066)</f>
        <v/>
      </c>
      <c r="K2066" s="24" t="n"/>
      <c r="L2066" s="24" t="n"/>
      <c r="M2066" s="29" t="n"/>
      <c r="N2066" s="28" t="n"/>
      <c r="O2066" s="24" t="n"/>
      <c r="P2066" s="24" t="n"/>
      <c r="Q2066" s="24" t="n"/>
      <c r="R2066" s="24" t="n"/>
      <c r="S2066" s="22">
        <f>IF(AND($A2066="",$C2066=""),"",IF($A2066="","Thiếu mã đơn; ","")&amp;IF(COUNTIF($A$2:$A2066,$A2066)&gt;1,"Trùng mã đơn; ","")&amp;IF(ISNA(MATCH($C2066,DATA_MASTER!$D$2:$D$5000,0)),"SĐT chưa đăng ký hội viên; ","")&amp;IF(AND($L2066="Đã chuyển khoản",$M2066=""),"Thiếu ngày nhận CK; ",""))</f>
        <v/>
      </c>
      <c r="T2066" s="24" t="n"/>
    </row>
    <row r="2067" ht="14.25" customHeight="1" s="40">
      <c r="A2067" s="24" t="n"/>
      <c r="B2067" s="29" t="n"/>
      <c r="C2067" s="28" t="n"/>
      <c r="D2067" s="22">
        <f t="array" ref="D2067">IF($C2067="","",IFERROR(INDEX(DATA_MASTER!$C$2:$C$5000,MATCH($C2067,DATA_MASTER!$D$2:$D$5000,0)),""))</f>
        <v/>
      </c>
      <c r="E2067" s="22">
        <f t="array" ref="E2067">IF($C2067="","",IFERROR(INDEX(DATA_MASTER!$I$2:$I$5000,MATCH($C2067,DATA_MASTER!$D$2:$D$5000,0)),""))</f>
        <v/>
      </c>
      <c r="F2067" s="22">
        <f t="array" ref="F2067">IF($C2067="","",IFERROR(INDEX(DATA_MASTER!$L$2:$L$5000,MATCH($C2067,DATA_MASTER!$D$2:$D$5000,0)),""))</f>
        <v/>
      </c>
      <c r="G2067" s="24" t="n"/>
      <c r="H2067" s="24" t="n"/>
      <c r="I2067" s="30" t="n"/>
      <c r="J2067" s="23">
        <f>IF(OR($H2067="",$I2067=""),"",$H2067*$I2067)</f>
        <v/>
      </c>
      <c r="K2067" s="24" t="n"/>
      <c r="L2067" s="24" t="n"/>
      <c r="M2067" s="29" t="n"/>
      <c r="N2067" s="28" t="n"/>
      <c r="O2067" s="24" t="n"/>
      <c r="P2067" s="24" t="n"/>
      <c r="Q2067" s="24" t="n"/>
      <c r="R2067" s="24" t="n"/>
      <c r="S2067" s="22">
        <f>IF(AND($A2067="",$C2067=""),"",IF($A2067="","Thiếu mã đơn; ","")&amp;IF(COUNTIF($A$2:$A2067,$A2067)&gt;1,"Trùng mã đơn; ","")&amp;IF(ISNA(MATCH($C2067,DATA_MASTER!$D$2:$D$5000,0)),"SĐT chưa đăng ký hội viên; ","")&amp;IF(AND($L2067="Đã chuyển khoản",$M2067=""),"Thiếu ngày nhận CK; ",""))</f>
        <v/>
      </c>
      <c r="T2067" s="24" t="n"/>
    </row>
    <row r="2068" ht="14.25" customHeight="1" s="40">
      <c r="A2068" s="24" t="n"/>
      <c r="B2068" s="29" t="n"/>
      <c r="C2068" s="28" t="n"/>
      <c r="D2068" s="22">
        <f t="array" ref="D2068">IF($C2068="","",IFERROR(INDEX(DATA_MASTER!$C$2:$C$5000,MATCH($C2068,DATA_MASTER!$D$2:$D$5000,0)),""))</f>
        <v/>
      </c>
      <c r="E2068" s="22">
        <f t="array" ref="E2068">IF($C2068="","",IFERROR(INDEX(DATA_MASTER!$I$2:$I$5000,MATCH($C2068,DATA_MASTER!$D$2:$D$5000,0)),""))</f>
        <v/>
      </c>
      <c r="F2068" s="22">
        <f t="array" ref="F2068">IF($C2068="","",IFERROR(INDEX(DATA_MASTER!$L$2:$L$5000,MATCH($C2068,DATA_MASTER!$D$2:$D$5000,0)),""))</f>
        <v/>
      </c>
      <c r="G2068" s="24" t="n"/>
      <c r="H2068" s="24" t="n"/>
      <c r="I2068" s="30" t="n"/>
      <c r="J2068" s="23">
        <f>IF(OR($H2068="",$I2068=""),"",$H2068*$I2068)</f>
        <v/>
      </c>
      <c r="K2068" s="24" t="n"/>
      <c r="L2068" s="24" t="n"/>
      <c r="M2068" s="29" t="n"/>
      <c r="N2068" s="28" t="n"/>
      <c r="O2068" s="24" t="n"/>
      <c r="P2068" s="24" t="n"/>
      <c r="Q2068" s="24" t="n"/>
      <c r="R2068" s="24" t="n"/>
      <c r="S2068" s="22">
        <f>IF(AND($A2068="",$C2068=""),"",IF($A2068="","Thiếu mã đơn; ","")&amp;IF(COUNTIF($A$2:$A2068,$A2068)&gt;1,"Trùng mã đơn; ","")&amp;IF(ISNA(MATCH($C2068,DATA_MASTER!$D$2:$D$5000,0)),"SĐT chưa đăng ký hội viên; ","")&amp;IF(AND($L2068="Đã chuyển khoản",$M2068=""),"Thiếu ngày nhận CK; ",""))</f>
        <v/>
      </c>
      <c r="T2068" s="24" t="n"/>
    </row>
    <row r="2069" ht="14.25" customHeight="1" s="40">
      <c r="A2069" s="24" t="n"/>
      <c r="B2069" s="29" t="n"/>
      <c r="C2069" s="28" t="n"/>
      <c r="D2069" s="22">
        <f t="array" ref="D2069">IF($C2069="","",IFERROR(INDEX(DATA_MASTER!$C$2:$C$5000,MATCH($C2069,DATA_MASTER!$D$2:$D$5000,0)),""))</f>
        <v/>
      </c>
      <c r="E2069" s="22">
        <f t="array" ref="E2069">IF($C2069="","",IFERROR(INDEX(DATA_MASTER!$I$2:$I$5000,MATCH($C2069,DATA_MASTER!$D$2:$D$5000,0)),""))</f>
        <v/>
      </c>
      <c r="F2069" s="22">
        <f t="array" ref="F2069">IF($C2069="","",IFERROR(INDEX(DATA_MASTER!$L$2:$L$5000,MATCH($C2069,DATA_MASTER!$D$2:$D$5000,0)),""))</f>
        <v/>
      </c>
      <c r="G2069" s="24" t="n"/>
      <c r="H2069" s="24" t="n"/>
      <c r="I2069" s="30" t="n"/>
      <c r="J2069" s="23">
        <f>IF(OR($H2069="",$I2069=""),"",$H2069*$I2069)</f>
        <v/>
      </c>
      <c r="K2069" s="24" t="n"/>
      <c r="L2069" s="24" t="n"/>
      <c r="M2069" s="29" t="n"/>
      <c r="N2069" s="28" t="n"/>
      <c r="O2069" s="24" t="n"/>
      <c r="P2069" s="24" t="n"/>
      <c r="Q2069" s="24" t="n"/>
      <c r="R2069" s="24" t="n"/>
      <c r="S2069" s="22">
        <f>IF(AND($A2069="",$C2069=""),"",IF($A2069="","Thiếu mã đơn; ","")&amp;IF(COUNTIF($A$2:$A2069,$A2069)&gt;1,"Trùng mã đơn; ","")&amp;IF(ISNA(MATCH($C2069,DATA_MASTER!$D$2:$D$5000,0)),"SĐT chưa đăng ký hội viên; ","")&amp;IF(AND($L2069="Đã chuyển khoản",$M2069=""),"Thiếu ngày nhận CK; ",""))</f>
        <v/>
      </c>
      <c r="T2069" s="24" t="n"/>
    </row>
    <row r="2070" ht="14.25" customHeight="1" s="40">
      <c r="A2070" s="24" t="n"/>
      <c r="B2070" s="29" t="n"/>
      <c r="C2070" s="28" t="n"/>
      <c r="D2070" s="22">
        <f t="array" ref="D2070">IF($C2070="","",IFERROR(INDEX(DATA_MASTER!$C$2:$C$5000,MATCH($C2070,DATA_MASTER!$D$2:$D$5000,0)),""))</f>
        <v/>
      </c>
      <c r="E2070" s="22">
        <f t="array" ref="E2070">IF($C2070="","",IFERROR(INDEX(DATA_MASTER!$I$2:$I$5000,MATCH($C2070,DATA_MASTER!$D$2:$D$5000,0)),""))</f>
        <v/>
      </c>
      <c r="F2070" s="22">
        <f t="array" ref="F2070">IF($C2070="","",IFERROR(INDEX(DATA_MASTER!$L$2:$L$5000,MATCH($C2070,DATA_MASTER!$D$2:$D$5000,0)),""))</f>
        <v/>
      </c>
      <c r="G2070" s="24" t="n"/>
      <c r="H2070" s="24" t="n"/>
      <c r="I2070" s="30" t="n"/>
      <c r="J2070" s="23">
        <f>IF(OR($H2070="",$I2070=""),"",$H2070*$I2070)</f>
        <v/>
      </c>
      <c r="K2070" s="24" t="n"/>
      <c r="L2070" s="24" t="n"/>
      <c r="M2070" s="29" t="n"/>
      <c r="N2070" s="28" t="n"/>
      <c r="O2070" s="24" t="n"/>
      <c r="P2070" s="24" t="n"/>
      <c r="Q2070" s="24" t="n"/>
      <c r="R2070" s="24" t="n"/>
      <c r="S2070" s="22">
        <f>IF(AND($A2070="",$C2070=""),"",IF($A2070="","Thiếu mã đơn; ","")&amp;IF(COUNTIF($A$2:$A2070,$A2070)&gt;1,"Trùng mã đơn; ","")&amp;IF(ISNA(MATCH($C2070,DATA_MASTER!$D$2:$D$5000,0)),"SĐT chưa đăng ký hội viên; ","")&amp;IF(AND($L2070="Đã chuyển khoản",$M2070=""),"Thiếu ngày nhận CK; ",""))</f>
        <v/>
      </c>
      <c r="T2070" s="24" t="n"/>
    </row>
    <row r="2071" ht="14.25" customHeight="1" s="40">
      <c r="A2071" s="24" t="n"/>
      <c r="B2071" s="29" t="n"/>
      <c r="C2071" s="28" t="n"/>
      <c r="D2071" s="22">
        <f t="array" ref="D2071">IF($C2071="","",IFERROR(INDEX(DATA_MASTER!$C$2:$C$5000,MATCH($C2071,DATA_MASTER!$D$2:$D$5000,0)),""))</f>
        <v/>
      </c>
      <c r="E2071" s="22">
        <f t="array" ref="E2071">IF($C2071="","",IFERROR(INDEX(DATA_MASTER!$I$2:$I$5000,MATCH($C2071,DATA_MASTER!$D$2:$D$5000,0)),""))</f>
        <v/>
      </c>
      <c r="F2071" s="22">
        <f t="array" ref="F2071">IF($C2071="","",IFERROR(INDEX(DATA_MASTER!$L$2:$L$5000,MATCH($C2071,DATA_MASTER!$D$2:$D$5000,0)),""))</f>
        <v/>
      </c>
      <c r="G2071" s="24" t="n"/>
      <c r="H2071" s="24" t="n"/>
      <c r="I2071" s="30" t="n"/>
      <c r="J2071" s="23">
        <f>IF(OR($H2071="",$I2071=""),"",$H2071*$I2071)</f>
        <v/>
      </c>
      <c r="K2071" s="24" t="n"/>
      <c r="L2071" s="24" t="n"/>
      <c r="M2071" s="29" t="n"/>
      <c r="N2071" s="28" t="n"/>
      <c r="O2071" s="24" t="n"/>
      <c r="P2071" s="24" t="n"/>
      <c r="Q2071" s="24" t="n"/>
      <c r="R2071" s="24" t="n"/>
      <c r="S2071" s="22">
        <f>IF(AND($A2071="",$C2071=""),"",IF($A2071="","Thiếu mã đơn; ","")&amp;IF(COUNTIF($A$2:$A2071,$A2071)&gt;1,"Trùng mã đơn; ","")&amp;IF(ISNA(MATCH($C2071,DATA_MASTER!$D$2:$D$5000,0)),"SĐT chưa đăng ký hội viên; ","")&amp;IF(AND($L2071="Đã chuyển khoản",$M2071=""),"Thiếu ngày nhận CK; ",""))</f>
        <v/>
      </c>
      <c r="T2071" s="24" t="n"/>
    </row>
    <row r="2072" ht="14.25" customHeight="1" s="40">
      <c r="A2072" s="24" t="n"/>
      <c r="B2072" s="29" t="n"/>
      <c r="C2072" s="28" t="n"/>
      <c r="D2072" s="22">
        <f t="array" ref="D2072">IF($C2072="","",IFERROR(INDEX(DATA_MASTER!$C$2:$C$5000,MATCH($C2072,DATA_MASTER!$D$2:$D$5000,0)),""))</f>
        <v/>
      </c>
      <c r="E2072" s="22">
        <f t="array" ref="E2072">IF($C2072="","",IFERROR(INDEX(DATA_MASTER!$I$2:$I$5000,MATCH($C2072,DATA_MASTER!$D$2:$D$5000,0)),""))</f>
        <v/>
      </c>
      <c r="F2072" s="22">
        <f t="array" ref="F2072">IF($C2072="","",IFERROR(INDEX(DATA_MASTER!$L$2:$L$5000,MATCH($C2072,DATA_MASTER!$D$2:$D$5000,0)),""))</f>
        <v/>
      </c>
      <c r="G2072" s="24" t="n"/>
      <c r="H2072" s="24" t="n"/>
      <c r="I2072" s="30" t="n"/>
      <c r="J2072" s="23">
        <f>IF(OR($H2072="",$I2072=""),"",$H2072*$I2072)</f>
        <v/>
      </c>
      <c r="K2072" s="24" t="n"/>
      <c r="L2072" s="24" t="n"/>
      <c r="M2072" s="29" t="n"/>
      <c r="N2072" s="28" t="n"/>
      <c r="O2072" s="24" t="n"/>
      <c r="P2072" s="24" t="n"/>
      <c r="Q2072" s="24" t="n"/>
      <c r="R2072" s="24" t="n"/>
      <c r="S2072" s="22">
        <f>IF(AND($A2072="",$C2072=""),"",IF($A2072="","Thiếu mã đơn; ","")&amp;IF(COUNTIF($A$2:$A2072,$A2072)&gt;1,"Trùng mã đơn; ","")&amp;IF(ISNA(MATCH($C2072,DATA_MASTER!$D$2:$D$5000,0)),"SĐT chưa đăng ký hội viên; ","")&amp;IF(AND($L2072="Đã chuyển khoản",$M2072=""),"Thiếu ngày nhận CK; ",""))</f>
        <v/>
      </c>
      <c r="T2072" s="24" t="n"/>
    </row>
    <row r="2073" ht="14.25" customHeight="1" s="40">
      <c r="A2073" s="24" t="n"/>
      <c r="B2073" s="29" t="n"/>
      <c r="C2073" s="28" t="n"/>
      <c r="D2073" s="22">
        <f t="array" ref="D2073">IF($C2073="","",IFERROR(INDEX(DATA_MASTER!$C$2:$C$5000,MATCH($C2073,DATA_MASTER!$D$2:$D$5000,0)),""))</f>
        <v/>
      </c>
      <c r="E2073" s="22">
        <f t="array" ref="E2073">IF($C2073="","",IFERROR(INDEX(DATA_MASTER!$I$2:$I$5000,MATCH($C2073,DATA_MASTER!$D$2:$D$5000,0)),""))</f>
        <v/>
      </c>
      <c r="F2073" s="22">
        <f t="array" ref="F2073">IF($C2073="","",IFERROR(INDEX(DATA_MASTER!$L$2:$L$5000,MATCH($C2073,DATA_MASTER!$D$2:$D$5000,0)),""))</f>
        <v/>
      </c>
      <c r="G2073" s="24" t="n"/>
      <c r="H2073" s="24" t="n"/>
      <c r="I2073" s="30" t="n"/>
      <c r="J2073" s="23">
        <f>IF(OR($H2073="",$I2073=""),"",$H2073*$I2073)</f>
        <v/>
      </c>
      <c r="K2073" s="24" t="n"/>
      <c r="L2073" s="24" t="n"/>
      <c r="M2073" s="29" t="n"/>
      <c r="N2073" s="28" t="n"/>
      <c r="O2073" s="24" t="n"/>
      <c r="P2073" s="24" t="n"/>
      <c r="Q2073" s="24" t="n"/>
      <c r="R2073" s="24" t="n"/>
      <c r="S2073" s="22">
        <f>IF(AND($A2073="",$C2073=""),"",IF($A2073="","Thiếu mã đơn; ","")&amp;IF(COUNTIF($A$2:$A2073,$A2073)&gt;1,"Trùng mã đơn; ","")&amp;IF(ISNA(MATCH($C2073,DATA_MASTER!$D$2:$D$5000,0)),"SĐT chưa đăng ký hội viên; ","")&amp;IF(AND($L2073="Đã chuyển khoản",$M2073=""),"Thiếu ngày nhận CK; ",""))</f>
        <v/>
      </c>
      <c r="T2073" s="24" t="n"/>
    </row>
    <row r="2074" ht="14.25" customHeight="1" s="40">
      <c r="A2074" s="24" t="n"/>
      <c r="B2074" s="29" t="n"/>
      <c r="C2074" s="28" t="n"/>
      <c r="D2074" s="22">
        <f t="array" ref="D2074">IF($C2074="","",IFERROR(INDEX(DATA_MASTER!$C$2:$C$5000,MATCH($C2074,DATA_MASTER!$D$2:$D$5000,0)),""))</f>
        <v/>
      </c>
      <c r="E2074" s="22">
        <f t="array" ref="E2074">IF($C2074="","",IFERROR(INDEX(DATA_MASTER!$I$2:$I$5000,MATCH($C2074,DATA_MASTER!$D$2:$D$5000,0)),""))</f>
        <v/>
      </c>
      <c r="F2074" s="22">
        <f t="array" ref="F2074">IF($C2074="","",IFERROR(INDEX(DATA_MASTER!$L$2:$L$5000,MATCH($C2074,DATA_MASTER!$D$2:$D$5000,0)),""))</f>
        <v/>
      </c>
      <c r="G2074" s="24" t="n"/>
      <c r="H2074" s="24" t="n"/>
      <c r="I2074" s="30" t="n"/>
      <c r="J2074" s="23">
        <f>IF(OR($H2074="",$I2074=""),"",$H2074*$I2074)</f>
        <v/>
      </c>
      <c r="K2074" s="24" t="n"/>
      <c r="L2074" s="24" t="n"/>
      <c r="M2074" s="29" t="n"/>
      <c r="N2074" s="28" t="n"/>
      <c r="O2074" s="24" t="n"/>
      <c r="P2074" s="24" t="n"/>
      <c r="Q2074" s="24" t="n"/>
      <c r="R2074" s="24" t="n"/>
      <c r="S2074" s="22">
        <f>IF(AND($A2074="",$C2074=""),"",IF($A2074="","Thiếu mã đơn; ","")&amp;IF(COUNTIF($A$2:$A2074,$A2074)&gt;1,"Trùng mã đơn; ","")&amp;IF(ISNA(MATCH($C2074,DATA_MASTER!$D$2:$D$5000,0)),"SĐT chưa đăng ký hội viên; ","")&amp;IF(AND($L2074="Đã chuyển khoản",$M2074=""),"Thiếu ngày nhận CK; ",""))</f>
        <v/>
      </c>
      <c r="T2074" s="24" t="n"/>
    </row>
    <row r="2075" ht="14.25" customHeight="1" s="40">
      <c r="A2075" s="24" t="n"/>
      <c r="B2075" s="29" t="n"/>
      <c r="C2075" s="28" t="n"/>
      <c r="D2075" s="22">
        <f t="array" ref="D2075">IF($C2075="","",IFERROR(INDEX(DATA_MASTER!$C$2:$C$5000,MATCH($C2075,DATA_MASTER!$D$2:$D$5000,0)),""))</f>
        <v/>
      </c>
      <c r="E2075" s="22">
        <f t="array" ref="E2075">IF($C2075="","",IFERROR(INDEX(DATA_MASTER!$I$2:$I$5000,MATCH($C2075,DATA_MASTER!$D$2:$D$5000,0)),""))</f>
        <v/>
      </c>
      <c r="F2075" s="22">
        <f t="array" ref="F2075">IF($C2075="","",IFERROR(INDEX(DATA_MASTER!$L$2:$L$5000,MATCH($C2075,DATA_MASTER!$D$2:$D$5000,0)),""))</f>
        <v/>
      </c>
      <c r="G2075" s="24" t="n"/>
      <c r="H2075" s="24" t="n"/>
      <c r="I2075" s="30" t="n"/>
      <c r="J2075" s="23">
        <f>IF(OR($H2075="",$I2075=""),"",$H2075*$I2075)</f>
        <v/>
      </c>
      <c r="K2075" s="24" t="n"/>
      <c r="L2075" s="24" t="n"/>
      <c r="M2075" s="29" t="n"/>
      <c r="N2075" s="28" t="n"/>
      <c r="O2075" s="24" t="n"/>
      <c r="P2075" s="24" t="n"/>
      <c r="Q2075" s="24" t="n"/>
      <c r="R2075" s="24" t="n"/>
      <c r="S2075" s="22">
        <f>IF(AND($A2075="",$C2075=""),"",IF($A2075="","Thiếu mã đơn; ","")&amp;IF(COUNTIF($A$2:$A2075,$A2075)&gt;1,"Trùng mã đơn; ","")&amp;IF(ISNA(MATCH($C2075,DATA_MASTER!$D$2:$D$5000,0)),"SĐT chưa đăng ký hội viên; ","")&amp;IF(AND($L2075="Đã chuyển khoản",$M2075=""),"Thiếu ngày nhận CK; ",""))</f>
        <v/>
      </c>
      <c r="T2075" s="24" t="n"/>
    </row>
    <row r="2076" ht="14.25" customHeight="1" s="40">
      <c r="A2076" s="24" t="n"/>
      <c r="B2076" s="29" t="n"/>
      <c r="C2076" s="28" t="n"/>
      <c r="D2076" s="22">
        <f t="array" ref="D2076">IF($C2076="","",IFERROR(INDEX(DATA_MASTER!$C$2:$C$5000,MATCH($C2076,DATA_MASTER!$D$2:$D$5000,0)),""))</f>
        <v/>
      </c>
      <c r="E2076" s="22">
        <f t="array" ref="E2076">IF($C2076="","",IFERROR(INDEX(DATA_MASTER!$I$2:$I$5000,MATCH($C2076,DATA_MASTER!$D$2:$D$5000,0)),""))</f>
        <v/>
      </c>
      <c r="F2076" s="22">
        <f t="array" ref="F2076">IF($C2076="","",IFERROR(INDEX(DATA_MASTER!$L$2:$L$5000,MATCH($C2076,DATA_MASTER!$D$2:$D$5000,0)),""))</f>
        <v/>
      </c>
      <c r="G2076" s="24" t="n"/>
      <c r="H2076" s="24" t="n"/>
      <c r="I2076" s="30" t="n"/>
      <c r="J2076" s="23">
        <f>IF(OR($H2076="",$I2076=""),"",$H2076*$I2076)</f>
        <v/>
      </c>
      <c r="K2076" s="24" t="n"/>
      <c r="L2076" s="24" t="n"/>
      <c r="M2076" s="29" t="n"/>
      <c r="N2076" s="28" t="n"/>
      <c r="O2076" s="24" t="n"/>
      <c r="P2076" s="24" t="n"/>
      <c r="Q2076" s="24" t="n"/>
      <c r="R2076" s="24" t="n"/>
      <c r="S2076" s="22">
        <f>IF(AND($A2076="",$C2076=""),"",IF($A2076="","Thiếu mã đơn; ","")&amp;IF(COUNTIF($A$2:$A2076,$A2076)&gt;1,"Trùng mã đơn; ","")&amp;IF(ISNA(MATCH($C2076,DATA_MASTER!$D$2:$D$5000,0)),"SĐT chưa đăng ký hội viên; ","")&amp;IF(AND($L2076="Đã chuyển khoản",$M2076=""),"Thiếu ngày nhận CK; ",""))</f>
        <v/>
      </c>
      <c r="T2076" s="24" t="n"/>
    </row>
    <row r="2077" ht="14.25" customHeight="1" s="40">
      <c r="A2077" s="24" t="n"/>
      <c r="B2077" s="29" t="n"/>
      <c r="C2077" s="28" t="n"/>
      <c r="D2077" s="22">
        <f t="array" ref="D2077">IF($C2077="","",IFERROR(INDEX(DATA_MASTER!$C$2:$C$5000,MATCH($C2077,DATA_MASTER!$D$2:$D$5000,0)),""))</f>
        <v/>
      </c>
      <c r="E2077" s="22">
        <f t="array" ref="E2077">IF($C2077="","",IFERROR(INDEX(DATA_MASTER!$I$2:$I$5000,MATCH($C2077,DATA_MASTER!$D$2:$D$5000,0)),""))</f>
        <v/>
      </c>
      <c r="F2077" s="22">
        <f t="array" ref="F2077">IF($C2077="","",IFERROR(INDEX(DATA_MASTER!$L$2:$L$5000,MATCH($C2077,DATA_MASTER!$D$2:$D$5000,0)),""))</f>
        <v/>
      </c>
      <c r="G2077" s="24" t="n"/>
      <c r="H2077" s="24" t="n"/>
      <c r="I2077" s="30" t="n"/>
      <c r="J2077" s="23">
        <f>IF(OR($H2077="",$I2077=""),"",$H2077*$I2077)</f>
        <v/>
      </c>
      <c r="K2077" s="24" t="n"/>
      <c r="L2077" s="24" t="n"/>
      <c r="M2077" s="29" t="n"/>
      <c r="N2077" s="28" t="n"/>
      <c r="O2077" s="24" t="n"/>
      <c r="P2077" s="24" t="n"/>
      <c r="Q2077" s="24" t="n"/>
      <c r="R2077" s="24" t="n"/>
      <c r="S2077" s="22">
        <f>IF(AND($A2077="",$C2077=""),"",IF($A2077="","Thiếu mã đơn; ","")&amp;IF(COUNTIF($A$2:$A2077,$A2077)&gt;1,"Trùng mã đơn; ","")&amp;IF(ISNA(MATCH($C2077,DATA_MASTER!$D$2:$D$5000,0)),"SĐT chưa đăng ký hội viên; ","")&amp;IF(AND($L2077="Đã chuyển khoản",$M2077=""),"Thiếu ngày nhận CK; ",""))</f>
        <v/>
      </c>
      <c r="T2077" s="24" t="n"/>
    </row>
    <row r="2078" ht="14.25" customHeight="1" s="40">
      <c r="A2078" s="24" t="n"/>
      <c r="B2078" s="29" t="n"/>
      <c r="C2078" s="28" t="n"/>
      <c r="D2078" s="22">
        <f t="array" ref="D2078">IF($C2078="","",IFERROR(INDEX(DATA_MASTER!$C$2:$C$5000,MATCH($C2078,DATA_MASTER!$D$2:$D$5000,0)),""))</f>
        <v/>
      </c>
      <c r="E2078" s="22">
        <f t="array" ref="E2078">IF($C2078="","",IFERROR(INDEX(DATA_MASTER!$I$2:$I$5000,MATCH($C2078,DATA_MASTER!$D$2:$D$5000,0)),""))</f>
        <v/>
      </c>
      <c r="F2078" s="22">
        <f t="array" ref="F2078">IF($C2078="","",IFERROR(INDEX(DATA_MASTER!$L$2:$L$5000,MATCH($C2078,DATA_MASTER!$D$2:$D$5000,0)),""))</f>
        <v/>
      </c>
      <c r="G2078" s="24" t="n"/>
      <c r="H2078" s="24" t="n"/>
      <c r="I2078" s="30" t="n"/>
      <c r="J2078" s="23">
        <f>IF(OR($H2078="",$I2078=""),"",$H2078*$I2078)</f>
        <v/>
      </c>
      <c r="K2078" s="24" t="n"/>
      <c r="L2078" s="24" t="n"/>
      <c r="M2078" s="29" t="n"/>
      <c r="N2078" s="28" t="n"/>
      <c r="O2078" s="24" t="n"/>
      <c r="P2078" s="24" t="n"/>
      <c r="Q2078" s="24" t="n"/>
      <c r="R2078" s="24" t="n"/>
      <c r="S2078" s="22">
        <f>IF(AND($A2078="",$C2078=""),"",IF($A2078="","Thiếu mã đơn; ","")&amp;IF(COUNTIF($A$2:$A2078,$A2078)&gt;1,"Trùng mã đơn; ","")&amp;IF(ISNA(MATCH($C2078,DATA_MASTER!$D$2:$D$5000,0)),"SĐT chưa đăng ký hội viên; ","")&amp;IF(AND($L2078="Đã chuyển khoản",$M2078=""),"Thiếu ngày nhận CK; ",""))</f>
        <v/>
      </c>
      <c r="T2078" s="24" t="n"/>
    </row>
    <row r="2079" ht="14.25" customHeight="1" s="40">
      <c r="A2079" s="24" t="n"/>
      <c r="B2079" s="29" t="n"/>
      <c r="C2079" s="28" t="n"/>
      <c r="D2079" s="22">
        <f t="array" ref="D2079">IF($C2079="","",IFERROR(INDEX(DATA_MASTER!$C$2:$C$5000,MATCH($C2079,DATA_MASTER!$D$2:$D$5000,0)),""))</f>
        <v/>
      </c>
      <c r="E2079" s="22">
        <f t="array" ref="E2079">IF($C2079="","",IFERROR(INDEX(DATA_MASTER!$I$2:$I$5000,MATCH($C2079,DATA_MASTER!$D$2:$D$5000,0)),""))</f>
        <v/>
      </c>
      <c r="F2079" s="22">
        <f t="array" ref="F2079">IF($C2079="","",IFERROR(INDEX(DATA_MASTER!$L$2:$L$5000,MATCH($C2079,DATA_MASTER!$D$2:$D$5000,0)),""))</f>
        <v/>
      </c>
      <c r="G2079" s="24" t="n"/>
      <c r="H2079" s="24" t="n"/>
      <c r="I2079" s="30" t="n"/>
      <c r="J2079" s="23">
        <f>IF(OR($H2079="",$I2079=""),"",$H2079*$I2079)</f>
        <v/>
      </c>
      <c r="K2079" s="24" t="n"/>
      <c r="L2079" s="24" t="n"/>
      <c r="M2079" s="29" t="n"/>
      <c r="N2079" s="28" t="n"/>
      <c r="O2079" s="24" t="n"/>
      <c r="P2079" s="24" t="n"/>
      <c r="Q2079" s="24" t="n"/>
      <c r="R2079" s="24" t="n"/>
      <c r="S2079" s="22">
        <f>IF(AND($A2079="",$C2079=""),"",IF($A2079="","Thiếu mã đơn; ","")&amp;IF(COUNTIF($A$2:$A2079,$A2079)&gt;1,"Trùng mã đơn; ","")&amp;IF(ISNA(MATCH($C2079,DATA_MASTER!$D$2:$D$5000,0)),"SĐT chưa đăng ký hội viên; ","")&amp;IF(AND($L2079="Đã chuyển khoản",$M2079=""),"Thiếu ngày nhận CK; ",""))</f>
        <v/>
      </c>
      <c r="T2079" s="24" t="n"/>
    </row>
    <row r="2080" ht="14.25" customHeight="1" s="40">
      <c r="A2080" s="24" t="n"/>
      <c r="B2080" s="29" t="n"/>
      <c r="C2080" s="28" t="n"/>
      <c r="D2080" s="22">
        <f t="array" ref="D2080">IF($C2080="","",IFERROR(INDEX(DATA_MASTER!$C$2:$C$5000,MATCH($C2080,DATA_MASTER!$D$2:$D$5000,0)),""))</f>
        <v/>
      </c>
      <c r="E2080" s="22">
        <f t="array" ref="E2080">IF($C2080="","",IFERROR(INDEX(DATA_MASTER!$I$2:$I$5000,MATCH($C2080,DATA_MASTER!$D$2:$D$5000,0)),""))</f>
        <v/>
      </c>
      <c r="F2080" s="22">
        <f t="array" ref="F2080">IF($C2080="","",IFERROR(INDEX(DATA_MASTER!$L$2:$L$5000,MATCH($C2080,DATA_MASTER!$D$2:$D$5000,0)),""))</f>
        <v/>
      </c>
      <c r="G2080" s="24" t="n"/>
      <c r="H2080" s="24" t="n"/>
      <c r="I2080" s="30" t="n"/>
      <c r="J2080" s="23">
        <f>IF(OR($H2080="",$I2080=""),"",$H2080*$I2080)</f>
        <v/>
      </c>
      <c r="K2080" s="24" t="n"/>
      <c r="L2080" s="24" t="n"/>
      <c r="M2080" s="29" t="n"/>
      <c r="N2080" s="28" t="n"/>
      <c r="O2080" s="24" t="n"/>
      <c r="P2080" s="24" t="n"/>
      <c r="Q2080" s="24" t="n"/>
      <c r="R2080" s="24" t="n"/>
      <c r="S2080" s="22">
        <f>IF(AND($A2080="",$C2080=""),"",IF($A2080="","Thiếu mã đơn; ","")&amp;IF(COUNTIF($A$2:$A2080,$A2080)&gt;1,"Trùng mã đơn; ","")&amp;IF(ISNA(MATCH($C2080,DATA_MASTER!$D$2:$D$5000,0)),"SĐT chưa đăng ký hội viên; ","")&amp;IF(AND($L2080="Đã chuyển khoản",$M2080=""),"Thiếu ngày nhận CK; ",""))</f>
        <v/>
      </c>
      <c r="T2080" s="24" t="n"/>
    </row>
    <row r="2081" ht="14.25" customHeight="1" s="40">
      <c r="A2081" s="24" t="n"/>
      <c r="B2081" s="29" t="n"/>
      <c r="C2081" s="28" t="n"/>
      <c r="D2081" s="22">
        <f t="array" ref="D2081">IF($C2081="","",IFERROR(INDEX(DATA_MASTER!$C$2:$C$5000,MATCH($C2081,DATA_MASTER!$D$2:$D$5000,0)),""))</f>
        <v/>
      </c>
      <c r="E2081" s="22">
        <f t="array" ref="E2081">IF($C2081="","",IFERROR(INDEX(DATA_MASTER!$I$2:$I$5000,MATCH($C2081,DATA_MASTER!$D$2:$D$5000,0)),""))</f>
        <v/>
      </c>
      <c r="F2081" s="22">
        <f t="array" ref="F2081">IF($C2081="","",IFERROR(INDEX(DATA_MASTER!$L$2:$L$5000,MATCH($C2081,DATA_MASTER!$D$2:$D$5000,0)),""))</f>
        <v/>
      </c>
      <c r="G2081" s="24" t="n"/>
      <c r="H2081" s="24" t="n"/>
      <c r="I2081" s="30" t="n"/>
      <c r="J2081" s="23">
        <f>IF(OR($H2081="",$I2081=""),"",$H2081*$I2081)</f>
        <v/>
      </c>
      <c r="K2081" s="24" t="n"/>
      <c r="L2081" s="24" t="n"/>
      <c r="M2081" s="29" t="n"/>
      <c r="N2081" s="28" t="n"/>
      <c r="O2081" s="24" t="n"/>
      <c r="P2081" s="24" t="n"/>
      <c r="Q2081" s="24" t="n"/>
      <c r="R2081" s="24" t="n"/>
      <c r="S2081" s="22">
        <f>IF(AND($A2081="",$C2081=""),"",IF($A2081="","Thiếu mã đơn; ","")&amp;IF(COUNTIF($A$2:$A2081,$A2081)&gt;1,"Trùng mã đơn; ","")&amp;IF(ISNA(MATCH($C2081,DATA_MASTER!$D$2:$D$5000,0)),"SĐT chưa đăng ký hội viên; ","")&amp;IF(AND($L2081="Đã chuyển khoản",$M2081=""),"Thiếu ngày nhận CK; ",""))</f>
        <v/>
      </c>
      <c r="T2081" s="24" t="n"/>
    </row>
    <row r="2082" ht="14.25" customHeight="1" s="40">
      <c r="A2082" s="24" t="n"/>
      <c r="B2082" s="29" t="n"/>
      <c r="C2082" s="28" t="n"/>
      <c r="D2082" s="22">
        <f t="array" ref="D2082">IF($C2082="","",IFERROR(INDEX(DATA_MASTER!$C$2:$C$5000,MATCH($C2082,DATA_MASTER!$D$2:$D$5000,0)),""))</f>
        <v/>
      </c>
      <c r="E2082" s="22">
        <f t="array" ref="E2082">IF($C2082="","",IFERROR(INDEX(DATA_MASTER!$I$2:$I$5000,MATCH($C2082,DATA_MASTER!$D$2:$D$5000,0)),""))</f>
        <v/>
      </c>
      <c r="F2082" s="22">
        <f t="array" ref="F2082">IF($C2082="","",IFERROR(INDEX(DATA_MASTER!$L$2:$L$5000,MATCH($C2082,DATA_MASTER!$D$2:$D$5000,0)),""))</f>
        <v/>
      </c>
      <c r="G2082" s="24" t="n"/>
      <c r="H2082" s="24" t="n"/>
      <c r="I2082" s="30" t="n"/>
      <c r="J2082" s="23">
        <f>IF(OR($H2082="",$I2082=""),"",$H2082*$I2082)</f>
        <v/>
      </c>
      <c r="K2082" s="24" t="n"/>
      <c r="L2082" s="24" t="n"/>
      <c r="M2082" s="29" t="n"/>
      <c r="N2082" s="28" t="n"/>
      <c r="O2082" s="24" t="n"/>
      <c r="P2082" s="24" t="n"/>
      <c r="Q2082" s="24" t="n"/>
      <c r="R2082" s="24" t="n"/>
      <c r="S2082" s="22">
        <f>IF(AND($A2082="",$C2082=""),"",IF($A2082="","Thiếu mã đơn; ","")&amp;IF(COUNTIF($A$2:$A2082,$A2082)&gt;1,"Trùng mã đơn; ","")&amp;IF(ISNA(MATCH($C2082,DATA_MASTER!$D$2:$D$5000,0)),"SĐT chưa đăng ký hội viên; ","")&amp;IF(AND($L2082="Đã chuyển khoản",$M2082=""),"Thiếu ngày nhận CK; ",""))</f>
        <v/>
      </c>
      <c r="T2082" s="24" t="n"/>
    </row>
    <row r="2083" ht="14.25" customHeight="1" s="40">
      <c r="A2083" s="24" t="n"/>
      <c r="B2083" s="29" t="n"/>
      <c r="C2083" s="28" t="n"/>
      <c r="D2083" s="22">
        <f t="array" ref="D2083">IF($C2083="","",IFERROR(INDEX(DATA_MASTER!$C$2:$C$5000,MATCH($C2083,DATA_MASTER!$D$2:$D$5000,0)),""))</f>
        <v/>
      </c>
      <c r="E2083" s="22">
        <f t="array" ref="E2083">IF($C2083="","",IFERROR(INDEX(DATA_MASTER!$I$2:$I$5000,MATCH($C2083,DATA_MASTER!$D$2:$D$5000,0)),""))</f>
        <v/>
      </c>
      <c r="F2083" s="22">
        <f t="array" ref="F2083">IF($C2083="","",IFERROR(INDEX(DATA_MASTER!$L$2:$L$5000,MATCH($C2083,DATA_MASTER!$D$2:$D$5000,0)),""))</f>
        <v/>
      </c>
      <c r="G2083" s="24" t="n"/>
      <c r="H2083" s="24" t="n"/>
      <c r="I2083" s="30" t="n"/>
      <c r="J2083" s="23">
        <f>IF(OR($H2083="",$I2083=""),"",$H2083*$I2083)</f>
        <v/>
      </c>
      <c r="K2083" s="24" t="n"/>
      <c r="L2083" s="24" t="n"/>
      <c r="M2083" s="29" t="n"/>
      <c r="N2083" s="28" t="n"/>
      <c r="O2083" s="24" t="n"/>
      <c r="P2083" s="24" t="n"/>
      <c r="Q2083" s="24" t="n"/>
      <c r="R2083" s="24" t="n"/>
      <c r="S2083" s="22">
        <f>IF(AND($A2083="",$C2083=""),"",IF($A2083="","Thiếu mã đơn; ","")&amp;IF(COUNTIF($A$2:$A2083,$A2083)&gt;1,"Trùng mã đơn; ","")&amp;IF(ISNA(MATCH($C2083,DATA_MASTER!$D$2:$D$5000,0)),"SĐT chưa đăng ký hội viên; ","")&amp;IF(AND($L2083="Đã chuyển khoản",$M2083=""),"Thiếu ngày nhận CK; ",""))</f>
        <v/>
      </c>
      <c r="T2083" s="24" t="n"/>
    </row>
    <row r="2084" ht="14.25" customHeight="1" s="40">
      <c r="A2084" s="24" t="n"/>
      <c r="B2084" s="29" t="n"/>
      <c r="C2084" s="28" t="n"/>
      <c r="D2084" s="22">
        <f t="array" ref="D2084">IF($C2084="","",IFERROR(INDEX(DATA_MASTER!$C$2:$C$5000,MATCH($C2084,DATA_MASTER!$D$2:$D$5000,0)),""))</f>
        <v/>
      </c>
      <c r="E2084" s="22">
        <f t="array" ref="E2084">IF($C2084="","",IFERROR(INDEX(DATA_MASTER!$I$2:$I$5000,MATCH($C2084,DATA_MASTER!$D$2:$D$5000,0)),""))</f>
        <v/>
      </c>
      <c r="F2084" s="22">
        <f t="array" ref="F2084">IF($C2084="","",IFERROR(INDEX(DATA_MASTER!$L$2:$L$5000,MATCH($C2084,DATA_MASTER!$D$2:$D$5000,0)),""))</f>
        <v/>
      </c>
      <c r="G2084" s="24" t="n"/>
      <c r="H2084" s="24" t="n"/>
      <c r="I2084" s="30" t="n"/>
      <c r="J2084" s="23">
        <f>IF(OR($H2084="",$I2084=""),"",$H2084*$I2084)</f>
        <v/>
      </c>
      <c r="K2084" s="24" t="n"/>
      <c r="L2084" s="24" t="n"/>
      <c r="M2084" s="29" t="n"/>
      <c r="N2084" s="28" t="n"/>
      <c r="O2084" s="24" t="n"/>
      <c r="P2084" s="24" t="n"/>
      <c r="Q2084" s="24" t="n"/>
      <c r="R2084" s="24" t="n"/>
      <c r="S2084" s="22">
        <f>IF(AND($A2084="",$C2084=""),"",IF($A2084="","Thiếu mã đơn; ","")&amp;IF(COUNTIF($A$2:$A2084,$A2084)&gt;1,"Trùng mã đơn; ","")&amp;IF(ISNA(MATCH($C2084,DATA_MASTER!$D$2:$D$5000,0)),"SĐT chưa đăng ký hội viên; ","")&amp;IF(AND($L2084="Đã chuyển khoản",$M2084=""),"Thiếu ngày nhận CK; ",""))</f>
        <v/>
      </c>
      <c r="T2084" s="24" t="n"/>
    </row>
    <row r="2085" ht="14.25" customHeight="1" s="40">
      <c r="A2085" s="24" t="n"/>
      <c r="B2085" s="29" t="n"/>
      <c r="C2085" s="28" t="n"/>
      <c r="D2085" s="22">
        <f t="array" ref="D2085">IF($C2085="","",IFERROR(INDEX(DATA_MASTER!$C$2:$C$5000,MATCH($C2085,DATA_MASTER!$D$2:$D$5000,0)),""))</f>
        <v/>
      </c>
      <c r="E2085" s="22">
        <f t="array" ref="E2085">IF($C2085="","",IFERROR(INDEX(DATA_MASTER!$I$2:$I$5000,MATCH($C2085,DATA_MASTER!$D$2:$D$5000,0)),""))</f>
        <v/>
      </c>
      <c r="F2085" s="22">
        <f t="array" ref="F2085">IF($C2085="","",IFERROR(INDEX(DATA_MASTER!$L$2:$L$5000,MATCH($C2085,DATA_MASTER!$D$2:$D$5000,0)),""))</f>
        <v/>
      </c>
      <c r="G2085" s="24" t="n"/>
      <c r="H2085" s="24" t="n"/>
      <c r="I2085" s="30" t="n"/>
      <c r="J2085" s="23">
        <f>IF(OR($H2085="",$I2085=""),"",$H2085*$I2085)</f>
        <v/>
      </c>
      <c r="K2085" s="24" t="n"/>
      <c r="L2085" s="24" t="n"/>
      <c r="M2085" s="29" t="n"/>
      <c r="N2085" s="28" t="n"/>
      <c r="O2085" s="24" t="n"/>
      <c r="P2085" s="24" t="n"/>
      <c r="Q2085" s="24" t="n"/>
      <c r="R2085" s="24" t="n"/>
      <c r="S2085" s="22">
        <f>IF(AND($A2085="",$C2085=""),"",IF($A2085="","Thiếu mã đơn; ","")&amp;IF(COUNTIF($A$2:$A2085,$A2085)&gt;1,"Trùng mã đơn; ","")&amp;IF(ISNA(MATCH($C2085,DATA_MASTER!$D$2:$D$5000,0)),"SĐT chưa đăng ký hội viên; ","")&amp;IF(AND($L2085="Đã chuyển khoản",$M2085=""),"Thiếu ngày nhận CK; ",""))</f>
        <v/>
      </c>
      <c r="T2085" s="24" t="n"/>
    </row>
    <row r="2086" ht="14.25" customHeight="1" s="40">
      <c r="A2086" s="24" t="n"/>
      <c r="B2086" s="29" t="n"/>
      <c r="C2086" s="28" t="n"/>
      <c r="D2086" s="22">
        <f t="array" ref="D2086">IF($C2086="","",IFERROR(INDEX(DATA_MASTER!$C$2:$C$5000,MATCH($C2086,DATA_MASTER!$D$2:$D$5000,0)),""))</f>
        <v/>
      </c>
      <c r="E2086" s="22">
        <f t="array" ref="E2086">IF($C2086="","",IFERROR(INDEX(DATA_MASTER!$I$2:$I$5000,MATCH($C2086,DATA_MASTER!$D$2:$D$5000,0)),""))</f>
        <v/>
      </c>
      <c r="F2086" s="22">
        <f t="array" ref="F2086">IF($C2086="","",IFERROR(INDEX(DATA_MASTER!$L$2:$L$5000,MATCH($C2086,DATA_MASTER!$D$2:$D$5000,0)),""))</f>
        <v/>
      </c>
      <c r="G2086" s="24" t="n"/>
      <c r="H2086" s="24" t="n"/>
      <c r="I2086" s="30" t="n"/>
      <c r="J2086" s="23">
        <f>IF(OR($H2086="",$I2086=""),"",$H2086*$I2086)</f>
        <v/>
      </c>
      <c r="K2086" s="24" t="n"/>
      <c r="L2086" s="24" t="n"/>
      <c r="M2086" s="29" t="n"/>
      <c r="N2086" s="28" t="n"/>
      <c r="O2086" s="24" t="n"/>
      <c r="P2086" s="24" t="n"/>
      <c r="Q2086" s="24" t="n"/>
      <c r="R2086" s="24" t="n"/>
      <c r="S2086" s="22">
        <f>IF(AND($A2086="",$C2086=""),"",IF($A2086="","Thiếu mã đơn; ","")&amp;IF(COUNTIF($A$2:$A2086,$A2086)&gt;1,"Trùng mã đơn; ","")&amp;IF(ISNA(MATCH($C2086,DATA_MASTER!$D$2:$D$5000,0)),"SĐT chưa đăng ký hội viên; ","")&amp;IF(AND($L2086="Đã chuyển khoản",$M2086=""),"Thiếu ngày nhận CK; ",""))</f>
        <v/>
      </c>
      <c r="T2086" s="24" t="n"/>
    </row>
    <row r="2087" ht="14.25" customHeight="1" s="40">
      <c r="A2087" s="24" t="n"/>
      <c r="B2087" s="29" t="n"/>
      <c r="C2087" s="28" t="n"/>
      <c r="D2087" s="22">
        <f t="array" ref="D2087">IF($C2087="","",IFERROR(INDEX(DATA_MASTER!$C$2:$C$5000,MATCH($C2087,DATA_MASTER!$D$2:$D$5000,0)),""))</f>
        <v/>
      </c>
      <c r="E2087" s="22">
        <f t="array" ref="E2087">IF($C2087="","",IFERROR(INDEX(DATA_MASTER!$I$2:$I$5000,MATCH($C2087,DATA_MASTER!$D$2:$D$5000,0)),""))</f>
        <v/>
      </c>
      <c r="F2087" s="22">
        <f t="array" ref="F2087">IF($C2087="","",IFERROR(INDEX(DATA_MASTER!$L$2:$L$5000,MATCH($C2087,DATA_MASTER!$D$2:$D$5000,0)),""))</f>
        <v/>
      </c>
      <c r="G2087" s="24" t="n"/>
      <c r="H2087" s="24" t="n"/>
      <c r="I2087" s="30" t="n"/>
      <c r="J2087" s="23">
        <f>IF(OR($H2087="",$I2087=""),"",$H2087*$I2087)</f>
        <v/>
      </c>
      <c r="K2087" s="24" t="n"/>
      <c r="L2087" s="24" t="n"/>
      <c r="M2087" s="29" t="n"/>
      <c r="N2087" s="28" t="n"/>
      <c r="O2087" s="24" t="n"/>
      <c r="P2087" s="24" t="n"/>
      <c r="Q2087" s="24" t="n"/>
      <c r="R2087" s="24" t="n"/>
      <c r="S2087" s="22">
        <f>IF(AND($A2087="",$C2087=""),"",IF($A2087="","Thiếu mã đơn; ","")&amp;IF(COUNTIF($A$2:$A2087,$A2087)&gt;1,"Trùng mã đơn; ","")&amp;IF(ISNA(MATCH($C2087,DATA_MASTER!$D$2:$D$5000,0)),"SĐT chưa đăng ký hội viên; ","")&amp;IF(AND($L2087="Đã chuyển khoản",$M2087=""),"Thiếu ngày nhận CK; ",""))</f>
        <v/>
      </c>
      <c r="T2087" s="24" t="n"/>
    </row>
    <row r="2088" ht="14.25" customHeight="1" s="40">
      <c r="A2088" s="24" t="n"/>
      <c r="B2088" s="29" t="n"/>
      <c r="C2088" s="28" t="n"/>
      <c r="D2088" s="22">
        <f t="array" ref="D2088">IF($C2088="","",IFERROR(INDEX(DATA_MASTER!$C$2:$C$5000,MATCH($C2088,DATA_MASTER!$D$2:$D$5000,0)),""))</f>
        <v/>
      </c>
      <c r="E2088" s="22">
        <f t="array" ref="E2088">IF($C2088="","",IFERROR(INDEX(DATA_MASTER!$I$2:$I$5000,MATCH($C2088,DATA_MASTER!$D$2:$D$5000,0)),""))</f>
        <v/>
      </c>
      <c r="F2088" s="22">
        <f t="array" ref="F2088">IF($C2088="","",IFERROR(INDEX(DATA_MASTER!$L$2:$L$5000,MATCH($C2088,DATA_MASTER!$D$2:$D$5000,0)),""))</f>
        <v/>
      </c>
      <c r="G2088" s="24" t="n"/>
      <c r="H2088" s="24" t="n"/>
      <c r="I2088" s="30" t="n"/>
      <c r="J2088" s="23">
        <f>IF(OR($H2088="",$I2088=""),"",$H2088*$I2088)</f>
        <v/>
      </c>
      <c r="K2088" s="24" t="n"/>
      <c r="L2088" s="24" t="n"/>
      <c r="M2088" s="29" t="n"/>
      <c r="N2088" s="28" t="n"/>
      <c r="O2088" s="24" t="n"/>
      <c r="P2088" s="24" t="n"/>
      <c r="Q2088" s="24" t="n"/>
      <c r="R2088" s="24" t="n"/>
      <c r="S2088" s="22">
        <f>IF(AND($A2088="",$C2088=""),"",IF($A2088="","Thiếu mã đơn; ","")&amp;IF(COUNTIF($A$2:$A2088,$A2088)&gt;1,"Trùng mã đơn; ","")&amp;IF(ISNA(MATCH($C2088,DATA_MASTER!$D$2:$D$5000,0)),"SĐT chưa đăng ký hội viên; ","")&amp;IF(AND($L2088="Đã chuyển khoản",$M2088=""),"Thiếu ngày nhận CK; ",""))</f>
        <v/>
      </c>
      <c r="T2088" s="24" t="n"/>
    </row>
    <row r="2089" ht="14.25" customHeight="1" s="40">
      <c r="A2089" s="24" t="n"/>
      <c r="B2089" s="29" t="n"/>
      <c r="C2089" s="28" t="n"/>
      <c r="D2089" s="22">
        <f t="array" ref="D2089">IF($C2089="","",IFERROR(INDEX(DATA_MASTER!$C$2:$C$5000,MATCH($C2089,DATA_MASTER!$D$2:$D$5000,0)),""))</f>
        <v/>
      </c>
      <c r="E2089" s="22">
        <f t="array" ref="E2089">IF($C2089="","",IFERROR(INDEX(DATA_MASTER!$I$2:$I$5000,MATCH($C2089,DATA_MASTER!$D$2:$D$5000,0)),""))</f>
        <v/>
      </c>
      <c r="F2089" s="22">
        <f t="array" ref="F2089">IF($C2089="","",IFERROR(INDEX(DATA_MASTER!$L$2:$L$5000,MATCH($C2089,DATA_MASTER!$D$2:$D$5000,0)),""))</f>
        <v/>
      </c>
      <c r="G2089" s="24" t="n"/>
      <c r="H2089" s="24" t="n"/>
      <c r="I2089" s="30" t="n"/>
      <c r="J2089" s="23">
        <f>IF(OR($H2089="",$I2089=""),"",$H2089*$I2089)</f>
        <v/>
      </c>
      <c r="K2089" s="24" t="n"/>
      <c r="L2089" s="24" t="n"/>
      <c r="M2089" s="29" t="n"/>
      <c r="N2089" s="28" t="n"/>
      <c r="O2089" s="24" t="n"/>
      <c r="P2089" s="24" t="n"/>
      <c r="Q2089" s="24" t="n"/>
      <c r="R2089" s="24" t="n"/>
      <c r="S2089" s="22">
        <f>IF(AND($A2089="",$C2089=""),"",IF($A2089="","Thiếu mã đơn; ","")&amp;IF(COUNTIF($A$2:$A2089,$A2089)&gt;1,"Trùng mã đơn; ","")&amp;IF(ISNA(MATCH($C2089,DATA_MASTER!$D$2:$D$5000,0)),"SĐT chưa đăng ký hội viên; ","")&amp;IF(AND($L2089="Đã chuyển khoản",$M2089=""),"Thiếu ngày nhận CK; ",""))</f>
        <v/>
      </c>
      <c r="T2089" s="24" t="n"/>
    </row>
    <row r="2090" ht="14.25" customHeight="1" s="40">
      <c r="A2090" s="24" t="n"/>
      <c r="B2090" s="29" t="n"/>
      <c r="C2090" s="28" t="n"/>
      <c r="D2090" s="22">
        <f t="array" ref="D2090">IF($C2090="","",IFERROR(INDEX(DATA_MASTER!$C$2:$C$5000,MATCH($C2090,DATA_MASTER!$D$2:$D$5000,0)),""))</f>
        <v/>
      </c>
      <c r="E2090" s="22">
        <f t="array" ref="E2090">IF($C2090="","",IFERROR(INDEX(DATA_MASTER!$I$2:$I$5000,MATCH($C2090,DATA_MASTER!$D$2:$D$5000,0)),""))</f>
        <v/>
      </c>
      <c r="F2090" s="22">
        <f t="array" ref="F2090">IF($C2090="","",IFERROR(INDEX(DATA_MASTER!$L$2:$L$5000,MATCH($C2090,DATA_MASTER!$D$2:$D$5000,0)),""))</f>
        <v/>
      </c>
      <c r="G2090" s="24" t="n"/>
      <c r="H2090" s="24" t="n"/>
      <c r="I2090" s="30" t="n"/>
      <c r="J2090" s="23">
        <f>IF(OR($H2090="",$I2090=""),"",$H2090*$I2090)</f>
        <v/>
      </c>
      <c r="K2090" s="24" t="n"/>
      <c r="L2090" s="24" t="n"/>
      <c r="M2090" s="29" t="n"/>
      <c r="N2090" s="28" t="n"/>
      <c r="O2090" s="24" t="n"/>
      <c r="P2090" s="24" t="n"/>
      <c r="Q2090" s="24" t="n"/>
      <c r="R2090" s="24" t="n"/>
      <c r="S2090" s="22">
        <f>IF(AND($A2090="",$C2090=""),"",IF($A2090="","Thiếu mã đơn; ","")&amp;IF(COUNTIF($A$2:$A2090,$A2090)&gt;1,"Trùng mã đơn; ","")&amp;IF(ISNA(MATCH($C2090,DATA_MASTER!$D$2:$D$5000,0)),"SĐT chưa đăng ký hội viên; ","")&amp;IF(AND($L2090="Đã chuyển khoản",$M2090=""),"Thiếu ngày nhận CK; ",""))</f>
        <v/>
      </c>
      <c r="T2090" s="24" t="n"/>
    </row>
    <row r="2091" ht="14.25" customHeight="1" s="40">
      <c r="A2091" s="24" t="n"/>
      <c r="B2091" s="29" t="n"/>
      <c r="C2091" s="28" t="n"/>
      <c r="D2091" s="22">
        <f t="array" ref="D2091">IF($C2091="","",IFERROR(INDEX(DATA_MASTER!$C$2:$C$5000,MATCH($C2091,DATA_MASTER!$D$2:$D$5000,0)),""))</f>
        <v/>
      </c>
      <c r="E2091" s="22">
        <f t="array" ref="E2091">IF($C2091="","",IFERROR(INDEX(DATA_MASTER!$I$2:$I$5000,MATCH($C2091,DATA_MASTER!$D$2:$D$5000,0)),""))</f>
        <v/>
      </c>
      <c r="F2091" s="22">
        <f t="array" ref="F2091">IF($C2091="","",IFERROR(INDEX(DATA_MASTER!$L$2:$L$5000,MATCH($C2091,DATA_MASTER!$D$2:$D$5000,0)),""))</f>
        <v/>
      </c>
      <c r="G2091" s="24" t="n"/>
      <c r="H2091" s="24" t="n"/>
      <c r="I2091" s="30" t="n"/>
      <c r="J2091" s="23">
        <f>IF(OR($H2091="",$I2091=""),"",$H2091*$I2091)</f>
        <v/>
      </c>
      <c r="K2091" s="24" t="n"/>
      <c r="L2091" s="24" t="n"/>
      <c r="M2091" s="29" t="n"/>
      <c r="N2091" s="28" t="n"/>
      <c r="O2091" s="24" t="n"/>
      <c r="P2091" s="24" t="n"/>
      <c r="Q2091" s="24" t="n"/>
      <c r="R2091" s="24" t="n"/>
      <c r="S2091" s="22">
        <f>IF(AND($A2091="",$C2091=""),"",IF($A2091="","Thiếu mã đơn; ","")&amp;IF(COUNTIF($A$2:$A2091,$A2091)&gt;1,"Trùng mã đơn; ","")&amp;IF(ISNA(MATCH($C2091,DATA_MASTER!$D$2:$D$5000,0)),"SĐT chưa đăng ký hội viên; ","")&amp;IF(AND($L2091="Đã chuyển khoản",$M2091=""),"Thiếu ngày nhận CK; ",""))</f>
        <v/>
      </c>
      <c r="T2091" s="24" t="n"/>
    </row>
    <row r="2092" ht="14.25" customHeight="1" s="40">
      <c r="A2092" s="24" t="n"/>
      <c r="B2092" s="29" t="n"/>
      <c r="C2092" s="28" t="n"/>
      <c r="D2092" s="22">
        <f t="array" ref="D2092">IF($C2092="","",IFERROR(INDEX(DATA_MASTER!$C$2:$C$5000,MATCH($C2092,DATA_MASTER!$D$2:$D$5000,0)),""))</f>
        <v/>
      </c>
      <c r="E2092" s="22">
        <f t="array" ref="E2092">IF($C2092="","",IFERROR(INDEX(DATA_MASTER!$I$2:$I$5000,MATCH($C2092,DATA_MASTER!$D$2:$D$5000,0)),""))</f>
        <v/>
      </c>
      <c r="F2092" s="22">
        <f t="array" ref="F2092">IF($C2092="","",IFERROR(INDEX(DATA_MASTER!$L$2:$L$5000,MATCH($C2092,DATA_MASTER!$D$2:$D$5000,0)),""))</f>
        <v/>
      </c>
      <c r="G2092" s="24" t="n"/>
      <c r="H2092" s="24" t="n"/>
      <c r="I2092" s="30" t="n"/>
      <c r="J2092" s="23">
        <f>IF(OR($H2092="",$I2092=""),"",$H2092*$I2092)</f>
        <v/>
      </c>
      <c r="K2092" s="24" t="n"/>
      <c r="L2092" s="24" t="n"/>
      <c r="M2092" s="29" t="n"/>
      <c r="N2092" s="28" t="n"/>
      <c r="O2092" s="24" t="n"/>
      <c r="P2092" s="24" t="n"/>
      <c r="Q2092" s="24" t="n"/>
      <c r="R2092" s="24" t="n"/>
      <c r="S2092" s="22">
        <f>IF(AND($A2092="",$C2092=""),"",IF($A2092="","Thiếu mã đơn; ","")&amp;IF(COUNTIF($A$2:$A2092,$A2092)&gt;1,"Trùng mã đơn; ","")&amp;IF(ISNA(MATCH($C2092,DATA_MASTER!$D$2:$D$5000,0)),"SĐT chưa đăng ký hội viên; ","")&amp;IF(AND($L2092="Đã chuyển khoản",$M2092=""),"Thiếu ngày nhận CK; ",""))</f>
        <v/>
      </c>
      <c r="T2092" s="24" t="n"/>
    </row>
    <row r="2093" ht="14.25" customHeight="1" s="40">
      <c r="A2093" s="24" t="n"/>
      <c r="B2093" s="29" t="n"/>
      <c r="C2093" s="28" t="n"/>
      <c r="D2093" s="22">
        <f t="array" ref="D2093">IF($C2093="","",IFERROR(INDEX(DATA_MASTER!$C$2:$C$5000,MATCH($C2093,DATA_MASTER!$D$2:$D$5000,0)),""))</f>
        <v/>
      </c>
      <c r="E2093" s="22">
        <f t="array" ref="E2093">IF($C2093="","",IFERROR(INDEX(DATA_MASTER!$I$2:$I$5000,MATCH($C2093,DATA_MASTER!$D$2:$D$5000,0)),""))</f>
        <v/>
      </c>
      <c r="F2093" s="22">
        <f t="array" ref="F2093">IF($C2093="","",IFERROR(INDEX(DATA_MASTER!$L$2:$L$5000,MATCH($C2093,DATA_MASTER!$D$2:$D$5000,0)),""))</f>
        <v/>
      </c>
      <c r="G2093" s="24" t="n"/>
      <c r="H2093" s="24" t="n"/>
      <c r="I2093" s="30" t="n"/>
      <c r="J2093" s="23">
        <f>IF(OR($H2093="",$I2093=""),"",$H2093*$I2093)</f>
        <v/>
      </c>
      <c r="K2093" s="24" t="n"/>
      <c r="L2093" s="24" t="n"/>
      <c r="M2093" s="29" t="n"/>
      <c r="N2093" s="28" t="n"/>
      <c r="O2093" s="24" t="n"/>
      <c r="P2093" s="24" t="n"/>
      <c r="Q2093" s="24" t="n"/>
      <c r="R2093" s="24" t="n"/>
      <c r="S2093" s="22">
        <f>IF(AND($A2093="",$C2093=""),"",IF($A2093="","Thiếu mã đơn; ","")&amp;IF(COUNTIF($A$2:$A2093,$A2093)&gt;1,"Trùng mã đơn; ","")&amp;IF(ISNA(MATCH($C2093,DATA_MASTER!$D$2:$D$5000,0)),"SĐT chưa đăng ký hội viên; ","")&amp;IF(AND($L2093="Đã chuyển khoản",$M2093=""),"Thiếu ngày nhận CK; ",""))</f>
        <v/>
      </c>
      <c r="T2093" s="24" t="n"/>
    </row>
    <row r="2094" ht="14.25" customHeight="1" s="40">
      <c r="A2094" s="24" t="n"/>
      <c r="B2094" s="29" t="n"/>
      <c r="C2094" s="28" t="n"/>
      <c r="D2094" s="22">
        <f t="array" ref="D2094">IF($C2094="","",IFERROR(INDEX(DATA_MASTER!$C$2:$C$5000,MATCH($C2094,DATA_MASTER!$D$2:$D$5000,0)),""))</f>
        <v/>
      </c>
      <c r="E2094" s="22">
        <f t="array" ref="E2094">IF($C2094="","",IFERROR(INDEX(DATA_MASTER!$I$2:$I$5000,MATCH($C2094,DATA_MASTER!$D$2:$D$5000,0)),""))</f>
        <v/>
      </c>
      <c r="F2094" s="22">
        <f t="array" ref="F2094">IF($C2094="","",IFERROR(INDEX(DATA_MASTER!$L$2:$L$5000,MATCH($C2094,DATA_MASTER!$D$2:$D$5000,0)),""))</f>
        <v/>
      </c>
      <c r="G2094" s="24" t="n"/>
      <c r="H2094" s="24" t="n"/>
      <c r="I2094" s="30" t="n"/>
      <c r="J2094" s="23">
        <f>IF(OR($H2094="",$I2094=""),"",$H2094*$I2094)</f>
        <v/>
      </c>
      <c r="K2094" s="24" t="n"/>
      <c r="L2094" s="24" t="n"/>
      <c r="M2094" s="29" t="n"/>
      <c r="N2094" s="28" t="n"/>
      <c r="O2094" s="24" t="n"/>
      <c r="P2094" s="24" t="n"/>
      <c r="Q2094" s="24" t="n"/>
      <c r="R2094" s="24" t="n"/>
      <c r="S2094" s="22">
        <f>IF(AND($A2094="",$C2094=""),"",IF($A2094="","Thiếu mã đơn; ","")&amp;IF(COUNTIF($A$2:$A2094,$A2094)&gt;1,"Trùng mã đơn; ","")&amp;IF(ISNA(MATCH($C2094,DATA_MASTER!$D$2:$D$5000,0)),"SĐT chưa đăng ký hội viên; ","")&amp;IF(AND($L2094="Đã chuyển khoản",$M2094=""),"Thiếu ngày nhận CK; ",""))</f>
        <v/>
      </c>
      <c r="T2094" s="24" t="n"/>
    </row>
    <row r="2095" ht="14.25" customHeight="1" s="40">
      <c r="A2095" s="24" t="n"/>
      <c r="B2095" s="29" t="n"/>
      <c r="C2095" s="28" t="n"/>
      <c r="D2095" s="22">
        <f t="array" ref="D2095">IF($C2095="","",IFERROR(INDEX(DATA_MASTER!$C$2:$C$5000,MATCH($C2095,DATA_MASTER!$D$2:$D$5000,0)),""))</f>
        <v/>
      </c>
      <c r="E2095" s="22">
        <f t="array" ref="E2095">IF($C2095="","",IFERROR(INDEX(DATA_MASTER!$I$2:$I$5000,MATCH($C2095,DATA_MASTER!$D$2:$D$5000,0)),""))</f>
        <v/>
      </c>
      <c r="F2095" s="22">
        <f t="array" ref="F2095">IF($C2095="","",IFERROR(INDEX(DATA_MASTER!$L$2:$L$5000,MATCH($C2095,DATA_MASTER!$D$2:$D$5000,0)),""))</f>
        <v/>
      </c>
      <c r="G2095" s="24" t="n"/>
      <c r="H2095" s="24" t="n"/>
      <c r="I2095" s="30" t="n"/>
      <c r="J2095" s="23">
        <f>IF(OR($H2095="",$I2095=""),"",$H2095*$I2095)</f>
        <v/>
      </c>
      <c r="K2095" s="24" t="n"/>
      <c r="L2095" s="24" t="n"/>
      <c r="M2095" s="29" t="n"/>
      <c r="N2095" s="28" t="n"/>
      <c r="O2095" s="24" t="n"/>
      <c r="P2095" s="24" t="n"/>
      <c r="Q2095" s="24" t="n"/>
      <c r="R2095" s="24" t="n"/>
      <c r="S2095" s="22">
        <f>IF(AND($A2095="",$C2095=""),"",IF($A2095="","Thiếu mã đơn; ","")&amp;IF(COUNTIF($A$2:$A2095,$A2095)&gt;1,"Trùng mã đơn; ","")&amp;IF(ISNA(MATCH($C2095,DATA_MASTER!$D$2:$D$5000,0)),"SĐT chưa đăng ký hội viên; ","")&amp;IF(AND($L2095="Đã chuyển khoản",$M2095=""),"Thiếu ngày nhận CK; ",""))</f>
        <v/>
      </c>
      <c r="T2095" s="24" t="n"/>
    </row>
    <row r="2096" ht="14.25" customHeight="1" s="40">
      <c r="A2096" s="24" t="n"/>
      <c r="B2096" s="29" t="n"/>
      <c r="C2096" s="28" t="n"/>
      <c r="D2096" s="22">
        <f t="array" ref="D2096">IF($C2096="","",IFERROR(INDEX(DATA_MASTER!$C$2:$C$5000,MATCH($C2096,DATA_MASTER!$D$2:$D$5000,0)),""))</f>
        <v/>
      </c>
      <c r="E2096" s="22">
        <f t="array" ref="E2096">IF($C2096="","",IFERROR(INDEX(DATA_MASTER!$I$2:$I$5000,MATCH($C2096,DATA_MASTER!$D$2:$D$5000,0)),""))</f>
        <v/>
      </c>
      <c r="F2096" s="22">
        <f t="array" ref="F2096">IF($C2096="","",IFERROR(INDEX(DATA_MASTER!$L$2:$L$5000,MATCH($C2096,DATA_MASTER!$D$2:$D$5000,0)),""))</f>
        <v/>
      </c>
      <c r="G2096" s="24" t="n"/>
      <c r="H2096" s="24" t="n"/>
      <c r="I2096" s="30" t="n"/>
      <c r="J2096" s="23">
        <f>IF(OR($H2096="",$I2096=""),"",$H2096*$I2096)</f>
        <v/>
      </c>
      <c r="K2096" s="24" t="n"/>
      <c r="L2096" s="24" t="n"/>
      <c r="M2096" s="29" t="n"/>
      <c r="N2096" s="28" t="n"/>
      <c r="O2096" s="24" t="n"/>
      <c r="P2096" s="24" t="n"/>
      <c r="Q2096" s="24" t="n"/>
      <c r="R2096" s="24" t="n"/>
      <c r="S2096" s="22">
        <f>IF(AND($A2096="",$C2096=""),"",IF($A2096="","Thiếu mã đơn; ","")&amp;IF(COUNTIF($A$2:$A2096,$A2096)&gt;1,"Trùng mã đơn; ","")&amp;IF(ISNA(MATCH($C2096,DATA_MASTER!$D$2:$D$5000,0)),"SĐT chưa đăng ký hội viên; ","")&amp;IF(AND($L2096="Đã chuyển khoản",$M2096=""),"Thiếu ngày nhận CK; ",""))</f>
        <v/>
      </c>
      <c r="T2096" s="24" t="n"/>
    </row>
    <row r="2097" ht="14.25" customHeight="1" s="40">
      <c r="A2097" s="24" t="n"/>
      <c r="B2097" s="29" t="n"/>
      <c r="C2097" s="28" t="n"/>
      <c r="D2097" s="22">
        <f t="array" ref="D2097">IF($C2097="","",IFERROR(INDEX(DATA_MASTER!$C$2:$C$5000,MATCH($C2097,DATA_MASTER!$D$2:$D$5000,0)),""))</f>
        <v/>
      </c>
      <c r="E2097" s="22">
        <f t="array" ref="E2097">IF($C2097="","",IFERROR(INDEX(DATA_MASTER!$I$2:$I$5000,MATCH($C2097,DATA_MASTER!$D$2:$D$5000,0)),""))</f>
        <v/>
      </c>
      <c r="F2097" s="22">
        <f t="array" ref="F2097">IF($C2097="","",IFERROR(INDEX(DATA_MASTER!$L$2:$L$5000,MATCH($C2097,DATA_MASTER!$D$2:$D$5000,0)),""))</f>
        <v/>
      </c>
      <c r="G2097" s="24" t="n"/>
      <c r="H2097" s="24" t="n"/>
      <c r="I2097" s="30" t="n"/>
      <c r="J2097" s="23">
        <f>IF(OR($H2097="",$I2097=""),"",$H2097*$I2097)</f>
        <v/>
      </c>
      <c r="K2097" s="24" t="n"/>
      <c r="L2097" s="24" t="n"/>
      <c r="M2097" s="29" t="n"/>
      <c r="N2097" s="28" t="n"/>
      <c r="O2097" s="24" t="n"/>
      <c r="P2097" s="24" t="n"/>
      <c r="Q2097" s="24" t="n"/>
      <c r="R2097" s="24" t="n"/>
      <c r="S2097" s="22">
        <f>IF(AND($A2097="",$C2097=""),"",IF($A2097="","Thiếu mã đơn; ","")&amp;IF(COUNTIF($A$2:$A2097,$A2097)&gt;1,"Trùng mã đơn; ","")&amp;IF(ISNA(MATCH($C2097,DATA_MASTER!$D$2:$D$5000,0)),"SĐT chưa đăng ký hội viên; ","")&amp;IF(AND($L2097="Đã chuyển khoản",$M2097=""),"Thiếu ngày nhận CK; ",""))</f>
        <v/>
      </c>
      <c r="T2097" s="24" t="n"/>
    </row>
    <row r="2098" ht="14.25" customHeight="1" s="40">
      <c r="A2098" s="24" t="n"/>
      <c r="B2098" s="29" t="n"/>
      <c r="C2098" s="28" t="n"/>
      <c r="D2098" s="22">
        <f t="array" ref="D2098">IF($C2098="","",IFERROR(INDEX(DATA_MASTER!$C$2:$C$5000,MATCH($C2098,DATA_MASTER!$D$2:$D$5000,0)),""))</f>
        <v/>
      </c>
      <c r="E2098" s="22">
        <f t="array" ref="E2098">IF($C2098="","",IFERROR(INDEX(DATA_MASTER!$I$2:$I$5000,MATCH($C2098,DATA_MASTER!$D$2:$D$5000,0)),""))</f>
        <v/>
      </c>
      <c r="F2098" s="22">
        <f t="array" ref="F2098">IF($C2098="","",IFERROR(INDEX(DATA_MASTER!$L$2:$L$5000,MATCH($C2098,DATA_MASTER!$D$2:$D$5000,0)),""))</f>
        <v/>
      </c>
      <c r="G2098" s="24" t="n"/>
      <c r="H2098" s="24" t="n"/>
      <c r="I2098" s="30" t="n"/>
      <c r="J2098" s="23">
        <f>IF(OR($H2098="",$I2098=""),"",$H2098*$I2098)</f>
        <v/>
      </c>
      <c r="K2098" s="24" t="n"/>
      <c r="L2098" s="24" t="n"/>
      <c r="M2098" s="29" t="n"/>
      <c r="N2098" s="28" t="n"/>
      <c r="O2098" s="24" t="n"/>
      <c r="P2098" s="24" t="n"/>
      <c r="Q2098" s="24" t="n"/>
      <c r="R2098" s="24" t="n"/>
      <c r="S2098" s="22">
        <f>IF(AND($A2098="",$C2098=""),"",IF($A2098="","Thiếu mã đơn; ","")&amp;IF(COUNTIF($A$2:$A2098,$A2098)&gt;1,"Trùng mã đơn; ","")&amp;IF(ISNA(MATCH($C2098,DATA_MASTER!$D$2:$D$5000,0)),"SĐT chưa đăng ký hội viên; ","")&amp;IF(AND($L2098="Đã chuyển khoản",$M2098=""),"Thiếu ngày nhận CK; ",""))</f>
        <v/>
      </c>
      <c r="T2098" s="24" t="n"/>
    </row>
    <row r="2099" ht="14.25" customHeight="1" s="40">
      <c r="A2099" s="24" t="n"/>
      <c r="B2099" s="29" t="n"/>
      <c r="C2099" s="28" t="n"/>
      <c r="D2099" s="22">
        <f t="array" ref="D2099">IF($C2099="","",IFERROR(INDEX(DATA_MASTER!$C$2:$C$5000,MATCH($C2099,DATA_MASTER!$D$2:$D$5000,0)),""))</f>
        <v/>
      </c>
      <c r="E2099" s="22">
        <f t="array" ref="E2099">IF($C2099="","",IFERROR(INDEX(DATA_MASTER!$I$2:$I$5000,MATCH($C2099,DATA_MASTER!$D$2:$D$5000,0)),""))</f>
        <v/>
      </c>
      <c r="F2099" s="22">
        <f t="array" ref="F2099">IF($C2099="","",IFERROR(INDEX(DATA_MASTER!$L$2:$L$5000,MATCH($C2099,DATA_MASTER!$D$2:$D$5000,0)),""))</f>
        <v/>
      </c>
      <c r="G2099" s="24" t="n"/>
      <c r="H2099" s="24" t="n"/>
      <c r="I2099" s="30" t="n"/>
      <c r="J2099" s="23">
        <f>IF(OR($H2099="",$I2099=""),"",$H2099*$I2099)</f>
        <v/>
      </c>
      <c r="K2099" s="24" t="n"/>
      <c r="L2099" s="24" t="n"/>
      <c r="M2099" s="29" t="n"/>
      <c r="N2099" s="28" t="n"/>
      <c r="O2099" s="24" t="n"/>
      <c r="P2099" s="24" t="n"/>
      <c r="Q2099" s="24" t="n"/>
      <c r="R2099" s="24" t="n"/>
      <c r="S2099" s="22">
        <f>IF(AND($A2099="",$C2099=""),"",IF($A2099="","Thiếu mã đơn; ","")&amp;IF(COUNTIF($A$2:$A2099,$A2099)&gt;1,"Trùng mã đơn; ","")&amp;IF(ISNA(MATCH($C2099,DATA_MASTER!$D$2:$D$5000,0)),"SĐT chưa đăng ký hội viên; ","")&amp;IF(AND($L2099="Đã chuyển khoản",$M2099=""),"Thiếu ngày nhận CK; ",""))</f>
        <v/>
      </c>
      <c r="T2099" s="24" t="n"/>
    </row>
    <row r="2100" ht="14.25" customHeight="1" s="40">
      <c r="A2100" s="24" t="n"/>
      <c r="B2100" s="29" t="n"/>
      <c r="C2100" s="28" t="n"/>
      <c r="D2100" s="22">
        <f t="array" ref="D2100">IF($C2100="","",IFERROR(INDEX(DATA_MASTER!$C$2:$C$5000,MATCH($C2100,DATA_MASTER!$D$2:$D$5000,0)),""))</f>
        <v/>
      </c>
      <c r="E2100" s="22">
        <f t="array" ref="E2100">IF($C2100="","",IFERROR(INDEX(DATA_MASTER!$I$2:$I$5000,MATCH($C2100,DATA_MASTER!$D$2:$D$5000,0)),""))</f>
        <v/>
      </c>
      <c r="F2100" s="22">
        <f t="array" ref="F2100">IF($C2100="","",IFERROR(INDEX(DATA_MASTER!$L$2:$L$5000,MATCH($C2100,DATA_MASTER!$D$2:$D$5000,0)),""))</f>
        <v/>
      </c>
      <c r="G2100" s="24" t="n"/>
      <c r="H2100" s="24" t="n"/>
      <c r="I2100" s="30" t="n"/>
      <c r="J2100" s="23">
        <f>IF(OR($H2100="",$I2100=""),"",$H2100*$I2100)</f>
        <v/>
      </c>
      <c r="K2100" s="24" t="n"/>
      <c r="L2100" s="24" t="n"/>
      <c r="M2100" s="29" t="n"/>
      <c r="N2100" s="28" t="n"/>
      <c r="O2100" s="24" t="n"/>
      <c r="P2100" s="24" t="n"/>
      <c r="Q2100" s="24" t="n"/>
      <c r="R2100" s="24" t="n"/>
      <c r="S2100" s="22">
        <f>IF(AND($A2100="",$C2100=""),"",IF($A2100="","Thiếu mã đơn; ","")&amp;IF(COUNTIF($A$2:$A2100,$A2100)&gt;1,"Trùng mã đơn; ","")&amp;IF(ISNA(MATCH($C2100,DATA_MASTER!$D$2:$D$5000,0)),"SĐT chưa đăng ký hội viên; ","")&amp;IF(AND($L2100="Đã chuyển khoản",$M2100=""),"Thiếu ngày nhận CK; ",""))</f>
        <v/>
      </c>
      <c r="T2100" s="24" t="n"/>
    </row>
    <row r="2101" ht="14.25" customHeight="1" s="40">
      <c r="A2101" s="24" t="n"/>
      <c r="B2101" s="29" t="n"/>
      <c r="C2101" s="28" t="n"/>
      <c r="D2101" s="22">
        <f t="array" ref="D2101">IF($C2101="","",IFERROR(INDEX(DATA_MASTER!$C$2:$C$5000,MATCH($C2101,DATA_MASTER!$D$2:$D$5000,0)),""))</f>
        <v/>
      </c>
      <c r="E2101" s="22">
        <f t="array" ref="E2101">IF($C2101="","",IFERROR(INDEX(DATA_MASTER!$I$2:$I$5000,MATCH($C2101,DATA_MASTER!$D$2:$D$5000,0)),""))</f>
        <v/>
      </c>
      <c r="F2101" s="22">
        <f t="array" ref="F2101">IF($C2101="","",IFERROR(INDEX(DATA_MASTER!$L$2:$L$5000,MATCH($C2101,DATA_MASTER!$D$2:$D$5000,0)),""))</f>
        <v/>
      </c>
      <c r="G2101" s="24" t="n"/>
      <c r="H2101" s="24" t="n"/>
      <c r="I2101" s="30" t="n"/>
      <c r="J2101" s="23">
        <f>IF(OR($H2101="",$I2101=""),"",$H2101*$I2101)</f>
        <v/>
      </c>
      <c r="K2101" s="24" t="n"/>
      <c r="L2101" s="24" t="n"/>
      <c r="M2101" s="29" t="n"/>
      <c r="N2101" s="28" t="n"/>
      <c r="O2101" s="24" t="n"/>
      <c r="P2101" s="24" t="n"/>
      <c r="Q2101" s="24" t="n"/>
      <c r="R2101" s="24" t="n"/>
      <c r="S2101" s="22">
        <f>IF(AND($A2101="",$C2101=""),"",IF($A2101="","Thiếu mã đơn; ","")&amp;IF(COUNTIF($A$2:$A2101,$A2101)&gt;1,"Trùng mã đơn; ","")&amp;IF(ISNA(MATCH($C2101,DATA_MASTER!$D$2:$D$5000,0)),"SĐT chưa đăng ký hội viên; ","")&amp;IF(AND($L2101="Đã chuyển khoản",$M2101=""),"Thiếu ngày nhận CK; ",""))</f>
        <v/>
      </c>
      <c r="T2101" s="24" t="n"/>
    </row>
    <row r="2102" ht="14.25" customHeight="1" s="40">
      <c r="A2102" s="24" t="n"/>
      <c r="B2102" s="29" t="n"/>
      <c r="C2102" s="28" t="n"/>
      <c r="D2102" s="22">
        <f t="array" ref="D2102">IF($C2102="","",IFERROR(INDEX(DATA_MASTER!$C$2:$C$5000,MATCH($C2102,DATA_MASTER!$D$2:$D$5000,0)),""))</f>
        <v/>
      </c>
      <c r="E2102" s="22">
        <f t="array" ref="E2102">IF($C2102="","",IFERROR(INDEX(DATA_MASTER!$I$2:$I$5000,MATCH($C2102,DATA_MASTER!$D$2:$D$5000,0)),""))</f>
        <v/>
      </c>
      <c r="F2102" s="22">
        <f t="array" ref="F2102">IF($C2102="","",IFERROR(INDEX(DATA_MASTER!$L$2:$L$5000,MATCH($C2102,DATA_MASTER!$D$2:$D$5000,0)),""))</f>
        <v/>
      </c>
      <c r="G2102" s="24" t="n"/>
      <c r="H2102" s="24" t="n"/>
      <c r="I2102" s="30" t="n"/>
      <c r="J2102" s="23">
        <f>IF(OR($H2102="",$I2102=""),"",$H2102*$I2102)</f>
        <v/>
      </c>
      <c r="K2102" s="24" t="n"/>
      <c r="L2102" s="24" t="n"/>
      <c r="M2102" s="29" t="n"/>
      <c r="N2102" s="28" t="n"/>
      <c r="O2102" s="24" t="n"/>
      <c r="P2102" s="24" t="n"/>
      <c r="Q2102" s="24" t="n"/>
      <c r="R2102" s="24" t="n"/>
      <c r="S2102" s="22">
        <f>IF(AND($A2102="",$C2102=""),"",IF($A2102="","Thiếu mã đơn; ","")&amp;IF(COUNTIF($A$2:$A2102,$A2102)&gt;1,"Trùng mã đơn; ","")&amp;IF(ISNA(MATCH($C2102,DATA_MASTER!$D$2:$D$5000,0)),"SĐT chưa đăng ký hội viên; ","")&amp;IF(AND($L2102="Đã chuyển khoản",$M2102=""),"Thiếu ngày nhận CK; ",""))</f>
        <v/>
      </c>
      <c r="T2102" s="24" t="n"/>
    </row>
    <row r="2103" ht="14.25" customHeight="1" s="40">
      <c r="A2103" s="24" t="n"/>
      <c r="B2103" s="29" t="n"/>
      <c r="C2103" s="28" t="n"/>
      <c r="D2103" s="22">
        <f t="array" ref="D2103">IF($C2103="","",IFERROR(INDEX(DATA_MASTER!$C$2:$C$5000,MATCH($C2103,DATA_MASTER!$D$2:$D$5000,0)),""))</f>
        <v/>
      </c>
      <c r="E2103" s="22">
        <f t="array" ref="E2103">IF($C2103="","",IFERROR(INDEX(DATA_MASTER!$I$2:$I$5000,MATCH($C2103,DATA_MASTER!$D$2:$D$5000,0)),""))</f>
        <v/>
      </c>
      <c r="F2103" s="22">
        <f t="array" ref="F2103">IF($C2103="","",IFERROR(INDEX(DATA_MASTER!$L$2:$L$5000,MATCH($C2103,DATA_MASTER!$D$2:$D$5000,0)),""))</f>
        <v/>
      </c>
      <c r="G2103" s="24" t="n"/>
      <c r="H2103" s="24" t="n"/>
      <c r="I2103" s="30" t="n"/>
      <c r="J2103" s="23">
        <f>IF(OR($H2103="",$I2103=""),"",$H2103*$I2103)</f>
        <v/>
      </c>
      <c r="K2103" s="24" t="n"/>
      <c r="L2103" s="24" t="n"/>
      <c r="M2103" s="29" t="n"/>
      <c r="N2103" s="28" t="n"/>
      <c r="O2103" s="24" t="n"/>
      <c r="P2103" s="24" t="n"/>
      <c r="Q2103" s="24" t="n"/>
      <c r="R2103" s="24" t="n"/>
      <c r="S2103" s="22">
        <f>IF(AND($A2103="",$C2103=""),"",IF($A2103="","Thiếu mã đơn; ","")&amp;IF(COUNTIF($A$2:$A2103,$A2103)&gt;1,"Trùng mã đơn; ","")&amp;IF(ISNA(MATCH($C2103,DATA_MASTER!$D$2:$D$5000,0)),"SĐT chưa đăng ký hội viên; ","")&amp;IF(AND($L2103="Đã chuyển khoản",$M2103=""),"Thiếu ngày nhận CK; ",""))</f>
        <v/>
      </c>
      <c r="T2103" s="24" t="n"/>
    </row>
    <row r="2104" ht="14.25" customHeight="1" s="40">
      <c r="A2104" s="24" t="n"/>
      <c r="B2104" s="29" t="n"/>
      <c r="C2104" s="28" t="n"/>
      <c r="D2104" s="22">
        <f t="array" ref="D2104">IF($C2104="","",IFERROR(INDEX(DATA_MASTER!$C$2:$C$5000,MATCH($C2104,DATA_MASTER!$D$2:$D$5000,0)),""))</f>
        <v/>
      </c>
      <c r="E2104" s="22">
        <f t="array" ref="E2104">IF($C2104="","",IFERROR(INDEX(DATA_MASTER!$I$2:$I$5000,MATCH($C2104,DATA_MASTER!$D$2:$D$5000,0)),""))</f>
        <v/>
      </c>
      <c r="F2104" s="22">
        <f t="array" ref="F2104">IF($C2104="","",IFERROR(INDEX(DATA_MASTER!$L$2:$L$5000,MATCH($C2104,DATA_MASTER!$D$2:$D$5000,0)),""))</f>
        <v/>
      </c>
      <c r="G2104" s="24" t="n"/>
      <c r="H2104" s="24" t="n"/>
      <c r="I2104" s="30" t="n"/>
      <c r="J2104" s="23">
        <f>IF(OR($H2104="",$I2104=""),"",$H2104*$I2104)</f>
        <v/>
      </c>
      <c r="K2104" s="24" t="n"/>
      <c r="L2104" s="24" t="n"/>
      <c r="M2104" s="29" t="n"/>
      <c r="N2104" s="28" t="n"/>
      <c r="O2104" s="24" t="n"/>
      <c r="P2104" s="24" t="n"/>
      <c r="Q2104" s="24" t="n"/>
      <c r="R2104" s="24" t="n"/>
      <c r="S2104" s="22">
        <f>IF(AND($A2104="",$C2104=""),"",IF($A2104="","Thiếu mã đơn; ","")&amp;IF(COUNTIF($A$2:$A2104,$A2104)&gt;1,"Trùng mã đơn; ","")&amp;IF(ISNA(MATCH($C2104,DATA_MASTER!$D$2:$D$5000,0)),"SĐT chưa đăng ký hội viên; ","")&amp;IF(AND($L2104="Đã chuyển khoản",$M2104=""),"Thiếu ngày nhận CK; ",""))</f>
        <v/>
      </c>
      <c r="T2104" s="24" t="n"/>
    </row>
    <row r="2105" ht="14.25" customHeight="1" s="40">
      <c r="A2105" s="24" t="n"/>
      <c r="B2105" s="29" t="n"/>
      <c r="C2105" s="28" t="n"/>
      <c r="D2105" s="22">
        <f t="array" ref="D2105">IF($C2105="","",IFERROR(INDEX(DATA_MASTER!$C$2:$C$5000,MATCH($C2105,DATA_MASTER!$D$2:$D$5000,0)),""))</f>
        <v/>
      </c>
      <c r="E2105" s="22">
        <f t="array" ref="E2105">IF($C2105="","",IFERROR(INDEX(DATA_MASTER!$I$2:$I$5000,MATCH($C2105,DATA_MASTER!$D$2:$D$5000,0)),""))</f>
        <v/>
      </c>
      <c r="F2105" s="22">
        <f t="array" ref="F2105">IF($C2105="","",IFERROR(INDEX(DATA_MASTER!$L$2:$L$5000,MATCH($C2105,DATA_MASTER!$D$2:$D$5000,0)),""))</f>
        <v/>
      </c>
      <c r="G2105" s="24" t="n"/>
      <c r="H2105" s="24" t="n"/>
      <c r="I2105" s="30" t="n"/>
      <c r="J2105" s="23">
        <f>IF(OR($H2105="",$I2105=""),"",$H2105*$I2105)</f>
        <v/>
      </c>
      <c r="K2105" s="24" t="n"/>
      <c r="L2105" s="24" t="n"/>
      <c r="M2105" s="29" t="n"/>
      <c r="N2105" s="28" t="n"/>
      <c r="O2105" s="24" t="n"/>
      <c r="P2105" s="24" t="n"/>
      <c r="Q2105" s="24" t="n"/>
      <c r="R2105" s="24" t="n"/>
      <c r="S2105" s="22">
        <f>IF(AND($A2105="",$C2105=""),"",IF($A2105="","Thiếu mã đơn; ","")&amp;IF(COUNTIF($A$2:$A2105,$A2105)&gt;1,"Trùng mã đơn; ","")&amp;IF(ISNA(MATCH($C2105,DATA_MASTER!$D$2:$D$5000,0)),"SĐT chưa đăng ký hội viên; ","")&amp;IF(AND($L2105="Đã chuyển khoản",$M2105=""),"Thiếu ngày nhận CK; ",""))</f>
        <v/>
      </c>
      <c r="T2105" s="24" t="n"/>
    </row>
    <row r="2106" ht="14.25" customHeight="1" s="40">
      <c r="A2106" s="24" t="n"/>
      <c r="B2106" s="29" t="n"/>
      <c r="C2106" s="28" t="n"/>
      <c r="D2106" s="22">
        <f t="array" ref="D2106">IF($C2106="","",IFERROR(INDEX(DATA_MASTER!$C$2:$C$5000,MATCH($C2106,DATA_MASTER!$D$2:$D$5000,0)),""))</f>
        <v/>
      </c>
      <c r="E2106" s="22">
        <f t="array" ref="E2106">IF($C2106="","",IFERROR(INDEX(DATA_MASTER!$I$2:$I$5000,MATCH($C2106,DATA_MASTER!$D$2:$D$5000,0)),""))</f>
        <v/>
      </c>
      <c r="F2106" s="22">
        <f t="array" ref="F2106">IF($C2106="","",IFERROR(INDEX(DATA_MASTER!$L$2:$L$5000,MATCH($C2106,DATA_MASTER!$D$2:$D$5000,0)),""))</f>
        <v/>
      </c>
      <c r="G2106" s="24" t="n"/>
      <c r="H2106" s="24" t="n"/>
      <c r="I2106" s="30" t="n"/>
      <c r="J2106" s="23">
        <f>IF(OR($H2106="",$I2106=""),"",$H2106*$I2106)</f>
        <v/>
      </c>
      <c r="K2106" s="24" t="n"/>
      <c r="L2106" s="24" t="n"/>
      <c r="M2106" s="29" t="n"/>
      <c r="N2106" s="28" t="n"/>
      <c r="O2106" s="24" t="n"/>
      <c r="P2106" s="24" t="n"/>
      <c r="Q2106" s="24" t="n"/>
      <c r="R2106" s="24" t="n"/>
      <c r="S2106" s="22">
        <f>IF(AND($A2106="",$C2106=""),"",IF($A2106="","Thiếu mã đơn; ","")&amp;IF(COUNTIF($A$2:$A2106,$A2106)&gt;1,"Trùng mã đơn; ","")&amp;IF(ISNA(MATCH($C2106,DATA_MASTER!$D$2:$D$5000,0)),"SĐT chưa đăng ký hội viên; ","")&amp;IF(AND($L2106="Đã chuyển khoản",$M2106=""),"Thiếu ngày nhận CK; ",""))</f>
        <v/>
      </c>
      <c r="T2106" s="24" t="n"/>
    </row>
    <row r="2107" ht="14.25" customHeight="1" s="40">
      <c r="A2107" s="24" t="n"/>
      <c r="B2107" s="29" t="n"/>
      <c r="C2107" s="28" t="n"/>
      <c r="D2107" s="22">
        <f t="array" ref="D2107">IF($C2107="","",IFERROR(INDEX(DATA_MASTER!$C$2:$C$5000,MATCH($C2107,DATA_MASTER!$D$2:$D$5000,0)),""))</f>
        <v/>
      </c>
      <c r="E2107" s="22">
        <f t="array" ref="E2107">IF($C2107="","",IFERROR(INDEX(DATA_MASTER!$I$2:$I$5000,MATCH($C2107,DATA_MASTER!$D$2:$D$5000,0)),""))</f>
        <v/>
      </c>
      <c r="F2107" s="22">
        <f t="array" ref="F2107">IF($C2107="","",IFERROR(INDEX(DATA_MASTER!$L$2:$L$5000,MATCH($C2107,DATA_MASTER!$D$2:$D$5000,0)),""))</f>
        <v/>
      </c>
      <c r="G2107" s="24" t="n"/>
      <c r="H2107" s="24" t="n"/>
      <c r="I2107" s="30" t="n"/>
      <c r="J2107" s="23">
        <f>IF(OR($H2107="",$I2107=""),"",$H2107*$I2107)</f>
        <v/>
      </c>
      <c r="K2107" s="24" t="n"/>
      <c r="L2107" s="24" t="n"/>
      <c r="M2107" s="29" t="n"/>
      <c r="N2107" s="28" t="n"/>
      <c r="O2107" s="24" t="n"/>
      <c r="P2107" s="24" t="n"/>
      <c r="Q2107" s="24" t="n"/>
      <c r="R2107" s="24" t="n"/>
      <c r="S2107" s="22">
        <f>IF(AND($A2107="",$C2107=""),"",IF($A2107="","Thiếu mã đơn; ","")&amp;IF(COUNTIF($A$2:$A2107,$A2107)&gt;1,"Trùng mã đơn; ","")&amp;IF(ISNA(MATCH($C2107,DATA_MASTER!$D$2:$D$5000,0)),"SĐT chưa đăng ký hội viên; ","")&amp;IF(AND($L2107="Đã chuyển khoản",$M2107=""),"Thiếu ngày nhận CK; ",""))</f>
        <v/>
      </c>
      <c r="T2107" s="24" t="n"/>
    </row>
    <row r="2108" ht="14.25" customHeight="1" s="40">
      <c r="A2108" s="24" t="n"/>
      <c r="B2108" s="29" t="n"/>
      <c r="C2108" s="28" t="n"/>
      <c r="D2108" s="22">
        <f t="array" ref="D2108">IF($C2108="","",IFERROR(INDEX(DATA_MASTER!$C$2:$C$5000,MATCH($C2108,DATA_MASTER!$D$2:$D$5000,0)),""))</f>
        <v/>
      </c>
      <c r="E2108" s="22">
        <f t="array" ref="E2108">IF($C2108="","",IFERROR(INDEX(DATA_MASTER!$I$2:$I$5000,MATCH($C2108,DATA_MASTER!$D$2:$D$5000,0)),""))</f>
        <v/>
      </c>
      <c r="F2108" s="22">
        <f t="array" ref="F2108">IF($C2108="","",IFERROR(INDEX(DATA_MASTER!$L$2:$L$5000,MATCH($C2108,DATA_MASTER!$D$2:$D$5000,0)),""))</f>
        <v/>
      </c>
      <c r="G2108" s="24" t="n"/>
      <c r="H2108" s="24" t="n"/>
      <c r="I2108" s="30" t="n"/>
      <c r="J2108" s="23">
        <f>IF(OR($H2108="",$I2108=""),"",$H2108*$I2108)</f>
        <v/>
      </c>
      <c r="K2108" s="24" t="n"/>
      <c r="L2108" s="24" t="n"/>
      <c r="M2108" s="29" t="n"/>
      <c r="N2108" s="28" t="n"/>
      <c r="O2108" s="24" t="n"/>
      <c r="P2108" s="24" t="n"/>
      <c r="Q2108" s="24" t="n"/>
      <c r="R2108" s="24" t="n"/>
      <c r="S2108" s="22">
        <f>IF(AND($A2108="",$C2108=""),"",IF($A2108="","Thiếu mã đơn; ","")&amp;IF(COUNTIF($A$2:$A2108,$A2108)&gt;1,"Trùng mã đơn; ","")&amp;IF(ISNA(MATCH($C2108,DATA_MASTER!$D$2:$D$5000,0)),"SĐT chưa đăng ký hội viên; ","")&amp;IF(AND($L2108="Đã chuyển khoản",$M2108=""),"Thiếu ngày nhận CK; ",""))</f>
        <v/>
      </c>
      <c r="T2108" s="24" t="n"/>
    </row>
    <row r="2109" ht="14.25" customHeight="1" s="40">
      <c r="A2109" s="24" t="n"/>
      <c r="B2109" s="29" t="n"/>
      <c r="C2109" s="28" t="n"/>
      <c r="D2109" s="22">
        <f t="array" ref="D2109">IF($C2109="","",IFERROR(INDEX(DATA_MASTER!$C$2:$C$5000,MATCH($C2109,DATA_MASTER!$D$2:$D$5000,0)),""))</f>
        <v/>
      </c>
      <c r="E2109" s="22">
        <f t="array" ref="E2109">IF($C2109="","",IFERROR(INDEX(DATA_MASTER!$I$2:$I$5000,MATCH($C2109,DATA_MASTER!$D$2:$D$5000,0)),""))</f>
        <v/>
      </c>
      <c r="F2109" s="22">
        <f t="array" ref="F2109">IF($C2109="","",IFERROR(INDEX(DATA_MASTER!$L$2:$L$5000,MATCH($C2109,DATA_MASTER!$D$2:$D$5000,0)),""))</f>
        <v/>
      </c>
      <c r="G2109" s="24" t="n"/>
      <c r="H2109" s="24" t="n"/>
      <c r="I2109" s="30" t="n"/>
      <c r="J2109" s="23">
        <f>IF(OR($H2109="",$I2109=""),"",$H2109*$I2109)</f>
        <v/>
      </c>
      <c r="K2109" s="24" t="n"/>
      <c r="L2109" s="24" t="n"/>
      <c r="M2109" s="29" t="n"/>
      <c r="N2109" s="28" t="n"/>
      <c r="O2109" s="24" t="n"/>
      <c r="P2109" s="24" t="n"/>
      <c r="Q2109" s="24" t="n"/>
      <c r="R2109" s="24" t="n"/>
      <c r="S2109" s="22">
        <f>IF(AND($A2109="",$C2109=""),"",IF($A2109="","Thiếu mã đơn; ","")&amp;IF(COUNTIF($A$2:$A2109,$A2109)&gt;1,"Trùng mã đơn; ","")&amp;IF(ISNA(MATCH($C2109,DATA_MASTER!$D$2:$D$5000,0)),"SĐT chưa đăng ký hội viên; ","")&amp;IF(AND($L2109="Đã chuyển khoản",$M2109=""),"Thiếu ngày nhận CK; ",""))</f>
        <v/>
      </c>
      <c r="T2109" s="24" t="n"/>
    </row>
    <row r="2110" ht="14.25" customHeight="1" s="40">
      <c r="A2110" s="24" t="n"/>
      <c r="B2110" s="29" t="n"/>
      <c r="C2110" s="28" t="n"/>
      <c r="D2110" s="22">
        <f t="array" ref="D2110">IF($C2110="","",IFERROR(INDEX(DATA_MASTER!$C$2:$C$5000,MATCH($C2110,DATA_MASTER!$D$2:$D$5000,0)),""))</f>
        <v/>
      </c>
      <c r="E2110" s="22">
        <f t="array" ref="E2110">IF($C2110="","",IFERROR(INDEX(DATA_MASTER!$I$2:$I$5000,MATCH($C2110,DATA_MASTER!$D$2:$D$5000,0)),""))</f>
        <v/>
      </c>
      <c r="F2110" s="22">
        <f t="array" ref="F2110">IF($C2110="","",IFERROR(INDEX(DATA_MASTER!$L$2:$L$5000,MATCH($C2110,DATA_MASTER!$D$2:$D$5000,0)),""))</f>
        <v/>
      </c>
      <c r="G2110" s="24" t="n"/>
      <c r="H2110" s="24" t="n"/>
      <c r="I2110" s="30" t="n"/>
      <c r="J2110" s="23">
        <f>IF(OR($H2110="",$I2110=""),"",$H2110*$I2110)</f>
        <v/>
      </c>
      <c r="K2110" s="24" t="n"/>
      <c r="L2110" s="24" t="n"/>
      <c r="M2110" s="29" t="n"/>
      <c r="N2110" s="28" t="n"/>
      <c r="O2110" s="24" t="n"/>
      <c r="P2110" s="24" t="n"/>
      <c r="Q2110" s="24" t="n"/>
      <c r="R2110" s="24" t="n"/>
      <c r="S2110" s="22">
        <f>IF(AND($A2110="",$C2110=""),"",IF($A2110="","Thiếu mã đơn; ","")&amp;IF(COUNTIF($A$2:$A2110,$A2110)&gt;1,"Trùng mã đơn; ","")&amp;IF(ISNA(MATCH($C2110,DATA_MASTER!$D$2:$D$5000,0)),"SĐT chưa đăng ký hội viên; ","")&amp;IF(AND($L2110="Đã chuyển khoản",$M2110=""),"Thiếu ngày nhận CK; ",""))</f>
        <v/>
      </c>
      <c r="T2110" s="24" t="n"/>
    </row>
    <row r="2111" ht="14.25" customHeight="1" s="40">
      <c r="A2111" s="24" t="n"/>
      <c r="B2111" s="29" t="n"/>
      <c r="C2111" s="28" t="n"/>
      <c r="D2111" s="22">
        <f t="array" ref="D2111">IF($C2111="","",IFERROR(INDEX(DATA_MASTER!$C$2:$C$5000,MATCH($C2111,DATA_MASTER!$D$2:$D$5000,0)),""))</f>
        <v/>
      </c>
      <c r="E2111" s="22">
        <f t="array" ref="E2111">IF($C2111="","",IFERROR(INDEX(DATA_MASTER!$I$2:$I$5000,MATCH($C2111,DATA_MASTER!$D$2:$D$5000,0)),""))</f>
        <v/>
      </c>
      <c r="F2111" s="22">
        <f t="array" ref="F2111">IF($C2111="","",IFERROR(INDEX(DATA_MASTER!$L$2:$L$5000,MATCH($C2111,DATA_MASTER!$D$2:$D$5000,0)),""))</f>
        <v/>
      </c>
      <c r="G2111" s="24" t="n"/>
      <c r="H2111" s="24" t="n"/>
      <c r="I2111" s="30" t="n"/>
      <c r="J2111" s="23">
        <f>IF(OR($H2111="",$I2111=""),"",$H2111*$I2111)</f>
        <v/>
      </c>
      <c r="K2111" s="24" t="n"/>
      <c r="L2111" s="24" t="n"/>
      <c r="M2111" s="29" t="n"/>
      <c r="N2111" s="28" t="n"/>
      <c r="O2111" s="24" t="n"/>
      <c r="P2111" s="24" t="n"/>
      <c r="Q2111" s="24" t="n"/>
      <c r="R2111" s="24" t="n"/>
      <c r="S2111" s="22">
        <f>IF(AND($A2111="",$C2111=""),"",IF($A2111="","Thiếu mã đơn; ","")&amp;IF(COUNTIF($A$2:$A2111,$A2111)&gt;1,"Trùng mã đơn; ","")&amp;IF(ISNA(MATCH($C2111,DATA_MASTER!$D$2:$D$5000,0)),"SĐT chưa đăng ký hội viên; ","")&amp;IF(AND($L2111="Đã chuyển khoản",$M2111=""),"Thiếu ngày nhận CK; ",""))</f>
        <v/>
      </c>
      <c r="T2111" s="24" t="n"/>
    </row>
    <row r="2112" ht="14.25" customHeight="1" s="40">
      <c r="A2112" s="24" t="n"/>
      <c r="B2112" s="29" t="n"/>
      <c r="C2112" s="28" t="n"/>
      <c r="D2112" s="22">
        <f t="array" ref="D2112">IF($C2112="","",IFERROR(INDEX(DATA_MASTER!$C$2:$C$5000,MATCH($C2112,DATA_MASTER!$D$2:$D$5000,0)),""))</f>
        <v/>
      </c>
      <c r="E2112" s="22">
        <f t="array" ref="E2112">IF($C2112="","",IFERROR(INDEX(DATA_MASTER!$I$2:$I$5000,MATCH($C2112,DATA_MASTER!$D$2:$D$5000,0)),""))</f>
        <v/>
      </c>
      <c r="F2112" s="22">
        <f t="array" ref="F2112">IF($C2112="","",IFERROR(INDEX(DATA_MASTER!$L$2:$L$5000,MATCH($C2112,DATA_MASTER!$D$2:$D$5000,0)),""))</f>
        <v/>
      </c>
      <c r="G2112" s="24" t="n"/>
      <c r="H2112" s="24" t="n"/>
      <c r="I2112" s="30" t="n"/>
      <c r="J2112" s="23">
        <f>IF(OR($H2112="",$I2112=""),"",$H2112*$I2112)</f>
        <v/>
      </c>
      <c r="K2112" s="24" t="n"/>
      <c r="L2112" s="24" t="n"/>
      <c r="M2112" s="29" t="n"/>
      <c r="N2112" s="28" t="n"/>
      <c r="O2112" s="24" t="n"/>
      <c r="P2112" s="24" t="n"/>
      <c r="Q2112" s="24" t="n"/>
      <c r="R2112" s="24" t="n"/>
      <c r="S2112" s="22">
        <f>IF(AND($A2112="",$C2112=""),"",IF($A2112="","Thiếu mã đơn; ","")&amp;IF(COUNTIF($A$2:$A2112,$A2112)&gt;1,"Trùng mã đơn; ","")&amp;IF(ISNA(MATCH($C2112,DATA_MASTER!$D$2:$D$5000,0)),"SĐT chưa đăng ký hội viên; ","")&amp;IF(AND($L2112="Đã chuyển khoản",$M2112=""),"Thiếu ngày nhận CK; ",""))</f>
        <v/>
      </c>
      <c r="T2112" s="24" t="n"/>
    </row>
    <row r="2113" ht="14.25" customHeight="1" s="40">
      <c r="A2113" s="24" t="n"/>
      <c r="B2113" s="29" t="n"/>
      <c r="C2113" s="28" t="n"/>
      <c r="D2113" s="22">
        <f t="array" ref="D2113">IF($C2113="","",IFERROR(INDEX(DATA_MASTER!$C$2:$C$5000,MATCH($C2113,DATA_MASTER!$D$2:$D$5000,0)),""))</f>
        <v/>
      </c>
      <c r="E2113" s="22">
        <f t="array" ref="E2113">IF($C2113="","",IFERROR(INDEX(DATA_MASTER!$I$2:$I$5000,MATCH($C2113,DATA_MASTER!$D$2:$D$5000,0)),""))</f>
        <v/>
      </c>
      <c r="F2113" s="22">
        <f t="array" ref="F2113">IF($C2113="","",IFERROR(INDEX(DATA_MASTER!$L$2:$L$5000,MATCH($C2113,DATA_MASTER!$D$2:$D$5000,0)),""))</f>
        <v/>
      </c>
      <c r="G2113" s="24" t="n"/>
      <c r="H2113" s="24" t="n"/>
      <c r="I2113" s="30" t="n"/>
      <c r="J2113" s="23">
        <f>IF(OR($H2113="",$I2113=""),"",$H2113*$I2113)</f>
        <v/>
      </c>
      <c r="K2113" s="24" t="n"/>
      <c r="L2113" s="24" t="n"/>
      <c r="M2113" s="29" t="n"/>
      <c r="N2113" s="28" t="n"/>
      <c r="O2113" s="24" t="n"/>
      <c r="P2113" s="24" t="n"/>
      <c r="Q2113" s="24" t="n"/>
      <c r="R2113" s="24" t="n"/>
      <c r="S2113" s="22">
        <f>IF(AND($A2113="",$C2113=""),"",IF($A2113="","Thiếu mã đơn; ","")&amp;IF(COUNTIF($A$2:$A2113,$A2113)&gt;1,"Trùng mã đơn; ","")&amp;IF(ISNA(MATCH($C2113,DATA_MASTER!$D$2:$D$5000,0)),"SĐT chưa đăng ký hội viên; ","")&amp;IF(AND($L2113="Đã chuyển khoản",$M2113=""),"Thiếu ngày nhận CK; ",""))</f>
        <v/>
      </c>
      <c r="T2113" s="24" t="n"/>
    </row>
    <row r="2114" ht="14.25" customHeight="1" s="40">
      <c r="A2114" s="24" t="n"/>
      <c r="B2114" s="29" t="n"/>
      <c r="C2114" s="28" t="n"/>
      <c r="D2114" s="22">
        <f t="array" ref="D2114">IF($C2114="","",IFERROR(INDEX(DATA_MASTER!$C$2:$C$5000,MATCH($C2114,DATA_MASTER!$D$2:$D$5000,0)),""))</f>
        <v/>
      </c>
      <c r="E2114" s="22">
        <f t="array" ref="E2114">IF($C2114="","",IFERROR(INDEX(DATA_MASTER!$I$2:$I$5000,MATCH($C2114,DATA_MASTER!$D$2:$D$5000,0)),""))</f>
        <v/>
      </c>
      <c r="F2114" s="22">
        <f t="array" ref="F2114">IF($C2114="","",IFERROR(INDEX(DATA_MASTER!$L$2:$L$5000,MATCH($C2114,DATA_MASTER!$D$2:$D$5000,0)),""))</f>
        <v/>
      </c>
      <c r="G2114" s="24" t="n"/>
      <c r="H2114" s="24" t="n"/>
      <c r="I2114" s="30" t="n"/>
      <c r="J2114" s="23">
        <f>IF(OR($H2114="",$I2114=""),"",$H2114*$I2114)</f>
        <v/>
      </c>
      <c r="K2114" s="24" t="n"/>
      <c r="L2114" s="24" t="n"/>
      <c r="M2114" s="29" t="n"/>
      <c r="N2114" s="28" t="n"/>
      <c r="O2114" s="24" t="n"/>
      <c r="P2114" s="24" t="n"/>
      <c r="Q2114" s="24" t="n"/>
      <c r="R2114" s="24" t="n"/>
      <c r="S2114" s="22">
        <f>IF(AND($A2114="",$C2114=""),"",IF($A2114="","Thiếu mã đơn; ","")&amp;IF(COUNTIF($A$2:$A2114,$A2114)&gt;1,"Trùng mã đơn; ","")&amp;IF(ISNA(MATCH($C2114,DATA_MASTER!$D$2:$D$5000,0)),"SĐT chưa đăng ký hội viên; ","")&amp;IF(AND($L2114="Đã chuyển khoản",$M2114=""),"Thiếu ngày nhận CK; ",""))</f>
        <v/>
      </c>
      <c r="T2114" s="24" t="n"/>
    </row>
    <row r="2115" ht="14.25" customHeight="1" s="40">
      <c r="A2115" s="24" t="n"/>
      <c r="B2115" s="29" t="n"/>
      <c r="C2115" s="28" t="n"/>
      <c r="D2115" s="22">
        <f t="array" ref="D2115">IF($C2115="","",IFERROR(INDEX(DATA_MASTER!$C$2:$C$5000,MATCH($C2115,DATA_MASTER!$D$2:$D$5000,0)),""))</f>
        <v/>
      </c>
      <c r="E2115" s="22">
        <f t="array" ref="E2115">IF($C2115="","",IFERROR(INDEX(DATA_MASTER!$I$2:$I$5000,MATCH($C2115,DATA_MASTER!$D$2:$D$5000,0)),""))</f>
        <v/>
      </c>
      <c r="F2115" s="22">
        <f t="array" ref="F2115">IF($C2115="","",IFERROR(INDEX(DATA_MASTER!$L$2:$L$5000,MATCH($C2115,DATA_MASTER!$D$2:$D$5000,0)),""))</f>
        <v/>
      </c>
      <c r="G2115" s="24" t="n"/>
      <c r="H2115" s="24" t="n"/>
      <c r="I2115" s="30" t="n"/>
      <c r="J2115" s="23">
        <f>IF(OR($H2115="",$I2115=""),"",$H2115*$I2115)</f>
        <v/>
      </c>
      <c r="K2115" s="24" t="n"/>
      <c r="L2115" s="24" t="n"/>
      <c r="M2115" s="29" t="n"/>
      <c r="N2115" s="28" t="n"/>
      <c r="O2115" s="24" t="n"/>
      <c r="P2115" s="24" t="n"/>
      <c r="Q2115" s="24" t="n"/>
      <c r="R2115" s="24" t="n"/>
      <c r="S2115" s="22">
        <f>IF(AND($A2115="",$C2115=""),"",IF($A2115="","Thiếu mã đơn; ","")&amp;IF(COUNTIF($A$2:$A2115,$A2115)&gt;1,"Trùng mã đơn; ","")&amp;IF(ISNA(MATCH($C2115,DATA_MASTER!$D$2:$D$5000,0)),"SĐT chưa đăng ký hội viên; ","")&amp;IF(AND($L2115="Đã chuyển khoản",$M2115=""),"Thiếu ngày nhận CK; ",""))</f>
        <v/>
      </c>
      <c r="T2115" s="24" t="n"/>
    </row>
    <row r="2116" ht="14.25" customHeight="1" s="40">
      <c r="A2116" s="24" t="n"/>
      <c r="B2116" s="29" t="n"/>
      <c r="C2116" s="28" t="n"/>
      <c r="D2116" s="22">
        <f t="array" ref="D2116">IF($C2116="","",IFERROR(INDEX(DATA_MASTER!$C$2:$C$5000,MATCH($C2116,DATA_MASTER!$D$2:$D$5000,0)),""))</f>
        <v/>
      </c>
      <c r="E2116" s="22">
        <f t="array" ref="E2116">IF($C2116="","",IFERROR(INDEX(DATA_MASTER!$I$2:$I$5000,MATCH($C2116,DATA_MASTER!$D$2:$D$5000,0)),""))</f>
        <v/>
      </c>
      <c r="F2116" s="22">
        <f t="array" ref="F2116">IF($C2116="","",IFERROR(INDEX(DATA_MASTER!$L$2:$L$5000,MATCH($C2116,DATA_MASTER!$D$2:$D$5000,0)),""))</f>
        <v/>
      </c>
      <c r="G2116" s="24" t="n"/>
      <c r="H2116" s="24" t="n"/>
      <c r="I2116" s="30" t="n"/>
      <c r="J2116" s="23">
        <f>IF(OR($H2116="",$I2116=""),"",$H2116*$I2116)</f>
        <v/>
      </c>
      <c r="K2116" s="24" t="n"/>
      <c r="L2116" s="24" t="n"/>
      <c r="M2116" s="29" t="n"/>
      <c r="N2116" s="28" t="n"/>
      <c r="O2116" s="24" t="n"/>
      <c r="P2116" s="24" t="n"/>
      <c r="Q2116" s="24" t="n"/>
      <c r="R2116" s="24" t="n"/>
      <c r="S2116" s="22">
        <f>IF(AND($A2116="",$C2116=""),"",IF($A2116="","Thiếu mã đơn; ","")&amp;IF(COUNTIF($A$2:$A2116,$A2116)&gt;1,"Trùng mã đơn; ","")&amp;IF(ISNA(MATCH($C2116,DATA_MASTER!$D$2:$D$5000,0)),"SĐT chưa đăng ký hội viên; ","")&amp;IF(AND($L2116="Đã chuyển khoản",$M2116=""),"Thiếu ngày nhận CK; ",""))</f>
        <v/>
      </c>
      <c r="T2116" s="24" t="n"/>
    </row>
    <row r="2117" ht="14.25" customHeight="1" s="40">
      <c r="A2117" s="24" t="n"/>
      <c r="B2117" s="29" t="n"/>
      <c r="C2117" s="28" t="n"/>
      <c r="D2117" s="22">
        <f t="array" ref="D2117">IF($C2117="","",IFERROR(INDEX(DATA_MASTER!$C$2:$C$5000,MATCH($C2117,DATA_MASTER!$D$2:$D$5000,0)),""))</f>
        <v/>
      </c>
      <c r="E2117" s="22">
        <f t="array" ref="E2117">IF($C2117="","",IFERROR(INDEX(DATA_MASTER!$I$2:$I$5000,MATCH($C2117,DATA_MASTER!$D$2:$D$5000,0)),""))</f>
        <v/>
      </c>
      <c r="F2117" s="22">
        <f t="array" ref="F2117">IF($C2117="","",IFERROR(INDEX(DATA_MASTER!$L$2:$L$5000,MATCH($C2117,DATA_MASTER!$D$2:$D$5000,0)),""))</f>
        <v/>
      </c>
      <c r="G2117" s="24" t="n"/>
      <c r="H2117" s="24" t="n"/>
      <c r="I2117" s="30" t="n"/>
      <c r="J2117" s="23">
        <f>IF(OR($H2117="",$I2117=""),"",$H2117*$I2117)</f>
        <v/>
      </c>
      <c r="K2117" s="24" t="n"/>
      <c r="L2117" s="24" t="n"/>
      <c r="M2117" s="29" t="n"/>
      <c r="N2117" s="28" t="n"/>
      <c r="O2117" s="24" t="n"/>
      <c r="P2117" s="24" t="n"/>
      <c r="Q2117" s="24" t="n"/>
      <c r="R2117" s="24" t="n"/>
      <c r="S2117" s="22">
        <f>IF(AND($A2117="",$C2117=""),"",IF($A2117="","Thiếu mã đơn; ","")&amp;IF(COUNTIF($A$2:$A2117,$A2117)&gt;1,"Trùng mã đơn; ","")&amp;IF(ISNA(MATCH($C2117,DATA_MASTER!$D$2:$D$5000,0)),"SĐT chưa đăng ký hội viên; ","")&amp;IF(AND($L2117="Đã chuyển khoản",$M2117=""),"Thiếu ngày nhận CK; ",""))</f>
        <v/>
      </c>
      <c r="T2117" s="24" t="n"/>
    </row>
    <row r="2118" ht="14.25" customHeight="1" s="40">
      <c r="A2118" s="24" t="n"/>
      <c r="B2118" s="29" t="n"/>
      <c r="C2118" s="28" t="n"/>
      <c r="D2118" s="22">
        <f t="array" ref="D2118">IF($C2118="","",IFERROR(INDEX(DATA_MASTER!$C$2:$C$5000,MATCH($C2118,DATA_MASTER!$D$2:$D$5000,0)),""))</f>
        <v/>
      </c>
      <c r="E2118" s="22">
        <f t="array" ref="E2118">IF($C2118="","",IFERROR(INDEX(DATA_MASTER!$I$2:$I$5000,MATCH($C2118,DATA_MASTER!$D$2:$D$5000,0)),""))</f>
        <v/>
      </c>
      <c r="F2118" s="22">
        <f t="array" ref="F2118">IF($C2118="","",IFERROR(INDEX(DATA_MASTER!$L$2:$L$5000,MATCH($C2118,DATA_MASTER!$D$2:$D$5000,0)),""))</f>
        <v/>
      </c>
      <c r="G2118" s="24" t="n"/>
      <c r="H2118" s="24" t="n"/>
      <c r="I2118" s="30" t="n"/>
      <c r="J2118" s="23">
        <f>IF(OR($H2118="",$I2118=""),"",$H2118*$I2118)</f>
        <v/>
      </c>
      <c r="K2118" s="24" t="n"/>
      <c r="L2118" s="24" t="n"/>
      <c r="M2118" s="29" t="n"/>
      <c r="N2118" s="28" t="n"/>
      <c r="O2118" s="24" t="n"/>
      <c r="P2118" s="24" t="n"/>
      <c r="Q2118" s="24" t="n"/>
      <c r="R2118" s="24" t="n"/>
      <c r="S2118" s="22">
        <f>IF(AND($A2118="",$C2118=""),"",IF($A2118="","Thiếu mã đơn; ","")&amp;IF(COUNTIF($A$2:$A2118,$A2118)&gt;1,"Trùng mã đơn; ","")&amp;IF(ISNA(MATCH($C2118,DATA_MASTER!$D$2:$D$5000,0)),"SĐT chưa đăng ký hội viên; ","")&amp;IF(AND($L2118="Đã chuyển khoản",$M2118=""),"Thiếu ngày nhận CK; ",""))</f>
        <v/>
      </c>
      <c r="T2118" s="24" t="n"/>
    </row>
    <row r="2119" ht="14.25" customHeight="1" s="40">
      <c r="A2119" s="24" t="n"/>
      <c r="B2119" s="29" t="n"/>
      <c r="C2119" s="28" t="n"/>
      <c r="D2119" s="22">
        <f t="array" ref="D2119">IF($C2119="","",IFERROR(INDEX(DATA_MASTER!$C$2:$C$5000,MATCH($C2119,DATA_MASTER!$D$2:$D$5000,0)),""))</f>
        <v/>
      </c>
      <c r="E2119" s="22">
        <f t="array" ref="E2119">IF($C2119="","",IFERROR(INDEX(DATA_MASTER!$I$2:$I$5000,MATCH($C2119,DATA_MASTER!$D$2:$D$5000,0)),""))</f>
        <v/>
      </c>
      <c r="F2119" s="22">
        <f t="array" ref="F2119">IF($C2119="","",IFERROR(INDEX(DATA_MASTER!$L$2:$L$5000,MATCH($C2119,DATA_MASTER!$D$2:$D$5000,0)),""))</f>
        <v/>
      </c>
      <c r="G2119" s="24" t="n"/>
      <c r="H2119" s="24" t="n"/>
      <c r="I2119" s="30" t="n"/>
      <c r="J2119" s="23">
        <f>IF(OR($H2119="",$I2119=""),"",$H2119*$I2119)</f>
        <v/>
      </c>
      <c r="K2119" s="24" t="n"/>
      <c r="L2119" s="24" t="n"/>
      <c r="M2119" s="29" t="n"/>
      <c r="N2119" s="28" t="n"/>
      <c r="O2119" s="24" t="n"/>
      <c r="P2119" s="24" t="n"/>
      <c r="Q2119" s="24" t="n"/>
      <c r="R2119" s="24" t="n"/>
      <c r="S2119" s="22">
        <f>IF(AND($A2119="",$C2119=""),"",IF($A2119="","Thiếu mã đơn; ","")&amp;IF(COUNTIF($A$2:$A2119,$A2119)&gt;1,"Trùng mã đơn; ","")&amp;IF(ISNA(MATCH($C2119,DATA_MASTER!$D$2:$D$5000,0)),"SĐT chưa đăng ký hội viên; ","")&amp;IF(AND($L2119="Đã chuyển khoản",$M2119=""),"Thiếu ngày nhận CK; ",""))</f>
        <v/>
      </c>
      <c r="T2119" s="24" t="n"/>
    </row>
    <row r="2120" ht="14.25" customHeight="1" s="40">
      <c r="A2120" s="24" t="n"/>
      <c r="B2120" s="29" t="n"/>
      <c r="C2120" s="28" t="n"/>
      <c r="D2120" s="22">
        <f t="array" ref="D2120">IF($C2120="","",IFERROR(INDEX(DATA_MASTER!$C$2:$C$5000,MATCH($C2120,DATA_MASTER!$D$2:$D$5000,0)),""))</f>
        <v/>
      </c>
      <c r="E2120" s="22">
        <f t="array" ref="E2120">IF($C2120="","",IFERROR(INDEX(DATA_MASTER!$I$2:$I$5000,MATCH($C2120,DATA_MASTER!$D$2:$D$5000,0)),""))</f>
        <v/>
      </c>
      <c r="F2120" s="22">
        <f t="array" ref="F2120">IF($C2120="","",IFERROR(INDEX(DATA_MASTER!$L$2:$L$5000,MATCH($C2120,DATA_MASTER!$D$2:$D$5000,0)),""))</f>
        <v/>
      </c>
      <c r="G2120" s="24" t="n"/>
      <c r="H2120" s="24" t="n"/>
      <c r="I2120" s="30" t="n"/>
      <c r="J2120" s="23">
        <f>IF(OR($H2120="",$I2120=""),"",$H2120*$I2120)</f>
        <v/>
      </c>
      <c r="K2120" s="24" t="n"/>
      <c r="L2120" s="24" t="n"/>
      <c r="M2120" s="29" t="n"/>
      <c r="N2120" s="28" t="n"/>
      <c r="O2120" s="24" t="n"/>
      <c r="P2120" s="24" t="n"/>
      <c r="Q2120" s="24" t="n"/>
      <c r="R2120" s="24" t="n"/>
      <c r="S2120" s="22">
        <f>IF(AND($A2120="",$C2120=""),"",IF($A2120="","Thiếu mã đơn; ","")&amp;IF(COUNTIF($A$2:$A2120,$A2120)&gt;1,"Trùng mã đơn; ","")&amp;IF(ISNA(MATCH($C2120,DATA_MASTER!$D$2:$D$5000,0)),"SĐT chưa đăng ký hội viên; ","")&amp;IF(AND($L2120="Đã chuyển khoản",$M2120=""),"Thiếu ngày nhận CK; ",""))</f>
        <v/>
      </c>
      <c r="T2120" s="24" t="n"/>
    </row>
    <row r="2121" ht="14.25" customHeight="1" s="40">
      <c r="A2121" s="24" t="n"/>
      <c r="B2121" s="29" t="n"/>
      <c r="C2121" s="28" t="n"/>
      <c r="D2121" s="22">
        <f t="array" ref="D2121">IF($C2121="","",IFERROR(INDEX(DATA_MASTER!$C$2:$C$5000,MATCH($C2121,DATA_MASTER!$D$2:$D$5000,0)),""))</f>
        <v/>
      </c>
      <c r="E2121" s="22">
        <f t="array" ref="E2121">IF($C2121="","",IFERROR(INDEX(DATA_MASTER!$I$2:$I$5000,MATCH($C2121,DATA_MASTER!$D$2:$D$5000,0)),""))</f>
        <v/>
      </c>
      <c r="F2121" s="22">
        <f t="array" ref="F2121">IF($C2121="","",IFERROR(INDEX(DATA_MASTER!$L$2:$L$5000,MATCH($C2121,DATA_MASTER!$D$2:$D$5000,0)),""))</f>
        <v/>
      </c>
      <c r="G2121" s="24" t="n"/>
      <c r="H2121" s="24" t="n"/>
      <c r="I2121" s="30" t="n"/>
      <c r="J2121" s="23">
        <f>IF(OR($H2121="",$I2121=""),"",$H2121*$I2121)</f>
        <v/>
      </c>
      <c r="K2121" s="24" t="n"/>
      <c r="L2121" s="24" t="n"/>
      <c r="M2121" s="29" t="n"/>
      <c r="N2121" s="28" t="n"/>
      <c r="O2121" s="24" t="n"/>
      <c r="P2121" s="24" t="n"/>
      <c r="Q2121" s="24" t="n"/>
      <c r="R2121" s="24" t="n"/>
      <c r="S2121" s="22">
        <f>IF(AND($A2121="",$C2121=""),"",IF($A2121="","Thiếu mã đơn; ","")&amp;IF(COUNTIF($A$2:$A2121,$A2121)&gt;1,"Trùng mã đơn; ","")&amp;IF(ISNA(MATCH($C2121,DATA_MASTER!$D$2:$D$5000,0)),"SĐT chưa đăng ký hội viên; ","")&amp;IF(AND($L2121="Đã chuyển khoản",$M2121=""),"Thiếu ngày nhận CK; ",""))</f>
        <v/>
      </c>
      <c r="T2121" s="24" t="n"/>
    </row>
    <row r="2122" ht="14.25" customHeight="1" s="40">
      <c r="A2122" s="24" t="n"/>
      <c r="B2122" s="29" t="n"/>
      <c r="C2122" s="28" t="n"/>
      <c r="D2122" s="22">
        <f t="array" ref="D2122">IF($C2122="","",IFERROR(INDEX(DATA_MASTER!$C$2:$C$5000,MATCH($C2122,DATA_MASTER!$D$2:$D$5000,0)),""))</f>
        <v/>
      </c>
      <c r="E2122" s="22">
        <f t="array" ref="E2122">IF($C2122="","",IFERROR(INDEX(DATA_MASTER!$I$2:$I$5000,MATCH($C2122,DATA_MASTER!$D$2:$D$5000,0)),""))</f>
        <v/>
      </c>
      <c r="F2122" s="22">
        <f t="array" ref="F2122">IF($C2122="","",IFERROR(INDEX(DATA_MASTER!$L$2:$L$5000,MATCH($C2122,DATA_MASTER!$D$2:$D$5000,0)),""))</f>
        <v/>
      </c>
      <c r="G2122" s="24" t="n"/>
      <c r="H2122" s="24" t="n"/>
      <c r="I2122" s="30" t="n"/>
      <c r="J2122" s="23">
        <f>IF(OR($H2122="",$I2122=""),"",$H2122*$I2122)</f>
        <v/>
      </c>
      <c r="K2122" s="24" t="n"/>
      <c r="L2122" s="24" t="n"/>
      <c r="M2122" s="29" t="n"/>
      <c r="N2122" s="28" t="n"/>
      <c r="O2122" s="24" t="n"/>
      <c r="P2122" s="24" t="n"/>
      <c r="Q2122" s="24" t="n"/>
      <c r="R2122" s="24" t="n"/>
      <c r="S2122" s="22">
        <f>IF(AND($A2122="",$C2122=""),"",IF($A2122="","Thiếu mã đơn; ","")&amp;IF(COUNTIF($A$2:$A2122,$A2122)&gt;1,"Trùng mã đơn; ","")&amp;IF(ISNA(MATCH($C2122,DATA_MASTER!$D$2:$D$5000,0)),"SĐT chưa đăng ký hội viên; ","")&amp;IF(AND($L2122="Đã chuyển khoản",$M2122=""),"Thiếu ngày nhận CK; ",""))</f>
        <v/>
      </c>
      <c r="T2122" s="24" t="n"/>
    </row>
    <row r="2123" ht="14.25" customHeight="1" s="40">
      <c r="A2123" s="24" t="n"/>
      <c r="B2123" s="29" t="n"/>
      <c r="C2123" s="28" t="n"/>
      <c r="D2123" s="22">
        <f t="array" ref="D2123">IF($C2123="","",IFERROR(INDEX(DATA_MASTER!$C$2:$C$5000,MATCH($C2123,DATA_MASTER!$D$2:$D$5000,0)),""))</f>
        <v/>
      </c>
      <c r="E2123" s="22">
        <f t="array" ref="E2123">IF($C2123="","",IFERROR(INDEX(DATA_MASTER!$I$2:$I$5000,MATCH($C2123,DATA_MASTER!$D$2:$D$5000,0)),""))</f>
        <v/>
      </c>
      <c r="F2123" s="22">
        <f t="array" ref="F2123">IF($C2123="","",IFERROR(INDEX(DATA_MASTER!$L$2:$L$5000,MATCH($C2123,DATA_MASTER!$D$2:$D$5000,0)),""))</f>
        <v/>
      </c>
      <c r="G2123" s="24" t="n"/>
      <c r="H2123" s="24" t="n"/>
      <c r="I2123" s="30" t="n"/>
      <c r="J2123" s="23">
        <f>IF(OR($H2123="",$I2123=""),"",$H2123*$I2123)</f>
        <v/>
      </c>
      <c r="K2123" s="24" t="n"/>
      <c r="L2123" s="24" t="n"/>
      <c r="M2123" s="29" t="n"/>
      <c r="N2123" s="28" t="n"/>
      <c r="O2123" s="24" t="n"/>
      <c r="P2123" s="24" t="n"/>
      <c r="Q2123" s="24" t="n"/>
      <c r="R2123" s="24" t="n"/>
      <c r="S2123" s="22">
        <f>IF(AND($A2123="",$C2123=""),"",IF($A2123="","Thiếu mã đơn; ","")&amp;IF(COUNTIF($A$2:$A2123,$A2123)&gt;1,"Trùng mã đơn; ","")&amp;IF(ISNA(MATCH($C2123,DATA_MASTER!$D$2:$D$5000,0)),"SĐT chưa đăng ký hội viên; ","")&amp;IF(AND($L2123="Đã chuyển khoản",$M2123=""),"Thiếu ngày nhận CK; ",""))</f>
        <v/>
      </c>
      <c r="T2123" s="24" t="n"/>
    </row>
    <row r="2124" ht="14.25" customHeight="1" s="40">
      <c r="A2124" s="24" t="n"/>
      <c r="B2124" s="29" t="n"/>
      <c r="C2124" s="28" t="n"/>
      <c r="D2124" s="22">
        <f t="array" ref="D2124">IF($C2124="","",IFERROR(INDEX(DATA_MASTER!$C$2:$C$5000,MATCH($C2124,DATA_MASTER!$D$2:$D$5000,0)),""))</f>
        <v/>
      </c>
      <c r="E2124" s="22">
        <f t="array" ref="E2124">IF($C2124="","",IFERROR(INDEX(DATA_MASTER!$I$2:$I$5000,MATCH($C2124,DATA_MASTER!$D$2:$D$5000,0)),""))</f>
        <v/>
      </c>
      <c r="F2124" s="22">
        <f t="array" ref="F2124">IF($C2124="","",IFERROR(INDEX(DATA_MASTER!$L$2:$L$5000,MATCH($C2124,DATA_MASTER!$D$2:$D$5000,0)),""))</f>
        <v/>
      </c>
      <c r="G2124" s="24" t="n"/>
      <c r="H2124" s="24" t="n"/>
      <c r="I2124" s="30" t="n"/>
      <c r="J2124" s="23">
        <f>IF(OR($H2124="",$I2124=""),"",$H2124*$I2124)</f>
        <v/>
      </c>
      <c r="K2124" s="24" t="n"/>
      <c r="L2124" s="24" t="n"/>
      <c r="M2124" s="29" t="n"/>
      <c r="N2124" s="28" t="n"/>
      <c r="O2124" s="24" t="n"/>
      <c r="P2124" s="24" t="n"/>
      <c r="Q2124" s="24" t="n"/>
      <c r="R2124" s="24" t="n"/>
      <c r="S2124" s="22">
        <f>IF(AND($A2124="",$C2124=""),"",IF($A2124="","Thiếu mã đơn; ","")&amp;IF(COUNTIF($A$2:$A2124,$A2124)&gt;1,"Trùng mã đơn; ","")&amp;IF(ISNA(MATCH($C2124,DATA_MASTER!$D$2:$D$5000,0)),"SĐT chưa đăng ký hội viên; ","")&amp;IF(AND($L2124="Đã chuyển khoản",$M2124=""),"Thiếu ngày nhận CK; ",""))</f>
        <v/>
      </c>
      <c r="T2124" s="24" t="n"/>
    </row>
    <row r="2125" ht="14.25" customHeight="1" s="40">
      <c r="A2125" s="24" t="n"/>
      <c r="B2125" s="29" t="n"/>
      <c r="C2125" s="28" t="n"/>
      <c r="D2125" s="22">
        <f t="array" ref="D2125">IF($C2125="","",IFERROR(INDEX(DATA_MASTER!$C$2:$C$5000,MATCH($C2125,DATA_MASTER!$D$2:$D$5000,0)),""))</f>
        <v/>
      </c>
      <c r="E2125" s="22">
        <f t="array" ref="E2125">IF($C2125="","",IFERROR(INDEX(DATA_MASTER!$I$2:$I$5000,MATCH($C2125,DATA_MASTER!$D$2:$D$5000,0)),""))</f>
        <v/>
      </c>
      <c r="F2125" s="22">
        <f t="array" ref="F2125">IF($C2125="","",IFERROR(INDEX(DATA_MASTER!$L$2:$L$5000,MATCH($C2125,DATA_MASTER!$D$2:$D$5000,0)),""))</f>
        <v/>
      </c>
      <c r="G2125" s="24" t="n"/>
      <c r="H2125" s="24" t="n"/>
      <c r="I2125" s="30" t="n"/>
      <c r="J2125" s="23">
        <f>IF(OR($H2125="",$I2125=""),"",$H2125*$I2125)</f>
        <v/>
      </c>
      <c r="K2125" s="24" t="n"/>
      <c r="L2125" s="24" t="n"/>
      <c r="M2125" s="29" t="n"/>
      <c r="N2125" s="28" t="n"/>
      <c r="O2125" s="24" t="n"/>
      <c r="P2125" s="24" t="n"/>
      <c r="Q2125" s="24" t="n"/>
      <c r="R2125" s="24" t="n"/>
      <c r="S2125" s="22">
        <f>IF(AND($A2125="",$C2125=""),"",IF($A2125="","Thiếu mã đơn; ","")&amp;IF(COUNTIF($A$2:$A2125,$A2125)&gt;1,"Trùng mã đơn; ","")&amp;IF(ISNA(MATCH($C2125,DATA_MASTER!$D$2:$D$5000,0)),"SĐT chưa đăng ký hội viên; ","")&amp;IF(AND($L2125="Đã chuyển khoản",$M2125=""),"Thiếu ngày nhận CK; ",""))</f>
        <v/>
      </c>
      <c r="T2125" s="24" t="n"/>
    </row>
    <row r="2126" ht="14.25" customHeight="1" s="40">
      <c r="A2126" s="24" t="n"/>
      <c r="B2126" s="29" t="n"/>
      <c r="C2126" s="28" t="n"/>
      <c r="D2126" s="22">
        <f t="array" ref="D2126">IF($C2126="","",IFERROR(INDEX(DATA_MASTER!$C$2:$C$5000,MATCH($C2126,DATA_MASTER!$D$2:$D$5000,0)),""))</f>
        <v/>
      </c>
      <c r="E2126" s="22">
        <f t="array" ref="E2126">IF($C2126="","",IFERROR(INDEX(DATA_MASTER!$I$2:$I$5000,MATCH($C2126,DATA_MASTER!$D$2:$D$5000,0)),""))</f>
        <v/>
      </c>
      <c r="F2126" s="22">
        <f t="array" ref="F2126">IF($C2126="","",IFERROR(INDEX(DATA_MASTER!$L$2:$L$5000,MATCH($C2126,DATA_MASTER!$D$2:$D$5000,0)),""))</f>
        <v/>
      </c>
      <c r="G2126" s="24" t="n"/>
      <c r="H2126" s="24" t="n"/>
      <c r="I2126" s="30" t="n"/>
      <c r="J2126" s="23">
        <f>IF(OR($H2126="",$I2126=""),"",$H2126*$I2126)</f>
        <v/>
      </c>
      <c r="K2126" s="24" t="n"/>
      <c r="L2126" s="24" t="n"/>
      <c r="M2126" s="29" t="n"/>
      <c r="N2126" s="28" t="n"/>
      <c r="O2126" s="24" t="n"/>
      <c r="P2126" s="24" t="n"/>
      <c r="Q2126" s="24" t="n"/>
      <c r="R2126" s="24" t="n"/>
      <c r="S2126" s="22">
        <f>IF(AND($A2126="",$C2126=""),"",IF($A2126="","Thiếu mã đơn; ","")&amp;IF(COUNTIF($A$2:$A2126,$A2126)&gt;1,"Trùng mã đơn; ","")&amp;IF(ISNA(MATCH($C2126,DATA_MASTER!$D$2:$D$5000,0)),"SĐT chưa đăng ký hội viên; ","")&amp;IF(AND($L2126="Đã chuyển khoản",$M2126=""),"Thiếu ngày nhận CK; ",""))</f>
        <v/>
      </c>
      <c r="T2126" s="24" t="n"/>
    </row>
    <row r="2127" ht="14.25" customHeight="1" s="40">
      <c r="A2127" s="24" t="n"/>
      <c r="B2127" s="29" t="n"/>
      <c r="C2127" s="28" t="n"/>
      <c r="D2127" s="22">
        <f t="array" ref="D2127">IF($C2127="","",IFERROR(INDEX(DATA_MASTER!$C$2:$C$5000,MATCH($C2127,DATA_MASTER!$D$2:$D$5000,0)),""))</f>
        <v/>
      </c>
      <c r="E2127" s="22">
        <f t="array" ref="E2127">IF($C2127="","",IFERROR(INDEX(DATA_MASTER!$I$2:$I$5000,MATCH($C2127,DATA_MASTER!$D$2:$D$5000,0)),""))</f>
        <v/>
      </c>
      <c r="F2127" s="22">
        <f t="array" ref="F2127">IF($C2127="","",IFERROR(INDEX(DATA_MASTER!$L$2:$L$5000,MATCH($C2127,DATA_MASTER!$D$2:$D$5000,0)),""))</f>
        <v/>
      </c>
      <c r="G2127" s="24" t="n"/>
      <c r="H2127" s="24" t="n"/>
      <c r="I2127" s="30" t="n"/>
      <c r="J2127" s="23">
        <f>IF(OR($H2127="",$I2127=""),"",$H2127*$I2127)</f>
        <v/>
      </c>
      <c r="K2127" s="24" t="n"/>
      <c r="L2127" s="24" t="n"/>
      <c r="M2127" s="29" t="n"/>
      <c r="N2127" s="28" t="n"/>
      <c r="O2127" s="24" t="n"/>
      <c r="P2127" s="24" t="n"/>
      <c r="Q2127" s="24" t="n"/>
      <c r="R2127" s="24" t="n"/>
      <c r="S2127" s="22">
        <f>IF(AND($A2127="",$C2127=""),"",IF($A2127="","Thiếu mã đơn; ","")&amp;IF(COUNTIF($A$2:$A2127,$A2127)&gt;1,"Trùng mã đơn; ","")&amp;IF(ISNA(MATCH($C2127,DATA_MASTER!$D$2:$D$5000,0)),"SĐT chưa đăng ký hội viên; ","")&amp;IF(AND($L2127="Đã chuyển khoản",$M2127=""),"Thiếu ngày nhận CK; ",""))</f>
        <v/>
      </c>
      <c r="T2127" s="24" t="n"/>
    </row>
    <row r="2128" ht="14.25" customHeight="1" s="40">
      <c r="A2128" s="24" t="n"/>
      <c r="B2128" s="29" t="n"/>
      <c r="C2128" s="28" t="n"/>
      <c r="D2128" s="22">
        <f t="array" ref="D2128">IF($C2128="","",IFERROR(INDEX(DATA_MASTER!$C$2:$C$5000,MATCH($C2128,DATA_MASTER!$D$2:$D$5000,0)),""))</f>
        <v/>
      </c>
      <c r="E2128" s="22">
        <f t="array" ref="E2128">IF($C2128="","",IFERROR(INDEX(DATA_MASTER!$I$2:$I$5000,MATCH($C2128,DATA_MASTER!$D$2:$D$5000,0)),""))</f>
        <v/>
      </c>
      <c r="F2128" s="22">
        <f t="array" ref="F2128">IF($C2128="","",IFERROR(INDEX(DATA_MASTER!$L$2:$L$5000,MATCH($C2128,DATA_MASTER!$D$2:$D$5000,0)),""))</f>
        <v/>
      </c>
      <c r="G2128" s="24" t="n"/>
      <c r="H2128" s="24" t="n"/>
      <c r="I2128" s="30" t="n"/>
      <c r="J2128" s="23">
        <f>IF(OR($H2128="",$I2128=""),"",$H2128*$I2128)</f>
        <v/>
      </c>
      <c r="K2128" s="24" t="n"/>
      <c r="L2128" s="24" t="n"/>
      <c r="M2128" s="29" t="n"/>
      <c r="N2128" s="28" t="n"/>
      <c r="O2128" s="24" t="n"/>
      <c r="P2128" s="24" t="n"/>
      <c r="Q2128" s="24" t="n"/>
      <c r="R2128" s="24" t="n"/>
      <c r="S2128" s="22">
        <f>IF(AND($A2128="",$C2128=""),"",IF($A2128="","Thiếu mã đơn; ","")&amp;IF(COUNTIF($A$2:$A2128,$A2128)&gt;1,"Trùng mã đơn; ","")&amp;IF(ISNA(MATCH($C2128,DATA_MASTER!$D$2:$D$5000,0)),"SĐT chưa đăng ký hội viên; ","")&amp;IF(AND($L2128="Đã chuyển khoản",$M2128=""),"Thiếu ngày nhận CK; ",""))</f>
        <v/>
      </c>
      <c r="T2128" s="24" t="n"/>
    </row>
    <row r="2129" ht="14.25" customHeight="1" s="40">
      <c r="A2129" s="24" t="n"/>
      <c r="B2129" s="29" t="n"/>
      <c r="C2129" s="28" t="n"/>
      <c r="D2129" s="22">
        <f t="array" ref="D2129">IF($C2129="","",IFERROR(INDEX(DATA_MASTER!$C$2:$C$5000,MATCH($C2129,DATA_MASTER!$D$2:$D$5000,0)),""))</f>
        <v/>
      </c>
      <c r="E2129" s="22">
        <f t="array" ref="E2129">IF($C2129="","",IFERROR(INDEX(DATA_MASTER!$I$2:$I$5000,MATCH($C2129,DATA_MASTER!$D$2:$D$5000,0)),""))</f>
        <v/>
      </c>
      <c r="F2129" s="22">
        <f t="array" ref="F2129">IF($C2129="","",IFERROR(INDEX(DATA_MASTER!$L$2:$L$5000,MATCH($C2129,DATA_MASTER!$D$2:$D$5000,0)),""))</f>
        <v/>
      </c>
      <c r="G2129" s="24" t="n"/>
      <c r="H2129" s="24" t="n"/>
      <c r="I2129" s="30" t="n"/>
      <c r="J2129" s="23">
        <f>IF(OR($H2129="",$I2129=""),"",$H2129*$I2129)</f>
        <v/>
      </c>
      <c r="K2129" s="24" t="n"/>
      <c r="L2129" s="24" t="n"/>
      <c r="M2129" s="29" t="n"/>
      <c r="N2129" s="28" t="n"/>
      <c r="O2129" s="24" t="n"/>
      <c r="P2129" s="24" t="n"/>
      <c r="Q2129" s="24" t="n"/>
      <c r="R2129" s="24" t="n"/>
      <c r="S2129" s="22">
        <f>IF(AND($A2129="",$C2129=""),"",IF($A2129="","Thiếu mã đơn; ","")&amp;IF(COUNTIF($A$2:$A2129,$A2129)&gt;1,"Trùng mã đơn; ","")&amp;IF(ISNA(MATCH($C2129,DATA_MASTER!$D$2:$D$5000,0)),"SĐT chưa đăng ký hội viên; ","")&amp;IF(AND($L2129="Đã chuyển khoản",$M2129=""),"Thiếu ngày nhận CK; ",""))</f>
        <v/>
      </c>
      <c r="T2129" s="24" t="n"/>
    </row>
    <row r="2130" ht="14.25" customHeight="1" s="40">
      <c r="A2130" s="24" t="n"/>
      <c r="B2130" s="29" t="n"/>
      <c r="C2130" s="28" t="n"/>
      <c r="D2130" s="22">
        <f t="array" ref="D2130">IF($C2130="","",IFERROR(INDEX(DATA_MASTER!$C$2:$C$5000,MATCH($C2130,DATA_MASTER!$D$2:$D$5000,0)),""))</f>
        <v/>
      </c>
      <c r="E2130" s="22">
        <f t="array" ref="E2130">IF($C2130="","",IFERROR(INDEX(DATA_MASTER!$I$2:$I$5000,MATCH($C2130,DATA_MASTER!$D$2:$D$5000,0)),""))</f>
        <v/>
      </c>
      <c r="F2130" s="22">
        <f t="array" ref="F2130">IF($C2130="","",IFERROR(INDEX(DATA_MASTER!$L$2:$L$5000,MATCH($C2130,DATA_MASTER!$D$2:$D$5000,0)),""))</f>
        <v/>
      </c>
      <c r="G2130" s="24" t="n"/>
      <c r="H2130" s="24" t="n"/>
      <c r="I2130" s="30" t="n"/>
      <c r="J2130" s="23">
        <f>IF(OR($H2130="",$I2130=""),"",$H2130*$I2130)</f>
        <v/>
      </c>
      <c r="K2130" s="24" t="n"/>
      <c r="L2130" s="24" t="n"/>
      <c r="M2130" s="29" t="n"/>
      <c r="N2130" s="28" t="n"/>
      <c r="O2130" s="24" t="n"/>
      <c r="P2130" s="24" t="n"/>
      <c r="Q2130" s="24" t="n"/>
      <c r="R2130" s="24" t="n"/>
      <c r="S2130" s="22">
        <f>IF(AND($A2130="",$C2130=""),"",IF($A2130="","Thiếu mã đơn; ","")&amp;IF(COUNTIF($A$2:$A2130,$A2130)&gt;1,"Trùng mã đơn; ","")&amp;IF(ISNA(MATCH($C2130,DATA_MASTER!$D$2:$D$5000,0)),"SĐT chưa đăng ký hội viên; ","")&amp;IF(AND($L2130="Đã chuyển khoản",$M2130=""),"Thiếu ngày nhận CK; ",""))</f>
        <v/>
      </c>
      <c r="T2130" s="24" t="n"/>
    </row>
    <row r="2131" ht="14.25" customHeight="1" s="40">
      <c r="A2131" s="24" t="n"/>
      <c r="B2131" s="29" t="n"/>
      <c r="C2131" s="28" t="n"/>
      <c r="D2131" s="22">
        <f t="array" ref="D2131">IF($C2131="","",IFERROR(INDEX(DATA_MASTER!$C$2:$C$5000,MATCH($C2131,DATA_MASTER!$D$2:$D$5000,0)),""))</f>
        <v/>
      </c>
      <c r="E2131" s="22">
        <f t="array" ref="E2131">IF($C2131="","",IFERROR(INDEX(DATA_MASTER!$I$2:$I$5000,MATCH($C2131,DATA_MASTER!$D$2:$D$5000,0)),""))</f>
        <v/>
      </c>
      <c r="F2131" s="22">
        <f t="array" ref="F2131">IF($C2131="","",IFERROR(INDEX(DATA_MASTER!$L$2:$L$5000,MATCH($C2131,DATA_MASTER!$D$2:$D$5000,0)),""))</f>
        <v/>
      </c>
      <c r="G2131" s="24" t="n"/>
      <c r="H2131" s="24" t="n"/>
      <c r="I2131" s="30" t="n"/>
      <c r="J2131" s="23">
        <f>IF(OR($H2131="",$I2131=""),"",$H2131*$I2131)</f>
        <v/>
      </c>
      <c r="K2131" s="24" t="n"/>
      <c r="L2131" s="24" t="n"/>
      <c r="M2131" s="29" t="n"/>
      <c r="N2131" s="28" t="n"/>
      <c r="O2131" s="24" t="n"/>
      <c r="P2131" s="24" t="n"/>
      <c r="Q2131" s="24" t="n"/>
      <c r="R2131" s="24" t="n"/>
      <c r="S2131" s="22">
        <f>IF(AND($A2131="",$C2131=""),"",IF($A2131="","Thiếu mã đơn; ","")&amp;IF(COUNTIF($A$2:$A2131,$A2131)&gt;1,"Trùng mã đơn; ","")&amp;IF(ISNA(MATCH($C2131,DATA_MASTER!$D$2:$D$5000,0)),"SĐT chưa đăng ký hội viên; ","")&amp;IF(AND($L2131="Đã chuyển khoản",$M2131=""),"Thiếu ngày nhận CK; ",""))</f>
        <v/>
      </c>
      <c r="T2131" s="24" t="n"/>
    </row>
    <row r="2132" ht="14.25" customHeight="1" s="40">
      <c r="A2132" s="24" t="n"/>
      <c r="B2132" s="29" t="n"/>
      <c r="C2132" s="28" t="n"/>
      <c r="D2132" s="22">
        <f t="array" ref="D2132">IF($C2132="","",IFERROR(INDEX(DATA_MASTER!$C$2:$C$5000,MATCH($C2132,DATA_MASTER!$D$2:$D$5000,0)),""))</f>
        <v/>
      </c>
      <c r="E2132" s="22">
        <f t="array" ref="E2132">IF($C2132="","",IFERROR(INDEX(DATA_MASTER!$I$2:$I$5000,MATCH($C2132,DATA_MASTER!$D$2:$D$5000,0)),""))</f>
        <v/>
      </c>
      <c r="F2132" s="22">
        <f t="array" ref="F2132">IF($C2132="","",IFERROR(INDEX(DATA_MASTER!$L$2:$L$5000,MATCH($C2132,DATA_MASTER!$D$2:$D$5000,0)),""))</f>
        <v/>
      </c>
      <c r="G2132" s="24" t="n"/>
      <c r="H2132" s="24" t="n"/>
      <c r="I2132" s="30" t="n"/>
      <c r="J2132" s="23">
        <f>IF(OR($H2132="",$I2132=""),"",$H2132*$I2132)</f>
        <v/>
      </c>
      <c r="K2132" s="24" t="n"/>
      <c r="L2132" s="24" t="n"/>
      <c r="M2132" s="29" t="n"/>
      <c r="N2132" s="28" t="n"/>
      <c r="O2132" s="24" t="n"/>
      <c r="P2132" s="24" t="n"/>
      <c r="Q2132" s="24" t="n"/>
      <c r="R2132" s="24" t="n"/>
      <c r="S2132" s="22">
        <f>IF(AND($A2132="",$C2132=""),"",IF($A2132="","Thiếu mã đơn; ","")&amp;IF(COUNTIF($A$2:$A2132,$A2132)&gt;1,"Trùng mã đơn; ","")&amp;IF(ISNA(MATCH($C2132,DATA_MASTER!$D$2:$D$5000,0)),"SĐT chưa đăng ký hội viên; ","")&amp;IF(AND($L2132="Đã chuyển khoản",$M2132=""),"Thiếu ngày nhận CK; ",""))</f>
        <v/>
      </c>
      <c r="T2132" s="24" t="n"/>
    </row>
    <row r="2133" ht="14.25" customHeight="1" s="40">
      <c r="A2133" s="24" t="n"/>
      <c r="B2133" s="29" t="n"/>
      <c r="C2133" s="28" t="n"/>
      <c r="D2133" s="22">
        <f t="array" ref="D2133">IF($C2133="","",IFERROR(INDEX(DATA_MASTER!$C$2:$C$5000,MATCH($C2133,DATA_MASTER!$D$2:$D$5000,0)),""))</f>
        <v/>
      </c>
      <c r="E2133" s="22">
        <f t="array" ref="E2133">IF($C2133="","",IFERROR(INDEX(DATA_MASTER!$I$2:$I$5000,MATCH($C2133,DATA_MASTER!$D$2:$D$5000,0)),""))</f>
        <v/>
      </c>
      <c r="F2133" s="22">
        <f t="array" ref="F2133">IF($C2133="","",IFERROR(INDEX(DATA_MASTER!$L$2:$L$5000,MATCH($C2133,DATA_MASTER!$D$2:$D$5000,0)),""))</f>
        <v/>
      </c>
      <c r="G2133" s="24" t="n"/>
      <c r="H2133" s="24" t="n"/>
      <c r="I2133" s="30" t="n"/>
      <c r="J2133" s="23">
        <f>IF(OR($H2133="",$I2133=""),"",$H2133*$I2133)</f>
        <v/>
      </c>
      <c r="K2133" s="24" t="n"/>
      <c r="L2133" s="24" t="n"/>
      <c r="M2133" s="29" t="n"/>
      <c r="N2133" s="28" t="n"/>
      <c r="O2133" s="24" t="n"/>
      <c r="P2133" s="24" t="n"/>
      <c r="Q2133" s="24" t="n"/>
      <c r="R2133" s="24" t="n"/>
      <c r="S2133" s="22">
        <f>IF(AND($A2133="",$C2133=""),"",IF($A2133="","Thiếu mã đơn; ","")&amp;IF(COUNTIF($A$2:$A2133,$A2133)&gt;1,"Trùng mã đơn; ","")&amp;IF(ISNA(MATCH($C2133,DATA_MASTER!$D$2:$D$5000,0)),"SĐT chưa đăng ký hội viên; ","")&amp;IF(AND($L2133="Đã chuyển khoản",$M2133=""),"Thiếu ngày nhận CK; ",""))</f>
        <v/>
      </c>
      <c r="T2133" s="24" t="n"/>
    </row>
    <row r="2134" ht="14.25" customHeight="1" s="40">
      <c r="A2134" s="24" t="n"/>
      <c r="B2134" s="29" t="n"/>
      <c r="C2134" s="28" t="n"/>
      <c r="D2134" s="22">
        <f t="array" ref="D2134">IF($C2134="","",IFERROR(INDEX(DATA_MASTER!$C$2:$C$5000,MATCH($C2134,DATA_MASTER!$D$2:$D$5000,0)),""))</f>
        <v/>
      </c>
      <c r="E2134" s="22">
        <f t="array" ref="E2134">IF($C2134="","",IFERROR(INDEX(DATA_MASTER!$I$2:$I$5000,MATCH($C2134,DATA_MASTER!$D$2:$D$5000,0)),""))</f>
        <v/>
      </c>
      <c r="F2134" s="22">
        <f t="array" ref="F2134">IF($C2134="","",IFERROR(INDEX(DATA_MASTER!$L$2:$L$5000,MATCH($C2134,DATA_MASTER!$D$2:$D$5000,0)),""))</f>
        <v/>
      </c>
      <c r="G2134" s="24" t="n"/>
      <c r="H2134" s="24" t="n"/>
      <c r="I2134" s="30" t="n"/>
      <c r="J2134" s="23">
        <f>IF(OR($H2134="",$I2134=""),"",$H2134*$I2134)</f>
        <v/>
      </c>
      <c r="K2134" s="24" t="n"/>
      <c r="L2134" s="24" t="n"/>
      <c r="M2134" s="29" t="n"/>
      <c r="N2134" s="28" t="n"/>
      <c r="O2134" s="24" t="n"/>
      <c r="P2134" s="24" t="n"/>
      <c r="Q2134" s="24" t="n"/>
      <c r="R2134" s="24" t="n"/>
      <c r="S2134" s="22">
        <f>IF(AND($A2134="",$C2134=""),"",IF($A2134="","Thiếu mã đơn; ","")&amp;IF(COUNTIF($A$2:$A2134,$A2134)&gt;1,"Trùng mã đơn; ","")&amp;IF(ISNA(MATCH($C2134,DATA_MASTER!$D$2:$D$5000,0)),"SĐT chưa đăng ký hội viên; ","")&amp;IF(AND($L2134="Đã chuyển khoản",$M2134=""),"Thiếu ngày nhận CK; ",""))</f>
        <v/>
      </c>
      <c r="T2134" s="24" t="n"/>
    </row>
    <row r="2135" ht="14.25" customHeight="1" s="40">
      <c r="A2135" s="24" t="n"/>
      <c r="B2135" s="29" t="n"/>
      <c r="C2135" s="28" t="n"/>
      <c r="D2135" s="22">
        <f t="array" ref="D2135">IF($C2135="","",IFERROR(INDEX(DATA_MASTER!$C$2:$C$5000,MATCH($C2135,DATA_MASTER!$D$2:$D$5000,0)),""))</f>
        <v/>
      </c>
      <c r="E2135" s="22">
        <f t="array" ref="E2135">IF($C2135="","",IFERROR(INDEX(DATA_MASTER!$I$2:$I$5000,MATCH($C2135,DATA_MASTER!$D$2:$D$5000,0)),""))</f>
        <v/>
      </c>
      <c r="F2135" s="22">
        <f t="array" ref="F2135">IF($C2135="","",IFERROR(INDEX(DATA_MASTER!$L$2:$L$5000,MATCH($C2135,DATA_MASTER!$D$2:$D$5000,0)),""))</f>
        <v/>
      </c>
      <c r="G2135" s="24" t="n"/>
      <c r="H2135" s="24" t="n"/>
      <c r="I2135" s="30" t="n"/>
      <c r="J2135" s="23">
        <f>IF(OR($H2135="",$I2135=""),"",$H2135*$I2135)</f>
        <v/>
      </c>
      <c r="K2135" s="24" t="n"/>
      <c r="L2135" s="24" t="n"/>
      <c r="M2135" s="29" t="n"/>
      <c r="N2135" s="28" t="n"/>
      <c r="O2135" s="24" t="n"/>
      <c r="P2135" s="24" t="n"/>
      <c r="Q2135" s="24" t="n"/>
      <c r="R2135" s="24" t="n"/>
      <c r="S2135" s="22">
        <f>IF(AND($A2135="",$C2135=""),"",IF($A2135="","Thiếu mã đơn; ","")&amp;IF(COUNTIF($A$2:$A2135,$A2135)&gt;1,"Trùng mã đơn; ","")&amp;IF(ISNA(MATCH($C2135,DATA_MASTER!$D$2:$D$5000,0)),"SĐT chưa đăng ký hội viên; ","")&amp;IF(AND($L2135="Đã chuyển khoản",$M2135=""),"Thiếu ngày nhận CK; ",""))</f>
        <v/>
      </c>
      <c r="T2135" s="24" t="n"/>
    </row>
    <row r="2136" ht="14.25" customHeight="1" s="40">
      <c r="A2136" s="24" t="n"/>
      <c r="B2136" s="29" t="n"/>
      <c r="C2136" s="28" t="n"/>
      <c r="D2136" s="22">
        <f t="array" ref="D2136">IF($C2136="","",IFERROR(INDEX(DATA_MASTER!$C$2:$C$5000,MATCH($C2136,DATA_MASTER!$D$2:$D$5000,0)),""))</f>
        <v/>
      </c>
      <c r="E2136" s="22">
        <f t="array" ref="E2136">IF($C2136="","",IFERROR(INDEX(DATA_MASTER!$I$2:$I$5000,MATCH($C2136,DATA_MASTER!$D$2:$D$5000,0)),""))</f>
        <v/>
      </c>
      <c r="F2136" s="22">
        <f t="array" ref="F2136">IF($C2136="","",IFERROR(INDEX(DATA_MASTER!$L$2:$L$5000,MATCH($C2136,DATA_MASTER!$D$2:$D$5000,0)),""))</f>
        <v/>
      </c>
      <c r="G2136" s="24" t="n"/>
      <c r="H2136" s="24" t="n"/>
      <c r="I2136" s="30" t="n"/>
      <c r="J2136" s="23">
        <f>IF(OR($H2136="",$I2136=""),"",$H2136*$I2136)</f>
        <v/>
      </c>
      <c r="K2136" s="24" t="n"/>
      <c r="L2136" s="24" t="n"/>
      <c r="M2136" s="29" t="n"/>
      <c r="N2136" s="28" t="n"/>
      <c r="O2136" s="24" t="n"/>
      <c r="P2136" s="24" t="n"/>
      <c r="Q2136" s="24" t="n"/>
      <c r="R2136" s="24" t="n"/>
      <c r="S2136" s="22">
        <f>IF(AND($A2136="",$C2136=""),"",IF($A2136="","Thiếu mã đơn; ","")&amp;IF(COUNTIF($A$2:$A2136,$A2136)&gt;1,"Trùng mã đơn; ","")&amp;IF(ISNA(MATCH($C2136,DATA_MASTER!$D$2:$D$5000,0)),"SĐT chưa đăng ký hội viên; ","")&amp;IF(AND($L2136="Đã chuyển khoản",$M2136=""),"Thiếu ngày nhận CK; ",""))</f>
        <v/>
      </c>
      <c r="T2136" s="24" t="n"/>
    </row>
    <row r="2137" ht="14.25" customHeight="1" s="40">
      <c r="A2137" s="24" t="n"/>
      <c r="B2137" s="29" t="n"/>
      <c r="C2137" s="28" t="n"/>
      <c r="D2137" s="22">
        <f t="array" ref="D2137">IF($C2137="","",IFERROR(INDEX(DATA_MASTER!$C$2:$C$5000,MATCH($C2137,DATA_MASTER!$D$2:$D$5000,0)),""))</f>
        <v/>
      </c>
      <c r="E2137" s="22">
        <f t="array" ref="E2137">IF($C2137="","",IFERROR(INDEX(DATA_MASTER!$I$2:$I$5000,MATCH($C2137,DATA_MASTER!$D$2:$D$5000,0)),""))</f>
        <v/>
      </c>
      <c r="F2137" s="22">
        <f t="array" ref="F2137">IF($C2137="","",IFERROR(INDEX(DATA_MASTER!$L$2:$L$5000,MATCH($C2137,DATA_MASTER!$D$2:$D$5000,0)),""))</f>
        <v/>
      </c>
      <c r="G2137" s="24" t="n"/>
      <c r="H2137" s="24" t="n"/>
      <c r="I2137" s="30" t="n"/>
      <c r="J2137" s="23">
        <f>IF(OR($H2137="",$I2137=""),"",$H2137*$I2137)</f>
        <v/>
      </c>
      <c r="K2137" s="24" t="n"/>
      <c r="L2137" s="24" t="n"/>
      <c r="M2137" s="29" t="n"/>
      <c r="N2137" s="28" t="n"/>
      <c r="O2137" s="24" t="n"/>
      <c r="P2137" s="24" t="n"/>
      <c r="Q2137" s="24" t="n"/>
      <c r="R2137" s="24" t="n"/>
      <c r="S2137" s="22">
        <f>IF(AND($A2137="",$C2137=""),"",IF($A2137="","Thiếu mã đơn; ","")&amp;IF(COUNTIF($A$2:$A2137,$A2137)&gt;1,"Trùng mã đơn; ","")&amp;IF(ISNA(MATCH($C2137,DATA_MASTER!$D$2:$D$5000,0)),"SĐT chưa đăng ký hội viên; ","")&amp;IF(AND($L2137="Đã chuyển khoản",$M2137=""),"Thiếu ngày nhận CK; ",""))</f>
        <v/>
      </c>
      <c r="T2137" s="24" t="n"/>
    </row>
    <row r="2138" ht="14.25" customHeight="1" s="40">
      <c r="A2138" s="24" t="n"/>
      <c r="B2138" s="29" t="n"/>
      <c r="C2138" s="28" t="n"/>
      <c r="D2138" s="22">
        <f t="array" ref="D2138">IF($C2138="","",IFERROR(INDEX(DATA_MASTER!$C$2:$C$5000,MATCH($C2138,DATA_MASTER!$D$2:$D$5000,0)),""))</f>
        <v/>
      </c>
      <c r="E2138" s="22">
        <f t="array" ref="E2138">IF($C2138="","",IFERROR(INDEX(DATA_MASTER!$I$2:$I$5000,MATCH($C2138,DATA_MASTER!$D$2:$D$5000,0)),""))</f>
        <v/>
      </c>
      <c r="F2138" s="22">
        <f t="array" ref="F2138">IF($C2138="","",IFERROR(INDEX(DATA_MASTER!$L$2:$L$5000,MATCH($C2138,DATA_MASTER!$D$2:$D$5000,0)),""))</f>
        <v/>
      </c>
      <c r="G2138" s="24" t="n"/>
      <c r="H2138" s="24" t="n"/>
      <c r="I2138" s="30" t="n"/>
      <c r="J2138" s="23">
        <f>IF(OR($H2138="",$I2138=""),"",$H2138*$I2138)</f>
        <v/>
      </c>
      <c r="K2138" s="24" t="n"/>
      <c r="L2138" s="24" t="n"/>
      <c r="M2138" s="29" t="n"/>
      <c r="N2138" s="28" t="n"/>
      <c r="O2138" s="24" t="n"/>
      <c r="P2138" s="24" t="n"/>
      <c r="Q2138" s="24" t="n"/>
      <c r="R2138" s="24" t="n"/>
      <c r="S2138" s="22">
        <f>IF(AND($A2138="",$C2138=""),"",IF($A2138="","Thiếu mã đơn; ","")&amp;IF(COUNTIF($A$2:$A2138,$A2138)&gt;1,"Trùng mã đơn; ","")&amp;IF(ISNA(MATCH($C2138,DATA_MASTER!$D$2:$D$5000,0)),"SĐT chưa đăng ký hội viên; ","")&amp;IF(AND($L2138="Đã chuyển khoản",$M2138=""),"Thiếu ngày nhận CK; ",""))</f>
        <v/>
      </c>
      <c r="T2138" s="24" t="n"/>
    </row>
    <row r="2139" ht="14.25" customHeight="1" s="40">
      <c r="A2139" s="24" t="n"/>
      <c r="B2139" s="29" t="n"/>
      <c r="C2139" s="28" t="n"/>
      <c r="D2139" s="22">
        <f t="array" ref="D2139">IF($C2139="","",IFERROR(INDEX(DATA_MASTER!$C$2:$C$5000,MATCH($C2139,DATA_MASTER!$D$2:$D$5000,0)),""))</f>
        <v/>
      </c>
      <c r="E2139" s="22">
        <f t="array" ref="E2139">IF($C2139="","",IFERROR(INDEX(DATA_MASTER!$I$2:$I$5000,MATCH($C2139,DATA_MASTER!$D$2:$D$5000,0)),""))</f>
        <v/>
      </c>
      <c r="F2139" s="22">
        <f t="array" ref="F2139">IF($C2139="","",IFERROR(INDEX(DATA_MASTER!$L$2:$L$5000,MATCH($C2139,DATA_MASTER!$D$2:$D$5000,0)),""))</f>
        <v/>
      </c>
      <c r="G2139" s="24" t="n"/>
      <c r="H2139" s="24" t="n"/>
      <c r="I2139" s="30" t="n"/>
      <c r="J2139" s="23">
        <f>IF(OR($H2139="",$I2139=""),"",$H2139*$I2139)</f>
        <v/>
      </c>
      <c r="K2139" s="24" t="n"/>
      <c r="L2139" s="24" t="n"/>
      <c r="M2139" s="29" t="n"/>
      <c r="N2139" s="28" t="n"/>
      <c r="O2139" s="24" t="n"/>
      <c r="P2139" s="24" t="n"/>
      <c r="Q2139" s="24" t="n"/>
      <c r="R2139" s="24" t="n"/>
      <c r="S2139" s="22">
        <f>IF(AND($A2139="",$C2139=""),"",IF($A2139="","Thiếu mã đơn; ","")&amp;IF(COUNTIF($A$2:$A2139,$A2139)&gt;1,"Trùng mã đơn; ","")&amp;IF(ISNA(MATCH($C2139,DATA_MASTER!$D$2:$D$5000,0)),"SĐT chưa đăng ký hội viên; ","")&amp;IF(AND($L2139="Đã chuyển khoản",$M2139=""),"Thiếu ngày nhận CK; ",""))</f>
        <v/>
      </c>
      <c r="T2139" s="24" t="n"/>
    </row>
    <row r="2140" ht="14.25" customHeight="1" s="40">
      <c r="A2140" s="24" t="n"/>
      <c r="B2140" s="29" t="n"/>
      <c r="C2140" s="28" t="n"/>
      <c r="D2140" s="22">
        <f t="array" ref="D2140">IF($C2140="","",IFERROR(INDEX(DATA_MASTER!$C$2:$C$5000,MATCH($C2140,DATA_MASTER!$D$2:$D$5000,0)),""))</f>
        <v/>
      </c>
      <c r="E2140" s="22">
        <f t="array" ref="E2140">IF($C2140="","",IFERROR(INDEX(DATA_MASTER!$I$2:$I$5000,MATCH($C2140,DATA_MASTER!$D$2:$D$5000,0)),""))</f>
        <v/>
      </c>
      <c r="F2140" s="22">
        <f t="array" ref="F2140">IF($C2140="","",IFERROR(INDEX(DATA_MASTER!$L$2:$L$5000,MATCH($C2140,DATA_MASTER!$D$2:$D$5000,0)),""))</f>
        <v/>
      </c>
      <c r="G2140" s="24" t="n"/>
      <c r="H2140" s="24" t="n"/>
      <c r="I2140" s="30" t="n"/>
      <c r="J2140" s="23">
        <f>IF(OR($H2140="",$I2140=""),"",$H2140*$I2140)</f>
        <v/>
      </c>
      <c r="K2140" s="24" t="n"/>
      <c r="L2140" s="24" t="n"/>
      <c r="M2140" s="29" t="n"/>
      <c r="N2140" s="28" t="n"/>
      <c r="O2140" s="24" t="n"/>
      <c r="P2140" s="24" t="n"/>
      <c r="Q2140" s="24" t="n"/>
      <c r="R2140" s="24" t="n"/>
      <c r="S2140" s="22">
        <f>IF(AND($A2140="",$C2140=""),"",IF($A2140="","Thiếu mã đơn; ","")&amp;IF(COUNTIF($A$2:$A2140,$A2140)&gt;1,"Trùng mã đơn; ","")&amp;IF(ISNA(MATCH($C2140,DATA_MASTER!$D$2:$D$5000,0)),"SĐT chưa đăng ký hội viên; ","")&amp;IF(AND($L2140="Đã chuyển khoản",$M2140=""),"Thiếu ngày nhận CK; ",""))</f>
        <v/>
      </c>
      <c r="T2140" s="24" t="n"/>
    </row>
    <row r="2141" ht="14.25" customHeight="1" s="40">
      <c r="A2141" s="24" t="n"/>
      <c r="B2141" s="29" t="n"/>
      <c r="C2141" s="28" t="n"/>
      <c r="D2141" s="22">
        <f t="array" ref="D2141">IF($C2141="","",IFERROR(INDEX(DATA_MASTER!$C$2:$C$5000,MATCH($C2141,DATA_MASTER!$D$2:$D$5000,0)),""))</f>
        <v/>
      </c>
      <c r="E2141" s="22">
        <f t="array" ref="E2141">IF($C2141="","",IFERROR(INDEX(DATA_MASTER!$I$2:$I$5000,MATCH($C2141,DATA_MASTER!$D$2:$D$5000,0)),""))</f>
        <v/>
      </c>
      <c r="F2141" s="22">
        <f t="array" ref="F2141">IF($C2141="","",IFERROR(INDEX(DATA_MASTER!$L$2:$L$5000,MATCH($C2141,DATA_MASTER!$D$2:$D$5000,0)),""))</f>
        <v/>
      </c>
      <c r="G2141" s="24" t="n"/>
      <c r="H2141" s="24" t="n"/>
      <c r="I2141" s="30" t="n"/>
      <c r="J2141" s="23">
        <f>IF(OR($H2141="",$I2141=""),"",$H2141*$I2141)</f>
        <v/>
      </c>
      <c r="K2141" s="24" t="n"/>
      <c r="L2141" s="24" t="n"/>
      <c r="M2141" s="29" t="n"/>
      <c r="N2141" s="28" t="n"/>
      <c r="O2141" s="24" t="n"/>
      <c r="P2141" s="24" t="n"/>
      <c r="Q2141" s="24" t="n"/>
      <c r="R2141" s="24" t="n"/>
      <c r="S2141" s="22">
        <f>IF(AND($A2141="",$C2141=""),"",IF($A2141="","Thiếu mã đơn; ","")&amp;IF(COUNTIF($A$2:$A2141,$A2141)&gt;1,"Trùng mã đơn; ","")&amp;IF(ISNA(MATCH($C2141,DATA_MASTER!$D$2:$D$5000,0)),"SĐT chưa đăng ký hội viên; ","")&amp;IF(AND($L2141="Đã chuyển khoản",$M2141=""),"Thiếu ngày nhận CK; ",""))</f>
        <v/>
      </c>
      <c r="T2141" s="24" t="n"/>
    </row>
    <row r="2142" ht="14.25" customHeight="1" s="40">
      <c r="A2142" s="24" t="n"/>
      <c r="B2142" s="29" t="n"/>
      <c r="C2142" s="28" t="n"/>
      <c r="D2142" s="22">
        <f t="array" ref="D2142">IF($C2142="","",IFERROR(INDEX(DATA_MASTER!$C$2:$C$5000,MATCH($C2142,DATA_MASTER!$D$2:$D$5000,0)),""))</f>
        <v/>
      </c>
      <c r="E2142" s="22">
        <f t="array" ref="E2142">IF($C2142="","",IFERROR(INDEX(DATA_MASTER!$I$2:$I$5000,MATCH($C2142,DATA_MASTER!$D$2:$D$5000,0)),""))</f>
        <v/>
      </c>
      <c r="F2142" s="22">
        <f t="array" ref="F2142">IF($C2142="","",IFERROR(INDEX(DATA_MASTER!$L$2:$L$5000,MATCH($C2142,DATA_MASTER!$D$2:$D$5000,0)),""))</f>
        <v/>
      </c>
      <c r="G2142" s="24" t="n"/>
      <c r="H2142" s="24" t="n"/>
      <c r="I2142" s="30" t="n"/>
      <c r="J2142" s="23">
        <f>IF(OR($H2142="",$I2142=""),"",$H2142*$I2142)</f>
        <v/>
      </c>
      <c r="K2142" s="24" t="n"/>
      <c r="L2142" s="24" t="n"/>
      <c r="M2142" s="29" t="n"/>
      <c r="N2142" s="28" t="n"/>
      <c r="O2142" s="24" t="n"/>
      <c r="P2142" s="24" t="n"/>
      <c r="Q2142" s="24" t="n"/>
      <c r="R2142" s="24" t="n"/>
      <c r="S2142" s="22">
        <f>IF(AND($A2142="",$C2142=""),"",IF($A2142="","Thiếu mã đơn; ","")&amp;IF(COUNTIF($A$2:$A2142,$A2142)&gt;1,"Trùng mã đơn; ","")&amp;IF(ISNA(MATCH($C2142,DATA_MASTER!$D$2:$D$5000,0)),"SĐT chưa đăng ký hội viên; ","")&amp;IF(AND($L2142="Đã chuyển khoản",$M2142=""),"Thiếu ngày nhận CK; ",""))</f>
        <v/>
      </c>
      <c r="T2142" s="24" t="n"/>
    </row>
    <row r="2143" ht="14.25" customHeight="1" s="40">
      <c r="A2143" s="24" t="n"/>
      <c r="B2143" s="29" t="n"/>
      <c r="C2143" s="28" t="n"/>
      <c r="D2143" s="22">
        <f t="array" ref="D2143">IF($C2143="","",IFERROR(INDEX(DATA_MASTER!$C$2:$C$5000,MATCH($C2143,DATA_MASTER!$D$2:$D$5000,0)),""))</f>
        <v/>
      </c>
      <c r="E2143" s="22">
        <f t="array" ref="E2143">IF($C2143="","",IFERROR(INDEX(DATA_MASTER!$I$2:$I$5000,MATCH($C2143,DATA_MASTER!$D$2:$D$5000,0)),""))</f>
        <v/>
      </c>
      <c r="F2143" s="22">
        <f t="array" ref="F2143">IF($C2143="","",IFERROR(INDEX(DATA_MASTER!$L$2:$L$5000,MATCH($C2143,DATA_MASTER!$D$2:$D$5000,0)),""))</f>
        <v/>
      </c>
      <c r="G2143" s="24" t="n"/>
      <c r="H2143" s="24" t="n"/>
      <c r="I2143" s="30" t="n"/>
      <c r="J2143" s="23">
        <f>IF(OR($H2143="",$I2143=""),"",$H2143*$I2143)</f>
        <v/>
      </c>
      <c r="K2143" s="24" t="n"/>
      <c r="L2143" s="24" t="n"/>
      <c r="M2143" s="29" t="n"/>
      <c r="N2143" s="28" t="n"/>
      <c r="O2143" s="24" t="n"/>
      <c r="P2143" s="24" t="n"/>
      <c r="Q2143" s="24" t="n"/>
      <c r="R2143" s="24" t="n"/>
      <c r="S2143" s="22">
        <f>IF(AND($A2143="",$C2143=""),"",IF($A2143="","Thiếu mã đơn; ","")&amp;IF(COUNTIF($A$2:$A2143,$A2143)&gt;1,"Trùng mã đơn; ","")&amp;IF(ISNA(MATCH($C2143,DATA_MASTER!$D$2:$D$5000,0)),"SĐT chưa đăng ký hội viên; ","")&amp;IF(AND($L2143="Đã chuyển khoản",$M2143=""),"Thiếu ngày nhận CK; ",""))</f>
        <v/>
      </c>
      <c r="T2143" s="24" t="n"/>
    </row>
    <row r="2144" ht="14.25" customHeight="1" s="40">
      <c r="A2144" s="24" t="n"/>
      <c r="B2144" s="29" t="n"/>
      <c r="C2144" s="28" t="n"/>
      <c r="D2144" s="22">
        <f t="array" ref="D2144">IF($C2144="","",IFERROR(INDEX(DATA_MASTER!$C$2:$C$5000,MATCH($C2144,DATA_MASTER!$D$2:$D$5000,0)),""))</f>
        <v/>
      </c>
      <c r="E2144" s="22">
        <f t="array" ref="E2144">IF($C2144="","",IFERROR(INDEX(DATA_MASTER!$I$2:$I$5000,MATCH($C2144,DATA_MASTER!$D$2:$D$5000,0)),""))</f>
        <v/>
      </c>
      <c r="F2144" s="22">
        <f t="array" ref="F2144">IF($C2144="","",IFERROR(INDEX(DATA_MASTER!$L$2:$L$5000,MATCH($C2144,DATA_MASTER!$D$2:$D$5000,0)),""))</f>
        <v/>
      </c>
      <c r="G2144" s="24" t="n"/>
      <c r="H2144" s="24" t="n"/>
      <c r="I2144" s="30" t="n"/>
      <c r="J2144" s="23">
        <f>IF(OR($H2144="",$I2144=""),"",$H2144*$I2144)</f>
        <v/>
      </c>
      <c r="K2144" s="24" t="n"/>
      <c r="L2144" s="24" t="n"/>
      <c r="M2144" s="29" t="n"/>
      <c r="N2144" s="28" t="n"/>
      <c r="O2144" s="24" t="n"/>
      <c r="P2144" s="24" t="n"/>
      <c r="Q2144" s="24" t="n"/>
      <c r="R2144" s="24" t="n"/>
      <c r="S2144" s="22">
        <f>IF(AND($A2144="",$C2144=""),"",IF($A2144="","Thiếu mã đơn; ","")&amp;IF(COUNTIF($A$2:$A2144,$A2144)&gt;1,"Trùng mã đơn; ","")&amp;IF(ISNA(MATCH($C2144,DATA_MASTER!$D$2:$D$5000,0)),"SĐT chưa đăng ký hội viên; ","")&amp;IF(AND($L2144="Đã chuyển khoản",$M2144=""),"Thiếu ngày nhận CK; ",""))</f>
        <v/>
      </c>
      <c r="T2144" s="24" t="n"/>
    </row>
    <row r="2145" ht="14.25" customHeight="1" s="40">
      <c r="A2145" s="24" t="n"/>
      <c r="B2145" s="29" t="n"/>
      <c r="C2145" s="28" t="n"/>
      <c r="D2145" s="22">
        <f t="array" ref="D2145">IF($C2145="","",IFERROR(INDEX(DATA_MASTER!$C$2:$C$5000,MATCH($C2145,DATA_MASTER!$D$2:$D$5000,0)),""))</f>
        <v/>
      </c>
      <c r="E2145" s="22">
        <f t="array" ref="E2145">IF($C2145="","",IFERROR(INDEX(DATA_MASTER!$I$2:$I$5000,MATCH($C2145,DATA_MASTER!$D$2:$D$5000,0)),""))</f>
        <v/>
      </c>
      <c r="F2145" s="22">
        <f t="array" ref="F2145">IF($C2145="","",IFERROR(INDEX(DATA_MASTER!$L$2:$L$5000,MATCH($C2145,DATA_MASTER!$D$2:$D$5000,0)),""))</f>
        <v/>
      </c>
      <c r="G2145" s="24" t="n"/>
      <c r="H2145" s="24" t="n"/>
      <c r="I2145" s="30" t="n"/>
      <c r="J2145" s="23">
        <f>IF(OR($H2145="",$I2145=""),"",$H2145*$I2145)</f>
        <v/>
      </c>
      <c r="K2145" s="24" t="n"/>
      <c r="L2145" s="24" t="n"/>
      <c r="M2145" s="29" t="n"/>
      <c r="N2145" s="28" t="n"/>
      <c r="O2145" s="24" t="n"/>
      <c r="P2145" s="24" t="n"/>
      <c r="Q2145" s="24" t="n"/>
      <c r="R2145" s="24" t="n"/>
      <c r="S2145" s="22">
        <f>IF(AND($A2145="",$C2145=""),"",IF($A2145="","Thiếu mã đơn; ","")&amp;IF(COUNTIF($A$2:$A2145,$A2145)&gt;1,"Trùng mã đơn; ","")&amp;IF(ISNA(MATCH($C2145,DATA_MASTER!$D$2:$D$5000,0)),"SĐT chưa đăng ký hội viên; ","")&amp;IF(AND($L2145="Đã chuyển khoản",$M2145=""),"Thiếu ngày nhận CK; ",""))</f>
        <v/>
      </c>
      <c r="T2145" s="24" t="n"/>
    </row>
    <row r="2146" ht="14.25" customHeight="1" s="40">
      <c r="A2146" s="24" t="n"/>
      <c r="B2146" s="29" t="n"/>
      <c r="C2146" s="28" t="n"/>
      <c r="D2146" s="22">
        <f t="array" ref="D2146">IF($C2146="","",IFERROR(INDEX(DATA_MASTER!$C$2:$C$5000,MATCH($C2146,DATA_MASTER!$D$2:$D$5000,0)),""))</f>
        <v/>
      </c>
      <c r="E2146" s="22">
        <f t="array" ref="E2146">IF($C2146="","",IFERROR(INDEX(DATA_MASTER!$I$2:$I$5000,MATCH($C2146,DATA_MASTER!$D$2:$D$5000,0)),""))</f>
        <v/>
      </c>
      <c r="F2146" s="22">
        <f t="array" ref="F2146">IF($C2146="","",IFERROR(INDEX(DATA_MASTER!$L$2:$L$5000,MATCH($C2146,DATA_MASTER!$D$2:$D$5000,0)),""))</f>
        <v/>
      </c>
      <c r="G2146" s="24" t="n"/>
      <c r="H2146" s="24" t="n"/>
      <c r="I2146" s="30" t="n"/>
      <c r="J2146" s="23">
        <f>IF(OR($H2146="",$I2146=""),"",$H2146*$I2146)</f>
        <v/>
      </c>
      <c r="K2146" s="24" t="n"/>
      <c r="L2146" s="24" t="n"/>
      <c r="M2146" s="29" t="n"/>
      <c r="N2146" s="28" t="n"/>
      <c r="O2146" s="24" t="n"/>
      <c r="P2146" s="24" t="n"/>
      <c r="Q2146" s="24" t="n"/>
      <c r="R2146" s="24" t="n"/>
      <c r="S2146" s="22">
        <f>IF(AND($A2146="",$C2146=""),"",IF($A2146="","Thiếu mã đơn; ","")&amp;IF(COUNTIF($A$2:$A2146,$A2146)&gt;1,"Trùng mã đơn; ","")&amp;IF(ISNA(MATCH($C2146,DATA_MASTER!$D$2:$D$5000,0)),"SĐT chưa đăng ký hội viên; ","")&amp;IF(AND($L2146="Đã chuyển khoản",$M2146=""),"Thiếu ngày nhận CK; ",""))</f>
        <v/>
      </c>
      <c r="T2146" s="24" t="n"/>
    </row>
    <row r="2147" ht="14.25" customHeight="1" s="40">
      <c r="A2147" s="24" t="n"/>
      <c r="B2147" s="29" t="n"/>
      <c r="C2147" s="28" t="n"/>
      <c r="D2147" s="22">
        <f t="array" ref="D2147">IF($C2147="","",IFERROR(INDEX(DATA_MASTER!$C$2:$C$5000,MATCH($C2147,DATA_MASTER!$D$2:$D$5000,0)),""))</f>
        <v/>
      </c>
      <c r="E2147" s="22">
        <f t="array" ref="E2147">IF($C2147="","",IFERROR(INDEX(DATA_MASTER!$I$2:$I$5000,MATCH($C2147,DATA_MASTER!$D$2:$D$5000,0)),""))</f>
        <v/>
      </c>
      <c r="F2147" s="22">
        <f t="array" ref="F2147">IF($C2147="","",IFERROR(INDEX(DATA_MASTER!$L$2:$L$5000,MATCH($C2147,DATA_MASTER!$D$2:$D$5000,0)),""))</f>
        <v/>
      </c>
      <c r="G2147" s="24" t="n"/>
      <c r="H2147" s="24" t="n"/>
      <c r="I2147" s="30" t="n"/>
      <c r="J2147" s="23">
        <f>IF(OR($H2147="",$I2147=""),"",$H2147*$I2147)</f>
        <v/>
      </c>
      <c r="K2147" s="24" t="n"/>
      <c r="L2147" s="24" t="n"/>
      <c r="M2147" s="29" t="n"/>
      <c r="N2147" s="28" t="n"/>
      <c r="O2147" s="24" t="n"/>
      <c r="P2147" s="24" t="n"/>
      <c r="Q2147" s="24" t="n"/>
      <c r="R2147" s="24" t="n"/>
      <c r="S2147" s="22">
        <f>IF(AND($A2147="",$C2147=""),"",IF($A2147="","Thiếu mã đơn; ","")&amp;IF(COUNTIF($A$2:$A2147,$A2147)&gt;1,"Trùng mã đơn; ","")&amp;IF(ISNA(MATCH($C2147,DATA_MASTER!$D$2:$D$5000,0)),"SĐT chưa đăng ký hội viên; ","")&amp;IF(AND($L2147="Đã chuyển khoản",$M2147=""),"Thiếu ngày nhận CK; ",""))</f>
        <v/>
      </c>
      <c r="T2147" s="24" t="n"/>
    </row>
    <row r="2148" ht="14.25" customHeight="1" s="40">
      <c r="A2148" s="24" t="n"/>
      <c r="B2148" s="29" t="n"/>
      <c r="C2148" s="28" t="n"/>
      <c r="D2148" s="22">
        <f t="array" ref="D2148">IF($C2148="","",IFERROR(INDEX(DATA_MASTER!$C$2:$C$5000,MATCH($C2148,DATA_MASTER!$D$2:$D$5000,0)),""))</f>
        <v/>
      </c>
      <c r="E2148" s="22">
        <f t="array" ref="E2148">IF($C2148="","",IFERROR(INDEX(DATA_MASTER!$I$2:$I$5000,MATCH($C2148,DATA_MASTER!$D$2:$D$5000,0)),""))</f>
        <v/>
      </c>
      <c r="F2148" s="22">
        <f t="array" ref="F2148">IF($C2148="","",IFERROR(INDEX(DATA_MASTER!$L$2:$L$5000,MATCH($C2148,DATA_MASTER!$D$2:$D$5000,0)),""))</f>
        <v/>
      </c>
      <c r="G2148" s="24" t="n"/>
      <c r="H2148" s="24" t="n"/>
      <c r="I2148" s="30" t="n"/>
      <c r="J2148" s="23">
        <f>IF(OR($H2148="",$I2148=""),"",$H2148*$I2148)</f>
        <v/>
      </c>
      <c r="K2148" s="24" t="n"/>
      <c r="L2148" s="24" t="n"/>
      <c r="M2148" s="29" t="n"/>
      <c r="N2148" s="28" t="n"/>
      <c r="O2148" s="24" t="n"/>
      <c r="P2148" s="24" t="n"/>
      <c r="Q2148" s="24" t="n"/>
      <c r="R2148" s="24" t="n"/>
      <c r="S2148" s="22">
        <f>IF(AND($A2148="",$C2148=""),"",IF($A2148="","Thiếu mã đơn; ","")&amp;IF(COUNTIF($A$2:$A2148,$A2148)&gt;1,"Trùng mã đơn; ","")&amp;IF(ISNA(MATCH($C2148,DATA_MASTER!$D$2:$D$5000,0)),"SĐT chưa đăng ký hội viên; ","")&amp;IF(AND($L2148="Đã chuyển khoản",$M2148=""),"Thiếu ngày nhận CK; ",""))</f>
        <v/>
      </c>
      <c r="T2148" s="24" t="n"/>
    </row>
    <row r="2149" ht="14.25" customHeight="1" s="40">
      <c r="A2149" s="24" t="n"/>
      <c r="B2149" s="29" t="n"/>
      <c r="C2149" s="28" t="n"/>
      <c r="D2149" s="22">
        <f t="array" ref="D2149">IF($C2149="","",IFERROR(INDEX(DATA_MASTER!$C$2:$C$5000,MATCH($C2149,DATA_MASTER!$D$2:$D$5000,0)),""))</f>
        <v/>
      </c>
      <c r="E2149" s="22">
        <f t="array" ref="E2149">IF($C2149="","",IFERROR(INDEX(DATA_MASTER!$I$2:$I$5000,MATCH($C2149,DATA_MASTER!$D$2:$D$5000,0)),""))</f>
        <v/>
      </c>
      <c r="F2149" s="22">
        <f t="array" ref="F2149">IF($C2149="","",IFERROR(INDEX(DATA_MASTER!$L$2:$L$5000,MATCH($C2149,DATA_MASTER!$D$2:$D$5000,0)),""))</f>
        <v/>
      </c>
      <c r="G2149" s="24" t="n"/>
      <c r="H2149" s="24" t="n"/>
      <c r="I2149" s="30" t="n"/>
      <c r="J2149" s="23">
        <f>IF(OR($H2149="",$I2149=""),"",$H2149*$I2149)</f>
        <v/>
      </c>
      <c r="K2149" s="24" t="n"/>
      <c r="L2149" s="24" t="n"/>
      <c r="M2149" s="29" t="n"/>
      <c r="N2149" s="28" t="n"/>
      <c r="O2149" s="24" t="n"/>
      <c r="P2149" s="24" t="n"/>
      <c r="Q2149" s="24" t="n"/>
      <c r="R2149" s="24" t="n"/>
      <c r="S2149" s="22">
        <f>IF(AND($A2149="",$C2149=""),"",IF($A2149="","Thiếu mã đơn; ","")&amp;IF(COUNTIF($A$2:$A2149,$A2149)&gt;1,"Trùng mã đơn; ","")&amp;IF(ISNA(MATCH($C2149,DATA_MASTER!$D$2:$D$5000,0)),"SĐT chưa đăng ký hội viên; ","")&amp;IF(AND($L2149="Đã chuyển khoản",$M2149=""),"Thiếu ngày nhận CK; ",""))</f>
        <v/>
      </c>
      <c r="T2149" s="24" t="n"/>
    </row>
    <row r="2150" ht="14.25" customHeight="1" s="40">
      <c r="A2150" s="24" t="n"/>
      <c r="B2150" s="29" t="n"/>
      <c r="C2150" s="28" t="n"/>
      <c r="D2150" s="22">
        <f t="array" ref="D2150">IF($C2150="","",IFERROR(INDEX(DATA_MASTER!$C$2:$C$5000,MATCH($C2150,DATA_MASTER!$D$2:$D$5000,0)),""))</f>
        <v/>
      </c>
      <c r="E2150" s="22">
        <f t="array" ref="E2150">IF($C2150="","",IFERROR(INDEX(DATA_MASTER!$I$2:$I$5000,MATCH($C2150,DATA_MASTER!$D$2:$D$5000,0)),""))</f>
        <v/>
      </c>
      <c r="F2150" s="22">
        <f t="array" ref="F2150">IF($C2150="","",IFERROR(INDEX(DATA_MASTER!$L$2:$L$5000,MATCH($C2150,DATA_MASTER!$D$2:$D$5000,0)),""))</f>
        <v/>
      </c>
      <c r="G2150" s="24" t="n"/>
      <c r="H2150" s="24" t="n"/>
      <c r="I2150" s="30" t="n"/>
      <c r="J2150" s="23">
        <f>IF(OR($H2150="",$I2150=""),"",$H2150*$I2150)</f>
        <v/>
      </c>
      <c r="K2150" s="24" t="n"/>
      <c r="L2150" s="24" t="n"/>
      <c r="M2150" s="29" t="n"/>
      <c r="N2150" s="28" t="n"/>
      <c r="O2150" s="24" t="n"/>
      <c r="P2150" s="24" t="n"/>
      <c r="Q2150" s="24" t="n"/>
      <c r="R2150" s="24" t="n"/>
      <c r="S2150" s="22">
        <f>IF(AND($A2150="",$C2150=""),"",IF($A2150="","Thiếu mã đơn; ","")&amp;IF(COUNTIF($A$2:$A2150,$A2150)&gt;1,"Trùng mã đơn; ","")&amp;IF(ISNA(MATCH($C2150,DATA_MASTER!$D$2:$D$5000,0)),"SĐT chưa đăng ký hội viên; ","")&amp;IF(AND($L2150="Đã chuyển khoản",$M2150=""),"Thiếu ngày nhận CK; ",""))</f>
        <v/>
      </c>
      <c r="T2150" s="24" t="n"/>
    </row>
    <row r="2151" ht="14.25" customHeight="1" s="40">
      <c r="A2151" s="24" t="n"/>
      <c r="B2151" s="29" t="n"/>
      <c r="C2151" s="28" t="n"/>
      <c r="D2151" s="22">
        <f t="array" ref="D2151">IF($C2151="","",IFERROR(INDEX(DATA_MASTER!$C$2:$C$5000,MATCH($C2151,DATA_MASTER!$D$2:$D$5000,0)),""))</f>
        <v/>
      </c>
      <c r="E2151" s="22">
        <f t="array" ref="E2151">IF($C2151="","",IFERROR(INDEX(DATA_MASTER!$I$2:$I$5000,MATCH($C2151,DATA_MASTER!$D$2:$D$5000,0)),""))</f>
        <v/>
      </c>
      <c r="F2151" s="22">
        <f t="array" ref="F2151">IF($C2151="","",IFERROR(INDEX(DATA_MASTER!$L$2:$L$5000,MATCH($C2151,DATA_MASTER!$D$2:$D$5000,0)),""))</f>
        <v/>
      </c>
      <c r="G2151" s="24" t="n"/>
      <c r="H2151" s="24" t="n"/>
      <c r="I2151" s="30" t="n"/>
      <c r="J2151" s="23">
        <f>IF(OR($H2151="",$I2151=""),"",$H2151*$I2151)</f>
        <v/>
      </c>
      <c r="K2151" s="24" t="n"/>
      <c r="L2151" s="24" t="n"/>
      <c r="M2151" s="29" t="n"/>
      <c r="N2151" s="28" t="n"/>
      <c r="O2151" s="24" t="n"/>
      <c r="P2151" s="24" t="n"/>
      <c r="Q2151" s="24" t="n"/>
      <c r="R2151" s="24" t="n"/>
      <c r="S2151" s="22">
        <f>IF(AND($A2151="",$C2151=""),"",IF($A2151="","Thiếu mã đơn; ","")&amp;IF(COUNTIF($A$2:$A2151,$A2151)&gt;1,"Trùng mã đơn; ","")&amp;IF(ISNA(MATCH($C2151,DATA_MASTER!$D$2:$D$5000,0)),"SĐT chưa đăng ký hội viên; ","")&amp;IF(AND($L2151="Đã chuyển khoản",$M2151=""),"Thiếu ngày nhận CK; ",""))</f>
        <v/>
      </c>
      <c r="T2151" s="24" t="n"/>
    </row>
    <row r="2152" ht="14.25" customHeight="1" s="40">
      <c r="A2152" s="24" t="n"/>
      <c r="B2152" s="29" t="n"/>
      <c r="C2152" s="28" t="n"/>
      <c r="D2152" s="22">
        <f t="array" ref="D2152">IF($C2152="","",IFERROR(INDEX(DATA_MASTER!$C$2:$C$5000,MATCH($C2152,DATA_MASTER!$D$2:$D$5000,0)),""))</f>
        <v/>
      </c>
      <c r="E2152" s="22">
        <f t="array" ref="E2152">IF($C2152="","",IFERROR(INDEX(DATA_MASTER!$I$2:$I$5000,MATCH($C2152,DATA_MASTER!$D$2:$D$5000,0)),""))</f>
        <v/>
      </c>
      <c r="F2152" s="22">
        <f t="array" ref="F2152">IF($C2152="","",IFERROR(INDEX(DATA_MASTER!$L$2:$L$5000,MATCH($C2152,DATA_MASTER!$D$2:$D$5000,0)),""))</f>
        <v/>
      </c>
      <c r="G2152" s="24" t="n"/>
      <c r="H2152" s="24" t="n"/>
      <c r="I2152" s="30" t="n"/>
      <c r="J2152" s="23">
        <f>IF(OR($H2152="",$I2152=""),"",$H2152*$I2152)</f>
        <v/>
      </c>
      <c r="K2152" s="24" t="n"/>
      <c r="L2152" s="24" t="n"/>
      <c r="M2152" s="29" t="n"/>
      <c r="N2152" s="28" t="n"/>
      <c r="O2152" s="24" t="n"/>
      <c r="P2152" s="24" t="n"/>
      <c r="Q2152" s="24" t="n"/>
      <c r="R2152" s="24" t="n"/>
      <c r="S2152" s="22">
        <f>IF(AND($A2152="",$C2152=""),"",IF($A2152="","Thiếu mã đơn; ","")&amp;IF(COUNTIF($A$2:$A2152,$A2152)&gt;1,"Trùng mã đơn; ","")&amp;IF(ISNA(MATCH($C2152,DATA_MASTER!$D$2:$D$5000,0)),"SĐT chưa đăng ký hội viên; ","")&amp;IF(AND($L2152="Đã chuyển khoản",$M2152=""),"Thiếu ngày nhận CK; ",""))</f>
        <v/>
      </c>
      <c r="T2152" s="24" t="n"/>
    </row>
    <row r="2153" ht="14.25" customHeight="1" s="40">
      <c r="A2153" s="24" t="n"/>
      <c r="B2153" s="29" t="n"/>
      <c r="C2153" s="28" t="n"/>
      <c r="D2153" s="22">
        <f t="array" ref="D2153">IF($C2153="","",IFERROR(INDEX(DATA_MASTER!$C$2:$C$5000,MATCH($C2153,DATA_MASTER!$D$2:$D$5000,0)),""))</f>
        <v/>
      </c>
      <c r="E2153" s="22">
        <f t="array" ref="E2153">IF($C2153="","",IFERROR(INDEX(DATA_MASTER!$I$2:$I$5000,MATCH($C2153,DATA_MASTER!$D$2:$D$5000,0)),""))</f>
        <v/>
      </c>
      <c r="F2153" s="22">
        <f t="array" ref="F2153">IF($C2153="","",IFERROR(INDEX(DATA_MASTER!$L$2:$L$5000,MATCH($C2153,DATA_MASTER!$D$2:$D$5000,0)),""))</f>
        <v/>
      </c>
      <c r="G2153" s="24" t="n"/>
      <c r="H2153" s="24" t="n"/>
      <c r="I2153" s="30" t="n"/>
      <c r="J2153" s="23">
        <f>IF(OR($H2153="",$I2153=""),"",$H2153*$I2153)</f>
        <v/>
      </c>
      <c r="K2153" s="24" t="n"/>
      <c r="L2153" s="24" t="n"/>
      <c r="M2153" s="29" t="n"/>
      <c r="N2153" s="28" t="n"/>
      <c r="O2153" s="24" t="n"/>
      <c r="P2153" s="24" t="n"/>
      <c r="Q2153" s="24" t="n"/>
      <c r="R2153" s="24" t="n"/>
      <c r="S2153" s="22">
        <f>IF(AND($A2153="",$C2153=""),"",IF($A2153="","Thiếu mã đơn; ","")&amp;IF(COUNTIF($A$2:$A2153,$A2153)&gt;1,"Trùng mã đơn; ","")&amp;IF(ISNA(MATCH($C2153,DATA_MASTER!$D$2:$D$5000,0)),"SĐT chưa đăng ký hội viên; ","")&amp;IF(AND($L2153="Đã chuyển khoản",$M2153=""),"Thiếu ngày nhận CK; ",""))</f>
        <v/>
      </c>
      <c r="T2153" s="24" t="n"/>
    </row>
    <row r="2154" ht="14.25" customHeight="1" s="40">
      <c r="A2154" s="24" t="n"/>
      <c r="B2154" s="29" t="n"/>
      <c r="C2154" s="28" t="n"/>
      <c r="D2154" s="22">
        <f t="array" ref="D2154">IF($C2154="","",IFERROR(INDEX(DATA_MASTER!$C$2:$C$5000,MATCH($C2154,DATA_MASTER!$D$2:$D$5000,0)),""))</f>
        <v/>
      </c>
      <c r="E2154" s="22">
        <f t="array" ref="E2154">IF($C2154="","",IFERROR(INDEX(DATA_MASTER!$I$2:$I$5000,MATCH($C2154,DATA_MASTER!$D$2:$D$5000,0)),""))</f>
        <v/>
      </c>
      <c r="F2154" s="22">
        <f t="array" ref="F2154">IF($C2154="","",IFERROR(INDEX(DATA_MASTER!$L$2:$L$5000,MATCH($C2154,DATA_MASTER!$D$2:$D$5000,0)),""))</f>
        <v/>
      </c>
      <c r="G2154" s="24" t="n"/>
      <c r="H2154" s="24" t="n"/>
      <c r="I2154" s="30" t="n"/>
      <c r="J2154" s="23">
        <f>IF(OR($H2154="",$I2154=""),"",$H2154*$I2154)</f>
        <v/>
      </c>
      <c r="K2154" s="24" t="n"/>
      <c r="L2154" s="24" t="n"/>
      <c r="M2154" s="29" t="n"/>
      <c r="N2154" s="28" t="n"/>
      <c r="O2154" s="24" t="n"/>
      <c r="P2154" s="24" t="n"/>
      <c r="Q2154" s="24" t="n"/>
      <c r="R2154" s="24" t="n"/>
      <c r="S2154" s="22">
        <f>IF(AND($A2154="",$C2154=""),"",IF($A2154="","Thiếu mã đơn; ","")&amp;IF(COUNTIF($A$2:$A2154,$A2154)&gt;1,"Trùng mã đơn; ","")&amp;IF(ISNA(MATCH($C2154,DATA_MASTER!$D$2:$D$5000,0)),"SĐT chưa đăng ký hội viên; ","")&amp;IF(AND($L2154="Đã chuyển khoản",$M2154=""),"Thiếu ngày nhận CK; ",""))</f>
        <v/>
      </c>
      <c r="T2154" s="24" t="n"/>
    </row>
    <row r="2155" ht="14.25" customHeight="1" s="40">
      <c r="A2155" s="24" t="n"/>
      <c r="B2155" s="29" t="n"/>
      <c r="C2155" s="28" t="n"/>
      <c r="D2155" s="22">
        <f t="array" ref="D2155">IF($C2155="","",IFERROR(INDEX(DATA_MASTER!$C$2:$C$5000,MATCH($C2155,DATA_MASTER!$D$2:$D$5000,0)),""))</f>
        <v/>
      </c>
      <c r="E2155" s="22">
        <f t="array" ref="E2155">IF($C2155="","",IFERROR(INDEX(DATA_MASTER!$I$2:$I$5000,MATCH($C2155,DATA_MASTER!$D$2:$D$5000,0)),""))</f>
        <v/>
      </c>
      <c r="F2155" s="22">
        <f t="array" ref="F2155">IF($C2155="","",IFERROR(INDEX(DATA_MASTER!$L$2:$L$5000,MATCH($C2155,DATA_MASTER!$D$2:$D$5000,0)),""))</f>
        <v/>
      </c>
      <c r="G2155" s="24" t="n"/>
      <c r="H2155" s="24" t="n"/>
      <c r="I2155" s="30" t="n"/>
      <c r="J2155" s="23">
        <f>IF(OR($H2155="",$I2155=""),"",$H2155*$I2155)</f>
        <v/>
      </c>
      <c r="K2155" s="24" t="n"/>
      <c r="L2155" s="24" t="n"/>
      <c r="M2155" s="29" t="n"/>
      <c r="N2155" s="28" t="n"/>
      <c r="O2155" s="24" t="n"/>
      <c r="P2155" s="24" t="n"/>
      <c r="Q2155" s="24" t="n"/>
      <c r="R2155" s="24" t="n"/>
      <c r="S2155" s="22">
        <f>IF(AND($A2155="",$C2155=""),"",IF($A2155="","Thiếu mã đơn; ","")&amp;IF(COUNTIF($A$2:$A2155,$A2155)&gt;1,"Trùng mã đơn; ","")&amp;IF(ISNA(MATCH($C2155,DATA_MASTER!$D$2:$D$5000,0)),"SĐT chưa đăng ký hội viên; ","")&amp;IF(AND($L2155="Đã chuyển khoản",$M2155=""),"Thiếu ngày nhận CK; ",""))</f>
        <v/>
      </c>
      <c r="T2155" s="24" t="n"/>
    </row>
    <row r="2156" ht="14.25" customHeight="1" s="40">
      <c r="A2156" s="24" t="n"/>
      <c r="B2156" s="29" t="n"/>
      <c r="C2156" s="28" t="n"/>
      <c r="D2156" s="22">
        <f t="array" ref="D2156">IF($C2156="","",IFERROR(INDEX(DATA_MASTER!$C$2:$C$5000,MATCH($C2156,DATA_MASTER!$D$2:$D$5000,0)),""))</f>
        <v/>
      </c>
      <c r="E2156" s="22">
        <f t="array" ref="E2156">IF($C2156="","",IFERROR(INDEX(DATA_MASTER!$I$2:$I$5000,MATCH($C2156,DATA_MASTER!$D$2:$D$5000,0)),""))</f>
        <v/>
      </c>
      <c r="F2156" s="22">
        <f t="array" ref="F2156">IF($C2156="","",IFERROR(INDEX(DATA_MASTER!$L$2:$L$5000,MATCH($C2156,DATA_MASTER!$D$2:$D$5000,0)),""))</f>
        <v/>
      </c>
      <c r="G2156" s="24" t="n"/>
      <c r="H2156" s="24" t="n"/>
      <c r="I2156" s="30" t="n"/>
      <c r="J2156" s="23">
        <f>IF(OR($H2156="",$I2156=""),"",$H2156*$I2156)</f>
        <v/>
      </c>
      <c r="K2156" s="24" t="n"/>
      <c r="L2156" s="24" t="n"/>
      <c r="M2156" s="29" t="n"/>
      <c r="N2156" s="28" t="n"/>
      <c r="O2156" s="24" t="n"/>
      <c r="P2156" s="24" t="n"/>
      <c r="Q2156" s="24" t="n"/>
      <c r="R2156" s="24" t="n"/>
      <c r="S2156" s="22">
        <f>IF(AND($A2156="",$C2156=""),"",IF($A2156="","Thiếu mã đơn; ","")&amp;IF(COUNTIF($A$2:$A2156,$A2156)&gt;1,"Trùng mã đơn; ","")&amp;IF(ISNA(MATCH($C2156,DATA_MASTER!$D$2:$D$5000,0)),"SĐT chưa đăng ký hội viên; ","")&amp;IF(AND($L2156="Đã chuyển khoản",$M2156=""),"Thiếu ngày nhận CK; ",""))</f>
        <v/>
      </c>
      <c r="T2156" s="24" t="n"/>
    </row>
    <row r="2157" ht="14.25" customHeight="1" s="40">
      <c r="A2157" s="24" t="n"/>
      <c r="B2157" s="29" t="n"/>
      <c r="C2157" s="28" t="n"/>
      <c r="D2157" s="22">
        <f t="array" ref="D2157">IF($C2157="","",IFERROR(INDEX(DATA_MASTER!$C$2:$C$5000,MATCH($C2157,DATA_MASTER!$D$2:$D$5000,0)),""))</f>
        <v/>
      </c>
      <c r="E2157" s="22">
        <f t="array" ref="E2157">IF($C2157="","",IFERROR(INDEX(DATA_MASTER!$I$2:$I$5000,MATCH($C2157,DATA_MASTER!$D$2:$D$5000,0)),""))</f>
        <v/>
      </c>
      <c r="F2157" s="22">
        <f t="array" ref="F2157">IF($C2157="","",IFERROR(INDEX(DATA_MASTER!$L$2:$L$5000,MATCH($C2157,DATA_MASTER!$D$2:$D$5000,0)),""))</f>
        <v/>
      </c>
      <c r="G2157" s="24" t="n"/>
      <c r="H2157" s="24" t="n"/>
      <c r="I2157" s="30" t="n"/>
      <c r="J2157" s="23">
        <f>IF(OR($H2157="",$I2157=""),"",$H2157*$I2157)</f>
        <v/>
      </c>
      <c r="K2157" s="24" t="n"/>
      <c r="L2157" s="24" t="n"/>
      <c r="M2157" s="29" t="n"/>
      <c r="N2157" s="28" t="n"/>
      <c r="O2157" s="24" t="n"/>
      <c r="P2157" s="24" t="n"/>
      <c r="Q2157" s="24" t="n"/>
      <c r="R2157" s="24" t="n"/>
      <c r="S2157" s="22">
        <f>IF(AND($A2157="",$C2157=""),"",IF($A2157="","Thiếu mã đơn; ","")&amp;IF(COUNTIF($A$2:$A2157,$A2157)&gt;1,"Trùng mã đơn; ","")&amp;IF(ISNA(MATCH($C2157,DATA_MASTER!$D$2:$D$5000,0)),"SĐT chưa đăng ký hội viên; ","")&amp;IF(AND($L2157="Đã chuyển khoản",$M2157=""),"Thiếu ngày nhận CK; ",""))</f>
        <v/>
      </c>
      <c r="T2157" s="24" t="n"/>
    </row>
    <row r="2158" ht="14.25" customHeight="1" s="40">
      <c r="A2158" s="24" t="n"/>
      <c r="B2158" s="29" t="n"/>
      <c r="C2158" s="28" t="n"/>
      <c r="D2158" s="22">
        <f t="array" ref="D2158">IF($C2158="","",IFERROR(INDEX(DATA_MASTER!$C$2:$C$5000,MATCH($C2158,DATA_MASTER!$D$2:$D$5000,0)),""))</f>
        <v/>
      </c>
      <c r="E2158" s="22">
        <f t="array" ref="E2158">IF($C2158="","",IFERROR(INDEX(DATA_MASTER!$I$2:$I$5000,MATCH($C2158,DATA_MASTER!$D$2:$D$5000,0)),""))</f>
        <v/>
      </c>
      <c r="F2158" s="22">
        <f t="array" ref="F2158">IF($C2158="","",IFERROR(INDEX(DATA_MASTER!$L$2:$L$5000,MATCH($C2158,DATA_MASTER!$D$2:$D$5000,0)),""))</f>
        <v/>
      </c>
      <c r="G2158" s="24" t="n"/>
      <c r="H2158" s="24" t="n"/>
      <c r="I2158" s="30" t="n"/>
      <c r="J2158" s="23">
        <f>IF(OR($H2158="",$I2158=""),"",$H2158*$I2158)</f>
        <v/>
      </c>
      <c r="K2158" s="24" t="n"/>
      <c r="L2158" s="24" t="n"/>
      <c r="M2158" s="29" t="n"/>
      <c r="N2158" s="28" t="n"/>
      <c r="O2158" s="24" t="n"/>
      <c r="P2158" s="24" t="n"/>
      <c r="Q2158" s="24" t="n"/>
      <c r="R2158" s="24" t="n"/>
      <c r="S2158" s="22">
        <f>IF(AND($A2158="",$C2158=""),"",IF($A2158="","Thiếu mã đơn; ","")&amp;IF(COUNTIF($A$2:$A2158,$A2158)&gt;1,"Trùng mã đơn; ","")&amp;IF(ISNA(MATCH($C2158,DATA_MASTER!$D$2:$D$5000,0)),"SĐT chưa đăng ký hội viên; ","")&amp;IF(AND($L2158="Đã chuyển khoản",$M2158=""),"Thiếu ngày nhận CK; ",""))</f>
        <v/>
      </c>
      <c r="T2158" s="24" t="n"/>
    </row>
    <row r="2159" ht="14.25" customHeight="1" s="40">
      <c r="A2159" s="24" t="n"/>
      <c r="B2159" s="29" t="n"/>
      <c r="C2159" s="28" t="n"/>
      <c r="D2159" s="22">
        <f t="array" ref="D2159">IF($C2159="","",IFERROR(INDEX(DATA_MASTER!$C$2:$C$5000,MATCH($C2159,DATA_MASTER!$D$2:$D$5000,0)),""))</f>
        <v/>
      </c>
      <c r="E2159" s="22">
        <f t="array" ref="E2159">IF($C2159="","",IFERROR(INDEX(DATA_MASTER!$I$2:$I$5000,MATCH($C2159,DATA_MASTER!$D$2:$D$5000,0)),""))</f>
        <v/>
      </c>
      <c r="F2159" s="22">
        <f t="array" ref="F2159">IF($C2159="","",IFERROR(INDEX(DATA_MASTER!$L$2:$L$5000,MATCH($C2159,DATA_MASTER!$D$2:$D$5000,0)),""))</f>
        <v/>
      </c>
      <c r="G2159" s="24" t="n"/>
      <c r="H2159" s="24" t="n"/>
      <c r="I2159" s="30" t="n"/>
      <c r="J2159" s="23">
        <f>IF(OR($H2159="",$I2159=""),"",$H2159*$I2159)</f>
        <v/>
      </c>
      <c r="K2159" s="24" t="n"/>
      <c r="L2159" s="24" t="n"/>
      <c r="M2159" s="29" t="n"/>
      <c r="N2159" s="28" t="n"/>
      <c r="O2159" s="24" t="n"/>
      <c r="P2159" s="24" t="n"/>
      <c r="Q2159" s="24" t="n"/>
      <c r="R2159" s="24" t="n"/>
      <c r="S2159" s="22">
        <f>IF(AND($A2159="",$C2159=""),"",IF($A2159="","Thiếu mã đơn; ","")&amp;IF(COUNTIF($A$2:$A2159,$A2159)&gt;1,"Trùng mã đơn; ","")&amp;IF(ISNA(MATCH($C2159,DATA_MASTER!$D$2:$D$5000,0)),"SĐT chưa đăng ký hội viên; ","")&amp;IF(AND($L2159="Đã chuyển khoản",$M2159=""),"Thiếu ngày nhận CK; ",""))</f>
        <v/>
      </c>
      <c r="T2159" s="24" t="n"/>
    </row>
    <row r="2160" ht="14.25" customHeight="1" s="40">
      <c r="A2160" s="24" t="n"/>
      <c r="B2160" s="29" t="n"/>
      <c r="C2160" s="28" t="n"/>
      <c r="D2160" s="22">
        <f t="array" ref="D2160">IF($C2160="","",IFERROR(INDEX(DATA_MASTER!$C$2:$C$5000,MATCH($C2160,DATA_MASTER!$D$2:$D$5000,0)),""))</f>
        <v/>
      </c>
      <c r="E2160" s="22">
        <f t="array" ref="E2160">IF($C2160="","",IFERROR(INDEX(DATA_MASTER!$I$2:$I$5000,MATCH($C2160,DATA_MASTER!$D$2:$D$5000,0)),""))</f>
        <v/>
      </c>
      <c r="F2160" s="22">
        <f t="array" ref="F2160">IF($C2160="","",IFERROR(INDEX(DATA_MASTER!$L$2:$L$5000,MATCH($C2160,DATA_MASTER!$D$2:$D$5000,0)),""))</f>
        <v/>
      </c>
      <c r="G2160" s="24" t="n"/>
      <c r="H2160" s="24" t="n"/>
      <c r="I2160" s="30" t="n"/>
      <c r="J2160" s="23">
        <f>IF(OR($H2160="",$I2160=""),"",$H2160*$I2160)</f>
        <v/>
      </c>
      <c r="K2160" s="24" t="n"/>
      <c r="L2160" s="24" t="n"/>
      <c r="M2160" s="29" t="n"/>
      <c r="N2160" s="28" t="n"/>
      <c r="O2160" s="24" t="n"/>
      <c r="P2160" s="24" t="n"/>
      <c r="Q2160" s="24" t="n"/>
      <c r="R2160" s="24" t="n"/>
      <c r="S2160" s="22">
        <f>IF(AND($A2160="",$C2160=""),"",IF($A2160="","Thiếu mã đơn; ","")&amp;IF(COUNTIF($A$2:$A2160,$A2160)&gt;1,"Trùng mã đơn; ","")&amp;IF(ISNA(MATCH($C2160,DATA_MASTER!$D$2:$D$5000,0)),"SĐT chưa đăng ký hội viên; ","")&amp;IF(AND($L2160="Đã chuyển khoản",$M2160=""),"Thiếu ngày nhận CK; ",""))</f>
        <v/>
      </c>
      <c r="T2160" s="24" t="n"/>
    </row>
    <row r="2161" ht="14.25" customHeight="1" s="40">
      <c r="A2161" s="24" t="n"/>
      <c r="B2161" s="29" t="n"/>
      <c r="C2161" s="28" t="n"/>
      <c r="D2161" s="22">
        <f t="array" ref="D2161">IF($C2161="","",IFERROR(INDEX(DATA_MASTER!$C$2:$C$5000,MATCH($C2161,DATA_MASTER!$D$2:$D$5000,0)),""))</f>
        <v/>
      </c>
      <c r="E2161" s="22">
        <f t="array" ref="E2161">IF($C2161="","",IFERROR(INDEX(DATA_MASTER!$I$2:$I$5000,MATCH($C2161,DATA_MASTER!$D$2:$D$5000,0)),""))</f>
        <v/>
      </c>
      <c r="F2161" s="22">
        <f t="array" ref="F2161">IF($C2161="","",IFERROR(INDEX(DATA_MASTER!$L$2:$L$5000,MATCH($C2161,DATA_MASTER!$D$2:$D$5000,0)),""))</f>
        <v/>
      </c>
      <c r="G2161" s="24" t="n"/>
      <c r="H2161" s="24" t="n"/>
      <c r="I2161" s="30" t="n"/>
      <c r="J2161" s="23">
        <f>IF(OR($H2161="",$I2161=""),"",$H2161*$I2161)</f>
        <v/>
      </c>
      <c r="K2161" s="24" t="n"/>
      <c r="L2161" s="24" t="n"/>
      <c r="M2161" s="29" t="n"/>
      <c r="N2161" s="28" t="n"/>
      <c r="O2161" s="24" t="n"/>
      <c r="P2161" s="24" t="n"/>
      <c r="Q2161" s="24" t="n"/>
      <c r="R2161" s="24" t="n"/>
      <c r="S2161" s="22">
        <f>IF(AND($A2161="",$C2161=""),"",IF($A2161="","Thiếu mã đơn; ","")&amp;IF(COUNTIF($A$2:$A2161,$A2161)&gt;1,"Trùng mã đơn; ","")&amp;IF(ISNA(MATCH($C2161,DATA_MASTER!$D$2:$D$5000,0)),"SĐT chưa đăng ký hội viên; ","")&amp;IF(AND($L2161="Đã chuyển khoản",$M2161=""),"Thiếu ngày nhận CK; ",""))</f>
        <v/>
      </c>
      <c r="T2161" s="24" t="n"/>
    </row>
    <row r="2162" ht="14.25" customHeight="1" s="40">
      <c r="A2162" s="24" t="n"/>
      <c r="B2162" s="29" t="n"/>
      <c r="C2162" s="28" t="n"/>
      <c r="D2162" s="22">
        <f t="array" ref="D2162">IF($C2162="","",IFERROR(INDEX(DATA_MASTER!$C$2:$C$5000,MATCH($C2162,DATA_MASTER!$D$2:$D$5000,0)),""))</f>
        <v/>
      </c>
      <c r="E2162" s="22">
        <f t="array" ref="E2162">IF($C2162="","",IFERROR(INDEX(DATA_MASTER!$I$2:$I$5000,MATCH($C2162,DATA_MASTER!$D$2:$D$5000,0)),""))</f>
        <v/>
      </c>
      <c r="F2162" s="22">
        <f t="array" ref="F2162">IF($C2162="","",IFERROR(INDEX(DATA_MASTER!$L$2:$L$5000,MATCH($C2162,DATA_MASTER!$D$2:$D$5000,0)),""))</f>
        <v/>
      </c>
      <c r="G2162" s="24" t="n"/>
      <c r="H2162" s="24" t="n"/>
      <c r="I2162" s="30" t="n"/>
      <c r="J2162" s="23">
        <f>IF(OR($H2162="",$I2162=""),"",$H2162*$I2162)</f>
        <v/>
      </c>
      <c r="K2162" s="24" t="n"/>
      <c r="L2162" s="24" t="n"/>
      <c r="M2162" s="29" t="n"/>
      <c r="N2162" s="28" t="n"/>
      <c r="O2162" s="24" t="n"/>
      <c r="P2162" s="24" t="n"/>
      <c r="Q2162" s="24" t="n"/>
      <c r="R2162" s="24" t="n"/>
      <c r="S2162" s="22">
        <f>IF(AND($A2162="",$C2162=""),"",IF($A2162="","Thiếu mã đơn; ","")&amp;IF(COUNTIF($A$2:$A2162,$A2162)&gt;1,"Trùng mã đơn; ","")&amp;IF(ISNA(MATCH($C2162,DATA_MASTER!$D$2:$D$5000,0)),"SĐT chưa đăng ký hội viên; ","")&amp;IF(AND($L2162="Đã chuyển khoản",$M2162=""),"Thiếu ngày nhận CK; ",""))</f>
        <v/>
      </c>
      <c r="T2162" s="24" t="n"/>
    </row>
    <row r="2163" ht="14.25" customHeight="1" s="40">
      <c r="A2163" s="24" t="n"/>
      <c r="B2163" s="29" t="n"/>
      <c r="C2163" s="28" t="n"/>
      <c r="D2163" s="22">
        <f t="array" ref="D2163">IF($C2163="","",IFERROR(INDEX(DATA_MASTER!$C$2:$C$5000,MATCH($C2163,DATA_MASTER!$D$2:$D$5000,0)),""))</f>
        <v/>
      </c>
      <c r="E2163" s="22">
        <f t="array" ref="E2163">IF($C2163="","",IFERROR(INDEX(DATA_MASTER!$I$2:$I$5000,MATCH($C2163,DATA_MASTER!$D$2:$D$5000,0)),""))</f>
        <v/>
      </c>
      <c r="F2163" s="22">
        <f t="array" ref="F2163">IF($C2163="","",IFERROR(INDEX(DATA_MASTER!$L$2:$L$5000,MATCH($C2163,DATA_MASTER!$D$2:$D$5000,0)),""))</f>
        <v/>
      </c>
      <c r="G2163" s="24" t="n"/>
      <c r="H2163" s="24" t="n"/>
      <c r="I2163" s="30" t="n"/>
      <c r="J2163" s="23">
        <f>IF(OR($H2163="",$I2163=""),"",$H2163*$I2163)</f>
        <v/>
      </c>
      <c r="K2163" s="24" t="n"/>
      <c r="L2163" s="24" t="n"/>
      <c r="M2163" s="29" t="n"/>
      <c r="N2163" s="28" t="n"/>
      <c r="O2163" s="24" t="n"/>
      <c r="P2163" s="24" t="n"/>
      <c r="Q2163" s="24" t="n"/>
      <c r="R2163" s="24" t="n"/>
      <c r="S2163" s="22">
        <f>IF(AND($A2163="",$C2163=""),"",IF($A2163="","Thiếu mã đơn; ","")&amp;IF(COUNTIF($A$2:$A2163,$A2163)&gt;1,"Trùng mã đơn; ","")&amp;IF(ISNA(MATCH($C2163,DATA_MASTER!$D$2:$D$5000,0)),"SĐT chưa đăng ký hội viên; ","")&amp;IF(AND($L2163="Đã chuyển khoản",$M2163=""),"Thiếu ngày nhận CK; ",""))</f>
        <v/>
      </c>
      <c r="T2163" s="24" t="n"/>
    </row>
    <row r="2164" ht="14.25" customHeight="1" s="40">
      <c r="A2164" s="24" t="n"/>
      <c r="B2164" s="29" t="n"/>
      <c r="C2164" s="28" t="n"/>
      <c r="D2164" s="22">
        <f t="array" ref="D2164">IF($C2164="","",IFERROR(INDEX(DATA_MASTER!$C$2:$C$5000,MATCH($C2164,DATA_MASTER!$D$2:$D$5000,0)),""))</f>
        <v/>
      </c>
      <c r="E2164" s="22">
        <f t="array" ref="E2164">IF($C2164="","",IFERROR(INDEX(DATA_MASTER!$I$2:$I$5000,MATCH($C2164,DATA_MASTER!$D$2:$D$5000,0)),""))</f>
        <v/>
      </c>
      <c r="F2164" s="22">
        <f t="array" ref="F2164">IF($C2164="","",IFERROR(INDEX(DATA_MASTER!$L$2:$L$5000,MATCH($C2164,DATA_MASTER!$D$2:$D$5000,0)),""))</f>
        <v/>
      </c>
      <c r="G2164" s="24" t="n"/>
      <c r="H2164" s="24" t="n"/>
      <c r="I2164" s="30" t="n"/>
      <c r="J2164" s="23">
        <f>IF(OR($H2164="",$I2164=""),"",$H2164*$I2164)</f>
        <v/>
      </c>
      <c r="K2164" s="24" t="n"/>
      <c r="L2164" s="24" t="n"/>
      <c r="M2164" s="29" t="n"/>
      <c r="N2164" s="28" t="n"/>
      <c r="O2164" s="24" t="n"/>
      <c r="P2164" s="24" t="n"/>
      <c r="Q2164" s="24" t="n"/>
      <c r="R2164" s="24" t="n"/>
      <c r="S2164" s="22">
        <f>IF(AND($A2164="",$C2164=""),"",IF($A2164="","Thiếu mã đơn; ","")&amp;IF(COUNTIF($A$2:$A2164,$A2164)&gt;1,"Trùng mã đơn; ","")&amp;IF(ISNA(MATCH($C2164,DATA_MASTER!$D$2:$D$5000,0)),"SĐT chưa đăng ký hội viên; ","")&amp;IF(AND($L2164="Đã chuyển khoản",$M2164=""),"Thiếu ngày nhận CK; ",""))</f>
        <v/>
      </c>
      <c r="T2164" s="24" t="n"/>
    </row>
    <row r="2165" ht="14.25" customHeight="1" s="40">
      <c r="A2165" s="24" t="n"/>
      <c r="B2165" s="29" t="n"/>
      <c r="C2165" s="28" t="n"/>
      <c r="D2165" s="22">
        <f t="array" ref="D2165">IF($C2165="","",IFERROR(INDEX(DATA_MASTER!$C$2:$C$5000,MATCH($C2165,DATA_MASTER!$D$2:$D$5000,0)),""))</f>
        <v/>
      </c>
      <c r="E2165" s="22">
        <f t="array" ref="E2165">IF($C2165="","",IFERROR(INDEX(DATA_MASTER!$I$2:$I$5000,MATCH($C2165,DATA_MASTER!$D$2:$D$5000,0)),""))</f>
        <v/>
      </c>
      <c r="F2165" s="22">
        <f t="array" ref="F2165">IF($C2165="","",IFERROR(INDEX(DATA_MASTER!$L$2:$L$5000,MATCH($C2165,DATA_MASTER!$D$2:$D$5000,0)),""))</f>
        <v/>
      </c>
      <c r="G2165" s="24" t="n"/>
      <c r="H2165" s="24" t="n"/>
      <c r="I2165" s="30" t="n"/>
      <c r="J2165" s="23">
        <f>IF(OR($H2165="",$I2165=""),"",$H2165*$I2165)</f>
        <v/>
      </c>
      <c r="K2165" s="24" t="n"/>
      <c r="L2165" s="24" t="n"/>
      <c r="M2165" s="29" t="n"/>
      <c r="N2165" s="28" t="n"/>
      <c r="O2165" s="24" t="n"/>
      <c r="P2165" s="24" t="n"/>
      <c r="Q2165" s="24" t="n"/>
      <c r="R2165" s="24" t="n"/>
      <c r="S2165" s="22">
        <f>IF(AND($A2165="",$C2165=""),"",IF($A2165="","Thiếu mã đơn; ","")&amp;IF(COUNTIF($A$2:$A2165,$A2165)&gt;1,"Trùng mã đơn; ","")&amp;IF(ISNA(MATCH($C2165,DATA_MASTER!$D$2:$D$5000,0)),"SĐT chưa đăng ký hội viên; ","")&amp;IF(AND($L2165="Đã chuyển khoản",$M2165=""),"Thiếu ngày nhận CK; ",""))</f>
        <v/>
      </c>
      <c r="T2165" s="24" t="n"/>
    </row>
    <row r="2166" ht="14.25" customHeight="1" s="40">
      <c r="A2166" s="24" t="n"/>
      <c r="B2166" s="29" t="n"/>
      <c r="C2166" s="28" t="n"/>
      <c r="D2166" s="22">
        <f t="array" ref="D2166">IF($C2166="","",IFERROR(INDEX(DATA_MASTER!$C$2:$C$5000,MATCH($C2166,DATA_MASTER!$D$2:$D$5000,0)),""))</f>
        <v/>
      </c>
      <c r="E2166" s="22">
        <f t="array" ref="E2166">IF($C2166="","",IFERROR(INDEX(DATA_MASTER!$I$2:$I$5000,MATCH($C2166,DATA_MASTER!$D$2:$D$5000,0)),""))</f>
        <v/>
      </c>
      <c r="F2166" s="22">
        <f t="array" ref="F2166">IF($C2166="","",IFERROR(INDEX(DATA_MASTER!$L$2:$L$5000,MATCH($C2166,DATA_MASTER!$D$2:$D$5000,0)),""))</f>
        <v/>
      </c>
      <c r="G2166" s="24" t="n"/>
      <c r="H2166" s="24" t="n"/>
      <c r="I2166" s="30" t="n"/>
      <c r="J2166" s="23">
        <f>IF(OR($H2166="",$I2166=""),"",$H2166*$I2166)</f>
        <v/>
      </c>
      <c r="K2166" s="24" t="n"/>
      <c r="L2166" s="24" t="n"/>
      <c r="M2166" s="29" t="n"/>
      <c r="N2166" s="28" t="n"/>
      <c r="O2166" s="24" t="n"/>
      <c r="P2166" s="24" t="n"/>
      <c r="Q2166" s="24" t="n"/>
      <c r="R2166" s="24" t="n"/>
      <c r="S2166" s="22">
        <f>IF(AND($A2166="",$C2166=""),"",IF($A2166="","Thiếu mã đơn; ","")&amp;IF(COUNTIF($A$2:$A2166,$A2166)&gt;1,"Trùng mã đơn; ","")&amp;IF(ISNA(MATCH($C2166,DATA_MASTER!$D$2:$D$5000,0)),"SĐT chưa đăng ký hội viên; ","")&amp;IF(AND($L2166="Đã chuyển khoản",$M2166=""),"Thiếu ngày nhận CK; ",""))</f>
        <v/>
      </c>
      <c r="T2166" s="24" t="n"/>
    </row>
    <row r="2167" ht="14.25" customHeight="1" s="40">
      <c r="A2167" s="24" t="n"/>
      <c r="B2167" s="29" t="n"/>
      <c r="C2167" s="28" t="n"/>
      <c r="D2167" s="22">
        <f t="array" ref="D2167">IF($C2167="","",IFERROR(INDEX(DATA_MASTER!$C$2:$C$5000,MATCH($C2167,DATA_MASTER!$D$2:$D$5000,0)),""))</f>
        <v/>
      </c>
      <c r="E2167" s="22">
        <f t="array" ref="E2167">IF($C2167="","",IFERROR(INDEX(DATA_MASTER!$I$2:$I$5000,MATCH($C2167,DATA_MASTER!$D$2:$D$5000,0)),""))</f>
        <v/>
      </c>
      <c r="F2167" s="22">
        <f t="array" ref="F2167">IF($C2167="","",IFERROR(INDEX(DATA_MASTER!$L$2:$L$5000,MATCH($C2167,DATA_MASTER!$D$2:$D$5000,0)),""))</f>
        <v/>
      </c>
      <c r="G2167" s="24" t="n"/>
      <c r="H2167" s="24" t="n"/>
      <c r="I2167" s="30" t="n"/>
      <c r="J2167" s="23">
        <f>IF(OR($H2167="",$I2167=""),"",$H2167*$I2167)</f>
        <v/>
      </c>
      <c r="K2167" s="24" t="n"/>
      <c r="L2167" s="24" t="n"/>
      <c r="M2167" s="29" t="n"/>
      <c r="N2167" s="28" t="n"/>
      <c r="O2167" s="24" t="n"/>
      <c r="P2167" s="24" t="n"/>
      <c r="Q2167" s="24" t="n"/>
      <c r="R2167" s="24" t="n"/>
      <c r="S2167" s="22">
        <f>IF(AND($A2167="",$C2167=""),"",IF($A2167="","Thiếu mã đơn; ","")&amp;IF(COUNTIF($A$2:$A2167,$A2167)&gt;1,"Trùng mã đơn; ","")&amp;IF(ISNA(MATCH($C2167,DATA_MASTER!$D$2:$D$5000,0)),"SĐT chưa đăng ký hội viên; ","")&amp;IF(AND($L2167="Đã chuyển khoản",$M2167=""),"Thiếu ngày nhận CK; ",""))</f>
        <v/>
      </c>
      <c r="T2167" s="24" t="n"/>
    </row>
    <row r="2168" ht="14.25" customHeight="1" s="40">
      <c r="A2168" s="24" t="n"/>
      <c r="B2168" s="29" t="n"/>
      <c r="C2168" s="28" t="n"/>
      <c r="D2168" s="22">
        <f t="array" ref="D2168">IF($C2168="","",IFERROR(INDEX(DATA_MASTER!$C$2:$C$5000,MATCH($C2168,DATA_MASTER!$D$2:$D$5000,0)),""))</f>
        <v/>
      </c>
      <c r="E2168" s="22">
        <f t="array" ref="E2168">IF($C2168="","",IFERROR(INDEX(DATA_MASTER!$I$2:$I$5000,MATCH($C2168,DATA_MASTER!$D$2:$D$5000,0)),""))</f>
        <v/>
      </c>
      <c r="F2168" s="22">
        <f t="array" ref="F2168">IF($C2168="","",IFERROR(INDEX(DATA_MASTER!$L$2:$L$5000,MATCH($C2168,DATA_MASTER!$D$2:$D$5000,0)),""))</f>
        <v/>
      </c>
      <c r="G2168" s="24" t="n"/>
      <c r="H2168" s="24" t="n"/>
      <c r="I2168" s="30" t="n"/>
      <c r="J2168" s="23">
        <f>IF(OR($H2168="",$I2168=""),"",$H2168*$I2168)</f>
        <v/>
      </c>
      <c r="K2168" s="24" t="n"/>
      <c r="L2168" s="24" t="n"/>
      <c r="M2168" s="29" t="n"/>
      <c r="N2168" s="28" t="n"/>
      <c r="O2168" s="24" t="n"/>
      <c r="P2168" s="24" t="n"/>
      <c r="Q2168" s="24" t="n"/>
      <c r="R2168" s="24" t="n"/>
      <c r="S2168" s="22">
        <f>IF(AND($A2168="",$C2168=""),"",IF($A2168="","Thiếu mã đơn; ","")&amp;IF(COUNTIF($A$2:$A2168,$A2168)&gt;1,"Trùng mã đơn; ","")&amp;IF(ISNA(MATCH($C2168,DATA_MASTER!$D$2:$D$5000,0)),"SĐT chưa đăng ký hội viên; ","")&amp;IF(AND($L2168="Đã chuyển khoản",$M2168=""),"Thiếu ngày nhận CK; ",""))</f>
        <v/>
      </c>
      <c r="T2168" s="24" t="n"/>
    </row>
    <row r="2169" ht="14.25" customHeight="1" s="40">
      <c r="A2169" s="24" t="n"/>
      <c r="B2169" s="29" t="n"/>
      <c r="C2169" s="28" t="n"/>
      <c r="D2169" s="22">
        <f t="array" ref="D2169">IF($C2169="","",IFERROR(INDEX(DATA_MASTER!$C$2:$C$5000,MATCH($C2169,DATA_MASTER!$D$2:$D$5000,0)),""))</f>
        <v/>
      </c>
      <c r="E2169" s="22">
        <f t="array" ref="E2169">IF($C2169="","",IFERROR(INDEX(DATA_MASTER!$I$2:$I$5000,MATCH($C2169,DATA_MASTER!$D$2:$D$5000,0)),""))</f>
        <v/>
      </c>
      <c r="F2169" s="22">
        <f t="array" ref="F2169">IF($C2169="","",IFERROR(INDEX(DATA_MASTER!$L$2:$L$5000,MATCH($C2169,DATA_MASTER!$D$2:$D$5000,0)),""))</f>
        <v/>
      </c>
      <c r="G2169" s="24" t="n"/>
      <c r="H2169" s="24" t="n"/>
      <c r="I2169" s="30" t="n"/>
      <c r="J2169" s="23">
        <f>IF(OR($H2169="",$I2169=""),"",$H2169*$I2169)</f>
        <v/>
      </c>
      <c r="K2169" s="24" t="n"/>
      <c r="L2169" s="24" t="n"/>
      <c r="M2169" s="29" t="n"/>
      <c r="N2169" s="28" t="n"/>
      <c r="O2169" s="24" t="n"/>
      <c r="P2169" s="24" t="n"/>
      <c r="Q2169" s="24" t="n"/>
      <c r="R2169" s="24" t="n"/>
      <c r="S2169" s="22">
        <f>IF(AND($A2169="",$C2169=""),"",IF($A2169="","Thiếu mã đơn; ","")&amp;IF(COUNTIF($A$2:$A2169,$A2169)&gt;1,"Trùng mã đơn; ","")&amp;IF(ISNA(MATCH($C2169,DATA_MASTER!$D$2:$D$5000,0)),"SĐT chưa đăng ký hội viên; ","")&amp;IF(AND($L2169="Đã chuyển khoản",$M2169=""),"Thiếu ngày nhận CK; ",""))</f>
        <v/>
      </c>
      <c r="T2169" s="24" t="n"/>
    </row>
    <row r="2170" ht="14.25" customHeight="1" s="40">
      <c r="A2170" s="24" t="n"/>
      <c r="B2170" s="29" t="n"/>
      <c r="C2170" s="28" t="n"/>
      <c r="D2170" s="22">
        <f t="array" ref="D2170">IF($C2170="","",IFERROR(INDEX(DATA_MASTER!$C$2:$C$5000,MATCH($C2170,DATA_MASTER!$D$2:$D$5000,0)),""))</f>
        <v/>
      </c>
      <c r="E2170" s="22">
        <f t="array" ref="E2170">IF($C2170="","",IFERROR(INDEX(DATA_MASTER!$I$2:$I$5000,MATCH($C2170,DATA_MASTER!$D$2:$D$5000,0)),""))</f>
        <v/>
      </c>
      <c r="F2170" s="22">
        <f t="array" ref="F2170">IF($C2170="","",IFERROR(INDEX(DATA_MASTER!$L$2:$L$5000,MATCH($C2170,DATA_MASTER!$D$2:$D$5000,0)),""))</f>
        <v/>
      </c>
      <c r="G2170" s="24" t="n"/>
      <c r="H2170" s="24" t="n"/>
      <c r="I2170" s="30" t="n"/>
      <c r="J2170" s="23">
        <f>IF(OR($H2170="",$I2170=""),"",$H2170*$I2170)</f>
        <v/>
      </c>
      <c r="K2170" s="24" t="n"/>
      <c r="L2170" s="24" t="n"/>
      <c r="M2170" s="29" t="n"/>
      <c r="N2170" s="28" t="n"/>
      <c r="O2170" s="24" t="n"/>
      <c r="P2170" s="24" t="n"/>
      <c r="Q2170" s="24" t="n"/>
      <c r="R2170" s="24" t="n"/>
      <c r="S2170" s="22">
        <f>IF(AND($A2170="",$C2170=""),"",IF($A2170="","Thiếu mã đơn; ","")&amp;IF(COUNTIF($A$2:$A2170,$A2170)&gt;1,"Trùng mã đơn; ","")&amp;IF(ISNA(MATCH($C2170,DATA_MASTER!$D$2:$D$5000,0)),"SĐT chưa đăng ký hội viên; ","")&amp;IF(AND($L2170="Đã chuyển khoản",$M2170=""),"Thiếu ngày nhận CK; ",""))</f>
        <v/>
      </c>
      <c r="T2170" s="24" t="n"/>
    </row>
    <row r="2171" ht="14.25" customHeight="1" s="40">
      <c r="A2171" s="24" t="n"/>
      <c r="B2171" s="29" t="n"/>
      <c r="C2171" s="28" t="n"/>
      <c r="D2171" s="22">
        <f t="array" ref="D2171">IF($C2171="","",IFERROR(INDEX(DATA_MASTER!$C$2:$C$5000,MATCH($C2171,DATA_MASTER!$D$2:$D$5000,0)),""))</f>
        <v/>
      </c>
      <c r="E2171" s="22">
        <f t="array" ref="E2171">IF($C2171="","",IFERROR(INDEX(DATA_MASTER!$I$2:$I$5000,MATCH($C2171,DATA_MASTER!$D$2:$D$5000,0)),""))</f>
        <v/>
      </c>
      <c r="F2171" s="22">
        <f t="array" ref="F2171">IF($C2171="","",IFERROR(INDEX(DATA_MASTER!$L$2:$L$5000,MATCH($C2171,DATA_MASTER!$D$2:$D$5000,0)),""))</f>
        <v/>
      </c>
      <c r="G2171" s="24" t="n"/>
      <c r="H2171" s="24" t="n"/>
      <c r="I2171" s="30" t="n"/>
      <c r="J2171" s="23">
        <f>IF(OR($H2171="",$I2171=""),"",$H2171*$I2171)</f>
        <v/>
      </c>
      <c r="K2171" s="24" t="n"/>
      <c r="L2171" s="24" t="n"/>
      <c r="M2171" s="29" t="n"/>
      <c r="N2171" s="28" t="n"/>
      <c r="O2171" s="24" t="n"/>
      <c r="P2171" s="24" t="n"/>
      <c r="Q2171" s="24" t="n"/>
      <c r="R2171" s="24" t="n"/>
      <c r="S2171" s="22">
        <f>IF(AND($A2171="",$C2171=""),"",IF($A2171="","Thiếu mã đơn; ","")&amp;IF(COUNTIF($A$2:$A2171,$A2171)&gt;1,"Trùng mã đơn; ","")&amp;IF(ISNA(MATCH($C2171,DATA_MASTER!$D$2:$D$5000,0)),"SĐT chưa đăng ký hội viên; ","")&amp;IF(AND($L2171="Đã chuyển khoản",$M2171=""),"Thiếu ngày nhận CK; ",""))</f>
        <v/>
      </c>
      <c r="T2171" s="24" t="n"/>
    </row>
    <row r="2172" ht="14.25" customHeight="1" s="40">
      <c r="A2172" s="24" t="n"/>
      <c r="B2172" s="29" t="n"/>
      <c r="C2172" s="28" t="n"/>
      <c r="D2172" s="22">
        <f t="array" ref="D2172">IF($C2172="","",IFERROR(INDEX(DATA_MASTER!$C$2:$C$5000,MATCH($C2172,DATA_MASTER!$D$2:$D$5000,0)),""))</f>
        <v/>
      </c>
      <c r="E2172" s="22">
        <f t="array" ref="E2172">IF($C2172="","",IFERROR(INDEX(DATA_MASTER!$I$2:$I$5000,MATCH($C2172,DATA_MASTER!$D$2:$D$5000,0)),""))</f>
        <v/>
      </c>
      <c r="F2172" s="22">
        <f t="array" ref="F2172">IF($C2172="","",IFERROR(INDEX(DATA_MASTER!$L$2:$L$5000,MATCH($C2172,DATA_MASTER!$D$2:$D$5000,0)),""))</f>
        <v/>
      </c>
      <c r="G2172" s="24" t="n"/>
      <c r="H2172" s="24" t="n"/>
      <c r="I2172" s="30" t="n"/>
      <c r="J2172" s="23">
        <f>IF(OR($H2172="",$I2172=""),"",$H2172*$I2172)</f>
        <v/>
      </c>
      <c r="K2172" s="24" t="n"/>
      <c r="L2172" s="24" t="n"/>
      <c r="M2172" s="29" t="n"/>
      <c r="N2172" s="28" t="n"/>
      <c r="O2172" s="24" t="n"/>
      <c r="P2172" s="24" t="n"/>
      <c r="Q2172" s="24" t="n"/>
      <c r="R2172" s="24" t="n"/>
      <c r="S2172" s="22">
        <f>IF(AND($A2172="",$C2172=""),"",IF($A2172="","Thiếu mã đơn; ","")&amp;IF(COUNTIF($A$2:$A2172,$A2172)&gt;1,"Trùng mã đơn; ","")&amp;IF(ISNA(MATCH($C2172,DATA_MASTER!$D$2:$D$5000,0)),"SĐT chưa đăng ký hội viên; ","")&amp;IF(AND($L2172="Đã chuyển khoản",$M2172=""),"Thiếu ngày nhận CK; ",""))</f>
        <v/>
      </c>
      <c r="T2172" s="24" t="n"/>
    </row>
    <row r="2173" ht="14.25" customHeight="1" s="40">
      <c r="A2173" s="24" t="n"/>
      <c r="B2173" s="29" t="n"/>
      <c r="C2173" s="28" t="n"/>
      <c r="D2173" s="22">
        <f t="array" ref="D2173">IF($C2173="","",IFERROR(INDEX(DATA_MASTER!$C$2:$C$5000,MATCH($C2173,DATA_MASTER!$D$2:$D$5000,0)),""))</f>
        <v/>
      </c>
      <c r="E2173" s="22">
        <f t="array" ref="E2173">IF($C2173="","",IFERROR(INDEX(DATA_MASTER!$I$2:$I$5000,MATCH($C2173,DATA_MASTER!$D$2:$D$5000,0)),""))</f>
        <v/>
      </c>
      <c r="F2173" s="22">
        <f t="array" ref="F2173">IF($C2173="","",IFERROR(INDEX(DATA_MASTER!$L$2:$L$5000,MATCH($C2173,DATA_MASTER!$D$2:$D$5000,0)),""))</f>
        <v/>
      </c>
      <c r="G2173" s="24" t="n"/>
      <c r="H2173" s="24" t="n"/>
      <c r="I2173" s="30" t="n"/>
      <c r="J2173" s="23">
        <f>IF(OR($H2173="",$I2173=""),"",$H2173*$I2173)</f>
        <v/>
      </c>
      <c r="K2173" s="24" t="n"/>
      <c r="L2173" s="24" t="n"/>
      <c r="M2173" s="29" t="n"/>
      <c r="N2173" s="28" t="n"/>
      <c r="O2173" s="24" t="n"/>
      <c r="P2173" s="24" t="n"/>
      <c r="Q2173" s="24" t="n"/>
      <c r="R2173" s="24" t="n"/>
      <c r="S2173" s="22">
        <f>IF(AND($A2173="",$C2173=""),"",IF($A2173="","Thiếu mã đơn; ","")&amp;IF(COUNTIF($A$2:$A2173,$A2173)&gt;1,"Trùng mã đơn; ","")&amp;IF(ISNA(MATCH($C2173,DATA_MASTER!$D$2:$D$5000,0)),"SĐT chưa đăng ký hội viên; ","")&amp;IF(AND($L2173="Đã chuyển khoản",$M2173=""),"Thiếu ngày nhận CK; ",""))</f>
        <v/>
      </c>
      <c r="T2173" s="24" t="n"/>
    </row>
    <row r="2174" ht="14.25" customHeight="1" s="40">
      <c r="A2174" s="24" t="n"/>
      <c r="B2174" s="29" t="n"/>
      <c r="C2174" s="28" t="n"/>
      <c r="D2174" s="22">
        <f t="array" ref="D2174">IF($C2174="","",IFERROR(INDEX(DATA_MASTER!$C$2:$C$5000,MATCH($C2174,DATA_MASTER!$D$2:$D$5000,0)),""))</f>
        <v/>
      </c>
      <c r="E2174" s="22">
        <f t="array" ref="E2174">IF($C2174="","",IFERROR(INDEX(DATA_MASTER!$I$2:$I$5000,MATCH($C2174,DATA_MASTER!$D$2:$D$5000,0)),""))</f>
        <v/>
      </c>
      <c r="F2174" s="22">
        <f t="array" ref="F2174">IF($C2174="","",IFERROR(INDEX(DATA_MASTER!$L$2:$L$5000,MATCH($C2174,DATA_MASTER!$D$2:$D$5000,0)),""))</f>
        <v/>
      </c>
      <c r="G2174" s="24" t="n"/>
      <c r="H2174" s="24" t="n"/>
      <c r="I2174" s="30" t="n"/>
      <c r="J2174" s="23">
        <f>IF(OR($H2174="",$I2174=""),"",$H2174*$I2174)</f>
        <v/>
      </c>
      <c r="K2174" s="24" t="n"/>
      <c r="L2174" s="24" t="n"/>
      <c r="M2174" s="29" t="n"/>
      <c r="N2174" s="28" t="n"/>
      <c r="O2174" s="24" t="n"/>
      <c r="P2174" s="24" t="n"/>
      <c r="Q2174" s="24" t="n"/>
      <c r="R2174" s="24" t="n"/>
      <c r="S2174" s="22">
        <f>IF(AND($A2174="",$C2174=""),"",IF($A2174="","Thiếu mã đơn; ","")&amp;IF(COUNTIF($A$2:$A2174,$A2174)&gt;1,"Trùng mã đơn; ","")&amp;IF(ISNA(MATCH($C2174,DATA_MASTER!$D$2:$D$5000,0)),"SĐT chưa đăng ký hội viên; ","")&amp;IF(AND($L2174="Đã chuyển khoản",$M2174=""),"Thiếu ngày nhận CK; ",""))</f>
        <v/>
      </c>
      <c r="T2174" s="24" t="n"/>
    </row>
    <row r="2175" ht="14.25" customHeight="1" s="40">
      <c r="A2175" s="24" t="n"/>
      <c r="B2175" s="29" t="n"/>
      <c r="C2175" s="28" t="n"/>
      <c r="D2175" s="22">
        <f t="array" ref="D2175">IF($C2175="","",IFERROR(INDEX(DATA_MASTER!$C$2:$C$5000,MATCH($C2175,DATA_MASTER!$D$2:$D$5000,0)),""))</f>
        <v/>
      </c>
      <c r="E2175" s="22">
        <f t="array" ref="E2175">IF($C2175="","",IFERROR(INDEX(DATA_MASTER!$I$2:$I$5000,MATCH($C2175,DATA_MASTER!$D$2:$D$5000,0)),""))</f>
        <v/>
      </c>
      <c r="F2175" s="22">
        <f t="array" ref="F2175">IF($C2175="","",IFERROR(INDEX(DATA_MASTER!$L$2:$L$5000,MATCH($C2175,DATA_MASTER!$D$2:$D$5000,0)),""))</f>
        <v/>
      </c>
      <c r="G2175" s="24" t="n"/>
      <c r="H2175" s="24" t="n"/>
      <c r="I2175" s="30" t="n"/>
      <c r="J2175" s="23">
        <f>IF(OR($H2175="",$I2175=""),"",$H2175*$I2175)</f>
        <v/>
      </c>
      <c r="K2175" s="24" t="n"/>
      <c r="L2175" s="24" t="n"/>
      <c r="M2175" s="29" t="n"/>
      <c r="N2175" s="28" t="n"/>
      <c r="O2175" s="24" t="n"/>
      <c r="P2175" s="24" t="n"/>
      <c r="Q2175" s="24" t="n"/>
      <c r="R2175" s="24" t="n"/>
      <c r="S2175" s="22">
        <f>IF(AND($A2175="",$C2175=""),"",IF($A2175="","Thiếu mã đơn; ","")&amp;IF(COUNTIF($A$2:$A2175,$A2175)&gt;1,"Trùng mã đơn; ","")&amp;IF(ISNA(MATCH($C2175,DATA_MASTER!$D$2:$D$5000,0)),"SĐT chưa đăng ký hội viên; ","")&amp;IF(AND($L2175="Đã chuyển khoản",$M2175=""),"Thiếu ngày nhận CK; ",""))</f>
        <v/>
      </c>
      <c r="T2175" s="24" t="n"/>
    </row>
    <row r="2176" ht="14.25" customHeight="1" s="40">
      <c r="A2176" s="24" t="n"/>
      <c r="B2176" s="29" t="n"/>
      <c r="C2176" s="28" t="n"/>
      <c r="D2176" s="22">
        <f t="array" ref="D2176">IF($C2176="","",IFERROR(INDEX(DATA_MASTER!$C$2:$C$5000,MATCH($C2176,DATA_MASTER!$D$2:$D$5000,0)),""))</f>
        <v/>
      </c>
      <c r="E2176" s="22">
        <f t="array" ref="E2176">IF($C2176="","",IFERROR(INDEX(DATA_MASTER!$I$2:$I$5000,MATCH($C2176,DATA_MASTER!$D$2:$D$5000,0)),""))</f>
        <v/>
      </c>
      <c r="F2176" s="22">
        <f t="array" ref="F2176">IF($C2176="","",IFERROR(INDEX(DATA_MASTER!$L$2:$L$5000,MATCH($C2176,DATA_MASTER!$D$2:$D$5000,0)),""))</f>
        <v/>
      </c>
      <c r="G2176" s="24" t="n"/>
      <c r="H2176" s="24" t="n"/>
      <c r="I2176" s="30" t="n"/>
      <c r="J2176" s="23">
        <f>IF(OR($H2176="",$I2176=""),"",$H2176*$I2176)</f>
        <v/>
      </c>
      <c r="K2176" s="24" t="n"/>
      <c r="L2176" s="24" t="n"/>
      <c r="M2176" s="29" t="n"/>
      <c r="N2176" s="28" t="n"/>
      <c r="O2176" s="24" t="n"/>
      <c r="P2176" s="24" t="n"/>
      <c r="Q2176" s="24" t="n"/>
      <c r="R2176" s="24" t="n"/>
      <c r="S2176" s="22">
        <f>IF(AND($A2176="",$C2176=""),"",IF($A2176="","Thiếu mã đơn; ","")&amp;IF(COUNTIF($A$2:$A2176,$A2176)&gt;1,"Trùng mã đơn; ","")&amp;IF(ISNA(MATCH($C2176,DATA_MASTER!$D$2:$D$5000,0)),"SĐT chưa đăng ký hội viên; ","")&amp;IF(AND($L2176="Đã chuyển khoản",$M2176=""),"Thiếu ngày nhận CK; ",""))</f>
        <v/>
      </c>
      <c r="T2176" s="24" t="n"/>
    </row>
    <row r="2177" ht="14.25" customHeight="1" s="40">
      <c r="A2177" s="24" t="n"/>
      <c r="B2177" s="29" t="n"/>
      <c r="C2177" s="28" t="n"/>
      <c r="D2177" s="22">
        <f t="array" ref="D2177">IF($C2177="","",IFERROR(INDEX(DATA_MASTER!$C$2:$C$5000,MATCH($C2177,DATA_MASTER!$D$2:$D$5000,0)),""))</f>
        <v/>
      </c>
      <c r="E2177" s="22">
        <f t="array" ref="E2177">IF($C2177="","",IFERROR(INDEX(DATA_MASTER!$I$2:$I$5000,MATCH($C2177,DATA_MASTER!$D$2:$D$5000,0)),""))</f>
        <v/>
      </c>
      <c r="F2177" s="22">
        <f t="array" ref="F2177">IF($C2177="","",IFERROR(INDEX(DATA_MASTER!$L$2:$L$5000,MATCH($C2177,DATA_MASTER!$D$2:$D$5000,0)),""))</f>
        <v/>
      </c>
      <c r="G2177" s="24" t="n"/>
      <c r="H2177" s="24" t="n"/>
      <c r="I2177" s="30" t="n"/>
      <c r="J2177" s="23">
        <f>IF(OR($H2177="",$I2177=""),"",$H2177*$I2177)</f>
        <v/>
      </c>
      <c r="K2177" s="24" t="n"/>
      <c r="L2177" s="24" t="n"/>
      <c r="M2177" s="29" t="n"/>
      <c r="N2177" s="28" t="n"/>
      <c r="O2177" s="24" t="n"/>
      <c r="P2177" s="24" t="n"/>
      <c r="Q2177" s="24" t="n"/>
      <c r="R2177" s="24" t="n"/>
      <c r="S2177" s="22">
        <f>IF(AND($A2177="",$C2177=""),"",IF($A2177="","Thiếu mã đơn; ","")&amp;IF(COUNTIF($A$2:$A2177,$A2177)&gt;1,"Trùng mã đơn; ","")&amp;IF(ISNA(MATCH($C2177,DATA_MASTER!$D$2:$D$5000,0)),"SĐT chưa đăng ký hội viên; ","")&amp;IF(AND($L2177="Đã chuyển khoản",$M2177=""),"Thiếu ngày nhận CK; ",""))</f>
        <v/>
      </c>
      <c r="T2177" s="24" t="n"/>
    </row>
    <row r="2178" ht="14.25" customHeight="1" s="40">
      <c r="A2178" s="24" t="n"/>
      <c r="B2178" s="29" t="n"/>
      <c r="C2178" s="28" t="n"/>
      <c r="D2178" s="22">
        <f t="array" ref="D2178">IF($C2178="","",IFERROR(INDEX(DATA_MASTER!$C$2:$C$5000,MATCH($C2178,DATA_MASTER!$D$2:$D$5000,0)),""))</f>
        <v/>
      </c>
      <c r="E2178" s="22">
        <f t="array" ref="E2178">IF($C2178="","",IFERROR(INDEX(DATA_MASTER!$I$2:$I$5000,MATCH($C2178,DATA_MASTER!$D$2:$D$5000,0)),""))</f>
        <v/>
      </c>
      <c r="F2178" s="22">
        <f t="array" ref="F2178">IF($C2178="","",IFERROR(INDEX(DATA_MASTER!$L$2:$L$5000,MATCH($C2178,DATA_MASTER!$D$2:$D$5000,0)),""))</f>
        <v/>
      </c>
      <c r="G2178" s="24" t="n"/>
      <c r="H2178" s="24" t="n"/>
      <c r="I2178" s="30" t="n"/>
      <c r="J2178" s="23">
        <f>IF(OR($H2178="",$I2178=""),"",$H2178*$I2178)</f>
        <v/>
      </c>
      <c r="K2178" s="24" t="n"/>
      <c r="L2178" s="24" t="n"/>
      <c r="M2178" s="29" t="n"/>
      <c r="N2178" s="28" t="n"/>
      <c r="O2178" s="24" t="n"/>
      <c r="P2178" s="24" t="n"/>
      <c r="Q2178" s="24" t="n"/>
      <c r="R2178" s="24" t="n"/>
      <c r="S2178" s="22">
        <f>IF(AND($A2178="",$C2178=""),"",IF($A2178="","Thiếu mã đơn; ","")&amp;IF(COUNTIF($A$2:$A2178,$A2178)&gt;1,"Trùng mã đơn; ","")&amp;IF(ISNA(MATCH($C2178,DATA_MASTER!$D$2:$D$5000,0)),"SĐT chưa đăng ký hội viên; ","")&amp;IF(AND($L2178="Đã chuyển khoản",$M2178=""),"Thiếu ngày nhận CK; ",""))</f>
        <v/>
      </c>
      <c r="T2178" s="24" t="n"/>
    </row>
    <row r="2179" ht="14.25" customHeight="1" s="40">
      <c r="A2179" s="24" t="n"/>
      <c r="B2179" s="29" t="n"/>
      <c r="C2179" s="28" t="n"/>
      <c r="D2179" s="22">
        <f t="array" ref="D2179">IF($C2179="","",IFERROR(INDEX(DATA_MASTER!$C$2:$C$5000,MATCH($C2179,DATA_MASTER!$D$2:$D$5000,0)),""))</f>
        <v/>
      </c>
      <c r="E2179" s="22">
        <f t="array" ref="E2179">IF($C2179="","",IFERROR(INDEX(DATA_MASTER!$I$2:$I$5000,MATCH($C2179,DATA_MASTER!$D$2:$D$5000,0)),""))</f>
        <v/>
      </c>
      <c r="F2179" s="22">
        <f t="array" ref="F2179">IF($C2179="","",IFERROR(INDEX(DATA_MASTER!$L$2:$L$5000,MATCH($C2179,DATA_MASTER!$D$2:$D$5000,0)),""))</f>
        <v/>
      </c>
      <c r="G2179" s="24" t="n"/>
      <c r="H2179" s="24" t="n"/>
      <c r="I2179" s="30" t="n"/>
      <c r="J2179" s="23">
        <f>IF(OR($H2179="",$I2179=""),"",$H2179*$I2179)</f>
        <v/>
      </c>
      <c r="K2179" s="24" t="n"/>
      <c r="L2179" s="24" t="n"/>
      <c r="M2179" s="29" t="n"/>
      <c r="N2179" s="28" t="n"/>
      <c r="O2179" s="24" t="n"/>
      <c r="P2179" s="24" t="n"/>
      <c r="Q2179" s="24" t="n"/>
      <c r="R2179" s="24" t="n"/>
      <c r="S2179" s="22">
        <f>IF(AND($A2179="",$C2179=""),"",IF($A2179="","Thiếu mã đơn; ","")&amp;IF(COUNTIF($A$2:$A2179,$A2179)&gt;1,"Trùng mã đơn; ","")&amp;IF(ISNA(MATCH($C2179,DATA_MASTER!$D$2:$D$5000,0)),"SĐT chưa đăng ký hội viên; ","")&amp;IF(AND($L2179="Đã chuyển khoản",$M2179=""),"Thiếu ngày nhận CK; ",""))</f>
        <v/>
      </c>
      <c r="T2179" s="24" t="n"/>
    </row>
    <row r="2180" ht="14.25" customHeight="1" s="40">
      <c r="A2180" s="24" t="n"/>
      <c r="B2180" s="29" t="n"/>
      <c r="C2180" s="28" t="n"/>
      <c r="D2180" s="22">
        <f t="array" ref="D2180">IF($C2180="","",IFERROR(INDEX(DATA_MASTER!$C$2:$C$5000,MATCH($C2180,DATA_MASTER!$D$2:$D$5000,0)),""))</f>
        <v/>
      </c>
      <c r="E2180" s="22">
        <f t="array" ref="E2180">IF($C2180="","",IFERROR(INDEX(DATA_MASTER!$I$2:$I$5000,MATCH($C2180,DATA_MASTER!$D$2:$D$5000,0)),""))</f>
        <v/>
      </c>
      <c r="F2180" s="22">
        <f t="array" ref="F2180">IF($C2180="","",IFERROR(INDEX(DATA_MASTER!$L$2:$L$5000,MATCH($C2180,DATA_MASTER!$D$2:$D$5000,0)),""))</f>
        <v/>
      </c>
      <c r="G2180" s="24" t="n"/>
      <c r="H2180" s="24" t="n"/>
      <c r="I2180" s="30" t="n"/>
      <c r="J2180" s="23">
        <f>IF(OR($H2180="",$I2180=""),"",$H2180*$I2180)</f>
        <v/>
      </c>
      <c r="K2180" s="24" t="n"/>
      <c r="L2180" s="24" t="n"/>
      <c r="M2180" s="29" t="n"/>
      <c r="N2180" s="28" t="n"/>
      <c r="O2180" s="24" t="n"/>
      <c r="P2180" s="24" t="n"/>
      <c r="Q2180" s="24" t="n"/>
      <c r="R2180" s="24" t="n"/>
      <c r="S2180" s="22">
        <f>IF(AND($A2180="",$C2180=""),"",IF($A2180="","Thiếu mã đơn; ","")&amp;IF(COUNTIF($A$2:$A2180,$A2180)&gt;1,"Trùng mã đơn; ","")&amp;IF(ISNA(MATCH($C2180,DATA_MASTER!$D$2:$D$5000,0)),"SĐT chưa đăng ký hội viên; ","")&amp;IF(AND($L2180="Đã chuyển khoản",$M2180=""),"Thiếu ngày nhận CK; ",""))</f>
        <v/>
      </c>
      <c r="T2180" s="24" t="n"/>
    </row>
    <row r="2181" ht="14.25" customHeight="1" s="40">
      <c r="A2181" s="24" t="n"/>
      <c r="B2181" s="29" t="n"/>
      <c r="C2181" s="28" t="n"/>
      <c r="D2181" s="22">
        <f t="array" ref="D2181">IF($C2181="","",IFERROR(INDEX(DATA_MASTER!$C$2:$C$5000,MATCH($C2181,DATA_MASTER!$D$2:$D$5000,0)),""))</f>
        <v/>
      </c>
      <c r="E2181" s="22">
        <f t="array" ref="E2181">IF($C2181="","",IFERROR(INDEX(DATA_MASTER!$I$2:$I$5000,MATCH($C2181,DATA_MASTER!$D$2:$D$5000,0)),""))</f>
        <v/>
      </c>
      <c r="F2181" s="22">
        <f t="array" ref="F2181">IF($C2181="","",IFERROR(INDEX(DATA_MASTER!$L$2:$L$5000,MATCH($C2181,DATA_MASTER!$D$2:$D$5000,0)),""))</f>
        <v/>
      </c>
      <c r="G2181" s="24" t="n"/>
      <c r="H2181" s="24" t="n"/>
      <c r="I2181" s="30" t="n"/>
      <c r="J2181" s="23">
        <f>IF(OR($H2181="",$I2181=""),"",$H2181*$I2181)</f>
        <v/>
      </c>
      <c r="K2181" s="24" t="n"/>
      <c r="L2181" s="24" t="n"/>
      <c r="M2181" s="29" t="n"/>
      <c r="N2181" s="28" t="n"/>
      <c r="O2181" s="24" t="n"/>
      <c r="P2181" s="24" t="n"/>
      <c r="Q2181" s="24" t="n"/>
      <c r="R2181" s="24" t="n"/>
      <c r="S2181" s="22">
        <f>IF(AND($A2181="",$C2181=""),"",IF($A2181="","Thiếu mã đơn; ","")&amp;IF(COUNTIF($A$2:$A2181,$A2181)&gt;1,"Trùng mã đơn; ","")&amp;IF(ISNA(MATCH($C2181,DATA_MASTER!$D$2:$D$5000,0)),"SĐT chưa đăng ký hội viên; ","")&amp;IF(AND($L2181="Đã chuyển khoản",$M2181=""),"Thiếu ngày nhận CK; ",""))</f>
        <v/>
      </c>
      <c r="T2181" s="24" t="n"/>
    </row>
    <row r="2182" ht="14.25" customHeight="1" s="40">
      <c r="A2182" s="24" t="n"/>
      <c r="B2182" s="29" t="n"/>
      <c r="C2182" s="28" t="n"/>
      <c r="D2182" s="22">
        <f t="array" ref="D2182">IF($C2182="","",IFERROR(INDEX(DATA_MASTER!$C$2:$C$5000,MATCH($C2182,DATA_MASTER!$D$2:$D$5000,0)),""))</f>
        <v/>
      </c>
      <c r="E2182" s="22">
        <f t="array" ref="E2182">IF($C2182="","",IFERROR(INDEX(DATA_MASTER!$I$2:$I$5000,MATCH($C2182,DATA_MASTER!$D$2:$D$5000,0)),""))</f>
        <v/>
      </c>
      <c r="F2182" s="22">
        <f t="array" ref="F2182">IF($C2182="","",IFERROR(INDEX(DATA_MASTER!$L$2:$L$5000,MATCH($C2182,DATA_MASTER!$D$2:$D$5000,0)),""))</f>
        <v/>
      </c>
      <c r="G2182" s="24" t="n"/>
      <c r="H2182" s="24" t="n"/>
      <c r="I2182" s="30" t="n"/>
      <c r="J2182" s="23">
        <f>IF(OR($H2182="",$I2182=""),"",$H2182*$I2182)</f>
        <v/>
      </c>
      <c r="K2182" s="24" t="n"/>
      <c r="L2182" s="24" t="n"/>
      <c r="M2182" s="29" t="n"/>
      <c r="N2182" s="28" t="n"/>
      <c r="O2182" s="24" t="n"/>
      <c r="P2182" s="24" t="n"/>
      <c r="Q2182" s="24" t="n"/>
      <c r="R2182" s="24" t="n"/>
      <c r="S2182" s="22">
        <f>IF(AND($A2182="",$C2182=""),"",IF($A2182="","Thiếu mã đơn; ","")&amp;IF(COUNTIF($A$2:$A2182,$A2182)&gt;1,"Trùng mã đơn; ","")&amp;IF(ISNA(MATCH($C2182,DATA_MASTER!$D$2:$D$5000,0)),"SĐT chưa đăng ký hội viên; ","")&amp;IF(AND($L2182="Đã chuyển khoản",$M2182=""),"Thiếu ngày nhận CK; ",""))</f>
        <v/>
      </c>
      <c r="T2182" s="24" t="n"/>
    </row>
    <row r="2183" ht="14.25" customHeight="1" s="40">
      <c r="A2183" s="24" t="n"/>
      <c r="B2183" s="29" t="n"/>
      <c r="C2183" s="28" t="n"/>
      <c r="D2183" s="22">
        <f t="array" ref="D2183">IF($C2183="","",IFERROR(INDEX(DATA_MASTER!$C$2:$C$5000,MATCH($C2183,DATA_MASTER!$D$2:$D$5000,0)),""))</f>
        <v/>
      </c>
      <c r="E2183" s="22">
        <f t="array" ref="E2183">IF($C2183="","",IFERROR(INDEX(DATA_MASTER!$I$2:$I$5000,MATCH($C2183,DATA_MASTER!$D$2:$D$5000,0)),""))</f>
        <v/>
      </c>
      <c r="F2183" s="22">
        <f t="array" ref="F2183">IF($C2183="","",IFERROR(INDEX(DATA_MASTER!$L$2:$L$5000,MATCH($C2183,DATA_MASTER!$D$2:$D$5000,0)),""))</f>
        <v/>
      </c>
      <c r="G2183" s="24" t="n"/>
      <c r="H2183" s="24" t="n"/>
      <c r="I2183" s="30" t="n"/>
      <c r="J2183" s="23">
        <f>IF(OR($H2183="",$I2183=""),"",$H2183*$I2183)</f>
        <v/>
      </c>
      <c r="K2183" s="24" t="n"/>
      <c r="L2183" s="24" t="n"/>
      <c r="M2183" s="29" t="n"/>
      <c r="N2183" s="28" t="n"/>
      <c r="O2183" s="24" t="n"/>
      <c r="P2183" s="24" t="n"/>
      <c r="Q2183" s="24" t="n"/>
      <c r="R2183" s="24" t="n"/>
      <c r="S2183" s="22">
        <f>IF(AND($A2183="",$C2183=""),"",IF($A2183="","Thiếu mã đơn; ","")&amp;IF(COUNTIF($A$2:$A2183,$A2183)&gt;1,"Trùng mã đơn; ","")&amp;IF(ISNA(MATCH($C2183,DATA_MASTER!$D$2:$D$5000,0)),"SĐT chưa đăng ký hội viên; ","")&amp;IF(AND($L2183="Đã chuyển khoản",$M2183=""),"Thiếu ngày nhận CK; ",""))</f>
        <v/>
      </c>
      <c r="T2183" s="24" t="n"/>
    </row>
    <row r="2184" ht="14.25" customHeight="1" s="40">
      <c r="A2184" s="24" t="n"/>
      <c r="B2184" s="29" t="n"/>
      <c r="C2184" s="28" t="n"/>
      <c r="D2184" s="22">
        <f t="array" ref="D2184">IF($C2184="","",IFERROR(INDEX(DATA_MASTER!$C$2:$C$5000,MATCH($C2184,DATA_MASTER!$D$2:$D$5000,0)),""))</f>
        <v/>
      </c>
      <c r="E2184" s="22">
        <f t="array" ref="E2184">IF($C2184="","",IFERROR(INDEX(DATA_MASTER!$I$2:$I$5000,MATCH($C2184,DATA_MASTER!$D$2:$D$5000,0)),""))</f>
        <v/>
      </c>
      <c r="F2184" s="22">
        <f t="array" ref="F2184">IF($C2184="","",IFERROR(INDEX(DATA_MASTER!$L$2:$L$5000,MATCH($C2184,DATA_MASTER!$D$2:$D$5000,0)),""))</f>
        <v/>
      </c>
      <c r="G2184" s="24" t="n"/>
      <c r="H2184" s="24" t="n"/>
      <c r="I2184" s="30" t="n"/>
      <c r="J2184" s="23">
        <f>IF(OR($H2184="",$I2184=""),"",$H2184*$I2184)</f>
        <v/>
      </c>
      <c r="K2184" s="24" t="n"/>
      <c r="L2184" s="24" t="n"/>
      <c r="M2184" s="29" t="n"/>
      <c r="N2184" s="28" t="n"/>
      <c r="O2184" s="24" t="n"/>
      <c r="P2184" s="24" t="n"/>
      <c r="Q2184" s="24" t="n"/>
      <c r="R2184" s="24" t="n"/>
      <c r="S2184" s="22">
        <f>IF(AND($A2184="",$C2184=""),"",IF($A2184="","Thiếu mã đơn; ","")&amp;IF(COUNTIF($A$2:$A2184,$A2184)&gt;1,"Trùng mã đơn; ","")&amp;IF(ISNA(MATCH($C2184,DATA_MASTER!$D$2:$D$5000,0)),"SĐT chưa đăng ký hội viên; ","")&amp;IF(AND($L2184="Đã chuyển khoản",$M2184=""),"Thiếu ngày nhận CK; ",""))</f>
        <v/>
      </c>
      <c r="T2184" s="24" t="n"/>
    </row>
    <row r="2185" ht="14.25" customHeight="1" s="40">
      <c r="A2185" s="24" t="n"/>
      <c r="B2185" s="29" t="n"/>
      <c r="C2185" s="28" t="n"/>
      <c r="D2185" s="22">
        <f t="array" ref="D2185">IF($C2185="","",IFERROR(INDEX(DATA_MASTER!$C$2:$C$5000,MATCH($C2185,DATA_MASTER!$D$2:$D$5000,0)),""))</f>
        <v/>
      </c>
      <c r="E2185" s="22">
        <f t="array" ref="E2185">IF($C2185="","",IFERROR(INDEX(DATA_MASTER!$I$2:$I$5000,MATCH($C2185,DATA_MASTER!$D$2:$D$5000,0)),""))</f>
        <v/>
      </c>
      <c r="F2185" s="22">
        <f t="array" ref="F2185">IF($C2185="","",IFERROR(INDEX(DATA_MASTER!$L$2:$L$5000,MATCH($C2185,DATA_MASTER!$D$2:$D$5000,0)),""))</f>
        <v/>
      </c>
      <c r="G2185" s="24" t="n"/>
      <c r="H2185" s="24" t="n"/>
      <c r="I2185" s="30" t="n"/>
      <c r="J2185" s="23">
        <f>IF(OR($H2185="",$I2185=""),"",$H2185*$I2185)</f>
        <v/>
      </c>
      <c r="K2185" s="24" t="n"/>
      <c r="L2185" s="24" t="n"/>
      <c r="M2185" s="29" t="n"/>
      <c r="N2185" s="28" t="n"/>
      <c r="O2185" s="24" t="n"/>
      <c r="P2185" s="24" t="n"/>
      <c r="Q2185" s="24" t="n"/>
      <c r="R2185" s="24" t="n"/>
      <c r="S2185" s="22">
        <f>IF(AND($A2185="",$C2185=""),"",IF($A2185="","Thiếu mã đơn; ","")&amp;IF(COUNTIF($A$2:$A2185,$A2185)&gt;1,"Trùng mã đơn; ","")&amp;IF(ISNA(MATCH($C2185,DATA_MASTER!$D$2:$D$5000,0)),"SĐT chưa đăng ký hội viên; ","")&amp;IF(AND($L2185="Đã chuyển khoản",$M2185=""),"Thiếu ngày nhận CK; ",""))</f>
        <v/>
      </c>
      <c r="T2185" s="24" t="n"/>
    </row>
    <row r="2186" ht="14.25" customHeight="1" s="40">
      <c r="A2186" s="24" t="n"/>
      <c r="B2186" s="29" t="n"/>
      <c r="C2186" s="28" t="n"/>
      <c r="D2186" s="22">
        <f t="array" ref="D2186">IF($C2186="","",IFERROR(INDEX(DATA_MASTER!$C$2:$C$5000,MATCH($C2186,DATA_MASTER!$D$2:$D$5000,0)),""))</f>
        <v/>
      </c>
      <c r="E2186" s="22">
        <f t="array" ref="E2186">IF($C2186="","",IFERROR(INDEX(DATA_MASTER!$I$2:$I$5000,MATCH($C2186,DATA_MASTER!$D$2:$D$5000,0)),""))</f>
        <v/>
      </c>
      <c r="F2186" s="22">
        <f t="array" ref="F2186">IF($C2186="","",IFERROR(INDEX(DATA_MASTER!$L$2:$L$5000,MATCH($C2186,DATA_MASTER!$D$2:$D$5000,0)),""))</f>
        <v/>
      </c>
      <c r="G2186" s="24" t="n"/>
      <c r="H2186" s="24" t="n"/>
      <c r="I2186" s="30" t="n"/>
      <c r="J2186" s="23">
        <f>IF(OR($H2186="",$I2186=""),"",$H2186*$I2186)</f>
        <v/>
      </c>
      <c r="K2186" s="24" t="n"/>
      <c r="L2186" s="24" t="n"/>
      <c r="M2186" s="29" t="n"/>
      <c r="N2186" s="28" t="n"/>
      <c r="O2186" s="24" t="n"/>
      <c r="P2186" s="24" t="n"/>
      <c r="Q2186" s="24" t="n"/>
      <c r="R2186" s="24" t="n"/>
      <c r="S2186" s="22">
        <f>IF(AND($A2186="",$C2186=""),"",IF($A2186="","Thiếu mã đơn; ","")&amp;IF(COUNTIF($A$2:$A2186,$A2186)&gt;1,"Trùng mã đơn; ","")&amp;IF(ISNA(MATCH($C2186,DATA_MASTER!$D$2:$D$5000,0)),"SĐT chưa đăng ký hội viên; ","")&amp;IF(AND($L2186="Đã chuyển khoản",$M2186=""),"Thiếu ngày nhận CK; ",""))</f>
        <v/>
      </c>
      <c r="T2186" s="24" t="n"/>
    </row>
    <row r="2187" ht="14.25" customHeight="1" s="40">
      <c r="A2187" s="24" t="n"/>
      <c r="B2187" s="29" t="n"/>
      <c r="C2187" s="28" t="n"/>
      <c r="D2187" s="22">
        <f t="array" ref="D2187">IF($C2187="","",IFERROR(INDEX(DATA_MASTER!$C$2:$C$5000,MATCH($C2187,DATA_MASTER!$D$2:$D$5000,0)),""))</f>
        <v/>
      </c>
      <c r="E2187" s="22">
        <f t="array" ref="E2187">IF($C2187="","",IFERROR(INDEX(DATA_MASTER!$I$2:$I$5000,MATCH($C2187,DATA_MASTER!$D$2:$D$5000,0)),""))</f>
        <v/>
      </c>
      <c r="F2187" s="22">
        <f t="array" ref="F2187">IF($C2187="","",IFERROR(INDEX(DATA_MASTER!$L$2:$L$5000,MATCH($C2187,DATA_MASTER!$D$2:$D$5000,0)),""))</f>
        <v/>
      </c>
      <c r="G2187" s="24" t="n"/>
      <c r="H2187" s="24" t="n"/>
      <c r="I2187" s="30" t="n"/>
      <c r="J2187" s="23">
        <f>IF(OR($H2187="",$I2187=""),"",$H2187*$I2187)</f>
        <v/>
      </c>
      <c r="K2187" s="24" t="n"/>
      <c r="L2187" s="24" t="n"/>
      <c r="M2187" s="29" t="n"/>
      <c r="N2187" s="28" t="n"/>
      <c r="O2187" s="24" t="n"/>
      <c r="P2187" s="24" t="n"/>
      <c r="Q2187" s="24" t="n"/>
      <c r="R2187" s="24" t="n"/>
      <c r="S2187" s="22">
        <f>IF(AND($A2187="",$C2187=""),"",IF($A2187="","Thiếu mã đơn; ","")&amp;IF(COUNTIF($A$2:$A2187,$A2187)&gt;1,"Trùng mã đơn; ","")&amp;IF(ISNA(MATCH($C2187,DATA_MASTER!$D$2:$D$5000,0)),"SĐT chưa đăng ký hội viên; ","")&amp;IF(AND($L2187="Đã chuyển khoản",$M2187=""),"Thiếu ngày nhận CK; ",""))</f>
        <v/>
      </c>
      <c r="T2187" s="24" t="n"/>
    </row>
    <row r="2188" ht="14.25" customHeight="1" s="40">
      <c r="A2188" s="24" t="n"/>
      <c r="B2188" s="29" t="n"/>
      <c r="C2188" s="28" t="n"/>
      <c r="D2188" s="22">
        <f t="array" ref="D2188">IF($C2188="","",IFERROR(INDEX(DATA_MASTER!$C$2:$C$5000,MATCH($C2188,DATA_MASTER!$D$2:$D$5000,0)),""))</f>
        <v/>
      </c>
      <c r="E2188" s="22">
        <f t="array" ref="E2188">IF($C2188="","",IFERROR(INDEX(DATA_MASTER!$I$2:$I$5000,MATCH($C2188,DATA_MASTER!$D$2:$D$5000,0)),""))</f>
        <v/>
      </c>
      <c r="F2188" s="22">
        <f t="array" ref="F2188">IF($C2188="","",IFERROR(INDEX(DATA_MASTER!$L$2:$L$5000,MATCH($C2188,DATA_MASTER!$D$2:$D$5000,0)),""))</f>
        <v/>
      </c>
      <c r="G2188" s="24" t="n"/>
      <c r="H2188" s="24" t="n"/>
      <c r="I2188" s="30" t="n"/>
      <c r="J2188" s="23">
        <f>IF(OR($H2188="",$I2188=""),"",$H2188*$I2188)</f>
        <v/>
      </c>
      <c r="K2188" s="24" t="n"/>
      <c r="L2188" s="24" t="n"/>
      <c r="M2188" s="29" t="n"/>
      <c r="N2188" s="28" t="n"/>
      <c r="O2188" s="24" t="n"/>
      <c r="P2188" s="24" t="n"/>
      <c r="Q2188" s="24" t="n"/>
      <c r="R2188" s="24" t="n"/>
      <c r="S2188" s="22">
        <f>IF(AND($A2188="",$C2188=""),"",IF($A2188="","Thiếu mã đơn; ","")&amp;IF(COUNTIF($A$2:$A2188,$A2188)&gt;1,"Trùng mã đơn; ","")&amp;IF(ISNA(MATCH($C2188,DATA_MASTER!$D$2:$D$5000,0)),"SĐT chưa đăng ký hội viên; ","")&amp;IF(AND($L2188="Đã chuyển khoản",$M2188=""),"Thiếu ngày nhận CK; ",""))</f>
        <v/>
      </c>
      <c r="T2188" s="24" t="n"/>
    </row>
    <row r="2189" ht="14.25" customHeight="1" s="40">
      <c r="A2189" s="24" t="n"/>
      <c r="B2189" s="29" t="n"/>
      <c r="C2189" s="28" t="n"/>
      <c r="D2189" s="22">
        <f t="array" ref="D2189">IF($C2189="","",IFERROR(INDEX(DATA_MASTER!$C$2:$C$5000,MATCH($C2189,DATA_MASTER!$D$2:$D$5000,0)),""))</f>
        <v/>
      </c>
      <c r="E2189" s="22">
        <f t="array" ref="E2189">IF($C2189="","",IFERROR(INDEX(DATA_MASTER!$I$2:$I$5000,MATCH($C2189,DATA_MASTER!$D$2:$D$5000,0)),""))</f>
        <v/>
      </c>
      <c r="F2189" s="22">
        <f t="array" ref="F2189">IF($C2189="","",IFERROR(INDEX(DATA_MASTER!$L$2:$L$5000,MATCH($C2189,DATA_MASTER!$D$2:$D$5000,0)),""))</f>
        <v/>
      </c>
      <c r="G2189" s="24" t="n"/>
      <c r="H2189" s="24" t="n"/>
      <c r="I2189" s="30" t="n"/>
      <c r="J2189" s="23">
        <f>IF(OR($H2189="",$I2189=""),"",$H2189*$I2189)</f>
        <v/>
      </c>
      <c r="K2189" s="24" t="n"/>
      <c r="L2189" s="24" t="n"/>
      <c r="M2189" s="29" t="n"/>
      <c r="N2189" s="28" t="n"/>
      <c r="O2189" s="24" t="n"/>
      <c r="P2189" s="24" t="n"/>
      <c r="Q2189" s="24" t="n"/>
      <c r="R2189" s="24" t="n"/>
      <c r="S2189" s="22">
        <f>IF(AND($A2189="",$C2189=""),"",IF($A2189="","Thiếu mã đơn; ","")&amp;IF(COUNTIF($A$2:$A2189,$A2189)&gt;1,"Trùng mã đơn; ","")&amp;IF(ISNA(MATCH($C2189,DATA_MASTER!$D$2:$D$5000,0)),"SĐT chưa đăng ký hội viên; ","")&amp;IF(AND($L2189="Đã chuyển khoản",$M2189=""),"Thiếu ngày nhận CK; ",""))</f>
        <v/>
      </c>
      <c r="T2189" s="24" t="n"/>
    </row>
    <row r="2190" ht="14.25" customHeight="1" s="40">
      <c r="A2190" s="24" t="n"/>
      <c r="B2190" s="29" t="n"/>
      <c r="C2190" s="28" t="n"/>
      <c r="D2190" s="22">
        <f t="array" ref="D2190">IF($C2190="","",IFERROR(INDEX(DATA_MASTER!$C$2:$C$5000,MATCH($C2190,DATA_MASTER!$D$2:$D$5000,0)),""))</f>
        <v/>
      </c>
      <c r="E2190" s="22">
        <f t="array" ref="E2190">IF($C2190="","",IFERROR(INDEX(DATA_MASTER!$I$2:$I$5000,MATCH($C2190,DATA_MASTER!$D$2:$D$5000,0)),""))</f>
        <v/>
      </c>
      <c r="F2190" s="22">
        <f t="array" ref="F2190">IF($C2190="","",IFERROR(INDEX(DATA_MASTER!$L$2:$L$5000,MATCH($C2190,DATA_MASTER!$D$2:$D$5000,0)),""))</f>
        <v/>
      </c>
      <c r="G2190" s="24" t="n"/>
      <c r="H2190" s="24" t="n"/>
      <c r="I2190" s="30" t="n"/>
      <c r="J2190" s="23">
        <f>IF(OR($H2190="",$I2190=""),"",$H2190*$I2190)</f>
        <v/>
      </c>
      <c r="K2190" s="24" t="n"/>
      <c r="L2190" s="24" t="n"/>
      <c r="M2190" s="29" t="n"/>
      <c r="N2190" s="28" t="n"/>
      <c r="O2190" s="24" t="n"/>
      <c r="P2190" s="24" t="n"/>
      <c r="Q2190" s="24" t="n"/>
      <c r="R2190" s="24" t="n"/>
      <c r="S2190" s="22">
        <f>IF(AND($A2190="",$C2190=""),"",IF($A2190="","Thiếu mã đơn; ","")&amp;IF(COUNTIF($A$2:$A2190,$A2190)&gt;1,"Trùng mã đơn; ","")&amp;IF(ISNA(MATCH($C2190,DATA_MASTER!$D$2:$D$5000,0)),"SĐT chưa đăng ký hội viên; ","")&amp;IF(AND($L2190="Đã chuyển khoản",$M2190=""),"Thiếu ngày nhận CK; ",""))</f>
        <v/>
      </c>
      <c r="T2190" s="24" t="n"/>
    </row>
    <row r="2191" ht="14.25" customHeight="1" s="40">
      <c r="A2191" s="24" t="n"/>
      <c r="B2191" s="29" t="n"/>
      <c r="C2191" s="28" t="n"/>
      <c r="D2191" s="22">
        <f t="array" ref="D2191">IF($C2191="","",IFERROR(INDEX(DATA_MASTER!$C$2:$C$5000,MATCH($C2191,DATA_MASTER!$D$2:$D$5000,0)),""))</f>
        <v/>
      </c>
      <c r="E2191" s="22">
        <f t="array" ref="E2191">IF($C2191="","",IFERROR(INDEX(DATA_MASTER!$I$2:$I$5000,MATCH($C2191,DATA_MASTER!$D$2:$D$5000,0)),""))</f>
        <v/>
      </c>
      <c r="F2191" s="22">
        <f t="array" ref="F2191">IF($C2191="","",IFERROR(INDEX(DATA_MASTER!$L$2:$L$5000,MATCH($C2191,DATA_MASTER!$D$2:$D$5000,0)),""))</f>
        <v/>
      </c>
      <c r="G2191" s="24" t="n"/>
      <c r="H2191" s="24" t="n"/>
      <c r="I2191" s="30" t="n"/>
      <c r="J2191" s="23">
        <f>IF(OR($H2191="",$I2191=""),"",$H2191*$I2191)</f>
        <v/>
      </c>
      <c r="K2191" s="24" t="n"/>
      <c r="L2191" s="24" t="n"/>
      <c r="M2191" s="29" t="n"/>
      <c r="N2191" s="28" t="n"/>
      <c r="O2191" s="24" t="n"/>
      <c r="P2191" s="24" t="n"/>
      <c r="Q2191" s="24" t="n"/>
      <c r="R2191" s="24" t="n"/>
      <c r="S2191" s="22">
        <f>IF(AND($A2191="",$C2191=""),"",IF($A2191="","Thiếu mã đơn; ","")&amp;IF(COUNTIF($A$2:$A2191,$A2191)&gt;1,"Trùng mã đơn; ","")&amp;IF(ISNA(MATCH($C2191,DATA_MASTER!$D$2:$D$5000,0)),"SĐT chưa đăng ký hội viên; ","")&amp;IF(AND($L2191="Đã chuyển khoản",$M2191=""),"Thiếu ngày nhận CK; ",""))</f>
        <v/>
      </c>
      <c r="T2191" s="24" t="n"/>
    </row>
    <row r="2192" ht="14.25" customHeight="1" s="40">
      <c r="A2192" s="24" t="n"/>
      <c r="B2192" s="29" t="n"/>
      <c r="C2192" s="28" t="n"/>
      <c r="D2192" s="22">
        <f t="array" ref="D2192">IF($C2192="","",IFERROR(INDEX(DATA_MASTER!$C$2:$C$5000,MATCH($C2192,DATA_MASTER!$D$2:$D$5000,0)),""))</f>
        <v/>
      </c>
      <c r="E2192" s="22">
        <f t="array" ref="E2192">IF($C2192="","",IFERROR(INDEX(DATA_MASTER!$I$2:$I$5000,MATCH($C2192,DATA_MASTER!$D$2:$D$5000,0)),""))</f>
        <v/>
      </c>
      <c r="F2192" s="22">
        <f t="array" ref="F2192">IF($C2192="","",IFERROR(INDEX(DATA_MASTER!$L$2:$L$5000,MATCH($C2192,DATA_MASTER!$D$2:$D$5000,0)),""))</f>
        <v/>
      </c>
      <c r="G2192" s="24" t="n"/>
      <c r="H2192" s="24" t="n"/>
      <c r="I2192" s="30" t="n"/>
      <c r="J2192" s="23">
        <f>IF(OR($H2192="",$I2192=""),"",$H2192*$I2192)</f>
        <v/>
      </c>
      <c r="K2192" s="24" t="n"/>
      <c r="L2192" s="24" t="n"/>
      <c r="M2192" s="29" t="n"/>
      <c r="N2192" s="28" t="n"/>
      <c r="O2192" s="24" t="n"/>
      <c r="P2192" s="24" t="n"/>
      <c r="Q2192" s="24" t="n"/>
      <c r="R2192" s="24" t="n"/>
      <c r="S2192" s="22">
        <f>IF(AND($A2192="",$C2192=""),"",IF($A2192="","Thiếu mã đơn; ","")&amp;IF(COUNTIF($A$2:$A2192,$A2192)&gt;1,"Trùng mã đơn; ","")&amp;IF(ISNA(MATCH($C2192,DATA_MASTER!$D$2:$D$5000,0)),"SĐT chưa đăng ký hội viên; ","")&amp;IF(AND($L2192="Đã chuyển khoản",$M2192=""),"Thiếu ngày nhận CK; ",""))</f>
        <v/>
      </c>
      <c r="T2192" s="24" t="n"/>
    </row>
    <row r="2193" ht="14.25" customHeight="1" s="40">
      <c r="A2193" s="24" t="n"/>
      <c r="B2193" s="29" t="n"/>
      <c r="C2193" s="28" t="n"/>
      <c r="D2193" s="22">
        <f t="array" ref="D2193">IF($C2193="","",IFERROR(INDEX(DATA_MASTER!$C$2:$C$5000,MATCH($C2193,DATA_MASTER!$D$2:$D$5000,0)),""))</f>
        <v/>
      </c>
      <c r="E2193" s="22">
        <f t="array" ref="E2193">IF($C2193="","",IFERROR(INDEX(DATA_MASTER!$I$2:$I$5000,MATCH($C2193,DATA_MASTER!$D$2:$D$5000,0)),""))</f>
        <v/>
      </c>
      <c r="F2193" s="22">
        <f t="array" ref="F2193">IF($C2193="","",IFERROR(INDEX(DATA_MASTER!$L$2:$L$5000,MATCH($C2193,DATA_MASTER!$D$2:$D$5000,0)),""))</f>
        <v/>
      </c>
      <c r="G2193" s="24" t="n"/>
      <c r="H2193" s="24" t="n"/>
      <c r="I2193" s="30" t="n"/>
      <c r="J2193" s="23">
        <f>IF(OR($H2193="",$I2193=""),"",$H2193*$I2193)</f>
        <v/>
      </c>
      <c r="K2193" s="24" t="n"/>
      <c r="L2193" s="24" t="n"/>
      <c r="M2193" s="29" t="n"/>
      <c r="N2193" s="28" t="n"/>
      <c r="O2193" s="24" t="n"/>
      <c r="P2193" s="24" t="n"/>
      <c r="Q2193" s="24" t="n"/>
      <c r="R2193" s="24" t="n"/>
      <c r="S2193" s="22">
        <f>IF(AND($A2193="",$C2193=""),"",IF($A2193="","Thiếu mã đơn; ","")&amp;IF(COUNTIF($A$2:$A2193,$A2193)&gt;1,"Trùng mã đơn; ","")&amp;IF(ISNA(MATCH($C2193,DATA_MASTER!$D$2:$D$5000,0)),"SĐT chưa đăng ký hội viên; ","")&amp;IF(AND($L2193="Đã chuyển khoản",$M2193=""),"Thiếu ngày nhận CK; ",""))</f>
        <v/>
      </c>
      <c r="T2193" s="24" t="n"/>
    </row>
    <row r="2194" ht="14.25" customHeight="1" s="40">
      <c r="A2194" s="24" t="n"/>
      <c r="B2194" s="29" t="n"/>
      <c r="C2194" s="28" t="n"/>
      <c r="D2194" s="22">
        <f t="array" ref="D2194">IF($C2194="","",IFERROR(INDEX(DATA_MASTER!$C$2:$C$5000,MATCH($C2194,DATA_MASTER!$D$2:$D$5000,0)),""))</f>
        <v/>
      </c>
      <c r="E2194" s="22">
        <f t="array" ref="E2194">IF($C2194="","",IFERROR(INDEX(DATA_MASTER!$I$2:$I$5000,MATCH($C2194,DATA_MASTER!$D$2:$D$5000,0)),""))</f>
        <v/>
      </c>
      <c r="F2194" s="22">
        <f t="array" ref="F2194">IF($C2194="","",IFERROR(INDEX(DATA_MASTER!$L$2:$L$5000,MATCH($C2194,DATA_MASTER!$D$2:$D$5000,0)),""))</f>
        <v/>
      </c>
      <c r="G2194" s="24" t="n"/>
      <c r="H2194" s="24" t="n"/>
      <c r="I2194" s="30" t="n"/>
      <c r="J2194" s="23">
        <f>IF(OR($H2194="",$I2194=""),"",$H2194*$I2194)</f>
        <v/>
      </c>
      <c r="K2194" s="24" t="n"/>
      <c r="L2194" s="24" t="n"/>
      <c r="M2194" s="29" t="n"/>
      <c r="N2194" s="28" t="n"/>
      <c r="O2194" s="24" t="n"/>
      <c r="P2194" s="24" t="n"/>
      <c r="Q2194" s="24" t="n"/>
      <c r="R2194" s="24" t="n"/>
      <c r="S2194" s="22">
        <f>IF(AND($A2194="",$C2194=""),"",IF($A2194="","Thiếu mã đơn; ","")&amp;IF(COUNTIF($A$2:$A2194,$A2194)&gt;1,"Trùng mã đơn; ","")&amp;IF(ISNA(MATCH($C2194,DATA_MASTER!$D$2:$D$5000,0)),"SĐT chưa đăng ký hội viên; ","")&amp;IF(AND($L2194="Đã chuyển khoản",$M2194=""),"Thiếu ngày nhận CK; ",""))</f>
        <v/>
      </c>
      <c r="T2194" s="24" t="n"/>
    </row>
    <row r="2195" ht="14.25" customHeight="1" s="40">
      <c r="A2195" s="24" t="n"/>
      <c r="B2195" s="29" t="n"/>
      <c r="C2195" s="28" t="n"/>
      <c r="D2195" s="22">
        <f t="array" ref="D2195">IF($C2195="","",IFERROR(INDEX(DATA_MASTER!$C$2:$C$5000,MATCH($C2195,DATA_MASTER!$D$2:$D$5000,0)),""))</f>
        <v/>
      </c>
      <c r="E2195" s="22">
        <f t="array" ref="E2195">IF($C2195="","",IFERROR(INDEX(DATA_MASTER!$I$2:$I$5000,MATCH($C2195,DATA_MASTER!$D$2:$D$5000,0)),""))</f>
        <v/>
      </c>
      <c r="F2195" s="22">
        <f t="array" ref="F2195">IF($C2195="","",IFERROR(INDEX(DATA_MASTER!$L$2:$L$5000,MATCH($C2195,DATA_MASTER!$D$2:$D$5000,0)),""))</f>
        <v/>
      </c>
      <c r="G2195" s="24" t="n"/>
      <c r="H2195" s="24" t="n"/>
      <c r="I2195" s="30" t="n"/>
      <c r="J2195" s="23">
        <f>IF(OR($H2195="",$I2195=""),"",$H2195*$I2195)</f>
        <v/>
      </c>
      <c r="K2195" s="24" t="n"/>
      <c r="L2195" s="24" t="n"/>
      <c r="M2195" s="29" t="n"/>
      <c r="N2195" s="28" t="n"/>
      <c r="O2195" s="24" t="n"/>
      <c r="P2195" s="24" t="n"/>
      <c r="Q2195" s="24" t="n"/>
      <c r="R2195" s="24" t="n"/>
      <c r="S2195" s="22">
        <f>IF(AND($A2195="",$C2195=""),"",IF($A2195="","Thiếu mã đơn; ","")&amp;IF(COUNTIF($A$2:$A2195,$A2195)&gt;1,"Trùng mã đơn; ","")&amp;IF(ISNA(MATCH($C2195,DATA_MASTER!$D$2:$D$5000,0)),"SĐT chưa đăng ký hội viên; ","")&amp;IF(AND($L2195="Đã chuyển khoản",$M2195=""),"Thiếu ngày nhận CK; ",""))</f>
        <v/>
      </c>
      <c r="T2195" s="24" t="n"/>
    </row>
    <row r="2196" ht="14.25" customHeight="1" s="40">
      <c r="A2196" s="24" t="n"/>
      <c r="B2196" s="29" t="n"/>
      <c r="C2196" s="28" t="n"/>
      <c r="D2196" s="22">
        <f t="array" ref="D2196">IF($C2196="","",IFERROR(INDEX(DATA_MASTER!$C$2:$C$5000,MATCH($C2196,DATA_MASTER!$D$2:$D$5000,0)),""))</f>
        <v/>
      </c>
      <c r="E2196" s="22">
        <f t="array" ref="E2196">IF($C2196="","",IFERROR(INDEX(DATA_MASTER!$I$2:$I$5000,MATCH($C2196,DATA_MASTER!$D$2:$D$5000,0)),""))</f>
        <v/>
      </c>
      <c r="F2196" s="22">
        <f t="array" ref="F2196">IF($C2196="","",IFERROR(INDEX(DATA_MASTER!$L$2:$L$5000,MATCH($C2196,DATA_MASTER!$D$2:$D$5000,0)),""))</f>
        <v/>
      </c>
      <c r="G2196" s="24" t="n"/>
      <c r="H2196" s="24" t="n"/>
      <c r="I2196" s="30" t="n"/>
      <c r="J2196" s="23">
        <f>IF(OR($H2196="",$I2196=""),"",$H2196*$I2196)</f>
        <v/>
      </c>
      <c r="K2196" s="24" t="n"/>
      <c r="L2196" s="24" t="n"/>
      <c r="M2196" s="29" t="n"/>
      <c r="N2196" s="28" t="n"/>
      <c r="O2196" s="24" t="n"/>
      <c r="P2196" s="24" t="n"/>
      <c r="Q2196" s="24" t="n"/>
      <c r="R2196" s="24" t="n"/>
      <c r="S2196" s="22">
        <f>IF(AND($A2196="",$C2196=""),"",IF($A2196="","Thiếu mã đơn; ","")&amp;IF(COUNTIF($A$2:$A2196,$A2196)&gt;1,"Trùng mã đơn; ","")&amp;IF(ISNA(MATCH($C2196,DATA_MASTER!$D$2:$D$5000,0)),"SĐT chưa đăng ký hội viên; ","")&amp;IF(AND($L2196="Đã chuyển khoản",$M2196=""),"Thiếu ngày nhận CK; ",""))</f>
        <v/>
      </c>
      <c r="T2196" s="24" t="n"/>
    </row>
    <row r="2197" ht="14.25" customHeight="1" s="40">
      <c r="A2197" s="24" t="n"/>
      <c r="B2197" s="29" t="n"/>
      <c r="C2197" s="28" t="n"/>
      <c r="D2197" s="22">
        <f t="array" ref="D2197">IF($C2197="","",IFERROR(INDEX(DATA_MASTER!$C$2:$C$5000,MATCH($C2197,DATA_MASTER!$D$2:$D$5000,0)),""))</f>
        <v/>
      </c>
      <c r="E2197" s="22">
        <f t="array" ref="E2197">IF($C2197="","",IFERROR(INDEX(DATA_MASTER!$I$2:$I$5000,MATCH($C2197,DATA_MASTER!$D$2:$D$5000,0)),""))</f>
        <v/>
      </c>
      <c r="F2197" s="22">
        <f t="array" ref="F2197">IF($C2197="","",IFERROR(INDEX(DATA_MASTER!$L$2:$L$5000,MATCH($C2197,DATA_MASTER!$D$2:$D$5000,0)),""))</f>
        <v/>
      </c>
      <c r="G2197" s="24" t="n"/>
      <c r="H2197" s="24" t="n"/>
      <c r="I2197" s="30" t="n"/>
      <c r="J2197" s="23">
        <f>IF(OR($H2197="",$I2197=""),"",$H2197*$I2197)</f>
        <v/>
      </c>
      <c r="K2197" s="24" t="n"/>
      <c r="L2197" s="24" t="n"/>
      <c r="M2197" s="29" t="n"/>
      <c r="N2197" s="28" t="n"/>
      <c r="O2197" s="24" t="n"/>
      <c r="P2197" s="24" t="n"/>
      <c r="Q2197" s="24" t="n"/>
      <c r="R2197" s="24" t="n"/>
      <c r="S2197" s="22">
        <f>IF(AND($A2197="",$C2197=""),"",IF($A2197="","Thiếu mã đơn; ","")&amp;IF(COUNTIF($A$2:$A2197,$A2197)&gt;1,"Trùng mã đơn; ","")&amp;IF(ISNA(MATCH($C2197,DATA_MASTER!$D$2:$D$5000,0)),"SĐT chưa đăng ký hội viên; ","")&amp;IF(AND($L2197="Đã chuyển khoản",$M2197=""),"Thiếu ngày nhận CK; ",""))</f>
        <v/>
      </c>
      <c r="T2197" s="24" t="n"/>
    </row>
    <row r="2198" ht="14.25" customHeight="1" s="40">
      <c r="A2198" s="24" t="n"/>
      <c r="B2198" s="29" t="n"/>
      <c r="C2198" s="28" t="n"/>
      <c r="D2198" s="22">
        <f t="array" ref="D2198">IF($C2198="","",IFERROR(INDEX(DATA_MASTER!$C$2:$C$5000,MATCH($C2198,DATA_MASTER!$D$2:$D$5000,0)),""))</f>
        <v/>
      </c>
      <c r="E2198" s="22">
        <f t="array" ref="E2198">IF($C2198="","",IFERROR(INDEX(DATA_MASTER!$I$2:$I$5000,MATCH($C2198,DATA_MASTER!$D$2:$D$5000,0)),""))</f>
        <v/>
      </c>
      <c r="F2198" s="22">
        <f t="array" ref="F2198">IF($C2198="","",IFERROR(INDEX(DATA_MASTER!$L$2:$L$5000,MATCH($C2198,DATA_MASTER!$D$2:$D$5000,0)),""))</f>
        <v/>
      </c>
      <c r="G2198" s="24" t="n"/>
      <c r="H2198" s="24" t="n"/>
      <c r="I2198" s="30" t="n"/>
      <c r="J2198" s="23">
        <f>IF(OR($H2198="",$I2198=""),"",$H2198*$I2198)</f>
        <v/>
      </c>
      <c r="K2198" s="24" t="n"/>
      <c r="L2198" s="24" t="n"/>
      <c r="M2198" s="29" t="n"/>
      <c r="N2198" s="28" t="n"/>
      <c r="O2198" s="24" t="n"/>
      <c r="P2198" s="24" t="n"/>
      <c r="Q2198" s="24" t="n"/>
      <c r="R2198" s="24" t="n"/>
      <c r="S2198" s="22">
        <f>IF(AND($A2198="",$C2198=""),"",IF($A2198="","Thiếu mã đơn; ","")&amp;IF(COUNTIF($A$2:$A2198,$A2198)&gt;1,"Trùng mã đơn; ","")&amp;IF(ISNA(MATCH($C2198,DATA_MASTER!$D$2:$D$5000,0)),"SĐT chưa đăng ký hội viên; ","")&amp;IF(AND($L2198="Đã chuyển khoản",$M2198=""),"Thiếu ngày nhận CK; ",""))</f>
        <v/>
      </c>
      <c r="T2198" s="24" t="n"/>
    </row>
    <row r="2199" ht="14.25" customHeight="1" s="40">
      <c r="A2199" s="24" t="n"/>
      <c r="B2199" s="29" t="n"/>
      <c r="C2199" s="28" t="n"/>
      <c r="D2199" s="22">
        <f t="array" ref="D2199">IF($C2199="","",IFERROR(INDEX(DATA_MASTER!$C$2:$C$5000,MATCH($C2199,DATA_MASTER!$D$2:$D$5000,0)),""))</f>
        <v/>
      </c>
      <c r="E2199" s="22">
        <f t="array" ref="E2199">IF($C2199="","",IFERROR(INDEX(DATA_MASTER!$I$2:$I$5000,MATCH($C2199,DATA_MASTER!$D$2:$D$5000,0)),""))</f>
        <v/>
      </c>
      <c r="F2199" s="22">
        <f t="array" ref="F2199">IF($C2199="","",IFERROR(INDEX(DATA_MASTER!$L$2:$L$5000,MATCH($C2199,DATA_MASTER!$D$2:$D$5000,0)),""))</f>
        <v/>
      </c>
      <c r="G2199" s="24" t="n"/>
      <c r="H2199" s="24" t="n"/>
      <c r="I2199" s="30" t="n"/>
      <c r="J2199" s="23">
        <f>IF(OR($H2199="",$I2199=""),"",$H2199*$I2199)</f>
        <v/>
      </c>
      <c r="K2199" s="24" t="n"/>
      <c r="L2199" s="24" t="n"/>
      <c r="M2199" s="29" t="n"/>
      <c r="N2199" s="28" t="n"/>
      <c r="O2199" s="24" t="n"/>
      <c r="P2199" s="24" t="n"/>
      <c r="Q2199" s="24" t="n"/>
      <c r="R2199" s="24" t="n"/>
      <c r="S2199" s="22">
        <f>IF(AND($A2199="",$C2199=""),"",IF($A2199="","Thiếu mã đơn; ","")&amp;IF(COUNTIF($A$2:$A2199,$A2199)&gt;1,"Trùng mã đơn; ","")&amp;IF(ISNA(MATCH($C2199,DATA_MASTER!$D$2:$D$5000,0)),"SĐT chưa đăng ký hội viên; ","")&amp;IF(AND($L2199="Đã chuyển khoản",$M2199=""),"Thiếu ngày nhận CK; ",""))</f>
        <v/>
      </c>
      <c r="T2199" s="24" t="n"/>
    </row>
    <row r="2200" ht="14.25" customHeight="1" s="40">
      <c r="A2200" s="24" t="n"/>
      <c r="B2200" s="29" t="n"/>
      <c r="C2200" s="28" t="n"/>
      <c r="D2200" s="22">
        <f t="array" ref="D2200">IF($C2200="","",IFERROR(INDEX(DATA_MASTER!$C$2:$C$5000,MATCH($C2200,DATA_MASTER!$D$2:$D$5000,0)),""))</f>
        <v/>
      </c>
      <c r="E2200" s="22">
        <f t="array" ref="E2200">IF($C2200="","",IFERROR(INDEX(DATA_MASTER!$I$2:$I$5000,MATCH($C2200,DATA_MASTER!$D$2:$D$5000,0)),""))</f>
        <v/>
      </c>
      <c r="F2200" s="22">
        <f t="array" ref="F2200">IF($C2200="","",IFERROR(INDEX(DATA_MASTER!$L$2:$L$5000,MATCH($C2200,DATA_MASTER!$D$2:$D$5000,0)),""))</f>
        <v/>
      </c>
      <c r="G2200" s="24" t="n"/>
      <c r="H2200" s="24" t="n"/>
      <c r="I2200" s="30" t="n"/>
      <c r="J2200" s="23">
        <f>IF(OR($H2200="",$I2200=""),"",$H2200*$I2200)</f>
        <v/>
      </c>
      <c r="K2200" s="24" t="n"/>
      <c r="L2200" s="24" t="n"/>
      <c r="M2200" s="29" t="n"/>
      <c r="N2200" s="28" t="n"/>
      <c r="O2200" s="24" t="n"/>
      <c r="P2200" s="24" t="n"/>
      <c r="Q2200" s="24" t="n"/>
      <c r="R2200" s="24" t="n"/>
      <c r="S2200" s="22">
        <f>IF(AND($A2200="",$C2200=""),"",IF($A2200="","Thiếu mã đơn; ","")&amp;IF(COUNTIF($A$2:$A2200,$A2200)&gt;1,"Trùng mã đơn; ","")&amp;IF(ISNA(MATCH($C2200,DATA_MASTER!$D$2:$D$5000,0)),"SĐT chưa đăng ký hội viên; ","")&amp;IF(AND($L2200="Đã chuyển khoản",$M2200=""),"Thiếu ngày nhận CK; ",""))</f>
        <v/>
      </c>
      <c r="T2200" s="24" t="n"/>
    </row>
    <row r="2201" ht="14.25" customHeight="1" s="40">
      <c r="A2201" s="24" t="n"/>
      <c r="B2201" s="29" t="n"/>
      <c r="C2201" s="28" t="n"/>
      <c r="D2201" s="22">
        <f t="array" ref="D2201">IF($C2201="","",IFERROR(INDEX(DATA_MASTER!$C$2:$C$5000,MATCH($C2201,DATA_MASTER!$D$2:$D$5000,0)),""))</f>
        <v/>
      </c>
      <c r="E2201" s="22">
        <f t="array" ref="E2201">IF($C2201="","",IFERROR(INDEX(DATA_MASTER!$I$2:$I$5000,MATCH($C2201,DATA_MASTER!$D$2:$D$5000,0)),""))</f>
        <v/>
      </c>
      <c r="F2201" s="22">
        <f t="array" ref="F2201">IF($C2201="","",IFERROR(INDEX(DATA_MASTER!$L$2:$L$5000,MATCH($C2201,DATA_MASTER!$D$2:$D$5000,0)),""))</f>
        <v/>
      </c>
      <c r="G2201" s="24" t="n"/>
      <c r="H2201" s="24" t="n"/>
      <c r="I2201" s="30" t="n"/>
      <c r="J2201" s="23">
        <f>IF(OR($H2201="",$I2201=""),"",$H2201*$I2201)</f>
        <v/>
      </c>
      <c r="K2201" s="24" t="n"/>
      <c r="L2201" s="24" t="n"/>
      <c r="M2201" s="29" t="n"/>
      <c r="N2201" s="28" t="n"/>
      <c r="O2201" s="24" t="n"/>
      <c r="P2201" s="24" t="n"/>
      <c r="Q2201" s="24" t="n"/>
      <c r="R2201" s="24" t="n"/>
      <c r="S2201" s="22">
        <f>IF(AND($A2201="",$C2201=""),"",IF($A2201="","Thiếu mã đơn; ","")&amp;IF(COUNTIF($A$2:$A2201,$A2201)&gt;1,"Trùng mã đơn; ","")&amp;IF(ISNA(MATCH($C2201,DATA_MASTER!$D$2:$D$5000,0)),"SĐT chưa đăng ký hội viên; ","")&amp;IF(AND($L2201="Đã chuyển khoản",$M2201=""),"Thiếu ngày nhận CK; ",""))</f>
        <v/>
      </c>
      <c r="T2201" s="24" t="n"/>
    </row>
    <row r="2202" ht="14.25" customHeight="1" s="40">
      <c r="A2202" s="24" t="n"/>
      <c r="B2202" s="29" t="n"/>
      <c r="C2202" s="28" t="n"/>
      <c r="D2202" s="22">
        <f t="array" ref="D2202">IF($C2202="","",IFERROR(INDEX(DATA_MASTER!$C$2:$C$5000,MATCH($C2202,DATA_MASTER!$D$2:$D$5000,0)),""))</f>
        <v/>
      </c>
      <c r="E2202" s="22">
        <f t="array" ref="E2202">IF($C2202="","",IFERROR(INDEX(DATA_MASTER!$I$2:$I$5000,MATCH($C2202,DATA_MASTER!$D$2:$D$5000,0)),""))</f>
        <v/>
      </c>
      <c r="F2202" s="22">
        <f t="array" ref="F2202">IF($C2202="","",IFERROR(INDEX(DATA_MASTER!$L$2:$L$5000,MATCH($C2202,DATA_MASTER!$D$2:$D$5000,0)),""))</f>
        <v/>
      </c>
      <c r="G2202" s="24" t="n"/>
      <c r="H2202" s="24" t="n"/>
      <c r="I2202" s="30" t="n"/>
      <c r="J2202" s="23">
        <f>IF(OR($H2202="",$I2202=""),"",$H2202*$I2202)</f>
        <v/>
      </c>
      <c r="K2202" s="24" t="n"/>
      <c r="L2202" s="24" t="n"/>
      <c r="M2202" s="29" t="n"/>
      <c r="N2202" s="28" t="n"/>
      <c r="O2202" s="24" t="n"/>
      <c r="P2202" s="24" t="n"/>
      <c r="Q2202" s="24" t="n"/>
      <c r="R2202" s="24" t="n"/>
      <c r="S2202" s="22">
        <f>IF(AND($A2202="",$C2202=""),"",IF($A2202="","Thiếu mã đơn; ","")&amp;IF(COUNTIF($A$2:$A2202,$A2202)&gt;1,"Trùng mã đơn; ","")&amp;IF(ISNA(MATCH($C2202,DATA_MASTER!$D$2:$D$5000,0)),"SĐT chưa đăng ký hội viên; ","")&amp;IF(AND($L2202="Đã chuyển khoản",$M2202=""),"Thiếu ngày nhận CK; ",""))</f>
        <v/>
      </c>
      <c r="T2202" s="24" t="n"/>
    </row>
    <row r="2203" ht="14.25" customHeight="1" s="40">
      <c r="A2203" s="24" t="n"/>
      <c r="B2203" s="29" t="n"/>
      <c r="C2203" s="28" t="n"/>
      <c r="D2203" s="22">
        <f t="array" ref="D2203">IF($C2203="","",IFERROR(INDEX(DATA_MASTER!$C$2:$C$5000,MATCH($C2203,DATA_MASTER!$D$2:$D$5000,0)),""))</f>
        <v/>
      </c>
      <c r="E2203" s="22">
        <f t="array" ref="E2203">IF($C2203="","",IFERROR(INDEX(DATA_MASTER!$I$2:$I$5000,MATCH($C2203,DATA_MASTER!$D$2:$D$5000,0)),""))</f>
        <v/>
      </c>
      <c r="F2203" s="22">
        <f t="array" ref="F2203">IF($C2203="","",IFERROR(INDEX(DATA_MASTER!$L$2:$L$5000,MATCH($C2203,DATA_MASTER!$D$2:$D$5000,0)),""))</f>
        <v/>
      </c>
      <c r="G2203" s="24" t="n"/>
      <c r="H2203" s="24" t="n"/>
      <c r="I2203" s="30" t="n"/>
      <c r="J2203" s="23">
        <f>IF(OR($H2203="",$I2203=""),"",$H2203*$I2203)</f>
        <v/>
      </c>
      <c r="K2203" s="24" t="n"/>
      <c r="L2203" s="24" t="n"/>
      <c r="M2203" s="29" t="n"/>
      <c r="N2203" s="28" t="n"/>
      <c r="O2203" s="24" t="n"/>
      <c r="P2203" s="24" t="n"/>
      <c r="Q2203" s="24" t="n"/>
      <c r="R2203" s="24" t="n"/>
      <c r="S2203" s="22">
        <f>IF(AND($A2203="",$C2203=""),"",IF($A2203="","Thiếu mã đơn; ","")&amp;IF(COUNTIF($A$2:$A2203,$A2203)&gt;1,"Trùng mã đơn; ","")&amp;IF(ISNA(MATCH($C2203,DATA_MASTER!$D$2:$D$5000,0)),"SĐT chưa đăng ký hội viên; ","")&amp;IF(AND($L2203="Đã chuyển khoản",$M2203=""),"Thiếu ngày nhận CK; ",""))</f>
        <v/>
      </c>
      <c r="T2203" s="24" t="n"/>
    </row>
    <row r="2204" ht="14.25" customHeight="1" s="40">
      <c r="A2204" s="24" t="n"/>
      <c r="B2204" s="29" t="n"/>
      <c r="C2204" s="28" t="n"/>
      <c r="D2204" s="22">
        <f t="array" ref="D2204">IF($C2204="","",IFERROR(INDEX(DATA_MASTER!$C$2:$C$5000,MATCH($C2204,DATA_MASTER!$D$2:$D$5000,0)),""))</f>
        <v/>
      </c>
      <c r="E2204" s="22">
        <f t="array" ref="E2204">IF($C2204="","",IFERROR(INDEX(DATA_MASTER!$I$2:$I$5000,MATCH($C2204,DATA_MASTER!$D$2:$D$5000,0)),""))</f>
        <v/>
      </c>
      <c r="F2204" s="22">
        <f t="array" ref="F2204">IF($C2204="","",IFERROR(INDEX(DATA_MASTER!$L$2:$L$5000,MATCH($C2204,DATA_MASTER!$D$2:$D$5000,0)),""))</f>
        <v/>
      </c>
      <c r="G2204" s="24" t="n"/>
      <c r="H2204" s="24" t="n"/>
      <c r="I2204" s="30" t="n"/>
      <c r="J2204" s="23">
        <f>IF(OR($H2204="",$I2204=""),"",$H2204*$I2204)</f>
        <v/>
      </c>
      <c r="K2204" s="24" t="n"/>
      <c r="L2204" s="24" t="n"/>
      <c r="M2204" s="29" t="n"/>
      <c r="N2204" s="28" t="n"/>
      <c r="O2204" s="24" t="n"/>
      <c r="P2204" s="24" t="n"/>
      <c r="Q2204" s="24" t="n"/>
      <c r="R2204" s="24" t="n"/>
      <c r="S2204" s="22">
        <f>IF(AND($A2204="",$C2204=""),"",IF($A2204="","Thiếu mã đơn; ","")&amp;IF(COUNTIF($A$2:$A2204,$A2204)&gt;1,"Trùng mã đơn; ","")&amp;IF(ISNA(MATCH($C2204,DATA_MASTER!$D$2:$D$5000,0)),"SĐT chưa đăng ký hội viên; ","")&amp;IF(AND($L2204="Đã chuyển khoản",$M2204=""),"Thiếu ngày nhận CK; ",""))</f>
        <v/>
      </c>
      <c r="T2204" s="24" t="n"/>
    </row>
    <row r="2205" ht="14.25" customHeight="1" s="40">
      <c r="A2205" s="24" t="n"/>
      <c r="B2205" s="29" t="n"/>
      <c r="C2205" s="28" t="n"/>
      <c r="D2205" s="22">
        <f t="array" ref="D2205">IF($C2205="","",IFERROR(INDEX(DATA_MASTER!$C$2:$C$5000,MATCH($C2205,DATA_MASTER!$D$2:$D$5000,0)),""))</f>
        <v/>
      </c>
      <c r="E2205" s="22">
        <f t="array" ref="E2205">IF($C2205="","",IFERROR(INDEX(DATA_MASTER!$I$2:$I$5000,MATCH($C2205,DATA_MASTER!$D$2:$D$5000,0)),""))</f>
        <v/>
      </c>
      <c r="F2205" s="22">
        <f t="array" ref="F2205">IF($C2205="","",IFERROR(INDEX(DATA_MASTER!$L$2:$L$5000,MATCH($C2205,DATA_MASTER!$D$2:$D$5000,0)),""))</f>
        <v/>
      </c>
      <c r="G2205" s="24" t="n"/>
      <c r="H2205" s="24" t="n"/>
      <c r="I2205" s="30" t="n"/>
      <c r="J2205" s="23">
        <f>IF(OR($H2205="",$I2205=""),"",$H2205*$I2205)</f>
        <v/>
      </c>
      <c r="K2205" s="24" t="n"/>
      <c r="L2205" s="24" t="n"/>
      <c r="M2205" s="29" t="n"/>
      <c r="N2205" s="28" t="n"/>
      <c r="O2205" s="24" t="n"/>
      <c r="P2205" s="24" t="n"/>
      <c r="Q2205" s="24" t="n"/>
      <c r="R2205" s="24" t="n"/>
      <c r="S2205" s="22">
        <f>IF(AND($A2205="",$C2205=""),"",IF($A2205="","Thiếu mã đơn; ","")&amp;IF(COUNTIF($A$2:$A2205,$A2205)&gt;1,"Trùng mã đơn; ","")&amp;IF(ISNA(MATCH($C2205,DATA_MASTER!$D$2:$D$5000,0)),"SĐT chưa đăng ký hội viên; ","")&amp;IF(AND($L2205="Đã chuyển khoản",$M2205=""),"Thiếu ngày nhận CK; ",""))</f>
        <v/>
      </c>
      <c r="T2205" s="24" t="n"/>
    </row>
    <row r="2206" ht="14.25" customHeight="1" s="40">
      <c r="A2206" s="24" t="n"/>
      <c r="B2206" s="29" t="n"/>
      <c r="C2206" s="28" t="n"/>
      <c r="D2206" s="22">
        <f t="array" ref="D2206">IF($C2206="","",IFERROR(INDEX(DATA_MASTER!$C$2:$C$5000,MATCH($C2206,DATA_MASTER!$D$2:$D$5000,0)),""))</f>
        <v/>
      </c>
      <c r="E2206" s="22">
        <f t="array" ref="E2206">IF($C2206="","",IFERROR(INDEX(DATA_MASTER!$I$2:$I$5000,MATCH($C2206,DATA_MASTER!$D$2:$D$5000,0)),""))</f>
        <v/>
      </c>
      <c r="F2206" s="22">
        <f t="array" ref="F2206">IF($C2206="","",IFERROR(INDEX(DATA_MASTER!$L$2:$L$5000,MATCH($C2206,DATA_MASTER!$D$2:$D$5000,0)),""))</f>
        <v/>
      </c>
      <c r="G2206" s="24" t="n"/>
      <c r="H2206" s="24" t="n"/>
      <c r="I2206" s="30" t="n"/>
      <c r="J2206" s="23">
        <f>IF(OR($H2206="",$I2206=""),"",$H2206*$I2206)</f>
        <v/>
      </c>
      <c r="K2206" s="24" t="n"/>
      <c r="L2206" s="24" t="n"/>
      <c r="M2206" s="29" t="n"/>
      <c r="N2206" s="28" t="n"/>
      <c r="O2206" s="24" t="n"/>
      <c r="P2206" s="24" t="n"/>
      <c r="Q2206" s="24" t="n"/>
      <c r="R2206" s="24" t="n"/>
      <c r="S2206" s="22">
        <f>IF(AND($A2206="",$C2206=""),"",IF($A2206="","Thiếu mã đơn; ","")&amp;IF(COUNTIF($A$2:$A2206,$A2206)&gt;1,"Trùng mã đơn; ","")&amp;IF(ISNA(MATCH($C2206,DATA_MASTER!$D$2:$D$5000,0)),"SĐT chưa đăng ký hội viên; ","")&amp;IF(AND($L2206="Đã chuyển khoản",$M2206=""),"Thiếu ngày nhận CK; ",""))</f>
        <v/>
      </c>
      <c r="T2206" s="24" t="n"/>
    </row>
    <row r="2207" ht="14.25" customHeight="1" s="40">
      <c r="A2207" s="24" t="n"/>
      <c r="B2207" s="29" t="n"/>
      <c r="C2207" s="28" t="n"/>
      <c r="D2207" s="22">
        <f t="array" ref="D2207">IF($C2207="","",IFERROR(INDEX(DATA_MASTER!$C$2:$C$5000,MATCH($C2207,DATA_MASTER!$D$2:$D$5000,0)),""))</f>
        <v/>
      </c>
      <c r="E2207" s="22">
        <f t="array" ref="E2207">IF($C2207="","",IFERROR(INDEX(DATA_MASTER!$I$2:$I$5000,MATCH($C2207,DATA_MASTER!$D$2:$D$5000,0)),""))</f>
        <v/>
      </c>
      <c r="F2207" s="22">
        <f t="array" ref="F2207">IF($C2207="","",IFERROR(INDEX(DATA_MASTER!$L$2:$L$5000,MATCH($C2207,DATA_MASTER!$D$2:$D$5000,0)),""))</f>
        <v/>
      </c>
      <c r="G2207" s="24" t="n"/>
      <c r="H2207" s="24" t="n"/>
      <c r="I2207" s="30" t="n"/>
      <c r="J2207" s="23">
        <f>IF(OR($H2207="",$I2207=""),"",$H2207*$I2207)</f>
        <v/>
      </c>
      <c r="K2207" s="24" t="n"/>
      <c r="L2207" s="24" t="n"/>
      <c r="M2207" s="29" t="n"/>
      <c r="N2207" s="28" t="n"/>
      <c r="O2207" s="24" t="n"/>
      <c r="P2207" s="24" t="n"/>
      <c r="Q2207" s="24" t="n"/>
      <c r="R2207" s="24" t="n"/>
      <c r="S2207" s="22">
        <f>IF(AND($A2207="",$C2207=""),"",IF($A2207="","Thiếu mã đơn; ","")&amp;IF(COUNTIF($A$2:$A2207,$A2207)&gt;1,"Trùng mã đơn; ","")&amp;IF(ISNA(MATCH($C2207,DATA_MASTER!$D$2:$D$5000,0)),"SĐT chưa đăng ký hội viên; ","")&amp;IF(AND($L2207="Đã chuyển khoản",$M2207=""),"Thiếu ngày nhận CK; ",""))</f>
        <v/>
      </c>
      <c r="T2207" s="24" t="n"/>
    </row>
    <row r="2208" ht="14.25" customHeight="1" s="40">
      <c r="A2208" s="24" t="n"/>
      <c r="B2208" s="29" t="n"/>
      <c r="C2208" s="28" t="n"/>
      <c r="D2208" s="22">
        <f t="array" ref="D2208">IF($C2208="","",IFERROR(INDEX(DATA_MASTER!$C$2:$C$5000,MATCH($C2208,DATA_MASTER!$D$2:$D$5000,0)),""))</f>
        <v/>
      </c>
      <c r="E2208" s="22">
        <f t="array" ref="E2208">IF($C2208="","",IFERROR(INDEX(DATA_MASTER!$I$2:$I$5000,MATCH($C2208,DATA_MASTER!$D$2:$D$5000,0)),""))</f>
        <v/>
      </c>
      <c r="F2208" s="22">
        <f t="array" ref="F2208">IF($C2208="","",IFERROR(INDEX(DATA_MASTER!$L$2:$L$5000,MATCH($C2208,DATA_MASTER!$D$2:$D$5000,0)),""))</f>
        <v/>
      </c>
      <c r="G2208" s="24" t="n"/>
      <c r="H2208" s="24" t="n"/>
      <c r="I2208" s="30" t="n"/>
      <c r="J2208" s="23">
        <f>IF(OR($H2208="",$I2208=""),"",$H2208*$I2208)</f>
        <v/>
      </c>
      <c r="K2208" s="24" t="n"/>
      <c r="L2208" s="24" t="n"/>
      <c r="M2208" s="29" t="n"/>
      <c r="N2208" s="28" t="n"/>
      <c r="O2208" s="24" t="n"/>
      <c r="P2208" s="24" t="n"/>
      <c r="Q2208" s="24" t="n"/>
      <c r="R2208" s="24" t="n"/>
      <c r="S2208" s="22">
        <f>IF(AND($A2208="",$C2208=""),"",IF($A2208="","Thiếu mã đơn; ","")&amp;IF(COUNTIF($A$2:$A2208,$A2208)&gt;1,"Trùng mã đơn; ","")&amp;IF(ISNA(MATCH($C2208,DATA_MASTER!$D$2:$D$5000,0)),"SĐT chưa đăng ký hội viên; ","")&amp;IF(AND($L2208="Đã chuyển khoản",$M2208=""),"Thiếu ngày nhận CK; ",""))</f>
        <v/>
      </c>
      <c r="T2208" s="24" t="n"/>
    </row>
    <row r="2209" ht="14.25" customHeight="1" s="40">
      <c r="A2209" s="24" t="n"/>
      <c r="B2209" s="29" t="n"/>
      <c r="C2209" s="28" t="n"/>
      <c r="D2209" s="22">
        <f t="array" ref="D2209">IF($C2209="","",IFERROR(INDEX(DATA_MASTER!$C$2:$C$5000,MATCH($C2209,DATA_MASTER!$D$2:$D$5000,0)),""))</f>
        <v/>
      </c>
      <c r="E2209" s="22">
        <f t="array" ref="E2209">IF($C2209="","",IFERROR(INDEX(DATA_MASTER!$I$2:$I$5000,MATCH($C2209,DATA_MASTER!$D$2:$D$5000,0)),""))</f>
        <v/>
      </c>
      <c r="F2209" s="22">
        <f t="array" ref="F2209">IF($C2209="","",IFERROR(INDEX(DATA_MASTER!$L$2:$L$5000,MATCH($C2209,DATA_MASTER!$D$2:$D$5000,0)),""))</f>
        <v/>
      </c>
      <c r="G2209" s="24" t="n"/>
      <c r="H2209" s="24" t="n"/>
      <c r="I2209" s="30" t="n"/>
      <c r="J2209" s="23">
        <f>IF(OR($H2209="",$I2209=""),"",$H2209*$I2209)</f>
        <v/>
      </c>
      <c r="K2209" s="24" t="n"/>
      <c r="L2209" s="24" t="n"/>
      <c r="M2209" s="29" t="n"/>
      <c r="N2209" s="28" t="n"/>
      <c r="O2209" s="24" t="n"/>
      <c r="P2209" s="24" t="n"/>
      <c r="Q2209" s="24" t="n"/>
      <c r="R2209" s="24" t="n"/>
      <c r="S2209" s="22">
        <f>IF(AND($A2209="",$C2209=""),"",IF($A2209="","Thiếu mã đơn; ","")&amp;IF(COUNTIF($A$2:$A2209,$A2209)&gt;1,"Trùng mã đơn; ","")&amp;IF(ISNA(MATCH($C2209,DATA_MASTER!$D$2:$D$5000,0)),"SĐT chưa đăng ký hội viên; ","")&amp;IF(AND($L2209="Đã chuyển khoản",$M2209=""),"Thiếu ngày nhận CK; ",""))</f>
        <v/>
      </c>
      <c r="T2209" s="24" t="n"/>
    </row>
    <row r="2210" ht="14.25" customHeight="1" s="40">
      <c r="A2210" s="24" t="n"/>
      <c r="B2210" s="29" t="n"/>
      <c r="C2210" s="28" t="n"/>
      <c r="D2210" s="22">
        <f t="array" ref="D2210">IF($C2210="","",IFERROR(INDEX(DATA_MASTER!$C$2:$C$5000,MATCH($C2210,DATA_MASTER!$D$2:$D$5000,0)),""))</f>
        <v/>
      </c>
      <c r="E2210" s="22">
        <f t="array" ref="E2210">IF($C2210="","",IFERROR(INDEX(DATA_MASTER!$I$2:$I$5000,MATCH($C2210,DATA_MASTER!$D$2:$D$5000,0)),""))</f>
        <v/>
      </c>
      <c r="F2210" s="22">
        <f t="array" ref="F2210">IF($C2210="","",IFERROR(INDEX(DATA_MASTER!$L$2:$L$5000,MATCH($C2210,DATA_MASTER!$D$2:$D$5000,0)),""))</f>
        <v/>
      </c>
      <c r="G2210" s="24" t="n"/>
      <c r="H2210" s="24" t="n"/>
      <c r="I2210" s="30" t="n"/>
      <c r="J2210" s="23">
        <f>IF(OR($H2210="",$I2210=""),"",$H2210*$I2210)</f>
        <v/>
      </c>
      <c r="K2210" s="24" t="n"/>
      <c r="L2210" s="24" t="n"/>
      <c r="M2210" s="29" t="n"/>
      <c r="N2210" s="28" t="n"/>
      <c r="O2210" s="24" t="n"/>
      <c r="P2210" s="24" t="n"/>
      <c r="Q2210" s="24" t="n"/>
      <c r="R2210" s="24" t="n"/>
      <c r="S2210" s="22">
        <f>IF(AND($A2210="",$C2210=""),"",IF($A2210="","Thiếu mã đơn; ","")&amp;IF(COUNTIF($A$2:$A2210,$A2210)&gt;1,"Trùng mã đơn; ","")&amp;IF(ISNA(MATCH($C2210,DATA_MASTER!$D$2:$D$5000,0)),"SĐT chưa đăng ký hội viên; ","")&amp;IF(AND($L2210="Đã chuyển khoản",$M2210=""),"Thiếu ngày nhận CK; ",""))</f>
        <v/>
      </c>
      <c r="T2210" s="24" t="n"/>
    </row>
    <row r="2211" ht="14.25" customHeight="1" s="40">
      <c r="A2211" s="24" t="n"/>
      <c r="B2211" s="29" t="n"/>
      <c r="C2211" s="28" t="n"/>
      <c r="D2211" s="22">
        <f t="array" ref="D2211">IF($C2211="","",IFERROR(INDEX(DATA_MASTER!$C$2:$C$5000,MATCH($C2211,DATA_MASTER!$D$2:$D$5000,0)),""))</f>
        <v/>
      </c>
      <c r="E2211" s="22">
        <f t="array" ref="E2211">IF($C2211="","",IFERROR(INDEX(DATA_MASTER!$I$2:$I$5000,MATCH($C2211,DATA_MASTER!$D$2:$D$5000,0)),""))</f>
        <v/>
      </c>
      <c r="F2211" s="22">
        <f t="array" ref="F2211">IF($C2211="","",IFERROR(INDEX(DATA_MASTER!$L$2:$L$5000,MATCH($C2211,DATA_MASTER!$D$2:$D$5000,0)),""))</f>
        <v/>
      </c>
      <c r="G2211" s="24" t="n"/>
      <c r="H2211" s="24" t="n"/>
      <c r="I2211" s="30" t="n"/>
      <c r="J2211" s="23">
        <f>IF(OR($H2211="",$I2211=""),"",$H2211*$I2211)</f>
        <v/>
      </c>
      <c r="K2211" s="24" t="n"/>
      <c r="L2211" s="24" t="n"/>
      <c r="M2211" s="29" t="n"/>
      <c r="N2211" s="28" t="n"/>
      <c r="O2211" s="24" t="n"/>
      <c r="P2211" s="24" t="n"/>
      <c r="Q2211" s="24" t="n"/>
      <c r="R2211" s="24" t="n"/>
      <c r="S2211" s="22">
        <f>IF(AND($A2211="",$C2211=""),"",IF($A2211="","Thiếu mã đơn; ","")&amp;IF(COUNTIF($A$2:$A2211,$A2211)&gt;1,"Trùng mã đơn; ","")&amp;IF(ISNA(MATCH($C2211,DATA_MASTER!$D$2:$D$5000,0)),"SĐT chưa đăng ký hội viên; ","")&amp;IF(AND($L2211="Đã chuyển khoản",$M2211=""),"Thiếu ngày nhận CK; ",""))</f>
        <v/>
      </c>
      <c r="T2211" s="24" t="n"/>
    </row>
    <row r="2212" ht="14.25" customHeight="1" s="40">
      <c r="A2212" s="24" t="n"/>
      <c r="B2212" s="29" t="n"/>
      <c r="C2212" s="28" t="n"/>
      <c r="D2212" s="22">
        <f t="array" ref="D2212">IF($C2212="","",IFERROR(INDEX(DATA_MASTER!$C$2:$C$5000,MATCH($C2212,DATA_MASTER!$D$2:$D$5000,0)),""))</f>
        <v/>
      </c>
      <c r="E2212" s="22">
        <f t="array" ref="E2212">IF($C2212="","",IFERROR(INDEX(DATA_MASTER!$I$2:$I$5000,MATCH($C2212,DATA_MASTER!$D$2:$D$5000,0)),""))</f>
        <v/>
      </c>
      <c r="F2212" s="22">
        <f t="array" ref="F2212">IF($C2212="","",IFERROR(INDEX(DATA_MASTER!$L$2:$L$5000,MATCH($C2212,DATA_MASTER!$D$2:$D$5000,0)),""))</f>
        <v/>
      </c>
      <c r="G2212" s="24" t="n"/>
      <c r="H2212" s="24" t="n"/>
      <c r="I2212" s="30" t="n"/>
      <c r="J2212" s="23">
        <f>IF(OR($H2212="",$I2212=""),"",$H2212*$I2212)</f>
        <v/>
      </c>
      <c r="K2212" s="24" t="n"/>
      <c r="L2212" s="24" t="n"/>
      <c r="M2212" s="29" t="n"/>
      <c r="N2212" s="28" t="n"/>
      <c r="O2212" s="24" t="n"/>
      <c r="P2212" s="24" t="n"/>
      <c r="Q2212" s="24" t="n"/>
      <c r="R2212" s="24" t="n"/>
      <c r="S2212" s="22">
        <f>IF(AND($A2212="",$C2212=""),"",IF($A2212="","Thiếu mã đơn; ","")&amp;IF(COUNTIF($A$2:$A2212,$A2212)&gt;1,"Trùng mã đơn; ","")&amp;IF(ISNA(MATCH($C2212,DATA_MASTER!$D$2:$D$5000,0)),"SĐT chưa đăng ký hội viên; ","")&amp;IF(AND($L2212="Đã chuyển khoản",$M2212=""),"Thiếu ngày nhận CK; ",""))</f>
        <v/>
      </c>
      <c r="T2212" s="24" t="n"/>
    </row>
    <row r="2213" ht="14.25" customHeight="1" s="40">
      <c r="A2213" s="24" t="n"/>
      <c r="B2213" s="29" t="n"/>
      <c r="C2213" s="28" t="n"/>
      <c r="D2213" s="22">
        <f t="array" ref="D2213">IF($C2213="","",IFERROR(INDEX(DATA_MASTER!$C$2:$C$5000,MATCH($C2213,DATA_MASTER!$D$2:$D$5000,0)),""))</f>
        <v/>
      </c>
      <c r="E2213" s="22">
        <f t="array" ref="E2213">IF($C2213="","",IFERROR(INDEX(DATA_MASTER!$I$2:$I$5000,MATCH($C2213,DATA_MASTER!$D$2:$D$5000,0)),""))</f>
        <v/>
      </c>
      <c r="F2213" s="22">
        <f t="array" ref="F2213">IF($C2213="","",IFERROR(INDEX(DATA_MASTER!$L$2:$L$5000,MATCH($C2213,DATA_MASTER!$D$2:$D$5000,0)),""))</f>
        <v/>
      </c>
      <c r="G2213" s="24" t="n"/>
      <c r="H2213" s="24" t="n"/>
      <c r="I2213" s="30" t="n"/>
      <c r="J2213" s="23">
        <f>IF(OR($H2213="",$I2213=""),"",$H2213*$I2213)</f>
        <v/>
      </c>
      <c r="K2213" s="24" t="n"/>
      <c r="L2213" s="24" t="n"/>
      <c r="M2213" s="29" t="n"/>
      <c r="N2213" s="28" t="n"/>
      <c r="O2213" s="24" t="n"/>
      <c r="P2213" s="24" t="n"/>
      <c r="Q2213" s="24" t="n"/>
      <c r="R2213" s="24" t="n"/>
      <c r="S2213" s="22">
        <f>IF(AND($A2213="",$C2213=""),"",IF($A2213="","Thiếu mã đơn; ","")&amp;IF(COUNTIF($A$2:$A2213,$A2213)&gt;1,"Trùng mã đơn; ","")&amp;IF(ISNA(MATCH($C2213,DATA_MASTER!$D$2:$D$5000,0)),"SĐT chưa đăng ký hội viên; ","")&amp;IF(AND($L2213="Đã chuyển khoản",$M2213=""),"Thiếu ngày nhận CK; ",""))</f>
        <v/>
      </c>
      <c r="T2213" s="24" t="n"/>
    </row>
    <row r="2214" ht="14.25" customHeight="1" s="40">
      <c r="A2214" s="24" t="n"/>
      <c r="B2214" s="29" t="n"/>
      <c r="C2214" s="28" t="n"/>
      <c r="D2214" s="22">
        <f t="array" ref="D2214">IF($C2214="","",IFERROR(INDEX(DATA_MASTER!$C$2:$C$5000,MATCH($C2214,DATA_MASTER!$D$2:$D$5000,0)),""))</f>
        <v/>
      </c>
      <c r="E2214" s="22">
        <f t="array" ref="E2214">IF($C2214="","",IFERROR(INDEX(DATA_MASTER!$I$2:$I$5000,MATCH($C2214,DATA_MASTER!$D$2:$D$5000,0)),""))</f>
        <v/>
      </c>
      <c r="F2214" s="22">
        <f t="array" ref="F2214">IF($C2214="","",IFERROR(INDEX(DATA_MASTER!$L$2:$L$5000,MATCH($C2214,DATA_MASTER!$D$2:$D$5000,0)),""))</f>
        <v/>
      </c>
      <c r="G2214" s="24" t="n"/>
      <c r="H2214" s="24" t="n"/>
      <c r="I2214" s="30" t="n"/>
      <c r="J2214" s="23">
        <f>IF(OR($H2214="",$I2214=""),"",$H2214*$I2214)</f>
        <v/>
      </c>
      <c r="K2214" s="24" t="n"/>
      <c r="L2214" s="24" t="n"/>
      <c r="M2214" s="29" t="n"/>
      <c r="N2214" s="28" t="n"/>
      <c r="O2214" s="24" t="n"/>
      <c r="P2214" s="24" t="n"/>
      <c r="Q2214" s="24" t="n"/>
      <c r="R2214" s="24" t="n"/>
      <c r="S2214" s="22">
        <f>IF(AND($A2214="",$C2214=""),"",IF($A2214="","Thiếu mã đơn; ","")&amp;IF(COUNTIF($A$2:$A2214,$A2214)&gt;1,"Trùng mã đơn; ","")&amp;IF(ISNA(MATCH($C2214,DATA_MASTER!$D$2:$D$5000,0)),"SĐT chưa đăng ký hội viên; ","")&amp;IF(AND($L2214="Đã chuyển khoản",$M2214=""),"Thiếu ngày nhận CK; ",""))</f>
        <v/>
      </c>
      <c r="T2214" s="24" t="n"/>
    </row>
    <row r="2215" ht="14.25" customHeight="1" s="40">
      <c r="A2215" s="24" t="n"/>
      <c r="B2215" s="29" t="n"/>
      <c r="C2215" s="28" t="n"/>
      <c r="D2215" s="22">
        <f t="array" ref="D2215">IF($C2215="","",IFERROR(INDEX(DATA_MASTER!$C$2:$C$5000,MATCH($C2215,DATA_MASTER!$D$2:$D$5000,0)),""))</f>
        <v/>
      </c>
      <c r="E2215" s="22">
        <f t="array" ref="E2215">IF($C2215="","",IFERROR(INDEX(DATA_MASTER!$I$2:$I$5000,MATCH($C2215,DATA_MASTER!$D$2:$D$5000,0)),""))</f>
        <v/>
      </c>
      <c r="F2215" s="22">
        <f t="array" ref="F2215">IF($C2215="","",IFERROR(INDEX(DATA_MASTER!$L$2:$L$5000,MATCH($C2215,DATA_MASTER!$D$2:$D$5000,0)),""))</f>
        <v/>
      </c>
      <c r="G2215" s="24" t="n"/>
      <c r="H2215" s="24" t="n"/>
      <c r="I2215" s="30" t="n"/>
      <c r="J2215" s="23">
        <f>IF(OR($H2215="",$I2215=""),"",$H2215*$I2215)</f>
        <v/>
      </c>
      <c r="K2215" s="24" t="n"/>
      <c r="L2215" s="24" t="n"/>
      <c r="M2215" s="29" t="n"/>
      <c r="N2215" s="28" t="n"/>
      <c r="O2215" s="24" t="n"/>
      <c r="P2215" s="24" t="n"/>
      <c r="Q2215" s="24" t="n"/>
      <c r="R2215" s="24" t="n"/>
      <c r="S2215" s="22">
        <f>IF(AND($A2215="",$C2215=""),"",IF($A2215="","Thiếu mã đơn; ","")&amp;IF(COUNTIF($A$2:$A2215,$A2215)&gt;1,"Trùng mã đơn; ","")&amp;IF(ISNA(MATCH($C2215,DATA_MASTER!$D$2:$D$5000,0)),"SĐT chưa đăng ký hội viên; ","")&amp;IF(AND($L2215="Đã chuyển khoản",$M2215=""),"Thiếu ngày nhận CK; ",""))</f>
        <v/>
      </c>
      <c r="T2215" s="24" t="n"/>
    </row>
    <row r="2216" ht="14.25" customHeight="1" s="40">
      <c r="A2216" s="24" t="n"/>
      <c r="B2216" s="29" t="n"/>
      <c r="C2216" s="28" t="n"/>
      <c r="D2216" s="22">
        <f t="array" ref="D2216">IF($C2216="","",IFERROR(INDEX(DATA_MASTER!$C$2:$C$5000,MATCH($C2216,DATA_MASTER!$D$2:$D$5000,0)),""))</f>
        <v/>
      </c>
      <c r="E2216" s="22">
        <f t="array" ref="E2216">IF($C2216="","",IFERROR(INDEX(DATA_MASTER!$I$2:$I$5000,MATCH($C2216,DATA_MASTER!$D$2:$D$5000,0)),""))</f>
        <v/>
      </c>
      <c r="F2216" s="22">
        <f t="array" ref="F2216">IF($C2216="","",IFERROR(INDEX(DATA_MASTER!$L$2:$L$5000,MATCH($C2216,DATA_MASTER!$D$2:$D$5000,0)),""))</f>
        <v/>
      </c>
      <c r="G2216" s="24" t="n"/>
      <c r="H2216" s="24" t="n"/>
      <c r="I2216" s="30" t="n"/>
      <c r="J2216" s="23">
        <f>IF(OR($H2216="",$I2216=""),"",$H2216*$I2216)</f>
        <v/>
      </c>
      <c r="K2216" s="24" t="n"/>
      <c r="L2216" s="24" t="n"/>
      <c r="M2216" s="29" t="n"/>
      <c r="N2216" s="28" t="n"/>
      <c r="O2216" s="24" t="n"/>
      <c r="P2216" s="24" t="n"/>
      <c r="Q2216" s="24" t="n"/>
      <c r="R2216" s="24" t="n"/>
      <c r="S2216" s="22">
        <f>IF(AND($A2216="",$C2216=""),"",IF($A2216="","Thiếu mã đơn; ","")&amp;IF(COUNTIF($A$2:$A2216,$A2216)&gt;1,"Trùng mã đơn; ","")&amp;IF(ISNA(MATCH($C2216,DATA_MASTER!$D$2:$D$5000,0)),"SĐT chưa đăng ký hội viên; ","")&amp;IF(AND($L2216="Đã chuyển khoản",$M2216=""),"Thiếu ngày nhận CK; ",""))</f>
        <v/>
      </c>
      <c r="T2216" s="24" t="n"/>
    </row>
    <row r="2217" ht="14.25" customHeight="1" s="40">
      <c r="A2217" s="24" t="n"/>
      <c r="B2217" s="29" t="n"/>
      <c r="C2217" s="28" t="n"/>
      <c r="D2217" s="22">
        <f t="array" ref="D2217">IF($C2217="","",IFERROR(INDEX(DATA_MASTER!$C$2:$C$5000,MATCH($C2217,DATA_MASTER!$D$2:$D$5000,0)),""))</f>
        <v/>
      </c>
      <c r="E2217" s="22">
        <f t="array" ref="E2217">IF($C2217="","",IFERROR(INDEX(DATA_MASTER!$I$2:$I$5000,MATCH($C2217,DATA_MASTER!$D$2:$D$5000,0)),""))</f>
        <v/>
      </c>
      <c r="F2217" s="22">
        <f t="array" ref="F2217">IF($C2217="","",IFERROR(INDEX(DATA_MASTER!$L$2:$L$5000,MATCH($C2217,DATA_MASTER!$D$2:$D$5000,0)),""))</f>
        <v/>
      </c>
      <c r="G2217" s="24" t="n"/>
      <c r="H2217" s="24" t="n"/>
      <c r="I2217" s="30" t="n"/>
      <c r="J2217" s="23">
        <f>IF(OR($H2217="",$I2217=""),"",$H2217*$I2217)</f>
        <v/>
      </c>
      <c r="K2217" s="24" t="n"/>
      <c r="L2217" s="24" t="n"/>
      <c r="M2217" s="29" t="n"/>
      <c r="N2217" s="28" t="n"/>
      <c r="O2217" s="24" t="n"/>
      <c r="P2217" s="24" t="n"/>
      <c r="Q2217" s="24" t="n"/>
      <c r="R2217" s="24" t="n"/>
      <c r="S2217" s="22">
        <f>IF(AND($A2217="",$C2217=""),"",IF($A2217="","Thiếu mã đơn; ","")&amp;IF(COUNTIF($A$2:$A2217,$A2217)&gt;1,"Trùng mã đơn; ","")&amp;IF(ISNA(MATCH($C2217,DATA_MASTER!$D$2:$D$5000,0)),"SĐT chưa đăng ký hội viên; ","")&amp;IF(AND($L2217="Đã chuyển khoản",$M2217=""),"Thiếu ngày nhận CK; ",""))</f>
        <v/>
      </c>
      <c r="T2217" s="24" t="n"/>
    </row>
    <row r="2218" ht="14.25" customHeight="1" s="40">
      <c r="A2218" s="24" t="n"/>
      <c r="B2218" s="29" t="n"/>
      <c r="C2218" s="28" t="n"/>
      <c r="D2218" s="22">
        <f t="array" ref="D2218">IF($C2218="","",IFERROR(INDEX(DATA_MASTER!$C$2:$C$5000,MATCH($C2218,DATA_MASTER!$D$2:$D$5000,0)),""))</f>
        <v/>
      </c>
      <c r="E2218" s="22">
        <f t="array" ref="E2218">IF($C2218="","",IFERROR(INDEX(DATA_MASTER!$I$2:$I$5000,MATCH($C2218,DATA_MASTER!$D$2:$D$5000,0)),""))</f>
        <v/>
      </c>
      <c r="F2218" s="22">
        <f t="array" ref="F2218">IF($C2218="","",IFERROR(INDEX(DATA_MASTER!$L$2:$L$5000,MATCH($C2218,DATA_MASTER!$D$2:$D$5000,0)),""))</f>
        <v/>
      </c>
      <c r="G2218" s="24" t="n"/>
      <c r="H2218" s="24" t="n"/>
      <c r="I2218" s="30" t="n"/>
      <c r="J2218" s="23">
        <f>IF(OR($H2218="",$I2218=""),"",$H2218*$I2218)</f>
        <v/>
      </c>
      <c r="K2218" s="24" t="n"/>
      <c r="L2218" s="24" t="n"/>
      <c r="M2218" s="29" t="n"/>
      <c r="N2218" s="28" t="n"/>
      <c r="O2218" s="24" t="n"/>
      <c r="P2218" s="24" t="n"/>
      <c r="Q2218" s="24" t="n"/>
      <c r="R2218" s="24" t="n"/>
      <c r="S2218" s="22">
        <f>IF(AND($A2218="",$C2218=""),"",IF($A2218="","Thiếu mã đơn; ","")&amp;IF(COUNTIF($A$2:$A2218,$A2218)&gt;1,"Trùng mã đơn; ","")&amp;IF(ISNA(MATCH($C2218,DATA_MASTER!$D$2:$D$5000,0)),"SĐT chưa đăng ký hội viên; ","")&amp;IF(AND($L2218="Đã chuyển khoản",$M2218=""),"Thiếu ngày nhận CK; ",""))</f>
        <v/>
      </c>
      <c r="T2218" s="24" t="n"/>
    </row>
    <row r="2219" ht="14.25" customHeight="1" s="40">
      <c r="A2219" s="24" t="n"/>
      <c r="B2219" s="29" t="n"/>
      <c r="C2219" s="28" t="n"/>
      <c r="D2219" s="22">
        <f t="array" ref="D2219">IF($C2219="","",IFERROR(INDEX(DATA_MASTER!$C$2:$C$5000,MATCH($C2219,DATA_MASTER!$D$2:$D$5000,0)),""))</f>
        <v/>
      </c>
      <c r="E2219" s="22">
        <f t="array" ref="E2219">IF($C2219="","",IFERROR(INDEX(DATA_MASTER!$I$2:$I$5000,MATCH($C2219,DATA_MASTER!$D$2:$D$5000,0)),""))</f>
        <v/>
      </c>
      <c r="F2219" s="22">
        <f t="array" ref="F2219">IF($C2219="","",IFERROR(INDEX(DATA_MASTER!$L$2:$L$5000,MATCH($C2219,DATA_MASTER!$D$2:$D$5000,0)),""))</f>
        <v/>
      </c>
      <c r="G2219" s="24" t="n"/>
      <c r="H2219" s="24" t="n"/>
      <c r="I2219" s="30" t="n"/>
      <c r="J2219" s="23">
        <f>IF(OR($H2219="",$I2219=""),"",$H2219*$I2219)</f>
        <v/>
      </c>
      <c r="K2219" s="24" t="n"/>
      <c r="L2219" s="24" t="n"/>
      <c r="M2219" s="29" t="n"/>
      <c r="N2219" s="28" t="n"/>
      <c r="O2219" s="24" t="n"/>
      <c r="P2219" s="24" t="n"/>
      <c r="Q2219" s="24" t="n"/>
      <c r="R2219" s="24" t="n"/>
      <c r="S2219" s="22">
        <f>IF(AND($A2219="",$C2219=""),"",IF($A2219="","Thiếu mã đơn; ","")&amp;IF(COUNTIF($A$2:$A2219,$A2219)&gt;1,"Trùng mã đơn; ","")&amp;IF(ISNA(MATCH($C2219,DATA_MASTER!$D$2:$D$5000,0)),"SĐT chưa đăng ký hội viên; ","")&amp;IF(AND($L2219="Đã chuyển khoản",$M2219=""),"Thiếu ngày nhận CK; ",""))</f>
        <v/>
      </c>
      <c r="T2219" s="24" t="n"/>
    </row>
    <row r="2220" ht="14.25" customHeight="1" s="40">
      <c r="A2220" s="24" t="n"/>
      <c r="B2220" s="29" t="n"/>
      <c r="C2220" s="28" t="n"/>
      <c r="D2220" s="22">
        <f t="array" ref="D2220">IF($C2220="","",IFERROR(INDEX(DATA_MASTER!$C$2:$C$5000,MATCH($C2220,DATA_MASTER!$D$2:$D$5000,0)),""))</f>
        <v/>
      </c>
      <c r="E2220" s="22">
        <f t="array" ref="E2220">IF($C2220="","",IFERROR(INDEX(DATA_MASTER!$I$2:$I$5000,MATCH($C2220,DATA_MASTER!$D$2:$D$5000,0)),""))</f>
        <v/>
      </c>
      <c r="F2220" s="22">
        <f t="array" ref="F2220">IF($C2220="","",IFERROR(INDEX(DATA_MASTER!$L$2:$L$5000,MATCH($C2220,DATA_MASTER!$D$2:$D$5000,0)),""))</f>
        <v/>
      </c>
      <c r="G2220" s="24" t="n"/>
      <c r="H2220" s="24" t="n"/>
      <c r="I2220" s="30" t="n"/>
      <c r="J2220" s="23">
        <f>IF(OR($H2220="",$I2220=""),"",$H2220*$I2220)</f>
        <v/>
      </c>
      <c r="K2220" s="24" t="n"/>
      <c r="L2220" s="24" t="n"/>
      <c r="M2220" s="29" t="n"/>
      <c r="N2220" s="28" t="n"/>
      <c r="O2220" s="24" t="n"/>
      <c r="P2220" s="24" t="n"/>
      <c r="Q2220" s="24" t="n"/>
      <c r="R2220" s="24" t="n"/>
      <c r="S2220" s="22">
        <f>IF(AND($A2220="",$C2220=""),"",IF($A2220="","Thiếu mã đơn; ","")&amp;IF(COUNTIF($A$2:$A2220,$A2220)&gt;1,"Trùng mã đơn; ","")&amp;IF(ISNA(MATCH($C2220,DATA_MASTER!$D$2:$D$5000,0)),"SĐT chưa đăng ký hội viên; ","")&amp;IF(AND($L2220="Đã chuyển khoản",$M2220=""),"Thiếu ngày nhận CK; ",""))</f>
        <v/>
      </c>
      <c r="T2220" s="24" t="n"/>
    </row>
    <row r="2221" ht="14.25" customHeight="1" s="40">
      <c r="A2221" s="24" t="n"/>
      <c r="B2221" s="29" t="n"/>
      <c r="C2221" s="28" t="n"/>
      <c r="D2221" s="22">
        <f t="array" ref="D2221">IF($C2221="","",IFERROR(INDEX(DATA_MASTER!$C$2:$C$5000,MATCH($C2221,DATA_MASTER!$D$2:$D$5000,0)),""))</f>
        <v/>
      </c>
      <c r="E2221" s="22">
        <f t="array" ref="E2221">IF($C2221="","",IFERROR(INDEX(DATA_MASTER!$I$2:$I$5000,MATCH($C2221,DATA_MASTER!$D$2:$D$5000,0)),""))</f>
        <v/>
      </c>
      <c r="F2221" s="22">
        <f t="array" ref="F2221">IF($C2221="","",IFERROR(INDEX(DATA_MASTER!$L$2:$L$5000,MATCH($C2221,DATA_MASTER!$D$2:$D$5000,0)),""))</f>
        <v/>
      </c>
      <c r="G2221" s="24" t="n"/>
      <c r="H2221" s="24" t="n"/>
      <c r="I2221" s="30" t="n"/>
      <c r="J2221" s="23">
        <f>IF(OR($H2221="",$I2221=""),"",$H2221*$I2221)</f>
        <v/>
      </c>
      <c r="K2221" s="24" t="n"/>
      <c r="L2221" s="24" t="n"/>
      <c r="M2221" s="29" t="n"/>
      <c r="N2221" s="28" t="n"/>
      <c r="O2221" s="24" t="n"/>
      <c r="P2221" s="24" t="n"/>
      <c r="Q2221" s="24" t="n"/>
      <c r="R2221" s="24" t="n"/>
      <c r="S2221" s="22">
        <f>IF(AND($A2221="",$C2221=""),"",IF($A2221="","Thiếu mã đơn; ","")&amp;IF(COUNTIF($A$2:$A2221,$A2221)&gt;1,"Trùng mã đơn; ","")&amp;IF(ISNA(MATCH($C2221,DATA_MASTER!$D$2:$D$5000,0)),"SĐT chưa đăng ký hội viên; ","")&amp;IF(AND($L2221="Đã chuyển khoản",$M2221=""),"Thiếu ngày nhận CK; ",""))</f>
        <v/>
      </c>
      <c r="T2221" s="24" t="n"/>
    </row>
    <row r="2222" ht="14.25" customHeight="1" s="40">
      <c r="A2222" s="24" t="n"/>
      <c r="B2222" s="29" t="n"/>
      <c r="C2222" s="28" t="n"/>
      <c r="D2222" s="22">
        <f t="array" ref="D2222">IF($C2222="","",IFERROR(INDEX(DATA_MASTER!$C$2:$C$5000,MATCH($C2222,DATA_MASTER!$D$2:$D$5000,0)),""))</f>
        <v/>
      </c>
      <c r="E2222" s="22">
        <f t="array" ref="E2222">IF($C2222="","",IFERROR(INDEX(DATA_MASTER!$I$2:$I$5000,MATCH($C2222,DATA_MASTER!$D$2:$D$5000,0)),""))</f>
        <v/>
      </c>
      <c r="F2222" s="22">
        <f t="array" ref="F2222">IF($C2222="","",IFERROR(INDEX(DATA_MASTER!$L$2:$L$5000,MATCH($C2222,DATA_MASTER!$D$2:$D$5000,0)),""))</f>
        <v/>
      </c>
      <c r="G2222" s="24" t="n"/>
      <c r="H2222" s="24" t="n"/>
      <c r="I2222" s="30" t="n"/>
      <c r="J2222" s="23">
        <f>IF(OR($H2222="",$I2222=""),"",$H2222*$I2222)</f>
        <v/>
      </c>
      <c r="K2222" s="24" t="n"/>
      <c r="L2222" s="24" t="n"/>
      <c r="M2222" s="29" t="n"/>
      <c r="N2222" s="28" t="n"/>
      <c r="O2222" s="24" t="n"/>
      <c r="P2222" s="24" t="n"/>
      <c r="Q2222" s="24" t="n"/>
      <c r="R2222" s="24" t="n"/>
      <c r="S2222" s="22">
        <f>IF(AND($A2222="",$C2222=""),"",IF($A2222="","Thiếu mã đơn; ","")&amp;IF(COUNTIF($A$2:$A2222,$A2222)&gt;1,"Trùng mã đơn; ","")&amp;IF(ISNA(MATCH($C2222,DATA_MASTER!$D$2:$D$5000,0)),"SĐT chưa đăng ký hội viên; ","")&amp;IF(AND($L2222="Đã chuyển khoản",$M2222=""),"Thiếu ngày nhận CK; ",""))</f>
        <v/>
      </c>
      <c r="T2222" s="24" t="n"/>
    </row>
    <row r="2223" ht="14.25" customHeight="1" s="40">
      <c r="A2223" s="24" t="n"/>
      <c r="B2223" s="29" t="n"/>
      <c r="C2223" s="28" t="n"/>
      <c r="D2223" s="22">
        <f t="array" ref="D2223">IF($C2223="","",IFERROR(INDEX(DATA_MASTER!$C$2:$C$5000,MATCH($C2223,DATA_MASTER!$D$2:$D$5000,0)),""))</f>
        <v/>
      </c>
      <c r="E2223" s="22">
        <f t="array" ref="E2223">IF($C2223="","",IFERROR(INDEX(DATA_MASTER!$I$2:$I$5000,MATCH($C2223,DATA_MASTER!$D$2:$D$5000,0)),""))</f>
        <v/>
      </c>
      <c r="F2223" s="22">
        <f t="array" ref="F2223">IF($C2223="","",IFERROR(INDEX(DATA_MASTER!$L$2:$L$5000,MATCH($C2223,DATA_MASTER!$D$2:$D$5000,0)),""))</f>
        <v/>
      </c>
      <c r="G2223" s="24" t="n"/>
      <c r="H2223" s="24" t="n"/>
      <c r="I2223" s="30" t="n"/>
      <c r="J2223" s="23">
        <f>IF(OR($H2223="",$I2223=""),"",$H2223*$I2223)</f>
        <v/>
      </c>
      <c r="K2223" s="24" t="n"/>
      <c r="L2223" s="24" t="n"/>
      <c r="M2223" s="29" t="n"/>
      <c r="N2223" s="28" t="n"/>
      <c r="O2223" s="24" t="n"/>
      <c r="P2223" s="24" t="n"/>
      <c r="Q2223" s="24" t="n"/>
      <c r="R2223" s="24" t="n"/>
      <c r="S2223" s="22">
        <f>IF(AND($A2223="",$C2223=""),"",IF($A2223="","Thiếu mã đơn; ","")&amp;IF(COUNTIF($A$2:$A2223,$A2223)&gt;1,"Trùng mã đơn; ","")&amp;IF(ISNA(MATCH($C2223,DATA_MASTER!$D$2:$D$5000,0)),"SĐT chưa đăng ký hội viên; ","")&amp;IF(AND($L2223="Đã chuyển khoản",$M2223=""),"Thiếu ngày nhận CK; ",""))</f>
        <v/>
      </c>
      <c r="T2223" s="24" t="n"/>
    </row>
    <row r="2224" ht="14.25" customHeight="1" s="40">
      <c r="A2224" s="24" t="n"/>
      <c r="B2224" s="29" t="n"/>
      <c r="C2224" s="28" t="n"/>
      <c r="D2224" s="22">
        <f t="array" ref="D2224">IF($C2224="","",IFERROR(INDEX(DATA_MASTER!$C$2:$C$5000,MATCH($C2224,DATA_MASTER!$D$2:$D$5000,0)),""))</f>
        <v/>
      </c>
      <c r="E2224" s="22">
        <f t="array" ref="E2224">IF($C2224="","",IFERROR(INDEX(DATA_MASTER!$I$2:$I$5000,MATCH($C2224,DATA_MASTER!$D$2:$D$5000,0)),""))</f>
        <v/>
      </c>
      <c r="F2224" s="22">
        <f t="array" ref="F2224">IF($C2224="","",IFERROR(INDEX(DATA_MASTER!$L$2:$L$5000,MATCH($C2224,DATA_MASTER!$D$2:$D$5000,0)),""))</f>
        <v/>
      </c>
      <c r="G2224" s="24" t="n"/>
      <c r="H2224" s="24" t="n"/>
      <c r="I2224" s="30" t="n"/>
      <c r="J2224" s="23">
        <f>IF(OR($H2224="",$I2224=""),"",$H2224*$I2224)</f>
        <v/>
      </c>
      <c r="K2224" s="24" t="n"/>
      <c r="L2224" s="24" t="n"/>
      <c r="M2224" s="29" t="n"/>
      <c r="N2224" s="28" t="n"/>
      <c r="O2224" s="24" t="n"/>
      <c r="P2224" s="24" t="n"/>
      <c r="Q2224" s="24" t="n"/>
      <c r="R2224" s="24" t="n"/>
      <c r="S2224" s="22">
        <f>IF(AND($A2224="",$C2224=""),"",IF($A2224="","Thiếu mã đơn; ","")&amp;IF(COUNTIF($A$2:$A2224,$A2224)&gt;1,"Trùng mã đơn; ","")&amp;IF(ISNA(MATCH($C2224,DATA_MASTER!$D$2:$D$5000,0)),"SĐT chưa đăng ký hội viên; ","")&amp;IF(AND($L2224="Đã chuyển khoản",$M2224=""),"Thiếu ngày nhận CK; ",""))</f>
        <v/>
      </c>
      <c r="T2224" s="24" t="n"/>
    </row>
    <row r="2225" ht="14.25" customHeight="1" s="40">
      <c r="A2225" s="24" t="n"/>
      <c r="B2225" s="29" t="n"/>
      <c r="C2225" s="28" t="n"/>
      <c r="D2225" s="22">
        <f t="array" ref="D2225">IF($C2225="","",IFERROR(INDEX(DATA_MASTER!$C$2:$C$5000,MATCH($C2225,DATA_MASTER!$D$2:$D$5000,0)),""))</f>
        <v/>
      </c>
      <c r="E2225" s="22">
        <f t="array" ref="E2225">IF($C2225="","",IFERROR(INDEX(DATA_MASTER!$I$2:$I$5000,MATCH($C2225,DATA_MASTER!$D$2:$D$5000,0)),""))</f>
        <v/>
      </c>
      <c r="F2225" s="22">
        <f t="array" ref="F2225">IF($C2225="","",IFERROR(INDEX(DATA_MASTER!$L$2:$L$5000,MATCH($C2225,DATA_MASTER!$D$2:$D$5000,0)),""))</f>
        <v/>
      </c>
      <c r="G2225" s="24" t="n"/>
      <c r="H2225" s="24" t="n"/>
      <c r="I2225" s="30" t="n"/>
      <c r="J2225" s="23">
        <f>IF(OR($H2225="",$I2225=""),"",$H2225*$I2225)</f>
        <v/>
      </c>
      <c r="K2225" s="24" t="n"/>
      <c r="L2225" s="24" t="n"/>
      <c r="M2225" s="29" t="n"/>
      <c r="N2225" s="28" t="n"/>
      <c r="O2225" s="24" t="n"/>
      <c r="P2225" s="24" t="n"/>
      <c r="Q2225" s="24" t="n"/>
      <c r="R2225" s="24" t="n"/>
      <c r="S2225" s="22">
        <f>IF(AND($A2225="",$C2225=""),"",IF($A2225="","Thiếu mã đơn; ","")&amp;IF(COUNTIF($A$2:$A2225,$A2225)&gt;1,"Trùng mã đơn; ","")&amp;IF(ISNA(MATCH($C2225,DATA_MASTER!$D$2:$D$5000,0)),"SĐT chưa đăng ký hội viên; ","")&amp;IF(AND($L2225="Đã chuyển khoản",$M2225=""),"Thiếu ngày nhận CK; ",""))</f>
        <v/>
      </c>
      <c r="T2225" s="24" t="n"/>
    </row>
    <row r="2226" ht="14.25" customHeight="1" s="40">
      <c r="A2226" s="24" t="n"/>
      <c r="B2226" s="29" t="n"/>
      <c r="C2226" s="28" t="n"/>
      <c r="D2226" s="22">
        <f t="array" ref="D2226">IF($C2226="","",IFERROR(INDEX(DATA_MASTER!$C$2:$C$5000,MATCH($C2226,DATA_MASTER!$D$2:$D$5000,0)),""))</f>
        <v/>
      </c>
      <c r="E2226" s="22">
        <f t="array" ref="E2226">IF($C2226="","",IFERROR(INDEX(DATA_MASTER!$I$2:$I$5000,MATCH($C2226,DATA_MASTER!$D$2:$D$5000,0)),""))</f>
        <v/>
      </c>
      <c r="F2226" s="22">
        <f t="array" ref="F2226">IF($C2226="","",IFERROR(INDEX(DATA_MASTER!$L$2:$L$5000,MATCH($C2226,DATA_MASTER!$D$2:$D$5000,0)),""))</f>
        <v/>
      </c>
      <c r="G2226" s="24" t="n"/>
      <c r="H2226" s="24" t="n"/>
      <c r="I2226" s="30" t="n"/>
      <c r="J2226" s="23">
        <f>IF(OR($H2226="",$I2226=""),"",$H2226*$I2226)</f>
        <v/>
      </c>
      <c r="K2226" s="24" t="n"/>
      <c r="L2226" s="24" t="n"/>
      <c r="M2226" s="29" t="n"/>
      <c r="N2226" s="28" t="n"/>
      <c r="O2226" s="24" t="n"/>
      <c r="P2226" s="24" t="n"/>
      <c r="Q2226" s="24" t="n"/>
      <c r="R2226" s="24" t="n"/>
      <c r="S2226" s="22">
        <f>IF(AND($A2226="",$C2226=""),"",IF($A2226="","Thiếu mã đơn; ","")&amp;IF(COUNTIF($A$2:$A2226,$A2226)&gt;1,"Trùng mã đơn; ","")&amp;IF(ISNA(MATCH($C2226,DATA_MASTER!$D$2:$D$5000,0)),"SĐT chưa đăng ký hội viên; ","")&amp;IF(AND($L2226="Đã chuyển khoản",$M2226=""),"Thiếu ngày nhận CK; ",""))</f>
        <v/>
      </c>
      <c r="T2226" s="24" t="n"/>
    </row>
    <row r="2227" ht="14.25" customHeight="1" s="40">
      <c r="A2227" s="24" t="n"/>
      <c r="B2227" s="29" t="n"/>
      <c r="C2227" s="28" t="n"/>
      <c r="D2227" s="22">
        <f t="array" ref="D2227">IF($C2227="","",IFERROR(INDEX(DATA_MASTER!$C$2:$C$5000,MATCH($C2227,DATA_MASTER!$D$2:$D$5000,0)),""))</f>
        <v/>
      </c>
      <c r="E2227" s="22">
        <f t="array" ref="E2227">IF($C2227="","",IFERROR(INDEX(DATA_MASTER!$I$2:$I$5000,MATCH($C2227,DATA_MASTER!$D$2:$D$5000,0)),""))</f>
        <v/>
      </c>
      <c r="F2227" s="22">
        <f t="array" ref="F2227">IF($C2227="","",IFERROR(INDEX(DATA_MASTER!$L$2:$L$5000,MATCH($C2227,DATA_MASTER!$D$2:$D$5000,0)),""))</f>
        <v/>
      </c>
      <c r="G2227" s="24" t="n"/>
      <c r="H2227" s="24" t="n"/>
      <c r="I2227" s="30" t="n"/>
      <c r="J2227" s="23">
        <f>IF(OR($H2227="",$I2227=""),"",$H2227*$I2227)</f>
        <v/>
      </c>
      <c r="K2227" s="24" t="n"/>
      <c r="L2227" s="24" t="n"/>
      <c r="M2227" s="29" t="n"/>
      <c r="N2227" s="28" t="n"/>
      <c r="O2227" s="24" t="n"/>
      <c r="P2227" s="24" t="n"/>
      <c r="Q2227" s="24" t="n"/>
      <c r="R2227" s="24" t="n"/>
      <c r="S2227" s="22">
        <f>IF(AND($A2227="",$C2227=""),"",IF($A2227="","Thiếu mã đơn; ","")&amp;IF(COUNTIF($A$2:$A2227,$A2227)&gt;1,"Trùng mã đơn; ","")&amp;IF(ISNA(MATCH($C2227,DATA_MASTER!$D$2:$D$5000,0)),"SĐT chưa đăng ký hội viên; ","")&amp;IF(AND($L2227="Đã chuyển khoản",$M2227=""),"Thiếu ngày nhận CK; ",""))</f>
        <v/>
      </c>
      <c r="T2227" s="24" t="n"/>
    </row>
    <row r="2228" ht="14.25" customHeight="1" s="40">
      <c r="A2228" s="24" t="n"/>
      <c r="B2228" s="29" t="n"/>
      <c r="C2228" s="28" t="n"/>
      <c r="D2228" s="22">
        <f t="array" ref="D2228">IF($C2228="","",IFERROR(INDEX(DATA_MASTER!$C$2:$C$5000,MATCH($C2228,DATA_MASTER!$D$2:$D$5000,0)),""))</f>
        <v/>
      </c>
      <c r="E2228" s="22">
        <f t="array" ref="E2228">IF($C2228="","",IFERROR(INDEX(DATA_MASTER!$I$2:$I$5000,MATCH($C2228,DATA_MASTER!$D$2:$D$5000,0)),""))</f>
        <v/>
      </c>
      <c r="F2228" s="22">
        <f t="array" ref="F2228">IF($C2228="","",IFERROR(INDEX(DATA_MASTER!$L$2:$L$5000,MATCH($C2228,DATA_MASTER!$D$2:$D$5000,0)),""))</f>
        <v/>
      </c>
      <c r="G2228" s="24" t="n"/>
      <c r="H2228" s="24" t="n"/>
      <c r="I2228" s="30" t="n"/>
      <c r="J2228" s="23">
        <f>IF(OR($H2228="",$I2228=""),"",$H2228*$I2228)</f>
        <v/>
      </c>
      <c r="K2228" s="24" t="n"/>
      <c r="L2228" s="24" t="n"/>
      <c r="M2228" s="29" t="n"/>
      <c r="N2228" s="28" t="n"/>
      <c r="O2228" s="24" t="n"/>
      <c r="P2228" s="24" t="n"/>
      <c r="Q2228" s="24" t="n"/>
      <c r="R2228" s="24" t="n"/>
      <c r="S2228" s="22">
        <f>IF(AND($A2228="",$C2228=""),"",IF($A2228="","Thiếu mã đơn; ","")&amp;IF(COUNTIF($A$2:$A2228,$A2228)&gt;1,"Trùng mã đơn; ","")&amp;IF(ISNA(MATCH($C2228,DATA_MASTER!$D$2:$D$5000,0)),"SĐT chưa đăng ký hội viên; ","")&amp;IF(AND($L2228="Đã chuyển khoản",$M2228=""),"Thiếu ngày nhận CK; ",""))</f>
        <v/>
      </c>
      <c r="T2228" s="24" t="n"/>
    </row>
    <row r="2229" ht="14.25" customHeight="1" s="40">
      <c r="A2229" s="24" t="n"/>
      <c r="B2229" s="29" t="n"/>
      <c r="C2229" s="28" t="n"/>
      <c r="D2229" s="22">
        <f t="array" ref="D2229">IF($C2229="","",IFERROR(INDEX(DATA_MASTER!$C$2:$C$5000,MATCH($C2229,DATA_MASTER!$D$2:$D$5000,0)),""))</f>
        <v/>
      </c>
      <c r="E2229" s="22">
        <f t="array" ref="E2229">IF($C2229="","",IFERROR(INDEX(DATA_MASTER!$I$2:$I$5000,MATCH($C2229,DATA_MASTER!$D$2:$D$5000,0)),""))</f>
        <v/>
      </c>
      <c r="F2229" s="22">
        <f t="array" ref="F2229">IF($C2229="","",IFERROR(INDEX(DATA_MASTER!$L$2:$L$5000,MATCH($C2229,DATA_MASTER!$D$2:$D$5000,0)),""))</f>
        <v/>
      </c>
      <c r="G2229" s="24" t="n"/>
      <c r="H2229" s="24" t="n"/>
      <c r="I2229" s="30" t="n"/>
      <c r="J2229" s="23">
        <f>IF(OR($H2229="",$I2229=""),"",$H2229*$I2229)</f>
        <v/>
      </c>
      <c r="K2229" s="24" t="n"/>
      <c r="L2229" s="24" t="n"/>
      <c r="M2229" s="29" t="n"/>
      <c r="N2229" s="28" t="n"/>
      <c r="O2229" s="24" t="n"/>
      <c r="P2229" s="24" t="n"/>
      <c r="Q2229" s="24" t="n"/>
      <c r="R2229" s="24" t="n"/>
      <c r="S2229" s="22">
        <f>IF(AND($A2229="",$C2229=""),"",IF($A2229="","Thiếu mã đơn; ","")&amp;IF(COUNTIF($A$2:$A2229,$A2229)&gt;1,"Trùng mã đơn; ","")&amp;IF(ISNA(MATCH($C2229,DATA_MASTER!$D$2:$D$5000,0)),"SĐT chưa đăng ký hội viên; ","")&amp;IF(AND($L2229="Đã chuyển khoản",$M2229=""),"Thiếu ngày nhận CK; ",""))</f>
        <v/>
      </c>
      <c r="T2229" s="24" t="n"/>
    </row>
    <row r="2230" ht="14.25" customHeight="1" s="40">
      <c r="A2230" s="24" t="n"/>
      <c r="B2230" s="29" t="n"/>
      <c r="C2230" s="28" t="n"/>
      <c r="D2230" s="22">
        <f t="array" ref="D2230">IF($C2230="","",IFERROR(INDEX(DATA_MASTER!$C$2:$C$5000,MATCH($C2230,DATA_MASTER!$D$2:$D$5000,0)),""))</f>
        <v/>
      </c>
      <c r="E2230" s="22">
        <f t="array" ref="E2230">IF($C2230="","",IFERROR(INDEX(DATA_MASTER!$I$2:$I$5000,MATCH($C2230,DATA_MASTER!$D$2:$D$5000,0)),""))</f>
        <v/>
      </c>
      <c r="F2230" s="22">
        <f t="array" ref="F2230">IF($C2230="","",IFERROR(INDEX(DATA_MASTER!$L$2:$L$5000,MATCH($C2230,DATA_MASTER!$D$2:$D$5000,0)),""))</f>
        <v/>
      </c>
      <c r="G2230" s="24" t="n"/>
      <c r="H2230" s="24" t="n"/>
      <c r="I2230" s="30" t="n"/>
      <c r="J2230" s="23">
        <f>IF(OR($H2230="",$I2230=""),"",$H2230*$I2230)</f>
        <v/>
      </c>
      <c r="K2230" s="24" t="n"/>
      <c r="L2230" s="24" t="n"/>
      <c r="M2230" s="29" t="n"/>
      <c r="N2230" s="28" t="n"/>
      <c r="O2230" s="24" t="n"/>
      <c r="P2230" s="24" t="n"/>
      <c r="Q2230" s="24" t="n"/>
      <c r="R2230" s="24" t="n"/>
      <c r="S2230" s="22">
        <f>IF(AND($A2230="",$C2230=""),"",IF($A2230="","Thiếu mã đơn; ","")&amp;IF(COUNTIF($A$2:$A2230,$A2230)&gt;1,"Trùng mã đơn; ","")&amp;IF(ISNA(MATCH($C2230,DATA_MASTER!$D$2:$D$5000,0)),"SĐT chưa đăng ký hội viên; ","")&amp;IF(AND($L2230="Đã chuyển khoản",$M2230=""),"Thiếu ngày nhận CK; ",""))</f>
        <v/>
      </c>
      <c r="T2230" s="24" t="n"/>
    </row>
    <row r="2231" ht="14.25" customHeight="1" s="40">
      <c r="A2231" s="24" t="n"/>
      <c r="B2231" s="29" t="n"/>
      <c r="C2231" s="28" t="n"/>
      <c r="D2231" s="22">
        <f t="array" ref="D2231">IF($C2231="","",IFERROR(INDEX(DATA_MASTER!$C$2:$C$5000,MATCH($C2231,DATA_MASTER!$D$2:$D$5000,0)),""))</f>
        <v/>
      </c>
      <c r="E2231" s="22">
        <f t="array" ref="E2231">IF($C2231="","",IFERROR(INDEX(DATA_MASTER!$I$2:$I$5000,MATCH($C2231,DATA_MASTER!$D$2:$D$5000,0)),""))</f>
        <v/>
      </c>
      <c r="F2231" s="22">
        <f t="array" ref="F2231">IF($C2231="","",IFERROR(INDEX(DATA_MASTER!$L$2:$L$5000,MATCH($C2231,DATA_MASTER!$D$2:$D$5000,0)),""))</f>
        <v/>
      </c>
      <c r="G2231" s="24" t="n"/>
      <c r="H2231" s="24" t="n"/>
      <c r="I2231" s="30" t="n"/>
      <c r="J2231" s="23">
        <f>IF(OR($H2231="",$I2231=""),"",$H2231*$I2231)</f>
        <v/>
      </c>
      <c r="K2231" s="24" t="n"/>
      <c r="L2231" s="24" t="n"/>
      <c r="M2231" s="29" t="n"/>
      <c r="N2231" s="28" t="n"/>
      <c r="O2231" s="24" t="n"/>
      <c r="P2231" s="24" t="n"/>
      <c r="Q2231" s="24" t="n"/>
      <c r="R2231" s="24" t="n"/>
      <c r="S2231" s="22">
        <f>IF(AND($A2231="",$C2231=""),"",IF($A2231="","Thiếu mã đơn; ","")&amp;IF(COUNTIF($A$2:$A2231,$A2231)&gt;1,"Trùng mã đơn; ","")&amp;IF(ISNA(MATCH($C2231,DATA_MASTER!$D$2:$D$5000,0)),"SĐT chưa đăng ký hội viên; ","")&amp;IF(AND($L2231="Đã chuyển khoản",$M2231=""),"Thiếu ngày nhận CK; ",""))</f>
        <v/>
      </c>
      <c r="T2231" s="24" t="n"/>
    </row>
    <row r="2232" ht="14.25" customHeight="1" s="40">
      <c r="A2232" s="24" t="n"/>
      <c r="B2232" s="29" t="n"/>
      <c r="C2232" s="28" t="n"/>
      <c r="D2232" s="22">
        <f t="array" ref="D2232">IF($C2232="","",IFERROR(INDEX(DATA_MASTER!$C$2:$C$5000,MATCH($C2232,DATA_MASTER!$D$2:$D$5000,0)),""))</f>
        <v/>
      </c>
      <c r="E2232" s="22">
        <f t="array" ref="E2232">IF($C2232="","",IFERROR(INDEX(DATA_MASTER!$I$2:$I$5000,MATCH($C2232,DATA_MASTER!$D$2:$D$5000,0)),""))</f>
        <v/>
      </c>
      <c r="F2232" s="22">
        <f t="array" ref="F2232">IF($C2232="","",IFERROR(INDEX(DATA_MASTER!$L$2:$L$5000,MATCH($C2232,DATA_MASTER!$D$2:$D$5000,0)),""))</f>
        <v/>
      </c>
      <c r="G2232" s="24" t="n"/>
      <c r="H2232" s="24" t="n"/>
      <c r="I2232" s="30" t="n"/>
      <c r="J2232" s="23">
        <f>IF(OR($H2232="",$I2232=""),"",$H2232*$I2232)</f>
        <v/>
      </c>
      <c r="K2232" s="24" t="n"/>
      <c r="L2232" s="24" t="n"/>
      <c r="M2232" s="29" t="n"/>
      <c r="N2232" s="28" t="n"/>
      <c r="O2232" s="24" t="n"/>
      <c r="P2232" s="24" t="n"/>
      <c r="Q2232" s="24" t="n"/>
      <c r="R2232" s="24" t="n"/>
      <c r="S2232" s="22">
        <f>IF(AND($A2232="",$C2232=""),"",IF($A2232="","Thiếu mã đơn; ","")&amp;IF(COUNTIF($A$2:$A2232,$A2232)&gt;1,"Trùng mã đơn; ","")&amp;IF(ISNA(MATCH($C2232,DATA_MASTER!$D$2:$D$5000,0)),"SĐT chưa đăng ký hội viên; ","")&amp;IF(AND($L2232="Đã chuyển khoản",$M2232=""),"Thiếu ngày nhận CK; ",""))</f>
        <v/>
      </c>
      <c r="T2232" s="24" t="n"/>
    </row>
    <row r="2233" ht="14.25" customHeight="1" s="40">
      <c r="A2233" s="24" t="n"/>
      <c r="B2233" s="29" t="n"/>
      <c r="C2233" s="28" t="n"/>
      <c r="D2233" s="22">
        <f t="array" ref="D2233">IF($C2233="","",IFERROR(INDEX(DATA_MASTER!$C$2:$C$5000,MATCH($C2233,DATA_MASTER!$D$2:$D$5000,0)),""))</f>
        <v/>
      </c>
      <c r="E2233" s="22">
        <f t="array" ref="E2233">IF($C2233="","",IFERROR(INDEX(DATA_MASTER!$I$2:$I$5000,MATCH($C2233,DATA_MASTER!$D$2:$D$5000,0)),""))</f>
        <v/>
      </c>
      <c r="F2233" s="22">
        <f t="array" ref="F2233">IF($C2233="","",IFERROR(INDEX(DATA_MASTER!$L$2:$L$5000,MATCH($C2233,DATA_MASTER!$D$2:$D$5000,0)),""))</f>
        <v/>
      </c>
      <c r="G2233" s="24" t="n"/>
      <c r="H2233" s="24" t="n"/>
      <c r="I2233" s="30" t="n"/>
      <c r="J2233" s="23">
        <f>IF(OR($H2233="",$I2233=""),"",$H2233*$I2233)</f>
        <v/>
      </c>
      <c r="K2233" s="24" t="n"/>
      <c r="L2233" s="24" t="n"/>
      <c r="M2233" s="29" t="n"/>
      <c r="N2233" s="28" t="n"/>
      <c r="O2233" s="24" t="n"/>
      <c r="P2233" s="24" t="n"/>
      <c r="Q2233" s="24" t="n"/>
      <c r="R2233" s="24" t="n"/>
      <c r="S2233" s="22">
        <f>IF(AND($A2233="",$C2233=""),"",IF($A2233="","Thiếu mã đơn; ","")&amp;IF(COUNTIF($A$2:$A2233,$A2233)&gt;1,"Trùng mã đơn; ","")&amp;IF(ISNA(MATCH($C2233,DATA_MASTER!$D$2:$D$5000,0)),"SĐT chưa đăng ký hội viên; ","")&amp;IF(AND($L2233="Đã chuyển khoản",$M2233=""),"Thiếu ngày nhận CK; ",""))</f>
        <v/>
      </c>
      <c r="T2233" s="24" t="n"/>
    </row>
    <row r="2234" ht="14.25" customHeight="1" s="40">
      <c r="A2234" s="24" t="n"/>
      <c r="B2234" s="29" t="n"/>
      <c r="C2234" s="28" t="n"/>
      <c r="D2234" s="22">
        <f t="array" ref="D2234">IF($C2234="","",IFERROR(INDEX(DATA_MASTER!$C$2:$C$5000,MATCH($C2234,DATA_MASTER!$D$2:$D$5000,0)),""))</f>
        <v/>
      </c>
      <c r="E2234" s="22">
        <f t="array" ref="E2234">IF($C2234="","",IFERROR(INDEX(DATA_MASTER!$I$2:$I$5000,MATCH($C2234,DATA_MASTER!$D$2:$D$5000,0)),""))</f>
        <v/>
      </c>
      <c r="F2234" s="22">
        <f t="array" ref="F2234">IF($C2234="","",IFERROR(INDEX(DATA_MASTER!$L$2:$L$5000,MATCH($C2234,DATA_MASTER!$D$2:$D$5000,0)),""))</f>
        <v/>
      </c>
      <c r="G2234" s="24" t="n"/>
      <c r="H2234" s="24" t="n"/>
      <c r="I2234" s="30" t="n"/>
      <c r="J2234" s="23">
        <f>IF(OR($H2234="",$I2234=""),"",$H2234*$I2234)</f>
        <v/>
      </c>
      <c r="K2234" s="24" t="n"/>
      <c r="L2234" s="24" t="n"/>
      <c r="M2234" s="29" t="n"/>
      <c r="N2234" s="28" t="n"/>
      <c r="O2234" s="24" t="n"/>
      <c r="P2234" s="24" t="n"/>
      <c r="Q2234" s="24" t="n"/>
      <c r="R2234" s="24" t="n"/>
      <c r="S2234" s="22">
        <f>IF(AND($A2234="",$C2234=""),"",IF($A2234="","Thiếu mã đơn; ","")&amp;IF(COUNTIF($A$2:$A2234,$A2234)&gt;1,"Trùng mã đơn; ","")&amp;IF(ISNA(MATCH($C2234,DATA_MASTER!$D$2:$D$5000,0)),"SĐT chưa đăng ký hội viên; ","")&amp;IF(AND($L2234="Đã chuyển khoản",$M2234=""),"Thiếu ngày nhận CK; ",""))</f>
        <v/>
      </c>
      <c r="T2234" s="24" t="n"/>
    </row>
    <row r="2235" ht="14.25" customHeight="1" s="40">
      <c r="A2235" s="24" t="n"/>
      <c r="B2235" s="29" t="n"/>
      <c r="C2235" s="28" t="n"/>
      <c r="D2235" s="22">
        <f t="array" ref="D2235">IF($C2235="","",IFERROR(INDEX(DATA_MASTER!$C$2:$C$5000,MATCH($C2235,DATA_MASTER!$D$2:$D$5000,0)),""))</f>
        <v/>
      </c>
      <c r="E2235" s="22">
        <f t="array" ref="E2235">IF($C2235="","",IFERROR(INDEX(DATA_MASTER!$I$2:$I$5000,MATCH($C2235,DATA_MASTER!$D$2:$D$5000,0)),""))</f>
        <v/>
      </c>
      <c r="F2235" s="22">
        <f t="array" ref="F2235">IF($C2235="","",IFERROR(INDEX(DATA_MASTER!$L$2:$L$5000,MATCH($C2235,DATA_MASTER!$D$2:$D$5000,0)),""))</f>
        <v/>
      </c>
      <c r="G2235" s="24" t="n"/>
      <c r="H2235" s="24" t="n"/>
      <c r="I2235" s="30" t="n"/>
      <c r="J2235" s="23">
        <f>IF(OR($H2235="",$I2235=""),"",$H2235*$I2235)</f>
        <v/>
      </c>
      <c r="K2235" s="24" t="n"/>
      <c r="L2235" s="24" t="n"/>
      <c r="M2235" s="29" t="n"/>
      <c r="N2235" s="28" t="n"/>
      <c r="O2235" s="24" t="n"/>
      <c r="P2235" s="24" t="n"/>
      <c r="Q2235" s="24" t="n"/>
      <c r="R2235" s="24" t="n"/>
      <c r="S2235" s="22">
        <f>IF(AND($A2235="",$C2235=""),"",IF($A2235="","Thiếu mã đơn; ","")&amp;IF(COUNTIF($A$2:$A2235,$A2235)&gt;1,"Trùng mã đơn; ","")&amp;IF(ISNA(MATCH($C2235,DATA_MASTER!$D$2:$D$5000,0)),"SĐT chưa đăng ký hội viên; ","")&amp;IF(AND($L2235="Đã chuyển khoản",$M2235=""),"Thiếu ngày nhận CK; ",""))</f>
        <v/>
      </c>
      <c r="T2235" s="24" t="n"/>
    </row>
    <row r="2236" ht="14.25" customHeight="1" s="40">
      <c r="A2236" s="24" t="n"/>
      <c r="B2236" s="29" t="n"/>
      <c r="C2236" s="28" t="n"/>
      <c r="D2236" s="22">
        <f t="array" ref="D2236">IF($C2236="","",IFERROR(INDEX(DATA_MASTER!$C$2:$C$5000,MATCH($C2236,DATA_MASTER!$D$2:$D$5000,0)),""))</f>
        <v/>
      </c>
      <c r="E2236" s="22">
        <f t="array" ref="E2236">IF($C2236="","",IFERROR(INDEX(DATA_MASTER!$I$2:$I$5000,MATCH($C2236,DATA_MASTER!$D$2:$D$5000,0)),""))</f>
        <v/>
      </c>
      <c r="F2236" s="22">
        <f t="array" ref="F2236">IF($C2236="","",IFERROR(INDEX(DATA_MASTER!$L$2:$L$5000,MATCH($C2236,DATA_MASTER!$D$2:$D$5000,0)),""))</f>
        <v/>
      </c>
      <c r="G2236" s="24" t="n"/>
      <c r="H2236" s="24" t="n"/>
      <c r="I2236" s="30" t="n"/>
      <c r="J2236" s="23">
        <f>IF(OR($H2236="",$I2236=""),"",$H2236*$I2236)</f>
        <v/>
      </c>
      <c r="K2236" s="24" t="n"/>
      <c r="L2236" s="24" t="n"/>
      <c r="M2236" s="29" t="n"/>
      <c r="N2236" s="28" t="n"/>
      <c r="O2236" s="24" t="n"/>
      <c r="P2236" s="24" t="n"/>
      <c r="Q2236" s="24" t="n"/>
      <c r="R2236" s="24" t="n"/>
      <c r="S2236" s="22">
        <f>IF(AND($A2236="",$C2236=""),"",IF($A2236="","Thiếu mã đơn; ","")&amp;IF(COUNTIF($A$2:$A2236,$A2236)&gt;1,"Trùng mã đơn; ","")&amp;IF(ISNA(MATCH($C2236,DATA_MASTER!$D$2:$D$5000,0)),"SĐT chưa đăng ký hội viên; ","")&amp;IF(AND($L2236="Đã chuyển khoản",$M2236=""),"Thiếu ngày nhận CK; ",""))</f>
        <v/>
      </c>
      <c r="T2236" s="24" t="n"/>
    </row>
    <row r="2237" ht="14.25" customHeight="1" s="40">
      <c r="A2237" s="24" t="n"/>
      <c r="B2237" s="29" t="n"/>
      <c r="C2237" s="28" t="n"/>
      <c r="D2237" s="22">
        <f t="array" ref="D2237">IF($C2237="","",IFERROR(INDEX(DATA_MASTER!$C$2:$C$5000,MATCH($C2237,DATA_MASTER!$D$2:$D$5000,0)),""))</f>
        <v/>
      </c>
      <c r="E2237" s="22">
        <f t="array" ref="E2237">IF($C2237="","",IFERROR(INDEX(DATA_MASTER!$I$2:$I$5000,MATCH($C2237,DATA_MASTER!$D$2:$D$5000,0)),""))</f>
        <v/>
      </c>
      <c r="F2237" s="22">
        <f t="array" ref="F2237">IF($C2237="","",IFERROR(INDEX(DATA_MASTER!$L$2:$L$5000,MATCH($C2237,DATA_MASTER!$D$2:$D$5000,0)),""))</f>
        <v/>
      </c>
      <c r="G2237" s="24" t="n"/>
      <c r="H2237" s="24" t="n"/>
      <c r="I2237" s="30" t="n"/>
      <c r="J2237" s="23">
        <f>IF(OR($H2237="",$I2237=""),"",$H2237*$I2237)</f>
        <v/>
      </c>
      <c r="K2237" s="24" t="n"/>
      <c r="L2237" s="24" t="n"/>
      <c r="M2237" s="29" t="n"/>
      <c r="N2237" s="28" t="n"/>
      <c r="O2237" s="24" t="n"/>
      <c r="P2237" s="24" t="n"/>
      <c r="Q2237" s="24" t="n"/>
      <c r="R2237" s="24" t="n"/>
      <c r="S2237" s="22">
        <f>IF(AND($A2237="",$C2237=""),"",IF($A2237="","Thiếu mã đơn; ","")&amp;IF(COUNTIF($A$2:$A2237,$A2237)&gt;1,"Trùng mã đơn; ","")&amp;IF(ISNA(MATCH($C2237,DATA_MASTER!$D$2:$D$5000,0)),"SĐT chưa đăng ký hội viên; ","")&amp;IF(AND($L2237="Đã chuyển khoản",$M2237=""),"Thiếu ngày nhận CK; ",""))</f>
        <v/>
      </c>
      <c r="T2237" s="24" t="n"/>
    </row>
    <row r="2238" ht="14.25" customHeight="1" s="40">
      <c r="A2238" s="24" t="n"/>
      <c r="B2238" s="29" t="n"/>
      <c r="C2238" s="28" t="n"/>
      <c r="D2238" s="22">
        <f t="array" ref="D2238">IF($C2238="","",IFERROR(INDEX(DATA_MASTER!$C$2:$C$5000,MATCH($C2238,DATA_MASTER!$D$2:$D$5000,0)),""))</f>
        <v/>
      </c>
      <c r="E2238" s="22">
        <f t="array" ref="E2238">IF($C2238="","",IFERROR(INDEX(DATA_MASTER!$I$2:$I$5000,MATCH($C2238,DATA_MASTER!$D$2:$D$5000,0)),""))</f>
        <v/>
      </c>
      <c r="F2238" s="22">
        <f t="array" ref="F2238">IF($C2238="","",IFERROR(INDEX(DATA_MASTER!$L$2:$L$5000,MATCH($C2238,DATA_MASTER!$D$2:$D$5000,0)),""))</f>
        <v/>
      </c>
      <c r="G2238" s="24" t="n"/>
      <c r="H2238" s="24" t="n"/>
      <c r="I2238" s="30" t="n"/>
      <c r="J2238" s="23">
        <f>IF(OR($H2238="",$I2238=""),"",$H2238*$I2238)</f>
        <v/>
      </c>
      <c r="K2238" s="24" t="n"/>
      <c r="L2238" s="24" t="n"/>
      <c r="M2238" s="29" t="n"/>
      <c r="N2238" s="28" t="n"/>
      <c r="O2238" s="24" t="n"/>
      <c r="P2238" s="24" t="n"/>
      <c r="Q2238" s="24" t="n"/>
      <c r="R2238" s="24" t="n"/>
      <c r="S2238" s="22">
        <f>IF(AND($A2238="",$C2238=""),"",IF($A2238="","Thiếu mã đơn; ","")&amp;IF(COUNTIF($A$2:$A2238,$A2238)&gt;1,"Trùng mã đơn; ","")&amp;IF(ISNA(MATCH($C2238,DATA_MASTER!$D$2:$D$5000,0)),"SĐT chưa đăng ký hội viên; ","")&amp;IF(AND($L2238="Đã chuyển khoản",$M2238=""),"Thiếu ngày nhận CK; ",""))</f>
        <v/>
      </c>
      <c r="T2238" s="24" t="n"/>
    </row>
    <row r="2239" ht="14.25" customHeight="1" s="40">
      <c r="A2239" s="24" t="n"/>
      <c r="B2239" s="29" t="n"/>
      <c r="C2239" s="28" t="n"/>
      <c r="D2239" s="22">
        <f t="array" ref="D2239">IF($C2239="","",IFERROR(INDEX(DATA_MASTER!$C$2:$C$5000,MATCH($C2239,DATA_MASTER!$D$2:$D$5000,0)),""))</f>
        <v/>
      </c>
      <c r="E2239" s="22">
        <f t="array" ref="E2239">IF($C2239="","",IFERROR(INDEX(DATA_MASTER!$I$2:$I$5000,MATCH($C2239,DATA_MASTER!$D$2:$D$5000,0)),""))</f>
        <v/>
      </c>
      <c r="F2239" s="22">
        <f t="array" ref="F2239">IF($C2239="","",IFERROR(INDEX(DATA_MASTER!$L$2:$L$5000,MATCH($C2239,DATA_MASTER!$D$2:$D$5000,0)),""))</f>
        <v/>
      </c>
      <c r="G2239" s="24" t="n"/>
      <c r="H2239" s="24" t="n"/>
      <c r="I2239" s="30" t="n"/>
      <c r="J2239" s="23">
        <f>IF(OR($H2239="",$I2239=""),"",$H2239*$I2239)</f>
        <v/>
      </c>
      <c r="K2239" s="24" t="n"/>
      <c r="L2239" s="24" t="n"/>
      <c r="M2239" s="29" t="n"/>
      <c r="N2239" s="28" t="n"/>
      <c r="O2239" s="24" t="n"/>
      <c r="P2239" s="24" t="n"/>
      <c r="Q2239" s="24" t="n"/>
      <c r="R2239" s="24" t="n"/>
      <c r="S2239" s="22">
        <f>IF(AND($A2239="",$C2239=""),"",IF($A2239="","Thiếu mã đơn; ","")&amp;IF(COUNTIF($A$2:$A2239,$A2239)&gt;1,"Trùng mã đơn; ","")&amp;IF(ISNA(MATCH($C2239,DATA_MASTER!$D$2:$D$5000,0)),"SĐT chưa đăng ký hội viên; ","")&amp;IF(AND($L2239="Đã chuyển khoản",$M2239=""),"Thiếu ngày nhận CK; ",""))</f>
        <v/>
      </c>
      <c r="T2239" s="24" t="n"/>
    </row>
    <row r="2240" ht="14.25" customHeight="1" s="40">
      <c r="A2240" s="24" t="n"/>
      <c r="B2240" s="29" t="n"/>
      <c r="C2240" s="28" t="n"/>
      <c r="D2240" s="22">
        <f t="array" ref="D2240">IF($C2240="","",IFERROR(INDEX(DATA_MASTER!$C$2:$C$5000,MATCH($C2240,DATA_MASTER!$D$2:$D$5000,0)),""))</f>
        <v/>
      </c>
      <c r="E2240" s="22">
        <f t="array" ref="E2240">IF($C2240="","",IFERROR(INDEX(DATA_MASTER!$I$2:$I$5000,MATCH($C2240,DATA_MASTER!$D$2:$D$5000,0)),""))</f>
        <v/>
      </c>
      <c r="F2240" s="22">
        <f t="array" ref="F2240">IF($C2240="","",IFERROR(INDEX(DATA_MASTER!$L$2:$L$5000,MATCH($C2240,DATA_MASTER!$D$2:$D$5000,0)),""))</f>
        <v/>
      </c>
      <c r="G2240" s="24" t="n"/>
      <c r="H2240" s="24" t="n"/>
      <c r="I2240" s="30" t="n"/>
      <c r="J2240" s="23">
        <f>IF(OR($H2240="",$I2240=""),"",$H2240*$I2240)</f>
        <v/>
      </c>
      <c r="K2240" s="24" t="n"/>
      <c r="L2240" s="24" t="n"/>
      <c r="M2240" s="29" t="n"/>
      <c r="N2240" s="28" t="n"/>
      <c r="O2240" s="24" t="n"/>
      <c r="P2240" s="24" t="n"/>
      <c r="Q2240" s="24" t="n"/>
      <c r="R2240" s="24" t="n"/>
      <c r="S2240" s="22">
        <f>IF(AND($A2240="",$C2240=""),"",IF($A2240="","Thiếu mã đơn; ","")&amp;IF(COUNTIF($A$2:$A2240,$A2240)&gt;1,"Trùng mã đơn; ","")&amp;IF(ISNA(MATCH($C2240,DATA_MASTER!$D$2:$D$5000,0)),"SĐT chưa đăng ký hội viên; ","")&amp;IF(AND($L2240="Đã chuyển khoản",$M2240=""),"Thiếu ngày nhận CK; ",""))</f>
        <v/>
      </c>
      <c r="T2240" s="24" t="n"/>
    </row>
    <row r="2241" ht="14.25" customHeight="1" s="40">
      <c r="A2241" s="24" t="n"/>
      <c r="B2241" s="29" t="n"/>
      <c r="C2241" s="28" t="n"/>
      <c r="D2241" s="22">
        <f t="array" ref="D2241">IF($C2241="","",IFERROR(INDEX(DATA_MASTER!$C$2:$C$5000,MATCH($C2241,DATA_MASTER!$D$2:$D$5000,0)),""))</f>
        <v/>
      </c>
      <c r="E2241" s="22">
        <f t="array" ref="E2241">IF($C2241="","",IFERROR(INDEX(DATA_MASTER!$I$2:$I$5000,MATCH($C2241,DATA_MASTER!$D$2:$D$5000,0)),""))</f>
        <v/>
      </c>
      <c r="F2241" s="22">
        <f t="array" ref="F2241">IF($C2241="","",IFERROR(INDEX(DATA_MASTER!$L$2:$L$5000,MATCH($C2241,DATA_MASTER!$D$2:$D$5000,0)),""))</f>
        <v/>
      </c>
      <c r="G2241" s="24" t="n"/>
      <c r="H2241" s="24" t="n"/>
      <c r="I2241" s="30" t="n"/>
      <c r="J2241" s="23">
        <f>IF(OR($H2241="",$I2241=""),"",$H2241*$I2241)</f>
        <v/>
      </c>
      <c r="K2241" s="24" t="n"/>
      <c r="L2241" s="24" t="n"/>
      <c r="M2241" s="29" t="n"/>
      <c r="N2241" s="28" t="n"/>
      <c r="O2241" s="24" t="n"/>
      <c r="P2241" s="24" t="n"/>
      <c r="Q2241" s="24" t="n"/>
      <c r="R2241" s="24" t="n"/>
      <c r="S2241" s="22">
        <f>IF(AND($A2241="",$C2241=""),"",IF($A2241="","Thiếu mã đơn; ","")&amp;IF(COUNTIF($A$2:$A2241,$A2241)&gt;1,"Trùng mã đơn; ","")&amp;IF(ISNA(MATCH($C2241,DATA_MASTER!$D$2:$D$5000,0)),"SĐT chưa đăng ký hội viên; ","")&amp;IF(AND($L2241="Đã chuyển khoản",$M2241=""),"Thiếu ngày nhận CK; ",""))</f>
        <v/>
      </c>
      <c r="T2241" s="24" t="n"/>
    </row>
    <row r="2242" ht="14.25" customHeight="1" s="40">
      <c r="A2242" s="24" t="n"/>
      <c r="B2242" s="29" t="n"/>
      <c r="C2242" s="28" t="n"/>
      <c r="D2242" s="22">
        <f t="array" ref="D2242">IF($C2242="","",IFERROR(INDEX(DATA_MASTER!$C$2:$C$5000,MATCH($C2242,DATA_MASTER!$D$2:$D$5000,0)),""))</f>
        <v/>
      </c>
      <c r="E2242" s="22">
        <f t="array" ref="E2242">IF($C2242="","",IFERROR(INDEX(DATA_MASTER!$I$2:$I$5000,MATCH($C2242,DATA_MASTER!$D$2:$D$5000,0)),""))</f>
        <v/>
      </c>
      <c r="F2242" s="22">
        <f t="array" ref="F2242">IF($C2242="","",IFERROR(INDEX(DATA_MASTER!$L$2:$L$5000,MATCH($C2242,DATA_MASTER!$D$2:$D$5000,0)),""))</f>
        <v/>
      </c>
      <c r="G2242" s="24" t="n"/>
      <c r="H2242" s="24" t="n"/>
      <c r="I2242" s="30" t="n"/>
      <c r="J2242" s="23">
        <f>IF(OR($H2242="",$I2242=""),"",$H2242*$I2242)</f>
        <v/>
      </c>
      <c r="K2242" s="24" t="n"/>
      <c r="L2242" s="24" t="n"/>
      <c r="M2242" s="29" t="n"/>
      <c r="N2242" s="28" t="n"/>
      <c r="O2242" s="24" t="n"/>
      <c r="P2242" s="24" t="n"/>
      <c r="Q2242" s="24" t="n"/>
      <c r="R2242" s="24" t="n"/>
      <c r="S2242" s="22">
        <f>IF(AND($A2242="",$C2242=""),"",IF($A2242="","Thiếu mã đơn; ","")&amp;IF(COUNTIF($A$2:$A2242,$A2242)&gt;1,"Trùng mã đơn; ","")&amp;IF(ISNA(MATCH($C2242,DATA_MASTER!$D$2:$D$5000,0)),"SĐT chưa đăng ký hội viên; ","")&amp;IF(AND($L2242="Đã chuyển khoản",$M2242=""),"Thiếu ngày nhận CK; ",""))</f>
        <v/>
      </c>
      <c r="T2242" s="24" t="n"/>
    </row>
    <row r="2243" ht="14.25" customHeight="1" s="40">
      <c r="A2243" s="24" t="n"/>
      <c r="B2243" s="29" t="n"/>
      <c r="C2243" s="28" t="n"/>
      <c r="D2243" s="22">
        <f t="array" ref="D2243">IF($C2243="","",IFERROR(INDEX(DATA_MASTER!$C$2:$C$5000,MATCH($C2243,DATA_MASTER!$D$2:$D$5000,0)),""))</f>
        <v/>
      </c>
      <c r="E2243" s="22">
        <f t="array" ref="E2243">IF($C2243="","",IFERROR(INDEX(DATA_MASTER!$I$2:$I$5000,MATCH($C2243,DATA_MASTER!$D$2:$D$5000,0)),""))</f>
        <v/>
      </c>
      <c r="F2243" s="22">
        <f t="array" ref="F2243">IF($C2243="","",IFERROR(INDEX(DATA_MASTER!$L$2:$L$5000,MATCH($C2243,DATA_MASTER!$D$2:$D$5000,0)),""))</f>
        <v/>
      </c>
      <c r="G2243" s="24" t="n"/>
      <c r="H2243" s="24" t="n"/>
      <c r="I2243" s="30" t="n"/>
      <c r="J2243" s="23">
        <f>IF(OR($H2243="",$I2243=""),"",$H2243*$I2243)</f>
        <v/>
      </c>
      <c r="K2243" s="24" t="n"/>
      <c r="L2243" s="24" t="n"/>
      <c r="M2243" s="29" t="n"/>
      <c r="N2243" s="28" t="n"/>
      <c r="O2243" s="24" t="n"/>
      <c r="P2243" s="24" t="n"/>
      <c r="Q2243" s="24" t="n"/>
      <c r="R2243" s="24" t="n"/>
      <c r="S2243" s="22">
        <f>IF(AND($A2243="",$C2243=""),"",IF($A2243="","Thiếu mã đơn; ","")&amp;IF(COUNTIF($A$2:$A2243,$A2243)&gt;1,"Trùng mã đơn; ","")&amp;IF(ISNA(MATCH($C2243,DATA_MASTER!$D$2:$D$5000,0)),"SĐT chưa đăng ký hội viên; ","")&amp;IF(AND($L2243="Đã chuyển khoản",$M2243=""),"Thiếu ngày nhận CK; ",""))</f>
        <v/>
      </c>
      <c r="T2243" s="24" t="n"/>
    </row>
    <row r="2244" ht="14.25" customHeight="1" s="40">
      <c r="A2244" s="24" t="n"/>
      <c r="B2244" s="29" t="n"/>
      <c r="C2244" s="28" t="n"/>
      <c r="D2244" s="22">
        <f t="array" ref="D2244">IF($C2244="","",IFERROR(INDEX(DATA_MASTER!$C$2:$C$5000,MATCH($C2244,DATA_MASTER!$D$2:$D$5000,0)),""))</f>
        <v/>
      </c>
      <c r="E2244" s="22">
        <f t="array" ref="E2244">IF($C2244="","",IFERROR(INDEX(DATA_MASTER!$I$2:$I$5000,MATCH($C2244,DATA_MASTER!$D$2:$D$5000,0)),""))</f>
        <v/>
      </c>
      <c r="F2244" s="22">
        <f t="array" ref="F2244">IF($C2244="","",IFERROR(INDEX(DATA_MASTER!$L$2:$L$5000,MATCH($C2244,DATA_MASTER!$D$2:$D$5000,0)),""))</f>
        <v/>
      </c>
      <c r="G2244" s="24" t="n"/>
      <c r="H2244" s="24" t="n"/>
      <c r="I2244" s="30" t="n"/>
      <c r="J2244" s="23">
        <f>IF(OR($H2244="",$I2244=""),"",$H2244*$I2244)</f>
        <v/>
      </c>
      <c r="K2244" s="24" t="n"/>
      <c r="L2244" s="24" t="n"/>
      <c r="M2244" s="29" t="n"/>
      <c r="N2244" s="28" t="n"/>
      <c r="O2244" s="24" t="n"/>
      <c r="P2244" s="24" t="n"/>
      <c r="Q2244" s="24" t="n"/>
      <c r="R2244" s="24" t="n"/>
      <c r="S2244" s="22">
        <f>IF(AND($A2244="",$C2244=""),"",IF($A2244="","Thiếu mã đơn; ","")&amp;IF(COUNTIF($A$2:$A2244,$A2244)&gt;1,"Trùng mã đơn; ","")&amp;IF(ISNA(MATCH($C2244,DATA_MASTER!$D$2:$D$5000,0)),"SĐT chưa đăng ký hội viên; ","")&amp;IF(AND($L2244="Đã chuyển khoản",$M2244=""),"Thiếu ngày nhận CK; ",""))</f>
        <v/>
      </c>
      <c r="T2244" s="24" t="n"/>
    </row>
    <row r="2245" ht="14.25" customHeight="1" s="40">
      <c r="A2245" s="24" t="n"/>
      <c r="B2245" s="29" t="n"/>
      <c r="C2245" s="28" t="n"/>
      <c r="D2245" s="22">
        <f t="array" ref="D2245">IF($C2245="","",IFERROR(INDEX(DATA_MASTER!$C$2:$C$5000,MATCH($C2245,DATA_MASTER!$D$2:$D$5000,0)),""))</f>
        <v/>
      </c>
      <c r="E2245" s="22">
        <f t="array" ref="E2245">IF($C2245="","",IFERROR(INDEX(DATA_MASTER!$I$2:$I$5000,MATCH($C2245,DATA_MASTER!$D$2:$D$5000,0)),""))</f>
        <v/>
      </c>
      <c r="F2245" s="22">
        <f t="array" ref="F2245">IF($C2245="","",IFERROR(INDEX(DATA_MASTER!$L$2:$L$5000,MATCH($C2245,DATA_MASTER!$D$2:$D$5000,0)),""))</f>
        <v/>
      </c>
      <c r="G2245" s="24" t="n"/>
      <c r="H2245" s="24" t="n"/>
      <c r="I2245" s="30" t="n"/>
      <c r="J2245" s="23">
        <f>IF(OR($H2245="",$I2245=""),"",$H2245*$I2245)</f>
        <v/>
      </c>
      <c r="K2245" s="24" t="n"/>
      <c r="L2245" s="24" t="n"/>
      <c r="M2245" s="29" t="n"/>
      <c r="N2245" s="28" t="n"/>
      <c r="O2245" s="24" t="n"/>
      <c r="P2245" s="24" t="n"/>
      <c r="Q2245" s="24" t="n"/>
      <c r="R2245" s="24" t="n"/>
      <c r="S2245" s="22">
        <f>IF(AND($A2245="",$C2245=""),"",IF($A2245="","Thiếu mã đơn; ","")&amp;IF(COUNTIF($A$2:$A2245,$A2245)&gt;1,"Trùng mã đơn; ","")&amp;IF(ISNA(MATCH($C2245,DATA_MASTER!$D$2:$D$5000,0)),"SĐT chưa đăng ký hội viên; ","")&amp;IF(AND($L2245="Đã chuyển khoản",$M2245=""),"Thiếu ngày nhận CK; ",""))</f>
        <v/>
      </c>
      <c r="T2245" s="24" t="n"/>
    </row>
    <row r="2246" ht="14.25" customHeight="1" s="40">
      <c r="A2246" s="24" t="n"/>
      <c r="B2246" s="29" t="n"/>
      <c r="C2246" s="28" t="n"/>
      <c r="D2246" s="22">
        <f t="array" ref="D2246">IF($C2246="","",IFERROR(INDEX(DATA_MASTER!$C$2:$C$5000,MATCH($C2246,DATA_MASTER!$D$2:$D$5000,0)),""))</f>
        <v/>
      </c>
      <c r="E2246" s="22">
        <f t="array" ref="E2246">IF($C2246="","",IFERROR(INDEX(DATA_MASTER!$I$2:$I$5000,MATCH($C2246,DATA_MASTER!$D$2:$D$5000,0)),""))</f>
        <v/>
      </c>
      <c r="F2246" s="22">
        <f t="array" ref="F2246">IF($C2246="","",IFERROR(INDEX(DATA_MASTER!$L$2:$L$5000,MATCH($C2246,DATA_MASTER!$D$2:$D$5000,0)),""))</f>
        <v/>
      </c>
      <c r="G2246" s="24" t="n"/>
      <c r="H2246" s="24" t="n"/>
      <c r="I2246" s="30" t="n"/>
      <c r="J2246" s="23">
        <f>IF(OR($H2246="",$I2246=""),"",$H2246*$I2246)</f>
        <v/>
      </c>
      <c r="K2246" s="24" t="n"/>
      <c r="L2246" s="24" t="n"/>
      <c r="M2246" s="29" t="n"/>
      <c r="N2246" s="28" t="n"/>
      <c r="O2246" s="24" t="n"/>
      <c r="P2246" s="24" t="n"/>
      <c r="Q2246" s="24" t="n"/>
      <c r="R2246" s="24" t="n"/>
      <c r="S2246" s="22">
        <f>IF(AND($A2246="",$C2246=""),"",IF($A2246="","Thiếu mã đơn; ","")&amp;IF(COUNTIF($A$2:$A2246,$A2246)&gt;1,"Trùng mã đơn; ","")&amp;IF(ISNA(MATCH($C2246,DATA_MASTER!$D$2:$D$5000,0)),"SĐT chưa đăng ký hội viên; ","")&amp;IF(AND($L2246="Đã chuyển khoản",$M2246=""),"Thiếu ngày nhận CK; ",""))</f>
        <v/>
      </c>
      <c r="T2246" s="24" t="n"/>
    </row>
    <row r="2247" ht="14.25" customHeight="1" s="40">
      <c r="A2247" s="24" t="n"/>
      <c r="B2247" s="29" t="n"/>
      <c r="C2247" s="28" t="n"/>
      <c r="D2247" s="22">
        <f t="array" ref="D2247">IF($C2247="","",IFERROR(INDEX(DATA_MASTER!$C$2:$C$5000,MATCH($C2247,DATA_MASTER!$D$2:$D$5000,0)),""))</f>
        <v/>
      </c>
      <c r="E2247" s="22">
        <f t="array" ref="E2247">IF($C2247="","",IFERROR(INDEX(DATA_MASTER!$I$2:$I$5000,MATCH($C2247,DATA_MASTER!$D$2:$D$5000,0)),""))</f>
        <v/>
      </c>
      <c r="F2247" s="22">
        <f t="array" ref="F2247">IF($C2247="","",IFERROR(INDEX(DATA_MASTER!$L$2:$L$5000,MATCH($C2247,DATA_MASTER!$D$2:$D$5000,0)),""))</f>
        <v/>
      </c>
      <c r="G2247" s="24" t="n"/>
      <c r="H2247" s="24" t="n"/>
      <c r="I2247" s="30" t="n"/>
      <c r="J2247" s="23">
        <f>IF(OR($H2247="",$I2247=""),"",$H2247*$I2247)</f>
        <v/>
      </c>
      <c r="K2247" s="24" t="n"/>
      <c r="L2247" s="24" t="n"/>
      <c r="M2247" s="29" t="n"/>
      <c r="N2247" s="28" t="n"/>
      <c r="O2247" s="24" t="n"/>
      <c r="P2247" s="24" t="n"/>
      <c r="Q2247" s="24" t="n"/>
      <c r="R2247" s="24" t="n"/>
      <c r="S2247" s="22">
        <f>IF(AND($A2247="",$C2247=""),"",IF($A2247="","Thiếu mã đơn; ","")&amp;IF(COUNTIF($A$2:$A2247,$A2247)&gt;1,"Trùng mã đơn; ","")&amp;IF(ISNA(MATCH($C2247,DATA_MASTER!$D$2:$D$5000,0)),"SĐT chưa đăng ký hội viên; ","")&amp;IF(AND($L2247="Đã chuyển khoản",$M2247=""),"Thiếu ngày nhận CK; ",""))</f>
        <v/>
      </c>
      <c r="T2247" s="24" t="n"/>
    </row>
    <row r="2248" ht="14.25" customHeight="1" s="40">
      <c r="A2248" s="24" t="n"/>
      <c r="B2248" s="29" t="n"/>
      <c r="C2248" s="28" t="n"/>
      <c r="D2248" s="22">
        <f t="array" ref="D2248">IF($C2248="","",IFERROR(INDEX(DATA_MASTER!$C$2:$C$5000,MATCH($C2248,DATA_MASTER!$D$2:$D$5000,0)),""))</f>
        <v/>
      </c>
      <c r="E2248" s="22">
        <f t="array" ref="E2248">IF($C2248="","",IFERROR(INDEX(DATA_MASTER!$I$2:$I$5000,MATCH($C2248,DATA_MASTER!$D$2:$D$5000,0)),""))</f>
        <v/>
      </c>
      <c r="F2248" s="22">
        <f t="array" ref="F2248">IF($C2248="","",IFERROR(INDEX(DATA_MASTER!$L$2:$L$5000,MATCH($C2248,DATA_MASTER!$D$2:$D$5000,0)),""))</f>
        <v/>
      </c>
      <c r="G2248" s="24" t="n"/>
      <c r="H2248" s="24" t="n"/>
      <c r="I2248" s="30" t="n"/>
      <c r="J2248" s="23">
        <f>IF(OR($H2248="",$I2248=""),"",$H2248*$I2248)</f>
        <v/>
      </c>
      <c r="K2248" s="24" t="n"/>
      <c r="L2248" s="24" t="n"/>
      <c r="M2248" s="29" t="n"/>
      <c r="N2248" s="28" t="n"/>
      <c r="O2248" s="24" t="n"/>
      <c r="P2248" s="24" t="n"/>
      <c r="Q2248" s="24" t="n"/>
      <c r="R2248" s="24" t="n"/>
      <c r="S2248" s="22">
        <f>IF(AND($A2248="",$C2248=""),"",IF($A2248="","Thiếu mã đơn; ","")&amp;IF(COUNTIF($A$2:$A2248,$A2248)&gt;1,"Trùng mã đơn; ","")&amp;IF(ISNA(MATCH($C2248,DATA_MASTER!$D$2:$D$5000,0)),"SĐT chưa đăng ký hội viên; ","")&amp;IF(AND($L2248="Đã chuyển khoản",$M2248=""),"Thiếu ngày nhận CK; ",""))</f>
        <v/>
      </c>
      <c r="T2248" s="24" t="n"/>
    </row>
    <row r="2249" ht="14.25" customHeight="1" s="40">
      <c r="A2249" s="24" t="n"/>
      <c r="B2249" s="29" t="n"/>
      <c r="C2249" s="28" t="n"/>
      <c r="D2249" s="22">
        <f t="array" ref="D2249">IF($C2249="","",IFERROR(INDEX(DATA_MASTER!$C$2:$C$5000,MATCH($C2249,DATA_MASTER!$D$2:$D$5000,0)),""))</f>
        <v/>
      </c>
      <c r="E2249" s="22">
        <f t="array" ref="E2249">IF($C2249="","",IFERROR(INDEX(DATA_MASTER!$I$2:$I$5000,MATCH($C2249,DATA_MASTER!$D$2:$D$5000,0)),""))</f>
        <v/>
      </c>
      <c r="F2249" s="22">
        <f t="array" ref="F2249">IF($C2249="","",IFERROR(INDEX(DATA_MASTER!$L$2:$L$5000,MATCH($C2249,DATA_MASTER!$D$2:$D$5000,0)),""))</f>
        <v/>
      </c>
      <c r="G2249" s="24" t="n"/>
      <c r="H2249" s="24" t="n"/>
      <c r="I2249" s="30" t="n"/>
      <c r="J2249" s="23">
        <f>IF(OR($H2249="",$I2249=""),"",$H2249*$I2249)</f>
        <v/>
      </c>
      <c r="K2249" s="24" t="n"/>
      <c r="L2249" s="24" t="n"/>
      <c r="M2249" s="29" t="n"/>
      <c r="N2249" s="28" t="n"/>
      <c r="O2249" s="24" t="n"/>
      <c r="P2249" s="24" t="n"/>
      <c r="Q2249" s="24" t="n"/>
      <c r="R2249" s="24" t="n"/>
      <c r="S2249" s="22">
        <f>IF(AND($A2249="",$C2249=""),"",IF($A2249="","Thiếu mã đơn; ","")&amp;IF(COUNTIF($A$2:$A2249,$A2249)&gt;1,"Trùng mã đơn; ","")&amp;IF(ISNA(MATCH($C2249,DATA_MASTER!$D$2:$D$5000,0)),"SĐT chưa đăng ký hội viên; ","")&amp;IF(AND($L2249="Đã chuyển khoản",$M2249=""),"Thiếu ngày nhận CK; ",""))</f>
        <v/>
      </c>
      <c r="T2249" s="24" t="n"/>
    </row>
    <row r="2250" ht="14.25" customHeight="1" s="40">
      <c r="A2250" s="24" t="n"/>
      <c r="B2250" s="29" t="n"/>
      <c r="C2250" s="28" t="n"/>
      <c r="D2250" s="22">
        <f t="array" ref="D2250">IF($C2250="","",IFERROR(INDEX(DATA_MASTER!$C$2:$C$5000,MATCH($C2250,DATA_MASTER!$D$2:$D$5000,0)),""))</f>
        <v/>
      </c>
      <c r="E2250" s="22">
        <f t="array" ref="E2250">IF($C2250="","",IFERROR(INDEX(DATA_MASTER!$I$2:$I$5000,MATCH($C2250,DATA_MASTER!$D$2:$D$5000,0)),""))</f>
        <v/>
      </c>
      <c r="F2250" s="22">
        <f t="array" ref="F2250">IF($C2250="","",IFERROR(INDEX(DATA_MASTER!$L$2:$L$5000,MATCH($C2250,DATA_MASTER!$D$2:$D$5000,0)),""))</f>
        <v/>
      </c>
      <c r="G2250" s="24" t="n"/>
      <c r="H2250" s="24" t="n"/>
      <c r="I2250" s="30" t="n"/>
      <c r="J2250" s="23">
        <f>IF(OR($H2250="",$I2250=""),"",$H2250*$I2250)</f>
        <v/>
      </c>
      <c r="K2250" s="24" t="n"/>
      <c r="L2250" s="24" t="n"/>
      <c r="M2250" s="29" t="n"/>
      <c r="N2250" s="28" t="n"/>
      <c r="O2250" s="24" t="n"/>
      <c r="P2250" s="24" t="n"/>
      <c r="Q2250" s="24" t="n"/>
      <c r="R2250" s="24" t="n"/>
      <c r="S2250" s="22">
        <f>IF(AND($A2250="",$C2250=""),"",IF($A2250="","Thiếu mã đơn; ","")&amp;IF(COUNTIF($A$2:$A2250,$A2250)&gt;1,"Trùng mã đơn; ","")&amp;IF(ISNA(MATCH($C2250,DATA_MASTER!$D$2:$D$5000,0)),"SĐT chưa đăng ký hội viên; ","")&amp;IF(AND($L2250="Đã chuyển khoản",$M2250=""),"Thiếu ngày nhận CK; ",""))</f>
        <v/>
      </c>
      <c r="T2250" s="24" t="n"/>
    </row>
    <row r="2251" ht="14.25" customHeight="1" s="40">
      <c r="A2251" s="24" t="n"/>
      <c r="B2251" s="29" t="n"/>
      <c r="C2251" s="28" t="n"/>
      <c r="D2251" s="22">
        <f t="array" ref="D2251">IF($C2251="","",IFERROR(INDEX(DATA_MASTER!$C$2:$C$5000,MATCH($C2251,DATA_MASTER!$D$2:$D$5000,0)),""))</f>
        <v/>
      </c>
      <c r="E2251" s="22">
        <f t="array" ref="E2251">IF($C2251="","",IFERROR(INDEX(DATA_MASTER!$I$2:$I$5000,MATCH($C2251,DATA_MASTER!$D$2:$D$5000,0)),""))</f>
        <v/>
      </c>
      <c r="F2251" s="22">
        <f t="array" ref="F2251">IF($C2251="","",IFERROR(INDEX(DATA_MASTER!$L$2:$L$5000,MATCH($C2251,DATA_MASTER!$D$2:$D$5000,0)),""))</f>
        <v/>
      </c>
      <c r="G2251" s="24" t="n"/>
      <c r="H2251" s="24" t="n"/>
      <c r="I2251" s="30" t="n"/>
      <c r="J2251" s="23">
        <f>IF(OR($H2251="",$I2251=""),"",$H2251*$I2251)</f>
        <v/>
      </c>
      <c r="K2251" s="24" t="n"/>
      <c r="L2251" s="24" t="n"/>
      <c r="M2251" s="29" t="n"/>
      <c r="N2251" s="28" t="n"/>
      <c r="O2251" s="24" t="n"/>
      <c r="P2251" s="24" t="n"/>
      <c r="Q2251" s="24" t="n"/>
      <c r="R2251" s="24" t="n"/>
      <c r="S2251" s="22">
        <f>IF(AND($A2251="",$C2251=""),"",IF($A2251="","Thiếu mã đơn; ","")&amp;IF(COUNTIF($A$2:$A2251,$A2251)&gt;1,"Trùng mã đơn; ","")&amp;IF(ISNA(MATCH($C2251,DATA_MASTER!$D$2:$D$5000,0)),"SĐT chưa đăng ký hội viên; ","")&amp;IF(AND($L2251="Đã chuyển khoản",$M2251=""),"Thiếu ngày nhận CK; ",""))</f>
        <v/>
      </c>
      <c r="T2251" s="24" t="n"/>
    </row>
    <row r="2252" ht="14.25" customHeight="1" s="40">
      <c r="A2252" s="24" t="n"/>
      <c r="B2252" s="29" t="n"/>
      <c r="C2252" s="28" t="n"/>
      <c r="D2252" s="22">
        <f t="array" ref="D2252">IF($C2252="","",IFERROR(INDEX(DATA_MASTER!$C$2:$C$5000,MATCH($C2252,DATA_MASTER!$D$2:$D$5000,0)),""))</f>
        <v/>
      </c>
      <c r="E2252" s="22">
        <f t="array" ref="E2252">IF($C2252="","",IFERROR(INDEX(DATA_MASTER!$I$2:$I$5000,MATCH($C2252,DATA_MASTER!$D$2:$D$5000,0)),""))</f>
        <v/>
      </c>
      <c r="F2252" s="22">
        <f t="array" ref="F2252">IF($C2252="","",IFERROR(INDEX(DATA_MASTER!$L$2:$L$5000,MATCH($C2252,DATA_MASTER!$D$2:$D$5000,0)),""))</f>
        <v/>
      </c>
      <c r="G2252" s="24" t="n"/>
      <c r="H2252" s="24" t="n"/>
      <c r="I2252" s="30" t="n"/>
      <c r="J2252" s="23">
        <f>IF(OR($H2252="",$I2252=""),"",$H2252*$I2252)</f>
        <v/>
      </c>
      <c r="K2252" s="24" t="n"/>
      <c r="L2252" s="24" t="n"/>
      <c r="M2252" s="29" t="n"/>
      <c r="N2252" s="28" t="n"/>
      <c r="O2252" s="24" t="n"/>
      <c r="P2252" s="24" t="n"/>
      <c r="Q2252" s="24" t="n"/>
      <c r="R2252" s="24" t="n"/>
      <c r="S2252" s="22">
        <f>IF(AND($A2252="",$C2252=""),"",IF($A2252="","Thiếu mã đơn; ","")&amp;IF(COUNTIF($A$2:$A2252,$A2252)&gt;1,"Trùng mã đơn; ","")&amp;IF(ISNA(MATCH($C2252,DATA_MASTER!$D$2:$D$5000,0)),"SĐT chưa đăng ký hội viên; ","")&amp;IF(AND($L2252="Đã chuyển khoản",$M2252=""),"Thiếu ngày nhận CK; ",""))</f>
        <v/>
      </c>
      <c r="T2252" s="24" t="n"/>
    </row>
    <row r="2253" ht="14.25" customHeight="1" s="40">
      <c r="A2253" s="24" t="n"/>
      <c r="B2253" s="29" t="n"/>
      <c r="C2253" s="28" t="n"/>
      <c r="D2253" s="22">
        <f t="array" ref="D2253">IF($C2253="","",IFERROR(INDEX(DATA_MASTER!$C$2:$C$5000,MATCH($C2253,DATA_MASTER!$D$2:$D$5000,0)),""))</f>
        <v/>
      </c>
      <c r="E2253" s="22">
        <f t="array" ref="E2253">IF($C2253="","",IFERROR(INDEX(DATA_MASTER!$I$2:$I$5000,MATCH($C2253,DATA_MASTER!$D$2:$D$5000,0)),""))</f>
        <v/>
      </c>
      <c r="F2253" s="22">
        <f t="array" ref="F2253">IF($C2253="","",IFERROR(INDEX(DATA_MASTER!$L$2:$L$5000,MATCH($C2253,DATA_MASTER!$D$2:$D$5000,0)),""))</f>
        <v/>
      </c>
      <c r="G2253" s="24" t="n"/>
      <c r="H2253" s="24" t="n"/>
      <c r="I2253" s="30" t="n"/>
      <c r="J2253" s="23">
        <f>IF(OR($H2253="",$I2253=""),"",$H2253*$I2253)</f>
        <v/>
      </c>
      <c r="K2253" s="24" t="n"/>
      <c r="L2253" s="24" t="n"/>
      <c r="M2253" s="29" t="n"/>
      <c r="N2253" s="28" t="n"/>
      <c r="O2253" s="24" t="n"/>
      <c r="P2253" s="24" t="n"/>
      <c r="Q2253" s="24" t="n"/>
      <c r="R2253" s="24" t="n"/>
      <c r="S2253" s="22">
        <f>IF(AND($A2253="",$C2253=""),"",IF($A2253="","Thiếu mã đơn; ","")&amp;IF(COUNTIF($A$2:$A2253,$A2253)&gt;1,"Trùng mã đơn; ","")&amp;IF(ISNA(MATCH($C2253,DATA_MASTER!$D$2:$D$5000,0)),"SĐT chưa đăng ký hội viên; ","")&amp;IF(AND($L2253="Đã chuyển khoản",$M2253=""),"Thiếu ngày nhận CK; ",""))</f>
        <v/>
      </c>
      <c r="T2253" s="24" t="n"/>
    </row>
    <row r="2254" ht="14.25" customHeight="1" s="40">
      <c r="A2254" s="24" t="n"/>
      <c r="B2254" s="29" t="n"/>
      <c r="C2254" s="28" t="n"/>
      <c r="D2254" s="22">
        <f t="array" ref="D2254">IF($C2254="","",IFERROR(INDEX(DATA_MASTER!$C$2:$C$5000,MATCH($C2254,DATA_MASTER!$D$2:$D$5000,0)),""))</f>
        <v/>
      </c>
      <c r="E2254" s="22">
        <f t="array" ref="E2254">IF($C2254="","",IFERROR(INDEX(DATA_MASTER!$I$2:$I$5000,MATCH($C2254,DATA_MASTER!$D$2:$D$5000,0)),""))</f>
        <v/>
      </c>
      <c r="F2254" s="22">
        <f t="array" ref="F2254">IF($C2254="","",IFERROR(INDEX(DATA_MASTER!$L$2:$L$5000,MATCH($C2254,DATA_MASTER!$D$2:$D$5000,0)),""))</f>
        <v/>
      </c>
      <c r="G2254" s="24" t="n"/>
      <c r="H2254" s="24" t="n"/>
      <c r="I2254" s="30" t="n"/>
      <c r="J2254" s="23">
        <f>IF(OR($H2254="",$I2254=""),"",$H2254*$I2254)</f>
        <v/>
      </c>
      <c r="K2254" s="24" t="n"/>
      <c r="L2254" s="24" t="n"/>
      <c r="M2254" s="29" t="n"/>
      <c r="N2254" s="28" t="n"/>
      <c r="O2254" s="24" t="n"/>
      <c r="P2254" s="24" t="n"/>
      <c r="Q2254" s="24" t="n"/>
      <c r="R2254" s="24" t="n"/>
      <c r="S2254" s="22">
        <f>IF(AND($A2254="",$C2254=""),"",IF($A2254="","Thiếu mã đơn; ","")&amp;IF(COUNTIF($A$2:$A2254,$A2254)&gt;1,"Trùng mã đơn; ","")&amp;IF(ISNA(MATCH($C2254,DATA_MASTER!$D$2:$D$5000,0)),"SĐT chưa đăng ký hội viên; ","")&amp;IF(AND($L2254="Đã chuyển khoản",$M2254=""),"Thiếu ngày nhận CK; ",""))</f>
        <v/>
      </c>
      <c r="T2254" s="24" t="n"/>
    </row>
    <row r="2255" ht="14.25" customHeight="1" s="40">
      <c r="A2255" s="24" t="n"/>
      <c r="B2255" s="29" t="n"/>
      <c r="C2255" s="28" t="n"/>
      <c r="D2255" s="22">
        <f t="array" ref="D2255">IF($C2255="","",IFERROR(INDEX(DATA_MASTER!$C$2:$C$5000,MATCH($C2255,DATA_MASTER!$D$2:$D$5000,0)),""))</f>
        <v/>
      </c>
      <c r="E2255" s="22">
        <f t="array" ref="E2255">IF($C2255="","",IFERROR(INDEX(DATA_MASTER!$I$2:$I$5000,MATCH($C2255,DATA_MASTER!$D$2:$D$5000,0)),""))</f>
        <v/>
      </c>
      <c r="F2255" s="22">
        <f t="array" ref="F2255">IF($C2255="","",IFERROR(INDEX(DATA_MASTER!$L$2:$L$5000,MATCH($C2255,DATA_MASTER!$D$2:$D$5000,0)),""))</f>
        <v/>
      </c>
      <c r="G2255" s="24" t="n"/>
      <c r="H2255" s="24" t="n"/>
      <c r="I2255" s="30" t="n"/>
      <c r="J2255" s="23">
        <f>IF(OR($H2255="",$I2255=""),"",$H2255*$I2255)</f>
        <v/>
      </c>
      <c r="K2255" s="24" t="n"/>
      <c r="L2255" s="24" t="n"/>
      <c r="M2255" s="29" t="n"/>
      <c r="N2255" s="28" t="n"/>
      <c r="O2255" s="24" t="n"/>
      <c r="P2255" s="24" t="n"/>
      <c r="Q2255" s="24" t="n"/>
      <c r="R2255" s="24" t="n"/>
      <c r="S2255" s="22">
        <f>IF(AND($A2255="",$C2255=""),"",IF($A2255="","Thiếu mã đơn; ","")&amp;IF(COUNTIF($A$2:$A2255,$A2255)&gt;1,"Trùng mã đơn; ","")&amp;IF(ISNA(MATCH($C2255,DATA_MASTER!$D$2:$D$5000,0)),"SĐT chưa đăng ký hội viên; ","")&amp;IF(AND($L2255="Đã chuyển khoản",$M2255=""),"Thiếu ngày nhận CK; ",""))</f>
        <v/>
      </c>
      <c r="T2255" s="24" t="n"/>
    </row>
    <row r="2256" ht="14.25" customHeight="1" s="40">
      <c r="A2256" s="24" t="n"/>
      <c r="B2256" s="29" t="n"/>
      <c r="C2256" s="28" t="n"/>
      <c r="D2256" s="22">
        <f t="array" ref="D2256">IF($C2256="","",IFERROR(INDEX(DATA_MASTER!$C$2:$C$5000,MATCH($C2256,DATA_MASTER!$D$2:$D$5000,0)),""))</f>
        <v/>
      </c>
      <c r="E2256" s="22">
        <f t="array" ref="E2256">IF($C2256="","",IFERROR(INDEX(DATA_MASTER!$I$2:$I$5000,MATCH($C2256,DATA_MASTER!$D$2:$D$5000,0)),""))</f>
        <v/>
      </c>
      <c r="F2256" s="22">
        <f t="array" ref="F2256">IF($C2256="","",IFERROR(INDEX(DATA_MASTER!$L$2:$L$5000,MATCH($C2256,DATA_MASTER!$D$2:$D$5000,0)),""))</f>
        <v/>
      </c>
      <c r="G2256" s="24" t="n"/>
      <c r="H2256" s="24" t="n"/>
      <c r="I2256" s="30" t="n"/>
      <c r="J2256" s="23">
        <f>IF(OR($H2256="",$I2256=""),"",$H2256*$I2256)</f>
        <v/>
      </c>
      <c r="K2256" s="24" t="n"/>
      <c r="L2256" s="24" t="n"/>
      <c r="M2256" s="29" t="n"/>
      <c r="N2256" s="28" t="n"/>
      <c r="O2256" s="24" t="n"/>
      <c r="P2256" s="24" t="n"/>
      <c r="Q2256" s="24" t="n"/>
      <c r="R2256" s="24" t="n"/>
      <c r="S2256" s="22">
        <f>IF(AND($A2256="",$C2256=""),"",IF($A2256="","Thiếu mã đơn; ","")&amp;IF(COUNTIF($A$2:$A2256,$A2256)&gt;1,"Trùng mã đơn; ","")&amp;IF(ISNA(MATCH($C2256,DATA_MASTER!$D$2:$D$5000,0)),"SĐT chưa đăng ký hội viên; ","")&amp;IF(AND($L2256="Đã chuyển khoản",$M2256=""),"Thiếu ngày nhận CK; ",""))</f>
        <v/>
      </c>
      <c r="T2256" s="24" t="n"/>
    </row>
    <row r="2257" ht="14.25" customHeight="1" s="40">
      <c r="A2257" s="24" t="n"/>
      <c r="B2257" s="29" t="n"/>
      <c r="C2257" s="28" t="n"/>
      <c r="D2257" s="22">
        <f t="array" ref="D2257">IF($C2257="","",IFERROR(INDEX(DATA_MASTER!$C$2:$C$5000,MATCH($C2257,DATA_MASTER!$D$2:$D$5000,0)),""))</f>
        <v/>
      </c>
      <c r="E2257" s="22">
        <f t="array" ref="E2257">IF($C2257="","",IFERROR(INDEX(DATA_MASTER!$I$2:$I$5000,MATCH($C2257,DATA_MASTER!$D$2:$D$5000,0)),""))</f>
        <v/>
      </c>
      <c r="F2257" s="22">
        <f t="array" ref="F2257">IF($C2257="","",IFERROR(INDEX(DATA_MASTER!$L$2:$L$5000,MATCH($C2257,DATA_MASTER!$D$2:$D$5000,0)),""))</f>
        <v/>
      </c>
      <c r="G2257" s="24" t="n"/>
      <c r="H2257" s="24" t="n"/>
      <c r="I2257" s="30" t="n"/>
      <c r="J2257" s="23">
        <f>IF(OR($H2257="",$I2257=""),"",$H2257*$I2257)</f>
        <v/>
      </c>
      <c r="K2257" s="24" t="n"/>
      <c r="L2257" s="24" t="n"/>
      <c r="M2257" s="29" t="n"/>
      <c r="N2257" s="28" t="n"/>
      <c r="O2257" s="24" t="n"/>
      <c r="P2257" s="24" t="n"/>
      <c r="Q2257" s="24" t="n"/>
      <c r="R2257" s="24" t="n"/>
      <c r="S2257" s="22">
        <f>IF(AND($A2257="",$C2257=""),"",IF($A2257="","Thiếu mã đơn; ","")&amp;IF(COUNTIF($A$2:$A2257,$A2257)&gt;1,"Trùng mã đơn; ","")&amp;IF(ISNA(MATCH($C2257,DATA_MASTER!$D$2:$D$5000,0)),"SĐT chưa đăng ký hội viên; ","")&amp;IF(AND($L2257="Đã chuyển khoản",$M2257=""),"Thiếu ngày nhận CK; ",""))</f>
        <v/>
      </c>
      <c r="T2257" s="24" t="n"/>
    </row>
    <row r="2258" ht="14.25" customHeight="1" s="40">
      <c r="A2258" s="24" t="n"/>
      <c r="B2258" s="29" t="n"/>
      <c r="C2258" s="28" t="n"/>
      <c r="D2258" s="22">
        <f t="array" ref="D2258">IF($C2258="","",IFERROR(INDEX(DATA_MASTER!$C$2:$C$5000,MATCH($C2258,DATA_MASTER!$D$2:$D$5000,0)),""))</f>
        <v/>
      </c>
      <c r="E2258" s="22">
        <f t="array" ref="E2258">IF($C2258="","",IFERROR(INDEX(DATA_MASTER!$I$2:$I$5000,MATCH($C2258,DATA_MASTER!$D$2:$D$5000,0)),""))</f>
        <v/>
      </c>
      <c r="F2258" s="22">
        <f t="array" ref="F2258">IF($C2258="","",IFERROR(INDEX(DATA_MASTER!$L$2:$L$5000,MATCH($C2258,DATA_MASTER!$D$2:$D$5000,0)),""))</f>
        <v/>
      </c>
      <c r="G2258" s="24" t="n"/>
      <c r="H2258" s="24" t="n"/>
      <c r="I2258" s="30" t="n"/>
      <c r="J2258" s="23">
        <f>IF(OR($H2258="",$I2258=""),"",$H2258*$I2258)</f>
        <v/>
      </c>
      <c r="K2258" s="24" t="n"/>
      <c r="L2258" s="24" t="n"/>
      <c r="M2258" s="29" t="n"/>
      <c r="N2258" s="28" t="n"/>
      <c r="O2258" s="24" t="n"/>
      <c r="P2258" s="24" t="n"/>
      <c r="Q2258" s="24" t="n"/>
      <c r="R2258" s="24" t="n"/>
      <c r="S2258" s="22">
        <f>IF(AND($A2258="",$C2258=""),"",IF($A2258="","Thiếu mã đơn; ","")&amp;IF(COUNTIF($A$2:$A2258,$A2258)&gt;1,"Trùng mã đơn; ","")&amp;IF(ISNA(MATCH($C2258,DATA_MASTER!$D$2:$D$5000,0)),"SĐT chưa đăng ký hội viên; ","")&amp;IF(AND($L2258="Đã chuyển khoản",$M2258=""),"Thiếu ngày nhận CK; ",""))</f>
        <v/>
      </c>
      <c r="T2258" s="24" t="n"/>
    </row>
    <row r="2259" ht="14.25" customHeight="1" s="40">
      <c r="A2259" s="24" t="n"/>
      <c r="B2259" s="29" t="n"/>
      <c r="C2259" s="28" t="n"/>
      <c r="D2259" s="22">
        <f t="array" ref="D2259">IF($C2259="","",IFERROR(INDEX(DATA_MASTER!$C$2:$C$5000,MATCH($C2259,DATA_MASTER!$D$2:$D$5000,0)),""))</f>
        <v/>
      </c>
      <c r="E2259" s="22">
        <f t="array" ref="E2259">IF($C2259="","",IFERROR(INDEX(DATA_MASTER!$I$2:$I$5000,MATCH($C2259,DATA_MASTER!$D$2:$D$5000,0)),""))</f>
        <v/>
      </c>
      <c r="F2259" s="22">
        <f t="array" ref="F2259">IF($C2259="","",IFERROR(INDEX(DATA_MASTER!$L$2:$L$5000,MATCH($C2259,DATA_MASTER!$D$2:$D$5000,0)),""))</f>
        <v/>
      </c>
      <c r="G2259" s="24" t="n"/>
      <c r="H2259" s="24" t="n"/>
      <c r="I2259" s="30" t="n"/>
      <c r="J2259" s="23">
        <f>IF(OR($H2259="",$I2259=""),"",$H2259*$I2259)</f>
        <v/>
      </c>
      <c r="K2259" s="24" t="n"/>
      <c r="L2259" s="24" t="n"/>
      <c r="M2259" s="29" t="n"/>
      <c r="N2259" s="28" t="n"/>
      <c r="O2259" s="24" t="n"/>
      <c r="P2259" s="24" t="n"/>
      <c r="Q2259" s="24" t="n"/>
      <c r="R2259" s="24" t="n"/>
      <c r="S2259" s="22">
        <f>IF(AND($A2259="",$C2259=""),"",IF($A2259="","Thiếu mã đơn; ","")&amp;IF(COUNTIF($A$2:$A2259,$A2259)&gt;1,"Trùng mã đơn; ","")&amp;IF(ISNA(MATCH($C2259,DATA_MASTER!$D$2:$D$5000,0)),"SĐT chưa đăng ký hội viên; ","")&amp;IF(AND($L2259="Đã chuyển khoản",$M2259=""),"Thiếu ngày nhận CK; ",""))</f>
        <v/>
      </c>
      <c r="T2259" s="24" t="n"/>
    </row>
    <row r="2260" ht="14.25" customHeight="1" s="40">
      <c r="A2260" s="24" t="n"/>
      <c r="B2260" s="29" t="n"/>
      <c r="C2260" s="28" t="n"/>
      <c r="D2260" s="22">
        <f t="array" ref="D2260">IF($C2260="","",IFERROR(INDEX(DATA_MASTER!$C$2:$C$5000,MATCH($C2260,DATA_MASTER!$D$2:$D$5000,0)),""))</f>
        <v/>
      </c>
      <c r="E2260" s="22">
        <f t="array" ref="E2260">IF($C2260="","",IFERROR(INDEX(DATA_MASTER!$I$2:$I$5000,MATCH($C2260,DATA_MASTER!$D$2:$D$5000,0)),""))</f>
        <v/>
      </c>
      <c r="F2260" s="22">
        <f t="array" ref="F2260">IF($C2260="","",IFERROR(INDEX(DATA_MASTER!$L$2:$L$5000,MATCH($C2260,DATA_MASTER!$D$2:$D$5000,0)),""))</f>
        <v/>
      </c>
      <c r="G2260" s="24" t="n"/>
      <c r="H2260" s="24" t="n"/>
      <c r="I2260" s="30" t="n"/>
      <c r="J2260" s="23">
        <f>IF(OR($H2260="",$I2260=""),"",$H2260*$I2260)</f>
        <v/>
      </c>
      <c r="K2260" s="24" t="n"/>
      <c r="L2260" s="24" t="n"/>
      <c r="M2260" s="29" t="n"/>
      <c r="N2260" s="28" t="n"/>
      <c r="O2260" s="24" t="n"/>
      <c r="P2260" s="24" t="n"/>
      <c r="Q2260" s="24" t="n"/>
      <c r="R2260" s="24" t="n"/>
      <c r="S2260" s="22">
        <f>IF(AND($A2260="",$C2260=""),"",IF($A2260="","Thiếu mã đơn; ","")&amp;IF(COUNTIF($A$2:$A2260,$A2260)&gt;1,"Trùng mã đơn; ","")&amp;IF(ISNA(MATCH($C2260,DATA_MASTER!$D$2:$D$5000,0)),"SĐT chưa đăng ký hội viên; ","")&amp;IF(AND($L2260="Đã chuyển khoản",$M2260=""),"Thiếu ngày nhận CK; ",""))</f>
        <v/>
      </c>
      <c r="T2260" s="24" t="n"/>
    </row>
    <row r="2261" ht="14.25" customHeight="1" s="40">
      <c r="A2261" s="24" t="n"/>
      <c r="B2261" s="29" t="n"/>
      <c r="C2261" s="28" t="n"/>
      <c r="D2261" s="22">
        <f t="array" ref="D2261">IF($C2261="","",IFERROR(INDEX(DATA_MASTER!$C$2:$C$5000,MATCH($C2261,DATA_MASTER!$D$2:$D$5000,0)),""))</f>
        <v/>
      </c>
      <c r="E2261" s="22">
        <f t="array" ref="E2261">IF($C2261="","",IFERROR(INDEX(DATA_MASTER!$I$2:$I$5000,MATCH($C2261,DATA_MASTER!$D$2:$D$5000,0)),""))</f>
        <v/>
      </c>
      <c r="F2261" s="22">
        <f t="array" ref="F2261">IF($C2261="","",IFERROR(INDEX(DATA_MASTER!$L$2:$L$5000,MATCH($C2261,DATA_MASTER!$D$2:$D$5000,0)),""))</f>
        <v/>
      </c>
      <c r="G2261" s="24" t="n"/>
      <c r="H2261" s="24" t="n"/>
      <c r="I2261" s="30" t="n"/>
      <c r="J2261" s="23">
        <f>IF(OR($H2261="",$I2261=""),"",$H2261*$I2261)</f>
        <v/>
      </c>
      <c r="K2261" s="24" t="n"/>
      <c r="L2261" s="24" t="n"/>
      <c r="M2261" s="29" t="n"/>
      <c r="N2261" s="28" t="n"/>
      <c r="O2261" s="24" t="n"/>
      <c r="P2261" s="24" t="n"/>
      <c r="Q2261" s="24" t="n"/>
      <c r="R2261" s="24" t="n"/>
      <c r="S2261" s="22">
        <f>IF(AND($A2261="",$C2261=""),"",IF($A2261="","Thiếu mã đơn; ","")&amp;IF(COUNTIF($A$2:$A2261,$A2261)&gt;1,"Trùng mã đơn; ","")&amp;IF(ISNA(MATCH($C2261,DATA_MASTER!$D$2:$D$5000,0)),"SĐT chưa đăng ký hội viên; ","")&amp;IF(AND($L2261="Đã chuyển khoản",$M2261=""),"Thiếu ngày nhận CK; ",""))</f>
        <v/>
      </c>
      <c r="T2261" s="24" t="n"/>
    </row>
    <row r="2262" ht="14.25" customHeight="1" s="40">
      <c r="A2262" s="24" t="n"/>
      <c r="B2262" s="29" t="n"/>
      <c r="C2262" s="28" t="n"/>
      <c r="D2262" s="22">
        <f t="array" ref="D2262">IF($C2262="","",IFERROR(INDEX(DATA_MASTER!$C$2:$C$5000,MATCH($C2262,DATA_MASTER!$D$2:$D$5000,0)),""))</f>
        <v/>
      </c>
      <c r="E2262" s="22">
        <f t="array" ref="E2262">IF($C2262="","",IFERROR(INDEX(DATA_MASTER!$I$2:$I$5000,MATCH($C2262,DATA_MASTER!$D$2:$D$5000,0)),""))</f>
        <v/>
      </c>
      <c r="F2262" s="22">
        <f t="array" ref="F2262">IF($C2262="","",IFERROR(INDEX(DATA_MASTER!$L$2:$L$5000,MATCH($C2262,DATA_MASTER!$D$2:$D$5000,0)),""))</f>
        <v/>
      </c>
      <c r="G2262" s="24" t="n"/>
      <c r="H2262" s="24" t="n"/>
      <c r="I2262" s="30" t="n"/>
      <c r="J2262" s="23">
        <f>IF(OR($H2262="",$I2262=""),"",$H2262*$I2262)</f>
        <v/>
      </c>
      <c r="K2262" s="24" t="n"/>
      <c r="L2262" s="24" t="n"/>
      <c r="M2262" s="29" t="n"/>
      <c r="N2262" s="28" t="n"/>
      <c r="O2262" s="24" t="n"/>
      <c r="P2262" s="24" t="n"/>
      <c r="Q2262" s="24" t="n"/>
      <c r="R2262" s="24" t="n"/>
      <c r="S2262" s="22">
        <f>IF(AND($A2262="",$C2262=""),"",IF($A2262="","Thiếu mã đơn; ","")&amp;IF(COUNTIF($A$2:$A2262,$A2262)&gt;1,"Trùng mã đơn; ","")&amp;IF(ISNA(MATCH($C2262,DATA_MASTER!$D$2:$D$5000,0)),"SĐT chưa đăng ký hội viên; ","")&amp;IF(AND($L2262="Đã chuyển khoản",$M2262=""),"Thiếu ngày nhận CK; ",""))</f>
        <v/>
      </c>
      <c r="T2262" s="24" t="n"/>
    </row>
    <row r="2263" ht="14.25" customHeight="1" s="40">
      <c r="A2263" s="24" t="n"/>
      <c r="B2263" s="29" t="n"/>
      <c r="C2263" s="28" t="n"/>
      <c r="D2263" s="22">
        <f t="array" ref="D2263">IF($C2263="","",IFERROR(INDEX(DATA_MASTER!$C$2:$C$5000,MATCH($C2263,DATA_MASTER!$D$2:$D$5000,0)),""))</f>
        <v/>
      </c>
      <c r="E2263" s="22">
        <f t="array" ref="E2263">IF($C2263="","",IFERROR(INDEX(DATA_MASTER!$I$2:$I$5000,MATCH($C2263,DATA_MASTER!$D$2:$D$5000,0)),""))</f>
        <v/>
      </c>
      <c r="F2263" s="22">
        <f t="array" ref="F2263">IF($C2263="","",IFERROR(INDEX(DATA_MASTER!$L$2:$L$5000,MATCH($C2263,DATA_MASTER!$D$2:$D$5000,0)),""))</f>
        <v/>
      </c>
      <c r="G2263" s="24" t="n"/>
      <c r="H2263" s="24" t="n"/>
      <c r="I2263" s="30" t="n"/>
      <c r="J2263" s="23">
        <f>IF(OR($H2263="",$I2263=""),"",$H2263*$I2263)</f>
        <v/>
      </c>
      <c r="K2263" s="24" t="n"/>
      <c r="L2263" s="24" t="n"/>
      <c r="M2263" s="29" t="n"/>
      <c r="N2263" s="28" t="n"/>
      <c r="O2263" s="24" t="n"/>
      <c r="P2263" s="24" t="n"/>
      <c r="Q2263" s="24" t="n"/>
      <c r="R2263" s="24" t="n"/>
      <c r="S2263" s="22">
        <f>IF(AND($A2263="",$C2263=""),"",IF($A2263="","Thiếu mã đơn; ","")&amp;IF(COUNTIF($A$2:$A2263,$A2263)&gt;1,"Trùng mã đơn; ","")&amp;IF(ISNA(MATCH($C2263,DATA_MASTER!$D$2:$D$5000,0)),"SĐT chưa đăng ký hội viên; ","")&amp;IF(AND($L2263="Đã chuyển khoản",$M2263=""),"Thiếu ngày nhận CK; ",""))</f>
        <v/>
      </c>
      <c r="T2263" s="24" t="n"/>
    </row>
    <row r="2264" ht="14.25" customHeight="1" s="40">
      <c r="A2264" s="24" t="n"/>
      <c r="B2264" s="29" t="n"/>
      <c r="C2264" s="28" t="n"/>
      <c r="D2264" s="22">
        <f t="array" ref="D2264">IF($C2264="","",IFERROR(INDEX(DATA_MASTER!$C$2:$C$5000,MATCH($C2264,DATA_MASTER!$D$2:$D$5000,0)),""))</f>
        <v/>
      </c>
      <c r="E2264" s="22">
        <f t="array" ref="E2264">IF($C2264="","",IFERROR(INDEX(DATA_MASTER!$I$2:$I$5000,MATCH($C2264,DATA_MASTER!$D$2:$D$5000,0)),""))</f>
        <v/>
      </c>
      <c r="F2264" s="22">
        <f t="array" ref="F2264">IF($C2264="","",IFERROR(INDEX(DATA_MASTER!$L$2:$L$5000,MATCH($C2264,DATA_MASTER!$D$2:$D$5000,0)),""))</f>
        <v/>
      </c>
      <c r="G2264" s="24" t="n"/>
      <c r="H2264" s="24" t="n"/>
      <c r="I2264" s="30" t="n"/>
      <c r="J2264" s="23">
        <f>IF(OR($H2264="",$I2264=""),"",$H2264*$I2264)</f>
        <v/>
      </c>
      <c r="K2264" s="24" t="n"/>
      <c r="L2264" s="24" t="n"/>
      <c r="M2264" s="29" t="n"/>
      <c r="N2264" s="28" t="n"/>
      <c r="O2264" s="24" t="n"/>
      <c r="P2264" s="24" t="n"/>
      <c r="Q2264" s="24" t="n"/>
      <c r="R2264" s="24" t="n"/>
      <c r="S2264" s="22">
        <f>IF(AND($A2264="",$C2264=""),"",IF($A2264="","Thiếu mã đơn; ","")&amp;IF(COUNTIF($A$2:$A2264,$A2264)&gt;1,"Trùng mã đơn; ","")&amp;IF(ISNA(MATCH($C2264,DATA_MASTER!$D$2:$D$5000,0)),"SĐT chưa đăng ký hội viên; ","")&amp;IF(AND($L2264="Đã chuyển khoản",$M2264=""),"Thiếu ngày nhận CK; ",""))</f>
        <v/>
      </c>
      <c r="T2264" s="24" t="n"/>
    </row>
    <row r="2265" ht="14.25" customHeight="1" s="40">
      <c r="A2265" s="24" t="n"/>
      <c r="B2265" s="29" t="n"/>
      <c r="C2265" s="28" t="n"/>
      <c r="D2265" s="22">
        <f t="array" ref="D2265">IF($C2265="","",IFERROR(INDEX(DATA_MASTER!$C$2:$C$5000,MATCH($C2265,DATA_MASTER!$D$2:$D$5000,0)),""))</f>
        <v/>
      </c>
      <c r="E2265" s="22">
        <f t="array" ref="E2265">IF($C2265="","",IFERROR(INDEX(DATA_MASTER!$I$2:$I$5000,MATCH($C2265,DATA_MASTER!$D$2:$D$5000,0)),""))</f>
        <v/>
      </c>
      <c r="F2265" s="22">
        <f t="array" ref="F2265">IF($C2265="","",IFERROR(INDEX(DATA_MASTER!$L$2:$L$5000,MATCH($C2265,DATA_MASTER!$D$2:$D$5000,0)),""))</f>
        <v/>
      </c>
      <c r="G2265" s="24" t="n"/>
      <c r="H2265" s="24" t="n"/>
      <c r="I2265" s="30" t="n"/>
      <c r="J2265" s="23">
        <f>IF(OR($H2265="",$I2265=""),"",$H2265*$I2265)</f>
        <v/>
      </c>
      <c r="K2265" s="24" t="n"/>
      <c r="L2265" s="24" t="n"/>
      <c r="M2265" s="29" t="n"/>
      <c r="N2265" s="28" t="n"/>
      <c r="O2265" s="24" t="n"/>
      <c r="P2265" s="24" t="n"/>
      <c r="Q2265" s="24" t="n"/>
      <c r="R2265" s="24" t="n"/>
      <c r="S2265" s="22">
        <f>IF(AND($A2265="",$C2265=""),"",IF($A2265="","Thiếu mã đơn; ","")&amp;IF(COUNTIF($A$2:$A2265,$A2265)&gt;1,"Trùng mã đơn; ","")&amp;IF(ISNA(MATCH($C2265,DATA_MASTER!$D$2:$D$5000,0)),"SĐT chưa đăng ký hội viên; ","")&amp;IF(AND($L2265="Đã chuyển khoản",$M2265=""),"Thiếu ngày nhận CK; ",""))</f>
        <v/>
      </c>
      <c r="T2265" s="24" t="n"/>
    </row>
    <row r="2266" ht="14.25" customHeight="1" s="40">
      <c r="A2266" s="24" t="n"/>
      <c r="B2266" s="29" t="n"/>
      <c r="C2266" s="28" t="n"/>
      <c r="D2266" s="22">
        <f t="array" ref="D2266">IF($C2266="","",IFERROR(INDEX(DATA_MASTER!$C$2:$C$5000,MATCH($C2266,DATA_MASTER!$D$2:$D$5000,0)),""))</f>
        <v/>
      </c>
      <c r="E2266" s="22">
        <f t="array" ref="E2266">IF($C2266="","",IFERROR(INDEX(DATA_MASTER!$I$2:$I$5000,MATCH($C2266,DATA_MASTER!$D$2:$D$5000,0)),""))</f>
        <v/>
      </c>
      <c r="F2266" s="22">
        <f t="array" ref="F2266">IF($C2266="","",IFERROR(INDEX(DATA_MASTER!$L$2:$L$5000,MATCH($C2266,DATA_MASTER!$D$2:$D$5000,0)),""))</f>
        <v/>
      </c>
      <c r="G2266" s="24" t="n"/>
      <c r="H2266" s="24" t="n"/>
      <c r="I2266" s="30" t="n"/>
      <c r="J2266" s="23">
        <f>IF(OR($H2266="",$I2266=""),"",$H2266*$I2266)</f>
        <v/>
      </c>
      <c r="K2266" s="24" t="n"/>
      <c r="L2266" s="24" t="n"/>
      <c r="M2266" s="29" t="n"/>
      <c r="N2266" s="28" t="n"/>
      <c r="O2266" s="24" t="n"/>
      <c r="P2266" s="24" t="n"/>
      <c r="Q2266" s="24" t="n"/>
      <c r="R2266" s="24" t="n"/>
      <c r="S2266" s="22">
        <f>IF(AND($A2266="",$C2266=""),"",IF($A2266="","Thiếu mã đơn; ","")&amp;IF(COUNTIF($A$2:$A2266,$A2266)&gt;1,"Trùng mã đơn; ","")&amp;IF(ISNA(MATCH($C2266,DATA_MASTER!$D$2:$D$5000,0)),"SĐT chưa đăng ký hội viên; ","")&amp;IF(AND($L2266="Đã chuyển khoản",$M2266=""),"Thiếu ngày nhận CK; ",""))</f>
        <v/>
      </c>
      <c r="T2266" s="24" t="n"/>
    </row>
    <row r="2267" ht="14.25" customHeight="1" s="40">
      <c r="A2267" s="24" t="n"/>
      <c r="B2267" s="29" t="n"/>
      <c r="C2267" s="28" t="n"/>
      <c r="D2267" s="22">
        <f t="array" ref="D2267">IF($C2267="","",IFERROR(INDEX(DATA_MASTER!$C$2:$C$5000,MATCH($C2267,DATA_MASTER!$D$2:$D$5000,0)),""))</f>
        <v/>
      </c>
      <c r="E2267" s="22">
        <f t="array" ref="E2267">IF($C2267="","",IFERROR(INDEX(DATA_MASTER!$I$2:$I$5000,MATCH($C2267,DATA_MASTER!$D$2:$D$5000,0)),""))</f>
        <v/>
      </c>
      <c r="F2267" s="22">
        <f t="array" ref="F2267">IF($C2267="","",IFERROR(INDEX(DATA_MASTER!$L$2:$L$5000,MATCH($C2267,DATA_MASTER!$D$2:$D$5000,0)),""))</f>
        <v/>
      </c>
      <c r="G2267" s="24" t="n"/>
      <c r="H2267" s="24" t="n"/>
      <c r="I2267" s="30" t="n"/>
      <c r="J2267" s="23">
        <f>IF(OR($H2267="",$I2267=""),"",$H2267*$I2267)</f>
        <v/>
      </c>
      <c r="K2267" s="24" t="n"/>
      <c r="L2267" s="24" t="n"/>
      <c r="M2267" s="29" t="n"/>
      <c r="N2267" s="28" t="n"/>
      <c r="O2267" s="24" t="n"/>
      <c r="P2267" s="24" t="n"/>
      <c r="Q2267" s="24" t="n"/>
      <c r="R2267" s="24" t="n"/>
      <c r="S2267" s="22">
        <f>IF(AND($A2267="",$C2267=""),"",IF($A2267="","Thiếu mã đơn; ","")&amp;IF(COUNTIF($A$2:$A2267,$A2267)&gt;1,"Trùng mã đơn; ","")&amp;IF(ISNA(MATCH($C2267,DATA_MASTER!$D$2:$D$5000,0)),"SĐT chưa đăng ký hội viên; ","")&amp;IF(AND($L2267="Đã chuyển khoản",$M2267=""),"Thiếu ngày nhận CK; ",""))</f>
        <v/>
      </c>
      <c r="T2267" s="24" t="n"/>
    </row>
    <row r="2268" ht="14.25" customHeight="1" s="40">
      <c r="A2268" s="24" t="n"/>
      <c r="B2268" s="29" t="n"/>
      <c r="C2268" s="28" t="n"/>
      <c r="D2268" s="22">
        <f t="array" ref="D2268">IF($C2268="","",IFERROR(INDEX(DATA_MASTER!$C$2:$C$5000,MATCH($C2268,DATA_MASTER!$D$2:$D$5000,0)),""))</f>
        <v/>
      </c>
      <c r="E2268" s="22">
        <f t="array" ref="E2268">IF($C2268="","",IFERROR(INDEX(DATA_MASTER!$I$2:$I$5000,MATCH($C2268,DATA_MASTER!$D$2:$D$5000,0)),""))</f>
        <v/>
      </c>
      <c r="F2268" s="22">
        <f t="array" ref="F2268">IF($C2268="","",IFERROR(INDEX(DATA_MASTER!$L$2:$L$5000,MATCH($C2268,DATA_MASTER!$D$2:$D$5000,0)),""))</f>
        <v/>
      </c>
      <c r="G2268" s="24" t="n"/>
      <c r="H2268" s="24" t="n"/>
      <c r="I2268" s="30" t="n"/>
      <c r="J2268" s="23">
        <f>IF(OR($H2268="",$I2268=""),"",$H2268*$I2268)</f>
        <v/>
      </c>
      <c r="K2268" s="24" t="n"/>
      <c r="L2268" s="24" t="n"/>
      <c r="M2268" s="29" t="n"/>
      <c r="N2268" s="28" t="n"/>
      <c r="O2268" s="24" t="n"/>
      <c r="P2268" s="24" t="n"/>
      <c r="Q2268" s="24" t="n"/>
      <c r="R2268" s="24" t="n"/>
      <c r="S2268" s="22">
        <f>IF(AND($A2268="",$C2268=""),"",IF($A2268="","Thiếu mã đơn; ","")&amp;IF(COUNTIF($A$2:$A2268,$A2268)&gt;1,"Trùng mã đơn; ","")&amp;IF(ISNA(MATCH($C2268,DATA_MASTER!$D$2:$D$5000,0)),"SĐT chưa đăng ký hội viên; ","")&amp;IF(AND($L2268="Đã chuyển khoản",$M2268=""),"Thiếu ngày nhận CK; ",""))</f>
        <v/>
      </c>
      <c r="T2268" s="24" t="n"/>
    </row>
    <row r="2269" ht="14.25" customHeight="1" s="40">
      <c r="A2269" s="24" t="n"/>
      <c r="B2269" s="29" t="n"/>
      <c r="C2269" s="28" t="n"/>
      <c r="D2269" s="22">
        <f t="array" ref="D2269">IF($C2269="","",IFERROR(INDEX(DATA_MASTER!$C$2:$C$5000,MATCH($C2269,DATA_MASTER!$D$2:$D$5000,0)),""))</f>
        <v/>
      </c>
      <c r="E2269" s="22">
        <f t="array" ref="E2269">IF($C2269="","",IFERROR(INDEX(DATA_MASTER!$I$2:$I$5000,MATCH($C2269,DATA_MASTER!$D$2:$D$5000,0)),""))</f>
        <v/>
      </c>
      <c r="F2269" s="22">
        <f t="array" ref="F2269">IF($C2269="","",IFERROR(INDEX(DATA_MASTER!$L$2:$L$5000,MATCH($C2269,DATA_MASTER!$D$2:$D$5000,0)),""))</f>
        <v/>
      </c>
      <c r="G2269" s="24" t="n"/>
      <c r="H2269" s="24" t="n"/>
      <c r="I2269" s="30" t="n"/>
      <c r="J2269" s="23">
        <f>IF(OR($H2269="",$I2269=""),"",$H2269*$I2269)</f>
        <v/>
      </c>
      <c r="K2269" s="24" t="n"/>
      <c r="L2269" s="24" t="n"/>
      <c r="M2269" s="29" t="n"/>
      <c r="N2269" s="28" t="n"/>
      <c r="O2269" s="24" t="n"/>
      <c r="P2269" s="24" t="n"/>
      <c r="Q2269" s="24" t="n"/>
      <c r="R2269" s="24" t="n"/>
      <c r="S2269" s="22">
        <f>IF(AND($A2269="",$C2269=""),"",IF($A2269="","Thiếu mã đơn; ","")&amp;IF(COUNTIF($A$2:$A2269,$A2269)&gt;1,"Trùng mã đơn; ","")&amp;IF(ISNA(MATCH($C2269,DATA_MASTER!$D$2:$D$5000,0)),"SĐT chưa đăng ký hội viên; ","")&amp;IF(AND($L2269="Đã chuyển khoản",$M2269=""),"Thiếu ngày nhận CK; ",""))</f>
        <v/>
      </c>
      <c r="T2269" s="24" t="n"/>
    </row>
    <row r="2270" ht="14.25" customHeight="1" s="40">
      <c r="A2270" s="24" t="n"/>
      <c r="B2270" s="29" t="n"/>
      <c r="C2270" s="28" t="n"/>
      <c r="D2270" s="22">
        <f t="array" ref="D2270">IF($C2270="","",IFERROR(INDEX(DATA_MASTER!$C$2:$C$5000,MATCH($C2270,DATA_MASTER!$D$2:$D$5000,0)),""))</f>
        <v/>
      </c>
      <c r="E2270" s="22">
        <f t="array" ref="E2270">IF($C2270="","",IFERROR(INDEX(DATA_MASTER!$I$2:$I$5000,MATCH($C2270,DATA_MASTER!$D$2:$D$5000,0)),""))</f>
        <v/>
      </c>
      <c r="F2270" s="22">
        <f t="array" ref="F2270">IF($C2270="","",IFERROR(INDEX(DATA_MASTER!$L$2:$L$5000,MATCH($C2270,DATA_MASTER!$D$2:$D$5000,0)),""))</f>
        <v/>
      </c>
      <c r="G2270" s="24" t="n"/>
      <c r="H2270" s="24" t="n"/>
      <c r="I2270" s="30" t="n"/>
      <c r="J2270" s="23">
        <f>IF(OR($H2270="",$I2270=""),"",$H2270*$I2270)</f>
        <v/>
      </c>
      <c r="K2270" s="24" t="n"/>
      <c r="L2270" s="24" t="n"/>
      <c r="M2270" s="29" t="n"/>
      <c r="N2270" s="28" t="n"/>
      <c r="O2270" s="24" t="n"/>
      <c r="P2270" s="24" t="n"/>
      <c r="Q2270" s="24" t="n"/>
      <c r="R2270" s="24" t="n"/>
      <c r="S2270" s="22">
        <f>IF(AND($A2270="",$C2270=""),"",IF($A2270="","Thiếu mã đơn; ","")&amp;IF(COUNTIF($A$2:$A2270,$A2270)&gt;1,"Trùng mã đơn; ","")&amp;IF(ISNA(MATCH($C2270,DATA_MASTER!$D$2:$D$5000,0)),"SĐT chưa đăng ký hội viên; ","")&amp;IF(AND($L2270="Đã chuyển khoản",$M2270=""),"Thiếu ngày nhận CK; ",""))</f>
        <v/>
      </c>
      <c r="T2270" s="24" t="n"/>
    </row>
    <row r="2271" ht="14.25" customHeight="1" s="40">
      <c r="A2271" s="24" t="n"/>
      <c r="B2271" s="29" t="n"/>
      <c r="C2271" s="28" t="n"/>
      <c r="D2271" s="22">
        <f t="array" ref="D2271">IF($C2271="","",IFERROR(INDEX(DATA_MASTER!$C$2:$C$5000,MATCH($C2271,DATA_MASTER!$D$2:$D$5000,0)),""))</f>
        <v/>
      </c>
      <c r="E2271" s="22">
        <f t="array" ref="E2271">IF($C2271="","",IFERROR(INDEX(DATA_MASTER!$I$2:$I$5000,MATCH($C2271,DATA_MASTER!$D$2:$D$5000,0)),""))</f>
        <v/>
      </c>
      <c r="F2271" s="22">
        <f t="array" ref="F2271">IF($C2271="","",IFERROR(INDEX(DATA_MASTER!$L$2:$L$5000,MATCH($C2271,DATA_MASTER!$D$2:$D$5000,0)),""))</f>
        <v/>
      </c>
      <c r="G2271" s="24" t="n"/>
      <c r="H2271" s="24" t="n"/>
      <c r="I2271" s="30" t="n"/>
      <c r="J2271" s="23">
        <f>IF(OR($H2271="",$I2271=""),"",$H2271*$I2271)</f>
        <v/>
      </c>
      <c r="K2271" s="24" t="n"/>
      <c r="L2271" s="24" t="n"/>
      <c r="M2271" s="29" t="n"/>
      <c r="N2271" s="28" t="n"/>
      <c r="O2271" s="24" t="n"/>
      <c r="P2271" s="24" t="n"/>
      <c r="Q2271" s="24" t="n"/>
      <c r="R2271" s="24" t="n"/>
      <c r="S2271" s="22">
        <f>IF(AND($A2271="",$C2271=""),"",IF($A2271="","Thiếu mã đơn; ","")&amp;IF(COUNTIF($A$2:$A2271,$A2271)&gt;1,"Trùng mã đơn; ","")&amp;IF(ISNA(MATCH($C2271,DATA_MASTER!$D$2:$D$5000,0)),"SĐT chưa đăng ký hội viên; ","")&amp;IF(AND($L2271="Đã chuyển khoản",$M2271=""),"Thiếu ngày nhận CK; ",""))</f>
        <v/>
      </c>
      <c r="T2271" s="24" t="n"/>
    </row>
    <row r="2272" ht="14.25" customHeight="1" s="40">
      <c r="A2272" s="24" t="n"/>
      <c r="B2272" s="29" t="n"/>
      <c r="C2272" s="28" t="n"/>
      <c r="D2272" s="22">
        <f t="array" ref="D2272">IF($C2272="","",IFERROR(INDEX(DATA_MASTER!$C$2:$C$5000,MATCH($C2272,DATA_MASTER!$D$2:$D$5000,0)),""))</f>
        <v/>
      </c>
      <c r="E2272" s="22">
        <f t="array" ref="E2272">IF($C2272="","",IFERROR(INDEX(DATA_MASTER!$I$2:$I$5000,MATCH($C2272,DATA_MASTER!$D$2:$D$5000,0)),""))</f>
        <v/>
      </c>
      <c r="F2272" s="22">
        <f t="array" ref="F2272">IF($C2272="","",IFERROR(INDEX(DATA_MASTER!$L$2:$L$5000,MATCH($C2272,DATA_MASTER!$D$2:$D$5000,0)),""))</f>
        <v/>
      </c>
      <c r="G2272" s="24" t="n"/>
      <c r="H2272" s="24" t="n"/>
      <c r="I2272" s="30" t="n"/>
      <c r="J2272" s="23">
        <f>IF(OR($H2272="",$I2272=""),"",$H2272*$I2272)</f>
        <v/>
      </c>
      <c r="K2272" s="24" t="n"/>
      <c r="L2272" s="24" t="n"/>
      <c r="M2272" s="29" t="n"/>
      <c r="N2272" s="28" t="n"/>
      <c r="O2272" s="24" t="n"/>
      <c r="P2272" s="24" t="n"/>
      <c r="Q2272" s="24" t="n"/>
      <c r="R2272" s="24" t="n"/>
      <c r="S2272" s="22">
        <f>IF(AND($A2272="",$C2272=""),"",IF($A2272="","Thiếu mã đơn; ","")&amp;IF(COUNTIF($A$2:$A2272,$A2272)&gt;1,"Trùng mã đơn; ","")&amp;IF(ISNA(MATCH($C2272,DATA_MASTER!$D$2:$D$5000,0)),"SĐT chưa đăng ký hội viên; ","")&amp;IF(AND($L2272="Đã chuyển khoản",$M2272=""),"Thiếu ngày nhận CK; ",""))</f>
        <v/>
      </c>
      <c r="T2272" s="24" t="n"/>
    </row>
    <row r="2273" ht="14.25" customHeight="1" s="40">
      <c r="A2273" s="24" t="n"/>
      <c r="B2273" s="29" t="n"/>
      <c r="C2273" s="28" t="n"/>
      <c r="D2273" s="22">
        <f t="array" ref="D2273">IF($C2273="","",IFERROR(INDEX(DATA_MASTER!$C$2:$C$5000,MATCH($C2273,DATA_MASTER!$D$2:$D$5000,0)),""))</f>
        <v/>
      </c>
      <c r="E2273" s="22">
        <f t="array" ref="E2273">IF($C2273="","",IFERROR(INDEX(DATA_MASTER!$I$2:$I$5000,MATCH($C2273,DATA_MASTER!$D$2:$D$5000,0)),""))</f>
        <v/>
      </c>
      <c r="F2273" s="22">
        <f t="array" ref="F2273">IF($C2273="","",IFERROR(INDEX(DATA_MASTER!$L$2:$L$5000,MATCH($C2273,DATA_MASTER!$D$2:$D$5000,0)),""))</f>
        <v/>
      </c>
      <c r="G2273" s="24" t="n"/>
      <c r="H2273" s="24" t="n"/>
      <c r="I2273" s="30" t="n"/>
      <c r="J2273" s="23">
        <f>IF(OR($H2273="",$I2273=""),"",$H2273*$I2273)</f>
        <v/>
      </c>
      <c r="K2273" s="24" t="n"/>
      <c r="L2273" s="24" t="n"/>
      <c r="M2273" s="29" t="n"/>
      <c r="N2273" s="28" t="n"/>
      <c r="O2273" s="24" t="n"/>
      <c r="P2273" s="24" t="n"/>
      <c r="Q2273" s="24" t="n"/>
      <c r="R2273" s="24" t="n"/>
      <c r="S2273" s="22">
        <f>IF(AND($A2273="",$C2273=""),"",IF($A2273="","Thiếu mã đơn; ","")&amp;IF(COUNTIF($A$2:$A2273,$A2273)&gt;1,"Trùng mã đơn; ","")&amp;IF(ISNA(MATCH($C2273,DATA_MASTER!$D$2:$D$5000,0)),"SĐT chưa đăng ký hội viên; ","")&amp;IF(AND($L2273="Đã chuyển khoản",$M2273=""),"Thiếu ngày nhận CK; ",""))</f>
        <v/>
      </c>
      <c r="T2273" s="24" t="n"/>
    </row>
    <row r="2274" ht="14.25" customHeight="1" s="40">
      <c r="A2274" s="24" t="n"/>
      <c r="B2274" s="29" t="n"/>
      <c r="C2274" s="28" t="n"/>
      <c r="D2274" s="22">
        <f t="array" ref="D2274">IF($C2274="","",IFERROR(INDEX(DATA_MASTER!$C$2:$C$5000,MATCH($C2274,DATA_MASTER!$D$2:$D$5000,0)),""))</f>
        <v/>
      </c>
      <c r="E2274" s="22">
        <f t="array" ref="E2274">IF($C2274="","",IFERROR(INDEX(DATA_MASTER!$I$2:$I$5000,MATCH($C2274,DATA_MASTER!$D$2:$D$5000,0)),""))</f>
        <v/>
      </c>
      <c r="F2274" s="22">
        <f t="array" ref="F2274">IF($C2274="","",IFERROR(INDEX(DATA_MASTER!$L$2:$L$5000,MATCH($C2274,DATA_MASTER!$D$2:$D$5000,0)),""))</f>
        <v/>
      </c>
      <c r="G2274" s="24" t="n"/>
      <c r="H2274" s="24" t="n"/>
      <c r="I2274" s="30" t="n"/>
      <c r="J2274" s="23">
        <f>IF(OR($H2274="",$I2274=""),"",$H2274*$I2274)</f>
        <v/>
      </c>
      <c r="K2274" s="24" t="n"/>
      <c r="L2274" s="24" t="n"/>
      <c r="M2274" s="29" t="n"/>
      <c r="N2274" s="28" t="n"/>
      <c r="O2274" s="24" t="n"/>
      <c r="P2274" s="24" t="n"/>
      <c r="Q2274" s="24" t="n"/>
      <c r="R2274" s="24" t="n"/>
      <c r="S2274" s="22">
        <f>IF(AND($A2274="",$C2274=""),"",IF($A2274="","Thiếu mã đơn; ","")&amp;IF(COUNTIF($A$2:$A2274,$A2274)&gt;1,"Trùng mã đơn; ","")&amp;IF(ISNA(MATCH($C2274,DATA_MASTER!$D$2:$D$5000,0)),"SĐT chưa đăng ký hội viên; ","")&amp;IF(AND($L2274="Đã chuyển khoản",$M2274=""),"Thiếu ngày nhận CK; ",""))</f>
        <v/>
      </c>
      <c r="T2274" s="24" t="n"/>
    </row>
    <row r="2275" ht="14.25" customHeight="1" s="40">
      <c r="A2275" s="24" t="n"/>
      <c r="B2275" s="29" t="n"/>
      <c r="C2275" s="28" t="n"/>
      <c r="D2275" s="22">
        <f t="array" ref="D2275">IF($C2275="","",IFERROR(INDEX(DATA_MASTER!$C$2:$C$5000,MATCH($C2275,DATA_MASTER!$D$2:$D$5000,0)),""))</f>
        <v/>
      </c>
      <c r="E2275" s="22">
        <f t="array" ref="E2275">IF($C2275="","",IFERROR(INDEX(DATA_MASTER!$I$2:$I$5000,MATCH($C2275,DATA_MASTER!$D$2:$D$5000,0)),""))</f>
        <v/>
      </c>
      <c r="F2275" s="22">
        <f t="array" ref="F2275">IF($C2275="","",IFERROR(INDEX(DATA_MASTER!$L$2:$L$5000,MATCH($C2275,DATA_MASTER!$D$2:$D$5000,0)),""))</f>
        <v/>
      </c>
      <c r="G2275" s="24" t="n"/>
      <c r="H2275" s="24" t="n"/>
      <c r="I2275" s="30" t="n"/>
      <c r="J2275" s="23">
        <f>IF(OR($H2275="",$I2275=""),"",$H2275*$I2275)</f>
        <v/>
      </c>
      <c r="K2275" s="24" t="n"/>
      <c r="L2275" s="24" t="n"/>
      <c r="M2275" s="29" t="n"/>
      <c r="N2275" s="28" t="n"/>
      <c r="O2275" s="24" t="n"/>
      <c r="P2275" s="24" t="n"/>
      <c r="Q2275" s="24" t="n"/>
      <c r="R2275" s="24" t="n"/>
      <c r="S2275" s="22">
        <f>IF(AND($A2275="",$C2275=""),"",IF($A2275="","Thiếu mã đơn; ","")&amp;IF(COUNTIF($A$2:$A2275,$A2275)&gt;1,"Trùng mã đơn; ","")&amp;IF(ISNA(MATCH($C2275,DATA_MASTER!$D$2:$D$5000,0)),"SĐT chưa đăng ký hội viên; ","")&amp;IF(AND($L2275="Đã chuyển khoản",$M2275=""),"Thiếu ngày nhận CK; ",""))</f>
        <v/>
      </c>
      <c r="T2275" s="24" t="n"/>
    </row>
    <row r="2276" ht="14.25" customHeight="1" s="40">
      <c r="A2276" s="24" t="n"/>
      <c r="B2276" s="29" t="n"/>
      <c r="C2276" s="28" t="n"/>
      <c r="D2276" s="22">
        <f t="array" ref="D2276">IF($C2276="","",IFERROR(INDEX(DATA_MASTER!$C$2:$C$5000,MATCH($C2276,DATA_MASTER!$D$2:$D$5000,0)),""))</f>
        <v/>
      </c>
      <c r="E2276" s="22">
        <f t="array" ref="E2276">IF($C2276="","",IFERROR(INDEX(DATA_MASTER!$I$2:$I$5000,MATCH($C2276,DATA_MASTER!$D$2:$D$5000,0)),""))</f>
        <v/>
      </c>
      <c r="F2276" s="22">
        <f t="array" ref="F2276">IF($C2276="","",IFERROR(INDEX(DATA_MASTER!$L$2:$L$5000,MATCH($C2276,DATA_MASTER!$D$2:$D$5000,0)),""))</f>
        <v/>
      </c>
      <c r="G2276" s="24" t="n"/>
      <c r="H2276" s="24" t="n"/>
      <c r="I2276" s="30" t="n"/>
      <c r="J2276" s="23">
        <f>IF(OR($H2276="",$I2276=""),"",$H2276*$I2276)</f>
        <v/>
      </c>
      <c r="K2276" s="24" t="n"/>
      <c r="L2276" s="24" t="n"/>
      <c r="M2276" s="29" t="n"/>
      <c r="N2276" s="28" t="n"/>
      <c r="O2276" s="24" t="n"/>
      <c r="P2276" s="24" t="n"/>
      <c r="Q2276" s="24" t="n"/>
      <c r="R2276" s="24" t="n"/>
      <c r="S2276" s="22">
        <f>IF(AND($A2276="",$C2276=""),"",IF($A2276="","Thiếu mã đơn; ","")&amp;IF(COUNTIF($A$2:$A2276,$A2276)&gt;1,"Trùng mã đơn; ","")&amp;IF(ISNA(MATCH($C2276,DATA_MASTER!$D$2:$D$5000,0)),"SĐT chưa đăng ký hội viên; ","")&amp;IF(AND($L2276="Đã chuyển khoản",$M2276=""),"Thiếu ngày nhận CK; ",""))</f>
        <v/>
      </c>
      <c r="T2276" s="24" t="n"/>
    </row>
    <row r="2277" ht="14.25" customHeight="1" s="40">
      <c r="A2277" s="24" t="n"/>
      <c r="B2277" s="29" t="n"/>
      <c r="C2277" s="28" t="n"/>
      <c r="D2277" s="22">
        <f t="array" ref="D2277">IF($C2277="","",IFERROR(INDEX(DATA_MASTER!$C$2:$C$5000,MATCH($C2277,DATA_MASTER!$D$2:$D$5000,0)),""))</f>
        <v/>
      </c>
      <c r="E2277" s="22">
        <f t="array" ref="E2277">IF($C2277="","",IFERROR(INDEX(DATA_MASTER!$I$2:$I$5000,MATCH($C2277,DATA_MASTER!$D$2:$D$5000,0)),""))</f>
        <v/>
      </c>
      <c r="F2277" s="22">
        <f t="array" ref="F2277">IF($C2277="","",IFERROR(INDEX(DATA_MASTER!$L$2:$L$5000,MATCH($C2277,DATA_MASTER!$D$2:$D$5000,0)),""))</f>
        <v/>
      </c>
      <c r="G2277" s="24" t="n"/>
      <c r="H2277" s="24" t="n"/>
      <c r="I2277" s="30" t="n"/>
      <c r="J2277" s="23">
        <f>IF(OR($H2277="",$I2277=""),"",$H2277*$I2277)</f>
        <v/>
      </c>
      <c r="K2277" s="24" t="n"/>
      <c r="L2277" s="24" t="n"/>
      <c r="M2277" s="29" t="n"/>
      <c r="N2277" s="28" t="n"/>
      <c r="O2277" s="24" t="n"/>
      <c r="P2277" s="24" t="n"/>
      <c r="Q2277" s="24" t="n"/>
      <c r="R2277" s="24" t="n"/>
      <c r="S2277" s="22">
        <f>IF(AND($A2277="",$C2277=""),"",IF($A2277="","Thiếu mã đơn; ","")&amp;IF(COUNTIF($A$2:$A2277,$A2277)&gt;1,"Trùng mã đơn; ","")&amp;IF(ISNA(MATCH($C2277,DATA_MASTER!$D$2:$D$5000,0)),"SĐT chưa đăng ký hội viên; ","")&amp;IF(AND($L2277="Đã chuyển khoản",$M2277=""),"Thiếu ngày nhận CK; ",""))</f>
        <v/>
      </c>
      <c r="T2277" s="24" t="n"/>
    </row>
    <row r="2278" ht="14.25" customHeight="1" s="40">
      <c r="A2278" s="24" t="n"/>
      <c r="B2278" s="29" t="n"/>
      <c r="C2278" s="28" t="n"/>
      <c r="D2278" s="22">
        <f t="array" ref="D2278">IF($C2278="","",IFERROR(INDEX(DATA_MASTER!$C$2:$C$5000,MATCH($C2278,DATA_MASTER!$D$2:$D$5000,0)),""))</f>
        <v/>
      </c>
      <c r="E2278" s="22">
        <f t="array" ref="E2278">IF($C2278="","",IFERROR(INDEX(DATA_MASTER!$I$2:$I$5000,MATCH($C2278,DATA_MASTER!$D$2:$D$5000,0)),""))</f>
        <v/>
      </c>
      <c r="F2278" s="22">
        <f t="array" ref="F2278">IF($C2278="","",IFERROR(INDEX(DATA_MASTER!$L$2:$L$5000,MATCH($C2278,DATA_MASTER!$D$2:$D$5000,0)),""))</f>
        <v/>
      </c>
      <c r="G2278" s="24" t="n"/>
      <c r="H2278" s="24" t="n"/>
      <c r="I2278" s="30" t="n"/>
      <c r="J2278" s="23">
        <f>IF(OR($H2278="",$I2278=""),"",$H2278*$I2278)</f>
        <v/>
      </c>
      <c r="K2278" s="24" t="n"/>
      <c r="L2278" s="24" t="n"/>
      <c r="M2278" s="29" t="n"/>
      <c r="N2278" s="28" t="n"/>
      <c r="O2278" s="24" t="n"/>
      <c r="P2278" s="24" t="n"/>
      <c r="Q2278" s="24" t="n"/>
      <c r="R2278" s="24" t="n"/>
      <c r="S2278" s="22">
        <f>IF(AND($A2278="",$C2278=""),"",IF($A2278="","Thiếu mã đơn; ","")&amp;IF(COUNTIF($A$2:$A2278,$A2278)&gt;1,"Trùng mã đơn; ","")&amp;IF(ISNA(MATCH($C2278,DATA_MASTER!$D$2:$D$5000,0)),"SĐT chưa đăng ký hội viên; ","")&amp;IF(AND($L2278="Đã chuyển khoản",$M2278=""),"Thiếu ngày nhận CK; ",""))</f>
        <v/>
      </c>
      <c r="T2278" s="24" t="n"/>
    </row>
    <row r="2279" ht="14.25" customHeight="1" s="40">
      <c r="A2279" s="24" t="n"/>
      <c r="B2279" s="29" t="n"/>
      <c r="C2279" s="28" t="n"/>
      <c r="D2279" s="22">
        <f t="array" ref="D2279">IF($C2279="","",IFERROR(INDEX(DATA_MASTER!$C$2:$C$5000,MATCH($C2279,DATA_MASTER!$D$2:$D$5000,0)),""))</f>
        <v/>
      </c>
      <c r="E2279" s="22">
        <f t="array" ref="E2279">IF($C2279="","",IFERROR(INDEX(DATA_MASTER!$I$2:$I$5000,MATCH($C2279,DATA_MASTER!$D$2:$D$5000,0)),""))</f>
        <v/>
      </c>
      <c r="F2279" s="22">
        <f t="array" ref="F2279">IF($C2279="","",IFERROR(INDEX(DATA_MASTER!$L$2:$L$5000,MATCH($C2279,DATA_MASTER!$D$2:$D$5000,0)),""))</f>
        <v/>
      </c>
      <c r="G2279" s="24" t="n"/>
      <c r="H2279" s="24" t="n"/>
      <c r="I2279" s="30" t="n"/>
      <c r="J2279" s="23">
        <f>IF(OR($H2279="",$I2279=""),"",$H2279*$I2279)</f>
        <v/>
      </c>
      <c r="K2279" s="24" t="n"/>
      <c r="L2279" s="24" t="n"/>
      <c r="M2279" s="29" t="n"/>
      <c r="N2279" s="28" t="n"/>
      <c r="O2279" s="24" t="n"/>
      <c r="P2279" s="24" t="n"/>
      <c r="Q2279" s="24" t="n"/>
      <c r="R2279" s="24" t="n"/>
      <c r="S2279" s="22">
        <f>IF(AND($A2279="",$C2279=""),"",IF($A2279="","Thiếu mã đơn; ","")&amp;IF(COUNTIF($A$2:$A2279,$A2279)&gt;1,"Trùng mã đơn; ","")&amp;IF(ISNA(MATCH($C2279,DATA_MASTER!$D$2:$D$5000,0)),"SĐT chưa đăng ký hội viên; ","")&amp;IF(AND($L2279="Đã chuyển khoản",$M2279=""),"Thiếu ngày nhận CK; ",""))</f>
        <v/>
      </c>
      <c r="T2279" s="24" t="n"/>
    </row>
    <row r="2280" ht="14.25" customHeight="1" s="40">
      <c r="A2280" s="24" t="n"/>
      <c r="B2280" s="29" t="n"/>
      <c r="C2280" s="28" t="n"/>
      <c r="D2280" s="22">
        <f t="array" ref="D2280">IF($C2280="","",IFERROR(INDEX(DATA_MASTER!$C$2:$C$5000,MATCH($C2280,DATA_MASTER!$D$2:$D$5000,0)),""))</f>
        <v/>
      </c>
      <c r="E2280" s="22">
        <f t="array" ref="E2280">IF($C2280="","",IFERROR(INDEX(DATA_MASTER!$I$2:$I$5000,MATCH($C2280,DATA_MASTER!$D$2:$D$5000,0)),""))</f>
        <v/>
      </c>
      <c r="F2280" s="22">
        <f t="array" ref="F2280">IF($C2280="","",IFERROR(INDEX(DATA_MASTER!$L$2:$L$5000,MATCH($C2280,DATA_MASTER!$D$2:$D$5000,0)),""))</f>
        <v/>
      </c>
      <c r="G2280" s="24" t="n"/>
      <c r="H2280" s="24" t="n"/>
      <c r="I2280" s="30" t="n"/>
      <c r="J2280" s="23">
        <f>IF(OR($H2280="",$I2280=""),"",$H2280*$I2280)</f>
        <v/>
      </c>
      <c r="K2280" s="24" t="n"/>
      <c r="L2280" s="24" t="n"/>
      <c r="M2280" s="29" t="n"/>
      <c r="N2280" s="28" t="n"/>
      <c r="O2280" s="24" t="n"/>
      <c r="P2280" s="24" t="n"/>
      <c r="Q2280" s="24" t="n"/>
      <c r="R2280" s="24" t="n"/>
      <c r="S2280" s="22">
        <f>IF(AND($A2280="",$C2280=""),"",IF($A2280="","Thiếu mã đơn; ","")&amp;IF(COUNTIF($A$2:$A2280,$A2280)&gt;1,"Trùng mã đơn; ","")&amp;IF(ISNA(MATCH($C2280,DATA_MASTER!$D$2:$D$5000,0)),"SĐT chưa đăng ký hội viên; ","")&amp;IF(AND($L2280="Đã chuyển khoản",$M2280=""),"Thiếu ngày nhận CK; ",""))</f>
        <v/>
      </c>
      <c r="T2280" s="24" t="n"/>
    </row>
    <row r="2281" ht="14.25" customHeight="1" s="40">
      <c r="A2281" s="24" t="n"/>
      <c r="B2281" s="29" t="n"/>
      <c r="C2281" s="28" t="n"/>
      <c r="D2281" s="22">
        <f t="array" ref="D2281">IF($C2281="","",IFERROR(INDEX(DATA_MASTER!$C$2:$C$5000,MATCH($C2281,DATA_MASTER!$D$2:$D$5000,0)),""))</f>
        <v/>
      </c>
      <c r="E2281" s="22">
        <f t="array" ref="E2281">IF($C2281="","",IFERROR(INDEX(DATA_MASTER!$I$2:$I$5000,MATCH($C2281,DATA_MASTER!$D$2:$D$5000,0)),""))</f>
        <v/>
      </c>
      <c r="F2281" s="22">
        <f t="array" ref="F2281">IF($C2281="","",IFERROR(INDEX(DATA_MASTER!$L$2:$L$5000,MATCH($C2281,DATA_MASTER!$D$2:$D$5000,0)),""))</f>
        <v/>
      </c>
      <c r="G2281" s="24" t="n"/>
      <c r="H2281" s="24" t="n"/>
      <c r="I2281" s="30" t="n"/>
      <c r="J2281" s="23">
        <f>IF(OR($H2281="",$I2281=""),"",$H2281*$I2281)</f>
        <v/>
      </c>
      <c r="K2281" s="24" t="n"/>
      <c r="L2281" s="24" t="n"/>
      <c r="M2281" s="29" t="n"/>
      <c r="N2281" s="28" t="n"/>
      <c r="O2281" s="24" t="n"/>
      <c r="P2281" s="24" t="n"/>
      <c r="Q2281" s="24" t="n"/>
      <c r="R2281" s="24" t="n"/>
      <c r="S2281" s="22">
        <f>IF(AND($A2281="",$C2281=""),"",IF($A2281="","Thiếu mã đơn; ","")&amp;IF(COUNTIF($A$2:$A2281,$A2281)&gt;1,"Trùng mã đơn; ","")&amp;IF(ISNA(MATCH($C2281,DATA_MASTER!$D$2:$D$5000,0)),"SĐT chưa đăng ký hội viên; ","")&amp;IF(AND($L2281="Đã chuyển khoản",$M2281=""),"Thiếu ngày nhận CK; ",""))</f>
        <v/>
      </c>
      <c r="T2281" s="24" t="n"/>
    </row>
    <row r="2282" ht="14.25" customHeight="1" s="40">
      <c r="A2282" s="24" t="n"/>
      <c r="B2282" s="29" t="n"/>
      <c r="C2282" s="28" t="n"/>
      <c r="D2282" s="22">
        <f t="array" ref="D2282">IF($C2282="","",IFERROR(INDEX(DATA_MASTER!$C$2:$C$5000,MATCH($C2282,DATA_MASTER!$D$2:$D$5000,0)),""))</f>
        <v/>
      </c>
      <c r="E2282" s="22">
        <f t="array" ref="E2282">IF($C2282="","",IFERROR(INDEX(DATA_MASTER!$I$2:$I$5000,MATCH($C2282,DATA_MASTER!$D$2:$D$5000,0)),""))</f>
        <v/>
      </c>
      <c r="F2282" s="22">
        <f t="array" ref="F2282">IF($C2282="","",IFERROR(INDEX(DATA_MASTER!$L$2:$L$5000,MATCH($C2282,DATA_MASTER!$D$2:$D$5000,0)),""))</f>
        <v/>
      </c>
      <c r="G2282" s="24" t="n"/>
      <c r="H2282" s="24" t="n"/>
      <c r="I2282" s="30" t="n"/>
      <c r="J2282" s="23">
        <f>IF(OR($H2282="",$I2282=""),"",$H2282*$I2282)</f>
        <v/>
      </c>
      <c r="K2282" s="24" t="n"/>
      <c r="L2282" s="24" t="n"/>
      <c r="M2282" s="29" t="n"/>
      <c r="N2282" s="28" t="n"/>
      <c r="O2282" s="24" t="n"/>
      <c r="P2282" s="24" t="n"/>
      <c r="Q2282" s="24" t="n"/>
      <c r="R2282" s="24" t="n"/>
      <c r="S2282" s="22">
        <f>IF(AND($A2282="",$C2282=""),"",IF($A2282="","Thiếu mã đơn; ","")&amp;IF(COUNTIF($A$2:$A2282,$A2282)&gt;1,"Trùng mã đơn; ","")&amp;IF(ISNA(MATCH($C2282,DATA_MASTER!$D$2:$D$5000,0)),"SĐT chưa đăng ký hội viên; ","")&amp;IF(AND($L2282="Đã chuyển khoản",$M2282=""),"Thiếu ngày nhận CK; ",""))</f>
        <v/>
      </c>
      <c r="T2282" s="24" t="n"/>
    </row>
    <row r="2283" ht="14.25" customHeight="1" s="40">
      <c r="A2283" s="24" t="n"/>
      <c r="B2283" s="29" t="n"/>
      <c r="C2283" s="28" t="n"/>
      <c r="D2283" s="22">
        <f t="array" ref="D2283">IF($C2283="","",IFERROR(INDEX(DATA_MASTER!$C$2:$C$5000,MATCH($C2283,DATA_MASTER!$D$2:$D$5000,0)),""))</f>
        <v/>
      </c>
      <c r="E2283" s="22">
        <f t="array" ref="E2283">IF($C2283="","",IFERROR(INDEX(DATA_MASTER!$I$2:$I$5000,MATCH($C2283,DATA_MASTER!$D$2:$D$5000,0)),""))</f>
        <v/>
      </c>
      <c r="F2283" s="22">
        <f t="array" ref="F2283">IF($C2283="","",IFERROR(INDEX(DATA_MASTER!$L$2:$L$5000,MATCH($C2283,DATA_MASTER!$D$2:$D$5000,0)),""))</f>
        <v/>
      </c>
      <c r="G2283" s="24" t="n"/>
      <c r="H2283" s="24" t="n"/>
      <c r="I2283" s="30" t="n"/>
      <c r="J2283" s="23">
        <f>IF(OR($H2283="",$I2283=""),"",$H2283*$I2283)</f>
        <v/>
      </c>
      <c r="K2283" s="24" t="n"/>
      <c r="L2283" s="24" t="n"/>
      <c r="M2283" s="29" t="n"/>
      <c r="N2283" s="28" t="n"/>
      <c r="O2283" s="24" t="n"/>
      <c r="P2283" s="24" t="n"/>
      <c r="Q2283" s="24" t="n"/>
      <c r="R2283" s="24" t="n"/>
      <c r="S2283" s="22">
        <f>IF(AND($A2283="",$C2283=""),"",IF($A2283="","Thiếu mã đơn; ","")&amp;IF(COUNTIF($A$2:$A2283,$A2283)&gt;1,"Trùng mã đơn; ","")&amp;IF(ISNA(MATCH($C2283,DATA_MASTER!$D$2:$D$5000,0)),"SĐT chưa đăng ký hội viên; ","")&amp;IF(AND($L2283="Đã chuyển khoản",$M2283=""),"Thiếu ngày nhận CK; ",""))</f>
        <v/>
      </c>
      <c r="T2283" s="24" t="n"/>
    </row>
    <row r="2284" ht="14.25" customHeight="1" s="40">
      <c r="A2284" s="24" t="n"/>
      <c r="B2284" s="29" t="n"/>
      <c r="C2284" s="28" t="n"/>
      <c r="D2284" s="22">
        <f t="array" ref="D2284">IF($C2284="","",IFERROR(INDEX(DATA_MASTER!$C$2:$C$5000,MATCH($C2284,DATA_MASTER!$D$2:$D$5000,0)),""))</f>
        <v/>
      </c>
      <c r="E2284" s="22">
        <f t="array" ref="E2284">IF($C2284="","",IFERROR(INDEX(DATA_MASTER!$I$2:$I$5000,MATCH($C2284,DATA_MASTER!$D$2:$D$5000,0)),""))</f>
        <v/>
      </c>
      <c r="F2284" s="22">
        <f t="array" ref="F2284">IF($C2284="","",IFERROR(INDEX(DATA_MASTER!$L$2:$L$5000,MATCH($C2284,DATA_MASTER!$D$2:$D$5000,0)),""))</f>
        <v/>
      </c>
      <c r="G2284" s="24" t="n"/>
      <c r="H2284" s="24" t="n"/>
      <c r="I2284" s="30" t="n"/>
      <c r="J2284" s="23">
        <f>IF(OR($H2284="",$I2284=""),"",$H2284*$I2284)</f>
        <v/>
      </c>
      <c r="K2284" s="24" t="n"/>
      <c r="L2284" s="24" t="n"/>
      <c r="M2284" s="29" t="n"/>
      <c r="N2284" s="28" t="n"/>
      <c r="O2284" s="24" t="n"/>
      <c r="P2284" s="24" t="n"/>
      <c r="Q2284" s="24" t="n"/>
      <c r="R2284" s="24" t="n"/>
      <c r="S2284" s="22">
        <f>IF(AND($A2284="",$C2284=""),"",IF($A2284="","Thiếu mã đơn; ","")&amp;IF(COUNTIF($A$2:$A2284,$A2284)&gt;1,"Trùng mã đơn; ","")&amp;IF(ISNA(MATCH($C2284,DATA_MASTER!$D$2:$D$5000,0)),"SĐT chưa đăng ký hội viên; ","")&amp;IF(AND($L2284="Đã chuyển khoản",$M2284=""),"Thiếu ngày nhận CK; ",""))</f>
        <v/>
      </c>
      <c r="T2284" s="24" t="n"/>
    </row>
    <row r="2285" ht="14.25" customHeight="1" s="40">
      <c r="A2285" s="24" t="n"/>
      <c r="B2285" s="29" t="n"/>
      <c r="C2285" s="28" t="n"/>
      <c r="D2285" s="22">
        <f t="array" ref="D2285">IF($C2285="","",IFERROR(INDEX(DATA_MASTER!$C$2:$C$5000,MATCH($C2285,DATA_MASTER!$D$2:$D$5000,0)),""))</f>
        <v/>
      </c>
      <c r="E2285" s="22">
        <f t="array" ref="E2285">IF($C2285="","",IFERROR(INDEX(DATA_MASTER!$I$2:$I$5000,MATCH($C2285,DATA_MASTER!$D$2:$D$5000,0)),""))</f>
        <v/>
      </c>
      <c r="F2285" s="22">
        <f t="array" ref="F2285">IF($C2285="","",IFERROR(INDEX(DATA_MASTER!$L$2:$L$5000,MATCH($C2285,DATA_MASTER!$D$2:$D$5000,0)),""))</f>
        <v/>
      </c>
      <c r="G2285" s="24" t="n"/>
      <c r="H2285" s="24" t="n"/>
      <c r="I2285" s="30" t="n"/>
      <c r="J2285" s="23">
        <f>IF(OR($H2285="",$I2285=""),"",$H2285*$I2285)</f>
        <v/>
      </c>
      <c r="K2285" s="24" t="n"/>
      <c r="L2285" s="24" t="n"/>
      <c r="M2285" s="29" t="n"/>
      <c r="N2285" s="28" t="n"/>
      <c r="O2285" s="24" t="n"/>
      <c r="P2285" s="24" t="n"/>
      <c r="Q2285" s="24" t="n"/>
      <c r="R2285" s="24" t="n"/>
      <c r="S2285" s="22">
        <f>IF(AND($A2285="",$C2285=""),"",IF($A2285="","Thiếu mã đơn; ","")&amp;IF(COUNTIF($A$2:$A2285,$A2285)&gt;1,"Trùng mã đơn; ","")&amp;IF(ISNA(MATCH($C2285,DATA_MASTER!$D$2:$D$5000,0)),"SĐT chưa đăng ký hội viên; ","")&amp;IF(AND($L2285="Đã chuyển khoản",$M2285=""),"Thiếu ngày nhận CK; ",""))</f>
        <v/>
      </c>
      <c r="T2285" s="24" t="n"/>
    </row>
    <row r="2286" ht="14.25" customHeight="1" s="40">
      <c r="A2286" s="24" t="n"/>
      <c r="B2286" s="29" t="n"/>
      <c r="C2286" s="28" t="n"/>
      <c r="D2286" s="22">
        <f t="array" ref="D2286">IF($C2286="","",IFERROR(INDEX(DATA_MASTER!$C$2:$C$5000,MATCH($C2286,DATA_MASTER!$D$2:$D$5000,0)),""))</f>
        <v/>
      </c>
      <c r="E2286" s="22">
        <f t="array" ref="E2286">IF($C2286="","",IFERROR(INDEX(DATA_MASTER!$I$2:$I$5000,MATCH($C2286,DATA_MASTER!$D$2:$D$5000,0)),""))</f>
        <v/>
      </c>
      <c r="F2286" s="22">
        <f t="array" ref="F2286">IF($C2286="","",IFERROR(INDEX(DATA_MASTER!$L$2:$L$5000,MATCH($C2286,DATA_MASTER!$D$2:$D$5000,0)),""))</f>
        <v/>
      </c>
      <c r="G2286" s="24" t="n"/>
      <c r="H2286" s="24" t="n"/>
      <c r="I2286" s="30" t="n"/>
      <c r="J2286" s="23">
        <f>IF(OR($H2286="",$I2286=""),"",$H2286*$I2286)</f>
        <v/>
      </c>
      <c r="K2286" s="24" t="n"/>
      <c r="L2286" s="24" t="n"/>
      <c r="M2286" s="29" t="n"/>
      <c r="N2286" s="28" t="n"/>
      <c r="O2286" s="24" t="n"/>
      <c r="P2286" s="24" t="n"/>
      <c r="Q2286" s="24" t="n"/>
      <c r="R2286" s="24" t="n"/>
      <c r="S2286" s="22">
        <f>IF(AND($A2286="",$C2286=""),"",IF($A2286="","Thiếu mã đơn; ","")&amp;IF(COUNTIF($A$2:$A2286,$A2286)&gt;1,"Trùng mã đơn; ","")&amp;IF(ISNA(MATCH($C2286,DATA_MASTER!$D$2:$D$5000,0)),"SĐT chưa đăng ký hội viên; ","")&amp;IF(AND($L2286="Đã chuyển khoản",$M2286=""),"Thiếu ngày nhận CK; ",""))</f>
        <v/>
      </c>
      <c r="T2286" s="24" t="n"/>
    </row>
    <row r="2287" ht="14.25" customHeight="1" s="40">
      <c r="A2287" s="24" t="n"/>
      <c r="B2287" s="29" t="n"/>
      <c r="C2287" s="28" t="n"/>
      <c r="D2287" s="22">
        <f t="array" ref="D2287">IF($C2287="","",IFERROR(INDEX(DATA_MASTER!$C$2:$C$5000,MATCH($C2287,DATA_MASTER!$D$2:$D$5000,0)),""))</f>
        <v/>
      </c>
      <c r="E2287" s="22">
        <f t="array" ref="E2287">IF($C2287="","",IFERROR(INDEX(DATA_MASTER!$I$2:$I$5000,MATCH($C2287,DATA_MASTER!$D$2:$D$5000,0)),""))</f>
        <v/>
      </c>
      <c r="F2287" s="22">
        <f t="array" ref="F2287">IF($C2287="","",IFERROR(INDEX(DATA_MASTER!$L$2:$L$5000,MATCH($C2287,DATA_MASTER!$D$2:$D$5000,0)),""))</f>
        <v/>
      </c>
      <c r="G2287" s="24" t="n"/>
      <c r="H2287" s="24" t="n"/>
      <c r="I2287" s="30" t="n"/>
      <c r="J2287" s="23">
        <f>IF(OR($H2287="",$I2287=""),"",$H2287*$I2287)</f>
        <v/>
      </c>
      <c r="K2287" s="24" t="n"/>
      <c r="L2287" s="24" t="n"/>
      <c r="M2287" s="29" t="n"/>
      <c r="N2287" s="28" t="n"/>
      <c r="O2287" s="24" t="n"/>
      <c r="P2287" s="24" t="n"/>
      <c r="Q2287" s="24" t="n"/>
      <c r="R2287" s="24" t="n"/>
      <c r="S2287" s="22">
        <f>IF(AND($A2287="",$C2287=""),"",IF($A2287="","Thiếu mã đơn; ","")&amp;IF(COUNTIF($A$2:$A2287,$A2287)&gt;1,"Trùng mã đơn; ","")&amp;IF(ISNA(MATCH($C2287,DATA_MASTER!$D$2:$D$5000,0)),"SĐT chưa đăng ký hội viên; ","")&amp;IF(AND($L2287="Đã chuyển khoản",$M2287=""),"Thiếu ngày nhận CK; ",""))</f>
        <v/>
      </c>
      <c r="T2287" s="24" t="n"/>
    </row>
    <row r="2288" ht="14.25" customHeight="1" s="40">
      <c r="A2288" s="24" t="n"/>
      <c r="B2288" s="29" t="n"/>
      <c r="C2288" s="28" t="n"/>
      <c r="D2288" s="22">
        <f t="array" ref="D2288">IF($C2288="","",IFERROR(INDEX(DATA_MASTER!$C$2:$C$5000,MATCH($C2288,DATA_MASTER!$D$2:$D$5000,0)),""))</f>
        <v/>
      </c>
      <c r="E2288" s="22">
        <f t="array" ref="E2288">IF($C2288="","",IFERROR(INDEX(DATA_MASTER!$I$2:$I$5000,MATCH($C2288,DATA_MASTER!$D$2:$D$5000,0)),""))</f>
        <v/>
      </c>
      <c r="F2288" s="22">
        <f t="array" ref="F2288">IF($C2288="","",IFERROR(INDEX(DATA_MASTER!$L$2:$L$5000,MATCH($C2288,DATA_MASTER!$D$2:$D$5000,0)),""))</f>
        <v/>
      </c>
      <c r="G2288" s="24" t="n"/>
      <c r="H2288" s="24" t="n"/>
      <c r="I2288" s="30" t="n"/>
      <c r="J2288" s="23">
        <f>IF(OR($H2288="",$I2288=""),"",$H2288*$I2288)</f>
        <v/>
      </c>
      <c r="K2288" s="24" t="n"/>
      <c r="L2288" s="24" t="n"/>
      <c r="M2288" s="29" t="n"/>
      <c r="N2288" s="28" t="n"/>
      <c r="O2288" s="24" t="n"/>
      <c r="P2288" s="24" t="n"/>
      <c r="Q2288" s="24" t="n"/>
      <c r="R2288" s="24" t="n"/>
      <c r="S2288" s="22">
        <f>IF(AND($A2288="",$C2288=""),"",IF($A2288="","Thiếu mã đơn; ","")&amp;IF(COUNTIF($A$2:$A2288,$A2288)&gt;1,"Trùng mã đơn; ","")&amp;IF(ISNA(MATCH($C2288,DATA_MASTER!$D$2:$D$5000,0)),"SĐT chưa đăng ký hội viên; ","")&amp;IF(AND($L2288="Đã chuyển khoản",$M2288=""),"Thiếu ngày nhận CK; ",""))</f>
        <v/>
      </c>
      <c r="T2288" s="24" t="n"/>
    </row>
    <row r="2289" ht="14.25" customHeight="1" s="40">
      <c r="A2289" s="24" t="n"/>
      <c r="B2289" s="29" t="n"/>
      <c r="C2289" s="28" t="n"/>
      <c r="D2289" s="22">
        <f t="array" ref="D2289">IF($C2289="","",IFERROR(INDEX(DATA_MASTER!$C$2:$C$5000,MATCH($C2289,DATA_MASTER!$D$2:$D$5000,0)),""))</f>
        <v/>
      </c>
      <c r="E2289" s="22">
        <f t="array" ref="E2289">IF($C2289="","",IFERROR(INDEX(DATA_MASTER!$I$2:$I$5000,MATCH($C2289,DATA_MASTER!$D$2:$D$5000,0)),""))</f>
        <v/>
      </c>
      <c r="F2289" s="22">
        <f t="array" ref="F2289">IF($C2289="","",IFERROR(INDEX(DATA_MASTER!$L$2:$L$5000,MATCH($C2289,DATA_MASTER!$D$2:$D$5000,0)),""))</f>
        <v/>
      </c>
      <c r="G2289" s="24" t="n"/>
      <c r="H2289" s="24" t="n"/>
      <c r="I2289" s="30" t="n"/>
      <c r="J2289" s="23">
        <f>IF(OR($H2289="",$I2289=""),"",$H2289*$I2289)</f>
        <v/>
      </c>
      <c r="K2289" s="24" t="n"/>
      <c r="L2289" s="24" t="n"/>
      <c r="M2289" s="29" t="n"/>
      <c r="N2289" s="28" t="n"/>
      <c r="O2289" s="24" t="n"/>
      <c r="P2289" s="24" t="n"/>
      <c r="Q2289" s="24" t="n"/>
      <c r="R2289" s="24" t="n"/>
      <c r="S2289" s="22">
        <f>IF(AND($A2289="",$C2289=""),"",IF($A2289="","Thiếu mã đơn; ","")&amp;IF(COUNTIF($A$2:$A2289,$A2289)&gt;1,"Trùng mã đơn; ","")&amp;IF(ISNA(MATCH($C2289,DATA_MASTER!$D$2:$D$5000,0)),"SĐT chưa đăng ký hội viên; ","")&amp;IF(AND($L2289="Đã chuyển khoản",$M2289=""),"Thiếu ngày nhận CK; ",""))</f>
        <v/>
      </c>
      <c r="T2289" s="24" t="n"/>
    </row>
    <row r="2290" ht="14.25" customHeight="1" s="40">
      <c r="A2290" s="24" t="n"/>
      <c r="B2290" s="29" t="n"/>
      <c r="C2290" s="28" t="n"/>
      <c r="D2290" s="22">
        <f t="array" ref="D2290">IF($C2290="","",IFERROR(INDEX(DATA_MASTER!$C$2:$C$5000,MATCH($C2290,DATA_MASTER!$D$2:$D$5000,0)),""))</f>
        <v/>
      </c>
      <c r="E2290" s="22">
        <f t="array" ref="E2290">IF($C2290="","",IFERROR(INDEX(DATA_MASTER!$I$2:$I$5000,MATCH($C2290,DATA_MASTER!$D$2:$D$5000,0)),""))</f>
        <v/>
      </c>
      <c r="F2290" s="22">
        <f t="array" ref="F2290">IF($C2290="","",IFERROR(INDEX(DATA_MASTER!$L$2:$L$5000,MATCH($C2290,DATA_MASTER!$D$2:$D$5000,0)),""))</f>
        <v/>
      </c>
      <c r="G2290" s="24" t="n"/>
      <c r="H2290" s="24" t="n"/>
      <c r="I2290" s="30" t="n"/>
      <c r="J2290" s="23">
        <f>IF(OR($H2290="",$I2290=""),"",$H2290*$I2290)</f>
        <v/>
      </c>
      <c r="K2290" s="24" t="n"/>
      <c r="L2290" s="24" t="n"/>
      <c r="M2290" s="29" t="n"/>
      <c r="N2290" s="28" t="n"/>
      <c r="O2290" s="24" t="n"/>
      <c r="P2290" s="24" t="n"/>
      <c r="Q2290" s="24" t="n"/>
      <c r="R2290" s="24" t="n"/>
      <c r="S2290" s="22">
        <f>IF(AND($A2290="",$C2290=""),"",IF($A2290="","Thiếu mã đơn; ","")&amp;IF(COUNTIF($A$2:$A2290,$A2290)&gt;1,"Trùng mã đơn; ","")&amp;IF(ISNA(MATCH($C2290,DATA_MASTER!$D$2:$D$5000,0)),"SĐT chưa đăng ký hội viên; ","")&amp;IF(AND($L2290="Đã chuyển khoản",$M2290=""),"Thiếu ngày nhận CK; ",""))</f>
        <v/>
      </c>
      <c r="T2290" s="24" t="n"/>
    </row>
    <row r="2291" ht="14.25" customHeight="1" s="40">
      <c r="A2291" s="24" t="n"/>
      <c r="B2291" s="29" t="n"/>
      <c r="C2291" s="28" t="n"/>
      <c r="D2291" s="22">
        <f t="array" ref="D2291">IF($C2291="","",IFERROR(INDEX(DATA_MASTER!$C$2:$C$5000,MATCH($C2291,DATA_MASTER!$D$2:$D$5000,0)),""))</f>
        <v/>
      </c>
      <c r="E2291" s="22">
        <f t="array" ref="E2291">IF($C2291="","",IFERROR(INDEX(DATA_MASTER!$I$2:$I$5000,MATCH($C2291,DATA_MASTER!$D$2:$D$5000,0)),""))</f>
        <v/>
      </c>
      <c r="F2291" s="22">
        <f t="array" ref="F2291">IF($C2291="","",IFERROR(INDEX(DATA_MASTER!$L$2:$L$5000,MATCH($C2291,DATA_MASTER!$D$2:$D$5000,0)),""))</f>
        <v/>
      </c>
      <c r="G2291" s="24" t="n"/>
      <c r="H2291" s="24" t="n"/>
      <c r="I2291" s="30" t="n"/>
      <c r="J2291" s="23">
        <f>IF(OR($H2291="",$I2291=""),"",$H2291*$I2291)</f>
        <v/>
      </c>
      <c r="K2291" s="24" t="n"/>
      <c r="L2291" s="24" t="n"/>
      <c r="M2291" s="29" t="n"/>
      <c r="N2291" s="28" t="n"/>
      <c r="O2291" s="24" t="n"/>
      <c r="P2291" s="24" t="n"/>
      <c r="Q2291" s="24" t="n"/>
      <c r="R2291" s="24" t="n"/>
      <c r="S2291" s="22">
        <f>IF(AND($A2291="",$C2291=""),"",IF($A2291="","Thiếu mã đơn; ","")&amp;IF(COUNTIF($A$2:$A2291,$A2291)&gt;1,"Trùng mã đơn; ","")&amp;IF(ISNA(MATCH($C2291,DATA_MASTER!$D$2:$D$5000,0)),"SĐT chưa đăng ký hội viên; ","")&amp;IF(AND($L2291="Đã chuyển khoản",$M2291=""),"Thiếu ngày nhận CK; ",""))</f>
        <v/>
      </c>
      <c r="T2291" s="24" t="n"/>
    </row>
    <row r="2292" ht="14.25" customHeight="1" s="40">
      <c r="A2292" s="24" t="n"/>
      <c r="B2292" s="29" t="n"/>
      <c r="C2292" s="28" t="n"/>
      <c r="D2292" s="22">
        <f t="array" ref="D2292">IF($C2292="","",IFERROR(INDEX(DATA_MASTER!$C$2:$C$5000,MATCH($C2292,DATA_MASTER!$D$2:$D$5000,0)),""))</f>
        <v/>
      </c>
      <c r="E2292" s="22">
        <f t="array" ref="E2292">IF($C2292="","",IFERROR(INDEX(DATA_MASTER!$I$2:$I$5000,MATCH($C2292,DATA_MASTER!$D$2:$D$5000,0)),""))</f>
        <v/>
      </c>
      <c r="F2292" s="22">
        <f t="array" ref="F2292">IF($C2292="","",IFERROR(INDEX(DATA_MASTER!$L$2:$L$5000,MATCH($C2292,DATA_MASTER!$D$2:$D$5000,0)),""))</f>
        <v/>
      </c>
      <c r="G2292" s="24" t="n"/>
      <c r="H2292" s="24" t="n"/>
      <c r="I2292" s="30" t="n"/>
      <c r="J2292" s="23">
        <f>IF(OR($H2292="",$I2292=""),"",$H2292*$I2292)</f>
        <v/>
      </c>
      <c r="K2292" s="24" t="n"/>
      <c r="L2292" s="24" t="n"/>
      <c r="M2292" s="29" t="n"/>
      <c r="N2292" s="28" t="n"/>
      <c r="O2292" s="24" t="n"/>
      <c r="P2292" s="24" t="n"/>
      <c r="Q2292" s="24" t="n"/>
      <c r="R2292" s="24" t="n"/>
      <c r="S2292" s="22">
        <f>IF(AND($A2292="",$C2292=""),"",IF($A2292="","Thiếu mã đơn; ","")&amp;IF(COUNTIF($A$2:$A2292,$A2292)&gt;1,"Trùng mã đơn; ","")&amp;IF(ISNA(MATCH($C2292,DATA_MASTER!$D$2:$D$5000,0)),"SĐT chưa đăng ký hội viên; ","")&amp;IF(AND($L2292="Đã chuyển khoản",$M2292=""),"Thiếu ngày nhận CK; ",""))</f>
        <v/>
      </c>
      <c r="T2292" s="24" t="n"/>
    </row>
    <row r="2293" ht="14.25" customHeight="1" s="40">
      <c r="A2293" s="24" t="n"/>
      <c r="B2293" s="29" t="n"/>
      <c r="C2293" s="28" t="n"/>
      <c r="D2293" s="22">
        <f t="array" ref="D2293">IF($C2293="","",IFERROR(INDEX(DATA_MASTER!$C$2:$C$5000,MATCH($C2293,DATA_MASTER!$D$2:$D$5000,0)),""))</f>
        <v/>
      </c>
      <c r="E2293" s="22">
        <f t="array" ref="E2293">IF($C2293="","",IFERROR(INDEX(DATA_MASTER!$I$2:$I$5000,MATCH($C2293,DATA_MASTER!$D$2:$D$5000,0)),""))</f>
        <v/>
      </c>
      <c r="F2293" s="22">
        <f t="array" ref="F2293">IF($C2293="","",IFERROR(INDEX(DATA_MASTER!$L$2:$L$5000,MATCH($C2293,DATA_MASTER!$D$2:$D$5000,0)),""))</f>
        <v/>
      </c>
      <c r="G2293" s="24" t="n"/>
      <c r="H2293" s="24" t="n"/>
      <c r="I2293" s="30" t="n"/>
      <c r="J2293" s="23">
        <f>IF(OR($H2293="",$I2293=""),"",$H2293*$I2293)</f>
        <v/>
      </c>
      <c r="K2293" s="24" t="n"/>
      <c r="L2293" s="24" t="n"/>
      <c r="M2293" s="29" t="n"/>
      <c r="N2293" s="28" t="n"/>
      <c r="O2293" s="24" t="n"/>
      <c r="P2293" s="24" t="n"/>
      <c r="Q2293" s="24" t="n"/>
      <c r="R2293" s="24" t="n"/>
      <c r="S2293" s="22">
        <f>IF(AND($A2293="",$C2293=""),"",IF($A2293="","Thiếu mã đơn; ","")&amp;IF(COUNTIF($A$2:$A2293,$A2293)&gt;1,"Trùng mã đơn; ","")&amp;IF(ISNA(MATCH($C2293,DATA_MASTER!$D$2:$D$5000,0)),"SĐT chưa đăng ký hội viên; ","")&amp;IF(AND($L2293="Đã chuyển khoản",$M2293=""),"Thiếu ngày nhận CK; ",""))</f>
        <v/>
      </c>
      <c r="T2293" s="24" t="n"/>
    </row>
    <row r="2294" ht="14.25" customHeight="1" s="40">
      <c r="A2294" s="24" t="n"/>
      <c r="B2294" s="29" t="n"/>
      <c r="C2294" s="28" t="n"/>
      <c r="D2294" s="22">
        <f t="array" ref="D2294">IF($C2294="","",IFERROR(INDEX(DATA_MASTER!$C$2:$C$5000,MATCH($C2294,DATA_MASTER!$D$2:$D$5000,0)),""))</f>
        <v/>
      </c>
      <c r="E2294" s="22">
        <f t="array" ref="E2294">IF($C2294="","",IFERROR(INDEX(DATA_MASTER!$I$2:$I$5000,MATCH($C2294,DATA_MASTER!$D$2:$D$5000,0)),""))</f>
        <v/>
      </c>
      <c r="F2294" s="22">
        <f t="array" ref="F2294">IF($C2294="","",IFERROR(INDEX(DATA_MASTER!$L$2:$L$5000,MATCH($C2294,DATA_MASTER!$D$2:$D$5000,0)),""))</f>
        <v/>
      </c>
      <c r="G2294" s="24" t="n"/>
      <c r="H2294" s="24" t="n"/>
      <c r="I2294" s="30" t="n"/>
      <c r="J2294" s="23">
        <f>IF(OR($H2294="",$I2294=""),"",$H2294*$I2294)</f>
        <v/>
      </c>
      <c r="K2294" s="24" t="n"/>
      <c r="L2294" s="24" t="n"/>
      <c r="M2294" s="29" t="n"/>
      <c r="N2294" s="28" t="n"/>
      <c r="O2294" s="24" t="n"/>
      <c r="P2294" s="24" t="n"/>
      <c r="Q2294" s="24" t="n"/>
      <c r="R2294" s="24" t="n"/>
      <c r="S2294" s="22">
        <f>IF(AND($A2294="",$C2294=""),"",IF($A2294="","Thiếu mã đơn; ","")&amp;IF(COUNTIF($A$2:$A2294,$A2294)&gt;1,"Trùng mã đơn; ","")&amp;IF(ISNA(MATCH($C2294,DATA_MASTER!$D$2:$D$5000,0)),"SĐT chưa đăng ký hội viên; ","")&amp;IF(AND($L2294="Đã chuyển khoản",$M2294=""),"Thiếu ngày nhận CK; ",""))</f>
        <v/>
      </c>
      <c r="T2294" s="24" t="n"/>
    </row>
    <row r="2295" ht="14.25" customHeight="1" s="40">
      <c r="A2295" s="24" t="n"/>
      <c r="B2295" s="29" t="n"/>
      <c r="C2295" s="28" t="n"/>
      <c r="D2295" s="22">
        <f t="array" ref="D2295">IF($C2295="","",IFERROR(INDEX(DATA_MASTER!$C$2:$C$5000,MATCH($C2295,DATA_MASTER!$D$2:$D$5000,0)),""))</f>
        <v/>
      </c>
      <c r="E2295" s="22">
        <f t="array" ref="E2295">IF($C2295="","",IFERROR(INDEX(DATA_MASTER!$I$2:$I$5000,MATCH($C2295,DATA_MASTER!$D$2:$D$5000,0)),""))</f>
        <v/>
      </c>
      <c r="F2295" s="22">
        <f t="array" ref="F2295">IF($C2295="","",IFERROR(INDEX(DATA_MASTER!$L$2:$L$5000,MATCH($C2295,DATA_MASTER!$D$2:$D$5000,0)),""))</f>
        <v/>
      </c>
      <c r="G2295" s="24" t="n"/>
      <c r="H2295" s="24" t="n"/>
      <c r="I2295" s="30" t="n"/>
      <c r="J2295" s="23">
        <f>IF(OR($H2295="",$I2295=""),"",$H2295*$I2295)</f>
        <v/>
      </c>
      <c r="K2295" s="24" t="n"/>
      <c r="L2295" s="24" t="n"/>
      <c r="M2295" s="29" t="n"/>
      <c r="N2295" s="28" t="n"/>
      <c r="O2295" s="24" t="n"/>
      <c r="P2295" s="24" t="n"/>
      <c r="Q2295" s="24" t="n"/>
      <c r="R2295" s="24" t="n"/>
      <c r="S2295" s="22">
        <f>IF(AND($A2295="",$C2295=""),"",IF($A2295="","Thiếu mã đơn; ","")&amp;IF(COUNTIF($A$2:$A2295,$A2295)&gt;1,"Trùng mã đơn; ","")&amp;IF(ISNA(MATCH($C2295,DATA_MASTER!$D$2:$D$5000,0)),"SĐT chưa đăng ký hội viên; ","")&amp;IF(AND($L2295="Đã chuyển khoản",$M2295=""),"Thiếu ngày nhận CK; ",""))</f>
        <v/>
      </c>
      <c r="T2295" s="24" t="n"/>
    </row>
    <row r="2296" ht="14.25" customHeight="1" s="40">
      <c r="A2296" s="24" t="n"/>
      <c r="B2296" s="29" t="n"/>
      <c r="C2296" s="28" t="n"/>
      <c r="D2296" s="22">
        <f t="array" ref="D2296">IF($C2296="","",IFERROR(INDEX(DATA_MASTER!$C$2:$C$5000,MATCH($C2296,DATA_MASTER!$D$2:$D$5000,0)),""))</f>
        <v/>
      </c>
      <c r="E2296" s="22">
        <f t="array" ref="E2296">IF($C2296="","",IFERROR(INDEX(DATA_MASTER!$I$2:$I$5000,MATCH($C2296,DATA_MASTER!$D$2:$D$5000,0)),""))</f>
        <v/>
      </c>
      <c r="F2296" s="22">
        <f t="array" ref="F2296">IF($C2296="","",IFERROR(INDEX(DATA_MASTER!$L$2:$L$5000,MATCH($C2296,DATA_MASTER!$D$2:$D$5000,0)),""))</f>
        <v/>
      </c>
      <c r="G2296" s="24" t="n"/>
      <c r="H2296" s="24" t="n"/>
      <c r="I2296" s="30" t="n"/>
      <c r="J2296" s="23">
        <f>IF(OR($H2296="",$I2296=""),"",$H2296*$I2296)</f>
        <v/>
      </c>
      <c r="K2296" s="24" t="n"/>
      <c r="L2296" s="24" t="n"/>
      <c r="M2296" s="29" t="n"/>
      <c r="N2296" s="28" t="n"/>
      <c r="O2296" s="24" t="n"/>
      <c r="P2296" s="24" t="n"/>
      <c r="Q2296" s="24" t="n"/>
      <c r="R2296" s="24" t="n"/>
      <c r="S2296" s="22">
        <f>IF(AND($A2296="",$C2296=""),"",IF($A2296="","Thiếu mã đơn; ","")&amp;IF(COUNTIF($A$2:$A2296,$A2296)&gt;1,"Trùng mã đơn; ","")&amp;IF(ISNA(MATCH($C2296,DATA_MASTER!$D$2:$D$5000,0)),"SĐT chưa đăng ký hội viên; ","")&amp;IF(AND($L2296="Đã chuyển khoản",$M2296=""),"Thiếu ngày nhận CK; ",""))</f>
        <v/>
      </c>
      <c r="T2296" s="24" t="n"/>
    </row>
    <row r="2297" ht="14.25" customHeight="1" s="40">
      <c r="A2297" s="24" t="n"/>
      <c r="B2297" s="29" t="n"/>
      <c r="C2297" s="28" t="n"/>
      <c r="D2297" s="22">
        <f t="array" ref="D2297">IF($C2297="","",IFERROR(INDEX(DATA_MASTER!$C$2:$C$5000,MATCH($C2297,DATA_MASTER!$D$2:$D$5000,0)),""))</f>
        <v/>
      </c>
      <c r="E2297" s="22">
        <f t="array" ref="E2297">IF($C2297="","",IFERROR(INDEX(DATA_MASTER!$I$2:$I$5000,MATCH($C2297,DATA_MASTER!$D$2:$D$5000,0)),""))</f>
        <v/>
      </c>
      <c r="F2297" s="22">
        <f t="array" ref="F2297">IF($C2297="","",IFERROR(INDEX(DATA_MASTER!$L$2:$L$5000,MATCH($C2297,DATA_MASTER!$D$2:$D$5000,0)),""))</f>
        <v/>
      </c>
      <c r="G2297" s="24" t="n"/>
      <c r="H2297" s="24" t="n"/>
      <c r="I2297" s="30" t="n"/>
      <c r="J2297" s="23">
        <f>IF(OR($H2297="",$I2297=""),"",$H2297*$I2297)</f>
        <v/>
      </c>
      <c r="K2297" s="24" t="n"/>
      <c r="L2297" s="24" t="n"/>
      <c r="M2297" s="29" t="n"/>
      <c r="N2297" s="28" t="n"/>
      <c r="O2297" s="24" t="n"/>
      <c r="P2297" s="24" t="n"/>
      <c r="Q2297" s="24" t="n"/>
      <c r="R2297" s="24" t="n"/>
      <c r="S2297" s="22">
        <f>IF(AND($A2297="",$C2297=""),"",IF($A2297="","Thiếu mã đơn; ","")&amp;IF(COUNTIF($A$2:$A2297,$A2297)&gt;1,"Trùng mã đơn; ","")&amp;IF(ISNA(MATCH($C2297,DATA_MASTER!$D$2:$D$5000,0)),"SĐT chưa đăng ký hội viên; ","")&amp;IF(AND($L2297="Đã chuyển khoản",$M2297=""),"Thiếu ngày nhận CK; ",""))</f>
        <v/>
      </c>
      <c r="T2297" s="24" t="n"/>
    </row>
    <row r="2298" ht="14.25" customHeight="1" s="40">
      <c r="A2298" s="24" t="n"/>
      <c r="B2298" s="29" t="n"/>
      <c r="C2298" s="28" t="n"/>
      <c r="D2298" s="22">
        <f t="array" ref="D2298">IF($C2298="","",IFERROR(INDEX(DATA_MASTER!$C$2:$C$5000,MATCH($C2298,DATA_MASTER!$D$2:$D$5000,0)),""))</f>
        <v/>
      </c>
      <c r="E2298" s="22">
        <f t="array" ref="E2298">IF($C2298="","",IFERROR(INDEX(DATA_MASTER!$I$2:$I$5000,MATCH($C2298,DATA_MASTER!$D$2:$D$5000,0)),""))</f>
        <v/>
      </c>
      <c r="F2298" s="22">
        <f t="array" ref="F2298">IF($C2298="","",IFERROR(INDEX(DATA_MASTER!$L$2:$L$5000,MATCH($C2298,DATA_MASTER!$D$2:$D$5000,0)),""))</f>
        <v/>
      </c>
      <c r="G2298" s="24" t="n"/>
      <c r="H2298" s="24" t="n"/>
      <c r="I2298" s="30" t="n"/>
      <c r="J2298" s="23">
        <f>IF(OR($H2298="",$I2298=""),"",$H2298*$I2298)</f>
        <v/>
      </c>
      <c r="K2298" s="24" t="n"/>
      <c r="L2298" s="24" t="n"/>
      <c r="M2298" s="29" t="n"/>
      <c r="N2298" s="28" t="n"/>
      <c r="O2298" s="24" t="n"/>
      <c r="P2298" s="24" t="n"/>
      <c r="Q2298" s="24" t="n"/>
      <c r="R2298" s="24" t="n"/>
      <c r="S2298" s="22">
        <f>IF(AND($A2298="",$C2298=""),"",IF($A2298="","Thiếu mã đơn; ","")&amp;IF(COUNTIF($A$2:$A2298,$A2298)&gt;1,"Trùng mã đơn; ","")&amp;IF(ISNA(MATCH($C2298,DATA_MASTER!$D$2:$D$5000,0)),"SĐT chưa đăng ký hội viên; ","")&amp;IF(AND($L2298="Đã chuyển khoản",$M2298=""),"Thiếu ngày nhận CK; ",""))</f>
        <v/>
      </c>
      <c r="T2298" s="24" t="n"/>
    </row>
    <row r="2299" ht="14.25" customHeight="1" s="40">
      <c r="A2299" s="24" t="n"/>
      <c r="B2299" s="29" t="n"/>
      <c r="C2299" s="28" t="n"/>
      <c r="D2299" s="22">
        <f t="array" ref="D2299">IF($C2299="","",IFERROR(INDEX(DATA_MASTER!$C$2:$C$5000,MATCH($C2299,DATA_MASTER!$D$2:$D$5000,0)),""))</f>
        <v/>
      </c>
      <c r="E2299" s="22">
        <f t="array" ref="E2299">IF($C2299="","",IFERROR(INDEX(DATA_MASTER!$I$2:$I$5000,MATCH($C2299,DATA_MASTER!$D$2:$D$5000,0)),""))</f>
        <v/>
      </c>
      <c r="F2299" s="22">
        <f t="array" ref="F2299">IF($C2299="","",IFERROR(INDEX(DATA_MASTER!$L$2:$L$5000,MATCH($C2299,DATA_MASTER!$D$2:$D$5000,0)),""))</f>
        <v/>
      </c>
      <c r="G2299" s="24" t="n"/>
      <c r="H2299" s="24" t="n"/>
      <c r="I2299" s="30" t="n"/>
      <c r="J2299" s="23">
        <f>IF(OR($H2299="",$I2299=""),"",$H2299*$I2299)</f>
        <v/>
      </c>
      <c r="K2299" s="24" t="n"/>
      <c r="L2299" s="24" t="n"/>
      <c r="M2299" s="29" t="n"/>
      <c r="N2299" s="28" t="n"/>
      <c r="O2299" s="24" t="n"/>
      <c r="P2299" s="24" t="n"/>
      <c r="Q2299" s="24" t="n"/>
      <c r="R2299" s="24" t="n"/>
      <c r="S2299" s="22">
        <f>IF(AND($A2299="",$C2299=""),"",IF($A2299="","Thiếu mã đơn; ","")&amp;IF(COUNTIF($A$2:$A2299,$A2299)&gt;1,"Trùng mã đơn; ","")&amp;IF(ISNA(MATCH($C2299,DATA_MASTER!$D$2:$D$5000,0)),"SĐT chưa đăng ký hội viên; ","")&amp;IF(AND($L2299="Đã chuyển khoản",$M2299=""),"Thiếu ngày nhận CK; ",""))</f>
        <v/>
      </c>
      <c r="T2299" s="24" t="n"/>
    </row>
    <row r="2300" ht="14.25" customHeight="1" s="40">
      <c r="A2300" s="24" t="n"/>
      <c r="B2300" s="29" t="n"/>
      <c r="C2300" s="28" t="n"/>
      <c r="D2300" s="22">
        <f t="array" ref="D2300">IF($C2300="","",IFERROR(INDEX(DATA_MASTER!$C$2:$C$5000,MATCH($C2300,DATA_MASTER!$D$2:$D$5000,0)),""))</f>
        <v/>
      </c>
      <c r="E2300" s="22">
        <f t="array" ref="E2300">IF($C2300="","",IFERROR(INDEX(DATA_MASTER!$I$2:$I$5000,MATCH($C2300,DATA_MASTER!$D$2:$D$5000,0)),""))</f>
        <v/>
      </c>
      <c r="F2300" s="22">
        <f t="array" ref="F2300">IF($C2300="","",IFERROR(INDEX(DATA_MASTER!$L$2:$L$5000,MATCH($C2300,DATA_MASTER!$D$2:$D$5000,0)),""))</f>
        <v/>
      </c>
      <c r="G2300" s="24" t="n"/>
      <c r="H2300" s="24" t="n"/>
      <c r="I2300" s="30" t="n"/>
      <c r="J2300" s="23">
        <f>IF(OR($H2300="",$I2300=""),"",$H2300*$I2300)</f>
        <v/>
      </c>
      <c r="K2300" s="24" t="n"/>
      <c r="L2300" s="24" t="n"/>
      <c r="M2300" s="29" t="n"/>
      <c r="N2300" s="28" t="n"/>
      <c r="O2300" s="24" t="n"/>
      <c r="P2300" s="24" t="n"/>
      <c r="Q2300" s="24" t="n"/>
      <c r="R2300" s="24" t="n"/>
      <c r="S2300" s="22">
        <f>IF(AND($A2300="",$C2300=""),"",IF($A2300="","Thiếu mã đơn; ","")&amp;IF(COUNTIF($A$2:$A2300,$A2300)&gt;1,"Trùng mã đơn; ","")&amp;IF(ISNA(MATCH($C2300,DATA_MASTER!$D$2:$D$5000,0)),"SĐT chưa đăng ký hội viên; ","")&amp;IF(AND($L2300="Đã chuyển khoản",$M2300=""),"Thiếu ngày nhận CK; ",""))</f>
        <v/>
      </c>
      <c r="T2300" s="24" t="n"/>
    </row>
    <row r="2301" ht="14.25" customHeight="1" s="40">
      <c r="A2301" s="24" t="n"/>
      <c r="B2301" s="29" t="n"/>
      <c r="C2301" s="28" t="n"/>
      <c r="D2301" s="22">
        <f t="array" ref="D2301">IF($C2301="","",IFERROR(INDEX(DATA_MASTER!$C$2:$C$5000,MATCH($C2301,DATA_MASTER!$D$2:$D$5000,0)),""))</f>
        <v/>
      </c>
      <c r="E2301" s="22">
        <f t="array" ref="E2301">IF($C2301="","",IFERROR(INDEX(DATA_MASTER!$I$2:$I$5000,MATCH($C2301,DATA_MASTER!$D$2:$D$5000,0)),""))</f>
        <v/>
      </c>
      <c r="F2301" s="22">
        <f t="array" ref="F2301">IF($C2301="","",IFERROR(INDEX(DATA_MASTER!$L$2:$L$5000,MATCH($C2301,DATA_MASTER!$D$2:$D$5000,0)),""))</f>
        <v/>
      </c>
      <c r="G2301" s="24" t="n"/>
      <c r="H2301" s="24" t="n"/>
      <c r="I2301" s="30" t="n"/>
      <c r="J2301" s="23">
        <f>IF(OR($H2301="",$I2301=""),"",$H2301*$I2301)</f>
        <v/>
      </c>
      <c r="K2301" s="24" t="n"/>
      <c r="L2301" s="24" t="n"/>
      <c r="M2301" s="29" t="n"/>
      <c r="N2301" s="28" t="n"/>
      <c r="O2301" s="24" t="n"/>
      <c r="P2301" s="24" t="n"/>
      <c r="Q2301" s="24" t="n"/>
      <c r="R2301" s="24" t="n"/>
      <c r="S2301" s="22">
        <f>IF(AND($A2301="",$C2301=""),"",IF($A2301="","Thiếu mã đơn; ","")&amp;IF(COUNTIF($A$2:$A2301,$A2301)&gt;1,"Trùng mã đơn; ","")&amp;IF(ISNA(MATCH($C2301,DATA_MASTER!$D$2:$D$5000,0)),"SĐT chưa đăng ký hội viên; ","")&amp;IF(AND($L2301="Đã chuyển khoản",$M2301=""),"Thiếu ngày nhận CK; ",""))</f>
        <v/>
      </c>
      <c r="T2301" s="24" t="n"/>
    </row>
    <row r="2302" ht="14.25" customHeight="1" s="40">
      <c r="A2302" s="24" t="n"/>
      <c r="B2302" s="29" t="n"/>
      <c r="C2302" s="28" t="n"/>
      <c r="D2302" s="22">
        <f t="array" ref="D2302">IF($C2302="","",IFERROR(INDEX(DATA_MASTER!$C$2:$C$5000,MATCH($C2302,DATA_MASTER!$D$2:$D$5000,0)),""))</f>
        <v/>
      </c>
      <c r="E2302" s="22">
        <f t="array" ref="E2302">IF($C2302="","",IFERROR(INDEX(DATA_MASTER!$I$2:$I$5000,MATCH($C2302,DATA_MASTER!$D$2:$D$5000,0)),""))</f>
        <v/>
      </c>
      <c r="F2302" s="22">
        <f t="array" ref="F2302">IF($C2302="","",IFERROR(INDEX(DATA_MASTER!$L$2:$L$5000,MATCH($C2302,DATA_MASTER!$D$2:$D$5000,0)),""))</f>
        <v/>
      </c>
      <c r="G2302" s="24" t="n"/>
      <c r="H2302" s="24" t="n"/>
      <c r="I2302" s="30" t="n"/>
      <c r="J2302" s="23">
        <f>IF(OR($H2302="",$I2302=""),"",$H2302*$I2302)</f>
        <v/>
      </c>
      <c r="K2302" s="24" t="n"/>
      <c r="L2302" s="24" t="n"/>
      <c r="M2302" s="29" t="n"/>
      <c r="N2302" s="28" t="n"/>
      <c r="O2302" s="24" t="n"/>
      <c r="P2302" s="24" t="n"/>
      <c r="Q2302" s="24" t="n"/>
      <c r="R2302" s="24" t="n"/>
      <c r="S2302" s="22">
        <f>IF(AND($A2302="",$C2302=""),"",IF($A2302="","Thiếu mã đơn; ","")&amp;IF(COUNTIF($A$2:$A2302,$A2302)&gt;1,"Trùng mã đơn; ","")&amp;IF(ISNA(MATCH($C2302,DATA_MASTER!$D$2:$D$5000,0)),"SĐT chưa đăng ký hội viên; ","")&amp;IF(AND($L2302="Đã chuyển khoản",$M2302=""),"Thiếu ngày nhận CK; ",""))</f>
        <v/>
      </c>
      <c r="T2302" s="24" t="n"/>
    </row>
    <row r="2303" ht="14.25" customHeight="1" s="40">
      <c r="A2303" s="24" t="n"/>
      <c r="B2303" s="29" t="n"/>
      <c r="C2303" s="28" t="n"/>
      <c r="D2303" s="22">
        <f t="array" ref="D2303">IF($C2303="","",IFERROR(INDEX(DATA_MASTER!$C$2:$C$5000,MATCH($C2303,DATA_MASTER!$D$2:$D$5000,0)),""))</f>
        <v/>
      </c>
      <c r="E2303" s="22">
        <f t="array" ref="E2303">IF($C2303="","",IFERROR(INDEX(DATA_MASTER!$I$2:$I$5000,MATCH($C2303,DATA_MASTER!$D$2:$D$5000,0)),""))</f>
        <v/>
      </c>
      <c r="F2303" s="22">
        <f t="array" ref="F2303">IF($C2303="","",IFERROR(INDEX(DATA_MASTER!$L$2:$L$5000,MATCH($C2303,DATA_MASTER!$D$2:$D$5000,0)),""))</f>
        <v/>
      </c>
      <c r="G2303" s="24" t="n"/>
      <c r="H2303" s="24" t="n"/>
      <c r="I2303" s="30" t="n"/>
      <c r="J2303" s="23">
        <f>IF(OR($H2303="",$I2303=""),"",$H2303*$I2303)</f>
        <v/>
      </c>
      <c r="K2303" s="24" t="n"/>
      <c r="L2303" s="24" t="n"/>
      <c r="M2303" s="29" t="n"/>
      <c r="N2303" s="28" t="n"/>
      <c r="O2303" s="24" t="n"/>
      <c r="P2303" s="24" t="n"/>
      <c r="Q2303" s="24" t="n"/>
      <c r="R2303" s="24" t="n"/>
      <c r="S2303" s="22">
        <f>IF(AND($A2303="",$C2303=""),"",IF($A2303="","Thiếu mã đơn; ","")&amp;IF(COUNTIF($A$2:$A2303,$A2303)&gt;1,"Trùng mã đơn; ","")&amp;IF(ISNA(MATCH($C2303,DATA_MASTER!$D$2:$D$5000,0)),"SĐT chưa đăng ký hội viên; ","")&amp;IF(AND($L2303="Đã chuyển khoản",$M2303=""),"Thiếu ngày nhận CK; ",""))</f>
        <v/>
      </c>
      <c r="T2303" s="24" t="n"/>
    </row>
    <row r="2304" ht="14.25" customHeight="1" s="40">
      <c r="A2304" s="24" t="n"/>
      <c r="B2304" s="29" t="n"/>
      <c r="C2304" s="28" t="n"/>
      <c r="D2304" s="22">
        <f t="array" ref="D2304">IF($C2304="","",IFERROR(INDEX(DATA_MASTER!$C$2:$C$5000,MATCH($C2304,DATA_MASTER!$D$2:$D$5000,0)),""))</f>
        <v/>
      </c>
      <c r="E2304" s="22">
        <f t="array" ref="E2304">IF($C2304="","",IFERROR(INDEX(DATA_MASTER!$I$2:$I$5000,MATCH($C2304,DATA_MASTER!$D$2:$D$5000,0)),""))</f>
        <v/>
      </c>
      <c r="F2304" s="22">
        <f t="array" ref="F2304">IF($C2304="","",IFERROR(INDEX(DATA_MASTER!$L$2:$L$5000,MATCH($C2304,DATA_MASTER!$D$2:$D$5000,0)),""))</f>
        <v/>
      </c>
      <c r="G2304" s="24" t="n"/>
      <c r="H2304" s="24" t="n"/>
      <c r="I2304" s="30" t="n"/>
      <c r="J2304" s="23">
        <f>IF(OR($H2304="",$I2304=""),"",$H2304*$I2304)</f>
        <v/>
      </c>
      <c r="K2304" s="24" t="n"/>
      <c r="L2304" s="24" t="n"/>
      <c r="M2304" s="29" t="n"/>
      <c r="N2304" s="28" t="n"/>
      <c r="O2304" s="24" t="n"/>
      <c r="P2304" s="24" t="n"/>
      <c r="Q2304" s="24" t="n"/>
      <c r="R2304" s="24" t="n"/>
      <c r="S2304" s="22">
        <f>IF(AND($A2304="",$C2304=""),"",IF($A2304="","Thiếu mã đơn; ","")&amp;IF(COUNTIF($A$2:$A2304,$A2304)&gt;1,"Trùng mã đơn; ","")&amp;IF(ISNA(MATCH($C2304,DATA_MASTER!$D$2:$D$5000,0)),"SĐT chưa đăng ký hội viên; ","")&amp;IF(AND($L2304="Đã chuyển khoản",$M2304=""),"Thiếu ngày nhận CK; ",""))</f>
        <v/>
      </c>
      <c r="T2304" s="24" t="n"/>
    </row>
    <row r="2305" ht="14.25" customHeight="1" s="40">
      <c r="A2305" s="24" t="n"/>
      <c r="B2305" s="29" t="n"/>
      <c r="C2305" s="28" t="n"/>
      <c r="D2305" s="22">
        <f t="array" ref="D2305">IF($C2305="","",IFERROR(INDEX(DATA_MASTER!$C$2:$C$5000,MATCH($C2305,DATA_MASTER!$D$2:$D$5000,0)),""))</f>
        <v/>
      </c>
      <c r="E2305" s="22">
        <f t="array" ref="E2305">IF($C2305="","",IFERROR(INDEX(DATA_MASTER!$I$2:$I$5000,MATCH($C2305,DATA_MASTER!$D$2:$D$5000,0)),""))</f>
        <v/>
      </c>
      <c r="F2305" s="22">
        <f t="array" ref="F2305">IF($C2305="","",IFERROR(INDEX(DATA_MASTER!$L$2:$L$5000,MATCH($C2305,DATA_MASTER!$D$2:$D$5000,0)),""))</f>
        <v/>
      </c>
      <c r="G2305" s="24" t="n"/>
      <c r="H2305" s="24" t="n"/>
      <c r="I2305" s="30" t="n"/>
      <c r="J2305" s="23">
        <f>IF(OR($H2305="",$I2305=""),"",$H2305*$I2305)</f>
        <v/>
      </c>
      <c r="K2305" s="24" t="n"/>
      <c r="L2305" s="24" t="n"/>
      <c r="M2305" s="29" t="n"/>
      <c r="N2305" s="28" t="n"/>
      <c r="O2305" s="24" t="n"/>
      <c r="P2305" s="24" t="n"/>
      <c r="Q2305" s="24" t="n"/>
      <c r="R2305" s="24" t="n"/>
      <c r="S2305" s="22">
        <f>IF(AND($A2305="",$C2305=""),"",IF($A2305="","Thiếu mã đơn; ","")&amp;IF(COUNTIF($A$2:$A2305,$A2305)&gt;1,"Trùng mã đơn; ","")&amp;IF(ISNA(MATCH($C2305,DATA_MASTER!$D$2:$D$5000,0)),"SĐT chưa đăng ký hội viên; ","")&amp;IF(AND($L2305="Đã chuyển khoản",$M2305=""),"Thiếu ngày nhận CK; ",""))</f>
        <v/>
      </c>
      <c r="T2305" s="24" t="n"/>
    </row>
    <row r="2306" ht="14.25" customHeight="1" s="40">
      <c r="A2306" s="24" t="n"/>
      <c r="B2306" s="29" t="n"/>
      <c r="C2306" s="28" t="n"/>
      <c r="D2306" s="22">
        <f t="array" ref="D2306">IF($C2306="","",IFERROR(INDEX(DATA_MASTER!$C$2:$C$5000,MATCH($C2306,DATA_MASTER!$D$2:$D$5000,0)),""))</f>
        <v/>
      </c>
      <c r="E2306" s="22">
        <f t="array" ref="E2306">IF($C2306="","",IFERROR(INDEX(DATA_MASTER!$I$2:$I$5000,MATCH($C2306,DATA_MASTER!$D$2:$D$5000,0)),""))</f>
        <v/>
      </c>
      <c r="F2306" s="22">
        <f t="array" ref="F2306">IF($C2306="","",IFERROR(INDEX(DATA_MASTER!$L$2:$L$5000,MATCH($C2306,DATA_MASTER!$D$2:$D$5000,0)),""))</f>
        <v/>
      </c>
      <c r="G2306" s="24" t="n"/>
      <c r="H2306" s="24" t="n"/>
      <c r="I2306" s="30" t="n"/>
      <c r="J2306" s="23">
        <f>IF(OR($H2306="",$I2306=""),"",$H2306*$I2306)</f>
        <v/>
      </c>
      <c r="K2306" s="24" t="n"/>
      <c r="L2306" s="24" t="n"/>
      <c r="M2306" s="29" t="n"/>
      <c r="N2306" s="28" t="n"/>
      <c r="O2306" s="24" t="n"/>
      <c r="P2306" s="24" t="n"/>
      <c r="Q2306" s="24" t="n"/>
      <c r="R2306" s="24" t="n"/>
      <c r="S2306" s="22">
        <f>IF(AND($A2306="",$C2306=""),"",IF($A2306="","Thiếu mã đơn; ","")&amp;IF(COUNTIF($A$2:$A2306,$A2306)&gt;1,"Trùng mã đơn; ","")&amp;IF(ISNA(MATCH($C2306,DATA_MASTER!$D$2:$D$5000,0)),"SĐT chưa đăng ký hội viên; ","")&amp;IF(AND($L2306="Đã chuyển khoản",$M2306=""),"Thiếu ngày nhận CK; ",""))</f>
        <v/>
      </c>
      <c r="T2306" s="24" t="n"/>
    </row>
    <row r="2307" ht="14.25" customHeight="1" s="40">
      <c r="A2307" s="24" t="n"/>
      <c r="B2307" s="29" t="n"/>
      <c r="C2307" s="28" t="n"/>
      <c r="D2307" s="22">
        <f t="array" ref="D2307">IF($C2307="","",IFERROR(INDEX(DATA_MASTER!$C$2:$C$5000,MATCH($C2307,DATA_MASTER!$D$2:$D$5000,0)),""))</f>
        <v/>
      </c>
      <c r="E2307" s="22">
        <f t="array" ref="E2307">IF($C2307="","",IFERROR(INDEX(DATA_MASTER!$I$2:$I$5000,MATCH($C2307,DATA_MASTER!$D$2:$D$5000,0)),""))</f>
        <v/>
      </c>
      <c r="F2307" s="22">
        <f t="array" ref="F2307">IF($C2307="","",IFERROR(INDEX(DATA_MASTER!$L$2:$L$5000,MATCH($C2307,DATA_MASTER!$D$2:$D$5000,0)),""))</f>
        <v/>
      </c>
      <c r="G2307" s="24" t="n"/>
      <c r="H2307" s="24" t="n"/>
      <c r="I2307" s="30" t="n"/>
      <c r="J2307" s="23">
        <f>IF(OR($H2307="",$I2307=""),"",$H2307*$I2307)</f>
        <v/>
      </c>
      <c r="K2307" s="24" t="n"/>
      <c r="L2307" s="24" t="n"/>
      <c r="M2307" s="29" t="n"/>
      <c r="N2307" s="28" t="n"/>
      <c r="O2307" s="24" t="n"/>
      <c r="P2307" s="24" t="n"/>
      <c r="Q2307" s="24" t="n"/>
      <c r="R2307" s="24" t="n"/>
      <c r="S2307" s="22">
        <f>IF(AND($A2307="",$C2307=""),"",IF($A2307="","Thiếu mã đơn; ","")&amp;IF(COUNTIF($A$2:$A2307,$A2307)&gt;1,"Trùng mã đơn; ","")&amp;IF(ISNA(MATCH($C2307,DATA_MASTER!$D$2:$D$5000,0)),"SĐT chưa đăng ký hội viên; ","")&amp;IF(AND($L2307="Đã chuyển khoản",$M2307=""),"Thiếu ngày nhận CK; ",""))</f>
        <v/>
      </c>
      <c r="T2307" s="24" t="n"/>
    </row>
    <row r="2308" ht="14.25" customHeight="1" s="40">
      <c r="A2308" s="24" t="n"/>
      <c r="B2308" s="29" t="n"/>
      <c r="C2308" s="28" t="n"/>
      <c r="D2308" s="22">
        <f t="array" ref="D2308">IF($C2308="","",IFERROR(INDEX(DATA_MASTER!$C$2:$C$5000,MATCH($C2308,DATA_MASTER!$D$2:$D$5000,0)),""))</f>
        <v/>
      </c>
      <c r="E2308" s="22">
        <f t="array" ref="E2308">IF($C2308="","",IFERROR(INDEX(DATA_MASTER!$I$2:$I$5000,MATCH($C2308,DATA_MASTER!$D$2:$D$5000,0)),""))</f>
        <v/>
      </c>
      <c r="F2308" s="22">
        <f t="array" ref="F2308">IF($C2308="","",IFERROR(INDEX(DATA_MASTER!$L$2:$L$5000,MATCH($C2308,DATA_MASTER!$D$2:$D$5000,0)),""))</f>
        <v/>
      </c>
      <c r="G2308" s="24" t="n"/>
      <c r="H2308" s="24" t="n"/>
      <c r="I2308" s="30" t="n"/>
      <c r="J2308" s="23">
        <f>IF(OR($H2308="",$I2308=""),"",$H2308*$I2308)</f>
        <v/>
      </c>
      <c r="K2308" s="24" t="n"/>
      <c r="L2308" s="24" t="n"/>
      <c r="M2308" s="29" t="n"/>
      <c r="N2308" s="28" t="n"/>
      <c r="O2308" s="24" t="n"/>
      <c r="P2308" s="24" t="n"/>
      <c r="Q2308" s="24" t="n"/>
      <c r="R2308" s="24" t="n"/>
      <c r="S2308" s="22">
        <f>IF(AND($A2308="",$C2308=""),"",IF($A2308="","Thiếu mã đơn; ","")&amp;IF(COUNTIF($A$2:$A2308,$A2308)&gt;1,"Trùng mã đơn; ","")&amp;IF(ISNA(MATCH($C2308,DATA_MASTER!$D$2:$D$5000,0)),"SĐT chưa đăng ký hội viên; ","")&amp;IF(AND($L2308="Đã chuyển khoản",$M2308=""),"Thiếu ngày nhận CK; ",""))</f>
        <v/>
      </c>
      <c r="T2308" s="24" t="n"/>
    </row>
    <row r="2309" ht="14.25" customHeight="1" s="40">
      <c r="A2309" s="24" t="n"/>
      <c r="B2309" s="29" t="n"/>
      <c r="C2309" s="28" t="n"/>
      <c r="D2309" s="22">
        <f t="array" ref="D2309">IF($C2309="","",IFERROR(INDEX(DATA_MASTER!$C$2:$C$5000,MATCH($C2309,DATA_MASTER!$D$2:$D$5000,0)),""))</f>
        <v/>
      </c>
      <c r="E2309" s="22">
        <f t="array" ref="E2309">IF($C2309="","",IFERROR(INDEX(DATA_MASTER!$I$2:$I$5000,MATCH($C2309,DATA_MASTER!$D$2:$D$5000,0)),""))</f>
        <v/>
      </c>
      <c r="F2309" s="22">
        <f t="array" ref="F2309">IF($C2309="","",IFERROR(INDEX(DATA_MASTER!$L$2:$L$5000,MATCH($C2309,DATA_MASTER!$D$2:$D$5000,0)),""))</f>
        <v/>
      </c>
      <c r="G2309" s="24" t="n"/>
      <c r="H2309" s="24" t="n"/>
      <c r="I2309" s="30" t="n"/>
      <c r="J2309" s="23">
        <f>IF(OR($H2309="",$I2309=""),"",$H2309*$I2309)</f>
        <v/>
      </c>
      <c r="K2309" s="24" t="n"/>
      <c r="L2309" s="24" t="n"/>
      <c r="M2309" s="29" t="n"/>
      <c r="N2309" s="28" t="n"/>
      <c r="O2309" s="24" t="n"/>
      <c r="P2309" s="24" t="n"/>
      <c r="Q2309" s="24" t="n"/>
      <c r="R2309" s="24" t="n"/>
      <c r="S2309" s="22">
        <f>IF(AND($A2309="",$C2309=""),"",IF($A2309="","Thiếu mã đơn; ","")&amp;IF(COUNTIF($A$2:$A2309,$A2309)&gt;1,"Trùng mã đơn; ","")&amp;IF(ISNA(MATCH($C2309,DATA_MASTER!$D$2:$D$5000,0)),"SĐT chưa đăng ký hội viên; ","")&amp;IF(AND($L2309="Đã chuyển khoản",$M2309=""),"Thiếu ngày nhận CK; ",""))</f>
        <v/>
      </c>
      <c r="T2309" s="24" t="n"/>
    </row>
    <row r="2310" ht="14.25" customHeight="1" s="40">
      <c r="A2310" s="24" t="n"/>
      <c r="B2310" s="29" t="n"/>
      <c r="C2310" s="28" t="n"/>
      <c r="D2310" s="22">
        <f t="array" ref="D2310">IF($C2310="","",IFERROR(INDEX(DATA_MASTER!$C$2:$C$5000,MATCH($C2310,DATA_MASTER!$D$2:$D$5000,0)),""))</f>
        <v/>
      </c>
      <c r="E2310" s="22">
        <f t="array" ref="E2310">IF($C2310="","",IFERROR(INDEX(DATA_MASTER!$I$2:$I$5000,MATCH($C2310,DATA_MASTER!$D$2:$D$5000,0)),""))</f>
        <v/>
      </c>
      <c r="F2310" s="22">
        <f t="array" ref="F2310">IF($C2310="","",IFERROR(INDEX(DATA_MASTER!$L$2:$L$5000,MATCH($C2310,DATA_MASTER!$D$2:$D$5000,0)),""))</f>
        <v/>
      </c>
      <c r="G2310" s="24" t="n"/>
      <c r="H2310" s="24" t="n"/>
      <c r="I2310" s="30" t="n"/>
      <c r="J2310" s="23">
        <f>IF(OR($H2310="",$I2310=""),"",$H2310*$I2310)</f>
        <v/>
      </c>
      <c r="K2310" s="24" t="n"/>
      <c r="L2310" s="24" t="n"/>
      <c r="M2310" s="29" t="n"/>
      <c r="N2310" s="28" t="n"/>
      <c r="O2310" s="24" t="n"/>
      <c r="P2310" s="24" t="n"/>
      <c r="Q2310" s="24" t="n"/>
      <c r="R2310" s="24" t="n"/>
      <c r="S2310" s="22">
        <f>IF(AND($A2310="",$C2310=""),"",IF($A2310="","Thiếu mã đơn; ","")&amp;IF(COUNTIF($A$2:$A2310,$A2310)&gt;1,"Trùng mã đơn; ","")&amp;IF(ISNA(MATCH($C2310,DATA_MASTER!$D$2:$D$5000,0)),"SĐT chưa đăng ký hội viên; ","")&amp;IF(AND($L2310="Đã chuyển khoản",$M2310=""),"Thiếu ngày nhận CK; ",""))</f>
        <v/>
      </c>
      <c r="T2310" s="24" t="n"/>
    </row>
    <row r="2311" ht="14.25" customHeight="1" s="40">
      <c r="A2311" s="24" t="n"/>
      <c r="B2311" s="29" t="n"/>
      <c r="C2311" s="28" t="n"/>
      <c r="D2311" s="22">
        <f t="array" ref="D2311">IF($C2311="","",IFERROR(INDEX(DATA_MASTER!$C$2:$C$5000,MATCH($C2311,DATA_MASTER!$D$2:$D$5000,0)),""))</f>
        <v/>
      </c>
      <c r="E2311" s="22">
        <f t="array" ref="E2311">IF($C2311="","",IFERROR(INDEX(DATA_MASTER!$I$2:$I$5000,MATCH($C2311,DATA_MASTER!$D$2:$D$5000,0)),""))</f>
        <v/>
      </c>
      <c r="F2311" s="22">
        <f t="array" ref="F2311">IF($C2311="","",IFERROR(INDEX(DATA_MASTER!$L$2:$L$5000,MATCH($C2311,DATA_MASTER!$D$2:$D$5000,0)),""))</f>
        <v/>
      </c>
      <c r="G2311" s="24" t="n"/>
      <c r="H2311" s="24" t="n"/>
      <c r="I2311" s="30" t="n"/>
      <c r="J2311" s="23">
        <f>IF(OR($H2311="",$I2311=""),"",$H2311*$I2311)</f>
        <v/>
      </c>
      <c r="K2311" s="24" t="n"/>
      <c r="L2311" s="24" t="n"/>
      <c r="M2311" s="29" t="n"/>
      <c r="N2311" s="28" t="n"/>
      <c r="O2311" s="24" t="n"/>
      <c r="P2311" s="24" t="n"/>
      <c r="Q2311" s="24" t="n"/>
      <c r="R2311" s="24" t="n"/>
      <c r="S2311" s="22">
        <f>IF(AND($A2311="",$C2311=""),"",IF($A2311="","Thiếu mã đơn; ","")&amp;IF(COUNTIF($A$2:$A2311,$A2311)&gt;1,"Trùng mã đơn; ","")&amp;IF(ISNA(MATCH($C2311,DATA_MASTER!$D$2:$D$5000,0)),"SĐT chưa đăng ký hội viên; ","")&amp;IF(AND($L2311="Đã chuyển khoản",$M2311=""),"Thiếu ngày nhận CK; ",""))</f>
        <v/>
      </c>
      <c r="T2311" s="24" t="n"/>
    </row>
    <row r="2312" ht="14.25" customHeight="1" s="40">
      <c r="A2312" s="24" t="n"/>
      <c r="B2312" s="29" t="n"/>
      <c r="C2312" s="28" t="n"/>
      <c r="D2312" s="22">
        <f t="array" ref="D2312">IF($C2312="","",IFERROR(INDEX(DATA_MASTER!$C$2:$C$5000,MATCH($C2312,DATA_MASTER!$D$2:$D$5000,0)),""))</f>
        <v/>
      </c>
      <c r="E2312" s="22">
        <f t="array" ref="E2312">IF($C2312="","",IFERROR(INDEX(DATA_MASTER!$I$2:$I$5000,MATCH($C2312,DATA_MASTER!$D$2:$D$5000,0)),""))</f>
        <v/>
      </c>
      <c r="F2312" s="22">
        <f t="array" ref="F2312">IF($C2312="","",IFERROR(INDEX(DATA_MASTER!$L$2:$L$5000,MATCH($C2312,DATA_MASTER!$D$2:$D$5000,0)),""))</f>
        <v/>
      </c>
      <c r="G2312" s="24" t="n"/>
      <c r="H2312" s="24" t="n"/>
      <c r="I2312" s="30" t="n"/>
      <c r="J2312" s="23">
        <f>IF(OR($H2312="",$I2312=""),"",$H2312*$I2312)</f>
        <v/>
      </c>
      <c r="K2312" s="24" t="n"/>
      <c r="L2312" s="24" t="n"/>
      <c r="M2312" s="29" t="n"/>
      <c r="N2312" s="28" t="n"/>
      <c r="O2312" s="24" t="n"/>
      <c r="P2312" s="24" t="n"/>
      <c r="Q2312" s="24" t="n"/>
      <c r="R2312" s="24" t="n"/>
      <c r="S2312" s="22">
        <f>IF(AND($A2312="",$C2312=""),"",IF($A2312="","Thiếu mã đơn; ","")&amp;IF(COUNTIF($A$2:$A2312,$A2312)&gt;1,"Trùng mã đơn; ","")&amp;IF(ISNA(MATCH($C2312,DATA_MASTER!$D$2:$D$5000,0)),"SĐT chưa đăng ký hội viên; ","")&amp;IF(AND($L2312="Đã chuyển khoản",$M2312=""),"Thiếu ngày nhận CK; ",""))</f>
        <v/>
      </c>
      <c r="T2312" s="24" t="n"/>
    </row>
    <row r="2313" ht="14.25" customHeight="1" s="40">
      <c r="A2313" s="24" t="n"/>
      <c r="B2313" s="29" t="n"/>
      <c r="C2313" s="28" t="n"/>
      <c r="D2313" s="22">
        <f t="array" ref="D2313">IF($C2313="","",IFERROR(INDEX(DATA_MASTER!$C$2:$C$5000,MATCH($C2313,DATA_MASTER!$D$2:$D$5000,0)),""))</f>
        <v/>
      </c>
      <c r="E2313" s="22">
        <f t="array" ref="E2313">IF($C2313="","",IFERROR(INDEX(DATA_MASTER!$I$2:$I$5000,MATCH($C2313,DATA_MASTER!$D$2:$D$5000,0)),""))</f>
        <v/>
      </c>
      <c r="F2313" s="22">
        <f t="array" ref="F2313">IF($C2313="","",IFERROR(INDEX(DATA_MASTER!$L$2:$L$5000,MATCH($C2313,DATA_MASTER!$D$2:$D$5000,0)),""))</f>
        <v/>
      </c>
      <c r="G2313" s="24" t="n"/>
      <c r="H2313" s="24" t="n"/>
      <c r="I2313" s="30" t="n"/>
      <c r="J2313" s="23">
        <f>IF(OR($H2313="",$I2313=""),"",$H2313*$I2313)</f>
        <v/>
      </c>
      <c r="K2313" s="24" t="n"/>
      <c r="L2313" s="24" t="n"/>
      <c r="M2313" s="29" t="n"/>
      <c r="N2313" s="28" t="n"/>
      <c r="O2313" s="24" t="n"/>
      <c r="P2313" s="24" t="n"/>
      <c r="Q2313" s="24" t="n"/>
      <c r="R2313" s="24" t="n"/>
      <c r="S2313" s="22">
        <f>IF(AND($A2313="",$C2313=""),"",IF($A2313="","Thiếu mã đơn; ","")&amp;IF(COUNTIF($A$2:$A2313,$A2313)&gt;1,"Trùng mã đơn; ","")&amp;IF(ISNA(MATCH($C2313,DATA_MASTER!$D$2:$D$5000,0)),"SĐT chưa đăng ký hội viên; ","")&amp;IF(AND($L2313="Đã chuyển khoản",$M2313=""),"Thiếu ngày nhận CK; ",""))</f>
        <v/>
      </c>
      <c r="T2313" s="24" t="n"/>
    </row>
    <row r="2314" ht="14.25" customHeight="1" s="40">
      <c r="A2314" s="24" t="n"/>
      <c r="B2314" s="29" t="n"/>
      <c r="C2314" s="28" t="n"/>
      <c r="D2314" s="22">
        <f t="array" ref="D2314">IF($C2314="","",IFERROR(INDEX(DATA_MASTER!$C$2:$C$5000,MATCH($C2314,DATA_MASTER!$D$2:$D$5000,0)),""))</f>
        <v/>
      </c>
      <c r="E2314" s="22">
        <f t="array" ref="E2314">IF($C2314="","",IFERROR(INDEX(DATA_MASTER!$I$2:$I$5000,MATCH($C2314,DATA_MASTER!$D$2:$D$5000,0)),""))</f>
        <v/>
      </c>
      <c r="F2314" s="22">
        <f t="array" ref="F2314">IF($C2314="","",IFERROR(INDEX(DATA_MASTER!$L$2:$L$5000,MATCH($C2314,DATA_MASTER!$D$2:$D$5000,0)),""))</f>
        <v/>
      </c>
      <c r="G2314" s="24" t="n"/>
      <c r="H2314" s="24" t="n"/>
      <c r="I2314" s="30" t="n"/>
      <c r="J2314" s="23">
        <f>IF(OR($H2314="",$I2314=""),"",$H2314*$I2314)</f>
        <v/>
      </c>
      <c r="K2314" s="24" t="n"/>
      <c r="L2314" s="24" t="n"/>
      <c r="M2314" s="29" t="n"/>
      <c r="N2314" s="28" t="n"/>
      <c r="O2314" s="24" t="n"/>
      <c r="P2314" s="24" t="n"/>
      <c r="Q2314" s="24" t="n"/>
      <c r="R2314" s="24" t="n"/>
      <c r="S2314" s="22">
        <f>IF(AND($A2314="",$C2314=""),"",IF($A2314="","Thiếu mã đơn; ","")&amp;IF(COUNTIF($A$2:$A2314,$A2314)&gt;1,"Trùng mã đơn; ","")&amp;IF(ISNA(MATCH($C2314,DATA_MASTER!$D$2:$D$5000,0)),"SĐT chưa đăng ký hội viên; ","")&amp;IF(AND($L2314="Đã chuyển khoản",$M2314=""),"Thiếu ngày nhận CK; ",""))</f>
        <v/>
      </c>
      <c r="T2314" s="24" t="n"/>
    </row>
    <row r="2315" ht="14.25" customHeight="1" s="40">
      <c r="A2315" s="24" t="n"/>
      <c r="B2315" s="29" t="n"/>
      <c r="C2315" s="28" t="n"/>
      <c r="D2315" s="22">
        <f t="array" ref="D2315">IF($C2315="","",IFERROR(INDEX(DATA_MASTER!$C$2:$C$5000,MATCH($C2315,DATA_MASTER!$D$2:$D$5000,0)),""))</f>
        <v/>
      </c>
      <c r="E2315" s="22">
        <f t="array" ref="E2315">IF($C2315="","",IFERROR(INDEX(DATA_MASTER!$I$2:$I$5000,MATCH($C2315,DATA_MASTER!$D$2:$D$5000,0)),""))</f>
        <v/>
      </c>
      <c r="F2315" s="22">
        <f t="array" ref="F2315">IF($C2315="","",IFERROR(INDEX(DATA_MASTER!$L$2:$L$5000,MATCH($C2315,DATA_MASTER!$D$2:$D$5000,0)),""))</f>
        <v/>
      </c>
      <c r="G2315" s="24" t="n"/>
      <c r="H2315" s="24" t="n"/>
      <c r="I2315" s="30" t="n"/>
      <c r="J2315" s="23">
        <f>IF(OR($H2315="",$I2315=""),"",$H2315*$I2315)</f>
        <v/>
      </c>
      <c r="K2315" s="24" t="n"/>
      <c r="L2315" s="24" t="n"/>
      <c r="M2315" s="29" t="n"/>
      <c r="N2315" s="28" t="n"/>
      <c r="O2315" s="24" t="n"/>
      <c r="P2315" s="24" t="n"/>
      <c r="Q2315" s="24" t="n"/>
      <c r="R2315" s="24" t="n"/>
      <c r="S2315" s="22">
        <f>IF(AND($A2315="",$C2315=""),"",IF($A2315="","Thiếu mã đơn; ","")&amp;IF(COUNTIF($A$2:$A2315,$A2315)&gt;1,"Trùng mã đơn; ","")&amp;IF(ISNA(MATCH($C2315,DATA_MASTER!$D$2:$D$5000,0)),"SĐT chưa đăng ký hội viên; ","")&amp;IF(AND($L2315="Đã chuyển khoản",$M2315=""),"Thiếu ngày nhận CK; ",""))</f>
        <v/>
      </c>
      <c r="T2315" s="24" t="n"/>
    </row>
    <row r="2316" ht="14.25" customHeight="1" s="40">
      <c r="A2316" s="24" t="n"/>
      <c r="B2316" s="29" t="n"/>
      <c r="C2316" s="28" t="n"/>
      <c r="D2316" s="22">
        <f t="array" ref="D2316">IF($C2316="","",IFERROR(INDEX(DATA_MASTER!$C$2:$C$5000,MATCH($C2316,DATA_MASTER!$D$2:$D$5000,0)),""))</f>
        <v/>
      </c>
      <c r="E2316" s="22">
        <f t="array" ref="E2316">IF($C2316="","",IFERROR(INDEX(DATA_MASTER!$I$2:$I$5000,MATCH($C2316,DATA_MASTER!$D$2:$D$5000,0)),""))</f>
        <v/>
      </c>
      <c r="F2316" s="22">
        <f t="array" ref="F2316">IF($C2316="","",IFERROR(INDEX(DATA_MASTER!$L$2:$L$5000,MATCH($C2316,DATA_MASTER!$D$2:$D$5000,0)),""))</f>
        <v/>
      </c>
      <c r="G2316" s="24" t="n"/>
      <c r="H2316" s="24" t="n"/>
      <c r="I2316" s="30" t="n"/>
      <c r="J2316" s="23">
        <f>IF(OR($H2316="",$I2316=""),"",$H2316*$I2316)</f>
        <v/>
      </c>
      <c r="K2316" s="24" t="n"/>
      <c r="L2316" s="24" t="n"/>
      <c r="M2316" s="29" t="n"/>
      <c r="N2316" s="28" t="n"/>
      <c r="O2316" s="24" t="n"/>
      <c r="P2316" s="24" t="n"/>
      <c r="Q2316" s="24" t="n"/>
      <c r="R2316" s="24" t="n"/>
      <c r="S2316" s="22">
        <f>IF(AND($A2316="",$C2316=""),"",IF($A2316="","Thiếu mã đơn; ","")&amp;IF(COUNTIF($A$2:$A2316,$A2316)&gt;1,"Trùng mã đơn; ","")&amp;IF(ISNA(MATCH($C2316,DATA_MASTER!$D$2:$D$5000,0)),"SĐT chưa đăng ký hội viên; ","")&amp;IF(AND($L2316="Đã chuyển khoản",$M2316=""),"Thiếu ngày nhận CK; ",""))</f>
        <v/>
      </c>
      <c r="T2316" s="24" t="n"/>
    </row>
    <row r="2317" ht="14.25" customHeight="1" s="40">
      <c r="A2317" s="24" t="n"/>
      <c r="B2317" s="29" t="n"/>
      <c r="C2317" s="28" t="n"/>
      <c r="D2317" s="22">
        <f t="array" ref="D2317">IF($C2317="","",IFERROR(INDEX(DATA_MASTER!$C$2:$C$5000,MATCH($C2317,DATA_MASTER!$D$2:$D$5000,0)),""))</f>
        <v/>
      </c>
      <c r="E2317" s="22">
        <f t="array" ref="E2317">IF($C2317="","",IFERROR(INDEX(DATA_MASTER!$I$2:$I$5000,MATCH($C2317,DATA_MASTER!$D$2:$D$5000,0)),""))</f>
        <v/>
      </c>
      <c r="F2317" s="22">
        <f t="array" ref="F2317">IF($C2317="","",IFERROR(INDEX(DATA_MASTER!$L$2:$L$5000,MATCH($C2317,DATA_MASTER!$D$2:$D$5000,0)),""))</f>
        <v/>
      </c>
      <c r="G2317" s="24" t="n"/>
      <c r="H2317" s="24" t="n"/>
      <c r="I2317" s="30" t="n"/>
      <c r="J2317" s="23">
        <f>IF(OR($H2317="",$I2317=""),"",$H2317*$I2317)</f>
        <v/>
      </c>
      <c r="K2317" s="24" t="n"/>
      <c r="L2317" s="24" t="n"/>
      <c r="M2317" s="29" t="n"/>
      <c r="N2317" s="28" t="n"/>
      <c r="O2317" s="24" t="n"/>
      <c r="P2317" s="24" t="n"/>
      <c r="Q2317" s="24" t="n"/>
      <c r="R2317" s="24" t="n"/>
      <c r="S2317" s="22">
        <f>IF(AND($A2317="",$C2317=""),"",IF($A2317="","Thiếu mã đơn; ","")&amp;IF(COUNTIF($A$2:$A2317,$A2317)&gt;1,"Trùng mã đơn; ","")&amp;IF(ISNA(MATCH($C2317,DATA_MASTER!$D$2:$D$5000,0)),"SĐT chưa đăng ký hội viên; ","")&amp;IF(AND($L2317="Đã chuyển khoản",$M2317=""),"Thiếu ngày nhận CK; ",""))</f>
        <v/>
      </c>
      <c r="T2317" s="24" t="n"/>
    </row>
    <row r="2318" ht="14.25" customHeight="1" s="40">
      <c r="A2318" s="24" t="n"/>
      <c r="B2318" s="29" t="n"/>
      <c r="C2318" s="28" t="n"/>
      <c r="D2318" s="22">
        <f t="array" ref="D2318">IF($C2318="","",IFERROR(INDEX(DATA_MASTER!$C$2:$C$5000,MATCH($C2318,DATA_MASTER!$D$2:$D$5000,0)),""))</f>
        <v/>
      </c>
      <c r="E2318" s="22">
        <f t="array" ref="E2318">IF($C2318="","",IFERROR(INDEX(DATA_MASTER!$I$2:$I$5000,MATCH($C2318,DATA_MASTER!$D$2:$D$5000,0)),""))</f>
        <v/>
      </c>
      <c r="F2318" s="22">
        <f t="array" ref="F2318">IF($C2318="","",IFERROR(INDEX(DATA_MASTER!$L$2:$L$5000,MATCH($C2318,DATA_MASTER!$D$2:$D$5000,0)),""))</f>
        <v/>
      </c>
      <c r="G2318" s="24" t="n"/>
      <c r="H2318" s="24" t="n"/>
      <c r="I2318" s="30" t="n"/>
      <c r="J2318" s="23">
        <f>IF(OR($H2318="",$I2318=""),"",$H2318*$I2318)</f>
        <v/>
      </c>
      <c r="K2318" s="24" t="n"/>
      <c r="L2318" s="24" t="n"/>
      <c r="M2318" s="29" t="n"/>
      <c r="N2318" s="28" t="n"/>
      <c r="O2318" s="24" t="n"/>
      <c r="P2318" s="24" t="n"/>
      <c r="Q2318" s="24" t="n"/>
      <c r="R2318" s="24" t="n"/>
      <c r="S2318" s="22">
        <f>IF(AND($A2318="",$C2318=""),"",IF($A2318="","Thiếu mã đơn; ","")&amp;IF(COUNTIF($A$2:$A2318,$A2318)&gt;1,"Trùng mã đơn; ","")&amp;IF(ISNA(MATCH($C2318,DATA_MASTER!$D$2:$D$5000,0)),"SĐT chưa đăng ký hội viên; ","")&amp;IF(AND($L2318="Đã chuyển khoản",$M2318=""),"Thiếu ngày nhận CK; ",""))</f>
        <v/>
      </c>
      <c r="T2318" s="24" t="n"/>
    </row>
    <row r="2319" ht="14.25" customHeight="1" s="40">
      <c r="A2319" s="24" t="n"/>
      <c r="B2319" s="29" t="n"/>
      <c r="C2319" s="28" t="n"/>
      <c r="D2319" s="22">
        <f t="array" ref="D2319">IF($C2319="","",IFERROR(INDEX(DATA_MASTER!$C$2:$C$5000,MATCH($C2319,DATA_MASTER!$D$2:$D$5000,0)),""))</f>
        <v/>
      </c>
      <c r="E2319" s="22">
        <f t="array" ref="E2319">IF($C2319="","",IFERROR(INDEX(DATA_MASTER!$I$2:$I$5000,MATCH($C2319,DATA_MASTER!$D$2:$D$5000,0)),""))</f>
        <v/>
      </c>
      <c r="F2319" s="22">
        <f t="array" ref="F2319">IF($C2319="","",IFERROR(INDEX(DATA_MASTER!$L$2:$L$5000,MATCH($C2319,DATA_MASTER!$D$2:$D$5000,0)),""))</f>
        <v/>
      </c>
      <c r="G2319" s="24" t="n"/>
      <c r="H2319" s="24" t="n"/>
      <c r="I2319" s="30" t="n"/>
      <c r="J2319" s="23">
        <f>IF(OR($H2319="",$I2319=""),"",$H2319*$I2319)</f>
        <v/>
      </c>
      <c r="K2319" s="24" t="n"/>
      <c r="L2319" s="24" t="n"/>
      <c r="M2319" s="29" t="n"/>
      <c r="N2319" s="28" t="n"/>
      <c r="O2319" s="24" t="n"/>
      <c r="P2319" s="24" t="n"/>
      <c r="Q2319" s="24" t="n"/>
      <c r="R2319" s="24" t="n"/>
      <c r="S2319" s="22">
        <f>IF(AND($A2319="",$C2319=""),"",IF($A2319="","Thiếu mã đơn; ","")&amp;IF(COUNTIF($A$2:$A2319,$A2319)&gt;1,"Trùng mã đơn; ","")&amp;IF(ISNA(MATCH($C2319,DATA_MASTER!$D$2:$D$5000,0)),"SĐT chưa đăng ký hội viên; ","")&amp;IF(AND($L2319="Đã chuyển khoản",$M2319=""),"Thiếu ngày nhận CK; ",""))</f>
        <v/>
      </c>
      <c r="T2319" s="24" t="n"/>
    </row>
    <row r="2320" ht="14.25" customHeight="1" s="40">
      <c r="A2320" s="24" t="n"/>
      <c r="B2320" s="29" t="n"/>
      <c r="C2320" s="28" t="n"/>
      <c r="D2320" s="22">
        <f t="array" ref="D2320">IF($C2320="","",IFERROR(INDEX(DATA_MASTER!$C$2:$C$5000,MATCH($C2320,DATA_MASTER!$D$2:$D$5000,0)),""))</f>
        <v/>
      </c>
      <c r="E2320" s="22">
        <f t="array" ref="E2320">IF($C2320="","",IFERROR(INDEX(DATA_MASTER!$I$2:$I$5000,MATCH($C2320,DATA_MASTER!$D$2:$D$5000,0)),""))</f>
        <v/>
      </c>
      <c r="F2320" s="22">
        <f t="array" ref="F2320">IF($C2320="","",IFERROR(INDEX(DATA_MASTER!$L$2:$L$5000,MATCH($C2320,DATA_MASTER!$D$2:$D$5000,0)),""))</f>
        <v/>
      </c>
      <c r="G2320" s="24" t="n"/>
      <c r="H2320" s="24" t="n"/>
      <c r="I2320" s="30" t="n"/>
      <c r="J2320" s="23">
        <f>IF(OR($H2320="",$I2320=""),"",$H2320*$I2320)</f>
        <v/>
      </c>
      <c r="K2320" s="24" t="n"/>
      <c r="L2320" s="24" t="n"/>
      <c r="M2320" s="29" t="n"/>
      <c r="N2320" s="28" t="n"/>
      <c r="O2320" s="24" t="n"/>
      <c r="P2320" s="24" t="n"/>
      <c r="Q2320" s="24" t="n"/>
      <c r="R2320" s="24" t="n"/>
      <c r="S2320" s="22">
        <f>IF(AND($A2320="",$C2320=""),"",IF($A2320="","Thiếu mã đơn; ","")&amp;IF(COUNTIF($A$2:$A2320,$A2320)&gt;1,"Trùng mã đơn; ","")&amp;IF(ISNA(MATCH($C2320,DATA_MASTER!$D$2:$D$5000,0)),"SĐT chưa đăng ký hội viên; ","")&amp;IF(AND($L2320="Đã chuyển khoản",$M2320=""),"Thiếu ngày nhận CK; ",""))</f>
        <v/>
      </c>
      <c r="T2320" s="24" t="n"/>
    </row>
    <row r="2321" ht="14.25" customHeight="1" s="40">
      <c r="A2321" s="24" t="n"/>
      <c r="B2321" s="29" t="n"/>
      <c r="C2321" s="28" t="n"/>
      <c r="D2321" s="22">
        <f t="array" ref="D2321">IF($C2321="","",IFERROR(INDEX(DATA_MASTER!$C$2:$C$5000,MATCH($C2321,DATA_MASTER!$D$2:$D$5000,0)),""))</f>
        <v/>
      </c>
      <c r="E2321" s="22">
        <f t="array" ref="E2321">IF($C2321="","",IFERROR(INDEX(DATA_MASTER!$I$2:$I$5000,MATCH($C2321,DATA_MASTER!$D$2:$D$5000,0)),""))</f>
        <v/>
      </c>
      <c r="F2321" s="22">
        <f t="array" ref="F2321">IF($C2321="","",IFERROR(INDEX(DATA_MASTER!$L$2:$L$5000,MATCH($C2321,DATA_MASTER!$D$2:$D$5000,0)),""))</f>
        <v/>
      </c>
      <c r="G2321" s="24" t="n"/>
      <c r="H2321" s="24" t="n"/>
      <c r="I2321" s="30" t="n"/>
      <c r="J2321" s="23">
        <f>IF(OR($H2321="",$I2321=""),"",$H2321*$I2321)</f>
        <v/>
      </c>
      <c r="K2321" s="24" t="n"/>
      <c r="L2321" s="24" t="n"/>
      <c r="M2321" s="29" t="n"/>
      <c r="N2321" s="28" t="n"/>
      <c r="O2321" s="24" t="n"/>
      <c r="P2321" s="24" t="n"/>
      <c r="Q2321" s="24" t="n"/>
      <c r="R2321" s="24" t="n"/>
      <c r="S2321" s="22">
        <f>IF(AND($A2321="",$C2321=""),"",IF($A2321="","Thiếu mã đơn; ","")&amp;IF(COUNTIF($A$2:$A2321,$A2321)&gt;1,"Trùng mã đơn; ","")&amp;IF(ISNA(MATCH($C2321,DATA_MASTER!$D$2:$D$5000,0)),"SĐT chưa đăng ký hội viên; ","")&amp;IF(AND($L2321="Đã chuyển khoản",$M2321=""),"Thiếu ngày nhận CK; ",""))</f>
        <v/>
      </c>
      <c r="T2321" s="24" t="n"/>
    </row>
    <row r="2322" ht="14.25" customHeight="1" s="40">
      <c r="A2322" s="24" t="n"/>
      <c r="B2322" s="29" t="n"/>
      <c r="C2322" s="28" t="n"/>
      <c r="D2322" s="22">
        <f t="array" ref="D2322">IF($C2322="","",IFERROR(INDEX(DATA_MASTER!$C$2:$C$5000,MATCH($C2322,DATA_MASTER!$D$2:$D$5000,0)),""))</f>
        <v/>
      </c>
      <c r="E2322" s="22">
        <f t="array" ref="E2322">IF($C2322="","",IFERROR(INDEX(DATA_MASTER!$I$2:$I$5000,MATCH($C2322,DATA_MASTER!$D$2:$D$5000,0)),""))</f>
        <v/>
      </c>
      <c r="F2322" s="22">
        <f t="array" ref="F2322">IF($C2322="","",IFERROR(INDEX(DATA_MASTER!$L$2:$L$5000,MATCH($C2322,DATA_MASTER!$D$2:$D$5000,0)),""))</f>
        <v/>
      </c>
      <c r="G2322" s="24" t="n"/>
      <c r="H2322" s="24" t="n"/>
      <c r="I2322" s="30" t="n"/>
      <c r="J2322" s="23">
        <f>IF(OR($H2322="",$I2322=""),"",$H2322*$I2322)</f>
        <v/>
      </c>
      <c r="K2322" s="24" t="n"/>
      <c r="L2322" s="24" t="n"/>
      <c r="M2322" s="29" t="n"/>
      <c r="N2322" s="28" t="n"/>
      <c r="O2322" s="24" t="n"/>
      <c r="P2322" s="24" t="n"/>
      <c r="Q2322" s="24" t="n"/>
      <c r="R2322" s="24" t="n"/>
      <c r="S2322" s="22">
        <f>IF(AND($A2322="",$C2322=""),"",IF($A2322="","Thiếu mã đơn; ","")&amp;IF(COUNTIF($A$2:$A2322,$A2322)&gt;1,"Trùng mã đơn; ","")&amp;IF(ISNA(MATCH($C2322,DATA_MASTER!$D$2:$D$5000,0)),"SĐT chưa đăng ký hội viên; ","")&amp;IF(AND($L2322="Đã chuyển khoản",$M2322=""),"Thiếu ngày nhận CK; ",""))</f>
        <v/>
      </c>
      <c r="T2322" s="24" t="n"/>
    </row>
    <row r="2323" ht="14.25" customHeight="1" s="40">
      <c r="A2323" s="24" t="n"/>
      <c r="B2323" s="29" t="n"/>
      <c r="C2323" s="28" t="n"/>
      <c r="D2323" s="22">
        <f t="array" ref="D2323">IF($C2323="","",IFERROR(INDEX(DATA_MASTER!$C$2:$C$5000,MATCH($C2323,DATA_MASTER!$D$2:$D$5000,0)),""))</f>
        <v/>
      </c>
      <c r="E2323" s="22">
        <f t="array" ref="E2323">IF($C2323="","",IFERROR(INDEX(DATA_MASTER!$I$2:$I$5000,MATCH($C2323,DATA_MASTER!$D$2:$D$5000,0)),""))</f>
        <v/>
      </c>
      <c r="F2323" s="22">
        <f t="array" ref="F2323">IF($C2323="","",IFERROR(INDEX(DATA_MASTER!$L$2:$L$5000,MATCH($C2323,DATA_MASTER!$D$2:$D$5000,0)),""))</f>
        <v/>
      </c>
      <c r="G2323" s="24" t="n"/>
      <c r="H2323" s="24" t="n"/>
      <c r="I2323" s="30" t="n"/>
      <c r="J2323" s="23">
        <f>IF(OR($H2323="",$I2323=""),"",$H2323*$I2323)</f>
        <v/>
      </c>
      <c r="K2323" s="24" t="n"/>
      <c r="L2323" s="24" t="n"/>
      <c r="M2323" s="29" t="n"/>
      <c r="N2323" s="28" t="n"/>
      <c r="O2323" s="24" t="n"/>
      <c r="P2323" s="24" t="n"/>
      <c r="Q2323" s="24" t="n"/>
      <c r="R2323" s="24" t="n"/>
      <c r="S2323" s="22">
        <f>IF(AND($A2323="",$C2323=""),"",IF($A2323="","Thiếu mã đơn; ","")&amp;IF(COUNTIF($A$2:$A2323,$A2323)&gt;1,"Trùng mã đơn; ","")&amp;IF(ISNA(MATCH($C2323,DATA_MASTER!$D$2:$D$5000,0)),"SĐT chưa đăng ký hội viên; ","")&amp;IF(AND($L2323="Đã chuyển khoản",$M2323=""),"Thiếu ngày nhận CK; ",""))</f>
        <v/>
      </c>
      <c r="T2323" s="24" t="n"/>
    </row>
    <row r="2324" ht="14.25" customHeight="1" s="40">
      <c r="A2324" s="24" t="n"/>
      <c r="B2324" s="29" t="n"/>
      <c r="C2324" s="28" t="n"/>
      <c r="D2324" s="22">
        <f t="array" ref="D2324">IF($C2324="","",IFERROR(INDEX(DATA_MASTER!$C$2:$C$5000,MATCH($C2324,DATA_MASTER!$D$2:$D$5000,0)),""))</f>
        <v/>
      </c>
      <c r="E2324" s="22">
        <f t="array" ref="E2324">IF($C2324="","",IFERROR(INDEX(DATA_MASTER!$I$2:$I$5000,MATCH($C2324,DATA_MASTER!$D$2:$D$5000,0)),""))</f>
        <v/>
      </c>
      <c r="F2324" s="22">
        <f t="array" ref="F2324">IF($C2324="","",IFERROR(INDEX(DATA_MASTER!$L$2:$L$5000,MATCH($C2324,DATA_MASTER!$D$2:$D$5000,0)),""))</f>
        <v/>
      </c>
      <c r="G2324" s="24" t="n"/>
      <c r="H2324" s="24" t="n"/>
      <c r="I2324" s="30" t="n"/>
      <c r="J2324" s="23">
        <f>IF(OR($H2324="",$I2324=""),"",$H2324*$I2324)</f>
        <v/>
      </c>
      <c r="K2324" s="24" t="n"/>
      <c r="L2324" s="24" t="n"/>
      <c r="M2324" s="29" t="n"/>
      <c r="N2324" s="28" t="n"/>
      <c r="O2324" s="24" t="n"/>
      <c r="P2324" s="24" t="n"/>
      <c r="Q2324" s="24" t="n"/>
      <c r="R2324" s="24" t="n"/>
      <c r="S2324" s="22">
        <f>IF(AND($A2324="",$C2324=""),"",IF($A2324="","Thiếu mã đơn; ","")&amp;IF(COUNTIF($A$2:$A2324,$A2324)&gt;1,"Trùng mã đơn; ","")&amp;IF(ISNA(MATCH($C2324,DATA_MASTER!$D$2:$D$5000,0)),"SĐT chưa đăng ký hội viên; ","")&amp;IF(AND($L2324="Đã chuyển khoản",$M2324=""),"Thiếu ngày nhận CK; ",""))</f>
        <v/>
      </c>
      <c r="T2324" s="24" t="n"/>
    </row>
    <row r="2325" ht="14.25" customHeight="1" s="40">
      <c r="A2325" s="24" t="n"/>
      <c r="B2325" s="29" t="n"/>
      <c r="C2325" s="28" t="n"/>
      <c r="D2325" s="22">
        <f t="array" ref="D2325">IF($C2325="","",IFERROR(INDEX(DATA_MASTER!$C$2:$C$5000,MATCH($C2325,DATA_MASTER!$D$2:$D$5000,0)),""))</f>
        <v/>
      </c>
      <c r="E2325" s="22">
        <f t="array" ref="E2325">IF($C2325="","",IFERROR(INDEX(DATA_MASTER!$I$2:$I$5000,MATCH($C2325,DATA_MASTER!$D$2:$D$5000,0)),""))</f>
        <v/>
      </c>
      <c r="F2325" s="22">
        <f t="array" ref="F2325">IF($C2325="","",IFERROR(INDEX(DATA_MASTER!$L$2:$L$5000,MATCH($C2325,DATA_MASTER!$D$2:$D$5000,0)),""))</f>
        <v/>
      </c>
      <c r="G2325" s="24" t="n"/>
      <c r="H2325" s="24" t="n"/>
      <c r="I2325" s="30" t="n"/>
      <c r="J2325" s="23">
        <f>IF(OR($H2325="",$I2325=""),"",$H2325*$I2325)</f>
        <v/>
      </c>
      <c r="K2325" s="24" t="n"/>
      <c r="L2325" s="24" t="n"/>
      <c r="M2325" s="29" t="n"/>
      <c r="N2325" s="28" t="n"/>
      <c r="O2325" s="24" t="n"/>
      <c r="P2325" s="24" t="n"/>
      <c r="Q2325" s="24" t="n"/>
      <c r="R2325" s="24" t="n"/>
      <c r="S2325" s="22">
        <f>IF(AND($A2325="",$C2325=""),"",IF($A2325="","Thiếu mã đơn; ","")&amp;IF(COUNTIF($A$2:$A2325,$A2325)&gt;1,"Trùng mã đơn; ","")&amp;IF(ISNA(MATCH($C2325,DATA_MASTER!$D$2:$D$5000,0)),"SĐT chưa đăng ký hội viên; ","")&amp;IF(AND($L2325="Đã chuyển khoản",$M2325=""),"Thiếu ngày nhận CK; ",""))</f>
        <v/>
      </c>
      <c r="T2325" s="24" t="n"/>
    </row>
    <row r="2326" ht="14.25" customHeight="1" s="40">
      <c r="A2326" s="24" t="n"/>
      <c r="B2326" s="29" t="n"/>
      <c r="C2326" s="28" t="n"/>
      <c r="D2326" s="22">
        <f t="array" ref="D2326">IF($C2326="","",IFERROR(INDEX(DATA_MASTER!$C$2:$C$5000,MATCH($C2326,DATA_MASTER!$D$2:$D$5000,0)),""))</f>
        <v/>
      </c>
      <c r="E2326" s="22">
        <f t="array" ref="E2326">IF($C2326="","",IFERROR(INDEX(DATA_MASTER!$I$2:$I$5000,MATCH($C2326,DATA_MASTER!$D$2:$D$5000,0)),""))</f>
        <v/>
      </c>
      <c r="F2326" s="22">
        <f t="array" ref="F2326">IF($C2326="","",IFERROR(INDEX(DATA_MASTER!$L$2:$L$5000,MATCH($C2326,DATA_MASTER!$D$2:$D$5000,0)),""))</f>
        <v/>
      </c>
      <c r="G2326" s="24" t="n"/>
      <c r="H2326" s="24" t="n"/>
      <c r="I2326" s="30" t="n"/>
      <c r="J2326" s="23">
        <f>IF(OR($H2326="",$I2326=""),"",$H2326*$I2326)</f>
        <v/>
      </c>
      <c r="K2326" s="24" t="n"/>
      <c r="L2326" s="24" t="n"/>
      <c r="M2326" s="29" t="n"/>
      <c r="N2326" s="28" t="n"/>
      <c r="O2326" s="24" t="n"/>
      <c r="P2326" s="24" t="n"/>
      <c r="Q2326" s="24" t="n"/>
      <c r="R2326" s="24" t="n"/>
      <c r="S2326" s="22">
        <f>IF(AND($A2326="",$C2326=""),"",IF($A2326="","Thiếu mã đơn; ","")&amp;IF(COUNTIF($A$2:$A2326,$A2326)&gt;1,"Trùng mã đơn; ","")&amp;IF(ISNA(MATCH($C2326,DATA_MASTER!$D$2:$D$5000,0)),"SĐT chưa đăng ký hội viên; ","")&amp;IF(AND($L2326="Đã chuyển khoản",$M2326=""),"Thiếu ngày nhận CK; ",""))</f>
        <v/>
      </c>
      <c r="T2326" s="24" t="n"/>
    </row>
    <row r="2327" ht="14.25" customHeight="1" s="40">
      <c r="A2327" s="24" t="n"/>
      <c r="B2327" s="29" t="n"/>
      <c r="C2327" s="28" t="n"/>
      <c r="D2327" s="22">
        <f t="array" ref="D2327">IF($C2327="","",IFERROR(INDEX(DATA_MASTER!$C$2:$C$5000,MATCH($C2327,DATA_MASTER!$D$2:$D$5000,0)),""))</f>
        <v/>
      </c>
      <c r="E2327" s="22">
        <f t="array" ref="E2327">IF($C2327="","",IFERROR(INDEX(DATA_MASTER!$I$2:$I$5000,MATCH($C2327,DATA_MASTER!$D$2:$D$5000,0)),""))</f>
        <v/>
      </c>
      <c r="F2327" s="22">
        <f t="array" ref="F2327">IF($C2327="","",IFERROR(INDEX(DATA_MASTER!$L$2:$L$5000,MATCH($C2327,DATA_MASTER!$D$2:$D$5000,0)),""))</f>
        <v/>
      </c>
      <c r="G2327" s="24" t="n"/>
      <c r="H2327" s="24" t="n"/>
      <c r="I2327" s="30" t="n"/>
      <c r="J2327" s="23">
        <f>IF(OR($H2327="",$I2327=""),"",$H2327*$I2327)</f>
        <v/>
      </c>
      <c r="K2327" s="24" t="n"/>
      <c r="L2327" s="24" t="n"/>
      <c r="M2327" s="29" t="n"/>
      <c r="N2327" s="28" t="n"/>
      <c r="O2327" s="24" t="n"/>
      <c r="P2327" s="24" t="n"/>
      <c r="Q2327" s="24" t="n"/>
      <c r="R2327" s="24" t="n"/>
      <c r="S2327" s="22">
        <f>IF(AND($A2327="",$C2327=""),"",IF($A2327="","Thiếu mã đơn; ","")&amp;IF(COUNTIF($A$2:$A2327,$A2327)&gt;1,"Trùng mã đơn; ","")&amp;IF(ISNA(MATCH($C2327,DATA_MASTER!$D$2:$D$5000,0)),"SĐT chưa đăng ký hội viên; ","")&amp;IF(AND($L2327="Đã chuyển khoản",$M2327=""),"Thiếu ngày nhận CK; ",""))</f>
        <v/>
      </c>
      <c r="T2327" s="24" t="n"/>
    </row>
    <row r="2328" ht="14.25" customHeight="1" s="40">
      <c r="A2328" s="24" t="n"/>
      <c r="B2328" s="29" t="n"/>
      <c r="C2328" s="28" t="n"/>
      <c r="D2328" s="22">
        <f t="array" ref="D2328">IF($C2328="","",IFERROR(INDEX(DATA_MASTER!$C$2:$C$5000,MATCH($C2328,DATA_MASTER!$D$2:$D$5000,0)),""))</f>
        <v/>
      </c>
      <c r="E2328" s="22">
        <f t="array" ref="E2328">IF($C2328="","",IFERROR(INDEX(DATA_MASTER!$I$2:$I$5000,MATCH($C2328,DATA_MASTER!$D$2:$D$5000,0)),""))</f>
        <v/>
      </c>
      <c r="F2328" s="22">
        <f t="array" ref="F2328">IF($C2328="","",IFERROR(INDEX(DATA_MASTER!$L$2:$L$5000,MATCH($C2328,DATA_MASTER!$D$2:$D$5000,0)),""))</f>
        <v/>
      </c>
      <c r="G2328" s="24" t="n"/>
      <c r="H2328" s="24" t="n"/>
      <c r="I2328" s="30" t="n"/>
      <c r="J2328" s="23">
        <f>IF(OR($H2328="",$I2328=""),"",$H2328*$I2328)</f>
        <v/>
      </c>
      <c r="K2328" s="24" t="n"/>
      <c r="L2328" s="24" t="n"/>
      <c r="M2328" s="29" t="n"/>
      <c r="N2328" s="28" t="n"/>
      <c r="O2328" s="24" t="n"/>
      <c r="P2328" s="24" t="n"/>
      <c r="Q2328" s="24" t="n"/>
      <c r="R2328" s="24" t="n"/>
      <c r="S2328" s="22">
        <f>IF(AND($A2328="",$C2328=""),"",IF($A2328="","Thiếu mã đơn; ","")&amp;IF(COUNTIF($A$2:$A2328,$A2328)&gt;1,"Trùng mã đơn; ","")&amp;IF(ISNA(MATCH($C2328,DATA_MASTER!$D$2:$D$5000,0)),"SĐT chưa đăng ký hội viên; ","")&amp;IF(AND($L2328="Đã chuyển khoản",$M2328=""),"Thiếu ngày nhận CK; ",""))</f>
        <v/>
      </c>
      <c r="T2328" s="24" t="n"/>
    </row>
    <row r="2329" ht="14.25" customHeight="1" s="40">
      <c r="A2329" s="24" t="n"/>
      <c r="B2329" s="29" t="n"/>
      <c r="C2329" s="28" t="n"/>
      <c r="D2329" s="22">
        <f t="array" ref="D2329">IF($C2329="","",IFERROR(INDEX(DATA_MASTER!$C$2:$C$5000,MATCH($C2329,DATA_MASTER!$D$2:$D$5000,0)),""))</f>
        <v/>
      </c>
      <c r="E2329" s="22">
        <f t="array" ref="E2329">IF($C2329="","",IFERROR(INDEX(DATA_MASTER!$I$2:$I$5000,MATCH($C2329,DATA_MASTER!$D$2:$D$5000,0)),""))</f>
        <v/>
      </c>
      <c r="F2329" s="22">
        <f t="array" ref="F2329">IF($C2329="","",IFERROR(INDEX(DATA_MASTER!$L$2:$L$5000,MATCH($C2329,DATA_MASTER!$D$2:$D$5000,0)),""))</f>
        <v/>
      </c>
      <c r="G2329" s="24" t="n"/>
      <c r="H2329" s="24" t="n"/>
      <c r="I2329" s="30" t="n"/>
      <c r="J2329" s="23">
        <f>IF(OR($H2329="",$I2329=""),"",$H2329*$I2329)</f>
        <v/>
      </c>
      <c r="K2329" s="24" t="n"/>
      <c r="L2329" s="24" t="n"/>
      <c r="M2329" s="29" t="n"/>
      <c r="N2329" s="28" t="n"/>
      <c r="O2329" s="24" t="n"/>
      <c r="P2329" s="24" t="n"/>
      <c r="Q2329" s="24" t="n"/>
      <c r="R2329" s="24" t="n"/>
      <c r="S2329" s="22">
        <f>IF(AND($A2329="",$C2329=""),"",IF($A2329="","Thiếu mã đơn; ","")&amp;IF(COUNTIF($A$2:$A2329,$A2329)&gt;1,"Trùng mã đơn; ","")&amp;IF(ISNA(MATCH($C2329,DATA_MASTER!$D$2:$D$5000,0)),"SĐT chưa đăng ký hội viên; ","")&amp;IF(AND($L2329="Đã chuyển khoản",$M2329=""),"Thiếu ngày nhận CK; ",""))</f>
        <v/>
      </c>
      <c r="T2329" s="24" t="n"/>
    </row>
    <row r="2330" ht="14.25" customHeight="1" s="40">
      <c r="A2330" s="24" t="n"/>
      <c r="B2330" s="29" t="n"/>
      <c r="C2330" s="28" t="n"/>
      <c r="D2330" s="22">
        <f t="array" ref="D2330">IF($C2330="","",IFERROR(INDEX(DATA_MASTER!$C$2:$C$5000,MATCH($C2330,DATA_MASTER!$D$2:$D$5000,0)),""))</f>
        <v/>
      </c>
      <c r="E2330" s="22">
        <f t="array" ref="E2330">IF($C2330="","",IFERROR(INDEX(DATA_MASTER!$I$2:$I$5000,MATCH($C2330,DATA_MASTER!$D$2:$D$5000,0)),""))</f>
        <v/>
      </c>
      <c r="F2330" s="22">
        <f t="array" ref="F2330">IF($C2330="","",IFERROR(INDEX(DATA_MASTER!$L$2:$L$5000,MATCH($C2330,DATA_MASTER!$D$2:$D$5000,0)),""))</f>
        <v/>
      </c>
      <c r="G2330" s="24" t="n"/>
      <c r="H2330" s="24" t="n"/>
      <c r="I2330" s="30" t="n"/>
      <c r="J2330" s="23">
        <f>IF(OR($H2330="",$I2330=""),"",$H2330*$I2330)</f>
        <v/>
      </c>
      <c r="K2330" s="24" t="n"/>
      <c r="L2330" s="24" t="n"/>
      <c r="M2330" s="29" t="n"/>
      <c r="N2330" s="28" t="n"/>
      <c r="O2330" s="24" t="n"/>
      <c r="P2330" s="24" t="n"/>
      <c r="Q2330" s="24" t="n"/>
      <c r="R2330" s="24" t="n"/>
      <c r="S2330" s="22">
        <f>IF(AND($A2330="",$C2330=""),"",IF($A2330="","Thiếu mã đơn; ","")&amp;IF(COUNTIF($A$2:$A2330,$A2330)&gt;1,"Trùng mã đơn; ","")&amp;IF(ISNA(MATCH($C2330,DATA_MASTER!$D$2:$D$5000,0)),"SĐT chưa đăng ký hội viên; ","")&amp;IF(AND($L2330="Đã chuyển khoản",$M2330=""),"Thiếu ngày nhận CK; ",""))</f>
        <v/>
      </c>
      <c r="T2330" s="24" t="n"/>
    </row>
    <row r="2331" ht="14.25" customHeight="1" s="40">
      <c r="A2331" s="24" t="n"/>
      <c r="B2331" s="29" t="n"/>
      <c r="C2331" s="28" t="n"/>
      <c r="D2331" s="22">
        <f t="array" ref="D2331">IF($C2331="","",IFERROR(INDEX(DATA_MASTER!$C$2:$C$5000,MATCH($C2331,DATA_MASTER!$D$2:$D$5000,0)),""))</f>
        <v/>
      </c>
      <c r="E2331" s="22">
        <f t="array" ref="E2331">IF($C2331="","",IFERROR(INDEX(DATA_MASTER!$I$2:$I$5000,MATCH($C2331,DATA_MASTER!$D$2:$D$5000,0)),""))</f>
        <v/>
      </c>
      <c r="F2331" s="22">
        <f t="array" ref="F2331">IF($C2331="","",IFERROR(INDEX(DATA_MASTER!$L$2:$L$5000,MATCH($C2331,DATA_MASTER!$D$2:$D$5000,0)),""))</f>
        <v/>
      </c>
      <c r="G2331" s="24" t="n"/>
      <c r="H2331" s="24" t="n"/>
      <c r="I2331" s="30" t="n"/>
      <c r="J2331" s="23">
        <f>IF(OR($H2331="",$I2331=""),"",$H2331*$I2331)</f>
        <v/>
      </c>
      <c r="K2331" s="24" t="n"/>
      <c r="L2331" s="24" t="n"/>
      <c r="M2331" s="29" t="n"/>
      <c r="N2331" s="28" t="n"/>
      <c r="O2331" s="24" t="n"/>
      <c r="P2331" s="24" t="n"/>
      <c r="Q2331" s="24" t="n"/>
      <c r="R2331" s="24" t="n"/>
      <c r="S2331" s="22">
        <f>IF(AND($A2331="",$C2331=""),"",IF($A2331="","Thiếu mã đơn; ","")&amp;IF(COUNTIF($A$2:$A2331,$A2331)&gt;1,"Trùng mã đơn; ","")&amp;IF(ISNA(MATCH($C2331,DATA_MASTER!$D$2:$D$5000,0)),"SĐT chưa đăng ký hội viên; ","")&amp;IF(AND($L2331="Đã chuyển khoản",$M2331=""),"Thiếu ngày nhận CK; ",""))</f>
        <v/>
      </c>
      <c r="T2331" s="24" t="n"/>
    </row>
    <row r="2332" ht="14.25" customHeight="1" s="40">
      <c r="A2332" s="24" t="n"/>
      <c r="B2332" s="29" t="n"/>
      <c r="C2332" s="28" t="n"/>
      <c r="D2332" s="22">
        <f t="array" ref="D2332">IF($C2332="","",IFERROR(INDEX(DATA_MASTER!$C$2:$C$5000,MATCH($C2332,DATA_MASTER!$D$2:$D$5000,0)),""))</f>
        <v/>
      </c>
      <c r="E2332" s="22">
        <f t="array" ref="E2332">IF($C2332="","",IFERROR(INDEX(DATA_MASTER!$I$2:$I$5000,MATCH($C2332,DATA_MASTER!$D$2:$D$5000,0)),""))</f>
        <v/>
      </c>
      <c r="F2332" s="22">
        <f t="array" ref="F2332">IF($C2332="","",IFERROR(INDEX(DATA_MASTER!$L$2:$L$5000,MATCH($C2332,DATA_MASTER!$D$2:$D$5000,0)),""))</f>
        <v/>
      </c>
      <c r="G2332" s="24" t="n"/>
      <c r="H2332" s="24" t="n"/>
      <c r="I2332" s="30" t="n"/>
      <c r="J2332" s="23">
        <f>IF(OR($H2332="",$I2332=""),"",$H2332*$I2332)</f>
        <v/>
      </c>
      <c r="K2332" s="24" t="n"/>
      <c r="L2332" s="24" t="n"/>
      <c r="M2332" s="29" t="n"/>
      <c r="N2332" s="28" t="n"/>
      <c r="O2332" s="24" t="n"/>
      <c r="P2332" s="24" t="n"/>
      <c r="Q2332" s="24" t="n"/>
      <c r="R2332" s="24" t="n"/>
      <c r="S2332" s="22">
        <f>IF(AND($A2332="",$C2332=""),"",IF($A2332="","Thiếu mã đơn; ","")&amp;IF(COUNTIF($A$2:$A2332,$A2332)&gt;1,"Trùng mã đơn; ","")&amp;IF(ISNA(MATCH($C2332,DATA_MASTER!$D$2:$D$5000,0)),"SĐT chưa đăng ký hội viên; ","")&amp;IF(AND($L2332="Đã chuyển khoản",$M2332=""),"Thiếu ngày nhận CK; ",""))</f>
        <v/>
      </c>
      <c r="T2332" s="24" t="n"/>
    </row>
    <row r="2333" ht="14.25" customHeight="1" s="40">
      <c r="A2333" s="24" t="n"/>
      <c r="B2333" s="29" t="n"/>
      <c r="C2333" s="28" t="n"/>
      <c r="D2333" s="22">
        <f t="array" ref="D2333">IF($C2333="","",IFERROR(INDEX(DATA_MASTER!$C$2:$C$5000,MATCH($C2333,DATA_MASTER!$D$2:$D$5000,0)),""))</f>
        <v/>
      </c>
      <c r="E2333" s="22">
        <f t="array" ref="E2333">IF($C2333="","",IFERROR(INDEX(DATA_MASTER!$I$2:$I$5000,MATCH($C2333,DATA_MASTER!$D$2:$D$5000,0)),""))</f>
        <v/>
      </c>
      <c r="F2333" s="22">
        <f t="array" ref="F2333">IF($C2333="","",IFERROR(INDEX(DATA_MASTER!$L$2:$L$5000,MATCH($C2333,DATA_MASTER!$D$2:$D$5000,0)),""))</f>
        <v/>
      </c>
      <c r="G2333" s="24" t="n"/>
      <c r="H2333" s="24" t="n"/>
      <c r="I2333" s="30" t="n"/>
      <c r="J2333" s="23">
        <f>IF(OR($H2333="",$I2333=""),"",$H2333*$I2333)</f>
        <v/>
      </c>
      <c r="K2333" s="24" t="n"/>
      <c r="L2333" s="24" t="n"/>
      <c r="M2333" s="29" t="n"/>
      <c r="N2333" s="28" t="n"/>
      <c r="O2333" s="24" t="n"/>
      <c r="P2333" s="24" t="n"/>
      <c r="Q2333" s="24" t="n"/>
      <c r="R2333" s="24" t="n"/>
      <c r="S2333" s="22">
        <f>IF(AND($A2333="",$C2333=""),"",IF($A2333="","Thiếu mã đơn; ","")&amp;IF(COUNTIF($A$2:$A2333,$A2333)&gt;1,"Trùng mã đơn; ","")&amp;IF(ISNA(MATCH($C2333,DATA_MASTER!$D$2:$D$5000,0)),"SĐT chưa đăng ký hội viên; ","")&amp;IF(AND($L2333="Đã chuyển khoản",$M2333=""),"Thiếu ngày nhận CK; ",""))</f>
        <v/>
      </c>
      <c r="T2333" s="24" t="n"/>
    </row>
    <row r="2334" ht="14.25" customHeight="1" s="40">
      <c r="A2334" s="24" t="n"/>
      <c r="B2334" s="29" t="n"/>
      <c r="C2334" s="28" t="n"/>
      <c r="D2334" s="22">
        <f t="array" ref="D2334">IF($C2334="","",IFERROR(INDEX(DATA_MASTER!$C$2:$C$5000,MATCH($C2334,DATA_MASTER!$D$2:$D$5000,0)),""))</f>
        <v/>
      </c>
      <c r="E2334" s="22">
        <f t="array" ref="E2334">IF($C2334="","",IFERROR(INDEX(DATA_MASTER!$I$2:$I$5000,MATCH($C2334,DATA_MASTER!$D$2:$D$5000,0)),""))</f>
        <v/>
      </c>
      <c r="F2334" s="22">
        <f t="array" ref="F2334">IF($C2334="","",IFERROR(INDEX(DATA_MASTER!$L$2:$L$5000,MATCH($C2334,DATA_MASTER!$D$2:$D$5000,0)),""))</f>
        <v/>
      </c>
      <c r="G2334" s="24" t="n"/>
      <c r="H2334" s="24" t="n"/>
      <c r="I2334" s="30" t="n"/>
      <c r="J2334" s="23">
        <f>IF(OR($H2334="",$I2334=""),"",$H2334*$I2334)</f>
        <v/>
      </c>
      <c r="K2334" s="24" t="n"/>
      <c r="L2334" s="24" t="n"/>
      <c r="M2334" s="29" t="n"/>
      <c r="N2334" s="28" t="n"/>
      <c r="O2334" s="24" t="n"/>
      <c r="P2334" s="24" t="n"/>
      <c r="Q2334" s="24" t="n"/>
      <c r="R2334" s="24" t="n"/>
      <c r="S2334" s="22">
        <f>IF(AND($A2334="",$C2334=""),"",IF($A2334="","Thiếu mã đơn; ","")&amp;IF(COUNTIF($A$2:$A2334,$A2334)&gt;1,"Trùng mã đơn; ","")&amp;IF(ISNA(MATCH($C2334,DATA_MASTER!$D$2:$D$5000,0)),"SĐT chưa đăng ký hội viên; ","")&amp;IF(AND($L2334="Đã chuyển khoản",$M2334=""),"Thiếu ngày nhận CK; ",""))</f>
        <v/>
      </c>
      <c r="T2334" s="24" t="n"/>
    </row>
    <row r="2335" ht="14.25" customHeight="1" s="40">
      <c r="A2335" s="24" t="n"/>
      <c r="B2335" s="29" t="n"/>
      <c r="C2335" s="28" t="n"/>
      <c r="D2335" s="22">
        <f t="array" ref="D2335">IF($C2335="","",IFERROR(INDEX(DATA_MASTER!$C$2:$C$5000,MATCH($C2335,DATA_MASTER!$D$2:$D$5000,0)),""))</f>
        <v/>
      </c>
      <c r="E2335" s="22">
        <f t="array" ref="E2335">IF($C2335="","",IFERROR(INDEX(DATA_MASTER!$I$2:$I$5000,MATCH($C2335,DATA_MASTER!$D$2:$D$5000,0)),""))</f>
        <v/>
      </c>
      <c r="F2335" s="22">
        <f t="array" ref="F2335">IF($C2335="","",IFERROR(INDEX(DATA_MASTER!$L$2:$L$5000,MATCH($C2335,DATA_MASTER!$D$2:$D$5000,0)),""))</f>
        <v/>
      </c>
      <c r="G2335" s="24" t="n"/>
      <c r="H2335" s="24" t="n"/>
      <c r="I2335" s="30" t="n"/>
      <c r="J2335" s="23">
        <f>IF(OR($H2335="",$I2335=""),"",$H2335*$I2335)</f>
        <v/>
      </c>
      <c r="K2335" s="24" t="n"/>
      <c r="L2335" s="24" t="n"/>
      <c r="M2335" s="29" t="n"/>
      <c r="N2335" s="28" t="n"/>
      <c r="O2335" s="24" t="n"/>
      <c r="P2335" s="24" t="n"/>
      <c r="Q2335" s="24" t="n"/>
      <c r="R2335" s="24" t="n"/>
      <c r="S2335" s="22">
        <f>IF(AND($A2335="",$C2335=""),"",IF($A2335="","Thiếu mã đơn; ","")&amp;IF(COUNTIF($A$2:$A2335,$A2335)&gt;1,"Trùng mã đơn; ","")&amp;IF(ISNA(MATCH($C2335,DATA_MASTER!$D$2:$D$5000,0)),"SĐT chưa đăng ký hội viên; ","")&amp;IF(AND($L2335="Đã chuyển khoản",$M2335=""),"Thiếu ngày nhận CK; ",""))</f>
        <v/>
      </c>
      <c r="T2335" s="24" t="n"/>
    </row>
    <row r="2336" ht="14.25" customHeight="1" s="40">
      <c r="A2336" s="24" t="n"/>
      <c r="B2336" s="29" t="n"/>
      <c r="C2336" s="28" t="n"/>
      <c r="D2336" s="22">
        <f t="array" ref="D2336">IF($C2336="","",IFERROR(INDEX(DATA_MASTER!$C$2:$C$5000,MATCH($C2336,DATA_MASTER!$D$2:$D$5000,0)),""))</f>
        <v/>
      </c>
      <c r="E2336" s="22">
        <f t="array" ref="E2336">IF($C2336="","",IFERROR(INDEX(DATA_MASTER!$I$2:$I$5000,MATCH($C2336,DATA_MASTER!$D$2:$D$5000,0)),""))</f>
        <v/>
      </c>
      <c r="F2336" s="22">
        <f t="array" ref="F2336">IF($C2336="","",IFERROR(INDEX(DATA_MASTER!$L$2:$L$5000,MATCH($C2336,DATA_MASTER!$D$2:$D$5000,0)),""))</f>
        <v/>
      </c>
      <c r="G2336" s="24" t="n"/>
      <c r="H2336" s="24" t="n"/>
      <c r="I2336" s="30" t="n"/>
      <c r="J2336" s="23">
        <f>IF(OR($H2336="",$I2336=""),"",$H2336*$I2336)</f>
        <v/>
      </c>
      <c r="K2336" s="24" t="n"/>
      <c r="L2336" s="24" t="n"/>
      <c r="M2336" s="29" t="n"/>
      <c r="N2336" s="28" t="n"/>
      <c r="O2336" s="24" t="n"/>
      <c r="P2336" s="24" t="n"/>
      <c r="Q2336" s="24" t="n"/>
      <c r="R2336" s="24" t="n"/>
      <c r="S2336" s="22">
        <f>IF(AND($A2336="",$C2336=""),"",IF($A2336="","Thiếu mã đơn; ","")&amp;IF(COUNTIF($A$2:$A2336,$A2336)&gt;1,"Trùng mã đơn; ","")&amp;IF(ISNA(MATCH($C2336,DATA_MASTER!$D$2:$D$5000,0)),"SĐT chưa đăng ký hội viên; ","")&amp;IF(AND($L2336="Đã chuyển khoản",$M2336=""),"Thiếu ngày nhận CK; ",""))</f>
        <v/>
      </c>
      <c r="T2336" s="24" t="n"/>
    </row>
    <row r="2337" ht="14.25" customHeight="1" s="40">
      <c r="A2337" s="24" t="n"/>
      <c r="B2337" s="29" t="n"/>
      <c r="C2337" s="28" t="n"/>
      <c r="D2337" s="22">
        <f t="array" ref="D2337">IF($C2337="","",IFERROR(INDEX(DATA_MASTER!$C$2:$C$5000,MATCH($C2337,DATA_MASTER!$D$2:$D$5000,0)),""))</f>
        <v/>
      </c>
      <c r="E2337" s="22">
        <f t="array" ref="E2337">IF($C2337="","",IFERROR(INDEX(DATA_MASTER!$I$2:$I$5000,MATCH($C2337,DATA_MASTER!$D$2:$D$5000,0)),""))</f>
        <v/>
      </c>
      <c r="F2337" s="22">
        <f t="array" ref="F2337">IF($C2337="","",IFERROR(INDEX(DATA_MASTER!$L$2:$L$5000,MATCH($C2337,DATA_MASTER!$D$2:$D$5000,0)),""))</f>
        <v/>
      </c>
      <c r="G2337" s="24" t="n"/>
      <c r="H2337" s="24" t="n"/>
      <c r="I2337" s="30" t="n"/>
      <c r="J2337" s="23">
        <f>IF(OR($H2337="",$I2337=""),"",$H2337*$I2337)</f>
        <v/>
      </c>
      <c r="K2337" s="24" t="n"/>
      <c r="L2337" s="24" t="n"/>
      <c r="M2337" s="29" t="n"/>
      <c r="N2337" s="28" t="n"/>
      <c r="O2337" s="24" t="n"/>
      <c r="P2337" s="24" t="n"/>
      <c r="Q2337" s="24" t="n"/>
      <c r="R2337" s="24" t="n"/>
      <c r="S2337" s="22">
        <f>IF(AND($A2337="",$C2337=""),"",IF($A2337="","Thiếu mã đơn; ","")&amp;IF(COUNTIF($A$2:$A2337,$A2337)&gt;1,"Trùng mã đơn; ","")&amp;IF(ISNA(MATCH($C2337,DATA_MASTER!$D$2:$D$5000,0)),"SĐT chưa đăng ký hội viên; ","")&amp;IF(AND($L2337="Đã chuyển khoản",$M2337=""),"Thiếu ngày nhận CK; ",""))</f>
        <v/>
      </c>
      <c r="T2337" s="24" t="n"/>
    </row>
    <row r="2338" ht="14.25" customHeight="1" s="40">
      <c r="A2338" s="24" t="n"/>
      <c r="B2338" s="29" t="n"/>
      <c r="C2338" s="28" t="n"/>
      <c r="D2338" s="22">
        <f t="array" ref="D2338">IF($C2338="","",IFERROR(INDEX(DATA_MASTER!$C$2:$C$5000,MATCH($C2338,DATA_MASTER!$D$2:$D$5000,0)),""))</f>
        <v/>
      </c>
      <c r="E2338" s="22">
        <f t="array" ref="E2338">IF($C2338="","",IFERROR(INDEX(DATA_MASTER!$I$2:$I$5000,MATCH($C2338,DATA_MASTER!$D$2:$D$5000,0)),""))</f>
        <v/>
      </c>
      <c r="F2338" s="22">
        <f t="array" ref="F2338">IF($C2338="","",IFERROR(INDEX(DATA_MASTER!$L$2:$L$5000,MATCH($C2338,DATA_MASTER!$D$2:$D$5000,0)),""))</f>
        <v/>
      </c>
      <c r="G2338" s="24" t="n"/>
      <c r="H2338" s="24" t="n"/>
      <c r="I2338" s="30" t="n"/>
      <c r="J2338" s="23">
        <f>IF(OR($H2338="",$I2338=""),"",$H2338*$I2338)</f>
        <v/>
      </c>
      <c r="K2338" s="24" t="n"/>
      <c r="L2338" s="24" t="n"/>
      <c r="M2338" s="29" t="n"/>
      <c r="N2338" s="28" t="n"/>
      <c r="O2338" s="24" t="n"/>
      <c r="P2338" s="24" t="n"/>
      <c r="Q2338" s="24" t="n"/>
      <c r="R2338" s="24" t="n"/>
      <c r="S2338" s="22">
        <f>IF(AND($A2338="",$C2338=""),"",IF($A2338="","Thiếu mã đơn; ","")&amp;IF(COUNTIF($A$2:$A2338,$A2338)&gt;1,"Trùng mã đơn; ","")&amp;IF(ISNA(MATCH($C2338,DATA_MASTER!$D$2:$D$5000,0)),"SĐT chưa đăng ký hội viên; ","")&amp;IF(AND($L2338="Đã chuyển khoản",$M2338=""),"Thiếu ngày nhận CK; ",""))</f>
        <v/>
      </c>
      <c r="T2338" s="24" t="n"/>
    </row>
    <row r="2339" ht="14.25" customHeight="1" s="40">
      <c r="A2339" s="24" t="n"/>
      <c r="B2339" s="29" t="n"/>
      <c r="C2339" s="28" t="n"/>
      <c r="D2339" s="22">
        <f t="array" ref="D2339">IF($C2339="","",IFERROR(INDEX(DATA_MASTER!$C$2:$C$5000,MATCH($C2339,DATA_MASTER!$D$2:$D$5000,0)),""))</f>
        <v/>
      </c>
      <c r="E2339" s="22">
        <f t="array" ref="E2339">IF($C2339="","",IFERROR(INDEX(DATA_MASTER!$I$2:$I$5000,MATCH($C2339,DATA_MASTER!$D$2:$D$5000,0)),""))</f>
        <v/>
      </c>
      <c r="F2339" s="22">
        <f t="array" ref="F2339">IF($C2339="","",IFERROR(INDEX(DATA_MASTER!$L$2:$L$5000,MATCH($C2339,DATA_MASTER!$D$2:$D$5000,0)),""))</f>
        <v/>
      </c>
      <c r="G2339" s="24" t="n"/>
      <c r="H2339" s="24" t="n"/>
      <c r="I2339" s="30" t="n"/>
      <c r="J2339" s="23">
        <f>IF(OR($H2339="",$I2339=""),"",$H2339*$I2339)</f>
        <v/>
      </c>
      <c r="K2339" s="24" t="n"/>
      <c r="L2339" s="24" t="n"/>
      <c r="M2339" s="29" t="n"/>
      <c r="N2339" s="28" t="n"/>
      <c r="O2339" s="24" t="n"/>
      <c r="P2339" s="24" t="n"/>
      <c r="Q2339" s="24" t="n"/>
      <c r="R2339" s="24" t="n"/>
      <c r="S2339" s="22">
        <f>IF(AND($A2339="",$C2339=""),"",IF($A2339="","Thiếu mã đơn; ","")&amp;IF(COUNTIF($A$2:$A2339,$A2339)&gt;1,"Trùng mã đơn; ","")&amp;IF(ISNA(MATCH($C2339,DATA_MASTER!$D$2:$D$5000,0)),"SĐT chưa đăng ký hội viên; ","")&amp;IF(AND($L2339="Đã chuyển khoản",$M2339=""),"Thiếu ngày nhận CK; ",""))</f>
        <v/>
      </c>
      <c r="T2339" s="24" t="n"/>
    </row>
    <row r="2340" ht="14.25" customHeight="1" s="40">
      <c r="A2340" s="24" t="n"/>
      <c r="B2340" s="29" t="n"/>
      <c r="C2340" s="28" t="n"/>
      <c r="D2340" s="22">
        <f t="array" ref="D2340">IF($C2340="","",IFERROR(INDEX(DATA_MASTER!$C$2:$C$5000,MATCH($C2340,DATA_MASTER!$D$2:$D$5000,0)),""))</f>
        <v/>
      </c>
      <c r="E2340" s="22">
        <f t="array" ref="E2340">IF($C2340="","",IFERROR(INDEX(DATA_MASTER!$I$2:$I$5000,MATCH($C2340,DATA_MASTER!$D$2:$D$5000,0)),""))</f>
        <v/>
      </c>
      <c r="F2340" s="22">
        <f t="array" ref="F2340">IF($C2340="","",IFERROR(INDEX(DATA_MASTER!$L$2:$L$5000,MATCH($C2340,DATA_MASTER!$D$2:$D$5000,0)),""))</f>
        <v/>
      </c>
      <c r="G2340" s="24" t="n"/>
      <c r="H2340" s="24" t="n"/>
      <c r="I2340" s="30" t="n"/>
      <c r="J2340" s="23">
        <f>IF(OR($H2340="",$I2340=""),"",$H2340*$I2340)</f>
        <v/>
      </c>
      <c r="K2340" s="24" t="n"/>
      <c r="L2340" s="24" t="n"/>
      <c r="M2340" s="29" t="n"/>
      <c r="N2340" s="28" t="n"/>
      <c r="O2340" s="24" t="n"/>
      <c r="P2340" s="24" t="n"/>
      <c r="Q2340" s="24" t="n"/>
      <c r="R2340" s="24" t="n"/>
      <c r="S2340" s="22">
        <f>IF(AND($A2340="",$C2340=""),"",IF($A2340="","Thiếu mã đơn; ","")&amp;IF(COUNTIF($A$2:$A2340,$A2340)&gt;1,"Trùng mã đơn; ","")&amp;IF(ISNA(MATCH($C2340,DATA_MASTER!$D$2:$D$5000,0)),"SĐT chưa đăng ký hội viên; ","")&amp;IF(AND($L2340="Đã chuyển khoản",$M2340=""),"Thiếu ngày nhận CK; ",""))</f>
        <v/>
      </c>
      <c r="T2340" s="24" t="n"/>
    </row>
    <row r="2341" ht="14.25" customHeight="1" s="40">
      <c r="A2341" s="24" t="n"/>
      <c r="B2341" s="29" t="n"/>
      <c r="C2341" s="28" t="n"/>
      <c r="D2341" s="22">
        <f t="array" ref="D2341">IF($C2341="","",IFERROR(INDEX(DATA_MASTER!$C$2:$C$5000,MATCH($C2341,DATA_MASTER!$D$2:$D$5000,0)),""))</f>
        <v/>
      </c>
      <c r="E2341" s="22">
        <f t="array" ref="E2341">IF($C2341="","",IFERROR(INDEX(DATA_MASTER!$I$2:$I$5000,MATCH($C2341,DATA_MASTER!$D$2:$D$5000,0)),""))</f>
        <v/>
      </c>
      <c r="F2341" s="22">
        <f t="array" ref="F2341">IF($C2341="","",IFERROR(INDEX(DATA_MASTER!$L$2:$L$5000,MATCH($C2341,DATA_MASTER!$D$2:$D$5000,0)),""))</f>
        <v/>
      </c>
      <c r="G2341" s="24" t="n"/>
      <c r="H2341" s="24" t="n"/>
      <c r="I2341" s="30" t="n"/>
      <c r="J2341" s="23">
        <f>IF(OR($H2341="",$I2341=""),"",$H2341*$I2341)</f>
        <v/>
      </c>
      <c r="K2341" s="24" t="n"/>
      <c r="L2341" s="24" t="n"/>
      <c r="M2341" s="29" t="n"/>
      <c r="N2341" s="28" t="n"/>
      <c r="O2341" s="24" t="n"/>
      <c r="P2341" s="24" t="n"/>
      <c r="Q2341" s="24" t="n"/>
      <c r="R2341" s="24" t="n"/>
      <c r="S2341" s="22">
        <f>IF(AND($A2341="",$C2341=""),"",IF($A2341="","Thiếu mã đơn; ","")&amp;IF(COUNTIF($A$2:$A2341,$A2341)&gt;1,"Trùng mã đơn; ","")&amp;IF(ISNA(MATCH($C2341,DATA_MASTER!$D$2:$D$5000,0)),"SĐT chưa đăng ký hội viên; ","")&amp;IF(AND($L2341="Đã chuyển khoản",$M2341=""),"Thiếu ngày nhận CK; ",""))</f>
        <v/>
      </c>
      <c r="T2341" s="24" t="n"/>
    </row>
    <row r="2342" ht="14.25" customHeight="1" s="40">
      <c r="A2342" s="24" t="n"/>
      <c r="B2342" s="29" t="n"/>
      <c r="C2342" s="28" t="n"/>
      <c r="D2342" s="22">
        <f t="array" ref="D2342">IF($C2342="","",IFERROR(INDEX(DATA_MASTER!$C$2:$C$5000,MATCH($C2342,DATA_MASTER!$D$2:$D$5000,0)),""))</f>
        <v/>
      </c>
      <c r="E2342" s="22">
        <f t="array" ref="E2342">IF($C2342="","",IFERROR(INDEX(DATA_MASTER!$I$2:$I$5000,MATCH($C2342,DATA_MASTER!$D$2:$D$5000,0)),""))</f>
        <v/>
      </c>
      <c r="F2342" s="22">
        <f t="array" ref="F2342">IF($C2342="","",IFERROR(INDEX(DATA_MASTER!$L$2:$L$5000,MATCH($C2342,DATA_MASTER!$D$2:$D$5000,0)),""))</f>
        <v/>
      </c>
      <c r="G2342" s="24" t="n"/>
      <c r="H2342" s="24" t="n"/>
      <c r="I2342" s="30" t="n"/>
      <c r="J2342" s="23">
        <f>IF(OR($H2342="",$I2342=""),"",$H2342*$I2342)</f>
        <v/>
      </c>
      <c r="K2342" s="24" t="n"/>
      <c r="L2342" s="24" t="n"/>
      <c r="M2342" s="29" t="n"/>
      <c r="N2342" s="28" t="n"/>
      <c r="O2342" s="24" t="n"/>
      <c r="P2342" s="24" t="n"/>
      <c r="Q2342" s="24" t="n"/>
      <c r="R2342" s="24" t="n"/>
      <c r="S2342" s="22">
        <f>IF(AND($A2342="",$C2342=""),"",IF($A2342="","Thiếu mã đơn; ","")&amp;IF(COUNTIF($A$2:$A2342,$A2342)&gt;1,"Trùng mã đơn; ","")&amp;IF(ISNA(MATCH($C2342,DATA_MASTER!$D$2:$D$5000,0)),"SĐT chưa đăng ký hội viên; ","")&amp;IF(AND($L2342="Đã chuyển khoản",$M2342=""),"Thiếu ngày nhận CK; ",""))</f>
        <v/>
      </c>
      <c r="T2342" s="24" t="n"/>
    </row>
    <row r="2343" ht="14.25" customHeight="1" s="40">
      <c r="A2343" s="24" t="n"/>
      <c r="B2343" s="29" t="n"/>
      <c r="C2343" s="28" t="n"/>
      <c r="D2343" s="22">
        <f t="array" ref="D2343">IF($C2343="","",IFERROR(INDEX(DATA_MASTER!$C$2:$C$5000,MATCH($C2343,DATA_MASTER!$D$2:$D$5000,0)),""))</f>
        <v/>
      </c>
      <c r="E2343" s="22">
        <f t="array" ref="E2343">IF($C2343="","",IFERROR(INDEX(DATA_MASTER!$I$2:$I$5000,MATCH($C2343,DATA_MASTER!$D$2:$D$5000,0)),""))</f>
        <v/>
      </c>
      <c r="F2343" s="22">
        <f t="array" ref="F2343">IF($C2343="","",IFERROR(INDEX(DATA_MASTER!$L$2:$L$5000,MATCH($C2343,DATA_MASTER!$D$2:$D$5000,0)),""))</f>
        <v/>
      </c>
      <c r="G2343" s="24" t="n"/>
      <c r="H2343" s="24" t="n"/>
      <c r="I2343" s="30" t="n"/>
      <c r="J2343" s="23">
        <f>IF(OR($H2343="",$I2343=""),"",$H2343*$I2343)</f>
        <v/>
      </c>
      <c r="K2343" s="24" t="n"/>
      <c r="L2343" s="24" t="n"/>
      <c r="M2343" s="29" t="n"/>
      <c r="N2343" s="28" t="n"/>
      <c r="O2343" s="24" t="n"/>
      <c r="P2343" s="24" t="n"/>
      <c r="Q2343" s="24" t="n"/>
      <c r="R2343" s="24" t="n"/>
      <c r="S2343" s="22">
        <f>IF(AND($A2343="",$C2343=""),"",IF($A2343="","Thiếu mã đơn; ","")&amp;IF(COUNTIF($A$2:$A2343,$A2343)&gt;1,"Trùng mã đơn; ","")&amp;IF(ISNA(MATCH($C2343,DATA_MASTER!$D$2:$D$5000,0)),"SĐT chưa đăng ký hội viên; ","")&amp;IF(AND($L2343="Đã chuyển khoản",$M2343=""),"Thiếu ngày nhận CK; ",""))</f>
        <v/>
      </c>
      <c r="T2343" s="24" t="n"/>
    </row>
    <row r="2344" ht="14.25" customHeight="1" s="40">
      <c r="A2344" s="24" t="n"/>
      <c r="B2344" s="29" t="n"/>
      <c r="C2344" s="28" t="n"/>
      <c r="D2344" s="22">
        <f t="array" ref="D2344">IF($C2344="","",IFERROR(INDEX(DATA_MASTER!$C$2:$C$5000,MATCH($C2344,DATA_MASTER!$D$2:$D$5000,0)),""))</f>
        <v/>
      </c>
      <c r="E2344" s="22">
        <f t="array" ref="E2344">IF($C2344="","",IFERROR(INDEX(DATA_MASTER!$I$2:$I$5000,MATCH($C2344,DATA_MASTER!$D$2:$D$5000,0)),""))</f>
        <v/>
      </c>
      <c r="F2344" s="22">
        <f t="array" ref="F2344">IF($C2344="","",IFERROR(INDEX(DATA_MASTER!$L$2:$L$5000,MATCH($C2344,DATA_MASTER!$D$2:$D$5000,0)),""))</f>
        <v/>
      </c>
      <c r="G2344" s="24" t="n"/>
      <c r="H2344" s="24" t="n"/>
      <c r="I2344" s="30" t="n"/>
      <c r="J2344" s="23">
        <f>IF(OR($H2344="",$I2344=""),"",$H2344*$I2344)</f>
        <v/>
      </c>
      <c r="K2344" s="24" t="n"/>
      <c r="L2344" s="24" t="n"/>
      <c r="M2344" s="29" t="n"/>
      <c r="N2344" s="28" t="n"/>
      <c r="O2344" s="24" t="n"/>
      <c r="P2344" s="24" t="n"/>
      <c r="Q2344" s="24" t="n"/>
      <c r="R2344" s="24" t="n"/>
      <c r="S2344" s="22">
        <f>IF(AND($A2344="",$C2344=""),"",IF($A2344="","Thiếu mã đơn; ","")&amp;IF(COUNTIF($A$2:$A2344,$A2344)&gt;1,"Trùng mã đơn; ","")&amp;IF(ISNA(MATCH($C2344,DATA_MASTER!$D$2:$D$5000,0)),"SĐT chưa đăng ký hội viên; ","")&amp;IF(AND($L2344="Đã chuyển khoản",$M2344=""),"Thiếu ngày nhận CK; ",""))</f>
        <v/>
      </c>
      <c r="T2344" s="24" t="n"/>
    </row>
    <row r="2345" ht="14.25" customHeight="1" s="40">
      <c r="A2345" s="24" t="n"/>
      <c r="B2345" s="29" t="n"/>
      <c r="C2345" s="28" t="n"/>
      <c r="D2345" s="22">
        <f t="array" ref="D2345">IF($C2345="","",IFERROR(INDEX(DATA_MASTER!$C$2:$C$5000,MATCH($C2345,DATA_MASTER!$D$2:$D$5000,0)),""))</f>
        <v/>
      </c>
      <c r="E2345" s="22">
        <f t="array" ref="E2345">IF($C2345="","",IFERROR(INDEX(DATA_MASTER!$I$2:$I$5000,MATCH($C2345,DATA_MASTER!$D$2:$D$5000,0)),""))</f>
        <v/>
      </c>
      <c r="F2345" s="22">
        <f t="array" ref="F2345">IF($C2345="","",IFERROR(INDEX(DATA_MASTER!$L$2:$L$5000,MATCH($C2345,DATA_MASTER!$D$2:$D$5000,0)),""))</f>
        <v/>
      </c>
      <c r="G2345" s="24" t="n"/>
      <c r="H2345" s="24" t="n"/>
      <c r="I2345" s="30" t="n"/>
      <c r="J2345" s="23">
        <f>IF(OR($H2345="",$I2345=""),"",$H2345*$I2345)</f>
        <v/>
      </c>
      <c r="K2345" s="24" t="n"/>
      <c r="L2345" s="24" t="n"/>
      <c r="M2345" s="29" t="n"/>
      <c r="N2345" s="28" t="n"/>
      <c r="O2345" s="24" t="n"/>
      <c r="P2345" s="24" t="n"/>
      <c r="Q2345" s="24" t="n"/>
      <c r="R2345" s="24" t="n"/>
      <c r="S2345" s="22">
        <f>IF(AND($A2345="",$C2345=""),"",IF($A2345="","Thiếu mã đơn; ","")&amp;IF(COUNTIF($A$2:$A2345,$A2345)&gt;1,"Trùng mã đơn; ","")&amp;IF(ISNA(MATCH($C2345,DATA_MASTER!$D$2:$D$5000,0)),"SĐT chưa đăng ký hội viên; ","")&amp;IF(AND($L2345="Đã chuyển khoản",$M2345=""),"Thiếu ngày nhận CK; ",""))</f>
        <v/>
      </c>
      <c r="T2345" s="24" t="n"/>
    </row>
    <row r="2346" ht="14.25" customHeight="1" s="40">
      <c r="A2346" s="24" t="n"/>
      <c r="B2346" s="29" t="n"/>
      <c r="C2346" s="28" t="n"/>
      <c r="D2346" s="22">
        <f t="array" ref="D2346">IF($C2346="","",IFERROR(INDEX(DATA_MASTER!$C$2:$C$5000,MATCH($C2346,DATA_MASTER!$D$2:$D$5000,0)),""))</f>
        <v/>
      </c>
      <c r="E2346" s="22">
        <f t="array" ref="E2346">IF($C2346="","",IFERROR(INDEX(DATA_MASTER!$I$2:$I$5000,MATCH($C2346,DATA_MASTER!$D$2:$D$5000,0)),""))</f>
        <v/>
      </c>
      <c r="F2346" s="22">
        <f t="array" ref="F2346">IF($C2346="","",IFERROR(INDEX(DATA_MASTER!$L$2:$L$5000,MATCH($C2346,DATA_MASTER!$D$2:$D$5000,0)),""))</f>
        <v/>
      </c>
      <c r="G2346" s="24" t="n"/>
      <c r="H2346" s="24" t="n"/>
      <c r="I2346" s="30" t="n"/>
      <c r="J2346" s="23">
        <f>IF(OR($H2346="",$I2346=""),"",$H2346*$I2346)</f>
        <v/>
      </c>
      <c r="K2346" s="24" t="n"/>
      <c r="L2346" s="24" t="n"/>
      <c r="M2346" s="29" t="n"/>
      <c r="N2346" s="28" t="n"/>
      <c r="O2346" s="24" t="n"/>
      <c r="P2346" s="24" t="n"/>
      <c r="Q2346" s="24" t="n"/>
      <c r="R2346" s="24" t="n"/>
      <c r="S2346" s="22">
        <f>IF(AND($A2346="",$C2346=""),"",IF($A2346="","Thiếu mã đơn; ","")&amp;IF(COUNTIF($A$2:$A2346,$A2346)&gt;1,"Trùng mã đơn; ","")&amp;IF(ISNA(MATCH($C2346,DATA_MASTER!$D$2:$D$5000,0)),"SĐT chưa đăng ký hội viên; ","")&amp;IF(AND($L2346="Đã chuyển khoản",$M2346=""),"Thiếu ngày nhận CK; ",""))</f>
        <v/>
      </c>
      <c r="T2346" s="24" t="n"/>
    </row>
    <row r="2347" ht="14.25" customHeight="1" s="40">
      <c r="A2347" s="24" t="n"/>
      <c r="B2347" s="29" t="n"/>
      <c r="C2347" s="28" t="n"/>
      <c r="D2347" s="22">
        <f t="array" ref="D2347">IF($C2347="","",IFERROR(INDEX(DATA_MASTER!$C$2:$C$5000,MATCH($C2347,DATA_MASTER!$D$2:$D$5000,0)),""))</f>
        <v/>
      </c>
      <c r="E2347" s="22">
        <f t="array" ref="E2347">IF($C2347="","",IFERROR(INDEX(DATA_MASTER!$I$2:$I$5000,MATCH($C2347,DATA_MASTER!$D$2:$D$5000,0)),""))</f>
        <v/>
      </c>
      <c r="F2347" s="22">
        <f t="array" ref="F2347">IF($C2347="","",IFERROR(INDEX(DATA_MASTER!$L$2:$L$5000,MATCH($C2347,DATA_MASTER!$D$2:$D$5000,0)),""))</f>
        <v/>
      </c>
      <c r="G2347" s="24" t="n"/>
      <c r="H2347" s="24" t="n"/>
      <c r="I2347" s="30" t="n"/>
      <c r="J2347" s="23">
        <f>IF(OR($H2347="",$I2347=""),"",$H2347*$I2347)</f>
        <v/>
      </c>
      <c r="K2347" s="24" t="n"/>
      <c r="L2347" s="24" t="n"/>
      <c r="M2347" s="29" t="n"/>
      <c r="N2347" s="28" t="n"/>
      <c r="O2347" s="24" t="n"/>
      <c r="P2347" s="24" t="n"/>
      <c r="Q2347" s="24" t="n"/>
      <c r="R2347" s="24" t="n"/>
      <c r="S2347" s="22">
        <f>IF(AND($A2347="",$C2347=""),"",IF($A2347="","Thiếu mã đơn; ","")&amp;IF(COUNTIF($A$2:$A2347,$A2347)&gt;1,"Trùng mã đơn; ","")&amp;IF(ISNA(MATCH($C2347,DATA_MASTER!$D$2:$D$5000,0)),"SĐT chưa đăng ký hội viên; ","")&amp;IF(AND($L2347="Đã chuyển khoản",$M2347=""),"Thiếu ngày nhận CK; ",""))</f>
        <v/>
      </c>
      <c r="T2347" s="24" t="n"/>
    </row>
    <row r="2348" ht="14.25" customHeight="1" s="40">
      <c r="A2348" s="24" t="n"/>
      <c r="B2348" s="29" t="n"/>
      <c r="C2348" s="28" t="n"/>
      <c r="D2348" s="22">
        <f t="array" ref="D2348">IF($C2348="","",IFERROR(INDEX(DATA_MASTER!$C$2:$C$5000,MATCH($C2348,DATA_MASTER!$D$2:$D$5000,0)),""))</f>
        <v/>
      </c>
      <c r="E2348" s="22">
        <f t="array" ref="E2348">IF($C2348="","",IFERROR(INDEX(DATA_MASTER!$I$2:$I$5000,MATCH($C2348,DATA_MASTER!$D$2:$D$5000,0)),""))</f>
        <v/>
      </c>
      <c r="F2348" s="22">
        <f t="array" ref="F2348">IF($C2348="","",IFERROR(INDEX(DATA_MASTER!$L$2:$L$5000,MATCH($C2348,DATA_MASTER!$D$2:$D$5000,0)),""))</f>
        <v/>
      </c>
      <c r="G2348" s="24" t="n"/>
      <c r="H2348" s="24" t="n"/>
      <c r="I2348" s="30" t="n"/>
      <c r="J2348" s="23">
        <f>IF(OR($H2348="",$I2348=""),"",$H2348*$I2348)</f>
        <v/>
      </c>
      <c r="K2348" s="24" t="n"/>
      <c r="L2348" s="24" t="n"/>
      <c r="M2348" s="29" t="n"/>
      <c r="N2348" s="28" t="n"/>
      <c r="O2348" s="24" t="n"/>
      <c r="P2348" s="24" t="n"/>
      <c r="Q2348" s="24" t="n"/>
      <c r="R2348" s="24" t="n"/>
      <c r="S2348" s="22">
        <f>IF(AND($A2348="",$C2348=""),"",IF($A2348="","Thiếu mã đơn; ","")&amp;IF(COUNTIF($A$2:$A2348,$A2348)&gt;1,"Trùng mã đơn; ","")&amp;IF(ISNA(MATCH($C2348,DATA_MASTER!$D$2:$D$5000,0)),"SĐT chưa đăng ký hội viên; ","")&amp;IF(AND($L2348="Đã chuyển khoản",$M2348=""),"Thiếu ngày nhận CK; ",""))</f>
        <v/>
      </c>
      <c r="T2348" s="24" t="n"/>
    </row>
    <row r="2349" ht="14.25" customHeight="1" s="40">
      <c r="A2349" s="24" t="n"/>
      <c r="B2349" s="29" t="n"/>
      <c r="C2349" s="28" t="n"/>
      <c r="D2349" s="22">
        <f t="array" ref="D2349">IF($C2349="","",IFERROR(INDEX(DATA_MASTER!$C$2:$C$5000,MATCH($C2349,DATA_MASTER!$D$2:$D$5000,0)),""))</f>
        <v/>
      </c>
      <c r="E2349" s="22">
        <f t="array" ref="E2349">IF($C2349="","",IFERROR(INDEX(DATA_MASTER!$I$2:$I$5000,MATCH($C2349,DATA_MASTER!$D$2:$D$5000,0)),""))</f>
        <v/>
      </c>
      <c r="F2349" s="22">
        <f t="array" ref="F2349">IF($C2349="","",IFERROR(INDEX(DATA_MASTER!$L$2:$L$5000,MATCH($C2349,DATA_MASTER!$D$2:$D$5000,0)),""))</f>
        <v/>
      </c>
      <c r="G2349" s="24" t="n"/>
      <c r="H2349" s="24" t="n"/>
      <c r="I2349" s="30" t="n"/>
      <c r="J2349" s="23">
        <f>IF(OR($H2349="",$I2349=""),"",$H2349*$I2349)</f>
        <v/>
      </c>
      <c r="K2349" s="24" t="n"/>
      <c r="L2349" s="24" t="n"/>
      <c r="M2349" s="29" t="n"/>
      <c r="N2349" s="28" t="n"/>
      <c r="O2349" s="24" t="n"/>
      <c r="P2349" s="24" t="n"/>
      <c r="Q2349" s="24" t="n"/>
      <c r="R2349" s="24" t="n"/>
      <c r="S2349" s="22">
        <f>IF(AND($A2349="",$C2349=""),"",IF($A2349="","Thiếu mã đơn; ","")&amp;IF(COUNTIF($A$2:$A2349,$A2349)&gt;1,"Trùng mã đơn; ","")&amp;IF(ISNA(MATCH($C2349,DATA_MASTER!$D$2:$D$5000,0)),"SĐT chưa đăng ký hội viên; ","")&amp;IF(AND($L2349="Đã chuyển khoản",$M2349=""),"Thiếu ngày nhận CK; ",""))</f>
        <v/>
      </c>
      <c r="T2349" s="24" t="n"/>
    </row>
    <row r="2350" ht="14.25" customHeight="1" s="40">
      <c r="A2350" s="24" t="n"/>
      <c r="B2350" s="29" t="n"/>
      <c r="C2350" s="28" t="n"/>
      <c r="D2350" s="22">
        <f t="array" ref="D2350">IF($C2350="","",IFERROR(INDEX(DATA_MASTER!$C$2:$C$5000,MATCH($C2350,DATA_MASTER!$D$2:$D$5000,0)),""))</f>
        <v/>
      </c>
      <c r="E2350" s="22">
        <f t="array" ref="E2350">IF($C2350="","",IFERROR(INDEX(DATA_MASTER!$I$2:$I$5000,MATCH($C2350,DATA_MASTER!$D$2:$D$5000,0)),""))</f>
        <v/>
      </c>
      <c r="F2350" s="22">
        <f t="array" ref="F2350">IF($C2350="","",IFERROR(INDEX(DATA_MASTER!$L$2:$L$5000,MATCH($C2350,DATA_MASTER!$D$2:$D$5000,0)),""))</f>
        <v/>
      </c>
      <c r="G2350" s="24" t="n"/>
      <c r="H2350" s="24" t="n"/>
      <c r="I2350" s="30" t="n"/>
      <c r="J2350" s="23">
        <f>IF(OR($H2350="",$I2350=""),"",$H2350*$I2350)</f>
        <v/>
      </c>
      <c r="K2350" s="24" t="n"/>
      <c r="L2350" s="24" t="n"/>
      <c r="M2350" s="29" t="n"/>
      <c r="N2350" s="28" t="n"/>
      <c r="O2350" s="24" t="n"/>
      <c r="P2350" s="24" t="n"/>
      <c r="Q2350" s="24" t="n"/>
      <c r="R2350" s="24" t="n"/>
      <c r="S2350" s="22">
        <f>IF(AND($A2350="",$C2350=""),"",IF($A2350="","Thiếu mã đơn; ","")&amp;IF(COUNTIF($A$2:$A2350,$A2350)&gt;1,"Trùng mã đơn; ","")&amp;IF(ISNA(MATCH($C2350,DATA_MASTER!$D$2:$D$5000,0)),"SĐT chưa đăng ký hội viên; ","")&amp;IF(AND($L2350="Đã chuyển khoản",$M2350=""),"Thiếu ngày nhận CK; ",""))</f>
        <v/>
      </c>
      <c r="T2350" s="24" t="n"/>
    </row>
    <row r="2351" ht="14.25" customHeight="1" s="40">
      <c r="A2351" s="24" t="n"/>
      <c r="B2351" s="29" t="n"/>
      <c r="C2351" s="28" t="n"/>
      <c r="D2351" s="22">
        <f t="array" ref="D2351">IF($C2351="","",IFERROR(INDEX(DATA_MASTER!$C$2:$C$5000,MATCH($C2351,DATA_MASTER!$D$2:$D$5000,0)),""))</f>
        <v/>
      </c>
      <c r="E2351" s="22">
        <f t="array" ref="E2351">IF($C2351="","",IFERROR(INDEX(DATA_MASTER!$I$2:$I$5000,MATCH($C2351,DATA_MASTER!$D$2:$D$5000,0)),""))</f>
        <v/>
      </c>
      <c r="F2351" s="22">
        <f t="array" ref="F2351">IF($C2351="","",IFERROR(INDEX(DATA_MASTER!$L$2:$L$5000,MATCH($C2351,DATA_MASTER!$D$2:$D$5000,0)),""))</f>
        <v/>
      </c>
      <c r="G2351" s="24" t="n"/>
      <c r="H2351" s="24" t="n"/>
      <c r="I2351" s="30" t="n"/>
      <c r="J2351" s="23">
        <f>IF(OR($H2351="",$I2351=""),"",$H2351*$I2351)</f>
        <v/>
      </c>
      <c r="K2351" s="24" t="n"/>
      <c r="L2351" s="24" t="n"/>
      <c r="M2351" s="29" t="n"/>
      <c r="N2351" s="28" t="n"/>
      <c r="O2351" s="24" t="n"/>
      <c r="P2351" s="24" t="n"/>
      <c r="Q2351" s="24" t="n"/>
      <c r="R2351" s="24" t="n"/>
      <c r="S2351" s="22">
        <f>IF(AND($A2351="",$C2351=""),"",IF($A2351="","Thiếu mã đơn; ","")&amp;IF(COUNTIF($A$2:$A2351,$A2351)&gt;1,"Trùng mã đơn; ","")&amp;IF(ISNA(MATCH($C2351,DATA_MASTER!$D$2:$D$5000,0)),"SĐT chưa đăng ký hội viên; ","")&amp;IF(AND($L2351="Đã chuyển khoản",$M2351=""),"Thiếu ngày nhận CK; ",""))</f>
        <v/>
      </c>
      <c r="T2351" s="24" t="n"/>
    </row>
    <row r="2352" ht="14.25" customHeight="1" s="40">
      <c r="A2352" s="24" t="n"/>
      <c r="B2352" s="29" t="n"/>
      <c r="C2352" s="28" t="n"/>
      <c r="D2352" s="22">
        <f t="array" ref="D2352">IF($C2352="","",IFERROR(INDEX(DATA_MASTER!$C$2:$C$5000,MATCH($C2352,DATA_MASTER!$D$2:$D$5000,0)),""))</f>
        <v/>
      </c>
      <c r="E2352" s="22">
        <f t="array" ref="E2352">IF($C2352="","",IFERROR(INDEX(DATA_MASTER!$I$2:$I$5000,MATCH($C2352,DATA_MASTER!$D$2:$D$5000,0)),""))</f>
        <v/>
      </c>
      <c r="F2352" s="22">
        <f t="array" ref="F2352">IF($C2352="","",IFERROR(INDEX(DATA_MASTER!$L$2:$L$5000,MATCH($C2352,DATA_MASTER!$D$2:$D$5000,0)),""))</f>
        <v/>
      </c>
      <c r="G2352" s="24" t="n"/>
      <c r="H2352" s="24" t="n"/>
      <c r="I2352" s="30" t="n"/>
      <c r="J2352" s="23">
        <f>IF(OR($H2352="",$I2352=""),"",$H2352*$I2352)</f>
        <v/>
      </c>
      <c r="K2352" s="24" t="n"/>
      <c r="L2352" s="24" t="n"/>
      <c r="M2352" s="29" t="n"/>
      <c r="N2352" s="28" t="n"/>
      <c r="O2352" s="24" t="n"/>
      <c r="P2352" s="24" t="n"/>
      <c r="Q2352" s="24" t="n"/>
      <c r="R2352" s="24" t="n"/>
      <c r="S2352" s="22">
        <f>IF(AND($A2352="",$C2352=""),"",IF($A2352="","Thiếu mã đơn; ","")&amp;IF(COUNTIF($A$2:$A2352,$A2352)&gt;1,"Trùng mã đơn; ","")&amp;IF(ISNA(MATCH($C2352,DATA_MASTER!$D$2:$D$5000,0)),"SĐT chưa đăng ký hội viên; ","")&amp;IF(AND($L2352="Đã chuyển khoản",$M2352=""),"Thiếu ngày nhận CK; ",""))</f>
        <v/>
      </c>
      <c r="T2352" s="24" t="n"/>
    </row>
    <row r="2353" ht="14.25" customHeight="1" s="40">
      <c r="A2353" s="24" t="n"/>
      <c r="B2353" s="29" t="n"/>
      <c r="C2353" s="28" t="n"/>
      <c r="D2353" s="22">
        <f t="array" ref="D2353">IF($C2353="","",IFERROR(INDEX(DATA_MASTER!$C$2:$C$5000,MATCH($C2353,DATA_MASTER!$D$2:$D$5000,0)),""))</f>
        <v/>
      </c>
      <c r="E2353" s="22">
        <f t="array" ref="E2353">IF($C2353="","",IFERROR(INDEX(DATA_MASTER!$I$2:$I$5000,MATCH($C2353,DATA_MASTER!$D$2:$D$5000,0)),""))</f>
        <v/>
      </c>
      <c r="F2353" s="22">
        <f t="array" ref="F2353">IF($C2353="","",IFERROR(INDEX(DATA_MASTER!$L$2:$L$5000,MATCH($C2353,DATA_MASTER!$D$2:$D$5000,0)),""))</f>
        <v/>
      </c>
      <c r="G2353" s="24" t="n"/>
      <c r="H2353" s="24" t="n"/>
      <c r="I2353" s="30" t="n"/>
      <c r="J2353" s="23">
        <f>IF(OR($H2353="",$I2353=""),"",$H2353*$I2353)</f>
        <v/>
      </c>
      <c r="K2353" s="24" t="n"/>
      <c r="L2353" s="24" t="n"/>
      <c r="M2353" s="29" t="n"/>
      <c r="N2353" s="28" t="n"/>
      <c r="O2353" s="24" t="n"/>
      <c r="P2353" s="24" t="n"/>
      <c r="Q2353" s="24" t="n"/>
      <c r="R2353" s="24" t="n"/>
      <c r="S2353" s="22">
        <f>IF(AND($A2353="",$C2353=""),"",IF($A2353="","Thiếu mã đơn; ","")&amp;IF(COUNTIF($A$2:$A2353,$A2353)&gt;1,"Trùng mã đơn; ","")&amp;IF(ISNA(MATCH($C2353,DATA_MASTER!$D$2:$D$5000,0)),"SĐT chưa đăng ký hội viên; ","")&amp;IF(AND($L2353="Đã chuyển khoản",$M2353=""),"Thiếu ngày nhận CK; ",""))</f>
        <v/>
      </c>
      <c r="T2353" s="24" t="n"/>
    </row>
    <row r="2354" ht="14.25" customHeight="1" s="40">
      <c r="A2354" s="24" t="n"/>
      <c r="B2354" s="29" t="n"/>
      <c r="C2354" s="28" t="n"/>
      <c r="D2354" s="22">
        <f t="array" ref="D2354">IF($C2354="","",IFERROR(INDEX(DATA_MASTER!$C$2:$C$5000,MATCH($C2354,DATA_MASTER!$D$2:$D$5000,0)),""))</f>
        <v/>
      </c>
      <c r="E2354" s="22">
        <f t="array" ref="E2354">IF($C2354="","",IFERROR(INDEX(DATA_MASTER!$I$2:$I$5000,MATCH($C2354,DATA_MASTER!$D$2:$D$5000,0)),""))</f>
        <v/>
      </c>
      <c r="F2354" s="22">
        <f t="array" ref="F2354">IF($C2354="","",IFERROR(INDEX(DATA_MASTER!$L$2:$L$5000,MATCH($C2354,DATA_MASTER!$D$2:$D$5000,0)),""))</f>
        <v/>
      </c>
      <c r="G2354" s="24" t="n"/>
      <c r="H2354" s="24" t="n"/>
      <c r="I2354" s="30" t="n"/>
      <c r="J2354" s="23">
        <f>IF(OR($H2354="",$I2354=""),"",$H2354*$I2354)</f>
        <v/>
      </c>
      <c r="K2354" s="24" t="n"/>
      <c r="L2354" s="24" t="n"/>
      <c r="M2354" s="29" t="n"/>
      <c r="N2354" s="28" t="n"/>
      <c r="O2354" s="24" t="n"/>
      <c r="P2354" s="24" t="n"/>
      <c r="Q2354" s="24" t="n"/>
      <c r="R2354" s="24" t="n"/>
      <c r="S2354" s="22">
        <f>IF(AND($A2354="",$C2354=""),"",IF($A2354="","Thiếu mã đơn; ","")&amp;IF(COUNTIF($A$2:$A2354,$A2354)&gt;1,"Trùng mã đơn; ","")&amp;IF(ISNA(MATCH($C2354,DATA_MASTER!$D$2:$D$5000,0)),"SĐT chưa đăng ký hội viên; ","")&amp;IF(AND($L2354="Đã chuyển khoản",$M2354=""),"Thiếu ngày nhận CK; ",""))</f>
        <v/>
      </c>
      <c r="T2354" s="24" t="n"/>
    </row>
    <row r="2355" ht="14.25" customHeight="1" s="40">
      <c r="A2355" s="24" t="n"/>
      <c r="B2355" s="29" t="n"/>
      <c r="C2355" s="28" t="n"/>
      <c r="D2355" s="22">
        <f t="array" ref="D2355">IF($C2355="","",IFERROR(INDEX(DATA_MASTER!$C$2:$C$5000,MATCH($C2355,DATA_MASTER!$D$2:$D$5000,0)),""))</f>
        <v/>
      </c>
      <c r="E2355" s="22">
        <f t="array" ref="E2355">IF($C2355="","",IFERROR(INDEX(DATA_MASTER!$I$2:$I$5000,MATCH($C2355,DATA_MASTER!$D$2:$D$5000,0)),""))</f>
        <v/>
      </c>
      <c r="F2355" s="22">
        <f t="array" ref="F2355">IF($C2355="","",IFERROR(INDEX(DATA_MASTER!$L$2:$L$5000,MATCH($C2355,DATA_MASTER!$D$2:$D$5000,0)),""))</f>
        <v/>
      </c>
      <c r="G2355" s="24" t="n"/>
      <c r="H2355" s="24" t="n"/>
      <c r="I2355" s="30" t="n"/>
      <c r="J2355" s="23">
        <f>IF(OR($H2355="",$I2355=""),"",$H2355*$I2355)</f>
        <v/>
      </c>
      <c r="K2355" s="24" t="n"/>
      <c r="L2355" s="24" t="n"/>
      <c r="M2355" s="29" t="n"/>
      <c r="N2355" s="28" t="n"/>
      <c r="O2355" s="24" t="n"/>
      <c r="P2355" s="24" t="n"/>
      <c r="Q2355" s="24" t="n"/>
      <c r="R2355" s="24" t="n"/>
      <c r="S2355" s="22">
        <f>IF(AND($A2355="",$C2355=""),"",IF($A2355="","Thiếu mã đơn; ","")&amp;IF(COUNTIF($A$2:$A2355,$A2355)&gt;1,"Trùng mã đơn; ","")&amp;IF(ISNA(MATCH($C2355,DATA_MASTER!$D$2:$D$5000,0)),"SĐT chưa đăng ký hội viên; ","")&amp;IF(AND($L2355="Đã chuyển khoản",$M2355=""),"Thiếu ngày nhận CK; ",""))</f>
        <v/>
      </c>
      <c r="T2355" s="24" t="n"/>
    </row>
    <row r="2356" ht="14.25" customHeight="1" s="40">
      <c r="A2356" s="24" t="n"/>
      <c r="B2356" s="29" t="n"/>
      <c r="C2356" s="28" t="n"/>
      <c r="D2356" s="22">
        <f t="array" ref="D2356">IF($C2356="","",IFERROR(INDEX(DATA_MASTER!$C$2:$C$5000,MATCH($C2356,DATA_MASTER!$D$2:$D$5000,0)),""))</f>
        <v/>
      </c>
      <c r="E2356" s="22">
        <f t="array" ref="E2356">IF($C2356="","",IFERROR(INDEX(DATA_MASTER!$I$2:$I$5000,MATCH($C2356,DATA_MASTER!$D$2:$D$5000,0)),""))</f>
        <v/>
      </c>
      <c r="F2356" s="22">
        <f t="array" ref="F2356">IF($C2356="","",IFERROR(INDEX(DATA_MASTER!$L$2:$L$5000,MATCH($C2356,DATA_MASTER!$D$2:$D$5000,0)),""))</f>
        <v/>
      </c>
      <c r="G2356" s="24" t="n"/>
      <c r="H2356" s="24" t="n"/>
      <c r="I2356" s="30" t="n"/>
      <c r="J2356" s="23">
        <f>IF(OR($H2356="",$I2356=""),"",$H2356*$I2356)</f>
        <v/>
      </c>
      <c r="K2356" s="24" t="n"/>
      <c r="L2356" s="24" t="n"/>
      <c r="M2356" s="29" t="n"/>
      <c r="N2356" s="28" t="n"/>
      <c r="O2356" s="24" t="n"/>
      <c r="P2356" s="24" t="n"/>
      <c r="Q2356" s="24" t="n"/>
      <c r="R2356" s="24" t="n"/>
      <c r="S2356" s="22">
        <f>IF(AND($A2356="",$C2356=""),"",IF($A2356="","Thiếu mã đơn; ","")&amp;IF(COUNTIF($A$2:$A2356,$A2356)&gt;1,"Trùng mã đơn; ","")&amp;IF(ISNA(MATCH($C2356,DATA_MASTER!$D$2:$D$5000,0)),"SĐT chưa đăng ký hội viên; ","")&amp;IF(AND($L2356="Đã chuyển khoản",$M2356=""),"Thiếu ngày nhận CK; ",""))</f>
        <v/>
      </c>
      <c r="T2356" s="24" t="n"/>
    </row>
    <row r="2357" ht="14.25" customHeight="1" s="40">
      <c r="A2357" s="24" t="n"/>
      <c r="B2357" s="29" t="n"/>
      <c r="C2357" s="28" t="n"/>
      <c r="D2357" s="22">
        <f t="array" ref="D2357">IF($C2357="","",IFERROR(INDEX(DATA_MASTER!$C$2:$C$5000,MATCH($C2357,DATA_MASTER!$D$2:$D$5000,0)),""))</f>
        <v/>
      </c>
      <c r="E2357" s="22">
        <f t="array" ref="E2357">IF($C2357="","",IFERROR(INDEX(DATA_MASTER!$I$2:$I$5000,MATCH($C2357,DATA_MASTER!$D$2:$D$5000,0)),""))</f>
        <v/>
      </c>
      <c r="F2357" s="22">
        <f t="array" ref="F2357">IF($C2357="","",IFERROR(INDEX(DATA_MASTER!$L$2:$L$5000,MATCH($C2357,DATA_MASTER!$D$2:$D$5000,0)),""))</f>
        <v/>
      </c>
      <c r="G2357" s="24" t="n"/>
      <c r="H2357" s="24" t="n"/>
      <c r="I2357" s="30" t="n"/>
      <c r="J2357" s="23">
        <f>IF(OR($H2357="",$I2357=""),"",$H2357*$I2357)</f>
        <v/>
      </c>
      <c r="K2357" s="24" t="n"/>
      <c r="L2357" s="24" t="n"/>
      <c r="M2357" s="29" t="n"/>
      <c r="N2357" s="28" t="n"/>
      <c r="O2357" s="24" t="n"/>
      <c r="P2357" s="24" t="n"/>
      <c r="Q2357" s="24" t="n"/>
      <c r="R2357" s="24" t="n"/>
      <c r="S2357" s="22">
        <f>IF(AND($A2357="",$C2357=""),"",IF($A2357="","Thiếu mã đơn; ","")&amp;IF(COUNTIF($A$2:$A2357,$A2357)&gt;1,"Trùng mã đơn; ","")&amp;IF(ISNA(MATCH($C2357,DATA_MASTER!$D$2:$D$5000,0)),"SĐT chưa đăng ký hội viên; ","")&amp;IF(AND($L2357="Đã chuyển khoản",$M2357=""),"Thiếu ngày nhận CK; ",""))</f>
        <v/>
      </c>
      <c r="T2357" s="24" t="n"/>
    </row>
    <row r="2358" ht="14.25" customHeight="1" s="40">
      <c r="A2358" s="24" t="n"/>
      <c r="B2358" s="29" t="n"/>
      <c r="C2358" s="28" t="n"/>
      <c r="D2358" s="22">
        <f t="array" ref="D2358">IF($C2358="","",IFERROR(INDEX(DATA_MASTER!$C$2:$C$5000,MATCH($C2358,DATA_MASTER!$D$2:$D$5000,0)),""))</f>
        <v/>
      </c>
      <c r="E2358" s="22">
        <f t="array" ref="E2358">IF($C2358="","",IFERROR(INDEX(DATA_MASTER!$I$2:$I$5000,MATCH($C2358,DATA_MASTER!$D$2:$D$5000,0)),""))</f>
        <v/>
      </c>
      <c r="F2358" s="22">
        <f t="array" ref="F2358">IF($C2358="","",IFERROR(INDEX(DATA_MASTER!$L$2:$L$5000,MATCH($C2358,DATA_MASTER!$D$2:$D$5000,0)),""))</f>
        <v/>
      </c>
      <c r="G2358" s="24" t="n"/>
      <c r="H2358" s="24" t="n"/>
      <c r="I2358" s="30" t="n"/>
      <c r="J2358" s="23">
        <f>IF(OR($H2358="",$I2358=""),"",$H2358*$I2358)</f>
        <v/>
      </c>
      <c r="K2358" s="24" t="n"/>
      <c r="L2358" s="24" t="n"/>
      <c r="M2358" s="29" t="n"/>
      <c r="N2358" s="28" t="n"/>
      <c r="O2358" s="24" t="n"/>
      <c r="P2358" s="24" t="n"/>
      <c r="Q2358" s="24" t="n"/>
      <c r="R2358" s="24" t="n"/>
      <c r="S2358" s="22">
        <f>IF(AND($A2358="",$C2358=""),"",IF($A2358="","Thiếu mã đơn; ","")&amp;IF(COUNTIF($A$2:$A2358,$A2358)&gt;1,"Trùng mã đơn; ","")&amp;IF(ISNA(MATCH($C2358,DATA_MASTER!$D$2:$D$5000,0)),"SĐT chưa đăng ký hội viên; ","")&amp;IF(AND($L2358="Đã chuyển khoản",$M2358=""),"Thiếu ngày nhận CK; ",""))</f>
        <v/>
      </c>
      <c r="T2358" s="24" t="n"/>
    </row>
    <row r="2359" ht="14.25" customHeight="1" s="40">
      <c r="A2359" s="24" t="n"/>
      <c r="B2359" s="29" t="n"/>
      <c r="C2359" s="28" t="n"/>
      <c r="D2359" s="22">
        <f t="array" ref="D2359">IF($C2359="","",IFERROR(INDEX(DATA_MASTER!$C$2:$C$5000,MATCH($C2359,DATA_MASTER!$D$2:$D$5000,0)),""))</f>
        <v/>
      </c>
      <c r="E2359" s="22">
        <f t="array" ref="E2359">IF($C2359="","",IFERROR(INDEX(DATA_MASTER!$I$2:$I$5000,MATCH($C2359,DATA_MASTER!$D$2:$D$5000,0)),""))</f>
        <v/>
      </c>
      <c r="F2359" s="22">
        <f t="array" ref="F2359">IF($C2359="","",IFERROR(INDEX(DATA_MASTER!$L$2:$L$5000,MATCH($C2359,DATA_MASTER!$D$2:$D$5000,0)),""))</f>
        <v/>
      </c>
      <c r="G2359" s="24" t="n"/>
      <c r="H2359" s="24" t="n"/>
      <c r="I2359" s="30" t="n"/>
      <c r="J2359" s="23">
        <f>IF(OR($H2359="",$I2359=""),"",$H2359*$I2359)</f>
        <v/>
      </c>
      <c r="K2359" s="24" t="n"/>
      <c r="L2359" s="24" t="n"/>
      <c r="M2359" s="29" t="n"/>
      <c r="N2359" s="28" t="n"/>
      <c r="O2359" s="24" t="n"/>
      <c r="P2359" s="24" t="n"/>
      <c r="Q2359" s="24" t="n"/>
      <c r="R2359" s="24" t="n"/>
      <c r="S2359" s="22">
        <f>IF(AND($A2359="",$C2359=""),"",IF($A2359="","Thiếu mã đơn; ","")&amp;IF(COUNTIF($A$2:$A2359,$A2359)&gt;1,"Trùng mã đơn; ","")&amp;IF(ISNA(MATCH($C2359,DATA_MASTER!$D$2:$D$5000,0)),"SĐT chưa đăng ký hội viên; ","")&amp;IF(AND($L2359="Đã chuyển khoản",$M2359=""),"Thiếu ngày nhận CK; ",""))</f>
        <v/>
      </c>
      <c r="T2359" s="24" t="n"/>
    </row>
    <row r="2360" ht="14.25" customHeight="1" s="40">
      <c r="A2360" s="24" t="n"/>
      <c r="B2360" s="29" t="n"/>
      <c r="C2360" s="28" t="n"/>
      <c r="D2360" s="22">
        <f t="array" ref="D2360">IF($C2360="","",IFERROR(INDEX(DATA_MASTER!$C$2:$C$5000,MATCH($C2360,DATA_MASTER!$D$2:$D$5000,0)),""))</f>
        <v/>
      </c>
      <c r="E2360" s="22">
        <f t="array" ref="E2360">IF($C2360="","",IFERROR(INDEX(DATA_MASTER!$I$2:$I$5000,MATCH($C2360,DATA_MASTER!$D$2:$D$5000,0)),""))</f>
        <v/>
      </c>
      <c r="F2360" s="22">
        <f t="array" ref="F2360">IF($C2360="","",IFERROR(INDEX(DATA_MASTER!$L$2:$L$5000,MATCH($C2360,DATA_MASTER!$D$2:$D$5000,0)),""))</f>
        <v/>
      </c>
      <c r="G2360" s="24" t="n"/>
      <c r="H2360" s="24" t="n"/>
      <c r="I2360" s="30" t="n"/>
      <c r="J2360" s="23">
        <f>IF(OR($H2360="",$I2360=""),"",$H2360*$I2360)</f>
        <v/>
      </c>
      <c r="K2360" s="24" t="n"/>
      <c r="L2360" s="24" t="n"/>
      <c r="M2360" s="29" t="n"/>
      <c r="N2360" s="28" t="n"/>
      <c r="O2360" s="24" t="n"/>
      <c r="P2360" s="24" t="n"/>
      <c r="Q2360" s="24" t="n"/>
      <c r="R2360" s="24" t="n"/>
      <c r="S2360" s="22">
        <f>IF(AND($A2360="",$C2360=""),"",IF($A2360="","Thiếu mã đơn; ","")&amp;IF(COUNTIF($A$2:$A2360,$A2360)&gt;1,"Trùng mã đơn; ","")&amp;IF(ISNA(MATCH($C2360,DATA_MASTER!$D$2:$D$5000,0)),"SĐT chưa đăng ký hội viên; ","")&amp;IF(AND($L2360="Đã chuyển khoản",$M2360=""),"Thiếu ngày nhận CK; ",""))</f>
        <v/>
      </c>
      <c r="T2360" s="24" t="n"/>
    </row>
    <row r="2361" ht="14.25" customHeight="1" s="40">
      <c r="A2361" s="24" t="n"/>
      <c r="B2361" s="29" t="n"/>
      <c r="C2361" s="28" t="n"/>
      <c r="D2361" s="22">
        <f t="array" ref="D2361">IF($C2361="","",IFERROR(INDEX(DATA_MASTER!$C$2:$C$5000,MATCH($C2361,DATA_MASTER!$D$2:$D$5000,0)),""))</f>
        <v/>
      </c>
      <c r="E2361" s="22">
        <f t="array" ref="E2361">IF($C2361="","",IFERROR(INDEX(DATA_MASTER!$I$2:$I$5000,MATCH($C2361,DATA_MASTER!$D$2:$D$5000,0)),""))</f>
        <v/>
      </c>
      <c r="F2361" s="22">
        <f t="array" ref="F2361">IF($C2361="","",IFERROR(INDEX(DATA_MASTER!$L$2:$L$5000,MATCH($C2361,DATA_MASTER!$D$2:$D$5000,0)),""))</f>
        <v/>
      </c>
      <c r="G2361" s="24" t="n"/>
      <c r="H2361" s="24" t="n"/>
      <c r="I2361" s="30" t="n"/>
      <c r="J2361" s="23">
        <f>IF(OR($H2361="",$I2361=""),"",$H2361*$I2361)</f>
        <v/>
      </c>
      <c r="K2361" s="24" t="n"/>
      <c r="L2361" s="24" t="n"/>
      <c r="M2361" s="29" t="n"/>
      <c r="N2361" s="28" t="n"/>
      <c r="O2361" s="24" t="n"/>
      <c r="P2361" s="24" t="n"/>
      <c r="Q2361" s="24" t="n"/>
      <c r="R2361" s="24" t="n"/>
      <c r="S2361" s="22">
        <f>IF(AND($A2361="",$C2361=""),"",IF($A2361="","Thiếu mã đơn; ","")&amp;IF(COUNTIF($A$2:$A2361,$A2361)&gt;1,"Trùng mã đơn; ","")&amp;IF(ISNA(MATCH($C2361,DATA_MASTER!$D$2:$D$5000,0)),"SĐT chưa đăng ký hội viên; ","")&amp;IF(AND($L2361="Đã chuyển khoản",$M2361=""),"Thiếu ngày nhận CK; ",""))</f>
        <v/>
      </c>
      <c r="T2361" s="24" t="n"/>
    </row>
    <row r="2362" ht="14.25" customHeight="1" s="40">
      <c r="A2362" s="24" t="n"/>
      <c r="B2362" s="29" t="n"/>
      <c r="C2362" s="28" t="n"/>
      <c r="D2362" s="22">
        <f t="array" ref="D2362">IF($C2362="","",IFERROR(INDEX(DATA_MASTER!$C$2:$C$5000,MATCH($C2362,DATA_MASTER!$D$2:$D$5000,0)),""))</f>
        <v/>
      </c>
      <c r="E2362" s="22">
        <f t="array" ref="E2362">IF($C2362="","",IFERROR(INDEX(DATA_MASTER!$I$2:$I$5000,MATCH($C2362,DATA_MASTER!$D$2:$D$5000,0)),""))</f>
        <v/>
      </c>
      <c r="F2362" s="22">
        <f t="array" ref="F2362">IF($C2362="","",IFERROR(INDEX(DATA_MASTER!$L$2:$L$5000,MATCH($C2362,DATA_MASTER!$D$2:$D$5000,0)),""))</f>
        <v/>
      </c>
      <c r="G2362" s="24" t="n"/>
      <c r="H2362" s="24" t="n"/>
      <c r="I2362" s="30" t="n"/>
      <c r="J2362" s="23">
        <f>IF(OR($H2362="",$I2362=""),"",$H2362*$I2362)</f>
        <v/>
      </c>
      <c r="K2362" s="24" t="n"/>
      <c r="L2362" s="24" t="n"/>
      <c r="M2362" s="29" t="n"/>
      <c r="N2362" s="28" t="n"/>
      <c r="O2362" s="24" t="n"/>
      <c r="P2362" s="24" t="n"/>
      <c r="Q2362" s="24" t="n"/>
      <c r="R2362" s="24" t="n"/>
      <c r="S2362" s="22">
        <f>IF(AND($A2362="",$C2362=""),"",IF($A2362="","Thiếu mã đơn; ","")&amp;IF(COUNTIF($A$2:$A2362,$A2362)&gt;1,"Trùng mã đơn; ","")&amp;IF(ISNA(MATCH($C2362,DATA_MASTER!$D$2:$D$5000,0)),"SĐT chưa đăng ký hội viên; ","")&amp;IF(AND($L2362="Đã chuyển khoản",$M2362=""),"Thiếu ngày nhận CK; ",""))</f>
        <v/>
      </c>
      <c r="T2362" s="24" t="n"/>
    </row>
    <row r="2363" ht="14.25" customHeight="1" s="40">
      <c r="A2363" s="24" t="n"/>
      <c r="B2363" s="29" t="n"/>
      <c r="C2363" s="28" t="n"/>
      <c r="D2363" s="22">
        <f t="array" ref="D2363">IF($C2363="","",IFERROR(INDEX(DATA_MASTER!$C$2:$C$5000,MATCH($C2363,DATA_MASTER!$D$2:$D$5000,0)),""))</f>
        <v/>
      </c>
      <c r="E2363" s="22">
        <f t="array" ref="E2363">IF($C2363="","",IFERROR(INDEX(DATA_MASTER!$I$2:$I$5000,MATCH($C2363,DATA_MASTER!$D$2:$D$5000,0)),""))</f>
        <v/>
      </c>
      <c r="F2363" s="22">
        <f t="array" ref="F2363">IF($C2363="","",IFERROR(INDEX(DATA_MASTER!$L$2:$L$5000,MATCH($C2363,DATA_MASTER!$D$2:$D$5000,0)),""))</f>
        <v/>
      </c>
      <c r="G2363" s="24" t="n"/>
      <c r="H2363" s="24" t="n"/>
      <c r="I2363" s="30" t="n"/>
      <c r="J2363" s="23">
        <f>IF(OR($H2363="",$I2363=""),"",$H2363*$I2363)</f>
        <v/>
      </c>
      <c r="K2363" s="24" t="n"/>
      <c r="L2363" s="24" t="n"/>
      <c r="M2363" s="29" t="n"/>
      <c r="N2363" s="28" t="n"/>
      <c r="O2363" s="24" t="n"/>
      <c r="P2363" s="24" t="n"/>
      <c r="Q2363" s="24" t="n"/>
      <c r="R2363" s="24" t="n"/>
      <c r="S2363" s="22">
        <f>IF(AND($A2363="",$C2363=""),"",IF($A2363="","Thiếu mã đơn; ","")&amp;IF(COUNTIF($A$2:$A2363,$A2363)&gt;1,"Trùng mã đơn; ","")&amp;IF(ISNA(MATCH($C2363,DATA_MASTER!$D$2:$D$5000,0)),"SĐT chưa đăng ký hội viên; ","")&amp;IF(AND($L2363="Đã chuyển khoản",$M2363=""),"Thiếu ngày nhận CK; ",""))</f>
        <v/>
      </c>
      <c r="T2363" s="24" t="n"/>
    </row>
    <row r="2364" ht="14.25" customHeight="1" s="40">
      <c r="A2364" s="24" t="n"/>
      <c r="B2364" s="29" t="n"/>
      <c r="C2364" s="28" t="n"/>
      <c r="D2364" s="22">
        <f t="array" ref="D2364">IF($C2364="","",IFERROR(INDEX(DATA_MASTER!$C$2:$C$5000,MATCH($C2364,DATA_MASTER!$D$2:$D$5000,0)),""))</f>
        <v/>
      </c>
      <c r="E2364" s="22">
        <f t="array" ref="E2364">IF($C2364="","",IFERROR(INDEX(DATA_MASTER!$I$2:$I$5000,MATCH($C2364,DATA_MASTER!$D$2:$D$5000,0)),""))</f>
        <v/>
      </c>
      <c r="F2364" s="22">
        <f t="array" ref="F2364">IF($C2364="","",IFERROR(INDEX(DATA_MASTER!$L$2:$L$5000,MATCH($C2364,DATA_MASTER!$D$2:$D$5000,0)),""))</f>
        <v/>
      </c>
      <c r="G2364" s="24" t="n"/>
      <c r="H2364" s="24" t="n"/>
      <c r="I2364" s="30" t="n"/>
      <c r="J2364" s="23">
        <f>IF(OR($H2364="",$I2364=""),"",$H2364*$I2364)</f>
        <v/>
      </c>
      <c r="K2364" s="24" t="n"/>
      <c r="L2364" s="24" t="n"/>
      <c r="M2364" s="29" t="n"/>
      <c r="N2364" s="28" t="n"/>
      <c r="O2364" s="24" t="n"/>
      <c r="P2364" s="24" t="n"/>
      <c r="Q2364" s="24" t="n"/>
      <c r="R2364" s="24" t="n"/>
      <c r="S2364" s="22">
        <f>IF(AND($A2364="",$C2364=""),"",IF($A2364="","Thiếu mã đơn; ","")&amp;IF(COUNTIF($A$2:$A2364,$A2364)&gt;1,"Trùng mã đơn; ","")&amp;IF(ISNA(MATCH($C2364,DATA_MASTER!$D$2:$D$5000,0)),"SĐT chưa đăng ký hội viên; ","")&amp;IF(AND($L2364="Đã chuyển khoản",$M2364=""),"Thiếu ngày nhận CK; ",""))</f>
        <v/>
      </c>
      <c r="T2364" s="24" t="n"/>
    </row>
    <row r="2365" ht="14.25" customHeight="1" s="40">
      <c r="A2365" s="24" t="n"/>
      <c r="B2365" s="29" t="n"/>
      <c r="C2365" s="28" t="n"/>
      <c r="D2365" s="22">
        <f t="array" ref="D2365">IF($C2365="","",IFERROR(INDEX(DATA_MASTER!$C$2:$C$5000,MATCH($C2365,DATA_MASTER!$D$2:$D$5000,0)),""))</f>
        <v/>
      </c>
      <c r="E2365" s="22">
        <f t="array" ref="E2365">IF($C2365="","",IFERROR(INDEX(DATA_MASTER!$I$2:$I$5000,MATCH($C2365,DATA_MASTER!$D$2:$D$5000,0)),""))</f>
        <v/>
      </c>
      <c r="F2365" s="22">
        <f t="array" ref="F2365">IF($C2365="","",IFERROR(INDEX(DATA_MASTER!$L$2:$L$5000,MATCH($C2365,DATA_MASTER!$D$2:$D$5000,0)),""))</f>
        <v/>
      </c>
      <c r="G2365" s="24" t="n"/>
      <c r="H2365" s="24" t="n"/>
      <c r="I2365" s="30" t="n"/>
      <c r="J2365" s="23">
        <f>IF(OR($H2365="",$I2365=""),"",$H2365*$I2365)</f>
        <v/>
      </c>
      <c r="K2365" s="24" t="n"/>
      <c r="L2365" s="24" t="n"/>
      <c r="M2365" s="29" t="n"/>
      <c r="N2365" s="28" t="n"/>
      <c r="O2365" s="24" t="n"/>
      <c r="P2365" s="24" t="n"/>
      <c r="Q2365" s="24" t="n"/>
      <c r="R2365" s="24" t="n"/>
      <c r="S2365" s="22">
        <f>IF(AND($A2365="",$C2365=""),"",IF($A2365="","Thiếu mã đơn; ","")&amp;IF(COUNTIF($A$2:$A2365,$A2365)&gt;1,"Trùng mã đơn; ","")&amp;IF(ISNA(MATCH($C2365,DATA_MASTER!$D$2:$D$5000,0)),"SĐT chưa đăng ký hội viên; ","")&amp;IF(AND($L2365="Đã chuyển khoản",$M2365=""),"Thiếu ngày nhận CK; ",""))</f>
        <v/>
      </c>
      <c r="T2365" s="24" t="n"/>
    </row>
    <row r="2366" ht="14.25" customHeight="1" s="40">
      <c r="A2366" s="24" t="n"/>
      <c r="B2366" s="29" t="n"/>
      <c r="C2366" s="28" t="n"/>
      <c r="D2366" s="22">
        <f t="array" ref="D2366">IF($C2366="","",IFERROR(INDEX(DATA_MASTER!$C$2:$C$5000,MATCH($C2366,DATA_MASTER!$D$2:$D$5000,0)),""))</f>
        <v/>
      </c>
      <c r="E2366" s="22">
        <f t="array" ref="E2366">IF($C2366="","",IFERROR(INDEX(DATA_MASTER!$I$2:$I$5000,MATCH($C2366,DATA_MASTER!$D$2:$D$5000,0)),""))</f>
        <v/>
      </c>
      <c r="F2366" s="22">
        <f t="array" ref="F2366">IF($C2366="","",IFERROR(INDEX(DATA_MASTER!$L$2:$L$5000,MATCH($C2366,DATA_MASTER!$D$2:$D$5000,0)),""))</f>
        <v/>
      </c>
      <c r="G2366" s="24" t="n"/>
      <c r="H2366" s="24" t="n"/>
      <c r="I2366" s="30" t="n"/>
      <c r="J2366" s="23">
        <f>IF(OR($H2366="",$I2366=""),"",$H2366*$I2366)</f>
        <v/>
      </c>
      <c r="K2366" s="24" t="n"/>
      <c r="L2366" s="24" t="n"/>
      <c r="M2366" s="29" t="n"/>
      <c r="N2366" s="28" t="n"/>
      <c r="O2366" s="24" t="n"/>
      <c r="P2366" s="24" t="n"/>
      <c r="Q2366" s="24" t="n"/>
      <c r="R2366" s="24" t="n"/>
      <c r="S2366" s="22">
        <f>IF(AND($A2366="",$C2366=""),"",IF($A2366="","Thiếu mã đơn; ","")&amp;IF(COUNTIF($A$2:$A2366,$A2366)&gt;1,"Trùng mã đơn; ","")&amp;IF(ISNA(MATCH($C2366,DATA_MASTER!$D$2:$D$5000,0)),"SĐT chưa đăng ký hội viên; ","")&amp;IF(AND($L2366="Đã chuyển khoản",$M2366=""),"Thiếu ngày nhận CK; ",""))</f>
        <v/>
      </c>
      <c r="T2366" s="24" t="n"/>
    </row>
    <row r="2367" ht="14.25" customHeight="1" s="40">
      <c r="A2367" s="24" t="n"/>
      <c r="B2367" s="29" t="n"/>
      <c r="C2367" s="28" t="n"/>
      <c r="D2367" s="22">
        <f t="array" ref="D2367">IF($C2367="","",IFERROR(INDEX(DATA_MASTER!$C$2:$C$5000,MATCH($C2367,DATA_MASTER!$D$2:$D$5000,0)),""))</f>
        <v/>
      </c>
      <c r="E2367" s="22">
        <f t="array" ref="E2367">IF($C2367="","",IFERROR(INDEX(DATA_MASTER!$I$2:$I$5000,MATCH($C2367,DATA_MASTER!$D$2:$D$5000,0)),""))</f>
        <v/>
      </c>
      <c r="F2367" s="22">
        <f t="array" ref="F2367">IF($C2367="","",IFERROR(INDEX(DATA_MASTER!$L$2:$L$5000,MATCH($C2367,DATA_MASTER!$D$2:$D$5000,0)),""))</f>
        <v/>
      </c>
      <c r="G2367" s="24" t="n"/>
      <c r="H2367" s="24" t="n"/>
      <c r="I2367" s="30" t="n"/>
      <c r="J2367" s="23">
        <f>IF(OR($H2367="",$I2367=""),"",$H2367*$I2367)</f>
        <v/>
      </c>
      <c r="K2367" s="24" t="n"/>
      <c r="L2367" s="24" t="n"/>
      <c r="M2367" s="29" t="n"/>
      <c r="N2367" s="28" t="n"/>
      <c r="O2367" s="24" t="n"/>
      <c r="P2367" s="24" t="n"/>
      <c r="Q2367" s="24" t="n"/>
      <c r="R2367" s="24" t="n"/>
      <c r="S2367" s="22">
        <f>IF(AND($A2367="",$C2367=""),"",IF($A2367="","Thiếu mã đơn; ","")&amp;IF(COUNTIF($A$2:$A2367,$A2367)&gt;1,"Trùng mã đơn; ","")&amp;IF(ISNA(MATCH($C2367,DATA_MASTER!$D$2:$D$5000,0)),"SĐT chưa đăng ký hội viên; ","")&amp;IF(AND($L2367="Đã chuyển khoản",$M2367=""),"Thiếu ngày nhận CK; ",""))</f>
        <v/>
      </c>
      <c r="T2367" s="24" t="n"/>
    </row>
    <row r="2368" ht="14.25" customHeight="1" s="40">
      <c r="A2368" s="24" t="n"/>
      <c r="B2368" s="29" t="n"/>
      <c r="C2368" s="28" t="n"/>
      <c r="D2368" s="22">
        <f t="array" ref="D2368">IF($C2368="","",IFERROR(INDEX(DATA_MASTER!$C$2:$C$5000,MATCH($C2368,DATA_MASTER!$D$2:$D$5000,0)),""))</f>
        <v/>
      </c>
      <c r="E2368" s="22">
        <f t="array" ref="E2368">IF($C2368="","",IFERROR(INDEX(DATA_MASTER!$I$2:$I$5000,MATCH($C2368,DATA_MASTER!$D$2:$D$5000,0)),""))</f>
        <v/>
      </c>
      <c r="F2368" s="22">
        <f t="array" ref="F2368">IF($C2368="","",IFERROR(INDEX(DATA_MASTER!$L$2:$L$5000,MATCH($C2368,DATA_MASTER!$D$2:$D$5000,0)),""))</f>
        <v/>
      </c>
      <c r="G2368" s="24" t="n"/>
      <c r="H2368" s="24" t="n"/>
      <c r="I2368" s="30" t="n"/>
      <c r="J2368" s="23">
        <f>IF(OR($H2368="",$I2368=""),"",$H2368*$I2368)</f>
        <v/>
      </c>
      <c r="K2368" s="24" t="n"/>
      <c r="L2368" s="24" t="n"/>
      <c r="M2368" s="29" t="n"/>
      <c r="N2368" s="28" t="n"/>
      <c r="O2368" s="24" t="n"/>
      <c r="P2368" s="24" t="n"/>
      <c r="Q2368" s="24" t="n"/>
      <c r="R2368" s="24" t="n"/>
      <c r="S2368" s="22">
        <f>IF(AND($A2368="",$C2368=""),"",IF($A2368="","Thiếu mã đơn; ","")&amp;IF(COUNTIF($A$2:$A2368,$A2368)&gt;1,"Trùng mã đơn; ","")&amp;IF(ISNA(MATCH($C2368,DATA_MASTER!$D$2:$D$5000,0)),"SĐT chưa đăng ký hội viên; ","")&amp;IF(AND($L2368="Đã chuyển khoản",$M2368=""),"Thiếu ngày nhận CK; ",""))</f>
        <v/>
      </c>
      <c r="T2368" s="24" t="n"/>
    </row>
    <row r="2369" ht="14.25" customHeight="1" s="40">
      <c r="A2369" s="24" t="n"/>
      <c r="B2369" s="29" t="n"/>
      <c r="C2369" s="28" t="n"/>
      <c r="D2369" s="22">
        <f t="array" ref="D2369">IF($C2369="","",IFERROR(INDEX(DATA_MASTER!$C$2:$C$5000,MATCH($C2369,DATA_MASTER!$D$2:$D$5000,0)),""))</f>
        <v/>
      </c>
      <c r="E2369" s="22">
        <f t="array" ref="E2369">IF($C2369="","",IFERROR(INDEX(DATA_MASTER!$I$2:$I$5000,MATCH($C2369,DATA_MASTER!$D$2:$D$5000,0)),""))</f>
        <v/>
      </c>
      <c r="F2369" s="22">
        <f t="array" ref="F2369">IF($C2369="","",IFERROR(INDEX(DATA_MASTER!$L$2:$L$5000,MATCH($C2369,DATA_MASTER!$D$2:$D$5000,0)),""))</f>
        <v/>
      </c>
      <c r="G2369" s="24" t="n"/>
      <c r="H2369" s="24" t="n"/>
      <c r="I2369" s="30" t="n"/>
      <c r="J2369" s="23">
        <f>IF(OR($H2369="",$I2369=""),"",$H2369*$I2369)</f>
        <v/>
      </c>
      <c r="K2369" s="24" t="n"/>
      <c r="L2369" s="24" t="n"/>
      <c r="M2369" s="29" t="n"/>
      <c r="N2369" s="28" t="n"/>
      <c r="O2369" s="24" t="n"/>
      <c r="P2369" s="24" t="n"/>
      <c r="Q2369" s="24" t="n"/>
      <c r="R2369" s="24" t="n"/>
      <c r="S2369" s="22">
        <f>IF(AND($A2369="",$C2369=""),"",IF($A2369="","Thiếu mã đơn; ","")&amp;IF(COUNTIF($A$2:$A2369,$A2369)&gt;1,"Trùng mã đơn; ","")&amp;IF(ISNA(MATCH($C2369,DATA_MASTER!$D$2:$D$5000,0)),"SĐT chưa đăng ký hội viên; ","")&amp;IF(AND($L2369="Đã chuyển khoản",$M2369=""),"Thiếu ngày nhận CK; ",""))</f>
        <v/>
      </c>
      <c r="T2369" s="24" t="n"/>
    </row>
    <row r="2370" ht="14.25" customHeight="1" s="40">
      <c r="A2370" s="24" t="n"/>
      <c r="B2370" s="29" t="n"/>
      <c r="C2370" s="28" t="n"/>
      <c r="D2370" s="22">
        <f t="array" ref="D2370">IF($C2370="","",IFERROR(INDEX(DATA_MASTER!$C$2:$C$5000,MATCH($C2370,DATA_MASTER!$D$2:$D$5000,0)),""))</f>
        <v/>
      </c>
      <c r="E2370" s="22">
        <f t="array" ref="E2370">IF($C2370="","",IFERROR(INDEX(DATA_MASTER!$I$2:$I$5000,MATCH($C2370,DATA_MASTER!$D$2:$D$5000,0)),""))</f>
        <v/>
      </c>
      <c r="F2370" s="22">
        <f t="array" ref="F2370">IF($C2370="","",IFERROR(INDEX(DATA_MASTER!$L$2:$L$5000,MATCH($C2370,DATA_MASTER!$D$2:$D$5000,0)),""))</f>
        <v/>
      </c>
      <c r="G2370" s="24" t="n"/>
      <c r="H2370" s="24" t="n"/>
      <c r="I2370" s="30" t="n"/>
      <c r="J2370" s="23">
        <f>IF(OR($H2370="",$I2370=""),"",$H2370*$I2370)</f>
        <v/>
      </c>
      <c r="K2370" s="24" t="n"/>
      <c r="L2370" s="24" t="n"/>
      <c r="M2370" s="29" t="n"/>
      <c r="N2370" s="28" t="n"/>
      <c r="O2370" s="24" t="n"/>
      <c r="P2370" s="24" t="n"/>
      <c r="Q2370" s="24" t="n"/>
      <c r="R2370" s="24" t="n"/>
      <c r="S2370" s="22">
        <f>IF(AND($A2370="",$C2370=""),"",IF($A2370="","Thiếu mã đơn; ","")&amp;IF(COUNTIF($A$2:$A2370,$A2370)&gt;1,"Trùng mã đơn; ","")&amp;IF(ISNA(MATCH($C2370,DATA_MASTER!$D$2:$D$5000,0)),"SĐT chưa đăng ký hội viên; ","")&amp;IF(AND($L2370="Đã chuyển khoản",$M2370=""),"Thiếu ngày nhận CK; ",""))</f>
        <v/>
      </c>
      <c r="T2370" s="24" t="n"/>
    </row>
    <row r="2371" ht="14.25" customHeight="1" s="40">
      <c r="A2371" s="24" t="n"/>
      <c r="B2371" s="29" t="n"/>
      <c r="C2371" s="28" t="n"/>
      <c r="D2371" s="22">
        <f t="array" ref="D2371">IF($C2371="","",IFERROR(INDEX(DATA_MASTER!$C$2:$C$5000,MATCH($C2371,DATA_MASTER!$D$2:$D$5000,0)),""))</f>
        <v/>
      </c>
      <c r="E2371" s="22">
        <f t="array" ref="E2371">IF($C2371="","",IFERROR(INDEX(DATA_MASTER!$I$2:$I$5000,MATCH($C2371,DATA_MASTER!$D$2:$D$5000,0)),""))</f>
        <v/>
      </c>
      <c r="F2371" s="22">
        <f t="array" ref="F2371">IF($C2371="","",IFERROR(INDEX(DATA_MASTER!$L$2:$L$5000,MATCH($C2371,DATA_MASTER!$D$2:$D$5000,0)),""))</f>
        <v/>
      </c>
      <c r="G2371" s="24" t="n"/>
      <c r="H2371" s="24" t="n"/>
      <c r="I2371" s="30" t="n"/>
      <c r="J2371" s="23">
        <f>IF(OR($H2371="",$I2371=""),"",$H2371*$I2371)</f>
        <v/>
      </c>
      <c r="K2371" s="24" t="n"/>
      <c r="L2371" s="24" t="n"/>
      <c r="M2371" s="29" t="n"/>
      <c r="N2371" s="28" t="n"/>
      <c r="O2371" s="24" t="n"/>
      <c r="P2371" s="24" t="n"/>
      <c r="Q2371" s="24" t="n"/>
      <c r="R2371" s="24" t="n"/>
      <c r="S2371" s="22">
        <f>IF(AND($A2371="",$C2371=""),"",IF($A2371="","Thiếu mã đơn; ","")&amp;IF(COUNTIF($A$2:$A2371,$A2371)&gt;1,"Trùng mã đơn; ","")&amp;IF(ISNA(MATCH($C2371,DATA_MASTER!$D$2:$D$5000,0)),"SĐT chưa đăng ký hội viên; ","")&amp;IF(AND($L2371="Đã chuyển khoản",$M2371=""),"Thiếu ngày nhận CK; ",""))</f>
        <v/>
      </c>
      <c r="T2371" s="24" t="n"/>
    </row>
    <row r="2372" ht="14.25" customHeight="1" s="40">
      <c r="A2372" s="24" t="n"/>
      <c r="B2372" s="29" t="n"/>
      <c r="C2372" s="28" t="n"/>
      <c r="D2372" s="22">
        <f t="array" ref="D2372">IF($C2372="","",IFERROR(INDEX(DATA_MASTER!$C$2:$C$5000,MATCH($C2372,DATA_MASTER!$D$2:$D$5000,0)),""))</f>
        <v/>
      </c>
      <c r="E2372" s="22">
        <f t="array" ref="E2372">IF($C2372="","",IFERROR(INDEX(DATA_MASTER!$I$2:$I$5000,MATCH($C2372,DATA_MASTER!$D$2:$D$5000,0)),""))</f>
        <v/>
      </c>
      <c r="F2372" s="22">
        <f t="array" ref="F2372">IF($C2372="","",IFERROR(INDEX(DATA_MASTER!$L$2:$L$5000,MATCH($C2372,DATA_MASTER!$D$2:$D$5000,0)),""))</f>
        <v/>
      </c>
      <c r="G2372" s="24" t="n"/>
      <c r="H2372" s="24" t="n"/>
      <c r="I2372" s="30" t="n"/>
      <c r="J2372" s="23">
        <f>IF(OR($H2372="",$I2372=""),"",$H2372*$I2372)</f>
        <v/>
      </c>
      <c r="K2372" s="24" t="n"/>
      <c r="L2372" s="24" t="n"/>
      <c r="M2372" s="29" t="n"/>
      <c r="N2372" s="28" t="n"/>
      <c r="O2372" s="24" t="n"/>
      <c r="P2372" s="24" t="n"/>
      <c r="Q2372" s="24" t="n"/>
      <c r="R2372" s="24" t="n"/>
      <c r="S2372" s="22">
        <f>IF(AND($A2372="",$C2372=""),"",IF($A2372="","Thiếu mã đơn; ","")&amp;IF(COUNTIF($A$2:$A2372,$A2372)&gt;1,"Trùng mã đơn; ","")&amp;IF(ISNA(MATCH($C2372,DATA_MASTER!$D$2:$D$5000,0)),"SĐT chưa đăng ký hội viên; ","")&amp;IF(AND($L2372="Đã chuyển khoản",$M2372=""),"Thiếu ngày nhận CK; ",""))</f>
        <v/>
      </c>
      <c r="T2372" s="24" t="n"/>
    </row>
    <row r="2373" ht="14.25" customHeight="1" s="40">
      <c r="A2373" s="24" t="n"/>
      <c r="B2373" s="29" t="n"/>
      <c r="C2373" s="28" t="n"/>
      <c r="D2373" s="22">
        <f t="array" ref="D2373">IF($C2373="","",IFERROR(INDEX(DATA_MASTER!$C$2:$C$5000,MATCH($C2373,DATA_MASTER!$D$2:$D$5000,0)),""))</f>
        <v/>
      </c>
      <c r="E2373" s="22">
        <f t="array" ref="E2373">IF($C2373="","",IFERROR(INDEX(DATA_MASTER!$I$2:$I$5000,MATCH($C2373,DATA_MASTER!$D$2:$D$5000,0)),""))</f>
        <v/>
      </c>
      <c r="F2373" s="22">
        <f t="array" ref="F2373">IF($C2373="","",IFERROR(INDEX(DATA_MASTER!$L$2:$L$5000,MATCH($C2373,DATA_MASTER!$D$2:$D$5000,0)),""))</f>
        <v/>
      </c>
      <c r="G2373" s="24" t="n"/>
      <c r="H2373" s="24" t="n"/>
      <c r="I2373" s="30" t="n"/>
      <c r="J2373" s="23">
        <f>IF(OR($H2373="",$I2373=""),"",$H2373*$I2373)</f>
        <v/>
      </c>
      <c r="K2373" s="24" t="n"/>
      <c r="L2373" s="24" t="n"/>
      <c r="M2373" s="29" t="n"/>
      <c r="N2373" s="28" t="n"/>
      <c r="O2373" s="24" t="n"/>
      <c r="P2373" s="24" t="n"/>
      <c r="Q2373" s="24" t="n"/>
      <c r="R2373" s="24" t="n"/>
      <c r="S2373" s="22">
        <f>IF(AND($A2373="",$C2373=""),"",IF($A2373="","Thiếu mã đơn; ","")&amp;IF(COUNTIF($A$2:$A2373,$A2373)&gt;1,"Trùng mã đơn; ","")&amp;IF(ISNA(MATCH($C2373,DATA_MASTER!$D$2:$D$5000,0)),"SĐT chưa đăng ký hội viên; ","")&amp;IF(AND($L2373="Đã chuyển khoản",$M2373=""),"Thiếu ngày nhận CK; ",""))</f>
        <v/>
      </c>
      <c r="T2373" s="24" t="n"/>
    </row>
    <row r="2374" ht="14.25" customHeight="1" s="40">
      <c r="A2374" s="24" t="n"/>
      <c r="B2374" s="29" t="n"/>
      <c r="C2374" s="28" t="n"/>
      <c r="D2374" s="22">
        <f t="array" ref="D2374">IF($C2374="","",IFERROR(INDEX(DATA_MASTER!$C$2:$C$5000,MATCH($C2374,DATA_MASTER!$D$2:$D$5000,0)),""))</f>
        <v/>
      </c>
      <c r="E2374" s="22">
        <f t="array" ref="E2374">IF($C2374="","",IFERROR(INDEX(DATA_MASTER!$I$2:$I$5000,MATCH($C2374,DATA_MASTER!$D$2:$D$5000,0)),""))</f>
        <v/>
      </c>
      <c r="F2374" s="22">
        <f t="array" ref="F2374">IF($C2374="","",IFERROR(INDEX(DATA_MASTER!$L$2:$L$5000,MATCH($C2374,DATA_MASTER!$D$2:$D$5000,0)),""))</f>
        <v/>
      </c>
      <c r="G2374" s="24" t="n"/>
      <c r="H2374" s="24" t="n"/>
      <c r="I2374" s="30" t="n"/>
      <c r="J2374" s="23">
        <f>IF(OR($H2374="",$I2374=""),"",$H2374*$I2374)</f>
        <v/>
      </c>
      <c r="K2374" s="24" t="n"/>
      <c r="L2374" s="24" t="n"/>
      <c r="M2374" s="29" t="n"/>
      <c r="N2374" s="28" t="n"/>
      <c r="O2374" s="24" t="n"/>
      <c r="P2374" s="24" t="n"/>
      <c r="Q2374" s="24" t="n"/>
      <c r="R2374" s="24" t="n"/>
      <c r="S2374" s="22">
        <f>IF(AND($A2374="",$C2374=""),"",IF($A2374="","Thiếu mã đơn; ","")&amp;IF(COUNTIF($A$2:$A2374,$A2374)&gt;1,"Trùng mã đơn; ","")&amp;IF(ISNA(MATCH($C2374,DATA_MASTER!$D$2:$D$5000,0)),"SĐT chưa đăng ký hội viên; ","")&amp;IF(AND($L2374="Đã chuyển khoản",$M2374=""),"Thiếu ngày nhận CK; ",""))</f>
        <v/>
      </c>
      <c r="T2374" s="24" t="n"/>
    </row>
    <row r="2375" ht="14.25" customHeight="1" s="40">
      <c r="A2375" s="24" t="n"/>
      <c r="B2375" s="29" t="n"/>
      <c r="C2375" s="28" t="n"/>
      <c r="D2375" s="22">
        <f t="array" ref="D2375">IF($C2375="","",IFERROR(INDEX(DATA_MASTER!$C$2:$C$5000,MATCH($C2375,DATA_MASTER!$D$2:$D$5000,0)),""))</f>
        <v/>
      </c>
      <c r="E2375" s="22">
        <f t="array" ref="E2375">IF($C2375="","",IFERROR(INDEX(DATA_MASTER!$I$2:$I$5000,MATCH($C2375,DATA_MASTER!$D$2:$D$5000,0)),""))</f>
        <v/>
      </c>
      <c r="F2375" s="22">
        <f t="array" ref="F2375">IF($C2375="","",IFERROR(INDEX(DATA_MASTER!$L$2:$L$5000,MATCH($C2375,DATA_MASTER!$D$2:$D$5000,0)),""))</f>
        <v/>
      </c>
      <c r="G2375" s="24" t="n"/>
      <c r="H2375" s="24" t="n"/>
      <c r="I2375" s="30" t="n"/>
      <c r="J2375" s="23">
        <f>IF(OR($H2375="",$I2375=""),"",$H2375*$I2375)</f>
        <v/>
      </c>
      <c r="K2375" s="24" t="n"/>
      <c r="L2375" s="24" t="n"/>
      <c r="M2375" s="29" t="n"/>
      <c r="N2375" s="28" t="n"/>
      <c r="O2375" s="24" t="n"/>
      <c r="P2375" s="24" t="n"/>
      <c r="Q2375" s="24" t="n"/>
      <c r="R2375" s="24" t="n"/>
      <c r="S2375" s="22">
        <f>IF(AND($A2375="",$C2375=""),"",IF($A2375="","Thiếu mã đơn; ","")&amp;IF(COUNTIF($A$2:$A2375,$A2375)&gt;1,"Trùng mã đơn; ","")&amp;IF(ISNA(MATCH($C2375,DATA_MASTER!$D$2:$D$5000,0)),"SĐT chưa đăng ký hội viên; ","")&amp;IF(AND($L2375="Đã chuyển khoản",$M2375=""),"Thiếu ngày nhận CK; ",""))</f>
        <v/>
      </c>
      <c r="T2375" s="24" t="n"/>
    </row>
    <row r="2376" ht="14.25" customHeight="1" s="40">
      <c r="A2376" s="24" t="n"/>
      <c r="B2376" s="29" t="n"/>
      <c r="C2376" s="28" t="n"/>
      <c r="D2376" s="22">
        <f t="array" ref="D2376">IF($C2376="","",IFERROR(INDEX(DATA_MASTER!$C$2:$C$5000,MATCH($C2376,DATA_MASTER!$D$2:$D$5000,0)),""))</f>
        <v/>
      </c>
      <c r="E2376" s="22">
        <f t="array" ref="E2376">IF($C2376="","",IFERROR(INDEX(DATA_MASTER!$I$2:$I$5000,MATCH($C2376,DATA_MASTER!$D$2:$D$5000,0)),""))</f>
        <v/>
      </c>
      <c r="F2376" s="22">
        <f t="array" ref="F2376">IF($C2376="","",IFERROR(INDEX(DATA_MASTER!$L$2:$L$5000,MATCH($C2376,DATA_MASTER!$D$2:$D$5000,0)),""))</f>
        <v/>
      </c>
      <c r="G2376" s="24" t="n"/>
      <c r="H2376" s="24" t="n"/>
      <c r="I2376" s="30" t="n"/>
      <c r="J2376" s="23">
        <f>IF(OR($H2376="",$I2376=""),"",$H2376*$I2376)</f>
        <v/>
      </c>
      <c r="K2376" s="24" t="n"/>
      <c r="L2376" s="24" t="n"/>
      <c r="M2376" s="29" t="n"/>
      <c r="N2376" s="28" t="n"/>
      <c r="O2376" s="24" t="n"/>
      <c r="P2376" s="24" t="n"/>
      <c r="Q2376" s="24" t="n"/>
      <c r="R2376" s="24" t="n"/>
      <c r="S2376" s="22">
        <f>IF(AND($A2376="",$C2376=""),"",IF($A2376="","Thiếu mã đơn; ","")&amp;IF(COUNTIF($A$2:$A2376,$A2376)&gt;1,"Trùng mã đơn; ","")&amp;IF(ISNA(MATCH($C2376,DATA_MASTER!$D$2:$D$5000,0)),"SĐT chưa đăng ký hội viên; ","")&amp;IF(AND($L2376="Đã chuyển khoản",$M2376=""),"Thiếu ngày nhận CK; ",""))</f>
        <v/>
      </c>
      <c r="T2376" s="24" t="n"/>
    </row>
    <row r="2377" ht="14.25" customHeight="1" s="40">
      <c r="A2377" s="24" t="n"/>
      <c r="B2377" s="29" t="n"/>
      <c r="C2377" s="28" t="n"/>
      <c r="D2377" s="22">
        <f t="array" ref="D2377">IF($C2377="","",IFERROR(INDEX(DATA_MASTER!$C$2:$C$5000,MATCH($C2377,DATA_MASTER!$D$2:$D$5000,0)),""))</f>
        <v/>
      </c>
      <c r="E2377" s="22">
        <f t="array" ref="E2377">IF($C2377="","",IFERROR(INDEX(DATA_MASTER!$I$2:$I$5000,MATCH($C2377,DATA_MASTER!$D$2:$D$5000,0)),""))</f>
        <v/>
      </c>
      <c r="F2377" s="22">
        <f t="array" ref="F2377">IF($C2377="","",IFERROR(INDEX(DATA_MASTER!$L$2:$L$5000,MATCH($C2377,DATA_MASTER!$D$2:$D$5000,0)),""))</f>
        <v/>
      </c>
      <c r="G2377" s="24" t="n"/>
      <c r="H2377" s="24" t="n"/>
      <c r="I2377" s="30" t="n"/>
      <c r="J2377" s="23">
        <f>IF(OR($H2377="",$I2377=""),"",$H2377*$I2377)</f>
        <v/>
      </c>
      <c r="K2377" s="24" t="n"/>
      <c r="L2377" s="24" t="n"/>
      <c r="M2377" s="29" t="n"/>
      <c r="N2377" s="28" t="n"/>
      <c r="O2377" s="24" t="n"/>
      <c r="P2377" s="24" t="n"/>
      <c r="Q2377" s="24" t="n"/>
      <c r="R2377" s="24" t="n"/>
      <c r="S2377" s="22">
        <f>IF(AND($A2377="",$C2377=""),"",IF($A2377="","Thiếu mã đơn; ","")&amp;IF(COUNTIF($A$2:$A2377,$A2377)&gt;1,"Trùng mã đơn; ","")&amp;IF(ISNA(MATCH($C2377,DATA_MASTER!$D$2:$D$5000,0)),"SĐT chưa đăng ký hội viên; ","")&amp;IF(AND($L2377="Đã chuyển khoản",$M2377=""),"Thiếu ngày nhận CK; ",""))</f>
        <v/>
      </c>
      <c r="T2377" s="24" t="n"/>
    </row>
    <row r="2378" ht="14.25" customHeight="1" s="40">
      <c r="A2378" s="24" t="n"/>
      <c r="B2378" s="29" t="n"/>
      <c r="C2378" s="28" t="n"/>
      <c r="D2378" s="22">
        <f t="array" ref="D2378">IF($C2378="","",IFERROR(INDEX(DATA_MASTER!$C$2:$C$5000,MATCH($C2378,DATA_MASTER!$D$2:$D$5000,0)),""))</f>
        <v/>
      </c>
      <c r="E2378" s="22">
        <f t="array" ref="E2378">IF($C2378="","",IFERROR(INDEX(DATA_MASTER!$I$2:$I$5000,MATCH($C2378,DATA_MASTER!$D$2:$D$5000,0)),""))</f>
        <v/>
      </c>
      <c r="F2378" s="22">
        <f t="array" ref="F2378">IF($C2378="","",IFERROR(INDEX(DATA_MASTER!$L$2:$L$5000,MATCH($C2378,DATA_MASTER!$D$2:$D$5000,0)),""))</f>
        <v/>
      </c>
      <c r="G2378" s="24" t="n"/>
      <c r="H2378" s="24" t="n"/>
      <c r="I2378" s="30" t="n"/>
      <c r="J2378" s="23">
        <f>IF(OR($H2378="",$I2378=""),"",$H2378*$I2378)</f>
        <v/>
      </c>
      <c r="K2378" s="24" t="n"/>
      <c r="L2378" s="24" t="n"/>
      <c r="M2378" s="29" t="n"/>
      <c r="N2378" s="28" t="n"/>
      <c r="O2378" s="24" t="n"/>
      <c r="P2378" s="24" t="n"/>
      <c r="Q2378" s="24" t="n"/>
      <c r="R2378" s="24" t="n"/>
      <c r="S2378" s="22">
        <f>IF(AND($A2378="",$C2378=""),"",IF($A2378="","Thiếu mã đơn; ","")&amp;IF(COUNTIF($A$2:$A2378,$A2378)&gt;1,"Trùng mã đơn; ","")&amp;IF(ISNA(MATCH($C2378,DATA_MASTER!$D$2:$D$5000,0)),"SĐT chưa đăng ký hội viên; ","")&amp;IF(AND($L2378="Đã chuyển khoản",$M2378=""),"Thiếu ngày nhận CK; ",""))</f>
        <v/>
      </c>
      <c r="T2378" s="24" t="n"/>
    </row>
    <row r="2379" ht="14.25" customHeight="1" s="40">
      <c r="A2379" s="24" t="n"/>
      <c r="B2379" s="29" t="n"/>
      <c r="C2379" s="28" t="n"/>
      <c r="D2379" s="22">
        <f t="array" ref="D2379">IF($C2379="","",IFERROR(INDEX(DATA_MASTER!$C$2:$C$5000,MATCH($C2379,DATA_MASTER!$D$2:$D$5000,0)),""))</f>
        <v/>
      </c>
      <c r="E2379" s="22">
        <f t="array" ref="E2379">IF($C2379="","",IFERROR(INDEX(DATA_MASTER!$I$2:$I$5000,MATCH($C2379,DATA_MASTER!$D$2:$D$5000,0)),""))</f>
        <v/>
      </c>
      <c r="F2379" s="22">
        <f t="array" ref="F2379">IF($C2379="","",IFERROR(INDEX(DATA_MASTER!$L$2:$L$5000,MATCH($C2379,DATA_MASTER!$D$2:$D$5000,0)),""))</f>
        <v/>
      </c>
      <c r="G2379" s="24" t="n"/>
      <c r="H2379" s="24" t="n"/>
      <c r="I2379" s="30" t="n"/>
      <c r="J2379" s="23">
        <f>IF(OR($H2379="",$I2379=""),"",$H2379*$I2379)</f>
        <v/>
      </c>
      <c r="K2379" s="24" t="n"/>
      <c r="L2379" s="24" t="n"/>
      <c r="M2379" s="29" t="n"/>
      <c r="N2379" s="28" t="n"/>
      <c r="O2379" s="24" t="n"/>
      <c r="P2379" s="24" t="n"/>
      <c r="Q2379" s="24" t="n"/>
      <c r="R2379" s="24" t="n"/>
      <c r="S2379" s="22">
        <f>IF(AND($A2379="",$C2379=""),"",IF($A2379="","Thiếu mã đơn; ","")&amp;IF(COUNTIF($A$2:$A2379,$A2379)&gt;1,"Trùng mã đơn; ","")&amp;IF(ISNA(MATCH($C2379,DATA_MASTER!$D$2:$D$5000,0)),"SĐT chưa đăng ký hội viên; ","")&amp;IF(AND($L2379="Đã chuyển khoản",$M2379=""),"Thiếu ngày nhận CK; ",""))</f>
        <v/>
      </c>
      <c r="T2379" s="24" t="n"/>
    </row>
    <row r="2380" ht="14.25" customHeight="1" s="40">
      <c r="A2380" s="24" t="n"/>
      <c r="B2380" s="29" t="n"/>
      <c r="C2380" s="28" t="n"/>
      <c r="D2380" s="22">
        <f t="array" ref="D2380">IF($C2380="","",IFERROR(INDEX(DATA_MASTER!$C$2:$C$5000,MATCH($C2380,DATA_MASTER!$D$2:$D$5000,0)),""))</f>
        <v/>
      </c>
      <c r="E2380" s="22">
        <f t="array" ref="E2380">IF($C2380="","",IFERROR(INDEX(DATA_MASTER!$I$2:$I$5000,MATCH($C2380,DATA_MASTER!$D$2:$D$5000,0)),""))</f>
        <v/>
      </c>
      <c r="F2380" s="22">
        <f t="array" ref="F2380">IF($C2380="","",IFERROR(INDEX(DATA_MASTER!$L$2:$L$5000,MATCH($C2380,DATA_MASTER!$D$2:$D$5000,0)),""))</f>
        <v/>
      </c>
      <c r="G2380" s="24" t="n"/>
      <c r="H2380" s="24" t="n"/>
      <c r="I2380" s="30" t="n"/>
      <c r="J2380" s="23">
        <f>IF(OR($H2380="",$I2380=""),"",$H2380*$I2380)</f>
        <v/>
      </c>
      <c r="K2380" s="24" t="n"/>
      <c r="L2380" s="24" t="n"/>
      <c r="M2380" s="29" t="n"/>
      <c r="N2380" s="28" t="n"/>
      <c r="O2380" s="24" t="n"/>
      <c r="P2380" s="24" t="n"/>
      <c r="Q2380" s="24" t="n"/>
      <c r="R2380" s="24" t="n"/>
      <c r="S2380" s="22">
        <f>IF(AND($A2380="",$C2380=""),"",IF($A2380="","Thiếu mã đơn; ","")&amp;IF(COUNTIF($A$2:$A2380,$A2380)&gt;1,"Trùng mã đơn; ","")&amp;IF(ISNA(MATCH($C2380,DATA_MASTER!$D$2:$D$5000,0)),"SĐT chưa đăng ký hội viên; ","")&amp;IF(AND($L2380="Đã chuyển khoản",$M2380=""),"Thiếu ngày nhận CK; ",""))</f>
        <v/>
      </c>
      <c r="T2380" s="24" t="n"/>
    </row>
    <row r="2381" ht="14.25" customHeight="1" s="40">
      <c r="A2381" s="24" t="n"/>
      <c r="B2381" s="29" t="n"/>
      <c r="C2381" s="28" t="n"/>
      <c r="D2381" s="22">
        <f t="array" ref="D2381">IF($C2381="","",IFERROR(INDEX(DATA_MASTER!$C$2:$C$5000,MATCH($C2381,DATA_MASTER!$D$2:$D$5000,0)),""))</f>
        <v/>
      </c>
      <c r="E2381" s="22">
        <f t="array" ref="E2381">IF($C2381="","",IFERROR(INDEX(DATA_MASTER!$I$2:$I$5000,MATCH($C2381,DATA_MASTER!$D$2:$D$5000,0)),""))</f>
        <v/>
      </c>
      <c r="F2381" s="22">
        <f t="array" ref="F2381">IF($C2381="","",IFERROR(INDEX(DATA_MASTER!$L$2:$L$5000,MATCH($C2381,DATA_MASTER!$D$2:$D$5000,0)),""))</f>
        <v/>
      </c>
      <c r="G2381" s="24" t="n"/>
      <c r="H2381" s="24" t="n"/>
      <c r="I2381" s="30" t="n"/>
      <c r="J2381" s="23">
        <f>IF(OR($H2381="",$I2381=""),"",$H2381*$I2381)</f>
        <v/>
      </c>
      <c r="K2381" s="24" t="n"/>
      <c r="L2381" s="24" t="n"/>
      <c r="M2381" s="29" t="n"/>
      <c r="N2381" s="28" t="n"/>
      <c r="O2381" s="24" t="n"/>
      <c r="P2381" s="24" t="n"/>
      <c r="Q2381" s="24" t="n"/>
      <c r="R2381" s="24" t="n"/>
      <c r="S2381" s="22">
        <f>IF(AND($A2381="",$C2381=""),"",IF($A2381="","Thiếu mã đơn; ","")&amp;IF(COUNTIF($A$2:$A2381,$A2381)&gt;1,"Trùng mã đơn; ","")&amp;IF(ISNA(MATCH($C2381,DATA_MASTER!$D$2:$D$5000,0)),"SĐT chưa đăng ký hội viên; ","")&amp;IF(AND($L2381="Đã chuyển khoản",$M2381=""),"Thiếu ngày nhận CK; ",""))</f>
        <v/>
      </c>
      <c r="T2381" s="24" t="n"/>
    </row>
    <row r="2382" ht="14.25" customHeight="1" s="40">
      <c r="A2382" s="24" t="n"/>
      <c r="B2382" s="29" t="n"/>
      <c r="C2382" s="28" t="n"/>
      <c r="D2382" s="22">
        <f t="array" ref="D2382">IF($C2382="","",IFERROR(INDEX(DATA_MASTER!$C$2:$C$5000,MATCH($C2382,DATA_MASTER!$D$2:$D$5000,0)),""))</f>
        <v/>
      </c>
      <c r="E2382" s="22">
        <f t="array" ref="E2382">IF($C2382="","",IFERROR(INDEX(DATA_MASTER!$I$2:$I$5000,MATCH($C2382,DATA_MASTER!$D$2:$D$5000,0)),""))</f>
        <v/>
      </c>
      <c r="F2382" s="22">
        <f t="array" ref="F2382">IF($C2382="","",IFERROR(INDEX(DATA_MASTER!$L$2:$L$5000,MATCH($C2382,DATA_MASTER!$D$2:$D$5000,0)),""))</f>
        <v/>
      </c>
      <c r="G2382" s="24" t="n"/>
      <c r="H2382" s="24" t="n"/>
      <c r="I2382" s="30" t="n"/>
      <c r="J2382" s="23">
        <f>IF(OR($H2382="",$I2382=""),"",$H2382*$I2382)</f>
        <v/>
      </c>
      <c r="K2382" s="24" t="n"/>
      <c r="L2382" s="24" t="n"/>
      <c r="M2382" s="29" t="n"/>
      <c r="N2382" s="28" t="n"/>
      <c r="O2382" s="24" t="n"/>
      <c r="P2382" s="24" t="n"/>
      <c r="Q2382" s="24" t="n"/>
      <c r="R2382" s="24" t="n"/>
      <c r="S2382" s="22">
        <f>IF(AND($A2382="",$C2382=""),"",IF($A2382="","Thiếu mã đơn; ","")&amp;IF(COUNTIF($A$2:$A2382,$A2382)&gt;1,"Trùng mã đơn; ","")&amp;IF(ISNA(MATCH($C2382,DATA_MASTER!$D$2:$D$5000,0)),"SĐT chưa đăng ký hội viên; ","")&amp;IF(AND($L2382="Đã chuyển khoản",$M2382=""),"Thiếu ngày nhận CK; ",""))</f>
        <v/>
      </c>
      <c r="T2382" s="24" t="n"/>
    </row>
    <row r="2383" ht="14.25" customHeight="1" s="40">
      <c r="A2383" s="24" t="n"/>
      <c r="B2383" s="29" t="n"/>
      <c r="C2383" s="28" t="n"/>
      <c r="D2383" s="22">
        <f t="array" ref="D2383">IF($C2383="","",IFERROR(INDEX(DATA_MASTER!$C$2:$C$5000,MATCH($C2383,DATA_MASTER!$D$2:$D$5000,0)),""))</f>
        <v/>
      </c>
      <c r="E2383" s="22">
        <f t="array" ref="E2383">IF($C2383="","",IFERROR(INDEX(DATA_MASTER!$I$2:$I$5000,MATCH($C2383,DATA_MASTER!$D$2:$D$5000,0)),""))</f>
        <v/>
      </c>
      <c r="F2383" s="22">
        <f t="array" ref="F2383">IF($C2383="","",IFERROR(INDEX(DATA_MASTER!$L$2:$L$5000,MATCH($C2383,DATA_MASTER!$D$2:$D$5000,0)),""))</f>
        <v/>
      </c>
      <c r="G2383" s="24" t="n"/>
      <c r="H2383" s="24" t="n"/>
      <c r="I2383" s="30" t="n"/>
      <c r="J2383" s="23">
        <f>IF(OR($H2383="",$I2383=""),"",$H2383*$I2383)</f>
        <v/>
      </c>
      <c r="K2383" s="24" t="n"/>
      <c r="L2383" s="24" t="n"/>
      <c r="M2383" s="29" t="n"/>
      <c r="N2383" s="28" t="n"/>
      <c r="O2383" s="24" t="n"/>
      <c r="P2383" s="24" t="n"/>
      <c r="Q2383" s="24" t="n"/>
      <c r="R2383" s="24" t="n"/>
      <c r="S2383" s="22">
        <f>IF(AND($A2383="",$C2383=""),"",IF($A2383="","Thiếu mã đơn; ","")&amp;IF(COUNTIF($A$2:$A2383,$A2383)&gt;1,"Trùng mã đơn; ","")&amp;IF(ISNA(MATCH($C2383,DATA_MASTER!$D$2:$D$5000,0)),"SĐT chưa đăng ký hội viên; ","")&amp;IF(AND($L2383="Đã chuyển khoản",$M2383=""),"Thiếu ngày nhận CK; ",""))</f>
        <v/>
      </c>
      <c r="T2383" s="24" t="n"/>
    </row>
    <row r="2384" ht="14.25" customHeight="1" s="40">
      <c r="A2384" s="24" t="n"/>
      <c r="B2384" s="29" t="n"/>
      <c r="C2384" s="28" t="n"/>
      <c r="D2384" s="22">
        <f t="array" ref="D2384">IF($C2384="","",IFERROR(INDEX(DATA_MASTER!$C$2:$C$5000,MATCH($C2384,DATA_MASTER!$D$2:$D$5000,0)),""))</f>
        <v/>
      </c>
      <c r="E2384" s="22">
        <f t="array" ref="E2384">IF($C2384="","",IFERROR(INDEX(DATA_MASTER!$I$2:$I$5000,MATCH($C2384,DATA_MASTER!$D$2:$D$5000,0)),""))</f>
        <v/>
      </c>
      <c r="F2384" s="22">
        <f t="array" ref="F2384">IF($C2384="","",IFERROR(INDEX(DATA_MASTER!$L$2:$L$5000,MATCH($C2384,DATA_MASTER!$D$2:$D$5000,0)),""))</f>
        <v/>
      </c>
      <c r="G2384" s="24" t="n"/>
      <c r="H2384" s="24" t="n"/>
      <c r="I2384" s="30" t="n"/>
      <c r="J2384" s="23">
        <f>IF(OR($H2384="",$I2384=""),"",$H2384*$I2384)</f>
        <v/>
      </c>
      <c r="K2384" s="24" t="n"/>
      <c r="L2384" s="24" t="n"/>
      <c r="M2384" s="29" t="n"/>
      <c r="N2384" s="28" t="n"/>
      <c r="O2384" s="24" t="n"/>
      <c r="P2384" s="24" t="n"/>
      <c r="Q2384" s="24" t="n"/>
      <c r="R2384" s="24" t="n"/>
      <c r="S2384" s="22">
        <f>IF(AND($A2384="",$C2384=""),"",IF($A2384="","Thiếu mã đơn; ","")&amp;IF(COUNTIF($A$2:$A2384,$A2384)&gt;1,"Trùng mã đơn; ","")&amp;IF(ISNA(MATCH($C2384,DATA_MASTER!$D$2:$D$5000,0)),"SĐT chưa đăng ký hội viên; ","")&amp;IF(AND($L2384="Đã chuyển khoản",$M2384=""),"Thiếu ngày nhận CK; ",""))</f>
        <v/>
      </c>
      <c r="T2384" s="24" t="n"/>
    </row>
    <row r="2385" ht="14.25" customHeight="1" s="40">
      <c r="A2385" s="24" t="n"/>
      <c r="B2385" s="29" t="n"/>
      <c r="C2385" s="28" t="n"/>
      <c r="D2385" s="22">
        <f t="array" ref="D2385">IF($C2385="","",IFERROR(INDEX(DATA_MASTER!$C$2:$C$5000,MATCH($C2385,DATA_MASTER!$D$2:$D$5000,0)),""))</f>
        <v/>
      </c>
      <c r="E2385" s="22">
        <f t="array" ref="E2385">IF($C2385="","",IFERROR(INDEX(DATA_MASTER!$I$2:$I$5000,MATCH($C2385,DATA_MASTER!$D$2:$D$5000,0)),""))</f>
        <v/>
      </c>
      <c r="F2385" s="22">
        <f t="array" ref="F2385">IF($C2385="","",IFERROR(INDEX(DATA_MASTER!$L$2:$L$5000,MATCH($C2385,DATA_MASTER!$D$2:$D$5000,0)),""))</f>
        <v/>
      </c>
      <c r="G2385" s="24" t="n"/>
      <c r="H2385" s="24" t="n"/>
      <c r="I2385" s="30" t="n"/>
      <c r="J2385" s="23">
        <f>IF(OR($H2385="",$I2385=""),"",$H2385*$I2385)</f>
        <v/>
      </c>
      <c r="K2385" s="24" t="n"/>
      <c r="L2385" s="24" t="n"/>
      <c r="M2385" s="29" t="n"/>
      <c r="N2385" s="28" t="n"/>
      <c r="O2385" s="24" t="n"/>
      <c r="P2385" s="24" t="n"/>
      <c r="Q2385" s="24" t="n"/>
      <c r="R2385" s="24" t="n"/>
      <c r="S2385" s="22">
        <f>IF(AND($A2385="",$C2385=""),"",IF($A2385="","Thiếu mã đơn; ","")&amp;IF(COUNTIF($A$2:$A2385,$A2385)&gt;1,"Trùng mã đơn; ","")&amp;IF(ISNA(MATCH($C2385,DATA_MASTER!$D$2:$D$5000,0)),"SĐT chưa đăng ký hội viên; ","")&amp;IF(AND($L2385="Đã chuyển khoản",$M2385=""),"Thiếu ngày nhận CK; ",""))</f>
        <v/>
      </c>
      <c r="T2385" s="24" t="n"/>
    </row>
    <row r="2386" ht="14.25" customHeight="1" s="40">
      <c r="A2386" s="24" t="n"/>
      <c r="B2386" s="29" t="n"/>
      <c r="C2386" s="28" t="n"/>
      <c r="D2386" s="22">
        <f t="array" ref="D2386">IF($C2386="","",IFERROR(INDEX(DATA_MASTER!$C$2:$C$5000,MATCH($C2386,DATA_MASTER!$D$2:$D$5000,0)),""))</f>
        <v/>
      </c>
      <c r="E2386" s="22">
        <f t="array" ref="E2386">IF($C2386="","",IFERROR(INDEX(DATA_MASTER!$I$2:$I$5000,MATCH($C2386,DATA_MASTER!$D$2:$D$5000,0)),""))</f>
        <v/>
      </c>
      <c r="F2386" s="22">
        <f t="array" ref="F2386">IF($C2386="","",IFERROR(INDEX(DATA_MASTER!$L$2:$L$5000,MATCH($C2386,DATA_MASTER!$D$2:$D$5000,0)),""))</f>
        <v/>
      </c>
      <c r="G2386" s="24" t="n"/>
      <c r="H2386" s="24" t="n"/>
      <c r="I2386" s="30" t="n"/>
      <c r="J2386" s="23">
        <f>IF(OR($H2386="",$I2386=""),"",$H2386*$I2386)</f>
        <v/>
      </c>
      <c r="K2386" s="24" t="n"/>
      <c r="L2386" s="24" t="n"/>
      <c r="M2386" s="29" t="n"/>
      <c r="N2386" s="28" t="n"/>
      <c r="O2386" s="24" t="n"/>
      <c r="P2386" s="24" t="n"/>
      <c r="Q2386" s="24" t="n"/>
      <c r="R2386" s="24" t="n"/>
      <c r="S2386" s="22">
        <f>IF(AND($A2386="",$C2386=""),"",IF($A2386="","Thiếu mã đơn; ","")&amp;IF(COUNTIF($A$2:$A2386,$A2386)&gt;1,"Trùng mã đơn; ","")&amp;IF(ISNA(MATCH($C2386,DATA_MASTER!$D$2:$D$5000,0)),"SĐT chưa đăng ký hội viên; ","")&amp;IF(AND($L2386="Đã chuyển khoản",$M2386=""),"Thiếu ngày nhận CK; ",""))</f>
        <v/>
      </c>
      <c r="T2386" s="24" t="n"/>
    </row>
    <row r="2387" ht="14.25" customHeight="1" s="40">
      <c r="A2387" s="24" t="n"/>
      <c r="B2387" s="29" t="n"/>
      <c r="C2387" s="28" t="n"/>
      <c r="D2387" s="22">
        <f t="array" ref="D2387">IF($C2387="","",IFERROR(INDEX(DATA_MASTER!$C$2:$C$5000,MATCH($C2387,DATA_MASTER!$D$2:$D$5000,0)),""))</f>
        <v/>
      </c>
      <c r="E2387" s="22">
        <f t="array" ref="E2387">IF($C2387="","",IFERROR(INDEX(DATA_MASTER!$I$2:$I$5000,MATCH($C2387,DATA_MASTER!$D$2:$D$5000,0)),""))</f>
        <v/>
      </c>
      <c r="F2387" s="22">
        <f t="array" ref="F2387">IF($C2387="","",IFERROR(INDEX(DATA_MASTER!$L$2:$L$5000,MATCH($C2387,DATA_MASTER!$D$2:$D$5000,0)),""))</f>
        <v/>
      </c>
      <c r="G2387" s="24" t="n"/>
      <c r="H2387" s="24" t="n"/>
      <c r="I2387" s="30" t="n"/>
      <c r="J2387" s="23">
        <f>IF(OR($H2387="",$I2387=""),"",$H2387*$I2387)</f>
        <v/>
      </c>
      <c r="K2387" s="24" t="n"/>
      <c r="L2387" s="24" t="n"/>
      <c r="M2387" s="29" t="n"/>
      <c r="N2387" s="28" t="n"/>
      <c r="O2387" s="24" t="n"/>
      <c r="P2387" s="24" t="n"/>
      <c r="Q2387" s="24" t="n"/>
      <c r="R2387" s="24" t="n"/>
      <c r="S2387" s="22">
        <f>IF(AND($A2387="",$C2387=""),"",IF($A2387="","Thiếu mã đơn; ","")&amp;IF(COUNTIF($A$2:$A2387,$A2387)&gt;1,"Trùng mã đơn; ","")&amp;IF(ISNA(MATCH($C2387,DATA_MASTER!$D$2:$D$5000,0)),"SĐT chưa đăng ký hội viên; ","")&amp;IF(AND($L2387="Đã chuyển khoản",$M2387=""),"Thiếu ngày nhận CK; ",""))</f>
        <v/>
      </c>
      <c r="T2387" s="24" t="n"/>
    </row>
    <row r="2388" ht="14.25" customHeight="1" s="40">
      <c r="A2388" s="24" t="n"/>
      <c r="B2388" s="29" t="n"/>
      <c r="C2388" s="28" t="n"/>
      <c r="D2388" s="22">
        <f t="array" ref="D2388">IF($C2388="","",IFERROR(INDEX(DATA_MASTER!$C$2:$C$5000,MATCH($C2388,DATA_MASTER!$D$2:$D$5000,0)),""))</f>
        <v/>
      </c>
      <c r="E2388" s="22">
        <f t="array" ref="E2388">IF($C2388="","",IFERROR(INDEX(DATA_MASTER!$I$2:$I$5000,MATCH($C2388,DATA_MASTER!$D$2:$D$5000,0)),""))</f>
        <v/>
      </c>
      <c r="F2388" s="22">
        <f t="array" ref="F2388">IF($C2388="","",IFERROR(INDEX(DATA_MASTER!$L$2:$L$5000,MATCH($C2388,DATA_MASTER!$D$2:$D$5000,0)),""))</f>
        <v/>
      </c>
      <c r="G2388" s="24" t="n"/>
      <c r="H2388" s="24" t="n"/>
      <c r="I2388" s="30" t="n"/>
      <c r="J2388" s="23">
        <f>IF(OR($H2388="",$I2388=""),"",$H2388*$I2388)</f>
        <v/>
      </c>
      <c r="K2388" s="24" t="n"/>
      <c r="L2388" s="24" t="n"/>
      <c r="M2388" s="29" t="n"/>
      <c r="N2388" s="28" t="n"/>
      <c r="O2388" s="24" t="n"/>
      <c r="P2388" s="24" t="n"/>
      <c r="Q2388" s="24" t="n"/>
      <c r="R2388" s="24" t="n"/>
      <c r="S2388" s="22">
        <f>IF(AND($A2388="",$C2388=""),"",IF($A2388="","Thiếu mã đơn; ","")&amp;IF(COUNTIF($A$2:$A2388,$A2388)&gt;1,"Trùng mã đơn; ","")&amp;IF(ISNA(MATCH($C2388,DATA_MASTER!$D$2:$D$5000,0)),"SĐT chưa đăng ký hội viên; ","")&amp;IF(AND($L2388="Đã chuyển khoản",$M2388=""),"Thiếu ngày nhận CK; ",""))</f>
        <v/>
      </c>
      <c r="T2388" s="24" t="n"/>
    </row>
    <row r="2389" ht="14.25" customHeight="1" s="40">
      <c r="A2389" s="24" t="n"/>
      <c r="B2389" s="29" t="n"/>
      <c r="C2389" s="28" t="n"/>
      <c r="D2389" s="22">
        <f t="array" ref="D2389">IF($C2389="","",IFERROR(INDEX(DATA_MASTER!$C$2:$C$5000,MATCH($C2389,DATA_MASTER!$D$2:$D$5000,0)),""))</f>
        <v/>
      </c>
      <c r="E2389" s="22">
        <f t="array" ref="E2389">IF($C2389="","",IFERROR(INDEX(DATA_MASTER!$I$2:$I$5000,MATCH($C2389,DATA_MASTER!$D$2:$D$5000,0)),""))</f>
        <v/>
      </c>
      <c r="F2389" s="22">
        <f t="array" ref="F2389">IF($C2389="","",IFERROR(INDEX(DATA_MASTER!$L$2:$L$5000,MATCH($C2389,DATA_MASTER!$D$2:$D$5000,0)),""))</f>
        <v/>
      </c>
      <c r="G2389" s="24" t="n"/>
      <c r="H2389" s="24" t="n"/>
      <c r="I2389" s="30" t="n"/>
      <c r="J2389" s="23">
        <f>IF(OR($H2389="",$I2389=""),"",$H2389*$I2389)</f>
        <v/>
      </c>
      <c r="K2389" s="24" t="n"/>
      <c r="L2389" s="24" t="n"/>
      <c r="M2389" s="29" t="n"/>
      <c r="N2389" s="28" t="n"/>
      <c r="O2389" s="24" t="n"/>
      <c r="P2389" s="24" t="n"/>
      <c r="Q2389" s="24" t="n"/>
      <c r="R2389" s="24" t="n"/>
      <c r="S2389" s="22">
        <f>IF(AND($A2389="",$C2389=""),"",IF($A2389="","Thiếu mã đơn; ","")&amp;IF(COUNTIF($A$2:$A2389,$A2389)&gt;1,"Trùng mã đơn; ","")&amp;IF(ISNA(MATCH($C2389,DATA_MASTER!$D$2:$D$5000,0)),"SĐT chưa đăng ký hội viên; ","")&amp;IF(AND($L2389="Đã chuyển khoản",$M2389=""),"Thiếu ngày nhận CK; ",""))</f>
        <v/>
      </c>
      <c r="T2389" s="24" t="n"/>
    </row>
    <row r="2390" ht="14.25" customHeight="1" s="40">
      <c r="A2390" s="24" t="n"/>
      <c r="B2390" s="29" t="n"/>
      <c r="C2390" s="28" t="n"/>
      <c r="D2390" s="22">
        <f t="array" ref="D2390">IF($C2390="","",IFERROR(INDEX(DATA_MASTER!$C$2:$C$5000,MATCH($C2390,DATA_MASTER!$D$2:$D$5000,0)),""))</f>
        <v/>
      </c>
      <c r="E2390" s="22">
        <f t="array" ref="E2390">IF($C2390="","",IFERROR(INDEX(DATA_MASTER!$I$2:$I$5000,MATCH($C2390,DATA_MASTER!$D$2:$D$5000,0)),""))</f>
        <v/>
      </c>
      <c r="F2390" s="22">
        <f t="array" ref="F2390">IF($C2390="","",IFERROR(INDEX(DATA_MASTER!$L$2:$L$5000,MATCH($C2390,DATA_MASTER!$D$2:$D$5000,0)),""))</f>
        <v/>
      </c>
      <c r="G2390" s="24" t="n"/>
      <c r="H2390" s="24" t="n"/>
      <c r="I2390" s="30" t="n"/>
      <c r="J2390" s="23">
        <f>IF(OR($H2390="",$I2390=""),"",$H2390*$I2390)</f>
        <v/>
      </c>
      <c r="K2390" s="24" t="n"/>
      <c r="L2390" s="24" t="n"/>
      <c r="M2390" s="29" t="n"/>
      <c r="N2390" s="28" t="n"/>
      <c r="O2390" s="24" t="n"/>
      <c r="P2390" s="24" t="n"/>
      <c r="Q2390" s="24" t="n"/>
      <c r="R2390" s="24" t="n"/>
      <c r="S2390" s="22">
        <f>IF(AND($A2390="",$C2390=""),"",IF($A2390="","Thiếu mã đơn; ","")&amp;IF(COUNTIF($A$2:$A2390,$A2390)&gt;1,"Trùng mã đơn; ","")&amp;IF(ISNA(MATCH($C2390,DATA_MASTER!$D$2:$D$5000,0)),"SĐT chưa đăng ký hội viên; ","")&amp;IF(AND($L2390="Đã chuyển khoản",$M2390=""),"Thiếu ngày nhận CK; ",""))</f>
        <v/>
      </c>
      <c r="T2390" s="24" t="n"/>
    </row>
    <row r="2391" ht="14.25" customHeight="1" s="40">
      <c r="A2391" s="24" t="n"/>
      <c r="B2391" s="29" t="n"/>
      <c r="C2391" s="28" t="n"/>
      <c r="D2391" s="22">
        <f t="array" ref="D2391">IF($C2391="","",IFERROR(INDEX(DATA_MASTER!$C$2:$C$5000,MATCH($C2391,DATA_MASTER!$D$2:$D$5000,0)),""))</f>
        <v/>
      </c>
      <c r="E2391" s="22">
        <f t="array" ref="E2391">IF($C2391="","",IFERROR(INDEX(DATA_MASTER!$I$2:$I$5000,MATCH($C2391,DATA_MASTER!$D$2:$D$5000,0)),""))</f>
        <v/>
      </c>
      <c r="F2391" s="22">
        <f t="array" ref="F2391">IF($C2391="","",IFERROR(INDEX(DATA_MASTER!$L$2:$L$5000,MATCH($C2391,DATA_MASTER!$D$2:$D$5000,0)),""))</f>
        <v/>
      </c>
      <c r="G2391" s="24" t="n"/>
      <c r="H2391" s="24" t="n"/>
      <c r="I2391" s="30" t="n"/>
      <c r="J2391" s="23">
        <f>IF(OR($H2391="",$I2391=""),"",$H2391*$I2391)</f>
        <v/>
      </c>
      <c r="K2391" s="24" t="n"/>
      <c r="L2391" s="24" t="n"/>
      <c r="M2391" s="29" t="n"/>
      <c r="N2391" s="28" t="n"/>
      <c r="O2391" s="24" t="n"/>
      <c r="P2391" s="24" t="n"/>
      <c r="Q2391" s="24" t="n"/>
      <c r="R2391" s="24" t="n"/>
      <c r="S2391" s="22">
        <f>IF(AND($A2391="",$C2391=""),"",IF($A2391="","Thiếu mã đơn; ","")&amp;IF(COUNTIF($A$2:$A2391,$A2391)&gt;1,"Trùng mã đơn; ","")&amp;IF(ISNA(MATCH($C2391,DATA_MASTER!$D$2:$D$5000,0)),"SĐT chưa đăng ký hội viên; ","")&amp;IF(AND($L2391="Đã chuyển khoản",$M2391=""),"Thiếu ngày nhận CK; ",""))</f>
        <v/>
      </c>
      <c r="T2391" s="24" t="n"/>
    </row>
    <row r="2392" ht="14.25" customHeight="1" s="40">
      <c r="A2392" s="24" t="n"/>
      <c r="B2392" s="29" t="n"/>
      <c r="C2392" s="28" t="n"/>
      <c r="D2392" s="22">
        <f t="array" ref="D2392">IF($C2392="","",IFERROR(INDEX(DATA_MASTER!$C$2:$C$5000,MATCH($C2392,DATA_MASTER!$D$2:$D$5000,0)),""))</f>
        <v/>
      </c>
      <c r="E2392" s="22">
        <f t="array" ref="E2392">IF($C2392="","",IFERROR(INDEX(DATA_MASTER!$I$2:$I$5000,MATCH($C2392,DATA_MASTER!$D$2:$D$5000,0)),""))</f>
        <v/>
      </c>
      <c r="F2392" s="22">
        <f t="array" ref="F2392">IF($C2392="","",IFERROR(INDEX(DATA_MASTER!$L$2:$L$5000,MATCH($C2392,DATA_MASTER!$D$2:$D$5000,0)),""))</f>
        <v/>
      </c>
      <c r="G2392" s="24" t="n"/>
      <c r="H2392" s="24" t="n"/>
      <c r="I2392" s="30" t="n"/>
      <c r="J2392" s="23">
        <f>IF(OR($H2392="",$I2392=""),"",$H2392*$I2392)</f>
        <v/>
      </c>
      <c r="K2392" s="24" t="n"/>
      <c r="L2392" s="24" t="n"/>
      <c r="M2392" s="29" t="n"/>
      <c r="N2392" s="28" t="n"/>
      <c r="O2392" s="24" t="n"/>
      <c r="P2392" s="24" t="n"/>
      <c r="Q2392" s="24" t="n"/>
      <c r="R2392" s="24" t="n"/>
      <c r="S2392" s="22">
        <f>IF(AND($A2392="",$C2392=""),"",IF($A2392="","Thiếu mã đơn; ","")&amp;IF(COUNTIF($A$2:$A2392,$A2392)&gt;1,"Trùng mã đơn; ","")&amp;IF(ISNA(MATCH($C2392,DATA_MASTER!$D$2:$D$5000,0)),"SĐT chưa đăng ký hội viên; ","")&amp;IF(AND($L2392="Đã chuyển khoản",$M2392=""),"Thiếu ngày nhận CK; ",""))</f>
        <v/>
      </c>
      <c r="T2392" s="24" t="n"/>
    </row>
    <row r="2393" ht="14.25" customHeight="1" s="40">
      <c r="A2393" s="24" t="n"/>
      <c r="B2393" s="29" t="n"/>
      <c r="C2393" s="28" t="n"/>
      <c r="D2393" s="22">
        <f t="array" ref="D2393">IF($C2393="","",IFERROR(INDEX(DATA_MASTER!$C$2:$C$5000,MATCH($C2393,DATA_MASTER!$D$2:$D$5000,0)),""))</f>
        <v/>
      </c>
      <c r="E2393" s="22">
        <f t="array" ref="E2393">IF($C2393="","",IFERROR(INDEX(DATA_MASTER!$I$2:$I$5000,MATCH($C2393,DATA_MASTER!$D$2:$D$5000,0)),""))</f>
        <v/>
      </c>
      <c r="F2393" s="22">
        <f t="array" ref="F2393">IF($C2393="","",IFERROR(INDEX(DATA_MASTER!$L$2:$L$5000,MATCH($C2393,DATA_MASTER!$D$2:$D$5000,0)),""))</f>
        <v/>
      </c>
      <c r="G2393" s="24" t="n"/>
      <c r="H2393" s="24" t="n"/>
      <c r="I2393" s="30" t="n"/>
      <c r="J2393" s="23">
        <f>IF(OR($H2393="",$I2393=""),"",$H2393*$I2393)</f>
        <v/>
      </c>
      <c r="K2393" s="24" t="n"/>
      <c r="L2393" s="24" t="n"/>
      <c r="M2393" s="29" t="n"/>
      <c r="N2393" s="28" t="n"/>
      <c r="O2393" s="24" t="n"/>
      <c r="P2393" s="24" t="n"/>
      <c r="Q2393" s="24" t="n"/>
      <c r="R2393" s="24" t="n"/>
      <c r="S2393" s="22">
        <f>IF(AND($A2393="",$C2393=""),"",IF($A2393="","Thiếu mã đơn; ","")&amp;IF(COUNTIF($A$2:$A2393,$A2393)&gt;1,"Trùng mã đơn; ","")&amp;IF(ISNA(MATCH($C2393,DATA_MASTER!$D$2:$D$5000,0)),"SĐT chưa đăng ký hội viên; ","")&amp;IF(AND($L2393="Đã chuyển khoản",$M2393=""),"Thiếu ngày nhận CK; ",""))</f>
        <v/>
      </c>
      <c r="T2393" s="24" t="n"/>
    </row>
    <row r="2394" ht="14.25" customHeight="1" s="40">
      <c r="A2394" s="24" t="n"/>
      <c r="B2394" s="29" t="n"/>
      <c r="C2394" s="28" t="n"/>
      <c r="D2394" s="22">
        <f t="array" ref="D2394">IF($C2394="","",IFERROR(INDEX(DATA_MASTER!$C$2:$C$5000,MATCH($C2394,DATA_MASTER!$D$2:$D$5000,0)),""))</f>
        <v/>
      </c>
      <c r="E2394" s="22">
        <f t="array" ref="E2394">IF($C2394="","",IFERROR(INDEX(DATA_MASTER!$I$2:$I$5000,MATCH($C2394,DATA_MASTER!$D$2:$D$5000,0)),""))</f>
        <v/>
      </c>
      <c r="F2394" s="22">
        <f t="array" ref="F2394">IF($C2394="","",IFERROR(INDEX(DATA_MASTER!$L$2:$L$5000,MATCH($C2394,DATA_MASTER!$D$2:$D$5000,0)),""))</f>
        <v/>
      </c>
      <c r="G2394" s="24" t="n"/>
      <c r="H2394" s="24" t="n"/>
      <c r="I2394" s="30" t="n"/>
      <c r="J2394" s="23">
        <f>IF(OR($H2394="",$I2394=""),"",$H2394*$I2394)</f>
        <v/>
      </c>
      <c r="K2394" s="24" t="n"/>
      <c r="L2394" s="24" t="n"/>
      <c r="M2394" s="29" t="n"/>
      <c r="N2394" s="28" t="n"/>
      <c r="O2394" s="24" t="n"/>
      <c r="P2394" s="24" t="n"/>
      <c r="Q2394" s="24" t="n"/>
      <c r="R2394" s="24" t="n"/>
      <c r="S2394" s="22">
        <f>IF(AND($A2394="",$C2394=""),"",IF($A2394="","Thiếu mã đơn; ","")&amp;IF(COUNTIF($A$2:$A2394,$A2394)&gt;1,"Trùng mã đơn; ","")&amp;IF(ISNA(MATCH($C2394,DATA_MASTER!$D$2:$D$5000,0)),"SĐT chưa đăng ký hội viên; ","")&amp;IF(AND($L2394="Đã chuyển khoản",$M2394=""),"Thiếu ngày nhận CK; ",""))</f>
        <v/>
      </c>
      <c r="T2394" s="24" t="n"/>
    </row>
    <row r="2395" ht="14.25" customHeight="1" s="40">
      <c r="A2395" s="24" t="n"/>
      <c r="B2395" s="29" t="n"/>
      <c r="C2395" s="28" t="n"/>
      <c r="D2395" s="22">
        <f t="array" ref="D2395">IF($C2395="","",IFERROR(INDEX(DATA_MASTER!$C$2:$C$5000,MATCH($C2395,DATA_MASTER!$D$2:$D$5000,0)),""))</f>
        <v/>
      </c>
      <c r="E2395" s="22">
        <f t="array" ref="E2395">IF($C2395="","",IFERROR(INDEX(DATA_MASTER!$I$2:$I$5000,MATCH($C2395,DATA_MASTER!$D$2:$D$5000,0)),""))</f>
        <v/>
      </c>
      <c r="F2395" s="22">
        <f t="array" ref="F2395">IF($C2395="","",IFERROR(INDEX(DATA_MASTER!$L$2:$L$5000,MATCH($C2395,DATA_MASTER!$D$2:$D$5000,0)),""))</f>
        <v/>
      </c>
      <c r="G2395" s="24" t="n"/>
      <c r="H2395" s="24" t="n"/>
      <c r="I2395" s="30" t="n"/>
      <c r="J2395" s="23">
        <f>IF(OR($H2395="",$I2395=""),"",$H2395*$I2395)</f>
        <v/>
      </c>
      <c r="K2395" s="24" t="n"/>
      <c r="L2395" s="24" t="n"/>
      <c r="M2395" s="29" t="n"/>
      <c r="N2395" s="28" t="n"/>
      <c r="O2395" s="24" t="n"/>
      <c r="P2395" s="24" t="n"/>
      <c r="Q2395" s="24" t="n"/>
      <c r="R2395" s="24" t="n"/>
      <c r="S2395" s="22">
        <f>IF(AND($A2395="",$C2395=""),"",IF($A2395="","Thiếu mã đơn; ","")&amp;IF(COUNTIF($A$2:$A2395,$A2395)&gt;1,"Trùng mã đơn; ","")&amp;IF(ISNA(MATCH($C2395,DATA_MASTER!$D$2:$D$5000,0)),"SĐT chưa đăng ký hội viên; ","")&amp;IF(AND($L2395="Đã chuyển khoản",$M2395=""),"Thiếu ngày nhận CK; ",""))</f>
        <v/>
      </c>
      <c r="T2395" s="24" t="n"/>
    </row>
    <row r="2396" ht="14.25" customHeight="1" s="40">
      <c r="A2396" s="24" t="n"/>
      <c r="B2396" s="29" t="n"/>
      <c r="C2396" s="28" t="n"/>
      <c r="D2396" s="22">
        <f t="array" ref="D2396">IF($C2396="","",IFERROR(INDEX(DATA_MASTER!$C$2:$C$5000,MATCH($C2396,DATA_MASTER!$D$2:$D$5000,0)),""))</f>
        <v/>
      </c>
      <c r="E2396" s="22">
        <f t="array" ref="E2396">IF($C2396="","",IFERROR(INDEX(DATA_MASTER!$I$2:$I$5000,MATCH($C2396,DATA_MASTER!$D$2:$D$5000,0)),""))</f>
        <v/>
      </c>
      <c r="F2396" s="22">
        <f t="array" ref="F2396">IF($C2396="","",IFERROR(INDEX(DATA_MASTER!$L$2:$L$5000,MATCH($C2396,DATA_MASTER!$D$2:$D$5000,0)),""))</f>
        <v/>
      </c>
      <c r="G2396" s="24" t="n"/>
      <c r="H2396" s="24" t="n"/>
      <c r="I2396" s="30" t="n"/>
      <c r="J2396" s="23">
        <f>IF(OR($H2396="",$I2396=""),"",$H2396*$I2396)</f>
        <v/>
      </c>
      <c r="K2396" s="24" t="n"/>
      <c r="L2396" s="24" t="n"/>
      <c r="M2396" s="29" t="n"/>
      <c r="N2396" s="28" t="n"/>
      <c r="O2396" s="24" t="n"/>
      <c r="P2396" s="24" t="n"/>
      <c r="Q2396" s="24" t="n"/>
      <c r="R2396" s="24" t="n"/>
      <c r="S2396" s="22">
        <f>IF(AND($A2396="",$C2396=""),"",IF($A2396="","Thiếu mã đơn; ","")&amp;IF(COUNTIF($A$2:$A2396,$A2396)&gt;1,"Trùng mã đơn; ","")&amp;IF(ISNA(MATCH($C2396,DATA_MASTER!$D$2:$D$5000,0)),"SĐT chưa đăng ký hội viên; ","")&amp;IF(AND($L2396="Đã chuyển khoản",$M2396=""),"Thiếu ngày nhận CK; ",""))</f>
        <v/>
      </c>
      <c r="T2396" s="24" t="n"/>
    </row>
    <row r="2397" ht="14.25" customHeight="1" s="40">
      <c r="A2397" s="24" t="n"/>
      <c r="B2397" s="29" t="n"/>
      <c r="C2397" s="28" t="n"/>
      <c r="D2397" s="22">
        <f t="array" ref="D2397">IF($C2397="","",IFERROR(INDEX(DATA_MASTER!$C$2:$C$5000,MATCH($C2397,DATA_MASTER!$D$2:$D$5000,0)),""))</f>
        <v/>
      </c>
      <c r="E2397" s="22">
        <f t="array" ref="E2397">IF($C2397="","",IFERROR(INDEX(DATA_MASTER!$I$2:$I$5000,MATCH($C2397,DATA_MASTER!$D$2:$D$5000,0)),""))</f>
        <v/>
      </c>
      <c r="F2397" s="22">
        <f t="array" ref="F2397">IF($C2397="","",IFERROR(INDEX(DATA_MASTER!$L$2:$L$5000,MATCH($C2397,DATA_MASTER!$D$2:$D$5000,0)),""))</f>
        <v/>
      </c>
      <c r="G2397" s="24" t="n"/>
      <c r="H2397" s="24" t="n"/>
      <c r="I2397" s="30" t="n"/>
      <c r="J2397" s="23">
        <f>IF(OR($H2397="",$I2397=""),"",$H2397*$I2397)</f>
        <v/>
      </c>
      <c r="K2397" s="24" t="n"/>
      <c r="L2397" s="24" t="n"/>
      <c r="M2397" s="29" t="n"/>
      <c r="N2397" s="28" t="n"/>
      <c r="O2397" s="24" t="n"/>
      <c r="P2397" s="24" t="n"/>
      <c r="Q2397" s="24" t="n"/>
      <c r="R2397" s="24" t="n"/>
      <c r="S2397" s="22">
        <f>IF(AND($A2397="",$C2397=""),"",IF($A2397="","Thiếu mã đơn; ","")&amp;IF(COUNTIF($A$2:$A2397,$A2397)&gt;1,"Trùng mã đơn; ","")&amp;IF(ISNA(MATCH($C2397,DATA_MASTER!$D$2:$D$5000,0)),"SĐT chưa đăng ký hội viên; ","")&amp;IF(AND($L2397="Đã chuyển khoản",$M2397=""),"Thiếu ngày nhận CK; ",""))</f>
        <v/>
      </c>
      <c r="T2397" s="24" t="n"/>
    </row>
    <row r="2398" ht="14.25" customHeight="1" s="40">
      <c r="A2398" s="24" t="n"/>
      <c r="B2398" s="29" t="n"/>
      <c r="C2398" s="28" t="n"/>
      <c r="D2398" s="22">
        <f t="array" ref="D2398">IF($C2398="","",IFERROR(INDEX(DATA_MASTER!$C$2:$C$5000,MATCH($C2398,DATA_MASTER!$D$2:$D$5000,0)),""))</f>
        <v/>
      </c>
      <c r="E2398" s="22">
        <f t="array" ref="E2398">IF($C2398="","",IFERROR(INDEX(DATA_MASTER!$I$2:$I$5000,MATCH($C2398,DATA_MASTER!$D$2:$D$5000,0)),""))</f>
        <v/>
      </c>
      <c r="F2398" s="22">
        <f t="array" ref="F2398">IF($C2398="","",IFERROR(INDEX(DATA_MASTER!$L$2:$L$5000,MATCH($C2398,DATA_MASTER!$D$2:$D$5000,0)),""))</f>
        <v/>
      </c>
      <c r="G2398" s="24" t="n"/>
      <c r="H2398" s="24" t="n"/>
      <c r="I2398" s="30" t="n"/>
      <c r="J2398" s="23">
        <f>IF(OR($H2398="",$I2398=""),"",$H2398*$I2398)</f>
        <v/>
      </c>
      <c r="K2398" s="24" t="n"/>
      <c r="L2398" s="24" t="n"/>
      <c r="M2398" s="29" t="n"/>
      <c r="N2398" s="28" t="n"/>
      <c r="O2398" s="24" t="n"/>
      <c r="P2398" s="24" t="n"/>
      <c r="Q2398" s="24" t="n"/>
      <c r="R2398" s="24" t="n"/>
      <c r="S2398" s="22">
        <f>IF(AND($A2398="",$C2398=""),"",IF($A2398="","Thiếu mã đơn; ","")&amp;IF(COUNTIF($A$2:$A2398,$A2398)&gt;1,"Trùng mã đơn; ","")&amp;IF(ISNA(MATCH($C2398,DATA_MASTER!$D$2:$D$5000,0)),"SĐT chưa đăng ký hội viên; ","")&amp;IF(AND($L2398="Đã chuyển khoản",$M2398=""),"Thiếu ngày nhận CK; ",""))</f>
        <v/>
      </c>
      <c r="T2398" s="24" t="n"/>
    </row>
    <row r="2399" ht="14.25" customHeight="1" s="40">
      <c r="A2399" s="24" t="n"/>
      <c r="B2399" s="29" t="n"/>
      <c r="C2399" s="28" t="n"/>
      <c r="D2399" s="22">
        <f t="array" ref="D2399">IF($C2399="","",IFERROR(INDEX(DATA_MASTER!$C$2:$C$5000,MATCH($C2399,DATA_MASTER!$D$2:$D$5000,0)),""))</f>
        <v/>
      </c>
      <c r="E2399" s="22">
        <f t="array" ref="E2399">IF($C2399="","",IFERROR(INDEX(DATA_MASTER!$I$2:$I$5000,MATCH($C2399,DATA_MASTER!$D$2:$D$5000,0)),""))</f>
        <v/>
      </c>
      <c r="F2399" s="22">
        <f t="array" ref="F2399">IF($C2399="","",IFERROR(INDEX(DATA_MASTER!$L$2:$L$5000,MATCH($C2399,DATA_MASTER!$D$2:$D$5000,0)),""))</f>
        <v/>
      </c>
      <c r="G2399" s="24" t="n"/>
      <c r="H2399" s="24" t="n"/>
      <c r="I2399" s="30" t="n"/>
      <c r="J2399" s="23">
        <f>IF(OR($H2399="",$I2399=""),"",$H2399*$I2399)</f>
        <v/>
      </c>
      <c r="K2399" s="24" t="n"/>
      <c r="L2399" s="24" t="n"/>
      <c r="M2399" s="29" t="n"/>
      <c r="N2399" s="28" t="n"/>
      <c r="O2399" s="24" t="n"/>
      <c r="P2399" s="24" t="n"/>
      <c r="Q2399" s="24" t="n"/>
      <c r="R2399" s="24" t="n"/>
      <c r="S2399" s="22">
        <f>IF(AND($A2399="",$C2399=""),"",IF($A2399="","Thiếu mã đơn; ","")&amp;IF(COUNTIF($A$2:$A2399,$A2399)&gt;1,"Trùng mã đơn; ","")&amp;IF(ISNA(MATCH($C2399,DATA_MASTER!$D$2:$D$5000,0)),"SĐT chưa đăng ký hội viên; ","")&amp;IF(AND($L2399="Đã chuyển khoản",$M2399=""),"Thiếu ngày nhận CK; ",""))</f>
        <v/>
      </c>
      <c r="T2399" s="24" t="n"/>
    </row>
    <row r="2400" ht="14.25" customHeight="1" s="40">
      <c r="A2400" s="24" t="n"/>
      <c r="B2400" s="29" t="n"/>
      <c r="C2400" s="28" t="n"/>
      <c r="D2400" s="22">
        <f t="array" ref="D2400">IF($C2400="","",IFERROR(INDEX(DATA_MASTER!$C$2:$C$5000,MATCH($C2400,DATA_MASTER!$D$2:$D$5000,0)),""))</f>
        <v/>
      </c>
      <c r="E2400" s="22">
        <f t="array" ref="E2400">IF($C2400="","",IFERROR(INDEX(DATA_MASTER!$I$2:$I$5000,MATCH($C2400,DATA_MASTER!$D$2:$D$5000,0)),""))</f>
        <v/>
      </c>
      <c r="F2400" s="22">
        <f t="array" ref="F2400">IF($C2400="","",IFERROR(INDEX(DATA_MASTER!$L$2:$L$5000,MATCH($C2400,DATA_MASTER!$D$2:$D$5000,0)),""))</f>
        <v/>
      </c>
      <c r="G2400" s="24" t="n"/>
      <c r="H2400" s="24" t="n"/>
      <c r="I2400" s="30" t="n"/>
      <c r="J2400" s="23">
        <f>IF(OR($H2400="",$I2400=""),"",$H2400*$I2400)</f>
        <v/>
      </c>
      <c r="K2400" s="24" t="n"/>
      <c r="L2400" s="24" t="n"/>
      <c r="M2400" s="29" t="n"/>
      <c r="N2400" s="28" t="n"/>
      <c r="O2400" s="24" t="n"/>
      <c r="P2400" s="24" t="n"/>
      <c r="Q2400" s="24" t="n"/>
      <c r="R2400" s="24" t="n"/>
      <c r="S2400" s="22">
        <f>IF(AND($A2400="",$C2400=""),"",IF($A2400="","Thiếu mã đơn; ","")&amp;IF(COUNTIF($A$2:$A2400,$A2400)&gt;1,"Trùng mã đơn; ","")&amp;IF(ISNA(MATCH($C2400,DATA_MASTER!$D$2:$D$5000,0)),"SĐT chưa đăng ký hội viên; ","")&amp;IF(AND($L2400="Đã chuyển khoản",$M2400=""),"Thiếu ngày nhận CK; ",""))</f>
        <v/>
      </c>
      <c r="T2400" s="24" t="n"/>
    </row>
    <row r="2401" ht="14.25" customHeight="1" s="40">
      <c r="A2401" s="24" t="n"/>
      <c r="B2401" s="29" t="n"/>
      <c r="C2401" s="28" t="n"/>
      <c r="D2401" s="22">
        <f t="array" ref="D2401">IF($C2401="","",IFERROR(INDEX(DATA_MASTER!$C$2:$C$5000,MATCH($C2401,DATA_MASTER!$D$2:$D$5000,0)),""))</f>
        <v/>
      </c>
      <c r="E2401" s="22">
        <f t="array" ref="E2401">IF($C2401="","",IFERROR(INDEX(DATA_MASTER!$I$2:$I$5000,MATCH($C2401,DATA_MASTER!$D$2:$D$5000,0)),""))</f>
        <v/>
      </c>
      <c r="F2401" s="22">
        <f t="array" ref="F2401">IF($C2401="","",IFERROR(INDEX(DATA_MASTER!$L$2:$L$5000,MATCH($C2401,DATA_MASTER!$D$2:$D$5000,0)),""))</f>
        <v/>
      </c>
      <c r="G2401" s="24" t="n"/>
      <c r="H2401" s="24" t="n"/>
      <c r="I2401" s="30" t="n"/>
      <c r="J2401" s="23">
        <f>IF(OR($H2401="",$I2401=""),"",$H2401*$I2401)</f>
        <v/>
      </c>
      <c r="K2401" s="24" t="n"/>
      <c r="L2401" s="24" t="n"/>
      <c r="M2401" s="29" t="n"/>
      <c r="N2401" s="28" t="n"/>
      <c r="O2401" s="24" t="n"/>
      <c r="P2401" s="24" t="n"/>
      <c r="Q2401" s="24" t="n"/>
      <c r="R2401" s="24" t="n"/>
      <c r="S2401" s="22">
        <f>IF(AND($A2401="",$C2401=""),"",IF($A2401="","Thiếu mã đơn; ","")&amp;IF(COUNTIF($A$2:$A2401,$A2401)&gt;1,"Trùng mã đơn; ","")&amp;IF(ISNA(MATCH($C2401,DATA_MASTER!$D$2:$D$5000,0)),"SĐT chưa đăng ký hội viên; ","")&amp;IF(AND($L2401="Đã chuyển khoản",$M2401=""),"Thiếu ngày nhận CK; ",""))</f>
        <v/>
      </c>
      <c r="T2401" s="24" t="n"/>
    </row>
    <row r="2402" ht="14.25" customHeight="1" s="40">
      <c r="A2402" s="24" t="n"/>
      <c r="B2402" s="29" t="n"/>
      <c r="C2402" s="28" t="n"/>
      <c r="D2402" s="22">
        <f t="array" ref="D2402">IF($C2402="","",IFERROR(INDEX(DATA_MASTER!$C$2:$C$5000,MATCH($C2402,DATA_MASTER!$D$2:$D$5000,0)),""))</f>
        <v/>
      </c>
      <c r="E2402" s="22">
        <f t="array" ref="E2402">IF($C2402="","",IFERROR(INDEX(DATA_MASTER!$I$2:$I$5000,MATCH($C2402,DATA_MASTER!$D$2:$D$5000,0)),""))</f>
        <v/>
      </c>
      <c r="F2402" s="22">
        <f t="array" ref="F2402">IF($C2402="","",IFERROR(INDEX(DATA_MASTER!$L$2:$L$5000,MATCH($C2402,DATA_MASTER!$D$2:$D$5000,0)),""))</f>
        <v/>
      </c>
      <c r="G2402" s="24" t="n"/>
      <c r="H2402" s="24" t="n"/>
      <c r="I2402" s="30" t="n"/>
      <c r="J2402" s="23">
        <f>IF(OR($H2402="",$I2402=""),"",$H2402*$I2402)</f>
        <v/>
      </c>
      <c r="K2402" s="24" t="n"/>
      <c r="L2402" s="24" t="n"/>
      <c r="M2402" s="29" t="n"/>
      <c r="N2402" s="28" t="n"/>
      <c r="O2402" s="24" t="n"/>
      <c r="P2402" s="24" t="n"/>
      <c r="Q2402" s="24" t="n"/>
      <c r="R2402" s="24" t="n"/>
      <c r="S2402" s="22">
        <f>IF(AND($A2402="",$C2402=""),"",IF($A2402="","Thiếu mã đơn; ","")&amp;IF(COUNTIF($A$2:$A2402,$A2402)&gt;1,"Trùng mã đơn; ","")&amp;IF(ISNA(MATCH($C2402,DATA_MASTER!$D$2:$D$5000,0)),"SĐT chưa đăng ký hội viên; ","")&amp;IF(AND($L2402="Đã chuyển khoản",$M2402=""),"Thiếu ngày nhận CK; ",""))</f>
        <v/>
      </c>
      <c r="T2402" s="24" t="n"/>
    </row>
    <row r="2403" ht="14.25" customHeight="1" s="40">
      <c r="A2403" s="24" t="n"/>
      <c r="B2403" s="29" t="n"/>
      <c r="C2403" s="28" t="n"/>
      <c r="D2403" s="22">
        <f t="array" ref="D2403">IF($C2403="","",IFERROR(INDEX(DATA_MASTER!$C$2:$C$5000,MATCH($C2403,DATA_MASTER!$D$2:$D$5000,0)),""))</f>
        <v/>
      </c>
      <c r="E2403" s="22">
        <f t="array" ref="E2403">IF($C2403="","",IFERROR(INDEX(DATA_MASTER!$I$2:$I$5000,MATCH($C2403,DATA_MASTER!$D$2:$D$5000,0)),""))</f>
        <v/>
      </c>
      <c r="F2403" s="22">
        <f t="array" ref="F2403">IF($C2403="","",IFERROR(INDEX(DATA_MASTER!$L$2:$L$5000,MATCH($C2403,DATA_MASTER!$D$2:$D$5000,0)),""))</f>
        <v/>
      </c>
      <c r="G2403" s="24" t="n"/>
      <c r="H2403" s="24" t="n"/>
      <c r="I2403" s="30" t="n"/>
      <c r="J2403" s="23">
        <f>IF(OR($H2403="",$I2403=""),"",$H2403*$I2403)</f>
        <v/>
      </c>
      <c r="K2403" s="24" t="n"/>
      <c r="L2403" s="24" t="n"/>
      <c r="M2403" s="29" t="n"/>
      <c r="N2403" s="28" t="n"/>
      <c r="O2403" s="24" t="n"/>
      <c r="P2403" s="24" t="n"/>
      <c r="Q2403" s="24" t="n"/>
      <c r="R2403" s="24" t="n"/>
      <c r="S2403" s="22">
        <f>IF(AND($A2403="",$C2403=""),"",IF($A2403="","Thiếu mã đơn; ","")&amp;IF(COUNTIF($A$2:$A2403,$A2403)&gt;1,"Trùng mã đơn; ","")&amp;IF(ISNA(MATCH($C2403,DATA_MASTER!$D$2:$D$5000,0)),"SĐT chưa đăng ký hội viên; ","")&amp;IF(AND($L2403="Đã chuyển khoản",$M2403=""),"Thiếu ngày nhận CK; ",""))</f>
        <v/>
      </c>
      <c r="T2403" s="24" t="n"/>
    </row>
    <row r="2404" ht="14.25" customHeight="1" s="40">
      <c r="A2404" s="24" t="n"/>
      <c r="B2404" s="29" t="n"/>
      <c r="C2404" s="28" t="n"/>
      <c r="D2404" s="22">
        <f t="array" ref="D2404">IF($C2404="","",IFERROR(INDEX(DATA_MASTER!$C$2:$C$5000,MATCH($C2404,DATA_MASTER!$D$2:$D$5000,0)),""))</f>
        <v/>
      </c>
      <c r="E2404" s="22">
        <f t="array" ref="E2404">IF($C2404="","",IFERROR(INDEX(DATA_MASTER!$I$2:$I$5000,MATCH($C2404,DATA_MASTER!$D$2:$D$5000,0)),""))</f>
        <v/>
      </c>
      <c r="F2404" s="22">
        <f t="array" ref="F2404">IF($C2404="","",IFERROR(INDEX(DATA_MASTER!$L$2:$L$5000,MATCH($C2404,DATA_MASTER!$D$2:$D$5000,0)),""))</f>
        <v/>
      </c>
      <c r="G2404" s="24" t="n"/>
      <c r="H2404" s="24" t="n"/>
      <c r="I2404" s="30" t="n"/>
      <c r="J2404" s="23">
        <f>IF(OR($H2404="",$I2404=""),"",$H2404*$I2404)</f>
        <v/>
      </c>
      <c r="K2404" s="24" t="n"/>
      <c r="L2404" s="24" t="n"/>
      <c r="M2404" s="29" t="n"/>
      <c r="N2404" s="28" t="n"/>
      <c r="O2404" s="24" t="n"/>
      <c r="P2404" s="24" t="n"/>
      <c r="Q2404" s="24" t="n"/>
      <c r="R2404" s="24" t="n"/>
      <c r="S2404" s="22">
        <f>IF(AND($A2404="",$C2404=""),"",IF($A2404="","Thiếu mã đơn; ","")&amp;IF(COUNTIF($A$2:$A2404,$A2404)&gt;1,"Trùng mã đơn; ","")&amp;IF(ISNA(MATCH($C2404,DATA_MASTER!$D$2:$D$5000,0)),"SĐT chưa đăng ký hội viên; ","")&amp;IF(AND($L2404="Đã chuyển khoản",$M2404=""),"Thiếu ngày nhận CK; ",""))</f>
        <v/>
      </c>
      <c r="T2404" s="24" t="n"/>
    </row>
    <row r="2405" ht="14.25" customHeight="1" s="40">
      <c r="A2405" s="24" t="n"/>
      <c r="B2405" s="29" t="n"/>
      <c r="C2405" s="28" t="n"/>
      <c r="D2405" s="22">
        <f t="array" ref="D2405">IF($C2405="","",IFERROR(INDEX(DATA_MASTER!$C$2:$C$5000,MATCH($C2405,DATA_MASTER!$D$2:$D$5000,0)),""))</f>
        <v/>
      </c>
      <c r="E2405" s="22">
        <f t="array" ref="E2405">IF($C2405="","",IFERROR(INDEX(DATA_MASTER!$I$2:$I$5000,MATCH($C2405,DATA_MASTER!$D$2:$D$5000,0)),""))</f>
        <v/>
      </c>
      <c r="F2405" s="22">
        <f t="array" ref="F2405">IF($C2405="","",IFERROR(INDEX(DATA_MASTER!$L$2:$L$5000,MATCH($C2405,DATA_MASTER!$D$2:$D$5000,0)),""))</f>
        <v/>
      </c>
      <c r="G2405" s="24" t="n"/>
      <c r="H2405" s="24" t="n"/>
      <c r="I2405" s="30" t="n"/>
      <c r="J2405" s="23">
        <f>IF(OR($H2405="",$I2405=""),"",$H2405*$I2405)</f>
        <v/>
      </c>
      <c r="K2405" s="24" t="n"/>
      <c r="L2405" s="24" t="n"/>
      <c r="M2405" s="29" t="n"/>
      <c r="N2405" s="28" t="n"/>
      <c r="O2405" s="24" t="n"/>
      <c r="P2405" s="24" t="n"/>
      <c r="Q2405" s="24" t="n"/>
      <c r="R2405" s="24" t="n"/>
      <c r="S2405" s="22">
        <f>IF(AND($A2405="",$C2405=""),"",IF($A2405="","Thiếu mã đơn; ","")&amp;IF(COUNTIF($A$2:$A2405,$A2405)&gt;1,"Trùng mã đơn; ","")&amp;IF(ISNA(MATCH($C2405,DATA_MASTER!$D$2:$D$5000,0)),"SĐT chưa đăng ký hội viên; ","")&amp;IF(AND($L2405="Đã chuyển khoản",$M2405=""),"Thiếu ngày nhận CK; ",""))</f>
        <v/>
      </c>
      <c r="T2405" s="24" t="n"/>
    </row>
    <row r="2406" ht="14.25" customHeight="1" s="40">
      <c r="A2406" s="24" t="n"/>
      <c r="B2406" s="29" t="n"/>
      <c r="C2406" s="28" t="n"/>
      <c r="D2406" s="22">
        <f t="array" ref="D2406">IF($C2406="","",IFERROR(INDEX(DATA_MASTER!$C$2:$C$5000,MATCH($C2406,DATA_MASTER!$D$2:$D$5000,0)),""))</f>
        <v/>
      </c>
      <c r="E2406" s="22">
        <f t="array" ref="E2406">IF($C2406="","",IFERROR(INDEX(DATA_MASTER!$I$2:$I$5000,MATCH($C2406,DATA_MASTER!$D$2:$D$5000,0)),""))</f>
        <v/>
      </c>
      <c r="F2406" s="22">
        <f t="array" ref="F2406">IF($C2406="","",IFERROR(INDEX(DATA_MASTER!$L$2:$L$5000,MATCH($C2406,DATA_MASTER!$D$2:$D$5000,0)),""))</f>
        <v/>
      </c>
      <c r="G2406" s="24" t="n"/>
      <c r="H2406" s="24" t="n"/>
      <c r="I2406" s="30" t="n"/>
      <c r="J2406" s="23">
        <f>IF(OR($H2406="",$I2406=""),"",$H2406*$I2406)</f>
        <v/>
      </c>
      <c r="K2406" s="24" t="n"/>
      <c r="L2406" s="24" t="n"/>
      <c r="M2406" s="29" t="n"/>
      <c r="N2406" s="28" t="n"/>
      <c r="O2406" s="24" t="n"/>
      <c r="P2406" s="24" t="n"/>
      <c r="Q2406" s="24" t="n"/>
      <c r="R2406" s="24" t="n"/>
      <c r="S2406" s="22">
        <f>IF(AND($A2406="",$C2406=""),"",IF($A2406="","Thiếu mã đơn; ","")&amp;IF(COUNTIF($A$2:$A2406,$A2406)&gt;1,"Trùng mã đơn; ","")&amp;IF(ISNA(MATCH($C2406,DATA_MASTER!$D$2:$D$5000,0)),"SĐT chưa đăng ký hội viên; ","")&amp;IF(AND($L2406="Đã chuyển khoản",$M2406=""),"Thiếu ngày nhận CK; ",""))</f>
        <v/>
      </c>
      <c r="T2406" s="24" t="n"/>
    </row>
    <row r="2407" ht="14.25" customHeight="1" s="40">
      <c r="A2407" s="24" t="n"/>
      <c r="B2407" s="29" t="n"/>
      <c r="C2407" s="28" t="n"/>
      <c r="D2407" s="22">
        <f t="array" ref="D2407">IF($C2407="","",IFERROR(INDEX(DATA_MASTER!$C$2:$C$5000,MATCH($C2407,DATA_MASTER!$D$2:$D$5000,0)),""))</f>
        <v/>
      </c>
      <c r="E2407" s="22">
        <f t="array" ref="E2407">IF($C2407="","",IFERROR(INDEX(DATA_MASTER!$I$2:$I$5000,MATCH($C2407,DATA_MASTER!$D$2:$D$5000,0)),""))</f>
        <v/>
      </c>
      <c r="F2407" s="22">
        <f t="array" ref="F2407">IF($C2407="","",IFERROR(INDEX(DATA_MASTER!$L$2:$L$5000,MATCH($C2407,DATA_MASTER!$D$2:$D$5000,0)),""))</f>
        <v/>
      </c>
      <c r="G2407" s="24" t="n"/>
      <c r="H2407" s="24" t="n"/>
      <c r="I2407" s="30" t="n"/>
      <c r="J2407" s="23">
        <f>IF(OR($H2407="",$I2407=""),"",$H2407*$I2407)</f>
        <v/>
      </c>
      <c r="K2407" s="24" t="n"/>
      <c r="L2407" s="24" t="n"/>
      <c r="M2407" s="29" t="n"/>
      <c r="N2407" s="28" t="n"/>
      <c r="O2407" s="24" t="n"/>
      <c r="P2407" s="24" t="n"/>
      <c r="Q2407" s="24" t="n"/>
      <c r="R2407" s="24" t="n"/>
      <c r="S2407" s="22">
        <f>IF(AND($A2407="",$C2407=""),"",IF($A2407="","Thiếu mã đơn; ","")&amp;IF(COUNTIF($A$2:$A2407,$A2407)&gt;1,"Trùng mã đơn; ","")&amp;IF(ISNA(MATCH($C2407,DATA_MASTER!$D$2:$D$5000,0)),"SĐT chưa đăng ký hội viên; ","")&amp;IF(AND($L2407="Đã chuyển khoản",$M2407=""),"Thiếu ngày nhận CK; ",""))</f>
        <v/>
      </c>
      <c r="T2407" s="24" t="n"/>
    </row>
    <row r="2408" ht="14.25" customHeight="1" s="40">
      <c r="A2408" s="24" t="n"/>
      <c r="B2408" s="29" t="n"/>
      <c r="C2408" s="28" t="n"/>
      <c r="D2408" s="22">
        <f t="array" ref="D2408">IF($C2408="","",IFERROR(INDEX(DATA_MASTER!$C$2:$C$5000,MATCH($C2408,DATA_MASTER!$D$2:$D$5000,0)),""))</f>
        <v/>
      </c>
      <c r="E2408" s="22">
        <f t="array" ref="E2408">IF($C2408="","",IFERROR(INDEX(DATA_MASTER!$I$2:$I$5000,MATCH($C2408,DATA_MASTER!$D$2:$D$5000,0)),""))</f>
        <v/>
      </c>
      <c r="F2408" s="22">
        <f t="array" ref="F2408">IF($C2408="","",IFERROR(INDEX(DATA_MASTER!$L$2:$L$5000,MATCH($C2408,DATA_MASTER!$D$2:$D$5000,0)),""))</f>
        <v/>
      </c>
      <c r="G2408" s="24" t="n"/>
      <c r="H2408" s="24" t="n"/>
      <c r="I2408" s="30" t="n"/>
      <c r="J2408" s="23">
        <f>IF(OR($H2408="",$I2408=""),"",$H2408*$I2408)</f>
        <v/>
      </c>
      <c r="K2408" s="24" t="n"/>
      <c r="L2408" s="24" t="n"/>
      <c r="M2408" s="29" t="n"/>
      <c r="N2408" s="28" t="n"/>
      <c r="O2408" s="24" t="n"/>
      <c r="P2408" s="24" t="n"/>
      <c r="Q2408" s="24" t="n"/>
      <c r="R2408" s="24" t="n"/>
      <c r="S2408" s="22">
        <f>IF(AND($A2408="",$C2408=""),"",IF($A2408="","Thiếu mã đơn; ","")&amp;IF(COUNTIF($A$2:$A2408,$A2408)&gt;1,"Trùng mã đơn; ","")&amp;IF(ISNA(MATCH($C2408,DATA_MASTER!$D$2:$D$5000,0)),"SĐT chưa đăng ký hội viên; ","")&amp;IF(AND($L2408="Đã chuyển khoản",$M2408=""),"Thiếu ngày nhận CK; ",""))</f>
        <v/>
      </c>
      <c r="T2408" s="24" t="n"/>
    </row>
    <row r="2409" ht="14.25" customHeight="1" s="40">
      <c r="A2409" s="24" t="n"/>
      <c r="B2409" s="29" t="n"/>
      <c r="C2409" s="28" t="n"/>
      <c r="D2409" s="22">
        <f t="array" ref="D2409">IF($C2409="","",IFERROR(INDEX(DATA_MASTER!$C$2:$C$5000,MATCH($C2409,DATA_MASTER!$D$2:$D$5000,0)),""))</f>
        <v/>
      </c>
      <c r="E2409" s="22">
        <f t="array" ref="E2409">IF($C2409="","",IFERROR(INDEX(DATA_MASTER!$I$2:$I$5000,MATCH($C2409,DATA_MASTER!$D$2:$D$5000,0)),""))</f>
        <v/>
      </c>
      <c r="F2409" s="22">
        <f t="array" ref="F2409">IF($C2409="","",IFERROR(INDEX(DATA_MASTER!$L$2:$L$5000,MATCH($C2409,DATA_MASTER!$D$2:$D$5000,0)),""))</f>
        <v/>
      </c>
      <c r="G2409" s="24" t="n"/>
      <c r="H2409" s="24" t="n"/>
      <c r="I2409" s="30" t="n"/>
      <c r="J2409" s="23">
        <f>IF(OR($H2409="",$I2409=""),"",$H2409*$I2409)</f>
        <v/>
      </c>
      <c r="K2409" s="24" t="n"/>
      <c r="L2409" s="24" t="n"/>
      <c r="M2409" s="29" t="n"/>
      <c r="N2409" s="28" t="n"/>
      <c r="O2409" s="24" t="n"/>
      <c r="P2409" s="24" t="n"/>
      <c r="Q2409" s="24" t="n"/>
      <c r="R2409" s="24" t="n"/>
      <c r="S2409" s="22">
        <f>IF(AND($A2409="",$C2409=""),"",IF($A2409="","Thiếu mã đơn; ","")&amp;IF(COUNTIF($A$2:$A2409,$A2409)&gt;1,"Trùng mã đơn; ","")&amp;IF(ISNA(MATCH($C2409,DATA_MASTER!$D$2:$D$5000,0)),"SĐT chưa đăng ký hội viên; ","")&amp;IF(AND($L2409="Đã chuyển khoản",$M2409=""),"Thiếu ngày nhận CK; ",""))</f>
        <v/>
      </c>
      <c r="T2409" s="24" t="n"/>
    </row>
    <row r="2410" ht="14.25" customHeight="1" s="40">
      <c r="A2410" s="24" t="n"/>
      <c r="B2410" s="29" t="n"/>
      <c r="C2410" s="28" t="n"/>
      <c r="D2410" s="22">
        <f t="array" ref="D2410">IF($C2410="","",IFERROR(INDEX(DATA_MASTER!$C$2:$C$5000,MATCH($C2410,DATA_MASTER!$D$2:$D$5000,0)),""))</f>
        <v/>
      </c>
      <c r="E2410" s="22">
        <f t="array" ref="E2410">IF($C2410="","",IFERROR(INDEX(DATA_MASTER!$I$2:$I$5000,MATCH($C2410,DATA_MASTER!$D$2:$D$5000,0)),""))</f>
        <v/>
      </c>
      <c r="F2410" s="22">
        <f t="array" ref="F2410">IF($C2410="","",IFERROR(INDEX(DATA_MASTER!$L$2:$L$5000,MATCH($C2410,DATA_MASTER!$D$2:$D$5000,0)),""))</f>
        <v/>
      </c>
      <c r="G2410" s="24" t="n"/>
      <c r="H2410" s="24" t="n"/>
      <c r="I2410" s="30" t="n"/>
      <c r="J2410" s="23">
        <f>IF(OR($H2410="",$I2410=""),"",$H2410*$I2410)</f>
        <v/>
      </c>
      <c r="K2410" s="24" t="n"/>
      <c r="L2410" s="24" t="n"/>
      <c r="M2410" s="29" t="n"/>
      <c r="N2410" s="28" t="n"/>
      <c r="O2410" s="24" t="n"/>
      <c r="P2410" s="24" t="n"/>
      <c r="Q2410" s="24" t="n"/>
      <c r="R2410" s="24" t="n"/>
      <c r="S2410" s="22">
        <f>IF(AND($A2410="",$C2410=""),"",IF($A2410="","Thiếu mã đơn; ","")&amp;IF(COUNTIF($A$2:$A2410,$A2410)&gt;1,"Trùng mã đơn; ","")&amp;IF(ISNA(MATCH($C2410,DATA_MASTER!$D$2:$D$5000,0)),"SĐT chưa đăng ký hội viên; ","")&amp;IF(AND($L2410="Đã chuyển khoản",$M2410=""),"Thiếu ngày nhận CK; ",""))</f>
        <v/>
      </c>
      <c r="T2410" s="24" t="n"/>
    </row>
    <row r="2411" ht="14.25" customHeight="1" s="40">
      <c r="A2411" s="24" t="n"/>
      <c r="B2411" s="29" t="n"/>
      <c r="C2411" s="28" t="n"/>
      <c r="D2411" s="22">
        <f t="array" ref="D2411">IF($C2411="","",IFERROR(INDEX(DATA_MASTER!$C$2:$C$5000,MATCH($C2411,DATA_MASTER!$D$2:$D$5000,0)),""))</f>
        <v/>
      </c>
      <c r="E2411" s="22">
        <f t="array" ref="E2411">IF($C2411="","",IFERROR(INDEX(DATA_MASTER!$I$2:$I$5000,MATCH($C2411,DATA_MASTER!$D$2:$D$5000,0)),""))</f>
        <v/>
      </c>
      <c r="F2411" s="22">
        <f t="array" ref="F2411">IF($C2411="","",IFERROR(INDEX(DATA_MASTER!$L$2:$L$5000,MATCH($C2411,DATA_MASTER!$D$2:$D$5000,0)),""))</f>
        <v/>
      </c>
      <c r="G2411" s="24" t="n"/>
      <c r="H2411" s="24" t="n"/>
      <c r="I2411" s="30" t="n"/>
      <c r="J2411" s="23">
        <f>IF(OR($H2411="",$I2411=""),"",$H2411*$I2411)</f>
        <v/>
      </c>
      <c r="K2411" s="24" t="n"/>
      <c r="L2411" s="24" t="n"/>
      <c r="M2411" s="29" t="n"/>
      <c r="N2411" s="28" t="n"/>
      <c r="O2411" s="24" t="n"/>
      <c r="P2411" s="24" t="n"/>
      <c r="Q2411" s="24" t="n"/>
      <c r="R2411" s="24" t="n"/>
      <c r="S2411" s="22">
        <f>IF(AND($A2411="",$C2411=""),"",IF($A2411="","Thiếu mã đơn; ","")&amp;IF(COUNTIF($A$2:$A2411,$A2411)&gt;1,"Trùng mã đơn; ","")&amp;IF(ISNA(MATCH($C2411,DATA_MASTER!$D$2:$D$5000,0)),"SĐT chưa đăng ký hội viên; ","")&amp;IF(AND($L2411="Đã chuyển khoản",$M2411=""),"Thiếu ngày nhận CK; ",""))</f>
        <v/>
      </c>
      <c r="T2411" s="24" t="n"/>
    </row>
    <row r="2412" ht="14.25" customHeight="1" s="40">
      <c r="A2412" s="24" t="n"/>
      <c r="B2412" s="29" t="n"/>
      <c r="C2412" s="28" t="n"/>
      <c r="D2412" s="22">
        <f t="array" ref="D2412">IF($C2412="","",IFERROR(INDEX(DATA_MASTER!$C$2:$C$5000,MATCH($C2412,DATA_MASTER!$D$2:$D$5000,0)),""))</f>
        <v/>
      </c>
      <c r="E2412" s="22">
        <f t="array" ref="E2412">IF($C2412="","",IFERROR(INDEX(DATA_MASTER!$I$2:$I$5000,MATCH($C2412,DATA_MASTER!$D$2:$D$5000,0)),""))</f>
        <v/>
      </c>
      <c r="F2412" s="22">
        <f t="array" ref="F2412">IF($C2412="","",IFERROR(INDEX(DATA_MASTER!$L$2:$L$5000,MATCH($C2412,DATA_MASTER!$D$2:$D$5000,0)),""))</f>
        <v/>
      </c>
      <c r="G2412" s="24" t="n"/>
      <c r="H2412" s="24" t="n"/>
      <c r="I2412" s="30" t="n"/>
      <c r="J2412" s="23">
        <f>IF(OR($H2412="",$I2412=""),"",$H2412*$I2412)</f>
        <v/>
      </c>
      <c r="K2412" s="24" t="n"/>
      <c r="L2412" s="24" t="n"/>
      <c r="M2412" s="29" t="n"/>
      <c r="N2412" s="28" t="n"/>
      <c r="O2412" s="24" t="n"/>
      <c r="P2412" s="24" t="n"/>
      <c r="Q2412" s="24" t="n"/>
      <c r="R2412" s="24" t="n"/>
      <c r="S2412" s="22">
        <f>IF(AND($A2412="",$C2412=""),"",IF($A2412="","Thiếu mã đơn; ","")&amp;IF(COUNTIF($A$2:$A2412,$A2412)&gt;1,"Trùng mã đơn; ","")&amp;IF(ISNA(MATCH($C2412,DATA_MASTER!$D$2:$D$5000,0)),"SĐT chưa đăng ký hội viên; ","")&amp;IF(AND($L2412="Đã chuyển khoản",$M2412=""),"Thiếu ngày nhận CK; ",""))</f>
        <v/>
      </c>
      <c r="T2412" s="24" t="n"/>
    </row>
    <row r="2413" ht="14.25" customHeight="1" s="40">
      <c r="A2413" s="24" t="n"/>
      <c r="B2413" s="29" t="n"/>
      <c r="C2413" s="28" t="n"/>
      <c r="D2413" s="22">
        <f t="array" ref="D2413">IF($C2413="","",IFERROR(INDEX(DATA_MASTER!$C$2:$C$5000,MATCH($C2413,DATA_MASTER!$D$2:$D$5000,0)),""))</f>
        <v/>
      </c>
      <c r="E2413" s="22">
        <f t="array" ref="E2413">IF($C2413="","",IFERROR(INDEX(DATA_MASTER!$I$2:$I$5000,MATCH($C2413,DATA_MASTER!$D$2:$D$5000,0)),""))</f>
        <v/>
      </c>
      <c r="F2413" s="22">
        <f t="array" ref="F2413">IF($C2413="","",IFERROR(INDEX(DATA_MASTER!$L$2:$L$5000,MATCH($C2413,DATA_MASTER!$D$2:$D$5000,0)),""))</f>
        <v/>
      </c>
      <c r="G2413" s="24" t="n"/>
      <c r="H2413" s="24" t="n"/>
      <c r="I2413" s="30" t="n"/>
      <c r="J2413" s="23">
        <f>IF(OR($H2413="",$I2413=""),"",$H2413*$I2413)</f>
        <v/>
      </c>
      <c r="K2413" s="24" t="n"/>
      <c r="L2413" s="24" t="n"/>
      <c r="M2413" s="29" t="n"/>
      <c r="N2413" s="28" t="n"/>
      <c r="O2413" s="24" t="n"/>
      <c r="P2413" s="24" t="n"/>
      <c r="Q2413" s="24" t="n"/>
      <c r="R2413" s="24" t="n"/>
      <c r="S2413" s="22">
        <f>IF(AND($A2413="",$C2413=""),"",IF($A2413="","Thiếu mã đơn; ","")&amp;IF(COUNTIF($A$2:$A2413,$A2413)&gt;1,"Trùng mã đơn; ","")&amp;IF(ISNA(MATCH($C2413,DATA_MASTER!$D$2:$D$5000,0)),"SĐT chưa đăng ký hội viên; ","")&amp;IF(AND($L2413="Đã chuyển khoản",$M2413=""),"Thiếu ngày nhận CK; ",""))</f>
        <v/>
      </c>
      <c r="T2413" s="24" t="n"/>
    </row>
    <row r="2414" ht="14.25" customHeight="1" s="40">
      <c r="A2414" s="24" t="n"/>
      <c r="B2414" s="29" t="n"/>
      <c r="C2414" s="28" t="n"/>
      <c r="D2414" s="22">
        <f t="array" ref="D2414">IF($C2414="","",IFERROR(INDEX(DATA_MASTER!$C$2:$C$5000,MATCH($C2414,DATA_MASTER!$D$2:$D$5000,0)),""))</f>
        <v/>
      </c>
      <c r="E2414" s="22">
        <f t="array" ref="E2414">IF($C2414="","",IFERROR(INDEX(DATA_MASTER!$I$2:$I$5000,MATCH($C2414,DATA_MASTER!$D$2:$D$5000,0)),""))</f>
        <v/>
      </c>
      <c r="F2414" s="22">
        <f t="array" ref="F2414">IF($C2414="","",IFERROR(INDEX(DATA_MASTER!$L$2:$L$5000,MATCH($C2414,DATA_MASTER!$D$2:$D$5000,0)),""))</f>
        <v/>
      </c>
      <c r="G2414" s="24" t="n"/>
      <c r="H2414" s="24" t="n"/>
      <c r="I2414" s="30" t="n"/>
      <c r="J2414" s="23">
        <f>IF(OR($H2414="",$I2414=""),"",$H2414*$I2414)</f>
        <v/>
      </c>
      <c r="K2414" s="24" t="n"/>
      <c r="L2414" s="24" t="n"/>
      <c r="M2414" s="29" t="n"/>
      <c r="N2414" s="28" t="n"/>
      <c r="O2414" s="24" t="n"/>
      <c r="P2414" s="24" t="n"/>
      <c r="Q2414" s="24" t="n"/>
      <c r="R2414" s="24" t="n"/>
      <c r="S2414" s="22">
        <f>IF(AND($A2414="",$C2414=""),"",IF($A2414="","Thiếu mã đơn; ","")&amp;IF(COUNTIF($A$2:$A2414,$A2414)&gt;1,"Trùng mã đơn; ","")&amp;IF(ISNA(MATCH($C2414,DATA_MASTER!$D$2:$D$5000,0)),"SĐT chưa đăng ký hội viên; ","")&amp;IF(AND($L2414="Đã chuyển khoản",$M2414=""),"Thiếu ngày nhận CK; ",""))</f>
        <v/>
      </c>
      <c r="T2414" s="24" t="n"/>
    </row>
    <row r="2415" ht="14.25" customHeight="1" s="40">
      <c r="A2415" s="24" t="n"/>
      <c r="B2415" s="29" t="n"/>
      <c r="C2415" s="28" t="n"/>
      <c r="D2415" s="22">
        <f t="array" ref="D2415">IF($C2415="","",IFERROR(INDEX(DATA_MASTER!$C$2:$C$5000,MATCH($C2415,DATA_MASTER!$D$2:$D$5000,0)),""))</f>
        <v/>
      </c>
      <c r="E2415" s="22">
        <f t="array" ref="E2415">IF($C2415="","",IFERROR(INDEX(DATA_MASTER!$I$2:$I$5000,MATCH($C2415,DATA_MASTER!$D$2:$D$5000,0)),""))</f>
        <v/>
      </c>
      <c r="F2415" s="22">
        <f t="array" ref="F2415">IF($C2415="","",IFERROR(INDEX(DATA_MASTER!$L$2:$L$5000,MATCH($C2415,DATA_MASTER!$D$2:$D$5000,0)),""))</f>
        <v/>
      </c>
      <c r="G2415" s="24" t="n"/>
      <c r="H2415" s="24" t="n"/>
      <c r="I2415" s="30" t="n"/>
      <c r="J2415" s="23">
        <f>IF(OR($H2415="",$I2415=""),"",$H2415*$I2415)</f>
        <v/>
      </c>
      <c r="K2415" s="24" t="n"/>
      <c r="L2415" s="24" t="n"/>
      <c r="M2415" s="29" t="n"/>
      <c r="N2415" s="28" t="n"/>
      <c r="O2415" s="24" t="n"/>
      <c r="P2415" s="24" t="n"/>
      <c r="Q2415" s="24" t="n"/>
      <c r="R2415" s="24" t="n"/>
      <c r="S2415" s="22">
        <f>IF(AND($A2415="",$C2415=""),"",IF($A2415="","Thiếu mã đơn; ","")&amp;IF(COUNTIF($A$2:$A2415,$A2415)&gt;1,"Trùng mã đơn; ","")&amp;IF(ISNA(MATCH($C2415,DATA_MASTER!$D$2:$D$5000,0)),"SĐT chưa đăng ký hội viên; ","")&amp;IF(AND($L2415="Đã chuyển khoản",$M2415=""),"Thiếu ngày nhận CK; ",""))</f>
        <v/>
      </c>
      <c r="T2415" s="24" t="n"/>
    </row>
    <row r="2416" ht="14.25" customHeight="1" s="40">
      <c r="A2416" s="24" t="n"/>
      <c r="B2416" s="29" t="n"/>
      <c r="C2416" s="28" t="n"/>
      <c r="D2416" s="22">
        <f t="array" ref="D2416">IF($C2416="","",IFERROR(INDEX(DATA_MASTER!$C$2:$C$5000,MATCH($C2416,DATA_MASTER!$D$2:$D$5000,0)),""))</f>
        <v/>
      </c>
      <c r="E2416" s="22">
        <f t="array" ref="E2416">IF($C2416="","",IFERROR(INDEX(DATA_MASTER!$I$2:$I$5000,MATCH($C2416,DATA_MASTER!$D$2:$D$5000,0)),""))</f>
        <v/>
      </c>
      <c r="F2416" s="22">
        <f t="array" ref="F2416">IF($C2416="","",IFERROR(INDEX(DATA_MASTER!$L$2:$L$5000,MATCH($C2416,DATA_MASTER!$D$2:$D$5000,0)),""))</f>
        <v/>
      </c>
      <c r="G2416" s="24" t="n"/>
      <c r="H2416" s="24" t="n"/>
      <c r="I2416" s="30" t="n"/>
      <c r="J2416" s="23">
        <f>IF(OR($H2416="",$I2416=""),"",$H2416*$I2416)</f>
        <v/>
      </c>
      <c r="K2416" s="24" t="n"/>
      <c r="L2416" s="24" t="n"/>
      <c r="M2416" s="29" t="n"/>
      <c r="N2416" s="28" t="n"/>
      <c r="O2416" s="24" t="n"/>
      <c r="P2416" s="24" t="n"/>
      <c r="Q2416" s="24" t="n"/>
      <c r="R2416" s="24" t="n"/>
      <c r="S2416" s="22">
        <f>IF(AND($A2416="",$C2416=""),"",IF($A2416="","Thiếu mã đơn; ","")&amp;IF(COUNTIF($A$2:$A2416,$A2416)&gt;1,"Trùng mã đơn; ","")&amp;IF(ISNA(MATCH($C2416,DATA_MASTER!$D$2:$D$5000,0)),"SĐT chưa đăng ký hội viên; ","")&amp;IF(AND($L2416="Đã chuyển khoản",$M2416=""),"Thiếu ngày nhận CK; ",""))</f>
        <v/>
      </c>
      <c r="T2416" s="24" t="n"/>
    </row>
    <row r="2417" ht="14.25" customHeight="1" s="40">
      <c r="A2417" s="24" t="n"/>
      <c r="B2417" s="29" t="n"/>
      <c r="C2417" s="28" t="n"/>
      <c r="D2417" s="22">
        <f t="array" ref="D2417">IF($C2417="","",IFERROR(INDEX(DATA_MASTER!$C$2:$C$5000,MATCH($C2417,DATA_MASTER!$D$2:$D$5000,0)),""))</f>
        <v/>
      </c>
      <c r="E2417" s="22">
        <f t="array" ref="E2417">IF($C2417="","",IFERROR(INDEX(DATA_MASTER!$I$2:$I$5000,MATCH($C2417,DATA_MASTER!$D$2:$D$5000,0)),""))</f>
        <v/>
      </c>
      <c r="F2417" s="22">
        <f t="array" ref="F2417">IF($C2417="","",IFERROR(INDEX(DATA_MASTER!$L$2:$L$5000,MATCH($C2417,DATA_MASTER!$D$2:$D$5000,0)),""))</f>
        <v/>
      </c>
      <c r="G2417" s="24" t="n"/>
      <c r="H2417" s="24" t="n"/>
      <c r="I2417" s="30" t="n"/>
      <c r="J2417" s="23">
        <f>IF(OR($H2417="",$I2417=""),"",$H2417*$I2417)</f>
        <v/>
      </c>
      <c r="K2417" s="24" t="n"/>
      <c r="L2417" s="24" t="n"/>
      <c r="M2417" s="29" t="n"/>
      <c r="N2417" s="28" t="n"/>
      <c r="O2417" s="24" t="n"/>
      <c r="P2417" s="24" t="n"/>
      <c r="Q2417" s="24" t="n"/>
      <c r="R2417" s="24" t="n"/>
      <c r="S2417" s="22">
        <f>IF(AND($A2417="",$C2417=""),"",IF($A2417="","Thiếu mã đơn; ","")&amp;IF(COUNTIF($A$2:$A2417,$A2417)&gt;1,"Trùng mã đơn; ","")&amp;IF(ISNA(MATCH($C2417,DATA_MASTER!$D$2:$D$5000,0)),"SĐT chưa đăng ký hội viên; ","")&amp;IF(AND($L2417="Đã chuyển khoản",$M2417=""),"Thiếu ngày nhận CK; ",""))</f>
        <v/>
      </c>
      <c r="T2417" s="24" t="n"/>
    </row>
    <row r="2418" ht="14.25" customHeight="1" s="40">
      <c r="A2418" s="24" t="n"/>
      <c r="B2418" s="29" t="n"/>
      <c r="C2418" s="28" t="n"/>
      <c r="D2418" s="22">
        <f t="array" ref="D2418">IF($C2418="","",IFERROR(INDEX(DATA_MASTER!$C$2:$C$5000,MATCH($C2418,DATA_MASTER!$D$2:$D$5000,0)),""))</f>
        <v/>
      </c>
      <c r="E2418" s="22">
        <f t="array" ref="E2418">IF($C2418="","",IFERROR(INDEX(DATA_MASTER!$I$2:$I$5000,MATCH($C2418,DATA_MASTER!$D$2:$D$5000,0)),""))</f>
        <v/>
      </c>
      <c r="F2418" s="22">
        <f t="array" ref="F2418">IF($C2418="","",IFERROR(INDEX(DATA_MASTER!$L$2:$L$5000,MATCH($C2418,DATA_MASTER!$D$2:$D$5000,0)),""))</f>
        <v/>
      </c>
      <c r="G2418" s="24" t="n"/>
      <c r="H2418" s="24" t="n"/>
      <c r="I2418" s="30" t="n"/>
      <c r="J2418" s="23">
        <f>IF(OR($H2418="",$I2418=""),"",$H2418*$I2418)</f>
        <v/>
      </c>
      <c r="K2418" s="24" t="n"/>
      <c r="L2418" s="24" t="n"/>
      <c r="M2418" s="29" t="n"/>
      <c r="N2418" s="28" t="n"/>
      <c r="O2418" s="24" t="n"/>
      <c r="P2418" s="24" t="n"/>
      <c r="Q2418" s="24" t="n"/>
      <c r="R2418" s="24" t="n"/>
      <c r="S2418" s="22">
        <f>IF(AND($A2418="",$C2418=""),"",IF($A2418="","Thiếu mã đơn; ","")&amp;IF(COUNTIF($A$2:$A2418,$A2418)&gt;1,"Trùng mã đơn; ","")&amp;IF(ISNA(MATCH($C2418,DATA_MASTER!$D$2:$D$5000,0)),"SĐT chưa đăng ký hội viên; ","")&amp;IF(AND($L2418="Đã chuyển khoản",$M2418=""),"Thiếu ngày nhận CK; ",""))</f>
        <v/>
      </c>
      <c r="T2418" s="24" t="n"/>
    </row>
    <row r="2419" ht="14.25" customHeight="1" s="40">
      <c r="A2419" s="24" t="n"/>
      <c r="B2419" s="29" t="n"/>
      <c r="C2419" s="28" t="n"/>
      <c r="D2419" s="22">
        <f t="array" ref="D2419">IF($C2419="","",IFERROR(INDEX(DATA_MASTER!$C$2:$C$5000,MATCH($C2419,DATA_MASTER!$D$2:$D$5000,0)),""))</f>
        <v/>
      </c>
      <c r="E2419" s="22">
        <f t="array" ref="E2419">IF($C2419="","",IFERROR(INDEX(DATA_MASTER!$I$2:$I$5000,MATCH($C2419,DATA_MASTER!$D$2:$D$5000,0)),""))</f>
        <v/>
      </c>
      <c r="F2419" s="22">
        <f t="array" ref="F2419">IF($C2419="","",IFERROR(INDEX(DATA_MASTER!$L$2:$L$5000,MATCH($C2419,DATA_MASTER!$D$2:$D$5000,0)),""))</f>
        <v/>
      </c>
      <c r="G2419" s="24" t="n"/>
      <c r="H2419" s="24" t="n"/>
      <c r="I2419" s="30" t="n"/>
      <c r="J2419" s="23">
        <f>IF(OR($H2419="",$I2419=""),"",$H2419*$I2419)</f>
        <v/>
      </c>
      <c r="K2419" s="24" t="n"/>
      <c r="L2419" s="24" t="n"/>
      <c r="M2419" s="29" t="n"/>
      <c r="N2419" s="28" t="n"/>
      <c r="O2419" s="24" t="n"/>
      <c r="P2419" s="24" t="n"/>
      <c r="Q2419" s="24" t="n"/>
      <c r="R2419" s="24" t="n"/>
      <c r="S2419" s="22">
        <f>IF(AND($A2419="",$C2419=""),"",IF($A2419="","Thiếu mã đơn; ","")&amp;IF(COUNTIF($A$2:$A2419,$A2419)&gt;1,"Trùng mã đơn; ","")&amp;IF(ISNA(MATCH($C2419,DATA_MASTER!$D$2:$D$5000,0)),"SĐT chưa đăng ký hội viên; ","")&amp;IF(AND($L2419="Đã chuyển khoản",$M2419=""),"Thiếu ngày nhận CK; ",""))</f>
        <v/>
      </c>
      <c r="T2419" s="24" t="n"/>
    </row>
    <row r="2420" ht="14.25" customHeight="1" s="40">
      <c r="A2420" s="24" t="n"/>
      <c r="B2420" s="29" t="n"/>
      <c r="C2420" s="28" t="n"/>
      <c r="D2420" s="22">
        <f t="array" ref="D2420">IF($C2420="","",IFERROR(INDEX(DATA_MASTER!$C$2:$C$5000,MATCH($C2420,DATA_MASTER!$D$2:$D$5000,0)),""))</f>
        <v/>
      </c>
      <c r="E2420" s="22">
        <f t="array" ref="E2420">IF($C2420="","",IFERROR(INDEX(DATA_MASTER!$I$2:$I$5000,MATCH($C2420,DATA_MASTER!$D$2:$D$5000,0)),""))</f>
        <v/>
      </c>
      <c r="F2420" s="22">
        <f t="array" ref="F2420">IF($C2420="","",IFERROR(INDEX(DATA_MASTER!$L$2:$L$5000,MATCH($C2420,DATA_MASTER!$D$2:$D$5000,0)),""))</f>
        <v/>
      </c>
      <c r="G2420" s="24" t="n"/>
      <c r="H2420" s="24" t="n"/>
      <c r="I2420" s="30" t="n"/>
      <c r="J2420" s="23">
        <f>IF(OR($H2420="",$I2420=""),"",$H2420*$I2420)</f>
        <v/>
      </c>
      <c r="K2420" s="24" t="n"/>
      <c r="L2420" s="24" t="n"/>
      <c r="M2420" s="29" t="n"/>
      <c r="N2420" s="28" t="n"/>
      <c r="O2420" s="24" t="n"/>
      <c r="P2420" s="24" t="n"/>
      <c r="Q2420" s="24" t="n"/>
      <c r="R2420" s="24" t="n"/>
      <c r="S2420" s="22">
        <f>IF(AND($A2420="",$C2420=""),"",IF($A2420="","Thiếu mã đơn; ","")&amp;IF(COUNTIF($A$2:$A2420,$A2420)&gt;1,"Trùng mã đơn; ","")&amp;IF(ISNA(MATCH($C2420,DATA_MASTER!$D$2:$D$5000,0)),"SĐT chưa đăng ký hội viên; ","")&amp;IF(AND($L2420="Đã chuyển khoản",$M2420=""),"Thiếu ngày nhận CK; ",""))</f>
        <v/>
      </c>
      <c r="T2420" s="24" t="n"/>
    </row>
    <row r="2421" ht="14.25" customHeight="1" s="40">
      <c r="A2421" s="24" t="n"/>
      <c r="B2421" s="29" t="n"/>
      <c r="C2421" s="28" t="n"/>
      <c r="D2421" s="22">
        <f t="array" ref="D2421">IF($C2421="","",IFERROR(INDEX(DATA_MASTER!$C$2:$C$5000,MATCH($C2421,DATA_MASTER!$D$2:$D$5000,0)),""))</f>
        <v/>
      </c>
      <c r="E2421" s="22">
        <f t="array" ref="E2421">IF($C2421="","",IFERROR(INDEX(DATA_MASTER!$I$2:$I$5000,MATCH($C2421,DATA_MASTER!$D$2:$D$5000,0)),""))</f>
        <v/>
      </c>
      <c r="F2421" s="22">
        <f t="array" ref="F2421">IF($C2421="","",IFERROR(INDEX(DATA_MASTER!$L$2:$L$5000,MATCH($C2421,DATA_MASTER!$D$2:$D$5000,0)),""))</f>
        <v/>
      </c>
      <c r="G2421" s="24" t="n"/>
      <c r="H2421" s="24" t="n"/>
      <c r="I2421" s="30" t="n"/>
      <c r="J2421" s="23">
        <f>IF(OR($H2421="",$I2421=""),"",$H2421*$I2421)</f>
        <v/>
      </c>
      <c r="K2421" s="24" t="n"/>
      <c r="L2421" s="24" t="n"/>
      <c r="M2421" s="29" t="n"/>
      <c r="N2421" s="28" t="n"/>
      <c r="O2421" s="24" t="n"/>
      <c r="P2421" s="24" t="n"/>
      <c r="Q2421" s="24" t="n"/>
      <c r="R2421" s="24" t="n"/>
      <c r="S2421" s="22">
        <f>IF(AND($A2421="",$C2421=""),"",IF($A2421="","Thiếu mã đơn; ","")&amp;IF(COUNTIF($A$2:$A2421,$A2421)&gt;1,"Trùng mã đơn; ","")&amp;IF(ISNA(MATCH($C2421,DATA_MASTER!$D$2:$D$5000,0)),"SĐT chưa đăng ký hội viên; ","")&amp;IF(AND($L2421="Đã chuyển khoản",$M2421=""),"Thiếu ngày nhận CK; ",""))</f>
        <v/>
      </c>
      <c r="T2421" s="24" t="n"/>
    </row>
    <row r="2422" ht="14.25" customHeight="1" s="40">
      <c r="A2422" s="24" t="n"/>
      <c r="B2422" s="29" t="n"/>
      <c r="C2422" s="28" t="n"/>
      <c r="D2422" s="22">
        <f t="array" ref="D2422">IF($C2422="","",IFERROR(INDEX(DATA_MASTER!$C$2:$C$5000,MATCH($C2422,DATA_MASTER!$D$2:$D$5000,0)),""))</f>
        <v/>
      </c>
      <c r="E2422" s="22">
        <f t="array" ref="E2422">IF($C2422="","",IFERROR(INDEX(DATA_MASTER!$I$2:$I$5000,MATCH($C2422,DATA_MASTER!$D$2:$D$5000,0)),""))</f>
        <v/>
      </c>
      <c r="F2422" s="22">
        <f t="array" ref="F2422">IF($C2422="","",IFERROR(INDEX(DATA_MASTER!$L$2:$L$5000,MATCH($C2422,DATA_MASTER!$D$2:$D$5000,0)),""))</f>
        <v/>
      </c>
      <c r="G2422" s="24" t="n"/>
      <c r="H2422" s="24" t="n"/>
      <c r="I2422" s="30" t="n"/>
      <c r="J2422" s="23">
        <f>IF(OR($H2422="",$I2422=""),"",$H2422*$I2422)</f>
        <v/>
      </c>
      <c r="K2422" s="24" t="n"/>
      <c r="L2422" s="24" t="n"/>
      <c r="M2422" s="29" t="n"/>
      <c r="N2422" s="28" t="n"/>
      <c r="O2422" s="24" t="n"/>
      <c r="P2422" s="24" t="n"/>
      <c r="Q2422" s="24" t="n"/>
      <c r="R2422" s="24" t="n"/>
      <c r="S2422" s="22">
        <f>IF(AND($A2422="",$C2422=""),"",IF($A2422="","Thiếu mã đơn; ","")&amp;IF(COUNTIF($A$2:$A2422,$A2422)&gt;1,"Trùng mã đơn; ","")&amp;IF(ISNA(MATCH($C2422,DATA_MASTER!$D$2:$D$5000,0)),"SĐT chưa đăng ký hội viên; ","")&amp;IF(AND($L2422="Đã chuyển khoản",$M2422=""),"Thiếu ngày nhận CK; ",""))</f>
        <v/>
      </c>
      <c r="T2422" s="24" t="n"/>
    </row>
    <row r="2423" ht="14.25" customHeight="1" s="40">
      <c r="A2423" s="24" t="n"/>
      <c r="B2423" s="29" t="n"/>
      <c r="C2423" s="28" t="n"/>
      <c r="D2423" s="22">
        <f t="array" ref="D2423">IF($C2423="","",IFERROR(INDEX(DATA_MASTER!$C$2:$C$5000,MATCH($C2423,DATA_MASTER!$D$2:$D$5000,0)),""))</f>
        <v/>
      </c>
      <c r="E2423" s="22">
        <f t="array" ref="E2423">IF($C2423="","",IFERROR(INDEX(DATA_MASTER!$I$2:$I$5000,MATCH($C2423,DATA_MASTER!$D$2:$D$5000,0)),""))</f>
        <v/>
      </c>
      <c r="F2423" s="22">
        <f t="array" ref="F2423">IF($C2423="","",IFERROR(INDEX(DATA_MASTER!$L$2:$L$5000,MATCH($C2423,DATA_MASTER!$D$2:$D$5000,0)),""))</f>
        <v/>
      </c>
      <c r="G2423" s="24" t="n"/>
      <c r="H2423" s="24" t="n"/>
      <c r="I2423" s="30" t="n"/>
      <c r="J2423" s="23">
        <f>IF(OR($H2423="",$I2423=""),"",$H2423*$I2423)</f>
        <v/>
      </c>
      <c r="K2423" s="24" t="n"/>
      <c r="L2423" s="24" t="n"/>
      <c r="M2423" s="29" t="n"/>
      <c r="N2423" s="28" t="n"/>
      <c r="O2423" s="24" t="n"/>
      <c r="P2423" s="24" t="n"/>
      <c r="Q2423" s="24" t="n"/>
      <c r="R2423" s="24" t="n"/>
      <c r="S2423" s="22">
        <f>IF(AND($A2423="",$C2423=""),"",IF($A2423="","Thiếu mã đơn; ","")&amp;IF(COUNTIF($A$2:$A2423,$A2423)&gt;1,"Trùng mã đơn; ","")&amp;IF(ISNA(MATCH($C2423,DATA_MASTER!$D$2:$D$5000,0)),"SĐT chưa đăng ký hội viên; ","")&amp;IF(AND($L2423="Đã chuyển khoản",$M2423=""),"Thiếu ngày nhận CK; ",""))</f>
        <v/>
      </c>
      <c r="T2423" s="24" t="n"/>
    </row>
    <row r="2424" ht="14.25" customHeight="1" s="40">
      <c r="A2424" s="24" t="n"/>
      <c r="B2424" s="29" t="n"/>
      <c r="C2424" s="28" t="n"/>
      <c r="D2424" s="22">
        <f t="array" ref="D2424">IF($C2424="","",IFERROR(INDEX(DATA_MASTER!$C$2:$C$5000,MATCH($C2424,DATA_MASTER!$D$2:$D$5000,0)),""))</f>
        <v/>
      </c>
      <c r="E2424" s="22">
        <f t="array" ref="E2424">IF($C2424="","",IFERROR(INDEX(DATA_MASTER!$I$2:$I$5000,MATCH($C2424,DATA_MASTER!$D$2:$D$5000,0)),""))</f>
        <v/>
      </c>
      <c r="F2424" s="22">
        <f t="array" ref="F2424">IF($C2424="","",IFERROR(INDEX(DATA_MASTER!$L$2:$L$5000,MATCH($C2424,DATA_MASTER!$D$2:$D$5000,0)),""))</f>
        <v/>
      </c>
      <c r="G2424" s="24" t="n"/>
      <c r="H2424" s="24" t="n"/>
      <c r="I2424" s="30" t="n"/>
      <c r="J2424" s="23">
        <f>IF(OR($H2424="",$I2424=""),"",$H2424*$I2424)</f>
        <v/>
      </c>
      <c r="K2424" s="24" t="n"/>
      <c r="L2424" s="24" t="n"/>
      <c r="M2424" s="29" t="n"/>
      <c r="N2424" s="28" t="n"/>
      <c r="O2424" s="24" t="n"/>
      <c r="P2424" s="24" t="n"/>
      <c r="Q2424" s="24" t="n"/>
      <c r="R2424" s="24" t="n"/>
      <c r="S2424" s="22">
        <f>IF(AND($A2424="",$C2424=""),"",IF($A2424="","Thiếu mã đơn; ","")&amp;IF(COUNTIF($A$2:$A2424,$A2424)&gt;1,"Trùng mã đơn; ","")&amp;IF(ISNA(MATCH($C2424,DATA_MASTER!$D$2:$D$5000,0)),"SĐT chưa đăng ký hội viên; ","")&amp;IF(AND($L2424="Đã chuyển khoản",$M2424=""),"Thiếu ngày nhận CK; ",""))</f>
        <v/>
      </c>
      <c r="T2424" s="24" t="n"/>
    </row>
    <row r="2425" ht="14.25" customHeight="1" s="40">
      <c r="A2425" s="24" t="n"/>
      <c r="B2425" s="29" t="n"/>
      <c r="C2425" s="28" t="n"/>
      <c r="D2425" s="22">
        <f t="array" ref="D2425">IF($C2425="","",IFERROR(INDEX(DATA_MASTER!$C$2:$C$5000,MATCH($C2425,DATA_MASTER!$D$2:$D$5000,0)),""))</f>
        <v/>
      </c>
      <c r="E2425" s="22">
        <f t="array" ref="E2425">IF($C2425="","",IFERROR(INDEX(DATA_MASTER!$I$2:$I$5000,MATCH($C2425,DATA_MASTER!$D$2:$D$5000,0)),""))</f>
        <v/>
      </c>
      <c r="F2425" s="22">
        <f t="array" ref="F2425">IF($C2425="","",IFERROR(INDEX(DATA_MASTER!$L$2:$L$5000,MATCH($C2425,DATA_MASTER!$D$2:$D$5000,0)),""))</f>
        <v/>
      </c>
      <c r="G2425" s="24" t="n"/>
      <c r="H2425" s="24" t="n"/>
      <c r="I2425" s="30" t="n"/>
      <c r="J2425" s="23">
        <f>IF(OR($H2425="",$I2425=""),"",$H2425*$I2425)</f>
        <v/>
      </c>
      <c r="K2425" s="24" t="n"/>
      <c r="L2425" s="24" t="n"/>
      <c r="M2425" s="29" t="n"/>
      <c r="N2425" s="28" t="n"/>
      <c r="O2425" s="24" t="n"/>
      <c r="P2425" s="24" t="n"/>
      <c r="Q2425" s="24" t="n"/>
      <c r="R2425" s="24" t="n"/>
      <c r="S2425" s="22">
        <f>IF(AND($A2425="",$C2425=""),"",IF($A2425="","Thiếu mã đơn; ","")&amp;IF(COUNTIF($A$2:$A2425,$A2425)&gt;1,"Trùng mã đơn; ","")&amp;IF(ISNA(MATCH($C2425,DATA_MASTER!$D$2:$D$5000,0)),"SĐT chưa đăng ký hội viên; ","")&amp;IF(AND($L2425="Đã chuyển khoản",$M2425=""),"Thiếu ngày nhận CK; ",""))</f>
        <v/>
      </c>
      <c r="T2425" s="24" t="n"/>
    </row>
    <row r="2426" ht="14.25" customHeight="1" s="40">
      <c r="A2426" s="24" t="n"/>
      <c r="B2426" s="29" t="n"/>
      <c r="C2426" s="28" t="n"/>
      <c r="D2426" s="22">
        <f t="array" ref="D2426">IF($C2426="","",IFERROR(INDEX(DATA_MASTER!$C$2:$C$5000,MATCH($C2426,DATA_MASTER!$D$2:$D$5000,0)),""))</f>
        <v/>
      </c>
      <c r="E2426" s="22">
        <f t="array" ref="E2426">IF($C2426="","",IFERROR(INDEX(DATA_MASTER!$I$2:$I$5000,MATCH($C2426,DATA_MASTER!$D$2:$D$5000,0)),""))</f>
        <v/>
      </c>
      <c r="F2426" s="22">
        <f t="array" ref="F2426">IF($C2426="","",IFERROR(INDEX(DATA_MASTER!$L$2:$L$5000,MATCH($C2426,DATA_MASTER!$D$2:$D$5000,0)),""))</f>
        <v/>
      </c>
      <c r="G2426" s="24" t="n"/>
      <c r="H2426" s="24" t="n"/>
      <c r="I2426" s="30" t="n"/>
      <c r="J2426" s="23">
        <f>IF(OR($H2426="",$I2426=""),"",$H2426*$I2426)</f>
        <v/>
      </c>
      <c r="K2426" s="24" t="n"/>
      <c r="L2426" s="24" t="n"/>
      <c r="M2426" s="29" t="n"/>
      <c r="N2426" s="28" t="n"/>
      <c r="O2426" s="24" t="n"/>
      <c r="P2426" s="24" t="n"/>
      <c r="Q2426" s="24" t="n"/>
      <c r="R2426" s="24" t="n"/>
      <c r="S2426" s="22">
        <f>IF(AND($A2426="",$C2426=""),"",IF($A2426="","Thiếu mã đơn; ","")&amp;IF(COUNTIF($A$2:$A2426,$A2426)&gt;1,"Trùng mã đơn; ","")&amp;IF(ISNA(MATCH($C2426,DATA_MASTER!$D$2:$D$5000,0)),"SĐT chưa đăng ký hội viên; ","")&amp;IF(AND($L2426="Đã chuyển khoản",$M2426=""),"Thiếu ngày nhận CK; ",""))</f>
        <v/>
      </c>
      <c r="T2426" s="24" t="n"/>
    </row>
    <row r="2427" ht="14.25" customHeight="1" s="40">
      <c r="A2427" s="24" t="n"/>
      <c r="B2427" s="29" t="n"/>
      <c r="C2427" s="28" t="n"/>
      <c r="D2427" s="22">
        <f t="array" ref="D2427">IF($C2427="","",IFERROR(INDEX(DATA_MASTER!$C$2:$C$5000,MATCH($C2427,DATA_MASTER!$D$2:$D$5000,0)),""))</f>
        <v/>
      </c>
      <c r="E2427" s="22">
        <f t="array" ref="E2427">IF($C2427="","",IFERROR(INDEX(DATA_MASTER!$I$2:$I$5000,MATCH($C2427,DATA_MASTER!$D$2:$D$5000,0)),""))</f>
        <v/>
      </c>
      <c r="F2427" s="22">
        <f t="array" ref="F2427">IF($C2427="","",IFERROR(INDEX(DATA_MASTER!$L$2:$L$5000,MATCH($C2427,DATA_MASTER!$D$2:$D$5000,0)),""))</f>
        <v/>
      </c>
      <c r="G2427" s="24" t="n"/>
      <c r="H2427" s="24" t="n"/>
      <c r="I2427" s="30" t="n"/>
      <c r="J2427" s="23">
        <f>IF(OR($H2427="",$I2427=""),"",$H2427*$I2427)</f>
        <v/>
      </c>
      <c r="K2427" s="24" t="n"/>
      <c r="L2427" s="24" t="n"/>
      <c r="M2427" s="29" t="n"/>
      <c r="N2427" s="28" t="n"/>
      <c r="O2427" s="24" t="n"/>
      <c r="P2427" s="24" t="n"/>
      <c r="Q2427" s="24" t="n"/>
      <c r="R2427" s="24" t="n"/>
      <c r="S2427" s="22">
        <f>IF(AND($A2427="",$C2427=""),"",IF($A2427="","Thiếu mã đơn; ","")&amp;IF(COUNTIF($A$2:$A2427,$A2427)&gt;1,"Trùng mã đơn; ","")&amp;IF(ISNA(MATCH($C2427,DATA_MASTER!$D$2:$D$5000,0)),"SĐT chưa đăng ký hội viên; ","")&amp;IF(AND($L2427="Đã chuyển khoản",$M2427=""),"Thiếu ngày nhận CK; ",""))</f>
        <v/>
      </c>
      <c r="T2427" s="24" t="n"/>
    </row>
    <row r="2428" ht="14.25" customHeight="1" s="40">
      <c r="A2428" s="24" t="n"/>
      <c r="B2428" s="29" t="n"/>
      <c r="C2428" s="28" t="n"/>
      <c r="D2428" s="22">
        <f t="array" ref="D2428">IF($C2428="","",IFERROR(INDEX(DATA_MASTER!$C$2:$C$5000,MATCH($C2428,DATA_MASTER!$D$2:$D$5000,0)),""))</f>
        <v/>
      </c>
      <c r="E2428" s="22">
        <f t="array" ref="E2428">IF($C2428="","",IFERROR(INDEX(DATA_MASTER!$I$2:$I$5000,MATCH($C2428,DATA_MASTER!$D$2:$D$5000,0)),""))</f>
        <v/>
      </c>
      <c r="F2428" s="22">
        <f t="array" ref="F2428">IF($C2428="","",IFERROR(INDEX(DATA_MASTER!$L$2:$L$5000,MATCH($C2428,DATA_MASTER!$D$2:$D$5000,0)),""))</f>
        <v/>
      </c>
      <c r="G2428" s="24" t="n"/>
      <c r="H2428" s="24" t="n"/>
      <c r="I2428" s="30" t="n"/>
      <c r="J2428" s="23">
        <f>IF(OR($H2428="",$I2428=""),"",$H2428*$I2428)</f>
        <v/>
      </c>
      <c r="K2428" s="24" t="n"/>
      <c r="L2428" s="24" t="n"/>
      <c r="M2428" s="29" t="n"/>
      <c r="N2428" s="28" t="n"/>
      <c r="O2428" s="24" t="n"/>
      <c r="P2428" s="24" t="n"/>
      <c r="Q2428" s="24" t="n"/>
      <c r="R2428" s="24" t="n"/>
      <c r="S2428" s="22">
        <f>IF(AND($A2428="",$C2428=""),"",IF($A2428="","Thiếu mã đơn; ","")&amp;IF(COUNTIF($A$2:$A2428,$A2428)&gt;1,"Trùng mã đơn; ","")&amp;IF(ISNA(MATCH($C2428,DATA_MASTER!$D$2:$D$5000,0)),"SĐT chưa đăng ký hội viên; ","")&amp;IF(AND($L2428="Đã chuyển khoản",$M2428=""),"Thiếu ngày nhận CK; ",""))</f>
        <v/>
      </c>
      <c r="T2428" s="24" t="n"/>
    </row>
    <row r="2429" ht="14.25" customHeight="1" s="40">
      <c r="A2429" s="24" t="n"/>
      <c r="B2429" s="29" t="n"/>
      <c r="C2429" s="28" t="n"/>
      <c r="D2429" s="22">
        <f t="array" ref="D2429">IF($C2429="","",IFERROR(INDEX(DATA_MASTER!$C$2:$C$5000,MATCH($C2429,DATA_MASTER!$D$2:$D$5000,0)),""))</f>
        <v/>
      </c>
      <c r="E2429" s="22">
        <f t="array" ref="E2429">IF($C2429="","",IFERROR(INDEX(DATA_MASTER!$I$2:$I$5000,MATCH($C2429,DATA_MASTER!$D$2:$D$5000,0)),""))</f>
        <v/>
      </c>
      <c r="F2429" s="22">
        <f t="array" ref="F2429">IF($C2429="","",IFERROR(INDEX(DATA_MASTER!$L$2:$L$5000,MATCH($C2429,DATA_MASTER!$D$2:$D$5000,0)),""))</f>
        <v/>
      </c>
      <c r="G2429" s="24" t="n"/>
      <c r="H2429" s="24" t="n"/>
      <c r="I2429" s="30" t="n"/>
      <c r="J2429" s="23">
        <f>IF(OR($H2429="",$I2429=""),"",$H2429*$I2429)</f>
        <v/>
      </c>
      <c r="K2429" s="24" t="n"/>
      <c r="L2429" s="24" t="n"/>
      <c r="M2429" s="29" t="n"/>
      <c r="N2429" s="28" t="n"/>
      <c r="O2429" s="24" t="n"/>
      <c r="P2429" s="24" t="n"/>
      <c r="Q2429" s="24" t="n"/>
      <c r="R2429" s="24" t="n"/>
      <c r="S2429" s="22">
        <f>IF(AND($A2429="",$C2429=""),"",IF($A2429="","Thiếu mã đơn; ","")&amp;IF(COUNTIF($A$2:$A2429,$A2429)&gt;1,"Trùng mã đơn; ","")&amp;IF(ISNA(MATCH($C2429,DATA_MASTER!$D$2:$D$5000,0)),"SĐT chưa đăng ký hội viên; ","")&amp;IF(AND($L2429="Đã chuyển khoản",$M2429=""),"Thiếu ngày nhận CK; ",""))</f>
        <v/>
      </c>
      <c r="T2429" s="24" t="n"/>
    </row>
    <row r="2430" ht="14.25" customHeight="1" s="40">
      <c r="A2430" s="24" t="n"/>
      <c r="B2430" s="29" t="n"/>
      <c r="C2430" s="28" t="n"/>
      <c r="D2430" s="22">
        <f t="array" ref="D2430">IF($C2430="","",IFERROR(INDEX(DATA_MASTER!$C$2:$C$5000,MATCH($C2430,DATA_MASTER!$D$2:$D$5000,0)),""))</f>
        <v/>
      </c>
      <c r="E2430" s="22">
        <f t="array" ref="E2430">IF($C2430="","",IFERROR(INDEX(DATA_MASTER!$I$2:$I$5000,MATCH($C2430,DATA_MASTER!$D$2:$D$5000,0)),""))</f>
        <v/>
      </c>
      <c r="F2430" s="22">
        <f t="array" ref="F2430">IF($C2430="","",IFERROR(INDEX(DATA_MASTER!$L$2:$L$5000,MATCH($C2430,DATA_MASTER!$D$2:$D$5000,0)),""))</f>
        <v/>
      </c>
      <c r="G2430" s="24" t="n"/>
      <c r="H2430" s="24" t="n"/>
      <c r="I2430" s="30" t="n"/>
      <c r="J2430" s="23">
        <f>IF(OR($H2430="",$I2430=""),"",$H2430*$I2430)</f>
        <v/>
      </c>
      <c r="K2430" s="24" t="n"/>
      <c r="L2430" s="24" t="n"/>
      <c r="M2430" s="29" t="n"/>
      <c r="N2430" s="28" t="n"/>
      <c r="O2430" s="24" t="n"/>
      <c r="P2430" s="24" t="n"/>
      <c r="Q2430" s="24" t="n"/>
      <c r="R2430" s="24" t="n"/>
      <c r="S2430" s="22">
        <f>IF(AND($A2430="",$C2430=""),"",IF($A2430="","Thiếu mã đơn; ","")&amp;IF(COUNTIF($A$2:$A2430,$A2430)&gt;1,"Trùng mã đơn; ","")&amp;IF(ISNA(MATCH($C2430,DATA_MASTER!$D$2:$D$5000,0)),"SĐT chưa đăng ký hội viên; ","")&amp;IF(AND($L2430="Đã chuyển khoản",$M2430=""),"Thiếu ngày nhận CK; ",""))</f>
        <v/>
      </c>
      <c r="T2430" s="24" t="n"/>
    </row>
    <row r="2431" ht="14.25" customHeight="1" s="40">
      <c r="A2431" s="24" t="n"/>
      <c r="B2431" s="29" t="n"/>
      <c r="C2431" s="28" t="n"/>
      <c r="D2431" s="22">
        <f t="array" ref="D2431">IF($C2431="","",IFERROR(INDEX(DATA_MASTER!$C$2:$C$5000,MATCH($C2431,DATA_MASTER!$D$2:$D$5000,0)),""))</f>
        <v/>
      </c>
      <c r="E2431" s="22">
        <f t="array" ref="E2431">IF($C2431="","",IFERROR(INDEX(DATA_MASTER!$I$2:$I$5000,MATCH($C2431,DATA_MASTER!$D$2:$D$5000,0)),""))</f>
        <v/>
      </c>
      <c r="F2431" s="22">
        <f t="array" ref="F2431">IF($C2431="","",IFERROR(INDEX(DATA_MASTER!$L$2:$L$5000,MATCH($C2431,DATA_MASTER!$D$2:$D$5000,0)),""))</f>
        <v/>
      </c>
      <c r="G2431" s="24" t="n"/>
      <c r="H2431" s="24" t="n"/>
      <c r="I2431" s="30" t="n"/>
      <c r="J2431" s="23">
        <f>IF(OR($H2431="",$I2431=""),"",$H2431*$I2431)</f>
        <v/>
      </c>
      <c r="K2431" s="24" t="n"/>
      <c r="L2431" s="24" t="n"/>
      <c r="M2431" s="29" t="n"/>
      <c r="N2431" s="28" t="n"/>
      <c r="O2431" s="24" t="n"/>
      <c r="P2431" s="24" t="n"/>
      <c r="Q2431" s="24" t="n"/>
      <c r="R2431" s="24" t="n"/>
      <c r="S2431" s="22">
        <f>IF(AND($A2431="",$C2431=""),"",IF($A2431="","Thiếu mã đơn; ","")&amp;IF(COUNTIF($A$2:$A2431,$A2431)&gt;1,"Trùng mã đơn; ","")&amp;IF(ISNA(MATCH($C2431,DATA_MASTER!$D$2:$D$5000,0)),"SĐT chưa đăng ký hội viên; ","")&amp;IF(AND($L2431="Đã chuyển khoản",$M2431=""),"Thiếu ngày nhận CK; ",""))</f>
        <v/>
      </c>
      <c r="T2431" s="24" t="n"/>
    </row>
    <row r="2432" ht="14.25" customHeight="1" s="40">
      <c r="A2432" s="24" t="n"/>
      <c r="B2432" s="29" t="n"/>
      <c r="C2432" s="28" t="n"/>
      <c r="D2432" s="22">
        <f t="array" ref="D2432">IF($C2432="","",IFERROR(INDEX(DATA_MASTER!$C$2:$C$5000,MATCH($C2432,DATA_MASTER!$D$2:$D$5000,0)),""))</f>
        <v/>
      </c>
      <c r="E2432" s="22">
        <f t="array" ref="E2432">IF($C2432="","",IFERROR(INDEX(DATA_MASTER!$I$2:$I$5000,MATCH($C2432,DATA_MASTER!$D$2:$D$5000,0)),""))</f>
        <v/>
      </c>
      <c r="F2432" s="22">
        <f t="array" ref="F2432">IF($C2432="","",IFERROR(INDEX(DATA_MASTER!$L$2:$L$5000,MATCH($C2432,DATA_MASTER!$D$2:$D$5000,0)),""))</f>
        <v/>
      </c>
      <c r="G2432" s="24" t="n"/>
      <c r="H2432" s="24" t="n"/>
      <c r="I2432" s="30" t="n"/>
      <c r="J2432" s="23">
        <f>IF(OR($H2432="",$I2432=""),"",$H2432*$I2432)</f>
        <v/>
      </c>
      <c r="K2432" s="24" t="n"/>
      <c r="L2432" s="24" t="n"/>
      <c r="M2432" s="29" t="n"/>
      <c r="N2432" s="28" t="n"/>
      <c r="O2432" s="24" t="n"/>
      <c r="P2432" s="24" t="n"/>
      <c r="Q2432" s="24" t="n"/>
      <c r="R2432" s="24" t="n"/>
      <c r="S2432" s="22">
        <f>IF(AND($A2432="",$C2432=""),"",IF($A2432="","Thiếu mã đơn; ","")&amp;IF(COUNTIF($A$2:$A2432,$A2432)&gt;1,"Trùng mã đơn; ","")&amp;IF(ISNA(MATCH($C2432,DATA_MASTER!$D$2:$D$5000,0)),"SĐT chưa đăng ký hội viên; ","")&amp;IF(AND($L2432="Đã chuyển khoản",$M2432=""),"Thiếu ngày nhận CK; ",""))</f>
        <v/>
      </c>
      <c r="T2432" s="24" t="n"/>
    </row>
    <row r="2433" ht="14.25" customHeight="1" s="40">
      <c r="A2433" s="24" t="n"/>
      <c r="B2433" s="29" t="n"/>
      <c r="C2433" s="28" t="n"/>
      <c r="D2433" s="22">
        <f t="array" ref="D2433">IF($C2433="","",IFERROR(INDEX(DATA_MASTER!$C$2:$C$5000,MATCH($C2433,DATA_MASTER!$D$2:$D$5000,0)),""))</f>
        <v/>
      </c>
      <c r="E2433" s="22">
        <f t="array" ref="E2433">IF($C2433="","",IFERROR(INDEX(DATA_MASTER!$I$2:$I$5000,MATCH($C2433,DATA_MASTER!$D$2:$D$5000,0)),""))</f>
        <v/>
      </c>
      <c r="F2433" s="22">
        <f t="array" ref="F2433">IF($C2433="","",IFERROR(INDEX(DATA_MASTER!$L$2:$L$5000,MATCH($C2433,DATA_MASTER!$D$2:$D$5000,0)),""))</f>
        <v/>
      </c>
      <c r="G2433" s="24" t="n"/>
      <c r="H2433" s="24" t="n"/>
      <c r="I2433" s="30" t="n"/>
      <c r="J2433" s="23">
        <f>IF(OR($H2433="",$I2433=""),"",$H2433*$I2433)</f>
        <v/>
      </c>
      <c r="K2433" s="24" t="n"/>
      <c r="L2433" s="24" t="n"/>
      <c r="M2433" s="29" t="n"/>
      <c r="N2433" s="28" t="n"/>
      <c r="O2433" s="24" t="n"/>
      <c r="P2433" s="24" t="n"/>
      <c r="Q2433" s="24" t="n"/>
      <c r="R2433" s="24" t="n"/>
      <c r="S2433" s="22">
        <f>IF(AND($A2433="",$C2433=""),"",IF($A2433="","Thiếu mã đơn; ","")&amp;IF(COUNTIF($A$2:$A2433,$A2433)&gt;1,"Trùng mã đơn; ","")&amp;IF(ISNA(MATCH($C2433,DATA_MASTER!$D$2:$D$5000,0)),"SĐT chưa đăng ký hội viên; ","")&amp;IF(AND($L2433="Đã chuyển khoản",$M2433=""),"Thiếu ngày nhận CK; ",""))</f>
        <v/>
      </c>
      <c r="T2433" s="24" t="n"/>
    </row>
    <row r="2434" ht="14.25" customHeight="1" s="40">
      <c r="A2434" s="24" t="n"/>
      <c r="B2434" s="29" t="n"/>
      <c r="C2434" s="28" t="n"/>
      <c r="D2434" s="22">
        <f t="array" ref="D2434">IF($C2434="","",IFERROR(INDEX(DATA_MASTER!$C$2:$C$5000,MATCH($C2434,DATA_MASTER!$D$2:$D$5000,0)),""))</f>
        <v/>
      </c>
      <c r="E2434" s="22">
        <f t="array" ref="E2434">IF($C2434="","",IFERROR(INDEX(DATA_MASTER!$I$2:$I$5000,MATCH($C2434,DATA_MASTER!$D$2:$D$5000,0)),""))</f>
        <v/>
      </c>
      <c r="F2434" s="22">
        <f t="array" ref="F2434">IF($C2434="","",IFERROR(INDEX(DATA_MASTER!$L$2:$L$5000,MATCH($C2434,DATA_MASTER!$D$2:$D$5000,0)),""))</f>
        <v/>
      </c>
      <c r="G2434" s="24" t="n"/>
      <c r="H2434" s="24" t="n"/>
      <c r="I2434" s="30" t="n"/>
      <c r="J2434" s="23">
        <f>IF(OR($H2434="",$I2434=""),"",$H2434*$I2434)</f>
        <v/>
      </c>
      <c r="K2434" s="24" t="n"/>
      <c r="L2434" s="24" t="n"/>
      <c r="M2434" s="29" t="n"/>
      <c r="N2434" s="28" t="n"/>
      <c r="O2434" s="24" t="n"/>
      <c r="P2434" s="24" t="n"/>
      <c r="Q2434" s="24" t="n"/>
      <c r="R2434" s="24" t="n"/>
      <c r="S2434" s="22">
        <f>IF(AND($A2434="",$C2434=""),"",IF($A2434="","Thiếu mã đơn; ","")&amp;IF(COUNTIF($A$2:$A2434,$A2434)&gt;1,"Trùng mã đơn; ","")&amp;IF(ISNA(MATCH($C2434,DATA_MASTER!$D$2:$D$5000,0)),"SĐT chưa đăng ký hội viên; ","")&amp;IF(AND($L2434="Đã chuyển khoản",$M2434=""),"Thiếu ngày nhận CK; ",""))</f>
        <v/>
      </c>
      <c r="T2434" s="24" t="n"/>
    </row>
    <row r="2435" ht="14.25" customHeight="1" s="40">
      <c r="A2435" s="24" t="n"/>
      <c r="B2435" s="29" t="n"/>
      <c r="C2435" s="28" t="n"/>
      <c r="D2435" s="22">
        <f t="array" ref="D2435">IF($C2435="","",IFERROR(INDEX(DATA_MASTER!$C$2:$C$5000,MATCH($C2435,DATA_MASTER!$D$2:$D$5000,0)),""))</f>
        <v/>
      </c>
      <c r="E2435" s="22">
        <f t="array" ref="E2435">IF($C2435="","",IFERROR(INDEX(DATA_MASTER!$I$2:$I$5000,MATCH($C2435,DATA_MASTER!$D$2:$D$5000,0)),""))</f>
        <v/>
      </c>
      <c r="F2435" s="22">
        <f t="array" ref="F2435">IF($C2435="","",IFERROR(INDEX(DATA_MASTER!$L$2:$L$5000,MATCH($C2435,DATA_MASTER!$D$2:$D$5000,0)),""))</f>
        <v/>
      </c>
      <c r="G2435" s="24" t="n"/>
      <c r="H2435" s="24" t="n"/>
      <c r="I2435" s="30" t="n"/>
      <c r="J2435" s="23">
        <f>IF(OR($H2435="",$I2435=""),"",$H2435*$I2435)</f>
        <v/>
      </c>
      <c r="K2435" s="24" t="n"/>
      <c r="L2435" s="24" t="n"/>
      <c r="M2435" s="29" t="n"/>
      <c r="N2435" s="28" t="n"/>
      <c r="O2435" s="24" t="n"/>
      <c r="P2435" s="24" t="n"/>
      <c r="Q2435" s="24" t="n"/>
      <c r="R2435" s="24" t="n"/>
      <c r="S2435" s="22">
        <f>IF(AND($A2435="",$C2435=""),"",IF($A2435="","Thiếu mã đơn; ","")&amp;IF(COUNTIF($A$2:$A2435,$A2435)&gt;1,"Trùng mã đơn; ","")&amp;IF(ISNA(MATCH($C2435,DATA_MASTER!$D$2:$D$5000,0)),"SĐT chưa đăng ký hội viên; ","")&amp;IF(AND($L2435="Đã chuyển khoản",$M2435=""),"Thiếu ngày nhận CK; ",""))</f>
        <v/>
      </c>
      <c r="T2435" s="24" t="n"/>
    </row>
    <row r="2436" ht="14.25" customHeight="1" s="40">
      <c r="A2436" s="24" t="n"/>
      <c r="B2436" s="29" t="n"/>
      <c r="C2436" s="28" t="n"/>
      <c r="D2436" s="22">
        <f t="array" ref="D2436">IF($C2436="","",IFERROR(INDEX(DATA_MASTER!$C$2:$C$5000,MATCH($C2436,DATA_MASTER!$D$2:$D$5000,0)),""))</f>
        <v/>
      </c>
      <c r="E2436" s="22">
        <f t="array" ref="E2436">IF($C2436="","",IFERROR(INDEX(DATA_MASTER!$I$2:$I$5000,MATCH($C2436,DATA_MASTER!$D$2:$D$5000,0)),""))</f>
        <v/>
      </c>
      <c r="F2436" s="22">
        <f t="array" ref="F2436">IF($C2436="","",IFERROR(INDEX(DATA_MASTER!$L$2:$L$5000,MATCH($C2436,DATA_MASTER!$D$2:$D$5000,0)),""))</f>
        <v/>
      </c>
      <c r="G2436" s="24" t="n"/>
      <c r="H2436" s="24" t="n"/>
      <c r="I2436" s="30" t="n"/>
      <c r="J2436" s="23">
        <f>IF(OR($H2436="",$I2436=""),"",$H2436*$I2436)</f>
        <v/>
      </c>
      <c r="K2436" s="24" t="n"/>
      <c r="L2436" s="24" t="n"/>
      <c r="M2436" s="29" t="n"/>
      <c r="N2436" s="28" t="n"/>
      <c r="O2436" s="24" t="n"/>
      <c r="P2436" s="24" t="n"/>
      <c r="Q2436" s="24" t="n"/>
      <c r="R2436" s="24" t="n"/>
      <c r="S2436" s="22">
        <f>IF(AND($A2436="",$C2436=""),"",IF($A2436="","Thiếu mã đơn; ","")&amp;IF(COUNTIF($A$2:$A2436,$A2436)&gt;1,"Trùng mã đơn; ","")&amp;IF(ISNA(MATCH($C2436,DATA_MASTER!$D$2:$D$5000,0)),"SĐT chưa đăng ký hội viên; ","")&amp;IF(AND($L2436="Đã chuyển khoản",$M2436=""),"Thiếu ngày nhận CK; ",""))</f>
        <v/>
      </c>
      <c r="T2436" s="24" t="n"/>
    </row>
    <row r="2437" ht="14.25" customHeight="1" s="40">
      <c r="A2437" s="24" t="n"/>
      <c r="B2437" s="29" t="n"/>
      <c r="C2437" s="28" t="n"/>
      <c r="D2437" s="22">
        <f t="array" ref="D2437">IF($C2437="","",IFERROR(INDEX(DATA_MASTER!$C$2:$C$5000,MATCH($C2437,DATA_MASTER!$D$2:$D$5000,0)),""))</f>
        <v/>
      </c>
      <c r="E2437" s="22">
        <f t="array" ref="E2437">IF($C2437="","",IFERROR(INDEX(DATA_MASTER!$I$2:$I$5000,MATCH($C2437,DATA_MASTER!$D$2:$D$5000,0)),""))</f>
        <v/>
      </c>
      <c r="F2437" s="22">
        <f t="array" ref="F2437">IF($C2437="","",IFERROR(INDEX(DATA_MASTER!$L$2:$L$5000,MATCH($C2437,DATA_MASTER!$D$2:$D$5000,0)),""))</f>
        <v/>
      </c>
      <c r="G2437" s="24" t="n"/>
      <c r="H2437" s="24" t="n"/>
      <c r="I2437" s="30" t="n"/>
      <c r="J2437" s="23">
        <f>IF(OR($H2437="",$I2437=""),"",$H2437*$I2437)</f>
        <v/>
      </c>
      <c r="K2437" s="24" t="n"/>
      <c r="L2437" s="24" t="n"/>
      <c r="M2437" s="29" t="n"/>
      <c r="N2437" s="28" t="n"/>
      <c r="O2437" s="24" t="n"/>
      <c r="P2437" s="24" t="n"/>
      <c r="Q2437" s="24" t="n"/>
      <c r="R2437" s="24" t="n"/>
      <c r="S2437" s="22">
        <f>IF(AND($A2437="",$C2437=""),"",IF($A2437="","Thiếu mã đơn; ","")&amp;IF(COUNTIF($A$2:$A2437,$A2437)&gt;1,"Trùng mã đơn; ","")&amp;IF(ISNA(MATCH($C2437,DATA_MASTER!$D$2:$D$5000,0)),"SĐT chưa đăng ký hội viên; ","")&amp;IF(AND($L2437="Đã chuyển khoản",$M2437=""),"Thiếu ngày nhận CK; ",""))</f>
        <v/>
      </c>
      <c r="T2437" s="24" t="n"/>
    </row>
    <row r="2438" ht="14.25" customHeight="1" s="40">
      <c r="A2438" s="24" t="n"/>
      <c r="B2438" s="29" t="n"/>
      <c r="C2438" s="28" t="n"/>
      <c r="D2438" s="22">
        <f t="array" ref="D2438">IF($C2438="","",IFERROR(INDEX(DATA_MASTER!$C$2:$C$5000,MATCH($C2438,DATA_MASTER!$D$2:$D$5000,0)),""))</f>
        <v/>
      </c>
      <c r="E2438" s="22">
        <f t="array" ref="E2438">IF($C2438="","",IFERROR(INDEX(DATA_MASTER!$I$2:$I$5000,MATCH($C2438,DATA_MASTER!$D$2:$D$5000,0)),""))</f>
        <v/>
      </c>
      <c r="F2438" s="22">
        <f t="array" ref="F2438">IF($C2438="","",IFERROR(INDEX(DATA_MASTER!$L$2:$L$5000,MATCH($C2438,DATA_MASTER!$D$2:$D$5000,0)),""))</f>
        <v/>
      </c>
      <c r="G2438" s="24" t="n"/>
      <c r="H2438" s="24" t="n"/>
      <c r="I2438" s="30" t="n"/>
      <c r="J2438" s="23">
        <f>IF(OR($H2438="",$I2438=""),"",$H2438*$I2438)</f>
        <v/>
      </c>
      <c r="K2438" s="24" t="n"/>
      <c r="L2438" s="24" t="n"/>
      <c r="M2438" s="29" t="n"/>
      <c r="N2438" s="28" t="n"/>
      <c r="O2438" s="24" t="n"/>
      <c r="P2438" s="24" t="n"/>
      <c r="Q2438" s="24" t="n"/>
      <c r="R2438" s="24" t="n"/>
      <c r="S2438" s="22">
        <f>IF(AND($A2438="",$C2438=""),"",IF($A2438="","Thiếu mã đơn; ","")&amp;IF(COUNTIF($A$2:$A2438,$A2438)&gt;1,"Trùng mã đơn; ","")&amp;IF(ISNA(MATCH($C2438,DATA_MASTER!$D$2:$D$5000,0)),"SĐT chưa đăng ký hội viên; ","")&amp;IF(AND($L2438="Đã chuyển khoản",$M2438=""),"Thiếu ngày nhận CK; ",""))</f>
        <v/>
      </c>
      <c r="T2438" s="24" t="n"/>
    </row>
    <row r="2439" ht="14.25" customHeight="1" s="40">
      <c r="A2439" s="24" t="n"/>
      <c r="B2439" s="29" t="n"/>
      <c r="C2439" s="28" t="n"/>
      <c r="D2439" s="22">
        <f t="array" ref="D2439">IF($C2439="","",IFERROR(INDEX(DATA_MASTER!$C$2:$C$5000,MATCH($C2439,DATA_MASTER!$D$2:$D$5000,0)),""))</f>
        <v/>
      </c>
      <c r="E2439" s="22">
        <f t="array" ref="E2439">IF($C2439="","",IFERROR(INDEX(DATA_MASTER!$I$2:$I$5000,MATCH($C2439,DATA_MASTER!$D$2:$D$5000,0)),""))</f>
        <v/>
      </c>
      <c r="F2439" s="22">
        <f t="array" ref="F2439">IF($C2439="","",IFERROR(INDEX(DATA_MASTER!$L$2:$L$5000,MATCH($C2439,DATA_MASTER!$D$2:$D$5000,0)),""))</f>
        <v/>
      </c>
      <c r="G2439" s="24" t="n"/>
      <c r="H2439" s="24" t="n"/>
      <c r="I2439" s="30" t="n"/>
      <c r="J2439" s="23">
        <f>IF(OR($H2439="",$I2439=""),"",$H2439*$I2439)</f>
        <v/>
      </c>
      <c r="K2439" s="24" t="n"/>
      <c r="L2439" s="24" t="n"/>
      <c r="M2439" s="29" t="n"/>
      <c r="N2439" s="28" t="n"/>
      <c r="O2439" s="24" t="n"/>
      <c r="P2439" s="24" t="n"/>
      <c r="Q2439" s="24" t="n"/>
      <c r="R2439" s="24" t="n"/>
      <c r="S2439" s="22">
        <f>IF(AND($A2439="",$C2439=""),"",IF($A2439="","Thiếu mã đơn; ","")&amp;IF(COUNTIF($A$2:$A2439,$A2439)&gt;1,"Trùng mã đơn; ","")&amp;IF(ISNA(MATCH($C2439,DATA_MASTER!$D$2:$D$5000,0)),"SĐT chưa đăng ký hội viên; ","")&amp;IF(AND($L2439="Đã chuyển khoản",$M2439=""),"Thiếu ngày nhận CK; ",""))</f>
        <v/>
      </c>
      <c r="T2439" s="24" t="n"/>
    </row>
    <row r="2440" ht="14.25" customHeight="1" s="40">
      <c r="A2440" s="24" t="n"/>
      <c r="B2440" s="29" t="n"/>
      <c r="C2440" s="28" t="n"/>
      <c r="D2440" s="22">
        <f t="array" ref="D2440">IF($C2440="","",IFERROR(INDEX(DATA_MASTER!$C$2:$C$5000,MATCH($C2440,DATA_MASTER!$D$2:$D$5000,0)),""))</f>
        <v/>
      </c>
      <c r="E2440" s="22">
        <f t="array" ref="E2440">IF($C2440="","",IFERROR(INDEX(DATA_MASTER!$I$2:$I$5000,MATCH($C2440,DATA_MASTER!$D$2:$D$5000,0)),""))</f>
        <v/>
      </c>
      <c r="F2440" s="22">
        <f t="array" ref="F2440">IF($C2440="","",IFERROR(INDEX(DATA_MASTER!$L$2:$L$5000,MATCH($C2440,DATA_MASTER!$D$2:$D$5000,0)),""))</f>
        <v/>
      </c>
      <c r="G2440" s="24" t="n"/>
      <c r="H2440" s="24" t="n"/>
      <c r="I2440" s="30" t="n"/>
      <c r="J2440" s="23">
        <f>IF(OR($H2440="",$I2440=""),"",$H2440*$I2440)</f>
        <v/>
      </c>
      <c r="K2440" s="24" t="n"/>
      <c r="L2440" s="24" t="n"/>
      <c r="M2440" s="29" t="n"/>
      <c r="N2440" s="28" t="n"/>
      <c r="O2440" s="24" t="n"/>
      <c r="P2440" s="24" t="n"/>
      <c r="Q2440" s="24" t="n"/>
      <c r="R2440" s="24" t="n"/>
      <c r="S2440" s="22">
        <f>IF(AND($A2440="",$C2440=""),"",IF($A2440="","Thiếu mã đơn; ","")&amp;IF(COUNTIF($A$2:$A2440,$A2440)&gt;1,"Trùng mã đơn; ","")&amp;IF(ISNA(MATCH($C2440,DATA_MASTER!$D$2:$D$5000,0)),"SĐT chưa đăng ký hội viên; ","")&amp;IF(AND($L2440="Đã chuyển khoản",$M2440=""),"Thiếu ngày nhận CK; ",""))</f>
        <v/>
      </c>
      <c r="T2440" s="24" t="n"/>
    </row>
    <row r="2441" ht="14.25" customHeight="1" s="40">
      <c r="A2441" s="24" t="n"/>
      <c r="B2441" s="29" t="n"/>
      <c r="C2441" s="28" t="n"/>
      <c r="D2441" s="22">
        <f t="array" ref="D2441">IF($C2441="","",IFERROR(INDEX(DATA_MASTER!$C$2:$C$5000,MATCH($C2441,DATA_MASTER!$D$2:$D$5000,0)),""))</f>
        <v/>
      </c>
      <c r="E2441" s="22">
        <f t="array" ref="E2441">IF($C2441="","",IFERROR(INDEX(DATA_MASTER!$I$2:$I$5000,MATCH($C2441,DATA_MASTER!$D$2:$D$5000,0)),""))</f>
        <v/>
      </c>
      <c r="F2441" s="22">
        <f t="array" ref="F2441">IF($C2441="","",IFERROR(INDEX(DATA_MASTER!$L$2:$L$5000,MATCH($C2441,DATA_MASTER!$D$2:$D$5000,0)),""))</f>
        <v/>
      </c>
      <c r="G2441" s="24" t="n"/>
      <c r="H2441" s="24" t="n"/>
      <c r="I2441" s="30" t="n"/>
      <c r="J2441" s="23">
        <f>IF(OR($H2441="",$I2441=""),"",$H2441*$I2441)</f>
        <v/>
      </c>
      <c r="K2441" s="24" t="n"/>
      <c r="L2441" s="24" t="n"/>
      <c r="M2441" s="29" t="n"/>
      <c r="N2441" s="28" t="n"/>
      <c r="O2441" s="24" t="n"/>
      <c r="P2441" s="24" t="n"/>
      <c r="Q2441" s="24" t="n"/>
      <c r="R2441" s="24" t="n"/>
      <c r="S2441" s="22">
        <f>IF(AND($A2441="",$C2441=""),"",IF($A2441="","Thiếu mã đơn; ","")&amp;IF(COUNTIF($A$2:$A2441,$A2441)&gt;1,"Trùng mã đơn; ","")&amp;IF(ISNA(MATCH($C2441,DATA_MASTER!$D$2:$D$5000,0)),"SĐT chưa đăng ký hội viên; ","")&amp;IF(AND($L2441="Đã chuyển khoản",$M2441=""),"Thiếu ngày nhận CK; ",""))</f>
        <v/>
      </c>
      <c r="T2441" s="24" t="n"/>
    </row>
    <row r="2442" ht="14.25" customHeight="1" s="40">
      <c r="A2442" s="24" t="n"/>
      <c r="B2442" s="29" t="n"/>
      <c r="C2442" s="28" t="n"/>
      <c r="D2442" s="22">
        <f t="array" ref="D2442">IF($C2442="","",IFERROR(INDEX(DATA_MASTER!$C$2:$C$5000,MATCH($C2442,DATA_MASTER!$D$2:$D$5000,0)),""))</f>
        <v/>
      </c>
      <c r="E2442" s="22">
        <f t="array" ref="E2442">IF($C2442="","",IFERROR(INDEX(DATA_MASTER!$I$2:$I$5000,MATCH($C2442,DATA_MASTER!$D$2:$D$5000,0)),""))</f>
        <v/>
      </c>
      <c r="F2442" s="22">
        <f t="array" ref="F2442">IF($C2442="","",IFERROR(INDEX(DATA_MASTER!$L$2:$L$5000,MATCH($C2442,DATA_MASTER!$D$2:$D$5000,0)),""))</f>
        <v/>
      </c>
      <c r="G2442" s="24" t="n"/>
      <c r="H2442" s="24" t="n"/>
      <c r="I2442" s="30" t="n"/>
      <c r="J2442" s="23">
        <f>IF(OR($H2442="",$I2442=""),"",$H2442*$I2442)</f>
        <v/>
      </c>
      <c r="K2442" s="24" t="n"/>
      <c r="L2442" s="24" t="n"/>
      <c r="M2442" s="29" t="n"/>
      <c r="N2442" s="28" t="n"/>
      <c r="O2442" s="24" t="n"/>
      <c r="P2442" s="24" t="n"/>
      <c r="Q2442" s="24" t="n"/>
      <c r="R2442" s="24" t="n"/>
      <c r="S2442" s="22">
        <f>IF(AND($A2442="",$C2442=""),"",IF($A2442="","Thiếu mã đơn; ","")&amp;IF(COUNTIF($A$2:$A2442,$A2442)&gt;1,"Trùng mã đơn; ","")&amp;IF(ISNA(MATCH($C2442,DATA_MASTER!$D$2:$D$5000,0)),"SĐT chưa đăng ký hội viên; ","")&amp;IF(AND($L2442="Đã chuyển khoản",$M2442=""),"Thiếu ngày nhận CK; ",""))</f>
        <v/>
      </c>
      <c r="T2442" s="24" t="n"/>
    </row>
    <row r="2443" ht="14.25" customHeight="1" s="40">
      <c r="A2443" s="24" t="n"/>
      <c r="B2443" s="29" t="n"/>
      <c r="C2443" s="28" t="n"/>
      <c r="D2443" s="22">
        <f t="array" ref="D2443">IF($C2443="","",IFERROR(INDEX(DATA_MASTER!$C$2:$C$5000,MATCH($C2443,DATA_MASTER!$D$2:$D$5000,0)),""))</f>
        <v/>
      </c>
      <c r="E2443" s="22">
        <f t="array" ref="E2443">IF($C2443="","",IFERROR(INDEX(DATA_MASTER!$I$2:$I$5000,MATCH($C2443,DATA_MASTER!$D$2:$D$5000,0)),""))</f>
        <v/>
      </c>
      <c r="F2443" s="22">
        <f t="array" ref="F2443">IF($C2443="","",IFERROR(INDEX(DATA_MASTER!$L$2:$L$5000,MATCH($C2443,DATA_MASTER!$D$2:$D$5000,0)),""))</f>
        <v/>
      </c>
      <c r="G2443" s="24" t="n"/>
      <c r="H2443" s="24" t="n"/>
      <c r="I2443" s="30" t="n"/>
      <c r="J2443" s="23">
        <f>IF(OR($H2443="",$I2443=""),"",$H2443*$I2443)</f>
        <v/>
      </c>
      <c r="K2443" s="24" t="n"/>
      <c r="L2443" s="24" t="n"/>
      <c r="M2443" s="29" t="n"/>
      <c r="N2443" s="28" t="n"/>
      <c r="O2443" s="24" t="n"/>
      <c r="P2443" s="24" t="n"/>
      <c r="Q2443" s="24" t="n"/>
      <c r="R2443" s="24" t="n"/>
      <c r="S2443" s="22">
        <f>IF(AND($A2443="",$C2443=""),"",IF($A2443="","Thiếu mã đơn; ","")&amp;IF(COUNTIF($A$2:$A2443,$A2443)&gt;1,"Trùng mã đơn; ","")&amp;IF(ISNA(MATCH($C2443,DATA_MASTER!$D$2:$D$5000,0)),"SĐT chưa đăng ký hội viên; ","")&amp;IF(AND($L2443="Đã chuyển khoản",$M2443=""),"Thiếu ngày nhận CK; ",""))</f>
        <v/>
      </c>
      <c r="T2443" s="24" t="n"/>
    </row>
    <row r="2444" ht="14.25" customHeight="1" s="40">
      <c r="A2444" s="24" t="n"/>
      <c r="B2444" s="29" t="n"/>
      <c r="C2444" s="28" t="n"/>
      <c r="D2444" s="22">
        <f t="array" ref="D2444">IF($C2444="","",IFERROR(INDEX(DATA_MASTER!$C$2:$C$5000,MATCH($C2444,DATA_MASTER!$D$2:$D$5000,0)),""))</f>
        <v/>
      </c>
      <c r="E2444" s="22">
        <f t="array" ref="E2444">IF($C2444="","",IFERROR(INDEX(DATA_MASTER!$I$2:$I$5000,MATCH($C2444,DATA_MASTER!$D$2:$D$5000,0)),""))</f>
        <v/>
      </c>
      <c r="F2444" s="22">
        <f t="array" ref="F2444">IF($C2444="","",IFERROR(INDEX(DATA_MASTER!$L$2:$L$5000,MATCH($C2444,DATA_MASTER!$D$2:$D$5000,0)),""))</f>
        <v/>
      </c>
      <c r="G2444" s="24" t="n"/>
      <c r="H2444" s="24" t="n"/>
      <c r="I2444" s="30" t="n"/>
      <c r="J2444" s="23">
        <f>IF(OR($H2444="",$I2444=""),"",$H2444*$I2444)</f>
        <v/>
      </c>
      <c r="K2444" s="24" t="n"/>
      <c r="L2444" s="24" t="n"/>
      <c r="M2444" s="29" t="n"/>
      <c r="N2444" s="28" t="n"/>
      <c r="O2444" s="24" t="n"/>
      <c r="P2444" s="24" t="n"/>
      <c r="Q2444" s="24" t="n"/>
      <c r="R2444" s="24" t="n"/>
      <c r="S2444" s="22">
        <f>IF(AND($A2444="",$C2444=""),"",IF($A2444="","Thiếu mã đơn; ","")&amp;IF(COUNTIF($A$2:$A2444,$A2444)&gt;1,"Trùng mã đơn; ","")&amp;IF(ISNA(MATCH($C2444,DATA_MASTER!$D$2:$D$5000,0)),"SĐT chưa đăng ký hội viên; ","")&amp;IF(AND($L2444="Đã chuyển khoản",$M2444=""),"Thiếu ngày nhận CK; ",""))</f>
        <v/>
      </c>
      <c r="T2444" s="24" t="n"/>
    </row>
    <row r="2445" ht="14.25" customHeight="1" s="40">
      <c r="A2445" s="24" t="n"/>
      <c r="B2445" s="29" t="n"/>
      <c r="C2445" s="28" t="n"/>
      <c r="D2445" s="22">
        <f t="array" ref="D2445">IF($C2445="","",IFERROR(INDEX(DATA_MASTER!$C$2:$C$5000,MATCH($C2445,DATA_MASTER!$D$2:$D$5000,0)),""))</f>
        <v/>
      </c>
      <c r="E2445" s="22">
        <f t="array" ref="E2445">IF($C2445="","",IFERROR(INDEX(DATA_MASTER!$I$2:$I$5000,MATCH($C2445,DATA_MASTER!$D$2:$D$5000,0)),""))</f>
        <v/>
      </c>
      <c r="F2445" s="22">
        <f t="array" ref="F2445">IF($C2445="","",IFERROR(INDEX(DATA_MASTER!$L$2:$L$5000,MATCH($C2445,DATA_MASTER!$D$2:$D$5000,0)),""))</f>
        <v/>
      </c>
      <c r="G2445" s="24" t="n"/>
      <c r="H2445" s="24" t="n"/>
      <c r="I2445" s="30" t="n"/>
      <c r="J2445" s="23">
        <f>IF(OR($H2445="",$I2445=""),"",$H2445*$I2445)</f>
        <v/>
      </c>
      <c r="K2445" s="24" t="n"/>
      <c r="L2445" s="24" t="n"/>
      <c r="M2445" s="29" t="n"/>
      <c r="N2445" s="28" t="n"/>
      <c r="O2445" s="24" t="n"/>
      <c r="P2445" s="24" t="n"/>
      <c r="Q2445" s="24" t="n"/>
      <c r="R2445" s="24" t="n"/>
      <c r="S2445" s="22">
        <f>IF(AND($A2445="",$C2445=""),"",IF($A2445="","Thiếu mã đơn; ","")&amp;IF(COUNTIF($A$2:$A2445,$A2445)&gt;1,"Trùng mã đơn; ","")&amp;IF(ISNA(MATCH($C2445,DATA_MASTER!$D$2:$D$5000,0)),"SĐT chưa đăng ký hội viên; ","")&amp;IF(AND($L2445="Đã chuyển khoản",$M2445=""),"Thiếu ngày nhận CK; ",""))</f>
        <v/>
      </c>
      <c r="T2445" s="24" t="n"/>
    </row>
    <row r="2446" ht="14.25" customHeight="1" s="40">
      <c r="A2446" s="24" t="n"/>
      <c r="B2446" s="29" t="n"/>
      <c r="C2446" s="28" t="n"/>
      <c r="D2446" s="22">
        <f t="array" ref="D2446">IF($C2446="","",IFERROR(INDEX(DATA_MASTER!$C$2:$C$5000,MATCH($C2446,DATA_MASTER!$D$2:$D$5000,0)),""))</f>
        <v/>
      </c>
      <c r="E2446" s="22">
        <f t="array" ref="E2446">IF($C2446="","",IFERROR(INDEX(DATA_MASTER!$I$2:$I$5000,MATCH($C2446,DATA_MASTER!$D$2:$D$5000,0)),""))</f>
        <v/>
      </c>
      <c r="F2446" s="22">
        <f t="array" ref="F2446">IF($C2446="","",IFERROR(INDEX(DATA_MASTER!$L$2:$L$5000,MATCH($C2446,DATA_MASTER!$D$2:$D$5000,0)),""))</f>
        <v/>
      </c>
      <c r="G2446" s="24" t="n"/>
      <c r="H2446" s="24" t="n"/>
      <c r="I2446" s="30" t="n"/>
      <c r="J2446" s="23">
        <f>IF(OR($H2446="",$I2446=""),"",$H2446*$I2446)</f>
        <v/>
      </c>
      <c r="K2446" s="24" t="n"/>
      <c r="L2446" s="24" t="n"/>
      <c r="M2446" s="29" t="n"/>
      <c r="N2446" s="28" t="n"/>
      <c r="O2446" s="24" t="n"/>
      <c r="P2446" s="24" t="n"/>
      <c r="Q2446" s="24" t="n"/>
      <c r="R2446" s="24" t="n"/>
      <c r="S2446" s="22">
        <f>IF(AND($A2446="",$C2446=""),"",IF($A2446="","Thiếu mã đơn; ","")&amp;IF(COUNTIF($A$2:$A2446,$A2446)&gt;1,"Trùng mã đơn; ","")&amp;IF(ISNA(MATCH($C2446,DATA_MASTER!$D$2:$D$5000,0)),"SĐT chưa đăng ký hội viên; ","")&amp;IF(AND($L2446="Đã chuyển khoản",$M2446=""),"Thiếu ngày nhận CK; ",""))</f>
        <v/>
      </c>
      <c r="T2446" s="24" t="n"/>
    </row>
    <row r="2447" ht="14.25" customHeight="1" s="40">
      <c r="A2447" s="24" t="n"/>
      <c r="B2447" s="29" t="n"/>
      <c r="C2447" s="28" t="n"/>
      <c r="D2447" s="22">
        <f t="array" ref="D2447">IF($C2447="","",IFERROR(INDEX(DATA_MASTER!$C$2:$C$5000,MATCH($C2447,DATA_MASTER!$D$2:$D$5000,0)),""))</f>
        <v/>
      </c>
      <c r="E2447" s="22">
        <f t="array" ref="E2447">IF($C2447="","",IFERROR(INDEX(DATA_MASTER!$I$2:$I$5000,MATCH($C2447,DATA_MASTER!$D$2:$D$5000,0)),""))</f>
        <v/>
      </c>
      <c r="F2447" s="22">
        <f t="array" ref="F2447">IF($C2447="","",IFERROR(INDEX(DATA_MASTER!$L$2:$L$5000,MATCH($C2447,DATA_MASTER!$D$2:$D$5000,0)),""))</f>
        <v/>
      </c>
      <c r="G2447" s="24" t="n"/>
      <c r="H2447" s="24" t="n"/>
      <c r="I2447" s="30" t="n"/>
      <c r="J2447" s="23">
        <f>IF(OR($H2447="",$I2447=""),"",$H2447*$I2447)</f>
        <v/>
      </c>
      <c r="K2447" s="24" t="n"/>
      <c r="L2447" s="24" t="n"/>
      <c r="M2447" s="29" t="n"/>
      <c r="N2447" s="28" t="n"/>
      <c r="O2447" s="24" t="n"/>
      <c r="P2447" s="24" t="n"/>
      <c r="Q2447" s="24" t="n"/>
      <c r="R2447" s="24" t="n"/>
      <c r="S2447" s="22">
        <f>IF(AND($A2447="",$C2447=""),"",IF($A2447="","Thiếu mã đơn; ","")&amp;IF(COUNTIF($A$2:$A2447,$A2447)&gt;1,"Trùng mã đơn; ","")&amp;IF(ISNA(MATCH($C2447,DATA_MASTER!$D$2:$D$5000,0)),"SĐT chưa đăng ký hội viên; ","")&amp;IF(AND($L2447="Đã chuyển khoản",$M2447=""),"Thiếu ngày nhận CK; ",""))</f>
        <v/>
      </c>
      <c r="T2447" s="24" t="n"/>
    </row>
    <row r="2448" ht="14.25" customHeight="1" s="40">
      <c r="A2448" s="24" t="n"/>
      <c r="B2448" s="29" t="n"/>
      <c r="C2448" s="28" t="n"/>
      <c r="D2448" s="22">
        <f t="array" ref="D2448">IF($C2448="","",IFERROR(INDEX(DATA_MASTER!$C$2:$C$5000,MATCH($C2448,DATA_MASTER!$D$2:$D$5000,0)),""))</f>
        <v/>
      </c>
      <c r="E2448" s="22">
        <f t="array" ref="E2448">IF($C2448="","",IFERROR(INDEX(DATA_MASTER!$I$2:$I$5000,MATCH($C2448,DATA_MASTER!$D$2:$D$5000,0)),""))</f>
        <v/>
      </c>
      <c r="F2448" s="22">
        <f t="array" ref="F2448">IF($C2448="","",IFERROR(INDEX(DATA_MASTER!$L$2:$L$5000,MATCH($C2448,DATA_MASTER!$D$2:$D$5000,0)),""))</f>
        <v/>
      </c>
      <c r="G2448" s="24" t="n"/>
      <c r="H2448" s="24" t="n"/>
      <c r="I2448" s="30" t="n"/>
      <c r="J2448" s="23">
        <f>IF(OR($H2448="",$I2448=""),"",$H2448*$I2448)</f>
        <v/>
      </c>
      <c r="K2448" s="24" t="n"/>
      <c r="L2448" s="24" t="n"/>
      <c r="M2448" s="29" t="n"/>
      <c r="N2448" s="28" t="n"/>
      <c r="O2448" s="24" t="n"/>
      <c r="P2448" s="24" t="n"/>
      <c r="Q2448" s="24" t="n"/>
      <c r="R2448" s="24" t="n"/>
      <c r="S2448" s="22">
        <f>IF(AND($A2448="",$C2448=""),"",IF($A2448="","Thiếu mã đơn; ","")&amp;IF(COUNTIF($A$2:$A2448,$A2448)&gt;1,"Trùng mã đơn; ","")&amp;IF(ISNA(MATCH($C2448,DATA_MASTER!$D$2:$D$5000,0)),"SĐT chưa đăng ký hội viên; ","")&amp;IF(AND($L2448="Đã chuyển khoản",$M2448=""),"Thiếu ngày nhận CK; ",""))</f>
        <v/>
      </c>
      <c r="T2448" s="24" t="n"/>
    </row>
    <row r="2449" ht="14.25" customHeight="1" s="40">
      <c r="A2449" s="24" t="n"/>
      <c r="B2449" s="29" t="n"/>
      <c r="C2449" s="28" t="n"/>
      <c r="D2449" s="22">
        <f t="array" ref="D2449">IF($C2449="","",IFERROR(INDEX(DATA_MASTER!$C$2:$C$5000,MATCH($C2449,DATA_MASTER!$D$2:$D$5000,0)),""))</f>
        <v/>
      </c>
      <c r="E2449" s="22">
        <f t="array" ref="E2449">IF($C2449="","",IFERROR(INDEX(DATA_MASTER!$I$2:$I$5000,MATCH($C2449,DATA_MASTER!$D$2:$D$5000,0)),""))</f>
        <v/>
      </c>
      <c r="F2449" s="22">
        <f t="array" ref="F2449">IF($C2449="","",IFERROR(INDEX(DATA_MASTER!$L$2:$L$5000,MATCH($C2449,DATA_MASTER!$D$2:$D$5000,0)),""))</f>
        <v/>
      </c>
      <c r="G2449" s="24" t="n"/>
      <c r="H2449" s="24" t="n"/>
      <c r="I2449" s="30" t="n"/>
      <c r="J2449" s="23">
        <f>IF(OR($H2449="",$I2449=""),"",$H2449*$I2449)</f>
        <v/>
      </c>
      <c r="K2449" s="24" t="n"/>
      <c r="L2449" s="24" t="n"/>
      <c r="M2449" s="29" t="n"/>
      <c r="N2449" s="28" t="n"/>
      <c r="O2449" s="24" t="n"/>
      <c r="P2449" s="24" t="n"/>
      <c r="Q2449" s="24" t="n"/>
      <c r="R2449" s="24" t="n"/>
      <c r="S2449" s="22">
        <f>IF(AND($A2449="",$C2449=""),"",IF($A2449="","Thiếu mã đơn; ","")&amp;IF(COUNTIF($A$2:$A2449,$A2449)&gt;1,"Trùng mã đơn; ","")&amp;IF(ISNA(MATCH($C2449,DATA_MASTER!$D$2:$D$5000,0)),"SĐT chưa đăng ký hội viên; ","")&amp;IF(AND($L2449="Đã chuyển khoản",$M2449=""),"Thiếu ngày nhận CK; ",""))</f>
        <v/>
      </c>
      <c r="T2449" s="24" t="n"/>
    </row>
    <row r="2450" ht="14.25" customHeight="1" s="40">
      <c r="A2450" s="24" t="n"/>
      <c r="B2450" s="29" t="n"/>
      <c r="C2450" s="28" t="n"/>
      <c r="D2450" s="22">
        <f t="array" ref="D2450">IF($C2450="","",IFERROR(INDEX(DATA_MASTER!$C$2:$C$5000,MATCH($C2450,DATA_MASTER!$D$2:$D$5000,0)),""))</f>
        <v/>
      </c>
      <c r="E2450" s="22">
        <f t="array" ref="E2450">IF($C2450="","",IFERROR(INDEX(DATA_MASTER!$I$2:$I$5000,MATCH($C2450,DATA_MASTER!$D$2:$D$5000,0)),""))</f>
        <v/>
      </c>
      <c r="F2450" s="22">
        <f t="array" ref="F2450">IF($C2450="","",IFERROR(INDEX(DATA_MASTER!$L$2:$L$5000,MATCH($C2450,DATA_MASTER!$D$2:$D$5000,0)),""))</f>
        <v/>
      </c>
      <c r="G2450" s="24" t="n"/>
      <c r="H2450" s="24" t="n"/>
      <c r="I2450" s="30" t="n"/>
      <c r="J2450" s="23">
        <f>IF(OR($H2450="",$I2450=""),"",$H2450*$I2450)</f>
        <v/>
      </c>
      <c r="K2450" s="24" t="n"/>
      <c r="L2450" s="24" t="n"/>
      <c r="M2450" s="29" t="n"/>
      <c r="N2450" s="28" t="n"/>
      <c r="O2450" s="24" t="n"/>
      <c r="P2450" s="24" t="n"/>
      <c r="Q2450" s="24" t="n"/>
      <c r="R2450" s="24" t="n"/>
      <c r="S2450" s="22">
        <f>IF(AND($A2450="",$C2450=""),"",IF($A2450="","Thiếu mã đơn; ","")&amp;IF(COUNTIF($A$2:$A2450,$A2450)&gt;1,"Trùng mã đơn; ","")&amp;IF(ISNA(MATCH($C2450,DATA_MASTER!$D$2:$D$5000,0)),"SĐT chưa đăng ký hội viên; ","")&amp;IF(AND($L2450="Đã chuyển khoản",$M2450=""),"Thiếu ngày nhận CK; ",""))</f>
        <v/>
      </c>
      <c r="T2450" s="24" t="n"/>
    </row>
    <row r="2451" ht="14.25" customHeight="1" s="40">
      <c r="A2451" s="24" t="n"/>
      <c r="B2451" s="29" t="n"/>
      <c r="C2451" s="28" t="n"/>
      <c r="D2451" s="22">
        <f t="array" ref="D2451">IF($C2451="","",IFERROR(INDEX(DATA_MASTER!$C$2:$C$5000,MATCH($C2451,DATA_MASTER!$D$2:$D$5000,0)),""))</f>
        <v/>
      </c>
      <c r="E2451" s="22">
        <f t="array" ref="E2451">IF($C2451="","",IFERROR(INDEX(DATA_MASTER!$I$2:$I$5000,MATCH($C2451,DATA_MASTER!$D$2:$D$5000,0)),""))</f>
        <v/>
      </c>
      <c r="F2451" s="22">
        <f t="array" ref="F2451">IF($C2451="","",IFERROR(INDEX(DATA_MASTER!$L$2:$L$5000,MATCH($C2451,DATA_MASTER!$D$2:$D$5000,0)),""))</f>
        <v/>
      </c>
      <c r="G2451" s="24" t="n"/>
      <c r="H2451" s="24" t="n"/>
      <c r="I2451" s="30" t="n"/>
      <c r="J2451" s="23">
        <f>IF(OR($H2451="",$I2451=""),"",$H2451*$I2451)</f>
        <v/>
      </c>
      <c r="K2451" s="24" t="n"/>
      <c r="L2451" s="24" t="n"/>
      <c r="M2451" s="29" t="n"/>
      <c r="N2451" s="28" t="n"/>
      <c r="O2451" s="24" t="n"/>
      <c r="P2451" s="24" t="n"/>
      <c r="Q2451" s="24" t="n"/>
      <c r="R2451" s="24" t="n"/>
      <c r="S2451" s="22">
        <f>IF(AND($A2451="",$C2451=""),"",IF($A2451="","Thiếu mã đơn; ","")&amp;IF(COUNTIF($A$2:$A2451,$A2451)&gt;1,"Trùng mã đơn; ","")&amp;IF(ISNA(MATCH($C2451,DATA_MASTER!$D$2:$D$5000,0)),"SĐT chưa đăng ký hội viên; ","")&amp;IF(AND($L2451="Đã chuyển khoản",$M2451=""),"Thiếu ngày nhận CK; ",""))</f>
        <v/>
      </c>
      <c r="T2451" s="24" t="n"/>
    </row>
    <row r="2452" ht="14.25" customHeight="1" s="40">
      <c r="A2452" s="24" t="n"/>
      <c r="B2452" s="29" t="n"/>
      <c r="C2452" s="28" t="n"/>
      <c r="D2452" s="22">
        <f t="array" ref="D2452">IF($C2452="","",IFERROR(INDEX(DATA_MASTER!$C$2:$C$5000,MATCH($C2452,DATA_MASTER!$D$2:$D$5000,0)),""))</f>
        <v/>
      </c>
      <c r="E2452" s="22">
        <f t="array" ref="E2452">IF($C2452="","",IFERROR(INDEX(DATA_MASTER!$I$2:$I$5000,MATCH($C2452,DATA_MASTER!$D$2:$D$5000,0)),""))</f>
        <v/>
      </c>
      <c r="F2452" s="22">
        <f t="array" ref="F2452">IF($C2452="","",IFERROR(INDEX(DATA_MASTER!$L$2:$L$5000,MATCH($C2452,DATA_MASTER!$D$2:$D$5000,0)),""))</f>
        <v/>
      </c>
      <c r="G2452" s="24" t="n"/>
      <c r="H2452" s="24" t="n"/>
      <c r="I2452" s="30" t="n"/>
      <c r="J2452" s="23">
        <f>IF(OR($H2452="",$I2452=""),"",$H2452*$I2452)</f>
        <v/>
      </c>
      <c r="K2452" s="24" t="n"/>
      <c r="L2452" s="24" t="n"/>
      <c r="M2452" s="29" t="n"/>
      <c r="N2452" s="28" t="n"/>
      <c r="O2452" s="24" t="n"/>
      <c r="P2452" s="24" t="n"/>
      <c r="Q2452" s="24" t="n"/>
      <c r="R2452" s="24" t="n"/>
      <c r="S2452" s="22">
        <f>IF(AND($A2452="",$C2452=""),"",IF($A2452="","Thiếu mã đơn; ","")&amp;IF(COUNTIF($A$2:$A2452,$A2452)&gt;1,"Trùng mã đơn; ","")&amp;IF(ISNA(MATCH($C2452,DATA_MASTER!$D$2:$D$5000,0)),"SĐT chưa đăng ký hội viên; ","")&amp;IF(AND($L2452="Đã chuyển khoản",$M2452=""),"Thiếu ngày nhận CK; ",""))</f>
        <v/>
      </c>
      <c r="T2452" s="24" t="n"/>
    </row>
    <row r="2453" ht="14.25" customHeight="1" s="40">
      <c r="A2453" s="24" t="n"/>
      <c r="B2453" s="29" t="n"/>
      <c r="C2453" s="28" t="n"/>
      <c r="D2453" s="22">
        <f t="array" ref="D2453">IF($C2453="","",IFERROR(INDEX(DATA_MASTER!$C$2:$C$5000,MATCH($C2453,DATA_MASTER!$D$2:$D$5000,0)),""))</f>
        <v/>
      </c>
      <c r="E2453" s="22">
        <f t="array" ref="E2453">IF($C2453="","",IFERROR(INDEX(DATA_MASTER!$I$2:$I$5000,MATCH($C2453,DATA_MASTER!$D$2:$D$5000,0)),""))</f>
        <v/>
      </c>
      <c r="F2453" s="22">
        <f t="array" ref="F2453">IF($C2453="","",IFERROR(INDEX(DATA_MASTER!$L$2:$L$5000,MATCH($C2453,DATA_MASTER!$D$2:$D$5000,0)),""))</f>
        <v/>
      </c>
      <c r="G2453" s="24" t="n"/>
      <c r="H2453" s="24" t="n"/>
      <c r="I2453" s="30" t="n"/>
      <c r="J2453" s="23">
        <f>IF(OR($H2453="",$I2453=""),"",$H2453*$I2453)</f>
        <v/>
      </c>
      <c r="K2453" s="24" t="n"/>
      <c r="L2453" s="24" t="n"/>
      <c r="M2453" s="29" t="n"/>
      <c r="N2453" s="28" t="n"/>
      <c r="O2453" s="24" t="n"/>
      <c r="P2453" s="24" t="n"/>
      <c r="Q2453" s="24" t="n"/>
      <c r="R2453" s="24" t="n"/>
      <c r="S2453" s="22">
        <f>IF(AND($A2453="",$C2453=""),"",IF($A2453="","Thiếu mã đơn; ","")&amp;IF(COUNTIF($A$2:$A2453,$A2453)&gt;1,"Trùng mã đơn; ","")&amp;IF(ISNA(MATCH($C2453,DATA_MASTER!$D$2:$D$5000,0)),"SĐT chưa đăng ký hội viên; ","")&amp;IF(AND($L2453="Đã chuyển khoản",$M2453=""),"Thiếu ngày nhận CK; ",""))</f>
        <v/>
      </c>
      <c r="T2453" s="24" t="n"/>
    </row>
    <row r="2454" ht="14.25" customHeight="1" s="40">
      <c r="A2454" s="24" t="n"/>
      <c r="B2454" s="29" t="n"/>
      <c r="C2454" s="28" t="n"/>
      <c r="D2454" s="22">
        <f t="array" ref="D2454">IF($C2454="","",IFERROR(INDEX(DATA_MASTER!$C$2:$C$5000,MATCH($C2454,DATA_MASTER!$D$2:$D$5000,0)),""))</f>
        <v/>
      </c>
      <c r="E2454" s="22">
        <f t="array" ref="E2454">IF($C2454="","",IFERROR(INDEX(DATA_MASTER!$I$2:$I$5000,MATCH($C2454,DATA_MASTER!$D$2:$D$5000,0)),""))</f>
        <v/>
      </c>
      <c r="F2454" s="22">
        <f t="array" ref="F2454">IF($C2454="","",IFERROR(INDEX(DATA_MASTER!$L$2:$L$5000,MATCH($C2454,DATA_MASTER!$D$2:$D$5000,0)),""))</f>
        <v/>
      </c>
      <c r="G2454" s="24" t="n"/>
      <c r="H2454" s="24" t="n"/>
      <c r="I2454" s="30" t="n"/>
      <c r="J2454" s="23">
        <f>IF(OR($H2454="",$I2454=""),"",$H2454*$I2454)</f>
        <v/>
      </c>
      <c r="K2454" s="24" t="n"/>
      <c r="L2454" s="24" t="n"/>
      <c r="M2454" s="29" t="n"/>
      <c r="N2454" s="28" t="n"/>
      <c r="O2454" s="24" t="n"/>
      <c r="P2454" s="24" t="n"/>
      <c r="Q2454" s="24" t="n"/>
      <c r="R2454" s="24" t="n"/>
      <c r="S2454" s="22">
        <f>IF(AND($A2454="",$C2454=""),"",IF($A2454="","Thiếu mã đơn; ","")&amp;IF(COUNTIF($A$2:$A2454,$A2454)&gt;1,"Trùng mã đơn; ","")&amp;IF(ISNA(MATCH($C2454,DATA_MASTER!$D$2:$D$5000,0)),"SĐT chưa đăng ký hội viên; ","")&amp;IF(AND($L2454="Đã chuyển khoản",$M2454=""),"Thiếu ngày nhận CK; ",""))</f>
        <v/>
      </c>
      <c r="T2454" s="24" t="n"/>
    </row>
    <row r="2455" ht="14.25" customHeight="1" s="40">
      <c r="A2455" s="24" t="n"/>
      <c r="B2455" s="29" t="n"/>
      <c r="C2455" s="28" t="n"/>
      <c r="D2455" s="22">
        <f t="array" ref="D2455">IF($C2455="","",IFERROR(INDEX(DATA_MASTER!$C$2:$C$5000,MATCH($C2455,DATA_MASTER!$D$2:$D$5000,0)),""))</f>
        <v/>
      </c>
      <c r="E2455" s="22">
        <f t="array" ref="E2455">IF($C2455="","",IFERROR(INDEX(DATA_MASTER!$I$2:$I$5000,MATCH($C2455,DATA_MASTER!$D$2:$D$5000,0)),""))</f>
        <v/>
      </c>
      <c r="F2455" s="22">
        <f t="array" ref="F2455">IF($C2455="","",IFERROR(INDEX(DATA_MASTER!$L$2:$L$5000,MATCH($C2455,DATA_MASTER!$D$2:$D$5000,0)),""))</f>
        <v/>
      </c>
      <c r="G2455" s="24" t="n"/>
      <c r="H2455" s="24" t="n"/>
      <c r="I2455" s="30" t="n"/>
      <c r="J2455" s="23">
        <f>IF(OR($H2455="",$I2455=""),"",$H2455*$I2455)</f>
        <v/>
      </c>
      <c r="K2455" s="24" t="n"/>
      <c r="L2455" s="24" t="n"/>
      <c r="M2455" s="29" t="n"/>
      <c r="N2455" s="28" t="n"/>
      <c r="O2455" s="24" t="n"/>
      <c r="P2455" s="24" t="n"/>
      <c r="Q2455" s="24" t="n"/>
      <c r="R2455" s="24" t="n"/>
      <c r="S2455" s="22">
        <f>IF(AND($A2455="",$C2455=""),"",IF($A2455="","Thiếu mã đơn; ","")&amp;IF(COUNTIF($A$2:$A2455,$A2455)&gt;1,"Trùng mã đơn; ","")&amp;IF(ISNA(MATCH($C2455,DATA_MASTER!$D$2:$D$5000,0)),"SĐT chưa đăng ký hội viên; ","")&amp;IF(AND($L2455="Đã chuyển khoản",$M2455=""),"Thiếu ngày nhận CK; ",""))</f>
        <v/>
      </c>
      <c r="T2455" s="24" t="n"/>
    </row>
    <row r="2456" ht="14.25" customHeight="1" s="40">
      <c r="A2456" s="24" t="n"/>
      <c r="B2456" s="29" t="n"/>
      <c r="C2456" s="28" t="n"/>
      <c r="D2456" s="22">
        <f t="array" ref="D2456">IF($C2456="","",IFERROR(INDEX(DATA_MASTER!$C$2:$C$5000,MATCH($C2456,DATA_MASTER!$D$2:$D$5000,0)),""))</f>
        <v/>
      </c>
      <c r="E2456" s="22">
        <f t="array" ref="E2456">IF($C2456="","",IFERROR(INDEX(DATA_MASTER!$I$2:$I$5000,MATCH($C2456,DATA_MASTER!$D$2:$D$5000,0)),""))</f>
        <v/>
      </c>
      <c r="F2456" s="22">
        <f t="array" ref="F2456">IF($C2456="","",IFERROR(INDEX(DATA_MASTER!$L$2:$L$5000,MATCH($C2456,DATA_MASTER!$D$2:$D$5000,0)),""))</f>
        <v/>
      </c>
      <c r="G2456" s="24" t="n"/>
      <c r="H2456" s="24" t="n"/>
      <c r="I2456" s="30" t="n"/>
      <c r="J2456" s="23">
        <f>IF(OR($H2456="",$I2456=""),"",$H2456*$I2456)</f>
        <v/>
      </c>
      <c r="K2456" s="24" t="n"/>
      <c r="L2456" s="24" t="n"/>
      <c r="M2456" s="29" t="n"/>
      <c r="N2456" s="28" t="n"/>
      <c r="O2456" s="24" t="n"/>
      <c r="P2456" s="24" t="n"/>
      <c r="Q2456" s="24" t="n"/>
      <c r="R2456" s="24" t="n"/>
      <c r="S2456" s="22">
        <f>IF(AND($A2456="",$C2456=""),"",IF($A2456="","Thiếu mã đơn; ","")&amp;IF(COUNTIF($A$2:$A2456,$A2456)&gt;1,"Trùng mã đơn; ","")&amp;IF(ISNA(MATCH($C2456,DATA_MASTER!$D$2:$D$5000,0)),"SĐT chưa đăng ký hội viên; ","")&amp;IF(AND($L2456="Đã chuyển khoản",$M2456=""),"Thiếu ngày nhận CK; ",""))</f>
        <v/>
      </c>
      <c r="T2456" s="24" t="n"/>
    </row>
    <row r="2457" ht="14.25" customHeight="1" s="40">
      <c r="A2457" s="24" t="n"/>
      <c r="B2457" s="29" t="n"/>
      <c r="C2457" s="28" t="n"/>
      <c r="D2457" s="22">
        <f t="array" ref="D2457">IF($C2457="","",IFERROR(INDEX(DATA_MASTER!$C$2:$C$5000,MATCH($C2457,DATA_MASTER!$D$2:$D$5000,0)),""))</f>
        <v/>
      </c>
      <c r="E2457" s="22">
        <f t="array" ref="E2457">IF($C2457="","",IFERROR(INDEX(DATA_MASTER!$I$2:$I$5000,MATCH($C2457,DATA_MASTER!$D$2:$D$5000,0)),""))</f>
        <v/>
      </c>
      <c r="F2457" s="22">
        <f t="array" ref="F2457">IF($C2457="","",IFERROR(INDEX(DATA_MASTER!$L$2:$L$5000,MATCH($C2457,DATA_MASTER!$D$2:$D$5000,0)),""))</f>
        <v/>
      </c>
      <c r="G2457" s="24" t="n"/>
      <c r="H2457" s="24" t="n"/>
      <c r="I2457" s="30" t="n"/>
      <c r="J2457" s="23">
        <f>IF(OR($H2457="",$I2457=""),"",$H2457*$I2457)</f>
        <v/>
      </c>
      <c r="K2457" s="24" t="n"/>
      <c r="L2457" s="24" t="n"/>
      <c r="M2457" s="29" t="n"/>
      <c r="N2457" s="28" t="n"/>
      <c r="O2457" s="24" t="n"/>
      <c r="P2457" s="24" t="n"/>
      <c r="Q2457" s="24" t="n"/>
      <c r="R2457" s="24" t="n"/>
      <c r="S2457" s="22">
        <f>IF(AND($A2457="",$C2457=""),"",IF($A2457="","Thiếu mã đơn; ","")&amp;IF(COUNTIF($A$2:$A2457,$A2457)&gt;1,"Trùng mã đơn; ","")&amp;IF(ISNA(MATCH($C2457,DATA_MASTER!$D$2:$D$5000,0)),"SĐT chưa đăng ký hội viên; ","")&amp;IF(AND($L2457="Đã chuyển khoản",$M2457=""),"Thiếu ngày nhận CK; ",""))</f>
        <v/>
      </c>
      <c r="T2457" s="24" t="n"/>
    </row>
    <row r="2458" ht="14.25" customHeight="1" s="40">
      <c r="A2458" s="24" t="n"/>
      <c r="B2458" s="29" t="n"/>
      <c r="C2458" s="28" t="n"/>
      <c r="D2458" s="22">
        <f t="array" ref="D2458">IF($C2458="","",IFERROR(INDEX(DATA_MASTER!$C$2:$C$5000,MATCH($C2458,DATA_MASTER!$D$2:$D$5000,0)),""))</f>
        <v/>
      </c>
      <c r="E2458" s="22">
        <f t="array" ref="E2458">IF($C2458="","",IFERROR(INDEX(DATA_MASTER!$I$2:$I$5000,MATCH($C2458,DATA_MASTER!$D$2:$D$5000,0)),""))</f>
        <v/>
      </c>
      <c r="F2458" s="22">
        <f t="array" ref="F2458">IF($C2458="","",IFERROR(INDEX(DATA_MASTER!$L$2:$L$5000,MATCH($C2458,DATA_MASTER!$D$2:$D$5000,0)),""))</f>
        <v/>
      </c>
      <c r="G2458" s="24" t="n"/>
      <c r="H2458" s="24" t="n"/>
      <c r="I2458" s="30" t="n"/>
      <c r="J2458" s="23">
        <f>IF(OR($H2458="",$I2458=""),"",$H2458*$I2458)</f>
        <v/>
      </c>
      <c r="K2458" s="24" t="n"/>
      <c r="L2458" s="24" t="n"/>
      <c r="M2458" s="29" t="n"/>
      <c r="N2458" s="28" t="n"/>
      <c r="O2458" s="24" t="n"/>
      <c r="P2458" s="24" t="n"/>
      <c r="Q2458" s="24" t="n"/>
      <c r="R2458" s="24" t="n"/>
      <c r="S2458" s="22">
        <f>IF(AND($A2458="",$C2458=""),"",IF($A2458="","Thiếu mã đơn; ","")&amp;IF(COUNTIF($A$2:$A2458,$A2458)&gt;1,"Trùng mã đơn; ","")&amp;IF(ISNA(MATCH($C2458,DATA_MASTER!$D$2:$D$5000,0)),"SĐT chưa đăng ký hội viên; ","")&amp;IF(AND($L2458="Đã chuyển khoản",$M2458=""),"Thiếu ngày nhận CK; ",""))</f>
        <v/>
      </c>
      <c r="T2458" s="24" t="n"/>
    </row>
    <row r="2459" ht="14.25" customHeight="1" s="40">
      <c r="A2459" s="24" t="n"/>
      <c r="B2459" s="29" t="n"/>
      <c r="C2459" s="28" t="n"/>
      <c r="D2459" s="22">
        <f t="array" ref="D2459">IF($C2459="","",IFERROR(INDEX(DATA_MASTER!$C$2:$C$5000,MATCH($C2459,DATA_MASTER!$D$2:$D$5000,0)),""))</f>
        <v/>
      </c>
      <c r="E2459" s="22">
        <f t="array" ref="E2459">IF($C2459="","",IFERROR(INDEX(DATA_MASTER!$I$2:$I$5000,MATCH($C2459,DATA_MASTER!$D$2:$D$5000,0)),""))</f>
        <v/>
      </c>
      <c r="F2459" s="22">
        <f t="array" ref="F2459">IF($C2459="","",IFERROR(INDEX(DATA_MASTER!$L$2:$L$5000,MATCH($C2459,DATA_MASTER!$D$2:$D$5000,0)),""))</f>
        <v/>
      </c>
      <c r="G2459" s="24" t="n"/>
      <c r="H2459" s="24" t="n"/>
      <c r="I2459" s="30" t="n"/>
      <c r="J2459" s="23">
        <f>IF(OR($H2459="",$I2459=""),"",$H2459*$I2459)</f>
        <v/>
      </c>
      <c r="K2459" s="24" t="n"/>
      <c r="L2459" s="24" t="n"/>
      <c r="M2459" s="29" t="n"/>
      <c r="N2459" s="28" t="n"/>
      <c r="O2459" s="24" t="n"/>
      <c r="P2459" s="24" t="n"/>
      <c r="Q2459" s="24" t="n"/>
      <c r="R2459" s="24" t="n"/>
      <c r="S2459" s="22">
        <f>IF(AND($A2459="",$C2459=""),"",IF($A2459="","Thiếu mã đơn; ","")&amp;IF(COUNTIF($A$2:$A2459,$A2459)&gt;1,"Trùng mã đơn; ","")&amp;IF(ISNA(MATCH($C2459,DATA_MASTER!$D$2:$D$5000,0)),"SĐT chưa đăng ký hội viên; ","")&amp;IF(AND($L2459="Đã chuyển khoản",$M2459=""),"Thiếu ngày nhận CK; ",""))</f>
        <v/>
      </c>
      <c r="T2459" s="24" t="n"/>
    </row>
    <row r="2460" ht="14.25" customHeight="1" s="40">
      <c r="A2460" s="24" t="n"/>
      <c r="B2460" s="29" t="n"/>
      <c r="C2460" s="28" t="n"/>
      <c r="D2460" s="22">
        <f t="array" ref="D2460">IF($C2460="","",IFERROR(INDEX(DATA_MASTER!$C$2:$C$5000,MATCH($C2460,DATA_MASTER!$D$2:$D$5000,0)),""))</f>
        <v/>
      </c>
      <c r="E2460" s="22">
        <f t="array" ref="E2460">IF($C2460="","",IFERROR(INDEX(DATA_MASTER!$I$2:$I$5000,MATCH($C2460,DATA_MASTER!$D$2:$D$5000,0)),""))</f>
        <v/>
      </c>
      <c r="F2460" s="22">
        <f t="array" ref="F2460">IF($C2460="","",IFERROR(INDEX(DATA_MASTER!$L$2:$L$5000,MATCH($C2460,DATA_MASTER!$D$2:$D$5000,0)),""))</f>
        <v/>
      </c>
      <c r="G2460" s="24" t="n"/>
      <c r="H2460" s="24" t="n"/>
      <c r="I2460" s="30" t="n"/>
      <c r="J2460" s="23">
        <f>IF(OR($H2460="",$I2460=""),"",$H2460*$I2460)</f>
        <v/>
      </c>
      <c r="K2460" s="24" t="n"/>
      <c r="L2460" s="24" t="n"/>
      <c r="M2460" s="29" t="n"/>
      <c r="N2460" s="28" t="n"/>
      <c r="O2460" s="24" t="n"/>
      <c r="P2460" s="24" t="n"/>
      <c r="Q2460" s="24" t="n"/>
      <c r="R2460" s="24" t="n"/>
      <c r="S2460" s="22">
        <f>IF(AND($A2460="",$C2460=""),"",IF($A2460="","Thiếu mã đơn; ","")&amp;IF(COUNTIF($A$2:$A2460,$A2460)&gt;1,"Trùng mã đơn; ","")&amp;IF(ISNA(MATCH($C2460,DATA_MASTER!$D$2:$D$5000,0)),"SĐT chưa đăng ký hội viên; ","")&amp;IF(AND($L2460="Đã chuyển khoản",$M2460=""),"Thiếu ngày nhận CK; ",""))</f>
        <v/>
      </c>
      <c r="T2460" s="24" t="n"/>
    </row>
    <row r="2461" ht="14.25" customHeight="1" s="40">
      <c r="A2461" s="24" t="n"/>
      <c r="B2461" s="29" t="n"/>
      <c r="C2461" s="28" t="n"/>
      <c r="D2461" s="22">
        <f t="array" ref="D2461">IF($C2461="","",IFERROR(INDEX(DATA_MASTER!$C$2:$C$5000,MATCH($C2461,DATA_MASTER!$D$2:$D$5000,0)),""))</f>
        <v/>
      </c>
      <c r="E2461" s="22">
        <f t="array" ref="E2461">IF($C2461="","",IFERROR(INDEX(DATA_MASTER!$I$2:$I$5000,MATCH($C2461,DATA_MASTER!$D$2:$D$5000,0)),""))</f>
        <v/>
      </c>
      <c r="F2461" s="22">
        <f t="array" ref="F2461">IF($C2461="","",IFERROR(INDEX(DATA_MASTER!$L$2:$L$5000,MATCH($C2461,DATA_MASTER!$D$2:$D$5000,0)),""))</f>
        <v/>
      </c>
      <c r="G2461" s="24" t="n"/>
      <c r="H2461" s="24" t="n"/>
      <c r="I2461" s="30" t="n"/>
      <c r="J2461" s="23">
        <f>IF(OR($H2461="",$I2461=""),"",$H2461*$I2461)</f>
        <v/>
      </c>
      <c r="K2461" s="24" t="n"/>
      <c r="L2461" s="24" t="n"/>
      <c r="M2461" s="29" t="n"/>
      <c r="N2461" s="28" t="n"/>
      <c r="O2461" s="24" t="n"/>
      <c r="P2461" s="24" t="n"/>
      <c r="Q2461" s="24" t="n"/>
      <c r="R2461" s="24" t="n"/>
      <c r="S2461" s="22">
        <f>IF(AND($A2461="",$C2461=""),"",IF($A2461="","Thiếu mã đơn; ","")&amp;IF(COUNTIF($A$2:$A2461,$A2461)&gt;1,"Trùng mã đơn; ","")&amp;IF(ISNA(MATCH($C2461,DATA_MASTER!$D$2:$D$5000,0)),"SĐT chưa đăng ký hội viên; ","")&amp;IF(AND($L2461="Đã chuyển khoản",$M2461=""),"Thiếu ngày nhận CK; ",""))</f>
        <v/>
      </c>
      <c r="T2461" s="24" t="n"/>
    </row>
    <row r="2462" ht="14.25" customHeight="1" s="40">
      <c r="A2462" s="24" t="n"/>
      <c r="B2462" s="29" t="n"/>
      <c r="C2462" s="28" t="n"/>
      <c r="D2462" s="22">
        <f t="array" ref="D2462">IF($C2462="","",IFERROR(INDEX(DATA_MASTER!$C$2:$C$5000,MATCH($C2462,DATA_MASTER!$D$2:$D$5000,0)),""))</f>
        <v/>
      </c>
      <c r="E2462" s="22">
        <f t="array" ref="E2462">IF($C2462="","",IFERROR(INDEX(DATA_MASTER!$I$2:$I$5000,MATCH($C2462,DATA_MASTER!$D$2:$D$5000,0)),""))</f>
        <v/>
      </c>
      <c r="F2462" s="22">
        <f t="array" ref="F2462">IF($C2462="","",IFERROR(INDEX(DATA_MASTER!$L$2:$L$5000,MATCH($C2462,DATA_MASTER!$D$2:$D$5000,0)),""))</f>
        <v/>
      </c>
      <c r="G2462" s="24" t="n"/>
      <c r="H2462" s="24" t="n"/>
      <c r="I2462" s="30" t="n"/>
      <c r="J2462" s="23">
        <f>IF(OR($H2462="",$I2462=""),"",$H2462*$I2462)</f>
        <v/>
      </c>
      <c r="K2462" s="24" t="n"/>
      <c r="L2462" s="24" t="n"/>
      <c r="M2462" s="29" t="n"/>
      <c r="N2462" s="28" t="n"/>
      <c r="O2462" s="24" t="n"/>
      <c r="P2462" s="24" t="n"/>
      <c r="Q2462" s="24" t="n"/>
      <c r="R2462" s="24" t="n"/>
      <c r="S2462" s="22">
        <f>IF(AND($A2462="",$C2462=""),"",IF($A2462="","Thiếu mã đơn; ","")&amp;IF(COUNTIF($A$2:$A2462,$A2462)&gt;1,"Trùng mã đơn; ","")&amp;IF(ISNA(MATCH($C2462,DATA_MASTER!$D$2:$D$5000,0)),"SĐT chưa đăng ký hội viên; ","")&amp;IF(AND($L2462="Đã chuyển khoản",$M2462=""),"Thiếu ngày nhận CK; ",""))</f>
        <v/>
      </c>
      <c r="T2462" s="24" t="n"/>
    </row>
    <row r="2463" ht="14.25" customHeight="1" s="40">
      <c r="A2463" s="24" t="n"/>
      <c r="B2463" s="29" t="n"/>
      <c r="C2463" s="28" t="n"/>
      <c r="D2463" s="22">
        <f t="array" ref="D2463">IF($C2463="","",IFERROR(INDEX(DATA_MASTER!$C$2:$C$5000,MATCH($C2463,DATA_MASTER!$D$2:$D$5000,0)),""))</f>
        <v/>
      </c>
      <c r="E2463" s="22">
        <f t="array" ref="E2463">IF($C2463="","",IFERROR(INDEX(DATA_MASTER!$I$2:$I$5000,MATCH($C2463,DATA_MASTER!$D$2:$D$5000,0)),""))</f>
        <v/>
      </c>
      <c r="F2463" s="22">
        <f t="array" ref="F2463">IF($C2463="","",IFERROR(INDEX(DATA_MASTER!$L$2:$L$5000,MATCH($C2463,DATA_MASTER!$D$2:$D$5000,0)),""))</f>
        <v/>
      </c>
      <c r="G2463" s="24" t="n"/>
      <c r="H2463" s="24" t="n"/>
      <c r="I2463" s="30" t="n"/>
      <c r="J2463" s="23">
        <f>IF(OR($H2463="",$I2463=""),"",$H2463*$I2463)</f>
        <v/>
      </c>
      <c r="K2463" s="24" t="n"/>
      <c r="L2463" s="24" t="n"/>
      <c r="M2463" s="29" t="n"/>
      <c r="N2463" s="28" t="n"/>
      <c r="O2463" s="24" t="n"/>
      <c r="P2463" s="24" t="n"/>
      <c r="Q2463" s="24" t="n"/>
      <c r="R2463" s="24" t="n"/>
      <c r="S2463" s="22">
        <f>IF(AND($A2463="",$C2463=""),"",IF($A2463="","Thiếu mã đơn; ","")&amp;IF(COUNTIF($A$2:$A2463,$A2463)&gt;1,"Trùng mã đơn; ","")&amp;IF(ISNA(MATCH($C2463,DATA_MASTER!$D$2:$D$5000,0)),"SĐT chưa đăng ký hội viên; ","")&amp;IF(AND($L2463="Đã chuyển khoản",$M2463=""),"Thiếu ngày nhận CK; ",""))</f>
        <v/>
      </c>
      <c r="T2463" s="24" t="n"/>
    </row>
    <row r="2464" ht="14.25" customHeight="1" s="40">
      <c r="A2464" s="24" t="n"/>
      <c r="B2464" s="29" t="n"/>
      <c r="C2464" s="28" t="n"/>
      <c r="D2464" s="22">
        <f t="array" ref="D2464">IF($C2464="","",IFERROR(INDEX(DATA_MASTER!$C$2:$C$5000,MATCH($C2464,DATA_MASTER!$D$2:$D$5000,0)),""))</f>
        <v/>
      </c>
      <c r="E2464" s="22">
        <f t="array" ref="E2464">IF($C2464="","",IFERROR(INDEX(DATA_MASTER!$I$2:$I$5000,MATCH($C2464,DATA_MASTER!$D$2:$D$5000,0)),""))</f>
        <v/>
      </c>
      <c r="F2464" s="22">
        <f t="array" ref="F2464">IF($C2464="","",IFERROR(INDEX(DATA_MASTER!$L$2:$L$5000,MATCH($C2464,DATA_MASTER!$D$2:$D$5000,0)),""))</f>
        <v/>
      </c>
      <c r="G2464" s="24" t="n"/>
      <c r="H2464" s="24" t="n"/>
      <c r="I2464" s="30" t="n"/>
      <c r="J2464" s="23">
        <f>IF(OR($H2464="",$I2464=""),"",$H2464*$I2464)</f>
        <v/>
      </c>
      <c r="K2464" s="24" t="n"/>
      <c r="L2464" s="24" t="n"/>
      <c r="M2464" s="29" t="n"/>
      <c r="N2464" s="28" t="n"/>
      <c r="O2464" s="24" t="n"/>
      <c r="P2464" s="24" t="n"/>
      <c r="Q2464" s="24" t="n"/>
      <c r="R2464" s="24" t="n"/>
      <c r="S2464" s="22">
        <f>IF(AND($A2464="",$C2464=""),"",IF($A2464="","Thiếu mã đơn; ","")&amp;IF(COUNTIF($A$2:$A2464,$A2464)&gt;1,"Trùng mã đơn; ","")&amp;IF(ISNA(MATCH($C2464,DATA_MASTER!$D$2:$D$5000,0)),"SĐT chưa đăng ký hội viên; ","")&amp;IF(AND($L2464="Đã chuyển khoản",$M2464=""),"Thiếu ngày nhận CK; ",""))</f>
        <v/>
      </c>
      <c r="T2464" s="24" t="n"/>
    </row>
    <row r="2465" ht="14.25" customHeight="1" s="40">
      <c r="A2465" s="24" t="n"/>
      <c r="B2465" s="29" t="n"/>
      <c r="C2465" s="28" t="n"/>
      <c r="D2465" s="22">
        <f t="array" ref="D2465">IF($C2465="","",IFERROR(INDEX(DATA_MASTER!$C$2:$C$5000,MATCH($C2465,DATA_MASTER!$D$2:$D$5000,0)),""))</f>
        <v/>
      </c>
      <c r="E2465" s="22">
        <f t="array" ref="E2465">IF($C2465="","",IFERROR(INDEX(DATA_MASTER!$I$2:$I$5000,MATCH($C2465,DATA_MASTER!$D$2:$D$5000,0)),""))</f>
        <v/>
      </c>
      <c r="F2465" s="22">
        <f t="array" ref="F2465">IF($C2465="","",IFERROR(INDEX(DATA_MASTER!$L$2:$L$5000,MATCH($C2465,DATA_MASTER!$D$2:$D$5000,0)),""))</f>
        <v/>
      </c>
      <c r="G2465" s="24" t="n"/>
      <c r="H2465" s="24" t="n"/>
      <c r="I2465" s="30" t="n"/>
      <c r="J2465" s="23">
        <f>IF(OR($H2465="",$I2465=""),"",$H2465*$I2465)</f>
        <v/>
      </c>
      <c r="K2465" s="24" t="n"/>
      <c r="L2465" s="24" t="n"/>
      <c r="M2465" s="29" t="n"/>
      <c r="N2465" s="28" t="n"/>
      <c r="O2465" s="24" t="n"/>
      <c r="P2465" s="24" t="n"/>
      <c r="Q2465" s="24" t="n"/>
      <c r="R2465" s="24" t="n"/>
      <c r="S2465" s="22">
        <f>IF(AND($A2465="",$C2465=""),"",IF($A2465="","Thiếu mã đơn; ","")&amp;IF(COUNTIF($A$2:$A2465,$A2465)&gt;1,"Trùng mã đơn; ","")&amp;IF(ISNA(MATCH($C2465,DATA_MASTER!$D$2:$D$5000,0)),"SĐT chưa đăng ký hội viên; ","")&amp;IF(AND($L2465="Đã chuyển khoản",$M2465=""),"Thiếu ngày nhận CK; ",""))</f>
        <v/>
      </c>
      <c r="T2465" s="24" t="n"/>
    </row>
    <row r="2466" ht="14.25" customHeight="1" s="40">
      <c r="A2466" s="24" t="n"/>
      <c r="B2466" s="29" t="n"/>
      <c r="C2466" s="28" t="n"/>
      <c r="D2466" s="22">
        <f t="array" ref="D2466">IF($C2466="","",IFERROR(INDEX(DATA_MASTER!$C$2:$C$5000,MATCH($C2466,DATA_MASTER!$D$2:$D$5000,0)),""))</f>
        <v/>
      </c>
      <c r="E2466" s="22">
        <f t="array" ref="E2466">IF($C2466="","",IFERROR(INDEX(DATA_MASTER!$I$2:$I$5000,MATCH($C2466,DATA_MASTER!$D$2:$D$5000,0)),""))</f>
        <v/>
      </c>
      <c r="F2466" s="22">
        <f t="array" ref="F2466">IF($C2466="","",IFERROR(INDEX(DATA_MASTER!$L$2:$L$5000,MATCH($C2466,DATA_MASTER!$D$2:$D$5000,0)),""))</f>
        <v/>
      </c>
      <c r="G2466" s="24" t="n"/>
      <c r="H2466" s="24" t="n"/>
      <c r="I2466" s="30" t="n"/>
      <c r="J2466" s="23">
        <f>IF(OR($H2466="",$I2466=""),"",$H2466*$I2466)</f>
        <v/>
      </c>
      <c r="K2466" s="24" t="n"/>
      <c r="L2466" s="24" t="n"/>
      <c r="M2466" s="29" t="n"/>
      <c r="N2466" s="28" t="n"/>
      <c r="O2466" s="24" t="n"/>
      <c r="P2466" s="24" t="n"/>
      <c r="Q2466" s="24" t="n"/>
      <c r="R2466" s="24" t="n"/>
      <c r="S2466" s="22">
        <f>IF(AND($A2466="",$C2466=""),"",IF($A2466="","Thiếu mã đơn; ","")&amp;IF(COUNTIF($A$2:$A2466,$A2466)&gt;1,"Trùng mã đơn; ","")&amp;IF(ISNA(MATCH($C2466,DATA_MASTER!$D$2:$D$5000,0)),"SĐT chưa đăng ký hội viên; ","")&amp;IF(AND($L2466="Đã chuyển khoản",$M2466=""),"Thiếu ngày nhận CK; ",""))</f>
        <v/>
      </c>
      <c r="T2466" s="24" t="n"/>
    </row>
    <row r="2467" ht="14.25" customHeight="1" s="40">
      <c r="A2467" s="24" t="n"/>
      <c r="B2467" s="29" t="n"/>
      <c r="C2467" s="28" t="n"/>
      <c r="D2467" s="22">
        <f t="array" ref="D2467">IF($C2467="","",IFERROR(INDEX(DATA_MASTER!$C$2:$C$5000,MATCH($C2467,DATA_MASTER!$D$2:$D$5000,0)),""))</f>
        <v/>
      </c>
      <c r="E2467" s="22">
        <f t="array" ref="E2467">IF($C2467="","",IFERROR(INDEX(DATA_MASTER!$I$2:$I$5000,MATCH($C2467,DATA_MASTER!$D$2:$D$5000,0)),""))</f>
        <v/>
      </c>
      <c r="F2467" s="22">
        <f t="array" ref="F2467">IF($C2467="","",IFERROR(INDEX(DATA_MASTER!$L$2:$L$5000,MATCH($C2467,DATA_MASTER!$D$2:$D$5000,0)),""))</f>
        <v/>
      </c>
      <c r="G2467" s="24" t="n"/>
      <c r="H2467" s="24" t="n"/>
      <c r="I2467" s="30" t="n"/>
      <c r="J2467" s="23">
        <f>IF(OR($H2467="",$I2467=""),"",$H2467*$I2467)</f>
        <v/>
      </c>
      <c r="K2467" s="24" t="n"/>
      <c r="L2467" s="24" t="n"/>
      <c r="M2467" s="29" t="n"/>
      <c r="N2467" s="28" t="n"/>
      <c r="O2467" s="24" t="n"/>
      <c r="P2467" s="24" t="n"/>
      <c r="Q2467" s="24" t="n"/>
      <c r="R2467" s="24" t="n"/>
      <c r="S2467" s="22">
        <f>IF(AND($A2467="",$C2467=""),"",IF($A2467="","Thiếu mã đơn; ","")&amp;IF(COUNTIF($A$2:$A2467,$A2467)&gt;1,"Trùng mã đơn; ","")&amp;IF(ISNA(MATCH($C2467,DATA_MASTER!$D$2:$D$5000,0)),"SĐT chưa đăng ký hội viên; ","")&amp;IF(AND($L2467="Đã chuyển khoản",$M2467=""),"Thiếu ngày nhận CK; ",""))</f>
        <v/>
      </c>
      <c r="T2467" s="24" t="n"/>
    </row>
    <row r="2468" ht="14.25" customHeight="1" s="40">
      <c r="A2468" s="24" t="n"/>
      <c r="B2468" s="29" t="n"/>
      <c r="C2468" s="28" t="n"/>
      <c r="D2468" s="22">
        <f t="array" ref="D2468">IF($C2468="","",IFERROR(INDEX(DATA_MASTER!$C$2:$C$5000,MATCH($C2468,DATA_MASTER!$D$2:$D$5000,0)),""))</f>
        <v/>
      </c>
      <c r="E2468" s="22">
        <f t="array" ref="E2468">IF($C2468="","",IFERROR(INDEX(DATA_MASTER!$I$2:$I$5000,MATCH($C2468,DATA_MASTER!$D$2:$D$5000,0)),""))</f>
        <v/>
      </c>
      <c r="F2468" s="22">
        <f t="array" ref="F2468">IF($C2468="","",IFERROR(INDEX(DATA_MASTER!$L$2:$L$5000,MATCH($C2468,DATA_MASTER!$D$2:$D$5000,0)),""))</f>
        <v/>
      </c>
      <c r="G2468" s="24" t="n"/>
      <c r="H2468" s="24" t="n"/>
      <c r="I2468" s="30" t="n"/>
      <c r="J2468" s="23">
        <f>IF(OR($H2468="",$I2468=""),"",$H2468*$I2468)</f>
        <v/>
      </c>
      <c r="K2468" s="24" t="n"/>
      <c r="L2468" s="24" t="n"/>
      <c r="M2468" s="29" t="n"/>
      <c r="N2468" s="28" t="n"/>
      <c r="O2468" s="24" t="n"/>
      <c r="P2468" s="24" t="n"/>
      <c r="Q2468" s="24" t="n"/>
      <c r="R2468" s="24" t="n"/>
      <c r="S2468" s="22">
        <f>IF(AND($A2468="",$C2468=""),"",IF($A2468="","Thiếu mã đơn; ","")&amp;IF(COUNTIF($A$2:$A2468,$A2468)&gt;1,"Trùng mã đơn; ","")&amp;IF(ISNA(MATCH($C2468,DATA_MASTER!$D$2:$D$5000,0)),"SĐT chưa đăng ký hội viên; ","")&amp;IF(AND($L2468="Đã chuyển khoản",$M2468=""),"Thiếu ngày nhận CK; ",""))</f>
        <v/>
      </c>
      <c r="T2468" s="24" t="n"/>
    </row>
    <row r="2469" ht="14.25" customHeight="1" s="40">
      <c r="A2469" s="24" t="n"/>
      <c r="B2469" s="29" t="n"/>
      <c r="C2469" s="28" t="n"/>
      <c r="D2469" s="22">
        <f t="array" ref="D2469">IF($C2469="","",IFERROR(INDEX(DATA_MASTER!$C$2:$C$5000,MATCH($C2469,DATA_MASTER!$D$2:$D$5000,0)),""))</f>
        <v/>
      </c>
      <c r="E2469" s="22">
        <f t="array" ref="E2469">IF($C2469="","",IFERROR(INDEX(DATA_MASTER!$I$2:$I$5000,MATCH($C2469,DATA_MASTER!$D$2:$D$5000,0)),""))</f>
        <v/>
      </c>
      <c r="F2469" s="22">
        <f t="array" ref="F2469">IF($C2469="","",IFERROR(INDEX(DATA_MASTER!$L$2:$L$5000,MATCH($C2469,DATA_MASTER!$D$2:$D$5000,0)),""))</f>
        <v/>
      </c>
      <c r="G2469" s="24" t="n"/>
      <c r="H2469" s="24" t="n"/>
      <c r="I2469" s="30" t="n"/>
      <c r="J2469" s="23">
        <f>IF(OR($H2469="",$I2469=""),"",$H2469*$I2469)</f>
        <v/>
      </c>
      <c r="K2469" s="24" t="n"/>
      <c r="L2469" s="24" t="n"/>
      <c r="M2469" s="29" t="n"/>
      <c r="N2469" s="28" t="n"/>
      <c r="O2469" s="24" t="n"/>
      <c r="P2469" s="24" t="n"/>
      <c r="Q2469" s="24" t="n"/>
      <c r="R2469" s="24" t="n"/>
      <c r="S2469" s="22">
        <f>IF(AND($A2469="",$C2469=""),"",IF($A2469="","Thiếu mã đơn; ","")&amp;IF(COUNTIF($A$2:$A2469,$A2469)&gt;1,"Trùng mã đơn; ","")&amp;IF(ISNA(MATCH($C2469,DATA_MASTER!$D$2:$D$5000,0)),"SĐT chưa đăng ký hội viên; ","")&amp;IF(AND($L2469="Đã chuyển khoản",$M2469=""),"Thiếu ngày nhận CK; ",""))</f>
        <v/>
      </c>
      <c r="T2469" s="24" t="n"/>
    </row>
    <row r="2470" ht="14.25" customHeight="1" s="40">
      <c r="A2470" s="24" t="n"/>
      <c r="B2470" s="29" t="n"/>
      <c r="C2470" s="28" t="n"/>
      <c r="D2470" s="22">
        <f t="array" ref="D2470">IF($C2470="","",IFERROR(INDEX(DATA_MASTER!$C$2:$C$5000,MATCH($C2470,DATA_MASTER!$D$2:$D$5000,0)),""))</f>
        <v/>
      </c>
      <c r="E2470" s="22">
        <f t="array" ref="E2470">IF($C2470="","",IFERROR(INDEX(DATA_MASTER!$I$2:$I$5000,MATCH($C2470,DATA_MASTER!$D$2:$D$5000,0)),""))</f>
        <v/>
      </c>
      <c r="F2470" s="22">
        <f t="array" ref="F2470">IF($C2470="","",IFERROR(INDEX(DATA_MASTER!$L$2:$L$5000,MATCH($C2470,DATA_MASTER!$D$2:$D$5000,0)),""))</f>
        <v/>
      </c>
      <c r="G2470" s="24" t="n"/>
      <c r="H2470" s="24" t="n"/>
      <c r="I2470" s="30" t="n"/>
      <c r="J2470" s="23">
        <f>IF(OR($H2470="",$I2470=""),"",$H2470*$I2470)</f>
        <v/>
      </c>
      <c r="K2470" s="24" t="n"/>
      <c r="L2470" s="24" t="n"/>
      <c r="M2470" s="29" t="n"/>
      <c r="N2470" s="28" t="n"/>
      <c r="O2470" s="24" t="n"/>
      <c r="P2470" s="24" t="n"/>
      <c r="Q2470" s="24" t="n"/>
      <c r="R2470" s="24" t="n"/>
      <c r="S2470" s="22">
        <f>IF(AND($A2470="",$C2470=""),"",IF($A2470="","Thiếu mã đơn; ","")&amp;IF(COUNTIF($A$2:$A2470,$A2470)&gt;1,"Trùng mã đơn; ","")&amp;IF(ISNA(MATCH($C2470,DATA_MASTER!$D$2:$D$5000,0)),"SĐT chưa đăng ký hội viên; ","")&amp;IF(AND($L2470="Đã chuyển khoản",$M2470=""),"Thiếu ngày nhận CK; ",""))</f>
        <v/>
      </c>
      <c r="T2470" s="24" t="n"/>
    </row>
    <row r="2471" ht="14.25" customHeight="1" s="40">
      <c r="A2471" s="24" t="n"/>
      <c r="B2471" s="29" t="n"/>
      <c r="C2471" s="28" t="n"/>
      <c r="D2471" s="22">
        <f t="array" ref="D2471">IF($C2471="","",IFERROR(INDEX(DATA_MASTER!$C$2:$C$5000,MATCH($C2471,DATA_MASTER!$D$2:$D$5000,0)),""))</f>
        <v/>
      </c>
      <c r="E2471" s="22">
        <f t="array" ref="E2471">IF($C2471="","",IFERROR(INDEX(DATA_MASTER!$I$2:$I$5000,MATCH($C2471,DATA_MASTER!$D$2:$D$5000,0)),""))</f>
        <v/>
      </c>
      <c r="F2471" s="22">
        <f t="array" ref="F2471">IF($C2471="","",IFERROR(INDEX(DATA_MASTER!$L$2:$L$5000,MATCH($C2471,DATA_MASTER!$D$2:$D$5000,0)),""))</f>
        <v/>
      </c>
      <c r="G2471" s="24" t="n"/>
      <c r="H2471" s="24" t="n"/>
      <c r="I2471" s="30" t="n"/>
      <c r="J2471" s="23">
        <f>IF(OR($H2471="",$I2471=""),"",$H2471*$I2471)</f>
        <v/>
      </c>
      <c r="K2471" s="24" t="n"/>
      <c r="L2471" s="24" t="n"/>
      <c r="M2471" s="29" t="n"/>
      <c r="N2471" s="28" t="n"/>
      <c r="O2471" s="24" t="n"/>
      <c r="P2471" s="24" t="n"/>
      <c r="Q2471" s="24" t="n"/>
      <c r="R2471" s="24" t="n"/>
      <c r="S2471" s="22">
        <f>IF(AND($A2471="",$C2471=""),"",IF($A2471="","Thiếu mã đơn; ","")&amp;IF(COUNTIF($A$2:$A2471,$A2471)&gt;1,"Trùng mã đơn; ","")&amp;IF(ISNA(MATCH($C2471,DATA_MASTER!$D$2:$D$5000,0)),"SĐT chưa đăng ký hội viên; ","")&amp;IF(AND($L2471="Đã chuyển khoản",$M2471=""),"Thiếu ngày nhận CK; ",""))</f>
        <v/>
      </c>
      <c r="T2471" s="24" t="n"/>
    </row>
    <row r="2472" ht="14.25" customHeight="1" s="40">
      <c r="A2472" s="24" t="n"/>
      <c r="B2472" s="29" t="n"/>
      <c r="C2472" s="28" t="n"/>
      <c r="D2472" s="22">
        <f t="array" ref="D2472">IF($C2472="","",IFERROR(INDEX(DATA_MASTER!$C$2:$C$5000,MATCH($C2472,DATA_MASTER!$D$2:$D$5000,0)),""))</f>
        <v/>
      </c>
      <c r="E2472" s="22">
        <f t="array" ref="E2472">IF($C2472="","",IFERROR(INDEX(DATA_MASTER!$I$2:$I$5000,MATCH($C2472,DATA_MASTER!$D$2:$D$5000,0)),""))</f>
        <v/>
      </c>
      <c r="F2472" s="22">
        <f t="array" ref="F2472">IF($C2472="","",IFERROR(INDEX(DATA_MASTER!$L$2:$L$5000,MATCH($C2472,DATA_MASTER!$D$2:$D$5000,0)),""))</f>
        <v/>
      </c>
      <c r="G2472" s="24" t="n"/>
      <c r="H2472" s="24" t="n"/>
      <c r="I2472" s="30" t="n"/>
      <c r="J2472" s="23">
        <f>IF(OR($H2472="",$I2472=""),"",$H2472*$I2472)</f>
        <v/>
      </c>
      <c r="K2472" s="24" t="n"/>
      <c r="L2472" s="24" t="n"/>
      <c r="M2472" s="29" t="n"/>
      <c r="N2472" s="28" t="n"/>
      <c r="O2472" s="24" t="n"/>
      <c r="P2472" s="24" t="n"/>
      <c r="Q2472" s="24" t="n"/>
      <c r="R2472" s="24" t="n"/>
      <c r="S2472" s="22">
        <f>IF(AND($A2472="",$C2472=""),"",IF($A2472="","Thiếu mã đơn; ","")&amp;IF(COUNTIF($A$2:$A2472,$A2472)&gt;1,"Trùng mã đơn; ","")&amp;IF(ISNA(MATCH($C2472,DATA_MASTER!$D$2:$D$5000,0)),"SĐT chưa đăng ký hội viên; ","")&amp;IF(AND($L2472="Đã chuyển khoản",$M2472=""),"Thiếu ngày nhận CK; ",""))</f>
        <v/>
      </c>
      <c r="T2472" s="24" t="n"/>
    </row>
    <row r="2473" ht="14.25" customHeight="1" s="40">
      <c r="A2473" s="24" t="n"/>
      <c r="B2473" s="29" t="n"/>
      <c r="C2473" s="28" t="n"/>
      <c r="D2473" s="22">
        <f t="array" ref="D2473">IF($C2473="","",IFERROR(INDEX(DATA_MASTER!$C$2:$C$5000,MATCH($C2473,DATA_MASTER!$D$2:$D$5000,0)),""))</f>
        <v/>
      </c>
      <c r="E2473" s="22">
        <f t="array" ref="E2473">IF($C2473="","",IFERROR(INDEX(DATA_MASTER!$I$2:$I$5000,MATCH($C2473,DATA_MASTER!$D$2:$D$5000,0)),""))</f>
        <v/>
      </c>
      <c r="F2473" s="22">
        <f t="array" ref="F2473">IF($C2473="","",IFERROR(INDEX(DATA_MASTER!$L$2:$L$5000,MATCH($C2473,DATA_MASTER!$D$2:$D$5000,0)),""))</f>
        <v/>
      </c>
      <c r="G2473" s="24" t="n"/>
      <c r="H2473" s="24" t="n"/>
      <c r="I2473" s="30" t="n"/>
      <c r="J2473" s="23">
        <f>IF(OR($H2473="",$I2473=""),"",$H2473*$I2473)</f>
        <v/>
      </c>
      <c r="K2473" s="24" t="n"/>
      <c r="L2473" s="24" t="n"/>
      <c r="M2473" s="29" t="n"/>
      <c r="N2473" s="28" t="n"/>
      <c r="O2473" s="24" t="n"/>
      <c r="P2473" s="24" t="n"/>
      <c r="Q2473" s="24" t="n"/>
      <c r="R2473" s="24" t="n"/>
      <c r="S2473" s="22">
        <f>IF(AND($A2473="",$C2473=""),"",IF($A2473="","Thiếu mã đơn; ","")&amp;IF(COUNTIF($A$2:$A2473,$A2473)&gt;1,"Trùng mã đơn; ","")&amp;IF(ISNA(MATCH($C2473,DATA_MASTER!$D$2:$D$5000,0)),"SĐT chưa đăng ký hội viên; ","")&amp;IF(AND($L2473="Đã chuyển khoản",$M2473=""),"Thiếu ngày nhận CK; ",""))</f>
        <v/>
      </c>
      <c r="T2473" s="24" t="n"/>
    </row>
    <row r="2474" ht="14.25" customHeight="1" s="40">
      <c r="A2474" s="24" t="n"/>
      <c r="B2474" s="29" t="n"/>
      <c r="C2474" s="28" t="n"/>
      <c r="D2474" s="22">
        <f t="array" ref="D2474">IF($C2474="","",IFERROR(INDEX(DATA_MASTER!$C$2:$C$5000,MATCH($C2474,DATA_MASTER!$D$2:$D$5000,0)),""))</f>
        <v/>
      </c>
      <c r="E2474" s="22">
        <f t="array" ref="E2474">IF($C2474="","",IFERROR(INDEX(DATA_MASTER!$I$2:$I$5000,MATCH($C2474,DATA_MASTER!$D$2:$D$5000,0)),""))</f>
        <v/>
      </c>
      <c r="F2474" s="22">
        <f t="array" ref="F2474">IF($C2474="","",IFERROR(INDEX(DATA_MASTER!$L$2:$L$5000,MATCH($C2474,DATA_MASTER!$D$2:$D$5000,0)),""))</f>
        <v/>
      </c>
      <c r="G2474" s="24" t="n"/>
      <c r="H2474" s="24" t="n"/>
      <c r="I2474" s="30" t="n"/>
      <c r="J2474" s="23">
        <f>IF(OR($H2474="",$I2474=""),"",$H2474*$I2474)</f>
        <v/>
      </c>
      <c r="K2474" s="24" t="n"/>
      <c r="L2474" s="24" t="n"/>
      <c r="M2474" s="29" t="n"/>
      <c r="N2474" s="28" t="n"/>
      <c r="O2474" s="24" t="n"/>
      <c r="P2474" s="24" t="n"/>
      <c r="Q2474" s="24" t="n"/>
      <c r="R2474" s="24" t="n"/>
      <c r="S2474" s="22">
        <f>IF(AND($A2474="",$C2474=""),"",IF($A2474="","Thiếu mã đơn; ","")&amp;IF(COUNTIF($A$2:$A2474,$A2474)&gt;1,"Trùng mã đơn; ","")&amp;IF(ISNA(MATCH($C2474,DATA_MASTER!$D$2:$D$5000,0)),"SĐT chưa đăng ký hội viên; ","")&amp;IF(AND($L2474="Đã chuyển khoản",$M2474=""),"Thiếu ngày nhận CK; ",""))</f>
        <v/>
      </c>
      <c r="T2474" s="24" t="n"/>
    </row>
    <row r="2475" ht="14.25" customHeight="1" s="40">
      <c r="A2475" s="24" t="n"/>
      <c r="B2475" s="29" t="n"/>
      <c r="C2475" s="28" t="n"/>
      <c r="D2475" s="22">
        <f t="array" ref="D2475">IF($C2475="","",IFERROR(INDEX(DATA_MASTER!$C$2:$C$5000,MATCH($C2475,DATA_MASTER!$D$2:$D$5000,0)),""))</f>
        <v/>
      </c>
      <c r="E2475" s="22">
        <f t="array" ref="E2475">IF($C2475="","",IFERROR(INDEX(DATA_MASTER!$I$2:$I$5000,MATCH($C2475,DATA_MASTER!$D$2:$D$5000,0)),""))</f>
        <v/>
      </c>
      <c r="F2475" s="22">
        <f t="array" ref="F2475">IF($C2475="","",IFERROR(INDEX(DATA_MASTER!$L$2:$L$5000,MATCH($C2475,DATA_MASTER!$D$2:$D$5000,0)),""))</f>
        <v/>
      </c>
      <c r="G2475" s="24" t="n"/>
      <c r="H2475" s="24" t="n"/>
      <c r="I2475" s="30" t="n"/>
      <c r="J2475" s="23">
        <f>IF(OR($H2475="",$I2475=""),"",$H2475*$I2475)</f>
        <v/>
      </c>
      <c r="K2475" s="24" t="n"/>
      <c r="L2475" s="24" t="n"/>
      <c r="M2475" s="29" t="n"/>
      <c r="N2475" s="28" t="n"/>
      <c r="O2475" s="24" t="n"/>
      <c r="P2475" s="24" t="n"/>
      <c r="Q2475" s="24" t="n"/>
      <c r="R2475" s="24" t="n"/>
      <c r="S2475" s="22">
        <f>IF(AND($A2475="",$C2475=""),"",IF($A2475="","Thiếu mã đơn; ","")&amp;IF(COUNTIF($A$2:$A2475,$A2475)&gt;1,"Trùng mã đơn; ","")&amp;IF(ISNA(MATCH($C2475,DATA_MASTER!$D$2:$D$5000,0)),"SĐT chưa đăng ký hội viên; ","")&amp;IF(AND($L2475="Đã chuyển khoản",$M2475=""),"Thiếu ngày nhận CK; ",""))</f>
        <v/>
      </c>
      <c r="T2475" s="24" t="n"/>
    </row>
    <row r="2476" ht="14.25" customHeight="1" s="40">
      <c r="A2476" s="24" t="n"/>
      <c r="B2476" s="29" t="n"/>
      <c r="C2476" s="28" t="n"/>
      <c r="D2476" s="22">
        <f t="array" ref="D2476">IF($C2476="","",IFERROR(INDEX(DATA_MASTER!$C$2:$C$5000,MATCH($C2476,DATA_MASTER!$D$2:$D$5000,0)),""))</f>
        <v/>
      </c>
      <c r="E2476" s="22">
        <f t="array" ref="E2476">IF($C2476="","",IFERROR(INDEX(DATA_MASTER!$I$2:$I$5000,MATCH($C2476,DATA_MASTER!$D$2:$D$5000,0)),""))</f>
        <v/>
      </c>
      <c r="F2476" s="22">
        <f t="array" ref="F2476">IF($C2476="","",IFERROR(INDEX(DATA_MASTER!$L$2:$L$5000,MATCH($C2476,DATA_MASTER!$D$2:$D$5000,0)),""))</f>
        <v/>
      </c>
      <c r="G2476" s="24" t="n"/>
      <c r="H2476" s="24" t="n"/>
      <c r="I2476" s="30" t="n"/>
      <c r="J2476" s="23">
        <f>IF(OR($H2476="",$I2476=""),"",$H2476*$I2476)</f>
        <v/>
      </c>
      <c r="K2476" s="24" t="n"/>
      <c r="L2476" s="24" t="n"/>
      <c r="M2476" s="29" t="n"/>
      <c r="N2476" s="28" t="n"/>
      <c r="O2476" s="24" t="n"/>
      <c r="P2476" s="24" t="n"/>
      <c r="Q2476" s="24" t="n"/>
      <c r="R2476" s="24" t="n"/>
      <c r="S2476" s="22">
        <f>IF(AND($A2476="",$C2476=""),"",IF($A2476="","Thiếu mã đơn; ","")&amp;IF(COUNTIF($A$2:$A2476,$A2476)&gt;1,"Trùng mã đơn; ","")&amp;IF(ISNA(MATCH($C2476,DATA_MASTER!$D$2:$D$5000,0)),"SĐT chưa đăng ký hội viên; ","")&amp;IF(AND($L2476="Đã chuyển khoản",$M2476=""),"Thiếu ngày nhận CK; ",""))</f>
        <v/>
      </c>
      <c r="T2476" s="24" t="n"/>
    </row>
    <row r="2477" ht="14.25" customHeight="1" s="40">
      <c r="A2477" s="24" t="n"/>
      <c r="B2477" s="29" t="n"/>
      <c r="C2477" s="28" t="n"/>
      <c r="D2477" s="22">
        <f t="array" ref="D2477">IF($C2477="","",IFERROR(INDEX(DATA_MASTER!$C$2:$C$5000,MATCH($C2477,DATA_MASTER!$D$2:$D$5000,0)),""))</f>
        <v/>
      </c>
      <c r="E2477" s="22">
        <f t="array" ref="E2477">IF($C2477="","",IFERROR(INDEX(DATA_MASTER!$I$2:$I$5000,MATCH($C2477,DATA_MASTER!$D$2:$D$5000,0)),""))</f>
        <v/>
      </c>
      <c r="F2477" s="22">
        <f t="array" ref="F2477">IF($C2477="","",IFERROR(INDEX(DATA_MASTER!$L$2:$L$5000,MATCH($C2477,DATA_MASTER!$D$2:$D$5000,0)),""))</f>
        <v/>
      </c>
      <c r="G2477" s="24" t="n"/>
      <c r="H2477" s="24" t="n"/>
      <c r="I2477" s="30" t="n"/>
      <c r="J2477" s="23">
        <f>IF(OR($H2477="",$I2477=""),"",$H2477*$I2477)</f>
        <v/>
      </c>
      <c r="K2477" s="24" t="n"/>
      <c r="L2477" s="24" t="n"/>
      <c r="M2477" s="29" t="n"/>
      <c r="N2477" s="28" t="n"/>
      <c r="O2477" s="24" t="n"/>
      <c r="P2477" s="24" t="n"/>
      <c r="Q2477" s="24" t="n"/>
      <c r="R2477" s="24" t="n"/>
      <c r="S2477" s="22">
        <f>IF(AND($A2477="",$C2477=""),"",IF($A2477="","Thiếu mã đơn; ","")&amp;IF(COUNTIF($A$2:$A2477,$A2477)&gt;1,"Trùng mã đơn; ","")&amp;IF(ISNA(MATCH($C2477,DATA_MASTER!$D$2:$D$5000,0)),"SĐT chưa đăng ký hội viên; ","")&amp;IF(AND($L2477="Đã chuyển khoản",$M2477=""),"Thiếu ngày nhận CK; ",""))</f>
        <v/>
      </c>
      <c r="T2477" s="24" t="n"/>
    </row>
    <row r="2478" ht="14.25" customHeight="1" s="40">
      <c r="A2478" s="24" t="n"/>
      <c r="B2478" s="29" t="n"/>
      <c r="C2478" s="28" t="n"/>
      <c r="D2478" s="22">
        <f t="array" ref="D2478">IF($C2478="","",IFERROR(INDEX(DATA_MASTER!$C$2:$C$5000,MATCH($C2478,DATA_MASTER!$D$2:$D$5000,0)),""))</f>
        <v/>
      </c>
      <c r="E2478" s="22">
        <f t="array" ref="E2478">IF($C2478="","",IFERROR(INDEX(DATA_MASTER!$I$2:$I$5000,MATCH($C2478,DATA_MASTER!$D$2:$D$5000,0)),""))</f>
        <v/>
      </c>
      <c r="F2478" s="22">
        <f t="array" ref="F2478">IF($C2478="","",IFERROR(INDEX(DATA_MASTER!$L$2:$L$5000,MATCH($C2478,DATA_MASTER!$D$2:$D$5000,0)),""))</f>
        <v/>
      </c>
      <c r="G2478" s="24" t="n"/>
      <c r="H2478" s="24" t="n"/>
      <c r="I2478" s="30" t="n"/>
      <c r="J2478" s="23">
        <f>IF(OR($H2478="",$I2478=""),"",$H2478*$I2478)</f>
        <v/>
      </c>
      <c r="K2478" s="24" t="n"/>
      <c r="L2478" s="24" t="n"/>
      <c r="M2478" s="29" t="n"/>
      <c r="N2478" s="28" t="n"/>
      <c r="O2478" s="24" t="n"/>
      <c r="P2478" s="24" t="n"/>
      <c r="Q2478" s="24" t="n"/>
      <c r="R2478" s="24" t="n"/>
      <c r="S2478" s="22">
        <f>IF(AND($A2478="",$C2478=""),"",IF($A2478="","Thiếu mã đơn; ","")&amp;IF(COUNTIF($A$2:$A2478,$A2478)&gt;1,"Trùng mã đơn; ","")&amp;IF(ISNA(MATCH($C2478,DATA_MASTER!$D$2:$D$5000,0)),"SĐT chưa đăng ký hội viên; ","")&amp;IF(AND($L2478="Đã chuyển khoản",$M2478=""),"Thiếu ngày nhận CK; ",""))</f>
        <v/>
      </c>
      <c r="T2478" s="24" t="n"/>
    </row>
    <row r="2479" ht="14.25" customHeight="1" s="40">
      <c r="A2479" s="24" t="n"/>
      <c r="B2479" s="29" t="n"/>
      <c r="C2479" s="28" t="n"/>
      <c r="D2479" s="22">
        <f t="array" ref="D2479">IF($C2479="","",IFERROR(INDEX(DATA_MASTER!$C$2:$C$5000,MATCH($C2479,DATA_MASTER!$D$2:$D$5000,0)),""))</f>
        <v/>
      </c>
      <c r="E2479" s="22">
        <f t="array" ref="E2479">IF($C2479="","",IFERROR(INDEX(DATA_MASTER!$I$2:$I$5000,MATCH($C2479,DATA_MASTER!$D$2:$D$5000,0)),""))</f>
        <v/>
      </c>
      <c r="F2479" s="22">
        <f t="array" ref="F2479">IF($C2479="","",IFERROR(INDEX(DATA_MASTER!$L$2:$L$5000,MATCH($C2479,DATA_MASTER!$D$2:$D$5000,0)),""))</f>
        <v/>
      </c>
      <c r="G2479" s="24" t="n"/>
      <c r="H2479" s="24" t="n"/>
      <c r="I2479" s="30" t="n"/>
      <c r="J2479" s="23">
        <f>IF(OR($H2479="",$I2479=""),"",$H2479*$I2479)</f>
        <v/>
      </c>
      <c r="K2479" s="24" t="n"/>
      <c r="L2479" s="24" t="n"/>
      <c r="M2479" s="29" t="n"/>
      <c r="N2479" s="28" t="n"/>
      <c r="O2479" s="24" t="n"/>
      <c r="P2479" s="24" t="n"/>
      <c r="Q2479" s="24" t="n"/>
      <c r="R2479" s="24" t="n"/>
      <c r="S2479" s="22">
        <f>IF(AND($A2479="",$C2479=""),"",IF($A2479="","Thiếu mã đơn; ","")&amp;IF(COUNTIF($A$2:$A2479,$A2479)&gt;1,"Trùng mã đơn; ","")&amp;IF(ISNA(MATCH($C2479,DATA_MASTER!$D$2:$D$5000,0)),"SĐT chưa đăng ký hội viên; ","")&amp;IF(AND($L2479="Đã chuyển khoản",$M2479=""),"Thiếu ngày nhận CK; ",""))</f>
        <v/>
      </c>
      <c r="T2479" s="24" t="n"/>
    </row>
    <row r="2480" ht="14.25" customHeight="1" s="40">
      <c r="A2480" s="24" t="n"/>
      <c r="B2480" s="29" t="n"/>
      <c r="C2480" s="28" t="n"/>
      <c r="D2480" s="22">
        <f t="array" ref="D2480">IF($C2480="","",IFERROR(INDEX(DATA_MASTER!$C$2:$C$5000,MATCH($C2480,DATA_MASTER!$D$2:$D$5000,0)),""))</f>
        <v/>
      </c>
      <c r="E2480" s="22">
        <f t="array" ref="E2480">IF($C2480="","",IFERROR(INDEX(DATA_MASTER!$I$2:$I$5000,MATCH($C2480,DATA_MASTER!$D$2:$D$5000,0)),""))</f>
        <v/>
      </c>
      <c r="F2480" s="22">
        <f t="array" ref="F2480">IF($C2480="","",IFERROR(INDEX(DATA_MASTER!$L$2:$L$5000,MATCH($C2480,DATA_MASTER!$D$2:$D$5000,0)),""))</f>
        <v/>
      </c>
      <c r="G2480" s="24" t="n"/>
      <c r="H2480" s="24" t="n"/>
      <c r="I2480" s="30" t="n"/>
      <c r="J2480" s="23">
        <f>IF(OR($H2480="",$I2480=""),"",$H2480*$I2480)</f>
        <v/>
      </c>
      <c r="K2480" s="24" t="n"/>
      <c r="L2480" s="24" t="n"/>
      <c r="M2480" s="29" t="n"/>
      <c r="N2480" s="28" t="n"/>
      <c r="O2480" s="24" t="n"/>
      <c r="P2480" s="24" t="n"/>
      <c r="Q2480" s="24" t="n"/>
      <c r="R2480" s="24" t="n"/>
      <c r="S2480" s="22">
        <f>IF(AND($A2480="",$C2480=""),"",IF($A2480="","Thiếu mã đơn; ","")&amp;IF(COUNTIF($A$2:$A2480,$A2480)&gt;1,"Trùng mã đơn; ","")&amp;IF(ISNA(MATCH($C2480,DATA_MASTER!$D$2:$D$5000,0)),"SĐT chưa đăng ký hội viên; ","")&amp;IF(AND($L2480="Đã chuyển khoản",$M2480=""),"Thiếu ngày nhận CK; ",""))</f>
        <v/>
      </c>
      <c r="T2480" s="24" t="n"/>
    </row>
    <row r="2481" ht="14.25" customHeight="1" s="40">
      <c r="A2481" s="24" t="n"/>
      <c r="B2481" s="29" t="n"/>
      <c r="C2481" s="28" t="n"/>
      <c r="D2481" s="22">
        <f t="array" ref="D2481">IF($C2481="","",IFERROR(INDEX(DATA_MASTER!$C$2:$C$5000,MATCH($C2481,DATA_MASTER!$D$2:$D$5000,0)),""))</f>
        <v/>
      </c>
      <c r="E2481" s="22">
        <f t="array" ref="E2481">IF($C2481="","",IFERROR(INDEX(DATA_MASTER!$I$2:$I$5000,MATCH($C2481,DATA_MASTER!$D$2:$D$5000,0)),""))</f>
        <v/>
      </c>
      <c r="F2481" s="22">
        <f t="array" ref="F2481">IF($C2481="","",IFERROR(INDEX(DATA_MASTER!$L$2:$L$5000,MATCH($C2481,DATA_MASTER!$D$2:$D$5000,0)),""))</f>
        <v/>
      </c>
      <c r="G2481" s="24" t="n"/>
      <c r="H2481" s="24" t="n"/>
      <c r="I2481" s="30" t="n"/>
      <c r="J2481" s="23">
        <f>IF(OR($H2481="",$I2481=""),"",$H2481*$I2481)</f>
        <v/>
      </c>
      <c r="K2481" s="24" t="n"/>
      <c r="L2481" s="24" t="n"/>
      <c r="M2481" s="29" t="n"/>
      <c r="N2481" s="28" t="n"/>
      <c r="O2481" s="24" t="n"/>
      <c r="P2481" s="24" t="n"/>
      <c r="Q2481" s="24" t="n"/>
      <c r="R2481" s="24" t="n"/>
      <c r="S2481" s="22">
        <f>IF(AND($A2481="",$C2481=""),"",IF($A2481="","Thiếu mã đơn; ","")&amp;IF(COUNTIF($A$2:$A2481,$A2481)&gt;1,"Trùng mã đơn; ","")&amp;IF(ISNA(MATCH($C2481,DATA_MASTER!$D$2:$D$5000,0)),"SĐT chưa đăng ký hội viên; ","")&amp;IF(AND($L2481="Đã chuyển khoản",$M2481=""),"Thiếu ngày nhận CK; ",""))</f>
        <v/>
      </c>
      <c r="T2481" s="24" t="n"/>
    </row>
    <row r="2482" ht="14.25" customHeight="1" s="40">
      <c r="A2482" s="24" t="n"/>
      <c r="B2482" s="29" t="n"/>
      <c r="C2482" s="28" t="n"/>
      <c r="D2482" s="22">
        <f t="array" ref="D2482">IF($C2482="","",IFERROR(INDEX(DATA_MASTER!$C$2:$C$5000,MATCH($C2482,DATA_MASTER!$D$2:$D$5000,0)),""))</f>
        <v/>
      </c>
      <c r="E2482" s="22">
        <f t="array" ref="E2482">IF($C2482="","",IFERROR(INDEX(DATA_MASTER!$I$2:$I$5000,MATCH($C2482,DATA_MASTER!$D$2:$D$5000,0)),""))</f>
        <v/>
      </c>
      <c r="F2482" s="22">
        <f t="array" ref="F2482">IF($C2482="","",IFERROR(INDEX(DATA_MASTER!$L$2:$L$5000,MATCH($C2482,DATA_MASTER!$D$2:$D$5000,0)),""))</f>
        <v/>
      </c>
      <c r="G2482" s="24" t="n"/>
      <c r="H2482" s="24" t="n"/>
      <c r="I2482" s="30" t="n"/>
      <c r="J2482" s="23">
        <f>IF(OR($H2482="",$I2482=""),"",$H2482*$I2482)</f>
        <v/>
      </c>
      <c r="K2482" s="24" t="n"/>
      <c r="L2482" s="24" t="n"/>
      <c r="M2482" s="29" t="n"/>
      <c r="N2482" s="28" t="n"/>
      <c r="O2482" s="24" t="n"/>
      <c r="P2482" s="24" t="n"/>
      <c r="Q2482" s="24" t="n"/>
      <c r="R2482" s="24" t="n"/>
      <c r="S2482" s="22">
        <f>IF(AND($A2482="",$C2482=""),"",IF($A2482="","Thiếu mã đơn; ","")&amp;IF(COUNTIF($A$2:$A2482,$A2482)&gt;1,"Trùng mã đơn; ","")&amp;IF(ISNA(MATCH($C2482,DATA_MASTER!$D$2:$D$5000,0)),"SĐT chưa đăng ký hội viên; ","")&amp;IF(AND($L2482="Đã chuyển khoản",$M2482=""),"Thiếu ngày nhận CK; ",""))</f>
        <v/>
      </c>
      <c r="T2482" s="24" t="n"/>
    </row>
    <row r="2483" ht="14.25" customHeight="1" s="40">
      <c r="A2483" s="24" t="n"/>
      <c r="B2483" s="29" t="n"/>
      <c r="C2483" s="28" t="n"/>
      <c r="D2483" s="22">
        <f t="array" ref="D2483">IF($C2483="","",IFERROR(INDEX(DATA_MASTER!$C$2:$C$5000,MATCH($C2483,DATA_MASTER!$D$2:$D$5000,0)),""))</f>
        <v/>
      </c>
      <c r="E2483" s="22">
        <f t="array" ref="E2483">IF($C2483="","",IFERROR(INDEX(DATA_MASTER!$I$2:$I$5000,MATCH($C2483,DATA_MASTER!$D$2:$D$5000,0)),""))</f>
        <v/>
      </c>
      <c r="F2483" s="22">
        <f t="array" ref="F2483">IF($C2483="","",IFERROR(INDEX(DATA_MASTER!$L$2:$L$5000,MATCH($C2483,DATA_MASTER!$D$2:$D$5000,0)),""))</f>
        <v/>
      </c>
      <c r="G2483" s="24" t="n"/>
      <c r="H2483" s="24" t="n"/>
      <c r="I2483" s="30" t="n"/>
      <c r="J2483" s="23">
        <f>IF(OR($H2483="",$I2483=""),"",$H2483*$I2483)</f>
        <v/>
      </c>
      <c r="K2483" s="24" t="n"/>
      <c r="L2483" s="24" t="n"/>
      <c r="M2483" s="29" t="n"/>
      <c r="N2483" s="28" t="n"/>
      <c r="O2483" s="24" t="n"/>
      <c r="P2483" s="24" t="n"/>
      <c r="Q2483" s="24" t="n"/>
      <c r="R2483" s="24" t="n"/>
      <c r="S2483" s="22">
        <f>IF(AND($A2483="",$C2483=""),"",IF($A2483="","Thiếu mã đơn; ","")&amp;IF(COUNTIF($A$2:$A2483,$A2483)&gt;1,"Trùng mã đơn; ","")&amp;IF(ISNA(MATCH($C2483,DATA_MASTER!$D$2:$D$5000,0)),"SĐT chưa đăng ký hội viên; ","")&amp;IF(AND($L2483="Đã chuyển khoản",$M2483=""),"Thiếu ngày nhận CK; ",""))</f>
        <v/>
      </c>
      <c r="T2483" s="24" t="n"/>
    </row>
    <row r="2484" ht="14.25" customHeight="1" s="40">
      <c r="A2484" s="24" t="n"/>
      <c r="B2484" s="29" t="n"/>
      <c r="C2484" s="28" t="n"/>
      <c r="D2484" s="22">
        <f t="array" ref="D2484">IF($C2484="","",IFERROR(INDEX(DATA_MASTER!$C$2:$C$5000,MATCH($C2484,DATA_MASTER!$D$2:$D$5000,0)),""))</f>
        <v/>
      </c>
      <c r="E2484" s="22">
        <f t="array" ref="E2484">IF($C2484="","",IFERROR(INDEX(DATA_MASTER!$I$2:$I$5000,MATCH($C2484,DATA_MASTER!$D$2:$D$5000,0)),""))</f>
        <v/>
      </c>
      <c r="F2484" s="22">
        <f t="array" ref="F2484">IF($C2484="","",IFERROR(INDEX(DATA_MASTER!$L$2:$L$5000,MATCH($C2484,DATA_MASTER!$D$2:$D$5000,0)),""))</f>
        <v/>
      </c>
      <c r="G2484" s="24" t="n"/>
      <c r="H2484" s="24" t="n"/>
      <c r="I2484" s="30" t="n"/>
      <c r="J2484" s="23">
        <f>IF(OR($H2484="",$I2484=""),"",$H2484*$I2484)</f>
        <v/>
      </c>
      <c r="K2484" s="24" t="n"/>
      <c r="L2484" s="24" t="n"/>
      <c r="M2484" s="29" t="n"/>
      <c r="N2484" s="28" t="n"/>
      <c r="O2484" s="24" t="n"/>
      <c r="P2484" s="24" t="n"/>
      <c r="Q2484" s="24" t="n"/>
      <c r="R2484" s="24" t="n"/>
      <c r="S2484" s="22">
        <f>IF(AND($A2484="",$C2484=""),"",IF($A2484="","Thiếu mã đơn; ","")&amp;IF(COUNTIF($A$2:$A2484,$A2484)&gt;1,"Trùng mã đơn; ","")&amp;IF(ISNA(MATCH($C2484,DATA_MASTER!$D$2:$D$5000,0)),"SĐT chưa đăng ký hội viên; ","")&amp;IF(AND($L2484="Đã chuyển khoản",$M2484=""),"Thiếu ngày nhận CK; ",""))</f>
        <v/>
      </c>
      <c r="T2484" s="24" t="n"/>
    </row>
    <row r="2485" ht="14.25" customHeight="1" s="40">
      <c r="A2485" s="24" t="n"/>
      <c r="B2485" s="29" t="n"/>
      <c r="C2485" s="28" t="n"/>
      <c r="D2485" s="22">
        <f t="array" ref="D2485">IF($C2485="","",IFERROR(INDEX(DATA_MASTER!$C$2:$C$5000,MATCH($C2485,DATA_MASTER!$D$2:$D$5000,0)),""))</f>
        <v/>
      </c>
      <c r="E2485" s="22">
        <f t="array" ref="E2485">IF($C2485="","",IFERROR(INDEX(DATA_MASTER!$I$2:$I$5000,MATCH($C2485,DATA_MASTER!$D$2:$D$5000,0)),""))</f>
        <v/>
      </c>
      <c r="F2485" s="22">
        <f t="array" ref="F2485">IF($C2485="","",IFERROR(INDEX(DATA_MASTER!$L$2:$L$5000,MATCH($C2485,DATA_MASTER!$D$2:$D$5000,0)),""))</f>
        <v/>
      </c>
      <c r="G2485" s="24" t="n"/>
      <c r="H2485" s="24" t="n"/>
      <c r="I2485" s="30" t="n"/>
      <c r="J2485" s="23">
        <f>IF(OR($H2485="",$I2485=""),"",$H2485*$I2485)</f>
        <v/>
      </c>
      <c r="K2485" s="24" t="n"/>
      <c r="L2485" s="24" t="n"/>
      <c r="M2485" s="29" t="n"/>
      <c r="N2485" s="28" t="n"/>
      <c r="O2485" s="24" t="n"/>
      <c r="P2485" s="24" t="n"/>
      <c r="Q2485" s="24" t="n"/>
      <c r="R2485" s="24" t="n"/>
      <c r="S2485" s="22">
        <f>IF(AND($A2485="",$C2485=""),"",IF($A2485="","Thiếu mã đơn; ","")&amp;IF(COUNTIF($A$2:$A2485,$A2485)&gt;1,"Trùng mã đơn; ","")&amp;IF(ISNA(MATCH($C2485,DATA_MASTER!$D$2:$D$5000,0)),"SĐT chưa đăng ký hội viên; ","")&amp;IF(AND($L2485="Đã chuyển khoản",$M2485=""),"Thiếu ngày nhận CK; ",""))</f>
        <v/>
      </c>
      <c r="T2485" s="24" t="n"/>
    </row>
    <row r="2486" ht="14.25" customHeight="1" s="40">
      <c r="A2486" s="24" t="n"/>
      <c r="B2486" s="29" t="n"/>
      <c r="C2486" s="28" t="n"/>
      <c r="D2486" s="22">
        <f t="array" ref="D2486">IF($C2486="","",IFERROR(INDEX(DATA_MASTER!$C$2:$C$5000,MATCH($C2486,DATA_MASTER!$D$2:$D$5000,0)),""))</f>
        <v/>
      </c>
      <c r="E2486" s="22">
        <f t="array" ref="E2486">IF($C2486="","",IFERROR(INDEX(DATA_MASTER!$I$2:$I$5000,MATCH($C2486,DATA_MASTER!$D$2:$D$5000,0)),""))</f>
        <v/>
      </c>
      <c r="F2486" s="22">
        <f t="array" ref="F2486">IF($C2486="","",IFERROR(INDEX(DATA_MASTER!$L$2:$L$5000,MATCH($C2486,DATA_MASTER!$D$2:$D$5000,0)),""))</f>
        <v/>
      </c>
      <c r="G2486" s="24" t="n"/>
      <c r="H2486" s="24" t="n"/>
      <c r="I2486" s="30" t="n"/>
      <c r="J2486" s="23">
        <f>IF(OR($H2486="",$I2486=""),"",$H2486*$I2486)</f>
        <v/>
      </c>
      <c r="K2486" s="24" t="n"/>
      <c r="L2486" s="24" t="n"/>
      <c r="M2486" s="29" t="n"/>
      <c r="N2486" s="28" t="n"/>
      <c r="O2486" s="24" t="n"/>
      <c r="P2486" s="24" t="n"/>
      <c r="Q2486" s="24" t="n"/>
      <c r="R2486" s="24" t="n"/>
      <c r="S2486" s="22">
        <f>IF(AND($A2486="",$C2486=""),"",IF($A2486="","Thiếu mã đơn; ","")&amp;IF(COUNTIF($A$2:$A2486,$A2486)&gt;1,"Trùng mã đơn; ","")&amp;IF(ISNA(MATCH($C2486,DATA_MASTER!$D$2:$D$5000,0)),"SĐT chưa đăng ký hội viên; ","")&amp;IF(AND($L2486="Đã chuyển khoản",$M2486=""),"Thiếu ngày nhận CK; ",""))</f>
        <v/>
      </c>
      <c r="T2486" s="24" t="n"/>
    </row>
    <row r="2487" ht="14.25" customHeight="1" s="40">
      <c r="A2487" s="24" t="n"/>
      <c r="B2487" s="29" t="n"/>
      <c r="C2487" s="28" t="n"/>
      <c r="D2487" s="22">
        <f t="array" ref="D2487">IF($C2487="","",IFERROR(INDEX(DATA_MASTER!$C$2:$C$5000,MATCH($C2487,DATA_MASTER!$D$2:$D$5000,0)),""))</f>
        <v/>
      </c>
      <c r="E2487" s="22">
        <f t="array" ref="E2487">IF($C2487="","",IFERROR(INDEX(DATA_MASTER!$I$2:$I$5000,MATCH($C2487,DATA_MASTER!$D$2:$D$5000,0)),""))</f>
        <v/>
      </c>
      <c r="F2487" s="22">
        <f t="array" ref="F2487">IF($C2487="","",IFERROR(INDEX(DATA_MASTER!$L$2:$L$5000,MATCH($C2487,DATA_MASTER!$D$2:$D$5000,0)),""))</f>
        <v/>
      </c>
      <c r="G2487" s="24" t="n"/>
      <c r="H2487" s="24" t="n"/>
      <c r="I2487" s="30" t="n"/>
      <c r="J2487" s="23">
        <f>IF(OR($H2487="",$I2487=""),"",$H2487*$I2487)</f>
        <v/>
      </c>
      <c r="K2487" s="24" t="n"/>
      <c r="L2487" s="24" t="n"/>
      <c r="M2487" s="29" t="n"/>
      <c r="N2487" s="28" t="n"/>
      <c r="O2487" s="24" t="n"/>
      <c r="P2487" s="24" t="n"/>
      <c r="Q2487" s="24" t="n"/>
      <c r="R2487" s="24" t="n"/>
      <c r="S2487" s="22">
        <f>IF(AND($A2487="",$C2487=""),"",IF($A2487="","Thiếu mã đơn; ","")&amp;IF(COUNTIF($A$2:$A2487,$A2487)&gt;1,"Trùng mã đơn; ","")&amp;IF(ISNA(MATCH($C2487,DATA_MASTER!$D$2:$D$5000,0)),"SĐT chưa đăng ký hội viên; ","")&amp;IF(AND($L2487="Đã chuyển khoản",$M2487=""),"Thiếu ngày nhận CK; ",""))</f>
        <v/>
      </c>
      <c r="T2487" s="24" t="n"/>
    </row>
    <row r="2488" ht="14.25" customHeight="1" s="40">
      <c r="A2488" s="24" t="n"/>
      <c r="B2488" s="29" t="n"/>
      <c r="C2488" s="28" t="n"/>
      <c r="D2488" s="22">
        <f t="array" ref="D2488">IF($C2488="","",IFERROR(INDEX(DATA_MASTER!$C$2:$C$5000,MATCH($C2488,DATA_MASTER!$D$2:$D$5000,0)),""))</f>
        <v/>
      </c>
      <c r="E2488" s="22">
        <f t="array" ref="E2488">IF($C2488="","",IFERROR(INDEX(DATA_MASTER!$I$2:$I$5000,MATCH($C2488,DATA_MASTER!$D$2:$D$5000,0)),""))</f>
        <v/>
      </c>
      <c r="F2488" s="22">
        <f t="array" ref="F2488">IF($C2488="","",IFERROR(INDEX(DATA_MASTER!$L$2:$L$5000,MATCH($C2488,DATA_MASTER!$D$2:$D$5000,0)),""))</f>
        <v/>
      </c>
      <c r="G2488" s="24" t="n"/>
      <c r="H2488" s="24" t="n"/>
      <c r="I2488" s="30" t="n"/>
      <c r="J2488" s="23">
        <f>IF(OR($H2488="",$I2488=""),"",$H2488*$I2488)</f>
        <v/>
      </c>
      <c r="K2488" s="24" t="n"/>
      <c r="L2488" s="24" t="n"/>
      <c r="M2488" s="29" t="n"/>
      <c r="N2488" s="28" t="n"/>
      <c r="O2488" s="24" t="n"/>
      <c r="P2488" s="24" t="n"/>
      <c r="Q2488" s="24" t="n"/>
      <c r="R2488" s="24" t="n"/>
      <c r="S2488" s="22">
        <f>IF(AND($A2488="",$C2488=""),"",IF($A2488="","Thiếu mã đơn; ","")&amp;IF(COUNTIF($A$2:$A2488,$A2488)&gt;1,"Trùng mã đơn; ","")&amp;IF(ISNA(MATCH($C2488,DATA_MASTER!$D$2:$D$5000,0)),"SĐT chưa đăng ký hội viên; ","")&amp;IF(AND($L2488="Đã chuyển khoản",$M2488=""),"Thiếu ngày nhận CK; ",""))</f>
        <v/>
      </c>
      <c r="T2488" s="24" t="n"/>
    </row>
    <row r="2489" ht="14.25" customHeight="1" s="40">
      <c r="A2489" s="24" t="n"/>
      <c r="B2489" s="29" t="n"/>
      <c r="C2489" s="28" t="n"/>
      <c r="D2489" s="22">
        <f t="array" ref="D2489">IF($C2489="","",IFERROR(INDEX(DATA_MASTER!$C$2:$C$5000,MATCH($C2489,DATA_MASTER!$D$2:$D$5000,0)),""))</f>
        <v/>
      </c>
      <c r="E2489" s="22">
        <f t="array" ref="E2489">IF($C2489="","",IFERROR(INDEX(DATA_MASTER!$I$2:$I$5000,MATCH($C2489,DATA_MASTER!$D$2:$D$5000,0)),""))</f>
        <v/>
      </c>
      <c r="F2489" s="22">
        <f t="array" ref="F2489">IF($C2489="","",IFERROR(INDEX(DATA_MASTER!$L$2:$L$5000,MATCH($C2489,DATA_MASTER!$D$2:$D$5000,0)),""))</f>
        <v/>
      </c>
      <c r="G2489" s="24" t="n"/>
      <c r="H2489" s="24" t="n"/>
      <c r="I2489" s="30" t="n"/>
      <c r="J2489" s="23">
        <f>IF(OR($H2489="",$I2489=""),"",$H2489*$I2489)</f>
        <v/>
      </c>
      <c r="K2489" s="24" t="n"/>
      <c r="L2489" s="24" t="n"/>
      <c r="M2489" s="29" t="n"/>
      <c r="N2489" s="28" t="n"/>
      <c r="O2489" s="24" t="n"/>
      <c r="P2489" s="24" t="n"/>
      <c r="Q2489" s="24" t="n"/>
      <c r="R2489" s="24" t="n"/>
      <c r="S2489" s="22">
        <f>IF(AND($A2489="",$C2489=""),"",IF($A2489="","Thiếu mã đơn; ","")&amp;IF(COUNTIF($A$2:$A2489,$A2489)&gt;1,"Trùng mã đơn; ","")&amp;IF(ISNA(MATCH($C2489,DATA_MASTER!$D$2:$D$5000,0)),"SĐT chưa đăng ký hội viên; ","")&amp;IF(AND($L2489="Đã chuyển khoản",$M2489=""),"Thiếu ngày nhận CK; ",""))</f>
        <v/>
      </c>
      <c r="T2489" s="24" t="n"/>
    </row>
    <row r="2490" ht="14.25" customHeight="1" s="40">
      <c r="A2490" s="24" t="n"/>
      <c r="B2490" s="29" t="n"/>
      <c r="C2490" s="28" t="n"/>
      <c r="D2490" s="22">
        <f t="array" ref="D2490">IF($C2490="","",IFERROR(INDEX(DATA_MASTER!$C$2:$C$5000,MATCH($C2490,DATA_MASTER!$D$2:$D$5000,0)),""))</f>
        <v/>
      </c>
      <c r="E2490" s="22">
        <f t="array" ref="E2490">IF($C2490="","",IFERROR(INDEX(DATA_MASTER!$I$2:$I$5000,MATCH($C2490,DATA_MASTER!$D$2:$D$5000,0)),""))</f>
        <v/>
      </c>
      <c r="F2490" s="22">
        <f t="array" ref="F2490">IF($C2490="","",IFERROR(INDEX(DATA_MASTER!$L$2:$L$5000,MATCH($C2490,DATA_MASTER!$D$2:$D$5000,0)),""))</f>
        <v/>
      </c>
      <c r="G2490" s="24" t="n"/>
      <c r="H2490" s="24" t="n"/>
      <c r="I2490" s="30" t="n"/>
      <c r="J2490" s="23">
        <f>IF(OR($H2490="",$I2490=""),"",$H2490*$I2490)</f>
        <v/>
      </c>
      <c r="K2490" s="24" t="n"/>
      <c r="L2490" s="24" t="n"/>
      <c r="M2490" s="29" t="n"/>
      <c r="N2490" s="28" t="n"/>
      <c r="O2490" s="24" t="n"/>
      <c r="P2490" s="24" t="n"/>
      <c r="Q2490" s="24" t="n"/>
      <c r="R2490" s="24" t="n"/>
      <c r="S2490" s="22">
        <f>IF(AND($A2490="",$C2490=""),"",IF($A2490="","Thiếu mã đơn; ","")&amp;IF(COUNTIF($A$2:$A2490,$A2490)&gt;1,"Trùng mã đơn; ","")&amp;IF(ISNA(MATCH($C2490,DATA_MASTER!$D$2:$D$5000,0)),"SĐT chưa đăng ký hội viên; ","")&amp;IF(AND($L2490="Đã chuyển khoản",$M2490=""),"Thiếu ngày nhận CK; ",""))</f>
        <v/>
      </c>
      <c r="T2490" s="24" t="n"/>
    </row>
    <row r="2491" ht="14.25" customHeight="1" s="40">
      <c r="A2491" s="24" t="n"/>
      <c r="B2491" s="29" t="n"/>
      <c r="C2491" s="28" t="n"/>
      <c r="D2491" s="22">
        <f t="array" ref="D2491">IF($C2491="","",IFERROR(INDEX(DATA_MASTER!$C$2:$C$5000,MATCH($C2491,DATA_MASTER!$D$2:$D$5000,0)),""))</f>
        <v/>
      </c>
      <c r="E2491" s="22">
        <f t="array" ref="E2491">IF($C2491="","",IFERROR(INDEX(DATA_MASTER!$I$2:$I$5000,MATCH($C2491,DATA_MASTER!$D$2:$D$5000,0)),""))</f>
        <v/>
      </c>
      <c r="F2491" s="22">
        <f t="array" ref="F2491">IF($C2491="","",IFERROR(INDEX(DATA_MASTER!$L$2:$L$5000,MATCH($C2491,DATA_MASTER!$D$2:$D$5000,0)),""))</f>
        <v/>
      </c>
      <c r="G2491" s="24" t="n"/>
      <c r="H2491" s="24" t="n"/>
      <c r="I2491" s="30" t="n"/>
      <c r="J2491" s="23">
        <f>IF(OR($H2491="",$I2491=""),"",$H2491*$I2491)</f>
        <v/>
      </c>
      <c r="K2491" s="24" t="n"/>
      <c r="L2491" s="24" t="n"/>
      <c r="M2491" s="29" t="n"/>
      <c r="N2491" s="28" t="n"/>
      <c r="O2491" s="24" t="n"/>
      <c r="P2491" s="24" t="n"/>
      <c r="Q2491" s="24" t="n"/>
      <c r="R2491" s="24" t="n"/>
      <c r="S2491" s="22">
        <f>IF(AND($A2491="",$C2491=""),"",IF($A2491="","Thiếu mã đơn; ","")&amp;IF(COUNTIF($A$2:$A2491,$A2491)&gt;1,"Trùng mã đơn; ","")&amp;IF(ISNA(MATCH($C2491,DATA_MASTER!$D$2:$D$5000,0)),"SĐT chưa đăng ký hội viên; ","")&amp;IF(AND($L2491="Đã chuyển khoản",$M2491=""),"Thiếu ngày nhận CK; ",""))</f>
        <v/>
      </c>
      <c r="T2491" s="24" t="n"/>
    </row>
    <row r="2492" ht="14.25" customHeight="1" s="40">
      <c r="A2492" s="24" t="n"/>
      <c r="B2492" s="29" t="n"/>
      <c r="C2492" s="28" t="n"/>
      <c r="D2492" s="22">
        <f t="array" ref="D2492">IF($C2492="","",IFERROR(INDEX(DATA_MASTER!$C$2:$C$5000,MATCH($C2492,DATA_MASTER!$D$2:$D$5000,0)),""))</f>
        <v/>
      </c>
      <c r="E2492" s="22">
        <f t="array" ref="E2492">IF($C2492="","",IFERROR(INDEX(DATA_MASTER!$I$2:$I$5000,MATCH($C2492,DATA_MASTER!$D$2:$D$5000,0)),""))</f>
        <v/>
      </c>
      <c r="F2492" s="22">
        <f t="array" ref="F2492">IF($C2492="","",IFERROR(INDEX(DATA_MASTER!$L$2:$L$5000,MATCH($C2492,DATA_MASTER!$D$2:$D$5000,0)),""))</f>
        <v/>
      </c>
      <c r="G2492" s="24" t="n"/>
      <c r="H2492" s="24" t="n"/>
      <c r="I2492" s="30" t="n"/>
      <c r="J2492" s="23">
        <f>IF(OR($H2492="",$I2492=""),"",$H2492*$I2492)</f>
        <v/>
      </c>
      <c r="K2492" s="24" t="n"/>
      <c r="L2492" s="24" t="n"/>
      <c r="M2492" s="29" t="n"/>
      <c r="N2492" s="28" t="n"/>
      <c r="O2492" s="24" t="n"/>
      <c r="P2492" s="24" t="n"/>
      <c r="Q2492" s="24" t="n"/>
      <c r="R2492" s="24" t="n"/>
      <c r="S2492" s="22">
        <f>IF(AND($A2492="",$C2492=""),"",IF($A2492="","Thiếu mã đơn; ","")&amp;IF(COUNTIF($A$2:$A2492,$A2492)&gt;1,"Trùng mã đơn; ","")&amp;IF(ISNA(MATCH($C2492,DATA_MASTER!$D$2:$D$5000,0)),"SĐT chưa đăng ký hội viên; ","")&amp;IF(AND($L2492="Đã chuyển khoản",$M2492=""),"Thiếu ngày nhận CK; ",""))</f>
        <v/>
      </c>
      <c r="T2492" s="24" t="n"/>
    </row>
    <row r="2493" ht="14.25" customHeight="1" s="40">
      <c r="A2493" s="24" t="n"/>
      <c r="B2493" s="29" t="n"/>
      <c r="C2493" s="28" t="n"/>
      <c r="D2493" s="22">
        <f t="array" ref="D2493">IF($C2493="","",IFERROR(INDEX(DATA_MASTER!$C$2:$C$5000,MATCH($C2493,DATA_MASTER!$D$2:$D$5000,0)),""))</f>
        <v/>
      </c>
      <c r="E2493" s="22">
        <f t="array" ref="E2493">IF($C2493="","",IFERROR(INDEX(DATA_MASTER!$I$2:$I$5000,MATCH($C2493,DATA_MASTER!$D$2:$D$5000,0)),""))</f>
        <v/>
      </c>
      <c r="F2493" s="22">
        <f t="array" ref="F2493">IF($C2493="","",IFERROR(INDEX(DATA_MASTER!$L$2:$L$5000,MATCH($C2493,DATA_MASTER!$D$2:$D$5000,0)),""))</f>
        <v/>
      </c>
      <c r="G2493" s="24" t="n"/>
      <c r="H2493" s="24" t="n"/>
      <c r="I2493" s="30" t="n"/>
      <c r="J2493" s="23">
        <f>IF(OR($H2493="",$I2493=""),"",$H2493*$I2493)</f>
        <v/>
      </c>
      <c r="K2493" s="24" t="n"/>
      <c r="L2493" s="24" t="n"/>
      <c r="M2493" s="29" t="n"/>
      <c r="N2493" s="28" t="n"/>
      <c r="O2493" s="24" t="n"/>
      <c r="P2493" s="24" t="n"/>
      <c r="Q2493" s="24" t="n"/>
      <c r="R2493" s="24" t="n"/>
      <c r="S2493" s="22">
        <f>IF(AND($A2493="",$C2493=""),"",IF($A2493="","Thiếu mã đơn; ","")&amp;IF(COUNTIF($A$2:$A2493,$A2493)&gt;1,"Trùng mã đơn; ","")&amp;IF(ISNA(MATCH($C2493,DATA_MASTER!$D$2:$D$5000,0)),"SĐT chưa đăng ký hội viên; ","")&amp;IF(AND($L2493="Đã chuyển khoản",$M2493=""),"Thiếu ngày nhận CK; ",""))</f>
        <v/>
      </c>
      <c r="T2493" s="24" t="n"/>
    </row>
    <row r="2494" ht="14.25" customHeight="1" s="40">
      <c r="A2494" s="24" t="n"/>
      <c r="B2494" s="29" t="n"/>
      <c r="C2494" s="28" t="n"/>
      <c r="D2494" s="22">
        <f t="array" ref="D2494">IF($C2494="","",IFERROR(INDEX(DATA_MASTER!$C$2:$C$5000,MATCH($C2494,DATA_MASTER!$D$2:$D$5000,0)),""))</f>
        <v/>
      </c>
      <c r="E2494" s="22">
        <f t="array" ref="E2494">IF($C2494="","",IFERROR(INDEX(DATA_MASTER!$I$2:$I$5000,MATCH($C2494,DATA_MASTER!$D$2:$D$5000,0)),""))</f>
        <v/>
      </c>
      <c r="F2494" s="22">
        <f t="array" ref="F2494">IF($C2494="","",IFERROR(INDEX(DATA_MASTER!$L$2:$L$5000,MATCH($C2494,DATA_MASTER!$D$2:$D$5000,0)),""))</f>
        <v/>
      </c>
      <c r="G2494" s="24" t="n"/>
      <c r="H2494" s="24" t="n"/>
      <c r="I2494" s="30" t="n"/>
      <c r="J2494" s="23">
        <f>IF(OR($H2494="",$I2494=""),"",$H2494*$I2494)</f>
        <v/>
      </c>
      <c r="K2494" s="24" t="n"/>
      <c r="L2494" s="24" t="n"/>
      <c r="M2494" s="29" t="n"/>
      <c r="N2494" s="28" t="n"/>
      <c r="O2494" s="24" t="n"/>
      <c r="P2494" s="24" t="n"/>
      <c r="Q2494" s="24" t="n"/>
      <c r="R2494" s="24" t="n"/>
      <c r="S2494" s="22">
        <f>IF(AND($A2494="",$C2494=""),"",IF($A2494="","Thiếu mã đơn; ","")&amp;IF(COUNTIF($A$2:$A2494,$A2494)&gt;1,"Trùng mã đơn; ","")&amp;IF(ISNA(MATCH($C2494,DATA_MASTER!$D$2:$D$5000,0)),"SĐT chưa đăng ký hội viên; ","")&amp;IF(AND($L2494="Đã chuyển khoản",$M2494=""),"Thiếu ngày nhận CK; ",""))</f>
        <v/>
      </c>
      <c r="T2494" s="24" t="n"/>
    </row>
    <row r="2495" ht="14.25" customHeight="1" s="40">
      <c r="A2495" s="24" t="n"/>
      <c r="B2495" s="29" t="n"/>
      <c r="C2495" s="28" t="n"/>
      <c r="D2495" s="22">
        <f t="array" ref="D2495">IF($C2495="","",IFERROR(INDEX(DATA_MASTER!$C$2:$C$5000,MATCH($C2495,DATA_MASTER!$D$2:$D$5000,0)),""))</f>
        <v/>
      </c>
      <c r="E2495" s="22">
        <f t="array" ref="E2495">IF($C2495="","",IFERROR(INDEX(DATA_MASTER!$I$2:$I$5000,MATCH($C2495,DATA_MASTER!$D$2:$D$5000,0)),""))</f>
        <v/>
      </c>
      <c r="F2495" s="22">
        <f t="array" ref="F2495">IF($C2495="","",IFERROR(INDEX(DATA_MASTER!$L$2:$L$5000,MATCH($C2495,DATA_MASTER!$D$2:$D$5000,0)),""))</f>
        <v/>
      </c>
      <c r="G2495" s="24" t="n"/>
      <c r="H2495" s="24" t="n"/>
      <c r="I2495" s="30" t="n"/>
      <c r="J2495" s="23">
        <f>IF(OR($H2495="",$I2495=""),"",$H2495*$I2495)</f>
        <v/>
      </c>
      <c r="K2495" s="24" t="n"/>
      <c r="L2495" s="24" t="n"/>
      <c r="M2495" s="29" t="n"/>
      <c r="N2495" s="28" t="n"/>
      <c r="O2495" s="24" t="n"/>
      <c r="P2495" s="24" t="n"/>
      <c r="Q2495" s="24" t="n"/>
      <c r="R2495" s="24" t="n"/>
      <c r="S2495" s="22">
        <f>IF(AND($A2495="",$C2495=""),"",IF($A2495="","Thiếu mã đơn; ","")&amp;IF(COUNTIF($A$2:$A2495,$A2495)&gt;1,"Trùng mã đơn; ","")&amp;IF(ISNA(MATCH($C2495,DATA_MASTER!$D$2:$D$5000,0)),"SĐT chưa đăng ký hội viên; ","")&amp;IF(AND($L2495="Đã chuyển khoản",$M2495=""),"Thiếu ngày nhận CK; ",""))</f>
        <v/>
      </c>
      <c r="T2495" s="24" t="n"/>
    </row>
    <row r="2496" ht="14.25" customHeight="1" s="40">
      <c r="A2496" s="24" t="n"/>
      <c r="B2496" s="29" t="n"/>
      <c r="C2496" s="28" t="n"/>
      <c r="D2496" s="22">
        <f t="array" ref="D2496">IF($C2496="","",IFERROR(INDEX(DATA_MASTER!$C$2:$C$5000,MATCH($C2496,DATA_MASTER!$D$2:$D$5000,0)),""))</f>
        <v/>
      </c>
      <c r="E2496" s="22">
        <f t="array" ref="E2496">IF($C2496="","",IFERROR(INDEX(DATA_MASTER!$I$2:$I$5000,MATCH($C2496,DATA_MASTER!$D$2:$D$5000,0)),""))</f>
        <v/>
      </c>
      <c r="F2496" s="22">
        <f t="array" ref="F2496">IF($C2496="","",IFERROR(INDEX(DATA_MASTER!$L$2:$L$5000,MATCH($C2496,DATA_MASTER!$D$2:$D$5000,0)),""))</f>
        <v/>
      </c>
      <c r="G2496" s="24" t="n"/>
      <c r="H2496" s="24" t="n"/>
      <c r="I2496" s="30" t="n"/>
      <c r="J2496" s="23">
        <f>IF(OR($H2496="",$I2496=""),"",$H2496*$I2496)</f>
        <v/>
      </c>
      <c r="K2496" s="24" t="n"/>
      <c r="L2496" s="24" t="n"/>
      <c r="M2496" s="29" t="n"/>
      <c r="N2496" s="28" t="n"/>
      <c r="O2496" s="24" t="n"/>
      <c r="P2496" s="24" t="n"/>
      <c r="Q2496" s="24" t="n"/>
      <c r="R2496" s="24" t="n"/>
      <c r="S2496" s="22">
        <f>IF(AND($A2496="",$C2496=""),"",IF($A2496="","Thiếu mã đơn; ","")&amp;IF(COUNTIF($A$2:$A2496,$A2496)&gt;1,"Trùng mã đơn; ","")&amp;IF(ISNA(MATCH($C2496,DATA_MASTER!$D$2:$D$5000,0)),"SĐT chưa đăng ký hội viên; ","")&amp;IF(AND($L2496="Đã chuyển khoản",$M2496=""),"Thiếu ngày nhận CK; ",""))</f>
        <v/>
      </c>
      <c r="T2496" s="24" t="n"/>
    </row>
    <row r="2497" ht="14.25" customHeight="1" s="40">
      <c r="A2497" s="24" t="n"/>
      <c r="B2497" s="29" t="n"/>
      <c r="C2497" s="28" t="n"/>
      <c r="D2497" s="22">
        <f t="array" ref="D2497">IF($C2497="","",IFERROR(INDEX(DATA_MASTER!$C$2:$C$5000,MATCH($C2497,DATA_MASTER!$D$2:$D$5000,0)),""))</f>
        <v/>
      </c>
      <c r="E2497" s="22">
        <f t="array" ref="E2497">IF($C2497="","",IFERROR(INDEX(DATA_MASTER!$I$2:$I$5000,MATCH($C2497,DATA_MASTER!$D$2:$D$5000,0)),""))</f>
        <v/>
      </c>
      <c r="F2497" s="22">
        <f t="array" ref="F2497">IF($C2497="","",IFERROR(INDEX(DATA_MASTER!$L$2:$L$5000,MATCH($C2497,DATA_MASTER!$D$2:$D$5000,0)),""))</f>
        <v/>
      </c>
      <c r="G2497" s="24" t="n"/>
      <c r="H2497" s="24" t="n"/>
      <c r="I2497" s="30" t="n"/>
      <c r="J2497" s="23">
        <f>IF(OR($H2497="",$I2497=""),"",$H2497*$I2497)</f>
        <v/>
      </c>
      <c r="K2497" s="24" t="n"/>
      <c r="L2497" s="24" t="n"/>
      <c r="M2497" s="29" t="n"/>
      <c r="N2497" s="28" t="n"/>
      <c r="O2497" s="24" t="n"/>
      <c r="P2497" s="24" t="n"/>
      <c r="Q2497" s="24" t="n"/>
      <c r="R2497" s="24" t="n"/>
      <c r="S2497" s="22">
        <f>IF(AND($A2497="",$C2497=""),"",IF($A2497="","Thiếu mã đơn; ","")&amp;IF(COUNTIF($A$2:$A2497,$A2497)&gt;1,"Trùng mã đơn; ","")&amp;IF(ISNA(MATCH($C2497,DATA_MASTER!$D$2:$D$5000,0)),"SĐT chưa đăng ký hội viên; ","")&amp;IF(AND($L2497="Đã chuyển khoản",$M2497=""),"Thiếu ngày nhận CK; ",""))</f>
        <v/>
      </c>
      <c r="T2497" s="24" t="n"/>
    </row>
    <row r="2498" ht="14.25" customHeight="1" s="40">
      <c r="A2498" s="24" t="n"/>
      <c r="B2498" s="29" t="n"/>
      <c r="C2498" s="28" t="n"/>
      <c r="D2498" s="22">
        <f t="array" ref="D2498">IF($C2498="","",IFERROR(INDEX(DATA_MASTER!$C$2:$C$5000,MATCH($C2498,DATA_MASTER!$D$2:$D$5000,0)),""))</f>
        <v/>
      </c>
      <c r="E2498" s="22">
        <f t="array" ref="E2498">IF($C2498="","",IFERROR(INDEX(DATA_MASTER!$I$2:$I$5000,MATCH($C2498,DATA_MASTER!$D$2:$D$5000,0)),""))</f>
        <v/>
      </c>
      <c r="F2498" s="22">
        <f t="array" ref="F2498">IF($C2498="","",IFERROR(INDEX(DATA_MASTER!$L$2:$L$5000,MATCH($C2498,DATA_MASTER!$D$2:$D$5000,0)),""))</f>
        <v/>
      </c>
      <c r="G2498" s="24" t="n"/>
      <c r="H2498" s="24" t="n"/>
      <c r="I2498" s="30" t="n"/>
      <c r="J2498" s="23">
        <f>IF(OR($H2498="",$I2498=""),"",$H2498*$I2498)</f>
        <v/>
      </c>
      <c r="K2498" s="24" t="n"/>
      <c r="L2498" s="24" t="n"/>
      <c r="M2498" s="29" t="n"/>
      <c r="N2498" s="28" t="n"/>
      <c r="O2498" s="24" t="n"/>
      <c r="P2498" s="24" t="n"/>
      <c r="Q2498" s="24" t="n"/>
      <c r="R2498" s="24" t="n"/>
      <c r="S2498" s="22">
        <f>IF(AND($A2498="",$C2498=""),"",IF($A2498="","Thiếu mã đơn; ","")&amp;IF(COUNTIF($A$2:$A2498,$A2498)&gt;1,"Trùng mã đơn; ","")&amp;IF(ISNA(MATCH($C2498,DATA_MASTER!$D$2:$D$5000,0)),"SĐT chưa đăng ký hội viên; ","")&amp;IF(AND($L2498="Đã chuyển khoản",$M2498=""),"Thiếu ngày nhận CK; ",""))</f>
        <v/>
      </c>
      <c r="T2498" s="24" t="n"/>
    </row>
    <row r="2499" ht="14.25" customHeight="1" s="40">
      <c r="A2499" s="24" t="n"/>
      <c r="B2499" s="29" t="n"/>
      <c r="C2499" s="28" t="n"/>
      <c r="D2499" s="22">
        <f t="array" ref="D2499">IF($C2499="","",IFERROR(INDEX(DATA_MASTER!$C$2:$C$5000,MATCH($C2499,DATA_MASTER!$D$2:$D$5000,0)),""))</f>
        <v/>
      </c>
      <c r="E2499" s="22">
        <f t="array" ref="E2499">IF($C2499="","",IFERROR(INDEX(DATA_MASTER!$I$2:$I$5000,MATCH($C2499,DATA_MASTER!$D$2:$D$5000,0)),""))</f>
        <v/>
      </c>
      <c r="F2499" s="22">
        <f t="array" ref="F2499">IF($C2499="","",IFERROR(INDEX(DATA_MASTER!$L$2:$L$5000,MATCH($C2499,DATA_MASTER!$D$2:$D$5000,0)),""))</f>
        <v/>
      </c>
      <c r="G2499" s="24" t="n"/>
      <c r="H2499" s="24" t="n"/>
      <c r="I2499" s="30" t="n"/>
      <c r="J2499" s="23">
        <f>IF(OR($H2499="",$I2499=""),"",$H2499*$I2499)</f>
        <v/>
      </c>
      <c r="K2499" s="24" t="n"/>
      <c r="L2499" s="24" t="n"/>
      <c r="M2499" s="29" t="n"/>
      <c r="N2499" s="28" t="n"/>
      <c r="O2499" s="24" t="n"/>
      <c r="P2499" s="24" t="n"/>
      <c r="Q2499" s="24" t="n"/>
      <c r="R2499" s="24" t="n"/>
      <c r="S2499" s="22">
        <f>IF(AND($A2499="",$C2499=""),"",IF($A2499="","Thiếu mã đơn; ","")&amp;IF(COUNTIF($A$2:$A2499,$A2499)&gt;1,"Trùng mã đơn; ","")&amp;IF(ISNA(MATCH($C2499,DATA_MASTER!$D$2:$D$5000,0)),"SĐT chưa đăng ký hội viên; ","")&amp;IF(AND($L2499="Đã chuyển khoản",$M2499=""),"Thiếu ngày nhận CK; ",""))</f>
        <v/>
      </c>
      <c r="T2499" s="24" t="n"/>
    </row>
    <row r="2500" ht="14.25" customHeight="1" s="40">
      <c r="A2500" s="24" t="n"/>
      <c r="B2500" s="29" t="n"/>
      <c r="C2500" s="28" t="n"/>
      <c r="D2500" s="22">
        <f t="array" ref="D2500">IF($C2500="","",IFERROR(INDEX(DATA_MASTER!$C$2:$C$5000,MATCH($C2500,DATA_MASTER!$D$2:$D$5000,0)),""))</f>
        <v/>
      </c>
      <c r="E2500" s="22">
        <f t="array" ref="E2500">IF($C2500="","",IFERROR(INDEX(DATA_MASTER!$I$2:$I$5000,MATCH($C2500,DATA_MASTER!$D$2:$D$5000,0)),""))</f>
        <v/>
      </c>
      <c r="F2500" s="22">
        <f t="array" ref="F2500">IF($C2500="","",IFERROR(INDEX(DATA_MASTER!$L$2:$L$5000,MATCH($C2500,DATA_MASTER!$D$2:$D$5000,0)),""))</f>
        <v/>
      </c>
      <c r="G2500" s="24" t="n"/>
      <c r="H2500" s="24" t="n"/>
      <c r="I2500" s="30" t="n"/>
      <c r="J2500" s="23">
        <f>IF(OR($H2500="",$I2500=""),"",$H2500*$I2500)</f>
        <v/>
      </c>
      <c r="K2500" s="24" t="n"/>
      <c r="L2500" s="24" t="n"/>
      <c r="M2500" s="29" t="n"/>
      <c r="N2500" s="28" t="n"/>
      <c r="O2500" s="24" t="n"/>
      <c r="P2500" s="24" t="n"/>
      <c r="Q2500" s="24" t="n"/>
      <c r="R2500" s="24" t="n"/>
      <c r="S2500" s="22">
        <f>IF(AND($A2500="",$C2500=""),"",IF($A2500="","Thiếu mã đơn; ","")&amp;IF(COUNTIF($A$2:$A2500,$A2500)&gt;1,"Trùng mã đơn; ","")&amp;IF(ISNA(MATCH($C2500,DATA_MASTER!$D$2:$D$5000,0)),"SĐT chưa đăng ký hội viên; ","")&amp;IF(AND($L2500="Đã chuyển khoản",$M2500=""),"Thiếu ngày nhận CK; ",""))</f>
        <v/>
      </c>
      <c r="T2500" s="24" t="n"/>
    </row>
    <row r="2501" ht="14.25" customHeight="1" s="40">
      <c r="A2501" s="24" t="n"/>
      <c r="B2501" s="29" t="n"/>
      <c r="C2501" s="28" t="n"/>
      <c r="D2501" s="22">
        <f t="array" ref="D2501">IF($C2501="","",IFERROR(INDEX(DATA_MASTER!$C$2:$C$5000,MATCH($C2501,DATA_MASTER!$D$2:$D$5000,0)),""))</f>
        <v/>
      </c>
      <c r="E2501" s="22">
        <f t="array" ref="E2501">IF($C2501="","",IFERROR(INDEX(DATA_MASTER!$I$2:$I$5000,MATCH($C2501,DATA_MASTER!$D$2:$D$5000,0)),""))</f>
        <v/>
      </c>
      <c r="F2501" s="22">
        <f t="array" ref="F2501">IF($C2501="","",IFERROR(INDEX(DATA_MASTER!$L$2:$L$5000,MATCH($C2501,DATA_MASTER!$D$2:$D$5000,0)),""))</f>
        <v/>
      </c>
      <c r="G2501" s="24" t="n"/>
      <c r="H2501" s="24" t="n"/>
      <c r="I2501" s="30" t="n"/>
      <c r="J2501" s="23">
        <f>IF(OR($H2501="",$I2501=""),"",$H2501*$I2501)</f>
        <v/>
      </c>
      <c r="K2501" s="24" t="n"/>
      <c r="L2501" s="24" t="n"/>
      <c r="M2501" s="29" t="n"/>
      <c r="N2501" s="28" t="n"/>
      <c r="O2501" s="24" t="n"/>
      <c r="P2501" s="24" t="n"/>
      <c r="Q2501" s="24" t="n"/>
      <c r="R2501" s="24" t="n"/>
      <c r="S2501" s="22">
        <f>IF(AND($A2501="",$C2501=""),"",IF($A2501="","Thiếu mã đơn; ","")&amp;IF(COUNTIF($A$2:$A2501,$A2501)&gt;1,"Trùng mã đơn; ","")&amp;IF(ISNA(MATCH($C2501,DATA_MASTER!$D$2:$D$5000,0)),"SĐT chưa đăng ký hội viên; ","")&amp;IF(AND($L2501="Đã chuyển khoản",$M2501=""),"Thiếu ngày nhận CK; ",""))</f>
        <v/>
      </c>
      <c r="T2501" s="24" t="n"/>
    </row>
    <row r="2502" ht="14.25" customHeight="1" s="40">
      <c r="A2502" s="24" t="n"/>
      <c r="B2502" s="29" t="n"/>
      <c r="C2502" s="28" t="n"/>
      <c r="D2502" s="22">
        <f t="array" ref="D2502">IF($C2502="","",IFERROR(INDEX(DATA_MASTER!$C$2:$C$5000,MATCH($C2502,DATA_MASTER!$D$2:$D$5000,0)),""))</f>
        <v/>
      </c>
      <c r="E2502" s="22">
        <f t="array" ref="E2502">IF($C2502="","",IFERROR(INDEX(DATA_MASTER!$I$2:$I$5000,MATCH($C2502,DATA_MASTER!$D$2:$D$5000,0)),""))</f>
        <v/>
      </c>
      <c r="F2502" s="22">
        <f t="array" ref="F2502">IF($C2502="","",IFERROR(INDEX(DATA_MASTER!$L$2:$L$5000,MATCH($C2502,DATA_MASTER!$D$2:$D$5000,0)),""))</f>
        <v/>
      </c>
      <c r="G2502" s="24" t="n"/>
      <c r="H2502" s="24" t="n"/>
      <c r="I2502" s="30" t="n"/>
      <c r="J2502" s="23">
        <f>IF(OR($H2502="",$I2502=""),"",$H2502*$I2502)</f>
        <v/>
      </c>
      <c r="K2502" s="24" t="n"/>
      <c r="L2502" s="24" t="n"/>
      <c r="M2502" s="29" t="n"/>
      <c r="N2502" s="28" t="n"/>
      <c r="O2502" s="24" t="n"/>
      <c r="P2502" s="24" t="n"/>
      <c r="Q2502" s="24" t="n"/>
      <c r="R2502" s="24" t="n"/>
      <c r="S2502" s="22">
        <f>IF(AND($A2502="",$C2502=""),"",IF($A2502="","Thiếu mã đơn; ","")&amp;IF(COUNTIF($A$2:$A2502,$A2502)&gt;1,"Trùng mã đơn; ","")&amp;IF(ISNA(MATCH($C2502,DATA_MASTER!$D$2:$D$5000,0)),"SĐT chưa đăng ký hội viên; ","")&amp;IF(AND($L2502="Đã chuyển khoản",$M2502=""),"Thiếu ngày nhận CK; ",""))</f>
        <v/>
      </c>
      <c r="T2502" s="24" t="n"/>
    </row>
    <row r="2503" ht="14.25" customHeight="1" s="40">
      <c r="A2503" s="24" t="n"/>
      <c r="B2503" s="29" t="n"/>
      <c r="C2503" s="28" t="n"/>
      <c r="D2503" s="22">
        <f t="array" ref="D2503">IF($C2503="","",IFERROR(INDEX(DATA_MASTER!$C$2:$C$5000,MATCH($C2503,DATA_MASTER!$D$2:$D$5000,0)),""))</f>
        <v/>
      </c>
      <c r="E2503" s="22">
        <f t="array" ref="E2503">IF($C2503="","",IFERROR(INDEX(DATA_MASTER!$I$2:$I$5000,MATCH($C2503,DATA_MASTER!$D$2:$D$5000,0)),""))</f>
        <v/>
      </c>
      <c r="F2503" s="22">
        <f t="array" ref="F2503">IF($C2503="","",IFERROR(INDEX(DATA_MASTER!$L$2:$L$5000,MATCH($C2503,DATA_MASTER!$D$2:$D$5000,0)),""))</f>
        <v/>
      </c>
      <c r="G2503" s="24" t="n"/>
      <c r="H2503" s="24" t="n"/>
      <c r="I2503" s="30" t="n"/>
      <c r="J2503" s="23">
        <f>IF(OR($H2503="",$I2503=""),"",$H2503*$I2503)</f>
        <v/>
      </c>
      <c r="K2503" s="24" t="n"/>
      <c r="L2503" s="24" t="n"/>
      <c r="M2503" s="29" t="n"/>
      <c r="N2503" s="28" t="n"/>
      <c r="O2503" s="24" t="n"/>
      <c r="P2503" s="24" t="n"/>
      <c r="Q2503" s="24" t="n"/>
      <c r="R2503" s="24" t="n"/>
      <c r="S2503" s="22">
        <f>IF(AND($A2503="",$C2503=""),"",IF($A2503="","Thiếu mã đơn; ","")&amp;IF(COUNTIF($A$2:$A2503,$A2503)&gt;1,"Trùng mã đơn; ","")&amp;IF(ISNA(MATCH($C2503,DATA_MASTER!$D$2:$D$5000,0)),"SĐT chưa đăng ký hội viên; ","")&amp;IF(AND($L2503="Đã chuyển khoản",$M2503=""),"Thiếu ngày nhận CK; ",""))</f>
        <v/>
      </c>
      <c r="T2503" s="24" t="n"/>
    </row>
    <row r="2504" ht="14.25" customHeight="1" s="40">
      <c r="A2504" s="24" t="n"/>
      <c r="B2504" s="29" t="n"/>
      <c r="C2504" s="28" t="n"/>
      <c r="D2504" s="22">
        <f t="array" ref="D2504">IF($C2504="","",IFERROR(INDEX(DATA_MASTER!$C$2:$C$5000,MATCH($C2504,DATA_MASTER!$D$2:$D$5000,0)),""))</f>
        <v/>
      </c>
      <c r="E2504" s="22">
        <f t="array" ref="E2504">IF($C2504="","",IFERROR(INDEX(DATA_MASTER!$I$2:$I$5000,MATCH($C2504,DATA_MASTER!$D$2:$D$5000,0)),""))</f>
        <v/>
      </c>
      <c r="F2504" s="22">
        <f t="array" ref="F2504">IF($C2504="","",IFERROR(INDEX(DATA_MASTER!$L$2:$L$5000,MATCH($C2504,DATA_MASTER!$D$2:$D$5000,0)),""))</f>
        <v/>
      </c>
      <c r="G2504" s="24" t="n"/>
      <c r="H2504" s="24" t="n"/>
      <c r="I2504" s="30" t="n"/>
      <c r="J2504" s="23">
        <f>IF(OR($H2504="",$I2504=""),"",$H2504*$I2504)</f>
        <v/>
      </c>
      <c r="K2504" s="24" t="n"/>
      <c r="L2504" s="24" t="n"/>
      <c r="M2504" s="29" t="n"/>
      <c r="N2504" s="28" t="n"/>
      <c r="O2504" s="24" t="n"/>
      <c r="P2504" s="24" t="n"/>
      <c r="Q2504" s="24" t="n"/>
      <c r="R2504" s="24" t="n"/>
      <c r="S2504" s="22">
        <f>IF(AND($A2504="",$C2504=""),"",IF($A2504="","Thiếu mã đơn; ","")&amp;IF(COUNTIF($A$2:$A2504,$A2504)&gt;1,"Trùng mã đơn; ","")&amp;IF(ISNA(MATCH($C2504,DATA_MASTER!$D$2:$D$5000,0)),"SĐT chưa đăng ký hội viên; ","")&amp;IF(AND($L2504="Đã chuyển khoản",$M2504=""),"Thiếu ngày nhận CK; ",""))</f>
        <v/>
      </c>
      <c r="T2504" s="24" t="n"/>
    </row>
    <row r="2505" ht="14.25" customHeight="1" s="40">
      <c r="A2505" s="24" t="n"/>
      <c r="B2505" s="29" t="n"/>
      <c r="C2505" s="28" t="n"/>
      <c r="D2505" s="22">
        <f t="array" ref="D2505">IF($C2505="","",IFERROR(INDEX(DATA_MASTER!$C$2:$C$5000,MATCH($C2505,DATA_MASTER!$D$2:$D$5000,0)),""))</f>
        <v/>
      </c>
      <c r="E2505" s="22">
        <f t="array" ref="E2505">IF($C2505="","",IFERROR(INDEX(DATA_MASTER!$I$2:$I$5000,MATCH($C2505,DATA_MASTER!$D$2:$D$5000,0)),""))</f>
        <v/>
      </c>
      <c r="F2505" s="22">
        <f t="array" ref="F2505">IF($C2505="","",IFERROR(INDEX(DATA_MASTER!$L$2:$L$5000,MATCH($C2505,DATA_MASTER!$D$2:$D$5000,0)),""))</f>
        <v/>
      </c>
      <c r="G2505" s="24" t="n"/>
      <c r="H2505" s="24" t="n"/>
      <c r="I2505" s="30" t="n"/>
      <c r="J2505" s="23">
        <f>IF(OR($H2505="",$I2505=""),"",$H2505*$I2505)</f>
        <v/>
      </c>
      <c r="K2505" s="24" t="n"/>
      <c r="L2505" s="24" t="n"/>
      <c r="M2505" s="29" t="n"/>
      <c r="N2505" s="28" t="n"/>
      <c r="O2505" s="24" t="n"/>
      <c r="P2505" s="24" t="n"/>
      <c r="Q2505" s="24" t="n"/>
      <c r="R2505" s="24" t="n"/>
      <c r="S2505" s="22">
        <f>IF(AND($A2505="",$C2505=""),"",IF($A2505="","Thiếu mã đơn; ","")&amp;IF(COUNTIF($A$2:$A2505,$A2505)&gt;1,"Trùng mã đơn; ","")&amp;IF(ISNA(MATCH($C2505,DATA_MASTER!$D$2:$D$5000,0)),"SĐT chưa đăng ký hội viên; ","")&amp;IF(AND($L2505="Đã chuyển khoản",$M2505=""),"Thiếu ngày nhận CK; ",""))</f>
        <v/>
      </c>
      <c r="T2505" s="24" t="n"/>
    </row>
    <row r="2506" ht="14.25" customHeight="1" s="40">
      <c r="A2506" s="24" t="n"/>
      <c r="B2506" s="29" t="n"/>
      <c r="C2506" s="28" t="n"/>
      <c r="D2506" s="22">
        <f t="array" ref="D2506">IF($C2506="","",IFERROR(INDEX(DATA_MASTER!$C$2:$C$5000,MATCH($C2506,DATA_MASTER!$D$2:$D$5000,0)),""))</f>
        <v/>
      </c>
      <c r="E2506" s="22">
        <f t="array" ref="E2506">IF($C2506="","",IFERROR(INDEX(DATA_MASTER!$I$2:$I$5000,MATCH($C2506,DATA_MASTER!$D$2:$D$5000,0)),""))</f>
        <v/>
      </c>
      <c r="F2506" s="22">
        <f t="array" ref="F2506">IF($C2506="","",IFERROR(INDEX(DATA_MASTER!$L$2:$L$5000,MATCH($C2506,DATA_MASTER!$D$2:$D$5000,0)),""))</f>
        <v/>
      </c>
      <c r="G2506" s="24" t="n"/>
      <c r="H2506" s="24" t="n"/>
      <c r="I2506" s="30" t="n"/>
      <c r="J2506" s="23">
        <f>IF(OR($H2506="",$I2506=""),"",$H2506*$I2506)</f>
        <v/>
      </c>
      <c r="K2506" s="24" t="n"/>
      <c r="L2506" s="24" t="n"/>
      <c r="M2506" s="29" t="n"/>
      <c r="N2506" s="28" t="n"/>
      <c r="O2506" s="24" t="n"/>
      <c r="P2506" s="24" t="n"/>
      <c r="Q2506" s="24" t="n"/>
      <c r="R2506" s="24" t="n"/>
      <c r="S2506" s="22">
        <f>IF(AND($A2506="",$C2506=""),"",IF($A2506="","Thiếu mã đơn; ","")&amp;IF(COUNTIF($A$2:$A2506,$A2506)&gt;1,"Trùng mã đơn; ","")&amp;IF(ISNA(MATCH($C2506,DATA_MASTER!$D$2:$D$5000,0)),"SĐT chưa đăng ký hội viên; ","")&amp;IF(AND($L2506="Đã chuyển khoản",$M2506=""),"Thiếu ngày nhận CK; ",""))</f>
        <v/>
      </c>
      <c r="T2506" s="24" t="n"/>
    </row>
    <row r="2507" ht="14.25" customHeight="1" s="40">
      <c r="A2507" s="24" t="n"/>
      <c r="B2507" s="29" t="n"/>
      <c r="C2507" s="28" t="n"/>
      <c r="D2507" s="22">
        <f t="array" ref="D2507">IF($C2507="","",IFERROR(INDEX(DATA_MASTER!$C$2:$C$5000,MATCH($C2507,DATA_MASTER!$D$2:$D$5000,0)),""))</f>
        <v/>
      </c>
      <c r="E2507" s="22">
        <f t="array" ref="E2507">IF($C2507="","",IFERROR(INDEX(DATA_MASTER!$I$2:$I$5000,MATCH($C2507,DATA_MASTER!$D$2:$D$5000,0)),""))</f>
        <v/>
      </c>
      <c r="F2507" s="22">
        <f t="array" ref="F2507">IF($C2507="","",IFERROR(INDEX(DATA_MASTER!$L$2:$L$5000,MATCH($C2507,DATA_MASTER!$D$2:$D$5000,0)),""))</f>
        <v/>
      </c>
      <c r="G2507" s="24" t="n"/>
      <c r="H2507" s="24" t="n"/>
      <c r="I2507" s="30" t="n"/>
      <c r="J2507" s="23">
        <f>IF(OR($H2507="",$I2507=""),"",$H2507*$I2507)</f>
        <v/>
      </c>
      <c r="K2507" s="24" t="n"/>
      <c r="L2507" s="24" t="n"/>
      <c r="M2507" s="29" t="n"/>
      <c r="N2507" s="28" t="n"/>
      <c r="O2507" s="24" t="n"/>
      <c r="P2507" s="24" t="n"/>
      <c r="Q2507" s="24" t="n"/>
      <c r="R2507" s="24" t="n"/>
      <c r="S2507" s="22">
        <f>IF(AND($A2507="",$C2507=""),"",IF($A2507="","Thiếu mã đơn; ","")&amp;IF(COUNTIF($A$2:$A2507,$A2507)&gt;1,"Trùng mã đơn; ","")&amp;IF(ISNA(MATCH($C2507,DATA_MASTER!$D$2:$D$5000,0)),"SĐT chưa đăng ký hội viên; ","")&amp;IF(AND($L2507="Đã chuyển khoản",$M2507=""),"Thiếu ngày nhận CK; ",""))</f>
        <v/>
      </c>
      <c r="T2507" s="24" t="n"/>
    </row>
    <row r="2508" ht="14.25" customHeight="1" s="40">
      <c r="A2508" s="24" t="n"/>
      <c r="B2508" s="29" t="n"/>
      <c r="C2508" s="28" t="n"/>
      <c r="D2508" s="22">
        <f t="array" ref="D2508">IF($C2508="","",IFERROR(INDEX(DATA_MASTER!$C$2:$C$5000,MATCH($C2508,DATA_MASTER!$D$2:$D$5000,0)),""))</f>
        <v/>
      </c>
      <c r="E2508" s="22">
        <f t="array" ref="E2508">IF($C2508="","",IFERROR(INDEX(DATA_MASTER!$I$2:$I$5000,MATCH($C2508,DATA_MASTER!$D$2:$D$5000,0)),""))</f>
        <v/>
      </c>
      <c r="F2508" s="22">
        <f t="array" ref="F2508">IF($C2508="","",IFERROR(INDEX(DATA_MASTER!$L$2:$L$5000,MATCH($C2508,DATA_MASTER!$D$2:$D$5000,0)),""))</f>
        <v/>
      </c>
      <c r="G2508" s="24" t="n"/>
      <c r="H2508" s="24" t="n"/>
      <c r="I2508" s="30" t="n"/>
      <c r="J2508" s="23">
        <f>IF(OR($H2508="",$I2508=""),"",$H2508*$I2508)</f>
        <v/>
      </c>
      <c r="K2508" s="24" t="n"/>
      <c r="L2508" s="24" t="n"/>
      <c r="M2508" s="29" t="n"/>
      <c r="N2508" s="28" t="n"/>
      <c r="O2508" s="24" t="n"/>
      <c r="P2508" s="24" t="n"/>
      <c r="Q2508" s="24" t="n"/>
      <c r="R2508" s="24" t="n"/>
      <c r="S2508" s="22">
        <f>IF(AND($A2508="",$C2508=""),"",IF($A2508="","Thiếu mã đơn; ","")&amp;IF(COUNTIF($A$2:$A2508,$A2508)&gt;1,"Trùng mã đơn; ","")&amp;IF(ISNA(MATCH($C2508,DATA_MASTER!$D$2:$D$5000,0)),"SĐT chưa đăng ký hội viên; ","")&amp;IF(AND($L2508="Đã chuyển khoản",$M2508=""),"Thiếu ngày nhận CK; ",""))</f>
        <v/>
      </c>
      <c r="T2508" s="24" t="n"/>
    </row>
    <row r="2509" ht="14.25" customHeight="1" s="40">
      <c r="A2509" s="24" t="n"/>
      <c r="B2509" s="29" t="n"/>
      <c r="C2509" s="28" t="n"/>
      <c r="D2509" s="22">
        <f t="array" ref="D2509">IF($C2509="","",IFERROR(INDEX(DATA_MASTER!$C$2:$C$5000,MATCH($C2509,DATA_MASTER!$D$2:$D$5000,0)),""))</f>
        <v/>
      </c>
      <c r="E2509" s="22">
        <f t="array" ref="E2509">IF($C2509="","",IFERROR(INDEX(DATA_MASTER!$I$2:$I$5000,MATCH($C2509,DATA_MASTER!$D$2:$D$5000,0)),""))</f>
        <v/>
      </c>
      <c r="F2509" s="22">
        <f t="array" ref="F2509">IF($C2509="","",IFERROR(INDEX(DATA_MASTER!$L$2:$L$5000,MATCH($C2509,DATA_MASTER!$D$2:$D$5000,0)),""))</f>
        <v/>
      </c>
      <c r="G2509" s="24" t="n"/>
      <c r="H2509" s="24" t="n"/>
      <c r="I2509" s="30" t="n"/>
      <c r="J2509" s="23">
        <f>IF(OR($H2509="",$I2509=""),"",$H2509*$I2509)</f>
        <v/>
      </c>
      <c r="K2509" s="24" t="n"/>
      <c r="L2509" s="24" t="n"/>
      <c r="M2509" s="29" t="n"/>
      <c r="N2509" s="28" t="n"/>
      <c r="O2509" s="24" t="n"/>
      <c r="P2509" s="24" t="n"/>
      <c r="Q2509" s="24" t="n"/>
      <c r="R2509" s="24" t="n"/>
      <c r="S2509" s="22">
        <f>IF(AND($A2509="",$C2509=""),"",IF($A2509="","Thiếu mã đơn; ","")&amp;IF(COUNTIF($A$2:$A2509,$A2509)&gt;1,"Trùng mã đơn; ","")&amp;IF(ISNA(MATCH($C2509,DATA_MASTER!$D$2:$D$5000,0)),"SĐT chưa đăng ký hội viên; ","")&amp;IF(AND($L2509="Đã chuyển khoản",$M2509=""),"Thiếu ngày nhận CK; ",""))</f>
        <v/>
      </c>
      <c r="T2509" s="24" t="n"/>
    </row>
    <row r="2510" ht="14.25" customHeight="1" s="40">
      <c r="A2510" s="24" t="n"/>
      <c r="B2510" s="29" t="n"/>
      <c r="C2510" s="28" t="n"/>
      <c r="D2510" s="22">
        <f t="array" ref="D2510">IF($C2510="","",IFERROR(INDEX(DATA_MASTER!$C$2:$C$5000,MATCH($C2510,DATA_MASTER!$D$2:$D$5000,0)),""))</f>
        <v/>
      </c>
      <c r="E2510" s="22">
        <f t="array" ref="E2510">IF($C2510="","",IFERROR(INDEX(DATA_MASTER!$I$2:$I$5000,MATCH($C2510,DATA_MASTER!$D$2:$D$5000,0)),""))</f>
        <v/>
      </c>
      <c r="F2510" s="22">
        <f t="array" ref="F2510">IF($C2510="","",IFERROR(INDEX(DATA_MASTER!$L$2:$L$5000,MATCH($C2510,DATA_MASTER!$D$2:$D$5000,0)),""))</f>
        <v/>
      </c>
      <c r="G2510" s="24" t="n"/>
      <c r="H2510" s="24" t="n"/>
      <c r="I2510" s="30" t="n"/>
      <c r="J2510" s="23">
        <f>IF(OR($H2510="",$I2510=""),"",$H2510*$I2510)</f>
        <v/>
      </c>
      <c r="K2510" s="24" t="n"/>
      <c r="L2510" s="24" t="n"/>
      <c r="M2510" s="29" t="n"/>
      <c r="N2510" s="28" t="n"/>
      <c r="O2510" s="24" t="n"/>
      <c r="P2510" s="24" t="n"/>
      <c r="Q2510" s="24" t="n"/>
      <c r="R2510" s="24" t="n"/>
      <c r="S2510" s="22">
        <f>IF(AND($A2510="",$C2510=""),"",IF($A2510="","Thiếu mã đơn; ","")&amp;IF(COUNTIF($A$2:$A2510,$A2510)&gt;1,"Trùng mã đơn; ","")&amp;IF(ISNA(MATCH($C2510,DATA_MASTER!$D$2:$D$5000,0)),"SĐT chưa đăng ký hội viên; ","")&amp;IF(AND($L2510="Đã chuyển khoản",$M2510=""),"Thiếu ngày nhận CK; ",""))</f>
        <v/>
      </c>
      <c r="T2510" s="24" t="n"/>
    </row>
    <row r="2511" ht="14.25" customHeight="1" s="40">
      <c r="A2511" s="24" t="n"/>
      <c r="B2511" s="29" t="n"/>
      <c r="C2511" s="28" t="n"/>
      <c r="D2511" s="22">
        <f t="array" ref="D2511">IF($C2511="","",IFERROR(INDEX(DATA_MASTER!$C$2:$C$5000,MATCH($C2511,DATA_MASTER!$D$2:$D$5000,0)),""))</f>
        <v/>
      </c>
      <c r="E2511" s="22">
        <f t="array" ref="E2511">IF($C2511="","",IFERROR(INDEX(DATA_MASTER!$I$2:$I$5000,MATCH($C2511,DATA_MASTER!$D$2:$D$5000,0)),""))</f>
        <v/>
      </c>
      <c r="F2511" s="22">
        <f t="array" ref="F2511">IF($C2511="","",IFERROR(INDEX(DATA_MASTER!$L$2:$L$5000,MATCH($C2511,DATA_MASTER!$D$2:$D$5000,0)),""))</f>
        <v/>
      </c>
      <c r="G2511" s="24" t="n"/>
      <c r="H2511" s="24" t="n"/>
      <c r="I2511" s="30" t="n"/>
      <c r="J2511" s="23">
        <f>IF(OR($H2511="",$I2511=""),"",$H2511*$I2511)</f>
        <v/>
      </c>
      <c r="K2511" s="24" t="n"/>
      <c r="L2511" s="24" t="n"/>
      <c r="M2511" s="29" t="n"/>
      <c r="N2511" s="28" t="n"/>
      <c r="O2511" s="24" t="n"/>
      <c r="P2511" s="24" t="n"/>
      <c r="Q2511" s="24" t="n"/>
      <c r="R2511" s="24" t="n"/>
      <c r="S2511" s="22">
        <f>IF(AND($A2511="",$C2511=""),"",IF($A2511="","Thiếu mã đơn; ","")&amp;IF(COUNTIF($A$2:$A2511,$A2511)&gt;1,"Trùng mã đơn; ","")&amp;IF(ISNA(MATCH($C2511,DATA_MASTER!$D$2:$D$5000,0)),"SĐT chưa đăng ký hội viên; ","")&amp;IF(AND($L2511="Đã chuyển khoản",$M2511=""),"Thiếu ngày nhận CK; ",""))</f>
        <v/>
      </c>
      <c r="T2511" s="24" t="n"/>
    </row>
    <row r="2512" ht="14.25" customHeight="1" s="40">
      <c r="A2512" s="24" t="n"/>
      <c r="B2512" s="29" t="n"/>
      <c r="C2512" s="28" t="n"/>
      <c r="D2512" s="22">
        <f t="array" ref="D2512">IF($C2512="","",IFERROR(INDEX(DATA_MASTER!$C$2:$C$5000,MATCH($C2512,DATA_MASTER!$D$2:$D$5000,0)),""))</f>
        <v/>
      </c>
      <c r="E2512" s="22">
        <f t="array" ref="E2512">IF($C2512="","",IFERROR(INDEX(DATA_MASTER!$I$2:$I$5000,MATCH($C2512,DATA_MASTER!$D$2:$D$5000,0)),""))</f>
        <v/>
      </c>
      <c r="F2512" s="22">
        <f t="array" ref="F2512">IF($C2512="","",IFERROR(INDEX(DATA_MASTER!$L$2:$L$5000,MATCH($C2512,DATA_MASTER!$D$2:$D$5000,0)),""))</f>
        <v/>
      </c>
      <c r="G2512" s="24" t="n"/>
      <c r="H2512" s="24" t="n"/>
      <c r="I2512" s="30" t="n"/>
      <c r="J2512" s="23">
        <f>IF(OR($H2512="",$I2512=""),"",$H2512*$I2512)</f>
        <v/>
      </c>
      <c r="K2512" s="24" t="n"/>
      <c r="L2512" s="24" t="n"/>
      <c r="M2512" s="29" t="n"/>
      <c r="N2512" s="28" t="n"/>
      <c r="O2512" s="24" t="n"/>
      <c r="P2512" s="24" t="n"/>
      <c r="Q2512" s="24" t="n"/>
      <c r="R2512" s="24" t="n"/>
      <c r="S2512" s="22">
        <f>IF(AND($A2512="",$C2512=""),"",IF($A2512="","Thiếu mã đơn; ","")&amp;IF(COUNTIF($A$2:$A2512,$A2512)&gt;1,"Trùng mã đơn; ","")&amp;IF(ISNA(MATCH($C2512,DATA_MASTER!$D$2:$D$5000,0)),"SĐT chưa đăng ký hội viên; ","")&amp;IF(AND($L2512="Đã chuyển khoản",$M2512=""),"Thiếu ngày nhận CK; ",""))</f>
        <v/>
      </c>
      <c r="T2512" s="24" t="n"/>
    </row>
    <row r="2513" ht="14.25" customHeight="1" s="40">
      <c r="A2513" s="24" t="n"/>
      <c r="B2513" s="29" t="n"/>
      <c r="C2513" s="28" t="n"/>
      <c r="D2513" s="22">
        <f t="array" ref="D2513">IF($C2513="","",IFERROR(INDEX(DATA_MASTER!$C$2:$C$5000,MATCH($C2513,DATA_MASTER!$D$2:$D$5000,0)),""))</f>
        <v/>
      </c>
      <c r="E2513" s="22">
        <f t="array" ref="E2513">IF($C2513="","",IFERROR(INDEX(DATA_MASTER!$I$2:$I$5000,MATCH($C2513,DATA_MASTER!$D$2:$D$5000,0)),""))</f>
        <v/>
      </c>
      <c r="F2513" s="22">
        <f t="array" ref="F2513">IF($C2513="","",IFERROR(INDEX(DATA_MASTER!$L$2:$L$5000,MATCH($C2513,DATA_MASTER!$D$2:$D$5000,0)),""))</f>
        <v/>
      </c>
      <c r="G2513" s="24" t="n"/>
      <c r="H2513" s="24" t="n"/>
      <c r="I2513" s="30" t="n"/>
      <c r="J2513" s="23">
        <f>IF(OR($H2513="",$I2513=""),"",$H2513*$I2513)</f>
        <v/>
      </c>
      <c r="K2513" s="24" t="n"/>
      <c r="L2513" s="24" t="n"/>
      <c r="M2513" s="29" t="n"/>
      <c r="N2513" s="28" t="n"/>
      <c r="O2513" s="24" t="n"/>
      <c r="P2513" s="24" t="n"/>
      <c r="Q2513" s="24" t="n"/>
      <c r="R2513" s="24" t="n"/>
      <c r="S2513" s="22">
        <f>IF(AND($A2513="",$C2513=""),"",IF($A2513="","Thiếu mã đơn; ","")&amp;IF(COUNTIF($A$2:$A2513,$A2513)&gt;1,"Trùng mã đơn; ","")&amp;IF(ISNA(MATCH($C2513,DATA_MASTER!$D$2:$D$5000,0)),"SĐT chưa đăng ký hội viên; ","")&amp;IF(AND($L2513="Đã chuyển khoản",$M2513=""),"Thiếu ngày nhận CK; ",""))</f>
        <v/>
      </c>
      <c r="T2513" s="24" t="n"/>
    </row>
    <row r="2514" ht="14.25" customHeight="1" s="40">
      <c r="A2514" s="24" t="n"/>
      <c r="B2514" s="29" t="n"/>
      <c r="C2514" s="28" t="n"/>
      <c r="D2514" s="22">
        <f t="array" ref="D2514">IF($C2514="","",IFERROR(INDEX(DATA_MASTER!$C$2:$C$5000,MATCH($C2514,DATA_MASTER!$D$2:$D$5000,0)),""))</f>
        <v/>
      </c>
      <c r="E2514" s="22">
        <f t="array" ref="E2514">IF($C2514="","",IFERROR(INDEX(DATA_MASTER!$I$2:$I$5000,MATCH($C2514,DATA_MASTER!$D$2:$D$5000,0)),""))</f>
        <v/>
      </c>
      <c r="F2514" s="22">
        <f t="array" ref="F2514">IF($C2514="","",IFERROR(INDEX(DATA_MASTER!$L$2:$L$5000,MATCH($C2514,DATA_MASTER!$D$2:$D$5000,0)),""))</f>
        <v/>
      </c>
      <c r="G2514" s="24" t="n"/>
      <c r="H2514" s="24" t="n"/>
      <c r="I2514" s="30" t="n"/>
      <c r="J2514" s="23">
        <f>IF(OR($H2514="",$I2514=""),"",$H2514*$I2514)</f>
        <v/>
      </c>
      <c r="K2514" s="24" t="n"/>
      <c r="L2514" s="24" t="n"/>
      <c r="M2514" s="29" t="n"/>
      <c r="N2514" s="28" t="n"/>
      <c r="O2514" s="24" t="n"/>
      <c r="P2514" s="24" t="n"/>
      <c r="Q2514" s="24" t="n"/>
      <c r="R2514" s="24" t="n"/>
      <c r="S2514" s="22">
        <f>IF(AND($A2514="",$C2514=""),"",IF($A2514="","Thiếu mã đơn; ","")&amp;IF(COUNTIF($A$2:$A2514,$A2514)&gt;1,"Trùng mã đơn; ","")&amp;IF(ISNA(MATCH($C2514,DATA_MASTER!$D$2:$D$5000,0)),"SĐT chưa đăng ký hội viên; ","")&amp;IF(AND($L2514="Đã chuyển khoản",$M2514=""),"Thiếu ngày nhận CK; ",""))</f>
        <v/>
      </c>
      <c r="T2514" s="24" t="n"/>
    </row>
    <row r="2515" ht="14.25" customHeight="1" s="40">
      <c r="A2515" s="24" t="n"/>
      <c r="B2515" s="29" t="n"/>
      <c r="C2515" s="28" t="n"/>
      <c r="D2515" s="22">
        <f t="array" ref="D2515">IF($C2515="","",IFERROR(INDEX(DATA_MASTER!$C$2:$C$5000,MATCH($C2515,DATA_MASTER!$D$2:$D$5000,0)),""))</f>
        <v/>
      </c>
      <c r="E2515" s="22">
        <f t="array" ref="E2515">IF($C2515="","",IFERROR(INDEX(DATA_MASTER!$I$2:$I$5000,MATCH($C2515,DATA_MASTER!$D$2:$D$5000,0)),""))</f>
        <v/>
      </c>
      <c r="F2515" s="22">
        <f t="array" ref="F2515">IF($C2515="","",IFERROR(INDEX(DATA_MASTER!$L$2:$L$5000,MATCH($C2515,DATA_MASTER!$D$2:$D$5000,0)),""))</f>
        <v/>
      </c>
      <c r="G2515" s="24" t="n"/>
      <c r="H2515" s="24" t="n"/>
      <c r="I2515" s="30" t="n"/>
      <c r="J2515" s="23">
        <f>IF(OR($H2515="",$I2515=""),"",$H2515*$I2515)</f>
        <v/>
      </c>
      <c r="K2515" s="24" t="n"/>
      <c r="L2515" s="24" t="n"/>
      <c r="M2515" s="29" t="n"/>
      <c r="N2515" s="28" t="n"/>
      <c r="O2515" s="24" t="n"/>
      <c r="P2515" s="24" t="n"/>
      <c r="Q2515" s="24" t="n"/>
      <c r="R2515" s="24" t="n"/>
      <c r="S2515" s="22">
        <f>IF(AND($A2515="",$C2515=""),"",IF($A2515="","Thiếu mã đơn; ","")&amp;IF(COUNTIF($A$2:$A2515,$A2515)&gt;1,"Trùng mã đơn; ","")&amp;IF(ISNA(MATCH($C2515,DATA_MASTER!$D$2:$D$5000,0)),"SĐT chưa đăng ký hội viên; ","")&amp;IF(AND($L2515="Đã chuyển khoản",$M2515=""),"Thiếu ngày nhận CK; ",""))</f>
        <v/>
      </c>
      <c r="T2515" s="24" t="n"/>
    </row>
    <row r="2516" ht="14.25" customHeight="1" s="40">
      <c r="A2516" s="24" t="n"/>
      <c r="B2516" s="29" t="n"/>
      <c r="C2516" s="28" t="n"/>
      <c r="D2516" s="22">
        <f t="array" ref="D2516">IF($C2516="","",IFERROR(INDEX(DATA_MASTER!$C$2:$C$5000,MATCH($C2516,DATA_MASTER!$D$2:$D$5000,0)),""))</f>
        <v/>
      </c>
      <c r="E2516" s="22">
        <f t="array" ref="E2516">IF($C2516="","",IFERROR(INDEX(DATA_MASTER!$I$2:$I$5000,MATCH($C2516,DATA_MASTER!$D$2:$D$5000,0)),""))</f>
        <v/>
      </c>
      <c r="F2516" s="22">
        <f t="array" ref="F2516">IF($C2516="","",IFERROR(INDEX(DATA_MASTER!$L$2:$L$5000,MATCH($C2516,DATA_MASTER!$D$2:$D$5000,0)),""))</f>
        <v/>
      </c>
      <c r="G2516" s="24" t="n"/>
      <c r="H2516" s="24" t="n"/>
      <c r="I2516" s="30" t="n"/>
      <c r="J2516" s="23">
        <f>IF(OR($H2516="",$I2516=""),"",$H2516*$I2516)</f>
        <v/>
      </c>
      <c r="K2516" s="24" t="n"/>
      <c r="L2516" s="24" t="n"/>
      <c r="M2516" s="29" t="n"/>
      <c r="N2516" s="28" t="n"/>
      <c r="O2516" s="24" t="n"/>
      <c r="P2516" s="24" t="n"/>
      <c r="Q2516" s="24" t="n"/>
      <c r="R2516" s="24" t="n"/>
      <c r="S2516" s="22">
        <f>IF(AND($A2516="",$C2516=""),"",IF($A2516="","Thiếu mã đơn; ","")&amp;IF(COUNTIF($A$2:$A2516,$A2516)&gt;1,"Trùng mã đơn; ","")&amp;IF(ISNA(MATCH($C2516,DATA_MASTER!$D$2:$D$5000,0)),"SĐT chưa đăng ký hội viên; ","")&amp;IF(AND($L2516="Đã chuyển khoản",$M2516=""),"Thiếu ngày nhận CK; ",""))</f>
        <v/>
      </c>
      <c r="T2516" s="24" t="n"/>
    </row>
    <row r="2517" ht="14.25" customHeight="1" s="40">
      <c r="A2517" s="24" t="n"/>
      <c r="B2517" s="29" t="n"/>
      <c r="C2517" s="28" t="n"/>
      <c r="D2517" s="22">
        <f t="array" ref="D2517">IF($C2517="","",IFERROR(INDEX(DATA_MASTER!$C$2:$C$5000,MATCH($C2517,DATA_MASTER!$D$2:$D$5000,0)),""))</f>
        <v/>
      </c>
      <c r="E2517" s="22">
        <f t="array" ref="E2517">IF($C2517="","",IFERROR(INDEX(DATA_MASTER!$I$2:$I$5000,MATCH($C2517,DATA_MASTER!$D$2:$D$5000,0)),""))</f>
        <v/>
      </c>
      <c r="F2517" s="22">
        <f t="array" ref="F2517">IF($C2517="","",IFERROR(INDEX(DATA_MASTER!$L$2:$L$5000,MATCH($C2517,DATA_MASTER!$D$2:$D$5000,0)),""))</f>
        <v/>
      </c>
      <c r="G2517" s="24" t="n"/>
      <c r="H2517" s="24" t="n"/>
      <c r="I2517" s="30" t="n"/>
      <c r="J2517" s="23">
        <f>IF(OR($H2517="",$I2517=""),"",$H2517*$I2517)</f>
        <v/>
      </c>
      <c r="K2517" s="24" t="n"/>
      <c r="L2517" s="24" t="n"/>
      <c r="M2517" s="29" t="n"/>
      <c r="N2517" s="28" t="n"/>
      <c r="O2517" s="24" t="n"/>
      <c r="P2517" s="24" t="n"/>
      <c r="Q2517" s="24" t="n"/>
      <c r="R2517" s="24" t="n"/>
      <c r="S2517" s="22">
        <f>IF(AND($A2517="",$C2517=""),"",IF($A2517="","Thiếu mã đơn; ","")&amp;IF(COUNTIF($A$2:$A2517,$A2517)&gt;1,"Trùng mã đơn; ","")&amp;IF(ISNA(MATCH($C2517,DATA_MASTER!$D$2:$D$5000,0)),"SĐT chưa đăng ký hội viên; ","")&amp;IF(AND($L2517="Đã chuyển khoản",$M2517=""),"Thiếu ngày nhận CK; ",""))</f>
        <v/>
      </c>
      <c r="T2517" s="24" t="n"/>
    </row>
    <row r="2518" ht="14.25" customHeight="1" s="40">
      <c r="A2518" s="24" t="n"/>
      <c r="B2518" s="29" t="n"/>
      <c r="C2518" s="28" t="n"/>
      <c r="D2518" s="22">
        <f t="array" ref="D2518">IF($C2518="","",IFERROR(INDEX(DATA_MASTER!$C$2:$C$5000,MATCH($C2518,DATA_MASTER!$D$2:$D$5000,0)),""))</f>
        <v/>
      </c>
      <c r="E2518" s="22">
        <f t="array" ref="E2518">IF($C2518="","",IFERROR(INDEX(DATA_MASTER!$I$2:$I$5000,MATCH($C2518,DATA_MASTER!$D$2:$D$5000,0)),""))</f>
        <v/>
      </c>
      <c r="F2518" s="22">
        <f t="array" ref="F2518">IF($C2518="","",IFERROR(INDEX(DATA_MASTER!$L$2:$L$5000,MATCH($C2518,DATA_MASTER!$D$2:$D$5000,0)),""))</f>
        <v/>
      </c>
      <c r="G2518" s="24" t="n"/>
      <c r="H2518" s="24" t="n"/>
      <c r="I2518" s="30" t="n"/>
      <c r="J2518" s="23">
        <f>IF(OR($H2518="",$I2518=""),"",$H2518*$I2518)</f>
        <v/>
      </c>
      <c r="K2518" s="24" t="n"/>
      <c r="L2518" s="24" t="n"/>
      <c r="M2518" s="29" t="n"/>
      <c r="N2518" s="28" t="n"/>
      <c r="O2518" s="24" t="n"/>
      <c r="P2518" s="24" t="n"/>
      <c r="Q2518" s="24" t="n"/>
      <c r="R2518" s="24" t="n"/>
      <c r="S2518" s="22">
        <f>IF(AND($A2518="",$C2518=""),"",IF($A2518="","Thiếu mã đơn; ","")&amp;IF(COUNTIF($A$2:$A2518,$A2518)&gt;1,"Trùng mã đơn; ","")&amp;IF(ISNA(MATCH($C2518,DATA_MASTER!$D$2:$D$5000,0)),"SĐT chưa đăng ký hội viên; ","")&amp;IF(AND($L2518="Đã chuyển khoản",$M2518=""),"Thiếu ngày nhận CK; ",""))</f>
        <v/>
      </c>
      <c r="T2518" s="24" t="n"/>
    </row>
    <row r="2519" ht="14.25" customHeight="1" s="40">
      <c r="A2519" s="24" t="n"/>
      <c r="B2519" s="29" t="n"/>
      <c r="C2519" s="28" t="n"/>
      <c r="D2519" s="22">
        <f t="array" ref="D2519">IF($C2519="","",IFERROR(INDEX(DATA_MASTER!$C$2:$C$5000,MATCH($C2519,DATA_MASTER!$D$2:$D$5000,0)),""))</f>
        <v/>
      </c>
      <c r="E2519" s="22">
        <f t="array" ref="E2519">IF($C2519="","",IFERROR(INDEX(DATA_MASTER!$I$2:$I$5000,MATCH($C2519,DATA_MASTER!$D$2:$D$5000,0)),""))</f>
        <v/>
      </c>
      <c r="F2519" s="22">
        <f t="array" ref="F2519">IF($C2519="","",IFERROR(INDEX(DATA_MASTER!$L$2:$L$5000,MATCH($C2519,DATA_MASTER!$D$2:$D$5000,0)),""))</f>
        <v/>
      </c>
      <c r="G2519" s="24" t="n"/>
      <c r="H2519" s="24" t="n"/>
      <c r="I2519" s="30" t="n"/>
      <c r="J2519" s="23">
        <f>IF(OR($H2519="",$I2519=""),"",$H2519*$I2519)</f>
        <v/>
      </c>
      <c r="K2519" s="24" t="n"/>
      <c r="L2519" s="24" t="n"/>
      <c r="M2519" s="29" t="n"/>
      <c r="N2519" s="28" t="n"/>
      <c r="O2519" s="24" t="n"/>
      <c r="P2519" s="24" t="n"/>
      <c r="Q2519" s="24" t="n"/>
      <c r="R2519" s="24" t="n"/>
      <c r="S2519" s="22">
        <f>IF(AND($A2519="",$C2519=""),"",IF($A2519="","Thiếu mã đơn; ","")&amp;IF(COUNTIF($A$2:$A2519,$A2519)&gt;1,"Trùng mã đơn; ","")&amp;IF(ISNA(MATCH($C2519,DATA_MASTER!$D$2:$D$5000,0)),"SĐT chưa đăng ký hội viên; ","")&amp;IF(AND($L2519="Đã chuyển khoản",$M2519=""),"Thiếu ngày nhận CK; ",""))</f>
        <v/>
      </c>
      <c r="T2519" s="24" t="n"/>
    </row>
    <row r="2520" ht="14.25" customHeight="1" s="40">
      <c r="A2520" s="24" t="n"/>
      <c r="B2520" s="29" t="n"/>
      <c r="C2520" s="28" t="n"/>
      <c r="D2520" s="22">
        <f t="array" ref="D2520">IF($C2520="","",IFERROR(INDEX(DATA_MASTER!$C$2:$C$5000,MATCH($C2520,DATA_MASTER!$D$2:$D$5000,0)),""))</f>
        <v/>
      </c>
      <c r="E2520" s="22">
        <f t="array" ref="E2520">IF($C2520="","",IFERROR(INDEX(DATA_MASTER!$I$2:$I$5000,MATCH($C2520,DATA_MASTER!$D$2:$D$5000,0)),""))</f>
        <v/>
      </c>
      <c r="F2520" s="22">
        <f t="array" ref="F2520">IF($C2520="","",IFERROR(INDEX(DATA_MASTER!$L$2:$L$5000,MATCH($C2520,DATA_MASTER!$D$2:$D$5000,0)),""))</f>
        <v/>
      </c>
      <c r="G2520" s="24" t="n"/>
      <c r="H2520" s="24" t="n"/>
      <c r="I2520" s="30" t="n"/>
      <c r="J2520" s="23">
        <f>IF(OR($H2520="",$I2520=""),"",$H2520*$I2520)</f>
        <v/>
      </c>
      <c r="K2520" s="24" t="n"/>
      <c r="L2520" s="24" t="n"/>
      <c r="M2520" s="29" t="n"/>
      <c r="N2520" s="28" t="n"/>
      <c r="O2520" s="24" t="n"/>
      <c r="P2520" s="24" t="n"/>
      <c r="Q2520" s="24" t="n"/>
      <c r="R2520" s="24" t="n"/>
      <c r="S2520" s="22">
        <f>IF(AND($A2520="",$C2520=""),"",IF($A2520="","Thiếu mã đơn; ","")&amp;IF(COUNTIF($A$2:$A2520,$A2520)&gt;1,"Trùng mã đơn; ","")&amp;IF(ISNA(MATCH($C2520,DATA_MASTER!$D$2:$D$5000,0)),"SĐT chưa đăng ký hội viên; ","")&amp;IF(AND($L2520="Đã chuyển khoản",$M2520=""),"Thiếu ngày nhận CK; ",""))</f>
        <v/>
      </c>
      <c r="T2520" s="24" t="n"/>
    </row>
    <row r="2521" ht="14.25" customHeight="1" s="40">
      <c r="A2521" s="24" t="n"/>
      <c r="B2521" s="29" t="n"/>
      <c r="C2521" s="28" t="n"/>
      <c r="D2521" s="22">
        <f t="array" ref="D2521">IF($C2521="","",IFERROR(INDEX(DATA_MASTER!$C$2:$C$5000,MATCH($C2521,DATA_MASTER!$D$2:$D$5000,0)),""))</f>
        <v/>
      </c>
      <c r="E2521" s="22">
        <f t="array" ref="E2521">IF($C2521="","",IFERROR(INDEX(DATA_MASTER!$I$2:$I$5000,MATCH($C2521,DATA_MASTER!$D$2:$D$5000,0)),""))</f>
        <v/>
      </c>
      <c r="F2521" s="22">
        <f t="array" ref="F2521">IF($C2521="","",IFERROR(INDEX(DATA_MASTER!$L$2:$L$5000,MATCH($C2521,DATA_MASTER!$D$2:$D$5000,0)),""))</f>
        <v/>
      </c>
      <c r="G2521" s="24" t="n"/>
      <c r="H2521" s="24" t="n"/>
      <c r="I2521" s="30" t="n"/>
      <c r="J2521" s="23">
        <f>IF(OR($H2521="",$I2521=""),"",$H2521*$I2521)</f>
        <v/>
      </c>
      <c r="K2521" s="24" t="n"/>
      <c r="L2521" s="24" t="n"/>
      <c r="M2521" s="29" t="n"/>
      <c r="N2521" s="28" t="n"/>
      <c r="O2521" s="24" t="n"/>
      <c r="P2521" s="24" t="n"/>
      <c r="Q2521" s="24" t="n"/>
      <c r="R2521" s="24" t="n"/>
      <c r="S2521" s="22">
        <f>IF(AND($A2521="",$C2521=""),"",IF($A2521="","Thiếu mã đơn; ","")&amp;IF(COUNTIF($A$2:$A2521,$A2521)&gt;1,"Trùng mã đơn; ","")&amp;IF(ISNA(MATCH($C2521,DATA_MASTER!$D$2:$D$5000,0)),"SĐT chưa đăng ký hội viên; ","")&amp;IF(AND($L2521="Đã chuyển khoản",$M2521=""),"Thiếu ngày nhận CK; ",""))</f>
        <v/>
      </c>
      <c r="T2521" s="24" t="n"/>
    </row>
    <row r="2522" ht="14.25" customHeight="1" s="40">
      <c r="A2522" s="24" t="n"/>
      <c r="B2522" s="29" t="n"/>
      <c r="C2522" s="28" t="n"/>
      <c r="D2522" s="22">
        <f t="array" ref="D2522">IF($C2522="","",IFERROR(INDEX(DATA_MASTER!$C$2:$C$5000,MATCH($C2522,DATA_MASTER!$D$2:$D$5000,0)),""))</f>
        <v/>
      </c>
      <c r="E2522" s="22">
        <f t="array" ref="E2522">IF($C2522="","",IFERROR(INDEX(DATA_MASTER!$I$2:$I$5000,MATCH($C2522,DATA_MASTER!$D$2:$D$5000,0)),""))</f>
        <v/>
      </c>
      <c r="F2522" s="22">
        <f t="array" ref="F2522">IF($C2522="","",IFERROR(INDEX(DATA_MASTER!$L$2:$L$5000,MATCH($C2522,DATA_MASTER!$D$2:$D$5000,0)),""))</f>
        <v/>
      </c>
      <c r="G2522" s="24" t="n"/>
      <c r="H2522" s="24" t="n"/>
      <c r="I2522" s="30" t="n"/>
      <c r="J2522" s="23">
        <f>IF(OR($H2522="",$I2522=""),"",$H2522*$I2522)</f>
        <v/>
      </c>
      <c r="K2522" s="24" t="n"/>
      <c r="L2522" s="24" t="n"/>
      <c r="M2522" s="29" t="n"/>
      <c r="N2522" s="28" t="n"/>
      <c r="O2522" s="24" t="n"/>
      <c r="P2522" s="24" t="n"/>
      <c r="Q2522" s="24" t="n"/>
      <c r="R2522" s="24" t="n"/>
      <c r="S2522" s="22">
        <f>IF(AND($A2522="",$C2522=""),"",IF($A2522="","Thiếu mã đơn; ","")&amp;IF(COUNTIF($A$2:$A2522,$A2522)&gt;1,"Trùng mã đơn; ","")&amp;IF(ISNA(MATCH($C2522,DATA_MASTER!$D$2:$D$5000,0)),"SĐT chưa đăng ký hội viên; ","")&amp;IF(AND($L2522="Đã chuyển khoản",$M2522=""),"Thiếu ngày nhận CK; ",""))</f>
        <v/>
      </c>
      <c r="T2522" s="24" t="n"/>
    </row>
    <row r="2523" ht="14.25" customHeight="1" s="40">
      <c r="A2523" s="24" t="n"/>
      <c r="B2523" s="29" t="n"/>
      <c r="C2523" s="28" t="n"/>
      <c r="D2523" s="22">
        <f t="array" ref="D2523">IF($C2523="","",IFERROR(INDEX(DATA_MASTER!$C$2:$C$5000,MATCH($C2523,DATA_MASTER!$D$2:$D$5000,0)),""))</f>
        <v/>
      </c>
      <c r="E2523" s="22">
        <f t="array" ref="E2523">IF($C2523="","",IFERROR(INDEX(DATA_MASTER!$I$2:$I$5000,MATCH($C2523,DATA_MASTER!$D$2:$D$5000,0)),""))</f>
        <v/>
      </c>
      <c r="F2523" s="22">
        <f t="array" ref="F2523">IF($C2523="","",IFERROR(INDEX(DATA_MASTER!$L$2:$L$5000,MATCH($C2523,DATA_MASTER!$D$2:$D$5000,0)),""))</f>
        <v/>
      </c>
      <c r="G2523" s="24" t="n"/>
      <c r="H2523" s="24" t="n"/>
      <c r="I2523" s="30" t="n"/>
      <c r="J2523" s="23">
        <f>IF(OR($H2523="",$I2523=""),"",$H2523*$I2523)</f>
        <v/>
      </c>
      <c r="K2523" s="24" t="n"/>
      <c r="L2523" s="24" t="n"/>
      <c r="M2523" s="29" t="n"/>
      <c r="N2523" s="28" t="n"/>
      <c r="O2523" s="24" t="n"/>
      <c r="P2523" s="24" t="n"/>
      <c r="Q2523" s="24" t="n"/>
      <c r="R2523" s="24" t="n"/>
      <c r="S2523" s="22">
        <f>IF(AND($A2523="",$C2523=""),"",IF($A2523="","Thiếu mã đơn; ","")&amp;IF(COUNTIF($A$2:$A2523,$A2523)&gt;1,"Trùng mã đơn; ","")&amp;IF(ISNA(MATCH($C2523,DATA_MASTER!$D$2:$D$5000,0)),"SĐT chưa đăng ký hội viên; ","")&amp;IF(AND($L2523="Đã chuyển khoản",$M2523=""),"Thiếu ngày nhận CK; ",""))</f>
        <v/>
      </c>
      <c r="T2523" s="24" t="n"/>
    </row>
    <row r="2524" ht="14.25" customHeight="1" s="40">
      <c r="A2524" s="24" t="n"/>
      <c r="B2524" s="29" t="n"/>
      <c r="C2524" s="28" t="n"/>
      <c r="D2524" s="22">
        <f t="array" ref="D2524">IF($C2524="","",IFERROR(INDEX(DATA_MASTER!$C$2:$C$5000,MATCH($C2524,DATA_MASTER!$D$2:$D$5000,0)),""))</f>
        <v/>
      </c>
      <c r="E2524" s="22">
        <f t="array" ref="E2524">IF($C2524="","",IFERROR(INDEX(DATA_MASTER!$I$2:$I$5000,MATCH($C2524,DATA_MASTER!$D$2:$D$5000,0)),""))</f>
        <v/>
      </c>
      <c r="F2524" s="22">
        <f t="array" ref="F2524">IF($C2524="","",IFERROR(INDEX(DATA_MASTER!$L$2:$L$5000,MATCH($C2524,DATA_MASTER!$D$2:$D$5000,0)),""))</f>
        <v/>
      </c>
      <c r="G2524" s="24" t="n"/>
      <c r="H2524" s="24" t="n"/>
      <c r="I2524" s="30" t="n"/>
      <c r="J2524" s="23">
        <f>IF(OR($H2524="",$I2524=""),"",$H2524*$I2524)</f>
        <v/>
      </c>
      <c r="K2524" s="24" t="n"/>
      <c r="L2524" s="24" t="n"/>
      <c r="M2524" s="29" t="n"/>
      <c r="N2524" s="28" t="n"/>
      <c r="O2524" s="24" t="n"/>
      <c r="P2524" s="24" t="n"/>
      <c r="Q2524" s="24" t="n"/>
      <c r="R2524" s="24" t="n"/>
      <c r="S2524" s="22">
        <f>IF(AND($A2524="",$C2524=""),"",IF($A2524="","Thiếu mã đơn; ","")&amp;IF(COUNTIF($A$2:$A2524,$A2524)&gt;1,"Trùng mã đơn; ","")&amp;IF(ISNA(MATCH($C2524,DATA_MASTER!$D$2:$D$5000,0)),"SĐT chưa đăng ký hội viên; ","")&amp;IF(AND($L2524="Đã chuyển khoản",$M2524=""),"Thiếu ngày nhận CK; ",""))</f>
        <v/>
      </c>
      <c r="T2524" s="24" t="n"/>
    </row>
    <row r="2525" ht="14.25" customHeight="1" s="40">
      <c r="A2525" s="24" t="n"/>
      <c r="B2525" s="29" t="n"/>
      <c r="C2525" s="28" t="n"/>
      <c r="D2525" s="22">
        <f t="array" ref="D2525">IF($C2525="","",IFERROR(INDEX(DATA_MASTER!$C$2:$C$5000,MATCH($C2525,DATA_MASTER!$D$2:$D$5000,0)),""))</f>
        <v/>
      </c>
      <c r="E2525" s="22">
        <f t="array" ref="E2525">IF($C2525="","",IFERROR(INDEX(DATA_MASTER!$I$2:$I$5000,MATCH($C2525,DATA_MASTER!$D$2:$D$5000,0)),""))</f>
        <v/>
      </c>
      <c r="F2525" s="22">
        <f t="array" ref="F2525">IF($C2525="","",IFERROR(INDEX(DATA_MASTER!$L$2:$L$5000,MATCH($C2525,DATA_MASTER!$D$2:$D$5000,0)),""))</f>
        <v/>
      </c>
      <c r="G2525" s="24" t="n"/>
      <c r="H2525" s="24" t="n"/>
      <c r="I2525" s="30" t="n"/>
      <c r="J2525" s="23">
        <f>IF(OR($H2525="",$I2525=""),"",$H2525*$I2525)</f>
        <v/>
      </c>
      <c r="K2525" s="24" t="n"/>
      <c r="L2525" s="24" t="n"/>
      <c r="M2525" s="29" t="n"/>
      <c r="N2525" s="28" t="n"/>
      <c r="O2525" s="24" t="n"/>
      <c r="P2525" s="24" t="n"/>
      <c r="Q2525" s="24" t="n"/>
      <c r="R2525" s="24" t="n"/>
      <c r="S2525" s="22">
        <f>IF(AND($A2525="",$C2525=""),"",IF($A2525="","Thiếu mã đơn; ","")&amp;IF(COUNTIF($A$2:$A2525,$A2525)&gt;1,"Trùng mã đơn; ","")&amp;IF(ISNA(MATCH($C2525,DATA_MASTER!$D$2:$D$5000,0)),"SĐT chưa đăng ký hội viên; ","")&amp;IF(AND($L2525="Đã chuyển khoản",$M2525=""),"Thiếu ngày nhận CK; ",""))</f>
        <v/>
      </c>
      <c r="T2525" s="24" t="n"/>
    </row>
    <row r="2526" ht="14.25" customHeight="1" s="40">
      <c r="A2526" s="24" t="n"/>
      <c r="B2526" s="29" t="n"/>
      <c r="C2526" s="28" t="n"/>
      <c r="D2526" s="22">
        <f t="array" ref="D2526">IF($C2526="","",IFERROR(INDEX(DATA_MASTER!$C$2:$C$5000,MATCH($C2526,DATA_MASTER!$D$2:$D$5000,0)),""))</f>
        <v/>
      </c>
      <c r="E2526" s="22">
        <f t="array" ref="E2526">IF($C2526="","",IFERROR(INDEX(DATA_MASTER!$I$2:$I$5000,MATCH($C2526,DATA_MASTER!$D$2:$D$5000,0)),""))</f>
        <v/>
      </c>
      <c r="F2526" s="22">
        <f t="array" ref="F2526">IF($C2526="","",IFERROR(INDEX(DATA_MASTER!$L$2:$L$5000,MATCH($C2526,DATA_MASTER!$D$2:$D$5000,0)),""))</f>
        <v/>
      </c>
      <c r="G2526" s="24" t="n"/>
      <c r="H2526" s="24" t="n"/>
      <c r="I2526" s="30" t="n"/>
      <c r="J2526" s="23">
        <f>IF(OR($H2526="",$I2526=""),"",$H2526*$I2526)</f>
        <v/>
      </c>
      <c r="K2526" s="24" t="n"/>
      <c r="L2526" s="24" t="n"/>
      <c r="M2526" s="29" t="n"/>
      <c r="N2526" s="28" t="n"/>
      <c r="O2526" s="24" t="n"/>
      <c r="P2526" s="24" t="n"/>
      <c r="Q2526" s="24" t="n"/>
      <c r="R2526" s="24" t="n"/>
      <c r="S2526" s="22">
        <f>IF(AND($A2526="",$C2526=""),"",IF($A2526="","Thiếu mã đơn; ","")&amp;IF(COUNTIF($A$2:$A2526,$A2526)&gt;1,"Trùng mã đơn; ","")&amp;IF(ISNA(MATCH($C2526,DATA_MASTER!$D$2:$D$5000,0)),"SĐT chưa đăng ký hội viên; ","")&amp;IF(AND($L2526="Đã chuyển khoản",$M2526=""),"Thiếu ngày nhận CK; ",""))</f>
        <v/>
      </c>
      <c r="T2526" s="24" t="n"/>
    </row>
    <row r="2527" ht="14.25" customHeight="1" s="40">
      <c r="A2527" s="24" t="n"/>
      <c r="B2527" s="29" t="n"/>
      <c r="C2527" s="28" t="n"/>
      <c r="D2527" s="22">
        <f t="array" ref="D2527">IF($C2527="","",IFERROR(INDEX(DATA_MASTER!$C$2:$C$5000,MATCH($C2527,DATA_MASTER!$D$2:$D$5000,0)),""))</f>
        <v/>
      </c>
      <c r="E2527" s="22">
        <f t="array" ref="E2527">IF($C2527="","",IFERROR(INDEX(DATA_MASTER!$I$2:$I$5000,MATCH($C2527,DATA_MASTER!$D$2:$D$5000,0)),""))</f>
        <v/>
      </c>
      <c r="F2527" s="22">
        <f t="array" ref="F2527">IF($C2527="","",IFERROR(INDEX(DATA_MASTER!$L$2:$L$5000,MATCH($C2527,DATA_MASTER!$D$2:$D$5000,0)),""))</f>
        <v/>
      </c>
      <c r="G2527" s="24" t="n"/>
      <c r="H2527" s="24" t="n"/>
      <c r="I2527" s="30" t="n"/>
      <c r="J2527" s="23">
        <f>IF(OR($H2527="",$I2527=""),"",$H2527*$I2527)</f>
        <v/>
      </c>
      <c r="K2527" s="24" t="n"/>
      <c r="L2527" s="24" t="n"/>
      <c r="M2527" s="29" t="n"/>
      <c r="N2527" s="28" t="n"/>
      <c r="O2527" s="24" t="n"/>
      <c r="P2527" s="24" t="n"/>
      <c r="Q2527" s="24" t="n"/>
      <c r="R2527" s="24" t="n"/>
      <c r="S2527" s="22">
        <f>IF(AND($A2527="",$C2527=""),"",IF($A2527="","Thiếu mã đơn; ","")&amp;IF(COUNTIF($A$2:$A2527,$A2527)&gt;1,"Trùng mã đơn; ","")&amp;IF(ISNA(MATCH($C2527,DATA_MASTER!$D$2:$D$5000,0)),"SĐT chưa đăng ký hội viên; ","")&amp;IF(AND($L2527="Đã chuyển khoản",$M2527=""),"Thiếu ngày nhận CK; ",""))</f>
        <v/>
      </c>
      <c r="T2527" s="24" t="n"/>
    </row>
    <row r="2528" ht="14.25" customHeight="1" s="40">
      <c r="A2528" s="24" t="n"/>
      <c r="B2528" s="29" t="n"/>
      <c r="C2528" s="28" t="n"/>
      <c r="D2528" s="22">
        <f t="array" ref="D2528">IF($C2528="","",IFERROR(INDEX(DATA_MASTER!$C$2:$C$5000,MATCH($C2528,DATA_MASTER!$D$2:$D$5000,0)),""))</f>
        <v/>
      </c>
      <c r="E2528" s="22">
        <f t="array" ref="E2528">IF($C2528="","",IFERROR(INDEX(DATA_MASTER!$I$2:$I$5000,MATCH($C2528,DATA_MASTER!$D$2:$D$5000,0)),""))</f>
        <v/>
      </c>
      <c r="F2528" s="22">
        <f t="array" ref="F2528">IF($C2528="","",IFERROR(INDEX(DATA_MASTER!$L$2:$L$5000,MATCH($C2528,DATA_MASTER!$D$2:$D$5000,0)),""))</f>
        <v/>
      </c>
      <c r="G2528" s="24" t="n"/>
      <c r="H2528" s="24" t="n"/>
      <c r="I2528" s="30" t="n"/>
      <c r="J2528" s="23">
        <f>IF(OR($H2528="",$I2528=""),"",$H2528*$I2528)</f>
        <v/>
      </c>
      <c r="K2528" s="24" t="n"/>
      <c r="L2528" s="24" t="n"/>
      <c r="M2528" s="29" t="n"/>
      <c r="N2528" s="28" t="n"/>
      <c r="O2528" s="24" t="n"/>
      <c r="P2528" s="24" t="n"/>
      <c r="Q2528" s="24" t="n"/>
      <c r="R2528" s="24" t="n"/>
      <c r="S2528" s="22">
        <f>IF(AND($A2528="",$C2528=""),"",IF($A2528="","Thiếu mã đơn; ","")&amp;IF(COUNTIF($A$2:$A2528,$A2528)&gt;1,"Trùng mã đơn; ","")&amp;IF(ISNA(MATCH($C2528,DATA_MASTER!$D$2:$D$5000,0)),"SĐT chưa đăng ký hội viên; ","")&amp;IF(AND($L2528="Đã chuyển khoản",$M2528=""),"Thiếu ngày nhận CK; ",""))</f>
        <v/>
      </c>
      <c r="T2528" s="24" t="n"/>
    </row>
    <row r="2529" ht="14.25" customHeight="1" s="40">
      <c r="A2529" s="24" t="n"/>
      <c r="B2529" s="29" t="n"/>
      <c r="C2529" s="28" t="n"/>
      <c r="D2529" s="22">
        <f t="array" ref="D2529">IF($C2529="","",IFERROR(INDEX(DATA_MASTER!$C$2:$C$5000,MATCH($C2529,DATA_MASTER!$D$2:$D$5000,0)),""))</f>
        <v/>
      </c>
      <c r="E2529" s="22">
        <f t="array" ref="E2529">IF($C2529="","",IFERROR(INDEX(DATA_MASTER!$I$2:$I$5000,MATCH($C2529,DATA_MASTER!$D$2:$D$5000,0)),""))</f>
        <v/>
      </c>
      <c r="F2529" s="22">
        <f t="array" ref="F2529">IF($C2529="","",IFERROR(INDEX(DATA_MASTER!$L$2:$L$5000,MATCH($C2529,DATA_MASTER!$D$2:$D$5000,0)),""))</f>
        <v/>
      </c>
      <c r="G2529" s="24" t="n"/>
      <c r="H2529" s="24" t="n"/>
      <c r="I2529" s="30" t="n"/>
      <c r="J2529" s="23">
        <f>IF(OR($H2529="",$I2529=""),"",$H2529*$I2529)</f>
        <v/>
      </c>
      <c r="K2529" s="24" t="n"/>
      <c r="L2529" s="24" t="n"/>
      <c r="M2529" s="29" t="n"/>
      <c r="N2529" s="28" t="n"/>
      <c r="O2529" s="24" t="n"/>
      <c r="P2529" s="24" t="n"/>
      <c r="Q2529" s="24" t="n"/>
      <c r="R2529" s="24" t="n"/>
      <c r="S2529" s="22">
        <f>IF(AND($A2529="",$C2529=""),"",IF($A2529="","Thiếu mã đơn; ","")&amp;IF(COUNTIF($A$2:$A2529,$A2529)&gt;1,"Trùng mã đơn; ","")&amp;IF(ISNA(MATCH($C2529,DATA_MASTER!$D$2:$D$5000,0)),"SĐT chưa đăng ký hội viên; ","")&amp;IF(AND($L2529="Đã chuyển khoản",$M2529=""),"Thiếu ngày nhận CK; ",""))</f>
        <v/>
      </c>
      <c r="T2529" s="24" t="n"/>
    </row>
    <row r="2530" ht="14.25" customHeight="1" s="40">
      <c r="A2530" s="24" t="n"/>
      <c r="B2530" s="29" t="n"/>
      <c r="C2530" s="28" t="n"/>
      <c r="D2530" s="22">
        <f t="array" ref="D2530">IF($C2530="","",IFERROR(INDEX(DATA_MASTER!$C$2:$C$5000,MATCH($C2530,DATA_MASTER!$D$2:$D$5000,0)),""))</f>
        <v/>
      </c>
      <c r="E2530" s="22">
        <f t="array" ref="E2530">IF($C2530="","",IFERROR(INDEX(DATA_MASTER!$I$2:$I$5000,MATCH($C2530,DATA_MASTER!$D$2:$D$5000,0)),""))</f>
        <v/>
      </c>
      <c r="F2530" s="22">
        <f t="array" ref="F2530">IF($C2530="","",IFERROR(INDEX(DATA_MASTER!$L$2:$L$5000,MATCH($C2530,DATA_MASTER!$D$2:$D$5000,0)),""))</f>
        <v/>
      </c>
      <c r="G2530" s="24" t="n"/>
      <c r="H2530" s="24" t="n"/>
      <c r="I2530" s="30" t="n"/>
      <c r="J2530" s="23">
        <f>IF(OR($H2530="",$I2530=""),"",$H2530*$I2530)</f>
        <v/>
      </c>
      <c r="K2530" s="24" t="n"/>
      <c r="L2530" s="24" t="n"/>
      <c r="M2530" s="29" t="n"/>
      <c r="N2530" s="28" t="n"/>
      <c r="O2530" s="24" t="n"/>
      <c r="P2530" s="24" t="n"/>
      <c r="Q2530" s="24" t="n"/>
      <c r="R2530" s="24" t="n"/>
      <c r="S2530" s="22">
        <f>IF(AND($A2530="",$C2530=""),"",IF($A2530="","Thiếu mã đơn; ","")&amp;IF(COUNTIF($A$2:$A2530,$A2530)&gt;1,"Trùng mã đơn; ","")&amp;IF(ISNA(MATCH($C2530,DATA_MASTER!$D$2:$D$5000,0)),"SĐT chưa đăng ký hội viên; ","")&amp;IF(AND($L2530="Đã chuyển khoản",$M2530=""),"Thiếu ngày nhận CK; ",""))</f>
        <v/>
      </c>
      <c r="T2530" s="24" t="n"/>
    </row>
    <row r="2531" ht="14.25" customHeight="1" s="40">
      <c r="A2531" s="24" t="n"/>
      <c r="B2531" s="29" t="n"/>
      <c r="C2531" s="28" t="n"/>
      <c r="D2531" s="22">
        <f t="array" ref="D2531">IF($C2531="","",IFERROR(INDEX(DATA_MASTER!$C$2:$C$5000,MATCH($C2531,DATA_MASTER!$D$2:$D$5000,0)),""))</f>
        <v/>
      </c>
      <c r="E2531" s="22">
        <f t="array" ref="E2531">IF($C2531="","",IFERROR(INDEX(DATA_MASTER!$I$2:$I$5000,MATCH($C2531,DATA_MASTER!$D$2:$D$5000,0)),""))</f>
        <v/>
      </c>
      <c r="F2531" s="22">
        <f t="array" ref="F2531">IF($C2531="","",IFERROR(INDEX(DATA_MASTER!$L$2:$L$5000,MATCH($C2531,DATA_MASTER!$D$2:$D$5000,0)),""))</f>
        <v/>
      </c>
      <c r="G2531" s="24" t="n"/>
      <c r="H2531" s="24" t="n"/>
      <c r="I2531" s="30" t="n"/>
      <c r="J2531" s="23">
        <f>IF(OR($H2531="",$I2531=""),"",$H2531*$I2531)</f>
        <v/>
      </c>
      <c r="K2531" s="24" t="n"/>
      <c r="L2531" s="24" t="n"/>
      <c r="M2531" s="29" t="n"/>
      <c r="N2531" s="28" t="n"/>
      <c r="O2531" s="24" t="n"/>
      <c r="P2531" s="24" t="n"/>
      <c r="Q2531" s="24" t="n"/>
      <c r="R2531" s="24" t="n"/>
      <c r="S2531" s="22">
        <f>IF(AND($A2531="",$C2531=""),"",IF($A2531="","Thiếu mã đơn; ","")&amp;IF(COUNTIF($A$2:$A2531,$A2531)&gt;1,"Trùng mã đơn; ","")&amp;IF(ISNA(MATCH($C2531,DATA_MASTER!$D$2:$D$5000,0)),"SĐT chưa đăng ký hội viên; ","")&amp;IF(AND($L2531="Đã chuyển khoản",$M2531=""),"Thiếu ngày nhận CK; ",""))</f>
        <v/>
      </c>
      <c r="T2531" s="24" t="n"/>
    </row>
    <row r="2532" ht="14.25" customHeight="1" s="40">
      <c r="A2532" s="24" t="n"/>
      <c r="B2532" s="29" t="n"/>
      <c r="C2532" s="28" t="n"/>
      <c r="D2532" s="22">
        <f t="array" ref="D2532">IF($C2532="","",IFERROR(INDEX(DATA_MASTER!$C$2:$C$5000,MATCH($C2532,DATA_MASTER!$D$2:$D$5000,0)),""))</f>
        <v/>
      </c>
      <c r="E2532" s="22">
        <f t="array" ref="E2532">IF($C2532="","",IFERROR(INDEX(DATA_MASTER!$I$2:$I$5000,MATCH($C2532,DATA_MASTER!$D$2:$D$5000,0)),""))</f>
        <v/>
      </c>
      <c r="F2532" s="22">
        <f t="array" ref="F2532">IF($C2532="","",IFERROR(INDEX(DATA_MASTER!$L$2:$L$5000,MATCH($C2532,DATA_MASTER!$D$2:$D$5000,0)),""))</f>
        <v/>
      </c>
      <c r="G2532" s="24" t="n"/>
      <c r="H2532" s="24" t="n"/>
      <c r="I2532" s="30" t="n"/>
      <c r="J2532" s="23">
        <f>IF(OR($H2532="",$I2532=""),"",$H2532*$I2532)</f>
        <v/>
      </c>
      <c r="K2532" s="24" t="n"/>
      <c r="L2532" s="24" t="n"/>
      <c r="M2532" s="29" t="n"/>
      <c r="N2532" s="28" t="n"/>
      <c r="O2532" s="24" t="n"/>
      <c r="P2532" s="24" t="n"/>
      <c r="Q2532" s="24" t="n"/>
      <c r="R2532" s="24" t="n"/>
      <c r="S2532" s="22">
        <f>IF(AND($A2532="",$C2532=""),"",IF($A2532="","Thiếu mã đơn; ","")&amp;IF(COUNTIF($A$2:$A2532,$A2532)&gt;1,"Trùng mã đơn; ","")&amp;IF(ISNA(MATCH($C2532,DATA_MASTER!$D$2:$D$5000,0)),"SĐT chưa đăng ký hội viên; ","")&amp;IF(AND($L2532="Đã chuyển khoản",$M2532=""),"Thiếu ngày nhận CK; ",""))</f>
        <v/>
      </c>
      <c r="T2532" s="24" t="n"/>
    </row>
    <row r="2533" ht="14.25" customHeight="1" s="40">
      <c r="A2533" s="24" t="n"/>
      <c r="B2533" s="29" t="n"/>
      <c r="C2533" s="28" t="n"/>
      <c r="D2533" s="22">
        <f t="array" ref="D2533">IF($C2533="","",IFERROR(INDEX(DATA_MASTER!$C$2:$C$5000,MATCH($C2533,DATA_MASTER!$D$2:$D$5000,0)),""))</f>
        <v/>
      </c>
      <c r="E2533" s="22">
        <f t="array" ref="E2533">IF($C2533="","",IFERROR(INDEX(DATA_MASTER!$I$2:$I$5000,MATCH($C2533,DATA_MASTER!$D$2:$D$5000,0)),""))</f>
        <v/>
      </c>
      <c r="F2533" s="22">
        <f t="array" ref="F2533">IF($C2533="","",IFERROR(INDEX(DATA_MASTER!$L$2:$L$5000,MATCH($C2533,DATA_MASTER!$D$2:$D$5000,0)),""))</f>
        <v/>
      </c>
      <c r="G2533" s="24" t="n"/>
      <c r="H2533" s="24" t="n"/>
      <c r="I2533" s="30" t="n"/>
      <c r="J2533" s="23">
        <f>IF(OR($H2533="",$I2533=""),"",$H2533*$I2533)</f>
        <v/>
      </c>
      <c r="K2533" s="24" t="n"/>
      <c r="L2533" s="24" t="n"/>
      <c r="M2533" s="29" t="n"/>
      <c r="N2533" s="28" t="n"/>
      <c r="O2533" s="24" t="n"/>
      <c r="P2533" s="24" t="n"/>
      <c r="Q2533" s="24" t="n"/>
      <c r="R2533" s="24" t="n"/>
      <c r="S2533" s="22">
        <f>IF(AND($A2533="",$C2533=""),"",IF($A2533="","Thiếu mã đơn; ","")&amp;IF(COUNTIF($A$2:$A2533,$A2533)&gt;1,"Trùng mã đơn; ","")&amp;IF(ISNA(MATCH($C2533,DATA_MASTER!$D$2:$D$5000,0)),"SĐT chưa đăng ký hội viên; ","")&amp;IF(AND($L2533="Đã chuyển khoản",$M2533=""),"Thiếu ngày nhận CK; ",""))</f>
        <v/>
      </c>
      <c r="T2533" s="24" t="n"/>
    </row>
    <row r="2534" ht="14.25" customHeight="1" s="40">
      <c r="A2534" s="24" t="n"/>
      <c r="B2534" s="29" t="n"/>
      <c r="C2534" s="28" t="n"/>
      <c r="D2534" s="22">
        <f t="array" ref="D2534">IF($C2534="","",IFERROR(INDEX(DATA_MASTER!$C$2:$C$5000,MATCH($C2534,DATA_MASTER!$D$2:$D$5000,0)),""))</f>
        <v/>
      </c>
      <c r="E2534" s="22">
        <f t="array" ref="E2534">IF($C2534="","",IFERROR(INDEX(DATA_MASTER!$I$2:$I$5000,MATCH($C2534,DATA_MASTER!$D$2:$D$5000,0)),""))</f>
        <v/>
      </c>
      <c r="F2534" s="22">
        <f t="array" ref="F2534">IF($C2534="","",IFERROR(INDEX(DATA_MASTER!$L$2:$L$5000,MATCH($C2534,DATA_MASTER!$D$2:$D$5000,0)),""))</f>
        <v/>
      </c>
      <c r="G2534" s="24" t="n"/>
      <c r="H2534" s="24" t="n"/>
      <c r="I2534" s="30" t="n"/>
      <c r="J2534" s="23">
        <f>IF(OR($H2534="",$I2534=""),"",$H2534*$I2534)</f>
        <v/>
      </c>
      <c r="K2534" s="24" t="n"/>
      <c r="L2534" s="24" t="n"/>
      <c r="M2534" s="29" t="n"/>
      <c r="N2534" s="28" t="n"/>
      <c r="O2534" s="24" t="n"/>
      <c r="P2534" s="24" t="n"/>
      <c r="Q2534" s="24" t="n"/>
      <c r="R2534" s="24" t="n"/>
      <c r="S2534" s="22">
        <f>IF(AND($A2534="",$C2534=""),"",IF($A2534="","Thiếu mã đơn; ","")&amp;IF(COUNTIF($A$2:$A2534,$A2534)&gt;1,"Trùng mã đơn; ","")&amp;IF(ISNA(MATCH($C2534,DATA_MASTER!$D$2:$D$5000,0)),"SĐT chưa đăng ký hội viên; ","")&amp;IF(AND($L2534="Đã chuyển khoản",$M2534=""),"Thiếu ngày nhận CK; ",""))</f>
        <v/>
      </c>
      <c r="T2534" s="24" t="n"/>
    </row>
    <row r="2535" ht="14.25" customHeight="1" s="40">
      <c r="A2535" s="24" t="n"/>
      <c r="B2535" s="29" t="n"/>
      <c r="C2535" s="28" t="n"/>
      <c r="D2535" s="22">
        <f t="array" ref="D2535">IF($C2535="","",IFERROR(INDEX(DATA_MASTER!$C$2:$C$5000,MATCH($C2535,DATA_MASTER!$D$2:$D$5000,0)),""))</f>
        <v/>
      </c>
      <c r="E2535" s="22">
        <f t="array" ref="E2535">IF($C2535="","",IFERROR(INDEX(DATA_MASTER!$I$2:$I$5000,MATCH($C2535,DATA_MASTER!$D$2:$D$5000,0)),""))</f>
        <v/>
      </c>
      <c r="F2535" s="22">
        <f t="array" ref="F2535">IF($C2535="","",IFERROR(INDEX(DATA_MASTER!$L$2:$L$5000,MATCH($C2535,DATA_MASTER!$D$2:$D$5000,0)),""))</f>
        <v/>
      </c>
      <c r="G2535" s="24" t="n"/>
      <c r="H2535" s="24" t="n"/>
      <c r="I2535" s="30" t="n"/>
      <c r="J2535" s="23">
        <f>IF(OR($H2535="",$I2535=""),"",$H2535*$I2535)</f>
        <v/>
      </c>
      <c r="K2535" s="24" t="n"/>
      <c r="L2535" s="24" t="n"/>
      <c r="M2535" s="29" t="n"/>
      <c r="N2535" s="28" t="n"/>
      <c r="O2535" s="24" t="n"/>
      <c r="P2535" s="24" t="n"/>
      <c r="Q2535" s="24" t="n"/>
      <c r="R2535" s="24" t="n"/>
      <c r="S2535" s="22">
        <f>IF(AND($A2535="",$C2535=""),"",IF($A2535="","Thiếu mã đơn; ","")&amp;IF(COUNTIF($A$2:$A2535,$A2535)&gt;1,"Trùng mã đơn; ","")&amp;IF(ISNA(MATCH($C2535,DATA_MASTER!$D$2:$D$5000,0)),"SĐT chưa đăng ký hội viên; ","")&amp;IF(AND($L2535="Đã chuyển khoản",$M2535=""),"Thiếu ngày nhận CK; ",""))</f>
        <v/>
      </c>
      <c r="T2535" s="24" t="n"/>
    </row>
    <row r="2536" ht="14.25" customHeight="1" s="40">
      <c r="A2536" s="24" t="n"/>
      <c r="B2536" s="29" t="n"/>
      <c r="C2536" s="28" t="n"/>
      <c r="D2536" s="22">
        <f t="array" ref="D2536">IF($C2536="","",IFERROR(INDEX(DATA_MASTER!$C$2:$C$5000,MATCH($C2536,DATA_MASTER!$D$2:$D$5000,0)),""))</f>
        <v/>
      </c>
      <c r="E2536" s="22">
        <f t="array" ref="E2536">IF($C2536="","",IFERROR(INDEX(DATA_MASTER!$I$2:$I$5000,MATCH($C2536,DATA_MASTER!$D$2:$D$5000,0)),""))</f>
        <v/>
      </c>
      <c r="F2536" s="22">
        <f t="array" ref="F2536">IF($C2536="","",IFERROR(INDEX(DATA_MASTER!$L$2:$L$5000,MATCH($C2536,DATA_MASTER!$D$2:$D$5000,0)),""))</f>
        <v/>
      </c>
      <c r="G2536" s="24" t="n"/>
      <c r="H2536" s="24" t="n"/>
      <c r="I2536" s="30" t="n"/>
      <c r="J2536" s="23">
        <f>IF(OR($H2536="",$I2536=""),"",$H2536*$I2536)</f>
        <v/>
      </c>
      <c r="K2536" s="24" t="n"/>
      <c r="L2536" s="24" t="n"/>
      <c r="M2536" s="29" t="n"/>
      <c r="N2536" s="28" t="n"/>
      <c r="O2536" s="24" t="n"/>
      <c r="P2536" s="24" t="n"/>
      <c r="Q2536" s="24" t="n"/>
      <c r="R2536" s="24" t="n"/>
      <c r="S2536" s="22">
        <f>IF(AND($A2536="",$C2536=""),"",IF($A2536="","Thiếu mã đơn; ","")&amp;IF(COUNTIF($A$2:$A2536,$A2536)&gt;1,"Trùng mã đơn; ","")&amp;IF(ISNA(MATCH($C2536,DATA_MASTER!$D$2:$D$5000,0)),"SĐT chưa đăng ký hội viên; ","")&amp;IF(AND($L2536="Đã chuyển khoản",$M2536=""),"Thiếu ngày nhận CK; ",""))</f>
        <v/>
      </c>
      <c r="T2536" s="24" t="n"/>
    </row>
    <row r="2537" ht="14.25" customHeight="1" s="40">
      <c r="A2537" s="24" t="n"/>
      <c r="B2537" s="29" t="n"/>
      <c r="C2537" s="28" t="n"/>
      <c r="D2537" s="22">
        <f t="array" ref="D2537">IF($C2537="","",IFERROR(INDEX(DATA_MASTER!$C$2:$C$5000,MATCH($C2537,DATA_MASTER!$D$2:$D$5000,0)),""))</f>
        <v/>
      </c>
      <c r="E2537" s="22">
        <f t="array" ref="E2537">IF($C2537="","",IFERROR(INDEX(DATA_MASTER!$I$2:$I$5000,MATCH($C2537,DATA_MASTER!$D$2:$D$5000,0)),""))</f>
        <v/>
      </c>
      <c r="F2537" s="22">
        <f t="array" ref="F2537">IF($C2537="","",IFERROR(INDEX(DATA_MASTER!$L$2:$L$5000,MATCH($C2537,DATA_MASTER!$D$2:$D$5000,0)),""))</f>
        <v/>
      </c>
      <c r="G2537" s="24" t="n"/>
      <c r="H2537" s="24" t="n"/>
      <c r="I2537" s="30" t="n"/>
      <c r="J2537" s="23">
        <f>IF(OR($H2537="",$I2537=""),"",$H2537*$I2537)</f>
        <v/>
      </c>
      <c r="K2537" s="24" t="n"/>
      <c r="L2537" s="24" t="n"/>
      <c r="M2537" s="29" t="n"/>
      <c r="N2537" s="28" t="n"/>
      <c r="O2537" s="24" t="n"/>
      <c r="P2537" s="24" t="n"/>
      <c r="Q2537" s="24" t="n"/>
      <c r="R2537" s="24" t="n"/>
      <c r="S2537" s="22">
        <f>IF(AND($A2537="",$C2537=""),"",IF($A2537="","Thiếu mã đơn; ","")&amp;IF(COUNTIF($A$2:$A2537,$A2537)&gt;1,"Trùng mã đơn; ","")&amp;IF(ISNA(MATCH($C2537,DATA_MASTER!$D$2:$D$5000,0)),"SĐT chưa đăng ký hội viên; ","")&amp;IF(AND($L2537="Đã chuyển khoản",$M2537=""),"Thiếu ngày nhận CK; ",""))</f>
        <v/>
      </c>
      <c r="T2537" s="24" t="n"/>
    </row>
    <row r="2538" ht="14.25" customHeight="1" s="40">
      <c r="A2538" s="24" t="n"/>
      <c r="B2538" s="29" t="n"/>
      <c r="C2538" s="28" t="n"/>
      <c r="D2538" s="22">
        <f t="array" ref="D2538">IF($C2538="","",IFERROR(INDEX(DATA_MASTER!$C$2:$C$5000,MATCH($C2538,DATA_MASTER!$D$2:$D$5000,0)),""))</f>
        <v/>
      </c>
      <c r="E2538" s="22">
        <f t="array" ref="E2538">IF($C2538="","",IFERROR(INDEX(DATA_MASTER!$I$2:$I$5000,MATCH($C2538,DATA_MASTER!$D$2:$D$5000,0)),""))</f>
        <v/>
      </c>
      <c r="F2538" s="22">
        <f t="array" ref="F2538">IF($C2538="","",IFERROR(INDEX(DATA_MASTER!$L$2:$L$5000,MATCH($C2538,DATA_MASTER!$D$2:$D$5000,0)),""))</f>
        <v/>
      </c>
      <c r="G2538" s="24" t="n"/>
      <c r="H2538" s="24" t="n"/>
      <c r="I2538" s="30" t="n"/>
      <c r="J2538" s="23">
        <f>IF(OR($H2538="",$I2538=""),"",$H2538*$I2538)</f>
        <v/>
      </c>
      <c r="K2538" s="24" t="n"/>
      <c r="L2538" s="24" t="n"/>
      <c r="M2538" s="29" t="n"/>
      <c r="N2538" s="28" t="n"/>
      <c r="O2538" s="24" t="n"/>
      <c r="P2538" s="24" t="n"/>
      <c r="Q2538" s="24" t="n"/>
      <c r="R2538" s="24" t="n"/>
      <c r="S2538" s="22">
        <f>IF(AND($A2538="",$C2538=""),"",IF($A2538="","Thiếu mã đơn; ","")&amp;IF(COUNTIF($A$2:$A2538,$A2538)&gt;1,"Trùng mã đơn; ","")&amp;IF(ISNA(MATCH($C2538,DATA_MASTER!$D$2:$D$5000,0)),"SĐT chưa đăng ký hội viên; ","")&amp;IF(AND($L2538="Đã chuyển khoản",$M2538=""),"Thiếu ngày nhận CK; ",""))</f>
        <v/>
      </c>
      <c r="T2538" s="24" t="n"/>
    </row>
    <row r="2539" ht="14.25" customHeight="1" s="40">
      <c r="A2539" s="24" t="n"/>
      <c r="B2539" s="29" t="n"/>
      <c r="C2539" s="28" t="n"/>
      <c r="D2539" s="22">
        <f t="array" ref="D2539">IF($C2539="","",IFERROR(INDEX(DATA_MASTER!$C$2:$C$5000,MATCH($C2539,DATA_MASTER!$D$2:$D$5000,0)),""))</f>
        <v/>
      </c>
      <c r="E2539" s="22">
        <f t="array" ref="E2539">IF($C2539="","",IFERROR(INDEX(DATA_MASTER!$I$2:$I$5000,MATCH($C2539,DATA_MASTER!$D$2:$D$5000,0)),""))</f>
        <v/>
      </c>
      <c r="F2539" s="22">
        <f t="array" ref="F2539">IF($C2539="","",IFERROR(INDEX(DATA_MASTER!$L$2:$L$5000,MATCH($C2539,DATA_MASTER!$D$2:$D$5000,0)),""))</f>
        <v/>
      </c>
      <c r="G2539" s="24" t="n"/>
      <c r="H2539" s="24" t="n"/>
      <c r="I2539" s="30" t="n"/>
      <c r="J2539" s="23">
        <f>IF(OR($H2539="",$I2539=""),"",$H2539*$I2539)</f>
        <v/>
      </c>
      <c r="K2539" s="24" t="n"/>
      <c r="L2539" s="24" t="n"/>
      <c r="M2539" s="29" t="n"/>
      <c r="N2539" s="28" t="n"/>
      <c r="O2539" s="24" t="n"/>
      <c r="P2539" s="24" t="n"/>
      <c r="Q2539" s="24" t="n"/>
      <c r="R2539" s="24" t="n"/>
      <c r="S2539" s="22">
        <f>IF(AND($A2539="",$C2539=""),"",IF($A2539="","Thiếu mã đơn; ","")&amp;IF(COUNTIF($A$2:$A2539,$A2539)&gt;1,"Trùng mã đơn; ","")&amp;IF(ISNA(MATCH($C2539,DATA_MASTER!$D$2:$D$5000,0)),"SĐT chưa đăng ký hội viên; ","")&amp;IF(AND($L2539="Đã chuyển khoản",$M2539=""),"Thiếu ngày nhận CK; ",""))</f>
        <v/>
      </c>
      <c r="T2539" s="24" t="n"/>
    </row>
    <row r="2540" ht="14.25" customHeight="1" s="40">
      <c r="A2540" s="24" t="n"/>
      <c r="B2540" s="29" t="n"/>
      <c r="C2540" s="28" t="n"/>
      <c r="D2540" s="22">
        <f t="array" ref="D2540">IF($C2540="","",IFERROR(INDEX(DATA_MASTER!$C$2:$C$5000,MATCH($C2540,DATA_MASTER!$D$2:$D$5000,0)),""))</f>
        <v/>
      </c>
      <c r="E2540" s="22">
        <f t="array" ref="E2540">IF($C2540="","",IFERROR(INDEX(DATA_MASTER!$I$2:$I$5000,MATCH($C2540,DATA_MASTER!$D$2:$D$5000,0)),""))</f>
        <v/>
      </c>
      <c r="F2540" s="22">
        <f t="array" ref="F2540">IF($C2540="","",IFERROR(INDEX(DATA_MASTER!$L$2:$L$5000,MATCH($C2540,DATA_MASTER!$D$2:$D$5000,0)),""))</f>
        <v/>
      </c>
      <c r="G2540" s="24" t="n"/>
      <c r="H2540" s="24" t="n"/>
      <c r="I2540" s="30" t="n"/>
      <c r="J2540" s="23">
        <f>IF(OR($H2540="",$I2540=""),"",$H2540*$I2540)</f>
        <v/>
      </c>
      <c r="K2540" s="24" t="n"/>
      <c r="L2540" s="24" t="n"/>
      <c r="M2540" s="29" t="n"/>
      <c r="N2540" s="28" t="n"/>
      <c r="O2540" s="24" t="n"/>
      <c r="P2540" s="24" t="n"/>
      <c r="Q2540" s="24" t="n"/>
      <c r="R2540" s="24" t="n"/>
      <c r="S2540" s="22">
        <f>IF(AND($A2540="",$C2540=""),"",IF($A2540="","Thiếu mã đơn; ","")&amp;IF(COUNTIF($A$2:$A2540,$A2540)&gt;1,"Trùng mã đơn; ","")&amp;IF(ISNA(MATCH($C2540,DATA_MASTER!$D$2:$D$5000,0)),"SĐT chưa đăng ký hội viên; ","")&amp;IF(AND($L2540="Đã chuyển khoản",$M2540=""),"Thiếu ngày nhận CK; ",""))</f>
        <v/>
      </c>
      <c r="T2540" s="24" t="n"/>
    </row>
    <row r="2541" ht="14.25" customHeight="1" s="40">
      <c r="A2541" s="24" t="n"/>
      <c r="B2541" s="29" t="n"/>
      <c r="C2541" s="28" t="n"/>
      <c r="D2541" s="22">
        <f t="array" ref="D2541">IF($C2541="","",IFERROR(INDEX(DATA_MASTER!$C$2:$C$5000,MATCH($C2541,DATA_MASTER!$D$2:$D$5000,0)),""))</f>
        <v/>
      </c>
      <c r="E2541" s="22">
        <f t="array" ref="E2541">IF($C2541="","",IFERROR(INDEX(DATA_MASTER!$I$2:$I$5000,MATCH($C2541,DATA_MASTER!$D$2:$D$5000,0)),""))</f>
        <v/>
      </c>
      <c r="F2541" s="22">
        <f t="array" ref="F2541">IF($C2541="","",IFERROR(INDEX(DATA_MASTER!$L$2:$L$5000,MATCH($C2541,DATA_MASTER!$D$2:$D$5000,0)),""))</f>
        <v/>
      </c>
      <c r="G2541" s="24" t="n"/>
      <c r="H2541" s="24" t="n"/>
      <c r="I2541" s="30" t="n"/>
      <c r="J2541" s="23">
        <f>IF(OR($H2541="",$I2541=""),"",$H2541*$I2541)</f>
        <v/>
      </c>
      <c r="K2541" s="24" t="n"/>
      <c r="L2541" s="24" t="n"/>
      <c r="M2541" s="29" t="n"/>
      <c r="N2541" s="28" t="n"/>
      <c r="O2541" s="24" t="n"/>
      <c r="P2541" s="24" t="n"/>
      <c r="Q2541" s="24" t="n"/>
      <c r="R2541" s="24" t="n"/>
      <c r="S2541" s="22">
        <f>IF(AND($A2541="",$C2541=""),"",IF($A2541="","Thiếu mã đơn; ","")&amp;IF(COUNTIF($A$2:$A2541,$A2541)&gt;1,"Trùng mã đơn; ","")&amp;IF(ISNA(MATCH($C2541,DATA_MASTER!$D$2:$D$5000,0)),"SĐT chưa đăng ký hội viên; ","")&amp;IF(AND($L2541="Đã chuyển khoản",$M2541=""),"Thiếu ngày nhận CK; ",""))</f>
        <v/>
      </c>
      <c r="T2541" s="24" t="n"/>
    </row>
    <row r="2542" ht="14.25" customHeight="1" s="40">
      <c r="A2542" s="24" t="n"/>
      <c r="B2542" s="29" t="n"/>
      <c r="C2542" s="28" t="n"/>
      <c r="D2542" s="22">
        <f t="array" ref="D2542">IF($C2542="","",IFERROR(INDEX(DATA_MASTER!$C$2:$C$5000,MATCH($C2542,DATA_MASTER!$D$2:$D$5000,0)),""))</f>
        <v/>
      </c>
      <c r="E2542" s="22">
        <f t="array" ref="E2542">IF($C2542="","",IFERROR(INDEX(DATA_MASTER!$I$2:$I$5000,MATCH($C2542,DATA_MASTER!$D$2:$D$5000,0)),""))</f>
        <v/>
      </c>
      <c r="F2542" s="22">
        <f t="array" ref="F2542">IF($C2542="","",IFERROR(INDEX(DATA_MASTER!$L$2:$L$5000,MATCH($C2542,DATA_MASTER!$D$2:$D$5000,0)),""))</f>
        <v/>
      </c>
      <c r="G2542" s="24" t="n"/>
      <c r="H2542" s="24" t="n"/>
      <c r="I2542" s="30" t="n"/>
      <c r="J2542" s="23">
        <f>IF(OR($H2542="",$I2542=""),"",$H2542*$I2542)</f>
        <v/>
      </c>
      <c r="K2542" s="24" t="n"/>
      <c r="L2542" s="24" t="n"/>
      <c r="M2542" s="29" t="n"/>
      <c r="N2542" s="28" t="n"/>
      <c r="O2542" s="24" t="n"/>
      <c r="P2542" s="24" t="n"/>
      <c r="Q2542" s="24" t="n"/>
      <c r="R2542" s="24" t="n"/>
      <c r="S2542" s="22">
        <f>IF(AND($A2542="",$C2542=""),"",IF($A2542="","Thiếu mã đơn; ","")&amp;IF(COUNTIF($A$2:$A2542,$A2542)&gt;1,"Trùng mã đơn; ","")&amp;IF(ISNA(MATCH($C2542,DATA_MASTER!$D$2:$D$5000,0)),"SĐT chưa đăng ký hội viên; ","")&amp;IF(AND($L2542="Đã chuyển khoản",$M2542=""),"Thiếu ngày nhận CK; ",""))</f>
        <v/>
      </c>
      <c r="T2542" s="24" t="n"/>
    </row>
    <row r="2543" ht="14.25" customHeight="1" s="40">
      <c r="A2543" s="24" t="n"/>
      <c r="B2543" s="29" t="n"/>
      <c r="C2543" s="28" t="n"/>
      <c r="D2543" s="22">
        <f t="array" ref="D2543">IF($C2543="","",IFERROR(INDEX(DATA_MASTER!$C$2:$C$5000,MATCH($C2543,DATA_MASTER!$D$2:$D$5000,0)),""))</f>
        <v/>
      </c>
      <c r="E2543" s="22">
        <f t="array" ref="E2543">IF($C2543="","",IFERROR(INDEX(DATA_MASTER!$I$2:$I$5000,MATCH($C2543,DATA_MASTER!$D$2:$D$5000,0)),""))</f>
        <v/>
      </c>
      <c r="F2543" s="22">
        <f t="array" ref="F2543">IF($C2543="","",IFERROR(INDEX(DATA_MASTER!$L$2:$L$5000,MATCH($C2543,DATA_MASTER!$D$2:$D$5000,0)),""))</f>
        <v/>
      </c>
      <c r="G2543" s="24" t="n"/>
      <c r="H2543" s="24" t="n"/>
      <c r="I2543" s="30" t="n"/>
      <c r="J2543" s="23">
        <f>IF(OR($H2543="",$I2543=""),"",$H2543*$I2543)</f>
        <v/>
      </c>
      <c r="K2543" s="24" t="n"/>
      <c r="L2543" s="24" t="n"/>
      <c r="M2543" s="29" t="n"/>
      <c r="N2543" s="28" t="n"/>
      <c r="O2543" s="24" t="n"/>
      <c r="P2543" s="24" t="n"/>
      <c r="Q2543" s="24" t="n"/>
      <c r="R2543" s="24" t="n"/>
      <c r="S2543" s="22">
        <f>IF(AND($A2543="",$C2543=""),"",IF($A2543="","Thiếu mã đơn; ","")&amp;IF(COUNTIF($A$2:$A2543,$A2543)&gt;1,"Trùng mã đơn; ","")&amp;IF(ISNA(MATCH($C2543,DATA_MASTER!$D$2:$D$5000,0)),"SĐT chưa đăng ký hội viên; ","")&amp;IF(AND($L2543="Đã chuyển khoản",$M2543=""),"Thiếu ngày nhận CK; ",""))</f>
        <v/>
      </c>
      <c r="T2543" s="24" t="n"/>
    </row>
    <row r="2544" ht="14.25" customHeight="1" s="40">
      <c r="A2544" s="24" t="n"/>
      <c r="B2544" s="29" t="n"/>
      <c r="C2544" s="28" t="n"/>
      <c r="D2544" s="22">
        <f t="array" ref="D2544">IF($C2544="","",IFERROR(INDEX(DATA_MASTER!$C$2:$C$5000,MATCH($C2544,DATA_MASTER!$D$2:$D$5000,0)),""))</f>
        <v/>
      </c>
      <c r="E2544" s="22">
        <f t="array" ref="E2544">IF($C2544="","",IFERROR(INDEX(DATA_MASTER!$I$2:$I$5000,MATCH($C2544,DATA_MASTER!$D$2:$D$5000,0)),""))</f>
        <v/>
      </c>
      <c r="F2544" s="22">
        <f t="array" ref="F2544">IF($C2544="","",IFERROR(INDEX(DATA_MASTER!$L$2:$L$5000,MATCH($C2544,DATA_MASTER!$D$2:$D$5000,0)),""))</f>
        <v/>
      </c>
      <c r="G2544" s="24" t="n"/>
      <c r="H2544" s="24" t="n"/>
      <c r="I2544" s="30" t="n"/>
      <c r="J2544" s="23">
        <f>IF(OR($H2544="",$I2544=""),"",$H2544*$I2544)</f>
        <v/>
      </c>
      <c r="K2544" s="24" t="n"/>
      <c r="L2544" s="24" t="n"/>
      <c r="M2544" s="29" t="n"/>
      <c r="N2544" s="28" t="n"/>
      <c r="O2544" s="24" t="n"/>
      <c r="P2544" s="24" t="n"/>
      <c r="Q2544" s="24" t="n"/>
      <c r="R2544" s="24" t="n"/>
      <c r="S2544" s="22">
        <f>IF(AND($A2544="",$C2544=""),"",IF($A2544="","Thiếu mã đơn; ","")&amp;IF(COUNTIF($A$2:$A2544,$A2544)&gt;1,"Trùng mã đơn; ","")&amp;IF(ISNA(MATCH($C2544,DATA_MASTER!$D$2:$D$5000,0)),"SĐT chưa đăng ký hội viên; ","")&amp;IF(AND($L2544="Đã chuyển khoản",$M2544=""),"Thiếu ngày nhận CK; ",""))</f>
        <v/>
      </c>
      <c r="T2544" s="24" t="n"/>
    </row>
    <row r="2545" ht="14.25" customHeight="1" s="40">
      <c r="A2545" s="24" t="n"/>
      <c r="B2545" s="29" t="n"/>
      <c r="C2545" s="28" t="n"/>
      <c r="D2545" s="22">
        <f t="array" ref="D2545">IF($C2545="","",IFERROR(INDEX(DATA_MASTER!$C$2:$C$5000,MATCH($C2545,DATA_MASTER!$D$2:$D$5000,0)),""))</f>
        <v/>
      </c>
      <c r="E2545" s="22">
        <f t="array" ref="E2545">IF($C2545="","",IFERROR(INDEX(DATA_MASTER!$I$2:$I$5000,MATCH($C2545,DATA_MASTER!$D$2:$D$5000,0)),""))</f>
        <v/>
      </c>
      <c r="F2545" s="22">
        <f t="array" ref="F2545">IF($C2545="","",IFERROR(INDEX(DATA_MASTER!$L$2:$L$5000,MATCH($C2545,DATA_MASTER!$D$2:$D$5000,0)),""))</f>
        <v/>
      </c>
      <c r="G2545" s="24" t="n"/>
      <c r="H2545" s="24" t="n"/>
      <c r="I2545" s="30" t="n"/>
      <c r="J2545" s="23">
        <f>IF(OR($H2545="",$I2545=""),"",$H2545*$I2545)</f>
        <v/>
      </c>
      <c r="K2545" s="24" t="n"/>
      <c r="L2545" s="24" t="n"/>
      <c r="M2545" s="29" t="n"/>
      <c r="N2545" s="28" t="n"/>
      <c r="O2545" s="24" t="n"/>
      <c r="P2545" s="24" t="n"/>
      <c r="Q2545" s="24" t="n"/>
      <c r="R2545" s="24" t="n"/>
      <c r="S2545" s="22">
        <f>IF(AND($A2545="",$C2545=""),"",IF($A2545="","Thiếu mã đơn; ","")&amp;IF(COUNTIF($A$2:$A2545,$A2545)&gt;1,"Trùng mã đơn; ","")&amp;IF(ISNA(MATCH($C2545,DATA_MASTER!$D$2:$D$5000,0)),"SĐT chưa đăng ký hội viên; ","")&amp;IF(AND($L2545="Đã chuyển khoản",$M2545=""),"Thiếu ngày nhận CK; ",""))</f>
        <v/>
      </c>
      <c r="T2545" s="24" t="n"/>
    </row>
    <row r="2546" ht="14.25" customHeight="1" s="40">
      <c r="A2546" s="24" t="n"/>
      <c r="B2546" s="29" t="n"/>
      <c r="C2546" s="28" t="n"/>
      <c r="D2546" s="22">
        <f t="array" ref="D2546">IF($C2546="","",IFERROR(INDEX(DATA_MASTER!$C$2:$C$5000,MATCH($C2546,DATA_MASTER!$D$2:$D$5000,0)),""))</f>
        <v/>
      </c>
      <c r="E2546" s="22">
        <f t="array" ref="E2546">IF($C2546="","",IFERROR(INDEX(DATA_MASTER!$I$2:$I$5000,MATCH($C2546,DATA_MASTER!$D$2:$D$5000,0)),""))</f>
        <v/>
      </c>
      <c r="F2546" s="22">
        <f t="array" ref="F2546">IF($C2546="","",IFERROR(INDEX(DATA_MASTER!$L$2:$L$5000,MATCH($C2546,DATA_MASTER!$D$2:$D$5000,0)),""))</f>
        <v/>
      </c>
      <c r="G2546" s="24" t="n"/>
      <c r="H2546" s="24" t="n"/>
      <c r="I2546" s="30" t="n"/>
      <c r="J2546" s="23">
        <f>IF(OR($H2546="",$I2546=""),"",$H2546*$I2546)</f>
        <v/>
      </c>
      <c r="K2546" s="24" t="n"/>
      <c r="L2546" s="24" t="n"/>
      <c r="M2546" s="29" t="n"/>
      <c r="N2546" s="28" t="n"/>
      <c r="O2546" s="24" t="n"/>
      <c r="P2546" s="24" t="n"/>
      <c r="Q2546" s="24" t="n"/>
      <c r="R2546" s="24" t="n"/>
      <c r="S2546" s="22">
        <f>IF(AND($A2546="",$C2546=""),"",IF($A2546="","Thiếu mã đơn; ","")&amp;IF(COUNTIF($A$2:$A2546,$A2546)&gt;1,"Trùng mã đơn; ","")&amp;IF(ISNA(MATCH($C2546,DATA_MASTER!$D$2:$D$5000,0)),"SĐT chưa đăng ký hội viên; ","")&amp;IF(AND($L2546="Đã chuyển khoản",$M2546=""),"Thiếu ngày nhận CK; ",""))</f>
        <v/>
      </c>
      <c r="T2546" s="24" t="n"/>
    </row>
    <row r="2547" ht="14.25" customHeight="1" s="40">
      <c r="A2547" s="24" t="n"/>
      <c r="B2547" s="29" t="n"/>
      <c r="C2547" s="28" t="n"/>
      <c r="D2547" s="22">
        <f t="array" ref="D2547">IF($C2547="","",IFERROR(INDEX(DATA_MASTER!$C$2:$C$5000,MATCH($C2547,DATA_MASTER!$D$2:$D$5000,0)),""))</f>
        <v/>
      </c>
      <c r="E2547" s="22">
        <f t="array" ref="E2547">IF($C2547="","",IFERROR(INDEX(DATA_MASTER!$I$2:$I$5000,MATCH($C2547,DATA_MASTER!$D$2:$D$5000,0)),""))</f>
        <v/>
      </c>
      <c r="F2547" s="22">
        <f t="array" ref="F2547">IF($C2547="","",IFERROR(INDEX(DATA_MASTER!$L$2:$L$5000,MATCH($C2547,DATA_MASTER!$D$2:$D$5000,0)),""))</f>
        <v/>
      </c>
      <c r="G2547" s="24" t="n"/>
      <c r="H2547" s="24" t="n"/>
      <c r="I2547" s="30" t="n"/>
      <c r="J2547" s="23">
        <f>IF(OR($H2547="",$I2547=""),"",$H2547*$I2547)</f>
        <v/>
      </c>
      <c r="K2547" s="24" t="n"/>
      <c r="L2547" s="24" t="n"/>
      <c r="M2547" s="29" t="n"/>
      <c r="N2547" s="28" t="n"/>
      <c r="O2547" s="24" t="n"/>
      <c r="P2547" s="24" t="n"/>
      <c r="Q2547" s="24" t="n"/>
      <c r="R2547" s="24" t="n"/>
      <c r="S2547" s="22">
        <f>IF(AND($A2547="",$C2547=""),"",IF($A2547="","Thiếu mã đơn; ","")&amp;IF(COUNTIF($A$2:$A2547,$A2547)&gt;1,"Trùng mã đơn; ","")&amp;IF(ISNA(MATCH($C2547,DATA_MASTER!$D$2:$D$5000,0)),"SĐT chưa đăng ký hội viên; ","")&amp;IF(AND($L2547="Đã chuyển khoản",$M2547=""),"Thiếu ngày nhận CK; ",""))</f>
        <v/>
      </c>
      <c r="T2547" s="24" t="n"/>
    </row>
    <row r="2548" ht="14.25" customHeight="1" s="40">
      <c r="A2548" s="24" t="n"/>
      <c r="B2548" s="29" t="n"/>
      <c r="C2548" s="28" t="n"/>
      <c r="D2548" s="22">
        <f t="array" ref="D2548">IF($C2548="","",IFERROR(INDEX(DATA_MASTER!$C$2:$C$5000,MATCH($C2548,DATA_MASTER!$D$2:$D$5000,0)),""))</f>
        <v/>
      </c>
      <c r="E2548" s="22">
        <f t="array" ref="E2548">IF($C2548="","",IFERROR(INDEX(DATA_MASTER!$I$2:$I$5000,MATCH($C2548,DATA_MASTER!$D$2:$D$5000,0)),""))</f>
        <v/>
      </c>
      <c r="F2548" s="22">
        <f t="array" ref="F2548">IF($C2548="","",IFERROR(INDEX(DATA_MASTER!$L$2:$L$5000,MATCH($C2548,DATA_MASTER!$D$2:$D$5000,0)),""))</f>
        <v/>
      </c>
      <c r="G2548" s="24" t="n"/>
      <c r="H2548" s="24" t="n"/>
      <c r="I2548" s="30" t="n"/>
      <c r="J2548" s="23">
        <f>IF(OR($H2548="",$I2548=""),"",$H2548*$I2548)</f>
        <v/>
      </c>
      <c r="K2548" s="24" t="n"/>
      <c r="L2548" s="24" t="n"/>
      <c r="M2548" s="29" t="n"/>
      <c r="N2548" s="28" t="n"/>
      <c r="O2548" s="24" t="n"/>
      <c r="P2548" s="24" t="n"/>
      <c r="Q2548" s="24" t="n"/>
      <c r="R2548" s="24" t="n"/>
      <c r="S2548" s="22">
        <f>IF(AND($A2548="",$C2548=""),"",IF($A2548="","Thiếu mã đơn; ","")&amp;IF(COUNTIF($A$2:$A2548,$A2548)&gt;1,"Trùng mã đơn; ","")&amp;IF(ISNA(MATCH($C2548,DATA_MASTER!$D$2:$D$5000,0)),"SĐT chưa đăng ký hội viên; ","")&amp;IF(AND($L2548="Đã chuyển khoản",$M2548=""),"Thiếu ngày nhận CK; ",""))</f>
        <v/>
      </c>
      <c r="T2548" s="24" t="n"/>
    </row>
    <row r="2549" ht="14.25" customHeight="1" s="40">
      <c r="A2549" s="24" t="n"/>
      <c r="B2549" s="29" t="n"/>
      <c r="C2549" s="28" t="n"/>
      <c r="D2549" s="22">
        <f t="array" ref="D2549">IF($C2549="","",IFERROR(INDEX(DATA_MASTER!$C$2:$C$5000,MATCH($C2549,DATA_MASTER!$D$2:$D$5000,0)),""))</f>
        <v/>
      </c>
      <c r="E2549" s="22">
        <f t="array" ref="E2549">IF($C2549="","",IFERROR(INDEX(DATA_MASTER!$I$2:$I$5000,MATCH($C2549,DATA_MASTER!$D$2:$D$5000,0)),""))</f>
        <v/>
      </c>
      <c r="F2549" s="22">
        <f t="array" ref="F2549">IF($C2549="","",IFERROR(INDEX(DATA_MASTER!$L$2:$L$5000,MATCH($C2549,DATA_MASTER!$D$2:$D$5000,0)),""))</f>
        <v/>
      </c>
      <c r="G2549" s="24" t="n"/>
      <c r="H2549" s="24" t="n"/>
      <c r="I2549" s="30" t="n"/>
      <c r="J2549" s="23">
        <f>IF(OR($H2549="",$I2549=""),"",$H2549*$I2549)</f>
        <v/>
      </c>
      <c r="K2549" s="24" t="n"/>
      <c r="L2549" s="24" t="n"/>
      <c r="M2549" s="29" t="n"/>
      <c r="N2549" s="28" t="n"/>
      <c r="O2549" s="24" t="n"/>
      <c r="P2549" s="24" t="n"/>
      <c r="Q2549" s="24" t="n"/>
      <c r="R2549" s="24" t="n"/>
      <c r="S2549" s="22">
        <f>IF(AND($A2549="",$C2549=""),"",IF($A2549="","Thiếu mã đơn; ","")&amp;IF(COUNTIF($A$2:$A2549,$A2549)&gt;1,"Trùng mã đơn; ","")&amp;IF(ISNA(MATCH($C2549,DATA_MASTER!$D$2:$D$5000,0)),"SĐT chưa đăng ký hội viên; ","")&amp;IF(AND($L2549="Đã chuyển khoản",$M2549=""),"Thiếu ngày nhận CK; ",""))</f>
        <v/>
      </c>
      <c r="T2549" s="24" t="n"/>
    </row>
    <row r="2550" ht="14.25" customHeight="1" s="40">
      <c r="A2550" s="24" t="n"/>
      <c r="B2550" s="29" t="n"/>
      <c r="C2550" s="28" t="n"/>
      <c r="D2550" s="22">
        <f t="array" ref="D2550">IF($C2550="","",IFERROR(INDEX(DATA_MASTER!$C$2:$C$5000,MATCH($C2550,DATA_MASTER!$D$2:$D$5000,0)),""))</f>
        <v/>
      </c>
      <c r="E2550" s="22">
        <f t="array" ref="E2550">IF($C2550="","",IFERROR(INDEX(DATA_MASTER!$I$2:$I$5000,MATCH($C2550,DATA_MASTER!$D$2:$D$5000,0)),""))</f>
        <v/>
      </c>
      <c r="F2550" s="22">
        <f t="array" ref="F2550">IF($C2550="","",IFERROR(INDEX(DATA_MASTER!$L$2:$L$5000,MATCH($C2550,DATA_MASTER!$D$2:$D$5000,0)),""))</f>
        <v/>
      </c>
      <c r="G2550" s="24" t="n"/>
      <c r="H2550" s="24" t="n"/>
      <c r="I2550" s="30" t="n"/>
      <c r="J2550" s="23">
        <f>IF(OR($H2550="",$I2550=""),"",$H2550*$I2550)</f>
        <v/>
      </c>
      <c r="K2550" s="24" t="n"/>
      <c r="L2550" s="24" t="n"/>
      <c r="M2550" s="29" t="n"/>
      <c r="N2550" s="28" t="n"/>
      <c r="O2550" s="24" t="n"/>
      <c r="P2550" s="24" t="n"/>
      <c r="Q2550" s="24" t="n"/>
      <c r="R2550" s="24" t="n"/>
      <c r="S2550" s="22">
        <f>IF(AND($A2550="",$C2550=""),"",IF($A2550="","Thiếu mã đơn; ","")&amp;IF(COUNTIF($A$2:$A2550,$A2550)&gt;1,"Trùng mã đơn; ","")&amp;IF(ISNA(MATCH($C2550,DATA_MASTER!$D$2:$D$5000,0)),"SĐT chưa đăng ký hội viên; ","")&amp;IF(AND($L2550="Đã chuyển khoản",$M2550=""),"Thiếu ngày nhận CK; ",""))</f>
        <v/>
      </c>
      <c r="T2550" s="24" t="n"/>
    </row>
    <row r="2551" ht="14.25" customHeight="1" s="40">
      <c r="A2551" s="24" t="n"/>
      <c r="B2551" s="29" t="n"/>
      <c r="C2551" s="28" t="n"/>
      <c r="D2551" s="22">
        <f t="array" ref="D2551">IF($C2551="","",IFERROR(INDEX(DATA_MASTER!$C$2:$C$5000,MATCH($C2551,DATA_MASTER!$D$2:$D$5000,0)),""))</f>
        <v/>
      </c>
      <c r="E2551" s="22">
        <f t="array" ref="E2551">IF($C2551="","",IFERROR(INDEX(DATA_MASTER!$I$2:$I$5000,MATCH($C2551,DATA_MASTER!$D$2:$D$5000,0)),""))</f>
        <v/>
      </c>
      <c r="F2551" s="22">
        <f t="array" ref="F2551">IF($C2551="","",IFERROR(INDEX(DATA_MASTER!$L$2:$L$5000,MATCH($C2551,DATA_MASTER!$D$2:$D$5000,0)),""))</f>
        <v/>
      </c>
      <c r="G2551" s="24" t="n"/>
      <c r="H2551" s="24" t="n"/>
      <c r="I2551" s="30" t="n"/>
      <c r="J2551" s="23">
        <f>IF(OR($H2551="",$I2551=""),"",$H2551*$I2551)</f>
        <v/>
      </c>
      <c r="K2551" s="24" t="n"/>
      <c r="L2551" s="24" t="n"/>
      <c r="M2551" s="29" t="n"/>
      <c r="N2551" s="28" t="n"/>
      <c r="O2551" s="24" t="n"/>
      <c r="P2551" s="24" t="n"/>
      <c r="Q2551" s="24" t="n"/>
      <c r="R2551" s="24" t="n"/>
      <c r="S2551" s="22">
        <f>IF(AND($A2551="",$C2551=""),"",IF($A2551="","Thiếu mã đơn; ","")&amp;IF(COUNTIF($A$2:$A2551,$A2551)&gt;1,"Trùng mã đơn; ","")&amp;IF(ISNA(MATCH($C2551,DATA_MASTER!$D$2:$D$5000,0)),"SĐT chưa đăng ký hội viên; ","")&amp;IF(AND($L2551="Đã chuyển khoản",$M2551=""),"Thiếu ngày nhận CK; ",""))</f>
        <v/>
      </c>
      <c r="T2551" s="24" t="n"/>
    </row>
    <row r="2552" ht="14.25" customHeight="1" s="40">
      <c r="A2552" s="24" t="n"/>
      <c r="B2552" s="29" t="n"/>
      <c r="C2552" s="28" t="n"/>
      <c r="D2552" s="22">
        <f t="array" ref="D2552">IF($C2552="","",IFERROR(INDEX(DATA_MASTER!$C$2:$C$5000,MATCH($C2552,DATA_MASTER!$D$2:$D$5000,0)),""))</f>
        <v/>
      </c>
      <c r="E2552" s="22">
        <f t="array" ref="E2552">IF($C2552="","",IFERROR(INDEX(DATA_MASTER!$I$2:$I$5000,MATCH($C2552,DATA_MASTER!$D$2:$D$5000,0)),""))</f>
        <v/>
      </c>
      <c r="F2552" s="22">
        <f t="array" ref="F2552">IF($C2552="","",IFERROR(INDEX(DATA_MASTER!$L$2:$L$5000,MATCH($C2552,DATA_MASTER!$D$2:$D$5000,0)),""))</f>
        <v/>
      </c>
      <c r="G2552" s="24" t="n"/>
      <c r="H2552" s="24" t="n"/>
      <c r="I2552" s="30" t="n"/>
      <c r="J2552" s="23">
        <f>IF(OR($H2552="",$I2552=""),"",$H2552*$I2552)</f>
        <v/>
      </c>
      <c r="K2552" s="24" t="n"/>
      <c r="L2552" s="24" t="n"/>
      <c r="M2552" s="29" t="n"/>
      <c r="N2552" s="28" t="n"/>
      <c r="O2552" s="24" t="n"/>
      <c r="P2552" s="24" t="n"/>
      <c r="Q2552" s="24" t="n"/>
      <c r="R2552" s="24" t="n"/>
      <c r="S2552" s="22">
        <f>IF(AND($A2552="",$C2552=""),"",IF($A2552="","Thiếu mã đơn; ","")&amp;IF(COUNTIF($A$2:$A2552,$A2552)&gt;1,"Trùng mã đơn; ","")&amp;IF(ISNA(MATCH($C2552,DATA_MASTER!$D$2:$D$5000,0)),"SĐT chưa đăng ký hội viên; ","")&amp;IF(AND($L2552="Đã chuyển khoản",$M2552=""),"Thiếu ngày nhận CK; ",""))</f>
        <v/>
      </c>
      <c r="T2552" s="24" t="n"/>
    </row>
    <row r="2553" ht="14.25" customHeight="1" s="40">
      <c r="A2553" s="24" t="n"/>
      <c r="B2553" s="29" t="n"/>
      <c r="C2553" s="28" t="n"/>
      <c r="D2553" s="22">
        <f t="array" ref="D2553">IF($C2553="","",IFERROR(INDEX(DATA_MASTER!$C$2:$C$5000,MATCH($C2553,DATA_MASTER!$D$2:$D$5000,0)),""))</f>
        <v/>
      </c>
      <c r="E2553" s="22">
        <f t="array" ref="E2553">IF($C2553="","",IFERROR(INDEX(DATA_MASTER!$I$2:$I$5000,MATCH($C2553,DATA_MASTER!$D$2:$D$5000,0)),""))</f>
        <v/>
      </c>
      <c r="F2553" s="22">
        <f t="array" ref="F2553">IF($C2553="","",IFERROR(INDEX(DATA_MASTER!$L$2:$L$5000,MATCH($C2553,DATA_MASTER!$D$2:$D$5000,0)),""))</f>
        <v/>
      </c>
      <c r="G2553" s="24" t="n"/>
      <c r="H2553" s="24" t="n"/>
      <c r="I2553" s="30" t="n"/>
      <c r="J2553" s="23">
        <f>IF(OR($H2553="",$I2553=""),"",$H2553*$I2553)</f>
        <v/>
      </c>
      <c r="K2553" s="24" t="n"/>
      <c r="L2553" s="24" t="n"/>
      <c r="M2553" s="29" t="n"/>
      <c r="N2553" s="28" t="n"/>
      <c r="O2553" s="24" t="n"/>
      <c r="P2553" s="24" t="n"/>
      <c r="Q2553" s="24" t="n"/>
      <c r="R2553" s="24" t="n"/>
      <c r="S2553" s="22">
        <f>IF(AND($A2553="",$C2553=""),"",IF($A2553="","Thiếu mã đơn; ","")&amp;IF(COUNTIF($A$2:$A2553,$A2553)&gt;1,"Trùng mã đơn; ","")&amp;IF(ISNA(MATCH($C2553,DATA_MASTER!$D$2:$D$5000,0)),"SĐT chưa đăng ký hội viên; ","")&amp;IF(AND($L2553="Đã chuyển khoản",$M2553=""),"Thiếu ngày nhận CK; ",""))</f>
        <v/>
      </c>
      <c r="T2553" s="24" t="n"/>
    </row>
    <row r="2554" ht="14.25" customHeight="1" s="40">
      <c r="A2554" s="24" t="n"/>
      <c r="B2554" s="29" t="n"/>
      <c r="C2554" s="28" t="n"/>
      <c r="D2554" s="22">
        <f t="array" ref="D2554">IF($C2554="","",IFERROR(INDEX(DATA_MASTER!$C$2:$C$5000,MATCH($C2554,DATA_MASTER!$D$2:$D$5000,0)),""))</f>
        <v/>
      </c>
      <c r="E2554" s="22">
        <f t="array" ref="E2554">IF($C2554="","",IFERROR(INDEX(DATA_MASTER!$I$2:$I$5000,MATCH($C2554,DATA_MASTER!$D$2:$D$5000,0)),""))</f>
        <v/>
      </c>
      <c r="F2554" s="22">
        <f t="array" ref="F2554">IF($C2554="","",IFERROR(INDEX(DATA_MASTER!$L$2:$L$5000,MATCH($C2554,DATA_MASTER!$D$2:$D$5000,0)),""))</f>
        <v/>
      </c>
      <c r="G2554" s="24" t="n"/>
      <c r="H2554" s="24" t="n"/>
      <c r="I2554" s="30" t="n"/>
      <c r="J2554" s="23">
        <f>IF(OR($H2554="",$I2554=""),"",$H2554*$I2554)</f>
        <v/>
      </c>
      <c r="K2554" s="24" t="n"/>
      <c r="L2554" s="24" t="n"/>
      <c r="M2554" s="29" t="n"/>
      <c r="N2554" s="28" t="n"/>
      <c r="O2554" s="24" t="n"/>
      <c r="P2554" s="24" t="n"/>
      <c r="Q2554" s="24" t="n"/>
      <c r="R2554" s="24" t="n"/>
      <c r="S2554" s="22">
        <f>IF(AND($A2554="",$C2554=""),"",IF($A2554="","Thiếu mã đơn; ","")&amp;IF(COUNTIF($A$2:$A2554,$A2554)&gt;1,"Trùng mã đơn; ","")&amp;IF(ISNA(MATCH($C2554,DATA_MASTER!$D$2:$D$5000,0)),"SĐT chưa đăng ký hội viên; ","")&amp;IF(AND($L2554="Đã chuyển khoản",$M2554=""),"Thiếu ngày nhận CK; ",""))</f>
        <v/>
      </c>
      <c r="T2554" s="24" t="n"/>
    </row>
    <row r="2555" ht="14.25" customHeight="1" s="40">
      <c r="A2555" s="24" t="n"/>
      <c r="B2555" s="29" t="n"/>
      <c r="C2555" s="28" t="n"/>
      <c r="D2555" s="22">
        <f t="array" ref="D2555">IF($C2555="","",IFERROR(INDEX(DATA_MASTER!$C$2:$C$5000,MATCH($C2555,DATA_MASTER!$D$2:$D$5000,0)),""))</f>
        <v/>
      </c>
      <c r="E2555" s="22">
        <f t="array" ref="E2555">IF($C2555="","",IFERROR(INDEX(DATA_MASTER!$I$2:$I$5000,MATCH($C2555,DATA_MASTER!$D$2:$D$5000,0)),""))</f>
        <v/>
      </c>
      <c r="F2555" s="22">
        <f t="array" ref="F2555">IF($C2555="","",IFERROR(INDEX(DATA_MASTER!$L$2:$L$5000,MATCH($C2555,DATA_MASTER!$D$2:$D$5000,0)),""))</f>
        <v/>
      </c>
      <c r="G2555" s="24" t="n"/>
      <c r="H2555" s="24" t="n"/>
      <c r="I2555" s="30" t="n"/>
      <c r="J2555" s="23">
        <f>IF(OR($H2555="",$I2555=""),"",$H2555*$I2555)</f>
        <v/>
      </c>
      <c r="K2555" s="24" t="n"/>
      <c r="L2555" s="24" t="n"/>
      <c r="M2555" s="29" t="n"/>
      <c r="N2555" s="28" t="n"/>
      <c r="O2555" s="24" t="n"/>
      <c r="P2555" s="24" t="n"/>
      <c r="Q2555" s="24" t="n"/>
      <c r="R2555" s="24" t="n"/>
      <c r="S2555" s="22">
        <f>IF(AND($A2555="",$C2555=""),"",IF($A2555="","Thiếu mã đơn; ","")&amp;IF(COUNTIF($A$2:$A2555,$A2555)&gt;1,"Trùng mã đơn; ","")&amp;IF(ISNA(MATCH($C2555,DATA_MASTER!$D$2:$D$5000,0)),"SĐT chưa đăng ký hội viên; ","")&amp;IF(AND($L2555="Đã chuyển khoản",$M2555=""),"Thiếu ngày nhận CK; ",""))</f>
        <v/>
      </c>
      <c r="T2555" s="24" t="n"/>
    </row>
    <row r="2556" ht="14.25" customHeight="1" s="40">
      <c r="A2556" s="24" t="n"/>
      <c r="B2556" s="29" t="n"/>
      <c r="C2556" s="28" t="n"/>
      <c r="D2556" s="22">
        <f t="array" ref="D2556">IF($C2556="","",IFERROR(INDEX(DATA_MASTER!$C$2:$C$5000,MATCH($C2556,DATA_MASTER!$D$2:$D$5000,0)),""))</f>
        <v/>
      </c>
      <c r="E2556" s="22">
        <f t="array" ref="E2556">IF($C2556="","",IFERROR(INDEX(DATA_MASTER!$I$2:$I$5000,MATCH($C2556,DATA_MASTER!$D$2:$D$5000,0)),""))</f>
        <v/>
      </c>
      <c r="F2556" s="22">
        <f t="array" ref="F2556">IF($C2556="","",IFERROR(INDEX(DATA_MASTER!$L$2:$L$5000,MATCH($C2556,DATA_MASTER!$D$2:$D$5000,0)),""))</f>
        <v/>
      </c>
      <c r="G2556" s="24" t="n"/>
      <c r="H2556" s="24" t="n"/>
      <c r="I2556" s="30" t="n"/>
      <c r="J2556" s="23">
        <f>IF(OR($H2556="",$I2556=""),"",$H2556*$I2556)</f>
        <v/>
      </c>
      <c r="K2556" s="24" t="n"/>
      <c r="L2556" s="24" t="n"/>
      <c r="M2556" s="29" t="n"/>
      <c r="N2556" s="28" t="n"/>
      <c r="O2556" s="24" t="n"/>
      <c r="P2556" s="24" t="n"/>
      <c r="Q2556" s="24" t="n"/>
      <c r="R2556" s="24" t="n"/>
      <c r="S2556" s="22">
        <f>IF(AND($A2556="",$C2556=""),"",IF($A2556="","Thiếu mã đơn; ","")&amp;IF(COUNTIF($A$2:$A2556,$A2556)&gt;1,"Trùng mã đơn; ","")&amp;IF(ISNA(MATCH($C2556,DATA_MASTER!$D$2:$D$5000,0)),"SĐT chưa đăng ký hội viên; ","")&amp;IF(AND($L2556="Đã chuyển khoản",$M2556=""),"Thiếu ngày nhận CK; ",""))</f>
        <v/>
      </c>
      <c r="T2556" s="24" t="n"/>
    </row>
    <row r="2557" ht="14.25" customHeight="1" s="40">
      <c r="A2557" s="24" t="n"/>
      <c r="B2557" s="29" t="n"/>
      <c r="C2557" s="28" t="n"/>
      <c r="D2557" s="22">
        <f t="array" ref="D2557">IF($C2557="","",IFERROR(INDEX(DATA_MASTER!$C$2:$C$5000,MATCH($C2557,DATA_MASTER!$D$2:$D$5000,0)),""))</f>
        <v/>
      </c>
      <c r="E2557" s="22">
        <f t="array" ref="E2557">IF($C2557="","",IFERROR(INDEX(DATA_MASTER!$I$2:$I$5000,MATCH($C2557,DATA_MASTER!$D$2:$D$5000,0)),""))</f>
        <v/>
      </c>
      <c r="F2557" s="22">
        <f t="array" ref="F2557">IF($C2557="","",IFERROR(INDEX(DATA_MASTER!$L$2:$L$5000,MATCH($C2557,DATA_MASTER!$D$2:$D$5000,0)),""))</f>
        <v/>
      </c>
      <c r="G2557" s="24" t="n"/>
      <c r="H2557" s="24" t="n"/>
      <c r="I2557" s="30" t="n"/>
      <c r="J2557" s="23">
        <f>IF(OR($H2557="",$I2557=""),"",$H2557*$I2557)</f>
        <v/>
      </c>
      <c r="K2557" s="24" t="n"/>
      <c r="L2557" s="24" t="n"/>
      <c r="M2557" s="29" t="n"/>
      <c r="N2557" s="28" t="n"/>
      <c r="O2557" s="24" t="n"/>
      <c r="P2557" s="24" t="n"/>
      <c r="Q2557" s="24" t="n"/>
      <c r="R2557" s="24" t="n"/>
      <c r="S2557" s="22">
        <f>IF(AND($A2557="",$C2557=""),"",IF($A2557="","Thiếu mã đơn; ","")&amp;IF(COUNTIF($A$2:$A2557,$A2557)&gt;1,"Trùng mã đơn; ","")&amp;IF(ISNA(MATCH($C2557,DATA_MASTER!$D$2:$D$5000,0)),"SĐT chưa đăng ký hội viên; ","")&amp;IF(AND($L2557="Đã chuyển khoản",$M2557=""),"Thiếu ngày nhận CK; ",""))</f>
        <v/>
      </c>
      <c r="T2557" s="24" t="n"/>
    </row>
    <row r="2558" ht="14.25" customHeight="1" s="40">
      <c r="A2558" s="24" t="n"/>
      <c r="B2558" s="29" t="n"/>
      <c r="C2558" s="28" t="n"/>
      <c r="D2558" s="22">
        <f t="array" ref="D2558">IF($C2558="","",IFERROR(INDEX(DATA_MASTER!$C$2:$C$5000,MATCH($C2558,DATA_MASTER!$D$2:$D$5000,0)),""))</f>
        <v/>
      </c>
      <c r="E2558" s="22">
        <f t="array" ref="E2558">IF($C2558="","",IFERROR(INDEX(DATA_MASTER!$I$2:$I$5000,MATCH($C2558,DATA_MASTER!$D$2:$D$5000,0)),""))</f>
        <v/>
      </c>
      <c r="F2558" s="22">
        <f t="array" ref="F2558">IF($C2558="","",IFERROR(INDEX(DATA_MASTER!$L$2:$L$5000,MATCH($C2558,DATA_MASTER!$D$2:$D$5000,0)),""))</f>
        <v/>
      </c>
      <c r="G2558" s="24" t="n"/>
      <c r="H2558" s="24" t="n"/>
      <c r="I2558" s="30" t="n"/>
      <c r="J2558" s="23">
        <f>IF(OR($H2558="",$I2558=""),"",$H2558*$I2558)</f>
        <v/>
      </c>
      <c r="K2558" s="24" t="n"/>
      <c r="L2558" s="24" t="n"/>
      <c r="M2558" s="29" t="n"/>
      <c r="N2558" s="28" t="n"/>
      <c r="O2558" s="24" t="n"/>
      <c r="P2558" s="24" t="n"/>
      <c r="Q2558" s="24" t="n"/>
      <c r="R2558" s="24" t="n"/>
      <c r="S2558" s="22">
        <f>IF(AND($A2558="",$C2558=""),"",IF($A2558="","Thiếu mã đơn; ","")&amp;IF(COUNTIF($A$2:$A2558,$A2558)&gt;1,"Trùng mã đơn; ","")&amp;IF(ISNA(MATCH($C2558,DATA_MASTER!$D$2:$D$5000,0)),"SĐT chưa đăng ký hội viên; ","")&amp;IF(AND($L2558="Đã chuyển khoản",$M2558=""),"Thiếu ngày nhận CK; ",""))</f>
        <v/>
      </c>
      <c r="T2558" s="24" t="n"/>
    </row>
    <row r="2559" ht="14.25" customHeight="1" s="40">
      <c r="A2559" s="24" t="n"/>
      <c r="B2559" s="29" t="n"/>
      <c r="C2559" s="28" t="n"/>
      <c r="D2559" s="22">
        <f t="array" ref="D2559">IF($C2559="","",IFERROR(INDEX(DATA_MASTER!$C$2:$C$5000,MATCH($C2559,DATA_MASTER!$D$2:$D$5000,0)),""))</f>
        <v/>
      </c>
      <c r="E2559" s="22">
        <f t="array" ref="E2559">IF($C2559="","",IFERROR(INDEX(DATA_MASTER!$I$2:$I$5000,MATCH($C2559,DATA_MASTER!$D$2:$D$5000,0)),""))</f>
        <v/>
      </c>
      <c r="F2559" s="22">
        <f t="array" ref="F2559">IF($C2559="","",IFERROR(INDEX(DATA_MASTER!$L$2:$L$5000,MATCH($C2559,DATA_MASTER!$D$2:$D$5000,0)),""))</f>
        <v/>
      </c>
      <c r="G2559" s="24" t="n"/>
      <c r="H2559" s="24" t="n"/>
      <c r="I2559" s="30" t="n"/>
      <c r="J2559" s="23">
        <f>IF(OR($H2559="",$I2559=""),"",$H2559*$I2559)</f>
        <v/>
      </c>
      <c r="K2559" s="24" t="n"/>
      <c r="L2559" s="24" t="n"/>
      <c r="M2559" s="29" t="n"/>
      <c r="N2559" s="28" t="n"/>
      <c r="O2559" s="24" t="n"/>
      <c r="P2559" s="24" t="n"/>
      <c r="Q2559" s="24" t="n"/>
      <c r="R2559" s="24" t="n"/>
      <c r="S2559" s="22">
        <f>IF(AND($A2559="",$C2559=""),"",IF($A2559="","Thiếu mã đơn; ","")&amp;IF(COUNTIF($A$2:$A2559,$A2559)&gt;1,"Trùng mã đơn; ","")&amp;IF(ISNA(MATCH($C2559,DATA_MASTER!$D$2:$D$5000,0)),"SĐT chưa đăng ký hội viên; ","")&amp;IF(AND($L2559="Đã chuyển khoản",$M2559=""),"Thiếu ngày nhận CK; ",""))</f>
        <v/>
      </c>
      <c r="T2559" s="24" t="n"/>
    </row>
    <row r="2560" ht="14.25" customHeight="1" s="40">
      <c r="A2560" s="24" t="n"/>
      <c r="B2560" s="29" t="n"/>
      <c r="C2560" s="28" t="n"/>
      <c r="D2560" s="22">
        <f t="array" ref="D2560">IF($C2560="","",IFERROR(INDEX(DATA_MASTER!$C$2:$C$5000,MATCH($C2560,DATA_MASTER!$D$2:$D$5000,0)),""))</f>
        <v/>
      </c>
      <c r="E2560" s="22">
        <f t="array" ref="E2560">IF($C2560="","",IFERROR(INDEX(DATA_MASTER!$I$2:$I$5000,MATCH($C2560,DATA_MASTER!$D$2:$D$5000,0)),""))</f>
        <v/>
      </c>
      <c r="F2560" s="22">
        <f t="array" ref="F2560">IF($C2560="","",IFERROR(INDEX(DATA_MASTER!$L$2:$L$5000,MATCH($C2560,DATA_MASTER!$D$2:$D$5000,0)),""))</f>
        <v/>
      </c>
      <c r="G2560" s="24" t="n"/>
      <c r="H2560" s="24" t="n"/>
      <c r="I2560" s="30" t="n"/>
      <c r="J2560" s="23">
        <f>IF(OR($H2560="",$I2560=""),"",$H2560*$I2560)</f>
        <v/>
      </c>
      <c r="K2560" s="24" t="n"/>
      <c r="L2560" s="24" t="n"/>
      <c r="M2560" s="29" t="n"/>
      <c r="N2560" s="28" t="n"/>
      <c r="O2560" s="24" t="n"/>
      <c r="P2560" s="24" t="n"/>
      <c r="Q2560" s="24" t="n"/>
      <c r="R2560" s="24" t="n"/>
      <c r="S2560" s="22">
        <f>IF(AND($A2560="",$C2560=""),"",IF($A2560="","Thiếu mã đơn; ","")&amp;IF(COUNTIF($A$2:$A2560,$A2560)&gt;1,"Trùng mã đơn; ","")&amp;IF(ISNA(MATCH($C2560,DATA_MASTER!$D$2:$D$5000,0)),"SĐT chưa đăng ký hội viên; ","")&amp;IF(AND($L2560="Đã chuyển khoản",$M2560=""),"Thiếu ngày nhận CK; ",""))</f>
        <v/>
      </c>
      <c r="T2560" s="24" t="n"/>
    </row>
    <row r="2561" ht="14.25" customHeight="1" s="40">
      <c r="A2561" s="24" t="n"/>
      <c r="B2561" s="29" t="n"/>
      <c r="C2561" s="28" t="n"/>
      <c r="D2561" s="22">
        <f t="array" ref="D2561">IF($C2561="","",IFERROR(INDEX(DATA_MASTER!$C$2:$C$5000,MATCH($C2561,DATA_MASTER!$D$2:$D$5000,0)),""))</f>
        <v/>
      </c>
      <c r="E2561" s="22">
        <f t="array" ref="E2561">IF($C2561="","",IFERROR(INDEX(DATA_MASTER!$I$2:$I$5000,MATCH($C2561,DATA_MASTER!$D$2:$D$5000,0)),""))</f>
        <v/>
      </c>
      <c r="F2561" s="22">
        <f t="array" ref="F2561">IF($C2561="","",IFERROR(INDEX(DATA_MASTER!$L$2:$L$5000,MATCH($C2561,DATA_MASTER!$D$2:$D$5000,0)),""))</f>
        <v/>
      </c>
      <c r="G2561" s="24" t="n"/>
      <c r="H2561" s="24" t="n"/>
      <c r="I2561" s="30" t="n"/>
      <c r="J2561" s="23">
        <f>IF(OR($H2561="",$I2561=""),"",$H2561*$I2561)</f>
        <v/>
      </c>
      <c r="K2561" s="24" t="n"/>
      <c r="L2561" s="24" t="n"/>
      <c r="M2561" s="29" t="n"/>
      <c r="N2561" s="28" t="n"/>
      <c r="O2561" s="24" t="n"/>
      <c r="P2561" s="24" t="n"/>
      <c r="Q2561" s="24" t="n"/>
      <c r="R2561" s="24" t="n"/>
      <c r="S2561" s="22">
        <f>IF(AND($A2561="",$C2561=""),"",IF($A2561="","Thiếu mã đơn; ","")&amp;IF(COUNTIF($A$2:$A2561,$A2561)&gt;1,"Trùng mã đơn; ","")&amp;IF(ISNA(MATCH($C2561,DATA_MASTER!$D$2:$D$5000,0)),"SĐT chưa đăng ký hội viên; ","")&amp;IF(AND($L2561="Đã chuyển khoản",$M2561=""),"Thiếu ngày nhận CK; ",""))</f>
        <v/>
      </c>
      <c r="T2561" s="24" t="n"/>
    </row>
    <row r="2562" ht="14.25" customHeight="1" s="40">
      <c r="A2562" s="24" t="n"/>
      <c r="B2562" s="29" t="n"/>
      <c r="C2562" s="28" t="n"/>
      <c r="D2562" s="22">
        <f t="array" ref="D2562">IF($C2562="","",IFERROR(INDEX(DATA_MASTER!$C$2:$C$5000,MATCH($C2562,DATA_MASTER!$D$2:$D$5000,0)),""))</f>
        <v/>
      </c>
      <c r="E2562" s="22">
        <f t="array" ref="E2562">IF($C2562="","",IFERROR(INDEX(DATA_MASTER!$I$2:$I$5000,MATCH($C2562,DATA_MASTER!$D$2:$D$5000,0)),""))</f>
        <v/>
      </c>
      <c r="F2562" s="22">
        <f t="array" ref="F2562">IF($C2562="","",IFERROR(INDEX(DATA_MASTER!$L$2:$L$5000,MATCH($C2562,DATA_MASTER!$D$2:$D$5000,0)),""))</f>
        <v/>
      </c>
      <c r="G2562" s="24" t="n"/>
      <c r="H2562" s="24" t="n"/>
      <c r="I2562" s="30" t="n"/>
      <c r="J2562" s="23">
        <f>IF(OR($H2562="",$I2562=""),"",$H2562*$I2562)</f>
        <v/>
      </c>
      <c r="K2562" s="24" t="n"/>
      <c r="L2562" s="24" t="n"/>
      <c r="M2562" s="29" t="n"/>
      <c r="N2562" s="28" t="n"/>
      <c r="O2562" s="24" t="n"/>
      <c r="P2562" s="24" t="n"/>
      <c r="Q2562" s="24" t="n"/>
      <c r="R2562" s="24" t="n"/>
      <c r="S2562" s="22">
        <f>IF(AND($A2562="",$C2562=""),"",IF($A2562="","Thiếu mã đơn; ","")&amp;IF(COUNTIF($A$2:$A2562,$A2562)&gt;1,"Trùng mã đơn; ","")&amp;IF(ISNA(MATCH($C2562,DATA_MASTER!$D$2:$D$5000,0)),"SĐT chưa đăng ký hội viên; ","")&amp;IF(AND($L2562="Đã chuyển khoản",$M2562=""),"Thiếu ngày nhận CK; ",""))</f>
        <v/>
      </c>
      <c r="T2562" s="24" t="n"/>
    </row>
    <row r="2563" ht="14.25" customHeight="1" s="40">
      <c r="A2563" s="24" t="n"/>
      <c r="B2563" s="29" t="n"/>
      <c r="C2563" s="28" t="n"/>
      <c r="D2563" s="22">
        <f t="array" ref="D2563">IF($C2563="","",IFERROR(INDEX(DATA_MASTER!$C$2:$C$5000,MATCH($C2563,DATA_MASTER!$D$2:$D$5000,0)),""))</f>
        <v/>
      </c>
      <c r="E2563" s="22">
        <f t="array" ref="E2563">IF($C2563="","",IFERROR(INDEX(DATA_MASTER!$I$2:$I$5000,MATCH($C2563,DATA_MASTER!$D$2:$D$5000,0)),""))</f>
        <v/>
      </c>
      <c r="F2563" s="22">
        <f t="array" ref="F2563">IF($C2563="","",IFERROR(INDEX(DATA_MASTER!$L$2:$L$5000,MATCH($C2563,DATA_MASTER!$D$2:$D$5000,0)),""))</f>
        <v/>
      </c>
      <c r="G2563" s="24" t="n"/>
      <c r="H2563" s="24" t="n"/>
      <c r="I2563" s="30" t="n"/>
      <c r="J2563" s="23">
        <f>IF(OR($H2563="",$I2563=""),"",$H2563*$I2563)</f>
        <v/>
      </c>
      <c r="K2563" s="24" t="n"/>
      <c r="L2563" s="24" t="n"/>
      <c r="M2563" s="29" t="n"/>
      <c r="N2563" s="28" t="n"/>
      <c r="O2563" s="24" t="n"/>
      <c r="P2563" s="24" t="n"/>
      <c r="Q2563" s="24" t="n"/>
      <c r="R2563" s="24" t="n"/>
      <c r="S2563" s="22">
        <f>IF(AND($A2563="",$C2563=""),"",IF($A2563="","Thiếu mã đơn; ","")&amp;IF(COUNTIF($A$2:$A2563,$A2563)&gt;1,"Trùng mã đơn; ","")&amp;IF(ISNA(MATCH($C2563,DATA_MASTER!$D$2:$D$5000,0)),"SĐT chưa đăng ký hội viên; ","")&amp;IF(AND($L2563="Đã chuyển khoản",$M2563=""),"Thiếu ngày nhận CK; ",""))</f>
        <v/>
      </c>
      <c r="T2563" s="24" t="n"/>
    </row>
    <row r="2564" ht="14.25" customHeight="1" s="40">
      <c r="A2564" s="24" t="n"/>
      <c r="B2564" s="29" t="n"/>
      <c r="C2564" s="28" t="n"/>
      <c r="D2564" s="22">
        <f t="array" ref="D2564">IF($C2564="","",IFERROR(INDEX(DATA_MASTER!$C$2:$C$5000,MATCH($C2564,DATA_MASTER!$D$2:$D$5000,0)),""))</f>
        <v/>
      </c>
      <c r="E2564" s="22">
        <f t="array" ref="E2564">IF($C2564="","",IFERROR(INDEX(DATA_MASTER!$I$2:$I$5000,MATCH($C2564,DATA_MASTER!$D$2:$D$5000,0)),""))</f>
        <v/>
      </c>
      <c r="F2564" s="22">
        <f t="array" ref="F2564">IF($C2564="","",IFERROR(INDEX(DATA_MASTER!$L$2:$L$5000,MATCH($C2564,DATA_MASTER!$D$2:$D$5000,0)),""))</f>
        <v/>
      </c>
      <c r="G2564" s="24" t="n"/>
      <c r="H2564" s="24" t="n"/>
      <c r="I2564" s="30" t="n"/>
      <c r="J2564" s="23">
        <f>IF(OR($H2564="",$I2564=""),"",$H2564*$I2564)</f>
        <v/>
      </c>
      <c r="K2564" s="24" t="n"/>
      <c r="L2564" s="24" t="n"/>
      <c r="M2564" s="29" t="n"/>
      <c r="N2564" s="28" t="n"/>
      <c r="O2564" s="24" t="n"/>
      <c r="P2564" s="24" t="n"/>
      <c r="Q2564" s="24" t="n"/>
      <c r="R2564" s="24" t="n"/>
      <c r="S2564" s="22">
        <f>IF(AND($A2564="",$C2564=""),"",IF($A2564="","Thiếu mã đơn; ","")&amp;IF(COUNTIF($A$2:$A2564,$A2564)&gt;1,"Trùng mã đơn; ","")&amp;IF(ISNA(MATCH($C2564,DATA_MASTER!$D$2:$D$5000,0)),"SĐT chưa đăng ký hội viên; ","")&amp;IF(AND($L2564="Đã chuyển khoản",$M2564=""),"Thiếu ngày nhận CK; ",""))</f>
        <v/>
      </c>
      <c r="T2564" s="24" t="n"/>
    </row>
    <row r="2565" ht="14.25" customHeight="1" s="40">
      <c r="A2565" s="24" t="n"/>
      <c r="B2565" s="29" t="n"/>
      <c r="C2565" s="28" t="n"/>
      <c r="D2565" s="22">
        <f t="array" ref="D2565">IF($C2565="","",IFERROR(INDEX(DATA_MASTER!$C$2:$C$5000,MATCH($C2565,DATA_MASTER!$D$2:$D$5000,0)),""))</f>
        <v/>
      </c>
      <c r="E2565" s="22">
        <f t="array" ref="E2565">IF($C2565="","",IFERROR(INDEX(DATA_MASTER!$I$2:$I$5000,MATCH($C2565,DATA_MASTER!$D$2:$D$5000,0)),""))</f>
        <v/>
      </c>
      <c r="F2565" s="22">
        <f t="array" ref="F2565">IF($C2565="","",IFERROR(INDEX(DATA_MASTER!$L$2:$L$5000,MATCH($C2565,DATA_MASTER!$D$2:$D$5000,0)),""))</f>
        <v/>
      </c>
      <c r="G2565" s="24" t="n"/>
      <c r="H2565" s="24" t="n"/>
      <c r="I2565" s="30" t="n"/>
      <c r="J2565" s="23">
        <f>IF(OR($H2565="",$I2565=""),"",$H2565*$I2565)</f>
        <v/>
      </c>
      <c r="K2565" s="24" t="n"/>
      <c r="L2565" s="24" t="n"/>
      <c r="M2565" s="29" t="n"/>
      <c r="N2565" s="28" t="n"/>
      <c r="O2565" s="24" t="n"/>
      <c r="P2565" s="24" t="n"/>
      <c r="Q2565" s="24" t="n"/>
      <c r="R2565" s="24" t="n"/>
      <c r="S2565" s="22">
        <f>IF(AND($A2565="",$C2565=""),"",IF($A2565="","Thiếu mã đơn; ","")&amp;IF(COUNTIF($A$2:$A2565,$A2565)&gt;1,"Trùng mã đơn; ","")&amp;IF(ISNA(MATCH($C2565,DATA_MASTER!$D$2:$D$5000,0)),"SĐT chưa đăng ký hội viên; ","")&amp;IF(AND($L2565="Đã chuyển khoản",$M2565=""),"Thiếu ngày nhận CK; ",""))</f>
        <v/>
      </c>
      <c r="T2565" s="24" t="n"/>
    </row>
    <row r="2566" ht="14.25" customHeight="1" s="40">
      <c r="A2566" s="24" t="n"/>
      <c r="B2566" s="29" t="n"/>
      <c r="C2566" s="28" t="n"/>
      <c r="D2566" s="22">
        <f t="array" ref="D2566">IF($C2566="","",IFERROR(INDEX(DATA_MASTER!$C$2:$C$5000,MATCH($C2566,DATA_MASTER!$D$2:$D$5000,0)),""))</f>
        <v/>
      </c>
      <c r="E2566" s="22">
        <f t="array" ref="E2566">IF($C2566="","",IFERROR(INDEX(DATA_MASTER!$I$2:$I$5000,MATCH($C2566,DATA_MASTER!$D$2:$D$5000,0)),""))</f>
        <v/>
      </c>
      <c r="F2566" s="22">
        <f t="array" ref="F2566">IF($C2566="","",IFERROR(INDEX(DATA_MASTER!$L$2:$L$5000,MATCH($C2566,DATA_MASTER!$D$2:$D$5000,0)),""))</f>
        <v/>
      </c>
      <c r="G2566" s="24" t="n"/>
      <c r="H2566" s="24" t="n"/>
      <c r="I2566" s="30" t="n"/>
      <c r="J2566" s="23">
        <f>IF(OR($H2566="",$I2566=""),"",$H2566*$I2566)</f>
        <v/>
      </c>
      <c r="K2566" s="24" t="n"/>
      <c r="L2566" s="24" t="n"/>
      <c r="M2566" s="29" t="n"/>
      <c r="N2566" s="28" t="n"/>
      <c r="O2566" s="24" t="n"/>
      <c r="P2566" s="24" t="n"/>
      <c r="Q2566" s="24" t="n"/>
      <c r="R2566" s="24" t="n"/>
      <c r="S2566" s="22">
        <f>IF(AND($A2566="",$C2566=""),"",IF($A2566="","Thiếu mã đơn; ","")&amp;IF(COUNTIF($A$2:$A2566,$A2566)&gt;1,"Trùng mã đơn; ","")&amp;IF(ISNA(MATCH($C2566,DATA_MASTER!$D$2:$D$5000,0)),"SĐT chưa đăng ký hội viên; ","")&amp;IF(AND($L2566="Đã chuyển khoản",$M2566=""),"Thiếu ngày nhận CK; ",""))</f>
        <v/>
      </c>
      <c r="T2566" s="24" t="n"/>
    </row>
    <row r="2567" ht="14.25" customHeight="1" s="40">
      <c r="A2567" s="24" t="n"/>
      <c r="B2567" s="29" t="n"/>
      <c r="C2567" s="28" t="n"/>
      <c r="D2567" s="22">
        <f t="array" ref="D2567">IF($C2567="","",IFERROR(INDEX(DATA_MASTER!$C$2:$C$5000,MATCH($C2567,DATA_MASTER!$D$2:$D$5000,0)),""))</f>
        <v/>
      </c>
      <c r="E2567" s="22">
        <f t="array" ref="E2567">IF($C2567="","",IFERROR(INDEX(DATA_MASTER!$I$2:$I$5000,MATCH($C2567,DATA_MASTER!$D$2:$D$5000,0)),""))</f>
        <v/>
      </c>
      <c r="F2567" s="22">
        <f t="array" ref="F2567">IF($C2567="","",IFERROR(INDEX(DATA_MASTER!$L$2:$L$5000,MATCH($C2567,DATA_MASTER!$D$2:$D$5000,0)),""))</f>
        <v/>
      </c>
      <c r="G2567" s="24" t="n"/>
      <c r="H2567" s="24" t="n"/>
      <c r="I2567" s="30" t="n"/>
      <c r="J2567" s="23">
        <f>IF(OR($H2567="",$I2567=""),"",$H2567*$I2567)</f>
        <v/>
      </c>
      <c r="K2567" s="24" t="n"/>
      <c r="L2567" s="24" t="n"/>
      <c r="M2567" s="29" t="n"/>
      <c r="N2567" s="28" t="n"/>
      <c r="O2567" s="24" t="n"/>
      <c r="P2567" s="24" t="n"/>
      <c r="Q2567" s="24" t="n"/>
      <c r="R2567" s="24" t="n"/>
      <c r="S2567" s="22">
        <f>IF(AND($A2567="",$C2567=""),"",IF($A2567="","Thiếu mã đơn; ","")&amp;IF(COUNTIF($A$2:$A2567,$A2567)&gt;1,"Trùng mã đơn; ","")&amp;IF(ISNA(MATCH($C2567,DATA_MASTER!$D$2:$D$5000,0)),"SĐT chưa đăng ký hội viên; ","")&amp;IF(AND($L2567="Đã chuyển khoản",$M2567=""),"Thiếu ngày nhận CK; ",""))</f>
        <v/>
      </c>
      <c r="T2567" s="24" t="n"/>
    </row>
    <row r="2568" ht="14.25" customHeight="1" s="40">
      <c r="A2568" s="24" t="n"/>
      <c r="B2568" s="29" t="n"/>
      <c r="C2568" s="28" t="n"/>
      <c r="D2568" s="22">
        <f t="array" ref="D2568">IF($C2568="","",IFERROR(INDEX(DATA_MASTER!$C$2:$C$5000,MATCH($C2568,DATA_MASTER!$D$2:$D$5000,0)),""))</f>
        <v/>
      </c>
      <c r="E2568" s="22">
        <f t="array" ref="E2568">IF($C2568="","",IFERROR(INDEX(DATA_MASTER!$I$2:$I$5000,MATCH($C2568,DATA_MASTER!$D$2:$D$5000,0)),""))</f>
        <v/>
      </c>
      <c r="F2568" s="22">
        <f t="array" ref="F2568">IF($C2568="","",IFERROR(INDEX(DATA_MASTER!$L$2:$L$5000,MATCH($C2568,DATA_MASTER!$D$2:$D$5000,0)),""))</f>
        <v/>
      </c>
      <c r="G2568" s="24" t="n"/>
      <c r="H2568" s="24" t="n"/>
      <c r="I2568" s="30" t="n"/>
      <c r="J2568" s="23">
        <f>IF(OR($H2568="",$I2568=""),"",$H2568*$I2568)</f>
        <v/>
      </c>
      <c r="K2568" s="24" t="n"/>
      <c r="L2568" s="24" t="n"/>
      <c r="M2568" s="29" t="n"/>
      <c r="N2568" s="28" t="n"/>
      <c r="O2568" s="24" t="n"/>
      <c r="P2568" s="24" t="n"/>
      <c r="Q2568" s="24" t="n"/>
      <c r="R2568" s="24" t="n"/>
      <c r="S2568" s="22">
        <f>IF(AND($A2568="",$C2568=""),"",IF($A2568="","Thiếu mã đơn; ","")&amp;IF(COUNTIF($A$2:$A2568,$A2568)&gt;1,"Trùng mã đơn; ","")&amp;IF(ISNA(MATCH($C2568,DATA_MASTER!$D$2:$D$5000,0)),"SĐT chưa đăng ký hội viên; ","")&amp;IF(AND($L2568="Đã chuyển khoản",$M2568=""),"Thiếu ngày nhận CK; ",""))</f>
        <v/>
      </c>
      <c r="T2568" s="24" t="n"/>
    </row>
    <row r="2569" ht="14.25" customHeight="1" s="40">
      <c r="A2569" s="24" t="n"/>
      <c r="B2569" s="29" t="n"/>
      <c r="C2569" s="28" t="n"/>
      <c r="D2569" s="22">
        <f t="array" ref="D2569">IF($C2569="","",IFERROR(INDEX(DATA_MASTER!$C$2:$C$5000,MATCH($C2569,DATA_MASTER!$D$2:$D$5000,0)),""))</f>
        <v/>
      </c>
      <c r="E2569" s="22">
        <f t="array" ref="E2569">IF($C2569="","",IFERROR(INDEX(DATA_MASTER!$I$2:$I$5000,MATCH($C2569,DATA_MASTER!$D$2:$D$5000,0)),""))</f>
        <v/>
      </c>
      <c r="F2569" s="22">
        <f t="array" ref="F2569">IF($C2569="","",IFERROR(INDEX(DATA_MASTER!$L$2:$L$5000,MATCH($C2569,DATA_MASTER!$D$2:$D$5000,0)),""))</f>
        <v/>
      </c>
      <c r="G2569" s="24" t="n"/>
      <c r="H2569" s="24" t="n"/>
      <c r="I2569" s="30" t="n"/>
      <c r="J2569" s="23">
        <f>IF(OR($H2569="",$I2569=""),"",$H2569*$I2569)</f>
        <v/>
      </c>
      <c r="K2569" s="24" t="n"/>
      <c r="L2569" s="24" t="n"/>
      <c r="M2569" s="29" t="n"/>
      <c r="N2569" s="28" t="n"/>
      <c r="O2569" s="24" t="n"/>
      <c r="P2569" s="24" t="n"/>
      <c r="Q2569" s="24" t="n"/>
      <c r="R2569" s="24" t="n"/>
      <c r="S2569" s="22">
        <f>IF(AND($A2569="",$C2569=""),"",IF($A2569="","Thiếu mã đơn; ","")&amp;IF(COUNTIF($A$2:$A2569,$A2569)&gt;1,"Trùng mã đơn; ","")&amp;IF(ISNA(MATCH($C2569,DATA_MASTER!$D$2:$D$5000,0)),"SĐT chưa đăng ký hội viên; ","")&amp;IF(AND($L2569="Đã chuyển khoản",$M2569=""),"Thiếu ngày nhận CK; ",""))</f>
        <v/>
      </c>
      <c r="T2569" s="24" t="n"/>
    </row>
    <row r="2570" ht="14.25" customHeight="1" s="40">
      <c r="A2570" s="24" t="n"/>
      <c r="B2570" s="29" t="n"/>
      <c r="C2570" s="28" t="n"/>
      <c r="D2570" s="22">
        <f t="array" ref="D2570">IF($C2570="","",IFERROR(INDEX(DATA_MASTER!$C$2:$C$5000,MATCH($C2570,DATA_MASTER!$D$2:$D$5000,0)),""))</f>
        <v/>
      </c>
      <c r="E2570" s="22">
        <f t="array" ref="E2570">IF($C2570="","",IFERROR(INDEX(DATA_MASTER!$I$2:$I$5000,MATCH($C2570,DATA_MASTER!$D$2:$D$5000,0)),""))</f>
        <v/>
      </c>
      <c r="F2570" s="22">
        <f t="array" ref="F2570">IF($C2570="","",IFERROR(INDEX(DATA_MASTER!$L$2:$L$5000,MATCH($C2570,DATA_MASTER!$D$2:$D$5000,0)),""))</f>
        <v/>
      </c>
      <c r="G2570" s="24" t="n"/>
      <c r="H2570" s="24" t="n"/>
      <c r="I2570" s="30" t="n"/>
      <c r="J2570" s="23">
        <f>IF(OR($H2570="",$I2570=""),"",$H2570*$I2570)</f>
        <v/>
      </c>
      <c r="K2570" s="24" t="n"/>
      <c r="L2570" s="24" t="n"/>
      <c r="M2570" s="29" t="n"/>
      <c r="N2570" s="28" t="n"/>
      <c r="O2570" s="24" t="n"/>
      <c r="P2570" s="24" t="n"/>
      <c r="Q2570" s="24" t="n"/>
      <c r="R2570" s="24" t="n"/>
      <c r="S2570" s="22">
        <f>IF(AND($A2570="",$C2570=""),"",IF($A2570="","Thiếu mã đơn; ","")&amp;IF(COUNTIF($A$2:$A2570,$A2570)&gt;1,"Trùng mã đơn; ","")&amp;IF(ISNA(MATCH($C2570,DATA_MASTER!$D$2:$D$5000,0)),"SĐT chưa đăng ký hội viên; ","")&amp;IF(AND($L2570="Đã chuyển khoản",$M2570=""),"Thiếu ngày nhận CK; ",""))</f>
        <v/>
      </c>
      <c r="T2570" s="24" t="n"/>
    </row>
    <row r="2571" ht="14.25" customHeight="1" s="40">
      <c r="A2571" s="24" t="n"/>
      <c r="B2571" s="29" t="n"/>
      <c r="C2571" s="28" t="n"/>
      <c r="D2571" s="22">
        <f t="array" ref="D2571">IF($C2571="","",IFERROR(INDEX(DATA_MASTER!$C$2:$C$5000,MATCH($C2571,DATA_MASTER!$D$2:$D$5000,0)),""))</f>
        <v/>
      </c>
      <c r="E2571" s="22">
        <f t="array" ref="E2571">IF($C2571="","",IFERROR(INDEX(DATA_MASTER!$I$2:$I$5000,MATCH($C2571,DATA_MASTER!$D$2:$D$5000,0)),""))</f>
        <v/>
      </c>
      <c r="F2571" s="22">
        <f t="array" ref="F2571">IF($C2571="","",IFERROR(INDEX(DATA_MASTER!$L$2:$L$5000,MATCH($C2571,DATA_MASTER!$D$2:$D$5000,0)),""))</f>
        <v/>
      </c>
      <c r="G2571" s="24" t="n"/>
      <c r="H2571" s="24" t="n"/>
      <c r="I2571" s="30" t="n"/>
      <c r="J2571" s="23">
        <f>IF(OR($H2571="",$I2571=""),"",$H2571*$I2571)</f>
        <v/>
      </c>
      <c r="K2571" s="24" t="n"/>
      <c r="L2571" s="24" t="n"/>
      <c r="M2571" s="29" t="n"/>
      <c r="N2571" s="28" t="n"/>
      <c r="O2571" s="24" t="n"/>
      <c r="P2571" s="24" t="n"/>
      <c r="Q2571" s="24" t="n"/>
      <c r="R2571" s="24" t="n"/>
      <c r="S2571" s="22">
        <f>IF(AND($A2571="",$C2571=""),"",IF($A2571="","Thiếu mã đơn; ","")&amp;IF(COUNTIF($A$2:$A2571,$A2571)&gt;1,"Trùng mã đơn; ","")&amp;IF(ISNA(MATCH($C2571,DATA_MASTER!$D$2:$D$5000,0)),"SĐT chưa đăng ký hội viên; ","")&amp;IF(AND($L2571="Đã chuyển khoản",$M2571=""),"Thiếu ngày nhận CK; ",""))</f>
        <v/>
      </c>
      <c r="T2571" s="24" t="n"/>
    </row>
    <row r="2572" ht="14.25" customHeight="1" s="40">
      <c r="A2572" s="24" t="n"/>
      <c r="B2572" s="29" t="n"/>
      <c r="C2572" s="28" t="n"/>
      <c r="D2572" s="22">
        <f t="array" ref="D2572">IF($C2572="","",IFERROR(INDEX(DATA_MASTER!$C$2:$C$5000,MATCH($C2572,DATA_MASTER!$D$2:$D$5000,0)),""))</f>
        <v/>
      </c>
      <c r="E2572" s="22">
        <f t="array" ref="E2572">IF($C2572="","",IFERROR(INDEX(DATA_MASTER!$I$2:$I$5000,MATCH($C2572,DATA_MASTER!$D$2:$D$5000,0)),""))</f>
        <v/>
      </c>
      <c r="F2572" s="22">
        <f t="array" ref="F2572">IF($C2572="","",IFERROR(INDEX(DATA_MASTER!$L$2:$L$5000,MATCH($C2572,DATA_MASTER!$D$2:$D$5000,0)),""))</f>
        <v/>
      </c>
      <c r="G2572" s="24" t="n"/>
      <c r="H2572" s="24" t="n"/>
      <c r="I2572" s="30" t="n"/>
      <c r="J2572" s="23">
        <f>IF(OR($H2572="",$I2572=""),"",$H2572*$I2572)</f>
        <v/>
      </c>
      <c r="K2572" s="24" t="n"/>
      <c r="L2572" s="24" t="n"/>
      <c r="M2572" s="29" t="n"/>
      <c r="N2572" s="28" t="n"/>
      <c r="O2572" s="24" t="n"/>
      <c r="P2572" s="24" t="n"/>
      <c r="Q2572" s="24" t="n"/>
      <c r="R2572" s="24" t="n"/>
      <c r="S2572" s="22">
        <f>IF(AND($A2572="",$C2572=""),"",IF($A2572="","Thiếu mã đơn; ","")&amp;IF(COUNTIF($A$2:$A2572,$A2572)&gt;1,"Trùng mã đơn; ","")&amp;IF(ISNA(MATCH($C2572,DATA_MASTER!$D$2:$D$5000,0)),"SĐT chưa đăng ký hội viên; ","")&amp;IF(AND($L2572="Đã chuyển khoản",$M2572=""),"Thiếu ngày nhận CK; ",""))</f>
        <v/>
      </c>
      <c r="T2572" s="24" t="n"/>
    </row>
    <row r="2573" ht="14.25" customHeight="1" s="40">
      <c r="A2573" s="24" t="n"/>
      <c r="B2573" s="29" t="n"/>
      <c r="C2573" s="28" t="n"/>
      <c r="D2573" s="22">
        <f t="array" ref="D2573">IF($C2573="","",IFERROR(INDEX(DATA_MASTER!$C$2:$C$5000,MATCH($C2573,DATA_MASTER!$D$2:$D$5000,0)),""))</f>
        <v/>
      </c>
      <c r="E2573" s="22">
        <f t="array" ref="E2573">IF($C2573="","",IFERROR(INDEX(DATA_MASTER!$I$2:$I$5000,MATCH($C2573,DATA_MASTER!$D$2:$D$5000,0)),""))</f>
        <v/>
      </c>
      <c r="F2573" s="22">
        <f t="array" ref="F2573">IF($C2573="","",IFERROR(INDEX(DATA_MASTER!$L$2:$L$5000,MATCH($C2573,DATA_MASTER!$D$2:$D$5000,0)),""))</f>
        <v/>
      </c>
      <c r="G2573" s="24" t="n"/>
      <c r="H2573" s="24" t="n"/>
      <c r="I2573" s="30" t="n"/>
      <c r="J2573" s="23">
        <f>IF(OR($H2573="",$I2573=""),"",$H2573*$I2573)</f>
        <v/>
      </c>
      <c r="K2573" s="24" t="n"/>
      <c r="L2573" s="24" t="n"/>
      <c r="M2573" s="29" t="n"/>
      <c r="N2573" s="28" t="n"/>
      <c r="O2573" s="24" t="n"/>
      <c r="P2573" s="24" t="n"/>
      <c r="Q2573" s="24" t="n"/>
      <c r="R2573" s="24" t="n"/>
      <c r="S2573" s="22">
        <f>IF(AND($A2573="",$C2573=""),"",IF($A2573="","Thiếu mã đơn; ","")&amp;IF(COUNTIF($A$2:$A2573,$A2573)&gt;1,"Trùng mã đơn; ","")&amp;IF(ISNA(MATCH($C2573,DATA_MASTER!$D$2:$D$5000,0)),"SĐT chưa đăng ký hội viên; ","")&amp;IF(AND($L2573="Đã chuyển khoản",$M2573=""),"Thiếu ngày nhận CK; ",""))</f>
        <v/>
      </c>
      <c r="T2573" s="24" t="n"/>
    </row>
    <row r="2574" ht="14.25" customHeight="1" s="40">
      <c r="A2574" s="24" t="n"/>
      <c r="B2574" s="29" t="n"/>
      <c r="C2574" s="28" t="n"/>
      <c r="D2574" s="22">
        <f t="array" ref="D2574">IF($C2574="","",IFERROR(INDEX(DATA_MASTER!$C$2:$C$5000,MATCH($C2574,DATA_MASTER!$D$2:$D$5000,0)),""))</f>
        <v/>
      </c>
      <c r="E2574" s="22">
        <f t="array" ref="E2574">IF($C2574="","",IFERROR(INDEX(DATA_MASTER!$I$2:$I$5000,MATCH($C2574,DATA_MASTER!$D$2:$D$5000,0)),""))</f>
        <v/>
      </c>
      <c r="F2574" s="22">
        <f t="array" ref="F2574">IF($C2574="","",IFERROR(INDEX(DATA_MASTER!$L$2:$L$5000,MATCH($C2574,DATA_MASTER!$D$2:$D$5000,0)),""))</f>
        <v/>
      </c>
      <c r="G2574" s="24" t="n"/>
      <c r="H2574" s="24" t="n"/>
      <c r="I2574" s="30" t="n"/>
      <c r="J2574" s="23">
        <f>IF(OR($H2574="",$I2574=""),"",$H2574*$I2574)</f>
        <v/>
      </c>
      <c r="K2574" s="24" t="n"/>
      <c r="L2574" s="24" t="n"/>
      <c r="M2574" s="29" t="n"/>
      <c r="N2574" s="28" t="n"/>
      <c r="O2574" s="24" t="n"/>
      <c r="P2574" s="24" t="n"/>
      <c r="Q2574" s="24" t="n"/>
      <c r="R2574" s="24" t="n"/>
      <c r="S2574" s="22">
        <f>IF(AND($A2574="",$C2574=""),"",IF($A2574="","Thiếu mã đơn; ","")&amp;IF(COUNTIF($A$2:$A2574,$A2574)&gt;1,"Trùng mã đơn; ","")&amp;IF(ISNA(MATCH($C2574,DATA_MASTER!$D$2:$D$5000,0)),"SĐT chưa đăng ký hội viên; ","")&amp;IF(AND($L2574="Đã chuyển khoản",$M2574=""),"Thiếu ngày nhận CK; ",""))</f>
        <v/>
      </c>
      <c r="T2574" s="24" t="n"/>
    </row>
    <row r="2575" ht="14.25" customHeight="1" s="40">
      <c r="A2575" s="24" t="n"/>
      <c r="B2575" s="29" t="n"/>
      <c r="C2575" s="28" t="n"/>
      <c r="D2575" s="22">
        <f t="array" ref="D2575">IF($C2575="","",IFERROR(INDEX(DATA_MASTER!$C$2:$C$5000,MATCH($C2575,DATA_MASTER!$D$2:$D$5000,0)),""))</f>
        <v/>
      </c>
      <c r="E2575" s="22">
        <f t="array" ref="E2575">IF($C2575="","",IFERROR(INDEX(DATA_MASTER!$I$2:$I$5000,MATCH($C2575,DATA_MASTER!$D$2:$D$5000,0)),""))</f>
        <v/>
      </c>
      <c r="F2575" s="22">
        <f t="array" ref="F2575">IF($C2575="","",IFERROR(INDEX(DATA_MASTER!$L$2:$L$5000,MATCH($C2575,DATA_MASTER!$D$2:$D$5000,0)),""))</f>
        <v/>
      </c>
      <c r="G2575" s="24" t="n"/>
      <c r="H2575" s="24" t="n"/>
      <c r="I2575" s="30" t="n"/>
      <c r="J2575" s="23">
        <f>IF(OR($H2575="",$I2575=""),"",$H2575*$I2575)</f>
        <v/>
      </c>
      <c r="K2575" s="24" t="n"/>
      <c r="L2575" s="24" t="n"/>
      <c r="M2575" s="29" t="n"/>
      <c r="N2575" s="28" t="n"/>
      <c r="O2575" s="24" t="n"/>
      <c r="P2575" s="24" t="n"/>
      <c r="Q2575" s="24" t="n"/>
      <c r="R2575" s="24" t="n"/>
      <c r="S2575" s="22">
        <f>IF(AND($A2575="",$C2575=""),"",IF($A2575="","Thiếu mã đơn; ","")&amp;IF(COUNTIF($A$2:$A2575,$A2575)&gt;1,"Trùng mã đơn; ","")&amp;IF(ISNA(MATCH($C2575,DATA_MASTER!$D$2:$D$5000,0)),"SĐT chưa đăng ký hội viên; ","")&amp;IF(AND($L2575="Đã chuyển khoản",$M2575=""),"Thiếu ngày nhận CK; ",""))</f>
        <v/>
      </c>
      <c r="T2575" s="24" t="n"/>
    </row>
    <row r="2576" ht="14.25" customHeight="1" s="40">
      <c r="A2576" s="24" t="n"/>
      <c r="B2576" s="29" t="n"/>
      <c r="C2576" s="28" t="n"/>
      <c r="D2576" s="22">
        <f t="array" ref="D2576">IF($C2576="","",IFERROR(INDEX(DATA_MASTER!$C$2:$C$5000,MATCH($C2576,DATA_MASTER!$D$2:$D$5000,0)),""))</f>
        <v/>
      </c>
      <c r="E2576" s="22">
        <f t="array" ref="E2576">IF($C2576="","",IFERROR(INDEX(DATA_MASTER!$I$2:$I$5000,MATCH($C2576,DATA_MASTER!$D$2:$D$5000,0)),""))</f>
        <v/>
      </c>
      <c r="F2576" s="22">
        <f t="array" ref="F2576">IF($C2576="","",IFERROR(INDEX(DATA_MASTER!$L$2:$L$5000,MATCH($C2576,DATA_MASTER!$D$2:$D$5000,0)),""))</f>
        <v/>
      </c>
      <c r="G2576" s="24" t="n"/>
      <c r="H2576" s="24" t="n"/>
      <c r="I2576" s="30" t="n"/>
      <c r="J2576" s="23">
        <f>IF(OR($H2576="",$I2576=""),"",$H2576*$I2576)</f>
        <v/>
      </c>
      <c r="K2576" s="24" t="n"/>
      <c r="L2576" s="24" t="n"/>
      <c r="M2576" s="29" t="n"/>
      <c r="N2576" s="28" t="n"/>
      <c r="O2576" s="24" t="n"/>
      <c r="P2576" s="24" t="n"/>
      <c r="Q2576" s="24" t="n"/>
      <c r="R2576" s="24" t="n"/>
      <c r="S2576" s="22">
        <f>IF(AND($A2576="",$C2576=""),"",IF($A2576="","Thiếu mã đơn; ","")&amp;IF(COUNTIF($A$2:$A2576,$A2576)&gt;1,"Trùng mã đơn; ","")&amp;IF(ISNA(MATCH($C2576,DATA_MASTER!$D$2:$D$5000,0)),"SĐT chưa đăng ký hội viên; ","")&amp;IF(AND($L2576="Đã chuyển khoản",$M2576=""),"Thiếu ngày nhận CK; ",""))</f>
        <v/>
      </c>
      <c r="T2576" s="24" t="n"/>
    </row>
    <row r="2577" ht="14.25" customHeight="1" s="40">
      <c r="A2577" s="24" t="n"/>
      <c r="B2577" s="29" t="n"/>
      <c r="C2577" s="28" t="n"/>
      <c r="D2577" s="22">
        <f t="array" ref="D2577">IF($C2577="","",IFERROR(INDEX(DATA_MASTER!$C$2:$C$5000,MATCH($C2577,DATA_MASTER!$D$2:$D$5000,0)),""))</f>
        <v/>
      </c>
      <c r="E2577" s="22">
        <f t="array" ref="E2577">IF($C2577="","",IFERROR(INDEX(DATA_MASTER!$I$2:$I$5000,MATCH($C2577,DATA_MASTER!$D$2:$D$5000,0)),""))</f>
        <v/>
      </c>
      <c r="F2577" s="22">
        <f t="array" ref="F2577">IF($C2577="","",IFERROR(INDEX(DATA_MASTER!$L$2:$L$5000,MATCH($C2577,DATA_MASTER!$D$2:$D$5000,0)),""))</f>
        <v/>
      </c>
      <c r="G2577" s="24" t="n"/>
      <c r="H2577" s="24" t="n"/>
      <c r="I2577" s="30" t="n"/>
      <c r="J2577" s="23">
        <f>IF(OR($H2577="",$I2577=""),"",$H2577*$I2577)</f>
        <v/>
      </c>
      <c r="K2577" s="24" t="n"/>
      <c r="L2577" s="24" t="n"/>
      <c r="M2577" s="29" t="n"/>
      <c r="N2577" s="28" t="n"/>
      <c r="O2577" s="24" t="n"/>
      <c r="P2577" s="24" t="n"/>
      <c r="Q2577" s="24" t="n"/>
      <c r="R2577" s="24" t="n"/>
      <c r="S2577" s="22">
        <f>IF(AND($A2577="",$C2577=""),"",IF($A2577="","Thiếu mã đơn; ","")&amp;IF(COUNTIF($A$2:$A2577,$A2577)&gt;1,"Trùng mã đơn; ","")&amp;IF(ISNA(MATCH($C2577,DATA_MASTER!$D$2:$D$5000,0)),"SĐT chưa đăng ký hội viên; ","")&amp;IF(AND($L2577="Đã chuyển khoản",$M2577=""),"Thiếu ngày nhận CK; ",""))</f>
        <v/>
      </c>
      <c r="T2577" s="24" t="n"/>
    </row>
    <row r="2578" ht="14.25" customHeight="1" s="40">
      <c r="A2578" s="24" t="n"/>
      <c r="B2578" s="29" t="n"/>
      <c r="C2578" s="28" t="n"/>
      <c r="D2578" s="22">
        <f t="array" ref="D2578">IF($C2578="","",IFERROR(INDEX(DATA_MASTER!$C$2:$C$5000,MATCH($C2578,DATA_MASTER!$D$2:$D$5000,0)),""))</f>
        <v/>
      </c>
      <c r="E2578" s="22">
        <f t="array" ref="E2578">IF($C2578="","",IFERROR(INDEX(DATA_MASTER!$I$2:$I$5000,MATCH($C2578,DATA_MASTER!$D$2:$D$5000,0)),""))</f>
        <v/>
      </c>
      <c r="F2578" s="22">
        <f t="array" ref="F2578">IF($C2578="","",IFERROR(INDEX(DATA_MASTER!$L$2:$L$5000,MATCH($C2578,DATA_MASTER!$D$2:$D$5000,0)),""))</f>
        <v/>
      </c>
      <c r="G2578" s="24" t="n"/>
      <c r="H2578" s="24" t="n"/>
      <c r="I2578" s="30" t="n"/>
      <c r="J2578" s="23">
        <f>IF(OR($H2578="",$I2578=""),"",$H2578*$I2578)</f>
        <v/>
      </c>
      <c r="K2578" s="24" t="n"/>
      <c r="L2578" s="24" t="n"/>
      <c r="M2578" s="29" t="n"/>
      <c r="N2578" s="28" t="n"/>
      <c r="O2578" s="24" t="n"/>
      <c r="P2578" s="24" t="n"/>
      <c r="Q2578" s="24" t="n"/>
      <c r="R2578" s="24" t="n"/>
      <c r="S2578" s="22">
        <f>IF(AND($A2578="",$C2578=""),"",IF($A2578="","Thiếu mã đơn; ","")&amp;IF(COUNTIF($A$2:$A2578,$A2578)&gt;1,"Trùng mã đơn; ","")&amp;IF(ISNA(MATCH($C2578,DATA_MASTER!$D$2:$D$5000,0)),"SĐT chưa đăng ký hội viên; ","")&amp;IF(AND($L2578="Đã chuyển khoản",$M2578=""),"Thiếu ngày nhận CK; ",""))</f>
        <v/>
      </c>
      <c r="T2578" s="24" t="n"/>
    </row>
    <row r="2579" ht="14.25" customHeight="1" s="40">
      <c r="A2579" s="24" t="n"/>
      <c r="B2579" s="29" t="n"/>
      <c r="C2579" s="28" t="n"/>
      <c r="D2579" s="22">
        <f t="array" ref="D2579">IF($C2579="","",IFERROR(INDEX(DATA_MASTER!$C$2:$C$5000,MATCH($C2579,DATA_MASTER!$D$2:$D$5000,0)),""))</f>
        <v/>
      </c>
      <c r="E2579" s="22">
        <f t="array" ref="E2579">IF($C2579="","",IFERROR(INDEX(DATA_MASTER!$I$2:$I$5000,MATCH($C2579,DATA_MASTER!$D$2:$D$5000,0)),""))</f>
        <v/>
      </c>
      <c r="F2579" s="22">
        <f t="array" ref="F2579">IF($C2579="","",IFERROR(INDEX(DATA_MASTER!$L$2:$L$5000,MATCH($C2579,DATA_MASTER!$D$2:$D$5000,0)),""))</f>
        <v/>
      </c>
      <c r="G2579" s="24" t="n"/>
      <c r="H2579" s="24" t="n"/>
      <c r="I2579" s="30" t="n"/>
      <c r="J2579" s="23">
        <f>IF(OR($H2579="",$I2579=""),"",$H2579*$I2579)</f>
        <v/>
      </c>
      <c r="K2579" s="24" t="n"/>
      <c r="L2579" s="24" t="n"/>
      <c r="M2579" s="29" t="n"/>
      <c r="N2579" s="28" t="n"/>
      <c r="O2579" s="24" t="n"/>
      <c r="P2579" s="24" t="n"/>
      <c r="Q2579" s="24" t="n"/>
      <c r="R2579" s="24" t="n"/>
      <c r="S2579" s="22">
        <f>IF(AND($A2579="",$C2579=""),"",IF($A2579="","Thiếu mã đơn; ","")&amp;IF(COUNTIF($A$2:$A2579,$A2579)&gt;1,"Trùng mã đơn; ","")&amp;IF(ISNA(MATCH($C2579,DATA_MASTER!$D$2:$D$5000,0)),"SĐT chưa đăng ký hội viên; ","")&amp;IF(AND($L2579="Đã chuyển khoản",$M2579=""),"Thiếu ngày nhận CK; ",""))</f>
        <v/>
      </c>
      <c r="T2579" s="24" t="n"/>
    </row>
    <row r="2580" ht="14.25" customHeight="1" s="40">
      <c r="A2580" s="24" t="n"/>
      <c r="B2580" s="29" t="n"/>
      <c r="C2580" s="28" t="n"/>
      <c r="D2580" s="22">
        <f t="array" ref="D2580">IF($C2580="","",IFERROR(INDEX(DATA_MASTER!$C$2:$C$5000,MATCH($C2580,DATA_MASTER!$D$2:$D$5000,0)),""))</f>
        <v/>
      </c>
      <c r="E2580" s="22">
        <f t="array" ref="E2580">IF($C2580="","",IFERROR(INDEX(DATA_MASTER!$I$2:$I$5000,MATCH($C2580,DATA_MASTER!$D$2:$D$5000,0)),""))</f>
        <v/>
      </c>
      <c r="F2580" s="22">
        <f t="array" ref="F2580">IF($C2580="","",IFERROR(INDEX(DATA_MASTER!$L$2:$L$5000,MATCH($C2580,DATA_MASTER!$D$2:$D$5000,0)),""))</f>
        <v/>
      </c>
      <c r="G2580" s="24" t="n"/>
      <c r="H2580" s="24" t="n"/>
      <c r="I2580" s="30" t="n"/>
      <c r="J2580" s="23">
        <f>IF(OR($H2580="",$I2580=""),"",$H2580*$I2580)</f>
        <v/>
      </c>
      <c r="K2580" s="24" t="n"/>
      <c r="L2580" s="24" t="n"/>
      <c r="M2580" s="29" t="n"/>
      <c r="N2580" s="28" t="n"/>
      <c r="O2580" s="24" t="n"/>
      <c r="P2580" s="24" t="n"/>
      <c r="Q2580" s="24" t="n"/>
      <c r="R2580" s="24" t="n"/>
      <c r="S2580" s="22">
        <f>IF(AND($A2580="",$C2580=""),"",IF($A2580="","Thiếu mã đơn; ","")&amp;IF(COUNTIF($A$2:$A2580,$A2580)&gt;1,"Trùng mã đơn; ","")&amp;IF(ISNA(MATCH($C2580,DATA_MASTER!$D$2:$D$5000,0)),"SĐT chưa đăng ký hội viên; ","")&amp;IF(AND($L2580="Đã chuyển khoản",$M2580=""),"Thiếu ngày nhận CK; ",""))</f>
        <v/>
      </c>
      <c r="T2580" s="24" t="n"/>
    </row>
    <row r="2581" ht="14.25" customHeight="1" s="40">
      <c r="A2581" s="24" t="n"/>
      <c r="B2581" s="29" t="n"/>
      <c r="C2581" s="28" t="n"/>
      <c r="D2581" s="22">
        <f t="array" ref="D2581">IF($C2581="","",IFERROR(INDEX(DATA_MASTER!$C$2:$C$5000,MATCH($C2581,DATA_MASTER!$D$2:$D$5000,0)),""))</f>
        <v/>
      </c>
      <c r="E2581" s="22">
        <f t="array" ref="E2581">IF($C2581="","",IFERROR(INDEX(DATA_MASTER!$I$2:$I$5000,MATCH($C2581,DATA_MASTER!$D$2:$D$5000,0)),""))</f>
        <v/>
      </c>
      <c r="F2581" s="22">
        <f t="array" ref="F2581">IF($C2581="","",IFERROR(INDEX(DATA_MASTER!$L$2:$L$5000,MATCH($C2581,DATA_MASTER!$D$2:$D$5000,0)),""))</f>
        <v/>
      </c>
      <c r="G2581" s="24" t="n"/>
      <c r="H2581" s="24" t="n"/>
      <c r="I2581" s="30" t="n"/>
      <c r="J2581" s="23">
        <f>IF(OR($H2581="",$I2581=""),"",$H2581*$I2581)</f>
        <v/>
      </c>
      <c r="K2581" s="24" t="n"/>
      <c r="L2581" s="24" t="n"/>
      <c r="M2581" s="29" t="n"/>
      <c r="N2581" s="28" t="n"/>
      <c r="O2581" s="24" t="n"/>
      <c r="P2581" s="24" t="n"/>
      <c r="Q2581" s="24" t="n"/>
      <c r="R2581" s="24" t="n"/>
      <c r="S2581" s="22">
        <f>IF(AND($A2581="",$C2581=""),"",IF($A2581="","Thiếu mã đơn; ","")&amp;IF(COUNTIF($A$2:$A2581,$A2581)&gt;1,"Trùng mã đơn; ","")&amp;IF(ISNA(MATCH($C2581,DATA_MASTER!$D$2:$D$5000,0)),"SĐT chưa đăng ký hội viên; ","")&amp;IF(AND($L2581="Đã chuyển khoản",$M2581=""),"Thiếu ngày nhận CK; ",""))</f>
        <v/>
      </c>
      <c r="T2581" s="24" t="n"/>
    </row>
    <row r="2582" ht="14.25" customHeight="1" s="40">
      <c r="A2582" s="24" t="n"/>
      <c r="B2582" s="29" t="n"/>
      <c r="C2582" s="28" t="n"/>
      <c r="D2582" s="22">
        <f t="array" ref="D2582">IF($C2582="","",IFERROR(INDEX(DATA_MASTER!$C$2:$C$5000,MATCH($C2582,DATA_MASTER!$D$2:$D$5000,0)),""))</f>
        <v/>
      </c>
      <c r="E2582" s="22">
        <f t="array" ref="E2582">IF($C2582="","",IFERROR(INDEX(DATA_MASTER!$I$2:$I$5000,MATCH($C2582,DATA_MASTER!$D$2:$D$5000,0)),""))</f>
        <v/>
      </c>
      <c r="F2582" s="22">
        <f t="array" ref="F2582">IF($C2582="","",IFERROR(INDEX(DATA_MASTER!$L$2:$L$5000,MATCH($C2582,DATA_MASTER!$D$2:$D$5000,0)),""))</f>
        <v/>
      </c>
      <c r="G2582" s="24" t="n"/>
      <c r="H2582" s="24" t="n"/>
      <c r="I2582" s="30" t="n"/>
      <c r="J2582" s="23">
        <f>IF(OR($H2582="",$I2582=""),"",$H2582*$I2582)</f>
        <v/>
      </c>
      <c r="K2582" s="24" t="n"/>
      <c r="L2582" s="24" t="n"/>
      <c r="M2582" s="29" t="n"/>
      <c r="N2582" s="28" t="n"/>
      <c r="O2582" s="24" t="n"/>
      <c r="P2582" s="24" t="n"/>
      <c r="Q2582" s="24" t="n"/>
      <c r="R2582" s="24" t="n"/>
      <c r="S2582" s="22">
        <f>IF(AND($A2582="",$C2582=""),"",IF($A2582="","Thiếu mã đơn; ","")&amp;IF(COUNTIF($A$2:$A2582,$A2582)&gt;1,"Trùng mã đơn; ","")&amp;IF(ISNA(MATCH($C2582,DATA_MASTER!$D$2:$D$5000,0)),"SĐT chưa đăng ký hội viên; ","")&amp;IF(AND($L2582="Đã chuyển khoản",$M2582=""),"Thiếu ngày nhận CK; ",""))</f>
        <v/>
      </c>
      <c r="T2582" s="24" t="n"/>
    </row>
    <row r="2583" ht="14.25" customHeight="1" s="40">
      <c r="A2583" s="24" t="n"/>
      <c r="B2583" s="29" t="n"/>
      <c r="C2583" s="28" t="n"/>
      <c r="D2583" s="22">
        <f t="array" ref="D2583">IF($C2583="","",IFERROR(INDEX(DATA_MASTER!$C$2:$C$5000,MATCH($C2583,DATA_MASTER!$D$2:$D$5000,0)),""))</f>
        <v/>
      </c>
      <c r="E2583" s="22">
        <f t="array" ref="E2583">IF($C2583="","",IFERROR(INDEX(DATA_MASTER!$I$2:$I$5000,MATCH($C2583,DATA_MASTER!$D$2:$D$5000,0)),""))</f>
        <v/>
      </c>
      <c r="F2583" s="22">
        <f t="array" ref="F2583">IF($C2583="","",IFERROR(INDEX(DATA_MASTER!$L$2:$L$5000,MATCH($C2583,DATA_MASTER!$D$2:$D$5000,0)),""))</f>
        <v/>
      </c>
      <c r="G2583" s="24" t="n"/>
      <c r="H2583" s="24" t="n"/>
      <c r="I2583" s="30" t="n"/>
      <c r="J2583" s="23">
        <f>IF(OR($H2583="",$I2583=""),"",$H2583*$I2583)</f>
        <v/>
      </c>
      <c r="K2583" s="24" t="n"/>
      <c r="L2583" s="24" t="n"/>
      <c r="M2583" s="29" t="n"/>
      <c r="N2583" s="28" t="n"/>
      <c r="O2583" s="24" t="n"/>
      <c r="P2583" s="24" t="n"/>
      <c r="Q2583" s="24" t="n"/>
      <c r="R2583" s="24" t="n"/>
      <c r="S2583" s="22">
        <f>IF(AND($A2583="",$C2583=""),"",IF($A2583="","Thiếu mã đơn; ","")&amp;IF(COUNTIF($A$2:$A2583,$A2583)&gt;1,"Trùng mã đơn; ","")&amp;IF(ISNA(MATCH($C2583,DATA_MASTER!$D$2:$D$5000,0)),"SĐT chưa đăng ký hội viên; ","")&amp;IF(AND($L2583="Đã chuyển khoản",$M2583=""),"Thiếu ngày nhận CK; ",""))</f>
        <v/>
      </c>
      <c r="T2583" s="24" t="n"/>
    </row>
    <row r="2584" ht="14.25" customHeight="1" s="40">
      <c r="A2584" s="24" t="n"/>
      <c r="B2584" s="29" t="n"/>
      <c r="C2584" s="28" t="n"/>
      <c r="D2584" s="22">
        <f t="array" ref="D2584">IF($C2584="","",IFERROR(INDEX(DATA_MASTER!$C$2:$C$5000,MATCH($C2584,DATA_MASTER!$D$2:$D$5000,0)),""))</f>
        <v/>
      </c>
      <c r="E2584" s="22">
        <f t="array" ref="E2584">IF($C2584="","",IFERROR(INDEX(DATA_MASTER!$I$2:$I$5000,MATCH($C2584,DATA_MASTER!$D$2:$D$5000,0)),""))</f>
        <v/>
      </c>
      <c r="F2584" s="22">
        <f t="array" ref="F2584">IF($C2584="","",IFERROR(INDEX(DATA_MASTER!$L$2:$L$5000,MATCH($C2584,DATA_MASTER!$D$2:$D$5000,0)),""))</f>
        <v/>
      </c>
      <c r="G2584" s="24" t="n"/>
      <c r="H2584" s="24" t="n"/>
      <c r="I2584" s="30" t="n"/>
      <c r="J2584" s="23">
        <f>IF(OR($H2584="",$I2584=""),"",$H2584*$I2584)</f>
        <v/>
      </c>
      <c r="K2584" s="24" t="n"/>
      <c r="L2584" s="24" t="n"/>
      <c r="M2584" s="29" t="n"/>
      <c r="N2584" s="28" t="n"/>
      <c r="O2584" s="24" t="n"/>
      <c r="P2584" s="24" t="n"/>
      <c r="Q2584" s="24" t="n"/>
      <c r="R2584" s="24" t="n"/>
      <c r="S2584" s="22">
        <f>IF(AND($A2584="",$C2584=""),"",IF($A2584="","Thiếu mã đơn; ","")&amp;IF(COUNTIF($A$2:$A2584,$A2584)&gt;1,"Trùng mã đơn; ","")&amp;IF(ISNA(MATCH($C2584,DATA_MASTER!$D$2:$D$5000,0)),"SĐT chưa đăng ký hội viên; ","")&amp;IF(AND($L2584="Đã chuyển khoản",$M2584=""),"Thiếu ngày nhận CK; ",""))</f>
        <v/>
      </c>
      <c r="T2584" s="24" t="n"/>
    </row>
    <row r="2585" ht="14.25" customHeight="1" s="40">
      <c r="A2585" s="24" t="n"/>
      <c r="B2585" s="29" t="n"/>
      <c r="C2585" s="28" t="n"/>
      <c r="D2585" s="22">
        <f t="array" ref="D2585">IF($C2585="","",IFERROR(INDEX(DATA_MASTER!$C$2:$C$5000,MATCH($C2585,DATA_MASTER!$D$2:$D$5000,0)),""))</f>
        <v/>
      </c>
      <c r="E2585" s="22">
        <f t="array" ref="E2585">IF($C2585="","",IFERROR(INDEX(DATA_MASTER!$I$2:$I$5000,MATCH($C2585,DATA_MASTER!$D$2:$D$5000,0)),""))</f>
        <v/>
      </c>
      <c r="F2585" s="22">
        <f t="array" ref="F2585">IF($C2585="","",IFERROR(INDEX(DATA_MASTER!$L$2:$L$5000,MATCH($C2585,DATA_MASTER!$D$2:$D$5000,0)),""))</f>
        <v/>
      </c>
      <c r="G2585" s="24" t="n"/>
      <c r="H2585" s="24" t="n"/>
      <c r="I2585" s="30" t="n"/>
      <c r="J2585" s="23">
        <f>IF(OR($H2585="",$I2585=""),"",$H2585*$I2585)</f>
        <v/>
      </c>
      <c r="K2585" s="24" t="n"/>
      <c r="L2585" s="24" t="n"/>
      <c r="M2585" s="29" t="n"/>
      <c r="N2585" s="28" t="n"/>
      <c r="O2585" s="24" t="n"/>
      <c r="P2585" s="24" t="n"/>
      <c r="Q2585" s="24" t="n"/>
      <c r="R2585" s="24" t="n"/>
      <c r="S2585" s="22">
        <f>IF(AND($A2585="",$C2585=""),"",IF($A2585="","Thiếu mã đơn; ","")&amp;IF(COUNTIF($A$2:$A2585,$A2585)&gt;1,"Trùng mã đơn; ","")&amp;IF(ISNA(MATCH($C2585,DATA_MASTER!$D$2:$D$5000,0)),"SĐT chưa đăng ký hội viên; ","")&amp;IF(AND($L2585="Đã chuyển khoản",$M2585=""),"Thiếu ngày nhận CK; ",""))</f>
        <v/>
      </c>
      <c r="T2585" s="24" t="n"/>
    </row>
    <row r="2586" ht="14.25" customHeight="1" s="40">
      <c r="A2586" s="24" t="n"/>
      <c r="B2586" s="29" t="n"/>
      <c r="C2586" s="28" t="n"/>
      <c r="D2586" s="22">
        <f t="array" ref="D2586">IF($C2586="","",IFERROR(INDEX(DATA_MASTER!$C$2:$C$5000,MATCH($C2586,DATA_MASTER!$D$2:$D$5000,0)),""))</f>
        <v/>
      </c>
      <c r="E2586" s="22">
        <f t="array" ref="E2586">IF($C2586="","",IFERROR(INDEX(DATA_MASTER!$I$2:$I$5000,MATCH($C2586,DATA_MASTER!$D$2:$D$5000,0)),""))</f>
        <v/>
      </c>
      <c r="F2586" s="22">
        <f t="array" ref="F2586">IF($C2586="","",IFERROR(INDEX(DATA_MASTER!$L$2:$L$5000,MATCH($C2586,DATA_MASTER!$D$2:$D$5000,0)),""))</f>
        <v/>
      </c>
      <c r="G2586" s="24" t="n"/>
      <c r="H2586" s="24" t="n"/>
      <c r="I2586" s="30" t="n"/>
      <c r="J2586" s="23">
        <f>IF(OR($H2586="",$I2586=""),"",$H2586*$I2586)</f>
        <v/>
      </c>
      <c r="K2586" s="24" t="n"/>
      <c r="L2586" s="24" t="n"/>
      <c r="M2586" s="29" t="n"/>
      <c r="N2586" s="28" t="n"/>
      <c r="O2586" s="24" t="n"/>
      <c r="P2586" s="24" t="n"/>
      <c r="Q2586" s="24" t="n"/>
      <c r="R2586" s="24" t="n"/>
      <c r="S2586" s="22">
        <f>IF(AND($A2586="",$C2586=""),"",IF($A2586="","Thiếu mã đơn; ","")&amp;IF(COUNTIF($A$2:$A2586,$A2586)&gt;1,"Trùng mã đơn; ","")&amp;IF(ISNA(MATCH($C2586,DATA_MASTER!$D$2:$D$5000,0)),"SĐT chưa đăng ký hội viên; ","")&amp;IF(AND($L2586="Đã chuyển khoản",$M2586=""),"Thiếu ngày nhận CK; ",""))</f>
        <v/>
      </c>
      <c r="T2586" s="24" t="n"/>
    </row>
    <row r="2587" ht="14.25" customHeight="1" s="40">
      <c r="A2587" s="24" t="n"/>
      <c r="B2587" s="29" t="n"/>
      <c r="C2587" s="28" t="n"/>
      <c r="D2587" s="22">
        <f t="array" ref="D2587">IF($C2587="","",IFERROR(INDEX(DATA_MASTER!$C$2:$C$5000,MATCH($C2587,DATA_MASTER!$D$2:$D$5000,0)),""))</f>
        <v/>
      </c>
      <c r="E2587" s="22">
        <f t="array" ref="E2587">IF($C2587="","",IFERROR(INDEX(DATA_MASTER!$I$2:$I$5000,MATCH($C2587,DATA_MASTER!$D$2:$D$5000,0)),""))</f>
        <v/>
      </c>
      <c r="F2587" s="22">
        <f t="array" ref="F2587">IF($C2587="","",IFERROR(INDEX(DATA_MASTER!$L$2:$L$5000,MATCH($C2587,DATA_MASTER!$D$2:$D$5000,0)),""))</f>
        <v/>
      </c>
      <c r="G2587" s="24" t="n"/>
      <c r="H2587" s="24" t="n"/>
      <c r="I2587" s="30" t="n"/>
      <c r="J2587" s="23">
        <f>IF(OR($H2587="",$I2587=""),"",$H2587*$I2587)</f>
        <v/>
      </c>
      <c r="K2587" s="24" t="n"/>
      <c r="L2587" s="24" t="n"/>
      <c r="M2587" s="29" t="n"/>
      <c r="N2587" s="28" t="n"/>
      <c r="O2587" s="24" t="n"/>
      <c r="P2587" s="24" t="n"/>
      <c r="Q2587" s="24" t="n"/>
      <c r="R2587" s="24" t="n"/>
      <c r="S2587" s="22">
        <f>IF(AND($A2587="",$C2587=""),"",IF($A2587="","Thiếu mã đơn; ","")&amp;IF(COUNTIF($A$2:$A2587,$A2587)&gt;1,"Trùng mã đơn; ","")&amp;IF(ISNA(MATCH($C2587,DATA_MASTER!$D$2:$D$5000,0)),"SĐT chưa đăng ký hội viên; ","")&amp;IF(AND($L2587="Đã chuyển khoản",$M2587=""),"Thiếu ngày nhận CK; ",""))</f>
        <v/>
      </c>
      <c r="T2587" s="24" t="n"/>
    </row>
    <row r="2588" ht="14.25" customHeight="1" s="40">
      <c r="A2588" s="24" t="n"/>
      <c r="B2588" s="29" t="n"/>
      <c r="C2588" s="28" t="n"/>
      <c r="D2588" s="22">
        <f t="array" ref="D2588">IF($C2588="","",IFERROR(INDEX(DATA_MASTER!$C$2:$C$5000,MATCH($C2588,DATA_MASTER!$D$2:$D$5000,0)),""))</f>
        <v/>
      </c>
      <c r="E2588" s="22">
        <f t="array" ref="E2588">IF($C2588="","",IFERROR(INDEX(DATA_MASTER!$I$2:$I$5000,MATCH($C2588,DATA_MASTER!$D$2:$D$5000,0)),""))</f>
        <v/>
      </c>
      <c r="F2588" s="22">
        <f t="array" ref="F2588">IF($C2588="","",IFERROR(INDEX(DATA_MASTER!$L$2:$L$5000,MATCH($C2588,DATA_MASTER!$D$2:$D$5000,0)),""))</f>
        <v/>
      </c>
      <c r="G2588" s="24" t="n"/>
      <c r="H2588" s="24" t="n"/>
      <c r="I2588" s="30" t="n"/>
      <c r="J2588" s="23">
        <f>IF(OR($H2588="",$I2588=""),"",$H2588*$I2588)</f>
        <v/>
      </c>
      <c r="K2588" s="24" t="n"/>
      <c r="L2588" s="24" t="n"/>
      <c r="M2588" s="29" t="n"/>
      <c r="N2588" s="28" t="n"/>
      <c r="O2588" s="24" t="n"/>
      <c r="P2588" s="24" t="n"/>
      <c r="Q2588" s="24" t="n"/>
      <c r="R2588" s="24" t="n"/>
      <c r="S2588" s="22">
        <f>IF(AND($A2588="",$C2588=""),"",IF($A2588="","Thiếu mã đơn; ","")&amp;IF(COUNTIF($A$2:$A2588,$A2588)&gt;1,"Trùng mã đơn; ","")&amp;IF(ISNA(MATCH($C2588,DATA_MASTER!$D$2:$D$5000,0)),"SĐT chưa đăng ký hội viên; ","")&amp;IF(AND($L2588="Đã chuyển khoản",$M2588=""),"Thiếu ngày nhận CK; ",""))</f>
        <v/>
      </c>
      <c r="T2588" s="24" t="n"/>
    </row>
    <row r="2589" ht="14.25" customHeight="1" s="40">
      <c r="A2589" s="24" t="n"/>
      <c r="B2589" s="29" t="n"/>
      <c r="C2589" s="28" t="n"/>
      <c r="D2589" s="22">
        <f t="array" ref="D2589">IF($C2589="","",IFERROR(INDEX(DATA_MASTER!$C$2:$C$5000,MATCH($C2589,DATA_MASTER!$D$2:$D$5000,0)),""))</f>
        <v/>
      </c>
      <c r="E2589" s="22">
        <f t="array" ref="E2589">IF($C2589="","",IFERROR(INDEX(DATA_MASTER!$I$2:$I$5000,MATCH($C2589,DATA_MASTER!$D$2:$D$5000,0)),""))</f>
        <v/>
      </c>
      <c r="F2589" s="22">
        <f t="array" ref="F2589">IF($C2589="","",IFERROR(INDEX(DATA_MASTER!$L$2:$L$5000,MATCH($C2589,DATA_MASTER!$D$2:$D$5000,0)),""))</f>
        <v/>
      </c>
      <c r="G2589" s="24" t="n"/>
      <c r="H2589" s="24" t="n"/>
      <c r="I2589" s="30" t="n"/>
      <c r="J2589" s="23">
        <f>IF(OR($H2589="",$I2589=""),"",$H2589*$I2589)</f>
        <v/>
      </c>
      <c r="K2589" s="24" t="n"/>
      <c r="L2589" s="24" t="n"/>
      <c r="M2589" s="29" t="n"/>
      <c r="N2589" s="28" t="n"/>
      <c r="O2589" s="24" t="n"/>
      <c r="P2589" s="24" t="n"/>
      <c r="Q2589" s="24" t="n"/>
      <c r="R2589" s="24" t="n"/>
      <c r="S2589" s="22">
        <f>IF(AND($A2589="",$C2589=""),"",IF($A2589="","Thiếu mã đơn; ","")&amp;IF(COUNTIF($A$2:$A2589,$A2589)&gt;1,"Trùng mã đơn; ","")&amp;IF(ISNA(MATCH($C2589,DATA_MASTER!$D$2:$D$5000,0)),"SĐT chưa đăng ký hội viên; ","")&amp;IF(AND($L2589="Đã chuyển khoản",$M2589=""),"Thiếu ngày nhận CK; ",""))</f>
        <v/>
      </c>
      <c r="T2589" s="24" t="n"/>
    </row>
    <row r="2590" ht="14.25" customHeight="1" s="40">
      <c r="A2590" s="24" t="n"/>
      <c r="B2590" s="29" t="n"/>
      <c r="C2590" s="28" t="n"/>
      <c r="D2590" s="22">
        <f t="array" ref="D2590">IF($C2590="","",IFERROR(INDEX(DATA_MASTER!$C$2:$C$5000,MATCH($C2590,DATA_MASTER!$D$2:$D$5000,0)),""))</f>
        <v/>
      </c>
      <c r="E2590" s="22">
        <f t="array" ref="E2590">IF($C2590="","",IFERROR(INDEX(DATA_MASTER!$I$2:$I$5000,MATCH($C2590,DATA_MASTER!$D$2:$D$5000,0)),""))</f>
        <v/>
      </c>
      <c r="F2590" s="22">
        <f t="array" ref="F2590">IF($C2590="","",IFERROR(INDEX(DATA_MASTER!$L$2:$L$5000,MATCH($C2590,DATA_MASTER!$D$2:$D$5000,0)),""))</f>
        <v/>
      </c>
      <c r="G2590" s="24" t="n"/>
      <c r="H2590" s="24" t="n"/>
      <c r="I2590" s="30" t="n"/>
      <c r="J2590" s="23">
        <f>IF(OR($H2590="",$I2590=""),"",$H2590*$I2590)</f>
        <v/>
      </c>
      <c r="K2590" s="24" t="n"/>
      <c r="L2590" s="24" t="n"/>
      <c r="M2590" s="29" t="n"/>
      <c r="N2590" s="28" t="n"/>
      <c r="O2590" s="24" t="n"/>
      <c r="P2590" s="24" t="n"/>
      <c r="Q2590" s="24" t="n"/>
      <c r="R2590" s="24" t="n"/>
      <c r="S2590" s="22">
        <f>IF(AND($A2590="",$C2590=""),"",IF($A2590="","Thiếu mã đơn; ","")&amp;IF(COUNTIF($A$2:$A2590,$A2590)&gt;1,"Trùng mã đơn; ","")&amp;IF(ISNA(MATCH($C2590,DATA_MASTER!$D$2:$D$5000,0)),"SĐT chưa đăng ký hội viên; ","")&amp;IF(AND($L2590="Đã chuyển khoản",$M2590=""),"Thiếu ngày nhận CK; ",""))</f>
        <v/>
      </c>
      <c r="T2590" s="24" t="n"/>
    </row>
    <row r="2591" ht="14.25" customHeight="1" s="40">
      <c r="A2591" s="24" t="n"/>
      <c r="B2591" s="29" t="n"/>
      <c r="C2591" s="28" t="n"/>
      <c r="D2591" s="22">
        <f t="array" ref="D2591">IF($C2591="","",IFERROR(INDEX(DATA_MASTER!$C$2:$C$5000,MATCH($C2591,DATA_MASTER!$D$2:$D$5000,0)),""))</f>
        <v/>
      </c>
      <c r="E2591" s="22">
        <f t="array" ref="E2591">IF($C2591="","",IFERROR(INDEX(DATA_MASTER!$I$2:$I$5000,MATCH($C2591,DATA_MASTER!$D$2:$D$5000,0)),""))</f>
        <v/>
      </c>
      <c r="F2591" s="22">
        <f t="array" ref="F2591">IF($C2591="","",IFERROR(INDEX(DATA_MASTER!$L$2:$L$5000,MATCH($C2591,DATA_MASTER!$D$2:$D$5000,0)),""))</f>
        <v/>
      </c>
      <c r="G2591" s="24" t="n"/>
      <c r="H2591" s="24" t="n"/>
      <c r="I2591" s="30" t="n"/>
      <c r="J2591" s="23">
        <f>IF(OR($H2591="",$I2591=""),"",$H2591*$I2591)</f>
        <v/>
      </c>
      <c r="K2591" s="24" t="n"/>
      <c r="L2591" s="24" t="n"/>
      <c r="M2591" s="29" t="n"/>
      <c r="N2591" s="28" t="n"/>
      <c r="O2591" s="24" t="n"/>
      <c r="P2591" s="24" t="n"/>
      <c r="Q2591" s="24" t="n"/>
      <c r="R2591" s="24" t="n"/>
      <c r="S2591" s="22">
        <f>IF(AND($A2591="",$C2591=""),"",IF($A2591="","Thiếu mã đơn; ","")&amp;IF(COUNTIF($A$2:$A2591,$A2591)&gt;1,"Trùng mã đơn; ","")&amp;IF(ISNA(MATCH($C2591,DATA_MASTER!$D$2:$D$5000,0)),"SĐT chưa đăng ký hội viên; ","")&amp;IF(AND($L2591="Đã chuyển khoản",$M2591=""),"Thiếu ngày nhận CK; ",""))</f>
        <v/>
      </c>
      <c r="T2591" s="24" t="n"/>
    </row>
    <row r="2592" ht="14.25" customHeight="1" s="40">
      <c r="A2592" s="24" t="n"/>
      <c r="B2592" s="29" t="n"/>
      <c r="C2592" s="28" t="n"/>
      <c r="D2592" s="22">
        <f t="array" ref="D2592">IF($C2592="","",IFERROR(INDEX(DATA_MASTER!$C$2:$C$5000,MATCH($C2592,DATA_MASTER!$D$2:$D$5000,0)),""))</f>
        <v/>
      </c>
      <c r="E2592" s="22">
        <f t="array" ref="E2592">IF($C2592="","",IFERROR(INDEX(DATA_MASTER!$I$2:$I$5000,MATCH($C2592,DATA_MASTER!$D$2:$D$5000,0)),""))</f>
        <v/>
      </c>
      <c r="F2592" s="22">
        <f t="array" ref="F2592">IF($C2592="","",IFERROR(INDEX(DATA_MASTER!$L$2:$L$5000,MATCH($C2592,DATA_MASTER!$D$2:$D$5000,0)),""))</f>
        <v/>
      </c>
      <c r="G2592" s="24" t="n"/>
      <c r="H2592" s="24" t="n"/>
      <c r="I2592" s="30" t="n"/>
      <c r="J2592" s="23">
        <f>IF(OR($H2592="",$I2592=""),"",$H2592*$I2592)</f>
        <v/>
      </c>
      <c r="K2592" s="24" t="n"/>
      <c r="L2592" s="24" t="n"/>
      <c r="M2592" s="29" t="n"/>
      <c r="N2592" s="28" t="n"/>
      <c r="O2592" s="24" t="n"/>
      <c r="P2592" s="24" t="n"/>
      <c r="Q2592" s="24" t="n"/>
      <c r="R2592" s="24" t="n"/>
      <c r="S2592" s="22">
        <f>IF(AND($A2592="",$C2592=""),"",IF($A2592="","Thiếu mã đơn; ","")&amp;IF(COUNTIF($A$2:$A2592,$A2592)&gt;1,"Trùng mã đơn; ","")&amp;IF(ISNA(MATCH($C2592,DATA_MASTER!$D$2:$D$5000,0)),"SĐT chưa đăng ký hội viên; ","")&amp;IF(AND($L2592="Đã chuyển khoản",$M2592=""),"Thiếu ngày nhận CK; ",""))</f>
        <v/>
      </c>
      <c r="T2592" s="24" t="n"/>
    </row>
    <row r="2593" ht="14.25" customHeight="1" s="40">
      <c r="A2593" s="24" t="n"/>
      <c r="B2593" s="29" t="n"/>
      <c r="C2593" s="28" t="n"/>
      <c r="D2593" s="22">
        <f t="array" ref="D2593">IF($C2593="","",IFERROR(INDEX(DATA_MASTER!$C$2:$C$5000,MATCH($C2593,DATA_MASTER!$D$2:$D$5000,0)),""))</f>
        <v/>
      </c>
      <c r="E2593" s="22">
        <f t="array" ref="E2593">IF($C2593="","",IFERROR(INDEX(DATA_MASTER!$I$2:$I$5000,MATCH($C2593,DATA_MASTER!$D$2:$D$5000,0)),""))</f>
        <v/>
      </c>
      <c r="F2593" s="22">
        <f t="array" ref="F2593">IF($C2593="","",IFERROR(INDEX(DATA_MASTER!$L$2:$L$5000,MATCH($C2593,DATA_MASTER!$D$2:$D$5000,0)),""))</f>
        <v/>
      </c>
      <c r="G2593" s="24" t="n"/>
      <c r="H2593" s="24" t="n"/>
      <c r="I2593" s="30" t="n"/>
      <c r="J2593" s="23">
        <f>IF(OR($H2593="",$I2593=""),"",$H2593*$I2593)</f>
        <v/>
      </c>
      <c r="K2593" s="24" t="n"/>
      <c r="L2593" s="24" t="n"/>
      <c r="M2593" s="29" t="n"/>
      <c r="N2593" s="28" t="n"/>
      <c r="O2593" s="24" t="n"/>
      <c r="P2593" s="24" t="n"/>
      <c r="Q2593" s="24" t="n"/>
      <c r="R2593" s="24" t="n"/>
      <c r="S2593" s="22">
        <f>IF(AND($A2593="",$C2593=""),"",IF($A2593="","Thiếu mã đơn; ","")&amp;IF(COUNTIF($A$2:$A2593,$A2593)&gt;1,"Trùng mã đơn; ","")&amp;IF(ISNA(MATCH($C2593,DATA_MASTER!$D$2:$D$5000,0)),"SĐT chưa đăng ký hội viên; ","")&amp;IF(AND($L2593="Đã chuyển khoản",$M2593=""),"Thiếu ngày nhận CK; ",""))</f>
        <v/>
      </c>
      <c r="T2593" s="24" t="n"/>
    </row>
    <row r="2594" ht="14.25" customHeight="1" s="40">
      <c r="A2594" s="24" t="n"/>
      <c r="B2594" s="29" t="n"/>
      <c r="C2594" s="28" t="n"/>
      <c r="D2594" s="22">
        <f t="array" ref="D2594">IF($C2594="","",IFERROR(INDEX(DATA_MASTER!$C$2:$C$5000,MATCH($C2594,DATA_MASTER!$D$2:$D$5000,0)),""))</f>
        <v/>
      </c>
      <c r="E2594" s="22">
        <f t="array" ref="E2594">IF($C2594="","",IFERROR(INDEX(DATA_MASTER!$I$2:$I$5000,MATCH($C2594,DATA_MASTER!$D$2:$D$5000,0)),""))</f>
        <v/>
      </c>
      <c r="F2594" s="22">
        <f t="array" ref="F2594">IF($C2594="","",IFERROR(INDEX(DATA_MASTER!$L$2:$L$5000,MATCH($C2594,DATA_MASTER!$D$2:$D$5000,0)),""))</f>
        <v/>
      </c>
      <c r="G2594" s="24" t="n"/>
      <c r="H2594" s="24" t="n"/>
      <c r="I2594" s="30" t="n"/>
      <c r="J2594" s="23">
        <f>IF(OR($H2594="",$I2594=""),"",$H2594*$I2594)</f>
        <v/>
      </c>
      <c r="K2594" s="24" t="n"/>
      <c r="L2594" s="24" t="n"/>
      <c r="M2594" s="29" t="n"/>
      <c r="N2594" s="28" t="n"/>
      <c r="O2594" s="24" t="n"/>
      <c r="P2594" s="24" t="n"/>
      <c r="Q2594" s="24" t="n"/>
      <c r="R2594" s="24" t="n"/>
      <c r="S2594" s="22">
        <f>IF(AND($A2594="",$C2594=""),"",IF($A2594="","Thiếu mã đơn; ","")&amp;IF(COUNTIF($A$2:$A2594,$A2594)&gt;1,"Trùng mã đơn; ","")&amp;IF(ISNA(MATCH($C2594,DATA_MASTER!$D$2:$D$5000,0)),"SĐT chưa đăng ký hội viên; ","")&amp;IF(AND($L2594="Đã chuyển khoản",$M2594=""),"Thiếu ngày nhận CK; ",""))</f>
        <v/>
      </c>
      <c r="T2594" s="24" t="n"/>
    </row>
    <row r="2595" ht="14.25" customHeight="1" s="40">
      <c r="A2595" s="24" t="n"/>
      <c r="B2595" s="29" t="n"/>
      <c r="C2595" s="28" t="n"/>
      <c r="D2595" s="22">
        <f t="array" ref="D2595">IF($C2595="","",IFERROR(INDEX(DATA_MASTER!$C$2:$C$5000,MATCH($C2595,DATA_MASTER!$D$2:$D$5000,0)),""))</f>
        <v/>
      </c>
      <c r="E2595" s="22">
        <f t="array" ref="E2595">IF($C2595="","",IFERROR(INDEX(DATA_MASTER!$I$2:$I$5000,MATCH($C2595,DATA_MASTER!$D$2:$D$5000,0)),""))</f>
        <v/>
      </c>
      <c r="F2595" s="22">
        <f t="array" ref="F2595">IF($C2595="","",IFERROR(INDEX(DATA_MASTER!$L$2:$L$5000,MATCH($C2595,DATA_MASTER!$D$2:$D$5000,0)),""))</f>
        <v/>
      </c>
      <c r="G2595" s="24" t="n"/>
      <c r="H2595" s="24" t="n"/>
      <c r="I2595" s="30" t="n"/>
      <c r="J2595" s="23">
        <f>IF(OR($H2595="",$I2595=""),"",$H2595*$I2595)</f>
        <v/>
      </c>
      <c r="K2595" s="24" t="n"/>
      <c r="L2595" s="24" t="n"/>
      <c r="M2595" s="29" t="n"/>
      <c r="N2595" s="28" t="n"/>
      <c r="O2595" s="24" t="n"/>
      <c r="P2595" s="24" t="n"/>
      <c r="Q2595" s="24" t="n"/>
      <c r="R2595" s="24" t="n"/>
      <c r="S2595" s="22">
        <f>IF(AND($A2595="",$C2595=""),"",IF($A2595="","Thiếu mã đơn; ","")&amp;IF(COUNTIF($A$2:$A2595,$A2595)&gt;1,"Trùng mã đơn; ","")&amp;IF(ISNA(MATCH($C2595,DATA_MASTER!$D$2:$D$5000,0)),"SĐT chưa đăng ký hội viên; ","")&amp;IF(AND($L2595="Đã chuyển khoản",$M2595=""),"Thiếu ngày nhận CK; ",""))</f>
        <v/>
      </c>
      <c r="T2595" s="24" t="n"/>
    </row>
    <row r="2596" ht="14.25" customHeight="1" s="40">
      <c r="A2596" s="24" t="n"/>
      <c r="B2596" s="29" t="n"/>
      <c r="C2596" s="28" t="n"/>
      <c r="D2596" s="22">
        <f t="array" ref="D2596">IF($C2596="","",IFERROR(INDEX(DATA_MASTER!$C$2:$C$5000,MATCH($C2596,DATA_MASTER!$D$2:$D$5000,0)),""))</f>
        <v/>
      </c>
      <c r="E2596" s="22">
        <f t="array" ref="E2596">IF($C2596="","",IFERROR(INDEX(DATA_MASTER!$I$2:$I$5000,MATCH($C2596,DATA_MASTER!$D$2:$D$5000,0)),""))</f>
        <v/>
      </c>
      <c r="F2596" s="22">
        <f t="array" ref="F2596">IF($C2596="","",IFERROR(INDEX(DATA_MASTER!$L$2:$L$5000,MATCH($C2596,DATA_MASTER!$D$2:$D$5000,0)),""))</f>
        <v/>
      </c>
      <c r="G2596" s="24" t="n"/>
      <c r="H2596" s="24" t="n"/>
      <c r="I2596" s="30" t="n"/>
      <c r="J2596" s="23">
        <f>IF(OR($H2596="",$I2596=""),"",$H2596*$I2596)</f>
        <v/>
      </c>
      <c r="K2596" s="24" t="n"/>
      <c r="L2596" s="24" t="n"/>
      <c r="M2596" s="29" t="n"/>
      <c r="N2596" s="28" t="n"/>
      <c r="O2596" s="24" t="n"/>
      <c r="P2596" s="24" t="n"/>
      <c r="Q2596" s="24" t="n"/>
      <c r="R2596" s="24" t="n"/>
      <c r="S2596" s="22">
        <f>IF(AND($A2596="",$C2596=""),"",IF($A2596="","Thiếu mã đơn; ","")&amp;IF(COUNTIF($A$2:$A2596,$A2596)&gt;1,"Trùng mã đơn; ","")&amp;IF(ISNA(MATCH($C2596,DATA_MASTER!$D$2:$D$5000,0)),"SĐT chưa đăng ký hội viên; ","")&amp;IF(AND($L2596="Đã chuyển khoản",$M2596=""),"Thiếu ngày nhận CK; ",""))</f>
        <v/>
      </c>
      <c r="T2596" s="24" t="n"/>
    </row>
    <row r="2597" ht="14.25" customHeight="1" s="40">
      <c r="A2597" s="24" t="n"/>
      <c r="B2597" s="29" t="n"/>
      <c r="C2597" s="28" t="n"/>
      <c r="D2597" s="22">
        <f t="array" ref="D2597">IF($C2597="","",IFERROR(INDEX(DATA_MASTER!$C$2:$C$5000,MATCH($C2597,DATA_MASTER!$D$2:$D$5000,0)),""))</f>
        <v/>
      </c>
      <c r="E2597" s="22">
        <f t="array" ref="E2597">IF($C2597="","",IFERROR(INDEX(DATA_MASTER!$I$2:$I$5000,MATCH($C2597,DATA_MASTER!$D$2:$D$5000,0)),""))</f>
        <v/>
      </c>
      <c r="F2597" s="22">
        <f t="array" ref="F2597">IF($C2597="","",IFERROR(INDEX(DATA_MASTER!$L$2:$L$5000,MATCH($C2597,DATA_MASTER!$D$2:$D$5000,0)),""))</f>
        <v/>
      </c>
      <c r="G2597" s="24" t="n"/>
      <c r="H2597" s="24" t="n"/>
      <c r="I2597" s="30" t="n"/>
      <c r="J2597" s="23">
        <f>IF(OR($H2597="",$I2597=""),"",$H2597*$I2597)</f>
        <v/>
      </c>
      <c r="K2597" s="24" t="n"/>
      <c r="L2597" s="24" t="n"/>
      <c r="M2597" s="29" t="n"/>
      <c r="N2597" s="28" t="n"/>
      <c r="O2597" s="24" t="n"/>
      <c r="P2597" s="24" t="n"/>
      <c r="Q2597" s="24" t="n"/>
      <c r="R2597" s="24" t="n"/>
      <c r="S2597" s="22">
        <f>IF(AND($A2597="",$C2597=""),"",IF($A2597="","Thiếu mã đơn; ","")&amp;IF(COUNTIF($A$2:$A2597,$A2597)&gt;1,"Trùng mã đơn; ","")&amp;IF(ISNA(MATCH($C2597,DATA_MASTER!$D$2:$D$5000,0)),"SĐT chưa đăng ký hội viên; ","")&amp;IF(AND($L2597="Đã chuyển khoản",$M2597=""),"Thiếu ngày nhận CK; ",""))</f>
        <v/>
      </c>
      <c r="T2597" s="24" t="n"/>
    </row>
    <row r="2598" ht="14.25" customHeight="1" s="40">
      <c r="A2598" s="24" t="n"/>
      <c r="B2598" s="29" t="n"/>
      <c r="C2598" s="28" t="n"/>
      <c r="D2598" s="22">
        <f t="array" ref="D2598">IF($C2598="","",IFERROR(INDEX(DATA_MASTER!$C$2:$C$5000,MATCH($C2598,DATA_MASTER!$D$2:$D$5000,0)),""))</f>
        <v/>
      </c>
      <c r="E2598" s="22">
        <f t="array" ref="E2598">IF($C2598="","",IFERROR(INDEX(DATA_MASTER!$I$2:$I$5000,MATCH($C2598,DATA_MASTER!$D$2:$D$5000,0)),""))</f>
        <v/>
      </c>
      <c r="F2598" s="22">
        <f t="array" ref="F2598">IF($C2598="","",IFERROR(INDEX(DATA_MASTER!$L$2:$L$5000,MATCH($C2598,DATA_MASTER!$D$2:$D$5000,0)),""))</f>
        <v/>
      </c>
      <c r="G2598" s="24" t="n"/>
      <c r="H2598" s="24" t="n"/>
      <c r="I2598" s="30" t="n"/>
      <c r="J2598" s="23">
        <f>IF(OR($H2598="",$I2598=""),"",$H2598*$I2598)</f>
        <v/>
      </c>
      <c r="K2598" s="24" t="n"/>
      <c r="L2598" s="24" t="n"/>
      <c r="M2598" s="29" t="n"/>
      <c r="N2598" s="28" t="n"/>
      <c r="O2598" s="24" t="n"/>
      <c r="P2598" s="24" t="n"/>
      <c r="Q2598" s="24" t="n"/>
      <c r="R2598" s="24" t="n"/>
      <c r="S2598" s="22">
        <f>IF(AND($A2598="",$C2598=""),"",IF($A2598="","Thiếu mã đơn; ","")&amp;IF(COUNTIF($A$2:$A2598,$A2598)&gt;1,"Trùng mã đơn; ","")&amp;IF(ISNA(MATCH($C2598,DATA_MASTER!$D$2:$D$5000,0)),"SĐT chưa đăng ký hội viên; ","")&amp;IF(AND($L2598="Đã chuyển khoản",$M2598=""),"Thiếu ngày nhận CK; ",""))</f>
        <v/>
      </c>
      <c r="T2598" s="24" t="n"/>
    </row>
    <row r="2599" ht="14.25" customHeight="1" s="40">
      <c r="A2599" s="24" t="n"/>
      <c r="B2599" s="29" t="n"/>
      <c r="C2599" s="28" t="n"/>
      <c r="D2599" s="22">
        <f t="array" ref="D2599">IF($C2599="","",IFERROR(INDEX(DATA_MASTER!$C$2:$C$5000,MATCH($C2599,DATA_MASTER!$D$2:$D$5000,0)),""))</f>
        <v/>
      </c>
      <c r="E2599" s="22">
        <f t="array" ref="E2599">IF($C2599="","",IFERROR(INDEX(DATA_MASTER!$I$2:$I$5000,MATCH($C2599,DATA_MASTER!$D$2:$D$5000,0)),""))</f>
        <v/>
      </c>
      <c r="F2599" s="22">
        <f t="array" ref="F2599">IF($C2599="","",IFERROR(INDEX(DATA_MASTER!$L$2:$L$5000,MATCH($C2599,DATA_MASTER!$D$2:$D$5000,0)),""))</f>
        <v/>
      </c>
      <c r="G2599" s="24" t="n"/>
      <c r="H2599" s="24" t="n"/>
      <c r="I2599" s="30" t="n"/>
      <c r="J2599" s="23">
        <f>IF(OR($H2599="",$I2599=""),"",$H2599*$I2599)</f>
        <v/>
      </c>
      <c r="K2599" s="24" t="n"/>
      <c r="L2599" s="24" t="n"/>
      <c r="M2599" s="29" t="n"/>
      <c r="N2599" s="28" t="n"/>
      <c r="O2599" s="24" t="n"/>
      <c r="P2599" s="24" t="n"/>
      <c r="Q2599" s="24" t="n"/>
      <c r="R2599" s="24" t="n"/>
      <c r="S2599" s="22">
        <f>IF(AND($A2599="",$C2599=""),"",IF($A2599="","Thiếu mã đơn; ","")&amp;IF(COUNTIF($A$2:$A2599,$A2599)&gt;1,"Trùng mã đơn; ","")&amp;IF(ISNA(MATCH($C2599,DATA_MASTER!$D$2:$D$5000,0)),"SĐT chưa đăng ký hội viên; ","")&amp;IF(AND($L2599="Đã chuyển khoản",$M2599=""),"Thiếu ngày nhận CK; ",""))</f>
        <v/>
      </c>
      <c r="T2599" s="24" t="n"/>
    </row>
    <row r="2600" ht="14.25" customHeight="1" s="40">
      <c r="A2600" s="24" t="n"/>
      <c r="B2600" s="29" t="n"/>
      <c r="C2600" s="28" t="n"/>
      <c r="D2600" s="22">
        <f t="array" ref="D2600">IF($C2600="","",IFERROR(INDEX(DATA_MASTER!$C$2:$C$5000,MATCH($C2600,DATA_MASTER!$D$2:$D$5000,0)),""))</f>
        <v/>
      </c>
      <c r="E2600" s="22">
        <f t="array" ref="E2600">IF($C2600="","",IFERROR(INDEX(DATA_MASTER!$I$2:$I$5000,MATCH($C2600,DATA_MASTER!$D$2:$D$5000,0)),""))</f>
        <v/>
      </c>
      <c r="F2600" s="22">
        <f t="array" ref="F2600">IF($C2600="","",IFERROR(INDEX(DATA_MASTER!$L$2:$L$5000,MATCH($C2600,DATA_MASTER!$D$2:$D$5000,0)),""))</f>
        <v/>
      </c>
      <c r="G2600" s="24" t="n"/>
      <c r="H2600" s="24" t="n"/>
      <c r="I2600" s="30" t="n"/>
      <c r="J2600" s="23">
        <f>IF(OR($H2600="",$I2600=""),"",$H2600*$I2600)</f>
        <v/>
      </c>
      <c r="K2600" s="24" t="n"/>
      <c r="L2600" s="24" t="n"/>
      <c r="M2600" s="29" t="n"/>
      <c r="N2600" s="28" t="n"/>
      <c r="O2600" s="24" t="n"/>
      <c r="P2600" s="24" t="n"/>
      <c r="Q2600" s="24" t="n"/>
      <c r="R2600" s="24" t="n"/>
      <c r="S2600" s="22">
        <f>IF(AND($A2600="",$C2600=""),"",IF($A2600="","Thiếu mã đơn; ","")&amp;IF(COUNTIF($A$2:$A2600,$A2600)&gt;1,"Trùng mã đơn; ","")&amp;IF(ISNA(MATCH($C2600,DATA_MASTER!$D$2:$D$5000,0)),"SĐT chưa đăng ký hội viên; ","")&amp;IF(AND($L2600="Đã chuyển khoản",$M2600=""),"Thiếu ngày nhận CK; ",""))</f>
        <v/>
      </c>
      <c r="T2600" s="24" t="n"/>
    </row>
    <row r="2601" ht="14.25" customHeight="1" s="40">
      <c r="A2601" s="24" t="n"/>
      <c r="B2601" s="29" t="n"/>
      <c r="C2601" s="28" t="n"/>
      <c r="D2601" s="22">
        <f t="array" ref="D2601">IF($C2601="","",IFERROR(INDEX(DATA_MASTER!$C$2:$C$5000,MATCH($C2601,DATA_MASTER!$D$2:$D$5000,0)),""))</f>
        <v/>
      </c>
      <c r="E2601" s="22">
        <f t="array" ref="E2601">IF($C2601="","",IFERROR(INDEX(DATA_MASTER!$I$2:$I$5000,MATCH($C2601,DATA_MASTER!$D$2:$D$5000,0)),""))</f>
        <v/>
      </c>
      <c r="F2601" s="22">
        <f t="array" ref="F2601">IF($C2601="","",IFERROR(INDEX(DATA_MASTER!$L$2:$L$5000,MATCH($C2601,DATA_MASTER!$D$2:$D$5000,0)),""))</f>
        <v/>
      </c>
      <c r="G2601" s="24" t="n"/>
      <c r="H2601" s="24" t="n"/>
      <c r="I2601" s="30" t="n"/>
      <c r="J2601" s="23">
        <f>IF(OR($H2601="",$I2601=""),"",$H2601*$I2601)</f>
        <v/>
      </c>
      <c r="K2601" s="24" t="n"/>
      <c r="L2601" s="24" t="n"/>
      <c r="M2601" s="29" t="n"/>
      <c r="N2601" s="28" t="n"/>
      <c r="O2601" s="24" t="n"/>
      <c r="P2601" s="24" t="n"/>
      <c r="Q2601" s="24" t="n"/>
      <c r="R2601" s="24" t="n"/>
      <c r="S2601" s="22">
        <f>IF(AND($A2601="",$C2601=""),"",IF($A2601="","Thiếu mã đơn; ","")&amp;IF(COUNTIF($A$2:$A2601,$A2601)&gt;1,"Trùng mã đơn; ","")&amp;IF(ISNA(MATCH($C2601,DATA_MASTER!$D$2:$D$5000,0)),"SĐT chưa đăng ký hội viên; ","")&amp;IF(AND($L2601="Đã chuyển khoản",$M2601=""),"Thiếu ngày nhận CK; ",""))</f>
        <v/>
      </c>
      <c r="T2601" s="24" t="n"/>
    </row>
    <row r="2602" ht="14.25" customHeight="1" s="40">
      <c r="A2602" s="24" t="n"/>
      <c r="B2602" s="29" t="n"/>
      <c r="C2602" s="28" t="n"/>
      <c r="D2602" s="22">
        <f t="array" ref="D2602">IF($C2602="","",IFERROR(INDEX(DATA_MASTER!$C$2:$C$5000,MATCH($C2602,DATA_MASTER!$D$2:$D$5000,0)),""))</f>
        <v/>
      </c>
      <c r="E2602" s="22">
        <f t="array" ref="E2602">IF($C2602="","",IFERROR(INDEX(DATA_MASTER!$I$2:$I$5000,MATCH($C2602,DATA_MASTER!$D$2:$D$5000,0)),""))</f>
        <v/>
      </c>
      <c r="F2602" s="22">
        <f t="array" ref="F2602">IF($C2602="","",IFERROR(INDEX(DATA_MASTER!$L$2:$L$5000,MATCH($C2602,DATA_MASTER!$D$2:$D$5000,0)),""))</f>
        <v/>
      </c>
      <c r="G2602" s="24" t="n"/>
      <c r="H2602" s="24" t="n"/>
      <c r="I2602" s="30" t="n"/>
      <c r="J2602" s="23">
        <f>IF(OR($H2602="",$I2602=""),"",$H2602*$I2602)</f>
        <v/>
      </c>
      <c r="K2602" s="24" t="n"/>
      <c r="L2602" s="24" t="n"/>
      <c r="M2602" s="29" t="n"/>
      <c r="N2602" s="28" t="n"/>
      <c r="O2602" s="24" t="n"/>
      <c r="P2602" s="24" t="n"/>
      <c r="Q2602" s="24" t="n"/>
      <c r="R2602" s="24" t="n"/>
      <c r="S2602" s="22">
        <f>IF(AND($A2602="",$C2602=""),"",IF($A2602="","Thiếu mã đơn; ","")&amp;IF(COUNTIF($A$2:$A2602,$A2602)&gt;1,"Trùng mã đơn; ","")&amp;IF(ISNA(MATCH($C2602,DATA_MASTER!$D$2:$D$5000,0)),"SĐT chưa đăng ký hội viên; ","")&amp;IF(AND($L2602="Đã chuyển khoản",$M2602=""),"Thiếu ngày nhận CK; ",""))</f>
        <v/>
      </c>
      <c r="T2602" s="24" t="n"/>
    </row>
    <row r="2603" ht="14.25" customHeight="1" s="40">
      <c r="A2603" s="24" t="n"/>
      <c r="B2603" s="29" t="n"/>
      <c r="C2603" s="28" t="n"/>
      <c r="D2603" s="22">
        <f t="array" ref="D2603">IF($C2603="","",IFERROR(INDEX(DATA_MASTER!$C$2:$C$5000,MATCH($C2603,DATA_MASTER!$D$2:$D$5000,0)),""))</f>
        <v/>
      </c>
      <c r="E2603" s="22">
        <f t="array" ref="E2603">IF($C2603="","",IFERROR(INDEX(DATA_MASTER!$I$2:$I$5000,MATCH($C2603,DATA_MASTER!$D$2:$D$5000,0)),""))</f>
        <v/>
      </c>
      <c r="F2603" s="22">
        <f t="array" ref="F2603">IF($C2603="","",IFERROR(INDEX(DATA_MASTER!$L$2:$L$5000,MATCH($C2603,DATA_MASTER!$D$2:$D$5000,0)),""))</f>
        <v/>
      </c>
      <c r="G2603" s="24" t="n"/>
      <c r="H2603" s="24" t="n"/>
      <c r="I2603" s="30" t="n"/>
      <c r="J2603" s="23">
        <f>IF(OR($H2603="",$I2603=""),"",$H2603*$I2603)</f>
        <v/>
      </c>
      <c r="K2603" s="24" t="n"/>
      <c r="L2603" s="24" t="n"/>
      <c r="M2603" s="29" t="n"/>
      <c r="N2603" s="28" t="n"/>
      <c r="O2603" s="24" t="n"/>
      <c r="P2603" s="24" t="n"/>
      <c r="Q2603" s="24" t="n"/>
      <c r="R2603" s="24" t="n"/>
      <c r="S2603" s="22">
        <f>IF(AND($A2603="",$C2603=""),"",IF($A2603="","Thiếu mã đơn; ","")&amp;IF(COUNTIF($A$2:$A2603,$A2603)&gt;1,"Trùng mã đơn; ","")&amp;IF(ISNA(MATCH($C2603,DATA_MASTER!$D$2:$D$5000,0)),"SĐT chưa đăng ký hội viên; ","")&amp;IF(AND($L2603="Đã chuyển khoản",$M2603=""),"Thiếu ngày nhận CK; ",""))</f>
        <v/>
      </c>
      <c r="T2603" s="24" t="n"/>
    </row>
    <row r="2604" ht="14.25" customHeight="1" s="40">
      <c r="A2604" s="24" t="n"/>
      <c r="B2604" s="29" t="n"/>
      <c r="C2604" s="28" t="n"/>
      <c r="D2604" s="22">
        <f t="array" ref="D2604">IF($C2604="","",IFERROR(INDEX(DATA_MASTER!$C$2:$C$5000,MATCH($C2604,DATA_MASTER!$D$2:$D$5000,0)),""))</f>
        <v/>
      </c>
      <c r="E2604" s="22">
        <f t="array" ref="E2604">IF($C2604="","",IFERROR(INDEX(DATA_MASTER!$I$2:$I$5000,MATCH($C2604,DATA_MASTER!$D$2:$D$5000,0)),""))</f>
        <v/>
      </c>
      <c r="F2604" s="22">
        <f t="array" ref="F2604">IF($C2604="","",IFERROR(INDEX(DATA_MASTER!$L$2:$L$5000,MATCH($C2604,DATA_MASTER!$D$2:$D$5000,0)),""))</f>
        <v/>
      </c>
      <c r="G2604" s="24" t="n"/>
      <c r="H2604" s="24" t="n"/>
      <c r="I2604" s="30" t="n"/>
      <c r="J2604" s="23">
        <f>IF(OR($H2604="",$I2604=""),"",$H2604*$I2604)</f>
        <v/>
      </c>
      <c r="K2604" s="24" t="n"/>
      <c r="L2604" s="24" t="n"/>
      <c r="M2604" s="29" t="n"/>
      <c r="N2604" s="28" t="n"/>
      <c r="O2604" s="24" t="n"/>
      <c r="P2604" s="24" t="n"/>
      <c r="Q2604" s="24" t="n"/>
      <c r="R2604" s="24" t="n"/>
      <c r="S2604" s="22">
        <f>IF(AND($A2604="",$C2604=""),"",IF($A2604="","Thiếu mã đơn; ","")&amp;IF(COUNTIF($A$2:$A2604,$A2604)&gt;1,"Trùng mã đơn; ","")&amp;IF(ISNA(MATCH($C2604,DATA_MASTER!$D$2:$D$5000,0)),"SĐT chưa đăng ký hội viên; ","")&amp;IF(AND($L2604="Đã chuyển khoản",$M2604=""),"Thiếu ngày nhận CK; ",""))</f>
        <v/>
      </c>
      <c r="T2604" s="24" t="n"/>
    </row>
    <row r="2605" ht="14.25" customHeight="1" s="40">
      <c r="A2605" s="24" t="n"/>
      <c r="B2605" s="29" t="n"/>
      <c r="C2605" s="28" t="n"/>
      <c r="D2605" s="22">
        <f t="array" ref="D2605">IF($C2605="","",IFERROR(INDEX(DATA_MASTER!$C$2:$C$5000,MATCH($C2605,DATA_MASTER!$D$2:$D$5000,0)),""))</f>
        <v/>
      </c>
      <c r="E2605" s="22">
        <f t="array" ref="E2605">IF($C2605="","",IFERROR(INDEX(DATA_MASTER!$I$2:$I$5000,MATCH($C2605,DATA_MASTER!$D$2:$D$5000,0)),""))</f>
        <v/>
      </c>
      <c r="F2605" s="22">
        <f t="array" ref="F2605">IF($C2605="","",IFERROR(INDEX(DATA_MASTER!$L$2:$L$5000,MATCH($C2605,DATA_MASTER!$D$2:$D$5000,0)),""))</f>
        <v/>
      </c>
      <c r="G2605" s="24" t="n"/>
      <c r="H2605" s="24" t="n"/>
      <c r="I2605" s="30" t="n"/>
      <c r="J2605" s="23">
        <f>IF(OR($H2605="",$I2605=""),"",$H2605*$I2605)</f>
        <v/>
      </c>
      <c r="K2605" s="24" t="n"/>
      <c r="L2605" s="24" t="n"/>
      <c r="M2605" s="29" t="n"/>
      <c r="N2605" s="28" t="n"/>
      <c r="O2605" s="24" t="n"/>
      <c r="P2605" s="24" t="n"/>
      <c r="Q2605" s="24" t="n"/>
      <c r="R2605" s="24" t="n"/>
      <c r="S2605" s="22">
        <f>IF(AND($A2605="",$C2605=""),"",IF($A2605="","Thiếu mã đơn; ","")&amp;IF(COUNTIF($A$2:$A2605,$A2605)&gt;1,"Trùng mã đơn; ","")&amp;IF(ISNA(MATCH($C2605,DATA_MASTER!$D$2:$D$5000,0)),"SĐT chưa đăng ký hội viên; ","")&amp;IF(AND($L2605="Đã chuyển khoản",$M2605=""),"Thiếu ngày nhận CK; ",""))</f>
        <v/>
      </c>
      <c r="T2605" s="24" t="n"/>
    </row>
    <row r="2606" ht="14.25" customHeight="1" s="40">
      <c r="A2606" s="24" t="n"/>
      <c r="B2606" s="29" t="n"/>
      <c r="C2606" s="28" t="n"/>
      <c r="D2606" s="22">
        <f t="array" ref="D2606">IF($C2606="","",IFERROR(INDEX(DATA_MASTER!$C$2:$C$5000,MATCH($C2606,DATA_MASTER!$D$2:$D$5000,0)),""))</f>
        <v/>
      </c>
      <c r="E2606" s="22">
        <f t="array" ref="E2606">IF($C2606="","",IFERROR(INDEX(DATA_MASTER!$I$2:$I$5000,MATCH($C2606,DATA_MASTER!$D$2:$D$5000,0)),""))</f>
        <v/>
      </c>
      <c r="F2606" s="22">
        <f t="array" ref="F2606">IF($C2606="","",IFERROR(INDEX(DATA_MASTER!$L$2:$L$5000,MATCH($C2606,DATA_MASTER!$D$2:$D$5000,0)),""))</f>
        <v/>
      </c>
      <c r="G2606" s="24" t="n"/>
      <c r="H2606" s="24" t="n"/>
      <c r="I2606" s="30" t="n"/>
      <c r="J2606" s="23">
        <f>IF(OR($H2606="",$I2606=""),"",$H2606*$I2606)</f>
        <v/>
      </c>
      <c r="K2606" s="24" t="n"/>
      <c r="L2606" s="24" t="n"/>
      <c r="M2606" s="29" t="n"/>
      <c r="N2606" s="28" t="n"/>
      <c r="O2606" s="24" t="n"/>
      <c r="P2606" s="24" t="n"/>
      <c r="Q2606" s="24" t="n"/>
      <c r="R2606" s="24" t="n"/>
      <c r="S2606" s="22">
        <f>IF(AND($A2606="",$C2606=""),"",IF($A2606="","Thiếu mã đơn; ","")&amp;IF(COUNTIF($A$2:$A2606,$A2606)&gt;1,"Trùng mã đơn; ","")&amp;IF(ISNA(MATCH($C2606,DATA_MASTER!$D$2:$D$5000,0)),"SĐT chưa đăng ký hội viên; ","")&amp;IF(AND($L2606="Đã chuyển khoản",$M2606=""),"Thiếu ngày nhận CK; ",""))</f>
        <v/>
      </c>
      <c r="T2606" s="24" t="n"/>
    </row>
    <row r="2607" ht="14.25" customHeight="1" s="40">
      <c r="A2607" s="24" t="n"/>
      <c r="B2607" s="29" t="n"/>
      <c r="C2607" s="28" t="n"/>
      <c r="D2607" s="22">
        <f t="array" ref="D2607">IF($C2607="","",IFERROR(INDEX(DATA_MASTER!$C$2:$C$5000,MATCH($C2607,DATA_MASTER!$D$2:$D$5000,0)),""))</f>
        <v/>
      </c>
      <c r="E2607" s="22">
        <f t="array" ref="E2607">IF($C2607="","",IFERROR(INDEX(DATA_MASTER!$I$2:$I$5000,MATCH($C2607,DATA_MASTER!$D$2:$D$5000,0)),""))</f>
        <v/>
      </c>
      <c r="F2607" s="22">
        <f t="array" ref="F2607">IF($C2607="","",IFERROR(INDEX(DATA_MASTER!$L$2:$L$5000,MATCH($C2607,DATA_MASTER!$D$2:$D$5000,0)),""))</f>
        <v/>
      </c>
      <c r="G2607" s="24" t="n"/>
      <c r="H2607" s="24" t="n"/>
      <c r="I2607" s="30" t="n"/>
      <c r="J2607" s="23">
        <f>IF(OR($H2607="",$I2607=""),"",$H2607*$I2607)</f>
        <v/>
      </c>
      <c r="K2607" s="24" t="n"/>
      <c r="L2607" s="24" t="n"/>
      <c r="M2607" s="29" t="n"/>
      <c r="N2607" s="28" t="n"/>
      <c r="O2607" s="24" t="n"/>
      <c r="P2607" s="24" t="n"/>
      <c r="Q2607" s="24" t="n"/>
      <c r="R2607" s="24" t="n"/>
      <c r="S2607" s="22">
        <f>IF(AND($A2607="",$C2607=""),"",IF($A2607="","Thiếu mã đơn; ","")&amp;IF(COUNTIF($A$2:$A2607,$A2607)&gt;1,"Trùng mã đơn; ","")&amp;IF(ISNA(MATCH($C2607,DATA_MASTER!$D$2:$D$5000,0)),"SĐT chưa đăng ký hội viên; ","")&amp;IF(AND($L2607="Đã chuyển khoản",$M2607=""),"Thiếu ngày nhận CK; ",""))</f>
        <v/>
      </c>
      <c r="T2607" s="24" t="n"/>
    </row>
    <row r="2608" ht="14.25" customHeight="1" s="40">
      <c r="A2608" s="24" t="n"/>
      <c r="B2608" s="29" t="n"/>
      <c r="C2608" s="28" t="n"/>
      <c r="D2608" s="22">
        <f t="array" ref="D2608">IF($C2608="","",IFERROR(INDEX(DATA_MASTER!$C$2:$C$5000,MATCH($C2608,DATA_MASTER!$D$2:$D$5000,0)),""))</f>
        <v/>
      </c>
      <c r="E2608" s="22">
        <f t="array" ref="E2608">IF($C2608="","",IFERROR(INDEX(DATA_MASTER!$I$2:$I$5000,MATCH($C2608,DATA_MASTER!$D$2:$D$5000,0)),""))</f>
        <v/>
      </c>
      <c r="F2608" s="22">
        <f t="array" ref="F2608">IF($C2608="","",IFERROR(INDEX(DATA_MASTER!$L$2:$L$5000,MATCH($C2608,DATA_MASTER!$D$2:$D$5000,0)),""))</f>
        <v/>
      </c>
      <c r="G2608" s="24" t="n"/>
      <c r="H2608" s="24" t="n"/>
      <c r="I2608" s="30" t="n"/>
      <c r="J2608" s="23">
        <f>IF(OR($H2608="",$I2608=""),"",$H2608*$I2608)</f>
        <v/>
      </c>
      <c r="K2608" s="24" t="n"/>
      <c r="L2608" s="24" t="n"/>
      <c r="M2608" s="29" t="n"/>
      <c r="N2608" s="28" t="n"/>
      <c r="O2608" s="24" t="n"/>
      <c r="P2608" s="24" t="n"/>
      <c r="Q2608" s="24" t="n"/>
      <c r="R2608" s="24" t="n"/>
      <c r="S2608" s="22">
        <f>IF(AND($A2608="",$C2608=""),"",IF($A2608="","Thiếu mã đơn; ","")&amp;IF(COUNTIF($A$2:$A2608,$A2608)&gt;1,"Trùng mã đơn; ","")&amp;IF(ISNA(MATCH($C2608,DATA_MASTER!$D$2:$D$5000,0)),"SĐT chưa đăng ký hội viên; ","")&amp;IF(AND($L2608="Đã chuyển khoản",$M2608=""),"Thiếu ngày nhận CK; ",""))</f>
        <v/>
      </c>
      <c r="T2608" s="24" t="n"/>
    </row>
    <row r="2609" ht="14.25" customHeight="1" s="40">
      <c r="A2609" s="24" t="n"/>
      <c r="B2609" s="29" t="n"/>
      <c r="C2609" s="28" t="n"/>
      <c r="D2609" s="22">
        <f t="array" ref="D2609">IF($C2609="","",IFERROR(INDEX(DATA_MASTER!$C$2:$C$5000,MATCH($C2609,DATA_MASTER!$D$2:$D$5000,0)),""))</f>
        <v/>
      </c>
      <c r="E2609" s="22">
        <f t="array" ref="E2609">IF($C2609="","",IFERROR(INDEX(DATA_MASTER!$I$2:$I$5000,MATCH($C2609,DATA_MASTER!$D$2:$D$5000,0)),""))</f>
        <v/>
      </c>
      <c r="F2609" s="22">
        <f t="array" ref="F2609">IF($C2609="","",IFERROR(INDEX(DATA_MASTER!$L$2:$L$5000,MATCH($C2609,DATA_MASTER!$D$2:$D$5000,0)),""))</f>
        <v/>
      </c>
      <c r="G2609" s="24" t="n"/>
      <c r="H2609" s="24" t="n"/>
      <c r="I2609" s="30" t="n"/>
      <c r="J2609" s="23">
        <f>IF(OR($H2609="",$I2609=""),"",$H2609*$I2609)</f>
        <v/>
      </c>
      <c r="K2609" s="24" t="n"/>
      <c r="L2609" s="24" t="n"/>
      <c r="M2609" s="29" t="n"/>
      <c r="N2609" s="28" t="n"/>
      <c r="O2609" s="24" t="n"/>
      <c r="P2609" s="24" t="n"/>
      <c r="Q2609" s="24" t="n"/>
      <c r="R2609" s="24" t="n"/>
      <c r="S2609" s="22">
        <f>IF(AND($A2609="",$C2609=""),"",IF($A2609="","Thiếu mã đơn; ","")&amp;IF(COUNTIF($A$2:$A2609,$A2609)&gt;1,"Trùng mã đơn; ","")&amp;IF(ISNA(MATCH($C2609,DATA_MASTER!$D$2:$D$5000,0)),"SĐT chưa đăng ký hội viên; ","")&amp;IF(AND($L2609="Đã chuyển khoản",$M2609=""),"Thiếu ngày nhận CK; ",""))</f>
        <v/>
      </c>
      <c r="T2609" s="24" t="n"/>
    </row>
    <row r="2610" ht="14.25" customHeight="1" s="40">
      <c r="A2610" s="24" t="n"/>
      <c r="B2610" s="29" t="n"/>
      <c r="C2610" s="28" t="n"/>
      <c r="D2610" s="22">
        <f t="array" ref="D2610">IF($C2610="","",IFERROR(INDEX(DATA_MASTER!$C$2:$C$5000,MATCH($C2610,DATA_MASTER!$D$2:$D$5000,0)),""))</f>
        <v/>
      </c>
      <c r="E2610" s="22">
        <f t="array" ref="E2610">IF($C2610="","",IFERROR(INDEX(DATA_MASTER!$I$2:$I$5000,MATCH($C2610,DATA_MASTER!$D$2:$D$5000,0)),""))</f>
        <v/>
      </c>
      <c r="F2610" s="22">
        <f t="array" ref="F2610">IF($C2610="","",IFERROR(INDEX(DATA_MASTER!$L$2:$L$5000,MATCH($C2610,DATA_MASTER!$D$2:$D$5000,0)),""))</f>
        <v/>
      </c>
      <c r="G2610" s="24" t="n"/>
      <c r="H2610" s="24" t="n"/>
      <c r="I2610" s="30" t="n"/>
      <c r="J2610" s="23">
        <f>IF(OR($H2610="",$I2610=""),"",$H2610*$I2610)</f>
        <v/>
      </c>
      <c r="K2610" s="24" t="n"/>
      <c r="L2610" s="24" t="n"/>
      <c r="M2610" s="29" t="n"/>
      <c r="N2610" s="28" t="n"/>
      <c r="O2610" s="24" t="n"/>
      <c r="P2610" s="24" t="n"/>
      <c r="Q2610" s="24" t="n"/>
      <c r="R2610" s="24" t="n"/>
      <c r="S2610" s="22">
        <f>IF(AND($A2610="",$C2610=""),"",IF($A2610="","Thiếu mã đơn; ","")&amp;IF(COUNTIF($A$2:$A2610,$A2610)&gt;1,"Trùng mã đơn; ","")&amp;IF(ISNA(MATCH($C2610,DATA_MASTER!$D$2:$D$5000,0)),"SĐT chưa đăng ký hội viên; ","")&amp;IF(AND($L2610="Đã chuyển khoản",$M2610=""),"Thiếu ngày nhận CK; ",""))</f>
        <v/>
      </c>
      <c r="T2610" s="24" t="n"/>
    </row>
    <row r="2611" ht="14.25" customHeight="1" s="40">
      <c r="A2611" s="24" t="n"/>
      <c r="B2611" s="29" t="n"/>
      <c r="C2611" s="28" t="n"/>
      <c r="D2611" s="22">
        <f t="array" ref="D2611">IF($C2611="","",IFERROR(INDEX(DATA_MASTER!$C$2:$C$5000,MATCH($C2611,DATA_MASTER!$D$2:$D$5000,0)),""))</f>
        <v/>
      </c>
      <c r="E2611" s="22">
        <f t="array" ref="E2611">IF($C2611="","",IFERROR(INDEX(DATA_MASTER!$I$2:$I$5000,MATCH($C2611,DATA_MASTER!$D$2:$D$5000,0)),""))</f>
        <v/>
      </c>
      <c r="F2611" s="22">
        <f t="array" ref="F2611">IF($C2611="","",IFERROR(INDEX(DATA_MASTER!$L$2:$L$5000,MATCH($C2611,DATA_MASTER!$D$2:$D$5000,0)),""))</f>
        <v/>
      </c>
      <c r="G2611" s="24" t="n"/>
      <c r="H2611" s="24" t="n"/>
      <c r="I2611" s="30" t="n"/>
      <c r="J2611" s="23">
        <f>IF(OR($H2611="",$I2611=""),"",$H2611*$I2611)</f>
        <v/>
      </c>
      <c r="K2611" s="24" t="n"/>
      <c r="L2611" s="24" t="n"/>
      <c r="M2611" s="29" t="n"/>
      <c r="N2611" s="28" t="n"/>
      <c r="O2611" s="24" t="n"/>
      <c r="P2611" s="24" t="n"/>
      <c r="Q2611" s="24" t="n"/>
      <c r="R2611" s="24" t="n"/>
      <c r="S2611" s="22">
        <f>IF(AND($A2611="",$C2611=""),"",IF($A2611="","Thiếu mã đơn; ","")&amp;IF(COUNTIF($A$2:$A2611,$A2611)&gt;1,"Trùng mã đơn; ","")&amp;IF(ISNA(MATCH($C2611,DATA_MASTER!$D$2:$D$5000,0)),"SĐT chưa đăng ký hội viên; ","")&amp;IF(AND($L2611="Đã chuyển khoản",$M2611=""),"Thiếu ngày nhận CK; ",""))</f>
        <v/>
      </c>
      <c r="T2611" s="24" t="n"/>
    </row>
    <row r="2612" ht="14.25" customHeight="1" s="40">
      <c r="A2612" s="24" t="n"/>
      <c r="B2612" s="29" t="n"/>
      <c r="C2612" s="28" t="n"/>
      <c r="D2612" s="22">
        <f t="array" ref="D2612">IF($C2612="","",IFERROR(INDEX(DATA_MASTER!$C$2:$C$5000,MATCH($C2612,DATA_MASTER!$D$2:$D$5000,0)),""))</f>
        <v/>
      </c>
      <c r="E2612" s="22">
        <f t="array" ref="E2612">IF($C2612="","",IFERROR(INDEX(DATA_MASTER!$I$2:$I$5000,MATCH($C2612,DATA_MASTER!$D$2:$D$5000,0)),""))</f>
        <v/>
      </c>
      <c r="F2612" s="22">
        <f t="array" ref="F2612">IF($C2612="","",IFERROR(INDEX(DATA_MASTER!$L$2:$L$5000,MATCH($C2612,DATA_MASTER!$D$2:$D$5000,0)),""))</f>
        <v/>
      </c>
      <c r="G2612" s="24" t="n"/>
      <c r="H2612" s="24" t="n"/>
      <c r="I2612" s="30" t="n"/>
      <c r="J2612" s="23">
        <f>IF(OR($H2612="",$I2612=""),"",$H2612*$I2612)</f>
        <v/>
      </c>
      <c r="K2612" s="24" t="n"/>
      <c r="L2612" s="24" t="n"/>
      <c r="M2612" s="29" t="n"/>
      <c r="N2612" s="28" t="n"/>
      <c r="O2612" s="24" t="n"/>
      <c r="P2612" s="24" t="n"/>
      <c r="Q2612" s="24" t="n"/>
      <c r="R2612" s="24" t="n"/>
      <c r="S2612" s="22">
        <f>IF(AND($A2612="",$C2612=""),"",IF($A2612="","Thiếu mã đơn; ","")&amp;IF(COUNTIF($A$2:$A2612,$A2612)&gt;1,"Trùng mã đơn; ","")&amp;IF(ISNA(MATCH($C2612,DATA_MASTER!$D$2:$D$5000,0)),"SĐT chưa đăng ký hội viên; ","")&amp;IF(AND($L2612="Đã chuyển khoản",$M2612=""),"Thiếu ngày nhận CK; ",""))</f>
        <v/>
      </c>
      <c r="T2612" s="24" t="n"/>
    </row>
    <row r="2613" ht="14.25" customHeight="1" s="40">
      <c r="A2613" s="24" t="n"/>
      <c r="B2613" s="29" t="n"/>
      <c r="C2613" s="28" t="n"/>
      <c r="D2613" s="22">
        <f t="array" ref="D2613">IF($C2613="","",IFERROR(INDEX(DATA_MASTER!$C$2:$C$5000,MATCH($C2613,DATA_MASTER!$D$2:$D$5000,0)),""))</f>
        <v/>
      </c>
      <c r="E2613" s="22">
        <f t="array" ref="E2613">IF($C2613="","",IFERROR(INDEX(DATA_MASTER!$I$2:$I$5000,MATCH($C2613,DATA_MASTER!$D$2:$D$5000,0)),""))</f>
        <v/>
      </c>
      <c r="F2613" s="22">
        <f t="array" ref="F2613">IF($C2613="","",IFERROR(INDEX(DATA_MASTER!$L$2:$L$5000,MATCH($C2613,DATA_MASTER!$D$2:$D$5000,0)),""))</f>
        <v/>
      </c>
      <c r="G2613" s="24" t="n"/>
      <c r="H2613" s="24" t="n"/>
      <c r="I2613" s="30" t="n"/>
      <c r="J2613" s="23">
        <f>IF(OR($H2613="",$I2613=""),"",$H2613*$I2613)</f>
        <v/>
      </c>
      <c r="K2613" s="24" t="n"/>
      <c r="L2613" s="24" t="n"/>
      <c r="M2613" s="29" t="n"/>
      <c r="N2613" s="28" t="n"/>
      <c r="O2613" s="24" t="n"/>
      <c r="P2613" s="24" t="n"/>
      <c r="Q2613" s="24" t="n"/>
      <c r="R2613" s="24" t="n"/>
      <c r="S2613" s="22">
        <f>IF(AND($A2613="",$C2613=""),"",IF($A2613="","Thiếu mã đơn; ","")&amp;IF(COUNTIF($A$2:$A2613,$A2613)&gt;1,"Trùng mã đơn; ","")&amp;IF(ISNA(MATCH($C2613,DATA_MASTER!$D$2:$D$5000,0)),"SĐT chưa đăng ký hội viên; ","")&amp;IF(AND($L2613="Đã chuyển khoản",$M2613=""),"Thiếu ngày nhận CK; ",""))</f>
        <v/>
      </c>
      <c r="T2613" s="24" t="n"/>
    </row>
    <row r="2614" ht="14.25" customHeight="1" s="40">
      <c r="A2614" s="24" t="n"/>
      <c r="B2614" s="29" t="n"/>
      <c r="C2614" s="28" t="n"/>
      <c r="D2614" s="22">
        <f t="array" ref="D2614">IF($C2614="","",IFERROR(INDEX(DATA_MASTER!$C$2:$C$5000,MATCH($C2614,DATA_MASTER!$D$2:$D$5000,0)),""))</f>
        <v/>
      </c>
      <c r="E2614" s="22">
        <f t="array" ref="E2614">IF($C2614="","",IFERROR(INDEX(DATA_MASTER!$I$2:$I$5000,MATCH($C2614,DATA_MASTER!$D$2:$D$5000,0)),""))</f>
        <v/>
      </c>
      <c r="F2614" s="22">
        <f t="array" ref="F2614">IF($C2614="","",IFERROR(INDEX(DATA_MASTER!$L$2:$L$5000,MATCH($C2614,DATA_MASTER!$D$2:$D$5000,0)),""))</f>
        <v/>
      </c>
      <c r="G2614" s="24" t="n"/>
      <c r="H2614" s="24" t="n"/>
      <c r="I2614" s="30" t="n"/>
      <c r="J2614" s="23">
        <f>IF(OR($H2614="",$I2614=""),"",$H2614*$I2614)</f>
        <v/>
      </c>
      <c r="K2614" s="24" t="n"/>
      <c r="L2614" s="24" t="n"/>
      <c r="M2614" s="29" t="n"/>
      <c r="N2614" s="28" t="n"/>
      <c r="O2614" s="24" t="n"/>
      <c r="P2614" s="24" t="n"/>
      <c r="Q2614" s="24" t="n"/>
      <c r="R2614" s="24" t="n"/>
      <c r="S2614" s="22">
        <f>IF(AND($A2614="",$C2614=""),"",IF($A2614="","Thiếu mã đơn; ","")&amp;IF(COUNTIF($A$2:$A2614,$A2614)&gt;1,"Trùng mã đơn; ","")&amp;IF(ISNA(MATCH($C2614,DATA_MASTER!$D$2:$D$5000,0)),"SĐT chưa đăng ký hội viên; ","")&amp;IF(AND($L2614="Đã chuyển khoản",$M2614=""),"Thiếu ngày nhận CK; ",""))</f>
        <v/>
      </c>
      <c r="T2614" s="24" t="n"/>
    </row>
    <row r="2615" ht="14.25" customHeight="1" s="40">
      <c r="A2615" s="24" t="n"/>
      <c r="B2615" s="29" t="n"/>
      <c r="C2615" s="28" t="n"/>
      <c r="D2615" s="22">
        <f t="array" ref="D2615">IF($C2615="","",IFERROR(INDEX(DATA_MASTER!$C$2:$C$5000,MATCH($C2615,DATA_MASTER!$D$2:$D$5000,0)),""))</f>
        <v/>
      </c>
      <c r="E2615" s="22">
        <f t="array" ref="E2615">IF($C2615="","",IFERROR(INDEX(DATA_MASTER!$I$2:$I$5000,MATCH($C2615,DATA_MASTER!$D$2:$D$5000,0)),""))</f>
        <v/>
      </c>
      <c r="F2615" s="22">
        <f t="array" ref="F2615">IF($C2615="","",IFERROR(INDEX(DATA_MASTER!$L$2:$L$5000,MATCH($C2615,DATA_MASTER!$D$2:$D$5000,0)),""))</f>
        <v/>
      </c>
      <c r="G2615" s="24" t="n"/>
      <c r="H2615" s="24" t="n"/>
      <c r="I2615" s="30" t="n"/>
      <c r="J2615" s="23">
        <f>IF(OR($H2615="",$I2615=""),"",$H2615*$I2615)</f>
        <v/>
      </c>
      <c r="K2615" s="24" t="n"/>
      <c r="L2615" s="24" t="n"/>
      <c r="M2615" s="29" t="n"/>
      <c r="N2615" s="28" t="n"/>
      <c r="O2615" s="24" t="n"/>
      <c r="P2615" s="24" t="n"/>
      <c r="Q2615" s="24" t="n"/>
      <c r="R2615" s="24" t="n"/>
      <c r="S2615" s="22">
        <f>IF(AND($A2615="",$C2615=""),"",IF($A2615="","Thiếu mã đơn; ","")&amp;IF(COUNTIF($A$2:$A2615,$A2615)&gt;1,"Trùng mã đơn; ","")&amp;IF(ISNA(MATCH($C2615,DATA_MASTER!$D$2:$D$5000,0)),"SĐT chưa đăng ký hội viên; ","")&amp;IF(AND($L2615="Đã chuyển khoản",$M2615=""),"Thiếu ngày nhận CK; ",""))</f>
        <v/>
      </c>
      <c r="T2615" s="24" t="n"/>
    </row>
    <row r="2616" ht="14.25" customHeight="1" s="40">
      <c r="A2616" s="24" t="n"/>
      <c r="B2616" s="29" t="n"/>
      <c r="C2616" s="28" t="n"/>
      <c r="D2616" s="22">
        <f t="array" ref="D2616">IF($C2616="","",IFERROR(INDEX(DATA_MASTER!$C$2:$C$5000,MATCH($C2616,DATA_MASTER!$D$2:$D$5000,0)),""))</f>
        <v/>
      </c>
      <c r="E2616" s="22">
        <f t="array" ref="E2616">IF($C2616="","",IFERROR(INDEX(DATA_MASTER!$I$2:$I$5000,MATCH($C2616,DATA_MASTER!$D$2:$D$5000,0)),""))</f>
        <v/>
      </c>
      <c r="F2616" s="22">
        <f t="array" ref="F2616">IF($C2616="","",IFERROR(INDEX(DATA_MASTER!$L$2:$L$5000,MATCH($C2616,DATA_MASTER!$D$2:$D$5000,0)),""))</f>
        <v/>
      </c>
      <c r="G2616" s="24" t="n"/>
      <c r="H2616" s="24" t="n"/>
      <c r="I2616" s="30" t="n"/>
      <c r="J2616" s="23">
        <f>IF(OR($H2616="",$I2616=""),"",$H2616*$I2616)</f>
        <v/>
      </c>
      <c r="K2616" s="24" t="n"/>
      <c r="L2616" s="24" t="n"/>
      <c r="M2616" s="29" t="n"/>
      <c r="N2616" s="28" t="n"/>
      <c r="O2616" s="24" t="n"/>
      <c r="P2616" s="24" t="n"/>
      <c r="Q2616" s="24" t="n"/>
      <c r="R2616" s="24" t="n"/>
      <c r="S2616" s="22">
        <f>IF(AND($A2616="",$C2616=""),"",IF($A2616="","Thiếu mã đơn; ","")&amp;IF(COUNTIF($A$2:$A2616,$A2616)&gt;1,"Trùng mã đơn; ","")&amp;IF(ISNA(MATCH($C2616,DATA_MASTER!$D$2:$D$5000,0)),"SĐT chưa đăng ký hội viên; ","")&amp;IF(AND($L2616="Đã chuyển khoản",$M2616=""),"Thiếu ngày nhận CK; ",""))</f>
        <v/>
      </c>
      <c r="T2616" s="24" t="n"/>
    </row>
    <row r="2617" ht="14.25" customHeight="1" s="40">
      <c r="A2617" s="24" t="n"/>
      <c r="B2617" s="29" t="n"/>
      <c r="C2617" s="28" t="n"/>
      <c r="D2617" s="22">
        <f t="array" ref="D2617">IF($C2617="","",IFERROR(INDEX(DATA_MASTER!$C$2:$C$5000,MATCH($C2617,DATA_MASTER!$D$2:$D$5000,0)),""))</f>
        <v/>
      </c>
      <c r="E2617" s="22">
        <f t="array" ref="E2617">IF($C2617="","",IFERROR(INDEX(DATA_MASTER!$I$2:$I$5000,MATCH($C2617,DATA_MASTER!$D$2:$D$5000,0)),""))</f>
        <v/>
      </c>
      <c r="F2617" s="22">
        <f t="array" ref="F2617">IF($C2617="","",IFERROR(INDEX(DATA_MASTER!$L$2:$L$5000,MATCH($C2617,DATA_MASTER!$D$2:$D$5000,0)),""))</f>
        <v/>
      </c>
      <c r="G2617" s="24" t="n"/>
      <c r="H2617" s="24" t="n"/>
      <c r="I2617" s="30" t="n"/>
      <c r="J2617" s="23">
        <f>IF(OR($H2617="",$I2617=""),"",$H2617*$I2617)</f>
        <v/>
      </c>
      <c r="K2617" s="24" t="n"/>
      <c r="L2617" s="24" t="n"/>
      <c r="M2617" s="29" t="n"/>
      <c r="N2617" s="28" t="n"/>
      <c r="O2617" s="24" t="n"/>
      <c r="P2617" s="24" t="n"/>
      <c r="Q2617" s="24" t="n"/>
      <c r="R2617" s="24" t="n"/>
      <c r="S2617" s="22">
        <f>IF(AND($A2617="",$C2617=""),"",IF($A2617="","Thiếu mã đơn; ","")&amp;IF(COUNTIF($A$2:$A2617,$A2617)&gt;1,"Trùng mã đơn; ","")&amp;IF(ISNA(MATCH($C2617,DATA_MASTER!$D$2:$D$5000,0)),"SĐT chưa đăng ký hội viên; ","")&amp;IF(AND($L2617="Đã chuyển khoản",$M2617=""),"Thiếu ngày nhận CK; ",""))</f>
        <v/>
      </c>
      <c r="T2617" s="24" t="n"/>
    </row>
    <row r="2618" ht="14.25" customHeight="1" s="40">
      <c r="A2618" s="24" t="n"/>
      <c r="B2618" s="29" t="n"/>
      <c r="C2618" s="28" t="n"/>
      <c r="D2618" s="22">
        <f t="array" ref="D2618">IF($C2618="","",IFERROR(INDEX(DATA_MASTER!$C$2:$C$5000,MATCH($C2618,DATA_MASTER!$D$2:$D$5000,0)),""))</f>
        <v/>
      </c>
      <c r="E2618" s="22">
        <f t="array" ref="E2618">IF($C2618="","",IFERROR(INDEX(DATA_MASTER!$I$2:$I$5000,MATCH($C2618,DATA_MASTER!$D$2:$D$5000,0)),""))</f>
        <v/>
      </c>
      <c r="F2618" s="22">
        <f t="array" ref="F2618">IF($C2618="","",IFERROR(INDEX(DATA_MASTER!$L$2:$L$5000,MATCH($C2618,DATA_MASTER!$D$2:$D$5000,0)),""))</f>
        <v/>
      </c>
      <c r="G2618" s="24" t="n"/>
      <c r="H2618" s="24" t="n"/>
      <c r="I2618" s="30" t="n"/>
      <c r="J2618" s="23">
        <f>IF(OR($H2618="",$I2618=""),"",$H2618*$I2618)</f>
        <v/>
      </c>
      <c r="K2618" s="24" t="n"/>
      <c r="L2618" s="24" t="n"/>
      <c r="M2618" s="29" t="n"/>
      <c r="N2618" s="28" t="n"/>
      <c r="O2618" s="24" t="n"/>
      <c r="P2618" s="24" t="n"/>
      <c r="Q2618" s="24" t="n"/>
      <c r="R2618" s="24" t="n"/>
      <c r="S2618" s="22">
        <f>IF(AND($A2618="",$C2618=""),"",IF($A2618="","Thiếu mã đơn; ","")&amp;IF(COUNTIF($A$2:$A2618,$A2618)&gt;1,"Trùng mã đơn; ","")&amp;IF(ISNA(MATCH($C2618,DATA_MASTER!$D$2:$D$5000,0)),"SĐT chưa đăng ký hội viên; ","")&amp;IF(AND($L2618="Đã chuyển khoản",$M2618=""),"Thiếu ngày nhận CK; ",""))</f>
        <v/>
      </c>
      <c r="T2618" s="24" t="n"/>
    </row>
    <row r="2619" ht="14.25" customHeight="1" s="40">
      <c r="A2619" s="24" t="n"/>
      <c r="B2619" s="29" t="n"/>
      <c r="C2619" s="28" t="n"/>
      <c r="D2619" s="22">
        <f t="array" ref="D2619">IF($C2619="","",IFERROR(INDEX(DATA_MASTER!$C$2:$C$5000,MATCH($C2619,DATA_MASTER!$D$2:$D$5000,0)),""))</f>
        <v/>
      </c>
      <c r="E2619" s="22">
        <f t="array" ref="E2619">IF($C2619="","",IFERROR(INDEX(DATA_MASTER!$I$2:$I$5000,MATCH($C2619,DATA_MASTER!$D$2:$D$5000,0)),""))</f>
        <v/>
      </c>
      <c r="F2619" s="22">
        <f t="array" ref="F2619">IF($C2619="","",IFERROR(INDEX(DATA_MASTER!$L$2:$L$5000,MATCH($C2619,DATA_MASTER!$D$2:$D$5000,0)),""))</f>
        <v/>
      </c>
      <c r="G2619" s="24" t="n"/>
      <c r="H2619" s="24" t="n"/>
      <c r="I2619" s="30" t="n"/>
      <c r="J2619" s="23">
        <f>IF(OR($H2619="",$I2619=""),"",$H2619*$I2619)</f>
        <v/>
      </c>
      <c r="K2619" s="24" t="n"/>
      <c r="L2619" s="24" t="n"/>
      <c r="M2619" s="29" t="n"/>
      <c r="N2619" s="28" t="n"/>
      <c r="O2619" s="24" t="n"/>
      <c r="P2619" s="24" t="n"/>
      <c r="Q2619" s="24" t="n"/>
      <c r="R2619" s="24" t="n"/>
      <c r="S2619" s="22">
        <f>IF(AND($A2619="",$C2619=""),"",IF($A2619="","Thiếu mã đơn; ","")&amp;IF(COUNTIF($A$2:$A2619,$A2619)&gt;1,"Trùng mã đơn; ","")&amp;IF(ISNA(MATCH($C2619,DATA_MASTER!$D$2:$D$5000,0)),"SĐT chưa đăng ký hội viên; ","")&amp;IF(AND($L2619="Đã chuyển khoản",$M2619=""),"Thiếu ngày nhận CK; ",""))</f>
        <v/>
      </c>
      <c r="T2619" s="24" t="n"/>
    </row>
    <row r="2620" ht="14.25" customHeight="1" s="40">
      <c r="A2620" s="24" t="n"/>
      <c r="B2620" s="29" t="n"/>
      <c r="C2620" s="28" t="n"/>
      <c r="D2620" s="22">
        <f t="array" ref="D2620">IF($C2620="","",IFERROR(INDEX(DATA_MASTER!$C$2:$C$5000,MATCH($C2620,DATA_MASTER!$D$2:$D$5000,0)),""))</f>
        <v/>
      </c>
      <c r="E2620" s="22">
        <f t="array" ref="E2620">IF($C2620="","",IFERROR(INDEX(DATA_MASTER!$I$2:$I$5000,MATCH($C2620,DATA_MASTER!$D$2:$D$5000,0)),""))</f>
        <v/>
      </c>
      <c r="F2620" s="22">
        <f t="array" ref="F2620">IF($C2620="","",IFERROR(INDEX(DATA_MASTER!$L$2:$L$5000,MATCH($C2620,DATA_MASTER!$D$2:$D$5000,0)),""))</f>
        <v/>
      </c>
      <c r="G2620" s="24" t="n"/>
      <c r="H2620" s="24" t="n"/>
      <c r="I2620" s="30" t="n"/>
      <c r="J2620" s="23">
        <f>IF(OR($H2620="",$I2620=""),"",$H2620*$I2620)</f>
        <v/>
      </c>
      <c r="K2620" s="24" t="n"/>
      <c r="L2620" s="24" t="n"/>
      <c r="M2620" s="29" t="n"/>
      <c r="N2620" s="28" t="n"/>
      <c r="O2620" s="24" t="n"/>
      <c r="P2620" s="24" t="n"/>
      <c r="Q2620" s="24" t="n"/>
      <c r="R2620" s="24" t="n"/>
      <c r="S2620" s="22">
        <f>IF(AND($A2620="",$C2620=""),"",IF($A2620="","Thiếu mã đơn; ","")&amp;IF(COUNTIF($A$2:$A2620,$A2620)&gt;1,"Trùng mã đơn; ","")&amp;IF(ISNA(MATCH($C2620,DATA_MASTER!$D$2:$D$5000,0)),"SĐT chưa đăng ký hội viên; ","")&amp;IF(AND($L2620="Đã chuyển khoản",$M2620=""),"Thiếu ngày nhận CK; ",""))</f>
        <v/>
      </c>
      <c r="T2620" s="24" t="n"/>
    </row>
    <row r="2621" ht="14.25" customHeight="1" s="40">
      <c r="A2621" s="24" t="n"/>
      <c r="B2621" s="29" t="n"/>
      <c r="C2621" s="28" t="n"/>
      <c r="D2621" s="22">
        <f t="array" ref="D2621">IF($C2621="","",IFERROR(INDEX(DATA_MASTER!$C$2:$C$5000,MATCH($C2621,DATA_MASTER!$D$2:$D$5000,0)),""))</f>
        <v/>
      </c>
      <c r="E2621" s="22">
        <f t="array" ref="E2621">IF($C2621="","",IFERROR(INDEX(DATA_MASTER!$I$2:$I$5000,MATCH($C2621,DATA_MASTER!$D$2:$D$5000,0)),""))</f>
        <v/>
      </c>
      <c r="F2621" s="22">
        <f t="array" ref="F2621">IF($C2621="","",IFERROR(INDEX(DATA_MASTER!$L$2:$L$5000,MATCH($C2621,DATA_MASTER!$D$2:$D$5000,0)),""))</f>
        <v/>
      </c>
      <c r="G2621" s="24" t="n"/>
      <c r="H2621" s="24" t="n"/>
      <c r="I2621" s="30" t="n"/>
      <c r="J2621" s="23">
        <f>IF(OR($H2621="",$I2621=""),"",$H2621*$I2621)</f>
        <v/>
      </c>
      <c r="K2621" s="24" t="n"/>
      <c r="L2621" s="24" t="n"/>
      <c r="M2621" s="29" t="n"/>
      <c r="N2621" s="28" t="n"/>
      <c r="O2621" s="24" t="n"/>
      <c r="P2621" s="24" t="n"/>
      <c r="Q2621" s="24" t="n"/>
      <c r="R2621" s="24" t="n"/>
      <c r="S2621" s="22">
        <f>IF(AND($A2621="",$C2621=""),"",IF($A2621="","Thiếu mã đơn; ","")&amp;IF(COUNTIF($A$2:$A2621,$A2621)&gt;1,"Trùng mã đơn; ","")&amp;IF(ISNA(MATCH($C2621,DATA_MASTER!$D$2:$D$5000,0)),"SĐT chưa đăng ký hội viên; ","")&amp;IF(AND($L2621="Đã chuyển khoản",$M2621=""),"Thiếu ngày nhận CK; ",""))</f>
        <v/>
      </c>
      <c r="T2621" s="24" t="n"/>
    </row>
    <row r="2622" ht="14.25" customHeight="1" s="40">
      <c r="A2622" s="24" t="n"/>
      <c r="B2622" s="29" t="n"/>
      <c r="C2622" s="28" t="n"/>
      <c r="D2622" s="22">
        <f t="array" ref="D2622">IF($C2622="","",IFERROR(INDEX(DATA_MASTER!$C$2:$C$5000,MATCH($C2622,DATA_MASTER!$D$2:$D$5000,0)),""))</f>
        <v/>
      </c>
      <c r="E2622" s="22">
        <f t="array" ref="E2622">IF($C2622="","",IFERROR(INDEX(DATA_MASTER!$I$2:$I$5000,MATCH($C2622,DATA_MASTER!$D$2:$D$5000,0)),""))</f>
        <v/>
      </c>
      <c r="F2622" s="22">
        <f t="array" ref="F2622">IF($C2622="","",IFERROR(INDEX(DATA_MASTER!$L$2:$L$5000,MATCH($C2622,DATA_MASTER!$D$2:$D$5000,0)),""))</f>
        <v/>
      </c>
      <c r="G2622" s="24" t="n"/>
      <c r="H2622" s="24" t="n"/>
      <c r="I2622" s="30" t="n"/>
      <c r="J2622" s="23">
        <f>IF(OR($H2622="",$I2622=""),"",$H2622*$I2622)</f>
        <v/>
      </c>
      <c r="K2622" s="24" t="n"/>
      <c r="L2622" s="24" t="n"/>
      <c r="M2622" s="29" t="n"/>
      <c r="N2622" s="28" t="n"/>
      <c r="O2622" s="24" t="n"/>
      <c r="P2622" s="24" t="n"/>
      <c r="Q2622" s="24" t="n"/>
      <c r="R2622" s="24" t="n"/>
      <c r="S2622" s="22">
        <f>IF(AND($A2622="",$C2622=""),"",IF($A2622="","Thiếu mã đơn; ","")&amp;IF(COUNTIF($A$2:$A2622,$A2622)&gt;1,"Trùng mã đơn; ","")&amp;IF(ISNA(MATCH($C2622,DATA_MASTER!$D$2:$D$5000,0)),"SĐT chưa đăng ký hội viên; ","")&amp;IF(AND($L2622="Đã chuyển khoản",$M2622=""),"Thiếu ngày nhận CK; ",""))</f>
        <v/>
      </c>
      <c r="T2622" s="24" t="n"/>
    </row>
    <row r="2623" ht="14.25" customHeight="1" s="40">
      <c r="A2623" s="24" t="n"/>
      <c r="B2623" s="29" t="n"/>
      <c r="C2623" s="28" t="n"/>
      <c r="D2623" s="22">
        <f t="array" ref="D2623">IF($C2623="","",IFERROR(INDEX(DATA_MASTER!$C$2:$C$5000,MATCH($C2623,DATA_MASTER!$D$2:$D$5000,0)),""))</f>
        <v/>
      </c>
      <c r="E2623" s="22">
        <f t="array" ref="E2623">IF($C2623="","",IFERROR(INDEX(DATA_MASTER!$I$2:$I$5000,MATCH($C2623,DATA_MASTER!$D$2:$D$5000,0)),""))</f>
        <v/>
      </c>
      <c r="F2623" s="22">
        <f t="array" ref="F2623">IF($C2623="","",IFERROR(INDEX(DATA_MASTER!$L$2:$L$5000,MATCH($C2623,DATA_MASTER!$D$2:$D$5000,0)),""))</f>
        <v/>
      </c>
      <c r="G2623" s="24" t="n"/>
      <c r="H2623" s="24" t="n"/>
      <c r="I2623" s="30" t="n"/>
      <c r="J2623" s="23">
        <f>IF(OR($H2623="",$I2623=""),"",$H2623*$I2623)</f>
        <v/>
      </c>
      <c r="K2623" s="24" t="n"/>
      <c r="L2623" s="24" t="n"/>
      <c r="M2623" s="29" t="n"/>
      <c r="N2623" s="28" t="n"/>
      <c r="O2623" s="24" t="n"/>
      <c r="P2623" s="24" t="n"/>
      <c r="Q2623" s="24" t="n"/>
      <c r="R2623" s="24" t="n"/>
      <c r="S2623" s="22">
        <f>IF(AND($A2623="",$C2623=""),"",IF($A2623="","Thiếu mã đơn; ","")&amp;IF(COUNTIF($A$2:$A2623,$A2623)&gt;1,"Trùng mã đơn; ","")&amp;IF(ISNA(MATCH($C2623,DATA_MASTER!$D$2:$D$5000,0)),"SĐT chưa đăng ký hội viên; ","")&amp;IF(AND($L2623="Đã chuyển khoản",$M2623=""),"Thiếu ngày nhận CK; ",""))</f>
        <v/>
      </c>
      <c r="T2623" s="24" t="n"/>
    </row>
    <row r="2624" ht="14.25" customHeight="1" s="40">
      <c r="A2624" s="24" t="n"/>
      <c r="B2624" s="29" t="n"/>
      <c r="C2624" s="28" t="n"/>
      <c r="D2624" s="22">
        <f t="array" ref="D2624">IF($C2624="","",IFERROR(INDEX(DATA_MASTER!$C$2:$C$5000,MATCH($C2624,DATA_MASTER!$D$2:$D$5000,0)),""))</f>
        <v/>
      </c>
      <c r="E2624" s="22">
        <f t="array" ref="E2624">IF($C2624="","",IFERROR(INDEX(DATA_MASTER!$I$2:$I$5000,MATCH($C2624,DATA_MASTER!$D$2:$D$5000,0)),""))</f>
        <v/>
      </c>
      <c r="F2624" s="22">
        <f t="array" ref="F2624">IF($C2624="","",IFERROR(INDEX(DATA_MASTER!$L$2:$L$5000,MATCH($C2624,DATA_MASTER!$D$2:$D$5000,0)),""))</f>
        <v/>
      </c>
      <c r="G2624" s="24" t="n"/>
      <c r="H2624" s="24" t="n"/>
      <c r="I2624" s="30" t="n"/>
      <c r="J2624" s="23">
        <f>IF(OR($H2624="",$I2624=""),"",$H2624*$I2624)</f>
        <v/>
      </c>
      <c r="K2624" s="24" t="n"/>
      <c r="L2624" s="24" t="n"/>
      <c r="M2624" s="29" t="n"/>
      <c r="N2624" s="28" t="n"/>
      <c r="O2624" s="24" t="n"/>
      <c r="P2624" s="24" t="n"/>
      <c r="Q2624" s="24" t="n"/>
      <c r="R2624" s="24" t="n"/>
      <c r="S2624" s="22">
        <f>IF(AND($A2624="",$C2624=""),"",IF($A2624="","Thiếu mã đơn; ","")&amp;IF(COUNTIF($A$2:$A2624,$A2624)&gt;1,"Trùng mã đơn; ","")&amp;IF(ISNA(MATCH($C2624,DATA_MASTER!$D$2:$D$5000,0)),"SĐT chưa đăng ký hội viên; ","")&amp;IF(AND($L2624="Đã chuyển khoản",$M2624=""),"Thiếu ngày nhận CK; ",""))</f>
        <v/>
      </c>
      <c r="T2624" s="24" t="n"/>
    </row>
    <row r="2625" ht="14.25" customHeight="1" s="40">
      <c r="A2625" s="24" t="n"/>
      <c r="B2625" s="29" t="n"/>
      <c r="C2625" s="28" t="n"/>
      <c r="D2625" s="22">
        <f t="array" ref="D2625">IF($C2625="","",IFERROR(INDEX(DATA_MASTER!$C$2:$C$5000,MATCH($C2625,DATA_MASTER!$D$2:$D$5000,0)),""))</f>
        <v/>
      </c>
      <c r="E2625" s="22">
        <f t="array" ref="E2625">IF($C2625="","",IFERROR(INDEX(DATA_MASTER!$I$2:$I$5000,MATCH($C2625,DATA_MASTER!$D$2:$D$5000,0)),""))</f>
        <v/>
      </c>
      <c r="F2625" s="22">
        <f t="array" ref="F2625">IF($C2625="","",IFERROR(INDEX(DATA_MASTER!$L$2:$L$5000,MATCH($C2625,DATA_MASTER!$D$2:$D$5000,0)),""))</f>
        <v/>
      </c>
      <c r="G2625" s="24" t="n"/>
      <c r="H2625" s="24" t="n"/>
      <c r="I2625" s="30" t="n"/>
      <c r="J2625" s="23">
        <f>IF(OR($H2625="",$I2625=""),"",$H2625*$I2625)</f>
        <v/>
      </c>
      <c r="K2625" s="24" t="n"/>
      <c r="L2625" s="24" t="n"/>
      <c r="M2625" s="29" t="n"/>
      <c r="N2625" s="28" t="n"/>
      <c r="O2625" s="24" t="n"/>
      <c r="P2625" s="24" t="n"/>
      <c r="Q2625" s="24" t="n"/>
      <c r="R2625" s="24" t="n"/>
      <c r="S2625" s="22">
        <f>IF(AND($A2625="",$C2625=""),"",IF($A2625="","Thiếu mã đơn; ","")&amp;IF(COUNTIF($A$2:$A2625,$A2625)&gt;1,"Trùng mã đơn; ","")&amp;IF(ISNA(MATCH($C2625,DATA_MASTER!$D$2:$D$5000,0)),"SĐT chưa đăng ký hội viên; ","")&amp;IF(AND($L2625="Đã chuyển khoản",$M2625=""),"Thiếu ngày nhận CK; ",""))</f>
        <v/>
      </c>
      <c r="T2625" s="24" t="n"/>
    </row>
    <row r="2626" ht="14.25" customHeight="1" s="40">
      <c r="A2626" s="24" t="n"/>
      <c r="B2626" s="29" t="n"/>
      <c r="C2626" s="28" t="n"/>
      <c r="D2626" s="22">
        <f t="array" ref="D2626">IF($C2626="","",IFERROR(INDEX(DATA_MASTER!$C$2:$C$5000,MATCH($C2626,DATA_MASTER!$D$2:$D$5000,0)),""))</f>
        <v/>
      </c>
      <c r="E2626" s="22">
        <f t="array" ref="E2626">IF($C2626="","",IFERROR(INDEX(DATA_MASTER!$I$2:$I$5000,MATCH($C2626,DATA_MASTER!$D$2:$D$5000,0)),""))</f>
        <v/>
      </c>
      <c r="F2626" s="22">
        <f t="array" ref="F2626">IF($C2626="","",IFERROR(INDEX(DATA_MASTER!$L$2:$L$5000,MATCH($C2626,DATA_MASTER!$D$2:$D$5000,0)),""))</f>
        <v/>
      </c>
      <c r="G2626" s="24" t="n"/>
      <c r="H2626" s="24" t="n"/>
      <c r="I2626" s="30" t="n"/>
      <c r="J2626" s="23">
        <f>IF(OR($H2626="",$I2626=""),"",$H2626*$I2626)</f>
        <v/>
      </c>
      <c r="K2626" s="24" t="n"/>
      <c r="L2626" s="24" t="n"/>
      <c r="M2626" s="29" t="n"/>
      <c r="N2626" s="28" t="n"/>
      <c r="O2626" s="24" t="n"/>
      <c r="P2626" s="24" t="n"/>
      <c r="Q2626" s="24" t="n"/>
      <c r="R2626" s="24" t="n"/>
      <c r="S2626" s="22">
        <f>IF(AND($A2626="",$C2626=""),"",IF($A2626="","Thiếu mã đơn; ","")&amp;IF(COUNTIF($A$2:$A2626,$A2626)&gt;1,"Trùng mã đơn; ","")&amp;IF(ISNA(MATCH($C2626,DATA_MASTER!$D$2:$D$5000,0)),"SĐT chưa đăng ký hội viên; ","")&amp;IF(AND($L2626="Đã chuyển khoản",$M2626=""),"Thiếu ngày nhận CK; ",""))</f>
        <v/>
      </c>
      <c r="T2626" s="24" t="n"/>
    </row>
    <row r="2627" ht="14.25" customHeight="1" s="40">
      <c r="A2627" s="24" t="n"/>
      <c r="B2627" s="29" t="n"/>
      <c r="C2627" s="28" t="n"/>
      <c r="D2627" s="22">
        <f t="array" ref="D2627">IF($C2627="","",IFERROR(INDEX(DATA_MASTER!$C$2:$C$5000,MATCH($C2627,DATA_MASTER!$D$2:$D$5000,0)),""))</f>
        <v/>
      </c>
      <c r="E2627" s="22">
        <f t="array" ref="E2627">IF($C2627="","",IFERROR(INDEX(DATA_MASTER!$I$2:$I$5000,MATCH($C2627,DATA_MASTER!$D$2:$D$5000,0)),""))</f>
        <v/>
      </c>
      <c r="F2627" s="22">
        <f t="array" ref="F2627">IF($C2627="","",IFERROR(INDEX(DATA_MASTER!$L$2:$L$5000,MATCH($C2627,DATA_MASTER!$D$2:$D$5000,0)),""))</f>
        <v/>
      </c>
      <c r="G2627" s="24" t="n"/>
      <c r="H2627" s="24" t="n"/>
      <c r="I2627" s="30" t="n"/>
      <c r="J2627" s="23">
        <f>IF(OR($H2627="",$I2627=""),"",$H2627*$I2627)</f>
        <v/>
      </c>
      <c r="K2627" s="24" t="n"/>
      <c r="L2627" s="24" t="n"/>
      <c r="M2627" s="29" t="n"/>
      <c r="N2627" s="28" t="n"/>
      <c r="O2627" s="24" t="n"/>
      <c r="P2627" s="24" t="n"/>
      <c r="Q2627" s="24" t="n"/>
      <c r="R2627" s="24" t="n"/>
      <c r="S2627" s="22">
        <f>IF(AND($A2627="",$C2627=""),"",IF($A2627="","Thiếu mã đơn; ","")&amp;IF(COUNTIF($A$2:$A2627,$A2627)&gt;1,"Trùng mã đơn; ","")&amp;IF(ISNA(MATCH($C2627,DATA_MASTER!$D$2:$D$5000,0)),"SĐT chưa đăng ký hội viên; ","")&amp;IF(AND($L2627="Đã chuyển khoản",$M2627=""),"Thiếu ngày nhận CK; ",""))</f>
        <v/>
      </c>
      <c r="T2627" s="24" t="n"/>
    </row>
    <row r="2628" ht="14.25" customHeight="1" s="40">
      <c r="A2628" s="24" t="n"/>
      <c r="B2628" s="29" t="n"/>
      <c r="C2628" s="28" t="n"/>
      <c r="D2628" s="22">
        <f t="array" ref="D2628">IF($C2628="","",IFERROR(INDEX(DATA_MASTER!$C$2:$C$5000,MATCH($C2628,DATA_MASTER!$D$2:$D$5000,0)),""))</f>
        <v/>
      </c>
      <c r="E2628" s="22">
        <f t="array" ref="E2628">IF($C2628="","",IFERROR(INDEX(DATA_MASTER!$I$2:$I$5000,MATCH($C2628,DATA_MASTER!$D$2:$D$5000,0)),""))</f>
        <v/>
      </c>
      <c r="F2628" s="22">
        <f t="array" ref="F2628">IF($C2628="","",IFERROR(INDEX(DATA_MASTER!$L$2:$L$5000,MATCH($C2628,DATA_MASTER!$D$2:$D$5000,0)),""))</f>
        <v/>
      </c>
      <c r="G2628" s="24" t="n"/>
      <c r="H2628" s="24" t="n"/>
      <c r="I2628" s="30" t="n"/>
      <c r="J2628" s="23">
        <f>IF(OR($H2628="",$I2628=""),"",$H2628*$I2628)</f>
        <v/>
      </c>
      <c r="K2628" s="24" t="n"/>
      <c r="L2628" s="24" t="n"/>
      <c r="M2628" s="29" t="n"/>
      <c r="N2628" s="28" t="n"/>
      <c r="O2628" s="24" t="n"/>
      <c r="P2628" s="24" t="n"/>
      <c r="Q2628" s="24" t="n"/>
      <c r="R2628" s="24" t="n"/>
      <c r="S2628" s="22">
        <f>IF(AND($A2628="",$C2628=""),"",IF($A2628="","Thiếu mã đơn; ","")&amp;IF(COUNTIF($A$2:$A2628,$A2628)&gt;1,"Trùng mã đơn; ","")&amp;IF(ISNA(MATCH($C2628,DATA_MASTER!$D$2:$D$5000,0)),"SĐT chưa đăng ký hội viên; ","")&amp;IF(AND($L2628="Đã chuyển khoản",$M2628=""),"Thiếu ngày nhận CK; ",""))</f>
        <v/>
      </c>
      <c r="T2628" s="24" t="n"/>
    </row>
    <row r="2629" ht="14.25" customHeight="1" s="40">
      <c r="A2629" s="24" t="n"/>
      <c r="B2629" s="29" t="n"/>
      <c r="C2629" s="28" t="n"/>
      <c r="D2629" s="22">
        <f t="array" ref="D2629">IF($C2629="","",IFERROR(INDEX(DATA_MASTER!$C$2:$C$5000,MATCH($C2629,DATA_MASTER!$D$2:$D$5000,0)),""))</f>
        <v/>
      </c>
      <c r="E2629" s="22">
        <f t="array" ref="E2629">IF($C2629="","",IFERROR(INDEX(DATA_MASTER!$I$2:$I$5000,MATCH($C2629,DATA_MASTER!$D$2:$D$5000,0)),""))</f>
        <v/>
      </c>
      <c r="F2629" s="22">
        <f t="array" ref="F2629">IF($C2629="","",IFERROR(INDEX(DATA_MASTER!$L$2:$L$5000,MATCH($C2629,DATA_MASTER!$D$2:$D$5000,0)),""))</f>
        <v/>
      </c>
      <c r="G2629" s="24" t="n"/>
      <c r="H2629" s="24" t="n"/>
      <c r="I2629" s="30" t="n"/>
      <c r="J2629" s="23">
        <f>IF(OR($H2629="",$I2629=""),"",$H2629*$I2629)</f>
        <v/>
      </c>
      <c r="K2629" s="24" t="n"/>
      <c r="L2629" s="24" t="n"/>
      <c r="M2629" s="29" t="n"/>
      <c r="N2629" s="28" t="n"/>
      <c r="O2629" s="24" t="n"/>
      <c r="P2629" s="24" t="n"/>
      <c r="Q2629" s="24" t="n"/>
      <c r="R2629" s="24" t="n"/>
      <c r="S2629" s="22">
        <f>IF(AND($A2629="",$C2629=""),"",IF($A2629="","Thiếu mã đơn; ","")&amp;IF(COUNTIF($A$2:$A2629,$A2629)&gt;1,"Trùng mã đơn; ","")&amp;IF(ISNA(MATCH($C2629,DATA_MASTER!$D$2:$D$5000,0)),"SĐT chưa đăng ký hội viên; ","")&amp;IF(AND($L2629="Đã chuyển khoản",$M2629=""),"Thiếu ngày nhận CK; ",""))</f>
        <v/>
      </c>
      <c r="T2629" s="24" t="n"/>
    </row>
    <row r="2630" ht="14.25" customHeight="1" s="40">
      <c r="A2630" s="24" t="n"/>
      <c r="B2630" s="29" t="n"/>
      <c r="C2630" s="28" t="n"/>
      <c r="D2630" s="22">
        <f t="array" ref="D2630">IF($C2630="","",IFERROR(INDEX(DATA_MASTER!$C$2:$C$5000,MATCH($C2630,DATA_MASTER!$D$2:$D$5000,0)),""))</f>
        <v/>
      </c>
      <c r="E2630" s="22">
        <f t="array" ref="E2630">IF($C2630="","",IFERROR(INDEX(DATA_MASTER!$I$2:$I$5000,MATCH($C2630,DATA_MASTER!$D$2:$D$5000,0)),""))</f>
        <v/>
      </c>
      <c r="F2630" s="22">
        <f t="array" ref="F2630">IF($C2630="","",IFERROR(INDEX(DATA_MASTER!$L$2:$L$5000,MATCH($C2630,DATA_MASTER!$D$2:$D$5000,0)),""))</f>
        <v/>
      </c>
      <c r="G2630" s="24" t="n"/>
      <c r="H2630" s="24" t="n"/>
      <c r="I2630" s="30" t="n"/>
      <c r="J2630" s="23">
        <f>IF(OR($H2630="",$I2630=""),"",$H2630*$I2630)</f>
        <v/>
      </c>
      <c r="K2630" s="24" t="n"/>
      <c r="L2630" s="24" t="n"/>
      <c r="M2630" s="29" t="n"/>
      <c r="N2630" s="28" t="n"/>
      <c r="O2630" s="24" t="n"/>
      <c r="P2630" s="24" t="n"/>
      <c r="Q2630" s="24" t="n"/>
      <c r="R2630" s="24" t="n"/>
      <c r="S2630" s="22">
        <f>IF(AND($A2630="",$C2630=""),"",IF($A2630="","Thiếu mã đơn; ","")&amp;IF(COUNTIF($A$2:$A2630,$A2630)&gt;1,"Trùng mã đơn; ","")&amp;IF(ISNA(MATCH($C2630,DATA_MASTER!$D$2:$D$5000,0)),"SĐT chưa đăng ký hội viên; ","")&amp;IF(AND($L2630="Đã chuyển khoản",$M2630=""),"Thiếu ngày nhận CK; ",""))</f>
        <v/>
      </c>
      <c r="T2630" s="24" t="n"/>
    </row>
    <row r="2631" ht="14.25" customHeight="1" s="40">
      <c r="A2631" s="24" t="n"/>
      <c r="B2631" s="29" t="n"/>
      <c r="C2631" s="28" t="n"/>
      <c r="D2631" s="22">
        <f t="array" ref="D2631">IF($C2631="","",IFERROR(INDEX(DATA_MASTER!$C$2:$C$5000,MATCH($C2631,DATA_MASTER!$D$2:$D$5000,0)),""))</f>
        <v/>
      </c>
      <c r="E2631" s="22">
        <f t="array" ref="E2631">IF($C2631="","",IFERROR(INDEX(DATA_MASTER!$I$2:$I$5000,MATCH($C2631,DATA_MASTER!$D$2:$D$5000,0)),""))</f>
        <v/>
      </c>
      <c r="F2631" s="22">
        <f t="array" ref="F2631">IF($C2631="","",IFERROR(INDEX(DATA_MASTER!$L$2:$L$5000,MATCH($C2631,DATA_MASTER!$D$2:$D$5000,0)),""))</f>
        <v/>
      </c>
      <c r="G2631" s="24" t="n"/>
      <c r="H2631" s="24" t="n"/>
      <c r="I2631" s="30" t="n"/>
      <c r="J2631" s="23">
        <f>IF(OR($H2631="",$I2631=""),"",$H2631*$I2631)</f>
        <v/>
      </c>
      <c r="K2631" s="24" t="n"/>
      <c r="L2631" s="24" t="n"/>
      <c r="M2631" s="29" t="n"/>
      <c r="N2631" s="28" t="n"/>
      <c r="O2631" s="24" t="n"/>
      <c r="P2631" s="24" t="n"/>
      <c r="Q2631" s="24" t="n"/>
      <c r="R2631" s="24" t="n"/>
      <c r="S2631" s="22">
        <f>IF(AND($A2631="",$C2631=""),"",IF($A2631="","Thiếu mã đơn; ","")&amp;IF(COUNTIF($A$2:$A2631,$A2631)&gt;1,"Trùng mã đơn; ","")&amp;IF(ISNA(MATCH($C2631,DATA_MASTER!$D$2:$D$5000,0)),"SĐT chưa đăng ký hội viên; ","")&amp;IF(AND($L2631="Đã chuyển khoản",$M2631=""),"Thiếu ngày nhận CK; ",""))</f>
        <v/>
      </c>
      <c r="T2631" s="24" t="n"/>
    </row>
    <row r="2632" ht="14.25" customHeight="1" s="40">
      <c r="A2632" s="24" t="n"/>
      <c r="B2632" s="29" t="n"/>
      <c r="C2632" s="28" t="n"/>
      <c r="D2632" s="22">
        <f t="array" ref="D2632">IF($C2632="","",IFERROR(INDEX(DATA_MASTER!$C$2:$C$5000,MATCH($C2632,DATA_MASTER!$D$2:$D$5000,0)),""))</f>
        <v/>
      </c>
      <c r="E2632" s="22">
        <f t="array" ref="E2632">IF($C2632="","",IFERROR(INDEX(DATA_MASTER!$I$2:$I$5000,MATCH($C2632,DATA_MASTER!$D$2:$D$5000,0)),""))</f>
        <v/>
      </c>
      <c r="F2632" s="22">
        <f t="array" ref="F2632">IF($C2632="","",IFERROR(INDEX(DATA_MASTER!$L$2:$L$5000,MATCH($C2632,DATA_MASTER!$D$2:$D$5000,0)),""))</f>
        <v/>
      </c>
      <c r="G2632" s="24" t="n"/>
      <c r="H2632" s="24" t="n"/>
      <c r="I2632" s="30" t="n"/>
      <c r="J2632" s="23">
        <f>IF(OR($H2632="",$I2632=""),"",$H2632*$I2632)</f>
        <v/>
      </c>
      <c r="K2632" s="24" t="n"/>
      <c r="L2632" s="24" t="n"/>
      <c r="M2632" s="29" t="n"/>
      <c r="N2632" s="28" t="n"/>
      <c r="O2632" s="24" t="n"/>
      <c r="P2632" s="24" t="n"/>
      <c r="Q2632" s="24" t="n"/>
      <c r="R2632" s="24" t="n"/>
      <c r="S2632" s="22">
        <f>IF(AND($A2632="",$C2632=""),"",IF($A2632="","Thiếu mã đơn; ","")&amp;IF(COUNTIF($A$2:$A2632,$A2632)&gt;1,"Trùng mã đơn; ","")&amp;IF(ISNA(MATCH($C2632,DATA_MASTER!$D$2:$D$5000,0)),"SĐT chưa đăng ký hội viên; ","")&amp;IF(AND($L2632="Đã chuyển khoản",$M2632=""),"Thiếu ngày nhận CK; ",""))</f>
        <v/>
      </c>
      <c r="T2632" s="24" t="n"/>
    </row>
    <row r="2633" ht="14.25" customHeight="1" s="40">
      <c r="A2633" s="24" t="n"/>
      <c r="B2633" s="29" t="n"/>
      <c r="C2633" s="28" t="n"/>
      <c r="D2633" s="22">
        <f t="array" ref="D2633">IF($C2633="","",IFERROR(INDEX(DATA_MASTER!$C$2:$C$5000,MATCH($C2633,DATA_MASTER!$D$2:$D$5000,0)),""))</f>
        <v/>
      </c>
      <c r="E2633" s="22">
        <f t="array" ref="E2633">IF($C2633="","",IFERROR(INDEX(DATA_MASTER!$I$2:$I$5000,MATCH($C2633,DATA_MASTER!$D$2:$D$5000,0)),""))</f>
        <v/>
      </c>
      <c r="F2633" s="22">
        <f t="array" ref="F2633">IF($C2633="","",IFERROR(INDEX(DATA_MASTER!$L$2:$L$5000,MATCH($C2633,DATA_MASTER!$D$2:$D$5000,0)),""))</f>
        <v/>
      </c>
      <c r="G2633" s="24" t="n"/>
      <c r="H2633" s="24" t="n"/>
      <c r="I2633" s="30" t="n"/>
      <c r="J2633" s="23">
        <f>IF(OR($H2633="",$I2633=""),"",$H2633*$I2633)</f>
        <v/>
      </c>
      <c r="K2633" s="24" t="n"/>
      <c r="L2633" s="24" t="n"/>
      <c r="M2633" s="29" t="n"/>
      <c r="N2633" s="28" t="n"/>
      <c r="O2633" s="24" t="n"/>
      <c r="P2633" s="24" t="n"/>
      <c r="Q2633" s="24" t="n"/>
      <c r="R2633" s="24" t="n"/>
      <c r="S2633" s="22">
        <f>IF(AND($A2633="",$C2633=""),"",IF($A2633="","Thiếu mã đơn; ","")&amp;IF(COUNTIF($A$2:$A2633,$A2633)&gt;1,"Trùng mã đơn; ","")&amp;IF(ISNA(MATCH($C2633,DATA_MASTER!$D$2:$D$5000,0)),"SĐT chưa đăng ký hội viên; ","")&amp;IF(AND($L2633="Đã chuyển khoản",$M2633=""),"Thiếu ngày nhận CK; ",""))</f>
        <v/>
      </c>
      <c r="T2633" s="24" t="n"/>
    </row>
    <row r="2634" ht="14.25" customHeight="1" s="40">
      <c r="A2634" s="24" t="n"/>
      <c r="B2634" s="29" t="n"/>
      <c r="C2634" s="28" t="n"/>
      <c r="D2634" s="22">
        <f t="array" ref="D2634">IF($C2634="","",IFERROR(INDEX(DATA_MASTER!$C$2:$C$5000,MATCH($C2634,DATA_MASTER!$D$2:$D$5000,0)),""))</f>
        <v/>
      </c>
      <c r="E2634" s="22">
        <f t="array" ref="E2634">IF($C2634="","",IFERROR(INDEX(DATA_MASTER!$I$2:$I$5000,MATCH($C2634,DATA_MASTER!$D$2:$D$5000,0)),""))</f>
        <v/>
      </c>
      <c r="F2634" s="22">
        <f t="array" ref="F2634">IF($C2634="","",IFERROR(INDEX(DATA_MASTER!$L$2:$L$5000,MATCH($C2634,DATA_MASTER!$D$2:$D$5000,0)),""))</f>
        <v/>
      </c>
      <c r="G2634" s="24" t="n"/>
      <c r="H2634" s="24" t="n"/>
      <c r="I2634" s="30" t="n"/>
      <c r="J2634" s="23">
        <f>IF(OR($H2634="",$I2634=""),"",$H2634*$I2634)</f>
        <v/>
      </c>
      <c r="K2634" s="24" t="n"/>
      <c r="L2634" s="24" t="n"/>
      <c r="M2634" s="29" t="n"/>
      <c r="N2634" s="28" t="n"/>
      <c r="O2634" s="24" t="n"/>
      <c r="P2634" s="24" t="n"/>
      <c r="Q2634" s="24" t="n"/>
      <c r="R2634" s="24" t="n"/>
      <c r="S2634" s="22">
        <f>IF(AND($A2634="",$C2634=""),"",IF($A2634="","Thiếu mã đơn; ","")&amp;IF(COUNTIF($A$2:$A2634,$A2634)&gt;1,"Trùng mã đơn; ","")&amp;IF(ISNA(MATCH($C2634,DATA_MASTER!$D$2:$D$5000,0)),"SĐT chưa đăng ký hội viên; ","")&amp;IF(AND($L2634="Đã chuyển khoản",$M2634=""),"Thiếu ngày nhận CK; ",""))</f>
        <v/>
      </c>
      <c r="T2634" s="24" t="n"/>
    </row>
    <row r="2635" ht="14.25" customHeight="1" s="40">
      <c r="A2635" s="24" t="n"/>
      <c r="B2635" s="29" t="n"/>
      <c r="C2635" s="28" t="n"/>
      <c r="D2635" s="22">
        <f t="array" ref="D2635">IF($C2635="","",IFERROR(INDEX(DATA_MASTER!$C$2:$C$5000,MATCH($C2635,DATA_MASTER!$D$2:$D$5000,0)),""))</f>
        <v/>
      </c>
      <c r="E2635" s="22">
        <f t="array" ref="E2635">IF($C2635="","",IFERROR(INDEX(DATA_MASTER!$I$2:$I$5000,MATCH($C2635,DATA_MASTER!$D$2:$D$5000,0)),""))</f>
        <v/>
      </c>
      <c r="F2635" s="22">
        <f t="array" ref="F2635">IF($C2635="","",IFERROR(INDEX(DATA_MASTER!$L$2:$L$5000,MATCH($C2635,DATA_MASTER!$D$2:$D$5000,0)),""))</f>
        <v/>
      </c>
      <c r="G2635" s="24" t="n"/>
      <c r="H2635" s="24" t="n"/>
      <c r="I2635" s="30" t="n"/>
      <c r="J2635" s="23">
        <f>IF(OR($H2635="",$I2635=""),"",$H2635*$I2635)</f>
        <v/>
      </c>
      <c r="K2635" s="24" t="n"/>
      <c r="L2635" s="24" t="n"/>
      <c r="M2635" s="29" t="n"/>
      <c r="N2635" s="28" t="n"/>
      <c r="O2635" s="24" t="n"/>
      <c r="P2635" s="24" t="n"/>
      <c r="Q2635" s="24" t="n"/>
      <c r="R2635" s="24" t="n"/>
      <c r="S2635" s="22">
        <f>IF(AND($A2635="",$C2635=""),"",IF($A2635="","Thiếu mã đơn; ","")&amp;IF(COUNTIF($A$2:$A2635,$A2635)&gt;1,"Trùng mã đơn; ","")&amp;IF(ISNA(MATCH($C2635,DATA_MASTER!$D$2:$D$5000,0)),"SĐT chưa đăng ký hội viên; ","")&amp;IF(AND($L2635="Đã chuyển khoản",$M2635=""),"Thiếu ngày nhận CK; ",""))</f>
        <v/>
      </c>
      <c r="T2635" s="24" t="n"/>
    </row>
    <row r="2636" ht="14.25" customHeight="1" s="40">
      <c r="A2636" s="24" t="n"/>
      <c r="B2636" s="29" t="n"/>
      <c r="C2636" s="28" t="n"/>
      <c r="D2636" s="22">
        <f t="array" ref="D2636">IF($C2636="","",IFERROR(INDEX(DATA_MASTER!$C$2:$C$5000,MATCH($C2636,DATA_MASTER!$D$2:$D$5000,0)),""))</f>
        <v/>
      </c>
      <c r="E2636" s="22">
        <f t="array" ref="E2636">IF($C2636="","",IFERROR(INDEX(DATA_MASTER!$I$2:$I$5000,MATCH($C2636,DATA_MASTER!$D$2:$D$5000,0)),""))</f>
        <v/>
      </c>
      <c r="F2636" s="22">
        <f t="array" ref="F2636">IF($C2636="","",IFERROR(INDEX(DATA_MASTER!$L$2:$L$5000,MATCH($C2636,DATA_MASTER!$D$2:$D$5000,0)),""))</f>
        <v/>
      </c>
      <c r="G2636" s="24" t="n"/>
      <c r="H2636" s="24" t="n"/>
      <c r="I2636" s="30" t="n"/>
      <c r="J2636" s="23">
        <f>IF(OR($H2636="",$I2636=""),"",$H2636*$I2636)</f>
        <v/>
      </c>
      <c r="K2636" s="24" t="n"/>
      <c r="L2636" s="24" t="n"/>
      <c r="M2636" s="29" t="n"/>
      <c r="N2636" s="28" t="n"/>
      <c r="O2636" s="24" t="n"/>
      <c r="P2636" s="24" t="n"/>
      <c r="Q2636" s="24" t="n"/>
      <c r="R2636" s="24" t="n"/>
      <c r="S2636" s="22">
        <f>IF(AND($A2636="",$C2636=""),"",IF($A2636="","Thiếu mã đơn; ","")&amp;IF(COUNTIF($A$2:$A2636,$A2636)&gt;1,"Trùng mã đơn; ","")&amp;IF(ISNA(MATCH($C2636,DATA_MASTER!$D$2:$D$5000,0)),"SĐT chưa đăng ký hội viên; ","")&amp;IF(AND($L2636="Đã chuyển khoản",$M2636=""),"Thiếu ngày nhận CK; ",""))</f>
        <v/>
      </c>
      <c r="T2636" s="24" t="n"/>
    </row>
    <row r="2637" ht="14.25" customHeight="1" s="40">
      <c r="A2637" s="24" t="n"/>
      <c r="B2637" s="29" t="n"/>
      <c r="C2637" s="28" t="n"/>
      <c r="D2637" s="22">
        <f t="array" ref="D2637">IF($C2637="","",IFERROR(INDEX(DATA_MASTER!$C$2:$C$5000,MATCH($C2637,DATA_MASTER!$D$2:$D$5000,0)),""))</f>
        <v/>
      </c>
      <c r="E2637" s="22">
        <f t="array" ref="E2637">IF($C2637="","",IFERROR(INDEX(DATA_MASTER!$I$2:$I$5000,MATCH($C2637,DATA_MASTER!$D$2:$D$5000,0)),""))</f>
        <v/>
      </c>
      <c r="F2637" s="22">
        <f t="array" ref="F2637">IF($C2637="","",IFERROR(INDEX(DATA_MASTER!$L$2:$L$5000,MATCH($C2637,DATA_MASTER!$D$2:$D$5000,0)),""))</f>
        <v/>
      </c>
      <c r="G2637" s="24" t="n"/>
      <c r="H2637" s="24" t="n"/>
      <c r="I2637" s="30" t="n"/>
      <c r="J2637" s="23">
        <f>IF(OR($H2637="",$I2637=""),"",$H2637*$I2637)</f>
        <v/>
      </c>
      <c r="K2637" s="24" t="n"/>
      <c r="L2637" s="24" t="n"/>
      <c r="M2637" s="29" t="n"/>
      <c r="N2637" s="28" t="n"/>
      <c r="O2637" s="24" t="n"/>
      <c r="P2637" s="24" t="n"/>
      <c r="Q2637" s="24" t="n"/>
      <c r="R2637" s="24" t="n"/>
      <c r="S2637" s="22">
        <f>IF(AND($A2637="",$C2637=""),"",IF($A2637="","Thiếu mã đơn; ","")&amp;IF(COUNTIF($A$2:$A2637,$A2637)&gt;1,"Trùng mã đơn; ","")&amp;IF(ISNA(MATCH($C2637,DATA_MASTER!$D$2:$D$5000,0)),"SĐT chưa đăng ký hội viên; ","")&amp;IF(AND($L2637="Đã chuyển khoản",$M2637=""),"Thiếu ngày nhận CK; ",""))</f>
        <v/>
      </c>
      <c r="T2637" s="24" t="n"/>
    </row>
    <row r="2638" ht="14.25" customHeight="1" s="40">
      <c r="A2638" s="24" t="n"/>
      <c r="B2638" s="29" t="n"/>
      <c r="C2638" s="28" t="n"/>
      <c r="D2638" s="22">
        <f t="array" ref="D2638">IF($C2638="","",IFERROR(INDEX(DATA_MASTER!$C$2:$C$5000,MATCH($C2638,DATA_MASTER!$D$2:$D$5000,0)),""))</f>
        <v/>
      </c>
      <c r="E2638" s="22">
        <f t="array" ref="E2638">IF($C2638="","",IFERROR(INDEX(DATA_MASTER!$I$2:$I$5000,MATCH($C2638,DATA_MASTER!$D$2:$D$5000,0)),""))</f>
        <v/>
      </c>
      <c r="F2638" s="22">
        <f t="array" ref="F2638">IF($C2638="","",IFERROR(INDEX(DATA_MASTER!$L$2:$L$5000,MATCH($C2638,DATA_MASTER!$D$2:$D$5000,0)),""))</f>
        <v/>
      </c>
      <c r="G2638" s="24" t="n"/>
      <c r="H2638" s="24" t="n"/>
      <c r="I2638" s="30" t="n"/>
      <c r="J2638" s="23">
        <f>IF(OR($H2638="",$I2638=""),"",$H2638*$I2638)</f>
        <v/>
      </c>
      <c r="K2638" s="24" t="n"/>
      <c r="L2638" s="24" t="n"/>
      <c r="M2638" s="29" t="n"/>
      <c r="N2638" s="28" t="n"/>
      <c r="O2638" s="24" t="n"/>
      <c r="P2638" s="24" t="n"/>
      <c r="Q2638" s="24" t="n"/>
      <c r="R2638" s="24" t="n"/>
      <c r="S2638" s="22">
        <f>IF(AND($A2638="",$C2638=""),"",IF($A2638="","Thiếu mã đơn; ","")&amp;IF(COUNTIF($A$2:$A2638,$A2638)&gt;1,"Trùng mã đơn; ","")&amp;IF(ISNA(MATCH($C2638,DATA_MASTER!$D$2:$D$5000,0)),"SĐT chưa đăng ký hội viên; ","")&amp;IF(AND($L2638="Đã chuyển khoản",$M2638=""),"Thiếu ngày nhận CK; ",""))</f>
        <v/>
      </c>
      <c r="T2638" s="24" t="n"/>
    </row>
    <row r="2639" ht="14.25" customHeight="1" s="40">
      <c r="A2639" s="24" t="n"/>
      <c r="B2639" s="29" t="n"/>
      <c r="C2639" s="28" t="n"/>
      <c r="D2639" s="22">
        <f t="array" ref="D2639">IF($C2639="","",IFERROR(INDEX(DATA_MASTER!$C$2:$C$5000,MATCH($C2639,DATA_MASTER!$D$2:$D$5000,0)),""))</f>
        <v/>
      </c>
      <c r="E2639" s="22">
        <f t="array" ref="E2639">IF($C2639="","",IFERROR(INDEX(DATA_MASTER!$I$2:$I$5000,MATCH($C2639,DATA_MASTER!$D$2:$D$5000,0)),""))</f>
        <v/>
      </c>
      <c r="F2639" s="22">
        <f t="array" ref="F2639">IF($C2639="","",IFERROR(INDEX(DATA_MASTER!$L$2:$L$5000,MATCH($C2639,DATA_MASTER!$D$2:$D$5000,0)),""))</f>
        <v/>
      </c>
      <c r="G2639" s="24" t="n"/>
      <c r="H2639" s="24" t="n"/>
      <c r="I2639" s="30" t="n"/>
      <c r="J2639" s="23">
        <f>IF(OR($H2639="",$I2639=""),"",$H2639*$I2639)</f>
        <v/>
      </c>
      <c r="K2639" s="24" t="n"/>
      <c r="L2639" s="24" t="n"/>
      <c r="M2639" s="29" t="n"/>
      <c r="N2639" s="28" t="n"/>
      <c r="O2639" s="24" t="n"/>
      <c r="P2639" s="24" t="n"/>
      <c r="Q2639" s="24" t="n"/>
      <c r="R2639" s="24" t="n"/>
      <c r="S2639" s="22">
        <f>IF(AND($A2639="",$C2639=""),"",IF($A2639="","Thiếu mã đơn; ","")&amp;IF(COUNTIF($A$2:$A2639,$A2639)&gt;1,"Trùng mã đơn; ","")&amp;IF(ISNA(MATCH($C2639,DATA_MASTER!$D$2:$D$5000,0)),"SĐT chưa đăng ký hội viên; ","")&amp;IF(AND($L2639="Đã chuyển khoản",$M2639=""),"Thiếu ngày nhận CK; ",""))</f>
        <v/>
      </c>
      <c r="T2639" s="24" t="n"/>
    </row>
    <row r="2640" ht="14.25" customHeight="1" s="40">
      <c r="A2640" s="24" t="n"/>
      <c r="B2640" s="29" t="n"/>
      <c r="C2640" s="28" t="n"/>
      <c r="D2640" s="22">
        <f t="array" ref="D2640">IF($C2640="","",IFERROR(INDEX(DATA_MASTER!$C$2:$C$5000,MATCH($C2640,DATA_MASTER!$D$2:$D$5000,0)),""))</f>
        <v/>
      </c>
      <c r="E2640" s="22">
        <f t="array" ref="E2640">IF($C2640="","",IFERROR(INDEX(DATA_MASTER!$I$2:$I$5000,MATCH($C2640,DATA_MASTER!$D$2:$D$5000,0)),""))</f>
        <v/>
      </c>
      <c r="F2640" s="22">
        <f t="array" ref="F2640">IF($C2640="","",IFERROR(INDEX(DATA_MASTER!$L$2:$L$5000,MATCH($C2640,DATA_MASTER!$D$2:$D$5000,0)),""))</f>
        <v/>
      </c>
      <c r="G2640" s="24" t="n"/>
      <c r="H2640" s="24" t="n"/>
      <c r="I2640" s="30" t="n"/>
      <c r="J2640" s="23">
        <f>IF(OR($H2640="",$I2640=""),"",$H2640*$I2640)</f>
        <v/>
      </c>
      <c r="K2640" s="24" t="n"/>
      <c r="L2640" s="24" t="n"/>
      <c r="M2640" s="29" t="n"/>
      <c r="N2640" s="28" t="n"/>
      <c r="O2640" s="24" t="n"/>
      <c r="P2640" s="24" t="n"/>
      <c r="Q2640" s="24" t="n"/>
      <c r="R2640" s="24" t="n"/>
      <c r="S2640" s="22">
        <f>IF(AND($A2640="",$C2640=""),"",IF($A2640="","Thiếu mã đơn; ","")&amp;IF(COUNTIF($A$2:$A2640,$A2640)&gt;1,"Trùng mã đơn; ","")&amp;IF(ISNA(MATCH($C2640,DATA_MASTER!$D$2:$D$5000,0)),"SĐT chưa đăng ký hội viên; ","")&amp;IF(AND($L2640="Đã chuyển khoản",$M2640=""),"Thiếu ngày nhận CK; ",""))</f>
        <v/>
      </c>
      <c r="T2640" s="24" t="n"/>
    </row>
    <row r="2641" ht="14.25" customHeight="1" s="40">
      <c r="A2641" s="24" t="n"/>
      <c r="B2641" s="29" t="n"/>
      <c r="C2641" s="28" t="n"/>
      <c r="D2641" s="22">
        <f t="array" ref="D2641">IF($C2641="","",IFERROR(INDEX(DATA_MASTER!$C$2:$C$5000,MATCH($C2641,DATA_MASTER!$D$2:$D$5000,0)),""))</f>
        <v/>
      </c>
      <c r="E2641" s="22">
        <f t="array" ref="E2641">IF($C2641="","",IFERROR(INDEX(DATA_MASTER!$I$2:$I$5000,MATCH($C2641,DATA_MASTER!$D$2:$D$5000,0)),""))</f>
        <v/>
      </c>
      <c r="F2641" s="22">
        <f t="array" ref="F2641">IF($C2641="","",IFERROR(INDEX(DATA_MASTER!$L$2:$L$5000,MATCH($C2641,DATA_MASTER!$D$2:$D$5000,0)),""))</f>
        <v/>
      </c>
      <c r="G2641" s="24" t="n"/>
      <c r="H2641" s="24" t="n"/>
      <c r="I2641" s="30" t="n"/>
      <c r="J2641" s="23">
        <f>IF(OR($H2641="",$I2641=""),"",$H2641*$I2641)</f>
        <v/>
      </c>
      <c r="K2641" s="24" t="n"/>
      <c r="L2641" s="24" t="n"/>
      <c r="M2641" s="29" t="n"/>
      <c r="N2641" s="28" t="n"/>
      <c r="O2641" s="24" t="n"/>
      <c r="P2641" s="24" t="n"/>
      <c r="Q2641" s="24" t="n"/>
      <c r="R2641" s="24" t="n"/>
      <c r="S2641" s="22">
        <f>IF(AND($A2641="",$C2641=""),"",IF($A2641="","Thiếu mã đơn; ","")&amp;IF(COUNTIF($A$2:$A2641,$A2641)&gt;1,"Trùng mã đơn; ","")&amp;IF(ISNA(MATCH($C2641,DATA_MASTER!$D$2:$D$5000,0)),"SĐT chưa đăng ký hội viên; ","")&amp;IF(AND($L2641="Đã chuyển khoản",$M2641=""),"Thiếu ngày nhận CK; ",""))</f>
        <v/>
      </c>
      <c r="T2641" s="24" t="n"/>
    </row>
    <row r="2642" ht="14.25" customHeight="1" s="40">
      <c r="A2642" s="24" t="n"/>
      <c r="B2642" s="29" t="n"/>
      <c r="C2642" s="28" t="n"/>
      <c r="D2642" s="22">
        <f t="array" ref="D2642">IF($C2642="","",IFERROR(INDEX(DATA_MASTER!$C$2:$C$5000,MATCH($C2642,DATA_MASTER!$D$2:$D$5000,0)),""))</f>
        <v/>
      </c>
      <c r="E2642" s="22">
        <f t="array" ref="E2642">IF($C2642="","",IFERROR(INDEX(DATA_MASTER!$I$2:$I$5000,MATCH($C2642,DATA_MASTER!$D$2:$D$5000,0)),""))</f>
        <v/>
      </c>
      <c r="F2642" s="22">
        <f t="array" ref="F2642">IF($C2642="","",IFERROR(INDEX(DATA_MASTER!$L$2:$L$5000,MATCH($C2642,DATA_MASTER!$D$2:$D$5000,0)),""))</f>
        <v/>
      </c>
      <c r="G2642" s="24" t="n"/>
      <c r="H2642" s="24" t="n"/>
      <c r="I2642" s="30" t="n"/>
      <c r="J2642" s="23">
        <f>IF(OR($H2642="",$I2642=""),"",$H2642*$I2642)</f>
        <v/>
      </c>
      <c r="K2642" s="24" t="n"/>
      <c r="L2642" s="24" t="n"/>
      <c r="M2642" s="29" t="n"/>
      <c r="N2642" s="28" t="n"/>
      <c r="O2642" s="24" t="n"/>
      <c r="P2642" s="24" t="n"/>
      <c r="Q2642" s="24" t="n"/>
      <c r="R2642" s="24" t="n"/>
      <c r="S2642" s="22">
        <f>IF(AND($A2642="",$C2642=""),"",IF($A2642="","Thiếu mã đơn; ","")&amp;IF(COUNTIF($A$2:$A2642,$A2642)&gt;1,"Trùng mã đơn; ","")&amp;IF(ISNA(MATCH($C2642,DATA_MASTER!$D$2:$D$5000,0)),"SĐT chưa đăng ký hội viên; ","")&amp;IF(AND($L2642="Đã chuyển khoản",$M2642=""),"Thiếu ngày nhận CK; ",""))</f>
        <v/>
      </c>
      <c r="T2642" s="24" t="n"/>
    </row>
    <row r="2643" ht="14.25" customHeight="1" s="40">
      <c r="A2643" s="24" t="n"/>
      <c r="B2643" s="29" t="n"/>
      <c r="C2643" s="28" t="n"/>
      <c r="D2643" s="22">
        <f t="array" ref="D2643">IF($C2643="","",IFERROR(INDEX(DATA_MASTER!$C$2:$C$5000,MATCH($C2643,DATA_MASTER!$D$2:$D$5000,0)),""))</f>
        <v/>
      </c>
      <c r="E2643" s="22">
        <f t="array" ref="E2643">IF($C2643="","",IFERROR(INDEX(DATA_MASTER!$I$2:$I$5000,MATCH($C2643,DATA_MASTER!$D$2:$D$5000,0)),""))</f>
        <v/>
      </c>
      <c r="F2643" s="22">
        <f t="array" ref="F2643">IF($C2643="","",IFERROR(INDEX(DATA_MASTER!$L$2:$L$5000,MATCH($C2643,DATA_MASTER!$D$2:$D$5000,0)),""))</f>
        <v/>
      </c>
      <c r="G2643" s="24" t="n"/>
      <c r="H2643" s="24" t="n"/>
      <c r="I2643" s="30" t="n"/>
      <c r="J2643" s="23">
        <f>IF(OR($H2643="",$I2643=""),"",$H2643*$I2643)</f>
        <v/>
      </c>
      <c r="K2643" s="24" t="n"/>
      <c r="L2643" s="24" t="n"/>
      <c r="M2643" s="29" t="n"/>
      <c r="N2643" s="28" t="n"/>
      <c r="O2643" s="24" t="n"/>
      <c r="P2643" s="24" t="n"/>
      <c r="Q2643" s="24" t="n"/>
      <c r="R2643" s="24" t="n"/>
      <c r="S2643" s="22">
        <f>IF(AND($A2643="",$C2643=""),"",IF($A2643="","Thiếu mã đơn; ","")&amp;IF(COUNTIF($A$2:$A2643,$A2643)&gt;1,"Trùng mã đơn; ","")&amp;IF(ISNA(MATCH($C2643,DATA_MASTER!$D$2:$D$5000,0)),"SĐT chưa đăng ký hội viên; ","")&amp;IF(AND($L2643="Đã chuyển khoản",$M2643=""),"Thiếu ngày nhận CK; ",""))</f>
        <v/>
      </c>
      <c r="T2643" s="24" t="n"/>
    </row>
    <row r="2644" ht="14.25" customHeight="1" s="40">
      <c r="A2644" s="24" t="n"/>
      <c r="B2644" s="29" t="n"/>
      <c r="C2644" s="28" t="n"/>
      <c r="D2644" s="22">
        <f t="array" ref="D2644">IF($C2644="","",IFERROR(INDEX(DATA_MASTER!$C$2:$C$5000,MATCH($C2644,DATA_MASTER!$D$2:$D$5000,0)),""))</f>
        <v/>
      </c>
      <c r="E2644" s="22">
        <f t="array" ref="E2644">IF($C2644="","",IFERROR(INDEX(DATA_MASTER!$I$2:$I$5000,MATCH($C2644,DATA_MASTER!$D$2:$D$5000,0)),""))</f>
        <v/>
      </c>
      <c r="F2644" s="22">
        <f t="array" ref="F2644">IF($C2644="","",IFERROR(INDEX(DATA_MASTER!$L$2:$L$5000,MATCH($C2644,DATA_MASTER!$D$2:$D$5000,0)),""))</f>
        <v/>
      </c>
      <c r="G2644" s="24" t="n"/>
      <c r="H2644" s="24" t="n"/>
      <c r="I2644" s="30" t="n"/>
      <c r="J2644" s="23">
        <f>IF(OR($H2644="",$I2644=""),"",$H2644*$I2644)</f>
        <v/>
      </c>
      <c r="K2644" s="24" t="n"/>
      <c r="L2644" s="24" t="n"/>
      <c r="M2644" s="29" t="n"/>
      <c r="N2644" s="28" t="n"/>
      <c r="O2644" s="24" t="n"/>
      <c r="P2644" s="24" t="n"/>
      <c r="Q2644" s="24" t="n"/>
      <c r="R2644" s="24" t="n"/>
      <c r="S2644" s="22">
        <f>IF(AND($A2644="",$C2644=""),"",IF($A2644="","Thiếu mã đơn; ","")&amp;IF(COUNTIF($A$2:$A2644,$A2644)&gt;1,"Trùng mã đơn; ","")&amp;IF(ISNA(MATCH($C2644,DATA_MASTER!$D$2:$D$5000,0)),"SĐT chưa đăng ký hội viên; ","")&amp;IF(AND($L2644="Đã chuyển khoản",$M2644=""),"Thiếu ngày nhận CK; ",""))</f>
        <v/>
      </c>
      <c r="T2644" s="24" t="n"/>
    </row>
    <row r="2645" ht="14.25" customHeight="1" s="40">
      <c r="A2645" s="24" t="n"/>
      <c r="B2645" s="29" t="n"/>
      <c r="C2645" s="28" t="n"/>
      <c r="D2645" s="22">
        <f t="array" ref="D2645">IF($C2645="","",IFERROR(INDEX(DATA_MASTER!$C$2:$C$5000,MATCH($C2645,DATA_MASTER!$D$2:$D$5000,0)),""))</f>
        <v/>
      </c>
      <c r="E2645" s="22">
        <f t="array" ref="E2645">IF($C2645="","",IFERROR(INDEX(DATA_MASTER!$I$2:$I$5000,MATCH($C2645,DATA_MASTER!$D$2:$D$5000,0)),""))</f>
        <v/>
      </c>
      <c r="F2645" s="22">
        <f t="array" ref="F2645">IF($C2645="","",IFERROR(INDEX(DATA_MASTER!$L$2:$L$5000,MATCH($C2645,DATA_MASTER!$D$2:$D$5000,0)),""))</f>
        <v/>
      </c>
      <c r="G2645" s="24" t="n"/>
      <c r="H2645" s="24" t="n"/>
      <c r="I2645" s="30" t="n"/>
      <c r="J2645" s="23">
        <f>IF(OR($H2645="",$I2645=""),"",$H2645*$I2645)</f>
        <v/>
      </c>
      <c r="K2645" s="24" t="n"/>
      <c r="L2645" s="24" t="n"/>
      <c r="M2645" s="29" t="n"/>
      <c r="N2645" s="28" t="n"/>
      <c r="O2645" s="24" t="n"/>
      <c r="P2645" s="24" t="n"/>
      <c r="Q2645" s="24" t="n"/>
      <c r="R2645" s="24" t="n"/>
      <c r="S2645" s="22">
        <f>IF(AND($A2645="",$C2645=""),"",IF($A2645="","Thiếu mã đơn; ","")&amp;IF(COUNTIF($A$2:$A2645,$A2645)&gt;1,"Trùng mã đơn; ","")&amp;IF(ISNA(MATCH($C2645,DATA_MASTER!$D$2:$D$5000,0)),"SĐT chưa đăng ký hội viên; ","")&amp;IF(AND($L2645="Đã chuyển khoản",$M2645=""),"Thiếu ngày nhận CK; ",""))</f>
        <v/>
      </c>
      <c r="T2645" s="24" t="n"/>
    </row>
    <row r="2646" ht="14.25" customHeight="1" s="40">
      <c r="A2646" s="24" t="n"/>
      <c r="B2646" s="29" t="n"/>
      <c r="C2646" s="28" t="n"/>
      <c r="D2646" s="22">
        <f t="array" ref="D2646">IF($C2646="","",IFERROR(INDEX(DATA_MASTER!$C$2:$C$5000,MATCH($C2646,DATA_MASTER!$D$2:$D$5000,0)),""))</f>
        <v/>
      </c>
      <c r="E2646" s="22">
        <f t="array" ref="E2646">IF($C2646="","",IFERROR(INDEX(DATA_MASTER!$I$2:$I$5000,MATCH($C2646,DATA_MASTER!$D$2:$D$5000,0)),""))</f>
        <v/>
      </c>
      <c r="F2646" s="22">
        <f t="array" ref="F2646">IF($C2646="","",IFERROR(INDEX(DATA_MASTER!$L$2:$L$5000,MATCH($C2646,DATA_MASTER!$D$2:$D$5000,0)),""))</f>
        <v/>
      </c>
      <c r="G2646" s="24" t="n"/>
      <c r="H2646" s="24" t="n"/>
      <c r="I2646" s="30" t="n"/>
      <c r="J2646" s="23">
        <f>IF(OR($H2646="",$I2646=""),"",$H2646*$I2646)</f>
        <v/>
      </c>
      <c r="K2646" s="24" t="n"/>
      <c r="L2646" s="24" t="n"/>
      <c r="M2646" s="29" t="n"/>
      <c r="N2646" s="28" t="n"/>
      <c r="O2646" s="24" t="n"/>
      <c r="P2646" s="24" t="n"/>
      <c r="Q2646" s="24" t="n"/>
      <c r="R2646" s="24" t="n"/>
      <c r="S2646" s="22">
        <f>IF(AND($A2646="",$C2646=""),"",IF($A2646="","Thiếu mã đơn; ","")&amp;IF(COUNTIF($A$2:$A2646,$A2646)&gt;1,"Trùng mã đơn; ","")&amp;IF(ISNA(MATCH($C2646,DATA_MASTER!$D$2:$D$5000,0)),"SĐT chưa đăng ký hội viên; ","")&amp;IF(AND($L2646="Đã chuyển khoản",$M2646=""),"Thiếu ngày nhận CK; ",""))</f>
        <v/>
      </c>
      <c r="T2646" s="24" t="n"/>
    </row>
    <row r="2647" ht="14.25" customHeight="1" s="40">
      <c r="A2647" s="24" t="n"/>
      <c r="B2647" s="29" t="n"/>
      <c r="C2647" s="28" t="n"/>
      <c r="D2647" s="22">
        <f t="array" ref="D2647">IF($C2647="","",IFERROR(INDEX(DATA_MASTER!$C$2:$C$5000,MATCH($C2647,DATA_MASTER!$D$2:$D$5000,0)),""))</f>
        <v/>
      </c>
      <c r="E2647" s="22">
        <f t="array" ref="E2647">IF($C2647="","",IFERROR(INDEX(DATA_MASTER!$I$2:$I$5000,MATCH($C2647,DATA_MASTER!$D$2:$D$5000,0)),""))</f>
        <v/>
      </c>
      <c r="F2647" s="22">
        <f t="array" ref="F2647">IF($C2647="","",IFERROR(INDEX(DATA_MASTER!$L$2:$L$5000,MATCH($C2647,DATA_MASTER!$D$2:$D$5000,0)),""))</f>
        <v/>
      </c>
      <c r="G2647" s="24" t="n"/>
      <c r="H2647" s="24" t="n"/>
      <c r="I2647" s="30" t="n"/>
      <c r="J2647" s="23">
        <f>IF(OR($H2647="",$I2647=""),"",$H2647*$I2647)</f>
        <v/>
      </c>
      <c r="K2647" s="24" t="n"/>
      <c r="L2647" s="24" t="n"/>
      <c r="M2647" s="29" t="n"/>
      <c r="N2647" s="28" t="n"/>
      <c r="O2647" s="24" t="n"/>
      <c r="P2647" s="24" t="n"/>
      <c r="Q2647" s="24" t="n"/>
      <c r="R2647" s="24" t="n"/>
      <c r="S2647" s="22">
        <f>IF(AND($A2647="",$C2647=""),"",IF($A2647="","Thiếu mã đơn; ","")&amp;IF(COUNTIF($A$2:$A2647,$A2647)&gt;1,"Trùng mã đơn; ","")&amp;IF(ISNA(MATCH($C2647,DATA_MASTER!$D$2:$D$5000,0)),"SĐT chưa đăng ký hội viên; ","")&amp;IF(AND($L2647="Đã chuyển khoản",$M2647=""),"Thiếu ngày nhận CK; ",""))</f>
        <v/>
      </c>
      <c r="T2647" s="24" t="n"/>
    </row>
    <row r="2648" ht="14.25" customHeight="1" s="40">
      <c r="A2648" s="24" t="n"/>
      <c r="B2648" s="29" t="n"/>
      <c r="C2648" s="28" t="n"/>
      <c r="D2648" s="22">
        <f t="array" ref="D2648">IF($C2648="","",IFERROR(INDEX(DATA_MASTER!$C$2:$C$5000,MATCH($C2648,DATA_MASTER!$D$2:$D$5000,0)),""))</f>
        <v/>
      </c>
      <c r="E2648" s="22">
        <f t="array" ref="E2648">IF($C2648="","",IFERROR(INDEX(DATA_MASTER!$I$2:$I$5000,MATCH($C2648,DATA_MASTER!$D$2:$D$5000,0)),""))</f>
        <v/>
      </c>
      <c r="F2648" s="22">
        <f t="array" ref="F2648">IF($C2648="","",IFERROR(INDEX(DATA_MASTER!$L$2:$L$5000,MATCH($C2648,DATA_MASTER!$D$2:$D$5000,0)),""))</f>
        <v/>
      </c>
      <c r="G2648" s="24" t="n"/>
      <c r="H2648" s="24" t="n"/>
      <c r="I2648" s="30" t="n"/>
      <c r="J2648" s="23">
        <f>IF(OR($H2648="",$I2648=""),"",$H2648*$I2648)</f>
        <v/>
      </c>
      <c r="K2648" s="24" t="n"/>
      <c r="L2648" s="24" t="n"/>
      <c r="M2648" s="29" t="n"/>
      <c r="N2648" s="28" t="n"/>
      <c r="O2648" s="24" t="n"/>
      <c r="P2648" s="24" t="n"/>
      <c r="Q2648" s="24" t="n"/>
      <c r="R2648" s="24" t="n"/>
      <c r="S2648" s="22">
        <f>IF(AND($A2648="",$C2648=""),"",IF($A2648="","Thiếu mã đơn; ","")&amp;IF(COUNTIF($A$2:$A2648,$A2648)&gt;1,"Trùng mã đơn; ","")&amp;IF(ISNA(MATCH($C2648,DATA_MASTER!$D$2:$D$5000,0)),"SĐT chưa đăng ký hội viên; ","")&amp;IF(AND($L2648="Đã chuyển khoản",$M2648=""),"Thiếu ngày nhận CK; ",""))</f>
        <v/>
      </c>
      <c r="T2648" s="24" t="n"/>
    </row>
    <row r="2649" ht="14.25" customHeight="1" s="40">
      <c r="A2649" s="24" t="n"/>
      <c r="B2649" s="29" t="n"/>
      <c r="C2649" s="28" t="n"/>
      <c r="D2649" s="22">
        <f t="array" ref="D2649">IF($C2649="","",IFERROR(INDEX(DATA_MASTER!$C$2:$C$5000,MATCH($C2649,DATA_MASTER!$D$2:$D$5000,0)),""))</f>
        <v/>
      </c>
      <c r="E2649" s="22">
        <f t="array" ref="E2649">IF($C2649="","",IFERROR(INDEX(DATA_MASTER!$I$2:$I$5000,MATCH($C2649,DATA_MASTER!$D$2:$D$5000,0)),""))</f>
        <v/>
      </c>
      <c r="F2649" s="22">
        <f t="array" ref="F2649">IF($C2649="","",IFERROR(INDEX(DATA_MASTER!$L$2:$L$5000,MATCH($C2649,DATA_MASTER!$D$2:$D$5000,0)),""))</f>
        <v/>
      </c>
      <c r="G2649" s="24" t="n"/>
      <c r="H2649" s="24" t="n"/>
      <c r="I2649" s="30" t="n"/>
      <c r="J2649" s="23">
        <f>IF(OR($H2649="",$I2649=""),"",$H2649*$I2649)</f>
        <v/>
      </c>
      <c r="K2649" s="24" t="n"/>
      <c r="L2649" s="24" t="n"/>
      <c r="M2649" s="29" t="n"/>
      <c r="N2649" s="28" t="n"/>
      <c r="O2649" s="24" t="n"/>
      <c r="P2649" s="24" t="n"/>
      <c r="Q2649" s="24" t="n"/>
      <c r="R2649" s="24" t="n"/>
      <c r="S2649" s="22">
        <f>IF(AND($A2649="",$C2649=""),"",IF($A2649="","Thiếu mã đơn; ","")&amp;IF(COUNTIF($A$2:$A2649,$A2649)&gt;1,"Trùng mã đơn; ","")&amp;IF(ISNA(MATCH($C2649,DATA_MASTER!$D$2:$D$5000,0)),"SĐT chưa đăng ký hội viên; ","")&amp;IF(AND($L2649="Đã chuyển khoản",$M2649=""),"Thiếu ngày nhận CK; ",""))</f>
        <v/>
      </c>
      <c r="T2649" s="24" t="n"/>
    </row>
    <row r="2650" ht="14.25" customHeight="1" s="40">
      <c r="A2650" s="24" t="n"/>
      <c r="B2650" s="29" t="n"/>
      <c r="C2650" s="28" t="n"/>
      <c r="D2650" s="22">
        <f t="array" ref="D2650">IF($C2650="","",IFERROR(INDEX(DATA_MASTER!$C$2:$C$5000,MATCH($C2650,DATA_MASTER!$D$2:$D$5000,0)),""))</f>
        <v/>
      </c>
      <c r="E2650" s="22">
        <f t="array" ref="E2650">IF($C2650="","",IFERROR(INDEX(DATA_MASTER!$I$2:$I$5000,MATCH($C2650,DATA_MASTER!$D$2:$D$5000,0)),""))</f>
        <v/>
      </c>
      <c r="F2650" s="22">
        <f t="array" ref="F2650">IF($C2650="","",IFERROR(INDEX(DATA_MASTER!$L$2:$L$5000,MATCH($C2650,DATA_MASTER!$D$2:$D$5000,0)),""))</f>
        <v/>
      </c>
      <c r="G2650" s="24" t="n"/>
      <c r="H2650" s="24" t="n"/>
      <c r="I2650" s="30" t="n"/>
      <c r="J2650" s="23">
        <f>IF(OR($H2650="",$I2650=""),"",$H2650*$I2650)</f>
        <v/>
      </c>
      <c r="K2650" s="24" t="n"/>
      <c r="L2650" s="24" t="n"/>
      <c r="M2650" s="29" t="n"/>
      <c r="N2650" s="28" t="n"/>
      <c r="O2650" s="24" t="n"/>
      <c r="P2650" s="24" t="n"/>
      <c r="Q2650" s="24" t="n"/>
      <c r="R2650" s="24" t="n"/>
      <c r="S2650" s="22">
        <f>IF(AND($A2650="",$C2650=""),"",IF($A2650="","Thiếu mã đơn; ","")&amp;IF(COUNTIF($A$2:$A2650,$A2650)&gt;1,"Trùng mã đơn; ","")&amp;IF(ISNA(MATCH($C2650,DATA_MASTER!$D$2:$D$5000,0)),"SĐT chưa đăng ký hội viên; ","")&amp;IF(AND($L2650="Đã chuyển khoản",$M2650=""),"Thiếu ngày nhận CK; ",""))</f>
        <v/>
      </c>
      <c r="T2650" s="24" t="n"/>
    </row>
    <row r="2651" ht="14.25" customHeight="1" s="40">
      <c r="A2651" s="24" t="n"/>
      <c r="B2651" s="29" t="n"/>
      <c r="C2651" s="28" t="n"/>
      <c r="D2651" s="22">
        <f t="array" ref="D2651">IF($C2651="","",IFERROR(INDEX(DATA_MASTER!$C$2:$C$5000,MATCH($C2651,DATA_MASTER!$D$2:$D$5000,0)),""))</f>
        <v/>
      </c>
      <c r="E2651" s="22">
        <f t="array" ref="E2651">IF($C2651="","",IFERROR(INDEX(DATA_MASTER!$I$2:$I$5000,MATCH($C2651,DATA_MASTER!$D$2:$D$5000,0)),""))</f>
        <v/>
      </c>
      <c r="F2651" s="22">
        <f t="array" ref="F2651">IF($C2651="","",IFERROR(INDEX(DATA_MASTER!$L$2:$L$5000,MATCH($C2651,DATA_MASTER!$D$2:$D$5000,0)),""))</f>
        <v/>
      </c>
      <c r="G2651" s="24" t="n"/>
      <c r="H2651" s="24" t="n"/>
      <c r="I2651" s="30" t="n"/>
      <c r="J2651" s="23">
        <f>IF(OR($H2651="",$I2651=""),"",$H2651*$I2651)</f>
        <v/>
      </c>
      <c r="K2651" s="24" t="n"/>
      <c r="L2651" s="24" t="n"/>
      <c r="M2651" s="29" t="n"/>
      <c r="N2651" s="28" t="n"/>
      <c r="O2651" s="24" t="n"/>
      <c r="P2651" s="24" t="n"/>
      <c r="Q2651" s="24" t="n"/>
      <c r="R2651" s="24" t="n"/>
      <c r="S2651" s="22">
        <f>IF(AND($A2651="",$C2651=""),"",IF($A2651="","Thiếu mã đơn; ","")&amp;IF(COUNTIF($A$2:$A2651,$A2651)&gt;1,"Trùng mã đơn; ","")&amp;IF(ISNA(MATCH($C2651,DATA_MASTER!$D$2:$D$5000,0)),"SĐT chưa đăng ký hội viên; ","")&amp;IF(AND($L2651="Đã chuyển khoản",$M2651=""),"Thiếu ngày nhận CK; ",""))</f>
        <v/>
      </c>
      <c r="T2651" s="24" t="n"/>
    </row>
    <row r="2652" ht="14.25" customHeight="1" s="40">
      <c r="A2652" s="24" t="n"/>
      <c r="B2652" s="29" t="n"/>
      <c r="C2652" s="28" t="n"/>
      <c r="D2652" s="22">
        <f t="array" ref="D2652">IF($C2652="","",IFERROR(INDEX(DATA_MASTER!$C$2:$C$5000,MATCH($C2652,DATA_MASTER!$D$2:$D$5000,0)),""))</f>
        <v/>
      </c>
      <c r="E2652" s="22">
        <f t="array" ref="E2652">IF($C2652="","",IFERROR(INDEX(DATA_MASTER!$I$2:$I$5000,MATCH($C2652,DATA_MASTER!$D$2:$D$5000,0)),""))</f>
        <v/>
      </c>
      <c r="F2652" s="22">
        <f t="array" ref="F2652">IF($C2652="","",IFERROR(INDEX(DATA_MASTER!$L$2:$L$5000,MATCH($C2652,DATA_MASTER!$D$2:$D$5000,0)),""))</f>
        <v/>
      </c>
      <c r="G2652" s="24" t="n"/>
      <c r="H2652" s="24" t="n"/>
      <c r="I2652" s="30" t="n"/>
      <c r="J2652" s="23">
        <f>IF(OR($H2652="",$I2652=""),"",$H2652*$I2652)</f>
        <v/>
      </c>
      <c r="K2652" s="24" t="n"/>
      <c r="L2652" s="24" t="n"/>
      <c r="M2652" s="29" t="n"/>
      <c r="N2652" s="28" t="n"/>
      <c r="O2652" s="24" t="n"/>
      <c r="P2652" s="24" t="n"/>
      <c r="Q2652" s="24" t="n"/>
      <c r="R2652" s="24" t="n"/>
      <c r="S2652" s="22">
        <f>IF(AND($A2652="",$C2652=""),"",IF($A2652="","Thiếu mã đơn; ","")&amp;IF(COUNTIF($A$2:$A2652,$A2652)&gt;1,"Trùng mã đơn; ","")&amp;IF(ISNA(MATCH($C2652,DATA_MASTER!$D$2:$D$5000,0)),"SĐT chưa đăng ký hội viên; ","")&amp;IF(AND($L2652="Đã chuyển khoản",$M2652=""),"Thiếu ngày nhận CK; ",""))</f>
        <v/>
      </c>
      <c r="T2652" s="24" t="n"/>
    </row>
    <row r="2653" ht="14.25" customHeight="1" s="40">
      <c r="A2653" s="24" t="n"/>
      <c r="B2653" s="29" t="n"/>
      <c r="C2653" s="28" t="n"/>
      <c r="D2653" s="22">
        <f t="array" ref="D2653">IF($C2653="","",IFERROR(INDEX(DATA_MASTER!$C$2:$C$5000,MATCH($C2653,DATA_MASTER!$D$2:$D$5000,0)),""))</f>
        <v/>
      </c>
      <c r="E2653" s="22">
        <f t="array" ref="E2653">IF($C2653="","",IFERROR(INDEX(DATA_MASTER!$I$2:$I$5000,MATCH($C2653,DATA_MASTER!$D$2:$D$5000,0)),""))</f>
        <v/>
      </c>
      <c r="F2653" s="22">
        <f t="array" ref="F2653">IF($C2653="","",IFERROR(INDEX(DATA_MASTER!$L$2:$L$5000,MATCH($C2653,DATA_MASTER!$D$2:$D$5000,0)),""))</f>
        <v/>
      </c>
      <c r="G2653" s="24" t="n"/>
      <c r="H2653" s="24" t="n"/>
      <c r="I2653" s="30" t="n"/>
      <c r="J2653" s="23">
        <f>IF(OR($H2653="",$I2653=""),"",$H2653*$I2653)</f>
        <v/>
      </c>
      <c r="K2653" s="24" t="n"/>
      <c r="L2653" s="24" t="n"/>
      <c r="M2653" s="29" t="n"/>
      <c r="N2653" s="28" t="n"/>
      <c r="O2653" s="24" t="n"/>
      <c r="P2653" s="24" t="n"/>
      <c r="Q2653" s="24" t="n"/>
      <c r="R2653" s="24" t="n"/>
      <c r="S2653" s="22">
        <f>IF(AND($A2653="",$C2653=""),"",IF($A2653="","Thiếu mã đơn; ","")&amp;IF(COUNTIF($A$2:$A2653,$A2653)&gt;1,"Trùng mã đơn; ","")&amp;IF(ISNA(MATCH($C2653,DATA_MASTER!$D$2:$D$5000,0)),"SĐT chưa đăng ký hội viên; ","")&amp;IF(AND($L2653="Đã chuyển khoản",$M2653=""),"Thiếu ngày nhận CK; ",""))</f>
        <v/>
      </c>
      <c r="T2653" s="24" t="n"/>
    </row>
    <row r="2654" ht="14.25" customHeight="1" s="40">
      <c r="A2654" s="24" t="n"/>
      <c r="B2654" s="29" t="n"/>
      <c r="C2654" s="28" t="n"/>
      <c r="D2654" s="22">
        <f t="array" ref="D2654">IF($C2654="","",IFERROR(INDEX(DATA_MASTER!$C$2:$C$5000,MATCH($C2654,DATA_MASTER!$D$2:$D$5000,0)),""))</f>
        <v/>
      </c>
      <c r="E2654" s="22">
        <f t="array" ref="E2654">IF($C2654="","",IFERROR(INDEX(DATA_MASTER!$I$2:$I$5000,MATCH($C2654,DATA_MASTER!$D$2:$D$5000,0)),""))</f>
        <v/>
      </c>
      <c r="F2654" s="22">
        <f t="array" ref="F2654">IF($C2654="","",IFERROR(INDEX(DATA_MASTER!$L$2:$L$5000,MATCH($C2654,DATA_MASTER!$D$2:$D$5000,0)),""))</f>
        <v/>
      </c>
      <c r="G2654" s="24" t="n"/>
      <c r="H2654" s="24" t="n"/>
      <c r="I2654" s="30" t="n"/>
      <c r="J2654" s="23">
        <f>IF(OR($H2654="",$I2654=""),"",$H2654*$I2654)</f>
        <v/>
      </c>
      <c r="K2654" s="24" t="n"/>
      <c r="L2654" s="24" t="n"/>
      <c r="M2654" s="29" t="n"/>
      <c r="N2654" s="28" t="n"/>
      <c r="O2654" s="24" t="n"/>
      <c r="P2654" s="24" t="n"/>
      <c r="Q2654" s="24" t="n"/>
      <c r="R2654" s="24" t="n"/>
      <c r="S2654" s="22">
        <f>IF(AND($A2654="",$C2654=""),"",IF($A2654="","Thiếu mã đơn; ","")&amp;IF(COUNTIF($A$2:$A2654,$A2654)&gt;1,"Trùng mã đơn; ","")&amp;IF(ISNA(MATCH($C2654,DATA_MASTER!$D$2:$D$5000,0)),"SĐT chưa đăng ký hội viên; ","")&amp;IF(AND($L2654="Đã chuyển khoản",$M2654=""),"Thiếu ngày nhận CK; ",""))</f>
        <v/>
      </c>
      <c r="T2654" s="24" t="n"/>
    </row>
    <row r="2655" ht="14.25" customHeight="1" s="40">
      <c r="A2655" s="24" t="n"/>
      <c r="B2655" s="29" t="n"/>
      <c r="C2655" s="28" t="n"/>
      <c r="D2655" s="22">
        <f t="array" ref="D2655">IF($C2655="","",IFERROR(INDEX(DATA_MASTER!$C$2:$C$5000,MATCH($C2655,DATA_MASTER!$D$2:$D$5000,0)),""))</f>
        <v/>
      </c>
      <c r="E2655" s="22">
        <f t="array" ref="E2655">IF($C2655="","",IFERROR(INDEX(DATA_MASTER!$I$2:$I$5000,MATCH($C2655,DATA_MASTER!$D$2:$D$5000,0)),""))</f>
        <v/>
      </c>
      <c r="F2655" s="22">
        <f t="array" ref="F2655">IF($C2655="","",IFERROR(INDEX(DATA_MASTER!$L$2:$L$5000,MATCH($C2655,DATA_MASTER!$D$2:$D$5000,0)),""))</f>
        <v/>
      </c>
      <c r="G2655" s="24" t="n"/>
      <c r="H2655" s="24" t="n"/>
      <c r="I2655" s="30" t="n"/>
      <c r="J2655" s="23">
        <f>IF(OR($H2655="",$I2655=""),"",$H2655*$I2655)</f>
        <v/>
      </c>
      <c r="K2655" s="24" t="n"/>
      <c r="L2655" s="24" t="n"/>
      <c r="M2655" s="29" t="n"/>
      <c r="N2655" s="28" t="n"/>
      <c r="O2655" s="24" t="n"/>
      <c r="P2655" s="24" t="n"/>
      <c r="Q2655" s="24" t="n"/>
      <c r="R2655" s="24" t="n"/>
      <c r="S2655" s="22">
        <f>IF(AND($A2655="",$C2655=""),"",IF($A2655="","Thiếu mã đơn; ","")&amp;IF(COUNTIF($A$2:$A2655,$A2655)&gt;1,"Trùng mã đơn; ","")&amp;IF(ISNA(MATCH($C2655,DATA_MASTER!$D$2:$D$5000,0)),"SĐT chưa đăng ký hội viên; ","")&amp;IF(AND($L2655="Đã chuyển khoản",$M2655=""),"Thiếu ngày nhận CK; ",""))</f>
        <v/>
      </c>
      <c r="T2655" s="24" t="n"/>
    </row>
    <row r="2656" ht="14.25" customHeight="1" s="40">
      <c r="A2656" s="24" t="n"/>
      <c r="B2656" s="29" t="n"/>
      <c r="C2656" s="28" t="n"/>
      <c r="D2656" s="22">
        <f t="array" ref="D2656">IF($C2656="","",IFERROR(INDEX(DATA_MASTER!$C$2:$C$5000,MATCH($C2656,DATA_MASTER!$D$2:$D$5000,0)),""))</f>
        <v/>
      </c>
      <c r="E2656" s="22">
        <f t="array" ref="E2656">IF($C2656="","",IFERROR(INDEX(DATA_MASTER!$I$2:$I$5000,MATCH($C2656,DATA_MASTER!$D$2:$D$5000,0)),""))</f>
        <v/>
      </c>
      <c r="F2656" s="22">
        <f t="array" ref="F2656">IF($C2656="","",IFERROR(INDEX(DATA_MASTER!$L$2:$L$5000,MATCH($C2656,DATA_MASTER!$D$2:$D$5000,0)),""))</f>
        <v/>
      </c>
      <c r="G2656" s="24" t="n"/>
      <c r="H2656" s="24" t="n"/>
      <c r="I2656" s="30" t="n"/>
      <c r="J2656" s="23">
        <f>IF(OR($H2656="",$I2656=""),"",$H2656*$I2656)</f>
        <v/>
      </c>
      <c r="K2656" s="24" t="n"/>
      <c r="L2656" s="24" t="n"/>
      <c r="M2656" s="29" t="n"/>
      <c r="N2656" s="28" t="n"/>
      <c r="O2656" s="24" t="n"/>
      <c r="P2656" s="24" t="n"/>
      <c r="Q2656" s="24" t="n"/>
      <c r="R2656" s="24" t="n"/>
      <c r="S2656" s="22">
        <f>IF(AND($A2656="",$C2656=""),"",IF($A2656="","Thiếu mã đơn; ","")&amp;IF(COUNTIF($A$2:$A2656,$A2656)&gt;1,"Trùng mã đơn; ","")&amp;IF(ISNA(MATCH($C2656,DATA_MASTER!$D$2:$D$5000,0)),"SĐT chưa đăng ký hội viên; ","")&amp;IF(AND($L2656="Đã chuyển khoản",$M2656=""),"Thiếu ngày nhận CK; ",""))</f>
        <v/>
      </c>
      <c r="T2656" s="24" t="n"/>
    </row>
    <row r="2657" ht="14.25" customHeight="1" s="40">
      <c r="A2657" s="24" t="n"/>
      <c r="B2657" s="29" t="n"/>
      <c r="C2657" s="28" t="n"/>
      <c r="D2657" s="22">
        <f t="array" ref="D2657">IF($C2657="","",IFERROR(INDEX(DATA_MASTER!$C$2:$C$5000,MATCH($C2657,DATA_MASTER!$D$2:$D$5000,0)),""))</f>
        <v/>
      </c>
      <c r="E2657" s="22">
        <f t="array" ref="E2657">IF($C2657="","",IFERROR(INDEX(DATA_MASTER!$I$2:$I$5000,MATCH($C2657,DATA_MASTER!$D$2:$D$5000,0)),""))</f>
        <v/>
      </c>
      <c r="F2657" s="22">
        <f t="array" ref="F2657">IF($C2657="","",IFERROR(INDEX(DATA_MASTER!$L$2:$L$5000,MATCH($C2657,DATA_MASTER!$D$2:$D$5000,0)),""))</f>
        <v/>
      </c>
      <c r="G2657" s="24" t="n"/>
      <c r="H2657" s="24" t="n"/>
      <c r="I2657" s="30" t="n"/>
      <c r="J2657" s="23">
        <f>IF(OR($H2657="",$I2657=""),"",$H2657*$I2657)</f>
        <v/>
      </c>
      <c r="K2657" s="24" t="n"/>
      <c r="L2657" s="24" t="n"/>
      <c r="M2657" s="29" t="n"/>
      <c r="N2657" s="28" t="n"/>
      <c r="O2657" s="24" t="n"/>
      <c r="P2657" s="24" t="n"/>
      <c r="Q2657" s="24" t="n"/>
      <c r="R2657" s="24" t="n"/>
      <c r="S2657" s="22">
        <f>IF(AND($A2657="",$C2657=""),"",IF($A2657="","Thiếu mã đơn; ","")&amp;IF(COUNTIF($A$2:$A2657,$A2657)&gt;1,"Trùng mã đơn; ","")&amp;IF(ISNA(MATCH($C2657,DATA_MASTER!$D$2:$D$5000,0)),"SĐT chưa đăng ký hội viên; ","")&amp;IF(AND($L2657="Đã chuyển khoản",$M2657=""),"Thiếu ngày nhận CK; ",""))</f>
        <v/>
      </c>
      <c r="T2657" s="24" t="n"/>
    </row>
    <row r="2658" ht="14.25" customHeight="1" s="40">
      <c r="A2658" s="24" t="n"/>
      <c r="B2658" s="29" t="n"/>
      <c r="C2658" s="28" t="n"/>
      <c r="D2658" s="22">
        <f t="array" ref="D2658">IF($C2658="","",IFERROR(INDEX(DATA_MASTER!$C$2:$C$5000,MATCH($C2658,DATA_MASTER!$D$2:$D$5000,0)),""))</f>
        <v/>
      </c>
      <c r="E2658" s="22">
        <f t="array" ref="E2658">IF($C2658="","",IFERROR(INDEX(DATA_MASTER!$I$2:$I$5000,MATCH($C2658,DATA_MASTER!$D$2:$D$5000,0)),""))</f>
        <v/>
      </c>
      <c r="F2658" s="22">
        <f t="array" ref="F2658">IF($C2658="","",IFERROR(INDEX(DATA_MASTER!$L$2:$L$5000,MATCH($C2658,DATA_MASTER!$D$2:$D$5000,0)),""))</f>
        <v/>
      </c>
      <c r="G2658" s="24" t="n"/>
      <c r="H2658" s="24" t="n"/>
      <c r="I2658" s="30" t="n"/>
      <c r="J2658" s="23">
        <f>IF(OR($H2658="",$I2658=""),"",$H2658*$I2658)</f>
        <v/>
      </c>
      <c r="K2658" s="24" t="n"/>
      <c r="L2658" s="24" t="n"/>
      <c r="M2658" s="29" t="n"/>
      <c r="N2658" s="28" t="n"/>
      <c r="O2658" s="24" t="n"/>
      <c r="P2658" s="24" t="n"/>
      <c r="Q2658" s="24" t="n"/>
      <c r="R2658" s="24" t="n"/>
      <c r="S2658" s="22">
        <f>IF(AND($A2658="",$C2658=""),"",IF($A2658="","Thiếu mã đơn; ","")&amp;IF(COUNTIF($A$2:$A2658,$A2658)&gt;1,"Trùng mã đơn; ","")&amp;IF(ISNA(MATCH($C2658,DATA_MASTER!$D$2:$D$5000,0)),"SĐT chưa đăng ký hội viên; ","")&amp;IF(AND($L2658="Đã chuyển khoản",$M2658=""),"Thiếu ngày nhận CK; ",""))</f>
        <v/>
      </c>
      <c r="T2658" s="24" t="n"/>
    </row>
    <row r="2659" ht="14.25" customHeight="1" s="40">
      <c r="A2659" s="24" t="n"/>
      <c r="B2659" s="29" t="n"/>
      <c r="C2659" s="28" t="n"/>
      <c r="D2659" s="22">
        <f t="array" ref="D2659">IF($C2659="","",IFERROR(INDEX(DATA_MASTER!$C$2:$C$5000,MATCH($C2659,DATA_MASTER!$D$2:$D$5000,0)),""))</f>
        <v/>
      </c>
      <c r="E2659" s="22">
        <f t="array" ref="E2659">IF($C2659="","",IFERROR(INDEX(DATA_MASTER!$I$2:$I$5000,MATCH($C2659,DATA_MASTER!$D$2:$D$5000,0)),""))</f>
        <v/>
      </c>
      <c r="F2659" s="22">
        <f t="array" ref="F2659">IF($C2659="","",IFERROR(INDEX(DATA_MASTER!$L$2:$L$5000,MATCH($C2659,DATA_MASTER!$D$2:$D$5000,0)),""))</f>
        <v/>
      </c>
      <c r="G2659" s="24" t="n"/>
      <c r="H2659" s="24" t="n"/>
      <c r="I2659" s="30" t="n"/>
      <c r="J2659" s="23">
        <f>IF(OR($H2659="",$I2659=""),"",$H2659*$I2659)</f>
        <v/>
      </c>
      <c r="K2659" s="24" t="n"/>
      <c r="L2659" s="24" t="n"/>
      <c r="M2659" s="29" t="n"/>
      <c r="N2659" s="28" t="n"/>
      <c r="O2659" s="24" t="n"/>
      <c r="P2659" s="24" t="n"/>
      <c r="Q2659" s="24" t="n"/>
      <c r="R2659" s="24" t="n"/>
      <c r="S2659" s="22">
        <f>IF(AND($A2659="",$C2659=""),"",IF($A2659="","Thiếu mã đơn; ","")&amp;IF(COUNTIF($A$2:$A2659,$A2659)&gt;1,"Trùng mã đơn; ","")&amp;IF(ISNA(MATCH($C2659,DATA_MASTER!$D$2:$D$5000,0)),"SĐT chưa đăng ký hội viên; ","")&amp;IF(AND($L2659="Đã chuyển khoản",$M2659=""),"Thiếu ngày nhận CK; ",""))</f>
        <v/>
      </c>
      <c r="T2659" s="24" t="n"/>
    </row>
    <row r="2660" ht="14.25" customHeight="1" s="40">
      <c r="A2660" s="24" t="n"/>
      <c r="B2660" s="29" t="n"/>
      <c r="C2660" s="28" t="n"/>
      <c r="D2660" s="22">
        <f t="array" ref="D2660">IF($C2660="","",IFERROR(INDEX(DATA_MASTER!$C$2:$C$5000,MATCH($C2660,DATA_MASTER!$D$2:$D$5000,0)),""))</f>
        <v/>
      </c>
      <c r="E2660" s="22">
        <f t="array" ref="E2660">IF($C2660="","",IFERROR(INDEX(DATA_MASTER!$I$2:$I$5000,MATCH($C2660,DATA_MASTER!$D$2:$D$5000,0)),""))</f>
        <v/>
      </c>
      <c r="F2660" s="22">
        <f t="array" ref="F2660">IF($C2660="","",IFERROR(INDEX(DATA_MASTER!$L$2:$L$5000,MATCH($C2660,DATA_MASTER!$D$2:$D$5000,0)),""))</f>
        <v/>
      </c>
      <c r="G2660" s="24" t="n"/>
      <c r="H2660" s="24" t="n"/>
      <c r="I2660" s="30" t="n"/>
      <c r="J2660" s="23">
        <f>IF(OR($H2660="",$I2660=""),"",$H2660*$I2660)</f>
        <v/>
      </c>
      <c r="K2660" s="24" t="n"/>
      <c r="L2660" s="24" t="n"/>
      <c r="M2660" s="29" t="n"/>
      <c r="N2660" s="28" t="n"/>
      <c r="O2660" s="24" t="n"/>
      <c r="P2660" s="24" t="n"/>
      <c r="Q2660" s="24" t="n"/>
      <c r="R2660" s="24" t="n"/>
      <c r="S2660" s="22">
        <f>IF(AND($A2660="",$C2660=""),"",IF($A2660="","Thiếu mã đơn; ","")&amp;IF(COUNTIF($A$2:$A2660,$A2660)&gt;1,"Trùng mã đơn; ","")&amp;IF(ISNA(MATCH($C2660,DATA_MASTER!$D$2:$D$5000,0)),"SĐT chưa đăng ký hội viên; ","")&amp;IF(AND($L2660="Đã chuyển khoản",$M2660=""),"Thiếu ngày nhận CK; ",""))</f>
        <v/>
      </c>
      <c r="T2660" s="24" t="n"/>
    </row>
    <row r="2661" ht="14.25" customHeight="1" s="40">
      <c r="A2661" s="24" t="n"/>
      <c r="B2661" s="29" t="n"/>
      <c r="C2661" s="28" t="n"/>
      <c r="D2661" s="22">
        <f t="array" ref="D2661">IF($C2661="","",IFERROR(INDEX(DATA_MASTER!$C$2:$C$5000,MATCH($C2661,DATA_MASTER!$D$2:$D$5000,0)),""))</f>
        <v/>
      </c>
      <c r="E2661" s="22">
        <f t="array" ref="E2661">IF($C2661="","",IFERROR(INDEX(DATA_MASTER!$I$2:$I$5000,MATCH($C2661,DATA_MASTER!$D$2:$D$5000,0)),""))</f>
        <v/>
      </c>
      <c r="F2661" s="22">
        <f t="array" ref="F2661">IF($C2661="","",IFERROR(INDEX(DATA_MASTER!$L$2:$L$5000,MATCH($C2661,DATA_MASTER!$D$2:$D$5000,0)),""))</f>
        <v/>
      </c>
      <c r="G2661" s="24" t="n"/>
      <c r="H2661" s="24" t="n"/>
      <c r="I2661" s="30" t="n"/>
      <c r="J2661" s="23">
        <f>IF(OR($H2661="",$I2661=""),"",$H2661*$I2661)</f>
        <v/>
      </c>
      <c r="K2661" s="24" t="n"/>
      <c r="L2661" s="24" t="n"/>
      <c r="M2661" s="29" t="n"/>
      <c r="N2661" s="28" t="n"/>
      <c r="O2661" s="24" t="n"/>
      <c r="P2661" s="24" t="n"/>
      <c r="Q2661" s="24" t="n"/>
      <c r="R2661" s="24" t="n"/>
      <c r="S2661" s="22">
        <f>IF(AND($A2661="",$C2661=""),"",IF($A2661="","Thiếu mã đơn; ","")&amp;IF(COUNTIF($A$2:$A2661,$A2661)&gt;1,"Trùng mã đơn; ","")&amp;IF(ISNA(MATCH($C2661,DATA_MASTER!$D$2:$D$5000,0)),"SĐT chưa đăng ký hội viên; ","")&amp;IF(AND($L2661="Đã chuyển khoản",$M2661=""),"Thiếu ngày nhận CK; ",""))</f>
        <v/>
      </c>
      <c r="T2661" s="24" t="n"/>
    </row>
    <row r="2662" ht="14.25" customHeight="1" s="40">
      <c r="A2662" s="24" t="n"/>
      <c r="B2662" s="29" t="n"/>
      <c r="C2662" s="28" t="n"/>
      <c r="D2662" s="22">
        <f t="array" ref="D2662">IF($C2662="","",IFERROR(INDEX(DATA_MASTER!$C$2:$C$5000,MATCH($C2662,DATA_MASTER!$D$2:$D$5000,0)),""))</f>
        <v/>
      </c>
      <c r="E2662" s="22">
        <f t="array" ref="E2662">IF($C2662="","",IFERROR(INDEX(DATA_MASTER!$I$2:$I$5000,MATCH($C2662,DATA_MASTER!$D$2:$D$5000,0)),""))</f>
        <v/>
      </c>
      <c r="F2662" s="22">
        <f t="array" ref="F2662">IF($C2662="","",IFERROR(INDEX(DATA_MASTER!$L$2:$L$5000,MATCH($C2662,DATA_MASTER!$D$2:$D$5000,0)),""))</f>
        <v/>
      </c>
      <c r="G2662" s="24" t="n"/>
      <c r="H2662" s="24" t="n"/>
      <c r="I2662" s="30" t="n"/>
      <c r="J2662" s="23">
        <f>IF(OR($H2662="",$I2662=""),"",$H2662*$I2662)</f>
        <v/>
      </c>
      <c r="K2662" s="24" t="n"/>
      <c r="L2662" s="24" t="n"/>
      <c r="M2662" s="29" t="n"/>
      <c r="N2662" s="28" t="n"/>
      <c r="O2662" s="24" t="n"/>
      <c r="P2662" s="24" t="n"/>
      <c r="Q2662" s="24" t="n"/>
      <c r="R2662" s="24" t="n"/>
      <c r="S2662" s="22">
        <f>IF(AND($A2662="",$C2662=""),"",IF($A2662="","Thiếu mã đơn; ","")&amp;IF(COUNTIF($A$2:$A2662,$A2662)&gt;1,"Trùng mã đơn; ","")&amp;IF(ISNA(MATCH($C2662,DATA_MASTER!$D$2:$D$5000,0)),"SĐT chưa đăng ký hội viên; ","")&amp;IF(AND($L2662="Đã chuyển khoản",$M2662=""),"Thiếu ngày nhận CK; ",""))</f>
        <v/>
      </c>
      <c r="T2662" s="24" t="n"/>
    </row>
    <row r="2663" ht="14.25" customHeight="1" s="40">
      <c r="A2663" s="24" t="n"/>
      <c r="B2663" s="29" t="n"/>
      <c r="C2663" s="28" t="n"/>
      <c r="D2663" s="22">
        <f t="array" ref="D2663">IF($C2663="","",IFERROR(INDEX(DATA_MASTER!$C$2:$C$5000,MATCH($C2663,DATA_MASTER!$D$2:$D$5000,0)),""))</f>
        <v/>
      </c>
      <c r="E2663" s="22">
        <f t="array" ref="E2663">IF($C2663="","",IFERROR(INDEX(DATA_MASTER!$I$2:$I$5000,MATCH($C2663,DATA_MASTER!$D$2:$D$5000,0)),""))</f>
        <v/>
      </c>
      <c r="F2663" s="22">
        <f t="array" ref="F2663">IF($C2663="","",IFERROR(INDEX(DATA_MASTER!$L$2:$L$5000,MATCH($C2663,DATA_MASTER!$D$2:$D$5000,0)),""))</f>
        <v/>
      </c>
      <c r="G2663" s="24" t="n"/>
      <c r="H2663" s="24" t="n"/>
      <c r="I2663" s="30" t="n"/>
      <c r="J2663" s="23">
        <f>IF(OR($H2663="",$I2663=""),"",$H2663*$I2663)</f>
        <v/>
      </c>
      <c r="K2663" s="24" t="n"/>
      <c r="L2663" s="24" t="n"/>
      <c r="M2663" s="29" t="n"/>
      <c r="N2663" s="28" t="n"/>
      <c r="O2663" s="24" t="n"/>
      <c r="P2663" s="24" t="n"/>
      <c r="Q2663" s="24" t="n"/>
      <c r="R2663" s="24" t="n"/>
      <c r="S2663" s="22">
        <f>IF(AND($A2663="",$C2663=""),"",IF($A2663="","Thiếu mã đơn; ","")&amp;IF(COUNTIF($A$2:$A2663,$A2663)&gt;1,"Trùng mã đơn; ","")&amp;IF(ISNA(MATCH($C2663,DATA_MASTER!$D$2:$D$5000,0)),"SĐT chưa đăng ký hội viên; ","")&amp;IF(AND($L2663="Đã chuyển khoản",$M2663=""),"Thiếu ngày nhận CK; ",""))</f>
        <v/>
      </c>
      <c r="T2663" s="24" t="n"/>
    </row>
    <row r="2664" ht="14.25" customHeight="1" s="40">
      <c r="A2664" s="24" t="n"/>
      <c r="B2664" s="29" t="n"/>
      <c r="C2664" s="28" t="n"/>
      <c r="D2664" s="22">
        <f t="array" ref="D2664">IF($C2664="","",IFERROR(INDEX(DATA_MASTER!$C$2:$C$5000,MATCH($C2664,DATA_MASTER!$D$2:$D$5000,0)),""))</f>
        <v/>
      </c>
      <c r="E2664" s="22">
        <f t="array" ref="E2664">IF($C2664="","",IFERROR(INDEX(DATA_MASTER!$I$2:$I$5000,MATCH($C2664,DATA_MASTER!$D$2:$D$5000,0)),""))</f>
        <v/>
      </c>
      <c r="F2664" s="22">
        <f t="array" ref="F2664">IF($C2664="","",IFERROR(INDEX(DATA_MASTER!$L$2:$L$5000,MATCH($C2664,DATA_MASTER!$D$2:$D$5000,0)),""))</f>
        <v/>
      </c>
      <c r="G2664" s="24" t="n"/>
      <c r="H2664" s="24" t="n"/>
      <c r="I2664" s="30" t="n"/>
      <c r="J2664" s="23">
        <f>IF(OR($H2664="",$I2664=""),"",$H2664*$I2664)</f>
        <v/>
      </c>
      <c r="K2664" s="24" t="n"/>
      <c r="L2664" s="24" t="n"/>
      <c r="M2664" s="29" t="n"/>
      <c r="N2664" s="28" t="n"/>
      <c r="O2664" s="24" t="n"/>
      <c r="P2664" s="24" t="n"/>
      <c r="Q2664" s="24" t="n"/>
      <c r="R2664" s="24" t="n"/>
      <c r="S2664" s="22">
        <f>IF(AND($A2664="",$C2664=""),"",IF($A2664="","Thiếu mã đơn; ","")&amp;IF(COUNTIF($A$2:$A2664,$A2664)&gt;1,"Trùng mã đơn; ","")&amp;IF(ISNA(MATCH($C2664,DATA_MASTER!$D$2:$D$5000,0)),"SĐT chưa đăng ký hội viên; ","")&amp;IF(AND($L2664="Đã chuyển khoản",$M2664=""),"Thiếu ngày nhận CK; ",""))</f>
        <v/>
      </c>
      <c r="T2664" s="24" t="n"/>
    </row>
    <row r="2665" ht="14.25" customHeight="1" s="40">
      <c r="A2665" s="24" t="n"/>
      <c r="B2665" s="29" t="n"/>
      <c r="C2665" s="28" t="n"/>
      <c r="D2665" s="22">
        <f t="array" ref="D2665">IF($C2665="","",IFERROR(INDEX(DATA_MASTER!$C$2:$C$5000,MATCH($C2665,DATA_MASTER!$D$2:$D$5000,0)),""))</f>
        <v/>
      </c>
      <c r="E2665" s="22">
        <f t="array" ref="E2665">IF($C2665="","",IFERROR(INDEX(DATA_MASTER!$I$2:$I$5000,MATCH($C2665,DATA_MASTER!$D$2:$D$5000,0)),""))</f>
        <v/>
      </c>
      <c r="F2665" s="22">
        <f t="array" ref="F2665">IF($C2665="","",IFERROR(INDEX(DATA_MASTER!$L$2:$L$5000,MATCH($C2665,DATA_MASTER!$D$2:$D$5000,0)),""))</f>
        <v/>
      </c>
      <c r="G2665" s="24" t="n"/>
      <c r="H2665" s="24" t="n"/>
      <c r="I2665" s="30" t="n"/>
      <c r="J2665" s="23">
        <f>IF(OR($H2665="",$I2665=""),"",$H2665*$I2665)</f>
        <v/>
      </c>
      <c r="K2665" s="24" t="n"/>
      <c r="L2665" s="24" t="n"/>
      <c r="M2665" s="29" t="n"/>
      <c r="N2665" s="28" t="n"/>
      <c r="O2665" s="24" t="n"/>
      <c r="P2665" s="24" t="n"/>
      <c r="Q2665" s="24" t="n"/>
      <c r="R2665" s="24" t="n"/>
      <c r="S2665" s="22">
        <f>IF(AND($A2665="",$C2665=""),"",IF($A2665="","Thiếu mã đơn; ","")&amp;IF(COUNTIF($A$2:$A2665,$A2665)&gt;1,"Trùng mã đơn; ","")&amp;IF(ISNA(MATCH($C2665,DATA_MASTER!$D$2:$D$5000,0)),"SĐT chưa đăng ký hội viên; ","")&amp;IF(AND($L2665="Đã chuyển khoản",$M2665=""),"Thiếu ngày nhận CK; ",""))</f>
        <v/>
      </c>
      <c r="T2665" s="24" t="n"/>
    </row>
    <row r="2666" ht="14.25" customHeight="1" s="40">
      <c r="A2666" s="24" t="n"/>
      <c r="B2666" s="29" t="n"/>
      <c r="C2666" s="28" t="n"/>
      <c r="D2666" s="22">
        <f t="array" ref="D2666">IF($C2666="","",IFERROR(INDEX(DATA_MASTER!$C$2:$C$5000,MATCH($C2666,DATA_MASTER!$D$2:$D$5000,0)),""))</f>
        <v/>
      </c>
      <c r="E2666" s="22">
        <f t="array" ref="E2666">IF($C2666="","",IFERROR(INDEX(DATA_MASTER!$I$2:$I$5000,MATCH($C2666,DATA_MASTER!$D$2:$D$5000,0)),""))</f>
        <v/>
      </c>
      <c r="F2666" s="22">
        <f t="array" ref="F2666">IF($C2666="","",IFERROR(INDEX(DATA_MASTER!$L$2:$L$5000,MATCH($C2666,DATA_MASTER!$D$2:$D$5000,0)),""))</f>
        <v/>
      </c>
      <c r="G2666" s="24" t="n"/>
      <c r="H2666" s="24" t="n"/>
      <c r="I2666" s="30" t="n"/>
      <c r="J2666" s="23">
        <f>IF(OR($H2666="",$I2666=""),"",$H2666*$I2666)</f>
        <v/>
      </c>
      <c r="K2666" s="24" t="n"/>
      <c r="L2666" s="24" t="n"/>
      <c r="M2666" s="29" t="n"/>
      <c r="N2666" s="28" t="n"/>
      <c r="O2666" s="24" t="n"/>
      <c r="P2666" s="24" t="n"/>
      <c r="Q2666" s="24" t="n"/>
      <c r="R2666" s="24" t="n"/>
      <c r="S2666" s="22">
        <f>IF(AND($A2666="",$C2666=""),"",IF($A2666="","Thiếu mã đơn; ","")&amp;IF(COUNTIF($A$2:$A2666,$A2666)&gt;1,"Trùng mã đơn; ","")&amp;IF(ISNA(MATCH($C2666,DATA_MASTER!$D$2:$D$5000,0)),"SĐT chưa đăng ký hội viên; ","")&amp;IF(AND($L2666="Đã chuyển khoản",$M2666=""),"Thiếu ngày nhận CK; ",""))</f>
        <v/>
      </c>
      <c r="T2666" s="24" t="n"/>
    </row>
    <row r="2667" ht="14.25" customHeight="1" s="40">
      <c r="A2667" s="24" t="n"/>
      <c r="B2667" s="29" t="n"/>
      <c r="C2667" s="28" t="n"/>
      <c r="D2667" s="22">
        <f t="array" ref="D2667">IF($C2667="","",IFERROR(INDEX(DATA_MASTER!$C$2:$C$5000,MATCH($C2667,DATA_MASTER!$D$2:$D$5000,0)),""))</f>
        <v/>
      </c>
      <c r="E2667" s="22">
        <f t="array" ref="E2667">IF($C2667="","",IFERROR(INDEX(DATA_MASTER!$I$2:$I$5000,MATCH($C2667,DATA_MASTER!$D$2:$D$5000,0)),""))</f>
        <v/>
      </c>
      <c r="F2667" s="22">
        <f t="array" ref="F2667">IF($C2667="","",IFERROR(INDEX(DATA_MASTER!$L$2:$L$5000,MATCH($C2667,DATA_MASTER!$D$2:$D$5000,0)),""))</f>
        <v/>
      </c>
      <c r="G2667" s="24" t="n"/>
      <c r="H2667" s="24" t="n"/>
      <c r="I2667" s="30" t="n"/>
      <c r="J2667" s="23">
        <f>IF(OR($H2667="",$I2667=""),"",$H2667*$I2667)</f>
        <v/>
      </c>
      <c r="K2667" s="24" t="n"/>
      <c r="L2667" s="24" t="n"/>
      <c r="M2667" s="29" t="n"/>
      <c r="N2667" s="28" t="n"/>
      <c r="O2667" s="24" t="n"/>
      <c r="P2667" s="24" t="n"/>
      <c r="Q2667" s="24" t="n"/>
      <c r="R2667" s="24" t="n"/>
      <c r="S2667" s="22">
        <f>IF(AND($A2667="",$C2667=""),"",IF($A2667="","Thiếu mã đơn; ","")&amp;IF(COUNTIF($A$2:$A2667,$A2667)&gt;1,"Trùng mã đơn; ","")&amp;IF(ISNA(MATCH($C2667,DATA_MASTER!$D$2:$D$5000,0)),"SĐT chưa đăng ký hội viên; ","")&amp;IF(AND($L2667="Đã chuyển khoản",$M2667=""),"Thiếu ngày nhận CK; ",""))</f>
        <v/>
      </c>
      <c r="T2667" s="24" t="n"/>
    </row>
    <row r="2668" ht="14.25" customHeight="1" s="40">
      <c r="A2668" s="24" t="n"/>
      <c r="B2668" s="29" t="n"/>
      <c r="C2668" s="28" t="n"/>
      <c r="D2668" s="22">
        <f t="array" ref="D2668">IF($C2668="","",IFERROR(INDEX(DATA_MASTER!$C$2:$C$5000,MATCH($C2668,DATA_MASTER!$D$2:$D$5000,0)),""))</f>
        <v/>
      </c>
      <c r="E2668" s="22">
        <f t="array" ref="E2668">IF($C2668="","",IFERROR(INDEX(DATA_MASTER!$I$2:$I$5000,MATCH($C2668,DATA_MASTER!$D$2:$D$5000,0)),""))</f>
        <v/>
      </c>
      <c r="F2668" s="22">
        <f t="array" ref="F2668">IF($C2668="","",IFERROR(INDEX(DATA_MASTER!$L$2:$L$5000,MATCH($C2668,DATA_MASTER!$D$2:$D$5000,0)),""))</f>
        <v/>
      </c>
      <c r="G2668" s="24" t="n"/>
      <c r="H2668" s="24" t="n"/>
      <c r="I2668" s="30" t="n"/>
      <c r="J2668" s="23">
        <f>IF(OR($H2668="",$I2668=""),"",$H2668*$I2668)</f>
        <v/>
      </c>
      <c r="K2668" s="24" t="n"/>
      <c r="L2668" s="24" t="n"/>
      <c r="M2668" s="29" t="n"/>
      <c r="N2668" s="28" t="n"/>
      <c r="O2668" s="24" t="n"/>
      <c r="P2668" s="24" t="n"/>
      <c r="Q2668" s="24" t="n"/>
      <c r="R2668" s="24" t="n"/>
      <c r="S2668" s="22">
        <f>IF(AND($A2668="",$C2668=""),"",IF($A2668="","Thiếu mã đơn; ","")&amp;IF(COUNTIF($A$2:$A2668,$A2668)&gt;1,"Trùng mã đơn; ","")&amp;IF(ISNA(MATCH($C2668,DATA_MASTER!$D$2:$D$5000,0)),"SĐT chưa đăng ký hội viên; ","")&amp;IF(AND($L2668="Đã chuyển khoản",$M2668=""),"Thiếu ngày nhận CK; ",""))</f>
        <v/>
      </c>
      <c r="T2668" s="24" t="n"/>
    </row>
    <row r="2669" ht="14.25" customHeight="1" s="40">
      <c r="A2669" s="24" t="n"/>
      <c r="B2669" s="29" t="n"/>
      <c r="C2669" s="28" t="n"/>
      <c r="D2669" s="22">
        <f t="array" ref="D2669">IF($C2669="","",IFERROR(INDEX(DATA_MASTER!$C$2:$C$5000,MATCH($C2669,DATA_MASTER!$D$2:$D$5000,0)),""))</f>
        <v/>
      </c>
      <c r="E2669" s="22">
        <f t="array" ref="E2669">IF($C2669="","",IFERROR(INDEX(DATA_MASTER!$I$2:$I$5000,MATCH($C2669,DATA_MASTER!$D$2:$D$5000,0)),""))</f>
        <v/>
      </c>
      <c r="F2669" s="22">
        <f t="array" ref="F2669">IF($C2669="","",IFERROR(INDEX(DATA_MASTER!$L$2:$L$5000,MATCH($C2669,DATA_MASTER!$D$2:$D$5000,0)),""))</f>
        <v/>
      </c>
      <c r="G2669" s="24" t="n"/>
      <c r="H2669" s="24" t="n"/>
      <c r="I2669" s="30" t="n"/>
      <c r="J2669" s="23">
        <f>IF(OR($H2669="",$I2669=""),"",$H2669*$I2669)</f>
        <v/>
      </c>
      <c r="K2669" s="24" t="n"/>
      <c r="L2669" s="24" t="n"/>
      <c r="M2669" s="29" t="n"/>
      <c r="N2669" s="28" t="n"/>
      <c r="O2669" s="24" t="n"/>
      <c r="P2669" s="24" t="n"/>
      <c r="Q2669" s="24" t="n"/>
      <c r="R2669" s="24" t="n"/>
      <c r="S2669" s="22">
        <f>IF(AND($A2669="",$C2669=""),"",IF($A2669="","Thiếu mã đơn; ","")&amp;IF(COUNTIF($A$2:$A2669,$A2669)&gt;1,"Trùng mã đơn; ","")&amp;IF(ISNA(MATCH($C2669,DATA_MASTER!$D$2:$D$5000,0)),"SĐT chưa đăng ký hội viên; ","")&amp;IF(AND($L2669="Đã chuyển khoản",$M2669=""),"Thiếu ngày nhận CK; ",""))</f>
        <v/>
      </c>
      <c r="T2669" s="24" t="n"/>
    </row>
    <row r="2670" ht="14.25" customHeight="1" s="40">
      <c r="A2670" s="24" t="n"/>
      <c r="B2670" s="29" t="n"/>
      <c r="C2670" s="28" t="n"/>
      <c r="D2670" s="22">
        <f t="array" ref="D2670">IF($C2670="","",IFERROR(INDEX(DATA_MASTER!$C$2:$C$5000,MATCH($C2670,DATA_MASTER!$D$2:$D$5000,0)),""))</f>
        <v/>
      </c>
      <c r="E2670" s="22">
        <f t="array" ref="E2670">IF($C2670="","",IFERROR(INDEX(DATA_MASTER!$I$2:$I$5000,MATCH($C2670,DATA_MASTER!$D$2:$D$5000,0)),""))</f>
        <v/>
      </c>
      <c r="F2670" s="22">
        <f t="array" ref="F2670">IF($C2670="","",IFERROR(INDEX(DATA_MASTER!$L$2:$L$5000,MATCH($C2670,DATA_MASTER!$D$2:$D$5000,0)),""))</f>
        <v/>
      </c>
      <c r="G2670" s="24" t="n"/>
      <c r="H2670" s="24" t="n"/>
      <c r="I2670" s="30" t="n"/>
      <c r="J2670" s="23">
        <f>IF(OR($H2670="",$I2670=""),"",$H2670*$I2670)</f>
        <v/>
      </c>
      <c r="K2670" s="24" t="n"/>
      <c r="L2670" s="24" t="n"/>
      <c r="M2670" s="29" t="n"/>
      <c r="N2670" s="28" t="n"/>
      <c r="O2670" s="24" t="n"/>
      <c r="P2670" s="24" t="n"/>
      <c r="Q2670" s="24" t="n"/>
      <c r="R2670" s="24" t="n"/>
      <c r="S2670" s="22">
        <f>IF(AND($A2670="",$C2670=""),"",IF($A2670="","Thiếu mã đơn; ","")&amp;IF(COUNTIF($A$2:$A2670,$A2670)&gt;1,"Trùng mã đơn; ","")&amp;IF(ISNA(MATCH($C2670,DATA_MASTER!$D$2:$D$5000,0)),"SĐT chưa đăng ký hội viên; ","")&amp;IF(AND($L2670="Đã chuyển khoản",$M2670=""),"Thiếu ngày nhận CK; ",""))</f>
        <v/>
      </c>
      <c r="T2670" s="24" t="n"/>
    </row>
    <row r="2671" ht="14.25" customHeight="1" s="40">
      <c r="A2671" s="24" t="n"/>
      <c r="B2671" s="29" t="n"/>
      <c r="C2671" s="28" t="n"/>
      <c r="D2671" s="22">
        <f t="array" ref="D2671">IF($C2671="","",IFERROR(INDEX(DATA_MASTER!$C$2:$C$5000,MATCH($C2671,DATA_MASTER!$D$2:$D$5000,0)),""))</f>
        <v/>
      </c>
      <c r="E2671" s="22">
        <f t="array" ref="E2671">IF($C2671="","",IFERROR(INDEX(DATA_MASTER!$I$2:$I$5000,MATCH($C2671,DATA_MASTER!$D$2:$D$5000,0)),""))</f>
        <v/>
      </c>
      <c r="F2671" s="22">
        <f t="array" ref="F2671">IF($C2671="","",IFERROR(INDEX(DATA_MASTER!$L$2:$L$5000,MATCH($C2671,DATA_MASTER!$D$2:$D$5000,0)),""))</f>
        <v/>
      </c>
      <c r="G2671" s="24" t="n"/>
      <c r="H2671" s="24" t="n"/>
      <c r="I2671" s="30" t="n"/>
      <c r="J2671" s="23">
        <f>IF(OR($H2671="",$I2671=""),"",$H2671*$I2671)</f>
        <v/>
      </c>
      <c r="K2671" s="24" t="n"/>
      <c r="L2671" s="24" t="n"/>
      <c r="M2671" s="29" t="n"/>
      <c r="N2671" s="28" t="n"/>
      <c r="O2671" s="24" t="n"/>
      <c r="P2671" s="24" t="n"/>
      <c r="Q2671" s="24" t="n"/>
      <c r="R2671" s="24" t="n"/>
      <c r="S2671" s="22">
        <f>IF(AND($A2671="",$C2671=""),"",IF($A2671="","Thiếu mã đơn; ","")&amp;IF(COUNTIF($A$2:$A2671,$A2671)&gt;1,"Trùng mã đơn; ","")&amp;IF(ISNA(MATCH($C2671,DATA_MASTER!$D$2:$D$5000,0)),"SĐT chưa đăng ký hội viên; ","")&amp;IF(AND($L2671="Đã chuyển khoản",$M2671=""),"Thiếu ngày nhận CK; ",""))</f>
        <v/>
      </c>
      <c r="T2671" s="24" t="n"/>
    </row>
    <row r="2672" ht="14.25" customHeight="1" s="40">
      <c r="A2672" s="24" t="n"/>
      <c r="B2672" s="29" t="n"/>
      <c r="C2672" s="28" t="n"/>
      <c r="D2672" s="22">
        <f t="array" ref="D2672">IF($C2672="","",IFERROR(INDEX(DATA_MASTER!$C$2:$C$5000,MATCH($C2672,DATA_MASTER!$D$2:$D$5000,0)),""))</f>
        <v/>
      </c>
      <c r="E2672" s="22">
        <f t="array" ref="E2672">IF($C2672="","",IFERROR(INDEX(DATA_MASTER!$I$2:$I$5000,MATCH($C2672,DATA_MASTER!$D$2:$D$5000,0)),""))</f>
        <v/>
      </c>
      <c r="F2672" s="22">
        <f t="array" ref="F2672">IF($C2672="","",IFERROR(INDEX(DATA_MASTER!$L$2:$L$5000,MATCH($C2672,DATA_MASTER!$D$2:$D$5000,0)),""))</f>
        <v/>
      </c>
      <c r="G2672" s="24" t="n"/>
      <c r="H2672" s="24" t="n"/>
      <c r="I2672" s="30" t="n"/>
      <c r="J2672" s="23">
        <f>IF(OR($H2672="",$I2672=""),"",$H2672*$I2672)</f>
        <v/>
      </c>
      <c r="K2672" s="24" t="n"/>
      <c r="L2672" s="24" t="n"/>
      <c r="M2672" s="29" t="n"/>
      <c r="N2672" s="28" t="n"/>
      <c r="O2672" s="24" t="n"/>
      <c r="P2672" s="24" t="n"/>
      <c r="Q2672" s="24" t="n"/>
      <c r="R2672" s="24" t="n"/>
      <c r="S2672" s="22">
        <f>IF(AND($A2672="",$C2672=""),"",IF($A2672="","Thiếu mã đơn; ","")&amp;IF(COUNTIF($A$2:$A2672,$A2672)&gt;1,"Trùng mã đơn; ","")&amp;IF(ISNA(MATCH($C2672,DATA_MASTER!$D$2:$D$5000,0)),"SĐT chưa đăng ký hội viên; ","")&amp;IF(AND($L2672="Đã chuyển khoản",$M2672=""),"Thiếu ngày nhận CK; ",""))</f>
        <v/>
      </c>
      <c r="T2672" s="24" t="n"/>
    </row>
    <row r="2673" ht="14.25" customHeight="1" s="40">
      <c r="A2673" s="24" t="n"/>
      <c r="B2673" s="29" t="n"/>
      <c r="C2673" s="28" t="n"/>
      <c r="D2673" s="22">
        <f t="array" ref="D2673">IF($C2673="","",IFERROR(INDEX(DATA_MASTER!$C$2:$C$5000,MATCH($C2673,DATA_MASTER!$D$2:$D$5000,0)),""))</f>
        <v/>
      </c>
      <c r="E2673" s="22">
        <f t="array" ref="E2673">IF($C2673="","",IFERROR(INDEX(DATA_MASTER!$I$2:$I$5000,MATCH($C2673,DATA_MASTER!$D$2:$D$5000,0)),""))</f>
        <v/>
      </c>
      <c r="F2673" s="22">
        <f t="array" ref="F2673">IF($C2673="","",IFERROR(INDEX(DATA_MASTER!$L$2:$L$5000,MATCH($C2673,DATA_MASTER!$D$2:$D$5000,0)),""))</f>
        <v/>
      </c>
      <c r="G2673" s="24" t="n"/>
      <c r="H2673" s="24" t="n"/>
      <c r="I2673" s="30" t="n"/>
      <c r="J2673" s="23">
        <f>IF(OR($H2673="",$I2673=""),"",$H2673*$I2673)</f>
        <v/>
      </c>
      <c r="K2673" s="24" t="n"/>
      <c r="L2673" s="24" t="n"/>
      <c r="M2673" s="29" t="n"/>
      <c r="N2673" s="28" t="n"/>
      <c r="O2673" s="24" t="n"/>
      <c r="P2673" s="24" t="n"/>
      <c r="Q2673" s="24" t="n"/>
      <c r="R2673" s="24" t="n"/>
      <c r="S2673" s="22">
        <f>IF(AND($A2673="",$C2673=""),"",IF($A2673="","Thiếu mã đơn; ","")&amp;IF(COUNTIF($A$2:$A2673,$A2673)&gt;1,"Trùng mã đơn; ","")&amp;IF(ISNA(MATCH($C2673,DATA_MASTER!$D$2:$D$5000,0)),"SĐT chưa đăng ký hội viên; ","")&amp;IF(AND($L2673="Đã chuyển khoản",$M2673=""),"Thiếu ngày nhận CK; ",""))</f>
        <v/>
      </c>
      <c r="T2673" s="24" t="n"/>
    </row>
    <row r="2674" ht="14.25" customHeight="1" s="40">
      <c r="A2674" s="24" t="n"/>
      <c r="B2674" s="29" t="n"/>
      <c r="C2674" s="28" t="n"/>
      <c r="D2674" s="22">
        <f t="array" ref="D2674">IF($C2674="","",IFERROR(INDEX(DATA_MASTER!$C$2:$C$5000,MATCH($C2674,DATA_MASTER!$D$2:$D$5000,0)),""))</f>
        <v/>
      </c>
      <c r="E2674" s="22">
        <f t="array" ref="E2674">IF($C2674="","",IFERROR(INDEX(DATA_MASTER!$I$2:$I$5000,MATCH($C2674,DATA_MASTER!$D$2:$D$5000,0)),""))</f>
        <v/>
      </c>
      <c r="F2674" s="22">
        <f t="array" ref="F2674">IF($C2674="","",IFERROR(INDEX(DATA_MASTER!$L$2:$L$5000,MATCH($C2674,DATA_MASTER!$D$2:$D$5000,0)),""))</f>
        <v/>
      </c>
      <c r="G2674" s="24" t="n"/>
      <c r="H2674" s="24" t="n"/>
      <c r="I2674" s="30" t="n"/>
      <c r="J2674" s="23">
        <f>IF(OR($H2674="",$I2674=""),"",$H2674*$I2674)</f>
        <v/>
      </c>
      <c r="K2674" s="24" t="n"/>
      <c r="L2674" s="24" t="n"/>
      <c r="M2674" s="29" t="n"/>
      <c r="N2674" s="28" t="n"/>
      <c r="O2674" s="24" t="n"/>
      <c r="P2674" s="24" t="n"/>
      <c r="Q2674" s="24" t="n"/>
      <c r="R2674" s="24" t="n"/>
      <c r="S2674" s="22">
        <f>IF(AND($A2674="",$C2674=""),"",IF($A2674="","Thiếu mã đơn; ","")&amp;IF(COUNTIF($A$2:$A2674,$A2674)&gt;1,"Trùng mã đơn; ","")&amp;IF(ISNA(MATCH($C2674,DATA_MASTER!$D$2:$D$5000,0)),"SĐT chưa đăng ký hội viên; ","")&amp;IF(AND($L2674="Đã chuyển khoản",$M2674=""),"Thiếu ngày nhận CK; ",""))</f>
        <v/>
      </c>
      <c r="T2674" s="24" t="n"/>
    </row>
    <row r="2675" ht="14.25" customHeight="1" s="40">
      <c r="A2675" s="24" t="n"/>
      <c r="B2675" s="29" t="n"/>
      <c r="C2675" s="28" t="n"/>
      <c r="D2675" s="22">
        <f t="array" ref="D2675">IF($C2675="","",IFERROR(INDEX(DATA_MASTER!$C$2:$C$5000,MATCH($C2675,DATA_MASTER!$D$2:$D$5000,0)),""))</f>
        <v/>
      </c>
      <c r="E2675" s="22">
        <f t="array" ref="E2675">IF($C2675="","",IFERROR(INDEX(DATA_MASTER!$I$2:$I$5000,MATCH($C2675,DATA_MASTER!$D$2:$D$5000,0)),""))</f>
        <v/>
      </c>
      <c r="F2675" s="22">
        <f t="array" ref="F2675">IF($C2675="","",IFERROR(INDEX(DATA_MASTER!$L$2:$L$5000,MATCH($C2675,DATA_MASTER!$D$2:$D$5000,0)),""))</f>
        <v/>
      </c>
      <c r="G2675" s="24" t="n"/>
      <c r="H2675" s="24" t="n"/>
      <c r="I2675" s="30" t="n"/>
      <c r="J2675" s="23">
        <f>IF(OR($H2675="",$I2675=""),"",$H2675*$I2675)</f>
        <v/>
      </c>
      <c r="K2675" s="24" t="n"/>
      <c r="L2675" s="24" t="n"/>
      <c r="M2675" s="29" t="n"/>
      <c r="N2675" s="28" t="n"/>
      <c r="O2675" s="24" t="n"/>
      <c r="P2675" s="24" t="n"/>
      <c r="Q2675" s="24" t="n"/>
      <c r="R2675" s="24" t="n"/>
      <c r="S2675" s="22">
        <f>IF(AND($A2675="",$C2675=""),"",IF($A2675="","Thiếu mã đơn; ","")&amp;IF(COUNTIF($A$2:$A2675,$A2675)&gt;1,"Trùng mã đơn; ","")&amp;IF(ISNA(MATCH($C2675,DATA_MASTER!$D$2:$D$5000,0)),"SĐT chưa đăng ký hội viên; ","")&amp;IF(AND($L2675="Đã chuyển khoản",$M2675=""),"Thiếu ngày nhận CK; ",""))</f>
        <v/>
      </c>
      <c r="T2675" s="24" t="n"/>
    </row>
    <row r="2676" ht="14.25" customHeight="1" s="40">
      <c r="A2676" s="24" t="n"/>
      <c r="B2676" s="29" t="n"/>
      <c r="C2676" s="28" t="n"/>
      <c r="D2676" s="22">
        <f t="array" ref="D2676">IF($C2676="","",IFERROR(INDEX(DATA_MASTER!$C$2:$C$5000,MATCH($C2676,DATA_MASTER!$D$2:$D$5000,0)),""))</f>
        <v/>
      </c>
      <c r="E2676" s="22">
        <f t="array" ref="E2676">IF($C2676="","",IFERROR(INDEX(DATA_MASTER!$I$2:$I$5000,MATCH($C2676,DATA_MASTER!$D$2:$D$5000,0)),""))</f>
        <v/>
      </c>
      <c r="F2676" s="22">
        <f t="array" ref="F2676">IF($C2676="","",IFERROR(INDEX(DATA_MASTER!$L$2:$L$5000,MATCH($C2676,DATA_MASTER!$D$2:$D$5000,0)),""))</f>
        <v/>
      </c>
      <c r="G2676" s="24" t="n"/>
      <c r="H2676" s="24" t="n"/>
      <c r="I2676" s="30" t="n"/>
      <c r="J2676" s="23">
        <f>IF(OR($H2676="",$I2676=""),"",$H2676*$I2676)</f>
        <v/>
      </c>
      <c r="K2676" s="24" t="n"/>
      <c r="L2676" s="24" t="n"/>
      <c r="M2676" s="29" t="n"/>
      <c r="N2676" s="28" t="n"/>
      <c r="O2676" s="24" t="n"/>
      <c r="P2676" s="24" t="n"/>
      <c r="Q2676" s="24" t="n"/>
      <c r="R2676" s="24" t="n"/>
      <c r="S2676" s="22">
        <f>IF(AND($A2676="",$C2676=""),"",IF($A2676="","Thiếu mã đơn; ","")&amp;IF(COUNTIF($A$2:$A2676,$A2676)&gt;1,"Trùng mã đơn; ","")&amp;IF(ISNA(MATCH($C2676,DATA_MASTER!$D$2:$D$5000,0)),"SĐT chưa đăng ký hội viên; ","")&amp;IF(AND($L2676="Đã chuyển khoản",$M2676=""),"Thiếu ngày nhận CK; ",""))</f>
        <v/>
      </c>
      <c r="T2676" s="24" t="n"/>
    </row>
    <row r="2677" ht="14.25" customHeight="1" s="40">
      <c r="A2677" s="24" t="n"/>
      <c r="B2677" s="29" t="n"/>
      <c r="C2677" s="28" t="n"/>
      <c r="D2677" s="22">
        <f t="array" ref="D2677">IF($C2677="","",IFERROR(INDEX(DATA_MASTER!$C$2:$C$5000,MATCH($C2677,DATA_MASTER!$D$2:$D$5000,0)),""))</f>
        <v/>
      </c>
      <c r="E2677" s="22">
        <f t="array" ref="E2677">IF($C2677="","",IFERROR(INDEX(DATA_MASTER!$I$2:$I$5000,MATCH($C2677,DATA_MASTER!$D$2:$D$5000,0)),""))</f>
        <v/>
      </c>
      <c r="F2677" s="22">
        <f t="array" ref="F2677">IF($C2677="","",IFERROR(INDEX(DATA_MASTER!$L$2:$L$5000,MATCH($C2677,DATA_MASTER!$D$2:$D$5000,0)),""))</f>
        <v/>
      </c>
      <c r="G2677" s="24" t="n"/>
      <c r="H2677" s="24" t="n"/>
      <c r="I2677" s="30" t="n"/>
      <c r="J2677" s="23">
        <f>IF(OR($H2677="",$I2677=""),"",$H2677*$I2677)</f>
        <v/>
      </c>
      <c r="K2677" s="24" t="n"/>
      <c r="L2677" s="24" t="n"/>
      <c r="M2677" s="29" t="n"/>
      <c r="N2677" s="28" t="n"/>
      <c r="O2677" s="24" t="n"/>
      <c r="P2677" s="24" t="n"/>
      <c r="Q2677" s="24" t="n"/>
      <c r="R2677" s="24" t="n"/>
      <c r="S2677" s="22">
        <f>IF(AND($A2677="",$C2677=""),"",IF($A2677="","Thiếu mã đơn; ","")&amp;IF(COUNTIF($A$2:$A2677,$A2677)&gt;1,"Trùng mã đơn; ","")&amp;IF(ISNA(MATCH($C2677,DATA_MASTER!$D$2:$D$5000,0)),"SĐT chưa đăng ký hội viên; ","")&amp;IF(AND($L2677="Đã chuyển khoản",$M2677=""),"Thiếu ngày nhận CK; ",""))</f>
        <v/>
      </c>
      <c r="T2677" s="24" t="n"/>
    </row>
    <row r="2678" ht="14.25" customHeight="1" s="40">
      <c r="A2678" s="24" t="n"/>
      <c r="B2678" s="29" t="n"/>
      <c r="C2678" s="28" t="n"/>
      <c r="D2678" s="22">
        <f t="array" ref="D2678">IF($C2678="","",IFERROR(INDEX(DATA_MASTER!$C$2:$C$5000,MATCH($C2678,DATA_MASTER!$D$2:$D$5000,0)),""))</f>
        <v/>
      </c>
      <c r="E2678" s="22">
        <f t="array" ref="E2678">IF($C2678="","",IFERROR(INDEX(DATA_MASTER!$I$2:$I$5000,MATCH($C2678,DATA_MASTER!$D$2:$D$5000,0)),""))</f>
        <v/>
      </c>
      <c r="F2678" s="22">
        <f t="array" ref="F2678">IF($C2678="","",IFERROR(INDEX(DATA_MASTER!$L$2:$L$5000,MATCH($C2678,DATA_MASTER!$D$2:$D$5000,0)),""))</f>
        <v/>
      </c>
      <c r="G2678" s="24" t="n"/>
      <c r="H2678" s="24" t="n"/>
      <c r="I2678" s="30" t="n"/>
      <c r="J2678" s="23">
        <f>IF(OR($H2678="",$I2678=""),"",$H2678*$I2678)</f>
        <v/>
      </c>
      <c r="K2678" s="24" t="n"/>
      <c r="L2678" s="24" t="n"/>
      <c r="M2678" s="29" t="n"/>
      <c r="N2678" s="28" t="n"/>
      <c r="O2678" s="24" t="n"/>
      <c r="P2678" s="24" t="n"/>
      <c r="Q2678" s="24" t="n"/>
      <c r="R2678" s="24" t="n"/>
      <c r="S2678" s="22">
        <f>IF(AND($A2678="",$C2678=""),"",IF($A2678="","Thiếu mã đơn; ","")&amp;IF(COUNTIF($A$2:$A2678,$A2678)&gt;1,"Trùng mã đơn; ","")&amp;IF(ISNA(MATCH($C2678,DATA_MASTER!$D$2:$D$5000,0)),"SĐT chưa đăng ký hội viên; ","")&amp;IF(AND($L2678="Đã chuyển khoản",$M2678=""),"Thiếu ngày nhận CK; ",""))</f>
        <v/>
      </c>
      <c r="T2678" s="24" t="n"/>
    </row>
    <row r="2679" ht="14.25" customHeight="1" s="40">
      <c r="A2679" s="24" t="n"/>
      <c r="B2679" s="29" t="n"/>
      <c r="C2679" s="28" t="n"/>
      <c r="D2679" s="22">
        <f t="array" ref="D2679">IF($C2679="","",IFERROR(INDEX(DATA_MASTER!$C$2:$C$5000,MATCH($C2679,DATA_MASTER!$D$2:$D$5000,0)),""))</f>
        <v/>
      </c>
      <c r="E2679" s="22">
        <f t="array" ref="E2679">IF($C2679="","",IFERROR(INDEX(DATA_MASTER!$I$2:$I$5000,MATCH($C2679,DATA_MASTER!$D$2:$D$5000,0)),""))</f>
        <v/>
      </c>
      <c r="F2679" s="22">
        <f t="array" ref="F2679">IF($C2679="","",IFERROR(INDEX(DATA_MASTER!$L$2:$L$5000,MATCH($C2679,DATA_MASTER!$D$2:$D$5000,0)),""))</f>
        <v/>
      </c>
      <c r="G2679" s="24" t="n"/>
      <c r="H2679" s="24" t="n"/>
      <c r="I2679" s="30" t="n"/>
      <c r="J2679" s="23">
        <f>IF(OR($H2679="",$I2679=""),"",$H2679*$I2679)</f>
        <v/>
      </c>
      <c r="K2679" s="24" t="n"/>
      <c r="L2679" s="24" t="n"/>
      <c r="M2679" s="29" t="n"/>
      <c r="N2679" s="28" t="n"/>
      <c r="O2679" s="24" t="n"/>
      <c r="P2679" s="24" t="n"/>
      <c r="Q2679" s="24" t="n"/>
      <c r="R2679" s="24" t="n"/>
      <c r="S2679" s="22">
        <f>IF(AND($A2679="",$C2679=""),"",IF($A2679="","Thiếu mã đơn; ","")&amp;IF(COUNTIF($A$2:$A2679,$A2679)&gt;1,"Trùng mã đơn; ","")&amp;IF(ISNA(MATCH($C2679,DATA_MASTER!$D$2:$D$5000,0)),"SĐT chưa đăng ký hội viên; ","")&amp;IF(AND($L2679="Đã chuyển khoản",$M2679=""),"Thiếu ngày nhận CK; ",""))</f>
        <v/>
      </c>
      <c r="T2679" s="24" t="n"/>
    </row>
    <row r="2680" ht="14.25" customHeight="1" s="40">
      <c r="A2680" s="24" t="n"/>
      <c r="B2680" s="29" t="n"/>
      <c r="C2680" s="28" t="n"/>
      <c r="D2680" s="22">
        <f t="array" ref="D2680">IF($C2680="","",IFERROR(INDEX(DATA_MASTER!$C$2:$C$5000,MATCH($C2680,DATA_MASTER!$D$2:$D$5000,0)),""))</f>
        <v/>
      </c>
      <c r="E2680" s="22">
        <f t="array" ref="E2680">IF($C2680="","",IFERROR(INDEX(DATA_MASTER!$I$2:$I$5000,MATCH($C2680,DATA_MASTER!$D$2:$D$5000,0)),""))</f>
        <v/>
      </c>
      <c r="F2680" s="22">
        <f t="array" ref="F2680">IF($C2680="","",IFERROR(INDEX(DATA_MASTER!$L$2:$L$5000,MATCH($C2680,DATA_MASTER!$D$2:$D$5000,0)),""))</f>
        <v/>
      </c>
      <c r="G2680" s="24" t="n"/>
      <c r="H2680" s="24" t="n"/>
      <c r="I2680" s="30" t="n"/>
      <c r="J2680" s="23">
        <f>IF(OR($H2680="",$I2680=""),"",$H2680*$I2680)</f>
        <v/>
      </c>
      <c r="K2680" s="24" t="n"/>
      <c r="L2680" s="24" t="n"/>
      <c r="M2680" s="29" t="n"/>
      <c r="N2680" s="28" t="n"/>
      <c r="O2680" s="24" t="n"/>
      <c r="P2680" s="24" t="n"/>
      <c r="Q2680" s="24" t="n"/>
      <c r="R2680" s="24" t="n"/>
      <c r="S2680" s="22">
        <f>IF(AND($A2680="",$C2680=""),"",IF($A2680="","Thiếu mã đơn; ","")&amp;IF(COUNTIF($A$2:$A2680,$A2680)&gt;1,"Trùng mã đơn; ","")&amp;IF(ISNA(MATCH($C2680,DATA_MASTER!$D$2:$D$5000,0)),"SĐT chưa đăng ký hội viên; ","")&amp;IF(AND($L2680="Đã chuyển khoản",$M2680=""),"Thiếu ngày nhận CK; ",""))</f>
        <v/>
      </c>
      <c r="T2680" s="24" t="n"/>
    </row>
    <row r="2681" ht="14.25" customHeight="1" s="40">
      <c r="A2681" s="24" t="n"/>
      <c r="B2681" s="29" t="n"/>
      <c r="C2681" s="28" t="n"/>
      <c r="D2681" s="22">
        <f t="array" ref="D2681">IF($C2681="","",IFERROR(INDEX(DATA_MASTER!$C$2:$C$5000,MATCH($C2681,DATA_MASTER!$D$2:$D$5000,0)),""))</f>
        <v/>
      </c>
      <c r="E2681" s="22">
        <f t="array" ref="E2681">IF($C2681="","",IFERROR(INDEX(DATA_MASTER!$I$2:$I$5000,MATCH($C2681,DATA_MASTER!$D$2:$D$5000,0)),""))</f>
        <v/>
      </c>
      <c r="F2681" s="22">
        <f t="array" ref="F2681">IF($C2681="","",IFERROR(INDEX(DATA_MASTER!$L$2:$L$5000,MATCH($C2681,DATA_MASTER!$D$2:$D$5000,0)),""))</f>
        <v/>
      </c>
      <c r="G2681" s="24" t="n"/>
      <c r="H2681" s="24" t="n"/>
      <c r="I2681" s="30" t="n"/>
      <c r="J2681" s="23">
        <f>IF(OR($H2681="",$I2681=""),"",$H2681*$I2681)</f>
        <v/>
      </c>
      <c r="K2681" s="24" t="n"/>
      <c r="L2681" s="24" t="n"/>
      <c r="M2681" s="29" t="n"/>
      <c r="N2681" s="28" t="n"/>
      <c r="O2681" s="24" t="n"/>
      <c r="P2681" s="24" t="n"/>
      <c r="Q2681" s="24" t="n"/>
      <c r="R2681" s="24" t="n"/>
      <c r="S2681" s="22">
        <f>IF(AND($A2681="",$C2681=""),"",IF($A2681="","Thiếu mã đơn; ","")&amp;IF(COUNTIF($A$2:$A2681,$A2681)&gt;1,"Trùng mã đơn; ","")&amp;IF(ISNA(MATCH($C2681,DATA_MASTER!$D$2:$D$5000,0)),"SĐT chưa đăng ký hội viên; ","")&amp;IF(AND($L2681="Đã chuyển khoản",$M2681=""),"Thiếu ngày nhận CK; ",""))</f>
        <v/>
      </c>
      <c r="T2681" s="24" t="n"/>
    </row>
    <row r="2682" ht="14.25" customHeight="1" s="40">
      <c r="A2682" s="24" t="n"/>
      <c r="B2682" s="29" t="n"/>
      <c r="C2682" s="28" t="n"/>
      <c r="D2682" s="22">
        <f t="array" ref="D2682">IF($C2682="","",IFERROR(INDEX(DATA_MASTER!$C$2:$C$5000,MATCH($C2682,DATA_MASTER!$D$2:$D$5000,0)),""))</f>
        <v/>
      </c>
      <c r="E2682" s="22">
        <f t="array" ref="E2682">IF($C2682="","",IFERROR(INDEX(DATA_MASTER!$I$2:$I$5000,MATCH($C2682,DATA_MASTER!$D$2:$D$5000,0)),""))</f>
        <v/>
      </c>
      <c r="F2682" s="22">
        <f t="array" ref="F2682">IF($C2682="","",IFERROR(INDEX(DATA_MASTER!$L$2:$L$5000,MATCH($C2682,DATA_MASTER!$D$2:$D$5000,0)),""))</f>
        <v/>
      </c>
      <c r="G2682" s="24" t="n"/>
      <c r="H2682" s="24" t="n"/>
      <c r="I2682" s="30" t="n"/>
      <c r="J2682" s="23">
        <f>IF(OR($H2682="",$I2682=""),"",$H2682*$I2682)</f>
        <v/>
      </c>
      <c r="K2682" s="24" t="n"/>
      <c r="L2682" s="24" t="n"/>
      <c r="M2682" s="29" t="n"/>
      <c r="N2682" s="28" t="n"/>
      <c r="O2682" s="24" t="n"/>
      <c r="P2682" s="24" t="n"/>
      <c r="Q2682" s="24" t="n"/>
      <c r="R2682" s="24" t="n"/>
      <c r="S2682" s="22">
        <f>IF(AND($A2682="",$C2682=""),"",IF($A2682="","Thiếu mã đơn; ","")&amp;IF(COUNTIF($A$2:$A2682,$A2682)&gt;1,"Trùng mã đơn; ","")&amp;IF(ISNA(MATCH($C2682,DATA_MASTER!$D$2:$D$5000,0)),"SĐT chưa đăng ký hội viên; ","")&amp;IF(AND($L2682="Đã chuyển khoản",$M2682=""),"Thiếu ngày nhận CK; ",""))</f>
        <v/>
      </c>
      <c r="T2682" s="24" t="n"/>
    </row>
    <row r="2683" ht="14.25" customHeight="1" s="40">
      <c r="A2683" s="24" t="n"/>
      <c r="B2683" s="29" t="n"/>
      <c r="C2683" s="28" t="n"/>
      <c r="D2683" s="22">
        <f t="array" ref="D2683">IF($C2683="","",IFERROR(INDEX(DATA_MASTER!$C$2:$C$5000,MATCH($C2683,DATA_MASTER!$D$2:$D$5000,0)),""))</f>
        <v/>
      </c>
      <c r="E2683" s="22">
        <f t="array" ref="E2683">IF($C2683="","",IFERROR(INDEX(DATA_MASTER!$I$2:$I$5000,MATCH($C2683,DATA_MASTER!$D$2:$D$5000,0)),""))</f>
        <v/>
      </c>
      <c r="F2683" s="22">
        <f t="array" ref="F2683">IF($C2683="","",IFERROR(INDEX(DATA_MASTER!$L$2:$L$5000,MATCH($C2683,DATA_MASTER!$D$2:$D$5000,0)),""))</f>
        <v/>
      </c>
      <c r="G2683" s="24" t="n"/>
      <c r="H2683" s="24" t="n"/>
      <c r="I2683" s="30" t="n"/>
      <c r="J2683" s="23">
        <f>IF(OR($H2683="",$I2683=""),"",$H2683*$I2683)</f>
        <v/>
      </c>
      <c r="K2683" s="24" t="n"/>
      <c r="L2683" s="24" t="n"/>
      <c r="M2683" s="29" t="n"/>
      <c r="N2683" s="28" t="n"/>
      <c r="O2683" s="24" t="n"/>
      <c r="P2683" s="24" t="n"/>
      <c r="Q2683" s="24" t="n"/>
      <c r="R2683" s="24" t="n"/>
      <c r="S2683" s="22">
        <f>IF(AND($A2683="",$C2683=""),"",IF($A2683="","Thiếu mã đơn; ","")&amp;IF(COUNTIF($A$2:$A2683,$A2683)&gt;1,"Trùng mã đơn; ","")&amp;IF(ISNA(MATCH($C2683,DATA_MASTER!$D$2:$D$5000,0)),"SĐT chưa đăng ký hội viên; ","")&amp;IF(AND($L2683="Đã chuyển khoản",$M2683=""),"Thiếu ngày nhận CK; ",""))</f>
        <v/>
      </c>
      <c r="T2683" s="24" t="n"/>
    </row>
    <row r="2684" ht="14.25" customHeight="1" s="40">
      <c r="A2684" s="24" t="n"/>
      <c r="B2684" s="29" t="n"/>
      <c r="C2684" s="28" t="n"/>
      <c r="D2684" s="22">
        <f t="array" ref="D2684">IF($C2684="","",IFERROR(INDEX(DATA_MASTER!$C$2:$C$5000,MATCH($C2684,DATA_MASTER!$D$2:$D$5000,0)),""))</f>
        <v/>
      </c>
      <c r="E2684" s="22">
        <f t="array" ref="E2684">IF($C2684="","",IFERROR(INDEX(DATA_MASTER!$I$2:$I$5000,MATCH($C2684,DATA_MASTER!$D$2:$D$5000,0)),""))</f>
        <v/>
      </c>
      <c r="F2684" s="22">
        <f t="array" ref="F2684">IF($C2684="","",IFERROR(INDEX(DATA_MASTER!$L$2:$L$5000,MATCH($C2684,DATA_MASTER!$D$2:$D$5000,0)),""))</f>
        <v/>
      </c>
      <c r="G2684" s="24" t="n"/>
      <c r="H2684" s="24" t="n"/>
      <c r="I2684" s="30" t="n"/>
      <c r="J2684" s="23">
        <f>IF(OR($H2684="",$I2684=""),"",$H2684*$I2684)</f>
        <v/>
      </c>
      <c r="K2684" s="24" t="n"/>
      <c r="L2684" s="24" t="n"/>
      <c r="M2684" s="29" t="n"/>
      <c r="N2684" s="28" t="n"/>
      <c r="O2684" s="24" t="n"/>
      <c r="P2684" s="24" t="n"/>
      <c r="Q2684" s="24" t="n"/>
      <c r="R2684" s="24" t="n"/>
      <c r="S2684" s="22">
        <f>IF(AND($A2684="",$C2684=""),"",IF($A2684="","Thiếu mã đơn; ","")&amp;IF(COUNTIF($A$2:$A2684,$A2684)&gt;1,"Trùng mã đơn; ","")&amp;IF(ISNA(MATCH($C2684,DATA_MASTER!$D$2:$D$5000,0)),"SĐT chưa đăng ký hội viên; ","")&amp;IF(AND($L2684="Đã chuyển khoản",$M2684=""),"Thiếu ngày nhận CK; ",""))</f>
        <v/>
      </c>
      <c r="T2684" s="24" t="n"/>
    </row>
    <row r="2685" ht="14.25" customHeight="1" s="40">
      <c r="A2685" s="24" t="n"/>
      <c r="B2685" s="29" t="n"/>
      <c r="C2685" s="28" t="n"/>
      <c r="D2685" s="22">
        <f t="array" ref="D2685">IF($C2685="","",IFERROR(INDEX(DATA_MASTER!$C$2:$C$5000,MATCH($C2685,DATA_MASTER!$D$2:$D$5000,0)),""))</f>
        <v/>
      </c>
      <c r="E2685" s="22">
        <f t="array" ref="E2685">IF($C2685="","",IFERROR(INDEX(DATA_MASTER!$I$2:$I$5000,MATCH($C2685,DATA_MASTER!$D$2:$D$5000,0)),""))</f>
        <v/>
      </c>
      <c r="F2685" s="22">
        <f t="array" ref="F2685">IF($C2685="","",IFERROR(INDEX(DATA_MASTER!$L$2:$L$5000,MATCH($C2685,DATA_MASTER!$D$2:$D$5000,0)),""))</f>
        <v/>
      </c>
      <c r="G2685" s="24" t="n"/>
      <c r="H2685" s="24" t="n"/>
      <c r="I2685" s="30" t="n"/>
      <c r="J2685" s="23">
        <f>IF(OR($H2685="",$I2685=""),"",$H2685*$I2685)</f>
        <v/>
      </c>
      <c r="K2685" s="24" t="n"/>
      <c r="L2685" s="24" t="n"/>
      <c r="M2685" s="29" t="n"/>
      <c r="N2685" s="28" t="n"/>
      <c r="O2685" s="24" t="n"/>
      <c r="P2685" s="24" t="n"/>
      <c r="Q2685" s="24" t="n"/>
      <c r="R2685" s="24" t="n"/>
      <c r="S2685" s="22">
        <f>IF(AND($A2685="",$C2685=""),"",IF($A2685="","Thiếu mã đơn; ","")&amp;IF(COUNTIF($A$2:$A2685,$A2685)&gt;1,"Trùng mã đơn; ","")&amp;IF(ISNA(MATCH($C2685,DATA_MASTER!$D$2:$D$5000,0)),"SĐT chưa đăng ký hội viên; ","")&amp;IF(AND($L2685="Đã chuyển khoản",$M2685=""),"Thiếu ngày nhận CK; ",""))</f>
        <v/>
      </c>
      <c r="T2685" s="24" t="n"/>
    </row>
    <row r="2686" ht="14.25" customHeight="1" s="40">
      <c r="A2686" s="24" t="n"/>
      <c r="B2686" s="29" t="n"/>
      <c r="C2686" s="28" t="n"/>
      <c r="D2686" s="22">
        <f t="array" ref="D2686">IF($C2686="","",IFERROR(INDEX(DATA_MASTER!$C$2:$C$5000,MATCH($C2686,DATA_MASTER!$D$2:$D$5000,0)),""))</f>
        <v/>
      </c>
      <c r="E2686" s="22">
        <f t="array" ref="E2686">IF($C2686="","",IFERROR(INDEX(DATA_MASTER!$I$2:$I$5000,MATCH($C2686,DATA_MASTER!$D$2:$D$5000,0)),""))</f>
        <v/>
      </c>
      <c r="F2686" s="22">
        <f t="array" ref="F2686">IF($C2686="","",IFERROR(INDEX(DATA_MASTER!$L$2:$L$5000,MATCH($C2686,DATA_MASTER!$D$2:$D$5000,0)),""))</f>
        <v/>
      </c>
      <c r="G2686" s="24" t="n"/>
      <c r="H2686" s="24" t="n"/>
      <c r="I2686" s="30" t="n"/>
      <c r="J2686" s="23">
        <f>IF(OR($H2686="",$I2686=""),"",$H2686*$I2686)</f>
        <v/>
      </c>
      <c r="K2686" s="24" t="n"/>
      <c r="L2686" s="24" t="n"/>
      <c r="M2686" s="29" t="n"/>
      <c r="N2686" s="28" t="n"/>
      <c r="O2686" s="24" t="n"/>
      <c r="P2686" s="24" t="n"/>
      <c r="Q2686" s="24" t="n"/>
      <c r="R2686" s="24" t="n"/>
      <c r="S2686" s="22">
        <f>IF(AND($A2686="",$C2686=""),"",IF($A2686="","Thiếu mã đơn; ","")&amp;IF(COUNTIF($A$2:$A2686,$A2686)&gt;1,"Trùng mã đơn; ","")&amp;IF(ISNA(MATCH($C2686,DATA_MASTER!$D$2:$D$5000,0)),"SĐT chưa đăng ký hội viên; ","")&amp;IF(AND($L2686="Đã chuyển khoản",$M2686=""),"Thiếu ngày nhận CK; ",""))</f>
        <v/>
      </c>
      <c r="T2686" s="24" t="n"/>
    </row>
    <row r="2687" ht="14.25" customHeight="1" s="40">
      <c r="A2687" s="24" t="n"/>
      <c r="B2687" s="29" t="n"/>
      <c r="C2687" s="28" t="n"/>
      <c r="D2687" s="22">
        <f t="array" ref="D2687">IF($C2687="","",IFERROR(INDEX(DATA_MASTER!$C$2:$C$5000,MATCH($C2687,DATA_MASTER!$D$2:$D$5000,0)),""))</f>
        <v/>
      </c>
      <c r="E2687" s="22">
        <f t="array" ref="E2687">IF($C2687="","",IFERROR(INDEX(DATA_MASTER!$I$2:$I$5000,MATCH($C2687,DATA_MASTER!$D$2:$D$5000,0)),""))</f>
        <v/>
      </c>
      <c r="F2687" s="22">
        <f t="array" ref="F2687">IF($C2687="","",IFERROR(INDEX(DATA_MASTER!$L$2:$L$5000,MATCH($C2687,DATA_MASTER!$D$2:$D$5000,0)),""))</f>
        <v/>
      </c>
      <c r="G2687" s="24" t="n"/>
      <c r="H2687" s="24" t="n"/>
      <c r="I2687" s="30" t="n"/>
      <c r="J2687" s="23">
        <f>IF(OR($H2687="",$I2687=""),"",$H2687*$I2687)</f>
        <v/>
      </c>
      <c r="K2687" s="24" t="n"/>
      <c r="L2687" s="24" t="n"/>
      <c r="M2687" s="29" t="n"/>
      <c r="N2687" s="28" t="n"/>
      <c r="O2687" s="24" t="n"/>
      <c r="P2687" s="24" t="n"/>
      <c r="Q2687" s="24" t="n"/>
      <c r="R2687" s="24" t="n"/>
      <c r="S2687" s="22">
        <f>IF(AND($A2687="",$C2687=""),"",IF($A2687="","Thiếu mã đơn; ","")&amp;IF(COUNTIF($A$2:$A2687,$A2687)&gt;1,"Trùng mã đơn; ","")&amp;IF(ISNA(MATCH($C2687,DATA_MASTER!$D$2:$D$5000,0)),"SĐT chưa đăng ký hội viên; ","")&amp;IF(AND($L2687="Đã chuyển khoản",$M2687=""),"Thiếu ngày nhận CK; ",""))</f>
        <v/>
      </c>
      <c r="T2687" s="24" t="n"/>
    </row>
    <row r="2688" ht="14.25" customHeight="1" s="40">
      <c r="A2688" s="24" t="n"/>
      <c r="B2688" s="29" t="n"/>
      <c r="C2688" s="28" t="n"/>
      <c r="D2688" s="22">
        <f t="array" ref="D2688">IF($C2688="","",IFERROR(INDEX(DATA_MASTER!$C$2:$C$5000,MATCH($C2688,DATA_MASTER!$D$2:$D$5000,0)),""))</f>
        <v/>
      </c>
      <c r="E2688" s="22">
        <f t="array" ref="E2688">IF($C2688="","",IFERROR(INDEX(DATA_MASTER!$I$2:$I$5000,MATCH($C2688,DATA_MASTER!$D$2:$D$5000,0)),""))</f>
        <v/>
      </c>
      <c r="F2688" s="22">
        <f t="array" ref="F2688">IF($C2688="","",IFERROR(INDEX(DATA_MASTER!$L$2:$L$5000,MATCH($C2688,DATA_MASTER!$D$2:$D$5000,0)),""))</f>
        <v/>
      </c>
      <c r="G2688" s="24" t="n"/>
      <c r="H2688" s="24" t="n"/>
      <c r="I2688" s="30" t="n"/>
      <c r="J2688" s="23">
        <f>IF(OR($H2688="",$I2688=""),"",$H2688*$I2688)</f>
        <v/>
      </c>
      <c r="K2688" s="24" t="n"/>
      <c r="L2688" s="24" t="n"/>
      <c r="M2688" s="29" t="n"/>
      <c r="N2688" s="28" t="n"/>
      <c r="O2688" s="24" t="n"/>
      <c r="P2688" s="24" t="n"/>
      <c r="Q2688" s="24" t="n"/>
      <c r="R2688" s="24" t="n"/>
      <c r="S2688" s="22">
        <f>IF(AND($A2688="",$C2688=""),"",IF($A2688="","Thiếu mã đơn; ","")&amp;IF(COUNTIF($A$2:$A2688,$A2688)&gt;1,"Trùng mã đơn; ","")&amp;IF(ISNA(MATCH($C2688,DATA_MASTER!$D$2:$D$5000,0)),"SĐT chưa đăng ký hội viên; ","")&amp;IF(AND($L2688="Đã chuyển khoản",$M2688=""),"Thiếu ngày nhận CK; ",""))</f>
        <v/>
      </c>
      <c r="T2688" s="24" t="n"/>
    </row>
    <row r="2689" ht="14.25" customHeight="1" s="40">
      <c r="A2689" s="24" t="n"/>
      <c r="B2689" s="29" t="n"/>
      <c r="C2689" s="28" t="n"/>
      <c r="D2689" s="22">
        <f t="array" ref="D2689">IF($C2689="","",IFERROR(INDEX(DATA_MASTER!$C$2:$C$5000,MATCH($C2689,DATA_MASTER!$D$2:$D$5000,0)),""))</f>
        <v/>
      </c>
      <c r="E2689" s="22">
        <f t="array" ref="E2689">IF($C2689="","",IFERROR(INDEX(DATA_MASTER!$I$2:$I$5000,MATCH($C2689,DATA_MASTER!$D$2:$D$5000,0)),""))</f>
        <v/>
      </c>
      <c r="F2689" s="22">
        <f t="array" ref="F2689">IF($C2689="","",IFERROR(INDEX(DATA_MASTER!$L$2:$L$5000,MATCH($C2689,DATA_MASTER!$D$2:$D$5000,0)),""))</f>
        <v/>
      </c>
      <c r="G2689" s="24" t="n"/>
      <c r="H2689" s="24" t="n"/>
      <c r="I2689" s="30" t="n"/>
      <c r="J2689" s="23">
        <f>IF(OR($H2689="",$I2689=""),"",$H2689*$I2689)</f>
        <v/>
      </c>
      <c r="K2689" s="24" t="n"/>
      <c r="L2689" s="24" t="n"/>
      <c r="M2689" s="29" t="n"/>
      <c r="N2689" s="28" t="n"/>
      <c r="O2689" s="24" t="n"/>
      <c r="P2689" s="24" t="n"/>
      <c r="Q2689" s="24" t="n"/>
      <c r="R2689" s="24" t="n"/>
      <c r="S2689" s="22">
        <f>IF(AND($A2689="",$C2689=""),"",IF($A2689="","Thiếu mã đơn; ","")&amp;IF(COUNTIF($A$2:$A2689,$A2689)&gt;1,"Trùng mã đơn; ","")&amp;IF(ISNA(MATCH($C2689,DATA_MASTER!$D$2:$D$5000,0)),"SĐT chưa đăng ký hội viên; ","")&amp;IF(AND($L2689="Đã chuyển khoản",$M2689=""),"Thiếu ngày nhận CK; ",""))</f>
        <v/>
      </c>
      <c r="T2689" s="24" t="n"/>
    </row>
    <row r="2690" ht="14.25" customHeight="1" s="40">
      <c r="A2690" s="24" t="n"/>
      <c r="B2690" s="29" t="n"/>
      <c r="C2690" s="28" t="n"/>
      <c r="D2690" s="22">
        <f t="array" ref="D2690">IF($C2690="","",IFERROR(INDEX(DATA_MASTER!$C$2:$C$5000,MATCH($C2690,DATA_MASTER!$D$2:$D$5000,0)),""))</f>
        <v/>
      </c>
      <c r="E2690" s="22">
        <f t="array" ref="E2690">IF($C2690="","",IFERROR(INDEX(DATA_MASTER!$I$2:$I$5000,MATCH($C2690,DATA_MASTER!$D$2:$D$5000,0)),""))</f>
        <v/>
      </c>
      <c r="F2690" s="22">
        <f t="array" ref="F2690">IF($C2690="","",IFERROR(INDEX(DATA_MASTER!$L$2:$L$5000,MATCH($C2690,DATA_MASTER!$D$2:$D$5000,0)),""))</f>
        <v/>
      </c>
      <c r="G2690" s="24" t="n"/>
      <c r="H2690" s="24" t="n"/>
      <c r="I2690" s="30" t="n"/>
      <c r="J2690" s="23">
        <f>IF(OR($H2690="",$I2690=""),"",$H2690*$I2690)</f>
        <v/>
      </c>
      <c r="K2690" s="24" t="n"/>
      <c r="L2690" s="24" t="n"/>
      <c r="M2690" s="29" t="n"/>
      <c r="N2690" s="28" t="n"/>
      <c r="O2690" s="24" t="n"/>
      <c r="P2690" s="24" t="n"/>
      <c r="Q2690" s="24" t="n"/>
      <c r="R2690" s="24" t="n"/>
      <c r="S2690" s="22">
        <f>IF(AND($A2690="",$C2690=""),"",IF($A2690="","Thiếu mã đơn; ","")&amp;IF(COUNTIF($A$2:$A2690,$A2690)&gt;1,"Trùng mã đơn; ","")&amp;IF(ISNA(MATCH($C2690,DATA_MASTER!$D$2:$D$5000,0)),"SĐT chưa đăng ký hội viên; ","")&amp;IF(AND($L2690="Đã chuyển khoản",$M2690=""),"Thiếu ngày nhận CK; ",""))</f>
        <v/>
      </c>
      <c r="T2690" s="24" t="n"/>
    </row>
    <row r="2691" ht="14.25" customHeight="1" s="40">
      <c r="A2691" s="24" t="n"/>
      <c r="B2691" s="29" t="n"/>
      <c r="C2691" s="28" t="n"/>
      <c r="D2691" s="22">
        <f t="array" ref="D2691">IF($C2691="","",IFERROR(INDEX(DATA_MASTER!$C$2:$C$5000,MATCH($C2691,DATA_MASTER!$D$2:$D$5000,0)),""))</f>
        <v/>
      </c>
      <c r="E2691" s="22">
        <f t="array" ref="E2691">IF($C2691="","",IFERROR(INDEX(DATA_MASTER!$I$2:$I$5000,MATCH($C2691,DATA_MASTER!$D$2:$D$5000,0)),""))</f>
        <v/>
      </c>
      <c r="F2691" s="22">
        <f t="array" ref="F2691">IF($C2691="","",IFERROR(INDEX(DATA_MASTER!$L$2:$L$5000,MATCH($C2691,DATA_MASTER!$D$2:$D$5000,0)),""))</f>
        <v/>
      </c>
      <c r="G2691" s="24" t="n"/>
      <c r="H2691" s="24" t="n"/>
      <c r="I2691" s="30" t="n"/>
      <c r="J2691" s="23">
        <f>IF(OR($H2691="",$I2691=""),"",$H2691*$I2691)</f>
        <v/>
      </c>
      <c r="K2691" s="24" t="n"/>
      <c r="L2691" s="24" t="n"/>
      <c r="M2691" s="29" t="n"/>
      <c r="N2691" s="28" t="n"/>
      <c r="O2691" s="24" t="n"/>
      <c r="P2691" s="24" t="n"/>
      <c r="Q2691" s="24" t="n"/>
      <c r="R2691" s="24" t="n"/>
      <c r="S2691" s="22">
        <f>IF(AND($A2691="",$C2691=""),"",IF($A2691="","Thiếu mã đơn; ","")&amp;IF(COUNTIF($A$2:$A2691,$A2691)&gt;1,"Trùng mã đơn; ","")&amp;IF(ISNA(MATCH($C2691,DATA_MASTER!$D$2:$D$5000,0)),"SĐT chưa đăng ký hội viên; ","")&amp;IF(AND($L2691="Đã chuyển khoản",$M2691=""),"Thiếu ngày nhận CK; ",""))</f>
        <v/>
      </c>
      <c r="T2691" s="24" t="n"/>
    </row>
    <row r="2692" ht="14.25" customHeight="1" s="40">
      <c r="A2692" s="24" t="n"/>
      <c r="B2692" s="29" t="n"/>
      <c r="C2692" s="28" t="n"/>
      <c r="D2692" s="22">
        <f t="array" ref="D2692">IF($C2692="","",IFERROR(INDEX(DATA_MASTER!$C$2:$C$5000,MATCH($C2692,DATA_MASTER!$D$2:$D$5000,0)),""))</f>
        <v/>
      </c>
      <c r="E2692" s="22">
        <f t="array" ref="E2692">IF($C2692="","",IFERROR(INDEX(DATA_MASTER!$I$2:$I$5000,MATCH($C2692,DATA_MASTER!$D$2:$D$5000,0)),""))</f>
        <v/>
      </c>
      <c r="F2692" s="22">
        <f t="array" ref="F2692">IF($C2692="","",IFERROR(INDEX(DATA_MASTER!$L$2:$L$5000,MATCH($C2692,DATA_MASTER!$D$2:$D$5000,0)),""))</f>
        <v/>
      </c>
      <c r="G2692" s="24" t="n"/>
      <c r="H2692" s="24" t="n"/>
      <c r="I2692" s="30" t="n"/>
      <c r="J2692" s="23">
        <f>IF(OR($H2692="",$I2692=""),"",$H2692*$I2692)</f>
        <v/>
      </c>
      <c r="K2692" s="24" t="n"/>
      <c r="L2692" s="24" t="n"/>
      <c r="M2692" s="29" t="n"/>
      <c r="N2692" s="28" t="n"/>
      <c r="O2692" s="24" t="n"/>
      <c r="P2692" s="24" t="n"/>
      <c r="Q2692" s="24" t="n"/>
      <c r="R2692" s="24" t="n"/>
      <c r="S2692" s="22">
        <f>IF(AND($A2692="",$C2692=""),"",IF($A2692="","Thiếu mã đơn; ","")&amp;IF(COUNTIF($A$2:$A2692,$A2692)&gt;1,"Trùng mã đơn; ","")&amp;IF(ISNA(MATCH($C2692,DATA_MASTER!$D$2:$D$5000,0)),"SĐT chưa đăng ký hội viên; ","")&amp;IF(AND($L2692="Đã chuyển khoản",$M2692=""),"Thiếu ngày nhận CK; ",""))</f>
        <v/>
      </c>
      <c r="T2692" s="24" t="n"/>
    </row>
    <row r="2693" ht="14.25" customHeight="1" s="40">
      <c r="A2693" s="24" t="n"/>
      <c r="B2693" s="29" t="n"/>
      <c r="C2693" s="28" t="n"/>
      <c r="D2693" s="22">
        <f t="array" ref="D2693">IF($C2693="","",IFERROR(INDEX(DATA_MASTER!$C$2:$C$5000,MATCH($C2693,DATA_MASTER!$D$2:$D$5000,0)),""))</f>
        <v/>
      </c>
      <c r="E2693" s="22">
        <f t="array" ref="E2693">IF($C2693="","",IFERROR(INDEX(DATA_MASTER!$I$2:$I$5000,MATCH($C2693,DATA_MASTER!$D$2:$D$5000,0)),""))</f>
        <v/>
      </c>
      <c r="F2693" s="22">
        <f t="array" ref="F2693">IF($C2693="","",IFERROR(INDEX(DATA_MASTER!$L$2:$L$5000,MATCH($C2693,DATA_MASTER!$D$2:$D$5000,0)),""))</f>
        <v/>
      </c>
      <c r="G2693" s="24" t="n"/>
      <c r="H2693" s="24" t="n"/>
      <c r="I2693" s="30" t="n"/>
      <c r="J2693" s="23">
        <f>IF(OR($H2693="",$I2693=""),"",$H2693*$I2693)</f>
        <v/>
      </c>
      <c r="K2693" s="24" t="n"/>
      <c r="L2693" s="24" t="n"/>
      <c r="M2693" s="29" t="n"/>
      <c r="N2693" s="28" t="n"/>
      <c r="O2693" s="24" t="n"/>
      <c r="P2693" s="24" t="n"/>
      <c r="Q2693" s="24" t="n"/>
      <c r="R2693" s="24" t="n"/>
      <c r="S2693" s="22">
        <f>IF(AND($A2693="",$C2693=""),"",IF($A2693="","Thiếu mã đơn; ","")&amp;IF(COUNTIF($A$2:$A2693,$A2693)&gt;1,"Trùng mã đơn; ","")&amp;IF(ISNA(MATCH($C2693,DATA_MASTER!$D$2:$D$5000,0)),"SĐT chưa đăng ký hội viên; ","")&amp;IF(AND($L2693="Đã chuyển khoản",$M2693=""),"Thiếu ngày nhận CK; ",""))</f>
        <v/>
      </c>
      <c r="T2693" s="24" t="n"/>
    </row>
    <row r="2694" ht="14.25" customHeight="1" s="40">
      <c r="A2694" s="24" t="n"/>
      <c r="B2694" s="29" t="n"/>
      <c r="C2694" s="28" t="n"/>
      <c r="D2694" s="22">
        <f t="array" ref="D2694">IF($C2694="","",IFERROR(INDEX(DATA_MASTER!$C$2:$C$5000,MATCH($C2694,DATA_MASTER!$D$2:$D$5000,0)),""))</f>
        <v/>
      </c>
      <c r="E2694" s="22">
        <f t="array" ref="E2694">IF($C2694="","",IFERROR(INDEX(DATA_MASTER!$I$2:$I$5000,MATCH($C2694,DATA_MASTER!$D$2:$D$5000,0)),""))</f>
        <v/>
      </c>
      <c r="F2694" s="22">
        <f t="array" ref="F2694">IF($C2694="","",IFERROR(INDEX(DATA_MASTER!$L$2:$L$5000,MATCH($C2694,DATA_MASTER!$D$2:$D$5000,0)),""))</f>
        <v/>
      </c>
      <c r="G2694" s="24" t="n"/>
      <c r="H2694" s="24" t="n"/>
      <c r="I2694" s="30" t="n"/>
      <c r="J2694" s="23">
        <f>IF(OR($H2694="",$I2694=""),"",$H2694*$I2694)</f>
        <v/>
      </c>
      <c r="K2694" s="24" t="n"/>
      <c r="L2694" s="24" t="n"/>
      <c r="M2694" s="29" t="n"/>
      <c r="N2694" s="28" t="n"/>
      <c r="O2694" s="24" t="n"/>
      <c r="P2694" s="24" t="n"/>
      <c r="Q2694" s="24" t="n"/>
      <c r="R2694" s="24" t="n"/>
      <c r="S2694" s="22">
        <f>IF(AND($A2694="",$C2694=""),"",IF($A2694="","Thiếu mã đơn; ","")&amp;IF(COUNTIF($A$2:$A2694,$A2694)&gt;1,"Trùng mã đơn; ","")&amp;IF(ISNA(MATCH($C2694,DATA_MASTER!$D$2:$D$5000,0)),"SĐT chưa đăng ký hội viên; ","")&amp;IF(AND($L2694="Đã chuyển khoản",$M2694=""),"Thiếu ngày nhận CK; ",""))</f>
        <v/>
      </c>
      <c r="T2694" s="24" t="n"/>
    </row>
    <row r="2695" ht="14.25" customHeight="1" s="40">
      <c r="A2695" s="24" t="n"/>
      <c r="B2695" s="29" t="n"/>
      <c r="C2695" s="28" t="n"/>
      <c r="D2695" s="22">
        <f t="array" ref="D2695">IF($C2695="","",IFERROR(INDEX(DATA_MASTER!$C$2:$C$5000,MATCH($C2695,DATA_MASTER!$D$2:$D$5000,0)),""))</f>
        <v/>
      </c>
      <c r="E2695" s="22">
        <f t="array" ref="E2695">IF($C2695="","",IFERROR(INDEX(DATA_MASTER!$I$2:$I$5000,MATCH($C2695,DATA_MASTER!$D$2:$D$5000,0)),""))</f>
        <v/>
      </c>
      <c r="F2695" s="22">
        <f t="array" ref="F2695">IF($C2695="","",IFERROR(INDEX(DATA_MASTER!$L$2:$L$5000,MATCH($C2695,DATA_MASTER!$D$2:$D$5000,0)),""))</f>
        <v/>
      </c>
      <c r="G2695" s="24" t="n"/>
      <c r="H2695" s="24" t="n"/>
      <c r="I2695" s="30" t="n"/>
      <c r="J2695" s="23">
        <f>IF(OR($H2695="",$I2695=""),"",$H2695*$I2695)</f>
        <v/>
      </c>
      <c r="K2695" s="24" t="n"/>
      <c r="L2695" s="24" t="n"/>
      <c r="M2695" s="29" t="n"/>
      <c r="N2695" s="28" t="n"/>
      <c r="O2695" s="24" t="n"/>
      <c r="P2695" s="24" t="n"/>
      <c r="Q2695" s="24" t="n"/>
      <c r="R2695" s="24" t="n"/>
      <c r="S2695" s="22">
        <f>IF(AND($A2695="",$C2695=""),"",IF($A2695="","Thiếu mã đơn; ","")&amp;IF(COUNTIF($A$2:$A2695,$A2695)&gt;1,"Trùng mã đơn; ","")&amp;IF(ISNA(MATCH($C2695,DATA_MASTER!$D$2:$D$5000,0)),"SĐT chưa đăng ký hội viên; ","")&amp;IF(AND($L2695="Đã chuyển khoản",$M2695=""),"Thiếu ngày nhận CK; ",""))</f>
        <v/>
      </c>
      <c r="T2695" s="24" t="n"/>
    </row>
    <row r="2696" ht="14.25" customHeight="1" s="40">
      <c r="A2696" s="24" t="n"/>
      <c r="B2696" s="29" t="n"/>
      <c r="C2696" s="28" t="n"/>
      <c r="D2696" s="22">
        <f t="array" ref="D2696">IF($C2696="","",IFERROR(INDEX(DATA_MASTER!$C$2:$C$5000,MATCH($C2696,DATA_MASTER!$D$2:$D$5000,0)),""))</f>
        <v/>
      </c>
      <c r="E2696" s="22">
        <f t="array" ref="E2696">IF($C2696="","",IFERROR(INDEX(DATA_MASTER!$I$2:$I$5000,MATCH($C2696,DATA_MASTER!$D$2:$D$5000,0)),""))</f>
        <v/>
      </c>
      <c r="F2696" s="22">
        <f t="array" ref="F2696">IF($C2696="","",IFERROR(INDEX(DATA_MASTER!$L$2:$L$5000,MATCH($C2696,DATA_MASTER!$D$2:$D$5000,0)),""))</f>
        <v/>
      </c>
      <c r="G2696" s="24" t="n"/>
      <c r="H2696" s="24" t="n"/>
      <c r="I2696" s="30" t="n"/>
      <c r="J2696" s="23">
        <f>IF(OR($H2696="",$I2696=""),"",$H2696*$I2696)</f>
        <v/>
      </c>
      <c r="K2696" s="24" t="n"/>
      <c r="L2696" s="24" t="n"/>
      <c r="M2696" s="29" t="n"/>
      <c r="N2696" s="28" t="n"/>
      <c r="O2696" s="24" t="n"/>
      <c r="P2696" s="24" t="n"/>
      <c r="Q2696" s="24" t="n"/>
      <c r="R2696" s="24" t="n"/>
      <c r="S2696" s="22">
        <f>IF(AND($A2696="",$C2696=""),"",IF($A2696="","Thiếu mã đơn; ","")&amp;IF(COUNTIF($A$2:$A2696,$A2696)&gt;1,"Trùng mã đơn; ","")&amp;IF(ISNA(MATCH($C2696,DATA_MASTER!$D$2:$D$5000,0)),"SĐT chưa đăng ký hội viên; ","")&amp;IF(AND($L2696="Đã chuyển khoản",$M2696=""),"Thiếu ngày nhận CK; ",""))</f>
        <v/>
      </c>
      <c r="T2696" s="24" t="n"/>
    </row>
    <row r="2697" ht="14.25" customHeight="1" s="40">
      <c r="A2697" s="24" t="n"/>
      <c r="B2697" s="29" t="n"/>
      <c r="C2697" s="28" t="n"/>
      <c r="D2697" s="22">
        <f t="array" ref="D2697">IF($C2697="","",IFERROR(INDEX(DATA_MASTER!$C$2:$C$5000,MATCH($C2697,DATA_MASTER!$D$2:$D$5000,0)),""))</f>
        <v/>
      </c>
      <c r="E2697" s="22">
        <f t="array" ref="E2697">IF($C2697="","",IFERROR(INDEX(DATA_MASTER!$I$2:$I$5000,MATCH($C2697,DATA_MASTER!$D$2:$D$5000,0)),""))</f>
        <v/>
      </c>
      <c r="F2697" s="22">
        <f t="array" ref="F2697">IF($C2697="","",IFERROR(INDEX(DATA_MASTER!$L$2:$L$5000,MATCH($C2697,DATA_MASTER!$D$2:$D$5000,0)),""))</f>
        <v/>
      </c>
      <c r="G2697" s="24" t="n"/>
      <c r="H2697" s="24" t="n"/>
      <c r="I2697" s="30" t="n"/>
      <c r="J2697" s="23">
        <f>IF(OR($H2697="",$I2697=""),"",$H2697*$I2697)</f>
        <v/>
      </c>
      <c r="K2697" s="24" t="n"/>
      <c r="L2697" s="24" t="n"/>
      <c r="M2697" s="29" t="n"/>
      <c r="N2697" s="28" t="n"/>
      <c r="O2697" s="24" t="n"/>
      <c r="P2697" s="24" t="n"/>
      <c r="Q2697" s="24" t="n"/>
      <c r="R2697" s="24" t="n"/>
      <c r="S2697" s="22">
        <f>IF(AND($A2697="",$C2697=""),"",IF($A2697="","Thiếu mã đơn; ","")&amp;IF(COUNTIF($A$2:$A2697,$A2697)&gt;1,"Trùng mã đơn; ","")&amp;IF(ISNA(MATCH($C2697,DATA_MASTER!$D$2:$D$5000,0)),"SĐT chưa đăng ký hội viên; ","")&amp;IF(AND($L2697="Đã chuyển khoản",$M2697=""),"Thiếu ngày nhận CK; ",""))</f>
        <v/>
      </c>
      <c r="T2697" s="24" t="n"/>
    </row>
    <row r="2698" ht="14.25" customHeight="1" s="40">
      <c r="A2698" s="24" t="n"/>
      <c r="B2698" s="29" t="n"/>
      <c r="C2698" s="28" t="n"/>
      <c r="D2698" s="22">
        <f t="array" ref="D2698">IF($C2698="","",IFERROR(INDEX(DATA_MASTER!$C$2:$C$5000,MATCH($C2698,DATA_MASTER!$D$2:$D$5000,0)),""))</f>
        <v/>
      </c>
      <c r="E2698" s="22">
        <f t="array" ref="E2698">IF($C2698="","",IFERROR(INDEX(DATA_MASTER!$I$2:$I$5000,MATCH($C2698,DATA_MASTER!$D$2:$D$5000,0)),""))</f>
        <v/>
      </c>
      <c r="F2698" s="22">
        <f t="array" ref="F2698">IF($C2698="","",IFERROR(INDEX(DATA_MASTER!$L$2:$L$5000,MATCH($C2698,DATA_MASTER!$D$2:$D$5000,0)),""))</f>
        <v/>
      </c>
      <c r="G2698" s="24" t="n"/>
      <c r="H2698" s="24" t="n"/>
      <c r="I2698" s="30" t="n"/>
      <c r="J2698" s="23">
        <f>IF(OR($H2698="",$I2698=""),"",$H2698*$I2698)</f>
        <v/>
      </c>
      <c r="K2698" s="24" t="n"/>
      <c r="L2698" s="24" t="n"/>
      <c r="M2698" s="29" t="n"/>
      <c r="N2698" s="28" t="n"/>
      <c r="O2698" s="24" t="n"/>
      <c r="P2698" s="24" t="n"/>
      <c r="Q2698" s="24" t="n"/>
      <c r="R2698" s="24" t="n"/>
      <c r="S2698" s="22">
        <f>IF(AND($A2698="",$C2698=""),"",IF($A2698="","Thiếu mã đơn; ","")&amp;IF(COUNTIF($A$2:$A2698,$A2698)&gt;1,"Trùng mã đơn; ","")&amp;IF(ISNA(MATCH($C2698,DATA_MASTER!$D$2:$D$5000,0)),"SĐT chưa đăng ký hội viên; ","")&amp;IF(AND($L2698="Đã chuyển khoản",$M2698=""),"Thiếu ngày nhận CK; ",""))</f>
        <v/>
      </c>
      <c r="T2698" s="24" t="n"/>
    </row>
    <row r="2699" ht="14.25" customHeight="1" s="40">
      <c r="A2699" s="24" t="n"/>
      <c r="B2699" s="29" t="n"/>
      <c r="C2699" s="28" t="n"/>
      <c r="D2699" s="22">
        <f t="array" ref="D2699">IF($C2699="","",IFERROR(INDEX(DATA_MASTER!$C$2:$C$5000,MATCH($C2699,DATA_MASTER!$D$2:$D$5000,0)),""))</f>
        <v/>
      </c>
      <c r="E2699" s="22">
        <f t="array" ref="E2699">IF($C2699="","",IFERROR(INDEX(DATA_MASTER!$I$2:$I$5000,MATCH($C2699,DATA_MASTER!$D$2:$D$5000,0)),""))</f>
        <v/>
      </c>
      <c r="F2699" s="22">
        <f t="array" ref="F2699">IF($C2699="","",IFERROR(INDEX(DATA_MASTER!$L$2:$L$5000,MATCH($C2699,DATA_MASTER!$D$2:$D$5000,0)),""))</f>
        <v/>
      </c>
      <c r="G2699" s="24" t="n"/>
      <c r="H2699" s="24" t="n"/>
      <c r="I2699" s="30" t="n"/>
      <c r="J2699" s="23">
        <f>IF(OR($H2699="",$I2699=""),"",$H2699*$I2699)</f>
        <v/>
      </c>
      <c r="K2699" s="24" t="n"/>
      <c r="L2699" s="24" t="n"/>
      <c r="M2699" s="29" t="n"/>
      <c r="N2699" s="28" t="n"/>
      <c r="O2699" s="24" t="n"/>
      <c r="P2699" s="24" t="n"/>
      <c r="Q2699" s="24" t="n"/>
      <c r="R2699" s="24" t="n"/>
      <c r="S2699" s="22">
        <f>IF(AND($A2699="",$C2699=""),"",IF($A2699="","Thiếu mã đơn; ","")&amp;IF(COUNTIF($A$2:$A2699,$A2699)&gt;1,"Trùng mã đơn; ","")&amp;IF(ISNA(MATCH($C2699,DATA_MASTER!$D$2:$D$5000,0)),"SĐT chưa đăng ký hội viên; ","")&amp;IF(AND($L2699="Đã chuyển khoản",$M2699=""),"Thiếu ngày nhận CK; ",""))</f>
        <v/>
      </c>
      <c r="T2699" s="24" t="n"/>
    </row>
    <row r="2700" ht="14.25" customHeight="1" s="40">
      <c r="A2700" s="24" t="n"/>
      <c r="B2700" s="29" t="n"/>
      <c r="C2700" s="28" t="n"/>
      <c r="D2700" s="22">
        <f t="array" ref="D2700">IF($C2700="","",IFERROR(INDEX(DATA_MASTER!$C$2:$C$5000,MATCH($C2700,DATA_MASTER!$D$2:$D$5000,0)),""))</f>
        <v/>
      </c>
      <c r="E2700" s="22">
        <f t="array" ref="E2700">IF($C2700="","",IFERROR(INDEX(DATA_MASTER!$I$2:$I$5000,MATCH($C2700,DATA_MASTER!$D$2:$D$5000,0)),""))</f>
        <v/>
      </c>
      <c r="F2700" s="22">
        <f t="array" ref="F2700">IF($C2700="","",IFERROR(INDEX(DATA_MASTER!$L$2:$L$5000,MATCH($C2700,DATA_MASTER!$D$2:$D$5000,0)),""))</f>
        <v/>
      </c>
      <c r="G2700" s="24" t="n"/>
      <c r="H2700" s="24" t="n"/>
      <c r="I2700" s="30" t="n"/>
      <c r="J2700" s="23">
        <f>IF(OR($H2700="",$I2700=""),"",$H2700*$I2700)</f>
        <v/>
      </c>
      <c r="K2700" s="24" t="n"/>
      <c r="L2700" s="24" t="n"/>
      <c r="M2700" s="29" t="n"/>
      <c r="N2700" s="28" t="n"/>
      <c r="O2700" s="24" t="n"/>
      <c r="P2700" s="24" t="n"/>
      <c r="Q2700" s="24" t="n"/>
      <c r="R2700" s="24" t="n"/>
      <c r="S2700" s="22">
        <f>IF(AND($A2700="",$C2700=""),"",IF($A2700="","Thiếu mã đơn; ","")&amp;IF(COUNTIF($A$2:$A2700,$A2700)&gt;1,"Trùng mã đơn; ","")&amp;IF(ISNA(MATCH($C2700,DATA_MASTER!$D$2:$D$5000,0)),"SĐT chưa đăng ký hội viên; ","")&amp;IF(AND($L2700="Đã chuyển khoản",$M2700=""),"Thiếu ngày nhận CK; ",""))</f>
        <v/>
      </c>
      <c r="T2700" s="24" t="n"/>
    </row>
    <row r="2701" ht="14.25" customHeight="1" s="40">
      <c r="A2701" s="24" t="n"/>
      <c r="B2701" s="29" t="n"/>
      <c r="C2701" s="28" t="n"/>
      <c r="D2701" s="22">
        <f t="array" ref="D2701">IF($C2701="","",IFERROR(INDEX(DATA_MASTER!$C$2:$C$5000,MATCH($C2701,DATA_MASTER!$D$2:$D$5000,0)),""))</f>
        <v/>
      </c>
      <c r="E2701" s="22">
        <f t="array" ref="E2701">IF($C2701="","",IFERROR(INDEX(DATA_MASTER!$I$2:$I$5000,MATCH($C2701,DATA_MASTER!$D$2:$D$5000,0)),""))</f>
        <v/>
      </c>
      <c r="F2701" s="22">
        <f t="array" ref="F2701">IF($C2701="","",IFERROR(INDEX(DATA_MASTER!$L$2:$L$5000,MATCH($C2701,DATA_MASTER!$D$2:$D$5000,0)),""))</f>
        <v/>
      </c>
      <c r="G2701" s="24" t="n"/>
      <c r="H2701" s="24" t="n"/>
      <c r="I2701" s="30" t="n"/>
      <c r="J2701" s="23">
        <f>IF(OR($H2701="",$I2701=""),"",$H2701*$I2701)</f>
        <v/>
      </c>
      <c r="K2701" s="24" t="n"/>
      <c r="L2701" s="24" t="n"/>
      <c r="M2701" s="29" t="n"/>
      <c r="N2701" s="28" t="n"/>
      <c r="O2701" s="24" t="n"/>
      <c r="P2701" s="24" t="n"/>
      <c r="Q2701" s="24" t="n"/>
      <c r="R2701" s="24" t="n"/>
      <c r="S2701" s="22">
        <f>IF(AND($A2701="",$C2701=""),"",IF($A2701="","Thiếu mã đơn; ","")&amp;IF(COUNTIF($A$2:$A2701,$A2701)&gt;1,"Trùng mã đơn; ","")&amp;IF(ISNA(MATCH($C2701,DATA_MASTER!$D$2:$D$5000,0)),"SĐT chưa đăng ký hội viên; ","")&amp;IF(AND($L2701="Đã chuyển khoản",$M2701=""),"Thiếu ngày nhận CK; ",""))</f>
        <v/>
      </c>
      <c r="T2701" s="24" t="n"/>
    </row>
    <row r="2702" ht="14.25" customHeight="1" s="40">
      <c r="A2702" s="24" t="n"/>
      <c r="B2702" s="29" t="n"/>
      <c r="C2702" s="28" t="n"/>
      <c r="D2702" s="22">
        <f t="array" ref="D2702">IF($C2702="","",IFERROR(INDEX(DATA_MASTER!$C$2:$C$5000,MATCH($C2702,DATA_MASTER!$D$2:$D$5000,0)),""))</f>
        <v/>
      </c>
      <c r="E2702" s="22">
        <f t="array" ref="E2702">IF($C2702="","",IFERROR(INDEX(DATA_MASTER!$I$2:$I$5000,MATCH($C2702,DATA_MASTER!$D$2:$D$5000,0)),""))</f>
        <v/>
      </c>
      <c r="F2702" s="22">
        <f t="array" ref="F2702">IF($C2702="","",IFERROR(INDEX(DATA_MASTER!$L$2:$L$5000,MATCH($C2702,DATA_MASTER!$D$2:$D$5000,0)),""))</f>
        <v/>
      </c>
      <c r="G2702" s="24" t="n"/>
      <c r="H2702" s="24" t="n"/>
      <c r="I2702" s="30" t="n"/>
      <c r="J2702" s="23">
        <f>IF(OR($H2702="",$I2702=""),"",$H2702*$I2702)</f>
        <v/>
      </c>
      <c r="K2702" s="24" t="n"/>
      <c r="L2702" s="24" t="n"/>
      <c r="M2702" s="29" t="n"/>
      <c r="N2702" s="28" t="n"/>
      <c r="O2702" s="24" t="n"/>
      <c r="P2702" s="24" t="n"/>
      <c r="Q2702" s="24" t="n"/>
      <c r="R2702" s="24" t="n"/>
      <c r="S2702" s="22">
        <f>IF(AND($A2702="",$C2702=""),"",IF($A2702="","Thiếu mã đơn; ","")&amp;IF(COUNTIF($A$2:$A2702,$A2702)&gt;1,"Trùng mã đơn; ","")&amp;IF(ISNA(MATCH($C2702,DATA_MASTER!$D$2:$D$5000,0)),"SĐT chưa đăng ký hội viên; ","")&amp;IF(AND($L2702="Đã chuyển khoản",$M2702=""),"Thiếu ngày nhận CK; ",""))</f>
        <v/>
      </c>
      <c r="T2702" s="24" t="n"/>
    </row>
    <row r="2703" ht="14.25" customHeight="1" s="40">
      <c r="A2703" s="24" t="n"/>
      <c r="B2703" s="29" t="n"/>
      <c r="C2703" s="28" t="n"/>
      <c r="D2703" s="22">
        <f t="array" ref="D2703">IF($C2703="","",IFERROR(INDEX(DATA_MASTER!$C$2:$C$5000,MATCH($C2703,DATA_MASTER!$D$2:$D$5000,0)),""))</f>
        <v/>
      </c>
      <c r="E2703" s="22">
        <f t="array" ref="E2703">IF($C2703="","",IFERROR(INDEX(DATA_MASTER!$I$2:$I$5000,MATCH($C2703,DATA_MASTER!$D$2:$D$5000,0)),""))</f>
        <v/>
      </c>
      <c r="F2703" s="22">
        <f t="array" ref="F2703">IF($C2703="","",IFERROR(INDEX(DATA_MASTER!$L$2:$L$5000,MATCH($C2703,DATA_MASTER!$D$2:$D$5000,0)),""))</f>
        <v/>
      </c>
      <c r="G2703" s="24" t="n"/>
      <c r="H2703" s="24" t="n"/>
      <c r="I2703" s="30" t="n"/>
      <c r="J2703" s="23">
        <f>IF(OR($H2703="",$I2703=""),"",$H2703*$I2703)</f>
        <v/>
      </c>
      <c r="K2703" s="24" t="n"/>
      <c r="L2703" s="24" t="n"/>
      <c r="M2703" s="29" t="n"/>
      <c r="N2703" s="28" t="n"/>
      <c r="O2703" s="24" t="n"/>
      <c r="P2703" s="24" t="n"/>
      <c r="Q2703" s="24" t="n"/>
      <c r="R2703" s="24" t="n"/>
      <c r="S2703" s="22">
        <f>IF(AND($A2703="",$C2703=""),"",IF($A2703="","Thiếu mã đơn; ","")&amp;IF(COUNTIF($A$2:$A2703,$A2703)&gt;1,"Trùng mã đơn; ","")&amp;IF(ISNA(MATCH($C2703,DATA_MASTER!$D$2:$D$5000,0)),"SĐT chưa đăng ký hội viên; ","")&amp;IF(AND($L2703="Đã chuyển khoản",$M2703=""),"Thiếu ngày nhận CK; ",""))</f>
        <v/>
      </c>
      <c r="T2703" s="24" t="n"/>
    </row>
    <row r="2704" ht="14.25" customHeight="1" s="40">
      <c r="A2704" s="24" t="n"/>
      <c r="B2704" s="29" t="n"/>
      <c r="C2704" s="28" t="n"/>
      <c r="D2704" s="22">
        <f t="array" ref="D2704">IF($C2704="","",IFERROR(INDEX(DATA_MASTER!$C$2:$C$5000,MATCH($C2704,DATA_MASTER!$D$2:$D$5000,0)),""))</f>
        <v/>
      </c>
      <c r="E2704" s="22">
        <f t="array" ref="E2704">IF($C2704="","",IFERROR(INDEX(DATA_MASTER!$I$2:$I$5000,MATCH($C2704,DATA_MASTER!$D$2:$D$5000,0)),""))</f>
        <v/>
      </c>
      <c r="F2704" s="22">
        <f t="array" ref="F2704">IF($C2704="","",IFERROR(INDEX(DATA_MASTER!$L$2:$L$5000,MATCH($C2704,DATA_MASTER!$D$2:$D$5000,0)),""))</f>
        <v/>
      </c>
      <c r="G2704" s="24" t="n"/>
      <c r="H2704" s="24" t="n"/>
      <c r="I2704" s="30" t="n"/>
      <c r="J2704" s="23">
        <f>IF(OR($H2704="",$I2704=""),"",$H2704*$I2704)</f>
        <v/>
      </c>
      <c r="K2704" s="24" t="n"/>
      <c r="L2704" s="24" t="n"/>
      <c r="M2704" s="29" t="n"/>
      <c r="N2704" s="28" t="n"/>
      <c r="O2704" s="24" t="n"/>
      <c r="P2704" s="24" t="n"/>
      <c r="Q2704" s="24" t="n"/>
      <c r="R2704" s="24" t="n"/>
      <c r="S2704" s="22">
        <f>IF(AND($A2704="",$C2704=""),"",IF($A2704="","Thiếu mã đơn; ","")&amp;IF(COUNTIF($A$2:$A2704,$A2704)&gt;1,"Trùng mã đơn; ","")&amp;IF(ISNA(MATCH($C2704,DATA_MASTER!$D$2:$D$5000,0)),"SĐT chưa đăng ký hội viên; ","")&amp;IF(AND($L2704="Đã chuyển khoản",$M2704=""),"Thiếu ngày nhận CK; ",""))</f>
        <v/>
      </c>
      <c r="T2704" s="24" t="n"/>
    </row>
    <row r="2705" ht="14.25" customHeight="1" s="40">
      <c r="A2705" s="24" t="n"/>
      <c r="B2705" s="29" t="n"/>
      <c r="C2705" s="28" t="n"/>
      <c r="D2705" s="22">
        <f t="array" ref="D2705">IF($C2705="","",IFERROR(INDEX(DATA_MASTER!$C$2:$C$5000,MATCH($C2705,DATA_MASTER!$D$2:$D$5000,0)),""))</f>
        <v/>
      </c>
      <c r="E2705" s="22">
        <f t="array" ref="E2705">IF($C2705="","",IFERROR(INDEX(DATA_MASTER!$I$2:$I$5000,MATCH($C2705,DATA_MASTER!$D$2:$D$5000,0)),""))</f>
        <v/>
      </c>
      <c r="F2705" s="22">
        <f t="array" ref="F2705">IF($C2705="","",IFERROR(INDEX(DATA_MASTER!$L$2:$L$5000,MATCH($C2705,DATA_MASTER!$D$2:$D$5000,0)),""))</f>
        <v/>
      </c>
      <c r="G2705" s="24" t="n"/>
      <c r="H2705" s="24" t="n"/>
      <c r="I2705" s="30" t="n"/>
      <c r="J2705" s="23">
        <f>IF(OR($H2705="",$I2705=""),"",$H2705*$I2705)</f>
        <v/>
      </c>
      <c r="K2705" s="24" t="n"/>
      <c r="L2705" s="24" t="n"/>
      <c r="M2705" s="29" t="n"/>
      <c r="N2705" s="28" t="n"/>
      <c r="O2705" s="24" t="n"/>
      <c r="P2705" s="24" t="n"/>
      <c r="Q2705" s="24" t="n"/>
      <c r="R2705" s="24" t="n"/>
      <c r="S2705" s="22">
        <f>IF(AND($A2705="",$C2705=""),"",IF($A2705="","Thiếu mã đơn; ","")&amp;IF(COUNTIF($A$2:$A2705,$A2705)&gt;1,"Trùng mã đơn; ","")&amp;IF(ISNA(MATCH($C2705,DATA_MASTER!$D$2:$D$5000,0)),"SĐT chưa đăng ký hội viên; ","")&amp;IF(AND($L2705="Đã chuyển khoản",$M2705=""),"Thiếu ngày nhận CK; ",""))</f>
        <v/>
      </c>
      <c r="T2705" s="24" t="n"/>
    </row>
    <row r="2706" ht="14.25" customHeight="1" s="40">
      <c r="A2706" s="24" t="n"/>
      <c r="B2706" s="29" t="n"/>
      <c r="C2706" s="28" t="n"/>
      <c r="D2706" s="22">
        <f t="array" ref="D2706">IF($C2706="","",IFERROR(INDEX(DATA_MASTER!$C$2:$C$5000,MATCH($C2706,DATA_MASTER!$D$2:$D$5000,0)),""))</f>
        <v/>
      </c>
      <c r="E2706" s="22">
        <f t="array" ref="E2706">IF($C2706="","",IFERROR(INDEX(DATA_MASTER!$I$2:$I$5000,MATCH($C2706,DATA_MASTER!$D$2:$D$5000,0)),""))</f>
        <v/>
      </c>
      <c r="F2706" s="22">
        <f t="array" ref="F2706">IF($C2706="","",IFERROR(INDEX(DATA_MASTER!$L$2:$L$5000,MATCH($C2706,DATA_MASTER!$D$2:$D$5000,0)),""))</f>
        <v/>
      </c>
      <c r="G2706" s="24" t="n"/>
      <c r="H2706" s="24" t="n"/>
      <c r="I2706" s="30" t="n"/>
      <c r="J2706" s="23">
        <f>IF(OR($H2706="",$I2706=""),"",$H2706*$I2706)</f>
        <v/>
      </c>
      <c r="K2706" s="24" t="n"/>
      <c r="L2706" s="24" t="n"/>
      <c r="M2706" s="29" t="n"/>
      <c r="N2706" s="28" t="n"/>
      <c r="O2706" s="24" t="n"/>
      <c r="P2706" s="24" t="n"/>
      <c r="Q2706" s="24" t="n"/>
      <c r="R2706" s="24" t="n"/>
      <c r="S2706" s="22">
        <f>IF(AND($A2706="",$C2706=""),"",IF($A2706="","Thiếu mã đơn; ","")&amp;IF(COUNTIF($A$2:$A2706,$A2706)&gt;1,"Trùng mã đơn; ","")&amp;IF(ISNA(MATCH($C2706,DATA_MASTER!$D$2:$D$5000,0)),"SĐT chưa đăng ký hội viên; ","")&amp;IF(AND($L2706="Đã chuyển khoản",$M2706=""),"Thiếu ngày nhận CK; ",""))</f>
        <v/>
      </c>
      <c r="T2706" s="24" t="n"/>
    </row>
    <row r="2707" ht="14.25" customHeight="1" s="40">
      <c r="A2707" s="24" t="n"/>
      <c r="B2707" s="29" t="n"/>
      <c r="C2707" s="28" t="n"/>
      <c r="D2707" s="22">
        <f t="array" ref="D2707">IF($C2707="","",IFERROR(INDEX(DATA_MASTER!$C$2:$C$5000,MATCH($C2707,DATA_MASTER!$D$2:$D$5000,0)),""))</f>
        <v/>
      </c>
      <c r="E2707" s="22">
        <f t="array" ref="E2707">IF($C2707="","",IFERROR(INDEX(DATA_MASTER!$I$2:$I$5000,MATCH($C2707,DATA_MASTER!$D$2:$D$5000,0)),""))</f>
        <v/>
      </c>
      <c r="F2707" s="22">
        <f t="array" ref="F2707">IF($C2707="","",IFERROR(INDEX(DATA_MASTER!$L$2:$L$5000,MATCH($C2707,DATA_MASTER!$D$2:$D$5000,0)),""))</f>
        <v/>
      </c>
      <c r="G2707" s="24" t="n"/>
      <c r="H2707" s="24" t="n"/>
      <c r="I2707" s="30" t="n"/>
      <c r="J2707" s="23">
        <f>IF(OR($H2707="",$I2707=""),"",$H2707*$I2707)</f>
        <v/>
      </c>
      <c r="K2707" s="24" t="n"/>
      <c r="L2707" s="24" t="n"/>
      <c r="M2707" s="29" t="n"/>
      <c r="N2707" s="28" t="n"/>
      <c r="O2707" s="24" t="n"/>
      <c r="P2707" s="24" t="n"/>
      <c r="Q2707" s="24" t="n"/>
      <c r="R2707" s="24" t="n"/>
      <c r="S2707" s="22">
        <f>IF(AND($A2707="",$C2707=""),"",IF($A2707="","Thiếu mã đơn; ","")&amp;IF(COUNTIF($A$2:$A2707,$A2707)&gt;1,"Trùng mã đơn; ","")&amp;IF(ISNA(MATCH($C2707,DATA_MASTER!$D$2:$D$5000,0)),"SĐT chưa đăng ký hội viên; ","")&amp;IF(AND($L2707="Đã chuyển khoản",$M2707=""),"Thiếu ngày nhận CK; ",""))</f>
        <v/>
      </c>
      <c r="T2707" s="24" t="n"/>
    </row>
    <row r="2708" ht="14.25" customHeight="1" s="40">
      <c r="A2708" s="24" t="n"/>
      <c r="B2708" s="29" t="n"/>
      <c r="C2708" s="28" t="n"/>
      <c r="D2708" s="22">
        <f t="array" ref="D2708">IF($C2708="","",IFERROR(INDEX(DATA_MASTER!$C$2:$C$5000,MATCH($C2708,DATA_MASTER!$D$2:$D$5000,0)),""))</f>
        <v/>
      </c>
      <c r="E2708" s="22">
        <f t="array" ref="E2708">IF($C2708="","",IFERROR(INDEX(DATA_MASTER!$I$2:$I$5000,MATCH($C2708,DATA_MASTER!$D$2:$D$5000,0)),""))</f>
        <v/>
      </c>
      <c r="F2708" s="22">
        <f t="array" ref="F2708">IF($C2708="","",IFERROR(INDEX(DATA_MASTER!$L$2:$L$5000,MATCH($C2708,DATA_MASTER!$D$2:$D$5000,0)),""))</f>
        <v/>
      </c>
      <c r="G2708" s="24" t="n"/>
      <c r="H2708" s="24" t="n"/>
      <c r="I2708" s="30" t="n"/>
      <c r="J2708" s="23">
        <f>IF(OR($H2708="",$I2708=""),"",$H2708*$I2708)</f>
        <v/>
      </c>
      <c r="K2708" s="24" t="n"/>
      <c r="L2708" s="24" t="n"/>
      <c r="M2708" s="29" t="n"/>
      <c r="N2708" s="28" t="n"/>
      <c r="O2708" s="24" t="n"/>
      <c r="P2708" s="24" t="n"/>
      <c r="Q2708" s="24" t="n"/>
      <c r="R2708" s="24" t="n"/>
      <c r="S2708" s="22">
        <f>IF(AND($A2708="",$C2708=""),"",IF($A2708="","Thiếu mã đơn; ","")&amp;IF(COUNTIF($A$2:$A2708,$A2708)&gt;1,"Trùng mã đơn; ","")&amp;IF(ISNA(MATCH($C2708,DATA_MASTER!$D$2:$D$5000,0)),"SĐT chưa đăng ký hội viên; ","")&amp;IF(AND($L2708="Đã chuyển khoản",$M2708=""),"Thiếu ngày nhận CK; ",""))</f>
        <v/>
      </c>
      <c r="T2708" s="24" t="n"/>
    </row>
    <row r="2709" ht="14.25" customHeight="1" s="40">
      <c r="A2709" s="24" t="n"/>
      <c r="B2709" s="29" t="n"/>
      <c r="C2709" s="28" t="n"/>
      <c r="D2709" s="22">
        <f t="array" ref="D2709">IF($C2709="","",IFERROR(INDEX(DATA_MASTER!$C$2:$C$5000,MATCH($C2709,DATA_MASTER!$D$2:$D$5000,0)),""))</f>
        <v/>
      </c>
      <c r="E2709" s="22">
        <f t="array" ref="E2709">IF($C2709="","",IFERROR(INDEX(DATA_MASTER!$I$2:$I$5000,MATCH($C2709,DATA_MASTER!$D$2:$D$5000,0)),""))</f>
        <v/>
      </c>
      <c r="F2709" s="22">
        <f t="array" ref="F2709">IF($C2709="","",IFERROR(INDEX(DATA_MASTER!$L$2:$L$5000,MATCH($C2709,DATA_MASTER!$D$2:$D$5000,0)),""))</f>
        <v/>
      </c>
      <c r="G2709" s="24" t="n"/>
      <c r="H2709" s="24" t="n"/>
      <c r="I2709" s="30" t="n"/>
      <c r="J2709" s="23">
        <f>IF(OR($H2709="",$I2709=""),"",$H2709*$I2709)</f>
        <v/>
      </c>
      <c r="K2709" s="24" t="n"/>
      <c r="L2709" s="24" t="n"/>
      <c r="M2709" s="29" t="n"/>
      <c r="N2709" s="28" t="n"/>
      <c r="O2709" s="24" t="n"/>
      <c r="P2709" s="24" t="n"/>
      <c r="Q2709" s="24" t="n"/>
      <c r="R2709" s="24" t="n"/>
      <c r="S2709" s="22">
        <f>IF(AND($A2709="",$C2709=""),"",IF($A2709="","Thiếu mã đơn; ","")&amp;IF(COUNTIF($A$2:$A2709,$A2709)&gt;1,"Trùng mã đơn; ","")&amp;IF(ISNA(MATCH($C2709,DATA_MASTER!$D$2:$D$5000,0)),"SĐT chưa đăng ký hội viên; ","")&amp;IF(AND($L2709="Đã chuyển khoản",$M2709=""),"Thiếu ngày nhận CK; ",""))</f>
        <v/>
      </c>
      <c r="T2709" s="24" t="n"/>
    </row>
    <row r="2710" ht="14.25" customHeight="1" s="40">
      <c r="A2710" s="24" t="n"/>
      <c r="B2710" s="29" t="n"/>
      <c r="C2710" s="28" t="n"/>
      <c r="D2710" s="22">
        <f t="array" ref="D2710">IF($C2710="","",IFERROR(INDEX(DATA_MASTER!$C$2:$C$5000,MATCH($C2710,DATA_MASTER!$D$2:$D$5000,0)),""))</f>
        <v/>
      </c>
      <c r="E2710" s="22">
        <f t="array" ref="E2710">IF($C2710="","",IFERROR(INDEX(DATA_MASTER!$I$2:$I$5000,MATCH($C2710,DATA_MASTER!$D$2:$D$5000,0)),""))</f>
        <v/>
      </c>
      <c r="F2710" s="22">
        <f t="array" ref="F2710">IF($C2710="","",IFERROR(INDEX(DATA_MASTER!$L$2:$L$5000,MATCH($C2710,DATA_MASTER!$D$2:$D$5000,0)),""))</f>
        <v/>
      </c>
      <c r="G2710" s="24" t="n"/>
      <c r="H2710" s="24" t="n"/>
      <c r="I2710" s="30" t="n"/>
      <c r="J2710" s="23">
        <f>IF(OR($H2710="",$I2710=""),"",$H2710*$I2710)</f>
        <v/>
      </c>
      <c r="K2710" s="24" t="n"/>
      <c r="L2710" s="24" t="n"/>
      <c r="M2710" s="29" t="n"/>
      <c r="N2710" s="28" t="n"/>
      <c r="O2710" s="24" t="n"/>
      <c r="P2710" s="24" t="n"/>
      <c r="Q2710" s="24" t="n"/>
      <c r="R2710" s="24" t="n"/>
      <c r="S2710" s="22">
        <f>IF(AND($A2710="",$C2710=""),"",IF($A2710="","Thiếu mã đơn; ","")&amp;IF(COUNTIF($A$2:$A2710,$A2710)&gt;1,"Trùng mã đơn; ","")&amp;IF(ISNA(MATCH($C2710,DATA_MASTER!$D$2:$D$5000,0)),"SĐT chưa đăng ký hội viên; ","")&amp;IF(AND($L2710="Đã chuyển khoản",$M2710=""),"Thiếu ngày nhận CK; ",""))</f>
        <v/>
      </c>
      <c r="T2710" s="24" t="n"/>
    </row>
    <row r="2711" ht="14.25" customHeight="1" s="40">
      <c r="A2711" s="24" t="n"/>
      <c r="B2711" s="29" t="n"/>
      <c r="C2711" s="28" t="n"/>
      <c r="D2711" s="22">
        <f t="array" ref="D2711">IF($C2711="","",IFERROR(INDEX(DATA_MASTER!$C$2:$C$5000,MATCH($C2711,DATA_MASTER!$D$2:$D$5000,0)),""))</f>
        <v/>
      </c>
      <c r="E2711" s="22">
        <f t="array" ref="E2711">IF($C2711="","",IFERROR(INDEX(DATA_MASTER!$I$2:$I$5000,MATCH($C2711,DATA_MASTER!$D$2:$D$5000,0)),""))</f>
        <v/>
      </c>
      <c r="F2711" s="22">
        <f t="array" ref="F2711">IF($C2711="","",IFERROR(INDEX(DATA_MASTER!$L$2:$L$5000,MATCH($C2711,DATA_MASTER!$D$2:$D$5000,0)),""))</f>
        <v/>
      </c>
      <c r="G2711" s="24" t="n"/>
      <c r="H2711" s="24" t="n"/>
      <c r="I2711" s="30" t="n"/>
      <c r="J2711" s="23">
        <f>IF(OR($H2711="",$I2711=""),"",$H2711*$I2711)</f>
        <v/>
      </c>
      <c r="K2711" s="24" t="n"/>
      <c r="L2711" s="24" t="n"/>
      <c r="M2711" s="29" t="n"/>
      <c r="N2711" s="28" t="n"/>
      <c r="O2711" s="24" t="n"/>
      <c r="P2711" s="24" t="n"/>
      <c r="Q2711" s="24" t="n"/>
      <c r="R2711" s="24" t="n"/>
      <c r="S2711" s="22">
        <f>IF(AND($A2711="",$C2711=""),"",IF($A2711="","Thiếu mã đơn; ","")&amp;IF(COUNTIF($A$2:$A2711,$A2711)&gt;1,"Trùng mã đơn; ","")&amp;IF(ISNA(MATCH($C2711,DATA_MASTER!$D$2:$D$5000,0)),"SĐT chưa đăng ký hội viên; ","")&amp;IF(AND($L2711="Đã chuyển khoản",$M2711=""),"Thiếu ngày nhận CK; ",""))</f>
        <v/>
      </c>
      <c r="T2711" s="24" t="n"/>
    </row>
    <row r="2712" ht="14.25" customHeight="1" s="40">
      <c r="A2712" s="24" t="n"/>
      <c r="B2712" s="29" t="n"/>
      <c r="C2712" s="28" t="n"/>
      <c r="D2712" s="22">
        <f t="array" ref="D2712">IF($C2712="","",IFERROR(INDEX(DATA_MASTER!$C$2:$C$5000,MATCH($C2712,DATA_MASTER!$D$2:$D$5000,0)),""))</f>
        <v/>
      </c>
      <c r="E2712" s="22">
        <f t="array" ref="E2712">IF($C2712="","",IFERROR(INDEX(DATA_MASTER!$I$2:$I$5000,MATCH($C2712,DATA_MASTER!$D$2:$D$5000,0)),""))</f>
        <v/>
      </c>
      <c r="F2712" s="22">
        <f t="array" ref="F2712">IF($C2712="","",IFERROR(INDEX(DATA_MASTER!$L$2:$L$5000,MATCH($C2712,DATA_MASTER!$D$2:$D$5000,0)),""))</f>
        <v/>
      </c>
      <c r="G2712" s="24" t="n"/>
      <c r="H2712" s="24" t="n"/>
      <c r="I2712" s="30" t="n"/>
      <c r="J2712" s="23">
        <f>IF(OR($H2712="",$I2712=""),"",$H2712*$I2712)</f>
        <v/>
      </c>
      <c r="K2712" s="24" t="n"/>
      <c r="L2712" s="24" t="n"/>
      <c r="M2712" s="29" t="n"/>
      <c r="N2712" s="28" t="n"/>
      <c r="O2712" s="24" t="n"/>
      <c r="P2712" s="24" t="n"/>
      <c r="Q2712" s="24" t="n"/>
      <c r="R2712" s="24" t="n"/>
      <c r="S2712" s="22">
        <f>IF(AND($A2712="",$C2712=""),"",IF($A2712="","Thiếu mã đơn; ","")&amp;IF(COUNTIF($A$2:$A2712,$A2712)&gt;1,"Trùng mã đơn; ","")&amp;IF(ISNA(MATCH($C2712,DATA_MASTER!$D$2:$D$5000,0)),"SĐT chưa đăng ký hội viên; ","")&amp;IF(AND($L2712="Đã chuyển khoản",$M2712=""),"Thiếu ngày nhận CK; ",""))</f>
        <v/>
      </c>
      <c r="T2712" s="24" t="n"/>
    </row>
    <row r="2713" ht="14.25" customHeight="1" s="40">
      <c r="A2713" s="24" t="n"/>
      <c r="B2713" s="29" t="n"/>
      <c r="C2713" s="28" t="n"/>
      <c r="D2713" s="22">
        <f t="array" ref="D2713">IF($C2713="","",IFERROR(INDEX(DATA_MASTER!$C$2:$C$5000,MATCH($C2713,DATA_MASTER!$D$2:$D$5000,0)),""))</f>
        <v/>
      </c>
      <c r="E2713" s="22">
        <f t="array" ref="E2713">IF($C2713="","",IFERROR(INDEX(DATA_MASTER!$I$2:$I$5000,MATCH($C2713,DATA_MASTER!$D$2:$D$5000,0)),""))</f>
        <v/>
      </c>
      <c r="F2713" s="22">
        <f t="array" ref="F2713">IF($C2713="","",IFERROR(INDEX(DATA_MASTER!$L$2:$L$5000,MATCH($C2713,DATA_MASTER!$D$2:$D$5000,0)),""))</f>
        <v/>
      </c>
      <c r="G2713" s="24" t="n"/>
      <c r="H2713" s="24" t="n"/>
      <c r="I2713" s="30" t="n"/>
      <c r="J2713" s="23">
        <f>IF(OR($H2713="",$I2713=""),"",$H2713*$I2713)</f>
        <v/>
      </c>
      <c r="K2713" s="24" t="n"/>
      <c r="L2713" s="24" t="n"/>
      <c r="M2713" s="29" t="n"/>
      <c r="N2713" s="28" t="n"/>
      <c r="O2713" s="24" t="n"/>
      <c r="P2713" s="24" t="n"/>
      <c r="Q2713" s="24" t="n"/>
      <c r="R2713" s="24" t="n"/>
      <c r="S2713" s="22">
        <f>IF(AND($A2713="",$C2713=""),"",IF($A2713="","Thiếu mã đơn; ","")&amp;IF(COUNTIF($A$2:$A2713,$A2713)&gt;1,"Trùng mã đơn; ","")&amp;IF(ISNA(MATCH($C2713,DATA_MASTER!$D$2:$D$5000,0)),"SĐT chưa đăng ký hội viên; ","")&amp;IF(AND($L2713="Đã chuyển khoản",$M2713=""),"Thiếu ngày nhận CK; ",""))</f>
        <v/>
      </c>
      <c r="T2713" s="24" t="n"/>
    </row>
    <row r="2714" ht="14.25" customHeight="1" s="40">
      <c r="A2714" s="24" t="n"/>
      <c r="B2714" s="29" t="n"/>
      <c r="C2714" s="28" t="n"/>
      <c r="D2714" s="22">
        <f t="array" ref="D2714">IF($C2714="","",IFERROR(INDEX(DATA_MASTER!$C$2:$C$5000,MATCH($C2714,DATA_MASTER!$D$2:$D$5000,0)),""))</f>
        <v/>
      </c>
      <c r="E2714" s="22">
        <f t="array" ref="E2714">IF($C2714="","",IFERROR(INDEX(DATA_MASTER!$I$2:$I$5000,MATCH($C2714,DATA_MASTER!$D$2:$D$5000,0)),""))</f>
        <v/>
      </c>
      <c r="F2714" s="22">
        <f t="array" ref="F2714">IF($C2714="","",IFERROR(INDEX(DATA_MASTER!$L$2:$L$5000,MATCH($C2714,DATA_MASTER!$D$2:$D$5000,0)),""))</f>
        <v/>
      </c>
      <c r="G2714" s="24" t="n"/>
      <c r="H2714" s="24" t="n"/>
      <c r="I2714" s="30" t="n"/>
      <c r="J2714" s="23">
        <f>IF(OR($H2714="",$I2714=""),"",$H2714*$I2714)</f>
        <v/>
      </c>
      <c r="K2714" s="24" t="n"/>
      <c r="L2714" s="24" t="n"/>
      <c r="M2714" s="29" t="n"/>
      <c r="N2714" s="28" t="n"/>
      <c r="O2714" s="24" t="n"/>
      <c r="P2714" s="24" t="n"/>
      <c r="Q2714" s="24" t="n"/>
      <c r="R2714" s="24" t="n"/>
      <c r="S2714" s="22">
        <f>IF(AND($A2714="",$C2714=""),"",IF($A2714="","Thiếu mã đơn; ","")&amp;IF(COUNTIF($A$2:$A2714,$A2714)&gt;1,"Trùng mã đơn; ","")&amp;IF(ISNA(MATCH($C2714,DATA_MASTER!$D$2:$D$5000,0)),"SĐT chưa đăng ký hội viên; ","")&amp;IF(AND($L2714="Đã chuyển khoản",$M2714=""),"Thiếu ngày nhận CK; ",""))</f>
        <v/>
      </c>
      <c r="T2714" s="24" t="n"/>
    </row>
    <row r="2715" ht="14.25" customHeight="1" s="40">
      <c r="A2715" s="24" t="n"/>
      <c r="B2715" s="29" t="n"/>
      <c r="C2715" s="28" t="n"/>
      <c r="D2715" s="22">
        <f t="array" ref="D2715">IF($C2715="","",IFERROR(INDEX(DATA_MASTER!$C$2:$C$5000,MATCH($C2715,DATA_MASTER!$D$2:$D$5000,0)),""))</f>
        <v/>
      </c>
      <c r="E2715" s="22">
        <f t="array" ref="E2715">IF($C2715="","",IFERROR(INDEX(DATA_MASTER!$I$2:$I$5000,MATCH($C2715,DATA_MASTER!$D$2:$D$5000,0)),""))</f>
        <v/>
      </c>
      <c r="F2715" s="22">
        <f t="array" ref="F2715">IF($C2715="","",IFERROR(INDEX(DATA_MASTER!$L$2:$L$5000,MATCH($C2715,DATA_MASTER!$D$2:$D$5000,0)),""))</f>
        <v/>
      </c>
      <c r="G2715" s="24" t="n"/>
      <c r="H2715" s="24" t="n"/>
      <c r="I2715" s="30" t="n"/>
      <c r="J2715" s="23">
        <f>IF(OR($H2715="",$I2715=""),"",$H2715*$I2715)</f>
        <v/>
      </c>
      <c r="K2715" s="24" t="n"/>
      <c r="L2715" s="24" t="n"/>
      <c r="M2715" s="29" t="n"/>
      <c r="N2715" s="28" t="n"/>
      <c r="O2715" s="24" t="n"/>
      <c r="P2715" s="24" t="n"/>
      <c r="Q2715" s="24" t="n"/>
      <c r="R2715" s="24" t="n"/>
      <c r="S2715" s="22">
        <f>IF(AND($A2715="",$C2715=""),"",IF($A2715="","Thiếu mã đơn; ","")&amp;IF(COUNTIF($A$2:$A2715,$A2715)&gt;1,"Trùng mã đơn; ","")&amp;IF(ISNA(MATCH($C2715,DATA_MASTER!$D$2:$D$5000,0)),"SĐT chưa đăng ký hội viên; ","")&amp;IF(AND($L2715="Đã chuyển khoản",$M2715=""),"Thiếu ngày nhận CK; ",""))</f>
        <v/>
      </c>
      <c r="T2715" s="24" t="n"/>
    </row>
    <row r="2716" ht="14.25" customHeight="1" s="40">
      <c r="A2716" s="24" t="n"/>
      <c r="B2716" s="29" t="n"/>
      <c r="C2716" s="28" t="n"/>
      <c r="D2716" s="22">
        <f t="array" ref="D2716">IF($C2716="","",IFERROR(INDEX(DATA_MASTER!$C$2:$C$5000,MATCH($C2716,DATA_MASTER!$D$2:$D$5000,0)),""))</f>
        <v/>
      </c>
      <c r="E2716" s="22">
        <f t="array" ref="E2716">IF($C2716="","",IFERROR(INDEX(DATA_MASTER!$I$2:$I$5000,MATCH($C2716,DATA_MASTER!$D$2:$D$5000,0)),""))</f>
        <v/>
      </c>
      <c r="F2716" s="22">
        <f t="array" ref="F2716">IF($C2716="","",IFERROR(INDEX(DATA_MASTER!$L$2:$L$5000,MATCH($C2716,DATA_MASTER!$D$2:$D$5000,0)),""))</f>
        <v/>
      </c>
      <c r="G2716" s="24" t="n"/>
      <c r="H2716" s="24" t="n"/>
      <c r="I2716" s="30" t="n"/>
      <c r="J2716" s="23">
        <f>IF(OR($H2716="",$I2716=""),"",$H2716*$I2716)</f>
        <v/>
      </c>
      <c r="K2716" s="24" t="n"/>
      <c r="L2716" s="24" t="n"/>
      <c r="M2716" s="29" t="n"/>
      <c r="N2716" s="28" t="n"/>
      <c r="O2716" s="24" t="n"/>
      <c r="P2716" s="24" t="n"/>
      <c r="Q2716" s="24" t="n"/>
      <c r="R2716" s="24" t="n"/>
      <c r="S2716" s="22">
        <f>IF(AND($A2716="",$C2716=""),"",IF($A2716="","Thiếu mã đơn; ","")&amp;IF(COUNTIF($A$2:$A2716,$A2716)&gt;1,"Trùng mã đơn; ","")&amp;IF(ISNA(MATCH($C2716,DATA_MASTER!$D$2:$D$5000,0)),"SĐT chưa đăng ký hội viên; ","")&amp;IF(AND($L2716="Đã chuyển khoản",$M2716=""),"Thiếu ngày nhận CK; ",""))</f>
        <v/>
      </c>
      <c r="T2716" s="24" t="n"/>
    </row>
    <row r="2717" ht="14.25" customHeight="1" s="40">
      <c r="A2717" s="24" t="n"/>
      <c r="B2717" s="29" t="n"/>
      <c r="C2717" s="28" t="n"/>
      <c r="D2717" s="22">
        <f t="array" ref="D2717">IF($C2717="","",IFERROR(INDEX(DATA_MASTER!$C$2:$C$5000,MATCH($C2717,DATA_MASTER!$D$2:$D$5000,0)),""))</f>
        <v/>
      </c>
      <c r="E2717" s="22">
        <f t="array" ref="E2717">IF($C2717="","",IFERROR(INDEX(DATA_MASTER!$I$2:$I$5000,MATCH($C2717,DATA_MASTER!$D$2:$D$5000,0)),""))</f>
        <v/>
      </c>
      <c r="F2717" s="22">
        <f t="array" ref="F2717">IF($C2717="","",IFERROR(INDEX(DATA_MASTER!$L$2:$L$5000,MATCH($C2717,DATA_MASTER!$D$2:$D$5000,0)),""))</f>
        <v/>
      </c>
      <c r="G2717" s="24" t="n"/>
      <c r="H2717" s="24" t="n"/>
      <c r="I2717" s="30" t="n"/>
      <c r="J2717" s="23">
        <f>IF(OR($H2717="",$I2717=""),"",$H2717*$I2717)</f>
        <v/>
      </c>
      <c r="K2717" s="24" t="n"/>
      <c r="L2717" s="24" t="n"/>
      <c r="M2717" s="29" t="n"/>
      <c r="N2717" s="28" t="n"/>
      <c r="O2717" s="24" t="n"/>
      <c r="P2717" s="24" t="n"/>
      <c r="Q2717" s="24" t="n"/>
      <c r="R2717" s="24" t="n"/>
      <c r="S2717" s="22">
        <f>IF(AND($A2717="",$C2717=""),"",IF($A2717="","Thiếu mã đơn; ","")&amp;IF(COUNTIF($A$2:$A2717,$A2717)&gt;1,"Trùng mã đơn; ","")&amp;IF(ISNA(MATCH($C2717,DATA_MASTER!$D$2:$D$5000,0)),"SĐT chưa đăng ký hội viên; ","")&amp;IF(AND($L2717="Đã chuyển khoản",$M2717=""),"Thiếu ngày nhận CK; ",""))</f>
        <v/>
      </c>
      <c r="T2717" s="24" t="n"/>
    </row>
    <row r="2718" ht="14.25" customHeight="1" s="40">
      <c r="A2718" s="24" t="n"/>
      <c r="B2718" s="29" t="n"/>
      <c r="C2718" s="28" t="n"/>
      <c r="D2718" s="22">
        <f t="array" ref="D2718">IF($C2718="","",IFERROR(INDEX(DATA_MASTER!$C$2:$C$5000,MATCH($C2718,DATA_MASTER!$D$2:$D$5000,0)),""))</f>
        <v/>
      </c>
      <c r="E2718" s="22">
        <f t="array" ref="E2718">IF($C2718="","",IFERROR(INDEX(DATA_MASTER!$I$2:$I$5000,MATCH($C2718,DATA_MASTER!$D$2:$D$5000,0)),""))</f>
        <v/>
      </c>
      <c r="F2718" s="22">
        <f t="array" ref="F2718">IF($C2718="","",IFERROR(INDEX(DATA_MASTER!$L$2:$L$5000,MATCH($C2718,DATA_MASTER!$D$2:$D$5000,0)),""))</f>
        <v/>
      </c>
      <c r="G2718" s="24" t="n"/>
      <c r="H2718" s="24" t="n"/>
      <c r="I2718" s="30" t="n"/>
      <c r="J2718" s="23">
        <f>IF(OR($H2718="",$I2718=""),"",$H2718*$I2718)</f>
        <v/>
      </c>
      <c r="K2718" s="24" t="n"/>
      <c r="L2718" s="24" t="n"/>
      <c r="M2718" s="29" t="n"/>
      <c r="N2718" s="28" t="n"/>
      <c r="O2718" s="24" t="n"/>
      <c r="P2718" s="24" t="n"/>
      <c r="Q2718" s="24" t="n"/>
      <c r="R2718" s="24" t="n"/>
      <c r="S2718" s="22">
        <f>IF(AND($A2718="",$C2718=""),"",IF($A2718="","Thiếu mã đơn; ","")&amp;IF(COUNTIF($A$2:$A2718,$A2718)&gt;1,"Trùng mã đơn; ","")&amp;IF(ISNA(MATCH($C2718,DATA_MASTER!$D$2:$D$5000,0)),"SĐT chưa đăng ký hội viên; ","")&amp;IF(AND($L2718="Đã chuyển khoản",$M2718=""),"Thiếu ngày nhận CK; ",""))</f>
        <v/>
      </c>
      <c r="T2718" s="24" t="n"/>
    </row>
    <row r="2719" ht="14.25" customHeight="1" s="40">
      <c r="A2719" s="24" t="n"/>
      <c r="B2719" s="29" t="n"/>
      <c r="C2719" s="28" t="n"/>
      <c r="D2719" s="22">
        <f t="array" ref="D2719">IF($C2719="","",IFERROR(INDEX(DATA_MASTER!$C$2:$C$5000,MATCH($C2719,DATA_MASTER!$D$2:$D$5000,0)),""))</f>
        <v/>
      </c>
      <c r="E2719" s="22">
        <f t="array" ref="E2719">IF($C2719="","",IFERROR(INDEX(DATA_MASTER!$I$2:$I$5000,MATCH($C2719,DATA_MASTER!$D$2:$D$5000,0)),""))</f>
        <v/>
      </c>
      <c r="F2719" s="22">
        <f t="array" ref="F2719">IF($C2719="","",IFERROR(INDEX(DATA_MASTER!$L$2:$L$5000,MATCH($C2719,DATA_MASTER!$D$2:$D$5000,0)),""))</f>
        <v/>
      </c>
      <c r="G2719" s="24" t="n"/>
      <c r="H2719" s="24" t="n"/>
      <c r="I2719" s="30" t="n"/>
      <c r="J2719" s="23">
        <f>IF(OR($H2719="",$I2719=""),"",$H2719*$I2719)</f>
        <v/>
      </c>
      <c r="K2719" s="24" t="n"/>
      <c r="L2719" s="24" t="n"/>
      <c r="M2719" s="29" t="n"/>
      <c r="N2719" s="28" t="n"/>
      <c r="O2719" s="24" t="n"/>
      <c r="P2719" s="24" t="n"/>
      <c r="Q2719" s="24" t="n"/>
      <c r="R2719" s="24" t="n"/>
      <c r="S2719" s="22">
        <f>IF(AND($A2719="",$C2719=""),"",IF($A2719="","Thiếu mã đơn; ","")&amp;IF(COUNTIF($A$2:$A2719,$A2719)&gt;1,"Trùng mã đơn; ","")&amp;IF(ISNA(MATCH($C2719,DATA_MASTER!$D$2:$D$5000,0)),"SĐT chưa đăng ký hội viên; ","")&amp;IF(AND($L2719="Đã chuyển khoản",$M2719=""),"Thiếu ngày nhận CK; ",""))</f>
        <v/>
      </c>
      <c r="T2719" s="24" t="n"/>
    </row>
    <row r="2720" ht="14.25" customHeight="1" s="40">
      <c r="A2720" s="24" t="n"/>
      <c r="B2720" s="29" t="n"/>
      <c r="C2720" s="28" t="n"/>
      <c r="D2720" s="22">
        <f t="array" ref="D2720">IF($C2720="","",IFERROR(INDEX(DATA_MASTER!$C$2:$C$5000,MATCH($C2720,DATA_MASTER!$D$2:$D$5000,0)),""))</f>
        <v/>
      </c>
      <c r="E2720" s="22">
        <f t="array" ref="E2720">IF($C2720="","",IFERROR(INDEX(DATA_MASTER!$I$2:$I$5000,MATCH($C2720,DATA_MASTER!$D$2:$D$5000,0)),""))</f>
        <v/>
      </c>
      <c r="F2720" s="22">
        <f t="array" ref="F2720">IF($C2720="","",IFERROR(INDEX(DATA_MASTER!$L$2:$L$5000,MATCH($C2720,DATA_MASTER!$D$2:$D$5000,0)),""))</f>
        <v/>
      </c>
      <c r="G2720" s="24" t="n"/>
      <c r="H2720" s="24" t="n"/>
      <c r="I2720" s="30" t="n"/>
      <c r="J2720" s="23">
        <f>IF(OR($H2720="",$I2720=""),"",$H2720*$I2720)</f>
        <v/>
      </c>
      <c r="K2720" s="24" t="n"/>
      <c r="L2720" s="24" t="n"/>
      <c r="M2720" s="29" t="n"/>
      <c r="N2720" s="28" t="n"/>
      <c r="O2720" s="24" t="n"/>
      <c r="P2720" s="24" t="n"/>
      <c r="Q2720" s="24" t="n"/>
      <c r="R2720" s="24" t="n"/>
      <c r="S2720" s="22">
        <f>IF(AND($A2720="",$C2720=""),"",IF($A2720="","Thiếu mã đơn; ","")&amp;IF(COUNTIF($A$2:$A2720,$A2720)&gt;1,"Trùng mã đơn; ","")&amp;IF(ISNA(MATCH($C2720,DATA_MASTER!$D$2:$D$5000,0)),"SĐT chưa đăng ký hội viên; ","")&amp;IF(AND($L2720="Đã chuyển khoản",$M2720=""),"Thiếu ngày nhận CK; ",""))</f>
        <v/>
      </c>
      <c r="T2720" s="24" t="n"/>
    </row>
    <row r="2721" ht="14.25" customHeight="1" s="40">
      <c r="A2721" s="24" t="n"/>
      <c r="B2721" s="29" t="n"/>
      <c r="C2721" s="28" t="n"/>
      <c r="D2721" s="22">
        <f t="array" ref="D2721">IF($C2721="","",IFERROR(INDEX(DATA_MASTER!$C$2:$C$5000,MATCH($C2721,DATA_MASTER!$D$2:$D$5000,0)),""))</f>
        <v/>
      </c>
      <c r="E2721" s="22">
        <f t="array" ref="E2721">IF($C2721="","",IFERROR(INDEX(DATA_MASTER!$I$2:$I$5000,MATCH($C2721,DATA_MASTER!$D$2:$D$5000,0)),""))</f>
        <v/>
      </c>
      <c r="F2721" s="22">
        <f t="array" ref="F2721">IF($C2721="","",IFERROR(INDEX(DATA_MASTER!$L$2:$L$5000,MATCH($C2721,DATA_MASTER!$D$2:$D$5000,0)),""))</f>
        <v/>
      </c>
      <c r="G2721" s="24" t="n"/>
      <c r="H2721" s="24" t="n"/>
      <c r="I2721" s="30" t="n"/>
      <c r="J2721" s="23">
        <f>IF(OR($H2721="",$I2721=""),"",$H2721*$I2721)</f>
        <v/>
      </c>
      <c r="K2721" s="24" t="n"/>
      <c r="L2721" s="24" t="n"/>
      <c r="M2721" s="29" t="n"/>
      <c r="N2721" s="28" t="n"/>
      <c r="O2721" s="24" t="n"/>
      <c r="P2721" s="24" t="n"/>
      <c r="Q2721" s="24" t="n"/>
      <c r="R2721" s="24" t="n"/>
      <c r="S2721" s="22">
        <f>IF(AND($A2721="",$C2721=""),"",IF($A2721="","Thiếu mã đơn; ","")&amp;IF(COUNTIF($A$2:$A2721,$A2721)&gt;1,"Trùng mã đơn; ","")&amp;IF(ISNA(MATCH($C2721,DATA_MASTER!$D$2:$D$5000,0)),"SĐT chưa đăng ký hội viên; ","")&amp;IF(AND($L2721="Đã chuyển khoản",$M2721=""),"Thiếu ngày nhận CK; ",""))</f>
        <v/>
      </c>
      <c r="T2721" s="24" t="n"/>
    </row>
    <row r="2722" ht="14.25" customHeight="1" s="40">
      <c r="A2722" s="24" t="n"/>
      <c r="B2722" s="29" t="n"/>
      <c r="C2722" s="28" t="n"/>
      <c r="D2722" s="22">
        <f t="array" ref="D2722">IF($C2722="","",IFERROR(INDEX(DATA_MASTER!$C$2:$C$5000,MATCH($C2722,DATA_MASTER!$D$2:$D$5000,0)),""))</f>
        <v/>
      </c>
      <c r="E2722" s="22">
        <f t="array" ref="E2722">IF($C2722="","",IFERROR(INDEX(DATA_MASTER!$I$2:$I$5000,MATCH($C2722,DATA_MASTER!$D$2:$D$5000,0)),""))</f>
        <v/>
      </c>
      <c r="F2722" s="22">
        <f t="array" ref="F2722">IF($C2722="","",IFERROR(INDEX(DATA_MASTER!$L$2:$L$5000,MATCH($C2722,DATA_MASTER!$D$2:$D$5000,0)),""))</f>
        <v/>
      </c>
      <c r="G2722" s="24" t="n"/>
      <c r="H2722" s="24" t="n"/>
      <c r="I2722" s="30" t="n"/>
      <c r="J2722" s="23">
        <f>IF(OR($H2722="",$I2722=""),"",$H2722*$I2722)</f>
        <v/>
      </c>
      <c r="K2722" s="24" t="n"/>
      <c r="L2722" s="24" t="n"/>
      <c r="M2722" s="29" t="n"/>
      <c r="N2722" s="28" t="n"/>
      <c r="O2722" s="24" t="n"/>
      <c r="P2722" s="24" t="n"/>
      <c r="Q2722" s="24" t="n"/>
      <c r="R2722" s="24" t="n"/>
      <c r="S2722" s="22">
        <f>IF(AND($A2722="",$C2722=""),"",IF($A2722="","Thiếu mã đơn; ","")&amp;IF(COUNTIF($A$2:$A2722,$A2722)&gt;1,"Trùng mã đơn; ","")&amp;IF(ISNA(MATCH($C2722,DATA_MASTER!$D$2:$D$5000,0)),"SĐT chưa đăng ký hội viên; ","")&amp;IF(AND($L2722="Đã chuyển khoản",$M2722=""),"Thiếu ngày nhận CK; ",""))</f>
        <v/>
      </c>
      <c r="T2722" s="24" t="n"/>
    </row>
    <row r="2723" ht="14.25" customHeight="1" s="40">
      <c r="A2723" s="24" t="n"/>
      <c r="B2723" s="29" t="n"/>
      <c r="C2723" s="28" t="n"/>
      <c r="D2723" s="22">
        <f t="array" ref="D2723">IF($C2723="","",IFERROR(INDEX(DATA_MASTER!$C$2:$C$5000,MATCH($C2723,DATA_MASTER!$D$2:$D$5000,0)),""))</f>
        <v/>
      </c>
      <c r="E2723" s="22">
        <f t="array" ref="E2723">IF($C2723="","",IFERROR(INDEX(DATA_MASTER!$I$2:$I$5000,MATCH($C2723,DATA_MASTER!$D$2:$D$5000,0)),""))</f>
        <v/>
      </c>
      <c r="F2723" s="22">
        <f t="array" ref="F2723">IF($C2723="","",IFERROR(INDEX(DATA_MASTER!$L$2:$L$5000,MATCH($C2723,DATA_MASTER!$D$2:$D$5000,0)),""))</f>
        <v/>
      </c>
      <c r="G2723" s="24" t="n"/>
      <c r="H2723" s="24" t="n"/>
      <c r="I2723" s="30" t="n"/>
      <c r="J2723" s="23">
        <f>IF(OR($H2723="",$I2723=""),"",$H2723*$I2723)</f>
        <v/>
      </c>
      <c r="K2723" s="24" t="n"/>
      <c r="L2723" s="24" t="n"/>
      <c r="M2723" s="29" t="n"/>
      <c r="N2723" s="28" t="n"/>
      <c r="O2723" s="24" t="n"/>
      <c r="P2723" s="24" t="n"/>
      <c r="Q2723" s="24" t="n"/>
      <c r="R2723" s="24" t="n"/>
      <c r="S2723" s="22">
        <f>IF(AND($A2723="",$C2723=""),"",IF($A2723="","Thiếu mã đơn; ","")&amp;IF(COUNTIF($A$2:$A2723,$A2723)&gt;1,"Trùng mã đơn; ","")&amp;IF(ISNA(MATCH($C2723,DATA_MASTER!$D$2:$D$5000,0)),"SĐT chưa đăng ký hội viên; ","")&amp;IF(AND($L2723="Đã chuyển khoản",$M2723=""),"Thiếu ngày nhận CK; ",""))</f>
        <v/>
      </c>
      <c r="T2723" s="24" t="n"/>
    </row>
    <row r="2724" ht="14.25" customHeight="1" s="40">
      <c r="A2724" s="24" t="n"/>
      <c r="B2724" s="29" t="n"/>
      <c r="C2724" s="28" t="n"/>
      <c r="D2724" s="22">
        <f t="array" ref="D2724">IF($C2724="","",IFERROR(INDEX(DATA_MASTER!$C$2:$C$5000,MATCH($C2724,DATA_MASTER!$D$2:$D$5000,0)),""))</f>
        <v/>
      </c>
      <c r="E2724" s="22">
        <f t="array" ref="E2724">IF($C2724="","",IFERROR(INDEX(DATA_MASTER!$I$2:$I$5000,MATCH($C2724,DATA_MASTER!$D$2:$D$5000,0)),""))</f>
        <v/>
      </c>
      <c r="F2724" s="22">
        <f t="array" ref="F2724">IF($C2724="","",IFERROR(INDEX(DATA_MASTER!$L$2:$L$5000,MATCH($C2724,DATA_MASTER!$D$2:$D$5000,0)),""))</f>
        <v/>
      </c>
      <c r="G2724" s="24" t="n"/>
      <c r="H2724" s="24" t="n"/>
      <c r="I2724" s="30" t="n"/>
      <c r="J2724" s="23">
        <f>IF(OR($H2724="",$I2724=""),"",$H2724*$I2724)</f>
        <v/>
      </c>
      <c r="K2724" s="24" t="n"/>
      <c r="L2724" s="24" t="n"/>
      <c r="M2724" s="29" t="n"/>
      <c r="N2724" s="28" t="n"/>
      <c r="O2724" s="24" t="n"/>
      <c r="P2724" s="24" t="n"/>
      <c r="Q2724" s="24" t="n"/>
      <c r="R2724" s="24" t="n"/>
      <c r="S2724" s="22">
        <f>IF(AND($A2724="",$C2724=""),"",IF($A2724="","Thiếu mã đơn; ","")&amp;IF(COUNTIF($A$2:$A2724,$A2724)&gt;1,"Trùng mã đơn; ","")&amp;IF(ISNA(MATCH($C2724,DATA_MASTER!$D$2:$D$5000,0)),"SĐT chưa đăng ký hội viên; ","")&amp;IF(AND($L2724="Đã chuyển khoản",$M2724=""),"Thiếu ngày nhận CK; ",""))</f>
        <v/>
      </c>
      <c r="T2724" s="24" t="n"/>
    </row>
    <row r="2725" ht="14.25" customHeight="1" s="40">
      <c r="A2725" s="24" t="n"/>
      <c r="B2725" s="29" t="n"/>
      <c r="C2725" s="28" t="n"/>
      <c r="D2725" s="22">
        <f t="array" ref="D2725">IF($C2725="","",IFERROR(INDEX(DATA_MASTER!$C$2:$C$5000,MATCH($C2725,DATA_MASTER!$D$2:$D$5000,0)),""))</f>
        <v/>
      </c>
      <c r="E2725" s="22">
        <f t="array" ref="E2725">IF($C2725="","",IFERROR(INDEX(DATA_MASTER!$I$2:$I$5000,MATCH($C2725,DATA_MASTER!$D$2:$D$5000,0)),""))</f>
        <v/>
      </c>
      <c r="F2725" s="22">
        <f t="array" ref="F2725">IF($C2725="","",IFERROR(INDEX(DATA_MASTER!$L$2:$L$5000,MATCH($C2725,DATA_MASTER!$D$2:$D$5000,0)),""))</f>
        <v/>
      </c>
      <c r="G2725" s="24" t="n"/>
      <c r="H2725" s="24" t="n"/>
      <c r="I2725" s="30" t="n"/>
      <c r="J2725" s="23">
        <f>IF(OR($H2725="",$I2725=""),"",$H2725*$I2725)</f>
        <v/>
      </c>
      <c r="K2725" s="24" t="n"/>
      <c r="L2725" s="24" t="n"/>
      <c r="M2725" s="29" t="n"/>
      <c r="N2725" s="28" t="n"/>
      <c r="O2725" s="24" t="n"/>
      <c r="P2725" s="24" t="n"/>
      <c r="Q2725" s="24" t="n"/>
      <c r="R2725" s="24" t="n"/>
      <c r="S2725" s="22">
        <f>IF(AND($A2725="",$C2725=""),"",IF($A2725="","Thiếu mã đơn; ","")&amp;IF(COUNTIF($A$2:$A2725,$A2725)&gt;1,"Trùng mã đơn; ","")&amp;IF(ISNA(MATCH($C2725,DATA_MASTER!$D$2:$D$5000,0)),"SĐT chưa đăng ký hội viên; ","")&amp;IF(AND($L2725="Đã chuyển khoản",$M2725=""),"Thiếu ngày nhận CK; ",""))</f>
        <v/>
      </c>
      <c r="T2725" s="24" t="n"/>
    </row>
    <row r="2726" ht="14.25" customHeight="1" s="40">
      <c r="A2726" s="24" t="n"/>
      <c r="B2726" s="29" t="n"/>
      <c r="C2726" s="28" t="n"/>
      <c r="D2726" s="22">
        <f t="array" ref="D2726">IF($C2726="","",IFERROR(INDEX(DATA_MASTER!$C$2:$C$5000,MATCH($C2726,DATA_MASTER!$D$2:$D$5000,0)),""))</f>
        <v/>
      </c>
      <c r="E2726" s="22">
        <f t="array" ref="E2726">IF($C2726="","",IFERROR(INDEX(DATA_MASTER!$I$2:$I$5000,MATCH($C2726,DATA_MASTER!$D$2:$D$5000,0)),""))</f>
        <v/>
      </c>
      <c r="F2726" s="22">
        <f t="array" ref="F2726">IF($C2726="","",IFERROR(INDEX(DATA_MASTER!$L$2:$L$5000,MATCH($C2726,DATA_MASTER!$D$2:$D$5000,0)),""))</f>
        <v/>
      </c>
      <c r="G2726" s="24" t="n"/>
      <c r="H2726" s="24" t="n"/>
      <c r="I2726" s="30" t="n"/>
      <c r="J2726" s="23">
        <f>IF(OR($H2726="",$I2726=""),"",$H2726*$I2726)</f>
        <v/>
      </c>
      <c r="K2726" s="24" t="n"/>
      <c r="L2726" s="24" t="n"/>
      <c r="M2726" s="29" t="n"/>
      <c r="N2726" s="28" t="n"/>
      <c r="O2726" s="24" t="n"/>
      <c r="P2726" s="24" t="n"/>
      <c r="Q2726" s="24" t="n"/>
      <c r="R2726" s="24" t="n"/>
      <c r="S2726" s="22">
        <f>IF(AND($A2726="",$C2726=""),"",IF($A2726="","Thiếu mã đơn; ","")&amp;IF(COUNTIF($A$2:$A2726,$A2726)&gt;1,"Trùng mã đơn; ","")&amp;IF(ISNA(MATCH($C2726,DATA_MASTER!$D$2:$D$5000,0)),"SĐT chưa đăng ký hội viên; ","")&amp;IF(AND($L2726="Đã chuyển khoản",$M2726=""),"Thiếu ngày nhận CK; ",""))</f>
        <v/>
      </c>
      <c r="T2726" s="24" t="n"/>
    </row>
    <row r="2727" ht="14.25" customHeight="1" s="40">
      <c r="A2727" s="24" t="n"/>
      <c r="B2727" s="29" t="n"/>
      <c r="C2727" s="28" t="n"/>
      <c r="D2727" s="22">
        <f t="array" ref="D2727">IF($C2727="","",IFERROR(INDEX(DATA_MASTER!$C$2:$C$5000,MATCH($C2727,DATA_MASTER!$D$2:$D$5000,0)),""))</f>
        <v/>
      </c>
      <c r="E2727" s="22">
        <f t="array" ref="E2727">IF($C2727="","",IFERROR(INDEX(DATA_MASTER!$I$2:$I$5000,MATCH($C2727,DATA_MASTER!$D$2:$D$5000,0)),""))</f>
        <v/>
      </c>
      <c r="F2727" s="22">
        <f t="array" ref="F2727">IF($C2727="","",IFERROR(INDEX(DATA_MASTER!$L$2:$L$5000,MATCH($C2727,DATA_MASTER!$D$2:$D$5000,0)),""))</f>
        <v/>
      </c>
      <c r="G2727" s="24" t="n"/>
      <c r="H2727" s="24" t="n"/>
      <c r="I2727" s="30" t="n"/>
      <c r="J2727" s="23">
        <f>IF(OR($H2727="",$I2727=""),"",$H2727*$I2727)</f>
        <v/>
      </c>
      <c r="K2727" s="24" t="n"/>
      <c r="L2727" s="24" t="n"/>
      <c r="M2727" s="29" t="n"/>
      <c r="N2727" s="28" t="n"/>
      <c r="O2727" s="24" t="n"/>
      <c r="P2727" s="24" t="n"/>
      <c r="Q2727" s="24" t="n"/>
      <c r="R2727" s="24" t="n"/>
      <c r="S2727" s="22">
        <f>IF(AND($A2727="",$C2727=""),"",IF($A2727="","Thiếu mã đơn; ","")&amp;IF(COUNTIF($A$2:$A2727,$A2727)&gt;1,"Trùng mã đơn; ","")&amp;IF(ISNA(MATCH($C2727,DATA_MASTER!$D$2:$D$5000,0)),"SĐT chưa đăng ký hội viên; ","")&amp;IF(AND($L2727="Đã chuyển khoản",$M2727=""),"Thiếu ngày nhận CK; ",""))</f>
        <v/>
      </c>
      <c r="T2727" s="24" t="n"/>
    </row>
    <row r="2728" ht="14.25" customHeight="1" s="40">
      <c r="A2728" s="24" t="n"/>
      <c r="B2728" s="29" t="n"/>
      <c r="C2728" s="28" t="n"/>
      <c r="D2728" s="22">
        <f t="array" ref="D2728">IF($C2728="","",IFERROR(INDEX(DATA_MASTER!$C$2:$C$5000,MATCH($C2728,DATA_MASTER!$D$2:$D$5000,0)),""))</f>
        <v/>
      </c>
      <c r="E2728" s="22">
        <f t="array" ref="E2728">IF($C2728="","",IFERROR(INDEX(DATA_MASTER!$I$2:$I$5000,MATCH($C2728,DATA_MASTER!$D$2:$D$5000,0)),""))</f>
        <v/>
      </c>
      <c r="F2728" s="22">
        <f t="array" ref="F2728">IF($C2728="","",IFERROR(INDEX(DATA_MASTER!$L$2:$L$5000,MATCH($C2728,DATA_MASTER!$D$2:$D$5000,0)),""))</f>
        <v/>
      </c>
      <c r="G2728" s="24" t="n"/>
      <c r="H2728" s="24" t="n"/>
      <c r="I2728" s="30" t="n"/>
      <c r="J2728" s="23">
        <f>IF(OR($H2728="",$I2728=""),"",$H2728*$I2728)</f>
        <v/>
      </c>
      <c r="K2728" s="24" t="n"/>
      <c r="L2728" s="24" t="n"/>
      <c r="M2728" s="29" t="n"/>
      <c r="N2728" s="28" t="n"/>
      <c r="O2728" s="24" t="n"/>
      <c r="P2728" s="24" t="n"/>
      <c r="Q2728" s="24" t="n"/>
      <c r="R2728" s="24" t="n"/>
      <c r="S2728" s="22">
        <f>IF(AND($A2728="",$C2728=""),"",IF($A2728="","Thiếu mã đơn; ","")&amp;IF(COUNTIF($A$2:$A2728,$A2728)&gt;1,"Trùng mã đơn; ","")&amp;IF(ISNA(MATCH($C2728,DATA_MASTER!$D$2:$D$5000,0)),"SĐT chưa đăng ký hội viên; ","")&amp;IF(AND($L2728="Đã chuyển khoản",$M2728=""),"Thiếu ngày nhận CK; ",""))</f>
        <v/>
      </c>
      <c r="T2728" s="24" t="n"/>
    </row>
    <row r="2729" ht="14.25" customHeight="1" s="40">
      <c r="A2729" s="24" t="n"/>
      <c r="B2729" s="29" t="n"/>
      <c r="C2729" s="28" t="n"/>
      <c r="D2729" s="22">
        <f t="array" ref="D2729">IF($C2729="","",IFERROR(INDEX(DATA_MASTER!$C$2:$C$5000,MATCH($C2729,DATA_MASTER!$D$2:$D$5000,0)),""))</f>
        <v/>
      </c>
      <c r="E2729" s="22">
        <f t="array" ref="E2729">IF($C2729="","",IFERROR(INDEX(DATA_MASTER!$I$2:$I$5000,MATCH($C2729,DATA_MASTER!$D$2:$D$5000,0)),""))</f>
        <v/>
      </c>
      <c r="F2729" s="22">
        <f t="array" ref="F2729">IF($C2729="","",IFERROR(INDEX(DATA_MASTER!$L$2:$L$5000,MATCH($C2729,DATA_MASTER!$D$2:$D$5000,0)),""))</f>
        <v/>
      </c>
      <c r="G2729" s="24" t="n"/>
      <c r="H2729" s="24" t="n"/>
      <c r="I2729" s="30" t="n"/>
      <c r="J2729" s="23">
        <f>IF(OR($H2729="",$I2729=""),"",$H2729*$I2729)</f>
        <v/>
      </c>
      <c r="K2729" s="24" t="n"/>
      <c r="L2729" s="24" t="n"/>
      <c r="M2729" s="29" t="n"/>
      <c r="N2729" s="28" t="n"/>
      <c r="O2729" s="24" t="n"/>
      <c r="P2729" s="24" t="n"/>
      <c r="Q2729" s="24" t="n"/>
      <c r="R2729" s="24" t="n"/>
      <c r="S2729" s="22">
        <f>IF(AND($A2729="",$C2729=""),"",IF($A2729="","Thiếu mã đơn; ","")&amp;IF(COUNTIF($A$2:$A2729,$A2729)&gt;1,"Trùng mã đơn; ","")&amp;IF(ISNA(MATCH($C2729,DATA_MASTER!$D$2:$D$5000,0)),"SĐT chưa đăng ký hội viên; ","")&amp;IF(AND($L2729="Đã chuyển khoản",$M2729=""),"Thiếu ngày nhận CK; ",""))</f>
        <v/>
      </c>
      <c r="T2729" s="24" t="n"/>
    </row>
    <row r="2730" ht="14.25" customHeight="1" s="40">
      <c r="A2730" s="24" t="n"/>
      <c r="B2730" s="29" t="n"/>
      <c r="C2730" s="28" t="n"/>
      <c r="D2730" s="22">
        <f t="array" ref="D2730">IF($C2730="","",IFERROR(INDEX(DATA_MASTER!$C$2:$C$5000,MATCH($C2730,DATA_MASTER!$D$2:$D$5000,0)),""))</f>
        <v/>
      </c>
      <c r="E2730" s="22">
        <f t="array" ref="E2730">IF($C2730="","",IFERROR(INDEX(DATA_MASTER!$I$2:$I$5000,MATCH($C2730,DATA_MASTER!$D$2:$D$5000,0)),""))</f>
        <v/>
      </c>
      <c r="F2730" s="22">
        <f t="array" ref="F2730">IF($C2730="","",IFERROR(INDEX(DATA_MASTER!$L$2:$L$5000,MATCH($C2730,DATA_MASTER!$D$2:$D$5000,0)),""))</f>
        <v/>
      </c>
      <c r="G2730" s="24" t="n"/>
      <c r="H2730" s="24" t="n"/>
      <c r="I2730" s="30" t="n"/>
      <c r="J2730" s="23">
        <f>IF(OR($H2730="",$I2730=""),"",$H2730*$I2730)</f>
        <v/>
      </c>
      <c r="K2730" s="24" t="n"/>
      <c r="L2730" s="24" t="n"/>
      <c r="M2730" s="29" t="n"/>
      <c r="N2730" s="28" t="n"/>
      <c r="O2730" s="24" t="n"/>
      <c r="P2730" s="24" t="n"/>
      <c r="Q2730" s="24" t="n"/>
      <c r="R2730" s="24" t="n"/>
      <c r="S2730" s="22">
        <f>IF(AND($A2730="",$C2730=""),"",IF($A2730="","Thiếu mã đơn; ","")&amp;IF(COUNTIF($A$2:$A2730,$A2730)&gt;1,"Trùng mã đơn; ","")&amp;IF(ISNA(MATCH($C2730,DATA_MASTER!$D$2:$D$5000,0)),"SĐT chưa đăng ký hội viên; ","")&amp;IF(AND($L2730="Đã chuyển khoản",$M2730=""),"Thiếu ngày nhận CK; ",""))</f>
        <v/>
      </c>
      <c r="T2730" s="24" t="n"/>
    </row>
    <row r="2731" ht="14.25" customHeight="1" s="40">
      <c r="A2731" s="24" t="n"/>
      <c r="B2731" s="29" t="n"/>
      <c r="C2731" s="28" t="n"/>
      <c r="D2731" s="22">
        <f t="array" ref="D2731">IF($C2731="","",IFERROR(INDEX(DATA_MASTER!$C$2:$C$5000,MATCH($C2731,DATA_MASTER!$D$2:$D$5000,0)),""))</f>
        <v/>
      </c>
      <c r="E2731" s="22">
        <f t="array" ref="E2731">IF($C2731="","",IFERROR(INDEX(DATA_MASTER!$I$2:$I$5000,MATCH($C2731,DATA_MASTER!$D$2:$D$5000,0)),""))</f>
        <v/>
      </c>
      <c r="F2731" s="22">
        <f t="array" ref="F2731">IF($C2731="","",IFERROR(INDEX(DATA_MASTER!$L$2:$L$5000,MATCH($C2731,DATA_MASTER!$D$2:$D$5000,0)),""))</f>
        <v/>
      </c>
      <c r="G2731" s="24" t="n"/>
      <c r="H2731" s="24" t="n"/>
      <c r="I2731" s="30" t="n"/>
      <c r="J2731" s="23">
        <f>IF(OR($H2731="",$I2731=""),"",$H2731*$I2731)</f>
        <v/>
      </c>
      <c r="K2731" s="24" t="n"/>
      <c r="L2731" s="24" t="n"/>
      <c r="M2731" s="29" t="n"/>
      <c r="N2731" s="28" t="n"/>
      <c r="O2731" s="24" t="n"/>
      <c r="P2731" s="24" t="n"/>
      <c r="Q2731" s="24" t="n"/>
      <c r="R2731" s="24" t="n"/>
      <c r="S2731" s="22">
        <f>IF(AND($A2731="",$C2731=""),"",IF($A2731="","Thiếu mã đơn; ","")&amp;IF(COUNTIF($A$2:$A2731,$A2731)&gt;1,"Trùng mã đơn; ","")&amp;IF(ISNA(MATCH($C2731,DATA_MASTER!$D$2:$D$5000,0)),"SĐT chưa đăng ký hội viên; ","")&amp;IF(AND($L2731="Đã chuyển khoản",$M2731=""),"Thiếu ngày nhận CK; ",""))</f>
        <v/>
      </c>
      <c r="T2731" s="24" t="n"/>
    </row>
    <row r="2732" ht="14.25" customHeight="1" s="40">
      <c r="A2732" s="24" t="n"/>
      <c r="B2732" s="29" t="n"/>
      <c r="C2732" s="28" t="n"/>
      <c r="D2732" s="22">
        <f t="array" ref="D2732">IF($C2732="","",IFERROR(INDEX(DATA_MASTER!$C$2:$C$5000,MATCH($C2732,DATA_MASTER!$D$2:$D$5000,0)),""))</f>
        <v/>
      </c>
      <c r="E2732" s="22">
        <f t="array" ref="E2732">IF($C2732="","",IFERROR(INDEX(DATA_MASTER!$I$2:$I$5000,MATCH($C2732,DATA_MASTER!$D$2:$D$5000,0)),""))</f>
        <v/>
      </c>
      <c r="F2732" s="22">
        <f t="array" ref="F2732">IF($C2732="","",IFERROR(INDEX(DATA_MASTER!$L$2:$L$5000,MATCH($C2732,DATA_MASTER!$D$2:$D$5000,0)),""))</f>
        <v/>
      </c>
      <c r="G2732" s="24" t="n"/>
      <c r="H2732" s="24" t="n"/>
      <c r="I2732" s="30" t="n"/>
      <c r="J2732" s="23">
        <f>IF(OR($H2732="",$I2732=""),"",$H2732*$I2732)</f>
        <v/>
      </c>
      <c r="K2732" s="24" t="n"/>
      <c r="L2732" s="24" t="n"/>
      <c r="M2732" s="29" t="n"/>
      <c r="N2732" s="28" t="n"/>
      <c r="O2732" s="24" t="n"/>
      <c r="P2732" s="24" t="n"/>
      <c r="Q2732" s="24" t="n"/>
      <c r="R2732" s="24" t="n"/>
      <c r="S2732" s="22">
        <f>IF(AND($A2732="",$C2732=""),"",IF($A2732="","Thiếu mã đơn; ","")&amp;IF(COUNTIF($A$2:$A2732,$A2732)&gt;1,"Trùng mã đơn; ","")&amp;IF(ISNA(MATCH($C2732,DATA_MASTER!$D$2:$D$5000,0)),"SĐT chưa đăng ký hội viên; ","")&amp;IF(AND($L2732="Đã chuyển khoản",$M2732=""),"Thiếu ngày nhận CK; ",""))</f>
        <v/>
      </c>
      <c r="T2732" s="24" t="n"/>
    </row>
    <row r="2733" ht="14.25" customHeight="1" s="40">
      <c r="A2733" s="24" t="n"/>
      <c r="B2733" s="29" t="n"/>
      <c r="C2733" s="28" t="n"/>
      <c r="D2733" s="22">
        <f t="array" ref="D2733">IF($C2733="","",IFERROR(INDEX(DATA_MASTER!$C$2:$C$5000,MATCH($C2733,DATA_MASTER!$D$2:$D$5000,0)),""))</f>
        <v/>
      </c>
      <c r="E2733" s="22">
        <f t="array" ref="E2733">IF($C2733="","",IFERROR(INDEX(DATA_MASTER!$I$2:$I$5000,MATCH($C2733,DATA_MASTER!$D$2:$D$5000,0)),""))</f>
        <v/>
      </c>
      <c r="F2733" s="22">
        <f t="array" ref="F2733">IF($C2733="","",IFERROR(INDEX(DATA_MASTER!$L$2:$L$5000,MATCH($C2733,DATA_MASTER!$D$2:$D$5000,0)),""))</f>
        <v/>
      </c>
      <c r="G2733" s="24" t="n"/>
      <c r="H2733" s="24" t="n"/>
      <c r="I2733" s="30" t="n"/>
      <c r="J2733" s="23">
        <f>IF(OR($H2733="",$I2733=""),"",$H2733*$I2733)</f>
        <v/>
      </c>
      <c r="K2733" s="24" t="n"/>
      <c r="L2733" s="24" t="n"/>
      <c r="M2733" s="29" t="n"/>
      <c r="N2733" s="28" t="n"/>
      <c r="O2733" s="24" t="n"/>
      <c r="P2733" s="24" t="n"/>
      <c r="Q2733" s="24" t="n"/>
      <c r="R2733" s="24" t="n"/>
      <c r="S2733" s="22">
        <f>IF(AND($A2733="",$C2733=""),"",IF($A2733="","Thiếu mã đơn; ","")&amp;IF(COUNTIF($A$2:$A2733,$A2733)&gt;1,"Trùng mã đơn; ","")&amp;IF(ISNA(MATCH($C2733,DATA_MASTER!$D$2:$D$5000,0)),"SĐT chưa đăng ký hội viên; ","")&amp;IF(AND($L2733="Đã chuyển khoản",$M2733=""),"Thiếu ngày nhận CK; ",""))</f>
        <v/>
      </c>
      <c r="T2733" s="24" t="n"/>
    </row>
    <row r="2734" ht="14.25" customHeight="1" s="40">
      <c r="A2734" s="24" t="n"/>
      <c r="B2734" s="29" t="n"/>
      <c r="C2734" s="28" t="n"/>
      <c r="D2734" s="22">
        <f t="array" ref="D2734">IF($C2734="","",IFERROR(INDEX(DATA_MASTER!$C$2:$C$5000,MATCH($C2734,DATA_MASTER!$D$2:$D$5000,0)),""))</f>
        <v/>
      </c>
      <c r="E2734" s="22">
        <f t="array" ref="E2734">IF($C2734="","",IFERROR(INDEX(DATA_MASTER!$I$2:$I$5000,MATCH($C2734,DATA_MASTER!$D$2:$D$5000,0)),""))</f>
        <v/>
      </c>
      <c r="F2734" s="22">
        <f t="array" ref="F2734">IF($C2734="","",IFERROR(INDEX(DATA_MASTER!$L$2:$L$5000,MATCH($C2734,DATA_MASTER!$D$2:$D$5000,0)),""))</f>
        <v/>
      </c>
      <c r="G2734" s="24" t="n"/>
      <c r="H2734" s="24" t="n"/>
      <c r="I2734" s="30" t="n"/>
      <c r="J2734" s="23">
        <f>IF(OR($H2734="",$I2734=""),"",$H2734*$I2734)</f>
        <v/>
      </c>
      <c r="K2734" s="24" t="n"/>
      <c r="L2734" s="24" t="n"/>
      <c r="M2734" s="29" t="n"/>
      <c r="N2734" s="28" t="n"/>
      <c r="O2734" s="24" t="n"/>
      <c r="P2734" s="24" t="n"/>
      <c r="Q2734" s="24" t="n"/>
      <c r="R2734" s="24" t="n"/>
      <c r="S2734" s="22">
        <f>IF(AND($A2734="",$C2734=""),"",IF($A2734="","Thiếu mã đơn; ","")&amp;IF(COUNTIF($A$2:$A2734,$A2734)&gt;1,"Trùng mã đơn; ","")&amp;IF(ISNA(MATCH($C2734,DATA_MASTER!$D$2:$D$5000,0)),"SĐT chưa đăng ký hội viên; ","")&amp;IF(AND($L2734="Đã chuyển khoản",$M2734=""),"Thiếu ngày nhận CK; ",""))</f>
        <v/>
      </c>
      <c r="T2734" s="24" t="n"/>
    </row>
    <row r="2735" ht="14.25" customHeight="1" s="40">
      <c r="A2735" s="24" t="n"/>
      <c r="B2735" s="29" t="n"/>
      <c r="C2735" s="28" t="n"/>
      <c r="D2735" s="22">
        <f t="array" ref="D2735">IF($C2735="","",IFERROR(INDEX(DATA_MASTER!$C$2:$C$5000,MATCH($C2735,DATA_MASTER!$D$2:$D$5000,0)),""))</f>
        <v/>
      </c>
      <c r="E2735" s="22">
        <f t="array" ref="E2735">IF($C2735="","",IFERROR(INDEX(DATA_MASTER!$I$2:$I$5000,MATCH($C2735,DATA_MASTER!$D$2:$D$5000,0)),""))</f>
        <v/>
      </c>
      <c r="F2735" s="22">
        <f t="array" ref="F2735">IF($C2735="","",IFERROR(INDEX(DATA_MASTER!$L$2:$L$5000,MATCH($C2735,DATA_MASTER!$D$2:$D$5000,0)),""))</f>
        <v/>
      </c>
      <c r="G2735" s="24" t="n"/>
      <c r="H2735" s="24" t="n"/>
      <c r="I2735" s="30" t="n"/>
      <c r="J2735" s="23">
        <f>IF(OR($H2735="",$I2735=""),"",$H2735*$I2735)</f>
        <v/>
      </c>
      <c r="K2735" s="24" t="n"/>
      <c r="L2735" s="24" t="n"/>
      <c r="M2735" s="29" t="n"/>
      <c r="N2735" s="28" t="n"/>
      <c r="O2735" s="24" t="n"/>
      <c r="P2735" s="24" t="n"/>
      <c r="Q2735" s="24" t="n"/>
      <c r="R2735" s="24" t="n"/>
      <c r="S2735" s="22">
        <f>IF(AND($A2735="",$C2735=""),"",IF($A2735="","Thiếu mã đơn; ","")&amp;IF(COUNTIF($A$2:$A2735,$A2735)&gt;1,"Trùng mã đơn; ","")&amp;IF(ISNA(MATCH($C2735,DATA_MASTER!$D$2:$D$5000,0)),"SĐT chưa đăng ký hội viên; ","")&amp;IF(AND($L2735="Đã chuyển khoản",$M2735=""),"Thiếu ngày nhận CK; ",""))</f>
        <v/>
      </c>
      <c r="T2735" s="24" t="n"/>
    </row>
    <row r="2736" ht="14.25" customHeight="1" s="40">
      <c r="A2736" s="24" t="n"/>
      <c r="B2736" s="29" t="n"/>
      <c r="C2736" s="28" t="n"/>
      <c r="D2736" s="22">
        <f t="array" ref="D2736">IF($C2736="","",IFERROR(INDEX(DATA_MASTER!$C$2:$C$5000,MATCH($C2736,DATA_MASTER!$D$2:$D$5000,0)),""))</f>
        <v/>
      </c>
      <c r="E2736" s="22">
        <f t="array" ref="E2736">IF($C2736="","",IFERROR(INDEX(DATA_MASTER!$I$2:$I$5000,MATCH($C2736,DATA_MASTER!$D$2:$D$5000,0)),""))</f>
        <v/>
      </c>
      <c r="F2736" s="22">
        <f t="array" ref="F2736">IF($C2736="","",IFERROR(INDEX(DATA_MASTER!$L$2:$L$5000,MATCH($C2736,DATA_MASTER!$D$2:$D$5000,0)),""))</f>
        <v/>
      </c>
      <c r="G2736" s="24" t="n"/>
      <c r="H2736" s="24" t="n"/>
      <c r="I2736" s="30" t="n"/>
      <c r="J2736" s="23">
        <f>IF(OR($H2736="",$I2736=""),"",$H2736*$I2736)</f>
        <v/>
      </c>
      <c r="K2736" s="24" t="n"/>
      <c r="L2736" s="24" t="n"/>
      <c r="M2736" s="29" t="n"/>
      <c r="N2736" s="28" t="n"/>
      <c r="O2736" s="24" t="n"/>
      <c r="P2736" s="24" t="n"/>
      <c r="Q2736" s="24" t="n"/>
      <c r="R2736" s="24" t="n"/>
      <c r="S2736" s="22">
        <f>IF(AND($A2736="",$C2736=""),"",IF($A2736="","Thiếu mã đơn; ","")&amp;IF(COUNTIF($A$2:$A2736,$A2736)&gt;1,"Trùng mã đơn; ","")&amp;IF(ISNA(MATCH($C2736,DATA_MASTER!$D$2:$D$5000,0)),"SĐT chưa đăng ký hội viên; ","")&amp;IF(AND($L2736="Đã chuyển khoản",$M2736=""),"Thiếu ngày nhận CK; ",""))</f>
        <v/>
      </c>
      <c r="T2736" s="24" t="n"/>
    </row>
    <row r="2737" ht="14.25" customHeight="1" s="40">
      <c r="A2737" s="24" t="n"/>
      <c r="B2737" s="29" t="n"/>
      <c r="C2737" s="28" t="n"/>
      <c r="D2737" s="22">
        <f t="array" ref="D2737">IF($C2737="","",IFERROR(INDEX(DATA_MASTER!$C$2:$C$5000,MATCH($C2737,DATA_MASTER!$D$2:$D$5000,0)),""))</f>
        <v/>
      </c>
      <c r="E2737" s="22">
        <f t="array" ref="E2737">IF($C2737="","",IFERROR(INDEX(DATA_MASTER!$I$2:$I$5000,MATCH($C2737,DATA_MASTER!$D$2:$D$5000,0)),""))</f>
        <v/>
      </c>
      <c r="F2737" s="22">
        <f t="array" ref="F2737">IF($C2737="","",IFERROR(INDEX(DATA_MASTER!$L$2:$L$5000,MATCH($C2737,DATA_MASTER!$D$2:$D$5000,0)),""))</f>
        <v/>
      </c>
      <c r="G2737" s="24" t="n"/>
      <c r="H2737" s="24" t="n"/>
      <c r="I2737" s="30" t="n"/>
      <c r="J2737" s="23">
        <f>IF(OR($H2737="",$I2737=""),"",$H2737*$I2737)</f>
        <v/>
      </c>
      <c r="K2737" s="24" t="n"/>
      <c r="L2737" s="24" t="n"/>
      <c r="M2737" s="29" t="n"/>
      <c r="N2737" s="28" t="n"/>
      <c r="O2737" s="24" t="n"/>
      <c r="P2737" s="24" t="n"/>
      <c r="Q2737" s="24" t="n"/>
      <c r="R2737" s="24" t="n"/>
      <c r="S2737" s="22">
        <f>IF(AND($A2737="",$C2737=""),"",IF($A2737="","Thiếu mã đơn; ","")&amp;IF(COUNTIF($A$2:$A2737,$A2737)&gt;1,"Trùng mã đơn; ","")&amp;IF(ISNA(MATCH($C2737,DATA_MASTER!$D$2:$D$5000,0)),"SĐT chưa đăng ký hội viên; ","")&amp;IF(AND($L2737="Đã chuyển khoản",$M2737=""),"Thiếu ngày nhận CK; ",""))</f>
        <v/>
      </c>
      <c r="T2737" s="24" t="n"/>
    </row>
    <row r="2738" ht="14.25" customHeight="1" s="40">
      <c r="A2738" s="24" t="n"/>
      <c r="B2738" s="29" t="n"/>
      <c r="C2738" s="28" t="n"/>
      <c r="D2738" s="22">
        <f t="array" ref="D2738">IF($C2738="","",IFERROR(INDEX(DATA_MASTER!$C$2:$C$5000,MATCH($C2738,DATA_MASTER!$D$2:$D$5000,0)),""))</f>
        <v/>
      </c>
      <c r="E2738" s="22">
        <f t="array" ref="E2738">IF($C2738="","",IFERROR(INDEX(DATA_MASTER!$I$2:$I$5000,MATCH($C2738,DATA_MASTER!$D$2:$D$5000,0)),""))</f>
        <v/>
      </c>
      <c r="F2738" s="22">
        <f t="array" ref="F2738">IF($C2738="","",IFERROR(INDEX(DATA_MASTER!$L$2:$L$5000,MATCH($C2738,DATA_MASTER!$D$2:$D$5000,0)),""))</f>
        <v/>
      </c>
      <c r="G2738" s="24" t="n"/>
      <c r="H2738" s="24" t="n"/>
      <c r="I2738" s="30" t="n"/>
      <c r="J2738" s="23">
        <f>IF(OR($H2738="",$I2738=""),"",$H2738*$I2738)</f>
        <v/>
      </c>
      <c r="K2738" s="24" t="n"/>
      <c r="L2738" s="24" t="n"/>
      <c r="M2738" s="29" t="n"/>
      <c r="N2738" s="28" t="n"/>
      <c r="O2738" s="24" t="n"/>
      <c r="P2738" s="24" t="n"/>
      <c r="Q2738" s="24" t="n"/>
      <c r="R2738" s="24" t="n"/>
      <c r="S2738" s="22">
        <f>IF(AND($A2738="",$C2738=""),"",IF($A2738="","Thiếu mã đơn; ","")&amp;IF(COUNTIF($A$2:$A2738,$A2738)&gt;1,"Trùng mã đơn; ","")&amp;IF(ISNA(MATCH($C2738,DATA_MASTER!$D$2:$D$5000,0)),"SĐT chưa đăng ký hội viên; ","")&amp;IF(AND($L2738="Đã chuyển khoản",$M2738=""),"Thiếu ngày nhận CK; ",""))</f>
        <v/>
      </c>
      <c r="T2738" s="24" t="n"/>
    </row>
    <row r="2739" ht="14.25" customHeight="1" s="40">
      <c r="A2739" s="24" t="n"/>
      <c r="B2739" s="29" t="n"/>
      <c r="C2739" s="28" t="n"/>
      <c r="D2739" s="22">
        <f t="array" ref="D2739">IF($C2739="","",IFERROR(INDEX(DATA_MASTER!$C$2:$C$5000,MATCH($C2739,DATA_MASTER!$D$2:$D$5000,0)),""))</f>
        <v/>
      </c>
      <c r="E2739" s="22">
        <f t="array" ref="E2739">IF($C2739="","",IFERROR(INDEX(DATA_MASTER!$I$2:$I$5000,MATCH($C2739,DATA_MASTER!$D$2:$D$5000,0)),""))</f>
        <v/>
      </c>
      <c r="F2739" s="22">
        <f t="array" ref="F2739">IF($C2739="","",IFERROR(INDEX(DATA_MASTER!$L$2:$L$5000,MATCH($C2739,DATA_MASTER!$D$2:$D$5000,0)),""))</f>
        <v/>
      </c>
      <c r="G2739" s="24" t="n"/>
      <c r="H2739" s="24" t="n"/>
      <c r="I2739" s="30" t="n"/>
      <c r="J2739" s="23">
        <f>IF(OR($H2739="",$I2739=""),"",$H2739*$I2739)</f>
        <v/>
      </c>
      <c r="K2739" s="24" t="n"/>
      <c r="L2739" s="24" t="n"/>
      <c r="M2739" s="29" t="n"/>
      <c r="N2739" s="28" t="n"/>
      <c r="O2739" s="24" t="n"/>
      <c r="P2739" s="24" t="n"/>
      <c r="Q2739" s="24" t="n"/>
      <c r="R2739" s="24" t="n"/>
      <c r="S2739" s="22">
        <f>IF(AND($A2739="",$C2739=""),"",IF($A2739="","Thiếu mã đơn; ","")&amp;IF(COUNTIF($A$2:$A2739,$A2739)&gt;1,"Trùng mã đơn; ","")&amp;IF(ISNA(MATCH($C2739,DATA_MASTER!$D$2:$D$5000,0)),"SĐT chưa đăng ký hội viên; ","")&amp;IF(AND($L2739="Đã chuyển khoản",$M2739=""),"Thiếu ngày nhận CK; ",""))</f>
        <v/>
      </c>
      <c r="T2739" s="24" t="n"/>
    </row>
    <row r="2740" ht="14.25" customHeight="1" s="40">
      <c r="A2740" s="24" t="n"/>
      <c r="B2740" s="29" t="n"/>
      <c r="C2740" s="28" t="n"/>
      <c r="D2740" s="22">
        <f t="array" ref="D2740">IF($C2740="","",IFERROR(INDEX(DATA_MASTER!$C$2:$C$5000,MATCH($C2740,DATA_MASTER!$D$2:$D$5000,0)),""))</f>
        <v/>
      </c>
      <c r="E2740" s="22">
        <f t="array" ref="E2740">IF($C2740="","",IFERROR(INDEX(DATA_MASTER!$I$2:$I$5000,MATCH($C2740,DATA_MASTER!$D$2:$D$5000,0)),""))</f>
        <v/>
      </c>
      <c r="F2740" s="22">
        <f t="array" ref="F2740">IF($C2740="","",IFERROR(INDEX(DATA_MASTER!$L$2:$L$5000,MATCH($C2740,DATA_MASTER!$D$2:$D$5000,0)),""))</f>
        <v/>
      </c>
      <c r="G2740" s="24" t="n"/>
      <c r="H2740" s="24" t="n"/>
      <c r="I2740" s="30" t="n"/>
      <c r="J2740" s="23">
        <f>IF(OR($H2740="",$I2740=""),"",$H2740*$I2740)</f>
        <v/>
      </c>
      <c r="K2740" s="24" t="n"/>
      <c r="L2740" s="24" t="n"/>
      <c r="M2740" s="29" t="n"/>
      <c r="N2740" s="28" t="n"/>
      <c r="O2740" s="24" t="n"/>
      <c r="P2740" s="24" t="n"/>
      <c r="Q2740" s="24" t="n"/>
      <c r="R2740" s="24" t="n"/>
      <c r="S2740" s="22">
        <f>IF(AND($A2740="",$C2740=""),"",IF($A2740="","Thiếu mã đơn; ","")&amp;IF(COUNTIF($A$2:$A2740,$A2740)&gt;1,"Trùng mã đơn; ","")&amp;IF(ISNA(MATCH($C2740,DATA_MASTER!$D$2:$D$5000,0)),"SĐT chưa đăng ký hội viên; ","")&amp;IF(AND($L2740="Đã chuyển khoản",$M2740=""),"Thiếu ngày nhận CK; ",""))</f>
        <v/>
      </c>
      <c r="T2740" s="24" t="n"/>
    </row>
    <row r="2741" ht="14.25" customHeight="1" s="40">
      <c r="A2741" s="24" t="n"/>
      <c r="B2741" s="29" t="n"/>
      <c r="C2741" s="28" t="n"/>
      <c r="D2741" s="22">
        <f t="array" ref="D2741">IF($C2741="","",IFERROR(INDEX(DATA_MASTER!$C$2:$C$5000,MATCH($C2741,DATA_MASTER!$D$2:$D$5000,0)),""))</f>
        <v/>
      </c>
      <c r="E2741" s="22">
        <f t="array" ref="E2741">IF($C2741="","",IFERROR(INDEX(DATA_MASTER!$I$2:$I$5000,MATCH($C2741,DATA_MASTER!$D$2:$D$5000,0)),""))</f>
        <v/>
      </c>
      <c r="F2741" s="22">
        <f t="array" ref="F2741">IF($C2741="","",IFERROR(INDEX(DATA_MASTER!$L$2:$L$5000,MATCH($C2741,DATA_MASTER!$D$2:$D$5000,0)),""))</f>
        <v/>
      </c>
      <c r="G2741" s="24" t="n"/>
      <c r="H2741" s="24" t="n"/>
      <c r="I2741" s="30" t="n"/>
      <c r="J2741" s="23">
        <f>IF(OR($H2741="",$I2741=""),"",$H2741*$I2741)</f>
        <v/>
      </c>
      <c r="K2741" s="24" t="n"/>
      <c r="L2741" s="24" t="n"/>
      <c r="M2741" s="29" t="n"/>
      <c r="N2741" s="28" t="n"/>
      <c r="O2741" s="24" t="n"/>
      <c r="P2741" s="24" t="n"/>
      <c r="Q2741" s="24" t="n"/>
      <c r="R2741" s="24" t="n"/>
      <c r="S2741" s="22">
        <f>IF(AND($A2741="",$C2741=""),"",IF($A2741="","Thiếu mã đơn; ","")&amp;IF(COUNTIF($A$2:$A2741,$A2741)&gt;1,"Trùng mã đơn; ","")&amp;IF(ISNA(MATCH($C2741,DATA_MASTER!$D$2:$D$5000,0)),"SĐT chưa đăng ký hội viên; ","")&amp;IF(AND($L2741="Đã chuyển khoản",$M2741=""),"Thiếu ngày nhận CK; ",""))</f>
        <v/>
      </c>
      <c r="T2741" s="24" t="n"/>
    </row>
    <row r="2742" ht="14.25" customHeight="1" s="40">
      <c r="A2742" s="24" t="n"/>
      <c r="B2742" s="29" t="n"/>
      <c r="C2742" s="28" t="n"/>
      <c r="D2742" s="22">
        <f t="array" ref="D2742">IF($C2742="","",IFERROR(INDEX(DATA_MASTER!$C$2:$C$5000,MATCH($C2742,DATA_MASTER!$D$2:$D$5000,0)),""))</f>
        <v/>
      </c>
      <c r="E2742" s="22">
        <f t="array" ref="E2742">IF($C2742="","",IFERROR(INDEX(DATA_MASTER!$I$2:$I$5000,MATCH($C2742,DATA_MASTER!$D$2:$D$5000,0)),""))</f>
        <v/>
      </c>
      <c r="F2742" s="22">
        <f t="array" ref="F2742">IF($C2742="","",IFERROR(INDEX(DATA_MASTER!$L$2:$L$5000,MATCH($C2742,DATA_MASTER!$D$2:$D$5000,0)),""))</f>
        <v/>
      </c>
      <c r="G2742" s="24" t="n"/>
      <c r="H2742" s="24" t="n"/>
      <c r="I2742" s="30" t="n"/>
      <c r="J2742" s="23">
        <f>IF(OR($H2742="",$I2742=""),"",$H2742*$I2742)</f>
        <v/>
      </c>
      <c r="K2742" s="24" t="n"/>
      <c r="L2742" s="24" t="n"/>
      <c r="M2742" s="29" t="n"/>
      <c r="N2742" s="28" t="n"/>
      <c r="O2742" s="24" t="n"/>
      <c r="P2742" s="24" t="n"/>
      <c r="Q2742" s="24" t="n"/>
      <c r="R2742" s="24" t="n"/>
      <c r="S2742" s="22">
        <f>IF(AND($A2742="",$C2742=""),"",IF($A2742="","Thiếu mã đơn; ","")&amp;IF(COUNTIF($A$2:$A2742,$A2742)&gt;1,"Trùng mã đơn; ","")&amp;IF(ISNA(MATCH($C2742,DATA_MASTER!$D$2:$D$5000,0)),"SĐT chưa đăng ký hội viên; ","")&amp;IF(AND($L2742="Đã chuyển khoản",$M2742=""),"Thiếu ngày nhận CK; ",""))</f>
        <v/>
      </c>
      <c r="T2742" s="24" t="n"/>
    </row>
    <row r="2743" ht="14.25" customHeight="1" s="40">
      <c r="A2743" s="24" t="n"/>
      <c r="B2743" s="29" t="n"/>
      <c r="C2743" s="28" t="n"/>
      <c r="D2743" s="22">
        <f t="array" ref="D2743">IF($C2743="","",IFERROR(INDEX(DATA_MASTER!$C$2:$C$5000,MATCH($C2743,DATA_MASTER!$D$2:$D$5000,0)),""))</f>
        <v/>
      </c>
      <c r="E2743" s="22">
        <f t="array" ref="E2743">IF($C2743="","",IFERROR(INDEX(DATA_MASTER!$I$2:$I$5000,MATCH($C2743,DATA_MASTER!$D$2:$D$5000,0)),""))</f>
        <v/>
      </c>
      <c r="F2743" s="22">
        <f t="array" ref="F2743">IF($C2743="","",IFERROR(INDEX(DATA_MASTER!$L$2:$L$5000,MATCH($C2743,DATA_MASTER!$D$2:$D$5000,0)),""))</f>
        <v/>
      </c>
      <c r="G2743" s="24" t="n"/>
      <c r="H2743" s="24" t="n"/>
      <c r="I2743" s="30" t="n"/>
      <c r="J2743" s="23">
        <f>IF(OR($H2743="",$I2743=""),"",$H2743*$I2743)</f>
        <v/>
      </c>
      <c r="K2743" s="24" t="n"/>
      <c r="L2743" s="24" t="n"/>
      <c r="M2743" s="29" t="n"/>
      <c r="N2743" s="28" t="n"/>
      <c r="O2743" s="24" t="n"/>
      <c r="P2743" s="24" t="n"/>
      <c r="Q2743" s="24" t="n"/>
      <c r="R2743" s="24" t="n"/>
      <c r="S2743" s="22">
        <f>IF(AND($A2743="",$C2743=""),"",IF($A2743="","Thiếu mã đơn; ","")&amp;IF(COUNTIF($A$2:$A2743,$A2743)&gt;1,"Trùng mã đơn; ","")&amp;IF(ISNA(MATCH($C2743,DATA_MASTER!$D$2:$D$5000,0)),"SĐT chưa đăng ký hội viên; ","")&amp;IF(AND($L2743="Đã chuyển khoản",$M2743=""),"Thiếu ngày nhận CK; ",""))</f>
        <v/>
      </c>
      <c r="T2743" s="24" t="n"/>
    </row>
    <row r="2744" ht="14.25" customHeight="1" s="40">
      <c r="A2744" s="24" t="n"/>
      <c r="B2744" s="29" t="n"/>
      <c r="C2744" s="28" t="n"/>
      <c r="D2744" s="22">
        <f t="array" ref="D2744">IF($C2744="","",IFERROR(INDEX(DATA_MASTER!$C$2:$C$5000,MATCH($C2744,DATA_MASTER!$D$2:$D$5000,0)),""))</f>
        <v/>
      </c>
      <c r="E2744" s="22">
        <f t="array" ref="E2744">IF($C2744="","",IFERROR(INDEX(DATA_MASTER!$I$2:$I$5000,MATCH($C2744,DATA_MASTER!$D$2:$D$5000,0)),""))</f>
        <v/>
      </c>
      <c r="F2744" s="22">
        <f t="array" ref="F2744">IF($C2744="","",IFERROR(INDEX(DATA_MASTER!$L$2:$L$5000,MATCH($C2744,DATA_MASTER!$D$2:$D$5000,0)),""))</f>
        <v/>
      </c>
      <c r="G2744" s="24" t="n"/>
      <c r="H2744" s="24" t="n"/>
      <c r="I2744" s="30" t="n"/>
      <c r="J2744" s="23">
        <f>IF(OR($H2744="",$I2744=""),"",$H2744*$I2744)</f>
        <v/>
      </c>
      <c r="K2744" s="24" t="n"/>
      <c r="L2744" s="24" t="n"/>
      <c r="M2744" s="29" t="n"/>
      <c r="N2744" s="28" t="n"/>
      <c r="O2744" s="24" t="n"/>
      <c r="P2744" s="24" t="n"/>
      <c r="Q2744" s="24" t="n"/>
      <c r="R2744" s="24" t="n"/>
      <c r="S2744" s="22">
        <f>IF(AND($A2744="",$C2744=""),"",IF($A2744="","Thiếu mã đơn; ","")&amp;IF(COUNTIF($A$2:$A2744,$A2744)&gt;1,"Trùng mã đơn; ","")&amp;IF(ISNA(MATCH($C2744,DATA_MASTER!$D$2:$D$5000,0)),"SĐT chưa đăng ký hội viên; ","")&amp;IF(AND($L2744="Đã chuyển khoản",$M2744=""),"Thiếu ngày nhận CK; ",""))</f>
        <v/>
      </c>
      <c r="T2744" s="24" t="n"/>
    </row>
    <row r="2745" ht="14.25" customHeight="1" s="40">
      <c r="A2745" s="24" t="n"/>
      <c r="B2745" s="29" t="n"/>
      <c r="C2745" s="28" t="n"/>
      <c r="D2745" s="22">
        <f t="array" ref="D2745">IF($C2745="","",IFERROR(INDEX(DATA_MASTER!$C$2:$C$5000,MATCH($C2745,DATA_MASTER!$D$2:$D$5000,0)),""))</f>
        <v/>
      </c>
      <c r="E2745" s="22">
        <f t="array" ref="E2745">IF($C2745="","",IFERROR(INDEX(DATA_MASTER!$I$2:$I$5000,MATCH($C2745,DATA_MASTER!$D$2:$D$5000,0)),""))</f>
        <v/>
      </c>
      <c r="F2745" s="22">
        <f t="array" ref="F2745">IF($C2745="","",IFERROR(INDEX(DATA_MASTER!$L$2:$L$5000,MATCH($C2745,DATA_MASTER!$D$2:$D$5000,0)),""))</f>
        <v/>
      </c>
      <c r="G2745" s="24" t="n"/>
      <c r="H2745" s="24" t="n"/>
      <c r="I2745" s="30" t="n"/>
      <c r="J2745" s="23">
        <f>IF(OR($H2745="",$I2745=""),"",$H2745*$I2745)</f>
        <v/>
      </c>
      <c r="K2745" s="24" t="n"/>
      <c r="L2745" s="24" t="n"/>
      <c r="M2745" s="29" t="n"/>
      <c r="N2745" s="28" t="n"/>
      <c r="O2745" s="24" t="n"/>
      <c r="P2745" s="24" t="n"/>
      <c r="Q2745" s="24" t="n"/>
      <c r="R2745" s="24" t="n"/>
      <c r="S2745" s="22">
        <f>IF(AND($A2745="",$C2745=""),"",IF($A2745="","Thiếu mã đơn; ","")&amp;IF(COUNTIF($A$2:$A2745,$A2745)&gt;1,"Trùng mã đơn; ","")&amp;IF(ISNA(MATCH($C2745,DATA_MASTER!$D$2:$D$5000,0)),"SĐT chưa đăng ký hội viên; ","")&amp;IF(AND($L2745="Đã chuyển khoản",$M2745=""),"Thiếu ngày nhận CK; ",""))</f>
        <v/>
      </c>
      <c r="T2745" s="24" t="n"/>
    </row>
    <row r="2746" ht="14.25" customHeight="1" s="40">
      <c r="A2746" s="24" t="n"/>
      <c r="B2746" s="29" t="n"/>
      <c r="C2746" s="28" t="n"/>
      <c r="D2746" s="22">
        <f t="array" ref="D2746">IF($C2746="","",IFERROR(INDEX(DATA_MASTER!$C$2:$C$5000,MATCH($C2746,DATA_MASTER!$D$2:$D$5000,0)),""))</f>
        <v/>
      </c>
      <c r="E2746" s="22">
        <f t="array" ref="E2746">IF($C2746="","",IFERROR(INDEX(DATA_MASTER!$I$2:$I$5000,MATCH($C2746,DATA_MASTER!$D$2:$D$5000,0)),""))</f>
        <v/>
      </c>
      <c r="F2746" s="22">
        <f t="array" ref="F2746">IF($C2746="","",IFERROR(INDEX(DATA_MASTER!$L$2:$L$5000,MATCH($C2746,DATA_MASTER!$D$2:$D$5000,0)),""))</f>
        <v/>
      </c>
      <c r="G2746" s="24" t="n"/>
      <c r="H2746" s="24" t="n"/>
      <c r="I2746" s="30" t="n"/>
      <c r="J2746" s="23">
        <f>IF(OR($H2746="",$I2746=""),"",$H2746*$I2746)</f>
        <v/>
      </c>
      <c r="K2746" s="24" t="n"/>
      <c r="L2746" s="24" t="n"/>
      <c r="M2746" s="29" t="n"/>
      <c r="N2746" s="28" t="n"/>
      <c r="O2746" s="24" t="n"/>
      <c r="P2746" s="24" t="n"/>
      <c r="Q2746" s="24" t="n"/>
      <c r="R2746" s="24" t="n"/>
      <c r="S2746" s="22">
        <f>IF(AND($A2746="",$C2746=""),"",IF($A2746="","Thiếu mã đơn; ","")&amp;IF(COUNTIF($A$2:$A2746,$A2746)&gt;1,"Trùng mã đơn; ","")&amp;IF(ISNA(MATCH($C2746,DATA_MASTER!$D$2:$D$5000,0)),"SĐT chưa đăng ký hội viên; ","")&amp;IF(AND($L2746="Đã chuyển khoản",$M2746=""),"Thiếu ngày nhận CK; ",""))</f>
        <v/>
      </c>
      <c r="T2746" s="24" t="n"/>
    </row>
    <row r="2747" ht="14.25" customHeight="1" s="40">
      <c r="A2747" s="24" t="n"/>
      <c r="B2747" s="29" t="n"/>
      <c r="C2747" s="28" t="n"/>
      <c r="D2747" s="22">
        <f t="array" ref="D2747">IF($C2747="","",IFERROR(INDEX(DATA_MASTER!$C$2:$C$5000,MATCH($C2747,DATA_MASTER!$D$2:$D$5000,0)),""))</f>
        <v/>
      </c>
      <c r="E2747" s="22">
        <f t="array" ref="E2747">IF($C2747="","",IFERROR(INDEX(DATA_MASTER!$I$2:$I$5000,MATCH($C2747,DATA_MASTER!$D$2:$D$5000,0)),""))</f>
        <v/>
      </c>
      <c r="F2747" s="22">
        <f t="array" ref="F2747">IF($C2747="","",IFERROR(INDEX(DATA_MASTER!$L$2:$L$5000,MATCH($C2747,DATA_MASTER!$D$2:$D$5000,0)),""))</f>
        <v/>
      </c>
      <c r="G2747" s="24" t="n"/>
      <c r="H2747" s="24" t="n"/>
      <c r="I2747" s="30" t="n"/>
      <c r="J2747" s="23">
        <f>IF(OR($H2747="",$I2747=""),"",$H2747*$I2747)</f>
        <v/>
      </c>
      <c r="K2747" s="24" t="n"/>
      <c r="L2747" s="24" t="n"/>
      <c r="M2747" s="29" t="n"/>
      <c r="N2747" s="28" t="n"/>
      <c r="O2747" s="24" t="n"/>
      <c r="P2747" s="24" t="n"/>
      <c r="Q2747" s="24" t="n"/>
      <c r="R2747" s="24" t="n"/>
      <c r="S2747" s="22">
        <f>IF(AND($A2747="",$C2747=""),"",IF($A2747="","Thiếu mã đơn; ","")&amp;IF(COUNTIF($A$2:$A2747,$A2747)&gt;1,"Trùng mã đơn; ","")&amp;IF(ISNA(MATCH($C2747,DATA_MASTER!$D$2:$D$5000,0)),"SĐT chưa đăng ký hội viên; ","")&amp;IF(AND($L2747="Đã chuyển khoản",$M2747=""),"Thiếu ngày nhận CK; ",""))</f>
        <v/>
      </c>
      <c r="T2747" s="24" t="n"/>
    </row>
    <row r="2748" ht="14.25" customHeight="1" s="40">
      <c r="A2748" s="24" t="n"/>
      <c r="B2748" s="29" t="n"/>
      <c r="C2748" s="28" t="n"/>
      <c r="D2748" s="22">
        <f t="array" ref="D2748">IF($C2748="","",IFERROR(INDEX(DATA_MASTER!$C$2:$C$5000,MATCH($C2748,DATA_MASTER!$D$2:$D$5000,0)),""))</f>
        <v/>
      </c>
      <c r="E2748" s="22">
        <f t="array" ref="E2748">IF($C2748="","",IFERROR(INDEX(DATA_MASTER!$I$2:$I$5000,MATCH($C2748,DATA_MASTER!$D$2:$D$5000,0)),""))</f>
        <v/>
      </c>
      <c r="F2748" s="22">
        <f t="array" ref="F2748">IF($C2748="","",IFERROR(INDEX(DATA_MASTER!$L$2:$L$5000,MATCH($C2748,DATA_MASTER!$D$2:$D$5000,0)),""))</f>
        <v/>
      </c>
      <c r="G2748" s="24" t="n"/>
      <c r="H2748" s="24" t="n"/>
      <c r="I2748" s="30" t="n"/>
      <c r="J2748" s="23">
        <f>IF(OR($H2748="",$I2748=""),"",$H2748*$I2748)</f>
        <v/>
      </c>
      <c r="K2748" s="24" t="n"/>
      <c r="L2748" s="24" t="n"/>
      <c r="M2748" s="29" t="n"/>
      <c r="N2748" s="28" t="n"/>
      <c r="O2748" s="24" t="n"/>
      <c r="P2748" s="24" t="n"/>
      <c r="Q2748" s="24" t="n"/>
      <c r="R2748" s="24" t="n"/>
      <c r="S2748" s="22">
        <f>IF(AND($A2748="",$C2748=""),"",IF($A2748="","Thiếu mã đơn; ","")&amp;IF(COUNTIF($A$2:$A2748,$A2748)&gt;1,"Trùng mã đơn; ","")&amp;IF(ISNA(MATCH($C2748,DATA_MASTER!$D$2:$D$5000,0)),"SĐT chưa đăng ký hội viên; ","")&amp;IF(AND($L2748="Đã chuyển khoản",$M2748=""),"Thiếu ngày nhận CK; ",""))</f>
        <v/>
      </c>
      <c r="T2748" s="24" t="n"/>
    </row>
    <row r="2749" ht="14.25" customHeight="1" s="40">
      <c r="A2749" s="24" t="n"/>
      <c r="B2749" s="29" t="n"/>
      <c r="C2749" s="28" t="n"/>
      <c r="D2749" s="22">
        <f t="array" ref="D2749">IF($C2749="","",IFERROR(INDEX(DATA_MASTER!$C$2:$C$5000,MATCH($C2749,DATA_MASTER!$D$2:$D$5000,0)),""))</f>
        <v/>
      </c>
      <c r="E2749" s="22">
        <f t="array" ref="E2749">IF($C2749="","",IFERROR(INDEX(DATA_MASTER!$I$2:$I$5000,MATCH($C2749,DATA_MASTER!$D$2:$D$5000,0)),""))</f>
        <v/>
      </c>
      <c r="F2749" s="22">
        <f t="array" ref="F2749">IF($C2749="","",IFERROR(INDEX(DATA_MASTER!$L$2:$L$5000,MATCH($C2749,DATA_MASTER!$D$2:$D$5000,0)),""))</f>
        <v/>
      </c>
      <c r="G2749" s="24" t="n"/>
      <c r="H2749" s="24" t="n"/>
      <c r="I2749" s="30" t="n"/>
      <c r="J2749" s="23">
        <f>IF(OR($H2749="",$I2749=""),"",$H2749*$I2749)</f>
        <v/>
      </c>
      <c r="K2749" s="24" t="n"/>
      <c r="L2749" s="24" t="n"/>
      <c r="M2749" s="29" t="n"/>
      <c r="N2749" s="28" t="n"/>
      <c r="O2749" s="24" t="n"/>
      <c r="P2749" s="24" t="n"/>
      <c r="Q2749" s="24" t="n"/>
      <c r="R2749" s="24" t="n"/>
      <c r="S2749" s="22">
        <f>IF(AND($A2749="",$C2749=""),"",IF($A2749="","Thiếu mã đơn; ","")&amp;IF(COUNTIF($A$2:$A2749,$A2749)&gt;1,"Trùng mã đơn; ","")&amp;IF(ISNA(MATCH($C2749,DATA_MASTER!$D$2:$D$5000,0)),"SĐT chưa đăng ký hội viên; ","")&amp;IF(AND($L2749="Đã chuyển khoản",$M2749=""),"Thiếu ngày nhận CK; ",""))</f>
        <v/>
      </c>
      <c r="T2749" s="24" t="n"/>
    </row>
    <row r="2750" ht="14.25" customHeight="1" s="40">
      <c r="A2750" s="24" t="n"/>
      <c r="B2750" s="29" t="n"/>
      <c r="C2750" s="28" t="n"/>
      <c r="D2750" s="22">
        <f t="array" ref="D2750">IF($C2750="","",IFERROR(INDEX(DATA_MASTER!$C$2:$C$5000,MATCH($C2750,DATA_MASTER!$D$2:$D$5000,0)),""))</f>
        <v/>
      </c>
      <c r="E2750" s="22">
        <f t="array" ref="E2750">IF($C2750="","",IFERROR(INDEX(DATA_MASTER!$I$2:$I$5000,MATCH($C2750,DATA_MASTER!$D$2:$D$5000,0)),""))</f>
        <v/>
      </c>
      <c r="F2750" s="22">
        <f t="array" ref="F2750">IF($C2750="","",IFERROR(INDEX(DATA_MASTER!$L$2:$L$5000,MATCH($C2750,DATA_MASTER!$D$2:$D$5000,0)),""))</f>
        <v/>
      </c>
      <c r="G2750" s="24" t="n"/>
      <c r="H2750" s="24" t="n"/>
      <c r="I2750" s="30" t="n"/>
      <c r="J2750" s="23">
        <f>IF(OR($H2750="",$I2750=""),"",$H2750*$I2750)</f>
        <v/>
      </c>
      <c r="K2750" s="24" t="n"/>
      <c r="L2750" s="24" t="n"/>
      <c r="M2750" s="29" t="n"/>
      <c r="N2750" s="28" t="n"/>
      <c r="O2750" s="24" t="n"/>
      <c r="P2750" s="24" t="n"/>
      <c r="Q2750" s="24" t="n"/>
      <c r="R2750" s="24" t="n"/>
      <c r="S2750" s="22">
        <f>IF(AND($A2750="",$C2750=""),"",IF($A2750="","Thiếu mã đơn; ","")&amp;IF(COUNTIF($A$2:$A2750,$A2750)&gt;1,"Trùng mã đơn; ","")&amp;IF(ISNA(MATCH($C2750,DATA_MASTER!$D$2:$D$5000,0)),"SĐT chưa đăng ký hội viên; ","")&amp;IF(AND($L2750="Đã chuyển khoản",$M2750=""),"Thiếu ngày nhận CK; ",""))</f>
        <v/>
      </c>
      <c r="T2750" s="24" t="n"/>
    </row>
    <row r="2751" ht="14.25" customHeight="1" s="40">
      <c r="A2751" s="24" t="n"/>
      <c r="B2751" s="29" t="n"/>
      <c r="C2751" s="28" t="n"/>
      <c r="D2751" s="22">
        <f t="array" ref="D2751">IF($C2751="","",IFERROR(INDEX(DATA_MASTER!$C$2:$C$5000,MATCH($C2751,DATA_MASTER!$D$2:$D$5000,0)),""))</f>
        <v/>
      </c>
      <c r="E2751" s="22">
        <f t="array" ref="E2751">IF($C2751="","",IFERROR(INDEX(DATA_MASTER!$I$2:$I$5000,MATCH($C2751,DATA_MASTER!$D$2:$D$5000,0)),""))</f>
        <v/>
      </c>
      <c r="F2751" s="22">
        <f t="array" ref="F2751">IF($C2751="","",IFERROR(INDEX(DATA_MASTER!$L$2:$L$5000,MATCH($C2751,DATA_MASTER!$D$2:$D$5000,0)),""))</f>
        <v/>
      </c>
      <c r="G2751" s="24" t="n"/>
      <c r="H2751" s="24" t="n"/>
      <c r="I2751" s="30" t="n"/>
      <c r="J2751" s="23">
        <f>IF(OR($H2751="",$I2751=""),"",$H2751*$I2751)</f>
        <v/>
      </c>
      <c r="K2751" s="24" t="n"/>
      <c r="L2751" s="24" t="n"/>
      <c r="M2751" s="29" t="n"/>
      <c r="N2751" s="28" t="n"/>
      <c r="O2751" s="24" t="n"/>
      <c r="P2751" s="24" t="n"/>
      <c r="Q2751" s="24" t="n"/>
      <c r="R2751" s="24" t="n"/>
      <c r="S2751" s="22">
        <f>IF(AND($A2751="",$C2751=""),"",IF($A2751="","Thiếu mã đơn; ","")&amp;IF(COUNTIF($A$2:$A2751,$A2751)&gt;1,"Trùng mã đơn; ","")&amp;IF(ISNA(MATCH($C2751,DATA_MASTER!$D$2:$D$5000,0)),"SĐT chưa đăng ký hội viên; ","")&amp;IF(AND($L2751="Đã chuyển khoản",$M2751=""),"Thiếu ngày nhận CK; ",""))</f>
        <v/>
      </c>
      <c r="T2751" s="24" t="n"/>
    </row>
    <row r="2752" ht="14.25" customHeight="1" s="40">
      <c r="A2752" s="24" t="n"/>
      <c r="B2752" s="29" t="n"/>
      <c r="C2752" s="28" t="n"/>
      <c r="D2752" s="22">
        <f t="array" ref="D2752">IF($C2752="","",IFERROR(INDEX(DATA_MASTER!$C$2:$C$5000,MATCH($C2752,DATA_MASTER!$D$2:$D$5000,0)),""))</f>
        <v/>
      </c>
      <c r="E2752" s="22">
        <f t="array" ref="E2752">IF($C2752="","",IFERROR(INDEX(DATA_MASTER!$I$2:$I$5000,MATCH($C2752,DATA_MASTER!$D$2:$D$5000,0)),""))</f>
        <v/>
      </c>
      <c r="F2752" s="22">
        <f t="array" ref="F2752">IF($C2752="","",IFERROR(INDEX(DATA_MASTER!$L$2:$L$5000,MATCH($C2752,DATA_MASTER!$D$2:$D$5000,0)),""))</f>
        <v/>
      </c>
      <c r="G2752" s="24" t="n"/>
      <c r="H2752" s="24" t="n"/>
      <c r="I2752" s="30" t="n"/>
      <c r="J2752" s="23">
        <f>IF(OR($H2752="",$I2752=""),"",$H2752*$I2752)</f>
        <v/>
      </c>
      <c r="K2752" s="24" t="n"/>
      <c r="L2752" s="24" t="n"/>
      <c r="M2752" s="29" t="n"/>
      <c r="N2752" s="28" t="n"/>
      <c r="O2752" s="24" t="n"/>
      <c r="P2752" s="24" t="n"/>
      <c r="Q2752" s="24" t="n"/>
      <c r="R2752" s="24" t="n"/>
      <c r="S2752" s="22">
        <f>IF(AND($A2752="",$C2752=""),"",IF($A2752="","Thiếu mã đơn; ","")&amp;IF(COUNTIF($A$2:$A2752,$A2752)&gt;1,"Trùng mã đơn; ","")&amp;IF(ISNA(MATCH($C2752,DATA_MASTER!$D$2:$D$5000,0)),"SĐT chưa đăng ký hội viên; ","")&amp;IF(AND($L2752="Đã chuyển khoản",$M2752=""),"Thiếu ngày nhận CK; ",""))</f>
        <v/>
      </c>
      <c r="T2752" s="24" t="n"/>
    </row>
    <row r="2753" ht="14.25" customHeight="1" s="40">
      <c r="A2753" s="24" t="n"/>
      <c r="B2753" s="29" t="n"/>
      <c r="C2753" s="28" t="n"/>
      <c r="D2753" s="22">
        <f t="array" ref="D2753">IF($C2753="","",IFERROR(INDEX(DATA_MASTER!$C$2:$C$5000,MATCH($C2753,DATA_MASTER!$D$2:$D$5000,0)),""))</f>
        <v/>
      </c>
      <c r="E2753" s="22">
        <f t="array" ref="E2753">IF($C2753="","",IFERROR(INDEX(DATA_MASTER!$I$2:$I$5000,MATCH($C2753,DATA_MASTER!$D$2:$D$5000,0)),""))</f>
        <v/>
      </c>
      <c r="F2753" s="22">
        <f t="array" ref="F2753">IF($C2753="","",IFERROR(INDEX(DATA_MASTER!$L$2:$L$5000,MATCH($C2753,DATA_MASTER!$D$2:$D$5000,0)),""))</f>
        <v/>
      </c>
      <c r="G2753" s="24" t="n"/>
      <c r="H2753" s="24" t="n"/>
      <c r="I2753" s="30" t="n"/>
      <c r="J2753" s="23">
        <f>IF(OR($H2753="",$I2753=""),"",$H2753*$I2753)</f>
        <v/>
      </c>
      <c r="K2753" s="24" t="n"/>
      <c r="L2753" s="24" t="n"/>
      <c r="M2753" s="29" t="n"/>
      <c r="N2753" s="28" t="n"/>
      <c r="O2753" s="24" t="n"/>
      <c r="P2753" s="24" t="n"/>
      <c r="Q2753" s="24" t="n"/>
      <c r="R2753" s="24" t="n"/>
      <c r="S2753" s="22">
        <f>IF(AND($A2753="",$C2753=""),"",IF($A2753="","Thiếu mã đơn; ","")&amp;IF(COUNTIF($A$2:$A2753,$A2753)&gt;1,"Trùng mã đơn; ","")&amp;IF(ISNA(MATCH($C2753,DATA_MASTER!$D$2:$D$5000,0)),"SĐT chưa đăng ký hội viên; ","")&amp;IF(AND($L2753="Đã chuyển khoản",$M2753=""),"Thiếu ngày nhận CK; ",""))</f>
        <v/>
      </c>
      <c r="T2753" s="24" t="n"/>
    </row>
    <row r="2754" ht="14.25" customHeight="1" s="40">
      <c r="A2754" s="24" t="n"/>
      <c r="B2754" s="29" t="n"/>
      <c r="C2754" s="28" t="n"/>
      <c r="D2754" s="22">
        <f t="array" ref="D2754">IF($C2754="","",IFERROR(INDEX(DATA_MASTER!$C$2:$C$5000,MATCH($C2754,DATA_MASTER!$D$2:$D$5000,0)),""))</f>
        <v/>
      </c>
      <c r="E2754" s="22">
        <f t="array" ref="E2754">IF($C2754="","",IFERROR(INDEX(DATA_MASTER!$I$2:$I$5000,MATCH($C2754,DATA_MASTER!$D$2:$D$5000,0)),""))</f>
        <v/>
      </c>
      <c r="F2754" s="22">
        <f t="array" ref="F2754">IF($C2754="","",IFERROR(INDEX(DATA_MASTER!$L$2:$L$5000,MATCH($C2754,DATA_MASTER!$D$2:$D$5000,0)),""))</f>
        <v/>
      </c>
      <c r="G2754" s="24" t="n"/>
      <c r="H2754" s="24" t="n"/>
      <c r="I2754" s="30" t="n"/>
      <c r="J2754" s="23">
        <f>IF(OR($H2754="",$I2754=""),"",$H2754*$I2754)</f>
        <v/>
      </c>
      <c r="K2754" s="24" t="n"/>
      <c r="L2754" s="24" t="n"/>
      <c r="M2754" s="29" t="n"/>
      <c r="N2754" s="28" t="n"/>
      <c r="O2754" s="24" t="n"/>
      <c r="P2754" s="24" t="n"/>
      <c r="Q2754" s="24" t="n"/>
      <c r="R2754" s="24" t="n"/>
      <c r="S2754" s="22">
        <f>IF(AND($A2754="",$C2754=""),"",IF($A2754="","Thiếu mã đơn; ","")&amp;IF(COUNTIF($A$2:$A2754,$A2754)&gt;1,"Trùng mã đơn; ","")&amp;IF(ISNA(MATCH($C2754,DATA_MASTER!$D$2:$D$5000,0)),"SĐT chưa đăng ký hội viên; ","")&amp;IF(AND($L2754="Đã chuyển khoản",$M2754=""),"Thiếu ngày nhận CK; ",""))</f>
        <v/>
      </c>
      <c r="T2754" s="24" t="n"/>
    </row>
    <row r="2755" ht="14.25" customHeight="1" s="40">
      <c r="A2755" s="24" t="n"/>
      <c r="B2755" s="29" t="n"/>
      <c r="C2755" s="28" t="n"/>
      <c r="D2755" s="22">
        <f t="array" ref="D2755">IF($C2755="","",IFERROR(INDEX(DATA_MASTER!$C$2:$C$5000,MATCH($C2755,DATA_MASTER!$D$2:$D$5000,0)),""))</f>
        <v/>
      </c>
      <c r="E2755" s="22">
        <f t="array" ref="E2755">IF($C2755="","",IFERROR(INDEX(DATA_MASTER!$I$2:$I$5000,MATCH($C2755,DATA_MASTER!$D$2:$D$5000,0)),""))</f>
        <v/>
      </c>
      <c r="F2755" s="22">
        <f t="array" ref="F2755">IF($C2755="","",IFERROR(INDEX(DATA_MASTER!$L$2:$L$5000,MATCH($C2755,DATA_MASTER!$D$2:$D$5000,0)),""))</f>
        <v/>
      </c>
      <c r="G2755" s="24" t="n"/>
      <c r="H2755" s="24" t="n"/>
      <c r="I2755" s="30" t="n"/>
      <c r="J2755" s="23">
        <f>IF(OR($H2755="",$I2755=""),"",$H2755*$I2755)</f>
        <v/>
      </c>
      <c r="K2755" s="24" t="n"/>
      <c r="L2755" s="24" t="n"/>
      <c r="M2755" s="29" t="n"/>
      <c r="N2755" s="28" t="n"/>
      <c r="O2755" s="24" t="n"/>
      <c r="P2755" s="24" t="n"/>
      <c r="Q2755" s="24" t="n"/>
      <c r="R2755" s="24" t="n"/>
      <c r="S2755" s="22">
        <f>IF(AND($A2755="",$C2755=""),"",IF($A2755="","Thiếu mã đơn; ","")&amp;IF(COUNTIF($A$2:$A2755,$A2755)&gt;1,"Trùng mã đơn; ","")&amp;IF(ISNA(MATCH($C2755,DATA_MASTER!$D$2:$D$5000,0)),"SĐT chưa đăng ký hội viên; ","")&amp;IF(AND($L2755="Đã chuyển khoản",$M2755=""),"Thiếu ngày nhận CK; ",""))</f>
        <v/>
      </c>
      <c r="T2755" s="24" t="n"/>
    </row>
    <row r="2756" ht="14.25" customHeight="1" s="40">
      <c r="A2756" s="24" t="n"/>
      <c r="B2756" s="29" t="n"/>
      <c r="C2756" s="28" t="n"/>
      <c r="D2756" s="22">
        <f t="array" ref="D2756">IF($C2756="","",IFERROR(INDEX(DATA_MASTER!$C$2:$C$5000,MATCH($C2756,DATA_MASTER!$D$2:$D$5000,0)),""))</f>
        <v/>
      </c>
      <c r="E2756" s="22">
        <f t="array" ref="E2756">IF($C2756="","",IFERROR(INDEX(DATA_MASTER!$I$2:$I$5000,MATCH($C2756,DATA_MASTER!$D$2:$D$5000,0)),""))</f>
        <v/>
      </c>
      <c r="F2756" s="22">
        <f t="array" ref="F2756">IF($C2756="","",IFERROR(INDEX(DATA_MASTER!$L$2:$L$5000,MATCH($C2756,DATA_MASTER!$D$2:$D$5000,0)),""))</f>
        <v/>
      </c>
      <c r="G2756" s="24" t="n"/>
      <c r="H2756" s="24" t="n"/>
      <c r="I2756" s="30" t="n"/>
      <c r="J2756" s="23">
        <f>IF(OR($H2756="",$I2756=""),"",$H2756*$I2756)</f>
        <v/>
      </c>
      <c r="K2756" s="24" t="n"/>
      <c r="L2756" s="24" t="n"/>
      <c r="M2756" s="29" t="n"/>
      <c r="N2756" s="28" t="n"/>
      <c r="O2756" s="24" t="n"/>
      <c r="P2756" s="24" t="n"/>
      <c r="Q2756" s="24" t="n"/>
      <c r="R2756" s="24" t="n"/>
      <c r="S2756" s="22">
        <f>IF(AND($A2756="",$C2756=""),"",IF($A2756="","Thiếu mã đơn; ","")&amp;IF(COUNTIF($A$2:$A2756,$A2756)&gt;1,"Trùng mã đơn; ","")&amp;IF(ISNA(MATCH($C2756,DATA_MASTER!$D$2:$D$5000,0)),"SĐT chưa đăng ký hội viên; ","")&amp;IF(AND($L2756="Đã chuyển khoản",$M2756=""),"Thiếu ngày nhận CK; ",""))</f>
        <v/>
      </c>
      <c r="T2756" s="24" t="n"/>
    </row>
    <row r="2757" ht="14.25" customHeight="1" s="40">
      <c r="A2757" s="24" t="n"/>
      <c r="B2757" s="29" t="n"/>
      <c r="C2757" s="28" t="n"/>
      <c r="D2757" s="22">
        <f t="array" ref="D2757">IF($C2757="","",IFERROR(INDEX(DATA_MASTER!$C$2:$C$5000,MATCH($C2757,DATA_MASTER!$D$2:$D$5000,0)),""))</f>
        <v/>
      </c>
      <c r="E2757" s="22">
        <f t="array" ref="E2757">IF($C2757="","",IFERROR(INDEX(DATA_MASTER!$I$2:$I$5000,MATCH($C2757,DATA_MASTER!$D$2:$D$5000,0)),""))</f>
        <v/>
      </c>
      <c r="F2757" s="22">
        <f t="array" ref="F2757">IF($C2757="","",IFERROR(INDEX(DATA_MASTER!$L$2:$L$5000,MATCH($C2757,DATA_MASTER!$D$2:$D$5000,0)),""))</f>
        <v/>
      </c>
      <c r="G2757" s="24" t="n"/>
      <c r="H2757" s="24" t="n"/>
      <c r="I2757" s="30" t="n"/>
      <c r="J2757" s="23">
        <f>IF(OR($H2757="",$I2757=""),"",$H2757*$I2757)</f>
        <v/>
      </c>
      <c r="K2757" s="24" t="n"/>
      <c r="L2757" s="24" t="n"/>
      <c r="M2757" s="29" t="n"/>
      <c r="N2757" s="28" t="n"/>
      <c r="O2757" s="24" t="n"/>
      <c r="P2757" s="24" t="n"/>
      <c r="Q2757" s="24" t="n"/>
      <c r="R2757" s="24" t="n"/>
      <c r="S2757" s="22">
        <f>IF(AND($A2757="",$C2757=""),"",IF($A2757="","Thiếu mã đơn; ","")&amp;IF(COUNTIF($A$2:$A2757,$A2757)&gt;1,"Trùng mã đơn; ","")&amp;IF(ISNA(MATCH($C2757,DATA_MASTER!$D$2:$D$5000,0)),"SĐT chưa đăng ký hội viên; ","")&amp;IF(AND($L2757="Đã chuyển khoản",$M2757=""),"Thiếu ngày nhận CK; ",""))</f>
        <v/>
      </c>
      <c r="T2757" s="24" t="n"/>
    </row>
    <row r="2758" ht="14.25" customHeight="1" s="40">
      <c r="A2758" s="24" t="n"/>
      <c r="B2758" s="29" t="n"/>
      <c r="C2758" s="28" t="n"/>
      <c r="D2758" s="22">
        <f t="array" ref="D2758">IF($C2758="","",IFERROR(INDEX(DATA_MASTER!$C$2:$C$5000,MATCH($C2758,DATA_MASTER!$D$2:$D$5000,0)),""))</f>
        <v/>
      </c>
      <c r="E2758" s="22">
        <f t="array" ref="E2758">IF($C2758="","",IFERROR(INDEX(DATA_MASTER!$I$2:$I$5000,MATCH($C2758,DATA_MASTER!$D$2:$D$5000,0)),""))</f>
        <v/>
      </c>
      <c r="F2758" s="22">
        <f t="array" ref="F2758">IF($C2758="","",IFERROR(INDEX(DATA_MASTER!$L$2:$L$5000,MATCH($C2758,DATA_MASTER!$D$2:$D$5000,0)),""))</f>
        <v/>
      </c>
      <c r="G2758" s="24" t="n"/>
      <c r="H2758" s="24" t="n"/>
      <c r="I2758" s="30" t="n"/>
      <c r="J2758" s="23">
        <f>IF(OR($H2758="",$I2758=""),"",$H2758*$I2758)</f>
        <v/>
      </c>
      <c r="K2758" s="24" t="n"/>
      <c r="L2758" s="24" t="n"/>
      <c r="M2758" s="29" t="n"/>
      <c r="N2758" s="28" t="n"/>
      <c r="O2758" s="24" t="n"/>
      <c r="P2758" s="24" t="n"/>
      <c r="Q2758" s="24" t="n"/>
      <c r="R2758" s="24" t="n"/>
      <c r="S2758" s="22">
        <f>IF(AND($A2758="",$C2758=""),"",IF($A2758="","Thiếu mã đơn; ","")&amp;IF(COUNTIF($A$2:$A2758,$A2758)&gt;1,"Trùng mã đơn; ","")&amp;IF(ISNA(MATCH($C2758,DATA_MASTER!$D$2:$D$5000,0)),"SĐT chưa đăng ký hội viên; ","")&amp;IF(AND($L2758="Đã chuyển khoản",$M2758=""),"Thiếu ngày nhận CK; ",""))</f>
        <v/>
      </c>
      <c r="T2758" s="24" t="n"/>
    </row>
    <row r="2759" ht="14.25" customHeight="1" s="40">
      <c r="A2759" s="24" t="n"/>
      <c r="B2759" s="29" t="n"/>
      <c r="C2759" s="28" t="n"/>
      <c r="D2759" s="22">
        <f t="array" ref="D2759">IF($C2759="","",IFERROR(INDEX(DATA_MASTER!$C$2:$C$5000,MATCH($C2759,DATA_MASTER!$D$2:$D$5000,0)),""))</f>
        <v/>
      </c>
      <c r="E2759" s="22">
        <f t="array" ref="E2759">IF($C2759="","",IFERROR(INDEX(DATA_MASTER!$I$2:$I$5000,MATCH($C2759,DATA_MASTER!$D$2:$D$5000,0)),""))</f>
        <v/>
      </c>
      <c r="F2759" s="22">
        <f t="array" ref="F2759">IF($C2759="","",IFERROR(INDEX(DATA_MASTER!$L$2:$L$5000,MATCH($C2759,DATA_MASTER!$D$2:$D$5000,0)),""))</f>
        <v/>
      </c>
      <c r="G2759" s="24" t="n"/>
      <c r="H2759" s="24" t="n"/>
      <c r="I2759" s="30" t="n"/>
      <c r="J2759" s="23">
        <f>IF(OR($H2759="",$I2759=""),"",$H2759*$I2759)</f>
        <v/>
      </c>
      <c r="K2759" s="24" t="n"/>
      <c r="L2759" s="24" t="n"/>
      <c r="M2759" s="29" t="n"/>
      <c r="N2759" s="28" t="n"/>
      <c r="O2759" s="24" t="n"/>
      <c r="P2759" s="24" t="n"/>
      <c r="Q2759" s="24" t="n"/>
      <c r="R2759" s="24" t="n"/>
      <c r="S2759" s="22">
        <f>IF(AND($A2759="",$C2759=""),"",IF($A2759="","Thiếu mã đơn; ","")&amp;IF(COUNTIF($A$2:$A2759,$A2759)&gt;1,"Trùng mã đơn; ","")&amp;IF(ISNA(MATCH($C2759,DATA_MASTER!$D$2:$D$5000,0)),"SĐT chưa đăng ký hội viên; ","")&amp;IF(AND($L2759="Đã chuyển khoản",$M2759=""),"Thiếu ngày nhận CK; ",""))</f>
        <v/>
      </c>
      <c r="T2759" s="24" t="n"/>
    </row>
    <row r="2760" ht="14.25" customHeight="1" s="40">
      <c r="A2760" s="24" t="n"/>
      <c r="B2760" s="29" t="n"/>
      <c r="C2760" s="28" t="n"/>
      <c r="D2760" s="22">
        <f t="array" ref="D2760">IF($C2760="","",IFERROR(INDEX(DATA_MASTER!$C$2:$C$5000,MATCH($C2760,DATA_MASTER!$D$2:$D$5000,0)),""))</f>
        <v/>
      </c>
      <c r="E2760" s="22">
        <f t="array" ref="E2760">IF($C2760="","",IFERROR(INDEX(DATA_MASTER!$I$2:$I$5000,MATCH($C2760,DATA_MASTER!$D$2:$D$5000,0)),""))</f>
        <v/>
      </c>
      <c r="F2760" s="22">
        <f t="array" ref="F2760">IF($C2760="","",IFERROR(INDEX(DATA_MASTER!$L$2:$L$5000,MATCH($C2760,DATA_MASTER!$D$2:$D$5000,0)),""))</f>
        <v/>
      </c>
      <c r="G2760" s="24" t="n"/>
      <c r="H2760" s="24" t="n"/>
      <c r="I2760" s="30" t="n"/>
      <c r="J2760" s="23">
        <f>IF(OR($H2760="",$I2760=""),"",$H2760*$I2760)</f>
        <v/>
      </c>
      <c r="K2760" s="24" t="n"/>
      <c r="L2760" s="24" t="n"/>
      <c r="M2760" s="29" t="n"/>
      <c r="N2760" s="28" t="n"/>
      <c r="O2760" s="24" t="n"/>
      <c r="P2760" s="24" t="n"/>
      <c r="Q2760" s="24" t="n"/>
      <c r="R2760" s="24" t="n"/>
      <c r="S2760" s="22">
        <f>IF(AND($A2760="",$C2760=""),"",IF($A2760="","Thiếu mã đơn; ","")&amp;IF(COUNTIF($A$2:$A2760,$A2760)&gt;1,"Trùng mã đơn; ","")&amp;IF(ISNA(MATCH($C2760,DATA_MASTER!$D$2:$D$5000,0)),"SĐT chưa đăng ký hội viên; ","")&amp;IF(AND($L2760="Đã chuyển khoản",$M2760=""),"Thiếu ngày nhận CK; ",""))</f>
        <v/>
      </c>
      <c r="T2760" s="24" t="n"/>
    </row>
    <row r="2761" ht="14.25" customHeight="1" s="40">
      <c r="A2761" s="24" t="n"/>
      <c r="B2761" s="29" t="n"/>
      <c r="C2761" s="28" t="n"/>
      <c r="D2761" s="22">
        <f t="array" ref="D2761">IF($C2761="","",IFERROR(INDEX(DATA_MASTER!$C$2:$C$5000,MATCH($C2761,DATA_MASTER!$D$2:$D$5000,0)),""))</f>
        <v/>
      </c>
      <c r="E2761" s="22">
        <f t="array" ref="E2761">IF($C2761="","",IFERROR(INDEX(DATA_MASTER!$I$2:$I$5000,MATCH($C2761,DATA_MASTER!$D$2:$D$5000,0)),""))</f>
        <v/>
      </c>
      <c r="F2761" s="22">
        <f t="array" ref="F2761">IF($C2761="","",IFERROR(INDEX(DATA_MASTER!$L$2:$L$5000,MATCH($C2761,DATA_MASTER!$D$2:$D$5000,0)),""))</f>
        <v/>
      </c>
      <c r="G2761" s="24" t="n"/>
      <c r="H2761" s="24" t="n"/>
      <c r="I2761" s="30" t="n"/>
      <c r="J2761" s="23">
        <f>IF(OR($H2761="",$I2761=""),"",$H2761*$I2761)</f>
        <v/>
      </c>
      <c r="K2761" s="24" t="n"/>
      <c r="L2761" s="24" t="n"/>
      <c r="M2761" s="29" t="n"/>
      <c r="N2761" s="28" t="n"/>
      <c r="O2761" s="24" t="n"/>
      <c r="P2761" s="24" t="n"/>
      <c r="Q2761" s="24" t="n"/>
      <c r="R2761" s="24" t="n"/>
      <c r="S2761" s="22">
        <f>IF(AND($A2761="",$C2761=""),"",IF($A2761="","Thiếu mã đơn; ","")&amp;IF(COUNTIF($A$2:$A2761,$A2761)&gt;1,"Trùng mã đơn; ","")&amp;IF(ISNA(MATCH($C2761,DATA_MASTER!$D$2:$D$5000,0)),"SĐT chưa đăng ký hội viên; ","")&amp;IF(AND($L2761="Đã chuyển khoản",$M2761=""),"Thiếu ngày nhận CK; ",""))</f>
        <v/>
      </c>
      <c r="T2761" s="24" t="n"/>
    </row>
    <row r="2762" ht="14.25" customHeight="1" s="40">
      <c r="A2762" s="24" t="n"/>
      <c r="B2762" s="29" t="n"/>
      <c r="C2762" s="28" t="n"/>
      <c r="D2762" s="22">
        <f t="array" ref="D2762">IF($C2762="","",IFERROR(INDEX(DATA_MASTER!$C$2:$C$5000,MATCH($C2762,DATA_MASTER!$D$2:$D$5000,0)),""))</f>
        <v/>
      </c>
      <c r="E2762" s="22">
        <f t="array" ref="E2762">IF($C2762="","",IFERROR(INDEX(DATA_MASTER!$I$2:$I$5000,MATCH($C2762,DATA_MASTER!$D$2:$D$5000,0)),""))</f>
        <v/>
      </c>
      <c r="F2762" s="22">
        <f t="array" ref="F2762">IF($C2762="","",IFERROR(INDEX(DATA_MASTER!$L$2:$L$5000,MATCH($C2762,DATA_MASTER!$D$2:$D$5000,0)),""))</f>
        <v/>
      </c>
      <c r="G2762" s="24" t="n"/>
      <c r="H2762" s="24" t="n"/>
      <c r="I2762" s="30" t="n"/>
      <c r="J2762" s="23">
        <f>IF(OR($H2762="",$I2762=""),"",$H2762*$I2762)</f>
        <v/>
      </c>
      <c r="K2762" s="24" t="n"/>
      <c r="L2762" s="24" t="n"/>
      <c r="M2762" s="29" t="n"/>
      <c r="N2762" s="28" t="n"/>
      <c r="O2762" s="24" t="n"/>
      <c r="P2762" s="24" t="n"/>
      <c r="Q2762" s="24" t="n"/>
      <c r="R2762" s="24" t="n"/>
      <c r="S2762" s="22">
        <f>IF(AND($A2762="",$C2762=""),"",IF($A2762="","Thiếu mã đơn; ","")&amp;IF(COUNTIF($A$2:$A2762,$A2762)&gt;1,"Trùng mã đơn; ","")&amp;IF(ISNA(MATCH($C2762,DATA_MASTER!$D$2:$D$5000,0)),"SĐT chưa đăng ký hội viên; ","")&amp;IF(AND($L2762="Đã chuyển khoản",$M2762=""),"Thiếu ngày nhận CK; ",""))</f>
        <v/>
      </c>
      <c r="T2762" s="24" t="n"/>
    </row>
    <row r="2763" ht="14.25" customHeight="1" s="40">
      <c r="A2763" s="24" t="n"/>
      <c r="B2763" s="29" t="n"/>
      <c r="C2763" s="28" t="n"/>
      <c r="D2763" s="22">
        <f t="array" ref="D2763">IF($C2763="","",IFERROR(INDEX(DATA_MASTER!$C$2:$C$5000,MATCH($C2763,DATA_MASTER!$D$2:$D$5000,0)),""))</f>
        <v/>
      </c>
      <c r="E2763" s="22">
        <f t="array" ref="E2763">IF($C2763="","",IFERROR(INDEX(DATA_MASTER!$I$2:$I$5000,MATCH($C2763,DATA_MASTER!$D$2:$D$5000,0)),""))</f>
        <v/>
      </c>
      <c r="F2763" s="22">
        <f t="array" ref="F2763">IF($C2763="","",IFERROR(INDEX(DATA_MASTER!$L$2:$L$5000,MATCH($C2763,DATA_MASTER!$D$2:$D$5000,0)),""))</f>
        <v/>
      </c>
      <c r="G2763" s="24" t="n"/>
      <c r="H2763" s="24" t="n"/>
      <c r="I2763" s="30" t="n"/>
      <c r="J2763" s="23">
        <f>IF(OR($H2763="",$I2763=""),"",$H2763*$I2763)</f>
        <v/>
      </c>
      <c r="K2763" s="24" t="n"/>
      <c r="L2763" s="24" t="n"/>
      <c r="M2763" s="29" t="n"/>
      <c r="N2763" s="28" t="n"/>
      <c r="O2763" s="24" t="n"/>
      <c r="P2763" s="24" t="n"/>
      <c r="Q2763" s="24" t="n"/>
      <c r="R2763" s="24" t="n"/>
      <c r="S2763" s="22">
        <f>IF(AND($A2763="",$C2763=""),"",IF($A2763="","Thiếu mã đơn; ","")&amp;IF(COUNTIF($A$2:$A2763,$A2763)&gt;1,"Trùng mã đơn; ","")&amp;IF(ISNA(MATCH($C2763,DATA_MASTER!$D$2:$D$5000,0)),"SĐT chưa đăng ký hội viên; ","")&amp;IF(AND($L2763="Đã chuyển khoản",$M2763=""),"Thiếu ngày nhận CK; ",""))</f>
        <v/>
      </c>
      <c r="T2763" s="24" t="n"/>
    </row>
    <row r="2764" ht="14.25" customHeight="1" s="40">
      <c r="A2764" s="24" t="n"/>
      <c r="B2764" s="29" t="n"/>
      <c r="C2764" s="28" t="n"/>
      <c r="D2764" s="22">
        <f t="array" ref="D2764">IF($C2764="","",IFERROR(INDEX(DATA_MASTER!$C$2:$C$5000,MATCH($C2764,DATA_MASTER!$D$2:$D$5000,0)),""))</f>
        <v/>
      </c>
      <c r="E2764" s="22">
        <f t="array" ref="E2764">IF($C2764="","",IFERROR(INDEX(DATA_MASTER!$I$2:$I$5000,MATCH($C2764,DATA_MASTER!$D$2:$D$5000,0)),""))</f>
        <v/>
      </c>
      <c r="F2764" s="22">
        <f t="array" ref="F2764">IF($C2764="","",IFERROR(INDEX(DATA_MASTER!$L$2:$L$5000,MATCH($C2764,DATA_MASTER!$D$2:$D$5000,0)),""))</f>
        <v/>
      </c>
      <c r="G2764" s="24" t="n"/>
      <c r="H2764" s="24" t="n"/>
      <c r="I2764" s="30" t="n"/>
      <c r="J2764" s="23">
        <f>IF(OR($H2764="",$I2764=""),"",$H2764*$I2764)</f>
        <v/>
      </c>
      <c r="K2764" s="24" t="n"/>
      <c r="L2764" s="24" t="n"/>
      <c r="M2764" s="29" t="n"/>
      <c r="N2764" s="28" t="n"/>
      <c r="O2764" s="24" t="n"/>
      <c r="P2764" s="24" t="n"/>
      <c r="Q2764" s="24" t="n"/>
      <c r="R2764" s="24" t="n"/>
      <c r="S2764" s="22">
        <f>IF(AND($A2764="",$C2764=""),"",IF($A2764="","Thiếu mã đơn; ","")&amp;IF(COUNTIF($A$2:$A2764,$A2764)&gt;1,"Trùng mã đơn; ","")&amp;IF(ISNA(MATCH($C2764,DATA_MASTER!$D$2:$D$5000,0)),"SĐT chưa đăng ký hội viên; ","")&amp;IF(AND($L2764="Đã chuyển khoản",$M2764=""),"Thiếu ngày nhận CK; ",""))</f>
        <v/>
      </c>
      <c r="T2764" s="24" t="n"/>
    </row>
    <row r="2765" ht="14.25" customHeight="1" s="40">
      <c r="A2765" s="24" t="n"/>
      <c r="B2765" s="29" t="n"/>
      <c r="C2765" s="28" t="n"/>
      <c r="D2765" s="22">
        <f t="array" ref="D2765">IF($C2765="","",IFERROR(INDEX(DATA_MASTER!$C$2:$C$5000,MATCH($C2765,DATA_MASTER!$D$2:$D$5000,0)),""))</f>
        <v/>
      </c>
      <c r="E2765" s="22">
        <f t="array" ref="E2765">IF($C2765="","",IFERROR(INDEX(DATA_MASTER!$I$2:$I$5000,MATCH($C2765,DATA_MASTER!$D$2:$D$5000,0)),""))</f>
        <v/>
      </c>
      <c r="F2765" s="22">
        <f t="array" ref="F2765">IF($C2765="","",IFERROR(INDEX(DATA_MASTER!$L$2:$L$5000,MATCH($C2765,DATA_MASTER!$D$2:$D$5000,0)),""))</f>
        <v/>
      </c>
      <c r="G2765" s="24" t="n"/>
      <c r="H2765" s="24" t="n"/>
      <c r="I2765" s="30" t="n"/>
      <c r="J2765" s="23">
        <f>IF(OR($H2765="",$I2765=""),"",$H2765*$I2765)</f>
        <v/>
      </c>
      <c r="K2765" s="24" t="n"/>
      <c r="L2765" s="24" t="n"/>
      <c r="M2765" s="29" t="n"/>
      <c r="N2765" s="28" t="n"/>
      <c r="O2765" s="24" t="n"/>
      <c r="P2765" s="24" t="n"/>
      <c r="Q2765" s="24" t="n"/>
      <c r="R2765" s="24" t="n"/>
      <c r="S2765" s="22">
        <f>IF(AND($A2765="",$C2765=""),"",IF($A2765="","Thiếu mã đơn; ","")&amp;IF(COUNTIF($A$2:$A2765,$A2765)&gt;1,"Trùng mã đơn; ","")&amp;IF(ISNA(MATCH($C2765,DATA_MASTER!$D$2:$D$5000,0)),"SĐT chưa đăng ký hội viên; ","")&amp;IF(AND($L2765="Đã chuyển khoản",$M2765=""),"Thiếu ngày nhận CK; ",""))</f>
        <v/>
      </c>
      <c r="T2765" s="24" t="n"/>
    </row>
    <row r="2766" ht="14.25" customHeight="1" s="40">
      <c r="A2766" s="24" t="n"/>
      <c r="B2766" s="29" t="n"/>
      <c r="C2766" s="28" t="n"/>
      <c r="D2766" s="22">
        <f t="array" ref="D2766">IF($C2766="","",IFERROR(INDEX(DATA_MASTER!$C$2:$C$5000,MATCH($C2766,DATA_MASTER!$D$2:$D$5000,0)),""))</f>
        <v/>
      </c>
      <c r="E2766" s="22">
        <f t="array" ref="E2766">IF($C2766="","",IFERROR(INDEX(DATA_MASTER!$I$2:$I$5000,MATCH($C2766,DATA_MASTER!$D$2:$D$5000,0)),""))</f>
        <v/>
      </c>
      <c r="F2766" s="22">
        <f t="array" ref="F2766">IF($C2766="","",IFERROR(INDEX(DATA_MASTER!$L$2:$L$5000,MATCH($C2766,DATA_MASTER!$D$2:$D$5000,0)),""))</f>
        <v/>
      </c>
      <c r="G2766" s="24" t="n"/>
      <c r="H2766" s="24" t="n"/>
      <c r="I2766" s="30" t="n"/>
      <c r="J2766" s="23">
        <f>IF(OR($H2766="",$I2766=""),"",$H2766*$I2766)</f>
        <v/>
      </c>
      <c r="K2766" s="24" t="n"/>
      <c r="L2766" s="24" t="n"/>
      <c r="M2766" s="29" t="n"/>
      <c r="N2766" s="28" t="n"/>
      <c r="O2766" s="24" t="n"/>
      <c r="P2766" s="24" t="n"/>
      <c r="Q2766" s="24" t="n"/>
      <c r="R2766" s="24" t="n"/>
      <c r="S2766" s="22">
        <f>IF(AND($A2766="",$C2766=""),"",IF($A2766="","Thiếu mã đơn; ","")&amp;IF(COUNTIF($A$2:$A2766,$A2766)&gt;1,"Trùng mã đơn; ","")&amp;IF(ISNA(MATCH($C2766,DATA_MASTER!$D$2:$D$5000,0)),"SĐT chưa đăng ký hội viên; ","")&amp;IF(AND($L2766="Đã chuyển khoản",$M2766=""),"Thiếu ngày nhận CK; ",""))</f>
        <v/>
      </c>
      <c r="T2766" s="24" t="n"/>
    </row>
    <row r="2767" ht="14.25" customHeight="1" s="40">
      <c r="A2767" s="24" t="n"/>
      <c r="B2767" s="29" t="n"/>
      <c r="C2767" s="28" t="n"/>
      <c r="D2767" s="22">
        <f t="array" ref="D2767">IF($C2767="","",IFERROR(INDEX(DATA_MASTER!$C$2:$C$5000,MATCH($C2767,DATA_MASTER!$D$2:$D$5000,0)),""))</f>
        <v/>
      </c>
      <c r="E2767" s="22">
        <f t="array" ref="E2767">IF($C2767="","",IFERROR(INDEX(DATA_MASTER!$I$2:$I$5000,MATCH($C2767,DATA_MASTER!$D$2:$D$5000,0)),""))</f>
        <v/>
      </c>
      <c r="F2767" s="22">
        <f t="array" ref="F2767">IF($C2767="","",IFERROR(INDEX(DATA_MASTER!$L$2:$L$5000,MATCH($C2767,DATA_MASTER!$D$2:$D$5000,0)),""))</f>
        <v/>
      </c>
      <c r="G2767" s="24" t="n"/>
      <c r="H2767" s="24" t="n"/>
      <c r="I2767" s="30" t="n"/>
      <c r="J2767" s="23">
        <f>IF(OR($H2767="",$I2767=""),"",$H2767*$I2767)</f>
        <v/>
      </c>
      <c r="K2767" s="24" t="n"/>
      <c r="L2767" s="24" t="n"/>
      <c r="M2767" s="29" t="n"/>
      <c r="N2767" s="28" t="n"/>
      <c r="O2767" s="24" t="n"/>
      <c r="P2767" s="24" t="n"/>
      <c r="Q2767" s="24" t="n"/>
      <c r="R2767" s="24" t="n"/>
      <c r="S2767" s="22">
        <f>IF(AND($A2767="",$C2767=""),"",IF($A2767="","Thiếu mã đơn; ","")&amp;IF(COUNTIF($A$2:$A2767,$A2767)&gt;1,"Trùng mã đơn; ","")&amp;IF(ISNA(MATCH($C2767,DATA_MASTER!$D$2:$D$5000,0)),"SĐT chưa đăng ký hội viên; ","")&amp;IF(AND($L2767="Đã chuyển khoản",$M2767=""),"Thiếu ngày nhận CK; ",""))</f>
        <v/>
      </c>
      <c r="T2767" s="24" t="n"/>
    </row>
    <row r="2768" ht="14.25" customHeight="1" s="40">
      <c r="A2768" s="24" t="n"/>
      <c r="B2768" s="29" t="n"/>
      <c r="C2768" s="28" t="n"/>
      <c r="D2768" s="22">
        <f t="array" ref="D2768">IF($C2768="","",IFERROR(INDEX(DATA_MASTER!$C$2:$C$5000,MATCH($C2768,DATA_MASTER!$D$2:$D$5000,0)),""))</f>
        <v/>
      </c>
      <c r="E2768" s="22">
        <f t="array" ref="E2768">IF($C2768="","",IFERROR(INDEX(DATA_MASTER!$I$2:$I$5000,MATCH($C2768,DATA_MASTER!$D$2:$D$5000,0)),""))</f>
        <v/>
      </c>
      <c r="F2768" s="22">
        <f t="array" ref="F2768">IF($C2768="","",IFERROR(INDEX(DATA_MASTER!$L$2:$L$5000,MATCH($C2768,DATA_MASTER!$D$2:$D$5000,0)),""))</f>
        <v/>
      </c>
      <c r="G2768" s="24" t="n"/>
      <c r="H2768" s="24" t="n"/>
      <c r="I2768" s="30" t="n"/>
      <c r="J2768" s="23">
        <f>IF(OR($H2768="",$I2768=""),"",$H2768*$I2768)</f>
        <v/>
      </c>
      <c r="K2768" s="24" t="n"/>
      <c r="L2768" s="24" t="n"/>
      <c r="M2768" s="29" t="n"/>
      <c r="N2768" s="28" t="n"/>
      <c r="O2768" s="24" t="n"/>
      <c r="P2768" s="24" t="n"/>
      <c r="Q2768" s="24" t="n"/>
      <c r="R2768" s="24" t="n"/>
      <c r="S2768" s="22">
        <f>IF(AND($A2768="",$C2768=""),"",IF($A2768="","Thiếu mã đơn; ","")&amp;IF(COUNTIF($A$2:$A2768,$A2768)&gt;1,"Trùng mã đơn; ","")&amp;IF(ISNA(MATCH($C2768,DATA_MASTER!$D$2:$D$5000,0)),"SĐT chưa đăng ký hội viên; ","")&amp;IF(AND($L2768="Đã chuyển khoản",$M2768=""),"Thiếu ngày nhận CK; ",""))</f>
        <v/>
      </c>
      <c r="T2768" s="24" t="n"/>
    </row>
    <row r="2769" ht="14.25" customHeight="1" s="40">
      <c r="A2769" s="24" t="n"/>
      <c r="B2769" s="29" t="n"/>
      <c r="C2769" s="28" t="n"/>
      <c r="D2769" s="22">
        <f t="array" ref="D2769">IF($C2769="","",IFERROR(INDEX(DATA_MASTER!$C$2:$C$5000,MATCH($C2769,DATA_MASTER!$D$2:$D$5000,0)),""))</f>
        <v/>
      </c>
      <c r="E2769" s="22">
        <f t="array" ref="E2769">IF($C2769="","",IFERROR(INDEX(DATA_MASTER!$I$2:$I$5000,MATCH($C2769,DATA_MASTER!$D$2:$D$5000,0)),""))</f>
        <v/>
      </c>
      <c r="F2769" s="22">
        <f t="array" ref="F2769">IF($C2769="","",IFERROR(INDEX(DATA_MASTER!$L$2:$L$5000,MATCH($C2769,DATA_MASTER!$D$2:$D$5000,0)),""))</f>
        <v/>
      </c>
      <c r="G2769" s="24" t="n"/>
      <c r="H2769" s="24" t="n"/>
      <c r="I2769" s="30" t="n"/>
      <c r="J2769" s="23">
        <f>IF(OR($H2769="",$I2769=""),"",$H2769*$I2769)</f>
        <v/>
      </c>
      <c r="K2769" s="24" t="n"/>
      <c r="L2769" s="24" t="n"/>
      <c r="M2769" s="29" t="n"/>
      <c r="N2769" s="28" t="n"/>
      <c r="O2769" s="24" t="n"/>
      <c r="P2769" s="24" t="n"/>
      <c r="Q2769" s="24" t="n"/>
      <c r="R2769" s="24" t="n"/>
      <c r="S2769" s="22">
        <f>IF(AND($A2769="",$C2769=""),"",IF($A2769="","Thiếu mã đơn; ","")&amp;IF(COUNTIF($A$2:$A2769,$A2769)&gt;1,"Trùng mã đơn; ","")&amp;IF(ISNA(MATCH($C2769,DATA_MASTER!$D$2:$D$5000,0)),"SĐT chưa đăng ký hội viên; ","")&amp;IF(AND($L2769="Đã chuyển khoản",$M2769=""),"Thiếu ngày nhận CK; ",""))</f>
        <v/>
      </c>
      <c r="T2769" s="24" t="n"/>
    </row>
    <row r="2770" ht="14.25" customHeight="1" s="40">
      <c r="A2770" s="24" t="n"/>
      <c r="B2770" s="29" t="n"/>
      <c r="C2770" s="28" t="n"/>
      <c r="D2770" s="22">
        <f t="array" ref="D2770">IF($C2770="","",IFERROR(INDEX(DATA_MASTER!$C$2:$C$5000,MATCH($C2770,DATA_MASTER!$D$2:$D$5000,0)),""))</f>
        <v/>
      </c>
      <c r="E2770" s="22">
        <f t="array" ref="E2770">IF($C2770="","",IFERROR(INDEX(DATA_MASTER!$I$2:$I$5000,MATCH($C2770,DATA_MASTER!$D$2:$D$5000,0)),""))</f>
        <v/>
      </c>
      <c r="F2770" s="22">
        <f t="array" ref="F2770">IF($C2770="","",IFERROR(INDEX(DATA_MASTER!$L$2:$L$5000,MATCH($C2770,DATA_MASTER!$D$2:$D$5000,0)),""))</f>
        <v/>
      </c>
      <c r="G2770" s="24" t="n"/>
      <c r="H2770" s="24" t="n"/>
      <c r="I2770" s="30" t="n"/>
      <c r="J2770" s="23">
        <f>IF(OR($H2770="",$I2770=""),"",$H2770*$I2770)</f>
        <v/>
      </c>
      <c r="K2770" s="24" t="n"/>
      <c r="L2770" s="24" t="n"/>
      <c r="M2770" s="29" t="n"/>
      <c r="N2770" s="28" t="n"/>
      <c r="O2770" s="24" t="n"/>
      <c r="P2770" s="24" t="n"/>
      <c r="Q2770" s="24" t="n"/>
      <c r="R2770" s="24" t="n"/>
      <c r="S2770" s="22">
        <f>IF(AND($A2770="",$C2770=""),"",IF($A2770="","Thiếu mã đơn; ","")&amp;IF(COUNTIF($A$2:$A2770,$A2770)&gt;1,"Trùng mã đơn; ","")&amp;IF(ISNA(MATCH($C2770,DATA_MASTER!$D$2:$D$5000,0)),"SĐT chưa đăng ký hội viên; ","")&amp;IF(AND($L2770="Đã chuyển khoản",$M2770=""),"Thiếu ngày nhận CK; ",""))</f>
        <v/>
      </c>
      <c r="T2770" s="24" t="n"/>
    </row>
    <row r="2771" ht="14.25" customHeight="1" s="40">
      <c r="A2771" s="24" t="n"/>
      <c r="B2771" s="29" t="n"/>
      <c r="C2771" s="28" t="n"/>
      <c r="D2771" s="22">
        <f t="array" ref="D2771">IF($C2771="","",IFERROR(INDEX(DATA_MASTER!$C$2:$C$5000,MATCH($C2771,DATA_MASTER!$D$2:$D$5000,0)),""))</f>
        <v/>
      </c>
      <c r="E2771" s="22">
        <f t="array" ref="E2771">IF($C2771="","",IFERROR(INDEX(DATA_MASTER!$I$2:$I$5000,MATCH($C2771,DATA_MASTER!$D$2:$D$5000,0)),""))</f>
        <v/>
      </c>
      <c r="F2771" s="22">
        <f t="array" ref="F2771">IF($C2771="","",IFERROR(INDEX(DATA_MASTER!$L$2:$L$5000,MATCH($C2771,DATA_MASTER!$D$2:$D$5000,0)),""))</f>
        <v/>
      </c>
      <c r="G2771" s="24" t="n"/>
      <c r="H2771" s="24" t="n"/>
      <c r="I2771" s="30" t="n"/>
      <c r="J2771" s="23">
        <f>IF(OR($H2771="",$I2771=""),"",$H2771*$I2771)</f>
        <v/>
      </c>
      <c r="K2771" s="24" t="n"/>
      <c r="L2771" s="24" t="n"/>
      <c r="M2771" s="29" t="n"/>
      <c r="N2771" s="28" t="n"/>
      <c r="O2771" s="24" t="n"/>
      <c r="P2771" s="24" t="n"/>
      <c r="Q2771" s="24" t="n"/>
      <c r="R2771" s="24" t="n"/>
      <c r="S2771" s="22">
        <f>IF(AND($A2771="",$C2771=""),"",IF($A2771="","Thiếu mã đơn; ","")&amp;IF(COUNTIF($A$2:$A2771,$A2771)&gt;1,"Trùng mã đơn; ","")&amp;IF(ISNA(MATCH($C2771,DATA_MASTER!$D$2:$D$5000,0)),"SĐT chưa đăng ký hội viên; ","")&amp;IF(AND($L2771="Đã chuyển khoản",$M2771=""),"Thiếu ngày nhận CK; ",""))</f>
        <v/>
      </c>
      <c r="T2771" s="24" t="n"/>
    </row>
    <row r="2772" ht="14.25" customHeight="1" s="40">
      <c r="A2772" s="24" t="n"/>
      <c r="B2772" s="29" t="n"/>
      <c r="C2772" s="28" t="n"/>
      <c r="D2772" s="22">
        <f t="array" ref="D2772">IF($C2772="","",IFERROR(INDEX(DATA_MASTER!$C$2:$C$5000,MATCH($C2772,DATA_MASTER!$D$2:$D$5000,0)),""))</f>
        <v/>
      </c>
      <c r="E2772" s="22">
        <f t="array" ref="E2772">IF($C2772="","",IFERROR(INDEX(DATA_MASTER!$I$2:$I$5000,MATCH($C2772,DATA_MASTER!$D$2:$D$5000,0)),""))</f>
        <v/>
      </c>
      <c r="F2772" s="22">
        <f t="array" ref="F2772">IF($C2772="","",IFERROR(INDEX(DATA_MASTER!$L$2:$L$5000,MATCH($C2772,DATA_MASTER!$D$2:$D$5000,0)),""))</f>
        <v/>
      </c>
      <c r="G2772" s="24" t="n"/>
      <c r="H2772" s="24" t="n"/>
      <c r="I2772" s="30" t="n"/>
      <c r="J2772" s="23">
        <f>IF(OR($H2772="",$I2772=""),"",$H2772*$I2772)</f>
        <v/>
      </c>
      <c r="K2772" s="24" t="n"/>
      <c r="L2772" s="24" t="n"/>
      <c r="M2772" s="29" t="n"/>
      <c r="N2772" s="28" t="n"/>
      <c r="O2772" s="24" t="n"/>
      <c r="P2772" s="24" t="n"/>
      <c r="Q2772" s="24" t="n"/>
      <c r="R2772" s="24" t="n"/>
      <c r="S2772" s="22">
        <f>IF(AND($A2772="",$C2772=""),"",IF($A2772="","Thiếu mã đơn; ","")&amp;IF(COUNTIF($A$2:$A2772,$A2772)&gt;1,"Trùng mã đơn; ","")&amp;IF(ISNA(MATCH($C2772,DATA_MASTER!$D$2:$D$5000,0)),"SĐT chưa đăng ký hội viên; ","")&amp;IF(AND($L2772="Đã chuyển khoản",$M2772=""),"Thiếu ngày nhận CK; ",""))</f>
        <v/>
      </c>
      <c r="T2772" s="24" t="n"/>
    </row>
    <row r="2773" ht="14.25" customHeight="1" s="40">
      <c r="A2773" s="24" t="n"/>
      <c r="B2773" s="29" t="n"/>
      <c r="C2773" s="28" t="n"/>
      <c r="D2773" s="22">
        <f t="array" ref="D2773">IF($C2773="","",IFERROR(INDEX(DATA_MASTER!$C$2:$C$5000,MATCH($C2773,DATA_MASTER!$D$2:$D$5000,0)),""))</f>
        <v/>
      </c>
      <c r="E2773" s="22">
        <f t="array" ref="E2773">IF($C2773="","",IFERROR(INDEX(DATA_MASTER!$I$2:$I$5000,MATCH($C2773,DATA_MASTER!$D$2:$D$5000,0)),""))</f>
        <v/>
      </c>
      <c r="F2773" s="22">
        <f t="array" ref="F2773">IF($C2773="","",IFERROR(INDEX(DATA_MASTER!$L$2:$L$5000,MATCH($C2773,DATA_MASTER!$D$2:$D$5000,0)),""))</f>
        <v/>
      </c>
      <c r="G2773" s="24" t="n"/>
      <c r="H2773" s="24" t="n"/>
      <c r="I2773" s="30" t="n"/>
      <c r="J2773" s="23">
        <f>IF(OR($H2773="",$I2773=""),"",$H2773*$I2773)</f>
        <v/>
      </c>
      <c r="K2773" s="24" t="n"/>
      <c r="L2773" s="24" t="n"/>
      <c r="M2773" s="29" t="n"/>
      <c r="N2773" s="28" t="n"/>
      <c r="O2773" s="24" t="n"/>
      <c r="P2773" s="24" t="n"/>
      <c r="Q2773" s="24" t="n"/>
      <c r="R2773" s="24" t="n"/>
      <c r="S2773" s="22">
        <f>IF(AND($A2773="",$C2773=""),"",IF($A2773="","Thiếu mã đơn; ","")&amp;IF(COUNTIF($A$2:$A2773,$A2773)&gt;1,"Trùng mã đơn; ","")&amp;IF(ISNA(MATCH($C2773,DATA_MASTER!$D$2:$D$5000,0)),"SĐT chưa đăng ký hội viên; ","")&amp;IF(AND($L2773="Đã chuyển khoản",$M2773=""),"Thiếu ngày nhận CK; ",""))</f>
        <v/>
      </c>
      <c r="T2773" s="24" t="n"/>
    </row>
    <row r="2774" ht="14.25" customHeight="1" s="40">
      <c r="A2774" s="24" t="n"/>
      <c r="B2774" s="29" t="n"/>
      <c r="C2774" s="28" t="n"/>
      <c r="D2774" s="22">
        <f t="array" ref="D2774">IF($C2774="","",IFERROR(INDEX(DATA_MASTER!$C$2:$C$5000,MATCH($C2774,DATA_MASTER!$D$2:$D$5000,0)),""))</f>
        <v/>
      </c>
      <c r="E2774" s="22">
        <f t="array" ref="E2774">IF($C2774="","",IFERROR(INDEX(DATA_MASTER!$I$2:$I$5000,MATCH($C2774,DATA_MASTER!$D$2:$D$5000,0)),""))</f>
        <v/>
      </c>
      <c r="F2774" s="22">
        <f t="array" ref="F2774">IF($C2774="","",IFERROR(INDEX(DATA_MASTER!$L$2:$L$5000,MATCH($C2774,DATA_MASTER!$D$2:$D$5000,0)),""))</f>
        <v/>
      </c>
      <c r="G2774" s="24" t="n"/>
      <c r="H2774" s="24" t="n"/>
      <c r="I2774" s="30" t="n"/>
      <c r="J2774" s="23">
        <f>IF(OR($H2774="",$I2774=""),"",$H2774*$I2774)</f>
        <v/>
      </c>
      <c r="K2774" s="24" t="n"/>
      <c r="L2774" s="24" t="n"/>
      <c r="M2774" s="29" t="n"/>
      <c r="N2774" s="28" t="n"/>
      <c r="O2774" s="24" t="n"/>
      <c r="P2774" s="24" t="n"/>
      <c r="Q2774" s="24" t="n"/>
      <c r="R2774" s="24" t="n"/>
      <c r="S2774" s="22">
        <f>IF(AND($A2774="",$C2774=""),"",IF($A2774="","Thiếu mã đơn; ","")&amp;IF(COUNTIF($A$2:$A2774,$A2774)&gt;1,"Trùng mã đơn; ","")&amp;IF(ISNA(MATCH($C2774,DATA_MASTER!$D$2:$D$5000,0)),"SĐT chưa đăng ký hội viên; ","")&amp;IF(AND($L2774="Đã chuyển khoản",$M2774=""),"Thiếu ngày nhận CK; ",""))</f>
        <v/>
      </c>
      <c r="T2774" s="24" t="n"/>
    </row>
    <row r="2775" ht="14.25" customHeight="1" s="40">
      <c r="A2775" s="24" t="n"/>
      <c r="B2775" s="29" t="n"/>
      <c r="C2775" s="28" t="n"/>
      <c r="D2775" s="22">
        <f t="array" ref="D2775">IF($C2775="","",IFERROR(INDEX(DATA_MASTER!$C$2:$C$5000,MATCH($C2775,DATA_MASTER!$D$2:$D$5000,0)),""))</f>
        <v/>
      </c>
      <c r="E2775" s="22">
        <f t="array" ref="E2775">IF($C2775="","",IFERROR(INDEX(DATA_MASTER!$I$2:$I$5000,MATCH($C2775,DATA_MASTER!$D$2:$D$5000,0)),""))</f>
        <v/>
      </c>
      <c r="F2775" s="22">
        <f t="array" ref="F2775">IF($C2775="","",IFERROR(INDEX(DATA_MASTER!$L$2:$L$5000,MATCH($C2775,DATA_MASTER!$D$2:$D$5000,0)),""))</f>
        <v/>
      </c>
      <c r="G2775" s="24" t="n"/>
      <c r="H2775" s="24" t="n"/>
      <c r="I2775" s="30" t="n"/>
      <c r="J2775" s="23">
        <f>IF(OR($H2775="",$I2775=""),"",$H2775*$I2775)</f>
        <v/>
      </c>
      <c r="K2775" s="24" t="n"/>
      <c r="L2775" s="24" t="n"/>
      <c r="M2775" s="29" t="n"/>
      <c r="N2775" s="28" t="n"/>
      <c r="O2775" s="24" t="n"/>
      <c r="P2775" s="24" t="n"/>
      <c r="Q2775" s="24" t="n"/>
      <c r="R2775" s="24" t="n"/>
      <c r="S2775" s="22">
        <f>IF(AND($A2775="",$C2775=""),"",IF($A2775="","Thiếu mã đơn; ","")&amp;IF(COUNTIF($A$2:$A2775,$A2775)&gt;1,"Trùng mã đơn; ","")&amp;IF(ISNA(MATCH($C2775,DATA_MASTER!$D$2:$D$5000,0)),"SĐT chưa đăng ký hội viên; ","")&amp;IF(AND($L2775="Đã chuyển khoản",$M2775=""),"Thiếu ngày nhận CK; ",""))</f>
        <v/>
      </c>
      <c r="T2775" s="24" t="n"/>
    </row>
    <row r="2776" ht="14.25" customHeight="1" s="40">
      <c r="A2776" s="24" t="n"/>
      <c r="B2776" s="29" t="n"/>
      <c r="C2776" s="28" t="n"/>
      <c r="D2776" s="22">
        <f t="array" ref="D2776">IF($C2776="","",IFERROR(INDEX(DATA_MASTER!$C$2:$C$5000,MATCH($C2776,DATA_MASTER!$D$2:$D$5000,0)),""))</f>
        <v/>
      </c>
      <c r="E2776" s="22">
        <f t="array" ref="E2776">IF($C2776="","",IFERROR(INDEX(DATA_MASTER!$I$2:$I$5000,MATCH($C2776,DATA_MASTER!$D$2:$D$5000,0)),""))</f>
        <v/>
      </c>
      <c r="F2776" s="22">
        <f t="array" ref="F2776">IF($C2776="","",IFERROR(INDEX(DATA_MASTER!$L$2:$L$5000,MATCH($C2776,DATA_MASTER!$D$2:$D$5000,0)),""))</f>
        <v/>
      </c>
      <c r="G2776" s="24" t="n"/>
      <c r="H2776" s="24" t="n"/>
      <c r="I2776" s="30" t="n"/>
      <c r="J2776" s="23">
        <f>IF(OR($H2776="",$I2776=""),"",$H2776*$I2776)</f>
        <v/>
      </c>
      <c r="K2776" s="24" t="n"/>
      <c r="L2776" s="24" t="n"/>
      <c r="M2776" s="29" t="n"/>
      <c r="N2776" s="28" t="n"/>
      <c r="O2776" s="24" t="n"/>
      <c r="P2776" s="24" t="n"/>
      <c r="Q2776" s="24" t="n"/>
      <c r="R2776" s="24" t="n"/>
      <c r="S2776" s="22">
        <f>IF(AND($A2776="",$C2776=""),"",IF($A2776="","Thiếu mã đơn; ","")&amp;IF(COUNTIF($A$2:$A2776,$A2776)&gt;1,"Trùng mã đơn; ","")&amp;IF(ISNA(MATCH($C2776,DATA_MASTER!$D$2:$D$5000,0)),"SĐT chưa đăng ký hội viên; ","")&amp;IF(AND($L2776="Đã chuyển khoản",$M2776=""),"Thiếu ngày nhận CK; ",""))</f>
        <v/>
      </c>
      <c r="T2776" s="24" t="n"/>
    </row>
    <row r="2777" ht="14.25" customHeight="1" s="40">
      <c r="A2777" s="24" t="n"/>
      <c r="B2777" s="29" t="n"/>
      <c r="C2777" s="28" t="n"/>
      <c r="D2777" s="22">
        <f t="array" ref="D2777">IF($C2777="","",IFERROR(INDEX(DATA_MASTER!$C$2:$C$5000,MATCH($C2777,DATA_MASTER!$D$2:$D$5000,0)),""))</f>
        <v/>
      </c>
      <c r="E2777" s="22">
        <f t="array" ref="E2777">IF($C2777="","",IFERROR(INDEX(DATA_MASTER!$I$2:$I$5000,MATCH($C2777,DATA_MASTER!$D$2:$D$5000,0)),""))</f>
        <v/>
      </c>
      <c r="F2777" s="22">
        <f t="array" ref="F2777">IF($C2777="","",IFERROR(INDEX(DATA_MASTER!$L$2:$L$5000,MATCH($C2777,DATA_MASTER!$D$2:$D$5000,0)),""))</f>
        <v/>
      </c>
      <c r="G2777" s="24" t="n"/>
      <c r="H2777" s="24" t="n"/>
      <c r="I2777" s="30" t="n"/>
      <c r="J2777" s="23">
        <f>IF(OR($H2777="",$I2777=""),"",$H2777*$I2777)</f>
        <v/>
      </c>
      <c r="K2777" s="24" t="n"/>
      <c r="L2777" s="24" t="n"/>
      <c r="M2777" s="29" t="n"/>
      <c r="N2777" s="28" t="n"/>
      <c r="O2777" s="24" t="n"/>
      <c r="P2777" s="24" t="n"/>
      <c r="Q2777" s="24" t="n"/>
      <c r="R2777" s="24" t="n"/>
      <c r="S2777" s="22">
        <f>IF(AND($A2777="",$C2777=""),"",IF($A2777="","Thiếu mã đơn; ","")&amp;IF(COUNTIF($A$2:$A2777,$A2777)&gt;1,"Trùng mã đơn; ","")&amp;IF(ISNA(MATCH($C2777,DATA_MASTER!$D$2:$D$5000,0)),"SĐT chưa đăng ký hội viên; ","")&amp;IF(AND($L2777="Đã chuyển khoản",$M2777=""),"Thiếu ngày nhận CK; ",""))</f>
        <v/>
      </c>
      <c r="T2777" s="24" t="n"/>
    </row>
    <row r="2778" ht="14.25" customHeight="1" s="40">
      <c r="A2778" s="24" t="n"/>
      <c r="B2778" s="29" t="n"/>
      <c r="C2778" s="28" t="n"/>
      <c r="D2778" s="22">
        <f t="array" ref="D2778">IF($C2778="","",IFERROR(INDEX(DATA_MASTER!$C$2:$C$5000,MATCH($C2778,DATA_MASTER!$D$2:$D$5000,0)),""))</f>
        <v/>
      </c>
      <c r="E2778" s="22">
        <f t="array" ref="E2778">IF($C2778="","",IFERROR(INDEX(DATA_MASTER!$I$2:$I$5000,MATCH($C2778,DATA_MASTER!$D$2:$D$5000,0)),""))</f>
        <v/>
      </c>
      <c r="F2778" s="22">
        <f t="array" ref="F2778">IF($C2778="","",IFERROR(INDEX(DATA_MASTER!$L$2:$L$5000,MATCH($C2778,DATA_MASTER!$D$2:$D$5000,0)),""))</f>
        <v/>
      </c>
      <c r="G2778" s="24" t="n"/>
      <c r="H2778" s="24" t="n"/>
      <c r="I2778" s="30" t="n"/>
      <c r="J2778" s="23">
        <f>IF(OR($H2778="",$I2778=""),"",$H2778*$I2778)</f>
        <v/>
      </c>
      <c r="K2778" s="24" t="n"/>
      <c r="L2778" s="24" t="n"/>
      <c r="M2778" s="29" t="n"/>
      <c r="N2778" s="28" t="n"/>
      <c r="O2778" s="24" t="n"/>
      <c r="P2778" s="24" t="n"/>
      <c r="Q2778" s="24" t="n"/>
      <c r="R2778" s="24" t="n"/>
      <c r="S2778" s="22">
        <f>IF(AND($A2778="",$C2778=""),"",IF($A2778="","Thiếu mã đơn; ","")&amp;IF(COUNTIF($A$2:$A2778,$A2778)&gt;1,"Trùng mã đơn; ","")&amp;IF(ISNA(MATCH($C2778,DATA_MASTER!$D$2:$D$5000,0)),"SĐT chưa đăng ký hội viên; ","")&amp;IF(AND($L2778="Đã chuyển khoản",$M2778=""),"Thiếu ngày nhận CK; ",""))</f>
        <v/>
      </c>
      <c r="T2778" s="24" t="n"/>
    </row>
    <row r="2779" ht="14.25" customHeight="1" s="40">
      <c r="A2779" s="24" t="n"/>
      <c r="B2779" s="29" t="n"/>
      <c r="C2779" s="28" t="n"/>
      <c r="D2779" s="22">
        <f t="array" ref="D2779">IF($C2779="","",IFERROR(INDEX(DATA_MASTER!$C$2:$C$5000,MATCH($C2779,DATA_MASTER!$D$2:$D$5000,0)),""))</f>
        <v/>
      </c>
      <c r="E2779" s="22">
        <f t="array" ref="E2779">IF($C2779="","",IFERROR(INDEX(DATA_MASTER!$I$2:$I$5000,MATCH($C2779,DATA_MASTER!$D$2:$D$5000,0)),""))</f>
        <v/>
      </c>
      <c r="F2779" s="22">
        <f t="array" ref="F2779">IF($C2779="","",IFERROR(INDEX(DATA_MASTER!$L$2:$L$5000,MATCH($C2779,DATA_MASTER!$D$2:$D$5000,0)),""))</f>
        <v/>
      </c>
      <c r="G2779" s="24" t="n"/>
      <c r="H2779" s="24" t="n"/>
      <c r="I2779" s="30" t="n"/>
      <c r="J2779" s="23">
        <f>IF(OR($H2779="",$I2779=""),"",$H2779*$I2779)</f>
        <v/>
      </c>
      <c r="K2779" s="24" t="n"/>
      <c r="L2779" s="24" t="n"/>
      <c r="M2779" s="29" t="n"/>
      <c r="N2779" s="28" t="n"/>
      <c r="O2779" s="24" t="n"/>
      <c r="P2779" s="24" t="n"/>
      <c r="Q2779" s="24" t="n"/>
      <c r="R2779" s="24" t="n"/>
      <c r="S2779" s="22">
        <f>IF(AND($A2779="",$C2779=""),"",IF($A2779="","Thiếu mã đơn; ","")&amp;IF(COUNTIF($A$2:$A2779,$A2779)&gt;1,"Trùng mã đơn; ","")&amp;IF(ISNA(MATCH($C2779,DATA_MASTER!$D$2:$D$5000,0)),"SĐT chưa đăng ký hội viên; ","")&amp;IF(AND($L2779="Đã chuyển khoản",$M2779=""),"Thiếu ngày nhận CK; ",""))</f>
        <v/>
      </c>
      <c r="T2779" s="24" t="n"/>
    </row>
    <row r="2780" ht="14.25" customHeight="1" s="40">
      <c r="A2780" s="24" t="n"/>
      <c r="B2780" s="29" t="n"/>
      <c r="C2780" s="28" t="n"/>
      <c r="D2780" s="22">
        <f t="array" ref="D2780">IF($C2780="","",IFERROR(INDEX(DATA_MASTER!$C$2:$C$5000,MATCH($C2780,DATA_MASTER!$D$2:$D$5000,0)),""))</f>
        <v/>
      </c>
      <c r="E2780" s="22">
        <f t="array" ref="E2780">IF($C2780="","",IFERROR(INDEX(DATA_MASTER!$I$2:$I$5000,MATCH($C2780,DATA_MASTER!$D$2:$D$5000,0)),""))</f>
        <v/>
      </c>
      <c r="F2780" s="22">
        <f t="array" ref="F2780">IF($C2780="","",IFERROR(INDEX(DATA_MASTER!$L$2:$L$5000,MATCH($C2780,DATA_MASTER!$D$2:$D$5000,0)),""))</f>
        <v/>
      </c>
      <c r="G2780" s="24" t="n"/>
      <c r="H2780" s="24" t="n"/>
      <c r="I2780" s="30" t="n"/>
      <c r="J2780" s="23">
        <f>IF(OR($H2780="",$I2780=""),"",$H2780*$I2780)</f>
        <v/>
      </c>
      <c r="K2780" s="24" t="n"/>
      <c r="L2780" s="24" t="n"/>
      <c r="M2780" s="29" t="n"/>
      <c r="N2780" s="28" t="n"/>
      <c r="O2780" s="24" t="n"/>
      <c r="P2780" s="24" t="n"/>
      <c r="Q2780" s="24" t="n"/>
      <c r="R2780" s="24" t="n"/>
      <c r="S2780" s="22">
        <f>IF(AND($A2780="",$C2780=""),"",IF($A2780="","Thiếu mã đơn; ","")&amp;IF(COUNTIF($A$2:$A2780,$A2780)&gt;1,"Trùng mã đơn; ","")&amp;IF(ISNA(MATCH($C2780,DATA_MASTER!$D$2:$D$5000,0)),"SĐT chưa đăng ký hội viên; ","")&amp;IF(AND($L2780="Đã chuyển khoản",$M2780=""),"Thiếu ngày nhận CK; ",""))</f>
        <v/>
      </c>
      <c r="T2780" s="24" t="n"/>
    </row>
    <row r="2781" ht="14.25" customHeight="1" s="40">
      <c r="A2781" s="24" t="n"/>
      <c r="B2781" s="29" t="n"/>
      <c r="C2781" s="28" t="n"/>
      <c r="D2781" s="22">
        <f t="array" ref="D2781">IF($C2781="","",IFERROR(INDEX(DATA_MASTER!$C$2:$C$5000,MATCH($C2781,DATA_MASTER!$D$2:$D$5000,0)),""))</f>
        <v/>
      </c>
      <c r="E2781" s="22">
        <f t="array" ref="E2781">IF($C2781="","",IFERROR(INDEX(DATA_MASTER!$I$2:$I$5000,MATCH($C2781,DATA_MASTER!$D$2:$D$5000,0)),""))</f>
        <v/>
      </c>
      <c r="F2781" s="22">
        <f t="array" ref="F2781">IF($C2781="","",IFERROR(INDEX(DATA_MASTER!$L$2:$L$5000,MATCH($C2781,DATA_MASTER!$D$2:$D$5000,0)),""))</f>
        <v/>
      </c>
      <c r="G2781" s="24" t="n"/>
      <c r="H2781" s="24" t="n"/>
      <c r="I2781" s="30" t="n"/>
      <c r="J2781" s="23">
        <f>IF(OR($H2781="",$I2781=""),"",$H2781*$I2781)</f>
        <v/>
      </c>
      <c r="K2781" s="24" t="n"/>
      <c r="L2781" s="24" t="n"/>
      <c r="M2781" s="29" t="n"/>
      <c r="N2781" s="28" t="n"/>
      <c r="O2781" s="24" t="n"/>
      <c r="P2781" s="24" t="n"/>
      <c r="Q2781" s="24" t="n"/>
      <c r="R2781" s="24" t="n"/>
      <c r="S2781" s="22">
        <f>IF(AND($A2781="",$C2781=""),"",IF($A2781="","Thiếu mã đơn; ","")&amp;IF(COUNTIF($A$2:$A2781,$A2781)&gt;1,"Trùng mã đơn; ","")&amp;IF(ISNA(MATCH($C2781,DATA_MASTER!$D$2:$D$5000,0)),"SĐT chưa đăng ký hội viên; ","")&amp;IF(AND($L2781="Đã chuyển khoản",$M2781=""),"Thiếu ngày nhận CK; ",""))</f>
        <v/>
      </c>
      <c r="T2781" s="24" t="n"/>
    </row>
    <row r="2782" ht="14.25" customHeight="1" s="40">
      <c r="A2782" s="24" t="n"/>
      <c r="B2782" s="29" t="n"/>
      <c r="C2782" s="28" t="n"/>
      <c r="D2782" s="22">
        <f t="array" ref="D2782">IF($C2782="","",IFERROR(INDEX(DATA_MASTER!$C$2:$C$5000,MATCH($C2782,DATA_MASTER!$D$2:$D$5000,0)),""))</f>
        <v/>
      </c>
      <c r="E2782" s="22">
        <f t="array" ref="E2782">IF($C2782="","",IFERROR(INDEX(DATA_MASTER!$I$2:$I$5000,MATCH($C2782,DATA_MASTER!$D$2:$D$5000,0)),""))</f>
        <v/>
      </c>
      <c r="F2782" s="22">
        <f t="array" ref="F2782">IF($C2782="","",IFERROR(INDEX(DATA_MASTER!$L$2:$L$5000,MATCH($C2782,DATA_MASTER!$D$2:$D$5000,0)),""))</f>
        <v/>
      </c>
      <c r="G2782" s="24" t="n"/>
      <c r="H2782" s="24" t="n"/>
      <c r="I2782" s="30" t="n"/>
      <c r="J2782" s="23">
        <f>IF(OR($H2782="",$I2782=""),"",$H2782*$I2782)</f>
        <v/>
      </c>
      <c r="K2782" s="24" t="n"/>
      <c r="L2782" s="24" t="n"/>
      <c r="M2782" s="29" t="n"/>
      <c r="N2782" s="28" t="n"/>
      <c r="O2782" s="24" t="n"/>
      <c r="P2782" s="24" t="n"/>
      <c r="Q2782" s="24" t="n"/>
      <c r="R2782" s="24" t="n"/>
      <c r="S2782" s="22">
        <f>IF(AND($A2782="",$C2782=""),"",IF($A2782="","Thiếu mã đơn; ","")&amp;IF(COUNTIF($A$2:$A2782,$A2782)&gt;1,"Trùng mã đơn; ","")&amp;IF(ISNA(MATCH($C2782,DATA_MASTER!$D$2:$D$5000,0)),"SĐT chưa đăng ký hội viên; ","")&amp;IF(AND($L2782="Đã chuyển khoản",$M2782=""),"Thiếu ngày nhận CK; ",""))</f>
        <v/>
      </c>
      <c r="T2782" s="24" t="n"/>
    </row>
    <row r="2783" ht="14.25" customHeight="1" s="40">
      <c r="A2783" s="24" t="n"/>
      <c r="B2783" s="29" t="n"/>
      <c r="C2783" s="28" t="n"/>
      <c r="D2783" s="22">
        <f t="array" ref="D2783">IF($C2783="","",IFERROR(INDEX(DATA_MASTER!$C$2:$C$5000,MATCH($C2783,DATA_MASTER!$D$2:$D$5000,0)),""))</f>
        <v/>
      </c>
      <c r="E2783" s="22">
        <f t="array" ref="E2783">IF($C2783="","",IFERROR(INDEX(DATA_MASTER!$I$2:$I$5000,MATCH($C2783,DATA_MASTER!$D$2:$D$5000,0)),""))</f>
        <v/>
      </c>
      <c r="F2783" s="22">
        <f t="array" ref="F2783">IF($C2783="","",IFERROR(INDEX(DATA_MASTER!$L$2:$L$5000,MATCH($C2783,DATA_MASTER!$D$2:$D$5000,0)),""))</f>
        <v/>
      </c>
      <c r="G2783" s="24" t="n"/>
      <c r="H2783" s="24" t="n"/>
      <c r="I2783" s="30" t="n"/>
      <c r="J2783" s="23">
        <f>IF(OR($H2783="",$I2783=""),"",$H2783*$I2783)</f>
        <v/>
      </c>
      <c r="K2783" s="24" t="n"/>
      <c r="L2783" s="24" t="n"/>
      <c r="M2783" s="29" t="n"/>
      <c r="N2783" s="28" t="n"/>
      <c r="O2783" s="24" t="n"/>
      <c r="P2783" s="24" t="n"/>
      <c r="Q2783" s="24" t="n"/>
      <c r="R2783" s="24" t="n"/>
      <c r="S2783" s="22">
        <f>IF(AND($A2783="",$C2783=""),"",IF($A2783="","Thiếu mã đơn; ","")&amp;IF(COUNTIF($A$2:$A2783,$A2783)&gt;1,"Trùng mã đơn; ","")&amp;IF(ISNA(MATCH($C2783,DATA_MASTER!$D$2:$D$5000,0)),"SĐT chưa đăng ký hội viên; ","")&amp;IF(AND($L2783="Đã chuyển khoản",$M2783=""),"Thiếu ngày nhận CK; ",""))</f>
        <v/>
      </c>
      <c r="T2783" s="24" t="n"/>
    </row>
    <row r="2784" ht="14.25" customHeight="1" s="40">
      <c r="A2784" s="24" t="n"/>
      <c r="B2784" s="29" t="n"/>
      <c r="C2784" s="28" t="n"/>
      <c r="D2784" s="22">
        <f t="array" ref="D2784">IF($C2784="","",IFERROR(INDEX(DATA_MASTER!$C$2:$C$5000,MATCH($C2784,DATA_MASTER!$D$2:$D$5000,0)),""))</f>
        <v/>
      </c>
      <c r="E2784" s="22">
        <f t="array" ref="E2784">IF($C2784="","",IFERROR(INDEX(DATA_MASTER!$I$2:$I$5000,MATCH($C2784,DATA_MASTER!$D$2:$D$5000,0)),""))</f>
        <v/>
      </c>
      <c r="F2784" s="22">
        <f t="array" ref="F2784">IF($C2784="","",IFERROR(INDEX(DATA_MASTER!$L$2:$L$5000,MATCH($C2784,DATA_MASTER!$D$2:$D$5000,0)),""))</f>
        <v/>
      </c>
      <c r="G2784" s="24" t="n"/>
      <c r="H2784" s="24" t="n"/>
      <c r="I2784" s="30" t="n"/>
      <c r="J2784" s="23">
        <f>IF(OR($H2784="",$I2784=""),"",$H2784*$I2784)</f>
        <v/>
      </c>
      <c r="K2784" s="24" t="n"/>
      <c r="L2784" s="24" t="n"/>
      <c r="M2784" s="29" t="n"/>
      <c r="N2784" s="28" t="n"/>
      <c r="O2784" s="24" t="n"/>
      <c r="P2784" s="24" t="n"/>
      <c r="Q2784" s="24" t="n"/>
      <c r="R2784" s="24" t="n"/>
      <c r="S2784" s="22">
        <f>IF(AND($A2784="",$C2784=""),"",IF($A2784="","Thiếu mã đơn; ","")&amp;IF(COUNTIF($A$2:$A2784,$A2784)&gt;1,"Trùng mã đơn; ","")&amp;IF(ISNA(MATCH($C2784,DATA_MASTER!$D$2:$D$5000,0)),"SĐT chưa đăng ký hội viên; ","")&amp;IF(AND($L2784="Đã chuyển khoản",$M2784=""),"Thiếu ngày nhận CK; ",""))</f>
        <v/>
      </c>
      <c r="T2784" s="24" t="n"/>
    </row>
    <row r="2785" ht="14.25" customHeight="1" s="40">
      <c r="A2785" s="24" t="n"/>
      <c r="B2785" s="29" t="n"/>
      <c r="C2785" s="28" t="n"/>
      <c r="D2785" s="22">
        <f t="array" ref="D2785">IF($C2785="","",IFERROR(INDEX(DATA_MASTER!$C$2:$C$5000,MATCH($C2785,DATA_MASTER!$D$2:$D$5000,0)),""))</f>
        <v/>
      </c>
      <c r="E2785" s="22">
        <f t="array" ref="E2785">IF($C2785="","",IFERROR(INDEX(DATA_MASTER!$I$2:$I$5000,MATCH($C2785,DATA_MASTER!$D$2:$D$5000,0)),""))</f>
        <v/>
      </c>
      <c r="F2785" s="22">
        <f t="array" ref="F2785">IF($C2785="","",IFERROR(INDEX(DATA_MASTER!$L$2:$L$5000,MATCH($C2785,DATA_MASTER!$D$2:$D$5000,0)),""))</f>
        <v/>
      </c>
      <c r="G2785" s="24" t="n"/>
      <c r="H2785" s="24" t="n"/>
      <c r="I2785" s="30" t="n"/>
      <c r="J2785" s="23">
        <f>IF(OR($H2785="",$I2785=""),"",$H2785*$I2785)</f>
        <v/>
      </c>
      <c r="K2785" s="24" t="n"/>
      <c r="L2785" s="24" t="n"/>
      <c r="M2785" s="29" t="n"/>
      <c r="N2785" s="28" t="n"/>
      <c r="O2785" s="24" t="n"/>
      <c r="P2785" s="24" t="n"/>
      <c r="Q2785" s="24" t="n"/>
      <c r="R2785" s="24" t="n"/>
      <c r="S2785" s="22">
        <f>IF(AND($A2785="",$C2785=""),"",IF($A2785="","Thiếu mã đơn; ","")&amp;IF(COUNTIF($A$2:$A2785,$A2785)&gt;1,"Trùng mã đơn; ","")&amp;IF(ISNA(MATCH($C2785,DATA_MASTER!$D$2:$D$5000,0)),"SĐT chưa đăng ký hội viên; ","")&amp;IF(AND($L2785="Đã chuyển khoản",$M2785=""),"Thiếu ngày nhận CK; ",""))</f>
        <v/>
      </c>
      <c r="T2785" s="24" t="n"/>
    </row>
    <row r="2786" ht="14.25" customHeight="1" s="40">
      <c r="A2786" s="24" t="n"/>
      <c r="B2786" s="29" t="n"/>
      <c r="C2786" s="28" t="n"/>
      <c r="D2786" s="22">
        <f t="array" ref="D2786">IF($C2786="","",IFERROR(INDEX(DATA_MASTER!$C$2:$C$5000,MATCH($C2786,DATA_MASTER!$D$2:$D$5000,0)),""))</f>
        <v/>
      </c>
      <c r="E2786" s="22">
        <f t="array" ref="E2786">IF($C2786="","",IFERROR(INDEX(DATA_MASTER!$I$2:$I$5000,MATCH($C2786,DATA_MASTER!$D$2:$D$5000,0)),""))</f>
        <v/>
      </c>
      <c r="F2786" s="22">
        <f t="array" ref="F2786">IF($C2786="","",IFERROR(INDEX(DATA_MASTER!$L$2:$L$5000,MATCH($C2786,DATA_MASTER!$D$2:$D$5000,0)),""))</f>
        <v/>
      </c>
      <c r="G2786" s="24" t="n"/>
      <c r="H2786" s="24" t="n"/>
      <c r="I2786" s="30" t="n"/>
      <c r="J2786" s="23">
        <f>IF(OR($H2786="",$I2786=""),"",$H2786*$I2786)</f>
        <v/>
      </c>
      <c r="K2786" s="24" t="n"/>
      <c r="L2786" s="24" t="n"/>
      <c r="M2786" s="29" t="n"/>
      <c r="N2786" s="28" t="n"/>
      <c r="O2786" s="24" t="n"/>
      <c r="P2786" s="24" t="n"/>
      <c r="Q2786" s="24" t="n"/>
      <c r="R2786" s="24" t="n"/>
      <c r="S2786" s="22">
        <f>IF(AND($A2786="",$C2786=""),"",IF($A2786="","Thiếu mã đơn; ","")&amp;IF(COUNTIF($A$2:$A2786,$A2786)&gt;1,"Trùng mã đơn; ","")&amp;IF(ISNA(MATCH($C2786,DATA_MASTER!$D$2:$D$5000,0)),"SĐT chưa đăng ký hội viên; ","")&amp;IF(AND($L2786="Đã chuyển khoản",$M2786=""),"Thiếu ngày nhận CK; ",""))</f>
        <v/>
      </c>
      <c r="T2786" s="24" t="n"/>
    </row>
    <row r="2787" ht="14.25" customHeight="1" s="40">
      <c r="A2787" s="24" t="n"/>
      <c r="B2787" s="29" t="n"/>
      <c r="C2787" s="28" t="n"/>
      <c r="D2787" s="22">
        <f t="array" ref="D2787">IF($C2787="","",IFERROR(INDEX(DATA_MASTER!$C$2:$C$5000,MATCH($C2787,DATA_MASTER!$D$2:$D$5000,0)),""))</f>
        <v/>
      </c>
      <c r="E2787" s="22">
        <f t="array" ref="E2787">IF($C2787="","",IFERROR(INDEX(DATA_MASTER!$I$2:$I$5000,MATCH($C2787,DATA_MASTER!$D$2:$D$5000,0)),""))</f>
        <v/>
      </c>
      <c r="F2787" s="22">
        <f t="array" ref="F2787">IF($C2787="","",IFERROR(INDEX(DATA_MASTER!$L$2:$L$5000,MATCH($C2787,DATA_MASTER!$D$2:$D$5000,0)),""))</f>
        <v/>
      </c>
      <c r="G2787" s="24" t="n"/>
      <c r="H2787" s="24" t="n"/>
      <c r="I2787" s="30" t="n"/>
      <c r="J2787" s="23">
        <f>IF(OR($H2787="",$I2787=""),"",$H2787*$I2787)</f>
        <v/>
      </c>
      <c r="K2787" s="24" t="n"/>
      <c r="L2787" s="24" t="n"/>
      <c r="M2787" s="29" t="n"/>
      <c r="N2787" s="28" t="n"/>
      <c r="O2787" s="24" t="n"/>
      <c r="P2787" s="24" t="n"/>
      <c r="Q2787" s="24" t="n"/>
      <c r="R2787" s="24" t="n"/>
      <c r="S2787" s="22">
        <f>IF(AND($A2787="",$C2787=""),"",IF($A2787="","Thiếu mã đơn; ","")&amp;IF(COUNTIF($A$2:$A2787,$A2787)&gt;1,"Trùng mã đơn; ","")&amp;IF(ISNA(MATCH($C2787,DATA_MASTER!$D$2:$D$5000,0)),"SĐT chưa đăng ký hội viên; ","")&amp;IF(AND($L2787="Đã chuyển khoản",$M2787=""),"Thiếu ngày nhận CK; ",""))</f>
        <v/>
      </c>
      <c r="T2787" s="24" t="n"/>
    </row>
    <row r="2788" ht="14.25" customHeight="1" s="40">
      <c r="A2788" s="24" t="n"/>
      <c r="B2788" s="29" t="n"/>
      <c r="C2788" s="28" t="n"/>
      <c r="D2788" s="22">
        <f t="array" ref="D2788">IF($C2788="","",IFERROR(INDEX(DATA_MASTER!$C$2:$C$5000,MATCH($C2788,DATA_MASTER!$D$2:$D$5000,0)),""))</f>
        <v/>
      </c>
      <c r="E2788" s="22">
        <f t="array" ref="E2788">IF($C2788="","",IFERROR(INDEX(DATA_MASTER!$I$2:$I$5000,MATCH($C2788,DATA_MASTER!$D$2:$D$5000,0)),""))</f>
        <v/>
      </c>
      <c r="F2788" s="22">
        <f t="array" ref="F2788">IF($C2788="","",IFERROR(INDEX(DATA_MASTER!$L$2:$L$5000,MATCH($C2788,DATA_MASTER!$D$2:$D$5000,0)),""))</f>
        <v/>
      </c>
      <c r="G2788" s="24" t="n"/>
      <c r="H2788" s="24" t="n"/>
      <c r="I2788" s="30" t="n"/>
      <c r="J2788" s="23">
        <f>IF(OR($H2788="",$I2788=""),"",$H2788*$I2788)</f>
        <v/>
      </c>
      <c r="K2788" s="24" t="n"/>
      <c r="L2788" s="24" t="n"/>
      <c r="M2788" s="29" t="n"/>
      <c r="N2788" s="28" t="n"/>
      <c r="O2788" s="24" t="n"/>
      <c r="P2788" s="24" t="n"/>
      <c r="Q2788" s="24" t="n"/>
      <c r="R2788" s="24" t="n"/>
      <c r="S2788" s="22">
        <f>IF(AND($A2788="",$C2788=""),"",IF($A2788="","Thiếu mã đơn; ","")&amp;IF(COUNTIF($A$2:$A2788,$A2788)&gt;1,"Trùng mã đơn; ","")&amp;IF(ISNA(MATCH($C2788,DATA_MASTER!$D$2:$D$5000,0)),"SĐT chưa đăng ký hội viên; ","")&amp;IF(AND($L2788="Đã chuyển khoản",$M2788=""),"Thiếu ngày nhận CK; ",""))</f>
        <v/>
      </c>
      <c r="T2788" s="24" t="n"/>
    </row>
    <row r="2789" ht="14.25" customHeight="1" s="40">
      <c r="A2789" s="24" t="n"/>
      <c r="B2789" s="29" t="n"/>
      <c r="C2789" s="28" t="n"/>
      <c r="D2789" s="22">
        <f t="array" ref="D2789">IF($C2789="","",IFERROR(INDEX(DATA_MASTER!$C$2:$C$5000,MATCH($C2789,DATA_MASTER!$D$2:$D$5000,0)),""))</f>
        <v/>
      </c>
      <c r="E2789" s="22">
        <f t="array" ref="E2789">IF($C2789="","",IFERROR(INDEX(DATA_MASTER!$I$2:$I$5000,MATCH($C2789,DATA_MASTER!$D$2:$D$5000,0)),""))</f>
        <v/>
      </c>
      <c r="F2789" s="22">
        <f t="array" ref="F2789">IF($C2789="","",IFERROR(INDEX(DATA_MASTER!$L$2:$L$5000,MATCH($C2789,DATA_MASTER!$D$2:$D$5000,0)),""))</f>
        <v/>
      </c>
      <c r="G2789" s="24" t="n"/>
      <c r="H2789" s="24" t="n"/>
      <c r="I2789" s="30" t="n"/>
      <c r="J2789" s="23">
        <f>IF(OR($H2789="",$I2789=""),"",$H2789*$I2789)</f>
        <v/>
      </c>
      <c r="K2789" s="24" t="n"/>
      <c r="L2789" s="24" t="n"/>
      <c r="M2789" s="29" t="n"/>
      <c r="N2789" s="28" t="n"/>
      <c r="O2789" s="24" t="n"/>
      <c r="P2789" s="24" t="n"/>
      <c r="Q2789" s="24" t="n"/>
      <c r="R2789" s="24" t="n"/>
      <c r="S2789" s="22">
        <f>IF(AND($A2789="",$C2789=""),"",IF($A2789="","Thiếu mã đơn; ","")&amp;IF(COUNTIF($A$2:$A2789,$A2789)&gt;1,"Trùng mã đơn; ","")&amp;IF(ISNA(MATCH($C2789,DATA_MASTER!$D$2:$D$5000,0)),"SĐT chưa đăng ký hội viên; ","")&amp;IF(AND($L2789="Đã chuyển khoản",$M2789=""),"Thiếu ngày nhận CK; ",""))</f>
        <v/>
      </c>
      <c r="T2789" s="24" t="n"/>
    </row>
    <row r="2790" ht="14.25" customHeight="1" s="40">
      <c r="A2790" s="24" t="n"/>
      <c r="B2790" s="29" t="n"/>
      <c r="C2790" s="28" t="n"/>
      <c r="D2790" s="22">
        <f t="array" ref="D2790">IF($C2790="","",IFERROR(INDEX(DATA_MASTER!$C$2:$C$5000,MATCH($C2790,DATA_MASTER!$D$2:$D$5000,0)),""))</f>
        <v/>
      </c>
      <c r="E2790" s="22">
        <f t="array" ref="E2790">IF($C2790="","",IFERROR(INDEX(DATA_MASTER!$I$2:$I$5000,MATCH($C2790,DATA_MASTER!$D$2:$D$5000,0)),""))</f>
        <v/>
      </c>
      <c r="F2790" s="22">
        <f t="array" ref="F2790">IF($C2790="","",IFERROR(INDEX(DATA_MASTER!$L$2:$L$5000,MATCH($C2790,DATA_MASTER!$D$2:$D$5000,0)),""))</f>
        <v/>
      </c>
      <c r="G2790" s="24" t="n"/>
      <c r="H2790" s="24" t="n"/>
      <c r="I2790" s="30" t="n"/>
      <c r="J2790" s="23">
        <f>IF(OR($H2790="",$I2790=""),"",$H2790*$I2790)</f>
        <v/>
      </c>
      <c r="K2790" s="24" t="n"/>
      <c r="L2790" s="24" t="n"/>
      <c r="M2790" s="29" t="n"/>
      <c r="N2790" s="28" t="n"/>
      <c r="O2790" s="24" t="n"/>
      <c r="P2790" s="24" t="n"/>
      <c r="Q2790" s="24" t="n"/>
      <c r="R2790" s="24" t="n"/>
      <c r="S2790" s="22">
        <f>IF(AND($A2790="",$C2790=""),"",IF($A2790="","Thiếu mã đơn; ","")&amp;IF(COUNTIF($A$2:$A2790,$A2790)&gt;1,"Trùng mã đơn; ","")&amp;IF(ISNA(MATCH($C2790,DATA_MASTER!$D$2:$D$5000,0)),"SĐT chưa đăng ký hội viên; ","")&amp;IF(AND($L2790="Đã chuyển khoản",$M2790=""),"Thiếu ngày nhận CK; ",""))</f>
        <v/>
      </c>
      <c r="T2790" s="24" t="n"/>
    </row>
    <row r="2791" ht="14.25" customHeight="1" s="40">
      <c r="A2791" s="24" t="n"/>
      <c r="B2791" s="29" t="n"/>
      <c r="C2791" s="28" t="n"/>
      <c r="D2791" s="22">
        <f t="array" ref="D2791">IF($C2791="","",IFERROR(INDEX(DATA_MASTER!$C$2:$C$5000,MATCH($C2791,DATA_MASTER!$D$2:$D$5000,0)),""))</f>
        <v/>
      </c>
      <c r="E2791" s="22">
        <f t="array" ref="E2791">IF($C2791="","",IFERROR(INDEX(DATA_MASTER!$I$2:$I$5000,MATCH($C2791,DATA_MASTER!$D$2:$D$5000,0)),""))</f>
        <v/>
      </c>
      <c r="F2791" s="22">
        <f t="array" ref="F2791">IF($C2791="","",IFERROR(INDEX(DATA_MASTER!$L$2:$L$5000,MATCH($C2791,DATA_MASTER!$D$2:$D$5000,0)),""))</f>
        <v/>
      </c>
      <c r="G2791" s="24" t="n"/>
      <c r="H2791" s="24" t="n"/>
      <c r="I2791" s="30" t="n"/>
      <c r="J2791" s="23">
        <f>IF(OR($H2791="",$I2791=""),"",$H2791*$I2791)</f>
        <v/>
      </c>
      <c r="K2791" s="24" t="n"/>
      <c r="L2791" s="24" t="n"/>
      <c r="M2791" s="29" t="n"/>
      <c r="N2791" s="28" t="n"/>
      <c r="O2791" s="24" t="n"/>
      <c r="P2791" s="24" t="n"/>
      <c r="Q2791" s="24" t="n"/>
      <c r="R2791" s="24" t="n"/>
      <c r="S2791" s="22">
        <f>IF(AND($A2791="",$C2791=""),"",IF($A2791="","Thiếu mã đơn; ","")&amp;IF(COUNTIF($A$2:$A2791,$A2791)&gt;1,"Trùng mã đơn; ","")&amp;IF(ISNA(MATCH($C2791,DATA_MASTER!$D$2:$D$5000,0)),"SĐT chưa đăng ký hội viên; ","")&amp;IF(AND($L2791="Đã chuyển khoản",$M2791=""),"Thiếu ngày nhận CK; ",""))</f>
        <v/>
      </c>
      <c r="T2791" s="24" t="n"/>
    </row>
    <row r="2792" ht="14.25" customHeight="1" s="40">
      <c r="A2792" s="24" t="n"/>
      <c r="B2792" s="29" t="n"/>
      <c r="C2792" s="28" t="n"/>
      <c r="D2792" s="22">
        <f t="array" ref="D2792">IF($C2792="","",IFERROR(INDEX(DATA_MASTER!$C$2:$C$5000,MATCH($C2792,DATA_MASTER!$D$2:$D$5000,0)),""))</f>
        <v/>
      </c>
      <c r="E2792" s="22">
        <f t="array" ref="E2792">IF($C2792="","",IFERROR(INDEX(DATA_MASTER!$I$2:$I$5000,MATCH($C2792,DATA_MASTER!$D$2:$D$5000,0)),""))</f>
        <v/>
      </c>
      <c r="F2792" s="22">
        <f t="array" ref="F2792">IF($C2792="","",IFERROR(INDEX(DATA_MASTER!$L$2:$L$5000,MATCH($C2792,DATA_MASTER!$D$2:$D$5000,0)),""))</f>
        <v/>
      </c>
      <c r="G2792" s="24" t="n"/>
      <c r="H2792" s="24" t="n"/>
      <c r="I2792" s="30" t="n"/>
      <c r="J2792" s="23">
        <f>IF(OR($H2792="",$I2792=""),"",$H2792*$I2792)</f>
        <v/>
      </c>
      <c r="K2792" s="24" t="n"/>
      <c r="L2792" s="24" t="n"/>
      <c r="M2792" s="29" t="n"/>
      <c r="N2792" s="28" t="n"/>
      <c r="O2792" s="24" t="n"/>
      <c r="P2792" s="24" t="n"/>
      <c r="Q2792" s="24" t="n"/>
      <c r="R2792" s="24" t="n"/>
      <c r="S2792" s="22">
        <f>IF(AND($A2792="",$C2792=""),"",IF($A2792="","Thiếu mã đơn; ","")&amp;IF(COUNTIF($A$2:$A2792,$A2792)&gt;1,"Trùng mã đơn; ","")&amp;IF(ISNA(MATCH($C2792,DATA_MASTER!$D$2:$D$5000,0)),"SĐT chưa đăng ký hội viên; ","")&amp;IF(AND($L2792="Đã chuyển khoản",$M2792=""),"Thiếu ngày nhận CK; ",""))</f>
        <v/>
      </c>
      <c r="T2792" s="24" t="n"/>
    </row>
    <row r="2793" ht="14.25" customHeight="1" s="40">
      <c r="A2793" s="24" t="n"/>
      <c r="B2793" s="29" t="n"/>
      <c r="C2793" s="28" t="n"/>
      <c r="D2793" s="22">
        <f t="array" ref="D2793">IF($C2793="","",IFERROR(INDEX(DATA_MASTER!$C$2:$C$5000,MATCH($C2793,DATA_MASTER!$D$2:$D$5000,0)),""))</f>
        <v/>
      </c>
      <c r="E2793" s="22">
        <f t="array" ref="E2793">IF($C2793="","",IFERROR(INDEX(DATA_MASTER!$I$2:$I$5000,MATCH($C2793,DATA_MASTER!$D$2:$D$5000,0)),""))</f>
        <v/>
      </c>
      <c r="F2793" s="22">
        <f t="array" ref="F2793">IF($C2793="","",IFERROR(INDEX(DATA_MASTER!$L$2:$L$5000,MATCH($C2793,DATA_MASTER!$D$2:$D$5000,0)),""))</f>
        <v/>
      </c>
      <c r="G2793" s="24" t="n"/>
      <c r="H2793" s="24" t="n"/>
      <c r="I2793" s="30" t="n"/>
      <c r="J2793" s="23">
        <f>IF(OR($H2793="",$I2793=""),"",$H2793*$I2793)</f>
        <v/>
      </c>
      <c r="K2793" s="24" t="n"/>
      <c r="L2793" s="24" t="n"/>
      <c r="M2793" s="29" t="n"/>
      <c r="N2793" s="28" t="n"/>
      <c r="O2793" s="24" t="n"/>
      <c r="P2793" s="24" t="n"/>
      <c r="Q2793" s="24" t="n"/>
      <c r="R2793" s="24" t="n"/>
      <c r="S2793" s="22">
        <f>IF(AND($A2793="",$C2793=""),"",IF($A2793="","Thiếu mã đơn; ","")&amp;IF(COUNTIF($A$2:$A2793,$A2793)&gt;1,"Trùng mã đơn; ","")&amp;IF(ISNA(MATCH($C2793,DATA_MASTER!$D$2:$D$5000,0)),"SĐT chưa đăng ký hội viên; ","")&amp;IF(AND($L2793="Đã chuyển khoản",$M2793=""),"Thiếu ngày nhận CK; ",""))</f>
        <v/>
      </c>
      <c r="T2793" s="24" t="n"/>
    </row>
    <row r="2794" ht="14.25" customHeight="1" s="40">
      <c r="A2794" s="24" t="n"/>
      <c r="B2794" s="29" t="n"/>
      <c r="C2794" s="28" t="n"/>
      <c r="D2794" s="22">
        <f t="array" ref="D2794">IF($C2794="","",IFERROR(INDEX(DATA_MASTER!$C$2:$C$5000,MATCH($C2794,DATA_MASTER!$D$2:$D$5000,0)),""))</f>
        <v/>
      </c>
      <c r="E2794" s="22">
        <f t="array" ref="E2794">IF($C2794="","",IFERROR(INDEX(DATA_MASTER!$I$2:$I$5000,MATCH($C2794,DATA_MASTER!$D$2:$D$5000,0)),""))</f>
        <v/>
      </c>
      <c r="F2794" s="22">
        <f t="array" ref="F2794">IF($C2794="","",IFERROR(INDEX(DATA_MASTER!$L$2:$L$5000,MATCH($C2794,DATA_MASTER!$D$2:$D$5000,0)),""))</f>
        <v/>
      </c>
      <c r="G2794" s="24" t="n"/>
      <c r="H2794" s="24" t="n"/>
      <c r="I2794" s="30" t="n"/>
      <c r="J2794" s="23">
        <f>IF(OR($H2794="",$I2794=""),"",$H2794*$I2794)</f>
        <v/>
      </c>
      <c r="K2794" s="24" t="n"/>
      <c r="L2794" s="24" t="n"/>
      <c r="M2794" s="29" t="n"/>
      <c r="N2794" s="28" t="n"/>
      <c r="O2794" s="24" t="n"/>
      <c r="P2794" s="24" t="n"/>
      <c r="Q2794" s="24" t="n"/>
      <c r="R2794" s="24" t="n"/>
      <c r="S2794" s="22">
        <f>IF(AND($A2794="",$C2794=""),"",IF($A2794="","Thiếu mã đơn; ","")&amp;IF(COUNTIF($A$2:$A2794,$A2794)&gt;1,"Trùng mã đơn; ","")&amp;IF(ISNA(MATCH($C2794,DATA_MASTER!$D$2:$D$5000,0)),"SĐT chưa đăng ký hội viên; ","")&amp;IF(AND($L2794="Đã chuyển khoản",$M2794=""),"Thiếu ngày nhận CK; ",""))</f>
        <v/>
      </c>
      <c r="T2794" s="24" t="n"/>
    </row>
    <row r="2795" ht="14.25" customHeight="1" s="40">
      <c r="A2795" s="24" t="n"/>
      <c r="B2795" s="29" t="n"/>
      <c r="C2795" s="28" t="n"/>
      <c r="D2795" s="22">
        <f t="array" ref="D2795">IF($C2795="","",IFERROR(INDEX(DATA_MASTER!$C$2:$C$5000,MATCH($C2795,DATA_MASTER!$D$2:$D$5000,0)),""))</f>
        <v/>
      </c>
      <c r="E2795" s="22">
        <f t="array" ref="E2795">IF($C2795="","",IFERROR(INDEX(DATA_MASTER!$I$2:$I$5000,MATCH($C2795,DATA_MASTER!$D$2:$D$5000,0)),""))</f>
        <v/>
      </c>
      <c r="F2795" s="22">
        <f t="array" ref="F2795">IF($C2795="","",IFERROR(INDEX(DATA_MASTER!$L$2:$L$5000,MATCH($C2795,DATA_MASTER!$D$2:$D$5000,0)),""))</f>
        <v/>
      </c>
      <c r="G2795" s="24" t="n"/>
      <c r="H2795" s="24" t="n"/>
      <c r="I2795" s="30" t="n"/>
      <c r="J2795" s="23">
        <f>IF(OR($H2795="",$I2795=""),"",$H2795*$I2795)</f>
        <v/>
      </c>
      <c r="K2795" s="24" t="n"/>
      <c r="L2795" s="24" t="n"/>
      <c r="M2795" s="29" t="n"/>
      <c r="N2795" s="28" t="n"/>
      <c r="O2795" s="24" t="n"/>
      <c r="P2795" s="24" t="n"/>
      <c r="Q2795" s="24" t="n"/>
      <c r="R2795" s="24" t="n"/>
      <c r="S2795" s="22">
        <f>IF(AND($A2795="",$C2795=""),"",IF($A2795="","Thiếu mã đơn; ","")&amp;IF(COUNTIF($A$2:$A2795,$A2795)&gt;1,"Trùng mã đơn; ","")&amp;IF(ISNA(MATCH($C2795,DATA_MASTER!$D$2:$D$5000,0)),"SĐT chưa đăng ký hội viên; ","")&amp;IF(AND($L2795="Đã chuyển khoản",$M2795=""),"Thiếu ngày nhận CK; ",""))</f>
        <v/>
      </c>
      <c r="T2795" s="24" t="n"/>
    </row>
    <row r="2796" ht="14.25" customHeight="1" s="40">
      <c r="A2796" s="24" t="n"/>
      <c r="B2796" s="29" t="n"/>
      <c r="C2796" s="28" t="n"/>
      <c r="D2796" s="22">
        <f t="array" ref="D2796">IF($C2796="","",IFERROR(INDEX(DATA_MASTER!$C$2:$C$5000,MATCH($C2796,DATA_MASTER!$D$2:$D$5000,0)),""))</f>
        <v/>
      </c>
      <c r="E2796" s="22">
        <f t="array" ref="E2796">IF($C2796="","",IFERROR(INDEX(DATA_MASTER!$I$2:$I$5000,MATCH($C2796,DATA_MASTER!$D$2:$D$5000,0)),""))</f>
        <v/>
      </c>
      <c r="F2796" s="22">
        <f t="array" ref="F2796">IF($C2796="","",IFERROR(INDEX(DATA_MASTER!$L$2:$L$5000,MATCH($C2796,DATA_MASTER!$D$2:$D$5000,0)),""))</f>
        <v/>
      </c>
      <c r="G2796" s="24" t="n"/>
      <c r="H2796" s="24" t="n"/>
      <c r="I2796" s="30" t="n"/>
      <c r="J2796" s="23">
        <f>IF(OR($H2796="",$I2796=""),"",$H2796*$I2796)</f>
        <v/>
      </c>
      <c r="K2796" s="24" t="n"/>
      <c r="L2796" s="24" t="n"/>
      <c r="M2796" s="29" t="n"/>
      <c r="N2796" s="28" t="n"/>
      <c r="O2796" s="24" t="n"/>
      <c r="P2796" s="24" t="n"/>
      <c r="Q2796" s="24" t="n"/>
      <c r="R2796" s="24" t="n"/>
      <c r="S2796" s="22">
        <f>IF(AND($A2796="",$C2796=""),"",IF($A2796="","Thiếu mã đơn; ","")&amp;IF(COUNTIF($A$2:$A2796,$A2796)&gt;1,"Trùng mã đơn; ","")&amp;IF(ISNA(MATCH($C2796,DATA_MASTER!$D$2:$D$5000,0)),"SĐT chưa đăng ký hội viên; ","")&amp;IF(AND($L2796="Đã chuyển khoản",$M2796=""),"Thiếu ngày nhận CK; ",""))</f>
        <v/>
      </c>
      <c r="T2796" s="24" t="n"/>
    </row>
    <row r="2797" ht="14.25" customHeight="1" s="40">
      <c r="A2797" s="24" t="n"/>
      <c r="B2797" s="29" t="n"/>
      <c r="C2797" s="28" t="n"/>
      <c r="D2797" s="22">
        <f t="array" ref="D2797">IF($C2797="","",IFERROR(INDEX(DATA_MASTER!$C$2:$C$5000,MATCH($C2797,DATA_MASTER!$D$2:$D$5000,0)),""))</f>
        <v/>
      </c>
      <c r="E2797" s="22">
        <f t="array" ref="E2797">IF($C2797="","",IFERROR(INDEX(DATA_MASTER!$I$2:$I$5000,MATCH($C2797,DATA_MASTER!$D$2:$D$5000,0)),""))</f>
        <v/>
      </c>
      <c r="F2797" s="22">
        <f t="array" ref="F2797">IF($C2797="","",IFERROR(INDEX(DATA_MASTER!$L$2:$L$5000,MATCH($C2797,DATA_MASTER!$D$2:$D$5000,0)),""))</f>
        <v/>
      </c>
      <c r="G2797" s="24" t="n"/>
      <c r="H2797" s="24" t="n"/>
      <c r="I2797" s="30" t="n"/>
      <c r="J2797" s="23">
        <f>IF(OR($H2797="",$I2797=""),"",$H2797*$I2797)</f>
        <v/>
      </c>
      <c r="K2797" s="24" t="n"/>
      <c r="L2797" s="24" t="n"/>
      <c r="M2797" s="29" t="n"/>
      <c r="N2797" s="28" t="n"/>
      <c r="O2797" s="24" t="n"/>
      <c r="P2797" s="24" t="n"/>
      <c r="Q2797" s="24" t="n"/>
      <c r="R2797" s="24" t="n"/>
      <c r="S2797" s="22">
        <f>IF(AND($A2797="",$C2797=""),"",IF($A2797="","Thiếu mã đơn; ","")&amp;IF(COUNTIF($A$2:$A2797,$A2797)&gt;1,"Trùng mã đơn; ","")&amp;IF(ISNA(MATCH($C2797,DATA_MASTER!$D$2:$D$5000,0)),"SĐT chưa đăng ký hội viên; ","")&amp;IF(AND($L2797="Đã chuyển khoản",$M2797=""),"Thiếu ngày nhận CK; ",""))</f>
        <v/>
      </c>
      <c r="T2797" s="24" t="n"/>
    </row>
    <row r="2798" ht="14.25" customHeight="1" s="40">
      <c r="A2798" s="24" t="n"/>
      <c r="B2798" s="29" t="n"/>
      <c r="C2798" s="28" t="n"/>
      <c r="D2798" s="22">
        <f t="array" ref="D2798">IF($C2798="","",IFERROR(INDEX(DATA_MASTER!$C$2:$C$5000,MATCH($C2798,DATA_MASTER!$D$2:$D$5000,0)),""))</f>
        <v/>
      </c>
      <c r="E2798" s="22">
        <f t="array" ref="E2798">IF($C2798="","",IFERROR(INDEX(DATA_MASTER!$I$2:$I$5000,MATCH($C2798,DATA_MASTER!$D$2:$D$5000,0)),""))</f>
        <v/>
      </c>
      <c r="F2798" s="22">
        <f t="array" ref="F2798">IF($C2798="","",IFERROR(INDEX(DATA_MASTER!$L$2:$L$5000,MATCH($C2798,DATA_MASTER!$D$2:$D$5000,0)),""))</f>
        <v/>
      </c>
      <c r="G2798" s="24" t="n"/>
      <c r="H2798" s="24" t="n"/>
      <c r="I2798" s="30" t="n"/>
      <c r="J2798" s="23">
        <f>IF(OR($H2798="",$I2798=""),"",$H2798*$I2798)</f>
        <v/>
      </c>
      <c r="K2798" s="24" t="n"/>
      <c r="L2798" s="24" t="n"/>
      <c r="M2798" s="29" t="n"/>
      <c r="N2798" s="28" t="n"/>
      <c r="O2798" s="24" t="n"/>
      <c r="P2798" s="24" t="n"/>
      <c r="Q2798" s="24" t="n"/>
      <c r="R2798" s="24" t="n"/>
      <c r="S2798" s="22">
        <f>IF(AND($A2798="",$C2798=""),"",IF($A2798="","Thiếu mã đơn; ","")&amp;IF(COUNTIF($A$2:$A2798,$A2798)&gt;1,"Trùng mã đơn; ","")&amp;IF(ISNA(MATCH($C2798,DATA_MASTER!$D$2:$D$5000,0)),"SĐT chưa đăng ký hội viên; ","")&amp;IF(AND($L2798="Đã chuyển khoản",$M2798=""),"Thiếu ngày nhận CK; ",""))</f>
        <v/>
      </c>
      <c r="T2798" s="24" t="n"/>
    </row>
    <row r="2799" ht="14.25" customHeight="1" s="40">
      <c r="A2799" s="24" t="n"/>
      <c r="B2799" s="29" t="n"/>
      <c r="C2799" s="28" t="n"/>
      <c r="D2799" s="22">
        <f t="array" ref="D2799">IF($C2799="","",IFERROR(INDEX(DATA_MASTER!$C$2:$C$5000,MATCH($C2799,DATA_MASTER!$D$2:$D$5000,0)),""))</f>
        <v/>
      </c>
      <c r="E2799" s="22">
        <f t="array" ref="E2799">IF($C2799="","",IFERROR(INDEX(DATA_MASTER!$I$2:$I$5000,MATCH($C2799,DATA_MASTER!$D$2:$D$5000,0)),""))</f>
        <v/>
      </c>
      <c r="F2799" s="22">
        <f t="array" ref="F2799">IF($C2799="","",IFERROR(INDEX(DATA_MASTER!$L$2:$L$5000,MATCH($C2799,DATA_MASTER!$D$2:$D$5000,0)),""))</f>
        <v/>
      </c>
      <c r="G2799" s="24" t="n"/>
      <c r="H2799" s="24" t="n"/>
      <c r="I2799" s="30" t="n"/>
      <c r="J2799" s="23">
        <f>IF(OR($H2799="",$I2799=""),"",$H2799*$I2799)</f>
        <v/>
      </c>
      <c r="K2799" s="24" t="n"/>
      <c r="L2799" s="24" t="n"/>
      <c r="M2799" s="29" t="n"/>
      <c r="N2799" s="28" t="n"/>
      <c r="O2799" s="24" t="n"/>
      <c r="P2799" s="24" t="n"/>
      <c r="Q2799" s="24" t="n"/>
      <c r="R2799" s="24" t="n"/>
      <c r="S2799" s="22">
        <f>IF(AND($A2799="",$C2799=""),"",IF($A2799="","Thiếu mã đơn; ","")&amp;IF(COUNTIF($A$2:$A2799,$A2799)&gt;1,"Trùng mã đơn; ","")&amp;IF(ISNA(MATCH($C2799,DATA_MASTER!$D$2:$D$5000,0)),"SĐT chưa đăng ký hội viên; ","")&amp;IF(AND($L2799="Đã chuyển khoản",$M2799=""),"Thiếu ngày nhận CK; ",""))</f>
        <v/>
      </c>
      <c r="T2799" s="24" t="n"/>
    </row>
    <row r="2800" ht="14.25" customHeight="1" s="40">
      <c r="A2800" s="24" t="n"/>
      <c r="B2800" s="29" t="n"/>
      <c r="C2800" s="28" t="n"/>
      <c r="D2800" s="22">
        <f t="array" ref="D2800">IF($C2800="","",IFERROR(INDEX(DATA_MASTER!$C$2:$C$5000,MATCH($C2800,DATA_MASTER!$D$2:$D$5000,0)),""))</f>
        <v/>
      </c>
      <c r="E2800" s="22">
        <f t="array" ref="E2800">IF($C2800="","",IFERROR(INDEX(DATA_MASTER!$I$2:$I$5000,MATCH($C2800,DATA_MASTER!$D$2:$D$5000,0)),""))</f>
        <v/>
      </c>
      <c r="F2800" s="22">
        <f t="array" ref="F2800">IF($C2800="","",IFERROR(INDEX(DATA_MASTER!$L$2:$L$5000,MATCH($C2800,DATA_MASTER!$D$2:$D$5000,0)),""))</f>
        <v/>
      </c>
      <c r="G2800" s="24" t="n"/>
      <c r="H2800" s="24" t="n"/>
      <c r="I2800" s="30" t="n"/>
      <c r="J2800" s="23">
        <f>IF(OR($H2800="",$I2800=""),"",$H2800*$I2800)</f>
        <v/>
      </c>
      <c r="K2800" s="24" t="n"/>
      <c r="L2800" s="24" t="n"/>
      <c r="M2800" s="29" t="n"/>
      <c r="N2800" s="28" t="n"/>
      <c r="O2800" s="24" t="n"/>
      <c r="P2800" s="24" t="n"/>
      <c r="Q2800" s="24" t="n"/>
      <c r="R2800" s="24" t="n"/>
      <c r="S2800" s="22">
        <f>IF(AND($A2800="",$C2800=""),"",IF($A2800="","Thiếu mã đơn; ","")&amp;IF(COUNTIF($A$2:$A2800,$A2800)&gt;1,"Trùng mã đơn; ","")&amp;IF(ISNA(MATCH($C2800,DATA_MASTER!$D$2:$D$5000,0)),"SĐT chưa đăng ký hội viên; ","")&amp;IF(AND($L2800="Đã chuyển khoản",$M2800=""),"Thiếu ngày nhận CK; ",""))</f>
        <v/>
      </c>
      <c r="T2800" s="24" t="n"/>
    </row>
    <row r="2801" ht="14.25" customHeight="1" s="40">
      <c r="A2801" s="24" t="n"/>
      <c r="B2801" s="29" t="n"/>
      <c r="C2801" s="28" t="n"/>
      <c r="D2801" s="22">
        <f t="array" ref="D2801">IF($C2801="","",IFERROR(INDEX(DATA_MASTER!$C$2:$C$5000,MATCH($C2801,DATA_MASTER!$D$2:$D$5000,0)),""))</f>
        <v/>
      </c>
      <c r="E2801" s="22">
        <f t="array" ref="E2801">IF($C2801="","",IFERROR(INDEX(DATA_MASTER!$I$2:$I$5000,MATCH($C2801,DATA_MASTER!$D$2:$D$5000,0)),""))</f>
        <v/>
      </c>
      <c r="F2801" s="22">
        <f t="array" ref="F2801">IF($C2801="","",IFERROR(INDEX(DATA_MASTER!$L$2:$L$5000,MATCH($C2801,DATA_MASTER!$D$2:$D$5000,0)),""))</f>
        <v/>
      </c>
      <c r="G2801" s="24" t="n"/>
      <c r="H2801" s="24" t="n"/>
      <c r="I2801" s="30" t="n"/>
      <c r="J2801" s="23">
        <f>IF(OR($H2801="",$I2801=""),"",$H2801*$I2801)</f>
        <v/>
      </c>
      <c r="K2801" s="24" t="n"/>
      <c r="L2801" s="24" t="n"/>
      <c r="M2801" s="29" t="n"/>
      <c r="N2801" s="28" t="n"/>
      <c r="O2801" s="24" t="n"/>
      <c r="P2801" s="24" t="n"/>
      <c r="Q2801" s="24" t="n"/>
      <c r="R2801" s="24" t="n"/>
      <c r="S2801" s="22">
        <f>IF(AND($A2801="",$C2801=""),"",IF($A2801="","Thiếu mã đơn; ","")&amp;IF(COUNTIF($A$2:$A2801,$A2801)&gt;1,"Trùng mã đơn; ","")&amp;IF(ISNA(MATCH($C2801,DATA_MASTER!$D$2:$D$5000,0)),"SĐT chưa đăng ký hội viên; ","")&amp;IF(AND($L2801="Đã chuyển khoản",$M2801=""),"Thiếu ngày nhận CK; ",""))</f>
        <v/>
      </c>
      <c r="T2801" s="24" t="n"/>
    </row>
    <row r="2802" ht="14.25" customHeight="1" s="40">
      <c r="A2802" s="24" t="n"/>
      <c r="B2802" s="29" t="n"/>
      <c r="C2802" s="28" t="n"/>
      <c r="D2802" s="22">
        <f t="array" ref="D2802">IF($C2802="","",IFERROR(INDEX(DATA_MASTER!$C$2:$C$5000,MATCH($C2802,DATA_MASTER!$D$2:$D$5000,0)),""))</f>
        <v/>
      </c>
      <c r="E2802" s="22">
        <f t="array" ref="E2802">IF($C2802="","",IFERROR(INDEX(DATA_MASTER!$I$2:$I$5000,MATCH($C2802,DATA_MASTER!$D$2:$D$5000,0)),""))</f>
        <v/>
      </c>
      <c r="F2802" s="22">
        <f t="array" ref="F2802">IF($C2802="","",IFERROR(INDEX(DATA_MASTER!$L$2:$L$5000,MATCH($C2802,DATA_MASTER!$D$2:$D$5000,0)),""))</f>
        <v/>
      </c>
      <c r="G2802" s="24" t="n"/>
      <c r="H2802" s="24" t="n"/>
      <c r="I2802" s="30" t="n"/>
      <c r="J2802" s="23">
        <f>IF(OR($H2802="",$I2802=""),"",$H2802*$I2802)</f>
        <v/>
      </c>
      <c r="K2802" s="24" t="n"/>
      <c r="L2802" s="24" t="n"/>
      <c r="M2802" s="29" t="n"/>
      <c r="N2802" s="28" t="n"/>
      <c r="O2802" s="24" t="n"/>
      <c r="P2802" s="24" t="n"/>
      <c r="Q2802" s="24" t="n"/>
      <c r="R2802" s="24" t="n"/>
      <c r="S2802" s="22">
        <f>IF(AND($A2802="",$C2802=""),"",IF($A2802="","Thiếu mã đơn; ","")&amp;IF(COUNTIF($A$2:$A2802,$A2802)&gt;1,"Trùng mã đơn; ","")&amp;IF(ISNA(MATCH($C2802,DATA_MASTER!$D$2:$D$5000,0)),"SĐT chưa đăng ký hội viên; ","")&amp;IF(AND($L2802="Đã chuyển khoản",$M2802=""),"Thiếu ngày nhận CK; ",""))</f>
        <v/>
      </c>
      <c r="T2802" s="24" t="n"/>
    </row>
    <row r="2803" ht="14.25" customHeight="1" s="40">
      <c r="A2803" s="24" t="n"/>
      <c r="B2803" s="29" t="n"/>
      <c r="C2803" s="28" t="n"/>
      <c r="D2803" s="22">
        <f t="array" ref="D2803">IF($C2803="","",IFERROR(INDEX(DATA_MASTER!$C$2:$C$5000,MATCH($C2803,DATA_MASTER!$D$2:$D$5000,0)),""))</f>
        <v/>
      </c>
      <c r="E2803" s="22">
        <f t="array" ref="E2803">IF($C2803="","",IFERROR(INDEX(DATA_MASTER!$I$2:$I$5000,MATCH($C2803,DATA_MASTER!$D$2:$D$5000,0)),""))</f>
        <v/>
      </c>
      <c r="F2803" s="22">
        <f t="array" ref="F2803">IF($C2803="","",IFERROR(INDEX(DATA_MASTER!$L$2:$L$5000,MATCH($C2803,DATA_MASTER!$D$2:$D$5000,0)),""))</f>
        <v/>
      </c>
      <c r="G2803" s="24" t="n"/>
      <c r="H2803" s="24" t="n"/>
      <c r="I2803" s="30" t="n"/>
      <c r="J2803" s="23">
        <f>IF(OR($H2803="",$I2803=""),"",$H2803*$I2803)</f>
        <v/>
      </c>
      <c r="K2803" s="24" t="n"/>
      <c r="L2803" s="24" t="n"/>
      <c r="M2803" s="29" t="n"/>
      <c r="N2803" s="28" t="n"/>
      <c r="O2803" s="24" t="n"/>
      <c r="P2803" s="24" t="n"/>
      <c r="Q2803" s="24" t="n"/>
      <c r="R2803" s="24" t="n"/>
      <c r="S2803" s="22">
        <f>IF(AND($A2803="",$C2803=""),"",IF($A2803="","Thiếu mã đơn; ","")&amp;IF(COUNTIF($A$2:$A2803,$A2803)&gt;1,"Trùng mã đơn; ","")&amp;IF(ISNA(MATCH($C2803,DATA_MASTER!$D$2:$D$5000,0)),"SĐT chưa đăng ký hội viên; ","")&amp;IF(AND($L2803="Đã chuyển khoản",$M2803=""),"Thiếu ngày nhận CK; ",""))</f>
        <v/>
      </c>
      <c r="T2803" s="24" t="n"/>
    </row>
    <row r="2804" ht="14.25" customHeight="1" s="40">
      <c r="A2804" s="24" t="n"/>
      <c r="B2804" s="29" t="n"/>
      <c r="C2804" s="28" t="n"/>
      <c r="D2804" s="22">
        <f t="array" ref="D2804">IF($C2804="","",IFERROR(INDEX(DATA_MASTER!$C$2:$C$5000,MATCH($C2804,DATA_MASTER!$D$2:$D$5000,0)),""))</f>
        <v/>
      </c>
      <c r="E2804" s="22">
        <f t="array" ref="E2804">IF($C2804="","",IFERROR(INDEX(DATA_MASTER!$I$2:$I$5000,MATCH($C2804,DATA_MASTER!$D$2:$D$5000,0)),""))</f>
        <v/>
      </c>
      <c r="F2804" s="22">
        <f t="array" ref="F2804">IF($C2804="","",IFERROR(INDEX(DATA_MASTER!$L$2:$L$5000,MATCH($C2804,DATA_MASTER!$D$2:$D$5000,0)),""))</f>
        <v/>
      </c>
      <c r="G2804" s="24" t="n"/>
      <c r="H2804" s="24" t="n"/>
      <c r="I2804" s="30" t="n"/>
      <c r="J2804" s="23">
        <f>IF(OR($H2804="",$I2804=""),"",$H2804*$I2804)</f>
        <v/>
      </c>
      <c r="K2804" s="24" t="n"/>
      <c r="L2804" s="24" t="n"/>
      <c r="M2804" s="29" t="n"/>
      <c r="N2804" s="28" t="n"/>
      <c r="O2804" s="24" t="n"/>
      <c r="P2804" s="24" t="n"/>
      <c r="Q2804" s="24" t="n"/>
      <c r="R2804" s="24" t="n"/>
      <c r="S2804" s="22">
        <f>IF(AND($A2804="",$C2804=""),"",IF($A2804="","Thiếu mã đơn; ","")&amp;IF(COUNTIF($A$2:$A2804,$A2804)&gt;1,"Trùng mã đơn; ","")&amp;IF(ISNA(MATCH($C2804,DATA_MASTER!$D$2:$D$5000,0)),"SĐT chưa đăng ký hội viên; ","")&amp;IF(AND($L2804="Đã chuyển khoản",$M2804=""),"Thiếu ngày nhận CK; ",""))</f>
        <v/>
      </c>
      <c r="T2804" s="24" t="n"/>
    </row>
    <row r="2805" ht="14.25" customHeight="1" s="40">
      <c r="A2805" s="24" t="n"/>
      <c r="B2805" s="29" t="n"/>
      <c r="C2805" s="28" t="n"/>
      <c r="D2805" s="22">
        <f t="array" ref="D2805">IF($C2805="","",IFERROR(INDEX(DATA_MASTER!$C$2:$C$5000,MATCH($C2805,DATA_MASTER!$D$2:$D$5000,0)),""))</f>
        <v/>
      </c>
      <c r="E2805" s="22">
        <f t="array" ref="E2805">IF($C2805="","",IFERROR(INDEX(DATA_MASTER!$I$2:$I$5000,MATCH($C2805,DATA_MASTER!$D$2:$D$5000,0)),""))</f>
        <v/>
      </c>
      <c r="F2805" s="22">
        <f t="array" ref="F2805">IF($C2805="","",IFERROR(INDEX(DATA_MASTER!$L$2:$L$5000,MATCH($C2805,DATA_MASTER!$D$2:$D$5000,0)),""))</f>
        <v/>
      </c>
      <c r="G2805" s="24" t="n"/>
      <c r="H2805" s="24" t="n"/>
      <c r="I2805" s="30" t="n"/>
      <c r="J2805" s="23">
        <f>IF(OR($H2805="",$I2805=""),"",$H2805*$I2805)</f>
        <v/>
      </c>
      <c r="K2805" s="24" t="n"/>
      <c r="L2805" s="24" t="n"/>
      <c r="M2805" s="29" t="n"/>
      <c r="N2805" s="28" t="n"/>
      <c r="O2805" s="24" t="n"/>
      <c r="P2805" s="24" t="n"/>
      <c r="Q2805" s="24" t="n"/>
      <c r="R2805" s="24" t="n"/>
      <c r="S2805" s="22">
        <f>IF(AND($A2805="",$C2805=""),"",IF($A2805="","Thiếu mã đơn; ","")&amp;IF(COUNTIF($A$2:$A2805,$A2805)&gt;1,"Trùng mã đơn; ","")&amp;IF(ISNA(MATCH($C2805,DATA_MASTER!$D$2:$D$5000,0)),"SĐT chưa đăng ký hội viên; ","")&amp;IF(AND($L2805="Đã chuyển khoản",$M2805=""),"Thiếu ngày nhận CK; ",""))</f>
        <v/>
      </c>
      <c r="T2805" s="24" t="n"/>
    </row>
    <row r="2806" ht="14.25" customHeight="1" s="40">
      <c r="A2806" s="24" t="n"/>
      <c r="B2806" s="29" t="n"/>
      <c r="C2806" s="28" t="n"/>
      <c r="D2806" s="22">
        <f t="array" ref="D2806">IF($C2806="","",IFERROR(INDEX(DATA_MASTER!$C$2:$C$5000,MATCH($C2806,DATA_MASTER!$D$2:$D$5000,0)),""))</f>
        <v/>
      </c>
      <c r="E2806" s="22">
        <f t="array" ref="E2806">IF($C2806="","",IFERROR(INDEX(DATA_MASTER!$I$2:$I$5000,MATCH($C2806,DATA_MASTER!$D$2:$D$5000,0)),""))</f>
        <v/>
      </c>
      <c r="F2806" s="22">
        <f t="array" ref="F2806">IF($C2806="","",IFERROR(INDEX(DATA_MASTER!$L$2:$L$5000,MATCH($C2806,DATA_MASTER!$D$2:$D$5000,0)),""))</f>
        <v/>
      </c>
      <c r="G2806" s="24" t="n"/>
      <c r="H2806" s="24" t="n"/>
      <c r="I2806" s="30" t="n"/>
      <c r="J2806" s="23">
        <f>IF(OR($H2806="",$I2806=""),"",$H2806*$I2806)</f>
        <v/>
      </c>
      <c r="K2806" s="24" t="n"/>
      <c r="L2806" s="24" t="n"/>
      <c r="M2806" s="29" t="n"/>
      <c r="N2806" s="28" t="n"/>
      <c r="O2806" s="24" t="n"/>
      <c r="P2806" s="24" t="n"/>
      <c r="Q2806" s="24" t="n"/>
      <c r="R2806" s="24" t="n"/>
      <c r="S2806" s="22">
        <f>IF(AND($A2806="",$C2806=""),"",IF($A2806="","Thiếu mã đơn; ","")&amp;IF(COUNTIF($A$2:$A2806,$A2806)&gt;1,"Trùng mã đơn; ","")&amp;IF(ISNA(MATCH($C2806,DATA_MASTER!$D$2:$D$5000,0)),"SĐT chưa đăng ký hội viên; ","")&amp;IF(AND($L2806="Đã chuyển khoản",$M2806=""),"Thiếu ngày nhận CK; ",""))</f>
        <v/>
      </c>
      <c r="T2806" s="24" t="n"/>
    </row>
    <row r="2807" ht="14.25" customHeight="1" s="40">
      <c r="A2807" s="24" t="n"/>
      <c r="B2807" s="29" t="n"/>
      <c r="C2807" s="28" t="n"/>
      <c r="D2807" s="22">
        <f t="array" ref="D2807">IF($C2807="","",IFERROR(INDEX(DATA_MASTER!$C$2:$C$5000,MATCH($C2807,DATA_MASTER!$D$2:$D$5000,0)),""))</f>
        <v/>
      </c>
      <c r="E2807" s="22">
        <f t="array" ref="E2807">IF($C2807="","",IFERROR(INDEX(DATA_MASTER!$I$2:$I$5000,MATCH($C2807,DATA_MASTER!$D$2:$D$5000,0)),""))</f>
        <v/>
      </c>
      <c r="F2807" s="22">
        <f t="array" ref="F2807">IF($C2807="","",IFERROR(INDEX(DATA_MASTER!$L$2:$L$5000,MATCH($C2807,DATA_MASTER!$D$2:$D$5000,0)),""))</f>
        <v/>
      </c>
      <c r="G2807" s="24" t="n"/>
      <c r="H2807" s="24" t="n"/>
      <c r="I2807" s="30" t="n"/>
      <c r="J2807" s="23">
        <f>IF(OR($H2807="",$I2807=""),"",$H2807*$I2807)</f>
        <v/>
      </c>
      <c r="K2807" s="24" t="n"/>
      <c r="L2807" s="24" t="n"/>
      <c r="M2807" s="29" t="n"/>
      <c r="N2807" s="28" t="n"/>
      <c r="O2807" s="24" t="n"/>
      <c r="P2807" s="24" t="n"/>
      <c r="Q2807" s="24" t="n"/>
      <c r="R2807" s="24" t="n"/>
      <c r="S2807" s="22">
        <f>IF(AND($A2807="",$C2807=""),"",IF($A2807="","Thiếu mã đơn; ","")&amp;IF(COUNTIF($A$2:$A2807,$A2807)&gt;1,"Trùng mã đơn; ","")&amp;IF(ISNA(MATCH($C2807,DATA_MASTER!$D$2:$D$5000,0)),"SĐT chưa đăng ký hội viên; ","")&amp;IF(AND($L2807="Đã chuyển khoản",$M2807=""),"Thiếu ngày nhận CK; ",""))</f>
        <v/>
      </c>
      <c r="T2807" s="24" t="n"/>
    </row>
    <row r="2808" ht="14.25" customHeight="1" s="40">
      <c r="A2808" s="24" t="n"/>
      <c r="B2808" s="29" t="n"/>
      <c r="C2808" s="28" t="n"/>
      <c r="D2808" s="22">
        <f t="array" ref="D2808">IF($C2808="","",IFERROR(INDEX(DATA_MASTER!$C$2:$C$5000,MATCH($C2808,DATA_MASTER!$D$2:$D$5000,0)),""))</f>
        <v/>
      </c>
      <c r="E2808" s="22">
        <f t="array" ref="E2808">IF($C2808="","",IFERROR(INDEX(DATA_MASTER!$I$2:$I$5000,MATCH($C2808,DATA_MASTER!$D$2:$D$5000,0)),""))</f>
        <v/>
      </c>
      <c r="F2808" s="22">
        <f t="array" ref="F2808">IF($C2808="","",IFERROR(INDEX(DATA_MASTER!$L$2:$L$5000,MATCH($C2808,DATA_MASTER!$D$2:$D$5000,0)),""))</f>
        <v/>
      </c>
      <c r="G2808" s="24" t="n"/>
      <c r="H2808" s="24" t="n"/>
      <c r="I2808" s="30" t="n"/>
      <c r="J2808" s="23">
        <f>IF(OR($H2808="",$I2808=""),"",$H2808*$I2808)</f>
        <v/>
      </c>
      <c r="K2808" s="24" t="n"/>
      <c r="L2808" s="24" t="n"/>
      <c r="M2808" s="29" t="n"/>
      <c r="N2808" s="28" t="n"/>
      <c r="O2808" s="24" t="n"/>
      <c r="P2808" s="24" t="n"/>
      <c r="Q2808" s="24" t="n"/>
      <c r="R2808" s="24" t="n"/>
      <c r="S2808" s="22">
        <f>IF(AND($A2808="",$C2808=""),"",IF($A2808="","Thiếu mã đơn; ","")&amp;IF(COUNTIF($A$2:$A2808,$A2808)&gt;1,"Trùng mã đơn; ","")&amp;IF(ISNA(MATCH($C2808,DATA_MASTER!$D$2:$D$5000,0)),"SĐT chưa đăng ký hội viên; ","")&amp;IF(AND($L2808="Đã chuyển khoản",$M2808=""),"Thiếu ngày nhận CK; ",""))</f>
        <v/>
      </c>
      <c r="T2808" s="24" t="n"/>
    </row>
    <row r="2809" ht="14.25" customHeight="1" s="40">
      <c r="A2809" s="24" t="n"/>
      <c r="B2809" s="29" t="n"/>
      <c r="C2809" s="28" t="n"/>
      <c r="D2809" s="22">
        <f t="array" ref="D2809">IF($C2809="","",IFERROR(INDEX(DATA_MASTER!$C$2:$C$5000,MATCH($C2809,DATA_MASTER!$D$2:$D$5000,0)),""))</f>
        <v/>
      </c>
      <c r="E2809" s="22">
        <f t="array" ref="E2809">IF($C2809="","",IFERROR(INDEX(DATA_MASTER!$I$2:$I$5000,MATCH($C2809,DATA_MASTER!$D$2:$D$5000,0)),""))</f>
        <v/>
      </c>
      <c r="F2809" s="22">
        <f t="array" ref="F2809">IF($C2809="","",IFERROR(INDEX(DATA_MASTER!$L$2:$L$5000,MATCH($C2809,DATA_MASTER!$D$2:$D$5000,0)),""))</f>
        <v/>
      </c>
      <c r="G2809" s="24" t="n"/>
      <c r="H2809" s="24" t="n"/>
      <c r="I2809" s="30" t="n"/>
      <c r="J2809" s="23">
        <f>IF(OR($H2809="",$I2809=""),"",$H2809*$I2809)</f>
        <v/>
      </c>
      <c r="K2809" s="24" t="n"/>
      <c r="L2809" s="24" t="n"/>
      <c r="M2809" s="29" t="n"/>
      <c r="N2809" s="28" t="n"/>
      <c r="O2809" s="24" t="n"/>
      <c r="P2809" s="24" t="n"/>
      <c r="Q2809" s="24" t="n"/>
      <c r="R2809" s="24" t="n"/>
      <c r="S2809" s="22">
        <f>IF(AND($A2809="",$C2809=""),"",IF($A2809="","Thiếu mã đơn; ","")&amp;IF(COUNTIF($A$2:$A2809,$A2809)&gt;1,"Trùng mã đơn; ","")&amp;IF(ISNA(MATCH($C2809,DATA_MASTER!$D$2:$D$5000,0)),"SĐT chưa đăng ký hội viên; ","")&amp;IF(AND($L2809="Đã chuyển khoản",$M2809=""),"Thiếu ngày nhận CK; ",""))</f>
        <v/>
      </c>
      <c r="T2809" s="24" t="n"/>
    </row>
    <row r="2810" ht="14.25" customHeight="1" s="40">
      <c r="A2810" s="24" t="n"/>
      <c r="B2810" s="29" t="n"/>
      <c r="C2810" s="28" t="n"/>
      <c r="D2810" s="22">
        <f t="array" ref="D2810">IF($C2810="","",IFERROR(INDEX(DATA_MASTER!$C$2:$C$5000,MATCH($C2810,DATA_MASTER!$D$2:$D$5000,0)),""))</f>
        <v/>
      </c>
      <c r="E2810" s="22">
        <f t="array" ref="E2810">IF($C2810="","",IFERROR(INDEX(DATA_MASTER!$I$2:$I$5000,MATCH($C2810,DATA_MASTER!$D$2:$D$5000,0)),""))</f>
        <v/>
      </c>
      <c r="F2810" s="22">
        <f t="array" ref="F2810">IF($C2810="","",IFERROR(INDEX(DATA_MASTER!$L$2:$L$5000,MATCH($C2810,DATA_MASTER!$D$2:$D$5000,0)),""))</f>
        <v/>
      </c>
      <c r="G2810" s="24" t="n"/>
      <c r="H2810" s="24" t="n"/>
      <c r="I2810" s="30" t="n"/>
      <c r="J2810" s="23">
        <f>IF(OR($H2810="",$I2810=""),"",$H2810*$I2810)</f>
        <v/>
      </c>
      <c r="K2810" s="24" t="n"/>
      <c r="L2810" s="24" t="n"/>
      <c r="M2810" s="29" t="n"/>
      <c r="N2810" s="28" t="n"/>
      <c r="O2810" s="24" t="n"/>
      <c r="P2810" s="24" t="n"/>
      <c r="Q2810" s="24" t="n"/>
      <c r="R2810" s="24" t="n"/>
      <c r="S2810" s="22">
        <f>IF(AND($A2810="",$C2810=""),"",IF($A2810="","Thiếu mã đơn; ","")&amp;IF(COUNTIF($A$2:$A2810,$A2810)&gt;1,"Trùng mã đơn; ","")&amp;IF(ISNA(MATCH($C2810,DATA_MASTER!$D$2:$D$5000,0)),"SĐT chưa đăng ký hội viên; ","")&amp;IF(AND($L2810="Đã chuyển khoản",$M2810=""),"Thiếu ngày nhận CK; ",""))</f>
        <v/>
      </c>
      <c r="T2810" s="24" t="n"/>
    </row>
    <row r="2811" ht="14.25" customHeight="1" s="40">
      <c r="A2811" s="24" t="n"/>
      <c r="B2811" s="29" t="n"/>
      <c r="C2811" s="28" t="n"/>
      <c r="D2811" s="22">
        <f t="array" ref="D2811">IF($C2811="","",IFERROR(INDEX(DATA_MASTER!$C$2:$C$5000,MATCH($C2811,DATA_MASTER!$D$2:$D$5000,0)),""))</f>
        <v/>
      </c>
      <c r="E2811" s="22">
        <f t="array" ref="E2811">IF($C2811="","",IFERROR(INDEX(DATA_MASTER!$I$2:$I$5000,MATCH($C2811,DATA_MASTER!$D$2:$D$5000,0)),""))</f>
        <v/>
      </c>
      <c r="F2811" s="22">
        <f t="array" ref="F2811">IF($C2811="","",IFERROR(INDEX(DATA_MASTER!$L$2:$L$5000,MATCH($C2811,DATA_MASTER!$D$2:$D$5000,0)),""))</f>
        <v/>
      </c>
      <c r="G2811" s="24" t="n"/>
      <c r="H2811" s="24" t="n"/>
      <c r="I2811" s="30" t="n"/>
      <c r="J2811" s="23">
        <f>IF(OR($H2811="",$I2811=""),"",$H2811*$I2811)</f>
        <v/>
      </c>
      <c r="K2811" s="24" t="n"/>
      <c r="L2811" s="24" t="n"/>
      <c r="M2811" s="29" t="n"/>
      <c r="N2811" s="28" t="n"/>
      <c r="O2811" s="24" t="n"/>
      <c r="P2811" s="24" t="n"/>
      <c r="Q2811" s="24" t="n"/>
      <c r="R2811" s="24" t="n"/>
      <c r="S2811" s="22">
        <f>IF(AND($A2811="",$C2811=""),"",IF($A2811="","Thiếu mã đơn; ","")&amp;IF(COUNTIF($A$2:$A2811,$A2811)&gt;1,"Trùng mã đơn; ","")&amp;IF(ISNA(MATCH($C2811,DATA_MASTER!$D$2:$D$5000,0)),"SĐT chưa đăng ký hội viên; ","")&amp;IF(AND($L2811="Đã chuyển khoản",$M2811=""),"Thiếu ngày nhận CK; ",""))</f>
        <v/>
      </c>
      <c r="T2811" s="24" t="n"/>
    </row>
    <row r="2812" ht="14.25" customHeight="1" s="40">
      <c r="A2812" s="24" t="n"/>
      <c r="B2812" s="29" t="n"/>
      <c r="C2812" s="28" t="n"/>
      <c r="D2812" s="22">
        <f t="array" ref="D2812">IF($C2812="","",IFERROR(INDEX(DATA_MASTER!$C$2:$C$5000,MATCH($C2812,DATA_MASTER!$D$2:$D$5000,0)),""))</f>
        <v/>
      </c>
      <c r="E2812" s="22">
        <f t="array" ref="E2812">IF($C2812="","",IFERROR(INDEX(DATA_MASTER!$I$2:$I$5000,MATCH($C2812,DATA_MASTER!$D$2:$D$5000,0)),""))</f>
        <v/>
      </c>
      <c r="F2812" s="22">
        <f t="array" ref="F2812">IF($C2812="","",IFERROR(INDEX(DATA_MASTER!$L$2:$L$5000,MATCH($C2812,DATA_MASTER!$D$2:$D$5000,0)),""))</f>
        <v/>
      </c>
      <c r="G2812" s="24" t="n"/>
      <c r="H2812" s="24" t="n"/>
      <c r="I2812" s="30" t="n"/>
      <c r="J2812" s="23">
        <f>IF(OR($H2812="",$I2812=""),"",$H2812*$I2812)</f>
        <v/>
      </c>
      <c r="K2812" s="24" t="n"/>
      <c r="L2812" s="24" t="n"/>
      <c r="M2812" s="29" t="n"/>
      <c r="N2812" s="28" t="n"/>
      <c r="O2812" s="24" t="n"/>
      <c r="P2812" s="24" t="n"/>
      <c r="Q2812" s="24" t="n"/>
      <c r="R2812" s="24" t="n"/>
      <c r="S2812" s="22">
        <f>IF(AND($A2812="",$C2812=""),"",IF($A2812="","Thiếu mã đơn; ","")&amp;IF(COUNTIF($A$2:$A2812,$A2812)&gt;1,"Trùng mã đơn; ","")&amp;IF(ISNA(MATCH($C2812,DATA_MASTER!$D$2:$D$5000,0)),"SĐT chưa đăng ký hội viên; ","")&amp;IF(AND($L2812="Đã chuyển khoản",$M2812=""),"Thiếu ngày nhận CK; ",""))</f>
        <v/>
      </c>
      <c r="T2812" s="24" t="n"/>
    </row>
    <row r="2813" ht="14.25" customHeight="1" s="40">
      <c r="A2813" s="24" t="n"/>
      <c r="B2813" s="29" t="n"/>
      <c r="C2813" s="28" t="n"/>
      <c r="D2813" s="22">
        <f t="array" ref="D2813">IF($C2813="","",IFERROR(INDEX(DATA_MASTER!$C$2:$C$5000,MATCH($C2813,DATA_MASTER!$D$2:$D$5000,0)),""))</f>
        <v/>
      </c>
      <c r="E2813" s="22">
        <f t="array" ref="E2813">IF($C2813="","",IFERROR(INDEX(DATA_MASTER!$I$2:$I$5000,MATCH($C2813,DATA_MASTER!$D$2:$D$5000,0)),""))</f>
        <v/>
      </c>
      <c r="F2813" s="22">
        <f t="array" ref="F2813">IF($C2813="","",IFERROR(INDEX(DATA_MASTER!$L$2:$L$5000,MATCH($C2813,DATA_MASTER!$D$2:$D$5000,0)),""))</f>
        <v/>
      </c>
      <c r="G2813" s="24" t="n"/>
      <c r="H2813" s="24" t="n"/>
      <c r="I2813" s="30" t="n"/>
      <c r="J2813" s="23">
        <f>IF(OR($H2813="",$I2813=""),"",$H2813*$I2813)</f>
        <v/>
      </c>
      <c r="K2813" s="24" t="n"/>
      <c r="L2813" s="24" t="n"/>
      <c r="M2813" s="29" t="n"/>
      <c r="N2813" s="28" t="n"/>
      <c r="O2813" s="24" t="n"/>
      <c r="P2813" s="24" t="n"/>
      <c r="Q2813" s="24" t="n"/>
      <c r="R2813" s="24" t="n"/>
      <c r="S2813" s="22">
        <f>IF(AND($A2813="",$C2813=""),"",IF($A2813="","Thiếu mã đơn; ","")&amp;IF(COUNTIF($A$2:$A2813,$A2813)&gt;1,"Trùng mã đơn; ","")&amp;IF(ISNA(MATCH($C2813,DATA_MASTER!$D$2:$D$5000,0)),"SĐT chưa đăng ký hội viên; ","")&amp;IF(AND($L2813="Đã chuyển khoản",$M2813=""),"Thiếu ngày nhận CK; ",""))</f>
        <v/>
      </c>
      <c r="T2813" s="24" t="n"/>
    </row>
    <row r="2814" ht="14.25" customHeight="1" s="40">
      <c r="A2814" s="24" t="n"/>
      <c r="B2814" s="29" t="n"/>
      <c r="C2814" s="28" t="n"/>
      <c r="D2814" s="22">
        <f t="array" ref="D2814">IF($C2814="","",IFERROR(INDEX(DATA_MASTER!$C$2:$C$5000,MATCH($C2814,DATA_MASTER!$D$2:$D$5000,0)),""))</f>
        <v/>
      </c>
      <c r="E2814" s="22">
        <f t="array" ref="E2814">IF($C2814="","",IFERROR(INDEX(DATA_MASTER!$I$2:$I$5000,MATCH($C2814,DATA_MASTER!$D$2:$D$5000,0)),""))</f>
        <v/>
      </c>
      <c r="F2814" s="22">
        <f t="array" ref="F2814">IF($C2814="","",IFERROR(INDEX(DATA_MASTER!$L$2:$L$5000,MATCH($C2814,DATA_MASTER!$D$2:$D$5000,0)),""))</f>
        <v/>
      </c>
      <c r="G2814" s="24" t="n"/>
      <c r="H2814" s="24" t="n"/>
      <c r="I2814" s="30" t="n"/>
      <c r="J2814" s="23">
        <f>IF(OR($H2814="",$I2814=""),"",$H2814*$I2814)</f>
        <v/>
      </c>
      <c r="K2814" s="24" t="n"/>
      <c r="L2814" s="24" t="n"/>
      <c r="M2814" s="29" t="n"/>
      <c r="N2814" s="28" t="n"/>
      <c r="O2814" s="24" t="n"/>
      <c r="P2814" s="24" t="n"/>
      <c r="Q2814" s="24" t="n"/>
      <c r="R2814" s="24" t="n"/>
      <c r="S2814" s="22">
        <f>IF(AND($A2814="",$C2814=""),"",IF($A2814="","Thiếu mã đơn; ","")&amp;IF(COUNTIF($A$2:$A2814,$A2814)&gt;1,"Trùng mã đơn; ","")&amp;IF(ISNA(MATCH($C2814,DATA_MASTER!$D$2:$D$5000,0)),"SĐT chưa đăng ký hội viên; ","")&amp;IF(AND($L2814="Đã chuyển khoản",$M2814=""),"Thiếu ngày nhận CK; ",""))</f>
        <v/>
      </c>
      <c r="T2814" s="24" t="n"/>
    </row>
    <row r="2815" ht="14.25" customHeight="1" s="40">
      <c r="A2815" s="24" t="n"/>
      <c r="B2815" s="29" t="n"/>
      <c r="C2815" s="28" t="n"/>
      <c r="D2815" s="22">
        <f t="array" ref="D2815">IF($C2815="","",IFERROR(INDEX(DATA_MASTER!$C$2:$C$5000,MATCH($C2815,DATA_MASTER!$D$2:$D$5000,0)),""))</f>
        <v/>
      </c>
      <c r="E2815" s="22">
        <f t="array" ref="E2815">IF($C2815="","",IFERROR(INDEX(DATA_MASTER!$I$2:$I$5000,MATCH($C2815,DATA_MASTER!$D$2:$D$5000,0)),""))</f>
        <v/>
      </c>
      <c r="F2815" s="22">
        <f t="array" ref="F2815">IF($C2815="","",IFERROR(INDEX(DATA_MASTER!$L$2:$L$5000,MATCH($C2815,DATA_MASTER!$D$2:$D$5000,0)),""))</f>
        <v/>
      </c>
      <c r="G2815" s="24" t="n"/>
      <c r="H2815" s="24" t="n"/>
      <c r="I2815" s="30" t="n"/>
      <c r="J2815" s="23">
        <f>IF(OR($H2815="",$I2815=""),"",$H2815*$I2815)</f>
        <v/>
      </c>
      <c r="K2815" s="24" t="n"/>
      <c r="L2815" s="24" t="n"/>
      <c r="M2815" s="29" t="n"/>
      <c r="N2815" s="28" t="n"/>
      <c r="O2815" s="24" t="n"/>
      <c r="P2815" s="24" t="n"/>
      <c r="Q2815" s="24" t="n"/>
      <c r="R2815" s="24" t="n"/>
      <c r="S2815" s="22">
        <f>IF(AND($A2815="",$C2815=""),"",IF($A2815="","Thiếu mã đơn; ","")&amp;IF(COUNTIF($A$2:$A2815,$A2815)&gt;1,"Trùng mã đơn; ","")&amp;IF(ISNA(MATCH($C2815,DATA_MASTER!$D$2:$D$5000,0)),"SĐT chưa đăng ký hội viên; ","")&amp;IF(AND($L2815="Đã chuyển khoản",$M2815=""),"Thiếu ngày nhận CK; ",""))</f>
        <v/>
      </c>
      <c r="T2815" s="24" t="n"/>
    </row>
    <row r="2816" ht="14.25" customHeight="1" s="40">
      <c r="A2816" s="24" t="n"/>
      <c r="B2816" s="29" t="n"/>
      <c r="C2816" s="28" t="n"/>
      <c r="D2816" s="22">
        <f t="array" ref="D2816">IF($C2816="","",IFERROR(INDEX(DATA_MASTER!$C$2:$C$5000,MATCH($C2816,DATA_MASTER!$D$2:$D$5000,0)),""))</f>
        <v/>
      </c>
      <c r="E2816" s="22">
        <f t="array" ref="E2816">IF($C2816="","",IFERROR(INDEX(DATA_MASTER!$I$2:$I$5000,MATCH($C2816,DATA_MASTER!$D$2:$D$5000,0)),""))</f>
        <v/>
      </c>
      <c r="F2816" s="22">
        <f t="array" ref="F2816">IF($C2816="","",IFERROR(INDEX(DATA_MASTER!$L$2:$L$5000,MATCH($C2816,DATA_MASTER!$D$2:$D$5000,0)),""))</f>
        <v/>
      </c>
      <c r="G2816" s="24" t="n"/>
      <c r="H2816" s="24" t="n"/>
      <c r="I2816" s="30" t="n"/>
      <c r="J2816" s="23">
        <f>IF(OR($H2816="",$I2816=""),"",$H2816*$I2816)</f>
        <v/>
      </c>
      <c r="K2816" s="24" t="n"/>
      <c r="L2816" s="24" t="n"/>
      <c r="M2816" s="29" t="n"/>
      <c r="N2816" s="28" t="n"/>
      <c r="O2816" s="24" t="n"/>
      <c r="P2816" s="24" t="n"/>
      <c r="Q2816" s="24" t="n"/>
      <c r="R2816" s="24" t="n"/>
      <c r="S2816" s="22">
        <f>IF(AND($A2816="",$C2816=""),"",IF($A2816="","Thiếu mã đơn; ","")&amp;IF(COUNTIF($A$2:$A2816,$A2816)&gt;1,"Trùng mã đơn; ","")&amp;IF(ISNA(MATCH($C2816,DATA_MASTER!$D$2:$D$5000,0)),"SĐT chưa đăng ký hội viên; ","")&amp;IF(AND($L2816="Đã chuyển khoản",$M2816=""),"Thiếu ngày nhận CK; ",""))</f>
        <v/>
      </c>
      <c r="T2816" s="24" t="n"/>
    </row>
    <row r="2817" ht="14.25" customHeight="1" s="40">
      <c r="A2817" s="24" t="n"/>
      <c r="B2817" s="29" t="n"/>
      <c r="C2817" s="28" t="n"/>
      <c r="D2817" s="22">
        <f t="array" ref="D2817">IF($C2817="","",IFERROR(INDEX(DATA_MASTER!$C$2:$C$5000,MATCH($C2817,DATA_MASTER!$D$2:$D$5000,0)),""))</f>
        <v/>
      </c>
      <c r="E2817" s="22">
        <f t="array" ref="E2817">IF($C2817="","",IFERROR(INDEX(DATA_MASTER!$I$2:$I$5000,MATCH($C2817,DATA_MASTER!$D$2:$D$5000,0)),""))</f>
        <v/>
      </c>
      <c r="F2817" s="22">
        <f t="array" ref="F2817">IF($C2817="","",IFERROR(INDEX(DATA_MASTER!$L$2:$L$5000,MATCH($C2817,DATA_MASTER!$D$2:$D$5000,0)),""))</f>
        <v/>
      </c>
      <c r="G2817" s="24" t="n"/>
      <c r="H2817" s="24" t="n"/>
      <c r="I2817" s="30" t="n"/>
      <c r="J2817" s="23">
        <f>IF(OR($H2817="",$I2817=""),"",$H2817*$I2817)</f>
        <v/>
      </c>
      <c r="K2817" s="24" t="n"/>
      <c r="L2817" s="24" t="n"/>
      <c r="M2817" s="29" t="n"/>
      <c r="N2817" s="28" t="n"/>
      <c r="O2817" s="24" t="n"/>
      <c r="P2817" s="24" t="n"/>
      <c r="Q2817" s="24" t="n"/>
      <c r="R2817" s="24" t="n"/>
      <c r="S2817" s="22">
        <f>IF(AND($A2817="",$C2817=""),"",IF($A2817="","Thiếu mã đơn; ","")&amp;IF(COUNTIF($A$2:$A2817,$A2817)&gt;1,"Trùng mã đơn; ","")&amp;IF(ISNA(MATCH($C2817,DATA_MASTER!$D$2:$D$5000,0)),"SĐT chưa đăng ký hội viên; ","")&amp;IF(AND($L2817="Đã chuyển khoản",$M2817=""),"Thiếu ngày nhận CK; ",""))</f>
        <v/>
      </c>
      <c r="T2817" s="24" t="n"/>
    </row>
    <row r="2818" ht="14.25" customHeight="1" s="40">
      <c r="A2818" s="24" t="n"/>
      <c r="B2818" s="29" t="n"/>
      <c r="C2818" s="28" t="n"/>
      <c r="D2818" s="22">
        <f t="array" ref="D2818">IF($C2818="","",IFERROR(INDEX(DATA_MASTER!$C$2:$C$5000,MATCH($C2818,DATA_MASTER!$D$2:$D$5000,0)),""))</f>
        <v/>
      </c>
      <c r="E2818" s="22">
        <f t="array" ref="E2818">IF($C2818="","",IFERROR(INDEX(DATA_MASTER!$I$2:$I$5000,MATCH($C2818,DATA_MASTER!$D$2:$D$5000,0)),""))</f>
        <v/>
      </c>
      <c r="F2818" s="22">
        <f t="array" ref="F2818">IF($C2818="","",IFERROR(INDEX(DATA_MASTER!$L$2:$L$5000,MATCH($C2818,DATA_MASTER!$D$2:$D$5000,0)),""))</f>
        <v/>
      </c>
      <c r="G2818" s="24" t="n"/>
      <c r="H2818" s="24" t="n"/>
      <c r="I2818" s="30" t="n"/>
      <c r="J2818" s="23">
        <f>IF(OR($H2818="",$I2818=""),"",$H2818*$I2818)</f>
        <v/>
      </c>
      <c r="K2818" s="24" t="n"/>
      <c r="L2818" s="24" t="n"/>
      <c r="M2818" s="29" t="n"/>
      <c r="N2818" s="28" t="n"/>
      <c r="O2818" s="24" t="n"/>
      <c r="P2818" s="24" t="n"/>
      <c r="Q2818" s="24" t="n"/>
      <c r="R2818" s="24" t="n"/>
      <c r="S2818" s="22">
        <f>IF(AND($A2818="",$C2818=""),"",IF($A2818="","Thiếu mã đơn; ","")&amp;IF(COUNTIF($A$2:$A2818,$A2818)&gt;1,"Trùng mã đơn; ","")&amp;IF(ISNA(MATCH($C2818,DATA_MASTER!$D$2:$D$5000,0)),"SĐT chưa đăng ký hội viên; ","")&amp;IF(AND($L2818="Đã chuyển khoản",$M2818=""),"Thiếu ngày nhận CK; ",""))</f>
        <v/>
      </c>
      <c r="T2818" s="24" t="n"/>
    </row>
    <row r="2819" ht="14.25" customHeight="1" s="40">
      <c r="A2819" s="24" t="n"/>
      <c r="B2819" s="29" t="n"/>
      <c r="C2819" s="28" t="n"/>
      <c r="D2819" s="22">
        <f t="array" ref="D2819">IF($C2819="","",IFERROR(INDEX(DATA_MASTER!$C$2:$C$5000,MATCH($C2819,DATA_MASTER!$D$2:$D$5000,0)),""))</f>
        <v/>
      </c>
      <c r="E2819" s="22">
        <f t="array" ref="E2819">IF($C2819="","",IFERROR(INDEX(DATA_MASTER!$I$2:$I$5000,MATCH($C2819,DATA_MASTER!$D$2:$D$5000,0)),""))</f>
        <v/>
      </c>
      <c r="F2819" s="22">
        <f t="array" ref="F2819">IF($C2819="","",IFERROR(INDEX(DATA_MASTER!$L$2:$L$5000,MATCH($C2819,DATA_MASTER!$D$2:$D$5000,0)),""))</f>
        <v/>
      </c>
      <c r="G2819" s="24" t="n"/>
      <c r="H2819" s="24" t="n"/>
      <c r="I2819" s="30" t="n"/>
      <c r="J2819" s="23">
        <f>IF(OR($H2819="",$I2819=""),"",$H2819*$I2819)</f>
        <v/>
      </c>
      <c r="K2819" s="24" t="n"/>
      <c r="L2819" s="24" t="n"/>
      <c r="M2819" s="29" t="n"/>
      <c r="N2819" s="28" t="n"/>
      <c r="O2819" s="24" t="n"/>
      <c r="P2819" s="24" t="n"/>
      <c r="Q2819" s="24" t="n"/>
      <c r="R2819" s="24" t="n"/>
      <c r="S2819" s="22">
        <f>IF(AND($A2819="",$C2819=""),"",IF($A2819="","Thiếu mã đơn; ","")&amp;IF(COUNTIF($A$2:$A2819,$A2819)&gt;1,"Trùng mã đơn; ","")&amp;IF(ISNA(MATCH($C2819,DATA_MASTER!$D$2:$D$5000,0)),"SĐT chưa đăng ký hội viên; ","")&amp;IF(AND($L2819="Đã chuyển khoản",$M2819=""),"Thiếu ngày nhận CK; ",""))</f>
        <v/>
      </c>
      <c r="T2819" s="24" t="n"/>
    </row>
    <row r="2820" ht="14.25" customHeight="1" s="40">
      <c r="A2820" s="24" t="n"/>
      <c r="B2820" s="29" t="n"/>
      <c r="C2820" s="28" t="n"/>
      <c r="D2820" s="22">
        <f t="array" ref="D2820">IF($C2820="","",IFERROR(INDEX(DATA_MASTER!$C$2:$C$5000,MATCH($C2820,DATA_MASTER!$D$2:$D$5000,0)),""))</f>
        <v/>
      </c>
      <c r="E2820" s="22">
        <f t="array" ref="E2820">IF($C2820="","",IFERROR(INDEX(DATA_MASTER!$I$2:$I$5000,MATCH($C2820,DATA_MASTER!$D$2:$D$5000,0)),""))</f>
        <v/>
      </c>
      <c r="F2820" s="22">
        <f t="array" ref="F2820">IF($C2820="","",IFERROR(INDEX(DATA_MASTER!$L$2:$L$5000,MATCH($C2820,DATA_MASTER!$D$2:$D$5000,0)),""))</f>
        <v/>
      </c>
      <c r="G2820" s="24" t="n"/>
      <c r="H2820" s="24" t="n"/>
      <c r="I2820" s="30" t="n"/>
      <c r="J2820" s="23">
        <f>IF(OR($H2820="",$I2820=""),"",$H2820*$I2820)</f>
        <v/>
      </c>
      <c r="K2820" s="24" t="n"/>
      <c r="L2820" s="24" t="n"/>
      <c r="M2820" s="29" t="n"/>
      <c r="N2820" s="28" t="n"/>
      <c r="O2820" s="24" t="n"/>
      <c r="P2820" s="24" t="n"/>
      <c r="Q2820" s="24" t="n"/>
      <c r="R2820" s="24" t="n"/>
      <c r="S2820" s="22">
        <f>IF(AND($A2820="",$C2820=""),"",IF($A2820="","Thiếu mã đơn; ","")&amp;IF(COUNTIF($A$2:$A2820,$A2820)&gt;1,"Trùng mã đơn; ","")&amp;IF(ISNA(MATCH($C2820,DATA_MASTER!$D$2:$D$5000,0)),"SĐT chưa đăng ký hội viên; ","")&amp;IF(AND($L2820="Đã chuyển khoản",$M2820=""),"Thiếu ngày nhận CK; ",""))</f>
        <v/>
      </c>
      <c r="T2820" s="24" t="n"/>
    </row>
    <row r="2821" ht="14.25" customHeight="1" s="40">
      <c r="A2821" s="24" t="n"/>
      <c r="B2821" s="29" t="n"/>
      <c r="C2821" s="28" t="n"/>
      <c r="D2821" s="22">
        <f t="array" ref="D2821">IF($C2821="","",IFERROR(INDEX(DATA_MASTER!$C$2:$C$5000,MATCH($C2821,DATA_MASTER!$D$2:$D$5000,0)),""))</f>
        <v/>
      </c>
      <c r="E2821" s="22">
        <f t="array" ref="E2821">IF($C2821="","",IFERROR(INDEX(DATA_MASTER!$I$2:$I$5000,MATCH($C2821,DATA_MASTER!$D$2:$D$5000,0)),""))</f>
        <v/>
      </c>
      <c r="F2821" s="22">
        <f t="array" ref="F2821">IF($C2821="","",IFERROR(INDEX(DATA_MASTER!$L$2:$L$5000,MATCH($C2821,DATA_MASTER!$D$2:$D$5000,0)),""))</f>
        <v/>
      </c>
      <c r="G2821" s="24" t="n"/>
      <c r="H2821" s="24" t="n"/>
      <c r="I2821" s="30" t="n"/>
      <c r="J2821" s="23">
        <f>IF(OR($H2821="",$I2821=""),"",$H2821*$I2821)</f>
        <v/>
      </c>
      <c r="K2821" s="24" t="n"/>
      <c r="L2821" s="24" t="n"/>
      <c r="M2821" s="29" t="n"/>
      <c r="N2821" s="28" t="n"/>
      <c r="O2821" s="24" t="n"/>
      <c r="P2821" s="24" t="n"/>
      <c r="Q2821" s="24" t="n"/>
      <c r="R2821" s="24" t="n"/>
      <c r="S2821" s="22">
        <f>IF(AND($A2821="",$C2821=""),"",IF($A2821="","Thiếu mã đơn; ","")&amp;IF(COUNTIF($A$2:$A2821,$A2821)&gt;1,"Trùng mã đơn; ","")&amp;IF(ISNA(MATCH($C2821,DATA_MASTER!$D$2:$D$5000,0)),"SĐT chưa đăng ký hội viên; ","")&amp;IF(AND($L2821="Đã chuyển khoản",$M2821=""),"Thiếu ngày nhận CK; ",""))</f>
        <v/>
      </c>
      <c r="T2821" s="24" t="n"/>
    </row>
    <row r="2822" ht="14.25" customHeight="1" s="40">
      <c r="A2822" s="24" t="n"/>
      <c r="B2822" s="29" t="n"/>
      <c r="C2822" s="28" t="n"/>
      <c r="D2822" s="22">
        <f t="array" ref="D2822">IF($C2822="","",IFERROR(INDEX(DATA_MASTER!$C$2:$C$5000,MATCH($C2822,DATA_MASTER!$D$2:$D$5000,0)),""))</f>
        <v/>
      </c>
      <c r="E2822" s="22">
        <f t="array" ref="E2822">IF($C2822="","",IFERROR(INDEX(DATA_MASTER!$I$2:$I$5000,MATCH($C2822,DATA_MASTER!$D$2:$D$5000,0)),""))</f>
        <v/>
      </c>
      <c r="F2822" s="22">
        <f t="array" ref="F2822">IF($C2822="","",IFERROR(INDEX(DATA_MASTER!$L$2:$L$5000,MATCH($C2822,DATA_MASTER!$D$2:$D$5000,0)),""))</f>
        <v/>
      </c>
      <c r="G2822" s="24" t="n"/>
      <c r="H2822" s="24" t="n"/>
      <c r="I2822" s="30" t="n"/>
      <c r="J2822" s="23">
        <f>IF(OR($H2822="",$I2822=""),"",$H2822*$I2822)</f>
        <v/>
      </c>
      <c r="K2822" s="24" t="n"/>
      <c r="L2822" s="24" t="n"/>
      <c r="M2822" s="29" t="n"/>
      <c r="N2822" s="28" t="n"/>
      <c r="O2822" s="24" t="n"/>
      <c r="P2822" s="24" t="n"/>
      <c r="Q2822" s="24" t="n"/>
      <c r="R2822" s="24" t="n"/>
      <c r="S2822" s="22">
        <f>IF(AND($A2822="",$C2822=""),"",IF($A2822="","Thiếu mã đơn; ","")&amp;IF(COUNTIF($A$2:$A2822,$A2822)&gt;1,"Trùng mã đơn; ","")&amp;IF(ISNA(MATCH($C2822,DATA_MASTER!$D$2:$D$5000,0)),"SĐT chưa đăng ký hội viên; ","")&amp;IF(AND($L2822="Đã chuyển khoản",$M2822=""),"Thiếu ngày nhận CK; ",""))</f>
        <v/>
      </c>
      <c r="T2822" s="24" t="n"/>
    </row>
    <row r="2823" ht="14.25" customHeight="1" s="40">
      <c r="A2823" s="24" t="n"/>
      <c r="B2823" s="29" t="n"/>
      <c r="C2823" s="28" t="n"/>
      <c r="D2823" s="22">
        <f t="array" ref="D2823">IF($C2823="","",IFERROR(INDEX(DATA_MASTER!$C$2:$C$5000,MATCH($C2823,DATA_MASTER!$D$2:$D$5000,0)),""))</f>
        <v/>
      </c>
      <c r="E2823" s="22">
        <f t="array" ref="E2823">IF($C2823="","",IFERROR(INDEX(DATA_MASTER!$I$2:$I$5000,MATCH($C2823,DATA_MASTER!$D$2:$D$5000,0)),""))</f>
        <v/>
      </c>
      <c r="F2823" s="22">
        <f t="array" ref="F2823">IF($C2823="","",IFERROR(INDEX(DATA_MASTER!$L$2:$L$5000,MATCH($C2823,DATA_MASTER!$D$2:$D$5000,0)),""))</f>
        <v/>
      </c>
      <c r="G2823" s="24" t="n"/>
      <c r="H2823" s="24" t="n"/>
      <c r="I2823" s="30" t="n"/>
      <c r="J2823" s="23">
        <f>IF(OR($H2823="",$I2823=""),"",$H2823*$I2823)</f>
        <v/>
      </c>
      <c r="K2823" s="24" t="n"/>
      <c r="L2823" s="24" t="n"/>
      <c r="M2823" s="29" t="n"/>
      <c r="N2823" s="28" t="n"/>
      <c r="O2823" s="24" t="n"/>
      <c r="P2823" s="24" t="n"/>
      <c r="Q2823" s="24" t="n"/>
      <c r="R2823" s="24" t="n"/>
      <c r="S2823" s="22">
        <f>IF(AND($A2823="",$C2823=""),"",IF($A2823="","Thiếu mã đơn; ","")&amp;IF(COUNTIF($A$2:$A2823,$A2823)&gt;1,"Trùng mã đơn; ","")&amp;IF(ISNA(MATCH($C2823,DATA_MASTER!$D$2:$D$5000,0)),"SĐT chưa đăng ký hội viên; ","")&amp;IF(AND($L2823="Đã chuyển khoản",$M2823=""),"Thiếu ngày nhận CK; ",""))</f>
        <v/>
      </c>
      <c r="T2823" s="24" t="n"/>
    </row>
    <row r="2824" ht="14.25" customHeight="1" s="40">
      <c r="A2824" s="24" t="n"/>
      <c r="B2824" s="29" t="n"/>
      <c r="C2824" s="28" t="n"/>
      <c r="D2824" s="22">
        <f t="array" ref="D2824">IF($C2824="","",IFERROR(INDEX(DATA_MASTER!$C$2:$C$5000,MATCH($C2824,DATA_MASTER!$D$2:$D$5000,0)),""))</f>
        <v/>
      </c>
      <c r="E2824" s="22">
        <f t="array" ref="E2824">IF($C2824="","",IFERROR(INDEX(DATA_MASTER!$I$2:$I$5000,MATCH($C2824,DATA_MASTER!$D$2:$D$5000,0)),""))</f>
        <v/>
      </c>
      <c r="F2824" s="22">
        <f t="array" ref="F2824">IF($C2824="","",IFERROR(INDEX(DATA_MASTER!$L$2:$L$5000,MATCH($C2824,DATA_MASTER!$D$2:$D$5000,0)),""))</f>
        <v/>
      </c>
      <c r="G2824" s="24" t="n"/>
      <c r="H2824" s="24" t="n"/>
      <c r="I2824" s="30" t="n"/>
      <c r="J2824" s="23">
        <f>IF(OR($H2824="",$I2824=""),"",$H2824*$I2824)</f>
        <v/>
      </c>
      <c r="K2824" s="24" t="n"/>
      <c r="L2824" s="24" t="n"/>
      <c r="M2824" s="29" t="n"/>
      <c r="N2824" s="28" t="n"/>
      <c r="O2824" s="24" t="n"/>
      <c r="P2824" s="24" t="n"/>
      <c r="Q2824" s="24" t="n"/>
      <c r="R2824" s="24" t="n"/>
      <c r="S2824" s="22">
        <f>IF(AND($A2824="",$C2824=""),"",IF($A2824="","Thiếu mã đơn; ","")&amp;IF(COUNTIF($A$2:$A2824,$A2824)&gt;1,"Trùng mã đơn; ","")&amp;IF(ISNA(MATCH($C2824,DATA_MASTER!$D$2:$D$5000,0)),"SĐT chưa đăng ký hội viên; ","")&amp;IF(AND($L2824="Đã chuyển khoản",$M2824=""),"Thiếu ngày nhận CK; ",""))</f>
        <v/>
      </c>
      <c r="T2824" s="24" t="n"/>
    </row>
    <row r="2825" ht="14.25" customHeight="1" s="40">
      <c r="A2825" s="24" t="n"/>
      <c r="B2825" s="29" t="n"/>
      <c r="C2825" s="28" t="n"/>
      <c r="D2825" s="22">
        <f t="array" ref="D2825">IF($C2825="","",IFERROR(INDEX(DATA_MASTER!$C$2:$C$5000,MATCH($C2825,DATA_MASTER!$D$2:$D$5000,0)),""))</f>
        <v/>
      </c>
      <c r="E2825" s="22">
        <f t="array" ref="E2825">IF($C2825="","",IFERROR(INDEX(DATA_MASTER!$I$2:$I$5000,MATCH($C2825,DATA_MASTER!$D$2:$D$5000,0)),""))</f>
        <v/>
      </c>
      <c r="F2825" s="22">
        <f t="array" ref="F2825">IF($C2825="","",IFERROR(INDEX(DATA_MASTER!$L$2:$L$5000,MATCH($C2825,DATA_MASTER!$D$2:$D$5000,0)),""))</f>
        <v/>
      </c>
      <c r="G2825" s="24" t="n"/>
      <c r="H2825" s="24" t="n"/>
      <c r="I2825" s="30" t="n"/>
      <c r="J2825" s="23">
        <f>IF(OR($H2825="",$I2825=""),"",$H2825*$I2825)</f>
        <v/>
      </c>
      <c r="K2825" s="24" t="n"/>
      <c r="L2825" s="24" t="n"/>
      <c r="M2825" s="29" t="n"/>
      <c r="N2825" s="28" t="n"/>
      <c r="O2825" s="24" t="n"/>
      <c r="P2825" s="24" t="n"/>
      <c r="Q2825" s="24" t="n"/>
      <c r="R2825" s="24" t="n"/>
      <c r="S2825" s="22">
        <f>IF(AND($A2825="",$C2825=""),"",IF($A2825="","Thiếu mã đơn; ","")&amp;IF(COUNTIF($A$2:$A2825,$A2825)&gt;1,"Trùng mã đơn; ","")&amp;IF(ISNA(MATCH($C2825,DATA_MASTER!$D$2:$D$5000,0)),"SĐT chưa đăng ký hội viên; ","")&amp;IF(AND($L2825="Đã chuyển khoản",$M2825=""),"Thiếu ngày nhận CK; ",""))</f>
        <v/>
      </c>
      <c r="T2825" s="24" t="n"/>
    </row>
    <row r="2826" ht="14.25" customHeight="1" s="40">
      <c r="A2826" s="24" t="n"/>
      <c r="B2826" s="29" t="n"/>
      <c r="C2826" s="28" t="n"/>
      <c r="D2826" s="22">
        <f t="array" ref="D2826">IF($C2826="","",IFERROR(INDEX(DATA_MASTER!$C$2:$C$5000,MATCH($C2826,DATA_MASTER!$D$2:$D$5000,0)),""))</f>
        <v/>
      </c>
      <c r="E2826" s="22">
        <f t="array" ref="E2826">IF($C2826="","",IFERROR(INDEX(DATA_MASTER!$I$2:$I$5000,MATCH($C2826,DATA_MASTER!$D$2:$D$5000,0)),""))</f>
        <v/>
      </c>
      <c r="F2826" s="22">
        <f t="array" ref="F2826">IF($C2826="","",IFERROR(INDEX(DATA_MASTER!$L$2:$L$5000,MATCH($C2826,DATA_MASTER!$D$2:$D$5000,0)),""))</f>
        <v/>
      </c>
      <c r="G2826" s="24" t="n"/>
      <c r="H2826" s="24" t="n"/>
      <c r="I2826" s="30" t="n"/>
      <c r="J2826" s="23">
        <f>IF(OR($H2826="",$I2826=""),"",$H2826*$I2826)</f>
        <v/>
      </c>
      <c r="K2826" s="24" t="n"/>
      <c r="L2826" s="24" t="n"/>
      <c r="M2826" s="29" t="n"/>
      <c r="N2826" s="28" t="n"/>
      <c r="O2826" s="24" t="n"/>
      <c r="P2826" s="24" t="n"/>
      <c r="Q2826" s="24" t="n"/>
      <c r="R2826" s="24" t="n"/>
      <c r="S2826" s="22">
        <f>IF(AND($A2826="",$C2826=""),"",IF($A2826="","Thiếu mã đơn; ","")&amp;IF(COUNTIF($A$2:$A2826,$A2826)&gt;1,"Trùng mã đơn; ","")&amp;IF(ISNA(MATCH($C2826,DATA_MASTER!$D$2:$D$5000,0)),"SĐT chưa đăng ký hội viên; ","")&amp;IF(AND($L2826="Đã chuyển khoản",$M2826=""),"Thiếu ngày nhận CK; ",""))</f>
        <v/>
      </c>
      <c r="T2826" s="24" t="n"/>
    </row>
    <row r="2827" ht="14.25" customHeight="1" s="40">
      <c r="A2827" s="24" t="n"/>
      <c r="B2827" s="29" t="n"/>
      <c r="C2827" s="28" t="n"/>
      <c r="D2827" s="22">
        <f t="array" ref="D2827">IF($C2827="","",IFERROR(INDEX(DATA_MASTER!$C$2:$C$5000,MATCH($C2827,DATA_MASTER!$D$2:$D$5000,0)),""))</f>
        <v/>
      </c>
      <c r="E2827" s="22">
        <f t="array" ref="E2827">IF($C2827="","",IFERROR(INDEX(DATA_MASTER!$I$2:$I$5000,MATCH($C2827,DATA_MASTER!$D$2:$D$5000,0)),""))</f>
        <v/>
      </c>
      <c r="F2827" s="22">
        <f t="array" ref="F2827">IF($C2827="","",IFERROR(INDEX(DATA_MASTER!$L$2:$L$5000,MATCH($C2827,DATA_MASTER!$D$2:$D$5000,0)),""))</f>
        <v/>
      </c>
      <c r="G2827" s="24" t="n"/>
      <c r="H2827" s="24" t="n"/>
      <c r="I2827" s="30" t="n"/>
      <c r="J2827" s="23">
        <f>IF(OR($H2827="",$I2827=""),"",$H2827*$I2827)</f>
        <v/>
      </c>
      <c r="K2827" s="24" t="n"/>
      <c r="L2827" s="24" t="n"/>
      <c r="M2827" s="29" t="n"/>
      <c r="N2827" s="28" t="n"/>
      <c r="O2827" s="24" t="n"/>
      <c r="P2827" s="24" t="n"/>
      <c r="Q2827" s="24" t="n"/>
      <c r="R2827" s="24" t="n"/>
      <c r="S2827" s="22">
        <f>IF(AND($A2827="",$C2827=""),"",IF($A2827="","Thiếu mã đơn; ","")&amp;IF(COUNTIF($A$2:$A2827,$A2827)&gt;1,"Trùng mã đơn; ","")&amp;IF(ISNA(MATCH($C2827,DATA_MASTER!$D$2:$D$5000,0)),"SĐT chưa đăng ký hội viên; ","")&amp;IF(AND($L2827="Đã chuyển khoản",$M2827=""),"Thiếu ngày nhận CK; ",""))</f>
        <v/>
      </c>
      <c r="T2827" s="24" t="n"/>
    </row>
    <row r="2828" ht="14.25" customHeight="1" s="40">
      <c r="A2828" s="24" t="n"/>
      <c r="B2828" s="29" t="n"/>
      <c r="C2828" s="28" t="n"/>
      <c r="D2828" s="22">
        <f t="array" ref="D2828">IF($C2828="","",IFERROR(INDEX(DATA_MASTER!$C$2:$C$5000,MATCH($C2828,DATA_MASTER!$D$2:$D$5000,0)),""))</f>
        <v/>
      </c>
      <c r="E2828" s="22">
        <f t="array" ref="E2828">IF($C2828="","",IFERROR(INDEX(DATA_MASTER!$I$2:$I$5000,MATCH($C2828,DATA_MASTER!$D$2:$D$5000,0)),""))</f>
        <v/>
      </c>
      <c r="F2828" s="22">
        <f t="array" ref="F2828">IF($C2828="","",IFERROR(INDEX(DATA_MASTER!$L$2:$L$5000,MATCH($C2828,DATA_MASTER!$D$2:$D$5000,0)),""))</f>
        <v/>
      </c>
      <c r="G2828" s="24" t="n"/>
      <c r="H2828" s="24" t="n"/>
      <c r="I2828" s="30" t="n"/>
      <c r="J2828" s="23">
        <f>IF(OR($H2828="",$I2828=""),"",$H2828*$I2828)</f>
        <v/>
      </c>
      <c r="K2828" s="24" t="n"/>
      <c r="L2828" s="24" t="n"/>
      <c r="M2828" s="29" t="n"/>
      <c r="N2828" s="28" t="n"/>
      <c r="O2828" s="24" t="n"/>
      <c r="P2828" s="24" t="n"/>
      <c r="Q2828" s="24" t="n"/>
      <c r="R2828" s="24" t="n"/>
      <c r="S2828" s="22">
        <f>IF(AND($A2828="",$C2828=""),"",IF($A2828="","Thiếu mã đơn; ","")&amp;IF(COUNTIF($A$2:$A2828,$A2828)&gt;1,"Trùng mã đơn; ","")&amp;IF(ISNA(MATCH($C2828,DATA_MASTER!$D$2:$D$5000,0)),"SĐT chưa đăng ký hội viên; ","")&amp;IF(AND($L2828="Đã chuyển khoản",$M2828=""),"Thiếu ngày nhận CK; ",""))</f>
        <v/>
      </c>
      <c r="T2828" s="24" t="n"/>
    </row>
    <row r="2829" ht="14.25" customHeight="1" s="40">
      <c r="A2829" s="24" t="n"/>
      <c r="B2829" s="29" t="n"/>
      <c r="C2829" s="28" t="n"/>
      <c r="D2829" s="22">
        <f t="array" ref="D2829">IF($C2829="","",IFERROR(INDEX(DATA_MASTER!$C$2:$C$5000,MATCH($C2829,DATA_MASTER!$D$2:$D$5000,0)),""))</f>
        <v/>
      </c>
      <c r="E2829" s="22">
        <f t="array" ref="E2829">IF($C2829="","",IFERROR(INDEX(DATA_MASTER!$I$2:$I$5000,MATCH($C2829,DATA_MASTER!$D$2:$D$5000,0)),""))</f>
        <v/>
      </c>
      <c r="F2829" s="22">
        <f t="array" ref="F2829">IF($C2829="","",IFERROR(INDEX(DATA_MASTER!$L$2:$L$5000,MATCH($C2829,DATA_MASTER!$D$2:$D$5000,0)),""))</f>
        <v/>
      </c>
      <c r="G2829" s="24" t="n"/>
      <c r="H2829" s="24" t="n"/>
      <c r="I2829" s="30" t="n"/>
      <c r="J2829" s="23">
        <f>IF(OR($H2829="",$I2829=""),"",$H2829*$I2829)</f>
        <v/>
      </c>
      <c r="K2829" s="24" t="n"/>
      <c r="L2829" s="24" t="n"/>
      <c r="M2829" s="29" t="n"/>
      <c r="N2829" s="28" t="n"/>
      <c r="O2829" s="24" t="n"/>
      <c r="P2829" s="24" t="n"/>
      <c r="Q2829" s="24" t="n"/>
      <c r="R2829" s="24" t="n"/>
      <c r="S2829" s="22">
        <f>IF(AND($A2829="",$C2829=""),"",IF($A2829="","Thiếu mã đơn; ","")&amp;IF(COUNTIF($A$2:$A2829,$A2829)&gt;1,"Trùng mã đơn; ","")&amp;IF(ISNA(MATCH($C2829,DATA_MASTER!$D$2:$D$5000,0)),"SĐT chưa đăng ký hội viên; ","")&amp;IF(AND($L2829="Đã chuyển khoản",$M2829=""),"Thiếu ngày nhận CK; ",""))</f>
        <v/>
      </c>
      <c r="T2829" s="24" t="n"/>
    </row>
    <row r="2830" ht="14.25" customHeight="1" s="40">
      <c r="A2830" s="24" t="n"/>
      <c r="B2830" s="29" t="n"/>
      <c r="C2830" s="28" t="n"/>
      <c r="D2830" s="22">
        <f t="array" ref="D2830">IF($C2830="","",IFERROR(INDEX(DATA_MASTER!$C$2:$C$5000,MATCH($C2830,DATA_MASTER!$D$2:$D$5000,0)),""))</f>
        <v/>
      </c>
      <c r="E2830" s="22">
        <f t="array" ref="E2830">IF($C2830="","",IFERROR(INDEX(DATA_MASTER!$I$2:$I$5000,MATCH($C2830,DATA_MASTER!$D$2:$D$5000,0)),""))</f>
        <v/>
      </c>
      <c r="F2830" s="22">
        <f t="array" ref="F2830">IF($C2830="","",IFERROR(INDEX(DATA_MASTER!$L$2:$L$5000,MATCH($C2830,DATA_MASTER!$D$2:$D$5000,0)),""))</f>
        <v/>
      </c>
      <c r="G2830" s="24" t="n"/>
      <c r="H2830" s="24" t="n"/>
      <c r="I2830" s="30" t="n"/>
      <c r="J2830" s="23">
        <f>IF(OR($H2830="",$I2830=""),"",$H2830*$I2830)</f>
        <v/>
      </c>
      <c r="K2830" s="24" t="n"/>
      <c r="L2830" s="24" t="n"/>
      <c r="M2830" s="29" t="n"/>
      <c r="N2830" s="28" t="n"/>
      <c r="O2830" s="24" t="n"/>
      <c r="P2830" s="24" t="n"/>
      <c r="Q2830" s="24" t="n"/>
      <c r="R2830" s="24" t="n"/>
      <c r="S2830" s="22">
        <f>IF(AND($A2830="",$C2830=""),"",IF($A2830="","Thiếu mã đơn; ","")&amp;IF(COUNTIF($A$2:$A2830,$A2830)&gt;1,"Trùng mã đơn; ","")&amp;IF(ISNA(MATCH($C2830,DATA_MASTER!$D$2:$D$5000,0)),"SĐT chưa đăng ký hội viên; ","")&amp;IF(AND($L2830="Đã chuyển khoản",$M2830=""),"Thiếu ngày nhận CK; ",""))</f>
        <v/>
      </c>
      <c r="T2830" s="24" t="n"/>
    </row>
    <row r="2831" ht="14.25" customHeight="1" s="40">
      <c r="A2831" s="24" t="n"/>
      <c r="B2831" s="29" t="n"/>
      <c r="C2831" s="28" t="n"/>
      <c r="D2831" s="22">
        <f t="array" ref="D2831">IF($C2831="","",IFERROR(INDEX(DATA_MASTER!$C$2:$C$5000,MATCH($C2831,DATA_MASTER!$D$2:$D$5000,0)),""))</f>
        <v/>
      </c>
      <c r="E2831" s="22">
        <f t="array" ref="E2831">IF($C2831="","",IFERROR(INDEX(DATA_MASTER!$I$2:$I$5000,MATCH($C2831,DATA_MASTER!$D$2:$D$5000,0)),""))</f>
        <v/>
      </c>
      <c r="F2831" s="22">
        <f t="array" ref="F2831">IF($C2831="","",IFERROR(INDEX(DATA_MASTER!$L$2:$L$5000,MATCH($C2831,DATA_MASTER!$D$2:$D$5000,0)),""))</f>
        <v/>
      </c>
      <c r="G2831" s="24" t="n"/>
      <c r="H2831" s="24" t="n"/>
      <c r="I2831" s="30" t="n"/>
      <c r="J2831" s="23">
        <f>IF(OR($H2831="",$I2831=""),"",$H2831*$I2831)</f>
        <v/>
      </c>
      <c r="K2831" s="24" t="n"/>
      <c r="L2831" s="24" t="n"/>
      <c r="M2831" s="29" t="n"/>
      <c r="N2831" s="28" t="n"/>
      <c r="O2831" s="24" t="n"/>
      <c r="P2831" s="24" t="n"/>
      <c r="Q2831" s="24" t="n"/>
      <c r="R2831" s="24" t="n"/>
      <c r="S2831" s="22">
        <f>IF(AND($A2831="",$C2831=""),"",IF($A2831="","Thiếu mã đơn; ","")&amp;IF(COUNTIF($A$2:$A2831,$A2831)&gt;1,"Trùng mã đơn; ","")&amp;IF(ISNA(MATCH($C2831,DATA_MASTER!$D$2:$D$5000,0)),"SĐT chưa đăng ký hội viên; ","")&amp;IF(AND($L2831="Đã chuyển khoản",$M2831=""),"Thiếu ngày nhận CK; ",""))</f>
        <v/>
      </c>
      <c r="T2831" s="24" t="n"/>
    </row>
    <row r="2832" ht="14.25" customHeight="1" s="40">
      <c r="A2832" s="24" t="n"/>
      <c r="B2832" s="29" t="n"/>
      <c r="C2832" s="28" t="n"/>
      <c r="D2832" s="22">
        <f t="array" ref="D2832">IF($C2832="","",IFERROR(INDEX(DATA_MASTER!$C$2:$C$5000,MATCH($C2832,DATA_MASTER!$D$2:$D$5000,0)),""))</f>
        <v/>
      </c>
      <c r="E2832" s="22">
        <f t="array" ref="E2832">IF($C2832="","",IFERROR(INDEX(DATA_MASTER!$I$2:$I$5000,MATCH($C2832,DATA_MASTER!$D$2:$D$5000,0)),""))</f>
        <v/>
      </c>
      <c r="F2832" s="22">
        <f t="array" ref="F2832">IF($C2832="","",IFERROR(INDEX(DATA_MASTER!$L$2:$L$5000,MATCH($C2832,DATA_MASTER!$D$2:$D$5000,0)),""))</f>
        <v/>
      </c>
      <c r="G2832" s="24" t="n"/>
      <c r="H2832" s="24" t="n"/>
      <c r="I2832" s="30" t="n"/>
      <c r="J2832" s="23">
        <f>IF(OR($H2832="",$I2832=""),"",$H2832*$I2832)</f>
        <v/>
      </c>
      <c r="K2832" s="24" t="n"/>
      <c r="L2832" s="24" t="n"/>
      <c r="M2832" s="29" t="n"/>
      <c r="N2832" s="28" t="n"/>
      <c r="O2832" s="24" t="n"/>
      <c r="P2832" s="24" t="n"/>
      <c r="Q2832" s="24" t="n"/>
      <c r="R2832" s="24" t="n"/>
      <c r="S2832" s="22">
        <f>IF(AND($A2832="",$C2832=""),"",IF($A2832="","Thiếu mã đơn; ","")&amp;IF(COUNTIF($A$2:$A2832,$A2832)&gt;1,"Trùng mã đơn; ","")&amp;IF(ISNA(MATCH($C2832,DATA_MASTER!$D$2:$D$5000,0)),"SĐT chưa đăng ký hội viên; ","")&amp;IF(AND($L2832="Đã chuyển khoản",$M2832=""),"Thiếu ngày nhận CK; ",""))</f>
        <v/>
      </c>
      <c r="T2832" s="24" t="n"/>
    </row>
    <row r="2833" ht="14.25" customHeight="1" s="40">
      <c r="A2833" s="24" t="n"/>
      <c r="B2833" s="29" t="n"/>
      <c r="C2833" s="28" t="n"/>
      <c r="D2833" s="22">
        <f t="array" ref="D2833">IF($C2833="","",IFERROR(INDEX(DATA_MASTER!$C$2:$C$5000,MATCH($C2833,DATA_MASTER!$D$2:$D$5000,0)),""))</f>
        <v/>
      </c>
      <c r="E2833" s="22">
        <f t="array" ref="E2833">IF($C2833="","",IFERROR(INDEX(DATA_MASTER!$I$2:$I$5000,MATCH($C2833,DATA_MASTER!$D$2:$D$5000,0)),""))</f>
        <v/>
      </c>
      <c r="F2833" s="22">
        <f t="array" ref="F2833">IF($C2833="","",IFERROR(INDEX(DATA_MASTER!$L$2:$L$5000,MATCH($C2833,DATA_MASTER!$D$2:$D$5000,0)),""))</f>
        <v/>
      </c>
      <c r="G2833" s="24" t="n"/>
      <c r="H2833" s="24" t="n"/>
      <c r="I2833" s="30" t="n"/>
      <c r="J2833" s="23">
        <f>IF(OR($H2833="",$I2833=""),"",$H2833*$I2833)</f>
        <v/>
      </c>
      <c r="K2833" s="24" t="n"/>
      <c r="L2833" s="24" t="n"/>
      <c r="M2833" s="29" t="n"/>
      <c r="N2833" s="28" t="n"/>
      <c r="O2833" s="24" t="n"/>
      <c r="P2833" s="24" t="n"/>
      <c r="Q2833" s="24" t="n"/>
      <c r="R2833" s="24" t="n"/>
      <c r="S2833" s="22">
        <f>IF(AND($A2833="",$C2833=""),"",IF($A2833="","Thiếu mã đơn; ","")&amp;IF(COUNTIF($A$2:$A2833,$A2833)&gt;1,"Trùng mã đơn; ","")&amp;IF(ISNA(MATCH($C2833,DATA_MASTER!$D$2:$D$5000,0)),"SĐT chưa đăng ký hội viên; ","")&amp;IF(AND($L2833="Đã chuyển khoản",$M2833=""),"Thiếu ngày nhận CK; ",""))</f>
        <v/>
      </c>
      <c r="T2833" s="24" t="n"/>
    </row>
    <row r="2834" ht="14.25" customHeight="1" s="40">
      <c r="A2834" s="24" t="n"/>
      <c r="B2834" s="29" t="n"/>
      <c r="C2834" s="28" t="n"/>
      <c r="D2834" s="22">
        <f t="array" ref="D2834">IF($C2834="","",IFERROR(INDEX(DATA_MASTER!$C$2:$C$5000,MATCH($C2834,DATA_MASTER!$D$2:$D$5000,0)),""))</f>
        <v/>
      </c>
      <c r="E2834" s="22">
        <f t="array" ref="E2834">IF($C2834="","",IFERROR(INDEX(DATA_MASTER!$I$2:$I$5000,MATCH($C2834,DATA_MASTER!$D$2:$D$5000,0)),""))</f>
        <v/>
      </c>
      <c r="F2834" s="22">
        <f t="array" ref="F2834">IF($C2834="","",IFERROR(INDEX(DATA_MASTER!$L$2:$L$5000,MATCH($C2834,DATA_MASTER!$D$2:$D$5000,0)),""))</f>
        <v/>
      </c>
      <c r="G2834" s="24" t="n"/>
      <c r="H2834" s="24" t="n"/>
      <c r="I2834" s="30" t="n"/>
      <c r="J2834" s="23">
        <f>IF(OR($H2834="",$I2834=""),"",$H2834*$I2834)</f>
        <v/>
      </c>
      <c r="K2834" s="24" t="n"/>
      <c r="L2834" s="24" t="n"/>
      <c r="M2834" s="29" t="n"/>
      <c r="N2834" s="28" t="n"/>
      <c r="O2834" s="24" t="n"/>
      <c r="P2834" s="24" t="n"/>
      <c r="Q2834" s="24" t="n"/>
      <c r="R2834" s="24" t="n"/>
      <c r="S2834" s="22">
        <f>IF(AND($A2834="",$C2834=""),"",IF($A2834="","Thiếu mã đơn; ","")&amp;IF(COUNTIF($A$2:$A2834,$A2834)&gt;1,"Trùng mã đơn; ","")&amp;IF(ISNA(MATCH($C2834,DATA_MASTER!$D$2:$D$5000,0)),"SĐT chưa đăng ký hội viên; ","")&amp;IF(AND($L2834="Đã chuyển khoản",$M2834=""),"Thiếu ngày nhận CK; ",""))</f>
        <v/>
      </c>
      <c r="T2834" s="24" t="n"/>
    </row>
    <row r="2835" ht="14.25" customHeight="1" s="40">
      <c r="A2835" s="24" t="n"/>
      <c r="B2835" s="29" t="n"/>
      <c r="C2835" s="28" t="n"/>
      <c r="D2835" s="22">
        <f t="array" ref="D2835">IF($C2835="","",IFERROR(INDEX(DATA_MASTER!$C$2:$C$5000,MATCH($C2835,DATA_MASTER!$D$2:$D$5000,0)),""))</f>
        <v/>
      </c>
      <c r="E2835" s="22">
        <f t="array" ref="E2835">IF($C2835="","",IFERROR(INDEX(DATA_MASTER!$I$2:$I$5000,MATCH($C2835,DATA_MASTER!$D$2:$D$5000,0)),""))</f>
        <v/>
      </c>
      <c r="F2835" s="22">
        <f t="array" ref="F2835">IF($C2835="","",IFERROR(INDEX(DATA_MASTER!$L$2:$L$5000,MATCH($C2835,DATA_MASTER!$D$2:$D$5000,0)),""))</f>
        <v/>
      </c>
      <c r="G2835" s="24" t="n"/>
      <c r="H2835" s="24" t="n"/>
      <c r="I2835" s="30" t="n"/>
      <c r="J2835" s="23">
        <f>IF(OR($H2835="",$I2835=""),"",$H2835*$I2835)</f>
        <v/>
      </c>
      <c r="K2835" s="24" t="n"/>
      <c r="L2835" s="24" t="n"/>
      <c r="M2835" s="29" t="n"/>
      <c r="N2835" s="28" t="n"/>
      <c r="O2835" s="24" t="n"/>
      <c r="P2835" s="24" t="n"/>
      <c r="Q2835" s="24" t="n"/>
      <c r="R2835" s="24" t="n"/>
      <c r="S2835" s="22">
        <f>IF(AND($A2835="",$C2835=""),"",IF($A2835="","Thiếu mã đơn; ","")&amp;IF(COUNTIF($A$2:$A2835,$A2835)&gt;1,"Trùng mã đơn; ","")&amp;IF(ISNA(MATCH($C2835,DATA_MASTER!$D$2:$D$5000,0)),"SĐT chưa đăng ký hội viên; ","")&amp;IF(AND($L2835="Đã chuyển khoản",$M2835=""),"Thiếu ngày nhận CK; ",""))</f>
        <v/>
      </c>
      <c r="T2835" s="24" t="n"/>
    </row>
    <row r="2836" ht="14.25" customHeight="1" s="40">
      <c r="A2836" s="24" t="n"/>
      <c r="B2836" s="29" t="n"/>
      <c r="C2836" s="28" t="n"/>
      <c r="D2836" s="22">
        <f t="array" ref="D2836">IF($C2836="","",IFERROR(INDEX(DATA_MASTER!$C$2:$C$5000,MATCH($C2836,DATA_MASTER!$D$2:$D$5000,0)),""))</f>
        <v/>
      </c>
      <c r="E2836" s="22">
        <f t="array" ref="E2836">IF($C2836="","",IFERROR(INDEX(DATA_MASTER!$I$2:$I$5000,MATCH($C2836,DATA_MASTER!$D$2:$D$5000,0)),""))</f>
        <v/>
      </c>
      <c r="F2836" s="22">
        <f t="array" ref="F2836">IF($C2836="","",IFERROR(INDEX(DATA_MASTER!$L$2:$L$5000,MATCH($C2836,DATA_MASTER!$D$2:$D$5000,0)),""))</f>
        <v/>
      </c>
      <c r="G2836" s="24" t="n"/>
      <c r="H2836" s="24" t="n"/>
      <c r="I2836" s="30" t="n"/>
      <c r="J2836" s="23">
        <f>IF(OR($H2836="",$I2836=""),"",$H2836*$I2836)</f>
        <v/>
      </c>
      <c r="K2836" s="24" t="n"/>
      <c r="L2836" s="24" t="n"/>
      <c r="M2836" s="29" t="n"/>
      <c r="N2836" s="28" t="n"/>
      <c r="O2836" s="24" t="n"/>
      <c r="P2836" s="24" t="n"/>
      <c r="Q2836" s="24" t="n"/>
      <c r="R2836" s="24" t="n"/>
      <c r="S2836" s="22">
        <f>IF(AND($A2836="",$C2836=""),"",IF($A2836="","Thiếu mã đơn; ","")&amp;IF(COUNTIF($A$2:$A2836,$A2836)&gt;1,"Trùng mã đơn; ","")&amp;IF(ISNA(MATCH($C2836,DATA_MASTER!$D$2:$D$5000,0)),"SĐT chưa đăng ký hội viên; ","")&amp;IF(AND($L2836="Đã chuyển khoản",$M2836=""),"Thiếu ngày nhận CK; ",""))</f>
        <v/>
      </c>
      <c r="T2836" s="24" t="n"/>
    </row>
    <row r="2837" ht="14.25" customHeight="1" s="40">
      <c r="A2837" s="24" t="n"/>
      <c r="B2837" s="29" t="n"/>
      <c r="C2837" s="28" t="n"/>
      <c r="D2837" s="22">
        <f t="array" ref="D2837">IF($C2837="","",IFERROR(INDEX(DATA_MASTER!$C$2:$C$5000,MATCH($C2837,DATA_MASTER!$D$2:$D$5000,0)),""))</f>
        <v/>
      </c>
      <c r="E2837" s="22">
        <f t="array" ref="E2837">IF($C2837="","",IFERROR(INDEX(DATA_MASTER!$I$2:$I$5000,MATCH($C2837,DATA_MASTER!$D$2:$D$5000,0)),""))</f>
        <v/>
      </c>
      <c r="F2837" s="22">
        <f t="array" ref="F2837">IF($C2837="","",IFERROR(INDEX(DATA_MASTER!$L$2:$L$5000,MATCH($C2837,DATA_MASTER!$D$2:$D$5000,0)),""))</f>
        <v/>
      </c>
      <c r="G2837" s="24" t="n"/>
      <c r="H2837" s="24" t="n"/>
      <c r="I2837" s="30" t="n"/>
      <c r="J2837" s="23">
        <f>IF(OR($H2837="",$I2837=""),"",$H2837*$I2837)</f>
        <v/>
      </c>
      <c r="K2837" s="24" t="n"/>
      <c r="L2837" s="24" t="n"/>
      <c r="M2837" s="29" t="n"/>
      <c r="N2837" s="28" t="n"/>
      <c r="O2837" s="24" t="n"/>
      <c r="P2837" s="24" t="n"/>
      <c r="Q2837" s="24" t="n"/>
      <c r="R2837" s="24" t="n"/>
      <c r="S2837" s="22">
        <f>IF(AND($A2837="",$C2837=""),"",IF($A2837="","Thiếu mã đơn; ","")&amp;IF(COUNTIF($A$2:$A2837,$A2837)&gt;1,"Trùng mã đơn; ","")&amp;IF(ISNA(MATCH($C2837,DATA_MASTER!$D$2:$D$5000,0)),"SĐT chưa đăng ký hội viên; ","")&amp;IF(AND($L2837="Đã chuyển khoản",$M2837=""),"Thiếu ngày nhận CK; ",""))</f>
        <v/>
      </c>
      <c r="T2837" s="24" t="n"/>
    </row>
    <row r="2838" ht="14.25" customHeight="1" s="40">
      <c r="A2838" s="24" t="n"/>
      <c r="B2838" s="29" t="n"/>
      <c r="C2838" s="28" t="n"/>
      <c r="D2838" s="22">
        <f t="array" ref="D2838">IF($C2838="","",IFERROR(INDEX(DATA_MASTER!$C$2:$C$5000,MATCH($C2838,DATA_MASTER!$D$2:$D$5000,0)),""))</f>
        <v/>
      </c>
      <c r="E2838" s="22">
        <f t="array" ref="E2838">IF($C2838="","",IFERROR(INDEX(DATA_MASTER!$I$2:$I$5000,MATCH($C2838,DATA_MASTER!$D$2:$D$5000,0)),""))</f>
        <v/>
      </c>
      <c r="F2838" s="22">
        <f t="array" ref="F2838">IF($C2838="","",IFERROR(INDEX(DATA_MASTER!$L$2:$L$5000,MATCH($C2838,DATA_MASTER!$D$2:$D$5000,0)),""))</f>
        <v/>
      </c>
      <c r="G2838" s="24" t="n"/>
      <c r="H2838" s="24" t="n"/>
      <c r="I2838" s="30" t="n"/>
      <c r="J2838" s="23">
        <f>IF(OR($H2838="",$I2838=""),"",$H2838*$I2838)</f>
        <v/>
      </c>
      <c r="K2838" s="24" t="n"/>
      <c r="L2838" s="24" t="n"/>
      <c r="M2838" s="29" t="n"/>
      <c r="N2838" s="28" t="n"/>
      <c r="O2838" s="24" t="n"/>
      <c r="P2838" s="24" t="n"/>
      <c r="Q2838" s="24" t="n"/>
      <c r="R2838" s="24" t="n"/>
      <c r="S2838" s="22">
        <f>IF(AND($A2838="",$C2838=""),"",IF($A2838="","Thiếu mã đơn; ","")&amp;IF(COUNTIF($A$2:$A2838,$A2838)&gt;1,"Trùng mã đơn; ","")&amp;IF(ISNA(MATCH($C2838,DATA_MASTER!$D$2:$D$5000,0)),"SĐT chưa đăng ký hội viên; ","")&amp;IF(AND($L2838="Đã chuyển khoản",$M2838=""),"Thiếu ngày nhận CK; ",""))</f>
        <v/>
      </c>
      <c r="T2838" s="24" t="n"/>
    </row>
    <row r="2839" ht="14.25" customHeight="1" s="40">
      <c r="A2839" s="24" t="n"/>
      <c r="B2839" s="29" t="n"/>
      <c r="C2839" s="28" t="n"/>
      <c r="D2839" s="22">
        <f t="array" ref="D2839">IF($C2839="","",IFERROR(INDEX(DATA_MASTER!$C$2:$C$5000,MATCH($C2839,DATA_MASTER!$D$2:$D$5000,0)),""))</f>
        <v/>
      </c>
      <c r="E2839" s="22">
        <f t="array" ref="E2839">IF($C2839="","",IFERROR(INDEX(DATA_MASTER!$I$2:$I$5000,MATCH($C2839,DATA_MASTER!$D$2:$D$5000,0)),""))</f>
        <v/>
      </c>
      <c r="F2839" s="22">
        <f t="array" ref="F2839">IF($C2839="","",IFERROR(INDEX(DATA_MASTER!$L$2:$L$5000,MATCH($C2839,DATA_MASTER!$D$2:$D$5000,0)),""))</f>
        <v/>
      </c>
      <c r="G2839" s="24" t="n"/>
      <c r="H2839" s="24" t="n"/>
      <c r="I2839" s="30" t="n"/>
      <c r="J2839" s="23">
        <f>IF(OR($H2839="",$I2839=""),"",$H2839*$I2839)</f>
        <v/>
      </c>
      <c r="K2839" s="24" t="n"/>
      <c r="L2839" s="24" t="n"/>
      <c r="M2839" s="29" t="n"/>
      <c r="N2839" s="28" t="n"/>
      <c r="O2839" s="24" t="n"/>
      <c r="P2839" s="24" t="n"/>
      <c r="Q2839" s="24" t="n"/>
      <c r="R2839" s="24" t="n"/>
      <c r="S2839" s="22">
        <f>IF(AND($A2839="",$C2839=""),"",IF($A2839="","Thiếu mã đơn; ","")&amp;IF(COUNTIF($A$2:$A2839,$A2839)&gt;1,"Trùng mã đơn; ","")&amp;IF(ISNA(MATCH($C2839,DATA_MASTER!$D$2:$D$5000,0)),"SĐT chưa đăng ký hội viên; ","")&amp;IF(AND($L2839="Đã chuyển khoản",$M2839=""),"Thiếu ngày nhận CK; ",""))</f>
        <v/>
      </c>
      <c r="T2839" s="24" t="n"/>
    </row>
    <row r="2840" ht="14.25" customHeight="1" s="40">
      <c r="A2840" s="24" t="n"/>
      <c r="B2840" s="29" t="n"/>
      <c r="C2840" s="28" t="n"/>
      <c r="D2840" s="22">
        <f t="array" ref="D2840">IF($C2840="","",IFERROR(INDEX(DATA_MASTER!$C$2:$C$5000,MATCH($C2840,DATA_MASTER!$D$2:$D$5000,0)),""))</f>
        <v/>
      </c>
      <c r="E2840" s="22">
        <f t="array" ref="E2840">IF($C2840="","",IFERROR(INDEX(DATA_MASTER!$I$2:$I$5000,MATCH($C2840,DATA_MASTER!$D$2:$D$5000,0)),""))</f>
        <v/>
      </c>
      <c r="F2840" s="22">
        <f t="array" ref="F2840">IF($C2840="","",IFERROR(INDEX(DATA_MASTER!$L$2:$L$5000,MATCH($C2840,DATA_MASTER!$D$2:$D$5000,0)),""))</f>
        <v/>
      </c>
      <c r="G2840" s="24" t="n"/>
      <c r="H2840" s="24" t="n"/>
      <c r="I2840" s="30" t="n"/>
      <c r="J2840" s="23">
        <f>IF(OR($H2840="",$I2840=""),"",$H2840*$I2840)</f>
        <v/>
      </c>
      <c r="K2840" s="24" t="n"/>
      <c r="L2840" s="24" t="n"/>
      <c r="M2840" s="29" t="n"/>
      <c r="N2840" s="28" t="n"/>
      <c r="O2840" s="24" t="n"/>
      <c r="P2840" s="24" t="n"/>
      <c r="Q2840" s="24" t="n"/>
      <c r="R2840" s="24" t="n"/>
      <c r="S2840" s="22">
        <f>IF(AND($A2840="",$C2840=""),"",IF($A2840="","Thiếu mã đơn; ","")&amp;IF(COUNTIF($A$2:$A2840,$A2840)&gt;1,"Trùng mã đơn; ","")&amp;IF(ISNA(MATCH($C2840,DATA_MASTER!$D$2:$D$5000,0)),"SĐT chưa đăng ký hội viên; ","")&amp;IF(AND($L2840="Đã chuyển khoản",$M2840=""),"Thiếu ngày nhận CK; ",""))</f>
        <v/>
      </c>
      <c r="T2840" s="24" t="n"/>
    </row>
    <row r="2841" ht="14.25" customHeight="1" s="40">
      <c r="A2841" s="24" t="n"/>
      <c r="B2841" s="29" t="n"/>
      <c r="C2841" s="28" t="n"/>
      <c r="D2841" s="22">
        <f t="array" ref="D2841">IF($C2841="","",IFERROR(INDEX(DATA_MASTER!$C$2:$C$5000,MATCH($C2841,DATA_MASTER!$D$2:$D$5000,0)),""))</f>
        <v/>
      </c>
      <c r="E2841" s="22">
        <f t="array" ref="E2841">IF($C2841="","",IFERROR(INDEX(DATA_MASTER!$I$2:$I$5000,MATCH($C2841,DATA_MASTER!$D$2:$D$5000,0)),""))</f>
        <v/>
      </c>
      <c r="F2841" s="22">
        <f t="array" ref="F2841">IF($C2841="","",IFERROR(INDEX(DATA_MASTER!$L$2:$L$5000,MATCH($C2841,DATA_MASTER!$D$2:$D$5000,0)),""))</f>
        <v/>
      </c>
      <c r="G2841" s="24" t="n"/>
      <c r="H2841" s="24" t="n"/>
      <c r="I2841" s="30" t="n"/>
      <c r="J2841" s="23">
        <f>IF(OR($H2841="",$I2841=""),"",$H2841*$I2841)</f>
        <v/>
      </c>
      <c r="K2841" s="24" t="n"/>
      <c r="L2841" s="24" t="n"/>
      <c r="M2841" s="29" t="n"/>
      <c r="N2841" s="28" t="n"/>
      <c r="O2841" s="24" t="n"/>
      <c r="P2841" s="24" t="n"/>
      <c r="Q2841" s="24" t="n"/>
      <c r="R2841" s="24" t="n"/>
      <c r="S2841" s="22">
        <f>IF(AND($A2841="",$C2841=""),"",IF($A2841="","Thiếu mã đơn; ","")&amp;IF(COUNTIF($A$2:$A2841,$A2841)&gt;1,"Trùng mã đơn; ","")&amp;IF(ISNA(MATCH($C2841,DATA_MASTER!$D$2:$D$5000,0)),"SĐT chưa đăng ký hội viên; ","")&amp;IF(AND($L2841="Đã chuyển khoản",$M2841=""),"Thiếu ngày nhận CK; ",""))</f>
        <v/>
      </c>
      <c r="T2841" s="24" t="n"/>
    </row>
    <row r="2842" ht="14.25" customHeight="1" s="40">
      <c r="A2842" s="24" t="n"/>
      <c r="B2842" s="29" t="n"/>
      <c r="C2842" s="28" t="n"/>
      <c r="D2842" s="22">
        <f t="array" ref="D2842">IF($C2842="","",IFERROR(INDEX(DATA_MASTER!$C$2:$C$5000,MATCH($C2842,DATA_MASTER!$D$2:$D$5000,0)),""))</f>
        <v/>
      </c>
      <c r="E2842" s="22">
        <f t="array" ref="E2842">IF($C2842="","",IFERROR(INDEX(DATA_MASTER!$I$2:$I$5000,MATCH($C2842,DATA_MASTER!$D$2:$D$5000,0)),""))</f>
        <v/>
      </c>
      <c r="F2842" s="22">
        <f t="array" ref="F2842">IF($C2842="","",IFERROR(INDEX(DATA_MASTER!$L$2:$L$5000,MATCH($C2842,DATA_MASTER!$D$2:$D$5000,0)),""))</f>
        <v/>
      </c>
      <c r="G2842" s="24" t="n"/>
      <c r="H2842" s="24" t="n"/>
      <c r="I2842" s="30" t="n"/>
      <c r="J2842" s="23">
        <f>IF(OR($H2842="",$I2842=""),"",$H2842*$I2842)</f>
        <v/>
      </c>
      <c r="K2842" s="24" t="n"/>
      <c r="L2842" s="24" t="n"/>
      <c r="M2842" s="29" t="n"/>
      <c r="N2842" s="28" t="n"/>
      <c r="O2842" s="24" t="n"/>
      <c r="P2842" s="24" t="n"/>
      <c r="Q2842" s="24" t="n"/>
      <c r="R2842" s="24" t="n"/>
      <c r="S2842" s="22">
        <f>IF(AND($A2842="",$C2842=""),"",IF($A2842="","Thiếu mã đơn; ","")&amp;IF(COUNTIF($A$2:$A2842,$A2842)&gt;1,"Trùng mã đơn; ","")&amp;IF(ISNA(MATCH($C2842,DATA_MASTER!$D$2:$D$5000,0)),"SĐT chưa đăng ký hội viên; ","")&amp;IF(AND($L2842="Đã chuyển khoản",$M2842=""),"Thiếu ngày nhận CK; ",""))</f>
        <v/>
      </c>
      <c r="T2842" s="24" t="n"/>
    </row>
    <row r="2843" ht="14.25" customHeight="1" s="40">
      <c r="A2843" s="24" t="n"/>
      <c r="B2843" s="29" t="n"/>
      <c r="C2843" s="28" t="n"/>
      <c r="D2843" s="22">
        <f t="array" ref="D2843">IF($C2843="","",IFERROR(INDEX(DATA_MASTER!$C$2:$C$5000,MATCH($C2843,DATA_MASTER!$D$2:$D$5000,0)),""))</f>
        <v/>
      </c>
      <c r="E2843" s="22">
        <f t="array" ref="E2843">IF($C2843="","",IFERROR(INDEX(DATA_MASTER!$I$2:$I$5000,MATCH($C2843,DATA_MASTER!$D$2:$D$5000,0)),""))</f>
        <v/>
      </c>
      <c r="F2843" s="22">
        <f t="array" ref="F2843">IF($C2843="","",IFERROR(INDEX(DATA_MASTER!$L$2:$L$5000,MATCH($C2843,DATA_MASTER!$D$2:$D$5000,0)),""))</f>
        <v/>
      </c>
      <c r="G2843" s="24" t="n"/>
      <c r="H2843" s="24" t="n"/>
      <c r="I2843" s="30" t="n"/>
      <c r="J2843" s="23">
        <f>IF(OR($H2843="",$I2843=""),"",$H2843*$I2843)</f>
        <v/>
      </c>
      <c r="K2843" s="24" t="n"/>
      <c r="L2843" s="24" t="n"/>
      <c r="M2843" s="29" t="n"/>
      <c r="N2843" s="28" t="n"/>
      <c r="O2843" s="24" t="n"/>
      <c r="P2843" s="24" t="n"/>
      <c r="Q2843" s="24" t="n"/>
      <c r="R2843" s="24" t="n"/>
      <c r="S2843" s="22">
        <f>IF(AND($A2843="",$C2843=""),"",IF($A2843="","Thiếu mã đơn; ","")&amp;IF(COUNTIF($A$2:$A2843,$A2843)&gt;1,"Trùng mã đơn; ","")&amp;IF(ISNA(MATCH($C2843,DATA_MASTER!$D$2:$D$5000,0)),"SĐT chưa đăng ký hội viên; ","")&amp;IF(AND($L2843="Đã chuyển khoản",$M2843=""),"Thiếu ngày nhận CK; ",""))</f>
        <v/>
      </c>
      <c r="T2843" s="24" t="n"/>
    </row>
    <row r="2844" ht="14.25" customHeight="1" s="40">
      <c r="A2844" s="24" t="n"/>
      <c r="B2844" s="29" t="n"/>
      <c r="C2844" s="28" t="n"/>
      <c r="D2844" s="22">
        <f t="array" ref="D2844">IF($C2844="","",IFERROR(INDEX(DATA_MASTER!$C$2:$C$5000,MATCH($C2844,DATA_MASTER!$D$2:$D$5000,0)),""))</f>
        <v/>
      </c>
      <c r="E2844" s="22">
        <f t="array" ref="E2844">IF($C2844="","",IFERROR(INDEX(DATA_MASTER!$I$2:$I$5000,MATCH($C2844,DATA_MASTER!$D$2:$D$5000,0)),""))</f>
        <v/>
      </c>
      <c r="F2844" s="22">
        <f t="array" ref="F2844">IF($C2844="","",IFERROR(INDEX(DATA_MASTER!$L$2:$L$5000,MATCH($C2844,DATA_MASTER!$D$2:$D$5000,0)),""))</f>
        <v/>
      </c>
      <c r="G2844" s="24" t="n"/>
      <c r="H2844" s="24" t="n"/>
      <c r="I2844" s="30" t="n"/>
      <c r="J2844" s="23">
        <f>IF(OR($H2844="",$I2844=""),"",$H2844*$I2844)</f>
        <v/>
      </c>
      <c r="K2844" s="24" t="n"/>
      <c r="L2844" s="24" t="n"/>
      <c r="M2844" s="29" t="n"/>
      <c r="N2844" s="28" t="n"/>
      <c r="O2844" s="24" t="n"/>
      <c r="P2844" s="24" t="n"/>
      <c r="Q2844" s="24" t="n"/>
      <c r="R2844" s="24" t="n"/>
      <c r="S2844" s="22">
        <f>IF(AND($A2844="",$C2844=""),"",IF($A2844="","Thiếu mã đơn; ","")&amp;IF(COUNTIF($A$2:$A2844,$A2844)&gt;1,"Trùng mã đơn; ","")&amp;IF(ISNA(MATCH($C2844,DATA_MASTER!$D$2:$D$5000,0)),"SĐT chưa đăng ký hội viên; ","")&amp;IF(AND($L2844="Đã chuyển khoản",$M2844=""),"Thiếu ngày nhận CK; ",""))</f>
        <v/>
      </c>
      <c r="T2844" s="24" t="n"/>
    </row>
    <row r="2845" ht="14.25" customHeight="1" s="40">
      <c r="A2845" s="24" t="n"/>
      <c r="B2845" s="29" t="n"/>
      <c r="C2845" s="28" t="n"/>
      <c r="D2845" s="22">
        <f t="array" ref="D2845">IF($C2845="","",IFERROR(INDEX(DATA_MASTER!$C$2:$C$5000,MATCH($C2845,DATA_MASTER!$D$2:$D$5000,0)),""))</f>
        <v/>
      </c>
      <c r="E2845" s="22">
        <f t="array" ref="E2845">IF($C2845="","",IFERROR(INDEX(DATA_MASTER!$I$2:$I$5000,MATCH($C2845,DATA_MASTER!$D$2:$D$5000,0)),""))</f>
        <v/>
      </c>
      <c r="F2845" s="22">
        <f t="array" ref="F2845">IF($C2845="","",IFERROR(INDEX(DATA_MASTER!$L$2:$L$5000,MATCH($C2845,DATA_MASTER!$D$2:$D$5000,0)),""))</f>
        <v/>
      </c>
      <c r="G2845" s="24" t="n"/>
      <c r="H2845" s="24" t="n"/>
      <c r="I2845" s="30" t="n"/>
      <c r="J2845" s="23">
        <f>IF(OR($H2845="",$I2845=""),"",$H2845*$I2845)</f>
        <v/>
      </c>
      <c r="K2845" s="24" t="n"/>
      <c r="L2845" s="24" t="n"/>
      <c r="M2845" s="29" t="n"/>
      <c r="N2845" s="28" t="n"/>
      <c r="O2845" s="24" t="n"/>
      <c r="P2845" s="24" t="n"/>
      <c r="Q2845" s="24" t="n"/>
      <c r="R2845" s="24" t="n"/>
      <c r="S2845" s="22">
        <f>IF(AND($A2845="",$C2845=""),"",IF($A2845="","Thiếu mã đơn; ","")&amp;IF(COUNTIF($A$2:$A2845,$A2845)&gt;1,"Trùng mã đơn; ","")&amp;IF(ISNA(MATCH($C2845,DATA_MASTER!$D$2:$D$5000,0)),"SĐT chưa đăng ký hội viên; ","")&amp;IF(AND($L2845="Đã chuyển khoản",$M2845=""),"Thiếu ngày nhận CK; ",""))</f>
        <v/>
      </c>
      <c r="T2845" s="24" t="n"/>
    </row>
    <row r="2846" ht="14.25" customHeight="1" s="40">
      <c r="A2846" s="24" t="n"/>
      <c r="B2846" s="29" t="n"/>
      <c r="C2846" s="28" t="n"/>
      <c r="D2846" s="22">
        <f t="array" ref="D2846">IF($C2846="","",IFERROR(INDEX(DATA_MASTER!$C$2:$C$5000,MATCH($C2846,DATA_MASTER!$D$2:$D$5000,0)),""))</f>
        <v/>
      </c>
      <c r="E2846" s="22">
        <f t="array" ref="E2846">IF($C2846="","",IFERROR(INDEX(DATA_MASTER!$I$2:$I$5000,MATCH($C2846,DATA_MASTER!$D$2:$D$5000,0)),""))</f>
        <v/>
      </c>
      <c r="F2846" s="22">
        <f t="array" ref="F2846">IF($C2846="","",IFERROR(INDEX(DATA_MASTER!$L$2:$L$5000,MATCH($C2846,DATA_MASTER!$D$2:$D$5000,0)),""))</f>
        <v/>
      </c>
      <c r="G2846" s="24" t="n"/>
      <c r="H2846" s="24" t="n"/>
      <c r="I2846" s="30" t="n"/>
      <c r="J2846" s="23">
        <f>IF(OR($H2846="",$I2846=""),"",$H2846*$I2846)</f>
        <v/>
      </c>
      <c r="K2846" s="24" t="n"/>
      <c r="L2846" s="24" t="n"/>
      <c r="M2846" s="29" t="n"/>
      <c r="N2846" s="28" t="n"/>
      <c r="O2846" s="24" t="n"/>
      <c r="P2846" s="24" t="n"/>
      <c r="Q2846" s="24" t="n"/>
      <c r="R2846" s="24" t="n"/>
      <c r="S2846" s="22">
        <f>IF(AND($A2846="",$C2846=""),"",IF($A2846="","Thiếu mã đơn; ","")&amp;IF(COUNTIF($A$2:$A2846,$A2846)&gt;1,"Trùng mã đơn; ","")&amp;IF(ISNA(MATCH($C2846,DATA_MASTER!$D$2:$D$5000,0)),"SĐT chưa đăng ký hội viên; ","")&amp;IF(AND($L2846="Đã chuyển khoản",$M2846=""),"Thiếu ngày nhận CK; ",""))</f>
        <v/>
      </c>
      <c r="T2846" s="24" t="n"/>
    </row>
    <row r="2847" ht="14.25" customHeight="1" s="40">
      <c r="A2847" s="24" t="n"/>
      <c r="B2847" s="29" t="n"/>
      <c r="C2847" s="28" t="n"/>
      <c r="D2847" s="22">
        <f t="array" ref="D2847">IF($C2847="","",IFERROR(INDEX(DATA_MASTER!$C$2:$C$5000,MATCH($C2847,DATA_MASTER!$D$2:$D$5000,0)),""))</f>
        <v/>
      </c>
      <c r="E2847" s="22">
        <f t="array" ref="E2847">IF($C2847="","",IFERROR(INDEX(DATA_MASTER!$I$2:$I$5000,MATCH($C2847,DATA_MASTER!$D$2:$D$5000,0)),""))</f>
        <v/>
      </c>
      <c r="F2847" s="22">
        <f t="array" ref="F2847">IF($C2847="","",IFERROR(INDEX(DATA_MASTER!$L$2:$L$5000,MATCH($C2847,DATA_MASTER!$D$2:$D$5000,0)),""))</f>
        <v/>
      </c>
      <c r="G2847" s="24" t="n"/>
      <c r="H2847" s="24" t="n"/>
      <c r="I2847" s="30" t="n"/>
      <c r="J2847" s="23">
        <f>IF(OR($H2847="",$I2847=""),"",$H2847*$I2847)</f>
        <v/>
      </c>
      <c r="K2847" s="24" t="n"/>
      <c r="L2847" s="24" t="n"/>
      <c r="M2847" s="29" t="n"/>
      <c r="N2847" s="28" t="n"/>
      <c r="O2847" s="24" t="n"/>
      <c r="P2847" s="24" t="n"/>
      <c r="Q2847" s="24" t="n"/>
      <c r="R2847" s="24" t="n"/>
      <c r="S2847" s="22">
        <f>IF(AND($A2847="",$C2847=""),"",IF($A2847="","Thiếu mã đơn; ","")&amp;IF(COUNTIF($A$2:$A2847,$A2847)&gt;1,"Trùng mã đơn; ","")&amp;IF(ISNA(MATCH($C2847,DATA_MASTER!$D$2:$D$5000,0)),"SĐT chưa đăng ký hội viên; ","")&amp;IF(AND($L2847="Đã chuyển khoản",$M2847=""),"Thiếu ngày nhận CK; ",""))</f>
        <v/>
      </c>
      <c r="T2847" s="24" t="n"/>
    </row>
    <row r="2848" ht="14.25" customHeight="1" s="40">
      <c r="A2848" s="24" t="n"/>
      <c r="B2848" s="29" t="n"/>
      <c r="C2848" s="28" t="n"/>
      <c r="D2848" s="22">
        <f t="array" ref="D2848">IF($C2848="","",IFERROR(INDEX(DATA_MASTER!$C$2:$C$5000,MATCH($C2848,DATA_MASTER!$D$2:$D$5000,0)),""))</f>
        <v/>
      </c>
      <c r="E2848" s="22">
        <f t="array" ref="E2848">IF($C2848="","",IFERROR(INDEX(DATA_MASTER!$I$2:$I$5000,MATCH($C2848,DATA_MASTER!$D$2:$D$5000,0)),""))</f>
        <v/>
      </c>
      <c r="F2848" s="22">
        <f t="array" ref="F2848">IF($C2848="","",IFERROR(INDEX(DATA_MASTER!$L$2:$L$5000,MATCH($C2848,DATA_MASTER!$D$2:$D$5000,0)),""))</f>
        <v/>
      </c>
      <c r="G2848" s="24" t="n"/>
      <c r="H2848" s="24" t="n"/>
      <c r="I2848" s="30" t="n"/>
      <c r="J2848" s="23">
        <f>IF(OR($H2848="",$I2848=""),"",$H2848*$I2848)</f>
        <v/>
      </c>
      <c r="K2848" s="24" t="n"/>
      <c r="L2848" s="24" t="n"/>
      <c r="M2848" s="29" t="n"/>
      <c r="N2848" s="28" t="n"/>
      <c r="O2848" s="24" t="n"/>
      <c r="P2848" s="24" t="n"/>
      <c r="Q2848" s="24" t="n"/>
      <c r="R2848" s="24" t="n"/>
      <c r="S2848" s="22">
        <f>IF(AND($A2848="",$C2848=""),"",IF($A2848="","Thiếu mã đơn; ","")&amp;IF(COUNTIF($A$2:$A2848,$A2848)&gt;1,"Trùng mã đơn; ","")&amp;IF(ISNA(MATCH($C2848,DATA_MASTER!$D$2:$D$5000,0)),"SĐT chưa đăng ký hội viên; ","")&amp;IF(AND($L2848="Đã chuyển khoản",$M2848=""),"Thiếu ngày nhận CK; ",""))</f>
        <v/>
      </c>
      <c r="T2848" s="24" t="n"/>
    </row>
    <row r="2849" ht="14.25" customHeight="1" s="40">
      <c r="A2849" s="24" t="n"/>
      <c r="B2849" s="29" t="n"/>
      <c r="C2849" s="28" t="n"/>
      <c r="D2849" s="22">
        <f t="array" ref="D2849">IF($C2849="","",IFERROR(INDEX(DATA_MASTER!$C$2:$C$5000,MATCH($C2849,DATA_MASTER!$D$2:$D$5000,0)),""))</f>
        <v/>
      </c>
      <c r="E2849" s="22">
        <f t="array" ref="E2849">IF($C2849="","",IFERROR(INDEX(DATA_MASTER!$I$2:$I$5000,MATCH($C2849,DATA_MASTER!$D$2:$D$5000,0)),""))</f>
        <v/>
      </c>
      <c r="F2849" s="22">
        <f t="array" ref="F2849">IF($C2849="","",IFERROR(INDEX(DATA_MASTER!$L$2:$L$5000,MATCH($C2849,DATA_MASTER!$D$2:$D$5000,0)),""))</f>
        <v/>
      </c>
      <c r="G2849" s="24" t="n"/>
      <c r="H2849" s="24" t="n"/>
      <c r="I2849" s="30" t="n"/>
      <c r="J2849" s="23">
        <f>IF(OR($H2849="",$I2849=""),"",$H2849*$I2849)</f>
        <v/>
      </c>
      <c r="K2849" s="24" t="n"/>
      <c r="L2849" s="24" t="n"/>
      <c r="M2849" s="29" t="n"/>
      <c r="N2849" s="28" t="n"/>
      <c r="O2849" s="24" t="n"/>
      <c r="P2849" s="24" t="n"/>
      <c r="Q2849" s="24" t="n"/>
      <c r="R2849" s="24" t="n"/>
      <c r="S2849" s="22">
        <f>IF(AND($A2849="",$C2849=""),"",IF($A2849="","Thiếu mã đơn; ","")&amp;IF(COUNTIF($A$2:$A2849,$A2849)&gt;1,"Trùng mã đơn; ","")&amp;IF(ISNA(MATCH($C2849,DATA_MASTER!$D$2:$D$5000,0)),"SĐT chưa đăng ký hội viên; ","")&amp;IF(AND($L2849="Đã chuyển khoản",$M2849=""),"Thiếu ngày nhận CK; ",""))</f>
        <v/>
      </c>
      <c r="T2849" s="24" t="n"/>
    </row>
    <row r="2850" ht="14.25" customHeight="1" s="40">
      <c r="A2850" s="24" t="n"/>
      <c r="B2850" s="29" t="n"/>
      <c r="C2850" s="28" t="n"/>
      <c r="D2850" s="22">
        <f t="array" ref="D2850">IF($C2850="","",IFERROR(INDEX(DATA_MASTER!$C$2:$C$5000,MATCH($C2850,DATA_MASTER!$D$2:$D$5000,0)),""))</f>
        <v/>
      </c>
      <c r="E2850" s="22">
        <f t="array" ref="E2850">IF($C2850="","",IFERROR(INDEX(DATA_MASTER!$I$2:$I$5000,MATCH($C2850,DATA_MASTER!$D$2:$D$5000,0)),""))</f>
        <v/>
      </c>
      <c r="F2850" s="22">
        <f t="array" ref="F2850">IF($C2850="","",IFERROR(INDEX(DATA_MASTER!$L$2:$L$5000,MATCH($C2850,DATA_MASTER!$D$2:$D$5000,0)),""))</f>
        <v/>
      </c>
      <c r="G2850" s="24" t="n"/>
      <c r="H2850" s="24" t="n"/>
      <c r="I2850" s="30" t="n"/>
      <c r="J2850" s="23">
        <f>IF(OR($H2850="",$I2850=""),"",$H2850*$I2850)</f>
        <v/>
      </c>
      <c r="K2850" s="24" t="n"/>
      <c r="L2850" s="24" t="n"/>
      <c r="M2850" s="29" t="n"/>
      <c r="N2850" s="28" t="n"/>
      <c r="O2850" s="24" t="n"/>
      <c r="P2850" s="24" t="n"/>
      <c r="Q2850" s="24" t="n"/>
      <c r="R2850" s="24" t="n"/>
      <c r="S2850" s="22">
        <f>IF(AND($A2850="",$C2850=""),"",IF($A2850="","Thiếu mã đơn; ","")&amp;IF(COUNTIF($A$2:$A2850,$A2850)&gt;1,"Trùng mã đơn; ","")&amp;IF(ISNA(MATCH($C2850,DATA_MASTER!$D$2:$D$5000,0)),"SĐT chưa đăng ký hội viên; ","")&amp;IF(AND($L2850="Đã chuyển khoản",$M2850=""),"Thiếu ngày nhận CK; ",""))</f>
        <v/>
      </c>
      <c r="T2850" s="24" t="n"/>
    </row>
    <row r="2851" ht="14.25" customHeight="1" s="40">
      <c r="A2851" s="24" t="n"/>
      <c r="B2851" s="29" t="n"/>
      <c r="C2851" s="28" t="n"/>
      <c r="D2851" s="22">
        <f t="array" ref="D2851">IF($C2851="","",IFERROR(INDEX(DATA_MASTER!$C$2:$C$5000,MATCH($C2851,DATA_MASTER!$D$2:$D$5000,0)),""))</f>
        <v/>
      </c>
      <c r="E2851" s="22">
        <f t="array" ref="E2851">IF($C2851="","",IFERROR(INDEX(DATA_MASTER!$I$2:$I$5000,MATCH($C2851,DATA_MASTER!$D$2:$D$5000,0)),""))</f>
        <v/>
      </c>
      <c r="F2851" s="22">
        <f t="array" ref="F2851">IF($C2851="","",IFERROR(INDEX(DATA_MASTER!$L$2:$L$5000,MATCH($C2851,DATA_MASTER!$D$2:$D$5000,0)),""))</f>
        <v/>
      </c>
      <c r="G2851" s="24" t="n"/>
      <c r="H2851" s="24" t="n"/>
      <c r="I2851" s="30" t="n"/>
      <c r="J2851" s="23">
        <f>IF(OR($H2851="",$I2851=""),"",$H2851*$I2851)</f>
        <v/>
      </c>
      <c r="K2851" s="24" t="n"/>
      <c r="L2851" s="24" t="n"/>
      <c r="M2851" s="29" t="n"/>
      <c r="N2851" s="28" t="n"/>
      <c r="O2851" s="24" t="n"/>
      <c r="P2851" s="24" t="n"/>
      <c r="Q2851" s="24" t="n"/>
      <c r="R2851" s="24" t="n"/>
      <c r="S2851" s="22">
        <f>IF(AND($A2851="",$C2851=""),"",IF($A2851="","Thiếu mã đơn; ","")&amp;IF(COUNTIF($A$2:$A2851,$A2851)&gt;1,"Trùng mã đơn; ","")&amp;IF(ISNA(MATCH($C2851,DATA_MASTER!$D$2:$D$5000,0)),"SĐT chưa đăng ký hội viên; ","")&amp;IF(AND($L2851="Đã chuyển khoản",$M2851=""),"Thiếu ngày nhận CK; ",""))</f>
        <v/>
      </c>
      <c r="T2851" s="24" t="n"/>
    </row>
    <row r="2852" ht="14.25" customHeight="1" s="40">
      <c r="A2852" s="24" t="n"/>
      <c r="B2852" s="29" t="n"/>
      <c r="C2852" s="28" t="n"/>
      <c r="D2852" s="22">
        <f t="array" ref="D2852">IF($C2852="","",IFERROR(INDEX(DATA_MASTER!$C$2:$C$5000,MATCH($C2852,DATA_MASTER!$D$2:$D$5000,0)),""))</f>
        <v/>
      </c>
      <c r="E2852" s="22">
        <f t="array" ref="E2852">IF($C2852="","",IFERROR(INDEX(DATA_MASTER!$I$2:$I$5000,MATCH($C2852,DATA_MASTER!$D$2:$D$5000,0)),""))</f>
        <v/>
      </c>
      <c r="F2852" s="22">
        <f t="array" ref="F2852">IF($C2852="","",IFERROR(INDEX(DATA_MASTER!$L$2:$L$5000,MATCH($C2852,DATA_MASTER!$D$2:$D$5000,0)),""))</f>
        <v/>
      </c>
      <c r="G2852" s="24" t="n"/>
      <c r="H2852" s="24" t="n"/>
      <c r="I2852" s="30" t="n"/>
      <c r="J2852" s="23">
        <f>IF(OR($H2852="",$I2852=""),"",$H2852*$I2852)</f>
        <v/>
      </c>
      <c r="K2852" s="24" t="n"/>
      <c r="L2852" s="24" t="n"/>
      <c r="M2852" s="29" t="n"/>
      <c r="N2852" s="28" t="n"/>
      <c r="O2852" s="24" t="n"/>
      <c r="P2852" s="24" t="n"/>
      <c r="Q2852" s="24" t="n"/>
      <c r="R2852" s="24" t="n"/>
      <c r="S2852" s="22">
        <f>IF(AND($A2852="",$C2852=""),"",IF($A2852="","Thiếu mã đơn; ","")&amp;IF(COUNTIF($A$2:$A2852,$A2852)&gt;1,"Trùng mã đơn; ","")&amp;IF(ISNA(MATCH($C2852,DATA_MASTER!$D$2:$D$5000,0)),"SĐT chưa đăng ký hội viên; ","")&amp;IF(AND($L2852="Đã chuyển khoản",$M2852=""),"Thiếu ngày nhận CK; ",""))</f>
        <v/>
      </c>
      <c r="T2852" s="24" t="n"/>
    </row>
    <row r="2853" ht="14.25" customHeight="1" s="40">
      <c r="A2853" s="24" t="n"/>
      <c r="B2853" s="29" t="n"/>
      <c r="C2853" s="28" t="n"/>
      <c r="D2853" s="22">
        <f t="array" ref="D2853">IF($C2853="","",IFERROR(INDEX(DATA_MASTER!$C$2:$C$5000,MATCH($C2853,DATA_MASTER!$D$2:$D$5000,0)),""))</f>
        <v/>
      </c>
      <c r="E2853" s="22">
        <f t="array" ref="E2853">IF($C2853="","",IFERROR(INDEX(DATA_MASTER!$I$2:$I$5000,MATCH($C2853,DATA_MASTER!$D$2:$D$5000,0)),""))</f>
        <v/>
      </c>
      <c r="F2853" s="22">
        <f t="array" ref="F2853">IF($C2853="","",IFERROR(INDEX(DATA_MASTER!$L$2:$L$5000,MATCH($C2853,DATA_MASTER!$D$2:$D$5000,0)),""))</f>
        <v/>
      </c>
      <c r="G2853" s="24" t="n"/>
      <c r="H2853" s="24" t="n"/>
      <c r="I2853" s="30" t="n"/>
      <c r="J2853" s="23">
        <f>IF(OR($H2853="",$I2853=""),"",$H2853*$I2853)</f>
        <v/>
      </c>
      <c r="K2853" s="24" t="n"/>
      <c r="L2853" s="24" t="n"/>
      <c r="M2853" s="29" t="n"/>
      <c r="N2853" s="28" t="n"/>
      <c r="O2853" s="24" t="n"/>
      <c r="P2853" s="24" t="n"/>
      <c r="Q2853" s="24" t="n"/>
      <c r="R2853" s="24" t="n"/>
      <c r="S2853" s="22">
        <f>IF(AND($A2853="",$C2853=""),"",IF($A2853="","Thiếu mã đơn; ","")&amp;IF(COUNTIF($A$2:$A2853,$A2853)&gt;1,"Trùng mã đơn; ","")&amp;IF(ISNA(MATCH($C2853,DATA_MASTER!$D$2:$D$5000,0)),"SĐT chưa đăng ký hội viên; ","")&amp;IF(AND($L2853="Đã chuyển khoản",$M2853=""),"Thiếu ngày nhận CK; ",""))</f>
        <v/>
      </c>
      <c r="T2853" s="24" t="n"/>
    </row>
    <row r="2854" ht="14.25" customHeight="1" s="40">
      <c r="A2854" s="24" t="n"/>
      <c r="B2854" s="29" t="n"/>
      <c r="C2854" s="28" t="n"/>
      <c r="D2854" s="22">
        <f t="array" ref="D2854">IF($C2854="","",IFERROR(INDEX(DATA_MASTER!$C$2:$C$5000,MATCH($C2854,DATA_MASTER!$D$2:$D$5000,0)),""))</f>
        <v/>
      </c>
      <c r="E2854" s="22">
        <f t="array" ref="E2854">IF($C2854="","",IFERROR(INDEX(DATA_MASTER!$I$2:$I$5000,MATCH($C2854,DATA_MASTER!$D$2:$D$5000,0)),""))</f>
        <v/>
      </c>
      <c r="F2854" s="22">
        <f t="array" ref="F2854">IF($C2854="","",IFERROR(INDEX(DATA_MASTER!$L$2:$L$5000,MATCH($C2854,DATA_MASTER!$D$2:$D$5000,0)),""))</f>
        <v/>
      </c>
      <c r="G2854" s="24" t="n"/>
      <c r="H2854" s="24" t="n"/>
      <c r="I2854" s="30" t="n"/>
      <c r="J2854" s="23">
        <f>IF(OR($H2854="",$I2854=""),"",$H2854*$I2854)</f>
        <v/>
      </c>
      <c r="K2854" s="24" t="n"/>
      <c r="L2854" s="24" t="n"/>
      <c r="M2854" s="29" t="n"/>
      <c r="N2854" s="28" t="n"/>
      <c r="O2854" s="24" t="n"/>
      <c r="P2854" s="24" t="n"/>
      <c r="Q2854" s="24" t="n"/>
      <c r="R2854" s="24" t="n"/>
      <c r="S2854" s="22">
        <f>IF(AND($A2854="",$C2854=""),"",IF($A2854="","Thiếu mã đơn; ","")&amp;IF(COUNTIF($A$2:$A2854,$A2854)&gt;1,"Trùng mã đơn; ","")&amp;IF(ISNA(MATCH($C2854,DATA_MASTER!$D$2:$D$5000,0)),"SĐT chưa đăng ký hội viên; ","")&amp;IF(AND($L2854="Đã chuyển khoản",$M2854=""),"Thiếu ngày nhận CK; ",""))</f>
        <v/>
      </c>
      <c r="T2854" s="24" t="n"/>
    </row>
    <row r="2855" ht="14.25" customHeight="1" s="40">
      <c r="A2855" s="24" t="n"/>
      <c r="B2855" s="29" t="n"/>
      <c r="C2855" s="28" t="n"/>
      <c r="D2855" s="22">
        <f t="array" ref="D2855">IF($C2855="","",IFERROR(INDEX(DATA_MASTER!$C$2:$C$5000,MATCH($C2855,DATA_MASTER!$D$2:$D$5000,0)),""))</f>
        <v/>
      </c>
      <c r="E2855" s="22">
        <f t="array" ref="E2855">IF($C2855="","",IFERROR(INDEX(DATA_MASTER!$I$2:$I$5000,MATCH($C2855,DATA_MASTER!$D$2:$D$5000,0)),""))</f>
        <v/>
      </c>
      <c r="F2855" s="22">
        <f t="array" ref="F2855">IF($C2855="","",IFERROR(INDEX(DATA_MASTER!$L$2:$L$5000,MATCH($C2855,DATA_MASTER!$D$2:$D$5000,0)),""))</f>
        <v/>
      </c>
      <c r="G2855" s="24" t="n"/>
      <c r="H2855" s="24" t="n"/>
      <c r="I2855" s="30" t="n"/>
      <c r="J2855" s="23">
        <f>IF(OR($H2855="",$I2855=""),"",$H2855*$I2855)</f>
        <v/>
      </c>
      <c r="K2855" s="24" t="n"/>
      <c r="L2855" s="24" t="n"/>
      <c r="M2855" s="29" t="n"/>
      <c r="N2855" s="28" t="n"/>
      <c r="O2855" s="24" t="n"/>
      <c r="P2855" s="24" t="n"/>
      <c r="Q2855" s="24" t="n"/>
      <c r="R2855" s="24" t="n"/>
      <c r="S2855" s="22">
        <f>IF(AND($A2855="",$C2855=""),"",IF($A2855="","Thiếu mã đơn; ","")&amp;IF(COUNTIF($A$2:$A2855,$A2855)&gt;1,"Trùng mã đơn; ","")&amp;IF(ISNA(MATCH($C2855,DATA_MASTER!$D$2:$D$5000,0)),"SĐT chưa đăng ký hội viên; ","")&amp;IF(AND($L2855="Đã chuyển khoản",$M2855=""),"Thiếu ngày nhận CK; ",""))</f>
        <v/>
      </c>
      <c r="T2855" s="24" t="n"/>
    </row>
    <row r="2856" ht="14.25" customHeight="1" s="40">
      <c r="A2856" s="24" t="n"/>
      <c r="B2856" s="29" t="n"/>
      <c r="C2856" s="28" t="n"/>
      <c r="D2856" s="22">
        <f t="array" ref="D2856">IF($C2856="","",IFERROR(INDEX(DATA_MASTER!$C$2:$C$5000,MATCH($C2856,DATA_MASTER!$D$2:$D$5000,0)),""))</f>
        <v/>
      </c>
      <c r="E2856" s="22">
        <f t="array" ref="E2856">IF($C2856="","",IFERROR(INDEX(DATA_MASTER!$I$2:$I$5000,MATCH($C2856,DATA_MASTER!$D$2:$D$5000,0)),""))</f>
        <v/>
      </c>
      <c r="F2856" s="22">
        <f t="array" ref="F2856">IF($C2856="","",IFERROR(INDEX(DATA_MASTER!$L$2:$L$5000,MATCH($C2856,DATA_MASTER!$D$2:$D$5000,0)),""))</f>
        <v/>
      </c>
      <c r="G2856" s="24" t="n"/>
      <c r="H2856" s="24" t="n"/>
      <c r="I2856" s="30" t="n"/>
      <c r="J2856" s="23">
        <f>IF(OR($H2856="",$I2856=""),"",$H2856*$I2856)</f>
        <v/>
      </c>
      <c r="K2856" s="24" t="n"/>
      <c r="L2856" s="24" t="n"/>
      <c r="M2856" s="29" t="n"/>
      <c r="N2856" s="28" t="n"/>
      <c r="O2856" s="24" t="n"/>
      <c r="P2856" s="24" t="n"/>
      <c r="Q2856" s="24" t="n"/>
      <c r="R2856" s="24" t="n"/>
      <c r="S2856" s="22">
        <f>IF(AND($A2856="",$C2856=""),"",IF($A2856="","Thiếu mã đơn; ","")&amp;IF(COUNTIF($A$2:$A2856,$A2856)&gt;1,"Trùng mã đơn; ","")&amp;IF(ISNA(MATCH($C2856,DATA_MASTER!$D$2:$D$5000,0)),"SĐT chưa đăng ký hội viên; ","")&amp;IF(AND($L2856="Đã chuyển khoản",$M2856=""),"Thiếu ngày nhận CK; ",""))</f>
        <v/>
      </c>
      <c r="T2856" s="24" t="n"/>
    </row>
    <row r="2857" ht="14.25" customHeight="1" s="40">
      <c r="A2857" s="24" t="n"/>
      <c r="B2857" s="29" t="n"/>
      <c r="C2857" s="28" t="n"/>
      <c r="D2857" s="22">
        <f t="array" ref="D2857">IF($C2857="","",IFERROR(INDEX(DATA_MASTER!$C$2:$C$5000,MATCH($C2857,DATA_MASTER!$D$2:$D$5000,0)),""))</f>
        <v/>
      </c>
      <c r="E2857" s="22">
        <f t="array" ref="E2857">IF($C2857="","",IFERROR(INDEX(DATA_MASTER!$I$2:$I$5000,MATCH($C2857,DATA_MASTER!$D$2:$D$5000,0)),""))</f>
        <v/>
      </c>
      <c r="F2857" s="22">
        <f t="array" ref="F2857">IF($C2857="","",IFERROR(INDEX(DATA_MASTER!$L$2:$L$5000,MATCH($C2857,DATA_MASTER!$D$2:$D$5000,0)),""))</f>
        <v/>
      </c>
      <c r="G2857" s="24" t="n"/>
      <c r="H2857" s="24" t="n"/>
      <c r="I2857" s="30" t="n"/>
      <c r="J2857" s="23">
        <f>IF(OR($H2857="",$I2857=""),"",$H2857*$I2857)</f>
        <v/>
      </c>
      <c r="K2857" s="24" t="n"/>
      <c r="L2857" s="24" t="n"/>
      <c r="M2857" s="29" t="n"/>
      <c r="N2857" s="28" t="n"/>
      <c r="O2857" s="24" t="n"/>
      <c r="P2857" s="24" t="n"/>
      <c r="Q2857" s="24" t="n"/>
      <c r="R2857" s="24" t="n"/>
      <c r="S2857" s="22">
        <f>IF(AND($A2857="",$C2857=""),"",IF($A2857="","Thiếu mã đơn; ","")&amp;IF(COUNTIF($A$2:$A2857,$A2857)&gt;1,"Trùng mã đơn; ","")&amp;IF(ISNA(MATCH($C2857,DATA_MASTER!$D$2:$D$5000,0)),"SĐT chưa đăng ký hội viên; ","")&amp;IF(AND($L2857="Đã chuyển khoản",$M2857=""),"Thiếu ngày nhận CK; ",""))</f>
        <v/>
      </c>
      <c r="T2857" s="24" t="n"/>
    </row>
    <row r="2858" ht="14.25" customHeight="1" s="40">
      <c r="A2858" s="24" t="n"/>
      <c r="B2858" s="29" t="n"/>
      <c r="C2858" s="28" t="n"/>
      <c r="D2858" s="22">
        <f t="array" ref="D2858">IF($C2858="","",IFERROR(INDEX(DATA_MASTER!$C$2:$C$5000,MATCH($C2858,DATA_MASTER!$D$2:$D$5000,0)),""))</f>
        <v/>
      </c>
      <c r="E2858" s="22">
        <f t="array" ref="E2858">IF($C2858="","",IFERROR(INDEX(DATA_MASTER!$I$2:$I$5000,MATCH($C2858,DATA_MASTER!$D$2:$D$5000,0)),""))</f>
        <v/>
      </c>
      <c r="F2858" s="22">
        <f t="array" ref="F2858">IF($C2858="","",IFERROR(INDEX(DATA_MASTER!$L$2:$L$5000,MATCH($C2858,DATA_MASTER!$D$2:$D$5000,0)),""))</f>
        <v/>
      </c>
      <c r="G2858" s="24" t="n"/>
      <c r="H2858" s="24" t="n"/>
      <c r="I2858" s="30" t="n"/>
      <c r="J2858" s="23">
        <f>IF(OR($H2858="",$I2858=""),"",$H2858*$I2858)</f>
        <v/>
      </c>
      <c r="K2858" s="24" t="n"/>
      <c r="L2858" s="24" t="n"/>
      <c r="M2858" s="29" t="n"/>
      <c r="N2858" s="28" t="n"/>
      <c r="O2858" s="24" t="n"/>
      <c r="P2858" s="24" t="n"/>
      <c r="Q2858" s="24" t="n"/>
      <c r="R2858" s="24" t="n"/>
      <c r="S2858" s="22">
        <f>IF(AND($A2858="",$C2858=""),"",IF($A2858="","Thiếu mã đơn; ","")&amp;IF(COUNTIF($A$2:$A2858,$A2858)&gt;1,"Trùng mã đơn; ","")&amp;IF(ISNA(MATCH($C2858,DATA_MASTER!$D$2:$D$5000,0)),"SĐT chưa đăng ký hội viên; ","")&amp;IF(AND($L2858="Đã chuyển khoản",$M2858=""),"Thiếu ngày nhận CK; ",""))</f>
        <v/>
      </c>
      <c r="T2858" s="24" t="n"/>
    </row>
    <row r="2859" ht="14.25" customHeight="1" s="40">
      <c r="A2859" s="24" t="n"/>
      <c r="B2859" s="29" t="n"/>
      <c r="C2859" s="28" t="n"/>
      <c r="D2859" s="22">
        <f t="array" ref="D2859">IF($C2859="","",IFERROR(INDEX(DATA_MASTER!$C$2:$C$5000,MATCH($C2859,DATA_MASTER!$D$2:$D$5000,0)),""))</f>
        <v/>
      </c>
      <c r="E2859" s="22">
        <f t="array" ref="E2859">IF($C2859="","",IFERROR(INDEX(DATA_MASTER!$I$2:$I$5000,MATCH($C2859,DATA_MASTER!$D$2:$D$5000,0)),""))</f>
        <v/>
      </c>
      <c r="F2859" s="22">
        <f t="array" ref="F2859">IF($C2859="","",IFERROR(INDEX(DATA_MASTER!$L$2:$L$5000,MATCH($C2859,DATA_MASTER!$D$2:$D$5000,0)),""))</f>
        <v/>
      </c>
      <c r="G2859" s="24" t="n"/>
      <c r="H2859" s="24" t="n"/>
      <c r="I2859" s="30" t="n"/>
      <c r="J2859" s="23">
        <f>IF(OR($H2859="",$I2859=""),"",$H2859*$I2859)</f>
        <v/>
      </c>
      <c r="K2859" s="24" t="n"/>
      <c r="L2859" s="24" t="n"/>
      <c r="M2859" s="29" t="n"/>
      <c r="N2859" s="28" t="n"/>
      <c r="O2859" s="24" t="n"/>
      <c r="P2859" s="24" t="n"/>
      <c r="Q2859" s="24" t="n"/>
      <c r="R2859" s="24" t="n"/>
      <c r="S2859" s="22">
        <f>IF(AND($A2859="",$C2859=""),"",IF($A2859="","Thiếu mã đơn; ","")&amp;IF(COUNTIF($A$2:$A2859,$A2859)&gt;1,"Trùng mã đơn; ","")&amp;IF(ISNA(MATCH($C2859,DATA_MASTER!$D$2:$D$5000,0)),"SĐT chưa đăng ký hội viên; ","")&amp;IF(AND($L2859="Đã chuyển khoản",$M2859=""),"Thiếu ngày nhận CK; ",""))</f>
        <v/>
      </c>
      <c r="T2859" s="24" t="n"/>
    </row>
    <row r="2860" ht="14.25" customHeight="1" s="40">
      <c r="A2860" s="24" t="n"/>
      <c r="B2860" s="29" t="n"/>
      <c r="C2860" s="28" t="n"/>
      <c r="D2860" s="22">
        <f t="array" ref="D2860">IF($C2860="","",IFERROR(INDEX(DATA_MASTER!$C$2:$C$5000,MATCH($C2860,DATA_MASTER!$D$2:$D$5000,0)),""))</f>
        <v/>
      </c>
      <c r="E2860" s="22">
        <f t="array" ref="E2860">IF($C2860="","",IFERROR(INDEX(DATA_MASTER!$I$2:$I$5000,MATCH($C2860,DATA_MASTER!$D$2:$D$5000,0)),""))</f>
        <v/>
      </c>
      <c r="F2860" s="22">
        <f t="array" ref="F2860">IF($C2860="","",IFERROR(INDEX(DATA_MASTER!$L$2:$L$5000,MATCH($C2860,DATA_MASTER!$D$2:$D$5000,0)),""))</f>
        <v/>
      </c>
      <c r="G2860" s="24" t="n"/>
      <c r="H2860" s="24" t="n"/>
      <c r="I2860" s="30" t="n"/>
      <c r="J2860" s="23">
        <f>IF(OR($H2860="",$I2860=""),"",$H2860*$I2860)</f>
        <v/>
      </c>
      <c r="K2860" s="24" t="n"/>
      <c r="L2860" s="24" t="n"/>
      <c r="M2860" s="29" t="n"/>
      <c r="N2860" s="28" t="n"/>
      <c r="O2860" s="24" t="n"/>
      <c r="P2860" s="24" t="n"/>
      <c r="Q2860" s="24" t="n"/>
      <c r="R2860" s="24" t="n"/>
      <c r="S2860" s="22">
        <f>IF(AND($A2860="",$C2860=""),"",IF($A2860="","Thiếu mã đơn; ","")&amp;IF(COUNTIF($A$2:$A2860,$A2860)&gt;1,"Trùng mã đơn; ","")&amp;IF(ISNA(MATCH($C2860,DATA_MASTER!$D$2:$D$5000,0)),"SĐT chưa đăng ký hội viên; ","")&amp;IF(AND($L2860="Đã chuyển khoản",$M2860=""),"Thiếu ngày nhận CK; ",""))</f>
        <v/>
      </c>
      <c r="T2860" s="24" t="n"/>
    </row>
    <row r="2861" ht="14.25" customHeight="1" s="40">
      <c r="A2861" s="24" t="n"/>
      <c r="B2861" s="29" t="n"/>
      <c r="C2861" s="28" t="n"/>
      <c r="D2861" s="22">
        <f t="array" ref="D2861">IF($C2861="","",IFERROR(INDEX(DATA_MASTER!$C$2:$C$5000,MATCH($C2861,DATA_MASTER!$D$2:$D$5000,0)),""))</f>
        <v/>
      </c>
      <c r="E2861" s="22">
        <f t="array" ref="E2861">IF($C2861="","",IFERROR(INDEX(DATA_MASTER!$I$2:$I$5000,MATCH($C2861,DATA_MASTER!$D$2:$D$5000,0)),""))</f>
        <v/>
      </c>
      <c r="F2861" s="22">
        <f t="array" ref="F2861">IF($C2861="","",IFERROR(INDEX(DATA_MASTER!$L$2:$L$5000,MATCH($C2861,DATA_MASTER!$D$2:$D$5000,0)),""))</f>
        <v/>
      </c>
      <c r="G2861" s="24" t="n"/>
      <c r="H2861" s="24" t="n"/>
      <c r="I2861" s="30" t="n"/>
      <c r="J2861" s="23">
        <f>IF(OR($H2861="",$I2861=""),"",$H2861*$I2861)</f>
        <v/>
      </c>
      <c r="K2861" s="24" t="n"/>
      <c r="L2861" s="24" t="n"/>
      <c r="M2861" s="29" t="n"/>
      <c r="N2861" s="28" t="n"/>
      <c r="O2861" s="24" t="n"/>
      <c r="P2861" s="24" t="n"/>
      <c r="Q2861" s="24" t="n"/>
      <c r="R2861" s="24" t="n"/>
      <c r="S2861" s="22">
        <f>IF(AND($A2861="",$C2861=""),"",IF($A2861="","Thiếu mã đơn; ","")&amp;IF(COUNTIF($A$2:$A2861,$A2861)&gt;1,"Trùng mã đơn; ","")&amp;IF(ISNA(MATCH($C2861,DATA_MASTER!$D$2:$D$5000,0)),"SĐT chưa đăng ký hội viên; ","")&amp;IF(AND($L2861="Đã chuyển khoản",$M2861=""),"Thiếu ngày nhận CK; ",""))</f>
        <v/>
      </c>
      <c r="T2861" s="24" t="n"/>
    </row>
    <row r="2862" ht="14.25" customHeight="1" s="40">
      <c r="A2862" s="24" t="n"/>
      <c r="B2862" s="29" t="n"/>
      <c r="C2862" s="28" t="n"/>
      <c r="D2862" s="22">
        <f t="array" ref="D2862">IF($C2862="","",IFERROR(INDEX(DATA_MASTER!$C$2:$C$5000,MATCH($C2862,DATA_MASTER!$D$2:$D$5000,0)),""))</f>
        <v/>
      </c>
      <c r="E2862" s="22">
        <f t="array" ref="E2862">IF($C2862="","",IFERROR(INDEX(DATA_MASTER!$I$2:$I$5000,MATCH($C2862,DATA_MASTER!$D$2:$D$5000,0)),""))</f>
        <v/>
      </c>
      <c r="F2862" s="22">
        <f t="array" ref="F2862">IF($C2862="","",IFERROR(INDEX(DATA_MASTER!$L$2:$L$5000,MATCH($C2862,DATA_MASTER!$D$2:$D$5000,0)),""))</f>
        <v/>
      </c>
      <c r="G2862" s="24" t="n"/>
      <c r="H2862" s="24" t="n"/>
      <c r="I2862" s="30" t="n"/>
      <c r="J2862" s="23">
        <f>IF(OR($H2862="",$I2862=""),"",$H2862*$I2862)</f>
        <v/>
      </c>
      <c r="K2862" s="24" t="n"/>
      <c r="L2862" s="24" t="n"/>
      <c r="M2862" s="29" t="n"/>
      <c r="N2862" s="28" t="n"/>
      <c r="O2862" s="24" t="n"/>
      <c r="P2862" s="24" t="n"/>
      <c r="Q2862" s="24" t="n"/>
      <c r="R2862" s="24" t="n"/>
      <c r="S2862" s="22">
        <f>IF(AND($A2862="",$C2862=""),"",IF($A2862="","Thiếu mã đơn; ","")&amp;IF(COUNTIF($A$2:$A2862,$A2862)&gt;1,"Trùng mã đơn; ","")&amp;IF(ISNA(MATCH($C2862,DATA_MASTER!$D$2:$D$5000,0)),"SĐT chưa đăng ký hội viên; ","")&amp;IF(AND($L2862="Đã chuyển khoản",$M2862=""),"Thiếu ngày nhận CK; ",""))</f>
        <v/>
      </c>
      <c r="T2862" s="24" t="n"/>
    </row>
    <row r="2863" ht="14.25" customHeight="1" s="40">
      <c r="A2863" s="24" t="n"/>
      <c r="B2863" s="29" t="n"/>
      <c r="C2863" s="28" t="n"/>
      <c r="D2863" s="22">
        <f t="array" ref="D2863">IF($C2863="","",IFERROR(INDEX(DATA_MASTER!$C$2:$C$5000,MATCH($C2863,DATA_MASTER!$D$2:$D$5000,0)),""))</f>
        <v/>
      </c>
      <c r="E2863" s="22">
        <f t="array" ref="E2863">IF($C2863="","",IFERROR(INDEX(DATA_MASTER!$I$2:$I$5000,MATCH($C2863,DATA_MASTER!$D$2:$D$5000,0)),""))</f>
        <v/>
      </c>
      <c r="F2863" s="22">
        <f t="array" ref="F2863">IF($C2863="","",IFERROR(INDEX(DATA_MASTER!$L$2:$L$5000,MATCH($C2863,DATA_MASTER!$D$2:$D$5000,0)),""))</f>
        <v/>
      </c>
      <c r="G2863" s="24" t="n"/>
      <c r="H2863" s="24" t="n"/>
      <c r="I2863" s="30" t="n"/>
      <c r="J2863" s="23">
        <f>IF(OR($H2863="",$I2863=""),"",$H2863*$I2863)</f>
        <v/>
      </c>
      <c r="K2863" s="24" t="n"/>
      <c r="L2863" s="24" t="n"/>
      <c r="M2863" s="29" t="n"/>
      <c r="N2863" s="28" t="n"/>
      <c r="O2863" s="24" t="n"/>
      <c r="P2863" s="24" t="n"/>
      <c r="Q2863" s="24" t="n"/>
      <c r="R2863" s="24" t="n"/>
      <c r="S2863" s="22">
        <f>IF(AND($A2863="",$C2863=""),"",IF($A2863="","Thiếu mã đơn; ","")&amp;IF(COUNTIF($A$2:$A2863,$A2863)&gt;1,"Trùng mã đơn; ","")&amp;IF(ISNA(MATCH($C2863,DATA_MASTER!$D$2:$D$5000,0)),"SĐT chưa đăng ký hội viên; ","")&amp;IF(AND($L2863="Đã chuyển khoản",$M2863=""),"Thiếu ngày nhận CK; ",""))</f>
        <v/>
      </c>
      <c r="T2863" s="24" t="n"/>
    </row>
    <row r="2864" ht="14.25" customHeight="1" s="40">
      <c r="A2864" s="24" t="n"/>
      <c r="B2864" s="29" t="n"/>
      <c r="C2864" s="28" t="n"/>
      <c r="D2864" s="22">
        <f t="array" ref="D2864">IF($C2864="","",IFERROR(INDEX(DATA_MASTER!$C$2:$C$5000,MATCH($C2864,DATA_MASTER!$D$2:$D$5000,0)),""))</f>
        <v/>
      </c>
      <c r="E2864" s="22">
        <f t="array" ref="E2864">IF($C2864="","",IFERROR(INDEX(DATA_MASTER!$I$2:$I$5000,MATCH($C2864,DATA_MASTER!$D$2:$D$5000,0)),""))</f>
        <v/>
      </c>
      <c r="F2864" s="22">
        <f t="array" ref="F2864">IF($C2864="","",IFERROR(INDEX(DATA_MASTER!$L$2:$L$5000,MATCH($C2864,DATA_MASTER!$D$2:$D$5000,0)),""))</f>
        <v/>
      </c>
      <c r="G2864" s="24" t="n"/>
      <c r="H2864" s="24" t="n"/>
      <c r="I2864" s="30" t="n"/>
      <c r="J2864" s="23">
        <f>IF(OR($H2864="",$I2864=""),"",$H2864*$I2864)</f>
        <v/>
      </c>
      <c r="K2864" s="24" t="n"/>
      <c r="L2864" s="24" t="n"/>
      <c r="M2864" s="29" t="n"/>
      <c r="N2864" s="28" t="n"/>
      <c r="O2864" s="24" t="n"/>
      <c r="P2864" s="24" t="n"/>
      <c r="Q2864" s="24" t="n"/>
      <c r="R2864" s="24" t="n"/>
      <c r="S2864" s="22">
        <f>IF(AND($A2864="",$C2864=""),"",IF($A2864="","Thiếu mã đơn; ","")&amp;IF(COUNTIF($A$2:$A2864,$A2864)&gt;1,"Trùng mã đơn; ","")&amp;IF(ISNA(MATCH($C2864,DATA_MASTER!$D$2:$D$5000,0)),"SĐT chưa đăng ký hội viên; ","")&amp;IF(AND($L2864="Đã chuyển khoản",$M2864=""),"Thiếu ngày nhận CK; ",""))</f>
        <v/>
      </c>
      <c r="T2864" s="24" t="n"/>
    </row>
    <row r="2865" ht="14.25" customHeight="1" s="40">
      <c r="A2865" s="24" t="n"/>
      <c r="B2865" s="29" t="n"/>
      <c r="C2865" s="28" t="n"/>
      <c r="D2865" s="22">
        <f t="array" ref="D2865">IF($C2865="","",IFERROR(INDEX(DATA_MASTER!$C$2:$C$5000,MATCH($C2865,DATA_MASTER!$D$2:$D$5000,0)),""))</f>
        <v/>
      </c>
      <c r="E2865" s="22">
        <f t="array" ref="E2865">IF($C2865="","",IFERROR(INDEX(DATA_MASTER!$I$2:$I$5000,MATCH($C2865,DATA_MASTER!$D$2:$D$5000,0)),""))</f>
        <v/>
      </c>
      <c r="F2865" s="22">
        <f t="array" ref="F2865">IF($C2865="","",IFERROR(INDEX(DATA_MASTER!$L$2:$L$5000,MATCH($C2865,DATA_MASTER!$D$2:$D$5000,0)),""))</f>
        <v/>
      </c>
      <c r="G2865" s="24" t="n"/>
      <c r="H2865" s="24" t="n"/>
      <c r="I2865" s="30" t="n"/>
      <c r="J2865" s="23">
        <f>IF(OR($H2865="",$I2865=""),"",$H2865*$I2865)</f>
        <v/>
      </c>
      <c r="K2865" s="24" t="n"/>
      <c r="L2865" s="24" t="n"/>
      <c r="M2865" s="29" t="n"/>
      <c r="N2865" s="28" t="n"/>
      <c r="O2865" s="24" t="n"/>
      <c r="P2865" s="24" t="n"/>
      <c r="Q2865" s="24" t="n"/>
      <c r="R2865" s="24" t="n"/>
      <c r="S2865" s="22">
        <f>IF(AND($A2865="",$C2865=""),"",IF($A2865="","Thiếu mã đơn; ","")&amp;IF(COUNTIF($A$2:$A2865,$A2865)&gt;1,"Trùng mã đơn; ","")&amp;IF(ISNA(MATCH($C2865,DATA_MASTER!$D$2:$D$5000,0)),"SĐT chưa đăng ký hội viên; ","")&amp;IF(AND($L2865="Đã chuyển khoản",$M2865=""),"Thiếu ngày nhận CK; ",""))</f>
        <v/>
      </c>
      <c r="T2865" s="24" t="n"/>
    </row>
    <row r="2866" ht="14.25" customHeight="1" s="40">
      <c r="A2866" s="24" t="n"/>
      <c r="B2866" s="29" t="n"/>
      <c r="C2866" s="28" t="n"/>
      <c r="D2866" s="22">
        <f t="array" ref="D2866">IF($C2866="","",IFERROR(INDEX(DATA_MASTER!$C$2:$C$5000,MATCH($C2866,DATA_MASTER!$D$2:$D$5000,0)),""))</f>
        <v/>
      </c>
      <c r="E2866" s="22">
        <f t="array" ref="E2866">IF($C2866="","",IFERROR(INDEX(DATA_MASTER!$I$2:$I$5000,MATCH($C2866,DATA_MASTER!$D$2:$D$5000,0)),""))</f>
        <v/>
      </c>
      <c r="F2866" s="22">
        <f t="array" ref="F2866">IF($C2866="","",IFERROR(INDEX(DATA_MASTER!$L$2:$L$5000,MATCH($C2866,DATA_MASTER!$D$2:$D$5000,0)),""))</f>
        <v/>
      </c>
      <c r="G2866" s="24" t="n"/>
      <c r="H2866" s="24" t="n"/>
      <c r="I2866" s="30" t="n"/>
      <c r="J2866" s="23">
        <f>IF(OR($H2866="",$I2866=""),"",$H2866*$I2866)</f>
        <v/>
      </c>
      <c r="K2866" s="24" t="n"/>
      <c r="L2866" s="24" t="n"/>
      <c r="M2866" s="29" t="n"/>
      <c r="N2866" s="28" t="n"/>
      <c r="O2866" s="24" t="n"/>
      <c r="P2866" s="24" t="n"/>
      <c r="Q2866" s="24" t="n"/>
      <c r="R2866" s="24" t="n"/>
      <c r="S2866" s="22">
        <f>IF(AND($A2866="",$C2866=""),"",IF($A2866="","Thiếu mã đơn; ","")&amp;IF(COUNTIF($A$2:$A2866,$A2866)&gt;1,"Trùng mã đơn; ","")&amp;IF(ISNA(MATCH($C2866,DATA_MASTER!$D$2:$D$5000,0)),"SĐT chưa đăng ký hội viên; ","")&amp;IF(AND($L2866="Đã chuyển khoản",$M2866=""),"Thiếu ngày nhận CK; ",""))</f>
        <v/>
      </c>
      <c r="T2866" s="24" t="n"/>
    </row>
    <row r="2867" ht="14.25" customHeight="1" s="40">
      <c r="A2867" s="24" t="n"/>
      <c r="B2867" s="29" t="n"/>
      <c r="C2867" s="28" t="n"/>
      <c r="D2867" s="22">
        <f t="array" ref="D2867">IF($C2867="","",IFERROR(INDEX(DATA_MASTER!$C$2:$C$5000,MATCH($C2867,DATA_MASTER!$D$2:$D$5000,0)),""))</f>
        <v/>
      </c>
      <c r="E2867" s="22">
        <f t="array" ref="E2867">IF($C2867="","",IFERROR(INDEX(DATA_MASTER!$I$2:$I$5000,MATCH($C2867,DATA_MASTER!$D$2:$D$5000,0)),""))</f>
        <v/>
      </c>
      <c r="F2867" s="22">
        <f t="array" ref="F2867">IF($C2867="","",IFERROR(INDEX(DATA_MASTER!$L$2:$L$5000,MATCH($C2867,DATA_MASTER!$D$2:$D$5000,0)),""))</f>
        <v/>
      </c>
      <c r="G2867" s="24" t="n"/>
      <c r="H2867" s="24" t="n"/>
      <c r="I2867" s="30" t="n"/>
      <c r="J2867" s="23">
        <f>IF(OR($H2867="",$I2867=""),"",$H2867*$I2867)</f>
        <v/>
      </c>
      <c r="K2867" s="24" t="n"/>
      <c r="L2867" s="24" t="n"/>
      <c r="M2867" s="29" t="n"/>
      <c r="N2867" s="28" t="n"/>
      <c r="O2867" s="24" t="n"/>
      <c r="P2867" s="24" t="n"/>
      <c r="Q2867" s="24" t="n"/>
      <c r="R2867" s="24" t="n"/>
      <c r="S2867" s="22">
        <f>IF(AND($A2867="",$C2867=""),"",IF($A2867="","Thiếu mã đơn; ","")&amp;IF(COUNTIF($A$2:$A2867,$A2867)&gt;1,"Trùng mã đơn; ","")&amp;IF(ISNA(MATCH($C2867,DATA_MASTER!$D$2:$D$5000,0)),"SĐT chưa đăng ký hội viên; ","")&amp;IF(AND($L2867="Đã chuyển khoản",$M2867=""),"Thiếu ngày nhận CK; ",""))</f>
        <v/>
      </c>
      <c r="T2867" s="24" t="n"/>
    </row>
    <row r="2868" ht="14.25" customHeight="1" s="40">
      <c r="A2868" s="24" t="n"/>
      <c r="B2868" s="29" t="n"/>
      <c r="C2868" s="28" t="n"/>
      <c r="D2868" s="22">
        <f t="array" ref="D2868">IF($C2868="","",IFERROR(INDEX(DATA_MASTER!$C$2:$C$5000,MATCH($C2868,DATA_MASTER!$D$2:$D$5000,0)),""))</f>
        <v/>
      </c>
      <c r="E2868" s="22">
        <f t="array" ref="E2868">IF($C2868="","",IFERROR(INDEX(DATA_MASTER!$I$2:$I$5000,MATCH($C2868,DATA_MASTER!$D$2:$D$5000,0)),""))</f>
        <v/>
      </c>
      <c r="F2868" s="22">
        <f t="array" ref="F2868">IF($C2868="","",IFERROR(INDEX(DATA_MASTER!$L$2:$L$5000,MATCH($C2868,DATA_MASTER!$D$2:$D$5000,0)),""))</f>
        <v/>
      </c>
      <c r="G2868" s="24" t="n"/>
      <c r="H2868" s="24" t="n"/>
      <c r="I2868" s="30" t="n"/>
      <c r="J2868" s="23">
        <f>IF(OR($H2868="",$I2868=""),"",$H2868*$I2868)</f>
        <v/>
      </c>
      <c r="K2868" s="24" t="n"/>
      <c r="L2868" s="24" t="n"/>
      <c r="M2868" s="29" t="n"/>
      <c r="N2868" s="28" t="n"/>
      <c r="O2868" s="24" t="n"/>
      <c r="P2868" s="24" t="n"/>
      <c r="Q2868" s="24" t="n"/>
      <c r="R2868" s="24" t="n"/>
      <c r="S2868" s="22">
        <f>IF(AND($A2868="",$C2868=""),"",IF($A2868="","Thiếu mã đơn; ","")&amp;IF(COUNTIF($A$2:$A2868,$A2868)&gt;1,"Trùng mã đơn; ","")&amp;IF(ISNA(MATCH($C2868,DATA_MASTER!$D$2:$D$5000,0)),"SĐT chưa đăng ký hội viên; ","")&amp;IF(AND($L2868="Đã chuyển khoản",$M2868=""),"Thiếu ngày nhận CK; ",""))</f>
        <v/>
      </c>
      <c r="T2868" s="24" t="n"/>
    </row>
    <row r="2869" ht="14.25" customHeight="1" s="40">
      <c r="A2869" s="24" t="n"/>
      <c r="B2869" s="29" t="n"/>
      <c r="C2869" s="28" t="n"/>
      <c r="D2869" s="22">
        <f t="array" ref="D2869">IF($C2869="","",IFERROR(INDEX(DATA_MASTER!$C$2:$C$5000,MATCH($C2869,DATA_MASTER!$D$2:$D$5000,0)),""))</f>
        <v/>
      </c>
      <c r="E2869" s="22">
        <f t="array" ref="E2869">IF($C2869="","",IFERROR(INDEX(DATA_MASTER!$I$2:$I$5000,MATCH($C2869,DATA_MASTER!$D$2:$D$5000,0)),""))</f>
        <v/>
      </c>
      <c r="F2869" s="22">
        <f t="array" ref="F2869">IF($C2869="","",IFERROR(INDEX(DATA_MASTER!$L$2:$L$5000,MATCH($C2869,DATA_MASTER!$D$2:$D$5000,0)),""))</f>
        <v/>
      </c>
      <c r="G2869" s="24" t="n"/>
      <c r="H2869" s="24" t="n"/>
      <c r="I2869" s="30" t="n"/>
      <c r="J2869" s="23">
        <f>IF(OR($H2869="",$I2869=""),"",$H2869*$I2869)</f>
        <v/>
      </c>
      <c r="K2869" s="24" t="n"/>
      <c r="L2869" s="24" t="n"/>
      <c r="M2869" s="29" t="n"/>
      <c r="N2869" s="28" t="n"/>
      <c r="O2869" s="24" t="n"/>
      <c r="P2869" s="24" t="n"/>
      <c r="Q2869" s="24" t="n"/>
      <c r="R2869" s="24" t="n"/>
      <c r="S2869" s="22">
        <f>IF(AND($A2869="",$C2869=""),"",IF($A2869="","Thiếu mã đơn; ","")&amp;IF(COUNTIF($A$2:$A2869,$A2869)&gt;1,"Trùng mã đơn; ","")&amp;IF(ISNA(MATCH($C2869,DATA_MASTER!$D$2:$D$5000,0)),"SĐT chưa đăng ký hội viên; ","")&amp;IF(AND($L2869="Đã chuyển khoản",$M2869=""),"Thiếu ngày nhận CK; ",""))</f>
        <v/>
      </c>
      <c r="T2869" s="24" t="n"/>
    </row>
    <row r="2870" ht="14.25" customHeight="1" s="40">
      <c r="A2870" s="24" t="n"/>
      <c r="B2870" s="29" t="n"/>
      <c r="C2870" s="28" t="n"/>
      <c r="D2870" s="22">
        <f t="array" ref="D2870">IF($C2870="","",IFERROR(INDEX(DATA_MASTER!$C$2:$C$5000,MATCH($C2870,DATA_MASTER!$D$2:$D$5000,0)),""))</f>
        <v/>
      </c>
      <c r="E2870" s="22">
        <f t="array" ref="E2870">IF($C2870="","",IFERROR(INDEX(DATA_MASTER!$I$2:$I$5000,MATCH($C2870,DATA_MASTER!$D$2:$D$5000,0)),""))</f>
        <v/>
      </c>
      <c r="F2870" s="22">
        <f t="array" ref="F2870">IF($C2870="","",IFERROR(INDEX(DATA_MASTER!$L$2:$L$5000,MATCH($C2870,DATA_MASTER!$D$2:$D$5000,0)),""))</f>
        <v/>
      </c>
      <c r="G2870" s="24" t="n"/>
      <c r="H2870" s="24" t="n"/>
      <c r="I2870" s="30" t="n"/>
      <c r="J2870" s="23">
        <f>IF(OR($H2870="",$I2870=""),"",$H2870*$I2870)</f>
        <v/>
      </c>
      <c r="K2870" s="24" t="n"/>
      <c r="L2870" s="24" t="n"/>
      <c r="M2870" s="29" t="n"/>
      <c r="N2870" s="28" t="n"/>
      <c r="O2870" s="24" t="n"/>
      <c r="P2870" s="24" t="n"/>
      <c r="Q2870" s="24" t="n"/>
      <c r="R2870" s="24" t="n"/>
      <c r="S2870" s="22">
        <f>IF(AND($A2870="",$C2870=""),"",IF($A2870="","Thiếu mã đơn; ","")&amp;IF(COUNTIF($A$2:$A2870,$A2870)&gt;1,"Trùng mã đơn; ","")&amp;IF(ISNA(MATCH($C2870,DATA_MASTER!$D$2:$D$5000,0)),"SĐT chưa đăng ký hội viên; ","")&amp;IF(AND($L2870="Đã chuyển khoản",$M2870=""),"Thiếu ngày nhận CK; ",""))</f>
        <v/>
      </c>
      <c r="T2870" s="24" t="n"/>
    </row>
    <row r="2871" ht="14.25" customHeight="1" s="40">
      <c r="A2871" s="24" t="n"/>
      <c r="B2871" s="29" t="n"/>
      <c r="C2871" s="28" t="n"/>
      <c r="D2871" s="22">
        <f t="array" ref="D2871">IF($C2871="","",IFERROR(INDEX(DATA_MASTER!$C$2:$C$5000,MATCH($C2871,DATA_MASTER!$D$2:$D$5000,0)),""))</f>
        <v/>
      </c>
      <c r="E2871" s="22">
        <f t="array" ref="E2871">IF($C2871="","",IFERROR(INDEX(DATA_MASTER!$I$2:$I$5000,MATCH($C2871,DATA_MASTER!$D$2:$D$5000,0)),""))</f>
        <v/>
      </c>
      <c r="F2871" s="22">
        <f t="array" ref="F2871">IF($C2871="","",IFERROR(INDEX(DATA_MASTER!$L$2:$L$5000,MATCH($C2871,DATA_MASTER!$D$2:$D$5000,0)),""))</f>
        <v/>
      </c>
      <c r="G2871" s="24" t="n"/>
      <c r="H2871" s="24" t="n"/>
      <c r="I2871" s="30" t="n"/>
      <c r="J2871" s="23">
        <f>IF(OR($H2871="",$I2871=""),"",$H2871*$I2871)</f>
        <v/>
      </c>
      <c r="K2871" s="24" t="n"/>
      <c r="L2871" s="24" t="n"/>
      <c r="M2871" s="29" t="n"/>
      <c r="N2871" s="28" t="n"/>
      <c r="O2871" s="24" t="n"/>
      <c r="P2871" s="24" t="n"/>
      <c r="Q2871" s="24" t="n"/>
      <c r="R2871" s="24" t="n"/>
      <c r="S2871" s="22">
        <f>IF(AND($A2871="",$C2871=""),"",IF($A2871="","Thiếu mã đơn; ","")&amp;IF(COUNTIF($A$2:$A2871,$A2871)&gt;1,"Trùng mã đơn; ","")&amp;IF(ISNA(MATCH($C2871,DATA_MASTER!$D$2:$D$5000,0)),"SĐT chưa đăng ký hội viên; ","")&amp;IF(AND($L2871="Đã chuyển khoản",$M2871=""),"Thiếu ngày nhận CK; ",""))</f>
        <v/>
      </c>
      <c r="T2871" s="24" t="n"/>
    </row>
    <row r="2872" ht="14.25" customHeight="1" s="40">
      <c r="A2872" s="24" t="n"/>
      <c r="B2872" s="29" t="n"/>
      <c r="C2872" s="28" t="n"/>
      <c r="D2872" s="22">
        <f t="array" ref="D2872">IF($C2872="","",IFERROR(INDEX(DATA_MASTER!$C$2:$C$5000,MATCH($C2872,DATA_MASTER!$D$2:$D$5000,0)),""))</f>
        <v/>
      </c>
      <c r="E2872" s="22">
        <f t="array" ref="E2872">IF($C2872="","",IFERROR(INDEX(DATA_MASTER!$I$2:$I$5000,MATCH($C2872,DATA_MASTER!$D$2:$D$5000,0)),""))</f>
        <v/>
      </c>
      <c r="F2872" s="22">
        <f t="array" ref="F2872">IF($C2872="","",IFERROR(INDEX(DATA_MASTER!$L$2:$L$5000,MATCH($C2872,DATA_MASTER!$D$2:$D$5000,0)),""))</f>
        <v/>
      </c>
      <c r="G2872" s="24" t="n"/>
      <c r="H2872" s="24" t="n"/>
      <c r="I2872" s="30" t="n"/>
      <c r="J2872" s="23">
        <f>IF(OR($H2872="",$I2872=""),"",$H2872*$I2872)</f>
        <v/>
      </c>
      <c r="K2872" s="24" t="n"/>
      <c r="L2872" s="24" t="n"/>
      <c r="M2872" s="29" t="n"/>
      <c r="N2872" s="28" t="n"/>
      <c r="O2872" s="24" t="n"/>
      <c r="P2872" s="24" t="n"/>
      <c r="Q2872" s="24" t="n"/>
      <c r="R2872" s="24" t="n"/>
      <c r="S2872" s="22">
        <f>IF(AND($A2872="",$C2872=""),"",IF($A2872="","Thiếu mã đơn; ","")&amp;IF(COUNTIF($A$2:$A2872,$A2872)&gt;1,"Trùng mã đơn; ","")&amp;IF(ISNA(MATCH($C2872,DATA_MASTER!$D$2:$D$5000,0)),"SĐT chưa đăng ký hội viên; ","")&amp;IF(AND($L2872="Đã chuyển khoản",$M2872=""),"Thiếu ngày nhận CK; ",""))</f>
        <v/>
      </c>
      <c r="T2872" s="24" t="n"/>
    </row>
    <row r="2873" ht="14.25" customHeight="1" s="40">
      <c r="A2873" s="24" t="n"/>
      <c r="B2873" s="29" t="n"/>
      <c r="C2873" s="28" t="n"/>
      <c r="D2873" s="22">
        <f t="array" ref="D2873">IF($C2873="","",IFERROR(INDEX(DATA_MASTER!$C$2:$C$5000,MATCH($C2873,DATA_MASTER!$D$2:$D$5000,0)),""))</f>
        <v/>
      </c>
      <c r="E2873" s="22">
        <f t="array" ref="E2873">IF($C2873="","",IFERROR(INDEX(DATA_MASTER!$I$2:$I$5000,MATCH($C2873,DATA_MASTER!$D$2:$D$5000,0)),""))</f>
        <v/>
      </c>
      <c r="F2873" s="22">
        <f t="array" ref="F2873">IF($C2873="","",IFERROR(INDEX(DATA_MASTER!$L$2:$L$5000,MATCH($C2873,DATA_MASTER!$D$2:$D$5000,0)),""))</f>
        <v/>
      </c>
      <c r="G2873" s="24" t="n"/>
      <c r="H2873" s="24" t="n"/>
      <c r="I2873" s="30" t="n"/>
      <c r="J2873" s="23">
        <f>IF(OR($H2873="",$I2873=""),"",$H2873*$I2873)</f>
        <v/>
      </c>
      <c r="K2873" s="24" t="n"/>
      <c r="L2873" s="24" t="n"/>
      <c r="M2873" s="29" t="n"/>
      <c r="N2873" s="28" t="n"/>
      <c r="O2873" s="24" t="n"/>
      <c r="P2873" s="24" t="n"/>
      <c r="Q2873" s="24" t="n"/>
      <c r="R2873" s="24" t="n"/>
      <c r="S2873" s="22">
        <f>IF(AND($A2873="",$C2873=""),"",IF($A2873="","Thiếu mã đơn; ","")&amp;IF(COUNTIF($A$2:$A2873,$A2873)&gt;1,"Trùng mã đơn; ","")&amp;IF(ISNA(MATCH($C2873,DATA_MASTER!$D$2:$D$5000,0)),"SĐT chưa đăng ký hội viên; ","")&amp;IF(AND($L2873="Đã chuyển khoản",$M2873=""),"Thiếu ngày nhận CK; ",""))</f>
        <v/>
      </c>
      <c r="T2873" s="24" t="n"/>
    </row>
    <row r="2874" ht="14.25" customHeight="1" s="40">
      <c r="A2874" s="24" t="n"/>
      <c r="B2874" s="29" t="n"/>
      <c r="C2874" s="28" t="n"/>
      <c r="D2874" s="22">
        <f t="array" ref="D2874">IF($C2874="","",IFERROR(INDEX(DATA_MASTER!$C$2:$C$5000,MATCH($C2874,DATA_MASTER!$D$2:$D$5000,0)),""))</f>
        <v/>
      </c>
      <c r="E2874" s="22">
        <f t="array" ref="E2874">IF($C2874="","",IFERROR(INDEX(DATA_MASTER!$I$2:$I$5000,MATCH($C2874,DATA_MASTER!$D$2:$D$5000,0)),""))</f>
        <v/>
      </c>
      <c r="F2874" s="22">
        <f t="array" ref="F2874">IF($C2874="","",IFERROR(INDEX(DATA_MASTER!$L$2:$L$5000,MATCH($C2874,DATA_MASTER!$D$2:$D$5000,0)),""))</f>
        <v/>
      </c>
      <c r="G2874" s="24" t="n"/>
      <c r="H2874" s="24" t="n"/>
      <c r="I2874" s="30" t="n"/>
      <c r="J2874" s="23">
        <f>IF(OR($H2874="",$I2874=""),"",$H2874*$I2874)</f>
        <v/>
      </c>
      <c r="K2874" s="24" t="n"/>
      <c r="L2874" s="24" t="n"/>
      <c r="M2874" s="29" t="n"/>
      <c r="N2874" s="28" t="n"/>
      <c r="O2874" s="24" t="n"/>
      <c r="P2874" s="24" t="n"/>
      <c r="Q2874" s="24" t="n"/>
      <c r="R2874" s="24" t="n"/>
      <c r="S2874" s="22">
        <f>IF(AND($A2874="",$C2874=""),"",IF($A2874="","Thiếu mã đơn; ","")&amp;IF(COUNTIF($A$2:$A2874,$A2874)&gt;1,"Trùng mã đơn; ","")&amp;IF(ISNA(MATCH($C2874,DATA_MASTER!$D$2:$D$5000,0)),"SĐT chưa đăng ký hội viên; ","")&amp;IF(AND($L2874="Đã chuyển khoản",$M2874=""),"Thiếu ngày nhận CK; ",""))</f>
        <v/>
      </c>
      <c r="T2874" s="24" t="n"/>
    </row>
    <row r="2875" ht="14.25" customHeight="1" s="40">
      <c r="A2875" s="24" t="n"/>
      <c r="B2875" s="29" t="n"/>
      <c r="C2875" s="28" t="n"/>
      <c r="D2875" s="22">
        <f t="array" ref="D2875">IF($C2875="","",IFERROR(INDEX(DATA_MASTER!$C$2:$C$5000,MATCH($C2875,DATA_MASTER!$D$2:$D$5000,0)),""))</f>
        <v/>
      </c>
      <c r="E2875" s="22">
        <f t="array" ref="E2875">IF($C2875="","",IFERROR(INDEX(DATA_MASTER!$I$2:$I$5000,MATCH($C2875,DATA_MASTER!$D$2:$D$5000,0)),""))</f>
        <v/>
      </c>
      <c r="F2875" s="22">
        <f t="array" ref="F2875">IF($C2875="","",IFERROR(INDEX(DATA_MASTER!$L$2:$L$5000,MATCH($C2875,DATA_MASTER!$D$2:$D$5000,0)),""))</f>
        <v/>
      </c>
      <c r="G2875" s="24" t="n"/>
      <c r="H2875" s="24" t="n"/>
      <c r="I2875" s="30" t="n"/>
      <c r="J2875" s="23">
        <f>IF(OR($H2875="",$I2875=""),"",$H2875*$I2875)</f>
        <v/>
      </c>
      <c r="K2875" s="24" t="n"/>
      <c r="L2875" s="24" t="n"/>
      <c r="M2875" s="29" t="n"/>
      <c r="N2875" s="28" t="n"/>
      <c r="O2875" s="24" t="n"/>
      <c r="P2875" s="24" t="n"/>
      <c r="Q2875" s="24" t="n"/>
      <c r="R2875" s="24" t="n"/>
      <c r="S2875" s="22">
        <f>IF(AND($A2875="",$C2875=""),"",IF($A2875="","Thiếu mã đơn; ","")&amp;IF(COUNTIF($A$2:$A2875,$A2875)&gt;1,"Trùng mã đơn; ","")&amp;IF(ISNA(MATCH($C2875,DATA_MASTER!$D$2:$D$5000,0)),"SĐT chưa đăng ký hội viên; ","")&amp;IF(AND($L2875="Đã chuyển khoản",$M2875=""),"Thiếu ngày nhận CK; ",""))</f>
        <v/>
      </c>
      <c r="T2875" s="24" t="n"/>
    </row>
    <row r="2876" ht="14.25" customHeight="1" s="40">
      <c r="A2876" s="24" t="n"/>
      <c r="B2876" s="29" t="n"/>
      <c r="C2876" s="28" t="n"/>
      <c r="D2876" s="22">
        <f t="array" ref="D2876">IF($C2876="","",IFERROR(INDEX(DATA_MASTER!$C$2:$C$5000,MATCH($C2876,DATA_MASTER!$D$2:$D$5000,0)),""))</f>
        <v/>
      </c>
      <c r="E2876" s="22">
        <f t="array" ref="E2876">IF($C2876="","",IFERROR(INDEX(DATA_MASTER!$I$2:$I$5000,MATCH($C2876,DATA_MASTER!$D$2:$D$5000,0)),""))</f>
        <v/>
      </c>
      <c r="F2876" s="22">
        <f t="array" ref="F2876">IF($C2876="","",IFERROR(INDEX(DATA_MASTER!$L$2:$L$5000,MATCH($C2876,DATA_MASTER!$D$2:$D$5000,0)),""))</f>
        <v/>
      </c>
      <c r="G2876" s="24" t="n"/>
      <c r="H2876" s="24" t="n"/>
      <c r="I2876" s="30" t="n"/>
      <c r="J2876" s="23">
        <f>IF(OR($H2876="",$I2876=""),"",$H2876*$I2876)</f>
        <v/>
      </c>
      <c r="K2876" s="24" t="n"/>
      <c r="L2876" s="24" t="n"/>
      <c r="M2876" s="29" t="n"/>
      <c r="N2876" s="28" t="n"/>
      <c r="O2876" s="24" t="n"/>
      <c r="P2876" s="24" t="n"/>
      <c r="Q2876" s="24" t="n"/>
      <c r="R2876" s="24" t="n"/>
      <c r="S2876" s="22">
        <f>IF(AND($A2876="",$C2876=""),"",IF($A2876="","Thiếu mã đơn; ","")&amp;IF(COUNTIF($A$2:$A2876,$A2876)&gt;1,"Trùng mã đơn; ","")&amp;IF(ISNA(MATCH($C2876,DATA_MASTER!$D$2:$D$5000,0)),"SĐT chưa đăng ký hội viên; ","")&amp;IF(AND($L2876="Đã chuyển khoản",$M2876=""),"Thiếu ngày nhận CK; ",""))</f>
        <v/>
      </c>
      <c r="T2876" s="24" t="n"/>
    </row>
    <row r="2877" ht="14.25" customHeight="1" s="40">
      <c r="A2877" s="24" t="n"/>
      <c r="B2877" s="29" t="n"/>
      <c r="C2877" s="28" t="n"/>
      <c r="D2877" s="22">
        <f t="array" ref="D2877">IF($C2877="","",IFERROR(INDEX(DATA_MASTER!$C$2:$C$5000,MATCH($C2877,DATA_MASTER!$D$2:$D$5000,0)),""))</f>
        <v/>
      </c>
      <c r="E2877" s="22">
        <f t="array" ref="E2877">IF($C2877="","",IFERROR(INDEX(DATA_MASTER!$I$2:$I$5000,MATCH($C2877,DATA_MASTER!$D$2:$D$5000,0)),""))</f>
        <v/>
      </c>
      <c r="F2877" s="22">
        <f t="array" ref="F2877">IF($C2877="","",IFERROR(INDEX(DATA_MASTER!$L$2:$L$5000,MATCH($C2877,DATA_MASTER!$D$2:$D$5000,0)),""))</f>
        <v/>
      </c>
      <c r="G2877" s="24" t="n"/>
      <c r="H2877" s="24" t="n"/>
      <c r="I2877" s="30" t="n"/>
      <c r="J2877" s="23">
        <f>IF(OR($H2877="",$I2877=""),"",$H2877*$I2877)</f>
        <v/>
      </c>
      <c r="K2877" s="24" t="n"/>
      <c r="L2877" s="24" t="n"/>
      <c r="M2877" s="29" t="n"/>
      <c r="N2877" s="28" t="n"/>
      <c r="O2877" s="24" t="n"/>
      <c r="P2877" s="24" t="n"/>
      <c r="Q2877" s="24" t="n"/>
      <c r="R2877" s="24" t="n"/>
      <c r="S2877" s="22">
        <f>IF(AND($A2877="",$C2877=""),"",IF($A2877="","Thiếu mã đơn; ","")&amp;IF(COUNTIF($A$2:$A2877,$A2877)&gt;1,"Trùng mã đơn; ","")&amp;IF(ISNA(MATCH($C2877,DATA_MASTER!$D$2:$D$5000,0)),"SĐT chưa đăng ký hội viên; ","")&amp;IF(AND($L2877="Đã chuyển khoản",$M2877=""),"Thiếu ngày nhận CK; ",""))</f>
        <v/>
      </c>
      <c r="T2877" s="24" t="n"/>
    </row>
    <row r="2878" ht="14.25" customHeight="1" s="40">
      <c r="A2878" s="24" t="n"/>
      <c r="B2878" s="29" t="n"/>
      <c r="C2878" s="28" t="n"/>
      <c r="D2878" s="22">
        <f t="array" ref="D2878">IF($C2878="","",IFERROR(INDEX(DATA_MASTER!$C$2:$C$5000,MATCH($C2878,DATA_MASTER!$D$2:$D$5000,0)),""))</f>
        <v/>
      </c>
      <c r="E2878" s="22">
        <f t="array" ref="E2878">IF($C2878="","",IFERROR(INDEX(DATA_MASTER!$I$2:$I$5000,MATCH($C2878,DATA_MASTER!$D$2:$D$5000,0)),""))</f>
        <v/>
      </c>
      <c r="F2878" s="22">
        <f t="array" ref="F2878">IF($C2878="","",IFERROR(INDEX(DATA_MASTER!$L$2:$L$5000,MATCH($C2878,DATA_MASTER!$D$2:$D$5000,0)),""))</f>
        <v/>
      </c>
      <c r="G2878" s="24" t="n"/>
      <c r="H2878" s="24" t="n"/>
      <c r="I2878" s="30" t="n"/>
      <c r="J2878" s="23">
        <f>IF(OR($H2878="",$I2878=""),"",$H2878*$I2878)</f>
        <v/>
      </c>
      <c r="K2878" s="24" t="n"/>
      <c r="L2878" s="24" t="n"/>
      <c r="M2878" s="29" t="n"/>
      <c r="N2878" s="28" t="n"/>
      <c r="O2878" s="24" t="n"/>
      <c r="P2878" s="24" t="n"/>
      <c r="Q2878" s="24" t="n"/>
      <c r="R2878" s="24" t="n"/>
      <c r="S2878" s="22">
        <f>IF(AND($A2878="",$C2878=""),"",IF($A2878="","Thiếu mã đơn; ","")&amp;IF(COUNTIF($A$2:$A2878,$A2878)&gt;1,"Trùng mã đơn; ","")&amp;IF(ISNA(MATCH($C2878,DATA_MASTER!$D$2:$D$5000,0)),"SĐT chưa đăng ký hội viên; ","")&amp;IF(AND($L2878="Đã chuyển khoản",$M2878=""),"Thiếu ngày nhận CK; ",""))</f>
        <v/>
      </c>
      <c r="T2878" s="24" t="n"/>
    </row>
    <row r="2879" ht="14.25" customHeight="1" s="40">
      <c r="A2879" s="24" t="n"/>
      <c r="B2879" s="29" t="n"/>
      <c r="C2879" s="28" t="n"/>
      <c r="D2879" s="22">
        <f t="array" ref="D2879">IF($C2879="","",IFERROR(INDEX(DATA_MASTER!$C$2:$C$5000,MATCH($C2879,DATA_MASTER!$D$2:$D$5000,0)),""))</f>
        <v/>
      </c>
      <c r="E2879" s="22">
        <f t="array" ref="E2879">IF($C2879="","",IFERROR(INDEX(DATA_MASTER!$I$2:$I$5000,MATCH($C2879,DATA_MASTER!$D$2:$D$5000,0)),""))</f>
        <v/>
      </c>
      <c r="F2879" s="22">
        <f t="array" ref="F2879">IF($C2879="","",IFERROR(INDEX(DATA_MASTER!$L$2:$L$5000,MATCH($C2879,DATA_MASTER!$D$2:$D$5000,0)),""))</f>
        <v/>
      </c>
      <c r="G2879" s="24" t="n"/>
      <c r="H2879" s="24" t="n"/>
      <c r="I2879" s="30" t="n"/>
      <c r="J2879" s="23">
        <f>IF(OR($H2879="",$I2879=""),"",$H2879*$I2879)</f>
        <v/>
      </c>
      <c r="K2879" s="24" t="n"/>
      <c r="L2879" s="24" t="n"/>
      <c r="M2879" s="29" t="n"/>
      <c r="N2879" s="28" t="n"/>
      <c r="O2879" s="24" t="n"/>
      <c r="P2879" s="24" t="n"/>
      <c r="Q2879" s="24" t="n"/>
      <c r="R2879" s="24" t="n"/>
      <c r="S2879" s="22">
        <f>IF(AND($A2879="",$C2879=""),"",IF($A2879="","Thiếu mã đơn; ","")&amp;IF(COUNTIF($A$2:$A2879,$A2879)&gt;1,"Trùng mã đơn; ","")&amp;IF(ISNA(MATCH($C2879,DATA_MASTER!$D$2:$D$5000,0)),"SĐT chưa đăng ký hội viên; ","")&amp;IF(AND($L2879="Đã chuyển khoản",$M2879=""),"Thiếu ngày nhận CK; ",""))</f>
        <v/>
      </c>
      <c r="T2879" s="24" t="n"/>
    </row>
    <row r="2880" ht="14.25" customHeight="1" s="40">
      <c r="A2880" s="24" t="n"/>
      <c r="B2880" s="29" t="n"/>
      <c r="C2880" s="28" t="n"/>
      <c r="D2880" s="22">
        <f t="array" ref="D2880">IF($C2880="","",IFERROR(INDEX(DATA_MASTER!$C$2:$C$5000,MATCH($C2880,DATA_MASTER!$D$2:$D$5000,0)),""))</f>
        <v/>
      </c>
      <c r="E2880" s="22">
        <f t="array" ref="E2880">IF($C2880="","",IFERROR(INDEX(DATA_MASTER!$I$2:$I$5000,MATCH($C2880,DATA_MASTER!$D$2:$D$5000,0)),""))</f>
        <v/>
      </c>
      <c r="F2880" s="22">
        <f t="array" ref="F2880">IF($C2880="","",IFERROR(INDEX(DATA_MASTER!$L$2:$L$5000,MATCH($C2880,DATA_MASTER!$D$2:$D$5000,0)),""))</f>
        <v/>
      </c>
      <c r="G2880" s="24" t="n"/>
      <c r="H2880" s="24" t="n"/>
      <c r="I2880" s="30" t="n"/>
      <c r="J2880" s="23">
        <f>IF(OR($H2880="",$I2880=""),"",$H2880*$I2880)</f>
        <v/>
      </c>
      <c r="K2880" s="24" t="n"/>
      <c r="L2880" s="24" t="n"/>
      <c r="M2880" s="29" t="n"/>
      <c r="N2880" s="28" t="n"/>
      <c r="O2880" s="24" t="n"/>
      <c r="P2880" s="24" t="n"/>
      <c r="Q2880" s="24" t="n"/>
      <c r="R2880" s="24" t="n"/>
      <c r="S2880" s="22">
        <f>IF(AND($A2880="",$C2880=""),"",IF($A2880="","Thiếu mã đơn; ","")&amp;IF(COUNTIF($A$2:$A2880,$A2880)&gt;1,"Trùng mã đơn; ","")&amp;IF(ISNA(MATCH($C2880,DATA_MASTER!$D$2:$D$5000,0)),"SĐT chưa đăng ký hội viên; ","")&amp;IF(AND($L2880="Đã chuyển khoản",$M2880=""),"Thiếu ngày nhận CK; ",""))</f>
        <v/>
      </c>
      <c r="T2880" s="24" t="n"/>
    </row>
    <row r="2881" ht="14.25" customHeight="1" s="40">
      <c r="A2881" s="24" t="n"/>
      <c r="B2881" s="29" t="n"/>
      <c r="C2881" s="28" t="n"/>
      <c r="D2881" s="22">
        <f t="array" ref="D2881">IF($C2881="","",IFERROR(INDEX(DATA_MASTER!$C$2:$C$5000,MATCH($C2881,DATA_MASTER!$D$2:$D$5000,0)),""))</f>
        <v/>
      </c>
      <c r="E2881" s="22">
        <f t="array" ref="E2881">IF($C2881="","",IFERROR(INDEX(DATA_MASTER!$I$2:$I$5000,MATCH($C2881,DATA_MASTER!$D$2:$D$5000,0)),""))</f>
        <v/>
      </c>
      <c r="F2881" s="22">
        <f t="array" ref="F2881">IF($C2881="","",IFERROR(INDEX(DATA_MASTER!$L$2:$L$5000,MATCH($C2881,DATA_MASTER!$D$2:$D$5000,0)),""))</f>
        <v/>
      </c>
      <c r="G2881" s="24" t="n"/>
      <c r="H2881" s="24" t="n"/>
      <c r="I2881" s="30" t="n"/>
      <c r="J2881" s="23">
        <f>IF(OR($H2881="",$I2881=""),"",$H2881*$I2881)</f>
        <v/>
      </c>
      <c r="K2881" s="24" t="n"/>
      <c r="L2881" s="24" t="n"/>
      <c r="M2881" s="29" t="n"/>
      <c r="N2881" s="28" t="n"/>
      <c r="O2881" s="24" t="n"/>
      <c r="P2881" s="24" t="n"/>
      <c r="Q2881" s="24" t="n"/>
      <c r="R2881" s="24" t="n"/>
      <c r="S2881" s="22">
        <f>IF(AND($A2881="",$C2881=""),"",IF($A2881="","Thiếu mã đơn; ","")&amp;IF(COUNTIF($A$2:$A2881,$A2881)&gt;1,"Trùng mã đơn; ","")&amp;IF(ISNA(MATCH($C2881,DATA_MASTER!$D$2:$D$5000,0)),"SĐT chưa đăng ký hội viên; ","")&amp;IF(AND($L2881="Đã chuyển khoản",$M2881=""),"Thiếu ngày nhận CK; ",""))</f>
        <v/>
      </c>
      <c r="T2881" s="24" t="n"/>
    </row>
    <row r="2882" ht="14.25" customHeight="1" s="40">
      <c r="A2882" s="24" t="n"/>
      <c r="B2882" s="29" t="n"/>
      <c r="C2882" s="28" t="n"/>
      <c r="D2882" s="22">
        <f t="array" ref="D2882">IF($C2882="","",IFERROR(INDEX(DATA_MASTER!$C$2:$C$5000,MATCH($C2882,DATA_MASTER!$D$2:$D$5000,0)),""))</f>
        <v/>
      </c>
      <c r="E2882" s="22">
        <f t="array" ref="E2882">IF($C2882="","",IFERROR(INDEX(DATA_MASTER!$I$2:$I$5000,MATCH($C2882,DATA_MASTER!$D$2:$D$5000,0)),""))</f>
        <v/>
      </c>
      <c r="F2882" s="22">
        <f t="array" ref="F2882">IF($C2882="","",IFERROR(INDEX(DATA_MASTER!$L$2:$L$5000,MATCH($C2882,DATA_MASTER!$D$2:$D$5000,0)),""))</f>
        <v/>
      </c>
      <c r="G2882" s="24" t="n"/>
      <c r="H2882" s="24" t="n"/>
      <c r="I2882" s="30" t="n"/>
      <c r="J2882" s="23">
        <f>IF(OR($H2882="",$I2882=""),"",$H2882*$I2882)</f>
        <v/>
      </c>
      <c r="K2882" s="24" t="n"/>
      <c r="L2882" s="24" t="n"/>
      <c r="M2882" s="29" t="n"/>
      <c r="N2882" s="28" t="n"/>
      <c r="O2882" s="24" t="n"/>
      <c r="P2882" s="24" t="n"/>
      <c r="Q2882" s="24" t="n"/>
      <c r="R2882" s="24" t="n"/>
      <c r="S2882" s="22">
        <f>IF(AND($A2882="",$C2882=""),"",IF($A2882="","Thiếu mã đơn; ","")&amp;IF(COUNTIF($A$2:$A2882,$A2882)&gt;1,"Trùng mã đơn; ","")&amp;IF(ISNA(MATCH($C2882,DATA_MASTER!$D$2:$D$5000,0)),"SĐT chưa đăng ký hội viên; ","")&amp;IF(AND($L2882="Đã chuyển khoản",$M2882=""),"Thiếu ngày nhận CK; ",""))</f>
        <v/>
      </c>
      <c r="T2882" s="24" t="n"/>
    </row>
    <row r="2883" ht="14.25" customHeight="1" s="40">
      <c r="A2883" s="24" t="n"/>
      <c r="B2883" s="29" t="n"/>
      <c r="C2883" s="28" t="n"/>
      <c r="D2883" s="22">
        <f t="array" ref="D2883">IF($C2883="","",IFERROR(INDEX(DATA_MASTER!$C$2:$C$5000,MATCH($C2883,DATA_MASTER!$D$2:$D$5000,0)),""))</f>
        <v/>
      </c>
      <c r="E2883" s="22">
        <f t="array" ref="E2883">IF($C2883="","",IFERROR(INDEX(DATA_MASTER!$I$2:$I$5000,MATCH($C2883,DATA_MASTER!$D$2:$D$5000,0)),""))</f>
        <v/>
      </c>
      <c r="F2883" s="22">
        <f t="array" ref="F2883">IF($C2883="","",IFERROR(INDEX(DATA_MASTER!$L$2:$L$5000,MATCH($C2883,DATA_MASTER!$D$2:$D$5000,0)),""))</f>
        <v/>
      </c>
      <c r="G2883" s="24" t="n"/>
      <c r="H2883" s="24" t="n"/>
      <c r="I2883" s="30" t="n"/>
      <c r="J2883" s="23">
        <f>IF(OR($H2883="",$I2883=""),"",$H2883*$I2883)</f>
        <v/>
      </c>
      <c r="K2883" s="24" t="n"/>
      <c r="L2883" s="24" t="n"/>
      <c r="M2883" s="29" t="n"/>
      <c r="N2883" s="28" t="n"/>
      <c r="O2883" s="24" t="n"/>
      <c r="P2883" s="24" t="n"/>
      <c r="Q2883" s="24" t="n"/>
      <c r="R2883" s="24" t="n"/>
      <c r="S2883" s="22">
        <f>IF(AND($A2883="",$C2883=""),"",IF($A2883="","Thiếu mã đơn; ","")&amp;IF(COUNTIF($A$2:$A2883,$A2883)&gt;1,"Trùng mã đơn; ","")&amp;IF(ISNA(MATCH($C2883,DATA_MASTER!$D$2:$D$5000,0)),"SĐT chưa đăng ký hội viên; ","")&amp;IF(AND($L2883="Đã chuyển khoản",$M2883=""),"Thiếu ngày nhận CK; ",""))</f>
        <v/>
      </c>
      <c r="T2883" s="24" t="n"/>
    </row>
    <row r="2884" ht="14.25" customHeight="1" s="40">
      <c r="A2884" s="24" t="n"/>
      <c r="B2884" s="29" t="n"/>
      <c r="C2884" s="28" t="n"/>
      <c r="D2884" s="22">
        <f t="array" ref="D2884">IF($C2884="","",IFERROR(INDEX(DATA_MASTER!$C$2:$C$5000,MATCH($C2884,DATA_MASTER!$D$2:$D$5000,0)),""))</f>
        <v/>
      </c>
      <c r="E2884" s="22">
        <f t="array" ref="E2884">IF($C2884="","",IFERROR(INDEX(DATA_MASTER!$I$2:$I$5000,MATCH($C2884,DATA_MASTER!$D$2:$D$5000,0)),""))</f>
        <v/>
      </c>
      <c r="F2884" s="22">
        <f t="array" ref="F2884">IF($C2884="","",IFERROR(INDEX(DATA_MASTER!$L$2:$L$5000,MATCH($C2884,DATA_MASTER!$D$2:$D$5000,0)),""))</f>
        <v/>
      </c>
      <c r="G2884" s="24" t="n"/>
      <c r="H2884" s="24" t="n"/>
      <c r="I2884" s="30" t="n"/>
      <c r="J2884" s="23">
        <f>IF(OR($H2884="",$I2884=""),"",$H2884*$I2884)</f>
        <v/>
      </c>
      <c r="K2884" s="24" t="n"/>
      <c r="L2884" s="24" t="n"/>
      <c r="M2884" s="29" t="n"/>
      <c r="N2884" s="28" t="n"/>
      <c r="O2884" s="24" t="n"/>
      <c r="P2884" s="24" t="n"/>
      <c r="Q2884" s="24" t="n"/>
      <c r="R2884" s="24" t="n"/>
      <c r="S2884" s="22">
        <f>IF(AND($A2884="",$C2884=""),"",IF($A2884="","Thiếu mã đơn; ","")&amp;IF(COUNTIF($A$2:$A2884,$A2884)&gt;1,"Trùng mã đơn; ","")&amp;IF(ISNA(MATCH($C2884,DATA_MASTER!$D$2:$D$5000,0)),"SĐT chưa đăng ký hội viên; ","")&amp;IF(AND($L2884="Đã chuyển khoản",$M2884=""),"Thiếu ngày nhận CK; ",""))</f>
        <v/>
      </c>
      <c r="T2884" s="24" t="n"/>
    </row>
    <row r="2885" ht="14.25" customHeight="1" s="40">
      <c r="A2885" s="24" t="n"/>
      <c r="B2885" s="29" t="n"/>
      <c r="C2885" s="28" t="n"/>
      <c r="D2885" s="22">
        <f t="array" ref="D2885">IF($C2885="","",IFERROR(INDEX(DATA_MASTER!$C$2:$C$5000,MATCH($C2885,DATA_MASTER!$D$2:$D$5000,0)),""))</f>
        <v/>
      </c>
      <c r="E2885" s="22">
        <f t="array" ref="E2885">IF($C2885="","",IFERROR(INDEX(DATA_MASTER!$I$2:$I$5000,MATCH($C2885,DATA_MASTER!$D$2:$D$5000,0)),""))</f>
        <v/>
      </c>
      <c r="F2885" s="22">
        <f t="array" ref="F2885">IF($C2885="","",IFERROR(INDEX(DATA_MASTER!$L$2:$L$5000,MATCH($C2885,DATA_MASTER!$D$2:$D$5000,0)),""))</f>
        <v/>
      </c>
      <c r="G2885" s="24" t="n"/>
      <c r="H2885" s="24" t="n"/>
      <c r="I2885" s="30" t="n"/>
      <c r="J2885" s="23">
        <f>IF(OR($H2885="",$I2885=""),"",$H2885*$I2885)</f>
        <v/>
      </c>
      <c r="K2885" s="24" t="n"/>
      <c r="L2885" s="24" t="n"/>
      <c r="M2885" s="29" t="n"/>
      <c r="N2885" s="28" t="n"/>
      <c r="O2885" s="24" t="n"/>
      <c r="P2885" s="24" t="n"/>
      <c r="Q2885" s="24" t="n"/>
      <c r="R2885" s="24" t="n"/>
      <c r="S2885" s="22">
        <f>IF(AND($A2885="",$C2885=""),"",IF($A2885="","Thiếu mã đơn; ","")&amp;IF(COUNTIF($A$2:$A2885,$A2885)&gt;1,"Trùng mã đơn; ","")&amp;IF(ISNA(MATCH($C2885,DATA_MASTER!$D$2:$D$5000,0)),"SĐT chưa đăng ký hội viên; ","")&amp;IF(AND($L2885="Đã chuyển khoản",$M2885=""),"Thiếu ngày nhận CK; ",""))</f>
        <v/>
      </c>
      <c r="T2885" s="24" t="n"/>
    </row>
    <row r="2886" ht="14.25" customHeight="1" s="40">
      <c r="A2886" s="24" t="n"/>
      <c r="B2886" s="29" t="n"/>
      <c r="C2886" s="28" t="n"/>
      <c r="D2886" s="22">
        <f t="array" ref="D2886">IF($C2886="","",IFERROR(INDEX(DATA_MASTER!$C$2:$C$5000,MATCH($C2886,DATA_MASTER!$D$2:$D$5000,0)),""))</f>
        <v/>
      </c>
      <c r="E2886" s="22">
        <f t="array" ref="E2886">IF($C2886="","",IFERROR(INDEX(DATA_MASTER!$I$2:$I$5000,MATCH($C2886,DATA_MASTER!$D$2:$D$5000,0)),""))</f>
        <v/>
      </c>
      <c r="F2886" s="22">
        <f t="array" ref="F2886">IF($C2886="","",IFERROR(INDEX(DATA_MASTER!$L$2:$L$5000,MATCH($C2886,DATA_MASTER!$D$2:$D$5000,0)),""))</f>
        <v/>
      </c>
      <c r="G2886" s="24" t="n"/>
      <c r="H2886" s="24" t="n"/>
      <c r="I2886" s="30" t="n"/>
      <c r="J2886" s="23">
        <f>IF(OR($H2886="",$I2886=""),"",$H2886*$I2886)</f>
        <v/>
      </c>
      <c r="K2886" s="24" t="n"/>
      <c r="L2886" s="24" t="n"/>
      <c r="M2886" s="29" t="n"/>
      <c r="N2886" s="28" t="n"/>
      <c r="O2886" s="24" t="n"/>
      <c r="P2886" s="24" t="n"/>
      <c r="Q2886" s="24" t="n"/>
      <c r="R2886" s="24" t="n"/>
      <c r="S2886" s="22">
        <f>IF(AND($A2886="",$C2886=""),"",IF($A2886="","Thiếu mã đơn; ","")&amp;IF(COUNTIF($A$2:$A2886,$A2886)&gt;1,"Trùng mã đơn; ","")&amp;IF(ISNA(MATCH($C2886,DATA_MASTER!$D$2:$D$5000,0)),"SĐT chưa đăng ký hội viên; ","")&amp;IF(AND($L2886="Đã chuyển khoản",$M2886=""),"Thiếu ngày nhận CK; ",""))</f>
        <v/>
      </c>
      <c r="T2886" s="24" t="n"/>
    </row>
    <row r="2887" ht="14.25" customHeight="1" s="40">
      <c r="A2887" s="24" t="n"/>
      <c r="B2887" s="29" t="n"/>
      <c r="C2887" s="28" t="n"/>
      <c r="D2887" s="22">
        <f t="array" ref="D2887">IF($C2887="","",IFERROR(INDEX(DATA_MASTER!$C$2:$C$5000,MATCH($C2887,DATA_MASTER!$D$2:$D$5000,0)),""))</f>
        <v/>
      </c>
      <c r="E2887" s="22">
        <f t="array" ref="E2887">IF($C2887="","",IFERROR(INDEX(DATA_MASTER!$I$2:$I$5000,MATCH($C2887,DATA_MASTER!$D$2:$D$5000,0)),""))</f>
        <v/>
      </c>
      <c r="F2887" s="22">
        <f t="array" ref="F2887">IF($C2887="","",IFERROR(INDEX(DATA_MASTER!$L$2:$L$5000,MATCH($C2887,DATA_MASTER!$D$2:$D$5000,0)),""))</f>
        <v/>
      </c>
      <c r="G2887" s="24" t="n"/>
      <c r="H2887" s="24" t="n"/>
      <c r="I2887" s="30" t="n"/>
      <c r="J2887" s="23">
        <f>IF(OR($H2887="",$I2887=""),"",$H2887*$I2887)</f>
        <v/>
      </c>
      <c r="K2887" s="24" t="n"/>
      <c r="L2887" s="24" t="n"/>
      <c r="M2887" s="29" t="n"/>
      <c r="N2887" s="28" t="n"/>
      <c r="O2887" s="24" t="n"/>
      <c r="P2887" s="24" t="n"/>
      <c r="Q2887" s="24" t="n"/>
      <c r="R2887" s="24" t="n"/>
      <c r="S2887" s="22">
        <f>IF(AND($A2887="",$C2887=""),"",IF($A2887="","Thiếu mã đơn; ","")&amp;IF(COUNTIF($A$2:$A2887,$A2887)&gt;1,"Trùng mã đơn; ","")&amp;IF(ISNA(MATCH($C2887,DATA_MASTER!$D$2:$D$5000,0)),"SĐT chưa đăng ký hội viên; ","")&amp;IF(AND($L2887="Đã chuyển khoản",$M2887=""),"Thiếu ngày nhận CK; ",""))</f>
        <v/>
      </c>
      <c r="T2887" s="24" t="n"/>
    </row>
    <row r="2888" ht="14.25" customHeight="1" s="40">
      <c r="A2888" s="24" t="n"/>
      <c r="B2888" s="29" t="n"/>
      <c r="C2888" s="28" t="n"/>
      <c r="D2888" s="22">
        <f t="array" ref="D2888">IF($C2888="","",IFERROR(INDEX(DATA_MASTER!$C$2:$C$5000,MATCH($C2888,DATA_MASTER!$D$2:$D$5000,0)),""))</f>
        <v/>
      </c>
      <c r="E2888" s="22">
        <f t="array" ref="E2888">IF($C2888="","",IFERROR(INDEX(DATA_MASTER!$I$2:$I$5000,MATCH($C2888,DATA_MASTER!$D$2:$D$5000,0)),""))</f>
        <v/>
      </c>
      <c r="F2888" s="22">
        <f t="array" ref="F2888">IF($C2888="","",IFERROR(INDEX(DATA_MASTER!$L$2:$L$5000,MATCH($C2888,DATA_MASTER!$D$2:$D$5000,0)),""))</f>
        <v/>
      </c>
      <c r="G2888" s="24" t="n"/>
      <c r="H2888" s="24" t="n"/>
      <c r="I2888" s="30" t="n"/>
      <c r="J2888" s="23">
        <f>IF(OR($H2888="",$I2888=""),"",$H2888*$I2888)</f>
        <v/>
      </c>
      <c r="K2888" s="24" t="n"/>
      <c r="L2888" s="24" t="n"/>
      <c r="M2888" s="29" t="n"/>
      <c r="N2888" s="28" t="n"/>
      <c r="O2888" s="24" t="n"/>
      <c r="P2888" s="24" t="n"/>
      <c r="Q2888" s="24" t="n"/>
      <c r="R2888" s="24" t="n"/>
      <c r="S2888" s="22">
        <f>IF(AND($A2888="",$C2888=""),"",IF($A2888="","Thiếu mã đơn; ","")&amp;IF(COUNTIF($A$2:$A2888,$A2888)&gt;1,"Trùng mã đơn; ","")&amp;IF(ISNA(MATCH($C2888,DATA_MASTER!$D$2:$D$5000,0)),"SĐT chưa đăng ký hội viên; ","")&amp;IF(AND($L2888="Đã chuyển khoản",$M2888=""),"Thiếu ngày nhận CK; ",""))</f>
        <v/>
      </c>
      <c r="T2888" s="24" t="n"/>
    </row>
    <row r="2889" ht="14.25" customHeight="1" s="40">
      <c r="A2889" s="24" t="n"/>
      <c r="B2889" s="29" t="n"/>
      <c r="C2889" s="28" t="n"/>
      <c r="D2889" s="22">
        <f t="array" ref="D2889">IF($C2889="","",IFERROR(INDEX(DATA_MASTER!$C$2:$C$5000,MATCH($C2889,DATA_MASTER!$D$2:$D$5000,0)),""))</f>
        <v/>
      </c>
      <c r="E2889" s="22">
        <f t="array" ref="E2889">IF($C2889="","",IFERROR(INDEX(DATA_MASTER!$I$2:$I$5000,MATCH($C2889,DATA_MASTER!$D$2:$D$5000,0)),""))</f>
        <v/>
      </c>
      <c r="F2889" s="22">
        <f t="array" ref="F2889">IF($C2889="","",IFERROR(INDEX(DATA_MASTER!$L$2:$L$5000,MATCH($C2889,DATA_MASTER!$D$2:$D$5000,0)),""))</f>
        <v/>
      </c>
      <c r="G2889" s="24" t="n"/>
      <c r="H2889" s="24" t="n"/>
      <c r="I2889" s="30" t="n"/>
      <c r="J2889" s="23">
        <f>IF(OR($H2889="",$I2889=""),"",$H2889*$I2889)</f>
        <v/>
      </c>
      <c r="K2889" s="24" t="n"/>
      <c r="L2889" s="24" t="n"/>
      <c r="M2889" s="29" t="n"/>
      <c r="N2889" s="28" t="n"/>
      <c r="O2889" s="24" t="n"/>
      <c r="P2889" s="24" t="n"/>
      <c r="Q2889" s="24" t="n"/>
      <c r="R2889" s="24" t="n"/>
      <c r="S2889" s="22">
        <f>IF(AND($A2889="",$C2889=""),"",IF($A2889="","Thiếu mã đơn; ","")&amp;IF(COUNTIF($A$2:$A2889,$A2889)&gt;1,"Trùng mã đơn; ","")&amp;IF(ISNA(MATCH($C2889,DATA_MASTER!$D$2:$D$5000,0)),"SĐT chưa đăng ký hội viên; ","")&amp;IF(AND($L2889="Đã chuyển khoản",$M2889=""),"Thiếu ngày nhận CK; ",""))</f>
        <v/>
      </c>
      <c r="T2889" s="24" t="n"/>
    </row>
    <row r="2890" ht="14.25" customHeight="1" s="40">
      <c r="A2890" s="24" t="n"/>
      <c r="B2890" s="29" t="n"/>
      <c r="C2890" s="28" t="n"/>
      <c r="D2890" s="22">
        <f t="array" ref="D2890">IF($C2890="","",IFERROR(INDEX(DATA_MASTER!$C$2:$C$5000,MATCH($C2890,DATA_MASTER!$D$2:$D$5000,0)),""))</f>
        <v/>
      </c>
      <c r="E2890" s="22">
        <f t="array" ref="E2890">IF($C2890="","",IFERROR(INDEX(DATA_MASTER!$I$2:$I$5000,MATCH($C2890,DATA_MASTER!$D$2:$D$5000,0)),""))</f>
        <v/>
      </c>
      <c r="F2890" s="22">
        <f t="array" ref="F2890">IF($C2890="","",IFERROR(INDEX(DATA_MASTER!$L$2:$L$5000,MATCH($C2890,DATA_MASTER!$D$2:$D$5000,0)),""))</f>
        <v/>
      </c>
      <c r="G2890" s="24" t="n"/>
      <c r="H2890" s="24" t="n"/>
      <c r="I2890" s="30" t="n"/>
      <c r="J2890" s="23">
        <f>IF(OR($H2890="",$I2890=""),"",$H2890*$I2890)</f>
        <v/>
      </c>
      <c r="K2890" s="24" t="n"/>
      <c r="L2890" s="24" t="n"/>
      <c r="M2890" s="29" t="n"/>
      <c r="N2890" s="28" t="n"/>
      <c r="O2890" s="24" t="n"/>
      <c r="P2890" s="24" t="n"/>
      <c r="Q2890" s="24" t="n"/>
      <c r="R2890" s="24" t="n"/>
      <c r="S2890" s="22">
        <f>IF(AND($A2890="",$C2890=""),"",IF($A2890="","Thiếu mã đơn; ","")&amp;IF(COUNTIF($A$2:$A2890,$A2890)&gt;1,"Trùng mã đơn; ","")&amp;IF(ISNA(MATCH($C2890,DATA_MASTER!$D$2:$D$5000,0)),"SĐT chưa đăng ký hội viên; ","")&amp;IF(AND($L2890="Đã chuyển khoản",$M2890=""),"Thiếu ngày nhận CK; ",""))</f>
        <v/>
      </c>
      <c r="T2890" s="24" t="n"/>
    </row>
    <row r="2891" ht="14.25" customHeight="1" s="40">
      <c r="A2891" s="24" t="n"/>
      <c r="B2891" s="29" t="n"/>
      <c r="C2891" s="28" t="n"/>
      <c r="D2891" s="22">
        <f t="array" ref="D2891">IF($C2891="","",IFERROR(INDEX(DATA_MASTER!$C$2:$C$5000,MATCH($C2891,DATA_MASTER!$D$2:$D$5000,0)),""))</f>
        <v/>
      </c>
      <c r="E2891" s="22">
        <f t="array" ref="E2891">IF($C2891="","",IFERROR(INDEX(DATA_MASTER!$I$2:$I$5000,MATCH($C2891,DATA_MASTER!$D$2:$D$5000,0)),""))</f>
        <v/>
      </c>
      <c r="F2891" s="22">
        <f t="array" ref="F2891">IF($C2891="","",IFERROR(INDEX(DATA_MASTER!$L$2:$L$5000,MATCH($C2891,DATA_MASTER!$D$2:$D$5000,0)),""))</f>
        <v/>
      </c>
      <c r="G2891" s="24" t="n"/>
      <c r="H2891" s="24" t="n"/>
      <c r="I2891" s="30" t="n"/>
      <c r="J2891" s="23">
        <f>IF(OR($H2891="",$I2891=""),"",$H2891*$I2891)</f>
        <v/>
      </c>
      <c r="K2891" s="24" t="n"/>
      <c r="L2891" s="24" t="n"/>
      <c r="M2891" s="29" t="n"/>
      <c r="N2891" s="28" t="n"/>
      <c r="O2891" s="24" t="n"/>
      <c r="P2891" s="24" t="n"/>
      <c r="Q2891" s="24" t="n"/>
      <c r="R2891" s="24" t="n"/>
      <c r="S2891" s="22">
        <f>IF(AND($A2891="",$C2891=""),"",IF($A2891="","Thiếu mã đơn; ","")&amp;IF(COUNTIF($A$2:$A2891,$A2891)&gt;1,"Trùng mã đơn; ","")&amp;IF(ISNA(MATCH($C2891,DATA_MASTER!$D$2:$D$5000,0)),"SĐT chưa đăng ký hội viên; ","")&amp;IF(AND($L2891="Đã chuyển khoản",$M2891=""),"Thiếu ngày nhận CK; ",""))</f>
        <v/>
      </c>
      <c r="T2891" s="24" t="n"/>
    </row>
    <row r="2892" ht="14.25" customHeight="1" s="40">
      <c r="A2892" s="24" t="n"/>
      <c r="B2892" s="29" t="n"/>
      <c r="C2892" s="28" t="n"/>
      <c r="D2892" s="22">
        <f t="array" ref="D2892">IF($C2892="","",IFERROR(INDEX(DATA_MASTER!$C$2:$C$5000,MATCH($C2892,DATA_MASTER!$D$2:$D$5000,0)),""))</f>
        <v/>
      </c>
      <c r="E2892" s="22">
        <f t="array" ref="E2892">IF($C2892="","",IFERROR(INDEX(DATA_MASTER!$I$2:$I$5000,MATCH($C2892,DATA_MASTER!$D$2:$D$5000,0)),""))</f>
        <v/>
      </c>
      <c r="F2892" s="22">
        <f t="array" ref="F2892">IF($C2892="","",IFERROR(INDEX(DATA_MASTER!$L$2:$L$5000,MATCH($C2892,DATA_MASTER!$D$2:$D$5000,0)),""))</f>
        <v/>
      </c>
      <c r="G2892" s="24" t="n"/>
      <c r="H2892" s="24" t="n"/>
      <c r="I2892" s="30" t="n"/>
      <c r="J2892" s="23">
        <f>IF(OR($H2892="",$I2892=""),"",$H2892*$I2892)</f>
        <v/>
      </c>
      <c r="K2892" s="24" t="n"/>
      <c r="L2892" s="24" t="n"/>
      <c r="M2892" s="29" t="n"/>
      <c r="N2892" s="28" t="n"/>
      <c r="O2892" s="24" t="n"/>
      <c r="P2892" s="24" t="n"/>
      <c r="Q2892" s="24" t="n"/>
      <c r="R2892" s="24" t="n"/>
      <c r="S2892" s="22">
        <f>IF(AND($A2892="",$C2892=""),"",IF($A2892="","Thiếu mã đơn; ","")&amp;IF(COUNTIF($A$2:$A2892,$A2892)&gt;1,"Trùng mã đơn; ","")&amp;IF(ISNA(MATCH($C2892,DATA_MASTER!$D$2:$D$5000,0)),"SĐT chưa đăng ký hội viên; ","")&amp;IF(AND($L2892="Đã chuyển khoản",$M2892=""),"Thiếu ngày nhận CK; ",""))</f>
        <v/>
      </c>
      <c r="T2892" s="24" t="n"/>
    </row>
    <row r="2893" ht="14.25" customHeight="1" s="40">
      <c r="A2893" s="24" t="n"/>
      <c r="B2893" s="29" t="n"/>
      <c r="C2893" s="28" t="n"/>
      <c r="D2893" s="22">
        <f t="array" ref="D2893">IF($C2893="","",IFERROR(INDEX(DATA_MASTER!$C$2:$C$5000,MATCH($C2893,DATA_MASTER!$D$2:$D$5000,0)),""))</f>
        <v/>
      </c>
      <c r="E2893" s="22">
        <f t="array" ref="E2893">IF($C2893="","",IFERROR(INDEX(DATA_MASTER!$I$2:$I$5000,MATCH($C2893,DATA_MASTER!$D$2:$D$5000,0)),""))</f>
        <v/>
      </c>
      <c r="F2893" s="22">
        <f t="array" ref="F2893">IF($C2893="","",IFERROR(INDEX(DATA_MASTER!$L$2:$L$5000,MATCH($C2893,DATA_MASTER!$D$2:$D$5000,0)),""))</f>
        <v/>
      </c>
      <c r="G2893" s="24" t="n"/>
      <c r="H2893" s="24" t="n"/>
      <c r="I2893" s="30" t="n"/>
      <c r="J2893" s="23">
        <f>IF(OR($H2893="",$I2893=""),"",$H2893*$I2893)</f>
        <v/>
      </c>
      <c r="K2893" s="24" t="n"/>
      <c r="L2893" s="24" t="n"/>
      <c r="M2893" s="29" t="n"/>
      <c r="N2893" s="28" t="n"/>
      <c r="O2893" s="24" t="n"/>
      <c r="P2893" s="24" t="n"/>
      <c r="Q2893" s="24" t="n"/>
      <c r="R2893" s="24" t="n"/>
      <c r="S2893" s="22">
        <f>IF(AND($A2893="",$C2893=""),"",IF($A2893="","Thiếu mã đơn; ","")&amp;IF(COUNTIF($A$2:$A2893,$A2893)&gt;1,"Trùng mã đơn; ","")&amp;IF(ISNA(MATCH($C2893,DATA_MASTER!$D$2:$D$5000,0)),"SĐT chưa đăng ký hội viên; ","")&amp;IF(AND($L2893="Đã chuyển khoản",$M2893=""),"Thiếu ngày nhận CK; ",""))</f>
        <v/>
      </c>
      <c r="T2893" s="24" t="n"/>
    </row>
    <row r="2894" ht="14.25" customHeight="1" s="40">
      <c r="A2894" s="24" t="n"/>
      <c r="B2894" s="29" t="n"/>
      <c r="C2894" s="28" t="n"/>
      <c r="D2894" s="22">
        <f t="array" ref="D2894">IF($C2894="","",IFERROR(INDEX(DATA_MASTER!$C$2:$C$5000,MATCH($C2894,DATA_MASTER!$D$2:$D$5000,0)),""))</f>
        <v/>
      </c>
      <c r="E2894" s="22">
        <f t="array" ref="E2894">IF($C2894="","",IFERROR(INDEX(DATA_MASTER!$I$2:$I$5000,MATCH($C2894,DATA_MASTER!$D$2:$D$5000,0)),""))</f>
        <v/>
      </c>
      <c r="F2894" s="22">
        <f t="array" ref="F2894">IF($C2894="","",IFERROR(INDEX(DATA_MASTER!$L$2:$L$5000,MATCH($C2894,DATA_MASTER!$D$2:$D$5000,0)),""))</f>
        <v/>
      </c>
      <c r="G2894" s="24" t="n"/>
      <c r="H2894" s="24" t="n"/>
      <c r="I2894" s="30" t="n"/>
      <c r="J2894" s="23">
        <f>IF(OR($H2894="",$I2894=""),"",$H2894*$I2894)</f>
        <v/>
      </c>
      <c r="K2894" s="24" t="n"/>
      <c r="L2894" s="24" t="n"/>
      <c r="M2894" s="29" t="n"/>
      <c r="N2894" s="28" t="n"/>
      <c r="O2894" s="24" t="n"/>
      <c r="P2894" s="24" t="n"/>
      <c r="Q2894" s="24" t="n"/>
      <c r="R2894" s="24" t="n"/>
      <c r="S2894" s="22">
        <f>IF(AND($A2894="",$C2894=""),"",IF($A2894="","Thiếu mã đơn; ","")&amp;IF(COUNTIF($A$2:$A2894,$A2894)&gt;1,"Trùng mã đơn; ","")&amp;IF(ISNA(MATCH($C2894,DATA_MASTER!$D$2:$D$5000,0)),"SĐT chưa đăng ký hội viên; ","")&amp;IF(AND($L2894="Đã chuyển khoản",$M2894=""),"Thiếu ngày nhận CK; ",""))</f>
        <v/>
      </c>
      <c r="T2894" s="24" t="n"/>
    </row>
    <row r="2895" ht="14.25" customHeight="1" s="40">
      <c r="A2895" s="24" t="n"/>
      <c r="B2895" s="29" t="n"/>
      <c r="C2895" s="28" t="n"/>
      <c r="D2895" s="22">
        <f t="array" ref="D2895">IF($C2895="","",IFERROR(INDEX(DATA_MASTER!$C$2:$C$5000,MATCH($C2895,DATA_MASTER!$D$2:$D$5000,0)),""))</f>
        <v/>
      </c>
      <c r="E2895" s="22">
        <f t="array" ref="E2895">IF($C2895="","",IFERROR(INDEX(DATA_MASTER!$I$2:$I$5000,MATCH($C2895,DATA_MASTER!$D$2:$D$5000,0)),""))</f>
        <v/>
      </c>
      <c r="F2895" s="22">
        <f t="array" ref="F2895">IF($C2895="","",IFERROR(INDEX(DATA_MASTER!$L$2:$L$5000,MATCH($C2895,DATA_MASTER!$D$2:$D$5000,0)),""))</f>
        <v/>
      </c>
      <c r="G2895" s="24" t="n"/>
      <c r="H2895" s="24" t="n"/>
      <c r="I2895" s="30" t="n"/>
      <c r="J2895" s="23">
        <f>IF(OR($H2895="",$I2895=""),"",$H2895*$I2895)</f>
        <v/>
      </c>
      <c r="K2895" s="24" t="n"/>
      <c r="L2895" s="24" t="n"/>
      <c r="M2895" s="29" t="n"/>
      <c r="N2895" s="28" t="n"/>
      <c r="O2895" s="24" t="n"/>
      <c r="P2895" s="24" t="n"/>
      <c r="Q2895" s="24" t="n"/>
      <c r="R2895" s="24" t="n"/>
      <c r="S2895" s="22">
        <f>IF(AND($A2895="",$C2895=""),"",IF($A2895="","Thiếu mã đơn; ","")&amp;IF(COUNTIF($A$2:$A2895,$A2895)&gt;1,"Trùng mã đơn; ","")&amp;IF(ISNA(MATCH($C2895,DATA_MASTER!$D$2:$D$5000,0)),"SĐT chưa đăng ký hội viên; ","")&amp;IF(AND($L2895="Đã chuyển khoản",$M2895=""),"Thiếu ngày nhận CK; ",""))</f>
        <v/>
      </c>
      <c r="T2895" s="24" t="n"/>
    </row>
    <row r="2896" ht="14.25" customHeight="1" s="40">
      <c r="A2896" s="24" t="n"/>
      <c r="B2896" s="29" t="n"/>
      <c r="C2896" s="28" t="n"/>
      <c r="D2896" s="22">
        <f t="array" ref="D2896">IF($C2896="","",IFERROR(INDEX(DATA_MASTER!$C$2:$C$5000,MATCH($C2896,DATA_MASTER!$D$2:$D$5000,0)),""))</f>
        <v/>
      </c>
      <c r="E2896" s="22">
        <f t="array" ref="E2896">IF($C2896="","",IFERROR(INDEX(DATA_MASTER!$I$2:$I$5000,MATCH($C2896,DATA_MASTER!$D$2:$D$5000,0)),""))</f>
        <v/>
      </c>
      <c r="F2896" s="22">
        <f t="array" ref="F2896">IF($C2896="","",IFERROR(INDEX(DATA_MASTER!$L$2:$L$5000,MATCH($C2896,DATA_MASTER!$D$2:$D$5000,0)),""))</f>
        <v/>
      </c>
      <c r="G2896" s="24" t="n"/>
      <c r="H2896" s="24" t="n"/>
      <c r="I2896" s="30" t="n"/>
      <c r="J2896" s="23">
        <f>IF(OR($H2896="",$I2896=""),"",$H2896*$I2896)</f>
        <v/>
      </c>
      <c r="K2896" s="24" t="n"/>
      <c r="L2896" s="24" t="n"/>
      <c r="M2896" s="29" t="n"/>
      <c r="N2896" s="28" t="n"/>
      <c r="O2896" s="24" t="n"/>
      <c r="P2896" s="24" t="n"/>
      <c r="Q2896" s="24" t="n"/>
      <c r="R2896" s="24" t="n"/>
      <c r="S2896" s="22">
        <f>IF(AND($A2896="",$C2896=""),"",IF($A2896="","Thiếu mã đơn; ","")&amp;IF(COUNTIF($A$2:$A2896,$A2896)&gt;1,"Trùng mã đơn; ","")&amp;IF(ISNA(MATCH($C2896,DATA_MASTER!$D$2:$D$5000,0)),"SĐT chưa đăng ký hội viên; ","")&amp;IF(AND($L2896="Đã chuyển khoản",$M2896=""),"Thiếu ngày nhận CK; ",""))</f>
        <v/>
      </c>
      <c r="T2896" s="24" t="n"/>
    </row>
    <row r="2897" ht="14.25" customHeight="1" s="40">
      <c r="A2897" s="24" t="n"/>
      <c r="B2897" s="29" t="n"/>
      <c r="C2897" s="28" t="n"/>
      <c r="D2897" s="22">
        <f t="array" ref="D2897">IF($C2897="","",IFERROR(INDEX(DATA_MASTER!$C$2:$C$5000,MATCH($C2897,DATA_MASTER!$D$2:$D$5000,0)),""))</f>
        <v/>
      </c>
      <c r="E2897" s="22">
        <f t="array" ref="E2897">IF($C2897="","",IFERROR(INDEX(DATA_MASTER!$I$2:$I$5000,MATCH($C2897,DATA_MASTER!$D$2:$D$5000,0)),""))</f>
        <v/>
      </c>
      <c r="F2897" s="22">
        <f t="array" ref="F2897">IF($C2897="","",IFERROR(INDEX(DATA_MASTER!$L$2:$L$5000,MATCH($C2897,DATA_MASTER!$D$2:$D$5000,0)),""))</f>
        <v/>
      </c>
      <c r="G2897" s="24" t="n"/>
      <c r="H2897" s="24" t="n"/>
      <c r="I2897" s="30" t="n"/>
      <c r="J2897" s="23">
        <f>IF(OR($H2897="",$I2897=""),"",$H2897*$I2897)</f>
        <v/>
      </c>
      <c r="K2897" s="24" t="n"/>
      <c r="L2897" s="24" t="n"/>
      <c r="M2897" s="29" t="n"/>
      <c r="N2897" s="28" t="n"/>
      <c r="O2897" s="24" t="n"/>
      <c r="P2897" s="24" t="n"/>
      <c r="Q2897" s="24" t="n"/>
      <c r="R2897" s="24" t="n"/>
      <c r="S2897" s="22">
        <f>IF(AND($A2897="",$C2897=""),"",IF($A2897="","Thiếu mã đơn; ","")&amp;IF(COUNTIF($A$2:$A2897,$A2897)&gt;1,"Trùng mã đơn; ","")&amp;IF(ISNA(MATCH($C2897,DATA_MASTER!$D$2:$D$5000,0)),"SĐT chưa đăng ký hội viên; ","")&amp;IF(AND($L2897="Đã chuyển khoản",$M2897=""),"Thiếu ngày nhận CK; ",""))</f>
        <v/>
      </c>
      <c r="T2897" s="24" t="n"/>
    </row>
    <row r="2898" ht="14.25" customHeight="1" s="40">
      <c r="A2898" s="24" t="n"/>
      <c r="B2898" s="29" t="n"/>
      <c r="C2898" s="28" t="n"/>
      <c r="D2898" s="22">
        <f t="array" ref="D2898">IF($C2898="","",IFERROR(INDEX(DATA_MASTER!$C$2:$C$5000,MATCH($C2898,DATA_MASTER!$D$2:$D$5000,0)),""))</f>
        <v/>
      </c>
      <c r="E2898" s="22">
        <f t="array" ref="E2898">IF($C2898="","",IFERROR(INDEX(DATA_MASTER!$I$2:$I$5000,MATCH($C2898,DATA_MASTER!$D$2:$D$5000,0)),""))</f>
        <v/>
      </c>
      <c r="F2898" s="22">
        <f t="array" ref="F2898">IF($C2898="","",IFERROR(INDEX(DATA_MASTER!$L$2:$L$5000,MATCH($C2898,DATA_MASTER!$D$2:$D$5000,0)),""))</f>
        <v/>
      </c>
      <c r="G2898" s="24" t="n"/>
      <c r="H2898" s="24" t="n"/>
      <c r="I2898" s="30" t="n"/>
      <c r="J2898" s="23">
        <f>IF(OR($H2898="",$I2898=""),"",$H2898*$I2898)</f>
        <v/>
      </c>
      <c r="K2898" s="24" t="n"/>
      <c r="L2898" s="24" t="n"/>
      <c r="M2898" s="29" t="n"/>
      <c r="N2898" s="28" t="n"/>
      <c r="O2898" s="24" t="n"/>
      <c r="P2898" s="24" t="n"/>
      <c r="Q2898" s="24" t="n"/>
      <c r="R2898" s="24" t="n"/>
      <c r="S2898" s="22">
        <f>IF(AND($A2898="",$C2898=""),"",IF($A2898="","Thiếu mã đơn; ","")&amp;IF(COUNTIF($A$2:$A2898,$A2898)&gt;1,"Trùng mã đơn; ","")&amp;IF(ISNA(MATCH($C2898,DATA_MASTER!$D$2:$D$5000,0)),"SĐT chưa đăng ký hội viên; ","")&amp;IF(AND($L2898="Đã chuyển khoản",$M2898=""),"Thiếu ngày nhận CK; ",""))</f>
        <v/>
      </c>
      <c r="T2898" s="24" t="n"/>
    </row>
    <row r="2899" ht="14.25" customHeight="1" s="40">
      <c r="A2899" s="24" t="n"/>
      <c r="B2899" s="29" t="n"/>
      <c r="C2899" s="28" t="n"/>
      <c r="D2899" s="22">
        <f t="array" ref="D2899">IF($C2899="","",IFERROR(INDEX(DATA_MASTER!$C$2:$C$5000,MATCH($C2899,DATA_MASTER!$D$2:$D$5000,0)),""))</f>
        <v/>
      </c>
      <c r="E2899" s="22">
        <f t="array" ref="E2899">IF($C2899="","",IFERROR(INDEX(DATA_MASTER!$I$2:$I$5000,MATCH($C2899,DATA_MASTER!$D$2:$D$5000,0)),""))</f>
        <v/>
      </c>
      <c r="F2899" s="22">
        <f t="array" ref="F2899">IF($C2899="","",IFERROR(INDEX(DATA_MASTER!$L$2:$L$5000,MATCH($C2899,DATA_MASTER!$D$2:$D$5000,0)),""))</f>
        <v/>
      </c>
      <c r="G2899" s="24" t="n"/>
      <c r="H2899" s="24" t="n"/>
      <c r="I2899" s="30" t="n"/>
      <c r="J2899" s="23">
        <f>IF(OR($H2899="",$I2899=""),"",$H2899*$I2899)</f>
        <v/>
      </c>
      <c r="K2899" s="24" t="n"/>
      <c r="L2899" s="24" t="n"/>
      <c r="M2899" s="29" t="n"/>
      <c r="N2899" s="28" t="n"/>
      <c r="O2899" s="24" t="n"/>
      <c r="P2899" s="24" t="n"/>
      <c r="Q2899" s="24" t="n"/>
      <c r="R2899" s="24" t="n"/>
      <c r="S2899" s="22">
        <f>IF(AND($A2899="",$C2899=""),"",IF($A2899="","Thiếu mã đơn; ","")&amp;IF(COUNTIF($A$2:$A2899,$A2899)&gt;1,"Trùng mã đơn; ","")&amp;IF(ISNA(MATCH($C2899,DATA_MASTER!$D$2:$D$5000,0)),"SĐT chưa đăng ký hội viên; ","")&amp;IF(AND($L2899="Đã chuyển khoản",$M2899=""),"Thiếu ngày nhận CK; ",""))</f>
        <v/>
      </c>
      <c r="T2899" s="24" t="n"/>
    </row>
    <row r="2900" ht="14.25" customHeight="1" s="40">
      <c r="A2900" s="24" t="n"/>
      <c r="B2900" s="29" t="n"/>
      <c r="C2900" s="28" t="n"/>
      <c r="D2900" s="22">
        <f t="array" ref="D2900">IF($C2900="","",IFERROR(INDEX(DATA_MASTER!$C$2:$C$5000,MATCH($C2900,DATA_MASTER!$D$2:$D$5000,0)),""))</f>
        <v/>
      </c>
      <c r="E2900" s="22">
        <f t="array" ref="E2900">IF($C2900="","",IFERROR(INDEX(DATA_MASTER!$I$2:$I$5000,MATCH($C2900,DATA_MASTER!$D$2:$D$5000,0)),""))</f>
        <v/>
      </c>
      <c r="F2900" s="22">
        <f t="array" ref="F2900">IF($C2900="","",IFERROR(INDEX(DATA_MASTER!$L$2:$L$5000,MATCH($C2900,DATA_MASTER!$D$2:$D$5000,0)),""))</f>
        <v/>
      </c>
      <c r="G2900" s="24" t="n"/>
      <c r="H2900" s="24" t="n"/>
      <c r="I2900" s="30" t="n"/>
      <c r="J2900" s="23">
        <f>IF(OR($H2900="",$I2900=""),"",$H2900*$I2900)</f>
        <v/>
      </c>
      <c r="K2900" s="24" t="n"/>
      <c r="L2900" s="24" t="n"/>
      <c r="M2900" s="29" t="n"/>
      <c r="N2900" s="28" t="n"/>
      <c r="O2900" s="24" t="n"/>
      <c r="P2900" s="24" t="n"/>
      <c r="Q2900" s="24" t="n"/>
      <c r="R2900" s="24" t="n"/>
      <c r="S2900" s="22">
        <f>IF(AND($A2900="",$C2900=""),"",IF($A2900="","Thiếu mã đơn; ","")&amp;IF(COUNTIF($A$2:$A2900,$A2900)&gt;1,"Trùng mã đơn; ","")&amp;IF(ISNA(MATCH($C2900,DATA_MASTER!$D$2:$D$5000,0)),"SĐT chưa đăng ký hội viên; ","")&amp;IF(AND($L2900="Đã chuyển khoản",$M2900=""),"Thiếu ngày nhận CK; ",""))</f>
        <v/>
      </c>
      <c r="T2900" s="24" t="n"/>
    </row>
    <row r="2901" ht="14.25" customHeight="1" s="40">
      <c r="A2901" s="24" t="n"/>
      <c r="B2901" s="29" t="n"/>
      <c r="C2901" s="28" t="n"/>
      <c r="D2901" s="22">
        <f t="array" ref="D2901">IF($C2901="","",IFERROR(INDEX(DATA_MASTER!$C$2:$C$5000,MATCH($C2901,DATA_MASTER!$D$2:$D$5000,0)),""))</f>
        <v/>
      </c>
      <c r="E2901" s="22">
        <f t="array" ref="E2901">IF($C2901="","",IFERROR(INDEX(DATA_MASTER!$I$2:$I$5000,MATCH($C2901,DATA_MASTER!$D$2:$D$5000,0)),""))</f>
        <v/>
      </c>
      <c r="F2901" s="22">
        <f t="array" ref="F2901">IF($C2901="","",IFERROR(INDEX(DATA_MASTER!$L$2:$L$5000,MATCH($C2901,DATA_MASTER!$D$2:$D$5000,0)),""))</f>
        <v/>
      </c>
      <c r="G2901" s="24" t="n"/>
      <c r="H2901" s="24" t="n"/>
      <c r="I2901" s="30" t="n"/>
      <c r="J2901" s="23">
        <f>IF(OR($H2901="",$I2901=""),"",$H2901*$I2901)</f>
        <v/>
      </c>
      <c r="K2901" s="24" t="n"/>
      <c r="L2901" s="24" t="n"/>
      <c r="M2901" s="29" t="n"/>
      <c r="N2901" s="28" t="n"/>
      <c r="O2901" s="24" t="n"/>
      <c r="P2901" s="24" t="n"/>
      <c r="Q2901" s="24" t="n"/>
      <c r="R2901" s="24" t="n"/>
      <c r="S2901" s="22">
        <f>IF(AND($A2901="",$C2901=""),"",IF($A2901="","Thiếu mã đơn; ","")&amp;IF(COUNTIF($A$2:$A2901,$A2901)&gt;1,"Trùng mã đơn; ","")&amp;IF(ISNA(MATCH($C2901,DATA_MASTER!$D$2:$D$5000,0)),"SĐT chưa đăng ký hội viên; ","")&amp;IF(AND($L2901="Đã chuyển khoản",$M2901=""),"Thiếu ngày nhận CK; ",""))</f>
        <v/>
      </c>
      <c r="T2901" s="24" t="n"/>
    </row>
    <row r="2902" ht="14.25" customHeight="1" s="40">
      <c r="A2902" s="24" t="n"/>
      <c r="B2902" s="29" t="n"/>
      <c r="C2902" s="28" t="n"/>
      <c r="D2902" s="22">
        <f t="array" ref="D2902">IF($C2902="","",IFERROR(INDEX(DATA_MASTER!$C$2:$C$5000,MATCH($C2902,DATA_MASTER!$D$2:$D$5000,0)),""))</f>
        <v/>
      </c>
      <c r="E2902" s="22">
        <f t="array" ref="E2902">IF($C2902="","",IFERROR(INDEX(DATA_MASTER!$I$2:$I$5000,MATCH($C2902,DATA_MASTER!$D$2:$D$5000,0)),""))</f>
        <v/>
      </c>
      <c r="F2902" s="22">
        <f t="array" ref="F2902">IF($C2902="","",IFERROR(INDEX(DATA_MASTER!$L$2:$L$5000,MATCH($C2902,DATA_MASTER!$D$2:$D$5000,0)),""))</f>
        <v/>
      </c>
      <c r="G2902" s="24" t="n"/>
      <c r="H2902" s="24" t="n"/>
      <c r="I2902" s="30" t="n"/>
      <c r="J2902" s="23">
        <f>IF(OR($H2902="",$I2902=""),"",$H2902*$I2902)</f>
        <v/>
      </c>
      <c r="K2902" s="24" t="n"/>
      <c r="L2902" s="24" t="n"/>
      <c r="M2902" s="29" t="n"/>
      <c r="N2902" s="28" t="n"/>
      <c r="O2902" s="24" t="n"/>
      <c r="P2902" s="24" t="n"/>
      <c r="Q2902" s="24" t="n"/>
      <c r="R2902" s="24" t="n"/>
      <c r="S2902" s="22">
        <f>IF(AND($A2902="",$C2902=""),"",IF($A2902="","Thiếu mã đơn; ","")&amp;IF(COUNTIF($A$2:$A2902,$A2902)&gt;1,"Trùng mã đơn; ","")&amp;IF(ISNA(MATCH($C2902,DATA_MASTER!$D$2:$D$5000,0)),"SĐT chưa đăng ký hội viên; ","")&amp;IF(AND($L2902="Đã chuyển khoản",$M2902=""),"Thiếu ngày nhận CK; ",""))</f>
        <v/>
      </c>
      <c r="T2902" s="24" t="n"/>
    </row>
    <row r="2903" ht="14.25" customHeight="1" s="40">
      <c r="A2903" s="24" t="n"/>
      <c r="B2903" s="29" t="n"/>
      <c r="C2903" s="28" t="n"/>
      <c r="D2903" s="22">
        <f t="array" ref="D2903">IF($C2903="","",IFERROR(INDEX(DATA_MASTER!$C$2:$C$5000,MATCH($C2903,DATA_MASTER!$D$2:$D$5000,0)),""))</f>
        <v/>
      </c>
      <c r="E2903" s="22">
        <f t="array" ref="E2903">IF($C2903="","",IFERROR(INDEX(DATA_MASTER!$I$2:$I$5000,MATCH($C2903,DATA_MASTER!$D$2:$D$5000,0)),""))</f>
        <v/>
      </c>
      <c r="F2903" s="22">
        <f t="array" ref="F2903">IF($C2903="","",IFERROR(INDEX(DATA_MASTER!$L$2:$L$5000,MATCH($C2903,DATA_MASTER!$D$2:$D$5000,0)),""))</f>
        <v/>
      </c>
      <c r="G2903" s="24" t="n"/>
      <c r="H2903" s="24" t="n"/>
      <c r="I2903" s="30" t="n"/>
      <c r="J2903" s="23">
        <f>IF(OR($H2903="",$I2903=""),"",$H2903*$I2903)</f>
        <v/>
      </c>
      <c r="K2903" s="24" t="n"/>
      <c r="L2903" s="24" t="n"/>
      <c r="M2903" s="29" t="n"/>
      <c r="N2903" s="28" t="n"/>
      <c r="O2903" s="24" t="n"/>
      <c r="P2903" s="24" t="n"/>
      <c r="Q2903" s="24" t="n"/>
      <c r="R2903" s="24" t="n"/>
      <c r="S2903" s="22">
        <f>IF(AND($A2903="",$C2903=""),"",IF($A2903="","Thiếu mã đơn; ","")&amp;IF(COUNTIF($A$2:$A2903,$A2903)&gt;1,"Trùng mã đơn; ","")&amp;IF(ISNA(MATCH($C2903,DATA_MASTER!$D$2:$D$5000,0)),"SĐT chưa đăng ký hội viên; ","")&amp;IF(AND($L2903="Đã chuyển khoản",$M2903=""),"Thiếu ngày nhận CK; ",""))</f>
        <v/>
      </c>
      <c r="T2903" s="24" t="n"/>
    </row>
    <row r="2904" ht="14.25" customHeight="1" s="40">
      <c r="A2904" s="24" t="n"/>
      <c r="B2904" s="29" t="n"/>
      <c r="C2904" s="28" t="n"/>
      <c r="D2904" s="22">
        <f t="array" ref="D2904">IF($C2904="","",IFERROR(INDEX(DATA_MASTER!$C$2:$C$5000,MATCH($C2904,DATA_MASTER!$D$2:$D$5000,0)),""))</f>
        <v/>
      </c>
      <c r="E2904" s="22">
        <f t="array" ref="E2904">IF($C2904="","",IFERROR(INDEX(DATA_MASTER!$I$2:$I$5000,MATCH($C2904,DATA_MASTER!$D$2:$D$5000,0)),""))</f>
        <v/>
      </c>
      <c r="F2904" s="22">
        <f t="array" ref="F2904">IF($C2904="","",IFERROR(INDEX(DATA_MASTER!$L$2:$L$5000,MATCH($C2904,DATA_MASTER!$D$2:$D$5000,0)),""))</f>
        <v/>
      </c>
      <c r="G2904" s="24" t="n"/>
      <c r="H2904" s="24" t="n"/>
      <c r="I2904" s="30" t="n"/>
      <c r="J2904" s="23">
        <f>IF(OR($H2904="",$I2904=""),"",$H2904*$I2904)</f>
        <v/>
      </c>
      <c r="K2904" s="24" t="n"/>
      <c r="L2904" s="24" t="n"/>
      <c r="M2904" s="29" t="n"/>
      <c r="N2904" s="28" t="n"/>
      <c r="O2904" s="24" t="n"/>
      <c r="P2904" s="24" t="n"/>
      <c r="Q2904" s="24" t="n"/>
      <c r="R2904" s="24" t="n"/>
      <c r="S2904" s="22">
        <f>IF(AND($A2904="",$C2904=""),"",IF($A2904="","Thiếu mã đơn; ","")&amp;IF(COUNTIF($A$2:$A2904,$A2904)&gt;1,"Trùng mã đơn; ","")&amp;IF(ISNA(MATCH($C2904,DATA_MASTER!$D$2:$D$5000,0)),"SĐT chưa đăng ký hội viên; ","")&amp;IF(AND($L2904="Đã chuyển khoản",$M2904=""),"Thiếu ngày nhận CK; ",""))</f>
        <v/>
      </c>
      <c r="T2904" s="24" t="n"/>
    </row>
    <row r="2905" ht="14.25" customHeight="1" s="40">
      <c r="A2905" s="24" t="n"/>
      <c r="B2905" s="29" t="n"/>
      <c r="C2905" s="28" t="n"/>
      <c r="D2905" s="22">
        <f t="array" ref="D2905">IF($C2905="","",IFERROR(INDEX(DATA_MASTER!$C$2:$C$5000,MATCH($C2905,DATA_MASTER!$D$2:$D$5000,0)),""))</f>
        <v/>
      </c>
      <c r="E2905" s="22">
        <f t="array" ref="E2905">IF($C2905="","",IFERROR(INDEX(DATA_MASTER!$I$2:$I$5000,MATCH($C2905,DATA_MASTER!$D$2:$D$5000,0)),""))</f>
        <v/>
      </c>
      <c r="F2905" s="22">
        <f t="array" ref="F2905">IF($C2905="","",IFERROR(INDEX(DATA_MASTER!$L$2:$L$5000,MATCH($C2905,DATA_MASTER!$D$2:$D$5000,0)),""))</f>
        <v/>
      </c>
      <c r="G2905" s="24" t="n"/>
      <c r="H2905" s="24" t="n"/>
      <c r="I2905" s="30" t="n"/>
      <c r="J2905" s="23">
        <f>IF(OR($H2905="",$I2905=""),"",$H2905*$I2905)</f>
        <v/>
      </c>
      <c r="K2905" s="24" t="n"/>
      <c r="L2905" s="24" t="n"/>
      <c r="M2905" s="29" t="n"/>
      <c r="N2905" s="28" t="n"/>
      <c r="O2905" s="24" t="n"/>
      <c r="P2905" s="24" t="n"/>
      <c r="Q2905" s="24" t="n"/>
      <c r="R2905" s="24" t="n"/>
      <c r="S2905" s="22">
        <f>IF(AND($A2905="",$C2905=""),"",IF($A2905="","Thiếu mã đơn; ","")&amp;IF(COUNTIF($A$2:$A2905,$A2905)&gt;1,"Trùng mã đơn; ","")&amp;IF(ISNA(MATCH($C2905,DATA_MASTER!$D$2:$D$5000,0)),"SĐT chưa đăng ký hội viên; ","")&amp;IF(AND($L2905="Đã chuyển khoản",$M2905=""),"Thiếu ngày nhận CK; ",""))</f>
        <v/>
      </c>
      <c r="T2905" s="24" t="n"/>
    </row>
    <row r="2906" ht="14.25" customHeight="1" s="40">
      <c r="A2906" s="24" t="n"/>
      <c r="B2906" s="29" t="n"/>
      <c r="C2906" s="28" t="n"/>
      <c r="D2906" s="22">
        <f t="array" ref="D2906">IF($C2906="","",IFERROR(INDEX(DATA_MASTER!$C$2:$C$5000,MATCH($C2906,DATA_MASTER!$D$2:$D$5000,0)),""))</f>
        <v/>
      </c>
      <c r="E2906" s="22">
        <f t="array" ref="E2906">IF($C2906="","",IFERROR(INDEX(DATA_MASTER!$I$2:$I$5000,MATCH($C2906,DATA_MASTER!$D$2:$D$5000,0)),""))</f>
        <v/>
      </c>
      <c r="F2906" s="22">
        <f t="array" ref="F2906">IF($C2906="","",IFERROR(INDEX(DATA_MASTER!$L$2:$L$5000,MATCH($C2906,DATA_MASTER!$D$2:$D$5000,0)),""))</f>
        <v/>
      </c>
      <c r="G2906" s="24" t="n"/>
      <c r="H2906" s="24" t="n"/>
      <c r="I2906" s="30" t="n"/>
      <c r="J2906" s="23">
        <f>IF(OR($H2906="",$I2906=""),"",$H2906*$I2906)</f>
        <v/>
      </c>
      <c r="K2906" s="24" t="n"/>
      <c r="L2906" s="24" t="n"/>
      <c r="M2906" s="29" t="n"/>
      <c r="N2906" s="28" t="n"/>
      <c r="O2906" s="24" t="n"/>
      <c r="P2906" s="24" t="n"/>
      <c r="Q2906" s="24" t="n"/>
      <c r="R2906" s="24" t="n"/>
      <c r="S2906" s="22">
        <f>IF(AND($A2906="",$C2906=""),"",IF($A2906="","Thiếu mã đơn; ","")&amp;IF(COUNTIF($A$2:$A2906,$A2906)&gt;1,"Trùng mã đơn; ","")&amp;IF(ISNA(MATCH($C2906,DATA_MASTER!$D$2:$D$5000,0)),"SĐT chưa đăng ký hội viên; ","")&amp;IF(AND($L2906="Đã chuyển khoản",$M2906=""),"Thiếu ngày nhận CK; ",""))</f>
        <v/>
      </c>
      <c r="T2906" s="24" t="n"/>
    </row>
    <row r="2907" ht="14.25" customHeight="1" s="40">
      <c r="A2907" s="24" t="n"/>
      <c r="B2907" s="29" t="n"/>
      <c r="C2907" s="28" t="n"/>
      <c r="D2907" s="22">
        <f t="array" ref="D2907">IF($C2907="","",IFERROR(INDEX(DATA_MASTER!$C$2:$C$5000,MATCH($C2907,DATA_MASTER!$D$2:$D$5000,0)),""))</f>
        <v/>
      </c>
      <c r="E2907" s="22">
        <f t="array" ref="E2907">IF($C2907="","",IFERROR(INDEX(DATA_MASTER!$I$2:$I$5000,MATCH($C2907,DATA_MASTER!$D$2:$D$5000,0)),""))</f>
        <v/>
      </c>
      <c r="F2907" s="22">
        <f t="array" ref="F2907">IF($C2907="","",IFERROR(INDEX(DATA_MASTER!$L$2:$L$5000,MATCH($C2907,DATA_MASTER!$D$2:$D$5000,0)),""))</f>
        <v/>
      </c>
      <c r="G2907" s="24" t="n"/>
      <c r="H2907" s="24" t="n"/>
      <c r="I2907" s="30" t="n"/>
      <c r="J2907" s="23">
        <f>IF(OR($H2907="",$I2907=""),"",$H2907*$I2907)</f>
        <v/>
      </c>
      <c r="K2907" s="24" t="n"/>
      <c r="L2907" s="24" t="n"/>
      <c r="M2907" s="29" t="n"/>
      <c r="N2907" s="28" t="n"/>
      <c r="O2907" s="24" t="n"/>
      <c r="P2907" s="24" t="n"/>
      <c r="Q2907" s="24" t="n"/>
      <c r="R2907" s="24" t="n"/>
      <c r="S2907" s="22">
        <f>IF(AND($A2907="",$C2907=""),"",IF($A2907="","Thiếu mã đơn; ","")&amp;IF(COUNTIF($A$2:$A2907,$A2907)&gt;1,"Trùng mã đơn; ","")&amp;IF(ISNA(MATCH($C2907,DATA_MASTER!$D$2:$D$5000,0)),"SĐT chưa đăng ký hội viên; ","")&amp;IF(AND($L2907="Đã chuyển khoản",$M2907=""),"Thiếu ngày nhận CK; ",""))</f>
        <v/>
      </c>
      <c r="T2907" s="24" t="n"/>
    </row>
    <row r="2908" ht="14.25" customHeight="1" s="40">
      <c r="A2908" s="24" t="n"/>
      <c r="B2908" s="29" t="n"/>
      <c r="C2908" s="28" t="n"/>
      <c r="D2908" s="22">
        <f t="array" ref="D2908">IF($C2908="","",IFERROR(INDEX(DATA_MASTER!$C$2:$C$5000,MATCH($C2908,DATA_MASTER!$D$2:$D$5000,0)),""))</f>
        <v/>
      </c>
      <c r="E2908" s="22">
        <f t="array" ref="E2908">IF($C2908="","",IFERROR(INDEX(DATA_MASTER!$I$2:$I$5000,MATCH($C2908,DATA_MASTER!$D$2:$D$5000,0)),""))</f>
        <v/>
      </c>
      <c r="F2908" s="22">
        <f t="array" ref="F2908">IF($C2908="","",IFERROR(INDEX(DATA_MASTER!$L$2:$L$5000,MATCH($C2908,DATA_MASTER!$D$2:$D$5000,0)),""))</f>
        <v/>
      </c>
      <c r="G2908" s="24" t="n"/>
      <c r="H2908" s="24" t="n"/>
      <c r="I2908" s="30" t="n"/>
      <c r="J2908" s="23">
        <f>IF(OR($H2908="",$I2908=""),"",$H2908*$I2908)</f>
        <v/>
      </c>
      <c r="K2908" s="24" t="n"/>
      <c r="L2908" s="24" t="n"/>
      <c r="M2908" s="29" t="n"/>
      <c r="N2908" s="28" t="n"/>
      <c r="O2908" s="24" t="n"/>
      <c r="P2908" s="24" t="n"/>
      <c r="Q2908" s="24" t="n"/>
      <c r="R2908" s="24" t="n"/>
      <c r="S2908" s="22">
        <f>IF(AND($A2908="",$C2908=""),"",IF($A2908="","Thiếu mã đơn; ","")&amp;IF(COUNTIF($A$2:$A2908,$A2908)&gt;1,"Trùng mã đơn; ","")&amp;IF(ISNA(MATCH($C2908,DATA_MASTER!$D$2:$D$5000,0)),"SĐT chưa đăng ký hội viên; ","")&amp;IF(AND($L2908="Đã chuyển khoản",$M2908=""),"Thiếu ngày nhận CK; ",""))</f>
        <v/>
      </c>
      <c r="T2908" s="24" t="n"/>
    </row>
    <row r="2909" ht="14.25" customHeight="1" s="40">
      <c r="A2909" s="24" t="n"/>
      <c r="B2909" s="29" t="n"/>
      <c r="C2909" s="28" t="n"/>
      <c r="D2909" s="22">
        <f t="array" ref="D2909">IF($C2909="","",IFERROR(INDEX(DATA_MASTER!$C$2:$C$5000,MATCH($C2909,DATA_MASTER!$D$2:$D$5000,0)),""))</f>
        <v/>
      </c>
      <c r="E2909" s="22">
        <f t="array" ref="E2909">IF($C2909="","",IFERROR(INDEX(DATA_MASTER!$I$2:$I$5000,MATCH($C2909,DATA_MASTER!$D$2:$D$5000,0)),""))</f>
        <v/>
      </c>
      <c r="F2909" s="22">
        <f t="array" ref="F2909">IF($C2909="","",IFERROR(INDEX(DATA_MASTER!$L$2:$L$5000,MATCH($C2909,DATA_MASTER!$D$2:$D$5000,0)),""))</f>
        <v/>
      </c>
      <c r="G2909" s="24" t="n"/>
      <c r="H2909" s="24" t="n"/>
      <c r="I2909" s="30" t="n"/>
      <c r="J2909" s="23">
        <f>IF(OR($H2909="",$I2909=""),"",$H2909*$I2909)</f>
        <v/>
      </c>
      <c r="K2909" s="24" t="n"/>
      <c r="L2909" s="24" t="n"/>
      <c r="M2909" s="29" t="n"/>
      <c r="N2909" s="28" t="n"/>
      <c r="O2909" s="24" t="n"/>
      <c r="P2909" s="24" t="n"/>
      <c r="Q2909" s="24" t="n"/>
      <c r="R2909" s="24" t="n"/>
      <c r="S2909" s="22">
        <f>IF(AND($A2909="",$C2909=""),"",IF($A2909="","Thiếu mã đơn; ","")&amp;IF(COUNTIF($A$2:$A2909,$A2909)&gt;1,"Trùng mã đơn; ","")&amp;IF(ISNA(MATCH($C2909,DATA_MASTER!$D$2:$D$5000,0)),"SĐT chưa đăng ký hội viên; ","")&amp;IF(AND($L2909="Đã chuyển khoản",$M2909=""),"Thiếu ngày nhận CK; ",""))</f>
        <v/>
      </c>
      <c r="T2909" s="24" t="n"/>
    </row>
    <row r="2910" ht="14.25" customHeight="1" s="40">
      <c r="A2910" s="24" t="n"/>
      <c r="B2910" s="29" t="n"/>
      <c r="C2910" s="28" t="n"/>
      <c r="D2910" s="22">
        <f t="array" ref="D2910">IF($C2910="","",IFERROR(INDEX(DATA_MASTER!$C$2:$C$5000,MATCH($C2910,DATA_MASTER!$D$2:$D$5000,0)),""))</f>
        <v/>
      </c>
      <c r="E2910" s="22">
        <f t="array" ref="E2910">IF($C2910="","",IFERROR(INDEX(DATA_MASTER!$I$2:$I$5000,MATCH($C2910,DATA_MASTER!$D$2:$D$5000,0)),""))</f>
        <v/>
      </c>
      <c r="F2910" s="22">
        <f t="array" ref="F2910">IF($C2910="","",IFERROR(INDEX(DATA_MASTER!$L$2:$L$5000,MATCH($C2910,DATA_MASTER!$D$2:$D$5000,0)),""))</f>
        <v/>
      </c>
      <c r="G2910" s="24" t="n"/>
      <c r="H2910" s="24" t="n"/>
      <c r="I2910" s="30" t="n"/>
      <c r="J2910" s="23">
        <f>IF(OR($H2910="",$I2910=""),"",$H2910*$I2910)</f>
        <v/>
      </c>
      <c r="K2910" s="24" t="n"/>
      <c r="L2910" s="24" t="n"/>
      <c r="M2910" s="29" t="n"/>
      <c r="N2910" s="28" t="n"/>
      <c r="O2910" s="24" t="n"/>
      <c r="P2910" s="24" t="n"/>
      <c r="Q2910" s="24" t="n"/>
      <c r="R2910" s="24" t="n"/>
      <c r="S2910" s="22">
        <f>IF(AND($A2910="",$C2910=""),"",IF($A2910="","Thiếu mã đơn; ","")&amp;IF(COUNTIF($A$2:$A2910,$A2910)&gt;1,"Trùng mã đơn; ","")&amp;IF(ISNA(MATCH($C2910,DATA_MASTER!$D$2:$D$5000,0)),"SĐT chưa đăng ký hội viên; ","")&amp;IF(AND($L2910="Đã chuyển khoản",$M2910=""),"Thiếu ngày nhận CK; ",""))</f>
        <v/>
      </c>
      <c r="T2910" s="24" t="n"/>
    </row>
    <row r="2911" ht="14.25" customHeight="1" s="40">
      <c r="A2911" s="24" t="n"/>
      <c r="B2911" s="29" t="n"/>
      <c r="C2911" s="28" t="n"/>
      <c r="D2911" s="22">
        <f t="array" ref="D2911">IF($C2911="","",IFERROR(INDEX(DATA_MASTER!$C$2:$C$5000,MATCH($C2911,DATA_MASTER!$D$2:$D$5000,0)),""))</f>
        <v/>
      </c>
      <c r="E2911" s="22">
        <f t="array" ref="E2911">IF($C2911="","",IFERROR(INDEX(DATA_MASTER!$I$2:$I$5000,MATCH($C2911,DATA_MASTER!$D$2:$D$5000,0)),""))</f>
        <v/>
      </c>
      <c r="F2911" s="22">
        <f t="array" ref="F2911">IF($C2911="","",IFERROR(INDEX(DATA_MASTER!$L$2:$L$5000,MATCH($C2911,DATA_MASTER!$D$2:$D$5000,0)),""))</f>
        <v/>
      </c>
      <c r="G2911" s="24" t="n"/>
      <c r="H2911" s="24" t="n"/>
      <c r="I2911" s="30" t="n"/>
      <c r="J2911" s="23">
        <f>IF(OR($H2911="",$I2911=""),"",$H2911*$I2911)</f>
        <v/>
      </c>
      <c r="K2911" s="24" t="n"/>
      <c r="L2911" s="24" t="n"/>
      <c r="M2911" s="29" t="n"/>
      <c r="N2911" s="28" t="n"/>
      <c r="O2911" s="24" t="n"/>
      <c r="P2911" s="24" t="n"/>
      <c r="Q2911" s="24" t="n"/>
      <c r="R2911" s="24" t="n"/>
      <c r="S2911" s="22">
        <f>IF(AND($A2911="",$C2911=""),"",IF($A2911="","Thiếu mã đơn; ","")&amp;IF(COUNTIF($A$2:$A2911,$A2911)&gt;1,"Trùng mã đơn; ","")&amp;IF(ISNA(MATCH($C2911,DATA_MASTER!$D$2:$D$5000,0)),"SĐT chưa đăng ký hội viên; ","")&amp;IF(AND($L2911="Đã chuyển khoản",$M2911=""),"Thiếu ngày nhận CK; ",""))</f>
        <v/>
      </c>
      <c r="T2911" s="24" t="n"/>
    </row>
    <row r="2912" ht="14.25" customHeight="1" s="40">
      <c r="A2912" s="24" t="n"/>
      <c r="B2912" s="29" t="n"/>
      <c r="C2912" s="28" t="n"/>
      <c r="D2912" s="22">
        <f t="array" ref="D2912">IF($C2912="","",IFERROR(INDEX(DATA_MASTER!$C$2:$C$5000,MATCH($C2912,DATA_MASTER!$D$2:$D$5000,0)),""))</f>
        <v/>
      </c>
      <c r="E2912" s="22">
        <f t="array" ref="E2912">IF($C2912="","",IFERROR(INDEX(DATA_MASTER!$I$2:$I$5000,MATCH($C2912,DATA_MASTER!$D$2:$D$5000,0)),""))</f>
        <v/>
      </c>
      <c r="F2912" s="22">
        <f t="array" ref="F2912">IF($C2912="","",IFERROR(INDEX(DATA_MASTER!$L$2:$L$5000,MATCH($C2912,DATA_MASTER!$D$2:$D$5000,0)),""))</f>
        <v/>
      </c>
      <c r="G2912" s="24" t="n"/>
      <c r="H2912" s="24" t="n"/>
      <c r="I2912" s="30" t="n"/>
      <c r="J2912" s="23">
        <f>IF(OR($H2912="",$I2912=""),"",$H2912*$I2912)</f>
        <v/>
      </c>
      <c r="K2912" s="24" t="n"/>
      <c r="L2912" s="24" t="n"/>
      <c r="M2912" s="29" t="n"/>
      <c r="N2912" s="28" t="n"/>
      <c r="O2912" s="24" t="n"/>
      <c r="P2912" s="24" t="n"/>
      <c r="Q2912" s="24" t="n"/>
      <c r="R2912" s="24" t="n"/>
      <c r="S2912" s="22">
        <f>IF(AND($A2912="",$C2912=""),"",IF($A2912="","Thiếu mã đơn; ","")&amp;IF(COUNTIF($A$2:$A2912,$A2912)&gt;1,"Trùng mã đơn; ","")&amp;IF(ISNA(MATCH($C2912,DATA_MASTER!$D$2:$D$5000,0)),"SĐT chưa đăng ký hội viên; ","")&amp;IF(AND($L2912="Đã chuyển khoản",$M2912=""),"Thiếu ngày nhận CK; ",""))</f>
        <v/>
      </c>
      <c r="T2912" s="24" t="n"/>
    </row>
    <row r="2913" ht="14.25" customHeight="1" s="40">
      <c r="A2913" s="24" t="n"/>
      <c r="B2913" s="29" t="n"/>
      <c r="C2913" s="28" t="n"/>
      <c r="D2913" s="22">
        <f t="array" ref="D2913">IF($C2913="","",IFERROR(INDEX(DATA_MASTER!$C$2:$C$5000,MATCH($C2913,DATA_MASTER!$D$2:$D$5000,0)),""))</f>
        <v/>
      </c>
      <c r="E2913" s="22">
        <f t="array" ref="E2913">IF($C2913="","",IFERROR(INDEX(DATA_MASTER!$I$2:$I$5000,MATCH($C2913,DATA_MASTER!$D$2:$D$5000,0)),""))</f>
        <v/>
      </c>
      <c r="F2913" s="22">
        <f t="array" ref="F2913">IF($C2913="","",IFERROR(INDEX(DATA_MASTER!$L$2:$L$5000,MATCH($C2913,DATA_MASTER!$D$2:$D$5000,0)),""))</f>
        <v/>
      </c>
      <c r="G2913" s="24" t="n"/>
      <c r="H2913" s="24" t="n"/>
      <c r="I2913" s="30" t="n"/>
      <c r="J2913" s="23">
        <f>IF(OR($H2913="",$I2913=""),"",$H2913*$I2913)</f>
        <v/>
      </c>
      <c r="K2913" s="24" t="n"/>
      <c r="L2913" s="24" t="n"/>
      <c r="M2913" s="29" t="n"/>
      <c r="N2913" s="28" t="n"/>
      <c r="O2913" s="24" t="n"/>
      <c r="P2913" s="24" t="n"/>
      <c r="Q2913" s="24" t="n"/>
      <c r="R2913" s="24" t="n"/>
      <c r="S2913" s="22">
        <f>IF(AND($A2913="",$C2913=""),"",IF($A2913="","Thiếu mã đơn; ","")&amp;IF(COUNTIF($A$2:$A2913,$A2913)&gt;1,"Trùng mã đơn; ","")&amp;IF(ISNA(MATCH($C2913,DATA_MASTER!$D$2:$D$5000,0)),"SĐT chưa đăng ký hội viên; ","")&amp;IF(AND($L2913="Đã chuyển khoản",$M2913=""),"Thiếu ngày nhận CK; ",""))</f>
        <v/>
      </c>
      <c r="T2913" s="24" t="n"/>
    </row>
    <row r="2914" ht="14.25" customHeight="1" s="40">
      <c r="A2914" s="24" t="n"/>
      <c r="B2914" s="29" t="n"/>
      <c r="C2914" s="28" t="n"/>
      <c r="D2914" s="22">
        <f t="array" ref="D2914">IF($C2914="","",IFERROR(INDEX(DATA_MASTER!$C$2:$C$5000,MATCH($C2914,DATA_MASTER!$D$2:$D$5000,0)),""))</f>
        <v/>
      </c>
      <c r="E2914" s="22">
        <f t="array" ref="E2914">IF($C2914="","",IFERROR(INDEX(DATA_MASTER!$I$2:$I$5000,MATCH($C2914,DATA_MASTER!$D$2:$D$5000,0)),""))</f>
        <v/>
      </c>
      <c r="F2914" s="22">
        <f t="array" ref="F2914">IF($C2914="","",IFERROR(INDEX(DATA_MASTER!$L$2:$L$5000,MATCH($C2914,DATA_MASTER!$D$2:$D$5000,0)),""))</f>
        <v/>
      </c>
      <c r="G2914" s="24" t="n"/>
      <c r="H2914" s="24" t="n"/>
      <c r="I2914" s="30" t="n"/>
      <c r="J2914" s="23">
        <f>IF(OR($H2914="",$I2914=""),"",$H2914*$I2914)</f>
        <v/>
      </c>
      <c r="K2914" s="24" t="n"/>
      <c r="L2914" s="24" t="n"/>
      <c r="M2914" s="29" t="n"/>
      <c r="N2914" s="28" t="n"/>
      <c r="O2914" s="24" t="n"/>
      <c r="P2914" s="24" t="n"/>
      <c r="Q2914" s="24" t="n"/>
      <c r="R2914" s="24" t="n"/>
      <c r="S2914" s="22">
        <f>IF(AND($A2914="",$C2914=""),"",IF($A2914="","Thiếu mã đơn; ","")&amp;IF(COUNTIF($A$2:$A2914,$A2914)&gt;1,"Trùng mã đơn; ","")&amp;IF(ISNA(MATCH($C2914,DATA_MASTER!$D$2:$D$5000,0)),"SĐT chưa đăng ký hội viên; ","")&amp;IF(AND($L2914="Đã chuyển khoản",$M2914=""),"Thiếu ngày nhận CK; ",""))</f>
        <v/>
      </c>
      <c r="T2914" s="24" t="n"/>
    </row>
    <row r="2915" ht="14.25" customHeight="1" s="40">
      <c r="A2915" s="24" t="n"/>
      <c r="B2915" s="29" t="n"/>
      <c r="C2915" s="28" t="n"/>
      <c r="D2915" s="22">
        <f t="array" ref="D2915">IF($C2915="","",IFERROR(INDEX(DATA_MASTER!$C$2:$C$5000,MATCH($C2915,DATA_MASTER!$D$2:$D$5000,0)),""))</f>
        <v/>
      </c>
      <c r="E2915" s="22">
        <f t="array" ref="E2915">IF($C2915="","",IFERROR(INDEX(DATA_MASTER!$I$2:$I$5000,MATCH($C2915,DATA_MASTER!$D$2:$D$5000,0)),""))</f>
        <v/>
      </c>
      <c r="F2915" s="22">
        <f t="array" ref="F2915">IF($C2915="","",IFERROR(INDEX(DATA_MASTER!$L$2:$L$5000,MATCH($C2915,DATA_MASTER!$D$2:$D$5000,0)),""))</f>
        <v/>
      </c>
      <c r="G2915" s="24" t="n"/>
      <c r="H2915" s="24" t="n"/>
      <c r="I2915" s="30" t="n"/>
      <c r="J2915" s="23">
        <f>IF(OR($H2915="",$I2915=""),"",$H2915*$I2915)</f>
        <v/>
      </c>
      <c r="K2915" s="24" t="n"/>
      <c r="L2915" s="24" t="n"/>
      <c r="M2915" s="29" t="n"/>
      <c r="N2915" s="28" t="n"/>
      <c r="O2915" s="24" t="n"/>
      <c r="P2915" s="24" t="n"/>
      <c r="Q2915" s="24" t="n"/>
      <c r="R2915" s="24" t="n"/>
      <c r="S2915" s="22">
        <f>IF(AND($A2915="",$C2915=""),"",IF($A2915="","Thiếu mã đơn; ","")&amp;IF(COUNTIF($A$2:$A2915,$A2915)&gt;1,"Trùng mã đơn; ","")&amp;IF(ISNA(MATCH($C2915,DATA_MASTER!$D$2:$D$5000,0)),"SĐT chưa đăng ký hội viên; ","")&amp;IF(AND($L2915="Đã chuyển khoản",$M2915=""),"Thiếu ngày nhận CK; ",""))</f>
        <v/>
      </c>
      <c r="T2915" s="24" t="n"/>
    </row>
    <row r="2916" ht="14.25" customHeight="1" s="40">
      <c r="A2916" s="24" t="n"/>
      <c r="B2916" s="29" t="n"/>
      <c r="C2916" s="28" t="n"/>
      <c r="D2916" s="22">
        <f t="array" ref="D2916">IF($C2916="","",IFERROR(INDEX(DATA_MASTER!$C$2:$C$5000,MATCH($C2916,DATA_MASTER!$D$2:$D$5000,0)),""))</f>
        <v/>
      </c>
      <c r="E2916" s="22">
        <f t="array" ref="E2916">IF($C2916="","",IFERROR(INDEX(DATA_MASTER!$I$2:$I$5000,MATCH($C2916,DATA_MASTER!$D$2:$D$5000,0)),""))</f>
        <v/>
      </c>
      <c r="F2916" s="22">
        <f t="array" ref="F2916">IF($C2916="","",IFERROR(INDEX(DATA_MASTER!$L$2:$L$5000,MATCH($C2916,DATA_MASTER!$D$2:$D$5000,0)),""))</f>
        <v/>
      </c>
      <c r="G2916" s="24" t="n"/>
      <c r="H2916" s="24" t="n"/>
      <c r="I2916" s="30" t="n"/>
      <c r="J2916" s="23">
        <f>IF(OR($H2916="",$I2916=""),"",$H2916*$I2916)</f>
        <v/>
      </c>
      <c r="K2916" s="24" t="n"/>
      <c r="L2916" s="24" t="n"/>
      <c r="M2916" s="29" t="n"/>
      <c r="N2916" s="28" t="n"/>
      <c r="O2916" s="24" t="n"/>
      <c r="P2916" s="24" t="n"/>
      <c r="Q2916" s="24" t="n"/>
      <c r="R2916" s="24" t="n"/>
      <c r="S2916" s="22">
        <f>IF(AND($A2916="",$C2916=""),"",IF($A2916="","Thiếu mã đơn; ","")&amp;IF(COUNTIF($A$2:$A2916,$A2916)&gt;1,"Trùng mã đơn; ","")&amp;IF(ISNA(MATCH($C2916,DATA_MASTER!$D$2:$D$5000,0)),"SĐT chưa đăng ký hội viên; ","")&amp;IF(AND($L2916="Đã chuyển khoản",$M2916=""),"Thiếu ngày nhận CK; ",""))</f>
        <v/>
      </c>
      <c r="T2916" s="24" t="n"/>
    </row>
    <row r="2917" ht="14.25" customHeight="1" s="40">
      <c r="A2917" s="24" t="n"/>
      <c r="B2917" s="29" t="n"/>
      <c r="C2917" s="28" t="n"/>
      <c r="D2917" s="22">
        <f t="array" ref="D2917">IF($C2917="","",IFERROR(INDEX(DATA_MASTER!$C$2:$C$5000,MATCH($C2917,DATA_MASTER!$D$2:$D$5000,0)),""))</f>
        <v/>
      </c>
      <c r="E2917" s="22">
        <f t="array" ref="E2917">IF($C2917="","",IFERROR(INDEX(DATA_MASTER!$I$2:$I$5000,MATCH($C2917,DATA_MASTER!$D$2:$D$5000,0)),""))</f>
        <v/>
      </c>
      <c r="F2917" s="22">
        <f t="array" ref="F2917">IF($C2917="","",IFERROR(INDEX(DATA_MASTER!$L$2:$L$5000,MATCH($C2917,DATA_MASTER!$D$2:$D$5000,0)),""))</f>
        <v/>
      </c>
      <c r="G2917" s="24" t="n"/>
      <c r="H2917" s="24" t="n"/>
      <c r="I2917" s="30" t="n"/>
      <c r="J2917" s="23">
        <f>IF(OR($H2917="",$I2917=""),"",$H2917*$I2917)</f>
        <v/>
      </c>
      <c r="K2917" s="24" t="n"/>
      <c r="L2917" s="24" t="n"/>
      <c r="M2917" s="29" t="n"/>
      <c r="N2917" s="28" t="n"/>
      <c r="O2917" s="24" t="n"/>
      <c r="P2917" s="24" t="n"/>
      <c r="Q2917" s="24" t="n"/>
      <c r="R2917" s="24" t="n"/>
      <c r="S2917" s="22">
        <f>IF(AND($A2917="",$C2917=""),"",IF($A2917="","Thiếu mã đơn; ","")&amp;IF(COUNTIF($A$2:$A2917,$A2917)&gt;1,"Trùng mã đơn; ","")&amp;IF(ISNA(MATCH($C2917,DATA_MASTER!$D$2:$D$5000,0)),"SĐT chưa đăng ký hội viên; ","")&amp;IF(AND($L2917="Đã chuyển khoản",$M2917=""),"Thiếu ngày nhận CK; ",""))</f>
        <v/>
      </c>
      <c r="T2917" s="24" t="n"/>
    </row>
    <row r="2918" ht="14.25" customHeight="1" s="40">
      <c r="A2918" s="24" t="n"/>
      <c r="B2918" s="29" t="n"/>
      <c r="C2918" s="28" t="n"/>
      <c r="D2918" s="22">
        <f t="array" ref="D2918">IF($C2918="","",IFERROR(INDEX(DATA_MASTER!$C$2:$C$5000,MATCH($C2918,DATA_MASTER!$D$2:$D$5000,0)),""))</f>
        <v/>
      </c>
      <c r="E2918" s="22">
        <f t="array" ref="E2918">IF($C2918="","",IFERROR(INDEX(DATA_MASTER!$I$2:$I$5000,MATCH($C2918,DATA_MASTER!$D$2:$D$5000,0)),""))</f>
        <v/>
      </c>
      <c r="F2918" s="22">
        <f t="array" ref="F2918">IF($C2918="","",IFERROR(INDEX(DATA_MASTER!$L$2:$L$5000,MATCH($C2918,DATA_MASTER!$D$2:$D$5000,0)),""))</f>
        <v/>
      </c>
      <c r="G2918" s="24" t="n"/>
      <c r="H2918" s="24" t="n"/>
      <c r="I2918" s="30" t="n"/>
      <c r="J2918" s="23">
        <f>IF(OR($H2918="",$I2918=""),"",$H2918*$I2918)</f>
        <v/>
      </c>
      <c r="K2918" s="24" t="n"/>
      <c r="L2918" s="24" t="n"/>
      <c r="M2918" s="29" t="n"/>
      <c r="N2918" s="28" t="n"/>
      <c r="O2918" s="24" t="n"/>
      <c r="P2918" s="24" t="n"/>
      <c r="Q2918" s="24" t="n"/>
      <c r="R2918" s="24" t="n"/>
      <c r="S2918" s="22">
        <f>IF(AND($A2918="",$C2918=""),"",IF($A2918="","Thiếu mã đơn; ","")&amp;IF(COUNTIF($A$2:$A2918,$A2918)&gt;1,"Trùng mã đơn; ","")&amp;IF(ISNA(MATCH($C2918,DATA_MASTER!$D$2:$D$5000,0)),"SĐT chưa đăng ký hội viên; ","")&amp;IF(AND($L2918="Đã chuyển khoản",$M2918=""),"Thiếu ngày nhận CK; ",""))</f>
        <v/>
      </c>
      <c r="T2918" s="24" t="n"/>
    </row>
    <row r="2919" ht="14.25" customHeight="1" s="40">
      <c r="A2919" s="24" t="n"/>
      <c r="B2919" s="29" t="n"/>
      <c r="C2919" s="28" t="n"/>
      <c r="D2919" s="22">
        <f t="array" ref="D2919">IF($C2919="","",IFERROR(INDEX(DATA_MASTER!$C$2:$C$5000,MATCH($C2919,DATA_MASTER!$D$2:$D$5000,0)),""))</f>
        <v/>
      </c>
      <c r="E2919" s="22">
        <f t="array" ref="E2919">IF($C2919="","",IFERROR(INDEX(DATA_MASTER!$I$2:$I$5000,MATCH($C2919,DATA_MASTER!$D$2:$D$5000,0)),""))</f>
        <v/>
      </c>
      <c r="F2919" s="22">
        <f t="array" ref="F2919">IF($C2919="","",IFERROR(INDEX(DATA_MASTER!$L$2:$L$5000,MATCH($C2919,DATA_MASTER!$D$2:$D$5000,0)),""))</f>
        <v/>
      </c>
      <c r="G2919" s="24" t="n"/>
      <c r="H2919" s="24" t="n"/>
      <c r="I2919" s="30" t="n"/>
      <c r="J2919" s="23">
        <f>IF(OR($H2919="",$I2919=""),"",$H2919*$I2919)</f>
        <v/>
      </c>
      <c r="K2919" s="24" t="n"/>
      <c r="L2919" s="24" t="n"/>
      <c r="M2919" s="29" t="n"/>
      <c r="N2919" s="28" t="n"/>
      <c r="O2919" s="24" t="n"/>
      <c r="P2919" s="24" t="n"/>
      <c r="Q2919" s="24" t="n"/>
      <c r="R2919" s="24" t="n"/>
      <c r="S2919" s="22">
        <f>IF(AND($A2919="",$C2919=""),"",IF($A2919="","Thiếu mã đơn; ","")&amp;IF(COUNTIF($A$2:$A2919,$A2919)&gt;1,"Trùng mã đơn; ","")&amp;IF(ISNA(MATCH($C2919,DATA_MASTER!$D$2:$D$5000,0)),"SĐT chưa đăng ký hội viên; ","")&amp;IF(AND($L2919="Đã chuyển khoản",$M2919=""),"Thiếu ngày nhận CK; ",""))</f>
        <v/>
      </c>
      <c r="T2919" s="24" t="n"/>
    </row>
    <row r="2920" ht="14.25" customHeight="1" s="40">
      <c r="A2920" s="24" t="n"/>
      <c r="B2920" s="29" t="n"/>
      <c r="C2920" s="28" t="n"/>
      <c r="D2920" s="22">
        <f t="array" ref="D2920">IF($C2920="","",IFERROR(INDEX(DATA_MASTER!$C$2:$C$5000,MATCH($C2920,DATA_MASTER!$D$2:$D$5000,0)),""))</f>
        <v/>
      </c>
      <c r="E2920" s="22">
        <f t="array" ref="E2920">IF($C2920="","",IFERROR(INDEX(DATA_MASTER!$I$2:$I$5000,MATCH($C2920,DATA_MASTER!$D$2:$D$5000,0)),""))</f>
        <v/>
      </c>
      <c r="F2920" s="22">
        <f t="array" ref="F2920">IF($C2920="","",IFERROR(INDEX(DATA_MASTER!$L$2:$L$5000,MATCH($C2920,DATA_MASTER!$D$2:$D$5000,0)),""))</f>
        <v/>
      </c>
      <c r="G2920" s="24" t="n"/>
      <c r="H2920" s="24" t="n"/>
      <c r="I2920" s="30" t="n"/>
      <c r="J2920" s="23">
        <f>IF(OR($H2920="",$I2920=""),"",$H2920*$I2920)</f>
        <v/>
      </c>
      <c r="K2920" s="24" t="n"/>
      <c r="L2920" s="24" t="n"/>
      <c r="M2920" s="29" t="n"/>
      <c r="N2920" s="28" t="n"/>
      <c r="O2920" s="24" t="n"/>
      <c r="P2920" s="24" t="n"/>
      <c r="Q2920" s="24" t="n"/>
      <c r="R2920" s="24" t="n"/>
      <c r="S2920" s="22">
        <f>IF(AND($A2920="",$C2920=""),"",IF($A2920="","Thiếu mã đơn; ","")&amp;IF(COUNTIF($A$2:$A2920,$A2920)&gt;1,"Trùng mã đơn; ","")&amp;IF(ISNA(MATCH($C2920,DATA_MASTER!$D$2:$D$5000,0)),"SĐT chưa đăng ký hội viên; ","")&amp;IF(AND($L2920="Đã chuyển khoản",$M2920=""),"Thiếu ngày nhận CK; ",""))</f>
        <v/>
      </c>
      <c r="T2920" s="24" t="n"/>
    </row>
    <row r="2921" ht="14.25" customHeight="1" s="40">
      <c r="A2921" s="24" t="n"/>
      <c r="B2921" s="29" t="n"/>
      <c r="C2921" s="28" t="n"/>
      <c r="D2921" s="22">
        <f t="array" ref="D2921">IF($C2921="","",IFERROR(INDEX(DATA_MASTER!$C$2:$C$5000,MATCH($C2921,DATA_MASTER!$D$2:$D$5000,0)),""))</f>
        <v/>
      </c>
      <c r="E2921" s="22">
        <f t="array" ref="E2921">IF($C2921="","",IFERROR(INDEX(DATA_MASTER!$I$2:$I$5000,MATCH($C2921,DATA_MASTER!$D$2:$D$5000,0)),""))</f>
        <v/>
      </c>
      <c r="F2921" s="22">
        <f t="array" ref="F2921">IF($C2921="","",IFERROR(INDEX(DATA_MASTER!$L$2:$L$5000,MATCH($C2921,DATA_MASTER!$D$2:$D$5000,0)),""))</f>
        <v/>
      </c>
      <c r="G2921" s="24" t="n"/>
      <c r="H2921" s="24" t="n"/>
      <c r="I2921" s="30" t="n"/>
      <c r="J2921" s="23">
        <f>IF(OR($H2921="",$I2921=""),"",$H2921*$I2921)</f>
        <v/>
      </c>
      <c r="K2921" s="24" t="n"/>
      <c r="L2921" s="24" t="n"/>
      <c r="M2921" s="29" t="n"/>
      <c r="N2921" s="28" t="n"/>
      <c r="O2921" s="24" t="n"/>
      <c r="P2921" s="24" t="n"/>
      <c r="Q2921" s="24" t="n"/>
      <c r="R2921" s="24" t="n"/>
      <c r="S2921" s="22">
        <f>IF(AND($A2921="",$C2921=""),"",IF($A2921="","Thiếu mã đơn; ","")&amp;IF(COUNTIF($A$2:$A2921,$A2921)&gt;1,"Trùng mã đơn; ","")&amp;IF(ISNA(MATCH($C2921,DATA_MASTER!$D$2:$D$5000,0)),"SĐT chưa đăng ký hội viên; ","")&amp;IF(AND($L2921="Đã chuyển khoản",$M2921=""),"Thiếu ngày nhận CK; ",""))</f>
        <v/>
      </c>
      <c r="T2921" s="24" t="n"/>
    </row>
    <row r="2922" ht="14.25" customHeight="1" s="40">
      <c r="A2922" s="24" t="n"/>
      <c r="B2922" s="29" t="n"/>
      <c r="C2922" s="28" t="n"/>
      <c r="D2922" s="22">
        <f t="array" ref="D2922">IF($C2922="","",IFERROR(INDEX(DATA_MASTER!$C$2:$C$5000,MATCH($C2922,DATA_MASTER!$D$2:$D$5000,0)),""))</f>
        <v/>
      </c>
      <c r="E2922" s="22">
        <f t="array" ref="E2922">IF($C2922="","",IFERROR(INDEX(DATA_MASTER!$I$2:$I$5000,MATCH($C2922,DATA_MASTER!$D$2:$D$5000,0)),""))</f>
        <v/>
      </c>
      <c r="F2922" s="22">
        <f t="array" ref="F2922">IF($C2922="","",IFERROR(INDEX(DATA_MASTER!$L$2:$L$5000,MATCH($C2922,DATA_MASTER!$D$2:$D$5000,0)),""))</f>
        <v/>
      </c>
      <c r="G2922" s="24" t="n"/>
      <c r="H2922" s="24" t="n"/>
      <c r="I2922" s="30" t="n"/>
      <c r="J2922" s="23">
        <f>IF(OR($H2922="",$I2922=""),"",$H2922*$I2922)</f>
        <v/>
      </c>
      <c r="K2922" s="24" t="n"/>
      <c r="L2922" s="24" t="n"/>
      <c r="M2922" s="29" t="n"/>
      <c r="N2922" s="28" t="n"/>
      <c r="O2922" s="24" t="n"/>
      <c r="P2922" s="24" t="n"/>
      <c r="Q2922" s="24" t="n"/>
      <c r="R2922" s="24" t="n"/>
      <c r="S2922" s="22">
        <f>IF(AND($A2922="",$C2922=""),"",IF($A2922="","Thiếu mã đơn; ","")&amp;IF(COUNTIF($A$2:$A2922,$A2922)&gt;1,"Trùng mã đơn; ","")&amp;IF(ISNA(MATCH($C2922,DATA_MASTER!$D$2:$D$5000,0)),"SĐT chưa đăng ký hội viên; ","")&amp;IF(AND($L2922="Đã chuyển khoản",$M2922=""),"Thiếu ngày nhận CK; ",""))</f>
        <v/>
      </c>
      <c r="T2922" s="24" t="n"/>
    </row>
    <row r="2923" ht="14.25" customHeight="1" s="40">
      <c r="A2923" s="24" t="n"/>
      <c r="B2923" s="29" t="n"/>
      <c r="C2923" s="28" t="n"/>
      <c r="D2923" s="22">
        <f t="array" ref="D2923">IF($C2923="","",IFERROR(INDEX(DATA_MASTER!$C$2:$C$5000,MATCH($C2923,DATA_MASTER!$D$2:$D$5000,0)),""))</f>
        <v/>
      </c>
      <c r="E2923" s="22">
        <f t="array" ref="E2923">IF($C2923="","",IFERROR(INDEX(DATA_MASTER!$I$2:$I$5000,MATCH($C2923,DATA_MASTER!$D$2:$D$5000,0)),""))</f>
        <v/>
      </c>
      <c r="F2923" s="22">
        <f t="array" ref="F2923">IF($C2923="","",IFERROR(INDEX(DATA_MASTER!$L$2:$L$5000,MATCH($C2923,DATA_MASTER!$D$2:$D$5000,0)),""))</f>
        <v/>
      </c>
      <c r="G2923" s="24" t="n"/>
      <c r="H2923" s="24" t="n"/>
      <c r="I2923" s="30" t="n"/>
      <c r="J2923" s="23">
        <f>IF(OR($H2923="",$I2923=""),"",$H2923*$I2923)</f>
        <v/>
      </c>
      <c r="K2923" s="24" t="n"/>
      <c r="L2923" s="24" t="n"/>
      <c r="M2923" s="29" t="n"/>
      <c r="N2923" s="28" t="n"/>
      <c r="O2923" s="24" t="n"/>
      <c r="P2923" s="24" t="n"/>
      <c r="Q2923" s="24" t="n"/>
      <c r="R2923" s="24" t="n"/>
      <c r="S2923" s="22">
        <f>IF(AND($A2923="",$C2923=""),"",IF($A2923="","Thiếu mã đơn; ","")&amp;IF(COUNTIF($A$2:$A2923,$A2923)&gt;1,"Trùng mã đơn; ","")&amp;IF(ISNA(MATCH($C2923,DATA_MASTER!$D$2:$D$5000,0)),"SĐT chưa đăng ký hội viên; ","")&amp;IF(AND($L2923="Đã chuyển khoản",$M2923=""),"Thiếu ngày nhận CK; ",""))</f>
        <v/>
      </c>
      <c r="T2923" s="24" t="n"/>
    </row>
    <row r="2924" ht="14.25" customHeight="1" s="40">
      <c r="A2924" s="24" t="n"/>
      <c r="B2924" s="29" t="n"/>
      <c r="C2924" s="28" t="n"/>
      <c r="D2924" s="22">
        <f t="array" ref="D2924">IF($C2924="","",IFERROR(INDEX(DATA_MASTER!$C$2:$C$5000,MATCH($C2924,DATA_MASTER!$D$2:$D$5000,0)),""))</f>
        <v/>
      </c>
      <c r="E2924" s="22">
        <f t="array" ref="E2924">IF($C2924="","",IFERROR(INDEX(DATA_MASTER!$I$2:$I$5000,MATCH($C2924,DATA_MASTER!$D$2:$D$5000,0)),""))</f>
        <v/>
      </c>
      <c r="F2924" s="22">
        <f t="array" ref="F2924">IF($C2924="","",IFERROR(INDEX(DATA_MASTER!$L$2:$L$5000,MATCH($C2924,DATA_MASTER!$D$2:$D$5000,0)),""))</f>
        <v/>
      </c>
      <c r="G2924" s="24" t="n"/>
      <c r="H2924" s="24" t="n"/>
      <c r="I2924" s="30" t="n"/>
      <c r="J2924" s="23">
        <f>IF(OR($H2924="",$I2924=""),"",$H2924*$I2924)</f>
        <v/>
      </c>
      <c r="K2924" s="24" t="n"/>
      <c r="L2924" s="24" t="n"/>
      <c r="M2924" s="29" t="n"/>
      <c r="N2924" s="28" t="n"/>
      <c r="O2924" s="24" t="n"/>
      <c r="P2924" s="24" t="n"/>
      <c r="Q2924" s="24" t="n"/>
      <c r="R2924" s="24" t="n"/>
      <c r="S2924" s="22">
        <f>IF(AND($A2924="",$C2924=""),"",IF($A2924="","Thiếu mã đơn; ","")&amp;IF(COUNTIF($A$2:$A2924,$A2924)&gt;1,"Trùng mã đơn; ","")&amp;IF(ISNA(MATCH($C2924,DATA_MASTER!$D$2:$D$5000,0)),"SĐT chưa đăng ký hội viên; ","")&amp;IF(AND($L2924="Đã chuyển khoản",$M2924=""),"Thiếu ngày nhận CK; ",""))</f>
        <v/>
      </c>
      <c r="T2924" s="24" t="n"/>
    </row>
    <row r="2925" ht="14.25" customHeight="1" s="40">
      <c r="A2925" s="24" t="n"/>
      <c r="B2925" s="29" t="n"/>
      <c r="C2925" s="28" t="n"/>
      <c r="D2925" s="22">
        <f t="array" ref="D2925">IF($C2925="","",IFERROR(INDEX(DATA_MASTER!$C$2:$C$5000,MATCH($C2925,DATA_MASTER!$D$2:$D$5000,0)),""))</f>
        <v/>
      </c>
      <c r="E2925" s="22">
        <f t="array" ref="E2925">IF($C2925="","",IFERROR(INDEX(DATA_MASTER!$I$2:$I$5000,MATCH($C2925,DATA_MASTER!$D$2:$D$5000,0)),""))</f>
        <v/>
      </c>
      <c r="F2925" s="22">
        <f t="array" ref="F2925">IF($C2925="","",IFERROR(INDEX(DATA_MASTER!$L$2:$L$5000,MATCH($C2925,DATA_MASTER!$D$2:$D$5000,0)),""))</f>
        <v/>
      </c>
      <c r="G2925" s="24" t="n"/>
      <c r="H2925" s="24" t="n"/>
      <c r="I2925" s="30" t="n"/>
      <c r="J2925" s="23">
        <f>IF(OR($H2925="",$I2925=""),"",$H2925*$I2925)</f>
        <v/>
      </c>
      <c r="K2925" s="24" t="n"/>
      <c r="L2925" s="24" t="n"/>
      <c r="M2925" s="29" t="n"/>
      <c r="N2925" s="28" t="n"/>
      <c r="O2925" s="24" t="n"/>
      <c r="P2925" s="24" t="n"/>
      <c r="Q2925" s="24" t="n"/>
      <c r="R2925" s="24" t="n"/>
      <c r="S2925" s="22">
        <f>IF(AND($A2925="",$C2925=""),"",IF($A2925="","Thiếu mã đơn; ","")&amp;IF(COUNTIF($A$2:$A2925,$A2925)&gt;1,"Trùng mã đơn; ","")&amp;IF(ISNA(MATCH($C2925,DATA_MASTER!$D$2:$D$5000,0)),"SĐT chưa đăng ký hội viên; ","")&amp;IF(AND($L2925="Đã chuyển khoản",$M2925=""),"Thiếu ngày nhận CK; ",""))</f>
        <v/>
      </c>
      <c r="T2925" s="24" t="n"/>
    </row>
    <row r="2926" ht="14.25" customHeight="1" s="40">
      <c r="A2926" s="24" t="n"/>
      <c r="B2926" s="29" t="n"/>
      <c r="C2926" s="28" t="n"/>
      <c r="D2926" s="22">
        <f t="array" ref="D2926">IF($C2926="","",IFERROR(INDEX(DATA_MASTER!$C$2:$C$5000,MATCH($C2926,DATA_MASTER!$D$2:$D$5000,0)),""))</f>
        <v/>
      </c>
      <c r="E2926" s="22">
        <f t="array" ref="E2926">IF($C2926="","",IFERROR(INDEX(DATA_MASTER!$I$2:$I$5000,MATCH($C2926,DATA_MASTER!$D$2:$D$5000,0)),""))</f>
        <v/>
      </c>
      <c r="F2926" s="22">
        <f t="array" ref="F2926">IF($C2926="","",IFERROR(INDEX(DATA_MASTER!$L$2:$L$5000,MATCH($C2926,DATA_MASTER!$D$2:$D$5000,0)),""))</f>
        <v/>
      </c>
      <c r="G2926" s="24" t="n"/>
      <c r="H2926" s="24" t="n"/>
      <c r="I2926" s="30" t="n"/>
      <c r="J2926" s="23">
        <f>IF(OR($H2926="",$I2926=""),"",$H2926*$I2926)</f>
        <v/>
      </c>
      <c r="K2926" s="24" t="n"/>
      <c r="L2926" s="24" t="n"/>
      <c r="M2926" s="29" t="n"/>
      <c r="N2926" s="28" t="n"/>
      <c r="O2926" s="24" t="n"/>
      <c r="P2926" s="24" t="n"/>
      <c r="Q2926" s="24" t="n"/>
      <c r="R2926" s="24" t="n"/>
      <c r="S2926" s="22">
        <f>IF(AND($A2926="",$C2926=""),"",IF($A2926="","Thiếu mã đơn; ","")&amp;IF(COUNTIF($A$2:$A2926,$A2926)&gt;1,"Trùng mã đơn; ","")&amp;IF(ISNA(MATCH($C2926,DATA_MASTER!$D$2:$D$5000,0)),"SĐT chưa đăng ký hội viên; ","")&amp;IF(AND($L2926="Đã chuyển khoản",$M2926=""),"Thiếu ngày nhận CK; ",""))</f>
        <v/>
      </c>
      <c r="T2926" s="24" t="n"/>
    </row>
    <row r="2927" ht="14.25" customHeight="1" s="40">
      <c r="A2927" s="24" t="n"/>
      <c r="B2927" s="29" t="n"/>
      <c r="C2927" s="28" t="n"/>
      <c r="D2927" s="22">
        <f t="array" ref="D2927">IF($C2927="","",IFERROR(INDEX(DATA_MASTER!$C$2:$C$5000,MATCH($C2927,DATA_MASTER!$D$2:$D$5000,0)),""))</f>
        <v/>
      </c>
      <c r="E2927" s="22">
        <f t="array" ref="E2927">IF($C2927="","",IFERROR(INDEX(DATA_MASTER!$I$2:$I$5000,MATCH($C2927,DATA_MASTER!$D$2:$D$5000,0)),""))</f>
        <v/>
      </c>
      <c r="F2927" s="22">
        <f t="array" ref="F2927">IF($C2927="","",IFERROR(INDEX(DATA_MASTER!$L$2:$L$5000,MATCH($C2927,DATA_MASTER!$D$2:$D$5000,0)),""))</f>
        <v/>
      </c>
      <c r="G2927" s="24" t="n"/>
      <c r="H2927" s="24" t="n"/>
      <c r="I2927" s="30" t="n"/>
      <c r="J2927" s="23">
        <f>IF(OR($H2927="",$I2927=""),"",$H2927*$I2927)</f>
        <v/>
      </c>
      <c r="K2927" s="24" t="n"/>
      <c r="L2927" s="24" t="n"/>
      <c r="M2927" s="29" t="n"/>
      <c r="N2927" s="28" t="n"/>
      <c r="O2927" s="24" t="n"/>
      <c r="P2927" s="24" t="n"/>
      <c r="Q2927" s="24" t="n"/>
      <c r="R2927" s="24" t="n"/>
      <c r="S2927" s="22">
        <f>IF(AND($A2927="",$C2927=""),"",IF($A2927="","Thiếu mã đơn; ","")&amp;IF(COUNTIF($A$2:$A2927,$A2927)&gt;1,"Trùng mã đơn; ","")&amp;IF(ISNA(MATCH($C2927,DATA_MASTER!$D$2:$D$5000,0)),"SĐT chưa đăng ký hội viên; ","")&amp;IF(AND($L2927="Đã chuyển khoản",$M2927=""),"Thiếu ngày nhận CK; ",""))</f>
        <v/>
      </c>
      <c r="T2927" s="24" t="n"/>
    </row>
    <row r="2928" ht="14.25" customHeight="1" s="40">
      <c r="A2928" s="24" t="n"/>
      <c r="B2928" s="29" t="n"/>
      <c r="C2928" s="28" t="n"/>
      <c r="D2928" s="22">
        <f t="array" ref="D2928">IF($C2928="","",IFERROR(INDEX(DATA_MASTER!$C$2:$C$5000,MATCH($C2928,DATA_MASTER!$D$2:$D$5000,0)),""))</f>
        <v/>
      </c>
      <c r="E2928" s="22">
        <f t="array" ref="E2928">IF($C2928="","",IFERROR(INDEX(DATA_MASTER!$I$2:$I$5000,MATCH($C2928,DATA_MASTER!$D$2:$D$5000,0)),""))</f>
        <v/>
      </c>
      <c r="F2928" s="22">
        <f t="array" ref="F2928">IF($C2928="","",IFERROR(INDEX(DATA_MASTER!$L$2:$L$5000,MATCH($C2928,DATA_MASTER!$D$2:$D$5000,0)),""))</f>
        <v/>
      </c>
      <c r="G2928" s="24" t="n"/>
      <c r="H2928" s="24" t="n"/>
      <c r="I2928" s="30" t="n"/>
      <c r="J2928" s="23">
        <f>IF(OR($H2928="",$I2928=""),"",$H2928*$I2928)</f>
        <v/>
      </c>
      <c r="K2928" s="24" t="n"/>
      <c r="L2928" s="24" t="n"/>
      <c r="M2928" s="29" t="n"/>
      <c r="N2928" s="28" t="n"/>
      <c r="O2928" s="24" t="n"/>
      <c r="P2928" s="24" t="n"/>
      <c r="Q2928" s="24" t="n"/>
      <c r="R2928" s="24" t="n"/>
      <c r="S2928" s="22">
        <f>IF(AND($A2928="",$C2928=""),"",IF($A2928="","Thiếu mã đơn; ","")&amp;IF(COUNTIF($A$2:$A2928,$A2928)&gt;1,"Trùng mã đơn; ","")&amp;IF(ISNA(MATCH($C2928,DATA_MASTER!$D$2:$D$5000,0)),"SĐT chưa đăng ký hội viên; ","")&amp;IF(AND($L2928="Đã chuyển khoản",$M2928=""),"Thiếu ngày nhận CK; ",""))</f>
        <v/>
      </c>
      <c r="T2928" s="24" t="n"/>
    </row>
    <row r="2929" ht="14.25" customHeight="1" s="40">
      <c r="A2929" s="24" t="n"/>
      <c r="B2929" s="29" t="n"/>
      <c r="C2929" s="28" t="n"/>
      <c r="D2929" s="22">
        <f t="array" ref="D2929">IF($C2929="","",IFERROR(INDEX(DATA_MASTER!$C$2:$C$5000,MATCH($C2929,DATA_MASTER!$D$2:$D$5000,0)),""))</f>
        <v/>
      </c>
      <c r="E2929" s="22">
        <f t="array" ref="E2929">IF($C2929="","",IFERROR(INDEX(DATA_MASTER!$I$2:$I$5000,MATCH($C2929,DATA_MASTER!$D$2:$D$5000,0)),""))</f>
        <v/>
      </c>
      <c r="F2929" s="22">
        <f t="array" ref="F2929">IF($C2929="","",IFERROR(INDEX(DATA_MASTER!$L$2:$L$5000,MATCH($C2929,DATA_MASTER!$D$2:$D$5000,0)),""))</f>
        <v/>
      </c>
      <c r="G2929" s="24" t="n"/>
      <c r="H2929" s="24" t="n"/>
      <c r="I2929" s="30" t="n"/>
      <c r="J2929" s="23">
        <f>IF(OR($H2929="",$I2929=""),"",$H2929*$I2929)</f>
        <v/>
      </c>
      <c r="K2929" s="24" t="n"/>
      <c r="L2929" s="24" t="n"/>
      <c r="M2929" s="29" t="n"/>
      <c r="N2929" s="28" t="n"/>
      <c r="O2929" s="24" t="n"/>
      <c r="P2929" s="24" t="n"/>
      <c r="Q2929" s="24" t="n"/>
      <c r="R2929" s="24" t="n"/>
      <c r="S2929" s="22">
        <f>IF(AND($A2929="",$C2929=""),"",IF($A2929="","Thiếu mã đơn; ","")&amp;IF(COUNTIF($A$2:$A2929,$A2929)&gt;1,"Trùng mã đơn; ","")&amp;IF(ISNA(MATCH($C2929,DATA_MASTER!$D$2:$D$5000,0)),"SĐT chưa đăng ký hội viên; ","")&amp;IF(AND($L2929="Đã chuyển khoản",$M2929=""),"Thiếu ngày nhận CK; ",""))</f>
        <v/>
      </c>
      <c r="T2929" s="24" t="n"/>
    </row>
    <row r="2930" ht="14.25" customHeight="1" s="40">
      <c r="A2930" s="24" t="n"/>
      <c r="B2930" s="29" t="n"/>
      <c r="C2930" s="28" t="n"/>
      <c r="D2930" s="22">
        <f t="array" ref="D2930">IF($C2930="","",IFERROR(INDEX(DATA_MASTER!$C$2:$C$5000,MATCH($C2930,DATA_MASTER!$D$2:$D$5000,0)),""))</f>
        <v/>
      </c>
      <c r="E2930" s="22">
        <f t="array" ref="E2930">IF($C2930="","",IFERROR(INDEX(DATA_MASTER!$I$2:$I$5000,MATCH($C2930,DATA_MASTER!$D$2:$D$5000,0)),""))</f>
        <v/>
      </c>
      <c r="F2930" s="22">
        <f t="array" ref="F2930">IF($C2930="","",IFERROR(INDEX(DATA_MASTER!$L$2:$L$5000,MATCH($C2930,DATA_MASTER!$D$2:$D$5000,0)),""))</f>
        <v/>
      </c>
      <c r="G2930" s="24" t="n"/>
      <c r="H2930" s="24" t="n"/>
      <c r="I2930" s="30" t="n"/>
      <c r="J2930" s="23">
        <f>IF(OR($H2930="",$I2930=""),"",$H2930*$I2930)</f>
        <v/>
      </c>
      <c r="K2930" s="24" t="n"/>
      <c r="L2930" s="24" t="n"/>
      <c r="M2930" s="29" t="n"/>
      <c r="N2930" s="28" t="n"/>
      <c r="O2930" s="24" t="n"/>
      <c r="P2930" s="24" t="n"/>
      <c r="Q2930" s="24" t="n"/>
      <c r="R2930" s="24" t="n"/>
      <c r="S2930" s="22">
        <f>IF(AND($A2930="",$C2930=""),"",IF($A2930="","Thiếu mã đơn; ","")&amp;IF(COUNTIF($A$2:$A2930,$A2930)&gt;1,"Trùng mã đơn; ","")&amp;IF(ISNA(MATCH($C2930,DATA_MASTER!$D$2:$D$5000,0)),"SĐT chưa đăng ký hội viên; ","")&amp;IF(AND($L2930="Đã chuyển khoản",$M2930=""),"Thiếu ngày nhận CK; ",""))</f>
        <v/>
      </c>
      <c r="T2930" s="24" t="n"/>
    </row>
    <row r="2931" ht="14.25" customHeight="1" s="40">
      <c r="A2931" s="24" t="n"/>
      <c r="B2931" s="29" t="n"/>
      <c r="C2931" s="28" t="n"/>
      <c r="D2931" s="22">
        <f t="array" ref="D2931">IF($C2931="","",IFERROR(INDEX(DATA_MASTER!$C$2:$C$5000,MATCH($C2931,DATA_MASTER!$D$2:$D$5000,0)),""))</f>
        <v/>
      </c>
      <c r="E2931" s="22">
        <f t="array" ref="E2931">IF($C2931="","",IFERROR(INDEX(DATA_MASTER!$I$2:$I$5000,MATCH($C2931,DATA_MASTER!$D$2:$D$5000,0)),""))</f>
        <v/>
      </c>
      <c r="F2931" s="22">
        <f t="array" ref="F2931">IF($C2931="","",IFERROR(INDEX(DATA_MASTER!$L$2:$L$5000,MATCH($C2931,DATA_MASTER!$D$2:$D$5000,0)),""))</f>
        <v/>
      </c>
      <c r="G2931" s="24" t="n"/>
      <c r="H2931" s="24" t="n"/>
      <c r="I2931" s="30" t="n"/>
      <c r="J2931" s="23">
        <f>IF(OR($H2931="",$I2931=""),"",$H2931*$I2931)</f>
        <v/>
      </c>
      <c r="K2931" s="24" t="n"/>
      <c r="L2931" s="24" t="n"/>
      <c r="M2931" s="29" t="n"/>
      <c r="N2931" s="28" t="n"/>
      <c r="O2931" s="24" t="n"/>
      <c r="P2931" s="24" t="n"/>
      <c r="Q2931" s="24" t="n"/>
      <c r="R2931" s="24" t="n"/>
      <c r="S2931" s="22">
        <f>IF(AND($A2931="",$C2931=""),"",IF($A2931="","Thiếu mã đơn; ","")&amp;IF(COUNTIF($A$2:$A2931,$A2931)&gt;1,"Trùng mã đơn; ","")&amp;IF(ISNA(MATCH($C2931,DATA_MASTER!$D$2:$D$5000,0)),"SĐT chưa đăng ký hội viên; ","")&amp;IF(AND($L2931="Đã chuyển khoản",$M2931=""),"Thiếu ngày nhận CK; ",""))</f>
        <v/>
      </c>
      <c r="T2931" s="24" t="n"/>
    </row>
    <row r="2932" ht="14.25" customHeight="1" s="40">
      <c r="A2932" s="24" t="n"/>
      <c r="B2932" s="29" t="n"/>
      <c r="C2932" s="28" t="n"/>
      <c r="D2932" s="22">
        <f t="array" ref="D2932">IF($C2932="","",IFERROR(INDEX(DATA_MASTER!$C$2:$C$5000,MATCH($C2932,DATA_MASTER!$D$2:$D$5000,0)),""))</f>
        <v/>
      </c>
      <c r="E2932" s="22">
        <f t="array" ref="E2932">IF($C2932="","",IFERROR(INDEX(DATA_MASTER!$I$2:$I$5000,MATCH($C2932,DATA_MASTER!$D$2:$D$5000,0)),""))</f>
        <v/>
      </c>
      <c r="F2932" s="22">
        <f t="array" ref="F2932">IF($C2932="","",IFERROR(INDEX(DATA_MASTER!$L$2:$L$5000,MATCH($C2932,DATA_MASTER!$D$2:$D$5000,0)),""))</f>
        <v/>
      </c>
      <c r="G2932" s="24" t="n"/>
      <c r="H2932" s="24" t="n"/>
      <c r="I2932" s="30" t="n"/>
      <c r="J2932" s="23">
        <f>IF(OR($H2932="",$I2932=""),"",$H2932*$I2932)</f>
        <v/>
      </c>
      <c r="K2932" s="24" t="n"/>
      <c r="L2932" s="24" t="n"/>
      <c r="M2932" s="29" t="n"/>
      <c r="N2932" s="28" t="n"/>
      <c r="O2932" s="24" t="n"/>
      <c r="P2932" s="24" t="n"/>
      <c r="Q2932" s="24" t="n"/>
      <c r="R2932" s="24" t="n"/>
      <c r="S2932" s="22">
        <f>IF(AND($A2932="",$C2932=""),"",IF($A2932="","Thiếu mã đơn; ","")&amp;IF(COUNTIF($A$2:$A2932,$A2932)&gt;1,"Trùng mã đơn; ","")&amp;IF(ISNA(MATCH($C2932,DATA_MASTER!$D$2:$D$5000,0)),"SĐT chưa đăng ký hội viên; ","")&amp;IF(AND($L2932="Đã chuyển khoản",$M2932=""),"Thiếu ngày nhận CK; ",""))</f>
        <v/>
      </c>
      <c r="T2932" s="24" t="n"/>
    </row>
    <row r="2933" ht="14.25" customHeight="1" s="40">
      <c r="A2933" s="24" t="n"/>
      <c r="B2933" s="29" t="n"/>
      <c r="C2933" s="28" t="n"/>
      <c r="D2933" s="22">
        <f t="array" ref="D2933">IF($C2933="","",IFERROR(INDEX(DATA_MASTER!$C$2:$C$5000,MATCH($C2933,DATA_MASTER!$D$2:$D$5000,0)),""))</f>
        <v/>
      </c>
      <c r="E2933" s="22">
        <f t="array" ref="E2933">IF($C2933="","",IFERROR(INDEX(DATA_MASTER!$I$2:$I$5000,MATCH($C2933,DATA_MASTER!$D$2:$D$5000,0)),""))</f>
        <v/>
      </c>
      <c r="F2933" s="22">
        <f t="array" ref="F2933">IF($C2933="","",IFERROR(INDEX(DATA_MASTER!$L$2:$L$5000,MATCH($C2933,DATA_MASTER!$D$2:$D$5000,0)),""))</f>
        <v/>
      </c>
      <c r="G2933" s="24" t="n"/>
      <c r="H2933" s="24" t="n"/>
      <c r="I2933" s="30" t="n"/>
      <c r="J2933" s="23">
        <f>IF(OR($H2933="",$I2933=""),"",$H2933*$I2933)</f>
        <v/>
      </c>
      <c r="K2933" s="24" t="n"/>
      <c r="L2933" s="24" t="n"/>
      <c r="M2933" s="29" t="n"/>
      <c r="N2933" s="28" t="n"/>
      <c r="O2933" s="24" t="n"/>
      <c r="P2933" s="24" t="n"/>
      <c r="Q2933" s="24" t="n"/>
      <c r="R2933" s="24" t="n"/>
      <c r="S2933" s="22">
        <f>IF(AND($A2933="",$C2933=""),"",IF($A2933="","Thiếu mã đơn; ","")&amp;IF(COUNTIF($A$2:$A2933,$A2933)&gt;1,"Trùng mã đơn; ","")&amp;IF(ISNA(MATCH($C2933,DATA_MASTER!$D$2:$D$5000,0)),"SĐT chưa đăng ký hội viên; ","")&amp;IF(AND($L2933="Đã chuyển khoản",$M2933=""),"Thiếu ngày nhận CK; ",""))</f>
        <v/>
      </c>
      <c r="T2933" s="24" t="n"/>
    </row>
    <row r="2934" ht="14.25" customHeight="1" s="40">
      <c r="A2934" s="24" t="n"/>
      <c r="B2934" s="29" t="n"/>
      <c r="C2934" s="28" t="n"/>
      <c r="D2934" s="22">
        <f t="array" ref="D2934">IF($C2934="","",IFERROR(INDEX(DATA_MASTER!$C$2:$C$5000,MATCH($C2934,DATA_MASTER!$D$2:$D$5000,0)),""))</f>
        <v/>
      </c>
      <c r="E2934" s="22">
        <f t="array" ref="E2934">IF($C2934="","",IFERROR(INDEX(DATA_MASTER!$I$2:$I$5000,MATCH($C2934,DATA_MASTER!$D$2:$D$5000,0)),""))</f>
        <v/>
      </c>
      <c r="F2934" s="22">
        <f t="array" ref="F2934">IF($C2934="","",IFERROR(INDEX(DATA_MASTER!$L$2:$L$5000,MATCH($C2934,DATA_MASTER!$D$2:$D$5000,0)),""))</f>
        <v/>
      </c>
      <c r="G2934" s="24" t="n"/>
      <c r="H2934" s="24" t="n"/>
      <c r="I2934" s="30" t="n"/>
      <c r="J2934" s="23">
        <f>IF(OR($H2934="",$I2934=""),"",$H2934*$I2934)</f>
        <v/>
      </c>
      <c r="K2934" s="24" t="n"/>
      <c r="L2934" s="24" t="n"/>
      <c r="M2934" s="29" t="n"/>
      <c r="N2934" s="28" t="n"/>
      <c r="O2934" s="24" t="n"/>
      <c r="P2934" s="24" t="n"/>
      <c r="Q2934" s="24" t="n"/>
      <c r="R2934" s="24" t="n"/>
      <c r="S2934" s="22">
        <f>IF(AND($A2934="",$C2934=""),"",IF($A2934="","Thiếu mã đơn; ","")&amp;IF(COUNTIF($A$2:$A2934,$A2934)&gt;1,"Trùng mã đơn; ","")&amp;IF(ISNA(MATCH($C2934,DATA_MASTER!$D$2:$D$5000,0)),"SĐT chưa đăng ký hội viên; ","")&amp;IF(AND($L2934="Đã chuyển khoản",$M2934=""),"Thiếu ngày nhận CK; ",""))</f>
        <v/>
      </c>
      <c r="T2934" s="24" t="n"/>
    </row>
    <row r="2935" ht="14.25" customHeight="1" s="40">
      <c r="A2935" s="24" t="n"/>
      <c r="B2935" s="29" t="n"/>
      <c r="C2935" s="28" t="n"/>
      <c r="D2935" s="22">
        <f t="array" ref="D2935">IF($C2935="","",IFERROR(INDEX(DATA_MASTER!$C$2:$C$5000,MATCH($C2935,DATA_MASTER!$D$2:$D$5000,0)),""))</f>
        <v/>
      </c>
      <c r="E2935" s="22">
        <f t="array" ref="E2935">IF($C2935="","",IFERROR(INDEX(DATA_MASTER!$I$2:$I$5000,MATCH($C2935,DATA_MASTER!$D$2:$D$5000,0)),""))</f>
        <v/>
      </c>
      <c r="F2935" s="22">
        <f t="array" ref="F2935">IF($C2935="","",IFERROR(INDEX(DATA_MASTER!$L$2:$L$5000,MATCH($C2935,DATA_MASTER!$D$2:$D$5000,0)),""))</f>
        <v/>
      </c>
      <c r="G2935" s="24" t="n"/>
      <c r="H2935" s="24" t="n"/>
      <c r="I2935" s="30" t="n"/>
      <c r="J2935" s="23">
        <f>IF(OR($H2935="",$I2935=""),"",$H2935*$I2935)</f>
        <v/>
      </c>
      <c r="K2935" s="24" t="n"/>
      <c r="L2935" s="24" t="n"/>
      <c r="M2935" s="29" t="n"/>
      <c r="N2935" s="28" t="n"/>
      <c r="O2935" s="24" t="n"/>
      <c r="P2935" s="24" t="n"/>
      <c r="Q2935" s="24" t="n"/>
      <c r="R2935" s="24" t="n"/>
      <c r="S2935" s="22">
        <f>IF(AND($A2935="",$C2935=""),"",IF($A2935="","Thiếu mã đơn; ","")&amp;IF(COUNTIF($A$2:$A2935,$A2935)&gt;1,"Trùng mã đơn; ","")&amp;IF(ISNA(MATCH($C2935,DATA_MASTER!$D$2:$D$5000,0)),"SĐT chưa đăng ký hội viên; ","")&amp;IF(AND($L2935="Đã chuyển khoản",$M2935=""),"Thiếu ngày nhận CK; ",""))</f>
        <v/>
      </c>
      <c r="T2935" s="24" t="n"/>
    </row>
    <row r="2936" ht="14.25" customHeight="1" s="40">
      <c r="A2936" s="24" t="n"/>
      <c r="B2936" s="29" t="n"/>
      <c r="C2936" s="28" t="n"/>
      <c r="D2936" s="22">
        <f t="array" ref="D2936">IF($C2936="","",IFERROR(INDEX(DATA_MASTER!$C$2:$C$5000,MATCH($C2936,DATA_MASTER!$D$2:$D$5000,0)),""))</f>
        <v/>
      </c>
      <c r="E2936" s="22">
        <f t="array" ref="E2936">IF($C2936="","",IFERROR(INDEX(DATA_MASTER!$I$2:$I$5000,MATCH($C2936,DATA_MASTER!$D$2:$D$5000,0)),""))</f>
        <v/>
      </c>
      <c r="F2936" s="22">
        <f t="array" ref="F2936">IF($C2936="","",IFERROR(INDEX(DATA_MASTER!$L$2:$L$5000,MATCH($C2936,DATA_MASTER!$D$2:$D$5000,0)),""))</f>
        <v/>
      </c>
      <c r="G2936" s="24" t="n"/>
      <c r="H2936" s="24" t="n"/>
      <c r="I2936" s="30" t="n"/>
      <c r="J2936" s="23">
        <f>IF(OR($H2936="",$I2936=""),"",$H2936*$I2936)</f>
        <v/>
      </c>
      <c r="K2936" s="24" t="n"/>
      <c r="L2936" s="24" t="n"/>
      <c r="M2936" s="29" t="n"/>
      <c r="N2936" s="28" t="n"/>
      <c r="O2936" s="24" t="n"/>
      <c r="P2936" s="24" t="n"/>
      <c r="Q2936" s="24" t="n"/>
      <c r="R2936" s="24" t="n"/>
      <c r="S2936" s="22">
        <f>IF(AND($A2936="",$C2936=""),"",IF($A2936="","Thiếu mã đơn; ","")&amp;IF(COUNTIF($A$2:$A2936,$A2936)&gt;1,"Trùng mã đơn; ","")&amp;IF(ISNA(MATCH($C2936,DATA_MASTER!$D$2:$D$5000,0)),"SĐT chưa đăng ký hội viên; ","")&amp;IF(AND($L2936="Đã chuyển khoản",$M2936=""),"Thiếu ngày nhận CK; ",""))</f>
        <v/>
      </c>
      <c r="T2936" s="24" t="n"/>
    </row>
    <row r="2937" ht="14.25" customHeight="1" s="40">
      <c r="A2937" s="24" t="n"/>
      <c r="B2937" s="29" t="n"/>
      <c r="C2937" s="28" t="n"/>
      <c r="D2937" s="22">
        <f t="array" ref="D2937">IF($C2937="","",IFERROR(INDEX(DATA_MASTER!$C$2:$C$5000,MATCH($C2937,DATA_MASTER!$D$2:$D$5000,0)),""))</f>
        <v/>
      </c>
      <c r="E2937" s="22">
        <f t="array" ref="E2937">IF($C2937="","",IFERROR(INDEX(DATA_MASTER!$I$2:$I$5000,MATCH($C2937,DATA_MASTER!$D$2:$D$5000,0)),""))</f>
        <v/>
      </c>
      <c r="F2937" s="22">
        <f t="array" ref="F2937">IF($C2937="","",IFERROR(INDEX(DATA_MASTER!$L$2:$L$5000,MATCH($C2937,DATA_MASTER!$D$2:$D$5000,0)),""))</f>
        <v/>
      </c>
      <c r="G2937" s="24" t="n"/>
      <c r="H2937" s="24" t="n"/>
      <c r="I2937" s="30" t="n"/>
      <c r="J2937" s="23">
        <f>IF(OR($H2937="",$I2937=""),"",$H2937*$I2937)</f>
        <v/>
      </c>
      <c r="K2937" s="24" t="n"/>
      <c r="L2937" s="24" t="n"/>
      <c r="M2937" s="29" t="n"/>
      <c r="N2937" s="28" t="n"/>
      <c r="O2937" s="24" t="n"/>
      <c r="P2937" s="24" t="n"/>
      <c r="Q2937" s="24" t="n"/>
      <c r="R2937" s="24" t="n"/>
      <c r="S2937" s="22">
        <f>IF(AND($A2937="",$C2937=""),"",IF($A2937="","Thiếu mã đơn; ","")&amp;IF(COUNTIF($A$2:$A2937,$A2937)&gt;1,"Trùng mã đơn; ","")&amp;IF(ISNA(MATCH($C2937,DATA_MASTER!$D$2:$D$5000,0)),"SĐT chưa đăng ký hội viên; ","")&amp;IF(AND($L2937="Đã chuyển khoản",$M2937=""),"Thiếu ngày nhận CK; ",""))</f>
        <v/>
      </c>
      <c r="T2937" s="24" t="n"/>
    </row>
    <row r="2938" ht="14.25" customHeight="1" s="40">
      <c r="A2938" s="24" t="n"/>
      <c r="B2938" s="29" t="n"/>
      <c r="C2938" s="28" t="n"/>
      <c r="D2938" s="22">
        <f t="array" ref="D2938">IF($C2938="","",IFERROR(INDEX(DATA_MASTER!$C$2:$C$5000,MATCH($C2938,DATA_MASTER!$D$2:$D$5000,0)),""))</f>
        <v/>
      </c>
      <c r="E2938" s="22">
        <f t="array" ref="E2938">IF($C2938="","",IFERROR(INDEX(DATA_MASTER!$I$2:$I$5000,MATCH($C2938,DATA_MASTER!$D$2:$D$5000,0)),""))</f>
        <v/>
      </c>
      <c r="F2938" s="22">
        <f t="array" ref="F2938">IF($C2938="","",IFERROR(INDEX(DATA_MASTER!$L$2:$L$5000,MATCH($C2938,DATA_MASTER!$D$2:$D$5000,0)),""))</f>
        <v/>
      </c>
      <c r="G2938" s="24" t="n"/>
      <c r="H2938" s="24" t="n"/>
      <c r="I2938" s="30" t="n"/>
      <c r="J2938" s="23">
        <f>IF(OR($H2938="",$I2938=""),"",$H2938*$I2938)</f>
        <v/>
      </c>
      <c r="K2938" s="24" t="n"/>
      <c r="L2938" s="24" t="n"/>
      <c r="M2938" s="29" t="n"/>
      <c r="N2938" s="28" t="n"/>
      <c r="O2938" s="24" t="n"/>
      <c r="P2938" s="24" t="n"/>
      <c r="Q2938" s="24" t="n"/>
      <c r="R2938" s="24" t="n"/>
      <c r="S2938" s="22">
        <f>IF(AND($A2938="",$C2938=""),"",IF($A2938="","Thiếu mã đơn; ","")&amp;IF(COUNTIF($A$2:$A2938,$A2938)&gt;1,"Trùng mã đơn; ","")&amp;IF(ISNA(MATCH($C2938,DATA_MASTER!$D$2:$D$5000,0)),"SĐT chưa đăng ký hội viên; ","")&amp;IF(AND($L2938="Đã chuyển khoản",$M2938=""),"Thiếu ngày nhận CK; ",""))</f>
        <v/>
      </c>
      <c r="T2938" s="24" t="n"/>
    </row>
    <row r="2939" ht="14.25" customHeight="1" s="40">
      <c r="A2939" s="24" t="n"/>
      <c r="B2939" s="29" t="n"/>
      <c r="C2939" s="28" t="n"/>
      <c r="D2939" s="22">
        <f t="array" ref="D2939">IF($C2939="","",IFERROR(INDEX(DATA_MASTER!$C$2:$C$5000,MATCH($C2939,DATA_MASTER!$D$2:$D$5000,0)),""))</f>
        <v/>
      </c>
      <c r="E2939" s="22">
        <f t="array" ref="E2939">IF($C2939="","",IFERROR(INDEX(DATA_MASTER!$I$2:$I$5000,MATCH($C2939,DATA_MASTER!$D$2:$D$5000,0)),""))</f>
        <v/>
      </c>
      <c r="F2939" s="22">
        <f t="array" ref="F2939">IF($C2939="","",IFERROR(INDEX(DATA_MASTER!$L$2:$L$5000,MATCH($C2939,DATA_MASTER!$D$2:$D$5000,0)),""))</f>
        <v/>
      </c>
      <c r="G2939" s="24" t="n"/>
      <c r="H2939" s="24" t="n"/>
      <c r="I2939" s="30" t="n"/>
      <c r="J2939" s="23">
        <f>IF(OR($H2939="",$I2939=""),"",$H2939*$I2939)</f>
        <v/>
      </c>
      <c r="K2939" s="24" t="n"/>
      <c r="L2939" s="24" t="n"/>
      <c r="M2939" s="29" t="n"/>
      <c r="N2939" s="28" t="n"/>
      <c r="O2939" s="24" t="n"/>
      <c r="P2939" s="24" t="n"/>
      <c r="Q2939" s="24" t="n"/>
      <c r="R2939" s="24" t="n"/>
      <c r="S2939" s="22">
        <f>IF(AND($A2939="",$C2939=""),"",IF($A2939="","Thiếu mã đơn; ","")&amp;IF(COUNTIF($A$2:$A2939,$A2939)&gt;1,"Trùng mã đơn; ","")&amp;IF(ISNA(MATCH($C2939,DATA_MASTER!$D$2:$D$5000,0)),"SĐT chưa đăng ký hội viên; ","")&amp;IF(AND($L2939="Đã chuyển khoản",$M2939=""),"Thiếu ngày nhận CK; ",""))</f>
        <v/>
      </c>
      <c r="T2939" s="24" t="n"/>
    </row>
    <row r="2940" ht="14.25" customHeight="1" s="40">
      <c r="A2940" s="24" t="n"/>
      <c r="B2940" s="29" t="n"/>
      <c r="C2940" s="28" t="n"/>
      <c r="D2940" s="22">
        <f t="array" ref="D2940">IF($C2940="","",IFERROR(INDEX(DATA_MASTER!$C$2:$C$5000,MATCH($C2940,DATA_MASTER!$D$2:$D$5000,0)),""))</f>
        <v/>
      </c>
      <c r="E2940" s="22">
        <f t="array" ref="E2940">IF($C2940="","",IFERROR(INDEX(DATA_MASTER!$I$2:$I$5000,MATCH($C2940,DATA_MASTER!$D$2:$D$5000,0)),""))</f>
        <v/>
      </c>
      <c r="F2940" s="22">
        <f t="array" ref="F2940">IF($C2940="","",IFERROR(INDEX(DATA_MASTER!$L$2:$L$5000,MATCH($C2940,DATA_MASTER!$D$2:$D$5000,0)),""))</f>
        <v/>
      </c>
      <c r="G2940" s="24" t="n"/>
      <c r="H2940" s="24" t="n"/>
      <c r="I2940" s="30" t="n"/>
      <c r="J2940" s="23">
        <f>IF(OR($H2940="",$I2940=""),"",$H2940*$I2940)</f>
        <v/>
      </c>
      <c r="K2940" s="24" t="n"/>
      <c r="L2940" s="24" t="n"/>
      <c r="M2940" s="29" t="n"/>
      <c r="N2940" s="28" t="n"/>
      <c r="O2940" s="24" t="n"/>
      <c r="P2940" s="24" t="n"/>
      <c r="Q2940" s="24" t="n"/>
      <c r="R2940" s="24" t="n"/>
      <c r="S2940" s="22">
        <f>IF(AND($A2940="",$C2940=""),"",IF($A2940="","Thiếu mã đơn; ","")&amp;IF(COUNTIF($A$2:$A2940,$A2940)&gt;1,"Trùng mã đơn; ","")&amp;IF(ISNA(MATCH($C2940,DATA_MASTER!$D$2:$D$5000,0)),"SĐT chưa đăng ký hội viên; ","")&amp;IF(AND($L2940="Đã chuyển khoản",$M2940=""),"Thiếu ngày nhận CK; ",""))</f>
        <v/>
      </c>
      <c r="T2940" s="24" t="n"/>
    </row>
    <row r="2941" ht="14.25" customHeight="1" s="40">
      <c r="A2941" s="24" t="n"/>
      <c r="B2941" s="29" t="n"/>
      <c r="C2941" s="28" t="n"/>
      <c r="D2941" s="22">
        <f t="array" ref="D2941">IF($C2941="","",IFERROR(INDEX(DATA_MASTER!$C$2:$C$5000,MATCH($C2941,DATA_MASTER!$D$2:$D$5000,0)),""))</f>
        <v/>
      </c>
      <c r="E2941" s="22">
        <f t="array" ref="E2941">IF($C2941="","",IFERROR(INDEX(DATA_MASTER!$I$2:$I$5000,MATCH($C2941,DATA_MASTER!$D$2:$D$5000,0)),""))</f>
        <v/>
      </c>
      <c r="F2941" s="22">
        <f t="array" ref="F2941">IF($C2941="","",IFERROR(INDEX(DATA_MASTER!$L$2:$L$5000,MATCH($C2941,DATA_MASTER!$D$2:$D$5000,0)),""))</f>
        <v/>
      </c>
      <c r="G2941" s="24" t="n"/>
      <c r="H2941" s="24" t="n"/>
      <c r="I2941" s="30" t="n"/>
      <c r="J2941" s="23">
        <f>IF(OR($H2941="",$I2941=""),"",$H2941*$I2941)</f>
        <v/>
      </c>
      <c r="K2941" s="24" t="n"/>
      <c r="L2941" s="24" t="n"/>
      <c r="M2941" s="29" t="n"/>
      <c r="N2941" s="28" t="n"/>
      <c r="O2941" s="24" t="n"/>
      <c r="P2941" s="24" t="n"/>
      <c r="Q2941" s="24" t="n"/>
      <c r="R2941" s="24" t="n"/>
      <c r="S2941" s="22">
        <f>IF(AND($A2941="",$C2941=""),"",IF($A2941="","Thiếu mã đơn; ","")&amp;IF(COUNTIF($A$2:$A2941,$A2941)&gt;1,"Trùng mã đơn; ","")&amp;IF(ISNA(MATCH($C2941,DATA_MASTER!$D$2:$D$5000,0)),"SĐT chưa đăng ký hội viên; ","")&amp;IF(AND($L2941="Đã chuyển khoản",$M2941=""),"Thiếu ngày nhận CK; ",""))</f>
        <v/>
      </c>
      <c r="T2941" s="24" t="n"/>
    </row>
    <row r="2942" ht="14.25" customHeight="1" s="40">
      <c r="A2942" s="24" t="n"/>
      <c r="B2942" s="29" t="n"/>
      <c r="C2942" s="28" t="n"/>
      <c r="D2942" s="22">
        <f t="array" ref="D2942">IF($C2942="","",IFERROR(INDEX(DATA_MASTER!$C$2:$C$5000,MATCH($C2942,DATA_MASTER!$D$2:$D$5000,0)),""))</f>
        <v/>
      </c>
      <c r="E2942" s="22">
        <f t="array" ref="E2942">IF($C2942="","",IFERROR(INDEX(DATA_MASTER!$I$2:$I$5000,MATCH($C2942,DATA_MASTER!$D$2:$D$5000,0)),""))</f>
        <v/>
      </c>
      <c r="F2942" s="22">
        <f t="array" ref="F2942">IF($C2942="","",IFERROR(INDEX(DATA_MASTER!$L$2:$L$5000,MATCH($C2942,DATA_MASTER!$D$2:$D$5000,0)),""))</f>
        <v/>
      </c>
      <c r="G2942" s="24" t="n"/>
      <c r="H2942" s="24" t="n"/>
      <c r="I2942" s="30" t="n"/>
      <c r="J2942" s="23">
        <f>IF(OR($H2942="",$I2942=""),"",$H2942*$I2942)</f>
        <v/>
      </c>
      <c r="K2942" s="24" t="n"/>
      <c r="L2942" s="24" t="n"/>
      <c r="M2942" s="29" t="n"/>
      <c r="N2942" s="28" t="n"/>
      <c r="O2942" s="24" t="n"/>
      <c r="P2942" s="24" t="n"/>
      <c r="Q2942" s="24" t="n"/>
      <c r="R2942" s="24" t="n"/>
      <c r="S2942" s="22">
        <f>IF(AND($A2942="",$C2942=""),"",IF($A2942="","Thiếu mã đơn; ","")&amp;IF(COUNTIF($A$2:$A2942,$A2942)&gt;1,"Trùng mã đơn; ","")&amp;IF(ISNA(MATCH($C2942,DATA_MASTER!$D$2:$D$5000,0)),"SĐT chưa đăng ký hội viên; ","")&amp;IF(AND($L2942="Đã chuyển khoản",$M2942=""),"Thiếu ngày nhận CK; ",""))</f>
        <v/>
      </c>
      <c r="T2942" s="24" t="n"/>
    </row>
    <row r="2943" ht="14.25" customHeight="1" s="40">
      <c r="A2943" s="24" t="n"/>
      <c r="B2943" s="29" t="n"/>
      <c r="C2943" s="28" t="n"/>
      <c r="D2943" s="22">
        <f t="array" ref="D2943">IF($C2943="","",IFERROR(INDEX(DATA_MASTER!$C$2:$C$5000,MATCH($C2943,DATA_MASTER!$D$2:$D$5000,0)),""))</f>
        <v/>
      </c>
      <c r="E2943" s="22">
        <f t="array" ref="E2943">IF($C2943="","",IFERROR(INDEX(DATA_MASTER!$I$2:$I$5000,MATCH($C2943,DATA_MASTER!$D$2:$D$5000,0)),""))</f>
        <v/>
      </c>
      <c r="F2943" s="22">
        <f t="array" ref="F2943">IF($C2943="","",IFERROR(INDEX(DATA_MASTER!$L$2:$L$5000,MATCH($C2943,DATA_MASTER!$D$2:$D$5000,0)),""))</f>
        <v/>
      </c>
      <c r="G2943" s="24" t="n"/>
      <c r="H2943" s="24" t="n"/>
      <c r="I2943" s="30" t="n"/>
      <c r="J2943" s="23">
        <f>IF(OR($H2943="",$I2943=""),"",$H2943*$I2943)</f>
        <v/>
      </c>
      <c r="K2943" s="24" t="n"/>
      <c r="L2943" s="24" t="n"/>
      <c r="M2943" s="29" t="n"/>
      <c r="N2943" s="28" t="n"/>
      <c r="O2943" s="24" t="n"/>
      <c r="P2943" s="24" t="n"/>
      <c r="Q2943" s="24" t="n"/>
      <c r="R2943" s="24" t="n"/>
      <c r="S2943" s="22">
        <f>IF(AND($A2943="",$C2943=""),"",IF($A2943="","Thiếu mã đơn; ","")&amp;IF(COUNTIF($A$2:$A2943,$A2943)&gt;1,"Trùng mã đơn; ","")&amp;IF(ISNA(MATCH($C2943,DATA_MASTER!$D$2:$D$5000,0)),"SĐT chưa đăng ký hội viên; ","")&amp;IF(AND($L2943="Đã chuyển khoản",$M2943=""),"Thiếu ngày nhận CK; ",""))</f>
        <v/>
      </c>
      <c r="T2943" s="24" t="n"/>
    </row>
    <row r="2944" ht="14.25" customHeight="1" s="40">
      <c r="A2944" s="24" t="n"/>
      <c r="B2944" s="29" t="n"/>
      <c r="C2944" s="28" t="n"/>
      <c r="D2944" s="22">
        <f t="array" ref="D2944">IF($C2944="","",IFERROR(INDEX(DATA_MASTER!$C$2:$C$5000,MATCH($C2944,DATA_MASTER!$D$2:$D$5000,0)),""))</f>
        <v/>
      </c>
      <c r="E2944" s="22">
        <f t="array" ref="E2944">IF($C2944="","",IFERROR(INDEX(DATA_MASTER!$I$2:$I$5000,MATCH($C2944,DATA_MASTER!$D$2:$D$5000,0)),""))</f>
        <v/>
      </c>
      <c r="F2944" s="22">
        <f t="array" ref="F2944">IF($C2944="","",IFERROR(INDEX(DATA_MASTER!$L$2:$L$5000,MATCH($C2944,DATA_MASTER!$D$2:$D$5000,0)),""))</f>
        <v/>
      </c>
      <c r="G2944" s="24" t="n"/>
      <c r="H2944" s="24" t="n"/>
      <c r="I2944" s="30" t="n"/>
      <c r="J2944" s="23">
        <f>IF(OR($H2944="",$I2944=""),"",$H2944*$I2944)</f>
        <v/>
      </c>
      <c r="K2944" s="24" t="n"/>
      <c r="L2944" s="24" t="n"/>
      <c r="M2944" s="29" t="n"/>
      <c r="N2944" s="28" t="n"/>
      <c r="O2944" s="24" t="n"/>
      <c r="P2944" s="24" t="n"/>
      <c r="Q2944" s="24" t="n"/>
      <c r="R2944" s="24" t="n"/>
      <c r="S2944" s="22">
        <f>IF(AND($A2944="",$C2944=""),"",IF($A2944="","Thiếu mã đơn; ","")&amp;IF(COUNTIF($A$2:$A2944,$A2944)&gt;1,"Trùng mã đơn; ","")&amp;IF(ISNA(MATCH($C2944,DATA_MASTER!$D$2:$D$5000,0)),"SĐT chưa đăng ký hội viên; ","")&amp;IF(AND($L2944="Đã chuyển khoản",$M2944=""),"Thiếu ngày nhận CK; ",""))</f>
        <v/>
      </c>
      <c r="T2944" s="24" t="n"/>
    </row>
    <row r="2945" ht="14.25" customHeight="1" s="40">
      <c r="A2945" s="24" t="n"/>
      <c r="B2945" s="29" t="n"/>
      <c r="C2945" s="28" t="n"/>
      <c r="D2945" s="22">
        <f t="array" ref="D2945">IF($C2945="","",IFERROR(INDEX(DATA_MASTER!$C$2:$C$5000,MATCH($C2945,DATA_MASTER!$D$2:$D$5000,0)),""))</f>
        <v/>
      </c>
      <c r="E2945" s="22">
        <f t="array" ref="E2945">IF($C2945="","",IFERROR(INDEX(DATA_MASTER!$I$2:$I$5000,MATCH($C2945,DATA_MASTER!$D$2:$D$5000,0)),""))</f>
        <v/>
      </c>
      <c r="F2945" s="22">
        <f t="array" ref="F2945">IF($C2945="","",IFERROR(INDEX(DATA_MASTER!$L$2:$L$5000,MATCH($C2945,DATA_MASTER!$D$2:$D$5000,0)),""))</f>
        <v/>
      </c>
      <c r="G2945" s="24" t="n"/>
      <c r="H2945" s="24" t="n"/>
      <c r="I2945" s="30" t="n"/>
      <c r="J2945" s="23">
        <f>IF(OR($H2945="",$I2945=""),"",$H2945*$I2945)</f>
        <v/>
      </c>
      <c r="K2945" s="24" t="n"/>
      <c r="L2945" s="24" t="n"/>
      <c r="M2945" s="29" t="n"/>
      <c r="N2945" s="28" t="n"/>
      <c r="O2945" s="24" t="n"/>
      <c r="P2945" s="24" t="n"/>
      <c r="Q2945" s="24" t="n"/>
      <c r="R2945" s="24" t="n"/>
      <c r="S2945" s="22">
        <f>IF(AND($A2945="",$C2945=""),"",IF($A2945="","Thiếu mã đơn; ","")&amp;IF(COUNTIF($A$2:$A2945,$A2945)&gt;1,"Trùng mã đơn; ","")&amp;IF(ISNA(MATCH($C2945,DATA_MASTER!$D$2:$D$5000,0)),"SĐT chưa đăng ký hội viên; ","")&amp;IF(AND($L2945="Đã chuyển khoản",$M2945=""),"Thiếu ngày nhận CK; ",""))</f>
        <v/>
      </c>
      <c r="T2945" s="24" t="n"/>
    </row>
    <row r="2946" ht="14.25" customHeight="1" s="40">
      <c r="A2946" s="24" t="n"/>
      <c r="B2946" s="29" t="n"/>
      <c r="C2946" s="28" t="n"/>
      <c r="D2946" s="22">
        <f t="array" ref="D2946">IF($C2946="","",IFERROR(INDEX(DATA_MASTER!$C$2:$C$5000,MATCH($C2946,DATA_MASTER!$D$2:$D$5000,0)),""))</f>
        <v/>
      </c>
      <c r="E2946" s="22">
        <f t="array" ref="E2946">IF($C2946="","",IFERROR(INDEX(DATA_MASTER!$I$2:$I$5000,MATCH($C2946,DATA_MASTER!$D$2:$D$5000,0)),""))</f>
        <v/>
      </c>
      <c r="F2946" s="22">
        <f t="array" ref="F2946">IF($C2946="","",IFERROR(INDEX(DATA_MASTER!$L$2:$L$5000,MATCH($C2946,DATA_MASTER!$D$2:$D$5000,0)),""))</f>
        <v/>
      </c>
      <c r="G2946" s="24" t="n"/>
      <c r="H2946" s="24" t="n"/>
      <c r="I2946" s="30" t="n"/>
      <c r="J2946" s="23">
        <f>IF(OR($H2946="",$I2946=""),"",$H2946*$I2946)</f>
        <v/>
      </c>
      <c r="K2946" s="24" t="n"/>
      <c r="L2946" s="24" t="n"/>
      <c r="M2946" s="29" t="n"/>
      <c r="N2946" s="28" t="n"/>
      <c r="O2946" s="24" t="n"/>
      <c r="P2946" s="24" t="n"/>
      <c r="Q2946" s="24" t="n"/>
      <c r="R2946" s="24" t="n"/>
      <c r="S2946" s="22">
        <f>IF(AND($A2946="",$C2946=""),"",IF($A2946="","Thiếu mã đơn; ","")&amp;IF(COUNTIF($A$2:$A2946,$A2946)&gt;1,"Trùng mã đơn; ","")&amp;IF(ISNA(MATCH($C2946,DATA_MASTER!$D$2:$D$5000,0)),"SĐT chưa đăng ký hội viên; ","")&amp;IF(AND($L2946="Đã chuyển khoản",$M2946=""),"Thiếu ngày nhận CK; ",""))</f>
        <v/>
      </c>
      <c r="T2946" s="24" t="n"/>
    </row>
    <row r="2947" ht="14.25" customHeight="1" s="40">
      <c r="A2947" s="24" t="n"/>
      <c r="B2947" s="29" t="n"/>
      <c r="C2947" s="28" t="n"/>
      <c r="D2947" s="22">
        <f t="array" ref="D2947">IF($C2947="","",IFERROR(INDEX(DATA_MASTER!$C$2:$C$5000,MATCH($C2947,DATA_MASTER!$D$2:$D$5000,0)),""))</f>
        <v/>
      </c>
      <c r="E2947" s="22">
        <f t="array" ref="E2947">IF($C2947="","",IFERROR(INDEX(DATA_MASTER!$I$2:$I$5000,MATCH($C2947,DATA_MASTER!$D$2:$D$5000,0)),""))</f>
        <v/>
      </c>
      <c r="F2947" s="22">
        <f t="array" ref="F2947">IF($C2947="","",IFERROR(INDEX(DATA_MASTER!$L$2:$L$5000,MATCH($C2947,DATA_MASTER!$D$2:$D$5000,0)),""))</f>
        <v/>
      </c>
      <c r="G2947" s="24" t="n"/>
      <c r="H2947" s="24" t="n"/>
      <c r="I2947" s="30" t="n"/>
      <c r="J2947" s="23">
        <f>IF(OR($H2947="",$I2947=""),"",$H2947*$I2947)</f>
        <v/>
      </c>
      <c r="K2947" s="24" t="n"/>
      <c r="L2947" s="24" t="n"/>
      <c r="M2947" s="29" t="n"/>
      <c r="N2947" s="28" t="n"/>
      <c r="O2947" s="24" t="n"/>
      <c r="P2947" s="24" t="n"/>
      <c r="Q2947" s="24" t="n"/>
      <c r="R2947" s="24" t="n"/>
      <c r="S2947" s="22">
        <f>IF(AND($A2947="",$C2947=""),"",IF($A2947="","Thiếu mã đơn; ","")&amp;IF(COUNTIF($A$2:$A2947,$A2947)&gt;1,"Trùng mã đơn; ","")&amp;IF(ISNA(MATCH($C2947,DATA_MASTER!$D$2:$D$5000,0)),"SĐT chưa đăng ký hội viên; ","")&amp;IF(AND($L2947="Đã chuyển khoản",$M2947=""),"Thiếu ngày nhận CK; ",""))</f>
        <v/>
      </c>
      <c r="T2947" s="24" t="n"/>
    </row>
    <row r="2948" ht="14.25" customHeight="1" s="40">
      <c r="A2948" s="24" t="n"/>
      <c r="B2948" s="29" t="n"/>
      <c r="C2948" s="28" t="n"/>
      <c r="D2948" s="22">
        <f t="array" ref="D2948">IF($C2948="","",IFERROR(INDEX(DATA_MASTER!$C$2:$C$5000,MATCH($C2948,DATA_MASTER!$D$2:$D$5000,0)),""))</f>
        <v/>
      </c>
      <c r="E2948" s="22">
        <f t="array" ref="E2948">IF($C2948="","",IFERROR(INDEX(DATA_MASTER!$I$2:$I$5000,MATCH($C2948,DATA_MASTER!$D$2:$D$5000,0)),""))</f>
        <v/>
      </c>
      <c r="F2948" s="22">
        <f t="array" ref="F2948">IF($C2948="","",IFERROR(INDEX(DATA_MASTER!$L$2:$L$5000,MATCH($C2948,DATA_MASTER!$D$2:$D$5000,0)),""))</f>
        <v/>
      </c>
      <c r="G2948" s="24" t="n"/>
      <c r="H2948" s="24" t="n"/>
      <c r="I2948" s="30" t="n"/>
      <c r="J2948" s="23">
        <f>IF(OR($H2948="",$I2948=""),"",$H2948*$I2948)</f>
        <v/>
      </c>
      <c r="K2948" s="24" t="n"/>
      <c r="L2948" s="24" t="n"/>
      <c r="M2948" s="29" t="n"/>
      <c r="N2948" s="28" t="n"/>
      <c r="O2948" s="24" t="n"/>
      <c r="P2948" s="24" t="n"/>
      <c r="Q2948" s="24" t="n"/>
      <c r="R2948" s="24" t="n"/>
      <c r="S2948" s="22">
        <f>IF(AND($A2948="",$C2948=""),"",IF($A2948="","Thiếu mã đơn; ","")&amp;IF(COUNTIF($A$2:$A2948,$A2948)&gt;1,"Trùng mã đơn; ","")&amp;IF(ISNA(MATCH($C2948,DATA_MASTER!$D$2:$D$5000,0)),"SĐT chưa đăng ký hội viên; ","")&amp;IF(AND($L2948="Đã chuyển khoản",$M2948=""),"Thiếu ngày nhận CK; ",""))</f>
        <v/>
      </c>
      <c r="T2948" s="24" t="n"/>
    </row>
    <row r="2949" ht="14.25" customHeight="1" s="40">
      <c r="A2949" s="24" t="n"/>
      <c r="B2949" s="29" t="n"/>
      <c r="C2949" s="28" t="n"/>
      <c r="D2949" s="22">
        <f t="array" ref="D2949">IF($C2949="","",IFERROR(INDEX(DATA_MASTER!$C$2:$C$5000,MATCH($C2949,DATA_MASTER!$D$2:$D$5000,0)),""))</f>
        <v/>
      </c>
      <c r="E2949" s="22">
        <f t="array" ref="E2949">IF($C2949="","",IFERROR(INDEX(DATA_MASTER!$I$2:$I$5000,MATCH($C2949,DATA_MASTER!$D$2:$D$5000,0)),""))</f>
        <v/>
      </c>
      <c r="F2949" s="22">
        <f t="array" ref="F2949">IF($C2949="","",IFERROR(INDEX(DATA_MASTER!$L$2:$L$5000,MATCH($C2949,DATA_MASTER!$D$2:$D$5000,0)),""))</f>
        <v/>
      </c>
      <c r="G2949" s="24" t="n"/>
      <c r="H2949" s="24" t="n"/>
      <c r="I2949" s="30" t="n"/>
      <c r="J2949" s="23">
        <f>IF(OR($H2949="",$I2949=""),"",$H2949*$I2949)</f>
        <v/>
      </c>
      <c r="K2949" s="24" t="n"/>
      <c r="L2949" s="24" t="n"/>
      <c r="M2949" s="29" t="n"/>
      <c r="N2949" s="28" t="n"/>
      <c r="O2949" s="24" t="n"/>
      <c r="P2949" s="24" t="n"/>
      <c r="Q2949" s="24" t="n"/>
      <c r="R2949" s="24" t="n"/>
      <c r="S2949" s="22">
        <f>IF(AND($A2949="",$C2949=""),"",IF($A2949="","Thiếu mã đơn; ","")&amp;IF(COUNTIF($A$2:$A2949,$A2949)&gt;1,"Trùng mã đơn; ","")&amp;IF(ISNA(MATCH($C2949,DATA_MASTER!$D$2:$D$5000,0)),"SĐT chưa đăng ký hội viên; ","")&amp;IF(AND($L2949="Đã chuyển khoản",$M2949=""),"Thiếu ngày nhận CK; ",""))</f>
        <v/>
      </c>
      <c r="T2949" s="24" t="n"/>
    </row>
    <row r="2950" ht="14.25" customHeight="1" s="40">
      <c r="A2950" s="24" t="n"/>
      <c r="B2950" s="29" t="n"/>
      <c r="C2950" s="28" t="n"/>
      <c r="D2950" s="22">
        <f t="array" ref="D2950">IF($C2950="","",IFERROR(INDEX(DATA_MASTER!$C$2:$C$5000,MATCH($C2950,DATA_MASTER!$D$2:$D$5000,0)),""))</f>
        <v/>
      </c>
      <c r="E2950" s="22">
        <f t="array" ref="E2950">IF($C2950="","",IFERROR(INDEX(DATA_MASTER!$I$2:$I$5000,MATCH($C2950,DATA_MASTER!$D$2:$D$5000,0)),""))</f>
        <v/>
      </c>
      <c r="F2950" s="22">
        <f t="array" ref="F2950">IF($C2950="","",IFERROR(INDEX(DATA_MASTER!$L$2:$L$5000,MATCH($C2950,DATA_MASTER!$D$2:$D$5000,0)),""))</f>
        <v/>
      </c>
      <c r="G2950" s="24" t="n"/>
      <c r="H2950" s="24" t="n"/>
      <c r="I2950" s="30" t="n"/>
      <c r="J2950" s="23">
        <f>IF(OR($H2950="",$I2950=""),"",$H2950*$I2950)</f>
        <v/>
      </c>
      <c r="K2950" s="24" t="n"/>
      <c r="L2950" s="24" t="n"/>
      <c r="M2950" s="29" t="n"/>
      <c r="N2950" s="28" t="n"/>
      <c r="O2950" s="24" t="n"/>
      <c r="P2950" s="24" t="n"/>
      <c r="Q2950" s="24" t="n"/>
      <c r="R2950" s="24" t="n"/>
      <c r="S2950" s="22">
        <f>IF(AND($A2950="",$C2950=""),"",IF($A2950="","Thiếu mã đơn; ","")&amp;IF(COUNTIF($A$2:$A2950,$A2950)&gt;1,"Trùng mã đơn; ","")&amp;IF(ISNA(MATCH($C2950,DATA_MASTER!$D$2:$D$5000,0)),"SĐT chưa đăng ký hội viên; ","")&amp;IF(AND($L2950="Đã chuyển khoản",$M2950=""),"Thiếu ngày nhận CK; ",""))</f>
        <v/>
      </c>
      <c r="T2950" s="24" t="n"/>
    </row>
    <row r="2951" ht="14.25" customHeight="1" s="40">
      <c r="A2951" s="24" t="n"/>
      <c r="B2951" s="29" t="n"/>
      <c r="C2951" s="28" t="n"/>
      <c r="D2951" s="22">
        <f t="array" ref="D2951">IF($C2951="","",IFERROR(INDEX(DATA_MASTER!$C$2:$C$5000,MATCH($C2951,DATA_MASTER!$D$2:$D$5000,0)),""))</f>
        <v/>
      </c>
      <c r="E2951" s="22">
        <f t="array" ref="E2951">IF($C2951="","",IFERROR(INDEX(DATA_MASTER!$I$2:$I$5000,MATCH($C2951,DATA_MASTER!$D$2:$D$5000,0)),""))</f>
        <v/>
      </c>
      <c r="F2951" s="22">
        <f t="array" ref="F2951">IF($C2951="","",IFERROR(INDEX(DATA_MASTER!$L$2:$L$5000,MATCH($C2951,DATA_MASTER!$D$2:$D$5000,0)),""))</f>
        <v/>
      </c>
      <c r="G2951" s="24" t="n"/>
      <c r="H2951" s="24" t="n"/>
      <c r="I2951" s="30" t="n"/>
      <c r="J2951" s="23">
        <f>IF(OR($H2951="",$I2951=""),"",$H2951*$I2951)</f>
        <v/>
      </c>
      <c r="K2951" s="24" t="n"/>
      <c r="L2951" s="24" t="n"/>
      <c r="M2951" s="29" t="n"/>
      <c r="N2951" s="28" t="n"/>
      <c r="O2951" s="24" t="n"/>
      <c r="P2951" s="24" t="n"/>
      <c r="Q2951" s="24" t="n"/>
      <c r="R2951" s="24" t="n"/>
      <c r="S2951" s="22">
        <f>IF(AND($A2951="",$C2951=""),"",IF($A2951="","Thiếu mã đơn; ","")&amp;IF(COUNTIF($A$2:$A2951,$A2951)&gt;1,"Trùng mã đơn; ","")&amp;IF(ISNA(MATCH($C2951,DATA_MASTER!$D$2:$D$5000,0)),"SĐT chưa đăng ký hội viên; ","")&amp;IF(AND($L2951="Đã chuyển khoản",$M2951=""),"Thiếu ngày nhận CK; ",""))</f>
        <v/>
      </c>
      <c r="T2951" s="24" t="n"/>
    </row>
    <row r="2952" ht="14.25" customHeight="1" s="40">
      <c r="A2952" s="24" t="n"/>
      <c r="B2952" s="29" t="n"/>
      <c r="C2952" s="28" t="n"/>
      <c r="D2952" s="22">
        <f t="array" ref="D2952">IF($C2952="","",IFERROR(INDEX(DATA_MASTER!$C$2:$C$5000,MATCH($C2952,DATA_MASTER!$D$2:$D$5000,0)),""))</f>
        <v/>
      </c>
      <c r="E2952" s="22">
        <f t="array" ref="E2952">IF($C2952="","",IFERROR(INDEX(DATA_MASTER!$I$2:$I$5000,MATCH($C2952,DATA_MASTER!$D$2:$D$5000,0)),""))</f>
        <v/>
      </c>
      <c r="F2952" s="22">
        <f t="array" ref="F2952">IF($C2952="","",IFERROR(INDEX(DATA_MASTER!$L$2:$L$5000,MATCH($C2952,DATA_MASTER!$D$2:$D$5000,0)),""))</f>
        <v/>
      </c>
      <c r="G2952" s="24" t="n"/>
      <c r="H2952" s="24" t="n"/>
      <c r="I2952" s="30" t="n"/>
      <c r="J2952" s="23">
        <f>IF(OR($H2952="",$I2952=""),"",$H2952*$I2952)</f>
        <v/>
      </c>
      <c r="K2952" s="24" t="n"/>
      <c r="L2952" s="24" t="n"/>
      <c r="M2952" s="29" t="n"/>
      <c r="N2952" s="28" t="n"/>
      <c r="O2952" s="24" t="n"/>
      <c r="P2952" s="24" t="n"/>
      <c r="Q2952" s="24" t="n"/>
      <c r="R2952" s="24" t="n"/>
      <c r="S2952" s="22">
        <f>IF(AND($A2952="",$C2952=""),"",IF($A2952="","Thiếu mã đơn; ","")&amp;IF(COUNTIF($A$2:$A2952,$A2952)&gt;1,"Trùng mã đơn; ","")&amp;IF(ISNA(MATCH($C2952,DATA_MASTER!$D$2:$D$5000,0)),"SĐT chưa đăng ký hội viên; ","")&amp;IF(AND($L2952="Đã chuyển khoản",$M2952=""),"Thiếu ngày nhận CK; ",""))</f>
        <v/>
      </c>
      <c r="T2952" s="24" t="n"/>
    </row>
    <row r="2953" ht="14.25" customHeight="1" s="40">
      <c r="A2953" s="24" t="n"/>
      <c r="B2953" s="29" t="n"/>
      <c r="C2953" s="28" t="n"/>
      <c r="D2953" s="22">
        <f t="array" ref="D2953">IF($C2953="","",IFERROR(INDEX(DATA_MASTER!$C$2:$C$5000,MATCH($C2953,DATA_MASTER!$D$2:$D$5000,0)),""))</f>
        <v/>
      </c>
      <c r="E2953" s="22">
        <f t="array" ref="E2953">IF($C2953="","",IFERROR(INDEX(DATA_MASTER!$I$2:$I$5000,MATCH($C2953,DATA_MASTER!$D$2:$D$5000,0)),""))</f>
        <v/>
      </c>
      <c r="F2953" s="22">
        <f t="array" ref="F2953">IF($C2953="","",IFERROR(INDEX(DATA_MASTER!$L$2:$L$5000,MATCH($C2953,DATA_MASTER!$D$2:$D$5000,0)),""))</f>
        <v/>
      </c>
      <c r="G2953" s="24" t="n"/>
      <c r="H2953" s="24" t="n"/>
      <c r="I2953" s="30" t="n"/>
      <c r="J2953" s="23">
        <f>IF(OR($H2953="",$I2953=""),"",$H2953*$I2953)</f>
        <v/>
      </c>
      <c r="K2953" s="24" t="n"/>
      <c r="L2953" s="24" t="n"/>
      <c r="M2953" s="29" t="n"/>
      <c r="N2953" s="28" t="n"/>
      <c r="O2953" s="24" t="n"/>
      <c r="P2953" s="24" t="n"/>
      <c r="Q2953" s="24" t="n"/>
      <c r="R2953" s="24" t="n"/>
      <c r="S2953" s="22">
        <f>IF(AND($A2953="",$C2953=""),"",IF($A2953="","Thiếu mã đơn; ","")&amp;IF(COUNTIF($A$2:$A2953,$A2953)&gt;1,"Trùng mã đơn; ","")&amp;IF(ISNA(MATCH($C2953,DATA_MASTER!$D$2:$D$5000,0)),"SĐT chưa đăng ký hội viên; ","")&amp;IF(AND($L2953="Đã chuyển khoản",$M2953=""),"Thiếu ngày nhận CK; ",""))</f>
        <v/>
      </c>
      <c r="T2953" s="24" t="n"/>
    </row>
    <row r="2954" ht="14.25" customHeight="1" s="40">
      <c r="A2954" s="24" t="n"/>
      <c r="B2954" s="29" t="n"/>
      <c r="C2954" s="28" t="n"/>
      <c r="D2954" s="22">
        <f t="array" ref="D2954">IF($C2954="","",IFERROR(INDEX(DATA_MASTER!$C$2:$C$5000,MATCH($C2954,DATA_MASTER!$D$2:$D$5000,0)),""))</f>
        <v/>
      </c>
      <c r="E2954" s="22">
        <f t="array" ref="E2954">IF($C2954="","",IFERROR(INDEX(DATA_MASTER!$I$2:$I$5000,MATCH($C2954,DATA_MASTER!$D$2:$D$5000,0)),""))</f>
        <v/>
      </c>
      <c r="F2954" s="22">
        <f t="array" ref="F2954">IF($C2954="","",IFERROR(INDEX(DATA_MASTER!$L$2:$L$5000,MATCH($C2954,DATA_MASTER!$D$2:$D$5000,0)),""))</f>
        <v/>
      </c>
      <c r="G2954" s="24" t="n"/>
      <c r="H2954" s="24" t="n"/>
      <c r="I2954" s="30" t="n"/>
      <c r="J2954" s="23">
        <f>IF(OR($H2954="",$I2954=""),"",$H2954*$I2954)</f>
        <v/>
      </c>
      <c r="K2954" s="24" t="n"/>
      <c r="L2954" s="24" t="n"/>
      <c r="M2954" s="29" t="n"/>
      <c r="N2954" s="28" t="n"/>
      <c r="O2954" s="24" t="n"/>
      <c r="P2954" s="24" t="n"/>
      <c r="Q2954" s="24" t="n"/>
      <c r="R2954" s="24" t="n"/>
      <c r="S2954" s="22">
        <f>IF(AND($A2954="",$C2954=""),"",IF($A2954="","Thiếu mã đơn; ","")&amp;IF(COUNTIF($A$2:$A2954,$A2954)&gt;1,"Trùng mã đơn; ","")&amp;IF(ISNA(MATCH($C2954,DATA_MASTER!$D$2:$D$5000,0)),"SĐT chưa đăng ký hội viên; ","")&amp;IF(AND($L2954="Đã chuyển khoản",$M2954=""),"Thiếu ngày nhận CK; ",""))</f>
        <v/>
      </c>
      <c r="T2954" s="24" t="n"/>
    </row>
    <row r="2955" ht="14.25" customHeight="1" s="40">
      <c r="A2955" s="24" t="n"/>
      <c r="B2955" s="29" t="n"/>
      <c r="C2955" s="28" t="n"/>
      <c r="D2955" s="22">
        <f t="array" ref="D2955">IF($C2955="","",IFERROR(INDEX(DATA_MASTER!$C$2:$C$5000,MATCH($C2955,DATA_MASTER!$D$2:$D$5000,0)),""))</f>
        <v/>
      </c>
      <c r="E2955" s="22">
        <f t="array" ref="E2955">IF($C2955="","",IFERROR(INDEX(DATA_MASTER!$I$2:$I$5000,MATCH($C2955,DATA_MASTER!$D$2:$D$5000,0)),""))</f>
        <v/>
      </c>
      <c r="F2955" s="22">
        <f t="array" ref="F2955">IF($C2955="","",IFERROR(INDEX(DATA_MASTER!$L$2:$L$5000,MATCH($C2955,DATA_MASTER!$D$2:$D$5000,0)),""))</f>
        <v/>
      </c>
      <c r="G2955" s="24" t="n"/>
      <c r="H2955" s="24" t="n"/>
      <c r="I2955" s="30" t="n"/>
      <c r="J2955" s="23">
        <f>IF(OR($H2955="",$I2955=""),"",$H2955*$I2955)</f>
        <v/>
      </c>
      <c r="K2955" s="24" t="n"/>
      <c r="L2955" s="24" t="n"/>
      <c r="M2955" s="29" t="n"/>
      <c r="N2955" s="28" t="n"/>
      <c r="O2955" s="24" t="n"/>
      <c r="P2955" s="24" t="n"/>
      <c r="Q2955" s="24" t="n"/>
      <c r="R2955" s="24" t="n"/>
      <c r="S2955" s="22">
        <f>IF(AND($A2955="",$C2955=""),"",IF($A2955="","Thiếu mã đơn; ","")&amp;IF(COUNTIF($A$2:$A2955,$A2955)&gt;1,"Trùng mã đơn; ","")&amp;IF(ISNA(MATCH($C2955,DATA_MASTER!$D$2:$D$5000,0)),"SĐT chưa đăng ký hội viên; ","")&amp;IF(AND($L2955="Đã chuyển khoản",$M2955=""),"Thiếu ngày nhận CK; ",""))</f>
        <v/>
      </c>
      <c r="T2955" s="24" t="n"/>
    </row>
    <row r="2956" ht="14.25" customHeight="1" s="40">
      <c r="A2956" s="24" t="n"/>
      <c r="B2956" s="29" t="n"/>
      <c r="C2956" s="28" t="n"/>
      <c r="D2956" s="22">
        <f t="array" ref="D2956">IF($C2956="","",IFERROR(INDEX(DATA_MASTER!$C$2:$C$5000,MATCH($C2956,DATA_MASTER!$D$2:$D$5000,0)),""))</f>
        <v/>
      </c>
      <c r="E2956" s="22">
        <f t="array" ref="E2956">IF($C2956="","",IFERROR(INDEX(DATA_MASTER!$I$2:$I$5000,MATCH($C2956,DATA_MASTER!$D$2:$D$5000,0)),""))</f>
        <v/>
      </c>
      <c r="F2956" s="22">
        <f t="array" ref="F2956">IF($C2956="","",IFERROR(INDEX(DATA_MASTER!$L$2:$L$5000,MATCH($C2956,DATA_MASTER!$D$2:$D$5000,0)),""))</f>
        <v/>
      </c>
      <c r="G2956" s="24" t="n"/>
      <c r="H2956" s="24" t="n"/>
      <c r="I2956" s="30" t="n"/>
      <c r="J2956" s="23">
        <f>IF(OR($H2956="",$I2956=""),"",$H2956*$I2956)</f>
        <v/>
      </c>
      <c r="K2956" s="24" t="n"/>
      <c r="L2956" s="24" t="n"/>
      <c r="M2956" s="29" t="n"/>
      <c r="N2956" s="28" t="n"/>
      <c r="O2956" s="24" t="n"/>
      <c r="P2956" s="24" t="n"/>
      <c r="Q2956" s="24" t="n"/>
      <c r="R2956" s="24" t="n"/>
      <c r="S2956" s="22">
        <f>IF(AND($A2956="",$C2956=""),"",IF($A2956="","Thiếu mã đơn; ","")&amp;IF(COUNTIF($A$2:$A2956,$A2956)&gt;1,"Trùng mã đơn; ","")&amp;IF(ISNA(MATCH($C2956,DATA_MASTER!$D$2:$D$5000,0)),"SĐT chưa đăng ký hội viên; ","")&amp;IF(AND($L2956="Đã chuyển khoản",$M2956=""),"Thiếu ngày nhận CK; ",""))</f>
        <v/>
      </c>
      <c r="T2956" s="24" t="n"/>
    </row>
    <row r="2957" ht="14.25" customHeight="1" s="40">
      <c r="A2957" s="24" t="n"/>
      <c r="B2957" s="29" t="n"/>
      <c r="C2957" s="28" t="n"/>
      <c r="D2957" s="22">
        <f t="array" ref="D2957">IF($C2957="","",IFERROR(INDEX(DATA_MASTER!$C$2:$C$5000,MATCH($C2957,DATA_MASTER!$D$2:$D$5000,0)),""))</f>
        <v/>
      </c>
      <c r="E2957" s="22">
        <f t="array" ref="E2957">IF($C2957="","",IFERROR(INDEX(DATA_MASTER!$I$2:$I$5000,MATCH($C2957,DATA_MASTER!$D$2:$D$5000,0)),""))</f>
        <v/>
      </c>
      <c r="F2957" s="22">
        <f t="array" ref="F2957">IF($C2957="","",IFERROR(INDEX(DATA_MASTER!$L$2:$L$5000,MATCH($C2957,DATA_MASTER!$D$2:$D$5000,0)),""))</f>
        <v/>
      </c>
      <c r="G2957" s="24" t="n"/>
      <c r="H2957" s="24" t="n"/>
      <c r="I2957" s="30" t="n"/>
      <c r="J2957" s="23">
        <f>IF(OR($H2957="",$I2957=""),"",$H2957*$I2957)</f>
        <v/>
      </c>
      <c r="K2957" s="24" t="n"/>
      <c r="L2957" s="24" t="n"/>
      <c r="M2957" s="29" t="n"/>
      <c r="N2957" s="28" t="n"/>
      <c r="O2957" s="24" t="n"/>
      <c r="P2957" s="24" t="n"/>
      <c r="Q2957" s="24" t="n"/>
      <c r="R2957" s="24" t="n"/>
      <c r="S2957" s="22">
        <f>IF(AND($A2957="",$C2957=""),"",IF($A2957="","Thiếu mã đơn; ","")&amp;IF(COUNTIF($A$2:$A2957,$A2957)&gt;1,"Trùng mã đơn; ","")&amp;IF(ISNA(MATCH($C2957,DATA_MASTER!$D$2:$D$5000,0)),"SĐT chưa đăng ký hội viên; ","")&amp;IF(AND($L2957="Đã chuyển khoản",$M2957=""),"Thiếu ngày nhận CK; ",""))</f>
        <v/>
      </c>
      <c r="T2957" s="24" t="n"/>
    </row>
    <row r="2958" ht="14.25" customHeight="1" s="40">
      <c r="A2958" s="24" t="n"/>
      <c r="B2958" s="29" t="n"/>
      <c r="C2958" s="28" t="n"/>
      <c r="D2958" s="22">
        <f t="array" ref="D2958">IF($C2958="","",IFERROR(INDEX(DATA_MASTER!$C$2:$C$5000,MATCH($C2958,DATA_MASTER!$D$2:$D$5000,0)),""))</f>
        <v/>
      </c>
      <c r="E2958" s="22">
        <f t="array" ref="E2958">IF($C2958="","",IFERROR(INDEX(DATA_MASTER!$I$2:$I$5000,MATCH($C2958,DATA_MASTER!$D$2:$D$5000,0)),""))</f>
        <v/>
      </c>
      <c r="F2958" s="22">
        <f t="array" ref="F2958">IF($C2958="","",IFERROR(INDEX(DATA_MASTER!$L$2:$L$5000,MATCH($C2958,DATA_MASTER!$D$2:$D$5000,0)),""))</f>
        <v/>
      </c>
      <c r="G2958" s="24" t="n"/>
      <c r="H2958" s="24" t="n"/>
      <c r="I2958" s="30" t="n"/>
      <c r="J2958" s="23">
        <f>IF(OR($H2958="",$I2958=""),"",$H2958*$I2958)</f>
        <v/>
      </c>
      <c r="K2958" s="24" t="n"/>
      <c r="L2958" s="24" t="n"/>
      <c r="M2958" s="29" t="n"/>
      <c r="N2958" s="28" t="n"/>
      <c r="O2958" s="24" t="n"/>
      <c r="P2958" s="24" t="n"/>
      <c r="Q2958" s="24" t="n"/>
      <c r="R2958" s="24" t="n"/>
      <c r="S2958" s="22">
        <f>IF(AND($A2958="",$C2958=""),"",IF($A2958="","Thiếu mã đơn; ","")&amp;IF(COUNTIF($A$2:$A2958,$A2958)&gt;1,"Trùng mã đơn; ","")&amp;IF(ISNA(MATCH($C2958,DATA_MASTER!$D$2:$D$5000,0)),"SĐT chưa đăng ký hội viên; ","")&amp;IF(AND($L2958="Đã chuyển khoản",$M2958=""),"Thiếu ngày nhận CK; ",""))</f>
        <v/>
      </c>
      <c r="T2958" s="24" t="n"/>
    </row>
    <row r="2959" ht="14.25" customHeight="1" s="40">
      <c r="A2959" s="24" t="n"/>
      <c r="B2959" s="29" t="n"/>
      <c r="C2959" s="28" t="n"/>
      <c r="D2959" s="22">
        <f t="array" ref="D2959">IF($C2959="","",IFERROR(INDEX(DATA_MASTER!$C$2:$C$5000,MATCH($C2959,DATA_MASTER!$D$2:$D$5000,0)),""))</f>
        <v/>
      </c>
      <c r="E2959" s="22">
        <f t="array" ref="E2959">IF($C2959="","",IFERROR(INDEX(DATA_MASTER!$I$2:$I$5000,MATCH($C2959,DATA_MASTER!$D$2:$D$5000,0)),""))</f>
        <v/>
      </c>
      <c r="F2959" s="22">
        <f t="array" ref="F2959">IF($C2959="","",IFERROR(INDEX(DATA_MASTER!$L$2:$L$5000,MATCH($C2959,DATA_MASTER!$D$2:$D$5000,0)),""))</f>
        <v/>
      </c>
      <c r="G2959" s="24" t="n"/>
      <c r="H2959" s="24" t="n"/>
      <c r="I2959" s="30" t="n"/>
      <c r="J2959" s="23">
        <f>IF(OR($H2959="",$I2959=""),"",$H2959*$I2959)</f>
        <v/>
      </c>
      <c r="K2959" s="24" t="n"/>
      <c r="L2959" s="24" t="n"/>
      <c r="M2959" s="29" t="n"/>
      <c r="N2959" s="28" t="n"/>
      <c r="O2959" s="24" t="n"/>
      <c r="P2959" s="24" t="n"/>
      <c r="Q2959" s="24" t="n"/>
      <c r="R2959" s="24" t="n"/>
      <c r="S2959" s="22">
        <f>IF(AND($A2959="",$C2959=""),"",IF($A2959="","Thiếu mã đơn; ","")&amp;IF(COUNTIF($A$2:$A2959,$A2959)&gt;1,"Trùng mã đơn; ","")&amp;IF(ISNA(MATCH($C2959,DATA_MASTER!$D$2:$D$5000,0)),"SĐT chưa đăng ký hội viên; ","")&amp;IF(AND($L2959="Đã chuyển khoản",$M2959=""),"Thiếu ngày nhận CK; ",""))</f>
        <v/>
      </c>
      <c r="T2959" s="24" t="n"/>
    </row>
    <row r="2960" ht="14.25" customHeight="1" s="40">
      <c r="A2960" s="24" t="n"/>
      <c r="B2960" s="29" t="n"/>
      <c r="C2960" s="28" t="n"/>
      <c r="D2960" s="22">
        <f t="array" ref="D2960">IF($C2960="","",IFERROR(INDEX(DATA_MASTER!$C$2:$C$5000,MATCH($C2960,DATA_MASTER!$D$2:$D$5000,0)),""))</f>
        <v/>
      </c>
      <c r="E2960" s="22">
        <f t="array" ref="E2960">IF($C2960="","",IFERROR(INDEX(DATA_MASTER!$I$2:$I$5000,MATCH($C2960,DATA_MASTER!$D$2:$D$5000,0)),""))</f>
        <v/>
      </c>
      <c r="F2960" s="22">
        <f t="array" ref="F2960">IF($C2960="","",IFERROR(INDEX(DATA_MASTER!$L$2:$L$5000,MATCH($C2960,DATA_MASTER!$D$2:$D$5000,0)),""))</f>
        <v/>
      </c>
      <c r="G2960" s="24" t="n"/>
      <c r="H2960" s="24" t="n"/>
      <c r="I2960" s="30" t="n"/>
      <c r="J2960" s="23">
        <f>IF(OR($H2960="",$I2960=""),"",$H2960*$I2960)</f>
        <v/>
      </c>
      <c r="K2960" s="24" t="n"/>
      <c r="L2960" s="24" t="n"/>
      <c r="M2960" s="29" t="n"/>
      <c r="N2960" s="28" t="n"/>
      <c r="O2960" s="24" t="n"/>
      <c r="P2960" s="24" t="n"/>
      <c r="Q2960" s="24" t="n"/>
      <c r="R2960" s="24" t="n"/>
      <c r="S2960" s="22">
        <f>IF(AND($A2960="",$C2960=""),"",IF($A2960="","Thiếu mã đơn; ","")&amp;IF(COUNTIF($A$2:$A2960,$A2960)&gt;1,"Trùng mã đơn; ","")&amp;IF(ISNA(MATCH($C2960,DATA_MASTER!$D$2:$D$5000,0)),"SĐT chưa đăng ký hội viên; ","")&amp;IF(AND($L2960="Đã chuyển khoản",$M2960=""),"Thiếu ngày nhận CK; ",""))</f>
        <v/>
      </c>
      <c r="T2960" s="24" t="n"/>
    </row>
    <row r="2961" ht="14.25" customHeight="1" s="40">
      <c r="A2961" s="24" t="n"/>
      <c r="B2961" s="29" t="n"/>
      <c r="C2961" s="28" t="n"/>
      <c r="D2961" s="22">
        <f t="array" ref="D2961">IF($C2961="","",IFERROR(INDEX(DATA_MASTER!$C$2:$C$5000,MATCH($C2961,DATA_MASTER!$D$2:$D$5000,0)),""))</f>
        <v/>
      </c>
      <c r="E2961" s="22">
        <f t="array" ref="E2961">IF($C2961="","",IFERROR(INDEX(DATA_MASTER!$I$2:$I$5000,MATCH($C2961,DATA_MASTER!$D$2:$D$5000,0)),""))</f>
        <v/>
      </c>
      <c r="F2961" s="22">
        <f t="array" ref="F2961">IF($C2961="","",IFERROR(INDEX(DATA_MASTER!$L$2:$L$5000,MATCH($C2961,DATA_MASTER!$D$2:$D$5000,0)),""))</f>
        <v/>
      </c>
      <c r="G2961" s="24" t="n"/>
      <c r="H2961" s="24" t="n"/>
      <c r="I2961" s="30" t="n"/>
      <c r="J2961" s="23">
        <f>IF(OR($H2961="",$I2961=""),"",$H2961*$I2961)</f>
        <v/>
      </c>
      <c r="K2961" s="24" t="n"/>
      <c r="L2961" s="24" t="n"/>
      <c r="M2961" s="29" t="n"/>
      <c r="N2961" s="28" t="n"/>
      <c r="O2961" s="24" t="n"/>
      <c r="P2961" s="24" t="n"/>
      <c r="Q2961" s="24" t="n"/>
      <c r="R2961" s="24" t="n"/>
      <c r="S2961" s="22">
        <f>IF(AND($A2961="",$C2961=""),"",IF($A2961="","Thiếu mã đơn; ","")&amp;IF(COUNTIF($A$2:$A2961,$A2961)&gt;1,"Trùng mã đơn; ","")&amp;IF(ISNA(MATCH($C2961,DATA_MASTER!$D$2:$D$5000,0)),"SĐT chưa đăng ký hội viên; ","")&amp;IF(AND($L2961="Đã chuyển khoản",$M2961=""),"Thiếu ngày nhận CK; ",""))</f>
        <v/>
      </c>
      <c r="T2961" s="24" t="n"/>
    </row>
    <row r="2962" ht="14.25" customHeight="1" s="40">
      <c r="A2962" s="24" t="n"/>
      <c r="B2962" s="29" t="n"/>
      <c r="C2962" s="28" t="n"/>
      <c r="D2962" s="22">
        <f t="array" ref="D2962">IF($C2962="","",IFERROR(INDEX(DATA_MASTER!$C$2:$C$5000,MATCH($C2962,DATA_MASTER!$D$2:$D$5000,0)),""))</f>
        <v/>
      </c>
      <c r="E2962" s="22">
        <f t="array" ref="E2962">IF($C2962="","",IFERROR(INDEX(DATA_MASTER!$I$2:$I$5000,MATCH($C2962,DATA_MASTER!$D$2:$D$5000,0)),""))</f>
        <v/>
      </c>
      <c r="F2962" s="22">
        <f t="array" ref="F2962">IF($C2962="","",IFERROR(INDEX(DATA_MASTER!$L$2:$L$5000,MATCH($C2962,DATA_MASTER!$D$2:$D$5000,0)),""))</f>
        <v/>
      </c>
      <c r="G2962" s="24" t="n"/>
      <c r="H2962" s="24" t="n"/>
      <c r="I2962" s="30" t="n"/>
      <c r="J2962" s="23">
        <f>IF(OR($H2962="",$I2962=""),"",$H2962*$I2962)</f>
        <v/>
      </c>
      <c r="K2962" s="24" t="n"/>
      <c r="L2962" s="24" t="n"/>
      <c r="M2962" s="29" t="n"/>
      <c r="N2962" s="28" t="n"/>
      <c r="O2962" s="24" t="n"/>
      <c r="P2962" s="24" t="n"/>
      <c r="Q2962" s="24" t="n"/>
      <c r="R2962" s="24" t="n"/>
      <c r="S2962" s="22">
        <f>IF(AND($A2962="",$C2962=""),"",IF($A2962="","Thiếu mã đơn; ","")&amp;IF(COUNTIF($A$2:$A2962,$A2962)&gt;1,"Trùng mã đơn; ","")&amp;IF(ISNA(MATCH($C2962,DATA_MASTER!$D$2:$D$5000,0)),"SĐT chưa đăng ký hội viên; ","")&amp;IF(AND($L2962="Đã chuyển khoản",$M2962=""),"Thiếu ngày nhận CK; ",""))</f>
        <v/>
      </c>
      <c r="T2962" s="24" t="n"/>
    </row>
    <row r="2963" ht="14.25" customHeight="1" s="40">
      <c r="A2963" s="24" t="n"/>
      <c r="B2963" s="29" t="n"/>
      <c r="C2963" s="28" t="n"/>
      <c r="D2963" s="22">
        <f t="array" ref="D2963">IF($C2963="","",IFERROR(INDEX(DATA_MASTER!$C$2:$C$5000,MATCH($C2963,DATA_MASTER!$D$2:$D$5000,0)),""))</f>
        <v/>
      </c>
      <c r="E2963" s="22">
        <f t="array" ref="E2963">IF($C2963="","",IFERROR(INDEX(DATA_MASTER!$I$2:$I$5000,MATCH($C2963,DATA_MASTER!$D$2:$D$5000,0)),""))</f>
        <v/>
      </c>
      <c r="F2963" s="22">
        <f t="array" ref="F2963">IF($C2963="","",IFERROR(INDEX(DATA_MASTER!$L$2:$L$5000,MATCH($C2963,DATA_MASTER!$D$2:$D$5000,0)),""))</f>
        <v/>
      </c>
      <c r="G2963" s="24" t="n"/>
      <c r="H2963" s="24" t="n"/>
      <c r="I2963" s="30" t="n"/>
      <c r="J2963" s="23">
        <f>IF(OR($H2963="",$I2963=""),"",$H2963*$I2963)</f>
        <v/>
      </c>
      <c r="K2963" s="24" t="n"/>
      <c r="L2963" s="24" t="n"/>
      <c r="M2963" s="29" t="n"/>
      <c r="N2963" s="28" t="n"/>
      <c r="O2963" s="24" t="n"/>
      <c r="P2963" s="24" t="n"/>
      <c r="Q2963" s="24" t="n"/>
      <c r="R2963" s="24" t="n"/>
      <c r="S2963" s="22">
        <f>IF(AND($A2963="",$C2963=""),"",IF($A2963="","Thiếu mã đơn; ","")&amp;IF(COUNTIF($A$2:$A2963,$A2963)&gt;1,"Trùng mã đơn; ","")&amp;IF(ISNA(MATCH($C2963,DATA_MASTER!$D$2:$D$5000,0)),"SĐT chưa đăng ký hội viên; ","")&amp;IF(AND($L2963="Đã chuyển khoản",$M2963=""),"Thiếu ngày nhận CK; ",""))</f>
        <v/>
      </c>
      <c r="T2963" s="24" t="n"/>
    </row>
    <row r="2964" ht="14.25" customHeight="1" s="40">
      <c r="A2964" s="24" t="n"/>
      <c r="B2964" s="29" t="n"/>
      <c r="C2964" s="28" t="n"/>
      <c r="D2964" s="22">
        <f t="array" ref="D2964">IF($C2964="","",IFERROR(INDEX(DATA_MASTER!$C$2:$C$5000,MATCH($C2964,DATA_MASTER!$D$2:$D$5000,0)),""))</f>
        <v/>
      </c>
      <c r="E2964" s="22">
        <f t="array" ref="E2964">IF($C2964="","",IFERROR(INDEX(DATA_MASTER!$I$2:$I$5000,MATCH($C2964,DATA_MASTER!$D$2:$D$5000,0)),""))</f>
        <v/>
      </c>
      <c r="F2964" s="22">
        <f t="array" ref="F2964">IF($C2964="","",IFERROR(INDEX(DATA_MASTER!$L$2:$L$5000,MATCH($C2964,DATA_MASTER!$D$2:$D$5000,0)),""))</f>
        <v/>
      </c>
      <c r="G2964" s="24" t="n"/>
      <c r="H2964" s="24" t="n"/>
      <c r="I2964" s="30" t="n"/>
      <c r="J2964" s="23">
        <f>IF(OR($H2964="",$I2964=""),"",$H2964*$I2964)</f>
        <v/>
      </c>
      <c r="K2964" s="24" t="n"/>
      <c r="L2964" s="24" t="n"/>
      <c r="M2964" s="29" t="n"/>
      <c r="N2964" s="28" t="n"/>
      <c r="O2964" s="24" t="n"/>
      <c r="P2964" s="24" t="n"/>
      <c r="Q2964" s="24" t="n"/>
      <c r="R2964" s="24" t="n"/>
      <c r="S2964" s="22">
        <f>IF(AND($A2964="",$C2964=""),"",IF($A2964="","Thiếu mã đơn; ","")&amp;IF(COUNTIF($A$2:$A2964,$A2964)&gt;1,"Trùng mã đơn; ","")&amp;IF(ISNA(MATCH($C2964,DATA_MASTER!$D$2:$D$5000,0)),"SĐT chưa đăng ký hội viên; ","")&amp;IF(AND($L2964="Đã chuyển khoản",$M2964=""),"Thiếu ngày nhận CK; ",""))</f>
        <v/>
      </c>
      <c r="T2964" s="24" t="n"/>
    </row>
    <row r="2965" ht="14.25" customHeight="1" s="40">
      <c r="A2965" s="24" t="n"/>
      <c r="B2965" s="29" t="n"/>
      <c r="C2965" s="28" t="n"/>
      <c r="D2965" s="22">
        <f t="array" ref="D2965">IF($C2965="","",IFERROR(INDEX(DATA_MASTER!$C$2:$C$5000,MATCH($C2965,DATA_MASTER!$D$2:$D$5000,0)),""))</f>
        <v/>
      </c>
      <c r="E2965" s="22">
        <f t="array" ref="E2965">IF($C2965="","",IFERROR(INDEX(DATA_MASTER!$I$2:$I$5000,MATCH($C2965,DATA_MASTER!$D$2:$D$5000,0)),""))</f>
        <v/>
      </c>
      <c r="F2965" s="22">
        <f t="array" ref="F2965">IF($C2965="","",IFERROR(INDEX(DATA_MASTER!$L$2:$L$5000,MATCH($C2965,DATA_MASTER!$D$2:$D$5000,0)),""))</f>
        <v/>
      </c>
      <c r="G2965" s="24" t="n"/>
      <c r="H2965" s="24" t="n"/>
      <c r="I2965" s="30" t="n"/>
      <c r="J2965" s="23">
        <f>IF(OR($H2965="",$I2965=""),"",$H2965*$I2965)</f>
        <v/>
      </c>
      <c r="K2965" s="24" t="n"/>
      <c r="L2965" s="24" t="n"/>
      <c r="M2965" s="29" t="n"/>
      <c r="N2965" s="28" t="n"/>
      <c r="O2965" s="24" t="n"/>
      <c r="P2965" s="24" t="n"/>
      <c r="Q2965" s="24" t="n"/>
      <c r="R2965" s="24" t="n"/>
      <c r="S2965" s="22">
        <f>IF(AND($A2965="",$C2965=""),"",IF($A2965="","Thiếu mã đơn; ","")&amp;IF(COUNTIF($A$2:$A2965,$A2965)&gt;1,"Trùng mã đơn; ","")&amp;IF(ISNA(MATCH($C2965,DATA_MASTER!$D$2:$D$5000,0)),"SĐT chưa đăng ký hội viên; ","")&amp;IF(AND($L2965="Đã chuyển khoản",$M2965=""),"Thiếu ngày nhận CK; ",""))</f>
        <v/>
      </c>
      <c r="T2965" s="24" t="n"/>
    </row>
    <row r="2966" ht="14.25" customHeight="1" s="40">
      <c r="A2966" s="24" t="n"/>
      <c r="B2966" s="29" t="n"/>
      <c r="C2966" s="28" t="n"/>
      <c r="D2966" s="22">
        <f t="array" ref="D2966">IF($C2966="","",IFERROR(INDEX(DATA_MASTER!$C$2:$C$5000,MATCH($C2966,DATA_MASTER!$D$2:$D$5000,0)),""))</f>
        <v/>
      </c>
      <c r="E2966" s="22">
        <f t="array" ref="E2966">IF($C2966="","",IFERROR(INDEX(DATA_MASTER!$I$2:$I$5000,MATCH($C2966,DATA_MASTER!$D$2:$D$5000,0)),""))</f>
        <v/>
      </c>
      <c r="F2966" s="22">
        <f t="array" ref="F2966">IF($C2966="","",IFERROR(INDEX(DATA_MASTER!$L$2:$L$5000,MATCH($C2966,DATA_MASTER!$D$2:$D$5000,0)),""))</f>
        <v/>
      </c>
      <c r="G2966" s="24" t="n"/>
      <c r="H2966" s="24" t="n"/>
      <c r="I2966" s="30" t="n"/>
      <c r="J2966" s="23">
        <f>IF(OR($H2966="",$I2966=""),"",$H2966*$I2966)</f>
        <v/>
      </c>
      <c r="K2966" s="24" t="n"/>
      <c r="L2966" s="24" t="n"/>
      <c r="M2966" s="29" t="n"/>
      <c r="N2966" s="28" t="n"/>
      <c r="O2966" s="24" t="n"/>
      <c r="P2966" s="24" t="n"/>
      <c r="Q2966" s="24" t="n"/>
      <c r="R2966" s="24" t="n"/>
      <c r="S2966" s="22">
        <f>IF(AND($A2966="",$C2966=""),"",IF($A2966="","Thiếu mã đơn; ","")&amp;IF(COUNTIF($A$2:$A2966,$A2966)&gt;1,"Trùng mã đơn; ","")&amp;IF(ISNA(MATCH($C2966,DATA_MASTER!$D$2:$D$5000,0)),"SĐT chưa đăng ký hội viên; ","")&amp;IF(AND($L2966="Đã chuyển khoản",$M2966=""),"Thiếu ngày nhận CK; ",""))</f>
        <v/>
      </c>
      <c r="T2966" s="24" t="n"/>
    </row>
    <row r="2967" ht="14.25" customHeight="1" s="40">
      <c r="A2967" s="24" t="n"/>
      <c r="B2967" s="29" t="n"/>
      <c r="C2967" s="28" t="n"/>
      <c r="D2967" s="22">
        <f t="array" ref="D2967">IF($C2967="","",IFERROR(INDEX(DATA_MASTER!$C$2:$C$5000,MATCH($C2967,DATA_MASTER!$D$2:$D$5000,0)),""))</f>
        <v/>
      </c>
      <c r="E2967" s="22">
        <f t="array" ref="E2967">IF($C2967="","",IFERROR(INDEX(DATA_MASTER!$I$2:$I$5000,MATCH($C2967,DATA_MASTER!$D$2:$D$5000,0)),""))</f>
        <v/>
      </c>
      <c r="F2967" s="22">
        <f t="array" ref="F2967">IF($C2967="","",IFERROR(INDEX(DATA_MASTER!$L$2:$L$5000,MATCH($C2967,DATA_MASTER!$D$2:$D$5000,0)),""))</f>
        <v/>
      </c>
      <c r="G2967" s="24" t="n"/>
      <c r="H2967" s="24" t="n"/>
      <c r="I2967" s="30" t="n"/>
      <c r="J2967" s="23">
        <f>IF(OR($H2967="",$I2967=""),"",$H2967*$I2967)</f>
        <v/>
      </c>
      <c r="K2967" s="24" t="n"/>
      <c r="L2967" s="24" t="n"/>
      <c r="M2967" s="29" t="n"/>
      <c r="N2967" s="28" t="n"/>
      <c r="O2967" s="24" t="n"/>
      <c r="P2967" s="24" t="n"/>
      <c r="Q2967" s="24" t="n"/>
      <c r="R2967" s="24" t="n"/>
      <c r="S2967" s="22">
        <f>IF(AND($A2967="",$C2967=""),"",IF($A2967="","Thiếu mã đơn; ","")&amp;IF(COUNTIF($A$2:$A2967,$A2967)&gt;1,"Trùng mã đơn; ","")&amp;IF(ISNA(MATCH($C2967,DATA_MASTER!$D$2:$D$5000,0)),"SĐT chưa đăng ký hội viên; ","")&amp;IF(AND($L2967="Đã chuyển khoản",$M2967=""),"Thiếu ngày nhận CK; ",""))</f>
        <v/>
      </c>
      <c r="T2967" s="24" t="n"/>
    </row>
    <row r="2968" ht="14.25" customHeight="1" s="40">
      <c r="A2968" s="24" t="n"/>
      <c r="B2968" s="29" t="n"/>
      <c r="C2968" s="28" t="n"/>
      <c r="D2968" s="22">
        <f t="array" ref="D2968">IF($C2968="","",IFERROR(INDEX(DATA_MASTER!$C$2:$C$5000,MATCH($C2968,DATA_MASTER!$D$2:$D$5000,0)),""))</f>
        <v/>
      </c>
      <c r="E2968" s="22">
        <f t="array" ref="E2968">IF($C2968="","",IFERROR(INDEX(DATA_MASTER!$I$2:$I$5000,MATCH($C2968,DATA_MASTER!$D$2:$D$5000,0)),""))</f>
        <v/>
      </c>
      <c r="F2968" s="22">
        <f t="array" ref="F2968">IF($C2968="","",IFERROR(INDEX(DATA_MASTER!$L$2:$L$5000,MATCH($C2968,DATA_MASTER!$D$2:$D$5000,0)),""))</f>
        <v/>
      </c>
      <c r="G2968" s="24" t="n"/>
      <c r="H2968" s="24" t="n"/>
      <c r="I2968" s="30" t="n"/>
      <c r="J2968" s="23">
        <f>IF(OR($H2968="",$I2968=""),"",$H2968*$I2968)</f>
        <v/>
      </c>
      <c r="K2968" s="24" t="n"/>
      <c r="L2968" s="24" t="n"/>
      <c r="M2968" s="29" t="n"/>
      <c r="N2968" s="28" t="n"/>
      <c r="O2968" s="24" t="n"/>
      <c r="P2968" s="24" t="n"/>
      <c r="Q2968" s="24" t="n"/>
      <c r="R2968" s="24" t="n"/>
      <c r="S2968" s="22">
        <f>IF(AND($A2968="",$C2968=""),"",IF($A2968="","Thiếu mã đơn; ","")&amp;IF(COUNTIF($A$2:$A2968,$A2968)&gt;1,"Trùng mã đơn; ","")&amp;IF(ISNA(MATCH($C2968,DATA_MASTER!$D$2:$D$5000,0)),"SĐT chưa đăng ký hội viên; ","")&amp;IF(AND($L2968="Đã chuyển khoản",$M2968=""),"Thiếu ngày nhận CK; ",""))</f>
        <v/>
      </c>
      <c r="T2968" s="24" t="n"/>
    </row>
    <row r="2969" ht="14.25" customHeight="1" s="40">
      <c r="A2969" s="24" t="n"/>
      <c r="B2969" s="29" t="n"/>
      <c r="C2969" s="28" t="n"/>
      <c r="D2969" s="22">
        <f t="array" ref="D2969">IF($C2969="","",IFERROR(INDEX(DATA_MASTER!$C$2:$C$5000,MATCH($C2969,DATA_MASTER!$D$2:$D$5000,0)),""))</f>
        <v/>
      </c>
      <c r="E2969" s="22">
        <f t="array" ref="E2969">IF($C2969="","",IFERROR(INDEX(DATA_MASTER!$I$2:$I$5000,MATCH($C2969,DATA_MASTER!$D$2:$D$5000,0)),""))</f>
        <v/>
      </c>
      <c r="F2969" s="22">
        <f t="array" ref="F2969">IF($C2969="","",IFERROR(INDEX(DATA_MASTER!$L$2:$L$5000,MATCH($C2969,DATA_MASTER!$D$2:$D$5000,0)),""))</f>
        <v/>
      </c>
      <c r="G2969" s="24" t="n"/>
      <c r="H2969" s="24" t="n"/>
      <c r="I2969" s="30" t="n"/>
      <c r="J2969" s="23">
        <f>IF(OR($H2969="",$I2969=""),"",$H2969*$I2969)</f>
        <v/>
      </c>
      <c r="K2969" s="24" t="n"/>
      <c r="L2969" s="24" t="n"/>
      <c r="M2969" s="29" t="n"/>
      <c r="N2969" s="28" t="n"/>
      <c r="O2969" s="24" t="n"/>
      <c r="P2969" s="24" t="n"/>
      <c r="Q2969" s="24" t="n"/>
      <c r="R2969" s="24" t="n"/>
      <c r="S2969" s="22">
        <f>IF(AND($A2969="",$C2969=""),"",IF($A2969="","Thiếu mã đơn; ","")&amp;IF(COUNTIF($A$2:$A2969,$A2969)&gt;1,"Trùng mã đơn; ","")&amp;IF(ISNA(MATCH($C2969,DATA_MASTER!$D$2:$D$5000,0)),"SĐT chưa đăng ký hội viên; ","")&amp;IF(AND($L2969="Đã chuyển khoản",$M2969=""),"Thiếu ngày nhận CK; ",""))</f>
        <v/>
      </c>
      <c r="T2969" s="24" t="n"/>
    </row>
    <row r="2970" ht="14.25" customHeight="1" s="40">
      <c r="A2970" s="24" t="n"/>
      <c r="B2970" s="29" t="n"/>
      <c r="C2970" s="28" t="n"/>
      <c r="D2970" s="22">
        <f t="array" ref="D2970">IF($C2970="","",IFERROR(INDEX(DATA_MASTER!$C$2:$C$5000,MATCH($C2970,DATA_MASTER!$D$2:$D$5000,0)),""))</f>
        <v/>
      </c>
      <c r="E2970" s="22">
        <f t="array" ref="E2970">IF($C2970="","",IFERROR(INDEX(DATA_MASTER!$I$2:$I$5000,MATCH($C2970,DATA_MASTER!$D$2:$D$5000,0)),""))</f>
        <v/>
      </c>
      <c r="F2970" s="22">
        <f t="array" ref="F2970">IF($C2970="","",IFERROR(INDEX(DATA_MASTER!$L$2:$L$5000,MATCH($C2970,DATA_MASTER!$D$2:$D$5000,0)),""))</f>
        <v/>
      </c>
      <c r="G2970" s="24" t="n"/>
      <c r="H2970" s="24" t="n"/>
      <c r="I2970" s="30" t="n"/>
      <c r="J2970" s="23">
        <f>IF(OR($H2970="",$I2970=""),"",$H2970*$I2970)</f>
        <v/>
      </c>
      <c r="K2970" s="24" t="n"/>
      <c r="L2970" s="24" t="n"/>
      <c r="M2970" s="29" t="n"/>
      <c r="N2970" s="28" t="n"/>
      <c r="O2970" s="24" t="n"/>
      <c r="P2970" s="24" t="n"/>
      <c r="Q2970" s="24" t="n"/>
      <c r="R2970" s="24" t="n"/>
      <c r="S2970" s="22">
        <f>IF(AND($A2970="",$C2970=""),"",IF($A2970="","Thiếu mã đơn; ","")&amp;IF(COUNTIF($A$2:$A2970,$A2970)&gt;1,"Trùng mã đơn; ","")&amp;IF(ISNA(MATCH($C2970,DATA_MASTER!$D$2:$D$5000,0)),"SĐT chưa đăng ký hội viên; ","")&amp;IF(AND($L2970="Đã chuyển khoản",$M2970=""),"Thiếu ngày nhận CK; ",""))</f>
        <v/>
      </c>
      <c r="T2970" s="24" t="n"/>
    </row>
    <row r="2971" ht="14.25" customHeight="1" s="40">
      <c r="A2971" s="24" t="n"/>
      <c r="B2971" s="29" t="n"/>
      <c r="C2971" s="28" t="n"/>
      <c r="D2971" s="22">
        <f t="array" ref="D2971">IF($C2971="","",IFERROR(INDEX(DATA_MASTER!$C$2:$C$5000,MATCH($C2971,DATA_MASTER!$D$2:$D$5000,0)),""))</f>
        <v/>
      </c>
      <c r="E2971" s="22">
        <f t="array" ref="E2971">IF($C2971="","",IFERROR(INDEX(DATA_MASTER!$I$2:$I$5000,MATCH($C2971,DATA_MASTER!$D$2:$D$5000,0)),""))</f>
        <v/>
      </c>
      <c r="F2971" s="22">
        <f t="array" ref="F2971">IF($C2971="","",IFERROR(INDEX(DATA_MASTER!$L$2:$L$5000,MATCH($C2971,DATA_MASTER!$D$2:$D$5000,0)),""))</f>
        <v/>
      </c>
      <c r="G2971" s="24" t="n"/>
      <c r="H2971" s="24" t="n"/>
      <c r="I2971" s="30" t="n"/>
      <c r="J2971" s="23">
        <f>IF(OR($H2971="",$I2971=""),"",$H2971*$I2971)</f>
        <v/>
      </c>
      <c r="K2971" s="24" t="n"/>
      <c r="L2971" s="24" t="n"/>
      <c r="M2971" s="29" t="n"/>
      <c r="N2971" s="28" t="n"/>
      <c r="O2971" s="24" t="n"/>
      <c r="P2971" s="24" t="n"/>
      <c r="Q2971" s="24" t="n"/>
      <c r="R2971" s="24" t="n"/>
      <c r="S2971" s="22">
        <f>IF(AND($A2971="",$C2971=""),"",IF($A2971="","Thiếu mã đơn; ","")&amp;IF(COUNTIF($A$2:$A2971,$A2971)&gt;1,"Trùng mã đơn; ","")&amp;IF(ISNA(MATCH($C2971,DATA_MASTER!$D$2:$D$5000,0)),"SĐT chưa đăng ký hội viên; ","")&amp;IF(AND($L2971="Đã chuyển khoản",$M2971=""),"Thiếu ngày nhận CK; ",""))</f>
        <v/>
      </c>
      <c r="T2971" s="24" t="n"/>
    </row>
    <row r="2972" ht="14.25" customHeight="1" s="40">
      <c r="A2972" s="24" t="n"/>
      <c r="B2972" s="29" t="n"/>
      <c r="C2972" s="28" t="n"/>
      <c r="D2972" s="22">
        <f t="array" ref="D2972">IF($C2972="","",IFERROR(INDEX(DATA_MASTER!$C$2:$C$5000,MATCH($C2972,DATA_MASTER!$D$2:$D$5000,0)),""))</f>
        <v/>
      </c>
      <c r="E2972" s="22">
        <f t="array" ref="E2972">IF($C2972="","",IFERROR(INDEX(DATA_MASTER!$I$2:$I$5000,MATCH($C2972,DATA_MASTER!$D$2:$D$5000,0)),""))</f>
        <v/>
      </c>
      <c r="F2972" s="22">
        <f t="array" ref="F2972">IF($C2972="","",IFERROR(INDEX(DATA_MASTER!$L$2:$L$5000,MATCH($C2972,DATA_MASTER!$D$2:$D$5000,0)),""))</f>
        <v/>
      </c>
      <c r="G2972" s="24" t="n"/>
      <c r="H2972" s="24" t="n"/>
      <c r="I2972" s="30" t="n"/>
      <c r="J2972" s="23">
        <f>IF(OR($H2972="",$I2972=""),"",$H2972*$I2972)</f>
        <v/>
      </c>
      <c r="K2972" s="24" t="n"/>
      <c r="L2972" s="24" t="n"/>
      <c r="M2972" s="29" t="n"/>
      <c r="N2972" s="28" t="n"/>
      <c r="O2972" s="24" t="n"/>
      <c r="P2972" s="24" t="n"/>
      <c r="Q2972" s="24" t="n"/>
      <c r="R2972" s="24" t="n"/>
      <c r="S2972" s="22">
        <f>IF(AND($A2972="",$C2972=""),"",IF($A2972="","Thiếu mã đơn; ","")&amp;IF(COUNTIF($A$2:$A2972,$A2972)&gt;1,"Trùng mã đơn; ","")&amp;IF(ISNA(MATCH($C2972,DATA_MASTER!$D$2:$D$5000,0)),"SĐT chưa đăng ký hội viên; ","")&amp;IF(AND($L2972="Đã chuyển khoản",$M2972=""),"Thiếu ngày nhận CK; ",""))</f>
        <v/>
      </c>
      <c r="T2972" s="24" t="n"/>
    </row>
    <row r="2973" ht="14.25" customHeight="1" s="40">
      <c r="A2973" s="24" t="n"/>
      <c r="B2973" s="29" t="n"/>
      <c r="C2973" s="28" t="n"/>
      <c r="D2973" s="22">
        <f t="array" ref="D2973">IF($C2973="","",IFERROR(INDEX(DATA_MASTER!$C$2:$C$5000,MATCH($C2973,DATA_MASTER!$D$2:$D$5000,0)),""))</f>
        <v/>
      </c>
      <c r="E2973" s="22">
        <f t="array" ref="E2973">IF($C2973="","",IFERROR(INDEX(DATA_MASTER!$I$2:$I$5000,MATCH($C2973,DATA_MASTER!$D$2:$D$5000,0)),""))</f>
        <v/>
      </c>
      <c r="F2973" s="22">
        <f t="array" ref="F2973">IF($C2973="","",IFERROR(INDEX(DATA_MASTER!$L$2:$L$5000,MATCH($C2973,DATA_MASTER!$D$2:$D$5000,0)),""))</f>
        <v/>
      </c>
      <c r="G2973" s="24" t="n"/>
      <c r="H2973" s="24" t="n"/>
      <c r="I2973" s="30" t="n"/>
      <c r="J2973" s="23">
        <f>IF(OR($H2973="",$I2973=""),"",$H2973*$I2973)</f>
        <v/>
      </c>
      <c r="K2973" s="24" t="n"/>
      <c r="L2973" s="24" t="n"/>
      <c r="M2973" s="29" t="n"/>
      <c r="N2973" s="28" t="n"/>
      <c r="O2973" s="24" t="n"/>
      <c r="P2973" s="24" t="n"/>
      <c r="Q2973" s="24" t="n"/>
      <c r="R2973" s="24" t="n"/>
      <c r="S2973" s="22">
        <f>IF(AND($A2973="",$C2973=""),"",IF($A2973="","Thiếu mã đơn; ","")&amp;IF(COUNTIF($A$2:$A2973,$A2973)&gt;1,"Trùng mã đơn; ","")&amp;IF(ISNA(MATCH($C2973,DATA_MASTER!$D$2:$D$5000,0)),"SĐT chưa đăng ký hội viên; ","")&amp;IF(AND($L2973="Đã chuyển khoản",$M2973=""),"Thiếu ngày nhận CK; ",""))</f>
        <v/>
      </c>
      <c r="T2973" s="24" t="n"/>
    </row>
    <row r="2974" ht="14.25" customHeight="1" s="40">
      <c r="A2974" s="24" t="n"/>
      <c r="B2974" s="29" t="n"/>
      <c r="C2974" s="28" t="n"/>
      <c r="D2974" s="22">
        <f t="array" ref="D2974">IF($C2974="","",IFERROR(INDEX(DATA_MASTER!$C$2:$C$5000,MATCH($C2974,DATA_MASTER!$D$2:$D$5000,0)),""))</f>
        <v/>
      </c>
      <c r="E2974" s="22">
        <f t="array" ref="E2974">IF($C2974="","",IFERROR(INDEX(DATA_MASTER!$I$2:$I$5000,MATCH($C2974,DATA_MASTER!$D$2:$D$5000,0)),""))</f>
        <v/>
      </c>
      <c r="F2974" s="22">
        <f t="array" ref="F2974">IF($C2974="","",IFERROR(INDEX(DATA_MASTER!$L$2:$L$5000,MATCH($C2974,DATA_MASTER!$D$2:$D$5000,0)),""))</f>
        <v/>
      </c>
      <c r="G2974" s="24" t="n"/>
      <c r="H2974" s="24" t="n"/>
      <c r="I2974" s="30" t="n"/>
      <c r="J2974" s="23">
        <f>IF(OR($H2974="",$I2974=""),"",$H2974*$I2974)</f>
        <v/>
      </c>
      <c r="K2974" s="24" t="n"/>
      <c r="L2974" s="24" t="n"/>
      <c r="M2974" s="29" t="n"/>
      <c r="N2974" s="28" t="n"/>
      <c r="O2974" s="24" t="n"/>
      <c r="P2974" s="24" t="n"/>
      <c r="Q2974" s="24" t="n"/>
      <c r="R2974" s="24" t="n"/>
      <c r="S2974" s="22">
        <f>IF(AND($A2974="",$C2974=""),"",IF($A2974="","Thiếu mã đơn; ","")&amp;IF(COUNTIF($A$2:$A2974,$A2974)&gt;1,"Trùng mã đơn; ","")&amp;IF(ISNA(MATCH($C2974,DATA_MASTER!$D$2:$D$5000,0)),"SĐT chưa đăng ký hội viên; ","")&amp;IF(AND($L2974="Đã chuyển khoản",$M2974=""),"Thiếu ngày nhận CK; ",""))</f>
        <v/>
      </c>
      <c r="T2974" s="24" t="n"/>
    </row>
    <row r="2975" ht="14.25" customHeight="1" s="40">
      <c r="A2975" s="24" t="n"/>
      <c r="B2975" s="29" t="n"/>
      <c r="C2975" s="28" t="n"/>
      <c r="D2975" s="22">
        <f t="array" ref="D2975">IF($C2975="","",IFERROR(INDEX(DATA_MASTER!$C$2:$C$5000,MATCH($C2975,DATA_MASTER!$D$2:$D$5000,0)),""))</f>
        <v/>
      </c>
      <c r="E2975" s="22">
        <f t="array" ref="E2975">IF($C2975="","",IFERROR(INDEX(DATA_MASTER!$I$2:$I$5000,MATCH($C2975,DATA_MASTER!$D$2:$D$5000,0)),""))</f>
        <v/>
      </c>
      <c r="F2975" s="22">
        <f t="array" ref="F2975">IF($C2975="","",IFERROR(INDEX(DATA_MASTER!$L$2:$L$5000,MATCH($C2975,DATA_MASTER!$D$2:$D$5000,0)),""))</f>
        <v/>
      </c>
      <c r="G2975" s="24" t="n"/>
      <c r="H2975" s="24" t="n"/>
      <c r="I2975" s="30" t="n"/>
      <c r="J2975" s="23">
        <f>IF(OR($H2975="",$I2975=""),"",$H2975*$I2975)</f>
        <v/>
      </c>
      <c r="K2975" s="24" t="n"/>
      <c r="L2975" s="24" t="n"/>
      <c r="M2975" s="29" t="n"/>
      <c r="N2975" s="28" t="n"/>
      <c r="O2975" s="24" t="n"/>
      <c r="P2975" s="24" t="n"/>
      <c r="Q2975" s="24" t="n"/>
      <c r="R2975" s="24" t="n"/>
      <c r="S2975" s="22">
        <f>IF(AND($A2975="",$C2975=""),"",IF($A2975="","Thiếu mã đơn; ","")&amp;IF(COUNTIF($A$2:$A2975,$A2975)&gt;1,"Trùng mã đơn; ","")&amp;IF(ISNA(MATCH($C2975,DATA_MASTER!$D$2:$D$5000,0)),"SĐT chưa đăng ký hội viên; ","")&amp;IF(AND($L2975="Đã chuyển khoản",$M2975=""),"Thiếu ngày nhận CK; ",""))</f>
        <v/>
      </c>
      <c r="T2975" s="24" t="n"/>
    </row>
    <row r="2976" ht="14.25" customHeight="1" s="40">
      <c r="A2976" s="24" t="n"/>
      <c r="B2976" s="29" t="n"/>
      <c r="C2976" s="28" t="n"/>
      <c r="D2976" s="22">
        <f t="array" ref="D2976">IF($C2976="","",IFERROR(INDEX(DATA_MASTER!$C$2:$C$5000,MATCH($C2976,DATA_MASTER!$D$2:$D$5000,0)),""))</f>
        <v/>
      </c>
      <c r="E2976" s="22">
        <f t="array" ref="E2976">IF($C2976="","",IFERROR(INDEX(DATA_MASTER!$I$2:$I$5000,MATCH($C2976,DATA_MASTER!$D$2:$D$5000,0)),""))</f>
        <v/>
      </c>
      <c r="F2976" s="22">
        <f t="array" ref="F2976">IF($C2976="","",IFERROR(INDEX(DATA_MASTER!$L$2:$L$5000,MATCH($C2976,DATA_MASTER!$D$2:$D$5000,0)),""))</f>
        <v/>
      </c>
      <c r="G2976" s="24" t="n"/>
      <c r="H2976" s="24" t="n"/>
      <c r="I2976" s="30" t="n"/>
      <c r="J2976" s="23">
        <f>IF(OR($H2976="",$I2976=""),"",$H2976*$I2976)</f>
        <v/>
      </c>
      <c r="K2976" s="24" t="n"/>
      <c r="L2976" s="24" t="n"/>
      <c r="M2976" s="29" t="n"/>
      <c r="N2976" s="28" t="n"/>
      <c r="O2976" s="24" t="n"/>
      <c r="P2976" s="24" t="n"/>
      <c r="Q2976" s="24" t="n"/>
      <c r="R2976" s="24" t="n"/>
      <c r="S2976" s="22">
        <f>IF(AND($A2976="",$C2976=""),"",IF($A2976="","Thiếu mã đơn; ","")&amp;IF(COUNTIF($A$2:$A2976,$A2976)&gt;1,"Trùng mã đơn; ","")&amp;IF(ISNA(MATCH($C2976,DATA_MASTER!$D$2:$D$5000,0)),"SĐT chưa đăng ký hội viên; ","")&amp;IF(AND($L2976="Đã chuyển khoản",$M2976=""),"Thiếu ngày nhận CK; ",""))</f>
        <v/>
      </c>
      <c r="T2976" s="24" t="n"/>
    </row>
    <row r="2977" ht="14.25" customHeight="1" s="40">
      <c r="A2977" s="24" t="n"/>
      <c r="B2977" s="29" t="n"/>
      <c r="C2977" s="28" t="n"/>
      <c r="D2977" s="22">
        <f t="array" ref="D2977">IF($C2977="","",IFERROR(INDEX(DATA_MASTER!$C$2:$C$5000,MATCH($C2977,DATA_MASTER!$D$2:$D$5000,0)),""))</f>
        <v/>
      </c>
      <c r="E2977" s="22">
        <f t="array" ref="E2977">IF($C2977="","",IFERROR(INDEX(DATA_MASTER!$I$2:$I$5000,MATCH($C2977,DATA_MASTER!$D$2:$D$5000,0)),""))</f>
        <v/>
      </c>
      <c r="F2977" s="22">
        <f t="array" ref="F2977">IF($C2977="","",IFERROR(INDEX(DATA_MASTER!$L$2:$L$5000,MATCH($C2977,DATA_MASTER!$D$2:$D$5000,0)),""))</f>
        <v/>
      </c>
      <c r="G2977" s="24" t="n"/>
      <c r="H2977" s="24" t="n"/>
      <c r="I2977" s="30" t="n"/>
      <c r="J2977" s="23">
        <f>IF(OR($H2977="",$I2977=""),"",$H2977*$I2977)</f>
        <v/>
      </c>
      <c r="K2977" s="24" t="n"/>
      <c r="L2977" s="24" t="n"/>
      <c r="M2977" s="29" t="n"/>
      <c r="N2977" s="28" t="n"/>
      <c r="O2977" s="24" t="n"/>
      <c r="P2977" s="24" t="n"/>
      <c r="Q2977" s="24" t="n"/>
      <c r="R2977" s="24" t="n"/>
      <c r="S2977" s="22">
        <f>IF(AND($A2977="",$C2977=""),"",IF($A2977="","Thiếu mã đơn; ","")&amp;IF(COUNTIF($A$2:$A2977,$A2977)&gt;1,"Trùng mã đơn; ","")&amp;IF(ISNA(MATCH($C2977,DATA_MASTER!$D$2:$D$5000,0)),"SĐT chưa đăng ký hội viên; ","")&amp;IF(AND($L2977="Đã chuyển khoản",$M2977=""),"Thiếu ngày nhận CK; ",""))</f>
        <v/>
      </c>
      <c r="T2977" s="24" t="n"/>
    </row>
    <row r="2978" ht="14.25" customHeight="1" s="40">
      <c r="A2978" s="24" t="n"/>
      <c r="B2978" s="29" t="n"/>
      <c r="C2978" s="28" t="n"/>
      <c r="D2978" s="22">
        <f t="array" ref="D2978">IF($C2978="","",IFERROR(INDEX(DATA_MASTER!$C$2:$C$5000,MATCH($C2978,DATA_MASTER!$D$2:$D$5000,0)),""))</f>
        <v/>
      </c>
      <c r="E2978" s="22">
        <f t="array" ref="E2978">IF($C2978="","",IFERROR(INDEX(DATA_MASTER!$I$2:$I$5000,MATCH($C2978,DATA_MASTER!$D$2:$D$5000,0)),""))</f>
        <v/>
      </c>
      <c r="F2978" s="22">
        <f t="array" ref="F2978">IF($C2978="","",IFERROR(INDEX(DATA_MASTER!$L$2:$L$5000,MATCH($C2978,DATA_MASTER!$D$2:$D$5000,0)),""))</f>
        <v/>
      </c>
      <c r="G2978" s="24" t="n"/>
      <c r="H2978" s="24" t="n"/>
      <c r="I2978" s="30" t="n"/>
      <c r="J2978" s="23">
        <f>IF(OR($H2978="",$I2978=""),"",$H2978*$I2978)</f>
        <v/>
      </c>
      <c r="K2978" s="24" t="n"/>
      <c r="L2978" s="24" t="n"/>
      <c r="M2978" s="29" t="n"/>
      <c r="N2978" s="28" t="n"/>
      <c r="O2978" s="24" t="n"/>
      <c r="P2978" s="24" t="n"/>
      <c r="Q2978" s="24" t="n"/>
      <c r="R2978" s="24" t="n"/>
      <c r="S2978" s="22">
        <f>IF(AND($A2978="",$C2978=""),"",IF($A2978="","Thiếu mã đơn; ","")&amp;IF(COUNTIF($A$2:$A2978,$A2978)&gt;1,"Trùng mã đơn; ","")&amp;IF(ISNA(MATCH($C2978,DATA_MASTER!$D$2:$D$5000,0)),"SĐT chưa đăng ký hội viên; ","")&amp;IF(AND($L2978="Đã chuyển khoản",$M2978=""),"Thiếu ngày nhận CK; ",""))</f>
        <v/>
      </c>
      <c r="T2978" s="24" t="n"/>
    </row>
    <row r="2979" ht="14.25" customHeight="1" s="40">
      <c r="A2979" s="24" t="n"/>
      <c r="B2979" s="29" t="n"/>
      <c r="C2979" s="28" t="n"/>
      <c r="D2979" s="22">
        <f t="array" ref="D2979">IF($C2979="","",IFERROR(INDEX(DATA_MASTER!$C$2:$C$5000,MATCH($C2979,DATA_MASTER!$D$2:$D$5000,0)),""))</f>
        <v/>
      </c>
      <c r="E2979" s="22">
        <f t="array" ref="E2979">IF($C2979="","",IFERROR(INDEX(DATA_MASTER!$I$2:$I$5000,MATCH($C2979,DATA_MASTER!$D$2:$D$5000,0)),""))</f>
        <v/>
      </c>
      <c r="F2979" s="22">
        <f t="array" ref="F2979">IF($C2979="","",IFERROR(INDEX(DATA_MASTER!$L$2:$L$5000,MATCH($C2979,DATA_MASTER!$D$2:$D$5000,0)),""))</f>
        <v/>
      </c>
      <c r="G2979" s="24" t="n"/>
      <c r="H2979" s="24" t="n"/>
      <c r="I2979" s="30" t="n"/>
      <c r="J2979" s="23">
        <f>IF(OR($H2979="",$I2979=""),"",$H2979*$I2979)</f>
        <v/>
      </c>
      <c r="K2979" s="24" t="n"/>
      <c r="L2979" s="24" t="n"/>
      <c r="M2979" s="29" t="n"/>
      <c r="N2979" s="28" t="n"/>
      <c r="O2979" s="24" t="n"/>
      <c r="P2979" s="24" t="n"/>
      <c r="Q2979" s="24" t="n"/>
      <c r="R2979" s="24" t="n"/>
      <c r="S2979" s="22">
        <f>IF(AND($A2979="",$C2979=""),"",IF($A2979="","Thiếu mã đơn; ","")&amp;IF(COUNTIF($A$2:$A2979,$A2979)&gt;1,"Trùng mã đơn; ","")&amp;IF(ISNA(MATCH($C2979,DATA_MASTER!$D$2:$D$5000,0)),"SĐT chưa đăng ký hội viên; ","")&amp;IF(AND($L2979="Đã chuyển khoản",$M2979=""),"Thiếu ngày nhận CK; ",""))</f>
        <v/>
      </c>
      <c r="T2979" s="24" t="n"/>
    </row>
    <row r="2980" ht="14.25" customHeight="1" s="40">
      <c r="A2980" s="24" t="n"/>
      <c r="B2980" s="29" t="n"/>
      <c r="C2980" s="28" t="n"/>
      <c r="D2980" s="22">
        <f t="array" ref="D2980">IF($C2980="","",IFERROR(INDEX(DATA_MASTER!$C$2:$C$5000,MATCH($C2980,DATA_MASTER!$D$2:$D$5000,0)),""))</f>
        <v/>
      </c>
      <c r="E2980" s="22">
        <f t="array" ref="E2980">IF($C2980="","",IFERROR(INDEX(DATA_MASTER!$I$2:$I$5000,MATCH($C2980,DATA_MASTER!$D$2:$D$5000,0)),""))</f>
        <v/>
      </c>
      <c r="F2980" s="22">
        <f t="array" ref="F2980">IF($C2980="","",IFERROR(INDEX(DATA_MASTER!$L$2:$L$5000,MATCH($C2980,DATA_MASTER!$D$2:$D$5000,0)),""))</f>
        <v/>
      </c>
      <c r="G2980" s="24" t="n"/>
      <c r="H2980" s="24" t="n"/>
      <c r="I2980" s="30" t="n"/>
      <c r="J2980" s="23">
        <f>IF(OR($H2980="",$I2980=""),"",$H2980*$I2980)</f>
        <v/>
      </c>
      <c r="K2980" s="24" t="n"/>
      <c r="L2980" s="24" t="n"/>
      <c r="M2980" s="29" t="n"/>
      <c r="N2980" s="28" t="n"/>
      <c r="O2980" s="24" t="n"/>
      <c r="P2980" s="24" t="n"/>
      <c r="Q2980" s="24" t="n"/>
      <c r="R2980" s="24" t="n"/>
      <c r="S2980" s="22">
        <f>IF(AND($A2980="",$C2980=""),"",IF($A2980="","Thiếu mã đơn; ","")&amp;IF(COUNTIF($A$2:$A2980,$A2980)&gt;1,"Trùng mã đơn; ","")&amp;IF(ISNA(MATCH($C2980,DATA_MASTER!$D$2:$D$5000,0)),"SĐT chưa đăng ký hội viên; ","")&amp;IF(AND($L2980="Đã chuyển khoản",$M2980=""),"Thiếu ngày nhận CK; ",""))</f>
        <v/>
      </c>
      <c r="T2980" s="24" t="n"/>
    </row>
    <row r="2981" ht="14.25" customHeight="1" s="40">
      <c r="A2981" s="24" t="n"/>
      <c r="B2981" s="29" t="n"/>
      <c r="C2981" s="28" t="n"/>
      <c r="D2981" s="22">
        <f t="array" ref="D2981">IF($C2981="","",IFERROR(INDEX(DATA_MASTER!$C$2:$C$5000,MATCH($C2981,DATA_MASTER!$D$2:$D$5000,0)),""))</f>
        <v/>
      </c>
      <c r="E2981" s="22">
        <f t="array" ref="E2981">IF($C2981="","",IFERROR(INDEX(DATA_MASTER!$I$2:$I$5000,MATCH($C2981,DATA_MASTER!$D$2:$D$5000,0)),""))</f>
        <v/>
      </c>
      <c r="F2981" s="22">
        <f t="array" ref="F2981">IF($C2981="","",IFERROR(INDEX(DATA_MASTER!$L$2:$L$5000,MATCH($C2981,DATA_MASTER!$D$2:$D$5000,0)),""))</f>
        <v/>
      </c>
      <c r="G2981" s="24" t="n"/>
      <c r="H2981" s="24" t="n"/>
      <c r="I2981" s="30" t="n"/>
      <c r="J2981" s="23">
        <f>IF(OR($H2981="",$I2981=""),"",$H2981*$I2981)</f>
        <v/>
      </c>
      <c r="K2981" s="24" t="n"/>
      <c r="L2981" s="24" t="n"/>
      <c r="M2981" s="29" t="n"/>
      <c r="N2981" s="28" t="n"/>
      <c r="O2981" s="24" t="n"/>
      <c r="P2981" s="24" t="n"/>
      <c r="Q2981" s="24" t="n"/>
      <c r="R2981" s="24" t="n"/>
      <c r="S2981" s="22">
        <f>IF(AND($A2981="",$C2981=""),"",IF($A2981="","Thiếu mã đơn; ","")&amp;IF(COUNTIF($A$2:$A2981,$A2981)&gt;1,"Trùng mã đơn; ","")&amp;IF(ISNA(MATCH($C2981,DATA_MASTER!$D$2:$D$5000,0)),"SĐT chưa đăng ký hội viên; ","")&amp;IF(AND($L2981="Đã chuyển khoản",$M2981=""),"Thiếu ngày nhận CK; ",""))</f>
        <v/>
      </c>
      <c r="T2981" s="24" t="n"/>
    </row>
    <row r="2982" ht="14.25" customHeight="1" s="40">
      <c r="A2982" s="24" t="n"/>
      <c r="B2982" s="29" t="n"/>
      <c r="C2982" s="28" t="n"/>
      <c r="D2982" s="22">
        <f t="array" ref="D2982">IF($C2982="","",IFERROR(INDEX(DATA_MASTER!$C$2:$C$5000,MATCH($C2982,DATA_MASTER!$D$2:$D$5000,0)),""))</f>
        <v/>
      </c>
      <c r="E2982" s="22">
        <f t="array" ref="E2982">IF($C2982="","",IFERROR(INDEX(DATA_MASTER!$I$2:$I$5000,MATCH($C2982,DATA_MASTER!$D$2:$D$5000,0)),""))</f>
        <v/>
      </c>
      <c r="F2982" s="22">
        <f t="array" ref="F2982">IF($C2982="","",IFERROR(INDEX(DATA_MASTER!$L$2:$L$5000,MATCH($C2982,DATA_MASTER!$D$2:$D$5000,0)),""))</f>
        <v/>
      </c>
      <c r="G2982" s="24" t="n"/>
      <c r="H2982" s="24" t="n"/>
      <c r="I2982" s="30" t="n"/>
      <c r="J2982" s="23">
        <f>IF(OR($H2982="",$I2982=""),"",$H2982*$I2982)</f>
        <v/>
      </c>
      <c r="K2982" s="24" t="n"/>
      <c r="L2982" s="24" t="n"/>
      <c r="M2982" s="29" t="n"/>
      <c r="N2982" s="28" t="n"/>
      <c r="O2982" s="24" t="n"/>
      <c r="P2982" s="24" t="n"/>
      <c r="Q2982" s="24" t="n"/>
      <c r="R2982" s="24" t="n"/>
      <c r="S2982" s="22">
        <f>IF(AND($A2982="",$C2982=""),"",IF($A2982="","Thiếu mã đơn; ","")&amp;IF(COUNTIF($A$2:$A2982,$A2982)&gt;1,"Trùng mã đơn; ","")&amp;IF(ISNA(MATCH($C2982,DATA_MASTER!$D$2:$D$5000,0)),"SĐT chưa đăng ký hội viên; ","")&amp;IF(AND($L2982="Đã chuyển khoản",$M2982=""),"Thiếu ngày nhận CK; ",""))</f>
        <v/>
      </c>
      <c r="T2982" s="24" t="n"/>
    </row>
    <row r="2983" ht="14.25" customHeight="1" s="40">
      <c r="A2983" s="24" t="n"/>
      <c r="B2983" s="29" t="n"/>
      <c r="C2983" s="28" t="n"/>
      <c r="D2983" s="22">
        <f t="array" ref="D2983">IF($C2983="","",IFERROR(INDEX(DATA_MASTER!$C$2:$C$5000,MATCH($C2983,DATA_MASTER!$D$2:$D$5000,0)),""))</f>
        <v/>
      </c>
      <c r="E2983" s="22">
        <f t="array" ref="E2983">IF($C2983="","",IFERROR(INDEX(DATA_MASTER!$I$2:$I$5000,MATCH($C2983,DATA_MASTER!$D$2:$D$5000,0)),""))</f>
        <v/>
      </c>
      <c r="F2983" s="22">
        <f t="array" ref="F2983">IF($C2983="","",IFERROR(INDEX(DATA_MASTER!$L$2:$L$5000,MATCH($C2983,DATA_MASTER!$D$2:$D$5000,0)),""))</f>
        <v/>
      </c>
      <c r="G2983" s="24" t="n"/>
      <c r="H2983" s="24" t="n"/>
      <c r="I2983" s="30" t="n"/>
      <c r="J2983" s="23">
        <f>IF(OR($H2983="",$I2983=""),"",$H2983*$I2983)</f>
        <v/>
      </c>
      <c r="K2983" s="24" t="n"/>
      <c r="L2983" s="24" t="n"/>
      <c r="M2983" s="29" t="n"/>
      <c r="N2983" s="28" t="n"/>
      <c r="O2983" s="24" t="n"/>
      <c r="P2983" s="24" t="n"/>
      <c r="Q2983" s="24" t="n"/>
      <c r="R2983" s="24" t="n"/>
      <c r="S2983" s="22">
        <f>IF(AND($A2983="",$C2983=""),"",IF($A2983="","Thiếu mã đơn; ","")&amp;IF(COUNTIF($A$2:$A2983,$A2983)&gt;1,"Trùng mã đơn; ","")&amp;IF(ISNA(MATCH($C2983,DATA_MASTER!$D$2:$D$5000,0)),"SĐT chưa đăng ký hội viên; ","")&amp;IF(AND($L2983="Đã chuyển khoản",$M2983=""),"Thiếu ngày nhận CK; ",""))</f>
        <v/>
      </c>
      <c r="T2983" s="24" t="n"/>
    </row>
    <row r="2984" ht="14.25" customHeight="1" s="40">
      <c r="A2984" s="24" t="n"/>
      <c r="B2984" s="29" t="n"/>
      <c r="C2984" s="28" t="n"/>
      <c r="D2984" s="22">
        <f t="array" ref="D2984">IF($C2984="","",IFERROR(INDEX(DATA_MASTER!$C$2:$C$5000,MATCH($C2984,DATA_MASTER!$D$2:$D$5000,0)),""))</f>
        <v/>
      </c>
      <c r="E2984" s="22">
        <f t="array" ref="E2984">IF($C2984="","",IFERROR(INDEX(DATA_MASTER!$I$2:$I$5000,MATCH($C2984,DATA_MASTER!$D$2:$D$5000,0)),""))</f>
        <v/>
      </c>
      <c r="F2984" s="22">
        <f t="array" ref="F2984">IF($C2984="","",IFERROR(INDEX(DATA_MASTER!$L$2:$L$5000,MATCH($C2984,DATA_MASTER!$D$2:$D$5000,0)),""))</f>
        <v/>
      </c>
      <c r="G2984" s="24" t="n"/>
      <c r="H2984" s="24" t="n"/>
      <c r="I2984" s="30" t="n"/>
      <c r="J2984" s="23">
        <f>IF(OR($H2984="",$I2984=""),"",$H2984*$I2984)</f>
        <v/>
      </c>
      <c r="K2984" s="24" t="n"/>
      <c r="L2984" s="24" t="n"/>
      <c r="M2984" s="29" t="n"/>
      <c r="N2984" s="28" t="n"/>
      <c r="O2984" s="24" t="n"/>
      <c r="P2984" s="24" t="n"/>
      <c r="Q2984" s="24" t="n"/>
      <c r="R2984" s="24" t="n"/>
      <c r="S2984" s="22">
        <f>IF(AND($A2984="",$C2984=""),"",IF($A2984="","Thiếu mã đơn; ","")&amp;IF(COUNTIF($A$2:$A2984,$A2984)&gt;1,"Trùng mã đơn; ","")&amp;IF(ISNA(MATCH($C2984,DATA_MASTER!$D$2:$D$5000,0)),"SĐT chưa đăng ký hội viên; ","")&amp;IF(AND($L2984="Đã chuyển khoản",$M2984=""),"Thiếu ngày nhận CK; ",""))</f>
        <v/>
      </c>
      <c r="T2984" s="24" t="n"/>
    </row>
    <row r="2985" ht="14.25" customHeight="1" s="40">
      <c r="A2985" s="24" t="n"/>
      <c r="B2985" s="29" t="n"/>
      <c r="C2985" s="28" t="n"/>
      <c r="D2985" s="22">
        <f t="array" ref="D2985">IF($C2985="","",IFERROR(INDEX(DATA_MASTER!$C$2:$C$5000,MATCH($C2985,DATA_MASTER!$D$2:$D$5000,0)),""))</f>
        <v/>
      </c>
      <c r="E2985" s="22">
        <f t="array" ref="E2985">IF($C2985="","",IFERROR(INDEX(DATA_MASTER!$I$2:$I$5000,MATCH($C2985,DATA_MASTER!$D$2:$D$5000,0)),""))</f>
        <v/>
      </c>
      <c r="F2985" s="22">
        <f t="array" ref="F2985">IF($C2985="","",IFERROR(INDEX(DATA_MASTER!$L$2:$L$5000,MATCH($C2985,DATA_MASTER!$D$2:$D$5000,0)),""))</f>
        <v/>
      </c>
      <c r="G2985" s="24" t="n"/>
      <c r="H2985" s="24" t="n"/>
      <c r="I2985" s="30" t="n"/>
      <c r="J2985" s="23">
        <f>IF(OR($H2985="",$I2985=""),"",$H2985*$I2985)</f>
        <v/>
      </c>
      <c r="K2985" s="24" t="n"/>
      <c r="L2985" s="24" t="n"/>
      <c r="M2985" s="29" t="n"/>
      <c r="N2985" s="28" t="n"/>
      <c r="O2985" s="24" t="n"/>
      <c r="P2985" s="24" t="n"/>
      <c r="Q2985" s="24" t="n"/>
      <c r="R2985" s="24" t="n"/>
      <c r="S2985" s="22">
        <f>IF(AND($A2985="",$C2985=""),"",IF($A2985="","Thiếu mã đơn; ","")&amp;IF(COUNTIF($A$2:$A2985,$A2985)&gt;1,"Trùng mã đơn; ","")&amp;IF(ISNA(MATCH($C2985,DATA_MASTER!$D$2:$D$5000,0)),"SĐT chưa đăng ký hội viên; ","")&amp;IF(AND($L2985="Đã chuyển khoản",$M2985=""),"Thiếu ngày nhận CK; ",""))</f>
        <v/>
      </c>
      <c r="T2985" s="24" t="n"/>
    </row>
    <row r="2986" ht="14.25" customHeight="1" s="40">
      <c r="A2986" s="24" t="n"/>
      <c r="B2986" s="29" t="n"/>
      <c r="C2986" s="28" t="n"/>
      <c r="D2986" s="22">
        <f t="array" ref="D2986">IF($C2986="","",IFERROR(INDEX(DATA_MASTER!$C$2:$C$5000,MATCH($C2986,DATA_MASTER!$D$2:$D$5000,0)),""))</f>
        <v/>
      </c>
      <c r="E2986" s="22">
        <f t="array" ref="E2986">IF($C2986="","",IFERROR(INDEX(DATA_MASTER!$I$2:$I$5000,MATCH($C2986,DATA_MASTER!$D$2:$D$5000,0)),""))</f>
        <v/>
      </c>
      <c r="F2986" s="22">
        <f t="array" ref="F2986">IF($C2986="","",IFERROR(INDEX(DATA_MASTER!$L$2:$L$5000,MATCH($C2986,DATA_MASTER!$D$2:$D$5000,0)),""))</f>
        <v/>
      </c>
      <c r="G2986" s="24" t="n"/>
      <c r="H2986" s="24" t="n"/>
      <c r="I2986" s="30" t="n"/>
      <c r="J2986" s="23">
        <f>IF(OR($H2986="",$I2986=""),"",$H2986*$I2986)</f>
        <v/>
      </c>
      <c r="K2986" s="24" t="n"/>
      <c r="L2986" s="24" t="n"/>
      <c r="M2986" s="29" t="n"/>
      <c r="N2986" s="28" t="n"/>
      <c r="O2986" s="24" t="n"/>
      <c r="P2986" s="24" t="n"/>
      <c r="Q2986" s="24" t="n"/>
      <c r="R2986" s="24" t="n"/>
      <c r="S2986" s="22">
        <f>IF(AND($A2986="",$C2986=""),"",IF($A2986="","Thiếu mã đơn; ","")&amp;IF(COUNTIF($A$2:$A2986,$A2986)&gt;1,"Trùng mã đơn; ","")&amp;IF(ISNA(MATCH($C2986,DATA_MASTER!$D$2:$D$5000,0)),"SĐT chưa đăng ký hội viên; ","")&amp;IF(AND($L2986="Đã chuyển khoản",$M2986=""),"Thiếu ngày nhận CK; ",""))</f>
        <v/>
      </c>
      <c r="T2986" s="24" t="n"/>
    </row>
    <row r="2987" ht="14.25" customHeight="1" s="40">
      <c r="A2987" s="24" t="n"/>
      <c r="B2987" s="29" t="n"/>
      <c r="C2987" s="28" t="n"/>
      <c r="D2987" s="22">
        <f t="array" ref="D2987">IF($C2987="","",IFERROR(INDEX(DATA_MASTER!$C$2:$C$5000,MATCH($C2987,DATA_MASTER!$D$2:$D$5000,0)),""))</f>
        <v/>
      </c>
      <c r="E2987" s="22">
        <f t="array" ref="E2987">IF($C2987="","",IFERROR(INDEX(DATA_MASTER!$I$2:$I$5000,MATCH($C2987,DATA_MASTER!$D$2:$D$5000,0)),""))</f>
        <v/>
      </c>
      <c r="F2987" s="22">
        <f t="array" ref="F2987">IF($C2987="","",IFERROR(INDEX(DATA_MASTER!$L$2:$L$5000,MATCH($C2987,DATA_MASTER!$D$2:$D$5000,0)),""))</f>
        <v/>
      </c>
      <c r="G2987" s="24" t="n"/>
      <c r="H2987" s="24" t="n"/>
      <c r="I2987" s="30" t="n"/>
      <c r="J2987" s="23">
        <f>IF(OR($H2987="",$I2987=""),"",$H2987*$I2987)</f>
        <v/>
      </c>
      <c r="K2987" s="24" t="n"/>
      <c r="L2987" s="24" t="n"/>
      <c r="M2987" s="29" t="n"/>
      <c r="N2987" s="28" t="n"/>
      <c r="O2987" s="24" t="n"/>
      <c r="P2987" s="24" t="n"/>
      <c r="Q2987" s="24" t="n"/>
      <c r="R2987" s="24" t="n"/>
      <c r="S2987" s="22">
        <f>IF(AND($A2987="",$C2987=""),"",IF($A2987="","Thiếu mã đơn; ","")&amp;IF(COUNTIF($A$2:$A2987,$A2987)&gt;1,"Trùng mã đơn; ","")&amp;IF(ISNA(MATCH($C2987,DATA_MASTER!$D$2:$D$5000,0)),"SĐT chưa đăng ký hội viên; ","")&amp;IF(AND($L2987="Đã chuyển khoản",$M2987=""),"Thiếu ngày nhận CK; ",""))</f>
        <v/>
      </c>
      <c r="T2987" s="24" t="n"/>
    </row>
    <row r="2988" ht="14.25" customHeight="1" s="40">
      <c r="A2988" s="24" t="n"/>
      <c r="B2988" s="29" t="n"/>
      <c r="C2988" s="28" t="n"/>
      <c r="D2988" s="22">
        <f t="array" ref="D2988">IF($C2988="","",IFERROR(INDEX(DATA_MASTER!$C$2:$C$5000,MATCH($C2988,DATA_MASTER!$D$2:$D$5000,0)),""))</f>
        <v/>
      </c>
      <c r="E2988" s="22">
        <f t="array" ref="E2988">IF($C2988="","",IFERROR(INDEX(DATA_MASTER!$I$2:$I$5000,MATCH($C2988,DATA_MASTER!$D$2:$D$5000,0)),""))</f>
        <v/>
      </c>
      <c r="F2988" s="22">
        <f t="array" ref="F2988">IF($C2988="","",IFERROR(INDEX(DATA_MASTER!$L$2:$L$5000,MATCH($C2988,DATA_MASTER!$D$2:$D$5000,0)),""))</f>
        <v/>
      </c>
      <c r="G2988" s="24" t="n"/>
      <c r="H2988" s="24" t="n"/>
      <c r="I2988" s="30" t="n"/>
      <c r="J2988" s="23">
        <f>IF(OR($H2988="",$I2988=""),"",$H2988*$I2988)</f>
        <v/>
      </c>
      <c r="K2988" s="24" t="n"/>
      <c r="L2988" s="24" t="n"/>
      <c r="M2988" s="29" t="n"/>
      <c r="N2988" s="28" t="n"/>
      <c r="O2988" s="24" t="n"/>
      <c r="P2988" s="24" t="n"/>
      <c r="Q2988" s="24" t="n"/>
      <c r="R2988" s="24" t="n"/>
      <c r="S2988" s="22">
        <f>IF(AND($A2988="",$C2988=""),"",IF($A2988="","Thiếu mã đơn; ","")&amp;IF(COUNTIF($A$2:$A2988,$A2988)&gt;1,"Trùng mã đơn; ","")&amp;IF(ISNA(MATCH($C2988,DATA_MASTER!$D$2:$D$5000,0)),"SĐT chưa đăng ký hội viên; ","")&amp;IF(AND($L2988="Đã chuyển khoản",$M2988=""),"Thiếu ngày nhận CK; ",""))</f>
        <v/>
      </c>
      <c r="T2988" s="24" t="n"/>
    </row>
    <row r="2989" ht="14.25" customHeight="1" s="40">
      <c r="A2989" s="24" t="n"/>
      <c r="B2989" s="29" t="n"/>
      <c r="C2989" s="28" t="n"/>
      <c r="D2989" s="22">
        <f t="array" ref="D2989">IF($C2989="","",IFERROR(INDEX(DATA_MASTER!$C$2:$C$5000,MATCH($C2989,DATA_MASTER!$D$2:$D$5000,0)),""))</f>
        <v/>
      </c>
      <c r="E2989" s="22">
        <f t="array" ref="E2989">IF($C2989="","",IFERROR(INDEX(DATA_MASTER!$I$2:$I$5000,MATCH($C2989,DATA_MASTER!$D$2:$D$5000,0)),""))</f>
        <v/>
      </c>
      <c r="F2989" s="22">
        <f t="array" ref="F2989">IF($C2989="","",IFERROR(INDEX(DATA_MASTER!$L$2:$L$5000,MATCH($C2989,DATA_MASTER!$D$2:$D$5000,0)),""))</f>
        <v/>
      </c>
      <c r="G2989" s="24" t="n"/>
      <c r="H2989" s="24" t="n"/>
      <c r="I2989" s="30" t="n"/>
      <c r="J2989" s="23">
        <f>IF(OR($H2989="",$I2989=""),"",$H2989*$I2989)</f>
        <v/>
      </c>
      <c r="K2989" s="24" t="n"/>
      <c r="L2989" s="24" t="n"/>
      <c r="M2989" s="29" t="n"/>
      <c r="N2989" s="28" t="n"/>
      <c r="O2989" s="24" t="n"/>
      <c r="P2989" s="24" t="n"/>
      <c r="Q2989" s="24" t="n"/>
      <c r="R2989" s="24" t="n"/>
      <c r="S2989" s="22">
        <f>IF(AND($A2989="",$C2989=""),"",IF($A2989="","Thiếu mã đơn; ","")&amp;IF(COUNTIF($A$2:$A2989,$A2989)&gt;1,"Trùng mã đơn; ","")&amp;IF(ISNA(MATCH($C2989,DATA_MASTER!$D$2:$D$5000,0)),"SĐT chưa đăng ký hội viên; ","")&amp;IF(AND($L2989="Đã chuyển khoản",$M2989=""),"Thiếu ngày nhận CK; ",""))</f>
        <v/>
      </c>
      <c r="T2989" s="24" t="n"/>
    </row>
    <row r="2990" ht="14.25" customHeight="1" s="40">
      <c r="A2990" s="24" t="n"/>
      <c r="B2990" s="29" t="n"/>
      <c r="C2990" s="28" t="n"/>
      <c r="D2990" s="22">
        <f t="array" ref="D2990">IF($C2990="","",IFERROR(INDEX(DATA_MASTER!$C$2:$C$5000,MATCH($C2990,DATA_MASTER!$D$2:$D$5000,0)),""))</f>
        <v/>
      </c>
      <c r="E2990" s="22">
        <f t="array" ref="E2990">IF($C2990="","",IFERROR(INDEX(DATA_MASTER!$I$2:$I$5000,MATCH($C2990,DATA_MASTER!$D$2:$D$5000,0)),""))</f>
        <v/>
      </c>
      <c r="F2990" s="22">
        <f t="array" ref="F2990">IF($C2990="","",IFERROR(INDEX(DATA_MASTER!$L$2:$L$5000,MATCH($C2990,DATA_MASTER!$D$2:$D$5000,0)),""))</f>
        <v/>
      </c>
      <c r="G2990" s="24" t="n"/>
      <c r="H2990" s="24" t="n"/>
      <c r="I2990" s="30" t="n"/>
      <c r="J2990" s="23">
        <f>IF(OR($H2990="",$I2990=""),"",$H2990*$I2990)</f>
        <v/>
      </c>
      <c r="K2990" s="24" t="n"/>
      <c r="L2990" s="24" t="n"/>
      <c r="M2990" s="29" t="n"/>
      <c r="N2990" s="28" t="n"/>
      <c r="O2990" s="24" t="n"/>
      <c r="P2990" s="24" t="n"/>
      <c r="Q2990" s="24" t="n"/>
      <c r="R2990" s="24" t="n"/>
      <c r="S2990" s="22">
        <f>IF(AND($A2990="",$C2990=""),"",IF($A2990="","Thiếu mã đơn; ","")&amp;IF(COUNTIF($A$2:$A2990,$A2990)&gt;1,"Trùng mã đơn; ","")&amp;IF(ISNA(MATCH($C2990,DATA_MASTER!$D$2:$D$5000,0)),"SĐT chưa đăng ký hội viên; ","")&amp;IF(AND($L2990="Đã chuyển khoản",$M2990=""),"Thiếu ngày nhận CK; ",""))</f>
        <v/>
      </c>
      <c r="T2990" s="24" t="n"/>
    </row>
    <row r="2991" ht="14.25" customHeight="1" s="40">
      <c r="A2991" s="24" t="n"/>
      <c r="B2991" s="29" t="n"/>
      <c r="C2991" s="28" t="n"/>
      <c r="D2991" s="22">
        <f t="array" ref="D2991">IF($C2991="","",IFERROR(INDEX(DATA_MASTER!$C$2:$C$5000,MATCH($C2991,DATA_MASTER!$D$2:$D$5000,0)),""))</f>
        <v/>
      </c>
      <c r="E2991" s="22">
        <f t="array" ref="E2991">IF($C2991="","",IFERROR(INDEX(DATA_MASTER!$I$2:$I$5000,MATCH($C2991,DATA_MASTER!$D$2:$D$5000,0)),""))</f>
        <v/>
      </c>
      <c r="F2991" s="22">
        <f t="array" ref="F2991">IF($C2991="","",IFERROR(INDEX(DATA_MASTER!$L$2:$L$5000,MATCH($C2991,DATA_MASTER!$D$2:$D$5000,0)),""))</f>
        <v/>
      </c>
      <c r="G2991" s="24" t="n"/>
      <c r="H2991" s="24" t="n"/>
      <c r="I2991" s="30" t="n"/>
      <c r="J2991" s="23">
        <f>IF(OR($H2991="",$I2991=""),"",$H2991*$I2991)</f>
        <v/>
      </c>
      <c r="K2991" s="24" t="n"/>
      <c r="L2991" s="24" t="n"/>
      <c r="M2991" s="29" t="n"/>
      <c r="N2991" s="28" t="n"/>
      <c r="O2991" s="24" t="n"/>
      <c r="P2991" s="24" t="n"/>
      <c r="Q2991" s="24" t="n"/>
      <c r="R2991" s="24" t="n"/>
      <c r="S2991" s="22">
        <f>IF(AND($A2991="",$C2991=""),"",IF($A2991="","Thiếu mã đơn; ","")&amp;IF(COUNTIF($A$2:$A2991,$A2991)&gt;1,"Trùng mã đơn; ","")&amp;IF(ISNA(MATCH($C2991,DATA_MASTER!$D$2:$D$5000,0)),"SĐT chưa đăng ký hội viên; ","")&amp;IF(AND($L2991="Đã chuyển khoản",$M2991=""),"Thiếu ngày nhận CK; ",""))</f>
        <v/>
      </c>
      <c r="T2991" s="24" t="n"/>
    </row>
    <row r="2992" ht="14.25" customHeight="1" s="40">
      <c r="A2992" s="24" t="n"/>
      <c r="B2992" s="29" t="n"/>
      <c r="C2992" s="28" t="n"/>
      <c r="D2992" s="22">
        <f t="array" ref="D2992">IF($C2992="","",IFERROR(INDEX(DATA_MASTER!$C$2:$C$5000,MATCH($C2992,DATA_MASTER!$D$2:$D$5000,0)),""))</f>
        <v/>
      </c>
      <c r="E2992" s="22">
        <f t="array" ref="E2992">IF($C2992="","",IFERROR(INDEX(DATA_MASTER!$I$2:$I$5000,MATCH($C2992,DATA_MASTER!$D$2:$D$5000,0)),""))</f>
        <v/>
      </c>
      <c r="F2992" s="22">
        <f t="array" ref="F2992">IF($C2992="","",IFERROR(INDEX(DATA_MASTER!$L$2:$L$5000,MATCH($C2992,DATA_MASTER!$D$2:$D$5000,0)),""))</f>
        <v/>
      </c>
      <c r="G2992" s="24" t="n"/>
      <c r="H2992" s="24" t="n"/>
      <c r="I2992" s="30" t="n"/>
      <c r="J2992" s="23">
        <f>IF(OR($H2992="",$I2992=""),"",$H2992*$I2992)</f>
        <v/>
      </c>
      <c r="K2992" s="24" t="n"/>
      <c r="L2992" s="24" t="n"/>
      <c r="M2992" s="29" t="n"/>
      <c r="N2992" s="28" t="n"/>
      <c r="O2992" s="24" t="n"/>
      <c r="P2992" s="24" t="n"/>
      <c r="Q2992" s="24" t="n"/>
      <c r="R2992" s="24" t="n"/>
      <c r="S2992" s="22">
        <f>IF(AND($A2992="",$C2992=""),"",IF($A2992="","Thiếu mã đơn; ","")&amp;IF(COUNTIF($A$2:$A2992,$A2992)&gt;1,"Trùng mã đơn; ","")&amp;IF(ISNA(MATCH($C2992,DATA_MASTER!$D$2:$D$5000,0)),"SĐT chưa đăng ký hội viên; ","")&amp;IF(AND($L2992="Đã chuyển khoản",$M2992=""),"Thiếu ngày nhận CK; ",""))</f>
        <v/>
      </c>
      <c r="T2992" s="24" t="n"/>
    </row>
    <row r="2993" ht="14.25" customHeight="1" s="40">
      <c r="A2993" s="24" t="n"/>
      <c r="B2993" s="29" t="n"/>
      <c r="C2993" s="28" t="n"/>
      <c r="D2993" s="22">
        <f t="array" ref="D2993">IF($C2993="","",IFERROR(INDEX(DATA_MASTER!$C$2:$C$5000,MATCH($C2993,DATA_MASTER!$D$2:$D$5000,0)),""))</f>
        <v/>
      </c>
      <c r="E2993" s="22">
        <f t="array" ref="E2993">IF($C2993="","",IFERROR(INDEX(DATA_MASTER!$I$2:$I$5000,MATCH($C2993,DATA_MASTER!$D$2:$D$5000,0)),""))</f>
        <v/>
      </c>
      <c r="F2993" s="22">
        <f t="array" ref="F2993">IF($C2993="","",IFERROR(INDEX(DATA_MASTER!$L$2:$L$5000,MATCH($C2993,DATA_MASTER!$D$2:$D$5000,0)),""))</f>
        <v/>
      </c>
      <c r="G2993" s="24" t="n"/>
      <c r="H2993" s="24" t="n"/>
      <c r="I2993" s="30" t="n"/>
      <c r="J2993" s="23">
        <f>IF(OR($H2993="",$I2993=""),"",$H2993*$I2993)</f>
        <v/>
      </c>
      <c r="K2993" s="24" t="n"/>
      <c r="L2993" s="24" t="n"/>
      <c r="M2993" s="29" t="n"/>
      <c r="N2993" s="28" t="n"/>
      <c r="O2993" s="24" t="n"/>
      <c r="P2993" s="24" t="n"/>
      <c r="Q2993" s="24" t="n"/>
      <c r="R2993" s="24" t="n"/>
      <c r="S2993" s="22">
        <f>IF(AND($A2993="",$C2993=""),"",IF($A2993="","Thiếu mã đơn; ","")&amp;IF(COUNTIF($A$2:$A2993,$A2993)&gt;1,"Trùng mã đơn; ","")&amp;IF(ISNA(MATCH($C2993,DATA_MASTER!$D$2:$D$5000,0)),"SĐT chưa đăng ký hội viên; ","")&amp;IF(AND($L2993="Đã chuyển khoản",$M2993=""),"Thiếu ngày nhận CK; ",""))</f>
        <v/>
      </c>
      <c r="T2993" s="24" t="n"/>
    </row>
    <row r="2994" ht="14.25" customHeight="1" s="40">
      <c r="A2994" s="24" t="n"/>
      <c r="B2994" s="29" t="n"/>
      <c r="C2994" s="28" t="n"/>
      <c r="D2994" s="22">
        <f t="array" ref="D2994">IF($C2994="","",IFERROR(INDEX(DATA_MASTER!$C$2:$C$5000,MATCH($C2994,DATA_MASTER!$D$2:$D$5000,0)),""))</f>
        <v/>
      </c>
      <c r="E2994" s="22">
        <f t="array" ref="E2994">IF($C2994="","",IFERROR(INDEX(DATA_MASTER!$I$2:$I$5000,MATCH($C2994,DATA_MASTER!$D$2:$D$5000,0)),""))</f>
        <v/>
      </c>
      <c r="F2994" s="22">
        <f t="array" ref="F2994">IF($C2994="","",IFERROR(INDEX(DATA_MASTER!$L$2:$L$5000,MATCH($C2994,DATA_MASTER!$D$2:$D$5000,0)),""))</f>
        <v/>
      </c>
      <c r="G2994" s="24" t="n"/>
      <c r="H2994" s="24" t="n"/>
      <c r="I2994" s="30" t="n"/>
      <c r="J2994" s="23">
        <f>IF(OR($H2994="",$I2994=""),"",$H2994*$I2994)</f>
        <v/>
      </c>
      <c r="K2994" s="24" t="n"/>
      <c r="L2994" s="24" t="n"/>
      <c r="M2994" s="29" t="n"/>
      <c r="N2994" s="28" t="n"/>
      <c r="O2994" s="24" t="n"/>
      <c r="P2994" s="24" t="n"/>
      <c r="Q2994" s="24" t="n"/>
      <c r="R2994" s="24" t="n"/>
      <c r="S2994" s="22">
        <f>IF(AND($A2994="",$C2994=""),"",IF($A2994="","Thiếu mã đơn; ","")&amp;IF(COUNTIF($A$2:$A2994,$A2994)&gt;1,"Trùng mã đơn; ","")&amp;IF(ISNA(MATCH($C2994,DATA_MASTER!$D$2:$D$5000,0)),"SĐT chưa đăng ký hội viên; ","")&amp;IF(AND($L2994="Đã chuyển khoản",$M2994=""),"Thiếu ngày nhận CK; ",""))</f>
        <v/>
      </c>
      <c r="T2994" s="24" t="n"/>
    </row>
    <row r="2995" ht="14.25" customHeight="1" s="40">
      <c r="A2995" s="24" t="n"/>
      <c r="B2995" s="29" t="n"/>
      <c r="C2995" s="28" t="n"/>
      <c r="D2995" s="22">
        <f t="array" ref="D2995">IF($C2995="","",IFERROR(INDEX(DATA_MASTER!$C$2:$C$5000,MATCH($C2995,DATA_MASTER!$D$2:$D$5000,0)),""))</f>
        <v/>
      </c>
      <c r="E2995" s="22">
        <f t="array" ref="E2995">IF($C2995="","",IFERROR(INDEX(DATA_MASTER!$I$2:$I$5000,MATCH($C2995,DATA_MASTER!$D$2:$D$5000,0)),""))</f>
        <v/>
      </c>
      <c r="F2995" s="22">
        <f t="array" ref="F2995">IF($C2995="","",IFERROR(INDEX(DATA_MASTER!$L$2:$L$5000,MATCH($C2995,DATA_MASTER!$D$2:$D$5000,0)),""))</f>
        <v/>
      </c>
      <c r="G2995" s="24" t="n"/>
      <c r="H2995" s="24" t="n"/>
      <c r="I2995" s="30" t="n"/>
      <c r="J2995" s="23">
        <f>IF(OR($H2995="",$I2995=""),"",$H2995*$I2995)</f>
        <v/>
      </c>
      <c r="K2995" s="24" t="n"/>
      <c r="L2995" s="24" t="n"/>
      <c r="M2995" s="29" t="n"/>
      <c r="N2995" s="28" t="n"/>
      <c r="O2995" s="24" t="n"/>
      <c r="P2995" s="24" t="n"/>
      <c r="Q2995" s="24" t="n"/>
      <c r="R2995" s="24" t="n"/>
      <c r="S2995" s="22">
        <f>IF(AND($A2995="",$C2995=""),"",IF($A2995="","Thiếu mã đơn; ","")&amp;IF(COUNTIF($A$2:$A2995,$A2995)&gt;1,"Trùng mã đơn; ","")&amp;IF(ISNA(MATCH($C2995,DATA_MASTER!$D$2:$D$5000,0)),"SĐT chưa đăng ký hội viên; ","")&amp;IF(AND($L2995="Đã chuyển khoản",$M2995=""),"Thiếu ngày nhận CK; ",""))</f>
        <v/>
      </c>
      <c r="T2995" s="24" t="n"/>
    </row>
    <row r="2996" ht="14.25" customHeight="1" s="40">
      <c r="A2996" s="24" t="n"/>
      <c r="B2996" s="29" t="n"/>
      <c r="C2996" s="28" t="n"/>
      <c r="D2996" s="22">
        <f t="array" ref="D2996">IF($C2996="","",IFERROR(INDEX(DATA_MASTER!$C$2:$C$5000,MATCH($C2996,DATA_MASTER!$D$2:$D$5000,0)),""))</f>
        <v/>
      </c>
      <c r="E2996" s="22">
        <f t="array" ref="E2996">IF($C2996="","",IFERROR(INDEX(DATA_MASTER!$I$2:$I$5000,MATCH($C2996,DATA_MASTER!$D$2:$D$5000,0)),""))</f>
        <v/>
      </c>
      <c r="F2996" s="22">
        <f t="array" ref="F2996">IF($C2996="","",IFERROR(INDEX(DATA_MASTER!$L$2:$L$5000,MATCH($C2996,DATA_MASTER!$D$2:$D$5000,0)),""))</f>
        <v/>
      </c>
      <c r="G2996" s="24" t="n"/>
      <c r="H2996" s="24" t="n"/>
      <c r="I2996" s="30" t="n"/>
      <c r="J2996" s="23">
        <f>IF(OR($H2996="",$I2996=""),"",$H2996*$I2996)</f>
        <v/>
      </c>
      <c r="K2996" s="24" t="n"/>
      <c r="L2996" s="24" t="n"/>
      <c r="M2996" s="29" t="n"/>
      <c r="N2996" s="28" t="n"/>
      <c r="O2996" s="24" t="n"/>
      <c r="P2996" s="24" t="n"/>
      <c r="Q2996" s="24" t="n"/>
      <c r="R2996" s="24" t="n"/>
      <c r="S2996" s="22">
        <f>IF(AND($A2996="",$C2996=""),"",IF($A2996="","Thiếu mã đơn; ","")&amp;IF(COUNTIF($A$2:$A2996,$A2996)&gt;1,"Trùng mã đơn; ","")&amp;IF(ISNA(MATCH($C2996,DATA_MASTER!$D$2:$D$5000,0)),"SĐT chưa đăng ký hội viên; ","")&amp;IF(AND($L2996="Đã chuyển khoản",$M2996=""),"Thiếu ngày nhận CK; ",""))</f>
        <v/>
      </c>
      <c r="T2996" s="24" t="n"/>
    </row>
    <row r="2997" ht="14.25" customHeight="1" s="40">
      <c r="A2997" s="24" t="n"/>
      <c r="B2997" s="29" t="n"/>
      <c r="C2997" s="28" t="n"/>
      <c r="D2997" s="22">
        <f t="array" ref="D2997">IF($C2997="","",IFERROR(INDEX(DATA_MASTER!$C$2:$C$5000,MATCH($C2997,DATA_MASTER!$D$2:$D$5000,0)),""))</f>
        <v/>
      </c>
      <c r="E2997" s="22">
        <f t="array" ref="E2997">IF($C2997="","",IFERROR(INDEX(DATA_MASTER!$I$2:$I$5000,MATCH($C2997,DATA_MASTER!$D$2:$D$5000,0)),""))</f>
        <v/>
      </c>
      <c r="F2997" s="22">
        <f t="array" ref="F2997">IF($C2997="","",IFERROR(INDEX(DATA_MASTER!$L$2:$L$5000,MATCH($C2997,DATA_MASTER!$D$2:$D$5000,0)),""))</f>
        <v/>
      </c>
      <c r="G2997" s="24" t="n"/>
      <c r="H2997" s="24" t="n"/>
      <c r="I2997" s="30" t="n"/>
      <c r="J2997" s="23">
        <f>IF(OR($H2997="",$I2997=""),"",$H2997*$I2997)</f>
        <v/>
      </c>
      <c r="K2997" s="24" t="n"/>
      <c r="L2997" s="24" t="n"/>
      <c r="M2997" s="29" t="n"/>
      <c r="N2997" s="28" t="n"/>
      <c r="O2997" s="24" t="n"/>
      <c r="P2997" s="24" t="n"/>
      <c r="Q2997" s="24" t="n"/>
      <c r="R2997" s="24" t="n"/>
      <c r="S2997" s="22">
        <f>IF(AND($A2997="",$C2997=""),"",IF($A2997="","Thiếu mã đơn; ","")&amp;IF(COUNTIF($A$2:$A2997,$A2997)&gt;1,"Trùng mã đơn; ","")&amp;IF(ISNA(MATCH($C2997,DATA_MASTER!$D$2:$D$5000,0)),"SĐT chưa đăng ký hội viên; ","")&amp;IF(AND($L2997="Đã chuyển khoản",$M2997=""),"Thiếu ngày nhận CK; ",""))</f>
        <v/>
      </c>
      <c r="T2997" s="24" t="n"/>
    </row>
    <row r="2998" ht="14.25" customHeight="1" s="40">
      <c r="A2998" s="24" t="n"/>
      <c r="B2998" s="29" t="n"/>
      <c r="C2998" s="28" t="n"/>
      <c r="D2998" s="22">
        <f t="array" ref="D2998">IF($C2998="","",IFERROR(INDEX(DATA_MASTER!$C$2:$C$5000,MATCH($C2998,DATA_MASTER!$D$2:$D$5000,0)),""))</f>
        <v/>
      </c>
      <c r="E2998" s="22">
        <f t="array" ref="E2998">IF($C2998="","",IFERROR(INDEX(DATA_MASTER!$I$2:$I$5000,MATCH($C2998,DATA_MASTER!$D$2:$D$5000,0)),""))</f>
        <v/>
      </c>
      <c r="F2998" s="22">
        <f t="array" ref="F2998">IF($C2998="","",IFERROR(INDEX(DATA_MASTER!$L$2:$L$5000,MATCH($C2998,DATA_MASTER!$D$2:$D$5000,0)),""))</f>
        <v/>
      </c>
      <c r="G2998" s="24" t="n"/>
      <c r="H2998" s="24" t="n"/>
      <c r="I2998" s="30" t="n"/>
      <c r="J2998" s="23">
        <f>IF(OR($H2998="",$I2998=""),"",$H2998*$I2998)</f>
        <v/>
      </c>
      <c r="K2998" s="24" t="n"/>
      <c r="L2998" s="24" t="n"/>
      <c r="M2998" s="29" t="n"/>
      <c r="N2998" s="28" t="n"/>
      <c r="O2998" s="24" t="n"/>
      <c r="P2998" s="24" t="n"/>
      <c r="Q2998" s="24" t="n"/>
      <c r="R2998" s="24" t="n"/>
      <c r="S2998" s="22">
        <f>IF(AND($A2998="",$C2998=""),"",IF($A2998="","Thiếu mã đơn; ","")&amp;IF(COUNTIF($A$2:$A2998,$A2998)&gt;1,"Trùng mã đơn; ","")&amp;IF(ISNA(MATCH($C2998,DATA_MASTER!$D$2:$D$5000,0)),"SĐT chưa đăng ký hội viên; ","")&amp;IF(AND($L2998="Đã chuyển khoản",$M2998=""),"Thiếu ngày nhận CK; ",""))</f>
        <v/>
      </c>
      <c r="T2998" s="24" t="n"/>
    </row>
    <row r="2999" ht="14.25" customHeight="1" s="40">
      <c r="A2999" s="24" t="n"/>
      <c r="B2999" s="29" t="n"/>
      <c r="C2999" s="28" t="n"/>
      <c r="D2999" s="22">
        <f t="array" ref="D2999">IF($C2999="","",IFERROR(INDEX(DATA_MASTER!$C$2:$C$5000,MATCH($C2999,DATA_MASTER!$D$2:$D$5000,0)),""))</f>
        <v/>
      </c>
      <c r="E2999" s="22">
        <f t="array" ref="E2999">IF($C2999="","",IFERROR(INDEX(DATA_MASTER!$I$2:$I$5000,MATCH($C2999,DATA_MASTER!$D$2:$D$5000,0)),""))</f>
        <v/>
      </c>
      <c r="F2999" s="22">
        <f t="array" ref="F2999">IF($C2999="","",IFERROR(INDEX(DATA_MASTER!$L$2:$L$5000,MATCH($C2999,DATA_MASTER!$D$2:$D$5000,0)),""))</f>
        <v/>
      </c>
      <c r="G2999" s="24" t="n"/>
      <c r="H2999" s="24" t="n"/>
      <c r="I2999" s="30" t="n"/>
      <c r="J2999" s="23">
        <f>IF(OR($H2999="",$I2999=""),"",$H2999*$I2999)</f>
        <v/>
      </c>
      <c r="K2999" s="24" t="n"/>
      <c r="L2999" s="24" t="n"/>
      <c r="M2999" s="29" t="n"/>
      <c r="N2999" s="28" t="n"/>
      <c r="O2999" s="24" t="n"/>
      <c r="P2999" s="24" t="n"/>
      <c r="Q2999" s="24" t="n"/>
      <c r="R2999" s="24" t="n"/>
      <c r="S2999" s="22">
        <f>IF(AND($A2999="",$C2999=""),"",IF($A2999="","Thiếu mã đơn; ","")&amp;IF(COUNTIF($A$2:$A2999,$A2999)&gt;1,"Trùng mã đơn; ","")&amp;IF(ISNA(MATCH($C2999,DATA_MASTER!$D$2:$D$5000,0)),"SĐT chưa đăng ký hội viên; ","")&amp;IF(AND($L2999="Đã chuyển khoản",$M2999=""),"Thiếu ngày nhận CK; ",""))</f>
        <v/>
      </c>
      <c r="T2999" s="24" t="n"/>
    </row>
    <row r="3000" ht="14.25" customHeight="1" s="40">
      <c r="A3000" s="24" t="n"/>
      <c r="B3000" s="29" t="n"/>
      <c r="C3000" s="28" t="n"/>
      <c r="D3000" s="22">
        <f t="array" ref="D3000">IF($C3000="","",IFERROR(INDEX(DATA_MASTER!$C$2:$C$5000,MATCH($C3000,DATA_MASTER!$D$2:$D$5000,0)),""))</f>
        <v/>
      </c>
      <c r="E3000" s="22">
        <f t="array" ref="E3000">IF($C3000="","",IFERROR(INDEX(DATA_MASTER!$I$2:$I$5000,MATCH($C3000,DATA_MASTER!$D$2:$D$5000,0)),""))</f>
        <v/>
      </c>
      <c r="F3000" s="22">
        <f t="array" ref="F3000">IF($C3000="","",IFERROR(INDEX(DATA_MASTER!$L$2:$L$5000,MATCH($C3000,DATA_MASTER!$D$2:$D$5000,0)),""))</f>
        <v/>
      </c>
      <c r="G3000" s="24" t="n"/>
      <c r="H3000" s="24" t="n"/>
      <c r="I3000" s="30" t="n"/>
      <c r="J3000" s="23">
        <f>IF(OR($H3000="",$I3000=""),"",$H3000*$I3000)</f>
        <v/>
      </c>
      <c r="K3000" s="24" t="n"/>
      <c r="L3000" s="24" t="n"/>
      <c r="M3000" s="29" t="n"/>
      <c r="N3000" s="28" t="n"/>
      <c r="O3000" s="24" t="n"/>
      <c r="P3000" s="24" t="n"/>
      <c r="Q3000" s="24" t="n"/>
      <c r="R3000" s="24" t="n"/>
      <c r="S3000" s="22">
        <f>IF(AND($A3000="",$C3000=""),"",IF($A3000="","Thiếu mã đơn; ","")&amp;IF(COUNTIF($A$2:$A3000,$A3000)&gt;1,"Trùng mã đơn; ","")&amp;IF(ISNA(MATCH($C3000,DATA_MASTER!$D$2:$D$5000,0)),"SĐT chưa đăng ký hội viên; ","")&amp;IF(AND($L3000="Đã chuyển khoản",$M3000=""),"Thiếu ngày nhận CK; ",""))</f>
        <v/>
      </c>
      <c r="T3000" s="24" t="n"/>
    </row>
    <row r="3001" ht="14.25" customHeight="1" s="40">
      <c r="A3001" s="24" t="n"/>
      <c r="B3001" s="29" t="n"/>
      <c r="C3001" s="28" t="n"/>
      <c r="D3001" s="22">
        <f t="array" ref="D3001">IF($C3001="","",IFERROR(INDEX(DATA_MASTER!$C$2:$C$5000,MATCH($C3001,DATA_MASTER!$D$2:$D$5000,0)),""))</f>
        <v/>
      </c>
      <c r="E3001" s="22">
        <f t="array" ref="E3001">IF($C3001="","",IFERROR(INDEX(DATA_MASTER!$I$2:$I$5000,MATCH($C3001,DATA_MASTER!$D$2:$D$5000,0)),""))</f>
        <v/>
      </c>
      <c r="F3001" s="22">
        <f t="array" ref="F3001">IF($C3001="","",IFERROR(INDEX(DATA_MASTER!$L$2:$L$5000,MATCH($C3001,DATA_MASTER!$D$2:$D$5000,0)),""))</f>
        <v/>
      </c>
      <c r="G3001" s="24" t="n"/>
      <c r="H3001" s="24" t="n"/>
      <c r="I3001" s="30" t="n"/>
      <c r="J3001" s="23">
        <f>IF(OR($H3001="",$I3001=""),"",$H3001*$I3001)</f>
        <v/>
      </c>
      <c r="K3001" s="24" t="n"/>
      <c r="L3001" s="24" t="n"/>
      <c r="M3001" s="29" t="n"/>
      <c r="N3001" s="28" t="n"/>
      <c r="O3001" s="24" t="n"/>
      <c r="P3001" s="24" t="n"/>
      <c r="Q3001" s="24" t="n"/>
      <c r="R3001" s="24" t="n"/>
      <c r="S3001" s="22">
        <f>IF(AND($A3001="",$C3001=""),"",IF($A3001="","Thiếu mã đơn; ","")&amp;IF(COUNTIF($A$2:$A3001,$A3001)&gt;1,"Trùng mã đơn; ","")&amp;IF(ISNA(MATCH($C3001,DATA_MASTER!$D$2:$D$5000,0)),"SĐT chưa đăng ký hội viên; ","")&amp;IF(AND($L3001="Đã chuyển khoản",$M3001=""),"Thiếu ngày nhận CK; ",""))</f>
        <v/>
      </c>
      <c r="T3001" s="24" t="n"/>
    </row>
    <row r="3002" ht="14.25" customHeight="1" s="40">
      <c r="A3002" s="24" t="n"/>
      <c r="B3002" s="29" t="n"/>
      <c r="C3002" s="28" t="n"/>
      <c r="D3002" s="22">
        <f t="array" ref="D3002">IF($C3002="","",IFERROR(INDEX(DATA_MASTER!$C$2:$C$5000,MATCH($C3002,DATA_MASTER!$D$2:$D$5000,0)),""))</f>
        <v/>
      </c>
      <c r="E3002" s="22">
        <f t="array" ref="E3002">IF($C3002="","",IFERROR(INDEX(DATA_MASTER!$I$2:$I$5000,MATCH($C3002,DATA_MASTER!$D$2:$D$5000,0)),""))</f>
        <v/>
      </c>
      <c r="F3002" s="22">
        <f t="array" ref="F3002">IF($C3002="","",IFERROR(INDEX(DATA_MASTER!$L$2:$L$5000,MATCH($C3002,DATA_MASTER!$D$2:$D$5000,0)),""))</f>
        <v/>
      </c>
      <c r="G3002" s="24" t="n"/>
      <c r="H3002" s="24" t="n"/>
      <c r="I3002" s="30" t="n"/>
      <c r="J3002" s="23">
        <f>IF(OR($H3002="",$I3002=""),"",$H3002*$I3002)</f>
        <v/>
      </c>
      <c r="K3002" s="24" t="n"/>
      <c r="L3002" s="24" t="n"/>
      <c r="M3002" s="29" t="n"/>
      <c r="N3002" s="28" t="n"/>
      <c r="O3002" s="24" t="n"/>
      <c r="P3002" s="24" t="n"/>
      <c r="Q3002" s="24" t="n"/>
      <c r="R3002" s="24" t="n"/>
      <c r="S3002" s="22">
        <f>IF(AND($A3002="",$C3002=""),"",IF($A3002="","Thiếu mã đơn; ","")&amp;IF(COUNTIF($A$2:$A3002,$A3002)&gt;1,"Trùng mã đơn; ","")&amp;IF(ISNA(MATCH($C3002,DATA_MASTER!$D$2:$D$5000,0)),"SĐT chưa đăng ký hội viên; ","")&amp;IF(AND($L3002="Đã chuyển khoản",$M3002=""),"Thiếu ngày nhận CK; ",""))</f>
        <v/>
      </c>
      <c r="T3002" s="24" t="n"/>
    </row>
    <row r="3003" ht="14.25" customHeight="1" s="40">
      <c r="A3003" s="24" t="n"/>
      <c r="B3003" s="29" t="n"/>
      <c r="C3003" s="28" t="n"/>
      <c r="D3003" s="22">
        <f t="array" ref="D3003">IF($C3003="","",IFERROR(INDEX(DATA_MASTER!$C$2:$C$5000,MATCH($C3003,DATA_MASTER!$D$2:$D$5000,0)),""))</f>
        <v/>
      </c>
      <c r="E3003" s="22">
        <f t="array" ref="E3003">IF($C3003="","",IFERROR(INDEX(DATA_MASTER!$I$2:$I$5000,MATCH($C3003,DATA_MASTER!$D$2:$D$5000,0)),""))</f>
        <v/>
      </c>
      <c r="F3003" s="22">
        <f t="array" ref="F3003">IF($C3003="","",IFERROR(INDEX(DATA_MASTER!$L$2:$L$5000,MATCH($C3003,DATA_MASTER!$D$2:$D$5000,0)),""))</f>
        <v/>
      </c>
      <c r="G3003" s="24" t="n"/>
      <c r="H3003" s="24" t="n"/>
      <c r="I3003" s="30" t="n"/>
      <c r="J3003" s="23">
        <f>IF(OR($H3003="",$I3003=""),"",$H3003*$I3003)</f>
        <v/>
      </c>
      <c r="K3003" s="24" t="n"/>
      <c r="L3003" s="24" t="n"/>
      <c r="M3003" s="29" t="n"/>
      <c r="N3003" s="28" t="n"/>
      <c r="O3003" s="24" t="n"/>
      <c r="P3003" s="24" t="n"/>
      <c r="Q3003" s="24" t="n"/>
      <c r="R3003" s="24" t="n"/>
      <c r="S3003" s="22">
        <f>IF(AND($A3003="",$C3003=""),"",IF($A3003="","Thiếu mã đơn; ","")&amp;IF(COUNTIF($A$2:$A3003,$A3003)&gt;1,"Trùng mã đơn; ","")&amp;IF(ISNA(MATCH($C3003,DATA_MASTER!$D$2:$D$5000,0)),"SĐT chưa đăng ký hội viên; ","")&amp;IF(AND($L3003="Đã chuyển khoản",$M3003=""),"Thiếu ngày nhận CK; ",""))</f>
        <v/>
      </c>
      <c r="T3003" s="24" t="n"/>
    </row>
    <row r="3004" ht="14.25" customHeight="1" s="40">
      <c r="A3004" s="24" t="n"/>
      <c r="B3004" s="29" t="n"/>
      <c r="C3004" s="28" t="n"/>
      <c r="D3004" s="22">
        <f t="array" ref="D3004">IF($C3004="","",IFERROR(INDEX(DATA_MASTER!$C$2:$C$5000,MATCH($C3004,DATA_MASTER!$D$2:$D$5000,0)),""))</f>
        <v/>
      </c>
      <c r="E3004" s="22">
        <f t="array" ref="E3004">IF($C3004="","",IFERROR(INDEX(DATA_MASTER!$I$2:$I$5000,MATCH($C3004,DATA_MASTER!$D$2:$D$5000,0)),""))</f>
        <v/>
      </c>
      <c r="F3004" s="22">
        <f t="array" ref="F3004">IF($C3004="","",IFERROR(INDEX(DATA_MASTER!$L$2:$L$5000,MATCH($C3004,DATA_MASTER!$D$2:$D$5000,0)),""))</f>
        <v/>
      </c>
      <c r="G3004" s="24" t="n"/>
      <c r="H3004" s="24" t="n"/>
      <c r="I3004" s="30" t="n"/>
      <c r="J3004" s="23">
        <f>IF(OR($H3004="",$I3004=""),"",$H3004*$I3004)</f>
        <v/>
      </c>
      <c r="K3004" s="24" t="n"/>
      <c r="L3004" s="24" t="n"/>
      <c r="M3004" s="29" t="n"/>
      <c r="N3004" s="28" t="n"/>
      <c r="O3004" s="24" t="n"/>
      <c r="P3004" s="24" t="n"/>
      <c r="Q3004" s="24" t="n"/>
      <c r="R3004" s="24" t="n"/>
      <c r="S3004" s="22">
        <f>IF(AND($A3004="",$C3004=""),"",IF($A3004="","Thiếu mã đơn; ","")&amp;IF(COUNTIF($A$2:$A3004,$A3004)&gt;1,"Trùng mã đơn; ","")&amp;IF(ISNA(MATCH($C3004,DATA_MASTER!$D$2:$D$5000,0)),"SĐT chưa đăng ký hội viên; ","")&amp;IF(AND($L3004="Đã chuyển khoản",$M3004=""),"Thiếu ngày nhận CK; ",""))</f>
        <v/>
      </c>
      <c r="T3004" s="24" t="n"/>
    </row>
    <row r="3005" ht="14.25" customHeight="1" s="40">
      <c r="A3005" s="24" t="n"/>
      <c r="B3005" s="29" t="n"/>
      <c r="C3005" s="28" t="n"/>
      <c r="D3005" s="22">
        <f t="array" ref="D3005">IF($C3005="","",IFERROR(INDEX(DATA_MASTER!$C$2:$C$5000,MATCH($C3005,DATA_MASTER!$D$2:$D$5000,0)),""))</f>
        <v/>
      </c>
      <c r="E3005" s="22">
        <f t="array" ref="E3005">IF($C3005="","",IFERROR(INDEX(DATA_MASTER!$I$2:$I$5000,MATCH($C3005,DATA_MASTER!$D$2:$D$5000,0)),""))</f>
        <v/>
      </c>
      <c r="F3005" s="22">
        <f t="array" ref="F3005">IF($C3005="","",IFERROR(INDEX(DATA_MASTER!$L$2:$L$5000,MATCH($C3005,DATA_MASTER!$D$2:$D$5000,0)),""))</f>
        <v/>
      </c>
      <c r="G3005" s="24" t="n"/>
      <c r="H3005" s="24" t="n"/>
      <c r="I3005" s="30" t="n"/>
      <c r="J3005" s="23">
        <f>IF(OR($H3005="",$I3005=""),"",$H3005*$I3005)</f>
        <v/>
      </c>
      <c r="K3005" s="24" t="n"/>
      <c r="L3005" s="24" t="n"/>
      <c r="M3005" s="29" t="n"/>
      <c r="N3005" s="28" t="n"/>
      <c r="O3005" s="24" t="n"/>
      <c r="P3005" s="24" t="n"/>
      <c r="Q3005" s="24" t="n"/>
      <c r="R3005" s="24" t="n"/>
      <c r="S3005" s="22">
        <f>IF(AND($A3005="",$C3005=""),"",IF($A3005="","Thiếu mã đơn; ","")&amp;IF(COUNTIF($A$2:$A3005,$A3005)&gt;1,"Trùng mã đơn; ","")&amp;IF(ISNA(MATCH($C3005,DATA_MASTER!$D$2:$D$5000,0)),"SĐT chưa đăng ký hội viên; ","")&amp;IF(AND($L3005="Đã chuyển khoản",$M3005=""),"Thiếu ngày nhận CK; ",""))</f>
        <v/>
      </c>
      <c r="T3005" s="24" t="n"/>
    </row>
    <row r="3006" ht="14.25" customHeight="1" s="40">
      <c r="A3006" s="24" t="n"/>
      <c r="B3006" s="29" t="n"/>
      <c r="C3006" s="28" t="n"/>
      <c r="D3006" s="22">
        <f t="array" ref="D3006">IF($C3006="","",IFERROR(INDEX(DATA_MASTER!$C$2:$C$5000,MATCH($C3006,DATA_MASTER!$D$2:$D$5000,0)),""))</f>
        <v/>
      </c>
      <c r="E3006" s="22">
        <f t="array" ref="E3006">IF($C3006="","",IFERROR(INDEX(DATA_MASTER!$I$2:$I$5000,MATCH($C3006,DATA_MASTER!$D$2:$D$5000,0)),""))</f>
        <v/>
      </c>
      <c r="F3006" s="22">
        <f t="array" ref="F3006">IF($C3006="","",IFERROR(INDEX(DATA_MASTER!$L$2:$L$5000,MATCH($C3006,DATA_MASTER!$D$2:$D$5000,0)),""))</f>
        <v/>
      </c>
      <c r="G3006" s="24" t="n"/>
      <c r="H3006" s="24" t="n"/>
      <c r="I3006" s="30" t="n"/>
      <c r="J3006" s="23">
        <f>IF(OR($H3006="",$I3006=""),"",$H3006*$I3006)</f>
        <v/>
      </c>
      <c r="K3006" s="24" t="n"/>
      <c r="L3006" s="24" t="n"/>
      <c r="M3006" s="29" t="n"/>
      <c r="N3006" s="28" t="n"/>
      <c r="O3006" s="24" t="n"/>
      <c r="P3006" s="24" t="n"/>
      <c r="Q3006" s="24" t="n"/>
      <c r="R3006" s="24" t="n"/>
      <c r="S3006" s="22">
        <f>IF(AND($A3006="",$C3006=""),"",IF($A3006="","Thiếu mã đơn; ","")&amp;IF(COUNTIF($A$2:$A3006,$A3006)&gt;1,"Trùng mã đơn; ","")&amp;IF(ISNA(MATCH($C3006,DATA_MASTER!$D$2:$D$5000,0)),"SĐT chưa đăng ký hội viên; ","")&amp;IF(AND($L3006="Đã chuyển khoản",$M3006=""),"Thiếu ngày nhận CK; ",""))</f>
        <v/>
      </c>
      <c r="T3006" s="24" t="n"/>
    </row>
    <row r="3007" ht="14.25" customHeight="1" s="40">
      <c r="A3007" s="24" t="n"/>
      <c r="B3007" s="29" t="n"/>
      <c r="C3007" s="28" t="n"/>
      <c r="D3007" s="22">
        <f t="array" ref="D3007">IF($C3007="","",IFERROR(INDEX(DATA_MASTER!$C$2:$C$5000,MATCH($C3007,DATA_MASTER!$D$2:$D$5000,0)),""))</f>
        <v/>
      </c>
      <c r="E3007" s="22">
        <f t="array" ref="E3007">IF($C3007="","",IFERROR(INDEX(DATA_MASTER!$I$2:$I$5000,MATCH($C3007,DATA_MASTER!$D$2:$D$5000,0)),""))</f>
        <v/>
      </c>
      <c r="F3007" s="22">
        <f t="array" ref="F3007">IF($C3007="","",IFERROR(INDEX(DATA_MASTER!$L$2:$L$5000,MATCH($C3007,DATA_MASTER!$D$2:$D$5000,0)),""))</f>
        <v/>
      </c>
      <c r="G3007" s="24" t="n"/>
      <c r="H3007" s="24" t="n"/>
      <c r="I3007" s="30" t="n"/>
      <c r="J3007" s="23">
        <f>IF(OR($H3007="",$I3007=""),"",$H3007*$I3007)</f>
        <v/>
      </c>
      <c r="K3007" s="24" t="n"/>
      <c r="L3007" s="24" t="n"/>
      <c r="M3007" s="29" t="n"/>
      <c r="N3007" s="28" t="n"/>
      <c r="O3007" s="24" t="n"/>
      <c r="P3007" s="24" t="n"/>
      <c r="Q3007" s="24" t="n"/>
      <c r="R3007" s="24" t="n"/>
      <c r="S3007" s="22">
        <f>IF(AND($A3007="",$C3007=""),"",IF($A3007="","Thiếu mã đơn; ","")&amp;IF(COUNTIF($A$2:$A3007,$A3007)&gt;1,"Trùng mã đơn; ","")&amp;IF(ISNA(MATCH($C3007,DATA_MASTER!$D$2:$D$5000,0)),"SĐT chưa đăng ký hội viên; ","")&amp;IF(AND($L3007="Đã chuyển khoản",$M3007=""),"Thiếu ngày nhận CK; ",""))</f>
        <v/>
      </c>
      <c r="T3007" s="24" t="n"/>
    </row>
    <row r="3008" ht="14.25" customHeight="1" s="40">
      <c r="A3008" s="24" t="n"/>
      <c r="B3008" s="29" t="n"/>
      <c r="C3008" s="28" t="n"/>
      <c r="D3008" s="22">
        <f t="array" ref="D3008">IF($C3008="","",IFERROR(INDEX(DATA_MASTER!$C$2:$C$5000,MATCH($C3008,DATA_MASTER!$D$2:$D$5000,0)),""))</f>
        <v/>
      </c>
      <c r="E3008" s="22">
        <f t="array" ref="E3008">IF($C3008="","",IFERROR(INDEX(DATA_MASTER!$I$2:$I$5000,MATCH($C3008,DATA_MASTER!$D$2:$D$5000,0)),""))</f>
        <v/>
      </c>
      <c r="F3008" s="22">
        <f t="array" ref="F3008">IF($C3008="","",IFERROR(INDEX(DATA_MASTER!$L$2:$L$5000,MATCH($C3008,DATA_MASTER!$D$2:$D$5000,0)),""))</f>
        <v/>
      </c>
      <c r="G3008" s="24" t="n"/>
      <c r="H3008" s="24" t="n"/>
      <c r="I3008" s="30" t="n"/>
      <c r="J3008" s="23">
        <f>IF(OR($H3008="",$I3008=""),"",$H3008*$I3008)</f>
        <v/>
      </c>
      <c r="K3008" s="24" t="n"/>
      <c r="L3008" s="24" t="n"/>
      <c r="M3008" s="29" t="n"/>
      <c r="N3008" s="28" t="n"/>
      <c r="O3008" s="24" t="n"/>
      <c r="P3008" s="24" t="n"/>
      <c r="Q3008" s="24" t="n"/>
      <c r="R3008" s="24" t="n"/>
      <c r="S3008" s="22">
        <f>IF(AND($A3008="",$C3008=""),"",IF($A3008="","Thiếu mã đơn; ","")&amp;IF(COUNTIF($A$2:$A3008,$A3008)&gt;1,"Trùng mã đơn; ","")&amp;IF(ISNA(MATCH($C3008,DATA_MASTER!$D$2:$D$5000,0)),"SĐT chưa đăng ký hội viên; ","")&amp;IF(AND($L3008="Đã chuyển khoản",$M3008=""),"Thiếu ngày nhận CK; ",""))</f>
        <v/>
      </c>
      <c r="T3008" s="24" t="n"/>
    </row>
    <row r="3009" ht="14.25" customHeight="1" s="40">
      <c r="A3009" s="24" t="n"/>
      <c r="B3009" s="29" t="n"/>
      <c r="C3009" s="28" t="n"/>
      <c r="D3009" s="22">
        <f t="array" ref="D3009">IF($C3009="","",IFERROR(INDEX(DATA_MASTER!$C$2:$C$5000,MATCH($C3009,DATA_MASTER!$D$2:$D$5000,0)),""))</f>
        <v/>
      </c>
      <c r="E3009" s="22">
        <f t="array" ref="E3009">IF($C3009="","",IFERROR(INDEX(DATA_MASTER!$I$2:$I$5000,MATCH($C3009,DATA_MASTER!$D$2:$D$5000,0)),""))</f>
        <v/>
      </c>
      <c r="F3009" s="22">
        <f t="array" ref="F3009">IF($C3009="","",IFERROR(INDEX(DATA_MASTER!$L$2:$L$5000,MATCH($C3009,DATA_MASTER!$D$2:$D$5000,0)),""))</f>
        <v/>
      </c>
      <c r="G3009" s="24" t="n"/>
      <c r="H3009" s="24" t="n"/>
      <c r="I3009" s="30" t="n"/>
      <c r="J3009" s="23">
        <f>IF(OR($H3009="",$I3009=""),"",$H3009*$I3009)</f>
        <v/>
      </c>
      <c r="K3009" s="24" t="n"/>
      <c r="L3009" s="24" t="n"/>
      <c r="M3009" s="29" t="n"/>
      <c r="N3009" s="28" t="n"/>
      <c r="O3009" s="24" t="n"/>
      <c r="P3009" s="24" t="n"/>
      <c r="Q3009" s="24" t="n"/>
      <c r="R3009" s="24" t="n"/>
      <c r="S3009" s="22">
        <f>IF(AND($A3009="",$C3009=""),"",IF($A3009="","Thiếu mã đơn; ","")&amp;IF(COUNTIF($A$2:$A3009,$A3009)&gt;1,"Trùng mã đơn; ","")&amp;IF(ISNA(MATCH($C3009,DATA_MASTER!$D$2:$D$5000,0)),"SĐT chưa đăng ký hội viên; ","")&amp;IF(AND($L3009="Đã chuyển khoản",$M3009=""),"Thiếu ngày nhận CK; ",""))</f>
        <v/>
      </c>
      <c r="T3009" s="24" t="n"/>
    </row>
    <row r="3010" ht="14.25" customHeight="1" s="40">
      <c r="A3010" s="24" t="n"/>
      <c r="B3010" s="29" t="n"/>
      <c r="C3010" s="28" t="n"/>
      <c r="D3010" s="22">
        <f t="array" ref="D3010">IF($C3010="","",IFERROR(INDEX(DATA_MASTER!$C$2:$C$5000,MATCH($C3010,DATA_MASTER!$D$2:$D$5000,0)),""))</f>
        <v/>
      </c>
      <c r="E3010" s="22">
        <f t="array" ref="E3010">IF($C3010="","",IFERROR(INDEX(DATA_MASTER!$I$2:$I$5000,MATCH($C3010,DATA_MASTER!$D$2:$D$5000,0)),""))</f>
        <v/>
      </c>
      <c r="F3010" s="22">
        <f t="array" ref="F3010">IF($C3010="","",IFERROR(INDEX(DATA_MASTER!$L$2:$L$5000,MATCH($C3010,DATA_MASTER!$D$2:$D$5000,0)),""))</f>
        <v/>
      </c>
      <c r="G3010" s="24" t="n"/>
      <c r="H3010" s="24" t="n"/>
      <c r="I3010" s="30" t="n"/>
      <c r="J3010" s="23">
        <f>IF(OR($H3010="",$I3010=""),"",$H3010*$I3010)</f>
        <v/>
      </c>
      <c r="K3010" s="24" t="n"/>
      <c r="L3010" s="24" t="n"/>
      <c r="M3010" s="29" t="n"/>
      <c r="N3010" s="28" t="n"/>
      <c r="O3010" s="24" t="n"/>
      <c r="P3010" s="24" t="n"/>
      <c r="Q3010" s="24" t="n"/>
      <c r="R3010" s="24" t="n"/>
      <c r="S3010" s="22">
        <f>IF(AND($A3010="",$C3010=""),"",IF($A3010="","Thiếu mã đơn; ","")&amp;IF(COUNTIF($A$2:$A3010,$A3010)&gt;1,"Trùng mã đơn; ","")&amp;IF(ISNA(MATCH($C3010,DATA_MASTER!$D$2:$D$5000,0)),"SĐT chưa đăng ký hội viên; ","")&amp;IF(AND($L3010="Đã chuyển khoản",$M3010=""),"Thiếu ngày nhận CK; ",""))</f>
        <v/>
      </c>
      <c r="T3010" s="24" t="n"/>
    </row>
    <row r="3011" ht="14.25" customHeight="1" s="40">
      <c r="A3011" s="24" t="n"/>
      <c r="B3011" s="29" t="n"/>
      <c r="C3011" s="28" t="n"/>
      <c r="D3011" s="22">
        <f t="array" ref="D3011">IF($C3011="","",IFERROR(INDEX(DATA_MASTER!$C$2:$C$5000,MATCH($C3011,DATA_MASTER!$D$2:$D$5000,0)),""))</f>
        <v/>
      </c>
      <c r="E3011" s="22">
        <f t="array" ref="E3011">IF($C3011="","",IFERROR(INDEX(DATA_MASTER!$I$2:$I$5000,MATCH($C3011,DATA_MASTER!$D$2:$D$5000,0)),""))</f>
        <v/>
      </c>
      <c r="F3011" s="22">
        <f t="array" ref="F3011">IF($C3011="","",IFERROR(INDEX(DATA_MASTER!$L$2:$L$5000,MATCH($C3011,DATA_MASTER!$D$2:$D$5000,0)),""))</f>
        <v/>
      </c>
      <c r="G3011" s="24" t="n"/>
      <c r="H3011" s="24" t="n"/>
      <c r="I3011" s="30" t="n"/>
      <c r="J3011" s="23">
        <f>IF(OR($H3011="",$I3011=""),"",$H3011*$I3011)</f>
        <v/>
      </c>
      <c r="K3011" s="24" t="n"/>
      <c r="L3011" s="24" t="n"/>
      <c r="M3011" s="29" t="n"/>
      <c r="N3011" s="28" t="n"/>
      <c r="O3011" s="24" t="n"/>
      <c r="P3011" s="24" t="n"/>
      <c r="Q3011" s="24" t="n"/>
      <c r="R3011" s="24" t="n"/>
      <c r="S3011" s="22">
        <f>IF(AND($A3011="",$C3011=""),"",IF($A3011="","Thiếu mã đơn; ","")&amp;IF(COUNTIF($A$2:$A3011,$A3011)&gt;1,"Trùng mã đơn; ","")&amp;IF(ISNA(MATCH($C3011,DATA_MASTER!$D$2:$D$5000,0)),"SĐT chưa đăng ký hội viên; ","")&amp;IF(AND($L3011="Đã chuyển khoản",$M3011=""),"Thiếu ngày nhận CK; ",""))</f>
        <v/>
      </c>
      <c r="T3011" s="24" t="n"/>
    </row>
    <row r="3012" ht="14.25" customHeight="1" s="40">
      <c r="A3012" s="24" t="n"/>
      <c r="B3012" s="29" t="n"/>
      <c r="C3012" s="28" t="n"/>
      <c r="D3012" s="22">
        <f t="array" ref="D3012">IF($C3012="","",IFERROR(INDEX(DATA_MASTER!$C$2:$C$5000,MATCH($C3012,DATA_MASTER!$D$2:$D$5000,0)),""))</f>
        <v/>
      </c>
      <c r="E3012" s="22">
        <f t="array" ref="E3012">IF($C3012="","",IFERROR(INDEX(DATA_MASTER!$I$2:$I$5000,MATCH($C3012,DATA_MASTER!$D$2:$D$5000,0)),""))</f>
        <v/>
      </c>
      <c r="F3012" s="22">
        <f t="array" ref="F3012">IF($C3012="","",IFERROR(INDEX(DATA_MASTER!$L$2:$L$5000,MATCH($C3012,DATA_MASTER!$D$2:$D$5000,0)),""))</f>
        <v/>
      </c>
      <c r="G3012" s="24" t="n"/>
      <c r="H3012" s="24" t="n"/>
      <c r="I3012" s="30" t="n"/>
      <c r="J3012" s="23">
        <f>IF(OR($H3012="",$I3012=""),"",$H3012*$I3012)</f>
        <v/>
      </c>
      <c r="K3012" s="24" t="n"/>
      <c r="L3012" s="24" t="n"/>
      <c r="M3012" s="29" t="n"/>
      <c r="N3012" s="28" t="n"/>
      <c r="O3012" s="24" t="n"/>
      <c r="P3012" s="24" t="n"/>
      <c r="Q3012" s="24" t="n"/>
      <c r="R3012" s="24" t="n"/>
      <c r="S3012" s="22">
        <f>IF(AND($A3012="",$C3012=""),"",IF($A3012="","Thiếu mã đơn; ","")&amp;IF(COUNTIF($A$2:$A3012,$A3012)&gt;1,"Trùng mã đơn; ","")&amp;IF(ISNA(MATCH($C3012,DATA_MASTER!$D$2:$D$5000,0)),"SĐT chưa đăng ký hội viên; ","")&amp;IF(AND($L3012="Đã chuyển khoản",$M3012=""),"Thiếu ngày nhận CK; ",""))</f>
        <v/>
      </c>
      <c r="T3012" s="24" t="n"/>
    </row>
    <row r="3013" ht="14.25" customHeight="1" s="40">
      <c r="A3013" s="24" t="n"/>
      <c r="B3013" s="29" t="n"/>
      <c r="C3013" s="28" t="n"/>
      <c r="D3013" s="22">
        <f t="array" ref="D3013">IF($C3013="","",IFERROR(INDEX(DATA_MASTER!$C$2:$C$5000,MATCH($C3013,DATA_MASTER!$D$2:$D$5000,0)),""))</f>
        <v/>
      </c>
      <c r="E3013" s="22">
        <f t="array" ref="E3013">IF($C3013="","",IFERROR(INDEX(DATA_MASTER!$I$2:$I$5000,MATCH($C3013,DATA_MASTER!$D$2:$D$5000,0)),""))</f>
        <v/>
      </c>
      <c r="F3013" s="22">
        <f t="array" ref="F3013">IF($C3013="","",IFERROR(INDEX(DATA_MASTER!$L$2:$L$5000,MATCH($C3013,DATA_MASTER!$D$2:$D$5000,0)),""))</f>
        <v/>
      </c>
      <c r="G3013" s="24" t="n"/>
      <c r="H3013" s="24" t="n"/>
      <c r="I3013" s="30" t="n"/>
      <c r="J3013" s="23">
        <f>IF(OR($H3013="",$I3013=""),"",$H3013*$I3013)</f>
        <v/>
      </c>
      <c r="K3013" s="24" t="n"/>
      <c r="L3013" s="24" t="n"/>
      <c r="M3013" s="29" t="n"/>
      <c r="N3013" s="28" t="n"/>
      <c r="O3013" s="24" t="n"/>
      <c r="P3013" s="24" t="n"/>
      <c r="Q3013" s="24" t="n"/>
      <c r="R3013" s="24" t="n"/>
      <c r="S3013" s="22">
        <f>IF(AND($A3013="",$C3013=""),"",IF($A3013="","Thiếu mã đơn; ","")&amp;IF(COUNTIF($A$2:$A3013,$A3013)&gt;1,"Trùng mã đơn; ","")&amp;IF(ISNA(MATCH($C3013,DATA_MASTER!$D$2:$D$5000,0)),"SĐT chưa đăng ký hội viên; ","")&amp;IF(AND($L3013="Đã chuyển khoản",$M3013=""),"Thiếu ngày nhận CK; ",""))</f>
        <v/>
      </c>
      <c r="T3013" s="24" t="n"/>
    </row>
    <row r="3014" ht="14.25" customHeight="1" s="40">
      <c r="A3014" s="24" t="n"/>
      <c r="B3014" s="29" t="n"/>
      <c r="C3014" s="28" t="n"/>
      <c r="D3014" s="22">
        <f t="array" ref="D3014">IF($C3014="","",IFERROR(INDEX(DATA_MASTER!$C$2:$C$5000,MATCH($C3014,DATA_MASTER!$D$2:$D$5000,0)),""))</f>
        <v/>
      </c>
      <c r="E3014" s="22">
        <f t="array" ref="E3014">IF($C3014="","",IFERROR(INDEX(DATA_MASTER!$I$2:$I$5000,MATCH($C3014,DATA_MASTER!$D$2:$D$5000,0)),""))</f>
        <v/>
      </c>
      <c r="F3014" s="22">
        <f t="array" ref="F3014">IF($C3014="","",IFERROR(INDEX(DATA_MASTER!$L$2:$L$5000,MATCH($C3014,DATA_MASTER!$D$2:$D$5000,0)),""))</f>
        <v/>
      </c>
      <c r="G3014" s="24" t="n"/>
      <c r="H3014" s="24" t="n"/>
      <c r="I3014" s="30" t="n"/>
      <c r="J3014" s="23">
        <f>IF(OR($H3014="",$I3014=""),"",$H3014*$I3014)</f>
        <v/>
      </c>
      <c r="K3014" s="24" t="n"/>
      <c r="L3014" s="24" t="n"/>
      <c r="M3014" s="29" t="n"/>
      <c r="N3014" s="28" t="n"/>
      <c r="O3014" s="24" t="n"/>
      <c r="P3014" s="24" t="n"/>
      <c r="Q3014" s="24" t="n"/>
      <c r="R3014" s="24" t="n"/>
      <c r="S3014" s="22">
        <f>IF(AND($A3014="",$C3014=""),"",IF($A3014="","Thiếu mã đơn; ","")&amp;IF(COUNTIF($A$2:$A3014,$A3014)&gt;1,"Trùng mã đơn; ","")&amp;IF(ISNA(MATCH($C3014,DATA_MASTER!$D$2:$D$5000,0)),"SĐT chưa đăng ký hội viên; ","")&amp;IF(AND($L3014="Đã chuyển khoản",$M3014=""),"Thiếu ngày nhận CK; ",""))</f>
        <v/>
      </c>
      <c r="T3014" s="24" t="n"/>
    </row>
    <row r="3015" ht="14.25" customHeight="1" s="40">
      <c r="A3015" s="24" t="n"/>
      <c r="B3015" s="29" t="n"/>
      <c r="C3015" s="28" t="n"/>
      <c r="D3015" s="22">
        <f t="array" ref="D3015">IF($C3015="","",IFERROR(INDEX(DATA_MASTER!$C$2:$C$5000,MATCH($C3015,DATA_MASTER!$D$2:$D$5000,0)),""))</f>
        <v/>
      </c>
      <c r="E3015" s="22">
        <f t="array" ref="E3015">IF($C3015="","",IFERROR(INDEX(DATA_MASTER!$I$2:$I$5000,MATCH($C3015,DATA_MASTER!$D$2:$D$5000,0)),""))</f>
        <v/>
      </c>
      <c r="F3015" s="22">
        <f t="array" ref="F3015">IF($C3015="","",IFERROR(INDEX(DATA_MASTER!$L$2:$L$5000,MATCH($C3015,DATA_MASTER!$D$2:$D$5000,0)),""))</f>
        <v/>
      </c>
      <c r="G3015" s="24" t="n"/>
      <c r="H3015" s="24" t="n"/>
      <c r="I3015" s="30" t="n"/>
      <c r="J3015" s="23">
        <f>IF(OR($H3015="",$I3015=""),"",$H3015*$I3015)</f>
        <v/>
      </c>
      <c r="K3015" s="24" t="n"/>
      <c r="L3015" s="24" t="n"/>
      <c r="M3015" s="29" t="n"/>
      <c r="N3015" s="28" t="n"/>
      <c r="O3015" s="24" t="n"/>
      <c r="P3015" s="24" t="n"/>
      <c r="Q3015" s="24" t="n"/>
      <c r="R3015" s="24" t="n"/>
      <c r="S3015" s="22">
        <f>IF(AND($A3015="",$C3015=""),"",IF($A3015="","Thiếu mã đơn; ","")&amp;IF(COUNTIF($A$2:$A3015,$A3015)&gt;1,"Trùng mã đơn; ","")&amp;IF(ISNA(MATCH($C3015,DATA_MASTER!$D$2:$D$5000,0)),"SĐT chưa đăng ký hội viên; ","")&amp;IF(AND($L3015="Đã chuyển khoản",$M3015=""),"Thiếu ngày nhận CK; ",""))</f>
        <v/>
      </c>
      <c r="T3015" s="24" t="n"/>
    </row>
    <row r="3016" ht="14.25" customHeight="1" s="40">
      <c r="A3016" s="24" t="n"/>
      <c r="B3016" s="29" t="n"/>
      <c r="C3016" s="28" t="n"/>
      <c r="D3016" s="22">
        <f t="array" ref="D3016">IF($C3016="","",IFERROR(INDEX(DATA_MASTER!$C$2:$C$5000,MATCH($C3016,DATA_MASTER!$D$2:$D$5000,0)),""))</f>
        <v/>
      </c>
      <c r="E3016" s="22">
        <f t="array" ref="E3016">IF($C3016="","",IFERROR(INDEX(DATA_MASTER!$I$2:$I$5000,MATCH($C3016,DATA_MASTER!$D$2:$D$5000,0)),""))</f>
        <v/>
      </c>
      <c r="F3016" s="22">
        <f t="array" ref="F3016">IF($C3016="","",IFERROR(INDEX(DATA_MASTER!$L$2:$L$5000,MATCH($C3016,DATA_MASTER!$D$2:$D$5000,0)),""))</f>
        <v/>
      </c>
      <c r="G3016" s="24" t="n"/>
      <c r="H3016" s="24" t="n"/>
      <c r="I3016" s="30" t="n"/>
      <c r="J3016" s="23">
        <f>IF(OR($H3016="",$I3016=""),"",$H3016*$I3016)</f>
        <v/>
      </c>
      <c r="K3016" s="24" t="n"/>
      <c r="L3016" s="24" t="n"/>
      <c r="M3016" s="29" t="n"/>
      <c r="N3016" s="28" t="n"/>
      <c r="O3016" s="24" t="n"/>
      <c r="P3016" s="24" t="n"/>
      <c r="Q3016" s="24" t="n"/>
      <c r="R3016" s="24" t="n"/>
      <c r="S3016" s="22">
        <f>IF(AND($A3016="",$C3016=""),"",IF($A3016="","Thiếu mã đơn; ","")&amp;IF(COUNTIF($A$2:$A3016,$A3016)&gt;1,"Trùng mã đơn; ","")&amp;IF(ISNA(MATCH($C3016,DATA_MASTER!$D$2:$D$5000,0)),"SĐT chưa đăng ký hội viên; ","")&amp;IF(AND($L3016="Đã chuyển khoản",$M3016=""),"Thiếu ngày nhận CK; ",""))</f>
        <v/>
      </c>
      <c r="T3016" s="24" t="n"/>
    </row>
    <row r="3017" ht="14.25" customHeight="1" s="40">
      <c r="A3017" s="24" t="n"/>
      <c r="B3017" s="29" t="n"/>
      <c r="C3017" s="28" t="n"/>
      <c r="D3017" s="22">
        <f t="array" ref="D3017">IF($C3017="","",IFERROR(INDEX(DATA_MASTER!$C$2:$C$5000,MATCH($C3017,DATA_MASTER!$D$2:$D$5000,0)),""))</f>
        <v/>
      </c>
      <c r="E3017" s="22">
        <f t="array" ref="E3017">IF($C3017="","",IFERROR(INDEX(DATA_MASTER!$I$2:$I$5000,MATCH($C3017,DATA_MASTER!$D$2:$D$5000,0)),""))</f>
        <v/>
      </c>
      <c r="F3017" s="22">
        <f t="array" ref="F3017">IF($C3017="","",IFERROR(INDEX(DATA_MASTER!$L$2:$L$5000,MATCH($C3017,DATA_MASTER!$D$2:$D$5000,0)),""))</f>
        <v/>
      </c>
      <c r="G3017" s="24" t="n"/>
      <c r="H3017" s="24" t="n"/>
      <c r="I3017" s="30" t="n"/>
      <c r="J3017" s="23">
        <f>IF(OR($H3017="",$I3017=""),"",$H3017*$I3017)</f>
        <v/>
      </c>
      <c r="K3017" s="24" t="n"/>
      <c r="L3017" s="24" t="n"/>
      <c r="M3017" s="29" t="n"/>
      <c r="N3017" s="28" t="n"/>
      <c r="O3017" s="24" t="n"/>
      <c r="P3017" s="24" t="n"/>
      <c r="Q3017" s="24" t="n"/>
      <c r="R3017" s="24" t="n"/>
      <c r="S3017" s="22">
        <f>IF(AND($A3017="",$C3017=""),"",IF($A3017="","Thiếu mã đơn; ","")&amp;IF(COUNTIF($A$2:$A3017,$A3017)&gt;1,"Trùng mã đơn; ","")&amp;IF(ISNA(MATCH($C3017,DATA_MASTER!$D$2:$D$5000,0)),"SĐT chưa đăng ký hội viên; ","")&amp;IF(AND($L3017="Đã chuyển khoản",$M3017=""),"Thiếu ngày nhận CK; ",""))</f>
        <v/>
      </c>
      <c r="T3017" s="24" t="n"/>
    </row>
    <row r="3018" ht="14.25" customHeight="1" s="40">
      <c r="A3018" s="24" t="n"/>
      <c r="B3018" s="29" t="n"/>
      <c r="C3018" s="28" t="n"/>
      <c r="D3018" s="22">
        <f t="array" ref="D3018">IF($C3018="","",IFERROR(INDEX(DATA_MASTER!$C$2:$C$5000,MATCH($C3018,DATA_MASTER!$D$2:$D$5000,0)),""))</f>
        <v/>
      </c>
      <c r="E3018" s="22">
        <f t="array" ref="E3018">IF($C3018="","",IFERROR(INDEX(DATA_MASTER!$I$2:$I$5000,MATCH($C3018,DATA_MASTER!$D$2:$D$5000,0)),""))</f>
        <v/>
      </c>
      <c r="F3018" s="22">
        <f t="array" ref="F3018">IF($C3018="","",IFERROR(INDEX(DATA_MASTER!$L$2:$L$5000,MATCH($C3018,DATA_MASTER!$D$2:$D$5000,0)),""))</f>
        <v/>
      </c>
      <c r="G3018" s="24" t="n"/>
      <c r="H3018" s="24" t="n"/>
      <c r="I3018" s="30" t="n"/>
      <c r="J3018" s="23">
        <f>IF(OR($H3018="",$I3018=""),"",$H3018*$I3018)</f>
        <v/>
      </c>
      <c r="K3018" s="24" t="n"/>
      <c r="L3018" s="24" t="n"/>
      <c r="M3018" s="29" t="n"/>
      <c r="N3018" s="28" t="n"/>
      <c r="O3018" s="24" t="n"/>
      <c r="P3018" s="24" t="n"/>
      <c r="Q3018" s="24" t="n"/>
      <c r="R3018" s="24" t="n"/>
      <c r="S3018" s="22">
        <f>IF(AND($A3018="",$C3018=""),"",IF($A3018="","Thiếu mã đơn; ","")&amp;IF(COUNTIF($A$2:$A3018,$A3018)&gt;1,"Trùng mã đơn; ","")&amp;IF(ISNA(MATCH($C3018,DATA_MASTER!$D$2:$D$5000,0)),"SĐT chưa đăng ký hội viên; ","")&amp;IF(AND($L3018="Đã chuyển khoản",$M3018=""),"Thiếu ngày nhận CK; ",""))</f>
        <v/>
      </c>
      <c r="T3018" s="24" t="n"/>
    </row>
    <row r="3019" ht="14.25" customHeight="1" s="40">
      <c r="A3019" s="24" t="n"/>
      <c r="B3019" s="29" t="n"/>
      <c r="C3019" s="28" t="n"/>
      <c r="D3019" s="22">
        <f t="array" ref="D3019">IF($C3019="","",IFERROR(INDEX(DATA_MASTER!$C$2:$C$5000,MATCH($C3019,DATA_MASTER!$D$2:$D$5000,0)),""))</f>
        <v/>
      </c>
      <c r="E3019" s="22">
        <f t="array" ref="E3019">IF($C3019="","",IFERROR(INDEX(DATA_MASTER!$I$2:$I$5000,MATCH($C3019,DATA_MASTER!$D$2:$D$5000,0)),""))</f>
        <v/>
      </c>
      <c r="F3019" s="22">
        <f t="array" ref="F3019">IF($C3019="","",IFERROR(INDEX(DATA_MASTER!$L$2:$L$5000,MATCH($C3019,DATA_MASTER!$D$2:$D$5000,0)),""))</f>
        <v/>
      </c>
      <c r="G3019" s="24" t="n"/>
      <c r="H3019" s="24" t="n"/>
      <c r="I3019" s="30" t="n"/>
      <c r="J3019" s="23">
        <f>IF(OR($H3019="",$I3019=""),"",$H3019*$I3019)</f>
        <v/>
      </c>
      <c r="K3019" s="24" t="n"/>
      <c r="L3019" s="24" t="n"/>
      <c r="M3019" s="29" t="n"/>
      <c r="N3019" s="28" t="n"/>
      <c r="O3019" s="24" t="n"/>
      <c r="P3019" s="24" t="n"/>
      <c r="Q3019" s="24" t="n"/>
      <c r="R3019" s="24" t="n"/>
      <c r="S3019" s="22">
        <f>IF(AND($A3019="",$C3019=""),"",IF($A3019="","Thiếu mã đơn; ","")&amp;IF(COUNTIF($A$2:$A3019,$A3019)&gt;1,"Trùng mã đơn; ","")&amp;IF(ISNA(MATCH($C3019,DATA_MASTER!$D$2:$D$5000,0)),"SĐT chưa đăng ký hội viên; ","")&amp;IF(AND($L3019="Đã chuyển khoản",$M3019=""),"Thiếu ngày nhận CK; ",""))</f>
        <v/>
      </c>
      <c r="T3019" s="24" t="n"/>
    </row>
    <row r="3020" ht="14.25" customHeight="1" s="40">
      <c r="A3020" s="24" t="n"/>
      <c r="B3020" s="29" t="n"/>
      <c r="C3020" s="28" t="n"/>
      <c r="D3020" s="22">
        <f t="array" ref="D3020">IF($C3020="","",IFERROR(INDEX(DATA_MASTER!$C$2:$C$5000,MATCH($C3020,DATA_MASTER!$D$2:$D$5000,0)),""))</f>
        <v/>
      </c>
      <c r="E3020" s="22">
        <f t="array" ref="E3020">IF($C3020="","",IFERROR(INDEX(DATA_MASTER!$I$2:$I$5000,MATCH($C3020,DATA_MASTER!$D$2:$D$5000,0)),""))</f>
        <v/>
      </c>
      <c r="F3020" s="22">
        <f t="array" ref="F3020">IF($C3020="","",IFERROR(INDEX(DATA_MASTER!$L$2:$L$5000,MATCH($C3020,DATA_MASTER!$D$2:$D$5000,0)),""))</f>
        <v/>
      </c>
      <c r="G3020" s="24" t="n"/>
      <c r="H3020" s="24" t="n"/>
      <c r="I3020" s="30" t="n"/>
      <c r="J3020" s="23">
        <f>IF(OR($H3020="",$I3020=""),"",$H3020*$I3020)</f>
        <v/>
      </c>
      <c r="K3020" s="24" t="n"/>
      <c r="L3020" s="24" t="n"/>
      <c r="M3020" s="29" t="n"/>
      <c r="N3020" s="28" t="n"/>
      <c r="O3020" s="24" t="n"/>
      <c r="P3020" s="24" t="n"/>
      <c r="Q3020" s="24" t="n"/>
      <c r="R3020" s="24" t="n"/>
      <c r="S3020" s="22">
        <f>IF(AND($A3020="",$C3020=""),"",IF($A3020="","Thiếu mã đơn; ","")&amp;IF(COUNTIF($A$2:$A3020,$A3020)&gt;1,"Trùng mã đơn; ","")&amp;IF(ISNA(MATCH($C3020,DATA_MASTER!$D$2:$D$5000,0)),"SĐT chưa đăng ký hội viên; ","")&amp;IF(AND($L3020="Đã chuyển khoản",$M3020=""),"Thiếu ngày nhận CK; ",""))</f>
        <v/>
      </c>
      <c r="T3020" s="24" t="n"/>
    </row>
    <row r="3021" ht="14.25" customHeight="1" s="40">
      <c r="A3021" s="24" t="n"/>
      <c r="B3021" s="29" t="n"/>
      <c r="C3021" s="28" t="n"/>
      <c r="D3021" s="22">
        <f t="array" ref="D3021">IF($C3021="","",IFERROR(INDEX(DATA_MASTER!$C$2:$C$5000,MATCH($C3021,DATA_MASTER!$D$2:$D$5000,0)),""))</f>
        <v/>
      </c>
      <c r="E3021" s="22">
        <f t="array" ref="E3021">IF($C3021="","",IFERROR(INDEX(DATA_MASTER!$I$2:$I$5000,MATCH($C3021,DATA_MASTER!$D$2:$D$5000,0)),""))</f>
        <v/>
      </c>
      <c r="F3021" s="22">
        <f t="array" ref="F3021">IF($C3021="","",IFERROR(INDEX(DATA_MASTER!$L$2:$L$5000,MATCH($C3021,DATA_MASTER!$D$2:$D$5000,0)),""))</f>
        <v/>
      </c>
      <c r="G3021" s="24" t="n"/>
      <c r="H3021" s="24" t="n"/>
      <c r="I3021" s="30" t="n"/>
      <c r="J3021" s="23">
        <f>IF(OR($H3021="",$I3021=""),"",$H3021*$I3021)</f>
        <v/>
      </c>
      <c r="K3021" s="24" t="n"/>
      <c r="L3021" s="24" t="n"/>
      <c r="M3021" s="29" t="n"/>
      <c r="N3021" s="28" t="n"/>
      <c r="O3021" s="24" t="n"/>
      <c r="P3021" s="24" t="n"/>
      <c r="Q3021" s="24" t="n"/>
      <c r="R3021" s="24" t="n"/>
      <c r="S3021" s="22">
        <f>IF(AND($A3021="",$C3021=""),"",IF($A3021="","Thiếu mã đơn; ","")&amp;IF(COUNTIF($A$2:$A3021,$A3021)&gt;1,"Trùng mã đơn; ","")&amp;IF(ISNA(MATCH($C3021,DATA_MASTER!$D$2:$D$5000,0)),"SĐT chưa đăng ký hội viên; ","")&amp;IF(AND($L3021="Đã chuyển khoản",$M3021=""),"Thiếu ngày nhận CK; ",""))</f>
        <v/>
      </c>
      <c r="T3021" s="24" t="n"/>
    </row>
    <row r="3022" ht="14.25" customHeight="1" s="40">
      <c r="A3022" s="24" t="n"/>
      <c r="B3022" s="29" t="n"/>
      <c r="C3022" s="28" t="n"/>
      <c r="D3022" s="22">
        <f t="array" ref="D3022">IF($C3022="","",IFERROR(INDEX(DATA_MASTER!$C$2:$C$5000,MATCH($C3022,DATA_MASTER!$D$2:$D$5000,0)),""))</f>
        <v/>
      </c>
      <c r="E3022" s="22">
        <f t="array" ref="E3022">IF($C3022="","",IFERROR(INDEX(DATA_MASTER!$I$2:$I$5000,MATCH($C3022,DATA_MASTER!$D$2:$D$5000,0)),""))</f>
        <v/>
      </c>
      <c r="F3022" s="22">
        <f t="array" ref="F3022">IF($C3022="","",IFERROR(INDEX(DATA_MASTER!$L$2:$L$5000,MATCH($C3022,DATA_MASTER!$D$2:$D$5000,0)),""))</f>
        <v/>
      </c>
      <c r="G3022" s="24" t="n"/>
      <c r="H3022" s="24" t="n"/>
      <c r="I3022" s="30" t="n"/>
      <c r="J3022" s="23">
        <f>IF(OR($H3022="",$I3022=""),"",$H3022*$I3022)</f>
        <v/>
      </c>
      <c r="K3022" s="24" t="n"/>
      <c r="L3022" s="24" t="n"/>
      <c r="M3022" s="29" t="n"/>
      <c r="N3022" s="28" t="n"/>
      <c r="O3022" s="24" t="n"/>
      <c r="P3022" s="24" t="n"/>
      <c r="Q3022" s="24" t="n"/>
      <c r="R3022" s="24" t="n"/>
      <c r="S3022" s="22">
        <f>IF(AND($A3022="",$C3022=""),"",IF($A3022="","Thiếu mã đơn; ","")&amp;IF(COUNTIF($A$2:$A3022,$A3022)&gt;1,"Trùng mã đơn; ","")&amp;IF(ISNA(MATCH($C3022,DATA_MASTER!$D$2:$D$5000,0)),"SĐT chưa đăng ký hội viên; ","")&amp;IF(AND($L3022="Đã chuyển khoản",$M3022=""),"Thiếu ngày nhận CK; ",""))</f>
        <v/>
      </c>
      <c r="T3022" s="24" t="n"/>
    </row>
    <row r="3023" ht="14.25" customHeight="1" s="40">
      <c r="A3023" s="24" t="n"/>
      <c r="B3023" s="29" t="n"/>
      <c r="C3023" s="28" t="n"/>
      <c r="D3023" s="22">
        <f t="array" ref="D3023">IF($C3023="","",IFERROR(INDEX(DATA_MASTER!$C$2:$C$5000,MATCH($C3023,DATA_MASTER!$D$2:$D$5000,0)),""))</f>
        <v/>
      </c>
      <c r="E3023" s="22">
        <f t="array" ref="E3023">IF($C3023="","",IFERROR(INDEX(DATA_MASTER!$I$2:$I$5000,MATCH($C3023,DATA_MASTER!$D$2:$D$5000,0)),""))</f>
        <v/>
      </c>
      <c r="F3023" s="22">
        <f t="array" ref="F3023">IF($C3023="","",IFERROR(INDEX(DATA_MASTER!$L$2:$L$5000,MATCH($C3023,DATA_MASTER!$D$2:$D$5000,0)),""))</f>
        <v/>
      </c>
      <c r="G3023" s="24" t="n"/>
      <c r="H3023" s="24" t="n"/>
      <c r="I3023" s="30" t="n"/>
      <c r="J3023" s="23">
        <f>IF(OR($H3023="",$I3023=""),"",$H3023*$I3023)</f>
        <v/>
      </c>
      <c r="K3023" s="24" t="n"/>
      <c r="L3023" s="24" t="n"/>
      <c r="M3023" s="29" t="n"/>
      <c r="N3023" s="28" t="n"/>
      <c r="O3023" s="24" t="n"/>
      <c r="P3023" s="24" t="n"/>
      <c r="Q3023" s="24" t="n"/>
      <c r="R3023" s="24" t="n"/>
      <c r="S3023" s="22">
        <f>IF(AND($A3023="",$C3023=""),"",IF($A3023="","Thiếu mã đơn; ","")&amp;IF(COUNTIF($A$2:$A3023,$A3023)&gt;1,"Trùng mã đơn; ","")&amp;IF(ISNA(MATCH($C3023,DATA_MASTER!$D$2:$D$5000,0)),"SĐT chưa đăng ký hội viên; ","")&amp;IF(AND($L3023="Đã chuyển khoản",$M3023=""),"Thiếu ngày nhận CK; ",""))</f>
        <v/>
      </c>
      <c r="T3023" s="24" t="n"/>
    </row>
    <row r="3024" ht="14.25" customHeight="1" s="40">
      <c r="A3024" s="24" t="n"/>
      <c r="B3024" s="29" t="n"/>
      <c r="C3024" s="28" t="n"/>
      <c r="D3024" s="22">
        <f t="array" ref="D3024">IF($C3024="","",IFERROR(INDEX(DATA_MASTER!$C$2:$C$5000,MATCH($C3024,DATA_MASTER!$D$2:$D$5000,0)),""))</f>
        <v/>
      </c>
      <c r="E3024" s="22">
        <f t="array" ref="E3024">IF($C3024="","",IFERROR(INDEX(DATA_MASTER!$I$2:$I$5000,MATCH($C3024,DATA_MASTER!$D$2:$D$5000,0)),""))</f>
        <v/>
      </c>
      <c r="F3024" s="22">
        <f t="array" ref="F3024">IF($C3024="","",IFERROR(INDEX(DATA_MASTER!$L$2:$L$5000,MATCH($C3024,DATA_MASTER!$D$2:$D$5000,0)),""))</f>
        <v/>
      </c>
      <c r="G3024" s="24" t="n"/>
      <c r="H3024" s="24" t="n"/>
      <c r="I3024" s="30" t="n"/>
      <c r="J3024" s="23">
        <f>IF(OR($H3024="",$I3024=""),"",$H3024*$I3024)</f>
        <v/>
      </c>
      <c r="K3024" s="24" t="n"/>
      <c r="L3024" s="24" t="n"/>
      <c r="M3024" s="29" t="n"/>
      <c r="N3024" s="28" t="n"/>
      <c r="O3024" s="24" t="n"/>
      <c r="P3024" s="24" t="n"/>
      <c r="Q3024" s="24" t="n"/>
      <c r="R3024" s="24" t="n"/>
      <c r="S3024" s="22">
        <f>IF(AND($A3024="",$C3024=""),"",IF($A3024="","Thiếu mã đơn; ","")&amp;IF(COUNTIF($A$2:$A3024,$A3024)&gt;1,"Trùng mã đơn; ","")&amp;IF(ISNA(MATCH($C3024,DATA_MASTER!$D$2:$D$5000,0)),"SĐT chưa đăng ký hội viên; ","")&amp;IF(AND($L3024="Đã chuyển khoản",$M3024=""),"Thiếu ngày nhận CK; ",""))</f>
        <v/>
      </c>
      <c r="T3024" s="24" t="n"/>
    </row>
    <row r="3025" ht="14.25" customHeight="1" s="40">
      <c r="A3025" s="24" t="n"/>
      <c r="B3025" s="29" t="n"/>
      <c r="C3025" s="28" t="n"/>
      <c r="D3025" s="22">
        <f t="array" ref="D3025">IF($C3025="","",IFERROR(INDEX(DATA_MASTER!$C$2:$C$5000,MATCH($C3025,DATA_MASTER!$D$2:$D$5000,0)),""))</f>
        <v/>
      </c>
      <c r="E3025" s="22">
        <f t="array" ref="E3025">IF($C3025="","",IFERROR(INDEX(DATA_MASTER!$I$2:$I$5000,MATCH($C3025,DATA_MASTER!$D$2:$D$5000,0)),""))</f>
        <v/>
      </c>
      <c r="F3025" s="22">
        <f t="array" ref="F3025">IF($C3025="","",IFERROR(INDEX(DATA_MASTER!$L$2:$L$5000,MATCH($C3025,DATA_MASTER!$D$2:$D$5000,0)),""))</f>
        <v/>
      </c>
      <c r="G3025" s="24" t="n"/>
      <c r="H3025" s="24" t="n"/>
      <c r="I3025" s="30" t="n"/>
      <c r="J3025" s="23">
        <f>IF(OR($H3025="",$I3025=""),"",$H3025*$I3025)</f>
        <v/>
      </c>
      <c r="K3025" s="24" t="n"/>
      <c r="L3025" s="24" t="n"/>
      <c r="M3025" s="29" t="n"/>
      <c r="N3025" s="28" t="n"/>
      <c r="O3025" s="24" t="n"/>
      <c r="P3025" s="24" t="n"/>
      <c r="Q3025" s="24" t="n"/>
      <c r="R3025" s="24" t="n"/>
      <c r="S3025" s="22">
        <f>IF(AND($A3025="",$C3025=""),"",IF($A3025="","Thiếu mã đơn; ","")&amp;IF(COUNTIF($A$2:$A3025,$A3025)&gt;1,"Trùng mã đơn; ","")&amp;IF(ISNA(MATCH($C3025,DATA_MASTER!$D$2:$D$5000,0)),"SĐT chưa đăng ký hội viên; ","")&amp;IF(AND($L3025="Đã chuyển khoản",$M3025=""),"Thiếu ngày nhận CK; ",""))</f>
        <v/>
      </c>
      <c r="T3025" s="24" t="n"/>
    </row>
    <row r="3026" ht="14.25" customHeight="1" s="40">
      <c r="A3026" s="24" t="n"/>
      <c r="B3026" s="29" t="n"/>
      <c r="C3026" s="28" t="n"/>
      <c r="D3026" s="22">
        <f t="array" ref="D3026">IF($C3026="","",IFERROR(INDEX(DATA_MASTER!$C$2:$C$5000,MATCH($C3026,DATA_MASTER!$D$2:$D$5000,0)),""))</f>
        <v/>
      </c>
      <c r="E3026" s="22">
        <f t="array" ref="E3026">IF($C3026="","",IFERROR(INDEX(DATA_MASTER!$I$2:$I$5000,MATCH($C3026,DATA_MASTER!$D$2:$D$5000,0)),""))</f>
        <v/>
      </c>
      <c r="F3026" s="22">
        <f t="array" ref="F3026">IF($C3026="","",IFERROR(INDEX(DATA_MASTER!$L$2:$L$5000,MATCH($C3026,DATA_MASTER!$D$2:$D$5000,0)),""))</f>
        <v/>
      </c>
      <c r="G3026" s="24" t="n"/>
      <c r="H3026" s="24" t="n"/>
      <c r="I3026" s="30" t="n"/>
      <c r="J3026" s="23">
        <f>IF(OR($H3026="",$I3026=""),"",$H3026*$I3026)</f>
        <v/>
      </c>
      <c r="K3026" s="24" t="n"/>
      <c r="L3026" s="24" t="n"/>
      <c r="M3026" s="29" t="n"/>
      <c r="N3026" s="28" t="n"/>
      <c r="O3026" s="24" t="n"/>
      <c r="P3026" s="24" t="n"/>
      <c r="Q3026" s="24" t="n"/>
      <c r="R3026" s="24" t="n"/>
      <c r="S3026" s="22">
        <f>IF(AND($A3026="",$C3026=""),"",IF($A3026="","Thiếu mã đơn; ","")&amp;IF(COUNTIF($A$2:$A3026,$A3026)&gt;1,"Trùng mã đơn; ","")&amp;IF(ISNA(MATCH($C3026,DATA_MASTER!$D$2:$D$5000,0)),"SĐT chưa đăng ký hội viên; ","")&amp;IF(AND($L3026="Đã chuyển khoản",$M3026=""),"Thiếu ngày nhận CK; ",""))</f>
        <v/>
      </c>
      <c r="T3026" s="24" t="n"/>
    </row>
    <row r="3027" ht="14.25" customHeight="1" s="40">
      <c r="A3027" s="24" t="n"/>
      <c r="B3027" s="29" t="n"/>
      <c r="C3027" s="28" t="n"/>
      <c r="D3027" s="22">
        <f t="array" ref="D3027">IF($C3027="","",IFERROR(INDEX(DATA_MASTER!$C$2:$C$5000,MATCH($C3027,DATA_MASTER!$D$2:$D$5000,0)),""))</f>
        <v/>
      </c>
      <c r="E3027" s="22">
        <f t="array" ref="E3027">IF($C3027="","",IFERROR(INDEX(DATA_MASTER!$I$2:$I$5000,MATCH($C3027,DATA_MASTER!$D$2:$D$5000,0)),""))</f>
        <v/>
      </c>
      <c r="F3027" s="22">
        <f t="array" ref="F3027">IF($C3027="","",IFERROR(INDEX(DATA_MASTER!$L$2:$L$5000,MATCH($C3027,DATA_MASTER!$D$2:$D$5000,0)),""))</f>
        <v/>
      </c>
      <c r="G3027" s="24" t="n"/>
      <c r="H3027" s="24" t="n"/>
      <c r="I3027" s="30" t="n"/>
      <c r="J3027" s="23">
        <f>IF(OR($H3027="",$I3027=""),"",$H3027*$I3027)</f>
        <v/>
      </c>
      <c r="K3027" s="24" t="n"/>
      <c r="L3027" s="24" t="n"/>
      <c r="M3027" s="29" t="n"/>
      <c r="N3027" s="28" t="n"/>
      <c r="O3027" s="24" t="n"/>
      <c r="P3027" s="24" t="n"/>
      <c r="Q3027" s="24" t="n"/>
      <c r="R3027" s="24" t="n"/>
      <c r="S3027" s="22">
        <f>IF(AND($A3027="",$C3027=""),"",IF($A3027="","Thiếu mã đơn; ","")&amp;IF(COUNTIF($A$2:$A3027,$A3027)&gt;1,"Trùng mã đơn; ","")&amp;IF(ISNA(MATCH($C3027,DATA_MASTER!$D$2:$D$5000,0)),"SĐT chưa đăng ký hội viên; ","")&amp;IF(AND($L3027="Đã chuyển khoản",$M3027=""),"Thiếu ngày nhận CK; ",""))</f>
        <v/>
      </c>
      <c r="T3027" s="24" t="n"/>
    </row>
    <row r="3028" ht="14.25" customHeight="1" s="40">
      <c r="A3028" s="24" t="n"/>
      <c r="B3028" s="29" t="n"/>
      <c r="C3028" s="28" t="n"/>
      <c r="D3028" s="22">
        <f t="array" ref="D3028">IF($C3028="","",IFERROR(INDEX(DATA_MASTER!$C$2:$C$5000,MATCH($C3028,DATA_MASTER!$D$2:$D$5000,0)),""))</f>
        <v/>
      </c>
      <c r="E3028" s="22">
        <f t="array" ref="E3028">IF($C3028="","",IFERROR(INDEX(DATA_MASTER!$I$2:$I$5000,MATCH($C3028,DATA_MASTER!$D$2:$D$5000,0)),""))</f>
        <v/>
      </c>
      <c r="F3028" s="22">
        <f t="array" ref="F3028">IF($C3028="","",IFERROR(INDEX(DATA_MASTER!$L$2:$L$5000,MATCH($C3028,DATA_MASTER!$D$2:$D$5000,0)),""))</f>
        <v/>
      </c>
      <c r="G3028" s="24" t="n"/>
      <c r="H3028" s="24" t="n"/>
      <c r="I3028" s="30" t="n"/>
      <c r="J3028" s="23">
        <f>IF(OR($H3028="",$I3028=""),"",$H3028*$I3028)</f>
        <v/>
      </c>
      <c r="K3028" s="24" t="n"/>
      <c r="L3028" s="24" t="n"/>
      <c r="M3028" s="29" t="n"/>
      <c r="N3028" s="28" t="n"/>
      <c r="O3028" s="24" t="n"/>
      <c r="P3028" s="24" t="n"/>
      <c r="Q3028" s="24" t="n"/>
      <c r="R3028" s="24" t="n"/>
      <c r="S3028" s="22">
        <f>IF(AND($A3028="",$C3028=""),"",IF($A3028="","Thiếu mã đơn; ","")&amp;IF(COUNTIF($A$2:$A3028,$A3028)&gt;1,"Trùng mã đơn; ","")&amp;IF(ISNA(MATCH($C3028,DATA_MASTER!$D$2:$D$5000,0)),"SĐT chưa đăng ký hội viên; ","")&amp;IF(AND($L3028="Đã chuyển khoản",$M3028=""),"Thiếu ngày nhận CK; ",""))</f>
        <v/>
      </c>
      <c r="T3028" s="24" t="n"/>
    </row>
    <row r="3029" ht="14.25" customHeight="1" s="40">
      <c r="A3029" s="24" t="n"/>
      <c r="B3029" s="29" t="n"/>
      <c r="C3029" s="28" t="n"/>
      <c r="D3029" s="22">
        <f t="array" ref="D3029">IF($C3029="","",IFERROR(INDEX(DATA_MASTER!$C$2:$C$5000,MATCH($C3029,DATA_MASTER!$D$2:$D$5000,0)),""))</f>
        <v/>
      </c>
      <c r="E3029" s="22">
        <f t="array" ref="E3029">IF($C3029="","",IFERROR(INDEX(DATA_MASTER!$I$2:$I$5000,MATCH($C3029,DATA_MASTER!$D$2:$D$5000,0)),""))</f>
        <v/>
      </c>
      <c r="F3029" s="22">
        <f t="array" ref="F3029">IF($C3029="","",IFERROR(INDEX(DATA_MASTER!$L$2:$L$5000,MATCH($C3029,DATA_MASTER!$D$2:$D$5000,0)),""))</f>
        <v/>
      </c>
      <c r="G3029" s="24" t="n"/>
      <c r="H3029" s="24" t="n"/>
      <c r="I3029" s="30" t="n"/>
      <c r="J3029" s="23">
        <f>IF(OR($H3029="",$I3029=""),"",$H3029*$I3029)</f>
        <v/>
      </c>
      <c r="K3029" s="24" t="n"/>
      <c r="L3029" s="24" t="n"/>
      <c r="M3029" s="29" t="n"/>
      <c r="N3029" s="28" t="n"/>
      <c r="O3029" s="24" t="n"/>
      <c r="P3029" s="24" t="n"/>
      <c r="Q3029" s="24" t="n"/>
      <c r="R3029" s="24" t="n"/>
      <c r="S3029" s="22">
        <f>IF(AND($A3029="",$C3029=""),"",IF($A3029="","Thiếu mã đơn; ","")&amp;IF(COUNTIF($A$2:$A3029,$A3029)&gt;1,"Trùng mã đơn; ","")&amp;IF(ISNA(MATCH($C3029,DATA_MASTER!$D$2:$D$5000,0)),"SĐT chưa đăng ký hội viên; ","")&amp;IF(AND($L3029="Đã chuyển khoản",$M3029=""),"Thiếu ngày nhận CK; ",""))</f>
        <v/>
      </c>
      <c r="T3029" s="24" t="n"/>
    </row>
    <row r="3030" ht="14.25" customHeight="1" s="40">
      <c r="A3030" s="24" t="n"/>
      <c r="B3030" s="29" t="n"/>
      <c r="C3030" s="28" t="n"/>
      <c r="D3030" s="22">
        <f t="array" ref="D3030">IF($C3030="","",IFERROR(INDEX(DATA_MASTER!$C$2:$C$5000,MATCH($C3030,DATA_MASTER!$D$2:$D$5000,0)),""))</f>
        <v/>
      </c>
      <c r="E3030" s="22">
        <f t="array" ref="E3030">IF($C3030="","",IFERROR(INDEX(DATA_MASTER!$I$2:$I$5000,MATCH($C3030,DATA_MASTER!$D$2:$D$5000,0)),""))</f>
        <v/>
      </c>
      <c r="F3030" s="22">
        <f t="array" ref="F3030">IF($C3030="","",IFERROR(INDEX(DATA_MASTER!$L$2:$L$5000,MATCH($C3030,DATA_MASTER!$D$2:$D$5000,0)),""))</f>
        <v/>
      </c>
      <c r="G3030" s="24" t="n"/>
      <c r="H3030" s="24" t="n"/>
      <c r="I3030" s="30" t="n"/>
      <c r="J3030" s="23">
        <f>IF(OR($H3030="",$I3030=""),"",$H3030*$I3030)</f>
        <v/>
      </c>
      <c r="K3030" s="24" t="n"/>
      <c r="L3030" s="24" t="n"/>
      <c r="M3030" s="29" t="n"/>
      <c r="N3030" s="28" t="n"/>
      <c r="O3030" s="24" t="n"/>
      <c r="P3030" s="24" t="n"/>
      <c r="Q3030" s="24" t="n"/>
      <c r="R3030" s="24" t="n"/>
      <c r="S3030" s="22">
        <f>IF(AND($A3030="",$C3030=""),"",IF($A3030="","Thiếu mã đơn; ","")&amp;IF(COUNTIF($A$2:$A3030,$A3030)&gt;1,"Trùng mã đơn; ","")&amp;IF(ISNA(MATCH($C3030,DATA_MASTER!$D$2:$D$5000,0)),"SĐT chưa đăng ký hội viên; ","")&amp;IF(AND($L3030="Đã chuyển khoản",$M3030=""),"Thiếu ngày nhận CK; ",""))</f>
        <v/>
      </c>
      <c r="T3030" s="24" t="n"/>
    </row>
    <row r="3031" ht="14.25" customHeight="1" s="40">
      <c r="A3031" s="24" t="n"/>
      <c r="B3031" s="29" t="n"/>
      <c r="C3031" s="28" t="n"/>
      <c r="D3031" s="22">
        <f t="array" ref="D3031">IF($C3031="","",IFERROR(INDEX(DATA_MASTER!$C$2:$C$5000,MATCH($C3031,DATA_MASTER!$D$2:$D$5000,0)),""))</f>
        <v/>
      </c>
      <c r="E3031" s="22">
        <f t="array" ref="E3031">IF($C3031="","",IFERROR(INDEX(DATA_MASTER!$I$2:$I$5000,MATCH($C3031,DATA_MASTER!$D$2:$D$5000,0)),""))</f>
        <v/>
      </c>
      <c r="F3031" s="22">
        <f t="array" ref="F3031">IF($C3031="","",IFERROR(INDEX(DATA_MASTER!$L$2:$L$5000,MATCH($C3031,DATA_MASTER!$D$2:$D$5000,0)),""))</f>
        <v/>
      </c>
      <c r="G3031" s="24" t="n"/>
      <c r="H3031" s="24" t="n"/>
      <c r="I3031" s="30" t="n"/>
      <c r="J3031" s="23">
        <f>IF(OR($H3031="",$I3031=""),"",$H3031*$I3031)</f>
        <v/>
      </c>
      <c r="K3031" s="24" t="n"/>
      <c r="L3031" s="24" t="n"/>
      <c r="M3031" s="29" t="n"/>
      <c r="N3031" s="28" t="n"/>
      <c r="O3031" s="24" t="n"/>
      <c r="P3031" s="24" t="n"/>
      <c r="Q3031" s="24" t="n"/>
      <c r="R3031" s="24" t="n"/>
      <c r="S3031" s="22">
        <f>IF(AND($A3031="",$C3031=""),"",IF($A3031="","Thiếu mã đơn; ","")&amp;IF(COUNTIF($A$2:$A3031,$A3031)&gt;1,"Trùng mã đơn; ","")&amp;IF(ISNA(MATCH($C3031,DATA_MASTER!$D$2:$D$5000,0)),"SĐT chưa đăng ký hội viên; ","")&amp;IF(AND($L3031="Đã chuyển khoản",$M3031=""),"Thiếu ngày nhận CK; ",""))</f>
        <v/>
      </c>
      <c r="T3031" s="24" t="n"/>
    </row>
    <row r="3032" ht="14.25" customHeight="1" s="40">
      <c r="A3032" s="24" t="n"/>
      <c r="B3032" s="29" t="n"/>
      <c r="C3032" s="28" t="n"/>
      <c r="D3032" s="22">
        <f t="array" ref="D3032">IF($C3032="","",IFERROR(INDEX(DATA_MASTER!$C$2:$C$5000,MATCH($C3032,DATA_MASTER!$D$2:$D$5000,0)),""))</f>
        <v/>
      </c>
      <c r="E3032" s="22">
        <f t="array" ref="E3032">IF($C3032="","",IFERROR(INDEX(DATA_MASTER!$I$2:$I$5000,MATCH($C3032,DATA_MASTER!$D$2:$D$5000,0)),""))</f>
        <v/>
      </c>
      <c r="F3032" s="22">
        <f t="array" ref="F3032">IF($C3032="","",IFERROR(INDEX(DATA_MASTER!$L$2:$L$5000,MATCH($C3032,DATA_MASTER!$D$2:$D$5000,0)),""))</f>
        <v/>
      </c>
      <c r="G3032" s="24" t="n"/>
      <c r="H3032" s="24" t="n"/>
      <c r="I3032" s="30" t="n"/>
      <c r="J3032" s="23">
        <f>IF(OR($H3032="",$I3032=""),"",$H3032*$I3032)</f>
        <v/>
      </c>
      <c r="K3032" s="24" t="n"/>
      <c r="L3032" s="24" t="n"/>
      <c r="M3032" s="29" t="n"/>
      <c r="N3032" s="28" t="n"/>
      <c r="O3032" s="24" t="n"/>
      <c r="P3032" s="24" t="n"/>
      <c r="Q3032" s="24" t="n"/>
      <c r="R3032" s="24" t="n"/>
      <c r="S3032" s="22">
        <f>IF(AND($A3032="",$C3032=""),"",IF($A3032="","Thiếu mã đơn; ","")&amp;IF(COUNTIF($A$2:$A3032,$A3032)&gt;1,"Trùng mã đơn; ","")&amp;IF(ISNA(MATCH($C3032,DATA_MASTER!$D$2:$D$5000,0)),"SĐT chưa đăng ký hội viên; ","")&amp;IF(AND($L3032="Đã chuyển khoản",$M3032=""),"Thiếu ngày nhận CK; ",""))</f>
        <v/>
      </c>
      <c r="T3032" s="24" t="n"/>
    </row>
    <row r="3033" ht="14.25" customHeight="1" s="40">
      <c r="A3033" s="24" t="n"/>
      <c r="B3033" s="29" t="n"/>
      <c r="C3033" s="28" t="n"/>
      <c r="D3033" s="22">
        <f t="array" ref="D3033">IF($C3033="","",IFERROR(INDEX(DATA_MASTER!$C$2:$C$5000,MATCH($C3033,DATA_MASTER!$D$2:$D$5000,0)),""))</f>
        <v/>
      </c>
      <c r="E3033" s="22">
        <f t="array" ref="E3033">IF($C3033="","",IFERROR(INDEX(DATA_MASTER!$I$2:$I$5000,MATCH($C3033,DATA_MASTER!$D$2:$D$5000,0)),""))</f>
        <v/>
      </c>
      <c r="F3033" s="22">
        <f t="array" ref="F3033">IF($C3033="","",IFERROR(INDEX(DATA_MASTER!$L$2:$L$5000,MATCH($C3033,DATA_MASTER!$D$2:$D$5000,0)),""))</f>
        <v/>
      </c>
      <c r="G3033" s="24" t="n"/>
      <c r="H3033" s="24" t="n"/>
      <c r="I3033" s="30" t="n"/>
      <c r="J3033" s="23">
        <f>IF(OR($H3033="",$I3033=""),"",$H3033*$I3033)</f>
        <v/>
      </c>
      <c r="K3033" s="24" t="n"/>
      <c r="L3033" s="24" t="n"/>
      <c r="M3033" s="29" t="n"/>
      <c r="N3033" s="28" t="n"/>
      <c r="O3033" s="24" t="n"/>
      <c r="P3033" s="24" t="n"/>
      <c r="Q3033" s="24" t="n"/>
      <c r="R3033" s="24" t="n"/>
      <c r="S3033" s="22">
        <f>IF(AND($A3033="",$C3033=""),"",IF($A3033="","Thiếu mã đơn; ","")&amp;IF(COUNTIF($A$2:$A3033,$A3033)&gt;1,"Trùng mã đơn; ","")&amp;IF(ISNA(MATCH($C3033,DATA_MASTER!$D$2:$D$5000,0)),"SĐT chưa đăng ký hội viên; ","")&amp;IF(AND($L3033="Đã chuyển khoản",$M3033=""),"Thiếu ngày nhận CK; ",""))</f>
        <v/>
      </c>
      <c r="T3033" s="24" t="n"/>
    </row>
    <row r="3034" ht="14.25" customHeight="1" s="40">
      <c r="A3034" s="24" t="n"/>
      <c r="B3034" s="29" t="n"/>
      <c r="C3034" s="28" t="n"/>
      <c r="D3034" s="22">
        <f t="array" ref="D3034">IF($C3034="","",IFERROR(INDEX(DATA_MASTER!$C$2:$C$5000,MATCH($C3034,DATA_MASTER!$D$2:$D$5000,0)),""))</f>
        <v/>
      </c>
      <c r="E3034" s="22">
        <f t="array" ref="E3034">IF($C3034="","",IFERROR(INDEX(DATA_MASTER!$I$2:$I$5000,MATCH($C3034,DATA_MASTER!$D$2:$D$5000,0)),""))</f>
        <v/>
      </c>
      <c r="F3034" s="22">
        <f t="array" ref="F3034">IF($C3034="","",IFERROR(INDEX(DATA_MASTER!$L$2:$L$5000,MATCH($C3034,DATA_MASTER!$D$2:$D$5000,0)),""))</f>
        <v/>
      </c>
      <c r="G3034" s="24" t="n"/>
      <c r="H3034" s="24" t="n"/>
      <c r="I3034" s="30" t="n"/>
      <c r="J3034" s="23">
        <f>IF(OR($H3034="",$I3034=""),"",$H3034*$I3034)</f>
        <v/>
      </c>
      <c r="K3034" s="24" t="n"/>
      <c r="L3034" s="24" t="n"/>
      <c r="M3034" s="29" t="n"/>
      <c r="N3034" s="28" t="n"/>
      <c r="O3034" s="24" t="n"/>
      <c r="P3034" s="24" t="n"/>
      <c r="Q3034" s="24" t="n"/>
      <c r="R3034" s="24" t="n"/>
      <c r="S3034" s="22">
        <f>IF(AND($A3034="",$C3034=""),"",IF($A3034="","Thiếu mã đơn; ","")&amp;IF(COUNTIF($A$2:$A3034,$A3034)&gt;1,"Trùng mã đơn; ","")&amp;IF(ISNA(MATCH($C3034,DATA_MASTER!$D$2:$D$5000,0)),"SĐT chưa đăng ký hội viên; ","")&amp;IF(AND($L3034="Đã chuyển khoản",$M3034=""),"Thiếu ngày nhận CK; ",""))</f>
        <v/>
      </c>
      <c r="T3034" s="24" t="n"/>
    </row>
    <row r="3035" ht="14.25" customHeight="1" s="40">
      <c r="A3035" s="24" t="n"/>
      <c r="B3035" s="29" t="n"/>
      <c r="C3035" s="28" t="n"/>
      <c r="D3035" s="22">
        <f t="array" ref="D3035">IF($C3035="","",IFERROR(INDEX(DATA_MASTER!$C$2:$C$5000,MATCH($C3035,DATA_MASTER!$D$2:$D$5000,0)),""))</f>
        <v/>
      </c>
      <c r="E3035" s="22">
        <f t="array" ref="E3035">IF($C3035="","",IFERROR(INDEX(DATA_MASTER!$I$2:$I$5000,MATCH($C3035,DATA_MASTER!$D$2:$D$5000,0)),""))</f>
        <v/>
      </c>
      <c r="F3035" s="22">
        <f t="array" ref="F3035">IF($C3035="","",IFERROR(INDEX(DATA_MASTER!$L$2:$L$5000,MATCH($C3035,DATA_MASTER!$D$2:$D$5000,0)),""))</f>
        <v/>
      </c>
      <c r="G3035" s="24" t="n"/>
      <c r="H3035" s="24" t="n"/>
      <c r="I3035" s="30" t="n"/>
      <c r="J3035" s="23">
        <f>IF(OR($H3035="",$I3035=""),"",$H3035*$I3035)</f>
        <v/>
      </c>
      <c r="K3035" s="24" t="n"/>
      <c r="L3035" s="24" t="n"/>
      <c r="M3035" s="29" t="n"/>
      <c r="N3035" s="28" t="n"/>
      <c r="O3035" s="24" t="n"/>
      <c r="P3035" s="24" t="n"/>
      <c r="Q3035" s="24" t="n"/>
      <c r="R3035" s="24" t="n"/>
      <c r="S3035" s="22">
        <f>IF(AND($A3035="",$C3035=""),"",IF($A3035="","Thiếu mã đơn; ","")&amp;IF(COUNTIF($A$2:$A3035,$A3035)&gt;1,"Trùng mã đơn; ","")&amp;IF(ISNA(MATCH($C3035,DATA_MASTER!$D$2:$D$5000,0)),"SĐT chưa đăng ký hội viên; ","")&amp;IF(AND($L3035="Đã chuyển khoản",$M3035=""),"Thiếu ngày nhận CK; ",""))</f>
        <v/>
      </c>
      <c r="T3035" s="24" t="n"/>
    </row>
    <row r="3036" ht="14.25" customHeight="1" s="40">
      <c r="A3036" s="24" t="n"/>
      <c r="B3036" s="29" t="n"/>
      <c r="C3036" s="28" t="n"/>
      <c r="D3036" s="22">
        <f t="array" ref="D3036">IF($C3036="","",IFERROR(INDEX(DATA_MASTER!$C$2:$C$5000,MATCH($C3036,DATA_MASTER!$D$2:$D$5000,0)),""))</f>
        <v/>
      </c>
      <c r="E3036" s="22">
        <f t="array" ref="E3036">IF($C3036="","",IFERROR(INDEX(DATA_MASTER!$I$2:$I$5000,MATCH($C3036,DATA_MASTER!$D$2:$D$5000,0)),""))</f>
        <v/>
      </c>
      <c r="F3036" s="22">
        <f t="array" ref="F3036">IF($C3036="","",IFERROR(INDEX(DATA_MASTER!$L$2:$L$5000,MATCH($C3036,DATA_MASTER!$D$2:$D$5000,0)),""))</f>
        <v/>
      </c>
      <c r="G3036" s="24" t="n"/>
      <c r="H3036" s="24" t="n"/>
      <c r="I3036" s="30" t="n"/>
      <c r="J3036" s="23">
        <f>IF(OR($H3036="",$I3036=""),"",$H3036*$I3036)</f>
        <v/>
      </c>
      <c r="K3036" s="24" t="n"/>
      <c r="L3036" s="24" t="n"/>
      <c r="M3036" s="29" t="n"/>
      <c r="N3036" s="28" t="n"/>
      <c r="O3036" s="24" t="n"/>
      <c r="P3036" s="24" t="n"/>
      <c r="Q3036" s="24" t="n"/>
      <c r="R3036" s="24" t="n"/>
      <c r="S3036" s="22">
        <f>IF(AND($A3036="",$C3036=""),"",IF($A3036="","Thiếu mã đơn; ","")&amp;IF(COUNTIF($A$2:$A3036,$A3036)&gt;1,"Trùng mã đơn; ","")&amp;IF(ISNA(MATCH($C3036,DATA_MASTER!$D$2:$D$5000,0)),"SĐT chưa đăng ký hội viên; ","")&amp;IF(AND($L3036="Đã chuyển khoản",$M3036=""),"Thiếu ngày nhận CK; ",""))</f>
        <v/>
      </c>
      <c r="T3036" s="24" t="n"/>
    </row>
    <row r="3037" ht="14.25" customHeight="1" s="40">
      <c r="A3037" s="24" t="n"/>
      <c r="B3037" s="29" t="n"/>
      <c r="C3037" s="28" t="n"/>
      <c r="D3037" s="22">
        <f t="array" ref="D3037">IF($C3037="","",IFERROR(INDEX(DATA_MASTER!$C$2:$C$5000,MATCH($C3037,DATA_MASTER!$D$2:$D$5000,0)),""))</f>
        <v/>
      </c>
      <c r="E3037" s="22">
        <f t="array" ref="E3037">IF($C3037="","",IFERROR(INDEX(DATA_MASTER!$I$2:$I$5000,MATCH($C3037,DATA_MASTER!$D$2:$D$5000,0)),""))</f>
        <v/>
      </c>
      <c r="F3037" s="22">
        <f t="array" ref="F3037">IF($C3037="","",IFERROR(INDEX(DATA_MASTER!$L$2:$L$5000,MATCH($C3037,DATA_MASTER!$D$2:$D$5000,0)),""))</f>
        <v/>
      </c>
      <c r="G3037" s="24" t="n"/>
      <c r="H3037" s="24" t="n"/>
      <c r="I3037" s="30" t="n"/>
      <c r="J3037" s="23">
        <f>IF(OR($H3037="",$I3037=""),"",$H3037*$I3037)</f>
        <v/>
      </c>
      <c r="K3037" s="24" t="n"/>
      <c r="L3037" s="24" t="n"/>
      <c r="M3037" s="29" t="n"/>
      <c r="N3037" s="28" t="n"/>
      <c r="O3037" s="24" t="n"/>
      <c r="P3037" s="24" t="n"/>
      <c r="Q3037" s="24" t="n"/>
      <c r="R3037" s="24" t="n"/>
      <c r="S3037" s="22">
        <f>IF(AND($A3037="",$C3037=""),"",IF($A3037="","Thiếu mã đơn; ","")&amp;IF(COUNTIF($A$2:$A3037,$A3037)&gt;1,"Trùng mã đơn; ","")&amp;IF(ISNA(MATCH($C3037,DATA_MASTER!$D$2:$D$5000,0)),"SĐT chưa đăng ký hội viên; ","")&amp;IF(AND($L3037="Đã chuyển khoản",$M3037=""),"Thiếu ngày nhận CK; ",""))</f>
        <v/>
      </c>
      <c r="T3037" s="24" t="n"/>
    </row>
    <row r="3038" ht="14.25" customHeight="1" s="40">
      <c r="A3038" s="24" t="n"/>
      <c r="B3038" s="29" t="n"/>
      <c r="C3038" s="28" t="n"/>
      <c r="D3038" s="22">
        <f t="array" ref="D3038">IF($C3038="","",IFERROR(INDEX(DATA_MASTER!$C$2:$C$5000,MATCH($C3038,DATA_MASTER!$D$2:$D$5000,0)),""))</f>
        <v/>
      </c>
      <c r="E3038" s="22">
        <f t="array" ref="E3038">IF($C3038="","",IFERROR(INDEX(DATA_MASTER!$I$2:$I$5000,MATCH($C3038,DATA_MASTER!$D$2:$D$5000,0)),""))</f>
        <v/>
      </c>
      <c r="F3038" s="22">
        <f t="array" ref="F3038">IF($C3038="","",IFERROR(INDEX(DATA_MASTER!$L$2:$L$5000,MATCH($C3038,DATA_MASTER!$D$2:$D$5000,0)),""))</f>
        <v/>
      </c>
      <c r="G3038" s="24" t="n"/>
      <c r="H3038" s="24" t="n"/>
      <c r="I3038" s="30" t="n"/>
      <c r="J3038" s="23">
        <f>IF(OR($H3038="",$I3038=""),"",$H3038*$I3038)</f>
        <v/>
      </c>
      <c r="K3038" s="24" t="n"/>
      <c r="L3038" s="24" t="n"/>
      <c r="M3038" s="29" t="n"/>
      <c r="N3038" s="28" t="n"/>
      <c r="O3038" s="24" t="n"/>
      <c r="P3038" s="24" t="n"/>
      <c r="Q3038" s="24" t="n"/>
      <c r="R3038" s="24" t="n"/>
      <c r="S3038" s="22">
        <f>IF(AND($A3038="",$C3038=""),"",IF($A3038="","Thiếu mã đơn; ","")&amp;IF(COUNTIF($A$2:$A3038,$A3038)&gt;1,"Trùng mã đơn; ","")&amp;IF(ISNA(MATCH($C3038,DATA_MASTER!$D$2:$D$5000,0)),"SĐT chưa đăng ký hội viên; ","")&amp;IF(AND($L3038="Đã chuyển khoản",$M3038=""),"Thiếu ngày nhận CK; ",""))</f>
        <v/>
      </c>
      <c r="T3038" s="24" t="n"/>
    </row>
    <row r="3039" ht="14.25" customHeight="1" s="40">
      <c r="A3039" s="24" t="n"/>
      <c r="B3039" s="29" t="n"/>
      <c r="C3039" s="28" t="n"/>
      <c r="D3039" s="22">
        <f t="array" ref="D3039">IF($C3039="","",IFERROR(INDEX(DATA_MASTER!$C$2:$C$5000,MATCH($C3039,DATA_MASTER!$D$2:$D$5000,0)),""))</f>
        <v/>
      </c>
      <c r="E3039" s="22">
        <f t="array" ref="E3039">IF($C3039="","",IFERROR(INDEX(DATA_MASTER!$I$2:$I$5000,MATCH($C3039,DATA_MASTER!$D$2:$D$5000,0)),""))</f>
        <v/>
      </c>
      <c r="F3039" s="22">
        <f t="array" ref="F3039">IF($C3039="","",IFERROR(INDEX(DATA_MASTER!$L$2:$L$5000,MATCH($C3039,DATA_MASTER!$D$2:$D$5000,0)),""))</f>
        <v/>
      </c>
      <c r="G3039" s="24" t="n"/>
      <c r="H3039" s="24" t="n"/>
      <c r="I3039" s="30" t="n"/>
      <c r="J3039" s="23">
        <f>IF(OR($H3039="",$I3039=""),"",$H3039*$I3039)</f>
        <v/>
      </c>
      <c r="K3039" s="24" t="n"/>
      <c r="L3039" s="24" t="n"/>
      <c r="M3039" s="29" t="n"/>
      <c r="N3039" s="28" t="n"/>
      <c r="O3039" s="24" t="n"/>
      <c r="P3039" s="24" t="n"/>
      <c r="Q3039" s="24" t="n"/>
      <c r="R3039" s="24" t="n"/>
      <c r="S3039" s="22">
        <f>IF(AND($A3039="",$C3039=""),"",IF($A3039="","Thiếu mã đơn; ","")&amp;IF(COUNTIF($A$2:$A3039,$A3039)&gt;1,"Trùng mã đơn; ","")&amp;IF(ISNA(MATCH($C3039,DATA_MASTER!$D$2:$D$5000,0)),"SĐT chưa đăng ký hội viên; ","")&amp;IF(AND($L3039="Đã chuyển khoản",$M3039=""),"Thiếu ngày nhận CK; ",""))</f>
        <v/>
      </c>
      <c r="T3039" s="24" t="n"/>
    </row>
    <row r="3040" ht="14.25" customHeight="1" s="40">
      <c r="A3040" s="24" t="n"/>
      <c r="B3040" s="29" t="n"/>
      <c r="C3040" s="28" t="n"/>
      <c r="D3040" s="22">
        <f t="array" ref="D3040">IF($C3040="","",IFERROR(INDEX(DATA_MASTER!$C$2:$C$5000,MATCH($C3040,DATA_MASTER!$D$2:$D$5000,0)),""))</f>
        <v/>
      </c>
      <c r="E3040" s="22">
        <f t="array" ref="E3040">IF($C3040="","",IFERROR(INDEX(DATA_MASTER!$I$2:$I$5000,MATCH($C3040,DATA_MASTER!$D$2:$D$5000,0)),""))</f>
        <v/>
      </c>
      <c r="F3040" s="22">
        <f t="array" ref="F3040">IF($C3040="","",IFERROR(INDEX(DATA_MASTER!$L$2:$L$5000,MATCH($C3040,DATA_MASTER!$D$2:$D$5000,0)),""))</f>
        <v/>
      </c>
      <c r="G3040" s="24" t="n"/>
      <c r="H3040" s="24" t="n"/>
      <c r="I3040" s="30" t="n"/>
      <c r="J3040" s="23">
        <f>IF(OR($H3040="",$I3040=""),"",$H3040*$I3040)</f>
        <v/>
      </c>
      <c r="K3040" s="24" t="n"/>
      <c r="L3040" s="24" t="n"/>
      <c r="M3040" s="29" t="n"/>
      <c r="N3040" s="28" t="n"/>
      <c r="O3040" s="24" t="n"/>
      <c r="P3040" s="24" t="n"/>
      <c r="Q3040" s="24" t="n"/>
      <c r="R3040" s="24" t="n"/>
      <c r="S3040" s="22">
        <f>IF(AND($A3040="",$C3040=""),"",IF($A3040="","Thiếu mã đơn; ","")&amp;IF(COUNTIF($A$2:$A3040,$A3040)&gt;1,"Trùng mã đơn; ","")&amp;IF(ISNA(MATCH($C3040,DATA_MASTER!$D$2:$D$5000,0)),"SĐT chưa đăng ký hội viên; ","")&amp;IF(AND($L3040="Đã chuyển khoản",$M3040=""),"Thiếu ngày nhận CK; ",""))</f>
        <v/>
      </c>
      <c r="T3040" s="24" t="n"/>
    </row>
    <row r="3041" ht="14.25" customHeight="1" s="40">
      <c r="A3041" s="24" t="n"/>
      <c r="B3041" s="29" t="n"/>
      <c r="C3041" s="28" t="n"/>
      <c r="D3041" s="22">
        <f t="array" ref="D3041">IF($C3041="","",IFERROR(INDEX(DATA_MASTER!$C$2:$C$5000,MATCH($C3041,DATA_MASTER!$D$2:$D$5000,0)),""))</f>
        <v/>
      </c>
      <c r="E3041" s="22">
        <f t="array" ref="E3041">IF($C3041="","",IFERROR(INDEX(DATA_MASTER!$I$2:$I$5000,MATCH($C3041,DATA_MASTER!$D$2:$D$5000,0)),""))</f>
        <v/>
      </c>
      <c r="F3041" s="22">
        <f t="array" ref="F3041">IF($C3041="","",IFERROR(INDEX(DATA_MASTER!$L$2:$L$5000,MATCH($C3041,DATA_MASTER!$D$2:$D$5000,0)),""))</f>
        <v/>
      </c>
      <c r="G3041" s="24" t="n"/>
      <c r="H3041" s="24" t="n"/>
      <c r="I3041" s="30" t="n"/>
      <c r="J3041" s="23">
        <f>IF(OR($H3041="",$I3041=""),"",$H3041*$I3041)</f>
        <v/>
      </c>
      <c r="K3041" s="24" t="n"/>
      <c r="L3041" s="24" t="n"/>
      <c r="M3041" s="29" t="n"/>
      <c r="N3041" s="28" t="n"/>
      <c r="O3041" s="24" t="n"/>
      <c r="P3041" s="24" t="n"/>
      <c r="Q3041" s="24" t="n"/>
      <c r="R3041" s="24" t="n"/>
      <c r="S3041" s="22">
        <f>IF(AND($A3041="",$C3041=""),"",IF($A3041="","Thiếu mã đơn; ","")&amp;IF(COUNTIF($A$2:$A3041,$A3041)&gt;1,"Trùng mã đơn; ","")&amp;IF(ISNA(MATCH($C3041,DATA_MASTER!$D$2:$D$5000,0)),"SĐT chưa đăng ký hội viên; ","")&amp;IF(AND($L3041="Đã chuyển khoản",$M3041=""),"Thiếu ngày nhận CK; ",""))</f>
        <v/>
      </c>
      <c r="T3041" s="24" t="n"/>
    </row>
    <row r="3042" ht="14.25" customHeight="1" s="40">
      <c r="A3042" s="24" t="n"/>
      <c r="B3042" s="29" t="n"/>
      <c r="C3042" s="28" t="n"/>
      <c r="D3042" s="22">
        <f t="array" ref="D3042">IF($C3042="","",IFERROR(INDEX(DATA_MASTER!$C$2:$C$5000,MATCH($C3042,DATA_MASTER!$D$2:$D$5000,0)),""))</f>
        <v/>
      </c>
      <c r="E3042" s="22">
        <f t="array" ref="E3042">IF($C3042="","",IFERROR(INDEX(DATA_MASTER!$I$2:$I$5000,MATCH($C3042,DATA_MASTER!$D$2:$D$5000,0)),""))</f>
        <v/>
      </c>
      <c r="F3042" s="22">
        <f t="array" ref="F3042">IF($C3042="","",IFERROR(INDEX(DATA_MASTER!$L$2:$L$5000,MATCH($C3042,DATA_MASTER!$D$2:$D$5000,0)),""))</f>
        <v/>
      </c>
      <c r="G3042" s="24" t="n"/>
      <c r="H3042" s="24" t="n"/>
      <c r="I3042" s="30" t="n"/>
      <c r="J3042" s="23">
        <f>IF(OR($H3042="",$I3042=""),"",$H3042*$I3042)</f>
        <v/>
      </c>
      <c r="K3042" s="24" t="n"/>
      <c r="L3042" s="24" t="n"/>
      <c r="M3042" s="29" t="n"/>
      <c r="N3042" s="28" t="n"/>
      <c r="O3042" s="24" t="n"/>
      <c r="P3042" s="24" t="n"/>
      <c r="Q3042" s="24" t="n"/>
      <c r="R3042" s="24" t="n"/>
      <c r="S3042" s="22">
        <f>IF(AND($A3042="",$C3042=""),"",IF($A3042="","Thiếu mã đơn; ","")&amp;IF(COUNTIF($A$2:$A3042,$A3042)&gt;1,"Trùng mã đơn; ","")&amp;IF(ISNA(MATCH($C3042,DATA_MASTER!$D$2:$D$5000,0)),"SĐT chưa đăng ký hội viên; ","")&amp;IF(AND($L3042="Đã chuyển khoản",$M3042=""),"Thiếu ngày nhận CK; ",""))</f>
        <v/>
      </c>
      <c r="T3042" s="24" t="n"/>
    </row>
    <row r="3043" ht="14.25" customHeight="1" s="40">
      <c r="A3043" s="24" t="n"/>
      <c r="B3043" s="29" t="n"/>
      <c r="C3043" s="28" t="n"/>
      <c r="D3043" s="22">
        <f t="array" ref="D3043">IF($C3043="","",IFERROR(INDEX(DATA_MASTER!$C$2:$C$5000,MATCH($C3043,DATA_MASTER!$D$2:$D$5000,0)),""))</f>
        <v/>
      </c>
      <c r="E3043" s="22">
        <f t="array" ref="E3043">IF($C3043="","",IFERROR(INDEX(DATA_MASTER!$I$2:$I$5000,MATCH($C3043,DATA_MASTER!$D$2:$D$5000,0)),""))</f>
        <v/>
      </c>
      <c r="F3043" s="22">
        <f t="array" ref="F3043">IF($C3043="","",IFERROR(INDEX(DATA_MASTER!$L$2:$L$5000,MATCH($C3043,DATA_MASTER!$D$2:$D$5000,0)),""))</f>
        <v/>
      </c>
      <c r="G3043" s="24" t="n"/>
      <c r="H3043" s="24" t="n"/>
      <c r="I3043" s="30" t="n"/>
      <c r="J3043" s="23">
        <f>IF(OR($H3043="",$I3043=""),"",$H3043*$I3043)</f>
        <v/>
      </c>
      <c r="K3043" s="24" t="n"/>
      <c r="L3043" s="24" t="n"/>
      <c r="M3043" s="29" t="n"/>
      <c r="N3043" s="28" t="n"/>
      <c r="O3043" s="24" t="n"/>
      <c r="P3043" s="24" t="n"/>
      <c r="Q3043" s="24" t="n"/>
      <c r="R3043" s="24" t="n"/>
      <c r="S3043" s="22">
        <f>IF(AND($A3043="",$C3043=""),"",IF($A3043="","Thiếu mã đơn; ","")&amp;IF(COUNTIF($A$2:$A3043,$A3043)&gt;1,"Trùng mã đơn; ","")&amp;IF(ISNA(MATCH($C3043,DATA_MASTER!$D$2:$D$5000,0)),"SĐT chưa đăng ký hội viên; ","")&amp;IF(AND($L3043="Đã chuyển khoản",$M3043=""),"Thiếu ngày nhận CK; ",""))</f>
        <v/>
      </c>
      <c r="T3043" s="24" t="n"/>
    </row>
    <row r="3044" ht="14.25" customHeight="1" s="40">
      <c r="A3044" s="24" t="n"/>
      <c r="B3044" s="29" t="n"/>
      <c r="C3044" s="28" t="n"/>
      <c r="D3044" s="22">
        <f t="array" ref="D3044">IF($C3044="","",IFERROR(INDEX(DATA_MASTER!$C$2:$C$5000,MATCH($C3044,DATA_MASTER!$D$2:$D$5000,0)),""))</f>
        <v/>
      </c>
      <c r="E3044" s="22">
        <f t="array" ref="E3044">IF($C3044="","",IFERROR(INDEX(DATA_MASTER!$I$2:$I$5000,MATCH($C3044,DATA_MASTER!$D$2:$D$5000,0)),""))</f>
        <v/>
      </c>
      <c r="F3044" s="22">
        <f t="array" ref="F3044">IF($C3044="","",IFERROR(INDEX(DATA_MASTER!$L$2:$L$5000,MATCH($C3044,DATA_MASTER!$D$2:$D$5000,0)),""))</f>
        <v/>
      </c>
      <c r="G3044" s="24" t="n"/>
      <c r="H3044" s="24" t="n"/>
      <c r="I3044" s="30" t="n"/>
      <c r="J3044" s="23">
        <f>IF(OR($H3044="",$I3044=""),"",$H3044*$I3044)</f>
        <v/>
      </c>
      <c r="K3044" s="24" t="n"/>
      <c r="L3044" s="24" t="n"/>
      <c r="M3044" s="29" t="n"/>
      <c r="N3044" s="28" t="n"/>
      <c r="O3044" s="24" t="n"/>
      <c r="P3044" s="24" t="n"/>
      <c r="Q3044" s="24" t="n"/>
      <c r="R3044" s="24" t="n"/>
      <c r="S3044" s="22">
        <f>IF(AND($A3044="",$C3044=""),"",IF($A3044="","Thiếu mã đơn; ","")&amp;IF(COUNTIF($A$2:$A3044,$A3044)&gt;1,"Trùng mã đơn; ","")&amp;IF(ISNA(MATCH($C3044,DATA_MASTER!$D$2:$D$5000,0)),"SĐT chưa đăng ký hội viên; ","")&amp;IF(AND($L3044="Đã chuyển khoản",$M3044=""),"Thiếu ngày nhận CK; ",""))</f>
        <v/>
      </c>
      <c r="T3044" s="24" t="n"/>
    </row>
    <row r="3045" ht="14.25" customHeight="1" s="40">
      <c r="A3045" s="24" t="n"/>
      <c r="B3045" s="29" t="n"/>
      <c r="C3045" s="28" t="n"/>
      <c r="D3045" s="22">
        <f t="array" ref="D3045">IF($C3045="","",IFERROR(INDEX(DATA_MASTER!$C$2:$C$5000,MATCH($C3045,DATA_MASTER!$D$2:$D$5000,0)),""))</f>
        <v/>
      </c>
      <c r="E3045" s="22">
        <f t="array" ref="E3045">IF($C3045="","",IFERROR(INDEX(DATA_MASTER!$I$2:$I$5000,MATCH($C3045,DATA_MASTER!$D$2:$D$5000,0)),""))</f>
        <v/>
      </c>
      <c r="F3045" s="22">
        <f t="array" ref="F3045">IF($C3045="","",IFERROR(INDEX(DATA_MASTER!$L$2:$L$5000,MATCH($C3045,DATA_MASTER!$D$2:$D$5000,0)),""))</f>
        <v/>
      </c>
      <c r="G3045" s="24" t="n"/>
      <c r="H3045" s="24" t="n"/>
      <c r="I3045" s="30" t="n"/>
      <c r="J3045" s="23">
        <f>IF(OR($H3045="",$I3045=""),"",$H3045*$I3045)</f>
        <v/>
      </c>
      <c r="K3045" s="24" t="n"/>
      <c r="L3045" s="24" t="n"/>
      <c r="M3045" s="29" t="n"/>
      <c r="N3045" s="28" t="n"/>
      <c r="O3045" s="24" t="n"/>
      <c r="P3045" s="24" t="n"/>
      <c r="Q3045" s="24" t="n"/>
      <c r="R3045" s="24" t="n"/>
      <c r="S3045" s="22">
        <f>IF(AND($A3045="",$C3045=""),"",IF($A3045="","Thiếu mã đơn; ","")&amp;IF(COUNTIF($A$2:$A3045,$A3045)&gt;1,"Trùng mã đơn; ","")&amp;IF(ISNA(MATCH($C3045,DATA_MASTER!$D$2:$D$5000,0)),"SĐT chưa đăng ký hội viên; ","")&amp;IF(AND($L3045="Đã chuyển khoản",$M3045=""),"Thiếu ngày nhận CK; ",""))</f>
        <v/>
      </c>
      <c r="T3045" s="24" t="n"/>
    </row>
    <row r="3046" ht="14.25" customHeight="1" s="40">
      <c r="A3046" s="24" t="n"/>
      <c r="B3046" s="29" t="n"/>
      <c r="C3046" s="28" t="n"/>
      <c r="D3046" s="22">
        <f t="array" ref="D3046">IF($C3046="","",IFERROR(INDEX(DATA_MASTER!$C$2:$C$5000,MATCH($C3046,DATA_MASTER!$D$2:$D$5000,0)),""))</f>
        <v/>
      </c>
      <c r="E3046" s="22">
        <f t="array" ref="E3046">IF($C3046="","",IFERROR(INDEX(DATA_MASTER!$I$2:$I$5000,MATCH($C3046,DATA_MASTER!$D$2:$D$5000,0)),""))</f>
        <v/>
      </c>
      <c r="F3046" s="22">
        <f t="array" ref="F3046">IF($C3046="","",IFERROR(INDEX(DATA_MASTER!$L$2:$L$5000,MATCH($C3046,DATA_MASTER!$D$2:$D$5000,0)),""))</f>
        <v/>
      </c>
      <c r="G3046" s="24" t="n"/>
      <c r="H3046" s="24" t="n"/>
      <c r="I3046" s="30" t="n"/>
      <c r="J3046" s="23">
        <f>IF(OR($H3046="",$I3046=""),"",$H3046*$I3046)</f>
        <v/>
      </c>
      <c r="K3046" s="24" t="n"/>
      <c r="L3046" s="24" t="n"/>
      <c r="M3046" s="29" t="n"/>
      <c r="N3046" s="28" t="n"/>
      <c r="O3046" s="24" t="n"/>
      <c r="P3046" s="24" t="n"/>
      <c r="Q3046" s="24" t="n"/>
      <c r="R3046" s="24" t="n"/>
      <c r="S3046" s="22">
        <f>IF(AND($A3046="",$C3046=""),"",IF($A3046="","Thiếu mã đơn; ","")&amp;IF(COUNTIF($A$2:$A3046,$A3046)&gt;1,"Trùng mã đơn; ","")&amp;IF(ISNA(MATCH($C3046,DATA_MASTER!$D$2:$D$5000,0)),"SĐT chưa đăng ký hội viên; ","")&amp;IF(AND($L3046="Đã chuyển khoản",$M3046=""),"Thiếu ngày nhận CK; ",""))</f>
        <v/>
      </c>
      <c r="T3046" s="24" t="n"/>
    </row>
    <row r="3047" ht="14.25" customHeight="1" s="40">
      <c r="A3047" s="24" t="n"/>
      <c r="B3047" s="29" t="n"/>
      <c r="C3047" s="28" t="n"/>
      <c r="D3047" s="22">
        <f t="array" ref="D3047">IF($C3047="","",IFERROR(INDEX(DATA_MASTER!$C$2:$C$5000,MATCH($C3047,DATA_MASTER!$D$2:$D$5000,0)),""))</f>
        <v/>
      </c>
      <c r="E3047" s="22">
        <f t="array" ref="E3047">IF($C3047="","",IFERROR(INDEX(DATA_MASTER!$I$2:$I$5000,MATCH($C3047,DATA_MASTER!$D$2:$D$5000,0)),""))</f>
        <v/>
      </c>
      <c r="F3047" s="22">
        <f t="array" ref="F3047">IF($C3047="","",IFERROR(INDEX(DATA_MASTER!$L$2:$L$5000,MATCH($C3047,DATA_MASTER!$D$2:$D$5000,0)),""))</f>
        <v/>
      </c>
      <c r="G3047" s="24" t="n"/>
      <c r="H3047" s="24" t="n"/>
      <c r="I3047" s="30" t="n"/>
      <c r="J3047" s="23">
        <f>IF(OR($H3047="",$I3047=""),"",$H3047*$I3047)</f>
        <v/>
      </c>
      <c r="K3047" s="24" t="n"/>
      <c r="L3047" s="24" t="n"/>
      <c r="M3047" s="29" t="n"/>
      <c r="N3047" s="28" t="n"/>
      <c r="O3047" s="24" t="n"/>
      <c r="P3047" s="24" t="n"/>
      <c r="Q3047" s="24" t="n"/>
      <c r="R3047" s="24" t="n"/>
      <c r="S3047" s="22">
        <f>IF(AND($A3047="",$C3047=""),"",IF($A3047="","Thiếu mã đơn; ","")&amp;IF(COUNTIF($A$2:$A3047,$A3047)&gt;1,"Trùng mã đơn; ","")&amp;IF(ISNA(MATCH($C3047,DATA_MASTER!$D$2:$D$5000,0)),"SĐT chưa đăng ký hội viên; ","")&amp;IF(AND($L3047="Đã chuyển khoản",$M3047=""),"Thiếu ngày nhận CK; ",""))</f>
        <v/>
      </c>
      <c r="T3047" s="24" t="n"/>
    </row>
    <row r="3048" ht="14.25" customHeight="1" s="40">
      <c r="A3048" s="24" t="n"/>
      <c r="B3048" s="29" t="n"/>
      <c r="C3048" s="28" t="n"/>
      <c r="D3048" s="22">
        <f t="array" ref="D3048">IF($C3048="","",IFERROR(INDEX(DATA_MASTER!$C$2:$C$5000,MATCH($C3048,DATA_MASTER!$D$2:$D$5000,0)),""))</f>
        <v/>
      </c>
      <c r="E3048" s="22">
        <f t="array" ref="E3048">IF($C3048="","",IFERROR(INDEX(DATA_MASTER!$I$2:$I$5000,MATCH($C3048,DATA_MASTER!$D$2:$D$5000,0)),""))</f>
        <v/>
      </c>
      <c r="F3048" s="22">
        <f t="array" ref="F3048">IF($C3048="","",IFERROR(INDEX(DATA_MASTER!$L$2:$L$5000,MATCH($C3048,DATA_MASTER!$D$2:$D$5000,0)),""))</f>
        <v/>
      </c>
      <c r="G3048" s="24" t="n"/>
      <c r="H3048" s="24" t="n"/>
      <c r="I3048" s="30" t="n"/>
      <c r="J3048" s="23">
        <f>IF(OR($H3048="",$I3048=""),"",$H3048*$I3048)</f>
        <v/>
      </c>
      <c r="K3048" s="24" t="n"/>
      <c r="L3048" s="24" t="n"/>
      <c r="M3048" s="29" t="n"/>
      <c r="N3048" s="28" t="n"/>
      <c r="O3048" s="24" t="n"/>
      <c r="P3048" s="24" t="n"/>
      <c r="Q3048" s="24" t="n"/>
      <c r="R3048" s="24" t="n"/>
      <c r="S3048" s="22">
        <f>IF(AND($A3048="",$C3048=""),"",IF($A3048="","Thiếu mã đơn; ","")&amp;IF(COUNTIF($A$2:$A3048,$A3048)&gt;1,"Trùng mã đơn; ","")&amp;IF(ISNA(MATCH($C3048,DATA_MASTER!$D$2:$D$5000,0)),"SĐT chưa đăng ký hội viên; ","")&amp;IF(AND($L3048="Đã chuyển khoản",$M3048=""),"Thiếu ngày nhận CK; ",""))</f>
        <v/>
      </c>
      <c r="T3048" s="24" t="n"/>
    </row>
    <row r="3049" ht="14.25" customHeight="1" s="40">
      <c r="A3049" s="24" t="n"/>
      <c r="B3049" s="29" t="n"/>
      <c r="C3049" s="28" t="n"/>
      <c r="D3049" s="22">
        <f t="array" ref="D3049">IF($C3049="","",IFERROR(INDEX(DATA_MASTER!$C$2:$C$5000,MATCH($C3049,DATA_MASTER!$D$2:$D$5000,0)),""))</f>
        <v/>
      </c>
      <c r="E3049" s="22">
        <f t="array" ref="E3049">IF($C3049="","",IFERROR(INDEX(DATA_MASTER!$I$2:$I$5000,MATCH($C3049,DATA_MASTER!$D$2:$D$5000,0)),""))</f>
        <v/>
      </c>
      <c r="F3049" s="22">
        <f t="array" ref="F3049">IF($C3049="","",IFERROR(INDEX(DATA_MASTER!$L$2:$L$5000,MATCH($C3049,DATA_MASTER!$D$2:$D$5000,0)),""))</f>
        <v/>
      </c>
      <c r="G3049" s="24" t="n"/>
      <c r="H3049" s="24" t="n"/>
      <c r="I3049" s="30" t="n"/>
      <c r="J3049" s="23">
        <f>IF(OR($H3049="",$I3049=""),"",$H3049*$I3049)</f>
        <v/>
      </c>
      <c r="K3049" s="24" t="n"/>
      <c r="L3049" s="24" t="n"/>
      <c r="M3049" s="29" t="n"/>
      <c r="N3049" s="28" t="n"/>
      <c r="O3049" s="24" t="n"/>
      <c r="P3049" s="24" t="n"/>
      <c r="Q3049" s="24" t="n"/>
      <c r="R3049" s="24" t="n"/>
      <c r="S3049" s="22">
        <f>IF(AND($A3049="",$C3049=""),"",IF($A3049="","Thiếu mã đơn; ","")&amp;IF(COUNTIF($A$2:$A3049,$A3049)&gt;1,"Trùng mã đơn; ","")&amp;IF(ISNA(MATCH($C3049,DATA_MASTER!$D$2:$D$5000,0)),"SĐT chưa đăng ký hội viên; ","")&amp;IF(AND($L3049="Đã chuyển khoản",$M3049=""),"Thiếu ngày nhận CK; ",""))</f>
        <v/>
      </c>
      <c r="T3049" s="24" t="n"/>
    </row>
    <row r="3050" ht="14.25" customHeight="1" s="40">
      <c r="A3050" s="24" t="n"/>
      <c r="B3050" s="29" t="n"/>
      <c r="C3050" s="28" t="n"/>
      <c r="D3050" s="22">
        <f t="array" ref="D3050">IF($C3050="","",IFERROR(INDEX(DATA_MASTER!$C$2:$C$5000,MATCH($C3050,DATA_MASTER!$D$2:$D$5000,0)),""))</f>
        <v/>
      </c>
      <c r="E3050" s="22">
        <f t="array" ref="E3050">IF($C3050="","",IFERROR(INDEX(DATA_MASTER!$I$2:$I$5000,MATCH($C3050,DATA_MASTER!$D$2:$D$5000,0)),""))</f>
        <v/>
      </c>
      <c r="F3050" s="22">
        <f t="array" ref="F3050">IF($C3050="","",IFERROR(INDEX(DATA_MASTER!$L$2:$L$5000,MATCH($C3050,DATA_MASTER!$D$2:$D$5000,0)),""))</f>
        <v/>
      </c>
      <c r="G3050" s="24" t="n"/>
      <c r="H3050" s="24" t="n"/>
      <c r="I3050" s="30" t="n"/>
      <c r="J3050" s="23">
        <f>IF(OR($H3050="",$I3050=""),"",$H3050*$I3050)</f>
        <v/>
      </c>
      <c r="K3050" s="24" t="n"/>
      <c r="L3050" s="24" t="n"/>
      <c r="M3050" s="29" t="n"/>
      <c r="N3050" s="28" t="n"/>
      <c r="O3050" s="24" t="n"/>
      <c r="P3050" s="24" t="n"/>
      <c r="Q3050" s="24" t="n"/>
      <c r="R3050" s="24" t="n"/>
      <c r="S3050" s="22">
        <f>IF(AND($A3050="",$C3050=""),"",IF($A3050="","Thiếu mã đơn; ","")&amp;IF(COUNTIF($A$2:$A3050,$A3050)&gt;1,"Trùng mã đơn; ","")&amp;IF(ISNA(MATCH($C3050,DATA_MASTER!$D$2:$D$5000,0)),"SĐT chưa đăng ký hội viên; ","")&amp;IF(AND($L3050="Đã chuyển khoản",$M3050=""),"Thiếu ngày nhận CK; ",""))</f>
        <v/>
      </c>
      <c r="T3050" s="24" t="n"/>
    </row>
    <row r="3051" ht="14.25" customHeight="1" s="40">
      <c r="A3051" s="24" t="n"/>
      <c r="B3051" s="29" t="n"/>
      <c r="C3051" s="28" t="n"/>
      <c r="D3051" s="22">
        <f t="array" ref="D3051">IF($C3051="","",IFERROR(INDEX(DATA_MASTER!$C$2:$C$5000,MATCH($C3051,DATA_MASTER!$D$2:$D$5000,0)),""))</f>
        <v/>
      </c>
      <c r="E3051" s="22">
        <f t="array" ref="E3051">IF($C3051="","",IFERROR(INDEX(DATA_MASTER!$I$2:$I$5000,MATCH($C3051,DATA_MASTER!$D$2:$D$5000,0)),""))</f>
        <v/>
      </c>
      <c r="F3051" s="22">
        <f t="array" ref="F3051">IF($C3051="","",IFERROR(INDEX(DATA_MASTER!$L$2:$L$5000,MATCH($C3051,DATA_MASTER!$D$2:$D$5000,0)),""))</f>
        <v/>
      </c>
      <c r="G3051" s="24" t="n"/>
      <c r="H3051" s="24" t="n"/>
      <c r="I3051" s="30" t="n"/>
      <c r="J3051" s="23">
        <f>IF(OR($H3051="",$I3051=""),"",$H3051*$I3051)</f>
        <v/>
      </c>
      <c r="K3051" s="24" t="n"/>
      <c r="L3051" s="24" t="n"/>
      <c r="M3051" s="29" t="n"/>
      <c r="N3051" s="28" t="n"/>
      <c r="O3051" s="24" t="n"/>
      <c r="P3051" s="24" t="n"/>
      <c r="Q3051" s="24" t="n"/>
      <c r="R3051" s="24" t="n"/>
      <c r="S3051" s="22">
        <f>IF(AND($A3051="",$C3051=""),"",IF($A3051="","Thiếu mã đơn; ","")&amp;IF(COUNTIF($A$2:$A3051,$A3051)&gt;1,"Trùng mã đơn; ","")&amp;IF(ISNA(MATCH($C3051,DATA_MASTER!$D$2:$D$5000,0)),"SĐT chưa đăng ký hội viên; ","")&amp;IF(AND($L3051="Đã chuyển khoản",$M3051=""),"Thiếu ngày nhận CK; ",""))</f>
        <v/>
      </c>
      <c r="T3051" s="24" t="n"/>
    </row>
    <row r="3052" ht="14.25" customHeight="1" s="40">
      <c r="A3052" s="24" t="n"/>
      <c r="B3052" s="29" t="n"/>
      <c r="C3052" s="28" t="n"/>
      <c r="D3052" s="22">
        <f t="array" ref="D3052">IF($C3052="","",IFERROR(INDEX(DATA_MASTER!$C$2:$C$5000,MATCH($C3052,DATA_MASTER!$D$2:$D$5000,0)),""))</f>
        <v/>
      </c>
      <c r="E3052" s="22">
        <f t="array" ref="E3052">IF($C3052="","",IFERROR(INDEX(DATA_MASTER!$I$2:$I$5000,MATCH($C3052,DATA_MASTER!$D$2:$D$5000,0)),""))</f>
        <v/>
      </c>
      <c r="F3052" s="22">
        <f t="array" ref="F3052">IF($C3052="","",IFERROR(INDEX(DATA_MASTER!$L$2:$L$5000,MATCH($C3052,DATA_MASTER!$D$2:$D$5000,0)),""))</f>
        <v/>
      </c>
      <c r="G3052" s="24" t="n"/>
      <c r="H3052" s="24" t="n"/>
      <c r="I3052" s="30" t="n"/>
      <c r="J3052" s="23">
        <f>IF(OR($H3052="",$I3052=""),"",$H3052*$I3052)</f>
        <v/>
      </c>
      <c r="K3052" s="24" t="n"/>
      <c r="L3052" s="24" t="n"/>
      <c r="M3052" s="29" t="n"/>
      <c r="N3052" s="28" t="n"/>
      <c r="O3052" s="24" t="n"/>
      <c r="P3052" s="24" t="n"/>
      <c r="Q3052" s="24" t="n"/>
      <c r="R3052" s="24" t="n"/>
      <c r="S3052" s="22">
        <f>IF(AND($A3052="",$C3052=""),"",IF($A3052="","Thiếu mã đơn; ","")&amp;IF(COUNTIF($A$2:$A3052,$A3052)&gt;1,"Trùng mã đơn; ","")&amp;IF(ISNA(MATCH($C3052,DATA_MASTER!$D$2:$D$5000,0)),"SĐT chưa đăng ký hội viên; ","")&amp;IF(AND($L3052="Đã chuyển khoản",$M3052=""),"Thiếu ngày nhận CK; ",""))</f>
        <v/>
      </c>
      <c r="T3052" s="24" t="n"/>
    </row>
    <row r="3053" ht="14.25" customHeight="1" s="40">
      <c r="A3053" s="24" t="n"/>
      <c r="B3053" s="29" t="n"/>
      <c r="C3053" s="28" t="n"/>
      <c r="D3053" s="22">
        <f t="array" ref="D3053">IF($C3053="","",IFERROR(INDEX(DATA_MASTER!$C$2:$C$5000,MATCH($C3053,DATA_MASTER!$D$2:$D$5000,0)),""))</f>
        <v/>
      </c>
      <c r="E3053" s="22">
        <f t="array" ref="E3053">IF($C3053="","",IFERROR(INDEX(DATA_MASTER!$I$2:$I$5000,MATCH($C3053,DATA_MASTER!$D$2:$D$5000,0)),""))</f>
        <v/>
      </c>
      <c r="F3053" s="22">
        <f t="array" ref="F3053">IF($C3053="","",IFERROR(INDEX(DATA_MASTER!$L$2:$L$5000,MATCH($C3053,DATA_MASTER!$D$2:$D$5000,0)),""))</f>
        <v/>
      </c>
      <c r="G3053" s="24" t="n"/>
      <c r="H3053" s="24" t="n"/>
      <c r="I3053" s="30" t="n"/>
      <c r="J3053" s="23">
        <f>IF(OR($H3053="",$I3053=""),"",$H3053*$I3053)</f>
        <v/>
      </c>
      <c r="K3053" s="24" t="n"/>
      <c r="L3053" s="24" t="n"/>
      <c r="M3053" s="29" t="n"/>
      <c r="N3053" s="28" t="n"/>
      <c r="O3053" s="24" t="n"/>
      <c r="P3053" s="24" t="n"/>
      <c r="Q3053" s="24" t="n"/>
      <c r="R3053" s="24" t="n"/>
      <c r="S3053" s="22">
        <f>IF(AND($A3053="",$C3053=""),"",IF($A3053="","Thiếu mã đơn; ","")&amp;IF(COUNTIF($A$2:$A3053,$A3053)&gt;1,"Trùng mã đơn; ","")&amp;IF(ISNA(MATCH($C3053,DATA_MASTER!$D$2:$D$5000,0)),"SĐT chưa đăng ký hội viên; ","")&amp;IF(AND($L3053="Đã chuyển khoản",$M3053=""),"Thiếu ngày nhận CK; ",""))</f>
        <v/>
      </c>
      <c r="T3053" s="24" t="n"/>
    </row>
    <row r="3054" ht="14.25" customHeight="1" s="40">
      <c r="A3054" s="24" t="n"/>
      <c r="B3054" s="29" t="n"/>
      <c r="C3054" s="28" t="n"/>
      <c r="D3054" s="22">
        <f t="array" ref="D3054">IF($C3054="","",IFERROR(INDEX(DATA_MASTER!$C$2:$C$5000,MATCH($C3054,DATA_MASTER!$D$2:$D$5000,0)),""))</f>
        <v/>
      </c>
      <c r="E3054" s="22">
        <f t="array" ref="E3054">IF($C3054="","",IFERROR(INDEX(DATA_MASTER!$I$2:$I$5000,MATCH($C3054,DATA_MASTER!$D$2:$D$5000,0)),""))</f>
        <v/>
      </c>
      <c r="F3054" s="22">
        <f t="array" ref="F3054">IF($C3054="","",IFERROR(INDEX(DATA_MASTER!$L$2:$L$5000,MATCH($C3054,DATA_MASTER!$D$2:$D$5000,0)),""))</f>
        <v/>
      </c>
      <c r="G3054" s="24" t="n"/>
      <c r="H3054" s="24" t="n"/>
      <c r="I3054" s="30" t="n"/>
      <c r="J3054" s="23">
        <f>IF(OR($H3054="",$I3054=""),"",$H3054*$I3054)</f>
        <v/>
      </c>
      <c r="K3054" s="24" t="n"/>
      <c r="L3054" s="24" t="n"/>
      <c r="M3054" s="29" t="n"/>
      <c r="N3054" s="28" t="n"/>
      <c r="O3054" s="24" t="n"/>
      <c r="P3054" s="24" t="n"/>
      <c r="Q3054" s="24" t="n"/>
      <c r="R3054" s="24" t="n"/>
      <c r="S3054" s="22">
        <f>IF(AND($A3054="",$C3054=""),"",IF($A3054="","Thiếu mã đơn; ","")&amp;IF(COUNTIF($A$2:$A3054,$A3054)&gt;1,"Trùng mã đơn; ","")&amp;IF(ISNA(MATCH($C3054,DATA_MASTER!$D$2:$D$5000,0)),"SĐT chưa đăng ký hội viên; ","")&amp;IF(AND($L3054="Đã chuyển khoản",$M3054=""),"Thiếu ngày nhận CK; ",""))</f>
        <v/>
      </c>
      <c r="T3054" s="24" t="n"/>
    </row>
    <row r="3055" ht="14.25" customHeight="1" s="40">
      <c r="A3055" s="24" t="n"/>
      <c r="B3055" s="29" t="n"/>
      <c r="C3055" s="28" t="n"/>
      <c r="D3055" s="22">
        <f t="array" ref="D3055">IF($C3055="","",IFERROR(INDEX(DATA_MASTER!$C$2:$C$5000,MATCH($C3055,DATA_MASTER!$D$2:$D$5000,0)),""))</f>
        <v/>
      </c>
      <c r="E3055" s="22">
        <f t="array" ref="E3055">IF($C3055="","",IFERROR(INDEX(DATA_MASTER!$I$2:$I$5000,MATCH($C3055,DATA_MASTER!$D$2:$D$5000,0)),""))</f>
        <v/>
      </c>
      <c r="F3055" s="22">
        <f t="array" ref="F3055">IF($C3055="","",IFERROR(INDEX(DATA_MASTER!$L$2:$L$5000,MATCH($C3055,DATA_MASTER!$D$2:$D$5000,0)),""))</f>
        <v/>
      </c>
      <c r="G3055" s="24" t="n"/>
      <c r="H3055" s="24" t="n"/>
      <c r="I3055" s="30" t="n"/>
      <c r="J3055" s="23">
        <f>IF(OR($H3055="",$I3055=""),"",$H3055*$I3055)</f>
        <v/>
      </c>
      <c r="K3055" s="24" t="n"/>
      <c r="L3055" s="24" t="n"/>
      <c r="M3055" s="29" t="n"/>
      <c r="N3055" s="28" t="n"/>
      <c r="O3055" s="24" t="n"/>
      <c r="P3055" s="24" t="n"/>
      <c r="Q3055" s="24" t="n"/>
      <c r="R3055" s="24" t="n"/>
      <c r="S3055" s="22">
        <f>IF(AND($A3055="",$C3055=""),"",IF($A3055="","Thiếu mã đơn; ","")&amp;IF(COUNTIF($A$2:$A3055,$A3055)&gt;1,"Trùng mã đơn; ","")&amp;IF(ISNA(MATCH($C3055,DATA_MASTER!$D$2:$D$5000,0)),"SĐT chưa đăng ký hội viên; ","")&amp;IF(AND($L3055="Đã chuyển khoản",$M3055=""),"Thiếu ngày nhận CK; ",""))</f>
        <v/>
      </c>
      <c r="T3055" s="24" t="n"/>
    </row>
    <row r="3056" ht="14.25" customHeight="1" s="40">
      <c r="A3056" s="24" t="n"/>
      <c r="B3056" s="29" t="n"/>
      <c r="C3056" s="28" t="n"/>
      <c r="D3056" s="22">
        <f t="array" ref="D3056">IF($C3056="","",IFERROR(INDEX(DATA_MASTER!$C$2:$C$5000,MATCH($C3056,DATA_MASTER!$D$2:$D$5000,0)),""))</f>
        <v/>
      </c>
      <c r="E3056" s="22">
        <f t="array" ref="E3056">IF($C3056="","",IFERROR(INDEX(DATA_MASTER!$I$2:$I$5000,MATCH($C3056,DATA_MASTER!$D$2:$D$5000,0)),""))</f>
        <v/>
      </c>
      <c r="F3056" s="22">
        <f t="array" ref="F3056">IF($C3056="","",IFERROR(INDEX(DATA_MASTER!$L$2:$L$5000,MATCH($C3056,DATA_MASTER!$D$2:$D$5000,0)),""))</f>
        <v/>
      </c>
      <c r="G3056" s="24" t="n"/>
      <c r="H3056" s="24" t="n"/>
      <c r="I3056" s="30" t="n"/>
      <c r="J3056" s="23">
        <f>IF(OR($H3056="",$I3056=""),"",$H3056*$I3056)</f>
        <v/>
      </c>
      <c r="K3056" s="24" t="n"/>
      <c r="L3056" s="24" t="n"/>
      <c r="M3056" s="29" t="n"/>
      <c r="N3056" s="28" t="n"/>
      <c r="O3056" s="24" t="n"/>
      <c r="P3056" s="24" t="n"/>
      <c r="Q3056" s="24" t="n"/>
      <c r="R3056" s="24" t="n"/>
      <c r="S3056" s="22">
        <f>IF(AND($A3056="",$C3056=""),"",IF($A3056="","Thiếu mã đơn; ","")&amp;IF(COUNTIF($A$2:$A3056,$A3056)&gt;1,"Trùng mã đơn; ","")&amp;IF(ISNA(MATCH($C3056,DATA_MASTER!$D$2:$D$5000,0)),"SĐT chưa đăng ký hội viên; ","")&amp;IF(AND($L3056="Đã chuyển khoản",$M3056=""),"Thiếu ngày nhận CK; ",""))</f>
        <v/>
      </c>
      <c r="T3056" s="24" t="n"/>
    </row>
    <row r="3057" ht="14.25" customHeight="1" s="40">
      <c r="A3057" s="24" t="n"/>
      <c r="B3057" s="29" t="n"/>
      <c r="C3057" s="28" t="n"/>
      <c r="D3057" s="22">
        <f t="array" ref="D3057">IF($C3057="","",IFERROR(INDEX(DATA_MASTER!$C$2:$C$5000,MATCH($C3057,DATA_MASTER!$D$2:$D$5000,0)),""))</f>
        <v/>
      </c>
      <c r="E3057" s="22">
        <f t="array" ref="E3057">IF($C3057="","",IFERROR(INDEX(DATA_MASTER!$I$2:$I$5000,MATCH($C3057,DATA_MASTER!$D$2:$D$5000,0)),""))</f>
        <v/>
      </c>
      <c r="F3057" s="22">
        <f t="array" ref="F3057">IF($C3057="","",IFERROR(INDEX(DATA_MASTER!$L$2:$L$5000,MATCH($C3057,DATA_MASTER!$D$2:$D$5000,0)),""))</f>
        <v/>
      </c>
      <c r="G3057" s="24" t="n"/>
      <c r="H3057" s="24" t="n"/>
      <c r="I3057" s="30" t="n"/>
      <c r="J3057" s="23">
        <f>IF(OR($H3057="",$I3057=""),"",$H3057*$I3057)</f>
        <v/>
      </c>
      <c r="K3057" s="24" t="n"/>
      <c r="L3057" s="24" t="n"/>
      <c r="M3057" s="29" t="n"/>
      <c r="N3057" s="28" t="n"/>
      <c r="O3057" s="24" t="n"/>
      <c r="P3057" s="24" t="n"/>
      <c r="Q3057" s="24" t="n"/>
      <c r="R3057" s="24" t="n"/>
      <c r="S3057" s="22">
        <f>IF(AND($A3057="",$C3057=""),"",IF($A3057="","Thiếu mã đơn; ","")&amp;IF(COUNTIF($A$2:$A3057,$A3057)&gt;1,"Trùng mã đơn; ","")&amp;IF(ISNA(MATCH($C3057,DATA_MASTER!$D$2:$D$5000,0)),"SĐT chưa đăng ký hội viên; ","")&amp;IF(AND($L3057="Đã chuyển khoản",$M3057=""),"Thiếu ngày nhận CK; ",""))</f>
        <v/>
      </c>
      <c r="T3057" s="24" t="n"/>
    </row>
    <row r="3058" ht="14.25" customHeight="1" s="40">
      <c r="A3058" s="24" t="n"/>
      <c r="B3058" s="29" t="n"/>
      <c r="C3058" s="28" t="n"/>
      <c r="D3058" s="22">
        <f t="array" ref="D3058">IF($C3058="","",IFERROR(INDEX(DATA_MASTER!$C$2:$C$5000,MATCH($C3058,DATA_MASTER!$D$2:$D$5000,0)),""))</f>
        <v/>
      </c>
      <c r="E3058" s="22">
        <f t="array" ref="E3058">IF($C3058="","",IFERROR(INDEX(DATA_MASTER!$I$2:$I$5000,MATCH($C3058,DATA_MASTER!$D$2:$D$5000,0)),""))</f>
        <v/>
      </c>
      <c r="F3058" s="22">
        <f t="array" ref="F3058">IF($C3058="","",IFERROR(INDEX(DATA_MASTER!$L$2:$L$5000,MATCH($C3058,DATA_MASTER!$D$2:$D$5000,0)),""))</f>
        <v/>
      </c>
      <c r="G3058" s="24" t="n"/>
      <c r="H3058" s="24" t="n"/>
      <c r="I3058" s="30" t="n"/>
      <c r="J3058" s="23">
        <f>IF(OR($H3058="",$I3058=""),"",$H3058*$I3058)</f>
        <v/>
      </c>
      <c r="K3058" s="24" t="n"/>
      <c r="L3058" s="24" t="n"/>
      <c r="M3058" s="29" t="n"/>
      <c r="N3058" s="28" t="n"/>
      <c r="O3058" s="24" t="n"/>
      <c r="P3058" s="24" t="n"/>
      <c r="Q3058" s="24" t="n"/>
      <c r="R3058" s="24" t="n"/>
      <c r="S3058" s="22">
        <f>IF(AND($A3058="",$C3058=""),"",IF($A3058="","Thiếu mã đơn; ","")&amp;IF(COUNTIF($A$2:$A3058,$A3058)&gt;1,"Trùng mã đơn; ","")&amp;IF(ISNA(MATCH($C3058,DATA_MASTER!$D$2:$D$5000,0)),"SĐT chưa đăng ký hội viên; ","")&amp;IF(AND($L3058="Đã chuyển khoản",$M3058=""),"Thiếu ngày nhận CK; ",""))</f>
        <v/>
      </c>
      <c r="T3058" s="24" t="n"/>
    </row>
    <row r="3059" ht="14.25" customHeight="1" s="40">
      <c r="A3059" s="24" t="n"/>
      <c r="B3059" s="29" t="n"/>
      <c r="C3059" s="28" t="n"/>
      <c r="D3059" s="22">
        <f t="array" ref="D3059">IF($C3059="","",IFERROR(INDEX(DATA_MASTER!$C$2:$C$5000,MATCH($C3059,DATA_MASTER!$D$2:$D$5000,0)),""))</f>
        <v/>
      </c>
      <c r="E3059" s="22">
        <f t="array" ref="E3059">IF($C3059="","",IFERROR(INDEX(DATA_MASTER!$I$2:$I$5000,MATCH($C3059,DATA_MASTER!$D$2:$D$5000,0)),""))</f>
        <v/>
      </c>
      <c r="F3059" s="22">
        <f t="array" ref="F3059">IF($C3059="","",IFERROR(INDEX(DATA_MASTER!$L$2:$L$5000,MATCH($C3059,DATA_MASTER!$D$2:$D$5000,0)),""))</f>
        <v/>
      </c>
      <c r="G3059" s="24" t="n"/>
      <c r="H3059" s="24" t="n"/>
      <c r="I3059" s="30" t="n"/>
      <c r="J3059" s="23">
        <f>IF(OR($H3059="",$I3059=""),"",$H3059*$I3059)</f>
        <v/>
      </c>
      <c r="K3059" s="24" t="n"/>
      <c r="L3059" s="24" t="n"/>
      <c r="M3059" s="29" t="n"/>
      <c r="N3059" s="28" t="n"/>
      <c r="O3059" s="24" t="n"/>
      <c r="P3059" s="24" t="n"/>
      <c r="Q3059" s="24" t="n"/>
      <c r="R3059" s="24" t="n"/>
      <c r="S3059" s="22">
        <f>IF(AND($A3059="",$C3059=""),"",IF($A3059="","Thiếu mã đơn; ","")&amp;IF(COUNTIF($A$2:$A3059,$A3059)&gt;1,"Trùng mã đơn; ","")&amp;IF(ISNA(MATCH($C3059,DATA_MASTER!$D$2:$D$5000,0)),"SĐT chưa đăng ký hội viên; ","")&amp;IF(AND($L3059="Đã chuyển khoản",$M3059=""),"Thiếu ngày nhận CK; ",""))</f>
        <v/>
      </c>
      <c r="T3059" s="24" t="n"/>
    </row>
    <row r="3060" ht="14.25" customHeight="1" s="40">
      <c r="A3060" s="24" t="n"/>
      <c r="B3060" s="29" t="n"/>
      <c r="C3060" s="28" t="n"/>
      <c r="D3060" s="22">
        <f t="array" ref="D3060">IF($C3060="","",IFERROR(INDEX(DATA_MASTER!$C$2:$C$5000,MATCH($C3060,DATA_MASTER!$D$2:$D$5000,0)),""))</f>
        <v/>
      </c>
      <c r="E3060" s="22">
        <f t="array" ref="E3060">IF($C3060="","",IFERROR(INDEX(DATA_MASTER!$I$2:$I$5000,MATCH($C3060,DATA_MASTER!$D$2:$D$5000,0)),""))</f>
        <v/>
      </c>
      <c r="F3060" s="22">
        <f t="array" ref="F3060">IF($C3060="","",IFERROR(INDEX(DATA_MASTER!$L$2:$L$5000,MATCH($C3060,DATA_MASTER!$D$2:$D$5000,0)),""))</f>
        <v/>
      </c>
      <c r="G3060" s="24" t="n"/>
      <c r="H3060" s="24" t="n"/>
      <c r="I3060" s="30" t="n"/>
      <c r="J3060" s="23">
        <f>IF(OR($H3060="",$I3060=""),"",$H3060*$I3060)</f>
        <v/>
      </c>
      <c r="K3060" s="24" t="n"/>
      <c r="L3060" s="24" t="n"/>
      <c r="M3060" s="29" t="n"/>
      <c r="N3060" s="28" t="n"/>
      <c r="O3060" s="24" t="n"/>
      <c r="P3060" s="24" t="n"/>
      <c r="Q3060" s="24" t="n"/>
      <c r="R3060" s="24" t="n"/>
      <c r="S3060" s="22">
        <f>IF(AND($A3060="",$C3060=""),"",IF($A3060="","Thiếu mã đơn; ","")&amp;IF(COUNTIF($A$2:$A3060,$A3060)&gt;1,"Trùng mã đơn; ","")&amp;IF(ISNA(MATCH($C3060,DATA_MASTER!$D$2:$D$5000,0)),"SĐT chưa đăng ký hội viên; ","")&amp;IF(AND($L3060="Đã chuyển khoản",$M3060=""),"Thiếu ngày nhận CK; ",""))</f>
        <v/>
      </c>
      <c r="T3060" s="24" t="n"/>
    </row>
    <row r="3061" ht="14.25" customHeight="1" s="40">
      <c r="A3061" s="24" t="n"/>
      <c r="B3061" s="29" t="n"/>
      <c r="C3061" s="28" t="n"/>
      <c r="D3061" s="22">
        <f t="array" ref="D3061">IF($C3061="","",IFERROR(INDEX(DATA_MASTER!$C$2:$C$5000,MATCH($C3061,DATA_MASTER!$D$2:$D$5000,0)),""))</f>
        <v/>
      </c>
      <c r="E3061" s="22">
        <f t="array" ref="E3061">IF($C3061="","",IFERROR(INDEX(DATA_MASTER!$I$2:$I$5000,MATCH($C3061,DATA_MASTER!$D$2:$D$5000,0)),""))</f>
        <v/>
      </c>
      <c r="F3061" s="22">
        <f t="array" ref="F3061">IF($C3061="","",IFERROR(INDEX(DATA_MASTER!$L$2:$L$5000,MATCH($C3061,DATA_MASTER!$D$2:$D$5000,0)),""))</f>
        <v/>
      </c>
      <c r="G3061" s="24" t="n"/>
      <c r="H3061" s="24" t="n"/>
      <c r="I3061" s="30" t="n"/>
      <c r="J3061" s="23">
        <f>IF(OR($H3061="",$I3061=""),"",$H3061*$I3061)</f>
        <v/>
      </c>
      <c r="K3061" s="24" t="n"/>
      <c r="L3061" s="24" t="n"/>
      <c r="M3061" s="29" t="n"/>
      <c r="N3061" s="28" t="n"/>
      <c r="O3061" s="24" t="n"/>
      <c r="P3061" s="24" t="n"/>
      <c r="Q3061" s="24" t="n"/>
      <c r="R3061" s="24" t="n"/>
      <c r="S3061" s="22">
        <f>IF(AND($A3061="",$C3061=""),"",IF($A3061="","Thiếu mã đơn; ","")&amp;IF(COUNTIF($A$2:$A3061,$A3061)&gt;1,"Trùng mã đơn; ","")&amp;IF(ISNA(MATCH($C3061,DATA_MASTER!$D$2:$D$5000,0)),"SĐT chưa đăng ký hội viên; ","")&amp;IF(AND($L3061="Đã chuyển khoản",$M3061=""),"Thiếu ngày nhận CK; ",""))</f>
        <v/>
      </c>
      <c r="T3061" s="24" t="n"/>
    </row>
    <row r="3062" ht="14.25" customHeight="1" s="40">
      <c r="A3062" s="24" t="n"/>
      <c r="B3062" s="29" t="n"/>
      <c r="C3062" s="28" t="n"/>
      <c r="D3062" s="22">
        <f t="array" ref="D3062">IF($C3062="","",IFERROR(INDEX(DATA_MASTER!$C$2:$C$5000,MATCH($C3062,DATA_MASTER!$D$2:$D$5000,0)),""))</f>
        <v/>
      </c>
      <c r="E3062" s="22">
        <f t="array" ref="E3062">IF($C3062="","",IFERROR(INDEX(DATA_MASTER!$I$2:$I$5000,MATCH($C3062,DATA_MASTER!$D$2:$D$5000,0)),""))</f>
        <v/>
      </c>
      <c r="F3062" s="22">
        <f t="array" ref="F3062">IF($C3062="","",IFERROR(INDEX(DATA_MASTER!$L$2:$L$5000,MATCH($C3062,DATA_MASTER!$D$2:$D$5000,0)),""))</f>
        <v/>
      </c>
      <c r="G3062" s="24" t="n"/>
      <c r="H3062" s="24" t="n"/>
      <c r="I3062" s="30" t="n"/>
      <c r="J3062" s="23">
        <f>IF(OR($H3062="",$I3062=""),"",$H3062*$I3062)</f>
        <v/>
      </c>
      <c r="K3062" s="24" t="n"/>
      <c r="L3062" s="24" t="n"/>
      <c r="M3062" s="29" t="n"/>
      <c r="N3062" s="28" t="n"/>
      <c r="O3062" s="24" t="n"/>
      <c r="P3062" s="24" t="n"/>
      <c r="Q3062" s="24" t="n"/>
      <c r="R3062" s="24" t="n"/>
      <c r="S3062" s="22">
        <f>IF(AND($A3062="",$C3062=""),"",IF($A3062="","Thiếu mã đơn; ","")&amp;IF(COUNTIF($A$2:$A3062,$A3062)&gt;1,"Trùng mã đơn; ","")&amp;IF(ISNA(MATCH($C3062,DATA_MASTER!$D$2:$D$5000,0)),"SĐT chưa đăng ký hội viên; ","")&amp;IF(AND($L3062="Đã chuyển khoản",$M3062=""),"Thiếu ngày nhận CK; ",""))</f>
        <v/>
      </c>
      <c r="T3062" s="24" t="n"/>
    </row>
    <row r="3063" ht="14.25" customHeight="1" s="40">
      <c r="A3063" s="24" t="n"/>
      <c r="B3063" s="29" t="n"/>
      <c r="C3063" s="28" t="n"/>
      <c r="D3063" s="22">
        <f t="array" ref="D3063">IF($C3063="","",IFERROR(INDEX(DATA_MASTER!$C$2:$C$5000,MATCH($C3063,DATA_MASTER!$D$2:$D$5000,0)),""))</f>
        <v/>
      </c>
      <c r="E3063" s="22">
        <f t="array" ref="E3063">IF($C3063="","",IFERROR(INDEX(DATA_MASTER!$I$2:$I$5000,MATCH($C3063,DATA_MASTER!$D$2:$D$5000,0)),""))</f>
        <v/>
      </c>
      <c r="F3063" s="22">
        <f t="array" ref="F3063">IF($C3063="","",IFERROR(INDEX(DATA_MASTER!$L$2:$L$5000,MATCH($C3063,DATA_MASTER!$D$2:$D$5000,0)),""))</f>
        <v/>
      </c>
      <c r="G3063" s="24" t="n"/>
      <c r="H3063" s="24" t="n"/>
      <c r="I3063" s="30" t="n"/>
      <c r="J3063" s="23">
        <f>IF(OR($H3063="",$I3063=""),"",$H3063*$I3063)</f>
        <v/>
      </c>
      <c r="K3063" s="24" t="n"/>
      <c r="L3063" s="24" t="n"/>
      <c r="M3063" s="29" t="n"/>
      <c r="N3063" s="28" t="n"/>
      <c r="O3063" s="24" t="n"/>
      <c r="P3063" s="24" t="n"/>
      <c r="Q3063" s="24" t="n"/>
      <c r="R3063" s="24" t="n"/>
      <c r="S3063" s="22">
        <f>IF(AND($A3063="",$C3063=""),"",IF($A3063="","Thiếu mã đơn; ","")&amp;IF(COUNTIF($A$2:$A3063,$A3063)&gt;1,"Trùng mã đơn; ","")&amp;IF(ISNA(MATCH($C3063,DATA_MASTER!$D$2:$D$5000,0)),"SĐT chưa đăng ký hội viên; ","")&amp;IF(AND($L3063="Đã chuyển khoản",$M3063=""),"Thiếu ngày nhận CK; ",""))</f>
        <v/>
      </c>
      <c r="T3063" s="24" t="n"/>
    </row>
    <row r="3064" ht="14.25" customHeight="1" s="40">
      <c r="A3064" s="24" t="n"/>
      <c r="B3064" s="29" t="n"/>
      <c r="C3064" s="28" t="n"/>
      <c r="D3064" s="22">
        <f t="array" ref="D3064">IF($C3064="","",IFERROR(INDEX(DATA_MASTER!$C$2:$C$5000,MATCH($C3064,DATA_MASTER!$D$2:$D$5000,0)),""))</f>
        <v/>
      </c>
      <c r="E3064" s="22">
        <f t="array" ref="E3064">IF($C3064="","",IFERROR(INDEX(DATA_MASTER!$I$2:$I$5000,MATCH($C3064,DATA_MASTER!$D$2:$D$5000,0)),""))</f>
        <v/>
      </c>
      <c r="F3064" s="22">
        <f t="array" ref="F3064">IF($C3064="","",IFERROR(INDEX(DATA_MASTER!$L$2:$L$5000,MATCH($C3064,DATA_MASTER!$D$2:$D$5000,0)),""))</f>
        <v/>
      </c>
      <c r="G3064" s="24" t="n"/>
      <c r="H3064" s="24" t="n"/>
      <c r="I3064" s="30" t="n"/>
      <c r="J3064" s="23">
        <f>IF(OR($H3064="",$I3064=""),"",$H3064*$I3064)</f>
        <v/>
      </c>
      <c r="K3064" s="24" t="n"/>
      <c r="L3064" s="24" t="n"/>
      <c r="M3064" s="29" t="n"/>
      <c r="N3064" s="28" t="n"/>
      <c r="O3064" s="24" t="n"/>
      <c r="P3064" s="24" t="n"/>
      <c r="Q3064" s="24" t="n"/>
      <c r="R3064" s="24" t="n"/>
      <c r="S3064" s="22">
        <f>IF(AND($A3064="",$C3064=""),"",IF($A3064="","Thiếu mã đơn; ","")&amp;IF(COUNTIF($A$2:$A3064,$A3064)&gt;1,"Trùng mã đơn; ","")&amp;IF(ISNA(MATCH($C3064,DATA_MASTER!$D$2:$D$5000,0)),"SĐT chưa đăng ký hội viên; ","")&amp;IF(AND($L3064="Đã chuyển khoản",$M3064=""),"Thiếu ngày nhận CK; ",""))</f>
        <v/>
      </c>
      <c r="T3064" s="24" t="n"/>
    </row>
    <row r="3065" ht="14.25" customHeight="1" s="40">
      <c r="A3065" s="24" t="n"/>
      <c r="B3065" s="29" t="n"/>
      <c r="C3065" s="28" t="n"/>
      <c r="D3065" s="22">
        <f t="array" ref="D3065">IF($C3065="","",IFERROR(INDEX(DATA_MASTER!$C$2:$C$5000,MATCH($C3065,DATA_MASTER!$D$2:$D$5000,0)),""))</f>
        <v/>
      </c>
      <c r="E3065" s="22">
        <f t="array" ref="E3065">IF($C3065="","",IFERROR(INDEX(DATA_MASTER!$I$2:$I$5000,MATCH($C3065,DATA_MASTER!$D$2:$D$5000,0)),""))</f>
        <v/>
      </c>
      <c r="F3065" s="22">
        <f t="array" ref="F3065">IF($C3065="","",IFERROR(INDEX(DATA_MASTER!$L$2:$L$5000,MATCH($C3065,DATA_MASTER!$D$2:$D$5000,0)),""))</f>
        <v/>
      </c>
      <c r="G3065" s="24" t="n"/>
      <c r="H3065" s="24" t="n"/>
      <c r="I3065" s="30" t="n"/>
      <c r="J3065" s="23">
        <f>IF(OR($H3065="",$I3065=""),"",$H3065*$I3065)</f>
        <v/>
      </c>
      <c r="K3065" s="24" t="n"/>
      <c r="L3065" s="24" t="n"/>
      <c r="M3065" s="29" t="n"/>
      <c r="N3065" s="28" t="n"/>
      <c r="O3065" s="24" t="n"/>
      <c r="P3065" s="24" t="n"/>
      <c r="Q3065" s="24" t="n"/>
      <c r="R3065" s="24" t="n"/>
      <c r="S3065" s="22">
        <f>IF(AND($A3065="",$C3065=""),"",IF($A3065="","Thiếu mã đơn; ","")&amp;IF(COUNTIF($A$2:$A3065,$A3065)&gt;1,"Trùng mã đơn; ","")&amp;IF(ISNA(MATCH($C3065,DATA_MASTER!$D$2:$D$5000,0)),"SĐT chưa đăng ký hội viên; ","")&amp;IF(AND($L3065="Đã chuyển khoản",$M3065=""),"Thiếu ngày nhận CK; ",""))</f>
        <v/>
      </c>
      <c r="T3065" s="24" t="n"/>
    </row>
    <row r="3066" ht="14.25" customHeight="1" s="40">
      <c r="A3066" s="24" t="n"/>
      <c r="B3066" s="29" t="n"/>
      <c r="C3066" s="28" t="n"/>
      <c r="D3066" s="22">
        <f t="array" ref="D3066">IF($C3066="","",IFERROR(INDEX(DATA_MASTER!$C$2:$C$5000,MATCH($C3066,DATA_MASTER!$D$2:$D$5000,0)),""))</f>
        <v/>
      </c>
      <c r="E3066" s="22">
        <f t="array" ref="E3066">IF($C3066="","",IFERROR(INDEX(DATA_MASTER!$I$2:$I$5000,MATCH($C3066,DATA_MASTER!$D$2:$D$5000,0)),""))</f>
        <v/>
      </c>
      <c r="F3066" s="22">
        <f t="array" ref="F3066">IF($C3066="","",IFERROR(INDEX(DATA_MASTER!$L$2:$L$5000,MATCH($C3066,DATA_MASTER!$D$2:$D$5000,0)),""))</f>
        <v/>
      </c>
      <c r="G3066" s="24" t="n"/>
      <c r="H3066" s="24" t="n"/>
      <c r="I3066" s="30" t="n"/>
      <c r="J3066" s="23">
        <f>IF(OR($H3066="",$I3066=""),"",$H3066*$I3066)</f>
        <v/>
      </c>
      <c r="K3066" s="24" t="n"/>
      <c r="L3066" s="24" t="n"/>
      <c r="M3066" s="29" t="n"/>
      <c r="N3066" s="28" t="n"/>
      <c r="O3066" s="24" t="n"/>
      <c r="P3066" s="24" t="n"/>
      <c r="Q3066" s="24" t="n"/>
      <c r="R3066" s="24" t="n"/>
      <c r="S3066" s="22">
        <f>IF(AND($A3066="",$C3066=""),"",IF($A3066="","Thiếu mã đơn; ","")&amp;IF(COUNTIF($A$2:$A3066,$A3066)&gt;1,"Trùng mã đơn; ","")&amp;IF(ISNA(MATCH($C3066,DATA_MASTER!$D$2:$D$5000,0)),"SĐT chưa đăng ký hội viên; ","")&amp;IF(AND($L3066="Đã chuyển khoản",$M3066=""),"Thiếu ngày nhận CK; ",""))</f>
        <v/>
      </c>
      <c r="T3066" s="24" t="n"/>
    </row>
    <row r="3067" ht="14.25" customHeight="1" s="40">
      <c r="A3067" s="24" t="n"/>
      <c r="B3067" s="29" t="n"/>
      <c r="C3067" s="28" t="n"/>
      <c r="D3067" s="22">
        <f t="array" ref="D3067">IF($C3067="","",IFERROR(INDEX(DATA_MASTER!$C$2:$C$5000,MATCH($C3067,DATA_MASTER!$D$2:$D$5000,0)),""))</f>
        <v/>
      </c>
      <c r="E3067" s="22">
        <f t="array" ref="E3067">IF($C3067="","",IFERROR(INDEX(DATA_MASTER!$I$2:$I$5000,MATCH($C3067,DATA_MASTER!$D$2:$D$5000,0)),""))</f>
        <v/>
      </c>
      <c r="F3067" s="22">
        <f t="array" ref="F3067">IF($C3067="","",IFERROR(INDEX(DATA_MASTER!$L$2:$L$5000,MATCH($C3067,DATA_MASTER!$D$2:$D$5000,0)),""))</f>
        <v/>
      </c>
      <c r="G3067" s="24" t="n"/>
      <c r="H3067" s="24" t="n"/>
      <c r="I3067" s="30" t="n"/>
      <c r="J3067" s="23">
        <f>IF(OR($H3067="",$I3067=""),"",$H3067*$I3067)</f>
        <v/>
      </c>
      <c r="K3067" s="24" t="n"/>
      <c r="L3067" s="24" t="n"/>
      <c r="M3067" s="29" t="n"/>
      <c r="N3067" s="28" t="n"/>
      <c r="O3067" s="24" t="n"/>
      <c r="P3067" s="24" t="n"/>
      <c r="Q3067" s="24" t="n"/>
      <c r="R3067" s="24" t="n"/>
      <c r="S3067" s="22">
        <f>IF(AND($A3067="",$C3067=""),"",IF($A3067="","Thiếu mã đơn; ","")&amp;IF(COUNTIF($A$2:$A3067,$A3067)&gt;1,"Trùng mã đơn; ","")&amp;IF(ISNA(MATCH($C3067,DATA_MASTER!$D$2:$D$5000,0)),"SĐT chưa đăng ký hội viên; ","")&amp;IF(AND($L3067="Đã chuyển khoản",$M3067=""),"Thiếu ngày nhận CK; ",""))</f>
        <v/>
      </c>
      <c r="T3067" s="24" t="n"/>
    </row>
    <row r="3068" ht="14.25" customHeight="1" s="40">
      <c r="A3068" s="24" t="n"/>
      <c r="B3068" s="29" t="n"/>
      <c r="C3068" s="28" t="n"/>
      <c r="D3068" s="22">
        <f t="array" ref="D3068">IF($C3068="","",IFERROR(INDEX(DATA_MASTER!$C$2:$C$5000,MATCH($C3068,DATA_MASTER!$D$2:$D$5000,0)),""))</f>
        <v/>
      </c>
      <c r="E3068" s="22">
        <f t="array" ref="E3068">IF($C3068="","",IFERROR(INDEX(DATA_MASTER!$I$2:$I$5000,MATCH($C3068,DATA_MASTER!$D$2:$D$5000,0)),""))</f>
        <v/>
      </c>
      <c r="F3068" s="22">
        <f t="array" ref="F3068">IF($C3068="","",IFERROR(INDEX(DATA_MASTER!$L$2:$L$5000,MATCH($C3068,DATA_MASTER!$D$2:$D$5000,0)),""))</f>
        <v/>
      </c>
      <c r="G3068" s="24" t="n"/>
      <c r="H3068" s="24" t="n"/>
      <c r="I3068" s="30" t="n"/>
      <c r="J3068" s="23">
        <f>IF(OR($H3068="",$I3068=""),"",$H3068*$I3068)</f>
        <v/>
      </c>
      <c r="K3068" s="24" t="n"/>
      <c r="L3068" s="24" t="n"/>
      <c r="M3068" s="29" t="n"/>
      <c r="N3068" s="28" t="n"/>
      <c r="O3068" s="24" t="n"/>
      <c r="P3068" s="24" t="n"/>
      <c r="Q3068" s="24" t="n"/>
      <c r="R3068" s="24" t="n"/>
      <c r="S3068" s="22">
        <f>IF(AND($A3068="",$C3068=""),"",IF($A3068="","Thiếu mã đơn; ","")&amp;IF(COUNTIF($A$2:$A3068,$A3068)&gt;1,"Trùng mã đơn; ","")&amp;IF(ISNA(MATCH($C3068,DATA_MASTER!$D$2:$D$5000,0)),"SĐT chưa đăng ký hội viên; ","")&amp;IF(AND($L3068="Đã chuyển khoản",$M3068=""),"Thiếu ngày nhận CK; ",""))</f>
        <v/>
      </c>
      <c r="T3068" s="24" t="n"/>
    </row>
    <row r="3069" ht="14.25" customHeight="1" s="40">
      <c r="A3069" s="24" t="n"/>
      <c r="B3069" s="29" t="n"/>
      <c r="C3069" s="28" t="n"/>
      <c r="D3069" s="22">
        <f t="array" ref="D3069">IF($C3069="","",IFERROR(INDEX(DATA_MASTER!$C$2:$C$5000,MATCH($C3069,DATA_MASTER!$D$2:$D$5000,0)),""))</f>
        <v/>
      </c>
      <c r="E3069" s="22">
        <f t="array" ref="E3069">IF($C3069="","",IFERROR(INDEX(DATA_MASTER!$I$2:$I$5000,MATCH($C3069,DATA_MASTER!$D$2:$D$5000,0)),""))</f>
        <v/>
      </c>
      <c r="F3069" s="22">
        <f t="array" ref="F3069">IF($C3069="","",IFERROR(INDEX(DATA_MASTER!$L$2:$L$5000,MATCH($C3069,DATA_MASTER!$D$2:$D$5000,0)),""))</f>
        <v/>
      </c>
      <c r="G3069" s="24" t="n"/>
      <c r="H3069" s="24" t="n"/>
      <c r="I3069" s="30" t="n"/>
      <c r="J3069" s="23">
        <f>IF(OR($H3069="",$I3069=""),"",$H3069*$I3069)</f>
        <v/>
      </c>
      <c r="K3069" s="24" t="n"/>
      <c r="L3069" s="24" t="n"/>
      <c r="M3069" s="29" t="n"/>
      <c r="N3069" s="28" t="n"/>
      <c r="O3069" s="24" t="n"/>
      <c r="P3069" s="24" t="n"/>
      <c r="Q3069" s="24" t="n"/>
      <c r="R3069" s="24" t="n"/>
      <c r="S3069" s="22">
        <f>IF(AND($A3069="",$C3069=""),"",IF($A3069="","Thiếu mã đơn; ","")&amp;IF(COUNTIF($A$2:$A3069,$A3069)&gt;1,"Trùng mã đơn; ","")&amp;IF(ISNA(MATCH($C3069,DATA_MASTER!$D$2:$D$5000,0)),"SĐT chưa đăng ký hội viên; ","")&amp;IF(AND($L3069="Đã chuyển khoản",$M3069=""),"Thiếu ngày nhận CK; ",""))</f>
        <v/>
      </c>
      <c r="T3069" s="24" t="n"/>
    </row>
    <row r="3070" ht="14.25" customHeight="1" s="40">
      <c r="A3070" s="24" t="n"/>
      <c r="B3070" s="29" t="n"/>
      <c r="C3070" s="28" t="n"/>
      <c r="D3070" s="22">
        <f t="array" ref="D3070">IF($C3070="","",IFERROR(INDEX(DATA_MASTER!$C$2:$C$5000,MATCH($C3070,DATA_MASTER!$D$2:$D$5000,0)),""))</f>
        <v/>
      </c>
      <c r="E3070" s="22">
        <f t="array" ref="E3070">IF($C3070="","",IFERROR(INDEX(DATA_MASTER!$I$2:$I$5000,MATCH($C3070,DATA_MASTER!$D$2:$D$5000,0)),""))</f>
        <v/>
      </c>
      <c r="F3070" s="22">
        <f t="array" ref="F3070">IF($C3070="","",IFERROR(INDEX(DATA_MASTER!$L$2:$L$5000,MATCH($C3070,DATA_MASTER!$D$2:$D$5000,0)),""))</f>
        <v/>
      </c>
      <c r="G3070" s="24" t="n"/>
      <c r="H3070" s="24" t="n"/>
      <c r="I3070" s="30" t="n"/>
      <c r="J3070" s="23">
        <f>IF(OR($H3070="",$I3070=""),"",$H3070*$I3070)</f>
        <v/>
      </c>
      <c r="K3070" s="24" t="n"/>
      <c r="L3070" s="24" t="n"/>
      <c r="M3070" s="29" t="n"/>
      <c r="N3070" s="28" t="n"/>
      <c r="O3070" s="24" t="n"/>
      <c r="P3070" s="24" t="n"/>
      <c r="Q3070" s="24" t="n"/>
      <c r="R3070" s="24" t="n"/>
      <c r="S3070" s="22">
        <f>IF(AND($A3070="",$C3070=""),"",IF($A3070="","Thiếu mã đơn; ","")&amp;IF(COUNTIF($A$2:$A3070,$A3070)&gt;1,"Trùng mã đơn; ","")&amp;IF(ISNA(MATCH($C3070,DATA_MASTER!$D$2:$D$5000,0)),"SĐT chưa đăng ký hội viên; ","")&amp;IF(AND($L3070="Đã chuyển khoản",$M3070=""),"Thiếu ngày nhận CK; ",""))</f>
        <v/>
      </c>
      <c r="T3070" s="24" t="n"/>
    </row>
    <row r="3071" ht="14.25" customHeight="1" s="40">
      <c r="A3071" s="24" t="n"/>
      <c r="B3071" s="29" t="n"/>
      <c r="C3071" s="28" t="n"/>
      <c r="D3071" s="22">
        <f t="array" ref="D3071">IF($C3071="","",IFERROR(INDEX(DATA_MASTER!$C$2:$C$5000,MATCH($C3071,DATA_MASTER!$D$2:$D$5000,0)),""))</f>
        <v/>
      </c>
      <c r="E3071" s="22">
        <f t="array" ref="E3071">IF($C3071="","",IFERROR(INDEX(DATA_MASTER!$I$2:$I$5000,MATCH($C3071,DATA_MASTER!$D$2:$D$5000,0)),""))</f>
        <v/>
      </c>
      <c r="F3071" s="22">
        <f t="array" ref="F3071">IF($C3071="","",IFERROR(INDEX(DATA_MASTER!$L$2:$L$5000,MATCH($C3071,DATA_MASTER!$D$2:$D$5000,0)),""))</f>
        <v/>
      </c>
      <c r="G3071" s="24" t="n"/>
      <c r="H3071" s="24" t="n"/>
      <c r="I3071" s="30" t="n"/>
      <c r="J3071" s="23">
        <f>IF(OR($H3071="",$I3071=""),"",$H3071*$I3071)</f>
        <v/>
      </c>
      <c r="K3071" s="24" t="n"/>
      <c r="L3071" s="24" t="n"/>
      <c r="M3071" s="29" t="n"/>
      <c r="N3071" s="28" t="n"/>
      <c r="O3071" s="24" t="n"/>
      <c r="P3071" s="24" t="n"/>
      <c r="Q3071" s="24" t="n"/>
      <c r="R3071" s="24" t="n"/>
      <c r="S3071" s="22">
        <f>IF(AND($A3071="",$C3071=""),"",IF($A3071="","Thiếu mã đơn; ","")&amp;IF(COUNTIF($A$2:$A3071,$A3071)&gt;1,"Trùng mã đơn; ","")&amp;IF(ISNA(MATCH($C3071,DATA_MASTER!$D$2:$D$5000,0)),"SĐT chưa đăng ký hội viên; ","")&amp;IF(AND($L3071="Đã chuyển khoản",$M3071=""),"Thiếu ngày nhận CK; ",""))</f>
        <v/>
      </c>
      <c r="T3071" s="24" t="n"/>
    </row>
    <row r="3072" ht="14.25" customHeight="1" s="40">
      <c r="A3072" s="24" t="n"/>
      <c r="B3072" s="29" t="n"/>
      <c r="C3072" s="28" t="n"/>
      <c r="D3072" s="22">
        <f t="array" ref="D3072">IF($C3072="","",IFERROR(INDEX(DATA_MASTER!$C$2:$C$5000,MATCH($C3072,DATA_MASTER!$D$2:$D$5000,0)),""))</f>
        <v/>
      </c>
      <c r="E3072" s="22">
        <f t="array" ref="E3072">IF($C3072="","",IFERROR(INDEX(DATA_MASTER!$I$2:$I$5000,MATCH($C3072,DATA_MASTER!$D$2:$D$5000,0)),""))</f>
        <v/>
      </c>
      <c r="F3072" s="22">
        <f t="array" ref="F3072">IF($C3072="","",IFERROR(INDEX(DATA_MASTER!$L$2:$L$5000,MATCH($C3072,DATA_MASTER!$D$2:$D$5000,0)),""))</f>
        <v/>
      </c>
      <c r="G3072" s="24" t="n"/>
      <c r="H3072" s="24" t="n"/>
      <c r="I3072" s="30" t="n"/>
      <c r="J3072" s="23">
        <f>IF(OR($H3072="",$I3072=""),"",$H3072*$I3072)</f>
        <v/>
      </c>
      <c r="K3072" s="24" t="n"/>
      <c r="L3072" s="24" t="n"/>
      <c r="M3072" s="29" t="n"/>
      <c r="N3072" s="28" t="n"/>
      <c r="O3072" s="24" t="n"/>
      <c r="P3072" s="24" t="n"/>
      <c r="Q3072" s="24" t="n"/>
      <c r="R3072" s="24" t="n"/>
      <c r="S3072" s="22">
        <f>IF(AND($A3072="",$C3072=""),"",IF($A3072="","Thiếu mã đơn; ","")&amp;IF(COUNTIF($A$2:$A3072,$A3072)&gt;1,"Trùng mã đơn; ","")&amp;IF(ISNA(MATCH($C3072,DATA_MASTER!$D$2:$D$5000,0)),"SĐT chưa đăng ký hội viên; ","")&amp;IF(AND($L3072="Đã chuyển khoản",$M3072=""),"Thiếu ngày nhận CK; ",""))</f>
        <v/>
      </c>
      <c r="T3072" s="24" t="n"/>
    </row>
    <row r="3073" ht="14.25" customHeight="1" s="40">
      <c r="A3073" s="24" t="n"/>
      <c r="B3073" s="29" t="n"/>
      <c r="C3073" s="28" t="n"/>
      <c r="D3073" s="22">
        <f t="array" ref="D3073">IF($C3073="","",IFERROR(INDEX(DATA_MASTER!$C$2:$C$5000,MATCH($C3073,DATA_MASTER!$D$2:$D$5000,0)),""))</f>
        <v/>
      </c>
      <c r="E3073" s="22">
        <f t="array" ref="E3073">IF($C3073="","",IFERROR(INDEX(DATA_MASTER!$I$2:$I$5000,MATCH($C3073,DATA_MASTER!$D$2:$D$5000,0)),""))</f>
        <v/>
      </c>
      <c r="F3073" s="22">
        <f t="array" ref="F3073">IF($C3073="","",IFERROR(INDEX(DATA_MASTER!$L$2:$L$5000,MATCH($C3073,DATA_MASTER!$D$2:$D$5000,0)),""))</f>
        <v/>
      </c>
      <c r="G3073" s="24" t="n"/>
      <c r="H3073" s="24" t="n"/>
      <c r="I3073" s="30" t="n"/>
      <c r="J3073" s="23">
        <f>IF(OR($H3073="",$I3073=""),"",$H3073*$I3073)</f>
        <v/>
      </c>
      <c r="K3073" s="24" t="n"/>
      <c r="L3073" s="24" t="n"/>
      <c r="M3073" s="29" t="n"/>
      <c r="N3073" s="28" t="n"/>
      <c r="O3073" s="24" t="n"/>
      <c r="P3073" s="24" t="n"/>
      <c r="Q3073" s="24" t="n"/>
      <c r="R3073" s="24" t="n"/>
      <c r="S3073" s="22">
        <f>IF(AND($A3073="",$C3073=""),"",IF($A3073="","Thiếu mã đơn; ","")&amp;IF(COUNTIF($A$2:$A3073,$A3073)&gt;1,"Trùng mã đơn; ","")&amp;IF(ISNA(MATCH($C3073,DATA_MASTER!$D$2:$D$5000,0)),"SĐT chưa đăng ký hội viên; ","")&amp;IF(AND($L3073="Đã chuyển khoản",$M3073=""),"Thiếu ngày nhận CK; ",""))</f>
        <v/>
      </c>
      <c r="T3073" s="24" t="n"/>
    </row>
    <row r="3074" ht="14.25" customHeight="1" s="40">
      <c r="A3074" s="24" t="n"/>
      <c r="B3074" s="29" t="n"/>
      <c r="C3074" s="28" t="n"/>
      <c r="D3074" s="22">
        <f t="array" ref="D3074">IF($C3074="","",IFERROR(INDEX(DATA_MASTER!$C$2:$C$5000,MATCH($C3074,DATA_MASTER!$D$2:$D$5000,0)),""))</f>
        <v/>
      </c>
      <c r="E3074" s="22">
        <f t="array" ref="E3074">IF($C3074="","",IFERROR(INDEX(DATA_MASTER!$I$2:$I$5000,MATCH($C3074,DATA_MASTER!$D$2:$D$5000,0)),""))</f>
        <v/>
      </c>
      <c r="F3074" s="22">
        <f t="array" ref="F3074">IF($C3074="","",IFERROR(INDEX(DATA_MASTER!$L$2:$L$5000,MATCH($C3074,DATA_MASTER!$D$2:$D$5000,0)),""))</f>
        <v/>
      </c>
      <c r="G3074" s="24" t="n"/>
      <c r="H3074" s="24" t="n"/>
      <c r="I3074" s="30" t="n"/>
      <c r="J3074" s="23">
        <f>IF(OR($H3074="",$I3074=""),"",$H3074*$I3074)</f>
        <v/>
      </c>
      <c r="K3074" s="24" t="n"/>
      <c r="L3074" s="24" t="n"/>
      <c r="M3074" s="29" t="n"/>
      <c r="N3074" s="28" t="n"/>
      <c r="O3074" s="24" t="n"/>
      <c r="P3074" s="24" t="n"/>
      <c r="Q3074" s="24" t="n"/>
      <c r="R3074" s="24" t="n"/>
      <c r="S3074" s="22">
        <f>IF(AND($A3074="",$C3074=""),"",IF($A3074="","Thiếu mã đơn; ","")&amp;IF(COUNTIF($A$2:$A3074,$A3074)&gt;1,"Trùng mã đơn; ","")&amp;IF(ISNA(MATCH($C3074,DATA_MASTER!$D$2:$D$5000,0)),"SĐT chưa đăng ký hội viên; ","")&amp;IF(AND($L3074="Đã chuyển khoản",$M3074=""),"Thiếu ngày nhận CK; ",""))</f>
        <v/>
      </c>
      <c r="T3074" s="24" t="n"/>
    </row>
    <row r="3075" ht="14.25" customHeight="1" s="40">
      <c r="A3075" s="24" t="n"/>
      <c r="B3075" s="29" t="n"/>
      <c r="C3075" s="28" t="n"/>
      <c r="D3075" s="22">
        <f t="array" ref="D3075">IF($C3075="","",IFERROR(INDEX(DATA_MASTER!$C$2:$C$5000,MATCH($C3075,DATA_MASTER!$D$2:$D$5000,0)),""))</f>
        <v/>
      </c>
      <c r="E3075" s="22">
        <f t="array" ref="E3075">IF($C3075="","",IFERROR(INDEX(DATA_MASTER!$I$2:$I$5000,MATCH($C3075,DATA_MASTER!$D$2:$D$5000,0)),""))</f>
        <v/>
      </c>
      <c r="F3075" s="22">
        <f t="array" ref="F3075">IF($C3075="","",IFERROR(INDEX(DATA_MASTER!$L$2:$L$5000,MATCH($C3075,DATA_MASTER!$D$2:$D$5000,0)),""))</f>
        <v/>
      </c>
      <c r="G3075" s="24" t="n"/>
      <c r="H3075" s="24" t="n"/>
      <c r="I3075" s="30" t="n"/>
      <c r="J3075" s="23">
        <f>IF(OR($H3075="",$I3075=""),"",$H3075*$I3075)</f>
        <v/>
      </c>
      <c r="K3075" s="24" t="n"/>
      <c r="L3075" s="24" t="n"/>
      <c r="M3075" s="29" t="n"/>
      <c r="N3075" s="28" t="n"/>
      <c r="O3075" s="24" t="n"/>
      <c r="P3075" s="24" t="n"/>
      <c r="Q3075" s="24" t="n"/>
      <c r="R3075" s="24" t="n"/>
      <c r="S3075" s="22">
        <f>IF(AND($A3075="",$C3075=""),"",IF($A3075="","Thiếu mã đơn; ","")&amp;IF(COUNTIF($A$2:$A3075,$A3075)&gt;1,"Trùng mã đơn; ","")&amp;IF(ISNA(MATCH($C3075,DATA_MASTER!$D$2:$D$5000,0)),"SĐT chưa đăng ký hội viên; ","")&amp;IF(AND($L3075="Đã chuyển khoản",$M3075=""),"Thiếu ngày nhận CK; ",""))</f>
        <v/>
      </c>
      <c r="T3075" s="24" t="n"/>
    </row>
    <row r="3076" ht="14.25" customHeight="1" s="40">
      <c r="A3076" s="24" t="n"/>
      <c r="B3076" s="29" t="n"/>
      <c r="C3076" s="28" t="n"/>
      <c r="D3076" s="22">
        <f t="array" ref="D3076">IF($C3076="","",IFERROR(INDEX(DATA_MASTER!$C$2:$C$5000,MATCH($C3076,DATA_MASTER!$D$2:$D$5000,0)),""))</f>
        <v/>
      </c>
      <c r="E3076" s="22">
        <f t="array" ref="E3076">IF($C3076="","",IFERROR(INDEX(DATA_MASTER!$I$2:$I$5000,MATCH($C3076,DATA_MASTER!$D$2:$D$5000,0)),""))</f>
        <v/>
      </c>
      <c r="F3076" s="22">
        <f t="array" ref="F3076">IF($C3076="","",IFERROR(INDEX(DATA_MASTER!$L$2:$L$5000,MATCH($C3076,DATA_MASTER!$D$2:$D$5000,0)),""))</f>
        <v/>
      </c>
      <c r="G3076" s="24" t="n"/>
      <c r="H3076" s="24" t="n"/>
      <c r="I3076" s="30" t="n"/>
      <c r="J3076" s="23">
        <f>IF(OR($H3076="",$I3076=""),"",$H3076*$I3076)</f>
        <v/>
      </c>
      <c r="K3076" s="24" t="n"/>
      <c r="L3076" s="24" t="n"/>
      <c r="M3076" s="29" t="n"/>
      <c r="N3076" s="28" t="n"/>
      <c r="O3076" s="24" t="n"/>
      <c r="P3076" s="24" t="n"/>
      <c r="Q3076" s="24" t="n"/>
      <c r="R3076" s="24" t="n"/>
      <c r="S3076" s="22">
        <f>IF(AND($A3076="",$C3076=""),"",IF($A3076="","Thiếu mã đơn; ","")&amp;IF(COUNTIF($A$2:$A3076,$A3076)&gt;1,"Trùng mã đơn; ","")&amp;IF(ISNA(MATCH($C3076,DATA_MASTER!$D$2:$D$5000,0)),"SĐT chưa đăng ký hội viên; ","")&amp;IF(AND($L3076="Đã chuyển khoản",$M3076=""),"Thiếu ngày nhận CK; ",""))</f>
        <v/>
      </c>
      <c r="T3076" s="24" t="n"/>
    </row>
    <row r="3077" ht="14.25" customHeight="1" s="40">
      <c r="A3077" s="24" t="n"/>
      <c r="B3077" s="29" t="n"/>
      <c r="C3077" s="28" t="n"/>
      <c r="D3077" s="22">
        <f t="array" ref="D3077">IF($C3077="","",IFERROR(INDEX(DATA_MASTER!$C$2:$C$5000,MATCH($C3077,DATA_MASTER!$D$2:$D$5000,0)),""))</f>
        <v/>
      </c>
      <c r="E3077" s="22">
        <f t="array" ref="E3077">IF($C3077="","",IFERROR(INDEX(DATA_MASTER!$I$2:$I$5000,MATCH($C3077,DATA_MASTER!$D$2:$D$5000,0)),""))</f>
        <v/>
      </c>
      <c r="F3077" s="22">
        <f t="array" ref="F3077">IF($C3077="","",IFERROR(INDEX(DATA_MASTER!$L$2:$L$5000,MATCH($C3077,DATA_MASTER!$D$2:$D$5000,0)),""))</f>
        <v/>
      </c>
      <c r="G3077" s="24" t="n"/>
      <c r="H3077" s="24" t="n"/>
      <c r="I3077" s="30" t="n"/>
      <c r="J3077" s="23">
        <f>IF(OR($H3077="",$I3077=""),"",$H3077*$I3077)</f>
        <v/>
      </c>
      <c r="K3077" s="24" t="n"/>
      <c r="L3077" s="24" t="n"/>
      <c r="M3077" s="29" t="n"/>
      <c r="N3077" s="28" t="n"/>
      <c r="O3077" s="24" t="n"/>
      <c r="P3077" s="24" t="n"/>
      <c r="Q3077" s="24" t="n"/>
      <c r="R3077" s="24" t="n"/>
      <c r="S3077" s="22">
        <f>IF(AND($A3077="",$C3077=""),"",IF($A3077="","Thiếu mã đơn; ","")&amp;IF(COUNTIF($A$2:$A3077,$A3077)&gt;1,"Trùng mã đơn; ","")&amp;IF(ISNA(MATCH($C3077,DATA_MASTER!$D$2:$D$5000,0)),"SĐT chưa đăng ký hội viên; ","")&amp;IF(AND($L3077="Đã chuyển khoản",$M3077=""),"Thiếu ngày nhận CK; ",""))</f>
        <v/>
      </c>
      <c r="T3077" s="24" t="n"/>
    </row>
    <row r="3078" ht="14.25" customHeight="1" s="40">
      <c r="A3078" s="24" t="n"/>
      <c r="B3078" s="29" t="n"/>
      <c r="C3078" s="28" t="n"/>
      <c r="D3078" s="22">
        <f t="array" ref="D3078">IF($C3078="","",IFERROR(INDEX(DATA_MASTER!$C$2:$C$5000,MATCH($C3078,DATA_MASTER!$D$2:$D$5000,0)),""))</f>
        <v/>
      </c>
      <c r="E3078" s="22">
        <f t="array" ref="E3078">IF($C3078="","",IFERROR(INDEX(DATA_MASTER!$I$2:$I$5000,MATCH($C3078,DATA_MASTER!$D$2:$D$5000,0)),""))</f>
        <v/>
      </c>
      <c r="F3078" s="22">
        <f t="array" ref="F3078">IF($C3078="","",IFERROR(INDEX(DATA_MASTER!$L$2:$L$5000,MATCH($C3078,DATA_MASTER!$D$2:$D$5000,0)),""))</f>
        <v/>
      </c>
      <c r="G3078" s="24" t="n"/>
      <c r="H3078" s="24" t="n"/>
      <c r="I3078" s="30" t="n"/>
      <c r="J3078" s="23">
        <f>IF(OR($H3078="",$I3078=""),"",$H3078*$I3078)</f>
        <v/>
      </c>
      <c r="K3078" s="24" t="n"/>
      <c r="L3078" s="24" t="n"/>
      <c r="M3078" s="29" t="n"/>
      <c r="N3078" s="28" t="n"/>
      <c r="O3078" s="24" t="n"/>
      <c r="P3078" s="24" t="n"/>
      <c r="Q3078" s="24" t="n"/>
      <c r="R3078" s="24" t="n"/>
      <c r="S3078" s="22">
        <f>IF(AND($A3078="",$C3078=""),"",IF($A3078="","Thiếu mã đơn; ","")&amp;IF(COUNTIF($A$2:$A3078,$A3078)&gt;1,"Trùng mã đơn; ","")&amp;IF(ISNA(MATCH($C3078,DATA_MASTER!$D$2:$D$5000,0)),"SĐT chưa đăng ký hội viên; ","")&amp;IF(AND($L3078="Đã chuyển khoản",$M3078=""),"Thiếu ngày nhận CK; ",""))</f>
        <v/>
      </c>
      <c r="T3078" s="24" t="n"/>
    </row>
    <row r="3079" ht="14.25" customHeight="1" s="40">
      <c r="A3079" s="24" t="n"/>
      <c r="B3079" s="29" t="n"/>
      <c r="C3079" s="28" t="n"/>
      <c r="D3079" s="22">
        <f t="array" ref="D3079">IF($C3079="","",IFERROR(INDEX(DATA_MASTER!$C$2:$C$5000,MATCH($C3079,DATA_MASTER!$D$2:$D$5000,0)),""))</f>
        <v/>
      </c>
      <c r="E3079" s="22">
        <f t="array" ref="E3079">IF($C3079="","",IFERROR(INDEX(DATA_MASTER!$I$2:$I$5000,MATCH($C3079,DATA_MASTER!$D$2:$D$5000,0)),""))</f>
        <v/>
      </c>
      <c r="F3079" s="22">
        <f t="array" ref="F3079">IF($C3079="","",IFERROR(INDEX(DATA_MASTER!$L$2:$L$5000,MATCH($C3079,DATA_MASTER!$D$2:$D$5000,0)),""))</f>
        <v/>
      </c>
      <c r="G3079" s="24" t="n"/>
      <c r="H3079" s="24" t="n"/>
      <c r="I3079" s="30" t="n"/>
      <c r="J3079" s="23">
        <f>IF(OR($H3079="",$I3079=""),"",$H3079*$I3079)</f>
        <v/>
      </c>
      <c r="K3079" s="24" t="n"/>
      <c r="L3079" s="24" t="n"/>
      <c r="M3079" s="29" t="n"/>
      <c r="N3079" s="28" t="n"/>
      <c r="O3079" s="24" t="n"/>
      <c r="P3079" s="24" t="n"/>
      <c r="Q3079" s="24" t="n"/>
      <c r="R3079" s="24" t="n"/>
      <c r="S3079" s="22">
        <f>IF(AND($A3079="",$C3079=""),"",IF($A3079="","Thiếu mã đơn; ","")&amp;IF(COUNTIF($A$2:$A3079,$A3079)&gt;1,"Trùng mã đơn; ","")&amp;IF(ISNA(MATCH($C3079,DATA_MASTER!$D$2:$D$5000,0)),"SĐT chưa đăng ký hội viên; ","")&amp;IF(AND($L3079="Đã chuyển khoản",$M3079=""),"Thiếu ngày nhận CK; ",""))</f>
        <v/>
      </c>
      <c r="T3079" s="24" t="n"/>
    </row>
    <row r="3080" ht="14.25" customHeight="1" s="40">
      <c r="A3080" s="24" t="n"/>
      <c r="B3080" s="29" t="n"/>
      <c r="C3080" s="28" t="n"/>
      <c r="D3080" s="22">
        <f t="array" ref="D3080">IF($C3080="","",IFERROR(INDEX(DATA_MASTER!$C$2:$C$5000,MATCH($C3080,DATA_MASTER!$D$2:$D$5000,0)),""))</f>
        <v/>
      </c>
      <c r="E3080" s="22">
        <f t="array" ref="E3080">IF($C3080="","",IFERROR(INDEX(DATA_MASTER!$I$2:$I$5000,MATCH($C3080,DATA_MASTER!$D$2:$D$5000,0)),""))</f>
        <v/>
      </c>
      <c r="F3080" s="22">
        <f t="array" ref="F3080">IF($C3080="","",IFERROR(INDEX(DATA_MASTER!$L$2:$L$5000,MATCH($C3080,DATA_MASTER!$D$2:$D$5000,0)),""))</f>
        <v/>
      </c>
      <c r="G3080" s="24" t="n"/>
      <c r="H3080" s="24" t="n"/>
      <c r="I3080" s="30" t="n"/>
      <c r="J3080" s="23">
        <f>IF(OR($H3080="",$I3080=""),"",$H3080*$I3080)</f>
        <v/>
      </c>
      <c r="K3080" s="24" t="n"/>
      <c r="L3080" s="24" t="n"/>
      <c r="M3080" s="29" t="n"/>
      <c r="N3080" s="28" t="n"/>
      <c r="O3080" s="24" t="n"/>
      <c r="P3080" s="24" t="n"/>
      <c r="Q3080" s="24" t="n"/>
      <c r="R3080" s="24" t="n"/>
      <c r="S3080" s="22">
        <f>IF(AND($A3080="",$C3080=""),"",IF($A3080="","Thiếu mã đơn; ","")&amp;IF(COUNTIF($A$2:$A3080,$A3080)&gt;1,"Trùng mã đơn; ","")&amp;IF(ISNA(MATCH($C3080,DATA_MASTER!$D$2:$D$5000,0)),"SĐT chưa đăng ký hội viên; ","")&amp;IF(AND($L3080="Đã chuyển khoản",$M3080=""),"Thiếu ngày nhận CK; ",""))</f>
        <v/>
      </c>
      <c r="T3080" s="24" t="n"/>
    </row>
    <row r="3081" ht="14.25" customHeight="1" s="40">
      <c r="A3081" s="24" t="n"/>
      <c r="B3081" s="29" t="n"/>
      <c r="C3081" s="28" t="n"/>
      <c r="D3081" s="22">
        <f t="array" ref="D3081">IF($C3081="","",IFERROR(INDEX(DATA_MASTER!$C$2:$C$5000,MATCH($C3081,DATA_MASTER!$D$2:$D$5000,0)),""))</f>
        <v/>
      </c>
      <c r="E3081" s="22">
        <f t="array" ref="E3081">IF($C3081="","",IFERROR(INDEX(DATA_MASTER!$I$2:$I$5000,MATCH($C3081,DATA_MASTER!$D$2:$D$5000,0)),""))</f>
        <v/>
      </c>
      <c r="F3081" s="22">
        <f t="array" ref="F3081">IF($C3081="","",IFERROR(INDEX(DATA_MASTER!$L$2:$L$5000,MATCH($C3081,DATA_MASTER!$D$2:$D$5000,0)),""))</f>
        <v/>
      </c>
      <c r="G3081" s="24" t="n"/>
      <c r="H3081" s="24" t="n"/>
      <c r="I3081" s="30" t="n"/>
      <c r="J3081" s="23">
        <f>IF(OR($H3081="",$I3081=""),"",$H3081*$I3081)</f>
        <v/>
      </c>
      <c r="K3081" s="24" t="n"/>
      <c r="L3081" s="24" t="n"/>
      <c r="M3081" s="29" t="n"/>
      <c r="N3081" s="28" t="n"/>
      <c r="O3081" s="24" t="n"/>
      <c r="P3081" s="24" t="n"/>
      <c r="Q3081" s="24" t="n"/>
      <c r="R3081" s="24" t="n"/>
      <c r="S3081" s="22">
        <f>IF(AND($A3081="",$C3081=""),"",IF($A3081="","Thiếu mã đơn; ","")&amp;IF(COUNTIF($A$2:$A3081,$A3081)&gt;1,"Trùng mã đơn; ","")&amp;IF(ISNA(MATCH($C3081,DATA_MASTER!$D$2:$D$5000,0)),"SĐT chưa đăng ký hội viên; ","")&amp;IF(AND($L3081="Đã chuyển khoản",$M3081=""),"Thiếu ngày nhận CK; ",""))</f>
        <v/>
      </c>
      <c r="T3081" s="24" t="n"/>
    </row>
    <row r="3082" ht="14.25" customHeight="1" s="40">
      <c r="A3082" s="24" t="n"/>
      <c r="B3082" s="29" t="n"/>
      <c r="C3082" s="28" t="n"/>
      <c r="D3082" s="22">
        <f t="array" ref="D3082">IF($C3082="","",IFERROR(INDEX(DATA_MASTER!$C$2:$C$5000,MATCH($C3082,DATA_MASTER!$D$2:$D$5000,0)),""))</f>
        <v/>
      </c>
      <c r="E3082" s="22">
        <f t="array" ref="E3082">IF($C3082="","",IFERROR(INDEX(DATA_MASTER!$I$2:$I$5000,MATCH($C3082,DATA_MASTER!$D$2:$D$5000,0)),""))</f>
        <v/>
      </c>
      <c r="F3082" s="22">
        <f t="array" ref="F3082">IF($C3082="","",IFERROR(INDEX(DATA_MASTER!$L$2:$L$5000,MATCH($C3082,DATA_MASTER!$D$2:$D$5000,0)),""))</f>
        <v/>
      </c>
      <c r="G3082" s="24" t="n"/>
      <c r="H3082" s="24" t="n"/>
      <c r="I3082" s="30" t="n"/>
      <c r="J3082" s="23">
        <f>IF(OR($H3082="",$I3082=""),"",$H3082*$I3082)</f>
        <v/>
      </c>
      <c r="K3082" s="24" t="n"/>
      <c r="L3082" s="24" t="n"/>
      <c r="M3082" s="29" t="n"/>
      <c r="N3082" s="28" t="n"/>
      <c r="O3082" s="24" t="n"/>
      <c r="P3082" s="24" t="n"/>
      <c r="Q3082" s="24" t="n"/>
      <c r="R3082" s="24" t="n"/>
      <c r="S3082" s="22">
        <f>IF(AND($A3082="",$C3082=""),"",IF($A3082="","Thiếu mã đơn; ","")&amp;IF(COUNTIF($A$2:$A3082,$A3082)&gt;1,"Trùng mã đơn; ","")&amp;IF(ISNA(MATCH($C3082,DATA_MASTER!$D$2:$D$5000,0)),"SĐT chưa đăng ký hội viên; ","")&amp;IF(AND($L3082="Đã chuyển khoản",$M3082=""),"Thiếu ngày nhận CK; ",""))</f>
        <v/>
      </c>
      <c r="T3082" s="24" t="n"/>
    </row>
    <row r="3083" ht="14.25" customHeight="1" s="40">
      <c r="A3083" s="24" t="n"/>
      <c r="B3083" s="29" t="n"/>
      <c r="C3083" s="28" t="n"/>
      <c r="D3083" s="22">
        <f t="array" ref="D3083">IF($C3083="","",IFERROR(INDEX(DATA_MASTER!$C$2:$C$5000,MATCH($C3083,DATA_MASTER!$D$2:$D$5000,0)),""))</f>
        <v/>
      </c>
      <c r="E3083" s="22">
        <f t="array" ref="E3083">IF($C3083="","",IFERROR(INDEX(DATA_MASTER!$I$2:$I$5000,MATCH($C3083,DATA_MASTER!$D$2:$D$5000,0)),""))</f>
        <v/>
      </c>
      <c r="F3083" s="22">
        <f t="array" ref="F3083">IF($C3083="","",IFERROR(INDEX(DATA_MASTER!$L$2:$L$5000,MATCH($C3083,DATA_MASTER!$D$2:$D$5000,0)),""))</f>
        <v/>
      </c>
      <c r="G3083" s="24" t="n"/>
      <c r="H3083" s="24" t="n"/>
      <c r="I3083" s="30" t="n"/>
      <c r="J3083" s="23">
        <f>IF(OR($H3083="",$I3083=""),"",$H3083*$I3083)</f>
        <v/>
      </c>
      <c r="K3083" s="24" t="n"/>
      <c r="L3083" s="24" t="n"/>
      <c r="M3083" s="29" t="n"/>
      <c r="N3083" s="28" t="n"/>
      <c r="O3083" s="24" t="n"/>
      <c r="P3083" s="24" t="n"/>
      <c r="Q3083" s="24" t="n"/>
      <c r="R3083" s="24" t="n"/>
      <c r="S3083" s="22">
        <f>IF(AND($A3083="",$C3083=""),"",IF($A3083="","Thiếu mã đơn; ","")&amp;IF(COUNTIF($A$2:$A3083,$A3083)&gt;1,"Trùng mã đơn; ","")&amp;IF(ISNA(MATCH($C3083,DATA_MASTER!$D$2:$D$5000,0)),"SĐT chưa đăng ký hội viên; ","")&amp;IF(AND($L3083="Đã chuyển khoản",$M3083=""),"Thiếu ngày nhận CK; ",""))</f>
        <v/>
      </c>
      <c r="T3083" s="24" t="n"/>
    </row>
    <row r="3084" ht="14.25" customHeight="1" s="40">
      <c r="A3084" s="24" t="n"/>
      <c r="B3084" s="29" t="n"/>
      <c r="C3084" s="28" t="n"/>
      <c r="D3084" s="22">
        <f t="array" ref="D3084">IF($C3084="","",IFERROR(INDEX(DATA_MASTER!$C$2:$C$5000,MATCH($C3084,DATA_MASTER!$D$2:$D$5000,0)),""))</f>
        <v/>
      </c>
      <c r="E3084" s="22">
        <f t="array" ref="E3084">IF($C3084="","",IFERROR(INDEX(DATA_MASTER!$I$2:$I$5000,MATCH($C3084,DATA_MASTER!$D$2:$D$5000,0)),""))</f>
        <v/>
      </c>
      <c r="F3084" s="22">
        <f t="array" ref="F3084">IF($C3084="","",IFERROR(INDEX(DATA_MASTER!$L$2:$L$5000,MATCH($C3084,DATA_MASTER!$D$2:$D$5000,0)),""))</f>
        <v/>
      </c>
      <c r="G3084" s="24" t="n"/>
      <c r="H3084" s="24" t="n"/>
      <c r="I3084" s="30" t="n"/>
      <c r="J3084" s="23">
        <f>IF(OR($H3084="",$I3084=""),"",$H3084*$I3084)</f>
        <v/>
      </c>
      <c r="K3084" s="24" t="n"/>
      <c r="L3084" s="24" t="n"/>
      <c r="M3084" s="29" t="n"/>
      <c r="N3084" s="28" t="n"/>
      <c r="O3084" s="24" t="n"/>
      <c r="P3084" s="24" t="n"/>
      <c r="Q3084" s="24" t="n"/>
      <c r="R3084" s="24" t="n"/>
      <c r="S3084" s="22">
        <f>IF(AND($A3084="",$C3084=""),"",IF($A3084="","Thiếu mã đơn; ","")&amp;IF(COUNTIF($A$2:$A3084,$A3084)&gt;1,"Trùng mã đơn; ","")&amp;IF(ISNA(MATCH($C3084,DATA_MASTER!$D$2:$D$5000,0)),"SĐT chưa đăng ký hội viên; ","")&amp;IF(AND($L3084="Đã chuyển khoản",$M3084=""),"Thiếu ngày nhận CK; ",""))</f>
        <v/>
      </c>
      <c r="T3084" s="24" t="n"/>
    </row>
    <row r="3085" ht="14.25" customHeight="1" s="40">
      <c r="A3085" s="24" t="n"/>
      <c r="B3085" s="29" t="n"/>
      <c r="C3085" s="28" t="n"/>
      <c r="D3085" s="22">
        <f t="array" ref="D3085">IF($C3085="","",IFERROR(INDEX(DATA_MASTER!$C$2:$C$5000,MATCH($C3085,DATA_MASTER!$D$2:$D$5000,0)),""))</f>
        <v/>
      </c>
      <c r="E3085" s="22">
        <f t="array" ref="E3085">IF($C3085="","",IFERROR(INDEX(DATA_MASTER!$I$2:$I$5000,MATCH($C3085,DATA_MASTER!$D$2:$D$5000,0)),""))</f>
        <v/>
      </c>
      <c r="F3085" s="22">
        <f t="array" ref="F3085">IF($C3085="","",IFERROR(INDEX(DATA_MASTER!$L$2:$L$5000,MATCH($C3085,DATA_MASTER!$D$2:$D$5000,0)),""))</f>
        <v/>
      </c>
      <c r="G3085" s="24" t="n"/>
      <c r="H3085" s="24" t="n"/>
      <c r="I3085" s="30" t="n"/>
      <c r="J3085" s="23">
        <f>IF(OR($H3085="",$I3085=""),"",$H3085*$I3085)</f>
        <v/>
      </c>
      <c r="K3085" s="24" t="n"/>
      <c r="L3085" s="24" t="n"/>
      <c r="M3085" s="29" t="n"/>
      <c r="N3085" s="28" t="n"/>
      <c r="O3085" s="24" t="n"/>
      <c r="P3085" s="24" t="n"/>
      <c r="Q3085" s="24" t="n"/>
      <c r="R3085" s="24" t="n"/>
      <c r="S3085" s="22">
        <f>IF(AND($A3085="",$C3085=""),"",IF($A3085="","Thiếu mã đơn; ","")&amp;IF(COUNTIF($A$2:$A3085,$A3085)&gt;1,"Trùng mã đơn; ","")&amp;IF(ISNA(MATCH($C3085,DATA_MASTER!$D$2:$D$5000,0)),"SĐT chưa đăng ký hội viên; ","")&amp;IF(AND($L3085="Đã chuyển khoản",$M3085=""),"Thiếu ngày nhận CK; ",""))</f>
        <v/>
      </c>
      <c r="T3085" s="24" t="n"/>
    </row>
    <row r="3086" ht="14.25" customHeight="1" s="40">
      <c r="A3086" s="24" t="n"/>
      <c r="B3086" s="29" t="n"/>
      <c r="C3086" s="28" t="n"/>
      <c r="D3086" s="22">
        <f t="array" ref="D3086">IF($C3086="","",IFERROR(INDEX(DATA_MASTER!$C$2:$C$5000,MATCH($C3086,DATA_MASTER!$D$2:$D$5000,0)),""))</f>
        <v/>
      </c>
      <c r="E3086" s="22">
        <f t="array" ref="E3086">IF($C3086="","",IFERROR(INDEX(DATA_MASTER!$I$2:$I$5000,MATCH($C3086,DATA_MASTER!$D$2:$D$5000,0)),""))</f>
        <v/>
      </c>
      <c r="F3086" s="22">
        <f t="array" ref="F3086">IF($C3086="","",IFERROR(INDEX(DATA_MASTER!$L$2:$L$5000,MATCH($C3086,DATA_MASTER!$D$2:$D$5000,0)),""))</f>
        <v/>
      </c>
      <c r="G3086" s="24" t="n"/>
      <c r="H3086" s="24" t="n"/>
      <c r="I3086" s="30" t="n"/>
      <c r="J3086" s="23">
        <f>IF(OR($H3086="",$I3086=""),"",$H3086*$I3086)</f>
        <v/>
      </c>
      <c r="K3086" s="24" t="n"/>
      <c r="L3086" s="24" t="n"/>
      <c r="M3086" s="29" t="n"/>
      <c r="N3086" s="28" t="n"/>
      <c r="O3086" s="24" t="n"/>
      <c r="P3086" s="24" t="n"/>
      <c r="Q3086" s="24" t="n"/>
      <c r="R3086" s="24" t="n"/>
      <c r="S3086" s="22">
        <f>IF(AND($A3086="",$C3086=""),"",IF($A3086="","Thiếu mã đơn; ","")&amp;IF(COUNTIF($A$2:$A3086,$A3086)&gt;1,"Trùng mã đơn; ","")&amp;IF(ISNA(MATCH($C3086,DATA_MASTER!$D$2:$D$5000,0)),"SĐT chưa đăng ký hội viên; ","")&amp;IF(AND($L3086="Đã chuyển khoản",$M3086=""),"Thiếu ngày nhận CK; ",""))</f>
        <v/>
      </c>
      <c r="T3086" s="24" t="n"/>
    </row>
    <row r="3087" ht="14.25" customHeight="1" s="40">
      <c r="A3087" s="24" t="n"/>
      <c r="B3087" s="29" t="n"/>
      <c r="C3087" s="28" t="n"/>
      <c r="D3087" s="22">
        <f t="array" ref="D3087">IF($C3087="","",IFERROR(INDEX(DATA_MASTER!$C$2:$C$5000,MATCH($C3087,DATA_MASTER!$D$2:$D$5000,0)),""))</f>
        <v/>
      </c>
      <c r="E3087" s="22">
        <f t="array" ref="E3087">IF($C3087="","",IFERROR(INDEX(DATA_MASTER!$I$2:$I$5000,MATCH($C3087,DATA_MASTER!$D$2:$D$5000,0)),""))</f>
        <v/>
      </c>
      <c r="F3087" s="22">
        <f t="array" ref="F3087">IF($C3087="","",IFERROR(INDEX(DATA_MASTER!$L$2:$L$5000,MATCH($C3087,DATA_MASTER!$D$2:$D$5000,0)),""))</f>
        <v/>
      </c>
      <c r="G3087" s="24" t="n"/>
      <c r="H3087" s="24" t="n"/>
      <c r="I3087" s="30" t="n"/>
      <c r="J3087" s="23">
        <f>IF(OR($H3087="",$I3087=""),"",$H3087*$I3087)</f>
        <v/>
      </c>
      <c r="K3087" s="24" t="n"/>
      <c r="L3087" s="24" t="n"/>
      <c r="M3087" s="29" t="n"/>
      <c r="N3087" s="28" t="n"/>
      <c r="O3087" s="24" t="n"/>
      <c r="P3087" s="24" t="n"/>
      <c r="Q3087" s="24" t="n"/>
      <c r="R3087" s="24" t="n"/>
      <c r="S3087" s="22">
        <f>IF(AND($A3087="",$C3087=""),"",IF($A3087="","Thiếu mã đơn; ","")&amp;IF(COUNTIF($A$2:$A3087,$A3087)&gt;1,"Trùng mã đơn; ","")&amp;IF(ISNA(MATCH($C3087,DATA_MASTER!$D$2:$D$5000,0)),"SĐT chưa đăng ký hội viên; ","")&amp;IF(AND($L3087="Đã chuyển khoản",$M3087=""),"Thiếu ngày nhận CK; ",""))</f>
        <v/>
      </c>
      <c r="T3087" s="24" t="n"/>
    </row>
    <row r="3088" ht="14.25" customHeight="1" s="40">
      <c r="A3088" s="24" t="n"/>
      <c r="B3088" s="29" t="n"/>
      <c r="C3088" s="28" t="n"/>
      <c r="D3088" s="22">
        <f t="array" ref="D3088">IF($C3088="","",IFERROR(INDEX(DATA_MASTER!$C$2:$C$5000,MATCH($C3088,DATA_MASTER!$D$2:$D$5000,0)),""))</f>
        <v/>
      </c>
      <c r="E3088" s="22">
        <f t="array" ref="E3088">IF($C3088="","",IFERROR(INDEX(DATA_MASTER!$I$2:$I$5000,MATCH($C3088,DATA_MASTER!$D$2:$D$5000,0)),""))</f>
        <v/>
      </c>
      <c r="F3088" s="22">
        <f t="array" ref="F3088">IF($C3088="","",IFERROR(INDEX(DATA_MASTER!$L$2:$L$5000,MATCH($C3088,DATA_MASTER!$D$2:$D$5000,0)),""))</f>
        <v/>
      </c>
      <c r="G3088" s="24" t="n"/>
      <c r="H3088" s="24" t="n"/>
      <c r="I3088" s="30" t="n"/>
      <c r="J3088" s="23">
        <f>IF(OR($H3088="",$I3088=""),"",$H3088*$I3088)</f>
        <v/>
      </c>
      <c r="K3088" s="24" t="n"/>
      <c r="L3088" s="24" t="n"/>
      <c r="M3088" s="29" t="n"/>
      <c r="N3088" s="28" t="n"/>
      <c r="O3088" s="24" t="n"/>
      <c r="P3088" s="24" t="n"/>
      <c r="Q3088" s="24" t="n"/>
      <c r="R3088" s="24" t="n"/>
      <c r="S3088" s="22">
        <f>IF(AND($A3088="",$C3088=""),"",IF($A3088="","Thiếu mã đơn; ","")&amp;IF(COUNTIF($A$2:$A3088,$A3088)&gt;1,"Trùng mã đơn; ","")&amp;IF(ISNA(MATCH($C3088,DATA_MASTER!$D$2:$D$5000,0)),"SĐT chưa đăng ký hội viên; ","")&amp;IF(AND($L3088="Đã chuyển khoản",$M3088=""),"Thiếu ngày nhận CK; ",""))</f>
        <v/>
      </c>
      <c r="T3088" s="24" t="n"/>
    </row>
    <row r="3089" ht="14.25" customHeight="1" s="40">
      <c r="A3089" s="24" t="n"/>
      <c r="B3089" s="29" t="n"/>
      <c r="C3089" s="28" t="n"/>
      <c r="D3089" s="22">
        <f t="array" ref="D3089">IF($C3089="","",IFERROR(INDEX(DATA_MASTER!$C$2:$C$5000,MATCH($C3089,DATA_MASTER!$D$2:$D$5000,0)),""))</f>
        <v/>
      </c>
      <c r="E3089" s="22">
        <f t="array" ref="E3089">IF($C3089="","",IFERROR(INDEX(DATA_MASTER!$I$2:$I$5000,MATCH($C3089,DATA_MASTER!$D$2:$D$5000,0)),""))</f>
        <v/>
      </c>
      <c r="F3089" s="22">
        <f t="array" ref="F3089">IF($C3089="","",IFERROR(INDEX(DATA_MASTER!$L$2:$L$5000,MATCH($C3089,DATA_MASTER!$D$2:$D$5000,0)),""))</f>
        <v/>
      </c>
      <c r="G3089" s="24" t="n"/>
      <c r="H3089" s="24" t="n"/>
      <c r="I3089" s="30" t="n"/>
      <c r="J3089" s="23">
        <f>IF(OR($H3089="",$I3089=""),"",$H3089*$I3089)</f>
        <v/>
      </c>
      <c r="K3089" s="24" t="n"/>
      <c r="L3089" s="24" t="n"/>
      <c r="M3089" s="29" t="n"/>
      <c r="N3089" s="28" t="n"/>
      <c r="O3089" s="24" t="n"/>
      <c r="P3089" s="24" t="n"/>
      <c r="Q3089" s="24" t="n"/>
      <c r="R3089" s="24" t="n"/>
      <c r="S3089" s="22">
        <f>IF(AND($A3089="",$C3089=""),"",IF($A3089="","Thiếu mã đơn; ","")&amp;IF(COUNTIF($A$2:$A3089,$A3089)&gt;1,"Trùng mã đơn; ","")&amp;IF(ISNA(MATCH($C3089,DATA_MASTER!$D$2:$D$5000,0)),"SĐT chưa đăng ký hội viên; ","")&amp;IF(AND($L3089="Đã chuyển khoản",$M3089=""),"Thiếu ngày nhận CK; ",""))</f>
        <v/>
      </c>
      <c r="T3089" s="24" t="n"/>
    </row>
    <row r="3090" ht="14.25" customHeight="1" s="40">
      <c r="A3090" s="24" t="n"/>
      <c r="B3090" s="29" t="n"/>
      <c r="C3090" s="28" t="n"/>
      <c r="D3090" s="22">
        <f t="array" ref="D3090">IF($C3090="","",IFERROR(INDEX(DATA_MASTER!$C$2:$C$5000,MATCH($C3090,DATA_MASTER!$D$2:$D$5000,0)),""))</f>
        <v/>
      </c>
      <c r="E3090" s="22">
        <f t="array" ref="E3090">IF($C3090="","",IFERROR(INDEX(DATA_MASTER!$I$2:$I$5000,MATCH($C3090,DATA_MASTER!$D$2:$D$5000,0)),""))</f>
        <v/>
      </c>
      <c r="F3090" s="22">
        <f t="array" ref="F3090">IF($C3090="","",IFERROR(INDEX(DATA_MASTER!$L$2:$L$5000,MATCH($C3090,DATA_MASTER!$D$2:$D$5000,0)),""))</f>
        <v/>
      </c>
      <c r="G3090" s="24" t="n"/>
      <c r="H3090" s="24" t="n"/>
      <c r="I3090" s="30" t="n"/>
      <c r="J3090" s="23">
        <f>IF(OR($H3090="",$I3090=""),"",$H3090*$I3090)</f>
        <v/>
      </c>
      <c r="K3090" s="24" t="n"/>
      <c r="L3090" s="24" t="n"/>
      <c r="M3090" s="29" t="n"/>
      <c r="N3090" s="28" t="n"/>
      <c r="O3090" s="24" t="n"/>
      <c r="P3090" s="24" t="n"/>
      <c r="Q3090" s="24" t="n"/>
      <c r="R3090" s="24" t="n"/>
      <c r="S3090" s="22">
        <f>IF(AND($A3090="",$C3090=""),"",IF($A3090="","Thiếu mã đơn; ","")&amp;IF(COUNTIF($A$2:$A3090,$A3090)&gt;1,"Trùng mã đơn; ","")&amp;IF(ISNA(MATCH($C3090,DATA_MASTER!$D$2:$D$5000,0)),"SĐT chưa đăng ký hội viên; ","")&amp;IF(AND($L3090="Đã chuyển khoản",$M3090=""),"Thiếu ngày nhận CK; ",""))</f>
        <v/>
      </c>
      <c r="T3090" s="24" t="n"/>
    </row>
    <row r="3091" ht="14.25" customHeight="1" s="40">
      <c r="A3091" s="24" t="n"/>
      <c r="B3091" s="29" t="n"/>
      <c r="C3091" s="28" t="n"/>
      <c r="D3091" s="22">
        <f t="array" ref="D3091">IF($C3091="","",IFERROR(INDEX(DATA_MASTER!$C$2:$C$5000,MATCH($C3091,DATA_MASTER!$D$2:$D$5000,0)),""))</f>
        <v/>
      </c>
      <c r="E3091" s="22">
        <f t="array" ref="E3091">IF($C3091="","",IFERROR(INDEX(DATA_MASTER!$I$2:$I$5000,MATCH($C3091,DATA_MASTER!$D$2:$D$5000,0)),""))</f>
        <v/>
      </c>
      <c r="F3091" s="22">
        <f t="array" ref="F3091">IF($C3091="","",IFERROR(INDEX(DATA_MASTER!$L$2:$L$5000,MATCH($C3091,DATA_MASTER!$D$2:$D$5000,0)),""))</f>
        <v/>
      </c>
      <c r="G3091" s="24" t="n"/>
      <c r="H3091" s="24" t="n"/>
      <c r="I3091" s="30" t="n"/>
      <c r="J3091" s="23">
        <f>IF(OR($H3091="",$I3091=""),"",$H3091*$I3091)</f>
        <v/>
      </c>
      <c r="K3091" s="24" t="n"/>
      <c r="L3091" s="24" t="n"/>
      <c r="M3091" s="29" t="n"/>
      <c r="N3091" s="28" t="n"/>
      <c r="O3091" s="24" t="n"/>
      <c r="P3091" s="24" t="n"/>
      <c r="Q3091" s="24" t="n"/>
      <c r="R3091" s="24" t="n"/>
      <c r="S3091" s="22">
        <f>IF(AND($A3091="",$C3091=""),"",IF($A3091="","Thiếu mã đơn; ","")&amp;IF(COUNTIF($A$2:$A3091,$A3091)&gt;1,"Trùng mã đơn; ","")&amp;IF(ISNA(MATCH($C3091,DATA_MASTER!$D$2:$D$5000,0)),"SĐT chưa đăng ký hội viên; ","")&amp;IF(AND($L3091="Đã chuyển khoản",$M3091=""),"Thiếu ngày nhận CK; ",""))</f>
        <v/>
      </c>
      <c r="T3091" s="24" t="n"/>
    </row>
    <row r="3092" ht="14.25" customHeight="1" s="40">
      <c r="A3092" s="24" t="n"/>
      <c r="B3092" s="29" t="n"/>
      <c r="C3092" s="28" t="n"/>
      <c r="D3092" s="22">
        <f t="array" ref="D3092">IF($C3092="","",IFERROR(INDEX(DATA_MASTER!$C$2:$C$5000,MATCH($C3092,DATA_MASTER!$D$2:$D$5000,0)),""))</f>
        <v/>
      </c>
      <c r="E3092" s="22">
        <f t="array" ref="E3092">IF($C3092="","",IFERROR(INDEX(DATA_MASTER!$I$2:$I$5000,MATCH($C3092,DATA_MASTER!$D$2:$D$5000,0)),""))</f>
        <v/>
      </c>
      <c r="F3092" s="22">
        <f t="array" ref="F3092">IF($C3092="","",IFERROR(INDEX(DATA_MASTER!$L$2:$L$5000,MATCH($C3092,DATA_MASTER!$D$2:$D$5000,0)),""))</f>
        <v/>
      </c>
      <c r="G3092" s="24" t="n"/>
      <c r="H3092" s="24" t="n"/>
      <c r="I3092" s="30" t="n"/>
      <c r="J3092" s="23">
        <f>IF(OR($H3092="",$I3092=""),"",$H3092*$I3092)</f>
        <v/>
      </c>
      <c r="K3092" s="24" t="n"/>
      <c r="L3092" s="24" t="n"/>
      <c r="M3092" s="29" t="n"/>
      <c r="N3092" s="28" t="n"/>
      <c r="O3092" s="24" t="n"/>
      <c r="P3092" s="24" t="n"/>
      <c r="Q3092" s="24" t="n"/>
      <c r="R3092" s="24" t="n"/>
      <c r="S3092" s="22">
        <f>IF(AND($A3092="",$C3092=""),"",IF($A3092="","Thiếu mã đơn; ","")&amp;IF(COUNTIF($A$2:$A3092,$A3092)&gt;1,"Trùng mã đơn; ","")&amp;IF(ISNA(MATCH($C3092,DATA_MASTER!$D$2:$D$5000,0)),"SĐT chưa đăng ký hội viên; ","")&amp;IF(AND($L3092="Đã chuyển khoản",$M3092=""),"Thiếu ngày nhận CK; ",""))</f>
        <v/>
      </c>
      <c r="T3092" s="24" t="n"/>
    </row>
    <row r="3093" ht="14.25" customHeight="1" s="40">
      <c r="A3093" s="24" t="n"/>
      <c r="B3093" s="29" t="n"/>
      <c r="C3093" s="28" t="n"/>
      <c r="D3093" s="22">
        <f t="array" ref="D3093">IF($C3093="","",IFERROR(INDEX(DATA_MASTER!$C$2:$C$5000,MATCH($C3093,DATA_MASTER!$D$2:$D$5000,0)),""))</f>
        <v/>
      </c>
      <c r="E3093" s="22">
        <f t="array" ref="E3093">IF($C3093="","",IFERROR(INDEX(DATA_MASTER!$I$2:$I$5000,MATCH($C3093,DATA_MASTER!$D$2:$D$5000,0)),""))</f>
        <v/>
      </c>
      <c r="F3093" s="22">
        <f t="array" ref="F3093">IF($C3093="","",IFERROR(INDEX(DATA_MASTER!$L$2:$L$5000,MATCH($C3093,DATA_MASTER!$D$2:$D$5000,0)),""))</f>
        <v/>
      </c>
      <c r="G3093" s="24" t="n"/>
      <c r="H3093" s="24" t="n"/>
      <c r="I3093" s="30" t="n"/>
      <c r="J3093" s="23">
        <f>IF(OR($H3093="",$I3093=""),"",$H3093*$I3093)</f>
        <v/>
      </c>
      <c r="K3093" s="24" t="n"/>
      <c r="L3093" s="24" t="n"/>
      <c r="M3093" s="29" t="n"/>
      <c r="N3093" s="28" t="n"/>
      <c r="O3093" s="24" t="n"/>
      <c r="P3093" s="24" t="n"/>
      <c r="Q3093" s="24" t="n"/>
      <c r="R3093" s="24" t="n"/>
      <c r="S3093" s="22">
        <f>IF(AND($A3093="",$C3093=""),"",IF($A3093="","Thiếu mã đơn; ","")&amp;IF(COUNTIF($A$2:$A3093,$A3093)&gt;1,"Trùng mã đơn; ","")&amp;IF(ISNA(MATCH($C3093,DATA_MASTER!$D$2:$D$5000,0)),"SĐT chưa đăng ký hội viên; ","")&amp;IF(AND($L3093="Đã chuyển khoản",$M3093=""),"Thiếu ngày nhận CK; ",""))</f>
        <v/>
      </c>
      <c r="T3093" s="24" t="n"/>
    </row>
    <row r="3094" ht="14.25" customHeight="1" s="40">
      <c r="A3094" s="24" t="n"/>
      <c r="B3094" s="29" t="n"/>
      <c r="C3094" s="28" t="n"/>
      <c r="D3094" s="22">
        <f t="array" ref="D3094">IF($C3094="","",IFERROR(INDEX(DATA_MASTER!$C$2:$C$5000,MATCH($C3094,DATA_MASTER!$D$2:$D$5000,0)),""))</f>
        <v/>
      </c>
      <c r="E3094" s="22">
        <f t="array" ref="E3094">IF($C3094="","",IFERROR(INDEX(DATA_MASTER!$I$2:$I$5000,MATCH($C3094,DATA_MASTER!$D$2:$D$5000,0)),""))</f>
        <v/>
      </c>
      <c r="F3094" s="22">
        <f t="array" ref="F3094">IF($C3094="","",IFERROR(INDEX(DATA_MASTER!$L$2:$L$5000,MATCH($C3094,DATA_MASTER!$D$2:$D$5000,0)),""))</f>
        <v/>
      </c>
      <c r="G3094" s="24" t="n"/>
      <c r="H3094" s="24" t="n"/>
      <c r="I3094" s="30" t="n"/>
      <c r="J3094" s="23">
        <f>IF(OR($H3094="",$I3094=""),"",$H3094*$I3094)</f>
        <v/>
      </c>
      <c r="K3094" s="24" t="n"/>
      <c r="L3094" s="24" t="n"/>
      <c r="M3094" s="29" t="n"/>
      <c r="N3094" s="28" t="n"/>
      <c r="O3094" s="24" t="n"/>
      <c r="P3094" s="24" t="n"/>
      <c r="Q3094" s="24" t="n"/>
      <c r="R3094" s="24" t="n"/>
      <c r="S3094" s="22">
        <f>IF(AND($A3094="",$C3094=""),"",IF($A3094="","Thiếu mã đơn; ","")&amp;IF(COUNTIF($A$2:$A3094,$A3094)&gt;1,"Trùng mã đơn; ","")&amp;IF(ISNA(MATCH($C3094,DATA_MASTER!$D$2:$D$5000,0)),"SĐT chưa đăng ký hội viên; ","")&amp;IF(AND($L3094="Đã chuyển khoản",$M3094=""),"Thiếu ngày nhận CK; ",""))</f>
        <v/>
      </c>
      <c r="T3094" s="24" t="n"/>
    </row>
    <row r="3095" ht="14.25" customHeight="1" s="40">
      <c r="A3095" s="24" t="n"/>
      <c r="B3095" s="29" t="n"/>
      <c r="C3095" s="28" t="n"/>
      <c r="D3095" s="22">
        <f t="array" ref="D3095">IF($C3095="","",IFERROR(INDEX(DATA_MASTER!$C$2:$C$5000,MATCH($C3095,DATA_MASTER!$D$2:$D$5000,0)),""))</f>
        <v/>
      </c>
      <c r="E3095" s="22">
        <f t="array" ref="E3095">IF($C3095="","",IFERROR(INDEX(DATA_MASTER!$I$2:$I$5000,MATCH($C3095,DATA_MASTER!$D$2:$D$5000,0)),""))</f>
        <v/>
      </c>
      <c r="F3095" s="22">
        <f t="array" ref="F3095">IF($C3095="","",IFERROR(INDEX(DATA_MASTER!$L$2:$L$5000,MATCH($C3095,DATA_MASTER!$D$2:$D$5000,0)),""))</f>
        <v/>
      </c>
      <c r="G3095" s="24" t="n"/>
      <c r="H3095" s="24" t="n"/>
      <c r="I3095" s="30" t="n"/>
      <c r="J3095" s="23">
        <f>IF(OR($H3095="",$I3095=""),"",$H3095*$I3095)</f>
        <v/>
      </c>
      <c r="K3095" s="24" t="n"/>
      <c r="L3095" s="24" t="n"/>
      <c r="M3095" s="29" t="n"/>
      <c r="N3095" s="28" t="n"/>
      <c r="O3095" s="24" t="n"/>
      <c r="P3095" s="24" t="n"/>
      <c r="Q3095" s="24" t="n"/>
      <c r="R3095" s="24" t="n"/>
      <c r="S3095" s="22">
        <f>IF(AND($A3095="",$C3095=""),"",IF($A3095="","Thiếu mã đơn; ","")&amp;IF(COUNTIF($A$2:$A3095,$A3095)&gt;1,"Trùng mã đơn; ","")&amp;IF(ISNA(MATCH($C3095,DATA_MASTER!$D$2:$D$5000,0)),"SĐT chưa đăng ký hội viên; ","")&amp;IF(AND($L3095="Đã chuyển khoản",$M3095=""),"Thiếu ngày nhận CK; ",""))</f>
        <v/>
      </c>
      <c r="T3095" s="24" t="n"/>
    </row>
    <row r="3096" ht="14.25" customHeight="1" s="40">
      <c r="A3096" s="24" t="n"/>
      <c r="B3096" s="29" t="n"/>
      <c r="C3096" s="28" t="n"/>
      <c r="D3096" s="22">
        <f t="array" ref="D3096">IF($C3096="","",IFERROR(INDEX(DATA_MASTER!$C$2:$C$5000,MATCH($C3096,DATA_MASTER!$D$2:$D$5000,0)),""))</f>
        <v/>
      </c>
      <c r="E3096" s="22">
        <f t="array" ref="E3096">IF($C3096="","",IFERROR(INDEX(DATA_MASTER!$I$2:$I$5000,MATCH($C3096,DATA_MASTER!$D$2:$D$5000,0)),""))</f>
        <v/>
      </c>
      <c r="F3096" s="22">
        <f t="array" ref="F3096">IF($C3096="","",IFERROR(INDEX(DATA_MASTER!$L$2:$L$5000,MATCH($C3096,DATA_MASTER!$D$2:$D$5000,0)),""))</f>
        <v/>
      </c>
      <c r="G3096" s="24" t="n"/>
      <c r="H3096" s="24" t="n"/>
      <c r="I3096" s="30" t="n"/>
      <c r="J3096" s="23">
        <f>IF(OR($H3096="",$I3096=""),"",$H3096*$I3096)</f>
        <v/>
      </c>
      <c r="K3096" s="24" t="n"/>
      <c r="L3096" s="24" t="n"/>
      <c r="M3096" s="29" t="n"/>
      <c r="N3096" s="28" t="n"/>
      <c r="O3096" s="24" t="n"/>
      <c r="P3096" s="24" t="n"/>
      <c r="Q3096" s="24" t="n"/>
      <c r="R3096" s="24" t="n"/>
      <c r="S3096" s="22">
        <f>IF(AND($A3096="",$C3096=""),"",IF($A3096="","Thiếu mã đơn; ","")&amp;IF(COUNTIF($A$2:$A3096,$A3096)&gt;1,"Trùng mã đơn; ","")&amp;IF(ISNA(MATCH($C3096,DATA_MASTER!$D$2:$D$5000,0)),"SĐT chưa đăng ký hội viên; ","")&amp;IF(AND($L3096="Đã chuyển khoản",$M3096=""),"Thiếu ngày nhận CK; ",""))</f>
        <v/>
      </c>
      <c r="T3096" s="24" t="n"/>
    </row>
    <row r="3097" ht="14.25" customHeight="1" s="40">
      <c r="A3097" s="24" t="n"/>
      <c r="B3097" s="29" t="n"/>
      <c r="C3097" s="28" t="n"/>
      <c r="D3097" s="22">
        <f t="array" ref="D3097">IF($C3097="","",IFERROR(INDEX(DATA_MASTER!$C$2:$C$5000,MATCH($C3097,DATA_MASTER!$D$2:$D$5000,0)),""))</f>
        <v/>
      </c>
      <c r="E3097" s="22">
        <f t="array" ref="E3097">IF($C3097="","",IFERROR(INDEX(DATA_MASTER!$I$2:$I$5000,MATCH($C3097,DATA_MASTER!$D$2:$D$5000,0)),""))</f>
        <v/>
      </c>
      <c r="F3097" s="22">
        <f t="array" ref="F3097">IF($C3097="","",IFERROR(INDEX(DATA_MASTER!$L$2:$L$5000,MATCH($C3097,DATA_MASTER!$D$2:$D$5000,0)),""))</f>
        <v/>
      </c>
      <c r="G3097" s="24" t="n"/>
      <c r="H3097" s="24" t="n"/>
      <c r="I3097" s="30" t="n"/>
      <c r="J3097" s="23">
        <f>IF(OR($H3097="",$I3097=""),"",$H3097*$I3097)</f>
        <v/>
      </c>
      <c r="K3097" s="24" t="n"/>
      <c r="L3097" s="24" t="n"/>
      <c r="M3097" s="29" t="n"/>
      <c r="N3097" s="28" t="n"/>
      <c r="O3097" s="24" t="n"/>
      <c r="P3097" s="24" t="n"/>
      <c r="Q3097" s="24" t="n"/>
      <c r="R3097" s="24" t="n"/>
      <c r="S3097" s="22">
        <f>IF(AND($A3097="",$C3097=""),"",IF($A3097="","Thiếu mã đơn; ","")&amp;IF(COUNTIF($A$2:$A3097,$A3097)&gt;1,"Trùng mã đơn; ","")&amp;IF(ISNA(MATCH($C3097,DATA_MASTER!$D$2:$D$5000,0)),"SĐT chưa đăng ký hội viên; ","")&amp;IF(AND($L3097="Đã chuyển khoản",$M3097=""),"Thiếu ngày nhận CK; ",""))</f>
        <v/>
      </c>
      <c r="T3097" s="24" t="n"/>
    </row>
    <row r="3098" ht="14.25" customHeight="1" s="40">
      <c r="A3098" s="24" t="n"/>
      <c r="B3098" s="29" t="n"/>
      <c r="C3098" s="28" t="n"/>
      <c r="D3098" s="22">
        <f t="array" ref="D3098">IF($C3098="","",IFERROR(INDEX(DATA_MASTER!$C$2:$C$5000,MATCH($C3098,DATA_MASTER!$D$2:$D$5000,0)),""))</f>
        <v/>
      </c>
      <c r="E3098" s="22">
        <f t="array" ref="E3098">IF($C3098="","",IFERROR(INDEX(DATA_MASTER!$I$2:$I$5000,MATCH($C3098,DATA_MASTER!$D$2:$D$5000,0)),""))</f>
        <v/>
      </c>
      <c r="F3098" s="22">
        <f t="array" ref="F3098">IF($C3098="","",IFERROR(INDEX(DATA_MASTER!$L$2:$L$5000,MATCH($C3098,DATA_MASTER!$D$2:$D$5000,0)),""))</f>
        <v/>
      </c>
      <c r="G3098" s="24" t="n"/>
      <c r="H3098" s="24" t="n"/>
      <c r="I3098" s="30" t="n"/>
      <c r="J3098" s="23">
        <f>IF(OR($H3098="",$I3098=""),"",$H3098*$I3098)</f>
        <v/>
      </c>
      <c r="K3098" s="24" t="n"/>
      <c r="L3098" s="24" t="n"/>
      <c r="M3098" s="29" t="n"/>
      <c r="N3098" s="28" t="n"/>
      <c r="O3098" s="24" t="n"/>
      <c r="P3098" s="24" t="n"/>
      <c r="Q3098" s="24" t="n"/>
      <c r="R3098" s="24" t="n"/>
      <c r="S3098" s="22">
        <f>IF(AND($A3098="",$C3098=""),"",IF($A3098="","Thiếu mã đơn; ","")&amp;IF(COUNTIF($A$2:$A3098,$A3098)&gt;1,"Trùng mã đơn; ","")&amp;IF(ISNA(MATCH($C3098,DATA_MASTER!$D$2:$D$5000,0)),"SĐT chưa đăng ký hội viên; ","")&amp;IF(AND($L3098="Đã chuyển khoản",$M3098=""),"Thiếu ngày nhận CK; ",""))</f>
        <v/>
      </c>
      <c r="T3098" s="24" t="n"/>
    </row>
    <row r="3099" ht="14.25" customHeight="1" s="40">
      <c r="A3099" s="24" t="n"/>
      <c r="B3099" s="29" t="n"/>
      <c r="C3099" s="28" t="n"/>
      <c r="D3099" s="22">
        <f t="array" ref="D3099">IF($C3099="","",IFERROR(INDEX(DATA_MASTER!$C$2:$C$5000,MATCH($C3099,DATA_MASTER!$D$2:$D$5000,0)),""))</f>
        <v/>
      </c>
      <c r="E3099" s="22">
        <f t="array" ref="E3099">IF($C3099="","",IFERROR(INDEX(DATA_MASTER!$I$2:$I$5000,MATCH($C3099,DATA_MASTER!$D$2:$D$5000,0)),""))</f>
        <v/>
      </c>
      <c r="F3099" s="22">
        <f t="array" ref="F3099">IF($C3099="","",IFERROR(INDEX(DATA_MASTER!$L$2:$L$5000,MATCH($C3099,DATA_MASTER!$D$2:$D$5000,0)),""))</f>
        <v/>
      </c>
      <c r="G3099" s="24" t="n"/>
      <c r="H3099" s="24" t="n"/>
      <c r="I3099" s="30" t="n"/>
      <c r="J3099" s="23">
        <f>IF(OR($H3099="",$I3099=""),"",$H3099*$I3099)</f>
        <v/>
      </c>
      <c r="K3099" s="24" t="n"/>
      <c r="L3099" s="24" t="n"/>
      <c r="M3099" s="29" t="n"/>
      <c r="N3099" s="28" t="n"/>
      <c r="O3099" s="24" t="n"/>
      <c r="P3099" s="24" t="n"/>
      <c r="Q3099" s="24" t="n"/>
      <c r="R3099" s="24" t="n"/>
      <c r="S3099" s="22">
        <f>IF(AND($A3099="",$C3099=""),"",IF($A3099="","Thiếu mã đơn; ","")&amp;IF(COUNTIF($A$2:$A3099,$A3099)&gt;1,"Trùng mã đơn; ","")&amp;IF(ISNA(MATCH($C3099,DATA_MASTER!$D$2:$D$5000,0)),"SĐT chưa đăng ký hội viên; ","")&amp;IF(AND($L3099="Đã chuyển khoản",$M3099=""),"Thiếu ngày nhận CK; ",""))</f>
        <v/>
      </c>
      <c r="T3099" s="24" t="n"/>
    </row>
    <row r="3100" ht="14.25" customHeight="1" s="40">
      <c r="A3100" s="24" t="n"/>
      <c r="B3100" s="29" t="n"/>
      <c r="C3100" s="28" t="n"/>
      <c r="D3100" s="22">
        <f t="array" ref="D3100">IF($C3100="","",IFERROR(INDEX(DATA_MASTER!$C$2:$C$5000,MATCH($C3100,DATA_MASTER!$D$2:$D$5000,0)),""))</f>
        <v/>
      </c>
      <c r="E3100" s="22">
        <f t="array" ref="E3100">IF($C3100="","",IFERROR(INDEX(DATA_MASTER!$I$2:$I$5000,MATCH($C3100,DATA_MASTER!$D$2:$D$5000,0)),""))</f>
        <v/>
      </c>
      <c r="F3100" s="22">
        <f t="array" ref="F3100">IF($C3100="","",IFERROR(INDEX(DATA_MASTER!$L$2:$L$5000,MATCH($C3100,DATA_MASTER!$D$2:$D$5000,0)),""))</f>
        <v/>
      </c>
      <c r="G3100" s="24" t="n"/>
      <c r="H3100" s="24" t="n"/>
      <c r="I3100" s="30" t="n"/>
      <c r="J3100" s="23">
        <f>IF(OR($H3100="",$I3100=""),"",$H3100*$I3100)</f>
        <v/>
      </c>
      <c r="K3100" s="24" t="n"/>
      <c r="L3100" s="24" t="n"/>
      <c r="M3100" s="29" t="n"/>
      <c r="N3100" s="28" t="n"/>
      <c r="O3100" s="24" t="n"/>
      <c r="P3100" s="24" t="n"/>
      <c r="Q3100" s="24" t="n"/>
      <c r="R3100" s="24" t="n"/>
      <c r="S3100" s="22">
        <f>IF(AND($A3100="",$C3100=""),"",IF($A3100="","Thiếu mã đơn; ","")&amp;IF(COUNTIF($A$2:$A3100,$A3100)&gt;1,"Trùng mã đơn; ","")&amp;IF(ISNA(MATCH($C3100,DATA_MASTER!$D$2:$D$5000,0)),"SĐT chưa đăng ký hội viên; ","")&amp;IF(AND($L3100="Đã chuyển khoản",$M3100=""),"Thiếu ngày nhận CK; ",""))</f>
        <v/>
      </c>
      <c r="T3100" s="24" t="n"/>
    </row>
    <row r="3101" ht="14.25" customHeight="1" s="40">
      <c r="A3101" s="24" t="n"/>
      <c r="B3101" s="29" t="n"/>
      <c r="C3101" s="28" t="n"/>
      <c r="D3101" s="22">
        <f t="array" ref="D3101">IF($C3101="","",IFERROR(INDEX(DATA_MASTER!$C$2:$C$5000,MATCH($C3101,DATA_MASTER!$D$2:$D$5000,0)),""))</f>
        <v/>
      </c>
      <c r="E3101" s="22">
        <f t="array" ref="E3101">IF($C3101="","",IFERROR(INDEX(DATA_MASTER!$I$2:$I$5000,MATCH($C3101,DATA_MASTER!$D$2:$D$5000,0)),""))</f>
        <v/>
      </c>
      <c r="F3101" s="22">
        <f t="array" ref="F3101">IF($C3101="","",IFERROR(INDEX(DATA_MASTER!$L$2:$L$5000,MATCH($C3101,DATA_MASTER!$D$2:$D$5000,0)),""))</f>
        <v/>
      </c>
      <c r="G3101" s="24" t="n"/>
      <c r="H3101" s="24" t="n"/>
      <c r="I3101" s="30" t="n"/>
      <c r="J3101" s="23">
        <f>IF(OR($H3101="",$I3101=""),"",$H3101*$I3101)</f>
        <v/>
      </c>
      <c r="K3101" s="24" t="n"/>
      <c r="L3101" s="24" t="n"/>
      <c r="M3101" s="29" t="n"/>
      <c r="N3101" s="28" t="n"/>
      <c r="O3101" s="24" t="n"/>
      <c r="P3101" s="24" t="n"/>
      <c r="Q3101" s="24" t="n"/>
      <c r="R3101" s="24" t="n"/>
      <c r="S3101" s="22">
        <f>IF(AND($A3101="",$C3101=""),"",IF($A3101="","Thiếu mã đơn; ","")&amp;IF(COUNTIF($A$2:$A3101,$A3101)&gt;1,"Trùng mã đơn; ","")&amp;IF(ISNA(MATCH($C3101,DATA_MASTER!$D$2:$D$5000,0)),"SĐT chưa đăng ký hội viên; ","")&amp;IF(AND($L3101="Đã chuyển khoản",$M3101=""),"Thiếu ngày nhận CK; ",""))</f>
        <v/>
      </c>
      <c r="T3101" s="24" t="n"/>
    </row>
    <row r="3102" ht="14.25" customHeight="1" s="40">
      <c r="A3102" s="24" t="n"/>
      <c r="B3102" s="29" t="n"/>
      <c r="C3102" s="28" t="n"/>
      <c r="D3102" s="22">
        <f t="array" ref="D3102">IF($C3102="","",IFERROR(INDEX(DATA_MASTER!$C$2:$C$5000,MATCH($C3102,DATA_MASTER!$D$2:$D$5000,0)),""))</f>
        <v/>
      </c>
      <c r="E3102" s="22">
        <f t="array" ref="E3102">IF($C3102="","",IFERROR(INDEX(DATA_MASTER!$I$2:$I$5000,MATCH($C3102,DATA_MASTER!$D$2:$D$5000,0)),""))</f>
        <v/>
      </c>
      <c r="F3102" s="22">
        <f t="array" ref="F3102">IF($C3102="","",IFERROR(INDEX(DATA_MASTER!$L$2:$L$5000,MATCH($C3102,DATA_MASTER!$D$2:$D$5000,0)),""))</f>
        <v/>
      </c>
      <c r="G3102" s="24" t="n"/>
      <c r="H3102" s="24" t="n"/>
      <c r="I3102" s="30" t="n"/>
      <c r="J3102" s="23">
        <f>IF(OR($H3102="",$I3102=""),"",$H3102*$I3102)</f>
        <v/>
      </c>
      <c r="K3102" s="24" t="n"/>
      <c r="L3102" s="24" t="n"/>
      <c r="M3102" s="29" t="n"/>
      <c r="N3102" s="28" t="n"/>
      <c r="O3102" s="24" t="n"/>
      <c r="P3102" s="24" t="n"/>
      <c r="Q3102" s="24" t="n"/>
      <c r="R3102" s="24" t="n"/>
      <c r="S3102" s="22">
        <f>IF(AND($A3102="",$C3102=""),"",IF($A3102="","Thiếu mã đơn; ","")&amp;IF(COUNTIF($A$2:$A3102,$A3102)&gt;1,"Trùng mã đơn; ","")&amp;IF(ISNA(MATCH($C3102,DATA_MASTER!$D$2:$D$5000,0)),"SĐT chưa đăng ký hội viên; ","")&amp;IF(AND($L3102="Đã chuyển khoản",$M3102=""),"Thiếu ngày nhận CK; ",""))</f>
        <v/>
      </c>
      <c r="T3102" s="24" t="n"/>
    </row>
    <row r="3103" ht="14.25" customHeight="1" s="40">
      <c r="A3103" s="24" t="n"/>
      <c r="B3103" s="29" t="n"/>
      <c r="C3103" s="28" t="n"/>
      <c r="D3103" s="22">
        <f t="array" ref="D3103">IF($C3103="","",IFERROR(INDEX(DATA_MASTER!$C$2:$C$5000,MATCH($C3103,DATA_MASTER!$D$2:$D$5000,0)),""))</f>
        <v/>
      </c>
      <c r="E3103" s="22">
        <f t="array" ref="E3103">IF($C3103="","",IFERROR(INDEX(DATA_MASTER!$I$2:$I$5000,MATCH($C3103,DATA_MASTER!$D$2:$D$5000,0)),""))</f>
        <v/>
      </c>
      <c r="F3103" s="22">
        <f t="array" ref="F3103">IF($C3103="","",IFERROR(INDEX(DATA_MASTER!$L$2:$L$5000,MATCH($C3103,DATA_MASTER!$D$2:$D$5000,0)),""))</f>
        <v/>
      </c>
      <c r="G3103" s="24" t="n"/>
      <c r="H3103" s="24" t="n"/>
      <c r="I3103" s="30" t="n"/>
      <c r="J3103" s="23">
        <f>IF(OR($H3103="",$I3103=""),"",$H3103*$I3103)</f>
        <v/>
      </c>
      <c r="K3103" s="24" t="n"/>
      <c r="L3103" s="24" t="n"/>
      <c r="M3103" s="29" t="n"/>
      <c r="N3103" s="28" t="n"/>
      <c r="O3103" s="24" t="n"/>
      <c r="P3103" s="24" t="n"/>
      <c r="Q3103" s="24" t="n"/>
      <c r="R3103" s="24" t="n"/>
      <c r="S3103" s="22">
        <f>IF(AND($A3103="",$C3103=""),"",IF($A3103="","Thiếu mã đơn; ","")&amp;IF(COUNTIF($A$2:$A3103,$A3103)&gt;1,"Trùng mã đơn; ","")&amp;IF(ISNA(MATCH($C3103,DATA_MASTER!$D$2:$D$5000,0)),"SĐT chưa đăng ký hội viên; ","")&amp;IF(AND($L3103="Đã chuyển khoản",$M3103=""),"Thiếu ngày nhận CK; ",""))</f>
        <v/>
      </c>
      <c r="T3103" s="24" t="n"/>
    </row>
    <row r="3104" ht="14.25" customHeight="1" s="40">
      <c r="A3104" s="24" t="n"/>
      <c r="B3104" s="29" t="n"/>
      <c r="C3104" s="28" t="n"/>
      <c r="D3104" s="22">
        <f t="array" ref="D3104">IF($C3104="","",IFERROR(INDEX(DATA_MASTER!$C$2:$C$5000,MATCH($C3104,DATA_MASTER!$D$2:$D$5000,0)),""))</f>
        <v/>
      </c>
      <c r="E3104" s="22">
        <f t="array" ref="E3104">IF($C3104="","",IFERROR(INDEX(DATA_MASTER!$I$2:$I$5000,MATCH($C3104,DATA_MASTER!$D$2:$D$5000,0)),""))</f>
        <v/>
      </c>
      <c r="F3104" s="22">
        <f t="array" ref="F3104">IF($C3104="","",IFERROR(INDEX(DATA_MASTER!$L$2:$L$5000,MATCH($C3104,DATA_MASTER!$D$2:$D$5000,0)),""))</f>
        <v/>
      </c>
      <c r="G3104" s="24" t="n"/>
      <c r="H3104" s="24" t="n"/>
      <c r="I3104" s="30" t="n"/>
      <c r="J3104" s="23">
        <f>IF(OR($H3104="",$I3104=""),"",$H3104*$I3104)</f>
        <v/>
      </c>
      <c r="K3104" s="24" t="n"/>
      <c r="L3104" s="24" t="n"/>
      <c r="M3104" s="29" t="n"/>
      <c r="N3104" s="28" t="n"/>
      <c r="O3104" s="24" t="n"/>
      <c r="P3104" s="24" t="n"/>
      <c r="Q3104" s="24" t="n"/>
      <c r="R3104" s="24" t="n"/>
      <c r="S3104" s="22">
        <f>IF(AND($A3104="",$C3104=""),"",IF($A3104="","Thiếu mã đơn; ","")&amp;IF(COUNTIF($A$2:$A3104,$A3104)&gt;1,"Trùng mã đơn; ","")&amp;IF(ISNA(MATCH($C3104,DATA_MASTER!$D$2:$D$5000,0)),"SĐT chưa đăng ký hội viên; ","")&amp;IF(AND($L3104="Đã chuyển khoản",$M3104=""),"Thiếu ngày nhận CK; ",""))</f>
        <v/>
      </c>
      <c r="T3104" s="24" t="n"/>
    </row>
    <row r="3105" ht="14.25" customHeight="1" s="40">
      <c r="A3105" s="24" t="n"/>
      <c r="B3105" s="29" t="n"/>
      <c r="C3105" s="28" t="n"/>
      <c r="D3105" s="22">
        <f t="array" ref="D3105">IF($C3105="","",IFERROR(INDEX(DATA_MASTER!$C$2:$C$5000,MATCH($C3105,DATA_MASTER!$D$2:$D$5000,0)),""))</f>
        <v/>
      </c>
      <c r="E3105" s="22">
        <f t="array" ref="E3105">IF($C3105="","",IFERROR(INDEX(DATA_MASTER!$I$2:$I$5000,MATCH($C3105,DATA_MASTER!$D$2:$D$5000,0)),""))</f>
        <v/>
      </c>
      <c r="F3105" s="22">
        <f t="array" ref="F3105">IF($C3105="","",IFERROR(INDEX(DATA_MASTER!$L$2:$L$5000,MATCH($C3105,DATA_MASTER!$D$2:$D$5000,0)),""))</f>
        <v/>
      </c>
      <c r="G3105" s="24" t="n"/>
      <c r="H3105" s="24" t="n"/>
      <c r="I3105" s="30" t="n"/>
      <c r="J3105" s="23">
        <f>IF(OR($H3105="",$I3105=""),"",$H3105*$I3105)</f>
        <v/>
      </c>
      <c r="K3105" s="24" t="n"/>
      <c r="L3105" s="24" t="n"/>
      <c r="M3105" s="29" t="n"/>
      <c r="N3105" s="28" t="n"/>
      <c r="O3105" s="24" t="n"/>
      <c r="P3105" s="24" t="n"/>
      <c r="Q3105" s="24" t="n"/>
      <c r="R3105" s="24" t="n"/>
      <c r="S3105" s="22">
        <f>IF(AND($A3105="",$C3105=""),"",IF($A3105="","Thiếu mã đơn; ","")&amp;IF(COUNTIF($A$2:$A3105,$A3105)&gt;1,"Trùng mã đơn; ","")&amp;IF(ISNA(MATCH($C3105,DATA_MASTER!$D$2:$D$5000,0)),"SĐT chưa đăng ký hội viên; ","")&amp;IF(AND($L3105="Đã chuyển khoản",$M3105=""),"Thiếu ngày nhận CK; ",""))</f>
        <v/>
      </c>
      <c r="T3105" s="24" t="n"/>
    </row>
    <row r="3106" ht="14.25" customHeight="1" s="40">
      <c r="A3106" s="24" t="n"/>
      <c r="B3106" s="29" t="n"/>
      <c r="C3106" s="28" t="n"/>
      <c r="D3106" s="22">
        <f t="array" ref="D3106">IF($C3106="","",IFERROR(INDEX(DATA_MASTER!$C$2:$C$5000,MATCH($C3106,DATA_MASTER!$D$2:$D$5000,0)),""))</f>
        <v/>
      </c>
      <c r="E3106" s="22">
        <f t="array" ref="E3106">IF($C3106="","",IFERROR(INDEX(DATA_MASTER!$I$2:$I$5000,MATCH($C3106,DATA_MASTER!$D$2:$D$5000,0)),""))</f>
        <v/>
      </c>
      <c r="F3106" s="22">
        <f t="array" ref="F3106">IF($C3106="","",IFERROR(INDEX(DATA_MASTER!$L$2:$L$5000,MATCH($C3106,DATA_MASTER!$D$2:$D$5000,0)),""))</f>
        <v/>
      </c>
      <c r="G3106" s="24" t="n"/>
      <c r="H3106" s="24" t="n"/>
      <c r="I3106" s="30" t="n"/>
      <c r="J3106" s="23">
        <f>IF(OR($H3106="",$I3106=""),"",$H3106*$I3106)</f>
        <v/>
      </c>
      <c r="K3106" s="24" t="n"/>
      <c r="L3106" s="24" t="n"/>
      <c r="M3106" s="29" t="n"/>
      <c r="N3106" s="28" t="n"/>
      <c r="O3106" s="24" t="n"/>
      <c r="P3106" s="24" t="n"/>
      <c r="Q3106" s="24" t="n"/>
      <c r="R3106" s="24" t="n"/>
      <c r="S3106" s="22">
        <f>IF(AND($A3106="",$C3106=""),"",IF($A3106="","Thiếu mã đơn; ","")&amp;IF(COUNTIF($A$2:$A3106,$A3106)&gt;1,"Trùng mã đơn; ","")&amp;IF(ISNA(MATCH($C3106,DATA_MASTER!$D$2:$D$5000,0)),"SĐT chưa đăng ký hội viên; ","")&amp;IF(AND($L3106="Đã chuyển khoản",$M3106=""),"Thiếu ngày nhận CK; ",""))</f>
        <v/>
      </c>
      <c r="T3106" s="24" t="n"/>
    </row>
    <row r="3107" ht="14.25" customHeight="1" s="40">
      <c r="A3107" s="24" t="n"/>
      <c r="B3107" s="29" t="n"/>
      <c r="C3107" s="28" t="n"/>
      <c r="D3107" s="22">
        <f t="array" ref="D3107">IF($C3107="","",IFERROR(INDEX(DATA_MASTER!$C$2:$C$5000,MATCH($C3107,DATA_MASTER!$D$2:$D$5000,0)),""))</f>
        <v/>
      </c>
      <c r="E3107" s="22">
        <f t="array" ref="E3107">IF($C3107="","",IFERROR(INDEX(DATA_MASTER!$I$2:$I$5000,MATCH($C3107,DATA_MASTER!$D$2:$D$5000,0)),""))</f>
        <v/>
      </c>
      <c r="F3107" s="22">
        <f t="array" ref="F3107">IF($C3107="","",IFERROR(INDEX(DATA_MASTER!$L$2:$L$5000,MATCH($C3107,DATA_MASTER!$D$2:$D$5000,0)),""))</f>
        <v/>
      </c>
      <c r="G3107" s="24" t="n"/>
      <c r="H3107" s="24" t="n"/>
      <c r="I3107" s="30" t="n"/>
      <c r="J3107" s="23">
        <f>IF(OR($H3107="",$I3107=""),"",$H3107*$I3107)</f>
        <v/>
      </c>
      <c r="K3107" s="24" t="n"/>
      <c r="L3107" s="24" t="n"/>
      <c r="M3107" s="29" t="n"/>
      <c r="N3107" s="28" t="n"/>
      <c r="O3107" s="24" t="n"/>
      <c r="P3107" s="24" t="n"/>
      <c r="Q3107" s="24" t="n"/>
      <c r="R3107" s="24" t="n"/>
      <c r="S3107" s="22">
        <f>IF(AND($A3107="",$C3107=""),"",IF($A3107="","Thiếu mã đơn; ","")&amp;IF(COUNTIF($A$2:$A3107,$A3107)&gt;1,"Trùng mã đơn; ","")&amp;IF(ISNA(MATCH($C3107,DATA_MASTER!$D$2:$D$5000,0)),"SĐT chưa đăng ký hội viên; ","")&amp;IF(AND($L3107="Đã chuyển khoản",$M3107=""),"Thiếu ngày nhận CK; ",""))</f>
        <v/>
      </c>
      <c r="T3107" s="24" t="n"/>
    </row>
    <row r="3108" ht="14.25" customHeight="1" s="40">
      <c r="A3108" s="24" t="n"/>
      <c r="B3108" s="29" t="n"/>
      <c r="C3108" s="28" t="n"/>
      <c r="D3108" s="22">
        <f t="array" ref="D3108">IF($C3108="","",IFERROR(INDEX(DATA_MASTER!$C$2:$C$5000,MATCH($C3108,DATA_MASTER!$D$2:$D$5000,0)),""))</f>
        <v/>
      </c>
      <c r="E3108" s="22">
        <f t="array" ref="E3108">IF($C3108="","",IFERROR(INDEX(DATA_MASTER!$I$2:$I$5000,MATCH($C3108,DATA_MASTER!$D$2:$D$5000,0)),""))</f>
        <v/>
      </c>
      <c r="F3108" s="22">
        <f t="array" ref="F3108">IF($C3108="","",IFERROR(INDEX(DATA_MASTER!$L$2:$L$5000,MATCH($C3108,DATA_MASTER!$D$2:$D$5000,0)),""))</f>
        <v/>
      </c>
      <c r="G3108" s="24" t="n"/>
      <c r="H3108" s="24" t="n"/>
      <c r="I3108" s="30" t="n"/>
      <c r="J3108" s="23">
        <f>IF(OR($H3108="",$I3108=""),"",$H3108*$I3108)</f>
        <v/>
      </c>
      <c r="K3108" s="24" t="n"/>
      <c r="L3108" s="24" t="n"/>
      <c r="M3108" s="29" t="n"/>
      <c r="N3108" s="28" t="n"/>
      <c r="O3108" s="24" t="n"/>
      <c r="P3108" s="24" t="n"/>
      <c r="Q3108" s="24" t="n"/>
      <c r="R3108" s="24" t="n"/>
      <c r="S3108" s="22">
        <f>IF(AND($A3108="",$C3108=""),"",IF($A3108="","Thiếu mã đơn; ","")&amp;IF(COUNTIF($A$2:$A3108,$A3108)&gt;1,"Trùng mã đơn; ","")&amp;IF(ISNA(MATCH($C3108,DATA_MASTER!$D$2:$D$5000,0)),"SĐT chưa đăng ký hội viên; ","")&amp;IF(AND($L3108="Đã chuyển khoản",$M3108=""),"Thiếu ngày nhận CK; ",""))</f>
        <v/>
      </c>
      <c r="T3108" s="24" t="n"/>
    </row>
    <row r="3109" ht="14.25" customHeight="1" s="40">
      <c r="A3109" s="24" t="n"/>
      <c r="B3109" s="29" t="n"/>
      <c r="C3109" s="28" t="n"/>
      <c r="D3109" s="22">
        <f t="array" ref="D3109">IF($C3109="","",IFERROR(INDEX(DATA_MASTER!$C$2:$C$5000,MATCH($C3109,DATA_MASTER!$D$2:$D$5000,0)),""))</f>
        <v/>
      </c>
      <c r="E3109" s="22">
        <f t="array" ref="E3109">IF($C3109="","",IFERROR(INDEX(DATA_MASTER!$I$2:$I$5000,MATCH($C3109,DATA_MASTER!$D$2:$D$5000,0)),""))</f>
        <v/>
      </c>
      <c r="F3109" s="22">
        <f t="array" ref="F3109">IF($C3109="","",IFERROR(INDEX(DATA_MASTER!$L$2:$L$5000,MATCH($C3109,DATA_MASTER!$D$2:$D$5000,0)),""))</f>
        <v/>
      </c>
      <c r="G3109" s="24" t="n"/>
      <c r="H3109" s="24" t="n"/>
      <c r="I3109" s="30" t="n"/>
      <c r="J3109" s="23">
        <f>IF(OR($H3109="",$I3109=""),"",$H3109*$I3109)</f>
        <v/>
      </c>
      <c r="K3109" s="24" t="n"/>
      <c r="L3109" s="24" t="n"/>
      <c r="M3109" s="29" t="n"/>
      <c r="N3109" s="28" t="n"/>
      <c r="O3109" s="24" t="n"/>
      <c r="P3109" s="24" t="n"/>
      <c r="Q3109" s="24" t="n"/>
      <c r="R3109" s="24" t="n"/>
      <c r="S3109" s="22">
        <f>IF(AND($A3109="",$C3109=""),"",IF($A3109="","Thiếu mã đơn; ","")&amp;IF(COUNTIF($A$2:$A3109,$A3109)&gt;1,"Trùng mã đơn; ","")&amp;IF(ISNA(MATCH($C3109,DATA_MASTER!$D$2:$D$5000,0)),"SĐT chưa đăng ký hội viên; ","")&amp;IF(AND($L3109="Đã chuyển khoản",$M3109=""),"Thiếu ngày nhận CK; ",""))</f>
        <v/>
      </c>
      <c r="T3109" s="24" t="n"/>
    </row>
    <row r="3110" ht="14.25" customHeight="1" s="40">
      <c r="A3110" s="24" t="n"/>
      <c r="B3110" s="29" t="n"/>
      <c r="C3110" s="28" t="n"/>
      <c r="D3110" s="22">
        <f t="array" ref="D3110">IF($C3110="","",IFERROR(INDEX(DATA_MASTER!$C$2:$C$5000,MATCH($C3110,DATA_MASTER!$D$2:$D$5000,0)),""))</f>
        <v/>
      </c>
      <c r="E3110" s="22">
        <f t="array" ref="E3110">IF($C3110="","",IFERROR(INDEX(DATA_MASTER!$I$2:$I$5000,MATCH($C3110,DATA_MASTER!$D$2:$D$5000,0)),""))</f>
        <v/>
      </c>
      <c r="F3110" s="22">
        <f t="array" ref="F3110">IF($C3110="","",IFERROR(INDEX(DATA_MASTER!$L$2:$L$5000,MATCH($C3110,DATA_MASTER!$D$2:$D$5000,0)),""))</f>
        <v/>
      </c>
      <c r="G3110" s="24" t="n"/>
      <c r="H3110" s="24" t="n"/>
      <c r="I3110" s="30" t="n"/>
      <c r="J3110" s="23">
        <f>IF(OR($H3110="",$I3110=""),"",$H3110*$I3110)</f>
        <v/>
      </c>
      <c r="K3110" s="24" t="n"/>
      <c r="L3110" s="24" t="n"/>
      <c r="M3110" s="29" t="n"/>
      <c r="N3110" s="28" t="n"/>
      <c r="O3110" s="24" t="n"/>
      <c r="P3110" s="24" t="n"/>
      <c r="Q3110" s="24" t="n"/>
      <c r="R3110" s="24" t="n"/>
      <c r="S3110" s="22">
        <f>IF(AND($A3110="",$C3110=""),"",IF($A3110="","Thiếu mã đơn; ","")&amp;IF(COUNTIF($A$2:$A3110,$A3110)&gt;1,"Trùng mã đơn; ","")&amp;IF(ISNA(MATCH($C3110,DATA_MASTER!$D$2:$D$5000,0)),"SĐT chưa đăng ký hội viên; ","")&amp;IF(AND($L3110="Đã chuyển khoản",$M3110=""),"Thiếu ngày nhận CK; ",""))</f>
        <v/>
      </c>
      <c r="T3110" s="24" t="n"/>
    </row>
    <row r="3111" ht="14.25" customHeight="1" s="40">
      <c r="A3111" s="24" t="n"/>
      <c r="B3111" s="29" t="n"/>
      <c r="C3111" s="28" t="n"/>
      <c r="D3111" s="22">
        <f t="array" ref="D3111">IF($C3111="","",IFERROR(INDEX(DATA_MASTER!$C$2:$C$5000,MATCH($C3111,DATA_MASTER!$D$2:$D$5000,0)),""))</f>
        <v/>
      </c>
      <c r="E3111" s="22">
        <f t="array" ref="E3111">IF($C3111="","",IFERROR(INDEX(DATA_MASTER!$I$2:$I$5000,MATCH($C3111,DATA_MASTER!$D$2:$D$5000,0)),""))</f>
        <v/>
      </c>
      <c r="F3111" s="22">
        <f t="array" ref="F3111">IF($C3111="","",IFERROR(INDEX(DATA_MASTER!$L$2:$L$5000,MATCH($C3111,DATA_MASTER!$D$2:$D$5000,0)),""))</f>
        <v/>
      </c>
      <c r="G3111" s="24" t="n"/>
      <c r="H3111" s="24" t="n"/>
      <c r="I3111" s="30" t="n"/>
      <c r="J3111" s="23">
        <f>IF(OR($H3111="",$I3111=""),"",$H3111*$I3111)</f>
        <v/>
      </c>
      <c r="K3111" s="24" t="n"/>
      <c r="L3111" s="24" t="n"/>
      <c r="M3111" s="29" t="n"/>
      <c r="N3111" s="28" t="n"/>
      <c r="O3111" s="24" t="n"/>
      <c r="P3111" s="24" t="n"/>
      <c r="Q3111" s="24" t="n"/>
      <c r="R3111" s="24" t="n"/>
      <c r="S3111" s="22">
        <f>IF(AND($A3111="",$C3111=""),"",IF($A3111="","Thiếu mã đơn; ","")&amp;IF(COUNTIF($A$2:$A3111,$A3111)&gt;1,"Trùng mã đơn; ","")&amp;IF(ISNA(MATCH($C3111,DATA_MASTER!$D$2:$D$5000,0)),"SĐT chưa đăng ký hội viên; ","")&amp;IF(AND($L3111="Đã chuyển khoản",$M3111=""),"Thiếu ngày nhận CK; ",""))</f>
        <v/>
      </c>
      <c r="T3111" s="24" t="n"/>
    </row>
    <row r="3112" ht="14.25" customHeight="1" s="40">
      <c r="A3112" s="24" t="n"/>
      <c r="B3112" s="29" t="n"/>
      <c r="C3112" s="28" t="n"/>
      <c r="D3112" s="22">
        <f t="array" ref="D3112">IF($C3112="","",IFERROR(INDEX(DATA_MASTER!$C$2:$C$5000,MATCH($C3112,DATA_MASTER!$D$2:$D$5000,0)),""))</f>
        <v/>
      </c>
      <c r="E3112" s="22">
        <f t="array" ref="E3112">IF($C3112="","",IFERROR(INDEX(DATA_MASTER!$I$2:$I$5000,MATCH($C3112,DATA_MASTER!$D$2:$D$5000,0)),""))</f>
        <v/>
      </c>
      <c r="F3112" s="22">
        <f t="array" ref="F3112">IF($C3112="","",IFERROR(INDEX(DATA_MASTER!$L$2:$L$5000,MATCH($C3112,DATA_MASTER!$D$2:$D$5000,0)),""))</f>
        <v/>
      </c>
      <c r="G3112" s="24" t="n"/>
      <c r="H3112" s="24" t="n"/>
      <c r="I3112" s="30" t="n"/>
      <c r="J3112" s="23">
        <f>IF(OR($H3112="",$I3112=""),"",$H3112*$I3112)</f>
        <v/>
      </c>
      <c r="K3112" s="24" t="n"/>
      <c r="L3112" s="24" t="n"/>
      <c r="M3112" s="29" t="n"/>
      <c r="N3112" s="28" t="n"/>
      <c r="O3112" s="24" t="n"/>
      <c r="P3112" s="24" t="n"/>
      <c r="Q3112" s="24" t="n"/>
      <c r="R3112" s="24" t="n"/>
      <c r="S3112" s="22">
        <f>IF(AND($A3112="",$C3112=""),"",IF($A3112="","Thiếu mã đơn; ","")&amp;IF(COUNTIF($A$2:$A3112,$A3112)&gt;1,"Trùng mã đơn; ","")&amp;IF(ISNA(MATCH($C3112,DATA_MASTER!$D$2:$D$5000,0)),"SĐT chưa đăng ký hội viên; ","")&amp;IF(AND($L3112="Đã chuyển khoản",$M3112=""),"Thiếu ngày nhận CK; ",""))</f>
        <v/>
      </c>
      <c r="T3112" s="24" t="n"/>
    </row>
    <row r="3113" ht="14.25" customHeight="1" s="40">
      <c r="A3113" s="24" t="n"/>
      <c r="B3113" s="29" t="n"/>
      <c r="C3113" s="28" t="n"/>
      <c r="D3113" s="22">
        <f t="array" ref="D3113">IF($C3113="","",IFERROR(INDEX(DATA_MASTER!$C$2:$C$5000,MATCH($C3113,DATA_MASTER!$D$2:$D$5000,0)),""))</f>
        <v/>
      </c>
      <c r="E3113" s="22">
        <f t="array" ref="E3113">IF($C3113="","",IFERROR(INDEX(DATA_MASTER!$I$2:$I$5000,MATCH($C3113,DATA_MASTER!$D$2:$D$5000,0)),""))</f>
        <v/>
      </c>
      <c r="F3113" s="22">
        <f t="array" ref="F3113">IF($C3113="","",IFERROR(INDEX(DATA_MASTER!$L$2:$L$5000,MATCH($C3113,DATA_MASTER!$D$2:$D$5000,0)),""))</f>
        <v/>
      </c>
      <c r="G3113" s="24" t="n"/>
      <c r="H3113" s="24" t="n"/>
      <c r="I3113" s="30" t="n"/>
      <c r="J3113" s="23">
        <f>IF(OR($H3113="",$I3113=""),"",$H3113*$I3113)</f>
        <v/>
      </c>
      <c r="K3113" s="24" t="n"/>
      <c r="L3113" s="24" t="n"/>
      <c r="M3113" s="29" t="n"/>
      <c r="N3113" s="28" t="n"/>
      <c r="O3113" s="24" t="n"/>
      <c r="P3113" s="24" t="n"/>
      <c r="Q3113" s="24" t="n"/>
      <c r="R3113" s="24" t="n"/>
      <c r="S3113" s="22">
        <f>IF(AND($A3113="",$C3113=""),"",IF($A3113="","Thiếu mã đơn; ","")&amp;IF(COUNTIF($A$2:$A3113,$A3113)&gt;1,"Trùng mã đơn; ","")&amp;IF(ISNA(MATCH($C3113,DATA_MASTER!$D$2:$D$5000,0)),"SĐT chưa đăng ký hội viên; ","")&amp;IF(AND($L3113="Đã chuyển khoản",$M3113=""),"Thiếu ngày nhận CK; ",""))</f>
        <v/>
      </c>
      <c r="T3113" s="24" t="n"/>
    </row>
    <row r="3114" ht="14.25" customHeight="1" s="40">
      <c r="A3114" s="24" t="n"/>
      <c r="B3114" s="29" t="n"/>
      <c r="C3114" s="28" t="n"/>
      <c r="D3114" s="22">
        <f t="array" ref="D3114">IF($C3114="","",IFERROR(INDEX(DATA_MASTER!$C$2:$C$5000,MATCH($C3114,DATA_MASTER!$D$2:$D$5000,0)),""))</f>
        <v/>
      </c>
      <c r="E3114" s="22">
        <f t="array" ref="E3114">IF($C3114="","",IFERROR(INDEX(DATA_MASTER!$I$2:$I$5000,MATCH($C3114,DATA_MASTER!$D$2:$D$5000,0)),""))</f>
        <v/>
      </c>
      <c r="F3114" s="22">
        <f t="array" ref="F3114">IF($C3114="","",IFERROR(INDEX(DATA_MASTER!$L$2:$L$5000,MATCH($C3114,DATA_MASTER!$D$2:$D$5000,0)),""))</f>
        <v/>
      </c>
      <c r="G3114" s="24" t="n"/>
      <c r="H3114" s="24" t="n"/>
      <c r="I3114" s="30" t="n"/>
      <c r="J3114" s="23">
        <f>IF(OR($H3114="",$I3114=""),"",$H3114*$I3114)</f>
        <v/>
      </c>
      <c r="K3114" s="24" t="n"/>
      <c r="L3114" s="24" t="n"/>
      <c r="M3114" s="29" t="n"/>
      <c r="N3114" s="28" t="n"/>
      <c r="O3114" s="24" t="n"/>
      <c r="P3114" s="24" t="n"/>
      <c r="Q3114" s="24" t="n"/>
      <c r="R3114" s="24" t="n"/>
      <c r="S3114" s="22">
        <f>IF(AND($A3114="",$C3114=""),"",IF($A3114="","Thiếu mã đơn; ","")&amp;IF(COUNTIF($A$2:$A3114,$A3114)&gt;1,"Trùng mã đơn; ","")&amp;IF(ISNA(MATCH($C3114,DATA_MASTER!$D$2:$D$5000,0)),"SĐT chưa đăng ký hội viên; ","")&amp;IF(AND($L3114="Đã chuyển khoản",$M3114=""),"Thiếu ngày nhận CK; ",""))</f>
        <v/>
      </c>
      <c r="T3114" s="24" t="n"/>
    </row>
    <row r="3115" ht="14.25" customHeight="1" s="40">
      <c r="A3115" s="24" t="n"/>
      <c r="B3115" s="29" t="n"/>
      <c r="C3115" s="28" t="n"/>
      <c r="D3115" s="22">
        <f t="array" ref="D3115">IF($C3115="","",IFERROR(INDEX(DATA_MASTER!$C$2:$C$5000,MATCH($C3115,DATA_MASTER!$D$2:$D$5000,0)),""))</f>
        <v/>
      </c>
      <c r="E3115" s="22">
        <f t="array" ref="E3115">IF($C3115="","",IFERROR(INDEX(DATA_MASTER!$I$2:$I$5000,MATCH($C3115,DATA_MASTER!$D$2:$D$5000,0)),""))</f>
        <v/>
      </c>
      <c r="F3115" s="22">
        <f t="array" ref="F3115">IF($C3115="","",IFERROR(INDEX(DATA_MASTER!$L$2:$L$5000,MATCH($C3115,DATA_MASTER!$D$2:$D$5000,0)),""))</f>
        <v/>
      </c>
      <c r="G3115" s="24" t="n"/>
      <c r="H3115" s="24" t="n"/>
      <c r="I3115" s="30" t="n"/>
      <c r="J3115" s="23">
        <f>IF(OR($H3115="",$I3115=""),"",$H3115*$I3115)</f>
        <v/>
      </c>
      <c r="K3115" s="24" t="n"/>
      <c r="L3115" s="24" t="n"/>
      <c r="M3115" s="29" t="n"/>
      <c r="N3115" s="28" t="n"/>
      <c r="O3115" s="24" t="n"/>
      <c r="P3115" s="24" t="n"/>
      <c r="Q3115" s="24" t="n"/>
      <c r="R3115" s="24" t="n"/>
      <c r="S3115" s="22">
        <f>IF(AND($A3115="",$C3115=""),"",IF($A3115="","Thiếu mã đơn; ","")&amp;IF(COUNTIF($A$2:$A3115,$A3115)&gt;1,"Trùng mã đơn; ","")&amp;IF(ISNA(MATCH($C3115,DATA_MASTER!$D$2:$D$5000,0)),"SĐT chưa đăng ký hội viên; ","")&amp;IF(AND($L3115="Đã chuyển khoản",$M3115=""),"Thiếu ngày nhận CK; ",""))</f>
        <v/>
      </c>
      <c r="T3115" s="24" t="n"/>
    </row>
    <row r="3116" ht="14.25" customHeight="1" s="40">
      <c r="A3116" s="24" t="n"/>
      <c r="B3116" s="29" t="n"/>
      <c r="C3116" s="28" t="n"/>
      <c r="D3116" s="22">
        <f t="array" ref="D3116">IF($C3116="","",IFERROR(INDEX(DATA_MASTER!$C$2:$C$5000,MATCH($C3116,DATA_MASTER!$D$2:$D$5000,0)),""))</f>
        <v/>
      </c>
      <c r="E3116" s="22">
        <f t="array" ref="E3116">IF($C3116="","",IFERROR(INDEX(DATA_MASTER!$I$2:$I$5000,MATCH($C3116,DATA_MASTER!$D$2:$D$5000,0)),""))</f>
        <v/>
      </c>
      <c r="F3116" s="22">
        <f t="array" ref="F3116">IF($C3116="","",IFERROR(INDEX(DATA_MASTER!$L$2:$L$5000,MATCH($C3116,DATA_MASTER!$D$2:$D$5000,0)),""))</f>
        <v/>
      </c>
      <c r="G3116" s="24" t="n"/>
      <c r="H3116" s="24" t="n"/>
      <c r="I3116" s="30" t="n"/>
      <c r="J3116" s="23">
        <f>IF(OR($H3116="",$I3116=""),"",$H3116*$I3116)</f>
        <v/>
      </c>
      <c r="K3116" s="24" t="n"/>
      <c r="L3116" s="24" t="n"/>
      <c r="M3116" s="29" t="n"/>
      <c r="N3116" s="28" t="n"/>
      <c r="O3116" s="24" t="n"/>
      <c r="P3116" s="24" t="n"/>
      <c r="Q3116" s="24" t="n"/>
      <c r="R3116" s="24" t="n"/>
      <c r="S3116" s="22">
        <f>IF(AND($A3116="",$C3116=""),"",IF($A3116="","Thiếu mã đơn; ","")&amp;IF(COUNTIF($A$2:$A3116,$A3116)&gt;1,"Trùng mã đơn; ","")&amp;IF(ISNA(MATCH($C3116,DATA_MASTER!$D$2:$D$5000,0)),"SĐT chưa đăng ký hội viên; ","")&amp;IF(AND($L3116="Đã chuyển khoản",$M3116=""),"Thiếu ngày nhận CK; ",""))</f>
        <v/>
      </c>
      <c r="T3116" s="24" t="n"/>
    </row>
    <row r="3117" ht="14.25" customHeight="1" s="40">
      <c r="A3117" s="24" t="n"/>
      <c r="B3117" s="29" t="n"/>
      <c r="C3117" s="28" t="n"/>
      <c r="D3117" s="22">
        <f t="array" ref="D3117">IF($C3117="","",IFERROR(INDEX(DATA_MASTER!$C$2:$C$5000,MATCH($C3117,DATA_MASTER!$D$2:$D$5000,0)),""))</f>
        <v/>
      </c>
      <c r="E3117" s="22">
        <f t="array" ref="E3117">IF($C3117="","",IFERROR(INDEX(DATA_MASTER!$I$2:$I$5000,MATCH($C3117,DATA_MASTER!$D$2:$D$5000,0)),""))</f>
        <v/>
      </c>
      <c r="F3117" s="22">
        <f t="array" ref="F3117">IF($C3117="","",IFERROR(INDEX(DATA_MASTER!$L$2:$L$5000,MATCH($C3117,DATA_MASTER!$D$2:$D$5000,0)),""))</f>
        <v/>
      </c>
      <c r="G3117" s="24" t="n"/>
      <c r="H3117" s="24" t="n"/>
      <c r="I3117" s="30" t="n"/>
      <c r="J3117" s="23">
        <f>IF(OR($H3117="",$I3117=""),"",$H3117*$I3117)</f>
        <v/>
      </c>
      <c r="K3117" s="24" t="n"/>
      <c r="L3117" s="24" t="n"/>
      <c r="M3117" s="29" t="n"/>
      <c r="N3117" s="28" t="n"/>
      <c r="O3117" s="24" t="n"/>
      <c r="P3117" s="24" t="n"/>
      <c r="Q3117" s="24" t="n"/>
      <c r="R3117" s="24" t="n"/>
      <c r="S3117" s="22">
        <f>IF(AND($A3117="",$C3117=""),"",IF($A3117="","Thiếu mã đơn; ","")&amp;IF(COUNTIF($A$2:$A3117,$A3117)&gt;1,"Trùng mã đơn; ","")&amp;IF(ISNA(MATCH($C3117,DATA_MASTER!$D$2:$D$5000,0)),"SĐT chưa đăng ký hội viên; ","")&amp;IF(AND($L3117="Đã chuyển khoản",$M3117=""),"Thiếu ngày nhận CK; ",""))</f>
        <v/>
      </c>
      <c r="T3117" s="24" t="n"/>
    </row>
    <row r="3118" ht="14.25" customHeight="1" s="40">
      <c r="A3118" s="24" t="n"/>
      <c r="B3118" s="29" t="n"/>
      <c r="C3118" s="28" t="n"/>
      <c r="D3118" s="22">
        <f t="array" ref="D3118">IF($C3118="","",IFERROR(INDEX(DATA_MASTER!$C$2:$C$5000,MATCH($C3118,DATA_MASTER!$D$2:$D$5000,0)),""))</f>
        <v/>
      </c>
      <c r="E3118" s="22">
        <f t="array" ref="E3118">IF($C3118="","",IFERROR(INDEX(DATA_MASTER!$I$2:$I$5000,MATCH($C3118,DATA_MASTER!$D$2:$D$5000,0)),""))</f>
        <v/>
      </c>
      <c r="F3118" s="22">
        <f t="array" ref="F3118">IF($C3118="","",IFERROR(INDEX(DATA_MASTER!$L$2:$L$5000,MATCH($C3118,DATA_MASTER!$D$2:$D$5000,0)),""))</f>
        <v/>
      </c>
      <c r="G3118" s="24" t="n"/>
      <c r="H3118" s="24" t="n"/>
      <c r="I3118" s="30" t="n"/>
      <c r="J3118" s="23">
        <f>IF(OR($H3118="",$I3118=""),"",$H3118*$I3118)</f>
        <v/>
      </c>
      <c r="K3118" s="24" t="n"/>
      <c r="L3118" s="24" t="n"/>
      <c r="M3118" s="29" t="n"/>
      <c r="N3118" s="28" t="n"/>
      <c r="O3118" s="24" t="n"/>
      <c r="P3118" s="24" t="n"/>
      <c r="Q3118" s="24" t="n"/>
      <c r="R3118" s="24" t="n"/>
      <c r="S3118" s="22">
        <f>IF(AND($A3118="",$C3118=""),"",IF($A3118="","Thiếu mã đơn; ","")&amp;IF(COUNTIF($A$2:$A3118,$A3118)&gt;1,"Trùng mã đơn; ","")&amp;IF(ISNA(MATCH($C3118,DATA_MASTER!$D$2:$D$5000,0)),"SĐT chưa đăng ký hội viên; ","")&amp;IF(AND($L3118="Đã chuyển khoản",$M3118=""),"Thiếu ngày nhận CK; ",""))</f>
        <v/>
      </c>
      <c r="T3118" s="24" t="n"/>
    </row>
    <row r="3119" ht="14.25" customHeight="1" s="40">
      <c r="A3119" s="24" t="n"/>
      <c r="B3119" s="29" t="n"/>
      <c r="C3119" s="28" t="n"/>
      <c r="D3119" s="22">
        <f t="array" ref="D3119">IF($C3119="","",IFERROR(INDEX(DATA_MASTER!$C$2:$C$5000,MATCH($C3119,DATA_MASTER!$D$2:$D$5000,0)),""))</f>
        <v/>
      </c>
      <c r="E3119" s="22">
        <f t="array" ref="E3119">IF($C3119="","",IFERROR(INDEX(DATA_MASTER!$I$2:$I$5000,MATCH($C3119,DATA_MASTER!$D$2:$D$5000,0)),""))</f>
        <v/>
      </c>
      <c r="F3119" s="22">
        <f t="array" ref="F3119">IF($C3119="","",IFERROR(INDEX(DATA_MASTER!$L$2:$L$5000,MATCH($C3119,DATA_MASTER!$D$2:$D$5000,0)),""))</f>
        <v/>
      </c>
      <c r="G3119" s="24" t="n"/>
      <c r="H3119" s="24" t="n"/>
      <c r="I3119" s="30" t="n"/>
      <c r="J3119" s="23">
        <f>IF(OR($H3119="",$I3119=""),"",$H3119*$I3119)</f>
        <v/>
      </c>
      <c r="K3119" s="24" t="n"/>
      <c r="L3119" s="24" t="n"/>
      <c r="M3119" s="29" t="n"/>
      <c r="N3119" s="28" t="n"/>
      <c r="O3119" s="24" t="n"/>
      <c r="P3119" s="24" t="n"/>
      <c r="Q3119" s="24" t="n"/>
      <c r="R3119" s="24" t="n"/>
      <c r="S3119" s="22">
        <f>IF(AND($A3119="",$C3119=""),"",IF($A3119="","Thiếu mã đơn; ","")&amp;IF(COUNTIF($A$2:$A3119,$A3119)&gt;1,"Trùng mã đơn; ","")&amp;IF(ISNA(MATCH($C3119,DATA_MASTER!$D$2:$D$5000,0)),"SĐT chưa đăng ký hội viên; ","")&amp;IF(AND($L3119="Đã chuyển khoản",$M3119=""),"Thiếu ngày nhận CK; ",""))</f>
        <v/>
      </c>
      <c r="T3119" s="24" t="n"/>
    </row>
    <row r="3120" ht="14.25" customHeight="1" s="40">
      <c r="A3120" s="24" t="n"/>
      <c r="B3120" s="29" t="n"/>
      <c r="C3120" s="28" t="n"/>
      <c r="D3120" s="22">
        <f t="array" ref="D3120">IF($C3120="","",IFERROR(INDEX(DATA_MASTER!$C$2:$C$5000,MATCH($C3120,DATA_MASTER!$D$2:$D$5000,0)),""))</f>
        <v/>
      </c>
      <c r="E3120" s="22">
        <f t="array" ref="E3120">IF($C3120="","",IFERROR(INDEX(DATA_MASTER!$I$2:$I$5000,MATCH($C3120,DATA_MASTER!$D$2:$D$5000,0)),""))</f>
        <v/>
      </c>
      <c r="F3120" s="22">
        <f t="array" ref="F3120">IF($C3120="","",IFERROR(INDEX(DATA_MASTER!$L$2:$L$5000,MATCH($C3120,DATA_MASTER!$D$2:$D$5000,0)),""))</f>
        <v/>
      </c>
      <c r="G3120" s="24" t="n"/>
      <c r="H3120" s="24" t="n"/>
      <c r="I3120" s="30" t="n"/>
      <c r="J3120" s="23">
        <f>IF(OR($H3120="",$I3120=""),"",$H3120*$I3120)</f>
        <v/>
      </c>
      <c r="K3120" s="24" t="n"/>
      <c r="L3120" s="24" t="n"/>
      <c r="M3120" s="29" t="n"/>
      <c r="N3120" s="28" t="n"/>
      <c r="O3120" s="24" t="n"/>
      <c r="P3120" s="24" t="n"/>
      <c r="Q3120" s="24" t="n"/>
      <c r="R3120" s="24" t="n"/>
      <c r="S3120" s="22">
        <f>IF(AND($A3120="",$C3120=""),"",IF($A3120="","Thiếu mã đơn; ","")&amp;IF(COUNTIF($A$2:$A3120,$A3120)&gt;1,"Trùng mã đơn; ","")&amp;IF(ISNA(MATCH($C3120,DATA_MASTER!$D$2:$D$5000,0)),"SĐT chưa đăng ký hội viên; ","")&amp;IF(AND($L3120="Đã chuyển khoản",$M3120=""),"Thiếu ngày nhận CK; ",""))</f>
        <v/>
      </c>
      <c r="T3120" s="24" t="n"/>
    </row>
    <row r="3121" ht="14.25" customHeight="1" s="40">
      <c r="A3121" s="24" t="n"/>
      <c r="B3121" s="29" t="n"/>
      <c r="C3121" s="28" t="n"/>
      <c r="D3121" s="22">
        <f t="array" ref="D3121">IF($C3121="","",IFERROR(INDEX(DATA_MASTER!$C$2:$C$5000,MATCH($C3121,DATA_MASTER!$D$2:$D$5000,0)),""))</f>
        <v/>
      </c>
      <c r="E3121" s="22">
        <f t="array" ref="E3121">IF($C3121="","",IFERROR(INDEX(DATA_MASTER!$I$2:$I$5000,MATCH($C3121,DATA_MASTER!$D$2:$D$5000,0)),""))</f>
        <v/>
      </c>
      <c r="F3121" s="22">
        <f t="array" ref="F3121">IF($C3121="","",IFERROR(INDEX(DATA_MASTER!$L$2:$L$5000,MATCH($C3121,DATA_MASTER!$D$2:$D$5000,0)),""))</f>
        <v/>
      </c>
      <c r="G3121" s="24" t="n"/>
      <c r="H3121" s="24" t="n"/>
      <c r="I3121" s="30" t="n"/>
      <c r="J3121" s="23">
        <f>IF(OR($H3121="",$I3121=""),"",$H3121*$I3121)</f>
        <v/>
      </c>
      <c r="K3121" s="24" t="n"/>
      <c r="L3121" s="24" t="n"/>
      <c r="M3121" s="29" t="n"/>
      <c r="N3121" s="28" t="n"/>
      <c r="O3121" s="24" t="n"/>
      <c r="P3121" s="24" t="n"/>
      <c r="Q3121" s="24" t="n"/>
      <c r="R3121" s="24" t="n"/>
      <c r="S3121" s="22">
        <f>IF(AND($A3121="",$C3121=""),"",IF($A3121="","Thiếu mã đơn; ","")&amp;IF(COUNTIF($A$2:$A3121,$A3121)&gt;1,"Trùng mã đơn; ","")&amp;IF(ISNA(MATCH($C3121,DATA_MASTER!$D$2:$D$5000,0)),"SĐT chưa đăng ký hội viên; ","")&amp;IF(AND($L3121="Đã chuyển khoản",$M3121=""),"Thiếu ngày nhận CK; ",""))</f>
        <v/>
      </c>
      <c r="T3121" s="24" t="n"/>
    </row>
    <row r="3122" ht="14.25" customHeight="1" s="40">
      <c r="A3122" s="24" t="n"/>
      <c r="B3122" s="29" t="n"/>
      <c r="C3122" s="28" t="n"/>
      <c r="D3122" s="22">
        <f t="array" ref="D3122">IF($C3122="","",IFERROR(INDEX(DATA_MASTER!$C$2:$C$5000,MATCH($C3122,DATA_MASTER!$D$2:$D$5000,0)),""))</f>
        <v/>
      </c>
      <c r="E3122" s="22">
        <f t="array" ref="E3122">IF($C3122="","",IFERROR(INDEX(DATA_MASTER!$I$2:$I$5000,MATCH($C3122,DATA_MASTER!$D$2:$D$5000,0)),""))</f>
        <v/>
      </c>
      <c r="F3122" s="22">
        <f t="array" ref="F3122">IF($C3122="","",IFERROR(INDEX(DATA_MASTER!$L$2:$L$5000,MATCH($C3122,DATA_MASTER!$D$2:$D$5000,0)),""))</f>
        <v/>
      </c>
      <c r="G3122" s="24" t="n"/>
      <c r="H3122" s="24" t="n"/>
      <c r="I3122" s="30" t="n"/>
      <c r="J3122" s="23">
        <f>IF(OR($H3122="",$I3122=""),"",$H3122*$I3122)</f>
        <v/>
      </c>
      <c r="K3122" s="24" t="n"/>
      <c r="L3122" s="24" t="n"/>
      <c r="M3122" s="29" t="n"/>
      <c r="N3122" s="28" t="n"/>
      <c r="O3122" s="24" t="n"/>
      <c r="P3122" s="24" t="n"/>
      <c r="Q3122" s="24" t="n"/>
      <c r="R3122" s="24" t="n"/>
      <c r="S3122" s="22">
        <f>IF(AND($A3122="",$C3122=""),"",IF($A3122="","Thiếu mã đơn; ","")&amp;IF(COUNTIF($A$2:$A3122,$A3122)&gt;1,"Trùng mã đơn; ","")&amp;IF(ISNA(MATCH($C3122,DATA_MASTER!$D$2:$D$5000,0)),"SĐT chưa đăng ký hội viên; ","")&amp;IF(AND($L3122="Đã chuyển khoản",$M3122=""),"Thiếu ngày nhận CK; ",""))</f>
        <v/>
      </c>
      <c r="T3122" s="24" t="n"/>
    </row>
    <row r="3123" ht="14.25" customHeight="1" s="40">
      <c r="A3123" s="24" t="n"/>
      <c r="B3123" s="29" t="n"/>
      <c r="C3123" s="28" t="n"/>
      <c r="D3123" s="22">
        <f t="array" ref="D3123">IF($C3123="","",IFERROR(INDEX(DATA_MASTER!$C$2:$C$5000,MATCH($C3123,DATA_MASTER!$D$2:$D$5000,0)),""))</f>
        <v/>
      </c>
      <c r="E3123" s="22">
        <f t="array" ref="E3123">IF($C3123="","",IFERROR(INDEX(DATA_MASTER!$I$2:$I$5000,MATCH($C3123,DATA_MASTER!$D$2:$D$5000,0)),""))</f>
        <v/>
      </c>
      <c r="F3123" s="22">
        <f t="array" ref="F3123">IF($C3123="","",IFERROR(INDEX(DATA_MASTER!$L$2:$L$5000,MATCH($C3123,DATA_MASTER!$D$2:$D$5000,0)),""))</f>
        <v/>
      </c>
      <c r="G3123" s="24" t="n"/>
      <c r="H3123" s="24" t="n"/>
      <c r="I3123" s="30" t="n"/>
      <c r="J3123" s="23">
        <f>IF(OR($H3123="",$I3123=""),"",$H3123*$I3123)</f>
        <v/>
      </c>
      <c r="K3123" s="24" t="n"/>
      <c r="L3123" s="24" t="n"/>
      <c r="M3123" s="29" t="n"/>
      <c r="N3123" s="28" t="n"/>
      <c r="O3123" s="24" t="n"/>
      <c r="P3123" s="24" t="n"/>
      <c r="Q3123" s="24" t="n"/>
      <c r="R3123" s="24" t="n"/>
      <c r="S3123" s="22">
        <f>IF(AND($A3123="",$C3123=""),"",IF($A3123="","Thiếu mã đơn; ","")&amp;IF(COUNTIF($A$2:$A3123,$A3123)&gt;1,"Trùng mã đơn; ","")&amp;IF(ISNA(MATCH($C3123,DATA_MASTER!$D$2:$D$5000,0)),"SĐT chưa đăng ký hội viên; ","")&amp;IF(AND($L3123="Đã chuyển khoản",$M3123=""),"Thiếu ngày nhận CK; ",""))</f>
        <v/>
      </c>
      <c r="T3123" s="24" t="n"/>
    </row>
    <row r="3124" ht="14.25" customHeight="1" s="40">
      <c r="A3124" s="24" t="n"/>
      <c r="B3124" s="29" t="n"/>
      <c r="C3124" s="28" t="n"/>
      <c r="D3124" s="22">
        <f t="array" ref="D3124">IF($C3124="","",IFERROR(INDEX(DATA_MASTER!$C$2:$C$5000,MATCH($C3124,DATA_MASTER!$D$2:$D$5000,0)),""))</f>
        <v/>
      </c>
      <c r="E3124" s="22">
        <f t="array" ref="E3124">IF($C3124="","",IFERROR(INDEX(DATA_MASTER!$I$2:$I$5000,MATCH($C3124,DATA_MASTER!$D$2:$D$5000,0)),""))</f>
        <v/>
      </c>
      <c r="F3124" s="22">
        <f t="array" ref="F3124">IF($C3124="","",IFERROR(INDEX(DATA_MASTER!$L$2:$L$5000,MATCH($C3124,DATA_MASTER!$D$2:$D$5000,0)),""))</f>
        <v/>
      </c>
      <c r="G3124" s="24" t="n"/>
      <c r="H3124" s="24" t="n"/>
      <c r="I3124" s="30" t="n"/>
      <c r="J3124" s="23">
        <f>IF(OR($H3124="",$I3124=""),"",$H3124*$I3124)</f>
        <v/>
      </c>
      <c r="K3124" s="24" t="n"/>
      <c r="L3124" s="24" t="n"/>
      <c r="M3124" s="29" t="n"/>
      <c r="N3124" s="28" t="n"/>
      <c r="O3124" s="24" t="n"/>
      <c r="P3124" s="24" t="n"/>
      <c r="Q3124" s="24" t="n"/>
      <c r="R3124" s="24" t="n"/>
      <c r="S3124" s="22">
        <f>IF(AND($A3124="",$C3124=""),"",IF($A3124="","Thiếu mã đơn; ","")&amp;IF(COUNTIF($A$2:$A3124,$A3124)&gt;1,"Trùng mã đơn; ","")&amp;IF(ISNA(MATCH($C3124,DATA_MASTER!$D$2:$D$5000,0)),"SĐT chưa đăng ký hội viên; ","")&amp;IF(AND($L3124="Đã chuyển khoản",$M3124=""),"Thiếu ngày nhận CK; ",""))</f>
        <v/>
      </c>
      <c r="T3124" s="24" t="n"/>
    </row>
    <row r="3125" ht="14.25" customHeight="1" s="40">
      <c r="A3125" s="24" t="n"/>
      <c r="B3125" s="29" t="n"/>
      <c r="C3125" s="28" t="n"/>
      <c r="D3125" s="22">
        <f t="array" ref="D3125">IF($C3125="","",IFERROR(INDEX(DATA_MASTER!$C$2:$C$5000,MATCH($C3125,DATA_MASTER!$D$2:$D$5000,0)),""))</f>
        <v/>
      </c>
      <c r="E3125" s="22">
        <f t="array" ref="E3125">IF($C3125="","",IFERROR(INDEX(DATA_MASTER!$I$2:$I$5000,MATCH($C3125,DATA_MASTER!$D$2:$D$5000,0)),""))</f>
        <v/>
      </c>
      <c r="F3125" s="22">
        <f t="array" ref="F3125">IF($C3125="","",IFERROR(INDEX(DATA_MASTER!$L$2:$L$5000,MATCH($C3125,DATA_MASTER!$D$2:$D$5000,0)),""))</f>
        <v/>
      </c>
      <c r="G3125" s="24" t="n"/>
      <c r="H3125" s="24" t="n"/>
      <c r="I3125" s="30" t="n"/>
      <c r="J3125" s="23">
        <f>IF(OR($H3125="",$I3125=""),"",$H3125*$I3125)</f>
        <v/>
      </c>
      <c r="K3125" s="24" t="n"/>
      <c r="L3125" s="24" t="n"/>
      <c r="M3125" s="29" t="n"/>
      <c r="N3125" s="28" t="n"/>
      <c r="O3125" s="24" t="n"/>
      <c r="P3125" s="24" t="n"/>
      <c r="Q3125" s="24" t="n"/>
      <c r="R3125" s="24" t="n"/>
      <c r="S3125" s="22">
        <f>IF(AND($A3125="",$C3125=""),"",IF($A3125="","Thiếu mã đơn; ","")&amp;IF(COUNTIF($A$2:$A3125,$A3125)&gt;1,"Trùng mã đơn; ","")&amp;IF(ISNA(MATCH($C3125,DATA_MASTER!$D$2:$D$5000,0)),"SĐT chưa đăng ký hội viên; ","")&amp;IF(AND($L3125="Đã chuyển khoản",$M3125=""),"Thiếu ngày nhận CK; ",""))</f>
        <v/>
      </c>
      <c r="T3125" s="24" t="n"/>
    </row>
    <row r="3126" ht="14.25" customHeight="1" s="40">
      <c r="A3126" s="24" t="n"/>
      <c r="B3126" s="29" t="n"/>
      <c r="C3126" s="28" t="n"/>
      <c r="D3126" s="22">
        <f t="array" ref="D3126">IF($C3126="","",IFERROR(INDEX(DATA_MASTER!$C$2:$C$5000,MATCH($C3126,DATA_MASTER!$D$2:$D$5000,0)),""))</f>
        <v/>
      </c>
      <c r="E3126" s="22">
        <f t="array" ref="E3126">IF($C3126="","",IFERROR(INDEX(DATA_MASTER!$I$2:$I$5000,MATCH($C3126,DATA_MASTER!$D$2:$D$5000,0)),""))</f>
        <v/>
      </c>
      <c r="F3126" s="22">
        <f t="array" ref="F3126">IF($C3126="","",IFERROR(INDEX(DATA_MASTER!$L$2:$L$5000,MATCH($C3126,DATA_MASTER!$D$2:$D$5000,0)),""))</f>
        <v/>
      </c>
      <c r="G3126" s="24" t="n"/>
      <c r="H3126" s="24" t="n"/>
      <c r="I3126" s="30" t="n"/>
      <c r="J3126" s="23">
        <f>IF(OR($H3126="",$I3126=""),"",$H3126*$I3126)</f>
        <v/>
      </c>
      <c r="K3126" s="24" t="n"/>
      <c r="L3126" s="24" t="n"/>
      <c r="M3126" s="29" t="n"/>
      <c r="N3126" s="28" t="n"/>
      <c r="O3126" s="24" t="n"/>
      <c r="P3126" s="24" t="n"/>
      <c r="Q3126" s="24" t="n"/>
      <c r="R3126" s="24" t="n"/>
      <c r="S3126" s="22">
        <f>IF(AND($A3126="",$C3126=""),"",IF($A3126="","Thiếu mã đơn; ","")&amp;IF(COUNTIF($A$2:$A3126,$A3126)&gt;1,"Trùng mã đơn; ","")&amp;IF(ISNA(MATCH($C3126,DATA_MASTER!$D$2:$D$5000,0)),"SĐT chưa đăng ký hội viên; ","")&amp;IF(AND($L3126="Đã chuyển khoản",$M3126=""),"Thiếu ngày nhận CK; ",""))</f>
        <v/>
      </c>
      <c r="T3126" s="24" t="n"/>
    </row>
    <row r="3127" ht="14.25" customHeight="1" s="40">
      <c r="A3127" s="24" t="n"/>
      <c r="B3127" s="29" t="n"/>
      <c r="C3127" s="28" t="n"/>
      <c r="D3127" s="22">
        <f t="array" ref="D3127">IF($C3127="","",IFERROR(INDEX(DATA_MASTER!$C$2:$C$5000,MATCH($C3127,DATA_MASTER!$D$2:$D$5000,0)),""))</f>
        <v/>
      </c>
      <c r="E3127" s="22">
        <f t="array" ref="E3127">IF($C3127="","",IFERROR(INDEX(DATA_MASTER!$I$2:$I$5000,MATCH($C3127,DATA_MASTER!$D$2:$D$5000,0)),""))</f>
        <v/>
      </c>
      <c r="F3127" s="22">
        <f t="array" ref="F3127">IF($C3127="","",IFERROR(INDEX(DATA_MASTER!$L$2:$L$5000,MATCH($C3127,DATA_MASTER!$D$2:$D$5000,0)),""))</f>
        <v/>
      </c>
      <c r="G3127" s="24" t="n"/>
      <c r="H3127" s="24" t="n"/>
      <c r="I3127" s="30" t="n"/>
      <c r="J3127" s="23">
        <f>IF(OR($H3127="",$I3127=""),"",$H3127*$I3127)</f>
        <v/>
      </c>
      <c r="K3127" s="24" t="n"/>
      <c r="L3127" s="24" t="n"/>
      <c r="M3127" s="29" t="n"/>
      <c r="N3127" s="28" t="n"/>
      <c r="O3127" s="24" t="n"/>
      <c r="P3127" s="24" t="n"/>
      <c r="Q3127" s="24" t="n"/>
      <c r="R3127" s="24" t="n"/>
      <c r="S3127" s="22">
        <f>IF(AND($A3127="",$C3127=""),"",IF($A3127="","Thiếu mã đơn; ","")&amp;IF(COUNTIF($A$2:$A3127,$A3127)&gt;1,"Trùng mã đơn; ","")&amp;IF(ISNA(MATCH($C3127,DATA_MASTER!$D$2:$D$5000,0)),"SĐT chưa đăng ký hội viên; ","")&amp;IF(AND($L3127="Đã chuyển khoản",$M3127=""),"Thiếu ngày nhận CK; ",""))</f>
        <v/>
      </c>
      <c r="T3127" s="24" t="n"/>
    </row>
    <row r="3128" ht="14.25" customHeight="1" s="40">
      <c r="A3128" s="24" t="n"/>
      <c r="B3128" s="29" t="n"/>
      <c r="C3128" s="28" t="n"/>
      <c r="D3128" s="22">
        <f t="array" ref="D3128">IF($C3128="","",IFERROR(INDEX(DATA_MASTER!$C$2:$C$5000,MATCH($C3128,DATA_MASTER!$D$2:$D$5000,0)),""))</f>
        <v/>
      </c>
      <c r="E3128" s="22">
        <f t="array" ref="E3128">IF($C3128="","",IFERROR(INDEX(DATA_MASTER!$I$2:$I$5000,MATCH($C3128,DATA_MASTER!$D$2:$D$5000,0)),""))</f>
        <v/>
      </c>
      <c r="F3128" s="22">
        <f t="array" ref="F3128">IF($C3128="","",IFERROR(INDEX(DATA_MASTER!$L$2:$L$5000,MATCH($C3128,DATA_MASTER!$D$2:$D$5000,0)),""))</f>
        <v/>
      </c>
      <c r="G3128" s="24" t="n"/>
      <c r="H3128" s="24" t="n"/>
      <c r="I3128" s="30" t="n"/>
      <c r="J3128" s="23">
        <f>IF(OR($H3128="",$I3128=""),"",$H3128*$I3128)</f>
        <v/>
      </c>
      <c r="K3128" s="24" t="n"/>
      <c r="L3128" s="24" t="n"/>
      <c r="M3128" s="29" t="n"/>
      <c r="N3128" s="28" t="n"/>
      <c r="O3128" s="24" t="n"/>
      <c r="P3128" s="24" t="n"/>
      <c r="Q3128" s="24" t="n"/>
      <c r="R3128" s="24" t="n"/>
      <c r="S3128" s="22">
        <f>IF(AND($A3128="",$C3128=""),"",IF($A3128="","Thiếu mã đơn; ","")&amp;IF(COUNTIF($A$2:$A3128,$A3128)&gt;1,"Trùng mã đơn; ","")&amp;IF(ISNA(MATCH($C3128,DATA_MASTER!$D$2:$D$5000,0)),"SĐT chưa đăng ký hội viên; ","")&amp;IF(AND($L3128="Đã chuyển khoản",$M3128=""),"Thiếu ngày nhận CK; ",""))</f>
        <v/>
      </c>
      <c r="T3128" s="24" t="n"/>
    </row>
    <row r="3129" ht="14.25" customHeight="1" s="40">
      <c r="A3129" s="24" t="n"/>
      <c r="B3129" s="29" t="n"/>
      <c r="C3129" s="28" t="n"/>
      <c r="D3129" s="22">
        <f t="array" ref="D3129">IF($C3129="","",IFERROR(INDEX(DATA_MASTER!$C$2:$C$5000,MATCH($C3129,DATA_MASTER!$D$2:$D$5000,0)),""))</f>
        <v/>
      </c>
      <c r="E3129" s="22">
        <f t="array" ref="E3129">IF($C3129="","",IFERROR(INDEX(DATA_MASTER!$I$2:$I$5000,MATCH($C3129,DATA_MASTER!$D$2:$D$5000,0)),""))</f>
        <v/>
      </c>
      <c r="F3129" s="22">
        <f t="array" ref="F3129">IF($C3129="","",IFERROR(INDEX(DATA_MASTER!$L$2:$L$5000,MATCH($C3129,DATA_MASTER!$D$2:$D$5000,0)),""))</f>
        <v/>
      </c>
      <c r="G3129" s="24" t="n"/>
      <c r="H3129" s="24" t="n"/>
      <c r="I3129" s="30" t="n"/>
      <c r="J3129" s="23">
        <f>IF(OR($H3129="",$I3129=""),"",$H3129*$I3129)</f>
        <v/>
      </c>
      <c r="K3129" s="24" t="n"/>
      <c r="L3129" s="24" t="n"/>
      <c r="M3129" s="29" t="n"/>
      <c r="N3129" s="28" t="n"/>
      <c r="O3129" s="24" t="n"/>
      <c r="P3129" s="24" t="n"/>
      <c r="Q3129" s="24" t="n"/>
      <c r="R3129" s="24" t="n"/>
      <c r="S3129" s="22">
        <f>IF(AND($A3129="",$C3129=""),"",IF($A3129="","Thiếu mã đơn; ","")&amp;IF(COUNTIF($A$2:$A3129,$A3129)&gt;1,"Trùng mã đơn; ","")&amp;IF(ISNA(MATCH($C3129,DATA_MASTER!$D$2:$D$5000,0)),"SĐT chưa đăng ký hội viên; ","")&amp;IF(AND($L3129="Đã chuyển khoản",$M3129=""),"Thiếu ngày nhận CK; ",""))</f>
        <v/>
      </c>
      <c r="T3129" s="24" t="n"/>
    </row>
    <row r="3130" ht="14.25" customHeight="1" s="40">
      <c r="A3130" s="24" t="n"/>
      <c r="B3130" s="29" t="n"/>
      <c r="C3130" s="28" t="n"/>
      <c r="D3130" s="22">
        <f t="array" ref="D3130">IF($C3130="","",IFERROR(INDEX(DATA_MASTER!$C$2:$C$5000,MATCH($C3130,DATA_MASTER!$D$2:$D$5000,0)),""))</f>
        <v/>
      </c>
      <c r="E3130" s="22">
        <f t="array" ref="E3130">IF($C3130="","",IFERROR(INDEX(DATA_MASTER!$I$2:$I$5000,MATCH($C3130,DATA_MASTER!$D$2:$D$5000,0)),""))</f>
        <v/>
      </c>
      <c r="F3130" s="22">
        <f t="array" ref="F3130">IF($C3130="","",IFERROR(INDEX(DATA_MASTER!$L$2:$L$5000,MATCH($C3130,DATA_MASTER!$D$2:$D$5000,0)),""))</f>
        <v/>
      </c>
      <c r="G3130" s="24" t="n"/>
      <c r="H3130" s="24" t="n"/>
      <c r="I3130" s="30" t="n"/>
      <c r="J3130" s="23">
        <f>IF(OR($H3130="",$I3130=""),"",$H3130*$I3130)</f>
        <v/>
      </c>
      <c r="K3130" s="24" t="n"/>
      <c r="L3130" s="24" t="n"/>
      <c r="M3130" s="29" t="n"/>
      <c r="N3130" s="28" t="n"/>
      <c r="O3130" s="24" t="n"/>
      <c r="P3130" s="24" t="n"/>
      <c r="Q3130" s="24" t="n"/>
      <c r="R3130" s="24" t="n"/>
      <c r="S3130" s="22">
        <f>IF(AND($A3130="",$C3130=""),"",IF($A3130="","Thiếu mã đơn; ","")&amp;IF(COUNTIF($A$2:$A3130,$A3130)&gt;1,"Trùng mã đơn; ","")&amp;IF(ISNA(MATCH($C3130,DATA_MASTER!$D$2:$D$5000,0)),"SĐT chưa đăng ký hội viên; ","")&amp;IF(AND($L3130="Đã chuyển khoản",$M3130=""),"Thiếu ngày nhận CK; ",""))</f>
        <v/>
      </c>
      <c r="T3130" s="24" t="n"/>
    </row>
    <row r="3131" ht="14.25" customHeight="1" s="40">
      <c r="A3131" s="24" t="n"/>
      <c r="B3131" s="29" t="n"/>
      <c r="C3131" s="28" t="n"/>
      <c r="D3131" s="22">
        <f t="array" ref="D3131">IF($C3131="","",IFERROR(INDEX(DATA_MASTER!$C$2:$C$5000,MATCH($C3131,DATA_MASTER!$D$2:$D$5000,0)),""))</f>
        <v/>
      </c>
      <c r="E3131" s="22">
        <f t="array" ref="E3131">IF($C3131="","",IFERROR(INDEX(DATA_MASTER!$I$2:$I$5000,MATCH($C3131,DATA_MASTER!$D$2:$D$5000,0)),""))</f>
        <v/>
      </c>
      <c r="F3131" s="22">
        <f t="array" ref="F3131">IF($C3131="","",IFERROR(INDEX(DATA_MASTER!$L$2:$L$5000,MATCH($C3131,DATA_MASTER!$D$2:$D$5000,0)),""))</f>
        <v/>
      </c>
      <c r="G3131" s="24" t="n"/>
      <c r="H3131" s="24" t="n"/>
      <c r="I3131" s="30" t="n"/>
      <c r="J3131" s="23">
        <f>IF(OR($H3131="",$I3131=""),"",$H3131*$I3131)</f>
        <v/>
      </c>
      <c r="K3131" s="24" t="n"/>
      <c r="L3131" s="24" t="n"/>
      <c r="M3131" s="29" t="n"/>
      <c r="N3131" s="28" t="n"/>
      <c r="O3131" s="24" t="n"/>
      <c r="P3131" s="24" t="n"/>
      <c r="Q3131" s="24" t="n"/>
      <c r="R3131" s="24" t="n"/>
      <c r="S3131" s="22">
        <f>IF(AND($A3131="",$C3131=""),"",IF($A3131="","Thiếu mã đơn; ","")&amp;IF(COUNTIF($A$2:$A3131,$A3131)&gt;1,"Trùng mã đơn; ","")&amp;IF(ISNA(MATCH($C3131,DATA_MASTER!$D$2:$D$5000,0)),"SĐT chưa đăng ký hội viên; ","")&amp;IF(AND($L3131="Đã chuyển khoản",$M3131=""),"Thiếu ngày nhận CK; ",""))</f>
        <v/>
      </c>
      <c r="T3131" s="24" t="n"/>
    </row>
    <row r="3132" ht="14.25" customHeight="1" s="40">
      <c r="A3132" s="24" t="n"/>
      <c r="B3132" s="29" t="n"/>
      <c r="C3132" s="28" t="n"/>
      <c r="D3132" s="22">
        <f t="array" ref="D3132">IF($C3132="","",IFERROR(INDEX(DATA_MASTER!$C$2:$C$5000,MATCH($C3132,DATA_MASTER!$D$2:$D$5000,0)),""))</f>
        <v/>
      </c>
      <c r="E3132" s="22">
        <f t="array" ref="E3132">IF($C3132="","",IFERROR(INDEX(DATA_MASTER!$I$2:$I$5000,MATCH($C3132,DATA_MASTER!$D$2:$D$5000,0)),""))</f>
        <v/>
      </c>
      <c r="F3132" s="22">
        <f t="array" ref="F3132">IF($C3132="","",IFERROR(INDEX(DATA_MASTER!$L$2:$L$5000,MATCH($C3132,DATA_MASTER!$D$2:$D$5000,0)),""))</f>
        <v/>
      </c>
      <c r="G3132" s="24" t="n"/>
      <c r="H3132" s="24" t="n"/>
      <c r="I3132" s="30" t="n"/>
      <c r="J3132" s="23">
        <f>IF(OR($H3132="",$I3132=""),"",$H3132*$I3132)</f>
        <v/>
      </c>
      <c r="K3132" s="24" t="n"/>
      <c r="L3132" s="24" t="n"/>
      <c r="M3132" s="29" t="n"/>
      <c r="N3132" s="28" t="n"/>
      <c r="O3132" s="24" t="n"/>
      <c r="P3132" s="24" t="n"/>
      <c r="Q3132" s="24" t="n"/>
      <c r="R3132" s="24" t="n"/>
      <c r="S3132" s="22">
        <f>IF(AND($A3132="",$C3132=""),"",IF($A3132="","Thiếu mã đơn; ","")&amp;IF(COUNTIF($A$2:$A3132,$A3132)&gt;1,"Trùng mã đơn; ","")&amp;IF(ISNA(MATCH($C3132,DATA_MASTER!$D$2:$D$5000,0)),"SĐT chưa đăng ký hội viên; ","")&amp;IF(AND($L3132="Đã chuyển khoản",$M3132=""),"Thiếu ngày nhận CK; ",""))</f>
        <v/>
      </c>
      <c r="T3132" s="24" t="n"/>
    </row>
    <row r="3133" ht="14.25" customHeight="1" s="40">
      <c r="A3133" s="24" t="n"/>
      <c r="B3133" s="29" t="n"/>
      <c r="C3133" s="28" t="n"/>
      <c r="D3133" s="22">
        <f t="array" ref="D3133">IF($C3133="","",IFERROR(INDEX(DATA_MASTER!$C$2:$C$5000,MATCH($C3133,DATA_MASTER!$D$2:$D$5000,0)),""))</f>
        <v/>
      </c>
      <c r="E3133" s="22">
        <f t="array" ref="E3133">IF($C3133="","",IFERROR(INDEX(DATA_MASTER!$I$2:$I$5000,MATCH($C3133,DATA_MASTER!$D$2:$D$5000,0)),""))</f>
        <v/>
      </c>
      <c r="F3133" s="22">
        <f t="array" ref="F3133">IF($C3133="","",IFERROR(INDEX(DATA_MASTER!$L$2:$L$5000,MATCH($C3133,DATA_MASTER!$D$2:$D$5000,0)),""))</f>
        <v/>
      </c>
      <c r="G3133" s="24" t="n"/>
      <c r="H3133" s="24" t="n"/>
      <c r="I3133" s="30" t="n"/>
      <c r="J3133" s="23">
        <f>IF(OR($H3133="",$I3133=""),"",$H3133*$I3133)</f>
        <v/>
      </c>
      <c r="K3133" s="24" t="n"/>
      <c r="L3133" s="24" t="n"/>
      <c r="M3133" s="29" t="n"/>
      <c r="N3133" s="28" t="n"/>
      <c r="O3133" s="24" t="n"/>
      <c r="P3133" s="24" t="n"/>
      <c r="Q3133" s="24" t="n"/>
      <c r="R3133" s="24" t="n"/>
      <c r="S3133" s="22">
        <f>IF(AND($A3133="",$C3133=""),"",IF($A3133="","Thiếu mã đơn; ","")&amp;IF(COUNTIF($A$2:$A3133,$A3133)&gt;1,"Trùng mã đơn; ","")&amp;IF(ISNA(MATCH($C3133,DATA_MASTER!$D$2:$D$5000,0)),"SĐT chưa đăng ký hội viên; ","")&amp;IF(AND($L3133="Đã chuyển khoản",$M3133=""),"Thiếu ngày nhận CK; ",""))</f>
        <v/>
      </c>
      <c r="T3133" s="24" t="n"/>
    </row>
    <row r="3134" ht="14.25" customHeight="1" s="40">
      <c r="A3134" s="24" t="n"/>
      <c r="B3134" s="29" t="n"/>
      <c r="C3134" s="28" t="n"/>
      <c r="D3134" s="22">
        <f t="array" ref="D3134">IF($C3134="","",IFERROR(INDEX(DATA_MASTER!$C$2:$C$5000,MATCH($C3134,DATA_MASTER!$D$2:$D$5000,0)),""))</f>
        <v/>
      </c>
      <c r="E3134" s="22">
        <f t="array" ref="E3134">IF($C3134="","",IFERROR(INDEX(DATA_MASTER!$I$2:$I$5000,MATCH($C3134,DATA_MASTER!$D$2:$D$5000,0)),""))</f>
        <v/>
      </c>
      <c r="F3134" s="22">
        <f t="array" ref="F3134">IF($C3134="","",IFERROR(INDEX(DATA_MASTER!$L$2:$L$5000,MATCH($C3134,DATA_MASTER!$D$2:$D$5000,0)),""))</f>
        <v/>
      </c>
      <c r="G3134" s="24" t="n"/>
      <c r="H3134" s="24" t="n"/>
      <c r="I3134" s="30" t="n"/>
      <c r="J3134" s="23">
        <f>IF(OR($H3134="",$I3134=""),"",$H3134*$I3134)</f>
        <v/>
      </c>
      <c r="K3134" s="24" t="n"/>
      <c r="L3134" s="24" t="n"/>
      <c r="M3134" s="29" t="n"/>
      <c r="N3134" s="28" t="n"/>
      <c r="O3134" s="24" t="n"/>
      <c r="P3134" s="24" t="n"/>
      <c r="Q3134" s="24" t="n"/>
      <c r="R3134" s="24" t="n"/>
      <c r="S3134" s="22">
        <f>IF(AND($A3134="",$C3134=""),"",IF($A3134="","Thiếu mã đơn; ","")&amp;IF(COUNTIF($A$2:$A3134,$A3134)&gt;1,"Trùng mã đơn; ","")&amp;IF(ISNA(MATCH($C3134,DATA_MASTER!$D$2:$D$5000,0)),"SĐT chưa đăng ký hội viên; ","")&amp;IF(AND($L3134="Đã chuyển khoản",$M3134=""),"Thiếu ngày nhận CK; ",""))</f>
        <v/>
      </c>
      <c r="T3134" s="24" t="n"/>
    </row>
    <row r="3135" ht="14.25" customHeight="1" s="40">
      <c r="A3135" s="24" t="n"/>
      <c r="B3135" s="29" t="n"/>
      <c r="C3135" s="28" t="n"/>
      <c r="D3135" s="22">
        <f t="array" ref="D3135">IF($C3135="","",IFERROR(INDEX(DATA_MASTER!$C$2:$C$5000,MATCH($C3135,DATA_MASTER!$D$2:$D$5000,0)),""))</f>
        <v/>
      </c>
      <c r="E3135" s="22">
        <f t="array" ref="E3135">IF($C3135="","",IFERROR(INDEX(DATA_MASTER!$I$2:$I$5000,MATCH($C3135,DATA_MASTER!$D$2:$D$5000,0)),""))</f>
        <v/>
      </c>
      <c r="F3135" s="22">
        <f t="array" ref="F3135">IF($C3135="","",IFERROR(INDEX(DATA_MASTER!$L$2:$L$5000,MATCH($C3135,DATA_MASTER!$D$2:$D$5000,0)),""))</f>
        <v/>
      </c>
      <c r="G3135" s="24" t="n"/>
      <c r="H3135" s="24" t="n"/>
      <c r="I3135" s="30" t="n"/>
      <c r="J3135" s="23">
        <f>IF(OR($H3135="",$I3135=""),"",$H3135*$I3135)</f>
        <v/>
      </c>
      <c r="K3135" s="24" t="n"/>
      <c r="L3135" s="24" t="n"/>
      <c r="M3135" s="29" t="n"/>
      <c r="N3135" s="28" t="n"/>
      <c r="O3135" s="24" t="n"/>
      <c r="P3135" s="24" t="n"/>
      <c r="Q3135" s="24" t="n"/>
      <c r="R3135" s="24" t="n"/>
      <c r="S3135" s="22">
        <f>IF(AND($A3135="",$C3135=""),"",IF($A3135="","Thiếu mã đơn; ","")&amp;IF(COUNTIF($A$2:$A3135,$A3135)&gt;1,"Trùng mã đơn; ","")&amp;IF(ISNA(MATCH($C3135,DATA_MASTER!$D$2:$D$5000,0)),"SĐT chưa đăng ký hội viên; ","")&amp;IF(AND($L3135="Đã chuyển khoản",$M3135=""),"Thiếu ngày nhận CK; ",""))</f>
        <v/>
      </c>
      <c r="T3135" s="24" t="n"/>
    </row>
    <row r="3136" ht="14.25" customHeight="1" s="40">
      <c r="A3136" s="24" t="n"/>
      <c r="B3136" s="29" t="n"/>
      <c r="C3136" s="28" t="n"/>
      <c r="D3136" s="22">
        <f t="array" ref="D3136">IF($C3136="","",IFERROR(INDEX(DATA_MASTER!$C$2:$C$5000,MATCH($C3136,DATA_MASTER!$D$2:$D$5000,0)),""))</f>
        <v/>
      </c>
      <c r="E3136" s="22">
        <f t="array" ref="E3136">IF($C3136="","",IFERROR(INDEX(DATA_MASTER!$I$2:$I$5000,MATCH($C3136,DATA_MASTER!$D$2:$D$5000,0)),""))</f>
        <v/>
      </c>
      <c r="F3136" s="22">
        <f t="array" ref="F3136">IF($C3136="","",IFERROR(INDEX(DATA_MASTER!$L$2:$L$5000,MATCH($C3136,DATA_MASTER!$D$2:$D$5000,0)),""))</f>
        <v/>
      </c>
      <c r="G3136" s="24" t="n"/>
      <c r="H3136" s="24" t="n"/>
      <c r="I3136" s="30" t="n"/>
      <c r="J3136" s="23">
        <f>IF(OR($H3136="",$I3136=""),"",$H3136*$I3136)</f>
        <v/>
      </c>
      <c r="K3136" s="24" t="n"/>
      <c r="L3136" s="24" t="n"/>
      <c r="M3136" s="29" t="n"/>
      <c r="N3136" s="28" t="n"/>
      <c r="O3136" s="24" t="n"/>
      <c r="P3136" s="24" t="n"/>
      <c r="Q3136" s="24" t="n"/>
      <c r="R3136" s="24" t="n"/>
      <c r="S3136" s="22">
        <f>IF(AND($A3136="",$C3136=""),"",IF($A3136="","Thiếu mã đơn; ","")&amp;IF(COUNTIF($A$2:$A3136,$A3136)&gt;1,"Trùng mã đơn; ","")&amp;IF(ISNA(MATCH($C3136,DATA_MASTER!$D$2:$D$5000,0)),"SĐT chưa đăng ký hội viên; ","")&amp;IF(AND($L3136="Đã chuyển khoản",$M3136=""),"Thiếu ngày nhận CK; ",""))</f>
        <v/>
      </c>
      <c r="T3136" s="24" t="n"/>
    </row>
    <row r="3137" ht="14.25" customHeight="1" s="40">
      <c r="A3137" s="24" t="n"/>
      <c r="B3137" s="29" t="n"/>
      <c r="C3137" s="28" t="n"/>
      <c r="D3137" s="22">
        <f t="array" ref="D3137">IF($C3137="","",IFERROR(INDEX(DATA_MASTER!$C$2:$C$5000,MATCH($C3137,DATA_MASTER!$D$2:$D$5000,0)),""))</f>
        <v/>
      </c>
      <c r="E3137" s="22">
        <f t="array" ref="E3137">IF($C3137="","",IFERROR(INDEX(DATA_MASTER!$I$2:$I$5000,MATCH($C3137,DATA_MASTER!$D$2:$D$5000,0)),""))</f>
        <v/>
      </c>
      <c r="F3137" s="22">
        <f t="array" ref="F3137">IF($C3137="","",IFERROR(INDEX(DATA_MASTER!$L$2:$L$5000,MATCH($C3137,DATA_MASTER!$D$2:$D$5000,0)),""))</f>
        <v/>
      </c>
      <c r="G3137" s="24" t="n"/>
      <c r="H3137" s="24" t="n"/>
      <c r="I3137" s="30" t="n"/>
      <c r="J3137" s="23">
        <f>IF(OR($H3137="",$I3137=""),"",$H3137*$I3137)</f>
        <v/>
      </c>
      <c r="K3137" s="24" t="n"/>
      <c r="L3137" s="24" t="n"/>
      <c r="M3137" s="29" t="n"/>
      <c r="N3137" s="28" t="n"/>
      <c r="O3137" s="24" t="n"/>
      <c r="P3137" s="24" t="n"/>
      <c r="Q3137" s="24" t="n"/>
      <c r="R3137" s="24" t="n"/>
      <c r="S3137" s="22">
        <f>IF(AND($A3137="",$C3137=""),"",IF($A3137="","Thiếu mã đơn; ","")&amp;IF(COUNTIF($A$2:$A3137,$A3137)&gt;1,"Trùng mã đơn; ","")&amp;IF(ISNA(MATCH($C3137,DATA_MASTER!$D$2:$D$5000,0)),"SĐT chưa đăng ký hội viên; ","")&amp;IF(AND($L3137="Đã chuyển khoản",$M3137=""),"Thiếu ngày nhận CK; ",""))</f>
        <v/>
      </c>
      <c r="T3137" s="24" t="n"/>
    </row>
    <row r="3138" ht="14.25" customHeight="1" s="40">
      <c r="A3138" s="24" t="n"/>
      <c r="B3138" s="29" t="n"/>
      <c r="C3138" s="28" t="n"/>
      <c r="D3138" s="22">
        <f t="array" ref="D3138">IF($C3138="","",IFERROR(INDEX(DATA_MASTER!$C$2:$C$5000,MATCH($C3138,DATA_MASTER!$D$2:$D$5000,0)),""))</f>
        <v/>
      </c>
      <c r="E3138" s="22">
        <f t="array" ref="E3138">IF($C3138="","",IFERROR(INDEX(DATA_MASTER!$I$2:$I$5000,MATCH($C3138,DATA_MASTER!$D$2:$D$5000,0)),""))</f>
        <v/>
      </c>
      <c r="F3138" s="22">
        <f t="array" ref="F3138">IF($C3138="","",IFERROR(INDEX(DATA_MASTER!$L$2:$L$5000,MATCH($C3138,DATA_MASTER!$D$2:$D$5000,0)),""))</f>
        <v/>
      </c>
      <c r="G3138" s="24" t="n"/>
      <c r="H3138" s="24" t="n"/>
      <c r="I3138" s="30" t="n"/>
      <c r="J3138" s="23">
        <f>IF(OR($H3138="",$I3138=""),"",$H3138*$I3138)</f>
        <v/>
      </c>
      <c r="K3138" s="24" t="n"/>
      <c r="L3138" s="24" t="n"/>
      <c r="M3138" s="29" t="n"/>
      <c r="N3138" s="28" t="n"/>
      <c r="O3138" s="24" t="n"/>
      <c r="P3138" s="24" t="n"/>
      <c r="Q3138" s="24" t="n"/>
      <c r="R3138" s="24" t="n"/>
      <c r="S3138" s="22">
        <f>IF(AND($A3138="",$C3138=""),"",IF($A3138="","Thiếu mã đơn; ","")&amp;IF(COUNTIF($A$2:$A3138,$A3138)&gt;1,"Trùng mã đơn; ","")&amp;IF(ISNA(MATCH($C3138,DATA_MASTER!$D$2:$D$5000,0)),"SĐT chưa đăng ký hội viên; ","")&amp;IF(AND($L3138="Đã chuyển khoản",$M3138=""),"Thiếu ngày nhận CK; ",""))</f>
        <v/>
      </c>
      <c r="T3138" s="24" t="n"/>
    </row>
    <row r="3139" ht="14.25" customHeight="1" s="40">
      <c r="A3139" s="24" t="n"/>
      <c r="B3139" s="29" t="n"/>
      <c r="C3139" s="28" t="n"/>
      <c r="D3139" s="22">
        <f t="array" ref="D3139">IF($C3139="","",IFERROR(INDEX(DATA_MASTER!$C$2:$C$5000,MATCH($C3139,DATA_MASTER!$D$2:$D$5000,0)),""))</f>
        <v/>
      </c>
      <c r="E3139" s="22">
        <f t="array" ref="E3139">IF($C3139="","",IFERROR(INDEX(DATA_MASTER!$I$2:$I$5000,MATCH($C3139,DATA_MASTER!$D$2:$D$5000,0)),""))</f>
        <v/>
      </c>
      <c r="F3139" s="22">
        <f t="array" ref="F3139">IF($C3139="","",IFERROR(INDEX(DATA_MASTER!$L$2:$L$5000,MATCH($C3139,DATA_MASTER!$D$2:$D$5000,0)),""))</f>
        <v/>
      </c>
      <c r="G3139" s="24" t="n"/>
      <c r="H3139" s="24" t="n"/>
      <c r="I3139" s="30" t="n"/>
      <c r="J3139" s="23">
        <f>IF(OR($H3139="",$I3139=""),"",$H3139*$I3139)</f>
        <v/>
      </c>
      <c r="K3139" s="24" t="n"/>
      <c r="L3139" s="24" t="n"/>
      <c r="M3139" s="29" t="n"/>
      <c r="N3139" s="28" t="n"/>
      <c r="O3139" s="24" t="n"/>
      <c r="P3139" s="24" t="n"/>
      <c r="Q3139" s="24" t="n"/>
      <c r="R3139" s="24" t="n"/>
      <c r="S3139" s="22">
        <f>IF(AND($A3139="",$C3139=""),"",IF($A3139="","Thiếu mã đơn; ","")&amp;IF(COUNTIF($A$2:$A3139,$A3139)&gt;1,"Trùng mã đơn; ","")&amp;IF(ISNA(MATCH($C3139,DATA_MASTER!$D$2:$D$5000,0)),"SĐT chưa đăng ký hội viên; ","")&amp;IF(AND($L3139="Đã chuyển khoản",$M3139=""),"Thiếu ngày nhận CK; ",""))</f>
        <v/>
      </c>
      <c r="T3139" s="24" t="n"/>
    </row>
    <row r="3140" ht="14.25" customHeight="1" s="40">
      <c r="A3140" s="24" t="n"/>
      <c r="B3140" s="29" t="n"/>
      <c r="C3140" s="28" t="n"/>
      <c r="D3140" s="22">
        <f t="array" ref="D3140">IF($C3140="","",IFERROR(INDEX(DATA_MASTER!$C$2:$C$5000,MATCH($C3140,DATA_MASTER!$D$2:$D$5000,0)),""))</f>
        <v/>
      </c>
      <c r="E3140" s="22">
        <f t="array" ref="E3140">IF($C3140="","",IFERROR(INDEX(DATA_MASTER!$I$2:$I$5000,MATCH($C3140,DATA_MASTER!$D$2:$D$5000,0)),""))</f>
        <v/>
      </c>
      <c r="F3140" s="22">
        <f t="array" ref="F3140">IF($C3140="","",IFERROR(INDEX(DATA_MASTER!$L$2:$L$5000,MATCH($C3140,DATA_MASTER!$D$2:$D$5000,0)),""))</f>
        <v/>
      </c>
      <c r="G3140" s="24" t="n"/>
      <c r="H3140" s="24" t="n"/>
      <c r="I3140" s="30" t="n"/>
      <c r="J3140" s="23">
        <f>IF(OR($H3140="",$I3140=""),"",$H3140*$I3140)</f>
        <v/>
      </c>
      <c r="K3140" s="24" t="n"/>
      <c r="L3140" s="24" t="n"/>
      <c r="M3140" s="29" t="n"/>
      <c r="N3140" s="28" t="n"/>
      <c r="O3140" s="24" t="n"/>
      <c r="P3140" s="24" t="n"/>
      <c r="Q3140" s="24" t="n"/>
      <c r="R3140" s="24" t="n"/>
      <c r="S3140" s="22">
        <f>IF(AND($A3140="",$C3140=""),"",IF($A3140="","Thiếu mã đơn; ","")&amp;IF(COUNTIF($A$2:$A3140,$A3140)&gt;1,"Trùng mã đơn; ","")&amp;IF(ISNA(MATCH($C3140,DATA_MASTER!$D$2:$D$5000,0)),"SĐT chưa đăng ký hội viên; ","")&amp;IF(AND($L3140="Đã chuyển khoản",$M3140=""),"Thiếu ngày nhận CK; ",""))</f>
        <v/>
      </c>
      <c r="T3140" s="24" t="n"/>
    </row>
    <row r="3141" ht="14.25" customHeight="1" s="40">
      <c r="A3141" s="24" t="n"/>
      <c r="B3141" s="29" t="n"/>
      <c r="C3141" s="28" t="n"/>
      <c r="D3141" s="22">
        <f t="array" ref="D3141">IF($C3141="","",IFERROR(INDEX(DATA_MASTER!$C$2:$C$5000,MATCH($C3141,DATA_MASTER!$D$2:$D$5000,0)),""))</f>
        <v/>
      </c>
      <c r="E3141" s="22">
        <f t="array" ref="E3141">IF($C3141="","",IFERROR(INDEX(DATA_MASTER!$I$2:$I$5000,MATCH($C3141,DATA_MASTER!$D$2:$D$5000,0)),""))</f>
        <v/>
      </c>
      <c r="F3141" s="22">
        <f t="array" ref="F3141">IF($C3141="","",IFERROR(INDEX(DATA_MASTER!$L$2:$L$5000,MATCH($C3141,DATA_MASTER!$D$2:$D$5000,0)),""))</f>
        <v/>
      </c>
      <c r="G3141" s="24" t="n"/>
      <c r="H3141" s="24" t="n"/>
      <c r="I3141" s="30" t="n"/>
      <c r="J3141" s="23">
        <f>IF(OR($H3141="",$I3141=""),"",$H3141*$I3141)</f>
        <v/>
      </c>
      <c r="K3141" s="24" t="n"/>
      <c r="L3141" s="24" t="n"/>
      <c r="M3141" s="29" t="n"/>
      <c r="N3141" s="28" t="n"/>
      <c r="O3141" s="24" t="n"/>
      <c r="P3141" s="24" t="n"/>
      <c r="Q3141" s="24" t="n"/>
      <c r="R3141" s="24" t="n"/>
      <c r="S3141" s="22">
        <f>IF(AND($A3141="",$C3141=""),"",IF($A3141="","Thiếu mã đơn; ","")&amp;IF(COUNTIF($A$2:$A3141,$A3141)&gt;1,"Trùng mã đơn; ","")&amp;IF(ISNA(MATCH($C3141,DATA_MASTER!$D$2:$D$5000,0)),"SĐT chưa đăng ký hội viên; ","")&amp;IF(AND($L3141="Đã chuyển khoản",$M3141=""),"Thiếu ngày nhận CK; ",""))</f>
        <v/>
      </c>
      <c r="T3141" s="24" t="n"/>
    </row>
    <row r="3142" ht="14.25" customHeight="1" s="40">
      <c r="A3142" s="24" t="n"/>
      <c r="B3142" s="29" t="n"/>
      <c r="C3142" s="28" t="n"/>
      <c r="D3142" s="22">
        <f t="array" ref="D3142">IF($C3142="","",IFERROR(INDEX(DATA_MASTER!$C$2:$C$5000,MATCH($C3142,DATA_MASTER!$D$2:$D$5000,0)),""))</f>
        <v/>
      </c>
      <c r="E3142" s="22">
        <f t="array" ref="E3142">IF($C3142="","",IFERROR(INDEX(DATA_MASTER!$I$2:$I$5000,MATCH($C3142,DATA_MASTER!$D$2:$D$5000,0)),""))</f>
        <v/>
      </c>
      <c r="F3142" s="22">
        <f t="array" ref="F3142">IF($C3142="","",IFERROR(INDEX(DATA_MASTER!$L$2:$L$5000,MATCH($C3142,DATA_MASTER!$D$2:$D$5000,0)),""))</f>
        <v/>
      </c>
      <c r="G3142" s="24" t="n"/>
      <c r="H3142" s="24" t="n"/>
      <c r="I3142" s="30" t="n"/>
      <c r="J3142" s="23">
        <f>IF(OR($H3142="",$I3142=""),"",$H3142*$I3142)</f>
        <v/>
      </c>
      <c r="K3142" s="24" t="n"/>
      <c r="L3142" s="24" t="n"/>
      <c r="M3142" s="29" t="n"/>
      <c r="N3142" s="28" t="n"/>
      <c r="O3142" s="24" t="n"/>
      <c r="P3142" s="24" t="n"/>
      <c r="Q3142" s="24" t="n"/>
      <c r="R3142" s="24" t="n"/>
      <c r="S3142" s="22">
        <f>IF(AND($A3142="",$C3142=""),"",IF($A3142="","Thiếu mã đơn; ","")&amp;IF(COUNTIF($A$2:$A3142,$A3142)&gt;1,"Trùng mã đơn; ","")&amp;IF(ISNA(MATCH($C3142,DATA_MASTER!$D$2:$D$5000,0)),"SĐT chưa đăng ký hội viên; ","")&amp;IF(AND($L3142="Đã chuyển khoản",$M3142=""),"Thiếu ngày nhận CK; ",""))</f>
        <v/>
      </c>
      <c r="T3142" s="24" t="n"/>
    </row>
    <row r="3143" ht="14.25" customHeight="1" s="40">
      <c r="A3143" s="24" t="n"/>
      <c r="B3143" s="29" t="n"/>
      <c r="C3143" s="28" t="n"/>
      <c r="D3143" s="22">
        <f t="array" ref="D3143">IF($C3143="","",IFERROR(INDEX(DATA_MASTER!$C$2:$C$5000,MATCH($C3143,DATA_MASTER!$D$2:$D$5000,0)),""))</f>
        <v/>
      </c>
      <c r="E3143" s="22">
        <f t="array" ref="E3143">IF($C3143="","",IFERROR(INDEX(DATA_MASTER!$I$2:$I$5000,MATCH($C3143,DATA_MASTER!$D$2:$D$5000,0)),""))</f>
        <v/>
      </c>
      <c r="F3143" s="22">
        <f t="array" ref="F3143">IF($C3143="","",IFERROR(INDEX(DATA_MASTER!$L$2:$L$5000,MATCH($C3143,DATA_MASTER!$D$2:$D$5000,0)),""))</f>
        <v/>
      </c>
      <c r="G3143" s="24" t="n"/>
      <c r="H3143" s="24" t="n"/>
      <c r="I3143" s="30" t="n"/>
      <c r="J3143" s="23">
        <f>IF(OR($H3143="",$I3143=""),"",$H3143*$I3143)</f>
        <v/>
      </c>
      <c r="K3143" s="24" t="n"/>
      <c r="L3143" s="24" t="n"/>
      <c r="M3143" s="29" t="n"/>
      <c r="N3143" s="28" t="n"/>
      <c r="O3143" s="24" t="n"/>
      <c r="P3143" s="24" t="n"/>
      <c r="Q3143" s="24" t="n"/>
      <c r="R3143" s="24" t="n"/>
      <c r="S3143" s="22">
        <f>IF(AND($A3143="",$C3143=""),"",IF($A3143="","Thiếu mã đơn; ","")&amp;IF(COUNTIF($A$2:$A3143,$A3143)&gt;1,"Trùng mã đơn; ","")&amp;IF(ISNA(MATCH($C3143,DATA_MASTER!$D$2:$D$5000,0)),"SĐT chưa đăng ký hội viên; ","")&amp;IF(AND($L3143="Đã chuyển khoản",$M3143=""),"Thiếu ngày nhận CK; ",""))</f>
        <v/>
      </c>
      <c r="T3143" s="24" t="n"/>
    </row>
    <row r="3144" ht="14.25" customHeight="1" s="40">
      <c r="A3144" s="24" t="n"/>
      <c r="B3144" s="29" t="n"/>
      <c r="C3144" s="28" t="n"/>
      <c r="D3144" s="22">
        <f t="array" ref="D3144">IF($C3144="","",IFERROR(INDEX(DATA_MASTER!$C$2:$C$5000,MATCH($C3144,DATA_MASTER!$D$2:$D$5000,0)),""))</f>
        <v/>
      </c>
      <c r="E3144" s="22">
        <f t="array" ref="E3144">IF($C3144="","",IFERROR(INDEX(DATA_MASTER!$I$2:$I$5000,MATCH($C3144,DATA_MASTER!$D$2:$D$5000,0)),""))</f>
        <v/>
      </c>
      <c r="F3144" s="22">
        <f t="array" ref="F3144">IF($C3144="","",IFERROR(INDEX(DATA_MASTER!$L$2:$L$5000,MATCH($C3144,DATA_MASTER!$D$2:$D$5000,0)),""))</f>
        <v/>
      </c>
      <c r="G3144" s="24" t="n"/>
      <c r="H3144" s="24" t="n"/>
      <c r="I3144" s="30" t="n"/>
      <c r="J3144" s="23">
        <f>IF(OR($H3144="",$I3144=""),"",$H3144*$I3144)</f>
        <v/>
      </c>
      <c r="K3144" s="24" t="n"/>
      <c r="L3144" s="24" t="n"/>
      <c r="M3144" s="29" t="n"/>
      <c r="N3144" s="28" t="n"/>
      <c r="O3144" s="24" t="n"/>
      <c r="P3144" s="24" t="n"/>
      <c r="Q3144" s="24" t="n"/>
      <c r="R3144" s="24" t="n"/>
      <c r="S3144" s="22">
        <f>IF(AND($A3144="",$C3144=""),"",IF($A3144="","Thiếu mã đơn; ","")&amp;IF(COUNTIF($A$2:$A3144,$A3144)&gt;1,"Trùng mã đơn; ","")&amp;IF(ISNA(MATCH($C3144,DATA_MASTER!$D$2:$D$5000,0)),"SĐT chưa đăng ký hội viên; ","")&amp;IF(AND($L3144="Đã chuyển khoản",$M3144=""),"Thiếu ngày nhận CK; ",""))</f>
        <v/>
      </c>
      <c r="T3144" s="24" t="n"/>
    </row>
    <row r="3145" ht="14.25" customHeight="1" s="40">
      <c r="A3145" s="24" t="n"/>
      <c r="B3145" s="29" t="n"/>
      <c r="C3145" s="28" t="n"/>
      <c r="D3145" s="22">
        <f t="array" ref="D3145">IF($C3145="","",IFERROR(INDEX(DATA_MASTER!$C$2:$C$5000,MATCH($C3145,DATA_MASTER!$D$2:$D$5000,0)),""))</f>
        <v/>
      </c>
      <c r="E3145" s="22">
        <f t="array" ref="E3145">IF($C3145="","",IFERROR(INDEX(DATA_MASTER!$I$2:$I$5000,MATCH($C3145,DATA_MASTER!$D$2:$D$5000,0)),""))</f>
        <v/>
      </c>
      <c r="F3145" s="22">
        <f t="array" ref="F3145">IF($C3145="","",IFERROR(INDEX(DATA_MASTER!$L$2:$L$5000,MATCH($C3145,DATA_MASTER!$D$2:$D$5000,0)),""))</f>
        <v/>
      </c>
      <c r="G3145" s="24" t="n"/>
      <c r="H3145" s="24" t="n"/>
      <c r="I3145" s="30" t="n"/>
      <c r="J3145" s="23">
        <f>IF(OR($H3145="",$I3145=""),"",$H3145*$I3145)</f>
        <v/>
      </c>
      <c r="K3145" s="24" t="n"/>
      <c r="L3145" s="24" t="n"/>
      <c r="M3145" s="29" t="n"/>
      <c r="N3145" s="28" t="n"/>
      <c r="O3145" s="24" t="n"/>
      <c r="P3145" s="24" t="n"/>
      <c r="Q3145" s="24" t="n"/>
      <c r="R3145" s="24" t="n"/>
      <c r="S3145" s="22">
        <f>IF(AND($A3145="",$C3145=""),"",IF($A3145="","Thiếu mã đơn; ","")&amp;IF(COUNTIF($A$2:$A3145,$A3145)&gt;1,"Trùng mã đơn; ","")&amp;IF(ISNA(MATCH($C3145,DATA_MASTER!$D$2:$D$5000,0)),"SĐT chưa đăng ký hội viên; ","")&amp;IF(AND($L3145="Đã chuyển khoản",$M3145=""),"Thiếu ngày nhận CK; ",""))</f>
        <v/>
      </c>
      <c r="T3145" s="24" t="n"/>
    </row>
    <row r="3146" ht="14.25" customHeight="1" s="40">
      <c r="A3146" s="24" t="n"/>
      <c r="B3146" s="29" t="n"/>
      <c r="C3146" s="28" t="n"/>
      <c r="D3146" s="22">
        <f t="array" ref="D3146">IF($C3146="","",IFERROR(INDEX(DATA_MASTER!$C$2:$C$5000,MATCH($C3146,DATA_MASTER!$D$2:$D$5000,0)),""))</f>
        <v/>
      </c>
      <c r="E3146" s="22">
        <f t="array" ref="E3146">IF($C3146="","",IFERROR(INDEX(DATA_MASTER!$I$2:$I$5000,MATCH($C3146,DATA_MASTER!$D$2:$D$5000,0)),""))</f>
        <v/>
      </c>
      <c r="F3146" s="22">
        <f t="array" ref="F3146">IF($C3146="","",IFERROR(INDEX(DATA_MASTER!$L$2:$L$5000,MATCH($C3146,DATA_MASTER!$D$2:$D$5000,0)),""))</f>
        <v/>
      </c>
      <c r="G3146" s="24" t="n"/>
      <c r="H3146" s="24" t="n"/>
      <c r="I3146" s="30" t="n"/>
      <c r="J3146" s="23">
        <f>IF(OR($H3146="",$I3146=""),"",$H3146*$I3146)</f>
        <v/>
      </c>
      <c r="K3146" s="24" t="n"/>
      <c r="L3146" s="24" t="n"/>
      <c r="M3146" s="29" t="n"/>
      <c r="N3146" s="28" t="n"/>
      <c r="O3146" s="24" t="n"/>
      <c r="P3146" s="24" t="n"/>
      <c r="Q3146" s="24" t="n"/>
      <c r="R3146" s="24" t="n"/>
      <c r="S3146" s="22">
        <f>IF(AND($A3146="",$C3146=""),"",IF($A3146="","Thiếu mã đơn; ","")&amp;IF(COUNTIF($A$2:$A3146,$A3146)&gt;1,"Trùng mã đơn; ","")&amp;IF(ISNA(MATCH($C3146,DATA_MASTER!$D$2:$D$5000,0)),"SĐT chưa đăng ký hội viên; ","")&amp;IF(AND($L3146="Đã chuyển khoản",$M3146=""),"Thiếu ngày nhận CK; ",""))</f>
        <v/>
      </c>
      <c r="T3146" s="24" t="n"/>
    </row>
    <row r="3147" ht="14.25" customHeight="1" s="40">
      <c r="A3147" s="24" t="n"/>
      <c r="B3147" s="29" t="n"/>
      <c r="C3147" s="28" t="n"/>
      <c r="D3147" s="22">
        <f t="array" ref="D3147">IF($C3147="","",IFERROR(INDEX(DATA_MASTER!$C$2:$C$5000,MATCH($C3147,DATA_MASTER!$D$2:$D$5000,0)),""))</f>
        <v/>
      </c>
      <c r="E3147" s="22">
        <f t="array" ref="E3147">IF($C3147="","",IFERROR(INDEX(DATA_MASTER!$I$2:$I$5000,MATCH($C3147,DATA_MASTER!$D$2:$D$5000,0)),""))</f>
        <v/>
      </c>
      <c r="F3147" s="22">
        <f t="array" ref="F3147">IF($C3147="","",IFERROR(INDEX(DATA_MASTER!$L$2:$L$5000,MATCH($C3147,DATA_MASTER!$D$2:$D$5000,0)),""))</f>
        <v/>
      </c>
      <c r="G3147" s="24" t="n"/>
      <c r="H3147" s="24" t="n"/>
      <c r="I3147" s="30" t="n"/>
      <c r="J3147" s="23">
        <f>IF(OR($H3147="",$I3147=""),"",$H3147*$I3147)</f>
        <v/>
      </c>
      <c r="K3147" s="24" t="n"/>
      <c r="L3147" s="24" t="n"/>
      <c r="M3147" s="29" t="n"/>
      <c r="N3147" s="28" t="n"/>
      <c r="O3147" s="24" t="n"/>
      <c r="P3147" s="24" t="n"/>
      <c r="Q3147" s="24" t="n"/>
      <c r="R3147" s="24" t="n"/>
      <c r="S3147" s="22">
        <f>IF(AND($A3147="",$C3147=""),"",IF($A3147="","Thiếu mã đơn; ","")&amp;IF(COUNTIF($A$2:$A3147,$A3147)&gt;1,"Trùng mã đơn; ","")&amp;IF(ISNA(MATCH($C3147,DATA_MASTER!$D$2:$D$5000,0)),"SĐT chưa đăng ký hội viên; ","")&amp;IF(AND($L3147="Đã chuyển khoản",$M3147=""),"Thiếu ngày nhận CK; ",""))</f>
        <v/>
      </c>
      <c r="T3147" s="24" t="n"/>
    </row>
    <row r="3148" ht="14.25" customHeight="1" s="40">
      <c r="A3148" s="24" t="n"/>
      <c r="B3148" s="29" t="n"/>
      <c r="C3148" s="28" t="n"/>
      <c r="D3148" s="22">
        <f t="array" ref="D3148">IF($C3148="","",IFERROR(INDEX(DATA_MASTER!$C$2:$C$5000,MATCH($C3148,DATA_MASTER!$D$2:$D$5000,0)),""))</f>
        <v/>
      </c>
      <c r="E3148" s="22">
        <f t="array" ref="E3148">IF($C3148="","",IFERROR(INDEX(DATA_MASTER!$I$2:$I$5000,MATCH($C3148,DATA_MASTER!$D$2:$D$5000,0)),""))</f>
        <v/>
      </c>
      <c r="F3148" s="22">
        <f t="array" ref="F3148">IF($C3148="","",IFERROR(INDEX(DATA_MASTER!$L$2:$L$5000,MATCH($C3148,DATA_MASTER!$D$2:$D$5000,0)),""))</f>
        <v/>
      </c>
      <c r="G3148" s="24" t="n"/>
      <c r="H3148" s="24" t="n"/>
      <c r="I3148" s="30" t="n"/>
      <c r="J3148" s="23">
        <f>IF(OR($H3148="",$I3148=""),"",$H3148*$I3148)</f>
        <v/>
      </c>
      <c r="K3148" s="24" t="n"/>
      <c r="L3148" s="24" t="n"/>
      <c r="M3148" s="29" t="n"/>
      <c r="N3148" s="28" t="n"/>
      <c r="O3148" s="24" t="n"/>
      <c r="P3148" s="24" t="n"/>
      <c r="Q3148" s="24" t="n"/>
      <c r="R3148" s="24" t="n"/>
      <c r="S3148" s="22">
        <f>IF(AND($A3148="",$C3148=""),"",IF($A3148="","Thiếu mã đơn; ","")&amp;IF(COUNTIF($A$2:$A3148,$A3148)&gt;1,"Trùng mã đơn; ","")&amp;IF(ISNA(MATCH($C3148,DATA_MASTER!$D$2:$D$5000,0)),"SĐT chưa đăng ký hội viên; ","")&amp;IF(AND($L3148="Đã chuyển khoản",$M3148=""),"Thiếu ngày nhận CK; ",""))</f>
        <v/>
      </c>
      <c r="T3148" s="24" t="n"/>
    </row>
    <row r="3149" ht="14.25" customHeight="1" s="40">
      <c r="A3149" s="24" t="n"/>
      <c r="B3149" s="29" t="n"/>
      <c r="C3149" s="28" t="n"/>
      <c r="D3149" s="22">
        <f t="array" ref="D3149">IF($C3149="","",IFERROR(INDEX(DATA_MASTER!$C$2:$C$5000,MATCH($C3149,DATA_MASTER!$D$2:$D$5000,0)),""))</f>
        <v/>
      </c>
      <c r="E3149" s="22">
        <f t="array" ref="E3149">IF($C3149="","",IFERROR(INDEX(DATA_MASTER!$I$2:$I$5000,MATCH($C3149,DATA_MASTER!$D$2:$D$5000,0)),""))</f>
        <v/>
      </c>
      <c r="F3149" s="22">
        <f t="array" ref="F3149">IF($C3149="","",IFERROR(INDEX(DATA_MASTER!$L$2:$L$5000,MATCH($C3149,DATA_MASTER!$D$2:$D$5000,0)),""))</f>
        <v/>
      </c>
      <c r="G3149" s="24" t="n"/>
      <c r="H3149" s="24" t="n"/>
      <c r="I3149" s="30" t="n"/>
      <c r="J3149" s="23">
        <f>IF(OR($H3149="",$I3149=""),"",$H3149*$I3149)</f>
        <v/>
      </c>
      <c r="K3149" s="24" t="n"/>
      <c r="L3149" s="24" t="n"/>
      <c r="M3149" s="29" t="n"/>
      <c r="N3149" s="28" t="n"/>
      <c r="O3149" s="24" t="n"/>
      <c r="P3149" s="24" t="n"/>
      <c r="Q3149" s="24" t="n"/>
      <c r="R3149" s="24" t="n"/>
      <c r="S3149" s="22">
        <f>IF(AND($A3149="",$C3149=""),"",IF($A3149="","Thiếu mã đơn; ","")&amp;IF(COUNTIF($A$2:$A3149,$A3149)&gt;1,"Trùng mã đơn; ","")&amp;IF(ISNA(MATCH($C3149,DATA_MASTER!$D$2:$D$5000,0)),"SĐT chưa đăng ký hội viên; ","")&amp;IF(AND($L3149="Đã chuyển khoản",$M3149=""),"Thiếu ngày nhận CK; ",""))</f>
        <v/>
      </c>
      <c r="T3149" s="24" t="n"/>
    </row>
    <row r="3150" ht="14.25" customHeight="1" s="40">
      <c r="A3150" s="24" t="n"/>
      <c r="B3150" s="29" t="n"/>
      <c r="C3150" s="28" t="n"/>
      <c r="D3150" s="22">
        <f t="array" ref="D3150">IF($C3150="","",IFERROR(INDEX(DATA_MASTER!$C$2:$C$5000,MATCH($C3150,DATA_MASTER!$D$2:$D$5000,0)),""))</f>
        <v/>
      </c>
      <c r="E3150" s="22">
        <f t="array" ref="E3150">IF($C3150="","",IFERROR(INDEX(DATA_MASTER!$I$2:$I$5000,MATCH($C3150,DATA_MASTER!$D$2:$D$5000,0)),""))</f>
        <v/>
      </c>
      <c r="F3150" s="22">
        <f t="array" ref="F3150">IF($C3150="","",IFERROR(INDEX(DATA_MASTER!$L$2:$L$5000,MATCH($C3150,DATA_MASTER!$D$2:$D$5000,0)),""))</f>
        <v/>
      </c>
      <c r="G3150" s="24" t="n"/>
      <c r="H3150" s="24" t="n"/>
      <c r="I3150" s="30" t="n"/>
      <c r="J3150" s="23">
        <f>IF(OR($H3150="",$I3150=""),"",$H3150*$I3150)</f>
        <v/>
      </c>
      <c r="K3150" s="24" t="n"/>
      <c r="L3150" s="24" t="n"/>
      <c r="M3150" s="29" t="n"/>
      <c r="N3150" s="28" t="n"/>
      <c r="O3150" s="24" t="n"/>
      <c r="P3150" s="24" t="n"/>
      <c r="Q3150" s="24" t="n"/>
      <c r="R3150" s="24" t="n"/>
      <c r="S3150" s="22">
        <f>IF(AND($A3150="",$C3150=""),"",IF($A3150="","Thiếu mã đơn; ","")&amp;IF(COUNTIF($A$2:$A3150,$A3150)&gt;1,"Trùng mã đơn; ","")&amp;IF(ISNA(MATCH($C3150,DATA_MASTER!$D$2:$D$5000,0)),"SĐT chưa đăng ký hội viên; ","")&amp;IF(AND($L3150="Đã chuyển khoản",$M3150=""),"Thiếu ngày nhận CK; ",""))</f>
        <v/>
      </c>
      <c r="T3150" s="24" t="n"/>
    </row>
    <row r="3151" ht="14.25" customHeight="1" s="40">
      <c r="A3151" s="24" t="n"/>
      <c r="B3151" s="29" t="n"/>
      <c r="C3151" s="28" t="n"/>
      <c r="D3151" s="22">
        <f t="array" ref="D3151">IF($C3151="","",IFERROR(INDEX(DATA_MASTER!$C$2:$C$5000,MATCH($C3151,DATA_MASTER!$D$2:$D$5000,0)),""))</f>
        <v/>
      </c>
      <c r="E3151" s="22">
        <f t="array" ref="E3151">IF($C3151="","",IFERROR(INDEX(DATA_MASTER!$I$2:$I$5000,MATCH($C3151,DATA_MASTER!$D$2:$D$5000,0)),""))</f>
        <v/>
      </c>
      <c r="F3151" s="22">
        <f t="array" ref="F3151">IF($C3151="","",IFERROR(INDEX(DATA_MASTER!$L$2:$L$5000,MATCH($C3151,DATA_MASTER!$D$2:$D$5000,0)),""))</f>
        <v/>
      </c>
      <c r="G3151" s="24" t="n"/>
      <c r="H3151" s="24" t="n"/>
      <c r="I3151" s="30" t="n"/>
      <c r="J3151" s="23">
        <f>IF(OR($H3151="",$I3151=""),"",$H3151*$I3151)</f>
        <v/>
      </c>
      <c r="K3151" s="24" t="n"/>
      <c r="L3151" s="24" t="n"/>
      <c r="M3151" s="29" t="n"/>
      <c r="N3151" s="28" t="n"/>
      <c r="O3151" s="24" t="n"/>
      <c r="P3151" s="24" t="n"/>
      <c r="Q3151" s="24" t="n"/>
      <c r="R3151" s="24" t="n"/>
      <c r="S3151" s="22">
        <f>IF(AND($A3151="",$C3151=""),"",IF($A3151="","Thiếu mã đơn; ","")&amp;IF(COUNTIF($A$2:$A3151,$A3151)&gt;1,"Trùng mã đơn; ","")&amp;IF(ISNA(MATCH($C3151,DATA_MASTER!$D$2:$D$5000,0)),"SĐT chưa đăng ký hội viên; ","")&amp;IF(AND($L3151="Đã chuyển khoản",$M3151=""),"Thiếu ngày nhận CK; ",""))</f>
        <v/>
      </c>
      <c r="T3151" s="24" t="n"/>
    </row>
    <row r="3152" ht="14.25" customHeight="1" s="40">
      <c r="A3152" s="24" t="n"/>
      <c r="B3152" s="29" t="n"/>
      <c r="C3152" s="28" t="n"/>
      <c r="D3152" s="22">
        <f t="array" ref="D3152">IF($C3152="","",IFERROR(INDEX(DATA_MASTER!$C$2:$C$5000,MATCH($C3152,DATA_MASTER!$D$2:$D$5000,0)),""))</f>
        <v/>
      </c>
      <c r="E3152" s="22">
        <f t="array" ref="E3152">IF($C3152="","",IFERROR(INDEX(DATA_MASTER!$I$2:$I$5000,MATCH($C3152,DATA_MASTER!$D$2:$D$5000,0)),""))</f>
        <v/>
      </c>
      <c r="F3152" s="22">
        <f t="array" ref="F3152">IF($C3152="","",IFERROR(INDEX(DATA_MASTER!$L$2:$L$5000,MATCH($C3152,DATA_MASTER!$D$2:$D$5000,0)),""))</f>
        <v/>
      </c>
      <c r="G3152" s="24" t="n"/>
      <c r="H3152" s="24" t="n"/>
      <c r="I3152" s="30" t="n"/>
      <c r="J3152" s="23">
        <f>IF(OR($H3152="",$I3152=""),"",$H3152*$I3152)</f>
        <v/>
      </c>
      <c r="K3152" s="24" t="n"/>
      <c r="L3152" s="24" t="n"/>
      <c r="M3152" s="29" t="n"/>
      <c r="N3152" s="28" t="n"/>
      <c r="O3152" s="24" t="n"/>
      <c r="P3152" s="24" t="n"/>
      <c r="Q3152" s="24" t="n"/>
      <c r="R3152" s="24" t="n"/>
      <c r="S3152" s="22">
        <f>IF(AND($A3152="",$C3152=""),"",IF($A3152="","Thiếu mã đơn; ","")&amp;IF(COUNTIF($A$2:$A3152,$A3152)&gt;1,"Trùng mã đơn; ","")&amp;IF(ISNA(MATCH($C3152,DATA_MASTER!$D$2:$D$5000,0)),"SĐT chưa đăng ký hội viên; ","")&amp;IF(AND($L3152="Đã chuyển khoản",$M3152=""),"Thiếu ngày nhận CK; ",""))</f>
        <v/>
      </c>
      <c r="T3152" s="24" t="n"/>
    </row>
    <row r="3153" ht="14.25" customHeight="1" s="40">
      <c r="A3153" s="24" t="n"/>
      <c r="B3153" s="29" t="n"/>
      <c r="C3153" s="28" t="n"/>
      <c r="D3153" s="22">
        <f t="array" ref="D3153">IF($C3153="","",IFERROR(INDEX(DATA_MASTER!$C$2:$C$5000,MATCH($C3153,DATA_MASTER!$D$2:$D$5000,0)),""))</f>
        <v/>
      </c>
      <c r="E3153" s="22">
        <f t="array" ref="E3153">IF($C3153="","",IFERROR(INDEX(DATA_MASTER!$I$2:$I$5000,MATCH($C3153,DATA_MASTER!$D$2:$D$5000,0)),""))</f>
        <v/>
      </c>
      <c r="F3153" s="22">
        <f t="array" ref="F3153">IF($C3153="","",IFERROR(INDEX(DATA_MASTER!$L$2:$L$5000,MATCH($C3153,DATA_MASTER!$D$2:$D$5000,0)),""))</f>
        <v/>
      </c>
      <c r="G3153" s="24" t="n"/>
      <c r="H3153" s="24" t="n"/>
      <c r="I3153" s="30" t="n"/>
      <c r="J3153" s="23">
        <f>IF(OR($H3153="",$I3153=""),"",$H3153*$I3153)</f>
        <v/>
      </c>
      <c r="K3153" s="24" t="n"/>
      <c r="L3153" s="24" t="n"/>
      <c r="M3153" s="29" t="n"/>
      <c r="N3153" s="28" t="n"/>
      <c r="O3153" s="24" t="n"/>
      <c r="P3153" s="24" t="n"/>
      <c r="Q3153" s="24" t="n"/>
      <c r="R3153" s="24" t="n"/>
      <c r="S3153" s="22">
        <f>IF(AND($A3153="",$C3153=""),"",IF($A3153="","Thiếu mã đơn; ","")&amp;IF(COUNTIF($A$2:$A3153,$A3153)&gt;1,"Trùng mã đơn; ","")&amp;IF(ISNA(MATCH($C3153,DATA_MASTER!$D$2:$D$5000,0)),"SĐT chưa đăng ký hội viên; ","")&amp;IF(AND($L3153="Đã chuyển khoản",$M3153=""),"Thiếu ngày nhận CK; ",""))</f>
        <v/>
      </c>
      <c r="T3153" s="24" t="n"/>
    </row>
    <row r="3154" ht="14.25" customHeight="1" s="40">
      <c r="A3154" s="24" t="n"/>
      <c r="B3154" s="29" t="n"/>
      <c r="C3154" s="28" t="n"/>
      <c r="D3154" s="22">
        <f t="array" ref="D3154">IF($C3154="","",IFERROR(INDEX(DATA_MASTER!$C$2:$C$5000,MATCH($C3154,DATA_MASTER!$D$2:$D$5000,0)),""))</f>
        <v/>
      </c>
      <c r="E3154" s="22">
        <f t="array" ref="E3154">IF($C3154="","",IFERROR(INDEX(DATA_MASTER!$I$2:$I$5000,MATCH($C3154,DATA_MASTER!$D$2:$D$5000,0)),""))</f>
        <v/>
      </c>
      <c r="F3154" s="22">
        <f t="array" ref="F3154">IF($C3154="","",IFERROR(INDEX(DATA_MASTER!$L$2:$L$5000,MATCH($C3154,DATA_MASTER!$D$2:$D$5000,0)),""))</f>
        <v/>
      </c>
      <c r="G3154" s="24" t="n"/>
      <c r="H3154" s="24" t="n"/>
      <c r="I3154" s="30" t="n"/>
      <c r="J3154" s="23">
        <f>IF(OR($H3154="",$I3154=""),"",$H3154*$I3154)</f>
        <v/>
      </c>
      <c r="K3154" s="24" t="n"/>
      <c r="L3154" s="24" t="n"/>
      <c r="M3154" s="29" t="n"/>
      <c r="N3154" s="28" t="n"/>
      <c r="O3154" s="24" t="n"/>
      <c r="P3154" s="24" t="n"/>
      <c r="Q3154" s="24" t="n"/>
      <c r="R3154" s="24" t="n"/>
      <c r="S3154" s="22">
        <f>IF(AND($A3154="",$C3154=""),"",IF($A3154="","Thiếu mã đơn; ","")&amp;IF(COUNTIF($A$2:$A3154,$A3154)&gt;1,"Trùng mã đơn; ","")&amp;IF(ISNA(MATCH($C3154,DATA_MASTER!$D$2:$D$5000,0)),"SĐT chưa đăng ký hội viên; ","")&amp;IF(AND($L3154="Đã chuyển khoản",$M3154=""),"Thiếu ngày nhận CK; ",""))</f>
        <v/>
      </c>
      <c r="T3154" s="24" t="n"/>
    </row>
    <row r="3155" ht="14.25" customHeight="1" s="40">
      <c r="A3155" s="24" t="n"/>
      <c r="B3155" s="29" t="n"/>
      <c r="C3155" s="28" t="n"/>
      <c r="D3155" s="22">
        <f t="array" ref="D3155">IF($C3155="","",IFERROR(INDEX(DATA_MASTER!$C$2:$C$5000,MATCH($C3155,DATA_MASTER!$D$2:$D$5000,0)),""))</f>
        <v/>
      </c>
      <c r="E3155" s="22">
        <f t="array" ref="E3155">IF($C3155="","",IFERROR(INDEX(DATA_MASTER!$I$2:$I$5000,MATCH($C3155,DATA_MASTER!$D$2:$D$5000,0)),""))</f>
        <v/>
      </c>
      <c r="F3155" s="22">
        <f t="array" ref="F3155">IF($C3155="","",IFERROR(INDEX(DATA_MASTER!$L$2:$L$5000,MATCH($C3155,DATA_MASTER!$D$2:$D$5000,0)),""))</f>
        <v/>
      </c>
      <c r="G3155" s="24" t="n"/>
      <c r="H3155" s="24" t="n"/>
      <c r="I3155" s="30" t="n"/>
      <c r="J3155" s="23">
        <f>IF(OR($H3155="",$I3155=""),"",$H3155*$I3155)</f>
        <v/>
      </c>
      <c r="K3155" s="24" t="n"/>
      <c r="L3155" s="24" t="n"/>
      <c r="M3155" s="29" t="n"/>
      <c r="N3155" s="28" t="n"/>
      <c r="O3155" s="24" t="n"/>
      <c r="P3155" s="24" t="n"/>
      <c r="Q3155" s="24" t="n"/>
      <c r="R3155" s="24" t="n"/>
      <c r="S3155" s="22">
        <f>IF(AND($A3155="",$C3155=""),"",IF($A3155="","Thiếu mã đơn; ","")&amp;IF(COUNTIF($A$2:$A3155,$A3155)&gt;1,"Trùng mã đơn; ","")&amp;IF(ISNA(MATCH($C3155,DATA_MASTER!$D$2:$D$5000,0)),"SĐT chưa đăng ký hội viên; ","")&amp;IF(AND($L3155="Đã chuyển khoản",$M3155=""),"Thiếu ngày nhận CK; ",""))</f>
        <v/>
      </c>
      <c r="T3155" s="24" t="n"/>
    </row>
    <row r="3156" ht="14.25" customHeight="1" s="40">
      <c r="A3156" s="24" t="n"/>
      <c r="B3156" s="29" t="n"/>
      <c r="C3156" s="28" t="n"/>
      <c r="D3156" s="22">
        <f t="array" ref="D3156">IF($C3156="","",IFERROR(INDEX(DATA_MASTER!$C$2:$C$5000,MATCH($C3156,DATA_MASTER!$D$2:$D$5000,0)),""))</f>
        <v/>
      </c>
      <c r="E3156" s="22">
        <f t="array" ref="E3156">IF($C3156="","",IFERROR(INDEX(DATA_MASTER!$I$2:$I$5000,MATCH($C3156,DATA_MASTER!$D$2:$D$5000,0)),""))</f>
        <v/>
      </c>
      <c r="F3156" s="22">
        <f t="array" ref="F3156">IF($C3156="","",IFERROR(INDEX(DATA_MASTER!$L$2:$L$5000,MATCH($C3156,DATA_MASTER!$D$2:$D$5000,0)),""))</f>
        <v/>
      </c>
      <c r="G3156" s="24" t="n"/>
      <c r="H3156" s="24" t="n"/>
      <c r="I3156" s="30" t="n"/>
      <c r="J3156" s="23">
        <f>IF(OR($H3156="",$I3156=""),"",$H3156*$I3156)</f>
        <v/>
      </c>
      <c r="K3156" s="24" t="n"/>
      <c r="L3156" s="24" t="n"/>
      <c r="M3156" s="29" t="n"/>
      <c r="N3156" s="28" t="n"/>
      <c r="O3156" s="24" t="n"/>
      <c r="P3156" s="24" t="n"/>
      <c r="Q3156" s="24" t="n"/>
      <c r="R3156" s="24" t="n"/>
      <c r="S3156" s="22">
        <f>IF(AND($A3156="",$C3156=""),"",IF($A3156="","Thiếu mã đơn; ","")&amp;IF(COUNTIF($A$2:$A3156,$A3156)&gt;1,"Trùng mã đơn; ","")&amp;IF(ISNA(MATCH($C3156,DATA_MASTER!$D$2:$D$5000,0)),"SĐT chưa đăng ký hội viên; ","")&amp;IF(AND($L3156="Đã chuyển khoản",$M3156=""),"Thiếu ngày nhận CK; ",""))</f>
        <v/>
      </c>
      <c r="T3156" s="24" t="n"/>
    </row>
    <row r="3157" ht="14.25" customHeight="1" s="40">
      <c r="A3157" s="24" t="n"/>
      <c r="B3157" s="29" t="n"/>
      <c r="C3157" s="28" t="n"/>
      <c r="D3157" s="22">
        <f t="array" ref="D3157">IF($C3157="","",IFERROR(INDEX(DATA_MASTER!$C$2:$C$5000,MATCH($C3157,DATA_MASTER!$D$2:$D$5000,0)),""))</f>
        <v/>
      </c>
      <c r="E3157" s="22">
        <f t="array" ref="E3157">IF($C3157="","",IFERROR(INDEX(DATA_MASTER!$I$2:$I$5000,MATCH($C3157,DATA_MASTER!$D$2:$D$5000,0)),""))</f>
        <v/>
      </c>
      <c r="F3157" s="22">
        <f t="array" ref="F3157">IF($C3157="","",IFERROR(INDEX(DATA_MASTER!$L$2:$L$5000,MATCH($C3157,DATA_MASTER!$D$2:$D$5000,0)),""))</f>
        <v/>
      </c>
      <c r="G3157" s="24" t="n"/>
      <c r="H3157" s="24" t="n"/>
      <c r="I3157" s="30" t="n"/>
      <c r="J3157" s="23">
        <f>IF(OR($H3157="",$I3157=""),"",$H3157*$I3157)</f>
        <v/>
      </c>
      <c r="K3157" s="24" t="n"/>
      <c r="L3157" s="24" t="n"/>
      <c r="M3157" s="29" t="n"/>
      <c r="N3157" s="28" t="n"/>
      <c r="O3157" s="24" t="n"/>
      <c r="P3157" s="24" t="n"/>
      <c r="Q3157" s="24" t="n"/>
      <c r="R3157" s="24" t="n"/>
      <c r="S3157" s="22">
        <f>IF(AND($A3157="",$C3157=""),"",IF($A3157="","Thiếu mã đơn; ","")&amp;IF(COUNTIF($A$2:$A3157,$A3157)&gt;1,"Trùng mã đơn; ","")&amp;IF(ISNA(MATCH($C3157,DATA_MASTER!$D$2:$D$5000,0)),"SĐT chưa đăng ký hội viên; ","")&amp;IF(AND($L3157="Đã chuyển khoản",$M3157=""),"Thiếu ngày nhận CK; ",""))</f>
        <v/>
      </c>
      <c r="T3157" s="24" t="n"/>
    </row>
    <row r="3158" ht="14.25" customHeight="1" s="40">
      <c r="A3158" s="24" t="n"/>
      <c r="B3158" s="29" t="n"/>
      <c r="C3158" s="28" t="n"/>
      <c r="D3158" s="22">
        <f t="array" ref="D3158">IF($C3158="","",IFERROR(INDEX(DATA_MASTER!$C$2:$C$5000,MATCH($C3158,DATA_MASTER!$D$2:$D$5000,0)),""))</f>
        <v/>
      </c>
      <c r="E3158" s="22">
        <f t="array" ref="E3158">IF($C3158="","",IFERROR(INDEX(DATA_MASTER!$I$2:$I$5000,MATCH($C3158,DATA_MASTER!$D$2:$D$5000,0)),""))</f>
        <v/>
      </c>
      <c r="F3158" s="22">
        <f t="array" ref="F3158">IF($C3158="","",IFERROR(INDEX(DATA_MASTER!$L$2:$L$5000,MATCH($C3158,DATA_MASTER!$D$2:$D$5000,0)),""))</f>
        <v/>
      </c>
      <c r="G3158" s="24" t="n"/>
      <c r="H3158" s="24" t="n"/>
      <c r="I3158" s="30" t="n"/>
      <c r="J3158" s="23">
        <f>IF(OR($H3158="",$I3158=""),"",$H3158*$I3158)</f>
        <v/>
      </c>
      <c r="K3158" s="24" t="n"/>
      <c r="L3158" s="24" t="n"/>
      <c r="M3158" s="29" t="n"/>
      <c r="N3158" s="28" t="n"/>
      <c r="O3158" s="24" t="n"/>
      <c r="P3158" s="24" t="n"/>
      <c r="Q3158" s="24" t="n"/>
      <c r="R3158" s="24" t="n"/>
      <c r="S3158" s="22">
        <f>IF(AND($A3158="",$C3158=""),"",IF($A3158="","Thiếu mã đơn; ","")&amp;IF(COUNTIF($A$2:$A3158,$A3158)&gt;1,"Trùng mã đơn; ","")&amp;IF(ISNA(MATCH($C3158,DATA_MASTER!$D$2:$D$5000,0)),"SĐT chưa đăng ký hội viên; ","")&amp;IF(AND($L3158="Đã chuyển khoản",$M3158=""),"Thiếu ngày nhận CK; ",""))</f>
        <v/>
      </c>
      <c r="T3158" s="24" t="n"/>
    </row>
    <row r="3159" ht="14.25" customHeight="1" s="40">
      <c r="A3159" s="24" t="n"/>
      <c r="B3159" s="29" t="n"/>
      <c r="C3159" s="28" t="n"/>
      <c r="D3159" s="22">
        <f t="array" ref="D3159">IF($C3159="","",IFERROR(INDEX(DATA_MASTER!$C$2:$C$5000,MATCH($C3159,DATA_MASTER!$D$2:$D$5000,0)),""))</f>
        <v/>
      </c>
      <c r="E3159" s="22">
        <f t="array" ref="E3159">IF($C3159="","",IFERROR(INDEX(DATA_MASTER!$I$2:$I$5000,MATCH($C3159,DATA_MASTER!$D$2:$D$5000,0)),""))</f>
        <v/>
      </c>
      <c r="F3159" s="22">
        <f t="array" ref="F3159">IF($C3159="","",IFERROR(INDEX(DATA_MASTER!$L$2:$L$5000,MATCH($C3159,DATA_MASTER!$D$2:$D$5000,0)),""))</f>
        <v/>
      </c>
      <c r="G3159" s="24" t="n"/>
      <c r="H3159" s="24" t="n"/>
      <c r="I3159" s="30" t="n"/>
      <c r="J3159" s="23">
        <f>IF(OR($H3159="",$I3159=""),"",$H3159*$I3159)</f>
        <v/>
      </c>
      <c r="K3159" s="24" t="n"/>
      <c r="L3159" s="24" t="n"/>
      <c r="M3159" s="29" t="n"/>
      <c r="N3159" s="28" t="n"/>
      <c r="O3159" s="24" t="n"/>
      <c r="P3159" s="24" t="n"/>
      <c r="Q3159" s="24" t="n"/>
      <c r="R3159" s="24" t="n"/>
      <c r="S3159" s="22">
        <f>IF(AND($A3159="",$C3159=""),"",IF($A3159="","Thiếu mã đơn; ","")&amp;IF(COUNTIF($A$2:$A3159,$A3159)&gt;1,"Trùng mã đơn; ","")&amp;IF(ISNA(MATCH($C3159,DATA_MASTER!$D$2:$D$5000,0)),"SĐT chưa đăng ký hội viên; ","")&amp;IF(AND($L3159="Đã chuyển khoản",$M3159=""),"Thiếu ngày nhận CK; ",""))</f>
        <v/>
      </c>
      <c r="T3159" s="24" t="n"/>
    </row>
    <row r="3160" ht="14.25" customHeight="1" s="40">
      <c r="A3160" s="24" t="n"/>
      <c r="B3160" s="29" t="n"/>
      <c r="C3160" s="28" t="n"/>
      <c r="D3160" s="22">
        <f t="array" ref="D3160">IF($C3160="","",IFERROR(INDEX(DATA_MASTER!$C$2:$C$5000,MATCH($C3160,DATA_MASTER!$D$2:$D$5000,0)),""))</f>
        <v/>
      </c>
      <c r="E3160" s="22">
        <f t="array" ref="E3160">IF($C3160="","",IFERROR(INDEX(DATA_MASTER!$I$2:$I$5000,MATCH($C3160,DATA_MASTER!$D$2:$D$5000,0)),""))</f>
        <v/>
      </c>
      <c r="F3160" s="22">
        <f t="array" ref="F3160">IF($C3160="","",IFERROR(INDEX(DATA_MASTER!$L$2:$L$5000,MATCH($C3160,DATA_MASTER!$D$2:$D$5000,0)),""))</f>
        <v/>
      </c>
      <c r="G3160" s="24" t="n"/>
      <c r="H3160" s="24" t="n"/>
      <c r="I3160" s="30" t="n"/>
      <c r="J3160" s="23">
        <f>IF(OR($H3160="",$I3160=""),"",$H3160*$I3160)</f>
        <v/>
      </c>
      <c r="K3160" s="24" t="n"/>
      <c r="L3160" s="24" t="n"/>
      <c r="M3160" s="29" t="n"/>
      <c r="N3160" s="28" t="n"/>
      <c r="O3160" s="24" t="n"/>
      <c r="P3160" s="24" t="n"/>
      <c r="Q3160" s="24" t="n"/>
      <c r="R3160" s="24" t="n"/>
      <c r="S3160" s="22">
        <f>IF(AND($A3160="",$C3160=""),"",IF($A3160="","Thiếu mã đơn; ","")&amp;IF(COUNTIF($A$2:$A3160,$A3160)&gt;1,"Trùng mã đơn; ","")&amp;IF(ISNA(MATCH($C3160,DATA_MASTER!$D$2:$D$5000,0)),"SĐT chưa đăng ký hội viên; ","")&amp;IF(AND($L3160="Đã chuyển khoản",$M3160=""),"Thiếu ngày nhận CK; ",""))</f>
        <v/>
      </c>
      <c r="T3160" s="24" t="n"/>
    </row>
    <row r="3161" ht="14.25" customHeight="1" s="40">
      <c r="A3161" s="24" t="n"/>
      <c r="B3161" s="29" t="n"/>
      <c r="C3161" s="28" t="n"/>
      <c r="D3161" s="22">
        <f t="array" ref="D3161">IF($C3161="","",IFERROR(INDEX(DATA_MASTER!$C$2:$C$5000,MATCH($C3161,DATA_MASTER!$D$2:$D$5000,0)),""))</f>
        <v/>
      </c>
      <c r="E3161" s="22">
        <f t="array" ref="E3161">IF($C3161="","",IFERROR(INDEX(DATA_MASTER!$I$2:$I$5000,MATCH($C3161,DATA_MASTER!$D$2:$D$5000,0)),""))</f>
        <v/>
      </c>
      <c r="F3161" s="22">
        <f t="array" ref="F3161">IF($C3161="","",IFERROR(INDEX(DATA_MASTER!$L$2:$L$5000,MATCH($C3161,DATA_MASTER!$D$2:$D$5000,0)),""))</f>
        <v/>
      </c>
      <c r="G3161" s="24" t="n"/>
      <c r="H3161" s="24" t="n"/>
      <c r="I3161" s="30" t="n"/>
      <c r="J3161" s="23">
        <f>IF(OR($H3161="",$I3161=""),"",$H3161*$I3161)</f>
        <v/>
      </c>
      <c r="K3161" s="24" t="n"/>
      <c r="L3161" s="24" t="n"/>
      <c r="M3161" s="29" t="n"/>
      <c r="N3161" s="28" t="n"/>
      <c r="O3161" s="24" t="n"/>
      <c r="P3161" s="24" t="n"/>
      <c r="Q3161" s="24" t="n"/>
      <c r="R3161" s="24" t="n"/>
      <c r="S3161" s="22">
        <f>IF(AND($A3161="",$C3161=""),"",IF($A3161="","Thiếu mã đơn; ","")&amp;IF(COUNTIF($A$2:$A3161,$A3161)&gt;1,"Trùng mã đơn; ","")&amp;IF(ISNA(MATCH($C3161,DATA_MASTER!$D$2:$D$5000,0)),"SĐT chưa đăng ký hội viên; ","")&amp;IF(AND($L3161="Đã chuyển khoản",$M3161=""),"Thiếu ngày nhận CK; ",""))</f>
        <v/>
      </c>
      <c r="T3161" s="24" t="n"/>
    </row>
    <row r="3162" ht="14.25" customHeight="1" s="40">
      <c r="A3162" s="24" t="n"/>
      <c r="B3162" s="29" t="n"/>
      <c r="C3162" s="28" t="n"/>
      <c r="D3162" s="22">
        <f t="array" ref="D3162">IF($C3162="","",IFERROR(INDEX(DATA_MASTER!$C$2:$C$5000,MATCH($C3162,DATA_MASTER!$D$2:$D$5000,0)),""))</f>
        <v/>
      </c>
      <c r="E3162" s="22">
        <f t="array" ref="E3162">IF($C3162="","",IFERROR(INDEX(DATA_MASTER!$I$2:$I$5000,MATCH($C3162,DATA_MASTER!$D$2:$D$5000,0)),""))</f>
        <v/>
      </c>
      <c r="F3162" s="22">
        <f t="array" ref="F3162">IF($C3162="","",IFERROR(INDEX(DATA_MASTER!$L$2:$L$5000,MATCH($C3162,DATA_MASTER!$D$2:$D$5000,0)),""))</f>
        <v/>
      </c>
      <c r="G3162" s="24" t="n"/>
      <c r="H3162" s="24" t="n"/>
      <c r="I3162" s="30" t="n"/>
      <c r="J3162" s="23">
        <f>IF(OR($H3162="",$I3162=""),"",$H3162*$I3162)</f>
        <v/>
      </c>
      <c r="K3162" s="24" t="n"/>
      <c r="L3162" s="24" t="n"/>
      <c r="M3162" s="29" t="n"/>
      <c r="N3162" s="28" t="n"/>
      <c r="O3162" s="24" t="n"/>
      <c r="P3162" s="24" t="n"/>
      <c r="Q3162" s="24" t="n"/>
      <c r="R3162" s="24" t="n"/>
      <c r="S3162" s="22">
        <f>IF(AND($A3162="",$C3162=""),"",IF($A3162="","Thiếu mã đơn; ","")&amp;IF(COUNTIF($A$2:$A3162,$A3162)&gt;1,"Trùng mã đơn; ","")&amp;IF(ISNA(MATCH($C3162,DATA_MASTER!$D$2:$D$5000,0)),"SĐT chưa đăng ký hội viên; ","")&amp;IF(AND($L3162="Đã chuyển khoản",$M3162=""),"Thiếu ngày nhận CK; ",""))</f>
        <v/>
      </c>
      <c r="T3162" s="24" t="n"/>
    </row>
    <row r="3163" ht="14.25" customHeight="1" s="40">
      <c r="A3163" s="24" t="n"/>
      <c r="B3163" s="29" t="n"/>
      <c r="C3163" s="28" t="n"/>
      <c r="D3163" s="22">
        <f t="array" ref="D3163">IF($C3163="","",IFERROR(INDEX(DATA_MASTER!$C$2:$C$5000,MATCH($C3163,DATA_MASTER!$D$2:$D$5000,0)),""))</f>
        <v/>
      </c>
      <c r="E3163" s="22">
        <f t="array" ref="E3163">IF($C3163="","",IFERROR(INDEX(DATA_MASTER!$I$2:$I$5000,MATCH($C3163,DATA_MASTER!$D$2:$D$5000,0)),""))</f>
        <v/>
      </c>
      <c r="F3163" s="22">
        <f t="array" ref="F3163">IF($C3163="","",IFERROR(INDEX(DATA_MASTER!$L$2:$L$5000,MATCH($C3163,DATA_MASTER!$D$2:$D$5000,0)),""))</f>
        <v/>
      </c>
      <c r="G3163" s="24" t="n"/>
      <c r="H3163" s="24" t="n"/>
      <c r="I3163" s="30" t="n"/>
      <c r="J3163" s="23">
        <f>IF(OR($H3163="",$I3163=""),"",$H3163*$I3163)</f>
        <v/>
      </c>
      <c r="K3163" s="24" t="n"/>
      <c r="L3163" s="24" t="n"/>
      <c r="M3163" s="29" t="n"/>
      <c r="N3163" s="28" t="n"/>
      <c r="O3163" s="24" t="n"/>
      <c r="P3163" s="24" t="n"/>
      <c r="Q3163" s="24" t="n"/>
      <c r="R3163" s="24" t="n"/>
      <c r="S3163" s="22">
        <f>IF(AND($A3163="",$C3163=""),"",IF($A3163="","Thiếu mã đơn; ","")&amp;IF(COUNTIF($A$2:$A3163,$A3163)&gt;1,"Trùng mã đơn; ","")&amp;IF(ISNA(MATCH($C3163,DATA_MASTER!$D$2:$D$5000,0)),"SĐT chưa đăng ký hội viên; ","")&amp;IF(AND($L3163="Đã chuyển khoản",$M3163=""),"Thiếu ngày nhận CK; ",""))</f>
        <v/>
      </c>
      <c r="T3163" s="24" t="n"/>
    </row>
    <row r="3164" ht="14.25" customHeight="1" s="40">
      <c r="A3164" s="24" t="n"/>
      <c r="B3164" s="29" t="n"/>
      <c r="C3164" s="28" t="n"/>
      <c r="D3164" s="22">
        <f t="array" ref="D3164">IF($C3164="","",IFERROR(INDEX(DATA_MASTER!$C$2:$C$5000,MATCH($C3164,DATA_MASTER!$D$2:$D$5000,0)),""))</f>
        <v/>
      </c>
      <c r="E3164" s="22">
        <f t="array" ref="E3164">IF($C3164="","",IFERROR(INDEX(DATA_MASTER!$I$2:$I$5000,MATCH($C3164,DATA_MASTER!$D$2:$D$5000,0)),""))</f>
        <v/>
      </c>
      <c r="F3164" s="22">
        <f t="array" ref="F3164">IF($C3164="","",IFERROR(INDEX(DATA_MASTER!$L$2:$L$5000,MATCH($C3164,DATA_MASTER!$D$2:$D$5000,0)),""))</f>
        <v/>
      </c>
      <c r="G3164" s="24" t="n"/>
      <c r="H3164" s="24" t="n"/>
      <c r="I3164" s="30" t="n"/>
      <c r="J3164" s="23">
        <f>IF(OR($H3164="",$I3164=""),"",$H3164*$I3164)</f>
        <v/>
      </c>
      <c r="K3164" s="24" t="n"/>
      <c r="L3164" s="24" t="n"/>
      <c r="M3164" s="29" t="n"/>
      <c r="N3164" s="28" t="n"/>
      <c r="O3164" s="24" t="n"/>
      <c r="P3164" s="24" t="n"/>
      <c r="Q3164" s="24" t="n"/>
      <c r="R3164" s="24" t="n"/>
      <c r="S3164" s="22">
        <f>IF(AND($A3164="",$C3164=""),"",IF($A3164="","Thiếu mã đơn; ","")&amp;IF(COUNTIF($A$2:$A3164,$A3164)&gt;1,"Trùng mã đơn; ","")&amp;IF(ISNA(MATCH($C3164,DATA_MASTER!$D$2:$D$5000,0)),"SĐT chưa đăng ký hội viên; ","")&amp;IF(AND($L3164="Đã chuyển khoản",$M3164=""),"Thiếu ngày nhận CK; ",""))</f>
        <v/>
      </c>
      <c r="T3164" s="24" t="n"/>
    </row>
    <row r="3165" ht="14.25" customHeight="1" s="40">
      <c r="A3165" s="24" t="n"/>
      <c r="B3165" s="29" t="n"/>
      <c r="C3165" s="28" t="n"/>
      <c r="D3165" s="22">
        <f t="array" ref="D3165">IF($C3165="","",IFERROR(INDEX(DATA_MASTER!$C$2:$C$5000,MATCH($C3165,DATA_MASTER!$D$2:$D$5000,0)),""))</f>
        <v/>
      </c>
      <c r="E3165" s="22">
        <f t="array" ref="E3165">IF($C3165="","",IFERROR(INDEX(DATA_MASTER!$I$2:$I$5000,MATCH($C3165,DATA_MASTER!$D$2:$D$5000,0)),""))</f>
        <v/>
      </c>
      <c r="F3165" s="22">
        <f t="array" ref="F3165">IF($C3165="","",IFERROR(INDEX(DATA_MASTER!$L$2:$L$5000,MATCH($C3165,DATA_MASTER!$D$2:$D$5000,0)),""))</f>
        <v/>
      </c>
      <c r="G3165" s="24" t="n"/>
      <c r="H3165" s="24" t="n"/>
      <c r="I3165" s="30" t="n"/>
      <c r="J3165" s="23">
        <f>IF(OR($H3165="",$I3165=""),"",$H3165*$I3165)</f>
        <v/>
      </c>
      <c r="K3165" s="24" t="n"/>
      <c r="L3165" s="24" t="n"/>
      <c r="M3165" s="29" t="n"/>
      <c r="N3165" s="28" t="n"/>
      <c r="O3165" s="24" t="n"/>
      <c r="P3165" s="24" t="n"/>
      <c r="Q3165" s="24" t="n"/>
      <c r="R3165" s="24" t="n"/>
      <c r="S3165" s="22">
        <f>IF(AND($A3165="",$C3165=""),"",IF($A3165="","Thiếu mã đơn; ","")&amp;IF(COUNTIF($A$2:$A3165,$A3165)&gt;1,"Trùng mã đơn; ","")&amp;IF(ISNA(MATCH($C3165,DATA_MASTER!$D$2:$D$5000,0)),"SĐT chưa đăng ký hội viên; ","")&amp;IF(AND($L3165="Đã chuyển khoản",$M3165=""),"Thiếu ngày nhận CK; ",""))</f>
        <v/>
      </c>
      <c r="T3165" s="24" t="n"/>
    </row>
    <row r="3166" ht="14.25" customHeight="1" s="40">
      <c r="A3166" s="24" t="n"/>
      <c r="B3166" s="29" t="n"/>
      <c r="C3166" s="28" t="n"/>
      <c r="D3166" s="22">
        <f t="array" ref="D3166">IF($C3166="","",IFERROR(INDEX(DATA_MASTER!$C$2:$C$5000,MATCH($C3166,DATA_MASTER!$D$2:$D$5000,0)),""))</f>
        <v/>
      </c>
      <c r="E3166" s="22">
        <f t="array" ref="E3166">IF($C3166="","",IFERROR(INDEX(DATA_MASTER!$I$2:$I$5000,MATCH($C3166,DATA_MASTER!$D$2:$D$5000,0)),""))</f>
        <v/>
      </c>
      <c r="F3166" s="22">
        <f t="array" ref="F3166">IF($C3166="","",IFERROR(INDEX(DATA_MASTER!$L$2:$L$5000,MATCH($C3166,DATA_MASTER!$D$2:$D$5000,0)),""))</f>
        <v/>
      </c>
      <c r="G3166" s="24" t="n"/>
      <c r="H3166" s="24" t="n"/>
      <c r="I3166" s="30" t="n"/>
      <c r="J3166" s="23">
        <f>IF(OR($H3166="",$I3166=""),"",$H3166*$I3166)</f>
        <v/>
      </c>
      <c r="K3166" s="24" t="n"/>
      <c r="L3166" s="24" t="n"/>
      <c r="M3166" s="29" t="n"/>
      <c r="N3166" s="28" t="n"/>
      <c r="O3166" s="24" t="n"/>
      <c r="P3166" s="24" t="n"/>
      <c r="Q3166" s="24" t="n"/>
      <c r="R3166" s="24" t="n"/>
      <c r="S3166" s="22">
        <f>IF(AND($A3166="",$C3166=""),"",IF($A3166="","Thiếu mã đơn; ","")&amp;IF(COUNTIF($A$2:$A3166,$A3166)&gt;1,"Trùng mã đơn; ","")&amp;IF(ISNA(MATCH($C3166,DATA_MASTER!$D$2:$D$5000,0)),"SĐT chưa đăng ký hội viên; ","")&amp;IF(AND($L3166="Đã chuyển khoản",$M3166=""),"Thiếu ngày nhận CK; ",""))</f>
        <v/>
      </c>
      <c r="T3166" s="24" t="n"/>
    </row>
    <row r="3167" ht="14.25" customHeight="1" s="40">
      <c r="A3167" s="24" t="n"/>
      <c r="B3167" s="29" t="n"/>
      <c r="C3167" s="28" t="n"/>
      <c r="D3167" s="22">
        <f t="array" ref="D3167">IF($C3167="","",IFERROR(INDEX(DATA_MASTER!$C$2:$C$5000,MATCH($C3167,DATA_MASTER!$D$2:$D$5000,0)),""))</f>
        <v/>
      </c>
      <c r="E3167" s="22">
        <f t="array" ref="E3167">IF($C3167="","",IFERROR(INDEX(DATA_MASTER!$I$2:$I$5000,MATCH($C3167,DATA_MASTER!$D$2:$D$5000,0)),""))</f>
        <v/>
      </c>
      <c r="F3167" s="22">
        <f t="array" ref="F3167">IF($C3167="","",IFERROR(INDEX(DATA_MASTER!$L$2:$L$5000,MATCH($C3167,DATA_MASTER!$D$2:$D$5000,0)),""))</f>
        <v/>
      </c>
      <c r="G3167" s="24" t="n"/>
      <c r="H3167" s="24" t="n"/>
      <c r="I3167" s="30" t="n"/>
      <c r="J3167" s="23">
        <f>IF(OR($H3167="",$I3167=""),"",$H3167*$I3167)</f>
        <v/>
      </c>
      <c r="K3167" s="24" t="n"/>
      <c r="L3167" s="24" t="n"/>
      <c r="M3167" s="29" t="n"/>
      <c r="N3167" s="28" t="n"/>
      <c r="O3167" s="24" t="n"/>
      <c r="P3167" s="24" t="n"/>
      <c r="Q3167" s="24" t="n"/>
      <c r="R3167" s="24" t="n"/>
      <c r="S3167" s="22">
        <f>IF(AND($A3167="",$C3167=""),"",IF($A3167="","Thiếu mã đơn; ","")&amp;IF(COUNTIF($A$2:$A3167,$A3167)&gt;1,"Trùng mã đơn; ","")&amp;IF(ISNA(MATCH($C3167,DATA_MASTER!$D$2:$D$5000,0)),"SĐT chưa đăng ký hội viên; ","")&amp;IF(AND($L3167="Đã chuyển khoản",$M3167=""),"Thiếu ngày nhận CK; ",""))</f>
        <v/>
      </c>
      <c r="T3167" s="24" t="n"/>
    </row>
    <row r="3168" ht="14.25" customHeight="1" s="40">
      <c r="A3168" s="24" t="n"/>
      <c r="B3168" s="29" t="n"/>
      <c r="C3168" s="28" t="n"/>
      <c r="D3168" s="22">
        <f t="array" ref="D3168">IF($C3168="","",IFERROR(INDEX(DATA_MASTER!$C$2:$C$5000,MATCH($C3168,DATA_MASTER!$D$2:$D$5000,0)),""))</f>
        <v/>
      </c>
      <c r="E3168" s="22">
        <f t="array" ref="E3168">IF($C3168="","",IFERROR(INDEX(DATA_MASTER!$I$2:$I$5000,MATCH($C3168,DATA_MASTER!$D$2:$D$5000,0)),""))</f>
        <v/>
      </c>
      <c r="F3168" s="22">
        <f t="array" ref="F3168">IF($C3168="","",IFERROR(INDEX(DATA_MASTER!$L$2:$L$5000,MATCH($C3168,DATA_MASTER!$D$2:$D$5000,0)),""))</f>
        <v/>
      </c>
      <c r="G3168" s="24" t="n"/>
      <c r="H3168" s="24" t="n"/>
      <c r="I3168" s="30" t="n"/>
      <c r="J3168" s="23">
        <f>IF(OR($H3168="",$I3168=""),"",$H3168*$I3168)</f>
        <v/>
      </c>
      <c r="K3168" s="24" t="n"/>
      <c r="L3168" s="24" t="n"/>
      <c r="M3168" s="29" t="n"/>
      <c r="N3168" s="28" t="n"/>
      <c r="O3168" s="24" t="n"/>
      <c r="P3168" s="24" t="n"/>
      <c r="Q3168" s="24" t="n"/>
      <c r="R3168" s="24" t="n"/>
      <c r="S3168" s="22">
        <f>IF(AND($A3168="",$C3168=""),"",IF($A3168="","Thiếu mã đơn; ","")&amp;IF(COUNTIF($A$2:$A3168,$A3168)&gt;1,"Trùng mã đơn; ","")&amp;IF(ISNA(MATCH($C3168,DATA_MASTER!$D$2:$D$5000,0)),"SĐT chưa đăng ký hội viên; ","")&amp;IF(AND($L3168="Đã chuyển khoản",$M3168=""),"Thiếu ngày nhận CK; ",""))</f>
        <v/>
      </c>
      <c r="T3168" s="24" t="n"/>
    </row>
    <row r="3169" ht="14.25" customHeight="1" s="40">
      <c r="A3169" s="24" t="n"/>
      <c r="B3169" s="29" t="n"/>
      <c r="C3169" s="28" t="n"/>
      <c r="D3169" s="22">
        <f t="array" ref="D3169">IF($C3169="","",IFERROR(INDEX(DATA_MASTER!$C$2:$C$5000,MATCH($C3169,DATA_MASTER!$D$2:$D$5000,0)),""))</f>
        <v/>
      </c>
      <c r="E3169" s="22">
        <f t="array" ref="E3169">IF($C3169="","",IFERROR(INDEX(DATA_MASTER!$I$2:$I$5000,MATCH($C3169,DATA_MASTER!$D$2:$D$5000,0)),""))</f>
        <v/>
      </c>
      <c r="F3169" s="22">
        <f t="array" ref="F3169">IF($C3169="","",IFERROR(INDEX(DATA_MASTER!$L$2:$L$5000,MATCH($C3169,DATA_MASTER!$D$2:$D$5000,0)),""))</f>
        <v/>
      </c>
      <c r="G3169" s="24" t="n"/>
      <c r="H3169" s="24" t="n"/>
      <c r="I3169" s="30" t="n"/>
      <c r="J3169" s="23">
        <f>IF(OR($H3169="",$I3169=""),"",$H3169*$I3169)</f>
        <v/>
      </c>
      <c r="K3169" s="24" t="n"/>
      <c r="L3169" s="24" t="n"/>
      <c r="M3169" s="29" t="n"/>
      <c r="N3169" s="28" t="n"/>
      <c r="O3169" s="24" t="n"/>
      <c r="P3169" s="24" t="n"/>
      <c r="Q3169" s="24" t="n"/>
      <c r="R3169" s="24" t="n"/>
      <c r="S3169" s="22">
        <f>IF(AND($A3169="",$C3169=""),"",IF($A3169="","Thiếu mã đơn; ","")&amp;IF(COUNTIF($A$2:$A3169,$A3169)&gt;1,"Trùng mã đơn; ","")&amp;IF(ISNA(MATCH($C3169,DATA_MASTER!$D$2:$D$5000,0)),"SĐT chưa đăng ký hội viên; ","")&amp;IF(AND($L3169="Đã chuyển khoản",$M3169=""),"Thiếu ngày nhận CK; ",""))</f>
        <v/>
      </c>
      <c r="T3169" s="24" t="n"/>
    </row>
    <row r="3170" ht="14.25" customHeight="1" s="40">
      <c r="A3170" s="24" t="n"/>
      <c r="B3170" s="29" t="n"/>
      <c r="C3170" s="28" t="n"/>
      <c r="D3170" s="22">
        <f t="array" ref="D3170">IF($C3170="","",IFERROR(INDEX(DATA_MASTER!$C$2:$C$5000,MATCH($C3170,DATA_MASTER!$D$2:$D$5000,0)),""))</f>
        <v/>
      </c>
      <c r="E3170" s="22">
        <f t="array" ref="E3170">IF($C3170="","",IFERROR(INDEX(DATA_MASTER!$I$2:$I$5000,MATCH($C3170,DATA_MASTER!$D$2:$D$5000,0)),""))</f>
        <v/>
      </c>
      <c r="F3170" s="22">
        <f t="array" ref="F3170">IF($C3170="","",IFERROR(INDEX(DATA_MASTER!$L$2:$L$5000,MATCH($C3170,DATA_MASTER!$D$2:$D$5000,0)),""))</f>
        <v/>
      </c>
      <c r="G3170" s="24" t="n"/>
      <c r="H3170" s="24" t="n"/>
      <c r="I3170" s="30" t="n"/>
      <c r="J3170" s="23">
        <f>IF(OR($H3170="",$I3170=""),"",$H3170*$I3170)</f>
        <v/>
      </c>
      <c r="K3170" s="24" t="n"/>
      <c r="L3170" s="24" t="n"/>
      <c r="M3170" s="29" t="n"/>
      <c r="N3170" s="28" t="n"/>
      <c r="O3170" s="24" t="n"/>
      <c r="P3170" s="24" t="n"/>
      <c r="Q3170" s="24" t="n"/>
      <c r="R3170" s="24" t="n"/>
      <c r="S3170" s="22">
        <f>IF(AND($A3170="",$C3170=""),"",IF($A3170="","Thiếu mã đơn; ","")&amp;IF(COUNTIF($A$2:$A3170,$A3170)&gt;1,"Trùng mã đơn; ","")&amp;IF(ISNA(MATCH($C3170,DATA_MASTER!$D$2:$D$5000,0)),"SĐT chưa đăng ký hội viên; ","")&amp;IF(AND($L3170="Đã chuyển khoản",$M3170=""),"Thiếu ngày nhận CK; ",""))</f>
        <v/>
      </c>
      <c r="T3170" s="24" t="n"/>
    </row>
    <row r="3171" ht="14.25" customHeight="1" s="40">
      <c r="A3171" s="24" t="n"/>
      <c r="B3171" s="29" t="n"/>
      <c r="C3171" s="28" t="n"/>
      <c r="D3171" s="22">
        <f t="array" ref="D3171">IF($C3171="","",IFERROR(INDEX(DATA_MASTER!$C$2:$C$5000,MATCH($C3171,DATA_MASTER!$D$2:$D$5000,0)),""))</f>
        <v/>
      </c>
      <c r="E3171" s="22">
        <f t="array" ref="E3171">IF($C3171="","",IFERROR(INDEX(DATA_MASTER!$I$2:$I$5000,MATCH($C3171,DATA_MASTER!$D$2:$D$5000,0)),""))</f>
        <v/>
      </c>
      <c r="F3171" s="22">
        <f t="array" ref="F3171">IF($C3171="","",IFERROR(INDEX(DATA_MASTER!$L$2:$L$5000,MATCH($C3171,DATA_MASTER!$D$2:$D$5000,0)),""))</f>
        <v/>
      </c>
      <c r="G3171" s="24" t="n"/>
      <c r="H3171" s="24" t="n"/>
      <c r="I3171" s="30" t="n"/>
      <c r="J3171" s="23">
        <f>IF(OR($H3171="",$I3171=""),"",$H3171*$I3171)</f>
        <v/>
      </c>
      <c r="K3171" s="24" t="n"/>
      <c r="L3171" s="24" t="n"/>
      <c r="M3171" s="29" t="n"/>
      <c r="N3171" s="28" t="n"/>
      <c r="O3171" s="24" t="n"/>
      <c r="P3171" s="24" t="n"/>
      <c r="Q3171" s="24" t="n"/>
      <c r="R3171" s="24" t="n"/>
      <c r="S3171" s="22">
        <f>IF(AND($A3171="",$C3171=""),"",IF($A3171="","Thiếu mã đơn; ","")&amp;IF(COUNTIF($A$2:$A3171,$A3171)&gt;1,"Trùng mã đơn; ","")&amp;IF(ISNA(MATCH($C3171,DATA_MASTER!$D$2:$D$5000,0)),"SĐT chưa đăng ký hội viên; ","")&amp;IF(AND($L3171="Đã chuyển khoản",$M3171=""),"Thiếu ngày nhận CK; ",""))</f>
        <v/>
      </c>
      <c r="T3171" s="24" t="n"/>
    </row>
    <row r="3172" ht="14.25" customHeight="1" s="40">
      <c r="A3172" s="24" t="n"/>
      <c r="B3172" s="29" t="n"/>
      <c r="C3172" s="28" t="n"/>
      <c r="D3172" s="22">
        <f t="array" ref="D3172">IF($C3172="","",IFERROR(INDEX(DATA_MASTER!$C$2:$C$5000,MATCH($C3172,DATA_MASTER!$D$2:$D$5000,0)),""))</f>
        <v/>
      </c>
      <c r="E3172" s="22">
        <f t="array" ref="E3172">IF($C3172="","",IFERROR(INDEX(DATA_MASTER!$I$2:$I$5000,MATCH($C3172,DATA_MASTER!$D$2:$D$5000,0)),""))</f>
        <v/>
      </c>
      <c r="F3172" s="22">
        <f t="array" ref="F3172">IF($C3172="","",IFERROR(INDEX(DATA_MASTER!$L$2:$L$5000,MATCH($C3172,DATA_MASTER!$D$2:$D$5000,0)),""))</f>
        <v/>
      </c>
      <c r="G3172" s="24" t="n"/>
      <c r="H3172" s="24" t="n"/>
      <c r="I3172" s="30" t="n"/>
      <c r="J3172" s="23">
        <f>IF(OR($H3172="",$I3172=""),"",$H3172*$I3172)</f>
        <v/>
      </c>
      <c r="K3172" s="24" t="n"/>
      <c r="L3172" s="24" t="n"/>
      <c r="M3172" s="29" t="n"/>
      <c r="N3172" s="28" t="n"/>
      <c r="O3172" s="24" t="n"/>
      <c r="P3172" s="24" t="n"/>
      <c r="Q3172" s="24" t="n"/>
      <c r="R3172" s="24" t="n"/>
      <c r="S3172" s="22">
        <f>IF(AND($A3172="",$C3172=""),"",IF($A3172="","Thiếu mã đơn; ","")&amp;IF(COUNTIF($A$2:$A3172,$A3172)&gt;1,"Trùng mã đơn; ","")&amp;IF(ISNA(MATCH($C3172,DATA_MASTER!$D$2:$D$5000,0)),"SĐT chưa đăng ký hội viên; ","")&amp;IF(AND($L3172="Đã chuyển khoản",$M3172=""),"Thiếu ngày nhận CK; ",""))</f>
        <v/>
      </c>
      <c r="T3172" s="24" t="n"/>
    </row>
    <row r="3173" ht="14.25" customHeight="1" s="40">
      <c r="A3173" s="24" t="n"/>
      <c r="B3173" s="29" t="n"/>
      <c r="C3173" s="28" t="n"/>
      <c r="D3173" s="22">
        <f t="array" ref="D3173">IF($C3173="","",IFERROR(INDEX(DATA_MASTER!$C$2:$C$5000,MATCH($C3173,DATA_MASTER!$D$2:$D$5000,0)),""))</f>
        <v/>
      </c>
      <c r="E3173" s="22">
        <f t="array" ref="E3173">IF($C3173="","",IFERROR(INDEX(DATA_MASTER!$I$2:$I$5000,MATCH($C3173,DATA_MASTER!$D$2:$D$5000,0)),""))</f>
        <v/>
      </c>
      <c r="F3173" s="22">
        <f t="array" ref="F3173">IF($C3173="","",IFERROR(INDEX(DATA_MASTER!$L$2:$L$5000,MATCH($C3173,DATA_MASTER!$D$2:$D$5000,0)),""))</f>
        <v/>
      </c>
      <c r="G3173" s="24" t="n"/>
      <c r="H3173" s="24" t="n"/>
      <c r="I3173" s="30" t="n"/>
      <c r="J3173" s="23">
        <f>IF(OR($H3173="",$I3173=""),"",$H3173*$I3173)</f>
        <v/>
      </c>
      <c r="K3173" s="24" t="n"/>
      <c r="L3173" s="24" t="n"/>
      <c r="M3173" s="29" t="n"/>
      <c r="N3173" s="28" t="n"/>
      <c r="O3173" s="24" t="n"/>
      <c r="P3173" s="24" t="n"/>
      <c r="Q3173" s="24" t="n"/>
      <c r="R3173" s="24" t="n"/>
      <c r="S3173" s="22">
        <f>IF(AND($A3173="",$C3173=""),"",IF($A3173="","Thiếu mã đơn; ","")&amp;IF(COUNTIF($A$2:$A3173,$A3173)&gt;1,"Trùng mã đơn; ","")&amp;IF(ISNA(MATCH($C3173,DATA_MASTER!$D$2:$D$5000,0)),"SĐT chưa đăng ký hội viên; ","")&amp;IF(AND($L3173="Đã chuyển khoản",$M3173=""),"Thiếu ngày nhận CK; ",""))</f>
        <v/>
      </c>
      <c r="T3173" s="24" t="n"/>
    </row>
    <row r="3174" ht="14.25" customHeight="1" s="40">
      <c r="A3174" s="24" t="n"/>
      <c r="B3174" s="29" t="n"/>
      <c r="C3174" s="28" t="n"/>
      <c r="D3174" s="22">
        <f t="array" ref="D3174">IF($C3174="","",IFERROR(INDEX(DATA_MASTER!$C$2:$C$5000,MATCH($C3174,DATA_MASTER!$D$2:$D$5000,0)),""))</f>
        <v/>
      </c>
      <c r="E3174" s="22">
        <f t="array" ref="E3174">IF($C3174="","",IFERROR(INDEX(DATA_MASTER!$I$2:$I$5000,MATCH($C3174,DATA_MASTER!$D$2:$D$5000,0)),""))</f>
        <v/>
      </c>
      <c r="F3174" s="22">
        <f t="array" ref="F3174">IF($C3174="","",IFERROR(INDEX(DATA_MASTER!$L$2:$L$5000,MATCH($C3174,DATA_MASTER!$D$2:$D$5000,0)),""))</f>
        <v/>
      </c>
      <c r="G3174" s="24" t="n"/>
      <c r="H3174" s="24" t="n"/>
      <c r="I3174" s="30" t="n"/>
      <c r="J3174" s="23">
        <f>IF(OR($H3174="",$I3174=""),"",$H3174*$I3174)</f>
        <v/>
      </c>
      <c r="K3174" s="24" t="n"/>
      <c r="L3174" s="24" t="n"/>
      <c r="M3174" s="29" t="n"/>
      <c r="N3174" s="28" t="n"/>
      <c r="O3174" s="24" t="n"/>
      <c r="P3174" s="24" t="n"/>
      <c r="Q3174" s="24" t="n"/>
      <c r="R3174" s="24" t="n"/>
      <c r="S3174" s="22">
        <f>IF(AND($A3174="",$C3174=""),"",IF($A3174="","Thiếu mã đơn; ","")&amp;IF(COUNTIF($A$2:$A3174,$A3174)&gt;1,"Trùng mã đơn; ","")&amp;IF(ISNA(MATCH($C3174,DATA_MASTER!$D$2:$D$5000,0)),"SĐT chưa đăng ký hội viên; ","")&amp;IF(AND($L3174="Đã chuyển khoản",$M3174=""),"Thiếu ngày nhận CK; ",""))</f>
        <v/>
      </c>
      <c r="T3174" s="24" t="n"/>
    </row>
    <row r="3175" ht="14.25" customHeight="1" s="40">
      <c r="A3175" s="24" t="n"/>
      <c r="B3175" s="29" t="n"/>
      <c r="C3175" s="28" t="n"/>
      <c r="D3175" s="22">
        <f t="array" ref="D3175">IF($C3175="","",IFERROR(INDEX(DATA_MASTER!$C$2:$C$5000,MATCH($C3175,DATA_MASTER!$D$2:$D$5000,0)),""))</f>
        <v/>
      </c>
      <c r="E3175" s="22">
        <f t="array" ref="E3175">IF($C3175="","",IFERROR(INDEX(DATA_MASTER!$I$2:$I$5000,MATCH($C3175,DATA_MASTER!$D$2:$D$5000,0)),""))</f>
        <v/>
      </c>
      <c r="F3175" s="22">
        <f t="array" ref="F3175">IF($C3175="","",IFERROR(INDEX(DATA_MASTER!$L$2:$L$5000,MATCH($C3175,DATA_MASTER!$D$2:$D$5000,0)),""))</f>
        <v/>
      </c>
      <c r="G3175" s="24" t="n"/>
      <c r="H3175" s="24" t="n"/>
      <c r="I3175" s="30" t="n"/>
      <c r="J3175" s="23">
        <f>IF(OR($H3175="",$I3175=""),"",$H3175*$I3175)</f>
        <v/>
      </c>
      <c r="K3175" s="24" t="n"/>
      <c r="L3175" s="24" t="n"/>
      <c r="M3175" s="29" t="n"/>
      <c r="N3175" s="28" t="n"/>
      <c r="O3175" s="24" t="n"/>
      <c r="P3175" s="24" t="n"/>
      <c r="Q3175" s="24" t="n"/>
      <c r="R3175" s="24" t="n"/>
      <c r="S3175" s="22">
        <f>IF(AND($A3175="",$C3175=""),"",IF($A3175="","Thiếu mã đơn; ","")&amp;IF(COUNTIF($A$2:$A3175,$A3175)&gt;1,"Trùng mã đơn; ","")&amp;IF(ISNA(MATCH($C3175,DATA_MASTER!$D$2:$D$5000,0)),"SĐT chưa đăng ký hội viên; ","")&amp;IF(AND($L3175="Đã chuyển khoản",$M3175=""),"Thiếu ngày nhận CK; ",""))</f>
        <v/>
      </c>
      <c r="T3175" s="24" t="n"/>
    </row>
    <row r="3176" ht="14.25" customHeight="1" s="40">
      <c r="A3176" s="24" t="n"/>
      <c r="B3176" s="29" t="n"/>
      <c r="C3176" s="28" t="n"/>
      <c r="D3176" s="22">
        <f t="array" ref="D3176">IF($C3176="","",IFERROR(INDEX(DATA_MASTER!$C$2:$C$5000,MATCH($C3176,DATA_MASTER!$D$2:$D$5000,0)),""))</f>
        <v/>
      </c>
      <c r="E3176" s="22">
        <f t="array" ref="E3176">IF($C3176="","",IFERROR(INDEX(DATA_MASTER!$I$2:$I$5000,MATCH($C3176,DATA_MASTER!$D$2:$D$5000,0)),""))</f>
        <v/>
      </c>
      <c r="F3176" s="22">
        <f t="array" ref="F3176">IF($C3176="","",IFERROR(INDEX(DATA_MASTER!$L$2:$L$5000,MATCH($C3176,DATA_MASTER!$D$2:$D$5000,0)),""))</f>
        <v/>
      </c>
      <c r="G3176" s="24" t="n"/>
      <c r="H3176" s="24" t="n"/>
      <c r="I3176" s="30" t="n"/>
      <c r="J3176" s="23">
        <f>IF(OR($H3176="",$I3176=""),"",$H3176*$I3176)</f>
        <v/>
      </c>
      <c r="K3176" s="24" t="n"/>
      <c r="L3176" s="24" t="n"/>
      <c r="M3176" s="29" t="n"/>
      <c r="N3176" s="28" t="n"/>
      <c r="O3176" s="24" t="n"/>
      <c r="P3176" s="24" t="n"/>
      <c r="Q3176" s="24" t="n"/>
      <c r="R3176" s="24" t="n"/>
      <c r="S3176" s="22">
        <f>IF(AND($A3176="",$C3176=""),"",IF($A3176="","Thiếu mã đơn; ","")&amp;IF(COUNTIF($A$2:$A3176,$A3176)&gt;1,"Trùng mã đơn; ","")&amp;IF(ISNA(MATCH($C3176,DATA_MASTER!$D$2:$D$5000,0)),"SĐT chưa đăng ký hội viên; ","")&amp;IF(AND($L3176="Đã chuyển khoản",$M3176=""),"Thiếu ngày nhận CK; ",""))</f>
        <v/>
      </c>
      <c r="T3176" s="24" t="n"/>
    </row>
    <row r="3177" ht="14.25" customHeight="1" s="40">
      <c r="A3177" s="24" t="n"/>
      <c r="B3177" s="29" t="n"/>
      <c r="C3177" s="28" t="n"/>
      <c r="D3177" s="22">
        <f t="array" ref="D3177">IF($C3177="","",IFERROR(INDEX(DATA_MASTER!$C$2:$C$5000,MATCH($C3177,DATA_MASTER!$D$2:$D$5000,0)),""))</f>
        <v/>
      </c>
      <c r="E3177" s="22">
        <f t="array" ref="E3177">IF($C3177="","",IFERROR(INDEX(DATA_MASTER!$I$2:$I$5000,MATCH($C3177,DATA_MASTER!$D$2:$D$5000,0)),""))</f>
        <v/>
      </c>
      <c r="F3177" s="22">
        <f t="array" ref="F3177">IF($C3177="","",IFERROR(INDEX(DATA_MASTER!$L$2:$L$5000,MATCH($C3177,DATA_MASTER!$D$2:$D$5000,0)),""))</f>
        <v/>
      </c>
      <c r="G3177" s="24" t="n"/>
      <c r="H3177" s="24" t="n"/>
      <c r="I3177" s="30" t="n"/>
      <c r="J3177" s="23">
        <f>IF(OR($H3177="",$I3177=""),"",$H3177*$I3177)</f>
        <v/>
      </c>
      <c r="K3177" s="24" t="n"/>
      <c r="L3177" s="24" t="n"/>
      <c r="M3177" s="29" t="n"/>
      <c r="N3177" s="28" t="n"/>
      <c r="O3177" s="24" t="n"/>
      <c r="P3177" s="24" t="n"/>
      <c r="Q3177" s="24" t="n"/>
      <c r="R3177" s="24" t="n"/>
      <c r="S3177" s="22">
        <f>IF(AND($A3177="",$C3177=""),"",IF($A3177="","Thiếu mã đơn; ","")&amp;IF(COUNTIF($A$2:$A3177,$A3177)&gt;1,"Trùng mã đơn; ","")&amp;IF(ISNA(MATCH($C3177,DATA_MASTER!$D$2:$D$5000,0)),"SĐT chưa đăng ký hội viên; ","")&amp;IF(AND($L3177="Đã chuyển khoản",$M3177=""),"Thiếu ngày nhận CK; ",""))</f>
        <v/>
      </c>
      <c r="T3177" s="24" t="n"/>
    </row>
    <row r="3178" ht="14.25" customHeight="1" s="40">
      <c r="A3178" s="24" t="n"/>
      <c r="B3178" s="29" t="n"/>
      <c r="C3178" s="28" t="n"/>
      <c r="D3178" s="22">
        <f t="array" ref="D3178">IF($C3178="","",IFERROR(INDEX(DATA_MASTER!$C$2:$C$5000,MATCH($C3178,DATA_MASTER!$D$2:$D$5000,0)),""))</f>
        <v/>
      </c>
      <c r="E3178" s="22">
        <f t="array" ref="E3178">IF($C3178="","",IFERROR(INDEX(DATA_MASTER!$I$2:$I$5000,MATCH($C3178,DATA_MASTER!$D$2:$D$5000,0)),""))</f>
        <v/>
      </c>
      <c r="F3178" s="22">
        <f t="array" ref="F3178">IF($C3178="","",IFERROR(INDEX(DATA_MASTER!$L$2:$L$5000,MATCH($C3178,DATA_MASTER!$D$2:$D$5000,0)),""))</f>
        <v/>
      </c>
      <c r="G3178" s="24" t="n"/>
      <c r="H3178" s="24" t="n"/>
      <c r="I3178" s="30" t="n"/>
      <c r="J3178" s="23">
        <f>IF(OR($H3178="",$I3178=""),"",$H3178*$I3178)</f>
        <v/>
      </c>
      <c r="K3178" s="24" t="n"/>
      <c r="L3178" s="24" t="n"/>
      <c r="M3178" s="29" t="n"/>
      <c r="N3178" s="28" t="n"/>
      <c r="O3178" s="24" t="n"/>
      <c r="P3178" s="24" t="n"/>
      <c r="Q3178" s="24" t="n"/>
      <c r="R3178" s="24" t="n"/>
      <c r="S3178" s="22">
        <f>IF(AND($A3178="",$C3178=""),"",IF($A3178="","Thiếu mã đơn; ","")&amp;IF(COUNTIF($A$2:$A3178,$A3178)&gt;1,"Trùng mã đơn; ","")&amp;IF(ISNA(MATCH($C3178,DATA_MASTER!$D$2:$D$5000,0)),"SĐT chưa đăng ký hội viên; ","")&amp;IF(AND($L3178="Đã chuyển khoản",$M3178=""),"Thiếu ngày nhận CK; ",""))</f>
        <v/>
      </c>
      <c r="T3178" s="24" t="n"/>
    </row>
    <row r="3179" ht="14.25" customHeight="1" s="40">
      <c r="A3179" s="24" t="n"/>
      <c r="B3179" s="29" t="n"/>
      <c r="C3179" s="28" t="n"/>
      <c r="D3179" s="22">
        <f t="array" ref="D3179">IF($C3179="","",IFERROR(INDEX(DATA_MASTER!$C$2:$C$5000,MATCH($C3179,DATA_MASTER!$D$2:$D$5000,0)),""))</f>
        <v/>
      </c>
      <c r="E3179" s="22">
        <f t="array" ref="E3179">IF($C3179="","",IFERROR(INDEX(DATA_MASTER!$I$2:$I$5000,MATCH($C3179,DATA_MASTER!$D$2:$D$5000,0)),""))</f>
        <v/>
      </c>
      <c r="F3179" s="22">
        <f t="array" ref="F3179">IF($C3179="","",IFERROR(INDEX(DATA_MASTER!$L$2:$L$5000,MATCH($C3179,DATA_MASTER!$D$2:$D$5000,0)),""))</f>
        <v/>
      </c>
      <c r="G3179" s="24" t="n"/>
      <c r="H3179" s="24" t="n"/>
      <c r="I3179" s="30" t="n"/>
      <c r="J3179" s="23">
        <f>IF(OR($H3179="",$I3179=""),"",$H3179*$I3179)</f>
        <v/>
      </c>
      <c r="K3179" s="24" t="n"/>
      <c r="L3179" s="24" t="n"/>
      <c r="M3179" s="29" t="n"/>
      <c r="N3179" s="28" t="n"/>
      <c r="O3179" s="24" t="n"/>
      <c r="P3179" s="24" t="n"/>
      <c r="Q3179" s="24" t="n"/>
      <c r="R3179" s="24" t="n"/>
      <c r="S3179" s="22">
        <f>IF(AND($A3179="",$C3179=""),"",IF($A3179="","Thiếu mã đơn; ","")&amp;IF(COUNTIF($A$2:$A3179,$A3179)&gt;1,"Trùng mã đơn; ","")&amp;IF(ISNA(MATCH($C3179,DATA_MASTER!$D$2:$D$5000,0)),"SĐT chưa đăng ký hội viên; ","")&amp;IF(AND($L3179="Đã chuyển khoản",$M3179=""),"Thiếu ngày nhận CK; ",""))</f>
        <v/>
      </c>
      <c r="T3179" s="24" t="n"/>
    </row>
    <row r="3180" ht="14.25" customHeight="1" s="40">
      <c r="A3180" s="24" t="n"/>
      <c r="B3180" s="29" t="n"/>
      <c r="C3180" s="28" t="n"/>
      <c r="D3180" s="22">
        <f t="array" ref="D3180">IF($C3180="","",IFERROR(INDEX(DATA_MASTER!$C$2:$C$5000,MATCH($C3180,DATA_MASTER!$D$2:$D$5000,0)),""))</f>
        <v/>
      </c>
      <c r="E3180" s="22">
        <f t="array" ref="E3180">IF($C3180="","",IFERROR(INDEX(DATA_MASTER!$I$2:$I$5000,MATCH($C3180,DATA_MASTER!$D$2:$D$5000,0)),""))</f>
        <v/>
      </c>
      <c r="F3180" s="22">
        <f t="array" ref="F3180">IF($C3180="","",IFERROR(INDEX(DATA_MASTER!$L$2:$L$5000,MATCH($C3180,DATA_MASTER!$D$2:$D$5000,0)),""))</f>
        <v/>
      </c>
      <c r="G3180" s="24" t="n"/>
      <c r="H3180" s="24" t="n"/>
      <c r="I3180" s="30" t="n"/>
      <c r="J3180" s="23">
        <f>IF(OR($H3180="",$I3180=""),"",$H3180*$I3180)</f>
        <v/>
      </c>
      <c r="K3180" s="24" t="n"/>
      <c r="L3180" s="24" t="n"/>
      <c r="M3180" s="29" t="n"/>
      <c r="N3180" s="28" t="n"/>
      <c r="O3180" s="24" t="n"/>
      <c r="P3180" s="24" t="n"/>
      <c r="Q3180" s="24" t="n"/>
      <c r="R3180" s="24" t="n"/>
      <c r="S3180" s="22">
        <f>IF(AND($A3180="",$C3180=""),"",IF($A3180="","Thiếu mã đơn; ","")&amp;IF(COUNTIF($A$2:$A3180,$A3180)&gt;1,"Trùng mã đơn; ","")&amp;IF(ISNA(MATCH($C3180,DATA_MASTER!$D$2:$D$5000,0)),"SĐT chưa đăng ký hội viên; ","")&amp;IF(AND($L3180="Đã chuyển khoản",$M3180=""),"Thiếu ngày nhận CK; ",""))</f>
        <v/>
      </c>
      <c r="T3180" s="24" t="n"/>
    </row>
    <row r="3181" ht="14.25" customHeight="1" s="40">
      <c r="A3181" s="24" t="n"/>
      <c r="B3181" s="29" t="n"/>
      <c r="C3181" s="28" t="n"/>
      <c r="D3181" s="22">
        <f t="array" ref="D3181">IF($C3181="","",IFERROR(INDEX(DATA_MASTER!$C$2:$C$5000,MATCH($C3181,DATA_MASTER!$D$2:$D$5000,0)),""))</f>
        <v/>
      </c>
      <c r="E3181" s="22">
        <f t="array" ref="E3181">IF($C3181="","",IFERROR(INDEX(DATA_MASTER!$I$2:$I$5000,MATCH($C3181,DATA_MASTER!$D$2:$D$5000,0)),""))</f>
        <v/>
      </c>
      <c r="F3181" s="22">
        <f t="array" ref="F3181">IF($C3181="","",IFERROR(INDEX(DATA_MASTER!$L$2:$L$5000,MATCH($C3181,DATA_MASTER!$D$2:$D$5000,0)),""))</f>
        <v/>
      </c>
      <c r="G3181" s="24" t="n"/>
      <c r="H3181" s="24" t="n"/>
      <c r="I3181" s="30" t="n"/>
      <c r="J3181" s="23">
        <f>IF(OR($H3181="",$I3181=""),"",$H3181*$I3181)</f>
        <v/>
      </c>
      <c r="K3181" s="24" t="n"/>
      <c r="L3181" s="24" t="n"/>
      <c r="M3181" s="29" t="n"/>
      <c r="N3181" s="28" t="n"/>
      <c r="O3181" s="24" t="n"/>
      <c r="P3181" s="24" t="n"/>
      <c r="Q3181" s="24" t="n"/>
      <c r="R3181" s="24" t="n"/>
      <c r="S3181" s="22">
        <f>IF(AND($A3181="",$C3181=""),"",IF($A3181="","Thiếu mã đơn; ","")&amp;IF(COUNTIF($A$2:$A3181,$A3181)&gt;1,"Trùng mã đơn; ","")&amp;IF(ISNA(MATCH($C3181,DATA_MASTER!$D$2:$D$5000,0)),"SĐT chưa đăng ký hội viên; ","")&amp;IF(AND($L3181="Đã chuyển khoản",$M3181=""),"Thiếu ngày nhận CK; ",""))</f>
        <v/>
      </c>
      <c r="T3181" s="24" t="n"/>
    </row>
    <row r="3182" ht="14.25" customHeight="1" s="40">
      <c r="A3182" s="24" t="n"/>
      <c r="B3182" s="29" t="n"/>
      <c r="C3182" s="28" t="n"/>
      <c r="D3182" s="22">
        <f t="array" ref="D3182">IF($C3182="","",IFERROR(INDEX(DATA_MASTER!$C$2:$C$5000,MATCH($C3182,DATA_MASTER!$D$2:$D$5000,0)),""))</f>
        <v/>
      </c>
      <c r="E3182" s="22">
        <f t="array" ref="E3182">IF($C3182="","",IFERROR(INDEX(DATA_MASTER!$I$2:$I$5000,MATCH($C3182,DATA_MASTER!$D$2:$D$5000,0)),""))</f>
        <v/>
      </c>
      <c r="F3182" s="22">
        <f t="array" ref="F3182">IF($C3182="","",IFERROR(INDEX(DATA_MASTER!$L$2:$L$5000,MATCH($C3182,DATA_MASTER!$D$2:$D$5000,0)),""))</f>
        <v/>
      </c>
      <c r="G3182" s="24" t="n"/>
      <c r="H3182" s="24" t="n"/>
      <c r="I3182" s="30" t="n"/>
      <c r="J3182" s="23">
        <f>IF(OR($H3182="",$I3182=""),"",$H3182*$I3182)</f>
        <v/>
      </c>
      <c r="K3182" s="24" t="n"/>
      <c r="L3182" s="24" t="n"/>
      <c r="M3182" s="29" t="n"/>
      <c r="N3182" s="28" t="n"/>
      <c r="O3182" s="24" t="n"/>
      <c r="P3182" s="24" t="n"/>
      <c r="Q3182" s="24" t="n"/>
      <c r="R3182" s="24" t="n"/>
      <c r="S3182" s="22">
        <f>IF(AND($A3182="",$C3182=""),"",IF($A3182="","Thiếu mã đơn; ","")&amp;IF(COUNTIF($A$2:$A3182,$A3182)&gt;1,"Trùng mã đơn; ","")&amp;IF(ISNA(MATCH($C3182,DATA_MASTER!$D$2:$D$5000,0)),"SĐT chưa đăng ký hội viên; ","")&amp;IF(AND($L3182="Đã chuyển khoản",$M3182=""),"Thiếu ngày nhận CK; ",""))</f>
        <v/>
      </c>
      <c r="T3182" s="24" t="n"/>
    </row>
    <row r="3183" ht="14.25" customHeight="1" s="40">
      <c r="A3183" s="24" t="n"/>
      <c r="B3183" s="29" t="n"/>
      <c r="C3183" s="28" t="n"/>
      <c r="D3183" s="22">
        <f t="array" ref="D3183">IF($C3183="","",IFERROR(INDEX(DATA_MASTER!$C$2:$C$5000,MATCH($C3183,DATA_MASTER!$D$2:$D$5000,0)),""))</f>
        <v/>
      </c>
      <c r="E3183" s="22">
        <f t="array" ref="E3183">IF($C3183="","",IFERROR(INDEX(DATA_MASTER!$I$2:$I$5000,MATCH($C3183,DATA_MASTER!$D$2:$D$5000,0)),""))</f>
        <v/>
      </c>
      <c r="F3183" s="22">
        <f t="array" ref="F3183">IF($C3183="","",IFERROR(INDEX(DATA_MASTER!$L$2:$L$5000,MATCH($C3183,DATA_MASTER!$D$2:$D$5000,0)),""))</f>
        <v/>
      </c>
      <c r="G3183" s="24" t="n"/>
      <c r="H3183" s="24" t="n"/>
      <c r="I3183" s="30" t="n"/>
      <c r="J3183" s="23">
        <f>IF(OR($H3183="",$I3183=""),"",$H3183*$I3183)</f>
        <v/>
      </c>
      <c r="K3183" s="24" t="n"/>
      <c r="L3183" s="24" t="n"/>
      <c r="M3183" s="29" t="n"/>
      <c r="N3183" s="28" t="n"/>
      <c r="O3183" s="24" t="n"/>
      <c r="P3183" s="24" t="n"/>
      <c r="Q3183" s="24" t="n"/>
      <c r="R3183" s="24" t="n"/>
      <c r="S3183" s="22">
        <f>IF(AND($A3183="",$C3183=""),"",IF($A3183="","Thiếu mã đơn; ","")&amp;IF(COUNTIF($A$2:$A3183,$A3183)&gt;1,"Trùng mã đơn; ","")&amp;IF(ISNA(MATCH($C3183,DATA_MASTER!$D$2:$D$5000,0)),"SĐT chưa đăng ký hội viên; ","")&amp;IF(AND($L3183="Đã chuyển khoản",$M3183=""),"Thiếu ngày nhận CK; ",""))</f>
        <v/>
      </c>
      <c r="T3183" s="24" t="n"/>
    </row>
    <row r="3184" ht="14.25" customHeight="1" s="40">
      <c r="A3184" s="24" t="n"/>
      <c r="B3184" s="29" t="n"/>
      <c r="C3184" s="28" t="n"/>
      <c r="D3184" s="22">
        <f t="array" ref="D3184">IF($C3184="","",IFERROR(INDEX(DATA_MASTER!$C$2:$C$5000,MATCH($C3184,DATA_MASTER!$D$2:$D$5000,0)),""))</f>
        <v/>
      </c>
      <c r="E3184" s="22">
        <f t="array" ref="E3184">IF($C3184="","",IFERROR(INDEX(DATA_MASTER!$I$2:$I$5000,MATCH($C3184,DATA_MASTER!$D$2:$D$5000,0)),""))</f>
        <v/>
      </c>
      <c r="F3184" s="22">
        <f t="array" ref="F3184">IF($C3184="","",IFERROR(INDEX(DATA_MASTER!$L$2:$L$5000,MATCH($C3184,DATA_MASTER!$D$2:$D$5000,0)),""))</f>
        <v/>
      </c>
      <c r="G3184" s="24" t="n"/>
      <c r="H3184" s="24" t="n"/>
      <c r="I3184" s="30" t="n"/>
      <c r="J3184" s="23">
        <f>IF(OR($H3184="",$I3184=""),"",$H3184*$I3184)</f>
        <v/>
      </c>
      <c r="K3184" s="24" t="n"/>
      <c r="L3184" s="24" t="n"/>
      <c r="M3184" s="29" t="n"/>
      <c r="N3184" s="28" t="n"/>
      <c r="O3184" s="24" t="n"/>
      <c r="P3184" s="24" t="n"/>
      <c r="Q3184" s="24" t="n"/>
      <c r="R3184" s="24" t="n"/>
      <c r="S3184" s="22">
        <f>IF(AND($A3184="",$C3184=""),"",IF($A3184="","Thiếu mã đơn; ","")&amp;IF(COUNTIF($A$2:$A3184,$A3184)&gt;1,"Trùng mã đơn; ","")&amp;IF(ISNA(MATCH($C3184,DATA_MASTER!$D$2:$D$5000,0)),"SĐT chưa đăng ký hội viên; ","")&amp;IF(AND($L3184="Đã chuyển khoản",$M3184=""),"Thiếu ngày nhận CK; ",""))</f>
        <v/>
      </c>
      <c r="T3184" s="24" t="n"/>
    </row>
    <row r="3185" ht="14.25" customHeight="1" s="40">
      <c r="A3185" s="24" t="n"/>
      <c r="B3185" s="29" t="n"/>
      <c r="C3185" s="28" t="n"/>
      <c r="D3185" s="22">
        <f t="array" ref="D3185">IF($C3185="","",IFERROR(INDEX(DATA_MASTER!$C$2:$C$5000,MATCH($C3185,DATA_MASTER!$D$2:$D$5000,0)),""))</f>
        <v/>
      </c>
      <c r="E3185" s="22">
        <f t="array" ref="E3185">IF($C3185="","",IFERROR(INDEX(DATA_MASTER!$I$2:$I$5000,MATCH($C3185,DATA_MASTER!$D$2:$D$5000,0)),""))</f>
        <v/>
      </c>
      <c r="F3185" s="22">
        <f t="array" ref="F3185">IF($C3185="","",IFERROR(INDEX(DATA_MASTER!$L$2:$L$5000,MATCH($C3185,DATA_MASTER!$D$2:$D$5000,0)),""))</f>
        <v/>
      </c>
      <c r="G3185" s="24" t="n"/>
      <c r="H3185" s="24" t="n"/>
      <c r="I3185" s="30" t="n"/>
      <c r="J3185" s="23">
        <f>IF(OR($H3185="",$I3185=""),"",$H3185*$I3185)</f>
        <v/>
      </c>
      <c r="K3185" s="24" t="n"/>
      <c r="L3185" s="24" t="n"/>
      <c r="M3185" s="29" t="n"/>
      <c r="N3185" s="28" t="n"/>
      <c r="O3185" s="24" t="n"/>
      <c r="P3185" s="24" t="n"/>
      <c r="Q3185" s="24" t="n"/>
      <c r="R3185" s="24" t="n"/>
      <c r="S3185" s="22">
        <f>IF(AND($A3185="",$C3185=""),"",IF($A3185="","Thiếu mã đơn; ","")&amp;IF(COUNTIF($A$2:$A3185,$A3185)&gt;1,"Trùng mã đơn; ","")&amp;IF(ISNA(MATCH($C3185,DATA_MASTER!$D$2:$D$5000,0)),"SĐT chưa đăng ký hội viên; ","")&amp;IF(AND($L3185="Đã chuyển khoản",$M3185=""),"Thiếu ngày nhận CK; ",""))</f>
        <v/>
      </c>
      <c r="T3185" s="24" t="n"/>
    </row>
    <row r="3186" ht="14.25" customHeight="1" s="40">
      <c r="A3186" s="24" t="n"/>
      <c r="B3186" s="29" t="n"/>
      <c r="C3186" s="28" t="n"/>
      <c r="D3186" s="22">
        <f t="array" ref="D3186">IF($C3186="","",IFERROR(INDEX(DATA_MASTER!$C$2:$C$5000,MATCH($C3186,DATA_MASTER!$D$2:$D$5000,0)),""))</f>
        <v/>
      </c>
      <c r="E3186" s="22">
        <f t="array" ref="E3186">IF($C3186="","",IFERROR(INDEX(DATA_MASTER!$I$2:$I$5000,MATCH($C3186,DATA_MASTER!$D$2:$D$5000,0)),""))</f>
        <v/>
      </c>
      <c r="F3186" s="22">
        <f t="array" ref="F3186">IF($C3186="","",IFERROR(INDEX(DATA_MASTER!$L$2:$L$5000,MATCH($C3186,DATA_MASTER!$D$2:$D$5000,0)),""))</f>
        <v/>
      </c>
      <c r="G3186" s="24" t="n"/>
      <c r="H3186" s="24" t="n"/>
      <c r="I3186" s="30" t="n"/>
      <c r="J3186" s="23">
        <f>IF(OR($H3186="",$I3186=""),"",$H3186*$I3186)</f>
        <v/>
      </c>
      <c r="K3186" s="24" t="n"/>
      <c r="L3186" s="24" t="n"/>
      <c r="M3186" s="29" t="n"/>
      <c r="N3186" s="28" t="n"/>
      <c r="O3186" s="24" t="n"/>
      <c r="P3186" s="24" t="n"/>
      <c r="Q3186" s="24" t="n"/>
      <c r="R3186" s="24" t="n"/>
      <c r="S3186" s="22">
        <f>IF(AND($A3186="",$C3186=""),"",IF($A3186="","Thiếu mã đơn; ","")&amp;IF(COUNTIF($A$2:$A3186,$A3186)&gt;1,"Trùng mã đơn; ","")&amp;IF(ISNA(MATCH($C3186,DATA_MASTER!$D$2:$D$5000,0)),"SĐT chưa đăng ký hội viên; ","")&amp;IF(AND($L3186="Đã chuyển khoản",$M3186=""),"Thiếu ngày nhận CK; ",""))</f>
        <v/>
      </c>
      <c r="T3186" s="24" t="n"/>
    </row>
    <row r="3187" ht="14.25" customHeight="1" s="40">
      <c r="A3187" s="24" t="n"/>
      <c r="B3187" s="29" t="n"/>
      <c r="C3187" s="28" t="n"/>
      <c r="D3187" s="22">
        <f t="array" ref="D3187">IF($C3187="","",IFERROR(INDEX(DATA_MASTER!$C$2:$C$5000,MATCH($C3187,DATA_MASTER!$D$2:$D$5000,0)),""))</f>
        <v/>
      </c>
      <c r="E3187" s="22">
        <f t="array" ref="E3187">IF($C3187="","",IFERROR(INDEX(DATA_MASTER!$I$2:$I$5000,MATCH($C3187,DATA_MASTER!$D$2:$D$5000,0)),""))</f>
        <v/>
      </c>
      <c r="F3187" s="22">
        <f t="array" ref="F3187">IF($C3187="","",IFERROR(INDEX(DATA_MASTER!$L$2:$L$5000,MATCH($C3187,DATA_MASTER!$D$2:$D$5000,0)),""))</f>
        <v/>
      </c>
      <c r="G3187" s="24" t="n"/>
      <c r="H3187" s="24" t="n"/>
      <c r="I3187" s="30" t="n"/>
      <c r="J3187" s="23">
        <f>IF(OR($H3187="",$I3187=""),"",$H3187*$I3187)</f>
        <v/>
      </c>
      <c r="K3187" s="24" t="n"/>
      <c r="L3187" s="24" t="n"/>
      <c r="M3187" s="29" t="n"/>
      <c r="N3187" s="28" t="n"/>
      <c r="O3187" s="24" t="n"/>
      <c r="P3187" s="24" t="n"/>
      <c r="Q3187" s="24" t="n"/>
      <c r="R3187" s="24" t="n"/>
      <c r="S3187" s="22">
        <f>IF(AND($A3187="",$C3187=""),"",IF($A3187="","Thiếu mã đơn; ","")&amp;IF(COUNTIF($A$2:$A3187,$A3187)&gt;1,"Trùng mã đơn; ","")&amp;IF(ISNA(MATCH($C3187,DATA_MASTER!$D$2:$D$5000,0)),"SĐT chưa đăng ký hội viên; ","")&amp;IF(AND($L3187="Đã chuyển khoản",$M3187=""),"Thiếu ngày nhận CK; ",""))</f>
        <v/>
      </c>
      <c r="T3187" s="24" t="n"/>
    </row>
    <row r="3188" ht="14.25" customHeight="1" s="40">
      <c r="A3188" s="24" t="n"/>
      <c r="B3188" s="29" t="n"/>
      <c r="C3188" s="28" t="n"/>
      <c r="D3188" s="22">
        <f t="array" ref="D3188">IF($C3188="","",IFERROR(INDEX(DATA_MASTER!$C$2:$C$5000,MATCH($C3188,DATA_MASTER!$D$2:$D$5000,0)),""))</f>
        <v/>
      </c>
      <c r="E3188" s="22">
        <f t="array" ref="E3188">IF($C3188="","",IFERROR(INDEX(DATA_MASTER!$I$2:$I$5000,MATCH($C3188,DATA_MASTER!$D$2:$D$5000,0)),""))</f>
        <v/>
      </c>
      <c r="F3188" s="22">
        <f t="array" ref="F3188">IF($C3188="","",IFERROR(INDEX(DATA_MASTER!$L$2:$L$5000,MATCH($C3188,DATA_MASTER!$D$2:$D$5000,0)),""))</f>
        <v/>
      </c>
      <c r="G3188" s="24" t="n"/>
      <c r="H3188" s="24" t="n"/>
      <c r="I3188" s="30" t="n"/>
      <c r="J3188" s="23">
        <f>IF(OR($H3188="",$I3188=""),"",$H3188*$I3188)</f>
        <v/>
      </c>
      <c r="K3188" s="24" t="n"/>
      <c r="L3188" s="24" t="n"/>
      <c r="M3188" s="29" t="n"/>
      <c r="N3188" s="28" t="n"/>
      <c r="O3188" s="24" t="n"/>
      <c r="P3188" s="24" t="n"/>
      <c r="Q3188" s="24" t="n"/>
      <c r="R3188" s="24" t="n"/>
      <c r="S3188" s="22">
        <f>IF(AND($A3188="",$C3188=""),"",IF($A3188="","Thiếu mã đơn; ","")&amp;IF(COUNTIF($A$2:$A3188,$A3188)&gt;1,"Trùng mã đơn; ","")&amp;IF(ISNA(MATCH($C3188,DATA_MASTER!$D$2:$D$5000,0)),"SĐT chưa đăng ký hội viên; ","")&amp;IF(AND($L3188="Đã chuyển khoản",$M3188=""),"Thiếu ngày nhận CK; ",""))</f>
        <v/>
      </c>
      <c r="T3188" s="24" t="n"/>
    </row>
    <row r="3189" ht="14.25" customHeight="1" s="40">
      <c r="A3189" s="24" t="n"/>
      <c r="B3189" s="29" t="n"/>
      <c r="C3189" s="28" t="n"/>
      <c r="D3189" s="22">
        <f t="array" ref="D3189">IF($C3189="","",IFERROR(INDEX(DATA_MASTER!$C$2:$C$5000,MATCH($C3189,DATA_MASTER!$D$2:$D$5000,0)),""))</f>
        <v/>
      </c>
      <c r="E3189" s="22">
        <f t="array" ref="E3189">IF($C3189="","",IFERROR(INDEX(DATA_MASTER!$I$2:$I$5000,MATCH($C3189,DATA_MASTER!$D$2:$D$5000,0)),""))</f>
        <v/>
      </c>
      <c r="F3189" s="22">
        <f t="array" ref="F3189">IF($C3189="","",IFERROR(INDEX(DATA_MASTER!$L$2:$L$5000,MATCH($C3189,DATA_MASTER!$D$2:$D$5000,0)),""))</f>
        <v/>
      </c>
      <c r="G3189" s="24" t="n"/>
      <c r="H3189" s="24" t="n"/>
      <c r="I3189" s="30" t="n"/>
      <c r="J3189" s="23">
        <f>IF(OR($H3189="",$I3189=""),"",$H3189*$I3189)</f>
        <v/>
      </c>
      <c r="K3189" s="24" t="n"/>
      <c r="L3189" s="24" t="n"/>
      <c r="M3189" s="29" t="n"/>
      <c r="N3189" s="28" t="n"/>
      <c r="O3189" s="24" t="n"/>
      <c r="P3189" s="24" t="n"/>
      <c r="Q3189" s="24" t="n"/>
      <c r="R3189" s="24" t="n"/>
      <c r="S3189" s="22">
        <f>IF(AND($A3189="",$C3189=""),"",IF($A3189="","Thiếu mã đơn; ","")&amp;IF(COUNTIF($A$2:$A3189,$A3189)&gt;1,"Trùng mã đơn; ","")&amp;IF(ISNA(MATCH($C3189,DATA_MASTER!$D$2:$D$5000,0)),"SĐT chưa đăng ký hội viên; ","")&amp;IF(AND($L3189="Đã chuyển khoản",$M3189=""),"Thiếu ngày nhận CK; ",""))</f>
        <v/>
      </c>
      <c r="T3189" s="24" t="n"/>
    </row>
    <row r="3190" ht="14.25" customHeight="1" s="40">
      <c r="A3190" s="24" t="n"/>
      <c r="B3190" s="29" t="n"/>
      <c r="C3190" s="28" t="n"/>
      <c r="D3190" s="22">
        <f t="array" ref="D3190">IF($C3190="","",IFERROR(INDEX(DATA_MASTER!$C$2:$C$5000,MATCH($C3190,DATA_MASTER!$D$2:$D$5000,0)),""))</f>
        <v/>
      </c>
      <c r="E3190" s="22">
        <f t="array" ref="E3190">IF($C3190="","",IFERROR(INDEX(DATA_MASTER!$I$2:$I$5000,MATCH($C3190,DATA_MASTER!$D$2:$D$5000,0)),""))</f>
        <v/>
      </c>
      <c r="F3190" s="22">
        <f t="array" ref="F3190">IF($C3190="","",IFERROR(INDEX(DATA_MASTER!$L$2:$L$5000,MATCH($C3190,DATA_MASTER!$D$2:$D$5000,0)),""))</f>
        <v/>
      </c>
      <c r="G3190" s="24" t="n"/>
      <c r="H3190" s="24" t="n"/>
      <c r="I3190" s="30" t="n"/>
      <c r="J3190" s="23">
        <f>IF(OR($H3190="",$I3190=""),"",$H3190*$I3190)</f>
        <v/>
      </c>
      <c r="K3190" s="24" t="n"/>
      <c r="L3190" s="24" t="n"/>
      <c r="M3190" s="29" t="n"/>
      <c r="N3190" s="28" t="n"/>
      <c r="O3190" s="24" t="n"/>
      <c r="P3190" s="24" t="n"/>
      <c r="Q3190" s="24" t="n"/>
      <c r="R3190" s="24" t="n"/>
      <c r="S3190" s="22">
        <f>IF(AND($A3190="",$C3190=""),"",IF($A3190="","Thiếu mã đơn; ","")&amp;IF(COUNTIF($A$2:$A3190,$A3190)&gt;1,"Trùng mã đơn; ","")&amp;IF(ISNA(MATCH($C3190,DATA_MASTER!$D$2:$D$5000,0)),"SĐT chưa đăng ký hội viên; ","")&amp;IF(AND($L3190="Đã chuyển khoản",$M3190=""),"Thiếu ngày nhận CK; ",""))</f>
        <v/>
      </c>
      <c r="T3190" s="24" t="n"/>
    </row>
    <row r="3191" ht="14.25" customHeight="1" s="40">
      <c r="A3191" s="24" t="n"/>
      <c r="B3191" s="29" t="n"/>
      <c r="C3191" s="28" t="n"/>
      <c r="D3191" s="22">
        <f t="array" ref="D3191">IF($C3191="","",IFERROR(INDEX(DATA_MASTER!$C$2:$C$5000,MATCH($C3191,DATA_MASTER!$D$2:$D$5000,0)),""))</f>
        <v/>
      </c>
      <c r="E3191" s="22">
        <f t="array" ref="E3191">IF($C3191="","",IFERROR(INDEX(DATA_MASTER!$I$2:$I$5000,MATCH($C3191,DATA_MASTER!$D$2:$D$5000,0)),""))</f>
        <v/>
      </c>
      <c r="F3191" s="22">
        <f t="array" ref="F3191">IF($C3191="","",IFERROR(INDEX(DATA_MASTER!$L$2:$L$5000,MATCH($C3191,DATA_MASTER!$D$2:$D$5000,0)),""))</f>
        <v/>
      </c>
      <c r="G3191" s="24" t="n"/>
      <c r="H3191" s="24" t="n"/>
      <c r="I3191" s="30" t="n"/>
      <c r="J3191" s="23">
        <f>IF(OR($H3191="",$I3191=""),"",$H3191*$I3191)</f>
        <v/>
      </c>
      <c r="K3191" s="24" t="n"/>
      <c r="L3191" s="24" t="n"/>
      <c r="M3191" s="29" t="n"/>
      <c r="N3191" s="28" t="n"/>
      <c r="O3191" s="24" t="n"/>
      <c r="P3191" s="24" t="n"/>
      <c r="Q3191" s="24" t="n"/>
      <c r="R3191" s="24" t="n"/>
      <c r="S3191" s="22">
        <f>IF(AND($A3191="",$C3191=""),"",IF($A3191="","Thiếu mã đơn; ","")&amp;IF(COUNTIF($A$2:$A3191,$A3191)&gt;1,"Trùng mã đơn; ","")&amp;IF(ISNA(MATCH($C3191,DATA_MASTER!$D$2:$D$5000,0)),"SĐT chưa đăng ký hội viên; ","")&amp;IF(AND($L3191="Đã chuyển khoản",$M3191=""),"Thiếu ngày nhận CK; ",""))</f>
        <v/>
      </c>
      <c r="T3191" s="24" t="n"/>
    </row>
    <row r="3192" ht="14.25" customHeight="1" s="40">
      <c r="A3192" s="24" t="n"/>
      <c r="B3192" s="29" t="n"/>
      <c r="C3192" s="28" t="n"/>
      <c r="D3192" s="22">
        <f t="array" ref="D3192">IF($C3192="","",IFERROR(INDEX(DATA_MASTER!$C$2:$C$5000,MATCH($C3192,DATA_MASTER!$D$2:$D$5000,0)),""))</f>
        <v/>
      </c>
      <c r="E3192" s="22">
        <f t="array" ref="E3192">IF($C3192="","",IFERROR(INDEX(DATA_MASTER!$I$2:$I$5000,MATCH($C3192,DATA_MASTER!$D$2:$D$5000,0)),""))</f>
        <v/>
      </c>
      <c r="F3192" s="22">
        <f t="array" ref="F3192">IF($C3192="","",IFERROR(INDEX(DATA_MASTER!$L$2:$L$5000,MATCH($C3192,DATA_MASTER!$D$2:$D$5000,0)),""))</f>
        <v/>
      </c>
      <c r="G3192" s="24" t="n"/>
      <c r="H3192" s="24" t="n"/>
      <c r="I3192" s="30" t="n"/>
      <c r="J3192" s="23">
        <f>IF(OR($H3192="",$I3192=""),"",$H3192*$I3192)</f>
        <v/>
      </c>
      <c r="K3192" s="24" t="n"/>
      <c r="L3192" s="24" t="n"/>
      <c r="M3192" s="29" t="n"/>
      <c r="N3192" s="28" t="n"/>
      <c r="O3192" s="24" t="n"/>
      <c r="P3192" s="24" t="n"/>
      <c r="Q3192" s="24" t="n"/>
      <c r="R3192" s="24" t="n"/>
      <c r="S3192" s="22">
        <f>IF(AND($A3192="",$C3192=""),"",IF($A3192="","Thiếu mã đơn; ","")&amp;IF(COUNTIF($A$2:$A3192,$A3192)&gt;1,"Trùng mã đơn; ","")&amp;IF(ISNA(MATCH($C3192,DATA_MASTER!$D$2:$D$5000,0)),"SĐT chưa đăng ký hội viên; ","")&amp;IF(AND($L3192="Đã chuyển khoản",$M3192=""),"Thiếu ngày nhận CK; ",""))</f>
        <v/>
      </c>
      <c r="T3192" s="24" t="n"/>
    </row>
    <row r="3193" ht="14.25" customHeight="1" s="40">
      <c r="A3193" s="24" t="n"/>
      <c r="B3193" s="29" t="n"/>
      <c r="C3193" s="28" t="n"/>
      <c r="D3193" s="22">
        <f t="array" ref="D3193">IF($C3193="","",IFERROR(INDEX(DATA_MASTER!$C$2:$C$5000,MATCH($C3193,DATA_MASTER!$D$2:$D$5000,0)),""))</f>
        <v/>
      </c>
      <c r="E3193" s="22">
        <f t="array" ref="E3193">IF($C3193="","",IFERROR(INDEX(DATA_MASTER!$I$2:$I$5000,MATCH($C3193,DATA_MASTER!$D$2:$D$5000,0)),""))</f>
        <v/>
      </c>
      <c r="F3193" s="22">
        <f t="array" ref="F3193">IF($C3193="","",IFERROR(INDEX(DATA_MASTER!$L$2:$L$5000,MATCH($C3193,DATA_MASTER!$D$2:$D$5000,0)),""))</f>
        <v/>
      </c>
      <c r="G3193" s="24" t="n"/>
      <c r="H3193" s="24" t="n"/>
      <c r="I3193" s="30" t="n"/>
      <c r="J3193" s="23">
        <f>IF(OR($H3193="",$I3193=""),"",$H3193*$I3193)</f>
        <v/>
      </c>
      <c r="K3193" s="24" t="n"/>
      <c r="L3193" s="24" t="n"/>
      <c r="M3193" s="29" t="n"/>
      <c r="N3193" s="28" t="n"/>
      <c r="O3193" s="24" t="n"/>
      <c r="P3193" s="24" t="n"/>
      <c r="Q3193" s="24" t="n"/>
      <c r="R3193" s="24" t="n"/>
      <c r="S3193" s="22">
        <f>IF(AND($A3193="",$C3193=""),"",IF($A3193="","Thiếu mã đơn; ","")&amp;IF(COUNTIF($A$2:$A3193,$A3193)&gt;1,"Trùng mã đơn; ","")&amp;IF(ISNA(MATCH($C3193,DATA_MASTER!$D$2:$D$5000,0)),"SĐT chưa đăng ký hội viên; ","")&amp;IF(AND($L3193="Đã chuyển khoản",$M3193=""),"Thiếu ngày nhận CK; ",""))</f>
        <v/>
      </c>
      <c r="T3193" s="24" t="n"/>
    </row>
    <row r="3194" ht="14.25" customHeight="1" s="40">
      <c r="A3194" s="24" t="n"/>
      <c r="B3194" s="29" t="n"/>
      <c r="C3194" s="28" t="n"/>
      <c r="D3194" s="22">
        <f t="array" ref="D3194">IF($C3194="","",IFERROR(INDEX(DATA_MASTER!$C$2:$C$5000,MATCH($C3194,DATA_MASTER!$D$2:$D$5000,0)),""))</f>
        <v/>
      </c>
      <c r="E3194" s="22">
        <f t="array" ref="E3194">IF($C3194="","",IFERROR(INDEX(DATA_MASTER!$I$2:$I$5000,MATCH($C3194,DATA_MASTER!$D$2:$D$5000,0)),""))</f>
        <v/>
      </c>
      <c r="F3194" s="22">
        <f t="array" ref="F3194">IF($C3194="","",IFERROR(INDEX(DATA_MASTER!$L$2:$L$5000,MATCH($C3194,DATA_MASTER!$D$2:$D$5000,0)),""))</f>
        <v/>
      </c>
      <c r="G3194" s="24" t="n"/>
      <c r="H3194" s="24" t="n"/>
      <c r="I3194" s="30" t="n"/>
      <c r="J3194" s="23">
        <f>IF(OR($H3194="",$I3194=""),"",$H3194*$I3194)</f>
        <v/>
      </c>
      <c r="K3194" s="24" t="n"/>
      <c r="L3194" s="24" t="n"/>
      <c r="M3194" s="29" t="n"/>
      <c r="N3194" s="28" t="n"/>
      <c r="O3194" s="24" t="n"/>
      <c r="P3194" s="24" t="n"/>
      <c r="Q3194" s="24" t="n"/>
      <c r="R3194" s="24" t="n"/>
      <c r="S3194" s="22">
        <f>IF(AND($A3194="",$C3194=""),"",IF($A3194="","Thiếu mã đơn; ","")&amp;IF(COUNTIF($A$2:$A3194,$A3194)&gt;1,"Trùng mã đơn; ","")&amp;IF(ISNA(MATCH($C3194,DATA_MASTER!$D$2:$D$5000,0)),"SĐT chưa đăng ký hội viên; ","")&amp;IF(AND($L3194="Đã chuyển khoản",$M3194=""),"Thiếu ngày nhận CK; ",""))</f>
        <v/>
      </c>
      <c r="T3194" s="24" t="n"/>
    </row>
    <row r="3195" ht="14.25" customHeight="1" s="40">
      <c r="A3195" s="24" t="n"/>
      <c r="B3195" s="29" t="n"/>
      <c r="C3195" s="28" t="n"/>
      <c r="D3195" s="22">
        <f t="array" ref="D3195">IF($C3195="","",IFERROR(INDEX(DATA_MASTER!$C$2:$C$5000,MATCH($C3195,DATA_MASTER!$D$2:$D$5000,0)),""))</f>
        <v/>
      </c>
      <c r="E3195" s="22">
        <f t="array" ref="E3195">IF($C3195="","",IFERROR(INDEX(DATA_MASTER!$I$2:$I$5000,MATCH($C3195,DATA_MASTER!$D$2:$D$5000,0)),""))</f>
        <v/>
      </c>
      <c r="F3195" s="22">
        <f t="array" ref="F3195">IF($C3195="","",IFERROR(INDEX(DATA_MASTER!$L$2:$L$5000,MATCH($C3195,DATA_MASTER!$D$2:$D$5000,0)),""))</f>
        <v/>
      </c>
      <c r="G3195" s="24" t="n"/>
      <c r="H3195" s="24" t="n"/>
      <c r="I3195" s="30" t="n"/>
      <c r="J3195" s="23">
        <f>IF(OR($H3195="",$I3195=""),"",$H3195*$I3195)</f>
        <v/>
      </c>
      <c r="K3195" s="24" t="n"/>
      <c r="L3195" s="24" t="n"/>
      <c r="M3195" s="29" t="n"/>
      <c r="N3195" s="28" t="n"/>
      <c r="O3195" s="24" t="n"/>
      <c r="P3195" s="24" t="n"/>
      <c r="Q3195" s="24" t="n"/>
      <c r="R3195" s="24" t="n"/>
      <c r="S3195" s="22">
        <f>IF(AND($A3195="",$C3195=""),"",IF($A3195="","Thiếu mã đơn; ","")&amp;IF(COUNTIF($A$2:$A3195,$A3195)&gt;1,"Trùng mã đơn; ","")&amp;IF(ISNA(MATCH($C3195,DATA_MASTER!$D$2:$D$5000,0)),"SĐT chưa đăng ký hội viên; ","")&amp;IF(AND($L3195="Đã chuyển khoản",$M3195=""),"Thiếu ngày nhận CK; ",""))</f>
        <v/>
      </c>
      <c r="T3195" s="24" t="n"/>
    </row>
    <row r="3196" ht="14.25" customHeight="1" s="40">
      <c r="A3196" s="24" t="n"/>
      <c r="B3196" s="29" t="n"/>
      <c r="C3196" s="28" t="n"/>
      <c r="D3196" s="22">
        <f t="array" ref="D3196">IF($C3196="","",IFERROR(INDEX(DATA_MASTER!$C$2:$C$5000,MATCH($C3196,DATA_MASTER!$D$2:$D$5000,0)),""))</f>
        <v/>
      </c>
      <c r="E3196" s="22">
        <f t="array" ref="E3196">IF($C3196="","",IFERROR(INDEX(DATA_MASTER!$I$2:$I$5000,MATCH($C3196,DATA_MASTER!$D$2:$D$5000,0)),""))</f>
        <v/>
      </c>
      <c r="F3196" s="22">
        <f t="array" ref="F3196">IF($C3196="","",IFERROR(INDEX(DATA_MASTER!$L$2:$L$5000,MATCH($C3196,DATA_MASTER!$D$2:$D$5000,0)),""))</f>
        <v/>
      </c>
      <c r="G3196" s="24" t="n"/>
      <c r="H3196" s="24" t="n"/>
      <c r="I3196" s="30" t="n"/>
      <c r="J3196" s="23">
        <f>IF(OR($H3196="",$I3196=""),"",$H3196*$I3196)</f>
        <v/>
      </c>
      <c r="K3196" s="24" t="n"/>
      <c r="L3196" s="24" t="n"/>
      <c r="M3196" s="29" t="n"/>
      <c r="N3196" s="28" t="n"/>
      <c r="O3196" s="24" t="n"/>
      <c r="P3196" s="24" t="n"/>
      <c r="Q3196" s="24" t="n"/>
      <c r="R3196" s="24" t="n"/>
      <c r="S3196" s="22">
        <f>IF(AND($A3196="",$C3196=""),"",IF($A3196="","Thiếu mã đơn; ","")&amp;IF(COUNTIF($A$2:$A3196,$A3196)&gt;1,"Trùng mã đơn; ","")&amp;IF(ISNA(MATCH($C3196,DATA_MASTER!$D$2:$D$5000,0)),"SĐT chưa đăng ký hội viên; ","")&amp;IF(AND($L3196="Đã chuyển khoản",$M3196=""),"Thiếu ngày nhận CK; ",""))</f>
        <v/>
      </c>
      <c r="T3196" s="24" t="n"/>
    </row>
    <row r="3197" ht="14.25" customHeight="1" s="40">
      <c r="A3197" s="24" t="n"/>
      <c r="B3197" s="29" t="n"/>
      <c r="C3197" s="28" t="n"/>
      <c r="D3197" s="22">
        <f t="array" ref="D3197">IF($C3197="","",IFERROR(INDEX(DATA_MASTER!$C$2:$C$5000,MATCH($C3197,DATA_MASTER!$D$2:$D$5000,0)),""))</f>
        <v/>
      </c>
      <c r="E3197" s="22">
        <f t="array" ref="E3197">IF($C3197="","",IFERROR(INDEX(DATA_MASTER!$I$2:$I$5000,MATCH($C3197,DATA_MASTER!$D$2:$D$5000,0)),""))</f>
        <v/>
      </c>
      <c r="F3197" s="22">
        <f t="array" ref="F3197">IF($C3197="","",IFERROR(INDEX(DATA_MASTER!$L$2:$L$5000,MATCH($C3197,DATA_MASTER!$D$2:$D$5000,0)),""))</f>
        <v/>
      </c>
      <c r="G3197" s="24" t="n"/>
      <c r="H3197" s="24" t="n"/>
      <c r="I3197" s="30" t="n"/>
      <c r="J3197" s="23">
        <f>IF(OR($H3197="",$I3197=""),"",$H3197*$I3197)</f>
        <v/>
      </c>
      <c r="K3197" s="24" t="n"/>
      <c r="L3197" s="24" t="n"/>
      <c r="M3197" s="29" t="n"/>
      <c r="N3197" s="28" t="n"/>
      <c r="O3197" s="24" t="n"/>
      <c r="P3197" s="24" t="n"/>
      <c r="Q3197" s="24" t="n"/>
      <c r="R3197" s="24" t="n"/>
      <c r="S3197" s="22">
        <f>IF(AND($A3197="",$C3197=""),"",IF($A3197="","Thiếu mã đơn; ","")&amp;IF(COUNTIF($A$2:$A3197,$A3197)&gt;1,"Trùng mã đơn; ","")&amp;IF(ISNA(MATCH($C3197,DATA_MASTER!$D$2:$D$5000,0)),"SĐT chưa đăng ký hội viên; ","")&amp;IF(AND($L3197="Đã chuyển khoản",$M3197=""),"Thiếu ngày nhận CK; ",""))</f>
        <v/>
      </c>
      <c r="T3197" s="24" t="n"/>
    </row>
    <row r="3198" ht="14.25" customHeight="1" s="40">
      <c r="A3198" s="24" t="n"/>
      <c r="B3198" s="29" t="n"/>
      <c r="C3198" s="28" t="n"/>
      <c r="D3198" s="22">
        <f t="array" ref="D3198">IF($C3198="","",IFERROR(INDEX(DATA_MASTER!$C$2:$C$5000,MATCH($C3198,DATA_MASTER!$D$2:$D$5000,0)),""))</f>
        <v/>
      </c>
      <c r="E3198" s="22">
        <f t="array" ref="E3198">IF($C3198="","",IFERROR(INDEX(DATA_MASTER!$I$2:$I$5000,MATCH($C3198,DATA_MASTER!$D$2:$D$5000,0)),""))</f>
        <v/>
      </c>
      <c r="F3198" s="22">
        <f t="array" ref="F3198">IF($C3198="","",IFERROR(INDEX(DATA_MASTER!$L$2:$L$5000,MATCH($C3198,DATA_MASTER!$D$2:$D$5000,0)),""))</f>
        <v/>
      </c>
      <c r="G3198" s="24" t="n"/>
      <c r="H3198" s="24" t="n"/>
      <c r="I3198" s="30" t="n"/>
      <c r="J3198" s="23">
        <f>IF(OR($H3198="",$I3198=""),"",$H3198*$I3198)</f>
        <v/>
      </c>
      <c r="K3198" s="24" t="n"/>
      <c r="L3198" s="24" t="n"/>
      <c r="M3198" s="29" t="n"/>
      <c r="N3198" s="28" t="n"/>
      <c r="O3198" s="24" t="n"/>
      <c r="P3198" s="24" t="n"/>
      <c r="Q3198" s="24" t="n"/>
      <c r="R3198" s="24" t="n"/>
      <c r="S3198" s="22">
        <f>IF(AND($A3198="",$C3198=""),"",IF($A3198="","Thiếu mã đơn; ","")&amp;IF(COUNTIF($A$2:$A3198,$A3198)&gt;1,"Trùng mã đơn; ","")&amp;IF(ISNA(MATCH($C3198,DATA_MASTER!$D$2:$D$5000,0)),"SĐT chưa đăng ký hội viên; ","")&amp;IF(AND($L3198="Đã chuyển khoản",$M3198=""),"Thiếu ngày nhận CK; ",""))</f>
        <v/>
      </c>
      <c r="T3198" s="24" t="n"/>
    </row>
    <row r="3199" ht="14.25" customHeight="1" s="40">
      <c r="A3199" s="24" t="n"/>
      <c r="B3199" s="29" t="n"/>
      <c r="C3199" s="28" t="n"/>
      <c r="D3199" s="22">
        <f t="array" ref="D3199">IF($C3199="","",IFERROR(INDEX(DATA_MASTER!$C$2:$C$5000,MATCH($C3199,DATA_MASTER!$D$2:$D$5000,0)),""))</f>
        <v/>
      </c>
      <c r="E3199" s="22">
        <f t="array" ref="E3199">IF($C3199="","",IFERROR(INDEX(DATA_MASTER!$I$2:$I$5000,MATCH($C3199,DATA_MASTER!$D$2:$D$5000,0)),""))</f>
        <v/>
      </c>
      <c r="F3199" s="22">
        <f t="array" ref="F3199">IF($C3199="","",IFERROR(INDEX(DATA_MASTER!$L$2:$L$5000,MATCH($C3199,DATA_MASTER!$D$2:$D$5000,0)),""))</f>
        <v/>
      </c>
      <c r="G3199" s="24" t="n"/>
      <c r="H3199" s="24" t="n"/>
      <c r="I3199" s="30" t="n"/>
      <c r="J3199" s="23">
        <f>IF(OR($H3199="",$I3199=""),"",$H3199*$I3199)</f>
        <v/>
      </c>
      <c r="K3199" s="24" t="n"/>
      <c r="L3199" s="24" t="n"/>
      <c r="M3199" s="29" t="n"/>
      <c r="N3199" s="28" t="n"/>
      <c r="O3199" s="24" t="n"/>
      <c r="P3199" s="24" t="n"/>
      <c r="Q3199" s="24" t="n"/>
      <c r="R3199" s="24" t="n"/>
      <c r="S3199" s="22">
        <f>IF(AND($A3199="",$C3199=""),"",IF($A3199="","Thiếu mã đơn; ","")&amp;IF(COUNTIF($A$2:$A3199,$A3199)&gt;1,"Trùng mã đơn; ","")&amp;IF(ISNA(MATCH($C3199,DATA_MASTER!$D$2:$D$5000,0)),"SĐT chưa đăng ký hội viên; ","")&amp;IF(AND($L3199="Đã chuyển khoản",$M3199=""),"Thiếu ngày nhận CK; ",""))</f>
        <v/>
      </c>
      <c r="T3199" s="24" t="n"/>
    </row>
    <row r="3200" ht="14.25" customHeight="1" s="40">
      <c r="A3200" s="24" t="n"/>
      <c r="B3200" s="29" t="n"/>
      <c r="C3200" s="28" t="n"/>
      <c r="D3200" s="22">
        <f t="array" ref="D3200">IF($C3200="","",IFERROR(INDEX(DATA_MASTER!$C$2:$C$5000,MATCH($C3200,DATA_MASTER!$D$2:$D$5000,0)),""))</f>
        <v/>
      </c>
      <c r="E3200" s="22">
        <f t="array" ref="E3200">IF($C3200="","",IFERROR(INDEX(DATA_MASTER!$I$2:$I$5000,MATCH($C3200,DATA_MASTER!$D$2:$D$5000,0)),""))</f>
        <v/>
      </c>
      <c r="F3200" s="22">
        <f t="array" ref="F3200">IF($C3200="","",IFERROR(INDEX(DATA_MASTER!$L$2:$L$5000,MATCH($C3200,DATA_MASTER!$D$2:$D$5000,0)),""))</f>
        <v/>
      </c>
      <c r="G3200" s="24" t="n"/>
      <c r="H3200" s="24" t="n"/>
      <c r="I3200" s="30" t="n"/>
      <c r="J3200" s="23">
        <f>IF(OR($H3200="",$I3200=""),"",$H3200*$I3200)</f>
        <v/>
      </c>
      <c r="K3200" s="24" t="n"/>
      <c r="L3200" s="24" t="n"/>
      <c r="M3200" s="29" t="n"/>
      <c r="N3200" s="28" t="n"/>
      <c r="O3200" s="24" t="n"/>
      <c r="P3200" s="24" t="n"/>
      <c r="Q3200" s="24" t="n"/>
      <c r="R3200" s="24" t="n"/>
      <c r="S3200" s="22">
        <f>IF(AND($A3200="",$C3200=""),"",IF($A3200="","Thiếu mã đơn; ","")&amp;IF(COUNTIF($A$2:$A3200,$A3200)&gt;1,"Trùng mã đơn; ","")&amp;IF(ISNA(MATCH($C3200,DATA_MASTER!$D$2:$D$5000,0)),"SĐT chưa đăng ký hội viên; ","")&amp;IF(AND($L3200="Đã chuyển khoản",$M3200=""),"Thiếu ngày nhận CK; ",""))</f>
        <v/>
      </c>
      <c r="T3200" s="24" t="n"/>
    </row>
    <row r="3201" ht="14.25" customHeight="1" s="40">
      <c r="A3201" s="24" t="n"/>
      <c r="B3201" s="29" t="n"/>
      <c r="C3201" s="28" t="n"/>
      <c r="D3201" s="22">
        <f t="array" ref="D3201">IF($C3201="","",IFERROR(INDEX(DATA_MASTER!$C$2:$C$5000,MATCH($C3201,DATA_MASTER!$D$2:$D$5000,0)),""))</f>
        <v/>
      </c>
      <c r="E3201" s="22">
        <f t="array" ref="E3201">IF($C3201="","",IFERROR(INDEX(DATA_MASTER!$I$2:$I$5000,MATCH($C3201,DATA_MASTER!$D$2:$D$5000,0)),""))</f>
        <v/>
      </c>
      <c r="F3201" s="22">
        <f t="array" ref="F3201">IF($C3201="","",IFERROR(INDEX(DATA_MASTER!$L$2:$L$5000,MATCH($C3201,DATA_MASTER!$D$2:$D$5000,0)),""))</f>
        <v/>
      </c>
      <c r="G3201" s="24" t="n"/>
      <c r="H3201" s="24" t="n"/>
      <c r="I3201" s="30" t="n"/>
      <c r="J3201" s="23">
        <f>IF(OR($H3201="",$I3201=""),"",$H3201*$I3201)</f>
        <v/>
      </c>
      <c r="K3201" s="24" t="n"/>
      <c r="L3201" s="24" t="n"/>
      <c r="M3201" s="29" t="n"/>
      <c r="N3201" s="28" t="n"/>
      <c r="O3201" s="24" t="n"/>
      <c r="P3201" s="24" t="n"/>
      <c r="Q3201" s="24" t="n"/>
      <c r="R3201" s="24" t="n"/>
      <c r="S3201" s="22">
        <f>IF(AND($A3201="",$C3201=""),"",IF($A3201="","Thiếu mã đơn; ","")&amp;IF(COUNTIF($A$2:$A3201,$A3201)&gt;1,"Trùng mã đơn; ","")&amp;IF(ISNA(MATCH($C3201,DATA_MASTER!$D$2:$D$5000,0)),"SĐT chưa đăng ký hội viên; ","")&amp;IF(AND($L3201="Đã chuyển khoản",$M3201=""),"Thiếu ngày nhận CK; ",""))</f>
        <v/>
      </c>
      <c r="T3201" s="24" t="n"/>
    </row>
    <row r="3202" ht="14.25" customHeight="1" s="40">
      <c r="A3202" s="24" t="n"/>
      <c r="B3202" s="29" t="n"/>
      <c r="C3202" s="28" t="n"/>
      <c r="D3202" s="22">
        <f t="array" ref="D3202">IF($C3202="","",IFERROR(INDEX(DATA_MASTER!$C$2:$C$5000,MATCH($C3202,DATA_MASTER!$D$2:$D$5000,0)),""))</f>
        <v/>
      </c>
      <c r="E3202" s="22">
        <f t="array" ref="E3202">IF($C3202="","",IFERROR(INDEX(DATA_MASTER!$I$2:$I$5000,MATCH($C3202,DATA_MASTER!$D$2:$D$5000,0)),""))</f>
        <v/>
      </c>
      <c r="F3202" s="22">
        <f t="array" ref="F3202">IF($C3202="","",IFERROR(INDEX(DATA_MASTER!$L$2:$L$5000,MATCH($C3202,DATA_MASTER!$D$2:$D$5000,0)),""))</f>
        <v/>
      </c>
      <c r="G3202" s="24" t="n"/>
      <c r="H3202" s="24" t="n"/>
      <c r="I3202" s="30" t="n"/>
      <c r="J3202" s="23">
        <f>IF(OR($H3202="",$I3202=""),"",$H3202*$I3202)</f>
        <v/>
      </c>
      <c r="K3202" s="24" t="n"/>
      <c r="L3202" s="24" t="n"/>
      <c r="M3202" s="29" t="n"/>
      <c r="N3202" s="28" t="n"/>
      <c r="O3202" s="24" t="n"/>
      <c r="P3202" s="24" t="n"/>
      <c r="Q3202" s="24" t="n"/>
      <c r="R3202" s="24" t="n"/>
      <c r="S3202" s="22">
        <f>IF(AND($A3202="",$C3202=""),"",IF($A3202="","Thiếu mã đơn; ","")&amp;IF(COUNTIF($A$2:$A3202,$A3202)&gt;1,"Trùng mã đơn; ","")&amp;IF(ISNA(MATCH($C3202,DATA_MASTER!$D$2:$D$5000,0)),"SĐT chưa đăng ký hội viên; ","")&amp;IF(AND($L3202="Đã chuyển khoản",$M3202=""),"Thiếu ngày nhận CK; ",""))</f>
        <v/>
      </c>
      <c r="T3202" s="24" t="n"/>
    </row>
    <row r="3203" ht="14.25" customHeight="1" s="40">
      <c r="A3203" s="24" t="n"/>
      <c r="B3203" s="29" t="n"/>
      <c r="C3203" s="28" t="n"/>
      <c r="D3203" s="22">
        <f t="array" ref="D3203">IF($C3203="","",IFERROR(INDEX(DATA_MASTER!$C$2:$C$5000,MATCH($C3203,DATA_MASTER!$D$2:$D$5000,0)),""))</f>
        <v/>
      </c>
      <c r="E3203" s="22">
        <f t="array" ref="E3203">IF($C3203="","",IFERROR(INDEX(DATA_MASTER!$I$2:$I$5000,MATCH($C3203,DATA_MASTER!$D$2:$D$5000,0)),""))</f>
        <v/>
      </c>
      <c r="F3203" s="22">
        <f t="array" ref="F3203">IF($C3203="","",IFERROR(INDEX(DATA_MASTER!$L$2:$L$5000,MATCH($C3203,DATA_MASTER!$D$2:$D$5000,0)),""))</f>
        <v/>
      </c>
      <c r="G3203" s="24" t="n"/>
      <c r="H3203" s="24" t="n"/>
      <c r="I3203" s="30" t="n"/>
      <c r="J3203" s="23">
        <f>IF(OR($H3203="",$I3203=""),"",$H3203*$I3203)</f>
        <v/>
      </c>
      <c r="K3203" s="24" t="n"/>
      <c r="L3203" s="24" t="n"/>
      <c r="M3203" s="29" t="n"/>
      <c r="N3203" s="28" t="n"/>
      <c r="O3203" s="24" t="n"/>
      <c r="P3203" s="24" t="n"/>
      <c r="Q3203" s="24" t="n"/>
      <c r="R3203" s="24" t="n"/>
      <c r="S3203" s="22">
        <f>IF(AND($A3203="",$C3203=""),"",IF($A3203="","Thiếu mã đơn; ","")&amp;IF(COUNTIF($A$2:$A3203,$A3203)&gt;1,"Trùng mã đơn; ","")&amp;IF(ISNA(MATCH($C3203,DATA_MASTER!$D$2:$D$5000,0)),"SĐT chưa đăng ký hội viên; ","")&amp;IF(AND($L3203="Đã chuyển khoản",$M3203=""),"Thiếu ngày nhận CK; ",""))</f>
        <v/>
      </c>
      <c r="T3203" s="24" t="n"/>
    </row>
    <row r="3204" ht="14.25" customHeight="1" s="40">
      <c r="A3204" s="24" t="n"/>
      <c r="B3204" s="29" t="n"/>
      <c r="C3204" s="28" t="n"/>
      <c r="D3204" s="22">
        <f t="array" ref="D3204">IF($C3204="","",IFERROR(INDEX(DATA_MASTER!$C$2:$C$5000,MATCH($C3204,DATA_MASTER!$D$2:$D$5000,0)),""))</f>
        <v/>
      </c>
      <c r="E3204" s="22">
        <f t="array" ref="E3204">IF($C3204="","",IFERROR(INDEX(DATA_MASTER!$I$2:$I$5000,MATCH($C3204,DATA_MASTER!$D$2:$D$5000,0)),""))</f>
        <v/>
      </c>
      <c r="F3204" s="22">
        <f t="array" ref="F3204">IF($C3204="","",IFERROR(INDEX(DATA_MASTER!$L$2:$L$5000,MATCH($C3204,DATA_MASTER!$D$2:$D$5000,0)),""))</f>
        <v/>
      </c>
      <c r="G3204" s="24" t="n"/>
      <c r="H3204" s="24" t="n"/>
      <c r="I3204" s="30" t="n"/>
      <c r="J3204" s="23">
        <f>IF(OR($H3204="",$I3204=""),"",$H3204*$I3204)</f>
        <v/>
      </c>
      <c r="K3204" s="24" t="n"/>
      <c r="L3204" s="24" t="n"/>
      <c r="M3204" s="29" t="n"/>
      <c r="N3204" s="28" t="n"/>
      <c r="O3204" s="24" t="n"/>
      <c r="P3204" s="24" t="n"/>
      <c r="Q3204" s="24" t="n"/>
      <c r="R3204" s="24" t="n"/>
      <c r="S3204" s="22">
        <f>IF(AND($A3204="",$C3204=""),"",IF($A3204="","Thiếu mã đơn; ","")&amp;IF(COUNTIF($A$2:$A3204,$A3204)&gt;1,"Trùng mã đơn; ","")&amp;IF(ISNA(MATCH($C3204,DATA_MASTER!$D$2:$D$5000,0)),"SĐT chưa đăng ký hội viên; ","")&amp;IF(AND($L3204="Đã chuyển khoản",$M3204=""),"Thiếu ngày nhận CK; ",""))</f>
        <v/>
      </c>
      <c r="T3204" s="24" t="n"/>
    </row>
    <row r="3205" ht="14.25" customHeight="1" s="40">
      <c r="A3205" s="24" t="n"/>
      <c r="B3205" s="29" t="n"/>
      <c r="C3205" s="28" t="n"/>
      <c r="D3205" s="22">
        <f t="array" ref="D3205">IF($C3205="","",IFERROR(INDEX(DATA_MASTER!$C$2:$C$5000,MATCH($C3205,DATA_MASTER!$D$2:$D$5000,0)),""))</f>
        <v/>
      </c>
      <c r="E3205" s="22">
        <f t="array" ref="E3205">IF($C3205="","",IFERROR(INDEX(DATA_MASTER!$I$2:$I$5000,MATCH($C3205,DATA_MASTER!$D$2:$D$5000,0)),""))</f>
        <v/>
      </c>
      <c r="F3205" s="22">
        <f t="array" ref="F3205">IF($C3205="","",IFERROR(INDEX(DATA_MASTER!$L$2:$L$5000,MATCH($C3205,DATA_MASTER!$D$2:$D$5000,0)),""))</f>
        <v/>
      </c>
      <c r="G3205" s="24" t="n"/>
      <c r="H3205" s="24" t="n"/>
      <c r="I3205" s="30" t="n"/>
      <c r="J3205" s="23">
        <f>IF(OR($H3205="",$I3205=""),"",$H3205*$I3205)</f>
        <v/>
      </c>
      <c r="K3205" s="24" t="n"/>
      <c r="L3205" s="24" t="n"/>
      <c r="M3205" s="29" t="n"/>
      <c r="N3205" s="28" t="n"/>
      <c r="O3205" s="24" t="n"/>
      <c r="P3205" s="24" t="n"/>
      <c r="Q3205" s="24" t="n"/>
      <c r="R3205" s="24" t="n"/>
      <c r="S3205" s="22">
        <f>IF(AND($A3205="",$C3205=""),"",IF($A3205="","Thiếu mã đơn; ","")&amp;IF(COUNTIF($A$2:$A3205,$A3205)&gt;1,"Trùng mã đơn; ","")&amp;IF(ISNA(MATCH($C3205,DATA_MASTER!$D$2:$D$5000,0)),"SĐT chưa đăng ký hội viên; ","")&amp;IF(AND($L3205="Đã chuyển khoản",$M3205=""),"Thiếu ngày nhận CK; ",""))</f>
        <v/>
      </c>
      <c r="T3205" s="24" t="n"/>
    </row>
    <row r="3206" ht="14.25" customHeight="1" s="40">
      <c r="A3206" s="24" t="n"/>
      <c r="B3206" s="29" t="n"/>
      <c r="C3206" s="28" t="n"/>
      <c r="D3206" s="22">
        <f t="array" ref="D3206">IF($C3206="","",IFERROR(INDEX(DATA_MASTER!$C$2:$C$5000,MATCH($C3206,DATA_MASTER!$D$2:$D$5000,0)),""))</f>
        <v/>
      </c>
      <c r="E3206" s="22">
        <f t="array" ref="E3206">IF($C3206="","",IFERROR(INDEX(DATA_MASTER!$I$2:$I$5000,MATCH($C3206,DATA_MASTER!$D$2:$D$5000,0)),""))</f>
        <v/>
      </c>
      <c r="F3206" s="22">
        <f t="array" ref="F3206">IF($C3206="","",IFERROR(INDEX(DATA_MASTER!$L$2:$L$5000,MATCH($C3206,DATA_MASTER!$D$2:$D$5000,0)),""))</f>
        <v/>
      </c>
      <c r="G3206" s="24" t="n"/>
      <c r="H3206" s="24" t="n"/>
      <c r="I3206" s="30" t="n"/>
      <c r="J3206" s="23">
        <f>IF(OR($H3206="",$I3206=""),"",$H3206*$I3206)</f>
        <v/>
      </c>
      <c r="K3206" s="24" t="n"/>
      <c r="L3206" s="24" t="n"/>
      <c r="M3206" s="29" t="n"/>
      <c r="N3206" s="28" t="n"/>
      <c r="O3206" s="24" t="n"/>
      <c r="P3206" s="24" t="n"/>
      <c r="Q3206" s="24" t="n"/>
      <c r="R3206" s="24" t="n"/>
      <c r="S3206" s="22">
        <f>IF(AND($A3206="",$C3206=""),"",IF($A3206="","Thiếu mã đơn; ","")&amp;IF(COUNTIF($A$2:$A3206,$A3206)&gt;1,"Trùng mã đơn; ","")&amp;IF(ISNA(MATCH($C3206,DATA_MASTER!$D$2:$D$5000,0)),"SĐT chưa đăng ký hội viên; ","")&amp;IF(AND($L3206="Đã chuyển khoản",$M3206=""),"Thiếu ngày nhận CK; ",""))</f>
        <v/>
      </c>
      <c r="T3206" s="24" t="n"/>
    </row>
    <row r="3207" ht="14.25" customHeight="1" s="40">
      <c r="A3207" s="24" t="n"/>
      <c r="B3207" s="29" t="n"/>
      <c r="C3207" s="28" t="n"/>
      <c r="D3207" s="22">
        <f t="array" ref="D3207">IF($C3207="","",IFERROR(INDEX(DATA_MASTER!$C$2:$C$5000,MATCH($C3207,DATA_MASTER!$D$2:$D$5000,0)),""))</f>
        <v/>
      </c>
      <c r="E3207" s="22">
        <f t="array" ref="E3207">IF($C3207="","",IFERROR(INDEX(DATA_MASTER!$I$2:$I$5000,MATCH($C3207,DATA_MASTER!$D$2:$D$5000,0)),""))</f>
        <v/>
      </c>
      <c r="F3207" s="22">
        <f t="array" ref="F3207">IF($C3207="","",IFERROR(INDEX(DATA_MASTER!$L$2:$L$5000,MATCH($C3207,DATA_MASTER!$D$2:$D$5000,0)),""))</f>
        <v/>
      </c>
      <c r="G3207" s="24" t="n"/>
      <c r="H3207" s="24" t="n"/>
      <c r="I3207" s="30" t="n"/>
      <c r="J3207" s="23">
        <f>IF(OR($H3207="",$I3207=""),"",$H3207*$I3207)</f>
        <v/>
      </c>
      <c r="K3207" s="24" t="n"/>
      <c r="L3207" s="24" t="n"/>
      <c r="M3207" s="29" t="n"/>
      <c r="N3207" s="28" t="n"/>
      <c r="O3207" s="24" t="n"/>
      <c r="P3207" s="24" t="n"/>
      <c r="Q3207" s="24" t="n"/>
      <c r="R3207" s="24" t="n"/>
      <c r="S3207" s="22">
        <f>IF(AND($A3207="",$C3207=""),"",IF($A3207="","Thiếu mã đơn; ","")&amp;IF(COUNTIF($A$2:$A3207,$A3207)&gt;1,"Trùng mã đơn; ","")&amp;IF(ISNA(MATCH($C3207,DATA_MASTER!$D$2:$D$5000,0)),"SĐT chưa đăng ký hội viên; ","")&amp;IF(AND($L3207="Đã chuyển khoản",$M3207=""),"Thiếu ngày nhận CK; ",""))</f>
        <v/>
      </c>
      <c r="T3207" s="24" t="n"/>
    </row>
    <row r="3208" ht="14.25" customHeight="1" s="40">
      <c r="A3208" s="24" t="n"/>
      <c r="B3208" s="29" t="n"/>
      <c r="C3208" s="28" t="n"/>
      <c r="D3208" s="22">
        <f t="array" ref="D3208">IF($C3208="","",IFERROR(INDEX(DATA_MASTER!$C$2:$C$5000,MATCH($C3208,DATA_MASTER!$D$2:$D$5000,0)),""))</f>
        <v/>
      </c>
      <c r="E3208" s="22">
        <f t="array" ref="E3208">IF($C3208="","",IFERROR(INDEX(DATA_MASTER!$I$2:$I$5000,MATCH($C3208,DATA_MASTER!$D$2:$D$5000,0)),""))</f>
        <v/>
      </c>
      <c r="F3208" s="22">
        <f t="array" ref="F3208">IF($C3208="","",IFERROR(INDEX(DATA_MASTER!$L$2:$L$5000,MATCH($C3208,DATA_MASTER!$D$2:$D$5000,0)),""))</f>
        <v/>
      </c>
      <c r="G3208" s="24" t="n"/>
      <c r="H3208" s="24" t="n"/>
      <c r="I3208" s="30" t="n"/>
      <c r="J3208" s="23">
        <f>IF(OR($H3208="",$I3208=""),"",$H3208*$I3208)</f>
        <v/>
      </c>
      <c r="K3208" s="24" t="n"/>
      <c r="L3208" s="24" t="n"/>
      <c r="M3208" s="29" t="n"/>
      <c r="N3208" s="28" t="n"/>
      <c r="O3208" s="24" t="n"/>
      <c r="P3208" s="24" t="n"/>
      <c r="Q3208" s="24" t="n"/>
      <c r="R3208" s="24" t="n"/>
      <c r="S3208" s="22">
        <f>IF(AND($A3208="",$C3208=""),"",IF($A3208="","Thiếu mã đơn; ","")&amp;IF(COUNTIF($A$2:$A3208,$A3208)&gt;1,"Trùng mã đơn; ","")&amp;IF(ISNA(MATCH($C3208,DATA_MASTER!$D$2:$D$5000,0)),"SĐT chưa đăng ký hội viên; ","")&amp;IF(AND($L3208="Đã chuyển khoản",$M3208=""),"Thiếu ngày nhận CK; ",""))</f>
        <v/>
      </c>
      <c r="T3208" s="24" t="n"/>
    </row>
    <row r="3209" ht="14.25" customHeight="1" s="40">
      <c r="A3209" s="24" t="n"/>
      <c r="B3209" s="29" t="n"/>
      <c r="C3209" s="28" t="n"/>
      <c r="D3209" s="22">
        <f t="array" ref="D3209">IF($C3209="","",IFERROR(INDEX(DATA_MASTER!$C$2:$C$5000,MATCH($C3209,DATA_MASTER!$D$2:$D$5000,0)),""))</f>
        <v/>
      </c>
      <c r="E3209" s="22">
        <f t="array" ref="E3209">IF($C3209="","",IFERROR(INDEX(DATA_MASTER!$I$2:$I$5000,MATCH($C3209,DATA_MASTER!$D$2:$D$5000,0)),""))</f>
        <v/>
      </c>
      <c r="F3209" s="22">
        <f t="array" ref="F3209">IF($C3209="","",IFERROR(INDEX(DATA_MASTER!$L$2:$L$5000,MATCH($C3209,DATA_MASTER!$D$2:$D$5000,0)),""))</f>
        <v/>
      </c>
      <c r="G3209" s="24" t="n"/>
      <c r="H3209" s="24" t="n"/>
      <c r="I3209" s="30" t="n"/>
      <c r="J3209" s="23">
        <f>IF(OR($H3209="",$I3209=""),"",$H3209*$I3209)</f>
        <v/>
      </c>
      <c r="K3209" s="24" t="n"/>
      <c r="L3209" s="24" t="n"/>
      <c r="M3209" s="29" t="n"/>
      <c r="N3209" s="28" t="n"/>
      <c r="O3209" s="24" t="n"/>
      <c r="P3209" s="24" t="n"/>
      <c r="Q3209" s="24" t="n"/>
      <c r="R3209" s="24" t="n"/>
      <c r="S3209" s="22">
        <f>IF(AND($A3209="",$C3209=""),"",IF($A3209="","Thiếu mã đơn; ","")&amp;IF(COUNTIF($A$2:$A3209,$A3209)&gt;1,"Trùng mã đơn; ","")&amp;IF(ISNA(MATCH($C3209,DATA_MASTER!$D$2:$D$5000,0)),"SĐT chưa đăng ký hội viên; ","")&amp;IF(AND($L3209="Đã chuyển khoản",$M3209=""),"Thiếu ngày nhận CK; ",""))</f>
        <v/>
      </c>
      <c r="T3209" s="24" t="n"/>
    </row>
    <row r="3210" ht="14.25" customHeight="1" s="40">
      <c r="A3210" s="24" t="n"/>
      <c r="B3210" s="29" t="n"/>
      <c r="C3210" s="28" t="n"/>
      <c r="D3210" s="22">
        <f t="array" ref="D3210">IF($C3210="","",IFERROR(INDEX(DATA_MASTER!$C$2:$C$5000,MATCH($C3210,DATA_MASTER!$D$2:$D$5000,0)),""))</f>
        <v/>
      </c>
      <c r="E3210" s="22">
        <f t="array" ref="E3210">IF($C3210="","",IFERROR(INDEX(DATA_MASTER!$I$2:$I$5000,MATCH($C3210,DATA_MASTER!$D$2:$D$5000,0)),""))</f>
        <v/>
      </c>
      <c r="F3210" s="22">
        <f t="array" ref="F3210">IF($C3210="","",IFERROR(INDEX(DATA_MASTER!$L$2:$L$5000,MATCH($C3210,DATA_MASTER!$D$2:$D$5000,0)),""))</f>
        <v/>
      </c>
      <c r="G3210" s="24" t="n"/>
      <c r="H3210" s="24" t="n"/>
      <c r="I3210" s="30" t="n"/>
      <c r="J3210" s="23">
        <f>IF(OR($H3210="",$I3210=""),"",$H3210*$I3210)</f>
        <v/>
      </c>
      <c r="K3210" s="24" t="n"/>
      <c r="L3210" s="24" t="n"/>
      <c r="M3210" s="29" t="n"/>
      <c r="N3210" s="28" t="n"/>
      <c r="O3210" s="24" t="n"/>
      <c r="P3210" s="24" t="n"/>
      <c r="Q3210" s="24" t="n"/>
      <c r="R3210" s="24" t="n"/>
      <c r="S3210" s="22">
        <f>IF(AND($A3210="",$C3210=""),"",IF($A3210="","Thiếu mã đơn; ","")&amp;IF(COUNTIF($A$2:$A3210,$A3210)&gt;1,"Trùng mã đơn; ","")&amp;IF(ISNA(MATCH($C3210,DATA_MASTER!$D$2:$D$5000,0)),"SĐT chưa đăng ký hội viên; ","")&amp;IF(AND($L3210="Đã chuyển khoản",$M3210=""),"Thiếu ngày nhận CK; ",""))</f>
        <v/>
      </c>
      <c r="T3210" s="24" t="n"/>
    </row>
    <row r="3211" ht="14.25" customHeight="1" s="40">
      <c r="A3211" s="24" t="n"/>
      <c r="B3211" s="29" t="n"/>
      <c r="C3211" s="28" t="n"/>
      <c r="D3211" s="22">
        <f t="array" ref="D3211">IF($C3211="","",IFERROR(INDEX(DATA_MASTER!$C$2:$C$5000,MATCH($C3211,DATA_MASTER!$D$2:$D$5000,0)),""))</f>
        <v/>
      </c>
      <c r="E3211" s="22">
        <f t="array" ref="E3211">IF($C3211="","",IFERROR(INDEX(DATA_MASTER!$I$2:$I$5000,MATCH($C3211,DATA_MASTER!$D$2:$D$5000,0)),""))</f>
        <v/>
      </c>
      <c r="F3211" s="22">
        <f t="array" ref="F3211">IF($C3211="","",IFERROR(INDEX(DATA_MASTER!$L$2:$L$5000,MATCH($C3211,DATA_MASTER!$D$2:$D$5000,0)),""))</f>
        <v/>
      </c>
      <c r="G3211" s="24" t="n"/>
      <c r="H3211" s="24" t="n"/>
      <c r="I3211" s="30" t="n"/>
      <c r="J3211" s="23">
        <f>IF(OR($H3211="",$I3211=""),"",$H3211*$I3211)</f>
        <v/>
      </c>
      <c r="K3211" s="24" t="n"/>
      <c r="L3211" s="24" t="n"/>
      <c r="M3211" s="29" t="n"/>
      <c r="N3211" s="28" t="n"/>
      <c r="O3211" s="24" t="n"/>
      <c r="P3211" s="24" t="n"/>
      <c r="Q3211" s="24" t="n"/>
      <c r="R3211" s="24" t="n"/>
      <c r="S3211" s="22">
        <f>IF(AND($A3211="",$C3211=""),"",IF($A3211="","Thiếu mã đơn; ","")&amp;IF(COUNTIF($A$2:$A3211,$A3211)&gt;1,"Trùng mã đơn; ","")&amp;IF(ISNA(MATCH($C3211,DATA_MASTER!$D$2:$D$5000,0)),"SĐT chưa đăng ký hội viên; ","")&amp;IF(AND($L3211="Đã chuyển khoản",$M3211=""),"Thiếu ngày nhận CK; ",""))</f>
        <v/>
      </c>
      <c r="T3211" s="24" t="n"/>
    </row>
    <row r="3212" ht="14.25" customHeight="1" s="40">
      <c r="A3212" s="24" t="n"/>
      <c r="B3212" s="29" t="n"/>
      <c r="C3212" s="28" t="n"/>
      <c r="D3212" s="22">
        <f t="array" ref="D3212">IF($C3212="","",IFERROR(INDEX(DATA_MASTER!$C$2:$C$5000,MATCH($C3212,DATA_MASTER!$D$2:$D$5000,0)),""))</f>
        <v/>
      </c>
      <c r="E3212" s="22">
        <f t="array" ref="E3212">IF($C3212="","",IFERROR(INDEX(DATA_MASTER!$I$2:$I$5000,MATCH($C3212,DATA_MASTER!$D$2:$D$5000,0)),""))</f>
        <v/>
      </c>
      <c r="F3212" s="22">
        <f t="array" ref="F3212">IF($C3212="","",IFERROR(INDEX(DATA_MASTER!$L$2:$L$5000,MATCH($C3212,DATA_MASTER!$D$2:$D$5000,0)),""))</f>
        <v/>
      </c>
      <c r="G3212" s="24" t="n"/>
      <c r="H3212" s="24" t="n"/>
      <c r="I3212" s="30" t="n"/>
      <c r="J3212" s="23">
        <f>IF(OR($H3212="",$I3212=""),"",$H3212*$I3212)</f>
        <v/>
      </c>
      <c r="K3212" s="24" t="n"/>
      <c r="L3212" s="24" t="n"/>
      <c r="M3212" s="29" t="n"/>
      <c r="N3212" s="28" t="n"/>
      <c r="O3212" s="24" t="n"/>
      <c r="P3212" s="24" t="n"/>
      <c r="Q3212" s="24" t="n"/>
      <c r="R3212" s="24" t="n"/>
      <c r="S3212" s="22">
        <f>IF(AND($A3212="",$C3212=""),"",IF($A3212="","Thiếu mã đơn; ","")&amp;IF(COUNTIF($A$2:$A3212,$A3212)&gt;1,"Trùng mã đơn; ","")&amp;IF(ISNA(MATCH($C3212,DATA_MASTER!$D$2:$D$5000,0)),"SĐT chưa đăng ký hội viên; ","")&amp;IF(AND($L3212="Đã chuyển khoản",$M3212=""),"Thiếu ngày nhận CK; ",""))</f>
        <v/>
      </c>
      <c r="T3212" s="24" t="n"/>
    </row>
    <row r="3213" ht="14.25" customHeight="1" s="40">
      <c r="A3213" s="24" t="n"/>
      <c r="B3213" s="29" t="n"/>
      <c r="C3213" s="28" t="n"/>
      <c r="D3213" s="22">
        <f t="array" ref="D3213">IF($C3213="","",IFERROR(INDEX(DATA_MASTER!$C$2:$C$5000,MATCH($C3213,DATA_MASTER!$D$2:$D$5000,0)),""))</f>
        <v/>
      </c>
      <c r="E3213" s="22">
        <f t="array" ref="E3213">IF($C3213="","",IFERROR(INDEX(DATA_MASTER!$I$2:$I$5000,MATCH($C3213,DATA_MASTER!$D$2:$D$5000,0)),""))</f>
        <v/>
      </c>
      <c r="F3213" s="22">
        <f t="array" ref="F3213">IF($C3213="","",IFERROR(INDEX(DATA_MASTER!$L$2:$L$5000,MATCH($C3213,DATA_MASTER!$D$2:$D$5000,0)),""))</f>
        <v/>
      </c>
      <c r="G3213" s="24" t="n"/>
      <c r="H3213" s="24" t="n"/>
      <c r="I3213" s="30" t="n"/>
      <c r="J3213" s="23">
        <f>IF(OR($H3213="",$I3213=""),"",$H3213*$I3213)</f>
        <v/>
      </c>
      <c r="K3213" s="24" t="n"/>
      <c r="L3213" s="24" t="n"/>
      <c r="M3213" s="29" t="n"/>
      <c r="N3213" s="28" t="n"/>
      <c r="O3213" s="24" t="n"/>
      <c r="P3213" s="24" t="n"/>
      <c r="Q3213" s="24" t="n"/>
      <c r="R3213" s="24" t="n"/>
      <c r="S3213" s="22">
        <f>IF(AND($A3213="",$C3213=""),"",IF($A3213="","Thiếu mã đơn; ","")&amp;IF(COUNTIF($A$2:$A3213,$A3213)&gt;1,"Trùng mã đơn; ","")&amp;IF(ISNA(MATCH($C3213,DATA_MASTER!$D$2:$D$5000,0)),"SĐT chưa đăng ký hội viên; ","")&amp;IF(AND($L3213="Đã chuyển khoản",$M3213=""),"Thiếu ngày nhận CK; ",""))</f>
        <v/>
      </c>
      <c r="T3213" s="24" t="n"/>
    </row>
    <row r="3214" ht="14.25" customHeight="1" s="40">
      <c r="A3214" s="24" t="n"/>
      <c r="B3214" s="29" t="n"/>
      <c r="C3214" s="28" t="n"/>
      <c r="D3214" s="22">
        <f t="array" ref="D3214">IF($C3214="","",IFERROR(INDEX(DATA_MASTER!$C$2:$C$5000,MATCH($C3214,DATA_MASTER!$D$2:$D$5000,0)),""))</f>
        <v/>
      </c>
      <c r="E3214" s="22">
        <f t="array" ref="E3214">IF($C3214="","",IFERROR(INDEX(DATA_MASTER!$I$2:$I$5000,MATCH($C3214,DATA_MASTER!$D$2:$D$5000,0)),""))</f>
        <v/>
      </c>
      <c r="F3214" s="22">
        <f t="array" ref="F3214">IF($C3214="","",IFERROR(INDEX(DATA_MASTER!$L$2:$L$5000,MATCH($C3214,DATA_MASTER!$D$2:$D$5000,0)),""))</f>
        <v/>
      </c>
      <c r="G3214" s="24" t="n"/>
      <c r="H3214" s="24" t="n"/>
      <c r="I3214" s="30" t="n"/>
      <c r="J3214" s="23">
        <f>IF(OR($H3214="",$I3214=""),"",$H3214*$I3214)</f>
        <v/>
      </c>
      <c r="K3214" s="24" t="n"/>
      <c r="L3214" s="24" t="n"/>
      <c r="M3214" s="29" t="n"/>
      <c r="N3214" s="28" t="n"/>
      <c r="O3214" s="24" t="n"/>
      <c r="P3214" s="24" t="n"/>
      <c r="Q3214" s="24" t="n"/>
      <c r="R3214" s="24" t="n"/>
      <c r="S3214" s="22">
        <f>IF(AND($A3214="",$C3214=""),"",IF($A3214="","Thiếu mã đơn; ","")&amp;IF(COUNTIF($A$2:$A3214,$A3214)&gt;1,"Trùng mã đơn; ","")&amp;IF(ISNA(MATCH($C3214,DATA_MASTER!$D$2:$D$5000,0)),"SĐT chưa đăng ký hội viên; ","")&amp;IF(AND($L3214="Đã chuyển khoản",$M3214=""),"Thiếu ngày nhận CK; ",""))</f>
        <v/>
      </c>
      <c r="T3214" s="24" t="n"/>
    </row>
    <row r="3215" ht="14.25" customHeight="1" s="40">
      <c r="A3215" s="24" t="n"/>
      <c r="B3215" s="29" t="n"/>
      <c r="C3215" s="28" t="n"/>
      <c r="D3215" s="22">
        <f t="array" ref="D3215">IF($C3215="","",IFERROR(INDEX(DATA_MASTER!$C$2:$C$5000,MATCH($C3215,DATA_MASTER!$D$2:$D$5000,0)),""))</f>
        <v/>
      </c>
      <c r="E3215" s="22">
        <f t="array" ref="E3215">IF($C3215="","",IFERROR(INDEX(DATA_MASTER!$I$2:$I$5000,MATCH($C3215,DATA_MASTER!$D$2:$D$5000,0)),""))</f>
        <v/>
      </c>
      <c r="F3215" s="22">
        <f t="array" ref="F3215">IF($C3215="","",IFERROR(INDEX(DATA_MASTER!$L$2:$L$5000,MATCH($C3215,DATA_MASTER!$D$2:$D$5000,0)),""))</f>
        <v/>
      </c>
      <c r="G3215" s="24" t="n"/>
      <c r="H3215" s="24" t="n"/>
      <c r="I3215" s="30" t="n"/>
      <c r="J3215" s="23">
        <f>IF(OR($H3215="",$I3215=""),"",$H3215*$I3215)</f>
        <v/>
      </c>
      <c r="K3215" s="24" t="n"/>
      <c r="L3215" s="24" t="n"/>
      <c r="M3215" s="29" t="n"/>
      <c r="N3215" s="28" t="n"/>
      <c r="O3215" s="24" t="n"/>
      <c r="P3215" s="24" t="n"/>
      <c r="Q3215" s="24" t="n"/>
      <c r="R3215" s="24" t="n"/>
      <c r="S3215" s="22">
        <f>IF(AND($A3215="",$C3215=""),"",IF($A3215="","Thiếu mã đơn; ","")&amp;IF(COUNTIF($A$2:$A3215,$A3215)&gt;1,"Trùng mã đơn; ","")&amp;IF(ISNA(MATCH($C3215,DATA_MASTER!$D$2:$D$5000,0)),"SĐT chưa đăng ký hội viên; ","")&amp;IF(AND($L3215="Đã chuyển khoản",$M3215=""),"Thiếu ngày nhận CK; ",""))</f>
        <v/>
      </c>
      <c r="T3215" s="24" t="n"/>
    </row>
    <row r="3216" ht="14.25" customHeight="1" s="40">
      <c r="A3216" s="24" t="n"/>
      <c r="B3216" s="29" t="n"/>
      <c r="C3216" s="28" t="n"/>
      <c r="D3216" s="22">
        <f t="array" ref="D3216">IF($C3216="","",IFERROR(INDEX(DATA_MASTER!$C$2:$C$5000,MATCH($C3216,DATA_MASTER!$D$2:$D$5000,0)),""))</f>
        <v/>
      </c>
      <c r="E3216" s="22">
        <f t="array" ref="E3216">IF($C3216="","",IFERROR(INDEX(DATA_MASTER!$I$2:$I$5000,MATCH($C3216,DATA_MASTER!$D$2:$D$5000,0)),""))</f>
        <v/>
      </c>
      <c r="F3216" s="22">
        <f t="array" ref="F3216">IF($C3216="","",IFERROR(INDEX(DATA_MASTER!$L$2:$L$5000,MATCH($C3216,DATA_MASTER!$D$2:$D$5000,0)),""))</f>
        <v/>
      </c>
      <c r="G3216" s="24" t="n"/>
      <c r="H3216" s="24" t="n"/>
      <c r="I3216" s="30" t="n"/>
      <c r="J3216" s="23">
        <f>IF(OR($H3216="",$I3216=""),"",$H3216*$I3216)</f>
        <v/>
      </c>
      <c r="K3216" s="24" t="n"/>
      <c r="L3216" s="24" t="n"/>
      <c r="M3216" s="29" t="n"/>
      <c r="N3216" s="28" t="n"/>
      <c r="O3216" s="24" t="n"/>
      <c r="P3216" s="24" t="n"/>
      <c r="Q3216" s="24" t="n"/>
      <c r="R3216" s="24" t="n"/>
      <c r="S3216" s="22">
        <f>IF(AND($A3216="",$C3216=""),"",IF($A3216="","Thiếu mã đơn; ","")&amp;IF(COUNTIF($A$2:$A3216,$A3216)&gt;1,"Trùng mã đơn; ","")&amp;IF(ISNA(MATCH($C3216,DATA_MASTER!$D$2:$D$5000,0)),"SĐT chưa đăng ký hội viên; ","")&amp;IF(AND($L3216="Đã chuyển khoản",$M3216=""),"Thiếu ngày nhận CK; ",""))</f>
        <v/>
      </c>
      <c r="T3216" s="24" t="n"/>
    </row>
    <row r="3217" ht="14.25" customHeight="1" s="40">
      <c r="A3217" s="24" t="n"/>
      <c r="B3217" s="29" t="n"/>
      <c r="C3217" s="28" t="n"/>
      <c r="D3217" s="22">
        <f t="array" ref="D3217">IF($C3217="","",IFERROR(INDEX(DATA_MASTER!$C$2:$C$5000,MATCH($C3217,DATA_MASTER!$D$2:$D$5000,0)),""))</f>
        <v/>
      </c>
      <c r="E3217" s="22">
        <f t="array" ref="E3217">IF($C3217="","",IFERROR(INDEX(DATA_MASTER!$I$2:$I$5000,MATCH($C3217,DATA_MASTER!$D$2:$D$5000,0)),""))</f>
        <v/>
      </c>
      <c r="F3217" s="22">
        <f t="array" ref="F3217">IF($C3217="","",IFERROR(INDEX(DATA_MASTER!$L$2:$L$5000,MATCH($C3217,DATA_MASTER!$D$2:$D$5000,0)),""))</f>
        <v/>
      </c>
      <c r="G3217" s="24" t="n"/>
      <c r="H3217" s="24" t="n"/>
      <c r="I3217" s="30" t="n"/>
      <c r="J3217" s="23">
        <f>IF(OR($H3217="",$I3217=""),"",$H3217*$I3217)</f>
        <v/>
      </c>
      <c r="K3217" s="24" t="n"/>
      <c r="L3217" s="24" t="n"/>
      <c r="M3217" s="29" t="n"/>
      <c r="N3217" s="28" t="n"/>
      <c r="O3217" s="24" t="n"/>
      <c r="P3217" s="24" t="n"/>
      <c r="Q3217" s="24" t="n"/>
      <c r="R3217" s="24" t="n"/>
      <c r="S3217" s="22">
        <f>IF(AND($A3217="",$C3217=""),"",IF($A3217="","Thiếu mã đơn; ","")&amp;IF(COUNTIF($A$2:$A3217,$A3217)&gt;1,"Trùng mã đơn; ","")&amp;IF(ISNA(MATCH($C3217,DATA_MASTER!$D$2:$D$5000,0)),"SĐT chưa đăng ký hội viên; ","")&amp;IF(AND($L3217="Đã chuyển khoản",$M3217=""),"Thiếu ngày nhận CK; ",""))</f>
        <v/>
      </c>
      <c r="T3217" s="24" t="n"/>
    </row>
    <row r="3218" ht="14.25" customHeight="1" s="40">
      <c r="A3218" s="24" t="n"/>
      <c r="B3218" s="29" t="n"/>
      <c r="C3218" s="28" t="n"/>
      <c r="D3218" s="22">
        <f t="array" ref="D3218">IF($C3218="","",IFERROR(INDEX(DATA_MASTER!$C$2:$C$5000,MATCH($C3218,DATA_MASTER!$D$2:$D$5000,0)),""))</f>
        <v/>
      </c>
      <c r="E3218" s="22">
        <f t="array" ref="E3218">IF($C3218="","",IFERROR(INDEX(DATA_MASTER!$I$2:$I$5000,MATCH($C3218,DATA_MASTER!$D$2:$D$5000,0)),""))</f>
        <v/>
      </c>
      <c r="F3218" s="22">
        <f t="array" ref="F3218">IF($C3218="","",IFERROR(INDEX(DATA_MASTER!$L$2:$L$5000,MATCH($C3218,DATA_MASTER!$D$2:$D$5000,0)),""))</f>
        <v/>
      </c>
      <c r="G3218" s="24" t="n"/>
      <c r="H3218" s="24" t="n"/>
      <c r="I3218" s="30" t="n"/>
      <c r="J3218" s="23">
        <f>IF(OR($H3218="",$I3218=""),"",$H3218*$I3218)</f>
        <v/>
      </c>
      <c r="K3218" s="24" t="n"/>
      <c r="L3218" s="24" t="n"/>
      <c r="M3218" s="29" t="n"/>
      <c r="N3218" s="28" t="n"/>
      <c r="O3218" s="24" t="n"/>
      <c r="P3218" s="24" t="n"/>
      <c r="Q3218" s="24" t="n"/>
      <c r="R3218" s="24" t="n"/>
      <c r="S3218" s="22">
        <f>IF(AND($A3218="",$C3218=""),"",IF($A3218="","Thiếu mã đơn; ","")&amp;IF(COUNTIF($A$2:$A3218,$A3218)&gt;1,"Trùng mã đơn; ","")&amp;IF(ISNA(MATCH($C3218,DATA_MASTER!$D$2:$D$5000,0)),"SĐT chưa đăng ký hội viên; ","")&amp;IF(AND($L3218="Đã chuyển khoản",$M3218=""),"Thiếu ngày nhận CK; ",""))</f>
        <v/>
      </c>
      <c r="T3218" s="24" t="n"/>
    </row>
    <row r="3219" ht="14.25" customHeight="1" s="40">
      <c r="A3219" s="24" t="n"/>
      <c r="B3219" s="29" t="n"/>
      <c r="C3219" s="28" t="n"/>
      <c r="D3219" s="22">
        <f t="array" ref="D3219">IF($C3219="","",IFERROR(INDEX(DATA_MASTER!$C$2:$C$5000,MATCH($C3219,DATA_MASTER!$D$2:$D$5000,0)),""))</f>
        <v/>
      </c>
      <c r="E3219" s="22">
        <f t="array" ref="E3219">IF($C3219="","",IFERROR(INDEX(DATA_MASTER!$I$2:$I$5000,MATCH($C3219,DATA_MASTER!$D$2:$D$5000,0)),""))</f>
        <v/>
      </c>
      <c r="F3219" s="22">
        <f t="array" ref="F3219">IF($C3219="","",IFERROR(INDEX(DATA_MASTER!$L$2:$L$5000,MATCH($C3219,DATA_MASTER!$D$2:$D$5000,0)),""))</f>
        <v/>
      </c>
      <c r="G3219" s="24" t="n"/>
      <c r="H3219" s="24" t="n"/>
      <c r="I3219" s="30" t="n"/>
      <c r="J3219" s="23">
        <f>IF(OR($H3219="",$I3219=""),"",$H3219*$I3219)</f>
        <v/>
      </c>
      <c r="K3219" s="24" t="n"/>
      <c r="L3219" s="24" t="n"/>
      <c r="M3219" s="29" t="n"/>
      <c r="N3219" s="28" t="n"/>
      <c r="O3219" s="24" t="n"/>
      <c r="P3219" s="24" t="n"/>
      <c r="Q3219" s="24" t="n"/>
      <c r="R3219" s="24" t="n"/>
      <c r="S3219" s="22">
        <f>IF(AND($A3219="",$C3219=""),"",IF($A3219="","Thiếu mã đơn; ","")&amp;IF(COUNTIF($A$2:$A3219,$A3219)&gt;1,"Trùng mã đơn; ","")&amp;IF(ISNA(MATCH($C3219,DATA_MASTER!$D$2:$D$5000,0)),"SĐT chưa đăng ký hội viên; ","")&amp;IF(AND($L3219="Đã chuyển khoản",$M3219=""),"Thiếu ngày nhận CK; ",""))</f>
        <v/>
      </c>
      <c r="T3219" s="24" t="n"/>
    </row>
    <row r="3220" ht="14.25" customHeight="1" s="40">
      <c r="A3220" s="24" t="n"/>
      <c r="B3220" s="29" t="n"/>
      <c r="C3220" s="28" t="n"/>
      <c r="D3220" s="22">
        <f t="array" ref="D3220">IF($C3220="","",IFERROR(INDEX(DATA_MASTER!$C$2:$C$5000,MATCH($C3220,DATA_MASTER!$D$2:$D$5000,0)),""))</f>
        <v/>
      </c>
      <c r="E3220" s="22">
        <f t="array" ref="E3220">IF($C3220="","",IFERROR(INDEX(DATA_MASTER!$I$2:$I$5000,MATCH($C3220,DATA_MASTER!$D$2:$D$5000,0)),""))</f>
        <v/>
      </c>
      <c r="F3220" s="22">
        <f t="array" ref="F3220">IF($C3220="","",IFERROR(INDEX(DATA_MASTER!$L$2:$L$5000,MATCH($C3220,DATA_MASTER!$D$2:$D$5000,0)),""))</f>
        <v/>
      </c>
      <c r="G3220" s="24" t="n"/>
      <c r="H3220" s="24" t="n"/>
      <c r="I3220" s="30" t="n"/>
      <c r="J3220" s="23">
        <f>IF(OR($H3220="",$I3220=""),"",$H3220*$I3220)</f>
        <v/>
      </c>
      <c r="K3220" s="24" t="n"/>
      <c r="L3220" s="24" t="n"/>
      <c r="M3220" s="29" t="n"/>
      <c r="N3220" s="28" t="n"/>
      <c r="O3220" s="24" t="n"/>
      <c r="P3220" s="24" t="n"/>
      <c r="Q3220" s="24" t="n"/>
      <c r="R3220" s="24" t="n"/>
      <c r="S3220" s="22">
        <f>IF(AND($A3220="",$C3220=""),"",IF($A3220="","Thiếu mã đơn; ","")&amp;IF(COUNTIF($A$2:$A3220,$A3220)&gt;1,"Trùng mã đơn; ","")&amp;IF(ISNA(MATCH($C3220,DATA_MASTER!$D$2:$D$5000,0)),"SĐT chưa đăng ký hội viên; ","")&amp;IF(AND($L3220="Đã chuyển khoản",$M3220=""),"Thiếu ngày nhận CK; ",""))</f>
        <v/>
      </c>
      <c r="T3220" s="24" t="n"/>
    </row>
    <row r="3221" ht="14.25" customHeight="1" s="40">
      <c r="A3221" s="24" t="n"/>
      <c r="B3221" s="29" t="n"/>
      <c r="C3221" s="28" t="n"/>
      <c r="D3221" s="22">
        <f t="array" ref="D3221">IF($C3221="","",IFERROR(INDEX(DATA_MASTER!$C$2:$C$5000,MATCH($C3221,DATA_MASTER!$D$2:$D$5000,0)),""))</f>
        <v/>
      </c>
      <c r="E3221" s="22">
        <f t="array" ref="E3221">IF($C3221="","",IFERROR(INDEX(DATA_MASTER!$I$2:$I$5000,MATCH($C3221,DATA_MASTER!$D$2:$D$5000,0)),""))</f>
        <v/>
      </c>
      <c r="F3221" s="22">
        <f t="array" ref="F3221">IF($C3221="","",IFERROR(INDEX(DATA_MASTER!$L$2:$L$5000,MATCH($C3221,DATA_MASTER!$D$2:$D$5000,0)),""))</f>
        <v/>
      </c>
      <c r="G3221" s="24" t="n"/>
      <c r="H3221" s="24" t="n"/>
      <c r="I3221" s="30" t="n"/>
      <c r="J3221" s="23">
        <f>IF(OR($H3221="",$I3221=""),"",$H3221*$I3221)</f>
        <v/>
      </c>
      <c r="K3221" s="24" t="n"/>
      <c r="L3221" s="24" t="n"/>
      <c r="M3221" s="29" t="n"/>
      <c r="N3221" s="28" t="n"/>
      <c r="O3221" s="24" t="n"/>
      <c r="P3221" s="24" t="n"/>
      <c r="Q3221" s="24" t="n"/>
      <c r="R3221" s="24" t="n"/>
      <c r="S3221" s="22">
        <f>IF(AND($A3221="",$C3221=""),"",IF($A3221="","Thiếu mã đơn; ","")&amp;IF(COUNTIF($A$2:$A3221,$A3221)&gt;1,"Trùng mã đơn; ","")&amp;IF(ISNA(MATCH($C3221,DATA_MASTER!$D$2:$D$5000,0)),"SĐT chưa đăng ký hội viên; ","")&amp;IF(AND($L3221="Đã chuyển khoản",$M3221=""),"Thiếu ngày nhận CK; ",""))</f>
        <v/>
      </c>
      <c r="T3221" s="24" t="n"/>
    </row>
    <row r="3222" ht="14.25" customHeight="1" s="40">
      <c r="A3222" s="24" t="n"/>
      <c r="B3222" s="29" t="n"/>
      <c r="C3222" s="28" t="n"/>
      <c r="D3222" s="22">
        <f t="array" ref="D3222">IF($C3222="","",IFERROR(INDEX(DATA_MASTER!$C$2:$C$5000,MATCH($C3222,DATA_MASTER!$D$2:$D$5000,0)),""))</f>
        <v/>
      </c>
      <c r="E3222" s="22">
        <f t="array" ref="E3222">IF($C3222="","",IFERROR(INDEX(DATA_MASTER!$I$2:$I$5000,MATCH($C3222,DATA_MASTER!$D$2:$D$5000,0)),""))</f>
        <v/>
      </c>
      <c r="F3222" s="22">
        <f t="array" ref="F3222">IF($C3222="","",IFERROR(INDEX(DATA_MASTER!$L$2:$L$5000,MATCH($C3222,DATA_MASTER!$D$2:$D$5000,0)),""))</f>
        <v/>
      </c>
      <c r="G3222" s="24" t="n"/>
      <c r="H3222" s="24" t="n"/>
      <c r="I3222" s="30" t="n"/>
      <c r="J3222" s="23">
        <f>IF(OR($H3222="",$I3222=""),"",$H3222*$I3222)</f>
        <v/>
      </c>
      <c r="K3222" s="24" t="n"/>
      <c r="L3222" s="24" t="n"/>
      <c r="M3222" s="29" t="n"/>
      <c r="N3222" s="28" t="n"/>
      <c r="O3222" s="24" t="n"/>
      <c r="P3222" s="24" t="n"/>
      <c r="Q3222" s="24" t="n"/>
      <c r="R3222" s="24" t="n"/>
      <c r="S3222" s="22">
        <f>IF(AND($A3222="",$C3222=""),"",IF($A3222="","Thiếu mã đơn; ","")&amp;IF(COUNTIF($A$2:$A3222,$A3222)&gt;1,"Trùng mã đơn; ","")&amp;IF(ISNA(MATCH($C3222,DATA_MASTER!$D$2:$D$5000,0)),"SĐT chưa đăng ký hội viên; ","")&amp;IF(AND($L3222="Đã chuyển khoản",$M3222=""),"Thiếu ngày nhận CK; ",""))</f>
        <v/>
      </c>
      <c r="T3222" s="24" t="n"/>
    </row>
    <row r="3223" ht="14.25" customHeight="1" s="40">
      <c r="A3223" s="24" t="n"/>
      <c r="B3223" s="29" t="n"/>
      <c r="C3223" s="28" t="n"/>
      <c r="D3223" s="22">
        <f t="array" ref="D3223">IF($C3223="","",IFERROR(INDEX(DATA_MASTER!$C$2:$C$5000,MATCH($C3223,DATA_MASTER!$D$2:$D$5000,0)),""))</f>
        <v/>
      </c>
      <c r="E3223" s="22">
        <f t="array" ref="E3223">IF($C3223="","",IFERROR(INDEX(DATA_MASTER!$I$2:$I$5000,MATCH($C3223,DATA_MASTER!$D$2:$D$5000,0)),""))</f>
        <v/>
      </c>
      <c r="F3223" s="22">
        <f t="array" ref="F3223">IF($C3223="","",IFERROR(INDEX(DATA_MASTER!$L$2:$L$5000,MATCH($C3223,DATA_MASTER!$D$2:$D$5000,0)),""))</f>
        <v/>
      </c>
      <c r="G3223" s="24" t="n"/>
      <c r="H3223" s="24" t="n"/>
      <c r="I3223" s="30" t="n"/>
      <c r="J3223" s="23">
        <f>IF(OR($H3223="",$I3223=""),"",$H3223*$I3223)</f>
        <v/>
      </c>
      <c r="K3223" s="24" t="n"/>
      <c r="L3223" s="24" t="n"/>
      <c r="M3223" s="29" t="n"/>
      <c r="N3223" s="28" t="n"/>
      <c r="O3223" s="24" t="n"/>
      <c r="P3223" s="24" t="n"/>
      <c r="Q3223" s="24" t="n"/>
      <c r="R3223" s="24" t="n"/>
      <c r="S3223" s="22">
        <f>IF(AND($A3223="",$C3223=""),"",IF($A3223="","Thiếu mã đơn; ","")&amp;IF(COUNTIF($A$2:$A3223,$A3223)&gt;1,"Trùng mã đơn; ","")&amp;IF(ISNA(MATCH($C3223,DATA_MASTER!$D$2:$D$5000,0)),"SĐT chưa đăng ký hội viên; ","")&amp;IF(AND($L3223="Đã chuyển khoản",$M3223=""),"Thiếu ngày nhận CK; ",""))</f>
        <v/>
      </c>
      <c r="T3223" s="24" t="n"/>
    </row>
    <row r="3224" ht="14.25" customHeight="1" s="40">
      <c r="A3224" s="24" t="n"/>
      <c r="B3224" s="29" t="n"/>
      <c r="C3224" s="28" t="n"/>
      <c r="D3224" s="22">
        <f t="array" ref="D3224">IF($C3224="","",IFERROR(INDEX(DATA_MASTER!$C$2:$C$5000,MATCH($C3224,DATA_MASTER!$D$2:$D$5000,0)),""))</f>
        <v/>
      </c>
      <c r="E3224" s="22">
        <f t="array" ref="E3224">IF($C3224="","",IFERROR(INDEX(DATA_MASTER!$I$2:$I$5000,MATCH($C3224,DATA_MASTER!$D$2:$D$5000,0)),""))</f>
        <v/>
      </c>
      <c r="F3224" s="22">
        <f t="array" ref="F3224">IF($C3224="","",IFERROR(INDEX(DATA_MASTER!$L$2:$L$5000,MATCH($C3224,DATA_MASTER!$D$2:$D$5000,0)),""))</f>
        <v/>
      </c>
      <c r="G3224" s="24" t="n"/>
      <c r="H3224" s="24" t="n"/>
      <c r="I3224" s="30" t="n"/>
      <c r="J3224" s="23">
        <f>IF(OR($H3224="",$I3224=""),"",$H3224*$I3224)</f>
        <v/>
      </c>
      <c r="K3224" s="24" t="n"/>
      <c r="L3224" s="24" t="n"/>
      <c r="M3224" s="29" t="n"/>
      <c r="N3224" s="28" t="n"/>
      <c r="O3224" s="24" t="n"/>
      <c r="P3224" s="24" t="n"/>
      <c r="Q3224" s="24" t="n"/>
      <c r="R3224" s="24" t="n"/>
      <c r="S3224" s="22">
        <f>IF(AND($A3224="",$C3224=""),"",IF($A3224="","Thiếu mã đơn; ","")&amp;IF(COUNTIF($A$2:$A3224,$A3224)&gt;1,"Trùng mã đơn; ","")&amp;IF(ISNA(MATCH($C3224,DATA_MASTER!$D$2:$D$5000,0)),"SĐT chưa đăng ký hội viên; ","")&amp;IF(AND($L3224="Đã chuyển khoản",$M3224=""),"Thiếu ngày nhận CK; ",""))</f>
        <v/>
      </c>
      <c r="T3224" s="24" t="n"/>
    </row>
    <row r="3225" ht="14.25" customHeight="1" s="40">
      <c r="A3225" s="24" t="n"/>
      <c r="B3225" s="29" t="n"/>
      <c r="C3225" s="28" t="n"/>
      <c r="D3225" s="22">
        <f t="array" ref="D3225">IF($C3225="","",IFERROR(INDEX(DATA_MASTER!$C$2:$C$5000,MATCH($C3225,DATA_MASTER!$D$2:$D$5000,0)),""))</f>
        <v/>
      </c>
      <c r="E3225" s="22">
        <f t="array" ref="E3225">IF($C3225="","",IFERROR(INDEX(DATA_MASTER!$I$2:$I$5000,MATCH($C3225,DATA_MASTER!$D$2:$D$5000,0)),""))</f>
        <v/>
      </c>
      <c r="F3225" s="22">
        <f t="array" ref="F3225">IF($C3225="","",IFERROR(INDEX(DATA_MASTER!$L$2:$L$5000,MATCH($C3225,DATA_MASTER!$D$2:$D$5000,0)),""))</f>
        <v/>
      </c>
      <c r="G3225" s="24" t="n"/>
      <c r="H3225" s="24" t="n"/>
      <c r="I3225" s="30" t="n"/>
      <c r="J3225" s="23">
        <f>IF(OR($H3225="",$I3225=""),"",$H3225*$I3225)</f>
        <v/>
      </c>
      <c r="K3225" s="24" t="n"/>
      <c r="L3225" s="24" t="n"/>
      <c r="M3225" s="29" t="n"/>
      <c r="N3225" s="28" t="n"/>
      <c r="O3225" s="24" t="n"/>
      <c r="P3225" s="24" t="n"/>
      <c r="Q3225" s="24" t="n"/>
      <c r="R3225" s="24" t="n"/>
      <c r="S3225" s="22">
        <f>IF(AND($A3225="",$C3225=""),"",IF($A3225="","Thiếu mã đơn; ","")&amp;IF(COUNTIF($A$2:$A3225,$A3225)&gt;1,"Trùng mã đơn; ","")&amp;IF(ISNA(MATCH($C3225,DATA_MASTER!$D$2:$D$5000,0)),"SĐT chưa đăng ký hội viên; ","")&amp;IF(AND($L3225="Đã chuyển khoản",$M3225=""),"Thiếu ngày nhận CK; ",""))</f>
        <v/>
      </c>
      <c r="T3225" s="24" t="n"/>
    </row>
    <row r="3226" ht="14.25" customHeight="1" s="40">
      <c r="A3226" s="24" t="n"/>
      <c r="B3226" s="29" t="n"/>
      <c r="C3226" s="28" t="n"/>
      <c r="D3226" s="22">
        <f t="array" ref="D3226">IF($C3226="","",IFERROR(INDEX(DATA_MASTER!$C$2:$C$5000,MATCH($C3226,DATA_MASTER!$D$2:$D$5000,0)),""))</f>
        <v/>
      </c>
      <c r="E3226" s="22">
        <f t="array" ref="E3226">IF($C3226="","",IFERROR(INDEX(DATA_MASTER!$I$2:$I$5000,MATCH($C3226,DATA_MASTER!$D$2:$D$5000,0)),""))</f>
        <v/>
      </c>
      <c r="F3226" s="22">
        <f t="array" ref="F3226">IF($C3226="","",IFERROR(INDEX(DATA_MASTER!$L$2:$L$5000,MATCH($C3226,DATA_MASTER!$D$2:$D$5000,0)),""))</f>
        <v/>
      </c>
      <c r="G3226" s="24" t="n"/>
      <c r="H3226" s="24" t="n"/>
      <c r="I3226" s="30" t="n"/>
      <c r="J3226" s="23">
        <f>IF(OR($H3226="",$I3226=""),"",$H3226*$I3226)</f>
        <v/>
      </c>
      <c r="K3226" s="24" t="n"/>
      <c r="L3226" s="24" t="n"/>
      <c r="M3226" s="29" t="n"/>
      <c r="N3226" s="28" t="n"/>
      <c r="O3226" s="24" t="n"/>
      <c r="P3226" s="24" t="n"/>
      <c r="Q3226" s="24" t="n"/>
      <c r="R3226" s="24" t="n"/>
      <c r="S3226" s="22">
        <f>IF(AND($A3226="",$C3226=""),"",IF($A3226="","Thiếu mã đơn; ","")&amp;IF(COUNTIF($A$2:$A3226,$A3226)&gt;1,"Trùng mã đơn; ","")&amp;IF(ISNA(MATCH($C3226,DATA_MASTER!$D$2:$D$5000,0)),"SĐT chưa đăng ký hội viên; ","")&amp;IF(AND($L3226="Đã chuyển khoản",$M3226=""),"Thiếu ngày nhận CK; ",""))</f>
        <v/>
      </c>
      <c r="T3226" s="24" t="n"/>
    </row>
    <row r="3227" ht="14.25" customHeight="1" s="40">
      <c r="A3227" s="24" t="n"/>
      <c r="B3227" s="29" t="n"/>
      <c r="C3227" s="28" t="n"/>
      <c r="D3227" s="22">
        <f t="array" ref="D3227">IF($C3227="","",IFERROR(INDEX(DATA_MASTER!$C$2:$C$5000,MATCH($C3227,DATA_MASTER!$D$2:$D$5000,0)),""))</f>
        <v/>
      </c>
      <c r="E3227" s="22">
        <f t="array" ref="E3227">IF($C3227="","",IFERROR(INDEX(DATA_MASTER!$I$2:$I$5000,MATCH($C3227,DATA_MASTER!$D$2:$D$5000,0)),""))</f>
        <v/>
      </c>
      <c r="F3227" s="22">
        <f t="array" ref="F3227">IF($C3227="","",IFERROR(INDEX(DATA_MASTER!$L$2:$L$5000,MATCH($C3227,DATA_MASTER!$D$2:$D$5000,0)),""))</f>
        <v/>
      </c>
      <c r="G3227" s="24" t="n"/>
      <c r="H3227" s="24" t="n"/>
      <c r="I3227" s="30" t="n"/>
      <c r="J3227" s="23">
        <f>IF(OR($H3227="",$I3227=""),"",$H3227*$I3227)</f>
        <v/>
      </c>
      <c r="K3227" s="24" t="n"/>
      <c r="L3227" s="24" t="n"/>
      <c r="M3227" s="29" t="n"/>
      <c r="N3227" s="28" t="n"/>
      <c r="O3227" s="24" t="n"/>
      <c r="P3227" s="24" t="n"/>
      <c r="Q3227" s="24" t="n"/>
      <c r="R3227" s="24" t="n"/>
      <c r="S3227" s="22">
        <f>IF(AND($A3227="",$C3227=""),"",IF($A3227="","Thiếu mã đơn; ","")&amp;IF(COUNTIF($A$2:$A3227,$A3227)&gt;1,"Trùng mã đơn; ","")&amp;IF(ISNA(MATCH($C3227,DATA_MASTER!$D$2:$D$5000,0)),"SĐT chưa đăng ký hội viên; ","")&amp;IF(AND($L3227="Đã chuyển khoản",$M3227=""),"Thiếu ngày nhận CK; ",""))</f>
        <v/>
      </c>
      <c r="T3227" s="24" t="n"/>
    </row>
    <row r="3228" ht="14.25" customHeight="1" s="40">
      <c r="A3228" s="24" t="n"/>
      <c r="B3228" s="29" t="n"/>
      <c r="C3228" s="28" t="n"/>
      <c r="D3228" s="22">
        <f t="array" ref="D3228">IF($C3228="","",IFERROR(INDEX(DATA_MASTER!$C$2:$C$5000,MATCH($C3228,DATA_MASTER!$D$2:$D$5000,0)),""))</f>
        <v/>
      </c>
      <c r="E3228" s="22">
        <f t="array" ref="E3228">IF($C3228="","",IFERROR(INDEX(DATA_MASTER!$I$2:$I$5000,MATCH($C3228,DATA_MASTER!$D$2:$D$5000,0)),""))</f>
        <v/>
      </c>
      <c r="F3228" s="22">
        <f t="array" ref="F3228">IF($C3228="","",IFERROR(INDEX(DATA_MASTER!$L$2:$L$5000,MATCH($C3228,DATA_MASTER!$D$2:$D$5000,0)),""))</f>
        <v/>
      </c>
      <c r="G3228" s="24" t="n"/>
      <c r="H3228" s="24" t="n"/>
      <c r="I3228" s="30" t="n"/>
      <c r="J3228" s="23">
        <f>IF(OR($H3228="",$I3228=""),"",$H3228*$I3228)</f>
        <v/>
      </c>
      <c r="K3228" s="24" t="n"/>
      <c r="L3228" s="24" t="n"/>
      <c r="M3228" s="29" t="n"/>
      <c r="N3228" s="28" t="n"/>
      <c r="O3228" s="24" t="n"/>
      <c r="P3228" s="24" t="n"/>
      <c r="Q3228" s="24" t="n"/>
      <c r="R3228" s="24" t="n"/>
      <c r="S3228" s="22">
        <f>IF(AND($A3228="",$C3228=""),"",IF($A3228="","Thiếu mã đơn; ","")&amp;IF(COUNTIF($A$2:$A3228,$A3228)&gt;1,"Trùng mã đơn; ","")&amp;IF(ISNA(MATCH($C3228,DATA_MASTER!$D$2:$D$5000,0)),"SĐT chưa đăng ký hội viên; ","")&amp;IF(AND($L3228="Đã chuyển khoản",$M3228=""),"Thiếu ngày nhận CK; ",""))</f>
        <v/>
      </c>
      <c r="T3228" s="24" t="n"/>
    </row>
    <row r="3229" ht="14.25" customHeight="1" s="40">
      <c r="A3229" s="24" t="n"/>
      <c r="B3229" s="29" t="n"/>
      <c r="C3229" s="28" t="n"/>
      <c r="D3229" s="22">
        <f t="array" ref="D3229">IF($C3229="","",IFERROR(INDEX(DATA_MASTER!$C$2:$C$5000,MATCH($C3229,DATA_MASTER!$D$2:$D$5000,0)),""))</f>
        <v/>
      </c>
      <c r="E3229" s="22">
        <f t="array" ref="E3229">IF($C3229="","",IFERROR(INDEX(DATA_MASTER!$I$2:$I$5000,MATCH($C3229,DATA_MASTER!$D$2:$D$5000,0)),""))</f>
        <v/>
      </c>
      <c r="F3229" s="22">
        <f t="array" ref="F3229">IF($C3229="","",IFERROR(INDEX(DATA_MASTER!$L$2:$L$5000,MATCH($C3229,DATA_MASTER!$D$2:$D$5000,0)),""))</f>
        <v/>
      </c>
      <c r="G3229" s="24" t="n"/>
      <c r="H3229" s="24" t="n"/>
      <c r="I3229" s="30" t="n"/>
      <c r="J3229" s="23">
        <f>IF(OR($H3229="",$I3229=""),"",$H3229*$I3229)</f>
        <v/>
      </c>
      <c r="K3229" s="24" t="n"/>
      <c r="L3229" s="24" t="n"/>
      <c r="M3229" s="29" t="n"/>
      <c r="N3229" s="28" t="n"/>
      <c r="O3229" s="24" t="n"/>
      <c r="P3229" s="24" t="n"/>
      <c r="Q3229" s="24" t="n"/>
      <c r="R3229" s="24" t="n"/>
      <c r="S3229" s="22">
        <f>IF(AND($A3229="",$C3229=""),"",IF($A3229="","Thiếu mã đơn; ","")&amp;IF(COUNTIF($A$2:$A3229,$A3229)&gt;1,"Trùng mã đơn; ","")&amp;IF(ISNA(MATCH($C3229,DATA_MASTER!$D$2:$D$5000,0)),"SĐT chưa đăng ký hội viên; ","")&amp;IF(AND($L3229="Đã chuyển khoản",$M3229=""),"Thiếu ngày nhận CK; ",""))</f>
        <v/>
      </c>
      <c r="T3229" s="24" t="n"/>
    </row>
    <row r="3230" ht="14.25" customHeight="1" s="40">
      <c r="A3230" s="24" t="n"/>
      <c r="B3230" s="29" t="n"/>
      <c r="C3230" s="28" t="n"/>
      <c r="D3230" s="22">
        <f t="array" ref="D3230">IF($C3230="","",IFERROR(INDEX(DATA_MASTER!$C$2:$C$5000,MATCH($C3230,DATA_MASTER!$D$2:$D$5000,0)),""))</f>
        <v/>
      </c>
      <c r="E3230" s="22">
        <f t="array" ref="E3230">IF($C3230="","",IFERROR(INDEX(DATA_MASTER!$I$2:$I$5000,MATCH($C3230,DATA_MASTER!$D$2:$D$5000,0)),""))</f>
        <v/>
      </c>
      <c r="F3230" s="22">
        <f t="array" ref="F3230">IF($C3230="","",IFERROR(INDEX(DATA_MASTER!$L$2:$L$5000,MATCH($C3230,DATA_MASTER!$D$2:$D$5000,0)),""))</f>
        <v/>
      </c>
      <c r="G3230" s="24" t="n"/>
      <c r="H3230" s="24" t="n"/>
      <c r="I3230" s="30" t="n"/>
      <c r="J3230" s="23">
        <f>IF(OR($H3230="",$I3230=""),"",$H3230*$I3230)</f>
        <v/>
      </c>
      <c r="K3230" s="24" t="n"/>
      <c r="L3230" s="24" t="n"/>
      <c r="M3230" s="29" t="n"/>
      <c r="N3230" s="28" t="n"/>
      <c r="O3230" s="24" t="n"/>
      <c r="P3230" s="24" t="n"/>
      <c r="Q3230" s="24" t="n"/>
      <c r="R3230" s="24" t="n"/>
      <c r="S3230" s="22">
        <f>IF(AND($A3230="",$C3230=""),"",IF($A3230="","Thiếu mã đơn; ","")&amp;IF(COUNTIF($A$2:$A3230,$A3230)&gt;1,"Trùng mã đơn; ","")&amp;IF(ISNA(MATCH($C3230,DATA_MASTER!$D$2:$D$5000,0)),"SĐT chưa đăng ký hội viên; ","")&amp;IF(AND($L3230="Đã chuyển khoản",$M3230=""),"Thiếu ngày nhận CK; ",""))</f>
        <v/>
      </c>
      <c r="T3230" s="24" t="n"/>
    </row>
    <row r="3231" ht="14.25" customHeight="1" s="40">
      <c r="A3231" s="24" t="n"/>
      <c r="B3231" s="29" t="n"/>
      <c r="C3231" s="28" t="n"/>
      <c r="D3231" s="22">
        <f t="array" ref="D3231">IF($C3231="","",IFERROR(INDEX(DATA_MASTER!$C$2:$C$5000,MATCH($C3231,DATA_MASTER!$D$2:$D$5000,0)),""))</f>
        <v/>
      </c>
      <c r="E3231" s="22">
        <f t="array" ref="E3231">IF($C3231="","",IFERROR(INDEX(DATA_MASTER!$I$2:$I$5000,MATCH($C3231,DATA_MASTER!$D$2:$D$5000,0)),""))</f>
        <v/>
      </c>
      <c r="F3231" s="22">
        <f t="array" ref="F3231">IF($C3231="","",IFERROR(INDEX(DATA_MASTER!$L$2:$L$5000,MATCH($C3231,DATA_MASTER!$D$2:$D$5000,0)),""))</f>
        <v/>
      </c>
      <c r="G3231" s="24" t="n"/>
      <c r="H3231" s="24" t="n"/>
      <c r="I3231" s="30" t="n"/>
      <c r="J3231" s="23">
        <f>IF(OR($H3231="",$I3231=""),"",$H3231*$I3231)</f>
        <v/>
      </c>
      <c r="K3231" s="24" t="n"/>
      <c r="L3231" s="24" t="n"/>
      <c r="M3231" s="29" t="n"/>
      <c r="N3231" s="28" t="n"/>
      <c r="O3231" s="24" t="n"/>
      <c r="P3231" s="24" t="n"/>
      <c r="Q3231" s="24" t="n"/>
      <c r="R3231" s="24" t="n"/>
      <c r="S3231" s="22">
        <f>IF(AND($A3231="",$C3231=""),"",IF($A3231="","Thiếu mã đơn; ","")&amp;IF(COUNTIF($A$2:$A3231,$A3231)&gt;1,"Trùng mã đơn; ","")&amp;IF(ISNA(MATCH($C3231,DATA_MASTER!$D$2:$D$5000,0)),"SĐT chưa đăng ký hội viên; ","")&amp;IF(AND($L3231="Đã chuyển khoản",$M3231=""),"Thiếu ngày nhận CK; ",""))</f>
        <v/>
      </c>
      <c r="T3231" s="24" t="n"/>
    </row>
    <row r="3232" ht="14.25" customHeight="1" s="40">
      <c r="A3232" s="24" t="n"/>
      <c r="B3232" s="29" t="n"/>
      <c r="C3232" s="28" t="n"/>
      <c r="D3232" s="22">
        <f t="array" ref="D3232">IF($C3232="","",IFERROR(INDEX(DATA_MASTER!$C$2:$C$5000,MATCH($C3232,DATA_MASTER!$D$2:$D$5000,0)),""))</f>
        <v/>
      </c>
      <c r="E3232" s="22">
        <f t="array" ref="E3232">IF($C3232="","",IFERROR(INDEX(DATA_MASTER!$I$2:$I$5000,MATCH($C3232,DATA_MASTER!$D$2:$D$5000,0)),""))</f>
        <v/>
      </c>
      <c r="F3232" s="22">
        <f t="array" ref="F3232">IF($C3232="","",IFERROR(INDEX(DATA_MASTER!$L$2:$L$5000,MATCH($C3232,DATA_MASTER!$D$2:$D$5000,0)),""))</f>
        <v/>
      </c>
      <c r="G3232" s="24" t="n"/>
      <c r="H3232" s="24" t="n"/>
      <c r="I3232" s="30" t="n"/>
      <c r="J3232" s="23">
        <f>IF(OR($H3232="",$I3232=""),"",$H3232*$I3232)</f>
        <v/>
      </c>
      <c r="K3232" s="24" t="n"/>
      <c r="L3232" s="24" t="n"/>
      <c r="M3232" s="29" t="n"/>
      <c r="N3232" s="28" t="n"/>
      <c r="O3232" s="24" t="n"/>
      <c r="P3232" s="24" t="n"/>
      <c r="Q3232" s="24" t="n"/>
      <c r="R3232" s="24" t="n"/>
      <c r="S3232" s="22">
        <f>IF(AND($A3232="",$C3232=""),"",IF($A3232="","Thiếu mã đơn; ","")&amp;IF(COUNTIF($A$2:$A3232,$A3232)&gt;1,"Trùng mã đơn; ","")&amp;IF(ISNA(MATCH($C3232,DATA_MASTER!$D$2:$D$5000,0)),"SĐT chưa đăng ký hội viên; ","")&amp;IF(AND($L3232="Đã chuyển khoản",$M3232=""),"Thiếu ngày nhận CK; ",""))</f>
        <v/>
      </c>
      <c r="T3232" s="24" t="n"/>
    </row>
    <row r="3233" ht="14.25" customHeight="1" s="40">
      <c r="A3233" s="24" t="n"/>
      <c r="B3233" s="29" t="n"/>
      <c r="C3233" s="28" t="n"/>
      <c r="D3233" s="22">
        <f t="array" ref="D3233">IF($C3233="","",IFERROR(INDEX(DATA_MASTER!$C$2:$C$5000,MATCH($C3233,DATA_MASTER!$D$2:$D$5000,0)),""))</f>
        <v/>
      </c>
      <c r="E3233" s="22">
        <f t="array" ref="E3233">IF($C3233="","",IFERROR(INDEX(DATA_MASTER!$I$2:$I$5000,MATCH($C3233,DATA_MASTER!$D$2:$D$5000,0)),""))</f>
        <v/>
      </c>
      <c r="F3233" s="22">
        <f t="array" ref="F3233">IF($C3233="","",IFERROR(INDEX(DATA_MASTER!$L$2:$L$5000,MATCH($C3233,DATA_MASTER!$D$2:$D$5000,0)),""))</f>
        <v/>
      </c>
      <c r="G3233" s="24" t="n"/>
      <c r="H3233" s="24" t="n"/>
      <c r="I3233" s="30" t="n"/>
      <c r="J3233" s="23">
        <f>IF(OR($H3233="",$I3233=""),"",$H3233*$I3233)</f>
        <v/>
      </c>
      <c r="K3233" s="24" t="n"/>
      <c r="L3233" s="24" t="n"/>
      <c r="M3233" s="29" t="n"/>
      <c r="N3233" s="28" t="n"/>
      <c r="O3233" s="24" t="n"/>
      <c r="P3233" s="24" t="n"/>
      <c r="Q3233" s="24" t="n"/>
      <c r="R3233" s="24" t="n"/>
      <c r="S3233" s="22">
        <f>IF(AND($A3233="",$C3233=""),"",IF($A3233="","Thiếu mã đơn; ","")&amp;IF(COUNTIF($A$2:$A3233,$A3233)&gt;1,"Trùng mã đơn; ","")&amp;IF(ISNA(MATCH($C3233,DATA_MASTER!$D$2:$D$5000,0)),"SĐT chưa đăng ký hội viên; ","")&amp;IF(AND($L3233="Đã chuyển khoản",$M3233=""),"Thiếu ngày nhận CK; ",""))</f>
        <v/>
      </c>
      <c r="T3233" s="24" t="n"/>
    </row>
    <row r="3234" ht="14.25" customHeight="1" s="40">
      <c r="A3234" s="24" t="n"/>
      <c r="B3234" s="29" t="n"/>
      <c r="C3234" s="28" t="n"/>
      <c r="D3234" s="22">
        <f t="array" ref="D3234">IF($C3234="","",IFERROR(INDEX(DATA_MASTER!$C$2:$C$5000,MATCH($C3234,DATA_MASTER!$D$2:$D$5000,0)),""))</f>
        <v/>
      </c>
      <c r="E3234" s="22">
        <f t="array" ref="E3234">IF($C3234="","",IFERROR(INDEX(DATA_MASTER!$I$2:$I$5000,MATCH($C3234,DATA_MASTER!$D$2:$D$5000,0)),""))</f>
        <v/>
      </c>
      <c r="F3234" s="22">
        <f t="array" ref="F3234">IF($C3234="","",IFERROR(INDEX(DATA_MASTER!$L$2:$L$5000,MATCH($C3234,DATA_MASTER!$D$2:$D$5000,0)),""))</f>
        <v/>
      </c>
      <c r="G3234" s="24" t="n"/>
      <c r="H3234" s="24" t="n"/>
      <c r="I3234" s="30" t="n"/>
      <c r="J3234" s="23">
        <f>IF(OR($H3234="",$I3234=""),"",$H3234*$I3234)</f>
        <v/>
      </c>
      <c r="K3234" s="24" t="n"/>
      <c r="L3234" s="24" t="n"/>
      <c r="M3234" s="29" t="n"/>
      <c r="N3234" s="28" t="n"/>
      <c r="O3234" s="24" t="n"/>
      <c r="P3234" s="24" t="n"/>
      <c r="Q3234" s="24" t="n"/>
      <c r="R3234" s="24" t="n"/>
      <c r="S3234" s="22">
        <f>IF(AND($A3234="",$C3234=""),"",IF($A3234="","Thiếu mã đơn; ","")&amp;IF(COUNTIF($A$2:$A3234,$A3234)&gt;1,"Trùng mã đơn; ","")&amp;IF(ISNA(MATCH($C3234,DATA_MASTER!$D$2:$D$5000,0)),"SĐT chưa đăng ký hội viên; ","")&amp;IF(AND($L3234="Đã chuyển khoản",$M3234=""),"Thiếu ngày nhận CK; ",""))</f>
        <v/>
      </c>
      <c r="T3234" s="24" t="n"/>
    </row>
    <row r="3235" ht="14.25" customHeight="1" s="40">
      <c r="A3235" s="24" t="n"/>
      <c r="B3235" s="29" t="n"/>
      <c r="C3235" s="28" t="n"/>
      <c r="D3235" s="22">
        <f t="array" ref="D3235">IF($C3235="","",IFERROR(INDEX(DATA_MASTER!$C$2:$C$5000,MATCH($C3235,DATA_MASTER!$D$2:$D$5000,0)),""))</f>
        <v/>
      </c>
      <c r="E3235" s="22">
        <f t="array" ref="E3235">IF($C3235="","",IFERROR(INDEX(DATA_MASTER!$I$2:$I$5000,MATCH($C3235,DATA_MASTER!$D$2:$D$5000,0)),""))</f>
        <v/>
      </c>
      <c r="F3235" s="22">
        <f t="array" ref="F3235">IF($C3235="","",IFERROR(INDEX(DATA_MASTER!$L$2:$L$5000,MATCH($C3235,DATA_MASTER!$D$2:$D$5000,0)),""))</f>
        <v/>
      </c>
      <c r="G3235" s="24" t="n"/>
      <c r="H3235" s="24" t="n"/>
      <c r="I3235" s="30" t="n"/>
      <c r="J3235" s="23">
        <f>IF(OR($H3235="",$I3235=""),"",$H3235*$I3235)</f>
        <v/>
      </c>
      <c r="K3235" s="24" t="n"/>
      <c r="L3235" s="24" t="n"/>
      <c r="M3235" s="29" t="n"/>
      <c r="N3235" s="28" t="n"/>
      <c r="O3235" s="24" t="n"/>
      <c r="P3235" s="24" t="n"/>
      <c r="Q3235" s="24" t="n"/>
      <c r="R3235" s="24" t="n"/>
      <c r="S3235" s="22">
        <f>IF(AND($A3235="",$C3235=""),"",IF($A3235="","Thiếu mã đơn; ","")&amp;IF(COUNTIF($A$2:$A3235,$A3235)&gt;1,"Trùng mã đơn; ","")&amp;IF(ISNA(MATCH($C3235,DATA_MASTER!$D$2:$D$5000,0)),"SĐT chưa đăng ký hội viên; ","")&amp;IF(AND($L3235="Đã chuyển khoản",$M3235=""),"Thiếu ngày nhận CK; ",""))</f>
        <v/>
      </c>
      <c r="T3235" s="24" t="n"/>
    </row>
    <row r="3236" ht="14.25" customHeight="1" s="40">
      <c r="A3236" s="24" t="n"/>
      <c r="B3236" s="29" t="n"/>
      <c r="C3236" s="28" t="n"/>
      <c r="D3236" s="22">
        <f t="array" ref="D3236">IF($C3236="","",IFERROR(INDEX(DATA_MASTER!$C$2:$C$5000,MATCH($C3236,DATA_MASTER!$D$2:$D$5000,0)),""))</f>
        <v/>
      </c>
      <c r="E3236" s="22">
        <f t="array" ref="E3236">IF($C3236="","",IFERROR(INDEX(DATA_MASTER!$I$2:$I$5000,MATCH($C3236,DATA_MASTER!$D$2:$D$5000,0)),""))</f>
        <v/>
      </c>
      <c r="F3236" s="22">
        <f t="array" ref="F3236">IF($C3236="","",IFERROR(INDEX(DATA_MASTER!$L$2:$L$5000,MATCH($C3236,DATA_MASTER!$D$2:$D$5000,0)),""))</f>
        <v/>
      </c>
      <c r="G3236" s="24" t="n"/>
      <c r="H3236" s="24" t="n"/>
      <c r="I3236" s="30" t="n"/>
      <c r="J3236" s="23">
        <f>IF(OR($H3236="",$I3236=""),"",$H3236*$I3236)</f>
        <v/>
      </c>
      <c r="K3236" s="24" t="n"/>
      <c r="L3236" s="24" t="n"/>
      <c r="M3236" s="29" t="n"/>
      <c r="N3236" s="28" t="n"/>
      <c r="O3236" s="24" t="n"/>
      <c r="P3236" s="24" t="n"/>
      <c r="Q3236" s="24" t="n"/>
      <c r="R3236" s="24" t="n"/>
      <c r="S3236" s="22">
        <f>IF(AND($A3236="",$C3236=""),"",IF($A3236="","Thiếu mã đơn; ","")&amp;IF(COUNTIF($A$2:$A3236,$A3236)&gt;1,"Trùng mã đơn; ","")&amp;IF(ISNA(MATCH($C3236,DATA_MASTER!$D$2:$D$5000,0)),"SĐT chưa đăng ký hội viên; ","")&amp;IF(AND($L3236="Đã chuyển khoản",$M3236=""),"Thiếu ngày nhận CK; ",""))</f>
        <v/>
      </c>
      <c r="T3236" s="24" t="n"/>
    </row>
    <row r="3237" ht="14.25" customHeight="1" s="40">
      <c r="A3237" s="24" t="n"/>
      <c r="B3237" s="29" t="n"/>
      <c r="C3237" s="28" t="n"/>
      <c r="D3237" s="22">
        <f t="array" ref="D3237">IF($C3237="","",IFERROR(INDEX(DATA_MASTER!$C$2:$C$5000,MATCH($C3237,DATA_MASTER!$D$2:$D$5000,0)),""))</f>
        <v/>
      </c>
      <c r="E3237" s="22">
        <f t="array" ref="E3237">IF($C3237="","",IFERROR(INDEX(DATA_MASTER!$I$2:$I$5000,MATCH($C3237,DATA_MASTER!$D$2:$D$5000,0)),""))</f>
        <v/>
      </c>
      <c r="F3237" s="22">
        <f t="array" ref="F3237">IF($C3237="","",IFERROR(INDEX(DATA_MASTER!$L$2:$L$5000,MATCH($C3237,DATA_MASTER!$D$2:$D$5000,0)),""))</f>
        <v/>
      </c>
      <c r="G3237" s="24" t="n"/>
      <c r="H3237" s="24" t="n"/>
      <c r="I3237" s="30" t="n"/>
      <c r="J3237" s="23">
        <f>IF(OR($H3237="",$I3237=""),"",$H3237*$I3237)</f>
        <v/>
      </c>
      <c r="K3237" s="24" t="n"/>
      <c r="L3237" s="24" t="n"/>
      <c r="M3237" s="29" t="n"/>
      <c r="N3237" s="28" t="n"/>
      <c r="O3237" s="24" t="n"/>
      <c r="P3237" s="24" t="n"/>
      <c r="Q3237" s="24" t="n"/>
      <c r="R3237" s="24" t="n"/>
      <c r="S3237" s="22">
        <f>IF(AND($A3237="",$C3237=""),"",IF($A3237="","Thiếu mã đơn; ","")&amp;IF(COUNTIF($A$2:$A3237,$A3237)&gt;1,"Trùng mã đơn; ","")&amp;IF(ISNA(MATCH($C3237,DATA_MASTER!$D$2:$D$5000,0)),"SĐT chưa đăng ký hội viên; ","")&amp;IF(AND($L3237="Đã chuyển khoản",$M3237=""),"Thiếu ngày nhận CK; ",""))</f>
        <v/>
      </c>
      <c r="T3237" s="24" t="n"/>
    </row>
    <row r="3238" ht="14.25" customHeight="1" s="40">
      <c r="A3238" s="24" t="n"/>
      <c r="B3238" s="29" t="n"/>
      <c r="C3238" s="28" t="n"/>
      <c r="D3238" s="22">
        <f t="array" ref="D3238">IF($C3238="","",IFERROR(INDEX(DATA_MASTER!$C$2:$C$5000,MATCH($C3238,DATA_MASTER!$D$2:$D$5000,0)),""))</f>
        <v/>
      </c>
      <c r="E3238" s="22">
        <f t="array" ref="E3238">IF($C3238="","",IFERROR(INDEX(DATA_MASTER!$I$2:$I$5000,MATCH($C3238,DATA_MASTER!$D$2:$D$5000,0)),""))</f>
        <v/>
      </c>
      <c r="F3238" s="22">
        <f t="array" ref="F3238">IF($C3238="","",IFERROR(INDEX(DATA_MASTER!$L$2:$L$5000,MATCH($C3238,DATA_MASTER!$D$2:$D$5000,0)),""))</f>
        <v/>
      </c>
      <c r="G3238" s="24" t="n"/>
      <c r="H3238" s="24" t="n"/>
      <c r="I3238" s="30" t="n"/>
      <c r="J3238" s="23">
        <f>IF(OR($H3238="",$I3238=""),"",$H3238*$I3238)</f>
        <v/>
      </c>
      <c r="K3238" s="24" t="n"/>
      <c r="L3238" s="24" t="n"/>
      <c r="M3238" s="29" t="n"/>
      <c r="N3238" s="28" t="n"/>
      <c r="O3238" s="24" t="n"/>
      <c r="P3238" s="24" t="n"/>
      <c r="Q3238" s="24" t="n"/>
      <c r="R3238" s="24" t="n"/>
      <c r="S3238" s="22">
        <f>IF(AND($A3238="",$C3238=""),"",IF($A3238="","Thiếu mã đơn; ","")&amp;IF(COUNTIF($A$2:$A3238,$A3238)&gt;1,"Trùng mã đơn; ","")&amp;IF(ISNA(MATCH($C3238,DATA_MASTER!$D$2:$D$5000,0)),"SĐT chưa đăng ký hội viên; ","")&amp;IF(AND($L3238="Đã chuyển khoản",$M3238=""),"Thiếu ngày nhận CK; ",""))</f>
        <v/>
      </c>
      <c r="T3238" s="24" t="n"/>
    </row>
    <row r="3239" ht="14.25" customHeight="1" s="40">
      <c r="A3239" s="24" t="n"/>
      <c r="B3239" s="29" t="n"/>
      <c r="C3239" s="28" t="n"/>
      <c r="D3239" s="22">
        <f t="array" ref="D3239">IF($C3239="","",IFERROR(INDEX(DATA_MASTER!$C$2:$C$5000,MATCH($C3239,DATA_MASTER!$D$2:$D$5000,0)),""))</f>
        <v/>
      </c>
      <c r="E3239" s="22">
        <f t="array" ref="E3239">IF($C3239="","",IFERROR(INDEX(DATA_MASTER!$I$2:$I$5000,MATCH($C3239,DATA_MASTER!$D$2:$D$5000,0)),""))</f>
        <v/>
      </c>
      <c r="F3239" s="22">
        <f t="array" ref="F3239">IF($C3239="","",IFERROR(INDEX(DATA_MASTER!$L$2:$L$5000,MATCH($C3239,DATA_MASTER!$D$2:$D$5000,0)),""))</f>
        <v/>
      </c>
      <c r="G3239" s="24" t="n"/>
      <c r="H3239" s="24" t="n"/>
      <c r="I3239" s="30" t="n"/>
      <c r="J3239" s="23">
        <f>IF(OR($H3239="",$I3239=""),"",$H3239*$I3239)</f>
        <v/>
      </c>
      <c r="K3239" s="24" t="n"/>
      <c r="L3239" s="24" t="n"/>
      <c r="M3239" s="29" t="n"/>
      <c r="N3239" s="28" t="n"/>
      <c r="O3239" s="24" t="n"/>
      <c r="P3239" s="24" t="n"/>
      <c r="Q3239" s="24" t="n"/>
      <c r="R3239" s="24" t="n"/>
      <c r="S3239" s="22">
        <f>IF(AND($A3239="",$C3239=""),"",IF($A3239="","Thiếu mã đơn; ","")&amp;IF(COUNTIF($A$2:$A3239,$A3239)&gt;1,"Trùng mã đơn; ","")&amp;IF(ISNA(MATCH($C3239,DATA_MASTER!$D$2:$D$5000,0)),"SĐT chưa đăng ký hội viên; ","")&amp;IF(AND($L3239="Đã chuyển khoản",$M3239=""),"Thiếu ngày nhận CK; ",""))</f>
        <v/>
      </c>
      <c r="T3239" s="24" t="n"/>
    </row>
    <row r="3240" ht="14.25" customHeight="1" s="40">
      <c r="A3240" s="24" t="n"/>
      <c r="B3240" s="29" t="n"/>
      <c r="C3240" s="28" t="n"/>
      <c r="D3240" s="22">
        <f t="array" ref="D3240">IF($C3240="","",IFERROR(INDEX(DATA_MASTER!$C$2:$C$5000,MATCH($C3240,DATA_MASTER!$D$2:$D$5000,0)),""))</f>
        <v/>
      </c>
      <c r="E3240" s="22">
        <f t="array" ref="E3240">IF($C3240="","",IFERROR(INDEX(DATA_MASTER!$I$2:$I$5000,MATCH($C3240,DATA_MASTER!$D$2:$D$5000,0)),""))</f>
        <v/>
      </c>
      <c r="F3240" s="22">
        <f t="array" ref="F3240">IF($C3240="","",IFERROR(INDEX(DATA_MASTER!$L$2:$L$5000,MATCH($C3240,DATA_MASTER!$D$2:$D$5000,0)),""))</f>
        <v/>
      </c>
      <c r="G3240" s="24" t="n"/>
      <c r="H3240" s="24" t="n"/>
      <c r="I3240" s="30" t="n"/>
      <c r="J3240" s="23">
        <f>IF(OR($H3240="",$I3240=""),"",$H3240*$I3240)</f>
        <v/>
      </c>
      <c r="K3240" s="24" t="n"/>
      <c r="L3240" s="24" t="n"/>
      <c r="M3240" s="29" t="n"/>
      <c r="N3240" s="28" t="n"/>
      <c r="O3240" s="24" t="n"/>
      <c r="P3240" s="24" t="n"/>
      <c r="Q3240" s="24" t="n"/>
      <c r="R3240" s="24" t="n"/>
      <c r="S3240" s="22">
        <f>IF(AND($A3240="",$C3240=""),"",IF($A3240="","Thiếu mã đơn; ","")&amp;IF(COUNTIF($A$2:$A3240,$A3240)&gt;1,"Trùng mã đơn; ","")&amp;IF(ISNA(MATCH($C3240,DATA_MASTER!$D$2:$D$5000,0)),"SĐT chưa đăng ký hội viên; ","")&amp;IF(AND($L3240="Đã chuyển khoản",$M3240=""),"Thiếu ngày nhận CK; ",""))</f>
        <v/>
      </c>
      <c r="T3240" s="24" t="n"/>
    </row>
    <row r="3241" ht="14.25" customHeight="1" s="40">
      <c r="A3241" s="24" t="n"/>
      <c r="B3241" s="29" t="n"/>
      <c r="C3241" s="28" t="n"/>
      <c r="D3241" s="22">
        <f t="array" ref="D3241">IF($C3241="","",IFERROR(INDEX(DATA_MASTER!$C$2:$C$5000,MATCH($C3241,DATA_MASTER!$D$2:$D$5000,0)),""))</f>
        <v/>
      </c>
      <c r="E3241" s="22">
        <f t="array" ref="E3241">IF($C3241="","",IFERROR(INDEX(DATA_MASTER!$I$2:$I$5000,MATCH($C3241,DATA_MASTER!$D$2:$D$5000,0)),""))</f>
        <v/>
      </c>
      <c r="F3241" s="22">
        <f t="array" ref="F3241">IF($C3241="","",IFERROR(INDEX(DATA_MASTER!$L$2:$L$5000,MATCH($C3241,DATA_MASTER!$D$2:$D$5000,0)),""))</f>
        <v/>
      </c>
      <c r="G3241" s="24" t="n"/>
      <c r="H3241" s="24" t="n"/>
      <c r="I3241" s="30" t="n"/>
      <c r="J3241" s="23">
        <f>IF(OR($H3241="",$I3241=""),"",$H3241*$I3241)</f>
        <v/>
      </c>
      <c r="K3241" s="24" t="n"/>
      <c r="L3241" s="24" t="n"/>
      <c r="M3241" s="29" t="n"/>
      <c r="N3241" s="28" t="n"/>
      <c r="O3241" s="24" t="n"/>
      <c r="P3241" s="24" t="n"/>
      <c r="Q3241" s="24" t="n"/>
      <c r="R3241" s="24" t="n"/>
      <c r="S3241" s="22">
        <f>IF(AND($A3241="",$C3241=""),"",IF($A3241="","Thiếu mã đơn; ","")&amp;IF(COUNTIF($A$2:$A3241,$A3241)&gt;1,"Trùng mã đơn; ","")&amp;IF(ISNA(MATCH($C3241,DATA_MASTER!$D$2:$D$5000,0)),"SĐT chưa đăng ký hội viên; ","")&amp;IF(AND($L3241="Đã chuyển khoản",$M3241=""),"Thiếu ngày nhận CK; ",""))</f>
        <v/>
      </c>
      <c r="T3241" s="24" t="n"/>
    </row>
    <row r="3242" ht="14.25" customHeight="1" s="40">
      <c r="A3242" s="24" t="n"/>
      <c r="B3242" s="29" t="n"/>
      <c r="C3242" s="28" t="n"/>
      <c r="D3242" s="22">
        <f t="array" ref="D3242">IF($C3242="","",IFERROR(INDEX(DATA_MASTER!$C$2:$C$5000,MATCH($C3242,DATA_MASTER!$D$2:$D$5000,0)),""))</f>
        <v/>
      </c>
      <c r="E3242" s="22">
        <f t="array" ref="E3242">IF($C3242="","",IFERROR(INDEX(DATA_MASTER!$I$2:$I$5000,MATCH($C3242,DATA_MASTER!$D$2:$D$5000,0)),""))</f>
        <v/>
      </c>
      <c r="F3242" s="22">
        <f t="array" ref="F3242">IF($C3242="","",IFERROR(INDEX(DATA_MASTER!$L$2:$L$5000,MATCH($C3242,DATA_MASTER!$D$2:$D$5000,0)),""))</f>
        <v/>
      </c>
      <c r="G3242" s="24" t="n"/>
      <c r="H3242" s="24" t="n"/>
      <c r="I3242" s="30" t="n"/>
      <c r="J3242" s="23">
        <f>IF(OR($H3242="",$I3242=""),"",$H3242*$I3242)</f>
        <v/>
      </c>
      <c r="K3242" s="24" t="n"/>
      <c r="L3242" s="24" t="n"/>
      <c r="M3242" s="29" t="n"/>
      <c r="N3242" s="28" t="n"/>
      <c r="O3242" s="24" t="n"/>
      <c r="P3242" s="24" t="n"/>
      <c r="Q3242" s="24" t="n"/>
      <c r="R3242" s="24" t="n"/>
      <c r="S3242" s="22">
        <f>IF(AND($A3242="",$C3242=""),"",IF($A3242="","Thiếu mã đơn; ","")&amp;IF(COUNTIF($A$2:$A3242,$A3242)&gt;1,"Trùng mã đơn; ","")&amp;IF(ISNA(MATCH($C3242,DATA_MASTER!$D$2:$D$5000,0)),"SĐT chưa đăng ký hội viên; ","")&amp;IF(AND($L3242="Đã chuyển khoản",$M3242=""),"Thiếu ngày nhận CK; ",""))</f>
        <v/>
      </c>
      <c r="T3242" s="24" t="n"/>
    </row>
    <row r="3243" ht="14.25" customHeight="1" s="40">
      <c r="A3243" s="24" t="n"/>
      <c r="B3243" s="29" t="n"/>
      <c r="C3243" s="28" t="n"/>
      <c r="D3243" s="22">
        <f t="array" ref="D3243">IF($C3243="","",IFERROR(INDEX(DATA_MASTER!$C$2:$C$5000,MATCH($C3243,DATA_MASTER!$D$2:$D$5000,0)),""))</f>
        <v/>
      </c>
      <c r="E3243" s="22">
        <f t="array" ref="E3243">IF($C3243="","",IFERROR(INDEX(DATA_MASTER!$I$2:$I$5000,MATCH($C3243,DATA_MASTER!$D$2:$D$5000,0)),""))</f>
        <v/>
      </c>
      <c r="F3243" s="22">
        <f t="array" ref="F3243">IF($C3243="","",IFERROR(INDEX(DATA_MASTER!$L$2:$L$5000,MATCH($C3243,DATA_MASTER!$D$2:$D$5000,0)),""))</f>
        <v/>
      </c>
      <c r="G3243" s="24" t="n"/>
      <c r="H3243" s="24" t="n"/>
      <c r="I3243" s="30" t="n"/>
      <c r="J3243" s="23">
        <f>IF(OR($H3243="",$I3243=""),"",$H3243*$I3243)</f>
        <v/>
      </c>
      <c r="K3243" s="24" t="n"/>
      <c r="L3243" s="24" t="n"/>
      <c r="M3243" s="29" t="n"/>
      <c r="N3243" s="28" t="n"/>
      <c r="O3243" s="24" t="n"/>
      <c r="P3243" s="24" t="n"/>
      <c r="Q3243" s="24" t="n"/>
      <c r="R3243" s="24" t="n"/>
      <c r="S3243" s="22">
        <f>IF(AND($A3243="",$C3243=""),"",IF($A3243="","Thiếu mã đơn; ","")&amp;IF(COUNTIF($A$2:$A3243,$A3243)&gt;1,"Trùng mã đơn; ","")&amp;IF(ISNA(MATCH($C3243,DATA_MASTER!$D$2:$D$5000,0)),"SĐT chưa đăng ký hội viên; ","")&amp;IF(AND($L3243="Đã chuyển khoản",$M3243=""),"Thiếu ngày nhận CK; ",""))</f>
        <v/>
      </c>
      <c r="T3243" s="24" t="n"/>
    </row>
    <row r="3244" ht="14.25" customHeight="1" s="40">
      <c r="A3244" s="24" t="n"/>
      <c r="B3244" s="29" t="n"/>
      <c r="C3244" s="28" t="n"/>
      <c r="D3244" s="22">
        <f t="array" ref="D3244">IF($C3244="","",IFERROR(INDEX(DATA_MASTER!$C$2:$C$5000,MATCH($C3244,DATA_MASTER!$D$2:$D$5000,0)),""))</f>
        <v/>
      </c>
      <c r="E3244" s="22">
        <f t="array" ref="E3244">IF($C3244="","",IFERROR(INDEX(DATA_MASTER!$I$2:$I$5000,MATCH($C3244,DATA_MASTER!$D$2:$D$5000,0)),""))</f>
        <v/>
      </c>
      <c r="F3244" s="22">
        <f t="array" ref="F3244">IF($C3244="","",IFERROR(INDEX(DATA_MASTER!$L$2:$L$5000,MATCH($C3244,DATA_MASTER!$D$2:$D$5000,0)),""))</f>
        <v/>
      </c>
      <c r="G3244" s="24" t="n"/>
      <c r="H3244" s="24" t="n"/>
      <c r="I3244" s="30" t="n"/>
      <c r="J3244" s="23">
        <f>IF(OR($H3244="",$I3244=""),"",$H3244*$I3244)</f>
        <v/>
      </c>
      <c r="K3244" s="24" t="n"/>
      <c r="L3244" s="24" t="n"/>
      <c r="M3244" s="29" t="n"/>
      <c r="N3244" s="28" t="n"/>
      <c r="O3244" s="24" t="n"/>
      <c r="P3244" s="24" t="n"/>
      <c r="Q3244" s="24" t="n"/>
      <c r="R3244" s="24" t="n"/>
      <c r="S3244" s="22">
        <f>IF(AND($A3244="",$C3244=""),"",IF($A3244="","Thiếu mã đơn; ","")&amp;IF(COUNTIF($A$2:$A3244,$A3244)&gt;1,"Trùng mã đơn; ","")&amp;IF(ISNA(MATCH($C3244,DATA_MASTER!$D$2:$D$5000,0)),"SĐT chưa đăng ký hội viên; ","")&amp;IF(AND($L3244="Đã chuyển khoản",$M3244=""),"Thiếu ngày nhận CK; ",""))</f>
        <v/>
      </c>
      <c r="T3244" s="24" t="n"/>
    </row>
    <row r="3245" ht="14.25" customHeight="1" s="40">
      <c r="A3245" s="24" t="n"/>
      <c r="B3245" s="29" t="n"/>
      <c r="C3245" s="28" t="n"/>
      <c r="D3245" s="22">
        <f t="array" ref="D3245">IF($C3245="","",IFERROR(INDEX(DATA_MASTER!$C$2:$C$5000,MATCH($C3245,DATA_MASTER!$D$2:$D$5000,0)),""))</f>
        <v/>
      </c>
      <c r="E3245" s="22">
        <f t="array" ref="E3245">IF($C3245="","",IFERROR(INDEX(DATA_MASTER!$I$2:$I$5000,MATCH($C3245,DATA_MASTER!$D$2:$D$5000,0)),""))</f>
        <v/>
      </c>
      <c r="F3245" s="22">
        <f t="array" ref="F3245">IF($C3245="","",IFERROR(INDEX(DATA_MASTER!$L$2:$L$5000,MATCH($C3245,DATA_MASTER!$D$2:$D$5000,0)),""))</f>
        <v/>
      </c>
      <c r="G3245" s="24" t="n"/>
      <c r="H3245" s="24" t="n"/>
      <c r="I3245" s="30" t="n"/>
      <c r="J3245" s="23">
        <f>IF(OR($H3245="",$I3245=""),"",$H3245*$I3245)</f>
        <v/>
      </c>
      <c r="K3245" s="24" t="n"/>
      <c r="L3245" s="24" t="n"/>
      <c r="M3245" s="29" t="n"/>
      <c r="N3245" s="28" t="n"/>
      <c r="O3245" s="24" t="n"/>
      <c r="P3245" s="24" t="n"/>
      <c r="Q3245" s="24" t="n"/>
      <c r="R3245" s="24" t="n"/>
      <c r="S3245" s="22">
        <f>IF(AND($A3245="",$C3245=""),"",IF($A3245="","Thiếu mã đơn; ","")&amp;IF(COUNTIF($A$2:$A3245,$A3245)&gt;1,"Trùng mã đơn; ","")&amp;IF(ISNA(MATCH($C3245,DATA_MASTER!$D$2:$D$5000,0)),"SĐT chưa đăng ký hội viên; ","")&amp;IF(AND($L3245="Đã chuyển khoản",$M3245=""),"Thiếu ngày nhận CK; ",""))</f>
        <v/>
      </c>
      <c r="T3245" s="24" t="n"/>
    </row>
    <row r="3246" ht="14.25" customHeight="1" s="40">
      <c r="A3246" s="24" t="n"/>
      <c r="B3246" s="29" t="n"/>
      <c r="C3246" s="28" t="n"/>
      <c r="D3246" s="22">
        <f t="array" ref="D3246">IF($C3246="","",IFERROR(INDEX(DATA_MASTER!$C$2:$C$5000,MATCH($C3246,DATA_MASTER!$D$2:$D$5000,0)),""))</f>
        <v/>
      </c>
      <c r="E3246" s="22">
        <f t="array" ref="E3246">IF($C3246="","",IFERROR(INDEX(DATA_MASTER!$I$2:$I$5000,MATCH($C3246,DATA_MASTER!$D$2:$D$5000,0)),""))</f>
        <v/>
      </c>
      <c r="F3246" s="22">
        <f t="array" ref="F3246">IF($C3246="","",IFERROR(INDEX(DATA_MASTER!$L$2:$L$5000,MATCH($C3246,DATA_MASTER!$D$2:$D$5000,0)),""))</f>
        <v/>
      </c>
      <c r="G3246" s="24" t="n"/>
      <c r="H3246" s="24" t="n"/>
      <c r="I3246" s="30" t="n"/>
      <c r="J3246" s="23">
        <f>IF(OR($H3246="",$I3246=""),"",$H3246*$I3246)</f>
        <v/>
      </c>
      <c r="K3246" s="24" t="n"/>
      <c r="L3246" s="24" t="n"/>
      <c r="M3246" s="29" t="n"/>
      <c r="N3246" s="28" t="n"/>
      <c r="O3246" s="24" t="n"/>
      <c r="P3246" s="24" t="n"/>
      <c r="Q3246" s="24" t="n"/>
      <c r="R3246" s="24" t="n"/>
      <c r="S3246" s="22">
        <f>IF(AND($A3246="",$C3246=""),"",IF($A3246="","Thiếu mã đơn; ","")&amp;IF(COUNTIF($A$2:$A3246,$A3246)&gt;1,"Trùng mã đơn; ","")&amp;IF(ISNA(MATCH($C3246,DATA_MASTER!$D$2:$D$5000,0)),"SĐT chưa đăng ký hội viên; ","")&amp;IF(AND($L3246="Đã chuyển khoản",$M3246=""),"Thiếu ngày nhận CK; ",""))</f>
        <v/>
      </c>
      <c r="T3246" s="24" t="n"/>
    </row>
    <row r="3247" ht="14.25" customHeight="1" s="40">
      <c r="A3247" s="24" t="n"/>
      <c r="B3247" s="29" t="n"/>
      <c r="C3247" s="28" t="n"/>
      <c r="D3247" s="22">
        <f t="array" ref="D3247">IF($C3247="","",IFERROR(INDEX(DATA_MASTER!$C$2:$C$5000,MATCH($C3247,DATA_MASTER!$D$2:$D$5000,0)),""))</f>
        <v/>
      </c>
      <c r="E3247" s="22">
        <f t="array" ref="E3247">IF($C3247="","",IFERROR(INDEX(DATA_MASTER!$I$2:$I$5000,MATCH($C3247,DATA_MASTER!$D$2:$D$5000,0)),""))</f>
        <v/>
      </c>
      <c r="F3247" s="22">
        <f t="array" ref="F3247">IF($C3247="","",IFERROR(INDEX(DATA_MASTER!$L$2:$L$5000,MATCH($C3247,DATA_MASTER!$D$2:$D$5000,0)),""))</f>
        <v/>
      </c>
      <c r="G3247" s="24" t="n"/>
      <c r="H3247" s="24" t="n"/>
      <c r="I3247" s="30" t="n"/>
      <c r="J3247" s="23">
        <f>IF(OR($H3247="",$I3247=""),"",$H3247*$I3247)</f>
        <v/>
      </c>
      <c r="K3247" s="24" t="n"/>
      <c r="L3247" s="24" t="n"/>
      <c r="M3247" s="29" t="n"/>
      <c r="N3247" s="28" t="n"/>
      <c r="O3247" s="24" t="n"/>
      <c r="P3247" s="24" t="n"/>
      <c r="Q3247" s="24" t="n"/>
      <c r="R3247" s="24" t="n"/>
      <c r="S3247" s="22">
        <f>IF(AND($A3247="",$C3247=""),"",IF($A3247="","Thiếu mã đơn; ","")&amp;IF(COUNTIF($A$2:$A3247,$A3247)&gt;1,"Trùng mã đơn; ","")&amp;IF(ISNA(MATCH($C3247,DATA_MASTER!$D$2:$D$5000,0)),"SĐT chưa đăng ký hội viên; ","")&amp;IF(AND($L3247="Đã chuyển khoản",$M3247=""),"Thiếu ngày nhận CK; ",""))</f>
        <v/>
      </c>
      <c r="T3247" s="24" t="n"/>
    </row>
    <row r="3248" ht="14.25" customHeight="1" s="40">
      <c r="A3248" s="24" t="n"/>
      <c r="B3248" s="29" t="n"/>
      <c r="C3248" s="28" t="n"/>
      <c r="D3248" s="22">
        <f t="array" ref="D3248">IF($C3248="","",IFERROR(INDEX(DATA_MASTER!$C$2:$C$5000,MATCH($C3248,DATA_MASTER!$D$2:$D$5000,0)),""))</f>
        <v/>
      </c>
      <c r="E3248" s="22">
        <f t="array" ref="E3248">IF($C3248="","",IFERROR(INDEX(DATA_MASTER!$I$2:$I$5000,MATCH($C3248,DATA_MASTER!$D$2:$D$5000,0)),""))</f>
        <v/>
      </c>
      <c r="F3248" s="22">
        <f t="array" ref="F3248">IF($C3248="","",IFERROR(INDEX(DATA_MASTER!$L$2:$L$5000,MATCH($C3248,DATA_MASTER!$D$2:$D$5000,0)),""))</f>
        <v/>
      </c>
      <c r="G3248" s="24" t="n"/>
      <c r="H3248" s="24" t="n"/>
      <c r="I3248" s="30" t="n"/>
      <c r="J3248" s="23">
        <f>IF(OR($H3248="",$I3248=""),"",$H3248*$I3248)</f>
        <v/>
      </c>
      <c r="K3248" s="24" t="n"/>
      <c r="L3248" s="24" t="n"/>
      <c r="M3248" s="29" t="n"/>
      <c r="N3248" s="28" t="n"/>
      <c r="O3248" s="24" t="n"/>
      <c r="P3248" s="24" t="n"/>
      <c r="Q3248" s="24" t="n"/>
      <c r="R3248" s="24" t="n"/>
      <c r="S3248" s="22">
        <f>IF(AND($A3248="",$C3248=""),"",IF($A3248="","Thiếu mã đơn; ","")&amp;IF(COUNTIF($A$2:$A3248,$A3248)&gt;1,"Trùng mã đơn; ","")&amp;IF(ISNA(MATCH($C3248,DATA_MASTER!$D$2:$D$5000,0)),"SĐT chưa đăng ký hội viên; ","")&amp;IF(AND($L3248="Đã chuyển khoản",$M3248=""),"Thiếu ngày nhận CK; ",""))</f>
        <v/>
      </c>
      <c r="T3248" s="24" t="n"/>
    </row>
    <row r="3249" ht="14.25" customHeight="1" s="40">
      <c r="A3249" s="24" t="n"/>
      <c r="B3249" s="29" t="n"/>
      <c r="C3249" s="28" t="n"/>
      <c r="D3249" s="22">
        <f t="array" ref="D3249">IF($C3249="","",IFERROR(INDEX(DATA_MASTER!$C$2:$C$5000,MATCH($C3249,DATA_MASTER!$D$2:$D$5000,0)),""))</f>
        <v/>
      </c>
      <c r="E3249" s="22">
        <f t="array" ref="E3249">IF($C3249="","",IFERROR(INDEX(DATA_MASTER!$I$2:$I$5000,MATCH($C3249,DATA_MASTER!$D$2:$D$5000,0)),""))</f>
        <v/>
      </c>
      <c r="F3249" s="22">
        <f t="array" ref="F3249">IF($C3249="","",IFERROR(INDEX(DATA_MASTER!$L$2:$L$5000,MATCH($C3249,DATA_MASTER!$D$2:$D$5000,0)),""))</f>
        <v/>
      </c>
      <c r="G3249" s="24" t="n"/>
      <c r="H3249" s="24" t="n"/>
      <c r="I3249" s="30" t="n"/>
      <c r="J3249" s="23">
        <f>IF(OR($H3249="",$I3249=""),"",$H3249*$I3249)</f>
        <v/>
      </c>
      <c r="K3249" s="24" t="n"/>
      <c r="L3249" s="24" t="n"/>
      <c r="M3249" s="29" t="n"/>
      <c r="N3249" s="28" t="n"/>
      <c r="O3249" s="24" t="n"/>
      <c r="P3249" s="24" t="n"/>
      <c r="Q3249" s="24" t="n"/>
      <c r="R3249" s="24" t="n"/>
      <c r="S3249" s="22">
        <f>IF(AND($A3249="",$C3249=""),"",IF($A3249="","Thiếu mã đơn; ","")&amp;IF(COUNTIF($A$2:$A3249,$A3249)&gt;1,"Trùng mã đơn; ","")&amp;IF(ISNA(MATCH($C3249,DATA_MASTER!$D$2:$D$5000,0)),"SĐT chưa đăng ký hội viên; ","")&amp;IF(AND($L3249="Đã chuyển khoản",$M3249=""),"Thiếu ngày nhận CK; ",""))</f>
        <v/>
      </c>
      <c r="T3249" s="24" t="n"/>
    </row>
    <row r="3250" ht="14.25" customHeight="1" s="40">
      <c r="A3250" s="24" t="n"/>
      <c r="B3250" s="29" t="n"/>
      <c r="C3250" s="28" t="n"/>
      <c r="D3250" s="22">
        <f t="array" ref="D3250">IF($C3250="","",IFERROR(INDEX(DATA_MASTER!$C$2:$C$5000,MATCH($C3250,DATA_MASTER!$D$2:$D$5000,0)),""))</f>
        <v/>
      </c>
      <c r="E3250" s="22">
        <f t="array" ref="E3250">IF($C3250="","",IFERROR(INDEX(DATA_MASTER!$I$2:$I$5000,MATCH($C3250,DATA_MASTER!$D$2:$D$5000,0)),""))</f>
        <v/>
      </c>
      <c r="F3250" s="22">
        <f t="array" ref="F3250">IF($C3250="","",IFERROR(INDEX(DATA_MASTER!$L$2:$L$5000,MATCH($C3250,DATA_MASTER!$D$2:$D$5000,0)),""))</f>
        <v/>
      </c>
      <c r="G3250" s="24" t="n"/>
      <c r="H3250" s="24" t="n"/>
      <c r="I3250" s="30" t="n"/>
      <c r="J3250" s="23">
        <f>IF(OR($H3250="",$I3250=""),"",$H3250*$I3250)</f>
        <v/>
      </c>
      <c r="K3250" s="24" t="n"/>
      <c r="L3250" s="24" t="n"/>
      <c r="M3250" s="29" t="n"/>
      <c r="N3250" s="28" t="n"/>
      <c r="O3250" s="24" t="n"/>
      <c r="P3250" s="24" t="n"/>
      <c r="Q3250" s="24" t="n"/>
      <c r="R3250" s="24" t="n"/>
      <c r="S3250" s="22">
        <f>IF(AND($A3250="",$C3250=""),"",IF($A3250="","Thiếu mã đơn; ","")&amp;IF(COUNTIF($A$2:$A3250,$A3250)&gt;1,"Trùng mã đơn; ","")&amp;IF(ISNA(MATCH($C3250,DATA_MASTER!$D$2:$D$5000,0)),"SĐT chưa đăng ký hội viên; ","")&amp;IF(AND($L3250="Đã chuyển khoản",$M3250=""),"Thiếu ngày nhận CK; ",""))</f>
        <v/>
      </c>
      <c r="T3250" s="24" t="n"/>
    </row>
    <row r="3251" ht="14.25" customHeight="1" s="40">
      <c r="A3251" s="24" t="n"/>
      <c r="B3251" s="29" t="n"/>
      <c r="C3251" s="28" t="n"/>
      <c r="D3251" s="22">
        <f t="array" ref="D3251">IF($C3251="","",IFERROR(INDEX(DATA_MASTER!$C$2:$C$5000,MATCH($C3251,DATA_MASTER!$D$2:$D$5000,0)),""))</f>
        <v/>
      </c>
      <c r="E3251" s="22">
        <f t="array" ref="E3251">IF($C3251="","",IFERROR(INDEX(DATA_MASTER!$I$2:$I$5000,MATCH($C3251,DATA_MASTER!$D$2:$D$5000,0)),""))</f>
        <v/>
      </c>
      <c r="F3251" s="22">
        <f t="array" ref="F3251">IF($C3251="","",IFERROR(INDEX(DATA_MASTER!$L$2:$L$5000,MATCH($C3251,DATA_MASTER!$D$2:$D$5000,0)),""))</f>
        <v/>
      </c>
      <c r="G3251" s="24" t="n"/>
      <c r="H3251" s="24" t="n"/>
      <c r="I3251" s="30" t="n"/>
      <c r="J3251" s="23">
        <f>IF(OR($H3251="",$I3251=""),"",$H3251*$I3251)</f>
        <v/>
      </c>
      <c r="K3251" s="24" t="n"/>
      <c r="L3251" s="24" t="n"/>
      <c r="M3251" s="29" t="n"/>
      <c r="N3251" s="28" t="n"/>
      <c r="O3251" s="24" t="n"/>
      <c r="P3251" s="24" t="n"/>
      <c r="Q3251" s="24" t="n"/>
      <c r="R3251" s="24" t="n"/>
      <c r="S3251" s="22">
        <f>IF(AND($A3251="",$C3251=""),"",IF($A3251="","Thiếu mã đơn; ","")&amp;IF(COUNTIF($A$2:$A3251,$A3251)&gt;1,"Trùng mã đơn; ","")&amp;IF(ISNA(MATCH($C3251,DATA_MASTER!$D$2:$D$5000,0)),"SĐT chưa đăng ký hội viên; ","")&amp;IF(AND($L3251="Đã chuyển khoản",$M3251=""),"Thiếu ngày nhận CK; ",""))</f>
        <v/>
      </c>
      <c r="T3251" s="24" t="n"/>
    </row>
    <row r="3252" ht="14.25" customHeight="1" s="40">
      <c r="A3252" s="24" t="n"/>
      <c r="B3252" s="29" t="n"/>
      <c r="C3252" s="28" t="n"/>
      <c r="D3252" s="22">
        <f t="array" ref="D3252">IF($C3252="","",IFERROR(INDEX(DATA_MASTER!$C$2:$C$5000,MATCH($C3252,DATA_MASTER!$D$2:$D$5000,0)),""))</f>
        <v/>
      </c>
      <c r="E3252" s="22">
        <f t="array" ref="E3252">IF($C3252="","",IFERROR(INDEX(DATA_MASTER!$I$2:$I$5000,MATCH($C3252,DATA_MASTER!$D$2:$D$5000,0)),""))</f>
        <v/>
      </c>
      <c r="F3252" s="22">
        <f t="array" ref="F3252">IF($C3252="","",IFERROR(INDEX(DATA_MASTER!$L$2:$L$5000,MATCH($C3252,DATA_MASTER!$D$2:$D$5000,0)),""))</f>
        <v/>
      </c>
      <c r="G3252" s="24" t="n"/>
      <c r="H3252" s="24" t="n"/>
      <c r="I3252" s="30" t="n"/>
      <c r="J3252" s="23">
        <f>IF(OR($H3252="",$I3252=""),"",$H3252*$I3252)</f>
        <v/>
      </c>
      <c r="K3252" s="24" t="n"/>
      <c r="L3252" s="24" t="n"/>
      <c r="M3252" s="29" t="n"/>
      <c r="N3252" s="28" t="n"/>
      <c r="O3252" s="24" t="n"/>
      <c r="P3252" s="24" t="n"/>
      <c r="Q3252" s="24" t="n"/>
      <c r="R3252" s="24" t="n"/>
      <c r="S3252" s="22">
        <f>IF(AND($A3252="",$C3252=""),"",IF($A3252="","Thiếu mã đơn; ","")&amp;IF(COUNTIF($A$2:$A3252,$A3252)&gt;1,"Trùng mã đơn; ","")&amp;IF(ISNA(MATCH($C3252,DATA_MASTER!$D$2:$D$5000,0)),"SĐT chưa đăng ký hội viên; ","")&amp;IF(AND($L3252="Đã chuyển khoản",$M3252=""),"Thiếu ngày nhận CK; ",""))</f>
        <v/>
      </c>
      <c r="T3252" s="24" t="n"/>
    </row>
    <row r="3253" ht="14.25" customHeight="1" s="40">
      <c r="A3253" s="24" t="n"/>
      <c r="B3253" s="29" t="n"/>
      <c r="C3253" s="28" t="n"/>
      <c r="D3253" s="22">
        <f t="array" ref="D3253">IF($C3253="","",IFERROR(INDEX(DATA_MASTER!$C$2:$C$5000,MATCH($C3253,DATA_MASTER!$D$2:$D$5000,0)),""))</f>
        <v/>
      </c>
      <c r="E3253" s="22">
        <f t="array" ref="E3253">IF($C3253="","",IFERROR(INDEX(DATA_MASTER!$I$2:$I$5000,MATCH($C3253,DATA_MASTER!$D$2:$D$5000,0)),""))</f>
        <v/>
      </c>
      <c r="F3253" s="22">
        <f t="array" ref="F3253">IF($C3253="","",IFERROR(INDEX(DATA_MASTER!$L$2:$L$5000,MATCH($C3253,DATA_MASTER!$D$2:$D$5000,0)),""))</f>
        <v/>
      </c>
      <c r="G3253" s="24" t="n"/>
      <c r="H3253" s="24" t="n"/>
      <c r="I3253" s="30" t="n"/>
      <c r="J3253" s="23">
        <f>IF(OR($H3253="",$I3253=""),"",$H3253*$I3253)</f>
        <v/>
      </c>
      <c r="K3253" s="24" t="n"/>
      <c r="L3253" s="24" t="n"/>
      <c r="M3253" s="29" t="n"/>
      <c r="N3253" s="28" t="n"/>
      <c r="O3253" s="24" t="n"/>
      <c r="P3253" s="24" t="n"/>
      <c r="Q3253" s="24" t="n"/>
      <c r="R3253" s="24" t="n"/>
      <c r="S3253" s="22">
        <f>IF(AND($A3253="",$C3253=""),"",IF($A3253="","Thiếu mã đơn; ","")&amp;IF(COUNTIF($A$2:$A3253,$A3253)&gt;1,"Trùng mã đơn; ","")&amp;IF(ISNA(MATCH($C3253,DATA_MASTER!$D$2:$D$5000,0)),"SĐT chưa đăng ký hội viên; ","")&amp;IF(AND($L3253="Đã chuyển khoản",$M3253=""),"Thiếu ngày nhận CK; ",""))</f>
        <v/>
      </c>
      <c r="T3253" s="24" t="n"/>
    </row>
    <row r="3254" ht="14.25" customHeight="1" s="40">
      <c r="A3254" s="24" t="n"/>
      <c r="B3254" s="29" t="n"/>
      <c r="C3254" s="28" t="n"/>
      <c r="D3254" s="22">
        <f t="array" ref="D3254">IF($C3254="","",IFERROR(INDEX(DATA_MASTER!$C$2:$C$5000,MATCH($C3254,DATA_MASTER!$D$2:$D$5000,0)),""))</f>
        <v/>
      </c>
      <c r="E3254" s="22">
        <f t="array" ref="E3254">IF($C3254="","",IFERROR(INDEX(DATA_MASTER!$I$2:$I$5000,MATCH($C3254,DATA_MASTER!$D$2:$D$5000,0)),""))</f>
        <v/>
      </c>
      <c r="F3254" s="22">
        <f t="array" ref="F3254">IF($C3254="","",IFERROR(INDEX(DATA_MASTER!$L$2:$L$5000,MATCH($C3254,DATA_MASTER!$D$2:$D$5000,0)),""))</f>
        <v/>
      </c>
      <c r="G3254" s="24" t="n"/>
      <c r="H3254" s="24" t="n"/>
      <c r="I3254" s="30" t="n"/>
      <c r="J3254" s="23">
        <f>IF(OR($H3254="",$I3254=""),"",$H3254*$I3254)</f>
        <v/>
      </c>
      <c r="K3254" s="24" t="n"/>
      <c r="L3254" s="24" t="n"/>
      <c r="M3254" s="29" t="n"/>
      <c r="N3254" s="28" t="n"/>
      <c r="O3254" s="24" t="n"/>
      <c r="P3254" s="24" t="n"/>
      <c r="Q3254" s="24" t="n"/>
      <c r="R3254" s="24" t="n"/>
      <c r="S3254" s="22">
        <f>IF(AND($A3254="",$C3254=""),"",IF($A3254="","Thiếu mã đơn; ","")&amp;IF(COUNTIF($A$2:$A3254,$A3254)&gt;1,"Trùng mã đơn; ","")&amp;IF(ISNA(MATCH($C3254,DATA_MASTER!$D$2:$D$5000,0)),"SĐT chưa đăng ký hội viên; ","")&amp;IF(AND($L3254="Đã chuyển khoản",$M3254=""),"Thiếu ngày nhận CK; ",""))</f>
        <v/>
      </c>
      <c r="T3254" s="24" t="n"/>
    </row>
    <row r="3255" ht="14.25" customHeight="1" s="40">
      <c r="A3255" s="24" t="n"/>
      <c r="B3255" s="29" t="n"/>
      <c r="C3255" s="28" t="n"/>
      <c r="D3255" s="22">
        <f t="array" ref="D3255">IF($C3255="","",IFERROR(INDEX(DATA_MASTER!$C$2:$C$5000,MATCH($C3255,DATA_MASTER!$D$2:$D$5000,0)),""))</f>
        <v/>
      </c>
      <c r="E3255" s="22">
        <f t="array" ref="E3255">IF($C3255="","",IFERROR(INDEX(DATA_MASTER!$I$2:$I$5000,MATCH($C3255,DATA_MASTER!$D$2:$D$5000,0)),""))</f>
        <v/>
      </c>
      <c r="F3255" s="22">
        <f t="array" ref="F3255">IF($C3255="","",IFERROR(INDEX(DATA_MASTER!$L$2:$L$5000,MATCH($C3255,DATA_MASTER!$D$2:$D$5000,0)),""))</f>
        <v/>
      </c>
      <c r="G3255" s="24" t="n"/>
      <c r="H3255" s="24" t="n"/>
      <c r="I3255" s="30" t="n"/>
      <c r="J3255" s="23">
        <f>IF(OR($H3255="",$I3255=""),"",$H3255*$I3255)</f>
        <v/>
      </c>
      <c r="K3255" s="24" t="n"/>
      <c r="L3255" s="24" t="n"/>
      <c r="M3255" s="29" t="n"/>
      <c r="N3255" s="28" t="n"/>
      <c r="O3255" s="24" t="n"/>
      <c r="P3255" s="24" t="n"/>
      <c r="Q3255" s="24" t="n"/>
      <c r="R3255" s="24" t="n"/>
      <c r="S3255" s="22">
        <f>IF(AND($A3255="",$C3255=""),"",IF($A3255="","Thiếu mã đơn; ","")&amp;IF(COUNTIF($A$2:$A3255,$A3255)&gt;1,"Trùng mã đơn; ","")&amp;IF(ISNA(MATCH($C3255,DATA_MASTER!$D$2:$D$5000,0)),"SĐT chưa đăng ký hội viên; ","")&amp;IF(AND($L3255="Đã chuyển khoản",$M3255=""),"Thiếu ngày nhận CK; ",""))</f>
        <v/>
      </c>
      <c r="T3255" s="24" t="n"/>
    </row>
    <row r="3256" ht="14.25" customHeight="1" s="40">
      <c r="A3256" s="24" t="n"/>
      <c r="B3256" s="29" t="n"/>
      <c r="C3256" s="28" t="n"/>
      <c r="D3256" s="22">
        <f t="array" ref="D3256">IF($C3256="","",IFERROR(INDEX(DATA_MASTER!$C$2:$C$5000,MATCH($C3256,DATA_MASTER!$D$2:$D$5000,0)),""))</f>
        <v/>
      </c>
      <c r="E3256" s="22">
        <f t="array" ref="E3256">IF($C3256="","",IFERROR(INDEX(DATA_MASTER!$I$2:$I$5000,MATCH($C3256,DATA_MASTER!$D$2:$D$5000,0)),""))</f>
        <v/>
      </c>
      <c r="F3256" s="22">
        <f t="array" ref="F3256">IF($C3256="","",IFERROR(INDEX(DATA_MASTER!$L$2:$L$5000,MATCH($C3256,DATA_MASTER!$D$2:$D$5000,0)),""))</f>
        <v/>
      </c>
      <c r="G3256" s="24" t="n"/>
      <c r="H3256" s="24" t="n"/>
      <c r="I3256" s="30" t="n"/>
      <c r="J3256" s="23">
        <f>IF(OR($H3256="",$I3256=""),"",$H3256*$I3256)</f>
        <v/>
      </c>
      <c r="K3256" s="24" t="n"/>
      <c r="L3256" s="24" t="n"/>
      <c r="M3256" s="29" t="n"/>
      <c r="N3256" s="28" t="n"/>
      <c r="O3256" s="24" t="n"/>
      <c r="P3256" s="24" t="n"/>
      <c r="Q3256" s="24" t="n"/>
      <c r="R3256" s="24" t="n"/>
      <c r="S3256" s="22">
        <f>IF(AND($A3256="",$C3256=""),"",IF($A3256="","Thiếu mã đơn; ","")&amp;IF(COUNTIF($A$2:$A3256,$A3256)&gt;1,"Trùng mã đơn; ","")&amp;IF(ISNA(MATCH($C3256,DATA_MASTER!$D$2:$D$5000,0)),"SĐT chưa đăng ký hội viên; ","")&amp;IF(AND($L3256="Đã chuyển khoản",$M3256=""),"Thiếu ngày nhận CK; ",""))</f>
        <v/>
      </c>
      <c r="T3256" s="24" t="n"/>
    </row>
    <row r="3257" ht="14.25" customHeight="1" s="40">
      <c r="A3257" s="24" t="n"/>
      <c r="B3257" s="29" t="n"/>
      <c r="C3257" s="28" t="n"/>
      <c r="D3257" s="22">
        <f t="array" ref="D3257">IF($C3257="","",IFERROR(INDEX(DATA_MASTER!$C$2:$C$5000,MATCH($C3257,DATA_MASTER!$D$2:$D$5000,0)),""))</f>
        <v/>
      </c>
      <c r="E3257" s="22">
        <f t="array" ref="E3257">IF($C3257="","",IFERROR(INDEX(DATA_MASTER!$I$2:$I$5000,MATCH($C3257,DATA_MASTER!$D$2:$D$5000,0)),""))</f>
        <v/>
      </c>
      <c r="F3257" s="22">
        <f t="array" ref="F3257">IF($C3257="","",IFERROR(INDEX(DATA_MASTER!$L$2:$L$5000,MATCH($C3257,DATA_MASTER!$D$2:$D$5000,0)),""))</f>
        <v/>
      </c>
      <c r="G3257" s="24" t="n"/>
      <c r="H3257" s="24" t="n"/>
      <c r="I3257" s="30" t="n"/>
      <c r="J3257" s="23">
        <f>IF(OR($H3257="",$I3257=""),"",$H3257*$I3257)</f>
        <v/>
      </c>
      <c r="K3257" s="24" t="n"/>
      <c r="L3257" s="24" t="n"/>
      <c r="M3257" s="29" t="n"/>
      <c r="N3257" s="28" t="n"/>
      <c r="O3257" s="24" t="n"/>
      <c r="P3257" s="24" t="n"/>
      <c r="Q3257" s="24" t="n"/>
      <c r="R3257" s="24" t="n"/>
      <c r="S3257" s="22">
        <f>IF(AND($A3257="",$C3257=""),"",IF($A3257="","Thiếu mã đơn; ","")&amp;IF(COUNTIF($A$2:$A3257,$A3257)&gt;1,"Trùng mã đơn; ","")&amp;IF(ISNA(MATCH($C3257,DATA_MASTER!$D$2:$D$5000,0)),"SĐT chưa đăng ký hội viên; ","")&amp;IF(AND($L3257="Đã chuyển khoản",$M3257=""),"Thiếu ngày nhận CK; ",""))</f>
        <v/>
      </c>
      <c r="T3257" s="24" t="n"/>
    </row>
    <row r="3258" ht="14.25" customHeight="1" s="40">
      <c r="A3258" s="24" t="n"/>
      <c r="B3258" s="29" t="n"/>
      <c r="C3258" s="28" t="n"/>
      <c r="D3258" s="22">
        <f t="array" ref="D3258">IF($C3258="","",IFERROR(INDEX(DATA_MASTER!$C$2:$C$5000,MATCH($C3258,DATA_MASTER!$D$2:$D$5000,0)),""))</f>
        <v/>
      </c>
      <c r="E3258" s="22">
        <f t="array" ref="E3258">IF($C3258="","",IFERROR(INDEX(DATA_MASTER!$I$2:$I$5000,MATCH($C3258,DATA_MASTER!$D$2:$D$5000,0)),""))</f>
        <v/>
      </c>
      <c r="F3258" s="22">
        <f t="array" ref="F3258">IF($C3258="","",IFERROR(INDEX(DATA_MASTER!$L$2:$L$5000,MATCH($C3258,DATA_MASTER!$D$2:$D$5000,0)),""))</f>
        <v/>
      </c>
      <c r="G3258" s="24" t="n"/>
      <c r="H3258" s="24" t="n"/>
      <c r="I3258" s="30" t="n"/>
      <c r="J3258" s="23">
        <f>IF(OR($H3258="",$I3258=""),"",$H3258*$I3258)</f>
        <v/>
      </c>
      <c r="K3258" s="24" t="n"/>
      <c r="L3258" s="24" t="n"/>
      <c r="M3258" s="29" t="n"/>
      <c r="N3258" s="28" t="n"/>
      <c r="O3258" s="24" t="n"/>
      <c r="P3258" s="24" t="n"/>
      <c r="Q3258" s="24" t="n"/>
      <c r="R3258" s="24" t="n"/>
      <c r="S3258" s="22">
        <f>IF(AND($A3258="",$C3258=""),"",IF($A3258="","Thiếu mã đơn; ","")&amp;IF(COUNTIF($A$2:$A3258,$A3258)&gt;1,"Trùng mã đơn; ","")&amp;IF(ISNA(MATCH($C3258,DATA_MASTER!$D$2:$D$5000,0)),"SĐT chưa đăng ký hội viên; ","")&amp;IF(AND($L3258="Đã chuyển khoản",$M3258=""),"Thiếu ngày nhận CK; ",""))</f>
        <v/>
      </c>
      <c r="T3258" s="24" t="n"/>
    </row>
    <row r="3259" ht="14.25" customHeight="1" s="40">
      <c r="A3259" s="24" t="n"/>
      <c r="B3259" s="29" t="n"/>
      <c r="C3259" s="28" t="n"/>
      <c r="D3259" s="22">
        <f t="array" ref="D3259">IF($C3259="","",IFERROR(INDEX(DATA_MASTER!$C$2:$C$5000,MATCH($C3259,DATA_MASTER!$D$2:$D$5000,0)),""))</f>
        <v/>
      </c>
      <c r="E3259" s="22">
        <f t="array" ref="E3259">IF($C3259="","",IFERROR(INDEX(DATA_MASTER!$I$2:$I$5000,MATCH($C3259,DATA_MASTER!$D$2:$D$5000,0)),""))</f>
        <v/>
      </c>
      <c r="F3259" s="22">
        <f t="array" ref="F3259">IF($C3259="","",IFERROR(INDEX(DATA_MASTER!$L$2:$L$5000,MATCH($C3259,DATA_MASTER!$D$2:$D$5000,0)),""))</f>
        <v/>
      </c>
      <c r="G3259" s="24" t="n"/>
      <c r="H3259" s="24" t="n"/>
      <c r="I3259" s="30" t="n"/>
      <c r="J3259" s="23">
        <f>IF(OR($H3259="",$I3259=""),"",$H3259*$I3259)</f>
        <v/>
      </c>
      <c r="K3259" s="24" t="n"/>
      <c r="L3259" s="24" t="n"/>
      <c r="M3259" s="29" t="n"/>
      <c r="N3259" s="28" t="n"/>
      <c r="O3259" s="24" t="n"/>
      <c r="P3259" s="24" t="n"/>
      <c r="Q3259" s="24" t="n"/>
      <c r="R3259" s="24" t="n"/>
      <c r="S3259" s="22">
        <f>IF(AND($A3259="",$C3259=""),"",IF($A3259="","Thiếu mã đơn; ","")&amp;IF(COUNTIF($A$2:$A3259,$A3259)&gt;1,"Trùng mã đơn; ","")&amp;IF(ISNA(MATCH($C3259,DATA_MASTER!$D$2:$D$5000,0)),"SĐT chưa đăng ký hội viên; ","")&amp;IF(AND($L3259="Đã chuyển khoản",$M3259=""),"Thiếu ngày nhận CK; ",""))</f>
        <v/>
      </c>
      <c r="T3259" s="24" t="n"/>
    </row>
    <row r="3260" ht="14.25" customHeight="1" s="40">
      <c r="A3260" s="24" t="n"/>
      <c r="B3260" s="29" t="n"/>
      <c r="C3260" s="28" t="n"/>
      <c r="D3260" s="22">
        <f t="array" ref="D3260">IF($C3260="","",IFERROR(INDEX(DATA_MASTER!$C$2:$C$5000,MATCH($C3260,DATA_MASTER!$D$2:$D$5000,0)),""))</f>
        <v/>
      </c>
      <c r="E3260" s="22">
        <f t="array" ref="E3260">IF($C3260="","",IFERROR(INDEX(DATA_MASTER!$I$2:$I$5000,MATCH($C3260,DATA_MASTER!$D$2:$D$5000,0)),""))</f>
        <v/>
      </c>
      <c r="F3260" s="22">
        <f t="array" ref="F3260">IF($C3260="","",IFERROR(INDEX(DATA_MASTER!$L$2:$L$5000,MATCH($C3260,DATA_MASTER!$D$2:$D$5000,0)),""))</f>
        <v/>
      </c>
      <c r="G3260" s="24" t="n"/>
      <c r="H3260" s="24" t="n"/>
      <c r="I3260" s="30" t="n"/>
      <c r="J3260" s="23">
        <f>IF(OR($H3260="",$I3260=""),"",$H3260*$I3260)</f>
        <v/>
      </c>
      <c r="K3260" s="24" t="n"/>
      <c r="L3260" s="24" t="n"/>
      <c r="M3260" s="29" t="n"/>
      <c r="N3260" s="28" t="n"/>
      <c r="O3260" s="24" t="n"/>
      <c r="P3260" s="24" t="n"/>
      <c r="Q3260" s="24" t="n"/>
      <c r="R3260" s="24" t="n"/>
      <c r="S3260" s="22">
        <f>IF(AND($A3260="",$C3260=""),"",IF($A3260="","Thiếu mã đơn; ","")&amp;IF(COUNTIF($A$2:$A3260,$A3260)&gt;1,"Trùng mã đơn; ","")&amp;IF(ISNA(MATCH($C3260,DATA_MASTER!$D$2:$D$5000,0)),"SĐT chưa đăng ký hội viên; ","")&amp;IF(AND($L3260="Đã chuyển khoản",$M3260=""),"Thiếu ngày nhận CK; ",""))</f>
        <v/>
      </c>
      <c r="T3260" s="24" t="n"/>
    </row>
    <row r="3261" ht="14.25" customHeight="1" s="40">
      <c r="A3261" s="24" t="n"/>
      <c r="B3261" s="29" t="n"/>
      <c r="C3261" s="28" t="n"/>
      <c r="D3261" s="22">
        <f t="array" ref="D3261">IF($C3261="","",IFERROR(INDEX(DATA_MASTER!$C$2:$C$5000,MATCH($C3261,DATA_MASTER!$D$2:$D$5000,0)),""))</f>
        <v/>
      </c>
      <c r="E3261" s="22">
        <f t="array" ref="E3261">IF($C3261="","",IFERROR(INDEX(DATA_MASTER!$I$2:$I$5000,MATCH($C3261,DATA_MASTER!$D$2:$D$5000,0)),""))</f>
        <v/>
      </c>
      <c r="F3261" s="22">
        <f t="array" ref="F3261">IF($C3261="","",IFERROR(INDEX(DATA_MASTER!$L$2:$L$5000,MATCH($C3261,DATA_MASTER!$D$2:$D$5000,0)),""))</f>
        <v/>
      </c>
      <c r="G3261" s="24" t="n"/>
      <c r="H3261" s="24" t="n"/>
      <c r="I3261" s="30" t="n"/>
      <c r="J3261" s="23">
        <f>IF(OR($H3261="",$I3261=""),"",$H3261*$I3261)</f>
        <v/>
      </c>
      <c r="K3261" s="24" t="n"/>
      <c r="L3261" s="24" t="n"/>
      <c r="M3261" s="29" t="n"/>
      <c r="N3261" s="28" t="n"/>
      <c r="O3261" s="24" t="n"/>
      <c r="P3261" s="24" t="n"/>
      <c r="Q3261" s="24" t="n"/>
      <c r="R3261" s="24" t="n"/>
      <c r="S3261" s="22">
        <f>IF(AND($A3261="",$C3261=""),"",IF($A3261="","Thiếu mã đơn; ","")&amp;IF(COUNTIF($A$2:$A3261,$A3261)&gt;1,"Trùng mã đơn; ","")&amp;IF(ISNA(MATCH($C3261,DATA_MASTER!$D$2:$D$5000,0)),"SĐT chưa đăng ký hội viên; ","")&amp;IF(AND($L3261="Đã chuyển khoản",$M3261=""),"Thiếu ngày nhận CK; ",""))</f>
        <v/>
      </c>
      <c r="T3261" s="24" t="n"/>
    </row>
    <row r="3262" ht="14.25" customHeight="1" s="40">
      <c r="A3262" s="24" t="n"/>
      <c r="B3262" s="29" t="n"/>
      <c r="C3262" s="28" t="n"/>
      <c r="D3262" s="22">
        <f t="array" ref="D3262">IF($C3262="","",IFERROR(INDEX(DATA_MASTER!$C$2:$C$5000,MATCH($C3262,DATA_MASTER!$D$2:$D$5000,0)),""))</f>
        <v/>
      </c>
      <c r="E3262" s="22">
        <f t="array" ref="E3262">IF($C3262="","",IFERROR(INDEX(DATA_MASTER!$I$2:$I$5000,MATCH($C3262,DATA_MASTER!$D$2:$D$5000,0)),""))</f>
        <v/>
      </c>
      <c r="F3262" s="22">
        <f t="array" ref="F3262">IF($C3262="","",IFERROR(INDEX(DATA_MASTER!$L$2:$L$5000,MATCH($C3262,DATA_MASTER!$D$2:$D$5000,0)),""))</f>
        <v/>
      </c>
      <c r="G3262" s="24" t="n"/>
      <c r="H3262" s="24" t="n"/>
      <c r="I3262" s="30" t="n"/>
      <c r="J3262" s="23">
        <f>IF(OR($H3262="",$I3262=""),"",$H3262*$I3262)</f>
        <v/>
      </c>
      <c r="K3262" s="24" t="n"/>
      <c r="L3262" s="24" t="n"/>
      <c r="M3262" s="29" t="n"/>
      <c r="N3262" s="28" t="n"/>
      <c r="O3262" s="24" t="n"/>
      <c r="P3262" s="24" t="n"/>
      <c r="Q3262" s="24" t="n"/>
      <c r="R3262" s="24" t="n"/>
      <c r="S3262" s="22">
        <f>IF(AND($A3262="",$C3262=""),"",IF($A3262="","Thiếu mã đơn; ","")&amp;IF(COUNTIF($A$2:$A3262,$A3262)&gt;1,"Trùng mã đơn; ","")&amp;IF(ISNA(MATCH($C3262,DATA_MASTER!$D$2:$D$5000,0)),"SĐT chưa đăng ký hội viên; ","")&amp;IF(AND($L3262="Đã chuyển khoản",$M3262=""),"Thiếu ngày nhận CK; ",""))</f>
        <v/>
      </c>
      <c r="T3262" s="24" t="n"/>
    </row>
    <row r="3263" ht="14.25" customHeight="1" s="40">
      <c r="A3263" s="24" t="n"/>
      <c r="B3263" s="29" t="n"/>
      <c r="C3263" s="28" t="n"/>
      <c r="D3263" s="22">
        <f t="array" ref="D3263">IF($C3263="","",IFERROR(INDEX(DATA_MASTER!$C$2:$C$5000,MATCH($C3263,DATA_MASTER!$D$2:$D$5000,0)),""))</f>
        <v/>
      </c>
      <c r="E3263" s="22">
        <f t="array" ref="E3263">IF($C3263="","",IFERROR(INDEX(DATA_MASTER!$I$2:$I$5000,MATCH($C3263,DATA_MASTER!$D$2:$D$5000,0)),""))</f>
        <v/>
      </c>
      <c r="F3263" s="22">
        <f t="array" ref="F3263">IF($C3263="","",IFERROR(INDEX(DATA_MASTER!$L$2:$L$5000,MATCH($C3263,DATA_MASTER!$D$2:$D$5000,0)),""))</f>
        <v/>
      </c>
      <c r="G3263" s="24" t="n"/>
      <c r="H3263" s="24" t="n"/>
      <c r="I3263" s="30" t="n"/>
      <c r="J3263" s="23">
        <f>IF(OR($H3263="",$I3263=""),"",$H3263*$I3263)</f>
        <v/>
      </c>
      <c r="K3263" s="24" t="n"/>
      <c r="L3263" s="24" t="n"/>
      <c r="M3263" s="29" t="n"/>
      <c r="N3263" s="28" t="n"/>
      <c r="O3263" s="24" t="n"/>
      <c r="P3263" s="24" t="n"/>
      <c r="Q3263" s="24" t="n"/>
      <c r="R3263" s="24" t="n"/>
      <c r="S3263" s="22">
        <f>IF(AND($A3263="",$C3263=""),"",IF($A3263="","Thiếu mã đơn; ","")&amp;IF(COUNTIF($A$2:$A3263,$A3263)&gt;1,"Trùng mã đơn; ","")&amp;IF(ISNA(MATCH($C3263,DATA_MASTER!$D$2:$D$5000,0)),"SĐT chưa đăng ký hội viên; ","")&amp;IF(AND($L3263="Đã chuyển khoản",$M3263=""),"Thiếu ngày nhận CK; ",""))</f>
        <v/>
      </c>
      <c r="T3263" s="24" t="n"/>
    </row>
    <row r="3264" ht="14.25" customHeight="1" s="40">
      <c r="A3264" s="24" t="n"/>
      <c r="B3264" s="29" t="n"/>
      <c r="C3264" s="28" t="n"/>
      <c r="D3264" s="22">
        <f t="array" ref="D3264">IF($C3264="","",IFERROR(INDEX(DATA_MASTER!$C$2:$C$5000,MATCH($C3264,DATA_MASTER!$D$2:$D$5000,0)),""))</f>
        <v/>
      </c>
      <c r="E3264" s="22">
        <f t="array" ref="E3264">IF($C3264="","",IFERROR(INDEX(DATA_MASTER!$I$2:$I$5000,MATCH($C3264,DATA_MASTER!$D$2:$D$5000,0)),""))</f>
        <v/>
      </c>
      <c r="F3264" s="22">
        <f t="array" ref="F3264">IF($C3264="","",IFERROR(INDEX(DATA_MASTER!$L$2:$L$5000,MATCH($C3264,DATA_MASTER!$D$2:$D$5000,0)),""))</f>
        <v/>
      </c>
      <c r="G3264" s="24" t="n"/>
      <c r="H3264" s="24" t="n"/>
      <c r="I3264" s="30" t="n"/>
      <c r="J3264" s="23">
        <f>IF(OR($H3264="",$I3264=""),"",$H3264*$I3264)</f>
        <v/>
      </c>
      <c r="K3264" s="24" t="n"/>
      <c r="L3264" s="24" t="n"/>
      <c r="M3264" s="29" t="n"/>
      <c r="N3264" s="28" t="n"/>
      <c r="O3264" s="24" t="n"/>
      <c r="P3264" s="24" t="n"/>
      <c r="Q3264" s="24" t="n"/>
      <c r="R3264" s="24" t="n"/>
      <c r="S3264" s="22">
        <f>IF(AND($A3264="",$C3264=""),"",IF($A3264="","Thiếu mã đơn; ","")&amp;IF(COUNTIF($A$2:$A3264,$A3264)&gt;1,"Trùng mã đơn; ","")&amp;IF(ISNA(MATCH($C3264,DATA_MASTER!$D$2:$D$5000,0)),"SĐT chưa đăng ký hội viên; ","")&amp;IF(AND($L3264="Đã chuyển khoản",$M3264=""),"Thiếu ngày nhận CK; ",""))</f>
        <v/>
      </c>
      <c r="T3264" s="24" t="n"/>
    </row>
    <row r="3265" ht="14.25" customHeight="1" s="40">
      <c r="A3265" s="24" t="n"/>
      <c r="B3265" s="29" t="n"/>
      <c r="C3265" s="28" t="n"/>
      <c r="D3265" s="22">
        <f t="array" ref="D3265">IF($C3265="","",IFERROR(INDEX(DATA_MASTER!$C$2:$C$5000,MATCH($C3265,DATA_MASTER!$D$2:$D$5000,0)),""))</f>
        <v/>
      </c>
      <c r="E3265" s="22">
        <f t="array" ref="E3265">IF($C3265="","",IFERROR(INDEX(DATA_MASTER!$I$2:$I$5000,MATCH($C3265,DATA_MASTER!$D$2:$D$5000,0)),""))</f>
        <v/>
      </c>
      <c r="F3265" s="22">
        <f t="array" ref="F3265">IF($C3265="","",IFERROR(INDEX(DATA_MASTER!$L$2:$L$5000,MATCH($C3265,DATA_MASTER!$D$2:$D$5000,0)),""))</f>
        <v/>
      </c>
      <c r="G3265" s="24" t="n"/>
      <c r="H3265" s="24" t="n"/>
      <c r="I3265" s="30" t="n"/>
      <c r="J3265" s="23">
        <f>IF(OR($H3265="",$I3265=""),"",$H3265*$I3265)</f>
        <v/>
      </c>
      <c r="K3265" s="24" t="n"/>
      <c r="L3265" s="24" t="n"/>
      <c r="M3265" s="29" t="n"/>
      <c r="N3265" s="28" t="n"/>
      <c r="O3265" s="24" t="n"/>
      <c r="P3265" s="24" t="n"/>
      <c r="Q3265" s="24" t="n"/>
      <c r="R3265" s="24" t="n"/>
      <c r="S3265" s="22">
        <f>IF(AND($A3265="",$C3265=""),"",IF($A3265="","Thiếu mã đơn; ","")&amp;IF(COUNTIF($A$2:$A3265,$A3265)&gt;1,"Trùng mã đơn; ","")&amp;IF(ISNA(MATCH($C3265,DATA_MASTER!$D$2:$D$5000,0)),"SĐT chưa đăng ký hội viên; ","")&amp;IF(AND($L3265="Đã chuyển khoản",$M3265=""),"Thiếu ngày nhận CK; ",""))</f>
        <v/>
      </c>
      <c r="T3265" s="24" t="n"/>
    </row>
    <row r="3266" ht="14.25" customHeight="1" s="40">
      <c r="A3266" s="24" t="n"/>
      <c r="B3266" s="29" t="n"/>
      <c r="C3266" s="28" t="n"/>
      <c r="D3266" s="22">
        <f t="array" ref="D3266">IF($C3266="","",IFERROR(INDEX(DATA_MASTER!$C$2:$C$5000,MATCH($C3266,DATA_MASTER!$D$2:$D$5000,0)),""))</f>
        <v/>
      </c>
      <c r="E3266" s="22">
        <f t="array" ref="E3266">IF($C3266="","",IFERROR(INDEX(DATA_MASTER!$I$2:$I$5000,MATCH($C3266,DATA_MASTER!$D$2:$D$5000,0)),""))</f>
        <v/>
      </c>
      <c r="F3266" s="22">
        <f t="array" ref="F3266">IF($C3266="","",IFERROR(INDEX(DATA_MASTER!$L$2:$L$5000,MATCH($C3266,DATA_MASTER!$D$2:$D$5000,0)),""))</f>
        <v/>
      </c>
      <c r="G3266" s="24" t="n"/>
      <c r="H3266" s="24" t="n"/>
      <c r="I3266" s="30" t="n"/>
      <c r="J3266" s="23">
        <f>IF(OR($H3266="",$I3266=""),"",$H3266*$I3266)</f>
        <v/>
      </c>
      <c r="K3266" s="24" t="n"/>
      <c r="L3266" s="24" t="n"/>
      <c r="M3266" s="29" t="n"/>
      <c r="N3266" s="28" t="n"/>
      <c r="O3266" s="24" t="n"/>
      <c r="P3266" s="24" t="n"/>
      <c r="Q3266" s="24" t="n"/>
      <c r="R3266" s="24" t="n"/>
      <c r="S3266" s="22">
        <f>IF(AND($A3266="",$C3266=""),"",IF($A3266="","Thiếu mã đơn; ","")&amp;IF(COUNTIF($A$2:$A3266,$A3266)&gt;1,"Trùng mã đơn; ","")&amp;IF(ISNA(MATCH($C3266,DATA_MASTER!$D$2:$D$5000,0)),"SĐT chưa đăng ký hội viên; ","")&amp;IF(AND($L3266="Đã chuyển khoản",$M3266=""),"Thiếu ngày nhận CK; ",""))</f>
        <v/>
      </c>
      <c r="T3266" s="24" t="n"/>
    </row>
    <row r="3267" ht="14.25" customHeight="1" s="40">
      <c r="A3267" s="24" t="n"/>
      <c r="B3267" s="29" t="n"/>
      <c r="C3267" s="28" t="n"/>
      <c r="D3267" s="22">
        <f t="array" ref="D3267">IF($C3267="","",IFERROR(INDEX(DATA_MASTER!$C$2:$C$5000,MATCH($C3267,DATA_MASTER!$D$2:$D$5000,0)),""))</f>
        <v/>
      </c>
      <c r="E3267" s="22">
        <f t="array" ref="E3267">IF($C3267="","",IFERROR(INDEX(DATA_MASTER!$I$2:$I$5000,MATCH($C3267,DATA_MASTER!$D$2:$D$5000,0)),""))</f>
        <v/>
      </c>
      <c r="F3267" s="22">
        <f t="array" ref="F3267">IF($C3267="","",IFERROR(INDEX(DATA_MASTER!$L$2:$L$5000,MATCH($C3267,DATA_MASTER!$D$2:$D$5000,0)),""))</f>
        <v/>
      </c>
      <c r="G3267" s="24" t="n"/>
      <c r="H3267" s="24" t="n"/>
      <c r="I3267" s="30" t="n"/>
      <c r="J3267" s="23">
        <f>IF(OR($H3267="",$I3267=""),"",$H3267*$I3267)</f>
        <v/>
      </c>
      <c r="K3267" s="24" t="n"/>
      <c r="L3267" s="24" t="n"/>
      <c r="M3267" s="29" t="n"/>
      <c r="N3267" s="28" t="n"/>
      <c r="O3267" s="24" t="n"/>
      <c r="P3267" s="24" t="n"/>
      <c r="Q3267" s="24" t="n"/>
      <c r="R3267" s="24" t="n"/>
      <c r="S3267" s="22">
        <f>IF(AND($A3267="",$C3267=""),"",IF($A3267="","Thiếu mã đơn; ","")&amp;IF(COUNTIF($A$2:$A3267,$A3267)&gt;1,"Trùng mã đơn; ","")&amp;IF(ISNA(MATCH($C3267,DATA_MASTER!$D$2:$D$5000,0)),"SĐT chưa đăng ký hội viên; ","")&amp;IF(AND($L3267="Đã chuyển khoản",$M3267=""),"Thiếu ngày nhận CK; ",""))</f>
        <v/>
      </c>
      <c r="T3267" s="24" t="n"/>
    </row>
    <row r="3268" ht="14.25" customHeight="1" s="40">
      <c r="A3268" s="24" t="n"/>
      <c r="B3268" s="29" t="n"/>
      <c r="C3268" s="28" t="n"/>
      <c r="D3268" s="22">
        <f t="array" ref="D3268">IF($C3268="","",IFERROR(INDEX(DATA_MASTER!$C$2:$C$5000,MATCH($C3268,DATA_MASTER!$D$2:$D$5000,0)),""))</f>
        <v/>
      </c>
      <c r="E3268" s="22">
        <f t="array" ref="E3268">IF($C3268="","",IFERROR(INDEX(DATA_MASTER!$I$2:$I$5000,MATCH($C3268,DATA_MASTER!$D$2:$D$5000,0)),""))</f>
        <v/>
      </c>
      <c r="F3268" s="22">
        <f t="array" ref="F3268">IF($C3268="","",IFERROR(INDEX(DATA_MASTER!$L$2:$L$5000,MATCH($C3268,DATA_MASTER!$D$2:$D$5000,0)),""))</f>
        <v/>
      </c>
      <c r="G3268" s="24" t="n"/>
      <c r="H3268" s="24" t="n"/>
      <c r="I3268" s="30" t="n"/>
      <c r="J3268" s="23">
        <f>IF(OR($H3268="",$I3268=""),"",$H3268*$I3268)</f>
        <v/>
      </c>
      <c r="K3268" s="24" t="n"/>
      <c r="L3268" s="24" t="n"/>
      <c r="M3268" s="29" t="n"/>
      <c r="N3268" s="28" t="n"/>
      <c r="O3268" s="24" t="n"/>
      <c r="P3268" s="24" t="n"/>
      <c r="Q3268" s="24" t="n"/>
      <c r="R3268" s="24" t="n"/>
      <c r="S3268" s="22">
        <f>IF(AND($A3268="",$C3268=""),"",IF($A3268="","Thiếu mã đơn; ","")&amp;IF(COUNTIF($A$2:$A3268,$A3268)&gt;1,"Trùng mã đơn; ","")&amp;IF(ISNA(MATCH($C3268,DATA_MASTER!$D$2:$D$5000,0)),"SĐT chưa đăng ký hội viên; ","")&amp;IF(AND($L3268="Đã chuyển khoản",$M3268=""),"Thiếu ngày nhận CK; ",""))</f>
        <v/>
      </c>
      <c r="T3268" s="24" t="n"/>
    </row>
    <row r="3269" ht="14.25" customHeight="1" s="40">
      <c r="A3269" s="24" t="n"/>
      <c r="B3269" s="29" t="n"/>
      <c r="C3269" s="28" t="n"/>
      <c r="D3269" s="22">
        <f t="array" ref="D3269">IF($C3269="","",IFERROR(INDEX(DATA_MASTER!$C$2:$C$5000,MATCH($C3269,DATA_MASTER!$D$2:$D$5000,0)),""))</f>
        <v/>
      </c>
      <c r="E3269" s="22">
        <f t="array" ref="E3269">IF($C3269="","",IFERROR(INDEX(DATA_MASTER!$I$2:$I$5000,MATCH($C3269,DATA_MASTER!$D$2:$D$5000,0)),""))</f>
        <v/>
      </c>
      <c r="F3269" s="22">
        <f t="array" ref="F3269">IF($C3269="","",IFERROR(INDEX(DATA_MASTER!$L$2:$L$5000,MATCH($C3269,DATA_MASTER!$D$2:$D$5000,0)),""))</f>
        <v/>
      </c>
      <c r="G3269" s="24" t="n"/>
      <c r="H3269" s="24" t="n"/>
      <c r="I3269" s="30" t="n"/>
      <c r="J3269" s="23">
        <f>IF(OR($H3269="",$I3269=""),"",$H3269*$I3269)</f>
        <v/>
      </c>
      <c r="K3269" s="24" t="n"/>
      <c r="L3269" s="24" t="n"/>
      <c r="M3269" s="29" t="n"/>
      <c r="N3269" s="28" t="n"/>
      <c r="O3269" s="24" t="n"/>
      <c r="P3269" s="24" t="n"/>
      <c r="Q3269" s="24" t="n"/>
      <c r="R3269" s="24" t="n"/>
      <c r="S3269" s="22">
        <f>IF(AND($A3269="",$C3269=""),"",IF($A3269="","Thiếu mã đơn; ","")&amp;IF(COUNTIF($A$2:$A3269,$A3269)&gt;1,"Trùng mã đơn; ","")&amp;IF(ISNA(MATCH($C3269,DATA_MASTER!$D$2:$D$5000,0)),"SĐT chưa đăng ký hội viên; ","")&amp;IF(AND($L3269="Đã chuyển khoản",$M3269=""),"Thiếu ngày nhận CK; ",""))</f>
        <v/>
      </c>
      <c r="T3269" s="24" t="n"/>
    </row>
    <row r="3270" ht="14.25" customHeight="1" s="40">
      <c r="A3270" s="24" t="n"/>
      <c r="B3270" s="29" t="n"/>
      <c r="C3270" s="28" t="n"/>
      <c r="D3270" s="22">
        <f t="array" ref="D3270">IF($C3270="","",IFERROR(INDEX(DATA_MASTER!$C$2:$C$5000,MATCH($C3270,DATA_MASTER!$D$2:$D$5000,0)),""))</f>
        <v/>
      </c>
      <c r="E3270" s="22">
        <f t="array" ref="E3270">IF($C3270="","",IFERROR(INDEX(DATA_MASTER!$I$2:$I$5000,MATCH($C3270,DATA_MASTER!$D$2:$D$5000,0)),""))</f>
        <v/>
      </c>
      <c r="F3270" s="22">
        <f t="array" ref="F3270">IF($C3270="","",IFERROR(INDEX(DATA_MASTER!$L$2:$L$5000,MATCH($C3270,DATA_MASTER!$D$2:$D$5000,0)),""))</f>
        <v/>
      </c>
      <c r="G3270" s="24" t="n"/>
      <c r="H3270" s="24" t="n"/>
      <c r="I3270" s="30" t="n"/>
      <c r="J3270" s="23">
        <f>IF(OR($H3270="",$I3270=""),"",$H3270*$I3270)</f>
        <v/>
      </c>
      <c r="K3270" s="24" t="n"/>
      <c r="L3270" s="24" t="n"/>
      <c r="M3270" s="29" t="n"/>
      <c r="N3270" s="28" t="n"/>
      <c r="O3270" s="24" t="n"/>
      <c r="P3270" s="24" t="n"/>
      <c r="Q3270" s="24" t="n"/>
      <c r="R3270" s="24" t="n"/>
      <c r="S3270" s="22">
        <f>IF(AND($A3270="",$C3270=""),"",IF($A3270="","Thiếu mã đơn; ","")&amp;IF(COUNTIF($A$2:$A3270,$A3270)&gt;1,"Trùng mã đơn; ","")&amp;IF(ISNA(MATCH($C3270,DATA_MASTER!$D$2:$D$5000,0)),"SĐT chưa đăng ký hội viên; ","")&amp;IF(AND($L3270="Đã chuyển khoản",$M3270=""),"Thiếu ngày nhận CK; ",""))</f>
        <v/>
      </c>
      <c r="T3270" s="24" t="n"/>
    </row>
    <row r="3271" ht="14.25" customHeight="1" s="40">
      <c r="A3271" s="24" t="n"/>
      <c r="B3271" s="29" t="n"/>
      <c r="C3271" s="28" t="n"/>
      <c r="D3271" s="22">
        <f t="array" ref="D3271">IF($C3271="","",IFERROR(INDEX(DATA_MASTER!$C$2:$C$5000,MATCH($C3271,DATA_MASTER!$D$2:$D$5000,0)),""))</f>
        <v/>
      </c>
      <c r="E3271" s="22">
        <f t="array" ref="E3271">IF($C3271="","",IFERROR(INDEX(DATA_MASTER!$I$2:$I$5000,MATCH($C3271,DATA_MASTER!$D$2:$D$5000,0)),""))</f>
        <v/>
      </c>
      <c r="F3271" s="22">
        <f t="array" ref="F3271">IF($C3271="","",IFERROR(INDEX(DATA_MASTER!$L$2:$L$5000,MATCH($C3271,DATA_MASTER!$D$2:$D$5000,0)),""))</f>
        <v/>
      </c>
      <c r="G3271" s="24" t="n"/>
      <c r="H3271" s="24" t="n"/>
      <c r="I3271" s="30" t="n"/>
      <c r="J3271" s="23">
        <f>IF(OR($H3271="",$I3271=""),"",$H3271*$I3271)</f>
        <v/>
      </c>
      <c r="K3271" s="24" t="n"/>
      <c r="L3271" s="24" t="n"/>
      <c r="M3271" s="29" t="n"/>
      <c r="N3271" s="28" t="n"/>
      <c r="O3271" s="24" t="n"/>
      <c r="P3271" s="24" t="n"/>
      <c r="Q3271" s="24" t="n"/>
      <c r="R3271" s="24" t="n"/>
      <c r="S3271" s="22">
        <f>IF(AND($A3271="",$C3271=""),"",IF($A3271="","Thiếu mã đơn; ","")&amp;IF(COUNTIF($A$2:$A3271,$A3271)&gt;1,"Trùng mã đơn; ","")&amp;IF(ISNA(MATCH($C3271,DATA_MASTER!$D$2:$D$5000,0)),"SĐT chưa đăng ký hội viên; ","")&amp;IF(AND($L3271="Đã chuyển khoản",$M3271=""),"Thiếu ngày nhận CK; ",""))</f>
        <v/>
      </c>
      <c r="T3271" s="24" t="n"/>
    </row>
    <row r="3272" ht="14.25" customHeight="1" s="40">
      <c r="A3272" s="24" t="n"/>
      <c r="B3272" s="29" t="n"/>
      <c r="C3272" s="28" t="n"/>
      <c r="D3272" s="22">
        <f t="array" ref="D3272">IF($C3272="","",IFERROR(INDEX(DATA_MASTER!$C$2:$C$5000,MATCH($C3272,DATA_MASTER!$D$2:$D$5000,0)),""))</f>
        <v/>
      </c>
      <c r="E3272" s="22">
        <f t="array" ref="E3272">IF($C3272="","",IFERROR(INDEX(DATA_MASTER!$I$2:$I$5000,MATCH($C3272,DATA_MASTER!$D$2:$D$5000,0)),""))</f>
        <v/>
      </c>
      <c r="F3272" s="22">
        <f t="array" ref="F3272">IF($C3272="","",IFERROR(INDEX(DATA_MASTER!$L$2:$L$5000,MATCH($C3272,DATA_MASTER!$D$2:$D$5000,0)),""))</f>
        <v/>
      </c>
      <c r="G3272" s="24" t="n"/>
      <c r="H3272" s="24" t="n"/>
      <c r="I3272" s="30" t="n"/>
      <c r="J3272" s="23">
        <f>IF(OR($H3272="",$I3272=""),"",$H3272*$I3272)</f>
        <v/>
      </c>
      <c r="K3272" s="24" t="n"/>
      <c r="L3272" s="24" t="n"/>
      <c r="M3272" s="29" t="n"/>
      <c r="N3272" s="28" t="n"/>
      <c r="O3272" s="24" t="n"/>
      <c r="P3272" s="24" t="n"/>
      <c r="Q3272" s="24" t="n"/>
      <c r="R3272" s="24" t="n"/>
      <c r="S3272" s="22">
        <f>IF(AND($A3272="",$C3272=""),"",IF($A3272="","Thiếu mã đơn; ","")&amp;IF(COUNTIF($A$2:$A3272,$A3272)&gt;1,"Trùng mã đơn; ","")&amp;IF(ISNA(MATCH($C3272,DATA_MASTER!$D$2:$D$5000,0)),"SĐT chưa đăng ký hội viên; ","")&amp;IF(AND($L3272="Đã chuyển khoản",$M3272=""),"Thiếu ngày nhận CK; ",""))</f>
        <v/>
      </c>
      <c r="T3272" s="24" t="n"/>
    </row>
    <row r="3273" ht="14.25" customHeight="1" s="40">
      <c r="A3273" s="24" t="n"/>
      <c r="B3273" s="29" t="n"/>
      <c r="C3273" s="28" t="n"/>
      <c r="D3273" s="22">
        <f t="array" ref="D3273">IF($C3273="","",IFERROR(INDEX(DATA_MASTER!$C$2:$C$5000,MATCH($C3273,DATA_MASTER!$D$2:$D$5000,0)),""))</f>
        <v/>
      </c>
      <c r="E3273" s="22">
        <f t="array" ref="E3273">IF($C3273="","",IFERROR(INDEX(DATA_MASTER!$I$2:$I$5000,MATCH($C3273,DATA_MASTER!$D$2:$D$5000,0)),""))</f>
        <v/>
      </c>
      <c r="F3273" s="22">
        <f t="array" ref="F3273">IF($C3273="","",IFERROR(INDEX(DATA_MASTER!$L$2:$L$5000,MATCH($C3273,DATA_MASTER!$D$2:$D$5000,0)),""))</f>
        <v/>
      </c>
      <c r="G3273" s="24" t="n"/>
      <c r="H3273" s="24" t="n"/>
      <c r="I3273" s="30" t="n"/>
      <c r="J3273" s="23">
        <f>IF(OR($H3273="",$I3273=""),"",$H3273*$I3273)</f>
        <v/>
      </c>
      <c r="K3273" s="24" t="n"/>
      <c r="L3273" s="24" t="n"/>
      <c r="M3273" s="29" t="n"/>
      <c r="N3273" s="28" t="n"/>
      <c r="O3273" s="24" t="n"/>
      <c r="P3273" s="24" t="n"/>
      <c r="Q3273" s="24" t="n"/>
      <c r="R3273" s="24" t="n"/>
      <c r="S3273" s="22">
        <f>IF(AND($A3273="",$C3273=""),"",IF($A3273="","Thiếu mã đơn; ","")&amp;IF(COUNTIF($A$2:$A3273,$A3273)&gt;1,"Trùng mã đơn; ","")&amp;IF(ISNA(MATCH($C3273,DATA_MASTER!$D$2:$D$5000,0)),"SĐT chưa đăng ký hội viên; ","")&amp;IF(AND($L3273="Đã chuyển khoản",$M3273=""),"Thiếu ngày nhận CK; ",""))</f>
        <v/>
      </c>
      <c r="T3273" s="24" t="n"/>
    </row>
    <row r="3274" ht="14.25" customHeight="1" s="40">
      <c r="A3274" s="24" t="n"/>
      <c r="B3274" s="29" t="n"/>
      <c r="C3274" s="28" t="n"/>
      <c r="D3274" s="22">
        <f t="array" ref="D3274">IF($C3274="","",IFERROR(INDEX(DATA_MASTER!$C$2:$C$5000,MATCH($C3274,DATA_MASTER!$D$2:$D$5000,0)),""))</f>
        <v/>
      </c>
      <c r="E3274" s="22">
        <f t="array" ref="E3274">IF($C3274="","",IFERROR(INDEX(DATA_MASTER!$I$2:$I$5000,MATCH($C3274,DATA_MASTER!$D$2:$D$5000,0)),""))</f>
        <v/>
      </c>
      <c r="F3274" s="22">
        <f t="array" ref="F3274">IF($C3274="","",IFERROR(INDEX(DATA_MASTER!$L$2:$L$5000,MATCH($C3274,DATA_MASTER!$D$2:$D$5000,0)),""))</f>
        <v/>
      </c>
      <c r="G3274" s="24" t="n"/>
      <c r="H3274" s="24" t="n"/>
      <c r="I3274" s="30" t="n"/>
      <c r="J3274" s="23">
        <f>IF(OR($H3274="",$I3274=""),"",$H3274*$I3274)</f>
        <v/>
      </c>
      <c r="K3274" s="24" t="n"/>
      <c r="L3274" s="24" t="n"/>
      <c r="M3274" s="29" t="n"/>
      <c r="N3274" s="28" t="n"/>
      <c r="O3274" s="24" t="n"/>
      <c r="P3274" s="24" t="n"/>
      <c r="Q3274" s="24" t="n"/>
      <c r="R3274" s="24" t="n"/>
      <c r="S3274" s="22">
        <f>IF(AND($A3274="",$C3274=""),"",IF($A3274="","Thiếu mã đơn; ","")&amp;IF(COUNTIF($A$2:$A3274,$A3274)&gt;1,"Trùng mã đơn; ","")&amp;IF(ISNA(MATCH($C3274,DATA_MASTER!$D$2:$D$5000,0)),"SĐT chưa đăng ký hội viên; ","")&amp;IF(AND($L3274="Đã chuyển khoản",$M3274=""),"Thiếu ngày nhận CK; ",""))</f>
        <v/>
      </c>
      <c r="T3274" s="24" t="n"/>
    </row>
    <row r="3275" ht="14.25" customHeight="1" s="40">
      <c r="A3275" s="24" t="n"/>
      <c r="B3275" s="29" t="n"/>
      <c r="C3275" s="28" t="n"/>
      <c r="D3275" s="22">
        <f t="array" ref="D3275">IF($C3275="","",IFERROR(INDEX(DATA_MASTER!$C$2:$C$5000,MATCH($C3275,DATA_MASTER!$D$2:$D$5000,0)),""))</f>
        <v/>
      </c>
      <c r="E3275" s="22">
        <f t="array" ref="E3275">IF($C3275="","",IFERROR(INDEX(DATA_MASTER!$I$2:$I$5000,MATCH($C3275,DATA_MASTER!$D$2:$D$5000,0)),""))</f>
        <v/>
      </c>
      <c r="F3275" s="22">
        <f t="array" ref="F3275">IF($C3275="","",IFERROR(INDEX(DATA_MASTER!$L$2:$L$5000,MATCH($C3275,DATA_MASTER!$D$2:$D$5000,0)),""))</f>
        <v/>
      </c>
      <c r="G3275" s="24" t="n"/>
      <c r="H3275" s="24" t="n"/>
      <c r="I3275" s="30" t="n"/>
      <c r="J3275" s="23">
        <f>IF(OR($H3275="",$I3275=""),"",$H3275*$I3275)</f>
        <v/>
      </c>
      <c r="K3275" s="24" t="n"/>
      <c r="L3275" s="24" t="n"/>
      <c r="M3275" s="29" t="n"/>
      <c r="N3275" s="28" t="n"/>
      <c r="O3275" s="24" t="n"/>
      <c r="P3275" s="24" t="n"/>
      <c r="Q3275" s="24" t="n"/>
      <c r="R3275" s="24" t="n"/>
      <c r="S3275" s="22">
        <f>IF(AND($A3275="",$C3275=""),"",IF($A3275="","Thiếu mã đơn; ","")&amp;IF(COUNTIF($A$2:$A3275,$A3275)&gt;1,"Trùng mã đơn; ","")&amp;IF(ISNA(MATCH($C3275,DATA_MASTER!$D$2:$D$5000,0)),"SĐT chưa đăng ký hội viên; ","")&amp;IF(AND($L3275="Đã chuyển khoản",$M3275=""),"Thiếu ngày nhận CK; ",""))</f>
        <v/>
      </c>
      <c r="T3275" s="24" t="n"/>
    </row>
    <row r="3276" ht="14.25" customHeight="1" s="40">
      <c r="A3276" s="24" t="n"/>
      <c r="B3276" s="29" t="n"/>
      <c r="C3276" s="28" t="n"/>
      <c r="D3276" s="22">
        <f t="array" ref="D3276">IF($C3276="","",IFERROR(INDEX(DATA_MASTER!$C$2:$C$5000,MATCH($C3276,DATA_MASTER!$D$2:$D$5000,0)),""))</f>
        <v/>
      </c>
      <c r="E3276" s="22">
        <f t="array" ref="E3276">IF($C3276="","",IFERROR(INDEX(DATA_MASTER!$I$2:$I$5000,MATCH($C3276,DATA_MASTER!$D$2:$D$5000,0)),""))</f>
        <v/>
      </c>
      <c r="F3276" s="22">
        <f t="array" ref="F3276">IF($C3276="","",IFERROR(INDEX(DATA_MASTER!$L$2:$L$5000,MATCH($C3276,DATA_MASTER!$D$2:$D$5000,0)),""))</f>
        <v/>
      </c>
      <c r="G3276" s="24" t="n"/>
      <c r="H3276" s="24" t="n"/>
      <c r="I3276" s="30" t="n"/>
      <c r="J3276" s="23">
        <f>IF(OR($H3276="",$I3276=""),"",$H3276*$I3276)</f>
        <v/>
      </c>
      <c r="K3276" s="24" t="n"/>
      <c r="L3276" s="24" t="n"/>
      <c r="M3276" s="29" t="n"/>
      <c r="N3276" s="28" t="n"/>
      <c r="O3276" s="24" t="n"/>
      <c r="P3276" s="24" t="n"/>
      <c r="Q3276" s="24" t="n"/>
      <c r="R3276" s="24" t="n"/>
      <c r="S3276" s="22">
        <f>IF(AND($A3276="",$C3276=""),"",IF($A3276="","Thiếu mã đơn; ","")&amp;IF(COUNTIF($A$2:$A3276,$A3276)&gt;1,"Trùng mã đơn; ","")&amp;IF(ISNA(MATCH($C3276,DATA_MASTER!$D$2:$D$5000,0)),"SĐT chưa đăng ký hội viên; ","")&amp;IF(AND($L3276="Đã chuyển khoản",$M3276=""),"Thiếu ngày nhận CK; ",""))</f>
        <v/>
      </c>
      <c r="T3276" s="24" t="n"/>
    </row>
    <row r="3277" ht="14.25" customHeight="1" s="40">
      <c r="A3277" s="24" t="n"/>
      <c r="B3277" s="29" t="n"/>
      <c r="C3277" s="28" t="n"/>
      <c r="D3277" s="22">
        <f t="array" ref="D3277">IF($C3277="","",IFERROR(INDEX(DATA_MASTER!$C$2:$C$5000,MATCH($C3277,DATA_MASTER!$D$2:$D$5000,0)),""))</f>
        <v/>
      </c>
      <c r="E3277" s="22">
        <f t="array" ref="E3277">IF($C3277="","",IFERROR(INDEX(DATA_MASTER!$I$2:$I$5000,MATCH($C3277,DATA_MASTER!$D$2:$D$5000,0)),""))</f>
        <v/>
      </c>
      <c r="F3277" s="22">
        <f t="array" ref="F3277">IF($C3277="","",IFERROR(INDEX(DATA_MASTER!$L$2:$L$5000,MATCH($C3277,DATA_MASTER!$D$2:$D$5000,0)),""))</f>
        <v/>
      </c>
      <c r="G3277" s="24" t="n"/>
      <c r="H3277" s="24" t="n"/>
      <c r="I3277" s="30" t="n"/>
      <c r="J3277" s="23">
        <f>IF(OR($H3277="",$I3277=""),"",$H3277*$I3277)</f>
        <v/>
      </c>
      <c r="K3277" s="24" t="n"/>
      <c r="L3277" s="24" t="n"/>
      <c r="M3277" s="29" t="n"/>
      <c r="N3277" s="28" t="n"/>
      <c r="O3277" s="24" t="n"/>
      <c r="P3277" s="24" t="n"/>
      <c r="Q3277" s="24" t="n"/>
      <c r="R3277" s="24" t="n"/>
      <c r="S3277" s="22">
        <f>IF(AND($A3277="",$C3277=""),"",IF($A3277="","Thiếu mã đơn; ","")&amp;IF(COUNTIF($A$2:$A3277,$A3277)&gt;1,"Trùng mã đơn; ","")&amp;IF(ISNA(MATCH($C3277,DATA_MASTER!$D$2:$D$5000,0)),"SĐT chưa đăng ký hội viên; ","")&amp;IF(AND($L3277="Đã chuyển khoản",$M3277=""),"Thiếu ngày nhận CK; ",""))</f>
        <v/>
      </c>
      <c r="T3277" s="24" t="n"/>
    </row>
    <row r="3278" ht="14.25" customHeight="1" s="40">
      <c r="A3278" s="24" t="n"/>
      <c r="B3278" s="29" t="n"/>
      <c r="C3278" s="28" t="n"/>
      <c r="D3278" s="22">
        <f t="array" ref="D3278">IF($C3278="","",IFERROR(INDEX(DATA_MASTER!$C$2:$C$5000,MATCH($C3278,DATA_MASTER!$D$2:$D$5000,0)),""))</f>
        <v/>
      </c>
      <c r="E3278" s="22">
        <f t="array" ref="E3278">IF($C3278="","",IFERROR(INDEX(DATA_MASTER!$I$2:$I$5000,MATCH($C3278,DATA_MASTER!$D$2:$D$5000,0)),""))</f>
        <v/>
      </c>
      <c r="F3278" s="22">
        <f t="array" ref="F3278">IF($C3278="","",IFERROR(INDEX(DATA_MASTER!$L$2:$L$5000,MATCH($C3278,DATA_MASTER!$D$2:$D$5000,0)),""))</f>
        <v/>
      </c>
      <c r="G3278" s="24" t="n"/>
      <c r="H3278" s="24" t="n"/>
      <c r="I3278" s="30" t="n"/>
      <c r="J3278" s="23">
        <f>IF(OR($H3278="",$I3278=""),"",$H3278*$I3278)</f>
        <v/>
      </c>
      <c r="K3278" s="24" t="n"/>
      <c r="L3278" s="24" t="n"/>
      <c r="M3278" s="29" t="n"/>
      <c r="N3278" s="28" t="n"/>
      <c r="O3278" s="24" t="n"/>
      <c r="P3278" s="24" t="n"/>
      <c r="Q3278" s="24" t="n"/>
      <c r="R3278" s="24" t="n"/>
      <c r="S3278" s="22">
        <f>IF(AND($A3278="",$C3278=""),"",IF($A3278="","Thiếu mã đơn; ","")&amp;IF(COUNTIF($A$2:$A3278,$A3278)&gt;1,"Trùng mã đơn; ","")&amp;IF(ISNA(MATCH($C3278,DATA_MASTER!$D$2:$D$5000,0)),"SĐT chưa đăng ký hội viên; ","")&amp;IF(AND($L3278="Đã chuyển khoản",$M3278=""),"Thiếu ngày nhận CK; ",""))</f>
        <v/>
      </c>
      <c r="T3278" s="24" t="n"/>
    </row>
    <row r="3279" ht="14.25" customHeight="1" s="40">
      <c r="A3279" s="24" t="n"/>
      <c r="B3279" s="29" t="n"/>
      <c r="C3279" s="28" t="n"/>
      <c r="D3279" s="22">
        <f t="array" ref="D3279">IF($C3279="","",IFERROR(INDEX(DATA_MASTER!$C$2:$C$5000,MATCH($C3279,DATA_MASTER!$D$2:$D$5000,0)),""))</f>
        <v/>
      </c>
      <c r="E3279" s="22">
        <f t="array" ref="E3279">IF($C3279="","",IFERROR(INDEX(DATA_MASTER!$I$2:$I$5000,MATCH($C3279,DATA_MASTER!$D$2:$D$5000,0)),""))</f>
        <v/>
      </c>
      <c r="F3279" s="22">
        <f t="array" ref="F3279">IF($C3279="","",IFERROR(INDEX(DATA_MASTER!$L$2:$L$5000,MATCH($C3279,DATA_MASTER!$D$2:$D$5000,0)),""))</f>
        <v/>
      </c>
      <c r="G3279" s="24" t="n"/>
      <c r="H3279" s="24" t="n"/>
      <c r="I3279" s="30" t="n"/>
      <c r="J3279" s="23">
        <f>IF(OR($H3279="",$I3279=""),"",$H3279*$I3279)</f>
        <v/>
      </c>
      <c r="K3279" s="24" t="n"/>
      <c r="L3279" s="24" t="n"/>
      <c r="M3279" s="29" t="n"/>
      <c r="N3279" s="28" t="n"/>
      <c r="O3279" s="24" t="n"/>
      <c r="P3279" s="24" t="n"/>
      <c r="Q3279" s="24" t="n"/>
      <c r="R3279" s="24" t="n"/>
      <c r="S3279" s="22">
        <f>IF(AND($A3279="",$C3279=""),"",IF($A3279="","Thiếu mã đơn; ","")&amp;IF(COUNTIF($A$2:$A3279,$A3279)&gt;1,"Trùng mã đơn; ","")&amp;IF(ISNA(MATCH($C3279,DATA_MASTER!$D$2:$D$5000,0)),"SĐT chưa đăng ký hội viên; ","")&amp;IF(AND($L3279="Đã chuyển khoản",$M3279=""),"Thiếu ngày nhận CK; ",""))</f>
        <v/>
      </c>
      <c r="T3279" s="24" t="n"/>
    </row>
    <row r="3280" ht="14.25" customHeight="1" s="40">
      <c r="A3280" s="24" t="n"/>
      <c r="B3280" s="29" t="n"/>
      <c r="C3280" s="28" t="n"/>
      <c r="D3280" s="22">
        <f t="array" ref="D3280">IF($C3280="","",IFERROR(INDEX(DATA_MASTER!$C$2:$C$5000,MATCH($C3280,DATA_MASTER!$D$2:$D$5000,0)),""))</f>
        <v/>
      </c>
      <c r="E3280" s="22">
        <f t="array" ref="E3280">IF($C3280="","",IFERROR(INDEX(DATA_MASTER!$I$2:$I$5000,MATCH($C3280,DATA_MASTER!$D$2:$D$5000,0)),""))</f>
        <v/>
      </c>
      <c r="F3280" s="22">
        <f t="array" ref="F3280">IF($C3280="","",IFERROR(INDEX(DATA_MASTER!$L$2:$L$5000,MATCH($C3280,DATA_MASTER!$D$2:$D$5000,0)),""))</f>
        <v/>
      </c>
      <c r="G3280" s="24" t="n"/>
      <c r="H3280" s="24" t="n"/>
      <c r="I3280" s="30" t="n"/>
      <c r="J3280" s="23">
        <f>IF(OR($H3280="",$I3280=""),"",$H3280*$I3280)</f>
        <v/>
      </c>
      <c r="K3280" s="24" t="n"/>
      <c r="L3280" s="24" t="n"/>
      <c r="M3280" s="29" t="n"/>
      <c r="N3280" s="28" t="n"/>
      <c r="O3280" s="24" t="n"/>
      <c r="P3280" s="24" t="n"/>
      <c r="Q3280" s="24" t="n"/>
      <c r="R3280" s="24" t="n"/>
      <c r="S3280" s="22">
        <f>IF(AND($A3280="",$C3280=""),"",IF($A3280="","Thiếu mã đơn; ","")&amp;IF(COUNTIF($A$2:$A3280,$A3280)&gt;1,"Trùng mã đơn; ","")&amp;IF(ISNA(MATCH($C3280,DATA_MASTER!$D$2:$D$5000,0)),"SĐT chưa đăng ký hội viên; ","")&amp;IF(AND($L3280="Đã chuyển khoản",$M3280=""),"Thiếu ngày nhận CK; ",""))</f>
        <v/>
      </c>
      <c r="T3280" s="24" t="n"/>
    </row>
    <row r="3281" ht="14.25" customHeight="1" s="40">
      <c r="A3281" s="24" t="n"/>
      <c r="B3281" s="29" t="n"/>
      <c r="C3281" s="28" t="n"/>
      <c r="D3281" s="22">
        <f t="array" ref="D3281">IF($C3281="","",IFERROR(INDEX(DATA_MASTER!$C$2:$C$5000,MATCH($C3281,DATA_MASTER!$D$2:$D$5000,0)),""))</f>
        <v/>
      </c>
      <c r="E3281" s="22">
        <f t="array" ref="E3281">IF($C3281="","",IFERROR(INDEX(DATA_MASTER!$I$2:$I$5000,MATCH($C3281,DATA_MASTER!$D$2:$D$5000,0)),""))</f>
        <v/>
      </c>
      <c r="F3281" s="22">
        <f t="array" ref="F3281">IF($C3281="","",IFERROR(INDEX(DATA_MASTER!$L$2:$L$5000,MATCH($C3281,DATA_MASTER!$D$2:$D$5000,0)),""))</f>
        <v/>
      </c>
      <c r="G3281" s="24" t="n"/>
      <c r="H3281" s="24" t="n"/>
      <c r="I3281" s="30" t="n"/>
      <c r="J3281" s="23">
        <f>IF(OR($H3281="",$I3281=""),"",$H3281*$I3281)</f>
        <v/>
      </c>
      <c r="K3281" s="24" t="n"/>
      <c r="L3281" s="24" t="n"/>
      <c r="M3281" s="29" t="n"/>
      <c r="N3281" s="28" t="n"/>
      <c r="O3281" s="24" t="n"/>
      <c r="P3281" s="24" t="n"/>
      <c r="Q3281" s="24" t="n"/>
      <c r="R3281" s="24" t="n"/>
      <c r="S3281" s="22">
        <f>IF(AND($A3281="",$C3281=""),"",IF($A3281="","Thiếu mã đơn; ","")&amp;IF(COUNTIF($A$2:$A3281,$A3281)&gt;1,"Trùng mã đơn; ","")&amp;IF(ISNA(MATCH($C3281,DATA_MASTER!$D$2:$D$5000,0)),"SĐT chưa đăng ký hội viên; ","")&amp;IF(AND($L3281="Đã chuyển khoản",$M3281=""),"Thiếu ngày nhận CK; ",""))</f>
        <v/>
      </c>
      <c r="T3281" s="24" t="n"/>
    </row>
    <row r="3282" ht="14.25" customHeight="1" s="40">
      <c r="A3282" s="24" t="n"/>
      <c r="B3282" s="29" t="n"/>
      <c r="C3282" s="28" t="n"/>
      <c r="D3282" s="22">
        <f t="array" ref="D3282">IF($C3282="","",IFERROR(INDEX(DATA_MASTER!$C$2:$C$5000,MATCH($C3282,DATA_MASTER!$D$2:$D$5000,0)),""))</f>
        <v/>
      </c>
      <c r="E3282" s="22">
        <f t="array" ref="E3282">IF($C3282="","",IFERROR(INDEX(DATA_MASTER!$I$2:$I$5000,MATCH($C3282,DATA_MASTER!$D$2:$D$5000,0)),""))</f>
        <v/>
      </c>
      <c r="F3282" s="22">
        <f t="array" ref="F3282">IF($C3282="","",IFERROR(INDEX(DATA_MASTER!$L$2:$L$5000,MATCH($C3282,DATA_MASTER!$D$2:$D$5000,0)),""))</f>
        <v/>
      </c>
      <c r="G3282" s="24" t="n"/>
      <c r="H3282" s="24" t="n"/>
      <c r="I3282" s="30" t="n"/>
      <c r="J3282" s="23">
        <f>IF(OR($H3282="",$I3282=""),"",$H3282*$I3282)</f>
        <v/>
      </c>
      <c r="K3282" s="24" t="n"/>
      <c r="L3282" s="24" t="n"/>
      <c r="M3282" s="29" t="n"/>
      <c r="N3282" s="28" t="n"/>
      <c r="O3282" s="24" t="n"/>
      <c r="P3282" s="24" t="n"/>
      <c r="Q3282" s="24" t="n"/>
      <c r="R3282" s="24" t="n"/>
      <c r="S3282" s="22">
        <f>IF(AND($A3282="",$C3282=""),"",IF($A3282="","Thiếu mã đơn; ","")&amp;IF(COUNTIF($A$2:$A3282,$A3282)&gt;1,"Trùng mã đơn; ","")&amp;IF(ISNA(MATCH($C3282,DATA_MASTER!$D$2:$D$5000,0)),"SĐT chưa đăng ký hội viên; ","")&amp;IF(AND($L3282="Đã chuyển khoản",$M3282=""),"Thiếu ngày nhận CK; ",""))</f>
        <v/>
      </c>
      <c r="T3282" s="24" t="n"/>
    </row>
    <row r="3283" ht="14.25" customHeight="1" s="40">
      <c r="A3283" s="24" t="n"/>
      <c r="B3283" s="29" t="n"/>
      <c r="C3283" s="28" t="n"/>
      <c r="D3283" s="22">
        <f t="array" ref="D3283">IF($C3283="","",IFERROR(INDEX(DATA_MASTER!$C$2:$C$5000,MATCH($C3283,DATA_MASTER!$D$2:$D$5000,0)),""))</f>
        <v/>
      </c>
      <c r="E3283" s="22">
        <f t="array" ref="E3283">IF($C3283="","",IFERROR(INDEX(DATA_MASTER!$I$2:$I$5000,MATCH($C3283,DATA_MASTER!$D$2:$D$5000,0)),""))</f>
        <v/>
      </c>
      <c r="F3283" s="22">
        <f t="array" ref="F3283">IF($C3283="","",IFERROR(INDEX(DATA_MASTER!$L$2:$L$5000,MATCH($C3283,DATA_MASTER!$D$2:$D$5000,0)),""))</f>
        <v/>
      </c>
      <c r="G3283" s="24" t="n"/>
      <c r="H3283" s="24" t="n"/>
      <c r="I3283" s="30" t="n"/>
      <c r="J3283" s="23">
        <f>IF(OR($H3283="",$I3283=""),"",$H3283*$I3283)</f>
        <v/>
      </c>
      <c r="K3283" s="24" t="n"/>
      <c r="L3283" s="24" t="n"/>
      <c r="M3283" s="29" t="n"/>
      <c r="N3283" s="28" t="n"/>
      <c r="O3283" s="24" t="n"/>
      <c r="P3283" s="24" t="n"/>
      <c r="Q3283" s="24" t="n"/>
      <c r="R3283" s="24" t="n"/>
      <c r="S3283" s="22">
        <f>IF(AND($A3283="",$C3283=""),"",IF($A3283="","Thiếu mã đơn; ","")&amp;IF(COUNTIF($A$2:$A3283,$A3283)&gt;1,"Trùng mã đơn; ","")&amp;IF(ISNA(MATCH($C3283,DATA_MASTER!$D$2:$D$5000,0)),"SĐT chưa đăng ký hội viên; ","")&amp;IF(AND($L3283="Đã chuyển khoản",$M3283=""),"Thiếu ngày nhận CK; ",""))</f>
        <v/>
      </c>
      <c r="T3283" s="24" t="n"/>
    </row>
    <row r="3284" ht="14.25" customHeight="1" s="40">
      <c r="A3284" s="24" t="n"/>
      <c r="B3284" s="29" t="n"/>
      <c r="C3284" s="28" t="n"/>
      <c r="D3284" s="22">
        <f t="array" ref="D3284">IF($C3284="","",IFERROR(INDEX(DATA_MASTER!$C$2:$C$5000,MATCH($C3284,DATA_MASTER!$D$2:$D$5000,0)),""))</f>
        <v/>
      </c>
      <c r="E3284" s="22">
        <f t="array" ref="E3284">IF($C3284="","",IFERROR(INDEX(DATA_MASTER!$I$2:$I$5000,MATCH($C3284,DATA_MASTER!$D$2:$D$5000,0)),""))</f>
        <v/>
      </c>
      <c r="F3284" s="22">
        <f t="array" ref="F3284">IF($C3284="","",IFERROR(INDEX(DATA_MASTER!$L$2:$L$5000,MATCH($C3284,DATA_MASTER!$D$2:$D$5000,0)),""))</f>
        <v/>
      </c>
      <c r="G3284" s="24" t="n"/>
      <c r="H3284" s="24" t="n"/>
      <c r="I3284" s="30" t="n"/>
      <c r="J3284" s="23">
        <f>IF(OR($H3284="",$I3284=""),"",$H3284*$I3284)</f>
        <v/>
      </c>
      <c r="K3284" s="24" t="n"/>
      <c r="L3284" s="24" t="n"/>
      <c r="M3284" s="29" t="n"/>
      <c r="N3284" s="28" t="n"/>
      <c r="O3284" s="24" t="n"/>
      <c r="P3284" s="24" t="n"/>
      <c r="Q3284" s="24" t="n"/>
      <c r="R3284" s="24" t="n"/>
      <c r="S3284" s="22">
        <f>IF(AND($A3284="",$C3284=""),"",IF($A3284="","Thiếu mã đơn; ","")&amp;IF(COUNTIF($A$2:$A3284,$A3284)&gt;1,"Trùng mã đơn; ","")&amp;IF(ISNA(MATCH($C3284,DATA_MASTER!$D$2:$D$5000,0)),"SĐT chưa đăng ký hội viên; ","")&amp;IF(AND($L3284="Đã chuyển khoản",$M3284=""),"Thiếu ngày nhận CK; ",""))</f>
        <v/>
      </c>
      <c r="T3284" s="24" t="n"/>
    </row>
    <row r="3285" ht="14.25" customHeight="1" s="40">
      <c r="A3285" s="24" t="n"/>
      <c r="B3285" s="29" t="n"/>
      <c r="C3285" s="28" t="n"/>
      <c r="D3285" s="22">
        <f t="array" ref="D3285">IF($C3285="","",IFERROR(INDEX(DATA_MASTER!$C$2:$C$5000,MATCH($C3285,DATA_MASTER!$D$2:$D$5000,0)),""))</f>
        <v/>
      </c>
      <c r="E3285" s="22">
        <f t="array" ref="E3285">IF($C3285="","",IFERROR(INDEX(DATA_MASTER!$I$2:$I$5000,MATCH($C3285,DATA_MASTER!$D$2:$D$5000,0)),""))</f>
        <v/>
      </c>
      <c r="F3285" s="22">
        <f t="array" ref="F3285">IF($C3285="","",IFERROR(INDEX(DATA_MASTER!$L$2:$L$5000,MATCH($C3285,DATA_MASTER!$D$2:$D$5000,0)),""))</f>
        <v/>
      </c>
      <c r="G3285" s="24" t="n"/>
      <c r="H3285" s="24" t="n"/>
      <c r="I3285" s="30" t="n"/>
      <c r="J3285" s="23">
        <f>IF(OR($H3285="",$I3285=""),"",$H3285*$I3285)</f>
        <v/>
      </c>
      <c r="K3285" s="24" t="n"/>
      <c r="L3285" s="24" t="n"/>
      <c r="M3285" s="29" t="n"/>
      <c r="N3285" s="28" t="n"/>
      <c r="O3285" s="24" t="n"/>
      <c r="P3285" s="24" t="n"/>
      <c r="Q3285" s="24" t="n"/>
      <c r="R3285" s="24" t="n"/>
      <c r="S3285" s="22">
        <f>IF(AND($A3285="",$C3285=""),"",IF($A3285="","Thiếu mã đơn; ","")&amp;IF(COUNTIF($A$2:$A3285,$A3285)&gt;1,"Trùng mã đơn; ","")&amp;IF(ISNA(MATCH($C3285,DATA_MASTER!$D$2:$D$5000,0)),"SĐT chưa đăng ký hội viên; ","")&amp;IF(AND($L3285="Đã chuyển khoản",$M3285=""),"Thiếu ngày nhận CK; ",""))</f>
        <v/>
      </c>
      <c r="T3285" s="24" t="n"/>
    </row>
    <row r="3286" ht="14.25" customHeight="1" s="40">
      <c r="A3286" s="24" t="n"/>
      <c r="B3286" s="29" t="n"/>
      <c r="C3286" s="28" t="n"/>
      <c r="D3286" s="22">
        <f t="array" ref="D3286">IF($C3286="","",IFERROR(INDEX(DATA_MASTER!$C$2:$C$5000,MATCH($C3286,DATA_MASTER!$D$2:$D$5000,0)),""))</f>
        <v/>
      </c>
      <c r="E3286" s="22">
        <f t="array" ref="E3286">IF($C3286="","",IFERROR(INDEX(DATA_MASTER!$I$2:$I$5000,MATCH($C3286,DATA_MASTER!$D$2:$D$5000,0)),""))</f>
        <v/>
      </c>
      <c r="F3286" s="22">
        <f t="array" ref="F3286">IF($C3286="","",IFERROR(INDEX(DATA_MASTER!$L$2:$L$5000,MATCH($C3286,DATA_MASTER!$D$2:$D$5000,0)),""))</f>
        <v/>
      </c>
      <c r="G3286" s="24" t="n"/>
      <c r="H3286" s="24" t="n"/>
      <c r="I3286" s="30" t="n"/>
      <c r="J3286" s="23">
        <f>IF(OR($H3286="",$I3286=""),"",$H3286*$I3286)</f>
        <v/>
      </c>
      <c r="K3286" s="24" t="n"/>
      <c r="L3286" s="24" t="n"/>
      <c r="M3286" s="29" t="n"/>
      <c r="N3286" s="28" t="n"/>
      <c r="O3286" s="24" t="n"/>
      <c r="P3286" s="24" t="n"/>
      <c r="Q3286" s="24" t="n"/>
      <c r="R3286" s="24" t="n"/>
      <c r="S3286" s="22">
        <f>IF(AND($A3286="",$C3286=""),"",IF($A3286="","Thiếu mã đơn; ","")&amp;IF(COUNTIF($A$2:$A3286,$A3286)&gt;1,"Trùng mã đơn; ","")&amp;IF(ISNA(MATCH($C3286,DATA_MASTER!$D$2:$D$5000,0)),"SĐT chưa đăng ký hội viên; ","")&amp;IF(AND($L3286="Đã chuyển khoản",$M3286=""),"Thiếu ngày nhận CK; ",""))</f>
        <v/>
      </c>
      <c r="T3286" s="24" t="n"/>
    </row>
    <row r="3287" ht="14.25" customHeight="1" s="40">
      <c r="A3287" s="24" t="n"/>
      <c r="B3287" s="29" t="n"/>
      <c r="C3287" s="28" t="n"/>
      <c r="D3287" s="22">
        <f t="array" ref="D3287">IF($C3287="","",IFERROR(INDEX(DATA_MASTER!$C$2:$C$5000,MATCH($C3287,DATA_MASTER!$D$2:$D$5000,0)),""))</f>
        <v/>
      </c>
      <c r="E3287" s="22">
        <f t="array" ref="E3287">IF($C3287="","",IFERROR(INDEX(DATA_MASTER!$I$2:$I$5000,MATCH($C3287,DATA_MASTER!$D$2:$D$5000,0)),""))</f>
        <v/>
      </c>
      <c r="F3287" s="22">
        <f t="array" ref="F3287">IF($C3287="","",IFERROR(INDEX(DATA_MASTER!$L$2:$L$5000,MATCH($C3287,DATA_MASTER!$D$2:$D$5000,0)),""))</f>
        <v/>
      </c>
      <c r="G3287" s="24" t="n"/>
      <c r="H3287" s="24" t="n"/>
      <c r="I3287" s="30" t="n"/>
      <c r="J3287" s="23">
        <f>IF(OR($H3287="",$I3287=""),"",$H3287*$I3287)</f>
        <v/>
      </c>
      <c r="K3287" s="24" t="n"/>
      <c r="L3287" s="24" t="n"/>
      <c r="M3287" s="29" t="n"/>
      <c r="N3287" s="28" t="n"/>
      <c r="O3287" s="24" t="n"/>
      <c r="P3287" s="24" t="n"/>
      <c r="Q3287" s="24" t="n"/>
      <c r="R3287" s="24" t="n"/>
      <c r="S3287" s="22">
        <f>IF(AND($A3287="",$C3287=""),"",IF($A3287="","Thiếu mã đơn; ","")&amp;IF(COUNTIF($A$2:$A3287,$A3287)&gt;1,"Trùng mã đơn; ","")&amp;IF(ISNA(MATCH($C3287,DATA_MASTER!$D$2:$D$5000,0)),"SĐT chưa đăng ký hội viên; ","")&amp;IF(AND($L3287="Đã chuyển khoản",$M3287=""),"Thiếu ngày nhận CK; ",""))</f>
        <v/>
      </c>
      <c r="T3287" s="24" t="n"/>
    </row>
    <row r="3288" ht="14.25" customHeight="1" s="40">
      <c r="A3288" s="24" t="n"/>
      <c r="B3288" s="29" t="n"/>
      <c r="C3288" s="28" t="n"/>
      <c r="D3288" s="22">
        <f t="array" ref="D3288">IF($C3288="","",IFERROR(INDEX(DATA_MASTER!$C$2:$C$5000,MATCH($C3288,DATA_MASTER!$D$2:$D$5000,0)),""))</f>
        <v/>
      </c>
      <c r="E3288" s="22">
        <f t="array" ref="E3288">IF($C3288="","",IFERROR(INDEX(DATA_MASTER!$I$2:$I$5000,MATCH($C3288,DATA_MASTER!$D$2:$D$5000,0)),""))</f>
        <v/>
      </c>
      <c r="F3288" s="22">
        <f t="array" ref="F3288">IF($C3288="","",IFERROR(INDEX(DATA_MASTER!$L$2:$L$5000,MATCH($C3288,DATA_MASTER!$D$2:$D$5000,0)),""))</f>
        <v/>
      </c>
      <c r="G3288" s="24" t="n"/>
      <c r="H3288" s="24" t="n"/>
      <c r="I3288" s="30" t="n"/>
      <c r="J3288" s="23">
        <f>IF(OR($H3288="",$I3288=""),"",$H3288*$I3288)</f>
        <v/>
      </c>
      <c r="K3288" s="24" t="n"/>
      <c r="L3288" s="24" t="n"/>
      <c r="M3288" s="29" t="n"/>
      <c r="N3288" s="28" t="n"/>
      <c r="O3288" s="24" t="n"/>
      <c r="P3288" s="24" t="n"/>
      <c r="Q3288" s="24" t="n"/>
      <c r="R3288" s="24" t="n"/>
      <c r="S3288" s="22">
        <f>IF(AND($A3288="",$C3288=""),"",IF($A3288="","Thiếu mã đơn; ","")&amp;IF(COUNTIF($A$2:$A3288,$A3288)&gt;1,"Trùng mã đơn; ","")&amp;IF(ISNA(MATCH($C3288,DATA_MASTER!$D$2:$D$5000,0)),"SĐT chưa đăng ký hội viên; ","")&amp;IF(AND($L3288="Đã chuyển khoản",$M3288=""),"Thiếu ngày nhận CK; ",""))</f>
        <v/>
      </c>
      <c r="T3288" s="24" t="n"/>
    </row>
    <row r="3289" ht="14.25" customHeight="1" s="40">
      <c r="A3289" s="24" t="n"/>
      <c r="B3289" s="29" t="n"/>
      <c r="C3289" s="28" t="n"/>
      <c r="D3289" s="22">
        <f t="array" ref="D3289">IF($C3289="","",IFERROR(INDEX(DATA_MASTER!$C$2:$C$5000,MATCH($C3289,DATA_MASTER!$D$2:$D$5000,0)),""))</f>
        <v/>
      </c>
      <c r="E3289" s="22">
        <f t="array" ref="E3289">IF($C3289="","",IFERROR(INDEX(DATA_MASTER!$I$2:$I$5000,MATCH($C3289,DATA_MASTER!$D$2:$D$5000,0)),""))</f>
        <v/>
      </c>
      <c r="F3289" s="22">
        <f t="array" ref="F3289">IF($C3289="","",IFERROR(INDEX(DATA_MASTER!$L$2:$L$5000,MATCH($C3289,DATA_MASTER!$D$2:$D$5000,0)),""))</f>
        <v/>
      </c>
      <c r="G3289" s="24" t="n"/>
      <c r="H3289" s="24" t="n"/>
      <c r="I3289" s="30" t="n"/>
      <c r="J3289" s="23">
        <f>IF(OR($H3289="",$I3289=""),"",$H3289*$I3289)</f>
        <v/>
      </c>
      <c r="K3289" s="24" t="n"/>
      <c r="L3289" s="24" t="n"/>
      <c r="M3289" s="29" t="n"/>
      <c r="N3289" s="28" t="n"/>
      <c r="O3289" s="24" t="n"/>
      <c r="P3289" s="24" t="n"/>
      <c r="Q3289" s="24" t="n"/>
      <c r="R3289" s="24" t="n"/>
      <c r="S3289" s="22">
        <f>IF(AND($A3289="",$C3289=""),"",IF($A3289="","Thiếu mã đơn; ","")&amp;IF(COUNTIF($A$2:$A3289,$A3289)&gt;1,"Trùng mã đơn; ","")&amp;IF(ISNA(MATCH($C3289,DATA_MASTER!$D$2:$D$5000,0)),"SĐT chưa đăng ký hội viên; ","")&amp;IF(AND($L3289="Đã chuyển khoản",$M3289=""),"Thiếu ngày nhận CK; ",""))</f>
        <v/>
      </c>
      <c r="T3289" s="24" t="n"/>
    </row>
    <row r="3290" ht="14.25" customHeight="1" s="40">
      <c r="A3290" s="24" t="n"/>
      <c r="B3290" s="29" t="n"/>
      <c r="C3290" s="28" t="n"/>
      <c r="D3290" s="22">
        <f t="array" ref="D3290">IF($C3290="","",IFERROR(INDEX(DATA_MASTER!$C$2:$C$5000,MATCH($C3290,DATA_MASTER!$D$2:$D$5000,0)),""))</f>
        <v/>
      </c>
      <c r="E3290" s="22">
        <f t="array" ref="E3290">IF($C3290="","",IFERROR(INDEX(DATA_MASTER!$I$2:$I$5000,MATCH($C3290,DATA_MASTER!$D$2:$D$5000,0)),""))</f>
        <v/>
      </c>
      <c r="F3290" s="22">
        <f t="array" ref="F3290">IF($C3290="","",IFERROR(INDEX(DATA_MASTER!$L$2:$L$5000,MATCH($C3290,DATA_MASTER!$D$2:$D$5000,0)),""))</f>
        <v/>
      </c>
      <c r="G3290" s="24" t="n"/>
      <c r="H3290" s="24" t="n"/>
      <c r="I3290" s="30" t="n"/>
      <c r="J3290" s="23">
        <f>IF(OR($H3290="",$I3290=""),"",$H3290*$I3290)</f>
        <v/>
      </c>
      <c r="K3290" s="24" t="n"/>
      <c r="L3290" s="24" t="n"/>
      <c r="M3290" s="29" t="n"/>
      <c r="N3290" s="28" t="n"/>
      <c r="O3290" s="24" t="n"/>
      <c r="P3290" s="24" t="n"/>
      <c r="Q3290" s="24" t="n"/>
      <c r="R3290" s="24" t="n"/>
      <c r="S3290" s="22">
        <f>IF(AND($A3290="",$C3290=""),"",IF($A3290="","Thiếu mã đơn; ","")&amp;IF(COUNTIF($A$2:$A3290,$A3290)&gt;1,"Trùng mã đơn; ","")&amp;IF(ISNA(MATCH($C3290,DATA_MASTER!$D$2:$D$5000,0)),"SĐT chưa đăng ký hội viên; ","")&amp;IF(AND($L3290="Đã chuyển khoản",$M3290=""),"Thiếu ngày nhận CK; ",""))</f>
        <v/>
      </c>
      <c r="T3290" s="24" t="n"/>
    </row>
    <row r="3291" ht="14.25" customHeight="1" s="40">
      <c r="A3291" s="24" t="n"/>
      <c r="B3291" s="29" t="n"/>
      <c r="C3291" s="28" t="n"/>
      <c r="D3291" s="22">
        <f t="array" ref="D3291">IF($C3291="","",IFERROR(INDEX(DATA_MASTER!$C$2:$C$5000,MATCH($C3291,DATA_MASTER!$D$2:$D$5000,0)),""))</f>
        <v/>
      </c>
      <c r="E3291" s="22">
        <f t="array" ref="E3291">IF($C3291="","",IFERROR(INDEX(DATA_MASTER!$I$2:$I$5000,MATCH($C3291,DATA_MASTER!$D$2:$D$5000,0)),""))</f>
        <v/>
      </c>
      <c r="F3291" s="22">
        <f t="array" ref="F3291">IF($C3291="","",IFERROR(INDEX(DATA_MASTER!$L$2:$L$5000,MATCH($C3291,DATA_MASTER!$D$2:$D$5000,0)),""))</f>
        <v/>
      </c>
      <c r="G3291" s="24" t="n"/>
      <c r="H3291" s="24" t="n"/>
      <c r="I3291" s="30" t="n"/>
      <c r="J3291" s="23">
        <f>IF(OR($H3291="",$I3291=""),"",$H3291*$I3291)</f>
        <v/>
      </c>
      <c r="K3291" s="24" t="n"/>
      <c r="L3291" s="24" t="n"/>
      <c r="M3291" s="29" t="n"/>
      <c r="N3291" s="28" t="n"/>
      <c r="O3291" s="24" t="n"/>
      <c r="P3291" s="24" t="n"/>
      <c r="Q3291" s="24" t="n"/>
      <c r="R3291" s="24" t="n"/>
      <c r="S3291" s="22">
        <f>IF(AND($A3291="",$C3291=""),"",IF($A3291="","Thiếu mã đơn; ","")&amp;IF(COUNTIF($A$2:$A3291,$A3291)&gt;1,"Trùng mã đơn; ","")&amp;IF(ISNA(MATCH($C3291,DATA_MASTER!$D$2:$D$5000,0)),"SĐT chưa đăng ký hội viên; ","")&amp;IF(AND($L3291="Đã chuyển khoản",$M3291=""),"Thiếu ngày nhận CK; ",""))</f>
        <v/>
      </c>
      <c r="T3291" s="24" t="n"/>
    </row>
    <row r="3292" ht="14.25" customHeight="1" s="40">
      <c r="A3292" s="24" t="n"/>
      <c r="B3292" s="29" t="n"/>
      <c r="C3292" s="28" t="n"/>
      <c r="D3292" s="22">
        <f t="array" ref="D3292">IF($C3292="","",IFERROR(INDEX(DATA_MASTER!$C$2:$C$5000,MATCH($C3292,DATA_MASTER!$D$2:$D$5000,0)),""))</f>
        <v/>
      </c>
      <c r="E3292" s="22">
        <f t="array" ref="E3292">IF($C3292="","",IFERROR(INDEX(DATA_MASTER!$I$2:$I$5000,MATCH($C3292,DATA_MASTER!$D$2:$D$5000,0)),""))</f>
        <v/>
      </c>
      <c r="F3292" s="22">
        <f t="array" ref="F3292">IF($C3292="","",IFERROR(INDEX(DATA_MASTER!$L$2:$L$5000,MATCH($C3292,DATA_MASTER!$D$2:$D$5000,0)),""))</f>
        <v/>
      </c>
      <c r="G3292" s="24" t="n"/>
      <c r="H3292" s="24" t="n"/>
      <c r="I3292" s="30" t="n"/>
      <c r="J3292" s="23">
        <f>IF(OR($H3292="",$I3292=""),"",$H3292*$I3292)</f>
        <v/>
      </c>
      <c r="K3292" s="24" t="n"/>
      <c r="L3292" s="24" t="n"/>
      <c r="M3292" s="29" t="n"/>
      <c r="N3292" s="28" t="n"/>
      <c r="O3292" s="24" t="n"/>
      <c r="P3292" s="24" t="n"/>
      <c r="Q3292" s="24" t="n"/>
      <c r="R3292" s="24" t="n"/>
      <c r="S3292" s="22">
        <f>IF(AND($A3292="",$C3292=""),"",IF($A3292="","Thiếu mã đơn; ","")&amp;IF(COUNTIF($A$2:$A3292,$A3292)&gt;1,"Trùng mã đơn; ","")&amp;IF(ISNA(MATCH($C3292,DATA_MASTER!$D$2:$D$5000,0)),"SĐT chưa đăng ký hội viên; ","")&amp;IF(AND($L3292="Đã chuyển khoản",$M3292=""),"Thiếu ngày nhận CK; ",""))</f>
        <v/>
      </c>
      <c r="T3292" s="24" t="n"/>
    </row>
    <row r="3293" ht="14.25" customHeight="1" s="40">
      <c r="A3293" s="24" t="n"/>
      <c r="B3293" s="29" t="n"/>
      <c r="C3293" s="28" t="n"/>
      <c r="D3293" s="22">
        <f t="array" ref="D3293">IF($C3293="","",IFERROR(INDEX(DATA_MASTER!$C$2:$C$5000,MATCH($C3293,DATA_MASTER!$D$2:$D$5000,0)),""))</f>
        <v/>
      </c>
      <c r="E3293" s="22">
        <f t="array" ref="E3293">IF($C3293="","",IFERROR(INDEX(DATA_MASTER!$I$2:$I$5000,MATCH($C3293,DATA_MASTER!$D$2:$D$5000,0)),""))</f>
        <v/>
      </c>
      <c r="F3293" s="22">
        <f t="array" ref="F3293">IF($C3293="","",IFERROR(INDEX(DATA_MASTER!$L$2:$L$5000,MATCH($C3293,DATA_MASTER!$D$2:$D$5000,0)),""))</f>
        <v/>
      </c>
      <c r="G3293" s="24" t="n"/>
      <c r="H3293" s="24" t="n"/>
      <c r="I3293" s="30" t="n"/>
      <c r="J3293" s="23">
        <f>IF(OR($H3293="",$I3293=""),"",$H3293*$I3293)</f>
        <v/>
      </c>
      <c r="K3293" s="24" t="n"/>
      <c r="L3293" s="24" t="n"/>
      <c r="M3293" s="29" t="n"/>
      <c r="N3293" s="28" t="n"/>
      <c r="O3293" s="24" t="n"/>
      <c r="P3293" s="24" t="n"/>
      <c r="Q3293" s="24" t="n"/>
      <c r="R3293" s="24" t="n"/>
      <c r="S3293" s="22">
        <f>IF(AND($A3293="",$C3293=""),"",IF($A3293="","Thiếu mã đơn; ","")&amp;IF(COUNTIF($A$2:$A3293,$A3293)&gt;1,"Trùng mã đơn; ","")&amp;IF(ISNA(MATCH($C3293,DATA_MASTER!$D$2:$D$5000,0)),"SĐT chưa đăng ký hội viên; ","")&amp;IF(AND($L3293="Đã chuyển khoản",$M3293=""),"Thiếu ngày nhận CK; ",""))</f>
        <v/>
      </c>
      <c r="T3293" s="24" t="n"/>
    </row>
    <row r="3294" ht="14.25" customHeight="1" s="40">
      <c r="A3294" s="24" t="n"/>
      <c r="B3294" s="29" t="n"/>
      <c r="C3294" s="28" t="n"/>
      <c r="D3294" s="22">
        <f t="array" ref="D3294">IF($C3294="","",IFERROR(INDEX(DATA_MASTER!$C$2:$C$5000,MATCH($C3294,DATA_MASTER!$D$2:$D$5000,0)),""))</f>
        <v/>
      </c>
      <c r="E3294" s="22">
        <f t="array" ref="E3294">IF($C3294="","",IFERROR(INDEX(DATA_MASTER!$I$2:$I$5000,MATCH($C3294,DATA_MASTER!$D$2:$D$5000,0)),""))</f>
        <v/>
      </c>
      <c r="F3294" s="22">
        <f t="array" ref="F3294">IF($C3294="","",IFERROR(INDEX(DATA_MASTER!$L$2:$L$5000,MATCH($C3294,DATA_MASTER!$D$2:$D$5000,0)),""))</f>
        <v/>
      </c>
      <c r="G3294" s="24" t="n"/>
      <c r="H3294" s="24" t="n"/>
      <c r="I3294" s="30" t="n"/>
      <c r="J3294" s="23">
        <f>IF(OR($H3294="",$I3294=""),"",$H3294*$I3294)</f>
        <v/>
      </c>
      <c r="K3294" s="24" t="n"/>
      <c r="L3294" s="24" t="n"/>
      <c r="M3294" s="29" t="n"/>
      <c r="N3294" s="28" t="n"/>
      <c r="O3294" s="24" t="n"/>
      <c r="P3294" s="24" t="n"/>
      <c r="Q3294" s="24" t="n"/>
      <c r="R3294" s="24" t="n"/>
      <c r="S3294" s="22">
        <f>IF(AND($A3294="",$C3294=""),"",IF($A3294="","Thiếu mã đơn; ","")&amp;IF(COUNTIF($A$2:$A3294,$A3294)&gt;1,"Trùng mã đơn; ","")&amp;IF(ISNA(MATCH($C3294,DATA_MASTER!$D$2:$D$5000,0)),"SĐT chưa đăng ký hội viên; ","")&amp;IF(AND($L3294="Đã chuyển khoản",$M3294=""),"Thiếu ngày nhận CK; ",""))</f>
        <v/>
      </c>
      <c r="T3294" s="24" t="n"/>
    </row>
    <row r="3295" ht="14.25" customHeight="1" s="40">
      <c r="A3295" s="24" t="n"/>
      <c r="B3295" s="29" t="n"/>
      <c r="C3295" s="28" t="n"/>
      <c r="D3295" s="22">
        <f t="array" ref="D3295">IF($C3295="","",IFERROR(INDEX(DATA_MASTER!$C$2:$C$5000,MATCH($C3295,DATA_MASTER!$D$2:$D$5000,0)),""))</f>
        <v/>
      </c>
      <c r="E3295" s="22">
        <f t="array" ref="E3295">IF($C3295="","",IFERROR(INDEX(DATA_MASTER!$I$2:$I$5000,MATCH($C3295,DATA_MASTER!$D$2:$D$5000,0)),""))</f>
        <v/>
      </c>
      <c r="F3295" s="22">
        <f t="array" ref="F3295">IF($C3295="","",IFERROR(INDEX(DATA_MASTER!$L$2:$L$5000,MATCH($C3295,DATA_MASTER!$D$2:$D$5000,0)),""))</f>
        <v/>
      </c>
      <c r="G3295" s="24" t="n"/>
      <c r="H3295" s="24" t="n"/>
      <c r="I3295" s="30" t="n"/>
      <c r="J3295" s="23">
        <f>IF(OR($H3295="",$I3295=""),"",$H3295*$I3295)</f>
        <v/>
      </c>
      <c r="K3295" s="24" t="n"/>
      <c r="L3295" s="24" t="n"/>
      <c r="M3295" s="29" t="n"/>
      <c r="N3295" s="28" t="n"/>
      <c r="O3295" s="24" t="n"/>
      <c r="P3295" s="24" t="n"/>
      <c r="Q3295" s="24" t="n"/>
      <c r="R3295" s="24" t="n"/>
      <c r="S3295" s="22">
        <f>IF(AND($A3295="",$C3295=""),"",IF($A3295="","Thiếu mã đơn; ","")&amp;IF(COUNTIF($A$2:$A3295,$A3295)&gt;1,"Trùng mã đơn; ","")&amp;IF(ISNA(MATCH($C3295,DATA_MASTER!$D$2:$D$5000,0)),"SĐT chưa đăng ký hội viên; ","")&amp;IF(AND($L3295="Đã chuyển khoản",$M3295=""),"Thiếu ngày nhận CK; ",""))</f>
        <v/>
      </c>
      <c r="T3295" s="24" t="n"/>
    </row>
    <row r="3296" ht="14.25" customHeight="1" s="40">
      <c r="A3296" s="24" t="n"/>
      <c r="B3296" s="29" t="n"/>
      <c r="C3296" s="28" t="n"/>
      <c r="D3296" s="22">
        <f t="array" ref="D3296">IF($C3296="","",IFERROR(INDEX(DATA_MASTER!$C$2:$C$5000,MATCH($C3296,DATA_MASTER!$D$2:$D$5000,0)),""))</f>
        <v/>
      </c>
      <c r="E3296" s="22">
        <f t="array" ref="E3296">IF($C3296="","",IFERROR(INDEX(DATA_MASTER!$I$2:$I$5000,MATCH($C3296,DATA_MASTER!$D$2:$D$5000,0)),""))</f>
        <v/>
      </c>
      <c r="F3296" s="22">
        <f t="array" ref="F3296">IF($C3296="","",IFERROR(INDEX(DATA_MASTER!$L$2:$L$5000,MATCH($C3296,DATA_MASTER!$D$2:$D$5000,0)),""))</f>
        <v/>
      </c>
      <c r="G3296" s="24" t="n"/>
      <c r="H3296" s="24" t="n"/>
      <c r="I3296" s="30" t="n"/>
      <c r="J3296" s="23">
        <f>IF(OR($H3296="",$I3296=""),"",$H3296*$I3296)</f>
        <v/>
      </c>
      <c r="K3296" s="24" t="n"/>
      <c r="L3296" s="24" t="n"/>
      <c r="M3296" s="29" t="n"/>
      <c r="N3296" s="28" t="n"/>
      <c r="O3296" s="24" t="n"/>
      <c r="P3296" s="24" t="n"/>
      <c r="Q3296" s="24" t="n"/>
      <c r="R3296" s="24" t="n"/>
      <c r="S3296" s="22">
        <f>IF(AND($A3296="",$C3296=""),"",IF($A3296="","Thiếu mã đơn; ","")&amp;IF(COUNTIF($A$2:$A3296,$A3296)&gt;1,"Trùng mã đơn; ","")&amp;IF(ISNA(MATCH($C3296,DATA_MASTER!$D$2:$D$5000,0)),"SĐT chưa đăng ký hội viên; ","")&amp;IF(AND($L3296="Đã chuyển khoản",$M3296=""),"Thiếu ngày nhận CK; ",""))</f>
        <v/>
      </c>
      <c r="T3296" s="24" t="n"/>
    </row>
    <row r="3297" ht="14.25" customHeight="1" s="40">
      <c r="A3297" s="24" t="n"/>
      <c r="B3297" s="29" t="n"/>
      <c r="C3297" s="28" t="n"/>
      <c r="D3297" s="22">
        <f t="array" ref="D3297">IF($C3297="","",IFERROR(INDEX(DATA_MASTER!$C$2:$C$5000,MATCH($C3297,DATA_MASTER!$D$2:$D$5000,0)),""))</f>
        <v/>
      </c>
      <c r="E3297" s="22">
        <f t="array" ref="E3297">IF($C3297="","",IFERROR(INDEX(DATA_MASTER!$I$2:$I$5000,MATCH($C3297,DATA_MASTER!$D$2:$D$5000,0)),""))</f>
        <v/>
      </c>
      <c r="F3297" s="22">
        <f t="array" ref="F3297">IF($C3297="","",IFERROR(INDEX(DATA_MASTER!$L$2:$L$5000,MATCH($C3297,DATA_MASTER!$D$2:$D$5000,0)),""))</f>
        <v/>
      </c>
      <c r="G3297" s="24" t="n"/>
      <c r="H3297" s="24" t="n"/>
      <c r="I3297" s="30" t="n"/>
      <c r="J3297" s="23">
        <f>IF(OR($H3297="",$I3297=""),"",$H3297*$I3297)</f>
        <v/>
      </c>
      <c r="K3297" s="24" t="n"/>
      <c r="L3297" s="24" t="n"/>
      <c r="M3297" s="29" t="n"/>
      <c r="N3297" s="28" t="n"/>
      <c r="O3297" s="24" t="n"/>
      <c r="P3297" s="24" t="n"/>
      <c r="Q3297" s="24" t="n"/>
      <c r="R3297" s="24" t="n"/>
      <c r="S3297" s="22">
        <f>IF(AND($A3297="",$C3297=""),"",IF($A3297="","Thiếu mã đơn; ","")&amp;IF(COUNTIF($A$2:$A3297,$A3297)&gt;1,"Trùng mã đơn; ","")&amp;IF(ISNA(MATCH($C3297,DATA_MASTER!$D$2:$D$5000,0)),"SĐT chưa đăng ký hội viên; ","")&amp;IF(AND($L3297="Đã chuyển khoản",$M3297=""),"Thiếu ngày nhận CK; ",""))</f>
        <v/>
      </c>
      <c r="T3297" s="24" t="n"/>
    </row>
    <row r="3298" ht="14.25" customHeight="1" s="40">
      <c r="A3298" s="24" t="n"/>
      <c r="B3298" s="29" t="n"/>
      <c r="C3298" s="28" t="n"/>
      <c r="D3298" s="22">
        <f t="array" ref="D3298">IF($C3298="","",IFERROR(INDEX(DATA_MASTER!$C$2:$C$5000,MATCH($C3298,DATA_MASTER!$D$2:$D$5000,0)),""))</f>
        <v/>
      </c>
      <c r="E3298" s="22">
        <f t="array" ref="E3298">IF($C3298="","",IFERROR(INDEX(DATA_MASTER!$I$2:$I$5000,MATCH($C3298,DATA_MASTER!$D$2:$D$5000,0)),""))</f>
        <v/>
      </c>
      <c r="F3298" s="22">
        <f t="array" ref="F3298">IF($C3298="","",IFERROR(INDEX(DATA_MASTER!$L$2:$L$5000,MATCH($C3298,DATA_MASTER!$D$2:$D$5000,0)),""))</f>
        <v/>
      </c>
      <c r="G3298" s="24" t="n"/>
      <c r="H3298" s="24" t="n"/>
      <c r="I3298" s="30" t="n"/>
      <c r="J3298" s="23">
        <f>IF(OR($H3298="",$I3298=""),"",$H3298*$I3298)</f>
        <v/>
      </c>
      <c r="K3298" s="24" t="n"/>
      <c r="L3298" s="24" t="n"/>
      <c r="M3298" s="29" t="n"/>
      <c r="N3298" s="28" t="n"/>
      <c r="O3298" s="24" t="n"/>
      <c r="P3298" s="24" t="n"/>
      <c r="Q3298" s="24" t="n"/>
      <c r="R3298" s="24" t="n"/>
      <c r="S3298" s="22">
        <f>IF(AND($A3298="",$C3298=""),"",IF($A3298="","Thiếu mã đơn; ","")&amp;IF(COUNTIF($A$2:$A3298,$A3298)&gt;1,"Trùng mã đơn; ","")&amp;IF(ISNA(MATCH($C3298,DATA_MASTER!$D$2:$D$5000,0)),"SĐT chưa đăng ký hội viên; ","")&amp;IF(AND($L3298="Đã chuyển khoản",$M3298=""),"Thiếu ngày nhận CK; ",""))</f>
        <v/>
      </c>
      <c r="T3298" s="24" t="n"/>
    </row>
    <row r="3299" ht="14.25" customHeight="1" s="40">
      <c r="A3299" s="24" t="n"/>
      <c r="B3299" s="29" t="n"/>
      <c r="C3299" s="28" t="n"/>
      <c r="D3299" s="22">
        <f t="array" ref="D3299">IF($C3299="","",IFERROR(INDEX(DATA_MASTER!$C$2:$C$5000,MATCH($C3299,DATA_MASTER!$D$2:$D$5000,0)),""))</f>
        <v/>
      </c>
      <c r="E3299" s="22">
        <f t="array" ref="E3299">IF($C3299="","",IFERROR(INDEX(DATA_MASTER!$I$2:$I$5000,MATCH($C3299,DATA_MASTER!$D$2:$D$5000,0)),""))</f>
        <v/>
      </c>
      <c r="F3299" s="22">
        <f t="array" ref="F3299">IF($C3299="","",IFERROR(INDEX(DATA_MASTER!$L$2:$L$5000,MATCH($C3299,DATA_MASTER!$D$2:$D$5000,0)),""))</f>
        <v/>
      </c>
      <c r="G3299" s="24" t="n"/>
      <c r="H3299" s="24" t="n"/>
      <c r="I3299" s="30" t="n"/>
      <c r="J3299" s="23">
        <f>IF(OR($H3299="",$I3299=""),"",$H3299*$I3299)</f>
        <v/>
      </c>
      <c r="K3299" s="24" t="n"/>
      <c r="L3299" s="24" t="n"/>
      <c r="M3299" s="29" t="n"/>
      <c r="N3299" s="28" t="n"/>
      <c r="O3299" s="24" t="n"/>
      <c r="P3299" s="24" t="n"/>
      <c r="Q3299" s="24" t="n"/>
      <c r="R3299" s="24" t="n"/>
      <c r="S3299" s="22">
        <f>IF(AND($A3299="",$C3299=""),"",IF($A3299="","Thiếu mã đơn; ","")&amp;IF(COUNTIF($A$2:$A3299,$A3299)&gt;1,"Trùng mã đơn; ","")&amp;IF(ISNA(MATCH($C3299,DATA_MASTER!$D$2:$D$5000,0)),"SĐT chưa đăng ký hội viên; ","")&amp;IF(AND($L3299="Đã chuyển khoản",$M3299=""),"Thiếu ngày nhận CK; ",""))</f>
        <v/>
      </c>
      <c r="T3299" s="24" t="n"/>
    </row>
    <row r="3300" ht="14.25" customHeight="1" s="40">
      <c r="A3300" s="24" t="n"/>
      <c r="B3300" s="29" t="n"/>
      <c r="C3300" s="28" t="n"/>
      <c r="D3300" s="22">
        <f t="array" ref="D3300">IF($C3300="","",IFERROR(INDEX(DATA_MASTER!$C$2:$C$5000,MATCH($C3300,DATA_MASTER!$D$2:$D$5000,0)),""))</f>
        <v/>
      </c>
      <c r="E3300" s="22">
        <f t="array" ref="E3300">IF($C3300="","",IFERROR(INDEX(DATA_MASTER!$I$2:$I$5000,MATCH($C3300,DATA_MASTER!$D$2:$D$5000,0)),""))</f>
        <v/>
      </c>
      <c r="F3300" s="22">
        <f t="array" ref="F3300">IF($C3300="","",IFERROR(INDEX(DATA_MASTER!$L$2:$L$5000,MATCH($C3300,DATA_MASTER!$D$2:$D$5000,0)),""))</f>
        <v/>
      </c>
      <c r="G3300" s="24" t="n"/>
      <c r="H3300" s="24" t="n"/>
      <c r="I3300" s="30" t="n"/>
      <c r="J3300" s="23">
        <f>IF(OR($H3300="",$I3300=""),"",$H3300*$I3300)</f>
        <v/>
      </c>
      <c r="K3300" s="24" t="n"/>
      <c r="L3300" s="24" t="n"/>
      <c r="M3300" s="29" t="n"/>
      <c r="N3300" s="28" t="n"/>
      <c r="O3300" s="24" t="n"/>
      <c r="P3300" s="24" t="n"/>
      <c r="Q3300" s="24" t="n"/>
      <c r="R3300" s="24" t="n"/>
      <c r="S3300" s="22">
        <f>IF(AND($A3300="",$C3300=""),"",IF($A3300="","Thiếu mã đơn; ","")&amp;IF(COUNTIF($A$2:$A3300,$A3300)&gt;1,"Trùng mã đơn; ","")&amp;IF(ISNA(MATCH($C3300,DATA_MASTER!$D$2:$D$5000,0)),"SĐT chưa đăng ký hội viên; ","")&amp;IF(AND($L3300="Đã chuyển khoản",$M3300=""),"Thiếu ngày nhận CK; ",""))</f>
        <v/>
      </c>
      <c r="T3300" s="24" t="n"/>
    </row>
    <row r="3301" ht="14.25" customHeight="1" s="40">
      <c r="A3301" s="24" t="n"/>
      <c r="B3301" s="29" t="n"/>
      <c r="C3301" s="28" t="n"/>
      <c r="D3301" s="22">
        <f t="array" ref="D3301">IF($C3301="","",IFERROR(INDEX(DATA_MASTER!$C$2:$C$5000,MATCH($C3301,DATA_MASTER!$D$2:$D$5000,0)),""))</f>
        <v/>
      </c>
      <c r="E3301" s="22">
        <f t="array" ref="E3301">IF($C3301="","",IFERROR(INDEX(DATA_MASTER!$I$2:$I$5000,MATCH($C3301,DATA_MASTER!$D$2:$D$5000,0)),""))</f>
        <v/>
      </c>
      <c r="F3301" s="22">
        <f t="array" ref="F3301">IF($C3301="","",IFERROR(INDEX(DATA_MASTER!$L$2:$L$5000,MATCH($C3301,DATA_MASTER!$D$2:$D$5000,0)),""))</f>
        <v/>
      </c>
      <c r="G3301" s="24" t="n"/>
      <c r="H3301" s="24" t="n"/>
      <c r="I3301" s="30" t="n"/>
      <c r="J3301" s="23">
        <f>IF(OR($H3301="",$I3301=""),"",$H3301*$I3301)</f>
        <v/>
      </c>
      <c r="K3301" s="24" t="n"/>
      <c r="L3301" s="24" t="n"/>
      <c r="M3301" s="29" t="n"/>
      <c r="N3301" s="28" t="n"/>
      <c r="O3301" s="24" t="n"/>
      <c r="P3301" s="24" t="n"/>
      <c r="Q3301" s="24" t="n"/>
      <c r="R3301" s="24" t="n"/>
      <c r="S3301" s="22">
        <f>IF(AND($A3301="",$C3301=""),"",IF($A3301="","Thiếu mã đơn; ","")&amp;IF(COUNTIF($A$2:$A3301,$A3301)&gt;1,"Trùng mã đơn; ","")&amp;IF(ISNA(MATCH($C3301,DATA_MASTER!$D$2:$D$5000,0)),"SĐT chưa đăng ký hội viên; ","")&amp;IF(AND($L3301="Đã chuyển khoản",$M3301=""),"Thiếu ngày nhận CK; ",""))</f>
        <v/>
      </c>
      <c r="T3301" s="24" t="n"/>
    </row>
    <row r="3302" ht="14.25" customHeight="1" s="40">
      <c r="A3302" s="24" t="n"/>
      <c r="B3302" s="29" t="n"/>
      <c r="C3302" s="28" t="n"/>
      <c r="D3302" s="22">
        <f t="array" ref="D3302">IF($C3302="","",IFERROR(INDEX(DATA_MASTER!$C$2:$C$5000,MATCH($C3302,DATA_MASTER!$D$2:$D$5000,0)),""))</f>
        <v/>
      </c>
      <c r="E3302" s="22">
        <f t="array" ref="E3302">IF($C3302="","",IFERROR(INDEX(DATA_MASTER!$I$2:$I$5000,MATCH($C3302,DATA_MASTER!$D$2:$D$5000,0)),""))</f>
        <v/>
      </c>
      <c r="F3302" s="22">
        <f t="array" ref="F3302">IF($C3302="","",IFERROR(INDEX(DATA_MASTER!$L$2:$L$5000,MATCH($C3302,DATA_MASTER!$D$2:$D$5000,0)),""))</f>
        <v/>
      </c>
      <c r="G3302" s="24" t="n"/>
      <c r="H3302" s="24" t="n"/>
      <c r="I3302" s="30" t="n"/>
      <c r="J3302" s="23">
        <f>IF(OR($H3302="",$I3302=""),"",$H3302*$I3302)</f>
        <v/>
      </c>
      <c r="K3302" s="24" t="n"/>
      <c r="L3302" s="24" t="n"/>
      <c r="M3302" s="29" t="n"/>
      <c r="N3302" s="28" t="n"/>
      <c r="O3302" s="24" t="n"/>
      <c r="P3302" s="24" t="n"/>
      <c r="Q3302" s="24" t="n"/>
      <c r="R3302" s="24" t="n"/>
      <c r="S3302" s="22">
        <f>IF(AND($A3302="",$C3302=""),"",IF($A3302="","Thiếu mã đơn; ","")&amp;IF(COUNTIF($A$2:$A3302,$A3302)&gt;1,"Trùng mã đơn; ","")&amp;IF(ISNA(MATCH($C3302,DATA_MASTER!$D$2:$D$5000,0)),"SĐT chưa đăng ký hội viên; ","")&amp;IF(AND($L3302="Đã chuyển khoản",$M3302=""),"Thiếu ngày nhận CK; ",""))</f>
        <v/>
      </c>
      <c r="T3302" s="24" t="n"/>
    </row>
    <row r="3303" ht="14.25" customHeight="1" s="40">
      <c r="A3303" s="24" t="n"/>
      <c r="B3303" s="29" t="n"/>
      <c r="C3303" s="28" t="n"/>
      <c r="D3303" s="22">
        <f t="array" ref="D3303">IF($C3303="","",IFERROR(INDEX(DATA_MASTER!$C$2:$C$5000,MATCH($C3303,DATA_MASTER!$D$2:$D$5000,0)),""))</f>
        <v/>
      </c>
      <c r="E3303" s="22">
        <f t="array" ref="E3303">IF($C3303="","",IFERROR(INDEX(DATA_MASTER!$I$2:$I$5000,MATCH($C3303,DATA_MASTER!$D$2:$D$5000,0)),""))</f>
        <v/>
      </c>
      <c r="F3303" s="22">
        <f t="array" ref="F3303">IF($C3303="","",IFERROR(INDEX(DATA_MASTER!$L$2:$L$5000,MATCH($C3303,DATA_MASTER!$D$2:$D$5000,0)),""))</f>
        <v/>
      </c>
      <c r="G3303" s="24" t="n"/>
      <c r="H3303" s="24" t="n"/>
      <c r="I3303" s="30" t="n"/>
      <c r="J3303" s="23">
        <f>IF(OR($H3303="",$I3303=""),"",$H3303*$I3303)</f>
        <v/>
      </c>
      <c r="K3303" s="24" t="n"/>
      <c r="L3303" s="24" t="n"/>
      <c r="M3303" s="29" t="n"/>
      <c r="N3303" s="28" t="n"/>
      <c r="O3303" s="24" t="n"/>
      <c r="P3303" s="24" t="n"/>
      <c r="Q3303" s="24" t="n"/>
      <c r="R3303" s="24" t="n"/>
      <c r="S3303" s="22">
        <f>IF(AND($A3303="",$C3303=""),"",IF($A3303="","Thiếu mã đơn; ","")&amp;IF(COUNTIF($A$2:$A3303,$A3303)&gt;1,"Trùng mã đơn; ","")&amp;IF(ISNA(MATCH($C3303,DATA_MASTER!$D$2:$D$5000,0)),"SĐT chưa đăng ký hội viên; ","")&amp;IF(AND($L3303="Đã chuyển khoản",$M3303=""),"Thiếu ngày nhận CK; ",""))</f>
        <v/>
      </c>
      <c r="T3303" s="24" t="n"/>
    </row>
    <row r="3304" ht="14.25" customHeight="1" s="40">
      <c r="A3304" s="24" t="n"/>
      <c r="B3304" s="29" t="n"/>
      <c r="C3304" s="28" t="n"/>
      <c r="D3304" s="22">
        <f t="array" ref="D3304">IF($C3304="","",IFERROR(INDEX(DATA_MASTER!$C$2:$C$5000,MATCH($C3304,DATA_MASTER!$D$2:$D$5000,0)),""))</f>
        <v/>
      </c>
      <c r="E3304" s="22">
        <f t="array" ref="E3304">IF($C3304="","",IFERROR(INDEX(DATA_MASTER!$I$2:$I$5000,MATCH($C3304,DATA_MASTER!$D$2:$D$5000,0)),""))</f>
        <v/>
      </c>
      <c r="F3304" s="22">
        <f t="array" ref="F3304">IF($C3304="","",IFERROR(INDEX(DATA_MASTER!$L$2:$L$5000,MATCH($C3304,DATA_MASTER!$D$2:$D$5000,0)),""))</f>
        <v/>
      </c>
      <c r="G3304" s="24" t="n"/>
      <c r="H3304" s="24" t="n"/>
      <c r="I3304" s="30" t="n"/>
      <c r="J3304" s="23">
        <f>IF(OR($H3304="",$I3304=""),"",$H3304*$I3304)</f>
        <v/>
      </c>
      <c r="K3304" s="24" t="n"/>
      <c r="L3304" s="24" t="n"/>
      <c r="M3304" s="29" t="n"/>
      <c r="N3304" s="28" t="n"/>
      <c r="O3304" s="24" t="n"/>
      <c r="P3304" s="24" t="n"/>
      <c r="Q3304" s="24" t="n"/>
      <c r="R3304" s="24" t="n"/>
      <c r="S3304" s="22">
        <f>IF(AND($A3304="",$C3304=""),"",IF($A3304="","Thiếu mã đơn; ","")&amp;IF(COUNTIF($A$2:$A3304,$A3304)&gt;1,"Trùng mã đơn; ","")&amp;IF(ISNA(MATCH($C3304,DATA_MASTER!$D$2:$D$5000,0)),"SĐT chưa đăng ký hội viên; ","")&amp;IF(AND($L3304="Đã chuyển khoản",$M3304=""),"Thiếu ngày nhận CK; ",""))</f>
        <v/>
      </c>
      <c r="T3304" s="24" t="n"/>
    </row>
    <row r="3305" ht="14.25" customHeight="1" s="40">
      <c r="A3305" s="24" t="n"/>
      <c r="B3305" s="29" t="n"/>
      <c r="C3305" s="28" t="n"/>
      <c r="D3305" s="22">
        <f t="array" ref="D3305">IF($C3305="","",IFERROR(INDEX(DATA_MASTER!$C$2:$C$5000,MATCH($C3305,DATA_MASTER!$D$2:$D$5000,0)),""))</f>
        <v/>
      </c>
      <c r="E3305" s="22">
        <f t="array" ref="E3305">IF($C3305="","",IFERROR(INDEX(DATA_MASTER!$I$2:$I$5000,MATCH($C3305,DATA_MASTER!$D$2:$D$5000,0)),""))</f>
        <v/>
      </c>
      <c r="F3305" s="22">
        <f t="array" ref="F3305">IF($C3305="","",IFERROR(INDEX(DATA_MASTER!$L$2:$L$5000,MATCH($C3305,DATA_MASTER!$D$2:$D$5000,0)),""))</f>
        <v/>
      </c>
      <c r="G3305" s="24" t="n"/>
      <c r="H3305" s="24" t="n"/>
      <c r="I3305" s="30" t="n"/>
      <c r="J3305" s="23">
        <f>IF(OR($H3305="",$I3305=""),"",$H3305*$I3305)</f>
        <v/>
      </c>
      <c r="K3305" s="24" t="n"/>
      <c r="L3305" s="24" t="n"/>
      <c r="M3305" s="29" t="n"/>
      <c r="N3305" s="28" t="n"/>
      <c r="O3305" s="24" t="n"/>
      <c r="P3305" s="24" t="n"/>
      <c r="Q3305" s="24" t="n"/>
      <c r="R3305" s="24" t="n"/>
      <c r="S3305" s="22">
        <f>IF(AND($A3305="",$C3305=""),"",IF($A3305="","Thiếu mã đơn; ","")&amp;IF(COUNTIF($A$2:$A3305,$A3305)&gt;1,"Trùng mã đơn; ","")&amp;IF(ISNA(MATCH($C3305,DATA_MASTER!$D$2:$D$5000,0)),"SĐT chưa đăng ký hội viên; ","")&amp;IF(AND($L3305="Đã chuyển khoản",$M3305=""),"Thiếu ngày nhận CK; ",""))</f>
        <v/>
      </c>
      <c r="T3305" s="24" t="n"/>
    </row>
    <row r="3306" ht="14.25" customHeight="1" s="40">
      <c r="A3306" s="24" t="n"/>
      <c r="B3306" s="29" t="n"/>
      <c r="C3306" s="28" t="n"/>
      <c r="D3306" s="22">
        <f t="array" ref="D3306">IF($C3306="","",IFERROR(INDEX(DATA_MASTER!$C$2:$C$5000,MATCH($C3306,DATA_MASTER!$D$2:$D$5000,0)),""))</f>
        <v/>
      </c>
      <c r="E3306" s="22">
        <f t="array" ref="E3306">IF($C3306="","",IFERROR(INDEX(DATA_MASTER!$I$2:$I$5000,MATCH($C3306,DATA_MASTER!$D$2:$D$5000,0)),""))</f>
        <v/>
      </c>
      <c r="F3306" s="22">
        <f t="array" ref="F3306">IF($C3306="","",IFERROR(INDEX(DATA_MASTER!$L$2:$L$5000,MATCH($C3306,DATA_MASTER!$D$2:$D$5000,0)),""))</f>
        <v/>
      </c>
      <c r="G3306" s="24" t="n"/>
      <c r="H3306" s="24" t="n"/>
      <c r="I3306" s="30" t="n"/>
      <c r="J3306" s="23">
        <f>IF(OR($H3306="",$I3306=""),"",$H3306*$I3306)</f>
        <v/>
      </c>
      <c r="K3306" s="24" t="n"/>
      <c r="L3306" s="24" t="n"/>
      <c r="M3306" s="29" t="n"/>
      <c r="N3306" s="28" t="n"/>
      <c r="O3306" s="24" t="n"/>
      <c r="P3306" s="24" t="n"/>
      <c r="Q3306" s="24" t="n"/>
      <c r="R3306" s="24" t="n"/>
      <c r="S3306" s="22">
        <f>IF(AND($A3306="",$C3306=""),"",IF($A3306="","Thiếu mã đơn; ","")&amp;IF(COUNTIF($A$2:$A3306,$A3306)&gt;1,"Trùng mã đơn; ","")&amp;IF(ISNA(MATCH($C3306,DATA_MASTER!$D$2:$D$5000,0)),"SĐT chưa đăng ký hội viên; ","")&amp;IF(AND($L3306="Đã chuyển khoản",$M3306=""),"Thiếu ngày nhận CK; ",""))</f>
        <v/>
      </c>
      <c r="T3306" s="24" t="n"/>
    </row>
    <row r="3307" ht="14.25" customHeight="1" s="40">
      <c r="A3307" s="24" t="n"/>
      <c r="B3307" s="29" t="n"/>
      <c r="C3307" s="28" t="n"/>
      <c r="D3307" s="22">
        <f t="array" ref="D3307">IF($C3307="","",IFERROR(INDEX(DATA_MASTER!$C$2:$C$5000,MATCH($C3307,DATA_MASTER!$D$2:$D$5000,0)),""))</f>
        <v/>
      </c>
      <c r="E3307" s="22">
        <f t="array" ref="E3307">IF($C3307="","",IFERROR(INDEX(DATA_MASTER!$I$2:$I$5000,MATCH($C3307,DATA_MASTER!$D$2:$D$5000,0)),""))</f>
        <v/>
      </c>
      <c r="F3307" s="22">
        <f t="array" ref="F3307">IF($C3307="","",IFERROR(INDEX(DATA_MASTER!$L$2:$L$5000,MATCH($C3307,DATA_MASTER!$D$2:$D$5000,0)),""))</f>
        <v/>
      </c>
      <c r="G3307" s="24" t="n"/>
      <c r="H3307" s="24" t="n"/>
      <c r="I3307" s="30" t="n"/>
      <c r="J3307" s="23">
        <f>IF(OR($H3307="",$I3307=""),"",$H3307*$I3307)</f>
        <v/>
      </c>
      <c r="K3307" s="24" t="n"/>
      <c r="L3307" s="24" t="n"/>
      <c r="M3307" s="29" t="n"/>
      <c r="N3307" s="28" t="n"/>
      <c r="O3307" s="24" t="n"/>
      <c r="P3307" s="24" t="n"/>
      <c r="Q3307" s="24" t="n"/>
      <c r="R3307" s="24" t="n"/>
      <c r="S3307" s="22">
        <f>IF(AND($A3307="",$C3307=""),"",IF($A3307="","Thiếu mã đơn; ","")&amp;IF(COUNTIF($A$2:$A3307,$A3307)&gt;1,"Trùng mã đơn; ","")&amp;IF(ISNA(MATCH($C3307,DATA_MASTER!$D$2:$D$5000,0)),"SĐT chưa đăng ký hội viên; ","")&amp;IF(AND($L3307="Đã chuyển khoản",$M3307=""),"Thiếu ngày nhận CK; ",""))</f>
        <v/>
      </c>
      <c r="T3307" s="24" t="n"/>
    </row>
    <row r="3308" ht="14.25" customHeight="1" s="40">
      <c r="A3308" s="24" t="n"/>
      <c r="B3308" s="29" t="n"/>
      <c r="C3308" s="28" t="n"/>
      <c r="D3308" s="22">
        <f t="array" ref="D3308">IF($C3308="","",IFERROR(INDEX(DATA_MASTER!$C$2:$C$5000,MATCH($C3308,DATA_MASTER!$D$2:$D$5000,0)),""))</f>
        <v/>
      </c>
      <c r="E3308" s="22">
        <f t="array" ref="E3308">IF($C3308="","",IFERROR(INDEX(DATA_MASTER!$I$2:$I$5000,MATCH($C3308,DATA_MASTER!$D$2:$D$5000,0)),""))</f>
        <v/>
      </c>
      <c r="F3308" s="22">
        <f t="array" ref="F3308">IF($C3308="","",IFERROR(INDEX(DATA_MASTER!$L$2:$L$5000,MATCH($C3308,DATA_MASTER!$D$2:$D$5000,0)),""))</f>
        <v/>
      </c>
      <c r="G3308" s="24" t="n"/>
      <c r="H3308" s="24" t="n"/>
      <c r="I3308" s="30" t="n"/>
      <c r="J3308" s="23">
        <f>IF(OR($H3308="",$I3308=""),"",$H3308*$I3308)</f>
        <v/>
      </c>
      <c r="K3308" s="24" t="n"/>
      <c r="L3308" s="24" t="n"/>
      <c r="M3308" s="29" t="n"/>
      <c r="N3308" s="28" t="n"/>
      <c r="O3308" s="24" t="n"/>
      <c r="P3308" s="24" t="n"/>
      <c r="Q3308" s="24" t="n"/>
      <c r="R3308" s="24" t="n"/>
      <c r="S3308" s="22">
        <f>IF(AND($A3308="",$C3308=""),"",IF($A3308="","Thiếu mã đơn; ","")&amp;IF(COUNTIF($A$2:$A3308,$A3308)&gt;1,"Trùng mã đơn; ","")&amp;IF(ISNA(MATCH($C3308,DATA_MASTER!$D$2:$D$5000,0)),"SĐT chưa đăng ký hội viên; ","")&amp;IF(AND($L3308="Đã chuyển khoản",$M3308=""),"Thiếu ngày nhận CK; ",""))</f>
        <v/>
      </c>
      <c r="T3308" s="24" t="n"/>
    </row>
    <row r="3309" ht="14.25" customHeight="1" s="40">
      <c r="A3309" s="24" t="n"/>
      <c r="B3309" s="29" t="n"/>
      <c r="C3309" s="28" t="n"/>
      <c r="D3309" s="22">
        <f t="array" ref="D3309">IF($C3309="","",IFERROR(INDEX(DATA_MASTER!$C$2:$C$5000,MATCH($C3309,DATA_MASTER!$D$2:$D$5000,0)),""))</f>
        <v/>
      </c>
      <c r="E3309" s="22">
        <f t="array" ref="E3309">IF($C3309="","",IFERROR(INDEX(DATA_MASTER!$I$2:$I$5000,MATCH($C3309,DATA_MASTER!$D$2:$D$5000,0)),""))</f>
        <v/>
      </c>
      <c r="F3309" s="22">
        <f t="array" ref="F3309">IF($C3309="","",IFERROR(INDEX(DATA_MASTER!$L$2:$L$5000,MATCH($C3309,DATA_MASTER!$D$2:$D$5000,0)),""))</f>
        <v/>
      </c>
      <c r="G3309" s="24" t="n"/>
      <c r="H3309" s="24" t="n"/>
      <c r="I3309" s="30" t="n"/>
      <c r="J3309" s="23">
        <f>IF(OR($H3309="",$I3309=""),"",$H3309*$I3309)</f>
        <v/>
      </c>
      <c r="K3309" s="24" t="n"/>
      <c r="L3309" s="24" t="n"/>
      <c r="M3309" s="29" t="n"/>
      <c r="N3309" s="28" t="n"/>
      <c r="O3309" s="24" t="n"/>
      <c r="P3309" s="24" t="n"/>
      <c r="Q3309" s="24" t="n"/>
      <c r="R3309" s="24" t="n"/>
      <c r="S3309" s="22">
        <f>IF(AND($A3309="",$C3309=""),"",IF($A3309="","Thiếu mã đơn; ","")&amp;IF(COUNTIF($A$2:$A3309,$A3309)&gt;1,"Trùng mã đơn; ","")&amp;IF(ISNA(MATCH($C3309,DATA_MASTER!$D$2:$D$5000,0)),"SĐT chưa đăng ký hội viên; ","")&amp;IF(AND($L3309="Đã chuyển khoản",$M3309=""),"Thiếu ngày nhận CK; ",""))</f>
        <v/>
      </c>
      <c r="T3309" s="24" t="n"/>
    </row>
    <row r="3310" ht="14.25" customHeight="1" s="40">
      <c r="A3310" s="24" t="n"/>
      <c r="B3310" s="29" t="n"/>
      <c r="C3310" s="28" t="n"/>
      <c r="D3310" s="22">
        <f t="array" ref="D3310">IF($C3310="","",IFERROR(INDEX(DATA_MASTER!$C$2:$C$5000,MATCH($C3310,DATA_MASTER!$D$2:$D$5000,0)),""))</f>
        <v/>
      </c>
      <c r="E3310" s="22">
        <f t="array" ref="E3310">IF($C3310="","",IFERROR(INDEX(DATA_MASTER!$I$2:$I$5000,MATCH($C3310,DATA_MASTER!$D$2:$D$5000,0)),""))</f>
        <v/>
      </c>
      <c r="F3310" s="22">
        <f t="array" ref="F3310">IF($C3310="","",IFERROR(INDEX(DATA_MASTER!$L$2:$L$5000,MATCH($C3310,DATA_MASTER!$D$2:$D$5000,0)),""))</f>
        <v/>
      </c>
      <c r="G3310" s="24" t="n"/>
      <c r="H3310" s="24" t="n"/>
      <c r="I3310" s="30" t="n"/>
      <c r="J3310" s="23">
        <f>IF(OR($H3310="",$I3310=""),"",$H3310*$I3310)</f>
        <v/>
      </c>
      <c r="K3310" s="24" t="n"/>
      <c r="L3310" s="24" t="n"/>
      <c r="M3310" s="29" t="n"/>
      <c r="N3310" s="28" t="n"/>
      <c r="O3310" s="24" t="n"/>
      <c r="P3310" s="24" t="n"/>
      <c r="Q3310" s="24" t="n"/>
      <c r="R3310" s="24" t="n"/>
      <c r="S3310" s="22">
        <f>IF(AND($A3310="",$C3310=""),"",IF($A3310="","Thiếu mã đơn; ","")&amp;IF(COUNTIF($A$2:$A3310,$A3310)&gt;1,"Trùng mã đơn; ","")&amp;IF(ISNA(MATCH($C3310,DATA_MASTER!$D$2:$D$5000,0)),"SĐT chưa đăng ký hội viên; ","")&amp;IF(AND($L3310="Đã chuyển khoản",$M3310=""),"Thiếu ngày nhận CK; ",""))</f>
        <v/>
      </c>
      <c r="T3310" s="24" t="n"/>
    </row>
    <row r="3311" ht="14.25" customHeight="1" s="40">
      <c r="A3311" s="24" t="n"/>
      <c r="B3311" s="29" t="n"/>
      <c r="C3311" s="28" t="n"/>
      <c r="D3311" s="22">
        <f t="array" ref="D3311">IF($C3311="","",IFERROR(INDEX(DATA_MASTER!$C$2:$C$5000,MATCH($C3311,DATA_MASTER!$D$2:$D$5000,0)),""))</f>
        <v/>
      </c>
      <c r="E3311" s="22">
        <f t="array" ref="E3311">IF($C3311="","",IFERROR(INDEX(DATA_MASTER!$I$2:$I$5000,MATCH($C3311,DATA_MASTER!$D$2:$D$5000,0)),""))</f>
        <v/>
      </c>
      <c r="F3311" s="22">
        <f t="array" ref="F3311">IF($C3311="","",IFERROR(INDEX(DATA_MASTER!$L$2:$L$5000,MATCH($C3311,DATA_MASTER!$D$2:$D$5000,0)),""))</f>
        <v/>
      </c>
      <c r="G3311" s="24" t="n"/>
      <c r="H3311" s="24" t="n"/>
      <c r="I3311" s="30" t="n"/>
      <c r="J3311" s="23">
        <f>IF(OR($H3311="",$I3311=""),"",$H3311*$I3311)</f>
        <v/>
      </c>
      <c r="K3311" s="24" t="n"/>
      <c r="L3311" s="24" t="n"/>
      <c r="M3311" s="29" t="n"/>
      <c r="N3311" s="28" t="n"/>
      <c r="O3311" s="24" t="n"/>
      <c r="P3311" s="24" t="n"/>
      <c r="Q3311" s="24" t="n"/>
      <c r="R3311" s="24" t="n"/>
      <c r="S3311" s="22">
        <f>IF(AND($A3311="",$C3311=""),"",IF($A3311="","Thiếu mã đơn; ","")&amp;IF(COUNTIF($A$2:$A3311,$A3311)&gt;1,"Trùng mã đơn; ","")&amp;IF(ISNA(MATCH($C3311,DATA_MASTER!$D$2:$D$5000,0)),"SĐT chưa đăng ký hội viên; ","")&amp;IF(AND($L3311="Đã chuyển khoản",$M3311=""),"Thiếu ngày nhận CK; ",""))</f>
        <v/>
      </c>
      <c r="T3311" s="24" t="n"/>
    </row>
    <row r="3312" ht="14.25" customHeight="1" s="40">
      <c r="A3312" s="24" t="n"/>
      <c r="B3312" s="29" t="n"/>
      <c r="C3312" s="28" t="n"/>
      <c r="D3312" s="22">
        <f t="array" ref="D3312">IF($C3312="","",IFERROR(INDEX(DATA_MASTER!$C$2:$C$5000,MATCH($C3312,DATA_MASTER!$D$2:$D$5000,0)),""))</f>
        <v/>
      </c>
      <c r="E3312" s="22">
        <f t="array" ref="E3312">IF($C3312="","",IFERROR(INDEX(DATA_MASTER!$I$2:$I$5000,MATCH($C3312,DATA_MASTER!$D$2:$D$5000,0)),""))</f>
        <v/>
      </c>
      <c r="F3312" s="22">
        <f t="array" ref="F3312">IF($C3312="","",IFERROR(INDEX(DATA_MASTER!$L$2:$L$5000,MATCH($C3312,DATA_MASTER!$D$2:$D$5000,0)),""))</f>
        <v/>
      </c>
      <c r="G3312" s="24" t="n"/>
      <c r="H3312" s="24" t="n"/>
      <c r="I3312" s="30" t="n"/>
      <c r="J3312" s="23">
        <f>IF(OR($H3312="",$I3312=""),"",$H3312*$I3312)</f>
        <v/>
      </c>
      <c r="K3312" s="24" t="n"/>
      <c r="L3312" s="24" t="n"/>
      <c r="M3312" s="29" t="n"/>
      <c r="N3312" s="28" t="n"/>
      <c r="O3312" s="24" t="n"/>
      <c r="P3312" s="24" t="n"/>
      <c r="Q3312" s="24" t="n"/>
      <c r="R3312" s="24" t="n"/>
      <c r="S3312" s="22">
        <f>IF(AND($A3312="",$C3312=""),"",IF($A3312="","Thiếu mã đơn; ","")&amp;IF(COUNTIF($A$2:$A3312,$A3312)&gt;1,"Trùng mã đơn; ","")&amp;IF(ISNA(MATCH($C3312,DATA_MASTER!$D$2:$D$5000,0)),"SĐT chưa đăng ký hội viên; ","")&amp;IF(AND($L3312="Đã chuyển khoản",$M3312=""),"Thiếu ngày nhận CK; ",""))</f>
        <v/>
      </c>
      <c r="T3312" s="24" t="n"/>
    </row>
    <row r="3313" ht="14.25" customHeight="1" s="40">
      <c r="A3313" s="24" t="n"/>
      <c r="B3313" s="29" t="n"/>
      <c r="C3313" s="28" t="n"/>
      <c r="D3313" s="22">
        <f t="array" ref="D3313">IF($C3313="","",IFERROR(INDEX(DATA_MASTER!$C$2:$C$5000,MATCH($C3313,DATA_MASTER!$D$2:$D$5000,0)),""))</f>
        <v/>
      </c>
      <c r="E3313" s="22">
        <f t="array" ref="E3313">IF($C3313="","",IFERROR(INDEX(DATA_MASTER!$I$2:$I$5000,MATCH($C3313,DATA_MASTER!$D$2:$D$5000,0)),""))</f>
        <v/>
      </c>
      <c r="F3313" s="22">
        <f t="array" ref="F3313">IF($C3313="","",IFERROR(INDEX(DATA_MASTER!$L$2:$L$5000,MATCH($C3313,DATA_MASTER!$D$2:$D$5000,0)),""))</f>
        <v/>
      </c>
      <c r="G3313" s="24" t="n"/>
      <c r="H3313" s="24" t="n"/>
      <c r="I3313" s="30" t="n"/>
      <c r="J3313" s="23">
        <f>IF(OR($H3313="",$I3313=""),"",$H3313*$I3313)</f>
        <v/>
      </c>
      <c r="K3313" s="24" t="n"/>
      <c r="L3313" s="24" t="n"/>
      <c r="M3313" s="29" t="n"/>
      <c r="N3313" s="28" t="n"/>
      <c r="O3313" s="24" t="n"/>
      <c r="P3313" s="24" t="n"/>
      <c r="Q3313" s="24" t="n"/>
      <c r="R3313" s="24" t="n"/>
      <c r="S3313" s="22">
        <f>IF(AND($A3313="",$C3313=""),"",IF($A3313="","Thiếu mã đơn; ","")&amp;IF(COUNTIF($A$2:$A3313,$A3313)&gt;1,"Trùng mã đơn; ","")&amp;IF(ISNA(MATCH($C3313,DATA_MASTER!$D$2:$D$5000,0)),"SĐT chưa đăng ký hội viên; ","")&amp;IF(AND($L3313="Đã chuyển khoản",$M3313=""),"Thiếu ngày nhận CK; ",""))</f>
        <v/>
      </c>
      <c r="T3313" s="24" t="n"/>
    </row>
    <row r="3314" ht="14.25" customHeight="1" s="40">
      <c r="A3314" s="24" t="n"/>
      <c r="B3314" s="29" t="n"/>
      <c r="C3314" s="28" t="n"/>
      <c r="D3314" s="22">
        <f t="array" ref="D3314">IF($C3314="","",IFERROR(INDEX(DATA_MASTER!$C$2:$C$5000,MATCH($C3314,DATA_MASTER!$D$2:$D$5000,0)),""))</f>
        <v/>
      </c>
      <c r="E3314" s="22">
        <f t="array" ref="E3314">IF($C3314="","",IFERROR(INDEX(DATA_MASTER!$I$2:$I$5000,MATCH($C3314,DATA_MASTER!$D$2:$D$5000,0)),""))</f>
        <v/>
      </c>
      <c r="F3314" s="22">
        <f t="array" ref="F3314">IF($C3314="","",IFERROR(INDEX(DATA_MASTER!$L$2:$L$5000,MATCH($C3314,DATA_MASTER!$D$2:$D$5000,0)),""))</f>
        <v/>
      </c>
      <c r="G3314" s="24" t="n"/>
      <c r="H3314" s="24" t="n"/>
      <c r="I3314" s="30" t="n"/>
      <c r="J3314" s="23">
        <f>IF(OR($H3314="",$I3314=""),"",$H3314*$I3314)</f>
        <v/>
      </c>
      <c r="K3314" s="24" t="n"/>
      <c r="L3314" s="24" t="n"/>
      <c r="M3314" s="29" t="n"/>
      <c r="N3314" s="28" t="n"/>
      <c r="O3314" s="24" t="n"/>
      <c r="P3314" s="24" t="n"/>
      <c r="Q3314" s="24" t="n"/>
      <c r="R3314" s="24" t="n"/>
      <c r="S3314" s="22">
        <f>IF(AND($A3314="",$C3314=""),"",IF($A3314="","Thiếu mã đơn; ","")&amp;IF(COUNTIF($A$2:$A3314,$A3314)&gt;1,"Trùng mã đơn; ","")&amp;IF(ISNA(MATCH($C3314,DATA_MASTER!$D$2:$D$5000,0)),"SĐT chưa đăng ký hội viên; ","")&amp;IF(AND($L3314="Đã chuyển khoản",$M3314=""),"Thiếu ngày nhận CK; ",""))</f>
        <v/>
      </c>
      <c r="T3314" s="24" t="n"/>
    </row>
    <row r="3315" ht="14.25" customHeight="1" s="40">
      <c r="A3315" s="24" t="n"/>
      <c r="B3315" s="29" t="n"/>
      <c r="C3315" s="28" t="n"/>
      <c r="D3315" s="22">
        <f t="array" ref="D3315">IF($C3315="","",IFERROR(INDEX(DATA_MASTER!$C$2:$C$5000,MATCH($C3315,DATA_MASTER!$D$2:$D$5000,0)),""))</f>
        <v/>
      </c>
      <c r="E3315" s="22">
        <f t="array" ref="E3315">IF($C3315="","",IFERROR(INDEX(DATA_MASTER!$I$2:$I$5000,MATCH($C3315,DATA_MASTER!$D$2:$D$5000,0)),""))</f>
        <v/>
      </c>
      <c r="F3315" s="22">
        <f t="array" ref="F3315">IF($C3315="","",IFERROR(INDEX(DATA_MASTER!$L$2:$L$5000,MATCH($C3315,DATA_MASTER!$D$2:$D$5000,0)),""))</f>
        <v/>
      </c>
      <c r="G3315" s="24" t="n"/>
      <c r="H3315" s="24" t="n"/>
      <c r="I3315" s="30" t="n"/>
      <c r="J3315" s="23">
        <f>IF(OR($H3315="",$I3315=""),"",$H3315*$I3315)</f>
        <v/>
      </c>
      <c r="K3315" s="24" t="n"/>
      <c r="L3315" s="24" t="n"/>
      <c r="M3315" s="29" t="n"/>
      <c r="N3315" s="28" t="n"/>
      <c r="O3315" s="24" t="n"/>
      <c r="P3315" s="24" t="n"/>
      <c r="Q3315" s="24" t="n"/>
      <c r="R3315" s="24" t="n"/>
      <c r="S3315" s="22">
        <f>IF(AND($A3315="",$C3315=""),"",IF($A3315="","Thiếu mã đơn; ","")&amp;IF(COUNTIF($A$2:$A3315,$A3315)&gt;1,"Trùng mã đơn; ","")&amp;IF(ISNA(MATCH($C3315,DATA_MASTER!$D$2:$D$5000,0)),"SĐT chưa đăng ký hội viên; ","")&amp;IF(AND($L3315="Đã chuyển khoản",$M3315=""),"Thiếu ngày nhận CK; ",""))</f>
        <v/>
      </c>
      <c r="T3315" s="24" t="n"/>
    </row>
    <row r="3316" ht="14.25" customHeight="1" s="40">
      <c r="A3316" s="24" t="n"/>
      <c r="B3316" s="29" t="n"/>
      <c r="C3316" s="28" t="n"/>
      <c r="D3316" s="22">
        <f t="array" ref="D3316">IF($C3316="","",IFERROR(INDEX(DATA_MASTER!$C$2:$C$5000,MATCH($C3316,DATA_MASTER!$D$2:$D$5000,0)),""))</f>
        <v/>
      </c>
      <c r="E3316" s="22">
        <f t="array" ref="E3316">IF($C3316="","",IFERROR(INDEX(DATA_MASTER!$I$2:$I$5000,MATCH($C3316,DATA_MASTER!$D$2:$D$5000,0)),""))</f>
        <v/>
      </c>
      <c r="F3316" s="22">
        <f t="array" ref="F3316">IF($C3316="","",IFERROR(INDEX(DATA_MASTER!$L$2:$L$5000,MATCH($C3316,DATA_MASTER!$D$2:$D$5000,0)),""))</f>
        <v/>
      </c>
      <c r="G3316" s="24" t="n"/>
      <c r="H3316" s="24" t="n"/>
      <c r="I3316" s="30" t="n"/>
      <c r="J3316" s="23">
        <f>IF(OR($H3316="",$I3316=""),"",$H3316*$I3316)</f>
        <v/>
      </c>
      <c r="K3316" s="24" t="n"/>
      <c r="L3316" s="24" t="n"/>
      <c r="M3316" s="29" t="n"/>
      <c r="N3316" s="28" t="n"/>
      <c r="O3316" s="24" t="n"/>
      <c r="P3316" s="24" t="n"/>
      <c r="Q3316" s="24" t="n"/>
      <c r="R3316" s="24" t="n"/>
      <c r="S3316" s="22">
        <f>IF(AND($A3316="",$C3316=""),"",IF($A3316="","Thiếu mã đơn; ","")&amp;IF(COUNTIF($A$2:$A3316,$A3316)&gt;1,"Trùng mã đơn; ","")&amp;IF(ISNA(MATCH($C3316,DATA_MASTER!$D$2:$D$5000,0)),"SĐT chưa đăng ký hội viên; ","")&amp;IF(AND($L3316="Đã chuyển khoản",$M3316=""),"Thiếu ngày nhận CK; ",""))</f>
        <v/>
      </c>
      <c r="T3316" s="24" t="n"/>
    </row>
    <row r="3317" ht="14.25" customHeight="1" s="40">
      <c r="A3317" s="24" t="n"/>
      <c r="B3317" s="29" t="n"/>
      <c r="C3317" s="28" t="n"/>
      <c r="D3317" s="22">
        <f t="array" ref="D3317">IF($C3317="","",IFERROR(INDEX(DATA_MASTER!$C$2:$C$5000,MATCH($C3317,DATA_MASTER!$D$2:$D$5000,0)),""))</f>
        <v/>
      </c>
      <c r="E3317" s="22">
        <f t="array" ref="E3317">IF($C3317="","",IFERROR(INDEX(DATA_MASTER!$I$2:$I$5000,MATCH($C3317,DATA_MASTER!$D$2:$D$5000,0)),""))</f>
        <v/>
      </c>
      <c r="F3317" s="22">
        <f t="array" ref="F3317">IF($C3317="","",IFERROR(INDEX(DATA_MASTER!$L$2:$L$5000,MATCH($C3317,DATA_MASTER!$D$2:$D$5000,0)),""))</f>
        <v/>
      </c>
      <c r="G3317" s="24" t="n"/>
      <c r="H3317" s="24" t="n"/>
      <c r="I3317" s="30" t="n"/>
      <c r="J3317" s="23">
        <f>IF(OR($H3317="",$I3317=""),"",$H3317*$I3317)</f>
        <v/>
      </c>
      <c r="K3317" s="24" t="n"/>
      <c r="L3317" s="24" t="n"/>
      <c r="M3317" s="29" t="n"/>
      <c r="N3317" s="28" t="n"/>
      <c r="O3317" s="24" t="n"/>
      <c r="P3317" s="24" t="n"/>
      <c r="Q3317" s="24" t="n"/>
      <c r="R3317" s="24" t="n"/>
      <c r="S3317" s="22">
        <f>IF(AND($A3317="",$C3317=""),"",IF($A3317="","Thiếu mã đơn; ","")&amp;IF(COUNTIF($A$2:$A3317,$A3317)&gt;1,"Trùng mã đơn; ","")&amp;IF(ISNA(MATCH($C3317,DATA_MASTER!$D$2:$D$5000,0)),"SĐT chưa đăng ký hội viên; ","")&amp;IF(AND($L3317="Đã chuyển khoản",$M3317=""),"Thiếu ngày nhận CK; ",""))</f>
        <v/>
      </c>
      <c r="T3317" s="24" t="n"/>
    </row>
    <row r="3318" ht="14.25" customHeight="1" s="40">
      <c r="A3318" s="24" t="n"/>
      <c r="B3318" s="29" t="n"/>
      <c r="C3318" s="28" t="n"/>
      <c r="D3318" s="22">
        <f t="array" ref="D3318">IF($C3318="","",IFERROR(INDEX(DATA_MASTER!$C$2:$C$5000,MATCH($C3318,DATA_MASTER!$D$2:$D$5000,0)),""))</f>
        <v/>
      </c>
      <c r="E3318" s="22">
        <f t="array" ref="E3318">IF($C3318="","",IFERROR(INDEX(DATA_MASTER!$I$2:$I$5000,MATCH($C3318,DATA_MASTER!$D$2:$D$5000,0)),""))</f>
        <v/>
      </c>
      <c r="F3318" s="22">
        <f t="array" ref="F3318">IF($C3318="","",IFERROR(INDEX(DATA_MASTER!$L$2:$L$5000,MATCH($C3318,DATA_MASTER!$D$2:$D$5000,0)),""))</f>
        <v/>
      </c>
      <c r="G3318" s="24" t="n"/>
      <c r="H3318" s="24" t="n"/>
      <c r="I3318" s="30" t="n"/>
      <c r="J3318" s="23">
        <f>IF(OR($H3318="",$I3318=""),"",$H3318*$I3318)</f>
        <v/>
      </c>
      <c r="K3318" s="24" t="n"/>
      <c r="L3318" s="24" t="n"/>
      <c r="M3318" s="29" t="n"/>
      <c r="N3318" s="28" t="n"/>
      <c r="O3318" s="24" t="n"/>
      <c r="P3318" s="24" t="n"/>
      <c r="Q3318" s="24" t="n"/>
      <c r="R3318" s="24" t="n"/>
      <c r="S3318" s="22">
        <f>IF(AND($A3318="",$C3318=""),"",IF($A3318="","Thiếu mã đơn; ","")&amp;IF(COUNTIF($A$2:$A3318,$A3318)&gt;1,"Trùng mã đơn; ","")&amp;IF(ISNA(MATCH($C3318,DATA_MASTER!$D$2:$D$5000,0)),"SĐT chưa đăng ký hội viên; ","")&amp;IF(AND($L3318="Đã chuyển khoản",$M3318=""),"Thiếu ngày nhận CK; ",""))</f>
        <v/>
      </c>
      <c r="T3318" s="24" t="n"/>
    </row>
    <row r="3319" ht="14.25" customHeight="1" s="40">
      <c r="A3319" s="24" t="n"/>
      <c r="B3319" s="29" t="n"/>
      <c r="C3319" s="28" t="n"/>
      <c r="D3319" s="22">
        <f t="array" ref="D3319">IF($C3319="","",IFERROR(INDEX(DATA_MASTER!$C$2:$C$5000,MATCH($C3319,DATA_MASTER!$D$2:$D$5000,0)),""))</f>
        <v/>
      </c>
      <c r="E3319" s="22">
        <f t="array" ref="E3319">IF($C3319="","",IFERROR(INDEX(DATA_MASTER!$I$2:$I$5000,MATCH($C3319,DATA_MASTER!$D$2:$D$5000,0)),""))</f>
        <v/>
      </c>
      <c r="F3319" s="22">
        <f t="array" ref="F3319">IF($C3319="","",IFERROR(INDEX(DATA_MASTER!$L$2:$L$5000,MATCH($C3319,DATA_MASTER!$D$2:$D$5000,0)),""))</f>
        <v/>
      </c>
      <c r="G3319" s="24" t="n"/>
      <c r="H3319" s="24" t="n"/>
      <c r="I3319" s="30" t="n"/>
      <c r="J3319" s="23">
        <f>IF(OR($H3319="",$I3319=""),"",$H3319*$I3319)</f>
        <v/>
      </c>
      <c r="K3319" s="24" t="n"/>
      <c r="L3319" s="24" t="n"/>
      <c r="M3319" s="29" t="n"/>
      <c r="N3319" s="28" t="n"/>
      <c r="O3319" s="24" t="n"/>
      <c r="P3319" s="24" t="n"/>
      <c r="Q3319" s="24" t="n"/>
      <c r="R3319" s="24" t="n"/>
      <c r="S3319" s="22">
        <f>IF(AND($A3319="",$C3319=""),"",IF($A3319="","Thiếu mã đơn; ","")&amp;IF(COUNTIF($A$2:$A3319,$A3319)&gt;1,"Trùng mã đơn; ","")&amp;IF(ISNA(MATCH($C3319,DATA_MASTER!$D$2:$D$5000,0)),"SĐT chưa đăng ký hội viên; ","")&amp;IF(AND($L3319="Đã chuyển khoản",$M3319=""),"Thiếu ngày nhận CK; ",""))</f>
        <v/>
      </c>
      <c r="T3319" s="24" t="n"/>
    </row>
    <row r="3320" ht="14.25" customHeight="1" s="40">
      <c r="A3320" s="24" t="n"/>
      <c r="B3320" s="29" t="n"/>
      <c r="C3320" s="28" t="n"/>
      <c r="D3320" s="22">
        <f t="array" ref="D3320">IF($C3320="","",IFERROR(INDEX(DATA_MASTER!$C$2:$C$5000,MATCH($C3320,DATA_MASTER!$D$2:$D$5000,0)),""))</f>
        <v/>
      </c>
      <c r="E3320" s="22">
        <f t="array" ref="E3320">IF($C3320="","",IFERROR(INDEX(DATA_MASTER!$I$2:$I$5000,MATCH($C3320,DATA_MASTER!$D$2:$D$5000,0)),""))</f>
        <v/>
      </c>
      <c r="F3320" s="22">
        <f t="array" ref="F3320">IF($C3320="","",IFERROR(INDEX(DATA_MASTER!$L$2:$L$5000,MATCH($C3320,DATA_MASTER!$D$2:$D$5000,0)),""))</f>
        <v/>
      </c>
      <c r="G3320" s="24" t="n"/>
      <c r="H3320" s="24" t="n"/>
      <c r="I3320" s="30" t="n"/>
      <c r="J3320" s="23">
        <f>IF(OR($H3320="",$I3320=""),"",$H3320*$I3320)</f>
        <v/>
      </c>
      <c r="K3320" s="24" t="n"/>
      <c r="L3320" s="24" t="n"/>
      <c r="M3320" s="29" t="n"/>
      <c r="N3320" s="28" t="n"/>
      <c r="O3320" s="24" t="n"/>
      <c r="P3320" s="24" t="n"/>
      <c r="Q3320" s="24" t="n"/>
      <c r="R3320" s="24" t="n"/>
      <c r="S3320" s="22">
        <f>IF(AND($A3320="",$C3320=""),"",IF($A3320="","Thiếu mã đơn; ","")&amp;IF(COUNTIF($A$2:$A3320,$A3320)&gt;1,"Trùng mã đơn; ","")&amp;IF(ISNA(MATCH($C3320,DATA_MASTER!$D$2:$D$5000,0)),"SĐT chưa đăng ký hội viên; ","")&amp;IF(AND($L3320="Đã chuyển khoản",$M3320=""),"Thiếu ngày nhận CK; ",""))</f>
        <v/>
      </c>
      <c r="T3320" s="24" t="n"/>
    </row>
    <row r="3321" ht="14.25" customHeight="1" s="40">
      <c r="A3321" s="24" t="n"/>
      <c r="B3321" s="29" t="n"/>
      <c r="C3321" s="28" t="n"/>
      <c r="D3321" s="22">
        <f t="array" ref="D3321">IF($C3321="","",IFERROR(INDEX(DATA_MASTER!$C$2:$C$5000,MATCH($C3321,DATA_MASTER!$D$2:$D$5000,0)),""))</f>
        <v/>
      </c>
      <c r="E3321" s="22">
        <f t="array" ref="E3321">IF($C3321="","",IFERROR(INDEX(DATA_MASTER!$I$2:$I$5000,MATCH($C3321,DATA_MASTER!$D$2:$D$5000,0)),""))</f>
        <v/>
      </c>
      <c r="F3321" s="22">
        <f t="array" ref="F3321">IF($C3321="","",IFERROR(INDEX(DATA_MASTER!$L$2:$L$5000,MATCH($C3321,DATA_MASTER!$D$2:$D$5000,0)),""))</f>
        <v/>
      </c>
      <c r="G3321" s="24" t="n"/>
      <c r="H3321" s="24" t="n"/>
      <c r="I3321" s="30" t="n"/>
      <c r="J3321" s="23">
        <f>IF(OR($H3321="",$I3321=""),"",$H3321*$I3321)</f>
        <v/>
      </c>
      <c r="K3321" s="24" t="n"/>
      <c r="L3321" s="24" t="n"/>
      <c r="M3321" s="29" t="n"/>
      <c r="N3321" s="28" t="n"/>
      <c r="O3321" s="24" t="n"/>
      <c r="P3321" s="24" t="n"/>
      <c r="Q3321" s="24" t="n"/>
      <c r="R3321" s="24" t="n"/>
      <c r="S3321" s="22">
        <f>IF(AND($A3321="",$C3321=""),"",IF($A3321="","Thiếu mã đơn; ","")&amp;IF(COUNTIF($A$2:$A3321,$A3321)&gt;1,"Trùng mã đơn; ","")&amp;IF(ISNA(MATCH($C3321,DATA_MASTER!$D$2:$D$5000,0)),"SĐT chưa đăng ký hội viên; ","")&amp;IF(AND($L3321="Đã chuyển khoản",$M3321=""),"Thiếu ngày nhận CK; ",""))</f>
        <v/>
      </c>
      <c r="T3321" s="24" t="n"/>
    </row>
    <row r="3322" ht="14.25" customHeight="1" s="40">
      <c r="A3322" s="24" t="n"/>
      <c r="B3322" s="29" t="n"/>
      <c r="C3322" s="28" t="n"/>
      <c r="D3322" s="22">
        <f t="array" ref="D3322">IF($C3322="","",IFERROR(INDEX(DATA_MASTER!$C$2:$C$5000,MATCH($C3322,DATA_MASTER!$D$2:$D$5000,0)),""))</f>
        <v/>
      </c>
      <c r="E3322" s="22">
        <f t="array" ref="E3322">IF($C3322="","",IFERROR(INDEX(DATA_MASTER!$I$2:$I$5000,MATCH($C3322,DATA_MASTER!$D$2:$D$5000,0)),""))</f>
        <v/>
      </c>
      <c r="F3322" s="22">
        <f t="array" ref="F3322">IF($C3322="","",IFERROR(INDEX(DATA_MASTER!$L$2:$L$5000,MATCH($C3322,DATA_MASTER!$D$2:$D$5000,0)),""))</f>
        <v/>
      </c>
      <c r="G3322" s="24" t="n"/>
      <c r="H3322" s="24" t="n"/>
      <c r="I3322" s="30" t="n"/>
      <c r="J3322" s="23">
        <f>IF(OR($H3322="",$I3322=""),"",$H3322*$I3322)</f>
        <v/>
      </c>
      <c r="K3322" s="24" t="n"/>
      <c r="L3322" s="24" t="n"/>
      <c r="M3322" s="29" t="n"/>
      <c r="N3322" s="28" t="n"/>
      <c r="O3322" s="24" t="n"/>
      <c r="P3322" s="24" t="n"/>
      <c r="Q3322" s="24" t="n"/>
      <c r="R3322" s="24" t="n"/>
      <c r="S3322" s="22">
        <f>IF(AND($A3322="",$C3322=""),"",IF($A3322="","Thiếu mã đơn; ","")&amp;IF(COUNTIF($A$2:$A3322,$A3322)&gt;1,"Trùng mã đơn; ","")&amp;IF(ISNA(MATCH($C3322,DATA_MASTER!$D$2:$D$5000,0)),"SĐT chưa đăng ký hội viên; ","")&amp;IF(AND($L3322="Đã chuyển khoản",$M3322=""),"Thiếu ngày nhận CK; ",""))</f>
        <v/>
      </c>
      <c r="T3322" s="24" t="n"/>
    </row>
    <row r="3323" ht="14.25" customHeight="1" s="40">
      <c r="A3323" s="24" t="n"/>
      <c r="B3323" s="29" t="n"/>
      <c r="C3323" s="28" t="n"/>
      <c r="D3323" s="22">
        <f t="array" ref="D3323">IF($C3323="","",IFERROR(INDEX(DATA_MASTER!$C$2:$C$5000,MATCH($C3323,DATA_MASTER!$D$2:$D$5000,0)),""))</f>
        <v/>
      </c>
      <c r="E3323" s="22">
        <f t="array" ref="E3323">IF($C3323="","",IFERROR(INDEX(DATA_MASTER!$I$2:$I$5000,MATCH($C3323,DATA_MASTER!$D$2:$D$5000,0)),""))</f>
        <v/>
      </c>
      <c r="F3323" s="22">
        <f t="array" ref="F3323">IF($C3323="","",IFERROR(INDEX(DATA_MASTER!$L$2:$L$5000,MATCH($C3323,DATA_MASTER!$D$2:$D$5000,0)),""))</f>
        <v/>
      </c>
      <c r="G3323" s="24" t="n"/>
      <c r="H3323" s="24" t="n"/>
      <c r="I3323" s="30" t="n"/>
      <c r="J3323" s="23">
        <f>IF(OR($H3323="",$I3323=""),"",$H3323*$I3323)</f>
        <v/>
      </c>
      <c r="K3323" s="24" t="n"/>
      <c r="L3323" s="24" t="n"/>
      <c r="M3323" s="29" t="n"/>
      <c r="N3323" s="28" t="n"/>
      <c r="O3323" s="24" t="n"/>
      <c r="P3323" s="24" t="n"/>
      <c r="Q3323" s="24" t="n"/>
      <c r="R3323" s="24" t="n"/>
      <c r="S3323" s="22">
        <f>IF(AND($A3323="",$C3323=""),"",IF($A3323="","Thiếu mã đơn; ","")&amp;IF(COUNTIF($A$2:$A3323,$A3323)&gt;1,"Trùng mã đơn; ","")&amp;IF(ISNA(MATCH($C3323,DATA_MASTER!$D$2:$D$5000,0)),"SĐT chưa đăng ký hội viên; ","")&amp;IF(AND($L3323="Đã chuyển khoản",$M3323=""),"Thiếu ngày nhận CK; ",""))</f>
        <v/>
      </c>
      <c r="T3323" s="24" t="n"/>
    </row>
    <row r="3324" ht="14.25" customHeight="1" s="40">
      <c r="A3324" s="24" t="n"/>
      <c r="B3324" s="29" t="n"/>
      <c r="C3324" s="28" t="n"/>
      <c r="D3324" s="22">
        <f t="array" ref="D3324">IF($C3324="","",IFERROR(INDEX(DATA_MASTER!$C$2:$C$5000,MATCH($C3324,DATA_MASTER!$D$2:$D$5000,0)),""))</f>
        <v/>
      </c>
      <c r="E3324" s="22">
        <f t="array" ref="E3324">IF($C3324="","",IFERROR(INDEX(DATA_MASTER!$I$2:$I$5000,MATCH($C3324,DATA_MASTER!$D$2:$D$5000,0)),""))</f>
        <v/>
      </c>
      <c r="F3324" s="22">
        <f t="array" ref="F3324">IF($C3324="","",IFERROR(INDEX(DATA_MASTER!$L$2:$L$5000,MATCH($C3324,DATA_MASTER!$D$2:$D$5000,0)),""))</f>
        <v/>
      </c>
      <c r="G3324" s="24" t="n"/>
      <c r="H3324" s="24" t="n"/>
      <c r="I3324" s="30" t="n"/>
      <c r="J3324" s="23">
        <f>IF(OR($H3324="",$I3324=""),"",$H3324*$I3324)</f>
        <v/>
      </c>
      <c r="K3324" s="24" t="n"/>
      <c r="L3324" s="24" t="n"/>
      <c r="M3324" s="29" t="n"/>
      <c r="N3324" s="28" t="n"/>
      <c r="O3324" s="24" t="n"/>
      <c r="P3324" s="24" t="n"/>
      <c r="Q3324" s="24" t="n"/>
      <c r="R3324" s="24" t="n"/>
      <c r="S3324" s="22">
        <f>IF(AND($A3324="",$C3324=""),"",IF($A3324="","Thiếu mã đơn; ","")&amp;IF(COUNTIF($A$2:$A3324,$A3324)&gt;1,"Trùng mã đơn; ","")&amp;IF(ISNA(MATCH($C3324,DATA_MASTER!$D$2:$D$5000,0)),"SĐT chưa đăng ký hội viên; ","")&amp;IF(AND($L3324="Đã chuyển khoản",$M3324=""),"Thiếu ngày nhận CK; ",""))</f>
        <v/>
      </c>
      <c r="T3324" s="24" t="n"/>
    </row>
    <row r="3325" ht="14.25" customHeight="1" s="40">
      <c r="A3325" s="24" t="n"/>
      <c r="B3325" s="29" t="n"/>
      <c r="C3325" s="28" t="n"/>
      <c r="D3325" s="22">
        <f t="array" ref="D3325">IF($C3325="","",IFERROR(INDEX(DATA_MASTER!$C$2:$C$5000,MATCH($C3325,DATA_MASTER!$D$2:$D$5000,0)),""))</f>
        <v/>
      </c>
      <c r="E3325" s="22">
        <f t="array" ref="E3325">IF($C3325="","",IFERROR(INDEX(DATA_MASTER!$I$2:$I$5000,MATCH($C3325,DATA_MASTER!$D$2:$D$5000,0)),""))</f>
        <v/>
      </c>
      <c r="F3325" s="22">
        <f t="array" ref="F3325">IF($C3325="","",IFERROR(INDEX(DATA_MASTER!$L$2:$L$5000,MATCH($C3325,DATA_MASTER!$D$2:$D$5000,0)),""))</f>
        <v/>
      </c>
      <c r="G3325" s="24" t="n"/>
      <c r="H3325" s="24" t="n"/>
      <c r="I3325" s="30" t="n"/>
      <c r="J3325" s="23">
        <f>IF(OR($H3325="",$I3325=""),"",$H3325*$I3325)</f>
        <v/>
      </c>
      <c r="K3325" s="24" t="n"/>
      <c r="L3325" s="24" t="n"/>
      <c r="M3325" s="29" t="n"/>
      <c r="N3325" s="28" t="n"/>
      <c r="O3325" s="24" t="n"/>
      <c r="P3325" s="24" t="n"/>
      <c r="Q3325" s="24" t="n"/>
      <c r="R3325" s="24" t="n"/>
      <c r="S3325" s="22">
        <f>IF(AND($A3325="",$C3325=""),"",IF($A3325="","Thiếu mã đơn; ","")&amp;IF(COUNTIF($A$2:$A3325,$A3325)&gt;1,"Trùng mã đơn; ","")&amp;IF(ISNA(MATCH($C3325,DATA_MASTER!$D$2:$D$5000,0)),"SĐT chưa đăng ký hội viên; ","")&amp;IF(AND($L3325="Đã chuyển khoản",$M3325=""),"Thiếu ngày nhận CK; ",""))</f>
        <v/>
      </c>
      <c r="T3325" s="24" t="n"/>
    </row>
    <row r="3326" ht="14.25" customHeight="1" s="40">
      <c r="A3326" s="24" t="n"/>
      <c r="B3326" s="29" t="n"/>
      <c r="C3326" s="28" t="n"/>
      <c r="D3326" s="22">
        <f t="array" ref="D3326">IF($C3326="","",IFERROR(INDEX(DATA_MASTER!$C$2:$C$5000,MATCH($C3326,DATA_MASTER!$D$2:$D$5000,0)),""))</f>
        <v/>
      </c>
      <c r="E3326" s="22">
        <f t="array" ref="E3326">IF($C3326="","",IFERROR(INDEX(DATA_MASTER!$I$2:$I$5000,MATCH($C3326,DATA_MASTER!$D$2:$D$5000,0)),""))</f>
        <v/>
      </c>
      <c r="F3326" s="22">
        <f t="array" ref="F3326">IF($C3326="","",IFERROR(INDEX(DATA_MASTER!$L$2:$L$5000,MATCH($C3326,DATA_MASTER!$D$2:$D$5000,0)),""))</f>
        <v/>
      </c>
      <c r="G3326" s="24" t="n"/>
      <c r="H3326" s="24" t="n"/>
      <c r="I3326" s="30" t="n"/>
      <c r="J3326" s="23">
        <f>IF(OR($H3326="",$I3326=""),"",$H3326*$I3326)</f>
        <v/>
      </c>
      <c r="K3326" s="24" t="n"/>
      <c r="L3326" s="24" t="n"/>
      <c r="M3326" s="29" t="n"/>
      <c r="N3326" s="28" t="n"/>
      <c r="O3326" s="24" t="n"/>
      <c r="P3326" s="24" t="n"/>
      <c r="Q3326" s="24" t="n"/>
      <c r="R3326" s="24" t="n"/>
      <c r="S3326" s="22">
        <f>IF(AND($A3326="",$C3326=""),"",IF($A3326="","Thiếu mã đơn; ","")&amp;IF(COUNTIF($A$2:$A3326,$A3326)&gt;1,"Trùng mã đơn; ","")&amp;IF(ISNA(MATCH($C3326,DATA_MASTER!$D$2:$D$5000,0)),"SĐT chưa đăng ký hội viên; ","")&amp;IF(AND($L3326="Đã chuyển khoản",$M3326=""),"Thiếu ngày nhận CK; ",""))</f>
        <v/>
      </c>
      <c r="T3326" s="24" t="n"/>
    </row>
    <row r="3327" ht="14.25" customHeight="1" s="40">
      <c r="A3327" s="24" t="n"/>
      <c r="B3327" s="29" t="n"/>
      <c r="C3327" s="28" t="n"/>
      <c r="D3327" s="22">
        <f t="array" ref="D3327">IF($C3327="","",IFERROR(INDEX(DATA_MASTER!$C$2:$C$5000,MATCH($C3327,DATA_MASTER!$D$2:$D$5000,0)),""))</f>
        <v/>
      </c>
      <c r="E3327" s="22">
        <f t="array" ref="E3327">IF($C3327="","",IFERROR(INDEX(DATA_MASTER!$I$2:$I$5000,MATCH($C3327,DATA_MASTER!$D$2:$D$5000,0)),""))</f>
        <v/>
      </c>
      <c r="F3327" s="22">
        <f t="array" ref="F3327">IF($C3327="","",IFERROR(INDEX(DATA_MASTER!$L$2:$L$5000,MATCH($C3327,DATA_MASTER!$D$2:$D$5000,0)),""))</f>
        <v/>
      </c>
      <c r="G3327" s="24" t="n"/>
      <c r="H3327" s="24" t="n"/>
      <c r="I3327" s="30" t="n"/>
      <c r="J3327" s="23">
        <f>IF(OR($H3327="",$I3327=""),"",$H3327*$I3327)</f>
        <v/>
      </c>
      <c r="K3327" s="24" t="n"/>
      <c r="L3327" s="24" t="n"/>
      <c r="M3327" s="29" t="n"/>
      <c r="N3327" s="28" t="n"/>
      <c r="O3327" s="24" t="n"/>
      <c r="P3327" s="24" t="n"/>
      <c r="Q3327" s="24" t="n"/>
      <c r="R3327" s="24" t="n"/>
      <c r="S3327" s="22">
        <f>IF(AND($A3327="",$C3327=""),"",IF($A3327="","Thiếu mã đơn; ","")&amp;IF(COUNTIF($A$2:$A3327,$A3327)&gt;1,"Trùng mã đơn; ","")&amp;IF(ISNA(MATCH($C3327,DATA_MASTER!$D$2:$D$5000,0)),"SĐT chưa đăng ký hội viên; ","")&amp;IF(AND($L3327="Đã chuyển khoản",$M3327=""),"Thiếu ngày nhận CK; ",""))</f>
        <v/>
      </c>
      <c r="T3327" s="24" t="n"/>
    </row>
    <row r="3328" ht="14.25" customHeight="1" s="40">
      <c r="A3328" s="24" t="n"/>
      <c r="B3328" s="29" t="n"/>
      <c r="C3328" s="28" t="n"/>
      <c r="D3328" s="22">
        <f t="array" ref="D3328">IF($C3328="","",IFERROR(INDEX(DATA_MASTER!$C$2:$C$5000,MATCH($C3328,DATA_MASTER!$D$2:$D$5000,0)),""))</f>
        <v/>
      </c>
      <c r="E3328" s="22">
        <f t="array" ref="E3328">IF($C3328="","",IFERROR(INDEX(DATA_MASTER!$I$2:$I$5000,MATCH($C3328,DATA_MASTER!$D$2:$D$5000,0)),""))</f>
        <v/>
      </c>
      <c r="F3328" s="22">
        <f t="array" ref="F3328">IF($C3328="","",IFERROR(INDEX(DATA_MASTER!$L$2:$L$5000,MATCH($C3328,DATA_MASTER!$D$2:$D$5000,0)),""))</f>
        <v/>
      </c>
      <c r="G3328" s="24" t="n"/>
      <c r="H3328" s="24" t="n"/>
      <c r="I3328" s="30" t="n"/>
      <c r="J3328" s="23">
        <f>IF(OR($H3328="",$I3328=""),"",$H3328*$I3328)</f>
        <v/>
      </c>
      <c r="K3328" s="24" t="n"/>
      <c r="L3328" s="24" t="n"/>
      <c r="M3328" s="29" t="n"/>
      <c r="N3328" s="28" t="n"/>
      <c r="O3328" s="24" t="n"/>
      <c r="P3328" s="24" t="n"/>
      <c r="Q3328" s="24" t="n"/>
      <c r="R3328" s="24" t="n"/>
      <c r="S3328" s="22">
        <f>IF(AND($A3328="",$C3328=""),"",IF($A3328="","Thiếu mã đơn; ","")&amp;IF(COUNTIF($A$2:$A3328,$A3328)&gt;1,"Trùng mã đơn; ","")&amp;IF(ISNA(MATCH($C3328,DATA_MASTER!$D$2:$D$5000,0)),"SĐT chưa đăng ký hội viên; ","")&amp;IF(AND($L3328="Đã chuyển khoản",$M3328=""),"Thiếu ngày nhận CK; ",""))</f>
        <v/>
      </c>
      <c r="T3328" s="24" t="n"/>
    </row>
    <row r="3329" ht="14.25" customHeight="1" s="40">
      <c r="A3329" s="24" t="n"/>
      <c r="B3329" s="29" t="n"/>
      <c r="C3329" s="28" t="n"/>
      <c r="D3329" s="22">
        <f t="array" ref="D3329">IF($C3329="","",IFERROR(INDEX(DATA_MASTER!$C$2:$C$5000,MATCH($C3329,DATA_MASTER!$D$2:$D$5000,0)),""))</f>
        <v/>
      </c>
      <c r="E3329" s="22">
        <f t="array" ref="E3329">IF($C3329="","",IFERROR(INDEX(DATA_MASTER!$I$2:$I$5000,MATCH($C3329,DATA_MASTER!$D$2:$D$5000,0)),""))</f>
        <v/>
      </c>
      <c r="F3329" s="22">
        <f t="array" ref="F3329">IF($C3329="","",IFERROR(INDEX(DATA_MASTER!$L$2:$L$5000,MATCH($C3329,DATA_MASTER!$D$2:$D$5000,0)),""))</f>
        <v/>
      </c>
      <c r="G3329" s="24" t="n"/>
      <c r="H3329" s="24" t="n"/>
      <c r="I3329" s="30" t="n"/>
      <c r="J3329" s="23">
        <f>IF(OR($H3329="",$I3329=""),"",$H3329*$I3329)</f>
        <v/>
      </c>
      <c r="K3329" s="24" t="n"/>
      <c r="L3329" s="24" t="n"/>
      <c r="M3329" s="29" t="n"/>
      <c r="N3329" s="28" t="n"/>
      <c r="O3329" s="24" t="n"/>
      <c r="P3329" s="24" t="n"/>
      <c r="Q3329" s="24" t="n"/>
      <c r="R3329" s="24" t="n"/>
      <c r="S3329" s="22">
        <f>IF(AND($A3329="",$C3329=""),"",IF($A3329="","Thiếu mã đơn; ","")&amp;IF(COUNTIF($A$2:$A3329,$A3329)&gt;1,"Trùng mã đơn; ","")&amp;IF(ISNA(MATCH($C3329,DATA_MASTER!$D$2:$D$5000,0)),"SĐT chưa đăng ký hội viên; ","")&amp;IF(AND($L3329="Đã chuyển khoản",$M3329=""),"Thiếu ngày nhận CK; ",""))</f>
        <v/>
      </c>
      <c r="T3329" s="24" t="n"/>
    </row>
    <row r="3330" ht="14.25" customHeight="1" s="40">
      <c r="A3330" s="24" t="n"/>
      <c r="B3330" s="29" t="n"/>
      <c r="C3330" s="28" t="n"/>
      <c r="D3330" s="22">
        <f t="array" ref="D3330">IF($C3330="","",IFERROR(INDEX(DATA_MASTER!$C$2:$C$5000,MATCH($C3330,DATA_MASTER!$D$2:$D$5000,0)),""))</f>
        <v/>
      </c>
      <c r="E3330" s="22">
        <f t="array" ref="E3330">IF($C3330="","",IFERROR(INDEX(DATA_MASTER!$I$2:$I$5000,MATCH($C3330,DATA_MASTER!$D$2:$D$5000,0)),""))</f>
        <v/>
      </c>
      <c r="F3330" s="22">
        <f t="array" ref="F3330">IF($C3330="","",IFERROR(INDEX(DATA_MASTER!$L$2:$L$5000,MATCH($C3330,DATA_MASTER!$D$2:$D$5000,0)),""))</f>
        <v/>
      </c>
      <c r="G3330" s="24" t="n"/>
      <c r="H3330" s="24" t="n"/>
      <c r="I3330" s="30" t="n"/>
      <c r="J3330" s="23">
        <f>IF(OR($H3330="",$I3330=""),"",$H3330*$I3330)</f>
        <v/>
      </c>
      <c r="K3330" s="24" t="n"/>
      <c r="L3330" s="24" t="n"/>
      <c r="M3330" s="29" t="n"/>
      <c r="N3330" s="28" t="n"/>
      <c r="O3330" s="24" t="n"/>
      <c r="P3330" s="24" t="n"/>
      <c r="Q3330" s="24" t="n"/>
      <c r="R3330" s="24" t="n"/>
      <c r="S3330" s="22">
        <f>IF(AND($A3330="",$C3330=""),"",IF($A3330="","Thiếu mã đơn; ","")&amp;IF(COUNTIF($A$2:$A3330,$A3330)&gt;1,"Trùng mã đơn; ","")&amp;IF(ISNA(MATCH($C3330,DATA_MASTER!$D$2:$D$5000,0)),"SĐT chưa đăng ký hội viên; ","")&amp;IF(AND($L3330="Đã chuyển khoản",$M3330=""),"Thiếu ngày nhận CK; ",""))</f>
        <v/>
      </c>
      <c r="T3330" s="24" t="n"/>
    </row>
    <row r="3331" ht="14.25" customHeight="1" s="40">
      <c r="A3331" s="24" t="n"/>
      <c r="B3331" s="29" t="n"/>
      <c r="C3331" s="28" t="n"/>
      <c r="D3331" s="22">
        <f t="array" ref="D3331">IF($C3331="","",IFERROR(INDEX(DATA_MASTER!$C$2:$C$5000,MATCH($C3331,DATA_MASTER!$D$2:$D$5000,0)),""))</f>
        <v/>
      </c>
      <c r="E3331" s="22">
        <f t="array" ref="E3331">IF($C3331="","",IFERROR(INDEX(DATA_MASTER!$I$2:$I$5000,MATCH($C3331,DATA_MASTER!$D$2:$D$5000,0)),""))</f>
        <v/>
      </c>
      <c r="F3331" s="22">
        <f t="array" ref="F3331">IF($C3331="","",IFERROR(INDEX(DATA_MASTER!$L$2:$L$5000,MATCH($C3331,DATA_MASTER!$D$2:$D$5000,0)),""))</f>
        <v/>
      </c>
      <c r="G3331" s="24" t="n"/>
      <c r="H3331" s="24" t="n"/>
      <c r="I3331" s="30" t="n"/>
      <c r="J3331" s="23">
        <f>IF(OR($H3331="",$I3331=""),"",$H3331*$I3331)</f>
        <v/>
      </c>
      <c r="K3331" s="24" t="n"/>
      <c r="L3331" s="24" t="n"/>
      <c r="M3331" s="29" t="n"/>
      <c r="N3331" s="28" t="n"/>
      <c r="O3331" s="24" t="n"/>
      <c r="P3331" s="24" t="n"/>
      <c r="Q3331" s="24" t="n"/>
      <c r="R3331" s="24" t="n"/>
      <c r="S3331" s="22">
        <f>IF(AND($A3331="",$C3331=""),"",IF($A3331="","Thiếu mã đơn; ","")&amp;IF(COUNTIF($A$2:$A3331,$A3331)&gt;1,"Trùng mã đơn; ","")&amp;IF(ISNA(MATCH($C3331,DATA_MASTER!$D$2:$D$5000,0)),"SĐT chưa đăng ký hội viên; ","")&amp;IF(AND($L3331="Đã chuyển khoản",$M3331=""),"Thiếu ngày nhận CK; ",""))</f>
        <v/>
      </c>
      <c r="T3331" s="24" t="n"/>
    </row>
    <row r="3332" ht="14.25" customHeight="1" s="40">
      <c r="A3332" s="24" t="n"/>
      <c r="B3332" s="29" t="n"/>
      <c r="C3332" s="28" t="n"/>
      <c r="D3332" s="22">
        <f t="array" ref="D3332">IF($C3332="","",IFERROR(INDEX(DATA_MASTER!$C$2:$C$5000,MATCH($C3332,DATA_MASTER!$D$2:$D$5000,0)),""))</f>
        <v/>
      </c>
      <c r="E3332" s="22">
        <f t="array" ref="E3332">IF($C3332="","",IFERROR(INDEX(DATA_MASTER!$I$2:$I$5000,MATCH($C3332,DATA_MASTER!$D$2:$D$5000,0)),""))</f>
        <v/>
      </c>
      <c r="F3332" s="22">
        <f t="array" ref="F3332">IF($C3332="","",IFERROR(INDEX(DATA_MASTER!$L$2:$L$5000,MATCH($C3332,DATA_MASTER!$D$2:$D$5000,0)),""))</f>
        <v/>
      </c>
      <c r="G3332" s="24" t="n"/>
      <c r="H3332" s="24" t="n"/>
      <c r="I3332" s="30" t="n"/>
      <c r="J3332" s="23">
        <f>IF(OR($H3332="",$I3332=""),"",$H3332*$I3332)</f>
        <v/>
      </c>
      <c r="K3332" s="24" t="n"/>
      <c r="L3332" s="24" t="n"/>
      <c r="M3332" s="29" t="n"/>
      <c r="N3332" s="28" t="n"/>
      <c r="O3332" s="24" t="n"/>
      <c r="P3332" s="24" t="n"/>
      <c r="Q3332" s="24" t="n"/>
      <c r="R3332" s="24" t="n"/>
      <c r="S3332" s="22">
        <f>IF(AND($A3332="",$C3332=""),"",IF($A3332="","Thiếu mã đơn; ","")&amp;IF(COUNTIF($A$2:$A3332,$A3332)&gt;1,"Trùng mã đơn; ","")&amp;IF(ISNA(MATCH($C3332,DATA_MASTER!$D$2:$D$5000,0)),"SĐT chưa đăng ký hội viên; ","")&amp;IF(AND($L3332="Đã chuyển khoản",$M3332=""),"Thiếu ngày nhận CK; ",""))</f>
        <v/>
      </c>
      <c r="T3332" s="24" t="n"/>
    </row>
    <row r="3333" ht="14.25" customHeight="1" s="40">
      <c r="A3333" s="24" t="n"/>
      <c r="B3333" s="29" t="n"/>
      <c r="C3333" s="28" t="n"/>
      <c r="D3333" s="22">
        <f t="array" ref="D3333">IF($C3333="","",IFERROR(INDEX(DATA_MASTER!$C$2:$C$5000,MATCH($C3333,DATA_MASTER!$D$2:$D$5000,0)),""))</f>
        <v/>
      </c>
      <c r="E3333" s="22">
        <f t="array" ref="E3333">IF($C3333="","",IFERROR(INDEX(DATA_MASTER!$I$2:$I$5000,MATCH($C3333,DATA_MASTER!$D$2:$D$5000,0)),""))</f>
        <v/>
      </c>
      <c r="F3333" s="22">
        <f t="array" ref="F3333">IF($C3333="","",IFERROR(INDEX(DATA_MASTER!$L$2:$L$5000,MATCH($C3333,DATA_MASTER!$D$2:$D$5000,0)),""))</f>
        <v/>
      </c>
      <c r="G3333" s="24" t="n"/>
      <c r="H3333" s="24" t="n"/>
      <c r="I3333" s="30" t="n"/>
      <c r="J3333" s="23">
        <f>IF(OR($H3333="",$I3333=""),"",$H3333*$I3333)</f>
        <v/>
      </c>
      <c r="K3333" s="24" t="n"/>
      <c r="L3333" s="24" t="n"/>
      <c r="M3333" s="29" t="n"/>
      <c r="N3333" s="28" t="n"/>
      <c r="O3333" s="24" t="n"/>
      <c r="P3333" s="24" t="n"/>
      <c r="Q3333" s="24" t="n"/>
      <c r="R3333" s="24" t="n"/>
      <c r="S3333" s="22">
        <f>IF(AND($A3333="",$C3333=""),"",IF($A3333="","Thiếu mã đơn; ","")&amp;IF(COUNTIF($A$2:$A3333,$A3333)&gt;1,"Trùng mã đơn; ","")&amp;IF(ISNA(MATCH($C3333,DATA_MASTER!$D$2:$D$5000,0)),"SĐT chưa đăng ký hội viên; ","")&amp;IF(AND($L3333="Đã chuyển khoản",$M3333=""),"Thiếu ngày nhận CK; ",""))</f>
        <v/>
      </c>
      <c r="T3333" s="24" t="n"/>
    </row>
    <row r="3334" ht="14.25" customHeight="1" s="40">
      <c r="A3334" s="24" t="n"/>
      <c r="B3334" s="29" t="n"/>
      <c r="C3334" s="28" t="n"/>
      <c r="D3334" s="22">
        <f t="array" ref="D3334">IF($C3334="","",IFERROR(INDEX(DATA_MASTER!$C$2:$C$5000,MATCH($C3334,DATA_MASTER!$D$2:$D$5000,0)),""))</f>
        <v/>
      </c>
      <c r="E3334" s="22">
        <f t="array" ref="E3334">IF($C3334="","",IFERROR(INDEX(DATA_MASTER!$I$2:$I$5000,MATCH($C3334,DATA_MASTER!$D$2:$D$5000,0)),""))</f>
        <v/>
      </c>
      <c r="F3334" s="22">
        <f t="array" ref="F3334">IF($C3334="","",IFERROR(INDEX(DATA_MASTER!$L$2:$L$5000,MATCH($C3334,DATA_MASTER!$D$2:$D$5000,0)),""))</f>
        <v/>
      </c>
      <c r="G3334" s="24" t="n"/>
      <c r="H3334" s="24" t="n"/>
      <c r="I3334" s="30" t="n"/>
      <c r="J3334" s="23">
        <f>IF(OR($H3334="",$I3334=""),"",$H3334*$I3334)</f>
        <v/>
      </c>
      <c r="K3334" s="24" t="n"/>
      <c r="L3334" s="24" t="n"/>
      <c r="M3334" s="29" t="n"/>
      <c r="N3334" s="28" t="n"/>
      <c r="O3334" s="24" t="n"/>
      <c r="P3334" s="24" t="n"/>
      <c r="Q3334" s="24" t="n"/>
      <c r="R3334" s="24" t="n"/>
      <c r="S3334" s="22">
        <f>IF(AND($A3334="",$C3334=""),"",IF($A3334="","Thiếu mã đơn; ","")&amp;IF(COUNTIF($A$2:$A3334,$A3334)&gt;1,"Trùng mã đơn; ","")&amp;IF(ISNA(MATCH($C3334,DATA_MASTER!$D$2:$D$5000,0)),"SĐT chưa đăng ký hội viên; ","")&amp;IF(AND($L3334="Đã chuyển khoản",$M3334=""),"Thiếu ngày nhận CK; ",""))</f>
        <v/>
      </c>
      <c r="T3334" s="24" t="n"/>
    </row>
    <row r="3335" ht="14.25" customHeight="1" s="40">
      <c r="A3335" s="24" t="n"/>
      <c r="B3335" s="29" t="n"/>
      <c r="C3335" s="28" t="n"/>
      <c r="D3335" s="22">
        <f t="array" ref="D3335">IF($C3335="","",IFERROR(INDEX(DATA_MASTER!$C$2:$C$5000,MATCH($C3335,DATA_MASTER!$D$2:$D$5000,0)),""))</f>
        <v/>
      </c>
      <c r="E3335" s="22">
        <f t="array" ref="E3335">IF($C3335="","",IFERROR(INDEX(DATA_MASTER!$I$2:$I$5000,MATCH($C3335,DATA_MASTER!$D$2:$D$5000,0)),""))</f>
        <v/>
      </c>
      <c r="F3335" s="22">
        <f t="array" ref="F3335">IF($C3335="","",IFERROR(INDEX(DATA_MASTER!$L$2:$L$5000,MATCH($C3335,DATA_MASTER!$D$2:$D$5000,0)),""))</f>
        <v/>
      </c>
      <c r="G3335" s="24" t="n"/>
      <c r="H3335" s="24" t="n"/>
      <c r="I3335" s="30" t="n"/>
      <c r="J3335" s="23">
        <f>IF(OR($H3335="",$I3335=""),"",$H3335*$I3335)</f>
        <v/>
      </c>
      <c r="K3335" s="24" t="n"/>
      <c r="L3335" s="24" t="n"/>
      <c r="M3335" s="29" t="n"/>
      <c r="N3335" s="28" t="n"/>
      <c r="O3335" s="24" t="n"/>
      <c r="P3335" s="24" t="n"/>
      <c r="Q3335" s="24" t="n"/>
      <c r="R3335" s="24" t="n"/>
      <c r="S3335" s="22">
        <f>IF(AND($A3335="",$C3335=""),"",IF($A3335="","Thiếu mã đơn; ","")&amp;IF(COUNTIF($A$2:$A3335,$A3335)&gt;1,"Trùng mã đơn; ","")&amp;IF(ISNA(MATCH($C3335,DATA_MASTER!$D$2:$D$5000,0)),"SĐT chưa đăng ký hội viên; ","")&amp;IF(AND($L3335="Đã chuyển khoản",$M3335=""),"Thiếu ngày nhận CK; ",""))</f>
        <v/>
      </c>
      <c r="T3335" s="24" t="n"/>
    </row>
    <row r="3336" ht="14.25" customHeight="1" s="40">
      <c r="A3336" s="24" t="n"/>
      <c r="B3336" s="29" t="n"/>
      <c r="C3336" s="28" t="n"/>
      <c r="D3336" s="22">
        <f t="array" ref="D3336">IF($C3336="","",IFERROR(INDEX(DATA_MASTER!$C$2:$C$5000,MATCH($C3336,DATA_MASTER!$D$2:$D$5000,0)),""))</f>
        <v/>
      </c>
      <c r="E3336" s="22">
        <f t="array" ref="E3336">IF($C3336="","",IFERROR(INDEX(DATA_MASTER!$I$2:$I$5000,MATCH($C3336,DATA_MASTER!$D$2:$D$5000,0)),""))</f>
        <v/>
      </c>
      <c r="F3336" s="22">
        <f t="array" ref="F3336">IF($C3336="","",IFERROR(INDEX(DATA_MASTER!$L$2:$L$5000,MATCH($C3336,DATA_MASTER!$D$2:$D$5000,0)),""))</f>
        <v/>
      </c>
      <c r="G3336" s="24" t="n"/>
      <c r="H3336" s="24" t="n"/>
      <c r="I3336" s="30" t="n"/>
      <c r="J3336" s="23">
        <f>IF(OR($H3336="",$I3336=""),"",$H3336*$I3336)</f>
        <v/>
      </c>
      <c r="K3336" s="24" t="n"/>
      <c r="L3336" s="24" t="n"/>
      <c r="M3336" s="29" t="n"/>
      <c r="N3336" s="28" t="n"/>
      <c r="O3336" s="24" t="n"/>
      <c r="P3336" s="24" t="n"/>
      <c r="Q3336" s="24" t="n"/>
      <c r="R3336" s="24" t="n"/>
      <c r="S3336" s="22">
        <f>IF(AND($A3336="",$C3336=""),"",IF($A3336="","Thiếu mã đơn; ","")&amp;IF(COUNTIF($A$2:$A3336,$A3336)&gt;1,"Trùng mã đơn; ","")&amp;IF(ISNA(MATCH($C3336,DATA_MASTER!$D$2:$D$5000,0)),"SĐT chưa đăng ký hội viên; ","")&amp;IF(AND($L3336="Đã chuyển khoản",$M3336=""),"Thiếu ngày nhận CK; ",""))</f>
        <v/>
      </c>
      <c r="T3336" s="24" t="n"/>
    </row>
    <row r="3337" ht="14.25" customHeight="1" s="40">
      <c r="A3337" s="24" t="n"/>
      <c r="B3337" s="29" t="n"/>
      <c r="C3337" s="28" t="n"/>
      <c r="D3337" s="22">
        <f t="array" ref="D3337">IF($C3337="","",IFERROR(INDEX(DATA_MASTER!$C$2:$C$5000,MATCH($C3337,DATA_MASTER!$D$2:$D$5000,0)),""))</f>
        <v/>
      </c>
      <c r="E3337" s="22">
        <f t="array" ref="E3337">IF($C3337="","",IFERROR(INDEX(DATA_MASTER!$I$2:$I$5000,MATCH($C3337,DATA_MASTER!$D$2:$D$5000,0)),""))</f>
        <v/>
      </c>
      <c r="F3337" s="22">
        <f t="array" ref="F3337">IF($C3337="","",IFERROR(INDEX(DATA_MASTER!$L$2:$L$5000,MATCH($C3337,DATA_MASTER!$D$2:$D$5000,0)),""))</f>
        <v/>
      </c>
      <c r="G3337" s="24" t="n"/>
      <c r="H3337" s="24" t="n"/>
      <c r="I3337" s="30" t="n"/>
      <c r="J3337" s="23">
        <f>IF(OR($H3337="",$I3337=""),"",$H3337*$I3337)</f>
        <v/>
      </c>
      <c r="K3337" s="24" t="n"/>
      <c r="L3337" s="24" t="n"/>
      <c r="M3337" s="29" t="n"/>
      <c r="N3337" s="28" t="n"/>
      <c r="O3337" s="24" t="n"/>
      <c r="P3337" s="24" t="n"/>
      <c r="Q3337" s="24" t="n"/>
      <c r="R3337" s="24" t="n"/>
      <c r="S3337" s="22">
        <f>IF(AND($A3337="",$C3337=""),"",IF($A3337="","Thiếu mã đơn; ","")&amp;IF(COUNTIF($A$2:$A3337,$A3337)&gt;1,"Trùng mã đơn; ","")&amp;IF(ISNA(MATCH($C3337,DATA_MASTER!$D$2:$D$5000,0)),"SĐT chưa đăng ký hội viên; ","")&amp;IF(AND($L3337="Đã chuyển khoản",$M3337=""),"Thiếu ngày nhận CK; ",""))</f>
        <v/>
      </c>
      <c r="T3337" s="24" t="n"/>
    </row>
    <row r="3338" ht="14.25" customHeight="1" s="40">
      <c r="A3338" s="24" t="n"/>
      <c r="B3338" s="29" t="n"/>
      <c r="C3338" s="28" t="n"/>
      <c r="D3338" s="22">
        <f t="array" ref="D3338">IF($C3338="","",IFERROR(INDEX(DATA_MASTER!$C$2:$C$5000,MATCH($C3338,DATA_MASTER!$D$2:$D$5000,0)),""))</f>
        <v/>
      </c>
      <c r="E3338" s="22">
        <f t="array" ref="E3338">IF($C3338="","",IFERROR(INDEX(DATA_MASTER!$I$2:$I$5000,MATCH($C3338,DATA_MASTER!$D$2:$D$5000,0)),""))</f>
        <v/>
      </c>
      <c r="F3338" s="22">
        <f t="array" ref="F3338">IF($C3338="","",IFERROR(INDEX(DATA_MASTER!$L$2:$L$5000,MATCH($C3338,DATA_MASTER!$D$2:$D$5000,0)),""))</f>
        <v/>
      </c>
      <c r="G3338" s="24" t="n"/>
      <c r="H3338" s="24" t="n"/>
      <c r="I3338" s="30" t="n"/>
      <c r="J3338" s="23">
        <f>IF(OR($H3338="",$I3338=""),"",$H3338*$I3338)</f>
        <v/>
      </c>
      <c r="K3338" s="24" t="n"/>
      <c r="L3338" s="24" t="n"/>
      <c r="M3338" s="29" t="n"/>
      <c r="N3338" s="28" t="n"/>
      <c r="O3338" s="24" t="n"/>
      <c r="P3338" s="24" t="n"/>
      <c r="Q3338" s="24" t="n"/>
      <c r="R3338" s="24" t="n"/>
      <c r="S3338" s="22">
        <f>IF(AND($A3338="",$C3338=""),"",IF($A3338="","Thiếu mã đơn; ","")&amp;IF(COUNTIF($A$2:$A3338,$A3338)&gt;1,"Trùng mã đơn; ","")&amp;IF(ISNA(MATCH($C3338,DATA_MASTER!$D$2:$D$5000,0)),"SĐT chưa đăng ký hội viên; ","")&amp;IF(AND($L3338="Đã chuyển khoản",$M3338=""),"Thiếu ngày nhận CK; ",""))</f>
        <v/>
      </c>
      <c r="T3338" s="24" t="n"/>
    </row>
    <row r="3339" ht="14.25" customHeight="1" s="40">
      <c r="A3339" s="24" t="n"/>
      <c r="B3339" s="29" t="n"/>
      <c r="C3339" s="28" t="n"/>
      <c r="D3339" s="22">
        <f t="array" ref="D3339">IF($C3339="","",IFERROR(INDEX(DATA_MASTER!$C$2:$C$5000,MATCH($C3339,DATA_MASTER!$D$2:$D$5000,0)),""))</f>
        <v/>
      </c>
      <c r="E3339" s="22">
        <f t="array" ref="E3339">IF($C3339="","",IFERROR(INDEX(DATA_MASTER!$I$2:$I$5000,MATCH($C3339,DATA_MASTER!$D$2:$D$5000,0)),""))</f>
        <v/>
      </c>
      <c r="F3339" s="22">
        <f t="array" ref="F3339">IF($C3339="","",IFERROR(INDEX(DATA_MASTER!$L$2:$L$5000,MATCH($C3339,DATA_MASTER!$D$2:$D$5000,0)),""))</f>
        <v/>
      </c>
      <c r="G3339" s="24" t="n"/>
      <c r="H3339" s="24" t="n"/>
      <c r="I3339" s="30" t="n"/>
      <c r="J3339" s="23">
        <f>IF(OR($H3339="",$I3339=""),"",$H3339*$I3339)</f>
        <v/>
      </c>
      <c r="K3339" s="24" t="n"/>
      <c r="L3339" s="24" t="n"/>
      <c r="M3339" s="29" t="n"/>
      <c r="N3339" s="28" t="n"/>
      <c r="O3339" s="24" t="n"/>
      <c r="P3339" s="24" t="n"/>
      <c r="Q3339" s="24" t="n"/>
      <c r="R3339" s="24" t="n"/>
      <c r="S3339" s="22">
        <f>IF(AND($A3339="",$C3339=""),"",IF($A3339="","Thiếu mã đơn; ","")&amp;IF(COUNTIF($A$2:$A3339,$A3339)&gt;1,"Trùng mã đơn; ","")&amp;IF(ISNA(MATCH($C3339,DATA_MASTER!$D$2:$D$5000,0)),"SĐT chưa đăng ký hội viên; ","")&amp;IF(AND($L3339="Đã chuyển khoản",$M3339=""),"Thiếu ngày nhận CK; ",""))</f>
        <v/>
      </c>
      <c r="T3339" s="24" t="n"/>
    </row>
    <row r="3340" ht="14.25" customHeight="1" s="40">
      <c r="A3340" s="24" t="n"/>
      <c r="B3340" s="29" t="n"/>
      <c r="C3340" s="28" t="n"/>
      <c r="D3340" s="22">
        <f t="array" ref="D3340">IF($C3340="","",IFERROR(INDEX(DATA_MASTER!$C$2:$C$5000,MATCH($C3340,DATA_MASTER!$D$2:$D$5000,0)),""))</f>
        <v/>
      </c>
      <c r="E3340" s="22">
        <f t="array" ref="E3340">IF($C3340="","",IFERROR(INDEX(DATA_MASTER!$I$2:$I$5000,MATCH($C3340,DATA_MASTER!$D$2:$D$5000,0)),""))</f>
        <v/>
      </c>
      <c r="F3340" s="22">
        <f t="array" ref="F3340">IF($C3340="","",IFERROR(INDEX(DATA_MASTER!$L$2:$L$5000,MATCH($C3340,DATA_MASTER!$D$2:$D$5000,0)),""))</f>
        <v/>
      </c>
      <c r="G3340" s="24" t="n"/>
      <c r="H3340" s="24" t="n"/>
      <c r="I3340" s="30" t="n"/>
      <c r="J3340" s="23">
        <f>IF(OR($H3340="",$I3340=""),"",$H3340*$I3340)</f>
        <v/>
      </c>
      <c r="K3340" s="24" t="n"/>
      <c r="L3340" s="24" t="n"/>
      <c r="M3340" s="29" t="n"/>
      <c r="N3340" s="28" t="n"/>
      <c r="O3340" s="24" t="n"/>
      <c r="P3340" s="24" t="n"/>
      <c r="Q3340" s="24" t="n"/>
      <c r="R3340" s="24" t="n"/>
      <c r="S3340" s="22">
        <f>IF(AND($A3340="",$C3340=""),"",IF($A3340="","Thiếu mã đơn; ","")&amp;IF(COUNTIF($A$2:$A3340,$A3340)&gt;1,"Trùng mã đơn; ","")&amp;IF(ISNA(MATCH($C3340,DATA_MASTER!$D$2:$D$5000,0)),"SĐT chưa đăng ký hội viên; ","")&amp;IF(AND($L3340="Đã chuyển khoản",$M3340=""),"Thiếu ngày nhận CK; ",""))</f>
        <v/>
      </c>
      <c r="T3340" s="24" t="n"/>
    </row>
    <row r="3341" ht="14.25" customHeight="1" s="40">
      <c r="A3341" s="24" t="n"/>
      <c r="B3341" s="29" t="n"/>
      <c r="C3341" s="28" t="n"/>
      <c r="D3341" s="22">
        <f t="array" ref="D3341">IF($C3341="","",IFERROR(INDEX(DATA_MASTER!$C$2:$C$5000,MATCH($C3341,DATA_MASTER!$D$2:$D$5000,0)),""))</f>
        <v/>
      </c>
      <c r="E3341" s="22">
        <f t="array" ref="E3341">IF($C3341="","",IFERROR(INDEX(DATA_MASTER!$I$2:$I$5000,MATCH($C3341,DATA_MASTER!$D$2:$D$5000,0)),""))</f>
        <v/>
      </c>
      <c r="F3341" s="22">
        <f t="array" ref="F3341">IF($C3341="","",IFERROR(INDEX(DATA_MASTER!$L$2:$L$5000,MATCH($C3341,DATA_MASTER!$D$2:$D$5000,0)),""))</f>
        <v/>
      </c>
      <c r="G3341" s="24" t="n"/>
      <c r="H3341" s="24" t="n"/>
      <c r="I3341" s="30" t="n"/>
      <c r="J3341" s="23">
        <f>IF(OR($H3341="",$I3341=""),"",$H3341*$I3341)</f>
        <v/>
      </c>
      <c r="K3341" s="24" t="n"/>
      <c r="L3341" s="24" t="n"/>
      <c r="M3341" s="29" t="n"/>
      <c r="N3341" s="28" t="n"/>
      <c r="O3341" s="24" t="n"/>
      <c r="P3341" s="24" t="n"/>
      <c r="Q3341" s="24" t="n"/>
      <c r="R3341" s="24" t="n"/>
      <c r="S3341" s="22">
        <f>IF(AND($A3341="",$C3341=""),"",IF($A3341="","Thiếu mã đơn; ","")&amp;IF(COUNTIF($A$2:$A3341,$A3341)&gt;1,"Trùng mã đơn; ","")&amp;IF(ISNA(MATCH($C3341,DATA_MASTER!$D$2:$D$5000,0)),"SĐT chưa đăng ký hội viên; ","")&amp;IF(AND($L3341="Đã chuyển khoản",$M3341=""),"Thiếu ngày nhận CK; ",""))</f>
        <v/>
      </c>
      <c r="T3341" s="24" t="n"/>
    </row>
    <row r="3342" ht="14.25" customHeight="1" s="40">
      <c r="A3342" s="24" t="n"/>
      <c r="B3342" s="29" t="n"/>
      <c r="C3342" s="28" t="n"/>
      <c r="D3342" s="22">
        <f t="array" ref="D3342">IF($C3342="","",IFERROR(INDEX(DATA_MASTER!$C$2:$C$5000,MATCH($C3342,DATA_MASTER!$D$2:$D$5000,0)),""))</f>
        <v/>
      </c>
      <c r="E3342" s="22">
        <f t="array" ref="E3342">IF($C3342="","",IFERROR(INDEX(DATA_MASTER!$I$2:$I$5000,MATCH($C3342,DATA_MASTER!$D$2:$D$5000,0)),""))</f>
        <v/>
      </c>
      <c r="F3342" s="22">
        <f t="array" ref="F3342">IF($C3342="","",IFERROR(INDEX(DATA_MASTER!$L$2:$L$5000,MATCH($C3342,DATA_MASTER!$D$2:$D$5000,0)),""))</f>
        <v/>
      </c>
      <c r="G3342" s="24" t="n"/>
      <c r="H3342" s="24" t="n"/>
      <c r="I3342" s="30" t="n"/>
      <c r="J3342" s="23">
        <f>IF(OR($H3342="",$I3342=""),"",$H3342*$I3342)</f>
        <v/>
      </c>
      <c r="K3342" s="24" t="n"/>
      <c r="L3342" s="24" t="n"/>
      <c r="M3342" s="29" t="n"/>
      <c r="N3342" s="28" t="n"/>
      <c r="O3342" s="24" t="n"/>
      <c r="P3342" s="24" t="n"/>
      <c r="Q3342" s="24" t="n"/>
      <c r="R3342" s="24" t="n"/>
      <c r="S3342" s="22">
        <f>IF(AND($A3342="",$C3342=""),"",IF($A3342="","Thiếu mã đơn; ","")&amp;IF(COUNTIF($A$2:$A3342,$A3342)&gt;1,"Trùng mã đơn; ","")&amp;IF(ISNA(MATCH($C3342,DATA_MASTER!$D$2:$D$5000,0)),"SĐT chưa đăng ký hội viên; ","")&amp;IF(AND($L3342="Đã chuyển khoản",$M3342=""),"Thiếu ngày nhận CK; ",""))</f>
        <v/>
      </c>
      <c r="T3342" s="24" t="n"/>
    </row>
    <row r="3343" ht="14.25" customHeight="1" s="40">
      <c r="A3343" s="24" t="n"/>
      <c r="B3343" s="29" t="n"/>
      <c r="C3343" s="28" t="n"/>
      <c r="D3343" s="22">
        <f t="array" ref="D3343">IF($C3343="","",IFERROR(INDEX(DATA_MASTER!$C$2:$C$5000,MATCH($C3343,DATA_MASTER!$D$2:$D$5000,0)),""))</f>
        <v/>
      </c>
      <c r="E3343" s="22">
        <f t="array" ref="E3343">IF($C3343="","",IFERROR(INDEX(DATA_MASTER!$I$2:$I$5000,MATCH($C3343,DATA_MASTER!$D$2:$D$5000,0)),""))</f>
        <v/>
      </c>
      <c r="F3343" s="22">
        <f t="array" ref="F3343">IF($C3343="","",IFERROR(INDEX(DATA_MASTER!$L$2:$L$5000,MATCH($C3343,DATA_MASTER!$D$2:$D$5000,0)),""))</f>
        <v/>
      </c>
      <c r="G3343" s="24" t="n"/>
      <c r="H3343" s="24" t="n"/>
      <c r="I3343" s="30" t="n"/>
      <c r="J3343" s="23">
        <f>IF(OR($H3343="",$I3343=""),"",$H3343*$I3343)</f>
        <v/>
      </c>
      <c r="K3343" s="24" t="n"/>
      <c r="L3343" s="24" t="n"/>
      <c r="M3343" s="29" t="n"/>
      <c r="N3343" s="28" t="n"/>
      <c r="O3343" s="24" t="n"/>
      <c r="P3343" s="24" t="n"/>
      <c r="Q3343" s="24" t="n"/>
      <c r="R3343" s="24" t="n"/>
      <c r="S3343" s="22">
        <f>IF(AND($A3343="",$C3343=""),"",IF($A3343="","Thiếu mã đơn; ","")&amp;IF(COUNTIF($A$2:$A3343,$A3343)&gt;1,"Trùng mã đơn; ","")&amp;IF(ISNA(MATCH($C3343,DATA_MASTER!$D$2:$D$5000,0)),"SĐT chưa đăng ký hội viên; ","")&amp;IF(AND($L3343="Đã chuyển khoản",$M3343=""),"Thiếu ngày nhận CK; ",""))</f>
        <v/>
      </c>
      <c r="T3343" s="24" t="n"/>
    </row>
    <row r="3344" ht="14.25" customHeight="1" s="40">
      <c r="A3344" s="24" t="n"/>
      <c r="B3344" s="29" t="n"/>
      <c r="C3344" s="28" t="n"/>
      <c r="D3344" s="22">
        <f t="array" ref="D3344">IF($C3344="","",IFERROR(INDEX(DATA_MASTER!$C$2:$C$5000,MATCH($C3344,DATA_MASTER!$D$2:$D$5000,0)),""))</f>
        <v/>
      </c>
      <c r="E3344" s="22">
        <f t="array" ref="E3344">IF($C3344="","",IFERROR(INDEX(DATA_MASTER!$I$2:$I$5000,MATCH($C3344,DATA_MASTER!$D$2:$D$5000,0)),""))</f>
        <v/>
      </c>
      <c r="F3344" s="22">
        <f t="array" ref="F3344">IF($C3344="","",IFERROR(INDEX(DATA_MASTER!$L$2:$L$5000,MATCH($C3344,DATA_MASTER!$D$2:$D$5000,0)),""))</f>
        <v/>
      </c>
      <c r="G3344" s="24" t="n"/>
      <c r="H3344" s="24" t="n"/>
      <c r="I3344" s="30" t="n"/>
      <c r="J3344" s="23">
        <f>IF(OR($H3344="",$I3344=""),"",$H3344*$I3344)</f>
        <v/>
      </c>
      <c r="K3344" s="24" t="n"/>
      <c r="L3344" s="24" t="n"/>
      <c r="M3344" s="29" t="n"/>
      <c r="N3344" s="28" t="n"/>
      <c r="O3344" s="24" t="n"/>
      <c r="P3344" s="24" t="n"/>
      <c r="Q3344" s="24" t="n"/>
      <c r="R3344" s="24" t="n"/>
      <c r="S3344" s="22">
        <f>IF(AND($A3344="",$C3344=""),"",IF($A3344="","Thiếu mã đơn; ","")&amp;IF(COUNTIF($A$2:$A3344,$A3344)&gt;1,"Trùng mã đơn; ","")&amp;IF(ISNA(MATCH($C3344,DATA_MASTER!$D$2:$D$5000,0)),"SĐT chưa đăng ký hội viên; ","")&amp;IF(AND($L3344="Đã chuyển khoản",$M3344=""),"Thiếu ngày nhận CK; ",""))</f>
        <v/>
      </c>
      <c r="T3344" s="24" t="n"/>
    </row>
    <row r="3345" ht="14.25" customHeight="1" s="40">
      <c r="A3345" s="24" t="n"/>
      <c r="B3345" s="29" t="n"/>
      <c r="C3345" s="28" t="n"/>
      <c r="D3345" s="22">
        <f t="array" ref="D3345">IF($C3345="","",IFERROR(INDEX(DATA_MASTER!$C$2:$C$5000,MATCH($C3345,DATA_MASTER!$D$2:$D$5000,0)),""))</f>
        <v/>
      </c>
      <c r="E3345" s="22">
        <f t="array" ref="E3345">IF($C3345="","",IFERROR(INDEX(DATA_MASTER!$I$2:$I$5000,MATCH($C3345,DATA_MASTER!$D$2:$D$5000,0)),""))</f>
        <v/>
      </c>
      <c r="F3345" s="22">
        <f t="array" ref="F3345">IF($C3345="","",IFERROR(INDEX(DATA_MASTER!$L$2:$L$5000,MATCH($C3345,DATA_MASTER!$D$2:$D$5000,0)),""))</f>
        <v/>
      </c>
      <c r="G3345" s="24" t="n"/>
      <c r="H3345" s="24" t="n"/>
      <c r="I3345" s="30" t="n"/>
      <c r="J3345" s="23">
        <f>IF(OR($H3345="",$I3345=""),"",$H3345*$I3345)</f>
        <v/>
      </c>
      <c r="K3345" s="24" t="n"/>
      <c r="L3345" s="24" t="n"/>
      <c r="M3345" s="29" t="n"/>
      <c r="N3345" s="28" t="n"/>
      <c r="O3345" s="24" t="n"/>
      <c r="P3345" s="24" t="n"/>
      <c r="Q3345" s="24" t="n"/>
      <c r="R3345" s="24" t="n"/>
      <c r="S3345" s="22">
        <f>IF(AND($A3345="",$C3345=""),"",IF($A3345="","Thiếu mã đơn; ","")&amp;IF(COUNTIF($A$2:$A3345,$A3345)&gt;1,"Trùng mã đơn; ","")&amp;IF(ISNA(MATCH($C3345,DATA_MASTER!$D$2:$D$5000,0)),"SĐT chưa đăng ký hội viên; ","")&amp;IF(AND($L3345="Đã chuyển khoản",$M3345=""),"Thiếu ngày nhận CK; ",""))</f>
        <v/>
      </c>
      <c r="T3345" s="24" t="n"/>
    </row>
    <row r="3346" ht="14.25" customHeight="1" s="40">
      <c r="A3346" s="24" t="n"/>
      <c r="B3346" s="29" t="n"/>
      <c r="C3346" s="28" t="n"/>
      <c r="D3346" s="22">
        <f t="array" ref="D3346">IF($C3346="","",IFERROR(INDEX(DATA_MASTER!$C$2:$C$5000,MATCH($C3346,DATA_MASTER!$D$2:$D$5000,0)),""))</f>
        <v/>
      </c>
      <c r="E3346" s="22">
        <f t="array" ref="E3346">IF($C3346="","",IFERROR(INDEX(DATA_MASTER!$I$2:$I$5000,MATCH($C3346,DATA_MASTER!$D$2:$D$5000,0)),""))</f>
        <v/>
      </c>
      <c r="F3346" s="22">
        <f t="array" ref="F3346">IF($C3346="","",IFERROR(INDEX(DATA_MASTER!$L$2:$L$5000,MATCH($C3346,DATA_MASTER!$D$2:$D$5000,0)),""))</f>
        <v/>
      </c>
      <c r="G3346" s="24" t="n"/>
      <c r="H3346" s="24" t="n"/>
      <c r="I3346" s="30" t="n"/>
      <c r="J3346" s="23">
        <f>IF(OR($H3346="",$I3346=""),"",$H3346*$I3346)</f>
        <v/>
      </c>
      <c r="K3346" s="24" t="n"/>
      <c r="L3346" s="24" t="n"/>
      <c r="M3346" s="29" t="n"/>
      <c r="N3346" s="28" t="n"/>
      <c r="O3346" s="24" t="n"/>
      <c r="P3346" s="24" t="n"/>
      <c r="Q3346" s="24" t="n"/>
      <c r="R3346" s="24" t="n"/>
      <c r="S3346" s="22">
        <f>IF(AND($A3346="",$C3346=""),"",IF($A3346="","Thiếu mã đơn; ","")&amp;IF(COUNTIF($A$2:$A3346,$A3346)&gt;1,"Trùng mã đơn; ","")&amp;IF(ISNA(MATCH($C3346,DATA_MASTER!$D$2:$D$5000,0)),"SĐT chưa đăng ký hội viên; ","")&amp;IF(AND($L3346="Đã chuyển khoản",$M3346=""),"Thiếu ngày nhận CK; ",""))</f>
        <v/>
      </c>
      <c r="T3346" s="24" t="n"/>
    </row>
    <row r="3347" ht="14.25" customHeight="1" s="40">
      <c r="A3347" s="24" t="n"/>
      <c r="B3347" s="29" t="n"/>
      <c r="C3347" s="28" t="n"/>
      <c r="D3347" s="22">
        <f t="array" ref="D3347">IF($C3347="","",IFERROR(INDEX(DATA_MASTER!$C$2:$C$5000,MATCH($C3347,DATA_MASTER!$D$2:$D$5000,0)),""))</f>
        <v/>
      </c>
      <c r="E3347" s="22">
        <f t="array" ref="E3347">IF($C3347="","",IFERROR(INDEX(DATA_MASTER!$I$2:$I$5000,MATCH($C3347,DATA_MASTER!$D$2:$D$5000,0)),""))</f>
        <v/>
      </c>
      <c r="F3347" s="22">
        <f t="array" ref="F3347">IF($C3347="","",IFERROR(INDEX(DATA_MASTER!$L$2:$L$5000,MATCH($C3347,DATA_MASTER!$D$2:$D$5000,0)),""))</f>
        <v/>
      </c>
      <c r="G3347" s="24" t="n"/>
      <c r="H3347" s="24" t="n"/>
      <c r="I3347" s="30" t="n"/>
      <c r="J3347" s="23">
        <f>IF(OR($H3347="",$I3347=""),"",$H3347*$I3347)</f>
        <v/>
      </c>
      <c r="K3347" s="24" t="n"/>
      <c r="L3347" s="24" t="n"/>
      <c r="M3347" s="29" t="n"/>
      <c r="N3347" s="28" t="n"/>
      <c r="O3347" s="24" t="n"/>
      <c r="P3347" s="24" t="n"/>
      <c r="Q3347" s="24" t="n"/>
      <c r="R3347" s="24" t="n"/>
      <c r="S3347" s="22">
        <f>IF(AND($A3347="",$C3347=""),"",IF($A3347="","Thiếu mã đơn; ","")&amp;IF(COUNTIF($A$2:$A3347,$A3347)&gt;1,"Trùng mã đơn; ","")&amp;IF(ISNA(MATCH($C3347,DATA_MASTER!$D$2:$D$5000,0)),"SĐT chưa đăng ký hội viên; ","")&amp;IF(AND($L3347="Đã chuyển khoản",$M3347=""),"Thiếu ngày nhận CK; ",""))</f>
        <v/>
      </c>
      <c r="T3347" s="24" t="n"/>
    </row>
    <row r="3348" ht="14.25" customHeight="1" s="40">
      <c r="A3348" s="24" t="n"/>
      <c r="B3348" s="29" t="n"/>
      <c r="C3348" s="28" t="n"/>
      <c r="D3348" s="22">
        <f t="array" ref="D3348">IF($C3348="","",IFERROR(INDEX(DATA_MASTER!$C$2:$C$5000,MATCH($C3348,DATA_MASTER!$D$2:$D$5000,0)),""))</f>
        <v/>
      </c>
      <c r="E3348" s="22">
        <f t="array" ref="E3348">IF($C3348="","",IFERROR(INDEX(DATA_MASTER!$I$2:$I$5000,MATCH($C3348,DATA_MASTER!$D$2:$D$5000,0)),""))</f>
        <v/>
      </c>
      <c r="F3348" s="22">
        <f t="array" ref="F3348">IF($C3348="","",IFERROR(INDEX(DATA_MASTER!$L$2:$L$5000,MATCH($C3348,DATA_MASTER!$D$2:$D$5000,0)),""))</f>
        <v/>
      </c>
      <c r="G3348" s="24" t="n"/>
      <c r="H3348" s="24" t="n"/>
      <c r="I3348" s="30" t="n"/>
      <c r="J3348" s="23">
        <f>IF(OR($H3348="",$I3348=""),"",$H3348*$I3348)</f>
        <v/>
      </c>
      <c r="K3348" s="24" t="n"/>
      <c r="L3348" s="24" t="n"/>
      <c r="M3348" s="29" t="n"/>
      <c r="N3348" s="28" t="n"/>
      <c r="O3348" s="24" t="n"/>
      <c r="P3348" s="24" t="n"/>
      <c r="Q3348" s="24" t="n"/>
      <c r="R3348" s="24" t="n"/>
      <c r="S3348" s="22">
        <f>IF(AND($A3348="",$C3348=""),"",IF($A3348="","Thiếu mã đơn; ","")&amp;IF(COUNTIF($A$2:$A3348,$A3348)&gt;1,"Trùng mã đơn; ","")&amp;IF(ISNA(MATCH($C3348,DATA_MASTER!$D$2:$D$5000,0)),"SĐT chưa đăng ký hội viên; ","")&amp;IF(AND($L3348="Đã chuyển khoản",$M3348=""),"Thiếu ngày nhận CK; ",""))</f>
        <v/>
      </c>
      <c r="T3348" s="24" t="n"/>
    </row>
    <row r="3349" ht="14.25" customHeight="1" s="40">
      <c r="A3349" s="24" t="n"/>
      <c r="B3349" s="29" t="n"/>
      <c r="C3349" s="28" t="n"/>
      <c r="D3349" s="22">
        <f t="array" ref="D3349">IF($C3349="","",IFERROR(INDEX(DATA_MASTER!$C$2:$C$5000,MATCH($C3349,DATA_MASTER!$D$2:$D$5000,0)),""))</f>
        <v/>
      </c>
      <c r="E3349" s="22">
        <f t="array" ref="E3349">IF($C3349="","",IFERROR(INDEX(DATA_MASTER!$I$2:$I$5000,MATCH($C3349,DATA_MASTER!$D$2:$D$5000,0)),""))</f>
        <v/>
      </c>
      <c r="F3349" s="22">
        <f t="array" ref="F3349">IF($C3349="","",IFERROR(INDEX(DATA_MASTER!$L$2:$L$5000,MATCH($C3349,DATA_MASTER!$D$2:$D$5000,0)),""))</f>
        <v/>
      </c>
      <c r="G3349" s="24" t="n"/>
      <c r="H3349" s="24" t="n"/>
      <c r="I3349" s="30" t="n"/>
      <c r="J3349" s="23">
        <f>IF(OR($H3349="",$I3349=""),"",$H3349*$I3349)</f>
        <v/>
      </c>
      <c r="K3349" s="24" t="n"/>
      <c r="L3349" s="24" t="n"/>
      <c r="M3349" s="29" t="n"/>
      <c r="N3349" s="28" t="n"/>
      <c r="O3349" s="24" t="n"/>
      <c r="P3349" s="24" t="n"/>
      <c r="Q3349" s="24" t="n"/>
      <c r="R3349" s="24" t="n"/>
      <c r="S3349" s="22">
        <f>IF(AND($A3349="",$C3349=""),"",IF($A3349="","Thiếu mã đơn; ","")&amp;IF(COUNTIF($A$2:$A3349,$A3349)&gt;1,"Trùng mã đơn; ","")&amp;IF(ISNA(MATCH($C3349,DATA_MASTER!$D$2:$D$5000,0)),"SĐT chưa đăng ký hội viên; ","")&amp;IF(AND($L3349="Đã chuyển khoản",$M3349=""),"Thiếu ngày nhận CK; ",""))</f>
        <v/>
      </c>
      <c r="T3349" s="24" t="n"/>
    </row>
    <row r="3350" ht="14.25" customHeight="1" s="40">
      <c r="A3350" s="24" t="n"/>
      <c r="B3350" s="29" t="n"/>
      <c r="C3350" s="28" t="n"/>
      <c r="D3350" s="22">
        <f t="array" ref="D3350">IF($C3350="","",IFERROR(INDEX(DATA_MASTER!$C$2:$C$5000,MATCH($C3350,DATA_MASTER!$D$2:$D$5000,0)),""))</f>
        <v/>
      </c>
      <c r="E3350" s="22">
        <f t="array" ref="E3350">IF($C3350="","",IFERROR(INDEX(DATA_MASTER!$I$2:$I$5000,MATCH($C3350,DATA_MASTER!$D$2:$D$5000,0)),""))</f>
        <v/>
      </c>
      <c r="F3350" s="22">
        <f t="array" ref="F3350">IF($C3350="","",IFERROR(INDEX(DATA_MASTER!$L$2:$L$5000,MATCH($C3350,DATA_MASTER!$D$2:$D$5000,0)),""))</f>
        <v/>
      </c>
      <c r="G3350" s="24" t="n"/>
      <c r="H3350" s="24" t="n"/>
      <c r="I3350" s="30" t="n"/>
      <c r="J3350" s="23">
        <f>IF(OR($H3350="",$I3350=""),"",$H3350*$I3350)</f>
        <v/>
      </c>
      <c r="K3350" s="24" t="n"/>
      <c r="L3350" s="24" t="n"/>
      <c r="M3350" s="29" t="n"/>
      <c r="N3350" s="28" t="n"/>
      <c r="O3350" s="24" t="n"/>
      <c r="P3350" s="24" t="n"/>
      <c r="Q3350" s="24" t="n"/>
      <c r="R3350" s="24" t="n"/>
      <c r="S3350" s="22">
        <f>IF(AND($A3350="",$C3350=""),"",IF($A3350="","Thiếu mã đơn; ","")&amp;IF(COUNTIF($A$2:$A3350,$A3350)&gt;1,"Trùng mã đơn; ","")&amp;IF(ISNA(MATCH($C3350,DATA_MASTER!$D$2:$D$5000,0)),"SĐT chưa đăng ký hội viên; ","")&amp;IF(AND($L3350="Đã chuyển khoản",$M3350=""),"Thiếu ngày nhận CK; ",""))</f>
        <v/>
      </c>
      <c r="T3350" s="24" t="n"/>
    </row>
    <row r="3351" ht="14.25" customHeight="1" s="40">
      <c r="A3351" s="24" t="n"/>
      <c r="B3351" s="29" t="n"/>
      <c r="C3351" s="28" t="n"/>
      <c r="D3351" s="22">
        <f t="array" ref="D3351">IF($C3351="","",IFERROR(INDEX(DATA_MASTER!$C$2:$C$5000,MATCH($C3351,DATA_MASTER!$D$2:$D$5000,0)),""))</f>
        <v/>
      </c>
      <c r="E3351" s="22">
        <f t="array" ref="E3351">IF($C3351="","",IFERROR(INDEX(DATA_MASTER!$I$2:$I$5000,MATCH($C3351,DATA_MASTER!$D$2:$D$5000,0)),""))</f>
        <v/>
      </c>
      <c r="F3351" s="22">
        <f t="array" ref="F3351">IF($C3351="","",IFERROR(INDEX(DATA_MASTER!$L$2:$L$5000,MATCH($C3351,DATA_MASTER!$D$2:$D$5000,0)),""))</f>
        <v/>
      </c>
      <c r="G3351" s="24" t="n"/>
      <c r="H3351" s="24" t="n"/>
      <c r="I3351" s="30" t="n"/>
      <c r="J3351" s="23">
        <f>IF(OR($H3351="",$I3351=""),"",$H3351*$I3351)</f>
        <v/>
      </c>
      <c r="K3351" s="24" t="n"/>
      <c r="L3351" s="24" t="n"/>
      <c r="M3351" s="29" t="n"/>
      <c r="N3351" s="28" t="n"/>
      <c r="O3351" s="24" t="n"/>
      <c r="P3351" s="24" t="n"/>
      <c r="Q3351" s="24" t="n"/>
      <c r="R3351" s="24" t="n"/>
      <c r="S3351" s="22">
        <f>IF(AND($A3351="",$C3351=""),"",IF($A3351="","Thiếu mã đơn; ","")&amp;IF(COUNTIF($A$2:$A3351,$A3351)&gt;1,"Trùng mã đơn; ","")&amp;IF(ISNA(MATCH($C3351,DATA_MASTER!$D$2:$D$5000,0)),"SĐT chưa đăng ký hội viên; ","")&amp;IF(AND($L3351="Đã chuyển khoản",$M3351=""),"Thiếu ngày nhận CK; ",""))</f>
        <v/>
      </c>
      <c r="T3351" s="24" t="n"/>
    </row>
    <row r="3352" ht="14.25" customHeight="1" s="40">
      <c r="A3352" s="24" t="n"/>
      <c r="B3352" s="29" t="n"/>
      <c r="C3352" s="28" t="n"/>
      <c r="D3352" s="22">
        <f t="array" ref="D3352">IF($C3352="","",IFERROR(INDEX(DATA_MASTER!$C$2:$C$5000,MATCH($C3352,DATA_MASTER!$D$2:$D$5000,0)),""))</f>
        <v/>
      </c>
      <c r="E3352" s="22">
        <f t="array" ref="E3352">IF($C3352="","",IFERROR(INDEX(DATA_MASTER!$I$2:$I$5000,MATCH($C3352,DATA_MASTER!$D$2:$D$5000,0)),""))</f>
        <v/>
      </c>
      <c r="F3352" s="22">
        <f t="array" ref="F3352">IF($C3352="","",IFERROR(INDEX(DATA_MASTER!$L$2:$L$5000,MATCH($C3352,DATA_MASTER!$D$2:$D$5000,0)),""))</f>
        <v/>
      </c>
      <c r="G3352" s="24" t="n"/>
      <c r="H3352" s="24" t="n"/>
      <c r="I3352" s="30" t="n"/>
      <c r="J3352" s="23">
        <f>IF(OR($H3352="",$I3352=""),"",$H3352*$I3352)</f>
        <v/>
      </c>
      <c r="K3352" s="24" t="n"/>
      <c r="L3352" s="24" t="n"/>
      <c r="M3352" s="29" t="n"/>
      <c r="N3352" s="28" t="n"/>
      <c r="O3352" s="24" t="n"/>
      <c r="P3352" s="24" t="n"/>
      <c r="Q3352" s="24" t="n"/>
      <c r="R3352" s="24" t="n"/>
      <c r="S3352" s="22">
        <f>IF(AND($A3352="",$C3352=""),"",IF($A3352="","Thiếu mã đơn; ","")&amp;IF(COUNTIF($A$2:$A3352,$A3352)&gt;1,"Trùng mã đơn; ","")&amp;IF(ISNA(MATCH($C3352,DATA_MASTER!$D$2:$D$5000,0)),"SĐT chưa đăng ký hội viên; ","")&amp;IF(AND($L3352="Đã chuyển khoản",$M3352=""),"Thiếu ngày nhận CK; ",""))</f>
        <v/>
      </c>
      <c r="T3352" s="24" t="n"/>
    </row>
    <row r="3353" ht="14.25" customHeight="1" s="40">
      <c r="A3353" s="24" t="n"/>
      <c r="B3353" s="29" t="n"/>
      <c r="C3353" s="28" t="n"/>
      <c r="D3353" s="22">
        <f t="array" ref="D3353">IF($C3353="","",IFERROR(INDEX(DATA_MASTER!$C$2:$C$5000,MATCH($C3353,DATA_MASTER!$D$2:$D$5000,0)),""))</f>
        <v/>
      </c>
      <c r="E3353" s="22">
        <f t="array" ref="E3353">IF($C3353="","",IFERROR(INDEX(DATA_MASTER!$I$2:$I$5000,MATCH($C3353,DATA_MASTER!$D$2:$D$5000,0)),""))</f>
        <v/>
      </c>
      <c r="F3353" s="22">
        <f t="array" ref="F3353">IF($C3353="","",IFERROR(INDEX(DATA_MASTER!$L$2:$L$5000,MATCH($C3353,DATA_MASTER!$D$2:$D$5000,0)),""))</f>
        <v/>
      </c>
      <c r="G3353" s="24" t="n"/>
      <c r="H3353" s="24" t="n"/>
      <c r="I3353" s="30" t="n"/>
      <c r="J3353" s="23">
        <f>IF(OR($H3353="",$I3353=""),"",$H3353*$I3353)</f>
        <v/>
      </c>
      <c r="K3353" s="24" t="n"/>
      <c r="L3353" s="24" t="n"/>
      <c r="M3353" s="29" t="n"/>
      <c r="N3353" s="28" t="n"/>
      <c r="O3353" s="24" t="n"/>
      <c r="P3353" s="24" t="n"/>
      <c r="Q3353" s="24" t="n"/>
      <c r="R3353" s="24" t="n"/>
      <c r="S3353" s="22">
        <f>IF(AND($A3353="",$C3353=""),"",IF($A3353="","Thiếu mã đơn; ","")&amp;IF(COUNTIF($A$2:$A3353,$A3353)&gt;1,"Trùng mã đơn; ","")&amp;IF(ISNA(MATCH($C3353,DATA_MASTER!$D$2:$D$5000,0)),"SĐT chưa đăng ký hội viên; ","")&amp;IF(AND($L3353="Đã chuyển khoản",$M3353=""),"Thiếu ngày nhận CK; ",""))</f>
        <v/>
      </c>
      <c r="T3353" s="24" t="n"/>
    </row>
    <row r="3354" ht="14.25" customHeight="1" s="40">
      <c r="A3354" s="24" t="n"/>
      <c r="B3354" s="29" t="n"/>
      <c r="C3354" s="28" t="n"/>
      <c r="D3354" s="22">
        <f t="array" ref="D3354">IF($C3354="","",IFERROR(INDEX(DATA_MASTER!$C$2:$C$5000,MATCH($C3354,DATA_MASTER!$D$2:$D$5000,0)),""))</f>
        <v/>
      </c>
      <c r="E3354" s="22">
        <f t="array" ref="E3354">IF($C3354="","",IFERROR(INDEX(DATA_MASTER!$I$2:$I$5000,MATCH($C3354,DATA_MASTER!$D$2:$D$5000,0)),""))</f>
        <v/>
      </c>
      <c r="F3354" s="22">
        <f t="array" ref="F3354">IF($C3354="","",IFERROR(INDEX(DATA_MASTER!$L$2:$L$5000,MATCH($C3354,DATA_MASTER!$D$2:$D$5000,0)),""))</f>
        <v/>
      </c>
      <c r="G3354" s="24" t="n"/>
      <c r="H3354" s="24" t="n"/>
      <c r="I3354" s="30" t="n"/>
      <c r="J3354" s="23">
        <f>IF(OR($H3354="",$I3354=""),"",$H3354*$I3354)</f>
        <v/>
      </c>
      <c r="K3354" s="24" t="n"/>
      <c r="L3354" s="24" t="n"/>
      <c r="M3354" s="29" t="n"/>
      <c r="N3354" s="28" t="n"/>
      <c r="O3354" s="24" t="n"/>
      <c r="P3354" s="24" t="n"/>
      <c r="Q3354" s="24" t="n"/>
      <c r="R3354" s="24" t="n"/>
      <c r="S3354" s="22">
        <f>IF(AND($A3354="",$C3354=""),"",IF($A3354="","Thiếu mã đơn; ","")&amp;IF(COUNTIF($A$2:$A3354,$A3354)&gt;1,"Trùng mã đơn; ","")&amp;IF(ISNA(MATCH($C3354,DATA_MASTER!$D$2:$D$5000,0)),"SĐT chưa đăng ký hội viên; ","")&amp;IF(AND($L3354="Đã chuyển khoản",$M3354=""),"Thiếu ngày nhận CK; ",""))</f>
        <v/>
      </c>
      <c r="T3354" s="24" t="n"/>
    </row>
    <row r="3355" ht="14.25" customHeight="1" s="40">
      <c r="A3355" s="24" t="n"/>
      <c r="B3355" s="29" t="n"/>
      <c r="C3355" s="28" t="n"/>
      <c r="D3355" s="22">
        <f t="array" ref="D3355">IF($C3355="","",IFERROR(INDEX(DATA_MASTER!$C$2:$C$5000,MATCH($C3355,DATA_MASTER!$D$2:$D$5000,0)),""))</f>
        <v/>
      </c>
      <c r="E3355" s="22">
        <f t="array" ref="E3355">IF($C3355="","",IFERROR(INDEX(DATA_MASTER!$I$2:$I$5000,MATCH($C3355,DATA_MASTER!$D$2:$D$5000,0)),""))</f>
        <v/>
      </c>
      <c r="F3355" s="22">
        <f t="array" ref="F3355">IF($C3355="","",IFERROR(INDEX(DATA_MASTER!$L$2:$L$5000,MATCH($C3355,DATA_MASTER!$D$2:$D$5000,0)),""))</f>
        <v/>
      </c>
      <c r="G3355" s="24" t="n"/>
      <c r="H3355" s="24" t="n"/>
      <c r="I3355" s="30" t="n"/>
      <c r="J3355" s="23">
        <f>IF(OR($H3355="",$I3355=""),"",$H3355*$I3355)</f>
        <v/>
      </c>
      <c r="K3355" s="24" t="n"/>
      <c r="L3355" s="24" t="n"/>
      <c r="M3355" s="29" t="n"/>
      <c r="N3355" s="28" t="n"/>
      <c r="O3355" s="24" t="n"/>
      <c r="P3355" s="24" t="n"/>
      <c r="Q3355" s="24" t="n"/>
      <c r="R3355" s="24" t="n"/>
      <c r="S3355" s="22">
        <f>IF(AND($A3355="",$C3355=""),"",IF($A3355="","Thiếu mã đơn; ","")&amp;IF(COUNTIF($A$2:$A3355,$A3355)&gt;1,"Trùng mã đơn; ","")&amp;IF(ISNA(MATCH($C3355,DATA_MASTER!$D$2:$D$5000,0)),"SĐT chưa đăng ký hội viên; ","")&amp;IF(AND($L3355="Đã chuyển khoản",$M3355=""),"Thiếu ngày nhận CK; ",""))</f>
        <v/>
      </c>
      <c r="T3355" s="24" t="n"/>
    </row>
    <row r="3356" ht="14.25" customHeight="1" s="40">
      <c r="A3356" s="24" t="n"/>
      <c r="B3356" s="29" t="n"/>
      <c r="C3356" s="28" t="n"/>
      <c r="D3356" s="22">
        <f t="array" ref="D3356">IF($C3356="","",IFERROR(INDEX(DATA_MASTER!$C$2:$C$5000,MATCH($C3356,DATA_MASTER!$D$2:$D$5000,0)),""))</f>
        <v/>
      </c>
      <c r="E3356" s="22">
        <f t="array" ref="E3356">IF($C3356="","",IFERROR(INDEX(DATA_MASTER!$I$2:$I$5000,MATCH($C3356,DATA_MASTER!$D$2:$D$5000,0)),""))</f>
        <v/>
      </c>
      <c r="F3356" s="22">
        <f t="array" ref="F3356">IF($C3356="","",IFERROR(INDEX(DATA_MASTER!$L$2:$L$5000,MATCH($C3356,DATA_MASTER!$D$2:$D$5000,0)),""))</f>
        <v/>
      </c>
      <c r="G3356" s="24" t="n"/>
      <c r="H3356" s="24" t="n"/>
      <c r="I3356" s="30" t="n"/>
      <c r="J3356" s="23">
        <f>IF(OR($H3356="",$I3356=""),"",$H3356*$I3356)</f>
        <v/>
      </c>
      <c r="K3356" s="24" t="n"/>
      <c r="L3356" s="24" t="n"/>
      <c r="M3356" s="29" t="n"/>
      <c r="N3356" s="28" t="n"/>
      <c r="O3356" s="24" t="n"/>
      <c r="P3356" s="24" t="n"/>
      <c r="Q3356" s="24" t="n"/>
      <c r="R3356" s="24" t="n"/>
      <c r="S3356" s="22">
        <f>IF(AND($A3356="",$C3356=""),"",IF($A3356="","Thiếu mã đơn; ","")&amp;IF(COUNTIF($A$2:$A3356,$A3356)&gt;1,"Trùng mã đơn; ","")&amp;IF(ISNA(MATCH($C3356,DATA_MASTER!$D$2:$D$5000,0)),"SĐT chưa đăng ký hội viên; ","")&amp;IF(AND($L3356="Đã chuyển khoản",$M3356=""),"Thiếu ngày nhận CK; ",""))</f>
        <v/>
      </c>
      <c r="T3356" s="24" t="n"/>
    </row>
    <row r="3357" ht="14.25" customHeight="1" s="40">
      <c r="A3357" s="24" t="n"/>
      <c r="B3357" s="29" t="n"/>
      <c r="C3357" s="28" t="n"/>
      <c r="D3357" s="22">
        <f t="array" ref="D3357">IF($C3357="","",IFERROR(INDEX(DATA_MASTER!$C$2:$C$5000,MATCH($C3357,DATA_MASTER!$D$2:$D$5000,0)),""))</f>
        <v/>
      </c>
      <c r="E3357" s="22">
        <f t="array" ref="E3357">IF($C3357="","",IFERROR(INDEX(DATA_MASTER!$I$2:$I$5000,MATCH($C3357,DATA_MASTER!$D$2:$D$5000,0)),""))</f>
        <v/>
      </c>
      <c r="F3357" s="22">
        <f t="array" ref="F3357">IF($C3357="","",IFERROR(INDEX(DATA_MASTER!$L$2:$L$5000,MATCH($C3357,DATA_MASTER!$D$2:$D$5000,0)),""))</f>
        <v/>
      </c>
      <c r="G3357" s="24" t="n"/>
      <c r="H3357" s="24" t="n"/>
      <c r="I3357" s="30" t="n"/>
      <c r="J3357" s="23">
        <f>IF(OR($H3357="",$I3357=""),"",$H3357*$I3357)</f>
        <v/>
      </c>
      <c r="K3357" s="24" t="n"/>
      <c r="L3357" s="24" t="n"/>
      <c r="M3357" s="29" t="n"/>
      <c r="N3357" s="28" t="n"/>
      <c r="O3357" s="24" t="n"/>
      <c r="P3357" s="24" t="n"/>
      <c r="Q3357" s="24" t="n"/>
      <c r="R3357" s="24" t="n"/>
      <c r="S3357" s="22">
        <f>IF(AND($A3357="",$C3357=""),"",IF($A3357="","Thiếu mã đơn; ","")&amp;IF(COUNTIF($A$2:$A3357,$A3357)&gt;1,"Trùng mã đơn; ","")&amp;IF(ISNA(MATCH($C3357,DATA_MASTER!$D$2:$D$5000,0)),"SĐT chưa đăng ký hội viên; ","")&amp;IF(AND($L3357="Đã chuyển khoản",$M3357=""),"Thiếu ngày nhận CK; ",""))</f>
        <v/>
      </c>
      <c r="T3357" s="24" t="n"/>
    </row>
    <row r="3358" ht="14.25" customHeight="1" s="40">
      <c r="A3358" s="24" t="n"/>
      <c r="B3358" s="29" t="n"/>
      <c r="C3358" s="28" t="n"/>
      <c r="D3358" s="22">
        <f t="array" ref="D3358">IF($C3358="","",IFERROR(INDEX(DATA_MASTER!$C$2:$C$5000,MATCH($C3358,DATA_MASTER!$D$2:$D$5000,0)),""))</f>
        <v/>
      </c>
      <c r="E3358" s="22">
        <f t="array" ref="E3358">IF($C3358="","",IFERROR(INDEX(DATA_MASTER!$I$2:$I$5000,MATCH($C3358,DATA_MASTER!$D$2:$D$5000,0)),""))</f>
        <v/>
      </c>
      <c r="F3358" s="22">
        <f t="array" ref="F3358">IF($C3358="","",IFERROR(INDEX(DATA_MASTER!$L$2:$L$5000,MATCH($C3358,DATA_MASTER!$D$2:$D$5000,0)),""))</f>
        <v/>
      </c>
      <c r="G3358" s="24" t="n"/>
      <c r="H3358" s="24" t="n"/>
      <c r="I3358" s="30" t="n"/>
      <c r="J3358" s="23">
        <f>IF(OR($H3358="",$I3358=""),"",$H3358*$I3358)</f>
        <v/>
      </c>
      <c r="K3358" s="24" t="n"/>
      <c r="L3358" s="24" t="n"/>
      <c r="M3358" s="29" t="n"/>
      <c r="N3358" s="28" t="n"/>
      <c r="O3358" s="24" t="n"/>
      <c r="P3358" s="24" t="n"/>
      <c r="Q3358" s="24" t="n"/>
      <c r="R3358" s="24" t="n"/>
      <c r="S3358" s="22">
        <f>IF(AND($A3358="",$C3358=""),"",IF($A3358="","Thiếu mã đơn; ","")&amp;IF(COUNTIF($A$2:$A3358,$A3358)&gt;1,"Trùng mã đơn; ","")&amp;IF(ISNA(MATCH($C3358,DATA_MASTER!$D$2:$D$5000,0)),"SĐT chưa đăng ký hội viên; ","")&amp;IF(AND($L3358="Đã chuyển khoản",$M3358=""),"Thiếu ngày nhận CK; ",""))</f>
        <v/>
      </c>
      <c r="T3358" s="24" t="n"/>
    </row>
    <row r="3359" ht="14.25" customHeight="1" s="40">
      <c r="A3359" s="24" t="n"/>
      <c r="B3359" s="29" t="n"/>
      <c r="C3359" s="28" t="n"/>
      <c r="D3359" s="22">
        <f t="array" ref="D3359">IF($C3359="","",IFERROR(INDEX(DATA_MASTER!$C$2:$C$5000,MATCH($C3359,DATA_MASTER!$D$2:$D$5000,0)),""))</f>
        <v/>
      </c>
      <c r="E3359" s="22">
        <f t="array" ref="E3359">IF($C3359="","",IFERROR(INDEX(DATA_MASTER!$I$2:$I$5000,MATCH($C3359,DATA_MASTER!$D$2:$D$5000,0)),""))</f>
        <v/>
      </c>
      <c r="F3359" s="22">
        <f t="array" ref="F3359">IF($C3359="","",IFERROR(INDEX(DATA_MASTER!$L$2:$L$5000,MATCH($C3359,DATA_MASTER!$D$2:$D$5000,0)),""))</f>
        <v/>
      </c>
      <c r="G3359" s="24" t="n"/>
      <c r="H3359" s="24" t="n"/>
      <c r="I3359" s="30" t="n"/>
      <c r="J3359" s="23">
        <f>IF(OR($H3359="",$I3359=""),"",$H3359*$I3359)</f>
        <v/>
      </c>
      <c r="K3359" s="24" t="n"/>
      <c r="L3359" s="24" t="n"/>
      <c r="M3359" s="29" t="n"/>
      <c r="N3359" s="28" t="n"/>
      <c r="O3359" s="24" t="n"/>
      <c r="P3359" s="24" t="n"/>
      <c r="Q3359" s="24" t="n"/>
      <c r="R3359" s="24" t="n"/>
      <c r="S3359" s="22">
        <f>IF(AND($A3359="",$C3359=""),"",IF($A3359="","Thiếu mã đơn; ","")&amp;IF(COUNTIF($A$2:$A3359,$A3359)&gt;1,"Trùng mã đơn; ","")&amp;IF(ISNA(MATCH($C3359,DATA_MASTER!$D$2:$D$5000,0)),"SĐT chưa đăng ký hội viên; ","")&amp;IF(AND($L3359="Đã chuyển khoản",$M3359=""),"Thiếu ngày nhận CK; ",""))</f>
        <v/>
      </c>
      <c r="T3359" s="24" t="n"/>
    </row>
    <row r="3360" ht="14.25" customHeight="1" s="40">
      <c r="A3360" s="24" t="n"/>
      <c r="B3360" s="29" t="n"/>
      <c r="C3360" s="28" t="n"/>
      <c r="D3360" s="22">
        <f t="array" ref="D3360">IF($C3360="","",IFERROR(INDEX(DATA_MASTER!$C$2:$C$5000,MATCH($C3360,DATA_MASTER!$D$2:$D$5000,0)),""))</f>
        <v/>
      </c>
      <c r="E3360" s="22">
        <f t="array" ref="E3360">IF($C3360="","",IFERROR(INDEX(DATA_MASTER!$I$2:$I$5000,MATCH($C3360,DATA_MASTER!$D$2:$D$5000,0)),""))</f>
        <v/>
      </c>
      <c r="F3360" s="22">
        <f t="array" ref="F3360">IF($C3360="","",IFERROR(INDEX(DATA_MASTER!$L$2:$L$5000,MATCH($C3360,DATA_MASTER!$D$2:$D$5000,0)),""))</f>
        <v/>
      </c>
      <c r="G3360" s="24" t="n"/>
      <c r="H3360" s="24" t="n"/>
      <c r="I3360" s="30" t="n"/>
      <c r="J3360" s="23">
        <f>IF(OR($H3360="",$I3360=""),"",$H3360*$I3360)</f>
        <v/>
      </c>
      <c r="K3360" s="24" t="n"/>
      <c r="L3360" s="24" t="n"/>
      <c r="M3360" s="29" t="n"/>
      <c r="N3360" s="28" t="n"/>
      <c r="O3360" s="24" t="n"/>
      <c r="P3360" s="24" t="n"/>
      <c r="Q3360" s="24" t="n"/>
      <c r="R3360" s="24" t="n"/>
      <c r="S3360" s="22">
        <f>IF(AND($A3360="",$C3360=""),"",IF($A3360="","Thiếu mã đơn; ","")&amp;IF(COUNTIF($A$2:$A3360,$A3360)&gt;1,"Trùng mã đơn; ","")&amp;IF(ISNA(MATCH($C3360,DATA_MASTER!$D$2:$D$5000,0)),"SĐT chưa đăng ký hội viên; ","")&amp;IF(AND($L3360="Đã chuyển khoản",$M3360=""),"Thiếu ngày nhận CK; ",""))</f>
        <v/>
      </c>
      <c r="T3360" s="24" t="n"/>
    </row>
    <row r="3361" ht="14.25" customHeight="1" s="40">
      <c r="A3361" s="24" t="n"/>
      <c r="B3361" s="29" t="n"/>
      <c r="C3361" s="28" t="n"/>
      <c r="D3361" s="22">
        <f t="array" ref="D3361">IF($C3361="","",IFERROR(INDEX(DATA_MASTER!$C$2:$C$5000,MATCH($C3361,DATA_MASTER!$D$2:$D$5000,0)),""))</f>
        <v/>
      </c>
      <c r="E3361" s="22">
        <f t="array" ref="E3361">IF($C3361="","",IFERROR(INDEX(DATA_MASTER!$I$2:$I$5000,MATCH($C3361,DATA_MASTER!$D$2:$D$5000,0)),""))</f>
        <v/>
      </c>
      <c r="F3361" s="22">
        <f t="array" ref="F3361">IF($C3361="","",IFERROR(INDEX(DATA_MASTER!$L$2:$L$5000,MATCH($C3361,DATA_MASTER!$D$2:$D$5000,0)),""))</f>
        <v/>
      </c>
      <c r="G3361" s="24" t="n"/>
      <c r="H3361" s="24" t="n"/>
      <c r="I3361" s="30" t="n"/>
      <c r="J3361" s="23">
        <f>IF(OR($H3361="",$I3361=""),"",$H3361*$I3361)</f>
        <v/>
      </c>
      <c r="K3361" s="24" t="n"/>
      <c r="L3361" s="24" t="n"/>
      <c r="M3361" s="29" t="n"/>
      <c r="N3361" s="28" t="n"/>
      <c r="O3361" s="24" t="n"/>
      <c r="P3361" s="24" t="n"/>
      <c r="Q3361" s="24" t="n"/>
      <c r="R3361" s="24" t="n"/>
      <c r="S3361" s="22">
        <f>IF(AND($A3361="",$C3361=""),"",IF($A3361="","Thiếu mã đơn; ","")&amp;IF(COUNTIF($A$2:$A3361,$A3361)&gt;1,"Trùng mã đơn; ","")&amp;IF(ISNA(MATCH($C3361,DATA_MASTER!$D$2:$D$5000,0)),"SĐT chưa đăng ký hội viên; ","")&amp;IF(AND($L3361="Đã chuyển khoản",$M3361=""),"Thiếu ngày nhận CK; ",""))</f>
        <v/>
      </c>
      <c r="T3361" s="24" t="n"/>
    </row>
    <row r="3362" ht="14.25" customHeight="1" s="40">
      <c r="A3362" s="24" t="n"/>
      <c r="B3362" s="29" t="n"/>
      <c r="C3362" s="28" t="n"/>
      <c r="D3362" s="22">
        <f t="array" ref="D3362">IF($C3362="","",IFERROR(INDEX(DATA_MASTER!$C$2:$C$5000,MATCH($C3362,DATA_MASTER!$D$2:$D$5000,0)),""))</f>
        <v/>
      </c>
      <c r="E3362" s="22">
        <f t="array" ref="E3362">IF($C3362="","",IFERROR(INDEX(DATA_MASTER!$I$2:$I$5000,MATCH($C3362,DATA_MASTER!$D$2:$D$5000,0)),""))</f>
        <v/>
      </c>
      <c r="F3362" s="22">
        <f t="array" ref="F3362">IF($C3362="","",IFERROR(INDEX(DATA_MASTER!$L$2:$L$5000,MATCH($C3362,DATA_MASTER!$D$2:$D$5000,0)),""))</f>
        <v/>
      </c>
      <c r="G3362" s="24" t="n"/>
      <c r="H3362" s="24" t="n"/>
      <c r="I3362" s="30" t="n"/>
      <c r="J3362" s="23">
        <f>IF(OR($H3362="",$I3362=""),"",$H3362*$I3362)</f>
        <v/>
      </c>
      <c r="K3362" s="24" t="n"/>
      <c r="L3362" s="24" t="n"/>
      <c r="M3362" s="29" t="n"/>
      <c r="N3362" s="28" t="n"/>
      <c r="O3362" s="24" t="n"/>
      <c r="P3362" s="24" t="n"/>
      <c r="Q3362" s="24" t="n"/>
      <c r="R3362" s="24" t="n"/>
      <c r="S3362" s="22">
        <f>IF(AND($A3362="",$C3362=""),"",IF($A3362="","Thiếu mã đơn; ","")&amp;IF(COUNTIF($A$2:$A3362,$A3362)&gt;1,"Trùng mã đơn; ","")&amp;IF(ISNA(MATCH($C3362,DATA_MASTER!$D$2:$D$5000,0)),"SĐT chưa đăng ký hội viên; ","")&amp;IF(AND($L3362="Đã chuyển khoản",$M3362=""),"Thiếu ngày nhận CK; ",""))</f>
        <v/>
      </c>
      <c r="T3362" s="24" t="n"/>
    </row>
    <row r="3363" ht="14.25" customHeight="1" s="40">
      <c r="A3363" s="24" t="n"/>
      <c r="B3363" s="29" t="n"/>
      <c r="C3363" s="28" t="n"/>
      <c r="D3363" s="22">
        <f t="array" ref="D3363">IF($C3363="","",IFERROR(INDEX(DATA_MASTER!$C$2:$C$5000,MATCH($C3363,DATA_MASTER!$D$2:$D$5000,0)),""))</f>
        <v/>
      </c>
      <c r="E3363" s="22">
        <f t="array" ref="E3363">IF($C3363="","",IFERROR(INDEX(DATA_MASTER!$I$2:$I$5000,MATCH($C3363,DATA_MASTER!$D$2:$D$5000,0)),""))</f>
        <v/>
      </c>
      <c r="F3363" s="22">
        <f t="array" ref="F3363">IF($C3363="","",IFERROR(INDEX(DATA_MASTER!$L$2:$L$5000,MATCH($C3363,DATA_MASTER!$D$2:$D$5000,0)),""))</f>
        <v/>
      </c>
      <c r="G3363" s="24" t="n"/>
      <c r="H3363" s="24" t="n"/>
      <c r="I3363" s="30" t="n"/>
      <c r="J3363" s="23">
        <f>IF(OR($H3363="",$I3363=""),"",$H3363*$I3363)</f>
        <v/>
      </c>
      <c r="K3363" s="24" t="n"/>
      <c r="L3363" s="24" t="n"/>
      <c r="M3363" s="29" t="n"/>
      <c r="N3363" s="28" t="n"/>
      <c r="O3363" s="24" t="n"/>
      <c r="P3363" s="24" t="n"/>
      <c r="Q3363" s="24" t="n"/>
      <c r="R3363" s="24" t="n"/>
      <c r="S3363" s="22">
        <f>IF(AND($A3363="",$C3363=""),"",IF($A3363="","Thiếu mã đơn; ","")&amp;IF(COUNTIF($A$2:$A3363,$A3363)&gt;1,"Trùng mã đơn; ","")&amp;IF(ISNA(MATCH($C3363,DATA_MASTER!$D$2:$D$5000,0)),"SĐT chưa đăng ký hội viên; ","")&amp;IF(AND($L3363="Đã chuyển khoản",$M3363=""),"Thiếu ngày nhận CK; ",""))</f>
        <v/>
      </c>
      <c r="T3363" s="24" t="n"/>
    </row>
    <row r="3364" ht="14.25" customHeight="1" s="40">
      <c r="A3364" s="24" t="n"/>
      <c r="B3364" s="29" t="n"/>
      <c r="C3364" s="28" t="n"/>
      <c r="D3364" s="22">
        <f t="array" ref="D3364">IF($C3364="","",IFERROR(INDEX(DATA_MASTER!$C$2:$C$5000,MATCH($C3364,DATA_MASTER!$D$2:$D$5000,0)),""))</f>
        <v/>
      </c>
      <c r="E3364" s="22">
        <f t="array" ref="E3364">IF($C3364="","",IFERROR(INDEX(DATA_MASTER!$I$2:$I$5000,MATCH($C3364,DATA_MASTER!$D$2:$D$5000,0)),""))</f>
        <v/>
      </c>
      <c r="F3364" s="22">
        <f t="array" ref="F3364">IF($C3364="","",IFERROR(INDEX(DATA_MASTER!$L$2:$L$5000,MATCH($C3364,DATA_MASTER!$D$2:$D$5000,0)),""))</f>
        <v/>
      </c>
      <c r="G3364" s="24" t="n"/>
      <c r="H3364" s="24" t="n"/>
      <c r="I3364" s="30" t="n"/>
      <c r="J3364" s="23">
        <f>IF(OR($H3364="",$I3364=""),"",$H3364*$I3364)</f>
        <v/>
      </c>
      <c r="K3364" s="24" t="n"/>
      <c r="L3364" s="24" t="n"/>
      <c r="M3364" s="29" t="n"/>
      <c r="N3364" s="28" t="n"/>
      <c r="O3364" s="24" t="n"/>
      <c r="P3364" s="24" t="n"/>
      <c r="Q3364" s="24" t="n"/>
      <c r="R3364" s="24" t="n"/>
      <c r="S3364" s="22">
        <f>IF(AND($A3364="",$C3364=""),"",IF($A3364="","Thiếu mã đơn; ","")&amp;IF(COUNTIF($A$2:$A3364,$A3364)&gt;1,"Trùng mã đơn; ","")&amp;IF(ISNA(MATCH($C3364,DATA_MASTER!$D$2:$D$5000,0)),"SĐT chưa đăng ký hội viên; ","")&amp;IF(AND($L3364="Đã chuyển khoản",$M3364=""),"Thiếu ngày nhận CK; ",""))</f>
        <v/>
      </c>
      <c r="T3364" s="24" t="n"/>
    </row>
    <row r="3365" ht="14.25" customHeight="1" s="40">
      <c r="A3365" s="24" t="n"/>
      <c r="B3365" s="29" t="n"/>
      <c r="C3365" s="28" t="n"/>
      <c r="D3365" s="22">
        <f t="array" ref="D3365">IF($C3365="","",IFERROR(INDEX(DATA_MASTER!$C$2:$C$5000,MATCH($C3365,DATA_MASTER!$D$2:$D$5000,0)),""))</f>
        <v/>
      </c>
      <c r="E3365" s="22">
        <f t="array" ref="E3365">IF($C3365="","",IFERROR(INDEX(DATA_MASTER!$I$2:$I$5000,MATCH($C3365,DATA_MASTER!$D$2:$D$5000,0)),""))</f>
        <v/>
      </c>
      <c r="F3365" s="22">
        <f t="array" ref="F3365">IF($C3365="","",IFERROR(INDEX(DATA_MASTER!$L$2:$L$5000,MATCH($C3365,DATA_MASTER!$D$2:$D$5000,0)),""))</f>
        <v/>
      </c>
      <c r="G3365" s="24" t="n"/>
      <c r="H3365" s="24" t="n"/>
      <c r="I3365" s="30" t="n"/>
      <c r="J3365" s="23">
        <f>IF(OR($H3365="",$I3365=""),"",$H3365*$I3365)</f>
        <v/>
      </c>
      <c r="K3365" s="24" t="n"/>
      <c r="L3365" s="24" t="n"/>
      <c r="M3365" s="29" t="n"/>
      <c r="N3365" s="28" t="n"/>
      <c r="O3365" s="24" t="n"/>
      <c r="P3365" s="24" t="n"/>
      <c r="Q3365" s="24" t="n"/>
      <c r="R3365" s="24" t="n"/>
      <c r="S3365" s="22">
        <f>IF(AND($A3365="",$C3365=""),"",IF($A3365="","Thiếu mã đơn; ","")&amp;IF(COUNTIF($A$2:$A3365,$A3365)&gt;1,"Trùng mã đơn; ","")&amp;IF(ISNA(MATCH($C3365,DATA_MASTER!$D$2:$D$5000,0)),"SĐT chưa đăng ký hội viên; ","")&amp;IF(AND($L3365="Đã chuyển khoản",$M3365=""),"Thiếu ngày nhận CK; ",""))</f>
        <v/>
      </c>
      <c r="T3365" s="24" t="n"/>
    </row>
    <row r="3366" ht="14.25" customHeight="1" s="40">
      <c r="A3366" s="24" t="n"/>
      <c r="B3366" s="29" t="n"/>
      <c r="C3366" s="28" t="n"/>
      <c r="D3366" s="22">
        <f t="array" ref="D3366">IF($C3366="","",IFERROR(INDEX(DATA_MASTER!$C$2:$C$5000,MATCH($C3366,DATA_MASTER!$D$2:$D$5000,0)),""))</f>
        <v/>
      </c>
      <c r="E3366" s="22">
        <f t="array" ref="E3366">IF($C3366="","",IFERROR(INDEX(DATA_MASTER!$I$2:$I$5000,MATCH($C3366,DATA_MASTER!$D$2:$D$5000,0)),""))</f>
        <v/>
      </c>
      <c r="F3366" s="22">
        <f t="array" ref="F3366">IF($C3366="","",IFERROR(INDEX(DATA_MASTER!$L$2:$L$5000,MATCH($C3366,DATA_MASTER!$D$2:$D$5000,0)),""))</f>
        <v/>
      </c>
      <c r="G3366" s="24" t="n"/>
      <c r="H3366" s="24" t="n"/>
      <c r="I3366" s="30" t="n"/>
      <c r="J3366" s="23">
        <f>IF(OR($H3366="",$I3366=""),"",$H3366*$I3366)</f>
        <v/>
      </c>
      <c r="K3366" s="24" t="n"/>
      <c r="L3366" s="24" t="n"/>
      <c r="M3366" s="29" t="n"/>
      <c r="N3366" s="28" t="n"/>
      <c r="O3366" s="24" t="n"/>
      <c r="P3366" s="24" t="n"/>
      <c r="Q3366" s="24" t="n"/>
      <c r="R3366" s="24" t="n"/>
      <c r="S3366" s="22">
        <f>IF(AND($A3366="",$C3366=""),"",IF($A3366="","Thiếu mã đơn; ","")&amp;IF(COUNTIF($A$2:$A3366,$A3366)&gt;1,"Trùng mã đơn; ","")&amp;IF(ISNA(MATCH($C3366,DATA_MASTER!$D$2:$D$5000,0)),"SĐT chưa đăng ký hội viên; ","")&amp;IF(AND($L3366="Đã chuyển khoản",$M3366=""),"Thiếu ngày nhận CK; ",""))</f>
        <v/>
      </c>
      <c r="T3366" s="24" t="n"/>
    </row>
    <row r="3367" ht="14.25" customHeight="1" s="40">
      <c r="A3367" s="24" t="n"/>
      <c r="B3367" s="29" t="n"/>
      <c r="C3367" s="28" t="n"/>
      <c r="D3367" s="22">
        <f t="array" ref="D3367">IF($C3367="","",IFERROR(INDEX(DATA_MASTER!$C$2:$C$5000,MATCH($C3367,DATA_MASTER!$D$2:$D$5000,0)),""))</f>
        <v/>
      </c>
      <c r="E3367" s="22">
        <f t="array" ref="E3367">IF($C3367="","",IFERROR(INDEX(DATA_MASTER!$I$2:$I$5000,MATCH($C3367,DATA_MASTER!$D$2:$D$5000,0)),""))</f>
        <v/>
      </c>
      <c r="F3367" s="22">
        <f t="array" ref="F3367">IF($C3367="","",IFERROR(INDEX(DATA_MASTER!$L$2:$L$5000,MATCH($C3367,DATA_MASTER!$D$2:$D$5000,0)),""))</f>
        <v/>
      </c>
      <c r="G3367" s="24" t="n"/>
      <c r="H3367" s="24" t="n"/>
      <c r="I3367" s="30" t="n"/>
      <c r="J3367" s="23">
        <f>IF(OR($H3367="",$I3367=""),"",$H3367*$I3367)</f>
        <v/>
      </c>
      <c r="K3367" s="24" t="n"/>
      <c r="L3367" s="24" t="n"/>
      <c r="M3367" s="29" t="n"/>
      <c r="N3367" s="28" t="n"/>
      <c r="O3367" s="24" t="n"/>
      <c r="P3367" s="24" t="n"/>
      <c r="Q3367" s="24" t="n"/>
      <c r="R3367" s="24" t="n"/>
      <c r="S3367" s="22">
        <f>IF(AND($A3367="",$C3367=""),"",IF($A3367="","Thiếu mã đơn; ","")&amp;IF(COUNTIF($A$2:$A3367,$A3367)&gt;1,"Trùng mã đơn; ","")&amp;IF(ISNA(MATCH($C3367,DATA_MASTER!$D$2:$D$5000,0)),"SĐT chưa đăng ký hội viên; ","")&amp;IF(AND($L3367="Đã chuyển khoản",$M3367=""),"Thiếu ngày nhận CK; ",""))</f>
        <v/>
      </c>
      <c r="T3367" s="24" t="n"/>
    </row>
    <row r="3368" ht="14.25" customHeight="1" s="40">
      <c r="A3368" s="24" t="n"/>
      <c r="B3368" s="29" t="n"/>
      <c r="C3368" s="28" t="n"/>
      <c r="D3368" s="22">
        <f t="array" ref="D3368">IF($C3368="","",IFERROR(INDEX(DATA_MASTER!$C$2:$C$5000,MATCH($C3368,DATA_MASTER!$D$2:$D$5000,0)),""))</f>
        <v/>
      </c>
      <c r="E3368" s="22">
        <f t="array" ref="E3368">IF($C3368="","",IFERROR(INDEX(DATA_MASTER!$I$2:$I$5000,MATCH($C3368,DATA_MASTER!$D$2:$D$5000,0)),""))</f>
        <v/>
      </c>
      <c r="F3368" s="22">
        <f t="array" ref="F3368">IF($C3368="","",IFERROR(INDEX(DATA_MASTER!$L$2:$L$5000,MATCH($C3368,DATA_MASTER!$D$2:$D$5000,0)),""))</f>
        <v/>
      </c>
      <c r="G3368" s="24" t="n"/>
      <c r="H3368" s="24" t="n"/>
      <c r="I3368" s="30" t="n"/>
      <c r="J3368" s="23">
        <f>IF(OR($H3368="",$I3368=""),"",$H3368*$I3368)</f>
        <v/>
      </c>
      <c r="K3368" s="24" t="n"/>
      <c r="L3368" s="24" t="n"/>
      <c r="M3368" s="29" t="n"/>
      <c r="N3368" s="28" t="n"/>
      <c r="O3368" s="24" t="n"/>
      <c r="P3368" s="24" t="n"/>
      <c r="Q3368" s="24" t="n"/>
      <c r="R3368" s="24" t="n"/>
      <c r="S3368" s="22">
        <f>IF(AND($A3368="",$C3368=""),"",IF($A3368="","Thiếu mã đơn; ","")&amp;IF(COUNTIF($A$2:$A3368,$A3368)&gt;1,"Trùng mã đơn; ","")&amp;IF(ISNA(MATCH($C3368,DATA_MASTER!$D$2:$D$5000,0)),"SĐT chưa đăng ký hội viên; ","")&amp;IF(AND($L3368="Đã chuyển khoản",$M3368=""),"Thiếu ngày nhận CK; ",""))</f>
        <v/>
      </c>
      <c r="T3368" s="24" t="n"/>
    </row>
    <row r="3369" ht="14.25" customHeight="1" s="40">
      <c r="A3369" s="24" t="n"/>
      <c r="B3369" s="29" t="n"/>
      <c r="C3369" s="28" t="n"/>
      <c r="D3369" s="22">
        <f t="array" ref="D3369">IF($C3369="","",IFERROR(INDEX(DATA_MASTER!$C$2:$C$5000,MATCH($C3369,DATA_MASTER!$D$2:$D$5000,0)),""))</f>
        <v/>
      </c>
      <c r="E3369" s="22">
        <f t="array" ref="E3369">IF($C3369="","",IFERROR(INDEX(DATA_MASTER!$I$2:$I$5000,MATCH($C3369,DATA_MASTER!$D$2:$D$5000,0)),""))</f>
        <v/>
      </c>
      <c r="F3369" s="22">
        <f t="array" ref="F3369">IF($C3369="","",IFERROR(INDEX(DATA_MASTER!$L$2:$L$5000,MATCH($C3369,DATA_MASTER!$D$2:$D$5000,0)),""))</f>
        <v/>
      </c>
      <c r="G3369" s="24" t="n"/>
      <c r="H3369" s="24" t="n"/>
      <c r="I3369" s="30" t="n"/>
      <c r="J3369" s="23">
        <f>IF(OR($H3369="",$I3369=""),"",$H3369*$I3369)</f>
        <v/>
      </c>
      <c r="K3369" s="24" t="n"/>
      <c r="L3369" s="24" t="n"/>
      <c r="M3369" s="29" t="n"/>
      <c r="N3369" s="28" t="n"/>
      <c r="O3369" s="24" t="n"/>
      <c r="P3369" s="24" t="n"/>
      <c r="Q3369" s="24" t="n"/>
      <c r="R3369" s="24" t="n"/>
      <c r="S3369" s="22">
        <f>IF(AND($A3369="",$C3369=""),"",IF($A3369="","Thiếu mã đơn; ","")&amp;IF(COUNTIF($A$2:$A3369,$A3369)&gt;1,"Trùng mã đơn; ","")&amp;IF(ISNA(MATCH($C3369,DATA_MASTER!$D$2:$D$5000,0)),"SĐT chưa đăng ký hội viên; ","")&amp;IF(AND($L3369="Đã chuyển khoản",$M3369=""),"Thiếu ngày nhận CK; ",""))</f>
        <v/>
      </c>
      <c r="T3369" s="24" t="n"/>
    </row>
    <row r="3370" ht="14.25" customHeight="1" s="40">
      <c r="A3370" s="24" t="n"/>
      <c r="B3370" s="29" t="n"/>
      <c r="C3370" s="28" t="n"/>
      <c r="D3370" s="22">
        <f t="array" ref="D3370">IF($C3370="","",IFERROR(INDEX(DATA_MASTER!$C$2:$C$5000,MATCH($C3370,DATA_MASTER!$D$2:$D$5000,0)),""))</f>
        <v/>
      </c>
      <c r="E3370" s="22">
        <f t="array" ref="E3370">IF($C3370="","",IFERROR(INDEX(DATA_MASTER!$I$2:$I$5000,MATCH($C3370,DATA_MASTER!$D$2:$D$5000,0)),""))</f>
        <v/>
      </c>
      <c r="F3370" s="22">
        <f t="array" ref="F3370">IF($C3370="","",IFERROR(INDEX(DATA_MASTER!$L$2:$L$5000,MATCH($C3370,DATA_MASTER!$D$2:$D$5000,0)),""))</f>
        <v/>
      </c>
      <c r="G3370" s="24" t="n"/>
      <c r="H3370" s="24" t="n"/>
      <c r="I3370" s="30" t="n"/>
      <c r="J3370" s="23">
        <f>IF(OR($H3370="",$I3370=""),"",$H3370*$I3370)</f>
        <v/>
      </c>
      <c r="K3370" s="24" t="n"/>
      <c r="L3370" s="24" t="n"/>
      <c r="M3370" s="29" t="n"/>
      <c r="N3370" s="28" t="n"/>
      <c r="O3370" s="24" t="n"/>
      <c r="P3370" s="24" t="n"/>
      <c r="Q3370" s="24" t="n"/>
      <c r="R3370" s="24" t="n"/>
      <c r="S3370" s="22">
        <f>IF(AND($A3370="",$C3370=""),"",IF($A3370="","Thiếu mã đơn; ","")&amp;IF(COUNTIF($A$2:$A3370,$A3370)&gt;1,"Trùng mã đơn; ","")&amp;IF(ISNA(MATCH($C3370,DATA_MASTER!$D$2:$D$5000,0)),"SĐT chưa đăng ký hội viên; ","")&amp;IF(AND($L3370="Đã chuyển khoản",$M3370=""),"Thiếu ngày nhận CK; ",""))</f>
        <v/>
      </c>
      <c r="T3370" s="24" t="n"/>
    </row>
    <row r="3371" ht="14.25" customHeight="1" s="40">
      <c r="A3371" s="24" t="n"/>
      <c r="B3371" s="29" t="n"/>
      <c r="C3371" s="28" t="n"/>
      <c r="D3371" s="22">
        <f t="array" ref="D3371">IF($C3371="","",IFERROR(INDEX(DATA_MASTER!$C$2:$C$5000,MATCH($C3371,DATA_MASTER!$D$2:$D$5000,0)),""))</f>
        <v/>
      </c>
      <c r="E3371" s="22">
        <f t="array" ref="E3371">IF($C3371="","",IFERROR(INDEX(DATA_MASTER!$I$2:$I$5000,MATCH($C3371,DATA_MASTER!$D$2:$D$5000,0)),""))</f>
        <v/>
      </c>
      <c r="F3371" s="22">
        <f t="array" ref="F3371">IF($C3371="","",IFERROR(INDEX(DATA_MASTER!$L$2:$L$5000,MATCH($C3371,DATA_MASTER!$D$2:$D$5000,0)),""))</f>
        <v/>
      </c>
      <c r="G3371" s="24" t="n"/>
      <c r="H3371" s="24" t="n"/>
      <c r="I3371" s="30" t="n"/>
      <c r="J3371" s="23">
        <f>IF(OR($H3371="",$I3371=""),"",$H3371*$I3371)</f>
        <v/>
      </c>
      <c r="K3371" s="24" t="n"/>
      <c r="L3371" s="24" t="n"/>
      <c r="M3371" s="29" t="n"/>
      <c r="N3371" s="28" t="n"/>
      <c r="O3371" s="24" t="n"/>
      <c r="P3371" s="24" t="n"/>
      <c r="Q3371" s="24" t="n"/>
      <c r="R3371" s="24" t="n"/>
      <c r="S3371" s="22">
        <f>IF(AND($A3371="",$C3371=""),"",IF($A3371="","Thiếu mã đơn; ","")&amp;IF(COUNTIF($A$2:$A3371,$A3371)&gt;1,"Trùng mã đơn; ","")&amp;IF(ISNA(MATCH($C3371,DATA_MASTER!$D$2:$D$5000,0)),"SĐT chưa đăng ký hội viên; ","")&amp;IF(AND($L3371="Đã chuyển khoản",$M3371=""),"Thiếu ngày nhận CK; ",""))</f>
        <v/>
      </c>
      <c r="T3371" s="24" t="n"/>
    </row>
    <row r="3372" ht="14.25" customHeight="1" s="40">
      <c r="A3372" s="24" t="n"/>
      <c r="B3372" s="29" t="n"/>
      <c r="C3372" s="28" t="n"/>
      <c r="D3372" s="22">
        <f t="array" ref="D3372">IF($C3372="","",IFERROR(INDEX(DATA_MASTER!$C$2:$C$5000,MATCH($C3372,DATA_MASTER!$D$2:$D$5000,0)),""))</f>
        <v/>
      </c>
      <c r="E3372" s="22">
        <f t="array" ref="E3372">IF($C3372="","",IFERROR(INDEX(DATA_MASTER!$I$2:$I$5000,MATCH($C3372,DATA_MASTER!$D$2:$D$5000,0)),""))</f>
        <v/>
      </c>
      <c r="F3372" s="22">
        <f t="array" ref="F3372">IF($C3372="","",IFERROR(INDEX(DATA_MASTER!$L$2:$L$5000,MATCH($C3372,DATA_MASTER!$D$2:$D$5000,0)),""))</f>
        <v/>
      </c>
      <c r="G3372" s="24" t="n"/>
      <c r="H3372" s="24" t="n"/>
      <c r="I3372" s="30" t="n"/>
      <c r="J3372" s="23">
        <f>IF(OR($H3372="",$I3372=""),"",$H3372*$I3372)</f>
        <v/>
      </c>
      <c r="K3372" s="24" t="n"/>
      <c r="L3372" s="24" t="n"/>
      <c r="M3372" s="29" t="n"/>
      <c r="N3372" s="28" t="n"/>
      <c r="O3372" s="24" t="n"/>
      <c r="P3372" s="24" t="n"/>
      <c r="Q3372" s="24" t="n"/>
      <c r="R3372" s="24" t="n"/>
      <c r="S3372" s="22">
        <f>IF(AND($A3372="",$C3372=""),"",IF($A3372="","Thiếu mã đơn; ","")&amp;IF(COUNTIF($A$2:$A3372,$A3372)&gt;1,"Trùng mã đơn; ","")&amp;IF(ISNA(MATCH($C3372,DATA_MASTER!$D$2:$D$5000,0)),"SĐT chưa đăng ký hội viên; ","")&amp;IF(AND($L3372="Đã chuyển khoản",$M3372=""),"Thiếu ngày nhận CK; ",""))</f>
        <v/>
      </c>
      <c r="T3372" s="24" t="n"/>
    </row>
    <row r="3373" ht="14.25" customHeight="1" s="40">
      <c r="A3373" s="24" t="n"/>
      <c r="B3373" s="29" t="n"/>
      <c r="C3373" s="28" t="n"/>
      <c r="D3373" s="22">
        <f t="array" ref="D3373">IF($C3373="","",IFERROR(INDEX(DATA_MASTER!$C$2:$C$5000,MATCH($C3373,DATA_MASTER!$D$2:$D$5000,0)),""))</f>
        <v/>
      </c>
      <c r="E3373" s="22">
        <f t="array" ref="E3373">IF($C3373="","",IFERROR(INDEX(DATA_MASTER!$I$2:$I$5000,MATCH($C3373,DATA_MASTER!$D$2:$D$5000,0)),""))</f>
        <v/>
      </c>
      <c r="F3373" s="22">
        <f t="array" ref="F3373">IF($C3373="","",IFERROR(INDEX(DATA_MASTER!$L$2:$L$5000,MATCH($C3373,DATA_MASTER!$D$2:$D$5000,0)),""))</f>
        <v/>
      </c>
      <c r="G3373" s="24" t="n"/>
      <c r="H3373" s="24" t="n"/>
      <c r="I3373" s="30" t="n"/>
      <c r="J3373" s="23">
        <f>IF(OR($H3373="",$I3373=""),"",$H3373*$I3373)</f>
        <v/>
      </c>
      <c r="K3373" s="24" t="n"/>
      <c r="L3373" s="24" t="n"/>
      <c r="M3373" s="29" t="n"/>
      <c r="N3373" s="28" t="n"/>
      <c r="O3373" s="24" t="n"/>
      <c r="P3373" s="24" t="n"/>
      <c r="Q3373" s="24" t="n"/>
      <c r="R3373" s="24" t="n"/>
      <c r="S3373" s="22">
        <f>IF(AND($A3373="",$C3373=""),"",IF($A3373="","Thiếu mã đơn; ","")&amp;IF(COUNTIF($A$2:$A3373,$A3373)&gt;1,"Trùng mã đơn; ","")&amp;IF(ISNA(MATCH($C3373,DATA_MASTER!$D$2:$D$5000,0)),"SĐT chưa đăng ký hội viên; ","")&amp;IF(AND($L3373="Đã chuyển khoản",$M3373=""),"Thiếu ngày nhận CK; ",""))</f>
        <v/>
      </c>
      <c r="T3373" s="24" t="n"/>
    </row>
    <row r="3374" ht="14.25" customHeight="1" s="40">
      <c r="A3374" s="24" t="n"/>
      <c r="B3374" s="29" t="n"/>
      <c r="C3374" s="28" t="n"/>
      <c r="D3374" s="22">
        <f t="array" ref="D3374">IF($C3374="","",IFERROR(INDEX(DATA_MASTER!$C$2:$C$5000,MATCH($C3374,DATA_MASTER!$D$2:$D$5000,0)),""))</f>
        <v/>
      </c>
      <c r="E3374" s="22">
        <f t="array" ref="E3374">IF($C3374="","",IFERROR(INDEX(DATA_MASTER!$I$2:$I$5000,MATCH($C3374,DATA_MASTER!$D$2:$D$5000,0)),""))</f>
        <v/>
      </c>
      <c r="F3374" s="22">
        <f t="array" ref="F3374">IF($C3374="","",IFERROR(INDEX(DATA_MASTER!$L$2:$L$5000,MATCH($C3374,DATA_MASTER!$D$2:$D$5000,0)),""))</f>
        <v/>
      </c>
      <c r="G3374" s="24" t="n"/>
      <c r="H3374" s="24" t="n"/>
      <c r="I3374" s="30" t="n"/>
      <c r="J3374" s="23">
        <f>IF(OR($H3374="",$I3374=""),"",$H3374*$I3374)</f>
        <v/>
      </c>
      <c r="K3374" s="24" t="n"/>
      <c r="L3374" s="24" t="n"/>
      <c r="M3374" s="29" t="n"/>
      <c r="N3374" s="28" t="n"/>
      <c r="O3374" s="24" t="n"/>
      <c r="P3374" s="24" t="n"/>
      <c r="Q3374" s="24" t="n"/>
      <c r="R3374" s="24" t="n"/>
      <c r="S3374" s="22">
        <f>IF(AND($A3374="",$C3374=""),"",IF($A3374="","Thiếu mã đơn; ","")&amp;IF(COUNTIF($A$2:$A3374,$A3374)&gt;1,"Trùng mã đơn; ","")&amp;IF(ISNA(MATCH($C3374,DATA_MASTER!$D$2:$D$5000,0)),"SĐT chưa đăng ký hội viên; ","")&amp;IF(AND($L3374="Đã chuyển khoản",$M3374=""),"Thiếu ngày nhận CK; ",""))</f>
        <v/>
      </c>
      <c r="T3374" s="24" t="n"/>
    </row>
    <row r="3375" ht="14.25" customHeight="1" s="40">
      <c r="A3375" s="24" t="n"/>
      <c r="B3375" s="29" t="n"/>
      <c r="C3375" s="28" t="n"/>
      <c r="D3375" s="22">
        <f t="array" ref="D3375">IF($C3375="","",IFERROR(INDEX(DATA_MASTER!$C$2:$C$5000,MATCH($C3375,DATA_MASTER!$D$2:$D$5000,0)),""))</f>
        <v/>
      </c>
      <c r="E3375" s="22">
        <f t="array" ref="E3375">IF($C3375="","",IFERROR(INDEX(DATA_MASTER!$I$2:$I$5000,MATCH($C3375,DATA_MASTER!$D$2:$D$5000,0)),""))</f>
        <v/>
      </c>
      <c r="F3375" s="22">
        <f t="array" ref="F3375">IF($C3375="","",IFERROR(INDEX(DATA_MASTER!$L$2:$L$5000,MATCH($C3375,DATA_MASTER!$D$2:$D$5000,0)),""))</f>
        <v/>
      </c>
      <c r="G3375" s="24" t="n"/>
      <c r="H3375" s="24" t="n"/>
      <c r="I3375" s="30" t="n"/>
      <c r="J3375" s="23">
        <f>IF(OR($H3375="",$I3375=""),"",$H3375*$I3375)</f>
        <v/>
      </c>
      <c r="K3375" s="24" t="n"/>
      <c r="L3375" s="24" t="n"/>
      <c r="M3375" s="29" t="n"/>
      <c r="N3375" s="28" t="n"/>
      <c r="O3375" s="24" t="n"/>
      <c r="P3375" s="24" t="n"/>
      <c r="Q3375" s="24" t="n"/>
      <c r="R3375" s="24" t="n"/>
      <c r="S3375" s="22">
        <f>IF(AND($A3375="",$C3375=""),"",IF($A3375="","Thiếu mã đơn; ","")&amp;IF(COUNTIF($A$2:$A3375,$A3375)&gt;1,"Trùng mã đơn; ","")&amp;IF(ISNA(MATCH($C3375,DATA_MASTER!$D$2:$D$5000,0)),"SĐT chưa đăng ký hội viên; ","")&amp;IF(AND($L3375="Đã chuyển khoản",$M3375=""),"Thiếu ngày nhận CK; ",""))</f>
        <v/>
      </c>
      <c r="T3375" s="24" t="n"/>
    </row>
    <row r="3376" ht="14.25" customHeight="1" s="40">
      <c r="A3376" s="24" t="n"/>
      <c r="B3376" s="29" t="n"/>
      <c r="C3376" s="28" t="n"/>
      <c r="D3376" s="22">
        <f t="array" ref="D3376">IF($C3376="","",IFERROR(INDEX(DATA_MASTER!$C$2:$C$5000,MATCH($C3376,DATA_MASTER!$D$2:$D$5000,0)),""))</f>
        <v/>
      </c>
      <c r="E3376" s="22">
        <f t="array" ref="E3376">IF($C3376="","",IFERROR(INDEX(DATA_MASTER!$I$2:$I$5000,MATCH($C3376,DATA_MASTER!$D$2:$D$5000,0)),""))</f>
        <v/>
      </c>
      <c r="F3376" s="22">
        <f t="array" ref="F3376">IF($C3376="","",IFERROR(INDEX(DATA_MASTER!$L$2:$L$5000,MATCH($C3376,DATA_MASTER!$D$2:$D$5000,0)),""))</f>
        <v/>
      </c>
      <c r="G3376" s="24" t="n"/>
      <c r="H3376" s="24" t="n"/>
      <c r="I3376" s="30" t="n"/>
      <c r="J3376" s="23">
        <f>IF(OR($H3376="",$I3376=""),"",$H3376*$I3376)</f>
        <v/>
      </c>
      <c r="K3376" s="24" t="n"/>
      <c r="L3376" s="24" t="n"/>
      <c r="M3376" s="29" t="n"/>
      <c r="N3376" s="28" t="n"/>
      <c r="O3376" s="24" t="n"/>
      <c r="P3376" s="24" t="n"/>
      <c r="Q3376" s="24" t="n"/>
      <c r="R3376" s="24" t="n"/>
      <c r="S3376" s="22">
        <f>IF(AND($A3376="",$C3376=""),"",IF($A3376="","Thiếu mã đơn; ","")&amp;IF(COUNTIF($A$2:$A3376,$A3376)&gt;1,"Trùng mã đơn; ","")&amp;IF(ISNA(MATCH($C3376,DATA_MASTER!$D$2:$D$5000,0)),"SĐT chưa đăng ký hội viên; ","")&amp;IF(AND($L3376="Đã chuyển khoản",$M3376=""),"Thiếu ngày nhận CK; ",""))</f>
        <v/>
      </c>
      <c r="T3376" s="24" t="n"/>
    </row>
    <row r="3377" ht="14.25" customHeight="1" s="40">
      <c r="A3377" s="24" t="n"/>
      <c r="B3377" s="29" t="n"/>
      <c r="C3377" s="28" t="n"/>
      <c r="D3377" s="22">
        <f t="array" ref="D3377">IF($C3377="","",IFERROR(INDEX(DATA_MASTER!$C$2:$C$5000,MATCH($C3377,DATA_MASTER!$D$2:$D$5000,0)),""))</f>
        <v/>
      </c>
      <c r="E3377" s="22">
        <f t="array" ref="E3377">IF($C3377="","",IFERROR(INDEX(DATA_MASTER!$I$2:$I$5000,MATCH($C3377,DATA_MASTER!$D$2:$D$5000,0)),""))</f>
        <v/>
      </c>
      <c r="F3377" s="22">
        <f t="array" ref="F3377">IF($C3377="","",IFERROR(INDEX(DATA_MASTER!$L$2:$L$5000,MATCH($C3377,DATA_MASTER!$D$2:$D$5000,0)),""))</f>
        <v/>
      </c>
      <c r="G3377" s="24" t="n"/>
      <c r="H3377" s="24" t="n"/>
      <c r="I3377" s="30" t="n"/>
      <c r="J3377" s="23">
        <f>IF(OR($H3377="",$I3377=""),"",$H3377*$I3377)</f>
        <v/>
      </c>
      <c r="K3377" s="24" t="n"/>
      <c r="L3377" s="24" t="n"/>
      <c r="M3377" s="29" t="n"/>
      <c r="N3377" s="28" t="n"/>
      <c r="O3377" s="24" t="n"/>
      <c r="P3377" s="24" t="n"/>
      <c r="Q3377" s="24" t="n"/>
      <c r="R3377" s="24" t="n"/>
      <c r="S3377" s="22">
        <f>IF(AND($A3377="",$C3377=""),"",IF($A3377="","Thiếu mã đơn; ","")&amp;IF(COUNTIF($A$2:$A3377,$A3377)&gt;1,"Trùng mã đơn; ","")&amp;IF(ISNA(MATCH($C3377,DATA_MASTER!$D$2:$D$5000,0)),"SĐT chưa đăng ký hội viên; ","")&amp;IF(AND($L3377="Đã chuyển khoản",$M3377=""),"Thiếu ngày nhận CK; ",""))</f>
        <v/>
      </c>
      <c r="T3377" s="24" t="n"/>
    </row>
    <row r="3378" ht="14.25" customHeight="1" s="40">
      <c r="A3378" s="24" t="n"/>
      <c r="B3378" s="29" t="n"/>
      <c r="C3378" s="28" t="n"/>
      <c r="D3378" s="22">
        <f t="array" ref="D3378">IF($C3378="","",IFERROR(INDEX(DATA_MASTER!$C$2:$C$5000,MATCH($C3378,DATA_MASTER!$D$2:$D$5000,0)),""))</f>
        <v/>
      </c>
      <c r="E3378" s="22">
        <f t="array" ref="E3378">IF($C3378="","",IFERROR(INDEX(DATA_MASTER!$I$2:$I$5000,MATCH($C3378,DATA_MASTER!$D$2:$D$5000,0)),""))</f>
        <v/>
      </c>
      <c r="F3378" s="22">
        <f t="array" ref="F3378">IF($C3378="","",IFERROR(INDEX(DATA_MASTER!$L$2:$L$5000,MATCH($C3378,DATA_MASTER!$D$2:$D$5000,0)),""))</f>
        <v/>
      </c>
      <c r="G3378" s="24" t="n"/>
      <c r="H3378" s="24" t="n"/>
      <c r="I3378" s="30" t="n"/>
      <c r="J3378" s="23">
        <f>IF(OR($H3378="",$I3378=""),"",$H3378*$I3378)</f>
        <v/>
      </c>
      <c r="K3378" s="24" t="n"/>
      <c r="L3378" s="24" t="n"/>
      <c r="M3378" s="29" t="n"/>
      <c r="N3378" s="28" t="n"/>
      <c r="O3378" s="24" t="n"/>
      <c r="P3378" s="24" t="n"/>
      <c r="Q3378" s="24" t="n"/>
      <c r="R3378" s="24" t="n"/>
      <c r="S3378" s="22">
        <f>IF(AND($A3378="",$C3378=""),"",IF($A3378="","Thiếu mã đơn; ","")&amp;IF(COUNTIF($A$2:$A3378,$A3378)&gt;1,"Trùng mã đơn; ","")&amp;IF(ISNA(MATCH($C3378,DATA_MASTER!$D$2:$D$5000,0)),"SĐT chưa đăng ký hội viên; ","")&amp;IF(AND($L3378="Đã chuyển khoản",$M3378=""),"Thiếu ngày nhận CK; ",""))</f>
        <v/>
      </c>
      <c r="T3378" s="24" t="n"/>
    </row>
    <row r="3379" ht="14.25" customHeight="1" s="40">
      <c r="A3379" s="24" t="n"/>
      <c r="B3379" s="29" t="n"/>
      <c r="C3379" s="28" t="n"/>
      <c r="D3379" s="22">
        <f t="array" ref="D3379">IF($C3379="","",IFERROR(INDEX(DATA_MASTER!$C$2:$C$5000,MATCH($C3379,DATA_MASTER!$D$2:$D$5000,0)),""))</f>
        <v/>
      </c>
      <c r="E3379" s="22">
        <f t="array" ref="E3379">IF($C3379="","",IFERROR(INDEX(DATA_MASTER!$I$2:$I$5000,MATCH($C3379,DATA_MASTER!$D$2:$D$5000,0)),""))</f>
        <v/>
      </c>
      <c r="F3379" s="22">
        <f t="array" ref="F3379">IF($C3379="","",IFERROR(INDEX(DATA_MASTER!$L$2:$L$5000,MATCH($C3379,DATA_MASTER!$D$2:$D$5000,0)),""))</f>
        <v/>
      </c>
      <c r="G3379" s="24" t="n"/>
      <c r="H3379" s="24" t="n"/>
      <c r="I3379" s="30" t="n"/>
      <c r="J3379" s="23">
        <f>IF(OR($H3379="",$I3379=""),"",$H3379*$I3379)</f>
        <v/>
      </c>
      <c r="K3379" s="24" t="n"/>
      <c r="L3379" s="24" t="n"/>
      <c r="M3379" s="29" t="n"/>
      <c r="N3379" s="28" t="n"/>
      <c r="O3379" s="24" t="n"/>
      <c r="P3379" s="24" t="n"/>
      <c r="Q3379" s="24" t="n"/>
      <c r="R3379" s="24" t="n"/>
      <c r="S3379" s="22">
        <f>IF(AND($A3379="",$C3379=""),"",IF($A3379="","Thiếu mã đơn; ","")&amp;IF(COUNTIF($A$2:$A3379,$A3379)&gt;1,"Trùng mã đơn; ","")&amp;IF(ISNA(MATCH($C3379,DATA_MASTER!$D$2:$D$5000,0)),"SĐT chưa đăng ký hội viên; ","")&amp;IF(AND($L3379="Đã chuyển khoản",$M3379=""),"Thiếu ngày nhận CK; ",""))</f>
        <v/>
      </c>
      <c r="T3379" s="24" t="n"/>
    </row>
    <row r="3380" ht="14.25" customHeight="1" s="40">
      <c r="A3380" s="24" t="n"/>
      <c r="B3380" s="29" t="n"/>
      <c r="C3380" s="28" t="n"/>
      <c r="D3380" s="22">
        <f t="array" ref="D3380">IF($C3380="","",IFERROR(INDEX(DATA_MASTER!$C$2:$C$5000,MATCH($C3380,DATA_MASTER!$D$2:$D$5000,0)),""))</f>
        <v/>
      </c>
      <c r="E3380" s="22">
        <f t="array" ref="E3380">IF($C3380="","",IFERROR(INDEX(DATA_MASTER!$I$2:$I$5000,MATCH($C3380,DATA_MASTER!$D$2:$D$5000,0)),""))</f>
        <v/>
      </c>
      <c r="F3380" s="22">
        <f t="array" ref="F3380">IF($C3380="","",IFERROR(INDEX(DATA_MASTER!$L$2:$L$5000,MATCH($C3380,DATA_MASTER!$D$2:$D$5000,0)),""))</f>
        <v/>
      </c>
      <c r="G3380" s="24" t="n"/>
      <c r="H3380" s="24" t="n"/>
      <c r="I3380" s="30" t="n"/>
      <c r="J3380" s="23">
        <f>IF(OR($H3380="",$I3380=""),"",$H3380*$I3380)</f>
        <v/>
      </c>
      <c r="K3380" s="24" t="n"/>
      <c r="L3380" s="24" t="n"/>
      <c r="M3380" s="29" t="n"/>
      <c r="N3380" s="28" t="n"/>
      <c r="O3380" s="24" t="n"/>
      <c r="P3380" s="24" t="n"/>
      <c r="Q3380" s="24" t="n"/>
      <c r="R3380" s="24" t="n"/>
      <c r="S3380" s="22">
        <f>IF(AND($A3380="",$C3380=""),"",IF($A3380="","Thiếu mã đơn; ","")&amp;IF(COUNTIF($A$2:$A3380,$A3380)&gt;1,"Trùng mã đơn; ","")&amp;IF(ISNA(MATCH($C3380,DATA_MASTER!$D$2:$D$5000,0)),"SĐT chưa đăng ký hội viên; ","")&amp;IF(AND($L3380="Đã chuyển khoản",$M3380=""),"Thiếu ngày nhận CK; ",""))</f>
        <v/>
      </c>
      <c r="T3380" s="24" t="n"/>
    </row>
    <row r="3381" ht="14.25" customHeight="1" s="40">
      <c r="A3381" s="24" t="n"/>
      <c r="B3381" s="29" t="n"/>
      <c r="C3381" s="28" t="n"/>
      <c r="D3381" s="22">
        <f t="array" ref="D3381">IF($C3381="","",IFERROR(INDEX(DATA_MASTER!$C$2:$C$5000,MATCH($C3381,DATA_MASTER!$D$2:$D$5000,0)),""))</f>
        <v/>
      </c>
      <c r="E3381" s="22">
        <f t="array" ref="E3381">IF($C3381="","",IFERROR(INDEX(DATA_MASTER!$I$2:$I$5000,MATCH($C3381,DATA_MASTER!$D$2:$D$5000,0)),""))</f>
        <v/>
      </c>
      <c r="F3381" s="22">
        <f t="array" ref="F3381">IF($C3381="","",IFERROR(INDEX(DATA_MASTER!$L$2:$L$5000,MATCH($C3381,DATA_MASTER!$D$2:$D$5000,0)),""))</f>
        <v/>
      </c>
      <c r="G3381" s="24" t="n"/>
      <c r="H3381" s="24" t="n"/>
      <c r="I3381" s="30" t="n"/>
      <c r="J3381" s="23">
        <f>IF(OR($H3381="",$I3381=""),"",$H3381*$I3381)</f>
        <v/>
      </c>
      <c r="K3381" s="24" t="n"/>
      <c r="L3381" s="24" t="n"/>
      <c r="M3381" s="29" t="n"/>
      <c r="N3381" s="28" t="n"/>
      <c r="O3381" s="24" t="n"/>
      <c r="P3381" s="24" t="n"/>
      <c r="Q3381" s="24" t="n"/>
      <c r="R3381" s="24" t="n"/>
      <c r="S3381" s="22">
        <f>IF(AND($A3381="",$C3381=""),"",IF($A3381="","Thiếu mã đơn; ","")&amp;IF(COUNTIF($A$2:$A3381,$A3381)&gt;1,"Trùng mã đơn; ","")&amp;IF(ISNA(MATCH($C3381,DATA_MASTER!$D$2:$D$5000,0)),"SĐT chưa đăng ký hội viên; ","")&amp;IF(AND($L3381="Đã chuyển khoản",$M3381=""),"Thiếu ngày nhận CK; ",""))</f>
        <v/>
      </c>
      <c r="T3381" s="24" t="n"/>
    </row>
    <row r="3382" ht="14.25" customHeight="1" s="40">
      <c r="A3382" s="24" t="n"/>
      <c r="B3382" s="29" t="n"/>
      <c r="C3382" s="28" t="n"/>
      <c r="D3382" s="22">
        <f t="array" ref="D3382">IF($C3382="","",IFERROR(INDEX(DATA_MASTER!$C$2:$C$5000,MATCH($C3382,DATA_MASTER!$D$2:$D$5000,0)),""))</f>
        <v/>
      </c>
      <c r="E3382" s="22">
        <f t="array" ref="E3382">IF($C3382="","",IFERROR(INDEX(DATA_MASTER!$I$2:$I$5000,MATCH($C3382,DATA_MASTER!$D$2:$D$5000,0)),""))</f>
        <v/>
      </c>
      <c r="F3382" s="22">
        <f t="array" ref="F3382">IF($C3382="","",IFERROR(INDEX(DATA_MASTER!$L$2:$L$5000,MATCH($C3382,DATA_MASTER!$D$2:$D$5000,0)),""))</f>
        <v/>
      </c>
      <c r="G3382" s="24" t="n"/>
      <c r="H3382" s="24" t="n"/>
      <c r="I3382" s="30" t="n"/>
      <c r="J3382" s="23">
        <f>IF(OR($H3382="",$I3382=""),"",$H3382*$I3382)</f>
        <v/>
      </c>
      <c r="K3382" s="24" t="n"/>
      <c r="L3382" s="24" t="n"/>
      <c r="M3382" s="29" t="n"/>
      <c r="N3382" s="28" t="n"/>
      <c r="O3382" s="24" t="n"/>
      <c r="P3382" s="24" t="n"/>
      <c r="Q3382" s="24" t="n"/>
      <c r="R3382" s="24" t="n"/>
      <c r="S3382" s="22">
        <f>IF(AND($A3382="",$C3382=""),"",IF($A3382="","Thiếu mã đơn; ","")&amp;IF(COUNTIF($A$2:$A3382,$A3382)&gt;1,"Trùng mã đơn; ","")&amp;IF(ISNA(MATCH($C3382,DATA_MASTER!$D$2:$D$5000,0)),"SĐT chưa đăng ký hội viên; ","")&amp;IF(AND($L3382="Đã chuyển khoản",$M3382=""),"Thiếu ngày nhận CK; ",""))</f>
        <v/>
      </c>
      <c r="T3382" s="24" t="n"/>
    </row>
    <row r="3383" ht="14.25" customHeight="1" s="40">
      <c r="A3383" s="24" t="n"/>
      <c r="B3383" s="29" t="n"/>
      <c r="C3383" s="28" t="n"/>
      <c r="D3383" s="22">
        <f t="array" ref="D3383">IF($C3383="","",IFERROR(INDEX(DATA_MASTER!$C$2:$C$5000,MATCH($C3383,DATA_MASTER!$D$2:$D$5000,0)),""))</f>
        <v/>
      </c>
      <c r="E3383" s="22">
        <f t="array" ref="E3383">IF($C3383="","",IFERROR(INDEX(DATA_MASTER!$I$2:$I$5000,MATCH($C3383,DATA_MASTER!$D$2:$D$5000,0)),""))</f>
        <v/>
      </c>
      <c r="F3383" s="22">
        <f t="array" ref="F3383">IF($C3383="","",IFERROR(INDEX(DATA_MASTER!$L$2:$L$5000,MATCH($C3383,DATA_MASTER!$D$2:$D$5000,0)),""))</f>
        <v/>
      </c>
      <c r="G3383" s="24" t="n"/>
      <c r="H3383" s="24" t="n"/>
      <c r="I3383" s="30" t="n"/>
      <c r="J3383" s="23">
        <f>IF(OR($H3383="",$I3383=""),"",$H3383*$I3383)</f>
        <v/>
      </c>
      <c r="K3383" s="24" t="n"/>
      <c r="L3383" s="24" t="n"/>
      <c r="M3383" s="29" t="n"/>
      <c r="N3383" s="28" t="n"/>
      <c r="O3383" s="24" t="n"/>
      <c r="P3383" s="24" t="n"/>
      <c r="Q3383" s="24" t="n"/>
      <c r="R3383" s="24" t="n"/>
      <c r="S3383" s="22">
        <f>IF(AND($A3383="",$C3383=""),"",IF($A3383="","Thiếu mã đơn; ","")&amp;IF(COUNTIF($A$2:$A3383,$A3383)&gt;1,"Trùng mã đơn; ","")&amp;IF(ISNA(MATCH($C3383,DATA_MASTER!$D$2:$D$5000,0)),"SĐT chưa đăng ký hội viên; ","")&amp;IF(AND($L3383="Đã chuyển khoản",$M3383=""),"Thiếu ngày nhận CK; ",""))</f>
        <v/>
      </c>
      <c r="T3383" s="24" t="n"/>
    </row>
    <row r="3384" ht="14.25" customHeight="1" s="40">
      <c r="A3384" s="24" t="n"/>
      <c r="B3384" s="29" t="n"/>
      <c r="C3384" s="28" t="n"/>
      <c r="D3384" s="22">
        <f t="array" ref="D3384">IF($C3384="","",IFERROR(INDEX(DATA_MASTER!$C$2:$C$5000,MATCH($C3384,DATA_MASTER!$D$2:$D$5000,0)),""))</f>
        <v/>
      </c>
      <c r="E3384" s="22">
        <f t="array" ref="E3384">IF($C3384="","",IFERROR(INDEX(DATA_MASTER!$I$2:$I$5000,MATCH($C3384,DATA_MASTER!$D$2:$D$5000,0)),""))</f>
        <v/>
      </c>
      <c r="F3384" s="22">
        <f t="array" ref="F3384">IF($C3384="","",IFERROR(INDEX(DATA_MASTER!$L$2:$L$5000,MATCH($C3384,DATA_MASTER!$D$2:$D$5000,0)),""))</f>
        <v/>
      </c>
      <c r="G3384" s="24" t="n"/>
      <c r="H3384" s="24" t="n"/>
      <c r="I3384" s="30" t="n"/>
      <c r="J3384" s="23">
        <f>IF(OR($H3384="",$I3384=""),"",$H3384*$I3384)</f>
        <v/>
      </c>
      <c r="K3384" s="24" t="n"/>
      <c r="L3384" s="24" t="n"/>
      <c r="M3384" s="29" t="n"/>
      <c r="N3384" s="28" t="n"/>
      <c r="O3384" s="24" t="n"/>
      <c r="P3384" s="24" t="n"/>
      <c r="Q3384" s="24" t="n"/>
      <c r="R3384" s="24" t="n"/>
      <c r="S3384" s="22">
        <f>IF(AND($A3384="",$C3384=""),"",IF($A3384="","Thiếu mã đơn; ","")&amp;IF(COUNTIF($A$2:$A3384,$A3384)&gt;1,"Trùng mã đơn; ","")&amp;IF(ISNA(MATCH($C3384,DATA_MASTER!$D$2:$D$5000,0)),"SĐT chưa đăng ký hội viên; ","")&amp;IF(AND($L3384="Đã chuyển khoản",$M3384=""),"Thiếu ngày nhận CK; ",""))</f>
        <v/>
      </c>
      <c r="T3384" s="24" t="n"/>
    </row>
    <row r="3385" ht="14.25" customHeight="1" s="40">
      <c r="A3385" s="24" t="n"/>
      <c r="B3385" s="29" t="n"/>
      <c r="C3385" s="28" t="n"/>
      <c r="D3385" s="22">
        <f t="array" ref="D3385">IF($C3385="","",IFERROR(INDEX(DATA_MASTER!$C$2:$C$5000,MATCH($C3385,DATA_MASTER!$D$2:$D$5000,0)),""))</f>
        <v/>
      </c>
      <c r="E3385" s="22">
        <f t="array" ref="E3385">IF($C3385="","",IFERROR(INDEX(DATA_MASTER!$I$2:$I$5000,MATCH($C3385,DATA_MASTER!$D$2:$D$5000,0)),""))</f>
        <v/>
      </c>
      <c r="F3385" s="22">
        <f t="array" ref="F3385">IF($C3385="","",IFERROR(INDEX(DATA_MASTER!$L$2:$L$5000,MATCH($C3385,DATA_MASTER!$D$2:$D$5000,0)),""))</f>
        <v/>
      </c>
      <c r="G3385" s="24" t="n"/>
      <c r="H3385" s="24" t="n"/>
      <c r="I3385" s="30" t="n"/>
      <c r="J3385" s="23">
        <f>IF(OR($H3385="",$I3385=""),"",$H3385*$I3385)</f>
        <v/>
      </c>
      <c r="K3385" s="24" t="n"/>
      <c r="L3385" s="24" t="n"/>
      <c r="M3385" s="29" t="n"/>
      <c r="N3385" s="28" t="n"/>
      <c r="O3385" s="24" t="n"/>
      <c r="P3385" s="24" t="n"/>
      <c r="Q3385" s="24" t="n"/>
      <c r="R3385" s="24" t="n"/>
      <c r="S3385" s="22">
        <f>IF(AND($A3385="",$C3385=""),"",IF($A3385="","Thiếu mã đơn; ","")&amp;IF(COUNTIF($A$2:$A3385,$A3385)&gt;1,"Trùng mã đơn; ","")&amp;IF(ISNA(MATCH($C3385,DATA_MASTER!$D$2:$D$5000,0)),"SĐT chưa đăng ký hội viên; ","")&amp;IF(AND($L3385="Đã chuyển khoản",$M3385=""),"Thiếu ngày nhận CK; ",""))</f>
        <v/>
      </c>
      <c r="T3385" s="24" t="n"/>
    </row>
    <row r="3386" ht="14.25" customHeight="1" s="40">
      <c r="A3386" s="24" t="n"/>
      <c r="B3386" s="29" t="n"/>
      <c r="C3386" s="28" t="n"/>
      <c r="D3386" s="22">
        <f t="array" ref="D3386">IF($C3386="","",IFERROR(INDEX(DATA_MASTER!$C$2:$C$5000,MATCH($C3386,DATA_MASTER!$D$2:$D$5000,0)),""))</f>
        <v/>
      </c>
      <c r="E3386" s="22">
        <f t="array" ref="E3386">IF($C3386="","",IFERROR(INDEX(DATA_MASTER!$I$2:$I$5000,MATCH($C3386,DATA_MASTER!$D$2:$D$5000,0)),""))</f>
        <v/>
      </c>
      <c r="F3386" s="22">
        <f t="array" ref="F3386">IF($C3386="","",IFERROR(INDEX(DATA_MASTER!$L$2:$L$5000,MATCH($C3386,DATA_MASTER!$D$2:$D$5000,0)),""))</f>
        <v/>
      </c>
      <c r="G3386" s="24" t="n"/>
      <c r="H3386" s="24" t="n"/>
      <c r="I3386" s="30" t="n"/>
      <c r="J3386" s="23">
        <f>IF(OR($H3386="",$I3386=""),"",$H3386*$I3386)</f>
        <v/>
      </c>
      <c r="K3386" s="24" t="n"/>
      <c r="L3386" s="24" t="n"/>
      <c r="M3386" s="29" t="n"/>
      <c r="N3386" s="28" t="n"/>
      <c r="O3386" s="24" t="n"/>
      <c r="P3386" s="24" t="n"/>
      <c r="Q3386" s="24" t="n"/>
      <c r="R3386" s="24" t="n"/>
      <c r="S3386" s="22">
        <f>IF(AND($A3386="",$C3386=""),"",IF($A3386="","Thiếu mã đơn; ","")&amp;IF(COUNTIF($A$2:$A3386,$A3386)&gt;1,"Trùng mã đơn; ","")&amp;IF(ISNA(MATCH($C3386,DATA_MASTER!$D$2:$D$5000,0)),"SĐT chưa đăng ký hội viên; ","")&amp;IF(AND($L3386="Đã chuyển khoản",$M3386=""),"Thiếu ngày nhận CK; ",""))</f>
        <v/>
      </c>
      <c r="T3386" s="24" t="n"/>
    </row>
    <row r="3387" ht="14.25" customHeight="1" s="40">
      <c r="A3387" s="24" t="n"/>
      <c r="B3387" s="29" t="n"/>
      <c r="C3387" s="28" t="n"/>
      <c r="D3387" s="22">
        <f t="array" ref="D3387">IF($C3387="","",IFERROR(INDEX(DATA_MASTER!$C$2:$C$5000,MATCH($C3387,DATA_MASTER!$D$2:$D$5000,0)),""))</f>
        <v/>
      </c>
      <c r="E3387" s="22">
        <f t="array" ref="E3387">IF($C3387="","",IFERROR(INDEX(DATA_MASTER!$I$2:$I$5000,MATCH($C3387,DATA_MASTER!$D$2:$D$5000,0)),""))</f>
        <v/>
      </c>
      <c r="F3387" s="22">
        <f t="array" ref="F3387">IF($C3387="","",IFERROR(INDEX(DATA_MASTER!$L$2:$L$5000,MATCH($C3387,DATA_MASTER!$D$2:$D$5000,0)),""))</f>
        <v/>
      </c>
      <c r="G3387" s="24" t="n"/>
      <c r="H3387" s="24" t="n"/>
      <c r="I3387" s="30" t="n"/>
      <c r="J3387" s="23">
        <f>IF(OR($H3387="",$I3387=""),"",$H3387*$I3387)</f>
        <v/>
      </c>
      <c r="K3387" s="24" t="n"/>
      <c r="L3387" s="24" t="n"/>
      <c r="M3387" s="29" t="n"/>
      <c r="N3387" s="28" t="n"/>
      <c r="O3387" s="24" t="n"/>
      <c r="P3387" s="24" t="n"/>
      <c r="Q3387" s="24" t="n"/>
      <c r="R3387" s="24" t="n"/>
      <c r="S3387" s="22">
        <f>IF(AND($A3387="",$C3387=""),"",IF($A3387="","Thiếu mã đơn; ","")&amp;IF(COUNTIF($A$2:$A3387,$A3387)&gt;1,"Trùng mã đơn; ","")&amp;IF(ISNA(MATCH($C3387,DATA_MASTER!$D$2:$D$5000,0)),"SĐT chưa đăng ký hội viên; ","")&amp;IF(AND($L3387="Đã chuyển khoản",$M3387=""),"Thiếu ngày nhận CK; ",""))</f>
        <v/>
      </c>
      <c r="T3387" s="24" t="n"/>
    </row>
    <row r="3388" ht="14.25" customHeight="1" s="40">
      <c r="A3388" s="24" t="n"/>
      <c r="B3388" s="29" t="n"/>
      <c r="C3388" s="28" t="n"/>
      <c r="D3388" s="22">
        <f t="array" ref="D3388">IF($C3388="","",IFERROR(INDEX(DATA_MASTER!$C$2:$C$5000,MATCH($C3388,DATA_MASTER!$D$2:$D$5000,0)),""))</f>
        <v/>
      </c>
      <c r="E3388" s="22">
        <f t="array" ref="E3388">IF($C3388="","",IFERROR(INDEX(DATA_MASTER!$I$2:$I$5000,MATCH($C3388,DATA_MASTER!$D$2:$D$5000,0)),""))</f>
        <v/>
      </c>
      <c r="F3388" s="22">
        <f t="array" ref="F3388">IF($C3388="","",IFERROR(INDEX(DATA_MASTER!$L$2:$L$5000,MATCH($C3388,DATA_MASTER!$D$2:$D$5000,0)),""))</f>
        <v/>
      </c>
      <c r="G3388" s="24" t="n"/>
      <c r="H3388" s="24" t="n"/>
      <c r="I3388" s="30" t="n"/>
      <c r="J3388" s="23">
        <f>IF(OR($H3388="",$I3388=""),"",$H3388*$I3388)</f>
        <v/>
      </c>
      <c r="K3388" s="24" t="n"/>
      <c r="L3388" s="24" t="n"/>
      <c r="M3388" s="29" t="n"/>
      <c r="N3388" s="28" t="n"/>
      <c r="O3388" s="24" t="n"/>
      <c r="P3388" s="24" t="n"/>
      <c r="Q3388" s="24" t="n"/>
      <c r="R3388" s="24" t="n"/>
      <c r="S3388" s="22">
        <f>IF(AND($A3388="",$C3388=""),"",IF($A3388="","Thiếu mã đơn; ","")&amp;IF(COUNTIF($A$2:$A3388,$A3388)&gt;1,"Trùng mã đơn; ","")&amp;IF(ISNA(MATCH($C3388,DATA_MASTER!$D$2:$D$5000,0)),"SĐT chưa đăng ký hội viên; ","")&amp;IF(AND($L3388="Đã chuyển khoản",$M3388=""),"Thiếu ngày nhận CK; ",""))</f>
        <v/>
      </c>
      <c r="T3388" s="24" t="n"/>
    </row>
    <row r="3389" ht="14.25" customHeight="1" s="40">
      <c r="A3389" s="24" t="n"/>
      <c r="B3389" s="29" t="n"/>
      <c r="C3389" s="28" t="n"/>
      <c r="D3389" s="22">
        <f t="array" ref="D3389">IF($C3389="","",IFERROR(INDEX(DATA_MASTER!$C$2:$C$5000,MATCH($C3389,DATA_MASTER!$D$2:$D$5000,0)),""))</f>
        <v/>
      </c>
      <c r="E3389" s="22">
        <f t="array" ref="E3389">IF($C3389="","",IFERROR(INDEX(DATA_MASTER!$I$2:$I$5000,MATCH($C3389,DATA_MASTER!$D$2:$D$5000,0)),""))</f>
        <v/>
      </c>
      <c r="F3389" s="22">
        <f t="array" ref="F3389">IF($C3389="","",IFERROR(INDEX(DATA_MASTER!$L$2:$L$5000,MATCH($C3389,DATA_MASTER!$D$2:$D$5000,0)),""))</f>
        <v/>
      </c>
      <c r="G3389" s="24" t="n"/>
      <c r="H3389" s="24" t="n"/>
      <c r="I3389" s="30" t="n"/>
      <c r="J3389" s="23">
        <f>IF(OR($H3389="",$I3389=""),"",$H3389*$I3389)</f>
        <v/>
      </c>
      <c r="K3389" s="24" t="n"/>
      <c r="L3389" s="24" t="n"/>
      <c r="M3389" s="29" t="n"/>
      <c r="N3389" s="28" t="n"/>
      <c r="O3389" s="24" t="n"/>
      <c r="P3389" s="24" t="n"/>
      <c r="Q3389" s="24" t="n"/>
      <c r="R3389" s="24" t="n"/>
      <c r="S3389" s="22">
        <f>IF(AND($A3389="",$C3389=""),"",IF($A3389="","Thiếu mã đơn; ","")&amp;IF(COUNTIF($A$2:$A3389,$A3389)&gt;1,"Trùng mã đơn; ","")&amp;IF(ISNA(MATCH($C3389,DATA_MASTER!$D$2:$D$5000,0)),"SĐT chưa đăng ký hội viên; ","")&amp;IF(AND($L3389="Đã chuyển khoản",$M3389=""),"Thiếu ngày nhận CK; ",""))</f>
        <v/>
      </c>
      <c r="T3389" s="24" t="n"/>
    </row>
    <row r="3390" ht="14.25" customHeight="1" s="40">
      <c r="A3390" s="24" t="n"/>
      <c r="B3390" s="29" t="n"/>
      <c r="C3390" s="28" t="n"/>
      <c r="D3390" s="22">
        <f t="array" ref="D3390">IF($C3390="","",IFERROR(INDEX(DATA_MASTER!$C$2:$C$5000,MATCH($C3390,DATA_MASTER!$D$2:$D$5000,0)),""))</f>
        <v/>
      </c>
      <c r="E3390" s="22">
        <f t="array" ref="E3390">IF($C3390="","",IFERROR(INDEX(DATA_MASTER!$I$2:$I$5000,MATCH($C3390,DATA_MASTER!$D$2:$D$5000,0)),""))</f>
        <v/>
      </c>
      <c r="F3390" s="22">
        <f t="array" ref="F3390">IF($C3390="","",IFERROR(INDEX(DATA_MASTER!$L$2:$L$5000,MATCH($C3390,DATA_MASTER!$D$2:$D$5000,0)),""))</f>
        <v/>
      </c>
      <c r="G3390" s="24" t="n"/>
      <c r="H3390" s="24" t="n"/>
      <c r="I3390" s="30" t="n"/>
      <c r="J3390" s="23">
        <f>IF(OR($H3390="",$I3390=""),"",$H3390*$I3390)</f>
        <v/>
      </c>
      <c r="K3390" s="24" t="n"/>
      <c r="L3390" s="24" t="n"/>
      <c r="M3390" s="29" t="n"/>
      <c r="N3390" s="28" t="n"/>
      <c r="O3390" s="24" t="n"/>
      <c r="P3390" s="24" t="n"/>
      <c r="Q3390" s="24" t="n"/>
      <c r="R3390" s="24" t="n"/>
      <c r="S3390" s="22">
        <f>IF(AND($A3390="",$C3390=""),"",IF($A3390="","Thiếu mã đơn; ","")&amp;IF(COUNTIF($A$2:$A3390,$A3390)&gt;1,"Trùng mã đơn; ","")&amp;IF(ISNA(MATCH($C3390,DATA_MASTER!$D$2:$D$5000,0)),"SĐT chưa đăng ký hội viên; ","")&amp;IF(AND($L3390="Đã chuyển khoản",$M3390=""),"Thiếu ngày nhận CK; ",""))</f>
        <v/>
      </c>
      <c r="T3390" s="24" t="n"/>
    </row>
    <row r="3391" ht="14.25" customHeight="1" s="40">
      <c r="A3391" s="24" t="n"/>
      <c r="B3391" s="29" t="n"/>
      <c r="C3391" s="28" t="n"/>
      <c r="D3391" s="22">
        <f t="array" ref="D3391">IF($C3391="","",IFERROR(INDEX(DATA_MASTER!$C$2:$C$5000,MATCH($C3391,DATA_MASTER!$D$2:$D$5000,0)),""))</f>
        <v/>
      </c>
      <c r="E3391" s="22">
        <f t="array" ref="E3391">IF($C3391="","",IFERROR(INDEX(DATA_MASTER!$I$2:$I$5000,MATCH($C3391,DATA_MASTER!$D$2:$D$5000,0)),""))</f>
        <v/>
      </c>
      <c r="F3391" s="22">
        <f t="array" ref="F3391">IF($C3391="","",IFERROR(INDEX(DATA_MASTER!$L$2:$L$5000,MATCH($C3391,DATA_MASTER!$D$2:$D$5000,0)),""))</f>
        <v/>
      </c>
      <c r="G3391" s="24" t="n"/>
      <c r="H3391" s="24" t="n"/>
      <c r="I3391" s="30" t="n"/>
      <c r="J3391" s="23">
        <f>IF(OR($H3391="",$I3391=""),"",$H3391*$I3391)</f>
        <v/>
      </c>
      <c r="K3391" s="24" t="n"/>
      <c r="L3391" s="24" t="n"/>
      <c r="M3391" s="29" t="n"/>
      <c r="N3391" s="28" t="n"/>
      <c r="O3391" s="24" t="n"/>
      <c r="P3391" s="24" t="n"/>
      <c r="Q3391" s="24" t="n"/>
      <c r="R3391" s="24" t="n"/>
      <c r="S3391" s="22">
        <f>IF(AND($A3391="",$C3391=""),"",IF($A3391="","Thiếu mã đơn; ","")&amp;IF(COUNTIF($A$2:$A3391,$A3391)&gt;1,"Trùng mã đơn; ","")&amp;IF(ISNA(MATCH($C3391,DATA_MASTER!$D$2:$D$5000,0)),"SĐT chưa đăng ký hội viên; ","")&amp;IF(AND($L3391="Đã chuyển khoản",$M3391=""),"Thiếu ngày nhận CK; ",""))</f>
        <v/>
      </c>
      <c r="T3391" s="24" t="n"/>
    </row>
    <row r="3392" ht="14.25" customHeight="1" s="40">
      <c r="A3392" s="24" t="n"/>
      <c r="B3392" s="29" t="n"/>
      <c r="C3392" s="28" t="n"/>
      <c r="D3392" s="22">
        <f t="array" ref="D3392">IF($C3392="","",IFERROR(INDEX(DATA_MASTER!$C$2:$C$5000,MATCH($C3392,DATA_MASTER!$D$2:$D$5000,0)),""))</f>
        <v/>
      </c>
      <c r="E3392" s="22">
        <f t="array" ref="E3392">IF($C3392="","",IFERROR(INDEX(DATA_MASTER!$I$2:$I$5000,MATCH($C3392,DATA_MASTER!$D$2:$D$5000,0)),""))</f>
        <v/>
      </c>
      <c r="F3392" s="22">
        <f t="array" ref="F3392">IF($C3392="","",IFERROR(INDEX(DATA_MASTER!$L$2:$L$5000,MATCH($C3392,DATA_MASTER!$D$2:$D$5000,0)),""))</f>
        <v/>
      </c>
      <c r="G3392" s="24" t="n"/>
      <c r="H3392" s="24" t="n"/>
      <c r="I3392" s="30" t="n"/>
      <c r="J3392" s="23">
        <f>IF(OR($H3392="",$I3392=""),"",$H3392*$I3392)</f>
        <v/>
      </c>
      <c r="K3392" s="24" t="n"/>
      <c r="L3392" s="24" t="n"/>
      <c r="M3392" s="29" t="n"/>
      <c r="N3392" s="28" t="n"/>
      <c r="O3392" s="24" t="n"/>
      <c r="P3392" s="24" t="n"/>
      <c r="Q3392" s="24" t="n"/>
      <c r="R3392" s="24" t="n"/>
      <c r="S3392" s="22">
        <f>IF(AND($A3392="",$C3392=""),"",IF($A3392="","Thiếu mã đơn; ","")&amp;IF(COUNTIF($A$2:$A3392,$A3392)&gt;1,"Trùng mã đơn; ","")&amp;IF(ISNA(MATCH($C3392,DATA_MASTER!$D$2:$D$5000,0)),"SĐT chưa đăng ký hội viên; ","")&amp;IF(AND($L3392="Đã chuyển khoản",$M3392=""),"Thiếu ngày nhận CK; ",""))</f>
        <v/>
      </c>
      <c r="T3392" s="24" t="n"/>
    </row>
    <row r="3393" ht="14.25" customHeight="1" s="40">
      <c r="A3393" s="24" t="n"/>
      <c r="B3393" s="29" t="n"/>
      <c r="C3393" s="28" t="n"/>
      <c r="D3393" s="22">
        <f t="array" ref="D3393">IF($C3393="","",IFERROR(INDEX(DATA_MASTER!$C$2:$C$5000,MATCH($C3393,DATA_MASTER!$D$2:$D$5000,0)),""))</f>
        <v/>
      </c>
      <c r="E3393" s="22">
        <f t="array" ref="E3393">IF($C3393="","",IFERROR(INDEX(DATA_MASTER!$I$2:$I$5000,MATCH($C3393,DATA_MASTER!$D$2:$D$5000,0)),""))</f>
        <v/>
      </c>
      <c r="F3393" s="22">
        <f t="array" ref="F3393">IF($C3393="","",IFERROR(INDEX(DATA_MASTER!$L$2:$L$5000,MATCH($C3393,DATA_MASTER!$D$2:$D$5000,0)),""))</f>
        <v/>
      </c>
      <c r="G3393" s="24" t="n"/>
      <c r="H3393" s="24" t="n"/>
      <c r="I3393" s="30" t="n"/>
      <c r="J3393" s="23">
        <f>IF(OR($H3393="",$I3393=""),"",$H3393*$I3393)</f>
        <v/>
      </c>
      <c r="K3393" s="24" t="n"/>
      <c r="L3393" s="24" t="n"/>
      <c r="M3393" s="29" t="n"/>
      <c r="N3393" s="28" t="n"/>
      <c r="O3393" s="24" t="n"/>
      <c r="P3393" s="24" t="n"/>
      <c r="Q3393" s="24" t="n"/>
      <c r="R3393" s="24" t="n"/>
      <c r="S3393" s="22">
        <f>IF(AND($A3393="",$C3393=""),"",IF($A3393="","Thiếu mã đơn; ","")&amp;IF(COUNTIF($A$2:$A3393,$A3393)&gt;1,"Trùng mã đơn; ","")&amp;IF(ISNA(MATCH($C3393,DATA_MASTER!$D$2:$D$5000,0)),"SĐT chưa đăng ký hội viên; ","")&amp;IF(AND($L3393="Đã chuyển khoản",$M3393=""),"Thiếu ngày nhận CK; ",""))</f>
        <v/>
      </c>
      <c r="T3393" s="24" t="n"/>
    </row>
    <row r="3394" ht="14.25" customHeight="1" s="40">
      <c r="A3394" s="24" t="n"/>
      <c r="B3394" s="29" t="n"/>
      <c r="C3394" s="28" t="n"/>
      <c r="D3394" s="22">
        <f t="array" ref="D3394">IF($C3394="","",IFERROR(INDEX(DATA_MASTER!$C$2:$C$5000,MATCH($C3394,DATA_MASTER!$D$2:$D$5000,0)),""))</f>
        <v/>
      </c>
      <c r="E3394" s="22">
        <f t="array" ref="E3394">IF($C3394="","",IFERROR(INDEX(DATA_MASTER!$I$2:$I$5000,MATCH($C3394,DATA_MASTER!$D$2:$D$5000,0)),""))</f>
        <v/>
      </c>
      <c r="F3394" s="22">
        <f t="array" ref="F3394">IF($C3394="","",IFERROR(INDEX(DATA_MASTER!$L$2:$L$5000,MATCH($C3394,DATA_MASTER!$D$2:$D$5000,0)),""))</f>
        <v/>
      </c>
      <c r="G3394" s="24" t="n"/>
      <c r="H3394" s="24" t="n"/>
      <c r="I3394" s="30" t="n"/>
      <c r="J3394" s="23">
        <f>IF(OR($H3394="",$I3394=""),"",$H3394*$I3394)</f>
        <v/>
      </c>
      <c r="K3394" s="24" t="n"/>
      <c r="L3394" s="24" t="n"/>
      <c r="M3394" s="29" t="n"/>
      <c r="N3394" s="28" t="n"/>
      <c r="O3394" s="24" t="n"/>
      <c r="P3394" s="24" t="n"/>
      <c r="Q3394" s="24" t="n"/>
      <c r="R3394" s="24" t="n"/>
      <c r="S3394" s="22">
        <f>IF(AND($A3394="",$C3394=""),"",IF($A3394="","Thiếu mã đơn; ","")&amp;IF(COUNTIF($A$2:$A3394,$A3394)&gt;1,"Trùng mã đơn; ","")&amp;IF(ISNA(MATCH($C3394,DATA_MASTER!$D$2:$D$5000,0)),"SĐT chưa đăng ký hội viên; ","")&amp;IF(AND($L3394="Đã chuyển khoản",$M3394=""),"Thiếu ngày nhận CK; ",""))</f>
        <v/>
      </c>
      <c r="T3394" s="24" t="n"/>
    </row>
    <row r="3395" ht="14.25" customHeight="1" s="40">
      <c r="A3395" s="24" t="n"/>
      <c r="B3395" s="29" t="n"/>
      <c r="C3395" s="28" t="n"/>
      <c r="D3395" s="22">
        <f t="array" ref="D3395">IF($C3395="","",IFERROR(INDEX(DATA_MASTER!$C$2:$C$5000,MATCH($C3395,DATA_MASTER!$D$2:$D$5000,0)),""))</f>
        <v/>
      </c>
      <c r="E3395" s="22">
        <f t="array" ref="E3395">IF($C3395="","",IFERROR(INDEX(DATA_MASTER!$I$2:$I$5000,MATCH($C3395,DATA_MASTER!$D$2:$D$5000,0)),""))</f>
        <v/>
      </c>
      <c r="F3395" s="22">
        <f t="array" ref="F3395">IF($C3395="","",IFERROR(INDEX(DATA_MASTER!$L$2:$L$5000,MATCH($C3395,DATA_MASTER!$D$2:$D$5000,0)),""))</f>
        <v/>
      </c>
      <c r="G3395" s="24" t="n"/>
      <c r="H3395" s="24" t="n"/>
      <c r="I3395" s="30" t="n"/>
      <c r="J3395" s="23">
        <f>IF(OR($H3395="",$I3395=""),"",$H3395*$I3395)</f>
        <v/>
      </c>
      <c r="K3395" s="24" t="n"/>
      <c r="L3395" s="24" t="n"/>
      <c r="M3395" s="29" t="n"/>
      <c r="N3395" s="28" t="n"/>
      <c r="O3395" s="24" t="n"/>
      <c r="P3395" s="24" t="n"/>
      <c r="Q3395" s="24" t="n"/>
      <c r="R3395" s="24" t="n"/>
      <c r="S3395" s="22">
        <f>IF(AND($A3395="",$C3395=""),"",IF($A3395="","Thiếu mã đơn; ","")&amp;IF(COUNTIF($A$2:$A3395,$A3395)&gt;1,"Trùng mã đơn; ","")&amp;IF(ISNA(MATCH($C3395,DATA_MASTER!$D$2:$D$5000,0)),"SĐT chưa đăng ký hội viên; ","")&amp;IF(AND($L3395="Đã chuyển khoản",$M3395=""),"Thiếu ngày nhận CK; ",""))</f>
        <v/>
      </c>
      <c r="T3395" s="24" t="n"/>
    </row>
    <row r="3396" ht="14.25" customHeight="1" s="40">
      <c r="A3396" s="24" t="n"/>
      <c r="B3396" s="29" t="n"/>
      <c r="C3396" s="28" t="n"/>
      <c r="D3396" s="22">
        <f t="array" ref="D3396">IF($C3396="","",IFERROR(INDEX(DATA_MASTER!$C$2:$C$5000,MATCH($C3396,DATA_MASTER!$D$2:$D$5000,0)),""))</f>
        <v/>
      </c>
      <c r="E3396" s="22">
        <f t="array" ref="E3396">IF($C3396="","",IFERROR(INDEX(DATA_MASTER!$I$2:$I$5000,MATCH($C3396,DATA_MASTER!$D$2:$D$5000,0)),""))</f>
        <v/>
      </c>
      <c r="F3396" s="22">
        <f t="array" ref="F3396">IF($C3396="","",IFERROR(INDEX(DATA_MASTER!$L$2:$L$5000,MATCH($C3396,DATA_MASTER!$D$2:$D$5000,0)),""))</f>
        <v/>
      </c>
      <c r="G3396" s="24" t="n"/>
      <c r="H3396" s="24" t="n"/>
      <c r="I3396" s="30" t="n"/>
      <c r="J3396" s="23">
        <f>IF(OR($H3396="",$I3396=""),"",$H3396*$I3396)</f>
        <v/>
      </c>
      <c r="K3396" s="24" t="n"/>
      <c r="L3396" s="24" t="n"/>
      <c r="M3396" s="29" t="n"/>
      <c r="N3396" s="28" t="n"/>
      <c r="O3396" s="24" t="n"/>
      <c r="P3396" s="24" t="n"/>
      <c r="Q3396" s="24" t="n"/>
      <c r="R3396" s="24" t="n"/>
      <c r="S3396" s="22">
        <f>IF(AND($A3396="",$C3396=""),"",IF($A3396="","Thiếu mã đơn; ","")&amp;IF(COUNTIF($A$2:$A3396,$A3396)&gt;1,"Trùng mã đơn; ","")&amp;IF(ISNA(MATCH($C3396,DATA_MASTER!$D$2:$D$5000,0)),"SĐT chưa đăng ký hội viên; ","")&amp;IF(AND($L3396="Đã chuyển khoản",$M3396=""),"Thiếu ngày nhận CK; ",""))</f>
        <v/>
      </c>
      <c r="T3396" s="24" t="n"/>
    </row>
    <row r="3397" ht="14.25" customHeight="1" s="40">
      <c r="A3397" s="24" t="n"/>
      <c r="B3397" s="29" t="n"/>
      <c r="C3397" s="28" t="n"/>
      <c r="D3397" s="22">
        <f t="array" ref="D3397">IF($C3397="","",IFERROR(INDEX(DATA_MASTER!$C$2:$C$5000,MATCH($C3397,DATA_MASTER!$D$2:$D$5000,0)),""))</f>
        <v/>
      </c>
      <c r="E3397" s="22">
        <f t="array" ref="E3397">IF($C3397="","",IFERROR(INDEX(DATA_MASTER!$I$2:$I$5000,MATCH($C3397,DATA_MASTER!$D$2:$D$5000,0)),""))</f>
        <v/>
      </c>
      <c r="F3397" s="22">
        <f t="array" ref="F3397">IF($C3397="","",IFERROR(INDEX(DATA_MASTER!$L$2:$L$5000,MATCH($C3397,DATA_MASTER!$D$2:$D$5000,0)),""))</f>
        <v/>
      </c>
      <c r="G3397" s="24" t="n"/>
      <c r="H3397" s="24" t="n"/>
      <c r="I3397" s="30" t="n"/>
      <c r="J3397" s="23">
        <f>IF(OR($H3397="",$I3397=""),"",$H3397*$I3397)</f>
        <v/>
      </c>
      <c r="K3397" s="24" t="n"/>
      <c r="L3397" s="24" t="n"/>
      <c r="M3397" s="29" t="n"/>
      <c r="N3397" s="28" t="n"/>
      <c r="O3397" s="24" t="n"/>
      <c r="P3397" s="24" t="n"/>
      <c r="Q3397" s="24" t="n"/>
      <c r="R3397" s="24" t="n"/>
      <c r="S3397" s="22">
        <f>IF(AND($A3397="",$C3397=""),"",IF($A3397="","Thiếu mã đơn; ","")&amp;IF(COUNTIF($A$2:$A3397,$A3397)&gt;1,"Trùng mã đơn; ","")&amp;IF(ISNA(MATCH($C3397,DATA_MASTER!$D$2:$D$5000,0)),"SĐT chưa đăng ký hội viên; ","")&amp;IF(AND($L3397="Đã chuyển khoản",$M3397=""),"Thiếu ngày nhận CK; ",""))</f>
        <v/>
      </c>
      <c r="T3397" s="24" t="n"/>
    </row>
    <row r="3398" ht="14.25" customHeight="1" s="40">
      <c r="A3398" s="24" t="n"/>
      <c r="B3398" s="29" t="n"/>
      <c r="C3398" s="28" t="n"/>
      <c r="D3398" s="22">
        <f t="array" ref="D3398">IF($C3398="","",IFERROR(INDEX(DATA_MASTER!$C$2:$C$5000,MATCH($C3398,DATA_MASTER!$D$2:$D$5000,0)),""))</f>
        <v/>
      </c>
      <c r="E3398" s="22">
        <f t="array" ref="E3398">IF($C3398="","",IFERROR(INDEX(DATA_MASTER!$I$2:$I$5000,MATCH($C3398,DATA_MASTER!$D$2:$D$5000,0)),""))</f>
        <v/>
      </c>
      <c r="F3398" s="22">
        <f t="array" ref="F3398">IF($C3398="","",IFERROR(INDEX(DATA_MASTER!$L$2:$L$5000,MATCH($C3398,DATA_MASTER!$D$2:$D$5000,0)),""))</f>
        <v/>
      </c>
      <c r="G3398" s="24" t="n"/>
      <c r="H3398" s="24" t="n"/>
      <c r="I3398" s="30" t="n"/>
      <c r="J3398" s="23">
        <f>IF(OR($H3398="",$I3398=""),"",$H3398*$I3398)</f>
        <v/>
      </c>
      <c r="K3398" s="24" t="n"/>
      <c r="L3398" s="24" t="n"/>
      <c r="M3398" s="29" t="n"/>
      <c r="N3398" s="28" t="n"/>
      <c r="O3398" s="24" t="n"/>
      <c r="P3398" s="24" t="n"/>
      <c r="Q3398" s="24" t="n"/>
      <c r="R3398" s="24" t="n"/>
      <c r="S3398" s="22">
        <f>IF(AND($A3398="",$C3398=""),"",IF($A3398="","Thiếu mã đơn; ","")&amp;IF(COUNTIF($A$2:$A3398,$A3398)&gt;1,"Trùng mã đơn; ","")&amp;IF(ISNA(MATCH($C3398,DATA_MASTER!$D$2:$D$5000,0)),"SĐT chưa đăng ký hội viên; ","")&amp;IF(AND($L3398="Đã chuyển khoản",$M3398=""),"Thiếu ngày nhận CK; ",""))</f>
        <v/>
      </c>
      <c r="T3398" s="24" t="n"/>
    </row>
    <row r="3399" ht="14.25" customHeight="1" s="40">
      <c r="A3399" s="24" t="n"/>
      <c r="B3399" s="29" t="n"/>
      <c r="C3399" s="28" t="n"/>
      <c r="D3399" s="22">
        <f t="array" ref="D3399">IF($C3399="","",IFERROR(INDEX(DATA_MASTER!$C$2:$C$5000,MATCH($C3399,DATA_MASTER!$D$2:$D$5000,0)),""))</f>
        <v/>
      </c>
      <c r="E3399" s="22">
        <f t="array" ref="E3399">IF($C3399="","",IFERROR(INDEX(DATA_MASTER!$I$2:$I$5000,MATCH($C3399,DATA_MASTER!$D$2:$D$5000,0)),""))</f>
        <v/>
      </c>
      <c r="F3399" s="22">
        <f t="array" ref="F3399">IF($C3399="","",IFERROR(INDEX(DATA_MASTER!$L$2:$L$5000,MATCH($C3399,DATA_MASTER!$D$2:$D$5000,0)),""))</f>
        <v/>
      </c>
      <c r="G3399" s="24" t="n"/>
      <c r="H3399" s="24" t="n"/>
      <c r="I3399" s="30" t="n"/>
      <c r="J3399" s="23">
        <f>IF(OR($H3399="",$I3399=""),"",$H3399*$I3399)</f>
        <v/>
      </c>
      <c r="K3399" s="24" t="n"/>
      <c r="L3399" s="24" t="n"/>
      <c r="M3399" s="29" t="n"/>
      <c r="N3399" s="28" t="n"/>
      <c r="O3399" s="24" t="n"/>
      <c r="P3399" s="24" t="n"/>
      <c r="Q3399" s="24" t="n"/>
      <c r="R3399" s="24" t="n"/>
      <c r="S3399" s="22">
        <f>IF(AND($A3399="",$C3399=""),"",IF($A3399="","Thiếu mã đơn; ","")&amp;IF(COUNTIF($A$2:$A3399,$A3399)&gt;1,"Trùng mã đơn; ","")&amp;IF(ISNA(MATCH($C3399,DATA_MASTER!$D$2:$D$5000,0)),"SĐT chưa đăng ký hội viên; ","")&amp;IF(AND($L3399="Đã chuyển khoản",$M3399=""),"Thiếu ngày nhận CK; ",""))</f>
        <v/>
      </c>
      <c r="T3399" s="24" t="n"/>
    </row>
    <row r="3400" ht="14.25" customHeight="1" s="40">
      <c r="A3400" s="24" t="n"/>
      <c r="B3400" s="29" t="n"/>
      <c r="C3400" s="28" t="n"/>
      <c r="D3400" s="22">
        <f t="array" ref="D3400">IF($C3400="","",IFERROR(INDEX(DATA_MASTER!$C$2:$C$5000,MATCH($C3400,DATA_MASTER!$D$2:$D$5000,0)),""))</f>
        <v/>
      </c>
      <c r="E3400" s="22">
        <f t="array" ref="E3400">IF($C3400="","",IFERROR(INDEX(DATA_MASTER!$I$2:$I$5000,MATCH($C3400,DATA_MASTER!$D$2:$D$5000,0)),""))</f>
        <v/>
      </c>
      <c r="F3400" s="22">
        <f t="array" ref="F3400">IF($C3400="","",IFERROR(INDEX(DATA_MASTER!$L$2:$L$5000,MATCH($C3400,DATA_MASTER!$D$2:$D$5000,0)),""))</f>
        <v/>
      </c>
      <c r="G3400" s="24" t="n"/>
      <c r="H3400" s="24" t="n"/>
      <c r="I3400" s="30" t="n"/>
      <c r="J3400" s="23">
        <f>IF(OR($H3400="",$I3400=""),"",$H3400*$I3400)</f>
        <v/>
      </c>
      <c r="K3400" s="24" t="n"/>
      <c r="L3400" s="24" t="n"/>
      <c r="M3400" s="29" t="n"/>
      <c r="N3400" s="28" t="n"/>
      <c r="O3400" s="24" t="n"/>
      <c r="P3400" s="24" t="n"/>
      <c r="Q3400" s="24" t="n"/>
      <c r="R3400" s="24" t="n"/>
      <c r="S3400" s="22">
        <f>IF(AND($A3400="",$C3400=""),"",IF($A3400="","Thiếu mã đơn; ","")&amp;IF(COUNTIF($A$2:$A3400,$A3400)&gt;1,"Trùng mã đơn; ","")&amp;IF(ISNA(MATCH($C3400,DATA_MASTER!$D$2:$D$5000,0)),"SĐT chưa đăng ký hội viên; ","")&amp;IF(AND($L3400="Đã chuyển khoản",$M3400=""),"Thiếu ngày nhận CK; ",""))</f>
        <v/>
      </c>
      <c r="T3400" s="24" t="n"/>
    </row>
    <row r="3401" ht="14.25" customHeight="1" s="40">
      <c r="A3401" s="24" t="n"/>
      <c r="B3401" s="29" t="n"/>
      <c r="C3401" s="28" t="n"/>
      <c r="D3401" s="22">
        <f t="array" ref="D3401">IF($C3401="","",IFERROR(INDEX(DATA_MASTER!$C$2:$C$5000,MATCH($C3401,DATA_MASTER!$D$2:$D$5000,0)),""))</f>
        <v/>
      </c>
      <c r="E3401" s="22">
        <f t="array" ref="E3401">IF($C3401="","",IFERROR(INDEX(DATA_MASTER!$I$2:$I$5000,MATCH($C3401,DATA_MASTER!$D$2:$D$5000,0)),""))</f>
        <v/>
      </c>
      <c r="F3401" s="22">
        <f t="array" ref="F3401">IF($C3401="","",IFERROR(INDEX(DATA_MASTER!$L$2:$L$5000,MATCH($C3401,DATA_MASTER!$D$2:$D$5000,0)),""))</f>
        <v/>
      </c>
      <c r="G3401" s="24" t="n"/>
      <c r="H3401" s="24" t="n"/>
      <c r="I3401" s="30" t="n"/>
      <c r="J3401" s="23">
        <f>IF(OR($H3401="",$I3401=""),"",$H3401*$I3401)</f>
        <v/>
      </c>
      <c r="K3401" s="24" t="n"/>
      <c r="L3401" s="24" t="n"/>
      <c r="M3401" s="29" t="n"/>
      <c r="N3401" s="28" t="n"/>
      <c r="O3401" s="24" t="n"/>
      <c r="P3401" s="24" t="n"/>
      <c r="Q3401" s="24" t="n"/>
      <c r="R3401" s="24" t="n"/>
      <c r="S3401" s="22">
        <f>IF(AND($A3401="",$C3401=""),"",IF($A3401="","Thiếu mã đơn; ","")&amp;IF(COUNTIF($A$2:$A3401,$A3401)&gt;1,"Trùng mã đơn; ","")&amp;IF(ISNA(MATCH($C3401,DATA_MASTER!$D$2:$D$5000,0)),"SĐT chưa đăng ký hội viên; ","")&amp;IF(AND($L3401="Đã chuyển khoản",$M3401=""),"Thiếu ngày nhận CK; ",""))</f>
        <v/>
      </c>
      <c r="T3401" s="24" t="n"/>
    </row>
    <row r="3402" ht="14.25" customHeight="1" s="40">
      <c r="A3402" s="24" t="n"/>
      <c r="B3402" s="29" t="n"/>
      <c r="C3402" s="28" t="n"/>
      <c r="D3402" s="22">
        <f t="array" ref="D3402">IF($C3402="","",IFERROR(INDEX(DATA_MASTER!$C$2:$C$5000,MATCH($C3402,DATA_MASTER!$D$2:$D$5000,0)),""))</f>
        <v/>
      </c>
      <c r="E3402" s="22">
        <f t="array" ref="E3402">IF($C3402="","",IFERROR(INDEX(DATA_MASTER!$I$2:$I$5000,MATCH($C3402,DATA_MASTER!$D$2:$D$5000,0)),""))</f>
        <v/>
      </c>
      <c r="F3402" s="22">
        <f t="array" ref="F3402">IF($C3402="","",IFERROR(INDEX(DATA_MASTER!$L$2:$L$5000,MATCH($C3402,DATA_MASTER!$D$2:$D$5000,0)),""))</f>
        <v/>
      </c>
      <c r="G3402" s="24" t="n"/>
      <c r="H3402" s="24" t="n"/>
      <c r="I3402" s="30" t="n"/>
      <c r="J3402" s="23">
        <f>IF(OR($H3402="",$I3402=""),"",$H3402*$I3402)</f>
        <v/>
      </c>
      <c r="K3402" s="24" t="n"/>
      <c r="L3402" s="24" t="n"/>
      <c r="M3402" s="29" t="n"/>
      <c r="N3402" s="28" t="n"/>
      <c r="O3402" s="24" t="n"/>
      <c r="P3402" s="24" t="n"/>
      <c r="Q3402" s="24" t="n"/>
      <c r="R3402" s="24" t="n"/>
      <c r="S3402" s="22">
        <f>IF(AND($A3402="",$C3402=""),"",IF($A3402="","Thiếu mã đơn; ","")&amp;IF(COUNTIF($A$2:$A3402,$A3402)&gt;1,"Trùng mã đơn; ","")&amp;IF(ISNA(MATCH($C3402,DATA_MASTER!$D$2:$D$5000,0)),"SĐT chưa đăng ký hội viên; ","")&amp;IF(AND($L3402="Đã chuyển khoản",$M3402=""),"Thiếu ngày nhận CK; ",""))</f>
        <v/>
      </c>
      <c r="T3402" s="24" t="n"/>
    </row>
    <row r="3403" ht="14.25" customHeight="1" s="40">
      <c r="A3403" s="24" t="n"/>
      <c r="B3403" s="29" t="n"/>
      <c r="C3403" s="28" t="n"/>
      <c r="D3403" s="22">
        <f t="array" ref="D3403">IF($C3403="","",IFERROR(INDEX(DATA_MASTER!$C$2:$C$5000,MATCH($C3403,DATA_MASTER!$D$2:$D$5000,0)),""))</f>
        <v/>
      </c>
      <c r="E3403" s="22">
        <f t="array" ref="E3403">IF($C3403="","",IFERROR(INDEX(DATA_MASTER!$I$2:$I$5000,MATCH($C3403,DATA_MASTER!$D$2:$D$5000,0)),""))</f>
        <v/>
      </c>
      <c r="F3403" s="22">
        <f t="array" ref="F3403">IF($C3403="","",IFERROR(INDEX(DATA_MASTER!$L$2:$L$5000,MATCH($C3403,DATA_MASTER!$D$2:$D$5000,0)),""))</f>
        <v/>
      </c>
      <c r="G3403" s="24" t="n"/>
      <c r="H3403" s="24" t="n"/>
      <c r="I3403" s="30" t="n"/>
      <c r="J3403" s="23">
        <f>IF(OR($H3403="",$I3403=""),"",$H3403*$I3403)</f>
        <v/>
      </c>
      <c r="K3403" s="24" t="n"/>
      <c r="L3403" s="24" t="n"/>
      <c r="M3403" s="29" t="n"/>
      <c r="N3403" s="28" t="n"/>
      <c r="O3403" s="24" t="n"/>
      <c r="P3403" s="24" t="n"/>
      <c r="Q3403" s="24" t="n"/>
      <c r="R3403" s="24" t="n"/>
      <c r="S3403" s="22">
        <f>IF(AND($A3403="",$C3403=""),"",IF($A3403="","Thiếu mã đơn; ","")&amp;IF(COUNTIF($A$2:$A3403,$A3403)&gt;1,"Trùng mã đơn; ","")&amp;IF(ISNA(MATCH($C3403,DATA_MASTER!$D$2:$D$5000,0)),"SĐT chưa đăng ký hội viên; ","")&amp;IF(AND($L3403="Đã chuyển khoản",$M3403=""),"Thiếu ngày nhận CK; ",""))</f>
        <v/>
      </c>
      <c r="T3403" s="24" t="n"/>
    </row>
    <row r="3404" ht="14.25" customHeight="1" s="40">
      <c r="A3404" s="24" t="n"/>
      <c r="B3404" s="29" t="n"/>
      <c r="C3404" s="28" t="n"/>
      <c r="D3404" s="22">
        <f t="array" ref="D3404">IF($C3404="","",IFERROR(INDEX(DATA_MASTER!$C$2:$C$5000,MATCH($C3404,DATA_MASTER!$D$2:$D$5000,0)),""))</f>
        <v/>
      </c>
      <c r="E3404" s="22">
        <f t="array" ref="E3404">IF($C3404="","",IFERROR(INDEX(DATA_MASTER!$I$2:$I$5000,MATCH($C3404,DATA_MASTER!$D$2:$D$5000,0)),""))</f>
        <v/>
      </c>
      <c r="F3404" s="22">
        <f t="array" ref="F3404">IF($C3404="","",IFERROR(INDEX(DATA_MASTER!$L$2:$L$5000,MATCH($C3404,DATA_MASTER!$D$2:$D$5000,0)),""))</f>
        <v/>
      </c>
      <c r="G3404" s="24" t="n"/>
      <c r="H3404" s="24" t="n"/>
      <c r="I3404" s="30" t="n"/>
      <c r="J3404" s="23">
        <f>IF(OR($H3404="",$I3404=""),"",$H3404*$I3404)</f>
        <v/>
      </c>
      <c r="K3404" s="24" t="n"/>
      <c r="L3404" s="24" t="n"/>
      <c r="M3404" s="29" t="n"/>
      <c r="N3404" s="28" t="n"/>
      <c r="O3404" s="24" t="n"/>
      <c r="P3404" s="24" t="n"/>
      <c r="Q3404" s="24" t="n"/>
      <c r="R3404" s="24" t="n"/>
      <c r="S3404" s="22">
        <f>IF(AND($A3404="",$C3404=""),"",IF($A3404="","Thiếu mã đơn; ","")&amp;IF(COUNTIF($A$2:$A3404,$A3404)&gt;1,"Trùng mã đơn; ","")&amp;IF(ISNA(MATCH($C3404,DATA_MASTER!$D$2:$D$5000,0)),"SĐT chưa đăng ký hội viên; ","")&amp;IF(AND($L3404="Đã chuyển khoản",$M3404=""),"Thiếu ngày nhận CK; ",""))</f>
        <v/>
      </c>
      <c r="T3404" s="24" t="n"/>
    </row>
    <row r="3405" ht="14.25" customHeight="1" s="40">
      <c r="A3405" s="24" t="n"/>
      <c r="B3405" s="29" t="n"/>
      <c r="C3405" s="28" t="n"/>
      <c r="D3405" s="22">
        <f t="array" ref="D3405">IF($C3405="","",IFERROR(INDEX(DATA_MASTER!$C$2:$C$5000,MATCH($C3405,DATA_MASTER!$D$2:$D$5000,0)),""))</f>
        <v/>
      </c>
      <c r="E3405" s="22">
        <f t="array" ref="E3405">IF($C3405="","",IFERROR(INDEX(DATA_MASTER!$I$2:$I$5000,MATCH($C3405,DATA_MASTER!$D$2:$D$5000,0)),""))</f>
        <v/>
      </c>
      <c r="F3405" s="22">
        <f t="array" ref="F3405">IF($C3405="","",IFERROR(INDEX(DATA_MASTER!$L$2:$L$5000,MATCH($C3405,DATA_MASTER!$D$2:$D$5000,0)),""))</f>
        <v/>
      </c>
      <c r="G3405" s="24" t="n"/>
      <c r="H3405" s="24" t="n"/>
      <c r="I3405" s="30" t="n"/>
      <c r="J3405" s="23">
        <f>IF(OR($H3405="",$I3405=""),"",$H3405*$I3405)</f>
        <v/>
      </c>
      <c r="K3405" s="24" t="n"/>
      <c r="L3405" s="24" t="n"/>
      <c r="M3405" s="29" t="n"/>
      <c r="N3405" s="28" t="n"/>
      <c r="O3405" s="24" t="n"/>
      <c r="P3405" s="24" t="n"/>
      <c r="Q3405" s="24" t="n"/>
      <c r="R3405" s="24" t="n"/>
      <c r="S3405" s="22">
        <f>IF(AND($A3405="",$C3405=""),"",IF($A3405="","Thiếu mã đơn; ","")&amp;IF(COUNTIF($A$2:$A3405,$A3405)&gt;1,"Trùng mã đơn; ","")&amp;IF(ISNA(MATCH($C3405,DATA_MASTER!$D$2:$D$5000,0)),"SĐT chưa đăng ký hội viên; ","")&amp;IF(AND($L3405="Đã chuyển khoản",$M3405=""),"Thiếu ngày nhận CK; ",""))</f>
        <v/>
      </c>
      <c r="T3405" s="24" t="n"/>
    </row>
    <row r="3406" ht="14.25" customHeight="1" s="40">
      <c r="A3406" s="24" t="n"/>
      <c r="B3406" s="29" t="n"/>
      <c r="C3406" s="28" t="n"/>
      <c r="D3406" s="22">
        <f t="array" ref="D3406">IF($C3406="","",IFERROR(INDEX(DATA_MASTER!$C$2:$C$5000,MATCH($C3406,DATA_MASTER!$D$2:$D$5000,0)),""))</f>
        <v/>
      </c>
      <c r="E3406" s="22">
        <f t="array" ref="E3406">IF($C3406="","",IFERROR(INDEX(DATA_MASTER!$I$2:$I$5000,MATCH($C3406,DATA_MASTER!$D$2:$D$5000,0)),""))</f>
        <v/>
      </c>
      <c r="F3406" s="22">
        <f t="array" ref="F3406">IF($C3406="","",IFERROR(INDEX(DATA_MASTER!$L$2:$L$5000,MATCH($C3406,DATA_MASTER!$D$2:$D$5000,0)),""))</f>
        <v/>
      </c>
      <c r="G3406" s="24" t="n"/>
      <c r="H3406" s="24" t="n"/>
      <c r="I3406" s="30" t="n"/>
      <c r="J3406" s="23">
        <f>IF(OR($H3406="",$I3406=""),"",$H3406*$I3406)</f>
        <v/>
      </c>
      <c r="K3406" s="24" t="n"/>
      <c r="L3406" s="24" t="n"/>
      <c r="M3406" s="29" t="n"/>
      <c r="N3406" s="28" t="n"/>
      <c r="O3406" s="24" t="n"/>
      <c r="P3406" s="24" t="n"/>
      <c r="Q3406" s="24" t="n"/>
      <c r="R3406" s="24" t="n"/>
      <c r="S3406" s="22">
        <f>IF(AND($A3406="",$C3406=""),"",IF($A3406="","Thiếu mã đơn; ","")&amp;IF(COUNTIF($A$2:$A3406,$A3406)&gt;1,"Trùng mã đơn; ","")&amp;IF(ISNA(MATCH($C3406,DATA_MASTER!$D$2:$D$5000,0)),"SĐT chưa đăng ký hội viên; ","")&amp;IF(AND($L3406="Đã chuyển khoản",$M3406=""),"Thiếu ngày nhận CK; ",""))</f>
        <v/>
      </c>
      <c r="T3406" s="24" t="n"/>
    </row>
    <row r="3407" ht="14.25" customHeight="1" s="40">
      <c r="A3407" s="24" t="n"/>
      <c r="B3407" s="29" t="n"/>
      <c r="C3407" s="28" t="n"/>
      <c r="D3407" s="22">
        <f t="array" ref="D3407">IF($C3407="","",IFERROR(INDEX(DATA_MASTER!$C$2:$C$5000,MATCH($C3407,DATA_MASTER!$D$2:$D$5000,0)),""))</f>
        <v/>
      </c>
      <c r="E3407" s="22">
        <f t="array" ref="E3407">IF($C3407="","",IFERROR(INDEX(DATA_MASTER!$I$2:$I$5000,MATCH($C3407,DATA_MASTER!$D$2:$D$5000,0)),""))</f>
        <v/>
      </c>
      <c r="F3407" s="22">
        <f t="array" ref="F3407">IF($C3407="","",IFERROR(INDEX(DATA_MASTER!$L$2:$L$5000,MATCH($C3407,DATA_MASTER!$D$2:$D$5000,0)),""))</f>
        <v/>
      </c>
      <c r="G3407" s="24" t="n"/>
      <c r="H3407" s="24" t="n"/>
      <c r="I3407" s="30" t="n"/>
      <c r="J3407" s="23">
        <f>IF(OR($H3407="",$I3407=""),"",$H3407*$I3407)</f>
        <v/>
      </c>
      <c r="K3407" s="24" t="n"/>
      <c r="L3407" s="24" t="n"/>
      <c r="M3407" s="29" t="n"/>
      <c r="N3407" s="28" t="n"/>
      <c r="O3407" s="24" t="n"/>
      <c r="P3407" s="24" t="n"/>
      <c r="Q3407" s="24" t="n"/>
      <c r="R3407" s="24" t="n"/>
      <c r="S3407" s="22">
        <f>IF(AND($A3407="",$C3407=""),"",IF($A3407="","Thiếu mã đơn; ","")&amp;IF(COUNTIF($A$2:$A3407,$A3407)&gt;1,"Trùng mã đơn; ","")&amp;IF(ISNA(MATCH($C3407,DATA_MASTER!$D$2:$D$5000,0)),"SĐT chưa đăng ký hội viên; ","")&amp;IF(AND($L3407="Đã chuyển khoản",$M3407=""),"Thiếu ngày nhận CK; ",""))</f>
        <v/>
      </c>
      <c r="T3407" s="24" t="n"/>
    </row>
    <row r="3408" ht="14.25" customHeight="1" s="40">
      <c r="A3408" s="24" t="n"/>
      <c r="B3408" s="29" t="n"/>
      <c r="C3408" s="28" t="n"/>
      <c r="D3408" s="22">
        <f t="array" ref="D3408">IF($C3408="","",IFERROR(INDEX(DATA_MASTER!$C$2:$C$5000,MATCH($C3408,DATA_MASTER!$D$2:$D$5000,0)),""))</f>
        <v/>
      </c>
      <c r="E3408" s="22">
        <f t="array" ref="E3408">IF($C3408="","",IFERROR(INDEX(DATA_MASTER!$I$2:$I$5000,MATCH($C3408,DATA_MASTER!$D$2:$D$5000,0)),""))</f>
        <v/>
      </c>
      <c r="F3408" s="22">
        <f t="array" ref="F3408">IF($C3408="","",IFERROR(INDEX(DATA_MASTER!$L$2:$L$5000,MATCH($C3408,DATA_MASTER!$D$2:$D$5000,0)),""))</f>
        <v/>
      </c>
      <c r="G3408" s="24" t="n"/>
      <c r="H3408" s="24" t="n"/>
      <c r="I3408" s="30" t="n"/>
      <c r="J3408" s="23">
        <f>IF(OR($H3408="",$I3408=""),"",$H3408*$I3408)</f>
        <v/>
      </c>
      <c r="K3408" s="24" t="n"/>
      <c r="L3408" s="24" t="n"/>
      <c r="M3408" s="29" t="n"/>
      <c r="N3408" s="28" t="n"/>
      <c r="O3408" s="24" t="n"/>
      <c r="P3408" s="24" t="n"/>
      <c r="Q3408" s="24" t="n"/>
      <c r="R3408" s="24" t="n"/>
      <c r="S3408" s="22">
        <f>IF(AND($A3408="",$C3408=""),"",IF($A3408="","Thiếu mã đơn; ","")&amp;IF(COUNTIF($A$2:$A3408,$A3408)&gt;1,"Trùng mã đơn; ","")&amp;IF(ISNA(MATCH($C3408,DATA_MASTER!$D$2:$D$5000,0)),"SĐT chưa đăng ký hội viên; ","")&amp;IF(AND($L3408="Đã chuyển khoản",$M3408=""),"Thiếu ngày nhận CK; ",""))</f>
        <v/>
      </c>
      <c r="T3408" s="24" t="n"/>
    </row>
    <row r="3409" ht="14.25" customHeight="1" s="40">
      <c r="A3409" s="24" t="n"/>
      <c r="B3409" s="29" t="n"/>
      <c r="C3409" s="28" t="n"/>
      <c r="D3409" s="22">
        <f t="array" ref="D3409">IF($C3409="","",IFERROR(INDEX(DATA_MASTER!$C$2:$C$5000,MATCH($C3409,DATA_MASTER!$D$2:$D$5000,0)),""))</f>
        <v/>
      </c>
      <c r="E3409" s="22">
        <f t="array" ref="E3409">IF($C3409="","",IFERROR(INDEX(DATA_MASTER!$I$2:$I$5000,MATCH($C3409,DATA_MASTER!$D$2:$D$5000,0)),""))</f>
        <v/>
      </c>
      <c r="F3409" s="22">
        <f t="array" ref="F3409">IF($C3409="","",IFERROR(INDEX(DATA_MASTER!$L$2:$L$5000,MATCH($C3409,DATA_MASTER!$D$2:$D$5000,0)),""))</f>
        <v/>
      </c>
      <c r="G3409" s="24" t="n"/>
      <c r="H3409" s="24" t="n"/>
      <c r="I3409" s="30" t="n"/>
      <c r="J3409" s="23">
        <f>IF(OR($H3409="",$I3409=""),"",$H3409*$I3409)</f>
        <v/>
      </c>
      <c r="K3409" s="24" t="n"/>
      <c r="L3409" s="24" t="n"/>
      <c r="M3409" s="29" t="n"/>
      <c r="N3409" s="28" t="n"/>
      <c r="O3409" s="24" t="n"/>
      <c r="P3409" s="24" t="n"/>
      <c r="Q3409" s="24" t="n"/>
      <c r="R3409" s="24" t="n"/>
      <c r="S3409" s="22">
        <f>IF(AND($A3409="",$C3409=""),"",IF($A3409="","Thiếu mã đơn; ","")&amp;IF(COUNTIF($A$2:$A3409,$A3409)&gt;1,"Trùng mã đơn; ","")&amp;IF(ISNA(MATCH($C3409,DATA_MASTER!$D$2:$D$5000,0)),"SĐT chưa đăng ký hội viên; ","")&amp;IF(AND($L3409="Đã chuyển khoản",$M3409=""),"Thiếu ngày nhận CK; ",""))</f>
        <v/>
      </c>
      <c r="T3409" s="24" t="n"/>
    </row>
    <row r="3410" ht="14.25" customHeight="1" s="40">
      <c r="A3410" s="24" t="n"/>
      <c r="B3410" s="29" t="n"/>
      <c r="C3410" s="28" t="n"/>
      <c r="D3410" s="22">
        <f t="array" ref="D3410">IF($C3410="","",IFERROR(INDEX(DATA_MASTER!$C$2:$C$5000,MATCH($C3410,DATA_MASTER!$D$2:$D$5000,0)),""))</f>
        <v/>
      </c>
      <c r="E3410" s="22">
        <f t="array" ref="E3410">IF($C3410="","",IFERROR(INDEX(DATA_MASTER!$I$2:$I$5000,MATCH($C3410,DATA_MASTER!$D$2:$D$5000,0)),""))</f>
        <v/>
      </c>
      <c r="F3410" s="22">
        <f t="array" ref="F3410">IF($C3410="","",IFERROR(INDEX(DATA_MASTER!$L$2:$L$5000,MATCH($C3410,DATA_MASTER!$D$2:$D$5000,0)),""))</f>
        <v/>
      </c>
      <c r="G3410" s="24" t="n"/>
      <c r="H3410" s="24" t="n"/>
      <c r="I3410" s="30" t="n"/>
      <c r="J3410" s="23">
        <f>IF(OR($H3410="",$I3410=""),"",$H3410*$I3410)</f>
        <v/>
      </c>
      <c r="K3410" s="24" t="n"/>
      <c r="L3410" s="24" t="n"/>
      <c r="M3410" s="29" t="n"/>
      <c r="N3410" s="28" t="n"/>
      <c r="O3410" s="24" t="n"/>
      <c r="P3410" s="24" t="n"/>
      <c r="Q3410" s="24" t="n"/>
      <c r="R3410" s="24" t="n"/>
      <c r="S3410" s="22">
        <f>IF(AND($A3410="",$C3410=""),"",IF($A3410="","Thiếu mã đơn; ","")&amp;IF(COUNTIF($A$2:$A3410,$A3410)&gt;1,"Trùng mã đơn; ","")&amp;IF(ISNA(MATCH($C3410,DATA_MASTER!$D$2:$D$5000,0)),"SĐT chưa đăng ký hội viên; ","")&amp;IF(AND($L3410="Đã chuyển khoản",$M3410=""),"Thiếu ngày nhận CK; ",""))</f>
        <v/>
      </c>
      <c r="T3410" s="24" t="n"/>
    </row>
    <row r="3411" ht="14.25" customHeight="1" s="40">
      <c r="A3411" s="24" t="n"/>
      <c r="B3411" s="29" t="n"/>
      <c r="C3411" s="28" t="n"/>
      <c r="D3411" s="22">
        <f t="array" ref="D3411">IF($C3411="","",IFERROR(INDEX(DATA_MASTER!$C$2:$C$5000,MATCH($C3411,DATA_MASTER!$D$2:$D$5000,0)),""))</f>
        <v/>
      </c>
      <c r="E3411" s="22">
        <f t="array" ref="E3411">IF($C3411="","",IFERROR(INDEX(DATA_MASTER!$I$2:$I$5000,MATCH($C3411,DATA_MASTER!$D$2:$D$5000,0)),""))</f>
        <v/>
      </c>
      <c r="F3411" s="22">
        <f t="array" ref="F3411">IF($C3411="","",IFERROR(INDEX(DATA_MASTER!$L$2:$L$5000,MATCH($C3411,DATA_MASTER!$D$2:$D$5000,0)),""))</f>
        <v/>
      </c>
      <c r="G3411" s="24" t="n"/>
      <c r="H3411" s="24" t="n"/>
      <c r="I3411" s="30" t="n"/>
      <c r="J3411" s="23">
        <f>IF(OR($H3411="",$I3411=""),"",$H3411*$I3411)</f>
        <v/>
      </c>
      <c r="K3411" s="24" t="n"/>
      <c r="L3411" s="24" t="n"/>
      <c r="M3411" s="29" t="n"/>
      <c r="N3411" s="28" t="n"/>
      <c r="O3411" s="24" t="n"/>
      <c r="P3411" s="24" t="n"/>
      <c r="Q3411" s="24" t="n"/>
      <c r="R3411" s="24" t="n"/>
      <c r="S3411" s="22">
        <f>IF(AND($A3411="",$C3411=""),"",IF($A3411="","Thiếu mã đơn; ","")&amp;IF(COUNTIF($A$2:$A3411,$A3411)&gt;1,"Trùng mã đơn; ","")&amp;IF(ISNA(MATCH($C3411,DATA_MASTER!$D$2:$D$5000,0)),"SĐT chưa đăng ký hội viên; ","")&amp;IF(AND($L3411="Đã chuyển khoản",$M3411=""),"Thiếu ngày nhận CK; ",""))</f>
        <v/>
      </c>
      <c r="T3411" s="24" t="n"/>
    </row>
    <row r="3412" ht="14.25" customHeight="1" s="40">
      <c r="A3412" s="24" t="n"/>
      <c r="B3412" s="29" t="n"/>
      <c r="C3412" s="28" t="n"/>
      <c r="D3412" s="22">
        <f t="array" ref="D3412">IF($C3412="","",IFERROR(INDEX(DATA_MASTER!$C$2:$C$5000,MATCH($C3412,DATA_MASTER!$D$2:$D$5000,0)),""))</f>
        <v/>
      </c>
      <c r="E3412" s="22">
        <f t="array" ref="E3412">IF($C3412="","",IFERROR(INDEX(DATA_MASTER!$I$2:$I$5000,MATCH($C3412,DATA_MASTER!$D$2:$D$5000,0)),""))</f>
        <v/>
      </c>
      <c r="F3412" s="22">
        <f t="array" ref="F3412">IF($C3412="","",IFERROR(INDEX(DATA_MASTER!$L$2:$L$5000,MATCH($C3412,DATA_MASTER!$D$2:$D$5000,0)),""))</f>
        <v/>
      </c>
      <c r="G3412" s="24" t="n"/>
      <c r="H3412" s="24" t="n"/>
      <c r="I3412" s="30" t="n"/>
      <c r="J3412" s="23">
        <f>IF(OR($H3412="",$I3412=""),"",$H3412*$I3412)</f>
        <v/>
      </c>
      <c r="K3412" s="24" t="n"/>
      <c r="L3412" s="24" t="n"/>
      <c r="M3412" s="29" t="n"/>
      <c r="N3412" s="28" t="n"/>
      <c r="O3412" s="24" t="n"/>
      <c r="P3412" s="24" t="n"/>
      <c r="Q3412" s="24" t="n"/>
      <c r="R3412" s="24" t="n"/>
      <c r="S3412" s="22">
        <f>IF(AND($A3412="",$C3412=""),"",IF($A3412="","Thiếu mã đơn; ","")&amp;IF(COUNTIF($A$2:$A3412,$A3412)&gt;1,"Trùng mã đơn; ","")&amp;IF(ISNA(MATCH($C3412,DATA_MASTER!$D$2:$D$5000,0)),"SĐT chưa đăng ký hội viên; ","")&amp;IF(AND($L3412="Đã chuyển khoản",$M3412=""),"Thiếu ngày nhận CK; ",""))</f>
        <v/>
      </c>
      <c r="T3412" s="24" t="n"/>
    </row>
    <row r="3413" ht="14.25" customHeight="1" s="40">
      <c r="A3413" s="24" t="n"/>
      <c r="B3413" s="29" t="n"/>
      <c r="C3413" s="28" t="n"/>
      <c r="D3413" s="22">
        <f t="array" ref="D3413">IF($C3413="","",IFERROR(INDEX(DATA_MASTER!$C$2:$C$5000,MATCH($C3413,DATA_MASTER!$D$2:$D$5000,0)),""))</f>
        <v/>
      </c>
      <c r="E3413" s="22">
        <f t="array" ref="E3413">IF($C3413="","",IFERROR(INDEX(DATA_MASTER!$I$2:$I$5000,MATCH($C3413,DATA_MASTER!$D$2:$D$5000,0)),""))</f>
        <v/>
      </c>
      <c r="F3413" s="22">
        <f t="array" ref="F3413">IF($C3413="","",IFERROR(INDEX(DATA_MASTER!$L$2:$L$5000,MATCH($C3413,DATA_MASTER!$D$2:$D$5000,0)),""))</f>
        <v/>
      </c>
      <c r="G3413" s="24" t="n"/>
      <c r="H3413" s="24" t="n"/>
      <c r="I3413" s="30" t="n"/>
      <c r="J3413" s="23">
        <f>IF(OR($H3413="",$I3413=""),"",$H3413*$I3413)</f>
        <v/>
      </c>
      <c r="K3413" s="24" t="n"/>
      <c r="L3413" s="24" t="n"/>
      <c r="M3413" s="29" t="n"/>
      <c r="N3413" s="28" t="n"/>
      <c r="O3413" s="24" t="n"/>
      <c r="P3413" s="24" t="n"/>
      <c r="Q3413" s="24" t="n"/>
      <c r="R3413" s="24" t="n"/>
      <c r="S3413" s="22">
        <f>IF(AND($A3413="",$C3413=""),"",IF($A3413="","Thiếu mã đơn; ","")&amp;IF(COUNTIF($A$2:$A3413,$A3413)&gt;1,"Trùng mã đơn; ","")&amp;IF(ISNA(MATCH($C3413,DATA_MASTER!$D$2:$D$5000,0)),"SĐT chưa đăng ký hội viên; ","")&amp;IF(AND($L3413="Đã chuyển khoản",$M3413=""),"Thiếu ngày nhận CK; ",""))</f>
        <v/>
      </c>
      <c r="T3413" s="24" t="n"/>
    </row>
    <row r="3414" ht="14.25" customHeight="1" s="40">
      <c r="A3414" s="24" t="n"/>
      <c r="B3414" s="29" t="n"/>
      <c r="C3414" s="28" t="n"/>
      <c r="D3414" s="22">
        <f t="array" ref="D3414">IF($C3414="","",IFERROR(INDEX(DATA_MASTER!$C$2:$C$5000,MATCH($C3414,DATA_MASTER!$D$2:$D$5000,0)),""))</f>
        <v/>
      </c>
      <c r="E3414" s="22">
        <f t="array" ref="E3414">IF($C3414="","",IFERROR(INDEX(DATA_MASTER!$I$2:$I$5000,MATCH($C3414,DATA_MASTER!$D$2:$D$5000,0)),""))</f>
        <v/>
      </c>
      <c r="F3414" s="22">
        <f t="array" ref="F3414">IF($C3414="","",IFERROR(INDEX(DATA_MASTER!$L$2:$L$5000,MATCH($C3414,DATA_MASTER!$D$2:$D$5000,0)),""))</f>
        <v/>
      </c>
      <c r="G3414" s="24" t="n"/>
      <c r="H3414" s="24" t="n"/>
      <c r="I3414" s="30" t="n"/>
      <c r="J3414" s="23">
        <f>IF(OR($H3414="",$I3414=""),"",$H3414*$I3414)</f>
        <v/>
      </c>
      <c r="K3414" s="24" t="n"/>
      <c r="L3414" s="24" t="n"/>
      <c r="M3414" s="29" t="n"/>
      <c r="N3414" s="28" t="n"/>
      <c r="O3414" s="24" t="n"/>
      <c r="P3414" s="24" t="n"/>
      <c r="Q3414" s="24" t="n"/>
      <c r="R3414" s="24" t="n"/>
      <c r="S3414" s="22">
        <f>IF(AND($A3414="",$C3414=""),"",IF($A3414="","Thiếu mã đơn; ","")&amp;IF(COUNTIF($A$2:$A3414,$A3414)&gt;1,"Trùng mã đơn; ","")&amp;IF(ISNA(MATCH($C3414,DATA_MASTER!$D$2:$D$5000,0)),"SĐT chưa đăng ký hội viên; ","")&amp;IF(AND($L3414="Đã chuyển khoản",$M3414=""),"Thiếu ngày nhận CK; ",""))</f>
        <v/>
      </c>
      <c r="T3414" s="24" t="n"/>
    </row>
    <row r="3415" ht="14.25" customHeight="1" s="40">
      <c r="A3415" s="24" t="n"/>
      <c r="B3415" s="29" t="n"/>
      <c r="C3415" s="28" t="n"/>
      <c r="D3415" s="22">
        <f t="array" ref="D3415">IF($C3415="","",IFERROR(INDEX(DATA_MASTER!$C$2:$C$5000,MATCH($C3415,DATA_MASTER!$D$2:$D$5000,0)),""))</f>
        <v/>
      </c>
      <c r="E3415" s="22">
        <f t="array" ref="E3415">IF($C3415="","",IFERROR(INDEX(DATA_MASTER!$I$2:$I$5000,MATCH($C3415,DATA_MASTER!$D$2:$D$5000,0)),""))</f>
        <v/>
      </c>
      <c r="F3415" s="22">
        <f t="array" ref="F3415">IF($C3415="","",IFERROR(INDEX(DATA_MASTER!$L$2:$L$5000,MATCH($C3415,DATA_MASTER!$D$2:$D$5000,0)),""))</f>
        <v/>
      </c>
      <c r="G3415" s="24" t="n"/>
      <c r="H3415" s="24" t="n"/>
      <c r="I3415" s="30" t="n"/>
      <c r="J3415" s="23">
        <f>IF(OR($H3415="",$I3415=""),"",$H3415*$I3415)</f>
        <v/>
      </c>
      <c r="K3415" s="24" t="n"/>
      <c r="L3415" s="24" t="n"/>
      <c r="M3415" s="29" t="n"/>
      <c r="N3415" s="28" t="n"/>
      <c r="O3415" s="24" t="n"/>
      <c r="P3415" s="24" t="n"/>
      <c r="Q3415" s="24" t="n"/>
      <c r="R3415" s="24" t="n"/>
      <c r="S3415" s="22">
        <f>IF(AND($A3415="",$C3415=""),"",IF($A3415="","Thiếu mã đơn; ","")&amp;IF(COUNTIF($A$2:$A3415,$A3415)&gt;1,"Trùng mã đơn; ","")&amp;IF(ISNA(MATCH($C3415,DATA_MASTER!$D$2:$D$5000,0)),"SĐT chưa đăng ký hội viên; ","")&amp;IF(AND($L3415="Đã chuyển khoản",$M3415=""),"Thiếu ngày nhận CK; ",""))</f>
        <v/>
      </c>
      <c r="T3415" s="24" t="n"/>
    </row>
    <row r="3416" ht="14.25" customHeight="1" s="40">
      <c r="A3416" s="24" t="n"/>
      <c r="B3416" s="29" t="n"/>
      <c r="C3416" s="28" t="n"/>
      <c r="D3416" s="22">
        <f t="array" ref="D3416">IF($C3416="","",IFERROR(INDEX(DATA_MASTER!$C$2:$C$5000,MATCH($C3416,DATA_MASTER!$D$2:$D$5000,0)),""))</f>
        <v/>
      </c>
      <c r="E3416" s="22">
        <f t="array" ref="E3416">IF($C3416="","",IFERROR(INDEX(DATA_MASTER!$I$2:$I$5000,MATCH($C3416,DATA_MASTER!$D$2:$D$5000,0)),""))</f>
        <v/>
      </c>
      <c r="F3416" s="22">
        <f t="array" ref="F3416">IF($C3416="","",IFERROR(INDEX(DATA_MASTER!$L$2:$L$5000,MATCH($C3416,DATA_MASTER!$D$2:$D$5000,0)),""))</f>
        <v/>
      </c>
      <c r="G3416" s="24" t="n"/>
      <c r="H3416" s="24" t="n"/>
      <c r="I3416" s="30" t="n"/>
      <c r="J3416" s="23">
        <f>IF(OR($H3416="",$I3416=""),"",$H3416*$I3416)</f>
        <v/>
      </c>
      <c r="K3416" s="24" t="n"/>
      <c r="L3416" s="24" t="n"/>
      <c r="M3416" s="29" t="n"/>
      <c r="N3416" s="28" t="n"/>
      <c r="O3416" s="24" t="n"/>
      <c r="P3416" s="24" t="n"/>
      <c r="Q3416" s="24" t="n"/>
      <c r="R3416" s="24" t="n"/>
      <c r="S3416" s="22">
        <f>IF(AND($A3416="",$C3416=""),"",IF($A3416="","Thiếu mã đơn; ","")&amp;IF(COUNTIF($A$2:$A3416,$A3416)&gt;1,"Trùng mã đơn; ","")&amp;IF(ISNA(MATCH($C3416,DATA_MASTER!$D$2:$D$5000,0)),"SĐT chưa đăng ký hội viên; ","")&amp;IF(AND($L3416="Đã chuyển khoản",$M3416=""),"Thiếu ngày nhận CK; ",""))</f>
        <v/>
      </c>
      <c r="T3416" s="24" t="n"/>
    </row>
    <row r="3417" ht="14.25" customHeight="1" s="40">
      <c r="A3417" s="24" t="n"/>
      <c r="B3417" s="29" t="n"/>
      <c r="C3417" s="28" t="n"/>
      <c r="D3417" s="22">
        <f t="array" ref="D3417">IF($C3417="","",IFERROR(INDEX(DATA_MASTER!$C$2:$C$5000,MATCH($C3417,DATA_MASTER!$D$2:$D$5000,0)),""))</f>
        <v/>
      </c>
      <c r="E3417" s="22">
        <f t="array" ref="E3417">IF($C3417="","",IFERROR(INDEX(DATA_MASTER!$I$2:$I$5000,MATCH($C3417,DATA_MASTER!$D$2:$D$5000,0)),""))</f>
        <v/>
      </c>
      <c r="F3417" s="22">
        <f t="array" ref="F3417">IF($C3417="","",IFERROR(INDEX(DATA_MASTER!$L$2:$L$5000,MATCH($C3417,DATA_MASTER!$D$2:$D$5000,0)),""))</f>
        <v/>
      </c>
      <c r="G3417" s="24" t="n"/>
      <c r="H3417" s="24" t="n"/>
      <c r="I3417" s="30" t="n"/>
      <c r="J3417" s="23">
        <f>IF(OR($H3417="",$I3417=""),"",$H3417*$I3417)</f>
        <v/>
      </c>
      <c r="K3417" s="24" t="n"/>
      <c r="L3417" s="24" t="n"/>
      <c r="M3417" s="29" t="n"/>
      <c r="N3417" s="28" t="n"/>
      <c r="O3417" s="24" t="n"/>
      <c r="P3417" s="24" t="n"/>
      <c r="Q3417" s="24" t="n"/>
      <c r="R3417" s="24" t="n"/>
      <c r="S3417" s="22">
        <f>IF(AND($A3417="",$C3417=""),"",IF($A3417="","Thiếu mã đơn; ","")&amp;IF(COUNTIF($A$2:$A3417,$A3417)&gt;1,"Trùng mã đơn; ","")&amp;IF(ISNA(MATCH($C3417,DATA_MASTER!$D$2:$D$5000,0)),"SĐT chưa đăng ký hội viên; ","")&amp;IF(AND($L3417="Đã chuyển khoản",$M3417=""),"Thiếu ngày nhận CK; ",""))</f>
        <v/>
      </c>
      <c r="T3417" s="24" t="n"/>
    </row>
    <row r="3418" ht="14.25" customHeight="1" s="40">
      <c r="A3418" s="24" t="n"/>
      <c r="B3418" s="29" t="n"/>
      <c r="C3418" s="28" t="n"/>
      <c r="D3418" s="22">
        <f t="array" ref="D3418">IF($C3418="","",IFERROR(INDEX(DATA_MASTER!$C$2:$C$5000,MATCH($C3418,DATA_MASTER!$D$2:$D$5000,0)),""))</f>
        <v/>
      </c>
      <c r="E3418" s="22">
        <f t="array" ref="E3418">IF($C3418="","",IFERROR(INDEX(DATA_MASTER!$I$2:$I$5000,MATCH($C3418,DATA_MASTER!$D$2:$D$5000,0)),""))</f>
        <v/>
      </c>
      <c r="F3418" s="22">
        <f t="array" ref="F3418">IF($C3418="","",IFERROR(INDEX(DATA_MASTER!$L$2:$L$5000,MATCH($C3418,DATA_MASTER!$D$2:$D$5000,0)),""))</f>
        <v/>
      </c>
      <c r="G3418" s="24" t="n"/>
      <c r="H3418" s="24" t="n"/>
      <c r="I3418" s="30" t="n"/>
      <c r="J3418" s="23">
        <f>IF(OR($H3418="",$I3418=""),"",$H3418*$I3418)</f>
        <v/>
      </c>
      <c r="K3418" s="24" t="n"/>
      <c r="L3418" s="24" t="n"/>
      <c r="M3418" s="29" t="n"/>
      <c r="N3418" s="28" t="n"/>
      <c r="O3418" s="24" t="n"/>
      <c r="P3418" s="24" t="n"/>
      <c r="Q3418" s="24" t="n"/>
      <c r="R3418" s="24" t="n"/>
      <c r="S3418" s="22">
        <f>IF(AND($A3418="",$C3418=""),"",IF($A3418="","Thiếu mã đơn; ","")&amp;IF(COUNTIF($A$2:$A3418,$A3418)&gt;1,"Trùng mã đơn; ","")&amp;IF(ISNA(MATCH($C3418,DATA_MASTER!$D$2:$D$5000,0)),"SĐT chưa đăng ký hội viên; ","")&amp;IF(AND($L3418="Đã chuyển khoản",$M3418=""),"Thiếu ngày nhận CK; ",""))</f>
        <v/>
      </c>
      <c r="T3418" s="24" t="n"/>
    </row>
    <row r="3419" ht="14.25" customHeight="1" s="40">
      <c r="A3419" s="24" t="n"/>
      <c r="B3419" s="29" t="n"/>
      <c r="C3419" s="28" t="n"/>
      <c r="D3419" s="22">
        <f t="array" ref="D3419">IF($C3419="","",IFERROR(INDEX(DATA_MASTER!$C$2:$C$5000,MATCH($C3419,DATA_MASTER!$D$2:$D$5000,0)),""))</f>
        <v/>
      </c>
      <c r="E3419" s="22">
        <f t="array" ref="E3419">IF($C3419="","",IFERROR(INDEX(DATA_MASTER!$I$2:$I$5000,MATCH($C3419,DATA_MASTER!$D$2:$D$5000,0)),""))</f>
        <v/>
      </c>
      <c r="F3419" s="22">
        <f t="array" ref="F3419">IF($C3419="","",IFERROR(INDEX(DATA_MASTER!$L$2:$L$5000,MATCH($C3419,DATA_MASTER!$D$2:$D$5000,0)),""))</f>
        <v/>
      </c>
      <c r="G3419" s="24" t="n"/>
      <c r="H3419" s="24" t="n"/>
      <c r="I3419" s="30" t="n"/>
      <c r="J3419" s="23">
        <f>IF(OR($H3419="",$I3419=""),"",$H3419*$I3419)</f>
        <v/>
      </c>
      <c r="K3419" s="24" t="n"/>
      <c r="L3419" s="24" t="n"/>
      <c r="M3419" s="29" t="n"/>
      <c r="N3419" s="28" t="n"/>
      <c r="O3419" s="24" t="n"/>
      <c r="P3419" s="24" t="n"/>
      <c r="Q3419" s="24" t="n"/>
      <c r="R3419" s="24" t="n"/>
      <c r="S3419" s="22">
        <f>IF(AND($A3419="",$C3419=""),"",IF($A3419="","Thiếu mã đơn; ","")&amp;IF(COUNTIF($A$2:$A3419,$A3419)&gt;1,"Trùng mã đơn; ","")&amp;IF(ISNA(MATCH($C3419,DATA_MASTER!$D$2:$D$5000,0)),"SĐT chưa đăng ký hội viên; ","")&amp;IF(AND($L3419="Đã chuyển khoản",$M3419=""),"Thiếu ngày nhận CK; ",""))</f>
        <v/>
      </c>
      <c r="T3419" s="24" t="n"/>
    </row>
    <row r="3420" ht="14.25" customHeight="1" s="40">
      <c r="A3420" s="24" t="n"/>
      <c r="B3420" s="29" t="n"/>
      <c r="C3420" s="28" t="n"/>
      <c r="D3420" s="22">
        <f t="array" ref="D3420">IF($C3420="","",IFERROR(INDEX(DATA_MASTER!$C$2:$C$5000,MATCH($C3420,DATA_MASTER!$D$2:$D$5000,0)),""))</f>
        <v/>
      </c>
      <c r="E3420" s="22">
        <f t="array" ref="E3420">IF($C3420="","",IFERROR(INDEX(DATA_MASTER!$I$2:$I$5000,MATCH($C3420,DATA_MASTER!$D$2:$D$5000,0)),""))</f>
        <v/>
      </c>
      <c r="F3420" s="22">
        <f t="array" ref="F3420">IF($C3420="","",IFERROR(INDEX(DATA_MASTER!$L$2:$L$5000,MATCH($C3420,DATA_MASTER!$D$2:$D$5000,0)),""))</f>
        <v/>
      </c>
      <c r="G3420" s="24" t="n"/>
      <c r="H3420" s="24" t="n"/>
      <c r="I3420" s="30" t="n"/>
      <c r="J3420" s="23">
        <f>IF(OR($H3420="",$I3420=""),"",$H3420*$I3420)</f>
        <v/>
      </c>
      <c r="K3420" s="24" t="n"/>
      <c r="L3420" s="24" t="n"/>
      <c r="M3420" s="29" t="n"/>
      <c r="N3420" s="28" t="n"/>
      <c r="O3420" s="24" t="n"/>
      <c r="P3420" s="24" t="n"/>
      <c r="Q3420" s="24" t="n"/>
      <c r="R3420" s="24" t="n"/>
      <c r="S3420" s="22">
        <f>IF(AND($A3420="",$C3420=""),"",IF($A3420="","Thiếu mã đơn; ","")&amp;IF(COUNTIF($A$2:$A3420,$A3420)&gt;1,"Trùng mã đơn; ","")&amp;IF(ISNA(MATCH($C3420,DATA_MASTER!$D$2:$D$5000,0)),"SĐT chưa đăng ký hội viên; ","")&amp;IF(AND($L3420="Đã chuyển khoản",$M3420=""),"Thiếu ngày nhận CK; ",""))</f>
        <v/>
      </c>
      <c r="T3420" s="24" t="n"/>
    </row>
    <row r="3421" ht="14.25" customHeight="1" s="40">
      <c r="A3421" s="24" t="n"/>
      <c r="B3421" s="29" t="n"/>
      <c r="C3421" s="28" t="n"/>
      <c r="D3421" s="22">
        <f t="array" ref="D3421">IF($C3421="","",IFERROR(INDEX(DATA_MASTER!$C$2:$C$5000,MATCH($C3421,DATA_MASTER!$D$2:$D$5000,0)),""))</f>
        <v/>
      </c>
      <c r="E3421" s="22">
        <f t="array" ref="E3421">IF($C3421="","",IFERROR(INDEX(DATA_MASTER!$I$2:$I$5000,MATCH($C3421,DATA_MASTER!$D$2:$D$5000,0)),""))</f>
        <v/>
      </c>
      <c r="F3421" s="22">
        <f t="array" ref="F3421">IF($C3421="","",IFERROR(INDEX(DATA_MASTER!$L$2:$L$5000,MATCH($C3421,DATA_MASTER!$D$2:$D$5000,0)),""))</f>
        <v/>
      </c>
      <c r="G3421" s="24" t="n"/>
      <c r="H3421" s="24" t="n"/>
      <c r="I3421" s="30" t="n"/>
      <c r="J3421" s="23">
        <f>IF(OR($H3421="",$I3421=""),"",$H3421*$I3421)</f>
        <v/>
      </c>
      <c r="K3421" s="24" t="n"/>
      <c r="L3421" s="24" t="n"/>
      <c r="M3421" s="29" t="n"/>
      <c r="N3421" s="28" t="n"/>
      <c r="O3421" s="24" t="n"/>
      <c r="P3421" s="24" t="n"/>
      <c r="Q3421" s="24" t="n"/>
      <c r="R3421" s="24" t="n"/>
      <c r="S3421" s="22">
        <f>IF(AND($A3421="",$C3421=""),"",IF($A3421="","Thiếu mã đơn; ","")&amp;IF(COUNTIF($A$2:$A3421,$A3421)&gt;1,"Trùng mã đơn; ","")&amp;IF(ISNA(MATCH($C3421,DATA_MASTER!$D$2:$D$5000,0)),"SĐT chưa đăng ký hội viên; ","")&amp;IF(AND($L3421="Đã chuyển khoản",$M3421=""),"Thiếu ngày nhận CK; ",""))</f>
        <v/>
      </c>
      <c r="T3421" s="24" t="n"/>
    </row>
    <row r="3422" ht="14.25" customHeight="1" s="40">
      <c r="A3422" s="24" t="n"/>
      <c r="B3422" s="29" t="n"/>
      <c r="C3422" s="28" t="n"/>
      <c r="D3422" s="22">
        <f t="array" ref="D3422">IF($C3422="","",IFERROR(INDEX(DATA_MASTER!$C$2:$C$5000,MATCH($C3422,DATA_MASTER!$D$2:$D$5000,0)),""))</f>
        <v/>
      </c>
      <c r="E3422" s="22">
        <f t="array" ref="E3422">IF($C3422="","",IFERROR(INDEX(DATA_MASTER!$I$2:$I$5000,MATCH($C3422,DATA_MASTER!$D$2:$D$5000,0)),""))</f>
        <v/>
      </c>
      <c r="F3422" s="22">
        <f t="array" ref="F3422">IF($C3422="","",IFERROR(INDEX(DATA_MASTER!$L$2:$L$5000,MATCH($C3422,DATA_MASTER!$D$2:$D$5000,0)),""))</f>
        <v/>
      </c>
      <c r="G3422" s="24" t="n"/>
      <c r="H3422" s="24" t="n"/>
      <c r="I3422" s="30" t="n"/>
      <c r="J3422" s="23">
        <f>IF(OR($H3422="",$I3422=""),"",$H3422*$I3422)</f>
        <v/>
      </c>
      <c r="K3422" s="24" t="n"/>
      <c r="L3422" s="24" t="n"/>
      <c r="M3422" s="29" t="n"/>
      <c r="N3422" s="28" t="n"/>
      <c r="O3422" s="24" t="n"/>
      <c r="P3422" s="24" t="n"/>
      <c r="Q3422" s="24" t="n"/>
      <c r="R3422" s="24" t="n"/>
      <c r="S3422" s="22">
        <f>IF(AND($A3422="",$C3422=""),"",IF($A3422="","Thiếu mã đơn; ","")&amp;IF(COUNTIF($A$2:$A3422,$A3422)&gt;1,"Trùng mã đơn; ","")&amp;IF(ISNA(MATCH($C3422,DATA_MASTER!$D$2:$D$5000,0)),"SĐT chưa đăng ký hội viên; ","")&amp;IF(AND($L3422="Đã chuyển khoản",$M3422=""),"Thiếu ngày nhận CK; ",""))</f>
        <v/>
      </c>
      <c r="T3422" s="24" t="n"/>
    </row>
    <row r="3423" ht="14.25" customHeight="1" s="40">
      <c r="A3423" s="24" t="n"/>
      <c r="B3423" s="29" t="n"/>
      <c r="C3423" s="28" t="n"/>
      <c r="D3423" s="22">
        <f t="array" ref="D3423">IF($C3423="","",IFERROR(INDEX(DATA_MASTER!$C$2:$C$5000,MATCH($C3423,DATA_MASTER!$D$2:$D$5000,0)),""))</f>
        <v/>
      </c>
      <c r="E3423" s="22">
        <f t="array" ref="E3423">IF($C3423="","",IFERROR(INDEX(DATA_MASTER!$I$2:$I$5000,MATCH($C3423,DATA_MASTER!$D$2:$D$5000,0)),""))</f>
        <v/>
      </c>
      <c r="F3423" s="22">
        <f t="array" ref="F3423">IF($C3423="","",IFERROR(INDEX(DATA_MASTER!$L$2:$L$5000,MATCH($C3423,DATA_MASTER!$D$2:$D$5000,0)),""))</f>
        <v/>
      </c>
      <c r="G3423" s="24" t="n"/>
      <c r="H3423" s="24" t="n"/>
      <c r="I3423" s="30" t="n"/>
      <c r="J3423" s="23">
        <f>IF(OR($H3423="",$I3423=""),"",$H3423*$I3423)</f>
        <v/>
      </c>
      <c r="K3423" s="24" t="n"/>
      <c r="L3423" s="24" t="n"/>
      <c r="M3423" s="29" t="n"/>
      <c r="N3423" s="28" t="n"/>
      <c r="O3423" s="24" t="n"/>
      <c r="P3423" s="24" t="n"/>
      <c r="Q3423" s="24" t="n"/>
      <c r="R3423" s="24" t="n"/>
      <c r="S3423" s="22">
        <f>IF(AND($A3423="",$C3423=""),"",IF($A3423="","Thiếu mã đơn; ","")&amp;IF(COUNTIF($A$2:$A3423,$A3423)&gt;1,"Trùng mã đơn; ","")&amp;IF(ISNA(MATCH($C3423,DATA_MASTER!$D$2:$D$5000,0)),"SĐT chưa đăng ký hội viên; ","")&amp;IF(AND($L3423="Đã chuyển khoản",$M3423=""),"Thiếu ngày nhận CK; ",""))</f>
        <v/>
      </c>
      <c r="T3423" s="24" t="n"/>
    </row>
    <row r="3424" ht="14.25" customHeight="1" s="40">
      <c r="A3424" s="24" t="n"/>
      <c r="B3424" s="29" t="n"/>
      <c r="C3424" s="28" t="n"/>
      <c r="D3424" s="22">
        <f t="array" ref="D3424">IF($C3424="","",IFERROR(INDEX(DATA_MASTER!$C$2:$C$5000,MATCH($C3424,DATA_MASTER!$D$2:$D$5000,0)),""))</f>
        <v/>
      </c>
      <c r="E3424" s="22">
        <f t="array" ref="E3424">IF($C3424="","",IFERROR(INDEX(DATA_MASTER!$I$2:$I$5000,MATCH($C3424,DATA_MASTER!$D$2:$D$5000,0)),""))</f>
        <v/>
      </c>
      <c r="F3424" s="22">
        <f t="array" ref="F3424">IF($C3424="","",IFERROR(INDEX(DATA_MASTER!$L$2:$L$5000,MATCH($C3424,DATA_MASTER!$D$2:$D$5000,0)),""))</f>
        <v/>
      </c>
      <c r="G3424" s="24" t="n"/>
      <c r="H3424" s="24" t="n"/>
      <c r="I3424" s="30" t="n"/>
      <c r="J3424" s="23">
        <f>IF(OR($H3424="",$I3424=""),"",$H3424*$I3424)</f>
        <v/>
      </c>
      <c r="K3424" s="24" t="n"/>
      <c r="L3424" s="24" t="n"/>
      <c r="M3424" s="29" t="n"/>
      <c r="N3424" s="28" t="n"/>
      <c r="O3424" s="24" t="n"/>
      <c r="P3424" s="24" t="n"/>
      <c r="Q3424" s="24" t="n"/>
      <c r="R3424" s="24" t="n"/>
      <c r="S3424" s="22">
        <f>IF(AND($A3424="",$C3424=""),"",IF($A3424="","Thiếu mã đơn; ","")&amp;IF(COUNTIF($A$2:$A3424,$A3424)&gt;1,"Trùng mã đơn; ","")&amp;IF(ISNA(MATCH($C3424,DATA_MASTER!$D$2:$D$5000,0)),"SĐT chưa đăng ký hội viên; ","")&amp;IF(AND($L3424="Đã chuyển khoản",$M3424=""),"Thiếu ngày nhận CK; ",""))</f>
        <v/>
      </c>
      <c r="T3424" s="24" t="n"/>
    </row>
    <row r="3425" ht="14.25" customHeight="1" s="40">
      <c r="A3425" s="24" t="n"/>
      <c r="B3425" s="29" t="n"/>
      <c r="C3425" s="28" t="n"/>
      <c r="D3425" s="22">
        <f t="array" ref="D3425">IF($C3425="","",IFERROR(INDEX(DATA_MASTER!$C$2:$C$5000,MATCH($C3425,DATA_MASTER!$D$2:$D$5000,0)),""))</f>
        <v/>
      </c>
      <c r="E3425" s="22">
        <f t="array" ref="E3425">IF($C3425="","",IFERROR(INDEX(DATA_MASTER!$I$2:$I$5000,MATCH($C3425,DATA_MASTER!$D$2:$D$5000,0)),""))</f>
        <v/>
      </c>
      <c r="F3425" s="22">
        <f t="array" ref="F3425">IF($C3425="","",IFERROR(INDEX(DATA_MASTER!$L$2:$L$5000,MATCH($C3425,DATA_MASTER!$D$2:$D$5000,0)),""))</f>
        <v/>
      </c>
      <c r="G3425" s="24" t="n"/>
      <c r="H3425" s="24" t="n"/>
      <c r="I3425" s="30" t="n"/>
      <c r="J3425" s="23">
        <f>IF(OR($H3425="",$I3425=""),"",$H3425*$I3425)</f>
        <v/>
      </c>
      <c r="K3425" s="24" t="n"/>
      <c r="L3425" s="24" t="n"/>
      <c r="M3425" s="29" t="n"/>
      <c r="N3425" s="28" t="n"/>
      <c r="O3425" s="24" t="n"/>
      <c r="P3425" s="24" t="n"/>
      <c r="Q3425" s="24" t="n"/>
      <c r="R3425" s="24" t="n"/>
      <c r="S3425" s="22">
        <f>IF(AND($A3425="",$C3425=""),"",IF($A3425="","Thiếu mã đơn; ","")&amp;IF(COUNTIF($A$2:$A3425,$A3425)&gt;1,"Trùng mã đơn; ","")&amp;IF(ISNA(MATCH($C3425,DATA_MASTER!$D$2:$D$5000,0)),"SĐT chưa đăng ký hội viên; ","")&amp;IF(AND($L3425="Đã chuyển khoản",$M3425=""),"Thiếu ngày nhận CK; ",""))</f>
        <v/>
      </c>
      <c r="T3425" s="24" t="n"/>
    </row>
    <row r="3426" ht="14.25" customHeight="1" s="40">
      <c r="A3426" s="24" t="n"/>
      <c r="B3426" s="29" t="n"/>
      <c r="C3426" s="28" t="n"/>
      <c r="D3426" s="22">
        <f t="array" ref="D3426">IF($C3426="","",IFERROR(INDEX(DATA_MASTER!$C$2:$C$5000,MATCH($C3426,DATA_MASTER!$D$2:$D$5000,0)),""))</f>
        <v/>
      </c>
      <c r="E3426" s="22">
        <f t="array" ref="E3426">IF($C3426="","",IFERROR(INDEX(DATA_MASTER!$I$2:$I$5000,MATCH($C3426,DATA_MASTER!$D$2:$D$5000,0)),""))</f>
        <v/>
      </c>
      <c r="F3426" s="22">
        <f t="array" ref="F3426">IF($C3426="","",IFERROR(INDEX(DATA_MASTER!$L$2:$L$5000,MATCH($C3426,DATA_MASTER!$D$2:$D$5000,0)),""))</f>
        <v/>
      </c>
      <c r="G3426" s="24" t="n"/>
      <c r="H3426" s="24" t="n"/>
      <c r="I3426" s="30" t="n"/>
      <c r="J3426" s="23">
        <f>IF(OR($H3426="",$I3426=""),"",$H3426*$I3426)</f>
        <v/>
      </c>
      <c r="K3426" s="24" t="n"/>
      <c r="L3426" s="24" t="n"/>
      <c r="M3426" s="29" t="n"/>
      <c r="N3426" s="28" t="n"/>
      <c r="O3426" s="24" t="n"/>
      <c r="P3426" s="24" t="n"/>
      <c r="Q3426" s="24" t="n"/>
      <c r="R3426" s="24" t="n"/>
      <c r="S3426" s="22">
        <f>IF(AND($A3426="",$C3426=""),"",IF($A3426="","Thiếu mã đơn; ","")&amp;IF(COUNTIF($A$2:$A3426,$A3426)&gt;1,"Trùng mã đơn; ","")&amp;IF(ISNA(MATCH($C3426,DATA_MASTER!$D$2:$D$5000,0)),"SĐT chưa đăng ký hội viên; ","")&amp;IF(AND($L3426="Đã chuyển khoản",$M3426=""),"Thiếu ngày nhận CK; ",""))</f>
        <v/>
      </c>
      <c r="T3426" s="24" t="n"/>
    </row>
    <row r="3427" ht="14.25" customHeight="1" s="40">
      <c r="A3427" s="24" t="n"/>
      <c r="B3427" s="29" t="n"/>
      <c r="C3427" s="28" t="n"/>
      <c r="D3427" s="22">
        <f t="array" ref="D3427">IF($C3427="","",IFERROR(INDEX(DATA_MASTER!$C$2:$C$5000,MATCH($C3427,DATA_MASTER!$D$2:$D$5000,0)),""))</f>
        <v/>
      </c>
      <c r="E3427" s="22">
        <f t="array" ref="E3427">IF($C3427="","",IFERROR(INDEX(DATA_MASTER!$I$2:$I$5000,MATCH($C3427,DATA_MASTER!$D$2:$D$5000,0)),""))</f>
        <v/>
      </c>
      <c r="F3427" s="22">
        <f t="array" ref="F3427">IF($C3427="","",IFERROR(INDEX(DATA_MASTER!$L$2:$L$5000,MATCH($C3427,DATA_MASTER!$D$2:$D$5000,0)),""))</f>
        <v/>
      </c>
      <c r="G3427" s="24" t="n"/>
      <c r="H3427" s="24" t="n"/>
      <c r="I3427" s="30" t="n"/>
      <c r="J3427" s="23">
        <f>IF(OR($H3427="",$I3427=""),"",$H3427*$I3427)</f>
        <v/>
      </c>
      <c r="K3427" s="24" t="n"/>
      <c r="L3427" s="24" t="n"/>
      <c r="M3427" s="29" t="n"/>
      <c r="N3427" s="28" t="n"/>
      <c r="O3427" s="24" t="n"/>
      <c r="P3427" s="24" t="n"/>
      <c r="Q3427" s="24" t="n"/>
      <c r="R3427" s="24" t="n"/>
      <c r="S3427" s="22">
        <f>IF(AND($A3427="",$C3427=""),"",IF($A3427="","Thiếu mã đơn; ","")&amp;IF(COUNTIF($A$2:$A3427,$A3427)&gt;1,"Trùng mã đơn; ","")&amp;IF(ISNA(MATCH($C3427,DATA_MASTER!$D$2:$D$5000,0)),"SĐT chưa đăng ký hội viên; ","")&amp;IF(AND($L3427="Đã chuyển khoản",$M3427=""),"Thiếu ngày nhận CK; ",""))</f>
        <v/>
      </c>
      <c r="T3427" s="24" t="n"/>
    </row>
    <row r="3428" ht="14.25" customHeight="1" s="40">
      <c r="A3428" s="24" t="n"/>
      <c r="B3428" s="29" t="n"/>
      <c r="C3428" s="28" t="n"/>
      <c r="D3428" s="22">
        <f t="array" ref="D3428">IF($C3428="","",IFERROR(INDEX(DATA_MASTER!$C$2:$C$5000,MATCH($C3428,DATA_MASTER!$D$2:$D$5000,0)),""))</f>
        <v/>
      </c>
      <c r="E3428" s="22">
        <f t="array" ref="E3428">IF($C3428="","",IFERROR(INDEX(DATA_MASTER!$I$2:$I$5000,MATCH($C3428,DATA_MASTER!$D$2:$D$5000,0)),""))</f>
        <v/>
      </c>
      <c r="F3428" s="22">
        <f t="array" ref="F3428">IF($C3428="","",IFERROR(INDEX(DATA_MASTER!$L$2:$L$5000,MATCH($C3428,DATA_MASTER!$D$2:$D$5000,0)),""))</f>
        <v/>
      </c>
      <c r="G3428" s="24" t="n"/>
      <c r="H3428" s="24" t="n"/>
      <c r="I3428" s="30" t="n"/>
      <c r="J3428" s="23">
        <f>IF(OR($H3428="",$I3428=""),"",$H3428*$I3428)</f>
        <v/>
      </c>
      <c r="K3428" s="24" t="n"/>
      <c r="L3428" s="24" t="n"/>
      <c r="M3428" s="29" t="n"/>
      <c r="N3428" s="28" t="n"/>
      <c r="O3428" s="24" t="n"/>
      <c r="P3428" s="24" t="n"/>
      <c r="Q3428" s="24" t="n"/>
      <c r="R3428" s="24" t="n"/>
      <c r="S3428" s="22">
        <f>IF(AND($A3428="",$C3428=""),"",IF($A3428="","Thiếu mã đơn; ","")&amp;IF(COUNTIF($A$2:$A3428,$A3428)&gt;1,"Trùng mã đơn; ","")&amp;IF(ISNA(MATCH($C3428,DATA_MASTER!$D$2:$D$5000,0)),"SĐT chưa đăng ký hội viên; ","")&amp;IF(AND($L3428="Đã chuyển khoản",$M3428=""),"Thiếu ngày nhận CK; ",""))</f>
        <v/>
      </c>
      <c r="T3428" s="24" t="n"/>
    </row>
    <row r="3429" ht="14.25" customHeight="1" s="40">
      <c r="A3429" s="24" t="n"/>
      <c r="B3429" s="29" t="n"/>
      <c r="C3429" s="28" t="n"/>
      <c r="D3429" s="22">
        <f t="array" ref="D3429">IF($C3429="","",IFERROR(INDEX(DATA_MASTER!$C$2:$C$5000,MATCH($C3429,DATA_MASTER!$D$2:$D$5000,0)),""))</f>
        <v/>
      </c>
      <c r="E3429" s="22">
        <f t="array" ref="E3429">IF($C3429="","",IFERROR(INDEX(DATA_MASTER!$I$2:$I$5000,MATCH($C3429,DATA_MASTER!$D$2:$D$5000,0)),""))</f>
        <v/>
      </c>
      <c r="F3429" s="22">
        <f t="array" ref="F3429">IF($C3429="","",IFERROR(INDEX(DATA_MASTER!$L$2:$L$5000,MATCH($C3429,DATA_MASTER!$D$2:$D$5000,0)),""))</f>
        <v/>
      </c>
      <c r="G3429" s="24" t="n"/>
      <c r="H3429" s="24" t="n"/>
      <c r="I3429" s="30" t="n"/>
      <c r="J3429" s="23">
        <f>IF(OR($H3429="",$I3429=""),"",$H3429*$I3429)</f>
        <v/>
      </c>
      <c r="K3429" s="24" t="n"/>
      <c r="L3429" s="24" t="n"/>
      <c r="M3429" s="29" t="n"/>
      <c r="N3429" s="28" t="n"/>
      <c r="O3429" s="24" t="n"/>
      <c r="P3429" s="24" t="n"/>
      <c r="Q3429" s="24" t="n"/>
      <c r="R3429" s="24" t="n"/>
      <c r="S3429" s="22">
        <f>IF(AND($A3429="",$C3429=""),"",IF($A3429="","Thiếu mã đơn; ","")&amp;IF(COUNTIF($A$2:$A3429,$A3429)&gt;1,"Trùng mã đơn; ","")&amp;IF(ISNA(MATCH($C3429,DATA_MASTER!$D$2:$D$5000,0)),"SĐT chưa đăng ký hội viên; ","")&amp;IF(AND($L3429="Đã chuyển khoản",$M3429=""),"Thiếu ngày nhận CK; ",""))</f>
        <v/>
      </c>
      <c r="T3429" s="24" t="n"/>
    </row>
    <row r="3430" ht="14.25" customHeight="1" s="40">
      <c r="A3430" s="24" t="n"/>
      <c r="B3430" s="29" t="n"/>
      <c r="C3430" s="28" t="n"/>
      <c r="D3430" s="22">
        <f t="array" ref="D3430">IF($C3430="","",IFERROR(INDEX(DATA_MASTER!$C$2:$C$5000,MATCH($C3430,DATA_MASTER!$D$2:$D$5000,0)),""))</f>
        <v/>
      </c>
      <c r="E3430" s="22">
        <f t="array" ref="E3430">IF($C3430="","",IFERROR(INDEX(DATA_MASTER!$I$2:$I$5000,MATCH($C3430,DATA_MASTER!$D$2:$D$5000,0)),""))</f>
        <v/>
      </c>
      <c r="F3430" s="22">
        <f t="array" ref="F3430">IF($C3430="","",IFERROR(INDEX(DATA_MASTER!$L$2:$L$5000,MATCH($C3430,DATA_MASTER!$D$2:$D$5000,0)),""))</f>
        <v/>
      </c>
      <c r="G3430" s="24" t="n"/>
      <c r="H3430" s="24" t="n"/>
      <c r="I3430" s="30" t="n"/>
      <c r="J3430" s="23">
        <f>IF(OR($H3430="",$I3430=""),"",$H3430*$I3430)</f>
        <v/>
      </c>
      <c r="K3430" s="24" t="n"/>
      <c r="L3430" s="24" t="n"/>
      <c r="M3430" s="29" t="n"/>
      <c r="N3430" s="28" t="n"/>
      <c r="O3430" s="24" t="n"/>
      <c r="P3430" s="24" t="n"/>
      <c r="Q3430" s="24" t="n"/>
      <c r="R3430" s="24" t="n"/>
      <c r="S3430" s="22">
        <f>IF(AND($A3430="",$C3430=""),"",IF($A3430="","Thiếu mã đơn; ","")&amp;IF(COUNTIF($A$2:$A3430,$A3430)&gt;1,"Trùng mã đơn; ","")&amp;IF(ISNA(MATCH($C3430,DATA_MASTER!$D$2:$D$5000,0)),"SĐT chưa đăng ký hội viên; ","")&amp;IF(AND($L3430="Đã chuyển khoản",$M3430=""),"Thiếu ngày nhận CK; ",""))</f>
        <v/>
      </c>
      <c r="T3430" s="24" t="n"/>
    </row>
    <row r="3431" ht="14.25" customHeight="1" s="40">
      <c r="A3431" s="24" t="n"/>
      <c r="B3431" s="29" t="n"/>
      <c r="C3431" s="28" t="n"/>
      <c r="D3431" s="22">
        <f t="array" ref="D3431">IF($C3431="","",IFERROR(INDEX(DATA_MASTER!$C$2:$C$5000,MATCH($C3431,DATA_MASTER!$D$2:$D$5000,0)),""))</f>
        <v/>
      </c>
      <c r="E3431" s="22">
        <f t="array" ref="E3431">IF($C3431="","",IFERROR(INDEX(DATA_MASTER!$I$2:$I$5000,MATCH($C3431,DATA_MASTER!$D$2:$D$5000,0)),""))</f>
        <v/>
      </c>
      <c r="F3431" s="22">
        <f t="array" ref="F3431">IF($C3431="","",IFERROR(INDEX(DATA_MASTER!$L$2:$L$5000,MATCH($C3431,DATA_MASTER!$D$2:$D$5000,0)),""))</f>
        <v/>
      </c>
      <c r="G3431" s="24" t="n"/>
      <c r="H3431" s="24" t="n"/>
      <c r="I3431" s="30" t="n"/>
      <c r="J3431" s="23">
        <f>IF(OR($H3431="",$I3431=""),"",$H3431*$I3431)</f>
        <v/>
      </c>
      <c r="K3431" s="24" t="n"/>
      <c r="L3431" s="24" t="n"/>
      <c r="M3431" s="29" t="n"/>
      <c r="N3431" s="28" t="n"/>
      <c r="O3431" s="24" t="n"/>
      <c r="P3431" s="24" t="n"/>
      <c r="Q3431" s="24" t="n"/>
      <c r="R3431" s="24" t="n"/>
      <c r="S3431" s="22">
        <f>IF(AND($A3431="",$C3431=""),"",IF($A3431="","Thiếu mã đơn; ","")&amp;IF(COUNTIF($A$2:$A3431,$A3431)&gt;1,"Trùng mã đơn; ","")&amp;IF(ISNA(MATCH($C3431,DATA_MASTER!$D$2:$D$5000,0)),"SĐT chưa đăng ký hội viên; ","")&amp;IF(AND($L3431="Đã chuyển khoản",$M3431=""),"Thiếu ngày nhận CK; ",""))</f>
        <v/>
      </c>
      <c r="T3431" s="24" t="n"/>
    </row>
    <row r="3432" ht="14.25" customHeight="1" s="40">
      <c r="A3432" s="24" t="n"/>
      <c r="B3432" s="29" t="n"/>
      <c r="C3432" s="28" t="n"/>
      <c r="D3432" s="22">
        <f t="array" ref="D3432">IF($C3432="","",IFERROR(INDEX(DATA_MASTER!$C$2:$C$5000,MATCH($C3432,DATA_MASTER!$D$2:$D$5000,0)),""))</f>
        <v/>
      </c>
      <c r="E3432" s="22">
        <f t="array" ref="E3432">IF($C3432="","",IFERROR(INDEX(DATA_MASTER!$I$2:$I$5000,MATCH($C3432,DATA_MASTER!$D$2:$D$5000,0)),""))</f>
        <v/>
      </c>
      <c r="F3432" s="22">
        <f t="array" ref="F3432">IF($C3432="","",IFERROR(INDEX(DATA_MASTER!$L$2:$L$5000,MATCH($C3432,DATA_MASTER!$D$2:$D$5000,0)),""))</f>
        <v/>
      </c>
      <c r="G3432" s="24" t="n"/>
      <c r="H3432" s="24" t="n"/>
      <c r="I3432" s="30" t="n"/>
      <c r="J3432" s="23">
        <f>IF(OR($H3432="",$I3432=""),"",$H3432*$I3432)</f>
        <v/>
      </c>
      <c r="K3432" s="24" t="n"/>
      <c r="L3432" s="24" t="n"/>
      <c r="M3432" s="29" t="n"/>
      <c r="N3432" s="28" t="n"/>
      <c r="O3432" s="24" t="n"/>
      <c r="P3432" s="24" t="n"/>
      <c r="Q3432" s="24" t="n"/>
      <c r="R3432" s="24" t="n"/>
      <c r="S3432" s="22">
        <f>IF(AND($A3432="",$C3432=""),"",IF($A3432="","Thiếu mã đơn; ","")&amp;IF(COUNTIF($A$2:$A3432,$A3432)&gt;1,"Trùng mã đơn; ","")&amp;IF(ISNA(MATCH($C3432,DATA_MASTER!$D$2:$D$5000,0)),"SĐT chưa đăng ký hội viên; ","")&amp;IF(AND($L3432="Đã chuyển khoản",$M3432=""),"Thiếu ngày nhận CK; ",""))</f>
        <v/>
      </c>
      <c r="T3432" s="24" t="n"/>
    </row>
    <row r="3433" ht="14.25" customHeight="1" s="40">
      <c r="A3433" s="24" t="n"/>
      <c r="B3433" s="29" t="n"/>
      <c r="C3433" s="28" t="n"/>
      <c r="D3433" s="22">
        <f t="array" ref="D3433">IF($C3433="","",IFERROR(INDEX(DATA_MASTER!$C$2:$C$5000,MATCH($C3433,DATA_MASTER!$D$2:$D$5000,0)),""))</f>
        <v/>
      </c>
      <c r="E3433" s="22">
        <f t="array" ref="E3433">IF($C3433="","",IFERROR(INDEX(DATA_MASTER!$I$2:$I$5000,MATCH($C3433,DATA_MASTER!$D$2:$D$5000,0)),""))</f>
        <v/>
      </c>
      <c r="F3433" s="22">
        <f t="array" ref="F3433">IF($C3433="","",IFERROR(INDEX(DATA_MASTER!$L$2:$L$5000,MATCH($C3433,DATA_MASTER!$D$2:$D$5000,0)),""))</f>
        <v/>
      </c>
      <c r="G3433" s="24" t="n"/>
      <c r="H3433" s="24" t="n"/>
      <c r="I3433" s="30" t="n"/>
      <c r="J3433" s="23">
        <f>IF(OR($H3433="",$I3433=""),"",$H3433*$I3433)</f>
        <v/>
      </c>
      <c r="K3433" s="24" t="n"/>
      <c r="L3433" s="24" t="n"/>
      <c r="M3433" s="29" t="n"/>
      <c r="N3433" s="28" t="n"/>
      <c r="O3433" s="24" t="n"/>
      <c r="P3433" s="24" t="n"/>
      <c r="Q3433" s="24" t="n"/>
      <c r="R3433" s="24" t="n"/>
      <c r="S3433" s="22">
        <f>IF(AND($A3433="",$C3433=""),"",IF($A3433="","Thiếu mã đơn; ","")&amp;IF(COUNTIF($A$2:$A3433,$A3433)&gt;1,"Trùng mã đơn; ","")&amp;IF(ISNA(MATCH($C3433,DATA_MASTER!$D$2:$D$5000,0)),"SĐT chưa đăng ký hội viên; ","")&amp;IF(AND($L3433="Đã chuyển khoản",$M3433=""),"Thiếu ngày nhận CK; ",""))</f>
        <v/>
      </c>
      <c r="T3433" s="24" t="n"/>
    </row>
    <row r="3434" ht="14.25" customHeight="1" s="40">
      <c r="A3434" s="24" t="n"/>
      <c r="B3434" s="29" t="n"/>
      <c r="C3434" s="28" t="n"/>
      <c r="D3434" s="22">
        <f t="array" ref="D3434">IF($C3434="","",IFERROR(INDEX(DATA_MASTER!$C$2:$C$5000,MATCH($C3434,DATA_MASTER!$D$2:$D$5000,0)),""))</f>
        <v/>
      </c>
      <c r="E3434" s="22">
        <f t="array" ref="E3434">IF($C3434="","",IFERROR(INDEX(DATA_MASTER!$I$2:$I$5000,MATCH($C3434,DATA_MASTER!$D$2:$D$5000,0)),""))</f>
        <v/>
      </c>
      <c r="F3434" s="22">
        <f t="array" ref="F3434">IF($C3434="","",IFERROR(INDEX(DATA_MASTER!$L$2:$L$5000,MATCH($C3434,DATA_MASTER!$D$2:$D$5000,0)),""))</f>
        <v/>
      </c>
      <c r="G3434" s="24" t="n"/>
      <c r="H3434" s="24" t="n"/>
      <c r="I3434" s="30" t="n"/>
      <c r="J3434" s="23">
        <f>IF(OR($H3434="",$I3434=""),"",$H3434*$I3434)</f>
        <v/>
      </c>
      <c r="K3434" s="24" t="n"/>
      <c r="L3434" s="24" t="n"/>
      <c r="M3434" s="29" t="n"/>
      <c r="N3434" s="28" t="n"/>
      <c r="O3434" s="24" t="n"/>
      <c r="P3434" s="24" t="n"/>
      <c r="Q3434" s="24" t="n"/>
      <c r="R3434" s="24" t="n"/>
      <c r="S3434" s="22">
        <f>IF(AND($A3434="",$C3434=""),"",IF($A3434="","Thiếu mã đơn; ","")&amp;IF(COUNTIF($A$2:$A3434,$A3434)&gt;1,"Trùng mã đơn; ","")&amp;IF(ISNA(MATCH($C3434,DATA_MASTER!$D$2:$D$5000,0)),"SĐT chưa đăng ký hội viên; ","")&amp;IF(AND($L3434="Đã chuyển khoản",$M3434=""),"Thiếu ngày nhận CK; ",""))</f>
        <v/>
      </c>
      <c r="T3434" s="24" t="n"/>
    </row>
    <row r="3435" ht="14.25" customHeight="1" s="40">
      <c r="A3435" s="24" t="n"/>
      <c r="B3435" s="29" t="n"/>
      <c r="C3435" s="28" t="n"/>
      <c r="D3435" s="22">
        <f t="array" ref="D3435">IF($C3435="","",IFERROR(INDEX(DATA_MASTER!$C$2:$C$5000,MATCH($C3435,DATA_MASTER!$D$2:$D$5000,0)),""))</f>
        <v/>
      </c>
      <c r="E3435" s="22">
        <f t="array" ref="E3435">IF($C3435="","",IFERROR(INDEX(DATA_MASTER!$I$2:$I$5000,MATCH($C3435,DATA_MASTER!$D$2:$D$5000,0)),""))</f>
        <v/>
      </c>
      <c r="F3435" s="22">
        <f t="array" ref="F3435">IF($C3435="","",IFERROR(INDEX(DATA_MASTER!$L$2:$L$5000,MATCH($C3435,DATA_MASTER!$D$2:$D$5000,0)),""))</f>
        <v/>
      </c>
      <c r="G3435" s="24" t="n"/>
      <c r="H3435" s="24" t="n"/>
      <c r="I3435" s="30" t="n"/>
      <c r="J3435" s="23">
        <f>IF(OR($H3435="",$I3435=""),"",$H3435*$I3435)</f>
        <v/>
      </c>
      <c r="K3435" s="24" t="n"/>
      <c r="L3435" s="24" t="n"/>
      <c r="M3435" s="29" t="n"/>
      <c r="N3435" s="28" t="n"/>
      <c r="O3435" s="24" t="n"/>
      <c r="P3435" s="24" t="n"/>
      <c r="Q3435" s="24" t="n"/>
      <c r="R3435" s="24" t="n"/>
      <c r="S3435" s="22">
        <f>IF(AND($A3435="",$C3435=""),"",IF($A3435="","Thiếu mã đơn; ","")&amp;IF(COUNTIF($A$2:$A3435,$A3435)&gt;1,"Trùng mã đơn; ","")&amp;IF(ISNA(MATCH($C3435,DATA_MASTER!$D$2:$D$5000,0)),"SĐT chưa đăng ký hội viên; ","")&amp;IF(AND($L3435="Đã chuyển khoản",$M3435=""),"Thiếu ngày nhận CK; ",""))</f>
        <v/>
      </c>
      <c r="T3435" s="24" t="n"/>
    </row>
    <row r="3436" ht="14.25" customHeight="1" s="40">
      <c r="A3436" s="24" t="n"/>
      <c r="B3436" s="29" t="n"/>
      <c r="C3436" s="28" t="n"/>
      <c r="D3436" s="22">
        <f t="array" ref="D3436">IF($C3436="","",IFERROR(INDEX(DATA_MASTER!$C$2:$C$5000,MATCH($C3436,DATA_MASTER!$D$2:$D$5000,0)),""))</f>
        <v/>
      </c>
      <c r="E3436" s="22">
        <f t="array" ref="E3436">IF($C3436="","",IFERROR(INDEX(DATA_MASTER!$I$2:$I$5000,MATCH($C3436,DATA_MASTER!$D$2:$D$5000,0)),""))</f>
        <v/>
      </c>
      <c r="F3436" s="22">
        <f t="array" ref="F3436">IF($C3436="","",IFERROR(INDEX(DATA_MASTER!$L$2:$L$5000,MATCH($C3436,DATA_MASTER!$D$2:$D$5000,0)),""))</f>
        <v/>
      </c>
      <c r="G3436" s="24" t="n"/>
      <c r="H3436" s="24" t="n"/>
      <c r="I3436" s="30" t="n"/>
      <c r="J3436" s="23">
        <f>IF(OR($H3436="",$I3436=""),"",$H3436*$I3436)</f>
        <v/>
      </c>
      <c r="K3436" s="24" t="n"/>
      <c r="L3436" s="24" t="n"/>
      <c r="M3436" s="29" t="n"/>
      <c r="N3436" s="28" t="n"/>
      <c r="O3436" s="24" t="n"/>
      <c r="P3436" s="24" t="n"/>
      <c r="Q3436" s="24" t="n"/>
      <c r="R3436" s="24" t="n"/>
      <c r="S3436" s="22">
        <f>IF(AND($A3436="",$C3436=""),"",IF($A3436="","Thiếu mã đơn; ","")&amp;IF(COUNTIF($A$2:$A3436,$A3436)&gt;1,"Trùng mã đơn; ","")&amp;IF(ISNA(MATCH($C3436,DATA_MASTER!$D$2:$D$5000,0)),"SĐT chưa đăng ký hội viên; ","")&amp;IF(AND($L3436="Đã chuyển khoản",$M3436=""),"Thiếu ngày nhận CK; ",""))</f>
        <v/>
      </c>
      <c r="T3436" s="24" t="n"/>
    </row>
    <row r="3437" ht="14.25" customHeight="1" s="40">
      <c r="A3437" s="24" t="n"/>
      <c r="B3437" s="29" t="n"/>
      <c r="C3437" s="28" t="n"/>
      <c r="D3437" s="22">
        <f t="array" ref="D3437">IF($C3437="","",IFERROR(INDEX(DATA_MASTER!$C$2:$C$5000,MATCH($C3437,DATA_MASTER!$D$2:$D$5000,0)),""))</f>
        <v/>
      </c>
      <c r="E3437" s="22">
        <f t="array" ref="E3437">IF($C3437="","",IFERROR(INDEX(DATA_MASTER!$I$2:$I$5000,MATCH($C3437,DATA_MASTER!$D$2:$D$5000,0)),""))</f>
        <v/>
      </c>
      <c r="F3437" s="22">
        <f t="array" ref="F3437">IF($C3437="","",IFERROR(INDEX(DATA_MASTER!$L$2:$L$5000,MATCH($C3437,DATA_MASTER!$D$2:$D$5000,0)),""))</f>
        <v/>
      </c>
      <c r="G3437" s="24" t="n"/>
      <c r="H3437" s="24" t="n"/>
      <c r="I3437" s="30" t="n"/>
      <c r="J3437" s="23">
        <f>IF(OR($H3437="",$I3437=""),"",$H3437*$I3437)</f>
        <v/>
      </c>
      <c r="K3437" s="24" t="n"/>
      <c r="L3437" s="24" t="n"/>
      <c r="M3437" s="29" t="n"/>
      <c r="N3437" s="28" t="n"/>
      <c r="O3437" s="24" t="n"/>
      <c r="P3437" s="24" t="n"/>
      <c r="Q3437" s="24" t="n"/>
      <c r="R3437" s="24" t="n"/>
      <c r="S3437" s="22">
        <f>IF(AND($A3437="",$C3437=""),"",IF($A3437="","Thiếu mã đơn; ","")&amp;IF(COUNTIF($A$2:$A3437,$A3437)&gt;1,"Trùng mã đơn; ","")&amp;IF(ISNA(MATCH($C3437,DATA_MASTER!$D$2:$D$5000,0)),"SĐT chưa đăng ký hội viên; ","")&amp;IF(AND($L3437="Đã chuyển khoản",$M3437=""),"Thiếu ngày nhận CK; ",""))</f>
        <v/>
      </c>
      <c r="T3437" s="24" t="n"/>
    </row>
    <row r="3438" ht="14.25" customHeight="1" s="40">
      <c r="A3438" s="24" t="n"/>
      <c r="B3438" s="29" t="n"/>
      <c r="C3438" s="28" t="n"/>
      <c r="D3438" s="22">
        <f t="array" ref="D3438">IF($C3438="","",IFERROR(INDEX(DATA_MASTER!$C$2:$C$5000,MATCH($C3438,DATA_MASTER!$D$2:$D$5000,0)),""))</f>
        <v/>
      </c>
      <c r="E3438" s="22">
        <f t="array" ref="E3438">IF($C3438="","",IFERROR(INDEX(DATA_MASTER!$I$2:$I$5000,MATCH($C3438,DATA_MASTER!$D$2:$D$5000,0)),""))</f>
        <v/>
      </c>
      <c r="F3438" s="22">
        <f t="array" ref="F3438">IF($C3438="","",IFERROR(INDEX(DATA_MASTER!$L$2:$L$5000,MATCH($C3438,DATA_MASTER!$D$2:$D$5000,0)),""))</f>
        <v/>
      </c>
      <c r="G3438" s="24" t="n"/>
      <c r="H3438" s="24" t="n"/>
      <c r="I3438" s="30" t="n"/>
      <c r="J3438" s="23">
        <f>IF(OR($H3438="",$I3438=""),"",$H3438*$I3438)</f>
        <v/>
      </c>
      <c r="K3438" s="24" t="n"/>
      <c r="L3438" s="24" t="n"/>
      <c r="M3438" s="29" t="n"/>
      <c r="N3438" s="28" t="n"/>
      <c r="O3438" s="24" t="n"/>
      <c r="P3438" s="24" t="n"/>
      <c r="Q3438" s="24" t="n"/>
      <c r="R3438" s="24" t="n"/>
      <c r="S3438" s="22">
        <f>IF(AND($A3438="",$C3438=""),"",IF($A3438="","Thiếu mã đơn; ","")&amp;IF(COUNTIF($A$2:$A3438,$A3438)&gt;1,"Trùng mã đơn; ","")&amp;IF(ISNA(MATCH($C3438,DATA_MASTER!$D$2:$D$5000,0)),"SĐT chưa đăng ký hội viên; ","")&amp;IF(AND($L3438="Đã chuyển khoản",$M3438=""),"Thiếu ngày nhận CK; ",""))</f>
        <v/>
      </c>
      <c r="T3438" s="24" t="n"/>
    </row>
    <row r="3439" ht="14.25" customHeight="1" s="40">
      <c r="A3439" s="24" t="n"/>
      <c r="B3439" s="29" t="n"/>
      <c r="C3439" s="28" t="n"/>
      <c r="D3439" s="22">
        <f t="array" ref="D3439">IF($C3439="","",IFERROR(INDEX(DATA_MASTER!$C$2:$C$5000,MATCH($C3439,DATA_MASTER!$D$2:$D$5000,0)),""))</f>
        <v/>
      </c>
      <c r="E3439" s="22">
        <f t="array" ref="E3439">IF($C3439="","",IFERROR(INDEX(DATA_MASTER!$I$2:$I$5000,MATCH($C3439,DATA_MASTER!$D$2:$D$5000,0)),""))</f>
        <v/>
      </c>
      <c r="F3439" s="22">
        <f t="array" ref="F3439">IF($C3439="","",IFERROR(INDEX(DATA_MASTER!$L$2:$L$5000,MATCH($C3439,DATA_MASTER!$D$2:$D$5000,0)),""))</f>
        <v/>
      </c>
      <c r="G3439" s="24" t="n"/>
      <c r="H3439" s="24" t="n"/>
      <c r="I3439" s="30" t="n"/>
      <c r="J3439" s="23">
        <f>IF(OR($H3439="",$I3439=""),"",$H3439*$I3439)</f>
        <v/>
      </c>
      <c r="K3439" s="24" t="n"/>
      <c r="L3439" s="24" t="n"/>
      <c r="M3439" s="29" t="n"/>
      <c r="N3439" s="28" t="n"/>
      <c r="O3439" s="24" t="n"/>
      <c r="P3439" s="24" t="n"/>
      <c r="Q3439" s="24" t="n"/>
      <c r="R3439" s="24" t="n"/>
      <c r="S3439" s="22">
        <f>IF(AND($A3439="",$C3439=""),"",IF($A3439="","Thiếu mã đơn; ","")&amp;IF(COUNTIF($A$2:$A3439,$A3439)&gt;1,"Trùng mã đơn; ","")&amp;IF(ISNA(MATCH($C3439,DATA_MASTER!$D$2:$D$5000,0)),"SĐT chưa đăng ký hội viên; ","")&amp;IF(AND($L3439="Đã chuyển khoản",$M3439=""),"Thiếu ngày nhận CK; ",""))</f>
        <v/>
      </c>
      <c r="T3439" s="24" t="n"/>
    </row>
    <row r="3440" ht="14.25" customHeight="1" s="40">
      <c r="A3440" s="24" t="n"/>
      <c r="B3440" s="29" t="n"/>
      <c r="C3440" s="28" t="n"/>
      <c r="D3440" s="22">
        <f t="array" ref="D3440">IF($C3440="","",IFERROR(INDEX(DATA_MASTER!$C$2:$C$5000,MATCH($C3440,DATA_MASTER!$D$2:$D$5000,0)),""))</f>
        <v/>
      </c>
      <c r="E3440" s="22">
        <f t="array" ref="E3440">IF($C3440="","",IFERROR(INDEX(DATA_MASTER!$I$2:$I$5000,MATCH($C3440,DATA_MASTER!$D$2:$D$5000,0)),""))</f>
        <v/>
      </c>
      <c r="F3440" s="22">
        <f t="array" ref="F3440">IF($C3440="","",IFERROR(INDEX(DATA_MASTER!$L$2:$L$5000,MATCH($C3440,DATA_MASTER!$D$2:$D$5000,0)),""))</f>
        <v/>
      </c>
      <c r="G3440" s="24" t="n"/>
      <c r="H3440" s="24" t="n"/>
      <c r="I3440" s="30" t="n"/>
      <c r="J3440" s="23">
        <f>IF(OR($H3440="",$I3440=""),"",$H3440*$I3440)</f>
        <v/>
      </c>
      <c r="K3440" s="24" t="n"/>
      <c r="L3440" s="24" t="n"/>
      <c r="M3440" s="29" t="n"/>
      <c r="N3440" s="28" t="n"/>
      <c r="O3440" s="24" t="n"/>
      <c r="P3440" s="24" t="n"/>
      <c r="Q3440" s="24" t="n"/>
      <c r="R3440" s="24" t="n"/>
      <c r="S3440" s="22">
        <f>IF(AND($A3440="",$C3440=""),"",IF($A3440="","Thiếu mã đơn; ","")&amp;IF(COUNTIF($A$2:$A3440,$A3440)&gt;1,"Trùng mã đơn; ","")&amp;IF(ISNA(MATCH($C3440,DATA_MASTER!$D$2:$D$5000,0)),"SĐT chưa đăng ký hội viên; ","")&amp;IF(AND($L3440="Đã chuyển khoản",$M3440=""),"Thiếu ngày nhận CK; ",""))</f>
        <v/>
      </c>
      <c r="T3440" s="24" t="n"/>
    </row>
    <row r="3441" ht="14.25" customHeight="1" s="40">
      <c r="A3441" s="24" t="n"/>
      <c r="B3441" s="29" t="n"/>
      <c r="C3441" s="28" t="n"/>
      <c r="D3441" s="22">
        <f t="array" ref="D3441">IF($C3441="","",IFERROR(INDEX(DATA_MASTER!$C$2:$C$5000,MATCH($C3441,DATA_MASTER!$D$2:$D$5000,0)),""))</f>
        <v/>
      </c>
      <c r="E3441" s="22">
        <f t="array" ref="E3441">IF($C3441="","",IFERROR(INDEX(DATA_MASTER!$I$2:$I$5000,MATCH($C3441,DATA_MASTER!$D$2:$D$5000,0)),""))</f>
        <v/>
      </c>
      <c r="F3441" s="22">
        <f t="array" ref="F3441">IF($C3441="","",IFERROR(INDEX(DATA_MASTER!$L$2:$L$5000,MATCH($C3441,DATA_MASTER!$D$2:$D$5000,0)),""))</f>
        <v/>
      </c>
      <c r="G3441" s="24" t="n"/>
      <c r="H3441" s="24" t="n"/>
      <c r="I3441" s="30" t="n"/>
      <c r="J3441" s="23">
        <f>IF(OR($H3441="",$I3441=""),"",$H3441*$I3441)</f>
        <v/>
      </c>
      <c r="K3441" s="24" t="n"/>
      <c r="L3441" s="24" t="n"/>
      <c r="M3441" s="29" t="n"/>
      <c r="N3441" s="28" t="n"/>
      <c r="O3441" s="24" t="n"/>
      <c r="P3441" s="24" t="n"/>
      <c r="Q3441" s="24" t="n"/>
      <c r="R3441" s="24" t="n"/>
      <c r="S3441" s="22">
        <f>IF(AND($A3441="",$C3441=""),"",IF($A3441="","Thiếu mã đơn; ","")&amp;IF(COUNTIF($A$2:$A3441,$A3441)&gt;1,"Trùng mã đơn; ","")&amp;IF(ISNA(MATCH($C3441,DATA_MASTER!$D$2:$D$5000,0)),"SĐT chưa đăng ký hội viên; ","")&amp;IF(AND($L3441="Đã chuyển khoản",$M3441=""),"Thiếu ngày nhận CK; ",""))</f>
        <v/>
      </c>
      <c r="T3441" s="24" t="n"/>
    </row>
    <row r="3442" ht="14.25" customHeight="1" s="40">
      <c r="A3442" s="24" t="n"/>
      <c r="B3442" s="29" t="n"/>
      <c r="C3442" s="28" t="n"/>
      <c r="D3442" s="22">
        <f t="array" ref="D3442">IF($C3442="","",IFERROR(INDEX(DATA_MASTER!$C$2:$C$5000,MATCH($C3442,DATA_MASTER!$D$2:$D$5000,0)),""))</f>
        <v/>
      </c>
      <c r="E3442" s="22">
        <f t="array" ref="E3442">IF($C3442="","",IFERROR(INDEX(DATA_MASTER!$I$2:$I$5000,MATCH($C3442,DATA_MASTER!$D$2:$D$5000,0)),""))</f>
        <v/>
      </c>
      <c r="F3442" s="22">
        <f t="array" ref="F3442">IF($C3442="","",IFERROR(INDEX(DATA_MASTER!$L$2:$L$5000,MATCH($C3442,DATA_MASTER!$D$2:$D$5000,0)),""))</f>
        <v/>
      </c>
      <c r="G3442" s="24" t="n"/>
      <c r="H3442" s="24" t="n"/>
      <c r="I3442" s="30" t="n"/>
      <c r="J3442" s="23">
        <f>IF(OR($H3442="",$I3442=""),"",$H3442*$I3442)</f>
        <v/>
      </c>
      <c r="K3442" s="24" t="n"/>
      <c r="L3442" s="24" t="n"/>
      <c r="M3442" s="29" t="n"/>
      <c r="N3442" s="28" t="n"/>
      <c r="O3442" s="24" t="n"/>
      <c r="P3442" s="24" t="n"/>
      <c r="Q3442" s="24" t="n"/>
      <c r="R3442" s="24" t="n"/>
      <c r="S3442" s="22">
        <f>IF(AND($A3442="",$C3442=""),"",IF($A3442="","Thiếu mã đơn; ","")&amp;IF(COUNTIF($A$2:$A3442,$A3442)&gt;1,"Trùng mã đơn; ","")&amp;IF(ISNA(MATCH($C3442,DATA_MASTER!$D$2:$D$5000,0)),"SĐT chưa đăng ký hội viên; ","")&amp;IF(AND($L3442="Đã chuyển khoản",$M3442=""),"Thiếu ngày nhận CK; ",""))</f>
        <v/>
      </c>
      <c r="T3442" s="24" t="n"/>
    </row>
    <row r="3443" ht="14.25" customHeight="1" s="40">
      <c r="A3443" s="24" t="n"/>
      <c r="B3443" s="29" t="n"/>
      <c r="C3443" s="28" t="n"/>
      <c r="D3443" s="22">
        <f t="array" ref="D3443">IF($C3443="","",IFERROR(INDEX(DATA_MASTER!$C$2:$C$5000,MATCH($C3443,DATA_MASTER!$D$2:$D$5000,0)),""))</f>
        <v/>
      </c>
      <c r="E3443" s="22">
        <f t="array" ref="E3443">IF($C3443="","",IFERROR(INDEX(DATA_MASTER!$I$2:$I$5000,MATCH($C3443,DATA_MASTER!$D$2:$D$5000,0)),""))</f>
        <v/>
      </c>
      <c r="F3443" s="22">
        <f t="array" ref="F3443">IF($C3443="","",IFERROR(INDEX(DATA_MASTER!$L$2:$L$5000,MATCH($C3443,DATA_MASTER!$D$2:$D$5000,0)),""))</f>
        <v/>
      </c>
      <c r="G3443" s="24" t="n"/>
      <c r="H3443" s="24" t="n"/>
      <c r="I3443" s="30" t="n"/>
      <c r="J3443" s="23">
        <f>IF(OR($H3443="",$I3443=""),"",$H3443*$I3443)</f>
        <v/>
      </c>
      <c r="K3443" s="24" t="n"/>
      <c r="L3443" s="24" t="n"/>
      <c r="M3443" s="29" t="n"/>
      <c r="N3443" s="28" t="n"/>
      <c r="O3443" s="24" t="n"/>
      <c r="P3443" s="24" t="n"/>
      <c r="Q3443" s="24" t="n"/>
      <c r="R3443" s="24" t="n"/>
      <c r="S3443" s="22">
        <f>IF(AND($A3443="",$C3443=""),"",IF($A3443="","Thiếu mã đơn; ","")&amp;IF(COUNTIF($A$2:$A3443,$A3443)&gt;1,"Trùng mã đơn; ","")&amp;IF(ISNA(MATCH($C3443,DATA_MASTER!$D$2:$D$5000,0)),"SĐT chưa đăng ký hội viên; ","")&amp;IF(AND($L3443="Đã chuyển khoản",$M3443=""),"Thiếu ngày nhận CK; ",""))</f>
        <v/>
      </c>
      <c r="T3443" s="24" t="n"/>
    </row>
    <row r="3444" ht="14.25" customHeight="1" s="40">
      <c r="A3444" s="24" t="n"/>
      <c r="B3444" s="29" t="n"/>
      <c r="C3444" s="28" t="n"/>
      <c r="D3444" s="22">
        <f t="array" ref="D3444">IF($C3444="","",IFERROR(INDEX(DATA_MASTER!$C$2:$C$5000,MATCH($C3444,DATA_MASTER!$D$2:$D$5000,0)),""))</f>
        <v/>
      </c>
      <c r="E3444" s="22">
        <f t="array" ref="E3444">IF($C3444="","",IFERROR(INDEX(DATA_MASTER!$I$2:$I$5000,MATCH($C3444,DATA_MASTER!$D$2:$D$5000,0)),""))</f>
        <v/>
      </c>
      <c r="F3444" s="22">
        <f t="array" ref="F3444">IF($C3444="","",IFERROR(INDEX(DATA_MASTER!$L$2:$L$5000,MATCH($C3444,DATA_MASTER!$D$2:$D$5000,0)),""))</f>
        <v/>
      </c>
      <c r="G3444" s="24" t="n"/>
      <c r="H3444" s="24" t="n"/>
      <c r="I3444" s="30" t="n"/>
      <c r="J3444" s="23">
        <f>IF(OR($H3444="",$I3444=""),"",$H3444*$I3444)</f>
        <v/>
      </c>
      <c r="K3444" s="24" t="n"/>
      <c r="L3444" s="24" t="n"/>
      <c r="M3444" s="29" t="n"/>
      <c r="N3444" s="28" t="n"/>
      <c r="O3444" s="24" t="n"/>
      <c r="P3444" s="24" t="n"/>
      <c r="Q3444" s="24" t="n"/>
      <c r="R3444" s="24" t="n"/>
      <c r="S3444" s="22">
        <f>IF(AND($A3444="",$C3444=""),"",IF($A3444="","Thiếu mã đơn; ","")&amp;IF(COUNTIF($A$2:$A3444,$A3444)&gt;1,"Trùng mã đơn; ","")&amp;IF(ISNA(MATCH($C3444,DATA_MASTER!$D$2:$D$5000,0)),"SĐT chưa đăng ký hội viên; ","")&amp;IF(AND($L3444="Đã chuyển khoản",$M3444=""),"Thiếu ngày nhận CK; ",""))</f>
        <v/>
      </c>
      <c r="T3444" s="24" t="n"/>
    </row>
    <row r="3445" ht="14.25" customHeight="1" s="40">
      <c r="A3445" s="24" t="n"/>
      <c r="B3445" s="29" t="n"/>
      <c r="C3445" s="28" t="n"/>
      <c r="D3445" s="22">
        <f t="array" ref="D3445">IF($C3445="","",IFERROR(INDEX(DATA_MASTER!$C$2:$C$5000,MATCH($C3445,DATA_MASTER!$D$2:$D$5000,0)),""))</f>
        <v/>
      </c>
      <c r="E3445" s="22">
        <f t="array" ref="E3445">IF($C3445="","",IFERROR(INDEX(DATA_MASTER!$I$2:$I$5000,MATCH($C3445,DATA_MASTER!$D$2:$D$5000,0)),""))</f>
        <v/>
      </c>
      <c r="F3445" s="22">
        <f t="array" ref="F3445">IF($C3445="","",IFERROR(INDEX(DATA_MASTER!$L$2:$L$5000,MATCH($C3445,DATA_MASTER!$D$2:$D$5000,0)),""))</f>
        <v/>
      </c>
      <c r="G3445" s="24" t="n"/>
      <c r="H3445" s="24" t="n"/>
      <c r="I3445" s="30" t="n"/>
      <c r="J3445" s="23">
        <f>IF(OR($H3445="",$I3445=""),"",$H3445*$I3445)</f>
        <v/>
      </c>
      <c r="K3445" s="24" t="n"/>
      <c r="L3445" s="24" t="n"/>
      <c r="M3445" s="29" t="n"/>
      <c r="N3445" s="28" t="n"/>
      <c r="O3445" s="24" t="n"/>
      <c r="P3445" s="24" t="n"/>
      <c r="Q3445" s="24" t="n"/>
      <c r="R3445" s="24" t="n"/>
      <c r="S3445" s="22">
        <f>IF(AND($A3445="",$C3445=""),"",IF($A3445="","Thiếu mã đơn; ","")&amp;IF(COUNTIF($A$2:$A3445,$A3445)&gt;1,"Trùng mã đơn; ","")&amp;IF(ISNA(MATCH($C3445,DATA_MASTER!$D$2:$D$5000,0)),"SĐT chưa đăng ký hội viên; ","")&amp;IF(AND($L3445="Đã chuyển khoản",$M3445=""),"Thiếu ngày nhận CK; ",""))</f>
        <v/>
      </c>
      <c r="T3445" s="24" t="n"/>
    </row>
    <row r="3446" ht="14.25" customHeight="1" s="40">
      <c r="A3446" s="24" t="n"/>
      <c r="B3446" s="29" t="n"/>
      <c r="C3446" s="28" t="n"/>
      <c r="D3446" s="22">
        <f t="array" ref="D3446">IF($C3446="","",IFERROR(INDEX(DATA_MASTER!$C$2:$C$5000,MATCH($C3446,DATA_MASTER!$D$2:$D$5000,0)),""))</f>
        <v/>
      </c>
      <c r="E3446" s="22">
        <f t="array" ref="E3446">IF($C3446="","",IFERROR(INDEX(DATA_MASTER!$I$2:$I$5000,MATCH($C3446,DATA_MASTER!$D$2:$D$5000,0)),""))</f>
        <v/>
      </c>
      <c r="F3446" s="22">
        <f t="array" ref="F3446">IF($C3446="","",IFERROR(INDEX(DATA_MASTER!$L$2:$L$5000,MATCH($C3446,DATA_MASTER!$D$2:$D$5000,0)),""))</f>
        <v/>
      </c>
      <c r="G3446" s="24" t="n"/>
      <c r="H3446" s="24" t="n"/>
      <c r="I3446" s="30" t="n"/>
      <c r="J3446" s="23">
        <f>IF(OR($H3446="",$I3446=""),"",$H3446*$I3446)</f>
        <v/>
      </c>
      <c r="K3446" s="24" t="n"/>
      <c r="L3446" s="24" t="n"/>
      <c r="M3446" s="29" t="n"/>
      <c r="N3446" s="28" t="n"/>
      <c r="O3446" s="24" t="n"/>
      <c r="P3446" s="24" t="n"/>
      <c r="Q3446" s="24" t="n"/>
      <c r="R3446" s="24" t="n"/>
      <c r="S3446" s="22">
        <f>IF(AND($A3446="",$C3446=""),"",IF($A3446="","Thiếu mã đơn; ","")&amp;IF(COUNTIF($A$2:$A3446,$A3446)&gt;1,"Trùng mã đơn; ","")&amp;IF(ISNA(MATCH($C3446,DATA_MASTER!$D$2:$D$5000,0)),"SĐT chưa đăng ký hội viên; ","")&amp;IF(AND($L3446="Đã chuyển khoản",$M3446=""),"Thiếu ngày nhận CK; ",""))</f>
        <v/>
      </c>
      <c r="T3446" s="24" t="n"/>
    </row>
    <row r="3447" ht="14.25" customHeight="1" s="40">
      <c r="A3447" s="24" t="n"/>
      <c r="B3447" s="29" t="n"/>
      <c r="C3447" s="28" t="n"/>
      <c r="D3447" s="22">
        <f t="array" ref="D3447">IF($C3447="","",IFERROR(INDEX(DATA_MASTER!$C$2:$C$5000,MATCH($C3447,DATA_MASTER!$D$2:$D$5000,0)),""))</f>
        <v/>
      </c>
      <c r="E3447" s="22">
        <f t="array" ref="E3447">IF($C3447="","",IFERROR(INDEX(DATA_MASTER!$I$2:$I$5000,MATCH($C3447,DATA_MASTER!$D$2:$D$5000,0)),""))</f>
        <v/>
      </c>
      <c r="F3447" s="22">
        <f t="array" ref="F3447">IF($C3447="","",IFERROR(INDEX(DATA_MASTER!$L$2:$L$5000,MATCH($C3447,DATA_MASTER!$D$2:$D$5000,0)),""))</f>
        <v/>
      </c>
      <c r="G3447" s="24" t="n"/>
      <c r="H3447" s="24" t="n"/>
      <c r="I3447" s="30" t="n"/>
      <c r="J3447" s="23">
        <f>IF(OR($H3447="",$I3447=""),"",$H3447*$I3447)</f>
        <v/>
      </c>
      <c r="K3447" s="24" t="n"/>
      <c r="L3447" s="24" t="n"/>
      <c r="M3447" s="29" t="n"/>
      <c r="N3447" s="28" t="n"/>
      <c r="O3447" s="24" t="n"/>
      <c r="P3447" s="24" t="n"/>
      <c r="Q3447" s="24" t="n"/>
      <c r="R3447" s="24" t="n"/>
      <c r="S3447" s="22">
        <f>IF(AND($A3447="",$C3447=""),"",IF($A3447="","Thiếu mã đơn; ","")&amp;IF(COUNTIF($A$2:$A3447,$A3447)&gt;1,"Trùng mã đơn; ","")&amp;IF(ISNA(MATCH($C3447,DATA_MASTER!$D$2:$D$5000,0)),"SĐT chưa đăng ký hội viên; ","")&amp;IF(AND($L3447="Đã chuyển khoản",$M3447=""),"Thiếu ngày nhận CK; ",""))</f>
        <v/>
      </c>
      <c r="T3447" s="24" t="n"/>
    </row>
    <row r="3448" ht="14.25" customHeight="1" s="40">
      <c r="A3448" s="24" t="n"/>
      <c r="B3448" s="29" t="n"/>
      <c r="C3448" s="28" t="n"/>
      <c r="D3448" s="22">
        <f t="array" ref="D3448">IF($C3448="","",IFERROR(INDEX(DATA_MASTER!$C$2:$C$5000,MATCH($C3448,DATA_MASTER!$D$2:$D$5000,0)),""))</f>
        <v/>
      </c>
      <c r="E3448" s="22">
        <f t="array" ref="E3448">IF($C3448="","",IFERROR(INDEX(DATA_MASTER!$I$2:$I$5000,MATCH($C3448,DATA_MASTER!$D$2:$D$5000,0)),""))</f>
        <v/>
      </c>
      <c r="F3448" s="22">
        <f t="array" ref="F3448">IF($C3448="","",IFERROR(INDEX(DATA_MASTER!$L$2:$L$5000,MATCH($C3448,DATA_MASTER!$D$2:$D$5000,0)),""))</f>
        <v/>
      </c>
      <c r="G3448" s="24" t="n"/>
      <c r="H3448" s="24" t="n"/>
      <c r="I3448" s="30" t="n"/>
      <c r="J3448" s="23">
        <f>IF(OR($H3448="",$I3448=""),"",$H3448*$I3448)</f>
        <v/>
      </c>
      <c r="K3448" s="24" t="n"/>
      <c r="L3448" s="24" t="n"/>
      <c r="M3448" s="29" t="n"/>
      <c r="N3448" s="28" t="n"/>
      <c r="O3448" s="24" t="n"/>
      <c r="P3448" s="24" t="n"/>
      <c r="Q3448" s="24" t="n"/>
      <c r="R3448" s="24" t="n"/>
      <c r="S3448" s="22">
        <f>IF(AND($A3448="",$C3448=""),"",IF($A3448="","Thiếu mã đơn; ","")&amp;IF(COUNTIF($A$2:$A3448,$A3448)&gt;1,"Trùng mã đơn; ","")&amp;IF(ISNA(MATCH($C3448,DATA_MASTER!$D$2:$D$5000,0)),"SĐT chưa đăng ký hội viên; ","")&amp;IF(AND($L3448="Đã chuyển khoản",$M3448=""),"Thiếu ngày nhận CK; ",""))</f>
        <v/>
      </c>
      <c r="T3448" s="24" t="n"/>
    </row>
    <row r="3449" ht="14.25" customHeight="1" s="40">
      <c r="A3449" s="24" t="n"/>
      <c r="B3449" s="29" t="n"/>
      <c r="C3449" s="28" t="n"/>
      <c r="D3449" s="22">
        <f t="array" ref="D3449">IF($C3449="","",IFERROR(INDEX(DATA_MASTER!$C$2:$C$5000,MATCH($C3449,DATA_MASTER!$D$2:$D$5000,0)),""))</f>
        <v/>
      </c>
      <c r="E3449" s="22">
        <f t="array" ref="E3449">IF($C3449="","",IFERROR(INDEX(DATA_MASTER!$I$2:$I$5000,MATCH($C3449,DATA_MASTER!$D$2:$D$5000,0)),""))</f>
        <v/>
      </c>
      <c r="F3449" s="22">
        <f t="array" ref="F3449">IF($C3449="","",IFERROR(INDEX(DATA_MASTER!$L$2:$L$5000,MATCH($C3449,DATA_MASTER!$D$2:$D$5000,0)),""))</f>
        <v/>
      </c>
      <c r="G3449" s="24" t="n"/>
      <c r="H3449" s="24" t="n"/>
      <c r="I3449" s="30" t="n"/>
      <c r="J3449" s="23">
        <f>IF(OR($H3449="",$I3449=""),"",$H3449*$I3449)</f>
        <v/>
      </c>
      <c r="K3449" s="24" t="n"/>
      <c r="L3449" s="24" t="n"/>
      <c r="M3449" s="29" t="n"/>
      <c r="N3449" s="28" t="n"/>
      <c r="O3449" s="24" t="n"/>
      <c r="P3449" s="24" t="n"/>
      <c r="Q3449" s="24" t="n"/>
      <c r="R3449" s="24" t="n"/>
      <c r="S3449" s="22">
        <f>IF(AND($A3449="",$C3449=""),"",IF($A3449="","Thiếu mã đơn; ","")&amp;IF(COUNTIF($A$2:$A3449,$A3449)&gt;1,"Trùng mã đơn; ","")&amp;IF(ISNA(MATCH($C3449,DATA_MASTER!$D$2:$D$5000,0)),"SĐT chưa đăng ký hội viên; ","")&amp;IF(AND($L3449="Đã chuyển khoản",$M3449=""),"Thiếu ngày nhận CK; ",""))</f>
        <v/>
      </c>
      <c r="T3449" s="24" t="n"/>
    </row>
    <row r="3450" ht="14.25" customHeight="1" s="40">
      <c r="A3450" s="24" t="n"/>
      <c r="B3450" s="29" t="n"/>
      <c r="C3450" s="28" t="n"/>
      <c r="D3450" s="22">
        <f t="array" ref="D3450">IF($C3450="","",IFERROR(INDEX(DATA_MASTER!$C$2:$C$5000,MATCH($C3450,DATA_MASTER!$D$2:$D$5000,0)),""))</f>
        <v/>
      </c>
      <c r="E3450" s="22">
        <f t="array" ref="E3450">IF($C3450="","",IFERROR(INDEX(DATA_MASTER!$I$2:$I$5000,MATCH($C3450,DATA_MASTER!$D$2:$D$5000,0)),""))</f>
        <v/>
      </c>
      <c r="F3450" s="22">
        <f t="array" ref="F3450">IF($C3450="","",IFERROR(INDEX(DATA_MASTER!$L$2:$L$5000,MATCH($C3450,DATA_MASTER!$D$2:$D$5000,0)),""))</f>
        <v/>
      </c>
      <c r="G3450" s="24" t="n"/>
      <c r="H3450" s="24" t="n"/>
      <c r="I3450" s="30" t="n"/>
      <c r="J3450" s="23">
        <f>IF(OR($H3450="",$I3450=""),"",$H3450*$I3450)</f>
        <v/>
      </c>
      <c r="K3450" s="24" t="n"/>
      <c r="L3450" s="24" t="n"/>
      <c r="M3450" s="29" t="n"/>
      <c r="N3450" s="28" t="n"/>
      <c r="O3450" s="24" t="n"/>
      <c r="P3450" s="24" t="n"/>
      <c r="Q3450" s="24" t="n"/>
      <c r="R3450" s="24" t="n"/>
      <c r="S3450" s="22">
        <f>IF(AND($A3450="",$C3450=""),"",IF($A3450="","Thiếu mã đơn; ","")&amp;IF(COUNTIF($A$2:$A3450,$A3450)&gt;1,"Trùng mã đơn; ","")&amp;IF(ISNA(MATCH($C3450,DATA_MASTER!$D$2:$D$5000,0)),"SĐT chưa đăng ký hội viên; ","")&amp;IF(AND($L3450="Đã chuyển khoản",$M3450=""),"Thiếu ngày nhận CK; ",""))</f>
        <v/>
      </c>
      <c r="T3450" s="24" t="n"/>
    </row>
    <row r="3451" ht="14.25" customHeight="1" s="40">
      <c r="A3451" s="24" t="n"/>
      <c r="B3451" s="29" t="n"/>
      <c r="C3451" s="28" t="n"/>
      <c r="D3451" s="22">
        <f t="array" ref="D3451">IF($C3451="","",IFERROR(INDEX(DATA_MASTER!$C$2:$C$5000,MATCH($C3451,DATA_MASTER!$D$2:$D$5000,0)),""))</f>
        <v/>
      </c>
      <c r="E3451" s="22">
        <f t="array" ref="E3451">IF($C3451="","",IFERROR(INDEX(DATA_MASTER!$I$2:$I$5000,MATCH($C3451,DATA_MASTER!$D$2:$D$5000,0)),""))</f>
        <v/>
      </c>
      <c r="F3451" s="22">
        <f t="array" ref="F3451">IF($C3451="","",IFERROR(INDEX(DATA_MASTER!$L$2:$L$5000,MATCH($C3451,DATA_MASTER!$D$2:$D$5000,0)),""))</f>
        <v/>
      </c>
      <c r="G3451" s="24" t="n"/>
      <c r="H3451" s="24" t="n"/>
      <c r="I3451" s="30" t="n"/>
      <c r="J3451" s="23">
        <f>IF(OR($H3451="",$I3451=""),"",$H3451*$I3451)</f>
        <v/>
      </c>
      <c r="K3451" s="24" t="n"/>
      <c r="L3451" s="24" t="n"/>
      <c r="M3451" s="29" t="n"/>
      <c r="N3451" s="28" t="n"/>
      <c r="O3451" s="24" t="n"/>
      <c r="P3451" s="24" t="n"/>
      <c r="Q3451" s="24" t="n"/>
      <c r="R3451" s="24" t="n"/>
      <c r="S3451" s="22">
        <f>IF(AND($A3451="",$C3451=""),"",IF($A3451="","Thiếu mã đơn; ","")&amp;IF(COUNTIF($A$2:$A3451,$A3451)&gt;1,"Trùng mã đơn; ","")&amp;IF(ISNA(MATCH($C3451,DATA_MASTER!$D$2:$D$5000,0)),"SĐT chưa đăng ký hội viên; ","")&amp;IF(AND($L3451="Đã chuyển khoản",$M3451=""),"Thiếu ngày nhận CK; ",""))</f>
        <v/>
      </c>
      <c r="T3451" s="24" t="n"/>
    </row>
    <row r="3452" ht="14.25" customHeight="1" s="40">
      <c r="A3452" s="24" t="n"/>
      <c r="B3452" s="29" t="n"/>
      <c r="C3452" s="28" t="n"/>
      <c r="D3452" s="22">
        <f t="array" ref="D3452">IF($C3452="","",IFERROR(INDEX(DATA_MASTER!$C$2:$C$5000,MATCH($C3452,DATA_MASTER!$D$2:$D$5000,0)),""))</f>
        <v/>
      </c>
      <c r="E3452" s="22">
        <f t="array" ref="E3452">IF($C3452="","",IFERROR(INDEX(DATA_MASTER!$I$2:$I$5000,MATCH($C3452,DATA_MASTER!$D$2:$D$5000,0)),""))</f>
        <v/>
      </c>
      <c r="F3452" s="22">
        <f t="array" ref="F3452">IF($C3452="","",IFERROR(INDEX(DATA_MASTER!$L$2:$L$5000,MATCH($C3452,DATA_MASTER!$D$2:$D$5000,0)),""))</f>
        <v/>
      </c>
      <c r="G3452" s="24" t="n"/>
      <c r="H3452" s="24" t="n"/>
      <c r="I3452" s="30" t="n"/>
      <c r="J3452" s="23">
        <f>IF(OR($H3452="",$I3452=""),"",$H3452*$I3452)</f>
        <v/>
      </c>
      <c r="K3452" s="24" t="n"/>
      <c r="L3452" s="24" t="n"/>
      <c r="M3452" s="29" t="n"/>
      <c r="N3452" s="28" t="n"/>
      <c r="O3452" s="24" t="n"/>
      <c r="P3452" s="24" t="n"/>
      <c r="Q3452" s="24" t="n"/>
      <c r="R3452" s="24" t="n"/>
      <c r="S3452" s="22">
        <f>IF(AND($A3452="",$C3452=""),"",IF($A3452="","Thiếu mã đơn; ","")&amp;IF(COUNTIF($A$2:$A3452,$A3452)&gt;1,"Trùng mã đơn; ","")&amp;IF(ISNA(MATCH($C3452,DATA_MASTER!$D$2:$D$5000,0)),"SĐT chưa đăng ký hội viên; ","")&amp;IF(AND($L3452="Đã chuyển khoản",$M3452=""),"Thiếu ngày nhận CK; ",""))</f>
        <v/>
      </c>
      <c r="T3452" s="24" t="n"/>
    </row>
    <row r="3453" ht="14.25" customHeight="1" s="40">
      <c r="A3453" s="24" t="n"/>
      <c r="B3453" s="29" t="n"/>
      <c r="C3453" s="28" t="n"/>
      <c r="D3453" s="22">
        <f t="array" ref="D3453">IF($C3453="","",IFERROR(INDEX(DATA_MASTER!$C$2:$C$5000,MATCH($C3453,DATA_MASTER!$D$2:$D$5000,0)),""))</f>
        <v/>
      </c>
      <c r="E3453" s="22">
        <f t="array" ref="E3453">IF($C3453="","",IFERROR(INDEX(DATA_MASTER!$I$2:$I$5000,MATCH($C3453,DATA_MASTER!$D$2:$D$5000,0)),""))</f>
        <v/>
      </c>
      <c r="F3453" s="22">
        <f t="array" ref="F3453">IF($C3453="","",IFERROR(INDEX(DATA_MASTER!$L$2:$L$5000,MATCH($C3453,DATA_MASTER!$D$2:$D$5000,0)),""))</f>
        <v/>
      </c>
      <c r="G3453" s="24" t="n"/>
      <c r="H3453" s="24" t="n"/>
      <c r="I3453" s="30" t="n"/>
      <c r="J3453" s="23">
        <f>IF(OR($H3453="",$I3453=""),"",$H3453*$I3453)</f>
        <v/>
      </c>
      <c r="K3453" s="24" t="n"/>
      <c r="L3453" s="24" t="n"/>
      <c r="M3453" s="29" t="n"/>
      <c r="N3453" s="28" t="n"/>
      <c r="O3453" s="24" t="n"/>
      <c r="P3453" s="24" t="n"/>
      <c r="Q3453" s="24" t="n"/>
      <c r="R3453" s="24" t="n"/>
      <c r="S3453" s="22">
        <f>IF(AND($A3453="",$C3453=""),"",IF($A3453="","Thiếu mã đơn; ","")&amp;IF(COUNTIF($A$2:$A3453,$A3453)&gt;1,"Trùng mã đơn; ","")&amp;IF(ISNA(MATCH($C3453,DATA_MASTER!$D$2:$D$5000,0)),"SĐT chưa đăng ký hội viên; ","")&amp;IF(AND($L3453="Đã chuyển khoản",$M3453=""),"Thiếu ngày nhận CK; ",""))</f>
        <v/>
      </c>
      <c r="T3453" s="24" t="n"/>
    </row>
    <row r="3454" ht="14.25" customHeight="1" s="40">
      <c r="A3454" s="24" t="n"/>
      <c r="B3454" s="29" t="n"/>
      <c r="C3454" s="28" t="n"/>
      <c r="D3454" s="22">
        <f t="array" ref="D3454">IF($C3454="","",IFERROR(INDEX(DATA_MASTER!$C$2:$C$5000,MATCH($C3454,DATA_MASTER!$D$2:$D$5000,0)),""))</f>
        <v/>
      </c>
      <c r="E3454" s="22">
        <f t="array" ref="E3454">IF($C3454="","",IFERROR(INDEX(DATA_MASTER!$I$2:$I$5000,MATCH($C3454,DATA_MASTER!$D$2:$D$5000,0)),""))</f>
        <v/>
      </c>
      <c r="F3454" s="22">
        <f t="array" ref="F3454">IF($C3454="","",IFERROR(INDEX(DATA_MASTER!$L$2:$L$5000,MATCH($C3454,DATA_MASTER!$D$2:$D$5000,0)),""))</f>
        <v/>
      </c>
      <c r="G3454" s="24" t="n"/>
      <c r="H3454" s="24" t="n"/>
      <c r="I3454" s="30" t="n"/>
      <c r="J3454" s="23">
        <f>IF(OR($H3454="",$I3454=""),"",$H3454*$I3454)</f>
        <v/>
      </c>
      <c r="K3454" s="24" t="n"/>
      <c r="L3454" s="24" t="n"/>
      <c r="M3454" s="29" t="n"/>
      <c r="N3454" s="28" t="n"/>
      <c r="O3454" s="24" t="n"/>
      <c r="P3454" s="24" t="n"/>
      <c r="Q3454" s="24" t="n"/>
      <c r="R3454" s="24" t="n"/>
      <c r="S3454" s="22">
        <f>IF(AND($A3454="",$C3454=""),"",IF($A3454="","Thiếu mã đơn; ","")&amp;IF(COUNTIF($A$2:$A3454,$A3454)&gt;1,"Trùng mã đơn; ","")&amp;IF(ISNA(MATCH($C3454,DATA_MASTER!$D$2:$D$5000,0)),"SĐT chưa đăng ký hội viên; ","")&amp;IF(AND($L3454="Đã chuyển khoản",$M3454=""),"Thiếu ngày nhận CK; ",""))</f>
        <v/>
      </c>
      <c r="T3454" s="24" t="n"/>
    </row>
    <row r="3455" ht="14.25" customHeight="1" s="40">
      <c r="A3455" s="24" t="n"/>
      <c r="B3455" s="29" t="n"/>
      <c r="C3455" s="28" t="n"/>
      <c r="D3455" s="22">
        <f t="array" ref="D3455">IF($C3455="","",IFERROR(INDEX(DATA_MASTER!$C$2:$C$5000,MATCH($C3455,DATA_MASTER!$D$2:$D$5000,0)),""))</f>
        <v/>
      </c>
      <c r="E3455" s="22">
        <f t="array" ref="E3455">IF($C3455="","",IFERROR(INDEX(DATA_MASTER!$I$2:$I$5000,MATCH($C3455,DATA_MASTER!$D$2:$D$5000,0)),""))</f>
        <v/>
      </c>
      <c r="F3455" s="22">
        <f t="array" ref="F3455">IF($C3455="","",IFERROR(INDEX(DATA_MASTER!$L$2:$L$5000,MATCH($C3455,DATA_MASTER!$D$2:$D$5000,0)),""))</f>
        <v/>
      </c>
      <c r="G3455" s="24" t="n"/>
      <c r="H3455" s="24" t="n"/>
      <c r="I3455" s="30" t="n"/>
      <c r="J3455" s="23">
        <f>IF(OR($H3455="",$I3455=""),"",$H3455*$I3455)</f>
        <v/>
      </c>
      <c r="K3455" s="24" t="n"/>
      <c r="L3455" s="24" t="n"/>
      <c r="M3455" s="29" t="n"/>
      <c r="N3455" s="28" t="n"/>
      <c r="O3455" s="24" t="n"/>
      <c r="P3455" s="24" t="n"/>
      <c r="Q3455" s="24" t="n"/>
      <c r="R3455" s="24" t="n"/>
      <c r="S3455" s="22">
        <f>IF(AND($A3455="",$C3455=""),"",IF($A3455="","Thiếu mã đơn; ","")&amp;IF(COUNTIF($A$2:$A3455,$A3455)&gt;1,"Trùng mã đơn; ","")&amp;IF(ISNA(MATCH($C3455,DATA_MASTER!$D$2:$D$5000,0)),"SĐT chưa đăng ký hội viên; ","")&amp;IF(AND($L3455="Đã chuyển khoản",$M3455=""),"Thiếu ngày nhận CK; ",""))</f>
        <v/>
      </c>
      <c r="T3455" s="24" t="n"/>
    </row>
    <row r="3456" ht="14.25" customHeight="1" s="40">
      <c r="A3456" s="24" t="n"/>
      <c r="B3456" s="29" t="n"/>
      <c r="C3456" s="28" t="n"/>
      <c r="D3456" s="22">
        <f t="array" ref="D3456">IF($C3456="","",IFERROR(INDEX(DATA_MASTER!$C$2:$C$5000,MATCH($C3456,DATA_MASTER!$D$2:$D$5000,0)),""))</f>
        <v/>
      </c>
      <c r="E3456" s="22">
        <f t="array" ref="E3456">IF($C3456="","",IFERROR(INDEX(DATA_MASTER!$I$2:$I$5000,MATCH($C3456,DATA_MASTER!$D$2:$D$5000,0)),""))</f>
        <v/>
      </c>
      <c r="F3456" s="22">
        <f t="array" ref="F3456">IF($C3456="","",IFERROR(INDEX(DATA_MASTER!$L$2:$L$5000,MATCH($C3456,DATA_MASTER!$D$2:$D$5000,0)),""))</f>
        <v/>
      </c>
      <c r="G3456" s="24" t="n"/>
      <c r="H3456" s="24" t="n"/>
      <c r="I3456" s="30" t="n"/>
      <c r="J3456" s="23">
        <f>IF(OR($H3456="",$I3456=""),"",$H3456*$I3456)</f>
        <v/>
      </c>
      <c r="K3456" s="24" t="n"/>
      <c r="L3456" s="24" t="n"/>
      <c r="M3456" s="29" t="n"/>
      <c r="N3456" s="28" t="n"/>
      <c r="O3456" s="24" t="n"/>
      <c r="P3456" s="24" t="n"/>
      <c r="Q3456" s="24" t="n"/>
      <c r="R3456" s="24" t="n"/>
      <c r="S3456" s="22">
        <f>IF(AND($A3456="",$C3456=""),"",IF($A3456="","Thiếu mã đơn; ","")&amp;IF(COUNTIF($A$2:$A3456,$A3456)&gt;1,"Trùng mã đơn; ","")&amp;IF(ISNA(MATCH($C3456,DATA_MASTER!$D$2:$D$5000,0)),"SĐT chưa đăng ký hội viên; ","")&amp;IF(AND($L3456="Đã chuyển khoản",$M3456=""),"Thiếu ngày nhận CK; ",""))</f>
        <v/>
      </c>
      <c r="T3456" s="24" t="n"/>
    </row>
    <row r="3457" ht="14.25" customHeight="1" s="40">
      <c r="A3457" s="24" t="n"/>
      <c r="B3457" s="29" t="n"/>
      <c r="C3457" s="28" t="n"/>
      <c r="D3457" s="22">
        <f t="array" ref="D3457">IF($C3457="","",IFERROR(INDEX(DATA_MASTER!$C$2:$C$5000,MATCH($C3457,DATA_MASTER!$D$2:$D$5000,0)),""))</f>
        <v/>
      </c>
      <c r="E3457" s="22">
        <f t="array" ref="E3457">IF($C3457="","",IFERROR(INDEX(DATA_MASTER!$I$2:$I$5000,MATCH($C3457,DATA_MASTER!$D$2:$D$5000,0)),""))</f>
        <v/>
      </c>
      <c r="F3457" s="22">
        <f t="array" ref="F3457">IF($C3457="","",IFERROR(INDEX(DATA_MASTER!$L$2:$L$5000,MATCH($C3457,DATA_MASTER!$D$2:$D$5000,0)),""))</f>
        <v/>
      </c>
      <c r="G3457" s="24" t="n"/>
      <c r="H3457" s="24" t="n"/>
      <c r="I3457" s="30" t="n"/>
      <c r="J3457" s="23">
        <f>IF(OR($H3457="",$I3457=""),"",$H3457*$I3457)</f>
        <v/>
      </c>
      <c r="K3457" s="24" t="n"/>
      <c r="L3457" s="24" t="n"/>
      <c r="M3457" s="29" t="n"/>
      <c r="N3457" s="28" t="n"/>
      <c r="O3457" s="24" t="n"/>
      <c r="P3457" s="24" t="n"/>
      <c r="Q3457" s="24" t="n"/>
      <c r="R3457" s="24" t="n"/>
      <c r="S3457" s="22">
        <f>IF(AND($A3457="",$C3457=""),"",IF($A3457="","Thiếu mã đơn; ","")&amp;IF(COUNTIF($A$2:$A3457,$A3457)&gt;1,"Trùng mã đơn; ","")&amp;IF(ISNA(MATCH($C3457,DATA_MASTER!$D$2:$D$5000,0)),"SĐT chưa đăng ký hội viên; ","")&amp;IF(AND($L3457="Đã chuyển khoản",$M3457=""),"Thiếu ngày nhận CK; ",""))</f>
        <v/>
      </c>
      <c r="T3457" s="24" t="n"/>
    </row>
    <row r="3458" ht="14.25" customHeight="1" s="40">
      <c r="A3458" s="24" t="n"/>
      <c r="B3458" s="29" t="n"/>
      <c r="C3458" s="28" t="n"/>
      <c r="D3458" s="22">
        <f t="array" ref="D3458">IF($C3458="","",IFERROR(INDEX(DATA_MASTER!$C$2:$C$5000,MATCH($C3458,DATA_MASTER!$D$2:$D$5000,0)),""))</f>
        <v/>
      </c>
      <c r="E3458" s="22">
        <f t="array" ref="E3458">IF($C3458="","",IFERROR(INDEX(DATA_MASTER!$I$2:$I$5000,MATCH($C3458,DATA_MASTER!$D$2:$D$5000,0)),""))</f>
        <v/>
      </c>
      <c r="F3458" s="22">
        <f t="array" ref="F3458">IF($C3458="","",IFERROR(INDEX(DATA_MASTER!$L$2:$L$5000,MATCH($C3458,DATA_MASTER!$D$2:$D$5000,0)),""))</f>
        <v/>
      </c>
      <c r="G3458" s="24" t="n"/>
      <c r="H3458" s="24" t="n"/>
      <c r="I3458" s="30" t="n"/>
      <c r="J3458" s="23">
        <f>IF(OR($H3458="",$I3458=""),"",$H3458*$I3458)</f>
        <v/>
      </c>
      <c r="K3458" s="24" t="n"/>
      <c r="L3458" s="24" t="n"/>
      <c r="M3458" s="29" t="n"/>
      <c r="N3458" s="28" t="n"/>
      <c r="O3458" s="24" t="n"/>
      <c r="P3458" s="24" t="n"/>
      <c r="Q3458" s="24" t="n"/>
      <c r="R3458" s="24" t="n"/>
      <c r="S3458" s="22">
        <f>IF(AND($A3458="",$C3458=""),"",IF($A3458="","Thiếu mã đơn; ","")&amp;IF(COUNTIF($A$2:$A3458,$A3458)&gt;1,"Trùng mã đơn; ","")&amp;IF(ISNA(MATCH($C3458,DATA_MASTER!$D$2:$D$5000,0)),"SĐT chưa đăng ký hội viên; ","")&amp;IF(AND($L3458="Đã chuyển khoản",$M3458=""),"Thiếu ngày nhận CK; ",""))</f>
        <v/>
      </c>
      <c r="T3458" s="24" t="n"/>
    </row>
    <row r="3459" ht="14.25" customHeight="1" s="40">
      <c r="A3459" s="24" t="n"/>
      <c r="B3459" s="29" t="n"/>
      <c r="C3459" s="28" t="n"/>
      <c r="D3459" s="22">
        <f t="array" ref="D3459">IF($C3459="","",IFERROR(INDEX(DATA_MASTER!$C$2:$C$5000,MATCH($C3459,DATA_MASTER!$D$2:$D$5000,0)),""))</f>
        <v/>
      </c>
      <c r="E3459" s="22">
        <f t="array" ref="E3459">IF($C3459="","",IFERROR(INDEX(DATA_MASTER!$I$2:$I$5000,MATCH($C3459,DATA_MASTER!$D$2:$D$5000,0)),""))</f>
        <v/>
      </c>
      <c r="F3459" s="22">
        <f t="array" ref="F3459">IF($C3459="","",IFERROR(INDEX(DATA_MASTER!$L$2:$L$5000,MATCH($C3459,DATA_MASTER!$D$2:$D$5000,0)),""))</f>
        <v/>
      </c>
      <c r="G3459" s="24" t="n"/>
      <c r="H3459" s="24" t="n"/>
      <c r="I3459" s="30" t="n"/>
      <c r="J3459" s="23">
        <f>IF(OR($H3459="",$I3459=""),"",$H3459*$I3459)</f>
        <v/>
      </c>
      <c r="K3459" s="24" t="n"/>
      <c r="L3459" s="24" t="n"/>
      <c r="M3459" s="29" t="n"/>
      <c r="N3459" s="28" t="n"/>
      <c r="O3459" s="24" t="n"/>
      <c r="P3459" s="24" t="n"/>
      <c r="Q3459" s="24" t="n"/>
      <c r="R3459" s="24" t="n"/>
      <c r="S3459" s="22">
        <f>IF(AND($A3459="",$C3459=""),"",IF($A3459="","Thiếu mã đơn; ","")&amp;IF(COUNTIF($A$2:$A3459,$A3459)&gt;1,"Trùng mã đơn; ","")&amp;IF(ISNA(MATCH($C3459,DATA_MASTER!$D$2:$D$5000,0)),"SĐT chưa đăng ký hội viên; ","")&amp;IF(AND($L3459="Đã chuyển khoản",$M3459=""),"Thiếu ngày nhận CK; ",""))</f>
        <v/>
      </c>
      <c r="T3459" s="24" t="n"/>
    </row>
    <row r="3460" ht="14.25" customHeight="1" s="40">
      <c r="A3460" s="24" t="n"/>
      <c r="B3460" s="29" t="n"/>
      <c r="C3460" s="28" t="n"/>
      <c r="D3460" s="22">
        <f t="array" ref="D3460">IF($C3460="","",IFERROR(INDEX(DATA_MASTER!$C$2:$C$5000,MATCH($C3460,DATA_MASTER!$D$2:$D$5000,0)),""))</f>
        <v/>
      </c>
      <c r="E3460" s="22">
        <f t="array" ref="E3460">IF($C3460="","",IFERROR(INDEX(DATA_MASTER!$I$2:$I$5000,MATCH($C3460,DATA_MASTER!$D$2:$D$5000,0)),""))</f>
        <v/>
      </c>
      <c r="F3460" s="22">
        <f t="array" ref="F3460">IF($C3460="","",IFERROR(INDEX(DATA_MASTER!$L$2:$L$5000,MATCH($C3460,DATA_MASTER!$D$2:$D$5000,0)),""))</f>
        <v/>
      </c>
      <c r="G3460" s="24" t="n"/>
      <c r="H3460" s="24" t="n"/>
      <c r="I3460" s="30" t="n"/>
      <c r="J3460" s="23">
        <f>IF(OR($H3460="",$I3460=""),"",$H3460*$I3460)</f>
        <v/>
      </c>
      <c r="K3460" s="24" t="n"/>
      <c r="L3460" s="24" t="n"/>
      <c r="M3460" s="29" t="n"/>
      <c r="N3460" s="28" t="n"/>
      <c r="O3460" s="24" t="n"/>
      <c r="P3460" s="24" t="n"/>
      <c r="Q3460" s="24" t="n"/>
      <c r="R3460" s="24" t="n"/>
      <c r="S3460" s="22">
        <f>IF(AND($A3460="",$C3460=""),"",IF($A3460="","Thiếu mã đơn; ","")&amp;IF(COUNTIF($A$2:$A3460,$A3460)&gt;1,"Trùng mã đơn; ","")&amp;IF(ISNA(MATCH($C3460,DATA_MASTER!$D$2:$D$5000,0)),"SĐT chưa đăng ký hội viên; ","")&amp;IF(AND($L3460="Đã chuyển khoản",$M3460=""),"Thiếu ngày nhận CK; ",""))</f>
        <v/>
      </c>
      <c r="T3460" s="24" t="n"/>
    </row>
    <row r="3461" ht="14.25" customHeight="1" s="40">
      <c r="A3461" s="24" t="n"/>
      <c r="B3461" s="29" t="n"/>
      <c r="C3461" s="28" t="n"/>
      <c r="D3461" s="22">
        <f t="array" ref="D3461">IF($C3461="","",IFERROR(INDEX(DATA_MASTER!$C$2:$C$5000,MATCH($C3461,DATA_MASTER!$D$2:$D$5000,0)),""))</f>
        <v/>
      </c>
      <c r="E3461" s="22">
        <f t="array" ref="E3461">IF($C3461="","",IFERROR(INDEX(DATA_MASTER!$I$2:$I$5000,MATCH($C3461,DATA_MASTER!$D$2:$D$5000,0)),""))</f>
        <v/>
      </c>
      <c r="F3461" s="22">
        <f t="array" ref="F3461">IF($C3461="","",IFERROR(INDEX(DATA_MASTER!$L$2:$L$5000,MATCH($C3461,DATA_MASTER!$D$2:$D$5000,0)),""))</f>
        <v/>
      </c>
      <c r="G3461" s="24" t="n"/>
      <c r="H3461" s="24" t="n"/>
      <c r="I3461" s="30" t="n"/>
      <c r="J3461" s="23">
        <f>IF(OR($H3461="",$I3461=""),"",$H3461*$I3461)</f>
        <v/>
      </c>
      <c r="K3461" s="24" t="n"/>
      <c r="L3461" s="24" t="n"/>
      <c r="M3461" s="29" t="n"/>
      <c r="N3461" s="28" t="n"/>
      <c r="O3461" s="24" t="n"/>
      <c r="P3461" s="24" t="n"/>
      <c r="Q3461" s="24" t="n"/>
      <c r="R3461" s="24" t="n"/>
      <c r="S3461" s="22">
        <f>IF(AND($A3461="",$C3461=""),"",IF($A3461="","Thiếu mã đơn; ","")&amp;IF(COUNTIF($A$2:$A3461,$A3461)&gt;1,"Trùng mã đơn; ","")&amp;IF(ISNA(MATCH($C3461,DATA_MASTER!$D$2:$D$5000,0)),"SĐT chưa đăng ký hội viên; ","")&amp;IF(AND($L3461="Đã chuyển khoản",$M3461=""),"Thiếu ngày nhận CK; ",""))</f>
        <v/>
      </c>
      <c r="T3461" s="24" t="n"/>
    </row>
    <row r="3462" ht="14.25" customHeight="1" s="40">
      <c r="A3462" s="24" t="n"/>
      <c r="B3462" s="29" t="n"/>
      <c r="C3462" s="28" t="n"/>
      <c r="D3462" s="22">
        <f t="array" ref="D3462">IF($C3462="","",IFERROR(INDEX(DATA_MASTER!$C$2:$C$5000,MATCH($C3462,DATA_MASTER!$D$2:$D$5000,0)),""))</f>
        <v/>
      </c>
      <c r="E3462" s="22">
        <f t="array" ref="E3462">IF($C3462="","",IFERROR(INDEX(DATA_MASTER!$I$2:$I$5000,MATCH($C3462,DATA_MASTER!$D$2:$D$5000,0)),""))</f>
        <v/>
      </c>
      <c r="F3462" s="22">
        <f t="array" ref="F3462">IF($C3462="","",IFERROR(INDEX(DATA_MASTER!$L$2:$L$5000,MATCH($C3462,DATA_MASTER!$D$2:$D$5000,0)),""))</f>
        <v/>
      </c>
      <c r="G3462" s="24" t="n"/>
      <c r="H3462" s="24" t="n"/>
      <c r="I3462" s="30" t="n"/>
      <c r="J3462" s="23">
        <f>IF(OR($H3462="",$I3462=""),"",$H3462*$I3462)</f>
        <v/>
      </c>
      <c r="K3462" s="24" t="n"/>
      <c r="L3462" s="24" t="n"/>
      <c r="M3462" s="29" t="n"/>
      <c r="N3462" s="28" t="n"/>
      <c r="O3462" s="24" t="n"/>
      <c r="P3462" s="24" t="n"/>
      <c r="Q3462" s="24" t="n"/>
      <c r="R3462" s="24" t="n"/>
      <c r="S3462" s="22">
        <f>IF(AND($A3462="",$C3462=""),"",IF($A3462="","Thiếu mã đơn; ","")&amp;IF(COUNTIF($A$2:$A3462,$A3462)&gt;1,"Trùng mã đơn; ","")&amp;IF(ISNA(MATCH($C3462,DATA_MASTER!$D$2:$D$5000,0)),"SĐT chưa đăng ký hội viên; ","")&amp;IF(AND($L3462="Đã chuyển khoản",$M3462=""),"Thiếu ngày nhận CK; ",""))</f>
        <v/>
      </c>
      <c r="T3462" s="24" t="n"/>
    </row>
    <row r="3463" ht="14.25" customHeight="1" s="40">
      <c r="A3463" s="24" t="n"/>
      <c r="B3463" s="29" t="n"/>
      <c r="C3463" s="28" t="n"/>
      <c r="D3463" s="22">
        <f t="array" ref="D3463">IF($C3463="","",IFERROR(INDEX(DATA_MASTER!$C$2:$C$5000,MATCH($C3463,DATA_MASTER!$D$2:$D$5000,0)),""))</f>
        <v/>
      </c>
      <c r="E3463" s="22">
        <f t="array" ref="E3463">IF($C3463="","",IFERROR(INDEX(DATA_MASTER!$I$2:$I$5000,MATCH($C3463,DATA_MASTER!$D$2:$D$5000,0)),""))</f>
        <v/>
      </c>
      <c r="F3463" s="22">
        <f t="array" ref="F3463">IF($C3463="","",IFERROR(INDEX(DATA_MASTER!$L$2:$L$5000,MATCH($C3463,DATA_MASTER!$D$2:$D$5000,0)),""))</f>
        <v/>
      </c>
      <c r="G3463" s="24" t="n"/>
      <c r="H3463" s="24" t="n"/>
      <c r="I3463" s="30" t="n"/>
      <c r="J3463" s="23">
        <f>IF(OR($H3463="",$I3463=""),"",$H3463*$I3463)</f>
        <v/>
      </c>
      <c r="K3463" s="24" t="n"/>
      <c r="L3463" s="24" t="n"/>
      <c r="M3463" s="29" t="n"/>
      <c r="N3463" s="28" t="n"/>
      <c r="O3463" s="24" t="n"/>
      <c r="P3463" s="24" t="n"/>
      <c r="Q3463" s="24" t="n"/>
      <c r="R3463" s="24" t="n"/>
      <c r="S3463" s="22">
        <f>IF(AND($A3463="",$C3463=""),"",IF($A3463="","Thiếu mã đơn; ","")&amp;IF(COUNTIF($A$2:$A3463,$A3463)&gt;1,"Trùng mã đơn; ","")&amp;IF(ISNA(MATCH($C3463,DATA_MASTER!$D$2:$D$5000,0)),"SĐT chưa đăng ký hội viên; ","")&amp;IF(AND($L3463="Đã chuyển khoản",$M3463=""),"Thiếu ngày nhận CK; ",""))</f>
        <v/>
      </c>
      <c r="T3463" s="24" t="n"/>
    </row>
    <row r="3464" ht="14.25" customHeight="1" s="40">
      <c r="A3464" s="24" t="n"/>
      <c r="B3464" s="29" t="n"/>
      <c r="C3464" s="28" t="n"/>
      <c r="D3464" s="22">
        <f t="array" ref="D3464">IF($C3464="","",IFERROR(INDEX(DATA_MASTER!$C$2:$C$5000,MATCH($C3464,DATA_MASTER!$D$2:$D$5000,0)),""))</f>
        <v/>
      </c>
      <c r="E3464" s="22">
        <f t="array" ref="E3464">IF($C3464="","",IFERROR(INDEX(DATA_MASTER!$I$2:$I$5000,MATCH($C3464,DATA_MASTER!$D$2:$D$5000,0)),""))</f>
        <v/>
      </c>
      <c r="F3464" s="22">
        <f t="array" ref="F3464">IF($C3464="","",IFERROR(INDEX(DATA_MASTER!$L$2:$L$5000,MATCH($C3464,DATA_MASTER!$D$2:$D$5000,0)),""))</f>
        <v/>
      </c>
      <c r="G3464" s="24" t="n"/>
      <c r="H3464" s="24" t="n"/>
      <c r="I3464" s="30" t="n"/>
      <c r="J3464" s="23">
        <f>IF(OR($H3464="",$I3464=""),"",$H3464*$I3464)</f>
        <v/>
      </c>
      <c r="K3464" s="24" t="n"/>
      <c r="L3464" s="24" t="n"/>
      <c r="M3464" s="29" t="n"/>
      <c r="N3464" s="28" t="n"/>
      <c r="O3464" s="24" t="n"/>
      <c r="P3464" s="24" t="n"/>
      <c r="Q3464" s="24" t="n"/>
      <c r="R3464" s="24" t="n"/>
      <c r="S3464" s="22">
        <f>IF(AND($A3464="",$C3464=""),"",IF($A3464="","Thiếu mã đơn; ","")&amp;IF(COUNTIF($A$2:$A3464,$A3464)&gt;1,"Trùng mã đơn; ","")&amp;IF(ISNA(MATCH($C3464,DATA_MASTER!$D$2:$D$5000,0)),"SĐT chưa đăng ký hội viên; ","")&amp;IF(AND($L3464="Đã chuyển khoản",$M3464=""),"Thiếu ngày nhận CK; ",""))</f>
        <v/>
      </c>
      <c r="T3464" s="24" t="n"/>
    </row>
    <row r="3465" ht="14.25" customHeight="1" s="40">
      <c r="A3465" s="24" t="n"/>
      <c r="B3465" s="29" t="n"/>
      <c r="C3465" s="28" t="n"/>
      <c r="D3465" s="22">
        <f t="array" ref="D3465">IF($C3465="","",IFERROR(INDEX(DATA_MASTER!$C$2:$C$5000,MATCH($C3465,DATA_MASTER!$D$2:$D$5000,0)),""))</f>
        <v/>
      </c>
      <c r="E3465" s="22">
        <f t="array" ref="E3465">IF($C3465="","",IFERROR(INDEX(DATA_MASTER!$I$2:$I$5000,MATCH($C3465,DATA_MASTER!$D$2:$D$5000,0)),""))</f>
        <v/>
      </c>
      <c r="F3465" s="22">
        <f t="array" ref="F3465">IF($C3465="","",IFERROR(INDEX(DATA_MASTER!$L$2:$L$5000,MATCH($C3465,DATA_MASTER!$D$2:$D$5000,0)),""))</f>
        <v/>
      </c>
      <c r="G3465" s="24" t="n"/>
      <c r="H3465" s="24" t="n"/>
      <c r="I3465" s="30" t="n"/>
      <c r="J3465" s="23">
        <f>IF(OR($H3465="",$I3465=""),"",$H3465*$I3465)</f>
        <v/>
      </c>
      <c r="K3465" s="24" t="n"/>
      <c r="L3465" s="24" t="n"/>
      <c r="M3465" s="29" t="n"/>
      <c r="N3465" s="28" t="n"/>
      <c r="O3465" s="24" t="n"/>
      <c r="P3465" s="24" t="n"/>
      <c r="Q3465" s="24" t="n"/>
      <c r="R3465" s="24" t="n"/>
      <c r="S3465" s="22">
        <f>IF(AND($A3465="",$C3465=""),"",IF($A3465="","Thiếu mã đơn; ","")&amp;IF(COUNTIF($A$2:$A3465,$A3465)&gt;1,"Trùng mã đơn; ","")&amp;IF(ISNA(MATCH($C3465,DATA_MASTER!$D$2:$D$5000,0)),"SĐT chưa đăng ký hội viên; ","")&amp;IF(AND($L3465="Đã chuyển khoản",$M3465=""),"Thiếu ngày nhận CK; ",""))</f>
        <v/>
      </c>
      <c r="T3465" s="24" t="n"/>
    </row>
    <row r="3466" ht="14.25" customHeight="1" s="40">
      <c r="A3466" s="24" t="n"/>
      <c r="B3466" s="29" t="n"/>
      <c r="C3466" s="28" t="n"/>
      <c r="D3466" s="22">
        <f t="array" ref="D3466">IF($C3466="","",IFERROR(INDEX(DATA_MASTER!$C$2:$C$5000,MATCH($C3466,DATA_MASTER!$D$2:$D$5000,0)),""))</f>
        <v/>
      </c>
      <c r="E3466" s="22">
        <f t="array" ref="E3466">IF($C3466="","",IFERROR(INDEX(DATA_MASTER!$I$2:$I$5000,MATCH($C3466,DATA_MASTER!$D$2:$D$5000,0)),""))</f>
        <v/>
      </c>
      <c r="F3466" s="22">
        <f t="array" ref="F3466">IF($C3466="","",IFERROR(INDEX(DATA_MASTER!$L$2:$L$5000,MATCH($C3466,DATA_MASTER!$D$2:$D$5000,0)),""))</f>
        <v/>
      </c>
      <c r="G3466" s="24" t="n"/>
      <c r="H3466" s="24" t="n"/>
      <c r="I3466" s="30" t="n"/>
      <c r="J3466" s="23">
        <f>IF(OR($H3466="",$I3466=""),"",$H3466*$I3466)</f>
        <v/>
      </c>
      <c r="K3466" s="24" t="n"/>
      <c r="L3466" s="24" t="n"/>
      <c r="M3466" s="29" t="n"/>
      <c r="N3466" s="28" t="n"/>
      <c r="O3466" s="24" t="n"/>
      <c r="P3466" s="24" t="n"/>
      <c r="Q3466" s="24" t="n"/>
      <c r="R3466" s="24" t="n"/>
      <c r="S3466" s="22">
        <f>IF(AND($A3466="",$C3466=""),"",IF($A3466="","Thiếu mã đơn; ","")&amp;IF(COUNTIF($A$2:$A3466,$A3466)&gt;1,"Trùng mã đơn; ","")&amp;IF(ISNA(MATCH($C3466,DATA_MASTER!$D$2:$D$5000,0)),"SĐT chưa đăng ký hội viên; ","")&amp;IF(AND($L3466="Đã chuyển khoản",$M3466=""),"Thiếu ngày nhận CK; ",""))</f>
        <v/>
      </c>
      <c r="T3466" s="24" t="n"/>
    </row>
    <row r="3467" ht="14.25" customHeight="1" s="40">
      <c r="A3467" s="24" t="n"/>
      <c r="B3467" s="29" t="n"/>
      <c r="C3467" s="28" t="n"/>
      <c r="D3467" s="22">
        <f t="array" ref="D3467">IF($C3467="","",IFERROR(INDEX(DATA_MASTER!$C$2:$C$5000,MATCH($C3467,DATA_MASTER!$D$2:$D$5000,0)),""))</f>
        <v/>
      </c>
      <c r="E3467" s="22">
        <f t="array" ref="E3467">IF($C3467="","",IFERROR(INDEX(DATA_MASTER!$I$2:$I$5000,MATCH($C3467,DATA_MASTER!$D$2:$D$5000,0)),""))</f>
        <v/>
      </c>
      <c r="F3467" s="22">
        <f t="array" ref="F3467">IF($C3467="","",IFERROR(INDEX(DATA_MASTER!$L$2:$L$5000,MATCH($C3467,DATA_MASTER!$D$2:$D$5000,0)),""))</f>
        <v/>
      </c>
      <c r="G3467" s="24" t="n"/>
      <c r="H3467" s="24" t="n"/>
      <c r="I3467" s="30" t="n"/>
      <c r="J3467" s="23">
        <f>IF(OR($H3467="",$I3467=""),"",$H3467*$I3467)</f>
        <v/>
      </c>
      <c r="K3467" s="24" t="n"/>
      <c r="L3467" s="24" t="n"/>
      <c r="M3467" s="29" t="n"/>
      <c r="N3467" s="28" t="n"/>
      <c r="O3467" s="24" t="n"/>
      <c r="P3467" s="24" t="n"/>
      <c r="Q3467" s="24" t="n"/>
      <c r="R3467" s="24" t="n"/>
      <c r="S3467" s="22">
        <f>IF(AND($A3467="",$C3467=""),"",IF($A3467="","Thiếu mã đơn; ","")&amp;IF(COUNTIF($A$2:$A3467,$A3467)&gt;1,"Trùng mã đơn; ","")&amp;IF(ISNA(MATCH($C3467,DATA_MASTER!$D$2:$D$5000,0)),"SĐT chưa đăng ký hội viên; ","")&amp;IF(AND($L3467="Đã chuyển khoản",$M3467=""),"Thiếu ngày nhận CK; ",""))</f>
        <v/>
      </c>
      <c r="T3467" s="24" t="n"/>
    </row>
    <row r="3468" ht="14.25" customHeight="1" s="40">
      <c r="A3468" s="24" t="n"/>
      <c r="B3468" s="29" t="n"/>
      <c r="C3468" s="28" t="n"/>
      <c r="D3468" s="22">
        <f t="array" ref="D3468">IF($C3468="","",IFERROR(INDEX(DATA_MASTER!$C$2:$C$5000,MATCH($C3468,DATA_MASTER!$D$2:$D$5000,0)),""))</f>
        <v/>
      </c>
      <c r="E3468" s="22">
        <f t="array" ref="E3468">IF($C3468="","",IFERROR(INDEX(DATA_MASTER!$I$2:$I$5000,MATCH($C3468,DATA_MASTER!$D$2:$D$5000,0)),""))</f>
        <v/>
      </c>
      <c r="F3468" s="22">
        <f t="array" ref="F3468">IF($C3468="","",IFERROR(INDEX(DATA_MASTER!$L$2:$L$5000,MATCH($C3468,DATA_MASTER!$D$2:$D$5000,0)),""))</f>
        <v/>
      </c>
      <c r="G3468" s="24" t="n"/>
      <c r="H3468" s="24" t="n"/>
      <c r="I3468" s="30" t="n"/>
      <c r="J3468" s="23">
        <f>IF(OR($H3468="",$I3468=""),"",$H3468*$I3468)</f>
        <v/>
      </c>
      <c r="K3468" s="24" t="n"/>
      <c r="L3468" s="24" t="n"/>
      <c r="M3468" s="29" t="n"/>
      <c r="N3468" s="28" t="n"/>
      <c r="O3468" s="24" t="n"/>
      <c r="P3468" s="24" t="n"/>
      <c r="Q3468" s="24" t="n"/>
      <c r="R3468" s="24" t="n"/>
      <c r="S3468" s="22">
        <f>IF(AND($A3468="",$C3468=""),"",IF($A3468="","Thiếu mã đơn; ","")&amp;IF(COUNTIF($A$2:$A3468,$A3468)&gt;1,"Trùng mã đơn; ","")&amp;IF(ISNA(MATCH($C3468,DATA_MASTER!$D$2:$D$5000,0)),"SĐT chưa đăng ký hội viên; ","")&amp;IF(AND($L3468="Đã chuyển khoản",$M3468=""),"Thiếu ngày nhận CK; ",""))</f>
        <v/>
      </c>
      <c r="T3468" s="24" t="n"/>
    </row>
    <row r="3469" ht="14.25" customHeight="1" s="40">
      <c r="A3469" s="24" t="n"/>
      <c r="B3469" s="29" t="n"/>
      <c r="C3469" s="28" t="n"/>
      <c r="D3469" s="22">
        <f t="array" ref="D3469">IF($C3469="","",IFERROR(INDEX(DATA_MASTER!$C$2:$C$5000,MATCH($C3469,DATA_MASTER!$D$2:$D$5000,0)),""))</f>
        <v/>
      </c>
      <c r="E3469" s="22">
        <f t="array" ref="E3469">IF($C3469="","",IFERROR(INDEX(DATA_MASTER!$I$2:$I$5000,MATCH($C3469,DATA_MASTER!$D$2:$D$5000,0)),""))</f>
        <v/>
      </c>
      <c r="F3469" s="22">
        <f t="array" ref="F3469">IF($C3469="","",IFERROR(INDEX(DATA_MASTER!$L$2:$L$5000,MATCH($C3469,DATA_MASTER!$D$2:$D$5000,0)),""))</f>
        <v/>
      </c>
      <c r="G3469" s="24" t="n"/>
      <c r="H3469" s="24" t="n"/>
      <c r="I3469" s="30" t="n"/>
      <c r="J3469" s="23">
        <f>IF(OR($H3469="",$I3469=""),"",$H3469*$I3469)</f>
        <v/>
      </c>
      <c r="K3469" s="24" t="n"/>
      <c r="L3469" s="24" t="n"/>
      <c r="M3469" s="29" t="n"/>
      <c r="N3469" s="28" t="n"/>
      <c r="O3469" s="24" t="n"/>
      <c r="P3469" s="24" t="n"/>
      <c r="Q3469" s="24" t="n"/>
      <c r="R3469" s="24" t="n"/>
      <c r="S3469" s="22">
        <f>IF(AND($A3469="",$C3469=""),"",IF($A3469="","Thiếu mã đơn; ","")&amp;IF(COUNTIF($A$2:$A3469,$A3469)&gt;1,"Trùng mã đơn; ","")&amp;IF(ISNA(MATCH($C3469,DATA_MASTER!$D$2:$D$5000,0)),"SĐT chưa đăng ký hội viên; ","")&amp;IF(AND($L3469="Đã chuyển khoản",$M3469=""),"Thiếu ngày nhận CK; ",""))</f>
        <v/>
      </c>
      <c r="T3469" s="24" t="n"/>
    </row>
    <row r="3470" ht="14.25" customHeight="1" s="40">
      <c r="A3470" s="24" t="n"/>
      <c r="B3470" s="29" t="n"/>
      <c r="C3470" s="28" t="n"/>
      <c r="D3470" s="22">
        <f t="array" ref="D3470">IF($C3470="","",IFERROR(INDEX(DATA_MASTER!$C$2:$C$5000,MATCH($C3470,DATA_MASTER!$D$2:$D$5000,0)),""))</f>
        <v/>
      </c>
      <c r="E3470" s="22">
        <f t="array" ref="E3470">IF($C3470="","",IFERROR(INDEX(DATA_MASTER!$I$2:$I$5000,MATCH($C3470,DATA_MASTER!$D$2:$D$5000,0)),""))</f>
        <v/>
      </c>
      <c r="F3470" s="22">
        <f t="array" ref="F3470">IF($C3470="","",IFERROR(INDEX(DATA_MASTER!$L$2:$L$5000,MATCH($C3470,DATA_MASTER!$D$2:$D$5000,0)),""))</f>
        <v/>
      </c>
      <c r="G3470" s="24" t="n"/>
      <c r="H3470" s="24" t="n"/>
      <c r="I3470" s="30" t="n"/>
      <c r="J3470" s="23">
        <f>IF(OR($H3470="",$I3470=""),"",$H3470*$I3470)</f>
        <v/>
      </c>
      <c r="K3470" s="24" t="n"/>
      <c r="L3470" s="24" t="n"/>
      <c r="M3470" s="29" t="n"/>
      <c r="N3470" s="28" t="n"/>
      <c r="O3470" s="24" t="n"/>
      <c r="P3470" s="24" t="n"/>
      <c r="Q3470" s="24" t="n"/>
      <c r="R3470" s="24" t="n"/>
      <c r="S3470" s="22">
        <f>IF(AND($A3470="",$C3470=""),"",IF($A3470="","Thiếu mã đơn; ","")&amp;IF(COUNTIF($A$2:$A3470,$A3470)&gt;1,"Trùng mã đơn; ","")&amp;IF(ISNA(MATCH($C3470,DATA_MASTER!$D$2:$D$5000,0)),"SĐT chưa đăng ký hội viên; ","")&amp;IF(AND($L3470="Đã chuyển khoản",$M3470=""),"Thiếu ngày nhận CK; ",""))</f>
        <v/>
      </c>
      <c r="T3470" s="24" t="n"/>
    </row>
    <row r="3471" ht="14.25" customHeight="1" s="40">
      <c r="A3471" s="24" t="n"/>
      <c r="B3471" s="29" t="n"/>
      <c r="C3471" s="28" t="n"/>
      <c r="D3471" s="22">
        <f t="array" ref="D3471">IF($C3471="","",IFERROR(INDEX(DATA_MASTER!$C$2:$C$5000,MATCH($C3471,DATA_MASTER!$D$2:$D$5000,0)),""))</f>
        <v/>
      </c>
      <c r="E3471" s="22">
        <f t="array" ref="E3471">IF($C3471="","",IFERROR(INDEX(DATA_MASTER!$I$2:$I$5000,MATCH($C3471,DATA_MASTER!$D$2:$D$5000,0)),""))</f>
        <v/>
      </c>
      <c r="F3471" s="22">
        <f t="array" ref="F3471">IF($C3471="","",IFERROR(INDEX(DATA_MASTER!$L$2:$L$5000,MATCH($C3471,DATA_MASTER!$D$2:$D$5000,0)),""))</f>
        <v/>
      </c>
      <c r="G3471" s="24" t="n"/>
      <c r="H3471" s="24" t="n"/>
      <c r="I3471" s="30" t="n"/>
      <c r="J3471" s="23">
        <f>IF(OR($H3471="",$I3471=""),"",$H3471*$I3471)</f>
        <v/>
      </c>
      <c r="K3471" s="24" t="n"/>
      <c r="L3471" s="24" t="n"/>
      <c r="M3471" s="29" t="n"/>
      <c r="N3471" s="28" t="n"/>
      <c r="O3471" s="24" t="n"/>
      <c r="P3471" s="24" t="n"/>
      <c r="Q3471" s="24" t="n"/>
      <c r="R3471" s="24" t="n"/>
      <c r="S3471" s="22">
        <f>IF(AND($A3471="",$C3471=""),"",IF($A3471="","Thiếu mã đơn; ","")&amp;IF(COUNTIF($A$2:$A3471,$A3471)&gt;1,"Trùng mã đơn; ","")&amp;IF(ISNA(MATCH($C3471,DATA_MASTER!$D$2:$D$5000,0)),"SĐT chưa đăng ký hội viên; ","")&amp;IF(AND($L3471="Đã chuyển khoản",$M3471=""),"Thiếu ngày nhận CK; ",""))</f>
        <v/>
      </c>
      <c r="T3471" s="24" t="n"/>
    </row>
    <row r="3472" ht="14.25" customHeight="1" s="40">
      <c r="A3472" s="24" t="n"/>
      <c r="B3472" s="29" t="n"/>
      <c r="C3472" s="28" t="n"/>
      <c r="D3472" s="22">
        <f t="array" ref="D3472">IF($C3472="","",IFERROR(INDEX(DATA_MASTER!$C$2:$C$5000,MATCH($C3472,DATA_MASTER!$D$2:$D$5000,0)),""))</f>
        <v/>
      </c>
      <c r="E3472" s="22">
        <f t="array" ref="E3472">IF($C3472="","",IFERROR(INDEX(DATA_MASTER!$I$2:$I$5000,MATCH($C3472,DATA_MASTER!$D$2:$D$5000,0)),""))</f>
        <v/>
      </c>
      <c r="F3472" s="22">
        <f t="array" ref="F3472">IF($C3472="","",IFERROR(INDEX(DATA_MASTER!$L$2:$L$5000,MATCH($C3472,DATA_MASTER!$D$2:$D$5000,0)),""))</f>
        <v/>
      </c>
      <c r="G3472" s="24" t="n"/>
      <c r="H3472" s="24" t="n"/>
      <c r="I3472" s="30" t="n"/>
      <c r="J3472" s="23">
        <f>IF(OR($H3472="",$I3472=""),"",$H3472*$I3472)</f>
        <v/>
      </c>
      <c r="K3472" s="24" t="n"/>
      <c r="L3472" s="24" t="n"/>
      <c r="M3472" s="29" t="n"/>
      <c r="N3472" s="28" t="n"/>
      <c r="O3472" s="24" t="n"/>
      <c r="P3472" s="24" t="n"/>
      <c r="Q3472" s="24" t="n"/>
      <c r="R3472" s="24" t="n"/>
      <c r="S3472" s="22">
        <f>IF(AND($A3472="",$C3472=""),"",IF($A3472="","Thiếu mã đơn; ","")&amp;IF(COUNTIF($A$2:$A3472,$A3472)&gt;1,"Trùng mã đơn; ","")&amp;IF(ISNA(MATCH($C3472,DATA_MASTER!$D$2:$D$5000,0)),"SĐT chưa đăng ký hội viên; ","")&amp;IF(AND($L3472="Đã chuyển khoản",$M3472=""),"Thiếu ngày nhận CK; ",""))</f>
        <v/>
      </c>
      <c r="T3472" s="24" t="n"/>
    </row>
    <row r="3473" ht="14.25" customHeight="1" s="40">
      <c r="A3473" s="24" t="n"/>
      <c r="B3473" s="29" t="n"/>
      <c r="C3473" s="28" t="n"/>
      <c r="D3473" s="22">
        <f t="array" ref="D3473">IF($C3473="","",IFERROR(INDEX(DATA_MASTER!$C$2:$C$5000,MATCH($C3473,DATA_MASTER!$D$2:$D$5000,0)),""))</f>
        <v/>
      </c>
      <c r="E3473" s="22">
        <f t="array" ref="E3473">IF($C3473="","",IFERROR(INDEX(DATA_MASTER!$I$2:$I$5000,MATCH($C3473,DATA_MASTER!$D$2:$D$5000,0)),""))</f>
        <v/>
      </c>
      <c r="F3473" s="22">
        <f t="array" ref="F3473">IF($C3473="","",IFERROR(INDEX(DATA_MASTER!$L$2:$L$5000,MATCH($C3473,DATA_MASTER!$D$2:$D$5000,0)),""))</f>
        <v/>
      </c>
      <c r="G3473" s="24" t="n"/>
      <c r="H3473" s="24" t="n"/>
      <c r="I3473" s="30" t="n"/>
      <c r="J3473" s="23">
        <f>IF(OR($H3473="",$I3473=""),"",$H3473*$I3473)</f>
        <v/>
      </c>
      <c r="K3473" s="24" t="n"/>
      <c r="L3473" s="24" t="n"/>
      <c r="M3473" s="29" t="n"/>
      <c r="N3473" s="28" t="n"/>
      <c r="O3473" s="24" t="n"/>
      <c r="P3473" s="24" t="n"/>
      <c r="Q3473" s="24" t="n"/>
      <c r="R3473" s="24" t="n"/>
      <c r="S3473" s="22">
        <f>IF(AND($A3473="",$C3473=""),"",IF($A3473="","Thiếu mã đơn; ","")&amp;IF(COUNTIF($A$2:$A3473,$A3473)&gt;1,"Trùng mã đơn; ","")&amp;IF(ISNA(MATCH($C3473,DATA_MASTER!$D$2:$D$5000,0)),"SĐT chưa đăng ký hội viên; ","")&amp;IF(AND($L3473="Đã chuyển khoản",$M3473=""),"Thiếu ngày nhận CK; ",""))</f>
        <v/>
      </c>
      <c r="T3473" s="24" t="n"/>
    </row>
    <row r="3474" ht="14.25" customHeight="1" s="40">
      <c r="A3474" s="24" t="n"/>
      <c r="B3474" s="29" t="n"/>
      <c r="C3474" s="28" t="n"/>
      <c r="D3474" s="22">
        <f t="array" ref="D3474">IF($C3474="","",IFERROR(INDEX(DATA_MASTER!$C$2:$C$5000,MATCH($C3474,DATA_MASTER!$D$2:$D$5000,0)),""))</f>
        <v/>
      </c>
      <c r="E3474" s="22">
        <f t="array" ref="E3474">IF($C3474="","",IFERROR(INDEX(DATA_MASTER!$I$2:$I$5000,MATCH($C3474,DATA_MASTER!$D$2:$D$5000,0)),""))</f>
        <v/>
      </c>
      <c r="F3474" s="22">
        <f t="array" ref="F3474">IF($C3474="","",IFERROR(INDEX(DATA_MASTER!$L$2:$L$5000,MATCH($C3474,DATA_MASTER!$D$2:$D$5000,0)),""))</f>
        <v/>
      </c>
      <c r="G3474" s="24" t="n"/>
      <c r="H3474" s="24" t="n"/>
      <c r="I3474" s="30" t="n"/>
      <c r="J3474" s="23">
        <f>IF(OR($H3474="",$I3474=""),"",$H3474*$I3474)</f>
        <v/>
      </c>
      <c r="K3474" s="24" t="n"/>
      <c r="L3474" s="24" t="n"/>
      <c r="M3474" s="29" t="n"/>
      <c r="N3474" s="28" t="n"/>
      <c r="O3474" s="24" t="n"/>
      <c r="P3474" s="24" t="n"/>
      <c r="Q3474" s="24" t="n"/>
      <c r="R3474" s="24" t="n"/>
      <c r="S3474" s="22">
        <f>IF(AND($A3474="",$C3474=""),"",IF($A3474="","Thiếu mã đơn; ","")&amp;IF(COUNTIF($A$2:$A3474,$A3474)&gt;1,"Trùng mã đơn; ","")&amp;IF(ISNA(MATCH($C3474,DATA_MASTER!$D$2:$D$5000,0)),"SĐT chưa đăng ký hội viên; ","")&amp;IF(AND($L3474="Đã chuyển khoản",$M3474=""),"Thiếu ngày nhận CK; ",""))</f>
        <v/>
      </c>
      <c r="T3474" s="24" t="n"/>
    </row>
    <row r="3475" ht="14.25" customHeight="1" s="40">
      <c r="A3475" s="24" t="n"/>
      <c r="B3475" s="29" t="n"/>
      <c r="C3475" s="28" t="n"/>
      <c r="D3475" s="22">
        <f t="array" ref="D3475">IF($C3475="","",IFERROR(INDEX(DATA_MASTER!$C$2:$C$5000,MATCH($C3475,DATA_MASTER!$D$2:$D$5000,0)),""))</f>
        <v/>
      </c>
      <c r="E3475" s="22">
        <f t="array" ref="E3475">IF($C3475="","",IFERROR(INDEX(DATA_MASTER!$I$2:$I$5000,MATCH($C3475,DATA_MASTER!$D$2:$D$5000,0)),""))</f>
        <v/>
      </c>
      <c r="F3475" s="22">
        <f t="array" ref="F3475">IF($C3475="","",IFERROR(INDEX(DATA_MASTER!$L$2:$L$5000,MATCH($C3475,DATA_MASTER!$D$2:$D$5000,0)),""))</f>
        <v/>
      </c>
      <c r="G3475" s="24" t="n"/>
      <c r="H3475" s="24" t="n"/>
      <c r="I3475" s="30" t="n"/>
      <c r="J3475" s="23">
        <f>IF(OR($H3475="",$I3475=""),"",$H3475*$I3475)</f>
        <v/>
      </c>
      <c r="K3475" s="24" t="n"/>
      <c r="L3475" s="24" t="n"/>
      <c r="M3475" s="29" t="n"/>
      <c r="N3475" s="28" t="n"/>
      <c r="O3475" s="24" t="n"/>
      <c r="P3475" s="24" t="n"/>
      <c r="Q3475" s="24" t="n"/>
      <c r="R3475" s="24" t="n"/>
      <c r="S3475" s="22">
        <f>IF(AND($A3475="",$C3475=""),"",IF($A3475="","Thiếu mã đơn; ","")&amp;IF(COUNTIF($A$2:$A3475,$A3475)&gt;1,"Trùng mã đơn; ","")&amp;IF(ISNA(MATCH($C3475,DATA_MASTER!$D$2:$D$5000,0)),"SĐT chưa đăng ký hội viên; ","")&amp;IF(AND($L3475="Đã chuyển khoản",$M3475=""),"Thiếu ngày nhận CK; ",""))</f>
        <v/>
      </c>
      <c r="T3475" s="24" t="n"/>
    </row>
    <row r="3476" ht="14.25" customHeight="1" s="40">
      <c r="A3476" s="24" t="n"/>
      <c r="B3476" s="29" t="n"/>
      <c r="C3476" s="28" t="n"/>
      <c r="D3476" s="22">
        <f t="array" ref="D3476">IF($C3476="","",IFERROR(INDEX(DATA_MASTER!$C$2:$C$5000,MATCH($C3476,DATA_MASTER!$D$2:$D$5000,0)),""))</f>
        <v/>
      </c>
      <c r="E3476" s="22">
        <f t="array" ref="E3476">IF($C3476="","",IFERROR(INDEX(DATA_MASTER!$I$2:$I$5000,MATCH($C3476,DATA_MASTER!$D$2:$D$5000,0)),""))</f>
        <v/>
      </c>
      <c r="F3476" s="22">
        <f t="array" ref="F3476">IF($C3476="","",IFERROR(INDEX(DATA_MASTER!$L$2:$L$5000,MATCH($C3476,DATA_MASTER!$D$2:$D$5000,0)),""))</f>
        <v/>
      </c>
      <c r="G3476" s="24" t="n"/>
      <c r="H3476" s="24" t="n"/>
      <c r="I3476" s="30" t="n"/>
      <c r="J3476" s="23">
        <f>IF(OR($H3476="",$I3476=""),"",$H3476*$I3476)</f>
        <v/>
      </c>
      <c r="K3476" s="24" t="n"/>
      <c r="L3476" s="24" t="n"/>
      <c r="M3476" s="29" t="n"/>
      <c r="N3476" s="28" t="n"/>
      <c r="O3476" s="24" t="n"/>
      <c r="P3476" s="24" t="n"/>
      <c r="Q3476" s="24" t="n"/>
      <c r="R3476" s="24" t="n"/>
      <c r="S3476" s="22">
        <f>IF(AND($A3476="",$C3476=""),"",IF($A3476="","Thiếu mã đơn; ","")&amp;IF(COUNTIF($A$2:$A3476,$A3476)&gt;1,"Trùng mã đơn; ","")&amp;IF(ISNA(MATCH($C3476,DATA_MASTER!$D$2:$D$5000,0)),"SĐT chưa đăng ký hội viên; ","")&amp;IF(AND($L3476="Đã chuyển khoản",$M3476=""),"Thiếu ngày nhận CK; ",""))</f>
        <v/>
      </c>
      <c r="T3476" s="24" t="n"/>
    </row>
    <row r="3477" ht="14.25" customHeight="1" s="40">
      <c r="A3477" s="24" t="n"/>
      <c r="B3477" s="29" t="n"/>
      <c r="C3477" s="28" t="n"/>
      <c r="D3477" s="22">
        <f t="array" ref="D3477">IF($C3477="","",IFERROR(INDEX(DATA_MASTER!$C$2:$C$5000,MATCH($C3477,DATA_MASTER!$D$2:$D$5000,0)),""))</f>
        <v/>
      </c>
      <c r="E3477" s="22">
        <f t="array" ref="E3477">IF($C3477="","",IFERROR(INDEX(DATA_MASTER!$I$2:$I$5000,MATCH($C3477,DATA_MASTER!$D$2:$D$5000,0)),""))</f>
        <v/>
      </c>
      <c r="F3477" s="22">
        <f t="array" ref="F3477">IF($C3477="","",IFERROR(INDEX(DATA_MASTER!$L$2:$L$5000,MATCH($C3477,DATA_MASTER!$D$2:$D$5000,0)),""))</f>
        <v/>
      </c>
      <c r="G3477" s="24" t="n"/>
      <c r="H3477" s="24" t="n"/>
      <c r="I3477" s="30" t="n"/>
      <c r="J3477" s="23">
        <f>IF(OR($H3477="",$I3477=""),"",$H3477*$I3477)</f>
        <v/>
      </c>
      <c r="K3477" s="24" t="n"/>
      <c r="L3477" s="24" t="n"/>
      <c r="M3477" s="29" t="n"/>
      <c r="N3477" s="28" t="n"/>
      <c r="O3477" s="24" t="n"/>
      <c r="P3477" s="24" t="n"/>
      <c r="Q3477" s="24" t="n"/>
      <c r="R3477" s="24" t="n"/>
      <c r="S3477" s="22">
        <f>IF(AND($A3477="",$C3477=""),"",IF($A3477="","Thiếu mã đơn; ","")&amp;IF(COUNTIF($A$2:$A3477,$A3477)&gt;1,"Trùng mã đơn; ","")&amp;IF(ISNA(MATCH($C3477,DATA_MASTER!$D$2:$D$5000,0)),"SĐT chưa đăng ký hội viên; ","")&amp;IF(AND($L3477="Đã chuyển khoản",$M3477=""),"Thiếu ngày nhận CK; ",""))</f>
        <v/>
      </c>
      <c r="T3477" s="24" t="n"/>
    </row>
    <row r="3478" ht="14.25" customHeight="1" s="40">
      <c r="A3478" s="24" t="n"/>
      <c r="B3478" s="29" t="n"/>
      <c r="C3478" s="28" t="n"/>
      <c r="D3478" s="22">
        <f t="array" ref="D3478">IF($C3478="","",IFERROR(INDEX(DATA_MASTER!$C$2:$C$5000,MATCH($C3478,DATA_MASTER!$D$2:$D$5000,0)),""))</f>
        <v/>
      </c>
      <c r="E3478" s="22">
        <f t="array" ref="E3478">IF($C3478="","",IFERROR(INDEX(DATA_MASTER!$I$2:$I$5000,MATCH($C3478,DATA_MASTER!$D$2:$D$5000,0)),""))</f>
        <v/>
      </c>
      <c r="F3478" s="22">
        <f t="array" ref="F3478">IF($C3478="","",IFERROR(INDEX(DATA_MASTER!$L$2:$L$5000,MATCH($C3478,DATA_MASTER!$D$2:$D$5000,0)),""))</f>
        <v/>
      </c>
      <c r="G3478" s="24" t="n"/>
      <c r="H3478" s="24" t="n"/>
      <c r="I3478" s="30" t="n"/>
      <c r="J3478" s="23">
        <f>IF(OR($H3478="",$I3478=""),"",$H3478*$I3478)</f>
        <v/>
      </c>
      <c r="K3478" s="24" t="n"/>
      <c r="L3478" s="24" t="n"/>
      <c r="M3478" s="29" t="n"/>
      <c r="N3478" s="28" t="n"/>
      <c r="O3478" s="24" t="n"/>
      <c r="P3478" s="24" t="n"/>
      <c r="Q3478" s="24" t="n"/>
      <c r="R3478" s="24" t="n"/>
      <c r="S3478" s="22">
        <f>IF(AND($A3478="",$C3478=""),"",IF($A3478="","Thiếu mã đơn; ","")&amp;IF(COUNTIF($A$2:$A3478,$A3478)&gt;1,"Trùng mã đơn; ","")&amp;IF(ISNA(MATCH($C3478,DATA_MASTER!$D$2:$D$5000,0)),"SĐT chưa đăng ký hội viên; ","")&amp;IF(AND($L3478="Đã chuyển khoản",$M3478=""),"Thiếu ngày nhận CK; ",""))</f>
        <v/>
      </c>
      <c r="T3478" s="24" t="n"/>
    </row>
    <row r="3479" ht="14.25" customHeight="1" s="40">
      <c r="A3479" s="24" t="n"/>
      <c r="B3479" s="29" t="n"/>
      <c r="C3479" s="28" t="n"/>
      <c r="D3479" s="22">
        <f t="array" ref="D3479">IF($C3479="","",IFERROR(INDEX(DATA_MASTER!$C$2:$C$5000,MATCH($C3479,DATA_MASTER!$D$2:$D$5000,0)),""))</f>
        <v/>
      </c>
      <c r="E3479" s="22">
        <f t="array" ref="E3479">IF($C3479="","",IFERROR(INDEX(DATA_MASTER!$I$2:$I$5000,MATCH($C3479,DATA_MASTER!$D$2:$D$5000,0)),""))</f>
        <v/>
      </c>
      <c r="F3479" s="22">
        <f t="array" ref="F3479">IF($C3479="","",IFERROR(INDEX(DATA_MASTER!$L$2:$L$5000,MATCH($C3479,DATA_MASTER!$D$2:$D$5000,0)),""))</f>
        <v/>
      </c>
      <c r="G3479" s="24" t="n"/>
      <c r="H3479" s="24" t="n"/>
      <c r="I3479" s="30" t="n"/>
      <c r="J3479" s="23">
        <f>IF(OR($H3479="",$I3479=""),"",$H3479*$I3479)</f>
        <v/>
      </c>
      <c r="K3479" s="24" t="n"/>
      <c r="L3479" s="24" t="n"/>
      <c r="M3479" s="29" t="n"/>
      <c r="N3479" s="28" t="n"/>
      <c r="O3479" s="24" t="n"/>
      <c r="P3479" s="24" t="n"/>
      <c r="Q3479" s="24" t="n"/>
      <c r="R3479" s="24" t="n"/>
      <c r="S3479" s="22">
        <f>IF(AND($A3479="",$C3479=""),"",IF($A3479="","Thiếu mã đơn; ","")&amp;IF(COUNTIF($A$2:$A3479,$A3479)&gt;1,"Trùng mã đơn; ","")&amp;IF(ISNA(MATCH($C3479,DATA_MASTER!$D$2:$D$5000,0)),"SĐT chưa đăng ký hội viên; ","")&amp;IF(AND($L3479="Đã chuyển khoản",$M3479=""),"Thiếu ngày nhận CK; ",""))</f>
        <v/>
      </c>
      <c r="T3479" s="24" t="n"/>
    </row>
    <row r="3480" ht="14.25" customHeight="1" s="40">
      <c r="A3480" s="24" t="n"/>
      <c r="B3480" s="29" t="n"/>
      <c r="C3480" s="28" t="n"/>
      <c r="D3480" s="22">
        <f t="array" ref="D3480">IF($C3480="","",IFERROR(INDEX(DATA_MASTER!$C$2:$C$5000,MATCH($C3480,DATA_MASTER!$D$2:$D$5000,0)),""))</f>
        <v/>
      </c>
      <c r="E3480" s="22">
        <f t="array" ref="E3480">IF($C3480="","",IFERROR(INDEX(DATA_MASTER!$I$2:$I$5000,MATCH($C3480,DATA_MASTER!$D$2:$D$5000,0)),""))</f>
        <v/>
      </c>
      <c r="F3480" s="22">
        <f t="array" ref="F3480">IF($C3480="","",IFERROR(INDEX(DATA_MASTER!$L$2:$L$5000,MATCH($C3480,DATA_MASTER!$D$2:$D$5000,0)),""))</f>
        <v/>
      </c>
      <c r="G3480" s="24" t="n"/>
      <c r="H3480" s="24" t="n"/>
      <c r="I3480" s="30" t="n"/>
      <c r="J3480" s="23">
        <f>IF(OR($H3480="",$I3480=""),"",$H3480*$I3480)</f>
        <v/>
      </c>
      <c r="K3480" s="24" t="n"/>
      <c r="L3480" s="24" t="n"/>
      <c r="M3480" s="29" t="n"/>
      <c r="N3480" s="28" t="n"/>
      <c r="O3480" s="24" t="n"/>
      <c r="P3480" s="24" t="n"/>
      <c r="Q3480" s="24" t="n"/>
      <c r="R3480" s="24" t="n"/>
      <c r="S3480" s="22">
        <f>IF(AND($A3480="",$C3480=""),"",IF($A3480="","Thiếu mã đơn; ","")&amp;IF(COUNTIF($A$2:$A3480,$A3480)&gt;1,"Trùng mã đơn; ","")&amp;IF(ISNA(MATCH($C3480,DATA_MASTER!$D$2:$D$5000,0)),"SĐT chưa đăng ký hội viên; ","")&amp;IF(AND($L3480="Đã chuyển khoản",$M3480=""),"Thiếu ngày nhận CK; ",""))</f>
        <v/>
      </c>
      <c r="T3480" s="24" t="n"/>
    </row>
    <row r="3481" ht="14.25" customHeight="1" s="40">
      <c r="A3481" s="24" t="n"/>
      <c r="B3481" s="29" t="n"/>
      <c r="C3481" s="28" t="n"/>
      <c r="D3481" s="22">
        <f t="array" ref="D3481">IF($C3481="","",IFERROR(INDEX(DATA_MASTER!$C$2:$C$5000,MATCH($C3481,DATA_MASTER!$D$2:$D$5000,0)),""))</f>
        <v/>
      </c>
      <c r="E3481" s="22">
        <f t="array" ref="E3481">IF($C3481="","",IFERROR(INDEX(DATA_MASTER!$I$2:$I$5000,MATCH($C3481,DATA_MASTER!$D$2:$D$5000,0)),""))</f>
        <v/>
      </c>
      <c r="F3481" s="22">
        <f t="array" ref="F3481">IF($C3481="","",IFERROR(INDEX(DATA_MASTER!$L$2:$L$5000,MATCH($C3481,DATA_MASTER!$D$2:$D$5000,0)),""))</f>
        <v/>
      </c>
      <c r="G3481" s="24" t="n"/>
      <c r="H3481" s="24" t="n"/>
      <c r="I3481" s="30" t="n"/>
      <c r="J3481" s="23">
        <f>IF(OR($H3481="",$I3481=""),"",$H3481*$I3481)</f>
        <v/>
      </c>
      <c r="K3481" s="24" t="n"/>
      <c r="L3481" s="24" t="n"/>
      <c r="M3481" s="29" t="n"/>
      <c r="N3481" s="28" t="n"/>
      <c r="O3481" s="24" t="n"/>
      <c r="P3481" s="24" t="n"/>
      <c r="Q3481" s="24" t="n"/>
      <c r="R3481" s="24" t="n"/>
      <c r="S3481" s="22">
        <f>IF(AND($A3481="",$C3481=""),"",IF($A3481="","Thiếu mã đơn; ","")&amp;IF(COUNTIF($A$2:$A3481,$A3481)&gt;1,"Trùng mã đơn; ","")&amp;IF(ISNA(MATCH($C3481,DATA_MASTER!$D$2:$D$5000,0)),"SĐT chưa đăng ký hội viên; ","")&amp;IF(AND($L3481="Đã chuyển khoản",$M3481=""),"Thiếu ngày nhận CK; ",""))</f>
        <v/>
      </c>
      <c r="T3481" s="24" t="n"/>
    </row>
    <row r="3482" ht="14.25" customHeight="1" s="40">
      <c r="A3482" s="24" t="n"/>
      <c r="B3482" s="29" t="n"/>
      <c r="C3482" s="28" t="n"/>
      <c r="D3482" s="22">
        <f t="array" ref="D3482">IF($C3482="","",IFERROR(INDEX(DATA_MASTER!$C$2:$C$5000,MATCH($C3482,DATA_MASTER!$D$2:$D$5000,0)),""))</f>
        <v/>
      </c>
      <c r="E3482" s="22">
        <f t="array" ref="E3482">IF($C3482="","",IFERROR(INDEX(DATA_MASTER!$I$2:$I$5000,MATCH($C3482,DATA_MASTER!$D$2:$D$5000,0)),""))</f>
        <v/>
      </c>
      <c r="F3482" s="22">
        <f t="array" ref="F3482">IF($C3482="","",IFERROR(INDEX(DATA_MASTER!$L$2:$L$5000,MATCH($C3482,DATA_MASTER!$D$2:$D$5000,0)),""))</f>
        <v/>
      </c>
      <c r="G3482" s="24" t="n"/>
      <c r="H3482" s="24" t="n"/>
      <c r="I3482" s="30" t="n"/>
      <c r="J3482" s="23">
        <f>IF(OR($H3482="",$I3482=""),"",$H3482*$I3482)</f>
        <v/>
      </c>
      <c r="K3482" s="24" t="n"/>
      <c r="L3482" s="24" t="n"/>
      <c r="M3482" s="29" t="n"/>
      <c r="N3482" s="28" t="n"/>
      <c r="O3482" s="24" t="n"/>
      <c r="P3482" s="24" t="n"/>
      <c r="Q3482" s="24" t="n"/>
      <c r="R3482" s="24" t="n"/>
      <c r="S3482" s="22">
        <f>IF(AND($A3482="",$C3482=""),"",IF($A3482="","Thiếu mã đơn; ","")&amp;IF(COUNTIF($A$2:$A3482,$A3482)&gt;1,"Trùng mã đơn; ","")&amp;IF(ISNA(MATCH($C3482,DATA_MASTER!$D$2:$D$5000,0)),"SĐT chưa đăng ký hội viên; ","")&amp;IF(AND($L3482="Đã chuyển khoản",$M3482=""),"Thiếu ngày nhận CK; ",""))</f>
        <v/>
      </c>
      <c r="T3482" s="24" t="n"/>
    </row>
    <row r="3483" ht="14.25" customHeight="1" s="40">
      <c r="A3483" s="24" t="n"/>
      <c r="B3483" s="29" t="n"/>
      <c r="C3483" s="28" t="n"/>
      <c r="D3483" s="22">
        <f t="array" ref="D3483">IF($C3483="","",IFERROR(INDEX(DATA_MASTER!$C$2:$C$5000,MATCH($C3483,DATA_MASTER!$D$2:$D$5000,0)),""))</f>
        <v/>
      </c>
      <c r="E3483" s="22">
        <f t="array" ref="E3483">IF($C3483="","",IFERROR(INDEX(DATA_MASTER!$I$2:$I$5000,MATCH($C3483,DATA_MASTER!$D$2:$D$5000,0)),""))</f>
        <v/>
      </c>
      <c r="F3483" s="22">
        <f t="array" ref="F3483">IF($C3483="","",IFERROR(INDEX(DATA_MASTER!$L$2:$L$5000,MATCH($C3483,DATA_MASTER!$D$2:$D$5000,0)),""))</f>
        <v/>
      </c>
      <c r="G3483" s="24" t="n"/>
      <c r="H3483" s="24" t="n"/>
      <c r="I3483" s="30" t="n"/>
      <c r="J3483" s="23">
        <f>IF(OR($H3483="",$I3483=""),"",$H3483*$I3483)</f>
        <v/>
      </c>
      <c r="K3483" s="24" t="n"/>
      <c r="L3483" s="24" t="n"/>
      <c r="M3483" s="29" t="n"/>
      <c r="N3483" s="28" t="n"/>
      <c r="O3483" s="24" t="n"/>
      <c r="P3483" s="24" t="n"/>
      <c r="Q3483" s="24" t="n"/>
      <c r="R3483" s="24" t="n"/>
      <c r="S3483" s="22">
        <f>IF(AND($A3483="",$C3483=""),"",IF($A3483="","Thiếu mã đơn; ","")&amp;IF(COUNTIF($A$2:$A3483,$A3483)&gt;1,"Trùng mã đơn; ","")&amp;IF(ISNA(MATCH($C3483,DATA_MASTER!$D$2:$D$5000,0)),"SĐT chưa đăng ký hội viên; ","")&amp;IF(AND($L3483="Đã chuyển khoản",$M3483=""),"Thiếu ngày nhận CK; ",""))</f>
        <v/>
      </c>
      <c r="T3483" s="24" t="n"/>
    </row>
    <row r="3484" ht="14.25" customHeight="1" s="40">
      <c r="A3484" s="24" t="n"/>
      <c r="B3484" s="29" t="n"/>
      <c r="C3484" s="28" t="n"/>
      <c r="D3484" s="22">
        <f t="array" ref="D3484">IF($C3484="","",IFERROR(INDEX(DATA_MASTER!$C$2:$C$5000,MATCH($C3484,DATA_MASTER!$D$2:$D$5000,0)),""))</f>
        <v/>
      </c>
      <c r="E3484" s="22">
        <f t="array" ref="E3484">IF($C3484="","",IFERROR(INDEX(DATA_MASTER!$I$2:$I$5000,MATCH($C3484,DATA_MASTER!$D$2:$D$5000,0)),""))</f>
        <v/>
      </c>
      <c r="F3484" s="22">
        <f t="array" ref="F3484">IF($C3484="","",IFERROR(INDEX(DATA_MASTER!$L$2:$L$5000,MATCH($C3484,DATA_MASTER!$D$2:$D$5000,0)),""))</f>
        <v/>
      </c>
      <c r="G3484" s="24" t="n"/>
      <c r="H3484" s="24" t="n"/>
      <c r="I3484" s="30" t="n"/>
      <c r="J3484" s="23">
        <f>IF(OR($H3484="",$I3484=""),"",$H3484*$I3484)</f>
        <v/>
      </c>
      <c r="K3484" s="24" t="n"/>
      <c r="L3484" s="24" t="n"/>
      <c r="M3484" s="29" t="n"/>
      <c r="N3484" s="28" t="n"/>
      <c r="O3484" s="24" t="n"/>
      <c r="P3484" s="24" t="n"/>
      <c r="Q3484" s="24" t="n"/>
      <c r="R3484" s="24" t="n"/>
      <c r="S3484" s="22">
        <f>IF(AND($A3484="",$C3484=""),"",IF($A3484="","Thiếu mã đơn; ","")&amp;IF(COUNTIF($A$2:$A3484,$A3484)&gt;1,"Trùng mã đơn; ","")&amp;IF(ISNA(MATCH($C3484,DATA_MASTER!$D$2:$D$5000,0)),"SĐT chưa đăng ký hội viên; ","")&amp;IF(AND($L3484="Đã chuyển khoản",$M3484=""),"Thiếu ngày nhận CK; ",""))</f>
        <v/>
      </c>
      <c r="T3484" s="24" t="n"/>
    </row>
    <row r="3485" ht="14.25" customHeight="1" s="40">
      <c r="A3485" s="24" t="n"/>
      <c r="B3485" s="29" t="n"/>
      <c r="C3485" s="28" t="n"/>
      <c r="D3485" s="22">
        <f t="array" ref="D3485">IF($C3485="","",IFERROR(INDEX(DATA_MASTER!$C$2:$C$5000,MATCH($C3485,DATA_MASTER!$D$2:$D$5000,0)),""))</f>
        <v/>
      </c>
      <c r="E3485" s="22">
        <f t="array" ref="E3485">IF($C3485="","",IFERROR(INDEX(DATA_MASTER!$I$2:$I$5000,MATCH($C3485,DATA_MASTER!$D$2:$D$5000,0)),""))</f>
        <v/>
      </c>
      <c r="F3485" s="22">
        <f t="array" ref="F3485">IF($C3485="","",IFERROR(INDEX(DATA_MASTER!$L$2:$L$5000,MATCH($C3485,DATA_MASTER!$D$2:$D$5000,0)),""))</f>
        <v/>
      </c>
      <c r="G3485" s="24" t="n"/>
      <c r="H3485" s="24" t="n"/>
      <c r="I3485" s="30" t="n"/>
      <c r="J3485" s="23">
        <f>IF(OR($H3485="",$I3485=""),"",$H3485*$I3485)</f>
        <v/>
      </c>
      <c r="K3485" s="24" t="n"/>
      <c r="L3485" s="24" t="n"/>
      <c r="M3485" s="29" t="n"/>
      <c r="N3485" s="28" t="n"/>
      <c r="O3485" s="24" t="n"/>
      <c r="P3485" s="24" t="n"/>
      <c r="Q3485" s="24" t="n"/>
      <c r="R3485" s="24" t="n"/>
      <c r="S3485" s="22">
        <f>IF(AND($A3485="",$C3485=""),"",IF($A3485="","Thiếu mã đơn; ","")&amp;IF(COUNTIF($A$2:$A3485,$A3485)&gt;1,"Trùng mã đơn; ","")&amp;IF(ISNA(MATCH($C3485,DATA_MASTER!$D$2:$D$5000,0)),"SĐT chưa đăng ký hội viên; ","")&amp;IF(AND($L3485="Đã chuyển khoản",$M3485=""),"Thiếu ngày nhận CK; ",""))</f>
        <v/>
      </c>
      <c r="T3485" s="24" t="n"/>
    </row>
    <row r="3486" ht="14.25" customHeight="1" s="40">
      <c r="A3486" s="24" t="n"/>
      <c r="B3486" s="29" t="n"/>
      <c r="C3486" s="28" t="n"/>
      <c r="D3486" s="22">
        <f t="array" ref="D3486">IF($C3486="","",IFERROR(INDEX(DATA_MASTER!$C$2:$C$5000,MATCH($C3486,DATA_MASTER!$D$2:$D$5000,0)),""))</f>
        <v/>
      </c>
      <c r="E3486" s="22">
        <f t="array" ref="E3486">IF($C3486="","",IFERROR(INDEX(DATA_MASTER!$I$2:$I$5000,MATCH($C3486,DATA_MASTER!$D$2:$D$5000,0)),""))</f>
        <v/>
      </c>
      <c r="F3486" s="22">
        <f t="array" ref="F3486">IF($C3486="","",IFERROR(INDEX(DATA_MASTER!$L$2:$L$5000,MATCH($C3486,DATA_MASTER!$D$2:$D$5000,0)),""))</f>
        <v/>
      </c>
      <c r="G3486" s="24" t="n"/>
      <c r="H3486" s="24" t="n"/>
      <c r="I3486" s="30" t="n"/>
      <c r="J3486" s="23">
        <f>IF(OR($H3486="",$I3486=""),"",$H3486*$I3486)</f>
        <v/>
      </c>
      <c r="K3486" s="24" t="n"/>
      <c r="L3486" s="24" t="n"/>
      <c r="M3486" s="29" t="n"/>
      <c r="N3486" s="28" t="n"/>
      <c r="O3486" s="24" t="n"/>
      <c r="P3486" s="24" t="n"/>
      <c r="Q3486" s="24" t="n"/>
      <c r="R3486" s="24" t="n"/>
      <c r="S3486" s="22">
        <f>IF(AND($A3486="",$C3486=""),"",IF($A3486="","Thiếu mã đơn; ","")&amp;IF(COUNTIF($A$2:$A3486,$A3486)&gt;1,"Trùng mã đơn; ","")&amp;IF(ISNA(MATCH($C3486,DATA_MASTER!$D$2:$D$5000,0)),"SĐT chưa đăng ký hội viên; ","")&amp;IF(AND($L3486="Đã chuyển khoản",$M3486=""),"Thiếu ngày nhận CK; ",""))</f>
        <v/>
      </c>
      <c r="T3486" s="24" t="n"/>
    </row>
    <row r="3487" ht="14.25" customHeight="1" s="40">
      <c r="A3487" s="24" t="n"/>
      <c r="B3487" s="29" t="n"/>
      <c r="C3487" s="28" t="n"/>
      <c r="D3487" s="22">
        <f t="array" ref="D3487">IF($C3487="","",IFERROR(INDEX(DATA_MASTER!$C$2:$C$5000,MATCH($C3487,DATA_MASTER!$D$2:$D$5000,0)),""))</f>
        <v/>
      </c>
      <c r="E3487" s="22">
        <f t="array" ref="E3487">IF($C3487="","",IFERROR(INDEX(DATA_MASTER!$I$2:$I$5000,MATCH($C3487,DATA_MASTER!$D$2:$D$5000,0)),""))</f>
        <v/>
      </c>
      <c r="F3487" s="22">
        <f t="array" ref="F3487">IF($C3487="","",IFERROR(INDEX(DATA_MASTER!$L$2:$L$5000,MATCH($C3487,DATA_MASTER!$D$2:$D$5000,0)),""))</f>
        <v/>
      </c>
      <c r="G3487" s="24" t="n"/>
      <c r="H3487" s="24" t="n"/>
      <c r="I3487" s="30" t="n"/>
      <c r="J3487" s="23">
        <f>IF(OR($H3487="",$I3487=""),"",$H3487*$I3487)</f>
        <v/>
      </c>
      <c r="K3487" s="24" t="n"/>
      <c r="L3487" s="24" t="n"/>
      <c r="M3487" s="29" t="n"/>
      <c r="N3487" s="28" t="n"/>
      <c r="O3487" s="24" t="n"/>
      <c r="P3487" s="24" t="n"/>
      <c r="Q3487" s="24" t="n"/>
      <c r="R3487" s="24" t="n"/>
      <c r="S3487" s="22">
        <f>IF(AND($A3487="",$C3487=""),"",IF($A3487="","Thiếu mã đơn; ","")&amp;IF(COUNTIF($A$2:$A3487,$A3487)&gt;1,"Trùng mã đơn; ","")&amp;IF(ISNA(MATCH($C3487,DATA_MASTER!$D$2:$D$5000,0)),"SĐT chưa đăng ký hội viên; ","")&amp;IF(AND($L3487="Đã chuyển khoản",$M3487=""),"Thiếu ngày nhận CK; ",""))</f>
        <v/>
      </c>
      <c r="T3487" s="24" t="n"/>
    </row>
    <row r="3488" ht="14.25" customHeight="1" s="40">
      <c r="A3488" s="24" t="n"/>
      <c r="B3488" s="29" t="n"/>
      <c r="C3488" s="28" t="n"/>
      <c r="D3488" s="22">
        <f t="array" ref="D3488">IF($C3488="","",IFERROR(INDEX(DATA_MASTER!$C$2:$C$5000,MATCH($C3488,DATA_MASTER!$D$2:$D$5000,0)),""))</f>
        <v/>
      </c>
      <c r="E3488" s="22">
        <f t="array" ref="E3488">IF($C3488="","",IFERROR(INDEX(DATA_MASTER!$I$2:$I$5000,MATCH($C3488,DATA_MASTER!$D$2:$D$5000,0)),""))</f>
        <v/>
      </c>
      <c r="F3488" s="22">
        <f t="array" ref="F3488">IF($C3488="","",IFERROR(INDEX(DATA_MASTER!$L$2:$L$5000,MATCH($C3488,DATA_MASTER!$D$2:$D$5000,0)),""))</f>
        <v/>
      </c>
      <c r="G3488" s="24" t="n"/>
      <c r="H3488" s="24" t="n"/>
      <c r="I3488" s="30" t="n"/>
      <c r="J3488" s="23">
        <f>IF(OR($H3488="",$I3488=""),"",$H3488*$I3488)</f>
        <v/>
      </c>
      <c r="K3488" s="24" t="n"/>
      <c r="L3488" s="24" t="n"/>
      <c r="M3488" s="29" t="n"/>
      <c r="N3488" s="28" t="n"/>
      <c r="O3488" s="24" t="n"/>
      <c r="P3488" s="24" t="n"/>
      <c r="Q3488" s="24" t="n"/>
      <c r="R3488" s="24" t="n"/>
      <c r="S3488" s="22">
        <f>IF(AND($A3488="",$C3488=""),"",IF($A3488="","Thiếu mã đơn; ","")&amp;IF(COUNTIF($A$2:$A3488,$A3488)&gt;1,"Trùng mã đơn; ","")&amp;IF(ISNA(MATCH($C3488,DATA_MASTER!$D$2:$D$5000,0)),"SĐT chưa đăng ký hội viên; ","")&amp;IF(AND($L3488="Đã chuyển khoản",$M3488=""),"Thiếu ngày nhận CK; ",""))</f>
        <v/>
      </c>
      <c r="T3488" s="24" t="n"/>
    </row>
    <row r="3489" ht="14.25" customHeight="1" s="40">
      <c r="A3489" s="24" t="n"/>
      <c r="B3489" s="29" t="n"/>
      <c r="C3489" s="28" t="n"/>
      <c r="D3489" s="22">
        <f t="array" ref="D3489">IF($C3489="","",IFERROR(INDEX(DATA_MASTER!$C$2:$C$5000,MATCH($C3489,DATA_MASTER!$D$2:$D$5000,0)),""))</f>
        <v/>
      </c>
      <c r="E3489" s="22">
        <f t="array" ref="E3489">IF($C3489="","",IFERROR(INDEX(DATA_MASTER!$I$2:$I$5000,MATCH($C3489,DATA_MASTER!$D$2:$D$5000,0)),""))</f>
        <v/>
      </c>
      <c r="F3489" s="22">
        <f t="array" ref="F3489">IF($C3489="","",IFERROR(INDEX(DATA_MASTER!$L$2:$L$5000,MATCH($C3489,DATA_MASTER!$D$2:$D$5000,0)),""))</f>
        <v/>
      </c>
      <c r="G3489" s="24" t="n"/>
      <c r="H3489" s="24" t="n"/>
      <c r="I3489" s="30" t="n"/>
      <c r="J3489" s="23">
        <f>IF(OR($H3489="",$I3489=""),"",$H3489*$I3489)</f>
        <v/>
      </c>
      <c r="K3489" s="24" t="n"/>
      <c r="L3489" s="24" t="n"/>
      <c r="M3489" s="29" t="n"/>
      <c r="N3489" s="28" t="n"/>
      <c r="O3489" s="24" t="n"/>
      <c r="P3489" s="24" t="n"/>
      <c r="Q3489" s="24" t="n"/>
      <c r="R3489" s="24" t="n"/>
      <c r="S3489" s="22">
        <f>IF(AND($A3489="",$C3489=""),"",IF($A3489="","Thiếu mã đơn; ","")&amp;IF(COUNTIF($A$2:$A3489,$A3489)&gt;1,"Trùng mã đơn; ","")&amp;IF(ISNA(MATCH($C3489,DATA_MASTER!$D$2:$D$5000,0)),"SĐT chưa đăng ký hội viên; ","")&amp;IF(AND($L3489="Đã chuyển khoản",$M3489=""),"Thiếu ngày nhận CK; ",""))</f>
        <v/>
      </c>
      <c r="T3489" s="24" t="n"/>
    </row>
    <row r="3490" ht="14.25" customHeight="1" s="40">
      <c r="A3490" s="24" t="n"/>
      <c r="B3490" s="29" t="n"/>
      <c r="C3490" s="28" t="n"/>
      <c r="D3490" s="22">
        <f t="array" ref="D3490">IF($C3490="","",IFERROR(INDEX(DATA_MASTER!$C$2:$C$5000,MATCH($C3490,DATA_MASTER!$D$2:$D$5000,0)),""))</f>
        <v/>
      </c>
      <c r="E3490" s="22">
        <f t="array" ref="E3490">IF($C3490="","",IFERROR(INDEX(DATA_MASTER!$I$2:$I$5000,MATCH($C3490,DATA_MASTER!$D$2:$D$5000,0)),""))</f>
        <v/>
      </c>
      <c r="F3490" s="22">
        <f t="array" ref="F3490">IF($C3490="","",IFERROR(INDEX(DATA_MASTER!$L$2:$L$5000,MATCH($C3490,DATA_MASTER!$D$2:$D$5000,0)),""))</f>
        <v/>
      </c>
      <c r="G3490" s="24" t="n"/>
      <c r="H3490" s="24" t="n"/>
      <c r="I3490" s="30" t="n"/>
      <c r="J3490" s="23">
        <f>IF(OR($H3490="",$I3490=""),"",$H3490*$I3490)</f>
        <v/>
      </c>
      <c r="K3490" s="24" t="n"/>
      <c r="L3490" s="24" t="n"/>
      <c r="M3490" s="29" t="n"/>
      <c r="N3490" s="28" t="n"/>
      <c r="O3490" s="24" t="n"/>
      <c r="P3490" s="24" t="n"/>
      <c r="Q3490" s="24" t="n"/>
      <c r="R3490" s="24" t="n"/>
      <c r="S3490" s="22">
        <f>IF(AND($A3490="",$C3490=""),"",IF($A3490="","Thiếu mã đơn; ","")&amp;IF(COUNTIF($A$2:$A3490,$A3490)&gt;1,"Trùng mã đơn; ","")&amp;IF(ISNA(MATCH($C3490,DATA_MASTER!$D$2:$D$5000,0)),"SĐT chưa đăng ký hội viên; ","")&amp;IF(AND($L3490="Đã chuyển khoản",$M3490=""),"Thiếu ngày nhận CK; ",""))</f>
        <v/>
      </c>
      <c r="T3490" s="24" t="n"/>
    </row>
    <row r="3491" ht="14.25" customHeight="1" s="40">
      <c r="A3491" s="24" t="n"/>
      <c r="B3491" s="29" t="n"/>
      <c r="C3491" s="28" t="n"/>
      <c r="D3491" s="22">
        <f t="array" ref="D3491">IF($C3491="","",IFERROR(INDEX(DATA_MASTER!$C$2:$C$5000,MATCH($C3491,DATA_MASTER!$D$2:$D$5000,0)),""))</f>
        <v/>
      </c>
      <c r="E3491" s="22">
        <f t="array" ref="E3491">IF($C3491="","",IFERROR(INDEX(DATA_MASTER!$I$2:$I$5000,MATCH($C3491,DATA_MASTER!$D$2:$D$5000,0)),""))</f>
        <v/>
      </c>
      <c r="F3491" s="22">
        <f t="array" ref="F3491">IF($C3491="","",IFERROR(INDEX(DATA_MASTER!$L$2:$L$5000,MATCH($C3491,DATA_MASTER!$D$2:$D$5000,0)),""))</f>
        <v/>
      </c>
      <c r="G3491" s="24" t="n"/>
      <c r="H3491" s="24" t="n"/>
      <c r="I3491" s="30" t="n"/>
      <c r="J3491" s="23">
        <f>IF(OR($H3491="",$I3491=""),"",$H3491*$I3491)</f>
        <v/>
      </c>
      <c r="K3491" s="24" t="n"/>
      <c r="L3491" s="24" t="n"/>
      <c r="M3491" s="29" t="n"/>
      <c r="N3491" s="28" t="n"/>
      <c r="O3491" s="24" t="n"/>
      <c r="P3491" s="24" t="n"/>
      <c r="Q3491" s="24" t="n"/>
      <c r="R3491" s="24" t="n"/>
      <c r="S3491" s="22">
        <f>IF(AND($A3491="",$C3491=""),"",IF($A3491="","Thiếu mã đơn; ","")&amp;IF(COUNTIF($A$2:$A3491,$A3491)&gt;1,"Trùng mã đơn; ","")&amp;IF(ISNA(MATCH($C3491,DATA_MASTER!$D$2:$D$5000,0)),"SĐT chưa đăng ký hội viên; ","")&amp;IF(AND($L3491="Đã chuyển khoản",$M3491=""),"Thiếu ngày nhận CK; ",""))</f>
        <v/>
      </c>
      <c r="T3491" s="24" t="n"/>
    </row>
    <row r="3492" ht="14.25" customHeight="1" s="40">
      <c r="A3492" s="24" t="n"/>
      <c r="B3492" s="29" t="n"/>
      <c r="C3492" s="28" t="n"/>
      <c r="D3492" s="22">
        <f t="array" ref="D3492">IF($C3492="","",IFERROR(INDEX(DATA_MASTER!$C$2:$C$5000,MATCH($C3492,DATA_MASTER!$D$2:$D$5000,0)),""))</f>
        <v/>
      </c>
      <c r="E3492" s="22">
        <f t="array" ref="E3492">IF($C3492="","",IFERROR(INDEX(DATA_MASTER!$I$2:$I$5000,MATCH($C3492,DATA_MASTER!$D$2:$D$5000,0)),""))</f>
        <v/>
      </c>
      <c r="F3492" s="22">
        <f t="array" ref="F3492">IF($C3492="","",IFERROR(INDEX(DATA_MASTER!$L$2:$L$5000,MATCH($C3492,DATA_MASTER!$D$2:$D$5000,0)),""))</f>
        <v/>
      </c>
      <c r="G3492" s="24" t="n"/>
      <c r="H3492" s="24" t="n"/>
      <c r="I3492" s="30" t="n"/>
      <c r="J3492" s="23">
        <f>IF(OR($H3492="",$I3492=""),"",$H3492*$I3492)</f>
        <v/>
      </c>
      <c r="K3492" s="24" t="n"/>
      <c r="L3492" s="24" t="n"/>
      <c r="M3492" s="29" t="n"/>
      <c r="N3492" s="28" t="n"/>
      <c r="O3492" s="24" t="n"/>
      <c r="P3492" s="24" t="n"/>
      <c r="Q3492" s="24" t="n"/>
      <c r="R3492" s="24" t="n"/>
      <c r="S3492" s="22">
        <f>IF(AND($A3492="",$C3492=""),"",IF($A3492="","Thiếu mã đơn; ","")&amp;IF(COUNTIF($A$2:$A3492,$A3492)&gt;1,"Trùng mã đơn; ","")&amp;IF(ISNA(MATCH($C3492,DATA_MASTER!$D$2:$D$5000,0)),"SĐT chưa đăng ký hội viên; ","")&amp;IF(AND($L3492="Đã chuyển khoản",$M3492=""),"Thiếu ngày nhận CK; ",""))</f>
        <v/>
      </c>
      <c r="T3492" s="24" t="n"/>
    </row>
    <row r="3493" ht="14.25" customHeight="1" s="40">
      <c r="A3493" s="24" t="n"/>
      <c r="B3493" s="29" t="n"/>
      <c r="C3493" s="28" t="n"/>
      <c r="D3493" s="22">
        <f t="array" ref="D3493">IF($C3493="","",IFERROR(INDEX(DATA_MASTER!$C$2:$C$5000,MATCH($C3493,DATA_MASTER!$D$2:$D$5000,0)),""))</f>
        <v/>
      </c>
      <c r="E3493" s="22">
        <f t="array" ref="E3493">IF($C3493="","",IFERROR(INDEX(DATA_MASTER!$I$2:$I$5000,MATCH($C3493,DATA_MASTER!$D$2:$D$5000,0)),""))</f>
        <v/>
      </c>
      <c r="F3493" s="22">
        <f t="array" ref="F3493">IF($C3493="","",IFERROR(INDEX(DATA_MASTER!$L$2:$L$5000,MATCH($C3493,DATA_MASTER!$D$2:$D$5000,0)),""))</f>
        <v/>
      </c>
      <c r="G3493" s="24" t="n"/>
      <c r="H3493" s="24" t="n"/>
      <c r="I3493" s="30" t="n"/>
      <c r="J3493" s="23">
        <f>IF(OR($H3493="",$I3493=""),"",$H3493*$I3493)</f>
        <v/>
      </c>
      <c r="K3493" s="24" t="n"/>
      <c r="L3493" s="24" t="n"/>
      <c r="M3493" s="29" t="n"/>
      <c r="N3493" s="28" t="n"/>
      <c r="O3493" s="24" t="n"/>
      <c r="P3493" s="24" t="n"/>
      <c r="Q3493" s="24" t="n"/>
      <c r="R3493" s="24" t="n"/>
      <c r="S3493" s="22">
        <f>IF(AND($A3493="",$C3493=""),"",IF($A3493="","Thiếu mã đơn; ","")&amp;IF(COUNTIF($A$2:$A3493,$A3493)&gt;1,"Trùng mã đơn; ","")&amp;IF(ISNA(MATCH($C3493,DATA_MASTER!$D$2:$D$5000,0)),"SĐT chưa đăng ký hội viên; ","")&amp;IF(AND($L3493="Đã chuyển khoản",$M3493=""),"Thiếu ngày nhận CK; ",""))</f>
        <v/>
      </c>
      <c r="T3493" s="24" t="n"/>
    </row>
    <row r="3494" ht="14.25" customHeight="1" s="40">
      <c r="A3494" s="24" t="n"/>
      <c r="B3494" s="29" t="n"/>
      <c r="C3494" s="28" t="n"/>
      <c r="D3494" s="22">
        <f t="array" ref="D3494">IF($C3494="","",IFERROR(INDEX(DATA_MASTER!$C$2:$C$5000,MATCH($C3494,DATA_MASTER!$D$2:$D$5000,0)),""))</f>
        <v/>
      </c>
      <c r="E3494" s="22">
        <f t="array" ref="E3494">IF($C3494="","",IFERROR(INDEX(DATA_MASTER!$I$2:$I$5000,MATCH($C3494,DATA_MASTER!$D$2:$D$5000,0)),""))</f>
        <v/>
      </c>
      <c r="F3494" s="22">
        <f t="array" ref="F3494">IF($C3494="","",IFERROR(INDEX(DATA_MASTER!$L$2:$L$5000,MATCH($C3494,DATA_MASTER!$D$2:$D$5000,0)),""))</f>
        <v/>
      </c>
      <c r="G3494" s="24" t="n"/>
      <c r="H3494" s="24" t="n"/>
      <c r="I3494" s="30" t="n"/>
      <c r="J3494" s="23">
        <f>IF(OR($H3494="",$I3494=""),"",$H3494*$I3494)</f>
        <v/>
      </c>
      <c r="K3494" s="24" t="n"/>
      <c r="L3494" s="24" t="n"/>
      <c r="M3494" s="29" t="n"/>
      <c r="N3494" s="28" t="n"/>
      <c r="O3494" s="24" t="n"/>
      <c r="P3494" s="24" t="n"/>
      <c r="Q3494" s="24" t="n"/>
      <c r="R3494" s="24" t="n"/>
      <c r="S3494" s="22">
        <f>IF(AND($A3494="",$C3494=""),"",IF($A3494="","Thiếu mã đơn; ","")&amp;IF(COUNTIF($A$2:$A3494,$A3494)&gt;1,"Trùng mã đơn; ","")&amp;IF(ISNA(MATCH($C3494,DATA_MASTER!$D$2:$D$5000,0)),"SĐT chưa đăng ký hội viên; ","")&amp;IF(AND($L3494="Đã chuyển khoản",$M3494=""),"Thiếu ngày nhận CK; ",""))</f>
        <v/>
      </c>
      <c r="T3494" s="24" t="n"/>
    </row>
    <row r="3495" ht="14.25" customHeight="1" s="40">
      <c r="A3495" s="24" t="n"/>
      <c r="B3495" s="29" t="n"/>
      <c r="C3495" s="28" t="n"/>
      <c r="D3495" s="22">
        <f t="array" ref="D3495">IF($C3495="","",IFERROR(INDEX(DATA_MASTER!$C$2:$C$5000,MATCH($C3495,DATA_MASTER!$D$2:$D$5000,0)),""))</f>
        <v/>
      </c>
      <c r="E3495" s="22">
        <f t="array" ref="E3495">IF($C3495="","",IFERROR(INDEX(DATA_MASTER!$I$2:$I$5000,MATCH($C3495,DATA_MASTER!$D$2:$D$5000,0)),""))</f>
        <v/>
      </c>
      <c r="F3495" s="22">
        <f t="array" ref="F3495">IF($C3495="","",IFERROR(INDEX(DATA_MASTER!$L$2:$L$5000,MATCH($C3495,DATA_MASTER!$D$2:$D$5000,0)),""))</f>
        <v/>
      </c>
      <c r="G3495" s="24" t="n"/>
      <c r="H3495" s="24" t="n"/>
      <c r="I3495" s="30" t="n"/>
      <c r="J3495" s="23">
        <f>IF(OR($H3495="",$I3495=""),"",$H3495*$I3495)</f>
        <v/>
      </c>
      <c r="K3495" s="24" t="n"/>
      <c r="L3495" s="24" t="n"/>
      <c r="M3495" s="29" t="n"/>
      <c r="N3495" s="28" t="n"/>
      <c r="O3495" s="24" t="n"/>
      <c r="P3495" s="24" t="n"/>
      <c r="Q3495" s="24" t="n"/>
      <c r="R3495" s="24" t="n"/>
      <c r="S3495" s="22">
        <f>IF(AND($A3495="",$C3495=""),"",IF($A3495="","Thiếu mã đơn; ","")&amp;IF(COUNTIF($A$2:$A3495,$A3495)&gt;1,"Trùng mã đơn; ","")&amp;IF(ISNA(MATCH($C3495,DATA_MASTER!$D$2:$D$5000,0)),"SĐT chưa đăng ký hội viên; ","")&amp;IF(AND($L3495="Đã chuyển khoản",$M3495=""),"Thiếu ngày nhận CK; ",""))</f>
        <v/>
      </c>
      <c r="T3495" s="24" t="n"/>
    </row>
    <row r="3496" ht="14.25" customHeight="1" s="40">
      <c r="A3496" s="24" t="n"/>
      <c r="B3496" s="29" t="n"/>
      <c r="C3496" s="28" t="n"/>
      <c r="D3496" s="22">
        <f t="array" ref="D3496">IF($C3496="","",IFERROR(INDEX(DATA_MASTER!$C$2:$C$5000,MATCH($C3496,DATA_MASTER!$D$2:$D$5000,0)),""))</f>
        <v/>
      </c>
      <c r="E3496" s="22">
        <f t="array" ref="E3496">IF($C3496="","",IFERROR(INDEX(DATA_MASTER!$I$2:$I$5000,MATCH($C3496,DATA_MASTER!$D$2:$D$5000,0)),""))</f>
        <v/>
      </c>
      <c r="F3496" s="22">
        <f t="array" ref="F3496">IF($C3496="","",IFERROR(INDEX(DATA_MASTER!$L$2:$L$5000,MATCH($C3496,DATA_MASTER!$D$2:$D$5000,0)),""))</f>
        <v/>
      </c>
      <c r="G3496" s="24" t="n"/>
      <c r="H3496" s="24" t="n"/>
      <c r="I3496" s="30" t="n"/>
      <c r="J3496" s="23">
        <f>IF(OR($H3496="",$I3496=""),"",$H3496*$I3496)</f>
        <v/>
      </c>
      <c r="K3496" s="24" t="n"/>
      <c r="L3496" s="24" t="n"/>
      <c r="M3496" s="29" t="n"/>
      <c r="N3496" s="28" t="n"/>
      <c r="O3496" s="24" t="n"/>
      <c r="P3496" s="24" t="n"/>
      <c r="Q3496" s="24" t="n"/>
      <c r="R3496" s="24" t="n"/>
      <c r="S3496" s="22">
        <f>IF(AND($A3496="",$C3496=""),"",IF($A3496="","Thiếu mã đơn; ","")&amp;IF(COUNTIF($A$2:$A3496,$A3496)&gt;1,"Trùng mã đơn; ","")&amp;IF(ISNA(MATCH($C3496,DATA_MASTER!$D$2:$D$5000,0)),"SĐT chưa đăng ký hội viên; ","")&amp;IF(AND($L3496="Đã chuyển khoản",$M3496=""),"Thiếu ngày nhận CK; ",""))</f>
        <v/>
      </c>
      <c r="T3496" s="24" t="n"/>
    </row>
    <row r="3497" ht="14.25" customHeight="1" s="40">
      <c r="A3497" s="24" t="n"/>
      <c r="B3497" s="29" t="n"/>
      <c r="C3497" s="28" t="n"/>
      <c r="D3497" s="22">
        <f t="array" ref="D3497">IF($C3497="","",IFERROR(INDEX(DATA_MASTER!$C$2:$C$5000,MATCH($C3497,DATA_MASTER!$D$2:$D$5000,0)),""))</f>
        <v/>
      </c>
      <c r="E3497" s="22">
        <f t="array" ref="E3497">IF($C3497="","",IFERROR(INDEX(DATA_MASTER!$I$2:$I$5000,MATCH($C3497,DATA_MASTER!$D$2:$D$5000,0)),""))</f>
        <v/>
      </c>
      <c r="F3497" s="22">
        <f t="array" ref="F3497">IF($C3497="","",IFERROR(INDEX(DATA_MASTER!$L$2:$L$5000,MATCH($C3497,DATA_MASTER!$D$2:$D$5000,0)),""))</f>
        <v/>
      </c>
      <c r="G3497" s="24" t="n"/>
      <c r="H3497" s="24" t="n"/>
      <c r="I3497" s="30" t="n"/>
      <c r="J3497" s="23">
        <f>IF(OR($H3497="",$I3497=""),"",$H3497*$I3497)</f>
        <v/>
      </c>
      <c r="K3497" s="24" t="n"/>
      <c r="L3497" s="24" t="n"/>
      <c r="M3497" s="29" t="n"/>
      <c r="N3497" s="28" t="n"/>
      <c r="O3497" s="24" t="n"/>
      <c r="P3497" s="24" t="n"/>
      <c r="Q3497" s="24" t="n"/>
      <c r="R3497" s="24" t="n"/>
      <c r="S3497" s="22">
        <f>IF(AND($A3497="",$C3497=""),"",IF($A3497="","Thiếu mã đơn; ","")&amp;IF(COUNTIF($A$2:$A3497,$A3497)&gt;1,"Trùng mã đơn; ","")&amp;IF(ISNA(MATCH($C3497,DATA_MASTER!$D$2:$D$5000,0)),"SĐT chưa đăng ký hội viên; ","")&amp;IF(AND($L3497="Đã chuyển khoản",$M3497=""),"Thiếu ngày nhận CK; ",""))</f>
        <v/>
      </c>
      <c r="T3497" s="24" t="n"/>
    </row>
    <row r="3498" ht="14.25" customHeight="1" s="40">
      <c r="A3498" s="24" t="n"/>
      <c r="B3498" s="29" t="n"/>
      <c r="C3498" s="28" t="n"/>
      <c r="D3498" s="22">
        <f t="array" ref="D3498">IF($C3498="","",IFERROR(INDEX(DATA_MASTER!$C$2:$C$5000,MATCH($C3498,DATA_MASTER!$D$2:$D$5000,0)),""))</f>
        <v/>
      </c>
      <c r="E3498" s="22">
        <f t="array" ref="E3498">IF($C3498="","",IFERROR(INDEX(DATA_MASTER!$I$2:$I$5000,MATCH($C3498,DATA_MASTER!$D$2:$D$5000,0)),""))</f>
        <v/>
      </c>
      <c r="F3498" s="22">
        <f t="array" ref="F3498">IF($C3498="","",IFERROR(INDEX(DATA_MASTER!$L$2:$L$5000,MATCH($C3498,DATA_MASTER!$D$2:$D$5000,0)),""))</f>
        <v/>
      </c>
      <c r="G3498" s="24" t="n"/>
      <c r="H3498" s="24" t="n"/>
      <c r="I3498" s="30" t="n"/>
      <c r="J3498" s="23">
        <f>IF(OR($H3498="",$I3498=""),"",$H3498*$I3498)</f>
        <v/>
      </c>
      <c r="K3498" s="24" t="n"/>
      <c r="L3498" s="24" t="n"/>
      <c r="M3498" s="29" t="n"/>
      <c r="N3498" s="28" t="n"/>
      <c r="O3498" s="24" t="n"/>
      <c r="P3498" s="24" t="n"/>
      <c r="Q3498" s="24" t="n"/>
      <c r="R3498" s="24" t="n"/>
      <c r="S3498" s="22">
        <f>IF(AND($A3498="",$C3498=""),"",IF($A3498="","Thiếu mã đơn; ","")&amp;IF(COUNTIF($A$2:$A3498,$A3498)&gt;1,"Trùng mã đơn; ","")&amp;IF(ISNA(MATCH($C3498,DATA_MASTER!$D$2:$D$5000,0)),"SĐT chưa đăng ký hội viên; ","")&amp;IF(AND($L3498="Đã chuyển khoản",$M3498=""),"Thiếu ngày nhận CK; ",""))</f>
        <v/>
      </c>
      <c r="T3498" s="24" t="n"/>
    </row>
    <row r="3499" ht="14.25" customHeight="1" s="40">
      <c r="A3499" s="24" t="n"/>
      <c r="B3499" s="29" t="n"/>
      <c r="C3499" s="28" t="n"/>
      <c r="D3499" s="22">
        <f t="array" ref="D3499">IF($C3499="","",IFERROR(INDEX(DATA_MASTER!$C$2:$C$5000,MATCH($C3499,DATA_MASTER!$D$2:$D$5000,0)),""))</f>
        <v/>
      </c>
      <c r="E3499" s="22">
        <f t="array" ref="E3499">IF($C3499="","",IFERROR(INDEX(DATA_MASTER!$I$2:$I$5000,MATCH($C3499,DATA_MASTER!$D$2:$D$5000,0)),""))</f>
        <v/>
      </c>
      <c r="F3499" s="22">
        <f t="array" ref="F3499">IF($C3499="","",IFERROR(INDEX(DATA_MASTER!$L$2:$L$5000,MATCH($C3499,DATA_MASTER!$D$2:$D$5000,0)),""))</f>
        <v/>
      </c>
      <c r="G3499" s="24" t="n"/>
      <c r="H3499" s="24" t="n"/>
      <c r="I3499" s="30" t="n"/>
      <c r="J3499" s="23">
        <f>IF(OR($H3499="",$I3499=""),"",$H3499*$I3499)</f>
        <v/>
      </c>
      <c r="K3499" s="24" t="n"/>
      <c r="L3499" s="24" t="n"/>
      <c r="M3499" s="29" t="n"/>
      <c r="N3499" s="28" t="n"/>
      <c r="O3499" s="24" t="n"/>
      <c r="P3499" s="24" t="n"/>
      <c r="Q3499" s="24" t="n"/>
      <c r="R3499" s="24" t="n"/>
      <c r="S3499" s="22">
        <f>IF(AND($A3499="",$C3499=""),"",IF($A3499="","Thiếu mã đơn; ","")&amp;IF(COUNTIF($A$2:$A3499,$A3499)&gt;1,"Trùng mã đơn; ","")&amp;IF(ISNA(MATCH($C3499,DATA_MASTER!$D$2:$D$5000,0)),"SĐT chưa đăng ký hội viên; ","")&amp;IF(AND($L3499="Đã chuyển khoản",$M3499=""),"Thiếu ngày nhận CK; ",""))</f>
        <v/>
      </c>
      <c r="T3499" s="24" t="n"/>
    </row>
    <row r="3500" ht="14.25" customHeight="1" s="40">
      <c r="A3500" s="24" t="n"/>
      <c r="B3500" s="29" t="n"/>
      <c r="C3500" s="28" t="n"/>
      <c r="D3500" s="22">
        <f t="array" ref="D3500">IF($C3500="","",IFERROR(INDEX(DATA_MASTER!$C$2:$C$5000,MATCH($C3500,DATA_MASTER!$D$2:$D$5000,0)),""))</f>
        <v/>
      </c>
      <c r="E3500" s="22">
        <f t="array" ref="E3500">IF($C3500="","",IFERROR(INDEX(DATA_MASTER!$I$2:$I$5000,MATCH($C3500,DATA_MASTER!$D$2:$D$5000,0)),""))</f>
        <v/>
      </c>
      <c r="F3500" s="22">
        <f t="array" ref="F3500">IF($C3500="","",IFERROR(INDEX(DATA_MASTER!$L$2:$L$5000,MATCH($C3500,DATA_MASTER!$D$2:$D$5000,0)),""))</f>
        <v/>
      </c>
      <c r="G3500" s="24" t="n"/>
      <c r="H3500" s="24" t="n"/>
      <c r="I3500" s="30" t="n"/>
      <c r="J3500" s="23">
        <f>IF(OR($H3500="",$I3500=""),"",$H3500*$I3500)</f>
        <v/>
      </c>
      <c r="K3500" s="24" t="n"/>
      <c r="L3500" s="24" t="n"/>
      <c r="M3500" s="29" t="n"/>
      <c r="N3500" s="28" t="n"/>
      <c r="O3500" s="24" t="n"/>
      <c r="P3500" s="24" t="n"/>
      <c r="Q3500" s="24" t="n"/>
      <c r="R3500" s="24" t="n"/>
      <c r="S3500" s="22">
        <f>IF(AND($A3500="",$C3500=""),"",IF($A3500="","Thiếu mã đơn; ","")&amp;IF(COUNTIF($A$2:$A3500,$A3500)&gt;1,"Trùng mã đơn; ","")&amp;IF(ISNA(MATCH($C3500,DATA_MASTER!$D$2:$D$5000,0)),"SĐT chưa đăng ký hội viên; ","")&amp;IF(AND($L3500="Đã chuyển khoản",$M3500=""),"Thiếu ngày nhận CK; ",""))</f>
        <v/>
      </c>
      <c r="T3500" s="24" t="n"/>
    </row>
    <row r="3501" ht="14.25" customHeight="1" s="40">
      <c r="A3501" s="24" t="n"/>
      <c r="B3501" s="29" t="n"/>
      <c r="C3501" s="28" t="n"/>
      <c r="D3501" s="22">
        <f t="array" ref="D3501">IF($C3501="","",IFERROR(INDEX(DATA_MASTER!$C$2:$C$5000,MATCH($C3501,DATA_MASTER!$D$2:$D$5000,0)),""))</f>
        <v/>
      </c>
      <c r="E3501" s="22">
        <f t="array" ref="E3501">IF($C3501="","",IFERROR(INDEX(DATA_MASTER!$I$2:$I$5000,MATCH($C3501,DATA_MASTER!$D$2:$D$5000,0)),""))</f>
        <v/>
      </c>
      <c r="F3501" s="22">
        <f t="array" ref="F3501">IF($C3501="","",IFERROR(INDEX(DATA_MASTER!$L$2:$L$5000,MATCH($C3501,DATA_MASTER!$D$2:$D$5000,0)),""))</f>
        <v/>
      </c>
      <c r="G3501" s="24" t="n"/>
      <c r="H3501" s="24" t="n"/>
      <c r="I3501" s="30" t="n"/>
      <c r="J3501" s="23">
        <f>IF(OR($H3501="",$I3501=""),"",$H3501*$I3501)</f>
        <v/>
      </c>
      <c r="K3501" s="24" t="n"/>
      <c r="L3501" s="24" t="n"/>
      <c r="M3501" s="29" t="n"/>
      <c r="N3501" s="28" t="n"/>
      <c r="O3501" s="24" t="n"/>
      <c r="P3501" s="24" t="n"/>
      <c r="Q3501" s="24" t="n"/>
      <c r="R3501" s="24" t="n"/>
      <c r="S3501" s="22">
        <f>IF(AND($A3501="",$C3501=""),"",IF($A3501="","Thiếu mã đơn; ","")&amp;IF(COUNTIF($A$2:$A3501,$A3501)&gt;1,"Trùng mã đơn; ","")&amp;IF(ISNA(MATCH($C3501,DATA_MASTER!$D$2:$D$5000,0)),"SĐT chưa đăng ký hội viên; ","")&amp;IF(AND($L3501="Đã chuyển khoản",$M3501=""),"Thiếu ngày nhận CK; ",""))</f>
        <v/>
      </c>
      <c r="T3501" s="24" t="n"/>
    </row>
    <row r="3502" ht="14.25" customHeight="1" s="40">
      <c r="A3502" s="24" t="n"/>
      <c r="B3502" s="29" t="n"/>
      <c r="C3502" s="28" t="n"/>
      <c r="D3502" s="22">
        <f t="array" ref="D3502">IF($C3502="","",IFERROR(INDEX(DATA_MASTER!$C$2:$C$5000,MATCH($C3502,DATA_MASTER!$D$2:$D$5000,0)),""))</f>
        <v/>
      </c>
      <c r="E3502" s="22">
        <f t="array" ref="E3502">IF($C3502="","",IFERROR(INDEX(DATA_MASTER!$I$2:$I$5000,MATCH($C3502,DATA_MASTER!$D$2:$D$5000,0)),""))</f>
        <v/>
      </c>
      <c r="F3502" s="22">
        <f t="array" ref="F3502">IF($C3502="","",IFERROR(INDEX(DATA_MASTER!$L$2:$L$5000,MATCH($C3502,DATA_MASTER!$D$2:$D$5000,0)),""))</f>
        <v/>
      </c>
      <c r="G3502" s="24" t="n"/>
      <c r="H3502" s="24" t="n"/>
      <c r="I3502" s="30" t="n"/>
      <c r="J3502" s="23">
        <f>IF(OR($H3502="",$I3502=""),"",$H3502*$I3502)</f>
        <v/>
      </c>
      <c r="K3502" s="24" t="n"/>
      <c r="L3502" s="24" t="n"/>
      <c r="M3502" s="29" t="n"/>
      <c r="N3502" s="28" t="n"/>
      <c r="O3502" s="24" t="n"/>
      <c r="P3502" s="24" t="n"/>
      <c r="Q3502" s="24" t="n"/>
      <c r="R3502" s="24" t="n"/>
      <c r="S3502" s="22">
        <f>IF(AND($A3502="",$C3502=""),"",IF($A3502="","Thiếu mã đơn; ","")&amp;IF(COUNTIF($A$2:$A3502,$A3502)&gt;1,"Trùng mã đơn; ","")&amp;IF(ISNA(MATCH($C3502,DATA_MASTER!$D$2:$D$5000,0)),"SĐT chưa đăng ký hội viên; ","")&amp;IF(AND($L3502="Đã chuyển khoản",$M3502=""),"Thiếu ngày nhận CK; ",""))</f>
        <v/>
      </c>
      <c r="T3502" s="24" t="n"/>
    </row>
    <row r="3503" ht="14.25" customHeight="1" s="40">
      <c r="A3503" s="24" t="n"/>
      <c r="B3503" s="29" t="n"/>
      <c r="C3503" s="28" t="n"/>
      <c r="D3503" s="22">
        <f t="array" ref="D3503">IF($C3503="","",IFERROR(INDEX(DATA_MASTER!$C$2:$C$5000,MATCH($C3503,DATA_MASTER!$D$2:$D$5000,0)),""))</f>
        <v/>
      </c>
      <c r="E3503" s="22">
        <f t="array" ref="E3503">IF($C3503="","",IFERROR(INDEX(DATA_MASTER!$I$2:$I$5000,MATCH($C3503,DATA_MASTER!$D$2:$D$5000,0)),""))</f>
        <v/>
      </c>
      <c r="F3503" s="22">
        <f t="array" ref="F3503">IF($C3503="","",IFERROR(INDEX(DATA_MASTER!$L$2:$L$5000,MATCH($C3503,DATA_MASTER!$D$2:$D$5000,0)),""))</f>
        <v/>
      </c>
      <c r="G3503" s="24" t="n"/>
      <c r="H3503" s="24" t="n"/>
      <c r="I3503" s="30" t="n"/>
      <c r="J3503" s="23">
        <f>IF(OR($H3503="",$I3503=""),"",$H3503*$I3503)</f>
        <v/>
      </c>
      <c r="K3503" s="24" t="n"/>
      <c r="L3503" s="24" t="n"/>
      <c r="M3503" s="29" t="n"/>
      <c r="N3503" s="28" t="n"/>
      <c r="O3503" s="24" t="n"/>
      <c r="P3503" s="24" t="n"/>
      <c r="Q3503" s="24" t="n"/>
      <c r="R3503" s="24" t="n"/>
      <c r="S3503" s="22">
        <f>IF(AND($A3503="",$C3503=""),"",IF($A3503="","Thiếu mã đơn; ","")&amp;IF(COUNTIF($A$2:$A3503,$A3503)&gt;1,"Trùng mã đơn; ","")&amp;IF(ISNA(MATCH($C3503,DATA_MASTER!$D$2:$D$5000,0)),"SĐT chưa đăng ký hội viên; ","")&amp;IF(AND($L3503="Đã chuyển khoản",$M3503=""),"Thiếu ngày nhận CK; ",""))</f>
        <v/>
      </c>
      <c r="T3503" s="24" t="n"/>
    </row>
    <row r="3504" ht="14.25" customHeight="1" s="40">
      <c r="A3504" s="24" t="n"/>
      <c r="B3504" s="29" t="n"/>
      <c r="C3504" s="28" t="n"/>
      <c r="D3504" s="22">
        <f t="array" ref="D3504">IF($C3504="","",IFERROR(INDEX(DATA_MASTER!$C$2:$C$5000,MATCH($C3504,DATA_MASTER!$D$2:$D$5000,0)),""))</f>
        <v/>
      </c>
      <c r="E3504" s="22">
        <f t="array" ref="E3504">IF($C3504="","",IFERROR(INDEX(DATA_MASTER!$I$2:$I$5000,MATCH($C3504,DATA_MASTER!$D$2:$D$5000,0)),""))</f>
        <v/>
      </c>
      <c r="F3504" s="22">
        <f t="array" ref="F3504">IF($C3504="","",IFERROR(INDEX(DATA_MASTER!$L$2:$L$5000,MATCH($C3504,DATA_MASTER!$D$2:$D$5000,0)),""))</f>
        <v/>
      </c>
      <c r="G3504" s="24" t="n"/>
      <c r="H3504" s="24" t="n"/>
      <c r="I3504" s="30" t="n"/>
      <c r="J3504" s="23">
        <f>IF(OR($H3504="",$I3504=""),"",$H3504*$I3504)</f>
        <v/>
      </c>
      <c r="K3504" s="24" t="n"/>
      <c r="L3504" s="24" t="n"/>
      <c r="M3504" s="29" t="n"/>
      <c r="N3504" s="28" t="n"/>
      <c r="O3504" s="24" t="n"/>
      <c r="P3504" s="24" t="n"/>
      <c r="Q3504" s="24" t="n"/>
      <c r="R3504" s="24" t="n"/>
      <c r="S3504" s="22">
        <f>IF(AND($A3504="",$C3504=""),"",IF($A3504="","Thiếu mã đơn; ","")&amp;IF(COUNTIF($A$2:$A3504,$A3504)&gt;1,"Trùng mã đơn; ","")&amp;IF(ISNA(MATCH($C3504,DATA_MASTER!$D$2:$D$5000,0)),"SĐT chưa đăng ký hội viên; ","")&amp;IF(AND($L3504="Đã chuyển khoản",$M3504=""),"Thiếu ngày nhận CK; ",""))</f>
        <v/>
      </c>
      <c r="T3504" s="24" t="n"/>
    </row>
    <row r="3505" ht="14.25" customHeight="1" s="40">
      <c r="A3505" s="24" t="n"/>
      <c r="B3505" s="29" t="n"/>
      <c r="C3505" s="28" t="n"/>
      <c r="D3505" s="22">
        <f t="array" ref="D3505">IF($C3505="","",IFERROR(INDEX(DATA_MASTER!$C$2:$C$5000,MATCH($C3505,DATA_MASTER!$D$2:$D$5000,0)),""))</f>
        <v/>
      </c>
      <c r="E3505" s="22">
        <f t="array" ref="E3505">IF($C3505="","",IFERROR(INDEX(DATA_MASTER!$I$2:$I$5000,MATCH($C3505,DATA_MASTER!$D$2:$D$5000,0)),""))</f>
        <v/>
      </c>
      <c r="F3505" s="22">
        <f t="array" ref="F3505">IF($C3505="","",IFERROR(INDEX(DATA_MASTER!$L$2:$L$5000,MATCH($C3505,DATA_MASTER!$D$2:$D$5000,0)),""))</f>
        <v/>
      </c>
      <c r="G3505" s="24" t="n"/>
      <c r="H3505" s="24" t="n"/>
      <c r="I3505" s="30" t="n"/>
      <c r="J3505" s="23">
        <f>IF(OR($H3505="",$I3505=""),"",$H3505*$I3505)</f>
        <v/>
      </c>
      <c r="K3505" s="24" t="n"/>
      <c r="L3505" s="24" t="n"/>
      <c r="M3505" s="29" t="n"/>
      <c r="N3505" s="28" t="n"/>
      <c r="O3505" s="24" t="n"/>
      <c r="P3505" s="24" t="n"/>
      <c r="Q3505" s="24" t="n"/>
      <c r="R3505" s="24" t="n"/>
      <c r="S3505" s="22">
        <f>IF(AND($A3505="",$C3505=""),"",IF($A3505="","Thiếu mã đơn; ","")&amp;IF(COUNTIF($A$2:$A3505,$A3505)&gt;1,"Trùng mã đơn; ","")&amp;IF(ISNA(MATCH($C3505,DATA_MASTER!$D$2:$D$5000,0)),"SĐT chưa đăng ký hội viên; ","")&amp;IF(AND($L3505="Đã chuyển khoản",$M3505=""),"Thiếu ngày nhận CK; ",""))</f>
        <v/>
      </c>
      <c r="T3505" s="24" t="n"/>
    </row>
    <row r="3506" ht="14.25" customHeight="1" s="40">
      <c r="A3506" s="24" t="n"/>
      <c r="B3506" s="29" t="n"/>
      <c r="C3506" s="28" t="n"/>
      <c r="D3506" s="22">
        <f t="array" ref="D3506">IF($C3506="","",IFERROR(INDEX(DATA_MASTER!$C$2:$C$5000,MATCH($C3506,DATA_MASTER!$D$2:$D$5000,0)),""))</f>
        <v/>
      </c>
      <c r="E3506" s="22">
        <f t="array" ref="E3506">IF($C3506="","",IFERROR(INDEX(DATA_MASTER!$I$2:$I$5000,MATCH($C3506,DATA_MASTER!$D$2:$D$5000,0)),""))</f>
        <v/>
      </c>
      <c r="F3506" s="22">
        <f t="array" ref="F3506">IF($C3506="","",IFERROR(INDEX(DATA_MASTER!$L$2:$L$5000,MATCH($C3506,DATA_MASTER!$D$2:$D$5000,0)),""))</f>
        <v/>
      </c>
      <c r="G3506" s="24" t="n"/>
      <c r="H3506" s="24" t="n"/>
      <c r="I3506" s="30" t="n"/>
      <c r="J3506" s="23">
        <f>IF(OR($H3506="",$I3506=""),"",$H3506*$I3506)</f>
        <v/>
      </c>
      <c r="K3506" s="24" t="n"/>
      <c r="L3506" s="24" t="n"/>
      <c r="M3506" s="29" t="n"/>
      <c r="N3506" s="28" t="n"/>
      <c r="O3506" s="24" t="n"/>
      <c r="P3506" s="24" t="n"/>
      <c r="Q3506" s="24" t="n"/>
      <c r="R3506" s="24" t="n"/>
      <c r="S3506" s="22">
        <f>IF(AND($A3506="",$C3506=""),"",IF($A3506="","Thiếu mã đơn; ","")&amp;IF(COUNTIF($A$2:$A3506,$A3506)&gt;1,"Trùng mã đơn; ","")&amp;IF(ISNA(MATCH($C3506,DATA_MASTER!$D$2:$D$5000,0)),"SĐT chưa đăng ký hội viên; ","")&amp;IF(AND($L3506="Đã chuyển khoản",$M3506=""),"Thiếu ngày nhận CK; ",""))</f>
        <v/>
      </c>
      <c r="T3506" s="24" t="n"/>
    </row>
    <row r="3507" ht="14.25" customHeight="1" s="40">
      <c r="A3507" s="24" t="n"/>
      <c r="B3507" s="29" t="n"/>
      <c r="C3507" s="28" t="n"/>
      <c r="D3507" s="22">
        <f t="array" ref="D3507">IF($C3507="","",IFERROR(INDEX(DATA_MASTER!$C$2:$C$5000,MATCH($C3507,DATA_MASTER!$D$2:$D$5000,0)),""))</f>
        <v/>
      </c>
      <c r="E3507" s="22">
        <f t="array" ref="E3507">IF($C3507="","",IFERROR(INDEX(DATA_MASTER!$I$2:$I$5000,MATCH($C3507,DATA_MASTER!$D$2:$D$5000,0)),""))</f>
        <v/>
      </c>
      <c r="F3507" s="22">
        <f t="array" ref="F3507">IF($C3507="","",IFERROR(INDEX(DATA_MASTER!$L$2:$L$5000,MATCH($C3507,DATA_MASTER!$D$2:$D$5000,0)),""))</f>
        <v/>
      </c>
      <c r="G3507" s="24" t="n"/>
      <c r="H3507" s="24" t="n"/>
      <c r="I3507" s="30" t="n"/>
      <c r="J3507" s="23">
        <f>IF(OR($H3507="",$I3507=""),"",$H3507*$I3507)</f>
        <v/>
      </c>
      <c r="K3507" s="24" t="n"/>
      <c r="L3507" s="24" t="n"/>
      <c r="M3507" s="29" t="n"/>
      <c r="N3507" s="28" t="n"/>
      <c r="O3507" s="24" t="n"/>
      <c r="P3507" s="24" t="n"/>
      <c r="Q3507" s="24" t="n"/>
      <c r="R3507" s="24" t="n"/>
      <c r="S3507" s="22">
        <f>IF(AND($A3507="",$C3507=""),"",IF($A3507="","Thiếu mã đơn; ","")&amp;IF(COUNTIF($A$2:$A3507,$A3507)&gt;1,"Trùng mã đơn; ","")&amp;IF(ISNA(MATCH($C3507,DATA_MASTER!$D$2:$D$5000,0)),"SĐT chưa đăng ký hội viên; ","")&amp;IF(AND($L3507="Đã chuyển khoản",$M3507=""),"Thiếu ngày nhận CK; ",""))</f>
        <v/>
      </c>
      <c r="T3507" s="24" t="n"/>
    </row>
    <row r="3508" ht="14.25" customHeight="1" s="40">
      <c r="A3508" s="24" t="n"/>
      <c r="B3508" s="29" t="n"/>
      <c r="C3508" s="28" t="n"/>
      <c r="D3508" s="22">
        <f t="array" ref="D3508">IF($C3508="","",IFERROR(INDEX(DATA_MASTER!$C$2:$C$5000,MATCH($C3508,DATA_MASTER!$D$2:$D$5000,0)),""))</f>
        <v/>
      </c>
      <c r="E3508" s="22">
        <f t="array" ref="E3508">IF($C3508="","",IFERROR(INDEX(DATA_MASTER!$I$2:$I$5000,MATCH($C3508,DATA_MASTER!$D$2:$D$5000,0)),""))</f>
        <v/>
      </c>
      <c r="F3508" s="22">
        <f t="array" ref="F3508">IF($C3508="","",IFERROR(INDEX(DATA_MASTER!$L$2:$L$5000,MATCH($C3508,DATA_MASTER!$D$2:$D$5000,0)),""))</f>
        <v/>
      </c>
      <c r="G3508" s="24" t="n"/>
      <c r="H3508" s="24" t="n"/>
      <c r="I3508" s="30" t="n"/>
      <c r="J3508" s="23">
        <f>IF(OR($H3508="",$I3508=""),"",$H3508*$I3508)</f>
        <v/>
      </c>
      <c r="K3508" s="24" t="n"/>
      <c r="L3508" s="24" t="n"/>
      <c r="M3508" s="29" t="n"/>
      <c r="N3508" s="28" t="n"/>
      <c r="O3508" s="24" t="n"/>
      <c r="P3508" s="24" t="n"/>
      <c r="Q3508" s="24" t="n"/>
      <c r="R3508" s="24" t="n"/>
      <c r="S3508" s="22">
        <f>IF(AND($A3508="",$C3508=""),"",IF($A3508="","Thiếu mã đơn; ","")&amp;IF(COUNTIF($A$2:$A3508,$A3508)&gt;1,"Trùng mã đơn; ","")&amp;IF(ISNA(MATCH($C3508,DATA_MASTER!$D$2:$D$5000,0)),"SĐT chưa đăng ký hội viên; ","")&amp;IF(AND($L3508="Đã chuyển khoản",$M3508=""),"Thiếu ngày nhận CK; ",""))</f>
        <v/>
      </c>
      <c r="T3508" s="24" t="n"/>
    </row>
    <row r="3509" ht="14.25" customHeight="1" s="40">
      <c r="A3509" s="24" t="n"/>
      <c r="B3509" s="29" t="n"/>
      <c r="C3509" s="28" t="n"/>
      <c r="D3509" s="22">
        <f t="array" ref="D3509">IF($C3509="","",IFERROR(INDEX(DATA_MASTER!$C$2:$C$5000,MATCH($C3509,DATA_MASTER!$D$2:$D$5000,0)),""))</f>
        <v/>
      </c>
      <c r="E3509" s="22">
        <f t="array" ref="E3509">IF($C3509="","",IFERROR(INDEX(DATA_MASTER!$I$2:$I$5000,MATCH($C3509,DATA_MASTER!$D$2:$D$5000,0)),""))</f>
        <v/>
      </c>
      <c r="F3509" s="22">
        <f t="array" ref="F3509">IF($C3509="","",IFERROR(INDEX(DATA_MASTER!$L$2:$L$5000,MATCH($C3509,DATA_MASTER!$D$2:$D$5000,0)),""))</f>
        <v/>
      </c>
      <c r="G3509" s="24" t="n"/>
      <c r="H3509" s="24" t="n"/>
      <c r="I3509" s="30" t="n"/>
      <c r="J3509" s="23">
        <f>IF(OR($H3509="",$I3509=""),"",$H3509*$I3509)</f>
        <v/>
      </c>
      <c r="K3509" s="24" t="n"/>
      <c r="L3509" s="24" t="n"/>
      <c r="M3509" s="29" t="n"/>
      <c r="N3509" s="28" t="n"/>
      <c r="O3509" s="24" t="n"/>
      <c r="P3509" s="24" t="n"/>
      <c r="Q3509" s="24" t="n"/>
      <c r="R3509" s="24" t="n"/>
      <c r="S3509" s="22">
        <f>IF(AND($A3509="",$C3509=""),"",IF($A3509="","Thiếu mã đơn; ","")&amp;IF(COUNTIF($A$2:$A3509,$A3509)&gt;1,"Trùng mã đơn; ","")&amp;IF(ISNA(MATCH($C3509,DATA_MASTER!$D$2:$D$5000,0)),"SĐT chưa đăng ký hội viên; ","")&amp;IF(AND($L3509="Đã chuyển khoản",$M3509=""),"Thiếu ngày nhận CK; ",""))</f>
        <v/>
      </c>
      <c r="T3509" s="24" t="n"/>
    </row>
    <row r="3510" ht="14.25" customHeight="1" s="40">
      <c r="A3510" s="24" t="n"/>
      <c r="B3510" s="29" t="n"/>
      <c r="C3510" s="28" t="n"/>
      <c r="D3510" s="22">
        <f t="array" ref="D3510">IF($C3510="","",IFERROR(INDEX(DATA_MASTER!$C$2:$C$5000,MATCH($C3510,DATA_MASTER!$D$2:$D$5000,0)),""))</f>
        <v/>
      </c>
      <c r="E3510" s="22">
        <f t="array" ref="E3510">IF($C3510="","",IFERROR(INDEX(DATA_MASTER!$I$2:$I$5000,MATCH($C3510,DATA_MASTER!$D$2:$D$5000,0)),""))</f>
        <v/>
      </c>
      <c r="F3510" s="22">
        <f t="array" ref="F3510">IF($C3510="","",IFERROR(INDEX(DATA_MASTER!$L$2:$L$5000,MATCH($C3510,DATA_MASTER!$D$2:$D$5000,0)),""))</f>
        <v/>
      </c>
      <c r="G3510" s="24" t="n"/>
      <c r="H3510" s="24" t="n"/>
      <c r="I3510" s="30" t="n"/>
      <c r="J3510" s="23">
        <f>IF(OR($H3510="",$I3510=""),"",$H3510*$I3510)</f>
        <v/>
      </c>
      <c r="K3510" s="24" t="n"/>
      <c r="L3510" s="24" t="n"/>
      <c r="M3510" s="29" t="n"/>
      <c r="N3510" s="28" t="n"/>
      <c r="O3510" s="24" t="n"/>
      <c r="P3510" s="24" t="n"/>
      <c r="Q3510" s="24" t="n"/>
      <c r="R3510" s="24" t="n"/>
      <c r="S3510" s="22">
        <f>IF(AND($A3510="",$C3510=""),"",IF($A3510="","Thiếu mã đơn; ","")&amp;IF(COUNTIF($A$2:$A3510,$A3510)&gt;1,"Trùng mã đơn; ","")&amp;IF(ISNA(MATCH($C3510,DATA_MASTER!$D$2:$D$5000,0)),"SĐT chưa đăng ký hội viên; ","")&amp;IF(AND($L3510="Đã chuyển khoản",$M3510=""),"Thiếu ngày nhận CK; ",""))</f>
        <v/>
      </c>
      <c r="T3510" s="24" t="n"/>
    </row>
    <row r="3511" ht="14.25" customHeight="1" s="40">
      <c r="A3511" s="24" t="n"/>
      <c r="B3511" s="29" t="n"/>
      <c r="C3511" s="28" t="n"/>
      <c r="D3511" s="22">
        <f t="array" ref="D3511">IF($C3511="","",IFERROR(INDEX(DATA_MASTER!$C$2:$C$5000,MATCH($C3511,DATA_MASTER!$D$2:$D$5000,0)),""))</f>
        <v/>
      </c>
      <c r="E3511" s="22">
        <f t="array" ref="E3511">IF($C3511="","",IFERROR(INDEX(DATA_MASTER!$I$2:$I$5000,MATCH($C3511,DATA_MASTER!$D$2:$D$5000,0)),""))</f>
        <v/>
      </c>
      <c r="F3511" s="22">
        <f t="array" ref="F3511">IF($C3511="","",IFERROR(INDEX(DATA_MASTER!$L$2:$L$5000,MATCH($C3511,DATA_MASTER!$D$2:$D$5000,0)),""))</f>
        <v/>
      </c>
      <c r="G3511" s="24" t="n"/>
      <c r="H3511" s="24" t="n"/>
      <c r="I3511" s="30" t="n"/>
      <c r="J3511" s="23">
        <f>IF(OR($H3511="",$I3511=""),"",$H3511*$I3511)</f>
        <v/>
      </c>
      <c r="K3511" s="24" t="n"/>
      <c r="L3511" s="24" t="n"/>
      <c r="M3511" s="29" t="n"/>
      <c r="N3511" s="28" t="n"/>
      <c r="O3511" s="24" t="n"/>
      <c r="P3511" s="24" t="n"/>
      <c r="Q3511" s="24" t="n"/>
      <c r="R3511" s="24" t="n"/>
      <c r="S3511" s="22">
        <f>IF(AND($A3511="",$C3511=""),"",IF($A3511="","Thiếu mã đơn; ","")&amp;IF(COUNTIF($A$2:$A3511,$A3511)&gt;1,"Trùng mã đơn; ","")&amp;IF(ISNA(MATCH($C3511,DATA_MASTER!$D$2:$D$5000,0)),"SĐT chưa đăng ký hội viên; ","")&amp;IF(AND($L3511="Đã chuyển khoản",$M3511=""),"Thiếu ngày nhận CK; ",""))</f>
        <v/>
      </c>
      <c r="T3511" s="24" t="n"/>
    </row>
    <row r="3512" ht="14.25" customHeight="1" s="40">
      <c r="A3512" s="24" t="n"/>
      <c r="B3512" s="29" t="n"/>
      <c r="C3512" s="28" t="n"/>
      <c r="D3512" s="22">
        <f t="array" ref="D3512">IF($C3512="","",IFERROR(INDEX(DATA_MASTER!$C$2:$C$5000,MATCH($C3512,DATA_MASTER!$D$2:$D$5000,0)),""))</f>
        <v/>
      </c>
      <c r="E3512" s="22">
        <f t="array" ref="E3512">IF($C3512="","",IFERROR(INDEX(DATA_MASTER!$I$2:$I$5000,MATCH($C3512,DATA_MASTER!$D$2:$D$5000,0)),""))</f>
        <v/>
      </c>
      <c r="F3512" s="22">
        <f t="array" ref="F3512">IF($C3512="","",IFERROR(INDEX(DATA_MASTER!$L$2:$L$5000,MATCH($C3512,DATA_MASTER!$D$2:$D$5000,0)),""))</f>
        <v/>
      </c>
      <c r="G3512" s="24" t="n"/>
      <c r="H3512" s="24" t="n"/>
      <c r="I3512" s="30" t="n"/>
      <c r="J3512" s="23">
        <f>IF(OR($H3512="",$I3512=""),"",$H3512*$I3512)</f>
        <v/>
      </c>
      <c r="K3512" s="24" t="n"/>
      <c r="L3512" s="24" t="n"/>
      <c r="M3512" s="29" t="n"/>
      <c r="N3512" s="28" t="n"/>
      <c r="O3512" s="24" t="n"/>
      <c r="P3512" s="24" t="n"/>
      <c r="Q3512" s="24" t="n"/>
      <c r="R3512" s="24" t="n"/>
      <c r="S3512" s="22">
        <f>IF(AND($A3512="",$C3512=""),"",IF($A3512="","Thiếu mã đơn; ","")&amp;IF(COUNTIF($A$2:$A3512,$A3512)&gt;1,"Trùng mã đơn; ","")&amp;IF(ISNA(MATCH($C3512,DATA_MASTER!$D$2:$D$5000,0)),"SĐT chưa đăng ký hội viên; ","")&amp;IF(AND($L3512="Đã chuyển khoản",$M3512=""),"Thiếu ngày nhận CK; ",""))</f>
        <v/>
      </c>
      <c r="T3512" s="24" t="n"/>
    </row>
    <row r="3513" ht="14.25" customHeight="1" s="40">
      <c r="A3513" s="24" t="n"/>
      <c r="B3513" s="29" t="n"/>
      <c r="C3513" s="28" t="n"/>
      <c r="D3513" s="22">
        <f t="array" ref="D3513">IF($C3513="","",IFERROR(INDEX(DATA_MASTER!$C$2:$C$5000,MATCH($C3513,DATA_MASTER!$D$2:$D$5000,0)),""))</f>
        <v/>
      </c>
      <c r="E3513" s="22">
        <f t="array" ref="E3513">IF($C3513="","",IFERROR(INDEX(DATA_MASTER!$I$2:$I$5000,MATCH($C3513,DATA_MASTER!$D$2:$D$5000,0)),""))</f>
        <v/>
      </c>
      <c r="F3513" s="22">
        <f t="array" ref="F3513">IF($C3513="","",IFERROR(INDEX(DATA_MASTER!$L$2:$L$5000,MATCH($C3513,DATA_MASTER!$D$2:$D$5000,0)),""))</f>
        <v/>
      </c>
      <c r="G3513" s="24" t="n"/>
      <c r="H3513" s="24" t="n"/>
      <c r="I3513" s="30" t="n"/>
      <c r="J3513" s="23">
        <f>IF(OR($H3513="",$I3513=""),"",$H3513*$I3513)</f>
        <v/>
      </c>
      <c r="K3513" s="24" t="n"/>
      <c r="L3513" s="24" t="n"/>
      <c r="M3513" s="29" t="n"/>
      <c r="N3513" s="28" t="n"/>
      <c r="O3513" s="24" t="n"/>
      <c r="P3513" s="24" t="n"/>
      <c r="Q3513" s="24" t="n"/>
      <c r="R3513" s="24" t="n"/>
      <c r="S3513" s="22">
        <f>IF(AND($A3513="",$C3513=""),"",IF($A3513="","Thiếu mã đơn; ","")&amp;IF(COUNTIF($A$2:$A3513,$A3513)&gt;1,"Trùng mã đơn; ","")&amp;IF(ISNA(MATCH($C3513,DATA_MASTER!$D$2:$D$5000,0)),"SĐT chưa đăng ký hội viên; ","")&amp;IF(AND($L3513="Đã chuyển khoản",$M3513=""),"Thiếu ngày nhận CK; ",""))</f>
        <v/>
      </c>
      <c r="T3513" s="24" t="n"/>
    </row>
    <row r="3514" ht="14.25" customHeight="1" s="40">
      <c r="A3514" s="24" t="n"/>
      <c r="B3514" s="29" t="n"/>
      <c r="C3514" s="28" t="n"/>
      <c r="D3514" s="22">
        <f t="array" ref="D3514">IF($C3514="","",IFERROR(INDEX(DATA_MASTER!$C$2:$C$5000,MATCH($C3514,DATA_MASTER!$D$2:$D$5000,0)),""))</f>
        <v/>
      </c>
      <c r="E3514" s="22">
        <f t="array" ref="E3514">IF($C3514="","",IFERROR(INDEX(DATA_MASTER!$I$2:$I$5000,MATCH($C3514,DATA_MASTER!$D$2:$D$5000,0)),""))</f>
        <v/>
      </c>
      <c r="F3514" s="22">
        <f t="array" ref="F3514">IF($C3514="","",IFERROR(INDEX(DATA_MASTER!$L$2:$L$5000,MATCH($C3514,DATA_MASTER!$D$2:$D$5000,0)),""))</f>
        <v/>
      </c>
      <c r="G3514" s="24" t="n"/>
      <c r="H3514" s="24" t="n"/>
      <c r="I3514" s="30" t="n"/>
      <c r="J3514" s="23">
        <f>IF(OR($H3514="",$I3514=""),"",$H3514*$I3514)</f>
        <v/>
      </c>
      <c r="K3514" s="24" t="n"/>
      <c r="L3514" s="24" t="n"/>
      <c r="M3514" s="29" t="n"/>
      <c r="N3514" s="28" t="n"/>
      <c r="O3514" s="24" t="n"/>
      <c r="P3514" s="24" t="n"/>
      <c r="Q3514" s="24" t="n"/>
      <c r="R3514" s="24" t="n"/>
      <c r="S3514" s="22">
        <f>IF(AND($A3514="",$C3514=""),"",IF($A3514="","Thiếu mã đơn; ","")&amp;IF(COUNTIF($A$2:$A3514,$A3514)&gt;1,"Trùng mã đơn; ","")&amp;IF(ISNA(MATCH($C3514,DATA_MASTER!$D$2:$D$5000,0)),"SĐT chưa đăng ký hội viên; ","")&amp;IF(AND($L3514="Đã chuyển khoản",$M3514=""),"Thiếu ngày nhận CK; ",""))</f>
        <v/>
      </c>
      <c r="T3514" s="24" t="n"/>
    </row>
    <row r="3515" ht="14.25" customHeight="1" s="40">
      <c r="A3515" s="24" t="n"/>
      <c r="B3515" s="29" t="n"/>
      <c r="C3515" s="28" t="n"/>
      <c r="D3515" s="22">
        <f t="array" ref="D3515">IF($C3515="","",IFERROR(INDEX(DATA_MASTER!$C$2:$C$5000,MATCH($C3515,DATA_MASTER!$D$2:$D$5000,0)),""))</f>
        <v/>
      </c>
      <c r="E3515" s="22">
        <f t="array" ref="E3515">IF($C3515="","",IFERROR(INDEX(DATA_MASTER!$I$2:$I$5000,MATCH($C3515,DATA_MASTER!$D$2:$D$5000,0)),""))</f>
        <v/>
      </c>
      <c r="F3515" s="22">
        <f t="array" ref="F3515">IF($C3515="","",IFERROR(INDEX(DATA_MASTER!$L$2:$L$5000,MATCH($C3515,DATA_MASTER!$D$2:$D$5000,0)),""))</f>
        <v/>
      </c>
      <c r="G3515" s="24" t="n"/>
      <c r="H3515" s="24" t="n"/>
      <c r="I3515" s="30" t="n"/>
      <c r="J3515" s="23">
        <f>IF(OR($H3515="",$I3515=""),"",$H3515*$I3515)</f>
        <v/>
      </c>
      <c r="K3515" s="24" t="n"/>
      <c r="L3515" s="24" t="n"/>
      <c r="M3515" s="29" t="n"/>
      <c r="N3515" s="28" t="n"/>
      <c r="O3515" s="24" t="n"/>
      <c r="P3515" s="24" t="n"/>
      <c r="Q3515" s="24" t="n"/>
      <c r="R3515" s="24" t="n"/>
      <c r="S3515" s="22">
        <f>IF(AND($A3515="",$C3515=""),"",IF($A3515="","Thiếu mã đơn; ","")&amp;IF(COUNTIF($A$2:$A3515,$A3515)&gt;1,"Trùng mã đơn; ","")&amp;IF(ISNA(MATCH($C3515,DATA_MASTER!$D$2:$D$5000,0)),"SĐT chưa đăng ký hội viên; ","")&amp;IF(AND($L3515="Đã chuyển khoản",$M3515=""),"Thiếu ngày nhận CK; ",""))</f>
        <v/>
      </c>
      <c r="T3515" s="24" t="n"/>
    </row>
    <row r="3516" ht="14.25" customHeight="1" s="40">
      <c r="A3516" s="24" t="n"/>
      <c r="B3516" s="29" t="n"/>
      <c r="C3516" s="28" t="n"/>
      <c r="D3516" s="22">
        <f t="array" ref="D3516">IF($C3516="","",IFERROR(INDEX(DATA_MASTER!$C$2:$C$5000,MATCH($C3516,DATA_MASTER!$D$2:$D$5000,0)),""))</f>
        <v/>
      </c>
      <c r="E3516" s="22">
        <f t="array" ref="E3516">IF($C3516="","",IFERROR(INDEX(DATA_MASTER!$I$2:$I$5000,MATCH($C3516,DATA_MASTER!$D$2:$D$5000,0)),""))</f>
        <v/>
      </c>
      <c r="F3516" s="22">
        <f t="array" ref="F3516">IF($C3516="","",IFERROR(INDEX(DATA_MASTER!$L$2:$L$5000,MATCH($C3516,DATA_MASTER!$D$2:$D$5000,0)),""))</f>
        <v/>
      </c>
      <c r="G3516" s="24" t="n"/>
      <c r="H3516" s="24" t="n"/>
      <c r="I3516" s="30" t="n"/>
      <c r="J3516" s="23">
        <f>IF(OR($H3516="",$I3516=""),"",$H3516*$I3516)</f>
        <v/>
      </c>
      <c r="K3516" s="24" t="n"/>
      <c r="L3516" s="24" t="n"/>
      <c r="M3516" s="29" t="n"/>
      <c r="N3516" s="28" t="n"/>
      <c r="O3516" s="24" t="n"/>
      <c r="P3516" s="24" t="n"/>
      <c r="Q3516" s="24" t="n"/>
      <c r="R3516" s="24" t="n"/>
      <c r="S3516" s="22">
        <f>IF(AND($A3516="",$C3516=""),"",IF($A3516="","Thiếu mã đơn; ","")&amp;IF(COUNTIF($A$2:$A3516,$A3516)&gt;1,"Trùng mã đơn; ","")&amp;IF(ISNA(MATCH($C3516,DATA_MASTER!$D$2:$D$5000,0)),"SĐT chưa đăng ký hội viên; ","")&amp;IF(AND($L3516="Đã chuyển khoản",$M3516=""),"Thiếu ngày nhận CK; ",""))</f>
        <v/>
      </c>
      <c r="T3516" s="24" t="n"/>
    </row>
    <row r="3517" ht="14.25" customHeight="1" s="40">
      <c r="A3517" s="24" t="n"/>
      <c r="B3517" s="29" t="n"/>
      <c r="C3517" s="28" t="n"/>
      <c r="D3517" s="22">
        <f t="array" ref="D3517">IF($C3517="","",IFERROR(INDEX(DATA_MASTER!$C$2:$C$5000,MATCH($C3517,DATA_MASTER!$D$2:$D$5000,0)),""))</f>
        <v/>
      </c>
      <c r="E3517" s="22">
        <f t="array" ref="E3517">IF($C3517="","",IFERROR(INDEX(DATA_MASTER!$I$2:$I$5000,MATCH($C3517,DATA_MASTER!$D$2:$D$5000,0)),""))</f>
        <v/>
      </c>
      <c r="F3517" s="22">
        <f t="array" ref="F3517">IF($C3517="","",IFERROR(INDEX(DATA_MASTER!$L$2:$L$5000,MATCH($C3517,DATA_MASTER!$D$2:$D$5000,0)),""))</f>
        <v/>
      </c>
      <c r="G3517" s="24" t="n"/>
      <c r="H3517" s="24" t="n"/>
      <c r="I3517" s="30" t="n"/>
      <c r="J3517" s="23">
        <f>IF(OR($H3517="",$I3517=""),"",$H3517*$I3517)</f>
        <v/>
      </c>
      <c r="K3517" s="24" t="n"/>
      <c r="L3517" s="24" t="n"/>
      <c r="M3517" s="29" t="n"/>
      <c r="N3517" s="28" t="n"/>
      <c r="O3517" s="24" t="n"/>
      <c r="P3517" s="24" t="n"/>
      <c r="Q3517" s="24" t="n"/>
      <c r="R3517" s="24" t="n"/>
      <c r="S3517" s="22">
        <f>IF(AND($A3517="",$C3517=""),"",IF($A3517="","Thiếu mã đơn; ","")&amp;IF(COUNTIF($A$2:$A3517,$A3517)&gt;1,"Trùng mã đơn; ","")&amp;IF(ISNA(MATCH($C3517,DATA_MASTER!$D$2:$D$5000,0)),"SĐT chưa đăng ký hội viên; ","")&amp;IF(AND($L3517="Đã chuyển khoản",$M3517=""),"Thiếu ngày nhận CK; ",""))</f>
        <v/>
      </c>
      <c r="T3517" s="24" t="n"/>
    </row>
    <row r="3518" ht="14.25" customHeight="1" s="40">
      <c r="A3518" s="24" t="n"/>
      <c r="B3518" s="29" t="n"/>
      <c r="C3518" s="28" t="n"/>
      <c r="D3518" s="22">
        <f t="array" ref="D3518">IF($C3518="","",IFERROR(INDEX(DATA_MASTER!$C$2:$C$5000,MATCH($C3518,DATA_MASTER!$D$2:$D$5000,0)),""))</f>
        <v/>
      </c>
      <c r="E3518" s="22">
        <f t="array" ref="E3518">IF($C3518="","",IFERROR(INDEX(DATA_MASTER!$I$2:$I$5000,MATCH($C3518,DATA_MASTER!$D$2:$D$5000,0)),""))</f>
        <v/>
      </c>
      <c r="F3518" s="22">
        <f t="array" ref="F3518">IF($C3518="","",IFERROR(INDEX(DATA_MASTER!$L$2:$L$5000,MATCH($C3518,DATA_MASTER!$D$2:$D$5000,0)),""))</f>
        <v/>
      </c>
      <c r="G3518" s="24" t="n"/>
      <c r="H3518" s="24" t="n"/>
      <c r="I3518" s="30" t="n"/>
      <c r="J3518" s="23">
        <f>IF(OR($H3518="",$I3518=""),"",$H3518*$I3518)</f>
        <v/>
      </c>
      <c r="K3518" s="24" t="n"/>
      <c r="L3518" s="24" t="n"/>
      <c r="M3518" s="29" t="n"/>
      <c r="N3518" s="28" t="n"/>
      <c r="O3518" s="24" t="n"/>
      <c r="P3518" s="24" t="n"/>
      <c r="Q3518" s="24" t="n"/>
      <c r="R3518" s="24" t="n"/>
      <c r="S3518" s="22">
        <f>IF(AND($A3518="",$C3518=""),"",IF($A3518="","Thiếu mã đơn; ","")&amp;IF(COUNTIF($A$2:$A3518,$A3518)&gt;1,"Trùng mã đơn; ","")&amp;IF(ISNA(MATCH($C3518,DATA_MASTER!$D$2:$D$5000,0)),"SĐT chưa đăng ký hội viên; ","")&amp;IF(AND($L3518="Đã chuyển khoản",$M3518=""),"Thiếu ngày nhận CK; ",""))</f>
        <v/>
      </c>
      <c r="T3518" s="24" t="n"/>
    </row>
    <row r="3519" ht="14.25" customHeight="1" s="40">
      <c r="A3519" s="24" t="n"/>
      <c r="B3519" s="29" t="n"/>
      <c r="C3519" s="28" t="n"/>
      <c r="D3519" s="22">
        <f t="array" ref="D3519">IF($C3519="","",IFERROR(INDEX(DATA_MASTER!$C$2:$C$5000,MATCH($C3519,DATA_MASTER!$D$2:$D$5000,0)),""))</f>
        <v/>
      </c>
      <c r="E3519" s="22">
        <f t="array" ref="E3519">IF($C3519="","",IFERROR(INDEX(DATA_MASTER!$I$2:$I$5000,MATCH($C3519,DATA_MASTER!$D$2:$D$5000,0)),""))</f>
        <v/>
      </c>
      <c r="F3519" s="22">
        <f t="array" ref="F3519">IF($C3519="","",IFERROR(INDEX(DATA_MASTER!$L$2:$L$5000,MATCH($C3519,DATA_MASTER!$D$2:$D$5000,0)),""))</f>
        <v/>
      </c>
      <c r="G3519" s="24" t="n"/>
      <c r="H3519" s="24" t="n"/>
      <c r="I3519" s="30" t="n"/>
      <c r="J3519" s="23">
        <f>IF(OR($H3519="",$I3519=""),"",$H3519*$I3519)</f>
        <v/>
      </c>
      <c r="K3519" s="24" t="n"/>
      <c r="L3519" s="24" t="n"/>
      <c r="M3519" s="29" t="n"/>
      <c r="N3519" s="28" t="n"/>
      <c r="O3519" s="24" t="n"/>
      <c r="P3519" s="24" t="n"/>
      <c r="Q3519" s="24" t="n"/>
      <c r="R3519" s="24" t="n"/>
      <c r="S3519" s="22">
        <f>IF(AND($A3519="",$C3519=""),"",IF($A3519="","Thiếu mã đơn; ","")&amp;IF(COUNTIF($A$2:$A3519,$A3519)&gt;1,"Trùng mã đơn; ","")&amp;IF(ISNA(MATCH($C3519,DATA_MASTER!$D$2:$D$5000,0)),"SĐT chưa đăng ký hội viên; ","")&amp;IF(AND($L3519="Đã chuyển khoản",$M3519=""),"Thiếu ngày nhận CK; ",""))</f>
        <v/>
      </c>
      <c r="T3519" s="24" t="n"/>
    </row>
    <row r="3520" ht="14.25" customHeight="1" s="40">
      <c r="A3520" s="24" t="n"/>
      <c r="B3520" s="29" t="n"/>
      <c r="C3520" s="28" t="n"/>
      <c r="D3520" s="22">
        <f t="array" ref="D3520">IF($C3520="","",IFERROR(INDEX(DATA_MASTER!$C$2:$C$5000,MATCH($C3520,DATA_MASTER!$D$2:$D$5000,0)),""))</f>
        <v/>
      </c>
      <c r="E3520" s="22">
        <f t="array" ref="E3520">IF($C3520="","",IFERROR(INDEX(DATA_MASTER!$I$2:$I$5000,MATCH($C3520,DATA_MASTER!$D$2:$D$5000,0)),""))</f>
        <v/>
      </c>
      <c r="F3520" s="22">
        <f t="array" ref="F3520">IF($C3520="","",IFERROR(INDEX(DATA_MASTER!$L$2:$L$5000,MATCH($C3520,DATA_MASTER!$D$2:$D$5000,0)),""))</f>
        <v/>
      </c>
      <c r="G3520" s="24" t="n"/>
      <c r="H3520" s="24" t="n"/>
      <c r="I3520" s="30" t="n"/>
      <c r="J3520" s="23">
        <f>IF(OR($H3520="",$I3520=""),"",$H3520*$I3520)</f>
        <v/>
      </c>
      <c r="K3520" s="24" t="n"/>
      <c r="L3520" s="24" t="n"/>
      <c r="M3520" s="29" t="n"/>
      <c r="N3520" s="28" t="n"/>
      <c r="O3520" s="24" t="n"/>
      <c r="P3520" s="24" t="n"/>
      <c r="Q3520" s="24" t="n"/>
      <c r="R3520" s="24" t="n"/>
      <c r="S3520" s="22">
        <f>IF(AND($A3520="",$C3520=""),"",IF($A3520="","Thiếu mã đơn; ","")&amp;IF(COUNTIF($A$2:$A3520,$A3520)&gt;1,"Trùng mã đơn; ","")&amp;IF(ISNA(MATCH($C3520,DATA_MASTER!$D$2:$D$5000,0)),"SĐT chưa đăng ký hội viên; ","")&amp;IF(AND($L3520="Đã chuyển khoản",$M3520=""),"Thiếu ngày nhận CK; ",""))</f>
        <v/>
      </c>
      <c r="T3520" s="24" t="n"/>
    </row>
    <row r="3521" ht="14.25" customHeight="1" s="40">
      <c r="A3521" s="24" t="n"/>
      <c r="B3521" s="29" t="n"/>
      <c r="C3521" s="28" t="n"/>
      <c r="D3521" s="22">
        <f t="array" ref="D3521">IF($C3521="","",IFERROR(INDEX(DATA_MASTER!$C$2:$C$5000,MATCH($C3521,DATA_MASTER!$D$2:$D$5000,0)),""))</f>
        <v/>
      </c>
      <c r="E3521" s="22">
        <f t="array" ref="E3521">IF($C3521="","",IFERROR(INDEX(DATA_MASTER!$I$2:$I$5000,MATCH($C3521,DATA_MASTER!$D$2:$D$5000,0)),""))</f>
        <v/>
      </c>
      <c r="F3521" s="22">
        <f t="array" ref="F3521">IF($C3521="","",IFERROR(INDEX(DATA_MASTER!$L$2:$L$5000,MATCH($C3521,DATA_MASTER!$D$2:$D$5000,0)),""))</f>
        <v/>
      </c>
      <c r="G3521" s="24" t="n"/>
      <c r="H3521" s="24" t="n"/>
      <c r="I3521" s="30" t="n"/>
      <c r="J3521" s="23">
        <f>IF(OR($H3521="",$I3521=""),"",$H3521*$I3521)</f>
        <v/>
      </c>
      <c r="K3521" s="24" t="n"/>
      <c r="L3521" s="24" t="n"/>
      <c r="M3521" s="29" t="n"/>
      <c r="N3521" s="28" t="n"/>
      <c r="O3521" s="24" t="n"/>
      <c r="P3521" s="24" t="n"/>
      <c r="Q3521" s="24" t="n"/>
      <c r="R3521" s="24" t="n"/>
      <c r="S3521" s="22">
        <f>IF(AND($A3521="",$C3521=""),"",IF($A3521="","Thiếu mã đơn; ","")&amp;IF(COUNTIF($A$2:$A3521,$A3521)&gt;1,"Trùng mã đơn; ","")&amp;IF(ISNA(MATCH($C3521,DATA_MASTER!$D$2:$D$5000,0)),"SĐT chưa đăng ký hội viên; ","")&amp;IF(AND($L3521="Đã chuyển khoản",$M3521=""),"Thiếu ngày nhận CK; ",""))</f>
        <v/>
      </c>
      <c r="T3521" s="24" t="n"/>
    </row>
    <row r="3522" ht="14.25" customHeight="1" s="40">
      <c r="A3522" s="24" t="n"/>
      <c r="B3522" s="29" t="n"/>
      <c r="C3522" s="28" t="n"/>
      <c r="D3522" s="22">
        <f t="array" ref="D3522">IF($C3522="","",IFERROR(INDEX(DATA_MASTER!$C$2:$C$5000,MATCH($C3522,DATA_MASTER!$D$2:$D$5000,0)),""))</f>
        <v/>
      </c>
      <c r="E3522" s="22">
        <f t="array" ref="E3522">IF($C3522="","",IFERROR(INDEX(DATA_MASTER!$I$2:$I$5000,MATCH($C3522,DATA_MASTER!$D$2:$D$5000,0)),""))</f>
        <v/>
      </c>
      <c r="F3522" s="22">
        <f t="array" ref="F3522">IF($C3522="","",IFERROR(INDEX(DATA_MASTER!$L$2:$L$5000,MATCH($C3522,DATA_MASTER!$D$2:$D$5000,0)),""))</f>
        <v/>
      </c>
      <c r="G3522" s="24" t="n"/>
      <c r="H3522" s="24" t="n"/>
      <c r="I3522" s="30" t="n"/>
      <c r="J3522" s="23">
        <f>IF(OR($H3522="",$I3522=""),"",$H3522*$I3522)</f>
        <v/>
      </c>
      <c r="K3522" s="24" t="n"/>
      <c r="L3522" s="24" t="n"/>
      <c r="M3522" s="29" t="n"/>
      <c r="N3522" s="28" t="n"/>
      <c r="O3522" s="24" t="n"/>
      <c r="P3522" s="24" t="n"/>
      <c r="Q3522" s="24" t="n"/>
      <c r="R3522" s="24" t="n"/>
      <c r="S3522" s="22">
        <f>IF(AND($A3522="",$C3522=""),"",IF($A3522="","Thiếu mã đơn; ","")&amp;IF(COUNTIF($A$2:$A3522,$A3522)&gt;1,"Trùng mã đơn; ","")&amp;IF(ISNA(MATCH($C3522,DATA_MASTER!$D$2:$D$5000,0)),"SĐT chưa đăng ký hội viên; ","")&amp;IF(AND($L3522="Đã chuyển khoản",$M3522=""),"Thiếu ngày nhận CK; ",""))</f>
        <v/>
      </c>
      <c r="T3522" s="24" t="n"/>
    </row>
    <row r="3523" ht="14.25" customHeight="1" s="40">
      <c r="A3523" s="24" t="n"/>
      <c r="B3523" s="29" t="n"/>
      <c r="C3523" s="28" t="n"/>
      <c r="D3523" s="22">
        <f t="array" ref="D3523">IF($C3523="","",IFERROR(INDEX(DATA_MASTER!$C$2:$C$5000,MATCH($C3523,DATA_MASTER!$D$2:$D$5000,0)),""))</f>
        <v/>
      </c>
      <c r="E3523" s="22">
        <f t="array" ref="E3523">IF($C3523="","",IFERROR(INDEX(DATA_MASTER!$I$2:$I$5000,MATCH($C3523,DATA_MASTER!$D$2:$D$5000,0)),""))</f>
        <v/>
      </c>
      <c r="F3523" s="22">
        <f t="array" ref="F3523">IF($C3523="","",IFERROR(INDEX(DATA_MASTER!$L$2:$L$5000,MATCH($C3523,DATA_MASTER!$D$2:$D$5000,0)),""))</f>
        <v/>
      </c>
      <c r="G3523" s="24" t="n"/>
      <c r="H3523" s="24" t="n"/>
      <c r="I3523" s="30" t="n"/>
      <c r="J3523" s="23">
        <f>IF(OR($H3523="",$I3523=""),"",$H3523*$I3523)</f>
        <v/>
      </c>
      <c r="K3523" s="24" t="n"/>
      <c r="L3523" s="24" t="n"/>
      <c r="M3523" s="29" t="n"/>
      <c r="N3523" s="28" t="n"/>
      <c r="O3523" s="24" t="n"/>
      <c r="P3523" s="24" t="n"/>
      <c r="Q3523" s="24" t="n"/>
      <c r="R3523" s="24" t="n"/>
      <c r="S3523" s="22">
        <f>IF(AND($A3523="",$C3523=""),"",IF($A3523="","Thiếu mã đơn; ","")&amp;IF(COUNTIF($A$2:$A3523,$A3523)&gt;1,"Trùng mã đơn; ","")&amp;IF(ISNA(MATCH($C3523,DATA_MASTER!$D$2:$D$5000,0)),"SĐT chưa đăng ký hội viên; ","")&amp;IF(AND($L3523="Đã chuyển khoản",$M3523=""),"Thiếu ngày nhận CK; ",""))</f>
        <v/>
      </c>
      <c r="T3523" s="24" t="n"/>
    </row>
    <row r="3524" ht="14.25" customHeight="1" s="40">
      <c r="A3524" s="24" t="n"/>
      <c r="B3524" s="29" t="n"/>
      <c r="C3524" s="28" t="n"/>
      <c r="D3524" s="22">
        <f t="array" ref="D3524">IF($C3524="","",IFERROR(INDEX(DATA_MASTER!$C$2:$C$5000,MATCH($C3524,DATA_MASTER!$D$2:$D$5000,0)),""))</f>
        <v/>
      </c>
      <c r="E3524" s="22">
        <f t="array" ref="E3524">IF($C3524="","",IFERROR(INDEX(DATA_MASTER!$I$2:$I$5000,MATCH($C3524,DATA_MASTER!$D$2:$D$5000,0)),""))</f>
        <v/>
      </c>
      <c r="F3524" s="22">
        <f t="array" ref="F3524">IF($C3524="","",IFERROR(INDEX(DATA_MASTER!$L$2:$L$5000,MATCH($C3524,DATA_MASTER!$D$2:$D$5000,0)),""))</f>
        <v/>
      </c>
      <c r="G3524" s="24" t="n"/>
      <c r="H3524" s="24" t="n"/>
      <c r="I3524" s="30" t="n"/>
      <c r="J3524" s="23">
        <f>IF(OR($H3524="",$I3524=""),"",$H3524*$I3524)</f>
        <v/>
      </c>
      <c r="K3524" s="24" t="n"/>
      <c r="L3524" s="24" t="n"/>
      <c r="M3524" s="29" t="n"/>
      <c r="N3524" s="28" t="n"/>
      <c r="O3524" s="24" t="n"/>
      <c r="P3524" s="24" t="n"/>
      <c r="Q3524" s="24" t="n"/>
      <c r="R3524" s="24" t="n"/>
      <c r="S3524" s="22">
        <f>IF(AND($A3524="",$C3524=""),"",IF($A3524="","Thiếu mã đơn; ","")&amp;IF(COUNTIF($A$2:$A3524,$A3524)&gt;1,"Trùng mã đơn; ","")&amp;IF(ISNA(MATCH($C3524,DATA_MASTER!$D$2:$D$5000,0)),"SĐT chưa đăng ký hội viên; ","")&amp;IF(AND($L3524="Đã chuyển khoản",$M3524=""),"Thiếu ngày nhận CK; ",""))</f>
        <v/>
      </c>
      <c r="T3524" s="24" t="n"/>
    </row>
    <row r="3525" ht="14.25" customHeight="1" s="40">
      <c r="A3525" s="24" t="n"/>
      <c r="B3525" s="29" t="n"/>
      <c r="C3525" s="28" t="n"/>
      <c r="D3525" s="22">
        <f t="array" ref="D3525">IF($C3525="","",IFERROR(INDEX(DATA_MASTER!$C$2:$C$5000,MATCH($C3525,DATA_MASTER!$D$2:$D$5000,0)),""))</f>
        <v/>
      </c>
      <c r="E3525" s="22">
        <f t="array" ref="E3525">IF($C3525="","",IFERROR(INDEX(DATA_MASTER!$I$2:$I$5000,MATCH($C3525,DATA_MASTER!$D$2:$D$5000,0)),""))</f>
        <v/>
      </c>
      <c r="F3525" s="22">
        <f t="array" ref="F3525">IF($C3525="","",IFERROR(INDEX(DATA_MASTER!$L$2:$L$5000,MATCH($C3525,DATA_MASTER!$D$2:$D$5000,0)),""))</f>
        <v/>
      </c>
      <c r="G3525" s="24" t="n"/>
      <c r="H3525" s="24" t="n"/>
      <c r="I3525" s="30" t="n"/>
      <c r="J3525" s="23">
        <f>IF(OR($H3525="",$I3525=""),"",$H3525*$I3525)</f>
        <v/>
      </c>
      <c r="K3525" s="24" t="n"/>
      <c r="L3525" s="24" t="n"/>
      <c r="M3525" s="29" t="n"/>
      <c r="N3525" s="28" t="n"/>
      <c r="O3525" s="24" t="n"/>
      <c r="P3525" s="24" t="n"/>
      <c r="Q3525" s="24" t="n"/>
      <c r="R3525" s="24" t="n"/>
      <c r="S3525" s="22">
        <f>IF(AND($A3525="",$C3525=""),"",IF($A3525="","Thiếu mã đơn; ","")&amp;IF(COUNTIF($A$2:$A3525,$A3525)&gt;1,"Trùng mã đơn; ","")&amp;IF(ISNA(MATCH($C3525,DATA_MASTER!$D$2:$D$5000,0)),"SĐT chưa đăng ký hội viên; ","")&amp;IF(AND($L3525="Đã chuyển khoản",$M3525=""),"Thiếu ngày nhận CK; ",""))</f>
        <v/>
      </c>
      <c r="T3525" s="24" t="n"/>
    </row>
    <row r="3526" ht="14.25" customHeight="1" s="40">
      <c r="A3526" s="24" t="n"/>
      <c r="B3526" s="29" t="n"/>
      <c r="C3526" s="28" t="n"/>
      <c r="D3526" s="22">
        <f t="array" ref="D3526">IF($C3526="","",IFERROR(INDEX(DATA_MASTER!$C$2:$C$5000,MATCH($C3526,DATA_MASTER!$D$2:$D$5000,0)),""))</f>
        <v/>
      </c>
      <c r="E3526" s="22">
        <f t="array" ref="E3526">IF($C3526="","",IFERROR(INDEX(DATA_MASTER!$I$2:$I$5000,MATCH($C3526,DATA_MASTER!$D$2:$D$5000,0)),""))</f>
        <v/>
      </c>
      <c r="F3526" s="22">
        <f t="array" ref="F3526">IF($C3526="","",IFERROR(INDEX(DATA_MASTER!$L$2:$L$5000,MATCH($C3526,DATA_MASTER!$D$2:$D$5000,0)),""))</f>
        <v/>
      </c>
      <c r="G3526" s="24" t="n"/>
      <c r="H3526" s="24" t="n"/>
      <c r="I3526" s="30" t="n"/>
      <c r="J3526" s="23">
        <f>IF(OR($H3526="",$I3526=""),"",$H3526*$I3526)</f>
        <v/>
      </c>
      <c r="K3526" s="24" t="n"/>
      <c r="L3526" s="24" t="n"/>
      <c r="M3526" s="29" t="n"/>
      <c r="N3526" s="28" t="n"/>
      <c r="O3526" s="24" t="n"/>
      <c r="P3526" s="24" t="n"/>
      <c r="Q3526" s="24" t="n"/>
      <c r="R3526" s="24" t="n"/>
      <c r="S3526" s="22">
        <f>IF(AND($A3526="",$C3526=""),"",IF($A3526="","Thiếu mã đơn; ","")&amp;IF(COUNTIF($A$2:$A3526,$A3526)&gt;1,"Trùng mã đơn; ","")&amp;IF(ISNA(MATCH($C3526,DATA_MASTER!$D$2:$D$5000,0)),"SĐT chưa đăng ký hội viên; ","")&amp;IF(AND($L3526="Đã chuyển khoản",$M3526=""),"Thiếu ngày nhận CK; ",""))</f>
        <v/>
      </c>
      <c r="T3526" s="24" t="n"/>
    </row>
    <row r="3527" ht="14.25" customHeight="1" s="40">
      <c r="A3527" s="24" t="n"/>
      <c r="B3527" s="29" t="n"/>
      <c r="C3527" s="28" t="n"/>
      <c r="D3527" s="22">
        <f t="array" ref="D3527">IF($C3527="","",IFERROR(INDEX(DATA_MASTER!$C$2:$C$5000,MATCH($C3527,DATA_MASTER!$D$2:$D$5000,0)),""))</f>
        <v/>
      </c>
      <c r="E3527" s="22">
        <f t="array" ref="E3527">IF($C3527="","",IFERROR(INDEX(DATA_MASTER!$I$2:$I$5000,MATCH($C3527,DATA_MASTER!$D$2:$D$5000,0)),""))</f>
        <v/>
      </c>
      <c r="F3527" s="22">
        <f t="array" ref="F3527">IF($C3527="","",IFERROR(INDEX(DATA_MASTER!$L$2:$L$5000,MATCH($C3527,DATA_MASTER!$D$2:$D$5000,0)),""))</f>
        <v/>
      </c>
      <c r="G3527" s="24" t="n"/>
      <c r="H3527" s="24" t="n"/>
      <c r="I3527" s="30" t="n"/>
      <c r="J3527" s="23">
        <f>IF(OR($H3527="",$I3527=""),"",$H3527*$I3527)</f>
        <v/>
      </c>
      <c r="K3527" s="24" t="n"/>
      <c r="L3527" s="24" t="n"/>
      <c r="M3527" s="29" t="n"/>
      <c r="N3527" s="28" t="n"/>
      <c r="O3527" s="24" t="n"/>
      <c r="P3527" s="24" t="n"/>
      <c r="Q3527" s="24" t="n"/>
      <c r="R3527" s="24" t="n"/>
      <c r="S3527" s="22">
        <f>IF(AND($A3527="",$C3527=""),"",IF($A3527="","Thiếu mã đơn; ","")&amp;IF(COUNTIF($A$2:$A3527,$A3527)&gt;1,"Trùng mã đơn; ","")&amp;IF(ISNA(MATCH($C3527,DATA_MASTER!$D$2:$D$5000,0)),"SĐT chưa đăng ký hội viên; ","")&amp;IF(AND($L3527="Đã chuyển khoản",$M3527=""),"Thiếu ngày nhận CK; ",""))</f>
        <v/>
      </c>
      <c r="T3527" s="24" t="n"/>
    </row>
    <row r="3528" ht="14.25" customHeight="1" s="40">
      <c r="A3528" s="24" t="n"/>
      <c r="B3528" s="29" t="n"/>
      <c r="C3528" s="28" t="n"/>
      <c r="D3528" s="22">
        <f t="array" ref="D3528">IF($C3528="","",IFERROR(INDEX(DATA_MASTER!$C$2:$C$5000,MATCH($C3528,DATA_MASTER!$D$2:$D$5000,0)),""))</f>
        <v/>
      </c>
      <c r="E3528" s="22">
        <f t="array" ref="E3528">IF($C3528="","",IFERROR(INDEX(DATA_MASTER!$I$2:$I$5000,MATCH($C3528,DATA_MASTER!$D$2:$D$5000,0)),""))</f>
        <v/>
      </c>
      <c r="F3528" s="22">
        <f t="array" ref="F3528">IF($C3528="","",IFERROR(INDEX(DATA_MASTER!$L$2:$L$5000,MATCH($C3528,DATA_MASTER!$D$2:$D$5000,0)),""))</f>
        <v/>
      </c>
      <c r="G3528" s="24" t="n"/>
      <c r="H3528" s="24" t="n"/>
      <c r="I3528" s="30" t="n"/>
      <c r="J3528" s="23">
        <f>IF(OR($H3528="",$I3528=""),"",$H3528*$I3528)</f>
        <v/>
      </c>
      <c r="K3528" s="24" t="n"/>
      <c r="L3528" s="24" t="n"/>
      <c r="M3528" s="29" t="n"/>
      <c r="N3528" s="28" t="n"/>
      <c r="O3528" s="24" t="n"/>
      <c r="P3528" s="24" t="n"/>
      <c r="Q3528" s="24" t="n"/>
      <c r="R3528" s="24" t="n"/>
      <c r="S3528" s="22">
        <f>IF(AND($A3528="",$C3528=""),"",IF($A3528="","Thiếu mã đơn; ","")&amp;IF(COUNTIF($A$2:$A3528,$A3528)&gt;1,"Trùng mã đơn; ","")&amp;IF(ISNA(MATCH($C3528,DATA_MASTER!$D$2:$D$5000,0)),"SĐT chưa đăng ký hội viên; ","")&amp;IF(AND($L3528="Đã chuyển khoản",$M3528=""),"Thiếu ngày nhận CK; ",""))</f>
        <v/>
      </c>
      <c r="T3528" s="24" t="n"/>
    </row>
    <row r="3529" ht="14.25" customHeight="1" s="40">
      <c r="A3529" s="24" t="n"/>
      <c r="B3529" s="29" t="n"/>
      <c r="C3529" s="28" t="n"/>
      <c r="D3529" s="22">
        <f t="array" ref="D3529">IF($C3529="","",IFERROR(INDEX(DATA_MASTER!$C$2:$C$5000,MATCH($C3529,DATA_MASTER!$D$2:$D$5000,0)),""))</f>
        <v/>
      </c>
      <c r="E3529" s="22">
        <f t="array" ref="E3529">IF($C3529="","",IFERROR(INDEX(DATA_MASTER!$I$2:$I$5000,MATCH($C3529,DATA_MASTER!$D$2:$D$5000,0)),""))</f>
        <v/>
      </c>
      <c r="F3529" s="22">
        <f t="array" ref="F3529">IF($C3529="","",IFERROR(INDEX(DATA_MASTER!$L$2:$L$5000,MATCH($C3529,DATA_MASTER!$D$2:$D$5000,0)),""))</f>
        <v/>
      </c>
      <c r="G3529" s="24" t="n"/>
      <c r="H3529" s="24" t="n"/>
      <c r="I3529" s="30" t="n"/>
      <c r="J3529" s="23">
        <f>IF(OR($H3529="",$I3529=""),"",$H3529*$I3529)</f>
        <v/>
      </c>
      <c r="K3529" s="24" t="n"/>
      <c r="L3529" s="24" t="n"/>
      <c r="M3529" s="29" t="n"/>
      <c r="N3529" s="28" t="n"/>
      <c r="O3529" s="24" t="n"/>
      <c r="P3529" s="24" t="n"/>
      <c r="Q3529" s="24" t="n"/>
      <c r="R3529" s="24" t="n"/>
      <c r="S3529" s="22">
        <f>IF(AND($A3529="",$C3529=""),"",IF($A3529="","Thiếu mã đơn; ","")&amp;IF(COUNTIF($A$2:$A3529,$A3529)&gt;1,"Trùng mã đơn; ","")&amp;IF(ISNA(MATCH($C3529,DATA_MASTER!$D$2:$D$5000,0)),"SĐT chưa đăng ký hội viên; ","")&amp;IF(AND($L3529="Đã chuyển khoản",$M3529=""),"Thiếu ngày nhận CK; ",""))</f>
        <v/>
      </c>
      <c r="T3529" s="24" t="n"/>
    </row>
    <row r="3530" ht="14.25" customHeight="1" s="40">
      <c r="A3530" s="24" t="n"/>
      <c r="B3530" s="29" t="n"/>
      <c r="C3530" s="28" t="n"/>
      <c r="D3530" s="22">
        <f t="array" ref="D3530">IF($C3530="","",IFERROR(INDEX(DATA_MASTER!$C$2:$C$5000,MATCH($C3530,DATA_MASTER!$D$2:$D$5000,0)),""))</f>
        <v/>
      </c>
      <c r="E3530" s="22">
        <f t="array" ref="E3530">IF($C3530="","",IFERROR(INDEX(DATA_MASTER!$I$2:$I$5000,MATCH($C3530,DATA_MASTER!$D$2:$D$5000,0)),""))</f>
        <v/>
      </c>
      <c r="F3530" s="22">
        <f t="array" ref="F3530">IF($C3530="","",IFERROR(INDEX(DATA_MASTER!$L$2:$L$5000,MATCH($C3530,DATA_MASTER!$D$2:$D$5000,0)),""))</f>
        <v/>
      </c>
      <c r="G3530" s="24" t="n"/>
      <c r="H3530" s="24" t="n"/>
      <c r="I3530" s="30" t="n"/>
      <c r="J3530" s="23">
        <f>IF(OR($H3530="",$I3530=""),"",$H3530*$I3530)</f>
        <v/>
      </c>
      <c r="K3530" s="24" t="n"/>
      <c r="L3530" s="24" t="n"/>
      <c r="M3530" s="29" t="n"/>
      <c r="N3530" s="28" t="n"/>
      <c r="O3530" s="24" t="n"/>
      <c r="P3530" s="24" t="n"/>
      <c r="Q3530" s="24" t="n"/>
      <c r="R3530" s="24" t="n"/>
      <c r="S3530" s="22">
        <f>IF(AND($A3530="",$C3530=""),"",IF($A3530="","Thiếu mã đơn; ","")&amp;IF(COUNTIF($A$2:$A3530,$A3530)&gt;1,"Trùng mã đơn; ","")&amp;IF(ISNA(MATCH($C3530,DATA_MASTER!$D$2:$D$5000,0)),"SĐT chưa đăng ký hội viên; ","")&amp;IF(AND($L3530="Đã chuyển khoản",$M3530=""),"Thiếu ngày nhận CK; ",""))</f>
        <v/>
      </c>
      <c r="T3530" s="24" t="n"/>
    </row>
    <row r="3531" ht="14.25" customHeight="1" s="40">
      <c r="A3531" s="24" t="n"/>
      <c r="B3531" s="29" t="n"/>
      <c r="C3531" s="28" t="n"/>
      <c r="D3531" s="22">
        <f t="array" ref="D3531">IF($C3531="","",IFERROR(INDEX(DATA_MASTER!$C$2:$C$5000,MATCH($C3531,DATA_MASTER!$D$2:$D$5000,0)),""))</f>
        <v/>
      </c>
      <c r="E3531" s="22">
        <f t="array" ref="E3531">IF($C3531="","",IFERROR(INDEX(DATA_MASTER!$I$2:$I$5000,MATCH($C3531,DATA_MASTER!$D$2:$D$5000,0)),""))</f>
        <v/>
      </c>
      <c r="F3531" s="22">
        <f t="array" ref="F3531">IF($C3531="","",IFERROR(INDEX(DATA_MASTER!$L$2:$L$5000,MATCH($C3531,DATA_MASTER!$D$2:$D$5000,0)),""))</f>
        <v/>
      </c>
      <c r="G3531" s="24" t="n"/>
      <c r="H3531" s="24" t="n"/>
      <c r="I3531" s="30" t="n"/>
      <c r="J3531" s="23">
        <f>IF(OR($H3531="",$I3531=""),"",$H3531*$I3531)</f>
        <v/>
      </c>
      <c r="K3531" s="24" t="n"/>
      <c r="L3531" s="24" t="n"/>
      <c r="M3531" s="29" t="n"/>
      <c r="N3531" s="28" t="n"/>
      <c r="O3531" s="24" t="n"/>
      <c r="P3531" s="24" t="n"/>
      <c r="Q3531" s="24" t="n"/>
      <c r="R3531" s="24" t="n"/>
      <c r="S3531" s="22">
        <f>IF(AND($A3531="",$C3531=""),"",IF($A3531="","Thiếu mã đơn; ","")&amp;IF(COUNTIF($A$2:$A3531,$A3531)&gt;1,"Trùng mã đơn; ","")&amp;IF(ISNA(MATCH($C3531,DATA_MASTER!$D$2:$D$5000,0)),"SĐT chưa đăng ký hội viên; ","")&amp;IF(AND($L3531="Đã chuyển khoản",$M3531=""),"Thiếu ngày nhận CK; ",""))</f>
        <v/>
      </c>
      <c r="T3531" s="24" t="n"/>
    </row>
    <row r="3532" ht="14.25" customHeight="1" s="40">
      <c r="A3532" s="24" t="n"/>
      <c r="B3532" s="29" t="n"/>
      <c r="C3532" s="28" t="n"/>
      <c r="D3532" s="22">
        <f t="array" ref="D3532">IF($C3532="","",IFERROR(INDEX(DATA_MASTER!$C$2:$C$5000,MATCH($C3532,DATA_MASTER!$D$2:$D$5000,0)),""))</f>
        <v/>
      </c>
      <c r="E3532" s="22">
        <f t="array" ref="E3532">IF($C3532="","",IFERROR(INDEX(DATA_MASTER!$I$2:$I$5000,MATCH($C3532,DATA_MASTER!$D$2:$D$5000,0)),""))</f>
        <v/>
      </c>
      <c r="F3532" s="22">
        <f t="array" ref="F3532">IF($C3532="","",IFERROR(INDEX(DATA_MASTER!$L$2:$L$5000,MATCH($C3532,DATA_MASTER!$D$2:$D$5000,0)),""))</f>
        <v/>
      </c>
      <c r="G3532" s="24" t="n"/>
      <c r="H3532" s="24" t="n"/>
      <c r="I3532" s="30" t="n"/>
      <c r="J3532" s="23">
        <f>IF(OR($H3532="",$I3532=""),"",$H3532*$I3532)</f>
        <v/>
      </c>
      <c r="K3532" s="24" t="n"/>
      <c r="L3532" s="24" t="n"/>
      <c r="M3532" s="29" t="n"/>
      <c r="N3532" s="28" t="n"/>
      <c r="O3532" s="24" t="n"/>
      <c r="P3532" s="24" t="n"/>
      <c r="Q3532" s="24" t="n"/>
      <c r="R3532" s="24" t="n"/>
      <c r="S3532" s="22">
        <f>IF(AND($A3532="",$C3532=""),"",IF($A3532="","Thiếu mã đơn; ","")&amp;IF(COUNTIF($A$2:$A3532,$A3532)&gt;1,"Trùng mã đơn; ","")&amp;IF(ISNA(MATCH($C3532,DATA_MASTER!$D$2:$D$5000,0)),"SĐT chưa đăng ký hội viên; ","")&amp;IF(AND($L3532="Đã chuyển khoản",$M3532=""),"Thiếu ngày nhận CK; ",""))</f>
        <v/>
      </c>
      <c r="T3532" s="24" t="n"/>
    </row>
    <row r="3533" ht="14.25" customHeight="1" s="40">
      <c r="A3533" s="24" t="n"/>
      <c r="B3533" s="29" t="n"/>
      <c r="C3533" s="28" t="n"/>
      <c r="D3533" s="22">
        <f t="array" ref="D3533">IF($C3533="","",IFERROR(INDEX(DATA_MASTER!$C$2:$C$5000,MATCH($C3533,DATA_MASTER!$D$2:$D$5000,0)),""))</f>
        <v/>
      </c>
      <c r="E3533" s="22">
        <f t="array" ref="E3533">IF($C3533="","",IFERROR(INDEX(DATA_MASTER!$I$2:$I$5000,MATCH($C3533,DATA_MASTER!$D$2:$D$5000,0)),""))</f>
        <v/>
      </c>
      <c r="F3533" s="22">
        <f t="array" ref="F3533">IF($C3533="","",IFERROR(INDEX(DATA_MASTER!$L$2:$L$5000,MATCH($C3533,DATA_MASTER!$D$2:$D$5000,0)),""))</f>
        <v/>
      </c>
      <c r="G3533" s="24" t="n"/>
      <c r="H3533" s="24" t="n"/>
      <c r="I3533" s="30" t="n"/>
      <c r="J3533" s="23">
        <f>IF(OR($H3533="",$I3533=""),"",$H3533*$I3533)</f>
        <v/>
      </c>
      <c r="K3533" s="24" t="n"/>
      <c r="L3533" s="24" t="n"/>
      <c r="M3533" s="29" t="n"/>
      <c r="N3533" s="28" t="n"/>
      <c r="O3533" s="24" t="n"/>
      <c r="P3533" s="24" t="n"/>
      <c r="Q3533" s="24" t="n"/>
      <c r="R3533" s="24" t="n"/>
      <c r="S3533" s="22">
        <f>IF(AND($A3533="",$C3533=""),"",IF($A3533="","Thiếu mã đơn; ","")&amp;IF(COUNTIF($A$2:$A3533,$A3533)&gt;1,"Trùng mã đơn; ","")&amp;IF(ISNA(MATCH($C3533,DATA_MASTER!$D$2:$D$5000,0)),"SĐT chưa đăng ký hội viên; ","")&amp;IF(AND($L3533="Đã chuyển khoản",$M3533=""),"Thiếu ngày nhận CK; ",""))</f>
        <v/>
      </c>
      <c r="T3533" s="24" t="n"/>
    </row>
    <row r="3534" ht="14.25" customHeight="1" s="40">
      <c r="A3534" s="24" t="n"/>
      <c r="B3534" s="29" t="n"/>
      <c r="C3534" s="28" t="n"/>
      <c r="D3534" s="22">
        <f t="array" ref="D3534">IF($C3534="","",IFERROR(INDEX(DATA_MASTER!$C$2:$C$5000,MATCH($C3534,DATA_MASTER!$D$2:$D$5000,0)),""))</f>
        <v/>
      </c>
      <c r="E3534" s="22">
        <f t="array" ref="E3534">IF($C3534="","",IFERROR(INDEX(DATA_MASTER!$I$2:$I$5000,MATCH($C3534,DATA_MASTER!$D$2:$D$5000,0)),""))</f>
        <v/>
      </c>
      <c r="F3534" s="22">
        <f t="array" ref="F3534">IF($C3534="","",IFERROR(INDEX(DATA_MASTER!$L$2:$L$5000,MATCH($C3534,DATA_MASTER!$D$2:$D$5000,0)),""))</f>
        <v/>
      </c>
      <c r="G3534" s="24" t="n"/>
      <c r="H3534" s="24" t="n"/>
      <c r="I3534" s="30" t="n"/>
      <c r="J3534" s="23">
        <f>IF(OR($H3534="",$I3534=""),"",$H3534*$I3534)</f>
        <v/>
      </c>
      <c r="K3534" s="24" t="n"/>
      <c r="L3534" s="24" t="n"/>
      <c r="M3534" s="29" t="n"/>
      <c r="N3534" s="28" t="n"/>
      <c r="O3534" s="24" t="n"/>
      <c r="P3534" s="24" t="n"/>
      <c r="Q3534" s="24" t="n"/>
      <c r="R3534" s="24" t="n"/>
      <c r="S3534" s="22">
        <f>IF(AND($A3534="",$C3534=""),"",IF($A3534="","Thiếu mã đơn; ","")&amp;IF(COUNTIF($A$2:$A3534,$A3534)&gt;1,"Trùng mã đơn; ","")&amp;IF(ISNA(MATCH($C3534,DATA_MASTER!$D$2:$D$5000,0)),"SĐT chưa đăng ký hội viên; ","")&amp;IF(AND($L3534="Đã chuyển khoản",$M3534=""),"Thiếu ngày nhận CK; ",""))</f>
        <v/>
      </c>
      <c r="T3534" s="24" t="n"/>
    </row>
    <row r="3535" ht="14.25" customHeight="1" s="40">
      <c r="A3535" s="24" t="n"/>
      <c r="B3535" s="29" t="n"/>
      <c r="C3535" s="28" t="n"/>
      <c r="D3535" s="22">
        <f t="array" ref="D3535">IF($C3535="","",IFERROR(INDEX(DATA_MASTER!$C$2:$C$5000,MATCH($C3535,DATA_MASTER!$D$2:$D$5000,0)),""))</f>
        <v/>
      </c>
      <c r="E3535" s="22">
        <f t="array" ref="E3535">IF($C3535="","",IFERROR(INDEX(DATA_MASTER!$I$2:$I$5000,MATCH($C3535,DATA_MASTER!$D$2:$D$5000,0)),""))</f>
        <v/>
      </c>
      <c r="F3535" s="22">
        <f t="array" ref="F3535">IF($C3535="","",IFERROR(INDEX(DATA_MASTER!$L$2:$L$5000,MATCH($C3535,DATA_MASTER!$D$2:$D$5000,0)),""))</f>
        <v/>
      </c>
      <c r="G3535" s="24" t="n"/>
      <c r="H3535" s="24" t="n"/>
      <c r="I3535" s="30" t="n"/>
      <c r="J3535" s="23">
        <f>IF(OR($H3535="",$I3535=""),"",$H3535*$I3535)</f>
        <v/>
      </c>
      <c r="K3535" s="24" t="n"/>
      <c r="L3535" s="24" t="n"/>
      <c r="M3535" s="29" t="n"/>
      <c r="N3535" s="28" t="n"/>
      <c r="O3535" s="24" t="n"/>
      <c r="P3535" s="24" t="n"/>
      <c r="Q3535" s="24" t="n"/>
      <c r="R3535" s="24" t="n"/>
      <c r="S3535" s="22">
        <f>IF(AND($A3535="",$C3535=""),"",IF($A3535="","Thiếu mã đơn; ","")&amp;IF(COUNTIF($A$2:$A3535,$A3535)&gt;1,"Trùng mã đơn; ","")&amp;IF(ISNA(MATCH($C3535,DATA_MASTER!$D$2:$D$5000,0)),"SĐT chưa đăng ký hội viên; ","")&amp;IF(AND($L3535="Đã chuyển khoản",$M3535=""),"Thiếu ngày nhận CK; ",""))</f>
        <v/>
      </c>
      <c r="T3535" s="24" t="n"/>
    </row>
    <row r="3536" ht="14.25" customHeight="1" s="40">
      <c r="A3536" s="24" t="n"/>
      <c r="B3536" s="29" t="n"/>
      <c r="C3536" s="28" t="n"/>
      <c r="D3536" s="22">
        <f t="array" ref="D3536">IF($C3536="","",IFERROR(INDEX(DATA_MASTER!$C$2:$C$5000,MATCH($C3536,DATA_MASTER!$D$2:$D$5000,0)),""))</f>
        <v/>
      </c>
      <c r="E3536" s="22">
        <f t="array" ref="E3536">IF($C3536="","",IFERROR(INDEX(DATA_MASTER!$I$2:$I$5000,MATCH($C3536,DATA_MASTER!$D$2:$D$5000,0)),""))</f>
        <v/>
      </c>
      <c r="F3536" s="22">
        <f t="array" ref="F3536">IF($C3536="","",IFERROR(INDEX(DATA_MASTER!$L$2:$L$5000,MATCH($C3536,DATA_MASTER!$D$2:$D$5000,0)),""))</f>
        <v/>
      </c>
      <c r="G3536" s="24" t="n"/>
      <c r="H3536" s="24" t="n"/>
      <c r="I3536" s="30" t="n"/>
      <c r="J3536" s="23">
        <f>IF(OR($H3536="",$I3536=""),"",$H3536*$I3536)</f>
        <v/>
      </c>
      <c r="K3536" s="24" t="n"/>
      <c r="L3536" s="24" t="n"/>
      <c r="M3536" s="29" t="n"/>
      <c r="N3536" s="28" t="n"/>
      <c r="O3536" s="24" t="n"/>
      <c r="P3536" s="24" t="n"/>
      <c r="Q3536" s="24" t="n"/>
      <c r="R3536" s="24" t="n"/>
      <c r="S3536" s="22">
        <f>IF(AND($A3536="",$C3536=""),"",IF($A3536="","Thiếu mã đơn; ","")&amp;IF(COUNTIF($A$2:$A3536,$A3536)&gt;1,"Trùng mã đơn; ","")&amp;IF(ISNA(MATCH($C3536,DATA_MASTER!$D$2:$D$5000,0)),"SĐT chưa đăng ký hội viên; ","")&amp;IF(AND($L3536="Đã chuyển khoản",$M3536=""),"Thiếu ngày nhận CK; ",""))</f>
        <v/>
      </c>
      <c r="T3536" s="24" t="n"/>
    </row>
    <row r="3537" ht="14.25" customHeight="1" s="40">
      <c r="A3537" s="24" t="n"/>
      <c r="B3537" s="29" t="n"/>
      <c r="C3537" s="28" t="n"/>
      <c r="D3537" s="22">
        <f t="array" ref="D3537">IF($C3537="","",IFERROR(INDEX(DATA_MASTER!$C$2:$C$5000,MATCH($C3537,DATA_MASTER!$D$2:$D$5000,0)),""))</f>
        <v/>
      </c>
      <c r="E3537" s="22">
        <f t="array" ref="E3537">IF($C3537="","",IFERROR(INDEX(DATA_MASTER!$I$2:$I$5000,MATCH($C3537,DATA_MASTER!$D$2:$D$5000,0)),""))</f>
        <v/>
      </c>
      <c r="F3537" s="22">
        <f t="array" ref="F3537">IF($C3537="","",IFERROR(INDEX(DATA_MASTER!$L$2:$L$5000,MATCH($C3537,DATA_MASTER!$D$2:$D$5000,0)),""))</f>
        <v/>
      </c>
      <c r="G3537" s="24" t="n"/>
      <c r="H3537" s="24" t="n"/>
      <c r="I3537" s="30" t="n"/>
      <c r="J3537" s="23">
        <f>IF(OR($H3537="",$I3537=""),"",$H3537*$I3537)</f>
        <v/>
      </c>
      <c r="K3537" s="24" t="n"/>
      <c r="L3537" s="24" t="n"/>
      <c r="M3537" s="29" t="n"/>
      <c r="N3537" s="28" t="n"/>
      <c r="O3537" s="24" t="n"/>
      <c r="P3537" s="24" t="n"/>
      <c r="Q3537" s="24" t="n"/>
      <c r="R3537" s="24" t="n"/>
      <c r="S3537" s="22">
        <f>IF(AND($A3537="",$C3537=""),"",IF($A3537="","Thiếu mã đơn; ","")&amp;IF(COUNTIF($A$2:$A3537,$A3537)&gt;1,"Trùng mã đơn; ","")&amp;IF(ISNA(MATCH($C3537,DATA_MASTER!$D$2:$D$5000,0)),"SĐT chưa đăng ký hội viên; ","")&amp;IF(AND($L3537="Đã chuyển khoản",$M3537=""),"Thiếu ngày nhận CK; ",""))</f>
        <v/>
      </c>
      <c r="T3537" s="24" t="n"/>
    </row>
    <row r="3538" ht="14.25" customHeight="1" s="40">
      <c r="A3538" s="24" t="n"/>
      <c r="B3538" s="29" t="n"/>
      <c r="C3538" s="28" t="n"/>
      <c r="D3538" s="22">
        <f t="array" ref="D3538">IF($C3538="","",IFERROR(INDEX(DATA_MASTER!$C$2:$C$5000,MATCH($C3538,DATA_MASTER!$D$2:$D$5000,0)),""))</f>
        <v/>
      </c>
      <c r="E3538" s="22">
        <f t="array" ref="E3538">IF($C3538="","",IFERROR(INDEX(DATA_MASTER!$I$2:$I$5000,MATCH($C3538,DATA_MASTER!$D$2:$D$5000,0)),""))</f>
        <v/>
      </c>
      <c r="F3538" s="22">
        <f t="array" ref="F3538">IF($C3538="","",IFERROR(INDEX(DATA_MASTER!$L$2:$L$5000,MATCH($C3538,DATA_MASTER!$D$2:$D$5000,0)),""))</f>
        <v/>
      </c>
      <c r="G3538" s="24" t="n"/>
      <c r="H3538" s="24" t="n"/>
      <c r="I3538" s="30" t="n"/>
      <c r="J3538" s="23">
        <f>IF(OR($H3538="",$I3538=""),"",$H3538*$I3538)</f>
        <v/>
      </c>
      <c r="K3538" s="24" t="n"/>
      <c r="L3538" s="24" t="n"/>
      <c r="M3538" s="29" t="n"/>
      <c r="N3538" s="28" t="n"/>
      <c r="O3538" s="24" t="n"/>
      <c r="P3538" s="24" t="n"/>
      <c r="Q3538" s="24" t="n"/>
      <c r="R3538" s="24" t="n"/>
      <c r="S3538" s="22">
        <f>IF(AND($A3538="",$C3538=""),"",IF($A3538="","Thiếu mã đơn; ","")&amp;IF(COUNTIF($A$2:$A3538,$A3538)&gt;1,"Trùng mã đơn; ","")&amp;IF(ISNA(MATCH($C3538,DATA_MASTER!$D$2:$D$5000,0)),"SĐT chưa đăng ký hội viên; ","")&amp;IF(AND($L3538="Đã chuyển khoản",$M3538=""),"Thiếu ngày nhận CK; ",""))</f>
        <v/>
      </c>
      <c r="T3538" s="24" t="n"/>
    </row>
    <row r="3539" ht="14.25" customHeight="1" s="40">
      <c r="A3539" s="24" t="n"/>
      <c r="B3539" s="29" t="n"/>
      <c r="C3539" s="28" t="n"/>
      <c r="D3539" s="22">
        <f t="array" ref="D3539">IF($C3539="","",IFERROR(INDEX(DATA_MASTER!$C$2:$C$5000,MATCH($C3539,DATA_MASTER!$D$2:$D$5000,0)),""))</f>
        <v/>
      </c>
      <c r="E3539" s="22">
        <f t="array" ref="E3539">IF($C3539="","",IFERROR(INDEX(DATA_MASTER!$I$2:$I$5000,MATCH($C3539,DATA_MASTER!$D$2:$D$5000,0)),""))</f>
        <v/>
      </c>
      <c r="F3539" s="22">
        <f t="array" ref="F3539">IF($C3539="","",IFERROR(INDEX(DATA_MASTER!$L$2:$L$5000,MATCH($C3539,DATA_MASTER!$D$2:$D$5000,0)),""))</f>
        <v/>
      </c>
      <c r="G3539" s="24" t="n"/>
      <c r="H3539" s="24" t="n"/>
      <c r="I3539" s="30" t="n"/>
      <c r="J3539" s="23">
        <f>IF(OR($H3539="",$I3539=""),"",$H3539*$I3539)</f>
        <v/>
      </c>
      <c r="K3539" s="24" t="n"/>
      <c r="L3539" s="24" t="n"/>
      <c r="M3539" s="29" t="n"/>
      <c r="N3539" s="28" t="n"/>
      <c r="O3539" s="24" t="n"/>
      <c r="P3539" s="24" t="n"/>
      <c r="Q3539" s="24" t="n"/>
      <c r="R3539" s="24" t="n"/>
      <c r="S3539" s="22">
        <f>IF(AND($A3539="",$C3539=""),"",IF($A3539="","Thiếu mã đơn; ","")&amp;IF(COUNTIF($A$2:$A3539,$A3539)&gt;1,"Trùng mã đơn; ","")&amp;IF(ISNA(MATCH($C3539,DATA_MASTER!$D$2:$D$5000,0)),"SĐT chưa đăng ký hội viên; ","")&amp;IF(AND($L3539="Đã chuyển khoản",$M3539=""),"Thiếu ngày nhận CK; ",""))</f>
        <v/>
      </c>
      <c r="T3539" s="24" t="n"/>
    </row>
    <row r="3540" ht="14.25" customHeight="1" s="40">
      <c r="A3540" s="24" t="n"/>
      <c r="B3540" s="29" t="n"/>
      <c r="C3540" s="28" t="n"/>
      <c r="D3540" s="22">
        <f t="array" ref="D3540">IF($C3540="","",IFERROR(INDEX(DATA_MASTER!$C$2:$C$5000,MATCH($C3540,DATA_MASTER!$D$2:$D$5000,0)),""))</f>
        <v/>
      </c>
      <c r="E3540" s="22">
        <f t="array" ref="E3540">IF($C3540="","",IFERROR(INDEX(DATA_MASTER!$I$2:$I$5000,MATCH($C3540,DATA_MASTER!$D$2:$D$5000,0)),""))</f>
        <v/>
      </c>
      <c r="F3540" s="22">
        <f t="array" ref="F3540">IF($C3540="","",IFERROR(INDEX(DATA_MASTER!$L$2:$L$5000,MATCH($C3540,DATA_MASTER!$D$2:$D$5000,0)),""))</f>
        <v/>
      </c>
      <c r="G3540" s="24" t="n"/>
      <c r="H3540" s="24" t="n"/>
      <c r="I3540" s="30" t="n"/>
      <c r="J3540" s="23">
        <f>IF(OR($H3540="",$I3540=""),"",$H3540*$I3540)</f>
        <v/>
      </c>
      <c r="K3540" s="24" t="n"/>
      <c r="L3540" s="24" t="n"/>
      <c r="M3540" s="29" t="n"/>
      <c r="N3540" s="28" t="n"/>
      <c r="O3540" s="24" t="n"/>
      <c r="P3540" s="24" t="n"/>
      <c r="Q3540" s="24" t="n"/>
      <c r="R3540" s="24" t="n"/>
      <c r="S3540" s="22">
        <f>IF(AND($A3540="",$C3540=""),"",IF($A3540="","Thiếu mã đơn; ","")&amp;IF(COUNTIF($A$2:$A3540,$A3540)&gt;1,"Trùng mã đơn; ","")&amp;IF(ISNA(MATCH($C3540,DATA_MASTER!$D$2:$D$5000,0)),"SĐT chưa đăng ký hội viên; ","")&amp;IF(AND($L3540="Đã chuyển khoản",$M3540=""),"Thiếu ngày nhận CK; ",""))</f>
        <v/>
      </c>
      <c r="T3540" s="24" t="n"/>
    </row>
    <row r="3541" ht="14.25" customHeight="1" s="40">
      <c r="A3541" s="24" t="n"/>
      <c r="B3541" s="29" t="n"/>
      <c r="C3541" s="28" t="n"/>
      <c r="D3541" s="22">
        <f t="array" ref="D3541">IF($C3541="","",IFERROR(INDEX(DATA_MASTER!$C$2:$C$5000,MATCH($C3541,DATA_MASTER!$D$2:$D$5000,0)),""))</f>
        <v/>
      </c>
      <c r="E3541" s="22">
        <f t="array" ref="E3541">IF($C3541="","",IFERROR(INDEX(DATA_MASTER!$I$2:$I$5000,MATCH($C3541,DATA_MASTER!$D$2:$D$5000,0)),""))</f>
        <v/>
      </c>
      <c r="F3541" s="22">
        <f t="array" ref="F3541">IF($C3541="","",IFERROR(INDEX(DATA_MASTER!$L$2:$L$5000,MATCH($C3541,DATA_MASTER!$D$2:$D$5000,0)),""))</f>
        <v/>
      </c>
      <c r="G3541" s="24" t="n"/>
      <c r="H3541" s="24" t="n"/>
      <c r="I3541" s="30" t="n"/>
      <c r="J3541" s="23">
        <f>IF(OR($H3541="",$I3541=""),"",$H3541*$I3541)</f>
        <v/>
      </c>
      <c r="K3541" s="24" t="n"/>
      <c r="L3541" s="24" t="n"/>
      <c r="M3541" s="29" t="n"/>
      <c r="N3541" s="28" t="n"/>
      <c r="O3541" s="24" t="n"/>
      <c r="P3541" s="24" t="n"/>
      <c r="Q3541" s="24" t="n"/>
      <c r="R3541" s="24" t="n"/>
      <c r="S3541" s="22">
        <f>IF(AND($A3541="",$C3541=""),"",IF($A3541="","Thiếu mã đơn; ","")&amp;IF(COUNTIF($A$2:$A3541,$A3541)&gt;1,"Trùng mã đơn; ","")&amp;IF(ISNA(MATCH($C3541,DATA_MASTER!$D$2:$D$5000,0)),"SĐT chưa đăng ký hội viên; ","")&amp;IF(AND($L3541="Đã chuyển khoản",$M3541=""),"Thiếu ngày nhận CK; ",""))</f>
        <v/>
      </c>
      <c r="T3541" s="24" t="n"/>
    </row>
    <row r="3542" ht="14.25" customHeight="1" s="40">
      <c r="A3542" s="24" t="n"/>
      <c r="B3542" s="29" t="n"/>
      <c r="C3542" s="28" t="n"/>
      <c r="D3542" s="22">
        <f t="array" ref="D3542">IF($C3542="","",IFERROR(INDEX(DATA_MASTER!$C$2:$C$5000,MATCH($C3542,DATA_MASTER!$D$2:$D$5000,0)),""))</f>
        <v/>
      </c>
      <c r="E3542" s="22">
        <f t="array" ref="E3542">IF($C3542="","",IFERROR(INDEX(DATA_MASTER!$I$2:$I$5000,MATCH($C3542,DATA_MASTER!$D$2:$D$5000,0)),""))</f>
        <v/>
      </c>
      <c r="F3542" s="22">
        <f t="array" ref="F3542">IF($C3542="","",IFERROR(INDEX(DATA_MASTER!$L$2:$L$5000,MATCH($C3542,DATA_MASTER!$D$2:$D$5000,0)),""))</f>
        <v/>
      </c>
      <c r="G3542" s="24" t="n"/>
      <c r="H3542" s="24" t="n"/>
      <c r="I3542" s="30" t="n"/>
      <c r="J3542" s="23">
        <f>IF(OR($H3542="",$I3542=""),"",$H3542*$I3542)</f>
        <v/>
      </c>
      <c r="K3542" s="24" t="n"/>
      <c r="L3542" s="24" t="n"/>
      <c r="M3542" s="29" t="n"/>
      <c r="N3542" s="28" t="n"/>
      <c r="O3542" s="24" t="n"/>
      <c r="P3542" s="24" t="n"/>
      <c r="Q3542" s="24" t="n"/>
      <c r="R3542" s="24" t="n"/>
      <c r="S3542" s="22">
        <f>IF(AND($A3542="",$C3542=""),"",IF($A3542="","Thiếu mã đơn; ","")&amp;IF(COUNTIF($A$2:$A3542,$A3542)&gt;1,"Trùng mã đơn; ","")&amp;IF(ISNA(MATCH($C3542,DATA_MASTER!$D$2:$D$5000,0)),"SĐT chưa đăng ký hội viên; ","")&amp;IF(AND($L3542="Đã chuyển khoản",$M3542=""),"Thiếu ngày nhận CK; ",""))</f>
        <v/>
      </c>
      <c r="T3542" s="24" t="n"/>
    </row>
    <row r="3543" ht="14.25" customHeight="1" s="40">
      <c r="A3543" s="24" t="n"/>
      <c r="B3543" s="29" t="n"/>
      <c r="C3543" s="28" t="n"/>
      <c r="D3543" s="22">
        <f t="array" ref="D3543">IF($C3543="","",IFERROR(INDEX(DATA_MASTER!$C$2:$C$5000,MATCH($C3543,DATA_MASTER!$D$2:$D$5000,0)),""))</f>
        <v/>
      </c>
      <c r="E3543" s="22">
        <f t="array" ref="E3543">IF($C3543="","",IFERROR(INDEX(DATA_MASTER!$I$2:$I$5000,MATCH($C3543,DATA_MASTER!$D$2:$D$5000,0)),""))</f>
        <v/>
      </c>
      <c r="F3543" s="22">
        <f t="array" ref="F3543">IF($C3543="","",IFERROR(INDEX(DATA_MASTER!$L$2:$L$5000,MATCH($C3543,DATA_MASTER!$D$2:$D$5000,0)),""))</f>
        <v/>
      </c>
      <c r="G3543" s="24" t="n"/>
      <c r="H3543" s="24" t="n"/>
      <c r="I3543" s="30" t="n"/>
      <c r="J3543" s="23">
        <f>IF(OR($H3543="",$I3543=""),"",$H3543*$I3543)</f>
        <v/>
      </c>
      <c r="K3543" s="24" t="n"/>
      <c r="L3543" s="24" t="n"/>
      <c r="M3543" s="29" t="n"/>
      <c r="N3543" s="28" t="n"/>
      <c r="O3543" s="24" t="n"/>
      <c r="P3543" s="24" t="n"/>
      <c r="Q3543" s="24" t="n"/>
      <c r="R3543" s="24" t="n"/>
      <c r="S3543" s="22">
        <f>IF(AND($A3543="",$C3543=""),"",IF($A3543="","Thiếu mã đơn; ","")&amp;IF(COUNTIF($A$2:$A3543,$A3543)&gt;1,"Trùng mã đơn; ","")&amp;IF(ISNA(MATCH($C3543,DATA_MASTER!$D$2:$D$5000,0)),"SĐT chưa đăng ký hội viên; ","")&amp;IF(AND($L3543="Đã chuyển khoản",$M3543=""),"Thiếu ngày nhận CK; ",""))</f>
        <v/>
      </c>
      <c r="T3543" s="24" t="n"/>
    </row>
    <row r="3544" ht="14.25" customHeight="1" s="40">
      <c r="A3544" s="24" t="n"/>
      <c r="B3544" s="29" t="n"/>
      <c r="C3544" s="28" t="n"/>
      <c r="D3544" s="22">
        <f t="array" ref="D3544">IF($C3544="","",IFERROR(INDEX(DATA_MASTER!$C$2:$C$5000,MATCH($C3544,DATA_MASTER!$D$2:$D$5000,0)),""))</f>
        <v/>
      </c>
      <c r="E3544" s="22">
        <f t="array" ref="E3544">IF($C3544="","",IFERROR(INDEX(DATA_MASTER!$I$2:$I$5000,MATCH($C3544,DATA_MASTER!$D$2:$D$5000,0)),""))</f>
        <v/>
      </c>
      <c r="F3544" s="22">
        <f t="array" ref="F3544">IF($C3544="","",IFERROR(INDEX(DATA_MASTER!$L$2:$L$5000,MATCH($C3544,DATA_MASTER!$D$2:$D$5000,0)),""))</f>
        <v/>
      </c>
      <c r="G3544" s="24" t="n"/>
      <c r="H3544" s="24" t="n"/>
      <c r="I3544" s="30" t="n"/>
      <c r="J3544" s="23">
        <f>IF(OR($H3544="",$I3544=""),"",$H3544*$I3544)</f>
        <v/>
      </c>
      <c r="K3544" s="24" t="n"/>
      <c r="L3544" s="24" t="n"/>
      <c r="M3544" s="29" t="n"/>
      <c r="N3544" s="28" t="n"/>
      <c r="O3544" s="24" t="n"/>
      <c r="P3544" s="24" t="n"/>
      <c r="Q3544" s="24" t="n"/>
      <c r="R3544" s="24" t="n"/>
      <c r="S3544" s="22">
        <f>IF(AND($A3544="",$C3544=""),"",IF($A3544="","Thiếu mã đơn; ","")&amp;IF(COUNTIF($A$2:$A3544,$A3544)&gt;1,"Trùng mã đơn; ","")&amp;IF(ISNA(MATCH($C3544,DATA_MASTER!$D$2:$D$5000,0)),"SĐT chưa đăng ký hội viên; ","")&amp;IF(AND($L3544="Đã chuyển khoản",$M3544=""),"Thiếu ngày nhận CK; ",""))</f>
        <v/>
      </c>
      <c r="T3544" s="24" t="n"/>
    </row>
    <row r="3545" ht="14.25" customHeight="1" s="40">
      <c r="A3545" s="24" t="n"/>
      <c r="B3545" s="29" t="n"/>
      <c r="C3545" s="28" t="n"/>
      <c r="D3545" s="22">
        <f t="array" ref="D3545">IF($C3545="","",IFERROR(INDEX(DATA_MASTER!$C$2:$C$5000,MATCH($C3545,DATA_MASTER!$D$2:$D$5000,0)),""))</f>
        <v/>
      </c>
      <c r="E3545" s="22">
        <f t="array" ref="E3545">IF($C3545="","",IFERROR(INDEX(DATA_MASTER!$I$2:$I$5000,MATCH($C3545,DATA_MASTER!$D$2:$D$5000,0)),""))</f>
        <v/>
      </c>
      <c r="F3545" s="22">
        <f t="array" ref="F3545">IF($C3545="","",IFERROR(INDEX(DATA_MASTER!$L$2:$L$5000,MATCH($C3545,DATA_MASTER!$D$2:$D$5000,0)),""))</f>
        <v/>
      </c>
      <c r="G3545" s="24" t="n"/>
      <c r="H3545" s="24" t="n"/>
      <c r="I3545" s="30" t="n"/>
      <c r="J3545" s="23">
        <f>IF(OR($H3545="",$I3545=""),"",$H3545*$I3545)</f>
        <v/>
      </c>
      <c r="K3545" s="24" t="n"/>
      <c r="L3545" s="24" t="n"/>
      <c r="M3545" s="29" t="n"/>
      <c r="N3545" s="28" t="n"/>
      <c r="O3545" s="24" t="n"/>
      <c r="P3545" s="24" t="n"/>
      <c r="Q3545" s="24" t="n"/>
      <c r="R3545" s="24" t="n"/>
      <c r="S3545" s="22">
        <f>IF(AND($A3545="",$C3545=""),"",IF($A3545="","Thiếu mã đơn; ","")&amp;IF(COUNTIF($A$2:$A3545,$A3545)&gt;1,"Trùng mã đơn; ","")&amp;IF(ISNA(MATCH($C3545,DATA_MASTER!$D$2:$D$5000,0)),"SĐT chưa đăng ký hội viên; ","")&amp;IF(AND($L3545="Đã chuyển khoản",$M3545=""),"Thiếu ngày nhận CK; ",""))</f>
        <v/>
      </c>
      <c r="T3545" s="24" t="n"/>
    </row>
    <row r="3546" ht="14.25" customHeight="1" s="40">
      <c r="A3546" s="24" t="n"/>
      <c r="B3546" s="29" t="n"/>
      <c r="C3546" s="28" t="n"/>
      <c r="D3546" s="22">
        <f t="array" ref="D3546">IF($C3546="","",IFERROR(INDEX(DATA_MASTER!$C$2:$C$5000,MATCH($C3546,DATA_MASTER!$D$2:$D$5000,0)),""))</f>
        <v/>
      </c>
      <c r="E3546" s="22">
        <f t="array" ref="E3546">IF($C3546="","",IFERROR(INDEX(DATA_MASTER!$I$2:$I$5000,MATCH($C3546,DATA_MASTER!$D$2:$D$5000,0)),""))</f>
        <v/>
      </c>
      <c r="F3546" s="22">
        <f t="array" ref="F3546">IF($C3546="","",IFERROR(INDEX(DATA_MASTER!$L$2:$L$5000,MATCH($C3546,DATA_MASTER!$D$2:$D$5000,0)),""))</f>
        <v/>
      </c>
      <c r="G3546" s="24" t="n"/>
      <c r="H3546" s="24" t="n"/>
      <c r="I3546" s="30" t="n"/>
      <c r="J3546" s="23">
        <f>IF(OR($H3546="",$I3546=""),"",$H3546*$I3546)</f>
        <v/>
      </c>
      <c r="K3546" s="24" t="n"/>
      <c r="L3546" s="24" t="n"/>
      <c r="M3546" s="29" t="n"/>
      <c r="N3546" s="28" t="n"/>
      <c r="O3546" s="24" t="n"/>
      <c r="P3546" s="24" t="n"/>
      <c r="Q3546" s="24" t="n"/>
      <c r="R3546" s="24" t="n"/>
      <c r="S3546" s="22">
        <f>IF(AND($A3546="",$C3546=""),"",IF($A3546="","Thiếu mã đơn; ","")&amp;IF(COUNTIF($A$2:$A3546,$A3546)&gt;1,"Trùng mã đơn; ","")&amp;IF(ISNA(MATCH($C3546,DATA_MASTER!$D$2:$D$5000,0)),"SĐT chưa đăng ký hội viên; ","")&amp;IF(AND($L3546="Đã chuyển khoản",$M3546=""),"Thiếu ngày nhận CK; ",""))</f>
        <v/>
      </c>
      <c r="T3546" s="24" t="n"/>
    </row>
    <row r="3547" ht="14.25" customHeight="1" s="40">
      <c r="A3547" s="24" t="n"/>
      <c r="B3547" s="29" t="n"/>
      <c r="C3547" s="28" t="n"/>
      <c r="D3547" s="22">
        <f t="array" ref="D3547">IF($C3547="","",IFERROR(INDEX(DATA_MASTER!$C$2:$C$5000,MATCH($C3547,DATA_MASTER!$D$2:$D$5000,0)),""))</f>
        <v/>
      </c>
      <c r="E3547" s="22">
        <f t="array" ref="E3547">IF($C3547="","",IFERROR(INDEX(DATA_MASTER!$I$2:$I$5000,MATCH($C3547,DATA_MASTER!$D$2:$D$5000,0)),""))</f>
        <v/>
      </c>
      <c r="F3547" s="22">
        <f t="array" ref="F3547">IF($C3547="","",IFERROR(INDEX(DATA_MASTER!$L$2:$L$5000,MATCH($C3547,DATA_MASTER!$D$2:$D$5000,0)),""))</f>
        <v/>
      </c>
      <c r="G3547" s="24" t="n"/>
      <c r="H3547" s="24" t="n"/>
      <c r="I3547" s="30" t="n"/>
      <c r="J3547" s="23">
        <f>IF(OR($H3547="",$I3547=""),"",$H3547*$I3547)</f>
        <v/>
      </c>
      <c r="K3547" s="24" t="n"/>
      <c r="L3547" s="24" t="n"/>
      <c r="M3547" s="29" t="n"/>
      <c r="N3547" s="28" t="n"/>
      <c r="O3547" s="24" t="n"/>
      <c r="P3547" s="24" t="n"/>
      <c r="Q3547" s="24" t="n"/>
      <c r="R3547" s="24" t="n"/>
      <c r="S3547" s="22">
        <f>IF(AND($A3547="",$C3547=""),"",IF($A3547="","Thiếu mã đơn; ","")&amp;IF(COUNTIF($A$2:$A3547,$A3547)&gt;1,"Trùng mã đơn; ","")&amp;IF(ISNA(MATCH($C3547,DATA_MASTER!$D$2:$D$5000,0)),"SĐT chưa đăng ký hội viên; ","")&amp;IF(AND($L3547="Đã chuyển khoản",$M3547=""),"Thiếu ngày nhận CK; ",""))</f>
        <v/>
      </c>
      <c r="T3547" s="24" t="n"/>
    </row>
    <row r="3548" ht="14.25" customHeight="1" s="40">
      <c r="A3548" s="24" t="n"/>
      <c r="B3548" s="29" t="n"/>
      <c r="C3548" s="28" t="n"/>
      <c r="D3548" s="22">
        <f t="array" ref="D3548">IF($C3548="","",IFERROR(INDEX(DATA_MASTER!$C$2:$C$5000,MATCH($C3548,DATA_MASTER!$D$2:$D$5000,0)),""))</f>
        <v/>
      </c>
      <c r="E3548" s="22">
        <f t="array" ref="E3548">IF($C3548="","",IFERROR(INDEX(DATA_MASTER!$I$2:$I$5000,MATCH($C3548,DATA_MASTER!$D$2:$D$5000,0)),""))</f>
        <v/>
      </c>
      <c r="F3548" s="22">
        <f t="array" ref="F3548">IF($C3548="","",IFERROR(INDEX(DATA_MASTER!$L$2:$L$5000,MATCH($C3548,DATA_MASTER!$D$2:$D$5000,0)),""))</f>
        <v/>
      </c>
      <c r="G3548" s="24" t="n"/>
      <c r="H3548" s="24" t="n"/>
      <c r="I3548" s="30" t="n"/>
      <c r="J3548" s="23">
        <f>IF(OR($H3548="",$I3548=""),"",$H3548*$I3548)</f>
        <v/>
      </c>
      <c r="K3548" s="24" t="n"/>
      <c r="L3548" s="24" t="n"/>
      <c r="M3548" s="29" t="n"/>
      <c r="N3548" s="28" t="n"/>
      <c r="O3548" s="24" t="n"/>
      <c r="P3548" s="24" t="n"/>
      <c r="Q3548" s="24" t="n"/>
      <c r="R3548" s="24" t="n"/>
      <c r="S3548" s="22">
        <f>IF(AND($A3548="",$C3548=""),"",IF($A3548="","Thiếu mã đơn; ","")&amp;IF(COUNTIF($A$2:$A3548,$A3548)&gt;1,"Trùng mã đơn; ","")&amp;IF(ISNA(MATCH($C3548,DATA_MASTER!$D$2:$D$5000,0)),"SĐT chưa đăng ký hội viên; ","")&amp;IF(AND($L3548="Đã chuyển khoản",$M3548=""),"Thiếu ngày nhận CK; ",""))</f>
        <v/>
      </c>
      <c r="T3548" s="24" t="n"/>
    </row>
    <row r="3549" ht="14.25" customHeight="1" s="40">
      <c r="A3549" s="24" t="n"/>
      <c r="B3549" s="29" t="n"/>
      <c r="C3549" s="28" t="n"/>
      <c r="D3549" s="22">
        <f t="array" ref="D3549">IF($C3549="","",IFERROR(INDEX(DATA_MASTER!$C$2:$C$5000,MATCH($C3549,DATA_MASTER!$D$2:$D$5000,0)),""))</f>
        <v/>
      </c>
      <c r="E3549" s="22">
        <f t="array" ref="E3549">IF($C3549="","",IFERROR(INDEX(DATA_MASTER!$I$2:$I$5000,MATCH($C3549,DATA_MASTER!$D$2:$D$5000,0)),""))</f>
        <v/>
      </c>
      <c r="F3549" s="22">
        <f t="array" ref="F3549">IF($C3549="","",IFERROR(INDEX(DATA_MASTER!$L$2:$L$5000,MATCH($C3549,DATA_MASTER!$D$2:$D$5000,0)),""))</f>
        <v/>
      </c>
      <c r="G3549" s="24" t="n"/>
      <c r="H3549" s="24" t="n"/>
      <c r="I3549" s="30" t="n"/>
      <c r="J3549" s="23">
        <f>IF(OR($H3549="",$I3549=""),"",$H3549*$I3549)</f>
        <v/>
      </c>
      <c r="K3549" s="24" t="n"/>
      <c r="L3549" s="24" t="n"/>
      <c r="M3549" s="29" t="n"/>
      <c r="N3549" s="28" t="n"/>
      <c r="O3549" s="24" t="n"/>
      <c r="P3549" s="24" t="n"/>
      <c r="Q3549" s="24" t="n"/>
      <c r="R3549" s="24" t="n"/>
      <c r="S3549" s="22">
        <f>IF(AND($A3549="",$C3549=""),"",IF($A3549="","Thiếu mã đơn; ","")&amp;IF(COUNTIF($A$2:$A3549,$A3549)&gt;1,"Trùng mã đơn; ","")&amp;IF(ISNA(MATCH($C3549,DATA_MASTER!$D$2:$D$5000,0)),"SĐT chưa đăng ký hội viên; ","")&amp;IF(AND($L3549="Đã chuyển khoản",$M3549=""),"Thiếu ngày nhận CK; ",""))</f>
        <v/>
      </c>
      <c r="T3549" s="24" t="n"/>
    </row>
    <row r="3550" ht="14.25" customHeight="1" s="40">
      <c r="A3550" s="24" t="n"/>
      <c r="B3550" s="29" t="n"/>
      <c r="C3550" s="28" t="n"/>
      <c r="D3550" s="22">
        <f t="array" ref="D3550">IF($C3550="","",IFERROR(INDEX(DATA_MASTER!$C$2:$C$5000,MATCH($C3550,DATA_MASTER!$D$2:$D$5000,0)),""))</f>
        <v/>
      </c>
      <c r="E3550" s="22">
        <f t="array" ref="E3550">IF($C3550="","",IFERROR(INDEX(DATA_MASTER!$I$2:$I$5000,MATCH($C3550,DATA_MASTER!$D$2:$D$5000,0)),""))</f>
        <v/>
      </c>
      <c r="F3550" s="22">
        <f t="array" ref="F3550">IF($C3550="","",IFERROR(INDEX(DATA_MASTER!$L$2:$L$5000,MATCH($C3550,DATA_MASTER!$D$2:$D$5000,0)),""))</f>
        <v/>
      </c>
      <c r="G3550" s="24" t="n"/>
      <c r="H3550" s="24" t="n"/>
      <c r="I3550" s="30" t="n"/>
      <c r="J3550" s="23">
        <f>IF(OR($H3550="",$I3550=""),"",$H3550*$I3550)</f>
        <v/>
      </c>
      <c r="K3550" s="24" t="n"/>
      <c r="L3550" s="24" t="n"/>
      <c r="M3550" s="29" t="n"/>
      <c r="N3550" s="28" t="n"/>
      <c r="O3550" s="24" t="n"/>
      <c r="P3550" s="24" t="n"/>
      <c r="Q3550" s="24" t="n"/>
      <c r="R3550" s="24" t="n"/>
      <c r="S3550" s="22">
        <f>IF(AND($A3550="",$C3550=""),"",IF($A3550="","Thiếu mã đơn; ","")&amp;IF(COUNTIF($A$2:$A3550,$A3550)&gt;1,"Trùng mã đơn; ","")&amp;IF(ISNA(MATCH($C3550,DATA_MASTER!$D$2:$D$5000,0)),"SĐT chưa đăng ký hội viên; ","")&amp;IF(AND($L3550="Đã chuyển khoản",$M3550=""),"Thiếu ngày nhận CK; ",""))</f>
        <v/>
      </c>
      <c r="T3550" s="24" t="n"/>
    </row>
    <row r="3551" ht="14.25" customHeight="1" s="40">
      <c r="A3551" s="24" t="n"/>
      <c r="B3551" s="29" t="n"/>
      <c r="C3551" s="28" t="n"/>
      <c r="D3551" s="22">
        <f t="array" ref="D3551">IF($C3551="","",IFERROR(INDEX(DATA_MASTER!$C$2:$C$5000,MATCH($C3551,DATA_MASTER!$D$2:$D$5000,0)),""))</f>
        <v/>
      </c>
      <c r="E3551" s="22">
        <f t="array" ref="E3551">IF($C3551="","",IFERROR(INDEX(DATA_MASTER!$I$2:$I$5000,MATCH($C3551,DATA_MASTER!$D$2:$D$5000,0)),""))</f>
        <v/>
      </c>
      <c r="F3551" s="22">
        <f t="array" ref="F3551">IF($C3551="","",IFERROR(INDEX(DATA_MASTER!$L$2:$L$5000,MATCH($C3551,DATA_MASTER!$D$2:$D$5000,0)),""))</f>
        <v/>
      </c>
      <c r="G3551" s="24" t="n"/>
      <c r="H3551" s="24" t="n"/>
      <c r="I3551" s="30" t="n"/>
      <c r="J3551" s="23">
        <f>IF(OR($H3551="",$I3551=""),"",$H3551*$I3551)</f>
        <v/>
      </c>
      <c r="K3551" s="24" t="n"/>
      <c r="L3551" s="24" t="n"/>
      <c r="M3551" s="29" t="n"/>
      <c r="N3551" s="28" t="n"/>
      <c r="O3551" s="24" t="n"/>
      <c r="P3551" s="24" t="n"/>
      <c r="Q3551" s="24" t="n"/>
      <c r="R3551" s="24" t="n"/>
      <c r="S3551" s="22">
        <f>IF(AND($A3551="",$C3551=""),"",IF($A3551="","Thiếu mã đơn; ","")&amp;IF(COUNTIF($A$2:$A3551,$A3551)&gt;1,"Trùng mã đơn; ","")&amp;IF(ISNA(MATCH($C3551,DATA_MASTER!$D$2:$D$5000,0)),"SĐT chưa đăng ký hội viên; ","")&amp;IF(AND($L3551="Đã chuyển khoản",$M3551=""),"Thiếu ngày nhận CK; ",""))</f>
        <v/>
      </c>
      <c r="T3551" s="24" t="n"/>
    </row>
    <row r="3552" ht="14.25" customHeight="1" s="40">
      <c r="A3552" s="24" t="n"/>
      <c r="B3552" s="29" t="n"/>
      <c r="C3552" s="28" t="n"/>
      <c r="D3552" s="22">
        <f t="array" ref="D3552">IF($C3552="","",IFERROR(INDEX(DATA_MASTER!$C$2:$C$5000,MATCH($C3552,DATA_MASTER!$D$2:$D$5000,0)),""))</f>
        <v/>
      </c>
      <c r="E3552" s="22">
        <f t="array" ref="E3552">IF($C3552="","",IFERROR(INDEX(DATA_MASTER!$I$2:$I$5000,MATCH($C3552,DATA_MASTER!$D$2:$D$5000,0)),""))</f>
        <v/>
      </c>
      <c r="F3552" s="22">
        <f t="array" ref="F3552">IF($C3552="","",IFERROR(INDEX(DATA_MASTER!$L$2:$L$5000,MATCH($C3552,DATA_MASTER!$D$2:$D$5000,0)),""))</f>
        <v/>
      </c>
      <c r="G3552" s="24" t="n"/>
      <c r="H3552" s="24" t="n"/>
      <c r="I3552" s="30" t="n"/>
      <c r="J3552" s="23">
        <f>IF(OR($H3552="",$I3552=""),"",$H3552*$I3552)</f>
        <v/>
      </c>
      <c r="K3552" s="24" t="n"/>
      <c r="L3552" s="24" t="n"/>
      <c r="M3552" s="29" t="n"/>
      <c r="N3552" s="28" t="n"/>
      <c r="O3552" s="24" t="n"/>
      <c r="P3552" s="24" t="n"/>
      <c r="Q3552" s="24" t="n"/>
      <c r="R3552" s="24" t="n"/>
      <c r="S3552" s="22">
        <f>IF(AND($A3552="",$C3552=""),"",IF($A3552="","Thiếu mã đơn; ","")&amp;IF(COUNTIF($A$2:$A3552,$A3552)&gt;1,"Trùng mã đơn; ","")&amp;IF(ISNA(MATCH($C3552,DATA_MASTER!$D$2:$D$5000,0)),"SĐT chưa đăng ký hội viên; ","")&amp;IF(AND($L3552="Đã chuyển khoản",$M3552=""),"Thiếu ngày nhận CK; ",""))</f>
        <v/>
      </c>
      <c r="T3552" s="24" t="n"/>
    </row>
    <row r="3553" ht="14.25" customHeight="1" s="40">
      <c r="A3553" s="24" t="n"/>
      <c r="B3553" s="29" t="n"/>
      <c r="C3553" s="28" t="n"/>
      <c r="D3553" s="22">
        <f t="array" ref="D3553">IF($C3553="","",IFERROR(INDEX(DATA_MASTER!$C$2:$C$5000,MATCH($C3553,DATA_MASTER!$D$2:$D$5000,0)),""))</f>
        <v/>
      </c>
      <c r="E3553" s="22">
        <f t="array" ref="E3553">IF($C3553="","",IFERROR(INDEX(DATA_MASTER!$I$2:$I$5000,MATCH($C3553,DATA_MASTER!$D$2:$D$5000,0)),""))</f>
        <v/>
      </c>
      <c r="F3553" s="22">
        <f t="array" ref="F3553">IF($C3553="","",IFERROR(INDEX(DATA_MASTER!$L$2:$L$5000,MATCH($C3553,DATA_MASTER!$D$2:$D$5000,0)),""))</f>
        <v/>
      </c>
      <c r="G3553" s="24" t="n"/>
      <c r="H3553" s="24" t="n"/>
      <c r="I3553" s="30" t="n"/>
      <c r="J3553" s="23">
        <f>IF(OR($H3553="",$I3553=""),"",$H3553*$I3553)</f>
        <v/>
      </c>
      <c r="K3553" s="24" t="n"/>
      <c r="L3553" s="24" t="n"/>
      <c r="M3553" s="29" t="n"/>
      <c r="N3553" s="28" t="n"/>
      <c r="O3553" s="24" t="n"/>
      <c r="P3553" s="24" t="n"/>
      <c r="Q3553" s="24" t="n"/>
      <c r="R3553" s="24" t="n"/>
      <c r="S3553" s="22">
        <f>IF(AND($A3553="",$C3553=""),"",IF($A3553="","Thiếu mã đơn; ","")&amp;IF(COUNTIF($A$2:$A3553,$A3553)&gt;1,"Trùng mã đơn; ","")&amp;IF(ISNA(MATCH($C3553,DATA_MASTER!$D$2:$D$5000,0)),"SĐT chưa đăng ký hội viên; ","")&amp;IF(AND($L3553="Đã chuyển khoản",$M3553=""),"Thiếu ngày nhận CK; ",""))</f>
        <v/>
      </c>
      <c r="T3553" s="24" t="n"/>
    </row>
    <row r="3554" ht="14.25" customHeight="1" s="40">
      <c r="A3554" s="24" t="n"/>
      <c r="B3554" s="29" t="n"/>
      <c r="C3554" s="28" t="n"/>
      <c r="D3554" s="22">
        <f t="array" ref="D3554">IF($C3554="","",IFERROR(INDEX(DATA_MASTER!$C$2:$C$5000,MATCH($C3554,DATA_MASTER!$D$2:$D$5000,0)),""))</f>
        <v/>
      </c>
      <c r="E3554" s="22">
        <f t="array" ref="E3554">IF($C3554="","",IFERROR(INDEX(DATA_MASTER!$I$2:$I$5000,MATCH($C3554,DATA_MASTER!$D$2:$D$5000,0)),""))</f>
        <v/>
      </c>
      <c r="F3554" s="22">
        <f t="array" ref="F3554">IF($C3554="","",IFERROR(INDEX(DATA_MASTER!$L$2:$L$5000,MATCH($C3554,DATA_MASTER!$D$2:$D$5000,0)),""))</f>
        <v/>
      </c>
      <c r="G3554" s="24" t="n"/>
      <c r="H3554" s="24" t="n"/>
      <c r="I3554" s="30" t="n"/>
      <c r="J3554" s="23">
        <f>IF(OR($H3554="",$I3554=""),"",$H3554*$I3554)</f>
        <v/>
      </c>
      <c r="K3554" s="24" t="n"/>
      <c r="L3554" s="24" t="n"/>
      <c r="M3554" s="29" t="n"/>
      <c r="N3554" s="28" t="n"/>
      <c r="O3554" s="24" t="n"/>
      <c r="P3554" s="24" t="n"/>
      <c r="Q3554" s="24" t="n"/>
      <c r="R3554" s="24" t="n"/>
      <c r="S3554" s="22">
        <f>IF(AND($A3554="",$C3554=""),"",IF($A3554="","Thiếu mã đơn; ","")&amp;IF(COUNTIF($A$2:$A3554,$A3554)&gt;1,"Trùng mã đơn; ","")&amp;IF(ISNA(MATCH($C3554,DATA_MASTER!$D$2:$D$5000,0)),"SĐT chưa đăng ký hội viên; ","")&amp;IF(AND($L3554="Đã chuyển khoản",$M3554=""),"Thiếu ngày nhận CK; ",""))</f>
        <v/>
      </c>
      <c r="T3554" s="24" t="n"/>
    </row>
    <row r="3555" ht="14.25" customHeight="1" s="40">
      <c r="A3555" s="24" t="n"/>
      <c r="B3555" s="29" t="n"/>
      <c r="C3555" s="28" t="n"/>
      <c r="D3555" s="22">
        <f t="array" ref="D3555">IF($C3555="","",IFERROR(INDEX(DATA_MASTER!$C$2:$C$5000,MATCH($C3555,DATA_MASTER!$D$2:$D$5000,0)),""))</f>
        <v/>
      </c>
      <c r="E3555" s="22">
        <f t="array" ref="E3555">IF($C3555="","",IFERROR(INDEX(DATA_MASTER!$I$2:$I$5000,MATCH($C3555,DATA_MASTER!$D$2:$D$5000,0)),""))</f>
        <v/>
      </c>
      <c r="F3555" s="22">
        <f t="array" ref="F3555">IF($C3555="","",IFERROR(INDEX(DATA_MASTER!$L$2:$L$5000,MATCH($C3555,DATA_MASTER!$D$2:$D$5000,0)),""))</f>
        <v/>
      </c>
      <c r="G3555" s="24" t="n"/>
      <c r="H3555" s="24" t="n"/>
      <c r="I3555" s="30" t="n"/>
      <c r="J3555" s="23">
        <f>IF(OR($H3555="",$I3555=""),"",$H3555*$I3555)</f>
        <v/>
      </c>
      <c r="K3555" s="24" t="n"/>
      <c r="L3555" s="24" t="n"/>
      <c r="M3555" s="29" t="n"/>
      <c r="N3555" s="28" t="n"/>
      <c r="O3555" s="24" t="n"/>
      <c r="P3555" s="24" t="n"/>
      <c r="Q3555" s="24" t="n"/>
      <c r="R3555" s="24" t="n"/>
      <c r="S3555" s="22">
        <f>IF(AND($A3555="",$C3555=""),"",IF($A3555="","Thiếu mã đơn; ","")&amp;IF(COUNTIF($A$2:$A3555,$A3555)&gt;1,"Trùng mã đơn; ","")&amp;IF(ISNA(MATCH($C3555,DATA_MASTER!$D$2:$D$5000,0)),"SĐT chưa đăng ký hội viên; ","")&amp;IF(AND($L3555="Đã chuyển khoản",$M3555=""),"Thiếu ngày nhận CK; ",""))</f>
        <v/>
      </c>
      <c r="T3555" s="24" t="n"/>
    </row>
    <row r="3556" ht="14.25" customHeight="1" s="40">
      <c r="A3556" s="24" t="n"/>
      <c r="B3556" s="29" t="n"/>
      <c r="C3556" s="28" t="n"/>
      <c r="D3556" s="22">
        <f t="array" ref="D3556">IF($C3556="","",IFERROR(INDEX(DATA_MASTER!$C$2:$C$5000,MATCH($C3556,DATA_MASTER!$D$2:$D$5000,0)),""))</f>
        <v/>
      </c>
      <c r="E3556" s="22">
        <f t="array" ref="E3556">IF($C3556="","",IFERROR(INDEX(DATA_MASTER!$I$2:$I$5000,MATCH($C3556,DATA_MASTER!$D$2:$D$5000,0)),""))</f>
        <v/>
      </c>
      <c r="F3556" s="22">
        <f t="array" ref="F3556">IF($C3556="","",IFERROR(INDEX(DATA_MASTER!$L$2:$L$5000,MATCH($C3556,DATA_MASTER!$D$2:$D$5000,0)),""))</f>
        <v/>
      </c>
      <c r="G3556" s="24" t="n"/>
      <c r="H3556" s="24" t="n"/>
      <c r="I3556" s="30" t="n"/>
      <c r="J3556" s="23">
        <f>IF(OR($H3556="",$I3556=""),"",$H3556*$I3556)</f>
        <v/>
      </c>
      <c r="K3556" s="24" t="n"/>
      <c r="L3556" s="24" t="n"/>
      <c r="M3556" s="29" t="n"/>
      <c r="N3556" s="28" t="n"/>
      <c r="O3556" s="24" t="n"/>
      <c r="P3556" s="24" t="n"/>
      <c r="Q3556" s="24" t="n"/>
      <c r="R3556" s="24" t="n"/>
      <c r="S3556" s="22">
        <f>IF(AND($A3556="",$C3556=""),"",IF($A3556="","Thiếu mã đơn; ","")&amp;IF(COUNTIF($A$2:$A3556,$A3556)&gt;1,"Trùng mã đơn; ","")&amp;IF(ISNA(MATCH($C3556,DATA_MASTER!$D$2:$D$5000,0)),"SĐT chưa đăng ký hội viên; ","")&amp;IF(AND($L3556="Đã chuyển khoản",$M3556=""),"Thiếu ngày nhận CK; ",""))</f>
        <v/>
      </c>
      <c r="T3556" s="24" t="n"/>
    </row>
    <row r="3557" ht="14.25" customHeight="1" s="40">
      <c r="A3557" s="24" t="n"/>
      <c r="B3557" s="29" t="n"/>
      <c r="C3557" s="28" t="n"/>
      <c r="D3557" s="22">
        <f t="array" ref="D3557">IF($C3557="","",IFERROR(INDEX(DATA_MASTER!$C$2:$C$5000,MATCH($C3557,DATA_MASTER!$D$2:$D$5000,0)),""))</f>
        <v/>
      </c>
      <c r="E3557" s="22">
        <f t="array" ref="E3557">IF($C3557="","",IFERROR(INDEX(DATA_MASTER!$I$2:$I$5000,MATCH($C3557,DATA_MASTER!$D$2:$D$5000,0)),""))</f>
        <v/>
      </c>
      <c r="F3557" s="22">
        <f t="array" ref="F3557">IF($C3557="","",IFERROR(INDEX(DATA_MASTER!$L$2:$L$5000,MATCH($C3557,DATA_MASTER!$D$2:$D$5000,0)),""))</f>
        <v/>
      </c>
      <c r="G3557" s="24" t="n"/>
      <c r="H3557" s="24" t="n"/>
      <c r="I3557" s="30" t="n"/>
      <c r="J3557" s="23">
        <f>IF(OR($H3557="",$I3557=""),"",$H3557*$I3557)</f>
        <v/>
      </c>
      <c r="K3557" s="24" t="n"/>
      <c r="L3557" s="24" t="n"/>
      <c r="M3557" s="29" t="n"/>
      <c r="N3557" s="28" t="n"/>
      <c r="O3557" s="24" t="n"/>
      <c r="P3557" s="24" t="n"/>
      <c r="Q3557" s="24" t="n"/>
      <c r="R3557" s="24" t="n"/>
      <c r="S3557" s="22">
        <f>IF(AND($A3557="",$C3557=""),"",IF($A3557="","Thiếu mã đơn; ","")&amp;IF(COUNTIF($A$2:$A3557,$A3557)&gt;1,"Trùng mã đơn; ","")&amp;IF(ISNA(MATCH($C3557,DATA_MASTER!$D$2:$D$5000,0)),"SĐT chưa đăng ký hội viên; ","")&amp;IF(AND($L3557="Đã chuyển khoản",$M3557=""),"Thiếu ngày nhận CK; ",""))</f>
        <v/>
      </c>
      <c r="T3557" s="24" t="n"/>
    </row>
    <row r="3558" ht="14.25" customHeight="1" s="40">
      <c r="A3558" s="24" t="n"/>
      <c r="B3558" s="29" t="n"/>
      <c r="C3558" s="28" t="n"/>
      <c r="D3558" s="22">
        <f t="array" ref="D3558">IF($C3558="","",IFERROR(INDEX(DATA_MASTER!$C$2:$C$5000,MATCH($C3558,DATA_MASTER!$D$2:$D$5000,0)),""))</f>
        <v/>
      </c>
      <c r="E3558" s="22">
        <f t="array" ref="E3558">IF($C3558="","",IFERROR(INDEX(DATA_MASTER!$I$2:$I$5000,MATCH($C3558,DATA_MASTER!$D$2:$D$5000,0)),""))</f>
        <v/>
      </c>
      <c r="F3558" s="22">
        <f t="array" ref="F3558">IF($C3558="","",IFERROR(INDEX(DATA_MASTER!$L$2:$L$5000,MATCH($C3558,DATA_MASTER!$D$2:$D$5000,0)),""))</f>
        <v/>
      </c>
      <c r="G3558" s="24" t="n"/>
      <c r="H3558" s="24" t="n"/>
      <c r="I3558" s="30" t="n"/>
      <c r="J3558" s="23">
        <f>IF(OR($H3558="",$I3558=""),"",$H3558*$I3558)</f>
        <v/>
      </c>
      <c r="K3558" s="24" t="n"/>
      <c r="L3558" s="24" t="n"/>
      <c r="M3558" s="29" t="n"/>
      <c r="N3558" s="28" t="n"/>
      <c r="O3558" s="24" t="n"/>
      <c r="P3558" s="24" t="n"/>
      <c r="Q3558" s="24" t="n"/>
      <c r="R3558" s="24" t="n"/>
      <c r="S3558" s="22">
        <f>IF(AND($A3558="",$C3558=""),"",IF($A3558="","Thiếu mã đơn; ","")&amp;IF(COUNTIF($A$2:$A3558,$A3558)&gt;1,"Trùng mã đơn; ","")&amp;IF(ISNA(MATCH($C3558,DATA_MASTER!$D$2:$D$5000,0)),"SĐT chưa đăng ký hội viên; ","")&amp;IF(AND($L3558="Đã chuyển khoản",$M3558=""),"Thiếu ngày nhận CK; ",""))</f>
        <v/>
      </c>
      <c r="T3558" s="24" t="n"/>
    </row>
    <row r="3559" ht="14.25" customHeight="1" s="40">
      <c r="A3559" s="24" t="n"/>
      <c r="B3559" s="29" t="n"/>
      <c r="C3559" s="28" t="n"/>
      <c r="D3559" s="22">
        <f t="array" ref="D3559">IF($C3559="","",IFERROR(INDEX(DATA_MASTER!$C$2:$C$5000,MATCH($C3559,DATA_MASTER!$D$2:$D$5000,0)),""))</f>
        <v/>
      </c>
      <c r="E3559" s="22">
        <f t="array" ref="E3559">IF($C3559="","",IFERROR(INDEX(DATA_MASTER!$I$2:$I$5000,MATCH($C3559,DATA_MASTER!$D$2:$D$5000,0)),""))</f>
        <v/>
      </c>
      <c r="F3559" s="22">
        <f t="array" ref="F3559">IF($C3559="","",IFERROR(INDEX(DATA_MASTER!$L$2:$L$5000,MATCH($C3559,DATA_MASTER!$D$2:$D$5000,0)),""))</f>
        <v/>
      </c>
      <c r="G3559" s="24" t="n"/>
      <c r="H3559" s="24" t="n"/>
      <c r="I3559" s="30" t="n"/>
      <c r="J3559" s="23">
        <f>IF(OR($H3559="",$I3559=""),"",$H3559*$I3559)</f>
        <v/>
      </c>
      <c r="K3559" s="24" t="n"/>
      <c r="L3559" s="24" t="n"/>
      <c r="M3559" s="29" t="n"/>
      <c r="N3559" s="28" t="n"/>
      <c r="O3559" s="24" t="n"/>
      <c r="P3559" s="24" t="n"/>
      <c r="Q3559" s="24" t="n"/>
      <c r="R3559" s="24" t="n"/>
      <c r="S3559" s="22">
        <f>IF(AND($A3559="",$C3559=""),"",IF($A3559="","Thiếu mã đơn; ","")&amp;IF(COUNTIF($A$2:$A3559,$A3559)&gt;1,"Trùng mã đơn; ","")&amp;IF(ISNA(MATCH($C3559,DATA_MASTER!$D$2:$D$5000,0)),"SĐT chưa đăng ký hội viên; ","")&amp;IF(AND($L3559="Đã chuyển khoản",$M3559=""),"Thiếu ngày nhận CK; ",""))</f>
        <v/>
      </c>
      <c r="T3559" s="24" t="n"/>
    </row>
    <row r="3560" ht="14.25" customHeight="1" s="40">
      <c r="A3560" s="24" t="n"/>
      <c r="B3560" s="29" t="n"/>
      <c r="C3560" s="28" t="n"/>
      <c r="D3560" s="22">
        <f t="array" ref="D3560">IF($C3560="","",IFERROR(INDEX(DATA_MASTER!$C$2:$C$5000,MATCH($C3560,DATA_MASTER!$D$2:$D$5000,0)),""))</f>
        <v/>
      </c>
      <c r="E3560" s="22">
        <f t="array" ref="E3560">IF($C3560="","",IFERROR(INDEX(DATA_MASTER!$I$2:$I$5000,MATCH($C3560,DATA_MASTER!$D$2:$D$5000,0)),""))</f>
        <v/>
      </c>
      <c r="F3560" s="22">
        <f t="array" ref="F3560">IF($C3560="","",IFERROR(INDEX(DATA_MASTER!$L$2:$L$5000,MATCH($C3560,DATA_MASTER!$D$2:$D$5000,0)),""))</f>
        <v/>
      </c>
      <c r="G3560" s="24" t="n"/>
      <c r="H3560" s="24" t="n"/>
      <c r="I3560" s="30" t="n"/>
      <c r="J3560" s="23">
        <f>IF(OR($H3560="",$I3560=""),"",$H3560*$I3560)</f>
        <v/>
      </c>
      <c r="K3560" s="24" t="n"/>
      <c r="L3560" s="24" t="n"/>
      <c r="M3560" s="29" t="n"/>
      <c r="N3560" s="28" t="n"/>
      <c r="O3560" s="24" t="n"/>
      <c r="P3560" s="24" t="n"/>
      <c r="Q3560" s="24" t="n"/>
      <c r="R3560" s="24" t="n"/>
      <c r="S3560" s="22">
        <f>IF(AND($A3560="",$C3560=""),"",IF($A3560="","Thiếu mã đơn; ","")&amp;IF(COUNTIF($A$2:$A3560,$A3560)&gt;1,"Trùng mã đơn; ","")&amp;IF(ISNA(MATCH($C3560,DATA_MASTER!$D$2:$D$5000,0)),"SĐT chưa đăng ký hội viên; ","")&amp;IF(AND($L3560="Đã chuyển khoản",$M3560=""),"Thiếu ngày nhận CK; ",""))</f>
        <v/>
      </c>
      <c r="T3560" s="24" t="n"/>
    </row>
    <row r="3561" ht="14.25" customHeight="1" s="40">
      <c r="A3561" s="24" t="n"/>
      <c r="B3561" s="29" t="n"/>
      <c r="C3561" s="28" t="n"/>
      <c r="D3561" s="22">
        <f t="array" ref="D3561">IF($C3561="","",IFERROR(INDEX(DATA_MASTER!$C$2:$C$5000,MATCH($C3561,DATA_MASTER!$D$2:$D$5000,0)),""))</f>
        <v/>
      </c>
      <c r="E3561" s="22">
        <f t="array" ref="E3561">IF($C3561="","",IFERROR(INDEX(DATA_MASTER!$I$2:$I$5000,MATCH($C3561,DATA_MASTER!$D$2:$D$5000,0)),""))</f>
        <v/>
      </c>
      <c r="F3561" s="22">
        <f t="array" ref="F3561">IF($C3561="","",IFERROR(INDEX(DATA_MASTER!$L$2:$L$5000,MATCH($C3561,DATA_MASTER!$D$2:$D$5000,0)),""))</f>
        <v/>
      </c>
      <c r="G3561" s="24" t="n"/>
      <c r="H3561" s="24" t="n"/>
      <c r="I3561" s="30" t="n"/>
      <c r="J3561" s="23">
        <f>IF(OR($H3561="",$I3561=""),"",$H3561*$I3561)</f>
        <v/>
      </c>
      <c r="K3561" s="24" t="n"/>
      <c r="L3561" s="24" t="n"/>
      <c r="M3561" s="29" t="n"/>
      <c r="N3561" s="28" t="n"/>
      <c r="O3561" s="24" t="n"/>
      <c r="P3561" s="24" t="n"/>
      <c r="Q3561" s="24" t="n"/>
      <c r="R3561" s="24" t="n"/>
      <c r="S3561" s="22">
        <f>IF(AND($A3561="",$C3561=""),"",IF($A3561="","Thiếu mã đơn; ","")&amp;IF(COUNTIF($A$2:$A3561,$A3561)&gt;1,"Trùng mã đơn; ","")&amp;IF(ISNA(MATCH($C3561,DATA_MASTER!$D$2:$D$5000,0)),"SĐT chưa đăng ký hội viên; ","")&amp;IF(AND($L3561="Đã chuyển khoản",$M3561=""),"Thiếu ngày nhận CK; ",""))</f>
        <v/>
      </c>
      <c r="T3561" s="24" t="n"/>
    </row>
    <row r="3562" ht="14.25" customHeight="1" s="40">
      <c r="A3562" s="24" t="n"/>
      <c r="B3562" s="29" t="n"/>
      <c r="C3562" s="28" t="n"/>
      <c r="D3562" s="22">
        <f t="array" ref="D3562">IF($C3562="","",IFERROR(INDEX(DATA_MASTER!$C$2:$C$5000,MATCH($C3562,DATA_MASTER!$D$2:$D$5000,0)),""))</f>
        <v/>
      </c>
      <c r="E3562" s="22">
        <f t="array" ref="E3562">IF($C3562="","",IFERROR(INDEX(DATA_MASTER!$I$2:$I$5000,MATCH($C3562,DATA_MASTER!$D$2:$D$5000,0)),""))</f>
        <v/>
      </c>
      <c r="F3562" s="22">
        <f t="array" ref="F3562">IF($C3562="","",IFERROR(INDEX(DATA_MASTER!$L$2:$L$5000,MATCH($C3562,DATA_MASTER!$D$2:$D$5000,0)),""))</f>
        <v/>
      </c>
      <c r="G3562" s="24" t="n"/>
      <c r="H3562" s="24" t="n"/>
      <c r="I3562" s="30" t="n"/>
      <c r="J3562" s="23">
        <f>IF(OR($H3562="",$I3562=""),"",$H3562*$I3562)</f>
        <v/>
      </c>
      <c r="K3562" s="24" t="n"/>
      <c r="L3562" s="24" t="n"/>
      <c r="M3562" s="29" t="n"/>
      <c r="N3562" s="28" t="n"/>
      <c r="O3562" s="24" t="n"/>
      <c r="P3562" s="24" t="n"/>
      <c r="Q3562" s="24" t="n"/>
      <c r="R3562" s="24" t="n"/>
      <c r="S3562" s="22">
        <f>IF(AND($A3562="",$C3562=""),"",IF($A3562="","Thiếu mã đơn; ","")&amp;IF(COUNTIF($A$2:$A3562,$A3562)&gt;1,"Trùng mã đơn; ","")&amp;IF(ISNA(MATCH($C3562,DATA_MASTER!$D$2:$D$5000,0)),"SĐT chưa đăng ký hội viên; ","")&amp;IF(AND($L3562="Đã chuyển khoản",$M3562=""),"Thiếu ngày nhận CK; ",""))</f>
        <v/>
      </c>
      <c r="T3562" s="24" t="n"/>
    </row>
    <row r="3563" ht="14.25" customHeight="1" s="40">
      <c r="A3563" s="24" t="n"/>
      <c r="B3563" s="29" t="n"/>
      <c r="C3563" s="28" t="n"/>
      <c r="D3563" s="22">
        <f t="array" ref="D3563">IF($C3563="","",IFERROR(INDEX(DATA_MASTER!$C$2:$C$5000,MATCH($C3563,DATA_MASTER!$D$2:$D$5000,0)),""))</f>
        <v/>
      </c>
      <c r="E3563" s="22">
        <f t="array" ref="E3563">IF($C3563="","",IFERROR(INDEX(DATA_MASTER!$I$2:$I$5000,MATCH($C3563,DATA_MASTER!$D$2:$D$5000,0)),""))</f>
        <v/>
      </c>
      <c r="F3563" s="22">
        <f t="array" ref="F3563">IF($C3563="","",IFERROR(INDEX(DATA_MASTER!$L$2:$L$5000,MATCH($C3563,DATA_MASTER!$D$2:$D$5000,0)),""))</f>
        <v/>
      </c>
      <c r="G3563" s="24" t="n"/>
      <c r="H3563" s="24" t="n"/>
      <c r="I3563" s="30" t="n"/>
      <c r="J3563" s="23">
        <f>IF(OR($H3563="",$I3563=""),"",$H3563*$I3563)</f>
        <v/>
      </c>
      <c r="K3563" s="24" t="n"/>
      <c r="L3563" s="24" t="n"/>
      <c r="M3563" s="29" t="n"/>
      <c r="N3563" s="28" t="n"/>
      <c r="O3563" s="24" t="n"/>
      <c r="P3563" s="24" t="n"/>
      <c r="Q3563" s="24" t="n"/>
      <c r="R3563" s="24" t="n"/>
      <c r="S3563" s="22">
        <f>IF(AND($A3563="",$C3563=""),"",IF($A3563="","Thiếu mã đơn; ","")&amp;IF(COUNTIF($A$2:$A3563,$A3563)&gt;1,"Trùng mã đơn; ","")&amp;IF(ISNA(MATCH($C3563,DATA_MASTER!$D$2:$D$5000,0)),"SĐT chưa đăng ký hội viên; ","")&amp;IF(AND($L3563="Đã chuyển khoản",$M3563=""),"Thiếu ngày nhận CK; ",""))</f>
        <v/>
      </c>
      <c r="T3563" s="24" t="n"/>
    </row>
    <row r="3564" ht="14.25" customHeight="1" s="40">
      <c r="A3564" s="24" t="n"/>
      <c r="B3564" s="29" t="n"/>
      <c r="C3564" s="28" t="n"/>
      <c r="D3564" s="22">
        <f t="array" ref="D3564">IF($C3564="","",IFERROR(INDEX(DATA_MASTER!$C$2:$C$5000,MATCH($C3564,DATA_MASTER!$D$2:$D$5000,0)),""))</f>
        <v/>
      </c>
      <c r="E3564" s="22">
        <f t="array" ref="E3564">IF($C3564="","",IFERROR(INDEX(DATA_MASTER!$I$2:$I$5000,MATCH($C3564,DATA_MASTER!$D$2:$D$5000,0)),""))</f>
        <v/>
      </c>
      <c r="F3564" s="22">
        <f t="array" ref="F3564">IF($C3564="","",IFERROR(INDEX(DATA_MASTER!$L$2:$L$5000,MATCH($C3564,DATA_MASTER!$D$2:$D$5000,0)),""))</f>
        <v/>
      </c>
      <c r="G3564" s="24" t="n"/>
      <c r="H3564" s="24" t="n"/>
      <c r="I3564" s="30" t="n"/>
      <c r="J3564" s="23">
        <f>IF(OR($H3564="",$I3564=""),"",$H3564*$I3564)</f>
        <v/>
      </c>
      <c r="K3564" s="24" t="n"/>
      <c r="L3564" s="24" t="n"/>
      <c r="M3564" s="29" t="n"/>
      <c r="N3564" s="28" t="n"/>
      <c r="O3564" s="24" t="n"/>
      <c r="P3564" s="24" t="n"/>
      <c r="Q3564" s="24" t="n"/>
      <c r="R3564" s="24" t="n"/>
      <c r="S3564" s="22">
        <f>IF(AND($A3564="",$C3564=""),"",IF($A3564="","Thiếu mã đơn; ","")&amp;IF(COUNTIF($A$2:$A3564,$A3564)&gt;1,"Trùng mã đơn; ","")&amp;IF(ISNA(MATCH($C3564,DATA_MASTER!$D$2:$D$5000,0)),"SĐT chưa đăng ký hội viên; ","")&amp;IF(AND($L3564="Đã chuyển khoản",$M3564=""),"Thiếu ngày nhận CK; ",""))</f>
        <v/>
      </c>
      <c r="T3564" s="24" t="n"/>
    </row>
    <row r="3565" ht="14.25" customHeight="1" s="40">
      <c r="A3565" s="24" t="n"/>
      <c r="B3565" s="29" t="n"/>
      <c r="C3565" s="28" t="n"/>
      <c r="D3565" s="22">
        <f t="array" ref="D3565">IF($C3565="","",IFERROR(INDEX(DATA_MASTER!$C$2:$C$5000,MATCH($C3565,DATA_MASTER!$D$2:$D$5000,0)),""))</f>
        <v/>
      </c>
      <c r="E3565" s="22">
        <f t="array" ref="E3565">IF($C3565="","",IFERROR(INDEX(DATA_MASTER!$I$2:$I$5000,MATCH($C3565,DATA_MASTER!$D$2:$D$5000,0)),""))</f>
        <v/>
      </c>
      <c r="F3565" s="22">
        <f t="array" ref="F3565">IF($C3565="","",IFERROR(INDEX(DATA_MASTER!$L$2:$L$5000,MATCH($C3565,DATA_MASTER!$D$2:$D$5000,0)),""))</f>
        <v/>
      </c>
      <c r="G3565" s="24" t="n"/>
      <c r="H3565" s="24" t="n"/>
      <c r="I3565" s="30" t="n"/>
      <c r="J3565" s="23">
        <f>IF(OR($H3565="",$I3565=""),"",$H3565*$I3565)</f>
        <v/>
      </c>
      <c r="K3565" s="24" t="n"/>
      <c r="L3565" s="24" t="n"/>
      <c r="M3565" s="29" t="n"/>
      <c r="N3565" s="28" t="n"/>
      <c r="O3565" s="24" t="n"/>
      <c r="P3565" s="24" t="n"/>
      <c r="Q3565" s="24" t="n"/>
      <c r="R3565" s="24" t="n"/>
      <c r="S3565" s="22">
        <f>IF(AND($A3565="",$C3565=""),"",IF($A3565="","Thiếu mã đơn; ","")&amp;IF(COUNTIF($A$2:$A3565,$A3565)&gt;1,"Trùng mã đơn; ","")&amp;IF(ISNA(MATCH($C3565,DATA_MASTER!$D$2:$D$5000,0)),"SĐT chưa đăng ký hội viên; ","")&amp;IF(AND($L3565="Đã chuyển khoản",$M3565=""),"Thiếu ngày nhận CK; ",""))</f>
        <v/>
      </c>
      <c r="T3565" s="24" t="n"/>
    </row>
    <row r="3566" ht="14.25" customHeight="1" s="40">
      <c r="A3566" s="24" t="n"/>
      <c r="B3566" s="29" t="n"/>
      <c r="C3566" s="28" t="n"/>
      <c r="D3566" s="22">
        <f t="array" ref="D3566">IF($C3566="","",IFERROR(INDEX(DATA_MASTER!$C$2:$C$5000,MATCH($C3566,DATA_MASTER!$D$2:$D$5000,0)),""))</f>
        <v/>
      </c>
      <c r="E3566" s="22">
        <f t="array" ref="E3566">IF($C3566="","",IFERROR(INDEX(DATA_MASTER!$I$2:$I$5000,MATCH($C3566,DATA_MASTER!$D$2:$D$5000,0)),""))</f>
        <v/>
      </c>
      <c r="F3566" s="22">
        <f t="array" ref="F3566">IF($C3566="","",IFERROR(INDEX(DATA_MASTER!$L$2:$L$5000,MATCH($C3566,DATA_MASTER!$D$2:$D$5000,0)),""))</f>
        <v/>
      </c>
      <c r="G3566" s="24" t="n"/>
      <c r="H3566" s="24" t="n"/>
      <c r="I3566" s="30" t="n"/>
      <c r="J3566" s="23">
        <f>IF(OR($H3566="",$I3566=""),"",$H3566*$I3566)</f>
        <v/>
      </c>
      <c r="K3566" s="24" t="n"/>
      <c r="L3566" s="24" t="n"/>
      <c r="M3566" s="29" t="n"/>
      <c r="N3566" s="28" t="n"/>
      <c r="O3566" s="24" t="n"/>
      <c r="P3566" s="24" t="n"/>
      <c r="Q3566" s="24" t="n"/>
      <c r="R3566" s="24" t="n"/>
      <c r="S3566" s="22">
        <f>IF(AND($A3566="",$C3566=""),"",IF($A3566="","Thiếu mã đơn; ","")&amp;IF(COUNTIF($A$2:$A3566,$A3566)&gt;1,"Trùng mã đơn; ","")&amp;IF(ISNA(MATCH($C3566,DATA_MASTER!$D$2:$D$5000,0)),"SĐT chưa đăng ký hội viên; ","")&amp;IF(AND($L3566="Đã chuyển khoản",$M3566=""),"Thiếu ngày nhận CK; ",""))</f>
        <v/>
      </c>
      <c r="T3566" s="24" t="n"/>
    </row>
    <row r="3567" ht="14.25" customHeight="1" s="40">
      <c r="A3567" s="24" t="n"/>
      <c r="B3567" s="29" t="n"/>
      <c r="C3567" s="28" t="n"/>
      <c r="D3567" s="22">
        <f t="array" ref="D3567">IF($C3567="","",IFERROR(INDEX(DATA_MASTER!$C$2:$C$5000,MATCH($C3567,DATA_MASTER!$D$2:$D$5000,0)),""))</f>
        <v/>
      </c>
      <c r="E3567" s="22">
        <f t="array" ref="E3567">IF($C3567="","",IFERROR(INDEX(DATA_MASTER!$I$2:$I$5000,MATCH($C3567,DATA_MASTER!$D$2:$D$5000,0)),""))</f>
        <v/>
      </c>
      <c r="F3567" s="22">
        <f t="array" ref="F3567">IF($C3567="","",IFERROR(INDEX(DATA_MASTER!$L$2:$L$5000,MATCH($C3567,DATA_MASTER!$D$2:$D$5000,0)),""))</f>
        <v/>
      </c>
      <c r="G3567" s="24" t="n"/>
      <c r="H3567" s="24" t="n"/>
      <c r="I3567" s="30" t="n"/>
      <c r="J3567" s="23">
        <f>IF(OR($H3567="",$I3567=""),"",$H3567*$I3567)</f>
        <v/>
      </c>
      <c r="K3567" s="24" t="n"/>
      <c r="L3567" s="24" t="n"/>
      <c r="M3567" s="29" t="n"/>
      <c r="N3567" s="28" t="n"/>
      <c r="O3567" s="24" t="n"/>
      <c r="P3567" s="24" t="n"/>
      <c r="Q3567" s="24" t="n"/>
      <c r="R3567" s="24" t="n"/>
      <c r="S3567" s="22">
        <f>IF(AND($A3567="",$C3567=""),"",IF($A3567="","Thiếu mã đơn; ","")&amp;IF(COUNTIF($A$2:$A3567,$A3567)&gt;1,"Trùng mã đơn; ","")&amp;IF(ISNA(MATCH($C3567,DATA_MASTER!$D$2:$D$5000,0)),"SĐT chưa đăng ký hội viên; ","")&amp;IF(AND($L3567="Đã chuyển khoản",$M3567=""),"Thiếu ngày nhận CK; ",""))</f>
        <v/>
      </c>
      <c r="T3567" s="24" t="n"/>
    </row>
    <row r="3568" ht="14.25" customHeight="1" s="40">
      <c r="A3568" s="24" t="n"/>
      <c r="B3568" s="29" t="n"/>
      <c r="C3568" s="28" t="n"/>
      <c r="D3568" s="22">
        <f t="array" ref="D3568">IF($C3568="","",IFERROR(INDEX(DATA_MASTER!$C$2:$C$5000,MATCH($C3568,DATA_MASTER!$D$2:$D$5000,0)),""))</f>
        <v/>
      </c>
      <c r="E3568" s="22">
        <f t="array" ref="E3568">IF($C3568="","",IFERROR(INDEX(DATA_MASTER!$I$2:$I$5000,MATCH($C3568,DATA_MASTER!$D$2:$D$5000,0)),""))</f>
        <v/>
      </c>
      <c r="F3568" s="22">
        <f t="array" ref="F3568">IF($C3568="","",IFERROR(INDEX(DATA_MASTER!$L$2:$L$5000,MATCH($C3568,DATA_MASTER!$D$2:$D$5000,0)),""))</f>
        <v/>
      </c>
      <c r="G3568" s="24" t="n"/>
      <c r="H3568" s="24" t="n"/>
      <c r="I3568" s="30" t="n"/>
      <c r="J3568" s="23">
        <f>IF(OR($H3568="",$I3568=""),"",$H3568*$I3568)</f>
        <v/>
      </c>
      <c r="K3568" s="24" t="n"/>
      <c r="L3568" s="24" t="n"/>
      <c r="M3568" s="29" t="n"/>
      <c r="N3568" s="28" t="n"/>
      <c r="O3568" s="24" t="n"/>
      <c r="P3568" s="24" t="n"/>
      <c r="Q3568" s="24" t="n"/>
      <c r="R3568" s="24" t="n"/>
      <c r="S3568" s="22">
        <f>IF(AND($A3568="",$C3568=""),"",IF($A3568="","Thiếu mã đơn; ","")&amp;IF(COUNTIF($A$2:$A3568,$A3568)&gt;1,"Trùng mã đơn; ","")&amp;IF(ISNA(MATCH($C3568,DATA_MASTER!$D$2:$D$5000,0)),"SĐT chưa đăng ký hội viên; ","")&amp;IF(AND($L3568="Đã chuyển khoản",$M3568=""),"Thiếu ngày nhận CK; ",""))</f>
        <v/>
      </c>
      <c r="T3568" s="24" t="n"/>
    </row>
    <row r="3569" ht="14.25" customHeight="1" s="40">
      <c r="A3569" s="24" t="n"/>
      <c r="B3569" s="29" t="n"/>
      <c r="C3569" s="28" t="n"/>
      <c r="D3569" s="22">
        <f t="array" ref="D3569">IF($C3569="","",IFERROR(INDEX(DATA_MASTER!$C$2:$C$5000,MATCH($C3569,DATA_MASTER!$D$2:$D$5000,0)),""))</f>
        <v/>
      </c>
      <c r="E3569" s="22">
        <f t="array" ref="E3569">IF($C3569="","",IFERROR(INDEX(DATA_MASTER!$I$2:$I$5000,MATCH($C3569,DATA_MASTER!$D$2:$D$5000,0)),""))</f>
        <v/>
      </c>
      <c r="F3569" s="22">
        <f t="array" ref="F3569">IF($C3569="","",IFERROR(INDEX(DATA_MASTER!$L$2:$L$5000,MATCH($C3569,DATA_MASTER!$D$2:$D$5000,0)),""))</f>
        <v/>
      </c>
      <c r="G3569" s="24" t="n"/>
      <c r="H3569" s="24" t="n"/>
      <c r="I3569" s="30" t="n"/>
      <c r="J3569" s="23">
        <f>IF(OR($H3569="",$I3569=""),"",$H3569*$I3569)</f>
        <v/>
      </c>
      <c r="K3569" s="24" t="n"/>
      <c r="L3569" s="24" t="n"/>
      <c r="M3569" s="29" t="n"/>
      <c r="N3569" s="28" t="n"/>
      <c r="O3569" s="24" t="n"/>
      <c r="P3569" s="24" t="n"/>
      <c r="Q3569" s="24" t="n"/>
      <c r="R3569" s="24" t="n"/>
      <c r="S3569" s="22">
        <f>IF(AND($A3569="",$C3569=""),"",IF($A3569="","Thiếu mã đơn; ","")&amp;IF(COUNTIF($A$2:$A3569,$A3569)&gt;1,"Trùng mã đơn; ","")&amp;IF(ISNA(MATCH($C3569,DATA_MASTER!$D$2:$D$5000,0)),"SĐT chưa đăng ký hội viên; ","")&amp;IF(AND($L3569="Đã chuyển khoản",$M3569=""),"Thiếu ngày nhận CK; ",""))</f>
        <v/>
      </c>
      <c r="T3569" s="24" t="n"/>
    </row>
    <row r="3570" ht="14.25" customHeight="1" s="40">
      <c r="A3570" s="24" t="n"/>
      <c r="B3570" s="29" t="n"/>
      <c r="C3570" s="28" t="n"/>
      <c r="D3570" s="22">
        <f t="array" ref="D3570">IF($C3570="","",IFERROR(INDEX(DATA_MASTER!$C$2:$C$5000,MATCH($C3570,DATA_MASTER!$D$2:$D$5000,0)),""))</f>
        <v/>
      </c>
      <c r="E3570" s="22">
        <f t="array" ref="E3570">IF($C3570="","",IFERROR(INDEX(DATA_MASTER!$I$2:$I$5000,MATCH($C3570,DATA_MASTER!$D$2:$D$5000,0)),""))</f>
        <v/>
      </c>
      <c r="F3570" s="22">
        <f t="array" ref="F3570">IF($C3570="","",IFERROR(INDEX(DATA_MASTER!$L$2:$L$5000,MATCH($C3570,DATA_MASTER!$D$2:$D$5000,0)),""))</f>
        <v/>
      </c>
      <c r="G3570" s="24" t="n"/>
      <c r="H3570" s="24" t="n"/>
      <c r="I3570" s="30" t="n"/>
      <c r="J3570" s="23">
        <f>IF(OR($H3570="",$I3570=""),"",$H3570*$I3570)</f>
        <v/>
      </c>
      <c r="K3570" s="24" t="n"/>
      <c r="L3570" s="24" t="n"/>
      <c r="M3570" s="29" t="n"/>
      <c r="N3570" s="28" t="n"/>
      <c r="O3570" s="24" t="n"/>
      <c r="P3570" s="24" t="n"/>
      <c r="Q3570" s="24" t="n"/>
      <c r="R3570" s="24" t="n"/>
      <c r="S3570" s="22">
        <f>IF(AND($A3570="",$C3570=""),"",IF($A3570="","Thiếu mã đơn; ","")&amp;IF(COUNTIF($A$2:$A3570,$A3570)&gt;1,"Trùng mã đơn; ","")&amp;IF(ISNA(MATCH($C3570,DATA_MASTER!$D$2:$D$5000,0)),"SĐT chưa đăng ký hội viên; ","")&amp;IF(AND($L3570="Đã chuyển khoản",$M3570=""),"Thiếu ngày nhận CK; ",""))</f>
        <v/>
      </c>
      <c r="T3570" s="24" t="n"/>
    </row>
    <row r="3571" ht="14.25" customHeight="1" s="40">
      <c r="A3571" s="24" t="n"/>
      <c r="B3571" s="29" t="n"/>
      <c r="C3571" s="28" t="n"/>
      <c r="D3571" s="22">
        <f t="array" ref="D3571">IF($C3571="","",IFERROR(INDEX(DATA_MASTER!$C$2:$C$5000,MATCH($C3571,DATA_MASTER!$D$2:$D$5000,0)),""))</f>
        <v/>
      </c>
      <c r="E3571" s="22">
        <f t="array" ref="E3571">IF($C3571="","",IFERROR(INDEX(DATA_MASTER!$I$2:$I$5000,MATCH($C3571,DATA_MASTER!$D$2:$D$5000,0)),""))</f>
        <v/>
      </c>
      <c r="F3571" s="22">
        <f t="array" ref="F3571">IF($C3571="","",IFERROR(INDEX(DATA_MASTER!$L$2:$L$5000,MATCH($C3571,DATA_MASTER!$D$2:$D$5000,0)),""))</f>
        <v/>
      </c>
      <c r="G3571" s="24" t="n"/>
      <c r="H3571" s="24" t="n"/>
      <c r="I3571" s="30" t="n"/>
      <c r="J3571" s="23">
        <f>IF(OR($H3571="",$I3571=""),"",$H3571*$I3571)</f>
        <v/>
      </c>
      <c r="K3571" s="24" t="n"/>
      <c r="L3571" s="24" t="n"/>
      <c r="M3571" s="29" t="n"/>
      <c r="N3571" s="28" t="n"/>
      <c r="O3571" s="24" t="n"/>
      <c r="P3571" s="24" t="n"/>
      <c r="Q3571" s="24" t="n"/>
      <c r="R3571" s="24" t="n"/>
      <c r="S3571" s="22">
        <f>IF(AND($A3571="",$C3571=""),"",IF($A3571="","Thiếu mã đơn; ","")&amp;IF(COUNTIF($A$2:$A3571,$A3571)&gt;1,"Trùng mã đơn; ","")&amp;IF(ISNA(MATCH($C3571,DATA_MASTER!$D$2:$D$5000,0)),"SĐT chưa đăng ký hội viên; ","")&amp;IF(AND($L3571="Đã chuyển khoản",$M3571=""),"Thiếu ngày nhận CK; ",""))</f>
        <v/>
      </c>
      <c r="T3571" s="24" t="n"/>
    </row>
    <row r="3572" ht="14.25" customHeight="1" s="40">
      <c r="A3572" s="24" t="n"/>
      <c r="B3572" s="29" t="n"/>
      <c r="C3572" s="28" t="n"/>
      <c r="D3572" s="22">
        <f t="array" ref="D3572">IF($C3572="","",IFERROR(INDEX(DATA_MASTER!$C$2:$C$5000,MATCH($C3572,DATA_MASTER!$D$2:$D$5000,0)),""))</f>
        <v/>
      </c>
      <c r="E3572" s="22">
        <f t="array" ref="E3572">IF($C3572="","",IFERROR(INDEX(DATA_MASTER!$I$2:$I$5000,MATCH($C3572,DATA_MASTER!$D$2:$D$5000,0)),""))</f>
        <v/>
      </c>
      <c r="F3572" s="22">
        <f t="array" ref="F3572">IF($C3572="","",IFERROR(INDEX(DATA_MASTER!$L$2:$L$5000,MATCH($C3572,DATA_MASTER!$D$2:$D$5000,0)),""))</f>
        <v/>
      </c>
      <c r="G3572" s="24" t="n"/>
      <c r="H3572" s="24" t="n"/>
      <c r="I3572" s="30" t="n"/>
      <c r="J3572" s="23">
        <f>IF(OR($H3572="",$I3572=""),"",$H3572*$I3572)</f>
        <v/>
      </c>
      <c r="K3572" s="24" t="n"/>
      <c r="L3572" s="24" t="n"/>
      <c r="M3572" s="29" t="n"/>
      <c r="N3572" s="28" t="n"/>
      <c r="O3572" s="24" t="n"/>
      <c r="P3572" s="24" t="n"/>
      <c r="Q3572" s="24" t="n"/>
      <c r="R3572" s="24" t="n"/>
      <c r="S3572" s="22">
        <f>IF(AND($A3572="",$C3572=""),"",IF($A3572="","Thiếu mã đơn; ","")&amp;IF(COUNTIF($A$2:$A3572,$A3572)&gt;1,"Trùng mã đơn; ","")&amp;IF(ISNA(MATCH($C3572,DATA_MASTER!$D$2:$D$5000,0)),"SĐT chưa đăng ký hội viên; ","")&amp;IF(AND($L3572="Đã chuyển khoản",$M3572=""),"Thiếu ngày nhận CK; ",""))</f>
        <v/>
      </c>
      <c r="T3572" s="24" t="n"/>
    </row>
    <row r="3573" ht="14.25" customHeight="1" s="40">
      <c r="A3573" s="24" t="n"/>
      <c r="B3573" s="29" t="n"/>
      <c r="C3573" s="28" t="n"/>
      <c r="D3573" s="22">
        <f t="array" ref="D3573">IF($C3573="","",IFERROR(INDEX(DATA_MASTER!$C$2:$C$5000,MATCH($C3573,DATA_MASTER!$D$2:$D$5000,0)),""))</f>
        <v/>
      </c>
      <c r="E3573" s="22">
        <f t="array" ref="E3573">IF($C3573="","",IFERROR(INDEX(DATA_MASTER!$I$2:$I$5000,MATCH($C3573,DATA_MASTER!$D$2:$D$5000,0)),""))</f>
        <v/>
      </c>
      <c r="F3573" s="22">
        <f t="array" ref="F3573">IF($C3573="","",IFERROR(INDEX(DATA_MASTER!$L$2:$L$5000,MATCH($C3573,DATA_MASTER!$D$2:$D$5000,0)),""))</f>
        <v/>
      </c>
      <c r="G3573" s="24" t="n"/>
      <c r="H3573" s="24" t="n"/>
      <c r="I3573" s="30" t="n"/>
      <c r="J3573" s="23">
        <f>IF(OR($H3573="",$I3573=""),"",$H3573*$I3573)</f>
        <v/>
      </c>
      <c r="K3573" s="24" t="n"/>
      <c r="L3573" s="24" t="n"/>
      <c r="M3573" s="29" t="n"/>
      <c r="N3573" s="28" t="n"/>
      <c r="O3573" s="24" t="n"/>
      <c r="P3573" s="24" t="n"/>
      <c r="Q3573" s="24" t="n"/>
      <c r="R3573" s="24" t="n"/>
      <c r="S3573" s="22">
        <f>IF(AND($A3573="",$C3573=""),"",IF($A3573="","Thiếu mã đơn; ","")&amp;IF(COUNTIF($A$2:$A3573,$A3573)&gt;1,"Trùng mã đơn; ","")&amp;IF(ISNA(MATCH($C3573,DATA_MASTER!$D$2:$D$5000,0)),"SĐT chưa đăng ký hội viên; ","")&amp;IF(AND($L3573="Đã chuyển khoản",$M3573=""),"Thiếu ngày nhận CK; ",""))</f>
        <v/>
      </c>
      <c r="T3573" s="24" t="n"/>
    </row>
    <row r="3574" ht="14.25" customHeight="1" s="40">
      <c r="A3574" s="24" t="n"/>
      <c r="B3574" s="29" t="n"/>
      <c r="C3574" s="28" t="n"/>
      <c r="D3574" s="22">
        <f t="array" ref="D3574">IF($C3574="","",IFERROR(INDEX(DATA_MASTER!$C$2:$C$5000,MATCH($C3574,DATA_MASTER!$D$2:$D$5000,0)),""))</f>
        <v/>
      </c>
      <c r="E3574" s="22">
        <f t="array" ref="E3574">IF($C3574="","",IFERROR(INDEX(DATA_MASTER!$I$2:$I$5000,MATCH($C3574,DATA_MASTER!$D$2:$D$5000,0)),""))</f>
        <v/>
      </c>
      <c r="F3574" s="22">
        <f t="array" ref="F3574">IF($C3574="","",IFERROR(INDEX(DATA_MASTER!$L$2:$L$5000,MATCH($C3574,DATA_MASTER!$D$2:$D$5000,0)),""))</f>
        <v/>
      </c>
      <c r="G3574" s="24" t="n"/>
      <c r="H3574" s="24" t="n"/>
      <c r="I3574" s="30" t="n"/>
      <c r="J3574" s="23">
        <f>IF(OR($H3574="",$I3574=""),"",$H3574*$I3574)</f>
        <v/>
      </c>
      <c r="K3574" s="24" t="n"/>
      <c r="L3574" s="24" t="n"/>
      <c r="M3574" s="29" t="n"/>
      <c r="N3574" s="28" t="n"/>
      <c r="O3574" s="24" t="n"/>
      <c r="P3574" s="24" t="n"/>
      <c r="Q3574" s="24" t="n"/>
      <c r="R3574" s="24" t="n"/>
      <c r="S3574" s="22">
        <f>IF(AND($A3574="",$C3574=""),"",IF($A3574="","Thiếu mã đơn; ","")&amp;IF(COUNTIF($A$2:$A3574,$A3574)&gt;1,"Trùng mã đơn; ","")&amp;IF(ISNA(MATCH($C3574,DATA_MASTER!$D$2:$D$5000,0)),"SĐT chưa đăng ký hội viên; ","")&amp;IF(AND($L3574="Đã chuyển khoản",$M3574=""),"Thiếu ngày nhận CK; ",""))</f>
        <v/>
      </c>
      <c r="T3574" s="24" t="n"/>
    </row>
    <row r="3575" ht="14.25" customHeight="1" s="40">
      <c r="A3575" s="24" t="n"/>
      <c r="B3575" s="29" t="n"/>
      <c r="C3575" s="28" t="n"/>
      <c r="D3575" s="22">
        <f t="array" ref="D3575">IF($C3575="","",IFERROR(INDEX(DATA_MASTER!$C$2:$C$5000,MATCH($C3575,DATA_MASTER!$D$2:$D$5000,0)),""))</f>
        <v/>
      </c>
      <c r="E3575" s="22">
        <f t="array" ref="E3575">IF($C3575="","",IFERROR(INDEX(DATA_MASTER!$I$2:$I$5000,MATCH($C3575,DATA_MASTER!$D$2:$D$5000,0)),""))</f>
        <v/>
      </c>
      <c r="F3575" s="22">
        <f t="array" ref="F3575">IF($C3575="","",IFERROR(INDEX(DATA_MASTER!$L$2:$L$5000,MATCH($C3575,DATA_MASTER!$D$2:$D$5000,0)),""))</f>
        <v/>
      </c>
      <c r="G3575" s="24" t="n"/>
      <c r="H3575" s="24" t="n"/>
      <c r="I3575" s="30" t="n"/>
      <c r="J3575" s="23">
        <f>IF(OR($H3575="",$I3575=""),"",$H3575*$I3575)</f>
        <v/>
      </c>
      <c r="K3575" s="24" t="n"/>
      <c r="L3575" s="24" t="n"/>
      <c r="M3575" s="29" t="n"/>
      <c r="N3575" s="28" t="n"/>
      <c r="O3575" s="24" t="n"/>
      <c r="P3575" s="24" t="n"/>
      <c r="Q3575" s="24" t="n"/>
      <c r="R3575" s="24" t="n"/>
      <c r="S3575" s="22">
        <f>IF(AND($A3575="",$C3575=""),"",IF($A3575="","Thiếu mã đơn; ","")&amp;IF(COUNTIF($A$2:$A3575,$A3575)&gt;1,"Trùng mã đơn; ","")&amp;IF(ISNA(MATCH($C3575,DATA_MASTER!$D$2:$D$5000,0)),"SĐT chưa đăng ký hội viên; ","")&amp;IF(AND($L3575="Đã chuyển khoản",$M3575=""),"Thiếu ngày nhận CK; ",""))</f>
        <v/>
      </c>
      <c r="T3575" s="24" t="n"/>
    </row>
    <row r="3576" ht="14.25" customHeight="1" s="40">
      <c r="A3576" s="24" t="n"/>
      <c r="B3576" s="29" t="n"/>
      <c r="C3576" s="28" t="n"/>
      <c r="D3576" s="22">
        <f t="array" ref="D3576">IF($C3576="","",IFERROR(INDEX(DATA_MASTER!$C$2:$C$5000,MATCH($C3576,DATA_MASTER!$D$2:$D$5000,0)),""))</f>
        <v/>
      </c>
      <c r="E3576" s="22">
        <f t="array" ref="E3576">IF($C3576="","",IFERROR(INDEX(DATA_MASTER!$I$2:$I$5000,MATCH($C3576,DATA_MASTER!$D$2:$D$5000,0)),""))</f>
        <v/>
      </c>
      <c r="F3576" s="22">
        <f t="array" ref="F3576">IF($C3576="","",IFERROR(INDEX(DATA_MASTER!$L$2:$L$5000,MATCH($C3576,DATA_MASTER!$D$2:$D$5000,0)),""))</f>
        <v/>
      </c>
      <c r="G3576" s="24" t="n"/>
      <c r="H3576" s="24" t="n"/>
      <c r="I3576" s="30" t="n"/>
      <c r="J3576" s="23">
        <f>IF(OR($H3576="",$I3576=""),"",$H3576*$I3576)</f>
        <v/>
      </c>
      <c r="K3576" s="24" t="n"/>
      <c r="L3576" s="24" t="n"/>
      <c r="M3576" s="29" t="n"/>
      <c r="N3576" s="28" t="n"/>
      <c r="O3576" s="24" t="n"/>
      <c r="P3576" s="24" t="n"/>
      <c r="Q3576" s="24" t="n"/>
      <c r="R3576" s="24" t="n"/>
      <c r="S3576" s="22">
        <f>IF(AND($A3576="",$C3576=""),"",IF($A3576="","Thiếu mã đơn; ","")&amp;IF(COUNTIF($A$2:$A3576,$A3576)&gt;1,"Trùng mã đơn; ","")&amp;IF(ISNA(MATCH($C3576,DATA_MASTER!$D$2:$D$5000,0)),"SĐT chưa đăng ký hội viên; ","")&amp;IF(AND($L3576="Đã chuyển khoản",$M3576=""),"Thiếu ngày nhận CK; ",""))</f>
        <v/>
      </c>
      <c r="T3576" s="24" t="n"/>
    </row>
    <row r="3577" ht="14.25" customHeight="1" s="40">
      <c r="A3577" s="24" t="n"/>
      <c r="B3577" s="29" t="n"/>
      <c r="C3577" s="28" t="n"/>
      <c r="D3577" s="22">
        <f t="array" ref="D3577">IF($C3577="","",IFERROR(INDEX(DATA_MASTER!$C$2:$C$5000,MATCH($C3577,DATA_MASTER!$D$2:$D$5000,0)),""))</f>
        <v/>
      </c>
      <c r="E3577" s="22">
        <f t="array" ref="E3577">IF($C3577="","",IFERROR(INDEX(DATA_MASTER!$I$2:$I$5000,MATCH($C3577,DATA_MASTER!$D$2:$D$5000,0)),""))</f>
        <v/>
      </c>
      <c r="F3577" s="22">
        <f t="array" ref="F3577">IF($C3577="","",IFERROR(INDEX(DATA_MASTER!$L$2:$L$5000,MATCH($C3577,DATA_MASTER!$D$2:$D$5000,0)),""))</f>
        <v/>
      </c>
      <c r="G3577" s="24" t="n"/>
      <c r="H3577" s="24" t="n"/>
      <c r="I3577" s="30" t="n"/>
      <c r="J3577" s="23">
        <f>IF(OR($H3577="",$I3577=""),"",$H3577*$I3577)</f>
        <v/>
      </c>
      <c r="K3577" s="24" t="n"/>
      <c r="L3577" s="24" t="n"/>
      <c r="M3577" s="29" t="n"/>
      <c r="N3577" s="28" t="n"/>
      <c r="O3577" s="24" t="n"/>
      <c r="P3577" s="24" t="n"/>
      <c r="Q3577" s="24" t="n"/>
      <c r="R3577" s="24" t="n"/>
      <c r="S3577" s="22">
        <f>IF(AND($A3577="",$C3577=""),"",IF($A3577="","Thiếu mã đơn; ","")&amp;IF(COUNTIF($A$2:$A3577,$A3577)&gt;1,"Trùng mã đơn; ","")&amp;IF(ISNA(MATCH($C3577,DATA_MASTER!$D$2:$D$5000,0)),"SĐT chưa đăng ký hội viên; ","")&amp;IF(AND($L3577="Đã chuyển khoản",$M3577=""),"Thiếu ngày nhận CK; ",""))</f>
        <v/>
      </c>
      <c r="T3577" s="24" t="n"/>
    </row>
    <row r="3578" ht="14.25" customHeight="1" s="40">
      <c r="A3578" s="24" t="n"/>
      <c r="B3578" s="29" t="n"/>
      <c r="C3578" s="28" t="n"/>
      <c r="D3578" s="22">
        <f t="array" ref="D3578">IF($C3578="","",IFERROR(INDEX(DATA_MASTER!$C$2:$C$5000,MATCH($C3578,DATA_MASTER!$D$2:$D$5000,0)),""))</f>
        <v/>
      </c>
      <c r="E3578" s="22">
        <f t="array" ref="E3578">IF($C3578="","",IFERROR(INDEX(DATA_MASTER!$I$2:$I$5000,MATCH($C3578,DATA_MASTER!$D$2:$D$5000,0)),""))</f>
        <v/>
      </c>
      <c r="F3578" s="22">
        <f t="array" ref="F3578">IF($C3578="","",IFERROR(INDEX(DATA_MASTER!$L$2:$L$5000,MATCH($C3578,DATA_MASTER!$D$2:$D$5000,0)),""))</f>
        <v/>
      </c>
      <c r="G3578" s="24" t="n"/>
      <c r="H3578" s="24" t="n"/>
      <c r="I3578" s="30" t="n"/>
      <c r="J3578" s="23">
        <f>IF(OR($H3578="",$I3578=""),"",$H3578*$I3578)</f>
        <v/>
      </c>
      <c r="K3578" s="24" t="n"/>
      <c r="L3578" s="24" t="n"/>
      <c r="M3578" s="29" t="n"/>
      <c r="N3578" s="28" t="n"/>
      <c r="O3578" s="24" t="n"/>
      <c r="P3578" s="24" t="n"/>
      <c r="Q3578" s="24" t="n"/>
      <c r="R3578" s="24" t="n"/>
      <c r="S3578" s="22">
        <f>IF(AND($A3578="",$C3578=""),"",IF($A3578="","Thiếu mã đơn; ","")&amp;IF(COUNTIF($A$2:$A3578,$A3578)&gt;1,"Trùng mã đơn; ","")&amp;IF(ISNA(MATCH($C3578,DATA_MASTER!$D$2:$D$5000,0)),"SĐT chưa đăng ký hội viên; ","")&amp;IF(AND($L3578="Đã chuyển khoản",$M3578=""),"Thiếu ngày nhận CK; ",""))</f>
        <v/>
      </c>
      <c r="T3578" s="24" t="n"/>
    </row>
    <row r="3579" ht="14.25" customHeight="1" s="40">
      <c r="A3579" s="24" t="n"/>
      <c r="B3579" s="29" t="n"/>
      <c r="C3579" s="28" t="n"/>
      <c r="D3579" s="22">
        <f t="array" ref="D3579">IF($C3579="","",IFERROR(INDEX(DATA_MASTER!$C$2:$C$5000,MATCH($C3579,DATA_MASTER!$D$2:$D$5000,0)),""))</f>
        <v/>
      </c>
      <c r="E3579" s="22">
        <f t="array" ref="E3579">IF($C3579="","",IFERROR(INDEX(DATA_MASTER!$I$2:$I$5000,MATCH($C3579,DATA_MASTER!$D$2:$D$5000,0)),""))</f>
        <v/>
      </c>
      <c r="F3579" s="22">
        <f t="array" ref="F3579">IF($C3579="","",IFERROR(INDEX(DATA_MASTER!$L$2:$L$5000,MATCH($C3579,DATA_MASTER!$D$2:$D$5000,0)),""))</f>
        <v/>
      </c>
      <c r="G3579" s="24" t="n"/>
      <c r="H3579" s="24" t="n"/>
      <c r="I3579" s="30" t="n"/>
      <c r="J3579" s="23">
        <f>IF(OR($H3579="",$I3579=""),"",$H3579*$I3579)</f>
        <v/>
      </c>
      <c r="K3579" s="24" t="n"/>
      <c r="L3579" s="24" t="n"/>
      <c r="M3579" s="29" t="n"/>
      <c r="N3579" s="28" t="n"/>
      <c r="O3579" s="24" t="n"/>
      <c r="P3579" s="24" t="n"/>
      <c r="Q3579" s="24" t="n"/>
      <c r="R3579" s="24" t="n"/>
      <c r="S3579" s="22">
        <f>IF(AND($A3579="",$C3579=""),"",IF($A3579="","Thiếu mã đơn; ","")&amp;IF(COUNTIF($A$2:$A3579,$A3579)&gt;1,"Trùng mã đơn; ","")&amp;IF(ISNA(MATCH($C3579,DATA_MASTER!$D$2:$D$5000,0)),"SĐT chưa đăng ký hội viên; ","")&amp;IF(AND($L3579="Đã chuyển khoản",$M3579=""),"Thiếu ngày nhận CK; ",""))</f>
        <v/>
      </c>
      <c r="T3579" s="24" t="n"/>
    </row>
    <row r="3580" ht="14.25" customHeight="1" s="40">
      <c r="A3580" s="24" t="n"/>
      <c r="B3580" s="29" t="n"/>
      <c r="C3580" s="28" t="n"/>
      <c r="D3580" s="22">
        <f t="array" ref="D3580">IF($C3580="","",IFERROR(INDEX(DATA_MASTER!$C$2:$C$5000,MATCH($C3580,DATA_MASTER!$D$2:$D$5000,0)),""))</f>
        <v/>
      </c>
      <c r="E3580" s="22">
        <f t="array" ref="E3580">IF($C3580="","",IFERROR(INDEX(DATA_MASTER!$I$2:$I$5000,MATCH($C3580,DATA_MASTER!$D$2:$D$5000,0)),""))</f>
        <v/>
      </c>
      <c r="F3580" s="22">
        <f t="array" ref="F3580">IF($C3580="","",IFERROR(INDEX(DATA_MASTER!$L$2:$L$5000,MATCH($C3580,DATA_MASTER!$D$2:$D$5000,0)),""))</f>
        <v/>
      </c>
      <c r="G3580" s="24" t="n"/>
      <c r="H3580" s="24" t="n"/>
      <c r="I3580" s="30" t="n"/>
      <c r="J3580" s="23">
        <f>IF(OR($H3580="",$I3580=""),"",$H3580*$I3580)</f>
        <v/>
      </c>
      <c r="K3580" s="24" t="n"/>
      <c r="L3580" s="24" t="n"/>
      <c r="M3580" s="29" t="n"/>
      <c r="N3580" s="28" t="n"/>
      <c r="O3580" s="24" t="n"/>
      <c r="P3580" s="24" t="n"/>
      <c r="Q3580" s="24" t="n"/>
      <c r="R3580" s="24" t="n"/>
      <c r="S3580" s="22">
        <f>IF(AND($A3580="",$C3580=""),"",IF($A3580="","Thiếu mã đơn; ","")&amp;IF(COUNTIF($A$2:$A3580,$A3580)&gt;1,"Trùng mã đơn; ","")&amp;IF(ISNA(MATCH($C3580,DATA_MASTER!$D$2:$D$5000,0)),"SĐT chưa đăng ký hội viên; ","")&amp;IF(AND($L3580="Đã chuyển khoản",$M3580=""),"Thiếu ngày nhận CK; ",""))</f>
        <v/>
      </c>
      <c r="T3580" s="24" t="n"/>
    </row>
    <row r="3581" ht="14.25" customHeight="1" s="40">
      <c r="A3581" s="24" t="n"/>
      <c r="B3581" s="29" t="n"/>
      <c r="C3581" s="28" t="n"/>
      <c r="D3581" s="22">
        <f t="array" ref="D3581">IF($C3581="","",IFERROR(INDEX(DATA_MASTER!$C$2:$C$5000,MATCH($C3581,DATA_MASTER!$D$2:$D$5000,0)),""))</f>
        <v/>
      </c>
      <c r="E3581" s="22">
        <f t="array" ref="E3581">IF($C3581="","",IFERROR(INDEX(DATA_MASTER!$I$2:$I$5000,MATCH($C3581,DATA_MASTER!$D$2:$D$5000,0)),""))</f>
        <v/>
      </c>
      <c r="F3581" s="22">
        <f t="array" ref="F3581">IF($C3581="","",IFERROR(INDEX(DATA_MASTER!$L$2:$L$5000,MATCH($C3581,DATA_MASTER!$D$2:$D$5000,0)),""))</f>
        <v/>
      </c>
      <c r="G3581" s="24" t="n"/>
      <c r="H3581" s="24" t="n"/>
      <c r="I3581" s="30" t="n"/>
      <c r="J3581" s="23">
        <f>IF(OR($H3581="",$I3581=""),"",$H3581*$I3581)</f>
        <v/>
      </c>
      <c r="K3581" s="24" t="n"/>
      <c r="L3581" s="24" t="n"/>
      <c r="M3581" s="29" t="n"/>
      <c r="N3581" s="28" t="n"/>
      <c r="O3581" s="24" t="n"/>
      <c r="P3581" s="24" t="n"/>
      <c r="Q3581" s="24" t="n"/>
      <c r="R3581" s="24" t="n"/>
      <c r="S3581" s="22">
        <f>IF(AND($A3581="",$C3581=""),"",IF($A3581="","Thiếu mã đơn; ","")&amp;IF(COUNTIF($A$2:$A3581,$A3581)&gt;1,"Trùng mã đơn; ","")&amp;IF(ISNA(MATCH($C3581,DATA_MASTER!$D$2:$D$5000,0)),"SĐT chưa đăng ký hội viên; ","")&amp;IF(AND($L3581="Đã chuyển khoản",$M3581=""),"Thiếu ngày nhận CK; ",""))</f>
        <v/>
      </c>
      <c r="T3581" s="24" t="n"/>
    </row>
    <row r="3582" ht="14.25" customHeight="1" s="40">
      <c r="A3582" s="24" t="n"/>
      <c r="B3582" s="29" t="n"/>
      <c r="C3582" s="28" t="n"/>
      <c r="D3582" s="22">
        <f t="array" ref="D3582">IF($C3582="","",IFERROR(INDEX(DATA_MASTER!$C$2:$C$5000,MATCH($C3582,DATA_MASTER!$D$2:$D$5000,0)),""))</f>
        <v/>
      </c>
      <c r="E3582" s="22">
        <f t="array" ref="E3582">IF($C3582="","",IFERROR(INDEX(DATA_MASTER!$I$2:$I$5000,MATCH($C3582,DATA_MASTER!$D$2:$D$5000,0)),""))</f>
        <v/>
      </c>
      <c r="F3582" s="22">
        <f t="array" ref="F3582">IF($C3582="","",IFERROR(INDEX(DATA_MASTER!$L$2:$L$5000,MATCH($C3582,DATA_MASTER!$D$2:$D$5000,0)),""))</f>
        <v/>
      </c>
      <c r="G3582" s="24" t="n"/>
      <c r="H3582" s="24" t="n"/>
      <c r="I3582" s="30" t="n"/>
      <c r="J3582" s="23">
        <f>IF(OR($H3582="",$I3582=""),"",$H3582*$I3582)</f>
        <v/>
      </c>
      <c r="K3582" s="24" t="n"/>
      <c r="L3582" s="24" t="n"/>
      <c r="M3582" s="29" t="n"/>
      <c r="N3582" s="28" t="n"/>
      <c r="O3582" s="24" t="n"/>
      <c r="P3582" s="24" t="n"/>
      <c r="Q3582" s="24" t="n"/>
      <c r="R3582" s="24" t="n"/>
      <c r="S3582" s="22">
        <f>IF(AND($A3582="",$C3582=""),"",IF($A3582="","Thiếu mã đơn; ","")&amp;IF(COUNTIF($A$2:$A3582,$A3582)&gt;1,"Trùng mã đơn; ","")&amp;IF(ISNA(MATCH($C3582,DATA_MASTER!$D$2:$D$5000,0)),"SĐT chưa đăng ký hội viên; ","")&amp;IF(AND($L3582="Đã chuyển khoản",$M3582=""),"Thiếu ngày nhận CK; ",""))</f>
        <v/>
      </c>
      <c r="T3582" s="24" t="n"/>
    </row>
    <row r="3583" ht="14.25" customHeight="1" s="40">
      <c r="A3583" s="24" t="n"/>
      <c r="B3583" s="29" t="n"/>
      <c r="C3583" s="28" t="n"/>
      <c r="D3583" s="22">
        <f t="array" ref="D3583">IF($C3583="","",IFERROR(INDEX(DATA_MASTER!$C$2:$C$5000,MATCH($C3583,DATA_MASTER!$D$2:$D$5000,0)),""))</f>
        <v/>
      </c>
      <c r="E3583" s="22">
        <f t="array" ref="E3583">IF($C3583="","",IFERROR(INDEX(DATA_MASTER!$I$2:$I$5000,MATCH($C3583,DATA_MASTER!$D$2:$D$5000,0)),""))</f>
        <v/>
      </c>
      <c r="F3583" s="22">
        <f t="array" ref="F3583">IF($C3583="","",IFERROR(INDEX(DATA_MASTER!$L$2:$L$5000,MATCH($C3583,DATA_MASTER!$D$2:$D$5000,0)),""))</f>
        <v/>
      </c>
      <c r="G3583" s="24" t="n"/>
      <c r="H3583" s="24" t="n"/>
      <c r="I3583" s="30" t="n"/>
      <c r="J3583" s="23">
        <f>IF(OR($H3583="",$I3583=""),"",$H3583*$I3583)</f>
        <v/>
      </c>
      <c r="K3583" s="24" t="n"/>
      <c r="L3583" s="24" t="n"/>
      <c r="M3583" s="29" t="n"/>
      <c r="N3583" s="28" t="n"/>
      <c r="O3583" s="24" t="n"/>
      <c r="P3583" s="24" t="n"/>
      <c r="Q3583" s="24" t="n"/>
      <c r="R3583" s="24" t="n"/>
      <c r="S3583" s="22">
        <f>IF(AND($A3583="",$C3583=""),"",IF($A3583="","Thiếu mã đơn; ","")&amp;IF(COUNTIF($A$2:$A3583,$A3583)&gt;1,"Trùng mã đơn; ","")&amp;IF(ISNA(MATCH($C3583,DATA_MASTER!$D$2:$D$5000,0)),"SĐT chưa đăng ký hội viên; ","")&amp;IF(AND($L3583="Đã chuyển khoản",$M3583=""),"Thiếu ngày nhận CK; ",""))</f>
        <v/>
      </c>
      <c r="T3583" s="24" t="n"/>
    </row>
    <row r="3584" ht="14.25" customHeight="1" s="40">
      <c r="A3584" s="24" t="n"/>
      <c r="B3584" s="29" t="n"/>
      <c r="C3584" s="28" t="n"/>
      <c r="D3584" s="22">
        <f t="array" ref="D3584">IF($C3584="","",IFERROR(INDEX(DATA_MASTER!$C$2:$C$5000,MATCH($C3584,DATA_MASTER!$D$2:$D$5000,0)),""))</f>
        <v/>
      </c>
      <c r="E3584" s="22">
        <f t="array" ref="E3584">IF($C3584="","",IFERROR(INDEX(DATA_MASTER!$I$2:$I$5000,MATCH($C3584,DATA_MASTER!$D$2:$D$5000,0)),""))</f>
        <v/>
      </c>
      <c r="F3584" s="22">
        <f t="array" ref="F3584">IF($C3584="","",IFERROR(INDEX(DATA_MASTER!$L$2:$L$5000,MATCH($C3584,DATA_MASTER!$D$2:$D$5000,0)),""))</f>
        <v/>
      </c>
      <c r="G3584" s="24" t="n"/>
      <c r="H3584" s="24" t="n"/>
      <c r="I3584" s="30" t="n"/>
      <c r="J3584" s="23">
        <f>IF(OR($H3584="",$I3584=""),"",$H3584*$I3584)</f>
        <v/>
      </c>
      <c r="K3584" s="24" t="n"/>
      <c r="L3584" s="24" t="n"/>
      <c r="M3584" s="29" t="n"/>
      <c r="N3584" s="28" t="n"/>
      <c r="O3584" s="24" t="n"/>
      <c r="P3584" s="24" t="n"/>
      <c r="Q3584" s="24" t="n"/>
      <c r="R3584" s="24" t="n"/>
      <c r="S3584" s="22">
        <f>IF(AND($A3584="",$C3584=""),"",IF($A3584="","Thiếu mã đơn; ","")&amp;IF(COUNTIF($A$2:$A3584,$A3584)&gt;1,"Trùng mã đơn; ","")&amp;IF(ISNA(MATCH($C3584,DATA_MASTER!$D$2:$D$5000,0)),"SĐT chưa đăng ký hội viên; ","")&amp;IF(AND($L3584="Đã chuyển khoản",$M3584=""),"Thiếu ngày nhận CK; ",""))</f>
        <v/>
      </c>
      <c r="T3584" s="24" t="n"/>
    </row>
    <row r="3585" ht="14.25" customHeight="1" s="40">
      <c r="A3585" s="24" t="n"/>
      <c r="B3585" s="29" t="n"/>
      <c r="C3585" s="28" t="n"/>
      <c r="D3585" s="22">
        <f t="array" ref="D3585">IF($C3585="","",IFERROR(INDEX(DATA_MASTER!$C$2:$C$5000,MATCH($C3585,DATA_MASTER!$D$2:$D$5000,0)),""))</f>
        <v/>
      </c>
      <c r="E3585" s="22">
        <f t="array" ref="E3585">IF($C3585="","",IFERROR(INDEX(DATA_MASTER!$I$2:$I$5000,MATCH($C3585,DATA_MASTER!$D$2:$D$5000,0)),""))</f>
        <v/>
      </c>
      <c r="F3585" s="22">
        <f t="array" ref="F3585">IF($C3585="","",IFERROR(INDEX(DATA_MASTER!$L$2:$L$5000,MATCH($C3585,DATA_MASTER!$D$2:$D$5000,0)),""))</f>
        <v/>
      </c>
      <c r="G3585" s="24" t="n"/>
      <c r="H3585" s="24" t="n"/>
      <c r="I3585" s="30" t="n"/>
      <c r="J3585" s="23">
        <f>IF(OR($H3585="",$I3585=""),"",$H3585*$I3585)</f>
        <v/>
      </c>
      <c r="K3585" s="24" t="n"/>
      <c r="L3585" s="24" t="n"/>
      <c r="M3585" s="29" t="n"/>
      <c r="N3585" s="28" t="n"/>
      <c r="O3585" s="24" t="n"/>
      <c r="P3585" s="24" t="n"/>
      <c r="Q3585" s="24" t="n"/>
      <c r="R3585" s="24" t="n"/>
      <c r="S3585" s="22">
        <f>IF(AND($A3585="",$C3585=""),"",IF($A3585="","Thiếu mã đơn; ","")&amp;IF(COUNTIF($A$2:$A3585,$A3585)&gt;1,"Trùng mã đơn; ","")&amp;IF(ISNA(MATCH($C3585,DATA_MASTER!$D$2:$D$5000,0)),"SĐT chưa đăng ký hội viên; ","")&amp;IF(AND($L3585="Đã chuyển khoản",$M3585=""),"Thiếu ngày nhận CK; ",""))</f>
        <v/>
      </c>
      <c r="T3585" s="24" t="n"/>
    </row>
    <row r="3586" ht="14.25" customHeight="1" s="40">
      <c r="A3586" s="24" t="n"/>
      <c r="B3586" s="29" t="n"/>
      <c r="C3586" s="28" t="n"/>
      <c r="D3586" s="22">
        <f t="array" ref="D3586">IF($C3586="","",IFERROR(INDEX(DATA_MASTER!$C$2:$C$5000,MATCH($C3586,DATA_MASTER!$D$2:$D$5000,0)),""))</f>
        <v/>
      </c>
      <c r="E3586" s="22">
        <f t="array" ref="E3586">IF($C3586="","",IFERROR(INDEX(DATA_MASTER!$I$2:$I$5000,MATCH($C3586,DATA_MASTER!$D$2:$D$5000,0)),""))</f>
        <v/>
      </c>
      <c r="F3586" s="22">
        <f t="array" ref="F3586">IF($C3586="","",IFERROR(INDEX(DATA_MASTER!$L$2:$L$5000,MATCH($C3586,DATA_MASTER!$D$2:$D$5000,0)),""))</f>
        <v/>
      </c>
      <c r="G3586" s="24" t="n"/>
      <c r="H3586" s="24" t="n"/>
      <c r="I3586" s="30" t="n"/>
      <c r="J3586" s="23">
        <f>IF(OR($H3586="",$I3586=""),"",$H3586*$I3586)</f>
        <v/>
      </c>
      <c r="K3586" s="24" t="n"/>
      <c r="L3586" s="24" t="n"/>
      <c r="M3586" s="29" t="n"/>
      <c r="N3586" s="28" t="n"/>
      <c r="O3586" s="24" t="n"/>
      <c r="P3586" s="24" t="n"/>
      <c r="Q3586" s="24" t="n"/>
      <c r="R3586" s="24" t="n"/>
      <c r="S3586" s="22">
        <f>IF(AND($A3586="",$C3586=""),"",IF($A3586="","Thiếu mã đơn; ","")&amp;IF(COUNTIF($A$2:$A3586,$A3586)&gt;1,"Trùng mã đơn; ","")&amp;IF(ISNA(MATCH($C3586,DATA_MASTER!$D$2:$D$5000,0)),"SĐT chưa đăng ký hội viên; ","")&amp;IF(AND($L3586="Đã chuyển khoản",$M3586=""),"Thiếu ngày nhận CK; ",""))</f>
        <v/>
      </c>
      <c r="T3586" s="24" t="n"/>
    </row>
    <row r="3587" ht="14.25" customHeight="1" s="40">
      <c r="A3587" s="24" t="n"/>
      <c r="B3587" s="29" t="n"/>
      <c r="C3587" s="28" t="n"/>
      <c r="D3587" s="22">
        <f t="array" ref="D3587">IF($C3587="","",IFERROR(INDEX(DATA_MASTER!$C$2:$C$5000,MATCH($C3587,DATA_MASTER!$D$2:$D$5000,0)),""))</f>
        <v/>
      </c>
      <c r="E3587" s="22">
        <f t="array" ref="E3587">IF($C3587="","",IFERROR(INDEX(DATA_MASTER!$I$2:$I$5000,MATCH($C3587,DATA_MASTER!$D$2:$D$5000,0)),""))</f>
        <v/>
      </c>
      <c r="F3587" s="22">
        <f t="array" ref="F3587">IF($C3587="","",IFERROR(INDEX(DATA_MASTER!$L$2:$L$5000,MATCH($C3587,DATA_MASTER!$D$2:$D$5000,0)),""))</f>
        <v/>
      </c>
      <c r="G3587" s="24" t="n"/>
      <c r="H3587" s="24" t="n"/>
      <c r="I3587" s="30" t="n"/>
      <c r="J3587" s="23">
        <f>IF(OR($H3587="",$I3587=""),"",$H3587*$I3587)</f>
        <v/>
      </c>
      <c r="K3587" s="24" t="n"/>
      <c r="L3587" s="24" t="n"/>
      <c r="M3587" s="29" t="n"/>
      <c r="N3587" s="28" t="n"/>
      <c r="O3587" s="24" t="n"/>
      <c r="P3587" s="24" t="n"/>
      <c r="Q3587" s="24" t="n"/>
      <c r="R3587" s="24" t="n"/>
      <c r="S3587" s="22">
        <f>IF(AND($A3587="",$C3587=""),"",IF($A3587="","Thiếu mã đơn; ","")&amp;IF(COUNTIF($A$2:$A3587,$A3587)&gt;1,"Trùng mã đơn; ","")&amp;IF(ISNA(MATCH($C3587,DATA_MASTER!$D$2:$D$5000,0)),"SĐT chưa đăng ký hội viên; ","")&amp;IF(AND($L3587="Đã chuyển khoản",$M3587=""),"Thiếu ngày nhận CK; ",""))</f>
        <v/>
      </c>
      <c r="T3587" s="24" t="n"/>
    </row>
    <row r="3588" ht="14.25" customHeight="1" s="40">
      <c r="A3588" s="24" t="n"/>
      <c r="B3588" s="29" t="n"/>
      <c r="C3588" s="28" t="n"/>
      <c r="D3588" s="22">
        <f t="array" ref="D3588">IF($C3588="","",IFERROR(INDEX(DATA_MASTER!$C$2:$C$5000,MATCH($C3588,DATA_MASTER!$D$2:$D$5000,0)),""))</f>
        <v/>
      </c>
      <c r="E3588" s="22">
        <f t="array" ref="E3588">IF($C3588="","",IFERROR(INDEX(DATA_MASTER!$I$2:$I$5000,MATCH($C3588,DATA_MASTER!$D$2:$D$5000,0)),""))</f>
        <v/>
      </c>
      <c r="F3588" s="22">
        <f t="array" ref="F3588">IF($C3588="","",IFERROR(INDEX(DATA_MASTER!$L$2:$L$5000,MATCH($C3588,DATA_MASTER!$D$2:$D$5000,0)),""))</f>
        <v/>
      </c>
      <c r="G3588" s="24" t="n"/>
      <c r="H3588" s="24" t="n"/>
      <c r="I3588" s="30" t="n"/>
      <c r="J3588" s="23">
        <f>IF(OR($H3588="",$I3588=""),"",$H3588*$I3588)</f>
        <v/>
      </c>
      <c r="K3588" s="24" t="n"/>
      <c r="L3588" s="24" t="n"/>
      <c r="M3588" s="29" t="n"/>
      <c r="N3588" s="28" t="n"/>
      <c r="O3588" s="24" t="n"/>
      <c r="P3588" s="24" t="n"/>
      <c r="Q3588" s="24" t="n"/>
      <c r="R3588" s="24" t="n"/>
      <c r="S3588" s="22">
        <f>IF(AND($A3588="",$C3588=""),"",IF($A3588="","Thiếu mã đơn; ","")&amp;IF(COUNTIF($A$2:$A3588,$A3588)&gt;1,"Trùng mã đơn; ","")&amp;IF(ISNA(MATCH($C3588,DATA_MASTER!$D$2:$D$5000,0)),"SĐT chưa đăng ký hội viên; ","")&amp;IF(AND($L3588="Đã chuyển khoản",$M3588=""),"Thiếu ngày nhận CK; ",""))</f>
        <v/>
      </c>
      <c r="T3588" s="24" t="n"/>
    </row>
    <row r="3589" ht="14.25" customHeight="1" s="40">
      <c r="A3589" s="24" t="n"/>
      <c r="B3589" s="29" t="n"/>
      <c r="C3589" s="28" t="n"/>
      <c r="D3589" s="22">
        <f t="array" ref="D3589">IF($C3589="","",IFERROR(INDEX(DATA_MASTER!$C$2:$C$5000,MATCH($C3589,DATA_MASTER!$D$2:$D$5000,0)),""))</f>
        <v/>
      </c>
      <c r="E3589" s="22">
        <f t="array" ref="E3589">IF($C3589="","",IFERROR(INDEX(DATA_MASTER!$I$2:$I$5000,MATCH($C3589,DATA_MASTER!$D$2:$D$5000,0)),""))</f>
        <v/>
      </c>
      <c r="F3589" s="22">
        <f t="array" ref="F3589">IF($C3589="","",IFERROR(INDEX(DATA_MASTER!$L$2:$L$5000,MATCH($C3589,DATA_MASTER!$D$2:$D$5000,0)),""))</f>
        <v/>
      </c>
      <c r="G3589" s="24" t="n"/>
      <c r="H3589" s="24" t="n"/>
      <c r="I3589" s="30" t="n"/>
      <c r="J3589" s="23">
        <f>IF(OR($H3589="",$I3589=""),"",$H3589*$I3589)</f>
        <v/>
      </c>
      <c r="K3589" s="24" t="n"/>
      <c r="L3589" s="24" t="n"/>
      <c r="M3589" s="29" t="n"/>
      <c r="N3589" s="28" t="n"/>
      <c r="O3589" s="24" t="n"/>
      <c r="P3589" s="24" t="n"/>
      <c r="Q3589" s="24" t="n"/>
      <c r="R3589" s="24" t="n"/>
      <c r="S3589" s="22">
        <f>IF(AND($A3589="",$C3589=""),"",IF($A3589="","Thiếu mã đơn; ","")&amp;IF(COUNTIF($A$2:$A3589,$A3589)&gt;1,"Trùng mã đơn; ","")&amp;IF(ISNA(MATCH($C3589,DATA_MASTER!$D$2:$D$5000,0)),"SĐT chưa đăng ký hội viên; ","")&amp;IF(AND($L3589="Đã chuyển khoản",$M3589=""),"Thiếu ngày nhận CK; ",""))</f>
        <v/>
      </c>
      <c r="T3589" s="24" t="n"/>
    </row>
    <row r="3590" ht="14.25" customHeight="1" s="40">
      <c r="A3590" s="24" t="n"/>
      <c r="B3590" s="29" t="n"/>
      <c r="C3590" s="28" t="n"/>
      <c r="D3590" s="22">
        <f t="array" ref="D3590">IF($C3590="","",IFERROR(INDEX(DATA_MASTER!$C$2:$C$5000,MATCH($C3590,DATA_MASTER!$D$2:$D$5000,0)),""))</f>
        <v/>
      </c>
      <c r="E3590" s="22">
        <f t="array" ref="E3590">IF($C3590="","",IFERROR(INDEX(DATA_MASTER!$I$2:$I$5000,MATCH($C3590,DATA_MASTER!$D$2:$D$5000,0)),""))</f>
        <v/>
      </c>
      <c r="F3590" s="22">
        <f t="array" ref="F3590">IF($C3590="","",IFERROR(INDEX(DATA_MASTER!$L$2:$L$5000,MATCH($C3590,DATA_MASTER!$D$2:$D$5000,0)),""))</f>
        <v/>
      </c>
      <c r="G3590" s="24" t="n"/>
      <c r="H3590" s="24" t="n"/>
      <c r="I3590" s="30" t="n"/>
      <c r="J3590" s="23">
        <f>IF(OR($H3590="",$I3590=""),"",$H3590*$I3590)</f>
        <v/>
      </c>
      <c r="K3590" s="24" t="n"/>
      <c r="L3590" s="24" t="n"/>
      <c r="M3590" s="29" t="n"/>
      <c r="N3590" s="28" t="n"/>
      <c r="O3590" s="24" t="n"/>
      <c r="P3590" s="24" t="n"/>
      <c r="Q3590" s="24" t="n"/>
      <c r="R3590" s="24" t="n"/>
      <c r="S3590" s="22">
        <f>IF(AND($A3590="",$C3590=""),"",IF($A3590="","Thiếu mã đơn; ","")&amp;IF(COUNTIF($A$2:$A3590,$A3590)&gt;1,"Trùng mã đơn; ","")&amp;IF(ISNA(MATCH($C3590,DATA_MASTER!$D$2:$D$5000,0)),"SĐT chưa đăng ký hội viên; ","")&amp;IF(AND($L3590="Đã chuyển khoản",$M3590=""),"Thiếu ngày nhận CK; ",""))</f>
        <v/>
      </c>
      <c r="T3590" s="24" t="n"/>
    </row>
    <row r="3591" ht="14.25" customHeight="1" s="40">
      <c r="A3591" s="24" t="n"/>
      <c r="B3591" s="29" t="n"/>
      <c r="C3591" s="28" t="n"/>
      <c r="D3591" s="22">
        <f t="array" ref="D3591">IF($C3591="","",IFERROR(INDEX(DATA_MASTER!$C$2:$C$5000,MATCH($C3591,DATA_MASTER!$D$2:$D$5000,0)),""))</f>
        <v/>
      </c>
      <c r="E3591" s="22">
        <f t="array" ref="E3591">IF($C3591="","",IFERROR(INDEX(DATA_MASTER!$I$2:$I$5000,MATCH($C3591,DATA_MASTER!$D$2:$D$5000,0)),""))</f>
        <v/>
      </c>
      <c r="F3591" s="22">
        <f t="array" ref="F3591">IF($C3591="","",IFERROR(INDEX(DATA_MASTER!$L$2:$L$5000,MATCH($C3591,DATA_MASTER!$D$2:$D$5000,0)),""))</f>
        <v/>
      </c>
      <c r="G3591" s="24" t="n"/>
      <c r="H3591" s="24" t="n"/>
      <c r="I3591" s="30" t="n"/>
      <c r="J3591" s="23">
        <f>IF(OR($H3591="",$I3591=""),"",$H3591*$I3591)</f>
        <v/>
      </c>
      <c r="K3591" s="24" t="n"/>
      <c r="L3591" s="24" t="n"/>
      <c r="M3591" s="29" t="n"/>
      <c r="N3591" s="28" t="n"/>
      <c r="O3591" s="24" t="n"/>
      <c r="P3591" s="24" t="n"/>
      <c r="Q3591" s="24" t="n"/>
      <c r="R3591" s="24" t="n"/>
      <c r="S3591" s="22">
        <f>IF(AND($A3591="",$C3591=""),"",IF($A3591="","Thiếu mã đơn; ","")&amp;IF(COUNTIF($A$2:$A3591,$A3591)&gt;1,"Trùng mã đơn; ","")&amp;IF(ISNA(MATCH($C3591,DATA_MASTER!$D$2:$D$5000,0)),"SĐT chưa đăng ký hội viên; ","")&amp;IF(AND($L3591="Đã chuyển khoản",$M3591=""),"Thiếu ngày nhận CK; ",""))</f>
        <v/>
      </c>
      <c r="T3591" s="24" t="n"/>
    </row>
    <row r="3592" ht="14.25" customHeight="1" s="40">
      <c r="A3592" s="24" t="n"/>
      <c r="B3592" s="29" t="n"/>
      <c r="C3592" s="28" t="n"/>
      <c r="D3592" s="22">
        <f t="array" ref="D3592">IF($C3592="","",IFERROR(INDEX(DATA_MASTER!$C$2:$C$5000,MATCH($C3592,DATA_MASTER!$D$2:$D$5000,0)),""))</f>
        <v/>
      </c>
      <c r="E3592" s="22">
        <f t="array" ref="E3592">IF($C3592="","",IFERROR(INDEX(DATA_MASTER!$I$2:$I$5000,MATCH($C3592,DATA_MASTER!$D$2:$D$5000,0)),""))</f>
        <v/>
      </c>
      <c r="F3592" s="22">
        <f t="array" ref="F3592">IF($C3592="","",IFERROR(INDEX(DATA_MASTER!$L$2:$L$5000,MATCH($C3592,DATA_MASTER!$D$2:$D$5000,0)),""))</f>
        <v/>
      </c>
      <c r="G3592" s="24" t="n"/>
      <c r="H3592" s="24" t="n"/>
      <c r="I3592" s="30" t="n"/>
      <c r="J3592" s="23">
        <f>IF(OR($H3592="",$I3592=""),"",$H3592*$I3592)</f>
        <v/>
      </c>
      <c r="K3592" s="24" t="n"/>
      <c r="L3592" s="24" t="n"/>
      <c r="M3592" s="29" t="n"/>
      <c r="N3592" s="28" t="n"/>
      <c r="O3592" s="24" t="n"/>
      <c r="P3592" s="24" t="n"/>
      <c r="Q3592" s="24" t="n"/>
      <c r="R3592" s="24" t="n"/>
      <c r="S3592" s="22">
        <f>IF(AND($A3592="",$C3592=""),"",IF($A3592="","Thiếu mã đơn; ","")&amp;IF(COUNTIF($A$2:$A3592,$A3592)&gt;1,"Trùng mã đơn; ","")&amp;IF(ISNA(MATCH($C3592,DATA_MASTER!$D$2:$D$5000,0)),"SĐT chưa đăng ký hội viên; ","")&amp;IF(AND($L3592="Đã chuyển khoản",$M3592=""),"Thiếu ngày nhận CK; ",""))</f>
        <v/>
      </c>
      <c r="T3592" s="24" t="n"/>
    </row>
    <row r="3593" ht="14.25" customHeight="1" s="40">
      <c r="A3593" s="24" t="n"/>
      <c r="B3593" s="29" t="n"/>
      <c r="C3593" s="28" t="n"/>
      <c r="D3593" s="22">
        <f t="array" ref="D3593">IF($C3593="","",IFERROR(INDEX(DATA_MASTER!$C$2:$C$5000,MATCH($C3593,DATA_MASTER!$D$2:$D$5000,0)),""))</f>
        <v/>
      </c>
      <c r="E3593" s="22">
        <f t="array" ref="E3593">IF($C3593="","",IFERROR(INDEX(DATA_MASTER!$I$2:$I$5000,MATCH($C3593,DATA_MASTER!$D$2:$D$5000,0)),""))</f>
        <v/>
      </c>
      <c r="F3593" s="22">
        <f t="array" ref="F3593">IF($C3593="","",IFERROR(INDEX(DATA_MASTER!$L$2:$L$5000,MATCH($C3593,DATA_MASTER!$D$2:$D$5000,0)),""))</f>
        <v/>
      </c>
      <c r="G3593" s="24" t="n"/>
      <c r="H3593" s="24" t="n"/>
      <c r="I3593" s="30" t="n"/>
      <c r="J3593" s="23">
        <f>IF(OR($H3593="",$I3593=""),"",$H3593*$I3593)</f>
        <v/>
      </c>
      <c r="K3593" s="24" t="n"/>
      <c r="L3593" s="24" t="n"/>
      <c r="M3593" s="29" t="n"/>
      <c r="N3593" s="28" t="n"/>
      <c r="O3593" s="24" t="n"/>
      <c r="P3593" s="24" t="n"/>
      <c r="Q3593" s="24" t="n"/>
      <c r="R3593" s="24" t="n"/>
      <c r="S3593" s="22">
        <f>IF(AND($A3593="",$C3593=""),"",IF($A3593="","Thiếu mã đơn; ","")&amp;IF(COUNTIF($A$2:$A3593,$A3593)&gt;1,"Trùng mã đơn; ","")&amp;IF(ISNA(MATCH($C3593,DATA_MASTER!$D$2:$D$5000,0)),"SĐT chưa đăng ký hội viên; ","")&amp;IF(AND($L3593="Đã chuyển khoản",$M3593=""),"Thiếu ngày nhận CK; ",""))</f>
        <v/>
      </c>
      <c r="T3593" s="24" t="n"/>
    </row>
    <row r="3594" ht="14.25" customHeight="1" s="40">
      <c r="A3594" s="24" t="n"/>
      <c r="B3594" s="29" t="n"/>
      <c r="C3594" s="28" t="n"/>
      <c r="D3594" s="22">
        <f t="array" ref="D3594">IF($C3594="","",IFERROR(INDEX(DATA_MASTER!$C$2:$C$5000,MATCH($C3594,DATA_MASTER!$D$2:$D$5000,0)),""))</f>
        <v/>
      </c>
      <c r="E3594" s="22">
        <f t="array" ref="E3594">IF($C3594="","",IFERROR(INDEX(DATA_MASTER!$I$2:$I$5000,MATCH($C3594,DATA_MASTER!$D$2:$D$5000,0)),""))</f>
        <v/>
      </c>
      <c r="F3594" s="22">
        <f t="array" ref="F3594">IF($C3594="","",IFERROR(INDEX(DATA_MASTER!$L$2:$L$5000,MATCH($C3594,DATA_MASTER!$D$2:$D$5000,0)),""))</f>
        <v/>
      </c>
      <c r="G3594" s="24" t="n"/>
      <c r="H3594" s="24" t="n"/>
      <c r="I3594" s="30" t="n"/>
      <c r="J3594" s="23">
        <f>IF(OR($H3594="",$I3594=""),"",$H3594*$I3594)</f>
        <v/>
      </c>
      <c r="K3594" s="24" t="n"/>
      <c r="L3594" s="24" t="n"/>
      <c r="M3594" s="29" t="n"/>
      <c r="N3594" s="28" t="n"/>
      <c r="O3594" s="24" t="n"/>
      <c r="P3594" s="24" t="n"/>
      <c r="Q3594" s="24" t="n"/>
      <c r="R3594" s="24" t="n"/>
      <c r="S3594" s="22">
        <f>IF(AND($A3594="",$C3594=""),"",IF($A3594="","Thiếu mã đơn; ","")&amp;IF(COUNTIF($A$2:$A3594,$A3594)&gt;1,"Trùng mã đơn; ","")&amp;IF(ISNA(MATCH($C3594,DATA_MASTER!$D$2:$D$5000,0)),"SĐT chưa đăng ký hội viên; ","")&amp;IF(AND($L3594="Đã chuyển khoản",$M3594=""),"Thiếu ngày nhận CK; ",""))</f>
        <v/>
      </c>
      <c r="T3594" s="24" t="n"/>
    </row>
    <row r="3595" ht="14.25" customHeight="1" s="40">
      <c r="A3595" s="24" t="n"/>
      <c r="B3595" s="29" t="n"/>
      <c r="C3595" s="28" t="n"/>
      <c r="D3595" s="22">
        <f t="array" ref="D3595">IF($C3595="","",IFERROR(INDEX(DATA_MASTER!$C$2:$C$5000,MATCH($C3595,DATA_MASTER!$D$2:$D$5000,0)),""))</f>
        <v/>
      </c>
      <c r="E3595" s="22">
        <f t="array" ref="E3595">IF($C3595="","",IFERROR(INDEX(DATA_MASTER!$I$2:$I$5000,MATCH($C3595,DATA_MASTER!$D$2:$D$5000,0)),""))</f>
        <v/>
      </c>
      <c r="F3595" s="22">
        <f t="array" ref="F3595">IF($C3595="","",IFERROR(INDEX(DATA_MASTER!$L$2:$L$5000,MATCH($C3595,DATA_MASTER!$D$2:$D$5000,0)),""))</f>
        <v/>
      </c>
      <c r="G3595" s="24" t="n"/>
      <c r="H3595" s="24" t="n"/>
      <c r="I3595" s="30" t="n"/>
      <c r="J3595" s="23">
        <f>IF(OR($H3595="",$I3595=""),"",$H3595*$I3595)</f>
        <v/>
      </c>
      <c r="K3595" s="24" t="n"/>
      <c r="L3595" s="24" t="n"/>
      <c r="M3595" s="29" t="n"/>
      <c r="N3595" s="28" t="n"/>
      <c r="O3595" s="24" t="n"/>
      <c r="P3595" s="24" t="n"/>
      <c r="Q3595" s="24" t="n"/>
      <c r="R3595" s="24" t="n"/>
      <c r="S3595" s="22">
        <f>IF(AND($A3595="",$C3595=""),"",IF($A3595="","Thiếu mã đơn; ","")&amp;IF(COUNTIF($A$2:$A3595,$A3595)&gt;1,"Trùng mã đơn; ","")&amp;IF(ISNA(MATCH($C3595,DATA_MASTER!$D$2:$D$5000,0)),"SĐT chưa đăng ký hội viên; ","")&amp;IF(AND($L3595="Đã chuyển khoản",$M3595=""),"Thiếu ngày nhận CK; ",""))</f>
        <v/>
      </c>
      <c r="T3595" s="24" t="n"/>
    </row>
    <row r="3596" ht="14.25" customHeight="1" s="40">
      <c r="A3596" s="24" t="n"/>
      <c r="B3596" s="29" t="n"/>
      <c r="C3596" s="28" t="n"/>
      <c r="D3596" s="22">
        <f t="array" ref="D3596">IF($C3596="","",IFERROR(INDEX(DATA_MASTER!$C$2:$C$5000,MATCH($C3596,DATA_MASTER!$D$2:$D$5000,0)),""))</f>
        <v/>
      </c>
      <c r="E3596" s="22">
        <f t="array" ref="E3596">IF($C3596="","",IFERROR(INDEX(DATA_MASTER!$I$2:$I$5000,MATCH($C3596,DATA_MASTER!$D$2:$D$5000,0)),""))</f>
        <v/>
      </c>
      <c r="F3596" s="22">
        <f t="array" ref="F3596">IF($C3596="","",IFERROR(INDEX(DATA_MASTER!$L$2:$L$5000,MATCH($C3596,DATA_MASTER!$D$2:$D$5000,0)),""))</f>
        <v/>
      </c>
      <c r="G3596" s="24" t="n"/>
      <c r="H3596" s="24" t="n"/>
      <c r="I3596" s="30" t="n"/>
      <c r="J3596" s="23">
        <f>IF(OR($H3596="",$I3596=""),"",$H3596*$I3596)</f>
        <v/>
      </c>
      <c r="K3596" s="24" t="n"/>
      <c r="L3596" s="24" t="n"/>
      <c r="M3596" s="29" t="n"/>
      <c r="N3596" s="28" t="n"/>
      <c r="O3596" s="24" t="n"/>
      <c r="P3596" s="24" t="n"/>
      <c r="Q3596" s="24" t="n"/>
      <c r="R3596" s="24" t="n"/>
      <c r="S3596" s="22">
        <f>IF(AND($A3596="",$C3596=""),"",IF($A3596="","Thiếu mã đơn; ","")&amp;IF(COUNTIF($A$2:$A3596,$A3596)&gt;1,"Trùng mã đơn; ","")&amp;IF(ISNA(MATCH($C3596,DATA_MASTER!$D$2:$D$5000,0)),"SĐT chưa đăng ký hội viên; ","")&amp;IF(AND($L3596="Đã chuyển khoản",$M3596=""),"Thiếu ngày nhận CK; ",""))</f>
        <v/>
      </c>
      <c r="T3596" s="24" t="n"/>
    </row>
    <row r="3597" ht="14.25" customHeight="1" s="40">
      <c r="A3597" s="24" t="n"/>
      <c r="B3597" s="29" t="n"/>
      <c r="C3597" s="28" t="n"/>
      <c r="D3597" s="22">
        <f t="array" ref="D3597">IF($C3597="","",IFERROR(INDEX(DATA_MASTER!$C$2:$C$5000,MATCH($C3597,DATA_MASTER!$D$2:$D$5000,0)),""))</f>
        <v/>
      </c>
      <c r="E3597" s="22">
        <f t="array" ref="E3597">IF($C3597="","",IFERROR(INDEX(DATA_MASTER!$I$2:$I$5000,MATCH($C3597,DATA_MASTER!$D$2:$D$5000,0)),""))</f>
        <v/>
      </c>
      <c r="F3597" s="22">
        <f t="array" ref="F3597">IF($C3597="","",IFERROR(INDEX(DATA_MASTER!$L$2:$L$5000,MATCH($C3597,DATA_MASTER!$D$2:$D$5000,0)),""))</f>
        <v/>
      </c>
      <c r="G3597" s="24" t="n"/>
      <c r="H3597" s="24" t="n"/>
      <c r="I3597" s="30" t="n"/>
      <c r="J3597" s="23">
        <f>IF(OR($H3597="",$I3597=""),"",$H3597*$I3597)</f>
        <v/>
      </c>
      <c r="K3597" s="24" t="n"/>
      <c r="L3597" s="24" t="n"/>
      <c r="M3597" s="29" t="n"/>
      <c r="N3597" s="28" t="n"/>
      <c r="O3597" s="24" t="n"/>
      <c r="P3597" s="24" t="n"/>
      <c r="Q3597" s="24" t="n"/>
      <c r="R3597" s="24" t="n"/>
      <c r="S3597" s="22">
        <f>IF(AND($A3597="",$C3597=""),"",IF($A3597="","Thiếu mã đơn; ","")&amp;IF(COUNTIF($A$2:$A3597,$A3597)&gt;1,"Trùng mã đơn; ","")&amp;IF(ISNA(MATCH($C3597,DATA_MASTER!$D$2:$D$5000,0)),"SĐT chưa đăng ký hội viên; ","")&amp;IF(AND($L3597="Đã chuyển khoản",$M3597=""),"Thiếu ngày nhận CK; ",""))</f>
        <v/>
      </c>
      <c r="T3597" s="24" t="n"/>
    </row>
    <row r="3598" ht="14.25" customHeight="1" s="40">
      <c r="A3598" s="24" t="n"/>
      <c r="B3598" s="29" t="n"/>
      <c r="C3598" s="28" t="n"/>
      <c r="D3598" s="22">
        <f t="array" ref="D3598">IF($C3598="","",IFERROR(INDEX(DATA_MASTER!$C$2:$C$5000,MATCH($C3598,DATA_MASTER!$D$2:$D$5000,0)),""))</f>
        <v/>
      </c>
      <c r="E3598" s="22">
        <f t="array" ref="E3598">IF($C3598="","",IFERROR(INDEX(DATA_MASTER!$I$2:$I$5000,MATCH($C3598,DATA_MASTER!$D$2:$D$5000,0)),""))</f>
        <v/>
      </c>
      <c r="F3598" s="22">
        <f t="array" ref="F3598">IF($C3598="","",IFERROR(INDEX(DATA_MASTER!$L$2:$L$5000,MATCH($C3598,DATA_MASTER!$D$2:$D$5000,0)),""))</f>
        <v/>
      </c>
      <c r="G3598" s="24" t="n"/>
      <c r="H3598" s="24" t="n"/>
      <c r="I3598" s="30" t="n"/>
      <c r="J3598" s="23">
        <f>IF(OR($H3598="",$I3598=""),"",$H3598*$I3598)</f>
        <v/>
      </c>
      <c r="K3598" s="24" t="n"/>
      <c r="L3598" s="24" t="n"/>
      <c r="M3598" s="29" t="n"/>
      <c r="N3598" s="28" t="n"/>
      <c r="O3598" s="24" t="n"/>
      <c r="P3598" s="24" t="n"/>
      <c r="Q3598" s="24" t="n"/>
      <c r="R3598" s="24" t="n"/>
      <c r="S3598" s="22">
        <f>IF(AND($A3598="",$C3598=""),"",IF($A3598="","Thiếu mã đơn; ","")&amp;IF(COUNTIF($A$2:$A3598,$A3598)&gt;1,"Trùng mã đơn; ","")&amp;IF(ISNA(MATCH($C3598,DATA_MASTER!$D$2:$D$5000,0)),"SĐT chưa đăng ký hội viên; ","")&amp;IF(AND($L3598="Đã chuyển khoản",$M3598=""),"Thiếu ngày nhận CK; ",""))</f>
        <v/>
      </c>
      <c r="T3598" s="24" t="n"/>
    </row>
    <row r="3599" ht="14.25" customHeight="1" s="40">
      <c r="A3599" s="24" t="n"/>
      <c r="B3599" s="29" t="n"/>
      <c r="C3599" s="28" t="n"/>
      <c r="D3599" s="22">
        <f t="array" ref="D3599">IF($C3599="","",IFERROR(INDEX(DATA_MASTER!$C$2:$C$5000,MATCH($C3599,DATA_MASTER!$D$2:$D$5000,0)),""))</f>
        <v/>
      </c>
      <c r="E3599" s="22">
        <f t="array" ref="E3599">IF($C3599="","",IFERROR(INDEX(DATA_MASTER!$I$2:$I$5000,MATCH($C3599,DATA_MASTER!$D$2:$D$5000,0)),""))</f>
        <v/>
      </c>
      <c r="F3599" s="22">
        <f t="array" ref="F3599">IF($C3599="","",IFERROR(INDEX(DATA_MASTER!$L$2:$L$5000,MATCH($C3599,DATA_MASTER!$D$2:$D$5000,0)),""))</f>
        <v/>
      </c>
      <c r="G3599" s="24" t="n"/>
      <c r="H3599" s="24" t="n"/>
      <c r="I3599" s="30" t="n"/>
      <c r="J3599" s="23">
        <f>IF(OR($H3599="",$I3599=""),"",$H3599*$I3599)</f>
        <v/>
      </c>
      <c r="K3599" s="24" t="n"/>
      <c r="L3599" s="24" t="n"/>
      <c r="M3599" s="29" t="n"/>
      <c r="N3599" s="28" t="n"/>
      <c r="O3599" s="24" t="n"/>
      <c r="P3599" s="24" t="n"/>
      <c r="Q3599" s="24" t="n"/>
      <c r="R3599" s="24" t="n"/>
      <c r="S3599" s="22">
        <f>IF(AND($A3599="",$C3599=""),"",IF($A3599="","Thiếu mã đơn; ","")&amp;IF(COUNTIF($A$2:$A3599,$A3599)&gt;1,"Trùng mã đơn; ","")&amp;IF(ISNA(MATCH($C3599,DATA_MASTER!$D$2:$D$5000,0)),"SĐT chưa đăng ký hội viên; ","")&amp;IF(AND($L3599="Đã chuyển khoản",$M3599=""),"Thiếu ngày nhận CK; ",""))</f>
        <v/>
      </c>
      <c r="T3599" s="24" t="n"/>
    </row>
    <row r="3600" ht="14.25" customHeight="1" s="40">
      <c r="A3600" s="24" t="n"/>
      <c r="B3600" s="29" t="n"/>
      <c r="C3600" s="28" t="n"/>
      <c r="D3600" s="22">
        <f t="array" ref="D3600">IF($C3600="","",IFERROR(INDEX(DATA_MASTER!$C$2:$C$5000,MATCH($C3600,DATA_MASTER!$D$2:$D$5000,0)),""))</f>
        <v/>
      </c>
      <c r="E3600" s="22">
        <f t="array" ref="E3600">IF($C3600="","",IFERROR(INDEX(DATA_MASTER!$I$2:$I$5000,MATCH($C3600,DATA_MASTER!$D$2:$D$5000,0)),""))</f>
        <v/>
      </c>
      <c r="F3600" s="22">
        <f t="array" ref="F3600">IF($C3600="","",IFERROR(INDEX(DATA_MASTER!$L$2:$L$5000,MATCH($C3600,DATA_MASTER!$D$2:$D$5000,0)),""))</f>
        <v/>
      </c>
      <c r="G3600" s="24" t="n"/>
      <c r="H3600" s="24" t="n"/>
      <c r="I3600" s="30" t="n"/>
      <c r="J3600" s="23">
        <f>IF(OR($H3600="",$I3600=""),"",$H3600*$I3600)</f>
        <v/>
      </c>
      <c r="K3600" s="24" t="n"/>
      <c r="L3600" s="24" t="n"/>
      <c r="M3600" s="29" t="n"/>
      <c r="N3600" s="28" t="n"/>
      <c r="O3600" s="24" t="n"/>
      <c r="P3600" s="24" t="n"/>
      <c r="Q3600" s="24" t="n"/>
      <c r="R3600" s="24" t="n"/>
      <c r="S3600" s="22">
        <f>IF(AND($A3600="",$C3600=""),"",IF($A3600="","Thiếu mã đơn; ","")&amp;IF(COUNTIF($A$2:$A3600,$A3600)&gt;1,"Trùng mã đơn; ","")&amp;IF(ISNA(MATCH($C3600,DATA_MASTER!$D$2:$D$5000,0)),"SĐT chưa đăng ký hội viên; ","")&amp;IF(AND($L3600="Đã chuyển khoản",$M3600=""),"Thiếu ngày nhận CK; ",""))</f>
        <v/>
      </c>
      <c r="T3600" s="24" t="n"/>
    </row>
    <row r="3601" ht="14.25" customHeight="1" s="40">
      <c r="A3601" s="24" t="n"/>
      <c r="B3601" s="29" t="n"/>
      <c r="C3601" s="28" t="n"/>
      <c r="D3601" s="22">
        <f t="array" ref="D3601">IF($C3601="","",IFERROR(INDEX(DATA_MASTER!$C$2:$C$5000,MATCH($C3601,DATA_MASTER!$D$2:$D$5000,0)),""))</f>
        <v/>
      </c>
      <c r="E3601" s="22">
        <f t="array" ref="E3601">IF($C3601="","",IFERROR(INDEX(DATA_MASTER!$I$2:$I$5000,MATCH($C3601,DATA_MASTER!$D$2:$D$5000,0)),""))</f>
        <v/>
      </c>
      <c r="F3601" s="22">
        <f t="array" ref="F3601">IF($C3601="","",IFERROR(INDEX(DATA_MASTER!$L$2:$L$5000,MATCH($C3601,DATA_MASTER!$D$2:$D$5000,0)),""))</f>
        <v/>
      </c>
      <c r="G3601" s="24" t="n"/>
      <c r="H3601" s="24" t="n"/>
      <c r="I3601" s="30" t="n"/>
      <c r="J3601" s="23">
        <f>IF(OR($H3601="",$I3601=""),"",$H3601*$I3601)</f>
        <v/>
      </c>
      <c r="K3601" s="24" t="n"/>
      <c r="L3601" s="24" t="n"/>
      <c r="M3601" s="29" t="n"/>
      <c r="N3601" s="28" t="n"/>
      <c r="O3601" s="24" t="n"/>
      <c r="P3601" s="24" t="n"/>
      <c r="Q3601" s="24" t="n"/>
      <c r="R3601" s="24" t="n"/>
      <c r="S3601" s="22">
        <f>IF(AND($A3601="",$C3601=""),"",IF($A3601="","Thiếu mã đơn; ","")&amp;IF(COUNTIF($A$2:$A3601,$A3601)&gt;1,"Trùng mã đơn; ","")&amp;IF(ISNA(MATCH($C3601,DATA_MASTER!$D$2:$D$5000,0)),"SĐT chưa đăng ký hội viên; ","")&amp;IF(AND($L3601="Đã chuyển khoản",$M3601=""),"Thiếu ngày nhận CK; ",""))</f>
        <v/>
      </c>
      <c r="T3601" s="24" t="n"/>
    </row>
    <row r="3602" ht="14.25" customHeight="1" s="40">
      <c r="A3602" s="24" t="n"/>
      <c r="B3602" s="29" t="n"/>
      <c r="C3602" s="28" t="n"/>
      <c r="D3602" s="22">
        <f t="array" ref="D3602">IF($C3602="","",IFERROR(INDEX(DATA_MASTER!$C$2:$C$5000,MATCH($C3602,DATA_MASTER!$D$2:$D$5000,0)),""))</f>
        <v/>
      </c>
      <c r="E3602" s="22">
        <f t="array" ref="E3602">IF($C3602="","",IFERROR(INDEX(DATA_MASTER!$I$2:$I$5000,MATCH($C3602,DATA_MASTER!$D$2:$D$5000,0)),""))</f>
        <v/>
      </c>
      <c r="F3602" s="22">
        <f t="array" ref="F3602">IF($C3602="","",IFERROR(INDEX(DATA_MASTER!$L$2:$L$5000,MATCH($C3602,DATA_MASTER!$D$2:$D$5000,0)),""))</f>
        <v/>
      </c>
      <c r="G3602" s="24" t="n"/>
      <c r="H3602" s="24" t="n"/>
      <c r="I3602" s="30" t="n"/>
      <c r="J3602" s="23">
        <f>IF(OR($H3602="",$I3602=""),"",$H3602*$I3602)</f>
        <v/>
      </c>
      <c r="K3602" s="24" t="n"/>
      <c r="L3602" s="24" t="n"/>
      <c r="M3602" s="29" t="n"/>
      <c r="N3602" s="28" t="n"/>
      <c r="O3602" s="24" t="n"/>
      <c r="P3602" s="24" t="n"/>
      <c r="Q3602" s="24" t="n"/>
      <c r="R3602" s="24" t="n"/>
      <c r="S3602" s="22">
        <f>IF(AND($A3602="",$C3602=""),"",IF($A3602="","Thiếu mã đơn; ","")&amp;IF(COUNTIF($A$2:$A3602,$A3602)&gt;1,"Trùng mã đơn; ","")&amp;IF(ISNA(MATCH($C3602,DATA_MASTER!$D$2:$D$5000,0)),"SĐT chưa đăng ký hội viên; ","")&amp;IF(AND($L3602="Đã chuyển khoản",$M3602=""),"Thiếu ngày nhận CK; ",""))</f>
        <v/>
      </c>
      <c r="T3602" s="24" t="n"/>
    </row>
    <row r="3603" ht="14.25" customHeight="1" s="40">
      <c r="A3603" s="24" t="n"/>
      <c r="B3603" s="29" t="n"/>
      <c r="C3603" s="28" t="n"/>
      <c r="D3603" s="22">
        <f t="array" ref="D3603">IF($C3603="","",IFERROR(INDEX(DATA_MASTER!$C$2:$C$5000,MATCH($C3603,DATA_MASTER!$D$2:$D$5000,0)),""))</f>
        <v/>
      </c>
      <c r="E3603" s="22">
        <f t="array" ref="E3603">IF($C3603="","",IFERROR(INDEX(DATA_MASTER!$I$2:$I$5000,MATCH($C3603,DATA_MASTER!$D$2:$D$5000,0)),""))</f>
        <v/>
      </c>
      <c r="F3603" s="22">
        <f t="array" ref="F3603">IF($C3603="","",IFERROR(INDEX(DATA_MASTER!$L$2:$L$5000,MATCH($C3603,DATA_MASTER!$D$2:$D$5000,0)),""))</f>
        <v/>
      </c>
      <c r="G3603" s="24" t="n"/>
      <c r="H3603" s="24" t="n"/>
      <c r="I3603" s="30" t="n"/>
      <c r="J3603" s="23">
        <f>IF(OR($H3603="",$I3603=""),"",$H3603*$I3603)</f>
        <v/>
      </c>
      <c r="K3603" s="24" t="n"/>
      <c r="L3603" s="24" t="n"/>
      <c r="M3603" s="29" t="n"/>
      <c r="N3603" s="28" t="n"/>
      <c r="O3603" s="24" t="n"/>
      <c r="P3603" s="24" t="n"/>
      <c r="Q3603" s="24" t="n"/>
      <c r="R3603" s="24" t="n"/>
      <c r="S3603" s="22">
        <f>IF(AND($A3603="",$C3603=""),"",IF($A3603="","Thiếu mã đơn; ","")&amp;IF(COUNTIF($A$2:$A3603,$A3603)&gt;1,"Trùng mã đơn; ","")&amp;IF(ISNA(MATCH($C3603,DATA_MASTER!$D$2:$D$5000,0)),"SĐT chưa đăng ký hội viên; ","")&amp;IF(AND($L3603="Đã chuyển khoản",$M3603=""),"Thiếu ngày nhận CK; ",""))</f>
        <v/>
      </c>
      <c r="T3603" s="24" t="n"/>
    </row>
    <row r="3604" ht="14.25" customHeight="1" s="40">
      <c r="A3604" s="24" t="n"/>
      <c r="B3604" s="29" t="n"/>
      <c r="C3604" s="28" t="n"/>
      <c r="D3604" s="22">
        <f t="array" ref="D3604">IF($C3604="","",IFERROR(INDEX(DATA_MASTER!$C$2:$C$5000,MATCH($C3604,DATA_MASTER!$D$2:$D$5000,0)),""))</f>
        <v/>
      </c>
      <c r="E3604" s="22">
        <f t="array" ref="E3604">IF($C3604="","",IFERROR(INDEX(DATA_MASTER!$I$2:$I$5000,MATCH($C3604,DATA_MASTER!$D$2:$D$5000,0)),""))</f>
        <v/>
      </c>
      <c r="F3604" s="22">
        <f t="array" ref="F3604">IF($C3604="","",IFERROR(INDEX(DATA_MASTER!$L$2:$L$5000,MATCH($C3604,DATA_MASTER!$D$2:$D$5000,0)),""))</f>
        <v/>
      </c>
      <c r="G3604" s="24" t="n"/>
      <c r="H3604" s="24" t="n"/>
      <c r="I3604" s="30" t="n"/>
      <c r="J3604" s="23">
        <f>IF(OR($H3604="",$I3604=""),"",$H3604*$I3604)</f>
        <v/>
      </c>
      <c r="K3604" s="24" t="n"/>
      <c r="L3604" s="24" t="n"/>
      <c r="M3604" s="29" t="n"/>
      <c r="N3604" s="28" t="n"/>
      <c r="O3604" s="24" t="n"/>
      <c r="P3604" s="24" t="n"/>
      <c r="Q3604" s="24" t="n"/>
      <c r="R3604" s="24" t="n"/>
      <c r="S3604" s="22">
        <f>IF(AND($A3604="",$C3604=""),"",IF($A3604="","Thiếu mã đơn; ","")&amp;IF(COUNTIF($A$2:$A3604,$A3604)&gt;1,"Trùng mã đơn; ","")&amp;IF(ISNA(MATCH($C3604,DATA_MASTER!$D$2:$D$5000,0)),"SĐT chưa đăng ký hội viên; ","")&amp;IF(AND($L3604="Đã chuyển khoản",$M3604=""),"Thiếu ngày nhận CK; ",""))</f>
        <v/>
      </c>
      <c r="T3604" s="24" t="n"/>
    </row>
    <row r="3605" ht="14.25" customHeight="1" s="40">
      <c r="A3605" s="24" t="n"/>
      <c r="B3605" s="29" t="n"/>
      <c r="C3605" s="28" t="n"/>
      <c r="D3605" s="22">
        <f t="array" ref="D3605">IF($C3605="","",IFERROR(INDEX(DATA_MASTER!$C$2:$C$5000,MATCH($C3605,DATA_MASTER!$D$2:$D$5000,0)),""))</f>
        <v/>
      </c>
      <c r="E3605" s="22">
        <f t="array" ref="E3605">IF($C3605="","",IFERROR(INDEX(DATA_MASTER!$I$2:$I$5000,MATCH($C3605,DATA_MASTER!$D$2:$D$5000,0)),""))</f>
        <v/>
      </c>
      <c r="F3605" s="22">
        <f t="array" ref="F3605">IF($C3605="","",IFERROR(INDEX(DATA_MASTER!$L$2:$L$5000,MATCH($C3605,DATA_MASTER!$D$2:$D$5000,0)),""))</f>
        <v/>
      </c>
      <c r="G3605" s="24" t="n"/>
      <c r="H3605" s="24" t="n"/>
      <c r="I3605" s="30" t="n"/>
      <c r="J3605" s="23">
        <f>IF(OR($H3605="",$I3605=""),"",$H3605*$I3605)</f>
        <v/>
      </c>
      <c r="K3605" s="24" t="n"/>
      <c r="L3605" s="24" t="n"/>
      <c r="M3605" s="29" t="n"/>
      <c r="N3605" s="28" t="n"/>
      <c r="O3605" s="24" t="n"/>
      <c r="P3605" s="24" t="n"/>
      <c r="Q3605" s="24" t="n"/>
      <c r="R3605" s="24" t="n"/>
      <c r="S3605" s="22">
        <f>IF(AND($A3605="",$C3605=""),"",IF($A3605="","Thiếu mã đơn; ","")&amp;IF(COUNTIF($A$2:$A3605,$A3605)&gt;1,"Trùng mã đơn; ","")&amp;IF(ISNA(MATCH($C3605,DATA_MASTER!$D$2:$D$5000,0)),"SĐT chưa đăng ký hội viên; ","")&amp;IF(AND($L3605="Đã chuyển khoản",$M3605=""),"Thiếu ngày nhận CK; ",""))</f>
        <v/>
      </c>
      <c r="T3605" s="24" t="n"/>
    </row>
    <row r="3606" ht="14.25" customHeight="1" s="40">
      <c r="A3606" s="24" t="n"/>
      <c r="B3606" s="29" t="n"/>
      <c r="C3606" s="28" t="n"/>
      <c r="D3606" s="22">
        <f t="array" ref="D3606">IF($C3606="","",IFERROR(INDEX(DATA_MASTER!$C$2:$C$5000,MATCH($C3606,DATA_MASTER!$D$2:$D$5000,0)),""))</f>
        <v/>
      </c>
      <c r="E3606" s="22">
        <f t="array" ref="E3606">IF($C3606="","",IFERROR(INDEX(DATA_MASTER!$I$2:$I$5000,MATCH($C3606,DATA_MASTER!$D$2:$D$5000,0)),""))</f>
        <v/>
      </c>
      <c r="F3606" s="22">
        <f t="array" ref="F3606">IF($C3606="","",IFERROR(INDEX(DATA_MASTER!$L$2:$L$5000,MATCH($C3606,DATA_MASTER!$D$2:$D$5000,0)),""))</f>
        <v/>
      </c>
      <c r="G3606" s="24" t="n"/>
      <c r="H3606" s="24" t="n"/>
      <c r="I3606" s="30" t="n"/>
      <c r="J3606" s="23">
        <f>IF(OR($H3606="",$I3606=""),"",$H3606*$I3606)</f>
        <v/>
      </c>
      <c r="K3606" s="24" t="n"/>
      <c r="L3606" s="24" t="n"/>
      <c r="M3606" s="29" t="n"/>
      <c r="N3606" s="28" t="n"/>
      <c r="O3606" s="24" t="n"/>
      <c r="P3606" s="24" t="n"/>
      <c r="Q3606" s="24" t="n"/>
      <c r="R3606" s="24" t="n"/>
      <c r="S3606" s="22">
        <f>IF(AND($A3606="",$C3606=""),"",IF($A3606="","Thiếu mã đơn; ","")&amp;IF(COUNTIF($A$2:$A3606,$A3606)&gt;1,"Trùng mã đơn; ","")&amp;IF(ISNA(MATCH($C3606,DATA_MASTER!$D$2:$D$5000,0)),"SĐT chưa đăng ký hội viên; ","")&amp;IF(AND($L3606="Đã chuyển khoản",$M3606=""),"Thiếu ngày nhận CK; ",""))</f>
        <v/>
      </c>
      <c r="T3606" s="24" t="n"/>
    </row>
    <row r="3607" ht="14.25" customHeight="1" s="40">
      <c r="A3607" s="24" t="n"/>
      <c r="B3607" s="29" t="n"/>
      <c r="C3607" s="28" t="n"/>
      <c r="D3607" s="22">
        <f t="array" ref="D3607">IF($C3607="","",IFERROR(INDEX(DATA_MASTER!$C$2:$C$5000,MATCH($C3607,DATA_MASTER!$D$2:$D$5000,0)),""))</f>
        <v/>
      </c>
      <c r="E3607" s="22">
        <f t="array" ref="E3607">IF($C3607="","",IFERROR(INDEX(DATA_MASTER!$I$2:$I$5000,MATCH($C3607,DATA_MASTER!$D$2:$D$5000,0)),""))</f>
        <v/>
      </c>
      <c r="F3607" s="22">
        <f t="array" ref="F3607">IF($C3607="","",IFERROR(INDEX(DATA_MASTER!$L$2:$L$5000,MATCH($C3607,DATA_MASTER!$D$2:$D$5000,0)),""))</f>
        <v/>
      </c>
      <c r="G3607" s="24" t="n"/>
      <c r="H3607" s="24" t="n"/>
      <c r="I3607" s="30" t="n"/>
      <c r="J3607" s="23">
        <f>IF(OR($H3607="",$I3607=""),"",$H3607*$I3607)</f>
        <v/>
      </c>
      <c r="K3607" s="24" t="n"/>
      <c r="L3607" s="24" t="n"/>
      <c r="M3607" s="29" t="n"/>
      <c r="N3607" s="28" t="n"/>
      <c r="O3607" s="24" t="n"/>
      <c r="P3607" s="24" t="n"/>
      <c r="Q3607" s="24" t="n"/>
      <c r="R3607" s="24" t="n"/>
      <c r="S3607" s="22">
        <f>IF(AND($A3607="",$C3607=""),"",IF($A3607="","Thiếu mã đơn; ","")&amp;IF(COUNTIF($A$2:$A3607,$A3607)&gt;1,"Trùng mã đơn; ","")&amp;IF(ISNA(MATCH($C3607,DATA_MASTER!$D$2:$D$5000,0)),"SĐT chưa đăng ký hội viên; ","")&amp;IF(AND($L3607="Đã chuyển khoản",$M3607=""),"Thiếu ngày nhận CK; ",""))</f>
        <v/>
      </c>
      <c r="T3607" s="24" t="n"/>
    </row>
    <row r="3608" ht="14.25" customHeight="1" s="40">
      <c r="A3608" s="24" t="n"/>
      <c r="B3608" s="29" t="n"/>
      <c r="C3608" s="28" t="n"/>
      <c r="D3608" s="22">
        <f t="array" ref="D3608">IF($C3608="","",IFERROR(INDEX(DATA_MASTER!$C$2:$C$5000,MATCH($C3608,DATA_MASTER!$D$2:$D$5000,0)),""))</f>
        <v/>
      </c>
      <c r="E3608" s="22">
        <f t="array" ref="E3608">IF($C3608="","",IFERROR(INDEX(DATA_MASTER!$I$2:$I$5000,MATCH($C3608,DATA_MASTER!$D$2:$D$5000,0)),""))</f>
        <v/>
      </c>
      <c r="F3608" s="22">
        <f t="array" ref="F3608">IF($C3608="","",IFERROR(INDEX(DATA_MASTER!$L$2:$L$5000,MATCH($C3608,DATA_MASTER!$D$2:$D$5000,0)),""))</f>
        <v/>
      </c>
      <c r="G3608" s="24" t="n"/>
      <c r="H3608" s="24" t="n"/>
      <c r="I3608" s="30" t="n"/>
      <c r="J3608" s="23">
        <f>IF(OR($H3608="",$I3608=""),"",$H3608*$I3608)</f>
        <v/>
      </c>
      <c r="K3608" s="24" t="n"/>
      <c r="L3608" s="24" t="n"/>
      <c r="M3608" s="29" t="n"/>
      <c r="N3608" s="28" t="n"/>
      <c r="O3608" s="24" t="n"/>
      <c r="P3608" s="24" t="n"/>
      <c r="Q3608" s="24" t="n"/>
      <c r="R3608" s="24" t="n"/>
      <c r="S3608" s="22">
        <f>IF(AND($A3608="",$C3608=""),"",IF($A3608="","Thiếu mã đơn; ","")&amp;IF(COUNTIF($A$2:$A3608,$A3608)&gt;1,"Trùng mã đơn; ","")&amp;IF(ISNA(MATCH($C3608,DATA_MASTER!$D$2:$D$5000,0)),"SĐT chưa đăng ký hội viên; ","")&amp;IF(AND($L3608="Đã chuyển khoản",$M3608=""),"Thiếu ngày nhận CK; ",""))</f>
        <v/>
      </c>
      <c r="T3608" s="24" t="n"/>
    </row>
    <row r="3609" ht="14.25" customHeight="1" s="40">
      <c r="A3609" s="24" t="n"/>
      <c r="B3609" s="29" t="n"/>
      <c r="C3609" s="28" t="n"/>
      <c r="D3609" s="22">
        <f t="array" ref="D3609">IF($C3609="","",IFERROR(INDEX(DATA_MASTER!$C$2:$C$5000,MATCH($C3609,DATA_MASTER!$D$2:$D$5000,0)),""))</f>
        <v/>
      </c>
      <c r="E3609" s="22">
        <f t="array" ref="E3609">IF($C3609="","",IFERROR(INDEX(DATA_MASTER!$I$2:$I$5000,MATCH($C3609,DATA_MASTER!$D$2:$D$5000,0)),""))</f>
        <v/>
      </c>
      <c r="F3609" s="22">
        <f t="array" ref="F3609">IF($C3609="","",IFERROR(INDEX(DATA_MASTER!$L$2:$L$5000,MATCH($C3609,DATA_MASTER!$D$2:$D$5000,0)),""))</f>
        <v/>
      </c>
      <c r="G3609" s="24" t="n"/>
      <c r="H3609" s="24" t="n"/>
      <c r="I3609" s="30" t="n"/>
      <c r="J3609" s="23">
        <f>IF(OR($H3609="",$I3609=""),"",$H3609*$I3609)</f>
        <v/>
      </c>
      <c r="K3609" s="24" t="n"/>
      <c r="L3609" s="24" t="n"/>
      <c r="M3609" s="29" t="n"/>
      <c r="N3609" s="28" t="n"/>
      <c r="O3609" s="24" t="n"/>
      <c r="P3609" s="24" t="n"/>
      <c r="Q3609" s="24" t="n"/>
      <c r="R3609" s="24" t="n"/>
      <c r="S3609" s="22">
        <f>IF(AND($A3609="",$C3609=""),"",IF($A3609="","Thiếu mã đơn; ","")&amp;IF(COUNTIF($A$2:$A3609,$A3609)&gt;1,"Trùng mã đơn; ","")&amp;IF(ISNA(MATCH($C3609,DATA_MASTER!$D$2:$D$5000,0)),"SĐT chưa đăng ký hội viên; ","")&amp;IF(AND($L3609="Đã chuyển khoản",$M3609=""),"Thiếu ngày nhận CK; ",""))</f>
        <v/>
      </c>
      <c r="T3609" s="24" t="n"/>
    </row>
    <row r="3610" ht="14.25" customHeight="1" s="40">
      <c r="A3610" s="24" t="n"/>
      <c r="B3610" s="29" t="n"/>
      <c r="C3610" s="28" t="n"/>
      <c r="D3610" s="22">
        <f t="array" ref="D3610">IF($C3610="","",IFERROR(INDEX(DATA_MASTER!$C$2:$C$5000,MATCH($C3610,DATA_MASTER!$D$2:$D$5000,0)),""))</f>
        <v/>
      </c>
      <c r="E3610" s="22">
        <f t="array" ref="E3610">IF($C3610="","",IFERROR(INDEX(DATA_MASTER!$I$2:$I$5000,MATCH($C3610,DATA_MASTER!$D$2:$D$5000,0)),""))</f>
        <v/>
      </c>
      <c r="F3610" s="22">
        <f t="array" ref="F3610">IF($C3610="","",IFERROR(INDEX(DATA_MASTER!$L$2:$L$5000,MATCH($C3610,DATA_MASTER!$D$2:$D$5000,0)),""))</f>
        <v/>
      </c>
      <c r="G3610" s="24" t="n"/>
      <c r="H3610" s="24" t="n"/>
      <c r="I3610" s="30" t="n"/>
      <c r="J3610" s="23">
        <f>IF(OR($H3610="",$I3610=""),"",$H3610*$I3610)</f>
        <v/>
      </c>
      <c r="K3610" s="24" t="n"/>
      <c r="L3610" s="24" t="n"/>
      <c r="M3610" s="29" t="n"/>
      <c r="N3610" s="28" t="n"/>
      <c r="O3610" s="24" t="n"/>
      <c r="P3610" s="24" t="n"/>
      <c r="Q3610" s="24" t="n"/>
      <c r="R3610" s="24" t="n"/>
      <c r="S3610" s="22">
        <f>IF(AND($A3610="",$C3610=""),"",IF($A3610="","Thiếu mã đơn; ","")&amp;IF(COUNTIF($A$2:$A3610,$A3610)&gt;1,"Trùng mã đơn; ","")&amp;IF(ISNA(MATCH($C3610,DATA_MASTER!$D$2:$D$5000,0)),"SĐT chưa đăng ký hội viên; ","")&amp;IF(AND($L3610="Đã chuyển khoản",$M3610=""),"Thiếu ngày nhận CK; ",""))</f>
        <v/>
      </c>
      <c r="T3610" s="24" t="n"/>
    </row>
    <row r="3611" ht="14.25" customHeight="1" s="40">
      <c r="A3611" s="24" t="n"/>
      <c r="B3611" s="29" t="n"/>
      <c r="C3611" s="28" t="n"/>
      <c r="D3611" s="22">
        <f t="array" ref="D3611">IF($C3611="","",IFERROR(INDEX(DATA_MASTER!$C$2:$C$5000,MATCH($C3611,DATA_MASTER!$D$2:$D$5000,0)),""))</f>
        <v/>
      </c>
      <c r="E3611" s="22">
        <f t="array" ref="E3611">IF($C3611="","",IFERROR(INDEX(DATA_MASTER!$I$2:$I$5000,MATCH($C3611,DATA_MASTER!$D$2:$D$5000,0)),""))</f>
        <v/>
      </c>
      <c r="F3611" s="22">
        <f t="array" ref="F3611">IF($C3611="","",IFERROR(INDEX(DATA_MASTER!$L$2:$L$5000,MATCH($C3611,DATA_MASTER!$D$2:$D$5000,0)),""))</f>
        <v/>
      </c>
      <c r="G3611" s="24" t="n"/>
      <c r="H3611" s="24" t="n"/>
      <c r="I3611" s="30" t="n"/>
      <c r="J3611" s="23">
        <f>IF(OR($H3611="",$I3611=""),"",$H3611*$I3611)</f>
        <v/>
      </c>
      <c r="K3611" s="24" t="n"/>
      <c r="L3611" s="24" t="n"/>
      <c r="M3611" s="29" t="n"/>
      <c r="N3611" s="28" t="n"/>
      <c r="O3611" s="24" t="n"/>
      <c r="P3611" s="24" t="n"/>
      <c r="Q3611" s="24" t="n"/>
      <c r="R3611" s="24" t="n"/>
      <c r="S3611" s="22">
        <f>IF(AND($A3611="",$C3611=""),"",IF($A3611="","Thiếu mã đơn; ","")&amp;IF(COUNTIF($A$2:$A3611,$A3611)&gt;1,"Trùng mã đơn; ","")&amp;IF(ISNA(MATCH($C3611,DATA_MASTER!$D$2:$D$5000,0)),"SĐT chưa đăng ký hội viên; ","")&amp;IF(AND($L3611="Đã chuyển khoản",$M3611=""),"Thiếu ngày nhận CK; ",""))</f>
        <v/>
      </c>
      <c r="T3611" s="24" t="n"/>
    </row>
    <row r="3612" ht="14.25" customHeight="1" s="40">
      <c r="A3612" s="24" t="n"/>
      <c r="B3612" s="29" t="n"/>
      <c r="C3612" s="28" t="n"/>
      <c r="D3612" s="22">
        <f t="array" ref="D3612">IF($C3612="","",IFERROR(INDEX(DATA_MASTER!$C$2:$C$5000,MATCH($C3612,DATA_MASTER!$D$2:$D$5000,0)),""))</f>
        <v/>
      </c>
      <c r="E3612" s="22">
        <f t="array" ref="E3612">IF($C3612="","",IFERROR(INDEX(DATA_MASTER!$I$2:$I$5000,MATCH($C3612,DATA_MASTER!$D$2:$D$5000,0)),""))</f>
        <v/>
      </c>
      <c r="F3612" s="22">
        <f t="array" ref="F3612">IF($C3612="","",IFERROR(INDEX(DATA_MASTER!$L$2:$L$5000,MATCH($C3612,DATA_MASTER!$D$2:$D$5000,0)),""))</f>
        <v/>
      </c>
      <c r="G3612" s="24" t="n"/>
      <c r="H3612" s="24" t="n"/>
      <c r="I3612" s="30" t="n"/>
      <c r="J3612" s="23">
        <f>IF(OR($H3612="",$I3612=""),"",$H3612*$I3612)</f>
        <v/>
      </c>
      <c r="K3612" s="24" t="n"/>
      <c r="L3612" s="24" t="n"/>
      <c r="M3612" s="29" t="n"/>
      <c r="N3612" s="28" t="n"/>
      <c r="O3612" s="24" t="n"/>
      <c r="P3612" s="24" t="n"/>
      <c r="Q3612" s="24" t="n"/>
      <c r="R3612" s="24" t="n"/>
      <c r="S3612" s="22">
        <f>IF(AND($A3612="",$C3612=""),"",IF($A3612="","Thiếu mã đơn; ","")&amp;IF(COUNTIF($A$2:$A3612,$A3612)&gt;1,"Trùng mã đơn; ","")&amp;IF(ISNA(MATCH($C3612,DATA_MASTER!$D$2:$D$5000,0)),"SĐT chưa đăng ký hội viên; ","")&amp;IF(AND($L3612="Đã chuyển khoản",$M3612=""),"Thiếu ngày nhận CK; ",""))</f>
        <v/>
      </c>
      <c r="T3612" s="24" t="n"/>
    </row>
    <row r="3613" ht="14.25" customHeight="1" s="40">
      <c r="A3613" s="24" t="n"/>
      <c r="B3613" s="29" t="n"/>
      <c r="C3613" s="28" t="n"/>
      <c r="D3613" s="22">
        <f t="array" ref="D3613">IF($C3613="","",IFERROR(INDEX(DATA_MASTER!$C$2:$C$5000,MATCH($C3613,DATA_MASTER!$D$2:$D$5000,0)),""))</f>
        <v/>
      </c>
      <c r="E3613" s="22">
        <f t="array" ref="E3613">IF($C3613="","",IFERROR(INDEX(DATA_MASTER!$I$2:$I$5000,MATCH($C3613,DATA_MASTER!$D$2:$D$5000,0)),""))</f>
        <v/>
      </c>
      <c r="F3613" s="22">
        <f t="array" ref="F3613">IF($C3613="","",IFERROR(INDEX(DATA_MASTER!$L$2:$L$5000,MATCH($C3613,DATA_MASTER!$D$2:$D$5000,0)),""))</f>
        <v/>
      </c>
      <c r="G3613" s="24" t="n"/>
      <c r="H3613" s="24" t="n"/>
      <c r="I3613" s="30" t="n"/>
      <c r="J3613" s="23">
        <f>IF(OR($H3613="",$I3613=""),"",$H3613*$I3613)</f>
        <v/>
      </c>
      <c r="K3613" s="24" t="n"/>
      <c r="L3613" s="24" t="n"/>
      <c r="M3613" s="29" t="n"/>
      <c r="N3613" s="28" t="n"/>
      <c r="O3613" s="24" t="n"/>
      <c r="P3613" s="24" t="n"/>
      <c r="Q3613" s="24" t="n"/>
      <c r="R3613" s="24" t="n"/>
      <c r="S3613" s="22">
        <f>IF(AND($A3613="",$C3613=""),"",IF($A3613="","Thiếu mã đơn; ","")&amp;IF(COUNTIF($A$2:$A3613,$A3613)&gt;1,"Trùng mã đơn; ","")&amp;IF(ISNA(MATCH($C3613,DATA_MASTER!$D$2:$D$5000,0)),"SĐT chưa đăng ký hội viên; ","")&amp;IF(AND($L3613="Đã chuyển khoản",$M3613=""),"Thiếu ngày nhận CK; ",""))</f>
        <v/>
      </c>
      <c r="T3613" s="24" t="n"/>
    </row>
    <row r="3614" ht="14.25" customHeight="1" s="40">
      <c r="A3614" s="24" t="n"/>
      <c r="B3614" s="29" t="n"/>
      <c r="C3614" s="28" t="n"/>
      <c r="D3614" s="22">
        <f t="array" ref="D3614">IF($C3614="","",IFERROR(INDEX(DATA_MASTER!$C$2:$C$5000,MATCH($C3614,DATA_MASTER!$D$2:$D$5000,0)),""))</f>
        <v/>
      </c>
      <c r="E3614" s="22">
        <f t="array" ref="E3614">IF($C3614="","",IFERROR(INDEX(DATA_MASTER!$I$2:$I$5000,MATCH($C3614,DATA_MASTER!$D$2:$D$5000,0)),""))</f>
        <v/>
      </c>
      <c r="F3614" s="22">
        <f t="array" ref="F3614">IF($C3614="","",IFERROR(INDEX(DATA_MASTER!$L$2:$L$5000,MATCH($C3614,DATA_MASTER!$D$2:$D$5000,0)),""))</f>
        <v/>
      </c>
      <c r="G3614" s="24" t="n"/>
      <c r="H3614" s="24" t="n"/>
      <c r="I3614" s="30" t="n"/>
      <c r="J3614" s="23">
        <f>IF(OR($H3614="",$I3614=""),"",$H3614*$I3614)</f>
        <v/>
      </c>
      <c r="K3614" s="24" t="n"/>
      <c r="L3614" s="24" t="n"/>
      <c r="M3614" s="29" t="n"/>
      <c r="N3614" s="28" t="n"/>
      <c r="O3614" s="24" t="n"/>
      <c r="P3614" s="24" t="n"/>
      <c r="Q3614" s="24" t="n"/>
      <c r="R3614" s="24" t="n"/>
      <c r="S3614" s="22">
        <f>IF(AND($A3614="",$C3614=""),"",IF($A3614="","Thiếu mã đơn; ","")&amp;IF(COUNTIF($A$2:$A3614,$A3614)&gt;1,"Trùng mã đơn; ","")&amp;IF(ISNA(MATCH($C3614,DATA_MASTER!$D$2:$D$5000,0)),"SĐT chưa đăng ký hội viên; ","")&amp;IF(AND($L3614="Đã chuyển khoản",$M3614=""),"Thiếu ngày nhận CK; ",""))</f>
        <v/>
      </c>
      <c r="T3614" s="24" t="n"/>
    </row>
    <row r="3615" ht="14.25" customHeight="1" s="40">
      <c r="A3615" s="24" t="n"/>
      <c r="B3615" s="29" t="n"/>
      <c r="C3615" s="28" t="n"/>
      <c r="D3615" s="22">
        <f t="array" ref="D3615">IF($C3615="","",IFERROR(INDEX(DATA_MASTER!$C$2:$C$5000,MATCH($C3615,DATA_MASTER!$D$2:$D$5000,0)),""))</f>
        <v/>
      </c>
      <c r="E3615" s="22">
        <f t="array" ref="E3615">IF($C3615="","",IFERROR(INDEX(DATA_MASTER!$I$2:$I$5000,MATCH($C3615,DATA_MASTER!$D$2:$D$5000,0)),""))</f>
        <v/>
      </c>
      <c r="F3615" s="22">
        <f t="array" ref="F3615">IF($C3615="","",IFERROR(INDEX(DATA_MASTER!$L$2:$L$5000,MATCH($C3615,DATA_MASTER!$D$2:$D$5000,0)),""))</f>
        <v/>
      </c>
      <c r="G3615" s="24" t="n"/>
      <c r="H3615" s="24" t="n"/>
      <c r="I3615" s="30" t="n"/>
      <c r="J3615" s="23">
        <f>IF(OR($H3615="",$I3615=""),"",$H3615*$I3615)</f>
        <v/>
      </c>
      <c r="K3615" s="24" t="n"/>
      <c r="L3615" s="24" t="n"/>
      <c r="M3615" s="29" t="n"/>
      <c r="N3615" s="28" t="n"/>
      <c r="O3615" s="24" t="n"/>
      <c r="P3615" s="24" t="n"/>
      <c r="Q3615" s="24" t="n"/>
      <c r="R3615" s="24" t="n"/>
      <c r="S3615" s="22">
        <f>IF(AND($A3615="",$C3615=""),"",IF($A3615="","Thiếu mã đơn; ","")&amp;IF(COUNTIF($A$2:$A3615,$A3615)&gt;1,"Trùng mã đơn; ","")&amp;IF(ISNA(MATCH($C3615,DATA_MASTER!$D$2:$D$5000,0)),"SĐT chưa đăng ký hội viên; ","")&amp;IF(AND($L3615="Đã chuyển khoản",$M3615=""),"Thiếu ngày nhận CK; ",""))</f>
        <v/>
      </c>
      <c r="T3615" s="24" t="n"/>
    </row>
    <row r="3616" ht="14.25" customHeight="1" s="40">
      <c r="A3616" s="24" t="n"/>
      <c r="B3616" s="29" t="n"/>
      <c r="C3616" s="28" t="n"/>
      <c r="D3616" s="22">
        <f t="array" ref="D3616">IF($C3616="","",IFERROR(INDEX(DATA_MASTER!$C$2:$C$5000,MATCH($C3616,DATA_MASTER!$D$2:$D$5000,0)),""))</f>
        <v/>
      </c>
      <c r="E3616" s="22">
        <f t="array" ref="E3616">IF($C3616="","",IFERROR(INDEX(DATA_MASTER!$I$2:$I$5000,MATCH($C3616,DATA_MASTER!$D$2:$D$5000,0)),""))</f>
        <v/>
      </c>
      <c r="F3616" s="22">
        <f t="array" ref="F3616">IF($C3616="","",IFERROR(INDEX(DATA_MASTER!$L$2:$L$5000,MATCH($C3616,DATA_MASTER!$D$2:$D$5000,0)),""))</f>
        <v/>
      </c>
      <c r="G3616" s="24" t="n"/>
      <c r="H3616" s="24" t="n"/>
      <c r="I3616" s="30" t="n"/>
      <c r="J3616" s="23">
        <f>IF(OR($H3616="",$I3616=""),"",$H3616*$I3616)</f>
        <v/>
      </c>
      <c r="K3616" s="24" t="n"/>
      <c r="L3616" s="24" t="n"/>
      <c r="M3616" s="29" t="n"/>
      <c r="N3616" s="28" t="n"/>
      <c r="O3616" s="24" t="n"/>
      <c r="P3616" s="24" t="n"/>
      <c r="Q3616" s="24" t="n"/>
      <c r="R3616" s="24" t="n"/>
      <c r="S3616" s="22">
        <f>IF(AND($A3616="",$C3616=""),"",IF($A3616="","Thiếu mã đơn; ","")&amp;IF(COUNTIF($A$2:$A3616,$A3616)&gt;1,"Trùng mã đơn; ","")&amp;IF(ISNA(MATCH($C3616,DATA_MASTER!$D$2:$D$5000,0)),"SĐT chưa đăng ký hội viên; ","")&amp;IF(AND($L3616="Đã chuyển khoản",$M3616=""),"Thiếu ngày nhận CK; ",""))</f>
        <v/>
      </c>
      <c r="T3616" s="24" t="n"/>
    </row>
    <row r="3617" ht="14.25" customHeight="1" s="40">
      <c r="A3617" s="24" t="n"/>
      <c r="B3617" s="29" t="n"/>
      <c r="C3617" s="28" t="n"/>
      <c r="D3617" s="22">
        <f t="array" ref="D3617">IF($C3617="","",IFERROR(INDEX(DATA_MASTER!$C$2:$C$5000,MATCH($C3617,DATA_MASTER!$D$2:$D$5000,0)),""))</f>
        <v/>
      </c>
      <c r="E3617" s="22">
        <f t="array" ref="E3617">IF($C3617="","",IFERROR(INDEX(DATA_MASTER!$I$2:$I$5000,MATCH($C3617,DATA_MASTER!$D$2:$D$5000,0)),""))</f>
        <v/>
      </c>
      <c r="F3617" s="22">
        <f t="array" ref="F3617">IF($C3617="","",IFERROR(INDEX(DATA_MASTER!$L$2:$L$5000,MATCH($C3617,DATA_MASTER!$D$2:$D$5000,0)),""))</f>
        <v/>
      </c>
      <c r="G3617" s="24" t="n"/>
      <c r="H3617" s="24" t="n"/>
      <c r="I3617" s="30" t="n"/>
      <c r="J3617" s="23">
        <f>IF(OR($H3617="",$I3617=""),"",$H3617*$I3617)</f>
        <v/>
      </c>
      <c r="K3617" s="24" t="n"/>
      <c r="L3617" s="24" t="n"/>
      <c r="M3617" s="29" t="n"/>
      <c r="N3617" s="28" t="n"/>
      <c r="O3617" s="24" t="n"/>
      <c r="P3617" s="24" t="n"/>
      <c r="Q3617" s="24" t="n"/>
      <c r="R3617" s="24" t="n"/>
      <c r="S3617" s="22">
        <f>IF(AND($A3617="",$C3617=""),"",IF($A3617="","Thiếu mã đơn; ","")&amp;IF(COUNTIF($A$2:$A3617,$A3617)&gt;1,"Trùng mã đơn; ","")&amp;IF(ISNA(MATCH($C3617,DATA_MASTER!$D$2:$D$5000,0)),"SĐT chưa đăng ký hội viên; ","")&amp;IF(AND($L3617="Đã chuyển khoản",$M3617=""),"Thiếu ngày nhận CK; ",""))</f>
        <v/>
      </c>
      <c r="T3617" s="24" t="n"/>
    </row>
    <row r="3618" ht="14.25" customHeight="1" s="40">
      <c r="A3618" s="24" t="n"/>
      <c r="B3618" s="29" t="n"/>
      <c r="C3618" s="28" t="n"/>
      <c r="D3618" s="22">
        <f t="array" ref="D3618">IF($C3618="","",IFERROR(INDEX(DATA_MASTER!$C$2:$C$5000,MATCH($C3618,DATA_MASTER!$D$2:$D$5000,0)),""))</f>
        <v/>
      </c>
      <c r="E3618" s="22">
        <f t="array" ref="E3618">IF($C3618="","",IFERROR(INDEX(DATA_MASTER!$I$2:$I$5000,MATCH($C3618,DATA_MASTER!$D$2:$D$5000,0)),""))</f>
        <v/>
      </c>
      <c r="F3618" s="22">
        <f t="array" ref="F3618">IF($C3618="","",IFERROR(INDEX(DATA_MASTER!$L$2:$L$5000,MATCH($C3618,DATA_MASTER!$D$2:$D$5000,0)),""))</f>
        <v/>
      </c>
      <c r="G3618" s="24" t="n"/>
      <c r="H3618" s="24" t="n"/>
      <c r="I3618" s="30" t="n"/>
      <c r="J3618" s="23">
        <f>IF(OR($H3618="",$I3618=""),"",$H3618*$I3618)</f>
        <v/>
      </c>
      <c r="K3618" s="24" t="n"/>
      <c r="L3618" s="24" t="n"/>
      <c r="M3618" s="29" t="n"/>
      <c r="N3618" s="28" t="n"/>
      <c r="O3618" s="24" t="n"/>
      <c r="P3618" s="24" t="n"/>
      <c r="Q3618" s="24" t="n"/>
      <c r="R3618" s="24" t="n"/>
      <c r="S3618" s="22">
        <f>IF(AND($A3618="",$C3618=""),"",IF($A3618="","Thiếu mã đơn; ","")&amp;IF(COUNTIF($A$2:$A3618,$A3618)&gt;1,"Trùng mã đơn; ","")&amp;IF(ISNA(MATCH($C3618,DATA_MASTER!$D$2:$D$5000,0)),"SĐT chưa đăng ký hội viên; ","")&amp;IF(AND($L3618="Đã chuyển khoản",$M3618=""),"Thiếu ngày nhận CK; ",""))</f>
        <v/>
      </c>
      <c r="T3618" s="24" t="n"/>
    </row>
    <row r="3619" ht="14.25" customHeight="1" s="40">
      <c r="A3619" s="24" t="n"/>
      <c r="B3619" s="29" t="n"/>
      <c r="C3619" s="28" t="n"/>
      <c r="D3619" s="22">
        <f t="array" ref="D3619">IF($C3619="","",IFERROR(INDEX(DATA_MASTER!$C$2:$C$5000,MATCH($C3619,DATA_MASTER!$D$2:$D$5000,0)),""))</f>
        <v/>
      </c>
      <c r="E3619" s="22">
        <f t="array" ref="E3619">IF($C3619="","",IFERROR(INDEX(DATA_MASTER!$I$2:$I$5000,MATCH($C3619,DATA_MASTER!$D$2:$D$5000,0)),""))</f>
        <v/>
      </c>
      <c r="F3619" s="22">
        <f t="array" ref="F3619">IF($C3619="","",IFERROR(INDEX(DATA_MASTER!$L$2:$L$5000,MATCH($C3619,DATA_MASTER!$D$2:$D$5000,0)),""))</f>
        <v/>
      </c>
      <c r="G3619" s="24" t="n"/>
      <c r="H3619" s="24" t="n"/>
      <c r="I3619" s="30" t="n"/>
      <c r="J3619" s="23">
        <f>IF(OR($H3619="",$I3619=""),"",$H3619*$I3619)</f>
        <v/>
      </c>
      <c r="K3619" s="24" t="n"/>
      <c r="L3619" s="24" t="n"/>
      <c r="M3619" s="29" t="n"/>
      <c r="N3619" s="28" t="n"/>
      <c r="O3619" s="24" t="n"/>
      <c r="P3619" s="24" t="n"/>
      <c r="Q3619" s="24" t="n"/>
      <c r="R3619" s="24" t="n"/>
      <c r="S3619" s="22">
        <f>IF(AND($A3619="",$C3619=""),"",IF($A3619="","Thiếu mã đơn; ","")&amp;IF(COUNTIF($A$2:$A3619,$A3619)&gt;1,"Trùng mã đơn; ","")&amp;IF(ISNA(MATCH($C3619,DATA_MASTER!$D$2:$D$5000,0)),"SĐT chưa đăng ký hội viên; ","")&amp;IF(AND($L3619="Đã chuyển khoản",$M3619=""),"Thiếu ngày nhận CK; ",""))</f>
        <v/>
      </c>
      <c r="T3619" s="24" t="n"/>
    </row>
    <row r="3620" ht="14.25" customHeight="1" s="40">
      <c r="A3620" s="24" t="n"/>
      <c r="B3620" s="29" t="n"/>
      <c r="C3620" s="28" t="n"/>
      <c r="D3620" s="22">
        <f t="array" ref="D3620">IF($C3620="","",IFERROR(INDEX(DATA_MASTER!$C$2:$C$5000,MATCH($C3620,DATA_MASTER!$D$2:$D$5000,0)),""))</f>
        <v/>
      </c>
      <c r="E3620" s="22">
        <f t="array" ref="E3620">IF($C3620="","",IFERROR(INDEX(DATA_MASTER!$I$2:$I$5000,MATCH($C3620,DATA_MASTER!$D$2:$D$5000,0)),""))</f>
        <v/>
      </c>
      <c r="F3620" s="22">
        <f t="array" ref="F3620">IF($C3620="","",IFERROR(INDEX(DATA_MASTER!$L$2:$L$5000,MATCH($C3620,DATA_MASTER!$D$2:$D$5000,0)),""))</f>
        <v/>
      </c>
      <c r="G3620" s="24" t="n"/>
      <c r="H3620" s="24" t="n"/>
      <c r="I3620" s="30" t="n"/>
      <c r="J3620" s="23">
        <f>IF(OR($H3620="",$I3620=""),"",$H3620*$I3620)</f>
        <v/>
      </c>
      <c r="K3620" s="24" t="n"/>
      <c r="L3620" s="24" t="n"/>
      <c r="M3620" s="29" t="n"/>
      <c r="N3620" s="28" t="n"/>
      <c r="O3620" s="24" t="n"/>
      <c r="P3620" s="24" t="n"/>
      <c r="Q3620" s="24" t="n"/>
      <c r="R3620" s="24" t="n"/>
      <c r="S3620" s="22">
        <f>IF(AND($A3620="",$C3620=""),"",IF($A3620="","Thiếu mã đơn; ","")&amp;IF(COUNTIF($A$2:$A3620,$A3620)&gt;1,"Trùng mã đơn; ","")&amp;IF(ISNA(MATCH($C3620,DATA_MASTER!$D$2:$D$5000,0)),"SĐT chưa đăng ký hội viên; ","")&amp;IF(AND($L3620="Đã chuyển khoản",$M3620=""),"Thiếu ngày nhận CK; ",""))</f>
        <v/>
      </c>
      <c r="T3620" s="24" t="n"/>
    </row>
    <row r="3621" ht="14.25" customHeight="1" s="40">
      <c r="A3621" s="24" t="n"/>
      <c r="B3621" s="29" t="n"/>
      <c r="C3621" s="28" t="n"/>
      <c r="D3621" s="22">
        <f t="array" ref="D3621">IF($C3621="","",IFERROR(INDEX(DATA_MASTER!$C$2:$C$5000,MATCH($C3621,DATA_MASTER!$D$2:$D$5000,0)),""))</f>
        <v/>
      </c>
      <c r="E3621" s="22">
        <f t="array" ref="E3621">IF($C3621="","",IFERROR(INDEX(DATA_MASTER!$I$2:$I$5000,MATCH($C3621,DATA_MASTER!$D$2:$D$5000,0)),""))</f>
        <v/>
      </c>
      <c r="F3621" s="22">
        <f t="array" ref="F3621">IF($C3621="","",IFERROR(INDEX(DATA_MASTER!$L$2:$L$5000,MATCH($C3621,DATA_MASTER!$D$2:$D$5000,0)),""))</f>
        <v/>
      </c>
      <c r="G3621" s="24" t="n"/>
      <c r="H3621" s="24" t="n"/>
      <c r="I3621" s="30" t="n"/>
      <c r="J3621" s="23">
        <f>IF(OR($H3621="",$I3621=""),"",$H3621*$I3621)</f>
        <v/>
      </c>
      <c r="K3621" s="24" t="n"/>
      <c r="L3621" s="24" t="n"/>
      <c r="M3621" s="29" t="n"/>
      <c r="N3621" s="28" t="n"/>
      <c r="O3621" s="24" t="n"/>
      <c r="P3621" s="24" t="n"/>
      <c r="Q3621" s="24" t="n"/>
      <c r="R3621" s="24" t="n"/>
      <c r="S3621" s="22">
        <f>IF(AND($A3621="",$C3621=""),"",IF($A3621="","Thiếu mã đơn; ","")&amp;IF(COUNTIF($A$2:$A3621,$A3621)&gt;1,"Trùng mã đơn; ","")&amp;IF(ISNA(MATCH($C3621,DATA_MASTER!$D$2:$D$5000,0)),"SĐT chưa đăng ký hội viên; ","")&amp;IF(AND($L3621="Đã chuyển khoản",$M3621=""),"Thiếu ngày nhận CK; ",""))</f>
        <v/>
      </c>
      <c r="T3621" s="24" t="n"/>
    </row>
    <row r="3622" ht="14.25" customHeight="1" s="40">
      <c r="A3622" s="24" t="n"/>
      <c r="B3622" s="29" t="n"/>
      <c r="C3622" s="28" t="n"/>
      <c r="D3622" s="22">
        <f t="array" ref="D3622">IF($C3622="","",IFERROR(INDEX(DATA_MASTER!$C$2:$C$5000,MATCH($C3622,DATA_MASTER!$D$2:$D$5000,0)),""))</f>
        <v/>
      </c>
      <c r="E3622" s="22">
        <f t="array" ref="E3622">IF($C3622="","",IFERROR(INDEX(DATA_MASTER!$I$2:$I$5000,MATCH($C3622,DATA_MASTER!$D$2:$D$5000,0)),""))</f>
        <v/>
      </c>
      <c r="F3622" s="22">
        <f t="array" ref="F3622">IF($C3622="","",IFERROR(INDEX(DATA_MASTER!$L$2:$L$5000,MATCH($C3622,DATA_MASTER!$D$2:$D$5000,0)),""))</f>
        <v/>
      </c>
      <c r="G3622" s="24" t="n"/>
      <c r="H3622" s="24" t="n"/>
      <c r="I3622" s="30" t="n"/>
      <c r="J3622" s="23">
        <f>IF(OR($H3622="",$I3622=""),"",$H3622*$I3622)</f>
        <v/>
      </c>
      <c r="K3622" s="24" t="n"/>
      <c r="L3622" s="24" t="n"/>
      <c r="M3622" s="29" t="n"/>
      <c r="N3622" s="28" t="n"/>
      <c r="O3622" s="24" t="n"/>
      <c r="P3622" s="24" t="n"/>
      <c r="Q3622" s="24" t="n"/>
      <c r="R3622" s="24" t="n"/>
      <c r="S3622" s="22">
        <f>IF(AND($A3622="",$C3622=""),"",IF($A3622="","Thiếu mã đơn; ","")&amp;IF(COUNTIF($A$2:$A3622,$A3622)&gt;1,"Trùng mã đơn; ","")&amp;IF(ISNA(MATCH($C3622,DATA_MASTER!$D$2:$D$5000,0)),"SĐT chưa đăng ký hội viên; ","")&amp;IF(AND($L3622="Đã chuyển khoản",$M3622=""),"Thiếu ngày nhận CK; ",""))</f>
        <v/>
      </c>
      <c r="T3622" s="24" t="n"/>
    </row>
    <row r="3623" ht="14.25" customHeight="1" s="40">
      <c r="A3623" s="24" t="n"/>
      <c r="B3623" s="29" t="n"/>
      <c r="C3623" s="28" t="n"/>
      <c r="D3623" s="22">
        <f t="array" ref="D3623">IF($C3623="","",IFERROR(INDEX(DATA_MASTER!$C$2:$C$5000,MATCH($C3623,DATA_MASTER!$D$2:$D$5000,0)),""))</f>
        <v/>
      </c>
      <c r="E3623" s="22">
        <f t="array" ref="E3623">IF($C3623="","",IFERROR(INDEX(DATA_MASTER!$I$2:$I$5000,MATCH($C3623,DATA_MASTER!$D$2:$D$5000,0)),""))</f>
        <v/>
      </c>
      <c r="F3623" s="22">
        <f t="array" ref="F3623">IF($C3623="","",IFERROR(INDEX(DATA_MASTER!$L$2:$L$5000,MATCH($C3623,DATA_MASTER!$D$2:$D$5000,0)),""))</f>
        <v/>
      </c>
      <c r="G3623" s="24" t="n"/>
      <c r="H3623" s="24" t="n"/>
      <c r="I3623" s="30" t="n"/>
      <c r="J3623" s="23">
        <f>IF(OR($H3623="",$I3623=""),"",$H3623*$I3623)</f>
        <v/>
      </c>
      <c r="K3623" s="24" t="n"/>
      <c r="L3623" s="24" t="n"/>
      <c r="M3623" s="29" t="n"/>
      <c r="N3623" s="28" t="n"/>
      <c r="O3623" s="24" t="n"/>
      <c r="P3623" s="24" t="n"/>
      <c r="Q3623" s="24" t="n"/>
      <c r="R3623" s="24" t="n"/>
      <c r="S3623" s="22">
        <f>IF(AND($A3623="",$C3623=""),"",IF($A3623="","Thiếu mã đơn; ","")&amp;IF(COUNTIF($A$2:$A3623,$A3623)&gt;1,"Trùng mã đơn; ","")&amp;IF(ISNA(MATCH($C3623,DATA_MASTER!$D$2:$D$5000,0)),"SĐT chưa đăng ký hội viên; ","")&amp;IF(AND($L3623="Đã chuyển khoản",$M3623=""),"Thiếu ngày nhận CK; ",""))</f>
        <v/>
      </c>
      <c r="T3623" s="24" t="n"/>
    </row>
    <row r="3624" ht="14.25" customHeight="1" s="40">
      <c r="A3624" s="24" t="n"/>
      <c r="B3624" s="29" t="n"/>
      <c r="C3624" s="28" t="n"/>
      <c r="D3624" s="22">
        <f t="array" ref="D3624">IF($C3624="","",IFERROR(INDEX(DATA_MASTER!$C$2:$C$5000,MATCH($C3624,DATA_MASTER!$D$2:$D$5000,0)),""))</f>
        <v/>
      </c>
      <c r="E3624" s="22">
        <f t="array" ref="E3624">IF($C3624="","",IFERROR(INDEX(DATA_MASTER!$I$2:$I$5000,MATCH($C3624,DATA_MASTER!$D$2:$D$5000,0)),""))</f>
        <v/>
      </c>
      <c r="F3624" s="22">
        <f t="array" ref="F3624">IF($C3624="","",IFERROR(INDEX(DATA_MASTER!$L$2:$L$5000,MATCH($C3624,DATA_MASTER!$D$2:$D$5000,0)),""))</f>
        <v/>
      </c>
      <c r="G3624" s="24" t="n"/>
      <c r="H3624" s="24" t="n"/>
      <c r="I3624" s="30" t="n"/>
      <c r="J3624" s="23">
        <f>IF(OR($H3624="",$I3624=""),"",$H3624*$I3624)</f>
        <v/>
      </c>
      <c r="K3624" s="24" t="n"/>
      <c r="L3624" s="24" t="n"/>
      <c r="M3624" s="29" t="n"/>
      <c r="N3624" s="28" t="n"/>
      <c r="O3624" s="24" t="n"/>
      <c r="P3624" s="24" t="n"/>
      <c r="Q3624" s="24" t="n"/>
      <c r="R3624" s="24" t="n"/>
      <c r="S3624" s="22">
        <f>IF(AND($A3624="",$C3624=""),"",IF($A3624="","Thiếu mã đơn; ","")&amp;IF(COUNTIF($A$2:$A3624,$A3624)&gt;1,"Trùng mã đơn; ","")&amp;IF(ISNA(MATCH($C3624,DATA_MASTER!$D$2:$D$5000,0)),"SĐT chưa đăng ký hội viên; ","")&amp;IF(AND($L3624="Đã chuyển khoản",$M3624=""),"Thiếu ngày nhận CK; ",""))</f>
        <v/>
      </c>
      <c r="T3624" s="24" t="n"/>
    </row>
    <row r="3625" ht="14.25" customHeight="1" s="40">
      <c r="A3625" s="24" t="n"/>
      <c r="B3625" s="29" t="n"/>
      <c r="C3625" s="28" t="n"/>
      <c r="D3625" s="22">
        <f t="array" ref="D3625">IF($C3625="","",IFERROR(INDEX(DATA_MASTER!$C$2:$C$5000,MATCH($C3625,DATA_MASTER!$D$2:$D$5000,0)),""))</f>
        <v/>
      </c>
      <c r="E3625" s="22">
        <f t="array" ref="E3625">IF($C3625="","",IFERROR(INDEX(DATA_MASTER!$I$2:$I$5000,MATCH($C3625,DATA_MASTER!$D$2:$D$5000,0)),""))</f>
        <v/>
      </c>
      <c r="F3625" s="22">
        <f t="array" ref="F3625">IF($C3625="","",IFERROR(INDEX(DATA_MASTER!$L$2:$L$5000,MATCH($C3625,DATA_MASTER!$D$2:$D$5000,0)),""))</f>
        <v/>
      </c>
      <c r="G3625" s="24" t="n"/>
      <c r="H3625" s="24" t="n"/>
      <c r="I3625" s="30" t="n"/>
      <c r="J3625" s="23">
        <f>IF(OR($H3625="",$I3625=""),"",$H3625*$I3625)</f>
        <v/>
      </c>
      <c r="K3625" s="24" t="n"/>
      <c r="L3625" s="24" t="n"/>
      <c r="M3625" s="29" t="n"/>
      <c r="N3625" s="28" t="n"/>
      <c r="O3625" s="24" t="n"/>
      <c r="P3625" s="24" t="n"/>
      <c r="Q3625" s="24" t="n"/>
      <c r="R3625" s="24" t="n"/>
      <c r="S3625" s="22">
        <f>IF(AND($A3625="",$C3625=""),"",IF($A3625="","Thiếu mã đơn; ","")&amp;IF(COUNTIF($A$2:$A3625,$A3625)&gt;1,"Trùng mã đơn; ","")&amp;IF(ISNA(MATCH($C3625,DATA_MASTER!$D$2:$D$5000,0)),"SĐT chưa đăng ký hội viên; ","")&amp;IF(AND($L3625="Đã chuyển khoản",$M3625=""),"Thiếu ngày nhận CK; ",""))</f>
        <v/>
      </c>
      <c r="T3625" s="24" t="n"/>
    </row>
    <row r="3626" ht="14.25" customHeight="1" s="40">
      <c r="A3626" s="24" t="n"/>
      <c r="B3626" s="29" t="n"/>
      <c r="C3626" s="28" t="n"/>
      <c r="D3626" s="22">
        <f t="array" ref="D3626">IF($C3626="","",IFERROR(INDEX(DATA_MASTER!$C$2:$C$5000,MATCH($C3626,DATA_MASTER!$D$2:$D$5000,0)),""))</f>
        <v/>
      </c>
      <c r="E3626" s="22">
        <f t="array" ref="E3626">IF($C3626="","",IFERROR(INDEX(DATA_MASTER!$I$2:$I$5000,MATCH($C3626,DATA_MASTER!$D$2:$D$5000,0)),""))</f>
        <v/>
      </c>
      <c r="F3626" s="22">
        <f t="array" ref="F3626">IF($C3626="","",IFERROR(INDEX(DATA_MASTER!$L$2:$L$5000,MATCH($C3626,DATA_MASTER!$D$2:$D$5000,0)),""))</f>
        <v/>
      </c>
      <c r="G3626" s="24" t="n"/>
      <c r="H3626" s="24" t="n"/>
      <c r="I3626" s="30" t="n"/>
      <c r="J3626" s="23">
        <f>IF(OR($H3626="",$I3626=""),"",$H3626*$I3626)</f>
        <v/>
      </c>
      <c r="K3626" s="24" t="n"/>
      <c r="L3626" s="24" t="n"/>
      <c r="M3626" s="29" t="n"/>
      <c r="N3626" s="28" t="n"/>
      <c r="O3626" s="24" t="n"/>
      <c r="P3626" s="24" t="n"/>
      <c r="Q3626" s="24" t="n"/>
      <c r="R3626" s="24" t="n"/>
      <c r="S3626" s="22">
        <f>IF(AND($A3626="",$C3626=""),"",IF($A3626="","Thiếu mã đơn; ","")&amp;IF(COUNTIF($A$2:$A3626,$A3626)&gt;1,"Trùng mã đơn; ","")&amp;IF(ISNA(MATCH($C3626,DATA_MASTER!$D$2:$D$5000,0)),"SĐT chưa đăng ký hội viên; ","")&amp;IF(AND($L3626="Đã chuyển khoản",$M3626=""),"Thiếu ngày nhận CK; ",""))</f>
        <v/>
      </c>
      <c r="T3626" s="24" t="n"/>
    </row>
    <row r="3627" ht="14.25" customHeight="1" s="40">
      <c r="A3627" s="24" t="n"/>
      <c r="B3627" s="29" t="n"/>
      <c r="C3627" s="28" t="n"/>
      <c r="D3627" s="22">
        <f t="array" ref="D3627">IF($C3627="","",IFERROR(INDEX(DATA_MASTER!$C$2:$C$5000,MATCH($C3627,DATA_MASTER!$D$2:$D$5000,0)),""))</f>
        <v/>
      </c>
      <c r="E3627" s="22">
        <f t="array" ref="E3627">IF($C3627="","",IFERROR(INDEX(DATA_MASTER!$I$2:$I$5000,MATCH($C3627,DATA_MASTER!$D$2:$D$5000,0)),""))</f>
        <v/>
      </c>
      <c r="F3627" s="22">
        <f t="array" ref="F3627">IF($C3627="","",IFERROR(INDEX(DATA_MASTER!$L$2:$L$5000,MATCH($C3627,DATA_MASTER!$D$2:$D$5000,0)),""))</f>
        <v/>
      </c>
      <c r="G3627" s="24" t="n"/>
      <c r="H3627" s="24" t="n"/>
      <c r="I3627" s="30" t="n"/>
      <c r="J3627" s="23">
        <f>IF(OR($H3627="",$I3627=""),"",$H3627*$I3627)</f>
        <v/>
      </c>
      <c r="K3627" s="24" t="n"/>
      <c r="L3627" s="24" t="n"/>
      <c r="M3627" s="29" t="n"/>
      <c r="N3627" s="28" t="n"/>
      <c r="O3627" s="24" t="n"/>
      <c r="P3627" s="24" t="n"/>
      <c r="Q3627" s="24" t="n"/>
      <c r="R3627" s="24" t="n"/>
      <c r="S3627" s="22">
        <f>IF(AND($A3627="",$C3627=""),"",IF($A3627="","Thiếu mã đơn; ","")&amp;IF(COUNTIF($A$2:$A3627,$A3627)&gt;1,"Trùng mã đơn; ","")&amp;IF(ISNA(MATCH($C3627,DATA_MASTER!$D$2:$D$5000,0)),"SĐT chưa đăng ký hội viên; ","")&amp;IF(AND($L3627="Đã chuyển khoản",$M3627=""),"Thiếu ngày nhận CK; ",""))</f>
        <v/>
      </c>
      <c r="T3627" s="24" t="n"/>
    </row>
    <row r="3628" ht="14.25" customHeight="1" s="40">
      <c r="A3628" s="24" t="n"/>
      <c r="B3628" s="29" t="n"/>
      <c r="C3628" s="28" t="n"/>
      <c r="D3628" s="22">
        <f t="array" ref="D3628">IF($C3628="","",IFERROR(INDEX(DATA_MASTER!$C$2:$C$5000,MATCH($C3628,DATA_MASTER!$D$2:$D$5000,0)),""))</f>
        <v/>
      </c>
      <c r="E3628" s="22">
        <f t="array" ref="E3628">IF($C3628="","",IFERROR(INDEX(DATA_MASTER!$I$2:$I$5000,MATCH($C3628,DATA_MASTER!$D$2:$D$5000,0)),""))</f>
        <v/>
      </c>
      <c r="F3628" s="22">
        <f t="array" ref="F3628">IF($C3628="","",IFERROR(INDEX(DATA_MASTER!$L$2:$L$5000,MATCH($C3628,DATA_MASTER!$D$2:$D$5000,0)),""))</f>
        <v/>
      </c>
      <c r="G3628" s="24" t="n"/>
      <c r="H3628" s="24" t="n"/>
      <c r="I3628" s="30" t="n"/>
      <c r="J3628" s="23">
        <f>IF(OR($H3628="",$I3628=""),"",$H3628*$I3628)</f>
        <v/>
      </c>
      <c r="K3628" s="24" t="n"/>
      <c r="L3628" s="24" t="n"/>
      <c r="M3628" s="29" t="n"/>
      <c r="N3628" s="28" t="n"/>
      <c r="O3628" s="24" t="n"/>
      <c r="P3628" s="24" t="n"/>
      <c r="Q3628" s="24" t="n"/>
      <c r="R3628" s="24" t="n"/>
      <c r="S3628" s="22">
        <f>IF(AND($A3628="",$C3628=""),"",IF($A3628="","Thiếu mã đơn; ","")&amp;IF(COUNTIF($A$2:$A3628,$A3628)&gt;1,"Trùng mã đơn; ","")&amp;IF(ISNA(MATCH($C3628,DATA_MASTER!$D$2:$D$5000,0)),"SĐT chưa đăng ký hội viên; ","")&amp;IF(AND($L3628="Đã chuyển khoản",$M3628=""),"Thiếu ngày nhận CK; ",""))</f>
        <v/>
      </c>
      <c r="T3628" s="24" t="n"/>
    </row>
    <row r="3629" ht="14.25" customHeight="1" s="40">
      <c r="A3629" s="24" t="n"/>
      <c r="B3629" s="29" t="n"/>
      <c r="C3629" s="28" t="n"/>
      <c r="D3629" s="22">
        <f t="array" ref="D3629">IF($C3629="","",IFERROR(INDEX(DATA_MASTER!$C$2:$C$5000,MATCH($C3629,DATA_MASTER!$D$2:$D$5000,0)),""))</f>
        <v/>
      </c>
      <c r="E3629" s="22">
        <f t="array" ref="E3629">IF($C3629="","",IFERROR(INDEX(DATA_MASTER!$I$2:$I$5000,MATCH($C3629,DATA_MASTER!$D$2:$D$5000,0)),""))</f>
        <v/>
      </c>
      <c r="F3629" s="22">
        <f t="array" ref="F3629">IF($C3629="","",IFERROR(INDEX(DATA_MASTER!$L$2:$L$5000,MATCH($C3629,DATA_MASTER!$D$2:$D$5000,0)),""))</f>
        <v/>
      </c>
      <c r="G3629" s="24" t="n"/>
      <c r="H3629" s="24" t="n"/>
      <c r="I3629" s="30" t="n"/>
      <c r="J3629" s="23">
        <f>IF(OR($H3629="",$I3629=""),"",$H3629*$I3629)</f>
        <v/>
      </c>
      <c r="K3629" s="24" t="n"/>
      <c r="L3629" s="24" t="n"/>
      <c r="M3629" s="29" t="n"/>
      <c r="N3629" s="28" t="n"/>
      <c r="O3629" s="24" t="n"/>
      <c r="P3629" s="24" t="n"/>
      <c r="Q3629" s="24" t="n"/>
      <c r="R3629" s="24" t="n"/>
      <c r="S3629" s="22">
        <f>IF(AND($A3629="",$C3629=""),"",IF($A3629="","Thiếu mã đơn; ","")&amp;IF(COUNTIF($A$2:$A3629,$A3629)&gt;1,"Trùng mã đơn; ","")&amp;IF(ISNA(MATCH($C3629,DATA_MASTER!$D$2:$D$5000,0)),"SĐT chưa đăng ký hội viên; ","")&amp;IF(AND($L3629="Đã chuyển khoản",$M3629=""),"Thiếu ngày nhận CK; ",""))</f>
        <v/>
      </c>
      <c r="T3629" s="24" t="n"/>
    </row>
    <row r="3630" ht="14.25" customHeight="1" s="40">
      <c r="A3630" s="24" t="n"/>
      <c r="B3630" s="29" t="n"/>
      <c r="C3630" s="28" t="n"/>
      <c r="D3630" s="22">
        <f t="array" ref="D3630">IF($C3630="","",IFERROR(INDEX(DATA_MASTER!$C$2:$C$5000,MATCH($C3630,DATA_MASTER!$D$2:$D$5000,0)),""))</f>
        <v/>
      </c>
      <c r="E3630" s="22">
        <f t="array" ref="E3630">IF($C3630="","",IFERROR(INDEX(DATA_MASTER!$I$2:$I$5000,MATCH($C3630,DATA_MASTER!$D$2:$D$5000,0)),""))</f>
        <v/>
      </c>
      <c r="F3630" s="22">
        <f t="array" ref="F3630">IF($C3630="","",IFERROR(INDEX(DATA_MASTER!$L$2:$L$5000,MATCH($C3630,DATA_MASTER!$D$2:$D$5000,0)),""))</f>
        <v/>
      </c>
      <c r="G3630" s="24" t="n"/>
      <c r="H3630" s="24" t="n"/>
      <c r="I3630" s="30" t="n"/>
      <c r="J3630" s="23">
        <f>IF(OR($H3630="",$I3630=""),"",$H3630*$I3630)</f>
        <v/>
      </c>
      <c r="K3630" s="24" t="n"/>
      <c r="L3630" s="24" t="n"/>
      <c r="M3630" s="29" t="n"/>
      <c r="N3630" s="28" t="n"/>
      <c r="O3630" s="24" t="n"/>
      <c r="P3630" s="24" t="n"/>
      <c r="Q3630" s="24" t="n"/>
      <c r="R3630" s="24" t="n"/>
      <c r="S3630" s="22">
        <f>IF(AND($A3630="",$C3630=""),"",IF($A3630="","Thiếu mã đơn; ","")&amp;IF(COUNTIF($A$2:$A3630,$A3630)&gt;1,"Trùng mã đơn; ","")&amp;IF(ISNA(MATCH($C3630,DATA_MASTER!$D$2:$D$5000,0)),"SĐT chưa đăng ký hội viên; ","")&amp;IF(AND($L3630="Đã chuyển khoản",$M3630=""),"Thiếu ngày nhận CK; ",""))</f>
        <v/>
      </c>
      <c r="T3630" s="24" t="n"/>
    </row>
    <row r="3631" ht="14.25" customHeight="1" s="40">
      <c r="A3631" s="24" t="n"/>
      <c r="B3631" s="29" t="n"/>
      <c r="C3631" s="28" t="n"/>
      <c r="D3631" s="22">
        <f t="array" ref="D3631">IF($C3631="","",IFERROR(INDEX(DATA_MASTER!$C$2:$C$5000,MATCH($C3631,DATA_MASTER!$D$2:$D$5000,0)),""))</f>
        <v/>
      </c>
      <c r="E3631" s="22">
        <f t="array" ref="E3631">IF($C3631="","",IFERROR(INDEX(DATA_MASTER!$I$2:$I$5000,MATCH($C3631,DATA_MASTER!$D$2:$D$5000,0)),""))</f>
        <v/>
      </c>
      <c r="F3631" s="22">
        <f t="array" ref="F3631">IF($C3631="","",IFERROR(INDEX(DATA_MASTER!$L$2:$L$5000,MATCH($C3631,DATA_MASTER!$D$2:$D$5000,0)),""))</f>
        <v/>
      </c>
      <c r="G3631" s="24" t="n"/>
      <c r="H3631" s="24" t="n"/>
      <c r="I3631" s="30" t="n"/>
      <c r="J3631" s="23">
        <f>IF(OR($H3631="",$I3631=""),"",$H3631*$I3631)</f>
        <v/>
      </c>
      <c r="K3631" s="24" t="n"/>
      <c r="L3631" s="24" t="n"/>
      <c r="M3631" s="29" t="n"/>
      <c r="N3631" s="28" t="n"/>
      <c r="O3631" s="24" t="n"/>
      <c r="P3631" s="24" t="n"/>
      <c r="Q3631" s="24" t="n"/>
      <c r="R3631" s="24" t="n"/>
      <c r="S3631" s="22">
        <f>IF(AND($A3631="",$C3631=""),"",IF($A3631="","Thiếu mã đơn; ","")&amp;IF(COUNTIF($A$2:$A3631,$A3631)&gt;1,"Trùng mã đơn; ","")&amp;IF(ISNA(MATCH($C3631,DATA_MASTER!$D$2:$D$5000,0)),"SĐT chưa đăng ký hội viên; ","")&amp;IF(AND($L3631="Đã chuyển khoản",$M3631=""),"Thiếu ngày nhận CK; ",""))</f>
        <v/>
      </c>
      <c r="T3631" s="24" t="n"/>
    </row>
    <row r="3632" ht="14.25" customHeight="1" s="40">
      <c r="A3632" s="24" t="n"/>
      <c r="B3632" s="29" t="n"/>
      <c r="C3632" s="28" t="n"/>
      <c r="D3632" s="22">
        <f t="array" ref="D3632">IF($C3632="","",IFERROR(INDEX(DATA_MASTER!$C$2:$C$5000,MATCH($C3632,DATA_MASTER!$D$2:$D$5000,0)),""))</f>
        <v/>
      </c>
      <c r="E3632" s="22">
        <f t="array" ref="E3632">IF($C3632="","",IFERROR(INDEX(DATA_MASTER!$I$2:$I$5000,MATCH($C3632,DATA_MASTER!$D$2:$D$5000,0)),""))</f>
        <v/>
      </c>
      <c r="F3632" s="22">
        <f t="array" ref="F3632">IF($C3632="","",IFERROR(INDEX(DATA_MASTER!$L$2:$L$5000,MATCH($C3632,DATA_MASTER!$D$2:$D$5000,0)),""))</f>
        <v/>
      </c>
      <c r="G3632" s="24" t="n"/>
      <c r="H3632" s="24" t="n"/>
      <c r="I3632" s="30" t="n"/>
      <c r="J3632" s="23">
        <f>IF(OR($H3632="",$I3632=""),"",$H3632*$I3632)</f>
        <v/>
      </c>
      <c r="K3632" s="24" t="n"/>
      <c r="L3632" s="24" t="n"/>
      <c r="M3632" s="29" t="n"/>
      <c r="N3632" s="28" t="n"/>
      <c r="O3632" s="24" t="n"/>
      <c r="P3632" s="24" t="n"/>
      <c r="Q3632" s="24" t="n"/>
      <c r="R3632" s="24" t="n"/>
      <c r="S3632" s="22">
        <f>IF(AND($A3632="",$C3632=""),"",IF($A3632="","Thiếu mã đơn; ","")&amp;IF(COUNTIF($A$2:$A3632,$A3632)&gt;1,"Trùng mã đơn; ","")&amp;IF(ISNA(MATCH($C3632,DATA_MASTER!$D$2:$D$5000,0)),"SĐT chưa đăng ký hội viên; ","")&amp;IF(AND($L3632="Đã chuyển khoản",$M3632=""),"Thiếu ngày nhận CK; ",""))</f>
        <v/>
      </c>
      <c r="T3632" s="24" t="n"/>
    </row>
    <row r="3633" ht="14.25" customHeight="1" s="40">
      <c r="A3633" s="24" t="n"/>
      <c r="B3633" s="29" t="n"/>
      <c r="C3633" s="28" t="n"/>
      <c r="D3633" s="22">
        <f t="array" ref="D3633">IF($C3633="","",IFERROR(INDEX(DATA_MASTER!$C$2:$C$5000,MATCH($C3633,DATA_MASTER!$D$2:$D$5000,0)),""))</f>
        <v/>
      </c>
      <c r="E3633" s="22">
        <f t="array" ref="E3633">IF($C3633="","",IFERROR(INDEX(DATA_MASTER!$I$2:$I$5000,MATCH($C3633,DATA_MASTER!$D$2:$D$5000,0)),""))</f>
        <v/>
      </c>
      <c r="F3633" s="22">
        <f t="array" ref="F3633">IF($C3633="","",IFERROR(INDEX(DATA_MASTER!$L$2:$L$5000,MATCH($C3633,DATA_MASTER!$D$2:$D$5000,0)),""))</f>
        <v/>
      </c>
      <c r="G3633" s="24" t="n"/>
      <c r="H3633" s="24" t="n"/>
      <c r="I3633" s="30" t="n"/>
      <c r="J3633" s="23">
        <f>IF(OR($H3633="",$I3633=""),"",$H3633*$I3633)</f>
        <v/>
      </c>
      <c r="K3633" s="24" t="n"/>
      <c r="L3633" s="24" t="n"/>
      <c r="M3633" s="29" t="n"/>
      <c r="N3633" s="28" t="n"/>
      <c r="O3633" s="24" t="n"/>
      <c r="P3633" s="24" t="n"/>
      <c r="Q3633" s="24" t="n"/>
      <c r="R3633" s="24" t="n"/>
      <c r="S3633" s="22">
        <f>IF(AND($A3633="",$C3633=""),"",IF($A3633="","Thiếu mã đơn; ","")&amp;IF(COUNTIF($A$2:$A3633,$A3633)&gt;1,"Trùng mã đơn; ","")&amp;IF(ISNA(MATCH($C3633,DATA_MASTER!$D$2:$D$5000,0)),"SĐT chưa đăng ký hội viên; ","")&amp;IF(AND($L3633="Đã chuyển khoản",$M3633=""),"Thiếu ngày nhận CK; ",""))</f>
        <v/>
      </c>
      <c r="T3633" s="24" t="n"/>
    </row>
    <row r="3634" ht="14.25" customHeight="1" s="40">
      <c r="A3634" s="24" t="n"/>
      <c r="B3634" s="29" t="n"/>
      <c r="C3634" s="28" t="n"/>
      <c r="D3634" s="22">
        <f t="array" ref="D3634">IF($C3634="","",IFERROR(INDEX(DATA_MASTER!$C$2:$C$5000,MATCH($C3634,DATA_MASTER!$D$2:$D$5000,0)),""))</f>
        <v/>
      </c>
      <c r="E3634" s="22">
        <f t="array" ref="E3634">IF($C3634="","",IFERROR(INDEX(DATA_MASTER!$I$2:$I$5000,MATCH($C3634,DATA_MASTER!$D$2:$D$5000,0)),""))</f>
        <v/>
      </c>
      <c r="F3634" s="22">
        <f t="array" ref="F3634">IF($C3634="","",IFERROR(INDEX(DATA_MASTER!$L$2:$L$5000,MATCH($C3634,DATA_MASTER!$D$2:$D$5000,0)),""))</f>
        <v/>
      </c>
      <c r="G3634" s="24" t="n"/>
      <c r="H3634" s="24" t="n"/>
      <c r="I3634" s="30" t="n"/>
      <c r="J3634" s="23">
        <f>IF(OR($H3634="",$I3634=""),"",$H3634*$I3634)</f>
        <v/>
      </c>
      <c r="K3634" s="24" t="n"/>
      <c r="L3634" s="24" t="n"/>
      <c r="M3634" s="29" t="n"/>
      <c r="N3634" s="28" t="n"/>
      <c r="O3634" s="24" t="n"/>
      <c r="P3634" s="24" t="n"/>
      <c r="Q3634" s="24" t="n"/>
      <c r="R3634" s="24" t="n"/>
      <c r="S3634" s="22">
        <f>IF(AND($A3634="",$C3634=""),"",IF($A3634="","Thiếu mã đơn; ","")&amp;IF(COUNTIF($A$2:$A3634,$A3634)&gt;1,"Trùng mã đơn; ","")&amp;IF(ISNA(MATCH($C3634,DATA_MASTER!$D$2:$D$5000,0)),"SĐT chưa đăng ký hội viên; ","")&amp;IF(AND($L3634="Đã chuyển khoản",$M3634=""),"Thiếu ngày nhận CK; ",""))</f>
        <v/>
      </c>
      <c r="T3634" s="24" t="n"/>
    </row>
    <row r="3635" ht="14.25" customHeight="1" s="40">
      <c r="A3635" s="24" t="n"/>
      <c r="B3635" s="29" t="n"/>
      <c r="C3635" s="28" t="n"/>
      <c r="D3635" s="22">
        <f t="array" ref="D3635">IF($C3635="","",IFERROR(INDEX(DATA_MASTER!$C$2:$C$5000,MATCH($C3635,DATA_MASTER!$D$2:$D$5000,0)),""))</f>
        <v/>
      </c>
      <c r="E3635" s="22">
        <f t="array" ref="E3635">IF($C3635="","",IFERROR(INDEX(DATA_MASTER!$I$2:$I$5000,MATCH($C3635,DATA_MASTER!$D$2:$D$5000,0)),""))</f>
        <v/>
      </c>
      <c r="F3635" s="22">
        <f t="array" ref="F3635">IF($C3635="","",IFERROR(INDEX(DATA_MASTER!$L$2:$L$5000,MATCH($C3635,DATA_MASTER!$D$2:$D$5000,0)),""))</f>
        <v/>
      </c>
      <c r="G3635" s="24" t="n"/>
      <c r="H3635" s="24" t="n"/>
      <c r="I3635" s="30" t="n"/>
      <c r="J3635" s="23">
        <f>IF(OR($H3635="",$I3635=""),"",$H3635*$I3635)</f>
        <v/>
      </c>
      <c r="K3635" s="24" t="n"/>
      <c r="L3635" s="24" t="n"/>
      <c r="M3635" s="29" t="n"/>
      <c r="N3635" s="28" t="n"/>
      <c r="O3635" s="24" t="n"/>
      <c r="P3635" s="24" t="n"/>
      <c r="Q3635" s="24" t="n"/>
      <c r="R3635" s="24" t="n"/>
      <c r="S3635" s="22">
        <f>IF(AND($A3635="",$C3635=""),"",IF($A3635="","Thiếu mã đơn; ","")&amp;IF(COUNTIF($A$2:$A3635,$A3635)&gt;1,"Trùng mã đơn; ","")&amp;IF(ISNA(MATCH($C3635,DATA_MASTER!$D$2:$D$5000,0)),"SĐT chưa đăng ký hội viên; ","")&amp;IF(AND($L3635="Đã chuyển khoản",$M3635=""),"Thiếu ngày nhận CK; ",""))</f>
        <v/>
      </c>
      <c r="T3635" s="24" t="n"/>
    </row>
    <row r="3636" ht="14.25" customHeight="1" s="40">
      <c r="A3636" s="24" t="n"/>
      <c r="B3636" s="29" t="n"/>
      <c r="C3636" s="28" t="n"/>
      <c r="D3636" s="22">
        <f t="array" ref="D3636">IF($C3636="","",IFERROR(INDEX(DATA_MASTER!$C$2:$C$5000,MATCH($C3636,DATA_MASTER!$D$2:$D$5000,0)),""))</f>
        <v/>
      </c>
      <c r="E3636" s="22">
        <f t="array" ref="E3636">IF($C3636="","",IFERROR(INDEX(DATA_MASTER!$I$2:$I$5000,MATCH($C3636,DATA_MASTER!$D$2:$D$5000,0)),""))</f>
        <v/>
      </c>
      <c r="F3636" s="22">
        <f t="array" ref="F3636">IF($C3636="","",IFERROR(INDEX(DATA_MASTER!$L$2:$L$5000,MATCH($C3636,DATA_MASTER!$D$2:$D$5000,0)),""))</f>
        <v/>
      </c>
      <c r="G3636" s="24" t="n"/>
      <c r="H3636" s="24" t="n"/>
      <c r="I3636" s="30" t="n"/>
      <c r="J3636" s="23">
        <f>IF(OR($H3636="",$I3636=""),"",$H3636*$I3636)</f>
        <v/>
      </c>
      <c r="K3636" s="24" t="n"/>
      <c r="L3636" s="24" t="n"/>
      <c r="M3636" s="29" t="n"/>
      <c r="N3636" s="28" t="n"/>
      <c r="O3636" s="24" t="n"/>
      <c r="P3636" s="24" t="n"/>
      <c r="Q3636" s="24" t="n"/>
      <c r="R3636" s="24" t="n"/>
      <c r="S3636" s="22">
        <f>IF(AND($A3636="",$C3636=""),"",IF($A3636="","Thiếu mã đơn; ","")&amp;IF(COUNTIF($A$2:$A3636,$A3636)&gt;1,"Trùng mã đơn; ","")&amp;IF(ISNA(MATCH($C3636,DATA_MASTER!$D$2:$D$5000,0)),"SĐT chưa đăng ký hội viên; ","")&amp;IF(AND($L3636="Đã chuyển khoản",$M3636=""),"Thiếu ngày nhận CK; ",""))</f>
        <v/>
      </c>
      <c r="T3636" s="24" t="n"/>
    </row>
    <row r="3637" ht="14.25" customHeight="1" s="40">
      <c r="A3637" s="24" t="n"/>
      <c r="B3637" s="29" t="n"/>
      <c r="C3637" s="28" t="n"/>
      <c r="D3637" s="22">
        <f t="array" ref="D3637">IF($C3637="","",IFERROR(INDEX(DATA_MASTER!$C$2:$C$5000,MATCH($C3637,DATA_MASTER!$D$2:$D$5000,0)),""))</f>
        <v/>
      </c>
      <c r="E3637" s="22">
        <f t="array" ref="E3637">IF($C3637="","",IFERROR(INDEX(DATA_MASTER!$I$2:$I$5000,MATCH($C3637,DATA_MASTER!$D$2:$D$5000,0)),""))</f>
        <v/>
      </c>
      <c r="F3637" s="22">
        <f t="array" ref="F3637">IF($C3637="","",IFERROR(INDEX(DATA_MASTER!$L$2:$L$5000,MATCH($C3637,DATA_MASTER!$D$2:$D$5000,0)),""))</f>
        <v/>
      </c>
      <c r="G3637" s="24" t="n"/>
      <c r="H3637" s="24" t="n"/>
      <c r="I3637" s="30" t="n"/>
      <c r="J3637" s="23">
        <f>IF(OR($H3637="",$I3637=""),"",$H3637*$I3637)</f>
        <v/>
      </c>
      <c r="K3637" s="24" t="n"/>
      <c r="L3637" s="24" t="n"/>
      <c r="M3637" s="29" t="n"/>
      <c r="N3637" s="28" t="n"/>
      <c r="O3637" s="24" t="n"/>
      <c r="P3637" s="24" t="n"/>
      <c r="Q3637" s="24" t="n"/>
      <c r="R3637" s="24" t="n"/>
      <c r="S3637" s="22">
        <f>IF(AND($A3637="",$C3637=""),"",IF($A3637="","Thiếu mã đơn; ","")&amp;IF(COUNTIF($A$2:$A3637,$A3637)&gt;1,"Trùng mã đơn; ","")&amp;IF(ISNA(MATCH($C3637,DATA_MASTER!$D$2:$D$5000,0)),"SĐT chưa đăng ký hội viên; ","")&amp;IF(AND($L3637="Đã chuyển khoản",$M3637=""),"Thiếu ngày nhận CK; ",""))</f>
        <v/>
      </c>
      <c r="T3637" s="24" t="n"/>
    </row>
    <row r="3638" ht="14.25" customHeight="1" s="40">
      <c r="A3638" s="24" t="n"/>
      <c r="B3638" s="29" t="n"/>
      <c r="C3638" s="28" t="n"/>
      <c r="D3638" s="22">
        <f t="array" ref="D3638">IF($C3638="","",IFERROR(INDEX(DATA_MASTER!$C$2:$C$5000,MATCH($C3638,DATA_MASTER!$D$2:$D$5000,0)),""))</f>
        <v/>
      </c>
      <c r="E3638" s="22">
        <f t="array" ref="E3638">IF($C3638="","",IFERROR(INDEX(DATA_MASTER!$I$2:$I$5000,MATCH($C3638,DATA_MASTER!$D$2:$D$5000,0)),""))</f>
        <v/>
      </c>
      <c r="F3638" s="22">
        <f t="array" ref="F3638">IF($C3638="","",IFERROR(INDEX(DATA_MASTER!$L$2:$L$5000,MATCH($C3638,DATA_MASTER!$D$2:$D$5000,0)),""))</f>
        <v/>
      </c>
      <c r="G3638" s="24" t="n"/>
      <c r="H3638" s="24" t="n"/>
      <c r="I3638" s="30" t="n"/>
      <c r="J3638" s="23">
        <f>IF(OR($H3638="",$I3638=""),"",$H3638*$I3638)</f>
        <v/>
      </c>
      <c r="K3638" s="24" t="n"/>
      <c r="L3638" s="24" t="n"/>
      <c r="M3638" s="29" t="n"/>
      <c r="N3638" s="28" t="n"/>
      <c r="O3638" s="24" t="n"/>
      <c r="P3638" s="24" t="n"/>
      <c r="Q3638" s="24" t="n"/>
      <c r="R3638" s="24" t="n"/>
      <c r="S3638" s="22">
        <f>IF(AND($A3638="",$C3638=""),"",IF($A3638="","Thiếu mã đơn; ","")&amp;IF(COUNTIF($A$2:$A3638,$A3638)&gt;1,"Trùng mã đơn; ","")&amp;IF(ISNA(MATCH($C3638,DATA_MASTER!$D$2:$D$5000,0)),"SĐT chưa đăng ký hội viên; ","")&amp;IF(AND($L3638="Đã chuyển khoản",$M3638=""),"Thiếu ngày nhận CK; ",""))</f>
        <v/>
      </c>
      <c r="T3638" s="24" t="n"/>
    </row>
    <row r="3639" ht="14.25" customHeight="1" s="40">
      <c r="A3639" s="24" t="n"/>
      <c r="B3639" s="29" t="n"/>
      <c r="C3639" s="28" t="n"/>
      <c r="D3639" s="22">
        <f t="array" ref="D3639">IF($C3639="","",IFERROR(INDEX(DATA_MASTER!$C$2:$C$5000,MATCH($C3639,DATA_MASTER!$D$2:$D$5000,0)),""))</f>
        <v/>
      </c>
      <c r="E3639" s="22">
        <f t="array" ref="E3639">IF($C3639="","",IFERROR(INDEX(DATA_MASTER!$I$2:$I$5000,MATCH($C3639,DATA_MASTER!$D$2:$D$5000,0)),""))</f>
        <v/>
      </c>
      <c r="F3639" s="22">
        <f t="array" ref="F3639">IF($C3639="","",IFERROR(INDEX(DATA_MASTER!$L$2:$L$5000,MATCH($C3639,DATA_MASTER!$D$2:$D$5000,0)),""))</f>
        <v/>
      </c>
      <c r="G3639" s="24" t="n"/>
      <c r="H3639" s="24" t="n"/>
      <c r="I3639" s="30" t="n"/>
      <c r="J3639" s="23">
        <f>IF(OR($H3639="",$I3639=""),"",$H3639*$I3639)</f>
        <v/>
      </c>
      <c r="K3639" s="24" t="n"/>
      <c r="L3639" s="24" t="n"/>
      <c r="M3639" s="29" t="n"/>
      <c r="N3639" s="28" t="n"/>
      <c r="O3639" s="24" t="n"/>
      <c r="P3639" s="24" t="n"/>
      <c r="Q3639" s="24" t="n"/>
      <c r="R3639" s="24" t="n"/>
      <c r="S3639" s="22">
        <f>IF(AND($A3639="",$C3639=""),"",IF($A3639="","Thiếu mã đơn; ","")&amp;IF(COUNTIF($A$2:$A3639,$A3639)&gt;1,"Trùng mã đơn; ","")&amp;IF(ISNA(MATCH($C3639,DATA_MASTER!$D$2:$D$5000,0)),"SĐT chưa đăng ký hội viên; ","")&amp;IF(AND($L3639="Đã chuyển khoản",$M3639=""),"Thiếu ngày nhận CK; ",""))</f>
        <v/>
      </c>
      <c r="T3639" s="24" t="n"/>
    </row>
    <row r="3640" ht="14.25" customHeight="1" s="40">
      <c r="A3640" s="24" t="n"/>
      <c r="B3640" s="29" t="n"/>
      <c r="C3640" s="28" t="n"/>
      <c r="D3640" s="22">
        <f t="array" ref="D3640">IF($C3640="","",IFERROR(INDEX(DATA_MASTER!$C$2:$C$5000,MATCH($C3640,DATA_MASTER!$D$2:$D$5000,0)),""))</f>
        <v/>
      </c>
      <c r="E3640" s="22">
        <f t="array" ref="E3640">IF($C3640="","",IFERROR(INDEX(DATA_MASTER!$I$2:$I$5000,MATCH($C3640,DATA_MASTER!$D$2:$D$5000,0)),""))</f>
        <v/>
      </c>
      <c r="F3640" s="22">
        <f t="array" ref="F3640">IF($C3640="","",IFERROR(INDEX(DATA_MASTER!$L$2:$L$5000,MATCH($C3640,DATA_MASTER!$D$2:$D$5000,0)),""))</f>
        <v/>
      </c>
      <c r="G3640" s="24" t="n"/>
      <c r="H3640" s="24" t="n"/>
      <c r="I3640" s="30" t="n"/>
      <c r="J3640" s="23">
        <f>IF(OR($H3640="",$I3640=""),"",$H3640*$I3640)</f>
        <v/>
      </c>
      <c r="K3640" s="24" t="n"/>
      <c r="L3640" s="24" t="n"/>
      <c r="M3640" s="29" t="n"/>
      <c r="N3640" s="28" t="n"/>
      <c r="O3640" s="24" t="n"/>
      <c r="P3640" s="24" t="n"/>
      <c r="Q3640" s="24" t="n"/>
      <c r="R3640" s="24" t="n"/>
      <c r="S3640" s="22">
        <f>IF(AND($A3640="",$C3640=""),"",IF($A3640="","Thiếu mã đơn; ","")&amp;IF(COUNTIF($A$2:$A3640,$A3640)&gt;1,"Trùng mã đơn; ","")&amp;IF(ISNA(MATCH($C3640,DATA_MASTER!$D$2:$D$5000,0)),"SĐT chưa đăng ký hội viên; ","")&amp;IF(AND($L3640="Đã chuyển khoản",$M3640=""),"Thiếu ngày nhận CK; ",""))</f>
        <v/>
      </c>
      <c r="T3640" s="24" t="n"/>
    </row>
    <row r="3641" ht="14.25" customHeight="1" s="40">
      <c r="A3641" s="24" t="n"/>
      <c r="B3641" s="29" t="n"/>
      <c r="C3641" s="28" t="n"/>
      <c r="D3641" s="22">
        <f t="array" ref="D3641">IF($C3641="","",IFERROR(INDEX(DATA_MASTER!$C$2:$C$5000,MATCH($C3641,DATA_MASTER!$D$2:$D$5000,0)),""))</f>
        <v/>
      </c>
      <c r="E3641" s="22">
        <f t="array" ref="E3641">IF($C3641="","",IFERROR(INDEX(DATA_MASTER!$I$2:$I$5000,MATCH($C3641,DATA_MASTER!$D$2:$D$5000,0)),""))</f>
        <v/>
      </c>
      <c r="F3641" s="22">
        <f t="array" ref="F3641">IF($C3641="","",IFERROR(INDEX(DATA_MASTER!$L$2:$L$5000,MATCH($C3641,DATA_MASTER!$D$2:$D$5000,0)),""))</f>
        <v/>
      </c>
      <c r="G3641" s="24" t="n"/>
      <c r="H3641" s="24" t="n"/>
      <c r="I3641" s="30" t="n"/>
      <c r="J3641" s="23">
        <f>IF(OR($H3641="",$I3641=""),"",$H3641*$I3641)</f>
        <v/>
      </c>
      <c r="K3641" s="24" t="n"/>
      <c r="L3641" s="24" t="n"/>
      <c r="M3641" s="29" t="n"/>
      <c r="N3641" s="28" t="n"/>
      <c r="O3641" s="24" t="n"/>
      <c r="P3641" s="24" t="n"/>
      <c r="Q3641" s="24" t="n"/>
      <c r="R3641" s="24" t="n"/>
      <c r="S3641" s="22">
        <f>IF(AND($A3641="",$C3641=""),"",IF($A3641="","Thiếu mã đơn; ","")&amp;IF(COUNTIF($A$2:$A3641,$A3641)&gt;1,"Trùng mã đơn; ","")&amp;IF(ISNA(MATCH($C3641,DATA_MASTER!$D$2:$D$5000,0)),"SĐT chưa đăng ký hội viên; ","")&amp;IF(AND($L3641="Đã chuyển khoản",$M3641=""),"Thiếu ngày nhận CK; ",""))</f>
        <v/>
      </c>
      <c r="T3641" s="24" t="n"/>
    </row>
    <row r="3642" ht="14.25" customHeight="1" s="40">
      <c r="A3642" s="24" t="n"/>
      <c r="B3642" s="29" t="n"/>
      <c r="C3642" s="28" t="n"/>
      <c r="D3642" s="22">
        <f t="array" ref="D3642">IF($C3642="","",IFERROR(INDEX(DATA_MASTER!$C$2:$C$5000,MATCH($C3642,DATA_MASTER!$D$2:$D$5000,0)),""))</f>
        <v/>
      </c>
      <c r="E3642" s="22">
        <f t="array" ref="E3642">IF($C3642="","",IFERROR(INDEX(DATA_MASTER!$I$2:$I$5000,MATCH($C3642,DATA_MASTER!$D$2:$D$5000,0)),""))</f>
        <v/>
      </c>
      <c r="F3642" s="22">
        <f t="array" ref="F3642">IF($C3642="","",IFERROR(INDEX(DATA_MASTER!$L$2:$L$5000,MATCH($C3642,DATA_MASTER!$D$2:$D$5000,0)),""))</f>
        <v/>
      </c>
      <c r="G3642" s="24" t="n"/>
      <c r="H3642" s="24" t="n"/>
      <c r="I3642" s="30" t="n"/>
      <c r="J3642" s="23">
        <f>IF(OR($H3642="",$I3642=""),"",$H3642*$I3642)</f>
        <v/>
      </c>
      <c r="K3642" s="24" t="n"/>
      <c r="L3642" s="24" t="n"/>
      <c r="M3642" s="29" t="n"/>
      <c r="N3642" s="28" t="n"/>
      <c r="O3642" s="24" t="n"/>
      <c r="P3642" s="24" t="n"/>
      <c r="Q3642" s="24" t="n"/>
      <c r="R3642" s="24" t="n"/>
      <c r="S3642" s="22">
        <f>IF(AND($A3642="",$C3642=""),"",IF($A3642="","Thiếu mã đơn; ","")&amp;IF(COUNTIF($A$2:$A3642,$A3642)&gt;1,"Trùng mã đơn; ","")&amp;IF(ISNA(MATCH($C3642,DATA_MASTER!$D$2:$D$5000,0)),"SĐT chưa đăng ký hội viên; ","")&amp;IF(AND($L3642="Đã chuyển khoản",$M3642=""),"Thiếu ngày nhận CK; ",""))</f>
        <v/>
      </c>
      <c r="T3642" s="24" t="n"/>
    </row>
    <row r="3643" ht="14.25" customHeight="1" s="40">
      <c r="A3643" s="24" t="n"/>
      <c r="B3643" s="29" t="n"/>
      <c r="C3643" s="28" t="n"/>
      <c r="D3643" s="22">
        <f t="array" ref="D3643">IF($C3643="","",IFERROR(INDEX(DATA_MASTER!$C$2:$C$5000,MATCH($C3643,DATA_MASTER!$D$2:$D$5000,0)),""))</f>
        <v/>
      </c>
      <c r="E3643" s="22">
        <f t="array" ref="E3643">IF($C3643="","",IFERROR(INDEX(DATA_MASTER!$I$2:$I$5000,MATCH($C3643,DATA_MASTER!$D$2:$D$5000,0)),""))</f>
        <v/>
      </c>
      <c r="F3643" s="22">
        <f t="array" ref="F3643">IF($C3643="","",IFERROR(INDEX(DATA_MASTER!$L$2:$L$5000,MATCH($C3643,DATA_MASTER!$D$2:$D$5000,0)),""))</f>
        <v/>
      </c>
      <c r="G3643" s="24" t="n"/>
      <c r="H3643" s="24" t="n"/>
      <c r="I3643" s="30" t="n"/>
      <c r="J3643" s="23">
        <f>IF(OR($H3643="",$I3643=""),"",$H3643*$I3643)</f>
        <v/>
      </c>
      <c r="K3643" s="24" t="n"/>
      <c r="L3643" s="24" t="n"/>
      <c r="M3643" s="29" t="n"/>
      <c r="N3643" s="28" t="n"/>
      <c r="O3643" s="24" t="n"/>
      <c r="P3643" s="24" t="n"/>
      <c r="Q3643" s="24" t="n"/>
      <c r="R3643" s="24" t="n"/>
      <c r="S3643" s="22">
        <f>IF(AND($A3643="",$C3643=""),"",IF($A3643="","Thiếu mã đơn; ","")&amp;IF(COUNTIF($A$2:$A3643,$A3643)&gt;1,"Trùng mã đơn; ","")&amp;IF(ISNA(MATCH($C3643,DATA_MASTER!$D$2:$D$5000,0)),"SĐT chưa đăng ký hội viên; ","")&amp;IF(AND($L3643="Đã chuyển khoản",$M3643=""),"Thiếu ngày nhận CK; ",""))</f>
        <v/>
      </c>
      <c r="T3643" s="24" t="n"/>
    </row>
    <row r="3644" ht="14.25" customHeight="1" s="40">
      <c r="A3644" s="24" t="n"/>
      <c r="B3644" s="29" t="n"/>
      <c r="C3644" s="28" t="n"/>
      <c r="D3644" s="22">
        <f t="array" ref="D3644">IF($C3644="","",IFERROR(INDEX(DATA_MASTER!$C$2:$C$5000,MATCH($C3644,DATA_MASTER!$D$2:$D$5000,0)),""))</f>
        <v/>
      </c>
      <c r="E3644" s="22">
        <f t="array" ref="E3644">IF($C3644="","",IFERROR(INDEX(DATA_MASTER!$I$2:$I$5000,MATCH($C3644,DATA_MASTER!$D$2:$D$5000,0)),""))</f>
        <v/>
      </c>
      <c r="F3644" s="22">
        <f t="array" ref="F3644">IF($C3644="","",IFERROR(INDEX(DATA_MASTER!$L$2:$L$5000,MATCH($C3644,DATA_MASTER!$D$2:$D$5000,0)),""))</f>
        <v/>
      </c>
      <c r="G3644" s="24" t="n"/>
      <c r="H3644" s="24" t="n"/>
      <c r="I3644" s="30" t="n"/>
      <c r="J3644" s="23">
        <f>IF(OR($H3644="",$I3644=""),"",$H3644*$I3644)</f>
        <v/>
      </c>
      <c r="K3644" s="24" t="n"/>
      <c r="L3644" s="24" t="n"/>
      <c r="M3644" s="29" t="n"/>
      <c r="N3644" s="28" t="n"/>
      <c r="O3644" s="24" t="n"/>
      <c r="P3644" s="24" t="n"/>
      <c r="Q3644" s="24" t="n"/>
      <c r="R3644" s="24" t="n"/>
      <c r="S3644" s="22">
        <f>IF(AND($A3644="",$C3644=""),"",IF($A3644="","Thiếu mã đơn; ","")&amp;IF(COUNTIF($A$2:$A3644,$A3644)&gt;1,"Trùng mã đơn; ","")&amp;IF(ISNA(MATCH($C3644,DATA_MASTER!$D$2:$D$5000,0)),"SĐT chưa đăng ký hội viên; ","")&amp;IF(AND($L3644="Đã chuyển khoản",$M3644=""),"Thiếu ngày nhận CK; ",""))</f>
        <v/>
      </c>
      <c r="T3644" s="24" t="n"/>
    </row>
    <row r="3645" ht="14.25" customHeight="1" s="40">
      <c r="A3645" s="24" t="n"/>
      <c r="B3645" s="29" t="n"/>
      <c r="C3645" s="28" t="n"/>
      <c r="D3645" s="22">
        <f t="array" ref="D3645">IF($C3645="","",IFERROR(INDEX(DATA_MASTER!$C$2:$C$5000,MATCH($C3645,DATA_MASTER!$D$2:$D$5000,0)),""))</f>
        <v/>
      </c>
      <c r="E3645" s="22">
        <f t="array" ref="E3645">IF($C3645="","",IFERROR(INDEX(DATA_MASTER!$I$2:$I$5000,MATCH($C3645,DATA_MASTER!$D$2:$D$5000,0)),""))</f>
        <v/>
      </c>
      <c r="F3645" s="22">
        <f t="array" ref="F3645">IF($C3645="","",IFERROR(INDEX(DATA_MASTER!$L$2:$L$5000,MATCH($C3645,DATA_MASTER!$D$2:$D$5000,0)),""))</f>
        <v/>
      </c>
      <c r="G3645" s="24" t="n"/>
      <c r="H3645" s="24" t="n"/>
      <c r="I3645" s="30" t="n"/>
      <c r="J3645" s="23">
        <f>IF(OR($H3645="",$I3645=""),"",$H3645*$I3645)</f>
        <v/>
      </c>
      <c r="K3645" s="24" t="n"/>
      <c r="L3645" s="24" t="n"/>
      <c r="M3645" s="29" t="n"/>
      <c r="N3645" s="28" t="n"/>
      <c r="O3645" s="24" t="n"/>
      <c r="P3645" s="24" t="n"/>
      <c r="Q3645" s="24" t="n"/>
      <c r="R3645" s="24" t="n"/>
      <c r="S3645" s="22">
        <f>IF(AND($A3645="",$C3645=""),"",IF($A3645="","Thiếu mã đơn; ","")&amp;IF(COUNTIF($A$2:$A3645,$A3645)&gt;1,"Trùng mã đơn; ","")&amp;IF(ISNA(MATCH($C3645,DATA_MASTER!$D$2:$D$5000,0)),"SĐT chưa đăng ký hội viên; ","")&amp;IF(AND($L3645="Đã chuyển khoản",$M3645=""),"Thiếu ngày nhận CK; ",""))</f>
        <v/>
      </c>
      <c r="T3645" s="24" t="n"/>
    </row>
    <row r="3646" ht="14.25" customHeight="1" s="40">
      <c r="A3646" s="24" t="n"/>
      <c r="B3646" s="29" t="n"/>
      <c r="C3646" s="28" t="n"/>
      <c r="D3646" s="22">
        <f t="array" ref="D3646">IF($C3646="","",IFERROR(INDEX(DATA_MASTER!$C$2:$C$5000,MATCH($C3646,DATA_MASTER!$D$2:$D$5000,0)),""))</f>
        <v/>
      </c>
      <c r="E3646" s="22">
        <f t="array" ref="E3646">IF($C3646="","",IFERROR(INDEX(DATA_MASTER!$I$2:$I$5000,MATCH($C3646,DATA_MASTER!$D$2:$D$5000,0)),""))</f>
        <v/>
      </c>
      <c r="F3646" s="22">
        <f t="array" ref="F3646">IF($C3646="","",IFERROR(INDEX(DATA_MASTER!$L$2:$L$5000,MATCH($C3646,DATA_MASTER!$D$2:$D$5000,0)),""))</f>
        <v/>
      </c>
      <c r="G3646" s="24" t="n"/>
      <c r="H3646" s="24" t="n"/>
      <c r="I3646" s="30" t="n"/>
      <c r="J3646" s="23">
        <f>IF(OR($H3646="",$I3646=""),"",$H3646*$I3646)</f>
        <v/>
      </c>
      <c r="K3646" s="24" t="n"/>
      <c r="L3646" s="24" t="n"/>
      <c r="M3646" s="29" t="n"/>
      <c r="N3646" s="28" t="n"/>
      <c r="O3646" s="24" t="n"/>
      <c r="P3646" s="24" t="n"/>
      <c r="Q3646" s="24" t="n"/>
      <c r="R3646" s="24" t="n"/>
      <c r="S3646" s="22">
        <f>IF(AND($A3646="",$C3646=""),"",IF($A3646="","Thiếu mã đơn; ","")&amp;IF(COUNTIF($A$2:$A3646,$A3646)&gt;1,"Trùng mã đơn; ","")&amp;IF(ISNA(MATCH($C3646,DATA_MASTER!$D$2:$D$5000,0)),"SĐT chưa đăng ký hội viên; ","")&amp;IF(AND($L3646="Đã chuyển khoản",$M3646=""),"Thiếu ngày nhận CK; ",""))</f>
        <v/>
      </c>
      <c r="T3646" s="24" t="n"/>
    </row>
    <row r="3647" ht="14.25" customHeight="1" s="40">
      <c r="A3647" s="24" t="n"/>
      <c r="B3647" s="29" t="n"/>
      <c r="C3647" s="28" t="n"/>
      <c r="D3647" s="22">
        <f t="array" ref="D3647">IF($C3647="","",IFERROR(INDEX(DATA_MASTER!$C$2:$C$5000,MATCH($C3647,DATA_MASTER!$D$2:$D$5000,0)),""))</f>
        <v/>
      </c>
      <c r="E3647" s="22">
        <f t="array" ref="E3647">IF($C3647="","",IFERROR(INDEX(DATA_MASTER!$I$2:$I$5000,MATCH($C3647,DATA_MASTER!$D$2:$D$5000,0)),""))</f>
        <v/>
      </c>
      <c r="F3647" s="22">
        <f t="array" ref="F3647">IF($C3647="","",IFERROR(INDEX(DATA_MASTER!$L$2:$L$5000,MATCH($C3647,DATA_MASTER!$D$2:$D$5000,0)),""))</f>
        <v/>
      </c>
      <c r="G3647" s="24" t="n"/>
      <c r="H3647" s="24" t="n"/>
      <c r="I3647" s="30" t="n"/>
      <c r="J3647" s="23">
        <f>IF(OR($H3647="",$I3647=""),"",$H3647*$I3647)</f>
        <v/>
      </c>
      <c r="K3647" s="24" t="n"/>
      <c r="L3647" s="24" t="n"/>
      <c r="M3647" s="29" t="n"/>
      <c r="N3647" s="28" t="n"/>
      <c r="O3647" s="24" t="n"/>
      <c r="P3647" s="24" t="n"/>
      <c r="Q3647" s="24" t="n"/>
      <c r="R3647" s="24" t="n"/>
      <c r="S3647" s="22">
        <f>IF(AND($A3647="",$C3647=""),"",IF($A3647="","Thiếu mã đơn; ","")&amp;IF(COUNTIF($A$2:$A3647,$A3647)&gt;1,"Trùng mã đơn; ","")&amp;IF(ISNA(MATCH($C3647,DATA_MASTER!$D$2:$D$5000,0)),"SĐT chưa đăng ký hội viên; ","")&amp;IF(AND($L3647="Đã chuyển khoản",$M3647=""),"Thiếu ngày nhận CK; ",""))</f>
        <v/>
      </c>
      <c r="T3647" s="24" t="n"/>
    </row>
    <row r="3648" ht="14.25" customHeight="1" s="40">
      <c r="A3648" s="24" t="n"/>
      <c r="B3648" s="29" t="n"/>
      <c r="C3648" s="28" t="n"/>
      <c r="D3648" s="22">
        <f t="array" ref="D3648">IF($C3648="","",IFERROR(INDEX(DATA_MASTER!$C$2:$C$5000,MATCH($C3648,DATA_MASTER!$D$2:$D$5000,0)),""))</f>
        <v/>
      </c>
      <c r="E3648" s="22">
        <f t="array" ref="E3648">IF($C3648="","",IFERROR(INDEX(DATA_MASTER!$I$2:$I$5000,MATCH($C3648,DATA_MASTER!$D$2:$D$5000,0)),""))</f>
        <v/>
      </c>
      <c r="F3648" s="22">
        <f t="array" ref="F3648">IF($C3648="","",IFERROR(INDEX(DATA_MASTER!$L$2:$L$5000,MATCH($C3648,DATA_MASTER!$D$2:$D$5000,0)),""))</f>
        <v/>
      </c>
      <c r="G3648" s="24" t="n"/>
      <c r="H3648" s="24" t="n"/>
      <c r="I3648" s="30" t="n"/>
      <c r="J3648" s="23">
        <f>IF(OR($H3648="",$I3648=""),"",$H3648*$I3648)</f>
        <v/>
      </c>
      <c r="K3648" s="24" t="n"/>
      <c r="L3648" s="24" t="n"/>
      <c r="M3648" s="29" t="n"/>
      <c r="N3648" s="28" t="n"/>
      <c r="O3648" s="24" t="n"/>
      <c r="P3648" s="24" t="n"/>
      <c r="Q3648" s="24" t="n"/>
      <c r="R3648" s="24" t="n"/>
      <c r="S3648" s="22">
        <f>IF(AND($A3648="",$C3648=""),"",IF($A3648="","Thiếu mã đơn; ","")&amp;IF(COUNTIF($A$2:$A3648,$A3648)&gt;1,"Trùng mã đơn; ","")&amp;IF(ISNA(MATCH($C3648,DATA_MASTER!$D$2:$D$5000,0)),"SĐT chưa đăng ký hội viên; ","")&amp;IF(AND($L3648="Đã chuyển khoản",$M3648=""),"Thiếu ngày nhận CK; ",""))</f>
        <v/>
      </c>
      <c r="T3648" s="24" t="n"/>
    </row>
    <row r="3649" ht="14.25" customHeight="1" s="40">
      <c r="A3649" s="24" t="n"/>
      <c r="B3649" s="29" t="n"/>
      <c r="C3649" s="28" t="n"/>
      <c r="D3649" s="22">
        <f t="array" ref="D3649">IF($C3649="","",IFERROR(INDEX(DATA_MASTER!$C$2:$C$5000,MATCH($C3649,DATA_MASTER!$D$2:$D$5000,0)),""))</f>
        <v/>
      </c>
      <c r="E3649" s="22">
        <f t="array" ref="E3649">IF($C3649="","",IFERROR(INDEX(DATA_MASTER!$I$2:$I$5000,MATCH($C3649,DATA_MASTER!$D$2:$D$5000,0)),""))</f>
        <v/>
      </c>
      <c r="F3649" s="22">
        <f t="array" ref="F3649">IF($C3649="","",IFERROR(INDEX(DATA_MASTER!$L$2:$L$5000,MATCH($C3649,DATA_MASTER!$D$2:$D$5000,0)),""))</f>
        <v/>
      </c>
      <c r="G3649" s="24" t="n"/>
      <c r="H3649" s="24" t="n"/>
      <c r="I3649" s="30" t="n"/>
      <c r="J3649" s="23">
        <f>IF(OR($H3649="",$I3649=""),"",$H3649*$I3649)</f>
        <v/>
      </c>
      <c r="K3649" s="24" t="n"/>
      <c r="L3649" s="24" t="n"/>
      <c r="M3649" s="29" t="n"/>
      <c r="N3649" s="28" t="n"/>
      <c r="O3649" s="24" t="n"/>
      <c r="P3649" s="24" t="n"/>
      <c r="Q3649" s="24" t="n"/>
      <c r="R3649" s="24" t="n"/>
      <c r="S3649" s="22">
        <f>IF(AND($A3649="",$C3649=""),"",IF($A3649="","Thiếu mã đơn; ","")&amp;IF(COUNTIF($A$2:$A3649,$A3649)&gt;1,"Trùng mã đơn; ","")&amp;IF(ISNA(MATCH($C3649,DATA_MASTER!$D$2:$D$5000,0)),"SĐT chưa đăng ký hội viên; ","")&amp;IF(AND($L3649="Đã chuyển khoản",$M3649=""),"Thiếu ngày nhận CK; ",""))</f>
        <v/>
      </c>
      <c r="T3649" s="24" t="n"/>
    </row>
    <row r="3650" ht="14.25" customHeight="1" s="40">
      <c r="A3650" s="24" t="n"/>
      <c r="B3650" s="29" t="n"/>
      <c r="C3650" s="28" t="n"/>
      <c r="D3650" s="22">
        <f t="array" ref="D3650">IF($C3650="","",IFERROR(INDEX(DATA_MASTER!$C$2:$C$5000,MATCH($C3650,DATA_MASTER!$D$2:$D$5000,0)),""))</f>
        <v/>
      </c>
      <c r="E3650" s="22">
        <f t="array" ref="E3650">IF($C3650="","",IFERROR(INDEX(DATA_MASTER!$I$2:$I$5000,MATCH($C3650,DATA_MASTER!$D$2:$D$5000,0)),""))</f>
        <v/>
      </c>
      <c r="F3650" s="22">
        <f t="array" ref="F3650">IF($C3650="","",IFERROR(INDEX(DATA_MASTER!$L$2:$L$5000,MATCH($C3650,DATA_MASTER!$D$2:$D$5000,0)),""))</f>
        <v/>
      </c>
      <c r="G3650" s="24" t="n"/>
      <c r="H3650" s="24" t="n"/>
      <c r="I3650" s="30" t="n"/>
      <c r="J3650" s="23">
        <f>IF(OR($H3650="",$I3650=""),"",$H3650*$I3650)</f>
        <v/>
      </c>
      <c r="K3650" s="24" t="n"/>
      <c r="L3650" s="24" t="n"/>
      <c r="M3650" s="29" t="n"/>
      <c r="N3650" s="28" t="n"/>
      <c r="O3650" s="24" t="n"/>
      <c r="P3650" s="24" t="n"/>
      <c r="Q3650" s="24" t="n"/>
      <c r="R3650" s="24" t="n"/>
      <c r="S3650" s="22">
        <f>IF(AND($A3650="",$C3650=""),"",IF($A3650="","Thiếu mã đơn; ","")&amp;IF(COUNTIF($A$2:$A3650,$A3650)&gt;1,"Trùng mã đơn; ","")&amp;IF(ISNA(MATCH($C3650,DATA_MASTER!$D$2:$D$5000,0)),"SĐT chưa đăng ký hội viên; ","")&amp;IF(AND($L3650="Đã chuyển khoản",$M3650=""),"Thiếu ngày nhận CK; ",""))</f>
        <v/>
      </c>
      <c r="T3650" s="24" t="n"/>
    </row>
    <row r="3651" ht="14.25" customHeight="1" s="40">
      <c r="A3651" s="24" t="n"/>
      <c r="B3651" s="29" t="n"/>
      <c r="C3651" s="28" t="n"/>
      <c r="D3651" s="22">
        <f t="array" ref="D3651">IF($C3651="","",IFERROR(INDEX(DATA_MASTER!$C$2:$C$5000,MATCH($C3651,DATA_MASTER!$D$2:$D$5000,0)),""))</f>
        <v/>
      </c>
      <c r="E3651" s="22">
        <f t="array" ref="E3651">IF($C3651="","",IFERROR(INDEX(DATA_MASTER!$I$2:$I$5000,MATCH($C3651,DATA_MASTER!$D$2:$D$5000,0)),""))</f>
        <v/>
      </c>
      <c r="F3651" s="22">
        <f t="array" ref="F3651">IF($C3651="","",IFERROR(INDEX(DATA_MASTER!$L$2:$L$5000,MATCH($C3651,DATA_MASTER!$D$2:$D$5000,0)),""))</f>
        <v/>
      </c>
      <c r="G3651" s="24" t="n"/>
      <c r="H3651" s="24" t="n"/>
      <c r="I3651" s="30" t="n"/>
      <c r="J3651" s="23">
        <f>IF(OR($H3651="",$I3651=""),"",$H3651*$I3651)</f>
        <v/>
      </c>
      <c r="K3651" s="24" t="n"/>
      <c r="L3651" s="24" t="n"/>
      <c r="M3651" s="29" t="n"/>
      <c r="N3651" s="28" t="n"/>
      <c r="O3651" s="24" t="n"/>
      <c r="P3651" s="24" t="n"/>
      <c r="Q3651" s="24" t="n"/>
      <c r="R3651" s="24" t="n"/>
      <c r="S3651" s="22">
        <f>IF(AND($A3651="",$C3651=""),"",IF($A3651="","Thiếu mã đơn; ","")&amp;IF(COUNTIF($A$2:$A3651,$A3651)&gt;1,"Trùng mã đơn; ","")&amp;IF(ISNA(MATCH($C3651,DATA_MASTER!$D$2:$D$5000,0)),"SĐT chưa đăng ký hội viên; ","")&amp;IF(AND($L3651="Đã chuyển khoản",$M3651=""),"Thiếu ngày nhận CK; ",""))</f>
        <v/>
      </c>
      <c r="T3651" s="24" t="n"/>
    </row>
    <row r="3652" ht="14.25" customHeight="1" s="40">
      <c r="A3652" s="24" t="n"/>
      <c r="B3652" s="29" t="n"/>
      <c r="C3652" s="28" t="n"/>
      <c r="D3652" s="22">
        <f t="array" ref="D3652">IF($C3652="","",IFERROR(INDEX(DATA_MASTER!$C$2:$C$5000,MATCH($C3652,DATA_MASTER!$D$2:$D$5000,0)),""))</f>
        <v/>
      </c>
      <c r="E3652" s="22">
        <f t="array" ref="E3652">IF($C3652="","",IFERROR(INDEX(DATA_MASTER!$I$2:$I$5000,MATCH($C3652,DATA_MASTER!$D$2:$D$5000,0)),""))</f>
        <v/>
      </c>
      <c r="F3652" s="22">
        <f t="array" ref="F3652">IF($C3652="","",IFERROR(INDEX(DATA_MASTER!$L$2:$L$5000,MATCH($C3652,DATA_MASTER!$D$2:$D$5000,0)),""))</f>
        <v/>
      </c>
      <c r="G3652" s="24" t="n"/>
      <c r="H3652" s="24" t="n"/>
      <c r="I3652" s="30" t="n"/>
      <c r="J3652" s="23">
        <f>IF(OR($H3652="",$I3652=""),"",$H3652*$I3652)</f>
        <v/>
      </c>
      <c r="K3652" s="24" t="n"/>
      <c r="L3652" s="24" t="n"/>
      <c r="M3652" s="29" t="n"/>
      <c r="N3652" s="28" t="n"/>
      <c r="O3652" s="24" t="n"/>
      <c r="P3652" s="24" t="n"/>
      <c r="Q3652" s="24" t="n"/>
      <c r="R3652" s="24" t="n"/>
      <c r="S3652" s="22">
        <f>IF(AND($A3652="",$C3652=""),"",IF($A3652="","Thiếu mã đơn; ","")&amp;IF(COUNTIF($A$2:$A3652,$A3652)&gt;1,"Trùng mã đơn; ","")&amp;IF(ISNA(MATCH($C3652,DATA_MASTER!$D$2:$D$5000,0)),"SĐT chưa đăng ký hội viên; ","")&amp;IF(AND($L3652="Đã chuyển khoản",$M3652=""),"Thiếu ngày nhận CK; ",""))</f>
        <v/>
      </c>
      <c r="T3652" s="24" t="n"/>
    </row>
    <row r="3653" ht="14.25" customHeight="1" s="40">
      <c r="A3653" s="24" t="n"/>
      <c r="B3653" s="29" t="n"/>
      <c r="C3653" s="28" t="n"/>
      <c r="D3653" s="22">
        <f t="array" ref="D3653">IF($C3653="","",IFERROR(INDEX(DATA_MASTER!$C$2:$C$5000,MATCH($C3653,DATA_MASTER!$D$2:$D$5000,0)),""))</f>
        <v/>
      </c>
      <c r="E3653" s="22">
        <f t="array" ref="E3653">IF($C3653="","",IFERROR(INDEX(DATA_MASTER!$I$2:$I$5000,MATCH($C3653,DATA_MASTER!$D$2:$D$5000,0)),""))</f>
        <v/>
      </c>
      <c r="F3653" s="22">
        <f t="array" ref="F3653">IF($C3653="","",IFERROR(INDEX(DATA_MASTER!$L$2:$L$5000,MATCH($C3653,DATA_MASTER!$D$2:$D$5000,0)),""))</f>
        <v/>
      </c>
      <c r="G3653" s="24" t="n"/>
      <c r="H3653" s="24" t="n"/>
      <c r="I3653" s="30" t="n"/>
      <c r="J3653" s="23">
        <f>IF(OR($H3653="",$I3653=""),"",$H3653*$I3653)</f>
        <v/>
      </c>
      <c r="K3653" s="24" t="n"/>
      <c r="L3653" s="24" t="n"/>
      <c r="M3653" s="29" t="n"/>
      <c r="N3653" s="28" t="n"/>
      <c r="O3653" s="24" t="n"/>
      <c r="P3653" s="24" t="n"/>
      <c r="Q3653" s="24" t="n"/>
      <c r="R3653" s="24" t="n"/>
      <c r="S3653" s="22">
        <f>IF(AND($A3653="",$C3653=""),"",IF($A3653="","Thiếu mã đơn; ","")&amp;IF(COUNTIF($A$2:$A3653,$A3653)&gt;1,"Trùng mã đơn; ","")&amp;IF(ISNA(MATCH($C3653,DATA_MASTER!$D$2:$D$5000,0)),"SĐT chưa đăng ký hội viên; ","")&amp;IF(AND($L3653="Đã chuyển khoản",$M3653=""),"Thiếu ngày nhận CK; ",""))</f>
        <v/>
      </c>
      <c r="T3653" s="24" t="n"/>
    </row>
    <row r="3654" ht="14.25" customHeight="1" s="40">
      <c r="A3654" s="24" t="n"/>
      <c r="B3654" s="29" t="n"/>
      <c r="C3654" s="28" t="n"/>
      <c r="D3654" s="22">
        <f t="array" ref="D3654">IF($C3654="","",IFERROR(INDEX(DATA_MASTER!$C$2:$C$5000,MATCH($C3654,DATA_MASTER!$D$2:$D$5000,0)),""))</f>
        <v/>
      </c>
      <c r="E3654" s="22">
        <f t="array" ref="E3654">IF($C3654="","",IFERROR(INDEX(DATA_MASTER!$I$2:$I$5000,MATCH($C3654,DATA_MASTER!$D$2:$D$5000,0)),""))</f>
        <v/>
      </c>
      <c r="F3654" s="22">
        <f t="array" ref="F3654">IF($C3654="","",IFERROR(INDEX(DATA_MASTER!$L$2:$L$5000,MATCH($C3654,DATA_MASTER!$D$2:$D$5000,0)),""))</f>
        <v/>
      </c>
      <c r="G3654" s="24" t="n"/>
      <c r="H3654" s="24" t="n"/>
      <c r="I3654" s="30" t="n"/>
      <c r="J3654" s="23">
        <f>IF(OR($H3654="",$I3654=""),"",$H3654*$I3654)</f>
        <v/>
      </c>
      <c r="K3654" s="24" t="n"/>
      <c r="L3654" s="24" t="n"/>
      <c r="M3654" s="29" t="n"/>
      <c r="N3654" s="28" t="n"/>
      <c r="O3654" s="24" t="n"/>
      <c r="P3654" s="24" t="n"/>
      <c r="Q3654" s="24" t="n"/>
      <c r="R3654" s="24" t="n"/>
      <c r="S3654" s="22">
        <f>IF(AND($A3654="",$C3654=""),"",IF($A3654="","Thiếu mã đơn; ","")&amp;IF(COUNTIF($A$2:$A3654,$A3654)&gt;1,"Trùng mã đơn; ","")&amp;IF(ISNA(MATCH($C3654,DATA_MASTER!$D$2:$D$5000,0)),"SĐT chưa đăng ký hội viên; ","")&amp;IF(AND($L3654="Đã chuyển khoản",$M3654=""),"Thiếu ngày nhận CK; ",""))</f>
        <v/>
      </c>
      <c r="T3654" s="24" t="n"/>
    </row>
    <row r="3655" ht="14.25" customHeight="1" s="40">
      <c r="A3655" s="24" t="n"/>
      <c r="B3655" s="29" t="n"/>
      <c r="C3655" s="28" t="n"/>
      <c r="D3655" s="22">
        <f t="array" ref="D3655">IF($C3655="","",IFERROR(INDEX(DATA_MASTER!$C$2:$C$5000,MATCH($C3655,DATA_MASTER!$D$2:$D$5000,0)),""))</f>
        <v/>
      </c>
      <c r="E3655" s="22">
        <f t="array" ref="E3655">IF($C3655="","",IFERROR(INDEX(DATA_MASTER!$I$2:$I$5000,MATCH($C3655,DATA_MASTER!$D$2:$D$5000,0)),""))</f>
        <v/>
      </c>
      <c r="F3655" s="22">
        <f t="array" ref="F3655">IF($C3655="","",IFERROR(INDEX(DATA_MASTER!$L$2:$L$5000,MATCH($C3655,DATA_MASTER!$D$2:$D$5000,0)),""))</f>
        <v/>
      </c>
      <c r="G3655" s="24" t="n"/>
      <c r="H3655" s="24" t="n"/>
      <c r="I3655" s="30" t="n"/>
      <c r="J3655" s="23">
        <f>IF(OR($H3655="",$I3655=""),"",$H3655*$I3655)</f>
        <v/>
      </c>
      <c r="K3655" s="24" t="n"/>
      <c r="L3655" s="24" t="n"/>
      <c r="M3655" s="29" t="n"/>
      <c r="N3655" s="28" t="n"/>
      <c r="O3655" s="24" t="n"/>
      <c r="P3655" s="24" t="n"/>
      <c r="Q3655" s="24" t="n"/>
      <c r="R3655" s="24" t="n"/>
      <c r="S3655" s="22">
        <f>IF(AND($A3655="",$C3655=""),"",IF($A3655="","Thiếu mã đơn; ","")&amp;IF(COUNTIF($A$2:$A3655,$A3655)&gt;1,"Trùng mã đơn; ","")&amp;IF(ISNA(MATCH($C3655,DATA_MASTER!$D$2:$D$5000,0)),"SĐT chưa đăng ký hội viên; ","")&amp;IF(AND($L3655="Đã chuyển khoản",$M3655=""),"Thiếu ngày nhận CK; ",""))</f>
        <v/>
      </c>
      <c r="T3655" s="24" t="n"/>
    </row>
    <row r="3656" ht="14.25" customHeight="1" s="40">
      <c r="A3656" s="24" t="n"/>
      <c r="B3656" s="29" t="n"/>
      <c r="C3656" s="28" t="n"/>
      <c r="D3656" s="22">
        <f t="array" ref="D3656">IF($C3656="","",IFERROR(INDEX(DATA_MASTER!$C$2:$C$5000,MATCH($C3656,DATA_MASTER!$D$2:$D$5000,0)),""))</f>
        <v/>
      </c>
      <c r="E3656" s="22">
        <f t="array" ref="E3656">IF($C3656="","",IFERROR(INDEX(DATA_MASTER!$I$2:$I$5000,MATCH($C3656,DATA_MASTER!$D$2:$D$5000,0)),""))</f>
        <v/>
      </c>
      <c r="F3656" s="22">
        <f t="array" ref="F3656">IF($C3656="","",IFERROR(INDEX(DATA_MASTER!$L$2:$L$5000,MATCH($C3656,DATA_MASTER!$D$2:$D$5000,0)),""))</f>
        <v/>
      </c>
      <c r="G3656" s="24" t="n"/>
      <c r="H3656" s="24" t="n"/>
      <c r="I3656" s="30" t="n"/>
      <c r="J3656" s="23">
        <f>IF(OR($H3656="",$I3656=""),"",$H3656*$I3656)</f>
        <v/>
      </c>
      <c r="K3656" s="24" t="n"/>
      <c r="L3656" s="24" t="n"/>
      <c r="M3656" s="29" t="n"/>
      <c r="N3656" s="28" t="n"/>
      <c r="O3656" s="24" t="n"/>
      <c r="P3656" s="24" t="n"/>
      <c r="Q3656" s="24" t="n"/>
      <c r="R3656" s="24" t="n"/>
      <c r="S3656" s="22">
        <f>IF(AND($A3656="",$C3656=""),"",IF($A3656="","Thiếu mã đơn; ","")&amp;IF(COUNTIF($A$2:$A3656,$A3656)&gt;1,"Trùng mã đơn; ","")&amp;IF(ISNA(MATCH($C3656,DATA_MASTER!$D$2:$D$5000,0)),"SĐT chưa đăng ký hội viên; ","")&amp;IF(AND($L3656="Đã chuyển khoản",$M3656=""),"Thiếu ngày nhận CK; ",""))</f>
        <v/>
      </c>
      <c r="T3656" s="24" t="n"/>
    </row>
    <row r="3657" ht="14.25" customHeight="1" s="40">
      <c r="A3657" s="24" t="n"/>
      <c r="B3657" s="29" t="n"/>
      <c r="C3657" s="28" t="n"/>
      <c r="D3657" s="22">
        <f t="array" ref="D3657">IF($C3657="","",IFERROR(INDEX(DATA_MASTER!$C$2:$C$5000,MATCH($C3657,DATA_MASTER!$D$2:$D$5000,0)),""))</f>
        <v/>
      </c>
      <c r="E3657" s="22">
        <f t="array" ref="E3657">IF($C3657="","",IFERROR(INDEX(DATA_MASTER!$I$2:$I$5000,MATCH($C3657,DATA_MASTER!$D$2:$D$5000,0)),""))</f>
        <v/>
      </c>
      <c r="F3657" s="22">
        <f t="array" ref="F3657">IF($C3657="","",IFERROR(INDEX(DATA_MASTER!$L$2:$L$5000,MATCH($C3657,DATA_MASTER!$D$2:$D$5000,0)),""))</f>
        <v/>
      </c>
      <c r="G3657" s="24" t="n"/>
      <c r="H3657" s="24" t="n"/>
      <c r="I3657" s="30" t="n"/>
      <c r="J3657" s="23">
        <f>IF(OR($H3657="",$I3657=""),"",$H3657*$I3657)</f>
        <v/>
      </c>
      <c r="K3657" s="24" t="n"/>
      <c r="L3657" s="24" t="n"/>
      <c r="M3657" s="29" t="n"/>
      <c r="N3657" s="28" t="n"/>
      <c r="O3657" s="24" t="n"/>
      <c r="P3657" s="24" t="n"/>
      <c r="Q3657" s="24" t="n"/>
      <c r="R3657" s="24" t="n"/>
      <c r="S3657" s="22">
        <f>IF(AND($A3657="",$C3657=""),"",IF($A3657="","Thiếu mã đơn; ","")&amp;IF(COUNTIF($A$2:$A3657,$A3657)&gt;1,"Trùng mã đơn; ","")&amp;IF(ISNA(MATCH($C3657,DATA_MASTER!$D$2:$D$5000,0)),"SĐT chưa đăng ký hội viên; ","")&amp;IF(AND($L3657="Đã chuyển khoản",$M3657=""),"Thiếu ngày nhận CK; ",""))</f>
        <v/>
      </c>
      <c r="T3657" s="24" t="n"/>
    </row>
    <row r="3658" ht="14.25" customHeight="1" s="40">
      <c r="A3658" s="24" t="n"/>
      <c r="B3658" s="29" t="n"/>
      <c r="C3658" s="28" t="n"/>
      <c r="D3658" s="22">
        <f t="array" ref="D3658">IF($C3658="","",IFERROR(INDEX(DATA_MASTER!$C$2:$C$5000,MATCH($C3658,DATA_MASTER!$D$2:$D$5000,0)),""))</f>
        <v/>
      </c>
      <c r="E3658" s="22">
        <f t="array" ref="E3658">IF($C3658="","",IFERROR(INDEX(DATA_MASTER!$I$2:$I$5000,MATCH($C3658,DATA_MASTER!$D$2:$D$5000,0)),""))</f>
        <v/>
      </c>
      <c r="F3658" s="22">
        <f t="array" ref="F3658">IF($C3658="","",IFERROR(INDEX(DATA_MASTER!$L$2:$L$5000,MATCH($C3658,DATA_MASTER!$D$2:$D$5000,0)),""))</f>
        <v/>
      </c>
      <c r="G3658" s="24" t="n"/>
      <c r="H3658" s="24" t="n"/>
      <c r="I3658" s="30" t="n"/>
      <c r="J3658" s="23">
        <f>IF(OR($H3658="",$I3658=""),"",$H3658*$I3658)</f>
        <v/>
      </c>
      <c r="K3658" s="24" t="n"/>
      <c r="L3658" s="24" t="n"/>
      <c r="M3658" s="29" t="n"/>
      <c r="N3658" s="28" t="n"/>
      <c r="O3658" s="24" t="n"/>
      <c r="P3658" s="24" t="n"/>
      <c r="Q3658" s="24" t="n"/>
      <c r="R3658" s="24" t="n"/>
      <c r="S3658" s="22">
        <f>IF(AND($A3658="",$C3658=""),"",IF($A3658="","Thiếu mã đơn; ","")&amp;IF(COUNTIF($A$2:$A3658,$A3658)&gt;1,"Trùng mã đơn; ","")&amp;IF(ISNA(MATCH($C3658,DATA_MASTER!$D$2:$D$5000,0)),"SĐT chưa đăng ký hội viên; ","")&amp;IF(AND($L3658="Đã chuyển khoản",$M3658=""),"Thiếu ngày nhận CK; ",""))</f>
        <v/>
      </c>
      <c r="T3658" s="24" t="n"/>
    </row>
    <row r="3659" ht="14.25" customHeight="1" s="40">
      <c r="A3659" s="24" t="n"/>
      <c r="B3659" s="29" t="n"/>
      <c r="C3659" s="28" t="n"/>
      <c r="D3659" s="22">
        <f t="array" ref="D3659">IF($C3659="","",IFERROR(INDEX(DATA_MASTER!$C$2:$C$5000,MATCH($C3659,DATA_MASTER!$D$2:$D$5000,0)),""))</f>
        <v/>
      </c>
      <c r="E3659" s="22">
        <f t="array" ref="E3659">IF($C3659="","",IFERROR(INDEX(DATA_MASTER!$I$2:$I$5000,MATCH($C3659,DATA_MASTER!$D$2:$D$5000,0)),""))</f>
        <v/>
      </c>
      <c r="F3659" s="22">
        <f t="array" ref="F3659">IF($C3659="","",IFERROR(INDEX(DATA_MASTER!$L$2:$L$5000,MATCH($C3659,DATA_MASTER!$D$2:$D$5000,0)),""))</f>
        <v/>
      </c>
      <c r="G3659" s="24" t="n"/>
      <c r="H3659" s="24" t="n"/>
      <c r="I3659" s="30" t="n"/>
      <c r="J3659" s="23">
        <f>IF(OR($H3659="",$I3659=""),"",$H3659*$I3659)</f>
        <v/>
      </c>
      <c r="K3659" s="24" t="n"/>
      <c r="L3659" s="24" t="n"/>
      <c r="M3659" s="29" t="n"/>
      <c r="N3659" s="28" t="n"/>
      <c r="O3659" s="24" t="n"/>
      <c r="P3659" s="24" t="n"/>
      <c r="Q3659" s="24" t="n"/>
      <c r="R3659" s="24" t="n"/>
      <c r="S3659" s="22">
        <f>IF(AND($A3659="",$C3659=""),"",IF($A3659="","Thiếu mã đơn; ","")&amp;IF(COUNTIF($A$2:$A3659,$A3659)&gt;1,"Trùng mã đơn; ","")&amp;IF(ISNA(MATCH($C3659,DATA_MASTER!$D$2:$D$5000,0)),"SĐT chưa đăng ký hội viên; ","")&amp;IF(AND($L3659="Đã chuyển khoản",$M3659=""),"Thiếu ngày nhận CK; ",""))</f>
        <v/>
      </c>
      <c r="T3659" s="24" t="n"/>
    </row>
    <row r="3660" ht="14.25" customHeight="1" s="40">
      <c r="A3660" s="24" t="n"/>
      <c r="B3660" s="29" t="n"/>
      <c r="C3660" s="28" t="n"/>
      <c r="D3660" s="22">
        <f t="array" ref="D3660">IF($C3660="","",IFERROR(INDEX(DATA_MASTER!$C$2:$C$5000,MATCH($C3660,DATA_MASTER!$D$2:$D$5000,0)),""))</f>
        <v/>
      </c>
      <c r="E3660" s="22">
        <f t="array" ref="E3660">IF($C3660="","",IFERROR(INDEX(DATA_MASTER!$I$2:$I$5000,MATCH($C3660,DATA_MASTER!$D$2:$D$5000,0)),""))</f>
        <v/>
      </c>
      <c r="F3660" s="22">
        <f t="array" ref="F3660">IF($C3660="","",IFERROR(INDEX(DATA_MASTER!$L$2:$L$5000,MATCH($C3660,DATA_MASTER!$D$2:$D$5000,0)),""))</f>
        <v/>
      </c>
      <c r="G3660" s="24" t="n"/>
      <c r="H3660" s="24" t="n"/>
      <c r="I3660" s="30" t="n"/>
      <c r="J3660" s="23">
        <f>IF(OR($H3660="",$I3660=""),"",$H3660*$I3660)</f>
        <v/>
      </c>
      <c r="K3660" s="24" t="n"/>
      <c r="L3660" s="24" t="n"/>
      <c r="M3660" s="29" t="n"/>
      <c r="N3660" s="28" t="n"/>
      <c r="O3660" s="24" t="n"/>
      <c r="P3660" s="24" t="n"/>
      <c r="Q3660" s="24" t="n"/>
      <c r="R3660" s="24" t="n"/>
      <c r="S3660" s="22">
        <f>IF(AND($A3660="",$C3660=""),"",IF($A3660="","Thiếu mã đơn; ","")&amp;IF(COUNTIF($A$2:$A3660,$A3660)&gt;1,"Trùng mã đơn; ","")&amp;IF(ISNA(MATCH($C3660,DATA_MASTER!$D$2:$D$5000,0)),"SĐT chưa đăng ký hội viên; ","")&amp;IF(AND($L3660="Đã chuyển khoản",$M3660=""),"Thiếu ngày nhận CK; ",""))</f>
        <v/>
      </c>
      <c r="T3660" s="24" t="n"/>
    </row>
    <row r="3661" ht="14.25" customHeight="1" s="40">
      <c r="A3661" s="24" t="n"/>
      <c r="B3661" s="29" t="n"/>
      <c r="C3661" s="28" t="n"/>
      <c r="D3661" s="22">
        <f t="array" ref="D3661">IF($C3661="","",IFERROR(INDEX(DATA_MASTER!$C$2:$C$5000,MATCH($C3661,DATA_MASTER!$D$2:$D$5000,0)),""))</f>
        <v/>
      </c>
      <c r="E3661" s="22">
        <f t="array" ref="E3661">IF($C3661="","",IFERROR(INDEX(DATA_MASTER!$I$2:$I$5000,MATCH($C3661,DATA_MASTER!$D$2:$D$5000,0)),""))</f>
        <v/>
      </c>
      <c r="F3661" s="22">
        <f t="array" ref="F3661">IF($C3661="","",IFERROR(INDEX(DATA_MASTER!$L$2:$L$5000,MATCH($C3661,DATA_MASTER!$D$2:$D$5000,0)),""))</f>
        <v/>
      </c>
      <c r="G3661" s="24" t="n"/>
      <c r="H3661" s="24" t="n"/>
      <c r="I3661" s="30" t="n"/>
      <c r="J3661" s="23">
        <f>IF(OR($H3661="",$I3661=""),"",$H3661*$I3661)</f>
        <v/>
      </c>
      <c r="K3661" s="24" t="n"/>
      <c r="L3661" s="24" t="n"/>
      <c r="M3661" s="29" t="n"/>
      <c r="N3661" s="28" t="n"/>
      <c r="O3661" s="24" t="n"/>
      <c r="P3661" s="24" t="n"/>
      <c r="Q3661" s="24" t="n"/>
      <c r="R3661" s="24" t="n"/>
      <c r="S3661" s="22">
        <f>IF(AND($A3661="",$C3661=""),"",IF($A3661="","Thiếu mã đơn; ","")&amp;IF(COUNTIF($A$2:$A3661,$A3661)&gt;1,"Trùng mã đơn; ","")&amp;IF(ISNA(MATCH($C3661,DATA_MASTER!$D$2:$D$5000,0)),"SĐT chưa đăng ký hội viên; ","")&amp;IF(AND($L3661="Đã chuyển khoản",$M3661=""),"Thiếu ngày nhận CK; ",""))</f>
        <v/>
      </c>
      <c r="T3661" s="24" t="n"/>
    </row>
    <row r="3662" ht="14.25" customHeight="1" s="40">
      <c r="A3662" s="24" t="n"/>
      <c r="B3662" s="29" t="n"/>
      <c r="C3662" s="28" t="n"/>
      <c r="D3662" s="22">
        <f t="array" ref="D3662">IF($C3662="","",IFERROR(INDEX(DATA_MASTER!$C$2:$C$5000,MATCH($C3662,DATA_MASTER!$D$2:$D$5000,0)),""))</f>
        <v/>
      </c>
      <c r="E3662" s="22">
        <f t="array" ref="E3662">IF($C3662="","",IFERROR(INDEX(DATA_MASTER!$I$2:$I$5000,MATCH($C3662,DATA_MASTER!$D$2:$D$5000,0)),""))</f>
        <v/>
      </c>
      <c r="F3662" s="22">
        <f t="array" ref="F3662">IF($C3662="","",IFERROR(INDEX(DATA_MASTER!$L$2:$L$5000,MATCH($C3662,DATA_MASTER!$D$2:$D$5000,0)),""))</f>
        <v/>
      </c>
      <c r="G3662" s="24" t="n"/>
      <c r="H3662" s="24" t="n"/>
      <c r="I3662" s="30" t="n"/>
      <c r="J3662" s="23">
        <f>IF(OR($H3662="",$I3662=""),"",$H3662*$I3662)</f>
        <v/>
      </c>
      <c r="K3662" s="24" t="n"/>
      <c r="L3662" s="24" t="n"/>
      <c r="M3662" s="29" t="n"/>
      <c r="N3662" s="28" t="n"/>
      <c r="O3662" s="24" t="n"/>
      <c r="P3662" s="24" t="n"/>
      <c r="Q3662" s="24" t="n"/>
      <c r="R3662" s="24" t="n"/>
      <c r="S3662" s="22">
        <f>IF(AND($A3662="",$C3662=""),"",IF($A3662="","Thiếu mã đơn; ","")&amp;IF(COUNTIF($A$2:$A3662,$A3662)&gt;1,"Trùng mã đơn; ","")&amp;IF(ISNA(MATCH($C3662,DATA_MASTER!$D$2:$D$5000,0)),"SĐT chưa đăng ký hội viên; ","")&amp;IF(AND($L3662="Đã chuyển khoản",$M3662=""),"Thiếu ngày nhận CK; ",""))</f>
        <v/>
      </c>
      <c r="T3662" s="24" t="n"/>
    </row>
    <row r="3663" ht="14.25" customHeight="1" s="40">
      <c r="A3663" s="24" t="n"/>
      <c r="B3663" s="29" t="n"/>
      <c r="C3663" s="28" t="n"/>
      <c r="D3663" s="22">
        <f t="array" ref="D3663">IF($C3663="","",IFERROR(INDEX(DATA_MASTER!$C$2:$C$5000,MATCH($C3663,DATA_MASTER!$D$2:$D$5000,0)),""))</f>
        <v/>
      </c>
      <c r="E3663" s="22">
        <f t="array" ref="E3663">IF($C3663="","",IFERROR(INDEX(DATA_MASTER!$I$2:$I$5000,MATCH($C3663,DATA_MASTER!$D$2:$D$5000,0)),""))</f>
        <v/>
      </c>
      <c r="F3663" s="22">
        <f t="array" ref="F3663">IF($C3663="","",IFERROR(INDEX(DATA_MASTER!$L$2:$L$5000,MATCH($C3663,DATA_MASTER!$D$2:$D$5000,0)),""))</f>
        <v/>
      </c>
      <c r="G3663" s="24" t="n"/>
      <c r="H3663" s="24" t="n"/>
      <c r="I3663" s="30" t="n"/>
      <c r="J3663" s="23">
        <f>IF(OR($H3663="",$I3663=""),"",$H3663*$I3663)</f>
        <v/>
      </c>
      <c r="K3663" s="24" t="n"/>
      <c r="L3663" s="24" t="n"/>
      <c r="M3663" s="29" t="n"/>
      <c r="N3663" s="28" t="n"/>
      <c r="O3663" s="24" t="n"/>
      <c r="P3663" s="24" t="n"/>
      <c r="Q3663" s="24" t="n"/>
      <c r="R3663" s="24" t="n"/>
      <c r="S3663" s="22">
        <f>IF(AND($A3663="",$C3663=""),"",IF($A3663="","Thiếu mã đơn; ","")&amp;IF(COUNTIF($A$2:$A3663,$A3663)&gt;1,"Trùng mã đơn; ","")&amp;IF(ISNA(MATCH($C3663,DATA_MASTER!$D$2:$D$5000,0)),"SĐT chưa đăng ký hội viên; ","")&amp;IF(AND($L3663="Đã chuyển khoản",$M3663=""),"Thiếu ngày nhận CK; ",""))</f>
        <v/>
      </c>
      <c r="T3663" s="24" t="n"/>
    </row>
    <row r="3664" ht="14.25" customHeight="1" s="40">
      <c r="A3664" s="24" t="n"/>
      <c r="B3664" s="29" t="n"/>
      <c r="C3664" s="28" t="n"/>
      <c r="D3664" s="22">
        <f t="array" ref="D3664">IF($C3664="","",IFERROR(INDEX(DATA_MASTER!$C$2:$C$5000,MATCH($C3664,DATA_MASTER!$D$2:$D$5000,0)),""))</f>
        <v/>
      </c>
      <c r="E3664" s="22">
        <f t="array" ref="E3664">IF($C3664="","",IFERROR(INDEX(DATA_MASTER!$I$2:$I$5000,MATCH($C3664,DATA_MASTER!$D$2:$D$5000,0)),""))</f>
        <v/>
      </c>
      <c r="F3664" s="22">
        <f t="array" ref="F3664">IF($C3664="","",IFERROR(INDEX(DATA_MASTER!$L$2:$L$5000,MATCH($C3664,DATA_MASTER!$D$2:$D$5000,0)),""))</f>
        <v/>
      </c>
      <c r="G3664" s="24" t="n"/>
      <c r="H3664" s="24" t="n"/>
      <c r="I3664" s="30" t="n"/>
      <c r="J3664" s="23">
        <f>IF(OR($H3664="",$I3664=""),"",$H3664*$I3664)</f>
        <v/>
      </c>
      <c r="K3664" s="24" t="n"/>
      <c r="L3664" s="24" t="n"/>
      <c r="M3664" s="29" t="n"/>
      <c r="N3664" s="28" t="n"/>
      <c r="O3664" s="24" t="n"/>
      <c r="P3664" s="24" t="n"/>
      <c r="Q3664" s="24" t="n"/>
      <c r="R3664" s="24" t="n"/>
      <c r="S3664" s="22">
        <f>IF(AND($A3664="",$C3664=""),"",IF($A3664="","Thiếu mã đơn; ","")&amp;IF(COUNTIF($A$2:$A3664,$A3664)&gt;1,"Trùng mã đơn; ","")&amp;IF(ISNA(MATCH($C3664,DATA_MASTER!$D$2:$D$5000,0)),"SĐT chưa đăng ký hội viên; ","")&amp;IF(AND($L3664="Đã chuyển khoản",$M3664=""),"Thiếu ngày nhận CK; ",""))</f>
        <v/>
      </c>
      <c r="T3664" s="24" t="n"/>
    </row>
    <row r="3665" ht="14.25" customHeight="1" s="40">
      <c r="A3665" s="24" t="n"/>
      <c r="B3665" s="29" t="n"/>
      <c r="C3665" s="28" t="n"/>
      <c r="D3665" s="22">
        <f t="array" ref="D3665">IF($C3665="","",IFERROR(INDEX(DATA_MASTER!$C$2:$C$5000,MATCH($C3665,DATA_MASTER!$D$2:$D$5000,0)),""))</f>
        <v/>
      </c>
      <c r="E3665" s="22">
        <f t="array" ref="E3665">IF($C3665="","",IFERROR(INDEX(DATA_MASTER!$I$2:$I$5000,MATCH($C3665,DATA_MASTER!$D$2:$D$5000,0)),""))</f>
        <v/>
      </c>
      <c r="F3665" s="22">
        <f t="array" ref="F3665">IF($C3665="","",IFERROR(INDEX(DATA_MASTER!$L$2:$L$5000,MATCH($C3665,DATA_MASTER!$D$2:$D$5000,0)),""))</f>
        <v/>
      </c>
      <c r="G3665" s="24" t="n"/>
      <c r="H3665" s="24" t="n"/>
      <c r="I3665" s="30" t="n"/>
      <c r="J3665" s="23">
        <f>IF(OR($H3665="",$I3665=""),"",$H3665*$I3665)</f>
        <v/>
      </c>
      <c r="K3665" s="24" t="n"/>
      <c r="L3665" s="24" t="n"/>
      <c r="M3665" s="29" t="n"/>
      <c r="N3665" s="28" t="n"/>
      <c r="O3665" s="24" t="n"/>
      <c r="P3665" s="24" t="n"/>
      <c r="Q3665" s="24" t="n"/>
      <c r="R3665" s="24" t="n"/>
      <c r="S3665" s="22">
        <f>IF(AND($A3665="",$C3665=""),"",IF($A3665="","Thiếu mã đơn; ","")&amp;IF(COUNTIF($A$2:$A3665,$A3665)&gt;1,"Trùng mã đơn; ","")&amp;IF(ISNA(MATCH($C3665,DATA_MASTER!$D$2:$D$5000,0)),"SĐT chưa đăng ký hội viên; ","")&amp;IF(AND($L3665="Đã chuyển khoản",$M3665=""),"Thiếu ngày nhận CK; ",""))</f>
        <v/>
      </c>
      <c r="T3665" s="24" t="n"/>
    </row>
    <row r="3666" ht="14.25" customHeight="1" s="40">
      <c r="A3666" s="24" t="n"/>
      <c r="B3666" s="29" t="n"/>
      <c r="C3666" s="28" t="n"/>
      <c r="D3666" s="22">
        <f t="array" ref="D3666">IF($C3666="","",IFERROR(INDEX(DATA_MASTER!$C$2:$C$5000,MATCH($C3666,DATA_MASTER!$D$2:$D$5000,0)),""))</f>
        <v/>
      </c>
      <c r="E3666" s="22">
        <f t="array" ref="E3666">IF($C3666="","",IFERROR(INDEX(DATA_MASTER!$I$2:$I$5000,MATCH($C3666,DATA_MASTER!$D$2:$D$5000,0)),""))</f>
        <v/>
      </c>
      <c r="F3666" s="22">
        <f t="array" ref="F3666">IF($C3666="","",IFERROR(INDEX(DATA_MASTER!$L$2:$L$5000,MATCH($C3666,DATA_MASTER!$D$2:$D$5000,0)),""))</f>
        <v/>
      </c>
      <c r="G3666" s="24" t="n"/>
      <c r="H3666" s="24" t="n"/>
      <c r="I3666" s="30" t="n"/>
      <c r="J3666" s="23">
        <f>IF(OR($H3666="",$I3666=""),"",$H3666*$I3666)</f>
        <v/>
      </c>
      <c r="K3666" s="24" t="n"/>
      <c r="L3666" s="24" t="n"/>
      <c r="M3666" s="29" t="n"/>
      <c r="N3666" s="28" t="n"/>
      <c r="O3666" s="24" t="n"/>
      <c r="P3666" s="24" t="n"/>
      <c r="Q3666" s="24" t="n"/>
      <c r="R3666" s="24" t="n"/>
      <c r="S3666" s="22">
        <f>IF(AND($A3666="",$C3666=""),"",IF($A3666="","Thiếu mã đơn; ","")&amp;IF(COUNTIF($A$2:$A3666,$A3666)&gt;1,"Trùng mã đơn; ","")&amp;IF(ISNA(MATCH($C3666,DATA_MASTER!$D$2:$D$5000,0)),"SĐT chưa đăng ký hội viên; ","")&amp;IF(AND($L3666="Đã chuyển khoản",$M3666=""),"Thiếu ngày nhận CK; ",""))</f>
        <v/>
      </c>
      <c r="T3666" s="24" t="n"/>
    </row>
    <row r="3667" ht="14.25" customHeight="1" s="40">
      <c r="A3667" s="24" t="n"/>
      <c r="B3667" s="29" t="n"/>
      <c r="C3667" s="28" t="n"/>
      <c r="D3667" s="22">
        <f t="array" ref="D3667">IF($C3667="","",IFERROR(INDEX(DATA_MASTER!$C$2:$C$5000,MATCH($C3667,DATA_MASTER!$D$2:$D$5000,0)),""))</f>
        <v/>
      </c>
      <c r="E3667" s="22">
        <f t="array" ref="E3667">IF($C3667="","",IFERROR(INDEX(DATA_MASTER!$I$2:$I$5000,MATCH($C3667,DATA_MASTER!$D$2:$D$5000,0)),""))</f>
        <v/>
      </c>
      <c r="F3667" s="22">
        <f t="array" ref="F3667">IF($C3667="","",IFERROR(INDEX(DATA_MASTER!$L$2:$L$5000,MATCH($C3667,DATA_MASTER!$D$2:$D$5000,0)),""))</f>
        <v/>
      </c>
      <c r="G3667" s="24" t="n"/>
      <c r="H3667" s="24" t="n"/>
      <c r="I3667" s="30" t="n"/>
      <c r="J3667" s="23">
        <f>IF(OR($H3667="",$I3667=""),"",$H3667*$I3667)</f>
        <v/>
      </c>
      <c r="K3667" s="24" t="n"/>
      <c r="L3667" s="24" t="n"/>
      <c r="M3667" s="29" t="n"/>
      <c r="N3667" s="28" t="n"/>
      <c r="O3667" s="24" t="n"/>
      <c r="P3667" s="24" t="n"/>
      <c r="Q3667" s="24" t="n"/>
      <c r="R3667" s="24" t="n"/>
      <c r="S3667" s="22">
        <f>IF(AND($A3667="",$C3667=""),"",IF($A3667="","Thiếu mã đơn; ","")&amp;IF(COUNTIF($A$2:$A3667,$A3667)&gt;1,"Trùng mã đơn; ","")&amp;IF(ISNA(MATCH($C3667,DATA_MASTER!$D$2:$D$5000,0)),"SĐT chưa đăng ký hội viên; ","")&amp;IF(AND($L3667="Đã chuyển khoản",$M3667=""),"Thiếu ngày nhận CK; ",""))</f>
        <v/>
      </c>
      <c r="T3667" s="24" t="n"/>
    </row>
    <row r="3668" ht="14.25" customHeight="1" s="40">
      <c r="A3668" s="24" t="n"/>
      <c r="B3668" s="29" t="n"/>
      <c r="C3668" s="28" t="n"/>
      <c r="D3668" s="22">
        <f t="array" ref="D3668">IF($C3668="","",IFERROR(INDEX(DATA_MASTER!$C$2:$C$5000,MATCH($C3668,DATA_MASTER!$D$2:$D$5000,0)),""))</f>
        <v/>
      </c>
      <c r="E3668" s="22">
        <f t="array" ref="E3668">IF($C3668="","",IFERROR(INDEX(DATA_MASTER!$I$2:$I$5000,MATCH($C3668,DATA_MASTER!$D$2:$D$5000,0)),""))</f>
        <v/>
      </c>
      <c r="F3668" s="22">
        <f t="array" ref="F3668">IF($C3668="","",IFERROR(INDEX(DATA_MASTER!$L$2:$L$5000,MATCH($C3668,DATA_MASTER!$D$2:$D$5000,0)),""))</f>
        <v/>
      </c>
      <c r="G3668" s="24" t="n"/>
      <c r="H3668" s="24" t="n"/>
      <c r="I3668" s="30" t="n"/>
      <c r="J3668" s="23">
        <f>IF(OR($H3668="",$I3668=""),"",$H3668*$I3668)</f>
        <v/>
      </c>
      <c r="K3668" s="24" t="n"/>
      <c r="L3668" s="24" t="n"/>
      <c r="M3668" s="29" t="n"/>
      <c r="N3668" s="28" t="n"/>
      <c r="O3668" s="24" t="n"/>
      <c r="P3668" s="24" t="n"/>
      <c r="Q3668" s="24" t="n"/>
      <c r="R3668" s="24" t="n"/>
      <c r="S3668" s="22">
        <f>IF(AND($A3668="",$C3668=""),"",IF($A3668="","Thiếu mã đơn; ","")&amp;IF(COUNTIF($A$2:$A3668,$A3668)&gt;1,"Trùng mã đơn; ","")&amp;IF(ISNA(MATCH($C3668,DATA_MASTER!$D$2:$D$5000,0)),"SĐT chưa đăng ký hội viên; ","")&amp;IF(AND($L3668="Đã chuyển khoản",$M3668=""),"Thiếu ngày nhận CK; ",""))</f>
        <v/>
      </c>
      <c r="T3668" s="24" t="n"/>
    </row>
    <row r="3669" ht="14.25" customHeight="1" s="40">
      <c r="A3669" s="24" t="n"/>
      <c r="B3669" s="29" t="n"/>
      <c r="C3669" s="28" t="n"/>
      <c r="D3669" s="22">
        <f t="array" ref="D3669">IF($C3669="","",IFERROR(INDEX(DATA_MASTER!$C$2:$C$5000,MATCH($C3669,DATA_MASTER!$D$2:$D$5000,0)),""))</f>
        <v/>
      </c>
      <c r="E3669" s="22">
        <f t="array" ref="E3669">IF($C3669="","",IFERROR(INDEX(DATA_MASTER!$I$2:$I$5000,MATCH($C3669,DATA_MASTER!$D$2:$D$5000,0)),""))</f>
        <v/>
      </c>
      <c r="F3669" s="22">
        <f t="array" ref="F3669">IF($C3669="","",IFERROR(INDEX(DATA_MASTER!$L$2:$L$5000,MATCH($C3669,DATA_MASTER!$D$2:$D$5000,0)),""))</f>
        <v/>
      </c>
      <c r="G3669" s="24" t="n"/>
      <c r="H3669" s="24" t="n"/>
      <c r="I3669" s="30" t="n"/>
      <c r="J3669" s="23">
        <f>IF(OR($H3669="",$I3669=""),"",$H3669*$I3669)</f>
        <v/>
      </c>
      <c r="K3669" s="24" t="n"/>
      <c r="L3669" s="24" t="n"/>
      <c r="M3669" s="29" t="n"/>
      <c r="N3669" s="28" t="n"/>
      <c r="O3669" s="24" t="n"/>
      <c r="P3669" s="24" t="n"/>
      <c r="Q3669" s="24" t="n"/>
      <c r="R3669" s="24" t="n"/>
      <c r="S3669" s="22">
        <f>IF(AND($A3669="",$C3669=""),"",IF($A3669="","Thiếu mã đơn; ","")&amp;IF(COUNTIF($A$2:$A3669,$A3669)&gt;1,"Trùng mã đơn; ","")&amp;IF(ISNA(MATCH($C3669,DATA_MASTER!$D$2:$D$5000,0)),"SĐT chưa đăng ký hội viên; ","")&amp;IF(AND($L3669="Đã chuyển khoản",$M3669=""),"Thiếu ngày nhận CK; ",""))</f>
        <v/>
      </c>
      <c r="T3669" s="24" t="n"/>
    </row>
    <row r="3670" ht="14.25" customHeight="1" s="40">
      <c r="A3670" s="24" t="n"/>
      <c r="B3670" s="29" t="n"/>
      <c r="C3670" s="28" t="n"/>
      <c r="D3670" s="22">
        <f t="array" ref="D3670">IF($C3670="","",IFERROR(INDEX(DATA_MASTER!$C$2:$C$5000,MATCH($C3670,DATA_MASTER!$D$2:$D$5000,0)),""))</f>
        <v/>
      </c>
      <c r="E3670" s="22">
        <f t="array" ref="E3670">IF($C3670="","",IFERROR(INDEX(DATA_MASTER!$I$2:$I$5000,MATCH($C3670,DATA_MASTER!$D$2:$D$5000,0)),""))</f>
        <v/>
      </c>
      <c r="F3670" s="22">
        <f t="array" ref="F3670">IF($C3670="","",IFERROR(INDEX(DATA_MASTER!$L$2:$L$5000,MATCH($C3670,DATA_MASTER!$D$2:$D$5000,0)),""))</f>
        <v/>
      </c>
      <c r="G3670" s="24" t="n"/>
      <c r="H3670" s="24" t="n"/>
      <c r="I3670" s="30" t="n"/>
      <c r="J3670" s="23">
        <f>IF(OR($H3670="",$I3670=""),"",$H3670*$I3670)</f>
        <v/>
      </c>
      <c r="K3670" s="24" t="n"/>
      <c r="L3670" s="24" t="n"/>
      <c r="M3670" s="29" t="n"/>
      <c r="N3670" s="28" t="n"/>
      <c r="O3670" s="24" t="n"/>
      <c r="P3670" s="24" t="n"/>
      <c r="Q3670" s="24" t="n"/>
      <c r="R3670" s="24" t="n"/>
      <c r="S3670" s="22">
        <f>IF(AND($A3670="",$C3670=""),"",IF($A3670="","Thiếu mã đơn; ","")&amp;IF(COUNTIF($A$2:$A3670,$A3670)&gt;1,"Trùng mã đơn; ","")&amp;IF(ISNA(MATCH($C3670,DATA_MASTER!$D$2:$D$5000,0)),"SĐT chưa đăng ký hội viên; ","")&amp;IF(AND($L3670="Đã chuyển khoản",$M3670=""),"Thiếu ngày nhận CK; ",""))</f>
        <v/>
      </c>
      <c r="T3670" s="24" t="n"/>
    </row>
    <row r="3671" ht="14.25" customHeight="1" s="40">
      <c r="A3671" s="24" t="n"/>
      <c r="B3671" s="29" t="n"/>
      <c r="C3671" s="28" t="n"/>
      <c r="D3671" s="22">
        <f t="array" ref="D3671">IF($C3671="","",IFERROR(INDEX(DATA_MASTER!$C$2:$C$5000,MATCH($C3671,DATA_MASTER!$D$2:$D$5000,0)),""))</f>
        <v/>
      </c>
      <c r="E3671" s="22">
        <f t="array" ref="E3671">IF($C3671="","",IFERROR(INDEX(DATA_MASTER!$I$2:$I$5000,MATCH($C3671,DATA_MASTER!$D$2:$D$5000,0)),""))</f>
        <v/>
      </c>
      <c r="F3671" s="22">
        <f t="array" ref="F3671">IF($C3671="","",IFERROR(INDEX(DATA_MASTER!$L$2:$L$5000,MATCH($C3671,DATA_MASTER!$D$2:$D$5000,0)),""))</f>
        <v/>
      </c>
      <c r="G3671" s="24" t="n"/>
      <c r="H3671" s="24" t="n"/>
      <c r="I3671" s="30" t="n"/>
      <c r="J3671" s="23">
        <f>IF(OR($H3671="",$I3671=""),"",$H3671*$I3671)</f>
        <v/>
      </c>
      <c r="K3671" s="24" t="n"/>
      <c r="L3671" s="24" t="n"/>
      <c r="M3671" s="29" t="n"/>
      <c r="N3671" s="28" t="n"/>
      <c r="O3671" s="24" t="n"/>
      <c r="P3671" s="24" t="n"/>
      <c r="Q3671" s="24" t="n"/>
      <c r="R3671" s="24" t="n"/>
      <c r="S3671" s="22">
        <f>IF(AND($A3671="",$C3671=""),"",IF($A3671="","Thiếu mã đơn; ","")&amp;IF(COUNTIF($A$2:$A3671,$A3671)&gt;1,"Trùng mã đơn; ","")&amp;IF(ISNA(MATCH($C3671,DATA_MASTER!$D$2:$D$5000,0)),"SĐT chưa đăng ký hội viên; ","")&amp;IF(AND($L3671="Đã chuyển khoản",$M3671=""),"Thiếu ngày nhận CK; ",""))</f>
        <v/>
      </c>
      <c r="T3671" s="24" t="n"/>
    </row>
    <row r="3672" ht="14.25" customHeight="1" s="40">
      <c r="A3672" s="24" t="n"/>
      <c r="B3672" s="29" t="n"/>
      <c r="C3672" s="28" t="n"/>
      <c r="D3672" s="22">
        <f t="array" ref="D3672">IF($C3672="","",IFERROR(INDEX(DATA_MASTER!$C$2:$C$5000,MATCH($C3672,DATA_MASTER!$D$2:$D$5000,0)),""))</f>
        <v/>
      </c>
      <c r="E3672" s="22">
        <f t="array" ref="E3672">IF($C3672="","",IFERROR(INDEX(DATA_MASTER!$I$2:$I$5000,MATCH($C3672,DATA_MASTER!$D$2:$D$5000,0)),""))</f>
        <v/>
      </c>
      <c r="F3672" s="22">
        <f t="array" ref="F3672">IF($C3672="","",IFERROR(INDEX(DATA_MASTER!$L$2:$L$5000,MATCH($C3672,DATA_MASTER!$D$2:$D$5000,0)),""))</f>
        <v/>
      </c>
      <c r="G3672" s="24" t="n"/>
      <c r="H3672" s="24" t="n"/>
      <c r="I3672" s="30" t="n"/>
      <c r="J3672" s="23">
        <f>IF(OR($H3672="",$I3672=""),"",$H3672*$I3672)</f>
        <v/>
      </c>
      <c r="K3672" s="24" t="n"/>
      <c r="L3672" s="24" t="n"/>
      <c r="M3672" s="29" t="n"/>
      <c r="N3672" s="28" t="n"/>
      <c r="O3672" s="24" t="n"/>
      <c r="P3672" s="24" t="n"/>
      <c r="Q3672" s="24" t="n"/>
      <c r="R3672" s="24" t="n"/>
      <c r="S3672" s="22">
        <f>IF(AND($A3672="",$C3672=""),"",IF($A3672="","Thiếu mã đơn; ","")&amp;IF(COUNTIF($A$2:$A3672,$A3672)&gt;1,"Trùng mã đơn; ","")&amp;IF(ISNA(MATCH($C3672,DATA_MASTER!$D$2:$D$5000,0)),"SĐT chưa đăng ký hội viên; ","")&amp;IF(AND($L3672="Đã chuyển khoản",$M3672=""),"Thiếu ngày nhận CK; ",""))</f>
        <v/>
      </c>
      <c r="T3672" s="24" t="n"/>
    </row>
    <row r="3673" ht="14.25" customHeight="1" s="40">
      <c r="A3673" s="24" t="n"/>
      <c r="B3673" s="29" t="n"/>
      <c r="C3673" s="28" t="n"/>
      <c r="D3673" s="22">
        <f t="array" ref="D3673">IF($C3673="","",IFERROR(INDEX(DATA_MASTER!$C$2:$C$5000,MATCH($C3673,DATA_MASTER!$D$2:$D$5000,0)),""))</f>
        <v/>
      </c>
      <c r="E3673" s="22">
        <f t="array" ref="E3673">IF($C3673="","",IFERROR(INDEX(DATA_MASTER!$I$2:$I$5000,MATCH($C3673,DATA_MASTER!$D$2:$D$5000,0)),""))</f>
        <v/>
      </c>
      <c r="F3673" s="22">
        <f t="array" ref="F3673">IF($C3673="","",IFERROR(INDEX(DATA_MASTER!$L$2:$L$5000,MATCH($C3673,DATA_MASTER!$D$2:$D$5000,0)),""))</f>
        <v/>
      </c>
      <c r="G3673" s="24" t="n"/>
      <c r="H3673" s="24" t="n"/>
      <c r="I3673" s="30" t="n"/>
      <c r="J3673" s="23">
        <f>IF(OR($H3673="",$I3673=""),"",$H3673*$I3673)</f>
        <v/>
      </c>
      <c r="K3673" s="24" t="n"/>
      <c r="L3673" s="24" t="n"/>
      <c r="M3673" s="29" t="n"/>
      <c r="N3673" s="28" t="n"/>
      <c r="O3673" s="24" t="n"/>
      <c r="P3673" s="24" t="n"/>
      <c r="Q3673" s="24" t="n"/>
      <c r="R3673" s="24" t="n"/>
      <c r="S3673" s="22">
        <f>IF(AND($A3673="",$C3673=""),"",IF($A3673="","Thiếu mã đơn; ","")&amp;IF(COUNTIF($A$2:$A3673,$A3673)&gt;1,"Trùng mã đơn; ","")&amp;IF(ISNA(MATCH($C3673,DATA_MASTER!$D$2:$D$5000,0)),"SĐT chưa đăng ký hội viên; ","")&amp;IF(AND($L3673="Đã chuyển khoản",$M3673=""),"Thiếu ngày nhận CK; ",""))</f>
        <v/>
      </c>
      <c r="T3673" s="24" t="n"/>
    </row>
    <row r="3674" ht="14.25" customHeight="1" s="40">
      <c r="A3674" s="24" t="n"/>
      <c r="B3674" s="29" t="n"/>
      <c r="C3674" s="28" t="n"/>
      <c r="D3674" s="22">
        <f t="array" ref="D3674">IF($C3674="","",IFERROR(INDEX(DATA_MASTER!$C$2:$C$5000,MATCH($C3674,DATA_MASTER!$D$2:$D$5000,0)),""))</f>
        <v/>
      </c>
      <c r="E3674" s="22">
        <f t="array" ref="E3674">IF($C3674="","",IFERROR(INDEX(DATA_MASTER!$I$2:$I$5000,MATCH($C3674,DATA_MASTER!$D$2:$D$5000,0)),""))</f>
        <v/>
      </c>
      <c r="F3674" s="22">
        <f t="array" ref="F3674">IF($C3674="","",IFERROR(INDEX(DATA_MASTER!$L$2:$L$5000,MATCH($C3674,DATA_MASTER!$D$2:$D$5000,0)),""))</f>
        <v/>
      </c>
      <c r="G3674" s="24" t="n"/>
      <c r="H3674" s="24" t="n"/>
      <c r="I3674" s="30" t="n"/>
      <c r="J3674" s="23">
        <f>IF(OR($H3674="",$I3674=""),"",$H3674*$I3674)</f>
        <v/>
      </c>
      <c r="K3674" s="24" t="n"/>
      <c r="L3674" s="24" t="n"/>
      <c r="M3674" s="29" t="n"/>
      <c r="N3674" s="28" t="n"/>
      <c r="O3674" s="24" t="n"/>
      <c r="P3674" s="24" t="n"/>
      <c r="Q3674" s="24" t="n"/>
      <c r="R3674" s="24" t="n"/>
      <c r="S3674" s="22">
        <f>IF(AND($A3674="",$C3674=""),"",IF($A3674="","Thiếu mã đơn; ","")&amp;IF(COUNTIF($A$2:$A3674,$A3674)&gt;1,"Trùng mã đơn; ","")&amp;IF(ISNA(MATCH($C3674,DATA_MASTER!$D$2:$D$5000,0)),"SĐT chưa đăng ký hội viên; ","")&amp;IF(AND($L3674="Đã chuyển khoản",$M3674=""),"Thiếu ngày nhận CK; ",""))</f>
        <v/>
      </c>
      <c r="T3674" s="24" t="n"/>
    </row>
    <row r="3675" ht="14.25" customHeight="1" s="40">
      <c r="A3675" s="24" t="n"/>
      <c r="B3675" s="29" t="n"/>
      <c r="C3675" s="28" t="n"/>
      <c r="D3675" s="22">
        <f t="array" ref="D3675">IF($C3675="","",IFERROR(INDEX(DATA_MASTER!$C$2:$C$5000,MATCH($C3675,DATA_MASTER!$D$2:$D$5000,0)),""))</f>
        <v/>
      </c>
      <c r="E3675" s="22">
        <f t="array" ref="E3675">IF($C3675="","",IFERROR(INDEX(DATA_MASTER!$I$2:$I$5000,MATCH($C3675,DATA_MASTER!$D$2:$D$5000,0)),""))</f>
        <v/>
      </c>
      <c r="F3675" s="22">
        <f t="array" ref="F3675">IF($C3675="","",IFERROR(INDEX(DATA_MASTER!$L$2:$L$5000,MATCH($C3675,DATA_MASTER!$D$2:$D$5000,0)),""))</f>
        <v/>
      </c>
      <c r="G3675" s="24" t="n"/>
      <c r="H3675" s="24" t="n"/>
      <c r="I3675" s="30" t="n"/>
      <c r="J3675" s="23">
        <f>IF(OR($H3675="",$I3675=""),"",$H3675*$I3675)</f>
        <v/>
      </c>
      <c r="K3675" s="24" t="n"/>
      <c r="L3675" s="24" t="n"/>
      <c r="M3675" s="29" t="n"/>
      <c r="N3675" s="28" t="n"/>
      <c r="O3675" s="24" t="n"/>
      <c r="P3675" s="24" t="n"/>
      <c r="Q3675" s="24" t="n"/>
      <c r="R3675" s="24" t="n"/>
      <c r="S3675" s="22">
        <f>IF(AND($A3675="",$C3675=""),"",IF($A3675="","Thiếu mã đơn; ","")&amp;IF(COUNTIF($A$2:$A3675,$A3675)&gt;1,"Trùng mã đơn; ","")&amp;IF(ISNA(MATCH($C3675,DATA_MASTER!$D$2:$D$5000,0)),"SĐT chưa đăng ký hội viên; ","")&amp;IF(AND($L3675="Đã chuyển khoản",$M3675=""),"Thiếu ngày nhận CK; ",""))</f>
        <v/>
      </c>
      <c r="T3675" s="24" t="n"/>
    </row>
    <row r="3676" ht="14.25" customHeight="1" s="40">
      <c r="A3676" s="24" t="n"/>
      <c r="B3676" s="29" t="n"/>
      <c r="C3676" s="28" t="n"/>
      <c r="D3676" s="22">
        <f t="array" ref="D3676">IF($C3676="","",IFERROR(INDEX(DATA_MASTER!$C$2:$C$5000,MATCH($C3676,DATA_MASTER!$D$2:$D$5000,0)),""))</f>
        <v/>
      </c>
      <c r="E3676" s="22">
        <f t="array" ref="E3676">IF($C3676="","",IFERROR(INDEX(DATA_MASTER!$I$2:$I$5000,MATCH($C3676,DATA_MASTER!$D$2:$D$5000,0)),""))</f>
        <v/>
      </c>
      <c r="F3676" s="22">
        <f t="array" ref="F3676">IF($C3676="","",IFERROR(INDEX(DATA_MASTER!$L$2:$L$5000,MATCH($C3676,DATA_MASTER!$D$2:$D$5000,0)),""))</f>
        <v/>
      </c>
      <c r="G3676" s="24" t="n"/>
      <c r="H3676" s="24" t="n"/>
      <c r="I3676" s="30" t="n"/>
      <c r="J3676" s="23">
        <f>IF(OR($H3676="",$I3676=""),"",$H3676*$I3676)</f>
        <v/>
      </c>
      <c r="K3676" s="24" t="n"/>
      <c r="L3676" s="24" t="n"/>
      <c r="M3676" s="29" t="n"/>
      <c r="N3676" s="28" t="n"/>
      <c r="O3676" s="24" t="n"/>
      <c r="P3676" s="24" t="n"/>
      <c r="Q3676" s="24" t="n"/>
      <c r="R3676" s="24" t="n"/>
      <c r="S3676" s="22">
        <f>IF(AND($A3676="",$C3676=""),"",IF($A3676="","Thiếu mã đơn; ","")&amp;IF(COUNTIF($A$2:$A3676,$A3676)&gt;1,"Trùng mã đơn; ","")&amp;IF(ISNA(MATCH($C3676,DATA_MASTER!$D$2:$D$5000,0)),"SĐT chưa đăng ký hội viên; ","")&amp;IF(AND($L3676="Đã chuyển khoản",$M3676=""),"Thiếu ngày nhận CK; ",""))</f>
        <v/>
      </c>
      <c r="T3676" s="24" t="n"/>
    </row>
    <row r="3677" ht="14.25" customHeight="1" s="40">
      <c r="A3677" s="24" t="n"/>
      <c r="B3677" s="29" t="n"/>
      <c r="C3677" s="28" t="n"/>
      <c r="D3677" s="22">
        <f t="array" ref="D3677">IF($C3677="","",IFERROR(INDEX(DATA_MASTER!$C$2:$C$5000,MATCH($C3677,DATA_MASTER!$D$2:$D$5000,0)),""))</f>
        <v/>
      </c>
      <c r="E3677" s="22">
        <f t="array" ref="E3677">IF($C3677="","",IFERROR(INDEX(DATA_MASTER!$I$2:$I$5000,MATCH($C3677,DATA_MASTER!$D$2:$D$5000,0)),""))</f>
        <v/>
      </c>
      <c r="F3677" s="22">
        <f t="array" ref="F3677">IF($C3677="","",IFERROR(INDEX(DATA_MASTER!$L$2:$L$5000,MATCH($C3677,DATA_MASTER!$D$2:$D$5000,0)),""))</f>
        <v/>
      </c>
      <c r="G3677" s="24" t="n"/>
      <c r="H3677" s="24" t="n"/>
      <c r="I3677" s="30" t="n"/>
      <c r="J3677" s="23">
        <f>IF(OR($H3677="",$I3677=""),"",$H3677*$I3677)</f>
        <v/>
      </c>
      <c r="K3677" s="24" t="n"/>
      <c r="L3677" s="24" t="n"/>
      <c r="M3677" s="29" t="n"/>
      <c r="N3677" s="28" t="n"/>
      <c r="O3677" s="24" t="n"/>
      <c r="P3677" s="24" t="n"/>
      <c r="Q3677" s="24" t="n"/>
      <c r="R3677" s="24" t="n"/>
      <c r="S3677" s="22">
        <f>IF(AND($A3677="",$C3677=""),"",IF($A3677="","Thiếu mã đơn; ","")&amp;IF(COUNTIF($A$2:$A3677,$A3677)&gt;1,"Trùng mã đơn; ","")&amp;IF(ISNA(MATCH($C3677,DATA_MASTER!$D$2:$D$5000,0)),"SĐT chưa đăng ký hội viên; ","")&amp;IF(AND($L3677="Đã chuyển khoản",$M3677=""),"Thiếu ngày nhận CK; ",""))</f>
        <v/>
      </c>
      <c r="T3677" s="24" t="n"/>
    </row>
    <row r="3678" ht="14.25" customHeight="1" s="40">
      <c r="A3678" s="24" t="n"/>
      <c r="B3678" s="29" t="n"/>
      <c r="C3678" s="28" t="n"/>
      <c r="D3678" s="22">
        <f t="array" ref="D3678">IF($C3678="","",IFERROR(INDEX(DATA_MASTER!$C$2:$C$5000,MATCH($C3678,DATA_MASTER!$D$2:$D$5000,0)),""))</f>
        <v/>
      </c>
      <c r="E3678" s="22">
        <f t="array" ref="E3678">IF($C3678="","",IFERROR(INDEX(DATA_MASTER!$I$2:$I$5000,MATCH($C3678,DATA_MASTER!$D$2:$D$5000,0)),""))</f>
        <v/>
      </c>
      <c r="F3678" s="22">
        <f t="array" ref="F3678">IF($C3678="","",IFERROR(INDEX(DATA_MASTER!$L$2:$L$5000,MATCH($C3678,DATA_MASTER!$D$2:$D$5000,0)),""))</f>
        <v/>
      </c>
      <c r="G3678" s="24" t="n"/>
      <c r="H3678" s="24" t="n"/>
      <c r="I3678" s="30" t="n"/>
      <c r="J3678" s="23">
        <f>IF(OR($H3678="",$I3678=""),"",$H3678*$I3678)</f>
        <v/>
      </c>
      <c r="K3678" s="24" t="n"/>
      <c r="L3678" s="24" t="n"/>
      <c r="M3678" s="29" t="n"/>
      <c r="N3678" s="28" t="n"/>
      <c r="O3678" s="24" t="n"/>
      <c r="P3678" s="24" t="n"/>
      <c r="Q3678" s="24" t="n"/>
      <c r="R3678" s="24" t="n"/>
      <c r="S3678" s="22">
        <f>IF(AND($A3678="",$C3678=""),"",IF($A3678="","Thiếu mã đơn; ","")&amp;IF(COUNTIF($A$2:$A3678,$A3678)&gt;1,"Trùng mã đơn; ","")&amp;IF(ISNA(MATCH($C3678,DATA_MASTER!$D$2:$D$5000,0)),"SĐT chưa đăng ký hội viên; ","")&amp;IF(AND($L3678="Đã chuyển khoản",$M3678=""),"Thiếu ngày nhận CK; ",""))</f>
        <v/>
      </c>
      <c r="T3678" s="24" t="n"/>
    </row>
    <row r="3679" ht="14.25" customHeight="1" s="40">
      <c r="A3679" s="24" t="n"/>
      <c r="B3679" s="29" t="n"/>
      <c r="C3679" s="28" t="n"/>
      <c r="D3679" s="22">
        <f t="array" ref="D3679">IF($C3679="","",IFERROR(INDEX(DATA_MASTER!$C$2:$C$5000,MATCH($C3679,DATA_MASTER!$D$2:$D$5000,0)),""))</f>
        <v/>
      </c>
      <c r="E3679" s="22">
        <f t="array" ref="E3679">IF($C3679="","",IFERROR(INDEX(DATA_MASTER!$I$2:$I$5000,MATCH($C3679,DATA_MASTER!$D$2:$D$5000,0)),""))</f>
        <v/>
      </c>
      <c r="F3679" s="22">
        <f t="array" ref="F3679">IF($C3679="","",IFERROR(INDEX(DATA_MASTER!$L$2:$L$5000,MATCH($C3679,DATA_MASTER!$D$2:$D$5000,0)),""))</f>
        <v/>
      </c>
      <c r="G3679" s="24" t="n"/>
      <c r="H3679" s="24" t="n"/>
      <c r="I3679" s="30" t="n"/>
      <c r="J3679" s="23">
        <f>IF(OR($H3679="",$I3679=""),"",$H3679*$I3679)</f>
        <v/>
      </c>
      <c r="K3679" s="24" t="n"/>
      <c r="L3679" s="24" t="n"/>
      <c r="M3679" s="29" t="n"/>
      <c r="N3679" s="28" t="n"/>
      <c r="O3679" s="24" t="n"/>
      <c r="P3679" s="24" t="n"/>
      <c r="Q3679" s="24" t="n"/>
      <c r="R3679" s="24" t="n"/>
      <c r="S3679" s="22">
        <f>IF(AND($A3679="",$C3679=""),"",IF($A3679="","Thiếu mã đơn; ","")&amp;IF(COUNTIF($A$2:$A3679,$A3679)&gt;1,"Trùng mã đơn; ","")&amp;IF(ISNA(MATCH($C3679,DATA_MASTER!$D$2:$D$5000,0)),"SĐT chưa đăng ký hội viên; ","")&amp;IF(AND($L3679="Đã chuyển khoản",$M3679=""),"Thiếu ngày nhận CK; ",""))</f>
        <v/>
      </c>
      <c r="T3679" s="24" t="n"/>
    </row>
    <row r="3680" ht="14.25" customHeight="1" s="40">
      <c r="A3680" s="24" t="n"/>
      <c r="B3680" s="29" t="n"/>
      <c r="C3680" s="28" t="n"/>
      <c r="D3680" s="22">
        <f t="array" ref="D3680">IF($C3680="","",IFERROR(INDEX(DATA_MASTER!$C$2:$C$5000,MATCH($C3680,DATA_MASTER!$D$2:$D$5000,0)),""))</f>
        <v/>
      </c>
      <c r="E3680" s="22">
        <f t="array" ref="E3680">IF($C3680="","",IFERROR(INDEX(DATA_MASTER!$I$2:$I$5000,MATCH($C3680,DATA_MASTER!$D$2:$D$5000,0)),""))</f>
        <v/>
      </c>
      <c r="F3680" s="22">
        <f t="array" ref="F3680">IF($C3680="","",IFERROR(INDEX(DATA_MASTER!$L$2:$L$5000,MATCH($C3680,DATA_MASTER!$D$2:$D$5000,0)),""))</f>
        <v/>
      </c>
      <c r="G3680" s="24" t="n"/>
      <c r="H3680" s="24" t="n"/>
      <c r="I3680" s="30" t="n"/>
      <c r="J3680" s="23">
        <f>IF(OR($H3680="",$I3680=""),"",$H3680*$I3680)</f>
        <v/>
      </c>
      <c r="K3680" s="24" t="n"/>
      <c r="L3680" s="24" t="n"/>
      <c r="M3680" s="29" t="n"/>
      <c r="N3680" s="28" t="n"/>
      <c r="O3680" s="24" t="n"/>
      <c r="P3680" s="24" t="n"/>
      <c r="Q3680" s="24" t="n"/>
      <c r="R3680" s="24" t="n"/>
      <c r="S3680" s="22">
        <f>IF(AND($A3680="",$C3680=""),"",IF($A3680="","Thiếu mã đơn; ","")&amp;IF(COUNTIF($A$2:$A3680,$A3680)&gt;1,"Trùng mã đơn; ","")&amp;IF(ISNA(MATCH($C3680,DATA_MASTER!$D$2:$D$5000,0)),"SĐT chưa đăng ký hội viên; ","")&amp;IF(AND($L3680="Đã chuyển khoản",$M3680=""),"Thiếu ngày nhận CK; ",""))</f>
        <v/>
      </c>
      <c r="T3680" s="24" t="n"/>
    </row>
    <row r="3681" ht="14.25" customHeight="1" s="40">
      <c r="A3681" s="24" t="n"/>
      <c r="B3681" s="29" t="n"/>
      <c r="C3681" s="28" t="n"/>
      <c r="D3681" s="22">
        <f t="array" ref="D3681">IF($C3681="","",IFERROR(INDEX(DATA_MASTER!$C$2:$C$5000,MATCH($C3681,DATA_MASTER!$D$2:$D$5000,0)),""))</f>
        <v/>
      </c>
      <c r="E3681" s="22">
        <f t="array" ref="E3681">IF($C3681="","",IFERROR(INDEX(DATA_MASTER!$I$2:$I$5000,MATCH($C3681,DATA_MASTER!$D$2:$D$5000,0)),""))</f>
        <v/>
      </c>
      <c r="F3681" s="22">
        <f t="array" ref="F3681">IF($C3681="","",IFERROR(INDEX(DATA_MASTER!$L$2:$L$5000,MATCH($C3681,DATA_MASTER!$D$2:$D$5000,0)),""))</f>
        <v/>
      </c>
      <c r="G3681" s="24" t="n"/>
      <c r="H3681" s="24" t="n"/>
      <c r="I3681" s="30" t="n"/>
      <c r="J3681" s="23">
        <f>IF(OR($H3681="",$I3681=""),"",$H3681*$I3681)</f>
        <v/>
      </c>
      <c r="K3681" s="24" t="n"/>
      <c r="L3681" s="24" t="n"/>
      <c r="M3681" s="29" t="n"/>
      <c r="N3681" s="28" t="n"/>
      <c r="O3681" s="24" t="n"/>
      <c r="P3681" s="24" t="n"/>
      <c r="Q3681" s="24" t="n"/>
      <c r="R3681" s="24" t="n"/>
      <c r="S3681" s="22">
        <f>IF(AND($A3681="",$C3681=""),"",IF($A3681="","Thiếu mã đơn; ","")&amp;IF(COUNTIF($A$2:$A3681,$A3681)&gt;1,"Trùng mã đơn; ","")&amp;IF(ISNA(MATCH($C3681,DATA_MASTER!$D$2:$D$5000,0)),"SĐT chưa đăng ký hội viên; ","")&amp;IF(AND($L3681="Đã chuyển khoản",$M3681=""),"Thiếu ngày nhận CK; ",""))</f>
        <v/>
      </c>
      <c r="T3681" s="24" t="n"/>
    </row>
    <row r="3682" ht="14.25" customHeight="1" s="40">
      <c r="A3682" s="24" t="n"/>
      <c r="B3682" s="29" t="n"/>
      <c r="C3682" s="28" t="n"/>
      <c r="D3682" s="22">
        <f t="array" ref="D3682">IF($C3682="","",IFERROR(INDEX(DATA_MASTER!$C$2:$C$5000,MATCH($C3682,DATA_MASTER!$D$2:$D$5000,0)),""))</f>
        <v/>
      </c>
      <c r="E3682" s="22">
        <f t="array" ref="E3682">IF($C3682="","",IFERROR(INDEX(DATA_MASTER!$I$2:$I$5000,MATCH($C3682,DATA_MASTER!$D$2:$D$5000,0)),""))</f>
        <v/>
      </c>
      <c r="F3682" s="22">
        <f t="array" ref="F3682">IF($C3682="","",IFERROR(INDEX(DATA_MASTER!$L$2:$L$5000,MATCH($C3682,DATA_MASTER!$D$2:$D$5000,0)),""))</f>
        <v/>
      </c>
      <c r="G3682" s="24" t="n"/>
      <c r="H3682" s="24" t="n"/>
      <c r="I3682" s="30" t="n"/>
      <c r="J3682" s="23">
        <f>IF(OR($H3682="",$I3682=""),"",$H3682*$I3682)</f>
        <v/>
      </c>
      <c r="K3682" s="24" t="n"/>
      <c r="L3682" s="24" t="n"/>
      <c r="M3682" s="29" t="n"/>
      <c r="N3682" s="28" t="n"/>
      <c r="O3682" s="24" t="n"/>
      <c r="P3682" s="24" t="n"/>
      <c r="Q3682" s="24" t="n"/>
      <c r="R3682" s="24" t="n"/>
      <c r="S3682" s="22">
        <f>IF(AND($A3682="",$C3682=""),"",IF($A3682="","Thiếu mã đơn; ","")&amp;IF(COUNTIF($A$2:$A3682,$A3682)&gt;1,"Trùng mã đơn; ","")&amp;IF(ISNA(MATCH($C3682,DATA_MASTER!$D$2:$D$5000,0)),"SĐT chưa đăng ký hội viên; ","")&amp;IF(AND($L3682="Đã chuyển khoản",$M3682=""),"Thiếu ngày nhận CK; ",""))</f>
        <v/>
      </c>
      <c r="T3682" s="24" t="n"/>
    </row>
    <row r="3683" ht="14.25" customHeight="1" s="40">
      <c r="A3683" s="24" t="n"/>
      <c r="B3683" s="29" t="n"/>
      <c r="C3683" s="28" t="n"/>
      <c r="D3683" s="22">
        <f t="array" ref="D3683">IF($C3683="","",IFERROR(INDEX(DATA_MASTER!$C$2:$C$5000,MATCH($C3683,DATA_MASTER!$D$2:$D$5000,0)),""))</f>
        <v/>
      </c>
      <c r="E3683" s="22">
        <f t="array" ref="E3683">IF($C3683="","",IFERROR(INDEX(DATA_MASTER!$I$2:$I$5000,MATCH($C3683,DATA_MASTER!$D$2:$D$5000,0)),""))</f>
        <v/>
      </c>
      <c r="F3683" s="22">
        <f t="array" ref="F3683">IF($C3683="","",IFERROR(INDEX(DATA_MASTER!$L$2:$L$5000,MATCH($C3683,DATA_MASTER!$D$2:$D$5000,0)),""))</f>
        <v/>
      </c>
      <c r="G3683" s="24" t="n"/>
      <c r="H3683" s="24" t="n"/>
      <c r="I3683" s="30" t="n"/>
      <c r="J3683" s="23">
        <f>IF(OR($H3683="",$I3683=""),"",$H3683*$I3683)</f>
        <v/>
      </c>
      <c r="K3683" s="24" t="n"/>
      <c r="L3683" s="24" t="n"/>
      <c r="M3683" s="29" t="n"/>
      <c r="N3683" s="28" t="n"/>
      <c r="O3683" s="24" t="n"/>
      <c r="P3683" s="24" t="n"/>
      <c r="Q3683" s="24" t="n"/>
      <c r="R3683" s="24" t="n"/>
      <c r="S3683" s="22">
        <f>IF(AND($A3683="",$C3683=""),"",IF($A3683="","Thiếu mã đơn; ","")&amp;IF(COUNTIF($A$2:$A3683,$A3683)&gt;1,"Trùng mã đơn; ","")&amp;IF(ISNA(MATCH($C3683,DATA_MASTER!$D$2:$D$5000,0)),"SĐT chưa đăng ký hội viên; ","")&amp;IF(AND($L3683="Đã chuyển khoản",$M3683=""),"Thiếu ngày nhận CK; ",""))</f>
        <v/>
      </c>
      <c r="T3683" s="24" t="n"/>
    </row>
    <row r="3684" ht="14.25" customHeight="1" s="40">
      <c r="A3684" s="24" t="n"/>
      <c r="B3684" s="29" t="n"/>
      <c r="C3684" s="28" t="n"/>
      <c r="D3684" s="22">
        <f t="array" ref="D3684">IF($C3684="","",IFERROR(INDEX(DATA_MASTER!$C$2:$C$5000,MATCH($C3684,DATA_MASTER!$D$2:$D$5000,0)),""))</f>
        <v/>
      </c>
      <c r="E3684" s="22">
        <f t="array" ref="E3684">IF($C3684="","",IFERROR(INDEX(DATA_MASTER!$I$2:$I$5000,MATCH($C3684,DATA_MASTER!$D$2:$D$5000,0)),""))</f>
        <v/>
      </c>
      <c r="F3684" s="22">
        <f t="array" ref="F3684">IF($C3684="","",IFERROR(INDEX(DATA_MASTER!$L$2:$L$5000,MATCH($C3684,DATA_MASTER!$D$2:$D$5000,0)),""))</f>
        <v/>
      </c>
      <c r="G3684" s="24" t="n"/>
      <c r="H3684" s="24" t="n"/>
      <c r="I3684" s="30" t="n"/>
      <c r="J3684" s="23">
        <f>IF(OR($H3684="",$I3684=""),"",$H3684*$I3684)</f>
        <v/>
      </c>
      <c r="K3684" s="24" t="n"/>
      <c r="L3684" s="24" t="n"/>
      <c r="M3684" s="29" t="n"/>
      <c r="N3684" s="28" t="n"/>
      <c r="O3684" s="24" t="n"/>
      <c r="P3684" s="24" t="n"/>
      <c r="Q3684" s="24" t="n"/>
      <c r="R3684" s="24" t="n"/>
      <c r="S3684" s="22">
        <f>IF(AND($A3684="",$C3684=""),"",IF($A3684="","Thiếu mã đơn; ","")&amp;IF(COUNTIF($A$2:$A3684,$A3684)&gt;1,"Trùng mã đơn; ","")&amp;IF(ISNA(MATCH($C3684,DATA_MASTER!$D$2:$D$5000,0)),"SĐT chưa đăng ký hội viên; ","")&amp;IF(AND($L3684="Đã chuyển khoản",$M3684=""),"Thiếu ngày nhận CK; ",""))</f>
        <v/>
      </c>
      <c r="T3684" s="24" t="n"/>
    </row>
    <row r="3685" ht="14.25" customHeight="1" s="40">
      <c r="A3685" s="24" t="n"/>
      <c r="B3685" s="29" t="n"/>
      <c r="C3685" s="28" t="n"/>
      <c r="D3685" s="22">
        <f t="array" ref="D3685">IF($C3685="","",IFERROR(INDEX(DATA_MASTER!$C$2:$C$5000,MATCH($C3685,DATA_MASTER!$D$2:$D$5000,0)),""))</f>
        <v/>
      </c>
      <c r="E3685" s="22">
        <f t="array" ref="E3685">IF($C3685="","",IFERROR(INDEX(DATA_MASTER!$I$2:$I$5000,MATCH($C3685,DATA_MASTER!$D$2:$D$5000,0)),""))</f>
        <v/>
      </c>
      <c r="F3685" s="22">
        <f t="array" ref="F3685">IF($C3685="","",IFERROR(INDEX(DATA_MASTER!$L$2:$L$5000,MATCH($C3685,DATA_MASTER!$D$2:$D$5000,0)),""))</f>
        <v/>
      </c>
      <c r="G3685" s="24" t="n"/>
      <c r="H3685" s="24" t="n"/>
      <c r="I3685" s="30" t="n"/>
      <c r="J3685" s="23">
        <f>IF(OR($H3685="",$I3685=""),"",$H3685*$I3685)</f>
        <v/>
      </c>
      <c r="K3685" s="24" t="n"/>
      <c r="L3685" s="24" t="n"/>
      <c r="M3685" s="29" t="n"/>
      <c r="N3685" s="28" t="n"/>
      <c r="O3685" s="24" t="n"/>
      <c r="P3685" s="24" t="n"/>
      <c r="Q3685" s="24" t="n"/>
      <c r="R3685" s="24" t="n"/>
      <c r="S3685" s="22">
        <f>IF(AND($A3685="",$C3685=""),"",IF($A3685="","Thiếu mã đơn; ","")&amp;IF(COUNTIF($A$2:$A3685,$A3685)&gt;1,"Trùng mã đơn; ","")&amp;IF(ISNA(MATCH($C3685,DATA_MASTER!$D$2:$D$5000,0)),"SĐT chưa đăng ký hội viên; ","")&amp;IF(AND($L3685="Đã chuyển khoản",$M3685=""),"Thiếu ngày nhận CK; ",""))</f>
        <v/>
      </c>
      <c r="T3685" s="24" t="n"/>
    </row>
    <row r="3686" ht="14.25" customHeight="1" s="40">
      <c r="A3686" s="24" t="n"/>
      <c r="B3686" s="29" t="n"/>
      <c r="C3686" s="28" t="n"/>
      <c r="D3686" s="22">
        <f t="array" ref="D3686">IF($C3686="","",IFERROR(INDEX(DATA_MASTER!$C$2:$C$5000,MATCH($C3686,DATA_MASTER!$D$2:$D$5000,0)),""))</f>
        <v/>
      </c>
      <c r="E3686" s="22">
        <f t="array" ref="E3686">IF($C3686="","",IFERROR(INDEX(DATA_MASTER!$I$2:$I$5000,MATCH($C3686,DATA_MASTER!$D$2:$D$5000,0)),""))</f>
        <v/>
      </c>
      <c r="F3686" s="22">
        <f t="array" ref="F3686">IF($C3686="","",IFERROR(INDEX(DATA_MASTER!$L$2:$L$5000,MATCH($C3686,DATA_MASTER!$D$2:$D$5000,0)),""))</f>
        <v/>
      </c>
      <c r="G3686" s="24" t="n"/>
      <c r="H3686" s="24" t="n"/>
      <c r="I3686" s="30" t="n"/>
      <c r="J3686" s="23">
        <f>IF(OR($H3686="",$I3686=""),"",$H3686*$I3686)</f>
        <v/>
      </c>
      <c r="K3686" s="24" t="n"/>
      <c r="L3686" s="24" t="n"/>
      <c r="M3686" s="29" t="n"/>
      <c r="N3686" s="28" t="n"/>
      <c r="O3686" s="24" t="n"/>
      <c r="P3686" s="24" t="n"/>
      <c r="Q3686" s="24" t="n"/>
      <c r="R3686" s="24" t="n"/>
      <c r="S3686" s="22">
        <f>IF(AND($A3686="",$C3686=""),"",IF($A3686="","Thiếu mã đơn; ","")&amp;IF(COUNTIF($A$2:$A3686,$A3686)&gt;1,"Trùng mã đơn; ","")&amp;IF(ISNA(MATCH($C3686,DATA_MASTER!$D$2:$D$5000,0)),"SĐT chưa đăng ký hội viên; ","")&amp;IF(AND($L3686="Đã chuyển khoản",$M3686=""),"Thiếu ngày nhận CK; ",""))</f>
        <v/>
      </c>
      <c r="T3686" s="24" t="n"/>
    </row>
    <row r="3687" ht="14.25" customHeight="1" s="40">
      <c r="A3687" s="24" t="n"/>
      <c r="B3687" s="29" t="n"/>
      <c r="C3687" s="28" t="n"/>
      <c r="D3687" s="22">
        <f t="array" ref="D3687">IF($C3687="","",IFERROR(INDEX(DATA_MASTER!$C$2:$C$5000,MATCH($C3687,DATA_MASTER!$D$2:$D$5000,0)),""))</f>
        <v/>
      </c>
      <c r="E3687" s="22">
        <f t="array" ref="E3687">IF($C3687="","",IFERROR(INDEX(DATA_MASTER!$I$2:$I$5000,MATCH($C3687,DATA_MASTER!$D$2:$D$5000,0)),""))</f>
        <v/>
      </c>
      <c r="F3687" s="22">
        <f t="array" ref="F3687">IF($C3687="","",IFERROR(INDEX(DATA_MASTER!$L$2:$L$5000,MATCH($C3687,DATA_MASTER!$D$2:$D$5000,0)),""))</f>
        <v/>
      </c>
      <c r="G3687" s="24" t="n"/>
      <c r="H3687" s="24" t="n"/>
      <c r="I3687" s="30" t="n"/>
      <c r="J3687" s="23">
        <f>IF(OR($H3687="",$I3687=""),"",$H3687*$I3687)</f>
        <v/>
      </c>
      <c r="K3687" s="24" t="n"/>
      <c r="L3687" s="24" t="n"/>
      <c r="M3687" s="29" t="n"/>
      <c r="N3687" s="28" t="n"/>
      <c r="O3687" s="24" t="n"/>
      <c r="P3687" s="24" t="n"/>
      <c r="Q3687" s="24" t="n"/>
      <c r="R3687" s="24" t="n"/>
      <c r="S3687" s="22">
        <f>IF(AND($A3687="",$C3687=""),"",IF($A3687="","Thiếu mã đơn; ","")&amp;IF(COUNTIF($A$2:$A3687,$A3687)&gt;1,"Trùng mã đơn; ","")&amp;IF(ISNA(MATCH($C3687,DATA_MASTER!$D$2:$D$5000,0)),"SĐT chưa đăng ký hội viên; ","")&amp;IF(AND($L3687="Đã chuyển khoản",$M3687=""),"Thiếu ngày nhận CK; ",""))</f>
        <v/>
      </c>
      <c r="T3687" s="24" t="n"/>
    </row>
    <row r="3688" ht="14.25" customHeight="1" s="40">
      <c r="A3688" s="24" t="n"/>
      <c r="B3688" s="29" t="n"/>
      <c r="C3688" s="28" t="n"/>
      <c r="D3688" s="22">
        <f t="array" ref="D3688">IF($C3688="","",IFERROR(INDEX(DATA_MASTER!$C$2:$C$5000,MATCH($C3688,DATA_MASTER!$D$2:$D$5000,0)),""))</f>
        <v/>
      </c>
      <c r="E3688" s="22">
        <f t="array" ref="E3688">IF($C3688="","",IFERROR(INDEX(DATA_MASTER!$I$2:$I$5000,MATCH($C3688,DATA_MASTER!$D$2:$D$5000,0)),""))</f>
        <v/>
      </c>
      <c r="F3688" s="22">
        <f t="array" ref="F3688">IF($C3688="","",IFERROR(INDEX(DATA_MASTER!$L$2:$L$5000,MATCH($C3688,DATA_MASTER!$D$2:$D$5000,0)),""))</f>
        <v/>
      </c>
      <c r="G3688" s="24" t="n"/>
      <c r="H3688" s="24" t="n"/>
      <c r="I3688" s="30" t="n"/>
      <c r="J3688" s="23">
        <f>IF(OR($H3688="",$I3688=""),"",$H3688*$I3688)</f>
        <v/>
      </c>
      <c r="K3688" s="24" t="n"/>
      <c r="L3688" s="24" t="n"/>
      <c r="M3688" s="29" t="n"/>
      <c r="N3688" s="28" t="n"/>
      <c r="O3688" s="24" t="n"/>
      <c r="P3688" s="24" t="n"/>
      <c r="Q3688" s="24" t="n"/>
      <c r="R3688" s="24" t="n"/>
      <c r="S3688" s="22">
        <f>IF(AND($A3688="",$C3688=""),"",IF($A3688="","Thiếu mã đơn; ","")&amp;IF(COUNTIF($A$2:$A3688,$A3688)&gt;1,"Trùng mã đơn; ","")&amp;IF(ISNA(MATCH($C3688,DATA_MASTER!$D$2:$D$5000,0)),"SĐT chưa đăng ký hội viên; ","")&amp;IF(AND($L3688="Đã chuyển khoản",$M3688=""),"Thiếu ngày nhận CK; ",""))</f>
        <v/>
      </c>
      <c r="T3688" s="24" t="n"/>
    </row>
    <row r="3689" ht="14.25" customHeight="1" s="40">
      <c r="A3689" s="24" t="n"/>
      <c r="B3689" s="29" t="n"/>
      <c r="C3689" s="28" t="n"/>
      <c r="D3689" s="22">
        <f t="array" ref="D3689">IF($C3689="","",IFERROR(INDEX(DATA_MASTER!$C$2:$C$5000,MATCH($C3689,DATA_MASTER!$D$2:$D$5000,0)),""))</f>
        <v/>
      </c>
      <c r="E3689" s="22">
        <f t="array" ref="E3689">IF($C3689="","",IFERROR(INDEX(DATA_MASTER!$I$2:$I$5000,MATCH($C3689,DATA_MASTER!$D$2:$D$5000,0)),""))</f>
        <v/>
      </c>
      <c r="F3689" s="22">
        <f t="array" ref="F3689">IF($C3689="","",IFERROR(INDEX(DATA_MASTER!$L$2:$L$5000,MATCH($C3689,DATA_MASTER!$D$2:$D$5000,0)),""))</f>
        <v/>
      </c>
      <c r="G3689" s="24" t="n"/>
      <c r="H3689" s="24" t="n"/>
      <c r="I3689" s="30" t="n"/>
      <c r="J3689" s="23">
        <f>IF(OR($H3689="",$I3689=""),"",$H3689*$I3689)</f>
        <v/>
      </c>
      <c r="K3689" s="24" t="n"/>
      <c r="L3689" s="24" t="n"/>
      <c r="M3689" s="29" t="n"/>
      <c r="N3689" s="28" t="n"/>
      <c r="O3689" s="24" t="n"/>
      <c r="P3689" s="24" t="n"/>
      <c r="Q3689" s="24" t="n"/>
      <c r="R3689" s="24" t="n"/>
      <c r="S3689" s="22">
        <f>IF(AND($A3689="",$C3689=""),"",IF($A3689="","Thiếu mã đơn; ","")&amp;IF(COUNTIF($A$2:$A3689,$A3689)&gt;1,"Trùng mã đơn; ","")&amp;IF(ISNA(MATCH($C3689,DATA_MASTER!$D$2:$D$5000,0)),"SĐT chưa đăng ký hội viên; ","")&amp;IF(AND($L3689="Đã chuyển khoản",$M3689=""),"Thiếu ngày nhận CK; ",""))</f>
        <v/>
      </c>
      <c r="T3689" s="24" t="n"/>
    </row>
    <row r="3690" ht="14.25" customHeight="1" s="40">
      <c r="A3690" s="24" t="n"/>
      <c r="B3690" s="29" t="n"/>
      <c r="C3690" s="28" t="n"/>
      <c r="D3690" s="22">
        <f t="array" ref="D3690">IF($C3690="","",IFERROR(INDEX(DATA_MASTER!$C$2:$C$5000,MATCH($C3690,DATA_MASTER!$D$2:$D$5000,0)),""))</f>
        <v/>
      </c>
      <c r="E3690" s="22">
        <f t="array" ref="E3690">IF($C3690="","",IFERROR(INDEX(DATA_MASTER!$I$2:$I$5000,MATCH($C3690,DATA_MASTER!$D$2:$D$5000,0)),""))</f>
        <v/>
      </c>
      <c r="F3690" s="22">
        <f t="array" ref="F3690">IF($C3690="","",IFERROR(INDEX(DATA_MASTER!$L$2:$L$5000,MATCH($C3690,DATA_MASTER!$D$2:$D$5000,0)),""))</f>
        <v/>
      </c>
      <c r="G3690" s="24" t="n"/>
      <c r="H3690" s="24" t="n"/>
      <c r="I3690" s="30" t="n"/>
      <c r="J3690" s="23">
        <f>IF(OR($H3690="",$I3690=""),"",$H3690*$I3690)</f>
        <v/>
      </c>
      <c r="K3690" s="24" t="n"/>
      <c r="L3690" s="24" t="n"/>
      <c r="M3690" s="29" t="n"/>
      <c r="N3690" s="28" t="n"/>
      <c r="O3690" s="24" t="n"/>
      <c r="P3690" s="24" t="n"/>
      <c r="Q3690" s="24" t="n"/>
      <c r="R3690" s="24" t="n"/>
      <c r="S3690" s="22">
        <f>IF(AND($A3690="",$C3690=""),"",IF($A3690="","Thiếu mã đơn; ","")&amp;IF(COUNTIF($A$2:$A3690,$A3690)&gt;1,"Trùng mã đơn; ","")&amp;IF(ISNA(MATCH($C3690,DATA_MASTER!$D$2:$D$5000,0)),"SĐT chưa đăng ký hội viên; ","")&amp;IF(AND($L3690="Đã chuyển khoản",$M3690=""),"Thiếu ngày nhận CK; ",""))</f>
        <v/>
      </c>
      <c r="T3690" s="24" t="n"/>
    </row>
    <row r="3691" ht="14.25" customHeight="1" s="40">
      <c r="A3691" s="24" t="n"/>
      <c r="B3691" s="29" t="n"/>
      <c r="C3691" s="28" t="n"/>
      <c r="D3691" s="22">
        <f t="array" ref="D3691">IF($C3691="","",IFERROR(INDEX(DATA_MASTER!$C$2:$C$5000,MATCH($C3691,DATA_MASTER!$D$2:$D$5000,0)),""))</f>
        <v/>
      </c>
      <c r="E3691" s="22">
        <f t="array" ref="E3691">IF($C3691="","",IFERROR(INDEX(DATA_MASTER!$I$2:$I$5000,MATCH($C3691,DATA_MASTER!$D$2:$D$5000,0)),""))</f>
        <v/>
      </c>
      <c r="F3691" s="22">
        <f t="array" ref="F3691">IF($C3691="","",IFERROR(INDEX(DATA_MASTER!$L$2:$L$5000,MATCH($C3691,DATA_MASTER!$D$2:$D$5000,0)),""))</f>
        <v/>
      </c>
      <c r="G3691" s="24" t="n"/>
      <c r="H3691" s="24" t="n"/>
      <c r="I3691" s="30" t="n"/>
      <c r="J3691" s="23">
        <f>IF(OR($H3691="",$I3691=""),"",$H3691*$I3691)</f>
        <v/>
      </c>
      <c r="K3691" s="24" t="n"/>
      <c r="L3691" s="24" t="n"/>
      <c r="M3691" s="29" t="n"/>
      <c r="N3691" s="28" t="n"/>
      <c r="O3691" s="24" t="n"/>
      <c r="P3691" s="24" t="n"/>
      <c r="Q3691" s="24" t="n"/>
      <c r="R3691" s="24" t="n"/>
      <c r="S3691" s="22">
        <f>IF(AND($A3691="",$C3691=""),"",IF($A3691="","Thiếu mã đơn; ","")&amp;IF(COUNTIF($A$2:$A3691,$A3691)&gt;1,"Trùng mã đơn; ","")&amp;IF(ISNA(MATCH($C3691,DATA_MASTER!$D$2:$D$5000,0)),"SĐT chưa đăng ký hội viên; ","")&amp;IF(AND($L3691="Đã chuyển khoản",$M3691=""),"Thiếu ngày nhận CK; ",""))</f>
        <v/>
      </c>
      <c r="T3691" s="24" t="n"/>
    </row>
    <row r="3692" ht="14.25" customHeight="1" s="40">
      <c r="A3692" s="24" t="n"/>
      <c r="B3692" s="29" t="n"/>
      <c r="C3692" s="28" t="n"/>
      <c r="D3692" s="22">
        <f t="array" ref="D3692">IF($C3692="","",IFERROR(INDEX(DATA_MASTER!$C$2:$C$5000,MATCH($C3692,DATA_MASTER!$D$2:$D$5000,0)),""))</f>
        <v/>
      </c>
      <c r="E3692" s="22">
        <f t="array" ref="E3692">IF($C3692="","",IFERROR(INDEX(DATA_MASTER!$I$2:$I$5000,MATCH($C3692,DATA_MASTER!$D$2:$D$5000,0)),""))</f>
        <v/>
      </c>
      <c r="F3692" s="22">
        <f t="array" ref="F3692">IF($C3692="","",IFERROR(INDEX(DATA_MASTER!$L$2:$L$5000,MATCH($C3692,DATA_MASTER!$D$2:$D$5000,0)),""))</f>
        <v/>
      </c>
      <c r="G3692" s="24" t="n"/>
      <c r="H3692" s="24" t="n"/>
      <c r="I3692" s="30" t="n"/>
      <c r="J3692" s="23">
        <f>IF(OR($H3692="",$I3692=""),"",$H3692*$I3692)</f>
        <v/>
      </c>
      <c r="K3692" s="24" t="n"/>
      <c r="L3692" s="24" t="n"/>
      <c r="M3692" s="29" t="n"/>
      <c r="N3692" s="28" t="n"/>
      <c r="O3692" s="24" t="n"/>
      <c r="P3692" s="24" t="n"/>
      <c r="Q3692" s="24" t="n"/>
      <c r="R3692" s="24" t="n"/>
      <c r="S3692" s="22">
        <f>IF(AND($A3692="",$C3692=""),"",IF($A3692="","Thiếu mã đơn; ","")&amp;IF(COUNTIF($A$2:$A3692,$A3692)&gt;1,"Trùng mã đơn; ","")&amp;IF(ISNA(MATCH($C3692,DATA_MASTER!$D$2:$D$5000,0)),"SĐT chưa đăng ký hội viên; ","")&amp;IF(AND($L3692="Đã chuyển khoản",$M3692=""),"Thiếu ngày nhận CK; ",""))</f>
        <v/>
      </c>
      <c r="T3692" s="24" t="n"/>
    </row>
    <row r="3693" ht="14.25" customHeight="1" s="40">
      <c r="A3693" s="24" t="n"/>
      <c r="B3693" s="29" t="n"/>
      <c r="C3693" s="28" t="n"/>
      <c r="D3693" s="22">
        <f t="array" ref="D3693">IF($C3693="","",IFERROR(INDEX(DATA_MASTER!$C$2:$C$5000,MATCH($C3693,DATA_MASTER!$D$2:$D$5000,0)),""))</f>
        <v/>
      </c>
      <c r="E3693" s="22">
        <f t="array" ref="E3693">IF($C3693="","",IFERROR(INDEX(DATA_MASTER!$I$2:$I$5000,MATCH($C3693,DATA_MASTER!$D$2:$D$5000,0)),""))</f>
        <v/>
      </c>
      <c r="F3693" s="22">
        <f t="array" ref="F3693">IF($C3693="","",IFERROR(INDEX(DATA_MASTER!$L$2:$L$5000,MATCH($C3693,DATA_MASTER!$D$2:$D$5000,0)),""))</f>
        <v/>
      </c>
      <c r="G3693" s="24" t="n"/>
      <c r="H3693" s="24" t="n"/>
      <c r="I3693" s="30" t="n"/>
      <c r="J3693" s="23">
        <f>IF(OR($H3693="",$I3693=""),"",$H3693*$I3693)</f>
        <v/>
      </c>
      <c r="K3693" s="24" t="n"/>
      <c r="L3693" s="24" t="n"/>
      <c r="M3693" s="29" t="n"/>
      <c r="N3693" s="28" t="n"/>
      <c r="O3693" s="24" t="n"/>
      <c r="P3693" s="24" t="n"/>
      <c r="Q3693" s="24" t="n"/>
      <c r="R3693" s="24" t="n"/>
      <c r="S3693" s="22">
        <f>IF(AND($A3693="",$C3693=""),"",IF($A3693="","Thiếu mã đơn; ","")&amp;IF(COUNTIF($A$2:$A3693,$A3693)&gt;1,"Trùng mã đơn; ","")&amp;IF(ISNA(MATCH($C3693,DATA_MASTER!$D$2:$D$5000,0)),"SĐT chưa đăng ký hội viên; ","")&amp;IF(AND($L3693="Đã chuyển khoản",$M3693=""),"Thiếu ngày nhận CK; ",""))</f>
        <v/>
      </c>
      <c r="T3693" s="24" t="n"/>
    </row>
    <row r="3694" ht="14.25" customHeight="1" s="40">
      <c r="A3694" s="24" t="n"/>
      <c r="B3694" s="29" t="n"/>
      <c r="C3694" s="28" t="n"/>
      <c r="D3694" s="22">
        <f t="array" ref="D3694">IF($C3694="","",IFERROR(INDEX(DATA_MASTER!$C$2:$C$5000,MATCH($C3694,DATA_MASTER!$D$2:$D$5000,0)),""))</f>
        <v/>
      </c>
      <c r="E3694" s="22">
        <f t="array" ref="E3694">IF($C3694="","",IFERROR(INDEX(DATA_MASTER!$I$2:$I$5000,MATCH($C3694,DATA_MASTER!$D$2:$D$5000,0)),""))</f>
        <v/>
      </c>
      <c r="F3694" s="22">
        <f t="array" ref="F3694">IF($C3694="","",IFERROR(INDEX(DATA_MASTER!$L$2:$L$5000,MATCH($C3694,DATA_MASTER!$D$2:$D$5000,0)),""))</f>
        <v/>
      </c>
      <c r="G3694" s="24" t="n"/>
      <c r="H3694" s="24" t="n"/>
      <c r="I3694" s="30" t="n"/>
      <c r="J3694" s="23">
        <f>IF(OR($H3694="",$I3694=""),"",$H3694*$I3694)</f>
        <v/>
      </c>
      <c r="K3694" s="24" t="n"/>
      <c r="L3694" s="24" t="n"/>
      <c r="M3694" s="29" t="n"/>
      <c r="N3694" s="28" t="n"/>
      <c r="O3694" s="24" t="n"/>
      <c r="P3694" s="24" t="n"/>
      <c r="Q3694" s="24" t="n"/>
      <c r="R3694" s="24" t="n"/>
      <c r="S3694" s="22">
        <f>IF(AND($A3694="",$C3694=""),"",IF($A3694="","Thiếu mã đơn; ","")&amp;IF(COUNTIF($A$2:$A3694,$A3694)&gt;1,"Trùng mã đơn; ","")&amp;IF(ISNA(MATCH($C3694,DATA_MASTER!$D$2:$D$5000,0)),"SĐT chưa đăng ký hội viên; ","")&amp;IF(AND($L3694="Đã chuyển khoản",$M3694=""),"Thiếu ngày nhận CK; ",""))</f>
        <v/>
      </c>
      <c r="T3694" s="24" t="n"/>
    </row>
    <row r="3695" ht="14.25" customHeight="1" s="40">
      <c r="A3695" s="24" t="n"/>
      <c r="B3695" s="29" t="n"/>
      <c r="C3695" s="28" t="n"/>
      <c r="D3695" s="22">
        <f t="array" ref="D3695">IF($C3695="","",IFERROR(INDEX(DATA_MASTER!$C$2:$C$5000,MATCH($C3695,DATA_MASTER!$D$2:$D$5000,0)),""))</f>
        <v/>
      </c>
      <c r="E3695" s="22">
        <f t="array" ref="E3695">IF($C3695="","",IFERROR(INDEX(DATA_MASTER!$I$2:$I$5000,MATCH($C3695,DATA_MASTER!$D$2:$D$5000,0)),""))</f>
        <v/>
      </c>
      <c r="F3695" s="22">
        <f t="array" ref="F3695">IF($C3695="","",IFERROR(INDEX(DATA_MASTER!$L$2:$L$5000,MATCH($C3695,DATA_MASTER!$D$2:$D$5000,0)),""))</f>
        <v/>
      </c>
      <c r="G3695" s="24" t="n"/>
      <c r="H3695" s="24" t="n"/>
      <c r="I3695" s="30" t="n"/>
      <c r="J3695" s="23">
        <f>IF(OR($H3695="",$I3695=""),"",$H3695*$I3695)</f>
        <v/>
      </c>
      <c r="K3695" s="24" t="n"/>
      <c r="L3695" s="24" t="n"/>
      <c r="M3695" s="29" t="n"/>
      <c r="N3695" s="28" t="n"/>
      <c r="O3695" s="24" t="n"/>
      <c r="P3695" s="24" t="n"/>
      <c r="Q3695" s="24" t="n"/>
      <c r="R3695" s="24" t="n"/>
      <c r="S3695" s="22">
        <f>IF(AND($A3695="",$C3695=""),"",IF($A3695="","Thiếu mã đơn; ","")&amp;IF(COUNTIF($A$2:$A3695,$A3695)&gt;1,"Trùng mã đơn; ","")&amp;IF(ISNA(MATCH($C3695,DATA_MASTER!$D$2:$D$5000,0)),"SĐT chưa đăng ký hội viên; ","")&amp;IF(AND($L3695="Đã chuyển khoản",$M3695=""),"Thiếu ngày nhận CK; ",""))</f>
        <v/>
      </c>
      <c r="T3695" s="24" t="n"/>
    </row>
    <row r="3696" ht="14.25" customHeight="1" s="40">
      <c r="A3696" s="24" t="n"/>
      <c r="B3696" s="29" t="n"/>
      <c r="C3696" s="28" t="n"/>
      <c r="D3696" s="22">
        <f t="array" ref="D3696">IF($C3696="","",IFERROR(INDEX(DATA_MASTER!$C$2:$C$5000,MATCH($C3696,DATA_MASTER!$D$2:$D$5000,0)),""))</f>
        <v/>
      </c>
      <c r="E3696" s="22">
        <f t="array" ref="E3696">IF($C3696="","",IFERROR(INDEX(DATA_MASTER!$I$2:$I$5000,MATCH($C3696,DATA_MASTER!$D$2:$D$5000,0)),""))</f>
        <v/>
      </c>
      <c r="F3696" s="22">
        <f t="array" ref="F3696">IF($C3696="","",IFERROR(INDEX(DATA_MASTER!$L$2:$L$5000,MATCH($C3696,DATA_MASTER!$D$2:$D$5000,0)),""))</f>
        <v/>
      </c>
      <c r="G3696" s="24" t="n"/>
      <c r="H3696" s="24" t="n"/>
      <c r="I3696" s="30" t="n"/>
      <c r="J3696" s="23">
        <f>IF(OR($H3696="",$I3696=""),"",$H3696*$I3696)</f>
        <v/>
      </c>
      <c r="K3696" s="24" t="n"/>
      <c r="L3696" s="24" t="n"/>
      <c r="M3696" s="29" t="n"/>
      <c r="N3696" s="28" t="n"/>
      <c r="O3696" s="24" t="n"/>
      <c r="P3696" s="24" t="n"/>
      <c r="Q3696" s="24" t="n"/>
      <c r="R3696" s="24" t="n"/>
      <c r="S3696" s="22">
        <f>IF(AND($A3696="",$C3696=""),"",IF($A3696="","Thiếu mã đơn; ","")&amp;IF(COUNTIF($A$2:$A3696,$A3696)&gt;1,"Trùng mã đơn; ","")&amp;IF(ISNA(MATCH($C3696,DATA_MASTER!$D$2:$D$5000,0)),"SĐT chưa đăng ký hội viên; ","")&amp;IF(AND($L3696="Đã chuyển khoản",$M3696=""),"Thiếu ngày nhận CK; ",""))</f>
        <v/>
      </c>
      <c r="T3696" s="24" t="n"/>
    </row>
    <row r="3697" ht="14.25" customHeight="1" s="40">
      <c r="A3697" s="24" t="n"/>
      <c r="B3697" s="29" t="n"/>
      <c r="C3697" s="28" t="n"/>
      <c r="D3697" s="22">
        <f t="array" ref="D3697">IF($C3697="","",IFERROR(INDEX(DATA_MASTER!$C$2:$C$5000,MATCH($C3697,DATA_MASTER!$D$2:$D$5000,0)),""))</f>
        <v/>
      </c>
      <c r="E3697" s="22">
        <f t="array" ref="E3697">IF($C3697="","",IFERROR(INDEX(DATA_MASTER!$I$2:$I$5000,MATCH($C3697,DATA_MASTER!$D$2:$D$5000,0)),""))</f>
        <v/>
      </c>
      <c r="F3697" s="22">
        <f t="array" ref="F3697">IF($C3697="","",IFERROR(INDEX(DATA_MASTER!$L$2:$L$5000,MATCH($C3697,DATA_MASTER!$D$2:$D$5000,0)),""))</f>
        <v/>
      </c>
      <c r="G3697" s="24" t="n"/>
      <c r="H3697" s="24" t="n"/>
      <c r="I3697" s="30" t="n"/>
      <c r="J3697" s="23">
        <f>IF(OR($H3697="",$I3697=""),"",$H3697*$I3697)</f>
        <v/>
      </c>
      <c r="K3697" s="24" t="n"/>
      <c r="L3697" s="24" t="n"/>
      <c r="M3697" s="29" t="n"/>
      <c r="N3697" s="28" t="n"/>
      <c r="O3697" s="24" t="n"/>
      <c r="P3697" s="24" t="n"/>
      <c r="Q3697" s="24" t="n"/>
      <c r="R3697" s="24" t="n"/>
      <c r="S3697" s="22">
        <f>IF(AND($A3697="",$C3697=""),"",IF($A3697="","Thiếu mã đơn; ","")&amp;IF(COUNTIF($A$2:$A3697,$A3697)&gt;1,"Trùng mã đơn; ","")&amp;IF(ISNA(MATCH($C3697,DATA_MASTER!$D$2:$D$5000,0)),"SĐT chưa đăng ký hội viên; ","")&amp;IF(AND($L3697="Đã chuyển khoản",$M3697=""),"Thiếu ngày nhận CK; ",""))</f>
        <v/>
      </c>
      <c r="T3697" s="24" t="n"/>
    </row>
    <row r="3698" ht="14.25" customHeight="1" s="40">
      <c r="A3698" s="24" t="n"/>
      <c r="B3698" s="29" t="n"/>
      <c r="C3698" s="28" t="n"/>
      <c r="D3698" s="22">
        <f t="array" ref="D3698">IF($C3698="","",IFERROR(INDEX(DATA_MASTER!$C$2:$C$5000,MATCH($C3698,DATA_MASTER!$D$2:$D$5000,0)),""))</f>
        <v/>
      </c>
      <c r="E3698" s="22">
        <f t="array" ref="E3698">IF($C3698="","",IFERROR(INDEX(DATA_MASTER!$I$2:$I$5000,MATCH($C3698,DATA_MASTER!$D$2:$D$5000,0)),""))</f>
        <v/>
      </c>
      <c r="F3698" s="22">
        <f t="array" ref="F3698">IF($C3698="","",IFERROR(INDEX(DATA_MASTER!$L$2:$L$5000,MATCH($C3698,DATA_MASTER!$D$2:$D$5000,0)),""))</f>
        <v/>
      </c>
      <c r="G3698" s="24" t="n"/>
      <c r="H3698" s="24" t="n"/>
      <c r="I3698" s="30" t="n"/>
      <c r="J3698" s="23">
        <f>IF(OR($H3698="",$I3698=""),"",$H3698*$I3698)</f>
        <v/>
      </c>
      <c r="K3698" s="24" t="n"/>
      <c r="L3698" s="24" t="n"/>
      <c r="M3698" s="29" t="n"/>
      <c r="N3698" s="28" t="n"/>
      <c r="O3698" s="24" t="n"/>
      <c r="P3698" s="24" t="n"/>
      <c r="Q3698" s="24" t="n"/>
      <c r="R3698" s="24" t="n"/>
      <c r="S3698" s="22">
        <f>IF(AND($A3698="",$C3698=""),"",IF($A3698="","Thiếu mã đơn; ","")&amp;IF(COUNTIF($A$2:$A3698,$A3698)&gt;1,"Trùng mã đơn; ","")&amp;IF(ISNA(MATCH($C3698,DATA_MASTER!$D$2:$D$5000,0)),"SĐT chưa đăng ký hội viên; ","")&amp;IF(AND($L3698="Đã chuyển khoản",$M3698=""),"Thiếu ngày nhận CK; ",""))</f>
        <v/>
      </c>
      <c r="T3698" s="24" t="n"/>
    </row>
    <row r="3699" ht="14.25" customHeight="1" s="40">
      <c r="A3699" s="24" t="n"/>
      <c r="B3699" s="29" t="n"/>
      <c r="C3699" s="28" t="n"/>
      <c r="D3699" s="22">
        <f t="array" ref="D3699">IF($C3699="","",IFERROR(INDEX(DATA_MASTER!$C$2:$C$5000,MATCH($C3699,DATA_MASTER!$D$2:$D$5000,0)),""))</f>
        <v/>
      </c>
      <c r="E3699" s="22">
        <f t="array" ref="E3699">IF($C3699="","",IFERROR(INDEX(DATA_MASTER!$I$2:$I$5000,MATCH($C3699,DATA_MASTER!$D$2:$D$5000,0)),""))</f>
        <v/>
      </c>
      <c r="F3699" s="22">
        <f t="array" ref="F3699">IF($C3699="","",IFERROR(INDEX(DATA_MASTER!$L$2:$L$5000,MATCH($C3699,DATA_MASTER!$D$2:$D$5000,0)),""))</f>
        <v/>
      </c>
      <c r="G3699" s="24" t="n"/>
      <c r="H3699" s="24" t="n"/>
      <c r="I3699" s="30" t="n"/>
      <c r="J3699" s="23">
        <f>IF(OR($H3699="",$I3699=""),"",$H3699*$I3699)</f>
        <v/>
      </c>
      <c r="K3699" s="24" t="n"/>
      <c r="L3699" s="24" t="n"/>
      <c r="M3699" s="29" t="n"/>
      <c r="N3699" s="28" t="n"/>
      <c r="O3699" s="24" t="n"/>
      <c r="P3699" s="24" t="n"/>
      <c r="Q3699" s="24" t="n"/>
      <c r="R3699" s="24" t="n"/>
      <c r="S3699" s="22">
        <f>IF(AND($A3699="",$C3699=""),"",IF($A3699="","Thiếu mã đơn; ","")&amp;IF(COUNTIF($A$2:$A3699,$A3699)&gt;1,"Trùng mã đơn; ","")&amp;IF(ISNA(MATCH($C3699,DATA_MASTER!$D$2:$D$5000,0)),"SĐT chưa đăng ký hội viên; ","")&amp;IF(AND($L3699="Đã chuyển khoản",$M3699=""),"Thiếu ngày nhận CK; ",""))</f>
        <v/>
      </c>
      <c r="T3699" s="24" t="n"/>
    </row>
    <row r="3700" ht="14.25" customHeight="1" s="40">
      <c r="A3700" s="24" t="n"/>
      <c r="B3700" s="29" t="n"/>
      <c r="C3700" s="28" t="n"/>
      <c r="D3700" s="22">
        <f t="array" ref="D3700">IF($C3700="","",IFERROR(INDEX(DATA_MASTER!$C$2:$C$5000,MATCH($C3700,DATA_MASTER!$D$2:$D$5000,0)),""))</f>
        <v/>
      </c>
      <c r="E3700" s="22">
        <f t="array" ref="E3700">IF($C3700="","",IFERROR(INDEX(DATA_MASTER!$I$2:$I$5000,MATCH($C3700,DATA_MASTER!$D$2:$D$5000,0)),""))</f>
        <v/>
      </c>
      <c r="F3700" s="22">
        <f t="array" ref="F3700">IF($C3700="","",IFERROR(INDEX(DATA_MASTER!$L$2:$L$5000,MATCH($C3700,DATA_MASTER!$D$2:$D$5000,0)),""))</f>
        <v/>
      </c>
      <c r="G3700" s="24" t="n"/>
      <c r="H3700" s="24" t="n"/>
      <c r="I3700" s="30" t="n"/>
      <c r="J3700" s="23">
        <f>IF(OR($H3700="",$I3700=""),"",$H3700*$I3700)</f>
        <v/>
      </c>
      <c r="K3700" s="24" t="n"/>
      <c r="L3700" s="24" t="n"/>
      <c r="M3700" s="29" t="n"/>
      <c r="N3700" s="28" t="n"/>
      <c r="O3700" s="24" t="n"/>
      <c r="P3700" s="24" t="n"/>
      <c r="Q3700" s="24" t="n"/>
      <c r="R3700" s="24" t="n"/>
      <c r="S3700" s="22">
        <f>IF(AND($A3700="",$C3700=""),"",IF($A3700="","Thiếu mã đơn; ","")&amp;IF(COUNTIF($A$2:$A3700,$A3700)&gt;1,"Trùng mã đơn; ","")&amp;IF(ISNA(MATCH($C3700,DATA_MASTER!$D$2:$D$5000,0)),"SĐT chưa đăng ký hội viên; ","")&amp;IF(AND($L3700="Đã chuyển khoản",$M3700=""),"Thiếu ngày nhận CK; ",""))</f>
        <v/>
      </c>
      <c r="T3700" s="24" t="n"/>
    </row>
    <row r="3701" ht="14.25" customHeight="1" s="40">
      <c r="A3701" s="24" t="n"/>
      <c r="B3701" s="29" t="n"/>
      <c r="C3701" s="28" t="n"/>
      <c r="D3701" s="22">
        <f t="array" ref="D3701">IF($C3701="","",IFERROR(INDEX(DATA_MASTER!$C$2:$C$5000,MATCH($C3701,DATA_MASTER!$D$2:$D$5000,0)),""))</f>
        <v/>
      </c>
      <c r="E3701" s="22">
        <f t="array" ref="E3701">IF($C3701="","",IFERROR(INDEX(DATA_MASTER!$I$2:$I$5000,MATCH($C3701,DATA_MASTER!$D$2:$D$5000,0)),""))</f>
        <v/>
      </c>
      <c r="F3701" s="22">
        <f t="array" ref="F3701">IF($C3701="","",IFERROR(INDEX(DATA_MASTER!$L$2:$L$5000,MATCH($C3701,DATA_MASTER!$D$2:$D$5000,0)),""))</f>
        <v/>
      </c>
      <c r="G3701" s="24" t="n"/>
      <c r="H3701" s="24" t="n"/>
      <c r="I3701" s="30" t="n"/>
      <c r="J3701" s="23">
        <f>IF(OR($H3701="",$I3701=""),"",$H3701*$I3701)</f>
        <v/>
      </c>
      <c r="K3701" s="24" t="n"/>
      <c r="L3701" s="24" t="n"/>
      <c r="M3701" s="29" t="n"/>
      <c r="N3701" s="28" t="n"/>
      <c r="O3701" s="24" t="n"/>
      <c r="P3701" s="24" t="n"/>
      <c r="Q3701" s="24" t="n"/>
      <c r="R3701" s="24" t="n"/>
      <c r="S3701" s="22">
        <f>IF(AND($A3701="",$C3701=""),"",IF($A3701="","Thiếu mã đơn; ","")&amp;IF(COUNTIF($A$2:$A3701,$A3701)&gt;1,"Trùng mã đơn; ","")&amp;IF(ISNA(MATCH($C3701,DATA_MASTER!$D$2:$D$5000,0)),"SĐT chưa đăng ký hội viên; ","")&amp;IF(AND($L3701="Đã chuyển khoản",$M3701=""),"Thiếu ngày nhận CK; ",""))</f>
        <v/>
      </c>
      <c r="T3701" s="24" t="n"/>
    </row>
    <row r="3702" ht="14.25" customHeight="1" s="40">
      <c r="A3702" s="24" t="n"/>
      <c r="B3702" s="29" t="n"/>
      <c r="C3702" s="28" t="n"/>
      <c r="D3702" s="22">
        <f t="array" ref="D3702">IF($C3702="","",IFERROR(INDEX(DATA_MASTER!$C$2:$C$5000,MATCH($C3702,DATA_MASTER!$D$2:$D$5000,0)),""))</f>
        <v/>
      </c>
      <c r="E3702" s="22">
        <f t="array" ref="E3702">IF($C3702="","",IFERROR(INDEX(DATA_MASTER!$I$2:$I$5000,MATCH($C3702,DATA_MASTER!$D$2:$D$5000,0)),""))</f>
        <v/>
      </c>
      <c r="F3702" s="22">
        <f t="array" ref="F3702">IF($C3702="","",IFERROR(INDEX(DATA_MASTER!$L$2:$L$5000,MATCH($C3702,DATA_MASTER!$D$2:$D$5000,0)),""))</f>
        <v/>
      </c>
      <c r="G3702" s="24" t="n"/>
      <c r="H3702" s="24" t="n"/>
      <c r="I3702" s="30" t="n"/>
      <c r="J3702" s="23">
        <f>IF(OR($H3702="",$I3702=""),"",$H3702*$I3702)</f>
        <v/>
      </c>
      <c r="K3702" s="24" t="n"/>
      <c r="L3702" s="24" t="n"/>
      <c r="M3702" s="29" t="n"/>
      <c r="N3702" s="28" t="n"/>
      <c r="O3702" s="24" t="n"/>
      <c r="P3702" s="24" t="n"/>
      <c r="Q3702" s="24" t="n"/>
      <c r="R3702" s="24" t="n"/>
      <c r="S3702" s="22">
        <f>IF(AND($A3702="",$C3702=""),"",IF($A3702="","Thiếu mã đơn; ","")&amp;IF(COUNTIF($A$2:$A3702,$A3702)&gt;1,"Trùng mã đơn; ","")&amp;IF(ISNA(MATCH($C3702,DATA_MASTER!$D$2:$D$5000,0)),"SĐT chưa đăng ký hội viên; ","")&amp;IF(AND($L3702="Đã chuyển khoản",$M3702=""),"Thiếu ngày nhận CK; ",""))</f>
        <v/>
      </c>
      <c r="T3702" s="24" t="n"/>
    </row>
    <row r="3703" ht="14.25" customHeight="1" s="40">
      <c r="A3703" s="24" t="n"/>
      <c r="B3703" s="29" t="n"/>
      <c r="C3703" s="28" t="n"/>
      <c r="D3703" s="22">
        <f t="array" ref="D3703">IF($C3703="","",IFERROR(INDEX(DATA_MASTER!$C$2:$C$5000,MATCH($C3703,DATA_MASTER!$D$2:$D$5000,0)),""))</f>
        <v/>
      </c>
      <c r="E3703" s="22">
        <f t="array" ref="E3703">IF($C3703="","",IFERROR(INDEX(DATA_MASTER!$I$2:$I$5000,MATCH($C3703,DATA_MASTER!$D$2:$D$5000,0)),""))</f>
        <v/>
      </c>
      <c r="F3703" s="22">
        <f t="array" ref="F3703">IF($C3703="","",IFERROR(INDEX(DATA_MASTER!$L$2:$L$5000,MATCH($C3703,DATA_MASTER!$D$2:$D$5000,0)),""))</f>
        <v/>
      </c>
      <c r="G3703" s="24" t="n"/>
      <c r="H3703" s="24" t="n"/>
      <c r="I3703" s="30" t="n"/>
      <c r="J3703" s="23">
        <f>IF(OR($H3703="",$I3703=""),"",$H3703*$I3703)</f>
        <v/>
      </c>
      <c r="K3703" s="24" t="n"/>
      <c r="L3703" s="24" t="n"/>
      <c r="M3703" s="29" t="n"/>
      <c r="N3703" s="28" t="n"/>
      <c r="O3703" s="24" t="n"/>
      <c r="P3703" s="24" t="n"/>
      <c r="Q3703" s="24" t="n"/>
      <c r="R3703" s="24" t="n"/>
      <c r="S3703" s="22">
        <f>IF(AND($A3703="",$C3703=""),"",IF($A3703="","Thiếu mã đơn; ","")&amp;IF(COUNTIF($A$2:$A3703,$A3703)&gt;1,"Trùng mã đơn; ","")&amp;IF(ISNA(MATCH($C3703,DATA_MASTER!$D$2:$D$5000,0)),"SĐT chưa đăng ký hội viên; ","")&amp;IF(AND($L3703="Đã chuyển khoản",$M3703=""),"Thiếu ngày nhận CK; ",""))</f>
        <v/>
      </c>
      <c r="T3703" s="24" t="n"/>
    </row>
    <row r="3704" ht="14.25" customHeight="1" s="40">
      <c r="A3704" s="24" t="n"/>
      <c r="B3704" s="29" t="n"/>
      <c r="C3704" s="28" t="n"/>
      <c r="D3704" s="22">
        <f t="array" ref="D3704">IF($C3704="","",IFERROR(INDEX(DATA_MASTER!$C$2:$C$5000,MATCH($C3704,DATA_MASTER!$D$2:$D$5000,0)),""))</f>
        <v/>
      </c>
      <c r="E3704" s="22">
        <f t="array" ref="E3704">IF($C3704="","",IFERROR(INDEX(DATA_MASTER!$I$2:$I$5000,MATCH($C3704,DATA_MASTER!$D$2:$D$5000,0)),""))</f>
        <v/>
      </c>
      <c r="F3704" s="22">
        <f t="array" ref="F3704">IF($C3704="","",IFERROR(INDEX(DATA_MASTER!$L$2:$L$5000,MATCH($C3704,DATA_MASTER!$D$2:$D$5000,0)),""))</f>
        <v/>
      </c>
      <c r="G3704" s="24" t="n"/>
      <c r="H3704" s="24" t="n"/>
      <c r="I3704" s="30" t="n"/>
      <c r="J3704" s="23">
        <f>IF(OR($H3704="",$I3704=""),"",$H3704*$I3704)</f>
        <v/>
      </c>
      <c r="K3704" s="24" t="n"/>
      <c r="L3704" s="24" t="n"/>
      <c r="M3704" s="29" t="n"/>
      <c r="N3704" s="28" t="n"/>
      <c r="O3704" s="24" t="n"/>
      <c r="P3704" s="24" t="n"/>
      <c r="Q3704" s="24" t="n"/>
      <c r="R3704" s="24" t="n"/>
      <c r="S3704" s="22">
        <f>IF(AND($A3704="",$C3704=""),"",IF($A3704="","Thiếu mã đơn; ","")&amp;IF(COUNTIF($A$2:$A3704,$A3704)&gt;1,"Trùng mã đơn; ","")&amp;IF(ISNA(MATCH($C3704,DATA_MASTER!$D$2:$D$5000,0)),"SĐT chưa đăng ký hội viên; ","")&amp;IF(AND($L3704="Đã chuyển khoản",$M3704=""),"Thiếu ngày nhận CK; ",""))</f>
        <v/>
      </c>
      <c r="T3704" s="24" t="n"/>
    </row>
    <row r="3705" ht="14.25" customHeight="1" s="40">
      <c r="A3705" s="24" t="n"/>
      <c r="B3705" s="29" t="n"/>
      <c r="C3705" s="28" t="n"/>
      <c r="D3705" s="22">
        <f t="array" ref="D3705">IF($C3705="","",IFERROR(INDEX(DATA_MASTER!$C$2:$C$5000,MATCH($C3705,DATA_MASTER!$D$2:$D$5000,0)),""))</f>
        <v/>
      </c>
      <c r="E3705" s="22">
        <f t="array" ref="E3705">IF($C3705="","",IFERROR(INDEX(DATA_MASTER!$I$2:$I$5000,MATCH($C3705,DATA_MASTER!$D$2:$D$5000,0)),""))</f>
        <v/>
      </c>
      <c r="F3705" s="22">
        <f t="array" ref="F3705">IF($C3705="","",IFERROR(INDEX(DATA_MASTER!$L$2:$L$5000,MATCH($C3705,DATA_MASTER!$D$2:$D$5000,0)),""))</f>
        <v/>
      </c>
      <c r="G3705" s="24" t="n"/>
      <c r="H3705" s="24" t="n"/>
      <c r="I3705" s="30" t="n"/>
      <c r="J3705" s="23">
        <f>IF(OR($H3705="",$I3705=""),"",$H3705*$I3705)</f>
        <v/>
      </c>
      <c r="K3705" s="24" t="n"/>
      <c r="L3705" s="24" t="n"/>
      <c r="M3705" s="29" t="n"/>
      <c r="N3705" s="28" t="n"/>
      <c r="O3705" s="24" t="n"/>
      <c r="P3705" s="24" t="n"/>
      <c r="Q3705" s="24" t="n"/>
      <c r="R3705" s="24" t="n"/>
      <c r="S3705" s="22">
        <f>IF(AND($A3705="",$C3705=""),"",IF($A3705="","Thiếu mã đơn; ","")&amp;IF(COUNTIF($A$2:$A3705,$A3705)&gt;1,"Trùng mã đơn; ","")&amp;IF(ISNA(MATCH($C3705,DATA_MASTER!$D$2:$D$5000,0)),"SĐT chưa đăng ký hội viên; ","")&amp;IF(AND($L3705="Đã chuyển khoản",$M3705=""),"Thiếu ngày nhận CK; ",""))</f>
        <v/>
      </c>
      <c r="T3705" s="24" t="n"/>
    </row>
    <row r="3706" ht="14.25" customHeight="1" s="40">
      <c r="A3706" s="24" t="n"/>
      <c r="B3706" s="29" t="n"/>
      <c r="C3706" s="28" t="n"/>
      <c r="D3706" s="22">
        <f t="array" ref="D3706">IF($C3706="","",IFERROR(INDEX(DATA_MASTER!$C$2:$C$5000,MATCH($C3706,DATA_MASTER!$D$2:$D$5000,0)),""))</f>
        <v/>
      </c>
      <c r="E3706" s="22">
        <f t="array" ref="E3706">IF($C3706="","",IFERROR(INDEX(DATA_MASTER!$I$2:$I$5000,MATCH($C3706,DATA_MASTER!$D$2:$D$5000,0)),""))</f>
        <v/>
      </c>
      <c r="F3706" s="22">
        <f t="array" ref="F3706">IF($C3706="","",IFERROR(INDEX(DATA_MASTER!$L$2:$L$5000,MATCH($C3706,DATA_MASTER!$D$2:$D$5000,0)),""))</f>
        <v/>
      </c>
      <c r="G3706" s="24" t="n"/>
      <c r="H3706" s="24" t="n"/>
      <c r="I3706" s="30" t="n"/>
      <c r="J3706" s="23">
        <f>IF(OR($H3706="",$I3706=""),"",$H3706*$I3706)</f>
        <v/>
      </c>
      <c r="K3706" s="24" t="n"/>
      <c r="L3706" s="24" t="n"/>
      <c r="M3706" s="29" t="n"/>
      <c r="N3706" s="28" t="n"/>
      <c r="O3706" s="24" t="n"/>
      <c r="P3706" s="24" t="n"/>
      <c r="Q3706" s="24" t="n"/>
      <c r="R3706" s="24" t="n"/>
      <c r="S3706" s="22">
        <f>IF(AND($A3706="",$C3706=""),"",IF($A3706="","Thiếu mã đơn; ","")&amp;IF(COUNTIF($A$2:$A3706,$A3706)&gt;1,"Trùng mã đơn; ","")&amp;IF(ISNA(MATCH($C3706,DATA_MASTER!$D$2:$D$5000,0)),"SĐT chưa đăng ký hội viên; ","")&amp;IF(AND($L3706="Đã chuyển khoản",$M3706=""),"Thiếu ngày nhận CK; ",""))</f>
        <v/>
      </c>
      <c r="T3706" s="24" t="n"/>
    </row>
    <row r="3707" ht="14.25" customHeight="1" s="40">
      <c r="A3707" s="24" t="n"/>
      <c r="B3707" s="29" t="n"/>
      <c r="C3707" s="28" t="n"/>
      <c r="D3707" s="22">
        <f t="array" ref="D3707">IF($C3707="","",IFERROR(INDEX(DATA_MASTER!$C$2:$C$5000,MATCH($C3707,DATA_MASTER!$D$2:$D$5000,0)),""))</f>
        <v/>
      </c>
      <c r="E3707" s="22">
        <f t="array" ref="E3707">IF($C3707="","",IFERROR(INDEX(DATA_MASTER!$I$2:$I$5000,MATCH($C3707,DATA_MASTER!$D$2:$D$5000,0)),""))</f>
        <v/>
      </c>
      <c r="F3707" s="22">
        <f t="array" ref="F3707">IF($C3707="","",IFERROR(INDEX(DATA_MASTER!$L$2:$L$5000,MATCH($C3707,DATA_MASTER!$D$2:$D$5000,0)),""))</f>
        <v/>
      </c>
      <c r="G3707" s="24" t="n"/>
      <c r="H3707" s="24" t="n"/>
      <c r="I3707" s="30" t="n"/>
      <c r="J3707" s="23">
        <f>IF(OR($H3707="",$I3707=""),"",$H3707*$I3707)</f>
        <v/>
      </c>
      <c r="K3707" s="24" t="n"/>
      <c r="L3707" s="24" t="n"/>
      <c r="M3707" s="29" t="n"/>
      <c r="N3707" s="28" t="n"/>
      <c r="O3707" s="24" t="n"/>
      <c r="P3707" s="24" t="n"/>
      <c r="Q3707" s="24" t="n"/>
      <c r="R3707" s="24" t="n"/>
      <c r="S3707" s="22">
        <f>IF(AND($A3707="",$C3707=""),"",IF($A3707="","Thiếu mã đơn; ","")&amp;IF(COUNTIF($A$2:$A3707,$A3707)&gt;1,"Trùng mã đơn; ","")&amp;IF(ISNA(MATCH($C3707,DATA_MASTER!$D$2:$D$5000,0)),"SĐT chưa đăng ký hội viên; ","")&amp;IF(AND($L3707="Đã chuyển khoản",$M3707=""),"Thiếu ngày nhận CK; ",""))</f>
        <v/>
      </c>
      <c r="T3707" s="24" t="n"/>
    </row>
    <row r="3708" ht="14.25" customHeight="1" s="40">
      <c r="A3708" s="24" t="n"/>
      <c r="B3708" s="29" t="n"/>
      <c r="C3708" s="28" t="n"/>
      <c r="D3708" s="22">
        <f t="array" ref="D3708">IF($C3708="","",IFERROR(INDEX(DATA_MASTER!$C$2:$C$5000,MATCH($C3708,DATA_MASTER!$D$2:$D$5000,0)),""))</f>
        <v/>
      </c>
      <c r="E3708" s="22">
        <f t="array" ref="E3708">IF($C3708="","",IFERROR(INDEX(DATA_MASTER!$I$2:$I$5000,MATCH($C3708,DATA_MASTER!$D$2:$D$5000,0)),""))</f>
        <v/>
      </c>
      <c r="F3708" s="22">
        <f t="array" ref="F3708">IF($C3708="","",IFERROR(INDEX(DATA_MASTER!$L$2:$L$5000,MATCH($C3708,DATA_MASTER!$D$2:$D$5000,0)),""))</f>
        <v/>
      </c>
      <c r="G3708" s="24" t="n"/>
      <c r="H3708" s="24" t="n"/>
      <c r="I3708" s="30" t="n"/>
      <c r="J3708" s="23">
        <f>IF(OR($H3708="",$I3708=""),"",$H3708*$I3708)</f>
        <v/>
      </c>
      <c r="K3708" s="24" t="n"/>
      <c r="L3708" s="24" t="n"/>
      <c r="M3708" s="29" t="n"/>
      <c r="N3708" s="28" t="n"/>
      <c r="O3708" s="24" t="n"/>
      <c r="P3708" s="24" t="n"/>
      <c r="Q3708" s="24" t="n"/>
      <c r="R3708" s="24" t="n"/>
      <c r="S3708" s="22">
        <f>IF(AND($A3708="",$C3708=""),"",IF($A3708="","Thiếu mã đơn; ","")&amp;IF(COUNTIF($A$2:$A3708,$A3708)&gt;1,"Trùng mã đơn; ","")&amp;IF(ISNA(MATCH($C3708,DATA_MASTER!$D$2:$D$5000,0)),"SĐT chưa đăng ký hội viên; ","")&amp;IF(AND($L3708="Đã chuyển khoản",$M3708=""),"Thiếu ngày nhận CK; ",""))</f>
        <v/>
      </c>
      <c r="T3708" s="24" t="n"/>
    </row>
    <row r="3709" ht="14.25" customHeight="1" s="40">
      <c r="A3709" s="24" t="n"/>
      <c r="B3709" s="29" t="n"/>
      <c r="C3709" s="28" t="n"/>
      <c r="D3709" s="22">
        <f t="array" ref="D3709">IF($C3709="","",IFERROR(INDEX(DATA_MASTER!$C$2:$C$5000,MATCH($C3709,DATA_MASTER!$D$2:$D$5000,0)),""))</f>
        <v/>
      </c>
      <c r="E3709" s="22">
        <f t="array" ref="E3709">IF($C3709="","",IFERROR(INDEX(DATA_MASTER!$I$2:$I$5000,MATCH($C3709,DATA_MASTER!$D$2:$D$5000,0)),""))</f>
        <v/>
      </c>
      <c r="F3709" s="22">
        <f t="array" ref="F3709">IF($C3709="","",IFERROR(INDEX(DATA_MASTER!$L$2:$L$5000,MATCH($C3709,DATA_MASTER!$D$2:$D$5000,0)),""))</f>
        <v/>
      </c>
      <c r="G3709" s="24" t="n"/>
      <c r="H3709" s="24" t="n"/>
      <c r="I3709" s="30" t="n"/>
      <c r="J3709" s="23">
        <f>IF(OR($H3709="",$I3709=""),"",$H3709*$I3709)</f>
        <v/>
      </c>
      <c r="K3709" s="24" t="n"/>
      <c r="L3709" s="24" t="n"/>
      <c r="M3709" s="29" t="n"/>
      <c r="N3709" s="28" t="n"/>
      <c r="O3709" s="24" t="n"/>
      <c r="P3709" s="24" t="n"/>
      <c r="Q3709" s="24" t="n"/>
      <c r="R3709" s="24" t="n"/>
      <c r="S3709" s="22">
        <f>IF(AND($A3709="",$C3709=""),"",IF($A3709="","Thiếu mã đơn; ","")&amp;IF(COUNTIF($A$2:$A3709,$A3709)&gt;1,"Trùng mã đơn; ","")&amp;IF(ISNA(MATCH($C3709,DATA_MASTER!$D$2:$D$5000,0)),"SĐT chưa đăng ký hội viên; ","")&amp;IF(AND($L3709="Đã chuyển khoản",$M3709=""),"Thiếu ngày nhận CK; ",""))</f>
        <v/>
      </c>
      <c r="T3709" s="24" t="n"/>
    </row>
    <row r="3710" ht="14.25" customHeight="1" s="40">
      <c r="A3710" s="24" t="n"/>
      <c r="B3710" s="29" t="n"/>
      <c r="C3710" s="28" t="n"/>
      <c r="D3710" s="22">
        <f t="array" ref="D3710">IF($C3710="","",IFERROR(INDEX(DATA_MASTER!$C$2:$C$5000,MATCH($C3710,DATA_MASTER!$D$2:$D$5000,0)),""))</f>
        <v/>
      </c>
      <c r="E3710" s="22">
        <f t="array" ref="E3710">IF($C3710="","",IFERROR(INDEX(DATA_MASTER!$I$2:$I$5000,MATCH($C3710,DATA_MASTER!$D$2:$D$5000,0)),""))</f>
        <v/>
      </c>
      <c r="F3710" s="22">
        <f t="array" ref="F3710">IF($C3710="","",IFERROR(INDEX(DATA_MASTER!$L$2:$L$5000,MATCH($C3710,DATA_MASTER!$D$2:$D$5000,0)),""))</f>
        <v/>
      </c>
      <c r="G3710" s="24" t="n"/>
      <c r="H3710" s="24" t="n"/>
      <c r="I3710" s="30" t="n"/>
      <c r="J3710" s="23">
        <f>IF(OR($H3710="",$I3710=""),"",$H3710*$I3710)</f>
        <v/>
      </c>
      <c r="K3710" s="24" t="n"/>
      <c r="L3710" s="24" t="n"/>
      <c r="M3710" s="29" t="n"/>
      <c r="N3710" s="28" t="n"/>
      <c r="O3710" s="24" t="n"/>
      <c r="P3710" s="24" t="n"/>
      <c r="Q3710" s="24" t="n"/>
      <c r="R3710" s="24" t="n"/>
      <c r="S3710" s="22">
        <f>IF(AND($A3710="",$C3710=""),"",IF($A3710="","Thiếu mã đơn; ","")&amp;IF(COUNTIF($A$2:$A3710,$A3710)&gt;1,"Trùng mã đơn; ","")&amp;IF(ISNA(MATCH($C3710,DATA_MASTER!$D$2:$D$5000,0)),"SĐT chưa đăng ký hội viên; ","")&amp;IF(AND($L3710="Đã chuyển khoản",$M3710=""),"Thiếu ngày nhận CK; ",""))</f>
        <v/>
      </c>
      <c r="T3710" s="24" t="n"/>
    </row>
    <row r="3711" ht="14.25" customHeight="1" s="40">
      <c r="A3711" s="24" t="n"/>
      <c r="B3711" s="29" t="n"/>
      <c r="C3711" s="28" t="n"/>
      <c r="D3711" s="22">
        <f t="array" ref="D3711">IF($C3711="","",IFERROR(INDEX(DATA_MASTER!$C$2:$C$5000,MATCH($C3711,DATA_MASTER!$D$2:$D$5000,0)),""))</f>
        <v/>
      </c>
      <c r="E3711" s="22">
        <f t="array" ref="E3711">IF($C3711="","",IFERROR(INDEX(DATA_MASTER!$I$2:$I$5000,MATCH($C3711,DATA_MASTER!$D$2:$D$5000,0)),""))</f>
        <v/>
      </c>
      <c r="F3711" s="22">
        <f t="array" ref="F3711">IF($C3711="","",IFERROR(INDEX(DATA_MASTER!$L$2:$L$5000,MATCH($C3711,DATA_MASTER!$D$2:$D$5000,0)),""))</f>
        <v/>
      </c>
      <c r="G3711" s="24" t="n"/>
      <c r="H3711" s="24" t="n"/>
      <c r="I3711" s="30" t="n"/>
      <c r="J3711" s="23">
        <f>IF(OR($H3711="",$I3711=""),"",$H3711*$I3711)</f>
        <v/>
      </c>
      <c r="K3711" s="24" t="n"/>
      <c r="L3711" s="24" t="n"/>
      <c r="M3711" s="29" t="n"/>
      <c r="N3711" s="28" t="n"/>
      <c r="O3711" s="24" t="n"/>
      <c r="P3711" s="24" t="n"/>
      <c r="Q3711" s="24" t="n"/>
      <c r="R3711" s="24" t="n"/>
      <c r="S3711" s="22">
        <f>IF(AND($A3711="",$C3711=""),"",IF($A3711="","Thiếu mã đơn; ","")&amp;IF(COUNTIF($A$2:$A3711,$A3711)&gt;1,"Trùng mã đơn; ","")&amp;IF(ISNA(MATCH($C3711,DATA_MASTER!$D$2:$D$5000,0)),"SĐT chưa đăng ký hội viên; ","")&amp;IF(AND($L3711="Đã chuyển khoản",$M3711=""),"Thiếu ngày nhận CK; ",""))</f>
        <v/>
      </c>
      <c r="T3711" s="24" t="n"/>
    </row>
    <row r="3712" ht="14.25" customHeight="1" s="40">
      <c r="A3712" s="24" t="n"/>
      <c r="B3712" s="29" t="n"/>
      <c r="C3712" s="28" t="n"/>
      <c r="D3712" s="22">
        <f t="array" ref="D3712">IF($C3712="","",IFERROR(INDEX(DATA_MASTER!$C$2:$C$5000,MATCH($C3712,DATA_MASTER!$D$2:$D$5000,0)),""))</f>
        <v/>
      </c>
      <c r="E3712" s="22">
        <f t="array" ref="E3712">IF($C3712="","",IFERROR(INDEX(DATA_MASTER!$I$2:$I$5000,MATCH($C3712,DATA_MASTER!$D$2:$D$5000,0)),""))</f>
        <v/>
      </c>
      <c r="F3712" s="22">
        <f t="array" ref="F3712">IF($C3712="","",IFERROR(INDEX(DATA_MASTER!$L$2:$L$5000,MATCH($C3712,DATA_MASTER!$D$2:$D$5000,0)),""))</f>
        <v/>
      </c>
      <c r="G3712" s="24" t="n"/>
      <c r="H3712" s="24" t="n"/>
      <c r="I3712" s="30" t="n"/>
      <c r="J3712" s="23">
        <f>IF(OR($H3712="",$I3712=""),"",$H3712*$I3712)</f>
        <v/>
      </c>
      <c r="K3712" s="24" t="n"/>
      <c r="L3712" s="24" t="n"/>
      <c r="M3712" s="29" t="n"/>
      <c r="N3712" s="28" t="n"/>
      <c r="O3712" s="24" t="n"/>
      <c r="P3712" s="24" t="n"/>
      <c r="Q3712" s="24" t="n"/>
      <c r="R3712" s="24" t="n"/>
      <c r="S3712" s="22">
        <f>IF(AND($A3712="",$C3712=""),"",IF($A3712="","Thiếu mã đơn; ","")&amp;IF(COUNTIF($A$2:$A3712,$A3712)&gt;1,"Trùng mã đơn; ","")&amp;IF(ISNA(MATCH($C3712,DATA_MASTER!$D$2:$D$5000,0)),"SĐT chưa đăng ký hội viên; ","")&amp;IF(AND($L3712="Đã chuyển khoản",$M3712=""),"Thiếu ngày nhận CK; ",""))</f>
        <v/>
      </c>
      <c r="T3712" s="24" t="n"/>
    </row>
    <row r="3713" ht="14.25" customHeight="1" s="40">
      <c r="A3713" s="24" t="n"/>
      <c r="B3713" s="29" t="n"/>
      <c r="C3713" s="28" t="n"/>
      <c r="D3713" s="22">
        <f t="array" ref="D3713">IF($C3713="","",IFERROR(INDEX(DATA_MASTER!$C$2:$C$5000,MATCH($C3713,DATA_MASTER!$D$2:$D$5000,0)),""))</f>
        <v/>
      </c>
      <c r="E3713" s="22">
        <f t="array" ref="E3713">IF($C3713="","",IFERROR(INDEX(DATA_MASTER!$I$2:$I$5000,MATCH($C3713,DATA_MASTER!$D$2:$D$5000,0)),""))</f>
        <v/>
      </c>
      <c r="F3713" s="22">
        <f t="array" ref="F3713">IF($C3713="","",IFERROR(INDEX(DATA_MASTER!$L$2:$L$5000,MATCH($C3713,DATA_MASTER!$D$2:$D$5000,0)),""))</f>
        <v/>
      </c>
      <c r="G3713" s="24" t="n"/>
      <c r="H3713" s="24" t="n"/>
      <c r="I3713" s="30" t="n"/>
      <c r="J3713" s="23">
        <f>IF(OR($H3713="",$I3713=""),"",$H3713*$I3713)</f>
        <v/>
      </c>
      <c r="K3713" s="24" t="n"/>
      <c r="L3713" s="24" t="n"/>
      <c r="M3713" s="29" t="n"/>
      <c r="N3713" s="28" t="n"/>
      <c r="O3713" s="24" t="n"/>
      <c r="P3713" s="24" t="n"/>
      <c r="Q3713" s="24" t="n"/>
      <c r="R3713" s="24" t="n"/>
      <c r="S3713" s="22">
        <f>IF(AND($A3713="",$C3713=""),"",IF($A3713="","Thiếu mã đơn; ","")&amp;IF(COUNTIF($A$2:$A3713,$A3713)&gt;1,"Trùng mã đơn; ","")&amp;IF(ISNA(MATCH($C3713,DATA_MASTER!$D$2:$D$5000,0)),"SĐT chưa đăng ký hội viên; ","")&amp;IF(AND($L3713="Đã chuyển khoản",$M3713=""),"Thiếu ngày nhận CK; ",""))</f>
        <v/>
      </c>
      <c r="T3713" s="24" t="n"/>
    </row>
    <row r="3714" ht="14.25" customHeight="1" s="40">
      <c r="A3714" s="24" t="n"/>
      <c r="B3714" s="29" t="n"/>
      <c r="C3714" s="28" t="n"/>
      <c r="D3714" s="22">
        <f t="array" ref="D3714">IF($C3714="","",IFERROR(INDEX(DATA_MASTER!$C$2:$C$5000,MATCH($C3714,DATA_MASTER!$D$2:$D$5000,0)),""))</f>
        <v/>
      </c>
      <c r="E3714" s="22">
        <f t="array" ref="E3714">IF($C3714="","",IFERROR(INDEX(DATA_MASTER!$I$2:$I$5000,MATCH($C3714,DATA_MASTER!$D$2:$D$5000,0)),""))</f>
        <v/>
      </c>
      <c r="F3714" s="22">
        <f t="array" ref="F3714">IF($C3714="","",IFERROR(INDEX(DATA_MASTER!$L$2:$L$5000,MATCH($C3714,DATA_MASTER!$D$2:$D$5000,0)),""))</f>
        <v/>
      </c>
      <c r="G3714" s="24" t="n"/>
      <c r="H3714" s="24" t="n"/>
      <c r="I3714" s="30" t="n"/>
      <c r="J3714" s="23">
        <f>IF(OR($H3714="",$I3714=""),"",$H3714*$I3714)</f>
        <v/>
      </c>
      <c r="K3714" s="24" t="n"/>
      <c r="L3714" s="24" t="n"/>
      <c r="M3714" s="29" t="n"/>
      <c r="N3714" s="28" t="n"/>
      <c r="O3714" s="24" t="n"/>
      <c r="P3714" s="24" t="n"/>
      <c r="Q3714" s="24" t="n"/>
      <c r="R3714" s="24" t="n"/>
      <c r="S3714" s="22">
        <f>IF(AND($A3714="",$C3714=""),"",IF($A3714="","Thiếu mã đơn; ","")&amp;IF(COUNTIF($A$2:$A3714,$A3714)&gt;1,"Trùng mã đơn; ","")&amp;IF(ISNA(MATCH($C3714,DATA_MASTER!$D$2:$D$5000,0)),"SĐT chưa đăng ký hội viên; ","")&amp;IF(AND($L3714="Đã chuyển khoản",$M3714=""),"Thiếu ngày nhận CK; ",""))</f>
        <v/>
      </c>
      <c r="T3714" s="24" t="n"/>
    </row>
    <row r="3715" ht="14.25" customHeight="1" s="40">
      <c r="A3715" s="24" t="n"/>
      <c r="B3715" s="29" t="n"/>
      <c r="C3715" s="28" t="n"/>
      <c r="D3715" s="22">
        <f t="array" ref="D3715">IF($C3715="","",IFERROR(INDEX(DATA_MASTER!$C$2:$C$5000,MATCH($C3715,DATA_MASTER!$D$2:$D$5000,0)),""))</f>
        <v/>
      </c>
      <c r="E3715" s="22">
        <f t="array" ref="E3715">IF($C3715="","",IFERROR(INDEX(DATA_MASTER!$I$2:$I$5000,MATCH($C3715,DATA_MASTER!$D$2:$D$5000,0)),""))</f>
        <v/>
      </c>
      <c r="F3715" s="22">
        <f t="array" ref="F3715">IF($C3715="","",IFERROR(INDEX(DATA_MASTER!$L$2:$L$5000,MATCH($C3715,DATA_MASTER!$D$2:$D$5000,0)),""))</f>
        <v/>
      </c>
      <c r="G3715" s="24" t="n"/>
      <c r="H3715" s="24" t="n"/>
      <c r="I3715" s="30" t="n"/>
      <c r="J3715" s="23">
        <f>IF(OR($H3715="",$I3715=""),"",$H3715*$I3715)</f>
        <v/>
      </c>
      <c r="K3715" s="24" t="n"/>
      <c r="L3715" s="24" t="n"/>
      <c r="M3715" s="29" t="n"/>
      <c r="N3715" s="28" t="n"/>
      <c r="O3715" s="24" t="n"/>
      <c r="P3715" s="24" t="n"/>
      <c r="Q3715" s="24" t="n"/>
      <c r="R3715" s="24" t="n"/>
      <c r="S3715" s="22">
        <f>IF(AND($A3715="",$C3715=""),"",IF($A3715="","Thiếu mã đơn; ","")&amp;IF(COUNTIF($A$2:$A3715,$A3715)&gt;1,"Trùng mã đơn; ","")&amp;IF(ISNA(MATCH($C3715,DATA_MASTER!$D$2:$D$5000,0)),"SĐT chưa đăng ký hội viên; ","")&amp;IF(AND($L3715="Đã chuyển khoản",$M3715=""),"Thiếu ngày nhận CK; ",""))</f>
        <v/>
      </c>
      <c r="T3715" s="24" t="n"/>
    </row>
    <row r="3716" ht="14.25" customHeight="1" s="40">
      <c r="A3716" s="24" t="n"/>
      <c r="B3716" s="29" t="n"/>
      <c r="C3716" s="28" t="n"/>
      <c r="D3716" s="22">
        <f t="array" ref="D3716">IF($C3716="","",IFERROR(INDEX(DATA_MASTER!$C$2:$C$5000,MATCH($C3716,DATA_MASTER!$D$2:$D$5000,0)),""))</f>
        <v/>
      </c>
      <c r="E3716" s="22">
        <f t="array" ref="E3716">IF($C3716="","",IFERROR(INDEX(DATA_MASTER!$I$2:$I$5000,MATCH($C3716,DATA_MASTER!$D$2:$D$5000,0)),""))</f>
        <v/>
      </c>
      <c r="F3716" s="22">
        <f t="array" ref="F3716">IF($C3716="","",IFERROR(INDEX(DATA_MASTER!$L$2:$L$5000,MATCH($C3716,DATA_MASTER!$D$2:$D$5000,0)),""))</f>
        <v/>
      </c>
      <c r="G3716" s="24" t="n"/>
      <c r="H3716" s="24" t="n"/>
      <c r="I3716" s="30" t="n"/>
      <c r="J3716" s="23">
        <f>IF(OR($H3716="",$I3716=""),"",$H3716*$I3716)</f>
        <v/>
      </c>
      <c r="K3716" s="24" t="n"/>
      <c r="L3716" s="24" t="n"/>
      <c r="M3716" s="29" t="n"/>
      <c r="N3716" s="28" t="n"/>
      <c r="O3716" s="24" t="n"/>
      <c r="P3716" s="24" t="n"/>
      <c r="Q3716" s="24" t="n"/>
      <c r="R3716" s="24" t="n"/>
      <c r="S3716" s="22">
        <f>IF(AND($A3716="",$C3716=""),"",IF($A3716="","Thiếu mã đơn; ","")&amp;IF(COUNTIF($A$2:$A3716,$A3716)&gt;1,"Trùng mã đơn; ","")&amp;IF(ISNA(MATCH($C3716,DATA_MASTER!$D$2:$D$5000,0)),"SĐT chưa đăng ký hội viên; ","")&amp;IF(AND($L3716="Đã chuyển khoản",$M3716=""),"Thiếu ngày nhận CK; ",""))</f>
        <v/>
      </c>
      <c r="T3716" s="24" t="n"/>
    </row>
    <row r="3717" ht="14.25" customHeight="1" s="40">
      <c r="A3717" s="24" t="n"/>
      <c r="B3717" s="29" t="n"/>
      <c r="C3717" s="28" t="n"/>
      <c r="D3717" s="22">
        <f t="array" ref="D3717">IF($C3717="","",IFERROR(INDEX(DATA_MASTER!$C$2:$C$5000,MATCH($C3717,DATA_MASTER!$D$2:$D$5000,0)),""))</f>
        <v/>
      </c>
      <c r="E3717" s="22">
        <f t="array" ref="E3717">IF($C3717="","",IFERROR(INDEX(DATA_MASTER!$I$2:$I$5000,MATCH($C3717,DATA_MASTER!$D$2:$D$5000,0)),""))</f>
        <v/>
      </c>
      <c r="F3717" s="22">
        <f t="array" ref="F3717">IF($C3717="","",IFERROR(INDEX(DATA_MASTER!$L$2:$L$5000,MATCH($C3717,DATA_MASTER!$D$2:$D$5000,0)),""))</f>
        <v/>
      </c>
      <c r="G3717" s="24" t="n"/>
      <c r="H3717" s="24" t="n"/>
      <c r="I3717" s="30" t="n"/>
      <c r="J3717" s="23">
        <f>IF(OR($H3717="",$I3717=""),"",$H3717*$I3717)</f>
        <v/>
      </c>
      <c r="K3717" s="24" t="n"/>
      <c r="L3717" s="24" t="n"/>
      <c r="M3717" s="29" t="n"/>
      <c r="N3717" s="28" t="n"/>
      <c r="O3717" s="24" t="n"/>
      <c r="P3717" s="24" t="n"/>
      <c r="Q3717" s="24" t="n"/>
      <c r="R3717" s="24" t="n"/>
      <c r="S3717" s="22">
        <f>IF(AND($A3717="",$C3717=""),"",IF($A3717="","Thiếu mã đơn; ","")&amp;IF(COUNTIF($A$2:$A3717,$A3717)&gt;1,"Trùng mã đơn; ","")&amp;IF(ISNA(MATCH($C3717,DATA_MASTER!$D$2:$D$5000,0)),"SĐT chưa đăng ký hội viên; ","")&amp;IF(AND($L3717="Đã chuyển khoản",$M3717=""),"Thiếu ngày nhận CK; ",""))</f>
        <v/>
      </c>
      <c r="T3717" s="24" t="n"/>
    </row>
    <row r="3718" ht="14.25" customHeight="1" s="40">
      <c r="A3718" s="24" t="n"/>
      <c r="B3718" s="29" t="n"/>
      <c r="C3718" s="28" t="n"/>
      <c r="D3718" s="22">
        <f t="array" ref="D3718">IF($C3718="","",IFERROR(INDEX(DATA_MASTER!$C$2:$C$5000,MATCH($C3718,DATA_MASTER!$D$2:$D$5000,0)),""))</f>
        <v/>
      </c>
      <c r="E3718" s="22">
        <f t="array" ref="E3718">IF($C3718="","",IFERROR(INDEX(DATA_MASTER!$I$2:$I$5000,MATCH($C3718,DATA_MASTER!$D$2:$D$5000,0)),""))</f>
        <v/>
      </c>
      <c r="F3718" s="22">
        <f t="array" ref="F3718">IF($C3718="","",IFERROR(INDEX(DATA_MASTER!$L$2:$L$5000,MATCH($C3718,DATA_MASTER!$D$2:$D$5000,0)),""))</f>
        <v/>
      </c>
      <c r="G3718" s="24" t="n"/>
      <c r="H3718" s="24" t="n"/>
      <c r="I3718" s="30" t="n"/>
      <c r="J3718" s="23">
        <f>IF(OR($H3718="",$I3718=""),"",$H3718*$I3718)</f>
        <v/>
      </c>
      <c r="K3718" s="24" t="n"/>
      <c r="L3718" s="24" t="n"/>
      <c r="M3718" s="29" t="n"/>
      <c r="N3718" s="28" t="n"/>
      <c r="O3718" s="24" t="n"/>
      <c r="P3718" s="24" t="n"/>
      <c r="Q3718" s="24" t="n"/>
      <c r="R3718" s="24" t="n"/>
      <c r="S3718" s="22">
        <f>IF(AND($A3718="",$C3718=""),"",IF($A3718="","Thiếu mã đơn; ","")&amp;IF(COUNTIF($A$2:$A3718,$A3718)&gt;1,"Trùng mã đơn; ","")&amp;IF(ISNA(MATCH($C3718,DATA_MASTER!$D$2:$D$5000,0)),"SĐT chưa đăng ký hội viên; ","")&amp;IF(AND($L3718="Đã chuyển khoản",$M3718=""),"Thiếu ngày nhận CK; ",""))</f>
        <v/>
      </c>
      <c r="T3718" s="24" t="n"/>
    </row>
    <row r="3719" ht="14.25" customHeight="1" s="40">
      <c r="A3719" s="24" t="n"/>
      <c r="B3719" s="29" t="n"/>
      <c r="C3719" s="28" t="n"/>
      <c r="D3719" s="22">
        <f t="array" ref="D3719">IF($C3719="","",IFERROR(INDEX(DATA_MASTER!$C$2:$C$5000,MATCH($C3719,DATA_MASTER!$D$2:$D$5000,0)),""))</f>
        <v/>
      </c>
      <c r="E3719" s="22">
        <f t="array" ref="E3719">IF($C3719="","",IFERROR(INDEX(DATA_MASTER!$I$2:$I$5000,MATCH($C3719,DATA_MASTER!$D$2:$D$5000,0)),""))</f>
        <v/>
      </c>
      <c r="F3719" s="22">
        <f t="array" ref="F3719">IF($C3719="","",IFERROR(INDEX(DATA_MASTER!$L$2:$L$5000,MATCH($C3719,DATA_MASTER!$D$2:$D$5000,0)),""))</f>
        <v/>
      </c>
      <c r="G3719" s="24" t="n"/>
      <c r="H3719" s="24" t="n"/>
      <c r="I3719" s="30" t="n"/>
      <c r="J3719" s="23">
        <f>IF(OR($H3719="",$I3719=""),"",$H3719*$I3719)</f>
        <v/>
      </c>
      <c r="K3719" s="24" t="n"/>
      <c r="L3719" s="24" t="n"/>
      <c r="M3719" s="29" t="n"/>
      <c r="N3719" s="28" t="n"/>
      <c r="O3719" s="24" t="n"/>
      <c r="P3719" s="24" t="n"/>
      <c r="Q3719" s="24" t="n"/>
      <c r="R3719" s="24" t="n"/>
      <c r="S3719" s="22">
        <f>IF(AND($A3719="",$C3719=""),"",IF($A3719="","Thiếu mã đơn; ","")&amp;IF(COUNTIF($A$2:$A3719,$A3719)&gt;1,"Trùng mã đơn; ","")&amp;IF(ISNA(MATCH($C3719,DATA_MASTER!$D$2:$D$5000,0)),"SĐT chưa đăng ký hội viên; ","")&amp;IF(AND($L3719="Đã chuyển khoản",$M3719=""),"Thiếu ngày nhận CK; ",""))</f>
        <v/>
      </c>
      <c r="T3719" s="24" t="n"/>
    </row>
    <row r="3720" ht="14.25" customHeight="1" s="40">
      <c r="A3720" s="24" t="n"/>
      <c r="B3720" s="29" t="n"/>
      <c r="C3720" s="28" t="n"/>
      <c r="D3720" s="22">
        <f t="array" ref="D3720">IF($C3720="","",IFERROR(INDEX(DATA_MASTER!$C$2:$C$5000,MATCH($C3720,DATA_MASTER!$D$2:$D$5000,0)),""))</f>
        <v/>
      </c>
      <c r="E3720" s="22">
        <f t="array" ref="E3720">IF($C3720="","",IFERROR(INDEX(DATA_MASTER!$I$2:$I$5000,MATCH($C3720,DATA_MASTER!$D$2:$D$5000,0)),""))</f>
        <v/>
      </c>
      <c r="F3720" s="22">
        <f t="array" ref="F3720">IF($C3720="","",IFERROR(INDEX(DATA_MASTER!$L$2:$L$5000,MATCH($C3720,DATA_MASTER!$D$2:$D$5000,0)),""))</f>
        <v/>
      </c>
      <c r="G3720" s="24" t="n"/>
      <c r="H3720" s="24" t="n"/>
      <c r="I3720" s="30" t="n"/>
      <c r="J3720" s="23">
        <f>IF(OR($H3720="",$I3720=""),"",$H3720*$I3720)</f>
        <v/>
      </c>
      <c r="K3720" s="24" t="n"/>
      <c r="L3720" s="24" t="n"/>
      <c r="M3720" s="29" t="n"/>
      <c r="N3720" s="28" t="n"/>
      <c r="O3720" s="24" t="n"/>
      <c r="P3720" s="24" t="n"/>
      <c r="Q3720" s="24" t="n"/>
      <c r="R3720" s="24" t="n"/>
      <c r="S3720" s="22">
        <f>IF(AND($A3720="",$C3720=""),"",IF($A3720="","Thiếu mã đơn; ","")&amp;IF(COUNTIF($A$2:$A3720,$A3720)&gt;1,"Trùng mã đơn; ","")&amp;IF(ISNA(MATCH($C3720,DATA_MASTER!$D$2:$D$5000,0)),"SĐT chưa đăng ký hội viên; ","")&amp;IF(AND($L3720="Đã chuyển khoản",$M3720=""),"Thiếu ngày nhận CK; ",""))</f>
        <v/>
      </c>
      <c r="T3720" s="24" t="n"/>
    </row>
    <row r="3721" ht="14.25" customHeight="1" s="40">
      <c r="A3721" s="24" t="n"/>
      <c r="B3721" s="29" t="n"/>
      <c r="C3721" s="28" t="n"/>
      <c r="D3721" s="22">
        <f t="array" ref="D3721">IF($C3721="","",IFERROR(INDEX(DATA_MASTER!$C$2:$C$5000,MATCH($C3721,DATA_MASTER!$D$2:$D$5000,0)),""))</f>
        <v/>
      </c>
      <c r="E3721" s="22">
        <f t="array" ref="E3721">IF($C3721="","",IFERROR(INDEX(DATA_MASTER!$I$2:$I$5000,MATCH($C3721,DATA_MASTER!$D$2:$D$5000,0)),""))</f>
        <v/>
      </c>
      <c r="F3721" s="22">
        <f t="array" ref="F3721">IF($C3721="","",IFERROR(INDEX(DATA_MASTER!$L$2:$L$5000,MATCH($C3721,DATA_MASTER!$D$2:$D$5000,0)),""))</f>
        <v/>
      </c>
      <c r="G3721" s="24" t="n"/>
      <c r="H3721" s="24" t="n"/>
      <c r="I3721" s="30" t="n"/>
      <c r="J3721" s="23">
        <f>IF(OR($H3721="",$I3721=""),"",$H3721*$I3721)</f>
        <v/>
      </c>
      <c r="K3721" s="24" t="n"/>
      <c r="L3721" s="24" t="n"/>
      <c r="M3721" s="29" t="n"/>
      <c r="N3721" s="28" t="n"/>
      <c r="O3721" s="24" t="n"/>
      <c r="P3721" s="24" t="n"/>
      <c r="Q3721" s="24" t="n"/>
      <c r="R3721" s="24" t="n"/>
      <c r="S3721" s="22">
        <f>IF(AND($A3721="",$C3721=""),"",IF($A3721="","Thiếu mã đơn; ","")&amp;IF(COUNTIF($A$2:$A3721,$A3721)&gt;1,"Trùng mã đơn; ","")&amp;IF(ISNA(MATCH($C3721,DATA_MASTER!$D$2:$D$5000,0)),"SĐT chưa đăng ký hội viên; ","")&amp;IF(AND($L3721="Đã chuyển khoản",$M3721=""),"Thiếu ngày nhận CK; ",""))</f>
        <v/>
      </c>
      <c r="T3721" s="24" t="n"/>
    </row>
    <row r="3722" ht="14.25" customHeight="1" s="40">
      <c r="A3722" s="24" t="n"/>
      <c r="B3722" s="29" t="n"/>
      <c r="C3722" s="28" t="n"/>
      <c r="D3722" s="22">
        <f t="array" ref="D3722">IF($C3722="","",IFERROR(INDEX(DATA_MASTER!$C$2:$C$5000,MATCH($C3722,DATA_MASTER!$D$2:$D$5000,0)),""))</f>
        <v/>
      </c>
      <c r="E3722" s="22">
        <f t="array" ref="E3722">IF($C3722="","",IFERROR(INDEX(DATA_MASTER!$I$2:$I$5000,MATCH($C3722,DATA_MASTER!$D$2:$D$5000,0)),""))</f>
        <v/>
      </c>
      <c r="F3722" s="22">
        <f t="array" ref="F3722">IF($C3722="","",IFERROR(INDEX(DATA_MASTER!$L$2:$L$5000,MATCH($C3722,DATA_MASTER!$D$2:$D$5000,0)),""))</f>
        <v/>
      </c>
      <c r="G3722" s="24" t="n"/>
      <c r="H3722" s="24" t="n"/>
      <c r="I3722" s="30" t="n"/>
      <c r="J3722" s="23">
        <f>IF(OR($H3722="",$I3722=""),"",$H3722*$I3722)</f>
        <v/>
      </c>
      <c r="K3722" s="24" t="n"/>
      <c r="L3722" s="24" t="n"/>
      <c r="M3722" s="29" t="n"/>
      <c r="N3722" s="28" t="n"/>
      <c r="O3722" s="24" t="n"/>
      <c r="P3722" s="24" t="n"/>
      <c r="Q3722" s="24" t="n"/>
      <c r="R3722" s="24" t="n"/>
      <c r="S3722" s="22">
        <f>IF(AND($A3722="",$C3722=""),"",IF($A3722="","Thiếu mã đơn; ","")&amp;IF(COUNTIF($A$2:$A3722,$A3722)&gt;1,"Trùng mã đơn; ","")&amp;IF(ISNA(MATCH($C3722,DATA_MASTER!$D$2:$D$5000,0)),"SĐT chưa đăng ký hội viên; ","")&amp;IF(AND($L3722="Đã chuyển khoản",$M3722=""),"Thiếu ngày nhận CK; ",""))</f>
        <v/>
      </c>
      <c r="T3722" s="24" t="n"/>
    </row>
    <row r="3723" ht="14.25" customHeight="1" s="40">
      <c r="A3723" s="24" t="n"/>
      <c r="B3723" s="29" t="n"/>
      <c r="C3723" s="28" t="n"/>
      <c r="D3723" s="22">
        <f t="array" ref="D3723">IF($C3723="","",IFERROR(INDEX(DATA_MASTER!$C$2:$C$5000,MATCH($C3723,DATA_MASTER!$D$2:$D$5000,0)),""))</f>
        <v/>
      </c>
      <c r="E3723" s="22">
        <f t="array" ref="E3723">IF($C3723="","",IFERROR(INDEX(DATA_MASTER!$I$2:$I$5000,MATCH($C3723,DATA_MASTER!$D$2:$D$5000,0)),""))</f>
        <v/>
      </c>
      <c r="F3723" s="22">
        <f t="array" ref="F3723">IF($C3723="","",IFERROR(INDEX(DATA_MASTER!$L$2:$L$5000,MATCH($C3723,DATA_MASTER!$D$2:$D$5000,0)),""))</f>
        <v/>
      </c>
      <c r="G3723" s="24" t="n"/>
      <c r="H3723" s="24" t="n"/>
      <c r="I3723" s="30" t="n"/>
      <c r="J3723" s="23">
        <f>IF(OR($H3723="",$I3723=""),"",$H3723*$I3723)</f>
        <v/>
      </c>
      <c r="K3723" s="24" t="n"/>
      <c r="L3723" s="24" t="n"/>
      <c r="M3723" s="29" t="n"/>
      <c r="N3723" s="28" t="n"/>
      <c r="O3723" s="24" t="n"/>
      <c r="P3723" s="24" t="n"/>
      <c r="Q3723" s="24" t="n"/>
      <c r="R3723" s="24" t="n"/>
      <c r="S3723" s="22">
        <f>IF(AND($A3723="",$C3723=""),"",IF($A3723="","Thiếu mã đơn; ","")&amp;IF(COUNTIF($A$2:$A3723,$A3723)&gt;1,"Trùng mã đơn; ","")&amp;IF(ISNA(MATCH($C3723,DATA_MASTER!$D$2:$D$5000,0)),"SĐT chưa đăng ký hội viên; ","")&amp;IF(AND($L3723="Đã chuyển khoản",$M3723=""),"Thiếu ngày nhận CK; ",""))</f>
        <v/>
      </c>
      <c r="T3723" s="24" t="n"/>
    </row>
    <row r="3724" ht="14.25" customHeight="1" s="40">
      <c r="A3724" s="24" t="n"/>
      <c r="B3724" s="29" t="n"/>
      <c r="C3724" s="28" t="n"/>
      <c r="D3724" s="22">
        <f t="array" ref="D3724">IF($C3724="","",IFERROR(INDEX(DATA_MASTER!$C$2:$C$5000,MATCH($C3724,DATA_MASTER!$D$2:$D$5000,0)),""))</f>
        <v/>
      </c>
      <c r="E3724" s="22">
        <f t="array" ref="E3724">IF($C3724="","",IFERROR(INDEX(DATA_MASTER!$I$2:$I$5000,MATCH($C3724,DATA_MASTER!$D$2:$D$5000,0)),""))</f>
        <v/>
      </c>
      <c r="F3724" s="22">
        <f t="array" ref="F3724">IF($C3724="","",IFERROR(INDEX(DATA_MASTER!$L$2:$L$5000,MATCH($C3724,DATA_MASTER!$D$2:$D$5000,0)),""))</f>
        <v/>
      </c>
      <c r="G3724" s="24" t="n"/>
      <c r="H3724" s="24" t="n"/>
      <c r="I3724" s="30" t="n"/>
      <c r="J3724" s="23">
        <f>IF(OR($H3724="",$I3724=""),"",$H3724*$I3724)</f>
        <v/>
      </c>
      <c r="K3724" s="24" t="n"/>
      <c r="L3724" s="24" t="n"/>
      <c r="M3724" s="29" t="n"/>
      <c r="N3724" s="28" t="n"/>
      <c r="O3724" s="24" t="n"/>
      <c r="P3724" s="24" t="n"/>
      <c r="Q3724" s="24" t="n"/>
      <c r="R3724" s="24" t="n"/>
      <c r="S3724" s="22">
        <f>IF(AND($A3724="",$C3724=""),"",IF($A3724="","Thiếu mã đơn; ","")&amp;IF(COUNTIF($A$2:$A3724,$A3724)&gt;1,"Trùng mã đơn; ","")&amp;IF(ISNA(MATCH($C3724,DATA_MASTER!$D$2:$D$5000,0)),"SĐT chưa đăng ký hội viên; ","")&amp;IF(AND($L3724="Đã chuyển khoản",$M3724=""),"Thiếu ngày nhận CK; ",""))</f>
        <v/>
      </c>
      <c r="T3724" s="24" t="n"/>
    </row>
    <row r="3725" ht="14.25" customHeight="1" s="40">
      <c r="A3725" s="24" t="n"/>
      <c r="B3725" s="29" t="n"/>
      <c r="C3725" s="28" t="n"/>
      <c r="D3725" s="22">
        <f t="array" ref="D3725">IF($C3725="","",IFERROR(INDEX(DATA_MASTER!$C$2:$C$5000,MATCH($C3725,DATA_MASTER!$D$2:$D$5000,0)),""))</f>
        <v/>
      </c>
      <c r="E3725" s="22">
        <f t="array" ref="E3725">IF($C3725="","",IFERROR(INDEX(DATA_MASTER!$I$2:$I$5000,MATCH($C3725,DATA_MASTER!$D$2:$D$5000,0)),""))</f>
        <v/>
      </c>
      <c r="F3725" s="22">
        <f t="array" ref="F3725">IF($C3725="","",IFERROR(INDEX(DATA_MASTER!$L$2:$L$5000,MATCH($C3725,DATA_MASTER!$D$2:$D$5000,0)),""))</f>
        <v/>
      </c>
      <c r="G3725" s="24" t="n"/>
      <c r="H3725" s="24" t="n"/>
      <c r="I3725" s="30" t="n"/>
      <c r="J3725" s="23">
        <f>IF(OR($H3725="",$I3725=""),"",$H3725*$I3725)</f>
        <v/>
      </c>
      <c r="K3725" s="24" t="n"/>
      <c r="L3725" s="24" t="n"/>
      <c r="M3725" s="29" t="n"/>
      <c r="N3725" s="28" t="n"/>
      <c r="O3725" s="24" t="n"/>
      <c r="P3725" s="24" t="n"/>
      <c r="Q3725" s="24" t="n"/>
      <c r="R3725" s="24" t="n"/>
      <c r="S3725" s="22">
        <f>IF(AND($A3725="",$C3725=""),"",IF($A3725="","Thiếu mã đơn; ","")&amp;IF(COUNTIF($A$2:$A3725,$A3725)&gt;1,"Trùng mã đơn; ","")&amp;IF(ISNA(MATCH($C3725,DATA_MASTER!$D$2:$D$5000,0)),"SĐT chưa đăng ký hội viên; ","")&amp;IF(AND($L3725="Đã chuyển khoản",$M3725=""),"Thiếu ngày nhận CK; ",""))</f>
        <v/>
      </c>
      <c r="T3725" s="24" t="n"/>
    </row>
    <row r="3726" ht="14.25" customHeight="1" s="40">
      <c r="A3726" s="24" t="n"/>
      <c r="B3726" s="29" t="n"/>
      <c r="C3726" s="28" t="n"/>
      <c r="D3726" s="22">
        <f t="array" ref="D3726">IF($C3726="","",IFERROR(INDEX(DATA_MASTER!$C$2:$C$5000,MATCH($C3726,DATA_MASTER!$D$2:$D$5000,0)),""))</f>
        <v/>
      </c>
      <c r="E3726" s="22">
        <f t="array" ref="E3726">IF($C3726="","",IFERROR(INDEX(DATA_MASTER!$I$2:$I$5000,MATCH($C3726,DATA_MASTER!$D$2:$D$5000,0)),""))</f>
        <v/>
      </c>
      <c r="F3726" s="22">
        <f t="array" ref="F3726">IF($C3726="","",IFERROR(INDEX(DATA_MASTER!$L$2:$L$5000,MATCH($C3726,DATA_MASTER!$D$2:$D$5000,0)),""))</f>
        <v/>
      </c>
      <c r="G3726" s="24" t="n"/>
      <c r="H3726" s="24" t="n"/>
      <c r="I3726" s="30" t="n"/>
      <c r="J3726" s="23">
        <f>IF(OR($H3726="",$I3726=""),"",$H3726*$I3726)</f>
        <v/>
      </c>
      <c r="K3726" s="24" t="n"/>
      <c r="L3726" s="24" t="n"/>
      <c r="M3726" s="29" t="n"/>
      <c r="N3726" s="28" t="n"/>
      <c r="O3726" s="24" t="n"/>
      <c r="P3726" s="24" t="n"/>
      <c r="Q3726" s="24" t="n"/>
      <c r="R3726" s="24" t="n"/>
      <c r="S3726" s="22">
        <f>IF(AND($A3726="",$C3726=""),"",IF($A3726="","Thiếu mã đơn; ","")&amp;IF(COUNTIF($A$2:$A3726,$A3726)&gt;1,"Trùng mã đơn; ","")&amp;IF(ISNA(MATCH($C3726,DATA_MASTER!$D$2:$D$5000,0)),"SĐT chưa đăng ký hội viên; ","")&amp;IF(AND($L3726="Đã chuyển khoản",$M3726=""),"Thiếu ngày nhận CK; ",""))</f>
        <v/>
      </c>
      <c r="T3726" s="24" t="n"/>
    </row>
    <row r="3727" ht="14.25" customHeight="1" s="40">
      <c r="A3727" s="24" t="n"/>
      <c r="B3727" s="29" t="n"/>
      <c r="C3727" s="28" t="n"/>
      <c r="D3727" s="22">
        <f t="array" ref="D3727">IF($C3727="","",IFERROR(INDEX(DATA_MASTER!$C$2:$C$5000,MATCH($C3727,DATA_MASTER!$D$2:$D$5000,0)),""))</f>
        <v/>
      </c>
      <c r="E3727" s="22">
        <f t="array" ref="E3727">IF($C3727="","",IFERROR(INDEX(DATA_MASTER!$I$2:$I$5000,MATCH($C3727,DATA_MASTER!$D$2:$D$5000,0)),""))</f>
        <v/>
      </c>
      <c r="F3727" s="22">
        <f t="array" ref="F3727">IF($C3727="","",IFERROR(INDEX(DATA_MASTER!$L$2:$L$5000,MATCH($C3727,DATA_MASTER!$D$2:$D$5000,0)),""))</f>
        <v/>
      </c>
      <c r="G3727" s="24" t="n"/>
      <c r="H3727" s="24" t="n"/>
      <c r="I3727" s="30" t="n"/>
      <c r="J3727" s="23">
        <f>IF(OR($H3727="",$I3727=""),"",$H3727*$I3727)</f>
        <v/>
      </c>
      <c r="K3727" s="24" t="n"/>
      <c r="L3727" s="24" t="n"/>
      <c r="M3727" s="29" t="n"/>
      <c r="N3727" s="28" t="n"/>
      <c r="O3727" s="24" t="n"/>
      <c r="P3727" s="24" t="n"/>
      <c r="Q3727" s="24" t="n"/>
      <c r="R3727" s="24" t="n"/>
      <c r="S3727" s="22">
        <f>IF(AND($A3727="",$C3727=""),"",IF($A3727="","Thiếu mã đơn; ","")&amp;IF(COUNTIF($A$2:$A3727,$A3727)&gt;1,"Trùng mã đơn; ","")&amp;IF(ISNA(MATCH($C3727,DATA_MASTER!$D$2:$D$5000,0)),"SĐT chưa đăng ký hội viên; ","")&amp;IF(AND($L3727="Đã chuyển khoản",$M3727=""),"Thiếu ngày nhận CK; ",""))</f>
        <v/>
      </c>
      <c r="T3727" s="24" t="n"/>
    </row>
    <row r="3728" ht="14.25" customHeight="1" s="40">
      <c r="A3728" s="24" t="n"/>
      <c r="B3728" s="29" t="n"/>
      <c r="C3728" s="28" t="n"/>
      <c r="D3728" s="22">
        <f t="array" ref="D3728">IF($C3728="","",IFERROR(INDEX(DATA_MASTER!$C$2:$C$5000,MATCH($C3728,DATA_MASTER!$D$2:$D$5000,0)),""))</f>
        <v/>
      </c>
      <c r="E3728" s="22">
        <f t="array" ref="E3728">IF($C3728="","",IFERROR(INDEX(DATA_MASTER!$I$2:$I$5000,MATCH($C3728,DATA_MASTER!$D$2:$D$5000,0)),""))</f>
        <v/>
      </c>
      <c r="F3728" s="22">
        <f t="array" ref="F3728">IF($C3728="","",IFERROR(INDEX(DATA_MASTER!$L$2:$L$5000,MATCH($C3728,DATA_MASTER!$D$2:$D$5000,0)),""))</f>
        <v/>
      </c>
      <c r="G3728" s="24" t="n"/>
      <c r="H3728" s="24" t="n"/>
      <c r="I3728" s="30" t="n"/>
      <c r="J3728" s="23">
        <f>IF(OR($H3728="",$I3728=""),"",$H3728*$I3728)</f>
        <v/>
      </c>
      <c r="K3728" s="24" t="n"/>
      <c r="L3728" s="24" t="n"/>
      <c r="M3728" s="29" t="n"/>
      <c r="N3728" s="28" t="n"/>
      <c r="O3728" s="24" t="n"/>
      <c r="P3728" s="24" t="n"/>
      <c r="Q3728" s="24" t="n"/>
      <c r="R3728" s="24" t="n"/>
      <c r="S3728" s="22">
        <f>IF(AND($A3728="",$C3728=""),"",IF($A3728="","Thiếu mã đơn; ","")&amp;IF(COUNTIF($A$2:$A3728,$A3728)&gt;1,"Trùng mã đơn; ","")&amp;IF(ISNA(MATCH($C3728,DATA_MASTER!$D$2:$D$5000,0)),"SĐT chưa đăng ký hội viên; ","")&amp;IF(AND($L3728="Đã chuyển khoản",$M3728=""),"Thiếu ngày nhận CK; ",""))</f>
        <v/>
      </c>
      <c r="T3728" s="24" t="n"/>
    </row>
    <row r="3729" ht="14.25" customHeight="1" s="40">
      <c r="A3729" s="24" t="n"/>
      <c r="B3729" s="29" t="n"/>
      <c r="C3729" s="28" t="n"/>
      <c r="D3729" s="22">
        <f t="array" ref="D3729">IF($C3729="","",IFERROR(INDEX(DATA_MASTER!$C$2:$C$5000,MATCH($C3729,DATA_MASTER!$D$2:$D$5000,0)),""))</f>
        <v/>
      </c>
      <c r="E3729" s="22">
        <f t="array" ref="E3729">IF($C3729="","",IFERROR(INDEX(DATA_MASTER!$I$2:$I$5000,MATCH($C3729,DATA_MASTER!$D$2:$D$5000,0)),""))</f>
        <v/>
      </c>
      <c r="F3729" s="22">
        <f t="array" ref="F3729">IF($C3729="","",IFERROR(INDEX(DATA_MASTER!$L$2:$L$5000,MATCH($C3729,DATA_MASTER!$D$2:$D$5000,0)),""))</f>
        <v/>
      </c>
      <c r="G3729" s="24" t="n"/>
      <c r="H3729" s="24" t="n"/>
      <c r="I3729" s="30" t="n"/>
      <c r="J3729" s="23">
        <f>IF(OR($H3729="",$I3729=""),"",$H3729*$I3729)</f>
        <v/>
      </c>
      <c r="K3729" s="24" t="n"/>
      <c r="L3729" s="24" t="n"/>
      <c r="M3729" s="29" t="n"/>
      <c r="N3729" s="28" t="n"/>
      <c r="O3729" s="24" t="n"/>
      <c r="P3729" s="24" t="n"/>
      <c r="Q3729" s="24" t="n"/>
      <c r="R3729" s="24" t="n"/>
      <c r="S3729" s="22">
        <f>IF(AND($A3729="",$C3729=""),"",IF($A3729="","Thiếu mã đơn; ","")&amp;IF(COUNTIF($A$2:$A3729,$A3729)&gt;1,"Trùng mã đơn; ","")&amp;IF(ISNA(MATCH($C3729,DATA_MASTER!$D$2:$D$5000,0)),"SĐT chưa đăng ký hội viên; ","")&amp;IF(AND($L3729="Đã chuyển khoản",$M3729=""),"Thiếu ngày nhận CK; ",""))</f>
        <v/>
      </c>
      <c r="T3729" s="24" t="n"/>
    </row>
    <row r="3730" ht="14.25" customHeight="1" s="40">
      <c r="A3730" s="24" t="n"/>
      <c r="B3730" s="29" t="n"/>
      <c r="C3730" s="28" t="n"/>
      <c r="D3730" s="22">
        <f t="array" ref="D3730">IF($C3730="","",IFERROR(INDEX(DATA_MASTER!$C$2:$C$5000,MATCH($C3730,DATA_MASTER!$D$2:$D$5000,0)),""))</f>
        <v/>
      </c>
      <c r="E3730" s="22">
        <f t="array" ref="E3730">IF($C3730="","",IFERROR(INDEX(DATA_MASTER!$I$2:$I$5000,MATCH($C3730,DATA_MASTER!$D$2:$D$5000,0)),""))</f>
        <v/>
      </c>
      <c r="F3730" s="22">
        <f t="array" ref="F3730">IF($C3730="","",IFERROR(INDEX(DATA_MASTER!$L$2:$L$5000,MATCH($C3730,DATA_MASTER!$D$2:$D$5000,0)),""))</f>
        <v/>
      </c>
      <c r="G3730" s="24" t="n"/>
      <c r="H3730" s="24" t="n"/>
      <c r="I3730" s="30" t="n"/>
      <c r="J3730" s="23">
        <f>IF(OR($H3730="",$I3730=""),"",$H3730*$I3730)</f>
        <v/>
      </c>
      <c r="K3730" s="24" t="n"/>
      <c r="L3730" s="24" t="n"/>
      <c r="M3730" s="29" t="n"/>
      <c r="N3730" s="28" t="n"/>
      <c r="O3730" s="24" t="n"/>
      <c r="P3730" s="24" t="n"/>
      <c r="Q3730" s="24" t="n"/>
      <c r="R3730" s="24" t="n"/>
      <c r="S3730" s="22">
        <f>IF(AND($A3730="",$C3730=""),"",IF($A3730="","Thiếu mã đơn; ","")&amp;IF(COUNTIF($A$2:$A3730,$A3730)&gt;1,"Trùng mã đơn; ","")&amp;IF(ISNA(MATCH($C3730,DATA_MASTER!$D$2:$D$5000,0)),"SĐT chưa đăng ký hội viên; ","")&amp;IF(AND($L3730="Đã chuyển khoản",$M3730=""),"Thiếu ngày nhận CK; ",""))</f>
        <v/>
      </c>
      <c r="T3730" s="24" t="n"/>
    </row>
    <row r="3731" ht="14.25" customHeight="1" s="40">
      <c r="A3731" s="24" t="n"/>
      <c r="B3731" s="29" t="n"/>
      <c r="C3731" s="28" t="n"/>
      <c r="D3731" s="22">
        <f t="array" ref="D3731">IF($C3731="","",IFERROR(INDEX(DATA_MASTER!$C$2:$C$5000,MATCH($C3731,DATA_MASTER!$D$2:$D$5000,0)),""))</f>
        <v/>
      </c>
      <c r="E3731" s="22">
        <f t="array" ref="E3731">IF($C3731="","",IFERROR(INDEX(DATA_MASTER!$I$2:$I$5000,MATCH($C3731,DATA_MASTER!$D$2:$D$5000,0)),""))</f>
        <v/>
      </c>
      <c r="F3731" s="22">
        <f t="array" ref="F3731">IF($C3731="","",IFERROR(INDEX(DATA_MASTER!$L$2:$L$5000,MATCH($C3731,DATA_MASTER!$D$2:$D$5000,0)),""))</f>
        <v/>
      </c>
      <c r="G3731" s="24" t="n"/>
      <c r="H3731" s="24" t="n"/>
      <c r="I3731" s="30" t="n"/>
      <c r="J3731" s="23">
        <f>IF(OR($H3731="",$I3731=""),"",$H3731*$I3731)</f>
        <v/>
      </c>
      <c r="K3731" s="24" t="n"/>
      <c r="L3731" s="24" t="n"/>
      <c r="M3731" s="29" t="n"/>
      <c r="N3731" s="28" t="n"/>
      <c r="O3731" s="24" t="n"/>
      <c r="P3731" s="24" t="n"/>
      <c r="Q3731" s="24" t="n"/>
      <c r="R3731" s="24" t="n"/>
      <c r="S3731" s="22">
        <f>IF(AND($A3731="",$C3731=""),"",IF($A3731="","Thiếu mã đơn; ","")&amp;IF(COUNTIF($A$2:$A3731,$A3731)&gt;1,"Trùng mã đơn; ","")&amp;IF(ISNA(MATCH($C3731,DATA_MASTER!$D$2:$D$5000,0)),"SĐT chưa đăng ký hội viên; ","")&amp;IF(AND($L3731="Đã chuyển khoản",$M3731=""),"Thiếu ngày nhận CK; ",""))</f>
        <v/>
      </c>
      <c r="T3731" s="24" t="n"/>
    </row>
    <row r="3732" ht="14.25" customHeight="1" s="40">
      <c r="A3732" s="24" t="n"/>
      <c r="B3732" s="29" t="n"/>
      <c r="C3732" s="28" t="n"/>
      <c r="D3732" s="22">
        <f t="array" ref="D3732">IF($C3732="","",IFERROR(INDEX(DATA_MASTER!$C$2:$C$5000,MATCH($C3732,DATA_MASTER!$D$2:$D$5000,0)),""))</f>
        <v/>
      </c>
      <c r="E3732" s="22">
        <f t="array" ref="E3732">IF($C3732="","",IFERROR(INDEX(DATA_MASTER!$I$2:$I$5000,MATCH($C3732,DATA_MASTER!$D$2:$D$5000,0)),""))</f>
        <v/>
      </c>
      <c r="F3732" s="22">
        <f t="array" ref="F3732">IF($C3732="","",IFERROR(INDEX(DATA_MASTER!$L$2:$L$5000,MATCH($C3732,DATA_MASTER!$D$2:$D$5000,0)),""))</f>
        <v/>
      </c>
      <c r="G3732" s="24" t="n"/>
      <c r="H3732" s="24" t="n"/>
      <c r="I3732" s="30" t="n"/>
      <c r="J3732" s="23">
        <f>IF(OR($H3732="",$I3732=""),"",$H3732*$I3732)</f>
        <v/>
      </c>
      <c r="K3732" s="24" t="n"/>
      <c r="L3732" s="24" t="n"/>
      <c r="M3732" s="29" t="n"/>
      <c r="N3732" s="28" t="n"/>
      <c r="O3732" s="24" t="n"/>
      <c r="P3732" s="24" t="n"/>
      <c r="Q3732" s="24" t="n"/>
      <c r="R3732" s="24" t="n"/>
      <c r="S3732" s="22">
        <f>IF(AND($A3732="",$C3732=""),"",IF($A3732="","Thiếu mã đơn; ","")&amp;IF(COUNTIF($A$2:$A3732,$A3732)&gt;1,"Trùng mã đơn; ","")&amp;IF(ISNA(MATCH($C3732,DATA_MASTER!$D$2:$D$5000,0)),"SĐT chưa đăng ký hội viên; ","")&amp;IF(AND($L3732="Đã chuyển khoản",$M3732=""),"Thiếu ngày nhận CK; ",""))</f>
        <v/>
      </c>
      <c r="T3732" s="24" t="n"/>
    </row>
    <row r="3733" ht="14.25" customHeight="1" s="40">
      <c r="A3733" s="24" t="n"/>
      <c r="B3733" s="29" t="n"/>
      <c r="C3733" s="28" t="n"/>
      <c r="D3733" s="22">
        <f t="array" ref="D3733">IF($C3733="","",IFERROR(INDEX(DATA_MASTER!$C$2:$C$5000,MATCH($C3733,DATA_MASTER!$D$2:$D$5000,0)),""))</f>
        <v/>
      </c>
      <c r="E3733" s="22">
        <f t="array" ref="E3733">IF($C3733="","",IFERROR(INDEX(DATA_MASTER!$I$2:$I$5000,MATCH($C3733,DATA_MASTER!$D$2:$D$5000,0)),""))</f>
        <v/>
      </c>
      <c r="F3733" s="22">
        <f t="array" ref="F3733">IF($C3733="","",IFERROR(INDEX(DATA_MASTER!$L$2:$L$5000,MATCH($C3733,DATA_MASTER!$D$2:$D$5000,0)),""))</f>
        <v/>
      </c>
      <c r="G3733" s="24" t="n"/>
      <c r="H3733" s="24" t="n"/>
      <c r="I3733" s="30" t="n"/>
      <c r="J3733" s="23">
        <f>IF(OR($H3733="",$I3733=""),"",$H3733*$I3733)</f>
        <v/>
      </c>
      <c r="K3733" s="24" t="n"/>
      <c r="L3733" s="24" t="n"/>
      <c r="M3733" s="29" t="n"/>
      <c r="N3733" s="28" t="n"/>
      <c r="O3733" s="24" t="n"/>
      <c r="P3733" s="24" t="n"/>
      <c r="Q3733" s="24" t="n"/>
      <c r="R3733" s="24" t="n"/>
      <c r="S3733" s="22">
        <f>IF(AND($A3733="",$C3733=""),"",IF($A3733="","Thiếu mã đơn; ","")&amp;IF(COUNTIF($A$2:$A3733,$A3733)&gt;1,"Trùng mã đơn; ","")&amp;IF(ISNA(MATCH($C3733,DATA_MASTER!$D$2:$D$5000,0)),"SĐT chưa đăng ký hội viên; ","")&amp;IF(AND($L3733="Đã chuyển khoản",$M3733=""),"Thiếu ngày nhận CK; ",""))</f>
        <v/>
      </c>
      <c r="T3733" s="24" t="n"/>
    </row>
    <row r="3734" ht="14.25" customHeight="1" s="40">
      <c r="A3734" s="24" t="n"/>
      <c r="B3734" s="29" t="n"/>
      <c r="C3734" s="28" t="n"/>
      <c r="D3734" s="22">
        <f t="array" ref="D3734">IF($C3734="","",IFERROR(INDEX(DATA_MASTER!$C$2:$C$5000,MATCH($C3734,DATA_MASTER!$D$2:$D$5000,0)),""))</f>
        <v/>
      </c>
      <c r="E3734" s="22">
        <f t="array" ref="E3734">IF($C3734="","",IFERROR(INDEX(DATA_MASTER!$I$2:$I$5000,MATCH($C3734,DATA_MASTER!$D$2:$D$5000,0)),""))</f>
        <v/>
      </c>
      <c r="F3734" s="22">
        <f t="array" ref="F3734">IF($C3734="","",IFERROR(INDEX(DATA_MASTER!$L$2:$L$5000,MATCH($C3734,DATA_MASTER!$D$2:$D$5000,0)),""))</f>
        <v/>
      </c>
      <c r="G3734" s="24" t="n"/>
      <c r="H3734" s="24" t="n"/>
      <c r="I3734" s="30" t="n"/>
      <c r="J3734" s="23">
        <f>IF(OR($H3734="",$I3734=""),"",$H3734*$I3734)</f>
        <v/>
      </c>
      <c r="K3734" s="24" t="n"/>
      <c r="L3734" s="24" t="n"/>
      <c r="M3734" s="29" t="n"/>
      <c r="N3734" s="28" t="n"/>
      <c r="O3734" s="24" t="n"/>
      <c r="P3734" s="24" t="n"/>
      <c r="Q3734" s="24" t="n"/>
      <c r="R3734" s="24" t="n"/>
      <c r="S3734" s="22">
        <f>IF(AND($A3734="",$C3734=""),"",IF($A3734="","Thiếu mã đơn; ","")&amp;IF(COUNTIF($A$2:$A3734,$A3734)&gt;1,"Trùng mã đơn; ","")&amp;IF(ISNA(MATCH($C3734,DATA_MASTER!$D$2:$D$5000,0)),"SĐT chưa đăng ký hội viên; ","")&amp;IF(AND($L3734="Đã chuyển khoản",$M3734=""),"Thiếu ngày nhận CK; ",""))</f>
        <v/>
      </c>
      <c r="T3734" s="24" t="n"/>
    </row>
    <row r="3735" ht="14.25" customHeight="1" s="40">
      <c r="A3735" s="24" t="n"/>
      <c r="B3735" s="29" t="n"/>
      <c r="C3735" s="28" t="n"/>
      <c r="D3735" s="22">
        <f t="array" ref="D3735">IF($C3735="","",IFERROR(INDEX(DATA_MASTER!$C$2:$C$5000,MATCH($C3735,DATA_MASTER!$D$2:$D$5000,0)),""))</f>
        <v/>
      </c>
      <c r="E3735" s="22">
        <f t="array" ref="E3735">IF($C3735="","",IFERROR(INDEX(DATA_MASTER!$I$2:$I$5000,MATCH($C3735,DATA_MASTER!$D$2:$D$5000,0)),""))</f>
        <v/>
      </c>
      <c r="F3735" s="22">
        <f t="array" ref="F3735">IF($C3735="","",IFERROR(INDEX(DATA_MASTER!$L$2:$L$5000,MATCH($C3735,DATA_MASTER!$D$2:$D$5000,0)),""))</f>
        <v/>
      </c>
      <c r="G3735" s="24" t="n"/>
      <c r="H3735" s="24" t="n"/>
      <c r="I3735" s="30" t="n"/>
      <c r="J3735" s="23">
        <f>IF(OR($H3735="",$I3735=""),"",$H3735*$I3735)</f>
        <v/>
      </c>
      <c r="K3735" s="24" t="n"/>
      <c r="L3735" s="24" t="n"/>
      <c r="M3735" s="29" t="n"/>
      <c r="N3735" s="28" t="n"/>
      <c r="O3735" s="24" t="n"/>
      <c r="P3735" s="24" t="n"/>
      <c r="Q3735" s="24" t="n"/>
      <c r="R3735" s="24" t="n"/>
      <c r="S3735" s="22">
        <f>IF(AND($A3735="",$C3735=""),"",IF($A3735="","Thiếu mã đơn; ","")&amp;IF(COUNTIF($A$2:$A3735,$A3735)&gt;1,"Trùng mã đơn; ","")&amp;IF(ISNA(MATCH($C3735,DATA_MASTER!$D$2:$D$5000,0)),"SĐT chưa đăng ký hội viên; ","")&amp;IF(AND($L3735="Đã chuyển khoản",$M3735=""),"Thiếu ngày nhận CK; ",""))</f>
        <v/>
      </c>
      <c r="T3735" s="24" t="n"/>
    </row>
    <row r="3736" ht="14.25" customHeight="1" s="40">
      <c r="A3736" s="24" t="n"/>
      <c r="B3736" s="29" t="n"/>
      <c r="C3736" s="28" t="n"/>
      <c r="D3736" s="22">
        <f t="array" ref="D3736">IF($C3736="","",IFERROR(INDEX(DATA_MASTER!$C$2:$C$5000,MATCH($C3736,DATA_MASTER!$D$2:$D$5000,0)),""))</f>
        <v/>
      </c>
      <c r="E3736" s="22">
        <f t="array" ref="E3736">IF($C3736="","",IFERROR(INDEX(DATA_MASTER!$I$2:$I$5000,MATCH($C3736,DATA_MASTER!$D$2:$D$5000,0)),""))</f>
        <v/>
      </c>
      <c r="F3736" s="22">
        <f t="array" ref="F3736">IF($C3736="","",IFERROR(INDEX(DATA_MASTER!$L$2:$L$5000,MATCH($C3736,DATA_MASTER!$D$2:$D$5000,0)),""))</f>
        <v/>
      </c>
      <c r="G3736" s="24" t="n"/>
      <c r="H3736" s="24" t="n"/>
      <c r="I3736" s="30" t="n"/>
      <c r="J3736" s="23">
        <f>IF(OR($H3736="",$I3736=""),"",$H3736*$I3736)</f>
        <v/>
      </c>
      <c r="K3736" s="24" t="n"/>
      <c r="L3736" s="24" t="n"/>
      <c r="M3736" s="29" t="n"/>
      <c r="N3736" s="28" t="n"/>
      <c r="O3736" s="24" t="n"/>
      <c r="P3736" s="24" t="n"/>
      <c r="Q3736" s="24" t="n"/>
      <c r="R3736" s="24" t="n"/>
      <c r="S3736" s="22">
        <f>IF(AND($A3736="",$C3736=""),"",IF($A3736="","Thiếu mã đơn; ","")&amp;IF(COUNTIF($A$2:$A3736,$A3736)&gt;1,"Trùng mã đơn; ","")&amp;IF(ISNA(MATCH($C3736,DATA_MASTER!$D$2:$D$5000,0)),"SĐT chưa đăng ký hội viên; ","")&amp;IF(AND($L3736="Đã chuyển khoản",$M3736=""),"Thiếu ngày nhận CK; ",""))</f>
        <v/>
      </c>
      <c r="T3736" s="24" t="n"/>
    </row>
    <row r="3737" ht="14.25" customHeight="1" s="40">
      <c r="A3737" s="24" t="n"/>
      <c r="B3737" s="29" t="n"/>
      <c r="C3737" s="28" t="n"/>
      <c r="D3737" s="22">
        <f t="array" ref="D3737">IF($C3737="","",IFERROR(INDEX(DATA_MASTER!$C$2:$C$5000,MATCH($C3737,DATA_MASTER!$D$2:$D$5000,0)),""))</f>
        <v/>
      </c>
      <c r="E3737" s="22">
        <f t="array" ref="E3737">IF($C3737="","",IFERROR(INDEX(DATA_MASTER!$I$2:$I$5000,MATCH($C3737,DATA_MASTER!$D$2:$D$5000,0)),""))</f>
        <v/>
      </c>
      <c r="F3737" s="22">
        <f t="array" ref="F3737">IF($C3737="","",IFERROR(INDEX(DATA_MASTER!$L$2:$L$5000,MATCH($C3737,DATA_MASTER!$D$2:$D$5000,0)),""))</f>
        <v/>
      </c>
      <c r="G3737" s="24" t="n"/>
      <c r="H3737" s="24" t="n"/>
      <c r="I3737" s="30" t="n"/>
      <c r="J3737" s="23">
        <f>IF(OR($H3737="",$I3737=""),"",$H3737*$I3737)</f>
        <v/>
      </c>
      <c r="K3737" s="24" t="n"/>
      <c r="L3737" s="24" t="n"/>
      <c r="M3737" s="29" t="n"/>
      <c r="N3737" s="28" t="n"/>
      <c r="O3737" s="24" t="n"/>
      <c r="P3737" s="24" t="n"/>
      <c r="Q3737" s="24" t="n"/>
      <c r="R3737" s="24" t="n"/>
      <c r="S3737" s="22">
        <f>IF(AND($A3737="",$C3737=""),"",IF($A3737="","Thiếu mã đơn; ","")&amp;IF(COUNTIF($A$2:$A3737,$A3737)&gt;1,"Trùng mã đơn; ","")&amp;IF(ISNA(MATCH($C3737,DATA_MASTER!$D$2:$D$5000,0)),"SĐT chưa đăng ký hội viên; ","")&amp;IF(AND($L3737="Đã chuyển khoản",$M3737=""),"Thiếu ngày nhận CK; ",""))</f>
        <v/>
      </c>
      <c r="T3737" s="24" t="n"/>
    </row>
    <row r="3738" ht="14.25" customHeight="1" s="40">
      <c r="A3738" s="24" t="n"/>
      <c r="B3738" s="29" t="n"/>
      <c r="C3738" s="28" t="n"/>
      <c r="D3738" s="22">
        <f t="array" ref="D3738">IF($C3738="","",IFERROR(INDEX(DATA_MASTER!$C$2:$C$5000,MATCH($C3738,DATA_MASTER!$D$2:$D$5000,0)),""))</f>
        <v/>
      </c>
      <c r="E3738" s="22">
        <f t="array" ref="E3738">IF($C3738="","",IFERROR(INDEX(DATA_MASTER!$I$2:$I$5000,MATCH($C3738,DATA_MASTER!$D$2:$D$5000,0)),""))</f>
        <v/>
      </c>
      <c r="F3738" s="22">
        <f t="array" ref="F3738">IF($C3738="","",IFERROR(INDEX(DATA_MASTER!$L$2:$L$5000,MATCH($C3738,DATA_MASTER!$D$2:$D$5000,0)),""))</f>
        <v/>
      </c>
      <c r="G3738" s="24" t="n"/>
      <c r="H3738" s="24" t="n"/>
      <c r="I3738" s="30" t="n"/>
      <c r="J3738" s="23">
        <f>IF(OR($H3738="",$I3738=""),"",$H3738*$I3738)</f>
        <v/>
      </c>
      <c r="K3738" s="24" t="n"/>
      <c r="L3738" s="24" t="n"/>
      <c r="M3738" s="29" t="n"/>
      <c r="N3738" s="28" t="n"/>
      <c r="O3738" s="24" t="n"/>
      <c r="P3738" s="24" t="n"/>
      <c r="Q3738" s="24" t="n"/>
      <c r="R3738" s="24" t="n"/>
      <c r="S3738" s="22">
        <f>IF(AND($A3738="",$C3738=""),"",IF($A3738="","Thiếu mã đơn; ","")&amp;IF(COUNTIF($A$2:$A3738,$A3738)&gt;1,"Trùng mã đơn; ","")&amp;IF(ISNA(MATCH($C3738,DATA_MASTER!$D$2:$D$5000,0)),"SĐT chưa đăng ký hội viên; ","")&amp;IF(AND($L3738="Đã chuyển khoản",$M3738=""),"Thiếu ngày nhận CK; ",""))</f>
        <v/>
      </c>
      <c r="T3738" s="24" t="n"/>
    </row>
    <row r="3739" ht="14.25" customHeight="1" s="40">
      <c r="A3739" s="24" t="n"/>
      <c r="B3739" s="29" t="n"/>
      <c r="C3739" s="28" t="n"/>
      <c r="D3739" s="22">
        <f t="array" ref="D3739">IF($C3739="","",IFERROR(INDEX(DATA_MASTER!$C$2:$C$5000,MATCH($C3739,DATA_MASTER!$D$2:$D$5000,0)),""))</f>
        <v/>
      </c>
      <c r="E3739" s="22">
        <f t="array" ref="E3739">IF($C3739="","",IFERROR(INDEX(DATA_MASTER!$I$2:$I$5000,MATCH($C3739,DATA_MASTER!$D$2:$D$5000,0)),""))</f>
        <v/>
      </c>
      <c r="F3739" s="22">
        <f t="array" ref="F3739">IF($C3739="","",IFERROR(INDEX(DATA_MASTER!$L$2:$L$5000,MATCH($C3739,DATA_MASTER!$D$2:$D$5000,0)),""))</f>
        <v/>
      </c>
      <c r="G3739" s="24" t="n"/>
      <c r="H3739" s="24" t="n"/>
      <c r="I3739" s="30" t="n"/>
      <c r="J3739" s="23">
        <f>IF(OR($H3739="",$I3739=""),"",$H3739*$I3739)</f>
        <v/>
      </c>
      <c r="K3739" s="24" t="n"/>
      <c r="L3739" s="24" t="n"/>
      <c r="M3739" s="29" t="n"/>
      <c r="N3739" s="28" t="n"/>
      <c r="O3739" s="24" t="n"/>
      <c r="P3739" s="24" t="n"/>
      <c r="Q3739" s="24" t="n"/>
      <c r="R3739" s="24" t="n"/>
      <c r="S3739" s="22">
        <f>IF(AND($A3739="",$C3739=""),"",IF($A3739="","Thiếu mã đơn; ","")&amp;IF(COUNTIF($A$2:$A3739,$A3739)&gt;1,"Trùng mã đơn; ","")&amp;IF(ISNA(MATCH($C3739,DATA_MASTER!$D$2:$D$5000,0)),"SĐT chưa đăng ký hội viên; ","")&amp;IF(AND($L3739="Đã chuyển khoản",$M3739=""),"Thiếu ngày nhận CK; ",""))</f>
        <v/>
      </c>
      <c r="T3739" s="24" t="n"/>
    </row>
    <row r="3740" ht="14.25" customHeight="1" s="40">
      <c r="A3740" s="24" t="n"/>
      <c r="B3740" s="29" t="n"/>
      <c r="C3740" s="28" t="n"/>
      <c r="D3740" s="22">
        <f t="array" ref="D3740">IF($C3740="","",IFERROR(INDEX(DATA_MASTER!$C$2:$C$5000,MATCH($C3740,DATA_MASTER!$D$2:$D$5000,0)),""))</f>
        <v/>
      </c>
      <c r="E3740" s="22">
        <f t="array" ref="E3740">IF($C3740="","",IFERROR(INDEX(DATA_MASTER!$I$2:$I$5000,MATCH($C3740,DATA_MASTER!$D$2:$D$5000,0)),""))</f>
        <v/>
      </c>
      <c r="F3740" s="22">
        <f t="array" ref="F3740">IF($C3740="","",IFERROR(INDEX(DATA_MASTER!$L$2:$L$5000,MATCH($C3740,DATA_MASTER!$D$2:$D$5000,0)),""))</f>
        <v/>
      </c>
      <c r="G3740" s="24" t="n"/>
      <c r="H3740" s="24" t="n"/>
      <c r="I3740" s="30" t="n"/>
      <c r="J3740" s="23">
        <f>IF(OR($H3740="",$I3740=""),"",$H3740*$I3740)</f>
        <v/>
      </c>
      <c r="K3740" s="24" t="n"/>
      <c r="L3740" s="24" t="n"/>
      <c r="M3740" s="29" t="n"/>
      <c r="N3740" s="28" t="n"/>
      <c r="O3740" s="24" t="n"/>
      <c r="P3740" s="24" t="n"/>
      <c r="Q3740" s="24" t="n"/>
      <c r="R3740" s="24" t="n"/>
      <c r="S3740" s="22">
        <f>IF(AND($A3740="",$C3740=""),"",IF($A3740="","Thiếu mã đơn; ","")&amp;IF(COUNTIF($A$2:$A3740,$A3740)&gt;1,"Trùng mã đơn; ","")&amp;IF(ISNA(MATCH($C3740,DATA_MASTER!$D$2:$D$5000,0)),"SĐT chưa đăng ký hội viên; ","")&amp;IF(AND($L3740="Đã chuyển khoản",$M3740=""),"Thiếu ngày nhận CK; ",""))</f>
        <v/>
      </c>
      <c r="T3740" s="24" t="n"/>
    </row>
    <row r="3741" ht="14.25" customHeight="1" s="40">
      <c r="A3741" s="24" t="n"/>
      <c r="B3741" s="29" t="n"/>
      <c r="C3741" s="28" t="n"/>
      <c r="D3741" s="22">
        <f t="array" ref="D3741">IF($C3741="","",IFERROR(INDEX(DATA_MASTER!$C$2:$C$5000,MATCH($C3741,DATA_MASTER!$D$2:$D$5000,0)),""))</f>
        <v/>
      </c>
      <c r="E3741" s="22">
        <f t="array" ref="E3741">IF($C3741="","",IFERROR(INDEX(DATA_MASTER!$I$2:$I$5000,MATCH($C3741,DATA_MASTER!$D$2:$D$5000,0)),""))</f>
        <v/>
      </c>
      <c r="F3741" s="22">
        <f t="array" ref="F3741">IF($C3741="","",IFERROR(INDEX(DATA_MASTER!$L$2:$L$5000,MATCH($C3741,DATA_MASTER!$D$2:$D$5000,0)),""))</f>
        <v/>
      </c>
      <c r="G3741" s="24" t="n"/>
      <c r="H3741" s="24" t="n"/>
      <c r="I3741" s="30" t="n"/>
      <c r="J3741" s="23">
        <f>IF(OR($H3741="",$I3741=""),"",$H3741*$I3741)</f>
        <v/>
      </c>
      <c r="K3741" s="24" t="n"/>
      <c r="L3741" s="24" t="n"/>
      <c r="M3741" s="29" t="n"/>
      <c r="N3741" s="28" t="n"/>
      <c r="O3741" s="24" t="n"/>
      <c r="P3741" s="24" t="n"/>
      <c r="Q3741" s="24" t="n"/>
      <c r="R3741" s="24" t="n"/>
      <c r="S3741" s="22">
        <f>IF(AND($A3741="",$C3741=""),"",IF($A3741="","Thiếu mã đơn; ","")&amp;IF(COUNTIF($A$2:$A3741,$A3741)&gt;1,"Trùng mã đơn; ","")&amp;IF(ISNA(MATCH($C3741,DATA_MASTER!$D$2:$D$5000,0)),"SĐT chưa đăng ký hội viên; ","")&amp;IF(AND($L3741="Đã chuyển khoản",$M3741=""),"Thiếu ngày nhận CK; ",""))</f>
        <v/>
      </c>
      <c r="T3741" s="24" t="n"/>
    </row>
    <row r="3742" ht="14.25" customHeight="1" s="40">
      <c r="A3742" s="24" t="n"/>
      <c r="B3742" s="29" t="n"/>
      <c r="C3742" s="28" t="n"/>
      <c r="D3742" s="22">
        <f t="array" ref="D3742">IF($C3742="","",IFERROR(INDEX(DATA_MASTER!$C$2:$C$5000,MATCH($C3742,DATA_MASTER!$D$2:$D$5000,0)),""))</f>
        <v/>
      </c>
      <c r="E3742" s="22">
        <f t="array" ref="E3742">IF($C3742="","",IFERROR(INDEX(DATA_MASTER!$I$2:$I$5000,MATCH($C3742,DATA_MASTER!$D$2:$D$5000,0)),""))</f>
        <v/>
      </c>
      <c r="F3742" s="22">
        <f t="array" ref="F3742">IF($C3742="","",IFERROR(INDEX(DATA_MASTER!$L$2:$L$5000,MATCH($C3742,DATA_MASTER!$D$2:$D$5000,0)),""))</f>
        <v/>
      </c>
      <c r="G3742" s="24" t="n"/>
      <c r="H3742" s="24" t="n"/>
      <c r="I3742" s="30" t="n"/>
      <c r="J3742" s="23">
        <f>IF(OR($H3742="",$I3742=""),"",$H3742*$I3742)</f>
        <v/>
      </c>
      <c r="K3742" s="24" t="n"/>
      <c r="L3742" s="24" t="n"/>
      <c r="M3742" s="29" t="n"/>
      <c r="N3742" s="28" t="n"/>
      <c r="O3742" s="24" t="n"/>
      <c r="P3742" s="24" t="n"/>
      <c r="Q3742" s="24" t="n"/>
      <c r="R3742" s="24" t="n"/>
      <c r="S3742" s="22">
        <f>IF(AND($A3742="",$C3742=""),"",IF($A3742="","Thiếu mã đơn; ","")&amp;IF(COUNTIF($A$2:$A3742,$A3742)&gt;1,"Trùng mã đơn; ","")&amp;IF(ISNA(MATCH($C3742,DATA_MASTER!$D$2:$D$5000,0)),"SĐT chưa đăng ký hội viên; ","")&amp;IF(AND($L3742="Đã chuyển khoản",$M3742=""),"Thiếu ngày nhận CK; ",""))</f>
        <v/>
      </c>
      <c r="T3742" s="24" t="n"/>
    </row>
    <row r="3743" ht="14.25" customHeight="1" s="40">
      <c r="A3743" s="24" t="n"/>
      <c r="B3743" s="29" t="n"/>
      <c r="C3743" s="28" t="n"/>
      <c r="D3743" s="22">
        <f t="array" ref="D3743">IF($C3743="","",IFERROR(INDEX(DATA_MASTER!$C$2:$C$5000,MATCH($C3743,DATA_MASTER!$D$2:$D$5000,0)),""))</f>
        <v/>
      </c>
      <c r="E3743" s="22">
        <f t="array" ref="E3743">IF($C3743="","",IFERROR(INDEX(DATA_MASTER!$I$2:$I$5000,MATCH($C3743,DATA_MASTER!$D$2:$D$5000,0)),""))</f>
        <v/>
      </c>
      <c r="F3743" s="22">
        <f t="array" ref="F3743">IF($C3743="","",IFERROR(INDEX(DATA_MASTER!$L$2:$L$5000,MATCH($C3743,DATA_MASTER!$D$2:$D$5000,0)),""))</f>
        <v/>
      </c>
      <c r="G3743" s="24" t="n"/>
      <c r="H3743" s="24" t="n"/>
      <c r="I3743" s="30" t="n"/>
      <c r="J3743" s="23">
        <f>IF(OR($H3743="",$I3743=""),"",$H3743*$I3743)</f>
        <v/>
      </c>
      <c r="K3743" s="24" t="n"/>
      <c r="L3743" s="24" t="n"/>
      <c r="M3743" s="29" t="n"/>
      <c r="N3743" s="28" t="n"/>
      <c r="O3743" s="24" t="n"/>
      <c r="P3743" s="24" t="n"/>
      <c r="Q3743" s="24" t="n"/>
      <c r="R3743" s="24" t="n"/>
      <c r="S3743" s="22">
        <f>IF(AND($A3743="",$C3743=""),"",IF($A3743="","Thiếu mã đơn; ","")&amp;IF(COUNTIF($A$2:$A3743,$A3743)&gt;1,"Trùng mã đơn; ","")&amp;IF(ISNA(MATCH($C3743,DATA_MASTER!$D$2:$D$5000,0)),"SĐT chưa đăng ký hội viên; ","")&amp;IF(AND($L3743="Đã chuyển khoản",$M3743=""),"Thiếu ngày nhận CK; ",""))</f>
        <v/>
      </c>
      <c r="T3743" s="24" t="n"/>
    </row>
    <row r="3744" ht="14.25" customHeight="1" s="40">
      <c r="A3744" s="24" t="n"/>
      <c r="B3744" s="29" t="n"/>
      <c r="C3744" s="28" t="n"/>
      <c r="D3744" s="22">
        <f t="array" ref="D3744">IF($C3744="","",IFERROR(INDEX(DATA_MASTER!$C$2:$C$5000,MATCH($C3744,DATA_MASTER!$D$2:$D$5000,0)),""))</f>
        <v/>
      </c>
      <c r="E3744" s="22">
        <f t="array" ref="E3744">IF($C3744="","",IFERROR(INDEX(DATA_MASTER!$I$2:$I$5000,MATCH($C3744,DATA_MASTER!$D$2:$D$5000,0)),""))</f>
        <v/>
      </c>
      <c r="F3744" s="22">
        <f t="array" ref="F3744">IF($C3744="","",IFERROR(INDEX(DATA_MASTER!$L$2:$L$5000,MATCH($C3744,DATA_MASTER!$D$2:$D$5000,0)),""))</f>
        <v/>
      </c>
      <c r="G3744" s="24" t="n"/>
      <c r="H3744" s="24" t="n"/>
      <c r="I3744" s="30" t="n"/>
      <c r="J3744" s="23">
        <f>IF(OR($H3744="",$I3744=""),"",$H3744*$I3744)</f>
        <v/>
      </c>
      <c r="K3744" s="24" t="n"/>
      <c r="L3744" s="24" t="n"/>
      <c r="M3744" s="29" t="n"/>
      <c r="N3744" s="28" t="n"/>
      <c r="O3744" s="24" t="n"/>
      <c r="P3744" s="24" t="n"/>
      <c r="Q3744" s="24" t="n"/>
      <c r="R3744" s="24" t="n"/>
      <c r="S3744" s="22">
        <f>IF(AND($A3744="",$C3744=""),"",IF($A3744="","Thiếu mã đơn; ","")&amp;IF(COUNTIF($A$2:$A3744,$A3744)&gt;1,"Trùng mã đơn; ","")&amp;IF(ISNA(MATCH($C3744,DATA_MASTER!$D$2:$D$5000,0)),"SĐT chưa đăng ký hội viên; ","")&amp;IF(AND($L3744="Đã chuyển khoản",$M3744=""),"Thiếu ngày nhận CK; ",""))</f>
        <v/>
      </c>
      <c r="T3744" s="24" t="n"/>
    </row>
    <row r="3745" ht="14.25" customHeight="1" s="40">
      <c r="A3745" s="24" t="n"/>
      <c r="B3745" s="29" t="n"/>
      <c r="C3745" s="28" t="n"/>
      <c r="D3745" s="22">
        <f t="array" ref="D3745">IF($C3745="","",IFERROR(INDEX(DATA_MASTER!$C$2:$C$5000,MATCH($C3745,DATA_MASTER!$D$2:$D$5000,0)),""))</f>
        <v/>
      </c>
      <c r="E3745" s="22">
        <f t="array" ref="E3745">IF($C3745="","",IFERROR(INDEX(DATA_MASTER!$I$2:$I$5000,MATCH($C3745,DATA_MASTER!$D$2:$D$5000,0)),""))</f>
        <v/>
      </c>
      <c r="F3745" s="22">
        <f t="array" ref="F3745">IF($C3745="","",IFERROR(INDEX(DATA_MASTER!$L$2:$L$5000,MATCH($C3745,DATA_MASTER!$D$2:$D$5000,0)),""))</f>
        <v/>
      </c>
      <c r="G3745" s="24" t="n"/>
      <c r="H3745" s="24" t="n"/>
      <c r="I3745" s="30" t="n"/>
      <c r="J3745" s="23">
        <f>IF(OR($H3745="",$I3745=""),"",$H3745*$I3745)</f>
        <v/>
      </c>
      <c r="K3745" s="24" t="n"/>
      <c r="L3745" s="24" t="n"/>
      <c r="M3745" s="29" t="n"/>
      <c r="N3745" s="28" t="n"/>
      <c r="O3745" s="24" t="n"/>
      <c r="P3745" s="24" t="n"/>
      <c r="Q3745" s="24" t="n"/>
      <c r="R3745" s="24" t="n"/>
      <c r="S3745" s="22">
        <f>IF(AND($A3745="",$C3745=""),"",IF($A3745="","Thiếu mã đơn; ","")&amp;IF(COUNTIF($A$2:$A3745,$A3745)&gt;1,"Trùng mã đơn; ","")&amp;IF(ISNA(MATCH($C3745,DATA_MASTER!$D$2:$D$5000,0)),"SĐT chưa đăng ký hội viên; ","")&amp;IF(AND($L3745="Đã chuyển khoản",$M3745=""),"Thiếu ngày nhận CK; ",""))</f>
        <v/>
      </c>
      <c r="T3745" s="24" t="n"/>
    </row>
    <row r="3746" ht="14.25" customHeight="1" s="40">
      <c r="A3746" s="24" t="n"/>
      <c r="B3746" s="29" t="n"/>
      <c r="C3746" s="28" t="n"/>
      <c r="D3746" s="22">
        <f t="array" ref="D3746">IF($C3746="","",IFERROR(INDEX(DATA_MASTER!$C$2:$C$5000,MATCH($C3746,DATA_MASTER!$D$2:$D$5000,0)),""))</f>
        <v/>
      </c>
      <c r="E3746" s="22">
        <f t="array" ref="E3746">IF($C3746="","",IFERROR(INDEX(DATA_MASTER!$I$2:$I$5000,MATCH($C3746,DATA_MASTER!$D$2:$D$5000,0)),""))</f>
        <v/>
      </c>
      <c r="F3746" s="22">
        <f t="array" ref="F3746">IF($C3746="","",IFERROR(INDEX(DATA_MASTER!$L$2:$L$5000,MATCH($C3746,DATA_MASTER!$D$2:$D$5000,0)),""))</f>
        <v/>
      </c>
      <c r="G3746" s="24" t="n"/>
      <c r="H3746" s="24" t="n"/>
      <c r="I3746" s="30" t="n"/>
      <c r="J3746" s="23">
        <f>IF(OR($H3746="",$I3746=""),"",$H3746*$I3746)</f>
        <v/>
      </c>
      <c r="K3746" s="24" t="n"/>
      <c r="L3746" s="24" t="n"/>
      <c r="M3746" s="29" t="n"/>
      <c r="N3746" s="28" t="n"/>
      <c r="O3746" s="24" t="n"/>
      <c r="P3746" s="24" t="n"/>
      <c r="Q3746" s="24" t="n"/>
      <c r="R3746" s="24" t="n"/>
      <c r="S3746" s="22">
        <f>IF(AND($A3746="",$C3746=""),"",IF($A3746="","Thiếu mã đơn; ","")&amp;IF(COUNTIF($A$2:$A3746,$A3746)&gt;1,"Trùng mã đơn; ","")&amp;IF(ISNA(MATCH($C3746,DATA_MASTER!$D$2:$D$5000,0)),"SĐT chưa đăng ký hội viên; ","")&amp;IF(AND($L3746="Đã chuyển khoản",$M3746=""),"Thiếu ngày nhận CK; ",""))</f>
        <v/>
      </c>
      <c r="T3746" s="24" t="n"/>
    </row>
    <row r="3747" ht="14.25" customHeight="1" s="40">
      <c r="A3747" s="24" t="n"/>
      <c r="B3747" s="29" t="n"/>
      <c r="C3747" s="28" t="n"/>
      <c r="D3747" s="22">
        <f t="array" ref="D3747">IF($C3747="","",IFERROR(INDEX(DATA_MASTER!$C$2:$C$5000,MATCH($C3747,DATA_MASTER!$D$2:$D$5000,0)),""))</f>
        <v/>
      </c>
      <c r="E3747" s="22">
        <f t="array" ref="E3747">IF($C3747="","",IFERROR(INDEX(DATA_MASTER!$I$2:$I$5000,MATCH($C3747,DATA_MASTER!$D$2:$D$5000,0)),""))</f>
        <v/>
      </c>
      <c r="F3747" s="22">
        <f t="array" ref="F3747">IF($C3747="","",IFERROR(INDEX(DATA_MASTER!$L$2:$L$5000,MATCH($C3747,DATA_MASTER!$D$2:$D$5000,0)),""))</f>
        <v/>
      </c>
      <c r="G3747" s="24" t="n"/>
      <c r="H3747" s="24" t="n"/>
      <c r="I3747" s="30" t="n"/>
      <c r="J3747" s="23">
        <f>IF(OR($H3747="",$I3747=""),"",$H3747*$I3747)</f>
        <v/>
      </c>
      <c r="K3747" s="24" t="n"/>
      <c r="L3747" s="24" t="n"/>
      <c r="M3747" s="29" t="n"/>
      <c r="N3747" s="28" t="n"/>
      <c r="O3747" s="24" t="n"/>
      <c r="P3747" s="24" t="n"/>
      <c r="Q3747" s="24" t="n"/>
      <c r="R3747" s="24" t="n"/>
      <c r="S3747" s="22">
        <f>IF(AND($A3747="",$C3747=""),"",IF($A3747="","Thiếu mã đơn; ","")&amp;IF(COUNTIF($A$2:$A3747,$A3747)&gt;1,"Trùng mã đơn; ","")&amp;IF(ISNA(MATCH($C3747,DATA_MASTER!$D$2:$D$5000,0)),"SĐT chưa đăng ký hội viên; ","")&amp;IF(AND($L3747="Đã chuyển khoản",$M3747=""),"Thiếu ngày nhận CK; ",""))</f>
        <v/>
      </c>
      <c r="T3747" s="24" t="n"/>
    </row>
    <row r="3748" ht="14.25" customHeight="1" s="40">
      <c r="A3748" s="24" t="n"/>
      <c r="B3748" s="29" t="n"/>
      <c r="C3748" s="28" t="n"/>
      <c r="D3748" s="22">
        <f t="array" ref="D3748">IF($C3748="","",IFERROR(INDEX(DATA_MASTER!$C$2:$C$5000,MATCH($C3748,DATA_MASTER!$D$2:$D$5000,0)),""))</f>
        <v/>
      </c>
      <c r="E3748" s="22">
        <f t="array" ref="E3748">IF($C3748="","",IFERROR(INDEX(DATA_MASTER!$I$2:$I$5000,MATCH($C3748,DATA_MASTER!$D$2:$D$5000,0)),""))</f>
        <v/>
      </c>
      <c r="F3748" s="22">
        <f t="array" ref="F3748">IF($C3748="","",IFERROR(INDEX(DATA_MASTER!$L$2:$L$5000,MATCH($C3748,DATA_MASTER!$D$2:$D$5000,0)),""))</f>
        <v/>
      </c>
      <c r="G3748" s="24" t="n"/>
      <c r="H3748" s="24" t="n"/>
      <c r="I3748" s="30" t="n"/>
      <c r="J3748" s="23">
        <f>IF(OR($H3748="",$I3748=""),"",$H3748*$I3748)</f>
        <v/>
      </c>
      <c r="K3748" s="24" t="n"/>
      <c r="L3748" s="24" t="n"/>
      <c r="M3748" s="29" t="n"/>
      <c r="N3748" s="28" t="n"/>
      <c r="O3748" s="24" t="n"/>
      <c r="P3748" s="24" t="n"/>
      <c r="Q3748" s="24" t="n"/>
      <c r="R3748" s="24" t="n"/>
      <c r="S3748" s="22">
        <f>IF(AND($A3748="",$C3748=""),"",IF($A3748="","Thiếu mã đơn; ","")&amp;IF(COUNTIF($A$2:$A3748,$A3748)&gt;1,"Trùng mã đơn; ","")&amp;IF(ISNA(MATCH($C3748,DATA_MASTER!$D$2:$D$5000,0)),"SĐT chưa đăng ký hội viên; ","")&amp;IF(AND($L3748="Đã chuyển khoản",$M3748=""),"Thiếu ngày nhận CK; ",""))</f>
        <v/>
      </c>
      <c r="T3748" s="24" t="n"/>
    </row>
    <row r="3749" ht="14.25" customHeight="1" s="40">
      <c r="A3749" s="24" t="n"/>
      <c r="B3749" s="29" t="n"/>
      <c r="C3749" s="28" t="n"/>
      <c r="D3749" s="22">
        <f t="array" ref="D3749">IF($C3749="","",IFERROR(INDEX(DATA_MASTER!$C$2:$C$5000,MATCH($C3749,DATA_MASTER!$D$2:$D$5000,0)),""))</f>
        <v/>
      </c>
      <c r="E3749" s="22">
        <f t="array" ref="E3749">IF($C3749="","",IFERROR(INDEX(DATA_MASTER!$I$2:$I$5000,MATCH($C3749,DATA_MASTER!$D$2:$D$5000,0)),""))</f>
        <v/>
      </c>
      <c r="F3749" s="22">
        <f t="array" ref="F3749">IF($C3749="","",IFERROR(INDEX(DATA_MASTER!$L$2:$L$5000,MATCH($C3749,DATA_MASTER!$D$2:$D$5000,0)),""))</f>
        <v/>
      </c>
      <c r="G3749" s="24" t="n"/>
      <c r="H3749" s="24" t="n"/>
      <c r="I3749" s="30" t="n"/>
      <c r="J3749" s="23">
        <f>IF(OR($H3749="",$I3749=""),"",$H3749*$I3749)</f>
        <v/>
      </c>
      <c r="K3749" s="24" t="n"/>
      <c r="L3749" s="24" t="n"/>
      <c r="M3749" s="29" t="n"/>
      <c r="N3749" s="28" t="n"/>
      <c r="O3749" s="24" t="n"/>
      <c r="P3749" s="24" t="n"/>
      <c r="Q3749" s="24" t="n"/>
      <c r="R3749" s="24" t="n"/>
      <c r="S3749" s="22">
        <f>IF(AND($A3749="",$C3749=""),"",IF($A3749="","Thiếu mã đơn; ","")&amp;IF(COUNTIF($A$2:$A3749,$A3749)&gt;1,"Trùng mã đơn; ","")&amp;IF(ISNA(MATCH($C3749,DATA_MASTER!$D$2:$D$5000,0)),"SĐT chưa đăng ký hội viên; ","")&amp;IF(AND($L3749="Đã chuyển khoản",$M3749=""),"Thiếu ngày nhận CK; ",""))</f>
        <v/>
      </c>
      <c r="T3749" s="24" t="n"/>
    </row>
    <row r="3750" ht="14.25" customHeight="1" s="40">
      <c r="A3750" s="24" t="n"/>
      <c r="B3750" s="29" t="n"/>
      <c r="C3750" s="28" t="n"/>
      <c r="D3750" s="22">
        <f t="array" ref="D3750">IF($C3750="","",IFERROR(INDEX(DATA_MASTER!$C$2:$C$5000,MATCH($C3750,DATA_MASTER!$D$2:$D$5000,0)),""))</f>
        <v/>
      </c>
      <c r="E3750" s="22">
        <f t="array" ref="E3750">IF($C3750="","",IFERROR(INDEX(DATA_MASTER!$I$2:$I$5000,MATCH($C3750,DATA_MASTER!$D$2:$D$5000,0)),""))</f>
        <v/>
      </c>
      <c r="F3750" s="22">
        <f t="array" ref="F3750">IF($C3750="","",IFERROR(INDEX(DATA_MASTER!$L$2:$L$5000,MATCH($C3750,DATA_MASTER!$D$2:$D$5000,0)),""))</f>
        <v/>
      </c>
      <c r="G3750" s="24" t="n"/>
      <c r="H3750" s="24" t="n"/>
      <c r="I3750" s="30" t="n"/>
      <c r="J3750" s="23">
        <f>IF(OR($H3750="",$I3750=""),"",$H3750*$I3750)</f>
        <v/>
      </c>
      <c r="K3750" s="24" t="n"/>
      <c r="L3750" s="24" t="n"/>
      <c r="M3750" s="29" t="n"/>
      <c r="N3750" s="28" t="n"/>
      <c r="O3750" s="24" t="n"/>
      <c r="P3750" s="24" t="n"/>
      <c r="Q3750" s="24" t="n"/>
      <c r="R3750" s="24" t="n"/>
      <c r="S3750" s="22">
        <f>IF(AND($A3750="",$C3750=""),"",IF($A3750="","Thiếu mã đơn; ","")&amp;IF(COUNTIF($A$2:$A3750,$A3750)&gt;1,"Trùng mã đơn; ","")&amp;IF(ISNA(MATCH($C3750,DATA_MASTER!$D$2:$D$5000,0)),"SĐT chưa đăng ký hội viên; ","")&amp;IF(AND($L3750="Đã chuyển khoản",$M3750=""),"Thiếu ngày nhận CK; ",""))</f>
        <v/>
      </c>
      <c r="T3750" s="24" t="n"/>
    </row>
    <row r="3751" ht="14.25" customHeight="1" s="40">
      <c r="A3751" s="24" t="n"/>
      <c r="B3751" s="29" t="n"/>
      <c r="C3751" s="28" t="n"/>
      <c r="D3751" s="22">
        <f t="array" ref="D3751">IF($C3751="","",IFERROR(INDEX(DATA_MASTER!$C$2:$C$5000,MATCH($C3751,DATA_MASTER!$D$2:$D$5000,0)),""))</f>
        <v/>
      </c>
      <c r="E3751" s="22">
        <f t="array" ref="E3751">IF($C3751="","",IFERROR(INDEX(DATA_MASTER!$I$2:$I$5000,MATCH($C3751,DATA_MASTER!$D$2:$D$5000,0)),""))</f>
        <v/>
      </c>
      <c r="F3751" s="22">
        <f t="array" ref="F3751">IF($C3751="","",IFERROR(INDEX(DATA_MASTER!$L$2:$L$5000,MATCH($C3751,DATA_MASTER!$D$2:$D$5000,0)),""))</f>
        <v/>
      </c>
      <c r="G3751" s="24" t="n"/>
      <c r="H3751" s="24" t="n"/>
      <c r="I3751" s="30" t="n"/>
      <c r="J3751" s="23">
        <f>IF(OR($H3751="",$I3751=""),"",$H3751*$I3751)</f>
        <v/>
      </c>
      <c r="K3751" s="24" t="n"/>
      <c r="L3751" s="24" t="n"/>
      <c r="M3751" s="29" t="n"/>
      <c r="N3751" s="28" t="n"/>
      <c r="O3751" s="24" t="n"/>
      <c r="P3751" s="24" t="n"/>
      <c r="Q3751" s="24" t="n"/>
      <c r="R3751" s="24" t="n"/>
      <c r="S3751" s="22">
        <f>IF(AND($A3751="",$C3751=""),"",IF($A3751="","Thiếu mã đơn; ","")&amp;IF(COUNTIF($A$2:$A3751,$A3751)&gt;1,"Trùng mã đơn; ","")&amp;IF(ISNA(MATCH($C3751,DATA_MASTER!$D$2:$D$5000,0)),"SĐT chưa đăng ký hội viên; ","")&amp;IF(AND($L3751="Đã chuyển khoản",$M3751=""),"Thiếu ngày nhận CK; ",""))</f>
        <v/>
      </c>
      <c r="T3751" s="24" t="n"/>
    </row>
    <row r="3752" ht="14.25" customHeight="1" s="40">
      <c r="A3752" s="24" t="n"/>
      <c r="B3752" s="29" t="n"/>
      <c r="C3752" s="28" t="n"/>
      <c r="D3752" s="22">
        <f t="array" ref="D3752">IF($C3752="","",IFERROR(INDEX(DATA_MASTER!$C$2:$C$5000,MATCH($C3752,DATA_MASTER!$D$2:$D$5000,0)),""))</f>
        <v/>
      </c>
      <c r="E3752" s="22">
        <f t="array" ref="E3752">IF($C3752="","",IFERROR(INDEX(DATA_MASTER!$I$2:$I$5000,MATCH($C3752,DATA_MASTER!$D$2:$D$5000,0)),""))</f>
        <v/>
      </c>
      <c r="F3752" s="22">
        <f t="array" ref="F3752">IF($C3752="","",IFERROR(INDEX(DATA_MASTER!$L$2:$L$5000,MATCH($C3752,DATA_MASTER!$D$2:$D$5000,0)),""))</f>
        <v/>
      </c>
      <c r="G3752" s="24" t="n"/>
      <c r="H3752" s="24" t="n"/>
      <c r="I3752" s="30" t="n"/>
      <c r="J3752" s="23">
        <f>IF(OR($H3752="",$I3752=""),"",$H3752*$I3752)</f>
        <v/>
      </c>
      <c r="K3752" s="24" t="n"/>
      <c r="L3752" s="24" t="n"/>
      <c r="M3752" s="29" t="n"/>
      <c r="N3752" s="28" t="n"/>
      <c r="O3752" s="24" t="n"/>
      <c r="P3752" s="24" t="n"/>
      <c r="Q3752" s="24" t="n"/>
      <c r="R3752" s="24" t="n"/>
      <c r="S3752" s="22">
        <f>IF(AND($A3752="",$C3752=""),"",IF($A3752="","Thiếu mã đơn; ","")&amp;IF(COUNTIF($A$2:$A3752,$A3752)&gt;1,"Trùng mã đơn; ","")&amp;IF(ISNA(MATCH($C3752,DATA_MASTER!$D$2:$D$5000,0)),"SĐT chưa đăng ký hội viên; ","")&amp;IF(AND($L3752="Đã chuyển khoản",$M3752=""),"Thiếu ngày nhận CK; ",""))</f>
        <v/>
      </c>
      <c r="T3752" s="24" t="n"/>
    </row>
    <row r="3753" ht="14.25" customHeight="1" s="40">
      <c r="A3753" s="24" t="n"/>
      <c r="B3753" s="29" t="n"/>
      <c r="C3753" s="28" t="n"/>
      <c r="D3753" s="22">
        <f t="array" ref="D3753">IF($C3753="","",IFERROR(INDEX(DATA_MASTER!$C$2:$C$5000,MATCH($C3753,DATA_MASTER!$D$2:$D$5000,0)),""))</f>
        <v/>
      </c>
      <c r="E3753" s="22">
        <f t="array" ref="E3753">IF($C3753="","",IFERROR(INDEX(DATA_MASTER!$I$2:$I$5000,MATCH($C3753,DATA_MASTER!$D$2:$D$5000,0)),""))</f>
        <v/>
      </c>
      <c r="F3753" s="22">
        <f t="array" ref="F3753">IF($C3753="","",IFERROR(INDEX(DATA_MASTER!$L$2:$L$5000,MATCH($C3753,DATA_MASTER!$D$2:$D$5000,0)),""))</f>
        <v/>
      </c>
      <c r="G3753" s="24" t="n"/>
      <c r="H3753" s="24" t="n"/>
      <c r="I3753" s="30" t="n"/>
      <c r="J3753" s="23">
        <f>IF(OR($H3753="",$I3753=""),"",$H3753*$I3753)</f>
        <v/>
      </c>
      <c r="K3753" s="24" t="n"/>
      <c r="L3753" s="24" t="n"/>
      <c r="M3753" s="29" t="n"/>
      <c r="N3753" s="28" t="n"/>
      <c r="O3753" s="24" t="n"/>
      <c r="P3753" s="24" t="n"/>
      <c r="Q3753" s="24" t="n"/>
      <c r="R3753" s="24" t="n"/>
      <c r="S3753" s="22">
        <f>IF(AND($A3753="",$C3753=""),"",IF($A3753="","Thiếu mã đơn; ","")&amp;IF(COUNTIF($A$2:$A3753,$A3753)&gt;1,"Trùng mã đơn; ","")&amp;IF(ISNA(MATCH($C3753,DATA_MASTER!$D$2:$D$5000,0)),"SĐT chưa đăng ký hội viên; ","")&amp;IF(AND($L3753="Đã chuyển khoản",$M3753=""),"Thiếu ngày nhận CK; ",""))</f>
        <v/>
      </c>
      <c r="T3753" s="24" t="n"/>
    </row>
    <row r="3754" ht="14.25" customHeight="1" s="40">
      <c r="A3754" s="24" t="n"/>
      <c r="B3754" s="29" t="n"/>
      <c r="C3754" s="28" t="n"/>
      <c r="D3754" s="22">
        <f t="array" ref="D3754">IF($C3754="","",IFERROR(INDEX(DATA_MASTER!$C$2:$C$5000,MATCH($C3754,DATA_MASTER!$D$2:$D$5000,0)),""))</f>
        <v/>
      </c>
      <c r="E3754" s="22">
        <f t="array" ref="E3754">IF($C3754="","",IFERROR(INDEX(DATA_MASTER!$I$2:$I$5000,MATCH($C3754,DATA_MASTER!$D$2:$D$5000,0)),""))</f>
        <v/>
      </c>
      <c r="F3754" s="22">
        <f t="array" ref="F3754">IF($C3754="","",IFERROR(INDEX(DATA_MASTER!$L$2:$L$5000,MATCH($C3754,DATA_MASTER!$D$2:$D$5000,0)),""))</f>
        <v/>
      </c>
      <c r="G3754" s="24" t="n"/>
      <c r="H3754" s="24" t="n"/>
      <c r="I3754" s="30" t="n"/>
      <c r="J3754" s="23">
        <f>IF(OR($H3754="",$I3754=""),"",$H3754*$I3754)</f>
        <v/>
      </c>
      <c r="K3754" s="24" t="n"/>
      <c r="L3754" s="24" t="n"/>
      <c r="M3754" s="29" t="n"/>
      <c r="N3754" s="28" t="n"/>
      <c r="O3754" s="24" t="n"/>
      <c r="P3754" s="24" t="n"/>
      <c r="Q3754" s="24" t="n"/>
      <c r="R3754" s="24" t="n"/>
      <c r="S3754" s="22">
        <f>IF(AND($A3754="",$C3754=""),"",IF($A3754="","Thiếu mã đơn; ","")&amp;IF(COUNTIF($A$2:$A3754,$A3754)&gt;1,"Trùng mã đơn; ","")&amp;IF(ISNA(MATCH($C3754,DATA_MASTER!$D$2:$D$5000,0)),"SĐT chưa đăng ký hội viên; ","")&amp;IF(AND($L3754="Đã chuyển khoản",$M3754=""),"Thiếu ngày nhận CK; ",""))</f>
        <v/>
      </c>
      <c r="T3754" s="24" t="n"/>
    </row>
    <row r="3755" ht="14.25" customHeight="1" s="40">
      <c r="A3755" s="24" t="n"/>
      <c r="B3755" s="29" t="n"/>
      <c r="C3755" s="28" t="n"/>
      <c r="D3755" s="22">
        <f t="array" ref="D3755">IF($C3755="","",IFERROR(INDEX(DATA_MASTER!$C$2:$C$5000,MATCH($C3755,DATA_MASTER!$D$2:$D$5000,0)),""))</f>
        <v/>
      </c>
      <c r="E3755" s="22">
        <f t="array" ref="E3755">IF($C3755="","",IFERROR(INDEX(DATA_MASTER!$I$2:$I$5000,MATCH($C3755,DATA_MASTER!$D$2:$D$5000,0)),""))</f>
        <v/>
      </c>
      <c r="F3755" s="22">
        <f t="array" ref="F3755">IF($C3755="","",IFERROR(INDEX(DATA_MASTER!$L$2:$L$5000,MATCH($C3755,DATA_MASTER!$D$2:$D$5000,0)),""))</f>
        <v/>
      </c>
      <c r="G3755" s="24" t="n"/>
      <c r="H3755" s="24" t="n"/>
      <c r="I3755" s="30" t="n"/>
      <c r="J3755" s="23">
        <f>IF(OR($H3755="",$I3755=""),"",$H3755*$I3755)</f>
        <v/>
      </c>
      <c r="K3755" s="24" t="n"/>
      <c r="L3755" s="24" t="n"/>
      <c r="M3755" s="29" t="n"/>
      <c r="N3755" s="28" t="n"/>
      <c r="O3755" s="24" t="n"/>
      <c r="P3755" s="24" t="n"/>
      <c r="Q3755" s="24" t="n"/>
      <c r="R3755" s="24" t="n"/>
      <c r="S3755" s="22">
        <f>IF(AND($A3755="",$C3755=""),"",IF($A3755="","Thiếu mã đơn; ","")&amp;IF(COUNTIF($A$2:$A3755,$A3755)&gt;1,"Trùng mã đơn; ","")&amp;IF(ISNA(MATCH($C3755,DATA_MASTER!$D$2:$D$5000,0)),"SĐT chưa đăng ký hội viên; ","")&amp;IF(AND($L3755="Đã chuyển khoản",$M3755=""),"Thiếu ngày nhận CK; ",""))</f>
        <v/>
      </c>
      <c r="T3755" s="24" t="n"/>
    </row>
    <row r="3756" ht="14.25" customHeight="1" s="40">
      <c r="A3756" s="24" t="n"/>
      <c r="B3756" s="29" t="n"/>
      <c r="C3756" s="28" t="n"/>
      <c r="D3756" s="22">
        <f t="array" ref="D3756">IF($C3756="","",IFERROR(INDEX(DATA_MASTER!$C$2:$C$5000,MATCH($C3756,DATA_MASTER!$D$2:$D$5000,0)),""))</f>
        <v/>
      </c>
      <c r="E3756" s="22">
        <f t="array" ref="E3756">IF($C3756="","",IFERROR(INDEX(DATA_MASTER!$I$2:$I$5000,MATCH($C3756,DATA_MASTER!$D$2:$D$5000,0)),""))</f>
        <v/>
      </c>
      <c r="F3756" s="22">
        <f t="array" ref="F3756">IF($C3756="","",IFERROR(INDEX(DATA_MASTER!$L$2:$L$5000,MATCH($C3756,DATA_MASTER!$D$2:$D$5000,0)),""))</f>
        <v/>
      </c>
      <c r="G3756" s="24" t="n"/>
      <c r="H3756" s="24" t="n"/>
      <c r="I3756" s="30" t="n"/>
      <c r="J3756" s="23">
        <f>IF(OR($H3756="",$I3756=""),"",$H3756*$I3756)</f>
        <v/>
      </c>
      <c r="K3756" s="24" t="n"/>
      <c r="L3756" s="24" t="n"/>
      <c r="M3756" s="29" t="n"/>
      <c r="N3756" s="28" t="n"/>
      <c r="O3756" s="24" t="n"/>
      <c r="P3756" s="24" t="n"/>
      <c r="Q3756" s="24" t="n"/>
      <c r="R3756" s="24" t="n"/>
      <c r="S3756" s="22">
        <f>IF(AND($A3756="",$C3756=""),"",IF($A3756="","Thiếu mã đơn; ","")&amp;IF(COUNTIF($A$2:$A3756,$A3756)&gt;1,"Trùng mã đơn; ","")&amp;IF(ISNA(MATCH($C3756,DATA_MASTER!$D$2:$D$5000,0)),"SĐT chưa đăng ký hội viên; ","")&amp;IF(AND($L3756="Đã chuyển khoản",$M3756=""),"Thiếu ngày nhận CK; ",""))</f>
        <v/>
      </c>
      <c r="T3756" s="24" t="n"/>
    </row>
    <row r="3757" ht="14.25" customHeight="1" s="40">
      <c r="A3757" s="24" t="n"/>
      <c r="B3757" s="29" t="n"/>
      <c r="C3757" s="28" t="n"/>
      <c r="D3757" s="22">
        <f t="array" ref="D3757">IF($C3757="","",IFERROR(INDEX(DATA_MASTER!$C$2:$C$5000,MATCH($C3757,DATA_MASTER!$D$2:$D$5000,0)),""))</f>
        <v/>
      </c>
      <c r="E3757" s="22">
        <f t="array" ref="E3757">IF($C3757="","",IFERROR(INDEX(DATA_MASTER!$I$2:$I$5000,MATCH($C3757,DATA_MASTER!$D$2:$D$5000,0)),""))</f>
        <v/>
      </c>
      <c r="F3757" s="22">
        <f t="array" ref="F3757">IF($C3757="","",IFERROR(INDEX(DATA_MASTER!$L$2:$L$5000,MATCH($C3757,DATA_MASTER!$D$2:$D$5000,0)),""))</f>
        <v/>
      </c>
      <c r="G3757" s="24" t="n"/>
      <c r="H3757" s="24" t="n"/>
      <c r="I3757" s="30" t="n"/>
      <c r="J3757" s="23">
        <f>IF(OR($H3757="",$I3757=""),"",$H3757*$I3757)</f>
        <v/>
      </c>
      <c r="K3757" s="24" t="n"/>
      <c r="L3757" s="24" t="n"/>
      <c r="M3757" s="29" t="n"/>
      <c r="N3757" s="28" t="n"/>
      <c r="O3757" s="24" t="n"/>
      <c r="P3757" s="24" t="n"/>
      <c r="Q3757" s="24" t="n"/>
      <c r="R3757" s="24" t="n"/>
      <c r="S3757" s="22">
        <f>IF(AND($A3757="",$C3757=""),"",IF($A3757="","Thiếu mã đơn; ","")&amp;IF(COUNTIF($A$2:$A3757,$A3757)&gt;1,"Trùng mã đơn; ","")&amp;IF(ISNA(MATCH($C3757,DATA_MASTER!$D$2:$D$5000,0)),"SĐT chưa đăng ký hội viên; ","")&amp;IF(AND($L3757="Đã chuyển khoản",$M3757=""),"Thiếu ngày nhận CK; ",""))</f>
        <v/>
      </c>
      <c r="T3757" s="24" t="n"/>
    </row>
    <row r="3758" ht="14.25" customHeight="1" s="40">
      <c r="A3758" s="24" t="n"/>
      <c r="B3758" s="29" t="n"/>
      <c r="C3758" s="28" t="n"/>
      <c r="D3758" s="22">
        <f t="array" ref="D3758">IF($C3758="","",IFERROR(INDEX(DATA_MASTER!$C$2:$C$5000,MATCH($C3758,DATA_MASTER!$D$2:$D$5000,0)),""))</f>
        <v/>
      </c>
      <c r="E3758" s="22">
        <f t="array" ref="E3758">IF($C3758="","",IFERROR(INDEX(DATA_MASTER!$I$2:$I$5000,MATCH($C3758,DATA_MASTER!$D$2:$D$5000,0)),""))</f>
        <v/>
      </c>
      <c r="F3758" s="22">
        <f t="array" ref="F3758">IF($C3758="","",IFERROR(INDEX(DATA_MASTER!$L$2:$L$5000,MATCH($C3758,DATA_MASTER!$D$2:$D$5000,0)),""))</f>
        <v/>
      </c>
      <c r="G3758" s="24" t="n"/>
      <c r="H3758" s="24" t="n"/>
      <c r="I3758" s="30" t="n"/>
      <c r="J3758" s="23">
        <f>IF(OR($H3758="",$I3758=""),"",$H3758*$I3758)</f>
        <v/>
      </c>
      <c r="K3758" s="24" t="n"/>
      <c r="L3758" s="24" t="n"/>
      <c r="M3758" s="29" t="n"/>
      <c r="N3758" s="28" t="n"/>
      <c r="O3758" s="24" t="n"/>
      <c r="P3758" s="24" t="n"/>
      <c r="Q3758" s="24" t="n"/>
      <c r="R3758" s="24" t="n"/>
      <c r="S3758" s="22">
        <f>IF(AND($A3758="",$C3758=""),"",IF($A3758="","Thiếu mã đơn; ","")&amp;IF(COUNTIF($A$2:$A3758,$A3758)&gt;1,"Trùng mã đơn; ","")&amp;IF(ISNA(MATCH($C3758,DATA_MASTER!$D$2:$D$5000,0)),"SĐT chưa đăng ký hội viên; ","")&amp;IF(AND($L3758="Đã chuyển khoản",$M3758=""),"Thiếu ngày nhận CK; ",""))</f>
        <v/>
      </c>
      <c r="T3758" s="24" t="n"/>
    </row>
    <row r="3759" ht="14.25" customHeight="1" s="40">
      <c r="A3759" s="24" t="n"/>
      <c r="B3759" s="29" t="n"/>
      <c r="C3759" s="28" t="n"/>
      <c r="D3759" s="22">
        <f t="array" ref="D3759">IF($C3759="","",IFERROR(INDEX(DATA_MASTER!$C$2:$C$5000,MATCH($C3759,DATA_MASTER!$D$2:$D$5000,0)),""))</f>
        <v/>
      </c>
      <c r="E3759" s="22">
        <f t="array" ref="E3759">IF($C3759="","",IFERROR(INDEX(DATA_MASTER!$I$2:$I$5000,MATCH($C3759,DATA_MASTER!$D$2:$D$5000,0)),""))</f>
        <v/>
      </c>
      <c r="F3759" s="22">
        <f t="array" ref="F3759">IF($C3759="","",IFERROR(INDEX(DATA_MASTER!$L$2:$L$5000,MATCH($C3759,DATA_MASTER!$D$2:$D$5000,0)),""))</f>
        <v/>
      </c>
      <c r="G3759" s="24" t="n"/>
      <c r="H3759" s="24" t="n"/>
      <c r="I3759" s="30" t="n"/>
      <c r="J3759" s="23">
        <f>IF(OR($H3759="",$I3759=""),"",$H3759*$I3759)</f>
        <v/>
      </c>
      <c r="K3759" s="24" t="n"/>
      <c r="L3759" s="24" t="n"/>
      <c r="M3759" s="29" t="n"/>
      <c r="N3759" s="28" t="n"/>
      <c r="O3759" s="24" t="n"/>
      <c r="P3759" s="24" t="n"/>
      <c r="Q3759" s="24" t="n"/>
      <c r="R3759" s="24" t="n"/>
      <c r="S3759" s="22">
        <f>IF(AND($A3759="",$C3759=""),"",IF($A3759="","Thiếu mã đơn; ","")&amp;IF(COUNTIF($A$2:$A3759,$A3759)&gt;1,"Trùng mã đơn; ","")&amp;IF(ISNA(MATCH($C3759,DATA_MASTER!$D$2:$D$5000,0)),"SĐT chưa đăng ký hội viên; ","")&amp;IF(AND($L3759="Đã chuyển khoản",$M3759=""),"Thiếu ngày nhận CK; ",""))</f>
        <v/>
      </c>
      <c r="T3759" s="24" t="n"/>
    </row>
    <row r="3760" ht="14.25" customHeight="1" s="40">
      <c r="A3760" s="24" t="n"/>
      <c r="B3760" s="29" t="n"/>
      <c r="C3760" s="28" t="n"/>
      <c r="D3760" s="22">
        <f t="array" ref="D3760">IF($C3760="","",IFERROR(INDEX(DATA_MASTER!$C$2:$C$5000,MATCH($C3760,DATA_MASTER!$D$2:$D$5000,0)),""))</f>
        <v/>
      </c>
      <c r="E3760" s="22">
        <f t="array" ref="E3760">IF($C3760="","",IFERROR(INDEX(DATA_MASTER!$I$2:$I$5000,MATCH($C3760,DATA_MASTER!$D$2:$D$5000,0)),""))</f>
        <v/>
      </c>
      <c r="F3760" s="22">
        <f t="array" ref="F3760">IF($C3760="","",IFERROR(INDEX(DATA_MASTER!$L$2:$L$5000,MATCH($C3760,DATA_MASTER!$D$2:$D$5000,0)),""))</f>
        <v/>
      </c>
      <c r="G3760" s="24" t="n"/>
      <c r="H3760" s="24" t="n"/>
      <c r="I3760" s="30" t="n"/>
      <c r="J3760" s="23">
        <f>IF(OR($H3760="",$I3760=""),"",$H3760*$I3760)</f>
        <v/>
      </c>
      <c r="K3760" s="24" t="n"/>
      <c r="L3760" s="24" t="n"/>
      <c r="M3760" s="29" t="n"/>
      <c r="N3760" s="28" t="n"/>
      <c r="O3760" s="24" t="n"/>
      <c r="P3760" s="24" t="n"/>
      <c r="Q3760" s="24" t="n"/>
      <c r="R3760" s="24" t="n"/>
      <c r="S3760" s="22">
        <f>IF(AND($A3760="",$C3760=""),"",IF($A3760="","Thiếu mã đơn; ","")&amp;IF(COUNTIF($A$2:$A3760,$A3760)&gt;1,"Trùng mã đơn; ","")&amp;IF(ISNA(MATCH($C3760,DATA_MASTER!$D$2:$D$5000,0)),"SĐT chưa đăng ký hội viên; ","")&amp;IF(AND($L3760="Đã chuyển khoản",$M3760=""),"Thiếu ngày nhận CK; ",""))</f>
        <v/>
      </c>
      <c r="T3760" s="24" t="n"/>
    </row>
    <row r="3761" ht="14.25" customHeight="1" s="40">
      <c r="A3761" s="24" t="n"/>
      <c r="B3761" s="29" t="n"/>
      <c r="C3761" s="28" t="n"/>
      <c r="D3761" s="22">
        <f t="array" ref="D3761">IF($C3761="","",IFERROR(INDEX(DATA_MASTER!$C$2:$C$5000,MATCH($C3761,DATA_MASTER!$D$2:$D$5000,0)),""))</f>
        <v/>
      </c>
      <c r="E3761" s="22">
        <f t="array" ref="E3761">IF($C3761="","",IFERROR(INDEX(DATA_MASTER!$I$2:$I$5000,MATCH($C3761,DATA_MASTER!$D$2:$D$5000,0)),""))</f>
        <v/>
      </c>
      <c r="F3761" s="22">
        <f t="array" ref="F3761">IF($C3761="","",IFERROR(INDEX(DATA_MASTER!$L$2:$L$5000,MATCH($C3761,DATA_MASTER!$D$2:$D$5000,0)),""))</f>
        <v/>
      </c>
      <c r="G3761" s="24" t="n"/>
      <c r="H3761" s="24" t="n"/>
      <c r="I3761" s="30" t="n"/>
      <c r="J3761" s="23">
        <f>IF(OR($H3761="",$I3761=""),"",$H3761*$I3761)</f>
        <v/>
      </c>
      <c r="K3761" s="24" t="n"/>
      <c r="L3761" s="24" t="n"/>
      <c r="M3761" s="29" t="n"/>
      <c r="N3761" s="28" t="n"/>
      <c r="O3761" s="24" t="n"/>
      <c r="P3761" s="24" t="n"/>
      <c r="Q3761" s="24" t="n"/>
      <c r="R3761" s="24" t="n"/>
      <c r="S3761" s="22">
        <f>IF(AND($A3761="",$C3761=""),"",IF($A3761="","Thiếu mã đơn; ","")&amp;IF(COUNTIF($A$2:$A3761,$A3761)&gt;1,"Trùng mã đơn; ","")&amp;IF(ISNA(MATCH($C3761,DATA_MASTER!$D$2:$D$5000,0)),"SĐT chưa đăng ký hội viên; ","")&amp;IF(AND($L3761="Đã chuyển khoản",$M3761=""),"Thiếu ngày nhận CK; ",""))</f>
        <v/>
      </c>
      <c r="T3761" s="24" t="n"/>
    </row>
    <row r="3762" ht="14.25" customHeight="1" s="40">
      <c r="A3762" s="24" t="n"/>
      <c r="B3762" s="29" t="n"/>
      <c r="C3762" s="28" t="n"/>
      <c r="D3762" s="22">
        <f t="array" ref="D3762">IF($C3762="","",IFERROR(INDEX(DATA_MASTER!$C$2:$C$5000,MATCH($C3762,DATA_MASTER!$D$2:$D$5000,0)),""))</f>
        <v/>
      </c>
      <c r="E3762" s="22">
        <f t="array" ref="E3762">IF($C3762="","",IFERROR(INDEX(DATA_MASTER!$I$2:$I$5000,MATCH($C3762,DATA_MASTER!$D$2:$D$5000,0)),""))</f>
        <v/>
      </c>
      <c r="F3762" s="22">
        <f t="array" ref="F3762">IF($C3762="","",IFERROR(INDEX(DATA_MASTER!$L$2:$L$5000,MATCH($C3762,DATA_MASTER!$D$2:$D$5000,0)),""))</f>
        <v/>
      </c>
      <c r="G3762" s="24" t="n"/>
      <c r="H3762" s="24" t="n"/>
      <c r="I3762" s="30" t="n"/>
      <c r="J3762" s="23">
        <f>IF(OR($H3762="",$I3762=""),"",$H3762*$I3762)</f>
        <v/>
      </c>
      <c r="K3762" s="24" t="n"/>
      <c r="L3762" s="24" t="n"/>
      <c r="M3762" s="29" t="n"/>
      <c r="N3762" s="28" t="n"/>
      <c r="O3762" s="24" t="n"/>
      <c r="P3762" s="24" t="n"/>
      <c r="Q3762" s="24" t="n"/>
      <c r="R3762" s="24" t="n"/>
      <c r="S3762" s="22">
        <f>IF(AND($A3762="",$C3762=""),"",IF($A3762="","Thiếu mã đơn; ","")&amp;IF(COUNTIF($A$2:$A3762,$A3762)&gt;1,"Trùng mã đơn; ","")&amp;IF(ISNA(MATCH($C3762,DATA_MASTER!$D$2:$D$5000,0)),"SĐT chưa đăng ký hội viên; ","")&amp;IF(AND($L3762="Đã chuyển khoản",$M3762=""),"Thiếu ngày nhận CK; ",""))</f>
        <v/>
      </c>
      <c r="T3762" s="24" t="n"/>
    </row>
    <row r="3763" ht="14.25" customHeight="1" s="40">
      <c r="A3763" s="24" t="n"/>
      <c r="B3763" s="29" t="n"/>
      <c r="C3763" s="28" t="n"/>
      <c r="D3763" s="22">
        <f t="array" ref="D3763">IF($C3763="","",IFERROR(INDEX(DATA_MASTER!$C$2:$C$5000,MATCH($C3763,DATA_MASTER!$D$2:$D$5000,0)),""))</f>
        <v/>
      </c>
      <c r="E3763" s="22">
        <f t="array" ref="E3763">IF($C3763="","",IFERROR(INDEX(DATA_MASTER!$I$2:$I$5000,MATCH($C3763,DATA_MASTER!$D$2:$D$5000,0)),""))</f>
        <v/>
      </c>
      <c r="F3763" s="22">
        <f t="array" ref="F3763">IF($C3763="","",IFERROR(INDEX(DATA_MASTER!$L$2:$L$5000,MATCH($C3763,DATA_MASTER!$D$2:$D$5000,0)),""))</f>
        <v/>
      </c>
      <c r="G3763" s="24" t="n"/>
      <c r="H3763" s="24" t="n"/>
      <c r="I3763" s="30" t="n"/>
      <c r="J3763" s="23">
        <f>IF(OR($H3763="",$I3763=""),"",$H3763*$I3763)</f>
        <v/>
      </c>
      <c r="K3763" s="24" t="n"/>
      <c r="L3763" s="24" t="n"/>
      <c r="M3763" s="29" t="n"/>
      <c r="N3763" s="28" t="n"/>
      <c r="O3763" s="24" t="n"/>
      <c r="P3763" s="24" t="n"/>
      <c r="Q3763" s="24" t="n"/>
      <c r="R3763" s="24" t="n"/>
      <c r="S3763" s="22">
        <f>IF(AND($A3763="",$C3763=""),"",IF($A3763="","Thiếu mã đơn; ","")&amp;IF(COUNTIF($A$2:$A3763,$A3763)&gt;1,"Trùng mã đơn; ","")&amp;IF(ISNA(MATCH($C3763,DATA_MASTER!$D$2:$D$5000,0)),"SĐT chưa đăng ký hội viên; ","")&amp;IF(AND($L3763="Đã chuyển khoản",$M3763=""),"Thiếu ngày nhận CK; ",""))</f>
        <v/>
      </c>
      <c r="T3763" s="24" t="n"/>
    </row>
    <row r="3764" ht="14.25" customHeight="1" s="40">
      <c r="A3764" s="24" t="n"/>
      <c r="B3764" s="29" t="n"/>
      <c r="C3764" s="28" t="n"/>
      <c r="D3764" s="22">
        <f t="array" ref="D3764">IF($C3764="","",IFERROR(INDEX(DATA_MASTER!$C$2:$C$5000,MATCH($C3764,DATA_MASTER!$D$2:$D$5000,0)),""))</f>
        <v/>
      </c>
      <c r="E3764" s="22">
        <f t="array" ref="E3764">IF($C3764="","",IFERROR(INDEX(DATA_MASTER!$I$2:$I$5000,MATCH($C3764,DATA_MASTER!$D$2:$D$5000,0)),""))</f>
        <v/>
      </c>
      <c r="F3764" s="22">
        <f t="array" ref="F3764">IF($C3764="","",IFERROR(INDEX(DATA_MASTER!$L$2:$L$5000,MATCH($C3764,DATA_MASTER!$D$2:$D$5000,0)),""))</f>
        <v/>
      </c>
      <c r="G3764" s="24" t="n"/>
      <c r="H3764" s="24" t="n"/>
      <c r="I3764" s="30" t="n"/>
      <c r="J3764" s="23">
        <f>IF(OR($H3764="",$I3764=""),"",$H3764*$I3764)</f>
        <v/>
      </c>
      <c r="K3764" s="24" t="n"/>
      <c r="L3764" s="24" t="n"/>
      <c r="M3764" s="29" t="n"/>
      <c r="N3764" s="28" t="n"/>
      <c r="O3764" s="24" t="n"/>
      <c r="P3764" s="24" t="n"/>
      <c r="Q3764" s="24" t="n"/>
      <c r="R3764" s="24" t="n"/>
      <c r="S3764" s="22">
        <f>IF(AND($A3764="",$C3764=""),"",IF($A3764="","Thiếu mã đơn; ","")&amp;IF(COUNTIF($A$2:$A3764,$A3764)&gt;1,"Trùng mã đơn; ","")&amp;IF(ISNA(MATCH($C3764,DATA_MASTER!$D$2:$D$5000,0)),"SĐT chưa đăng ký hội viên; ","")&amp;IF(AND($L3764="Đã chuyển khoản",$M3764=""),"Thiếu ngày nhận CK; ",""))</f>
        <v/>
      </c>
      <c r="T3764" s="24" t="n"/>
    </row>
    <row r="3765" ht="14.25" customHeight="1" s="40">
      <c r="A3765" s="24" t="n"/>
      <c r="B3765" s="29" t="n"/>
      <c r="C3765" s="28" t="n"/>
      <c r="D3765" s="22">
        <f t="array" ref="D3765">IF($C3765="","",IFERROR(INDEX(DATA_MASTER!$C$2:$C$5000,MATCH($C3765,DATA_MASTER!$D$2:$D$5000,0)),""))</f>
        <v/>
      </c>
      <c r="E3765" s="22">
        <f t="array" ref="E3765">IF($C3765="","",IFERROR(INDEX(DATA_MASTER!$I$2:$I$5000,MATCH($C3765,DATA_MASTER!$D$2:$D$5000,0)),""))</f>
        <v/>
      </c>
      <c r="F3765" s="22">
        <f t="array" ref="F3765">IF($C3765="","",IFERROR(INDEX(DATA_MASTER!$L$2:$L$5000,MATCH($C3765,DATA_MASTER!$D$2:$D$5000,0)),""))</f>
        <v/>
      </c>
      <c r="G3765" s="24" t="n"/>
      <c r="H3765" s="24" t="n"/>
      <c r="I3765" s="30" t="n"/>
      <c r="J3765" s="23">
        <f>IF(OR($H3765="",$I3765=""),"",$H3765*$I3765)</f>
        <v/>
      </c>
      <c r="K3765" s="24" t="n"/>
      <c r="L3765" s="24" t="n"/>
      <c r="M3765" s="29" t="n"/>
      <c r="N3765" s="28" t="n"/>
      <c r="O3765" s="24" t="n"/>
      <c r="P3765" s="24" t="n"/>
      <c r="Q3765" s="24" t="n"/>
      <c r="R3765" s="24" t="n"/>
      <c r="S3765" s="22">
        <f>IF(AND($A3765="",$C3765=""),"",IF($A3765="","Thiếu mã đơn; ","")&amp;IF(COUNTIF($A$2:$A3765,$A3765)&gt;1,"Trùng mã đơn; ","")&amp;IF(ISNA(MATCH($C3765,DATA_MASTER!$D$2:$D$5000,0)),"SĐT chưa đăng ký hội viên; ","")&amp;IF(AND($L3765="Đã chuyển khoản",$M3765=""),"Thiếu ngày nhận CK; ",""))</f>
        <v/>
      </c>
      <c r="T3765" s="24" t="n"/>
    </row>
    <row r="3766" ht="14.25" customHeight="1" s="40">
      <c r="A3766" s="24" t="n"/>
      <c r="B3766" s="29" t="n"/>
      <c r="C3766" s="28" t="n"/>
      <c r="D3766" s="22">
        <f t="array" ref="D3766">IF($C3766="","",IFERROR(INDEX(DATA_MASTER!$C$2:$C$5000,MATCH($C3766,DATA_MASTER!$D$2:$D$5000,0)),""))</f>
        <v/>
      </c>
      <c r="E3766" s="22">
        <f t="array" ref="E3766">IF($C3766="","",IFERROR(INDEX(DATA_MASTER!$I$2:$I$5000,MATCH($C3766,DATA_MASTER!$D$2:$D$5000,0)),""))</f>
        <v/>
      </c>
      <c r="F3766" s="22">
        <f t="array" ref="F3766">IF($C3766="","",IFERROR(INDEX(DATA_MASTER!$L$2:$L$5000,MATCH($C3766,DATA_MASTER!$D$2:$D$5000,0)),""))</f>
        <v/>
      </c>
      <c r="G3766" s="24" t="n"/>
      <c r="H3766" s="24" t="n"/>
      <c r="I3766" s="30" t="n"/>
      <c r="J3766" s="23">
        <f>IF(OR($H3766="",$I3766=""),"",$H3766*$I3766)</f>
        <v/>
      </c>
      <c r="K3766" s="24" t="n"/>
      <c r="L3766" s="24" t="n"/>
      <c r="M3766" s="29" t="n"/>
      <c r="N3766" s="28" t="n"/>
      <c r="O3766" s="24" t="n"/>
      <c r="P3766" s="24" t="n"/>
      <c r="Q3766" s="24" t="n"/>
      <c r="R3766" s="24" t="n"/>
      <c r="S3766" s="22">
        <f>IF(AND($A3766="",$C3766=""),"",IF($A3766="","Thiếu mã đơn; ","")&amp;IF(COUNTIF($A$2:$A3766,$A3766)&gt;1,"Trùng mã đơn; ","")&amp;IF(ISNA(MATCH($C3766,DATA_MASTER!$D$2:$D$5000,0)),"SĐT chưa đăng ký hội viên; ","")&amp;IF(AND($L3766="Đã chuyển khoản",$M3766=""),"Thiếu ngày nhận CK; ",""))</f>
        <v/>
      </c>
      <c r="T3766" s="24" t="n"/>
    </row>
    <row r="3767" ht="14.25" customHeight="1" s="40">
      <c r="A3767" s="24" t="n"/>
      <c r="B3767" s="29" t="n"/>
      <c r="C3767" s="28" t="n"/>
      <c r="D3767" s="22">
        <f t="array" ref="D3767">IF($C3767="","",IFERROR(INDEX(DATA_MASTER!$C$2:$C$5000,MATCH($C3767,DATA_MASTER!$D$2:$D$5000,0)),""))</f>
        <v/>
      </c>
      <c r="E3767" s="22">
        <f t="array" ref="E3767">IF($C3767="","",IFERROR(INDEX(DATA_MASTER!$I$2:$I$5000,MATCH($C3767,DATA_MASTER!$D$2:$D$5000,0)),""))</f>
        <v/>
      </c>
      <c r="F3767" s="22">
        <f t="array" ref="F3767">IF($C3767="","",IFERROR(INDEX(DATA_MASTER!$L$2:$L$5000,MATCH($C3767,DATA_MASTER!$D$2:$D$5000,0)),""))</f>
        <v/>
      </c>
      <c r="G3767" s="24" t="n"/>
      <c r="H3767" s="24" t="n"/>
      <c r="I3767" s="30" t="n"/>
      <c r="J3767" s="23">
        <f>IF(OR($H3767="",$I3767=""),"",$H3767*$I3767)</f>
        <v/>
      </c>
      <c r="K3767" s="24" t="n"/>
      <c r="L3767" s="24" t="n"/>
      <c r="M3767" s="29" t="n"/>
      <c r="N3767" s="28" t="n"/>
      <c r="O3767" s="24" t="n"/>
      <c r="P3767" s="24" t="n"/>
      <c r="Q3767" s="24" t="n"/>
      <c r="R3767" s="24" t="n"/>
      <c r="S3767" s="22">
        <f>IF(AND($A3767="",$C3767=""),"",IF($A3767="","Thiếu mã đơn; ","")&amp;IF(COUNTIF($A$2:$A3767,$A3767)&gt;1,"Trùng mã đơn; ","")&amp;IF(ISNA(MATCH($C3767,DATA_MASTER!$D$2:$D$5000,0)),"SĐT chưa đăng ký hội viên; ","")&amp;IF(AND($L3767="Đã chuyển khoản",$M3767=""),"Thiếu ngày nhận CK; ",""))</f>
        <v/>
      </c>
      <c r="T3767" s="24" t="n"/>
    </row>
    <row r="3768" ht="14.25" customHeight="1" s="40">
      <c r="A3768" s="24" t="n"/>
      <c r="B3768" s="29" t="n"/>
      <c r="C3768" s="28" t="n"/>
      <c r="D3768" s="22">
        <f t="array" ref="D3768">IF($C3768="","",IFERROR(INDEX(DATA_MASTER!$C$2:$C$5000,MATCH($C3768,DATA_MASTER!$D$2:$D$5000,0)),""))</f>
        <v/>
      </c>
      <c r="E3768" s="22">
        <f t="array" ref="E3768">IF($C3768="","",IFERROR(INDEX(DATA_MASTER!$I$2:$I$5000,MATCH($C3768,DATA_MASTER!$D$2:$D$5000,0)),""))</f>
        <v/>
      </c>
      <c r="F3768" s="22">
        <f t="array" ref="F3768">IF($C3768="","",IFERROR(INDEX(DATA_MASTER!$L$2:$L$5000,MATCH($C3768,DATA_MASTER!$D$2:$D$5000,0)),""))</f>
        <v/>
      </c>
      <c r="G3768" s="24" t="n"/>
      <c r="H3768" s="24" t="n"/>
      <c r="I3768" s="30" t="n"/>
      <c r="J3768" s="23">
        <f>IF(OR($H3768="",$I3768=""),"",$H3768*$I3768)</f>
        <v/>
      </c>
      <c r="K3768" s="24" t="n"/>
      <c r="L3768" s="24" t="n"/>
      <c r="M3768" s="29" t="n"/>
      <c r="N3768" s="28" t="n"/>
      <c r="O3768" s="24" t="n"/>
      <c r="P3768" s="24" t="n"/>
      <c r="Q3768" s="24" t="n"/>
      <c r="R3768" s="24" t="n"/>
      <c r="S3768" s="22">
        <f>IF(AND($A3768="",$C3768=""),"",IF($A3768="","Thiếu mã đơn; ","")&amp;IF(COUNTIF($A$2:$A3768,$A3768)&gt;1,"Trùng mã đơn; ","")&amp;IF(ISNA(MATCH($C3768,DATA_MASTER!$D$2:$D$5000,0)),"SĐT chưa đăng ký hội viên; ","")&amp;IF(AND($L3768="Đã chuyển khoản",$M3768=""),"Thiếu ngày nhận CK; ",""))</f>
        <v/>
      </c>
      <c r="T3768" s="24" t="n"/>
    </row>
    <row r="3769" ht="14.25" customHeight="1" s="40">
      <c r="A3769" s="24" t="n"/>
      <c r="B3769" s="29" t="n"/>
      <c r="C3769" s="28" t="n"/>
      <c r="D3769" s="22">
        <f t="array" ref="D3769">IF($C3769="","",IFERROR(INDEX(DATA_MASTER!$C$2:$C$5000,MATCH($C3769,DATA_MASTER!$D$2:$D$5000,0)),""))</f>
        <v/>
      </c>
      <c r="E3769" s="22">
        <f t="array" ref="E3769">IF($C3769="","",IFERROR(INDEX(DATA_MASTER!$I$2:$I$5000,MATCH($C3769,DATA_MASTER!$D$2:$D$5000,0)),""))</f>
        <v/>
      </c>
      <c r="F3769" s="22">
        <f t="array" ref="F3769">IF($C3769="","",IFERROR(INDEX(DATA_MASTER!$L$2:$L$5000,MATCH($C3769,DATA_MASTER!$D$2:$D$5000,0)),""))</f>
        <v/>
      </c>
      <c r="G3769" s="24" t="n"/>
      <c r="H3769" s="24" t="n"/>
      <c r="I3769" s="30" t="n"/>
      <c r="J3769" s="23">
        <f>IF(OR($H3769="",$I3769=""),"",$H3769*$I3769)</f>
        <v/>
      </c>
      <c r="K3769" s="24" t="n"/>
      <c r="L3769" s="24" t="n"/>
      <c r="M3769" s="29" t="n"/>
      <c r="N3769" s="28" t="n"/>
      <c r="O3769" s="24" t="n"/>
      <c r="P3769" s="24" t="n"/>
      <c r="Q3769" s="24" t="n"/>
      <c r="R3769" s="24" t="n"/>
      <c r="S3769" s="22">
        <f>IF(AND($A3769="",$C3769=""),"",IF($A3769="","Thiếu mã đơn; ","")&amp;IF(COUNTIF($A$2:$A3769,$A3769)&gt;1,"Trùng mã đơn; ","")&amp;IF(ISNA(MATCH($C3769,DATA_MASTER!$D$2:$D$5000,0)),"SĐT chưa đăng ký hội viên; ","")&amp;IF(AND($L3769="Đã chuyển khoản",$M3769=""),"Thiếu ngày nhận CK; ",""))</f>
        <v/>
      </c>
      <c r="T3769" s="24" t="n"/>
    </row>
    <row r="3770" ht="14.25" customHeight="1" s="40">
      <c r="A3770" s="24" t="n"/>
      <c r="B3770" s="29" t="n"/>
      <c r="C3770" s="28" t="n"/>
      <c r="D3770" s="22">
        <f t="array" ref="D3770">IF($C3770="","",IFERROR(INDEX(DATA_MASTER!$C$2:$C$5000,MATCH($C3770,DATA_MASTER!$D$2:$D$5000,0)),""))</f>
        <v/>
      </c>
      <c r="E3770" s="22">
        <f t="array" ref="E3770">IF($C3770="","",IFERROR(INDEX(DATA_MASTER!$I$2:$I$5000,MATCH($C3770,DATA_MASTER!$D$2:$D$5000,0)),""))</f>
        <v/>
      </c>
      <c r="F3770" s="22">
        <f t="array" ref="F3770">IF($C3770="","",IFERROR(INDEX(DATA_MASTER!$L$2:$L$5000,MATCH($C3770,DATA_MASTER!$D$2:$D$5000,0)),""))</f>
        <v/>
      </c>
      <c r="G3770" s="24" t="n"/>
      <c r="H3770" s="24" t="n"/>
      <c r="I3770" s="30" t="n"/>
      <c r="J3770" s="23">
        <f>IF(OR($H3770="",$I3770=""),"",$H3770*$I3770)</f>
        <v/>
      </c>
      <c r="K3770" s="24" t="n"/>
      <c r="L3770" s="24" t="n"/>
      <c r="M3770" s="29" t="n"/>
      <c r="N3770" s="28" t="n"/>
      <c r="O3770" s="24" t="n"/>
      <c r="P3770" s="24" t="n"/>
      <c r="Q3770" s="24" t="n"/>
      <c r="R3770" s="24" t="n"/>
      <c r="S3770" s="22">
        <f>IF(AND($A3770="",$C3770=""),"",IF($A3770="","Thiếu mã đơn; ","")&amp;IF(COUNTIF($A$2:$A3770,$A3770)&gt;1,"Trùng mã đơn; ","")&amp;IF(ISNA(MATCH($C3770,DATA_MASTER!$D$2:$D$5000,0)),"SĐT chưa đăng ký hội viên; ","")&amp;IF(AND($L3770="Đã chuyển khoản",$M3770=""),"Thiếu ngày nhận CK; ",""))</f>
        <v/>
      </c>
      <c r="T3770" s="24" t="n"/>
    </row>
    <row r="3771" ht="14.25" customHeight="1" s="40">
      <c r="A3771" s="24" t="n"/>
      <c r="B3771" s="29" t="n"/>
      <c r="C3771" s="28" t="n"/>
      <c r="D3771" s="22">
        <f t="array" ref="D3771">IF($C3771="","",IFERROR(INDEX(DATA_MASTER!$C$2:$C$5000,MATCH($C3771,DATA_MASTER!$D$2:$D$5000,0)),""))</f>
        <v/>
      </c>
      <c r="E3771" s="22">
        <f t="array" ref="E3771">IF($C3771="","",IFERROR(INDEX(DATA_MASTER!$I$2:$I$5000,MATCH($C3771,DATA_MASTER!$D$2:$D$5000,0)),""))</f>
        <v/>
      </c>
      <c r="F3771" s="22">
        <f t="array" ref="F3771">IF($C3771="","",IFERROR(INDEX(DATA_MASTER!$L$2:$L$5000,MATCH($C3771,DATA_MASTER!$D$2:$D$5000,0)),""))</f>
        <v/>
      </c>
      <c r="G3771" s="24" t="n"/>
      <c r="H3771" s="24" t="n"/>
      <c r="I3771" s="30" t="n"/>
      <c r="J3771" s="23">
        <f>IF(OR($H3771="",$I3771=""),"",$H3771*$I3771)</f>
        <v/>
      </c>
      <c r="K3771" s="24" t="n"/>
      <c r="L3771" s="24" t="n"/>
      <c r="M3771" s="29" t="n"/>
      <c r="N3771" s="28" t="n"/>
      <c r="O3771" s="24" t="n"/>
      <c r="P3771" s="24" t="n"/>
      <c r="Q3771" s="24" t="n"/>
      <c r="R3771" s="24" t="n"/>
      <c r="S3771" s="22">
        <f>IF(AND($A3771="",$C3771=""),"",IF($A3771="","Thiếu mã đơn; ","")&amp;IF(COUNTIF($A$2:$A3771,$A3771)&gt;1,"Trùng mã đơn; ","")&amp;IF(ISNA(MATCH($C3771,DATA_MASTER!$D$2:$D$5000,0)),"SĐT chưa đăng ký hội viên; ","")&amp;IF(AND($L3771="Đã chuyển khoản",$M3771=""),"Thiếu ngày nhận CK; ",""))</f>
        <v/>
      </c>
      <c r="T3771" s="24" t="n"/>
    </row>
    <row r="3772" ht="14.25" customHeight="1" s="40">
      <c r="A3772" s="24" t="n"/>
      <c r="B3772" s="29" t="n"/>
      <c r="C3772" s="28" t="n"/>
      <c r="D3772" s="22">
        <f t="array" ref="D3772">IF($C3772="","",IFERROR(INDEX(DATA_MASTER!$C$2:$C$5000,MATCH($C3772,DATA_MASTER!$D$2:$D$5000,0)),""))</f>
        <v/>
      </c>
      <c r="E3772" s="22">
        <f t="array" ref="E3772">IF($C3772="","",IFERROR(INDEX(DATA_MASTER!$I$2:$I$5000,MATCH($C3772,DATA_MASTER!$D$2:$D$5000,0)),""))</f>
        <v/>
      </c>
      <c r="F3772" s="22">
        <f t="array" ref="F3772">IF($C3772="","",IFERROR(INDEX(DATA_MASTER!$L$2:$L$5000,MATCH($C3772,DATA_MASTER!$D$2:$D$5000,0)),""))</f>
        <v/>
      </c>
      <c r="G3772" s="24" t="n"/>
      <c r="H3772" s="24" t="n"/>
      <c r="I3772" s="30" t="n"/>
      <c r="J3772" s="23">
        <f>IF(OR($H3772="",$I3772=""),"",$H3772*$I3772)</f>
        <v/>
      </c>
      <c r="K3772" s="24" t="n"/>
      <c r="L3772" s="24" t="n"/>
      <c r="M3772" s="29" t="n"/>
      <c r="N3772" s="28" t="n"/>
      <c r="O3772" s="24" t="n"/>
      <c r="P3772" s="24" t="n"/>
      <c r="Q3772" s="24" t="n"/>
      <c r="R3772" s="24" t="n"/>
      <c r="S3772" s="22">
        <f>IF(AND($A3772="",$C3772=""),"",IF($A3772="","Thiếu mã đơn; ","")&amp;IF(COUNTIF($A$2:$A3772,$A3772)&gt;1,"Trùng mã đơn; ","")&amp;IF(ISNA(MATCH($C3772,DATA_MASTER!$D$2:$D$5000,0)),"SĐT chưa đăng ký hội viên; ","")&amp;IF(AND($L3772="Đã chuyển khoản",$M3772=""),"Thiếu ngày nhận CK; ",""))</f>
        <v/>
      </c>
      <c r="T3772" s="24" t="n"/>
    </row>
    <row r="3773" ht="14.25" customHeight="1" s="40">
      <c r="A3773" s="24" t="n"/>
      <c r="B3773" s="29" t="n"/>
      <c r="C3773" s="28" t="n"/>
      <c r="D3773" s="22">
        <f t="array" ref="D3773">IF($C3773="","",IFERROR(INDEX(DATA_MASTER!$C$2:$C$5000,MATCH($C3773,DATA_MASTER!$D$2:$D$5000,0)),""))</f>
        <v/>
      </c>
      <c r="E3773" s="22">
        <f t="array" ref="E3773">IF($C3773="","",IFERROR(INDEX(DATA_MASTER!$I$2:$I$5000,MATCH($C3773,DATA_MASTER!$D$2:$D$5000,0)),""))</f>
        <v/>
      </c>
      <c r="F3773" s="22">
        <f t="array" ref="F3773">IF($C3773="","",IFERROR(INDEX(DATA_MASTER!$L$2:$L$5000,MATCH($C3773,DATA_MASTER!$D$2:$D$5000,0)),""))</f>
        <v/>
      </c>
      <c r="G3773" s="24" t="n"/>
      <c r="H3773" s="24" t="n"/>
      <c r="I3773" s="30" t="n"/>
      <c r="J3773" s="23">
        <f>IF(OR($H3773="",$I3773=""),"",$H3773*$I3773)</f>
        <v/>
      </c>
      <c r="K3773" s="24" t="n"/>
      <c r="L3773" s="24" t="n"/>
      <c r="M3773" s="29" t="n"/>
      <c r="N3773" s="28" t="n"/>
      <c r="O3773" s="24" t="n"/>
      <c r="P3773" s="24" t="n"/>
      <c r="Q3773" s="24" t="n"/>
      <c r="R3773" s="24" t="n"/>
      <c r="S3773" s="22">
        <f>IF(AND($A3773="",$C3773=""),"",IF($A3773="","Thiếu mã đơn; ","")&amp;IF(COUNTIF($A$2:$A3773,$A3773)&gt;1,"Trùng mã đơn; ","")&amp;IF(ISNA(MATCH($C3773,DATA_MASTER!$D$2:$D$5000,0)),"SĐT chưa đăng ký hội viên; ","")&amp;IF(AND($L3773="Đã chuyển khoản",$M3773=""),"Thiếu ngày nhận CK; ",""))</f>
        <v/>
      </c>
      <c r="T3773" s="24" t="n"/>
    </row>
    <row r="3774" ht="14.25" customHeight="1" s="40">
      <c r="A3774" s="24" t="n"/>
      <c r="B3774" s="29" t="n"/>
      <c r="C3774" s="28" t="n"/>
      <c r="D3774" s="22">
        <f t="array" ref="D3774">IF($C3774="","",IFERROR(INDEX(DATA_MASTER!$C$2:$C$5000,MATCH($C3774,DATA_MASTER!$D$2:$D$5000,0)),""))</f>
        <v/>
      </c>
      <c r="E3774" s="22">
        <f t="array" ref="E3774">IF($C3774="","",IFERROR(INDEX(DATA_MASTER!$I$2:$I$5000,MATCH($C3774,DATA_MASTER!$D$2:$D$5000,0)),""))</f>
        <v/>
      </c>
      <c r="F3774" s="22">
        <f t="array" ref="F3774">IF($C3774="","",IFERROR(INDEX(DATA_MASTER!$L$2:$L$5000,MATCH($C3774,DATA_MASTER!$D$2:$D$5000,0)),""))</f>
        <v/>
      </c>
      <c r="G3774" s="24" t="n"/>
      <c r="H3774" s="24" t="n"/>
      <c r="I3774" s="30" t="n"/>
      <c r="J3774" s="23">
        <f>IF(OR($H3774="",$I3774=""),"",$H3774*$I3774)</f>
        <v/>
      </c>
      <c r="K3774" s="24" t="n"/>
      <c r="L3774" s="24" t="n"/>
      <c r="M3774" s="29" t="n"/>
      <c r="N3774" s="28" t="n"/>
      <c r="O3774" s="24" t="n"/>
      <c r="P3774" s="24" t="n"/>
      <c r="Q3774" s="24" t="n"/>
      <c r="R3774" s="24" t="n"/>
      <c r="S3774" s="22">
        <f>IF(AND($A3774="",$C3774=""),"",IF($A3774="","Thiếu mã đơn; ","")&amp;IF(COUNTIF($A$2:$A3774,$A3774)&gt;1,"Trùng mã đơn; ","")&amp;IF(ISNA(MATCH($C3774,DATA_MASTER!$D$2:$D$5000,0)),"SĐT chưa đăng ký hội viên; ","")&amp;IF(AND($L3774="Đã chuyển khoản",$M3774=""),"Thiếu ngày nhận CK; ",""))</f>
        <v/>
      </c>
      <c r="T3774" s="24" t="n"/>
    </row>
    <row r="3775" ht="14.25" customHeight="1" s="40">
      <c r="A3775" s="24" t="n"/>
      <c r="B3775" s="29" t="n"/>
      <c r="C3775" s="28" t="n"/>
      <c r="D3775" s="22">
        <f t="array" ref="D3775">IF($C3775="","",IFERROR(INDEX(DATA_MASTER!$C$2:$C$5000,MATCH($C3775,DATA_MASTER!$D$2:$D$5000,0)),""))</f>
        <v/>
      </c>
      <c r="E3775" s="22">
        <f t="array" ref="E3775">IF($C3775="","",IFERROR(INDEX(DATA_MASTER!$I$2:$I$5000,MATCH($C3775,DATA_MASTER!$D$2:$D$5000,0)),""))</f>
        <v/>
      </c>
      <c r="F3775" s="22">
        <f t="array" ref="F3775">IF($C3775="","",IFERROR(INDEX(DATA_MASTER!$L$2:$L$5000,MATCH($C3775,DATA_MASTER!$D$2:$D$5000,0)),""))</f>
        <v/>
      </c>
      <c r="G3775" s="24" t="n"/>
      <c r="H3775" s="24" t="n"/>
      <c r="I3775" s="30" t="n"/>
      <c r="J3775" s="23">
        <f>IF(OR($H3775="",$I3775=""),"",$H3775*$I3775)</f>
        <v/>
      </c>
      <c r="K3775" s="24" t="n"/>
      <c r="L3775" s="24" t="n"/>
      <c r="M3775" s="29" t="n"/>
      <c r="N3775" s="28" t="n"/>
      <c r="O3775" s="24" t="n"/>
      <c r="P3775" s="24" t="n"/>
      <c r="Q3775" s="24" t="n"/>
      <c r="R3775" s="24" t="n"/>
      <c r="S3775" s="22">
        <f>IF(AND($A3775="",$C3775=""),"",IF($A3775="","Thiếu mã đơn; ","")&amp;IF(COUNTIF($A$2:$A3775,$A3775)&gt;1,"Trùng mã đơn; ","")&amp;IF(ISNA(MATCH($C3775,DATA_MASTER!$D$2:$D$5000,0)),"SĐT chưa đăng ký hội viên; ","")&amp;IF(AND($L3775="Đã chuyển khoản",$M3775=""),"Thiếu ngày nhận CK; ",""))</f>
        <v/>
      </c>
      <c r="T3775" s="24" t="n"/>
    </row>
    <row r="3776" ht="14.25" customHeight="1" s="40">
      <c r="A3776" s="24" t="n"/>
      <c r="B3776" s="29" t="n"/>
      <c r="C3776" s="28" t="n"/>
      <c r="D3776" s="22">
        <f t="array" ref="D3776">IF($C3776="","",IFERROR(INDEX(DATA_MASTER!$C$2:$C$5000,MATCH($C3776,DATA_MASTER!$D$2:$D$5000,0)),""))</f>
        <v/>
      </c>
      <c r="E3776" s="22">
        <f t="array" ref="E3776">IF($C3776="","",IFERROR(INDEX(DATA_MASTER!$I$2:$I$5000,MATCH($C3776,DATA_MASTER!$D$2:$D$5000,0)),""))</f>
        <v/>
      </c>
      <c r="F3776" s="22">
        <f t="array" ref="F3776">IF($C3776="","",IFERROR(INDEX(DATA_MASTER!$L$2:$L$5000,MATCH($C3776,DATA_MASTER!$D$2:$D$5000,0)),""))</f>
        <v/>
      </c>
      <c r="G3776" s="24" t="n"/>
      <c r="H3776" s="24" t="n"/>
      <c r="I3776" s="30" t="n"/>
      <c r="J3776" s="23">
        <f>IF(OR($H3776="",$I3776=""),"",$H3776*$I3776)</f>
        <v/>
      </c>
      <c r="K3776" s="24" t="n"/>
      <c r="L3776" s="24" t="n"/>
      <c r="M3776" s="29" t="n"/>
      <c r="N3776" s="28" t="n"/>
      <c r="O3776" s="24" t="n"/>
      <c r="P3776" s="24" t="n"/>
      <c r="Q3776" s="24" t="n"/>
      <c r="R3776" s="24" t="n"/>
      <c r="S3776" s="22">
        <f>IF(AND($A3776="",$C3776=""),"",IF($A3776="","Thiếu mã đơn; ","")&amp;IF(COUNTIF($A$2:$A3776,$A3776)&gt;1,"Trùng mã đơn; ","")&amp;IF(ISNA(MATCH($C3776,DATA_MASTER!$D$2:$D$5000,0)),"SĐT chưa đăng ký hội viên; ","")&amp;IF(AND($L3776="Đã chuyển khoản",$M3776=""),"Thiếu ngày nhận CK; ",""))</f>
        <v/>
      </c>
      <c r="T3776" s="24" t="n"/>
    </row>
    <row r="3777" ht="14.25" customHeight="1" s="40">
      <c r="A3777" s="24" t="n"/>
      <c r="B3777" s="29" t="n"/>
      <c r="C3777" s="28" t="n"/>
      <c r="D3777" s="22">
        <f t="array" ref="D3777">IF($C3777="","",IFERROR(INDEX(DATA_MASTER!$C$2:$C$5000,MATCH($C3777,DATA_MASTER!$D$2:$D$5000,0)),""))</f>
        <v/>
      </c>
      <c r="E3777" s="22">
        <f t="array" ref="E3777">IF($C3777="","",IFERROR(INDEX(DATA_MASTER!$I$2:$I$5000,MATCH($C3777,DATA_MASTER!$D$2:$D$5000,0)),""))</f>
        <v/>
      </c>
      <c r="F3777" s="22">
        <f t="array" ref="F3777">IF($C3777="","",IFERROR(INDEX(DATA_MASTER!$L$2:$L$5000,MATCH($C3777,DATA_MASTER!$D$2:$D$5000,0)),""))</f>
        <v/>
      </c>
      <c r="G3777" s="24" t="n"/>
      <c r="H3777" s="24" t="n"/>
      <c r="I3777" s="30" t="n"/>
      <c r="J3777" s="23">
        <f>IF(OR($H3777="",$I3777=""),"",$H3777*$I3777)</f>
        <v/>
      </c>
      <c r="K3777" s="24" t="n"/>
      <c r="L3777" s="24" t="n"/>
      <c r="M3777" s="29" t="n"/>
      <c r="N3777" s="28" t="n"/>
      <c r="O3777" s="24" t="n"/>
      <c r="P3777" s="24" t="n"/>
      <c r="Q3777" s="24" t="n"/>
      <c r="R3777" s="24" t="n"/>
      <c r="S3777" s="22">
        <f>IF(AND($A3777="",$C3777=""),"",IF($A3777="","Thiếu mã đơn; ","")&amp;IF(COUNTIF($A$2:$A3777,$A3777)&gt;1,"Trùng mã đơn; ","")&amp;IF(ISNA(MATCH($C3777,DATA_MASTER!$D$2:$D$5000,0)),"SĐT chưa đăng ký hội viên; ","")&amp;IF(AND($L3777="Đã chuyển khoản",$M3777=""),"Thiếu ngày nhận CK; ",""))</f>
        <v/>
      </c>
      <c r="T3777" s="24" t="n"/>
    </row>
    <row r="3778" ht="14.25" customHeight="1" s="40">
      <c r="A3778" s="24" t="n"/>
      <c r="B3778" s="29" t="n"/>
      <c r="C3778" s="28" t="n"/>
      <c r="D3778" s="22">
        <f t="array" ref="D3778">IF($C3778="","",IFERROR(INDEX(DATA_MASTER!$C$2:$C$5000,MATCH($C3778,DATA_MASTER!$D$2:$D$5000,0)),""))</f>
        <v/>
      </c>
      <c r="E3778" s="22">
        <f t="array" ref="E3778">IF($C3778="","",IFERROR(INDEX(DATA_MASTER!$I$2:$I$5000,MATCH($C3778,DATA_MASTER!$D$2:$D$5000,0)),""))</f>
        <v/>
      </c>
      <c r="F3778" s="22">
        <f t="array" ref="F3778">IF($C3778="","",IFERROR(INDEX(DATA_MASTER!$L$2:$L$5000,MATCH($C3778,DATA_MASTER!$D$2:$D$5000,0)),""))</f>
        <v/>
      </c>
      <c r="G3778" s="24" t="n"/>
      <c r="H3778" s="24" t="n"/>
      <c r="I3778" s="30" t="n"/>
      <c r="J3778" s="23">
        <f>IF(OR($H3778="",$I3778=""),"",$H3778*$I3778)</f>
        <v/>
      </c>
      <c r="K3778" s="24" t="n"/>
      <c r="L3778" s="24" t="n"/>
      <c r="M3778" s="29" t="n"/>
      <c r="N3778" s="28" t="n"/>
      <c r="O3778" s="24" t="n"/>
      <c r="P3778" s="24" t="n"/>
      <c r="Q3778" s="24" t="n"/>
      <c r="R3778" s="24" t="n"/>
      <c r="S3778" s="22">
        <f>IF(AND($A3778="",$C3778=""),"",IF($A3778="","Thiếu mã đơn; ","")&amp;IF(COUNTIF($A$2:$A3778,$A3778)&gt;1,"Trùng mã đơn; ","")&amp;IF(ISNA(MATCH($C3778,DATA_MASTER!$D$2:$D$5000,0)),"SĐT chưa đăng ký hội viên; ","")&amp;IF(AND($L3778="Đã chuyển khoản",$M3778=""),"Thiếu ngày nhận CK; ",""))</f>
        <v/>
      </c>
      <c r="T3778" s="24" t="n"/>
    </row>
    <row r="3779" ht="14.25" customHeight="1" s="40">
      <c r="A3779" s="24" t="n"/>
      <c r="B3779" s="29" t="n"/>
      <c r="C3779" s="28" t="n"/>
      <c r="D3779" s="22">
        <f t="array" ref="D3779">IF($C3779="","",IFERROR(INDEX(DATA_MASTER!$C$2:$C$5000,MATCH($C3779,DATA_MASTER!$D$2:$D$5000,0)),""))</f>
        <v/>
      </c>
      <c r="E3779" s="22">
        <f t="array" ref="E3779">IF($C3779="","",IFERROR(INDEX(DATA_MASTER!$I$2:$I$5000,MATCH($C3779,DATA_MASTER!$D$2:$D$5000,0)),""))</f>
        <v/>
      </c>
      <c r="F3779" s="22">
        <f t="array" ref="F3779">IF($C3779="","",IFERROR(INDEX(DATA_MASTER!$L$2:$L$5000,MATCH($C3779,DATA_MASTER!$D$2:$D$5000,0)),""))</f>
        <v/>
      </c>
      <c r="G3779" s="24" t="n"/>
      <c r="H3779" s="24" t="n"/>
      <c r="I3779" s="30" t="n"/>
      <c r="J3779" s="23">
        <f>IF(OR($H3779="",$I3779=""),"",$H3779*$I3779)</f>
        <v/>
      </c>
      <c r="K3779" s="24" t="n"/>
      <c r="L3779" s="24" t="n"/>
      <c r="M3779" s="29" t="n"/>
      <c r="N3779" s="28" t="n"/>
      <c r="O3779" s="24" t="n"/>
      <c r="P3779" s="24" t="n"/>
      <c r="Q3779" s="24" t="n"/>
      <c r="R3779" s="24" t="n"/>
      <c r="S3779" s="22">
        <f>IF(AND($A3779="",$C3779=""),"",IF($A3779="","Thiếu mã đơn; ","")&amp;IF(COUNTIF($A$2:$A3779,$A3779)&gt;1,"Trùng mã đơn; ","")&amp;IF(ISNA(MATCH($C3779,DATA_MASTER!$D$2:$D$5000,0)),"SĐT chưa đăng ký hội viên; ","")&amp;IF(AND($L3779="Đã chuyển khoản",$M3779=""),"Thiếu ngày nhận CK; ",""))</f>
        <v/>
      </c>
      <c r="T3779" s="24" t="n"/>
    </row>
    <row r="3780" ht="14.25" customHeight="1" s="40">
      <c r="A3780" s="24" t="n"/>
      <c r="B3780" s="29" t="n"/>
      <c r="C3780" s="28" t="n"/>
      <c r="D3780" s="22">
        <f t="array" ref="D3780">IF($C3780="","",IFERROR(INDEX(DATA_MASTER!$C$2:$C$5000,MATCH($C3780,DATA_MASTER!$D$2:$D$5000,0)),""))</f>
        <v/>
      </c>
      <c r="E3780" s="22">
        <f t="array" ref="E3780">IF($C3780="","",IFERROR(INDEX(DATA_MASTER!$I$2:$I$5000,MATCH($C3780,DATA_MASTER!$D$2:$D$5000,0)),""))</f>
        <v/>
      </c>
      <c r="F3780" s="22">
        <f t="array" ref="F3780">IF($C3780="","",IFERROR(INDEX(DATA_MASTER!$L$2:$L$5000,MATCH($C3780,DATA_MASTER!$D$2:$D$5000,0)),""))</f>
        <v/>
      </c>
      <c r="G3780" s="24" t="n"/>
      <c r="H3780" s="24" t="n"/>
      <c r="I3780" s="30" t="n"/>
      <c r="J3780" s="23">
        <f>IF(OR($H3780="",$I3780=""),"",$H3780*$I3780)</f>
        <v/>
      </c>
      <c r="K3780" s="24" t="n"/>
      <c r="L3780" s="24" t="n"/>
      <c r="M3780" s="29" t="n"/>
      <c r="N3780" s="28" t="n"/>
      <c r="O3780" s="24" t="n"/>
      <c r="P3780" s="24" t="n"/>
      <c r="Q3780" s="24" t="n"/>
      <c r="R3780" s="24" t="n"/>
      <c r="S3780" s="22">
        <f>IF(AND($A3780="",$C3780=""),"",IF($A3780="","Thiếu mã đơn; ","")&amp;IF(COUNTIF($A$2:$A3780,$A3780)&gt;1,"Trùng mã đơn; ","")&amp;IF(ISNA(MATCH($C3780,DATA_MASTER!$D$2:$D$5000,0)),"SĐT chưa đăng ký hội viên; ","")&amp;IF(AND($L3780="Đã chuyển khoản",$M3780=""),"Thiếu ngày nhận CK; ",""))</f>
        <v/>
      </c>
      <c r="T3780" s="24" t="n"/>
    </row>
    <row r="3781" ht="14.25" customHeight="1" s="40">
      <c r="A3781" s="24" t="n"/>
      <c r="B3781" s="29" t="n"/>
      <c r="C3781" s="28" t="n"/>
      <c r="D3781" s="22">
        <f t="array" ref="D3781">IF($C3781="","",IFERROR(INDEX(DATA_MASTER!$C$2:$C$5000,MATCH($C3781,DATA_MASTER!$D$2:$D$5000,0)),""))</f>
        <v/>
      </c>
      <c r="E3781" s="22">
        <f t="array" ref="E3781">IF($C3781="","",IFERROR(INDEX(DATA_MASTER!$I$2:$I$5000,MATCH($C3781,DATA_MASTER!$D$2:$D$5000,0)),""))</f>
        <v/>
      </c>
      <c r="F3781" s="22">
        <f t="array" ref="F3781">IF($C3781="","",IFERROR(INDEX(DATA_MASTER!$L$2:$L$5000,MATCH($C3781,DATA_MASTER!$D$2:$D$5000,0)),""))</f>
        <v/>
      </c>
      <c r="G3781" s="24" t="n"/>
      <c r="H3781" s="24" t="n"/>
      <c r="I3781" s="30" t="n"/>
      <c r="J3781" s="23">
        <f>IF(OR($H3781="",$I3781=""),"",$H3781*$I3781)</f>
        <v/>
      </c>
      <c r="K3781" s="24" t="n"/>
      <c r="L3781" s="24" t="n"/>
      <c r="M3781" s="29" t="n"/>
      <c r="N3781" s="28" t="n"/>
      <c r="O3781" s="24" t="n"/>
      <c r="P3781" s="24" t="n"/>
      <c r="Q3781" s="24" t="n"/>
      <c r="R3781" s="24" t="n"/>
      <c r="S3781" s="22">
        <f>IF(AND($A3781="",$C3781=""),"",IF($A3781="","Thiếu mã đơn; ","")&amp;IF(COUNTIF($A$2:$A3781,$A3781)&gt;1,"Trùng mã đơn; ","")&amp;IF(ISNA(MATCH($C3781,DATA_MASTER!$D$2:$D$5000,0)),"SĐT chưa đăng ký hội viên; ","")&amp;IF(AND($L3781="Đã chuyển khoản",$M3781=""),"Thiếu ngày nhận CK; ",""))</f>
        <v/>
      </c>
      <c r="T3781" s="24" t="n"/>
    </row>
    <row r="3782" ht="14.25" customHeight="1" s="40">
      <c r="A3782" s="24" t="n"/>
      <c r="B3782" s="29" t="n"/>
      <c r="C3782" s="28" t="n"/>
      <c r="D3782" s="22">
        <f t="array" ref="D3782">IF($C3782="","",IFERROR(INDEX(DATA_MASTER!$C$2:$C$5000,MATCH($C3782,DATA_MASTER!$D$2:$D$5000,0)),""))</f>
        <v/>
      </c>
      <c r="E3782" s="22">
        <f t="array" ref="E3782">IF($C3782="","",IFERROR(INDEX(DATA_MASTER!$I$2:$I$5000,MATCH($C3782,DATA_MASTER!$D$2:$D$5000,0)),""))</f>
        <v/>
      </c>
      <c r="F3782" s="22">
        <f t="array" ref="F3782">IF($C3782="","",IFERROR(INDEX(DATA_MASTER!$L$2:$L$5000,MATCH($C3782,DATA_MASTER!$D$2:$D$5000,0)),""))</f>
        <v/>
      </c>
      <c r="G3782" s="24" t="n"/>
      <c r="H3782" s="24" t="n"/>
      <c r="I3782" s="30" t="n"/>
      <c r="J3782" s="23">
        <f>IF(OR($H3782="",$I3782=""),"",$H3782*$I3782)</f>
        <v/>
      </c>
      <c r="K3782" s="24" t="n"/>
      <c r="L3782" s="24" t="n"/>
      <c r="M3782" s="29" t="n"/>
      <c r="N3782" s="28" t="n"/>
      <c r="O3782" s="24" t="n"/>
      <c r="P3782" s="24" t="n"/>
      <c r="Q3782" s="24" t="n"/>
      <c r="R3782" s="24" t="n"/>
      <c r="S3782" s="22">
        <f>IF(AND($A3782="",$C3782=""),"",IF($A3782="","Thiếu mã đơn; ","")&amp;IF(COUNTIF($A$2:$A3782,$A3782)&gt;1,"Trùng mã đơn; ","")&amp;IF(ISNA(MATCH($C3782,DATA_MASTER!$D$2:$D$5000,0)),"SĐT chưa đăng ký hội viên; ","")&amp;IF(AND($L3782="Đã chuyển khoản",$M3782=""),"Thiếu ngày nhận CK; ",""))</f>
        <v/>
      </c>
      <c r="T3782" s="24" t="n"/>
    </row>
    <row r="3783" ht="14.25" customHeight="1" s="40">
      <c r="A3783" s="24" t="n"/>
      <c r="B3783" s="29" t="n"/>
      <c r="C3783" s="28" t="n"/>
      <c r="D3783" s="22">
        <f t="array" ref="D3783">IF($C3783="","",IFERROR(INDEX(DATA_MASTER!$C$2:$C$5000,MATCH($C3783,DATA_MASTER!$D$2:$D$5000,0)),""))</f>
        <v/>
      </c>
      <c r="E3783" s="22">
        <f t="array" ref="E3783">IF($C3783="","",IFERROR(INDEX(DATA_MASTER!$I$2:$I$5000,MATCH($C3783,DATA_MASTER!$D$2:$D$5000,0)),""))</f>
        <v/>
      </c>
      <c r="F3783" s="22">
        <f t="array" ref="F3783">IF($C3783="","",IFERROR(INDEX(DATA_MASTER!$L$2:$L$5000,MATCH($C3783,DATA_MASTER!$D$2:$D$5000,0)),""))</f>
        <v/>
      </c>
      <c r="G3783" s="24" t="n"/>
      <c r="H3783" s="24" t="n"/>
      <c r="I3783" s="30" t="n"/>
      <c r="J3783" s="23">
        <f>IF(OR($H3783="",$I3783=""),"",$H3783*$I3783)</f>
        <v/>
      </c>
      <c r="K3783" s="24" t="n"/>
      <c r="L3783" s="24" t="n"/>
      <c r="M3783" s="29" t="n"/>
      <c r="N3783" s="28" t="n"/>
      <c r="O3783" s="24" t="n"/>
      <c r="P3783" s="24" t="n"/>
      <c r="Q3783" s="24" t="n"/>
      <c r="R3783" s="24" t="n"/>
      <c r="S3783" s="22">
        <f>IF(AND($A3783="",$C3783=""),"",IF($A3783="","Thiếu mã đơn; ","")&amp;IF(COUNTIF($A$2:$A3783,$A3783)&gt;1,"Trùng mã đơn; ","")&amp;IF(ISNA(MATCH($C3783,DATA_MASTER!$D$2:$D$5000,0)),"SĐT chưa đăng ký hội viên; ","")&amp;IF(AND($L3783="Đã chuyển khoản",$M3783=""),"Thiếu ngày nhận CK; ",""))</f>
        <v/>
      </c>
      <c r="T3783" s="24" t="n"/>
    </row>
    <row r="3784" ht="14.25" customHeight="1" s="40">
      <c r="A3784" s="24" t="n"/>
      <c r="B3784" s="29" t="n"/>
      <c r="C3784" s="28" t="n"/>
      <c r="D3784" s="22">
        <f t="array" ref="D3784">IF($C3784="","",IFERROR(INDEX(DATA_MASTER!$C$2:$C$5000,MATCH($C3784,DATA_MASTER!$D$2:$D$5000,0)),""))</f>
        <v/>
      </c>
      <c r="E3784" s="22">
        <f t="array" ref="E3784">IF($C3784="","",IFERROR(INDEX(DATA_MASTER!$I$2:$I$5000,MATCH($C3784,DATA_MASTER!$D$2:$D$5000,0)),""))</f>
        <v/>
      </c>
      <c r="F3784" s="22">
        <f t="array" ref="F3784">IF($C3784="","",IFERROR(INDEX(DATA_MASTER!$L$2:$L$5000,MATCH($C3784,DATA_MASTER!$D$2:$D$5000,0)),""))</f>
        <v/>
      </c>
      <c r="G3784" s="24" t="n"/>
      <c r="H3784" s="24" t="n"/>
      <c r="I3784" s="30" t="n"/>
      <c r="J3784" s="23">
        <f>IF(OR($H3784="",$I3784=""),"",$H3784*$I3784)</f>
        <v/>
      </c>
      <c r="K3784" s="24" t="n"/>
      <c r="L3784" s="24" t="n"/>
      <c r="M3784" s="29" t="n"/>
      <c r="N3784" s="28" t="n"/>
      <c r="O3784" s="24" t="n"/>
      <c r="P3784" s="24" t="n"/>
      <c r="Q3784" s="24" t="n"/>
      <c r="R3784" s="24" t="n"/>
      <c r="S3784" s="22">
        <f>IF(AND($A3784="",$C3784=""),"",IF($A3784="","Thiếu mã đơn; ","")&amp;IF(COUNTIF($A$2:$A3784,$A3784)&gt;1,"Trùng mã đơn; ","")&amp;IF(ISNA(MATCH($C3784,DATA_MASTER!$D$2:$D$5000,0)),"SĐT chưa đăng ký hội viên; ","")&amp;IF(AND($L3784="Đã chuyển khoản",$M3784=""),"Thiếu ngày nhận CK; ",""))</f>
        <v/>
      </c>
      <c r="T3784" s="24" t="n"/>
    </row>
    <row r="3785" ht="14.25" customHeight="1" s="40">
      <c r="A3785" s="24" t="n"/>
      <c r="B3785" s="29" t="n"/>
      <c r="C3785" s="28" t="n"/>
      <c r="D3785" s="22">
        <f t="array" ref="D3785">IF($C3785="","",IFERROR(INDEX(DATA_MASTER!$C$2:$C$5000,MATCH($C3785,DATA_MASTER!$D$2:$D$5000,0)),""))</f>
        <v/>
      </c>
      <c r="E3785" s="22">
        <f t="array" ref="E3785">IF($C3785="","",IFERROR(INDEX(DATA_MASTER!$I$2:$I$5000,MATCH($C3785,DATA_MASTER!$D$2:$D$5000,0)),""))</f>
        <v/>
      </c>
      <c r="F3785" s="22">
        <f t="array" ref="F3785">IF($C3785="","",IFERROR(INDEX(DATA_MASTER!$L$2:$L$5000,MATCH($C3785,DATA_MASTER!$D$2:$D$5000,0)),""))</f>
        <v/>
      </c>
      <c r="G3785" s="24" t="n"/>
      <c r="H3785" s="24" t="n"/>
      <c r="I3785" s="30" t="n"/>
      <c r="J3785" s="23">
        <f>IF(OR($H3785="",$I3785=""),"",$H3785*$I3785)</f>
        <v/>
      </c>
      <c r="K3785" s="24" t="n"/>
      <c r="L3785" s="24" t="n"/>
      <c r="M3785" s="29" t="n"/>
      <c r="N3785" s="28" t="n"/>
      <c r="O3785" s="24" t="n"/>
      <c r="P3785" s="24" t="n"/>
      <c r="Q3785" s="24" t="n"/>
      <c r="R3785" s="24" t="n"/>
      <c r="S3785" s="22">
        <f>IF(AND($A3785="",$C3785=""),"",IF($A3785="","Thiếu mã đơn; ","")&amp;IF(COUNTIF($A$2:$A3785,$A3785)&gt;1,"Trùng mã đơn; ","")&amp;IF(ISNA(MATCH($C3785,DATA_MASTER!$D$2:$D$5000,0)),"SĐT chưa đăng ký hội viên; ","")&amp;IF(AND($L3785="Đã chuyển khoản",$M3785=""),"Thiếu ngày nhận CK; ",""))</f>
        <v/>
      </c>
      <c r="T3785" s="24" t="n"/>
    </row>
    <row r="3786" ht="14.25" customHeight="1" s="40">
      <c r="A3786" s="24" t="n"/>
      <c r="B3786" s="29" t="n"/>
      <c r="C3786" s="28" t="n"/>
      <c r="D3786" s="22">
        <f t="array" ref="D3786">IF($C3786="","",IFERROR(INDEX(DATA_MASTER!$C$2:$C$5000,MATCH($C3786,DATA_MASTER!$D$2:$D$5000,0)),""))</f>
        <v/>
      </c>
      <c r="E3786" s="22">
        <f t="array" ref="E3786">IF($C3786="","",IFERROR(INDEX(DATA_MASTER!$I$2:$I$5000,MATCH($C3786,DATA_MASTER!$D$2:$D$5000,0)),""))</f>
        <v/>
      </c>
      <c r="F3786" s="22">
        <f t="array" ref="F3786">IF($C3786="","",IFERROR(INDEX(DATA_MASTER!$L$2:$L$5000,MATCH($C3786,DATA_MASTER!$D$2:$D$5000,0)),""))</f>
        <v/>
      </c>
      <c r="G3786" s="24" t="n"/>
      <c r="H3786" s="24" t="n"/>
      <c r="I3786" s="30" t="n"/>
      <c r="J3786" s="23">
        <f>IF(OR($H3786="",$I3786=""),"",$H3786*$I3786)</f>
        <v/>
      </c>
      <c r="K3786" s="24" t="n"/>
      <c r="L3786" s="24" t="n"/>
      <c r="M3786" s="29" t="n"/>
      <c r="N3786" s="28" t="n"/>
      <c r="O3786" s="24" t="n"/>
      <c r="P3786" s="24" t="n"/>
      <c r="Q3786" s="24" t="n"/>
      <c r="R3786" s="24" t="n"/>
      <c r="S3786" s="22">
        <f>IF(AND($A3786="",$C3786=""),"",IF($A3786="","Thiếu mã đơn; ","")&amp;IF(COUNTIF($A$2:$A3786,$A3786)&gt;1,"Trùng mã đơn; ","")&amp;IF(ISNA(MATCH($C3786,DATA_MASTER!$D$2:$D$5000,0)),"SĐT chưa đăng ký hội viên; ","")&amp;IF(AND($L3786="Đã chuyển khoản",$M3786=""),"Thiếu ngày nhận CK; ",""))</f>
        <v/>
      </c>
      <c r="T3786" s="24" t="n"/>
    </row>
    <row r="3787" ht="14.25" customHeight="1" s="40">
      <c r="A3787" s="24" t="n"/>
      <c r="B3787" s="29" t="n"/>
      <c r="C3787" s="28" t="n"/>
      <c r="D3787" s="22">
        <f t="array" ref="D3787">IF($C3787="","",IFERROR(INDEX(DATA_MASTER!$C$2:$C$5000,MATCH($C3787,DATA_MASTER!$D$2:$D$5000,0)),""))</f>
        <v/>
      </c>
      <c r="E3787" s="22">
        <f t="array" ref="E3787">IF($C3787="","",IFERROR(INDEX(DATA_MASTER!$I$2:$I$5000,MATCH($C3787,DATA_MASTER!$D$2:$D$5000,0)),""))</f>
        <v/>
      </c>
      <c r="F3787" s="22">
        <f t="array" ref="F3787">IF($C3787="","",IFERROR(INDEX(DATA_MASTER!$L$2:$L$5000,MATCH($C3787,DATA_MASTER!$D$2:$D$5000,0)),""))</f>
        <v/>
      </c>
      <c r="G3787" s="24" t="n"/>
      <c r="H3787" s="24" t="n"/>
      <c r="I3787" s="30" t="n"/>
      <c r="J3787" s="23">
        <f>IF(OR($H3787="",$I3787=""),"",$H3787*$I3787)</f>
        <v/>
      </c>
      <c r="K3787" s="24" t="n"/>
      <c r="L3787" s="24" t="n"/>
      <c r="M3787" s="29" t="n"/>
      <c r="N3787" s="28" t="n"/>
      <c r="O3787" s="24" t="n"/>
      <c r="P3787" s="24" t="n"/>
      <c r="Q3787" s="24" t="n"/>
      <c r="R3787" s="24" t="n"/>
      <c r="S3787" s="22">
        <f>IF(AND($A3787="",$C3787=""),"",IF($A3787="","Thiếu mã đơn; ","")&amp;IF(COUNTIF($A$2:$A3787,$A3787)&gt;1,"Trùng mã đơn; ","")&amp;IF(ISNA(MATCH($C3787,DATA_MASTER!$D$2:$D$5000,0)),"SĐT chưa đăng ký hội viên; ","")&amp;IF(AND($L3787="Đã chuyển khoản",$M3787=""),"Thiếu ngày nhận CK; ",""))</f>
        <v/>
      </c>
      <c r="T3787" s="24" t="n"/>
    </row>
    <row r="3788" ht="14.25" customHeight="1" s="40">
      <c r="A3788" s="24" t="n"/>
      <c r="B3788" s="29" t="n"/>
      <c r="C3788" s="28" t="n"/>
      <c r="D3788" s="22">
        <f t="array" ref="D3788">IF($C3788="","",IFERROR(INDEX(DATA_MASTER!$C$2:$C$5000,MATCH($C3788,DATA_MASTER!$D$2:$D$5000,0)),""))</f>
        <v/>
      </c>
      <c r="E3788" s="22">
        <f t="array" ref="E3788">IF($C3788="","",IFERROR(INDEX(DATA_MASTER!$I$2:$I$5000,MATCH($C3788,DATA_MASTER!$D$2:$D$5000,0)),""))</f>
        <v/>
      </c>
      <c r="F3788" s="22">
        <f t="array" ref="F3788">IF($C3788="","",IFERROR(INDEX(DATA_MASTER!$L$2:$L$5000,MATCH($C3788,DATA_MASTER!$D$2:$D$5000,0)),""))</f>
        <v/>
      </c>
      <c r="G3788" s="24" t="n"/>
      <c r="H3788" s="24" t="n"/>
      <c r="I3788" s="30" t="n"/>
      <c r="J3788" s="23">
        <f>IF(OR($H3788="",$I3788=""),"",$H3788*$I3788)</f>
        <v/>
      </c>
      <c r="K3788" s="24" t="n"/>
      <c r="L3788" s="24" t="n"/>
      <c r="M3788" s="29" t="n"/>
      <c r="N3788" s="28" t="n"/>
      <c r="O3788" s="24" t="n"/>
      <c r="P3788" s="24" t="n"/>
      <c r="Q3788" s="24" t="n"/>
      <c r="R3788" s="24" t="n"/>
      <c r="S3788" s="22">
        <f>IF(AND($A3788="",$C3788=""),"",IF($A3788="","Thiếu mã đơn; ","")&amp;IF(COUNTIF($A$2:$A3788,$A3788)&gt;1,"Trùng mã đơn; ","")&amp;IF(ISNA(MATCH($C3788,DATA_MASTER!$D$2:$D$5000,0)),"SĐT chưa đăng ký hội viên; ","")&amp;IF(AND($L3788="Đã chuyển khoản",$M3788=""),"Thiếu ngày nhận CK; ",""))</f>
        <v/>
      </c>
      <c r="T3788" s="24" t="n"/>
    </row>
    <row r="3789" ht="14.25" customHeight="1" s="40">
      <c r="A3789" s="24" t="n"/>
      <c r="B3789" s="29" t="n"/>
      <c r="C3789" s="28" t="n"/>
      <c r="D3789" s="22">
        <f t="array" ref="D3789">IF($C3789="","",IFERROR(INDEX(DATA_MASTER!$C$2:$C$5000,MATCH($C3789,DATA_MASTER!$D$2:$D$5000,0)),""))</f>
        <v/>
      </c>
      <c r="E3789" s="22">
        <f t="array" ref="E3789">IF($C3789="","",IFERROR(INDEX(DATA_MASTER!$I$2:$I$5000,MATCH($C3789,DATA_MASTER!$D$2:$D$5000,0)),""))</f>
        <v/>
      </c>
      <c r="F3789" s="22">
        <f t="array" ref="F3789">IF($C3789="","",IFERROR(INDEX(DATA_MASTER!$L$2:$L$5000,MATCH($C3789,DATA_MASTER!$D$2:$D$5000,0)),""))</f>
        <v/>
      </c>
      <c r="G3789" s="24" t="n"/>
      <c r="H3789" s="24" t="n"/>
      <c r="I3789" s="30" t="n"/>
      <c r="J3789" s="23">
        <f>IF(OR($H3789="",$I3789=""),"",$H3789*$I3789)</f>
        <v/>
      </c>
      <c r="K3789" s="24" t="n"/>
      <c r="L3789" s="24" t="n"/>
      <c r="M3789" s="29" t="n"/>
      <c r="N3789" s="28" t="n"/>
      <c r="O3789" s="24" t="n"/>
      <c r="P3789" s="24" t="n"/>
      <c r="Q3789" s="24" t="n"/>
      <c r="R3789" s="24" t="n"/>
      <c r="S3789" s="22">
        <f>IF(AND($A3789="",$C3789=""),"",IF($A3789="","Thiếu mã đơn; ","")&amp;IF(COUNTIF($A$2:$A3789,$A3789)&gt;1,"Trùng mã đơn; ","")&amp;IF(ISNA(MATCH($C3789,DATA_MASTER!$D$2:$D$5000,0)),"SĐT chưa đăng ký hội viên; ","")&amp;IF(AND($L3789="Đã chuyển khoản",$M3789=""),"Thiếu ngày nhận CK; ",""))</f>
        <v/>
      </c>
      <c r="T3789" s="24" t="n"/>
    </row>
    <row r="3790" ht="14.25" customHeight="1" s="40">
      <c r="A3790" s="24" t="n"/>
      <c r="B3790" s="29" t="n"/>
      <c r="C3790" s="28" t="n"/>
      <c r="D3790" s="22">
        <f t="array" ref="D3790">IF($C3790="","",IFERROR(INDEX(DATA_MASTER!$C$2:$C$5000,MATCH($C3790,DATA_MASTER!$D$2:$D$5000,0)),""))</f>
        <v/>
      </c>
      <c r="E3790" s="22">
        <f t="array" ref="E3790">IF($C3790="","",IFERROR(INDEX(DATA_MASTER!$I$2:$I$5000,MATCH($C3790,DATA_MASTER!$D$2:$D$5000,0)),""))</f>
        <v/>
      </c>
      <c r="F3790" s="22">
        <f t="array" ref="F3790">IF($C3790="","",IFERROR(INDEX(DATA_MASTER!$L$2:$L$5000,MATCH($C3790,DATA_MASTER!$D$2:$D$5000,0)),""))</f>
        <v/>
      </c>
      <c r="G3790" s="24" t="n"/>
      <c r="H3790" s="24" t="n"/>
      <c r="I3790" s="30" t="n"/>
      <c r="J3790" s="23">
        <f>IF(OR($H3790="",$I3790=""),"",$H3790*$I3790)</f>
        <v/>
      </c>
      <c r="K3790" s="24" t="n"/>
      <c r="L3790" s="24" t="n"/>
      <c r="M3790" s="29" t="n"/>
      <c r="N3790" s="28" t="n"/>
      <c r="O3790" s="24" t="n"/>
      <c r="P3790" s="24" t="n"/>
      <c r="Q3790" s="24" t="n"/>
      <c r="R3790" s="24" t="n"/>
      <c r="S3790" s="22">
        <f>IF(AND($A3790="",$C3790=""),"",IF($A3790="","Thiếu mã đơn; ","")&amp;IF(COUNTIF($A$2:$A3790,$A3790)&gt;1,"Trùng mã đơn; ","")&amp;IF(ISNA(MATCH($C3790,DATA_MASTER!$D$2:$D$5000,0)),"SĐT chưa đăng ký hội viên; ","")&amp;IF(AND($L3790="Đã chuyển khoản",$M3790=""),"Thiếu ngày nhận CK; ",""))</f>
        <v/>
      </c>
      <c r="T3790" s="24" t="n"/>
    </row>
    <row r="3791" ht="14.25" customHeight="1" s="40">
      <c r="A3791" s="24" t="n"/>
      <c r="B3791" s="29" t="n"/>
      <c r="C3791" s="28" t="n"/>
      <c r="D3791" s="22">
        <f t="array" ref="D3791">IF($C3791="","",IFERROR(INDEX(DATA_MASTER!$C$2:$C$5000,MATCH($C3791,DATA_MASTER!$D$2:$D$5000,0)),""))</f>
        <v/>
      </c>
      <c r="E3791" s="22">
        <f t="array" ref="E3791">IF($C3791="","",IFERROR(INDEX(DATA_MASTER!$I$2:$I$5000,MATCH($C3791,DATA_MASTER!$D$2:$D$5000,0)),""))</f>
        <v/>
      </c>
      <c r="F3791" s="22">
        <f t="array" ref="F3791">IF($C3791="","",IFERROR(INDEX(DATA_MASTER!$L$2:$L$5000,MATCH($C3791,DATA_MASTER!$D$2:$D$5000,0)),""))</f>
        <v/>
      </c>
      <c r="G3791" s="24" t="n"/>
      <c r="H3791" s="24" t="n"/>
      <c r="I3791" s="30" t="n"/>
      <c r="J3791" s="23">
        <f>IF(OR($H3791="",$I3791=""),"",$H3791*$I3791)</f>
        <v/>
      </c>
      <c r="K3791" s="24" t="n"/>
      <c r="L3791" s="24" t="n"/>
      <c r="M3791" s="29" t="n"/>
      <c r="N3791" s="28" t="n"/>
      <c r="O3791" s="24" t="n"/>
      <c r="P3791" s="24" t="n"/>
      <c r="Q3791" s="24" t="n"/>
      <c r="R3791" s="24" t="n"/>
      <c r="S3791" s="22">
        <f>IF(AND($A3791="",$C3791=""),"",IF($A3791="","Thiếu mã đơn; ","")&amp;IF(COUNTIF($A$2:$A3791,$A3791)&gt;1,"Trùng mã đơn; ","")&amp;IF(ISNA(MATCH($C3791,DATA_MASTER!$D$2:$D$5000,0)),"SĐT chưa đăng ký hội viên; ","")&amp;IF(AND($L3791="Đã chuyển khoản",$M3791=""),"Thiếu ngày nhận CK; ",""))</f>
        <v/>
      </c>
      <c r="T3791" s="24" t="n"/>
    </row>
    <row r="3792" ht="14.25" customHeight="1" s="40">
      <c r="A3792" s="24" t="n"/>
      <c r="B3792" s="29" t="n"/>
      <c r="C3792" s="28" t="n"/>
      <c r="D3792" s="22">
        <f t="array" ref="D3792">IF($C3792="","",IFERROR(INDEX(DATA_MASTER!$C$2:$C$5000,MATCH($C3792,DATA_MASTER!$D$2:$D$5000,0)),""))</f>
        <v/>
      </c>
      <c r="E3792" s="22">
        <f t="array" ref="E3792">IF($C3792="","",IFERROR(INDEX(DATA_MASTER!$I$2:$I$5000,MATCH($C3792,DATA_MASTER!$D$2:$D$5000,0)),""))</f>
        <v/>
      </c>
      <c r="F3792" s="22">
        <f t="array" ref="F3792">IF($C3792="","",IFERROR(INDEX(DATA_MASTER!$L$2:$L$5000,MATCH($C3792,DATA_MASTER!$D$2:$D$5000,0)),""))</f>
        <v/>
      </c>
      <c r="G3792" s="24" t="n"/>
      <c r="H3792" s="24" t="n"/>
      <c r="I3792" s="30" t="n"/>
      <c r="J3792" s="23">
        <f>IF(OR($H3792="",$I3792=""),"",$H3792*$I3792)</f>
        <v/>
      </c>
      <c r="K3792" s="24" t="n"/>
      <c r="L3792" s="24" t="n"/>
      <c r="M3792" s="29" t="n"/>
      <c r="N3792" s="28" t="n"/>
      <c r="O3792" s="24" t="n"/>
      <c r="P3792" s="24" t="n"/>
      <c r="Q3792" s="24" t="n"/>
      <c r="R3792" s="24" t="n"/>
      <c r="S3792" s="22">
        <f>IF(AND($A3792="",$C3792=""),"",IF($A3792="","Thiếu mã đơn; ","")&amp;IF(COUNTIF($A$2:$A3792,$A3792)&gt;1,"Trùng mã đơn; ","")&amp;IF(ISNA(MATCH($C3792,DATA_MASTER!$D$2:$D$5000,0)),"SĐT chưa đăng ký hội viên; ","")&amp;IF(AND($L3792="Đã chuyển khoản",$M3792=""),"Thiếu ngày nhận CK; ",""))</f>
        <v/>
      </c>
      <c r="T3792" s="24" t="n"/>
    </row>
    <row r="3793" ht="14.25" customHeight="1" s="40">
      <c r="A3793" s="24" t="n"/>
      <c r="B3793" s="29" t="n"/>
      <c r="C3793" s="28" t="n"/>
      <c r="D3793" s="22">
        <f t="array" ref="D3793">IF($C3793="","",IFERROR(INDEX(DATA_MASTER!$C$2:$C$5000,MATCH($C3793,DATA_MASTER!$D$2:$D$5000,0)),""))</f>
        <v/>
      </c>
      <c r="E3793" s="22">
        <f t="array" ref="E3793">IF($C3793="","",IFERROR(INDEX(DATA_MASTER!$I$2:$I$5000,MATCH($C3793,DATA_MASTER!$D$2:$D$5000,0)),""))</f>
        <v/>
      </c>
      <c r="F3793" s="22">
        <f t="array" ref="F3793">IF($C3793="","",IFERROR(INDEX(DATA_MASTER!$L$2:$L$5000,MATCH($C3793,DATA_MASTER!$D$2:$D$5000,0)),""))</f>
        <v/>
      </c>
      <c r="G3793" s="24" t="n"/>
      <c r="H3793" s="24" t="n"/>
      <c r="I3793" s="30" t="n"/>
      <c r="J3793" s="23">
        <f>IF(OR($H3793="",$I3793=""),"",$H3793*$I3793)</f>
        <v/>
      </c>
      <c r="K3793" s="24" t="n"/>
      <c r="L3793" s="24" t="n"/>
      <c r="M3793" s="29" t="n"/>
      <c r="N3793" s="28" t="n"/>
      <c r="O3793" s="24" t="n"/>
      <c r="P3793" s="24" t="n"/>
      <c r="Q3793" s="24" t="n"/>
      <c r="R3793" s="24" t="n"/>
      <c r="S3793" s="22">
        <f>IF(AND($A3793="",$C3793=""),"",IF($A3793="","Thiếu mã đơn; ","")&amp;IF(COUNTIF($A$2:$A3793,$A3793)&gt;1,"Trùng mã đơn; ","")&amp;IF(ISNA(MATCH($C3793,DATA_MASTER!$D$2:$D$5000,0)),"SĐT chưa đăng ký hội viên; ","")&amp;IF(AND($L3793="Đã chuyển khoản",$M3793=""),"Thiếu ngày nhận CK; ",""))</f>
        <v/>
      </c>
      <c r="T3793" s="24" t="n"/>
    </row>
    <row r="3794" ht="14.25" customHeight="1" s="40">
      <c r="A3794" s="24" t="n"/>
      <c r="B3794" s="29" t="n"/>
      <c r="C3794" s="28" t="n"/>
      <c r="D3794" s="22">
        <f t="array" ref="D3794">IF($C3794="","",IFERROR(INDEX(DATA_MASTER!$C$2:$C$5000,MATCH($C3794,DATA_MASTER!$D$2:$D$5000,0)),""))</f>
        <v/>
      </c>
      <c r="E3794" s="22">
        <f t="array" ref="E3794">IF($C3794="","",IFERROR(INDEX(DATA_MASTER!$I$2:$I$5000,MATCH($C3794,DATA_MASTER!$D$2:$D$5000,0)),""))</f>
        <v/>
      </c>
      <c r="F3794" s="22">
        <f t="array" ref="F3794">IF($C3794="","",IFERROR(INDEX(DATA_MASTER!$L$2:$L$5000,MATCH($C3794,DATA_MASTER!$D$2:$D$5000,0)),""))</f>
        <v/>
      </c>
      <c r="G3794" s="24" t="n"/>
      <c r="H3794" s="24" t="n"/>
      <c r="I3794" s="30" t="n"/>
      <c r="J3794" s="23">
        <f>IF(OR($H3794="",$I3794=""),"",$H3794*$I3794)</f>
        <v/>
      </c>
      <c r="K3794" s="24" t="n"/>
      <c r="L3794" s="24" t="n"/>
      <c r="M3794" s="29" t="n"/>
      <c r="N3794" s="28" t="n"/>
      <c r="O3794" s="24" t="n"/>
      <c r="P3794" s="24" t="n"/>
      <c r="Q3794" s="24" t="n"/>
      <c r="R3794" s="24" t="n"/>
      <c r="S3794" s="22">
        <f>IF(AND($A3794="",$C3794=""),"",IF($A3794="","Thiếu mã đơn; ","")&amp;IF(COUNTIF($A$2:$A3794,$A3794)&gt;1,"Trùng mã đơn; ","")&amp;IF(ISNA(MATCH($C3794,DATA_MASTER!$D$2:$D$5000,0)),"SĐT chưa đăng ký hội viên; ","")&amp;IF(AND($L3794="Đã chuyển khoản",$M3794=""),"Thiếu ngày nhận CK; ",""))</f>
        <v/>
      </c>
      <c r="T3794" s="24" t="n"/>
    </row>
    <row r="3795" ht="14.25" customHeight="1" s="40">
      <c r="A3795" s="24" t="n"/>
      <c r="B3795" s="29" t="n"/>
      <c r="C3795" s="28" t="n"/>
      <c r="D3795" s="22">
        <f t="array" ref="D3795">IF($C3795="","",IFERROR(INDEX(DATA_MASTER!$C$2:$C$5000,MATCH($C3795,DATA_MASTER!$D$2:$D$5000,0)),""))</f>
        <v/>
      </c>
      <c r="E3795" s="22">
        <f t="array" ref="E3795">IF($C3795="","",IFERROR(INDEX(DATA_MASTER!$I$2:$I$5000,MATCH($C3795,DATA_MASTER!$D$2:$D$5000,0)),""))</f>
        <v/>
      </c>
      <c r="F3795" s="22">
        <f t="array" ref="F3795">IF($C3795="","",IFERROR(INDEX(DATA_MASTER!$L$2:$L$5000,MATCH($C3795,DATA_MASTER!$D$2:$D$5000,0)),""))</f>
        <v/>
      </c>
      <c r="G3795" s="24" t="n"/>
      <c r="H3795" s="24" t="n"/>
      <c r="I3795" s="30" t="n"/>
      <c r="J3795" s="23">
        <f>IF(OR($H3795="",$I3795=""),"",$H3795*$I3795)</f>
        <v/>
      </c>
      <c r="K3795" s="24" t="n"/>
      <c r="L3795" s="24" t="n"/>
      <c r="M3795" s="29" t="n"/>
      <c r="N3795" s="28" t="n"/>
      <c r="O3795" s="24" t="n"/>
      <c r="P3795" s="24" t="n"/>
      <c r="Q3795" s="24" t="n"/>
      <c r="R3795" s="24" t="n"/>
      <c r="S3795" s="22">
        <f>IF(AND($A3795="",$C3795=""),"",IF($A3795="","Thiếu mã đơn; ","")&amp;IF(COUNTIF($A$2:$A3795,$A3795)&gt;1,"Trùng mã đơn; ","")&amp;IF(ISNA(MATCH($C3795,DATA_MASTER!$D$2:$D$5000,0)),"SĐT chưa đăng ký hội viên; ","")&amp;IF(AND($L3795="Đã chuyển khoản",$M3795=""),"Thiếu ngày nhận CK; ",""))</f>
        <v/>
      </c>
      <c r="T3795" s="24" t="n"/>
    </row>
    <row r="3796" ht="14.25" customHeight="1" s="40">
      <c r="A3796" s="24" t="n"/>
      <c r="B3796" s="29" t="n"/>
      <c r="C3796" s="28" t="n"/>
      <c r="D3796" s="22">
        <f t="array" ref="D3796">IF($C3796="","",IFERROR(INDEX(DATA_MASTER!$C$2:$C$5000,MATCH($C3796,DATA_MASTER!$D$2:$D$5000,0)),""))</f>
        <v/>
      </c>
      <c r="E3796" s="22">
        <f t="array" ref="E3796">IF($C3796="","",IFERROR(INDEX(DATA_MASTER!$I$2:$I$5000,MATCH($C3796,DATA_MASTER!$D$2:$D$5000,0)),""))</f>
        <v/>
      </c>
      <c r="F3796" s="22">
        <f t="array" ref="F3796">IF($C3796="","",IFERROR(INDEX(DATA_MASTER!$L$2:$L$5000,MATCH($C3796,DATA_MASTER!$D$2:$D$5000,0)),""))</f>
        <v/>
      </c>
      <c r="G3796" s="24" t="n"/>
      <c r="H3796" s="24" t="n"/>
      <c r="I3796" s="30" t="n"/>
      <c r="J3796" s="23">
        <f>IF(OR($H3796="",$I3796=""),"",$H3796*$I3796)</f>
        <v/>
      </c>
      <c r="K3796" s="24" t="n"/>
      <c r="L3796" s="24" t="n"/>
      <c r="M3796" s="29" t="n"/>
      <c r="N3796" s="28" t="n"/>
      <c r="O3796" s="24" t="n"/>
      <c r="P3796" s="24" t="n"/>
      <c r="Q3796" s="24" t="n"/>
      <c r="R3796" s="24" t="n"/>
      <c r="S3796" s="22">
        <f>IF(AND($A3796="",$C3796=""),"",IF($A3796="","Thiếu mã đơn; ","")&amp;IF(COUNTIF($A$2:$A3796,$A3796)&gt;1,"Trùng mã đơn; ","")&amp;IF(ISNA(MATCH($C3796,DATA_MASTER!$D$2:$D$5000,0)),"SĐT chưa đăng ký hội viên; ","")&amp;IF(AND($L3796="Đã chuyển khoản",$M3796=""),"Thiếu ngày nhận CK; ",""))</f>
        <v/>
      </c>
      <c r="T3796" s="24" t="n"/>
    </row>
    <row r="3797" ht="14.25" customHeight="1" s="40">
      <c r="A3797" s="24" t="n"/>
      <c r="B3797" s="29" t="n"/>
      <c r="C3797" s="28" t="n"/>
      <c r="D3797" s="22">
        <f t="array" ref="D3797">IF($C3797="","",IFERROR(INDEX(DATA_MASTER!$C$2:$C$5000,MATCH($C3797,DATA_MASTER!$D$2:$D$5000,0)),""))</f>
        <v/>
      </c>
      <c r="E3797" s="22">
        <f t="array" ref="E3797">IF($C3797="","",IFERROR(INDEX(DATA_MASTER!$I$2:$I$5000,MATCH($C3797,DATA_MASTER!$D$2:$D$5000,0)),""))</f>
        <v/>
      </c>
      <c r="F3797" s="22">
        <f t="array" ref="F3797">IF($C3797="","",IFERROR(INDEX(DATA_MASTER!$L$2:$L$5000,MATCH($C3797,DATA_MASTER!$D$2:$D$5000,0)),""))</f>
        <v/>
      </c>
      <c r="G3797" s="24" t="n"/>
      <c r="H3797" s="24" t="n"/>
      <c r="I3797" s="30" t="n"/>
      <c r="J3797" s="23">
        <f>IF(OR($H3797="",$I3797=""),"",$H3797*$I3797)</f>
        <v/>
      </c>
      <c r="K3797" s="24" t="n"/>
      <c r="L3797" s="24" t="n"/>
      <c r="M3797" s="29" t="n"/>
      <c r="N3797" s="28" t="n"/>
      <c r="O3797" s="24" t="n"/>
      <c r="P3797" s="24" t="n"/>
      <c r="Q3797" s="24" t="n"/>
      <c r="R3797" s="24" t="n"/>
      <c r="S3797" s="22">
        <f>IF(AND($A3797="",$C3797=""),"",IF($A3797="","Thiếu mã đơn; ","")&amp;IF(COUNTIF($A$2:$A3797,$A3797)&gt;1,"Trùng mã đơn; ","")&amp;IF(ISNA(MATCH($C3797,DATA_MASTER!$D$2:$D$5000,0)),"SĐT chưa đăng ký hội viên; ","")&amp;IF(AND($L3797="Đã chuyển khoản",$M3797=""),"Thiếu ngày nhận CK; ",""))</f>
        <v/>
      </c>
      <c r="T3797" s="24" t="n"/>
    </row>
    <row r="3798" ht="14.25" customHeight="1" s="40">
      <c r="A3798" s="24" t="n"/>
      <c r="B3798" s="29" t="n"/>
      <c r="C3798" s="28" t="n"/>
      <c r="D3798" s="22">
        <f t="array" ref="D3798">IF($C3798="","",IFERROR(INDEX(DATA_MASTER!$C$2:$C$5000,MATCH($C3798,DATA_MASTER!$D$2:$D$5000,0)),""))</f>
        <v/>
      </c>
      <c r="E3798" s="22">
        <f t="array" ref="E3798">IF($C3798="","",IFERROR(INDEX(DATA_MASTER!$I$2:$I$5000,MATCH($C3798,DATA_MASTER!$D$2:$D$5000,0)),""))</f>
        <v/>
      </c>
      <c r="F3798" s="22">
        <f t="array" ref="F3798">IF($C3798="","",IFERROR(INDEX(DATA_MASTER!$L$2:$L$5000,MATCH($C3798,DATA_MASTER!$D$2:$D$5000,0)),""))</f>
        <v/>
      </c>
      <c r="G3798" s="24" t="n"/>
      <c r="H3798" s="24" t="n"/>
      <c r="I3798" s="30" t="n"/>
      <c r="J3798" s="23">
        <f>IF(OR($H3798="",$I3798=""),"",$H3798*$I3798)</f>
        <v/>
      </c>
      <c r="K3798" s="24" t="n"/>
      <c r="L3798" s="24" t="n"/>
      <c r="M3798" s="29" t="n"/>
      <c r="N3798" s="28" t="n"/>
      <c r="O3798" s="24" t="n"/>
      <c r="P3798" s="24" t="n"/>
      <c r="Q3798" s="24" t="n"/>
      <c r="R3798" s="24" t="n"/>
      <c r="S3798" s="22">
        <f>IF(AND($A3798="",$C3798=""),"",IF($A3798="","Thiếu mã đơn; ","")&amp;IF(COUNTIF($A$2:$A3798,$A3798)&gt;1,"Trùng mã đơn; ","")&amp;IF(ISNA(MATCH($C3798,DATA_MASTER!$D$2:$D$5000,0)),"SĐT chưa đăng ký hội viên; ","")&amp;IF(AND($L3798="Đã chuyển khoản",$M3798=""),"Thiếu ngày nhận CK; ",""))</f>
        <v/>
      </c>
      <c r="T3798" s="24" t="n"/>
    </row>
    <row r="3799" ht="14.25" customHeight="1" s="40">
      <c r="A3799" s="24" t="n"/>
      <c r="B3799" s="29" t="n"/>
      <c r="C3799" s="28" t="n"/>
      <c r="D3799" s="22">
        <f t="array" ref="D3799">IF($C3799="","",IFERROR(INDEX(DATA_MASTER!$C$2:$C$5000,MATCH($C3799,DATA_MASTER!$D$2:$D$5000,0)),""))</f>
        <v/>
      </c>
      <c r="E3799" s="22">
        <f t="array" ref="E3799">IF($C3799="","",IFERROR(INDEX(DATA_MASTER!$I$2:$I$5000,MATCH($C3799,DATA_MASTER!$D$2:$D$5000,0)),""))</f>
        <v/>
      </c>
      <c r="F3799" s="22">
        <f t="array" ref="F3799">IF($C3799="","",IFERROR(INDEX(DATA_MASTER!$L$2:$L$5000,MATCH($C3799,DATA_MASTER!$D$2:$D$5000,0)),""))</f>
        <v/>
      </c>
      <c r="G3799" s="24" t="n"/>
      <c r="H3799" s="24" t="n"/>
      <c r="I3799" s="30" t="n"/>
      <c r="J3799" s="23">
        <f>IF(OR($H3799="",$I3799=""),"",$H3799*$I3799)</f>
        <v/>
      </c>
      <c r="K3799" s="24" t="n"/>
      <c r="L3799" s="24" t="n"/>
      <c r="M3799" s="29" t="n"/>
      <c r="N3799" s="28" t="n"/>
      <c r="O3799" s="24" t="n"/>
      <c r="P3799" s="24" t="n"/>
      <c r="Q3799" s="24" t="n"/>
      <c r="R3799" s="24" t="n"/>
      <c r="S3799" s="22">
        <f>IF(AND($A3799="",$C3799=""),"",IF($A3799="","Thiếu mã đơn; ","")&amp;IF(COUNTIF($A$2:$A3799,$A3799)&gt;1,"Trùng mã đơn; ","")&amp;IF(ISNA(MATCH($C3799,DATA_MASTER!$D$2:$D$5000,0)),"SĐT chưa đăng ký hội viên; ","")&amp;IF(AND($L3799="Đã chuyển khoản",$M3799=""),"Thiếu ngày nhận CK; ",""))</f>
        <v/>
      </c>
      <c r="T3799" s="24" t="n"/>
    </row>
    <row r="3800" ht="14.25" customHeight="1" s="40">
      <c r="A3800" s="24" t="n"/>
      <c r="B3800" s="29" t="n"/>
      <c r="C3800" s="28" t="n"/>
      <c r="D3800" s="22">
        <f t="array" ref="D3800">IF($C3800="","",IFERROR(INDEX(DATA_MASTER!$C$2:$C$5000,MATCH($C3800,DATA_MASTER!$D$2:$D$5000,0)),""))</f>
        <v/>
      </c>
      <c r="E3800" s="22">
        <f t="array" ref="E3800">IF($C3800="","",IFERROR(INDEX(DATA_MASTER!$I$2:$I$5000,MATCH($C3800,DATA_MASTER!$D$2:$D$5000,0)),""))</f>
        <v/>
      </c>
      <c r="F3800" s="22">
        <f t="array" ref="F3800">IF($C3800="","",IFERROR(INDEX(DATA_MASTER!$L$2:$L$5000,MATCH($C3800,DATA_MASTER!$D$2:$D$5000,0)),""))</f>
        <v/>
      </c>
      <c r="G3800" s="24" t="n"/>
      <c r="H3800" s="24" t="n"/>
      <c r="I3800" s="30" t="n"/>
      <c r="J3800" s="23">
        <f>IF(OR($H3800="",$I3800=""),"",$H3800*$I3800)</f>
        <v/>
      </c>
      <c r="K3800" s="24" t="n"/>
      <c r="L3800" s="24" t="n"/>
      <c r="M3800" s="29" t="n"/>
      <c r="N3800" s="28" t="n"/>
      <c r="O3800" s="24" t="n"/>
      <c r="P3800" s="24" t="n"/>
      <c r="Q3800" s="24" t="n"/>
      <c r="R3800" s="24" t="n"/>
      <c r="S3800" s="22">
        <f>IF(AND($A3800="",$C3800=""),"",IF($A3800="","Thiếu mã đơn; ","")&amp;IF(COUNTIF($A$2:$A3800,$A3800)&gt;1,"Trùng mã đơn; ","")&amp;IF(ISNA(MATCH($C3800,DATA_MASTER!$D$2:$D$5000,0)),"SĐT chưa đăng ký hội viên; ","")&amp;IF(AND($L3800="Đã chuyển khoản",$M3800=""),"Thiếu ngày nhận CK; ",""))</f>
        <v/>
      </c>
      <c r="T3800" s="24" t="n"/>
    </row>
    <row r="3801" ht="14.25" customHeight="1" s="40">
      <c r="A3801" s="24" t="n"/>
      <c r="B3801" s="29" t="n"/>
      <c r="C3801" s="28" t="n"/>
      <c r="D3801" s="22">
        <f t="array" ref="D3801">IF($C3801="","",IFERROR(INDEX(DATA_MASTER!$C$2:$C$5000,MATCH($C3801,DATA_MASTER!$D$2:$D$5000,0)),""))</f>
        <v/>
      </c>
      <c r="E3801" s="22">
        <f t="array" ref="E3801">IF($C3801="","",IFERROR(INDEX(DATA_MASTER!$I$2:$I$5000,MATCH($C3801,DATA_MASTER!$D$2:$D$5000,0)),""))</f>
        <v/>
      </c>
      <c r="F3801" s="22">
        <f t="array" ref="F3801">IF($C3801="","",IFERROR(INDEX(DATA_MASTER!$L$2:$L$5000,MATCH($C3801,DATA_MASTER!$D$2:$D$5000,0)),""))</f>
        <v/>
      </c>
      <c r="G3801" s="24" t="n"/>
      <c r="H3801" s="24" t="n"/>
      <c r="I3801" s="30" t="n"/>
      <c r="J3801" s="23">
        <f>IF(OR($H3801="",$I3801=""),"",$H3801*$I3801)</f>
        <v/>
      </c>
      <c r="K3801" s="24" t="n"/>
      <c r="L3801" s="24" t="n"/>
      <c r="M3801" s="29" t="n"/>
      <c r="N3801" s="28" t="n"/>
      <c r="O3801" s="24" t="n"/>
      <c r="P3801" s="24" t="n"/>
      <c r="Q3801" s="24" t="n"/>
      <c r="R3801" s="24" t="n"/>
      <c r="S3801" s="22">
        <f>IF(AND($A3801="",$C3801=""),"",IF($A3801="","Thiếu mã đơn; ","")&amp;IF(COUNTIF($A$2:$A3801,$A3801)&gt;1,"Trùng mã đơn; ","")&amp;IF(ISNA(MATCH($C3801,DATA_MASTER!$D$2:$D$5000,0)),"SĐT chưa đăng ký hội viên; ","")&amp;IF(AND($L3801="Đã chuyển khoản",$M3801=""),"Thiếu ngày nhận CK; ",""))</f>
        <v/>
      </c>
      <c r="T3801" s="24" t="n"/>
    </row>
    <row r="3802" ht="14.25" customHeight="1" s="40">
      <c r="A3802" s="24" t="n"/>
      <c r="B3802" s="29" t="n"/>
      <c r="C3802" s="28" t="n"/>
      <c r="D3802" s="22">
        <f t="array" ref="D3802">IF($C3802="","",IFERROR(INDEX(DATA_MASTER!$C$2:$C$5000,MATCH($C3802,DATA_MASTER!$D$2:$D$5000,0)),""))</f>
        <v/>
      </c>
      <c r="E3802" s="22">
        <f t="array" ref="E3802">IF($C3802="","",IFERROR(INDEX(DATA_MASTER!$I$2:$I$5000,MATCH($C3802,DATA_MASTER!$D$2:$D$5000,0)),""))</f>
        <v/>
      </c>
      <c r="F3802" s="22">
        <f t="array" ref="F3802">IF($C3802="","",IFERROR(INDEX(DATA_MASTER!$L$2:$L$5000,MATCH($C3802,DATA_MASTER!$D$2:$D$5000,0)),""))</f>
        <v/>
      </c>
      <c r="G3802" s="24" t="n"/>
      <c r="H3802" s="24" t="n"/>
      <c r="I3802" s="30" t="n"/>
      <c r="J3802" s="23">
        <f>IF(OR($H3802="",$I3802=""),"",$H3802*$I3802)</f>
        <v/>
      </c>
      <c r="K3802" s="24" t="n"/>
      <c r="L3802" s="24" t="n"/>
      <c r="M3802" s="29" t="n"/>
      <c r="N3802" s="28" t="n"/>
      <c r="O3802" s="24" t="n"/>
      <c r="P3802" s="24" t="n"/>
      <c r="Q3802" s="24" t="n"/>
      <c r="R3802" s="24" t="n"/>
      <c r="S3802" s="22">
        <f>IF(AND($A3802="",$C3802=""),"",IF($A3802="","Thiếu mã đơn; ","")&amp;IF(COUNTIF($A$2:$A3802,$A3802)&gt;1,"Trùng mã đơn; ","")&amp;IF(ISNA(MATCH($C3802,DATA_MASTER!$D$2:$D$5000,0)),"SĐT chưa đăng ký hội viên; ","")&amp;IF(AND($L3802="Đã chuyển khoản",$M3802=""),"Thiếu ngày nhận CK; ",""))</f>
        <v/>
      </c>
      <c r="T3802" s="24" t="n"/>
    </row>
    <row r="3803" ht="14.25" customHeight="1" s="40">
      <c r="A3803" s="24" t="n"/>
      <c r="B3803" s="29" t="n"/>
      <c r="C3803" s="28" t="n"/>
      <c r="D3803" s="22">
        <f t="array" ref="D3803">IF($C3803="","",IFERROR(INDEX(DATA_MASTER!$C$2:$C$5000,MATCH($C3803,DATA_MASTER!$D$2:$D$5000,0)),""))</f>
        <v/>
      </c>
      <c r="E3803" s="22">
        <f t="array" ref="E3803">IF($C3803="","",IFERROR(INDEX(DATA_MASTER!$I$2:$I$5000,MATCH($C3803,DATA_MASTER!$D$2:$D$5000,0)),""))</f>
        <v/>
      </c>
      <c r="F3803" s="22">
        <f t="array" ref="F3803">IF($C3803="","",IFERROR(INDEX(DATA_MASTER!$L$2:$L$5000,MATCH($C3803,DATA_MASTER!$D$2:$D$5000,0)),""))</f>
        <v/>
      </c>
      <c r="G3803" s="24" t="n"/>
      <c r="H3803" s="24" t="n"/>
      <c r="I3803" s="30" t="n"/>
      <c r="J3803" s="23">
        <f>IF(OR($H3803="",$I3803=""),"",$H3803*$I3803)</f>
        <v/>
      </c>
      <c r="K3803" s="24" t="n"/>
      <c r="L3803" s="24" t="n"/>
      <c r="M3803" s="29" t="n"/>
      <c r="N3803" s="28" t="n"/>
      <c r="O3803" s="24" t="n"/>
      <c r="P3803" s="24" t="n"/>
      <c r="Q3803" s="24" t="n"/>
      <c r="R3803" s="24" t="n"/>
      <c r="S3803" s="22">
        <f>IF(AND($A3803="",$C3803=""),"",IF($A3803="","Thiếu mã đơn; ","")&amp;IF(COUNTIF($A$2:$A3803,$A3803)&gt;1,"Trùng mã đơn; ","")&amp;IF(ISNA(MATCH($C3803,DATA_MASTER!$D$2:$D$5000,0)),"SĐT chưa đăng ký hội viên; ","")&amp;IF(AND($L3803="Đã chuyển khoản",$M3803=""),"Thiếu ngày nhận CK; ",""))</f>
        <v/>
      </c>
      <c r="T3803" s="24" t="n"/>
    </row>
    <row r="3804" ht="14.25" customHeight="1" s="40">
      <c r="A3804" s="24" t="n"/>
      <c r="B3804" s="29" t="n"/>
      <c r="C3804" s="28" t="n"/>
      <c r="D3804" s="22">
        <f t="array" ref="D3804">IF($C3804="","",IFERROR(INDEX(DATA_MASTER!$C$2:$C$5000,MATCH($C3804,DATA_MASTER!$D$2:$D$5000,0)),""))</f>
        <v/>
      </c>
      <c r="E3804" s="22">
        <f t="array" ref="E3804">IF($C3804="","",IFERROR(INDEX(DATA_MASTER!$I$2:$I$5000,MATCH($C3804,DATA_MASTER!$D$2:$D$5000,0)),""))</f>
        <v/>
      </c>
      <c r="F3804" s="22">
        <f t="array" ref="F3804">IF($C3804="","",IFERROR(INDEX(DATA_MASTER!$L$2:$L$5000,MATCH($C3804,DATA_MASTER!$D$2:$D$5000,0)),""))</f>
        <v/>
      </c>
      <c r="G3804" s="24" t="n"/>
      <c r="H3804" s="24" t="n"/>
      <c r="I3804" s="30" t="n"/>
      <c r="J3804" s="23">
        <f>IF(OR($H3804="",$I3804=""),"",$H3804*$I3804)</f>
        <v/>
      </c>
      <c r="K3804" s="24" t="n"/>
      <c r="L3804" s="24" t="n"/>
      <c r="M3804" s="29" t="n"/>
      <c r="N3804" s="28" t="n"/>
      <c r="O3804" s="24" t="n"/>
      <c r="P3804" s="24" t="n"/>
      <c r="Q3804" s="24" t="n"/>
      <c r="R3804" s="24" t="n"/>
      <c r="S3804" s="22">
        <f>IF(AND($A3804="",$C3804=""),"",IF($A3804="","Thiếu mã đơn; ","")&amp;IF(COUNTIF($A$2:$A3804,$A3804)&gt;1,"Trùng mã đơn; ","")&amp;IF(ISNA(MATCH($C3804,DATA_MASTER!$D$2:$D$5000,0)),"SĐT chưa đăng ký hội viên; ","")&amp;IF(AND($L3804="Đã chuyển khoản",$M3804=""),"Thiếu ngày nhận CK; ",""))</f>
        <v/>
      </c>
      <c r="T3804" s="24" t="n"/>
    </row>
    <row r="3805" ht="14.25" customHeight="1" s="40">
      <c r="A3805" s="24" t="n"/>
      <c r="B3805" s="29" t="n"/>
      <c r="C3805" s="28" t="n"/>
      <c r="D3805" s="22">
        <f t="array" ref="D3805">IF($C3805="","",IFERROR(INDEX(DATA_MASTER!$C$2:$C$5000,MATCH($C3805,DATA_MASTER!$D$2:$D$5000,0)),""))</f>
        <v/>
      </c>
      <c r="E3805" s="22">
        <f t="array" ref="E3805">IF($C3805="","",IFERROR(INDEX(DATA_MASTER!$I$2:$I$5000,MATCH($C3805,DATA_MASTER!$D$2:$D$5000,0)),""))</f>
        <v/>
      </c>
      <c r="F3805" s="22">
        <f t="array" ref="F3805">IF($C3805="","",IFERROR(INDEX(DATA_MASTER!$L$2:$L$5000,MATCH($C3805,DATA_MASTER!$D$2:$D$5000,0)),""))</f>
        <v/>
      </c>
      <c r="G3805" s="24" t="n"/>
      <c r="H3805" s="24" t="n"/>
      <c r="I3805" s="30" t="n"/>
      <c r="J3805" s="23">
        <f>IF(OR($H3805="",$I3805=""),"",$H3805*$I3805)</f>
        <v/>
      </c>
      <c r="K3805" s="24" t="n"/>
      <c r="L3805" s="24" t="n"/>
      <c r="M3805" s="29" t="n"/>
      <c r="N3805" s="28" t="n"/>
      <c r="O3805" s="24" t="n"/>
      <c r="P3805" s="24" t="n"/>
      <c r="Q3805" s="24" t="n"/>
      <c r="R3805" s="24" t="n"/>
      <c r="S3805" s="22">
        <f>IF(AND($A3805="",$C3805=""),"",IF($A3805="","Thiếu mã đơn; ","")&amp;IF(COUNTIF($A$2:$A3805,$A3805)&gt;1,"Trùng mã đơn; ","")&amp;IF(ISNA(MATCH($C3805,DATA_MASTER!$D$2:$D$5000,0)),"SĐT chưa đăng ký hội viên; ","")&amp;IF(AND($L3805="Đã chuyển khoản",$M3805=""),"Thiếu ngày nhận CK; ",""))</f>
        <v/>
      </c>
      <c r="T3805" s="24" t="n"/>
    </row>
    <row r="3806" ht="14.25" customHeight="1" s="40">
      <c r="A3806" s="24" t="n"/>
      <c r="B3806" s="29" t="n"/>
      <c r="C3806" s="28" t="n"/>
      <c r="D3806" s="22">
        <f t="array" ref="D3806">IF($C3806="","",IFERROR(INDEX(DATA_MASTER!$C$2:$C$5000,MATCH($C3806,DATA_MASTER!$D$2:$D$5000,0)),""))</f>
        <v/>
      </c>
      <c r="E3806" s="22">
        <f t="array" ref="E3806">IF($C3806="","",IFERROR(INDEX(DATA_MASTER!$I$2:$I$5000,MATCH($C3806,DATA_MASTER!$D$2:$D$5000,0)),""))</f>
        <v/>
      </c>
      <c r="F3806" s="22">
        <f t="array" ref="F3806">IF($C3806="","",IFERROR(INDEX(DATA_MASTER!$L$2:$L$5000,MATCH($C3806,DATA_MASTER!$D$2:$D$5000,0)),""))</f>
        <v/>
      </c>
      <c r="G3806" s="24" t="n"/>
      <c r="H3806" s="24" t="n"/>
      <c r="I3806" s="30" t="n"/>
      <c r="J3806" s="23">
        <f>IF(OR($H3806="",$I3806=""),"",$H3806*$I3806)</f>
        <v/>
      </c>
      <c r="K3806" s="24" t="n"/>
      <c r="L3806" s="24" t="n"/>
      <c r="M3806" s="29" t="n"/>
      <c r="N3806" s="28" t="n"/>
      <c r="O3806" s="24" t="n"/>
      <c r="P3806" s="24" t="n"/>
      <c r="Q3806" s="24" t="n"/>
      <c r="R3806" s="24" t="n"/>
      <c r="S3806" s="22">
        <f>IF(AND($A3806="",$C3806=""),"",IF($A3806="","Thiếu mã đơn; ","")&amp;IF(COUNTIF($A$2:$A3806,$A3806)&gt;1,"Trùng mã đơn; ","")&amp;IF(ISNA(MATCH($C3806,DATA_MASTER!$D$2:$D$5000,0)),"SĐT chưa đăng ký hội viên; ","")&amp;IF(AND($L3806="Đã chuyển khoản",$M3806=""),"Thiếu ngày nhận CK; ",""))</f>
        <v/>
      </c>
      <c r="T3806" s="24" t="n"/>
    </row>
    <row r="3807" ht="14.25" customHeight="1" s="40">
      <c r="A3807" s="24" t="n"/>
      <c r="B3807" s="29" t="n"/>
      <c r="C3807" s="28" t="n"/>
      <c r="D3807" s="22">
        <f t="array" ref="D3807">IF($C3807="","",IFERROR(INDEX(DATA_MASTER!$C$2:$C$5000,MATCH($C3807,DATA_MASTER!$D$2:$D$5000,0)),""))</f>
        <v/>
      </c>
      <c r="E3807" s="22">
        <f t="array" ref="E3807">IF($C3807="","",IFERROR(INDEX(DATA_MASTER!$I$2:$I$5000,MATCH($C3807,DATA_MASTER!$D$2:$D$5000,0)),""))</f>
        <v/>
      </c>
      <c r="F3807" s="22">
        <f t="array" ref="F3807">IF($C3807="","",IFERROR(INDEX(DATA_MASTER!$L$2:$L$5000,MATCH($C3807,DATA_MASTER!$D$2:$D$5000,0)),""))</f>
        <v/>
      </c>
      <c r="G3807" s="24" t="n"/>
      <c r="H3807" s="24" t="n"/>
      <c r="I3807" s="30" t="n"/>
      <c r="J3807" s="23">
        <f>IF(OR($H3807="",$I3807=""),"",$H3807*$I3807)</f>
        <v/>
      </c>
      <c r="K3807" s="24" t="n"/>
      <c r="L3807" s="24" t="n"/>
      <c r="M3807" s="29" t="n"/>
      <c r="N3807" s="28" t="n"/>
      <c r="O3807" s="24" t="n"/>
      <c r="P3807" s="24" t="n"/>
      <c r="Q3807" s="24" t="n"/>
      <c r="R3807" s="24" t="n"/>
      <c r="S3807" s="22">
        <f>IF(AND($A3807="",$C3807=""),"",IF($A3807="","Thiếu mã đơn; ","")&amp;IF(COUNTIF($A$2:$A3807,$A3807)&gt;1,"Trùng mã đơn; ","")&amp;IF(ISNA(MATCH($C3807,DATA_MASTER!$D$2:$D$5000,0)),"SĐT chưa đăng ký hội viên; ","")&amp;IF(AND($L3807="Đã chuyển khoản",$M3807=""),"Thiếu ngày nhận CK; ",""))</f>
        <v/>
      </c>
      <c r="T3807" s="24" t="n"/>
    </row>
    <row r="3808" ht="14.25" customHeight="1" s="40">
      <c r="A3808" s="24" t="n"/>
      <c r="B3808" s="29" t="n"/>
      <c r="C3808" s="28" t="n"/>
      <c r="D3808" s="22">
        <f t="array" ref="D3808">IF($C3808="","",IFERROR(INDEX(DATA_MASTER!$C$2:$C$5000,MATCH($C3808,DATA_MASTER!$D$2:$D$5000,0)),""))</f>
        <v/>
      </c>
      <c r="E3808" s="22">
        <f t="array" ref="E3808">IF($C3808="","",IFERROR(INDEX(DATA_MASTER!$I$2:$I$5000,MATCH($C3808,DATA_MASTER!$D$2:$D$5000,0)),""))</f>
        <v/>
      </c>
      <c r="F3808" s="22">
        <f t="array" ref="F3808">IF($C3808="","",IFERROR(INDEX(DATA_MASTER!$L$2:$L$5000,MATCH($C3808,DATA_MASTER!$D$2:$D$5000,0)),""))</f>
        <v/>
      </c>
      <c r="G3808" s="24" t="n"/>
      <c r="H3808" s="24" t="n"/>
      <c r="I3808" s="30" t="n"/>
      <c r="J3808" s="23">
        <f>IF(OR($H3808="",$I3808=""),"",$H3808*$I3808)</f>
        <v/>
      </c>
      <c r="K3808" s="24" t="n"/>
      <c r="L3808" s="24" t="n"/>
      <c r="M3808" s="29" t="n"/>
      <c r="N3808" s="28" t="n"/>
      <c r="O3808" s="24" t="n"/>
      <c r="P3808" s="24" t="n"/>
      <c r="Q3808" s="24" t="n"/>
      <c r="R3808" s="24" t="n"/>
      <c r="S3808" s="22">
        <f>IF(AND($A3808="",$C3808=""),"",IF($A3808="","Thiếu mã đơn; ","")&amp;IF(COUNTIF($A$2:$A3808,$A3808)&gt;1,"Trùng mã đơn; ","")&amp;IF(ISNA(MATCH($C3808,DATA_MASTER!$D$2:$D$5000,0)),"SĐT chưa đăng ký hội viên; ","")&amp;IF(AND($L3808="Đã chuyển khoản",$M3808=""),"Thiếu ngày nhận CK; ",""))</f>
        <v/>
      </c>
      <c r="T3808" s="24" t="n"/>
    </row>
    <row r="3809" ht="14.25" customHeight="1" s="40">
      <c r="A3809" s="24" t="n"/>
      <c r="B3809" s="29" t="n"/>
      <c r="C3809" s="28" t="n"/>
      <c r="D3809" s="22">
        <f t="array" ref="D3809">IF($C3809="","",IFERROR(INDEX(DATA_MASTER!$C$2:$C$5000,MATCH($C3809,DATA_MASTER!$D$2:$D$5000,0)),""))</f>
        <v/>
      </c>
      <c r="E3809" s="22">
        <f t="array" ref="E3809">IF($C3809="","",IFERROR(INDEX(DATA_MASTER!$I$2:$I$5000,MATCH($C3809,DATA_MASTER!$D$2:$D$5000,0)),""))</f>
        <v/>
      </c>
      <c r="F3809" s="22">
        <f t="array" ref="F3809">IF($C3809="","",IFERROR(INDEX(DATA_MASTER!$L$2:$L$5000,MATCH($C3809,DATA_MASTER!$D$2:$D$5000,0)),""))</f>
        <v/>
      </c>
      <c r="G3809" s="24" t="n"/>
      <c r="H3809" s="24" t="n"/>
      <c r="I3809" s="30" t="n"/>
      <c r="J3809" s="23">
        <f>IF(OR($H3809="",$I3809=""),"",$H3809*$I3809)</f>
        <v/>
      </c>
      <c r="K3809" s="24" t="n"/>
      <c r="L3809" s="24" t="n"/>
      <c r="M3809" s="29" t="n"/>
      <c r="N3809" s="28" t="n"/>
      <c r="O3809" s="24" t="n"/>
      <c r="P3809" s="24" t="n"/>
      <c r="Q3809" s="24" t="n"/>
      <c r="R3809" s="24" t="n"/>
      <c r="S3809" s="22">
        <f>IF(AND($A3809="",$C3809=""),"",IF($A3809="","Thiếu mã đơn; ","")&amp;IF(COUNTIF($A$2:$A3809,$A3809)&gt;1,"Trùng mã đơn; ","")&amp;IF(ISNA(MATCH($C3809,DATA_MASTER!$D$2:$D$5000,0)),"SĐT chưa đăng ký hội viên; ","")&amp;IF(AND($L3809="Đã chuyển khoản",$M3809=""),"Thiếu ngày nhận CK; ",""))</f>
        <v/>
      </c>
      <c r="T3809" s="24" t="n"/>
    </row>
    <row r="3810" ht="14.25" customHeight="1" s="40">
      <c r="A3810" s="24" t="n"/>
      <c r="B3810" s="29" t="n"/>
      <c r="C3810" s="28" t="n"/>
      <c r="D3810" s="22">
        <f t="array" ref="D3810">IF($C3810="","",IFERROR(INDEX(DATA_MASTER!$C$2:$C$5000,MATCH($C3810,DATA_MASTER!$D$2:$D$5000,0)),""))</f>
        <v/>
      </c>
      <c r="E3810" s="22">
        <f t="array" ref="E3810">IF($C3810="","",IFERROR(INDEX(DATA_MASTER!$I$2:$I$5000,MATCH($C3810,DATA_MASTER!$D$2:$D$5000,0)),""))</f>
        <v/>
      </c>
      <c r="F3810" s="22">
        <f t="array" ref="F3810">IF($C3810="","",IFERROR(INDEX(DATA_MASTER!$L$2:$L$5000,MATCH($C3810,DATA_MASTER!$D$2:$D$5000,0)),""))</f>
        <v/>
      </c>
      <c r="G3810" s="24" t="n"/>
      <c r="H3810" s="24" t="n"/>
      <c r="I3810" s="30" t="n"/>
      <c r="J3810" s="23">
        <f>IF(OR($H3810="",$I3810=""),"",$H3810*$I3810)</f>
        <v/>
      </c>
      <c r="K3810" s="24" t="n"/>
      <c r="L3810" s="24" t="n"/>
      <c r="M3810" s="29" t="n"/>
      <c r="N3810" s="28" t="n"/>
      <c r="O3810" s="24" t="n"/>
      <c r="P3810" s="24" t="n"/>
      <c r="Q3810" s="24" t="n"/>
      <c r="R3810" s="24" t="n"/>
      <c r="S3810" s="22">
        <f>IF(AND($A3810="",$C3810=""),"",IF($A3810="","Thiếu mã đơn; ","")&amp;IF(COUNTIF($A$2:$A3810,$A3810)&gt;1,"Trùng mã đơn; ","")&amp;IF(ISNA(MATCH($C3810,DATA_MASTER!$D$2:$D$5000,0)),"SĐT chưa đăng ký hội viên; ","")&amp;IF(AND($L3810="Đã chuyển khoản",$M3810=""),"Thiếu ngày nhận CK; ",""))</f>
        <v/>
      </c>
      <c r="T3810" s="24" t="n"/>
    </row>
    <row r="3811" ht="14.25" customHeight="1" s="40">
      <c r="A3811" s="24" t="n"/>
      <c r="B3811" s="29" t="n"/>
      <c r="C3811" s="28" t="n"/>
      <c r="D3811" s="22">
        <f t="array" ref="D3811">IF($C3811="","",IFERROR(INDEX(DATA_MASTER!$C$2:$C$5000,MATCH($C3811,DATA_MASTER!$D$2:$D$5000,0)),""))</f>
        <v/>
      </c>
      <c r="E3811" s="22">
        <f t="array" ref="E3811">IF($C3811="","",IFERROR(INDEX(DATA_MASTER!$I$2:$I$5000,MATCH($C3811,DATA_MASTER!$D$2:$D$5000,0)),""))</f>
        <v/>
      </c>
      <c r="F3811" s="22">
        <f t="array" ref="F3811">IF($C3811="","",IFERROR(INDEX(DATA_MASTER!$L$2:$L$5000,MATCH($C3811,DATA_MASTER!$D$2:$D$5000,0)),""))</f>
        <v/>
      </c>
      <c r="G3811" s="24" t="n"/>
      <c r="H3811" s="24" t="n"/>
      <c r="I3811" s="30" t="n"/>
      <c r="J3811" s="23">
        <f>IF(OR($H3811="",$I3811=""),"",$H3811*$I3811)</f>
        <v/>
      </c>
      <c r="K3811" s="24" t="n"/>
      <c r="L3811" s="24" t="n"/>
      <c r="M3811" s="29" t="n"/>
      <c r="N3811" s="28" t="n"/>
      <c r="O3811" s="24" t="n"/>
      <c r="P3811" s="24" t="n"/>
      <c r="Q3811" s="24" t="n"/>
      <c r="R3811" s="24" t="n"/>
      <c r="S3811" s="22">
        <f>IF(AND($A3811="",$C3811=""),"",IF($A3811="","Thiếu mã đơn; ","")&amp;IF(COUNTIF($A$2:$A3811,$A3811)&gt;1,"Trùng mã đơn; ","")&amp;IF(ISNA(MATCH($C3811,DATA_MASTER!$D$2:$D$5000,0)),"SĐT chưa đăng ký hội viên; ","")&amp;IF(AND($L3811="Đã chuyển khoản",$M3811=""),"Thiếu ngày nhận CK; ",""))</f>
        <v/>
      </c>
      <c r="T3811" s="24" t="n"/>
    </row>
    <row r="3812" ht="14.25" customHeight="1" s="40">
      <c r="A3812" s="24" t="n"/>
      <c r="B3812" s="29" t="n"/>
      <c r="C3812" s="28" t="n"/>
      <c r="D3812" s="22">
        <f t="array" ref="D3812">IF($C3812="","",IFERROR(INDEX(DATA_MASTER!$C$2:$C$5000,MATCH($C3812,DATA_MASTER!$D$2:$D$5000,0)),""))</f>
        <v/>
      </c>
      <c r="E3812" s="22">
        <f t="array" ref="E3812">IF($C3812="","",IFERROR(INDEX(DATA_MASTER!$I$2:$I$5000,MATCH($C3812,DATA_MASTER!$D$2:$D$5000,0)),""))</f>
        <v/>
      </c>
      <c r="F3812" s="22">
        <f t="array" ref="F3812">IF($C3812="","",IFERROR(INDEX(DATA_MASTER!$L$2:$L$5000,MATCH($C3812,DATA_MASTER!$D$2:$D$5000,0)),""))</f>
        <v/>
      </c>
      <c r="G3812" s="24" t="n"/>
      <c r="H3812" s="24" t="n"/>
      <c r="I3812" s="30" t="n"/>
      <c r="J3812" s="23">
        <f>IF(OR($H3812="",$I3812=""),"",$H3812*$I3812)</f>
        <v/>
      </c>
      <c r="K3812" s="24" t="n"/>
      <c r="L3812" s="24" t="n"/>
      <c r="M3812" s="29" t="n"/>
      <c r="N3812" s="28" t="n"/>
      <c r="O3812" s="24" t="n"/>
      <c r="P3812" s="24" t="n"/>
      <c r="Q3812" s="24" t="n"/>
      <c r="R3812" s="24" t="n"/>
      <c r="S3812" s="22">
        <f>IF(AND($A3812="",$C3812=""),"",IF($A3812="","Thiếu mã đơn; ","")&amp;IF(COUNTIF($A$2:$A3812,$A3812)&gt;1,"Trùng mã đơn; ","")&amp;IF(ISNA(MATCH($C3812,DATA_MASTER!$D$2:$D$5000,0)),"SĐT chưa đăng ký hội viên; ","")&amp;IF(AND($L3812="Đã chuyển khoản",$M3812=""),"Thiếu ngày nhận CK; ",""))</f>
        <v/>
      </c>
      <c r="T3812" s="24" t="n"/>
    </row>
    <row r="3813" ht="14.25" customHeight="1" s="40">
      <c r="A3813" s="24" t="n"/>
      <c r="B3813" s="29" t="n"/>
      <c r="C3813" s="28" t="n"/>
      <c r="D3813" s="22">
        <f t="array" ref="D3813">IF($C3813="","",IFERROR(INDEX(DATA_MASTER!$C$2:$C$5000,MATCH($C3813,DATA_MASTER!$D$2:$D$5000,0)),""))</f>
        <v/>
      </c>
      <c r="E3813" s="22">
        <f t="array" ref="E3813">IF($C3813="","",IFERROR(INDEX(DATA_MASTER!$I$2:$I$5000,MATCH($C3813,DATA_MASTER!$D$2:$D$5000,0)),""))</f>
        <v/>
      </c>
      <c r="F3813" s="22">
        <f t="array" ref="F3813">IF($C3813="","",IFERROR(INDEX(DATA_MASTER!$L$2:$L$5000,MATCH($C3813,DATA_MASTER!$D$2:$D$5000,0)),""))</f>
        <v/>
      </c>
      <c r="G3813" s="24" t="n"/>
      <c r="H3813" s="24" t="n"/>
      <c r="I3813" s="30" t="n"/>
      <c r="J3813" s="23">
        <f>IF(OR($H3813="",$I3813=""),"",$H3813*$I3813)</f>
        <v/>
      </c>
      <c r="K3813" s="24" t="n"/>
      <c r="L3813" s="24" t="n"/>
      <c r="M3813" s="29" t="n"/>
      <c r="N3813" s="28" t="n"/>
      <c r="O3813" s="24" t="n"/>
      <c r="P3813" s="24" t="n"/>
      <c r="Q3813" s="24" t="n"/>
      <c r="R3813" s="24" t="n"/>
      <c r="S3813" s="22">
        <f>IF(AND($A3813="",$C3813=""),"",IF($A3813="","Thiếu mã đơn; ","")&amp;IF(COUNTIF($A$2:$A3813,$A3813)&gt;1,"Trùng mã đơn; ","")&amp;IF(ISNA(MATCH($C3813,DATA_MASTER!$D$2:$D$5000,0)),"SĐT chưa đăng ký hội viên; ","")&amp;IF(AND($L3813="Đã chuyển khoản",$M3813=""),"Thiếu ngày nhận CK; ",""))</f>
        <v/>
      </c>
      <c r="T3813" s="24" t="n"/>
    </row>
    <row r="3814" ht="14.25" customHeight="1" s="40">
      <c r="A3814" s="24" t="n"/>
      <c r="B3814" s="29" t="n"/>
      <c r="C3814" s="28" t="n"/>
      <c r="D3814" s="22">
        <f t="array" ref="D3814">IF($C3814="","",IFERROR(INDEX(DATA_MASTER!$C$2:$C$5000,MATCH($C3814,DATA_MASTER!$D$2:$D$5000,0)),""))</f>
        <v/>
      </c>
      <c r="E3814" s="22">
        <f t="array" ref="E3814">IF($C3814="","",IFERROR(INDEX(DATA_MASTER!$I$2:$I$5000,MATCH($C3814,DATA_MASTER!$D$2:$D$5000,0)),""))</f>
        <v/>
      </c>
      <c r="F3814" s="22">
        <f t="array" ref="F3814">IF($C3814="","",IFERROR(INDEX(DATA_MASTER!$L$2:$L$5000,MATCH($C3814,DATA_MASTER!$D$2:$D$5000,0)),""))</f>
        <v/>
      </c>
      <c r="G3814" s="24" t="n"/>
      <c r="H3814" s="24" t="n"/>
      <c r="I3814" s="30" t="n"/>
      <c r="J3814" s="23">
        <f>IF(OR($H3814="",$I3814=""),"",$H3814*$I3814)</f>
        <v/>
      </c>
      <c r="K3814" s="24" t="n"/>
      <c r="L3814" s="24" t="n"/>
      <c r="M3814" s="29" t="n"/>
      <c r="N3814" s="28" t="n"/>
      <c r="O3814" s="24" t="n"/>
      <c r="P3814" s="24" t="n"/>
      <c r="Q3814" s="24" t="n"/>
      <c r="R3814" s="24" t="n"/>
      <c r="S3814" s="22">
        <f>IF(AND($A3814="",$C3814=""),"",IF($A3814="","Thiếu mã đơn; ","")&amp;IF(COUNTIF($A$2:$A3814,$A3814)&gt;1,"Trùng mã đơn; ","")&amp;IF(ISNA(MATCH($C3814,DATA_MASTER!$D$2:$D$5000,0)),"SĐT chưa đăng ký hội viên; ","")&amp;IF(AND($L3814="Đã chuyển khoản",$M3814=""),"Thiếu ngày nhận CK; ",""))</f>
        <v/>
      </c>
      <c r="T3814" s="24" t="n"/>
    </row>
    <row r="3815" ht="14.25" customHeight="1" s="40">
      <c r="A3815" s="24" t="n"/>
      <c r="B3815" s="29" t="n"/>
      <c r="C3815" s="28" t="n"/>
      <c r="D3815" s="22">
        <f t="array" ref="D3815">IF($C3815="","",IFERROR(INDEX(DATA_MASTER!$C$2:$C$5000,MATCH($C3815,DATA_MASTER!$D$2:$D$5000,0)),""))</f>
        <v/>
      </c>
      <c r="E3815" s="22">
        <f t="array" ref="E3815">IF($C3815="","",IFERROR(INDEX(DATA_MASTER!$I$2:$I$5000,MATCH($C3815,DATA_MASTER!$D$2:$D$5000,0)),""))</f>
        <v/>
      </c>
      <c r="F3815" s="22">
        <f t="array" ref="F3815">IF($C3815="","",IFERROR(INDEX(DATA_MASTER!$L$2:$L$5000,MATCH($C3815,DATA_MASTER!$D$2:$D$5000,0)),""))</f>
        <v/>
      </c>
      <c r="G3815" s="24" t="n"/>
      <c r="H3815" s="24" t="n"/>
      <c r="I3815" s="30" t="n"/>
      <c r="J3815" s="23">
        <f>IF(OR($H3815="",$I3815=""),"",$H3815*$I3815)</f>
        <v/>
      </c>
      <c r="K3815" s="24" t="n"/>
      <c r="L3815" s="24" t="n"/>
      <c r="M3815" s="29" t="n"/>
      <c r="N3815" s="28" t="n"/>
      <c r="O3815" s="24" t="n"/>
      <c r="P3815" s="24" t="n"/>
      <c r="Q3815" s="24" t="n"/>
      <c r="R3815" s="24" t="n"/>
      <c r="S3815" s="22">
        <f>IF(AND($A3815="",$C3815=""),"",IF($A3815="","Thiếu mã đơn; ","")&amp;IF(COUNTIF($A$2:$A3815,$A3815)&gt;1,"Trùng mã đơn; ","")&amp;IF(ISNA(MATCH($C3815,DATA_MASTER!$D$2:$D$5000,0)),"SĐT chưa đăng ký hội viên; ","")&amp;IF(AND($L3815="Đã chuyển khoản",$M3815=""),"Thiếu ngày nhận CK; ",""))</f>
        <v/>
      </c>
      <c r="T3815" s="24" t="n"/>
    </row>
    <row r="3816" ht="14.25" customHeight="1" s="40">
      <c r="A3816" s="24" t="n"/>
      <c r="B3816" s="29" t="n"/>
      <c r="C3816" s="28" t="n"/>
      <c r="D3816" s="22">
        <f t="array" ref="D3816">IF($C3816="","",IFERROR(INDEX(DATA_MASTER!$C$2:$C$5000,MATCH($C3816,DATA_MASTER!$D$2:$D$5000,0)),""))</f>
        <v/>
      </c>
      <c r="E3816" s="22">
        <f t="array" ref="E3816">IF($C3816="","",IFERROR(INDEX(DATA_MASTER!$I$2:$I$5000,MATCH($C3816,DATA_MASTER!$D$2:$D$5000,0)),""))</f>
        <v/>
      </c>
      <c r="F3816" s="22">
        <f t="array" ref="F3816">IF($C3816="","",IFERROR(INDEX(DATA_MASTER!$L$2:$L$5000,MATCH($C3816,DATA_MASTER!$D$2:$D$5000,0)),""))</f>
        <v/>
      </c>
      <c r="G3816" s="24" t="n"/>
      <c r="H3816" s="24" t="n"/>
      <c r="I3816" s="30" t="n"/>
      <c r="J3816" s="23">
        <f>IF(OR($H3816="",$I3816=""),"",$H3816*$I3816)</f>
        <v/>
      </c>
      <c r="K3816" s="24" t="n"/>
      <c r="L3816" s="24" t="n"/>
      <c r="M3816" s="29" t="n"/>
      <c r="N3816" s="28" t="n"/>
      <c r="O3816" s="24" t="n"/>
      <c r="P3816" s="24" t="n"/>
      <c r="Q3816" s="24" t="n"/>
      <c r="R3816" s="24" t="n"/>
      <c r="S3816" s="22">
        <f>IF(AND($A3816="",$C3816=""),"",IF($A3816="","Thiếu mã đơn; ","")&amp;IF(COUNTIF($A$2:$A3816,$A3816)&gt;1,"Trùng mã đơn; ","")&amp;IF(ISNA(MATCH($C3816,DATA_MASTER!$D$2:$D$5000,0)),"SĐT chưa đăng ký hội viên; ","")&amp;IF(AND($L3816="Đã chuyển khoản",$M3816=""),"Thiếu ngày nhận CK; ",""))</f>
        <v/>
      </c>
      <c r="T3816" s="24" t="n"/>
    </row>
    <row r="3817" ht="14.25" customHeight="1" s="40">
      <c r="A3817" s="24" t="n"/>
      <c r="B3817" s="29" t="n"/>
      <c r="C3817" s="28" t="n"/>
      <c r="D3817" s="22">
        <f t="array" ref="D3817">IF($C3817="","",IFERROR(INDEX(DATA_MASTER!$C$2:$C$5000,MATCH($C3817,DATA_MASTER!$D$2:$D$5000,0)),""))</f>
        <v/>
      </c>
      <c r="E3817" s="22">
        <f t="array" ref="E3817">IF($C3817="","",IFERROR(INDEX(DATA_MASTER!$I$2:$I$5000,MATCH($C3817,DATA_MASTER!$D$2:$D$5000,0)),""))</f>
        <v/>
      </c>
      <c r="F3817" s="22">
        <f t="array" ref="F3817">IF($C3817="","",IFERROR(INDEX(DATA_MASTER!$L$2:$L$5000,MATCH($C3817,DATA_MASTER!$D$2:$D$5000,0)),""))</f>
        <v/>
      </c>
      <c r="G3817" s="24" t="n"/>
      <c r="H3817" s="24" t="n"/>
      <c r="I3817" s="30" t="n"/>
      <c r="J3817" s="23">
        <f>IF(OR($H3817="",$I3817=""),"",$H3817*$I3817)</f>
        <v/>
      </c>
      <c r="K3817" s="24" t="n"/>
      <c r="L3817" s="24" t="n"/>
      <c r="M3817" s="29" t="n"/>
      <c r="N3817" s="28" t="n"/>
      <c r="O3817" s="24" t="n"/>
      <c r="P3817" s="24" t="n"/>
      <c r="Q3817" s="24" t="n"/>
      <c r="R3817" s="24" t="n"/>
      <c r="S3817" s="22">
        <f>IF(AND($A3817="",$C3817=""),"",IF($A3817="","Thiếu mã đơn; ","")&amp;IF(COUNTIF($A$2:$A3817,$A3817)&gt;1,"Trùng mã đơn; ","")&amp;IF(ISNA(MATCH($C3817,DATA_MASTER!$D$2:$D$5000,0)),"SĐT chưa đăng ký hội viên; ","")&amp;IF(AND($L3817="Đã chuyển khoản",$M3817=""),"Thiếu ngày nhận CK; ",""))</f>
        <v/>
      </c>
      <c r="T3817" s="24" t="n"/>
    </row>
    <row r="3818" ht="14.25" customHeight="1" s="40">
      <c r="A3818" s="24" t="n"/>
      <c r="B3818" s="29" t="n"/>
      <c r="C3818" s="28" t="n"/>
      <c r="D3818" s="22">
        <f t="array" ref="D3818">IF($C3818="","",IFERROR(INDEX(DATA_MASTER!$C$2:$C$5000,MATCH($C3818,DATA_MASTER!$D$2:$D$5000,0)),""))</f>
        <v/>
      </c>
      <c r="E3818" s="22">
        <f t="array" ref="E3818">IF($C3818="","",IFERROR(INDEX(DATA_MASTER!$I$2:$I$5000,MATCH($C3818,DATA_MASTER!$D$2:$D$5000,0)),""))</f>
        <v/>
      </c>
      <c r="F3818" s="22">
        <f t="array" ref="F3818">IF($C3818="","",IFERROR(INDEX(DATA_MASTER!$L$2:$L$5000,MATCH($C3818,DATA_MASTER!$D$2:$D$5000,0)),""))</f>
        <v/>
      </c>
      <c r="G3818" s="24" t="n"/>
      <c r="H3818" s="24" t="n"/>
      <c r="I3818" s="30" t="n"/>
      <c r="J3818" s="23">
        <f>IF(OR($H3818="",$I3818=""),"",$H3818*$I3818)</f>
        <v/>
      </c>
      <c r="K3818" s="24" t="n"/>
      <c r="L3818" s="24" t="n"/>
      <c r="M3818" s="29" t="n"/>
      <c r="N3818" s="28" t="n"/>
      <c r="O3818" s="24" t="n"/>
      <c r="P3818" s="24" t="n"/>
      <c r="Q3818" s="24" t="n"/>
      <c r="R3818" s="24" t="n"/>
      <c r="S3818" s="22">
        <f>IF(AND($A3818="",$C3818=""),"",IF($A3818="","Thiếu mã đơn; ","")&amp;IF(COUNTIF($A$2:$A3818,$A3818)&gt;1,"Trùng mã đơn; ","")&amp;IF(ISNA(MATCH($C3818,DATA_MASTER!$D$2:$D$5000,0)),"SĐT chưa đăng ký hội viên; ","")&amp;IF(AND($L3818="Đã chuyển khoản",$M3818=""),"Thiếu ngày nhận CK; ",""))</f>
        <v/>
      </c>
      <c r="T3818" s="24" t="n"/>
    </row>
    <row r="3819" ht="14.25" customHeight="1" s="40">
      <c r="A3819" s="24" t="n"/>
      <c r="B3819" s="29" t="n"/>
      <c r="C3819" s="28" t="n"/>
      <c r="D3819" s="22">
        <f t="array" ref="D3819">IF($C3819="","",IFERROR(INDEX(DATA_MASTER!$C$2:$C$5000,MATCH($C3819,DATA_MASTER!$D$2:$D$5000,0)),""))</f>
        <v/>
      </c>
      <c r="E3819" s="22">
        <f t="array" ref="E3819">IF($C3819="","",IFERROR(INDEX(DATA_MASTER!$I$2:$I$5000,MATCH($C3819,DATA_MASTER!$D$2:$D$5000,0)),""))</f>
        <v/>
      </c>
      <c r="F3819" s="22">
        <f t="array" ref="F3819">IF($C3819="","",IFERROR(INDEX(DATA_MASTER!$L$2:$L$5000,MATCH($C3819,DATA_MASTER!$D$2:$D$5000,0)),""))</f>
        <v/>
      </c>
      <c r="G3819" s="24" t="n"/>
      <c r="H3819" s="24" t="n"/>
      <c r="I3819" s="30" t="n"/>
      <c r="J3819" s="23">
        <f>IF(OR($H3819="",$I3819=""),"",$H3819*$I3819)</f>
        <v/>
      </c>
      <c r="K3819" s="24" t="n"/>
      <c r="L3819" s="24" t="n"/>
      <c r="M3819" s="29" t="n"/>
      <c r="N3819" s="28" t="n"/>
      <c r="O3819" s="24" t="n"/>
      <c r="P3819" s="24" t="n"/>
      <c r="Q3819" s="24" t="n"/>
      <c r="R3819" s="24" t="n"/>
      <c r="S3819" s="22">
        <f>IF(AND($A3819="",$C3819=""),"",IF($A3819="","Thiếu mã đơn; ","")&amp;IF(COUNTIF($A$2:$A3819,$A3819)&gt;1,"Trùng mã đơn; ","")&amp;IF(ISNA(MATCH($C3819,DATA_MASTER!$D$2:$D$5000,0)),"SĐT chưa đăng ký hội viên; ","")&amp;IF(AND($L3819="Đã chuyển khoản",$M3819=""),"Thiếu ngày nhận CK; ",""))</f>
        <v/>
      </c>
      <c r="T3819" s="24" t="n"/>
    </row>
    <row r="3820" ht="14.25" customHeight="1" s="40">
      <c r="A3820" s="24" t="n"/>
      <c r="B3820" s="29" t="n"/>
      <c r="C3820" s="28" t="n"/>
      <c r="D3820" s="22">
        <f t="array" ref="D3820">IF($C3820="","",IFERROR(INDEX(DATA_MASTER!$C$2:$C$5000,MATCH($C3820,DATA_MASTER!$D$2:$D$5000,0)),""))</f>
        <v/>
      </c>
      <c r="E3820" s="22">
        <f t="array" ref="E3820">IF($C3820="","",IFERROR(INDEX(DATA_MASTER!$I$2:$I$5000,MATCH($C3820,DATA_MASTER!$D$2:$D$5000,0)),""))</f>
        <v/>
      </c>
      <c r="F3820" s="22">
        <f t="array" ref="F3820">IF($C3820="","",IFERROR(INDEX(DATA_MASTER!$L$2:$L$5000,MATCH($C3820,DATA_MASTER!$D$2:$D$5000,0)),""))</f>
        <v/>
      </c>
      <c r="G3820" s="24" t="n"/>
      <c r="H3820" s="24" t="n"/>
      <c r="I3820" s="30" t="n"/>
      <c r="J3820" s="23">
        <f>IF(OR($H3820="",$I3820=""),"",$H3820*$I3820)</f>
        <v/>
      </c>
      <c r="K3820" s="24" t="n"/>
      <c r="L3820" s="24" t="n"/>
      <c r="M3820" s="29" t="n"/>
      <c r="N3820" s="28" t="n"/>
      <c r="O3820" s="24" t="n"/>
      <c r="P3820" s="24" t="n"/>
      <c r="Q3820" s="24" t="n"/>
      <c r="R3820" s="24" t="n"/>
      <c r="S3820" s="22">
        <f>IF(AND($A3820="",$C3820=""),"",IF($A3820="","Thiếu mã đơn; ","")&amp;IF(COUNTIF($A$2:$A3820,$A3820)&gt;1,"Trùng mã đơn; ","")&amp;IF(ISNA(MATCH($C3820,DATA_MASTER!$D$2:$D$5000,0)),"SĐT chưa đăng ký hội viên; ","")&amp;IF(AND($L3820="Đã chuyển khoản",$M3820=""),"Thiếu ngày nhận CK; ",""))</f>
        <v/>
      </c>
      <c r="T3820" s="24" t="n"/>
    </row>
    <row r="3821" ht="14.25" customHeight="1" s="40">
      <c r="A3821" s="24" t="n"/>
      <c r="B3821" s="29" t="n"/>
      <c r="C3821" s="28" t="n"/>
      <c r="D3821" s="22">
        <f t="array" ref="D3821">IF($C3821="","",IFERROR(INDEX(DATA_MASTER!$C$2:$C$5000,MATCH($C3821,DATA_MASTER!$D$2:$D$5000,0)),""))</f>
        <v/>
      </c>
      <c r="E3821" s="22">
        <f t="array" ref="E3821">IF($C3821="","",IFERROR(INDEX(DATA_MASTER!$I$2:$I$5000,MATCH($C3821,DATA_MASTER!$D$2:$D$5000,0)),""))</f>
        <v/>
      </c>
      <c r="F3821" s="22">
        <f t="array" ref="F3821">IF($C3821="","",IFERROR(INDEX(DATA_MASTER!$L$2:$L$5000,MATCH($C3821,DATA_MASTER!$D$2:$D$5000,0)),""))</f>
        <v/>
      </c>
      <c r="G3821" s="24" t="n"/>
      <c r="H3821" s="24" t="n"/>
      <c r="I3821" s="30" t="n"/>
      <c r="J3821" s="23">
        <f>IF(OR($H3821="",$I3821=""),"",$H3821*$I3821)</f>
        <v/>
      </c>
      <c r="K3821" s="24" t="n"/>
      <c r="L3821" s="24" t="n"/>
      <c r="M3821" s="29" t="n"/>
      <c r="N3821" s="28" t="n"/>
      <c r="O3821" s="24" t="n"/>
      <c r="P3821" s="24" t="n"/>
      <c r="Q3821" s="24" t="n"/>
      <c r="R3821" s="24" t="n"/>
      <c r="S3821" s="22">
        <f>IF(AND($A3821="",$C3821=""),"",IF($A3821="","Thiếu mã đơn; ","")&amp;IF(COUNTIF($A$2:$A3821,$A3821)&gt;1,"Trùng mã đơn; ","")&amp;IF(ISNA(MATCH($C3821,DATA_MASTER!$D$2:$D$5000,0)),"SĐT chưa đăng ký hội viên; ","")&amp;IF(AND($L3821="Đã chuyển khoản",$M3821=""),"Thiếu ngày nhận CK; ",""))</f>
        <v/>
      </c>
      <c r="T3821" s="24" t="n"/>
    </row>
    <row r="3822" ht="14.25" customHeight="1" s="40">
      <c r="A3822" s="24" t="n"/>
      <c r="B3822" s="29" t="n"/>
      <c r="C3822" s="28" t="n"/>
      <c r="D3822" s="22">
        <f t="array" ref="D3822">IF($C3822="","",IFERROR(INDEX(DATA_MASTER!$C$2:$C$5000,MATCH($C3822,DATA_MASTER!$D$2:$D$5000,0)),""))</f>
        <v/>
      </c>
      <c r="E3822" s="22">
        <f t="array" ref="E3822">IF($C3822="","",IFERROR(INDEX(DATA_MASTER!$I$2:$I$5000,MATCH($C3822,DATA_MASTER!$D$2:$D$5000,0)),""))</f>
        <v/>
      </c>
      <c r="F3822" s="22">
        <f t="array" ref="F3822">IF($C3822="","",IFERROR(INDEX(DATA_MASTER!$L$2:$L$5000,MATCH($C3822,DATA_MASTER!$D$2:$D$5000,0)),""))</f>
        <v/>
      </c>
      <c r="G3822" s="24" t="n"/>
      <c r="H3822" s="24" t="n"/>
      <c r="I3822" s="30" t="n"/>
      <c r="J3822" s="23">
        <f>IF(OR($H3822="",$I3822=""),"",$H3822*$I3822)</f>
        <v/>
      </c>
      <c r="K3822" s="24" t="n"/>
      <c r="L3822" s="24" t="n"/>
      <c r="M3822" s="29" t="n"/>
      <c r="N3822" s="28" t="n"/>
      <c r="O3822" s="24" t="n"/>
      <c r="P3822" s="24" t="n"/>
      <c r="Q3822" s="24" t="n"/>
      <c r="R3822" s="24" t="n"/>
      <c r="S3822" s="22">
        <f>IF(AND($A3822="",$C3822=""),"",IF($A3822="","Thiếu mã đơn; ","")&amp;IF(COUNTIF($A$2:$A3822,$A3822)&gt;1,"Trùng mã đơn; ","")&amp;IF(ISNA(MATCH($C3822,DATA_MASTER!$D$2:$D$5000,0)),"SĐT chưa đăng ký hội viên; ","")&amp;IF(AND($L3822="Đã chuyển khoản",$M3822=""),"Thiếu ngày nhận CK; ",""))</f>
        <v/>
      </c>
      <c r="T3822" s="24" t="n"/>
    </row>
    <row r="3823" ht="14.25" customHeight="1" s="40">
      <c r="A3823" s="24" t="n"/>
      <c r="B3823" s="29" t="n"/>
      <c r="C3823" s="28" t="n"/>
      <c r="D3823" s="22">
        <f t="array" ref="D3823">IF($C3823="","",IFERROR(INDEX(DATA_MASTER!$C$2:$C$5000,MATCH($C3823,DATA_MASTER!$D$2:$D$5000,0)),""))</f>
        <v/>
      </c>
      <c r="E3823" s="22">
        <f t="array" ref="E3823">IF($C3823="","",IFERROR(INDEX(DATA_MASTER!$I$2:$I$5000,MATCH($C3823,DATA_MASTER!$D$2:$D$5000,0)),""))</f>
        <v/>
      </c>
      <c r="F3823" s="22">
        <f t="array" ref="F3823">IF($C3823="","",IFERROR(INDEX(DATA_MASTER!$L$2:$L$5000,MATCH($C3823,DATA_MASTER!$D$2:$D$5000,0)),""))</f>
        <v/>
      </c>
      <c r="G3823" s="24" t="n"/>
      <c r="H3823" s="24" t="n"/>
      <c r="I3823" s="30" t="n"/>
      <c r="J3823" s="23">
        <f>IF(OR($H3823="",$I3823=""),"",$H3823*$I3823)</f>
        <v/>
      </c>
      <c r="K3823" s="24" t="n"/>
      <c r="L3823" s="24" t="n"/>
      <c r="M3823" s="29" t="n"/>
      <c r="N3823" s="28" t="n"/>
      <c r="O3823" s="24" t="n"/>
      <c r="P3823" s="24" t="n"/>
      <c r="Q3823" s="24" t="n"/>
      <c r="R3823" s="24" t="n"/>
      <c r="S3823" s="22">
        <f>IF(AND($A3823="",$C3823=""),"",IF($A3823="","Thiếu mã đơn; ","")&amp;IF(COUNTIF($A$2:$A3823,$A3823)&gt;1,"Trùng mã đơn; ","")&amp;IF(ISNA(MATCH($C3823,DATA_MASTER!$D$2:$D$5000,0)),"SĐT chưa đăng ký hội viên; ","")&amp;IF(AND($L3823="Đã chuyển khoản",$M3823=""),"Thiếu ngày nhận CK; ",""))</f>
        <v/>
      </c>
      <c r="T3823" s="24" t="n"/>
    </row>
    <row r="3824" ht="14.25" customHeight="1" s="40">
      <c r="A3824" s="24" t="n"/>
      <c r="B3824" s="29" t="n"/>
      <c r="C3824" s="28" t="n"/>
      <c r="D3824" s="22">
        <f t="array" ref="D3824">IF($C3824="","",IFERROR(INDEX(DATA_MASTER!$C$2:$C$5000,MATCH($C3824,DATA_MASTER!$D$2:$D$5000,0)),""))</f>
        <v/>
      </c>
      <c r="E3824" s="22">
        <f t="array" ref="E3824">IF($C3824="","",IFERROR(INDEX(DATA_MASTER!$I$2:$I$5000,MATCH($C3824,DATA_MASTER!$D$2:$D$5000,0)),""))</f>
        <v/>
      </c>
      <c r="F3824" s="22">
        <f t="array" ref="F3824">IF($C3824="","",IFERROR(INDEX(DATA_MASTER!$L$2:$L$5000,MATCH($C3824,DATA_MASTER!$D$2:$D$5000,0)),""))</f>
        <v/>
      </c>
      <c r="G3824" s="24" t="n"/>
      <c r="H3824" s="24" t="n"/>
      <c r="I3824" s="30" t="n"/>
      <c r="J3824" s="23">
        <f>IF(OR($H3824="",$I3824=""),"",$H3824*$I3824)</f>
        <v/>
      </c>
      <c r="K3824" s="24" t="n"/>
      <c r="L3824" s="24" t="n"/>
      <c r="M3824" s="29" t="n"/>
      <c r="N3824" s="28" t="n"/>
      <c r="O3824" s="24" t="n"/>
      <c r="P3824" s="24" t="n"/>
      <c r="Q3824" s="24" t="n"/>
      <c r="R3824" s="24" t="n"/>
      <c r="S3824" s="22">
        <f>IF(AND($A3824="",$C3824=""),"",IF($A3824="","Thiếu mã đơn; ","")&amp;IF(COUNTIF($A$2:$A3824,$A3824)&gt;1,"Trùng mã đơn; ","")&amp;IF(ISNA(MATCH($C3824,DATA_MASTER!$D$2:$D$5000,0)),"SĐT chưa đăng ký hội viên; ","")&amp;IF(AND($L3824="Đã chuyển khoản",$M3824=""),"Thiếu ngày nhận CK; ",""))</f>
        <v/>
      </c>
      <c r="T3824" s="24" t="n"/>
    </row>
    <row r="3825" ht="14.25" customHeight="1" s="40">
      <c r="A3825" s="24" t="n"/>
      <c r="B3825" s="29" t="n"/>
      <c r="C3825" s="28" t="n"/>
      <c r="D3825" s="22">
        <f t="array" ref="D3825">IF($C3825="","",IFERROR(INDEX(DATA_MASTER!$C$2:$C$5000,MATCH($C3825,DATA_MASTER!$D$2:$D$5000,0)),""))</f>
        <v/>
      </c>
      <c r="E3825" s="22">
        <f t="array" ref="E3825">IF($C3825="","",IFERROR(INDEX(DATA_MASTER!$I$2:$I$5000,MATCH($C3825,DATA_MASTER!$D$2:$D$5000,0)),""))</f>
        <v/>
      </c>
      <c r="F3825" s="22">
        <f t="array" ref="F3825">IF($C3825="","",IFERROR(INDEX(DATA_MASTER!$L$2:$L$5000,MATCH($C3825,DATA_MASTER!$D$2:$D$5000,0)),""))</f>
        <v/>
      </c>
      <c r="G3825" s="24" t="n"/>
      <c r="H3825" s="24" t="n"/>
      <c r="I3825" s="30" t="n"/>
      <c r="J3825" s="23">
        <f>IF(OR($H3825="",$I3825=""),"",$H3825*$I3825)</f>
        <v/>
      </c>
      <c r="K3825" s="24" t="n"/>
      <c r="L3825" s="24" t="n"/>
      <c r="M3825" s="29" t="n"/>
      <c r="N3825" s="28" t="n"/>
      <c r="O3825" s="24" t="n"/>
      <c r="P3825" s="24" t="n"/>
      <c r="Q3825" s="24" t="n"/>
      <c r="R3825" s="24" t="n"/>
      <c r="S3825" s="22">
        <f>IF(AND($A3825="",$C3825=""),"",IF($A3825="","Thiếu mã đơn; ","")&amp;IF(COUNTIF($A$2:$A3825,$A3825)&gt;1,"Trùng mã đơn; ","")&amp;IF(ISNA(MATCH($C3825,DATA_MASTER!$D$2:$D$5000,0)),"SĐT chưa đăng ký hội viên; ","")&amp;IF(AND($L3825="Đã chuyển khoản",$M3825=""),"Thiếu ngày nhận CK; ",""))</f>
        <v/>
      </c>
      <c r="T3825" s="24" t="n"/>
    </row>
    <row r="3826" ht="14.25" customHeight="1" s="40">
      <c r="A3826" s="24" t="n"/>
      <c r="B3826" s="29" t="n"/>
      <c r="C3826" s="28" t="n"/>
      <c r="D3826" s="22">
        <f t="array" ref="D3826">IF($C3826="","",IFERROR(INDEX(DATA_MASTER!$C$2:$C$5000,MATCH($C3826,DATA_MASTER!$D$2:$D$5000,0)),""))</f>
        <v/>
      </c>
      <c r="E3826" s="22">
        <f t="array" ref="E3826">IF($C3826="","",IFERROR(INDEX(DATA_MASTER!$I$2:$I$5000,MATCH($C3826,DATA_MASTER!$D$2:$D$5000,0)),""))</f>
        <v/>
      </c>
      <c r="F3826" s="22">
        <f t="array" ref="F3826">IF($C3826="","",IFERROR(INDEX(DATA_MASTER!$L$2:$L$5000,MATCH($C3826,DATA_MASTER!$D$2:$D$5000,0)),""))</f>
        <v/>
      </c>
      <c r="G3826" s="24" t="n"/>
      <c r="H3826" s="24" t="n"/>
      <c r="I3826" s="30" t="n"/>
      <c r="J3826" s="23">
        <f>IF(OR($H3826="",$I3826=""),"",$H3826*$I3826)</f>
        <v/>
      </c>
      <c r="K3826" s="24" t="n"/>
      <c r="L3826" s="24" t="n"/>
      <c r="M3826" s="29" t="n"/>
      <c r="N3826" s="28" t="n"/>
      <c r="O3826" s="24" t="n"/>
      <c r="P3826" s="24" t="n"/>
      <c r="Q3826" s="24" t="n"/>
      <c r="R3826" s="24" t="n"/>
      <c r="S3826" s="22">
        <f>IF(AND($A3826="",$C3826=""),"",IF($A3826="","Thiếu mã đơn; ","")&amp;IF(COUNTIF($A$2:$A3826,$A3826)&gt;1,"Trùng mã đơn; ","")&amp;IF(ISNA(MATCH($C3826,DATA_MASTER!$D$2:$D$5000,0)),"SĐT chưa đăng ký hội viên; ","")&amp;IF(AND($L3826="Đã chuyển khoản",$M3826=""),"Thiếu ngày nhận CK; ",""))</f>
        <v/>
      </c>
      <c r="T3826" s="24" t="n"/>
    </row>
    <row r="3827" ht="14.25" customHeight="1" s="40">
      <c r="A3827" s="24" t="n"/>
      <c r="B3827" s="29" t="n"/>
      <c r="C3827" s="28" t="n"/>
      <c r="D3827" s="22">
        <f t="array" ref="D3827">IF($C3827="","",IFERROR(INDEX(DATA_MASTER!$C$2:$C$5000,MATCH($C3827,DATA_MASTER!$D$2:$D$5000,0)),""))</f>
        <v/>
      </c>
      <c r="E3827" s="22">
        <f t="array" ref="E3827">IF($C3827="","",IFERROR(INDEX(DATA_MASTER!$I$2:$I$5000,MATCH($C3827,DATA_MASTER!$D$2:$D$5000,0)),""))</f>
        <v/>
      </c>
      <c r="F3827" s="22">
        <f t="array" ref="F3827">IF($C3827="","",IFERROR(INDEX(DATA_MASTER!$L$2:$L$5000,MATCH($C3827,DATA_MASTER!$D$2:$D$5000,0)),""))</f>
        <v/>
      </c>
      <c r="G3827" s="24" t="n"/>
      <c r="H3827" s="24" t="n"/>
      <c r="I3827" s="30" t="n"/>
      <c r="J3827" s="23">
        <f>IF(OR($H3827="",$I3827=""),"",$H3827*$I3827)</f>
        <v/>
      </c>
      <c r="K3827" s="24" t="n"/>
      <c r="L3827" s="24" t="n"/>
      <c r="M3827" s="29" t="n"/>
      <c r="N3827" s="28" t="n"/>
      <c r="O3827" s="24" t="n"/>
      <c r="P3827" s="24" t="n"/>
      <c r="Q3827" s="24" t="n"/>
      <c r="R3827" s="24" t="n"/>
      <c r="S3827" s="22">
        <f>IF(AND($A3827="",$C3827=""),"",IF($A3827="","Thiếu mã đơn; ","")&amp;IF(COUNTIF($A$2:$A3827,$A3827)&gt;1,"Trùng mã đơn; ","")&amp;IF(ISNA(MATCH($C3827,DATA_MASTER!$D$2:$D$5000,0)),"SĐT chưa đăng ký hội viên; ","")&amp;IF(AND($L3827="Đã chuyển khoản",$M3827=""),"Thiếu ngày nhận CK; ",""))</f>
        <v/>
      </c>
      <c r="T3827" s="24" t="n"/>
    </row>
    <row r="3828" ht="14.25" customHeight="1" s="40">
      <c r="A3828" s="24" t="n"/>
      <c r="B3828" s="29" t="n"/>
      <c r="C3828" s="28" t="n"/>
      <c r="D3828" s="22">
        <f t="array" ref="D3828">IF($C3828="","",IFERROR(INDEX(DATA_MASTER!$C$2:$C$5000,MATCH($C3828,DATA_MASTER!$D$2:$D$5000,0)),""))</f>
        <v/>
      </c>
      <c r="E3828" s="22">
        <f t="array" ref="E3828">IF($C3828="","",IFERROR(INDEX(DATA_MASTER!$I$2:$I$5000,MATCH($C3828,DATA_MASTER!$D$2:$D$5000,0)),""))</f>
        <v/>
      </c>
      <c r="F3828" s="22">
        <f t="array" ref="F3828">IF($C3828="","",IFERROR(INDEX(DATA_MASTER!$L$2:$L$5000,MATCH($C3828,DATA_MASTER!$D$2:$D$5000,0)),""))</f>
        <v/>
      </c>
      <c r="G3828" s="24" t="n"/>
      <c r="H3828" s="24" t="n"/>
      <c r="I3828" s="30" t="n"/>
      <c r="J3828" s="23">
        <f>IF(OR($H3828="",$I3828=""),"",$H3828*$I3828)</f>
        <v/>
      </c>
      <c r="K3828" s="24" t="n"/>
      <c r="L3828" s="24" t="n"/>
      <c r="M3828" s="29" t="n"/>
      <c r="N3828" s="28" t="n"/>
      <c r="O3828" s="24" t="n"/>
      <c r="P3828" s="24" t="n"/>
      <c r="Q3828" s="24" t="n"/>
      <c r="R3828" s="24" t="n"/>
      <c r="S3828" s="22">
        <f>IF(AND($A3828="",$C3828=""),"",IF($A3828="","Thiếu mã đơn; ","")&amp;IF(COUNTIF($A$2:$A3828,$A3828)&gt;1,"Trùng mã đơn; ","")&amp;IF(ISNA(MATCH($C3828,DATA_MASTER!$D$2:$D$5000,0)),"SĐT chưa đăng ký hội viên; ","")&amp;IF(AND($L3828="Đã chuyển khoản",$M3828=""),"Thiếu ngày nhận CK; ",""))</f>
        <v/>
      </c>
      <c r="T3828" s="24" t="n"/>
    </row>
    <row r="3829" ht="14.25" customHeight="1" s="40">
      <c r="A3829" s="24" t="n"/>
      <c r="B3829" s="29" t="n"/>
      <c r="C3829" s="28" t="n"/>
      <c r="D3829" s="22">
        <f t="array" ref="D3829">IF($C3829="","",IFERROR(INDEX(DATA_MASTER!$C$2:$C$5000,MATCH($C3829,DATA_MASTER!$D$2:$D$5000,0)),""))</f>
        <v/>
      </c>
      <c r="E3829" s="22">
        <f t="array" ref="E3829">IF($C3829="","",IFERROR(INDEX(DATA_MASTER!$I$2:$I$5000,MATCH($C3829,DATA_MASTER!$D$2:$D$5000,0)),""))</f>
        <v/>
      </c>
      <c r="F3829" s="22">
        <f t="array" ref="F3829">IF($C3829="","",IFERROR(INDEX(DATA_MASTER!$L$2:$L$5000,MATCH($C3829,DATA_MASTER!$D$2:$D$5000,0)),""))</f>
        <v/>
      </c>
      <c r="G3829" s="24" t="n"/>
      <c r="H3829" s="24" t="n"/>
      <c r="I3829" s="30" t="n"/>
      <c r="J3829" s="23">
        <f>IF(OR($H3829="",$I3829=""),"",$H3829*$I3829)</f>
        <v/>
      </c>
      <c r="K3829" s="24" t="n"/>
      <c r="L3829" s="24" t="n"/>
      <c r="M3829" s="29" t="n"/>
      <c r="N3829" s="28" t="n"/>
      <c r="O3829" s="24" t="n"/>
      <c r="P3829" s="24" t="n"/>
      <c r="Q3829" s="24" t="n"/>
      <c r="R3829" s="24" t="n"/>
      <c r="S3829" s="22">
        <f>IF(AND($A3829="",$C3829=""),"",IF($A3829="","Thiếu mã đơn; ","")&amp;IF(COUNTIF($A$2:$A3829,$A3829)&gt;1,"Trùng mã đơn; ","")&amp;IF(ISNA(MATCH($C3829,DATA_MASTER!$D$2:$D$5000,0)),"SĐT chưa đăng ký hội viên; ","")&amp;IF(AND($L3829="Đã chuyển khoản",$M3829=""),"Thiếu ngày nhận CK; ",""))</f>
        <v/>
      </c>
      <c r="T3829" s="24" t="n"/>
    </row>
    <row r="3830" ht="14.25" customHeight="1" s="40">
      <c r="A3830" s="24" t="n"/>
      <c r="B3830" s="29" t="n"/>
      <c r="C3830" s="28" t="n"/>
      <c r="D3830" s="22">
        <f t="array" ref="D3830">IF($C3830="","",IFERROR(INDEX(DATA_MASTER!$C$2:$C$5000,MATCH($C3830,DATA_MASTER!$D$2:$D$5000,0)),""))</f>
        <v/>
      </c>
      <c r="E3830" s="22">
        <f t="array" ref="E3830">IF($C3830="","",IFERROR(INDEX(DATA_MASTER!$I$2:$I$5000,MATCH($C3830,DATA_MASTER!$D$2:$D$5000,0)),""))</f>
        <v/>
      </c>
      <c r="F3830" s="22">
        <f t="array" ref="F3830">IF($C3830="","",IFERROR(INDEX(DATA_MASTER!$L$2:$L$5000,MATCH($C3830,DATA_MASTER!$D$2:$D$5000,0)),""))</f>
        <v/>
      </c>
      <c r="G3830" s="24" t="n"/>
      <c r="H3830" s="24" t="n"/>
      <c r="I3830" s="30" t="n"/>
      <c r="J3830" s="23">
        <f>IF(OR($H3830="",$I3830=""),"",$H3830*$I3830)</f>
        <v/>
      </c>
      <c r="K3830" s="24" t="n"/>
      <c r="L3830" s="24" t="n"/>
      <c r="M3830" s="29" t="n"/>
      <c r="N3830" s="28" t="n"/>
      <c r="O3830" s="24" t="n"/>
      <c r="P3830" s="24" t="n"/>
      <c r="Q3830" s="24" t="n"/>
      <c r="R3830" s="24" t="n"/>
      <c r="S3830" s="22">
        <f>IF(AND($A3830="",$C3830=""),"",IF($A3830="","Thiếu mã đơn; ","")&amp;IF(COUNTIF($A$2:$A3830,$A3830)&gt;1,"Trùng mã đơn; ","")&amp;IF(ISNA(MATCH($C3830,DATA_MASTER!$D$2:$D$5000,0)),"SĐT chưa đăng ký hội viên; ","")&amp;IF(AND($L3830="Đã chuyển khoản",$M3830=""),"Thiếu ngày nhận CK; ",""))</f>
        <v/>
      </c>
      <c r="T3830" s="24" t="n"/>
    </row>
    <row r="3831" ht="14.25" customHeight="1" s="40">
      <c r="A3831" s="24" t="n"/>
      <c r="B3831" s="29" t="n"/>
      <c r="C3831" s="28" t="n"/>
      <c r="D3831" s="22">
        <f t="array" ref="D3831">IF($C3831="","",IFERROR(INDEX(DATA_MASTER!$C$2:$C$5000,MATCH($C3831,DATA_MASTER!$D$2:$D$5000,0)),""))</f>
        <v/>
      </c>
      <c r="E3831" s="22">
        <f t="array" ref="E3831">IF($C3831="","",IFERROR(INDEX(DATA_MASTER!$I$2:$I$5000,MATCH($C3831,DATA_MASTER!$D$2:$D$5000,0)),""))</f>
        <v/>
      </c>
      <c r="F3831" s="22">
        <f t="array" ref="F3831">IF($C3831="","",IFERROR(INDEX(DATA_MASTER!$L$2:$L$5000,MATCH($C3831,DATA_MASTER!$D$2:$D$5000,0)),""))</f>
        <v/>
      </c>
      <c r="G3831" s="24" t="n"/>
      <c r="H3831" s="24" t="n"/>
      <c r="I3831" s="30" t="n"/>
      <c r="J3831" s="23">
        <f>IF(OR($H3831="",$I3831=""),"",$H3831*$I3831)</f>
        <v/>
      </c>
      <c r="K3831" s="24" t="n"/>
      <c r="L3831" s="24" t="n"/>
      <c r="M3831" s="29" t="n"/>
      <c r="N3831" s="28" t="n"/>
      <c r="O3831" s="24" t="n"/>
      <c r="P3831" s="24" t="n"/>
      <c r="Q3831" s="24" t="n"/>
      <c r="R3831" s="24" t="n"/>
      <c r="S3831" s="22">
        <f>IF(AND($A3831="",$C3831=""),"",IF($A3831="","Thiếu mã đơn; ","")&amp;IF(COUNTIF($A$2:$A3831,$A3831)&gt;1,"Trùng mã đơn; ","")&amp;IF(ISNA(MATCH($C3831,DATA_MASTER!$D$2:$D$5000,0)),"SĐT chưa đăng ký hội viên; ","")&amp;IF(AND($L3831="Đã chuyển khoản",$M3831=""),"Thiếu ngày nhận CK; ",""))</f>
        <v/>
      </c>
      <c r="T3831" s="24" t="n"/>
    </row>
    <row r="3832" ht="14.25" customHeight="1" s="40">
      <c r="A3832" s="24" t="n"/>
      <c r="B3832" s="29" t="n"/>
      <c r="C3832" s="28" t="n"/>
      <c r="D3832" s="22">
        <f t="array" ref="D3832">IF($C3832="","",IFERROR(INDEX(DATA_MASTER!$C$2:$C$5000,MATCH($C3832,DATA_MASTER!$D$2:$D$5000,0)),""))</f>
        <v/>
      </c>
      <c r="E3832" s="22">
        <f t="array" ref="E3832">IF($C3832="","",IFERROR(INDEX(DATA_MASTER!$I$2:$I$5000,MATCH($C3832,DATA_MASTER!$D$2:$D$5000,0)),""))</f>
        <v/>
      </c>
      <c r="F3832" s="22">
        <f t="array" ref="F3832">IF($C3832="","",IFERROR(INDEX(DATA_MASTER!$L$2:$L$5000,MATCH($C3832,DATA_MASTER!$D$2:$D$5000,0)),""))</f>
        <v/>
      </c>
      <c r="G3832" s="24" t="n"/>
      <c r="H3832" s="24" t="n"/>
      <c r="I3832" s="30" t="n"/>
      <c r="J3832" s="23">
        <f>IF(OR($H3832="",$I3832=""),"",$H3832*$I3832)</f>
        <v/>
      </c>
      <c r="K3832" s="24" t="n"/>
      <c r="L3832" s="24" t="n"/>
      <c r="M3832" s="29" t="n"/>
      <c r="N3832" s="28" t="n"/>
      <c r="O3832" s="24" t="n"/>
      <c r="P3832" s="24" t="n"/>
      <c r="Q3832" s="24" t="n"/>
      <c r="R3832" s="24" t="n"/>
      <c r="S3832" s="22">
        <f>IF(AND($A3832="",$C3832=""),"",IF($A3832="","Thiếu mã đơn; ","")&amp;IF(COUNTIF($A$2:$A3832,$A3832)&gt;1,"Trùng mã đơn; ","")&amp;IF(ISNA(MATCH($C3832,DATA_MASTER!$D$2:$D$5000,0)),"SĐT chưa đăng ký hội viên; ","")&amp;IF(AND($L3832="Đã chuyển khoản",$M3832=""),"Thiếu ngày nhận CK; ",""))</f>
        <v/>
      </c>
      <c r="T3832" s="24" t="n"/>
    </row>
    <row r="3833" ht="14.25" customHeight="1" s="40">
      <c r="A3833" s="24" t="n"/>
      <c r="B3833" s="29" t="n"/>
      <c r="C3833" s="28" t="n"/>
      <c r="D3833" s="22">
        <f t="array" ref="D3833">IF($C3833="","",IFERROR(INDEX(DATA_MASTER!$C$2:$C$5000,MATCH($C3833,DATA_MASTER!$D$2:$D$5000,0)),""))</f>
        <v/>
      </c>
      <c r="E3833" s="22">
        <f t="array" ref="E3833">IF($C3833="","",IFERROR(INDEX(DATA_MASTER!$I$2:$I$5000,MATCH($C3833,DATA_MASTER!$D$2:$D$5000,0)),""))</f>
        <v/>
      </c>
      <c r="F3833" s="22">
        <f t="array" ref="F3833">IF($C3833="","",IFERROR(INDEX(DATA_MASTER!$L$2:$L$5000,MATCH($C3833,DATA_MASTER!$D$2:$D$5000,0)),""))</f>
        <v/>
      </c>
      <c r="G3833" s="24" t="n"/>
      <c r="H3833" s="24" t="n"/>
      <c r="I3833" s="30" t="n"/>
      <c r="J3833" s="23">
        <f>IF(OR($H3833="",$I3833=""),"",$H3833*$I3833)</f>
        <v/>
      </c>
      <c r="K3833" s="24" t="n"/>
      <c r="L3833" s="24" t="n"/>
      <c r="M3833" s="29" t="n"/>
      <c r="N3833" s="28" t="n"/>
      <c r="O3833" s="24" t="n"/>
      <c r="P3833" s="24" t="n"/>
      <c r="Q3833" s="24" t="n"/>
      <c r="R3833" s="24" t="n"/>
      <c r="S3833" s="22">
        <f>IF(AND($A3833="",$C3833=""),"",IF($A3833="","Thiếu mã đơn; ","")&amp;IF(COUNTIF($A$2:$A3833,$A3833)&gt;1,"Trùng mã đơn; ","")&amp;IF(ISNA(MATCH($C3833,DATA_MASTER!$D$2:$D$5000,0)),"SĐT chưa đăng ký hội viên; ","")&amp;IF(AND($L3833="Đã chuyển khoản",$M3833=""),"Thiếu ngày nhận CK; ",""))</f>
        <v/>
      </c>
      <c r="T3833" s="24" t="n"/>
    </row>
    <row r="3834" ht="14.25" customHeight="1" s="40">
      <c r="A3834" s="24" t="n"/>
      <c r="B3834" s="29" t="n"/>
      <c r="C3834" s="28" t="n"/>
      <c r="D3834" s="22">
        <f t="array" ref="D3834">IF($C3834="","",IFERROR(INDEX(DATA_MASTER!$C$2:$C$5000,MATCH($C3834,DATA_MASTER!$D$2:$D$5000,0)),""))</f>
        <v/>
      </c>
      <c r="E3834" s="22">
        <f t="array" ref="E3834">IF($C3834="","",IFERROR(INDEX(DATA_MASTER!$I$2:$I$5000,MATCH($C3834,DATA_MASTER!$D$2:$D$5000,0)),""))</f>
        <v/>
      </c>
      <c r="F3834" s="22">
        <f t="array" ref="F3834">IF($C3834="","",IFERROR(INDEX(DATA_MASTER!$L$2:$L$5000,MATCH($C3834,DATA_MASTER!$D$2:$D$5000,0)),""))</f>
        <v/>
      </c>
      <c r="G3834" s="24" t="n"/>
      <c r="H3834" s="24" t="n"/>
      <c r="I3834" s="30" t="n"/>
      <c r="J3834" s="23">
        <f>IF(OR($H3834="",$I3834=""),"",$H3834*$I3834)</f>
        <v/>
      </c>
      <c r="K3834" s="24" t="n"/>
      <c r="L3834" s="24" t="n"/>
      <c r="M3834" s="29" t="n"/>
      <c r="N3834" s="28" t="n"/>
      <c r="O3834" s="24" t="n"/>
      <c r="P3834" s="24" t="n"/>
      <c r="Q3834" s="24" t="n"/>
      <c r="R3834" s="24" t="n"/>
      <c r="S3834" s="22">
        <f>IF(AND($A3834="",$C3834=""),"",IF($A3834="","Thiếu mã đơn; ","")&amp;IF(COUNTIF($A$2:$A3834,$A3834)&gt;1,"Trùng mã đơn; ","")&amp;IF(ISNA(MATCH($C3834,DATA_MASTER!$D$2:$D$5000,0)),"SĐT chưa đăng ký hội viên; ","")&amp;IF(AND($L3834="Đã chuyển khoản",$M3834=""),"Thiếu ngày nhận CK; ",""))</f>
        <v/>
      </c>
      <c r="T3834" s="24" t="n"/>
    </row>
    <row r="3835" ht="14.25" customHeight="1" s="40">
      <c r="A3835" s="24" t="n"/>
      <c r="B3835" s="29" t="n"/>
      <c r="C3835" s="28" t="n"/>
      <c r="D3835" s="22">
        <f t="array" ref="D3835">IF($C3835="","",IFERROR(INDEX(DATA_MASTER!$C$2:$C$5000,MATCH($C3835,DATA_MASTER!$D$2:$D$5000,0)),""))</f>
        <v/>
      </c>
      <c r="E3835" s="22">
        <f t="array" ref="E3835">IF($C3835="","",IFERROR(INDEX(DATA_MASTER!$I$2:$I$5000,MATCH($C3835,DATA_MASTER!$D$2:$D$5000,0)),""))</f>
        <v/>
      </c>
      <c r="F3835" s="22">
        <f t="array" ref="F3835">IF($C3835="","",IFERROR(INDEX(DATA_MASTER!$L$2:$L$5000,MATCH($C3835,DATA_MASTER!$D$2:$D$5000,0)),""))</f>
        <v/>
      </c>
      <c r="G3835" s="24" t="n"/>
      <c r="H3835" s="24" t="n"/>
      <c r="I3835" s="30" t="n"/>
      <c r="J3835" s="23">
        <f>IF(OR($H3835="",$I3835=""),"",$H3835*$I3835)</f>
        <v/>
      </c>
      <c r="K3835" s="24" t="n"/>
      <c r="L3835" s="24" t="n"/>
      <c r="M3835" s="29" t="n"/>
      <c r="N3835" s="28" t="n"/>
      <c r="O3835" s="24" t="n"/>
      <c r="P3835" s="24" t="n"/>
      <c r="Q3835" s="24" t="n"/>
      <c r="R3835" s="24" t="n"/>
      <c r="S3835" s="22">
        <f>IF(AND($A3835="",$C3835=""),"",IF($A3835="","Thiếu mã đơn; ","")&amp;IF(COUNTIF($A$2:$A3835,$A3835)&gt;1,"Trùng mã đơn; ","")&amp;IF(ISNA(MATCH($C3835,DATA_MASTER!$D$2:$D$5000,0)),"SĐT chưa đăng ký hội viên; ","")&amp;IF(AND($L3835="Đã chuyển khoản",$M3835=""),"Thiếu ngày nhận CK; ",""))</f>
        <v/>
      </c>
      <c r="T3835" s="24" t="n"/>
    </row>
    <row r="3836" ht="14.25" customHeight="1" s="40">
      <c r="A3836" s="24" t="n"/>
      <c r="B3836" s="29" t="n"/>
      <c r="C3836" s="28" t="n"/>
      <c r="D3836" s="22">
        <f t="array" ref="D3836">IF($C3836="","",IFERROR(INDEX(DATA_MASTER!$C$2:$C$5000,MATCH($C3836,DATA_MASTER!$D$2:$D$5000,0)),""))</f>
        <v/>
      </c>
      <c r="E3836" s="22">
        <f t="array" ref="E3836">IF($C3836="","",IFERROR(INDEX(DATA_MASTER!$I$2:$I$5000,MATCH($C3836,DATA_MASTER!$D$2:$D$5000,0)),""))</f>
        <v/>
      </c>
      <c r="F3836" s="22">
        <f t="array" ref="F3836">IF($C3836="","",IFERROR(INDEX(DATA_MASTER!$L$2:$L$5000,MATCH($C3836,DATA_MASTER!$D$2:$D$5000,0)),""))</f>
        <v/>
      </c>
      <c r="G3836" s="24" t="n"/>
      <c r="H3836" s="24" t="n"/>
      <c r="I3836" s="30" t="n"/>
      <c r="J3836" s="23">
        <f>IF(OR($H3836="",$I3836=""),"",$H3836*$I3836)</f>
        <v/>
      </c>
      <c r="K3836" s="24" t="n"/>
      <c r="L3836" s="24" t="n"/>
      <c r="M3836" s="29" t="n"/>
      <c r="N3836" s="28" t="n"/>
      <c r="O3836" s="24" t="n"/>
      <c r="P3836" s="24" t="n"/>
      <c r="Q3836" s="24" t="n"/>
      <c r="R3836" s="24" t="n"/>
      <c r="S3836" s="22">
        <f>IF(AND($A3836="",$C3836=""),"",IF($A3836="","Thiếu mã đơn; ","")&amp;IF(COUNTIF($A$2:$A3836,$A3836)&gt;1,"Trùng mã đơn; ","")&amp;IF(ISNA(MATCH($C3836,DATA_MASTER!$D$2:$D$5000,0)),"SĐT chưa đăng ký hội viên; ","")&amp;IF(AND($L3836="Đã chuyển khoản",$M3836=""),"Thiếu ngày nhận CK; ",""))</f>
        <v/>
      </c>
      <c r="T3836" s="24" t="n"/>
    </row>
    <row r="3837" ht="14.25" customHeight="1" s="40">
      <c r="A3837" s="24" t="n"/>
      <c r="B3837" s="29" t="n"/>
      <c r="C3837" s="28" t="n"/>
      <c r="D3837" s="22">
        <f t="array" ref="D3837">IF($C3837="","",IFERROR(INDEX(DATA_MASTER!$C$2:$C$5000,MATCH($C3837,DATA_MASTER!$D$2:$D$5000,0)),""))</f>
        <v/>
      </c>
      <c r="E3837" s="22">
        <f t="array" ref="E3837">IF($C3837="","",IFERROR(INDEX(DATA_MASTER!$I$2:$I$5000,MATCH($C3837,DATA_MASTER!$D$2:$D$5000,0)),""))</f>
        <v/>
      </c>
      <c r="F3837" s="22">
        <f t="array" ref="F3837">IF($C3837="","",IFERROR(INDEX(DATA_MASTER!$L$2:$L$5000,MATCH($C3837,DATA_MASTER!$D$2:$D$5000,0)),""))</f>
        <v/>
      </c>
      <c r="G3837" s="24" t="n"/>
      <c r="H3837" s="24" t="n"/>
      <c r="I3837" s="30" t="n"/>
      <c r="J3837" s="23">
        <f>IF(OR($H3837="",$I3837=""),"",$H3837*$I3837)</f>
        <v/>
      </c>
      <c r="K3837" s="24" t="n"/>
      <c r="L3837" s="24" t="n"/>
      <c r="M3837" s="29" t="n"/>
      <c r="N3837" s="28" t="n"/>
      <c r="O3837" s="24" t="n"/>
      <c r="P3837" s="24" t="n"/>
      <c r="Q3837" s="24" t="n"/>
      <c r="R3837" s="24" t="n"/>
      <c r="S3837" s="22">
        <f>IF(AND($A3837="",$C3837=""),"",IF($A3837="","Thiếu mã đơn; ","")&amp;IF(COUNTIF($A$2:$A3837,$A3837)&gt;1,"Trùng mã đơn; ","")&amp;IF(ISNA(MATCH($C3837,DATA_MASTER!$D$2:$D$5000,0)),"SĐT chưa đăng ký hội viên; ","")&amp;IF(AND($L3837="Đã chuyển khoản",$M3837=""),"Thiếu ngày nhận CK; ",""))</f>
        <v/>
      </c>
      <c r="T3837" s="24" t="n"/>
    </row>
    <row r="3838" ht="14.25" customHeight="1" s="40">
      <c r="A3838" s="24" t="n"/>
      <c r="B3838" s="29" t="n"/>
      <c r="C3838" s="28" t="n"/>
      <c r="D3838" s="22">
        <f t="array" ref="D3838">IF($C3838="","",IFERROR(INDEX(DATA_MASTER!$C$2:$C$5000,MATCH($C3838,DATA_MASTER!$D$2:$D$5000,0)),""))</f>
        <v/>
      </c>
      <c r="E3838" s="22">
        <f t="array" ref="E3838">IF($C3838="","",IFERROR(INDEX(DATA_MASTER!$I$2:$I$5000,MATCH($C3838,DATA_MASTER!$D$2:$D$5000,0)),""))</f>
        <v/>
      </c>
      <c r="F3838" s="22">
        <f t="array" ref="F3838">IF($C3838="","",IFERROR(INDEX(DATA_MASTER!$L$2:$L$5000,MATCH($C3838,DATA_MASTER!$D$2:$D$5000,0)),""))</f>
        <v/>
      </c>
      <c r="G3838" s="24" t="n"/>
      <c r="H3838" s="24" t="n"/>
      <c r="I3838" s="30" t="n"/>
      <c r="J3838" s="23">
        <f>IF(OR($H3838="",$I3838=""),"",$H3838*$I3838)</f>
        <v/>
      </c>
      <c r="K3838" s="24" t="n"/>
      <c r="L3838" s="24" t="n"/>
      <c r="M3838" s="29" t="n"/>
      <c r="N3838" s="28" t="n"/>
      <c r="O3838" s="24" t="n"/>
      <c r="P3838" s="24" t="n"/>
      <c r="Q3838" s="24" t="n"/>
      <c r="R3838" s="24" t="n"/>
      <c r="S3838" s="22">
        <f>IF(AND($A3838="",$C3838=""),"",IF($A3838="","Thiếu mã đơn; ","")&amp;IF(COUNTIF($A$2:$A3838,$A3838)&gt;1,"Trùng mã đơn; ","")&amp;IF(ISNA(MATCH($C3838,DATA_MASTER!$D$2:$D$5000,0)),"SĐT chưa đăng ký hội viên; ","")&amp;IF(AND($L3838="Đã chuyển khoản",$M3838=""),"Thiếu ngày nhận CK; ",""))</f>
        <v/>
      </c>
      <c r="T3838" s="24" t="n"/>
    </row>
    <row r="3839" ht="14.25" customHeight="1" s="40">
      <c r="A3839" s="24" t="n"/>
      <c r="B3839" s="29" t="n"/>
      <c r="C3839" s="28" t="n"/>
      <c r="D3839" s="22">
        <f t="array" ref="D3839">IF($C3839="","",IFERROR(INDEX(DATA_MASTER!$C$2:$C$5000,MATCH($C3839,DATA_MASTER!$D$2:$D$5000,0)),""))</f>
        <v/>
      </c>
      <c r="E3839" s="22">
        <f t="array" ref="E3839">IF($C3839="","",IFERROR(INDEX(DATA_MASTER!$I$2:$I$5000,MATCH($C3839,DATA_MASTER!$D$2:$D$5000,0)),""))</f>
        <v/>
      </c>
      <c r="F3839" s="22">
        <f t="array" ref="F3839">IF($C3839="","",IFERROR(INDEX(DATA_MASTER!$L$2:$L$5000,MATCH($C3839,DATA_MASTER!$D$2:$D$5000,0)),""))</f>
        <v/>
      </c>
      <c r="G3839" s="24" t="n"/>
      <c r="H3839" s="24" t="n"/>
      <c r="I3839" s="30" t="n"/>
      <c r="J3839" s="23">
        <f>IF(OR($H3839="",$I3839=""),"",$H3839*$I3839)</f>
        <v/>
      </c>
      <c r="K3839" s="24" t="n"/>
      <c r="L3839" s="24" t="n"/>
      <c r="M3839" s="29" t="n"/>
      <c r="N3839" s="28" t="n"/>
      <c r="O3839" s="24" t="n"/>
      <c r="P3839" s="24" t="n"/>
      <c r="Q3839" s="24" t="n"/>
      <c r="R3839" s="24" t="n"/>
      <c r="S3839" s="22">
        <f>IF(AND($A3839="",$C3839=""),"",IF($A3839="","Thiếu mã đơn; ","")&amp;IF(COUNTIF($A$2:$A3839,$A3839)&gt;1,"Trùng mã đơn; ","")&amp;IF(ISNA(MATCH($C3839,DATA_MASTER!$D$2:$D$5000,0)),"SĐT chưa đăng ký hội viên; ","")&amp;IF(AND($L3839="Đã chuyển khoản",$M3839=""),"Thiếu ngày nhận CK; ",""))</f>
        <v/>
      </c>
      <c r="T3839" s="24" t="n"/>
    </row>
    <row r="3840" ht="14.25" customHeight="1" s="40">
      <c r="A3840" s="24" t="n"/>
      <c r="B3840" s="29" t="n"/>
      <c r="C3840" s="28" t="n"/>
      <c r="D3840" s="22">
        <f t="array" ref="D3840">IF($C3840="","",IFERROR(INDEX(DATA_MASTER!$C$2:$C$5000,MATCH($C3840,DATA_MASTER!$D$2:$D$5000,0)),""))</f>
        <v/>
      </c>
      <c r="E3840" s="22">
        <f t="array" ref="E3840">IF($C3840="","",IFERROR(INDEX(DATA_MASTER!$I$2:$I$5000,MATCH($C3840,DATA_MASTER!$D$2:$D$5000,0)),""))</f>
        <v/>
      </c>
      <c r="F3840" s="22">
        <f t="array" ref="F3840">IF($C3840="","",IFERROR(INDEX(DATA_MASTER!$L$2:$L$5000,MATCH($C3840,DATA_MASTER!$D$2:$D$5000,0)),""))</f>
        <v/>
      </c>
      <c r="G3840" s="24" t="n"/>
      <c r="H3840" s="24" t="n"/>
      <c r="I3840" s="30" t="n"/>
      <c r="J3840" s="23">
        <f>IF(OR($H3840="",$I3840=""),"",$H3840*$I3840)</f>
        <v/>
      </c>
      <c r="K3840" s="24" t="n"/>
      <c r="L3840" s="24" t="n"/>
      <c r="M3840" s="29" t="n"/>
      <c r="N3840" s="28" t="n"/>
      <c r="O3840" s="24" t="n"/>
      <c r="P3840" s="24" t="n"/>
      <c r="Q3840" s="24" t="n"/>
      <c r="R3840" s="24" t="n"/>
      <c r="S3840" s="22">
        <f>IF(AND($A3840="",$C3840=""),"",IF($A3840="","Thiếu mã đơn; ","")&amp;IF(COUNTIF($A$2:$A3840,$A3840)&gt;1,"Trùng mã đơn; ","")&amp;IF(ISNA(MATCH($C3840,DATA_MASTER!$D$2:$D$5000,0)),"SĐT chưa đăng ký hội viên; ","")&amp;IF(AND($L3840="Đã chuyển khoản",$M3840=""),"Thiếu ngày nhận CK; ",""))</f>
        <v/>
      </c>
      <c r="T3840" s="24" t="n"/>
    </row>
    <row r="3841" ht="14.25" customHeight="1" s="40">
      <c r="A3841" s="24" t="n"/>
      <c r="B3841" s="29" t="n"/>
      <c r="C3841" s="28" t="n"/>
      <c r="D3841" s="22">
        <f t="array" ref="D3841">IF($C3841="","",IFERROR(INDEX(DATA_MASTER!$C$2:$C$5000,MATCH($C3841,DATA_MASTER!$D$2:$D$5000,0)),""))</f>
        <v/>
      </c>
      <c r="E3841" s="22">
        <f t="array" ref="E3841">IF($C3841="","",IFERROR(INDEX(DATA_MASTER!$I$2:$I$5000,MATCH($C3841,DATA_MASTER!$D$2:$D$5000,0)),""))</f>
        <v/>
      </c>
      <c r="F3841" s="22">
        <f t="array" ref="F3841">IF($C3841="","",IFERROR(INDEX(DATA_MASTER!$L$2:$L$5000,MATCH($C3841,DATA_MASTER!$D$2:$D$5000,0)),""))</f>
        <v/>
      </c>
      <c r="G3841" s="24" t="n"/>
      <c r="H3841" s="24" t="n"/>
      <c r="I3841" s="30" t="n"/>
      <c r="J3841" s="23">
        <f>IF(OR($H3841="",$I3841=""),"",$H3841*$I3841)</f>
        <v/>
      </c>
      <c r="K3841" s="24" t="n"/>
      <c r="L3841" s="24" t="n"/>
      <c r="M3841" s="29" t="n"/>
      <c r="N3841" s="28" t="n"/>
      <c r="O3841" s="24" t="n"/>
      <c r="P3841" s="24" t="n"/>
      <c r="Q3841" s="24" t="n"/>
      <c r="R3841" s="24" t="n"/>
      <c r="S3841" s="22">
        <f>IF(AND($A3841="",$C3841=""),"",IF($A3841="","Thiếu mã đơn; ","")&amp;IF(COUNTIF($A$2:$A3841,$A3841)&gt;1,"Trùng mã đơn; ","")&amp;IF(ISNA(MATCH($C3841,DATA_MASTER!$D$2:$D$5000,0)),"SĐT chưa đăng ký hội viên; ","")&amp;IF(AND($L3841="Đã chuyển khoản",$M3841=""),"Thiếu ngày nhận CK; ",""))</f>
        <v/>
      </c>
      <c r="T3841" s="24" t="n"/>
    </row>
    <row r="3842" ht="14.25" customHeight="1" s="40">
      <c r="A3842" s="24" t="n"/>
      <c r="B3842" s="29" t="n"/>
      <c r="C3842" s="28" t="n"/>
      <c r="D3842" s="22">
        <f t="array" ref="D3842">IF($C3842="","",IFERROR(INDEX(DATA_MASTER!$C$2:$C$5000,MATCH($C3842,DATA_MASTER!$D$2:$D$5000,0)),""))</f>
        <v/>
      </c>
      <c r="E3842" s="22">
        <f t="array" ref="E3842">IF($C3842="","",IFERROR(INDEX(DATA_MASTER!$I$2:$I$5000,MATCH($C3842,DATA_MASTER!$D$2:$D$5000,0)),""))</f>
        <v/>
      </c>
      <c r="F3842" s="22">
        <f t="array" ref="F3842">IF($C3842="","",IFERROR(INDEX(DATA_MASTER!$L$2:$L$5000,MATCH($C3842,DATA_MASTER!$D$2:$D$5000,0)),""))</f>
        <v/>
      </c>
      <c r="G3842" s="24" t="n"/>
      <c r="H3842" s="24" t="n"/>
      <c r="I3842" s="30" t="n"/>
      <c r="J3842" s="23">
        <f>IF(OR($H3842="",$I3842=""),"",$H3842*$I3842)</f>
        <v/>
      </c>
      <c r="K3842" s="24" t="n"/>
      <c r="L3842" s="24" t="n"/>
      <c r="M3842" s="29" t="n"/>
      <c r="N3842" s="28" t="n"/>
      <c r="O3842" s="24" t="n"/>
      <c r="P3842" s="24" t="n"/>
      <c r="Q3842" s="24" t="n"/>
      <c r="R3842" s="24" t="n"/>
      <c r="S3842" s="22">
        <f>IF(AND($A3842="",$C3842=""),"",IF($A3842="","Thiếu mã đơn; ","")&amp;IF(COUNTIF($A$2:$A3842,$A3842)&gt;1,"Trùng mã đơn; ","")&amp;IF(ISNA(MATCH($C3842,DATA_MASTER!$D$2:$D$5000,0)),"SĐT chưa đăng ký hội viên; ","")&amp;IF(AND($L3842="Đã chuyển khoản",$M3842=""),"Thiếu ngày nhận CK; ",""))</f>
        <v/>
      </c>
      <c r="T3842" s="24" t="n"/>
    </row>
    <row r="3843" ht="14.25" customHeight="1" s="40">
      <c r="A3843" s="24" t="n"/>
      <c r="B3843" s="29" t="n"/>
      <c r="C3843" s="28" t="n"/>
      <c r="D3843" s="22">
        <f t="array" ref="D3843">IF($C3843="","",IFERROR(INDEX(DATA_MASTER!$C$2:$C$5000,MATCH($C3843,DATA_MASTER!$D$2:$D$5000,0)),""))</f>
        <v/>
      </c>
      <c r="E3843" s="22">
        <f t="array" ref="E3843">IF($C3843="","",IFERROR(INDEX(DATA_MASTER!$I$2:$I$5000,MATCH($C3843,DATA_MASTER!$D$2:$D$5000,0)),""))</f>
        <v/>
      </c>
      <c r="F3843" s="22">
        <f t="array" ref="F3843">IF($C3843="","",IFERROR(INDEX(DATA_MASTER!$L$2:$L$5000,MATCH($C3843,DATA_MASTER!$D$2:$D$5000,0)),""))</f>
        <v/>
      </c>
      <c r="G3843" s="24" t="n"/>
      <c r="H3843" s="24" t="n"/>
      <c r="I3843" s="30" t="n"/>
      <c r="J3843" s="23">
        <f>IF(OR($H3843="",$I3843=""),"",$H3843*$I3843)</f>
        <v/>
      </c>
      <c r="K3843" s="24" t="n"/>
      <c r="L3843" s="24" t="n"/>
      <c r="M3843" s="29" t="n"/>
      <c r="N3843" s="28" t="n"/>
      <c r="O3843" s="24" t="n"/>
      <c r="P3843" s="24" t="n"/>
      <c r="Q3843" s="24" t="n"/>
      <c r="R3843" s="24" t="n"/>
      <c r="S3843" s="22">
        <f>IF(AND($A3843="",$C3843=""),"",IF($A3843="","Thiếu mã đơn; ","")&amp;IF(COUNTIF($A$2:$A3843,$A3843)&gt;1,"Trùng mã đơn; ","")&amp;IF(ISNA(MATCH($C3843,DATA_MASTER!$D$2:$D$5000,0)),"SĐT chưa đăng ký hội viên; ","")&amp;IF(AND($L3843="Đã chuyển khoản",$M3843=""),"Thiếu ngày nhận CK; ",""))</f>
        <v/>
      </c>
      <c r="T3843" s="24" t="n"/>
    </row>
    <row r="3844" ht="14.25" customHeight="1" s="40">
      <c r="A3844" s="24" t="n"/>
      <c r="B3844" s="29" t="n"/>
      <c r="C3844" s="28" t="n"/>
      <c r="D3844" s="22">
        <f t="array" ref="D3844">IF($C3844="","",IFERROR(INDEX(DATA_MASTER!$C$2:$C$5000,MATCH($C3844,DATA_MASTER!$D$2:$D$5000,0)),""))</f>
        <v/>
      </c>
      <c r="E3844" s="22">
        <f t="array" ref="E3844">IF($C3844="","",IFERROR(INDEX(DATA_MASTER!$I$2:$I$5000,MATCH($C3844,DATA_MASTER!$D$2:$D$5000,0)),""))</f>
        <v/>
      </c>
      <c r="F3844" s="22">
        <f t="array" ref="F3844">IF($C3844="","",IFERROR(INDEX(DATA_MASTER!$L$2:$L$5000,MATCH($C3844,DATA_MASTER!$D$2:$D$5000,0)),""))</f>
        <v/>
      </c>
      <c r="G3844" s="24" t="n"/>
      <c r="H3844" s="24" t="n"/>
      <c r="I3844" s="30" t="n"/>
      <c r="J3844" s="23">
        <f>IF(OR($H3844="",$I3844=""),"",$H3844*$I3844)</f>
        <v/>
      </c>
      <c r="K3844" s="24" t="n"/>
      <c r="L3844" s="24" t="n"/>
      <c r="M3844" s="29" t="n"/>
      <c r="N3844" s="28" t="n"/>
      <c r="O3844" s="24" t="n"/>
      <c r="P3844" s="24" t="n"/>
      <c r="Q3844" s="24" t="n"/>
      <c r="R3844" s="24" t="n"/>
      <c r="S3844" s="22">
        <f>IF(AND($A3844="",$C3844=""),"",IF($A3844="","Thiếu mã đơn; ","")&amp;IF(COUNTIF($A$2:$A3844,$A3844)&gt;1,"Trùng mã đơn; ","")&amp;IF(ISNA(MATCH($C3844,DATA_MASTER!$D$2:$D$5000,0)),"SĐT chưa đăng ký hội viên; ","")&amp;IF(AND($L3844="Đã chuyển khoản",$M3844=""),"Thiếu ngày nhận CK; ",""))</f>
        <v/>
      </c>
      <c r="T3844" s="24" t="n"/>
    </row>
    <row r="3845" ht="14.25" customHeight="1" s="40">
      <c r="A3845" s="24" t="n"/>
      <c r="B3845" s="29" t="n"/>
      <c r="C3845" s="28" t="n"/>
      <c r="D3845" s="22">
        <f t="array" ref="D3845">IF($C3845="","",IFERROR(INDEX(DATA_MASTER!$C$2:$C$5000,MATCH($C3845,DATA_MASTER!$D$2:$D$5000,0)),""))</f>
        <v/>
      </c>
      <c r="E3845" s="22">
        <f t="array" ref="E3845">IF($C3845="","",IFERROR(INDEX(DATA_MASTER!$I$2:$I$5000,MATCH($C3845,DATA_MASTER!$D$2:$D$5000,0)),""))</f>
        <v/>
      </c>
      <c r="F3845" s="22">
        <f t="array" ref="F3845">IF($C3845="","",IFERROR(INDEX(DATA_MASTER!$L$2:$L$5000,MATCH($C3845,DATA_MASTER!$D$2:$D$5000,0)),""))</f>
        <v/>
      </c>
      <c r="G3845" s="24" t="n"/>
      <c r="H3845" s="24" t="n"/>
      <c r="I3845" s="30" t="n"/>
      <c r="J3845" s="23">
        <f>IF(OR($H3845="",$I3845=""),"",$H3845*$I3845)</f>
        <v/>
      </c>
      <c r="K3845" s="24" t="n"/>
      <c r="L3845" s="24" t="n"/>
      <c r="M3845" s="29" t="n"/>
      <c r="N3845" s="28" t="n"/>
      <c r="O3845" s="24" t="n"/>
      <c r="P3845" s="24" t="n"/>
      <c r="Q3845" s="24" t="n"/>
      <c r="R3845" s="24" t="n"/>
      <c r="S3845" s="22">
        <f>IF(AND($A3845="",$C3845=""),"",IF($A3845="","Thiếu mã đơn; ","")&amp;IF(COUNTIF($A$2:$A3845,$A3845)&gt;1,"Trùng mã đơn; ","")&amp;IF(ISNA(MATCH($C3845,DATA_MASTER!$D$2:$D$5000,0)),"SĐT chưa đăng ký hội viên; ","")&amp;IF(AND($L3845="Đã chuyển khoản",$M3845=""),"Thiếu ngày nhận CK; ",""))</f>
        <v/>
      </c>
      <c r="T3845" s="24" t="n"/>
    </row>
    <row r="3846" ht="14.25" customHeight="1" s="40">
      <c r="A3846" s="24" t="n"/>
      <c r="B3846" s="29" t="n"/>
      <c r="C3846" s="28" t="n"/>
      <c r="D3846" s="22">
        <f t="array" ref="D3846">IF($C3846="","",IFERROR(INDEX(DATA_MASTER!$C$2:$C$5000,MATCH($C3846,DATA_MASTER!$D$2:$D$5000,0)),""))</f>
        <v/>
      </c>
      <c r="E3846" s="22">
        <f t="array" ref="E3846">IF($C3846="","",IFERROR(INDEX(DATA_MASTER!$I$2:$I$5000,MATCH($C3846,DATA_MASTER!$D$2:$D$5000,0)),""))</f>
        <v/>
      </c>
      <c r="F3846" s="22">
        <f t="array" ref="F3846">IF($C3846="","",IFERROR(INDEX(DATA_MASTER!$L$2:$L$5000,MATCH($C3846,DATA_MASTER!$D$2:$D$5000,0)),""))</f>
        <v/>
      </c>
      <c r="G3846" s="24" t="n"/>
      <c r="H3846" s="24" t="n"/>
      <c r="I3846" s="30" t="n"/>
      <c r="J3846" s="23">
        <f>IF(OR($H3846="",$I3846=""),"",$H3846*$I3846)</f>
        <v/>
      </c>
      <c r="K3846" s="24" t="n"/>
      <c r="L3846" s="24" t="n"/>
      <c r="M3846" s="29" t="n"/>
      <c r="N3846" s="28" t="n"/>
      <c r="O3846" s="24" t="n"/>
      <c r="P3846" s="24" t="n"/>
      <c r="Q3846" s="24" t="n"/>
      <c r="R3846" s="24" t="n"/>
      <c r="S3846" s="22">
        <f>IF(AND($A3846="",$C3846=""),"",IF($A3846="","Thiếu mã đơn; ","")&amp;IF(COUNTIF($A$2:$A3846,$A3846)&gt;1,"Trùng mã đơn; ","")&amp;IF(ISNA(MATCH($C3846,DATA_MASTER!$D$2:$D$5000,0)),"SĐT chưa đăng ký hội viên; ","")&amp;IF(AND($L3846="Đã chuyển khoản",$M3846=""),"Thiếu ngày nhận CK; ",""))</f>
        <v/>
      </c>
      <c r="T3846" s="24" t="n"/>
    </row>
    <row r="3847" ht="14.25" customHeight="1" s="40">
      <c r="A3847" s="24" t="n"/>
      <c r="B3847" s="29" t="n"/>
      <c r="C3847" s="28" t="n"/>
      <c r="D3847" s="22">
        <f t="array" ref="D3847">IF($C3847="","",IFERROR(INDEX(DATA_MASTER!$C$2:$C$5000,MATCH($C3847,DATA_MASTER!$D$2:$D$5000,0)),""))</f>
        <v/>
      </c>
      <c r="E3847" s="22">
        <f t="array" ref="E3847">IF($C3847="","",IFERROR(INDEX(DATA_MASTER!$I$2:$I$5000,MATCH($C3847,DATA_MASTER!$D$2:$D$5000,0)),""))</f>
        <v/>
      </c>
      <c r="F3847" s="22">
        <f t="array" ref="F3847">IF($C3847="","",IFERROR(INDEX(DATA_MASTER!$L$2:$L$5000,MATCH($C3847,DATA_MASTER!$D$2:$D$5000,0)),""))</f>
        <v/>
      </c>
      <c r="G3847" s="24" t="n"/>
      <c r="H3847" s="24" t="n"/>
      <c r="I3847" s="30" t="n"/>
      <c r="J3847" s="23">
        <f>IF(OR($H3847="",$I3847=""),"",$H3847*$I3847)</f>
        <v/>
      </c>
      <c r="K3847" s="24" t="n"/>
      <c r="L3847" s="24" t="n"/>
      <c r="M3847" s="29" t="n"/>
      <c r="N3847" s="28" t="n"/>
      <c r="O3847" s="24" t="n"/>
      <c r="P3847" s="24" t="n"/>
      <c r="Q3847" s="24" t="n"/>
      <c r="R3847" s="24" t="n"/>
      <c r="S3847" s="22">
        <f>IF(AND($A3847="",$C3847=""),"",IF($A3847="","Thiếu mã đơn; ","")&amp;IF(COUNTIF($A$2:$A3847,$A3847)&gt;1,"Trùng mã đơn; ","")&amp;IF(ISNA(MATCH($C3847,DATA_MASTER!$D$2:$D$5000,0)),"SĐT chưa đăng ký hội viên; ","")&amp;IF(AND($L3847="Đã chuyển khoản",$M3847=""),"Thiếu ngày nhận CK; ",""))</f>
        <v/>
      </c>
      <c r="T3847" s="24" t="n"/>
    </row>
    <row r="3848" ht="14.25" customHeight="1" s="40">
      <c r="A3848" s="24" t="n"/>
      <c r="B3848" s="29" t="n"/>
      <c r="C3848" s="28" t="n"/>
      <c r="D3848" s="22">
        <f t="array" ref="D3848">IF($C3848="","",IFERROR(INDEX(DATA_MASTER!$C$2:$C$5000,MATCH($C3848,DATA_MASTER!$D$2:$D$5000,0)),""))</f>
        <v/>
      </c>
      <c r="E3848" s="22">
        <f t="array" ref="E3848">IF($C3848="","",IFERROR(INDEX(DATA_MASTER!$I$2:$I$5000,MATCH($C3848,DATA_MASTER!$D$2:$D$5000,0)),""))</f>
        <v/>
      </c>
      <c r="F3848" s="22">
        <f t="array" ref="F3848">IF($C3848="","",IFERROR(INDEX(DATA_MASTER!$L$2:$L$5000,MATCH($C3848,DATA_MASTER!$D$2:$D$5000,0)),""))</f>
        <v/>
      </c>
      <c r="G3848" s="24" t="n"/>
      <c r="H3848" s="24" t="n"/>
      <c r="I3848" s="30" t="n"/>
      <c r="J3848" s="23">
        <f>IF(OR($H3848="",$I3848=""),"",$H3848*$I3848)</f>
        <v/>
      </c>
      <c r="K3848" s="24" t="n"/>
      <c r="L3848" s="24" t="n"/>
      <c r="M3848" s="29" t="n"/>
      <c r="N3848" s="28" t="n"/>
      <c r="O3848" s="24" t="n"/>
      <c r="P3848" s="24" t="n"/>
      <c r="Q3848" s="24" t="n"/>
      <c r="R3848" s="24" t="n"/>
      <c r="S3848" s="22">
        <f>IF(AND($A3848="",$C3848=""),"",IF($A3848="","Thiếu mã đơn; ","")&amp;IF(COUNTIF($A$2:$A3848,$A3848)&gt;1,"Trùng mã đơn; ","")&amp;IF(ISNA(MATCH($C3848,DATA_MASTER!$D$2:$D$5000,0)),"SĐT chưa đăng ký hội viên; ","")&amp;IF(AND($L3848="Đã chuyển khoản",$M3848=""),"Thiếu ngày nhận CK; ",""))</f>
        <v/>
      </c>
      <c r="T3848" s="24" t="n"/>
    </row>
    <row r="3849" ht="14.25" customHeight="1" s="40">
      <c r="A3849" s="24" t="n"/>
      <c r="B3849" s="29" t="n"/>
      <c r="C3849" s="28" t="n"/>
      <c r="D3849" s="22">
        <f t="array" ref="D3849">IF($C3849="","",IFERROR(INDEX(DATA_MASTER!$C$2:$C$5000,MATCH($C3849,DATA_MASTER!$D$2:$D$5000,0)),""))</f>
        <v/>
      </c>
      <c r="E3849" s="22">
        <f t="array" ref="E3849">IF($C3849="","",IFERROR(INDEX(DATA_MASTER!$I$2:$I$5000,MATCH($C3849,DATA_MASTER!$D$2:$D$5000,0)),""))</f>
        <v/>
      </c>
      <c r="F3849" s="22">
        <f t="array" ref="F3849">IF($C3849="","",IFERROR(INDEX(DATA_MASTER!$L$2:$L$5000,MATCH($C3849,DATA_MASTER!$D$2:$D$5000,0)),""))</f>
        <v/>
      </c>
      <c r="G3849" s="24" t="n"/>
      <c r="H3849" s="24" t="n"/>
      <c r="I3849" s="30" t="n"/>
      <c r="J3849" s="23">
        <f>IF(OR($H3849="",$I3849=""),"",$H3849*$I3849)</f>
        <v/>
      </c>
      <c r="K3849" s="24" t="n"/>
      <c r="L3849" s="24" t="n"/>
      <c r="M3849" s="29" t="n"/>
      <c r="N3849" s="28" t="n"/>
      <c r="O3849" s="24" t="n"/>
      <c r="P3849" s="24" t="n"/>
      <c r="Q3849" s="24" t="n"/>
      <c r="R3849" s="24" t="n"/>
      <c r="S3849" s="22">
        <f>IF(AND($A3849="",$C3849=""),"",IF($A3849="","Thiếu mã đơn; ","")&amp;IF(COUNTIF($A$2:$A3849,$A3849)&gt;1,"Trùng mã đơn; ","")&amp;IF(ISNA(MATCH($C3849,DATA_MASTER!$D$2:$D$5000,0)),"SĐT chưa đăng ký hội viên; ","")&amp;IF(AND($L3849="Đã chuyển khoản",$M3849=""),"Thiếu ngày nhận CK; ",""))</f>
        <v/>
      </c>
      <c r="T3849" s="24" t="n"/>
    </row>
    <row r="3850" ht="14.25" customHeight="1" s="40">
      <c r="A3850" s="24" t="n"/>
      <c r="B3850" s="29" t="n"/>
      <c r="C3850" s="28" t="n"/>
      <c r="D3850" s="22">
        <f t="array" ref="D3850">IF($C3850="","",IFERROR(INDEX(DATA_MASTER!$C$2:$C$5000,MATCH($C3850,DATA_MASTER!$D$2:$D$5000,0)),""))</f>
        <v/>
      </c>
      <c r="E3850" s="22">
        <f t="array" ref="E3850">IF($C3850="","",IFERROR(INDEX(DATA_MASTER!$I$2:$I$5000,MATCH($C3850,DATA_MASTER!$D$2:$D$5000,0)),""))</f>
        <v/>
      </c>
      <c r="F3850" s="22">
        <f t="array" ref="F3850">IF($C3850="","",IFERROR(INDEX(DATA_MASTER!$L$2:$L$5000,MATCH($C3850,DATA_MASTER!$D$2:$D$5000,0)),""))</f>
        <v/>
      </c>
      <c r="G3850" s="24" t="n"/>
      <c r="H3850" s="24" t="n"/>
      <c r="I3850" s="30" t="n"/>
      <c r="J3850" s="23">
        <f>IF(OR($H3850="",$I3850=""),"",$H3850*$I3850)</f>
        <v/>
      </c>
      <c r="K3850" s="24" t="n"/>
      <c r="L3850" s="24" t="n"/>
      <c r="M3850" s="29" t="n"/>
      <c r="N3850" s="28" t="n"/>
      <c r="O3850" s="24" t="n"/>
      <c r="P3850" s="24" t="n"/>
      <c r="Q3850" s="24" t="n"/>
      <c r="R3850" s="24" t="n"/>
      <c r="S3850" s="22">
        <f>IF(AND($A3850="",$C3850=""),"",IF($A3850="","Thiếu mã đơn; ","")&amp;IF(COUNTIF($A$2:$A3850,$A3850)&gt;1,"Trùng mã đơn; ","")&amp;IF(ISNA(MATCH($C3850,DATA_MASTER!$D$2:$D$5000,0)),"SĐT chưa đăng ký hội viên; ","")&amp;IF(AND($L3850="Đã chuyển khoản",$M3850=""),"Thiếu ngày nhận CK; ",""))</f>
        <v/>
      </c>
      <c r="T3850" s="24" t="n"/>
    </row>
    <row r="3851" ht="14.25" customHeight="1" s="40">
      <c r="A3851" s="24" t="n"/>
      <c r="B3851" s="29" t="n"/>
      <c r="C3851" s="28" t="n"/>
      <c r="D3851" s="22">
        <f t="array" ref="D3851">IF($C3851="","",IFERROR(INDEX(DATA_MASTER!$C$2:$C$5000,MATCH($C3851,DATA_MASTER!$D$2:$D$5000,0)),""))</f>
        <v/>
      </c>
      <c r="E3851" s="22">
        <f t="array" ref="E3851">IF($C3851="","",IFERROR(INDEX(DATA_MASTER!$I$2:$I$5000,MATCH($C3851,DATA_MASTER!$D$2:$D$5000,0)),""))</f>
        <v/>
      </c>
      <c r="F3851" s="22">
        <f t="array" ref="F3851">IF($C3851="","",IFERROR(INDEX(DATA_MASTER!$L$2:$L$5000,MATCH($C3851,DATA_MASTER!$D$2:$D$5000,0)),""))</f>
        <v/>
      </c>
      <c r="G3851" s="24" t="n"/>
      <c r="H3851" s="24" t="n"/>
      <c r="I3851" s="30" t="n"/>
      <c r="J3851" s="23">
        <f>IF(OR($H3851="",$I3851=""),"",$H3851*$I3851)</f>
        <v/>
      </c>
      <c r="K3851" s="24" t="n"/>
      <c r="L3851" s="24" t="n"/>
      <c r="M3851" s="29" t="n"/>
      <c r="N3851" s="28" t="n"/>
      <c r="O3851" s="24" t="n"/>
      <c r="P3851" s="24" t="n"/>
      <c r="Q3851" s="24" t="n"/>
      <c r="R3851" s="24" t="n"/>
      <c r="S3851" s="22">
        <f>IF(AND($A3851="",$C3851=""),"",IF($A3851="","Thiếu mã đơn; ","")&amp;IF(COUNTIF($A$2:$A3851,$A3851)&gt;1,"Trùng mã đơn; ","")&amp;IF(ISNA(MATCH($C3851,DATA_MASTER!$D$2:$D$5000,0)),"SĐT chưa đăng ký hội viên; ","")&amp;IF(AND($L3851="Đã chuyển khoản",$M3851=""),"Thiếu ngày nhận CK; ",""))</f>
        <v/>
      </c>
      <c r="T3851" s="24" t="n"/>
    </row>
    <row r="3852" ht="14.25" customHeight="1" s="40">
      <c r="A3852" s="24" t="n"/>
      <c r="B3852" s="29" t="n"/>
      <c r="C3852" s="28" t="n"/>
      <c r="D3852" s="22">
        <f t="array" ref="D3852">IF($C3852="","",IFERROR(INDEX(DATA_MASTER!$C$2:$C$5000,MATCH($C3852,DATA_MASTER!$D$2:$D$5000,0)),""))</f>
        <v/>
      </c>
      <c r="E3852" s="22">
        <f t="array" ref="E3852">IF($C3852="","",IFERROR(INDEX(DATA_MASTER!$I$2:$I$5000,MATCH($C3852,DATA_MASTER!$D$2:$D$5000,0)),""))</f>
        <v/>
      </c>
      <c r="F3852" s="22">
        <f t="array" ref="F3852">IF($C3852="","",IFERROR(INDEX(DATA_MASTER!$L$2:$L$5000,MATCH($C3852,DATA_MASTER!$D$2:$D$5000,0)),""))</f>
        <v/>
      </c>
      <c r="G3852" s="24" t="n"/>
      <c r="H3852" s="24" t="n"/>
      <c r="I3852" s="30" t="n"/>
      <c r="J3852" s="23">
        <f>IF(OR($H3852="",$I3852=""),"",$H3852*$I3852)</f>
        <v/>
      </c>
      <c r="K3852" s="24" t="n"/>
      <c r="L3852" s="24" t="n"/>
      <c r="M3852" s="29" t="n"/>
      <c r="N3852" s="28" t="n"/>
      <c r="O3852" s="24" t="n"/>
      <c r="P3852" s="24" t="n"/>
      <c r="Q3852" s="24" t="n"/>
      <c r="R3852" s="24" t="n"/>
      <c r="S3852" s="22">
        <f>IF(AND($A3852="",$C3852=""),"",IF($A3852="","Thiếu mã đơn; ","")&amp;IF(COUNTIF($A$2:$A3852,$A3852)&gt;1,"Trùng mã đơn; ","")&amp;IF(ISNA(MATCH($C3852,DATA_MASTER!$D$2:$D$5000,0)),"SĐT chưa đăng ký hội viên; ","")&amp;IF(AND($L3852="Đã chuyển khoản",$M3852=""),"Thiếu ngày nhận CK; ",""))</f>
        <v/>
      </c>
      <c r="T3852" s="24" t="n"/>
    </row>
    <row r="3853" ht="14.25" customHeight="1" s="40">
      <c r="A3853" s="24" t="n"/>
      <c r="B3853" s="29" t="n"/>
      <c r="C3853" s="28" t="n"/>
      <c r="D3853" s="22">
        <f t="array" ref="D3853">IF($C3853="","",IFERROR(INDEX(DATA_MASTER!$C$2:$C$5000,MATCH($C3853,DATA_MASTER!$D$2:$D$5000,0)),""))</f>
        <v/>
      </c>
      <c r="E3853" s="22">
        <f t="array" ref="E3853">IF($C3853="","",IFERROR(INDEX(DATA_MASTER!$I$2:$I$5000,MATCH($C3853,DATA_MASTER!$D$2:$D$5000,0)),""))</f>
        <v/>
      </c>
      <c r="F3853" s="22">
        <f t="array" ref="F3853">IF($C3853="","",IFERROR(INDEX(DATA_MASTER!$L$2:$L$5000,MATCH($C3853,DATA_MASTER!$D$2:$D$5000,0)),""))</f>
        <v/>
      </c>
      <c r="G3853" s="24" t="n"/>
      <c r="H3853" s="24" t="n"/>
      <c r="I3853" s="30" t="n"/>
      <c r="J3853" s="23">
        <f>IF(OR($H3853="",$I3853=""),"",$H3853*$I3853)</f>
        <v/>
      </c>
      <c r="K3853" s="24" t="n"/>
      <c r="L3853" s="24" t="n"/>
      <c r="M3853" s="29" t="n"/>
      <c r="N3853" s="28" t="n"/>
      <c r="O3853" s="24" t="n"/>
      <c r="P3853" s="24" t="n"/>
      <c r="Q3853" s="24" t="n"/>
      <c r="R3853" s="24" t="n"/>
      <c r="S3853" s="22">
        <f>IF(AND($A3853="",$C3853=""),"",IF($A3853="","Thiếu mã đơn; ","")&amp;IF(COUNTIF($A$2:$A3853,$A3853)&gt;1,"Trùng mã đơn; ","")&amp;IF(ISNA(MATCH($C3853,DATA_MASTER!$D$2:$D$5000,0)),"SĐT chưa đăng ký hội viên; ","")&amp;IF(AND($L3853="Đã chuyển khoản",$M3853=""),"Thiếu ngày nhận CK; ",""))</f>
        <v/>
      </c>
      <c r="T3853" s="24" t="n"/>
    </row>
    <row r="3854" ht="14.25" customHeight="1" s="40">
      <c r="A3854" s="24" t="n"/>
      <c r="B3854" s="29" t="n"/>
      <c r="C3854" s="28" t="n"/>
      <c r="D3854" s="22">
        <f t="array" ref="D3854">IF($C3854="","",IFERROR(INDEX(DATA_MASTER!$C$2:$C$5000,MATCH($C3854,DATA_MASTER!$D$2:$D$5000,0)),""))</f>
        <v/>
      </c>
      <c r="E3854" s="22">
        <f t="array" ref="E3854">IF($C3854="","",IFERROR(INDEX(DATA_MASTER!$I$2:$I$5000,MATCH($C3854,DATA_MASTER!$D$2:$D$5000,0)),""))</f>
        <v/>
      </c>
      <c r="F3854" s="22">
        <f t="array" ref="F3854">IF($C3854="","",IFERROR(INDEX(DATA_MASTER!$L$2:$L$5000,MATCH($C3854,DATA_MASTER!$D$2:$D$5000,0)),""))</f>
        <v/>
      </c>
      <c r="G3854" s="24" t="n"/>
      <c r="H3854" s="24" t="n"/>
      <c r="I3854" s="30" t="n"/>
      <c r="J3854" s="23">
        <f>IF(OR($H3854="",$I3854=""),"",$H3854*$I3854)</f>
        <v/>
      </c>
      <c r="K3854" s="24" t="n"/>
      <c r="L3854" s="24" t="n"/>
      <c r="M3854" s="29" t="n"/>
      <c r="N3854" s="28" t="n"/>
      <c r="O3854" s="24" t="n"/>
      <c r="P3854" s="24" t="n"/>
      <c r="Q3854" s="24" t="n"/>
      <c r="R3854" s="24" t="n"/>
      <c r="S3854" s="22">
        <f>IF(AND($A3854="",$C3854=""),"",IF($A3854="","Thiếu mã đơn; ","")&amp;IF(COUNTIF($A$2:$A3854,$A3854)&gt;1,"Trùng mã đơn; ","")&amp;IF(ISNA(MATCH($C3854,DATA_MASTER!$D$2:$D$5000,0)),"SĐT chưa đăng ký hội viên; ","")&amp;IF(AND($L3854="Đã chuyển khoản",$M3854=""),"Thiếu ngày nhận CK; ",""))</f>
        <v/>
      </c>
      <c r="T3854" s="24" t="n"/>
    </row>
    <row r="3855" ht="14.25" customHeight="1" s="40">
      <c r="A3855" s="24" t="n"/>
      <c r="B3855" s="29" t="n"/>
      <c r="C3855" s="28" t="n"/>
      <c r="D3855" s="22">
        <f t="array" ref="D3855">IF($C3855="","",IFERROR(INDEX(DATA_MASTER!$C$2:$C$5000,MATCH($C3855,DATA_MASTER!$D$2:$D$5000,0)),""))</f>
        <v/>
      </c>
      <c r="E3855" s="22">
        <f t="array" ref="E3855">IF($C3855="","",IFERROR(INDEX(DATA_MASTER!$I$2:$I$5000,MATCH($C3855,DATA_MASTER!$D$2:$D$5000,0)),""))</f>
        <v/>
      </c>
      <c r="F3855" s="22">
        <f t="array" ref="F3855">IF($C3855="","",IFERROR(INDEX(DATA_MASTER!$L$2:$L$5000,MATCH($C3855,DATA_MASTER!$D$2:$D$5000,0)),""))</f>
        <v/>
      </c>
      <c r="G3855" s="24" t="n"/>
      <c r="H3855" s="24" t="n"/>
      <c r="I3855" s="30" t="n"/>
      <c r="J3855" s="23">
        <f>IF(OR($H3855="",$I3855=""),"",$H3855*$I3855)</f>
        <v/>
      </c>
      <c r="K3855" s="24" t="n"/>
      <c r="L3855" s="24" t="n"/>
      <c r="M3855" s="29" t="n"/>
      <c r="N3855" s="28" t="n"/>
      <c r="O3855" s="24" t="n"/>
      <c r="P3855" s="24" t="n"/>
      <c r="Q3855" s="24" t="n"/>
      <c r="R3855" s="24" t="n"/>
      <c r="S3855" s="22">
        <f>IF(AND($A3855="",$C3855=""),"",IF($A3855="","Thiếu mã đơn; ","")&amp;IF(COUNTIF($A$2:$A3855,$A3855)&gt;1,"Trùng mã đơn; ","")&amp;IF(ISNA(MATCH($C3855,DATA_MASTER!$D$2:$D$5000,0)),"SĐT chưa đăng ký hội viên; ","")&amp;IF(AND($L3855="Đã chuyển khoản",$M3855=""),"Thiếu ngày nhận CK; ",""))</f>
        <v/>
      </c>
      <c r="T3855" s="24" t="n"/>
    </row>
    <row r="3856" ht="14.25" customHeight="1" s="40">
      <c r="A3856" s="24" t="n"/>
      <c r="B3856" s="29" t="n"/>
      <c r="C3856" s="28" t="n"/>
      <c r="D3856" s="22">
        <f t="array" ref="D3856">IF($C3856="","",IFERROR(INDEX(DATA_MASTER!$C$2:$C$5000,MATCH($C3856,DATA_MASTER!$D$2:$D$5000,0)),""))</f>
        <v/>
      </c>
      <c r="E3856" s="22">
        <f t="array" ref="E3856">IF($C3856="","",IFERROR(INDEX(DATA_MASTER!$I$2:$I$5000,MATCH($C3856,DATA_MASTER!$D$2:$D$5000,0)),""))</f>
        <v/>
      </c>
      <c r="F3856" s="22">
        <f t="array" ref="F3856">IF($C3856="","",IFERROR(INDEX(DATA_MASTER!$L$2:$L$5000,MATCH($C3856,DATA_MASTER!$D$2:$D$5000,0)),""))</f>
        <v/>
      </c>
      <c r="G3856" s="24" t="n"/>
      <c r="H3856" s="24" t="n"/>
      <c r="I3856" s="30" t="n"/>
      <c r="J3856" s="23">
        <f>IF(OR($H3856="",$I3856=""),"",$H3856*$I3856)</f>
        <v/>
      </c>
      <c r="K3856" s="24" t="n"/>
      <c r="L3856" s="24" t="n"/>
      <c r="M3856" s="29" t="n"/>
      <c r="N3856" s="28" t="n"/>
      <c r="O3856" s="24" t="n"/>
      <c r="P3856" s="24" t="n"/>
      <c r="Q3856" s="24" t="n"/>
      <c r="R3856" s="24" t="n"/>
      <c r="S3856" s="22">
        <f>IF(AND($A3856="",$C3856=""),"",IF($A3856="","Thiếu mã đơn; ","")&amp;IF(COUNTIF($A$2:$A3856,$A3856)&gt;1,"Trùng mã đơn; ","")&amp;IF(ISNA(MATCH($C3856,DATA_MASTER!$D$2:$D$5000,0)),"SĐT chưa đăng ký hội viên; ","")&amp;IF(AND($L3856="Đã chuyển khoản",$M3856=""),"Thiếu ngày nhận CK; ",""))</f>
        <v/>
      </c>
      <c r="T3856" s="24" t="n"/>
    </row>
    <row r="3857" ht="14.25" customHeight="1" s="40">
      <c r="A3857" s="24" t="n"/>
      <c r="B3857" s="29" t="n"/>
      <c r="C3857" s="28" t="n"/>
      <c r="D3857" s="22">
        <f t="array" ref="D3857">IF($C3857="","",IFERROR(INDEX(DATA_MASTER!$C$2:$C$5000,MATCH($C3857,DATA_MASTER!$D$2:$D$5000,0)),""))</f>
        <v/>
      </c>
      <c r="E3857" s="22">
        <f t="array" ref="E3857">IF($C3857="","",IFERROR(INDEX(DATA_MASTER!$I$2:$I$5000,MATCH($C3857,DATA_MASTER!$D$2:$D$5000,0)),""))</f>
        <v/>
      </c>
      <c r="F3857" s="22">
        <f t="array" ref="F3857">IF($C3857="","",IFERROR(INDEX(DATA_MASTER!$L$2:$L$5000,MATCH($C3857,DATA_MASTER!$D$2:$D$5000,0)),""))</f>
        <v/>
      </c>
      <c r="G3857" s="24" t="n"/>
      <c r="H3857" s="24" t="n"/>
      <c r="I3857" s="30" t="n"/>
      <c r="J3857" s="23">
        <f>IF(OR($H3857="",$I3857=""),"",$H3857*$I3857)</f>
        <v/>
      </c>
      <c r="K3857" s="24" t="n"/>
      <c r="L3857" s="24" t="n"/>
      <c r="M3857" s="29" t="n"/>
      <c r="N3857" s="28" t="n"/>
      <c r="O3857" s="24" t="n"/>
      <c r="P3857" s="24" t="n"/>
      <c r="Q3857" s="24" t="n"/>
      <c r="R3857" s="24" t="n"/>
      <c r="S3857" s="22">
        <f>IF(AND($A3857="",$C3857=""),"",IF($A3857="","Thiếu mã đơn; ","")&amp;IF(COUNTIF($A$2:$A3857,$A3857)&gt;1,"Trùng mã đơn; ","")&amp;IF(ISNA(MATCH($C3857,DATA_MASTER!$D$2:$D$5000,0)),"SĐT chưa đăng ký hội viên; ","")&amp;IF(AND($L3857="Đã chuyển khoản",$M3857=""),"Thiếu ngày nhận CK; ",""))</f>
        <v/>
      </c>
      <c r="T3857" s="24" t="n"/>
    </row>
    <row r="3858" ht="14.25" customHeight="1" s="40">
      <c r="A3858" s="24" t="n"/>
      <c r="B3858" s="29" t="n"/>
      <c r="C3858" s="28" t="n"/>
      <c r="D3858" s="22">
        <f t="array" ref="D3858">IF($C3858="","",IFERROR(INDEX(DATA_MASTER!$C$2:$C$5000,MATCH($C3858,DATA_MASTER!$D$2:$D$5000,0)),""))</f>
        <v/>
      </c>
      <c r="E3858" s="22">
        <f t="array" ref="E3858">IF($C3858="","",IFERROR(INDEX(DATA_MASTER!$I$2:$I$5000,MATCH($C3858,DATA_MASTER!$D$2:$D$5000,0)),""))</f>
        <v/>
      </c>
      <c r="F3858" s="22">
        <f t="array" ref="F3858">IF($C3858="","",IFERROR(INDEX(DATA_MASTER!$L$2:$L$5000,MATCH($C3858,DATA_MASTER!$D$2:$D$5000,0)),""))</f>
        <v/>
      </c>
      <c r="G3858" s="24" t="n"/>
      <c r="H3858" s="24" t="n"/>
      <c r="I3858" s="30" t="n"/>
      <c r="J3858" s="23">
        <f>IF(OR($H3858="",$I3858=""),"",$H3858*$I3858)</f>
        <v/>
      </c>
      <c r="K3858" s="24" t="n"/>
      <c r="L3858" s="24" t="n"/>
      <c r="M3858" s="29" t="n"/>
      <c r="N3858" s="28" t="n"/>
      <c r="O3858" s="24" t="n"/>
      <c r="P3858" s="24" t="n"/>
      <c r="Q3858" s="24" t="n"/>
      <c r="R3858" s="24" t="n"/>
      <c r="S3858" s="22">
        <f>IF(AND($A3858="",$C3858=""),"",IF($A3858="","Thiếu mã đơn; ","")&amp;IF(COUNTIF($A$2:$A3858,$A3858)&gt;1,"Trùng mã đơn; ","")&amp;IF(ISNA(MATCH($C3858,DATA_MASTER!$D$2:$D$5000,0)),"SĐT chưa đăng ký hội viên; ","")&amp;IF(AND($L3858="Đã chuyển khoản",$M3858=""),"Thiếu ngày nhận CK; ",""))</f>
        <v/>
      </c>
      <c r="T3858" s="24" t="n"/>
    </row>
    <row r="3859" ht="14.25" customHeight="1" s="40">
      <c r="A3859" s="24" t="n"/>
      <c r="B3859" s="29" t="n"/>
      <c r="C3859" s="28" t="n"/>
      <c r="D3859" s="22">
        <f t="array" ref="D3859">IF($C3859="","",IFERROR(INDEX(DATA_MASTER!$C$2:$C$5000,MATCH($C3859,DATA_MASTER!$D$2:$D$5000,0)),""))</f>
        <v/>
      </c>
      <c r="E3859" s="22">
        <f t="array" ref="E3859">IF($C3859="","",IFERROR(INDEX(DATA_MASTER!$I$2:$I$5000,MATCH($C3859,DATA_MASTER!$D$2:$D$5000,0)),""))</f>
        <v/>
      </c>
      <c r="F3859" s="22">
        <f t="array" ref="F3859">IF($C3859="","",IFERROR(INDEX(DATA_MASTER!$L$2:$L$5000,MATCH($C3859,DATA_MASTER!$D$2:$D$5000,0)),""))</f>
        <v/>
      </c>
      <c r="G3859" s="24" t="n"/>
      <c r="H3859" s="24" t="n"/>
      <c r="I3859" s="30" t="n"/>
      <c r="J3859" s="23">
        <f>IF(OR($H3859="",$I3859=""),"",$H3859*$I3859)</f>
        <v/>
      </c>
      <c r="K3859" s="24" t="n"/>
      <c r="L3859" s="24" t="n"/>
      <c r="M3859" s="29" t="n"/>
      <c r="N3859" s="28" t="n"/>
      <c r="O3859" s="24" t="n"/>
      <c r="P3859" s="24" t="n"/>
      <c r="Q3859" s="24" t="n"/>
      <c r="R3859" s="24" t="n"/>
      <c r="S3859" s="22">
        <f>IF(AND($A3859="",$C3859=""),"",IF($A3859="","Thiếu mã đơn; ","")&amp;IF(COUNTIF($A$2:$A3859,$A3859)&gt;1,"Trùng mã đơn; ","")&amp;IF(ISNA(MATCH($C3859,DATA_MASTER!$D$2:$D$5000,0)),"SĐT chưa đăng ký hội viên; ","")&amp;IF(AND($L3859="Đã chuyển khoản",$M3859=""),"Thiếu ngày nhận CK; ",""))</f>
        <v/>
      </c>
      <c r="T3859" s="24" t="n"/>
    </row>
    <row r="3860" ht="14.25" customHeight="1" s="40">
      <c r="A3860" s="24" t="n"/>
      <c r="B3860" s="29" t="n"/>
      <c r="C3860" s="28" t="n"/>
      <c r="D3860" s="22">
        <f t="array" ref="D3860">IF($C3860="","",IFERROR(INDEX(DATA_MASTER!$C$2:$C$5000,MATCH($C3860,DATA_MASTER!$D$2:$D$5000,0)),""))</f>
        <v/>
      </c>
      <c r="E3860" s="22">
        <f t="array" ref="E3860">IF($C3860="","",IFERROR(INDEX(DATA_MASTER!$I$2:$I$5000,MATCH($C3860,DATA_MASTER!$D$2:$D$5000,0)),""))</f>
        <v/>
      </c>
      <c r="F3860" s="22">
        <f t="array" ref="F3860">IF($C3860="","",IFERROR(INDEX(DATA_MASTER!$L$2:$L$5000,MATCH($C3860,DATA_MASTER!$D$2:$D$5000,0)),""))</f>
        <v/>
      </c>
      <c r="G3860" s="24" t="n"/>
      <c r="H3860" s="24" t="n"/>
      <c r="I3860" s="30" t="n"/>
      <c r="J3860" s="23">
        <f>IF(OR($H3860="",$I3860=""),"",$H3860*$I3860)</f>
        <v/>
      </c>
      <c r="K3860" s="24" t="n"/>
      <c r="L3860" s="24" t="n"/>
      <c r="M3860" s="29" t="n"/>
      <c r="N3860" s="28" t="n"/>
      <c r="O3860" s="24" t="n"/>
      <c r="P3860" s="24" t="n"/>
      <c r="Q3860" s="24" t="n"/>
      <c r="R3860" s="24" t="n"/>
      <c r="S3860" s="22">
        <f>IF(AND($A3860="",$C3860=""),"",IF($A3860="","Thiếu mã đơn; ","")&amp;IF(COUNTIF($A$2:$A3860,$A3860)&gt;1,"Trùng mã đơn; ","")&amp;IF(ISNA(MATCH($C3860,DATA_MASTER!$D$2:$D$5000,0)),"SĐT chưa đăng ký hội viên; ","")&amp;IF(AND($L3860="Đã chuyển khoản",$M3860=""),"Thiếu ngày nhận CK; ",""))</f>
        <v/>
      </c>
      <c r="T3860" s="24" t="n"/>
    </row>
    <row r="3861" ht="14.25" customHeight="1" s="40">
      <c r="A3861" s="24" t="n"/>
      <c r="B3861" s="29" t="n"/>
      <c r="C3861" s="28" t="n"/>
      <c r="D3861" s="22">
        <f t="array" ref="D3861">IF($C3861="","",IFERROR(INDEX(DATA_MASTER!$C$2:$C$5000,MATCH($C3861,DATA_MASTER!$D$2:$D$5000,0)),""))</f>
        <v/>
      </c>
      <c r="E3861" s="22">
        <f t="array" ref="E3861">IF($C3861="","",IFERROR(INDEX(DATA_MASTER!$I$2:$I$5000,MATCH($C3861,DATA_MASTER!$D$2:$D$5000,0)),""))</f>
        <v/>
      </c>
      <c r="F3861" s="22">
        <f t="array" ref="F3861">IF($C3861="","",IFERROR(INDEX(DATA_MASTER!$L$2:$L$5000,MATCH($C3861,DATA_MASTER!$D$2:$D$5000,0)),""))</f>
        <v/>
      </c>
      <c r="G3861" s="24" t="n"/>
      <c r="H3861" s="24" t="n"/>
      <c r="I3861" s="30" t="n"/>
      <c r="J3861" s="23">
        <f>IF(OR($H3861="",$I3861=""),"",$H3861*$I3861)</f>
        <v/>
      </c>
      <c r="K3861" s="24" t="n"/>
      <c r="L3861" s="24" t="n"/>
      <c r="M3861" s="29" t="n"/>
      <c r="N3861" s="28" t="n"/>
      <c r="O3861" s="24" t="n"/>
      <c r="P3861" s="24" t="n"/>
      <c r="Q3861" s="24" t="n"/>
      <c r="R3861" s="24" t="n"/>
      <c r="S3861" s="22">
        <f>IF(AND($A3861="",$C3861=""),"",IF($A3861="","Thiếu mã đơn; ","")&amp;IF(COUNTIF($A$2:$A3861,$A3861)&gt;1,"Trùng mã đơn; ","")&amp;IF(ISNA(MATCH($C3861,DATA_MASTER!$D$2:$D$5000,0)),"SĐT chưa đăng ký hội viên; ","")&amp;IF(AND($L3861="Đã chuyển khoản",$M3861=""),"Thiếu ngày nhận CK; ",""))</f>
        <v/>
      </c>
      <c r="T3861" s="24" t="n"/>
    </row>
    <row r="3862" ht="14.25" customHeight="1" s="40">
      <c r="A3862" s="24" t="n"/>
      <c r="B3862" s="29" t="n"/>
      <c r="C3862" s="28" t="n"/>
      <c r="D3862" s="22">
        <f t="array" ref="D3862">IF($C3862="","",IFERROR(INDEX(DATA_MASTER!$C$2:$C$5000,MATCH($C3862,DATA_MASTER!$D$2:$D$5000,0)),""))</f>
        <v/>
      </c>
      <c r="E3862" s="22">
        <f t="array" ref="E3862">IF($C3862="","",IFERROR(INDEX(DATA_MASTER!$I$2:$I$5000,MATCH($C3862,DATA_MASTER!$D$2:$D$5000,0)),""))</f>
        <v/>
      </c>
      <c r="F3862" s="22">
        <f t="array" ref="F3862">IF($C3862="","",IFERROR(INDEX(DATA_MASTER!$L$2:$L$5000,MATCH($C3862,DATA_MASTER!$D$2:$D$5000,0)),""))</f>
        <v/>
      </c>
      <c r="G3862" s="24" t="n"/>
      <c r="H3862" s="24" t="n"/>
      <c r="I3862" s="30" t="n"/>
      <c r="J3862" s="23">
        <f>IF(OR($H3862="",$I3862=""),"",$H3862*$I3862)</f>
        <v/>
      </c>
      <c r="K3862" s="24" t="n"/>
      <c r="L3862" s="24" t="n"/>
      <c r="M3862" s="29" t="n"/>
      <c r="N3862" s="28" t="n"/>
      <c r="O3862" s="24" t="n"/>
      <c r="P3862" s="24" t="n"/>
      <c r="Q3862" s="24" t="n"/>
      <c r="R3862" s="24" t="n"/>
      <c r="S3862" s="22">
        <f>IF(AND($A3862="",$C3862=""),"",IF($A3862="","Thiếu mã đơn; ","")&amp;IF(COUNTIF($A$2:$A3862,$A3862)&gt;1,"Trùng mã đơn; ","")&amp;IF(ISNA(MATCH($C3862,DATA_MASTER!$D$2:$D$5000,0)),"SĐT chưa đăng ký hội viên; ","")&amp;IF(AND($L3862="Đã chuyển khoản",$M3862=""),"Thiếu ngày nhận CK; ",""))</f>
        <v/>
      </c>
      <c r="T3862" s="24" t="n"/>
    </row>
    <row r="3863" ht="14.25" customHeight="1" s="40">
      <c r="A3863" s="24" t="n"/>
      <c r="B3863" s="29" t="n"/>
      <c r="C3863" s="28" t="n"/>
      <c r="D3863" s="22">
        <f t="array" ref="D3863">IF($C3863="","",IFERROR(INDEX(DATA_MASTER!$C$2:$C$5000,MATCH($C3863,DATA_MASTER!$D$2:$D$5000,0)),""))</f>
        <v/>
      </c>
      <c r="E3863" s="22">
        <f t="array" ref="E3863">IF($C3863="","",IFERROR(INDEX(DATA_MASTER!$I$2:$I$5000,MATCH($C3863,DATA_MASTER!$D$2:$D$5000,0)),""))</f>
        <v/>
      </c>
      <c r="F3863" s="22">
        <f t="array" ref="F3863">IF($C3863="","",IFERROR(INDEX(DATA_MASTER!$L$2:$L$5000,MATCH($C3863,DATA_MASTER!$D$2:$D$5000,0)),""))</f>
        <v/>
      </c>
      <c r="G3863" s="24" t="n"/>
      <c r="H3863" s="24" t="n"/>
      <c r="I3863" s="30" t="n"/>
      <c r="J3863" s="23">
        <f>IF(OR($H3863="",$I3863=""),"",$H3863*$I3863)</f>
        <v/>
      </c>
      <c r="K3863" s="24" t="n"/>
      <c r="L3863" s="24" t="n"/>
      <c r="M3863" s="29" t="n"/>
      <c r="N3863" s="28" t="n"/>
      <c r="O3863" s="24" t="n"/>
      <c r="P3863" s="24" t="n"/>
      <c r="Q3863" s="24" t="n"/>
      <c r="R3863" s="24" t="n"/>
      <c r="S3863" s="22">
        <f>IF(AND($A3863="",$C3863=""),"",IF($A3863="","Thiếu mã đơn; ","")&amp;IF(COUNTIF($A$2:$A3863,$A3863)&gt;1,"Trùng mã đơn; ","")&amp;IF(ISNA(MATCH($C3863,DATA_MASTER!$D$2:$D$5000,0)),"SĐT chưa đăng ký hội viên; ","")&amp;IF(AND($L3863="Đã chuyển khoản",$M3863=""),"Thiếu ngày nhận CK; ",""))</f>
        <v/>
      </c>
      <c r="T3863" s="24" t="n"/>
    </row>
    <row r="3864" ht="14.25" customHeight="1" s="40">
      <c r="A3864" s="24" t="n"/>
      <c r="B3864" s="29" t="n"/>
      <c r="C3864" s="28" t="n"/>
      <c r="D3864" s="22">
        <f t="array" ref="D3864">IF($C3864="","",IFERROR(INDEX(DATA_MASTER!$C$2:$C$5000,MATCH($C3864,DATA_MASTER!$D$2:$D$5000,0)),""))</f>
        <v/>
      </c>
      <c r="E3864" s="22">
        <f t="array" ref="E3864">IF($C3864="","",IFERROR(INDEX(DATA_MASTER!$I$2:$I$5000,MATCH($C3864,DATA_MASTER!$D$2:$D$5000,0)),""))</f>
        <v/>
      </c>
      <c r="F3864" s="22">
        <f t="array" ref="F3864">IF($C3864="","",IFERROR(INDEX(DATA_MASTER!$L$2:$L$5000,MATCH($C3864,DATA_MASTER!$D$2:$D$5000,0)),""))</f>
        <v/>
      </c>
      <c r="G3864" s="24" t="n"/>
      <c r="H3864" s="24" t="n"/>
      <c r="I3864" s="30" t="n"/>
      <c r="J3864" s="23">
        <f>IF(OR($H3864="",$I3864=""),"",$H3864*$I3864)</f>
        <v/>
      </c>
      <c r="K3864" s="24" t="n"/>
      <c r="L3864" s="24" t="n"/>
      <c r="M3864" s="29" t="n"/>
      <c r="N3864" s="28" t="n"/>
      <c r="O3864" s="24" t="n"/>
      <c r="P3864" s="24" t="n"/>
      <c r="Q3864" s="24" t="n"/>
      <c r="R3864" s="24" t="n"/>
      <c r="S3864" s="22">
        <f>IF(AND($A3864="",$C3864=""),"",IF($A3864="","Thiếu mã đơn; ","")&amp;IF(COUNTIF($A$2:$A3864,$A3864)&gt;1,"Trùng mã đơn; ","")&amp;IF(ISNA(MATCH($C3864,DATA_MASTER!$D$2:$D$5000,0)),"SĐT chưa đăng ký hội viên; ","")&amp;IF(AND($L3864="Đã chuyển khoản",$M3864=""),"Thiếu ngày nhận CK; ",""))</f>
        <v/>
      </c>
      <c r="T3864" s="24" t="n"/>
    </row>
    <row r="3865" ht="14.25" customHeight="1" s="40">
      <c r="A3865" s="24" t="n"/>
      <c r="B3865" s="29" t="n"/>
      <c r="C3865" s="28" t="n"/>
      <c r="D3865" s="22">
        <f t="array" ref="D3865">IF($C3865="","",IFERROR(INDEX(DATA_MASTER!$C$2:$C$5000,MATCH($C3865,DATA_MASTER!$D$2:$D$5000,0)),""))</f>
        <v/>
      </c>
      <c r="E3865" s="22">
        <f t="array" ref="E3865">IF($C3865="","",IFERROR(INDEX(DATA_MASTER!$I$2:$I$5000,MATCH($C3865,DATA_MASTER!$D$2:$D$5000,0)),""))</f>
        <v/>
      </c>
      <c r="F3865" s="22">
        <f t="array" ref="F3865">IF($C3865="","",IFERROR(INDEX(DATA_MASTER!$L$2:$L$5000,MATCH($C3865,DATA_MASTER!$D$2:$D$5000,0)),""))</f>
        <v/>
      </c>
      <c r="G3865" s="24" t="n"/>
      <c r="H3865" s="24" t="n"/>
      <c r="I3865" s="30" t="n"/>
      <c r="J3865" s="23">
        <f>IF(OR($H3865="",$I3865=""),"",$H3865*$I3865)</f>
        <v/>
      </c>
      <c r="K3865" s="24" t="n"/>
      <c r="L3865" s="24" t="n"/>
      <c r="M3865" s="29" t="n"/>
      <c r="N3865" s="28" t="n"/>
      <c r="O3865" s="24" t="n"/>
      <c r="P3865" s="24" t="n"/>
      <c r="Q3865" s="24" t="n"/>
      <c r="R3865" s="24" t="n"/>
      <c r="S3865" s="22">
        <f>IF(AND($A3865="",$C3865=""),"",IF($A3865="","Thiếu mã đơn; ","")&amp;IF(COUNTIF($A$2:$A3865,$A3865)&gt;1,"Trùng mã đơn; ","")&amp;IF(ISNA(MATCH($C3865,DATA_MASTER!$D$2:$D$5000,0)),"SĐT chưa đăng ký hội viên; ","")&amp;IF(AND($L3865="Đã chuyển khoản",$M3865=""),"Thiếu ngày nhận CK; ",""))</f>
        <v/>
      </c>
      <c r="T3865" s="24" t="n"/>
    </row>
    <row r="3866" ht="14.25" customHeight="1" s="40">
      <c r="A3866" s="24" t="n"/>
      <c r="B3866" s="29" t="n"/>
      <c r="C3866" s="28" t="n"/>
      <c r="D3866" s="22">
        <f t="array" ref="D3866">IF($C3866="","",IFERROR(INDEX(DATA_MASTER!$C$2:$C$5000,MATCH($C3866,DATA_MASTER!$D$2:$D$5000,0)),""))</f>
        <v/>
      </c>
      <c r="E3866" s="22">
        <f t="array" ref="E3866">IF($C3866="","",IFERROR(INDEX(DATA_MASTER!$I$2:$I$5000,MATCH($C3866,DATA_MASTER!$D$2:$D$5000,0)),""))</f>
        <v/>
      </c>
      <c r="F3866" s="22">
        <f t="array" ref="F3866">IF($C3866="","",IFERROR(INDEX(DATA_MASTER!$L$2:$L$5000,MATCH($C3866,DATA_MASTER!$D$2:$D$5000,0)),""))</f>
        <v/>
      </c>
      <c r="G3866" s="24" t="n"/>
      <c r="H3866" s="24" t="n"/>
      <c r="I3866" s="30" t="n"/>
      <c r="J3866" s="23">
        <f>IF(OR($H3866="",$I3866=""),"",$H3866*$I3866)</f>
        <v/>
      </c>
      <c r="K3866" s="24" t="n"/>
      <c r="L3866" s="24" t="n"/>
      <c r="M3866" s="29" t="n"/>
      <c r="N3866" s="28" t="n"/>
      <c r="O3866" s="24" t="n"/>
      <c r="P3866" s="24" t="n"/>
      <c r="Q3866" s="24" t="n"/>
      <c r="R3866" s="24" t="n"/>
      <c r="S3866" s="22">
        <f>IF(AND($A3866="",$C3866=""),"",IF($A3866="","Thiếu mã đơn; ","")&amp;IF(COUNTIF($A$2:$A3866,$A3866)&gt;1,"Trùng mã đơn; ","")&amp;IF(ISNA(MATCH($C3866,DATA_MASTER!$D$2:$D$5000,0)),"SĐT chưa đăng ký hội viên; ","")&amp;IF(AND($L3866="Đã chuyển khoản",$M3866=""),"Thiếu ngày nhận CK; ",""))</f>
        <v/>
      </c>
      <c r="T3866" s="24" t="n"/>
    </row>
    <row r="3867" ht="14.25" customHeight="1" s="40">
      <c r="A3867" s="24" t="n"/>
      <c r="B3867" s="29" t="n"/>
      <c r="C3867" s="28" t="n"/>
      <c r="D3867" s="22">
        <f t="array" ref="D3867">IF($C3867="","",IFERROR(INDEX(DATA_MASTER!$C$2:$C$5000,MATCH($C3867,DATA_MASTER!$D$2:$D$5000,0)),""))</f>
        <v/>
      </c>
      <c r="E3867" s="22">
        <f t="array" ref="E3867">IF($C3867="","",IFERROR(INDEX(DATA_MASTER!$I$2:$I$5000,MATCH($C3867,DATA_MASTER!$D$2:$D$5000,0)),""))</f>
        <v/>
      </c>
      <c r="F3867" s="22">
        <f t="array" ref="F3867">IF($C3867="","",IFERROR(INDEX(DATA_MASTER!$L$2:$L$5000,MATCH($C3867,DATA_MASTER!$D$2:$D$5000,0)),""))</f>
        <v/>
      </c>
      <c r="G3867" s="24" t="n"/>
      <c r="H3867" s="24" t="n"/>
      <c r="I3867" s="30" t="n"/>
      <c r="J3867" s="23">
        <f>IF(OR($H3867="",$I3867=""),"",$H3867*$I3867)</f>
        <v/>
      </c>
      <c r="K3867" s="24" t="n"/>
      <c r="L3867" s="24" t="n"/>
      <c r="M3867" s="29" t="n"/>
      <c r="N3867" s="28" t="n"/>
      <c r="O3867" s="24" t="n"/>
      <c r="P3867" s="24" t="n"/>
      <c r="Q3867" s="24" t="n"/>
      <c r="R3867" s="24" t="n"/>
      <c r="S3867" s="22">
        <f>IF(AND($A3867="",$C3867=""),"",IF($A3867="","Thiếu mã đơn; ","")&amp;IF(COUNTIF($A$2:$A3867,$A3867)&gt;1,"Trùng mã đơn; ","")&amp;IF(ISNA(MATCH($C3867,DATA_MASTER!$D$2:$D$5000,0)),"SĐT chưa đăng ký hội viên; ","")&amp;IF(AND($L3867="Đã chuyển khoản",$M3867=""),"Thiếu ngày nhận CK; ",""))</f>
        <v/>
      </c>
      <c r="T3867" s="24" t="n"/>
    </row>
    <row r="3868" ht="14.25" customHeight="1" s="40">
      <c r="A3868" s="24" t="n"/>
      <c r="B3868" s="29" t="n"/>
      <c r="C3868" s="28" t="n"/>
      <c r="D3868" s="22">
        <f t="array" ref="D3868">IF($C3868="","",IFERROR(INDEX(DATA_MASTER!$C$2:$C$5000,MATCH($C3868,DATA_MASTER!$D$2:$D$5000,0)),""))</f>
        <v/>
      </c>
      <c r="E3868" s="22">
        <f t="array" ref="E3868">IF($C3868="","",IFERROR(INDEX(DATA_MASTER!$I$2:$I$5000,MATCH($C3868,DATA_MASTER!$D$2:$D$5000,0)),""))</f>
        <v/>
      </c>
      <c r="F3868" s="22">
        <f t="array" ref="F3868">IF($C3868="","",IFERROR(INDEX(DATA_MASTER!$L$2:$L$5000,MATCH($C3868,DATA_MASTER!$D$2:$D$5000,0)),""))</f>
        <v/>
      </c>
      <c r="G3868" s="24" t="n"/>
      <c r="H3868" s="24" t="n"/>
      <c r="I3868" s="30" t="n"/>
      <c r="J3868" s="23">
        <f>IF(OR($H3868="",$I3868=""),"",$H3868*$I3868)</f>
        <v/>
      </c>
      <c r="K3868" s="24" t="n"/>
      <c r="L3868" s="24" t="n"/>
      <c r="M3868" s="29" t="n"/>
      <c r="N3868" s="28" t="n"/>
      <c r="O3868" s="24" t="n"/>
      <c r="P3868" s="24" t="n"/>
      <c r="Q3868" s="24" t="n"/>
      <c r="R3868" s="24" t="n"/>
      <c r="S3868" s="22">
        <f>IF(AND($A3868="",$C3868=""),"",IF($A3868="","Thiếu mã đơn; ","")&amp;IF(COUNTIF($A$2:$A3868,$A3868)&gt;1,"Trùng mã đơn; ","")&amp;IF(ISNA(MATCH($C3868,DATA_MASTER!$D$2:$D$5000,0)),"SĐT chưa đăng ký hội viên; ","")&amp;IF(AND($L3868="Đã chuyển khoản",$M3868=""),"Thiếu ngày nhận CK; ",""))</f>
        <v/>
      </c>
      <c r="T3868" s="24" t="n"/>
    </row>
    <row r="3869" ht="14.25" customHeight="1" s="40">
      <c r="A3869" s="24" t="n"/>
      <c r="B3869" s="29" t="n"/>
      <c r="C3869" s="28" t="n"/>
      <c r="D3869" s="22">
        <f t="array" ref="D3869">IF($C3869="","",IFERROR(INDEX(DATA_MASTER!$C$2:$C$5000,MATCH($C3869,DATA_MASTER!$D$2:$D$5000,0)),""))</f>
        <v/>
      </c>
      <c r="E3869" s="22">
        <f t="array" ref="E3869">IF($C3869="","",IFERROR(INDEX(DATA_MASTER!$I$2:$I$5000,MATCH($C3869,DATA_MASTER!$D$2:$D$5000,0)),""))</f>
        <v/>
      </c>
      <c r="F3869" s="22">
        <f t="array" ref="F3869">IF($C3869="","",IFERROR(INDEX(DATA_MASTER!$L$2:$L$5000,MATCH($C3869,DATA_MASTER!$D$2:$D$5000,0)),""))</f>
        <v/>
      </c>
      <c r="G3869" s="24" t="n"/>
      <c r="H3869" s="24" t="n"/>
      <c r="I3869" s="30" t="n"/>
      <c r="J3869" s="23">
        <f>IF(OR($H3869="",$I3869=""),"",$H3869*$I3869)</f>
        <v/>
      </c>
      <c r="K3869" s="24" t="n"/>
      <c r="L3869" s="24" t="n"/>
      <c r="M3869" s="29" t="n"/>
      <c r="N3869" s="28" t="n"/>
      <c r="O3869" s="24" t="n"/>
      <c r="P3869" s="24" t="n"/>
      <c r="Q3869" s="24" t="n"/>
      <c r="R3869" s="24" t="n"/>
      <c r="S3869" s="22">
        <f>IF(AND($A3869="",$C3869=""),"",IF($A3869="","Thiếu mã đơn; ","")&amp;IF(COUNTIF($A$2:$A3869,$A3869)&gt;1,"Trùng mã đơn; ","")&amp;IF(ISNA(MATCH($C3869,DATA_MASTER!$D$2:$D$5000,0)),"SĐT chưa đăng ký hội viên; ","")&amp;IF(AND($L3869="Đã chuyển khoản",$M3869=""),"Thiếu ngày nhận CK; ",""))</f>
        <v/>
      </c>
      <c r="T3869" s="24" t="n"/>
    </row>
    <row r="3870" ht="14.25" customHeight="1" s="40">
      <c r="A3870" s="24" t="n"/>
      <c r="B3870" s="29" t="n"/>
      <c r="C3870" s="28" t="n"/>
      <c r="D3870" s="22">
        <f t="array" ref="D3870">IF($C3870="","",IFERROR(INDEX(DATA_MASTER!$C$2:$C$5000,MATCH($C3870,DATA_MASTER!$D$2:$D$5000,0)),""))</f>
        <v/>
      </c>
      <c r="E3870" s="22">
        <f t="array" ref="E3870">IF($C3870="","",IFERROR(INDEX(DATA_MASTER!$I$2:$I$5000,MATCH($C3870,DATA_MASTER!$D$2:$D$5000,0)),""))</f>
        <v/>
      </c>
      <c r="F3870" s="22">
        <f t="array" ref="F3870">IF($C3870="","",IFERROR(INDEX(DATA_MASTER!$L$2:$L$5000,MATCH($C3870,DATA_MASTER!$D$2:$D$5000,0)),""))</f>
        <v/>
      </c>
      <c r="G3870" s="24" t="n"/>
      <c r="H3870" s="24" t="n"/>
      <c r="I3870" s="30" t="n"/>
      <c r="J3870" s="23">
        <f>IF(OR($H3870="",$I3870=""),"",$H3870*$I3870)</f>
        <v/>
      </c>
      <c r="K3870" s="24" t="n"/>
      <c r="L3870" s="24" t="n"/>
      <c r="M3870" s="29" t="n"/>
      <c r="N3870" s="28" t="n"/>
      <c r="O3870" s="24" t="n"/>
      <c r="P3870" s="24" t="n"/>
      <c r="Q3870" s="24" t="n"/>
      <c r="R3870" s="24" t="n"/>
      <c r="S3870" s="22">
        <f>IF(AND($A3870="",$C3870=""),"",IF($A3870="","Thiếu mã đơn; ","")&amp;IF(COUNTIF($A$2:$A3870,$A3870)&gt;1,"Trùng mã đơn; ","")&amp;IF(ISNA(MATCH($C3870,DATA_MASTER!$D$2:$D$5000,0)),"SĐT chưa đăng ký hội viên; ","")&amp;IF(AND($L3870="Đã chuyển khoản",$M3870=""),"Thiếu ngày nhận CK; ",""))</f>
        <v/>
      </c>
      <c r="T3870" s="24" t="n"/>
    </row>
    <row r="3871" ht="14.25" customHeight="1" s="40">
      <c r="A3871" s="24" t="n"/>
      <c r="B3871" s="29" t="n"/>
      <c r="C3871" s="28" t="n"/>
      <c r="D3871" s="22">
        <f t="array" ref="D3871">IF($C3871="","",IFERROR(INDEX(DATA_MASTER!$C$2:$C$5000,MATCH($C3871,DATA_MASTER!$D$2:$D$5000,0)),""))</f>
        <v/>
      </c>
      <c r="E3871" s="22">
        <f t="array" ref="E3871">IF($C3871="","",IFERROR(INDEX(DATA_MASTER!$I$2:$I$5000,MATCH($C3871,DATA_MASTER!$D$2:$D$5000,0)),""))</f>
        <v/>
      </c>
      <c r="F3871" s="22">
        <f t="array" ref="F3871">IF($C3871="","",IFERROR(INDEX(DATA_MASTER!$L$2:$L$5000,MATCH($C3871,DATA_MASTER!$D$2:$D$5000,0)),""))</f>
        <v/>
      </c>
      <c r="G3871" s="24" t="n"/>
      <c r="H3871" s="24" t="n"/>
      <c r="I3871" s="30" t="n"/>
      <c r="J3871" s="23">
        <f>IF(OR($H3871="",$I3871=""),"",$H3871*$I3871)</f>
        <v/>
      </c>
      <c r="K3871" s="24" t="n"/>
      <c r="L3871" s="24" t="n"/>
      <c r="M3871" s="29" t="n"/>
      <c r="N3871" s="28" t="n"/>
      <c r="O3871" s="24" t="n"/>
      <c r="P3871" s="24" t="n"/>
      <c r="Q3871" s="24" t="n"/>
      <c r="R3871" s="24" t="n"/>
      <c r="S3871" s="22">
        <f>IF(AND($A3871="",$C3871=""),"",IF($A3871="","Thiếu mã đơn; ","")&amp;IF(COUNTIF($A$2:$A3871,$A3871)&gt;1,"Trùng mã đơn; ","")&amp;IF(ISNA(MATCH($C3871,DATA_MASTER!$D$2:$D$5000,0)),"SĐT chưa đăng ký hội viên; ","")&amp;IF(AND($L3871="Đã chuyển khoản",$M3871=""),"Thiếu ngày nhận CK; ",""))</f>
        <v/>
      </c>
      <c r="T3871" s="24" t="n"/>
    </row>
    <row r="3872" ht="14.25" customHeight="1" s="40">
      <c r="A3872" s="24" t="n"/>
      <c r="B3872" s="29" t="n"/>
      <c r="C3872" s="28" t="n"/>
      <c r="D3872" s="22">
        <f t="array" ref="D3872">IF($C3872="","",IFERROR(INDEX(DATA_MASTER!$C$2:$C$5000,MATCH($C3872,DATA_MASTER!$D$2:$D$5000,0)),""))</f>
        <v/>
      </c>
      <c r="E3872" s="22">
        <f t="array" ref="E3872">IF($C3872="","",IFERROR(INDEX(DATA_MASTER!$I$2:$I$5000,MATCH($C3872,DATA_MASTER!$D$2:$D$5000,0)),""))</f>
        <v/>
      </c>
      <c r="F3872" s="22">
        <f t="array" ref="F3872">IF($C3872="","",IFERROR(INDEX(DATA_MASTER!$L$2:$L$5000,MATCH($C3872,DATA_MASTER!$D$2:$D$5000,0)),""))</f>
        <v/>
      </c>
      <c r="G3872" s="24" t="n"/>
      <c r="H3872" s="24" t="n"/>
      <c r="I3872" s="30" t="n"/>
      <c r="J3872" s="23">
        <f>IF(OR($H3872="",$I3872=""),"",$H3872*$I3872)</f>
        <v/>
      </c>
      <c r="K3872" s="24" t="n"/>
      <c r="L3872" s="24" t="n"/>
      <c r="M3872" s="29" t="n"/>
      <c r="N3872" s="28" t="n"/>
      <c r="O3872" s="24" t="n"/>
      <c r="P3872" s="24" t="n"/>
      <c r="Q3872" s="24" t="n"/>
      <c r="R3872" s="24" t="n"/>
      <c r="S3872" s="22">
        <f>IF(AND($A3872="",$C3872=""),"",IF($A3872="","Thiếu mã đơn; ","")&amp;IF(COUNTIF($A$2:$A3872,$A3872)&gt;1,"Trùng mã đơn; ","")&amp;IF(ISNA(MATCH($C3872,DATA_MASTER!$D$2:$D$5000,0)),"SĐT chưa đăng ký hội viên; ","")&amp;IF(AND($L3872="Đã chuyển khoản",$M3872=""),"Thiếu ngày nhận CK; ",""))</f>
        <v/>
      </c>
      <c r="T3872" s="24" t="n"/>
    </row>
    <row r="3873" ht="14.25" customHeight="1" s="40">
      <c r="A3873" s="24" t="n"/>
      <c r="B3873" s="29" t="n"/>
      <c r="C3873" s="28" t="n"/>
      <c r="D3873" s="22">
        <f t="array" ref="D3873">IF($C3873="","",IFERROR(INDEX(DATA_MASTER!$C$2:$C$5000,MATCH($C3873,DATA_MASTER!$D$2:$D$5000,0)),""))</f>
        <v/>
      </c>
      <c r="E3873" s="22">
        <f t="array" ref="E3873">IF($C3873="","",IFERROR(INDEX(DATA_MASTER!$I$2:$I$5000,MATCH($C3873,DATA_MASTER!$D$2:$D$5000,0)),""))</f>
        <v/>
      </c>
      <c r="F3873" s="22">
        <f t="array" ref="F3873">IF($C3873="","",IFERROR(INDEX(DATA_MASTER!$L$2:$L$5000,MATCH($C3873,DATA_MASTER!$D$2:$D$5000,0)),""))</f>
        <v/>
      </c>
      <c r="G3873" s="24" t="n"/>
      <c r="H3873" s="24" t="n"/>
      <c r="I3873" s="30" t="n"/>
      <c r="J3873" s="23">
        <f>IF(OR($H3873="",$I3873=""),"",$H3873*$I3873)</f>
        <v/>
      </c>
      <c r="K3873" s="24" t="n"/>
      <c r="L3873" s="24" t="n"/>
      <c r="M3873" s="29" t="n"/>
      <c r="N3873" s="28" t="n"/>
      <c r="O3873" s="24" t="n"/>
      <c r="P3873" s="24" t="n"/>
      <c r="Q3873" s="24" t="n"/>
      <c r="R3873" s="24" t="n"/>
      <c r="S3873" s="22">
        <f>IF(AND($A3873="",$C3873=""),"",IF($A3873="","Thiếu mã đơn; ","")&amp;IF(COUNTIF($A$2:$A3873,$A3873)&gt;1,"Trùng mã đơn; ","")&amp;IF(ISNA(MATCH($C3873,DATA_MASTER!$D$2:$D$5000,0)),"SĐT chưa đăng ký hội viên; ","")&amp;IF(AND($L3873="Đã chuyển khoản",$M3873=""),"Thiếu ngày nhận CK; ",""))</f>
        <v/>
      </c>
      <c r="T3873" s="24" t="n"/>
    </row>
    <row r="3874" ht="14.25" customHeight="1" s="40">
      <c r="A3874" s="24" t="n"/>
      <c r="B3874" s="29" t="n"/>
      <c r="C3874" s="28" t="n"/>
      <c r="D3874" s="22">
        <f t="array" ref="D3874">IF($C3874="","",IFERROR(INDEX(DATA_MASTER!$C$2:$C$5000,MATCH($C3874,DATA_MASTER!$D$2:$D$5000,0)),""))</f>
        <v/>
      </c>
      <c r="E3874" s="22">
        <f t="array" ref="E3874">IF($C3874="","",IFERROR(INDEX(DATA_MASTER!$I$2:$I$5000,MATCH($C3874,DATA_MASTER!$D$2:$D$5000,0)),""))</f>
        <v/>
      </c>
      <c r="F3874" s="22">
        <f t="array" ref="F3874">IF($C3874="","",IFERROR(INDEX(DATA_MASTER!$L$2:$L$5000,MATCH($C3874,DATA_MASTER!$D$2:$D$5000,0)),""))</f>
        <v/>
      </c>
      <c r="G3874" s="24" t="n"/>
      <c r="H3874" s="24" t="n"/>
      <c r="I3874" s="30" t="n"/>
      <c r="J3874" s="23">
        <f>IF(OR($H3874="",$I3874=""),"",$H3874*$I3874)</f>
        <v/>
      </c>
      <c r="K3874" s="24" t="n"/>
      <c r="L3874" s="24" t="n"/>
      <c r="M3874" s="29" t="n"/>
      <c r="N3874" s="28" t="n"/>
      <c r="O3874" s="24" t="n"/>
      <c r="P3874" s="24" t="n"/>
      <c r="Q3874" s="24" t="n"/>
      <c r="R3874" s="24" t="n"/>
      <c r="S3874" s="22">
        <f>IF(AND($A3874="",$C3874=""),"",IF($A3874="","Thiếu mã đơn; ","")&amp;IF(COUNTIF($A$2:$A3874,$A3874)&gt;1,"Trùng mã đơn; ","")&amp;IF(ISNA(MATCH($C3874,DATA_MASTER!$D$2:$D$5000,0)),"SĐT chưa đăng ký hội viên; ","")&amp;IF(AND($L3874="Đã chuyển khoản",$M3874=""),"Thiếu ngày nhận CK; ",""))</f>
        <v/>
      </c>
      <c r="T3874" s="24" t="n"/>
    </row>
    <row r="3875" ht="14.25" customHeight="1" s="40">
      <c r="A3875" s="24" t="n"/>
      <c r="B3875" s="29" t="n"/>
      <c r="C3875" s="28" t="n"/>
      <c r="D3875" s="22">
        <f t="array" ref="D3875">IF($C3875="","",IFERROR(INDEX(DATA_MASTER!$C$2:$C$5000,MATCH($C3875,DATA_MASTER!$D$2:$D$5000,0)),""))</f>
        <v/>
      </c>
      <c r="E3875" s="22">
        <f t="array" ref="E3875">IF($C3875="","",IFERROR(INDEX(DATA_MASTER!$I$2:$I$5000,MATCH($C3875,DATA_MASTER!$D$2:$D$5000,0)),""))</f>
        <v/>
      </c>
      <c r="F3875" s="22">
        <f t="array" ref="F3875">IF($C3875="","",IFERROR(INDEX(DATA_MASTER!$L$2:$L$5000,MATCH($C3875,DATA_MASTER!$D$2:$D$5000,0)),""))</f>
        <v/>
      </c>
      <c r="G3875" s="24" t="n"/>
      <c r="H3875" s="24" t="n"/>
      <c r="I3875" s="30" t="n"/>
      <c r="J3875" s="23">
        <f>IF(OR($H3875="",$I3875=""),"",$H3875*$I3875)</f>
        <v/>
      </c>
      <c r="K3875" s="24" t="n"/>
      <c r="L3875" s="24" t="n"/>
      <c r="M3875" s="29" t="n"/>
      <c r="N3875" s="28" t="n"/>
      <c r="O3875" s="24" t="n"/>
      <c r="P3875" s="24" t="n"/>
      <c r="Q3875" s="24" t="n"/>
      <c r="R3875" s="24" t="n"/>
      <c r="S3875" s="22">
        <f>IF(AND($A3875="",$C3875=""),"",IF($A3875="","Thiếu mã đơn; ","")&amp;IF(COUNTIF($A$2:$A3875,$A3875)&gt;1,"Trùng mã đơn; ","")&amp;IF(ISNA(MATCH($C3875,DATA_MASTER!$D$2:$D$5000,0)),"SĐT chưa đăng ký hội viên; ","")&amp;IF(AND($L3875="Đã chuyển khoản",$M3875=""),"Thiếu ngày nhận CK; ",""))</f>
        <v/>
      </c>
      <c r="T3875" s="24" t="n"/>
    </row>
    <row r="3876" ht="14.25" customHeight="1" s="40">
      <c r="A3876" s="24" t="n"/>
      <c r="B3876" s="29" t="n"/>
      <c r="C3876" s="28" t="n"/>
      <c r="D3876" s="22">
        <f t="array" ref="D3876">IF($C3876="","",IFERROR(INDEX(DATA_MASTER!$C$2:$C$5000,MATCH($C3876,DATA_MASTER!$D$2:$D$5000,0)),""))</f>
        <v/>
      </c>
      <c r="E3876" s="22">
        <f t="array" ref="E3876">IF($C3876="","",IFERROR(INDEX(DATA_MASTER!$I$2:$I$5000,MATCH($C3876,DATA_MASTER!$D$2:$D$5000,0)),""))</f>
        <v/>
      </c>
      <c r="F3876" s="22">
        <f t="array" ref="F3876">IF($C3876="","",IFERROR(INDEX(DATA_MASTER!$L$2:$L$5000,MATCH($C3876,DATA_MASTER!$D$2:$D$5000,0)),""))</f>
        <v/>
      </c>
      <c r="G3876" s="24" t="n"/>
      <c r="H3876" s="24" t="n"/>
      <c r="I3876" s="30" t="n"/>
      <c r="J3876" s="23">
        <f>IF(OR($H3876="",$I3876=""),"",$H3876*$I3876)</f>
        <v/>
      </c>
      <c r="K3876" s="24" t="n"/>
      <c r="L3876" s="24" t="n"/>
      <c r="M3876" s="29" t="n"/>
      <c r="N3876" s="28" t="n"/>
      <c r="O3876" s="24" t="n"/>
      <c r="P3876" s="24" t="n"/>
      <c r="Q3876" s="24" t="n"/>
      <c r="R3876" s="24" t="n"/>
      <c r="S3876" s="22">
        <f>IF(AND($A3876="",$C3876=""),"",IF($A3876="","Thiếu mã đơn; ","")&amp;IF(COUNTIF($A$2:$A3876,$A3876)&gt;1,"Trùng mã đơn; ","")&amp;IF(ISNA(MATCH($C3876,DATA_MASTER!$D$2:$D$5000,0)),"SĐT chưa đăng ký hội viên; ","")&amp;IF(AND($L3876="Đã chuyển khoản",$M3876=""),"Thiếu ngày nhận CK; ",""))</f>
        <v/>
      </c>
      <c r="T3876" s="24" t="n"/>
    </row>
    <row r="3877" ht="14.25" customHeight="1" s="40">
      <c r="A3877" s="24" t="n"/>
      <c r="B3877" s="29" t="n"/>
      <c r="C3877" s="28" t="n"/>
      <c r="D3877" s="22">
        <f t="array" ref="D3877">IF($C3877="","",IFERROR(INDEX(DATA_MASTER!$C$2:$C$5000,MATCH($C3877,DATA_MASTER!$D$2:$D$5000,0)),""))</f>
        <v/>
      </c>
      <c r="E3877" s="22">
        <f t="array" ref="E3877">IF($C3877="","",IFERROR(INDEX(DATA_MASTER!$I$2:$I$5000,MATCH($C3877,DATA_MASTER!$D$2:$D$5000,0)),""))</f>
        <v/>
      </c>
      <c r="F3877" s="22">
        <f t="array" ref="F3877">IF($C3877="","",IFERROR(INDEX(DATA_MASTER!$L$2:$L$5000,MATCH($C3877,DATA_MASTER!$D$2:$D$5000,0)),""))</f>
        <v/>
      </c>
      <c r="G3877" s="24" t="n"/>
      <c r="H3877" s="24" t="n"/>
      <c r="I3877" s="30" t="n"/>
      <c r="J3877" s="23">
        <f>IF(OR($H3877="",$I3877=""),"",$H3877*$I3877)</f>
        <v/>
      </c>
      <c r="K3877" s="24" t="n"/>
      <c r="L3877" s="24" t="n"/>
      <c r="M3877" s="29" t="n"/>
      <c r="N3877" s="28" t="n"/>
      <c r="O3877" s="24" t="n"/>
      <c r="P3877" s="24" t="n"/>
      <c r="Q3877" s="24" t="n"/>
      <c r="R3877" s="24" t="n"/>
      <c r="S3877" s="22">
        <f>IF(AND($A3877="",$C3877=""),"",IF($A3877="","Thiếu mã đơn; ","")&amp;IF(COUNTIF($A$2:$A3877,$A3877)&gt;1,"Trùng mã đơn; ","")&amp;IF(ISNA(MATCH($C3877,DATA_MASTER!$D$2:$D$5000,0)),"SĐT chưa đăng ký hội viên; ","")&amp;IF(AND($L3877="Đã chuyển khoản",$M3877=""),"Thiếu ngày nhận CK; ",""))</f>
        <v/>
      </c>
      <c r="T3877" s="24" t="n"/>
    </row>
    <row r="3878" ht="14.25" customHeight="1" s="40">
      <c r="A3878" s="24" t="n"/>
      <c r="B3878" s="29" t="n"/>
      <c r="C3878" s="28" t="n"/>
      <c r="D3878" s="22">
        <f t="array" ref="D3878">IF($C3878="","",IFERROR(INDEX(DATA_MASTER!$C$2:$C$5000,MATCH($C3878,DATA_MASTER!$D$2:$D$5000,0)),""))</f>
        <v/>
      </c>
      <c r="E3878" s="22">
        <f t="array" ref="E3878">IF($C3878="","",IFERROR(INDEX(DATA_MASTER!$I$2:$I$5000,MATCH($C3878,DATA_MASTER!$D$2:$D$5000,0)),""))</f>
        <v/>
      </c>
      <c r="F3878" s="22">
        <f t="array" ref="F3878">IF($C3878="","",IFERROR(INDEX(DATA_MASTER!$L$2:$L$5000,MATCH($C3878,DATA_MASTER!$D$2:$D$5000,0)),""))</f>
        <v/>
      </c>
      <c r="G3878" s="24" t="n"/>
      <c r="H3878" s="24" t="n"/>
      <c r="I3878" s="30" t="n"/>
      <c r="J3878" s="23">
        <f>IF(OR($H3878="",$I3878=""),"",$H3878*$I3878)</f>
        <v/>
      </c>
      <c r="K3878" s="24" t="n"/>
      <c r="L3878" s="24" t="n"/>
      <c r="M3878" s="29" t="n"/>
      <c r="N3878" s="28" t="n"/>
      <c r="O3878" s="24" t="n"/>
      <c r="P3878" s="24" t="n"/>
      <c r="Q3878" s="24" t="n"/>
      <c r="R3878" s="24" t="n"/>
      <c r="S3878" s="22">
        <f>IF(AND($A3878="",$C3878=""),"",IF($A3878="","Thiếu mã đơn; ","")&amp;IF(COUNTIF($A$2:$A3878,$A3878)&gt;1,"Trùng mã đơn; ","")&amp;IF(ISNA(MATCH($C3878,DATA_MASTER!$D$2:$D$5000,0)),"SĐT chưa đăng ký hội viên; ","")&amp;IF(AND($L3878="Đã chuyển khoản",$M3878=""),"Thiếu ngày nhận CK; ",""))</f>
        <v/>
      </c>
      <c r="T3878" s="24" t="n"/>
    </row>
    <row r="3879" ht="14.25" customHeight="1" s="40">
      <c r="A3879" s="24" t="n"/>
      <c r="B3879" s="29" t="n"/>
      <c r="C3879" s="28" t="n"/>
      <c r="D3879" s="22">
        <f t="array" ref="D3879">IF($C3879="","",IFERROR(INDEX(DATA_MASTER!$C$2:$C$5000,MATCH($C3879,DATA_MASTER!$D$2:$D$5000,0)),""))</f>
        <v/>
      </c>
      <c r="E3879" s="22">
        <f t="array" ref="E3879">IF($C3879="","",IFERROR(INDEX(DATA_MASTER!$I$2:$I$5000,MATCH($C3879,DATA_MASTER!$D$2:$D$5000,0)),""))</f>
        <v/>
      </c>
      <c r="F3879" s="22">
        <f t="array" ref="F3879">IF($C3879="","",IFERROR(INDEX(DATA_MASTER!$L$2:$L$5000,MATCH($C3879,DATA_MASTER!$D$2:$D$5000,0)),""))</f>
        <v/>
      </c>
      <c r="G3879" s="24" t="n"/>
      <c r="H3879" s="24" t="n"/>
      <c r="I3879" s="30" t="n"/>
      <c r="J3879" s="23">
        <f>IF(OR($H3879="",$I3879=""),"",$H3879*$I3879)</f>
        <v/>
      </c>
      <c r="K3879" s="24" t="n"/>
      <c r="L3879" s="24" t="n"/>
      <c r="M3879" s="29" t="n"/>
      <c r="N3879" s="28" t="n"/>
      <c r="O3879" s="24" t="n"/>
      <c r="P3879" s="24" t="n"/>
      <c r="Q3879" s="24" t="n"/>
      <c r="R3879" s="24" t="n"/>
      <c r="S3879" s="22">
        <f>IF(AND($A3879="",$C3879=""),"",IF($A3879="","Thiếu mã đơn; ","")&amp;IF(COUNTIF($A$2:$A3879,$A3879)&gt;1,"Trùng mã đơn; ","")&amp;IF(ISNA(MATCH($C3879,DATA_MASTER!$D$2:$D$5000,0)),"SĐT chưa đăng ký hội viên; ","")&amp;IF(AND($L3879="Đã chuyển khoản",$M3879=""),"Thiếu ngày nhận CK; ",""))</f>
        <v/>
      </c>
      <c r="T3879" s="24" t="n"/>
    </row>
    <row r="3880" ht="14.25" customHeight="1" s="40">
      <c r="A3880" s="24" t="n"/>
      <c r="B3880" s="29" t="n"/>
      <c r="C3880" s="28" t="n"/>
      <c r="D3880" s="22">
        <f t="array" ref="D3880">IF($C3880="","",IFERROR(INDEX(DATA_MASTER!$C$2:$C$5000,MATCH($C3880,DATA_MASTER!$D$2:$D$5000,0)),""))</f>
        <v/>
      </c>
      <c r="E3880" s="22">
        <f t="array" ref="E3880">IF($C3880="","",IFERROR(INDEX(DATA_MASTER!$I$2:$I$5000,MATCH($C3880,DATA_MASTER!$D$2:$D$5000,0)),""))</f>
        <v/>
      </c>
      <c r="F3880" s="22">
        <f t="array" ref="F3880">IF($C3880="","",IFERROR(INDEX(DATA_MASTER!$L$2:$L$5000,MATCH($C3880,DATA_MASTER!$D$2:$D$5000,0)),""))</f>
        <v/>
      </c>
      <c r="G3880" s="24" t="n"/>
      <c r="H3880" s="24" t="n"/>
      <c r="I3880" s="30" t="n"/>
      <c r="J3880" s="23">
        <f>IF(OR($H3880="",$I3880=""),"",$H3880*$I3880)</f>
        <v/>
      </c>
      <c r="K3880" s="24" t="n"/>
      <c r="L3880" s="24" t="n"/>
      <c r="M3880" s="29" t="n"/>
      <c r="N3880" s="28" t="n"/>
      <c r="O3880" s="24" t="n"/>
      <c r="P3880" s="24" t="n"/>
      <c r="Q3880" s="24" t="n"/>
      <c r="R3880" s="24" t="n"/>
      <c r="S3880" s="22">
        <f>IF(AND($A3880="",$C3880=""),"",IF($A3880="","Thiếu mã đơn; ","")&amp;IF(COUNTIF($A$2:$A3880,$A3880)&gt;1,"Trùng mã đơn; ","")&amp;IF(ISNA(MATCH($C3880,DATA_MASTER!$D$2:$D$5000,0)),"SĐT chưa đăng ký hội viên; ","")&amp;IF(AND($L3880="Đã chuyển khoản",$M3880=""),"Thiếu ngày nhận CK; ",""))</f>
        <v/>
      </c>
      <c r="T3880" s="24" t="n"/>
    </row>
    <row r="3881" ht="14.25" customHeight="1" s="40">
      <c r="A3881" s="24" t="n"/>
      <c r="B3881" s="29" t="n"/>
      <c r="C3881" s="28" t="n"/>
      <c r="D3881" s="22">
        <f t="array" ref="D3881">IF($C3881="","",IFERROR(INDEX(DATA_MASTER!$C$2:$C$5000,MATCH($C3881,DATA_MASTER!$D$2:$D$5000,0)),""))</f>
        <v/>
      </c>
      <c r="E3881" s="22">
        <f t="array" ref="E3881">IF($C3881="","",IFERROR(INDEX(DATA_MASTER!$I$2:$I$5000,MATCH($C3881,DATA_MASTER!$D$2:$D$5000,0)),""))</f>
        <v/>
      </c>
      <c r="F3881" s="22">
        <f t="array" ref="F3881">IF($C3881="","",IFERROR(INDEX(DATA_MASTER!$L$2:$L$5000,MATCH($C3881,DATA_MASTER!$D$2:$D$5000,0)),""))</f>
        <v/>
      </c>
      <c r="G3881" s="24" t="n"/>
      <c r="H3881" s="24" t="n"/>
      <c r="I3881" s="30" t="n"/>
      <c r="J3881" s="23">
        <f>IF(OR($H3881="",$I3881=""),"",$H3881*$I3881)</f>
        <v/>
      </c>
      <c r="K3881" s="24" t="n"/>
      <c r="L3881" s="24" t="n"/>
      <c r="M3881" s="29" t="n"/>
      <c r="N3881" s="28" t="n"/>
      <c r="O3881" s="24" t="n"/>
      <c r="P3881" s="24" t="n"/>
      <c r="Q3881" s="24" t="n"/>
      <c r="R3881" s="24" t="n"/>
      <c r="S3881" s="22">
        <f>IF(AND($A3881="",$C3881=""),"",IF($A3881="","Thiếu mã đơn; ","")&amp;IF(COUNTIF($A$2:$A3881,$A3881)&gt;1,"Trùng mã đơn; ","")&amp;IF(ISNA(MATCH($C3881,DATA_MASTER!$D$2:$D$5000,0)),"SĐT chưa đăng ký hội viên; ","")&amp;IF(AND($L3881="Đã chuyển khoản",$M3881=""),"Thiếu ngày nhận CK; ",""))</f>
        <v/>
      </c>
      <c r="T3881" s="24" t="n"/>
    </row>
    <row r="3882" ht="14.25" customHeight="1" s="40">
      <c r="A3882" s="24" t="n"/>
      <c r="B3882" s="29" t="n"/>
      <c r="C3882" s="28" t="n"/>
      <c r="D3882" s="22">
        <f t="array" ref="D3882">IF($C3882="","",IFERROR(INDEX(DATA_MASTER!$C$2:$C$5000,MATCH($C3882,DATA_MASTER!$D$2:$D$5000,0)),""))</f>
        <v/>
      </c>
      <c r="E3882" s="22">
        <f t="array" ref="E3882">IF($C3882="","",IFERROR(INDEX(DATA_MASTER!$I$2:$I$5000,MATCH($C3882,DATA_MASTER!$D$2:$D$5000,0)),""))</f>
        <v/>
      </c>
      <c r="F3882" s="22">
        <f t="array" ref="F3882">IF($C3882="","",IFERROR(INDEX(DATA_MASTER!$L$2:$L$5000,MATCH($C3882,DATA_MASTER!$D$2:$D$5000,0)),""))</f>
        <v/>
      </c>
      <c r="G3882" s="24" t="n"/>
      <c r="H3882" s="24" t="n"/>
      <c r="I3882" s="30" t="n"/>
      <c r="J3882" s="23">
        <f>IF(OR($H3882="",$I3882=""),"",$H3882*$I3882)</f>
        <v/>
      </c>
      <c r="K3882" s="24" t="n"/>
      <c r="L3882" s="24" t="n"/>
      <c r="M3882" s="29" t="n"/>
      <c r="N3882" s="28" t="n"/>
      <c r="O3882" s="24" t="n"/>
      <c r="P3882" s="24" t="n"/>
      <c r="Q3882" s="24" t="n"/>
      <c r="R3882" s="24" t="n"/>
      <c r="S3882" s="22">
        <f>IF(AND($A3882="",$C3882=""),"",IF($A3882="","Thiếu mã đơn; ","")&amp;IF(COUNTIF($A$2:$A3882,$A3882)&gt;1,"Trùng mã đơn; ","")&amp;IF(ISNA(MATCH($C3882,DATA_MASTER!$D$2:$D$5000,0)),"SĐT chưa đăng ký hội viên; ","")&amp;IF(AND($L3882="Đã chuyển khoản",$M3882=""),"Thiếu ngày nhận CK; ",""))</f>
        <v/>
      </c>
      <c r="T3882" s="24" t="n"/>
    </row>
    <row r="3883" ht="14.25" customHeight="1" s="40">
      <c r="A3883" s="24" t="n"/>
      <c r="B3883" s="29" t="n"/>
      <c r="C3883" s="28" t="n"/>
      <c r="D3883" s="22">
        <f t="array" ref="D3883">IF($C3883="","",IFERROR(INDEX(DATA_MASTER!$C$2:$C$5000,MATCH($C3883,DATA_MASTER!$D$2:$D$5000,0)),""))</f>
        <v/>
      </c>
      <c r="E3883" s="22">
        <f t="array" ref="E3883">IF($C3883="","",IFERROR(INDEX(DATA_MASTER!$I$2:$I$5000,MATCH($C3883,DATA_MASTER!$D$2:$D$5000,0)),""))</f>
        <v/>
      </c>
      <c r="F3883" s="22">
        <f t="array" ref="F3883">IF($C3883="","",IFERROR(INDEX(DATA_MASTER!$L$2:$L$5000,MATCH($C3883,DATA_MASTER!$D$2:$D$5000,0)),""))</f>
        <v/>
      </c>
      <c r="G3883" s="24" t="n"/>
      <c r="H3883" s="24" t="n"/>
      <c r="I3883" s="30" t="n"/>
      <c r="J3883" s="23">
        <f>IF(OR($H3883="",$I3883=""),"",$H3883*$I3883)</f>
        <v/>
      </c>
      <c r="K3883" s="24" t="n"/>
      <c r="L3883" s="24" t="n"/>
      <c r="M3883" s="29" t="n"/>
      <c r="N3883" s="28" t="n"/>
      <c r="O3883" s="24" t="n"/>
      <c r="P3883" s="24" t="n"/>
      <c r="Q3883" s="24" t="n"/>
      <c r="R3883" s="24" t="n"/>
      <c r="S3883" s="22">
        <f>IF(AND($A3883="",$C3883=""),"",IF($A3883="","Thiếu mã đơn; ","")&amp;IF(COUNTIF($A$2:$A3883,$A3883)&gt;1,"Trùng mã đơn; ","")&amp;IF(ISNA(MATCH($C3883,DATA_MASTER!$D$2:$D$5000,0)),"SĐT chưa đăng ký hội viên; ","")&amp;IF(AND($L3883="Đã chuyển khoản",$M3883=""),"Thiếu ngày nhận CK; ",""))</f>
        <v/>
      </c>
      <c r="T3883" s="24" t="n"/>
    </row>
    <row r="3884" ht="14.25" customHeight="1" s="40">
      <c r="A3884" s="24" t="n"/>
      <c r="B3884" s="29" t="n"/>
      <c r="C3884" s="28" t="n"/>
      <c r="D3884" s="22">
        <f t="array" ref="D3884">IF($C3884="","",IFERROR(INDEX(DATA_MASTER!$C$2:$C$5000,MATCH($C3884,DATA_MASTER!$D$2:$D$5000,0)),""))</f>
        <v/>
      </c>
      <c r="E3884" s="22">
        <f t="array" ref="E3884">IF($C3884="","",IFERROR(INDEX(DATA_MASTER!$I$2:$I$5000,MATCH($C3884,DATA_MASTER!$D$2:$D$5000,0)),""))</f>
        <v/>
      </c>
      <c r="F3884" s="22">
        <f t="array" ref="F3884">IF($C3884="","",IFERROR(INDEX(DATA_MASTER!$L$2:$L$5000,MATCH($C3884,DATA_MASTER!$D$2:$D$5000,0)),""))</f>
        <v/>
      </c>
      <c r="G3884" s="24" t="n"/>
      <c r="H3884" s="24" t="n"/>
      <c r="I3884" s="30" t="n"/>
      <c r="J3884" s="23">
        <f>IF(OR($H3884="",$I3884=""),"",$H3884*$I3884)</f>
        <v/>
      </c>
      <c r="K3884" s="24" t="n"/>
      <c r="L3884" s="24" t="n"/>
      <c r="M3884" s="29" t="n"/>
      <c r="N3884" s="28" t="n"/>
      <c r="O3884" s="24" t="n"/>
      <c r="P3884" s="24" t="n"/>
      <c r="Q3884" s="24" t="n"/>
      <c r="R3884" s="24" t="n"/>
      <c r="S3884" s="22">
        <f>IF(AND($A3884="",$C3884=""),"",IF($A3884="","Thiếu mã đơn; ","")&amp;IF(COUNTIF($A$2:$A3884,$A3884)&gt;1,"Trùng mã đơn; ","")&amp;IF(ISNA(MATCH($C3884,DATA_MASTER!$D$2:$D$5000,0)),"SĐT chưa đăng ký hội viên; ","")&amp;IF(AND($L3884="Đã chuyển khoản",$M3884=""),"Thiếu ngày nhận CK; ",""))</f>
        <v/>
      </c>
      <c r="T3884" s="24" t="n"/>
    </row>
    <row r="3885" ht="14.25" customHeight="1" s="40">
      <c r="A3885" s="24" t="n"/>
      <c r="B3885" s="29" t="n"/>
      <c r="C3885" s="28" t="n"/>
      <c r="D3885" s="22">
        <f t="array" ref="D3885">IF($C3885="","",IFERROR(INDEX(DATA_MASTER!$C$2:$C$5000,MATCH($C3885,DATA_MASTER!$D$2:$D$5000,0)),""))</f>
        <v/>
      </c>
      <c r="E3885" s="22">
        <f t="array" ref="E3885">IF($C3885="","",IFERROR(INDEX(DATA_MASTER!$I$2:$I$5000,MATCH($C3885,DATA_MASTER!$D$2:$D$5000,0)),""))</f>
        <v/>
      </c>
      <c r="F3885" s="22">
        <f t="array" ref="F3885">IF($C3885="","",IFERROR(INDEX(DATA_MASTER!$L$2:$L$5000,MATCH($C3885,DATA_MASTER!$D$2:$D$5000,0)),""))</f>
        <v/>
      </c>
      <c r="G3885" s="24" t="n"/>
      <c r="H3885" s="24" t="n"/>
      <c r="I3885" s="30" t="n"/>
      <c r="J3885" s="23">
        <f>IF(OR($H3885="",$I3885=""),"",$H3885*$I3885)</f>
        <v/>
      </c>
      <c r="K3885" s="24" t="n"/>
      <c r="L3885" s="24" t="n"/>
      <c r="M3885" s="29" t="n"/>
      <c r="N3885" s="28" t="n"/>
      <c r="O3885" s="24" t="n"/>
      <c r="P3885" s="24" t="n"/>
      <c r="Q3885" s="24" t="n"/>
      <c r="R3885" s="24" t="n"/>
      <c r="S3885" s="22">
        <f>IF(AND($A3885="",$C3885=""),"",IF($A3885="","Thiếu mã đơn; ","")&amp;IF(COUNTIF($A$2:$A3885,$A3885)&gt;1,"Trùng mã đơn; ","")&amp;IF(ISNA(MATCH($C3885,DATA_MASTER!$D$2:$D$5000,0)),"SĐT chưa đăng ký hội viên; ","")&amp;IF(AND($L3885="Đã chuyển khoản",$M3885=""),"Thiếu ngày nhận CK; ",""))</f>
        <v/>
      </c>
      <c r="T3885" s="24" t="n"/>
    </row>
    <row r="3886" ht="14.25" customHeight="1" s="40">
      <c r="A3886" s="24" t="n"/>
      <c r="B3886" s="29" t="n"/>
      <c r="C3886" s="28" t="n"/>
      <c r="D3886" s="22">
        <f t="array" ref="D3886">IF($C3886="","",IFERROR(INDEX(DATA_MASTER!$C$2:$C$5000,MATCH($C3886,DATA_MASTER!$D$2:$D$5000,0)),""))</f>
        <v/>
      </c>
      <c r="E3886" s="22">
        <f t="array" ref="E3886">IF($C3886="","",IFERROR(INDEX(DATA_MASTER!$I$2:$I$5000,MATCH($C3886,DATA_MASTER!$D$2:$D$5000,0)),""))</f>
        <v/>
      </c>
      <c r="F3886" s="22">
        <f t="array" ref="F3886">IF($C3886="","",IFERROR(INDEX(DATA_MASTER!$L$2:$L$5000,MATCH($C3886,DATA_MASTER!$D$2:$D$5000,0)),""))</f>
        <v/>
      </c>
      <c r="G3886" s="24" t="n"/>
      <c r="H3886" s="24" t="n"/>
      <c r="I3886" s="30" t="n"/>
      <c r="J3886" s="23">
        <f>IF(OR($H3886="",$I3886=""),"",$H3886*$I3886)</f>
        <v/>
      </c>
      <c r="K3886" s="24" t="n"/>
      <c r="L3886" s="24" t="n"/>
      <c r="M3886" s="29" t="n"/>
      <c r="N3886" s="28" t="n"/>
      <c r="O3886" s="24" t="n"/>
      <c r="P3886" s="24" t="n"/>
      <c r="Q3886" s="24" t="n"/>
      <c r="R3886" s="24" t="n"/>
      <c r="S3886" s="22">
        <f>IF(AND($A3886="",$C3886=""),"",IF($A3886="","Thiếu mã đơn; ","")&amp;IF(COUNTIF($A$2:$A3886,$A3886)&gt;1,"Trùng mã đơn; ","")&amp;IF(ISNA(MATCH($C3886,DATA_MASTER!$D$2:$D$5000,0)),"SĐT chưa đăng ký hội viên; ","")&amp;IF(AND($L3886="Đã chuyển khoản",$M3886=""),"Thiếu ngày nhận CK; ",""))</f>
        <v/>
      </c>
      <c r="T3886" s="24" t="n"/>
    </row>
    <row r="3887" ht="14.25" customHeight="1" s="40">
      <c r="A3887" s="24" t="n"/>
      <c r="B3887" s="29" t="n"/>
      <c r="C3887" s="28" t="n"/>
      <c r="D3887" s="22">
        <f t="array" ref="D3887">IF($C3887="","",IFERROR(INDEX(DATA_MASTER!$C$2:$C$5000,MATCH($C3887,DATA_MASTER!$D$2:$D$5000,0)),""))</f>
        <v/>
      </c>
      <c r="E3887" s="22">
        <f t="array" ref="E3887">IF($C3887="","",IFERROR(INDEX(DATA_MASTER!$I$2:$I$5000,MATCH($C3887,DATA_MASTER!$D$2:$D$5000,0)),""))</f>
        <v/>
      </c>
      <c r="F3887" s="22">
        <f t="array" ref="F3887">IF($C3887="","",IFERROR(INDEX(DATA_MASTER!$L$2:$L$5000,MATCH($C3887,DATA_MASTER!$D$2:$D$5000,0)),""))</f>
        <v/>
      </c>
      <c r="G3887" s="24" t="n"/>
      <c r="H3887" s="24" t="n"/>
      <c r="I3887" s="30" t="n"/>
      <c r="J3887" s="23">
        <f>IF(OR($H3887="",$I3887=""),"",$H3887*$I3887)</f>
        <v/>
      </c>
      <c r="K3887" s="24" t="n"/>
      <c r="L3887" s="24" t="n"/>
      <c r="M3887" s="29" t="n"/>
      <c r="N3887" s="28" t="n"/>
      <c r="O3887" s="24" t="n"/>
      <c r="P3887" s="24" t="n"/>
      <c r="Q3887" s="24" t="n"/>
      <c r="R3887" s="24" t="n"/>
      <c r="S3887" s="22">
        <f>IF(AND($A3887="",$C3887=""),"",IF($A3887="","Thiếu mã đơn; ","")&amp;IF(COUNTIF($A$2:$A3887,$A3887)&gt;1,"Trùng mã đơn; ","")&amp;IF(ISNA(MATCH($C3887,DATA_MASTER!$D$2:$D$5000,0)),"SĐT chưa đăng ký hội viên; ","")&amp;IF(AND($L3887="Đã chuyển khoản",$M3887=""),"Thiếu ngày nhận CK; ",""))</f>
        <v/>
      </c>
      <c r="T3887" s="24" t="n"/>
    </row>
    <row r="3888" ht="14.25" customHeight="1" s="40">
      <c r="A3888" s="24" t="n"/>
      <c r="B3888" s="29" t="n"/>
      <c r="C3888" s="28" t="n"/>
      <c r="D3888" s="22">
        <f t="array" ref="D3888">IF($C3888="","",IFERROR(INDEX(DATA_MASTER!$C$2:$C$5000,MATCH($C3888,DATA_MASTER!$D$2:$D$5000,0)),""))</f>
        <v/>
      </c>
      <c r="E3888" s="22">
        <f t="array" ref="E3888">IF($C3888="","",IFERROR(INDEX(DATA_MASTER!$I$2:$I$5000,MATCH($C3888,DATA_MASTER!$D$2:$D$5000,0)),""))</f>
        <v/>
      </c>
      <c r="F3888" s="22">
        <f t="array" ref="F3888">IF($C3888="","",IFERROR(INDEX(DATA_MASTER!$L$2:$L$5000,MATCH($C3888,DATA_MASTER!$D$2:$D$5000,0)),""))</f>
        <v/>
      </c>
      <c r="G3888" s="24" t="n"/>
      <c r="H3888" s="24" t="n"/>
      <c r="I3888" s="30" t="n"/>
      <c r="J3888" s="23">
        <f>IF(OR($H3888="",$I3888=""),"",$H3888*$I3888)</f>
        <v/>
      </c>
      <c r="K3888" s="24" t="n"/>
      <c r="L3888" s="24" t="n"/>
      <c r="M3888" s="29" t="n"/>
      <c r="N3888" s="28" t="n"/>
      <c r="O3888" s="24" t="n"/>
      <c r="P3888" s="24" t="n"/>
      <c r="Q3888" s="24" t="n"/>
      <c r="R3888" s="24" t="n"/>
      <c r="S3888" s="22">
        <f>IF(AND($A3888="",$C3888=""),"",IF($A3888="","Thiếu mã đơn; ","")&amp;IF(COUNTIF($A$2:$A3888,$A3888)&gt;1,"Trùng mã đơn; ","")&amp;IF(ISNA(MATCH($C3888,DATA_MASTER!$D$2:$D$5000,0)),"SĐT chưa đăng ký hội viên; ","")&amp;IF(AND($L3888="Đã chuyển khoản",$M3888=""),"Thiếu ngày nhận CK; ",""))</f>
        <v/>
      </c>
      <c r="T3888" s="24" t="n"/>
    </row>
    <row r="3889" ht="14.25" customHeight="1" s="40">
      <c r="A3889" s="24" t="n"/>
      <c r="B3889" s="29" t="n"/>
      <c r="C3889" s="28" t="n"/>
      <c r="D3889" s="22">
        <f t="array" ref="D3889">IF($C3889="","",IFERROR(INDEX(DATA_MASTER!$C$2:$C$5000,MATCH($C3889,DATA_MASTER!$D$2:$D$5000,0)),""))</f>
        <v/>
      </c>
      <c r="E3889" s="22">
        <f t="array" ref="E3889">IF($C3889="","",IFERROR(INDEX(DATA_MASTER!$I$2:$I$5000,MATCH($C3889,DATA_MASTER!$D$2:$D$5000,0)),""))</f>
        <v/>
      </c>
      <c r="F3889" s="22">
        <f t="array" ref="F3889">IF($C3889="","",IFERROR(INDEX(DATA_MASTER!$L$2:$L$5000,MATCH($C3889,DATA_MASTER!$D$2:$D$5000,0)),""))</f>
        <v/>
      </c>
      <c r="G3889" s="24" t="n"/>
      <c r="H3889" s="24" t="n"/>
      <c r="I3889" s="30" t="n"/>
      <c r="J3889" s="23">
        <f>IF(OR($H3889="",$I3889=""),"",$H3889*$I3889)</f>
        <v/>
      </c>
      <c r="K3889" s="24" t="n"/>
      <c r="L3889" s="24" t="n"/>
      <c r="M3889" s="29" t="n"/>
      <c r="N3889" s="28" t="n"/>
      <c r="O3889" s="24" t="n"/>
      <c r="P3889" s="24" t="n"/>
      <c r="Q3889" s="24" t="n"/>
      <c r="R3889" s="24" t="n"/>
      <c r="S3889" s="22">
        <f>IF(AND($A3889="",$C3889=""),"",IF($A3889="","Thiếu mã đơn; ","")&amp;IF(COUNTIF($A$2:$A3889,$A3889)&gt;1,"Trùng mã đơn; ","")&amp;IF(ISNA(MATCH($C3889,DATA_MASTER!$D$2:$D$5000,0)),"SĐT chưa đăng ký hội viên; ","")&amp;IF(AND($L3889="Đã chuyển khoản",$M3889=""),"Thiếu ngày nhận CK; ",""))</f>
        <v/>
      </c>
      <c r="T3889" s="24" t="n"/>
    </row>
    <row r="3890" ht="14.25" customHeight="1" s="40">
      <c r="A3890" s="24" t="n"/>
      <c r="B3890" s="29" t="n"/>
      <c r="C3890" s="28" t="n"/>
      <c r="D3890" s="22">
        <f t="array" ref="D3890">IF($C3890="","",IFERROR(INDEX(DATA_MASTER!$C$2:$C$5000,MATCH($C3890,DATA_MASTER!$D$2:$D$5000,0)),""))</f>
        <v/>
      </c>
      <c r="E3890" s="22">
        <f t="array" ref="E3890">IF($C3890="","",IFERROR(INDEX(DATA_MASTER!$I$2:$I$5000,MATCH($C3890,DATA_MASTER!$D$2:$D$5000,0)),""))</f>
        <v/>
      </c>
      <c r="F3890" s="22">
        <f t="array" ref="F3890">IF($C3890="","",IFERROR(INDEX(DATA_MASTER!$L$2:$L$5000,MATCH($C3890,DATA_MASTER!$D$2:$D$5000,0)),""))</f>
        <v/>
      </c>
      <c r="G3890" s="24" t="n"/>
      <c r="H3890" s="24" t="n"/>
      <c r="I3890" s="30" t="n"/>
      <c r="J3890" s="23">
        <f>IF(OR($H3890="",$I3890=""),"",$H3890*$I3890)</f>
        <v/>
      </c>
      <c r="K3890" s="24" t="n"/>
      <c r="L3890" s="24" t="n"/>
      <c r="M3890" s="29" t="n"/>
      <c r="N3890" s="28" t="n"/>
      <c r="O3890" s="24" t="n"/>
      <c r="P3890" s="24" t="n"/>
      <c r="Q3890" s="24" t="n"/>
      <c r="R3890" s="24" t="n"/>
      <c r="S3890" s="22">
        <f>IF(AND($A3890="",$C3890=""),"",IF($A3890="","Thiếu mã đơn; ","")&amp;IF(COUNTIF($A$2:$A3890,$A3890)&gt;1,"Trùng mã đơn; ","")&amp;IF(ISNA(MATCH($C3890,DATA_MASTER!$D$2:$D$5000,0)),"SĐT chưa đăng ký hội viên; ","")&amp;IF(AND($L3890="Đã chuyển khoản",$M3890=""),"Thiếu ngày nhận CK; ",""))</f>
        <v/>
      </c>
      <c r="T3890" s="24" t="n"/>
    </row>
    <row r="3891" ht="14.25" customHeight="1" s="40">
      <c r="A3891" s="24" t="n"/>
      <c r="B3891" s="29" t="n"/>
      <c r="C3891" s="28" t="n"/>
      <c r="D3891" s="22">
        <f t="array" ref="D3891">IF($C3891="","",IFERROR(INDEX(DATA_MASTER!$C$2:$C$5000,MATCH($C3891,DATA_MASTER!$D$2:$D$5000,0)),""))</f>
        <v/>
      </c>
      <c r="E3891" s="22">
        <f t="array" ref="E3891">IF($C3891="","",IFERROR(INDEX(DATA_MASTER!$I$2:$I$5000,MATCH($C3891,DATA_MASTER!$D$2:$D$5000,0)),""))</f>
        <v/>
      </c>
      <c r="F3891" s="22">
        <f t="array" ref="F3891">IF($C3891="","",IFERROR(INDEX(DATA_MASTER!$L$2:$L$5000,MATCH($C3891,DATA_MASTER!$D$2:$D$5000,0)),""))</f>
        <v/>
      </c>
      <c r="G3891" s="24" t="n"/>
      <c r="H3891" s="24" t="n"/>
      <c r="I3891" s="30" t="n"/>
      <c r="J3891" s="23">
        <f>IF(OR($H3891="",$I3891=""),"",$H3891*$I3891)</f>
        <v/>
      </c>
      <c r="K3891" s="24" t="n"/>
      <c r="L3891" s="24" t="n"/>
      <c r="M3891" s="29" t="n"/>
      <c r="N3891" s="28" t="n"/>
      <c r="O3891" s="24" t="n"/>
      <c r="P3891" s="24" t="n"/>
      <c r="Q3891" s="24" t="n"/>
      <c r="R3891" s="24" t="n"/>
      <c r="S3891" s="22">
        <f>IF(AND($A3891="",$C3891=""),"",IF($A3891="","Thiếu mã đơn; ","")&amp;IF(COUNTIF($A$2:$A3891,$A3891)&gt;1,"Trùng mã đơn; ","")&amp;IF(ISNA(MATCH($C3891,DATA_MASTER!$D$2:$D$5000,0)),"SĐT chưa đăng ký hội viên; ","")&amp;IF(AND($L3891="Đã chuyển khoản",$M3891=""),"Thiếu ngày nhận CK; ",""))</f>
        <v/>
      </c>
      <c r="T3891" s="24" t="n"/>
    </row>
    <row r="3892" ht="14.25" customHeight="1" s="40">
      <c r="A3892" s="24" t="n"/>
      <c r="B3892" s="29" t="n"/>
      <c r="C3892" s="28" t="n"/>
      <c r="D3892" s="22">
        <f t="array" ref="D3892">IF($C3892="","",IFERROR(INDEX(DATA_MASTER!$C$2:$C$5000,MATCH($C3892,DATA_MASTER!$D$2:$D$5000,0)),""))</f>
        <v/>
      </c>
      <c r="E3892" s="22">
        <f t="array" ref="E3892">IF($C3892="","",IFERROR(INDEX(DATA_MASTER!$I$2:$I$5000,MATCH($C3892,DATA_MASTER!$D$2:$D$5000,0)),""))</f>
        <v/>
      </c>
      <c r="F3892" s="22">
        <f t="array" ref="F3892">IF($C3892="","",IFERROR(INDEX(DATA_MASTER!$L$2:$L$5000,MATCH($C3892,DATA_MASTER!$D$2:$D$5000,0)),""))</f>
        <v/>
      </c>
      <c r="G3892" s="24" t="n"/>
      <c r="H3892" s="24" t="n"/>
      <c r="I3892" s="30" t="n"/>
      <c r="J3892" s="23">
        <f>IF(OR($H3892="",$I3892=""),"",$H3892*$I3892)</f>
        <v/>
      </c>
      <c r="K3892" s="24" t="n"/>
      <c r="L3892" s="24" t="n"/>
      <c r="M3892" s="29" t="n"/>
      <c r="N3892" s="28" t="n"/>
      <c r="O3892" s="24" t="n"/>
      <c r="P3892" s="24" t="n"/>
      <c r="Q3892" s="24" t="n"/>
      <c r="R3892" s="24" t="n"/>
      <c r="S3892" s="22">
        <f>IF(AND($A3892="",$C3892=""),"",IF($A3892="","Thiếu mã đơn; ","")&amp;IF(COUNTIF($A$2:$A3892,$A3892)&gt;1,"Trùng mã đơn; ","")&amp;IF(ISNA(MATCH($C3892,DATA_MASTER!$D$2:$D$5000,0)),"SĐT chưa đăng ký hội viên; ","")&amp;IF(AND($L3892="Đã chuyển khoản",$M3892=""),"Thiếu ngày nhận CK; ",""))</f>
        <v/>
      </c>
      <c r="T3892" s="24" t="n"/>
    </row>
    <row r="3893" ht="14.25" customHeight="1" s="40">
      <c r="A3893" s="24" t="n"/>
      <c r="B3893" s="29" t="n"/>
      <c r="C3893" s="28" t="n"/>
      <c r="D3893" s="22">
        <f t="array" ref="D3893">IF($C3893="","",IFERROR(INDEX(DATA_MASTER!$C$2:$C$5000,MATCH($C3893,DATA_MASTER!$D$2:$D$5000,0)),""))</f>
        <v/>
      </c>
      <c r="E3893" s="22">
        <f t="array" ref="E3893">IF($C3893="","",IFERROR(INDEX(DATA_MASTER!$I$2:$I$5000,MATCH($C3893,DATA_MASTER!$D$2:$D$5000,0)),""))</f>
        <v/>
      </c>
      <c r="F3893" s="22">
        <f t="array" ref="F3893">IF($C3893="","",IFERROR(INDEX(DATA_MASTER!$L$2:$L$5000,MATCH($C3893,DATA_MASTER!$D$2:$D$5000,0)),""))</f>
        <v/>
      </c>
      <c r="G3893" s="24" t="n"/>
      <c r="H3893" s="24" t="n"/>
      <c r="I3893" s="30" t="n"/>
      <c r="J3893" s="23">
        <f>IF(OR($H3893="",$I3893=""),"",$H3893*$I3893)</f>
        <v/>
      </c>
      <c r="K3893" s="24" t="n"/>
      <c r="L3893" s="24" t="n"/>
      <c r="M3893" s="29" t="n"/>
      <c r="N3893" s="28" t="n"/>
      <c r="O3893" s="24" t="n"/>
      <c r="P3893" s="24" t="n"/>
      <c r="Q3893" s="24" t="n"/>
      <c r="R3893" s="24" t="n"/>
      <c r="S3893" s="22">
        <f>IF(AND($A3893="",$C3893=""),"",IF($A3893="","Thiếu mã đơn; ","")&amp;IF(COUNTIF($A$2:$A3893,$A3893)&gt;1,"Trùng mã đơn; ","")&amp;IF(ISNA(MATCH($C3893,DATA_MASTER!$D$2:$D$5000,0)),"SĐT chưa đăng ký hội viên; ","")&amp;IF(AND($L3893="Đã chuyển khoản",$M3893=""),"Thiếu ngày nhận CK; ",""))</f>
        <v/>
      </c>
      <c r="T3893" s="24" t="n"/>
    </row>
    <row r="3894" ht="14.25" customHeight="1" s="40">
      <c r="A3894" s="24" t="n"/>
      <c r="B3894" s="29" t="n"/>
      <c r="C3894" s="28" t="n"/>
      <c r="D3894" s="22">
        <f t="array" ref="D3894">IF($C3894="","",IFERROR(INDEX(DATA_MASTER!$C$2:$C$5000,MATCH($C3894,DATA_MASTER!$D$2:$D$5000,0)),""))</f>
        <v/>
      </c>
      <c r="E3894" s="22">
        <f t="array" ref="E3894">IF($C3894="","",IFERROR(INDEX(DATA_MASTER!$I$2:$I$5000,MATCH($C3894,DATA_MASTER!$D$2:$D$5000,0)),""))</f>
        <v/>
      </c>
      <c r="F3894" s="22">
        <f t="array" ref="F3894">IF($C3894="","",IFERROR(INDEX(DATA_MASTER!$L$2:$L$5000,MATCH($C3894,DATA_MASTER!$D$2:$D$5000,0)),""))</f>
        <v/>
      </c>
      <c r="G3894" s="24" t="n"/>
      <c r="H3894" s="24" t="n"/>
      <c r="I3894" s="30" t="n"/>
      <c r="J3894" s="23">
        <f>IF(OR($H3894="",$I3894=""),"",$H3894*$I3894)</f>
        <v/>
      </c>
      <c r="K3894" s="24" t="n"/>
      <c r="L3894" s="24" t="n"/>
      <c r="M3894" s="29" t="n"/>
      <c r="N3894" s="28" t="n"/>
      <c r="O3894" s="24" t="n"/>
      <c r="P3894" s="24" t="n"/>
      <c r="Q3894" s="24" t="n"/>
      <c r="R3894" s="24" t="n"/>
      <c r="S3894" s="22">
        <f>IF(AND($A3894="",$C3894=""),"",IF($A3894="","Thiếu mã đơn; ","")&amp;IF(COUNTIF($A$2:$A3894,$A3894)&gt;1,"Trùng mã đơn; ","")&amp;IF(ISNA(MATCH($C3894,DATA_MASTER!$D$2:$D$5000,0)),"SĐT chưa đăng ký hội viên; ","")&amp;IF(AND($L3894="Đã chuyển khoản",$M3894=""),"Thiếu ngày nhận CK; ",""))</f>
        <v/>
      </c>
      <c r="T3894" s="24" t="n"/>
    </row>
    <row r="3895" ht="14.25" customHeight="1" s="40">
      <c r="A3895" s="24" t="n"/>
      <c r="B3895" s="29" t="n"/>
      <c r="C3895" s="28" t="n"/>
      <c r="D3895" s="22">
        <f t="array" ref="D3895">IF($C3895="","",IFERROR(INDEX(DATA_MASTER!$C$2:$C$5000,MATCH($C3895,DATA_MASTER!$D$2:$D$5000,0)),""))</f>
        <v/>
      </c>
      <c r="E3895" s="22">
        <f t="array" ref="E3895">IF($C3895="","",IFERROR(INDEX(DATA_MASTER!$I$2:$I$5000,MATCH($C3895,DATA_MASTER!$D$2:$D$5000,0)),""))</f>
        <v/>
      </c>
      <c r="F3895" s="22">
        <f t="array" ref="F3895">IF($C3895="","",IFERROR(INDEX(DATA_MASTER!$L$2:$L$5000,MATCH($C3895,DATA_MASTER!$D$2:$D$5000,0)),""))</f>
        <v/>
      </c>
      <c r="G3895" s="24" t="n"/>
      <c r="H3895" s="24" t="n"/>
      <c r="I3895" s="30" t="n"/>
      <c r="J3895" s="23">
        <f>IF(OR($H3895="",$I3895=""),"",$H3895*$I3895)</f>
        <v/>
      </c>
      <c r="K3895" s="24" t="n"/>
      <c r="L3895" s="24" t="n"/>
      <c r="M3895" s="29" t="n"/>
      <c r="N3895" s="28" t="n"/>
      <c r="O3895" s="24" t="n"/>
      <c r="P3895" s="24" t="n"/>
      <c r="Q3895" s="24" t="n"/>
      <c r="R3895" s="24" t="n"/>
      <c r="S3895" s="22">
        <f>IF(AND($A3895="",$C3895=""),"",IF($A3895="","Thiếu mã đơn; ","")&amp;IF(COUNTIF($A$2:$A3895,$A3895)&gt;1,"Trùng mã đơn; ","")&amp;IF(ISNA(MATCH($C3895,DATA_MASTER!$D$2:$D$5000,0)),"SĐT chưa đăng ký hội viên; ","")&amp;IF(AND($L3895="Đã chuyển khoản",$M3895=""),"Thiếu ngày nhận CK; ",""))</f>
        <v/>
      </c>
      <c r="T3895" s="24" t="n"/>
    </row>
    <row r="3896" ht="14.25" customHeight="1" s="40">
      <c r="A3896" s="24" t="n"/>
      <c r="B3896" s="29" t="n"/>
      <c r="C3896" s="28" t="n"/>
      <c r="D3896" s="22">
        <f t="array" ref="D3896">IF($C3896="","",IFERROR(INDEX(DATA_MASTER!$C$2:$C$5000,MATCH($C3896,DATA_MASTER!$D$2:$D$5000,0)),""))</f>
        <v/>
      </c>
      <c r="E3896" s="22">
        <f t="array" ref="E3896">IF($C3896="","",IFERROR(INDEX(DATA_MASTER!$I$2:$I$5000,MATCH($C3896,DATA_MASTER!$D$2:$D$5000,0)),""))</f>
        <v/>
      </c>
      <c r="F3896" s="22">
        <f t="array" ref="F3896">IF($C3896="","",IFERROR(INDEX(DATA_MASTER!$L$2:$L$5000,MATCH($C3896,DATA_MASTER!$D$2:$D$5000,0)),""))</f>
        <v/>
      </c>
      <c r="G3896" s="24" t="n"/>
      <c r="H3896" s="24" t="n"/>
      <c r="I3896" s="30" t="n"/>
      <c r="J3896" s="23">
        <f>IF(OR($H3896="",$I3896=""),"",$H3896*$I3896)</f>
        <v/>
      </c>
      <c r="K3896" s="24" t="n"/>
      <c r="L3896" s="24" t="n"/>
      <c r="M3896" s="29" t="n"/>
      <c r="N3896" s="28" t="n"/>
      <c r="O3896" s="24" t="n"/>
      <c r="P3896" s="24" t="n"/>
      <c r="Q3896" s="24" t="n"/>
      <c r="R3896" s="24" t="n"/>
      <c r="S3896" s="22">
        <f>IF(AND($A3896="",$C3896=""),"",IF($A3896="","Thiếu mã đơn; ","")&amp;IF(COUNTIF($A$2:$A3896,$A3896)&gt;1,"Trùng mã đơn; ","")&amp;IF(ISNA(MATCH($C3896,DATA_MASTER!$D$2:$D$5000,0)),"SĐT chưa đăng ký hội viên; ","")&amp;IF(AND($L3896="Đã chuyển khoản",$M3896=""),"Thiếu ngày nhận CK; ",""))</f>
        <v/>
      </c>
      <c r="T3896" s="24" t="n"/>
    </row>
    <row r="3897" ht="14.25" customHeight="1" s="40">
      <c r="A3897" s="24" t="n"/>
      <c r="B3897" s="29" t="n"/>
      <c r="C3897" s="28" t="n"/>
      <c r="D3897" s="22">
        <f t="array" ref="D3897">IF($C3897="","",IFERROR(INDEX(DATA_MASTER!$C$2:$C$5000,MATCH($C3897,DATA_MASTER!$D$2:$D$5000,0)),""))</f>
        <v/>
      </c>
      <c r="E3897" s="22">
        <f t="array" ref="E3897">IF($C3897="","",IFERROR(INDEX(DATA_MASTER!$I$2:$I$5000,MATCH($C3897,DATA_MASTER!$D$2:$D$5000,0)),""))</f>
        <v/>
      </c>
      <c r="F3897" s="22">
        <f t="array" ref="F3897">IF($C3897="","",IFERROR(INDEX(DATA_MASTER!$L$2:$L$5000,MATCH($C3897,DATA_MASTER!$D$2:$D$5000,0)),""))</f>
        <v/>
      </c>
      <c r="G3897" s="24" t="n"/>
      <c r="H3897" s="24" t="n"/>
      <c r="I3897" s="30" t="n"/>
      <c r="J3897" s="23">
        <f>IF(OR($H3897="",$I3897=""),"",$H3897*$I3897)</f>
        <v/>
      </c>
      <c r="K3897" s="24" t="n"/>
      <c r="L3897" s="24" t="n"/>
      <c r="M3897" s="29" t="n"/>
      <c r="N3897" s="28" t="n"/>
      <c r="O3897" s="24" t="n"/>
      <c r="P3897" s="24" t="n"/>
      <c r="Q3897" s="24" t="n"/>
      <c r="R3897" s="24" t="n"/>
      <c r="S3897" s="22">
        <f>IF(AND($A3897="",$C3897=""),"",IF($A3897="","Thiếu mã đơn; ","")&amp;IF(COUNTIF($A$2:$A3897,$A3897)&gt;1,"Trùng mã đơn; ","")&amp;IF(ISNA(MATCH($C3897,DATA_MASTER!$D$2:$D$5000,0)),"SĐT chưa đăng ký hội viên; ","")&amp;IF(AND($L3897="Đã chuyển khoản",$M3897=""),"Thiếu ngày nhận CK; ",""))</f>
        <v/>
      </c>
      <c r="T3897" s="24" t="n"/>
    </row>
    <row r="3898" ht="14.25" customHeight="1" s="40">
      <c r="A3898" s="24" t="n"/>
      <c r="B3898" s="29" t="n"/>
      <c r="C3898" s="28" t="n"/>
      <c r="D3898" s="22">
        <f t="array" ref="D3898">IF($C3898="","",IFERROR(INDEX(DATA_MASTER!$C$2:$C$5000,MATCH($C3898,DATA_MASTER!$D$2:$D$5000,0)),""))</f>
        <v/>
      </c>
      <c r="E3898" s="22">
        <f t="array" ref="E3898">IF($C3898="","",IFERROR(INDEX(DATA_MASTER!$I$2:$I$5000,MATCH($C3898,DATA_MASTER!$D$2:$D$5000,0)),""))</f>
        <v/>
      </c>
      <c r="F3898" s="22">
        <f t="array" ref="F3898">IF($C3898="","",IFERROR(INDEX(DATA_MASTER!$L$2:$L$5000,MATCH($C3898,DATA_MASTER!$D$2:$D$5000,0)),""))</f>
        <v/>
      </c>
      <c r="G3898" s="24" t="n"/>
      <c r="H3898" s="24" t="n"/>
      <c r="I3898" s="30" t="n"/>
      <c r="J3898" s="23">
        <f>IF(OR($H3898="",$I3898=""),"",$H3898*$I3898)</f>
        <v/>
      </c>
      <c r="K3898" s="24" t="n"/>
      <c r="L3898" s="24" t="n"/>
      <c r="M3898" s="29" t="n"/>
      <c r="N3898" s="28" t="n"/>
      <c r="O3898" s="24" t="n"/>
      <c r="P3898" s="24" t="n"/>
      <c r="Q3898" s="24" t="n"/>
      <c r="R3898" s="24" t="n"/>
      <c r="S3898" s="22">
        <f>IF(AND($A3898="",$C3898=""),"",IF($A3898="","Thiếu mã đơn; ","")&amp;IF(COUNTIF($A$2:$A3898,$A3898)&gt;1,"Trùng mã đơn; ","")&amp;IF(ISNA(MATCH($C3898,DATA_MASTER!$D$2:$D$5000,0)),"SĐT chưa đăng ký hội viên; ","")&amp;IF(AND($L3898="Đã chuyển khoản",$M3898=""),"Thiếu ngày nhận CK; ",""))</f>
        <v/>
      </c>
      <c r="T3898" s="24" t="n"/>
    </row>
    <row r="3899" ht="14.25" customHeight="1" s="40">
      <c r="A3899" s="24" t="n"/>
      <c r="B3899" s="29" t="n"/>
      <c r="C3899" s="28" t="n"/>
      <c r="D3899" s="22">
        <f t="array" ref="D3899">IF($C3899="","",IFERROR(INDEX(DATA_MASTER!$C$2:$C$5000,MATCH($C3899,DATA_MASTER!$D$2:$D$5000,0)),""))</f>
        <v/>
      </c>
      <c r="E3899" s="22">
        <f t="array" ref="E3899">IF($C3899="","",IFERROR(INDEX(DATA_MASTER!$I$2:$I$5000,MATCH($C3899,DATA_MASTER!$D$2:$D$5000,0)),""))</f>
        <v/>
      </c>
      <c r="F3899" s="22">
        <f t="array" ref="F3899">IF($C3899="","",IFERROR(INDEX(DATA_MASTER!$L$2:$L$5000,MATCH($C3899,DATA_MASTER!$D$2:$D$5000,0)),""))</f>
        <v/>
      </c>
      <c r="G3899" s="24" t="n"/>
      <c r="H3899" s="24" t="n"/>
      <c r="I3899" s="30" t="n"/>
      <c r="J3899" s="23">
        <f>IF(OR($H3899="",$I3899=""),"",$H3899*$I3899)</f>
        <v/>
      </c>
      <c r="K3899" s="24" t="n"/>
      <c r="L3899" s="24" t="n"/>
      <c r="M3899" s="29" t="n"/>
      <c r="N3899" s="28" t="n"/>
      <c r="O3899" s="24" t="n"/>
      <c r="P3899" s="24" t="n"/>
      <c r="Q3899" s="24" t="n"/>
      <c r="R3899" s="24" t="n"/>
      <c r="S3899" s="22">
        <f>IF(AND($A3899="",$C3899=""),"",IF($A3899="","Thiếu mã đơn; ","")&amp;IF(COUNTIF($A$2:$A3899,$A3899)&gt;1,"Trùng mã đơn; ","")&amp;IF(ISNA(MATCH($C3899,DATA_MASTER!$D$2:$D$5000,0)),"SĐT chưa đăng ký hội viên; ","")&amp;IF(AND($L3899="Đã chuyển khoản",$M3899=""),"Thiếu ngày nhận CK; ",""))</f>
        <v/>
      </c>
      <c r="T3899" s="24" t="n"/>
    </row>
    <row r="3900" ht="14.25" customHeight="1" s="40">
      <c r="A3900" s="24" t="n"/>
      <c r="B3900" s="29" t="n"/>
      <c r="C3900" s="28" t="n"/>
      <c r="D3900" s="22">
        <f t="array" ref="D3900">IF($C3900="","",IFERROR(INDEX(DATA_MASTER!$C$2:$C$5000,MATCH($C3900,DATA_MASTER!$D$2:$D$5000,0)),""))</f>
        <v/>
      </c>
      <c r="E3900" s="22">
        <f t="array" ref="E3900">IF($C3900="","",IFERROR(INDEX(DATA_MASTER!$I$2:$I$5000,MATCH($C3900,DATA_MASTER!$D$2:$D$5000,0)),""))</f>
        <v/>
      </c>
      <c r="F3900" s="22">
        <f t="array" ref="F3900">IF($C3900="","",IFERROR(INDEX(DATA_MASTER!$L$2:$L$5000,MATCH($C3900,DATA_MASTER!$D$2:$D$5000,0)),""))</f>
        <v/>
      </c>
      <c r="G3900" s="24" t="n"/>
      <c r="H3900" s="24" t="n"/>
      <c r="I3900" s="30" t="n"/>
      <c r="J3900" s="23">
        <f>IF(OR($H3900="",$I3900=""),"",$H3900*$I3900)</f>
        <v/>
      </c>
      <c r="K3900" s="24" t="n"/>
      <c r="L3900" s="24" t="n"/>
      <c r="M3900" s="29" t="n"/>
      <c r="N3900" s="28" t="n"/>
      <c r="O3900" s="24" t="n"/>
      <c r="P3900" s="24" t="n"/>
      <c r="Q3900" s="24" t="n"/>
      <c r="R3900" s="24" t="n"/>
      <c r="S3900" s="22">
        <f>IF(AND($A3900="",$C3900=""),"",IF($A3900="","Thiếu mã đơn; ","")&amp;IF(COUNTIF($A$2:$A3900,$A3900)&gt;1,"Trùng mã đơn; ","")&amp;IF(ISNA(MATCH($C3900,DATA_MASTER!$D$2:$D$5000,0)),"SĐT chưa đăng ký hội viên; ","")&amp;IF(AND($L3900="Đã chuyển khoản",$M3900=""),"Thiếu ngày nhận CK; ",""))</f>
        <v/>
      </c>
      <c r="T3900" s="24" t="n"/>
    </row>
    <row r="3901" ht="14.25" customHeight="1" s="40">
      <c r="A3901" s="24" t="n"/>
      <c r="B3901" s="29" t="n"/>
      <c r="C3901" s="28" t="n"/>
      <c r="D3901" s="22">
        <f t="array" ref="D3901">IF($C3901="","",IFERROR(INDEX(DATA_MASTER!$C$2:$C$5000,MATCH($C3901,DATA_MASTER!$D$2:$D$5000,0)),""))</f>
        <v/>
      </c>
      <c r="E3901" s="22">
        <f t="array" ref="E3901">IF($C3901="","",IFERROR(INDEX(DATA_MASTER!$I$2:$I$5000,MATCH($C3901,DATA_MASTER!$D$2:$D$5000,0)),""))</f>
        <v/>
      </c>
      <c r="F3901" s="22">
        <f t="array" ref="F3901">IF($C3901="","",IFERROR(INDEX(DATA_MASTER!$L$2:$L$5000,MATCH($C3901,DATA_MASTER!$D$2:$D$5000,0)),""))</f>
        <v/>
      </c>
      <c r="G3901" s="24" t="n"/>
      <c r="H3901" s="24" t="n"/>
      <c r="I3901" s="30" t="n"/>
      <c r="J3901" s="23">
        <f>IF(OR($H3901="",$I3901=""),"",$H3901*$I3901)</f>
        <v/>
      </c>
      <c r="K3901" s="24" t="n"/>
      <c r="L3901" s="24" t="n"/>
      <c r="M3901" s="29" t="n"/>
      <c r="N3901" s="28" t="n"/>
      <c r="O3901" s="24" t="n"/>
      <c r="P3901" s="24" t="n"/>
      <c r="Q3901" s="24" t="n"/>
      <c r="R3901" s="24" t="n"/>
      <c r="S3901" s="22">
        <f>IF(AND($A3901="",$C3901=""),"",IF($A3901="","Thiếu mã đơn; ","")&amp;IF(COUNTIF($A$2:$A3901,$A3901)&gt;1,"Trùng mã đơn; ","")&amp;IF(ISNA(MATCH($C3901,DATA_MASTER!$D$2:$D$5000,0)),"SĐT chưa đăng ký hội viên; ","")&amp;IF(AND($L3901="Đã chuyển khoản",$M3901=""),"Thiếu ngày nhận CK; ",""))</f>
        <v/>
      </c>
      <c r="T3901" s="24" t="n"/>
    </row>
    <row r="3902" ht="14.25" customHeight="1" s="40">
      <c r="A3902" s="24" t="n"/>
      <c r="B3902" s="29" t="n"/>
      <c r="C3902" s="28" t="n"/>
      <c r="D3902" s="22">
        <f t="array" ref="D3902">IF($C3902="","",IFERROR(INDEX(DATA_MASTER!$C$2:$C$5000,MATCH($C3902,DATA_MASTER!$D$2:$D$5000,0)),""))</f>
        <v/>
      </c>
      <c r="E3902" s="22">
        <f t="array" ref="E3902">IF($C3902="","",IFERROR(INDEX(DATA_MASTER!$I$2:$I$5000,MATCH($C3902,DATA_MASTER!$D$2:$D$5000,0)),""))</f>
        <v/>
      </c>
      <c r="F3902" s="22">
        <f t="array" ref="F3902">IF($C3902="","",IFERROR(INDEX(DATA_MASTER!$L$2:$L$5000,MATCH($C3902,DATA_MASTER!$D$2:$D$5000,0)),""))</f>
        <v/>
      </c>
      <c r="G3902" s="24" t="n"/>
      <c r="H3902" s="24" t="n"/>
      <c r="I3902" s="30" t="n"/>
      <c r="J3902" s="23">
        <f>IF(OR($H3902="",$I3902=""),"",$H3902*$I3902)</f>
        <v/>
      </c>
      <c r="K3902" s="24" t="n"/>
      <c r="L3902" s="24" t="n"/>
      <c r="M3902" s="29" t="n"/>
      <c r="N3902" s="28" t="n"/>
      <c r="O3902" s="24" t="n"/>
      <c r="P3902" s="24" t="n"/>
      <c r="Q3902" s="24" t="n"/>
      <c r="R3902" s="24" t="n"/>
      <c r="S3902" s="22">
        <f>IF(AND($A3902="",$C3902=""),"",IF($A3902="","Thiếu mã đơn; ","")&amp;IF(COUNTIF($A$2:$A3902,$A3902)&gt;1,"Trùng mã đơn; ","")&amp;IF(ISNA(MATCH($C3902,DATA_MASTER!$D$2:$D$5000,0)),"SĐT chưa đăng ký hội viên; ","")&amp;IF(AND($L3902="Đã chuyển khoản",$M3902=""),"Thiếu ngày nhận CK; ",""))</f>
        <v/>
      </c>
      <c r="T3902" s="24" t="n"/>
    </row>
    <row r="3903" ht="14.25" customHeight="1" s="40">
      <c r="A3903" s="24" t="n"/>
      <c r="B3903" s="29" t="n"/>
      <c r="C3903" s="28" t="n"/>
      <c r="D3903" s="22">
        <f t="array" ref="D3903">IF($C3903="","",IFERROR(INDEX(DATA_MASTER!$C$2:$C$5000,MATCH($C3903,DATA_MASTER!$D$2:$D$5000,0)),""))</f>
        <v/>
      </c>
      <c r="E3903" s="22">
        <f t="array" ref="E3903">IF($C3903="","",IFERROR(INDEX(DATA_MASTER!$I$2:$I$5000,MATCH($C3903,DATA_MASTER!$D$2:$D$5000,0)),""))</f>
        <v/>
      </c>
      <c r="F3903" s="22">
        <f t="array" ref="F3903">IF($C3903="","",IFERROR(INDEX(DATA_MASTER!$L$2:$L$5000,MATCH($C3903,DATA_MASTER!$D$2:$D$5000,0)),""))</f>
        <v/>
      </c>
      <c r="G3903" s="24" t="n"/>
      <c r="H3903" s="24" t="n"/>
      <c r="I3903" s="30" t="n"/>
      <c r="J3903" s="23">
        <f>IF(OR($H3903="",$I3903=""),"",$H3903*$I3903)</f>
        <v/>
      </c>
      <c r="K3903" s="24" t="n"/>
      <c r="L3903" s="24" t="n"/>
      <c r="M3903" s="29" t="n"/>
      <c r="N3903" s="28" t="n"/>
      <c r="O3903" s="24" t="n"/>
      <c r="P3903" s="24" t="n"/>
      <c r="Q3903" s="24" t="n"/>
      <c r="R3903" s="24" t="n"/>
      <c r="S3903" s="22">
        <f>IF(AND($A3903="",$C3903=""),"",IF($A3903="","Thiếu mã đơn; ","")&amp;IF(COUNTIF($A$2:$A3903,$A3903)&gt;1,"Trùng mã đơn; ","")&amp;IF(ISNA(MATCH($C3903,DATA_MASTER!$D$2:$D$5000,0)),"SĐT chưa đăng ký hội viên; ","")&amp;IF(AND($L3903="Đã chuyển khoản",$M3903=""),"Thiếu ngày nhận CK; ",""))</f>
        <v/>
      </c>
      <c r="T3903" s="24" t="n"/>
    </row>
    <row r="3904" ht="14.25" customHeight="1" s="40">
      <c r="A3904" s="24" t="n"/>
      <c r="B3904" s="29" t="n"/>
      <c r="C3904" s="28" t="n"/>
      <c r="D3904" s="22">
        <f t="array" ref="D3904">IF($C3904="","",IFERROR(INDEX(DATA_MASTER!$C$2:$C$5000,MATCH($C3904,DATA_MASTER!$D$2:$D$5000,0)),""))</f>
        <v/>
      </c>
      <c r="E3904" s="22">
        <f t="array" ref="E3904">IF($C3904="","",IFERROR(INDEX(DATA_MASTER!$I$2:$I$5000,MATCH($C3904,DATA_MASTER!$D$2:$D$5000,0)),""))</f>
        <v/>
      </c>
      <c r="F3904" s="22">
        <f t="array" ref="F3904">IF($C3904="","",IFERROR(INDEX(DATA_MASTER!$L$2:$L$5000,MATCH($C3904,DATA_MASTER!$D$2:$D$5000,0)),""))</f>
        <v/>
      </c>
      <c r="G3904" s="24" t="n"/>
      <c r="H3904" s="24" t="n"/>
      <c r="I3904" s="30" t="n"/>
      <c r="J3904" s="23">
        <f>IF(OR($H3904="",$I3904=""),"",$H3904*$I3904)</f>
        <v/>
      </c>
      <c r="K3904" s="24" t="n"/>
      <c r="L3904" s="24" t="n"/>
      <c r="M3904" s="29" t="n"/>
      <c r="N3904" s="28" t="n"/>
      <c r="O3904" s="24" t="n"/>
      <c r="P3904" s="24" t="n"/>
      <c r="Q3904" s="24" t="n"/>
      <c r="R3904" s="24" t="n"/>
      <c r="S3904" s="22">
        <f>IF(AND($A3904="",$C3904=""),"",IF($A3904="","Thiếu mã đơn; ","")&amp;IF(COUNTIF($A$2:$A3904,$A3904)&gt;1,"Trùng mã đơn; ","")&amp;IF(ISNA(MATCH($C3904,DATA_MASTER!$D$2:$D$5000,0)),"SĐT chưa đăng ký hội viên; ","")&amp;IF(AND($L3904="Đã chuyển khoản",$M3904=""),"Thiếu ngày nhận CK; ",""))</f>
        <v/>
      </c>
      <c r="T3904" s="24" t="n"/>
    </row>
    <row r="3905" ht="14.25" customHeight="1" s="40">
      <c r="A3905" s="24" t="n"/>
      <c r="B3905" s="29" t="n"/>
      <c r="C3905" s="28" t="n"/>
      <c r="D3905" s="22">
        <f t="array" ref="D3905">IF($C3905="","",IFERROR(INDEX(DATA_MASTER!$C$2:$C$5000,MATCH($C3905,DATA_MASTER!$D$2:$D$5000,0)),""))</f>
        <v/>
      </c>
      <c r="E3905" s="22">
        <f t="array" ref="E3905">IF($C3905="","",IFERROR(INDEX(DATA_MASTER!$I$2:$I$5000,MATCH($C3905,DATA_MASTER!$D$2:$D$5000,0)),""))</f>
        <v/>
      </c>
      <c r="F3905" s="22">
        <f t="array" ref="F3905">IF($C3905="","",IFERROR(INDEX(DATA_MASTER!$L$2:$L$5000,MATCH($C3905,DATA_MASTER!$D$2:$D$5000,0)),""))</f>
        <v/>
      </c>
      <c r="G3905" s="24" t="n"/>
      <c r="H3905" s="24" t="n"/>
      <c r="I3905" s="30" t="n"/>
      <c r="J3905" s="23">
        <f>IF(OR($H3905="",$I3905=""),"",$H3905*$I3905)</f>
        <v/>
      </c>
      <c r="K3905" s="24" t="n"/>
      <c r="L3905" s="24" t="n"/>
      <c r="M3905" s="29" t="n"/>
      <c r="N3905" s="28" t="n"/>
      <c r="O3905" s="24" t="n"/>
      <c r="P3905" s="24" t="n"/>
      <c r="Q3905" s="24" t="n"/>
      <c r="R3905" s="24" t="n"/>
      <c r="S3905" s="22">
        <f>IF(AND($A3905="",$C3905=""),"",IF($A3905="","Thiếu mã đơn; ","")&amp;IF(COUNTIF($A$2:$A3905,$A3905)&gt;1,"Trùng mã đơn; ","")&amp;IF(ISNA(MATCH($C3905,DATA_MASTER!$D$2:$D$5000,0)),"SĐT chưa đăng ký hội viên; ","")&amp;IF(AND($L3905="Đã chuyển khoản",$M3905=""),"Thiếu ngày nhận CK; ",""))</f>
        <v/>
      </c>
      <c r="T3905" s="24" t="n"/>
    </row>
    <row r="3906" ht="14.25" customHeight="1" s="40">
      <c r="A3906" s="24" t="n"/>
      <c r="B3906" s="29" t="n"/>
      <c r="C3906" s="28" t="n"/>
      <c r="D3906" s="22">
        <f t="array" ref="D3906">IF($C3906="","",IFERROR(INDEX(DATA_MASTER!$C$2:$C$5000,MATCH($C3906,DATA_MASTER!$D$2:$D$5000,0)),""))</f>
        <v/>
      </c>
      <c r="E3906" s="22">
        <f t="array" ref="E3906">IF($C3906="","",IFERROR(INDEX(DATA_MASTER!$I$2:$I$5000,MATCH($C3906,DATA_MASTER!$D$2:$D$5000,0)),""))</f>
        <v/>
      </c>
      <c r="F3906" s="22">
        <f t="array" ref="F3906">IF($C3906="","",IFERROR(INDEX(DATA_MASTER!$L$2:$L$5000,MATCH($C3906,DATA_MASTER!$D$2:$D$5000,0)),""))</f>
        <v/>
      </c>
      <c r="G3906" s="24" t="n"/>
      <c r="H3906" s="24" t="n"/>
      <c r="I3906" s="30" t="n"/>
      <c r="J3906" s="23">
        <f>IF(OR($H3906="",$I3906=""),"",$H3906*$I3906)</f>
        <v/>
      </c>
      <c r="K3906" s="24" t="n"/>
      <c r="L3906" s="24" t="n"/>
      <c r="M3906" s="29" t="n"/>
      <c r="N3906" s="28" t="n"/>
      <c r="O3906" s="24" t="n"/>
      <c r="P3906" s="24" t="n"/>
      <c r="Q3906" s="24" t="n"/>
      <c r="R3906" s="24" t="n"/>
      <c r="S3906" s="22">
        <f>IF(AND($A3906="",$C3906=""),"",IF($A3906="","Thiếu mã đơn; ","")&amp;IF(COUNTIF($A$2:$A3906,$A3906)&gt;1,"Trùng mã đơn; ","")&amp;IF(ISNA(MATCH($C3906,DATA_MASTER!$D$2:$D$5000,0)),"SĐT chưa đăng ký hội viên; ","")&amp;IF(AND($L3906="Đã chuyển khoản",$M3906=""),"Thiếu ngày nhận CK; ",""))</f>
        <v/>
      </c>
      <c r="T3906" s="24" t="n"/>
    </row>
    <row r="3907" ht="14.25" customHeight="1" s="40">
      <c r="A3907" s="24" t="n"/>
      <c r="B3907" s="29" t="n"/>
      <c r="C3907" s="28" t="n"/>
      <c r="D3907" s="22">
        <f t="array" ref="D3907">IF($C3907="","",IFERROR(INDEX(DATA_MASTER!$C$2:$C$5000,MATCH($C3907,DATA_MASTER!$D$2:$D$5000,0)),""))</f>
        <v/>
      </c>
      <c r="E3907" s="22">
        <f t="array" ref="E3907">IF($C3907="","",IFERROR(INDEX(DATA_MASTER!$I$2:$I$5000,MATCH($C3907,DATA_MASTER!$D$2:$D$5000,0)),""))</f>
        <v/>
      </c>
      <c r="F3907" s="22">
        <f t="array" ref="F3907">IF($C3907="","",IFERROR(INDEX(DATA_MASTER!$L$2:$L$5000,MATCH($C3907,DATA_MASTER!$D$2:$D$5000,0)),""))</f>
        <v/>
      </c>
      <c r="G3907" s="24" t="n"/>
      <c r="H3907" s="24" t="n"/>
      <c r="I3907" s="30" t="n"/>
      <c r="J3907" s="23">
        <f>IF(OR($H3907="",$I3907=""),"",$H3907*$I3907)</f>
        <v/>
      </c>
      <c r="K3907" s="24" t="n"/>
      <c r="L3907" s="24" t="n"/>
      <c r="M3907" s="29" t="n"/>
      <c r="N3907" s="28" t="n"/>
      <c r="O3907" s="24" t="n"/>
      <c r="P3907" s="24" t="n"/>
      <c r="Q3907" s="24" t="n"/>
      <c r="R3907" s="24" t="n"/>
      <c r="S3907" s="22">
        <f>IF(AND($A3907="",$C3907=""),"",IF($A3907="","Thiếu mã đơn; ","")&amp;IF(COUNTIF($A$2:$A3907,$A3907)&gt;1,"Trùng mã đơn; ","")&amp;IF(ISNA(MATCH($C3907,DATA_MASTER!$D$2:$D$5000,0)),"SĐT chưa đăng ký hội viên; ","")&amp;IF(AND($L3907="Đã chuyển khoản",$M3907=""),"Thiếu ngày nhận CK; ",""))</f>
        <v/>
      </c>
      <c r="T3907" s="24" t="n"/>
    </row>
    <row r="3908" ht="14.25" customHeight="1" s="40">
      <c r="A3908" s="24" t="n"/>
      <c r="B3908" s="29" t="n"/>
      <c r="C3908" s="28" t="n"/>
      <c r="D3908" s="22">
        <f t="array" ref="D3908">IF($C3908="","",IFERROR(INDEX(DATA_MASTER!$C$2:$C$5000,MATCH($C3908,DATA_MASTER!$D$2:$D$5000,0)),""))</f>
        <v/>
      </c>
      <c r="E3908" s="22">
        <f t="array" ref="E3908">IF($C3908="","",IFERROR(INDEX(DATA_MASTER!$I$2:$I$5000,MATCH($C3908,DATA_MASTER!$D$2:$D$5000,0)),""))</f>
        <v/>
      </c>
      <c r="F3908" s="22">
        <f t="array" ref="F3908">IF($C3908="","",IFERROR(INDEX(DATA_MASTER!$L$2:$L$5000,MATCH($C3908,DATA_MASTER!$D$2:$D$5000,0)),""))</f>
        <v/>
      </c>
      <c r="G3908" s="24" t="n"/>
      <c r="H3908" s="24" t="n"/>
      <c r="I3908" s="30" t="n"/>
      <c r="J3908" s="23">
        <f>IF(OR($H3908="",$I3908=""),"",$H3908*$I3908)</f>
        <v/>
      </c>
      <c r="K3908" s="24" t="n"/>
      <c r="L3908" s="24" t="n"/>
      <c r="M3908" s="29" t="n"/>
      <c r="N3908" s="28" t="n"/>
      <c r="O3908" s="24" t="n"/>
      <c r="P3908" s="24" t="n"/>
      <c r="Q3908" s="24" t="n"/>
      <c r="R3908" s="24" t="n"/>
      <c r="S3908" s="22">
        <f>IF(AND($A3908="",$C3908=""),"",IF($A3908="","Thiếu mã đơn; ","")&amp;IF(COUNTIF($A$2:$A3908,$A3908)&gt;1,"Trùng mã đơn; ","")&amp;IF(ISNA(MATCH($C3908,DATA_MASTER!$D$2:$D$5000,0)),"SĐT chưa đăng ký hội viên; ","")&amp;IF(AND($L3908="Đã chuyển khoản",$M3908=""),"Thiếu ngày nhận CK; ",""))</f>
        <v/>
      </c>
      <c r="T3908" s="24" t="n"/>
    </row>
    <row r="3909" ht="14.25" customHeight="1" s="40">
      <c r="A3909" s="24" t="n"/>
      <c r="B3909" s="29" t="n"/>
      <c r="C3909" s="28" t="n"/>
      <c r="D3909" s="22">
        <f t="array" ref="D3909">IF($C3909="","",IFERROR(INDEX(DATA_MASTER!$C$2:$C$5000,MATCH($C3909,DATA_MASTER!$D$2:$D$5000,0)),""))</f>
        <v/>
      </c>
      <c r="E3909" s="22">
        <f t="array" ref="E3909">IF($C3909="","",IFERROR(INDEX(DATA_MASTER!$I$2:$I$5000,MATCH($C3909,DATA_MASTER!$D$2:$D$5000,0)),""))</f>
        <v/>
      </c>
      <c r="F3909" s="22">
        <f t="array" ref="F3909">IF($C3909="","",IFERROR(INDEX(DATA_MASTER!$L$2:$L$5000,MATCH($C3909,DATA_MASTER!$D$2:$D$5000,0)),""))</f>
        <v/>
      </c>
      <c r="G3909" s="24" t="n"/>
      <c r="H3909" s="24" t="n"/>
      <c r="I3909" s="30" t="n"/>
      <c r="J3909" s="23">
        <f>IF(OR($H3909="",$I3909=""),"",$H3909*$I3909)</f>
        <v/>
      </c>
      <c r="K3909" s="24" t="n"/>
      <c r="L3909" s="24" t="n"/>
      <c r="M3909" s="29" t="n"/>
      <c r="N3909" s="28" t="n"/>
      <c r="O3909" s="24" t="n"/>
      <c r="P3909" s="24" t="n"/>
      <c r="Q3909" s="24" t="n"/>
      <c r="R3909" s="24" t="n"/>
      <c r="S3909" s="22">
        <f>IF(AND($A3909="",$C3909=""),"",IF($A3909="","Thiếu mã đơn; ","")&amp;IF(COUNTIF($A$2:$A3909,$A3909)&gt;1,"Trùng mã đơn; ","")&amp;IF(ISNA(MATCH($C3909,DATA_MASTER!$D$2:$D$5000,0)),"SĐT chưa đăng ký hội viên; ","")&amp;IF(AND($L3909="Đã chuyển khoản",$M3909=""),"Thiếu ngày nhận CK; ",""))</f>
        <v/>
      </c>
      <c r="T3909" s="24" t="n"/>
    </row>
    <row r="3910" ht="14.25" customHeight="1" s="40">
      <c r="A3910" s="24" t="n"/>
      <c r="B3910" s="29" t="n"/>
      <c r="C3910" s="28" t="n"/>
      <c r="D3910" s="22">
        <f t="array" ref="D3910">IF($C3910="","",IFERROR(INDEX(DATA_MASTER!$C$2:$C$5000,MATCH($C3910,DATA_MASTER!$D$2:$D$5000,0)),""))</f>
        <v/>
      </c>
      <c r="E3910" s="22">
        <f t="array" ref="E3910">IF($C3910="","",IFERROR(INDEX(DATA_MASTER!$I$2:$I$5000,MATCH($C3910,DATA_MASTER!$D$2:$D$5000,0)),""))</f>
        <v/>
      </c>
      <c r="F3910" s="22">
        <f t="array" ref="F3910">IF($C3910="","",IFERROR(INDEX(DATA_MASTER!$L$2:$L$5000,MATCH($C3910,DATA_MASTER!$D$2:$D$5000,0)),""))</f>
        <v/>
      </c>
      <c r="G3910" s="24" t="n"/>
      <c r="H3910" s="24" t="n"/>
      <c r="I3910" s="30" t="n"/>
      <c r="J3910" s="23">
        <f>IF(OR($H3910="",$I3910=""),"",$H3910*$I3910)</f>
        <v/>
      </c>
      <c r="K3910" s="24" t="n"/>
      <c r="L3910" s="24" t="n"/>
      <c r="M3910" s="29" t="n"/>
      <c r="N3910" s="28" t="n"/>
      <c r="O3910" s="24" t="n"/>
      <c r="P3910" s="24" t="n"/>
      <c r="Q3910" s="24" t="n"/>
      <c r="R3910" s="24" t="n"/>
      <c r="S3910" s="22">
        <f>IF(AND($A3910="",$C3910=""),"",IF($A3910="","Thiếu mã đơn; ","")&amp;IF(COUNTIF($A$2:$A3910,$A3910)&gt;1,"Trùng mã đơn; ","")&amp;IF(ISNA(MATCH($C3910,DATA_MASTER!$D$2:$D$5000,0)),"SĐT chưa đăng ký hội viên; ","")&amp;IF(AND($L3910="Đã chuyển khoản",$M3910=""),"Thiếu ngày nhận CK; ",""))</f>
        <v/>
      </c>
      <c r="T3910" s="24" t="n"/>
    </row>
    <row r="3911" ht="14.25" customHeight="1" s="40">
      <c r="A3911" s="24" t="n"/>
      <c r="B3911" s="29" t="n"/>
      <c r="C3911" s="28" t="n"/>
      <c r="D3911" s="22">
        <f t="array" ref="D3911">IF($C3911="","",IFERROR(INDEX(DATA_MASTER!$C$2:$C$5000,MATCH($C3911,DATA_MASTER!$D$2:$D$5000,0)),""))</f>
        <v/>
      </c>
      <c r="E3911" s="22">
        <f t="array" ref="E3911">IF($C3911="","",IFERROR(INDEX(DATA_MASTER!$I$2:$I$5000,MATCH($C3911,DATA_MASTER!$D$2:$D$5000,0)),""))</f>
        <v/>
      </c>
      <c r="F3911" s="22">
        <f t="array" ref="F3911">IF($C3911="","",IFERROR(INDEX(DATA_MASTER!$L$2:$L$5000,MATCH($C3911,DATA_MASTER!$D$2:$D$5000,0)),""))</f>
        <v/>
      </c>
      <c r="G3911" s="24" t="n"/>
      <c r="H3911" s="24" t="n"/>
      <c r="I3911" s="30" t="n"/>
      <c r="J3911" s="23">
        <f>IF(OR($H3911="",$I3911=""),"",$H3911*$I3911)</f>
        <v/>
      </c>
      <c r="K3911" s="24" t="n"/>
      <c r="L3911" s="24" t="n"/>
      <c r="M3911" s="29" t="n"/>
      <c r="N3911" s="28" t="n"/>
      <c r="O3911" s="24" t="n"/>
      <c r="P3911" s="24" t="n"/>
      <c r="Q3911" s="24" t="n"/>
      <c r="R3911" s="24" t="n"/>
      <c r="S3911" s="22">
        <f>IF(AND($A3911="",$C3911=""),"",IF($A3911="","Thiếu mã đơn; ","")&amp;IF(COUNTIF($A$2:$A3911,$A3911)&gt;1,"Trùng mã đơn; ","")&amp;IF(ISNA(MATCH($C3911,DATA_MASTER!$D$2:$D$5000,0)),"SĐT chưa đăng ký hội viên; ","")&amp;IF(AND($L3911="Đã chuyển khoản",$M3911=""),"Thiếu ngày nhận CK; ",""))</f>
        <v/>
      </c>
      <c r="T3911" s="24" t="n"/>
    </row>
    <row r="3912" ht="14.25" customHeight="1" s="40">
      <c r="A3912" s="24" t="n"/>
      <c r="B3912" s="29" t="n"/>
      <c r="C3912" s="28" t="n"/>
      <c r="D3912" s="22">
        <f t="array" ref="D3912">IF($C3912="","",IFERROR(INDEX(DATA_MASTER!$C$2:$C$5000,MATCH($C3912,DATA_MASTER!$D$2:$D$5000,0)),""))</f>
        <v/>
      </c>
      <c r="E3912" s="22">
        <f t="array" ref="E3912">IF($C3912="","",IFERROR(INDEX(DATA_MASTER!$I$2:$I$5000,MATCH($C3912,DATA_MASTER!$D$2:$D$5000,0)),""))</f>
        <v/>
      </c>
      <c r="F3912" s="22">
        <f t="array" ref="F3912">IF($C3912="","",IFERROR(INDEX(DATA_MASTER!$L$2:$L$5000,MATCH($C3912,DATA_MASTER!$D$2:$D$5000,0)),""))</f>
        <v/>
      </c>
      <c r="G3912" s="24" t="n"/>
      <c r="H3912" s="24" t="n"/>
      <c r="I3912" s="30" t="n"/>
      <c r="J3912" s="23">
        <f>IF(OR($H3912="",$I3912=""),"",$H3912*$I3912)</f>
        <v/>
      </c>
      <c r="K3912" s="24" t="n"/>
      <c r="L3912" s="24" t="n"/>
      <c r="M3912" s="29" t="n"/>
      <c r="N3912" s="28" t="n"/>
      <c r="O3912" s="24" t="n"/>
      <c r="P3912" s="24" t="n"/>
      <c r="Q3912" s="24" t="n"/>
      <c r="R3912" s="24" t="n"/>
      <c r="S3912" s="22">
        <f>IF(AND($A3912="",$C3912=""),"",IF($A3912="","Thiếu mã đơn; ","")&amp;IF(COUNTIF($A$2:$A3912,$A3912)&gt;1,"Trùng mã đơn; ","")&amp;IF(ISNA(MATCH($C3912,DATA_MASTER!$D$2:$D$5000,0)),"SĐT chưa đăng ký hội viên; ","")&amp;IF(AND($L3912="Đã chuyển khoản",$M3912=""),"Thiếu ngày nhận CK; ",""))</f>
        <v/>
      </c>
      <c r="T3912" s="24" t="n"/>
    </row>
    <row r="3913" ht="14.25" customHeight="1" s="40">
      <c r="A3913" s="24" t="n"/>
      <c r="B3913" s="29" t="n"/>
      <c r="C3913" s="28" t="n"/>
      <c r="D3913" s="22">
        <f t="array" ref="D3913">IF($C3913="","",IFERROR(INDEX(DATA_MASTER!$C$2:$C$5000,MATCH($C3913,DATA_MASTER!$D$2:$D$5000,0)),""))</f>
        <v/>
      </c>
      <c r="E3913" s="22">
        <f t="array" ref="E3913">IF($C3913="","",IFERROR(INDEX(DATA_MASTER!$I$2:$I$5000,MATCH($C3913,DATA_MASTER!$D$2:$D$5000,0)),""))</f>
        <v/>
      </c>
      <c r="F3913" s="22">
        <f t="array" ref="F3913">IF($C3913="","",IFERROR(INDEX(DATA_MASTER!$L$2:$L$5000,MATCH($C3913,DATA_MASTER!$D$2:$D$5000,0)),""))</f>
        <v/>
      </c>
      <c r="G3913" s="24" t="n"/>
      <c r="H3913" s="24" t="n"/>
      <c r="I3913" s="30" t="n"/>
      <c r="J3913" s="23">
        <f>IF(OR($H3913="",$I3913=""),"",$H3913*$I3913)</f>
        <v/>
      </c>
      <c r="K3913" s="24" t="n"/>
      <c r="L3913" s="24" t="n"/>
      <c r="M3913" s="29" t="n"/>
      <c r="N3913" s="28" t="n"/>
      <c r="O3913" s="24" t="n"/>
      <c r="P3913" s="24" t="n"/>
      <c r="Q3913" s="24" t="n"/>
      <c r="R3913" s="24" t="n"/>
      <c r="S3913" s="22">
        <f>IF(AND($A3913="",$C3913=""),"",IF($A3913="","Thiếu mã đơn; ","")&amp;IF(COUNTIF($A$2:$A3913,$A3913)&gt;1,"Trùng mã đơn; ","")&amp;IF(ISNA(MATCH($C3913,DATA_MASTER!$D$2:$D$5000,0)),"SĐT chưa đăng ký hội viên; ","")&amp;IF(AND($L3913="Đã chuyển khoản",$M3913=""),"Thiếu ngày nhận CK; ",""))</f>
        <v/>
      </c>
      <c r="T3913" s="24" t="n"/>
    </row>
    <row r="3914" ht="14.25" customHeight="1" s="40">
      <c r="A3914" s="24" t="n"/>
      <c r="B3914" s="29" t="n"/>
      <c r="C3914" s="28" t="n"/>
      <c r="D3914" s="22">
        <f t="array" ref="D3914">IF($C3914="","",IFERROR(INDEX(DATA_MASTER!$C$2:$C$5000,MATCH($C3914,DATA_MASTER!$D$2:$D$5000,0)),""))</f>
        <v/>
      </c>
      <c r="E3914" s="22">
        <f t="array" ref="E3914">IF($C3914="","",IFERROR(INDEX(DATA_MASTER!$I$2:$I$5000,MATCH($C3914,DATA_MASTER!$D$2:$D$5000,0)),""))</f>
        <v/>
      </c>
      <c r="F3914" s="22">
        <f t="array" ref="F3914">IF($C3914="","",IFERROR(INDEX(DATA_MASTER!$L$2:$L$5000,MATCH($C3914,DATA_MASTER!$D$2:$D$5000,0)),""))</f>
        <v/>
      </c>
      <c r="G3914" s="24" t="n"/>
      <c r="H3914" s="24" t="n"/>
      <c r="I3914" s="30" t="n"/>
      <c r="J3914" s="23">
        <f>IF(OR($H3914="",$I3914=""),"",$H3914*$I3914)</f>
        <v/>
      </c>
      <c r="K3914" s="24" t="n"/>
      <c r="L3914" s="24" t="n"/>
      <c r="M3914" s="29" t="n"/>
      <c r="N3914" s="28" t="n"/>
      <c r="O3914" s="24" t="n"/>
      <c r="P3914" s="24" t="n"/>
      <c r="Q3914" s="24" t="n"/>
      <c r="R3914" s="24" t="n"/>
      <c r="S3914" s="22">
        <f>IF(AND($A3914="",$C3914=""),"",IF($A3914="","Thiếu mã đơn; ","")&amp;IF(COUNTIF($A$2:$A3914,$A3914)&gt;1,"Trùng mã đơn; ","")&amp;IF(ISNA(MATCH($C3914,DATA_MASTER!$D$2:$D$5000,0)),"SĐT chưa đăng ký hội viên; ","")&amp;IF(AND($L3914="Đã chuyển khoản",$M3914=""),"Thiếu ngày nhận CK; ",""))</f>
        <v/>
      </c>
      <c r="T3914" s="24" t="n"/>
    </row>
    <row r="3915" ht="14.25" customHeight="1" s="40">
      <c r="A3915" s="24" t="n"/>
      <c r="B3915" s="29" t="n"/>
      <c r="C3915" s="28" t="n"/>
      <c r="D3915" s="22">
        <f t="array" ref="D3915">IF($C3915="","",IFERROR(INDEX(DATA_MASTER!$C$2:$C$5000,MATCH($C3915,DATA_MASTER!$D$2:$D$5000,0)),""))</f>
        <v/>
      </c>
      <c r="E3915" s="22">
        <f t="array" ref="E3915">IF($C3915="","",IFERROR(INDEX(DATA_MASTER!$I$2:$I$5000,MATCH($C3915,DATA_MASTER!$D$2:$D$5000,0)),""))</f>
        <v/>
      </c>
      <c r="F3915" s="22">
        <f t="array" ref="F3915">IF($C3915="","",IFERROR(INDEX(DATA_MASTER!$L$2:$L$5000,MATCH($C3915,DATA_MASTER!$D$2:$D$5000,0)),""))</f>
        <v/>
      </c>
      <c r="G3915" s="24" t="n"/>
      <c r="H3915" s="24" t="n"/>
      <c r="I3915" s="30" t="n"/>
      <c r="J3915" s="23">
        <f>IF(OR($H3915="",$I3915=""),"",$H3915*$I3915)</f>
        <v/>
      </c>
      <c r="K3915" s="24" t="n"/>
      <c r="L3915" s="24" t="n"/>
      <c r="M3915" s="29" t="n"/>
      <c r="N3915" s="28" t="n"/>
      <c r="O3915" s="24" t="n"/>
      <c r="P3915" s="24" t="n"/>
      <c r="Q3915" s="24" t="n"/>
      <c r="R3915" s="24" t="n"/>
      <c r="S3915" s="22">
        <f>IF(AND($A3915="",$C3915=""),"",IF($A3915="","Thiếu mã đơn; ","")&amp;IF(COUNTIF($A$2:$A3915,$A3915)&gt;1,"Trùng mã đơn; ","")&amp;IF(ISNA(MATCH($C3915,DATA_MASTER!$D$2:$D$5000,0)),"SĐT chưa đăng ký hội viên; ","")&amp;IF(AND($L3915="Đã chuyển khoản",$M3915=""),"Thiếu ngày nhận CK; ",""))</f>
        <v/>
      </c>
      <c r="T3915" s="24" t="n"/>
    </row>
    <row r="3916" ht="14.25" customHeight="1" s="40">
      <c r="A3916" s="24" t="n"/>
      <c r="B3916" s="29" t="n"/>
      <c r="C3916" s="28" t="n"/>
      <c r="D3916" s="22">
        <f t="array" ref="D3916">IF($C3916="","",IFERROR(INDEX(DATA_MASTER!$C$2:$C$5000,MATCH($C3916,DATA_MASTER!$D$2:$D$5000,0)),""))</f>
        <v/>
      </c>
      <c r="E3916" s="22">
        <f t="array" ref="E3916">IF($C3916="","",IFERROR(INDEX(DATA_MASTER!$I$2:$I$5000,MATCH($C3916,DATA_MASTER!$D$2:$D$5000,0)),""))</f>
        <v/>
      </c>
      <c r="F3916" s="22">
        <f t="array" ref="F3916">IF($C3916="","",IFERROR(INDEX(DATA_MASTER!$L$2:$L$5000,MATCH($C3916,DATA_MASTER!$D$2:$D$5000,0)),""))</f>
        <v/>
      </c>
      <c r="G3916" s="24" t="n"/>
      <c r="H3916" s="24" t="n"/>
      <c r="I3916" s="30" t="n"/>
      <c r="J3916" s="23">
        <f>IF(OR($H3916="",$I3916=""),"",$H3916*$I3916)</f>
        <v/>
      </c>
      <c r="K3916" s="24" t="n"/>
      <c r="L3916" s="24" t="n"/>
      <c r="M3916" s="29" t="n"/>
      <c r="N3916" s="28" t="n"/>
      <c r="O3916" s="24" t="n"/>
      <c r="P3916" s="24" t="n"/>
      <c r="Q3916" s="24" t="n"/>
      <c r="R3916" s="24" t="n"/>
      <c r="S3916" s="22">
        <f>IF(AND($A3916="",$C3916=""),"",IF($A3916="","Thiếu mã đơn; ","")&amp;IF(COUNTIF($A$2:$A3916,$A3916)&gt;1,"Trùng mã đơn; ","")&amp;IF(ISNA(MATCH($C3916,DATA_MASTER!$D$2:$D$5000,0)),"SĐT chưa đăng ký hội viên; ","")&amp;IF(AND($L3916="Đã chuyển khoản",$M3916=""),"Thiếu ngày nhận CK; ",""))</f>
        <v/>
      </c>
      <c r="T3916" s="24" t="n"/>
    </row>
    <row r="3917" ht="14.25" customHeight="1" s="40">
      <c r="A3917" s="24" t="n"/>
      <c r="B3917" s="29" t="n"/>
      <c r="C3917" s="28" t="n"/>
      <c r="D3917" s="22">
        <f t="array" ref="D3917">IF($C3917="","",IFERROR(INDEX(DATA_MASTER!$C$2:$C$5000,MATCH($C3917,DATA_MASTER!$D$2:$D$5000,0)),""))</f>
        <v/>
      </c>
      <c r="E3917" s="22">
        <f t="array" ref="E3917">IF($C3917="","",IFERROR(INDEX(DATA_MASTER!$I$2:$I$5000,MATCH($C3917,DATA_MASTER!$D$2:$D$5000,0)),""))</f>
        <v/>
      </c>
      <c r="F3917" s="22">
        <f t="array" ref="F3917">IF($C3917="","",IFERROR(INDEX(DATA_MASTER!$L$2:$L$5000,MATCH($C3917,DATA_MASTER!$D$2:$D$5000,0)),""))</f>
        <v/>
      </c>
      <c r="G3917" s="24" t="n"/>
      <c r="H3917" s="24" t="n"/>
      <c r="I3917" s="30" t="n"/>
      <c r="J3917" s="23">
        <f>IF(OR($H3917="",$I3917=""),"",$H3917*$I3917)</f>
        <v/>
      </c>
      <c r="K3917" s="24" t="n"/>
      <c r="L3917" s="24" t="n"/>
      <c r="M3917" s="29" t="n"/>
      <c r="N3917" s="28" t="n"/>
      <c r="O3917" s="24" t="n"/>
      <c r="P3917" s="24" t="n"/>
      <c r="Q3917" s="24" t="n"/>
      <c r="R3917" s="24" t="n"/>
      <c r="S3917" s="22">
        <f>IF(AND($A3917="",$C3917=""),"",IF($A3917="","Thiếu mã đơn; ","")&amp;IF(COUNTIF($A$2:$A3917,$A3917)&gt;1,"Trùng mã đơn; ","")&amp;IF(ISNA(MATCH($C3917,DATA_MASTER!$D$2:$D$5000,0)),"SĐT chưa đăng ký hội viên; ","")&amp;IF(AND($L3917="Đã chuyển khoản",$M3917=""),"Thiếu ngày nhận CK; ",""))</f>
        <v/>
      </c>
      <c r="T3917" s="24" t="n"/>
    </row>
    <row r="3918" ht="14.25" customHeight="1" s="40">
      <c r="A3918" s="24" t="n"/>
      <c r="B3918" s="29" t="n"/>
      <c r="C3918" s="28" t="n"/>
      <c r="D3918" s="22">
        <f t="array" ref="D3918">IF($C3918="","",IFERROR(INDEX(DATA_MASTER!$C$2:$C$5000,MATCH($C3918,DATA_MASTER!$D$2:$D$5000,0)),""))</f>
        <v/>
      </c>
      <c r="E3918" s="22">
        <f t="array" ref="E3918">IF($C3918="","",IFERROR(INDEX(DATA_MASTER!$I$2:$I$5000,MATCH($C3918,DATA_MASTER!$D$2:$D$5000,0)),""))</f>
        <v/>
      </c>
      <c r="F3918" s="22">
        <f t="array" ref="F3918">IF($C3918="","",IFERROR(INDEX(DATA_MASTER!$L$2:$L$5000,MATCH($C3918,DATA_MASTER!$D$2:$D$5000,0)),""))</f>
        <v/>
      </c>
      <c r="G3918" s="24" t="n"/>
      <c r="H3918" s="24" t="n"/>
      <c r="I3918" s="30" t="n"/>
      <c r="J3918" s="23">
        <f>IF(OR($H3918="",$I3918=""),"",$H3918*$I3918)</f>
        <v/>
      </c>
      <c r="K3918" s="24" t="n"/>
      <c r="L3918" s="24" t="n"/>
      <c r="M3918" s="29" t="n"/>
      <c r="N3918" s="28" t="n"/>
      <c r="O3918" s="24" t="n"/>
      <c r="P3918" s="24" t="n"/>
      <c r="Q3918" s="24" t="n"/>
      <c r="R3918" s="24" t="n"/>
      <c r="S3918" s="22">
        <f>IF(AND($A3918="",$C3918=""),"",IF($A3918="","Thiếu mã đơn; ","")&amp;IF(COUNTIF($A$2:$A3918,$A3918)&gt;1,"Trùng mã đơn; ","")&amp;IF(ISNA(MATCH($C3918,DATA_MASTER!$D$2:$D$5000,0)),"SĐT chưa đăng ký hội viên; ","")&amp;IF(AND($L3918="Đã chuyển khoản",$M3918=""),"Thiếu ngày nhận CK; ",""))</f>
        <v/>
      </c>
      <c r="T3918" s="24" t="n"/>
    </row>
    <row r="3919" ht="14.25" customHeight="1" s="40">
      <c r="A3919" s="24" t="n"/>
      <c r="B3919" s="29" t="n"/>
      <c r="C3919" s="28" t="n"/>
      <c r="D3919" s="22">
        <f t="array" ref="D3919">IF($C3919="","",IFERROR(INDEX(DATA_MASTER!$C$2:$C$5000,MATCH($C3919,DATA_MASTER!$D$2:$D$5000,0)),""))</f>
        <v/>
      </c>
      <c r="E3919" s="22">
        <f t="array" ref="E3919">IF($C3919="","",IFERROR(INDEX(DATA_MASTER!$I$2:$I$5000,MATCH($C3919,DATA_MASTER!$D$2:$D$5000,0)),""))</f>
        <v/>
      </c>
      <c r="F3919" s="22">
        <f t="array" ref="F3919">IF($C3919="","",IFERROR(INDEX(DATA_MASTER!$L$2:$L$5000,MATCH($C3919,DATA_MASTER!$D$2:$D$5000,0)),""))</f>
        <v/>
      </c>
      <c r="G3919" s="24" t="n"/>
      <c r="H3919" s="24" t="n"/>
      <c r="I3919" s="30" t="n"/>
      <c r="J3919" s="23">
        <f>IF(OR($H3919="",$I3919=""),"",$H3919*$I3919)</f>
        <v/>
      </c>
      <c r="K3919" s="24" t="n"/>
      <c r="L3919" s="24" t="n"/>
      <c r="M3919" s="29" t="n"/>
      <c r="N3919" s="28" t="n"/>
      <c r="O3919" s="24" t="n"/>
      <c r="P3919" s="24" t="n"/>
      <c r="Q3919" s="24" t="n"/>
      <c r="R3919" s="24" t="n"/>
      <c r="S3919" s="22">
        <f>IF(AND($A3919="",$C3919=""),"",IF($A3919="","Thiếu mã đơn; ","")&amp;IF(COUNTIF($A$2:$A3919,$A3919)&gt;1,"Trùng mã đơn; ","")&amp;IF(ISNA(MATCH($C3919,DATA_MASTER!$D$2:$D$5000,0)),"SĐT chưa đăng ký hội viên; ","")&amp;IF(AND($L3919="Đã chuyển khoản",$M3919=""),"Thiếu ngày nhận CK; ",""))</f>
        <v/>
      </c>
      <c r="T3919" s="24" t="n"/>
    </row>
    <row r="3920" ht="14.25" customHeight="1" s="40">
      <c r="A3920" s="24" t="n"/>
      <c r="B3920" s="29" t="n"/>
      <c r="C3920" s="28" t="n"/>
      <c r="D3920" s="22">
        <f t="array" ref="D3920">IF($C3920="","",IFERROR(INDEX(DATA_MASTER!$C$2:$C$5000,MATCH($C3920,DATA_MASTER!$D$2:$D$5000,0)),""))</f>
        <v/>
      </c>
      <c r="E3920" s="22">
        <f t="array" ref="E3920">IF($C3920="","",IFERROR(INDEX(DATA_MASTER!$I$2:$I$5000,MATCH($C3920,DATA_MASTER!$D$2:$D$5000,0)),""))</f>
        <v/>
      </c>
      <c r="F3920" s="22">
        <f t="array" ref="F3920">IF($C3920="","",IFERROR(INDEX(DATA_MASTER!$L$2:$L$5000,MATCH($C3920,DATA_MASTER!$D$2:$D$5000,0)),""))</f>
        <v/>
      </c>
      <c r="G3920" s="24" t="n"/>
      <c r="H3920" s="24" t="n"/>
      <c r="I3920" s="30" t="n"/>
      <c r="J3920" s="23">
        <f>IF(OR($H3920="",$I3920=""),"",$H3920*$I3920)</f>
        <v/>
      </c>
      <c r="K3920" s="24" t="n"/>
      <c r="L3920" s="24" t="n"/>
      <c r="M3920" s="29" t="n"/>
      <c r="N3920" s="28" t="n"/>
      <c r="O3920" s="24" t="n"/>
      <c r="P3920" s="24" t="n"/>
      <c r="Q3920" s="24" t="n"/>
      <c r="R3920" s="24" t="n"/>
      <c r="S3920" s="22">
        <f>IF(AND($A3920="",$C3920=""),"",IF($A3920="","Thiếu mã đơn; ","")&amp;IF(COUNTIF($A$2:$A3920,$A3920)&gt;1,"Trùng mã đơn; ","")&amp;IF(ISNA(MATCH($C3920,DATA_MASTER!$D$2:$D$5000,0)),"SĐT chưa đăng ký hội viên; ","")&amp;IF(AND($L3920="Đã chuyển khoản",$M3920=""),"Thiếu ngày nhận CK; ",""))</f>
        <v/>
      </c>
      <c r="T3920" s="24" t="n"/>
    </row>
    <row r="3921" ht="14.25" customHeight="1" s="40">
      <c r="A3921" s="24" t="n"/>
      <c r="B3921" s="29" t="n"/>
      <c r="C3921" s="28" t="n"/>
      <c r="D3921" s="22">
        <f t="array" ref="D3921">IF($C3921="","",IFERROR(INDEX(DATA_MASTER!$C$2:$C$5000,MATCH($C3921,DATA_MASTER!$D$2:$D$5000,0)),""))</f>
        <v/>
      </c>
      <c r="E3921" s="22">
        <f t="array" ref="E3921">IF($C3921="","",IFERROR(INDEX(DATA_MASTER!$I$2:$I$5000,MATCH($C3921,DATA_MASTER!$D$2:$D$5000,0)),""))</f>
        <v/>
      </c>
      <c r="F3921" s="22">
        <f t="array" ref="F3921">IF($C3921="","",IFERROR(INDEX(DATA_MASTER!$L$2:$L$5000,MATCH($C3921,DATA_MASTER!$D$2:$D$5000,0)),""))</f>
        <v/>
      </c>
      <c r="G3921" s="24" t="n"/>
      <c r="H3921" s="24" t="n"/>
      <c r="I3921" s="30" t="n"/>
      <c r="J3921" s="23">
        <f>IF(OR($H3921="",$I3921=""),"",$H3921*$I3921)</f>
        <v/>
      </c>
      <c r="K3921" s="24" t="n"/>
      <c r="L3921" s="24" t="n"/>
      <c r="M3921" s="29" t="n"/>
      <c r="N3921" s="28" t="n"/>
      <c r="O3921" s="24" t="n"/>
      <c r="P3921" s="24" t="n"/>
      <c r="Q3921" s="24" t="n"/>
      <c r="R3921" s="24" t="n"/>
      <c r="S3921" s="22">
        <f>IF(AND($A3921="",$C3921=""),"",IF($A3921="","Thiếu mã đơn; ","")&amp;IF(COUNTIF($A$2:$A3921,$A3921)&gt;1,"Trùng mã đơn; ","")&amp;IF(ISNA(MATCH($C3921,DATA_MASTER!$D$2:$D$5000,0)),"SĐT chưa đăng ký hội viên; ","")&amp;IF(AND($L3921="Đã chuyển khoản",$M3921=""),"Thiếu ngày nhận CK; ",""))</f>
        <v/>
      </c>
      <c r="T3921" s="24" t="n"/>
    </row>
    <row r="3922" ht="14.25" customHeight="1" s="40">
      <c r="A3922" s="24" t="n"/>
      <c r="B3922" s="29" t="n"/>
      <c r="C3922" s="28" t="n"/>
      <c r="D3922" s="22">
        <f t="array" ref="D3922">IF($C3922="","",IFERROR(INDEX(DATA_MASTER!$C$2:$C$5000,MATCH($C3922,DATA_MASTER!$D$2:$D$5000,0)),""))</f>
        <v/>
      </c>
      <c r="E3922" s="22">
        <f t="array" ref="E3922">IF($C3922="","",IFERROR(INDEX(DATA_MASTER!$I$2:$I$5000,MATCH($C3922,DATA_MASTER!$D$2:$D$5000,0)),""))</f>
        <v/>
      </c>
      <c r="F3922" s="22">
        <f t="array" ref="F3922">IF($C3922="","",IFERROR(INDEX(DATA_MASTER!$L$2:$L$5000,MATCH($C3922,DATA_MASTER!$D$2:$D$5000,0)),""))</f>
        <v/>
      </c>
      <c r="G3922" s="24" t="n"/>
      <c r="H3922" s="24" t="n"/>
      <c r="I3922" s="30" t="n"/>
      <c r="J3922" s="23">
        <f>IF(OR($H3922="",$I3922=""),"",$H3922*$I3922)</f>
        <v/>
      </c>
      <c r="K3922" s="24" t="n"/>
      <c r="L3922" s="24" t="n"/>
      <c r="M3922" s="29" t="n"/>
      <c r="N3922" s="28" t="n"/>
      <c r="O3922" s="24" t="n"/>
      <c r="P3922" s="24" t="n"/>
      <c r="Q3922" s="24" t="n"/>
      <c r="R3922" s="24" t="n"/>
      <c r="S3922" s="22">
        <f>IF(AND($A3922="",$C3922=""),"",IF($A3922="","Thiếu mã đơn; ","")&amp;IF(COUNTIF($A$2:$A3922,$A3922)&gt;1,"Trùng mã đơn; ","")&amp;IF(ISNA(MATCH($C3922,DATA_MASTER!$D$2:$D$5000,0)),"SĐT chưa đăng ký hội viên; ","")&amp;IF(AND($L3922="Đã chuyển khoản",$M3922=""),"Thiếu ngày nhận CK; ",""))</f>
        <v/>
      </c>
      <c r="T3922" s="24" t="n"/>
    </row>
    <row r="3923" ht="14.25" customHeight="1" s="40">
      <c r="A3923" s="24" t="n"/>
      <c r="B3923" s="29" t="n"/>
      <c r="C3923" s="28" t="n"/>
      <c r="D3923" s="22">
        <f t="array" ref="D3923">IF($C3923="","",IFERROR(INDEX(DATA_MASTER!$C$2:$C$5000,MATCH($C3923,DATA_MASTER!$D$2:$D$5000,0)),""))</f>
        <v/>
      </c>
      <c r="E3923" s="22">
        <f t="array" ref="E3923">IF($C3923="","",IFERROR(INDEX(DATA_MASTER!$I$2:$I$5000,MATCH($C3923,DATA_MASTER!$D$2:$D$5000,0)),""))</f>
        <v/>
      </c>
      <c r="F3923" s="22">
        <f t="array" ref="F3923">IF($C3923="","",IFERROR(INDEX(DATA_MASTER!$L$2:$L$5000,MATCH($C3923,DATA_MASTER!$D$2:$D$5000,0)),""))</f>
        <v/>
      </c>
      <c r="G3923" s="24" t="n"/>
      <c r="H3923" s="24" t="n"/>
      <c r="I3923" s="30" t="n"/>
      <c r="J3923" s="23">
        <f>IF(OR($H3923="",$I3923=""),"",$H3923*$I3923)</f>
        <v/>
      </c>
      <c r="K3923" s="24" t="n"/>
      <c r="L3923" s="24" t="n"/>
      <c r="M3923" s="29" t="n"/>
      <c r="N3923" s="28" t="n"/>
      <c r="O3923" s="24" t="n"/>
      <c r="P3923" s="24" t="n"/>
      <c r="Q3923" s="24" t="n"/>
      <c r="R3923" s="24" t="n"/>
      <c r="S3923" s="22">
        <f>IF(AND($A3923="",$C3923=""),"",IF($A3923="","Thiếu mã đơn; ","")&amp;IF(COUNTIF($A$2:$A3923,$A3923)&gt;1,"Trùng mã đơn; ","")&amp;IF(ISNA(MATCH($C3923,DATA_MASTER!$D$2:$D$5000,0)),"SĐT chưa đăng ký hội viên; ","")&amp;IF(AND($L3923="Đã chuyển khoản",$M3923=""),"Thiếu ngày nhận CK; ",""))</f>
        <v/>
      </c>
      <c r="T3923" s="24" t="n"/>
    </row>
    <row r="3924" ht="14.25" customHeight="1" s="40">
      <c r="A3924" s="24" t="n"/>
      <c r="B3924" s="29" t="n"/>
      <c r="C3924" s="28" t="n"/>
      <c r="D3924" s="22">
        <f t="array" ref="D3924">IF($C3924="","",IFERROR(INDEX(DATA_MASTER!$C$2:$C$5000,MATCH($C3924,DATA_MASTER!$D$2:$D$5000,0)),""))</f>
        <v/>
      </c>
      <c r="E3924" s="22">
        <f t="array" ref="E3924">IF($C3924="","",IFERROR(INDEX(DATA_MASTER!$I$2:$I$5000,MATCH($C3924,DATA_MASTER!$D$2:$D$5000,0)),""))</f>
        <v/>
      </c>
      <c r="F3924" s="22">
        <f t="array" ref="F3924">IF($C3924="","",IFERROR(INDEX(DATA_MASTER!$L$2:$L$5000,MATCH($C3924,DATA_MASTER!$D$2:$D$5000,0)),""))</f>
        <v/>
      </c>
      <c r="G3924" s="24" t="n"/>
      <c r="H3924" s="24" t="n"/>
      <c r="I3924" s="30" t="n"/>
      <c r="J3924" s="23">
        <f>IF(OR($H3924="",$I3924=""),"",$H3924*$I3924)</f>
        <v/>
      </c>
      <c r="K3924" s="24" t="n"/>
      <c r="L3924" s="24" t="n"/>
      <c r="M3924" s="29" t="n"/>
      <c r="N3924" s="28" t="n"/>
      <c r="O3924" s="24" t="n"/>
      <c r="P3924" s="24" t="n"/>
      <c r="Q3924" s="24" t="n"/>
      <c r="R3924" s="24" t="n"/>
      <c r="S3924" s="22">
        <f>IF(AND($A3924="",$C3924=""),"",IF($A3924="","Thiếu mã đơn; ","")&amp;IF(COUNTIF($A$2:$A3924,$A3924)&gt;1,"Trùng mã đơn; ","")&amp;IF(ISNA(MATCH($C3924,DATA_MASTER!$D$2:$D$5000,0)),"SĐT chưa đăng ký hội viên; ","")&amp;IF(AND($L3924="Đã chuyển khoản",$M3924=""),"Thiếu ngày nhận CK; ",""))</f>
        <v/>
      </c>
      <c r="T3924" s="24" t="n"/>
    </row>
    <row r="3925" ht="14.25" customHeight="1" s="40">
      <c r="A3925" s="24" t="n"/>
      <c r="B3925" s="29" t="n"/>
      <c r="C3925" s="28" t="n"/>
      <c r="D3925" s="22">
        <f t="array" ref="D3925">IF($C3925="","",IFERROR(INDEX(DATA_MASTER!$C$2:$C$5000,MATCH($C3925,DATA_MASTER!$D$2:$D$5000,0)),""))</f>
        <v/>
      </c>
      <c r="E3925" s="22">
        <f t="array" ref="E3925">IF($C3925="","",IFERROR(INDEX(DATA_MASTER!$I$2:$I$5000,MATCH($C3925,DATA_MASTER!$D$2:$D$5000,0)),""))</f>
        <v/>
      </c>
      <c r="F3925" s="22">
        <f t="array" ref="F3925">IF($C3925="","",IFERROR(INDEX(DATA_MASTER!$L$2:$L$5000,MATCH($C3925,DATA_MASTER!$D$2:$D$5000,0)),""))</f>
        <v/>
      </c>
      <c r="G3925" s="24" t="n"/>
      <c r="H3925" s="24" t="n"/>
      <c r="I3925" s="30" t="n"/>
      <c r="J3925" s="23">
        <f>IF(OR($H3925="",$I3925=""),"",$H3925*$I3925)</f>
        <v/>
      </c>
      <c r="K3925" s="24" t="n"/>
      <c r="L3925" s="24" t="n"/>
      <c r="M3925" s="29" t="n"/>
      <c r="N3925" s="28" t="n"/>
      <c r="O3925" s="24" t="n"/>
      <c r="P3925" s="24" t="n"/>
      <c r="Q3925" s="24" t="n"/>
      <c r="R3925" s="24" t="n"/>
      <c r="S3925" s="22">
        <f>IF(AND($A3925="",$C3925=""),"",IF($A3925="","Thiếu mã đơn; ","")&amp;IF(COUNTIF($A$2:$A3925,$A3925)&gt;1,"Trùng mã đơn; ","")&amp;IF(ISNA(MATCH($C3925,DATA_MASTER!$D$2:$D$5000,0)),"SĐT chưa đăng ký hội viên; ","")&amp;IF(AND($L3925="Đã chuyển khoản",$M3925=""),"Thiếu ngày nhận CK; ",""))</f>
        <v/>
      </c>
      <c r="T3925" s="24" t="n"/>
    </row>
    <row r="3926" ht="14.25" customHeight="1" s="40">
      <c r="A3926" s="24" t="n"/>
      <c r="B3926" s="29" t="n"/>
      <c r="C3926" s="28" t="n"/>
      <c r="D3926" s="22">
        <f t="array" ref="D3926">IF($C3926="","",IFERROR(INDEX(DATA_MASTER!$C$2:$C$5000,MATCH($C3926,DATA_MASTER!$D$2:$D$5000,0)),""))</f>
        <v/>
      </c>
      <c r="E3926" s="22">
        <f t="array" ref="E3926">IF($C3926="","",IFERROR(INDEX(DATA_MASTER!$I$2:$I$5000,MATCH($C3926,DATA_MASTER!$D$2:$D$5000,0)),""))</f>
        <v/>
      </c>
      <c r="F3926" s="22">
        <f t="array" ref="F3926">IF($C3926="","",IFERROR(INDEX(DATA_MASTER!$L$2:$L$5000,MATCH($C3926,DATA_MASTER!$D$2:$D$5000,0)),""))</f>
        <v/>
      </c>
      <c r="G3926" s="24" t="n"/>
      <c r="H3926" s="24" t="n"/>
      <c r="I3926" s="30" t="n"/>
      <c r="J3926" s="23">
        <f>IF(OR($H3926="",$I3926=""),"",$H3926*$I3926)</f>
        <v/>
      </c>
      <c r="K3926" s="24" t="n"/>
      <c r="L3926" s="24" t="n"/>
      <c r="M3926" s="29" t="n"/>
      <c r="N3926" s="28" t="n"/>
      <c r="O3926" s="24" t="n"/>
      <c r="P3926" s="24" t="n"/>
      <c r="Q3926" s="24" t="n"/>
      <c r="R3926" s="24" t="n"/>
      <c r="S3926" s="22">
        <f>IF(AND($A3926="",$C3926=""),"",IF($A3926="","Thiếu mã đơn; ","")&amp;IF(COUNTIF($A$2:$A3926,$A3926)&gt;1,"Trùng mã đơn; ","")&amp;IF(ISNA(MATCH($C3926,DATA_MASTER!$D$2:$D$5000,0)),"SĐT chưa đăng ký hội viên; ","")&amp;IF(AND($L3926="Đã chuyển khoản",$M3926=""),"Thiếu ngày nhận CK; ",""))</f>
        <v/>
      </c>
      <c r="T3926" s="24" t="n"/>
    </row>
    <row r="3927" ht="14.25" customHeight="1" s="40">
      <c r="A3927" s="24" t="n"/>
      <c r="B3927" s="29" t="n"/>
      <c r="C3927" s="28" t="n"/>
      <c r="D3927" s="22">
        <f t="array" ref="D3927">IF($C3927="","",IFERROR(INDEX(DATA_MASTER!$C$2:$C$5000,MATCH($C3927,DATA_MASTER!$D$2:$D$5000,0)),""))</f>
        <v/>
      </c>
      <c r="E3927" s="22">
        <f t="array" ref="E3927">IF($C3927="","",IFERROR(INDEX(DATA_MASTER!$I$2:$I$5000,MATCH($C3927,DATA_MASTER!$D$2:$D$5000,0)),""))</f>
        <v/>
      </c>
      <c r="F3927" s="22">
        <f t="array" ref="F3927">IF($C3927="","",IFERROR(INDEX(DATA_MASTER!$L$2:$L$5000,MATCH($C3927,DATA_MASTER!$D$2:$D$5000,0)),""))</f>
        <v/>
      </c>
      <c r="G3927" s="24" t="n"/>
      <c r="H3927" s="24" t="n"/>
      <c r="I3927" s="30" t="n"/>
      <c r="J3927" s="23">
        <f>IF(OR($H3927="",$I3927=""),"",$H3927*$I3927)</f>
        <v/>
      </c>
      <c r="K3927" s="24" t="n"/>
      <c r="L3927" s="24" t="n"/>
      <c r="M3927" s="29" t="n"/>
      <c r="N3927" s="28" t="n"/>
      <c r="O3927" s="24" t="n"/>
      <c r="P3927" s="24" t="n"/>
      <c r="Q3927" s="24" t="n"/>
      <c r="R3927" s="24" t="n"/>
      <c r="S3927" s="22">
        <f>IF(AND($A3927="",$C3927=""),"",IF($A3927="","Thiếu mã đơn; ","")&amp;IF(COUNTIF($A$2:$A3927,$A3927)&gt;1,"Trùng mã đơn; ","")&amp;IF(ISNA(MATCH($C3927,DATA_MASTER!$D$2:$D$5000,0)),"SĐT chưa đăng ký hội viên; ","")&amp;IF(AND($L3927="Đã chuyển khoản",$M3927=""),"Thiếu ngày nhận CK; ",""))</f>
        <v/>
      </c>
      <c r="T3927" s="24" t="n"/>
    </row>
    <row r="3928" ht="14.25" customHeight="1" s="40">
      <c r="A3928" s="24" t="n"/>
      <c r="B3928" s="29" t="n"/>
      <c r="C3928" s="28" t="n"/>
      <c r="D3928" s="22">
        <f t="array" ref="D3928">IF($C3928="","",IFERROR(INDEX(DATA_MASTER!$C$2:$C$5000,MATCH($C3928,DATA_MASTER!$D$2:$D$5000,0)),""))</f>
        <v/>
      </c>
      <c r="E3928" s="22">
        <f t="array" ref="E3928">IF($C3928="","",IFERROR(INDEX(DATA_MASTER!$I$2:$I$5000,MATCH($C3928,DATA_MASTER!$D$2:$D$5000,0)),""))</f>
        <v/>
      </c>
      <c r="F3928" s="22">
        <f t="array" ref="F3928">IF($C3928="","",IFERROR(INDEX(DATA_MASTER!$L$2:$L$5000,MATCH($C3928,DATA_MASTER!$D$2:$D$5000,0)),""))</f>
        <v/>
      </c>
      <c r="G3928" s="24" t="n"/>
      <c r="H3928" s="24" t="n"/>
      <c r="I3928" s="30" t="n"/>
      <c r="J3928" s="23">
        <f>IF(OR($H3928="",$I3928=""),"",$H3928*$I3928)</f>
        <v/>
      </c>
      <c r="K3928" s="24" t="n"/>
      <c r="L3928" s="24" t="n"/>
      <c r="M3928" s="29" t="n"/>
      <c r="N3928" s="28" t="n"/>
      <c r="O3928" s="24" t="n"/>
      <c r="P3928" s="24" t="n"/>
      <c r="Q3928" s="24" t="n"/>
      <c r="R3928" s="24" t="n"/>
      <c r="S3928" s="22">
        <f>IF(AND($A3928="",$C3928=""),"",IF($A3928="","Thiếu mã đơn; ","")&amp;IF(COUNTIF($A$2:$A3928,$A3928)&gt;1,"Trùng mã đơn; ","")&amp;IF(ISNA(MATCH($C3928,DATA_MASTER!$D$2:$D$5000,0)),"SĐT chưa đăng ký hội viên; ","")&amp;IF(AND($L3928="Đã chuyển khoản",$M3928=""),"Thiếu ngày nhận CK; ",""))</f>
        <v/>
      </c>
      <c r="T3928" s="24" t="n"/>
    </row>
    <row r="3929" ht="14.25" customHeight="1" s="40">
      <c r="A3929" s="24" t="n"/>
      <c r="B3929" s="29" t="n"/>
      <c r="C3929" s="28" t="n"/>
      <c r="D3929" s="22">
        <f t="array" ref="D3929">IF($C3929="","",IFERROR(INDEX(DATA_MASTER!$C$2:$C$5000,MATCH($C3929,DATA_MASTER!$D$2:$D$5000,0)),""))</f>
        <v/>
      </c>
      <c r="E3929" s="22">
        <f t="array" ref="E3929">IF($C3929="","",IFERROR(INDEX(DATA_MASTER!$I$2:$I$5000,MATCH($C3929,DATA_MASTER!$D$2:$D$5000,0)),""))</f>
        <v/>
      </c>
      <c r="F3929" s="22">
        <f t="array" ref="F3929">IF($C3929="","",IFERROR(INDEX(DATA_MASTER!$L$2:$L$5000,MATCH($C3929,DATA_MASTER!$D$2:$D$5000,0)),""))</f>
        <v/>
      </c>
      <c r="G3929" s="24" t="n"/>
      <c r="H3929" s="24" t="n"/>
      <c r="I3929" s="30" t="n"/>
      <c r="J3929" s="23">
        <f>IF(OR($H3929="",$I3929=""),"",$H3929*$I3929)</f>
        <v/>
      </c>
      <c r="K3929" s="24" t="n"/>
      <c r="L3929" s="24" t="n"/>
      <c r="M3929" s="29" t="n"/>
      <c r="N3929" s="28" t="n"/>
      <c r="O3929" s="24" t="n"/>
      <c r="P3929" s="24" t="n"/>
      <c r="Q3929" s="24" t="n"/>
      <c r="R3929" s="24" t="n"/>
      <c r="S3929" s="22">
        <f>IF(AND($A3929="",$C3929=""),"",IF($A3929="","Thiếu mã đơn; ","")&amp;IF(COUNTIF($A$2:$A3929,$A3929)&gt;1,"Trùng mã đơn; ","")&amp;IF(ISNA(MATCH($C3929,DATA_MASTER!$D$2:$D$5000,0)),"SĐT chưa đăng ký hội viên; ","")&amp;IF(AND($L3929="Đã chuyển khoản",$M3929=""),"Thiếu ngày nhận CK; ",""))</f>
        <v/>
      </c>
      <c r="T3929" s="24" t="n"/>
    </row>
    <row r="3930" ht="14.25" customHeight="1" s="40">
      <c r="A3930" s="24" t="n"/>
      <c r="B3930" s="29" t="n"/>
      <c r="C3930" s="28" t="n"/>
      <c r="D3930" s="22">
        <f t="array" ref="D3930">IF($C3930="","",IFERROR(INDEX(DATA_MASTER!$C$2:$C$5000,MATCH($C3930,DATA_MASTER!$D$2:$D$5000,0)),""))</f>
        <v/>
      </c>
      <c r="E3930" s="22">
        <f t="array" ref="E3930">IF($C3930="","",IFERROR(INDEX(DATA_MASTER!$I$2:$I$5000,MATCH($C3930,DATA_MASTER!$D$2:$D$5000,0)),""))</f>
        <v/>
      </c>
      <c r="F3930" s="22">
        <f t="array" ref="F3930">IF($C3930="","",IFERROR(INDEX(DATA_MASTER!$L$2:$L$5000,MATCH($C3930,DATA_MASTER!$D$2:$D$5000,0)),""))</f>
        <v/>
      </c>
      <c r="G3930" s="24" t="n"/>
      <c r="H3930" s="24" t="n"/>
      <c r="I3930" s="30" t="n"/>
      <c r="J3930" s="23">
        <f>IF(OR($H3930="",$I3930=""),"",$H3930*$I3930)</f>
        <v/>
      </c>
      <c r="K3930" s="24" t="n"/>
      <c r="L3930" s="24" t="n"/>
      <c r="M3930" s="29" t="n"/>
      <c r="N3930" s="28" t="n"/>
      <c r="O3930" s="24" t="n"/>
      <c r="P3930" s="24" t="n"/>
      <c r="Q3930" s="24" t="n"/>
      <c r="R3930" s="24" t="n"/>
      <c r="S3930" s="22">
        <f>IF(AND($A3930="",$C3930=""),"",IF($A3930="","Thiếu mã đơn; ","")&amp;IF(COUNTIF($A$2:$A3930,$A3930)&gt;1,"Trùng mã đơn; ","")&amp;IF(ISNA(MATCH($C3930,DATA_MASTER!$D$2:$D$5000,0)),"SĐT chưa đăng ký hội viên; ","")&amp;IF(AND($L3930="Đã chuyển khoản",$M3930=""),"Thiếu ngày nhận CK; ",""))</f>
        <v/>
      </c>
      <c r="T3930" s="24" t="n"/>
    </row>
    <row r="3931" ht="14.25" customHeight="1" s="40">
      <c r="A3931" s="24" t="n"/>
      <c r="B3931" s="29" t="n"/>
      <c r="C3931" s="28" t="n"/>
      <c r="D3931" s="22">
        <f t="array" ref="D3931">IF($C3931="","",IFERROR(INDEX(DATA_MASTER!$C$2:$C$5000,MATCH($C3931,DATA_MASTER!$D$2:$D$5000,0)),""))</f>
        <v/>
      </c>
      <c r="E3931" s="22">
        <f t="array" ref="E3931">IF($C3931="","",IFERROR(INDEX(DATA_MASTER!$I$2:$I$5000,MATCH($C3931,DATA_MASTER!$D$2:$D$5000,0)),""))</f>
        <v/>
      </c>
      <c r="F3931" s="22">
        <f t="array" ref="F3931">IF($C3931="","",IFERROR(INDEX(DATA_MASTER!$L$2:$L$5000,MATCH($C3931,DATA_MASTER!$D$2:$D$5000,0)),""))</f>
        <v/>
      </c>
      <c r="G3931" s="24" t="n"/>
      <c r="H3931" s="24" t="n"/>
      <c r="I3931" s="30" t="n"/>
      <c r="J3931" s="23">
        <f>IF(OR($H3931="",$I3931=""),"",$H3931*$I3931)</f>
        <v/>
      </c>
      <c r="K3931" s="24" t="n"/>
      <c r="L3931" s="24" t="n"/>
      <c r="M3931" s="29" t="n"/>
      <c r="N3931" s="28" t="n"/>
      <c r="O3931" s="24" t="n"/>
      <c r="P3931" s="24" t="n"/>
      <c r="Q3931" s="24" t="n"/>
      <c r="R3931" s="24" t="n"/>
      <c r="S3931" s="22">
        <f>IF(AND($A3931="",$C3931=""),"",IF($A3931="","Thiếu mã đơn; ","")&amp;IF(COUNTIF($A$2:$A3931,$A3931)&gt;1,"Trùng mã đơn; ","")&amp;IF(ISNA(MATCH($C3931,DATA_MASTER!$D$2:$D$5000,0)),"SĐT chưa đăng ký hội viên; ","")&amp;IF(AND($L3931="Đã chuyển khoản",$M3931=""),"Thiếu ngày nhận CK; ",""))</f>
        <v/>
      </c>
      <c r="T3931" s="24" t="n"/>
    </row>
    <row r="3932" ht="14.25" customHeight="1" s="40">
      <c r="A3932" s="24" t="n"/>
      <c r="B3932" s="29" t="n"/>
      <c r="C3932" s="28" t="n"/>
      <c r="D3932" s="22">
        <f t="array" ref="D3932">IF($C3932="","",IFERROR(INDEX(DATA_MASTER!$C$2:$C$5000,MATCH($C3932,DATA_MASTER!$D$2:$D$5000,0)),""))</f>
        <v/>
      </c>
      <c r="E3932" s="22">
        <f t="array" ref="E3932">IF($C3932="","",IFERROR(INDEX(DATA_MASTER!$I$2:$I$5000,MATCH($C3932,DATA_MASTER!$D$2:$D$5000,0)),""))</f>
        <v/>
      </c>
      <c r="F3932" s="22">
        <f t="array" ref="F3932">IF($C3932="","",IFERROR(INDEX(DATA_MASTER!$L$2:$L$5000,MATCH($C3932,DATA_MASTER!$D$2:$D$5000,0)),""))</f>
        <v/>
      </c>
      <c r="G3932" s="24" t="n"/>
      <c r="H3932" s="24" t="n"/>
      <c r="I3932" s="30" t="n"/>
      <c r="J3932" s="23">
        <f>IF(OR($H3932="",$I3932=""),"",$H3932*$I3932)</f>
        <v/>
      </c>
      <c r="K3932" s="24" t="n"/>
      <c r="L3932" s="24" t="n"/>
      <c r="M3932" s="29" t="n"/>
      <c r="N3932" s="28" t="n"/>
      <c r="O3932" s="24" t="n"/>
      <c r="P3932" s="24" t="n"/>
      <c r="Q3932" s="24" t="n"/>
      <c r="R3932" s="24" t="n"/>
      <c r="S3932" s="22">
        <f>IF(AND($A3932="",$C3932=""),"",IF($A3932="","Thiếu mã đơn; ","")&amp;IF(COUNTIF($A$2:$A3932,$A3932)&gt;1,"Trùng mã đơn; ","")&amp;IF(ISNA(MATCH($C3932,DATA_MASTER!$D$2:$D$5000,0)),"SĐT chưa đăng ký hội viên; ","")&amp;IF(AND($L3932="Đã chuyển khoản",$M3932=""),"Thiếu ngày nhận CK; ",""))</f>
        <v/>
      </c>
      <c r="T3932" s="24" t="n"/>
    </row>
    <row r="3933" ht="14.25" customHeight="1" s="40">
      <c r="A3933" s="24" t="n"/>
      <c r="B3933" s="29" t="n"/>
      <c r="C3933" s="28" t="n"/>
      <c r="D3933" s="22">
        <f t="array" ref="D3933">IF($C3933="","",IFERROR(INDEX(DATA_MASTER!$C$2:$C$5000,MATCH($C3933,DATA_MASTER!$D$2:$D$5000,0)),""))</f>
        <v/>
      </c>
      <c r="E3933" s="22">
        <f t="array" ref="E3933">IF($C3933="","",IFERROR(INDEX(DATA_MASTER!$I$2:$I$5000,MATCH($C3933,DATA_MASTER!$D$2:$D$5000,0)),""))</f>
        <v/>
      </c>
      <c r="F3933" s="22">
        <f t="array" ref="F3933">IF($C3933="","",IFERROR(INDEX(DATA_MASTER!$L$2:$L$5000,MATCH($C3933,DATA_MASTER!$D$2:$D$5000,0)),""))</f>
        <v/>
      </c>
      <c r="G3933" s="24" t="n"/>
      <c r="H3933" s="24" t="n"/>
      <c r="I3933" s="30" t="n"/>
      <c r="J3933" s="23">
        <f>IF(OR($H3933="",$I3933=""),"",$H3933*$I3933)</f>
        <v/>
      </c>
      <c r="K3933" s="24" t="n"/>
      <c r="L3933" s="24" t="n"/>
      <c r="M3933" s="29" t="n"/>
      <c r="N3933" s="28" t="n"/>
      <c r="O3933" s="24" t="n"/>
      <c r="P3933" s="24" t="n"/>
      <c r="Q3933" s="24" t="n"/>
      <c r="R3933" s="24" t="n"/>
      <c r="S3933" s="22">
        <f>IF(AND($A3933="",$C3933=""),"",IF($A3933="","Thiếu mã đơn; ","")&amp;IF(COUNTIF($A$2:$A3933,$A3933)&gt;1,"Trùng mã đơn; ","")&amp;IF(ISNA(MATCH($C3933,DATA_MASTER!$D$2:$D$5000,0)),"SĐT chưa đăng ký hội viên; ","")&amp;IF(AND($L3933="Đã chuyển khoản",$M3933=""),"Thiếu ngày nhận CK; ",""))</f>
        <v/>
      </c>
      <c r="T3933" s="24" t="n"/>
    </row>
    <row r="3934" ht="14.25" customHeight="1" s="40">
      <c r="A3934" s="24" t="n"/>
      <c r="B3934" s="29" t="n"/>
      <c r="C3934" s="28" t="n"/>
      <c r="D3934" s="22">
        <f t="array" ref="D3934">IF($C3934="","",IFERROR(INDEX(DATA_MASTER!$C$2:$C$5000,MATCH($C3934,DATA_MASTER!$D$2:$D$5000,0)),""))</f>
        <v/>
      </c>
      <c r="E3934" s="22">
        <f t="array" ref="E3934">IF($C3934="","",IFERROR(INDEX(DATA_MASTER!$I$2:$I$5000,MATCH($C3934,DATA_MASTER!$D$2:$D$5000,0)),""))</f>
        <v/>
      </c>
      <c r="F3934" s="22">
        <f t="array" ref="F3934">IF($C3934="","",IFERROR(INDEX(DATA_MASTER!$L$2:$L$5000,MATCH($C3934,DATA_MASTER!$D$2:$D$5000,0)),""))</f>
        <v/>
      </c>
      <c r="G3934" s="24" t="n"/>
      <c r="H3934" s="24" t="n"/>
      <c r="I3934" s="30" t="n"/>
      <c r="J3934" s="23">
        <f>IF(OR($H3934="",$I3934=""),"",$H3934*$I3934)</f>
        <v/>
      </c>
      <c r="K3934" s="24" t="n"/>
      <c r="L3934" s="24" t="n"/>
      <c r="M3934" s="29" t="n"/>
      <c r="N3934" s="28" t="n"/>
      <c r="O3934" s="24" t="n"/>
      <c r="P3934" s="24" t="n"/>
      <c r="Q3934" s="24" t="n"/>
      <c r="R3934" s="24" t="n"/>
      <c r="S3934" s="22">
        <f>IF(AND($A3934="",$C3934=""),"",IF($A3934="","Thiếu mã đơn; ","")&amp;IF(COUNTIF($A$2:$A3934,$A3934)&gt;1,"Trùng mã đơn; ","")&amp;IF(ISNA(MATCH($C3934,DATA_MASTER!$D$2:$D$5000,0)),"SĐT chưa đăng ký hội viên; ","")&amp;IF(AND($L3934="Đã chuyển khoản",$M3934=""),"Thiếu ngày nhận CK; ",""))</f>
        <v/>
      </c>
      <c r="T3934" s="24" t="n"/>
    </row>
    <row r="3935" ht="14.25" customHeight="1" s="40">
      <c r="A3935" s="24" t="n"/>
      <c r="B3935" s="29" t="n"/>
      <c r="C3935" s="28" t="n"/>
      <c r="D3935" s="22">
        <f t="array" ref="D3935">IF($C3935="","",IFERROR(INDEX(DATA_MASTER!$C$2:$C$5000,MATCH($C3935,DATA_MASTER!$D$2:$D$5000,0)),""))</f>
        <v/>
      </c>
      <c r="E3935" s="22">
        <f t="array" ref="E3935">IF($C3935="","",IFERROR(INDEX(DATA_MASTER!$I$2:$I$5000,MATCH($C3935,DATA_MASTER!$D$2:$D$5000,0)),""))</f>
        <v/>
      </c>
      <c r="F3935" s="22">
        <f t="array" ref="F3935">IF($C3935="","",IFERROR(INDEX(DATA_MASTER!$L$2:$L$5000,MATCH($C3935,DATA_MASTER!$D$2:$D$5000,0)),""))</f>
        <v/>
      </c>
      <c r="G3935" s="24" t="n"/>
      <c r="H3935" s="24" t="n"/>
      <c r="I3935" s="30" t="n"/>
      <c r="J3935" s="23">
        <f>IF(OR($H3935="",$I3935=""),"",$H3935*$I3935)</f>
        <v/>
      </c>
      <c r="K3935" s="24" t="n"/>
      <c r="L3935" s="24" t="n"/>
      <c r="M3935" s="29" t="n"/>
      <c r="N3935" s="28" t="n"/>
      <c r="O3935" s="24" t="n"/>
      <c r="P3935" s="24" t="n"/>
      <c r="Q3935" s="24" t="n"/>
      <c r="R3935" s="24" t="n"/>
      <c r="S3935" s="22">
        <f>IF(AND($A3935="",$C3935=""),"",IF($A3935="","Thiếu mã đơn; ","")&amp;IF(COUNTIF($A$2:$A3935,$A3935)&gt;1,"Trùng mã đơn; ","")&amp;IF(ISNA(MATCH($C3935,DATA_MASTER!$D$2:$D$5000,0)),"SĐT chưa đăng ký hội viên; ","")&amp;IF(AND($L3935="Đã chuyển khoản",$M3935=""),"Thiếu ngày nhận CK; ",""))</f>
        <v/>
      </c>
      <c r="T3935" s="24" t="n"/>
    </row>
    <row r="3936" ht="14.25" customHeight="1" s="40">
      <c r="A3936" s="24" t="n"/>
      <c r="B3936" s="29" t="n"/>
      <c r="C3936" s="28" t="n"/>
      <c r="D3936" s="22">
        <f t="array" ref="D3936">IF($C3936="","",IFERROR(INDEX(DATA_MASTER!$C$2:$C$5000,MATCH($C3936,DATA_MASTER!$D$2:$D$5000,0)),""))</f>
        <v/>
      </c>
      <c r="E3936" s="22">
        <f t="array" ref="E3936">IF($C3936="","",IFERROR(INDEX(DATA_MASTER!$I$2:$I$5000,MATCH($C3936,DATA_MASTER!$D$2:$D$5000,0)),""))</f>
        <v/>
      </c>
      <c r="F3936" s="22">
        <f t="array" ref="F3936">IF($C3936="","",IFERROR(INDEX(DATA_MASTER!$L$2:$L$5000,MATCH($C3936,DATA_MASTER!$D$2:$D$5000,0)),""))</f>
        <v/>
      </c>
      <c r="G3936" s="24" t="n"/>
      <c r="H3936" s="24" t="n"/>
      <c r="I3936" s="30" t="n"/>
      <c r="J3936" s="23">
        <f>IF(OR($H3936="",$I3936=""),"",$H3936*$I3936)</f>
        <v/>
      </c>
      <c r="K3936" s="24" t="n"/>
      <c r="L3936" s="24" t="n"/>
      <c r="M3936" s="29" t="n"/>
      <c r="N3936" s="28" t="n"/>
      <c r="O3936" s="24" t="n"/>
      <c r="P3936" s="24" t="n"/>
      <c r="Q3936" s="24" t="n"/>
      <c r="R3936" s="24" t="n"/>
      <c r="S3936" s="22">
        <f>IF(AND($A3936="",$C3936=""),"",IF($A3936="","Thiếu mã đơn; ","")&amp;IF(COUNTIF($A$2:$A3936,$A3936)&gt;1,"Trùng mã đơn; ","")&amp;IF(ISNA(MATCH($C3936,DATA_MASTER!$D$2:$D$5000,0)),"SĐT chưa đăng ký hội viên; ","")&amp;IF(AND($L3936="Đã chuyển khoản",$M3936=""),"Thiếu ngày nhận CK; ",""))</f>
        <v/>
      </c>
      <c r="T3936" s="24" t="n"/>
    </row>
    <row r="3937" ht="14.25" customHeight="1" s="40">
      <c r="A3937" s="24" t="n"/>
      <c r="B3937" s="29" t="n"/>
      <c r="C3937" s="28" t="n"/>
      <c r="D3937" s="22">
        <f t="array" ref="D3937">IF($C3937="","",IFERROR(INDEX(DATA_MASTER!$C$2:$C$5000,MATCH($C3937,DATA_MASTER!$D$2:$D$5000,0)),""))</f>
        <v/>
      </c>
      <c r="E3937" s="22">
        <f t="array" ref="E3937">IF($C3937="","",IFERROR(INDEX(DATA_MASTER!$I$2:$I$5000,MATCH($C3937,DATA_MASTER!$D$2:$D$5000,0)),""))</f>
        <v/>
      </c>
      <c r="F3937" s="22">
        <f t="array" ref="F3937">IF($C3937="","",IFERROR(INDEX(DATA_MASTER!$L$2:$L$5000,MATCH($C3937,DATA_MASTER!$D$2:$D$5000,0)),""))</f>
        <v/>
      </c>
      <c r="G3937" s="24" t="n"/>
      <c r="H3937" s="24" t="n"/>
      <c r="I3937" s="30" t="n"/>
      <c r="J3937" s="23">
        <f>IF(OR($H3937="",$I3937=""),"",$H3937*$I3937)</f>
        <v/>
      </c>
      <c r="K3937" s="24" t="n"/>
      <c r="L3937" s="24" t="n"/>
      <c r="M3937" s="29" t="n"/>
      <c r="N3937" s="28" t="n"/>
      <c r="O3937" s="24" t="n"/>
      <c r="P3937" s="24" t="n"/>
      <c r="Q3937" s="24" t="n"/>
      <c r="R3937" s="24" t="n"/>
      <c r="S3937" s="22">
        <f>IF(AND($A3937="",$C3937=""),"",IF($A3937="","Thiếu mã đơn; ","")&amp;IF(COUNTIF($A$2:$A3937,$A3937)&gt;1,"Trùng mã đơn; ","")&amp;IF(ISNA(MATCH($C3937,DATA_MASTER!$D$2:$D$5000,0)),"SĐT chưa đăng ký hội viên; ","")&amp;IF(AND($L3937="Đã chuyển khoản",$M3937=""),"Thiếu ngày nhận CK; ",""))</f>
        <v/>
      </c>
      <c r="T3937" s="24" t="n"/>
    </row>
    <row r="3938" ht="14.25" customHeight="1" s="40">
      <c r="A3938" s="24" t="n"/>
      <c r="B3938" s="29" t="n"/>
      <c r="C3938" s="28" t="n"/>
      <c r="D3938" s="22">
        <f t="array" ref="D3938">IF($C3938="","",IFERROR(INDEX(DATA_MASTER!$C$2:$C$5000,MATCH($C3938,DATA_MASTER!$D$2:$D$5000,0)),""))</f>
        <v/>
      </c>
      <c r="E3938" s="22">
        <f t="array" ref="E3938">IF($C3938="","",IFERROR(INDEX(DATA_MASTER!$I$2:$I$5000,MATCH($C3938,DATA_MASTER!$D$2:$D$5000,0)),""))</f>
        <v/>
      </c>
      <c r="F3938" s="22">
        <f t="array" ref="F3938">IF($C3938="","",IFERROR(INDEX(DATA_MASTER!$L$2:$L$5000,MATCH($C3938,DATA_MASTER!$D$2:$D$5000,0)),""))</f>
        <v/>
      </c>
      <c r="G3938" s="24" t="n"/>
      <c r="H3938" s="24" t="n"/>
      <c r="I3938" s="30" t="n"/>
      <c r="J3938" s="23">
        <f>IF(OR($H3938="",$I3938=""),"",$H3938*$I3938)</f>
        <v/>
      </c>
      <c r="K3938" s="24" t="n"/>
      <c r="L3938" s="24" t="n"/>
      <c r="M3938" s="29" t="n"/>
      <c r="N3938" s="28" t="n"/>
      <c r="O3938" s="24" t="n"/>
      <c r="P3938" s="24" t="n"/>
      <c r="Q3938" s="24" t="n"/>
      <c r="R3938" s="24" t="n"/>
      <c r="S3938" s="22">
        <f>IF(AND($A3938="",$C3938=""),"",IF($A3938="","Thiếu mã đơn; ","")&amp;IF(COUNTIF($A$2:$A3938,$A3938)&gt;1,"Trùng mã đơn; ","")&amp;IF(ISNA(MATCH($C3938,DATA_MASTER!$D$2:$D$5000,0)),"SĐT chưa đăng ký hội viên; ","")&amp;IF(AND($L3938="Đã chuyển khoản",$M3938=""),"Thiếu ngày nhận CK; ",""))</f>
        <v/>
      </c>
      <c r="T3938" s="24" t="n"/>
    </row>
    <row r="3939" ht="14.25" customHeight="1" s="40">
      <c r="A3939" s="24" t="n"/>
      <c r="B3939" s="29" t="n"/>
      <c r="C3939" s="28" t="n"/>
      <c r="D3939" s="22">
        <f t="array" ref="D3939">IF($C3939="","",IFERROR(INDEX(DATA_MASTER!$C$2:$C$5000,MATCH($C3939,DATA_MASTER!$D$2:$D$5000,0)),""))</f>
        <v/>
      </c>
      <c r="E3939" s="22">
        <f t="array" ref="E3939">IF($C3939="","",IFERROR(INDEX(DATA_MASTER!$I$2:$I$5000,MATCH($C3939,DATA_MASTER!$D$2:$D$5000,0)),""))</f>
        <v/>
      </c>
      <c r="F3939" s="22">
        <f t="array" ref="F3939">IF($C3939="","",IFERROR(INDEX(DATA_MASTER!$L$2:$L$5000,MATCH($C3939,DATA_MASTER!$D$2:$D$5000,0)),""))</f>
        <v/>
      </c>
      <c r="G3939" s="24" t="n"/>
      <c r="H3939" s="24" t="n"/>
      <c r="I3939" s="30" t="n"/>
      <c r="J3939" s="23">
        <f>IF(OR($H3939="",$I3939=""),"",$H3939*$I3939)</f>
        <v/>
      </c>
      <c r="K3939" s="24" t="n"/>
      <c r="L3939" s="24" t="n"/>
      <c r="M3939" s="29" t="n"/>
      <c r="N3939" s="28" t="n"/>
      <c r="O3939" s="24" t="n"/>
      <c r="P3939" s="24" t="n"/>
      <c r="Q3939" s="24" t="n"/>
      <c r="R3939" s="24" t="n"/>
      <c r="S3939" s="22">
        <f>IF(AND($A3939="",$C3939=""),"",IF($A3939="","Thiếu mã đơn; ","")&amp;IF(COUNTIF($A$2:$A3939,$A3939)&gt;1,"Trùng mã đơn; ","")&amp;IF(ISNA(MATCH($C3939,DATA_MASTER!$D$2:$D$5000,0)),"SĐT chưa đăng ký hội viên; ","")&amp;IF(AND($L3939="Đã chuyển khoản",$M3939=""),"Thiếu ngày nhận CK; ",""))</f>
        <v/>
      </c>
      <c r="T3939" s="24" t="n"/>
    </row>
    <row r="3940" ht="14.25" customHeight="1" s="40">
      <c r="A3940" s="24" t="n"/>
      <c r="B3940" s="29" t="n"/>
      <c r="C3940" s="28" t="n"/>
      <c r="D3940" s="22">
        <f t="array" ref="D3940">IF($C3940="","",IFERROR(INDEX(DATA_MASTER!$C$2:$C$5000,MATCH($C3940,DATA_MASTER!$D$2:$D$5000,0)),""))</f>
        <v/>
      </c>
      <c r="E3940" s="22">
        <f t="array" ref="E3940">IF($C3940="","",IFERROR(INDEX(DATA_MASTER!$I$2:$I$5000,MATCH($C3940,DATA_MASTER!$D$2:$D$5000,0)),""))</f>
        <v/>
      </c>
      <c r="F3940" s="22">
        <f t="array" ref="F3940">IF($C3940="","",IFERROR(INDEX(DATA_MASTER!$L$2:$L$5000,MATCH($C3940,DATA_MASTER!$D$2:$D$5000,0)),""))</f>
        <v/>
      </c>
      <c r="G3940" s="24" t="n"/>
      <c r="H3940" s="24" t="n"/>
      <c r="I3940" s="30" t="n"/>
      <c r="J3940" s="23">
        <f>IF(OR($H3940="",$I3940=""),"",$H3940*$I3940)</f>
        <v/>
      </c>
      <c r="K3940" s="24" t="n"/>
      <c r="L3940" s="24" t="n"/>
      <c r="M3940" s="29" t="n"/>
      <c r="N3940" s="28" t="n"/>
      <c r="O3940" s="24" t="n"/>
      <c r="P3940" s="24" t="n"/>
      <c r="Q3940" s="24" t="n"/>
      <c r="R3940" s="24" t="n"/>
      <c r="S3940" s="22">
        <f>IF(AND($A3940="",$C3940=""),"",IF($A3940="","Thiếu mã đơn; ","")&amp;IF(COUNTIF($A$2:$A3940,$A3940)&gt;1,"Trùng mã đơn; ","")&amp;IF(ISNA(MATCH($C3940,DATA_MASTER!$D$2:$D$5000,0)),"SĐT chưa đăng ký hội viên; ","")&amp;IF(AND($L3940="Đã chuyển khoản",$M3940=""),"Thiếu ngày nhận CK; ",""))</f>
        <v/>
      </c>
      <c r="T3940" s="24" t="n"/>
    </row>
    <row r="3941" ht="14.25" customHeight="1" s="40">
      <c r="A3941" s="24" t="n"/>
      <c r="B3941" s="29" t="n"/>
      <c r="C3941" s="28" t="n"/>
      <c r="D3941" s="22">
        <f t="array" ref="D3941">IF($C3941="","",IFERROR(INDEX(DATA_MASTER!$C$2:$C$5000,MATCH($C3941,DATA_MASTER!$D$2:$D$5000,0)),""))</f>
        <v/>
      </c>
      <c r="E3941" s="22">
        <f t="array" ref="E3941">IF($C3941="","",IFERROR(INDEX(DATA_MASTER!$I$2:$I$5000,MATCH($C3941,DATA_MASTER!$D$2:$D$5000,0)),""))</f>
        <v/>
      </c>
      <c r="F3941" s="22">
        <f t="array" ref="F3941">IF($C3941="","",IFERROR(INDEX(DATA_MASTER!$L$2:$L$5000,MATCH($C3941,DATA_MASTER!$D$2:$D$5000,0)),""))</f>
        <v/>
      </c>
      <c r="G3941" s="24" t="n"/>
      <c r="H3941" s="24" t="n"/>
      <c r="I3941" s="30" t="n"/>
      <c r="J3941" s="23">
        <f>IF(OR($H3941="",$I3941=""),"",$H3941*$I3941)</f>
        <v/>
      </c>
      <c r="K3941" s="24" t="n"/>
      <c r="L3941" s="24" t="n"/>
      <c r="M3941" s="29" t="n"/>
      <c r="N3941" s="28" t="n"/>
      <c r="O3941" s="24" t="n"/>
      <c r="P3941" s="24" t="n"/>
      <c r="Q3941" s="24" t="n"/>
      <c r="R3941" s="24" t="n"/>
      <c r="S3941" s="22">
        <f>IF(AND($A3941="",$C3941=""),"",IF($A3941="","Thiếu mã đơn; ","")&amp;IF(COUNTIF($A$2:$A3941,$A3941)&gt;1,"Trùng mã đơn; ","")&amp;IF(ISNA(MATCH($C3941,DATA_MASTER!$D$2:$D$5000,0)),"SĐT chưa đăng ký hội viên; ","")&amp;IF(AND($L3941="Đã chuyển khoản",$M3941=""),"Thiếu ngày nhận CK; ",""))</f>
        <v/>
      </c>
      <c r="T3941" s="24" t="n"/>
    </row>
    <row r="3942" ht="14.25" customHeight="1" s="40">
      <c r="A3942" s="24" t="n"/>
      <c r="B3942" s="29" t="n"/>
      <c r="C3942" s="28" t="n"/>
      <c r="D3942" s="22">
        <f t="array" ref="D3942">IF($C3942="","",IFERROR(INDEX(DATA_MASTER!$C$2:$C$5000,MATCH($C3942,DATA_MASTER!$D$2:$D$5000,0)),""))</f>
        <v/>
      </c>
      <c r="E3942" s="22">
        <f t="array" ref="E3942">IF($C3942="","",IFERROR(INDEX(DATA_MASTER!$I$2:$I$5000,MATCH($C3942,DATA_MASTER!$D$2:$D$5000,0)),""))</f>
        <v/>
      </c>
      <c r="F3942" s="22">
        <f t="array" ref="F3942">IF($C3942="","",IFERROR(INDEX(DATA_MASTER!$L$2:$L$5000,MATCH($C3942,DATA_MASTER!$D$2:$D$5000,0)),""))</f>
        <v/>
      </c>
      <c r="G3942" s="24" t="n"/>
      <c r="H3942" s="24" t="n"/>
      <c r="I3942" s="30" t="n"/>
      <c r="J3942" s="23">
        <f>IF(OR($H3942="",$I3942=""),"",$H3942*$I3942)</f>
        <v/>
      </c>
      <c r="K3942" s="24" t="n"/>
      <c r="L3942" s="24" t="n"/>
      <c r="M3942" s="29" t="n"/>
      <c r="N3942" s="28" t="n"/>
      <c r="O3942" s="24" t="n"/>
      <c r="P3942" s="24" t="n"/>
      <c r="Q3942" s="24" t="n"/>
      <c r="R3942" s="24" t="n"/>
      <c r="S3942" s="22">
        <f>IF(AND($A3942="",$C3942=""),"",IF($A3942="","Thiếu mã đơn; ","")&amp;IF(COUNTIF($A$2:$A3942,$A3942)&gt;1,"Trùng mã đơn; ","")&amp;IF(ISNA(MATCH($C3942,DATA_MASTER!$D$2:$D$5000,0)),"SĐT chưa đăng ký hội viên; ","")&amp;IF(AND($L3942="Đã chuyển khoản",$M3942=""),"Thiếu ngày nhận CK; ",""))</f>
        <v/>
      </c>
      <c r="T3942" s="24" t="n"/>
    </row>
    <row r="3943" ht="14.25" customHeight="1" s="40">
      <c r="A3943" s="24" t="n"/>
      <c r="B3943" s="29" t="n"/>
      <c r="C3943" s="28" t="n"/>
      <c r="D3943" s="22">
        <f t="array" ref="D3943">IF($C3943="","",IFERROR(INDEX(DATA_MASTER!$C$2:$C$5000,MATCH($C3943,DATA_MASTER!$D$2:$D$5000,0)),""))</f>
        <v/>
      </c>
      <c r="E3943" s="22">
        <f t="array" ref="E3943">IF($C3943="","",IFERROR(INDEX(DATA_MASTER!$I$2:$I$5000,MATCH($C3943,DATA_MASTER!$D$2:$D$5000,0)),""))</f>
        <v/>
      </c>
      <c r="F3943" s="22">
        <f t="array" ref="F3943">IF($C3943="","",IFERROR(INDEX(DATA_MASTER!$L$2:$L$5000,MATCH($C3943,DATA_MASTER!$D$2:$D$5000,0)),""))</f>
        <v/>
      </c>
      <c r="G3943" s="24" t="n"/>
      <c r="H3943" s="24" t="n"/>
      <c r="I3943" s="30" t="n"/>
      <c r="J3943" s="23">
        <f>IF(OR($H3943="",$I3943=""),"",$H3943*$I3943)</f>
        <v/>
      </c>
      <c r="K3943" s="24" t="n"/>
      <c r="L3943" s="24" t="n"/>
      <c r="M3943" s="29" t="n"/>
      <c r="N3943" s="28" t="n"/>
      <c r="O3943" s="24" t="n"/>
      <c r="P3943" s="24" t="n"/>
      <c r="Q3943" s="24" t="n"/>
      <c r="R3943" s="24" t="n"/>
      <c r="S3943" s="22">
        <f>IF(AND($A3943="",$C3943=""),"",IF($A3943="","Thiếu mã đơn; ","")&amp;IF(COUNTIF($A$2:$A3943,$A3943)&gt;1,"Trùng mã đơn; ","")&amp;IF(ISNA(MATCH($C3943,DATA_MASTER!$D$2:$D$5000,0)),"SĐT chưa đăng ký hội viên; ","")&amp;IF(AND($L3943="Đã chuyển khoản",$M3943=""),"Thiếu ngày nhận CK; ",""))</f>
        <v/>
      </c>
      <c r="T3943" s="24" t="n"/>
    </row>
    <row r="3944" ht="14.25" customHeight="1" s="40">
      <c r="A3944" s="24" t="n"/>
      <c r="B3944" s="29" t="n"/>
      <c r="C3944" s="28" t="n"/>
      <c r="D3944" s="22">
        <f t="array" ref="D3944">IF($C3944="","",IFERROR(INDEX(DATA_MASTER!$C$2:$C$5000,MATCH($C3944,DATA_MASTER!$D$2:$D$5000,0)),""))</f>
        <v/>
      </c>
      <c r="E3944" s="22">
        <f t="array" ref="E3944">IF($C3944="","",IFERROR(INDEX(DATA_MASTER!$I$2:$I$5000,MATCH($C3944,DATA_MASTER!$D$2:$D$5000,0)),""))</f>
        <v/>
      </c>
      <c r="F3944" s="22">
        <f t="array" ref="F3944">IF($C3944="","",IFERROR(INDEX(DATA_MASTER!$L$2:$L$5000,MATCH($C3944,DATA_MASTER!$D$2:$D$5000,0)),""))</f>
        <v/>
      </c>
      <c r="G3944" s="24" t="n"/>
      <c r="H3944" s="24" t="n"/>
      <c r="I3944" s="30" t="n"/>
      <c r="J3944" s="23">
        <f>IF(OR($H3944="",$I3944=""),"",$H3944*$I3944)</f>
        <v/>
      </c>
      <c r="K3944" s="24" t="n"/>
      <c r="L3944" s="24" t="n"/>
      <c r="M3944" s="29" t="n"/>
      <c r="N3944" s="28" t="n"/>
      <c r="O3944" s="24" t="n"/>
      <c r="P3944" s="24" t="n"/>
      <c r="Q3944" s="24" t="n"/>
      <c r="R3944" s="24" t="n"/>
      <c r="S3944" s="22">
        <f>IF(AND($A3944="",$C3944=""),"",IF($A3944="","Thiếu mã đơn; ","")&amp;IF(COUNTIF($A$2:$A3944,$A3944)&gt;1,"Trùng mã đơn; ","")&amp;IF(ISNA(MATCH($C3944,DATA_MASTER!$D$2:$D$5000,0)),"SĐT chưa đăng ký hội viên; ","")&amp;IF(AND($L3944="Đã chuyển khoản",$M3944=""),"Thiếu ngày nhận CK; ",""))</f>
        <v/>
      </c>
      <c r="T3944" s="24" t="n"/>
    </row>
    <row r="3945" ht="14.25" customHeight="1" s="40">
      <c r="A3945" s="24" t="n"/>
      <c r="B3945" s="29" t="n"/>
      <c r="C3945" s="28" t="n"/>
      <c r="D3945" s="22">
        <f t="array" ref="D3945">IF($C3945="","",IFERROR(INDEX(DATA_MASTER!$C$2:$C$5000,MATCH($C3945,DATA_MASTER!$D$2:$D$5000,0)),""))</f>
        <v/>
      </c>
      <c r="E3945" s="22">
        <f t="array" ref="E3945">IF($C3945="","",IFERROR(INDEX(DATA_MASTER!$I$2:$I$5000,MATCH($C3945,DATA_MASTER!$D$2:$D$5000,0)),""))</f>
        <v/>
      </c>
      <c r="F3945" s="22">
        <f t="array" ref="F3945">IF($C3945="","",IFERROR(INDEX(DATA_MASTER!$L$2:$L$5000,MATCH($C3945,DATA_MASTER!$D$2:$D$5000,0)),""))</f>
        <v/>
      </c>
      <c r="G3945" s="24" t="n"/>
      <c r="H3945" s="24" t="n"/>
      <c r="I3945" s="30" t="n"/>
      <c r="J3945" s="23">
        <f>IF(OR($H3945="",$I3945=""),"",$H3945*$I3945)</f>
        <v/>
      </c>
      <c r="K3945" s="24" t="n"/>
      <c r="L3945" s="24" t="n"/>
      <c r="M3945" s="29" t="n"/>
      <c r="N3945" s="28" t="n"/>
      <c r="O3945" s="24" t="n"/>
      <c r="P3945" s="24" t="n"/>
      <c r="Q3945" s="24" t="n"/>
      <c r="R3945" s="24" t="n"/>
      <c r="S3945" s="22">
        <f>IF(AND($A3945="",$C3945=""),"",IF($A3945="","Thiếu mã đơn; ","")&amp;IF(COUNTIF($A$2:$A3945,$A3945)&gt;1,"Trùng mã đơn; ","")&amp;IF(ISNA(MATCH($C3945,DATA_MASTER!$D$2:$D$5000,0)),"SĐT chưa đăng ký hội viên; ","")&amp;IF(AND($L3945="Đã chuyển khoản",$M3945=""),"Thiếu ngày nhận CK; ",""))</f>
        <v/>
      </c>
      <c r="T3945" s="24" t="n"/>
    </row>
    <row r="3946" ht="14.25" customHeight="1" s="40">
      <c r="A3946" s="24" t="n"/>
      <c r="B3946" s="29" t="n"/>
      <c r="C3946" s="28" t="n"/>
      <c r="D3946" s="22">
        <f t="array" ref="D3946">IF($C3946="","",IFERROR(INDEX(DATA_MASTER!$C$2:$C$5000,MATCH($C3946,DATA_MASTER!$D$2:$D$5000,0)),""))</f>
        <v/>
      </c>
      <c r="E3946" s="22">
        <f t="array" ref="E3946">IF($C3946="","",IFERROR(INDEX(DATA_MASTER!$I$2:$I$5000,MATCH($C3946,DATA_MASTER!$D$2:$D$5000,0)),""))</f>
        <v/>
      </c>
      <c r="F3946" s="22">
        <f t="array" ref="F3946">IF($C3946="","",IFERROR(INDEX(DATA_MASTER!$L$2:$L$5000,MATCH($C3946,DATA_MASTER!$D$2:$D$5000,0)),""))</f>
        <v/>
      </c>
      <c r="G3946" s="24" t="n"/>
      <c r="H3946" s="24" t="n"/>
      <c r="I3946" s="30" t="n"/>
      <c r="J3946" s="23">
        <f>IF(OR($H3946="",$I3946=""),"",$H3946*$I3946)</f>
        <v/>
      </c>
      <c r="K3946" s="24" t="n"/>
      <c r="L3946" s="24" t="n"/>
      <c r="M3946" s="29" t="n"/>
      <c r="N3946" s="28" t="n"/>
      <c r="O3946" s="24" t="n"/>
      <c r="P3946" s="24" t="n"/>
      <c r="Q3946" s="24" t="n"/>
      <c r="R3946" s="24" t="n"/>
      <c r="S3946" s="22">
        <f>IF(AND($A3946="",$C3946=""),"",IF($A3946="","Thiếu mã đơn; ","")&amp;IF(COUNTIF($A$2:$A3946,$A3946)&gt;1,"Trùng mã đơn; ","")&amp;IF(ISNA(MATCH($C3946,DATA_MASTER!$D$2:$D$5000,0)),"SĐT chưa đăng ký hội viên; ","")&amp;IF(AND($L3946="Đã chuyển khoản",$M3946=""),"Thiếu ngày nhận CK; ",""))</f>
        <v/>
      </c>
      <c r="T3946" s="24" t="n"/>
    </row>
    <row r="3947" ht="14.25" customHeight="1" s="40">
      <c r="A3947" s="24" t="n"/>
      <c r="B3947" s="29" t="n"/>
      <c r="C3947" s="28" t="n"/>
      <c r="D3947" s="22">
        <f t="array" ref="D3947">IF($C3947="","",IFERROR(INDEX(DATA_MASTER!$C$2:$C$5000,MATCH($C3947,DATA_MASTER!$D$2:$D$5000,0)),""))</f>
        <v/>
      </c>
      <c r="E3947" s="22">
        <f t="array" ref="E3947">IF($C3947="","",IFERROR(INDEX(DATA_MASTER!$I$2:$I$5000,MATCH($C3947,DATA_MASTER!$D$2:$D$5000,0)),""))</f>
        <v/>
      </c>
      <c r="F3947" s="22">
        <f t="array" ref="F3947">IF($C3947="","",IFERROR(INDEX(DATA_MASTER!$L$2:$L$5000,MATCH($C3947,DATA_MASTER!$D$2:$D$5000,0)),""))</f>
        <v/>
      </c>
      <c r="G3947" s="24" t="n"/>
      <c r="H3947" s="24" t="n"/>
      <c r="I3947" s="30" t="n"/>
      <c r="J3947" s="23">
        <f>IF(OR($H3947="",$I3947=""),"",$H3947*$I3947)</f>
        <v/>
      </c>
      <c r="K3947" s="24" t="n"/>
      <c r="L3947" s="24" t="n"/>
      <c r="M3947" s="29" t="n"/>
      <c r="N3947" s="28" t="n"/>
      <c r="O3947" s="24" t="n"/>
      <c r="P3947" s="24" t="n"/>
      <c r="Q3947" s="24" t="n"/>
      <c r="R3947" s="24" t="n"/>
      <c r="S3947" s="22">
        <f>IF(AND($A3947="",$C3947=""),"",IF($A3947="","Thiếu mã đơn; ","")&amp;IF(COUNTIF($A$2:$A3947,$A3947)&gt;1,"Trùng mã đơn; ","")&amp;IF(ISNA(MATCH($C3947,DATA_MASTER!$D$2:$D$5000,0)),"SĐT chưa đăng ký hội viên; ","")&amp;IF(AND($L3947="Đã chuyển khoản",$M3947=""),"Thiếu ngày nhận CK; ",""))</f>
        <v/>
      </c>
      <c r="T3947" s="24" t="n"/>
    </row>
    <row r="3948" ht="14.25" customHeight="1" s="40">
      <c r="A3948" s="24" t="n"/>
      <c r="B3948" s="29" t="n"/>
      <c r="C3948" s="28" t="n"/>
      <c r="D3948" s="22">
        <f t="array" ref="D3948">IF($C3948="","",IFERROR(INDEX(DATA_MASTER!$C$2:$C$5000,MATCH($C3948,DATA_MASTER!$D$2:$D$5000,0)),""))</f>
        <v/>
      </c>
      <c r="E3948" s="22">
        <f t="array" ref="E3948">IF($C3948="","",IFERROR(INDEX(DATA_MASTER!$I$2:$I$5000,MATCH($C3948,DATA_MASTER!$D$2:$D$5000,0)),""))</f>
        <v/>
      </c>
      <c r="F3948" s="22">
        <f t="array" ref="F3948">IF($C3948="","",IFERROR(INDEX(DATA_MASTER!$L$2:$L$5000,MATCH($C3948,DATA_MASTER!$D$2:$D$5000,0)),""))</f>
        <v/>
      </c>
      <c r="G3948" s="24" t="n"/>
      <c r="H3948" s="24" t="n"/>
      <c r="I3948" s="30" t="n"/>
      <c r="J3948" s="23">
        <f>IF(OR($H3948="",$I3948=""),"",$H3948*$I3948)</f>
        <v/>
      </c>
      <c r="K3948" s="24" t="n"/>
      <c r="L3948" s="24" t="n"/>
      <c r="M3948" s="29" t="n"/>
      <c r="N3948" s="28" t="n"/>
      <c r="O3948" s="24" t="n"/>
      <c r="P3948" s="24" t="n"/>
      <c r="Q3948" s="24" t="n"/>
      <c r="R3948" s="24" t="n"/>
      <c r="S3948" s="22">
        <f>IF(AND($A3948="",$C3948=""),"",IF($A3948="","Thiếu mã đơn; ","")&amp;IF(COUNTIF($A$2:$A3948,$A3948)&gt;1,"Trùng mã đơn; ","")&amp;IF(ISNA(MATCH($C3948,DATA_MASTER!$D$2:$D$5000,0)),"SĐT chưa đăng ký hội viên; ","")&amp;IF(AND($L3948="Đã chuyển khoản",$M3948=""),"Thiếu ngày nhận CK; ",""))</f>
        <v/>
      </c>
      <c r="T3948" s="24" t="n"/>
    </row>
    <row r="3949" ht="14.25" customHeight="1" s="40">
      <c r="A3949" s="24" t="n"/>
      <c r="B3949" s="29" t="n"/>
      <c r="C3949" s="28" t="n"/>
      <c r="D3949" s="22">
        <f t="array" ref="D3949">IF($C3949="","",IFERROR(INDEX(DATA_MASTER!$C$2:$C$5000,MATCH($C3949,DATA_MASTER!$D$2:$D$5000,0)),""))</f>
        <v/>
      </c>
      <c r="E3949" s="22">
        <f t="array" ref="E3949">IF($C3949="","",IFERROR(INDEX(DATA_MASTER!$I$2:$I$5000,MATCH($C3949,DATA_MASTER!$D$2:$D$5000,0)),""))</f>
        <v/>
      </c>
      <c r="F3949" s="22">
        <f t="array" ref="F3949">IF($C3949="","",IFERROR(INDEX(DATA_MASTER!$L$2:$L$5000,MATCH($C3949,DATA_MASTER!$D$2:$D$5000,0)),""))</f>
        <v/>
      </c>
      <c r="G3949" s="24" t="n"/>
      <c r="H3949" s="24" t="n"/>
      <c r="I3949" s="30" t="n"/>
      <c r="J3949" s="23">
        <f>IF(OR($H3949="",$I3949=""),"",$H3949*$I3949)</f>
        <v/>
      </c>
      <c r="K3949" s="24" t="n"/>
      <c r="L3949" s="24" t="n"/>
      <c r="M3949" s="29" t="n"/>
      <c r="N3949" s="28" t="n"/>
      <c r="O3949" s="24" t="n"/>
      <c r="P3949" s="24" t="n"/>
      <c r="Q3949" s="24" t="n"/>
      <c r="R3949" s="24" t="n"/>
      <c r="S3949" s="22">
        <f>IF(AND($A3949="",$C3949=""),"",IF($A3949="","Thiếu mã đơn; ","")&amp;IF(COUNTIF($A$2:$A3949,$A3949)&gt;1,"Trùng mã đơn; ","")&amp;IF(ISNA(MATCH($C3949,DATA_MASTER!$D$2:$D$5000,0)),"SĐT chưa đăng ký hội viên; ","")&amp;IF(AND($L3949="Đã chuyển khoản",$M3949=""),"Thiếu ngày nhận CK; ",""))</f>
        <v/>
      </c>
      <c r="T3949" s="24" t="n"/>
    </row>
    <row r="3950" ht="14.25" customHeight="1" s="40">
      <c r="A3950" s="24" t="n"/>
      <c r="B3950" s="29" t="n"/>
      <c r="C3950" s="28" t="n"/>
      <c r="D3950" s="22">
        <f t="array" ref="D3950">IF($C3950="","",IFERROR(INDEX(DATA_MASTER!$C$2:$C$5000,MATCH($C3950,DATA_MASTER!$D$2:$D$5000,0)),""))</f>
        <v/>
      </c>
      <c r="E3950" s="22">
        <f t="array" ref="E3950">IF($C3950="","",IFERROR(INDEX(DATA_MASTER!$I$2:$I$5000,MATCH($C3950,DATA_MASTER!$D$2:$D$5000,0)),""))</f>
        <v/>
      </c>
      <c r="F3950" s="22">
        <f t="array" ref="F3950">IF($C3950="","",IFERROR(INDEX(DATA_MASTER!$L$2:$L$5000,MATCH($C3950,DATA_MASTER!$D$2:$D$5000,0)),""))</f>
        <v/>
      </c>
      <c r="G3950" s="24" t="n"/>
      <c r="H3950" s="24" t="n"/>
      <c r="I3950" s="30" t="n"/>
      <c r="J3950" s="23">
        <f>IF(OR($H3950="",$I3950=""),"",$H3950*$I3950)</f>
        <v/>
      </c>
      <c r="K3950" s="24" t="n"/>
      <c r="L3950" s="24" t="n"/>
      <c r="M3950" s="29" t="n"/>
      <c r="N3950" s="28" t="n"/>
      <c r="O3950" s="24" t="n"/>
      <c r="P3950" s="24" t="n"/>
      <c r="Q3950" s="24" t="n"/>
      <c r="R3950" s="24" t="n"/>
      <c r="S3950" s="22">
        <f>IF(AND($A3950="",$C3950=""),"",IF($A3950="","Thiếu mã đơn; ","")&amp;IF(COUNTIF($A$2:$A3950,$A3950)&gt;1,"Trùng mã đơn; ","")&amp;IF(ISNA(MATCH($C3950,DATA_MASTER!$D$2:$D$5000,0)),"SĐT chưa đăng ký hội viên; ","")&amp;IF(AND($L3950="Đã chuyển khoản",$M3950=""),"Thiếu ngày nhận CK; ",""))</f>
        <v/>
      </c>
      <c r="T3950" s="24" t="n"/>
    </row>
    <row r="3951" ht="14.25" customHeight="1" s="40">
      <c r="A3951" s="24" t="n"/>
      <c r="B3951" s="29" t="n"/>
      <c r="C3951" s="28" t="n"/>
      <c r="D3951" s="22">
        <f t="array" ref="D3951">IF($C3951="","",IFERROR(INDEX(DATA_MASTER!$C$2:$C$5000,MATCH($C3951,DATA_MASTER!$D$2:$D$5000,0)),""))</f>
        <v/>
      </c>
      <c r="E3951" s="22">
        <f t="array" ref="E3951">IF($C3951="","",IFERROR(INDEX(DATA_MASTER!$I$2:$I$5000,MATCH($C3951,DATA_MASTER!$D$2:$D$5000,0)),""))</f>
        <v/>
      </c>
      <c r="F3951" s="22">
        <f t="array" ref="F3951">IF($C3951="","",IFERROR(INDEX(DATA_MASTER!$L$2:$L$5000,MATCH($C3951,DATA_MASTER!$D$2:$D$5000,0)),""))</f>
        <v/>
      </c>
      <c r="G3951" s="24" t="n"/>
      <c r="H3951" s="24" t="n"/>
      <c r="I3951" s="30" t="n"/>
      <c r="J3951" s="23">
        <f>IF(OR($H3951="",$I3951=""),"",$H3951*$I3951)</f>
        <v/>
      </c>
      <c r="K3951" s="24" t="n"/>
      <c r="L3951" s="24" t="n"/>
      <c r="M3951" s="29" t="n"/>
      <c r="N3951" s="28" t="n"/>
      <c r="O3951" s="24" t="n"/>
      <c r="P3951" s="24" t="n"/>
      <c r="Q3951" s="24" t="n"/>
      <c r="R3951" s="24" t="n"/>
      <c r="S3951" s="22">
        <f>IF(AND($A3951="",$C3951=""),"",IF($A3951="","Thiếu mã đơn; ","")&amp;IF(COUNTIF($A$2:$A3951,$A3951)&gt;1,"Trùng mã đơn; ","")&amp;IF(ISNA(MATCH($C3951,DATA_MASTER!$D$2:$D$5000,0)),"SĐT chưa đăng ký hội viên; ","")&amp;IF(AND($L3951="Đã chuyển khoản",$M3951=""),"Thiếu ngày nhận CK; ",""))</f>
        <v/>
      </c>
      <c r="T3951" s="24" t="n"/>
    </row>
    <row r="3952" ht="14.25" customHeight="1" s="40">
      <c r="A3952" s="24" t="n"/>
      <c r="B3952" s="29" t="n"/>
      <c r="C3952" s="28" t="n"/>
      <c r="D3952" s="22">
        <f t="array" ref="D3952">IF($C3952="","",IFERROR(INDEX(DATA_MASTER!$C$2:$C$5000,MATCH($C3952,DATA_MASTER!$D$2:$D$5000,0)),""))</f>
        <v/>
      </c>
      <c r="E3952" s="22">
        <f t="array" ref="E3952">IF($C3952="","",IFERROR(INDEX(DATA_MASTER!$I$2:$I$5000,MATCH($C3952,DATA_MASTER!$D$2:$D$5000,0)),""))</f>
        <v/>
      </c>
      <c r="F3952" s="22">
        <f t="array" ref="F3952">IF($C3952="","",IFERROR(INDEX(DATA_MASTER!$L$2:$L$5000,MATCH($C3952,DATA_MASTER!$D$2:$D$5000,0)),""))</f>
        <v/>
      </c>
      <c r="G3952" s="24" t="n"/>
      <c r="H3952" s="24" t="n"/>
      <c r="I3952" s="30" t="n"/>
      <c r="J3952" s="23">
        <f>IF(OR($H3952="",$I3952=""),"",$H3952*$I3952)</f>
        <v/>
      </c>
      <c r="K3952" s="24" t="n"/>
      <c r="L3952" s="24" t="n"/>
      <c r="M3952" s="29" t="n"/>
      <c r="N3952" s="28" t="n"/>
      <c r="O3952" s="24" t="n"/>
      <c r="P3952" s="24" t="n"/>
      <c r="Q3952" s="24" t="n"/>
      <c r="R3952" s="24" t="n"/>
      <c r="S3952" s="22">
        <f>IF(AND($A3952="",$C3952=""),"",IF($A3952="","Thiếu mã đơn; ","")&amp;IF(COUNTIF($A$2:$A3952,$A3952)&gt;1,"Trùng mã đơn; ","")&amp;IF(ISNA(MATCH($C3952,DATA_MASTER!$D$2:$D$5000,0)),"SĐT chưa đăng ký hội viên; ","")&amp;IF(AND($L3952="Đã chuyển khoản",$M3952=""),"Thiếu ngày nhận CK; ",""))</f>
        <v/>
      </c>
      <c r="T3952" s="24" t="n"/>
    </row>
    <row r="3953" ht="14.25" customHeight="1" s="40">
      <c r="A3953" s="24" t="n"/>
      <c r="B3953" s="29" t="n"/>
      <c r="C3953" s="28" t="n"/>
      <c r="D3953" s="22">
        <f t="array" ref="D3953">IF($C3953="","",IFERROR(INDEX(DATA_MASTER!$C$2:$C$5000,MATCH($C3953,DATA_MASTER!$D$2:$D$5000,0)),""))</f>
        <v/>
      </c>
      <c r="E3953" s="22">
        <f t="array" ref="E3953">IF($C3953="","",IFERROR(INDEX(DATA_MASTER!$I$2:$I$5000,MATCH($C3953,DATA_MASTER!$D$2:$D$5000,0)),""))</f>
        <v/>
      </c>
      <c r="F3953" s="22">
        <f t="array" ref="F3953">IF($C3953="","",IFERROR(INDEX(DATA_MASTER!$L$2:$L$5000,MATCH($C3953,DATA_MASTER!$D$2:$D$5000,0)),""))</f>
        <v/>
      </c>
      <c r="G3953" s="24" t="n"/>
      <c r="H3953" s="24" t="n"/>
      <c r="I3953" s="30" t="n"/>
      <c r="J3953" s="23">
        <f>IF(OR($H3953="",$I3953=""),"",$H3953*$I3953)</f>
        <v/>
      </c>
      <c r="K3953" s="24" t="n"/>
      <c r="L3953" s="24" t="n"/>
      <c r="M3953" s="29" t="n"/>
      <c r="N3953" s="28" t="n"/>
      <c r="O3953" s="24" t="n"/>
      <c r="P3953" s="24" t="n"/>
      <c r="Q3953" s="24" t="n"/>
      <c r="R3953" s="24" t="n"/>
      <c r="S3953" s="22">
        <f>IF(AND($A3953="",$C3953=""),"",IF($A3953="","Thiếu mã đơn; ","")&amp;IF(COUNTIF($A$2:$A3953,$A3953)&gt;1,"Trùng mã đơn; ","")&amp;IF(ISNA(MATCH($C3953,DATA_MASTER!$D$2:$D$5000,0)),"SĐT chưa đăng ký hội viên; ","")&amp;IF(AND($L3953="Đã chuyển khoản",$M3953=""),"Thiếu ngày nhận CK; ",""))</f>
        <v/>
      </c>
      <c r="T3953" s="24" t="n"/>
    </row>
    <row r="3954" ht="14.25" customHeight="1" s="40">
      <c r="A3954" s="24" t="n"/>
      <c r="B3954" s="29" t="n"/>
      <c r="C3954" s="28" t="n"/>
      <c r="D3954" s="22">
        <f t="array" ref="D3954">IF($C3954="","",IFERROR(INDEX(DATA_MASTER!$C$2:$C$5000,MATCH($C3954,DATA_MASTER!$D$2:$D$5000,0)),""))</f>
        <v/>
      </c>
      <c r="E3954" s="22">
        <f t="array" ref="E3954">IF($C3954="","",IFERROR(INDEX(DATA_MASTER!$I$2:$I$5000,MATCH($C3954,DATA_MASTER!$D$2:$D$5000,0)),""))</f>
        <v/>
      </c>
      <c r="F3954" s="22">
        <f t="array" ref="F3954">IF($C3954="","",IFERROR(INDEX(DATA_MASTER!$L$2:$L$5000,MATCH($C3954,DATA_MASTER!$D$2:$D$5000,0)),""))</f>
        <v/>
      </c>
      <c r="G3954" s="24" t="n"/>
      <c r="H3954" s="24" t="n"/>
      <c r="I3954" s="30" t="n"/>
      <c r="J3954" s="23">
        <f>IF(OR($H3954="",$I3954=""),"",$H3954*$I3954)</f>
        <v/>
      </c>
      <c r="K3954" s="24" t="n"/>
      <c r="L3954" s="24" t="n"/>
      <c r="M3954" s="29" t="n"/>
      <c r="N3954" s="28" t="n"/>
      <c r="O3954" s="24" t="n"/>
      <c r="P3954" s="24" t="n"/>
      <c r="Q3954" s="24" t="n"/>
      <c r="R3954" s="24" t="n"/>
      <c r="S3954" s="22">
        <f>IF(AND($A3954="",$C3954=""),"",IF($A3954="","Thiếu mã đơn; ","")&amp;IF(COUNTIF($A$2:$A3954,$A3954)&gt;1,"Trùng mã đơn; ","")&amp;IF(ISNA(MATCH($C3954,DATA_MASTER!$D$2:$D$5000,0)),"SĐT chưa đăng ký hội viên; ","")&amp;IF(AND($L3954="Đã chuyển khoản",$M3954=""),"Thiếu ngày nhận CK; ",""))</f>
        <v/>
      </c>
      <c r="T3954" s="24" t="n"/>
    </row>
    <row r="3955" ht="14.25" customHeight="1" s="40">
      <c r="A3955" s="24" t="n"/>
      <c r="B3955" s="29" t="n"/>
      <c r="C3955" s="28" t="n"/>
      <c r="D3955" s="22">
        <f t="array" ref="D3955">IF($C3955="","",IFERROR(INDEX(DATA_MASTER!$C$2:$C$5000,MATCH($C3955,DATA_MASTER!$D$2:$D$5000,0)),""))</f>
        <v/>
      </c>
      <c r="E3955" s="22">
        <f t="array" ref="E3955">IF($C3955="","",IFERROR(INDEX(DATA_MASTER!$I$2:$I$5000,MATCH($C3955,DATA_MASTER!$D$2:$D$5000,0)),""))</f>
        <v/>
      </c>
      <c r="F3955" s="22">
        <f t="array" ref="F3955">IF($C3955="","",IFERROR(INDEX(DATA_MASTER!$L$2:$L$5000,MATCH($C3955,DATA_MASTER!$D$2:$D$5000,0)),""))</f>
        <v/>
      </c>
      <c r="G3955" s="24" t="n"/>
      <c r="H3955" s="24" t="n"/>
      <c r="I3955" s="30" t="n"/>
      <c r="J3955" s="23">
        <f>IF(OR($H3955="",$I3955=""),"",$H3955*$I3955)</f>
        <v/>
      </c>
      <c r="K3955" s="24" t="n"/>
      <c r="L3955" s="24" t="n"/>
      <c r="M3955" s="29" t="n"/>
      <c r="N3955" s="28" t="n"/>
      <c r="O3955" s="24" t="n"/>
      <c r="P3955" s="24" t="n"/>
      <c r="Q3955" s="24" t="n"/>
      <c r="R3955" s="24" t="n"/>
      <c r="S3955" s="22">
        <f>IF(AND($A3955="",$C3955=""),"",IF($A3955="","Thiếu mã đơn; ","")&amp;IF(COUNTIF($A$2:$A3955,$A3955)&gt;1,"Trùng mã đơn; ","")&amp;IF(ISNA(MATCH($C3955,DATA_MASTER!$D$2:$D$5000,0)),"SĐT chưa đăng ký hội viên; ","")&amp;IF(AND($L3955="Đã chuyển khoản",$M3955=""),"Thiếu ngày nhận CK; ",""))</f>
        <v/>
      </c>
      <c r="T3955" s="24" t="n"/>
    </row>
    <row r="3956" ht="14.25" customHeight="1" s="40">
      <c r="A3956" s="24" t="n"/>
      <c r="B3956" s="29" t="n"/>
      <c r="C3956" s="28" t="n"/>
      <c r="D3956" s="22">
        <f t="array" ref="D3956">IF($C3956="","",IFERROR(INDEX(DATA_MASTER!$C$2:$C$5000,MATCH($C3956,DATA_MASTER!$D$2:$D$5000,0)),""))</f>
        <v/>
      </c>
      <c r="E3956" s="22">
        <f t="array" ref="E3956">IF($C3956="","",IFERROR(INDEX(DATA_MASTER!$I$2:$I$5000,MATCH($C3956,DATA_MASTER!$D$2:$D$5000,0)),""))</f>
        <v/>
      </c>
      <c r="F3956" s="22">
        <f t="array" ref="F3956">IF($C3956="","",IFERROR(INDEX(DATA_MASTER!$L$2:$L$5000,MATCH($C3956,DATA_MASTER!$D$2:$D$5000,0)),""))</f>
        <v/>
      </c>
      <c r="G3956" s="24" t="n"/>
      <c r="H3956" s="24" t="n"/>
      <c r="I3956" s="30" t="n"/>
      <c r="J3956" s="23">
        <f>IF(OR($H3956="",$I3956=""),"",$H3956*$I3956)</f>
        <v/>
      </c>
      <c r="K3956" s="24" t="n"/>
      <c r="L3956" s="24" t="n"/>
      <c r="M3956" s="29" t="n"/>
      <c r="N3956" s="28" t="n"/>
      <c r="O3956" s="24" t="n"/>
      <c r="P3956" s="24" t="n"/>
      <c r="Q3956" s="24" t="n"/>
      <c r="R3956" s="24" t="n"/>
      <c r="S3956" s="22">
        <f>IF(AND($A3956="",$C3956=""),"",IF($A3956="","Thiếu mã đơn; ","")&amp;IF(COUNTIF($A$2:$A3956,$A3956)&gt;1,"Trùng mã đơn; ","")&amp;IF(ISNA(MATCH($C3956,DATA_MASTER!$D$2:$D$5000,0)),"SĐT chưa đăng ký hội viên; ","")&amp;IF(AND($L3956="Đã chuyển khoản",$M3956=""),"Thiếu ngày nhận CK; ",""))</f>
        <v/>
      </c>
      <c r="T3956" s="24" t="n"/>
    </row>
    <row r="3957" ht="14.25" customHeight="1" s="40">
      <c r="A3957" s="24" t="n"/>
      <c r="B3957" s="29" t="n"/>
      <c r="C3957" s="28" t="n"/>
      <c r="D3957" s="22">
        <f t="array" ref="D3957">IF($C3957="","",IFERROR(INDEX(DATA_MASTER!$C$2:$C$5000,MATCH($C3957,DATA_MASTER!$D$2:$D$5000,0)),""))</f>
        <v/>
      </c>
      <c r="E3957" s="22">
        <f t="array" ref="E3957">IF($C3957="","",IFERROR(INDEX(DATA_MASTER!$I$2:$I$5000,MATCH($C3957,DATA_MASTER!$D$2:$D$5000,0)),""))</f>
        <v/>
      </c>
      <c r="F3957" s="22">
        <f t="array" ref="F3957">IF($C3957="","",IFERROR(INDEX(DATA_MASTER!$L$2:$L$5000,MATCH($C3957,DATA_MASTER!$D$2:$D$5000,0)),""))</f>
        <v/>
      </c>
      <c r="G3957" s="24" t="n"/>
      <c r="H3957" s="24" t="n"/>
      <c r="I3957" s="30" t="n"/>
      <c r="J3957" s="23">
        <f>IF(OR($H3957="",$I3957=""),"",$H3957*$I3957)</f>
        <v/>
      </c>
      <c r="K3957" s="24" t="n"/>
      <c r="L3957" s="24" t="n"/>
      <c r="M3957" s="29" t="n"/>
      <c r="N3957" s="28" t="n"/>
      <c r="O3957" s="24" t="n"/>
      <c r="P3957" s="24" t="n"/>
      <c r="Q3957" s="24" t="n"/>
      <c r="R3957" s="24" t="n"/>
      <c r="S3957" s="22">
        <f>IF(AND($A3957="",$C3957=""),"",IF($A3957="","Thiếu mã đơn; ","")&amp;IF(COUNTIF($A$2:$A3957,$A3957)&gt;1,"Trùng mã đơn; ","")&amp;IF(ISNA(MATCH($C3957,DATA_MASTER!$D$2:$D$5000,0)),"SĐT chưa đăng ký hội viên; ","")&amp;IF(AND($L3957="Đã chuyển khoản",$M3957=""),"Thiếu ngày nhận CK; ",""))</f>
        <v/>
      </c>
      <c r="T3957" s="24" t="n"/>
    </row>
    <row r="3958" ht="14.25" customHeight="1" s="40">
      <c r="A3958" s="24" t="n"/>
      <c r="B3958" s="29" t="n"/>
      <c r="C3958" s="28" t="n"/>
      <c r="D3958" s="22">
        <f t="array" ref="D3958">IF($C3958="","",IFERROR(INDEX(DATA_MASTER!$C$2:$C$5000,MATCH($C3958,DATA_MASTER!$D$2:$D$5000,0)),""))</f>
        <v/>
      </c>
      <c r="E3958" s="22">
        <f t="array" ref="E3958">IF($C3958="","",IFERROR(INDEX(DATA_MASTER!$I$2:$I$5000,MATCH($C3958,DATA_MASTER!$D$2:$D$5000,0)),""))</f>
        <v/>
      </c>
      <c r="F3958" s="22">
        <f t="array" ref="F3958">IF($C3958="","",IFERROR(INDEX(DATA_MASTER!$L$2:$L$5000,MATCH($C3958,DATA_MASTER!$D$2:$D$5000,0)),""))</f>
        <v/>
      </c>
      <c r="G3958" s="24" t="n"/>
      <c r="H3958" s="24" t="n"/>
      <c r="I3958" s="30" t="n"/>
      <c r="J3958" s="23">
        <f>IF(OR($H3958="",$I3958=""),"",$H3958*$I3958)</f>
        <v/>
      </c>
      <c r="K3958" s="24" t="n"/>
      <c r="L3958" s="24" t="n"/>
      <c r="M3958" s="29" t="n"/>
      <c r="N3958" s="28" t="n"/>
      <c r="O3958" s="24" t="n"/>
      <c r="P3958" s="24" t="n"/>
      <c r="Q3958" s="24" t="n"/>
      <c r="R3958" s="24" t="n"/>
      <c r="S3958" s="22">
        <f>IF(AND($A3958="",$C3958=""),"",IF($A3958="","Thiếu mã đơn; ","")&amp;IF(COUNTIF($A$2:$A3958,$A3958)&gt;1,"Trùng mã đơn; ","")&amp;IF(ISNA(MATCH($C3958,DATA_MASTER!$D$2:$D$5000,0)),"SĐT chưa đăng ký hội viên; ","")&amp;IF(AND($L3958="Đã chuyển khoản",$M3958=""),"Thiếu ngày nhận CK; ",""))</f>
        <v/>
      </c>
      <c r="T3958" s="24" t="n"/>
    </row>
    <row r="3959" ht="14.25" customHeight="1" s="40">
      <c r="A3959" s="24" t="n"/>
      <c r="B3959" s="29" t="n"/>
      <c r="C3959" s="28" t="n"/>
      <c r="D3959" s="22">
        <f t="array" ref="D3959">IF($C3959="","",IFERROR(INDEX(DATA_MASTER!$C$2:$C$5000,MATCH($C3959,DATA_MASTER!$D$2:$D$5000,0)),""))</f>
        <v/>
      </c>
      <c r="E3959" s="22">
        <f t="array" ref="E3959">IF($C3959="","",IFERROR(INDEX(DATA_MASTER!$I$2:$I$5000,MATCH($C3959,DATA_MASTER!$D$2:$D$5000,0)),""))</f>
        <v/>
      </c>
      <c r="F3959" s="22">
        <f t="array" ref="F3959">IF($C3959="","",IFERROR(INDEX(DATA_MASTER!$L$2:$L$5000,MATCH($C3959,DATA_MASTER!$D$2:$D$5000,0)),""))</f>
        <v/>
      </c>
      <c r="G3959" s="24" t="n"/>
      <c r="H3959" s="24" t="n"/>
      <c r="I3959" s="30" t="n"/>
      <c r="J3959" s="23">
        <f>IF(OR($H3959="",$I3959=""),"",$H3959*$I3959)</f>
        <v/>
      </c>
      <c r="K3959" s="24" t="n"/>
      <c r="L3959" s="24" t="n"/>
      <c r="M3959" s="29" t="n"/>
      <c r="N3959" s="28" t="n"/>
      <c r="O3959" s="24" t="n"/>
      <c r="P3959" s="24" t="n"/>
      <c r="Q3959" s="24" t="n"/>
      <c r="R3959" s="24" t="n"/>
      <c r="S3959" s="22">
        <f>IF(AND($A3959="",$C3959=""),"",IF($A3959="","Thiếu mã đơn; ","")&amp;IF(COUNTIF($A$2:$A3959,$A3959)&gt;1,"Trùng mã đơn; ","")&amp;IF(ISNA(MATCH($C3959,DATA_MASTER!$D$2:$D$5000,0)),"SĐT chưa đăng ký hội viên; ","")&amp;IF(AND($L3959="Đã chuyển khoản",$M3959=""),"Thiếu ngày nhận CK; ",""))</f>
        <v/>
      </c>
      <c r="T3959" s="24" t="n"/>
    </row>
    <row r="3960" ht="14.25" customHeight="1" s="40">
      <c r="A3960" s="24" t="n"/>
      <c r="B3960" s="29" t="n"/>
      <c r="C3960" s="28" t="n"/>
      <c r="D3960" s="22">
        <f t="array" ref="D3960">IF($C3960="","",IFERROR(INDEX(DATA_MASTER!$C$2:$C$5000,MATCH($C3960,DATA_MASTER!$D$2:$D$5000,0)),""))</f>
        <v/>
      </c>
      <c r="E3960" s="22">
        <f t="array" ref="E3960">IF($C3960="","",IFERROR(INDEX(DATA_MASTER!$I$2:$I$5000,MATCH($C3960,DATA_MASTER!$D$2:$D$5000,0)),""))</f>
        <v/>
      </c>
      <c r="F3960" s="22">
        <f t="array" ref="F3960">IF($C3960="","",IFERROR(INDEX(DATA_MASTER!$L$2:$L$5000,MATCH($C3960,DATA_MASTER!$D$2:$D$5000,0)),""))</f>
        <v/>
      </c>
      <c r="G3960" s="24" t="n"/>
      <c r="H3960" s="24" t="n"/>
      <c r="I3960" s="30" t="n"/>
      <c r="J3960" s="23">
        <f>IF(OR($H3960="",$I3960=""),"",$H3960*$I3960)</f>
        <v/>
      </c>
      <c r="K3960" s="24" t="n"/>
      <c r="L3960" s="24" t="n"/>
      <c r="M3960" s="29" t="n"/>
      <c r="N3960" s="28" t="n"/>
      <c r="O3960" s="24" t="n"/>
      <c r="P3960" s="24" t="n"/>
      <c r="Q3960" s="24" t="n"/>
      <c r="R3960" s="24" t="n"/>
      <c r="S3960" s="22">
        <f>IF(AND($A3960="",$C3960=""),"",IF($A3960="","Thiếu mã đơn; ","")&amp;IF(COUNTIF($A$2:$A3960,$A3960)&gt;1,"Trùng mã đơn; ","")&amp;IF(ISNA(MATCH($C3960,DATA_MASTER!$D$2:$D$5000,0)),"SĐT chưa đăng ký hội viên; ","")&amp;IF(AND($L3960="Đã chuyển khoản",$M3960=""),"Thiếu ngày nhận CK; ",""))</f>
        <v/>
      </c>
      <c r="T3960" s="24" t="n"/>
    </row>
    <row r="3961" ht="14.25" customHeight="1" s="40">
      <c r="A3961" s="24" t="n"/>
      <c r="B3961" s="29" t="n"/>
      <c r="C3961" s="28" t="n"/>
      <c r="D3961" s="22">
        <f t="array" ref="D3961">IF($C3961="","",IFERROR(INDEX(DATA_MASTER!$C$2:$C$5000,MATCH($C3961,DATA_MASTER!$D$2:$D$5000,0)),""))</f>
        <v/>
      </c>
      <c r="E3961" s="22">
        <f t="array" ref="E3961">IF($C3961="","",IFERROR(INDEX(DATA_MASTER!$I$2:$I$5000,MATCH($C3961,DATA_MASTER!$D$2:$D$5000,0)),""))</f>
        <v/>
      </c>
      <c r="F3961" s="22">
        <f t="array" ref="F3961">IF($C3961="","",IFERROR(INDEX(DATA_MASTER!$L$2:$L$5000,MATCH($C3961,DATA_MASTER!$D$2:$D$5000,0)),""))</f>
        <v/>
      </c>
      <c r="G3961" s="24" t="n"/>
      <c r="H3961" s="24" t="n"/>
      <c r="I3961" s="30" t="n"/>
      <c r="J3961" s="23">
        <f>IF(OR($H3961="",$I3961=""),"",$H3961*$I3961)</f>
        <v/>
      </c>
      <c r="K3961" s="24" t="n"/>
      <c r="L3961" s="24" t="n"/>
      <c r="M3961" s="29" t="n"/>
      <c r="N3961" s="28" t="n"/>
      <c r="O3961" s="24" t="n"/>
      <c r="P3961" s="24" t="n"/>
      <c r="Q3961" s="24" t="n"/>
      <c r="R3961" s="24" t="n"/>
      <c r="S3961" s="22">
        <f>IF(AND($A3961="",$C3961=""),"",IF($A3961="","Thiếu mã đơn; ","")&amp;IF(COUNTIF($A$2:$A3961,$A3961)&gt;1,"Trùng mã đơn; ","")&amp;IF(ISNA(MATCH($C3961,DATA_MASTER!$D$2:$D$5000,0)),"SĐT chưa đăng ký hội viên; ","")&amp;IF(AND($L3961="Đã chuyển khoản",$M3961=""),"Thiếu ngày nhận CK; ",""))</f>
        <v/>
      </c>
      <c r="T3961" s="24" t="n"/>
    </row>
    <row r="3962" ht="14.25" customHeight="1" s="40">
      <c r="A3962" s="24" t="n"/>
      <c r="B3962" s="29" t="n"/>
      <c r="C3962" s="28" t="n"/>
      <c r="D3962" s="22">
        <f t="array" ref="D3962">IF($C3962="","",IFERROR(INDEX(DATA_MASTER!$C$2:$C$5000,MATCH($C3962,DATA_MASTER!$D$2:$D$5000,0)),""))</f>
        <v/>
      </c>
      <c r="E3962" s="22">
        <f t="array" ref="E3962">IF($C3962="","",IFERROR(INDEX(DATA_MASTER!$I$2:$I$5000,MATCH($C3962,DATA_MASTER!$D$2:$D$5000,0)),""))</f>
        <v/>
      </c>
      <c r="F3962" s="22">
        <f t="array" ref="F3962">IF($C3962="","",IFERROR(INDEX(DATA_MASTER!$L$2:$L$5000,MATCH($C3962,DATA_MASTER!$D$2:$D$5000,0)),""))</f>
        <v/>
      </c>
      <c r="G3962" s="24" t="n"/>
      <c r="H3962" s="24" t="n"/>
      <c r="I3962" s="30" t="n"/>
      <c r="J3962" s="23">
        <f>IF(OR($H3962="",$I3962=""),"",$H3962*$I3962)</f>
        <v/>
      </c>
      <c r="K3962" s="24" t="n"/>
      <c r="L3962" s="24" t="n"/>
      <c r="M3962" s="29" t="n"/>
      <c r="N3962" s="28" t="n"/>
      <c r="O3962" s="24" t="n"/>
      <c r="P3962" s="24" t="n"/>
      <c r="Q3962" s="24" t="n"/>
      <c r="R3962" s="24" t="n"/>
      <c r="S3962" s="22">
        <f>IF(AND($A3962="",$C3962=""),"",IF($A3962="","Thiếu mã đơn; ","")&amp;IF(COUNTIF($A$2:$A3962,$A3962)&gt;1,"Trùng mã đơn; ","")&amp;IF(ISNA(MATCH($C3962,DATA_MASTER!$D$2:$D$5000,0)),"SĐT chưa đăng ký hội viên; ","")&amp;IF(AND($L3962="Đã chuyển khoản",$M3962=""),"Thiếu ngày nhận CK; ",""))</f>
        <v/>
      </c>
      <c r="T3962" s="24" t="n"/>
    </row>
    <row r="3963" ht="14.25" customHeight="1" s="40">
      <c r="A3963" s="24" t="n"/>
      <c r="B3963" s="29" t="n"/>
      <c r="C3963" s="28" t="n"/>
      <c r="D3963" s="22">
        <f t="array" ref="D3963">IF($C3963="","",IFERROR(INDEX(DATA_MASTER!$C$2:$C$5000,MATCH($C3963,DATA_MASTER!$D$2:$D$5000,0)),""))</f>
        <v/>
      </c>
      <c r="E3963" s="22">
        <f t="array" ref="E3963">IF($C3963="","",IFERROR(INDEX(DATA_MASTER!$I$2:$I$5000,MATCH($C3963,DATA_MASTER!$D$2:$D$5000,0)),""))</f>
        <v/>
      </c>
      <c r="F3963" s="22">
        <f t="array" ref="F3963">IF($C3963="","",IFERROR(INDEX(DATA_MASTER!$L$2:$L$5000,MATCH($C3963,DATA_MASTER!$D$2:$D$5000,0)),""))</f>
        <v/>
      </c>
      <c r="G3963" s="24" t="n"/>
      <c r="H3963" s="24" t="n"/>
      <c r="I3963" s="30" t="n"/>
      <c r="J3963" s="23">
        <f>IF(OR($H3963="",$I3963=""),"",$H3963*$I3963)</f>
        <v/>
      </c>
      <c r="K3963" s="24" t="n"/>
      <c r="L3963" s="24" t="n"/>
      <c r="M3963" s="29" t="n"/>
      <c r="N3963" s="28" t="n"/>
      <c r="O3963" s="24" t="n"/>
      <c r="P3963" s="24" t="n"/>
      <c r="Q3963" s="24" t="n"/>
      <c r="R3963" s="24" t="n"/>
      <c r="S3963" s="22">
        <f>IF(AND($A3963="",$C3963=""),"",IF($A3963="","Thiếu mã đơn; ","")&amp;IF(COUNTIF($A$2:$A3963,$A3963)&gt;1,"Trùng mã đơn; ","")&amp;IF(ISNA(MATCH($C3963,DATA_MASTER!$D$2:$D$5000,0)),"SĐT chưa đăng ký hội viên; ","")&amp;IF(AND($L3963="Đã chuyển khoản",$M3963=""),"Thiếu ngày nhận CK; ",""))</f>
        <v/>
      </c>
      <c r="T3963" s="24" t="n"/>
    </row>
    <row r="3964" ht="14.25" customHeight="1" s="40">
      <c r="A3964" s="24" t="n"/>
      <c r="B3964" s="29" t="n"/>
      <c r="C3964" s="28" t="n"/>
      <c r="D3964" s="22">
        <f t="array" ref="D3964">IF($C3964="","",IFERROR(INDEX(DATA_MASTER!$C$2:$C$5000,MATCH($C3964,DATA_MASTER!$D$2:$D$5000,0)),""))</f>
        <v/>
      </c>
      <c r="E3964" s="22">
        <f t="array" ref="E3964">IF($C3964="","",IFERROR(INDEX(DATA_MASTER!$I$2:$I$5000,MATCH($C3964,DATA_MASTER!$D$2:$D$5000,0)),""))</f>
        <v/>
      </c>
      <c r="F3964" s="22">
        <f t="array" ref="F3964">IF($C3964="","",IFERROR(INDEX(DATA_MASTER!$L$2:$L$5000,MATCH($C3964,DATA_MASTER!$D$2:$D$5000,0)),""))</f>
        <v/>
      </c>
      <c r="G3964" s="24" t="n"/>
      <c r="H3964" s="24" t="n"/>
      <c r="I3964" s="30" t="n"/>
      <c r="J3964" s="23">
        <f>IF(OR($H3964="",$I3964=""),"",$H3964*$I3964)</f>
        <v/>
      </c>
      <c r="K3964" s="24" t="n"/>
      <c r="L3964" s="24" t="n"/>
      <c r="M3964" s="29" t="n"/>
      <c r="N3964" s="28" t="n"/>
      <c r="O3964" s="24" t="n"/>
      <c r="P3964" s="24" t="n"/>
      <c r="Q3964" s="24" t="n"/>
      <c r="R3964" s="24" t="n"/>
      <c r="S3964" s="22">
        <f>IF(AND($A3964="",$C3964=""),"",IF($A3964="","Thiếu mã đơn; ","")&amp;IF(COUNTIF($A$2:$A3964,$A3964)&gt;1,"Trùng mã đơn; ","")&amp;IF(ISNA(MATCH($C3964,DATA_MASTER!$D$2:$D$5000,0)),"SĐT chưa đăng ký hội viên; ","")&amp;IF(AND($L3964="Đã chuyển khoản",$M3964=""),"Thiếu ngày nhận CK; ",""))</f>
        <v/>
      </c>
      <c r="T3964" s="24" t="n"/>
    </row>
    <row r="3965" ht="14.25" customHeight="1" s="40">
      <c r="A3965" s="24" t="n"/>
      <c r="B3965" s="29" t="n"/>
      <c r="C3965" s="28" t="n"/>
      <c r="D3965" s="22">
        <f t="array" ref="D3965">IF($C3965="","",IFERROR(INDEX(DATA_MASTER!$C$2:$C$5000,MATCH($C3965,DATA_MASTER!$D$2:$D$5000,0)),""))</f>
        <v/>
      </c>
      <c r="E3965" s="22">
        <f t="array" ref="E3965">IF($C3965="","",IFERROR(INDEX(DATA_MASTER!$I$2:$I$5000,MATCH($C3965,DATA_MASTER!$D$2:$D$5000,0)),""))</f>
        <v/>
      </c>
      <c r="F3965" s="22">
        <f t="array" ref="F3965">IF($C3965="","",IFERROR(INDEX(DATA_MASTER!$L$2:$L$5000,MATCH($C3965,DATA_MASTER!$D$2:$D$5000,0)),""))</f>
        <v/>
      </c>
      <c r="G3965" s="24" t="n"/>
      <c r="H3965" s="24" t="n"/>
      <c r="I3965" s="30" t="n"/>
      <c r="J3965" s="23">
        <f>IF(OR($H3965="",$I3965=""),"",$H3965*$I3965)</f>
        <v/>
      </c>
      <c r="K3965" s="24" t="n"/>
      <c r="L3965" s="24" t="n"/>
      <c r="M3965" s="29" t="n"/>
      <c r="N3965" s="28" t="n"/>
      <c r="O3965" s="24" t="n"/>
      <c r="P3965" s="24" t="n"/>
      <c r="Q3965" s="24" t="n"/>
      <c r="R3965" s="24" t="n"/>
      <c r="S3965" s="22">
        <f>IF(AND($A3965="",$C3965=""),"",IF($A3965="","Thiếu mã đơn; ","")&amp;IF(COUNTIF($A$2:$A3965,$A3965)&gt;1,"Trùng mã đơn; ","")&amp;IF(ISNA(MATCH($C3965,DATA_MASTER!$D$2:$D$5000,0)),"SĐT chưa đăng ký hội viên; ","")&amp;IF(AND($L3965="Đã chuyển khoản",$M3965=""),"Thiếu ngày nhận CK; ",""))</f>
        <v/>
      </c>
      <c r="T3965" s="24" t="n"/>
    </row>
    <row r="3966" ht="14.25" customHeight="1" s="40">
      <c r="A3966" s="24" t="n"/>
      <c r="B3966" s="29" t="n"/>
      <c r="C3966" s="28" t="n"/>
      <c r="D3966" s="22">
        <f t="array" ref="D3966">IF($C3966="","",IFERROR(INDEX(DATA_MASTER!$C$2:$C$5000,MATCH($C3966,DATA_MASTER!$D$2:$D$5000,0)),""))</f>
        <v/>
      </c>
      <c r="E3966" s="22">
        <f t="array" ref="E3966">IF($C3966="","",IFERROR(INDEX(DATA_MASTER!$I$2:$I$5000,MATCH($C3966,DATA_MASTER!$D$2:$D$5000,0)),""))</f>
        <v/>
      </c>
      <c r="F3966" s="22">
        <f t="array" ref="F3966">IF($C3966="","",IFERROR(INDEX(DATA_MASTER!$L$2:$L$5000,MATCH($C3966,DATA_MASTER!$D$2:$D$5000,0)),""))</f>
        <v/>
      </c>
      <c r="G3966" s="24" t="n"/>
      <c r="H3966" s="24" t="n"/>
      <c r="I3966" s="30" t="n"/>
      <c r="J3966" s="23">
        <f>IF(OR($H3966="",$I3966=""),"",$H3966*$I3966)</f>
        <v/>
      </c>
      <c r="K3966" s="24" t="n"/>
      <c r="L3966" s="24" t="n"/>
      <c r="M3966" s="29" t="n"/>
      <c r="N3966" s="28" t="n"/>
      <c r="O3966" s="24" t="n"/>
      <c r="P3966" s="24" t="n"/>
      <c r="Q3966" s="24" t="n"/>
      <c r="R3966" s="24" t="n"/>
      <c r="S3966" s="22">
        <f>IF(AND($A3966="",$C3966=""),"",IF($A3966="","Thiếu mã đơn; ","")&amp;IF(COUNTIF($A$2:$A3966,$A3966)&gt;1,"Trùng mã đơn; ","")&amp;IF(ISNA(MATCH($C3966,DATA_MASTER!$D$2:$D$5000,0)),"SĐT chưa đăng ký hội viên; ","")&amp;IF(AND($L3966="Đã chuyển khoản",$M3966=""),"Thiếu ngày nhận CK; ",""))</f>
        <v/>
      </c>
      <c r="T3966" s="24" t="n"/>
    </row>
    <row r="3967" ht="14.25" customHeight="1" s="40">
      <c r="A3967" s="24" t="n"/>
      <c r="B3967" s="29" t="n"/>
      <c r="C3967" s="28" t="n"/>
      <c r="D3967" s="22">
        <f t="array" ref="D3967">IF($C3967="","",IFERROR(INDEX(DATA_MASTER!$C$2:$C$5000,MATCH($C3967,DATA_MASTER!$D$2:$D$5000,0)),""))</f>
        <v/>
      </c>
      <c r="E3967" s="22">
        <f t="array" ref="E3967">IF($C3967="","",IFERROR(INDEX(DATA_MASTER!$I$2:$I$5000,MATCH($C3967,DATA_MASTER!$D$2:$D$5000,0)),""))</f>
        <v/>
      </c>
      <c r="F3967" s="22">
        <f t="array" ref="F3967">IF($C3967="","",IFERROR(INDEX(DATA_MASTER!$L$2:$L$5000,MATCH($C3967,DATA_MASTER!$D$2:$D$5000,0)),""))</f>
        <v/>
      </c>
      <c r="G3967" s="24" t="n"/>
      <c r="H3967" s="24" t="n"/>
      <c r="I3967" s="30" t="n"/>
      <c r="J3967" s="23">
        <f>IF(OR($H3967="",$I3967=""),"",$H3967*$I3967)</f>
        <v/>
      </c>
      <c r="K3967" s="24" t="n"/>
      <c r="L3967" s="24" t="n"/>
      <c r="M3967" s="29" t="n"/>
      <c r="N3967" s="28" t="n"/>
      <c r="O3967" s="24" t="n"/>
      <c r="P3967" s="24" t="n"/>
      <c r="Q3967" s="24" t="n"/>
      <c r="R3967" s="24" t="n"/>
      <c r="S3967" s="22">
        <f>IF(AND($A3967="",$C3967=""),"",IF($A3967="","Thiếu mã đơn; ","")&amp;IF(COUNTIF($A$2:$A3967,$A3967)&gt;1,"Trùng mã đơn; ","")&amp;IF(ISNA(MATCH($C3967,DATA_MASTER!$D$2:$D$5000,0)),"SĐT chưa đăng ký hội viên; ","")&amp;IF(AND($L3967="Đã chuyển khoản",$M3967=""),"Thiếu ngày nhận CK; ",""))</f>
        <v/>
      </c>
      <c r="T3967" s="24" t="n"/>
    </row>
    <row r="3968" ht="14.25" customHeight="1" s="40">
      <c r="A3968" s="24" t="n"/>
      <c r="B3968" s="29" t="n"/>
      <c r="C3968" s="28" t="n"/>
      <c r="D3968" s="22">
        <f t="array" ref="D3968">IF($C3968="","",IFERROR(INDEX(DATA_MASTER!$C$2:$C$5000,MATCH($C3968,DATA_MASTER!$D$2:$D$5000,0)),""))</f>
        <v/>
      </c>
      <c r="E3968" s="22">
        <f t="array" ref="E3968">IF($C3968="","",IFERROR(INDEX(DATA_MASTER!$I$2:$I$5000,MATCH($C3968,DATA_MASTER!$D$2:$D$5000,0)),""))</f>
        <v/>
      </c>
      <c r="F3968" s="22">
        <f t="array" ref="F3968">IF($C3968="","",IFERROR(INDEX(DATA_MASTER!$L$2:$L$5000,MATCH($C3968,DATA_MASTER!$D$2:$D$5000,0)),""))</f>
        <v/>
      </c>
      <c r="G3968" s="24" t="n"/>
      <c r="H3968" s="24" t="n"/>
      <c r="I3968" s="30" t="n"/>
      <c r="J3968" s="23">
        <f>IF(OR($H3968="",$I3968=""),"",$H3968*$I3968)</f>
        <v/>
      </c>
      <c r="K3968" s="24" t="n"/>
      <c r="L3968" s="24" t="n"/>
      <c r="M3968" s="29" t="n"/>
      <c r="N3968" s="28" t="n"/>
      <c r="O3968" s="24" t="n"/>
      <c r="P3968" s="24" t="n"/>
      <c r="Q3968" s="24" t="n"/>
      <c r="R3968" s="24" t="n"/>
      <c r="S3968" s="22">
        <f>IF(AND($A3968="",$C3968=""),"",IF($A3968="","Thiếu mã đơn; ","")&amp;IF(COUNTIF($A$2:$A3968,$A3968)&gt;1,"Trùng mã đơn; ","")&amp;IF(ISNA(MATCH($C3968,DATA_MASTER!$D$2:$D$5000,0)),"SĐT chưa đăng ký hội viên; ","")&amp;IF(AND($L3968="Đã chuyển khoản",$M3968=""),"Thiếu ngày nhận CK; ",""))</f>
        <v/>
      </c>
      <c r="T3968" s="24" t="n"/>
    </row>
    <row r="3969" ht="14.25" customHeight="1" s="40">
      <c r="A3969" s="24" t="n"/>
      <c r="B3969" s="29" t="n"/>
      <c r="C3969" s="28" t="n"/>
      <c r="D3969" s="22">
        <f t="array" ref="D3969">IF($C3969="","",IFERROR(INDEX(DATA_MASTER!$C$2:$C$5000,MATCH($C3969,DATA_MASTER!$D$2:$D$5000,0)),""))</f>
        <v/>
      </c>
      <c r="E3969" s="22">
        <f t="array" ref="E3969">IF($C3969="","",IFERROR(INDEX(DATA_MASTER!$I$2:$I$5000,MATCH($C3969,DATA_MASTER!$D$2:$D$5000,0)),""))</f>
        <v/>
      </c>
      <c r="F3969" s="22">
        <f t="array" ref="F3969">IF($C3969="","",IFERROR(INDEX(DATA_MASTER!$L$2:$L$5000,MATCH($C3969,DATA_MASTER!$D$2:$D$5000,0)),""))</f>
        <v/>
      </c>
      <c r="G3969" s="24" t="n"/>
      <c r="H3969" s="24" t="n"/>
      <c r="I3969" s="30" t="n"/>
      <c r="J3969" s="23">
        <f>IF(OR($H3969="",$I3969=""),"",$H3969*$I3969)</f>
        <v/>
      </c>
      <c r="K3969" s="24" t="n"/>
      <c r="L3969" s="24" t="n"/>
      <c r="M3969" s="29" t="n"/>
      <c r="N3969" s="28" t="n"/>
      <c r="O3969" s="24" t="n"/>
      <c r="P3969" s="24" t="n"/>
      <c r="Q3969" s="24" t="n"/>
      <c r="R3969" s="24" t="n"/>
      <c r="S3969" s="22">
        <f>IF(AND($A3969="",$C3969=""),"",IF($A3969="","Thiếu mã đơn; ","")&amp;IF(COUNTIF($A$2:$A3969,$A3969)&gt;1,"Trùng mã đơn; ","")&amp;IF(ISNA(MATCH($C3969,DATA_MASTER!$D$2:$D$5000,0)),"SĐT chưa đăng ký hội viên; ","")&amp;IF(AND($L3969="Đã chuyển khoản",$M3969=""),"Thiếu ngày nhận CK; ",""))</f>
        <v/>
      </c>
      <c r="T3969" s="24" t="n"/>
    </row>
    <row r="3970" ht="14.25" customHeight="1" s="40">
      <c r="A3970" s="24" t="n"/>
      <c r="B3970" s="29" t="n"/>
      <c r="C3970" s="28" t="n"/>
      <c r="D3970" s="22">
        <f t="array" ref="D3970">IF($C3970="","",IFERROR(INDEX(DATA_MASTER!$C$2:$C$5000,MATCH($C3970,DATA_MASTER!$D$2:$D$5000,0)),""))</f>
        <v/>
      </c>
      <c r="E3970" s="22">
        <f t="array" ref="E3970">IF($C3970="","",IFERROR(INDEX(DATA_MASTER!$I$2:$I$5000,MATCH($C3970,DATA_MASTER!$D$2:$D$5000,0)),""))</f>
        <v/>
      </c>
      <c r="F3970" s="22">
        <f t="array" ref="F3970">IF($C3970="","",IFERROR(INDEX(DATA_MASTER!$L$2:$L$5000,MATCH($C3970,DATA_MASTER!$D$2:$D$5000,0)),""))</f>
        <v/>
      </c>
      <c r="G3970" s="24" t="n"/>
      <c r="H3970" s="24" t="n"/>
      <c r="I3970" s="30" t="n"/>
      <c r="J3970" s="23">
        <f>IF(OR($H3970="",$I3970=""),"",$H3970*$I3970)</f>
        <v/>
      </c>
      <c r="K3970" s="24" t="n"/>
      <c r="L3970" s="24" t="n"/>
      <c r="M3970" s="29" t="n"/>
      <c r="N3970" s="28" t="n"/>
      <c r="O3970" s="24" t="n"/>
      <c r="P3970" s="24" t="n"/>
      <c r="Q3970" s="24" t="n"/>
      <c r="R3970" s="24" t="n"/>
      <c r="S3970" s="22">
        <f>IF(AND($A3970="",$C3970=""),"",IF($A3970="","Thiếu mã đơn; ","")&amp;IF(COUNTIF($A$2:$A3970,$A3970)&gt;1,"Trùng mã đơn; ","")&amp;IF(ISNA(MATCH($C3970,DATA_MASTER!$D$2:$D$5000,0)),"SĐT chưa đăng ký hội viên; ","")&amp;IF(AND($L3970="Đã chuyển khoản",$M3970=""),"Thiếu ngày nhận CK; ",""))</f>
        <v/>
      </c>
      <c r="T3970" s="24" t="n"/>
    </row>
    <row r="3971" ht="14.25" customHeight="1" s="40">
      <c r="A3971" s="24" t="n"/>
      <c r="B3971" s="29" t="n"/>
      <c r="C3971" s="28" t="n"/>
      <c r="D3971" s="22">
        <f t="array" ref="D3971">IF($C3971="","",IFERROR(INDEX(DATA_MASTER!$C$2:$C$5000,MATCH($C3971,DATA_MASTER!$D$2:$D$5000,0)),""))</f>
        <v/>
      </c>
      <c r="E3971" s="22">
        <f t="array" ref="E3971">IF($C3971="","",IFERROR(INDEX(DATA_MASTER!$I$2:$I$5000,MATCH($C3971,DATA_MASTER!$D$2:$D$5000,0)),""))</f>
        <v/>
      </c>
      <c r="F3971" s="22">
        <f t="array" ref="F3971">IF($C3971="","",IFERROR(INDEX(DATA_MASTER!$L$2:$L$5000,MATCH($C3971,DATA_MASTER!$D$2:$D$5000,0)),""))</f>
        <v/>
      </c>
      <c r="G3971" s="24" t="n"/>
      <c r="H3971" s="24" t="n"/>
      <c r="I3971" s="30" t="n"/>
      <c r="J3971" s="23">
        <f>IF(OR($H3971="",$I3971=""),"",$H3971*$I3971)</f>
        <v/>
      </c>
      <c r="K3971" s="24" t="n"/>
      <c r="L3971" s="24" t="n"/>
      <c r="M3971" s="29" t="n"/>
      <c r="N3971" s="28" t="n"/>
      <c r="O3971" s="24" t="n"/>
      <c r="P3971" s="24" t="n"/>
      <c r="Q3971" s="24" t="n"/>
      <c r="R3971" s="24" t="n"/>
      <c r="S3971" s="22">
        <f>IF(AND($A3971="",$C3971=""),"",IF($A3971="","Thiếu mã đơn; ","")&amp;IF(COUNTIF($A$2:$A3971,$A3971)&gt;1,"Trùng mã đơn; ","")&amp;IF(ISNA(MATCH($C3971,DATA_MASTER!$D$2:$D$5000,0)),"SĐT chưa đăng ký hội viên; ","")&amp;IF(AND($L3971="Đã chuyển khoản",$M3971=""),"Thiếu ngày nhận CK; ",""))</f>
        <v/>
      </c>
      <c r="T3971" s="24" t="n"/>
    </row>
    <row r="3972" ht="14.25" customHeight="1" s="40">
      <c r="A3972" s="24" t="n"/>
      <c r="B3972" s="29" t="n"/>
      <c r="C3972" s="28" t="n"/>
      <c r="D3972" s="22">
        <f t="array" ref="D3972">IF($C3972="","",IFERROR(INDEX(DATA_MASTER!$C$2:$C$5000,MATCH($C3972,DATA_MASTER!$D$2:$D$5000,0)),""))</f>
        <v/>
      </c>
      <c r="E3972" s="22">
        <f t="array" ref="E3972">IF($C3972="","",IFERROR(INDEX(DATA_MASTER!$I$2:$I$5000,MATCH($C3972,DATA_MASTER!$D$2:$D$5000,0)),""))</f>
        <v/>
      </c>
      <c r="F3972" s="22">
        <f t="array" ref="F3972">IF($C3972="","",IFERROR(INDEX(DATA_MASTER!$L$2:$L$5000,MATCH($C3972,DATA_MASTER!$D$2:$D$5000,0)),""))</f>
        <v/>
      </c>
      <c r="G3972" s="24" t="n"/>
      <c r="H3972" s="24" t="n"/>
      <c r="I3972" s="30" t="n"/>
      <c r="J3972" s="23">
        <f>IF(OR($H3972="",$I3972=""),"",$H3972*$I3972)</f>
        <v/>
      </c>
      <c r="K3972" s="24" t="n"/>
      <c r="L3972" s="24" t="n"/>
      <c r="M3972" s="29" t="n"/>
      <c r="N3972" s="28" t="n"/>
      <c r="O3972" s="24" t="n"/>
      <c r="P3972" s="24" t="n"/>
      <c r="Q3972" s="24" t="n"/>
      <c r="R3972" s="24" t="n"/>
      <c r="S3972" s="22">
        <f>IF(AND($A3972="",$C3972=""),"",IF($A3972="","Thiếu mã đơn; ","")&amp;IF(COUNTIF($A$2:$A3972,$A3972)&gt;1,"Trùng mã đơn; ","")&amp;IF(ISNA(MATCH($C3972,DATA_MASTER!$D$2:$D$5000,0)),"SĐT chưa đăng ký hội viên; ","")&amp;IF(AND($L3972="Đã chuyển khoản",$M3972=""),"Thiếu ngày nhận CK; ",""))</f>
        <v/>
      </c>
      <c r="T3972" s="24" t="n"/>
    </row>
    <row r="3973" ht="14.25" customHeight="1" s="40">
      <c r="A3973" s="24" t="n"/>
      <c r="B3973" s="29" t="n"/>
      <c r="C3973" s="28" t="n"/>
      <c r="D3973" s="22">
        <f t="array" ref="D3973">IF($C3973="","",IFERROR(INDEX(DATA_MASTER!$C$2:$C$5000,MATCH($C3973,DATA_MASTER!$D$2:$D$5000,0)),""))</f>
        <v/>
      </c>
      <c r="E3973" s="22">
        <f t="array" ref="E3973">IF($C3973="","",IFERROR(INDEX(DATA_MASTER!$I$2:$I$5000,MATCH($C3973,DATA_MASTER!$D$2:$D$5000,0)),""))</f>
        <v/>
      </c>
      <c r="F3973" s="22">
        <f t="array" ref="F3973">IF($C3973="","",IFERROR(INDEX(DATA_MASTER!$L$2:$L$5000,MATCH($C3973,DATA_MASTER!$D$2:$D$5000,0)),""))</f>
        <v/>
      </c>
      <c r="G3973" s="24" t="n"/>
      <c r="H3973" s="24" t="n"/>
      <c r="I3973" s="30" t="n"/>
      <c r="J3973" s="23">
        <f>IF(OR($H3973="",$I3973=""),"",$H3973*$I3973)</f>
        <v/>
      </c>
      <c r="K3973" s="24" t="n"/>
      <c r="L3973" s="24" t="n"/>
      <c r="M3973" s="29" t="n"/>
      <c r="N3973" s="28" t="n"/>
      <c r="O3973" s="24" t="n"/>
      <c r="P3973" s="24" t="n"/>
      <c r="Q3973" s="24" t="n"/>
      <c r="R3973" s="24" t="n"/>
      <c r="S3973" s="22">
        <f>IF(AND($A3973="",$C3973=""),"",IF($A3973="","Thiếu mã đơn; ","")&amp;IF(COUNTIF($A$2:$A3973,$A3973)&gt;1,"Trùng mã đơn; ","")&amp;IF(ISNA(MATCH($C3973,DATA_MASTER!$D$2:$D$5000,0)),"SĐT chưa đăng ký hội viên; ","")&amp;IF(AND($L3973="Đã chuyển khoản",$M3973=""),"Thiếu ngày nhận CK; ",""))</f>
        <v/>
      </c>
      <c r="T3973" s="24" t="n"/>
    </row>
    <row r="3974" ht="14.25" customHeight="1" s="40">
      <c r="A3974" s="24" t="n"/>
      <c r="B3974" s="29" t="n"/>
      <c r="C3974" s="28" t="n"/>
      <c r="D3974" s="22">
        <f t="array" ref="D3974">IF($C3974="","",IFERROR(INDEX(DATA_MASTER!$C$2:$C$5000,MATCH($C3974,DATA_MASTER!$D$2:$D$5000,0)),""))</f>
        <v/>
      </c>
      <c r="E3974" s="22">
        <f t="array" ref="E3974">IF($C3974="","",IFERROR(INDEX(DATA_MASTER!$I$2:$I$5000,MATCH($C3974,DATA_MASTER!$D$2:$D$5000,0)),""))</f>
        <v/>
      </c>
      <c r="F3974" s="22">
        <f t="array" ref="F3974">IF($C3974="","",IFERROR(INDEX(DATA_MASTER!$L$2:$L$5000,MATCH($C3974,DATA_MASTER!$D$2:$D$5000,0)),""))</f>
        <v/>
      </c>
      <c r="G3974" s="24" t="n"/>
      <c r="H3974" s="24" t="n"/>
      <c r="I3974" s="30" t="n"/>
      <c r="J3974" s="23">
        <f>IF(OR($H3974="",$I3974=""),"",$H3974*$I3974)</f>
        <v/>
      </c>
      <c r="K3974" s="24" t="n"/>
      <c r="L3974" s="24" t="n"/>
      <c r="M3974" s="29" t="n"/>
      <c r="N3974" s="28" t="n"/>
      <c r="O3974" s="24" t="n"/>
      <c r="P3974" s="24" t="n"/>
      <c r="Q3974" s="24" t="n"/>
      <c r="R3974" s="24" t="n"/>
      <c r="S3974" s="22">
        <f>IF(AND($A3974="",$C3974=""),"",IF($A3974="","Thiếu mã đơn; ","")&amp;IF(COUNTIF($A$2:$A3974,$A3974)&gt;1,"Trùng mã đơn; ","")&amp;IF(ISNA(MATCH($C3974,DATA_MASTER!$D$2:$D$5000,0)),"SĐT chưa đăng ký hội viên; ","")&amp;IF(AND($L3974="Đã chuyển khoản",$M3974=""),"Thiếu ngày nhận CK; ",""))</f>
        <v/>
      </c>
      <c r="T3974" s="24" t="n"/>
    </row>
    <row r="3975" ht="14.25" customHeight="1" s="40">
      <c r="A3975" s="24" t="n"/>
      <c r="B3975" s="29" t="n"/>
      <c r="C3975" s="28" t="n"/>
      <c r="D3975" s="22">
        <f t="array" ref="D3975">IF($C3975="","",IFERROR(INDEX(DATA_MASTER!$C$2:$C$5000,MATCH($C3975,DATA_MASTER!$D$2:$D$5000,0)),""))</f>
        <v/>
      </c>
      <c r="E3975" s="22">
        <f t="array" ref="E3975">IF($C3975="","",IFERROR(INDEX(DATA_MASTER!$I$2:$I$5000,MATCH($C3975,DATA_MASTER!$D$2:$D$5000,0)),""))</f>
        <v/>
      </c>
      <c r="F3975" s="22">
        <f t="array" ref="F3975">IF($C3975="","",IFERROR(INDEX(DATA_MASTER!$L$2:$L$5000,MATCH($C3975,DATA_MASTER!$D$2:$D$5000,0)),""))</f>
        <v/>
      </c>
      <c r="G3975" s="24" t="n"/>
      <c r="H3975" s="24" t="n"/>
      <c r="I3975" s="30" t="n"/>
      <c r="J3975" s="23">
        <f>IF(OR($H3975="",$I3975=""),"",$H3975*$I3975)</f>
        <v/>
      </c>
      <c r="K3975" s="24" t="n"/>
      <c r="L3975" s="24" t="n"/>
      <c r="M3975" s="29" t="n"/>
      <c r="N3975" s="28" t="n"/>
      <c r="O3975" s="24" t="n"/>
      <c r="P3975" s="24" t="n"/>
      <c r="Q3975" s="24" t="n"/>
      <c r="R3975" s="24" t="n"/>
      <c r="S3975" s="22">
        <f>IF(AND($A3975="",$C3975=""),"",IF($A3975="","Thiếu mã đơn; ","")&amp;IF(COUNTIF($A$2:$A3975,$A3975)&gt;1,"Trùng mã đơn; ","")&amp;IF(ISNA(MATCH($C3975,DATA_MASTER!$D$2:$D$5000,0)),"SĐT chưa đăng ký hội viên; ","")&amp;IF(AND($L3975="Đã chuyển khoản",$M3975=""),"Thiếu ngày nhận CK; ",""))</f>
        <v/>
      </c>
      <c r="T3975" s="24" t="n"/>
    </row>
    <row r="3976" ht="14.25" customHeight="1" s="40">
      <c r="A3976" s="24" t="n"/>
      <c r="B3976" s="29" t="n"/>
      <c r="C3976" s="28" t="n"/>
      <c r="D3976" s="22">
        <f t="array" ref="D3976">IF($C3976="","",IFERROR(INDEX(DATA_MASTER!$C$2:$C$5000,MATCH($C3976,DATA_MASTER!$D$2:$D$5000,0)),""))</f>
        <v/>
      </c>
      <c r="E3976" s="22">
        <f t="array" ref="E3976">IF($C3976="","",IFERROR(INDEX(DATA_MASTER!$I$2:$I$5000,MATCH($C3976,DATA_MASTER!$D$2:$D$5000,0)),""))</f>
        <v/>
      </c>
      <c r="F3976" s="22">
        <f t="array" ref="F3976">IF($C3976="","",IFERROR(INDEX(DATA_MASTER!$L$2:$L$5000,MATCH($C3976,DATA_MASTER!$D$2:$D$5000,0)),""))</f>
        <v/>
      </c>
      <c r="G3976" s="24" t="n"/>
      <c r="H3976" s="24" t="n"/>
      <c r="I3976" s="30" t="n"/>
      <c r="J3976" s="23">
        <f>IF(OR($H3976="",$I3976=""),"",$H3976*$I3976)</f>
        <v/>
      </c>
      <c r="K3976" s="24" t="n"/>
      <c r="L3976" s="24" t="n"/>
      <c r="M3976" s="29" t="n"/>
      <c r="N3976" s="28" t="n"/>
      <c r="O3976" s="24" t="n"/>
      <c r="P3976" s="24" t="n"/>
      <c r="Q3976" s="24" t="n"/>
      <c r="R3976" s="24" t="n"/>
      <c r="S3976" s="22">
        <f>IF(AND($A3976="",$C3976=""),"",IF($A3976="","Thiếu mã đơn; ","")&amp;IF(COUNTIF($A$2:$A3976,$A3976)&gt;1,"Trùng mã đơn; ","")&amp;IF(ISNA(MATCH($C3976,DATA_MASTER!$D$2:$D$5000,0)),"SĐT chưa đăng ký hội viên; ","")&amp;IF(AND($L3976="Đã chuyển khoản",$M3976=""),"Thiếu ngày nhận CK; ",""))</f>
        <v/>
      </c>
      <c r="T3976" s="24" t="n"/>
    </row>
    <row r="3977" ht="14.25" customHeight="1" s="40">
      <c r="A3977" s="24" t="n"/>
      <c r="B3977" s="29" t="n"/>
      <c r="C3977" s="28" t="n"/>
      <c r="D3977" s="22">
        <f t="array" ref="D3977">IF($C3977="","",IFERROR(INDEX(DATA_MASTER!$C$2:$C$5000,MATCH($C3977,DATA_MASTER!$D$2:$D$5000,0)),""))</f>
        <v/>
      </c>
      <c r="E3977" s="22">
        <f t="array" ref="E3977">IF($C3977="","",IFERROR(INDEX(DATA_MASTER!$I$2:$I$5000,MATCH($C3977,DATA_MASTER!$D$2:$D$5000,0)),""))</f>
        <v/>
      </c>
      <c r="F3977" s="22">
        <f t="array" ref="F3977">IF($C3977="","",IFERROR(INDEX(DATA_MASTER!$L$2:$L$5000,MATCH($C3977,DATA_MASTER!$D$2:$D$5000,0)),""))</f>
        <v/>
      </c>
      <c r="G3977" s="24" t="n"/>
      <c r="H3977" s="24" t="n"/>
      <c r="I3977" s="30" t="n"/>
      <c r="J3977" s="23">
        <f>IF(OR($H3977="",$I3977=""),"",$H3977*$I3977)</f>
        <v/>
      </c>
      <c r="K3977" s="24" t="n"/>
      <c r="L3977" s="24" t="n"/>
      <c r="M3977" s="29" t="n"/>
      <c r="N3977" s="28" t="n"/>
      <c r="O3977" s="24" t="n"/>
      <c r="P3977" s="24" t="n"/>
      <c r="Q3977" s="24" t="n"/>
      <c r="R3977" s="24" t="n"/>
      <c r="S3977" s="22">
        <f>IF(AND($A3977="",$C3977=""),"",IF($A3977="","Thiếu mã đơn; ","")&amp;IF(COUNTIF($A$2:$A3977,$A3977)&gt;1,"Trùng mã đơn; ","")&amp;IF(ISNA(MATCH($C3977,DATA_MASTER!$D$2:$D$5000,0)),"SĐT chưa đăng ký hội viên; ","")&amp;IF(AND($L3977="Đã chuyển khoản",$M3977=""),"Thiếu ngày nhận CK; ",""))</f>
        <v/>
      </c>
      <c r="T3977" s="24" t="n"/>
    </row>
    <row r="3978" ht="14.25" customHeight="1" s="40">
      <c r="A3978" s="24" t="n"/>
      <c r="B3978" s="29" t="n"/>
      <c r="C3978" s="28" t="n"/>
      <c r="D3978" s="22">
        <f t="array" ref="D3978">IF($C3978="","",IFERROR(INDEX(DATA_MASTER!$C$2:$C$5000,MATCH($C3978,DATA_MASTER!$D$2:$D$5000,0)),""))</f>
        <v/>
      </c>
      <c r="E3978" s="22">
        <f t="array" ref="E3978">IF($C3978="","",IFERROR(INDEX(DATA_MASTER!$I$2:$I$5000,MATCH($C3978,DATA_MASTER!$D$2:$D$5000,0)),""))</f>
        <v/>
      </c>
      <c r="F3978" s="22">
        <f t="array" ref="F3978">IF($C3978="","",IFERROR(INDEX(DATA_MASTER!$L$2:$L$5000,MATCH($C3978,DATA_MASTER!$D$2:$D$5000,0)),""))</f>
        <v/>
      </c>
      <c r="G3978" s="24" t="n"/>
      <c r="H3978" s="24" t="n"/>
      <c r="I3978" s="30" t="n"/>
      <c r="J3978" s="23">
        <f>IF(OR($H3978="",$I3978=""),"",$H3978*$I3978)</f>
        <v/>
      </c>
      <c r="K3978" s="24" t="n"/>
      <c r="L3978" s="24" t="n"/>
      <c r="M3978" s="29" t="n"/>
      <c r="N3978" s="28" t="n"/>
      <c r="O3978" s="24" t="n"/>
      <c r="P3978" s="24" t="n"/>
      <c r="Q3978" s="24" t="n"/>
      <c r="R3978" s="24" t="n"/>
      <c r="S3978" s="22">
        <f>IF(AND($A3978="",$C3978=""),"",IF($A3978="","Thiếu mã đơn; ","")&amp;IF(COUNTIF($A$2:$A3978,$A3978)&gt;1,"Trùng mã đơn; ","")&amp;IF(ISNA(MATCH($C3978,DATA_MASTER!$D$2:$D$5000,0)),"SĐT chưa đăng ký hội viên; ","")&amp;IF(AND($L3978="Đã chuyển khoản",$M3978=""),"Thiếu ngày nhận CK; ",""))</f>
        <v/>
      </c>
      <c r="T3978" s="24" t="n"/>
    </row>
    <row r="3979" ht="14.25" customHeight="1" s="40">
      <c r="A3979" s="24" t="n"/>
      <c r="B3979" s="29" t="n"/>
      <c r="C3979" s="28" t="n"/>
      <c r="D3979" s="22">
        <f t="array" ref="D3979">IF($C3979="","",IFERROR(INDEX(DATA_MASTER!$C$2:$C$5000,MATCH($C3979,DATA_MASTER!$D$2:$D$5000,0)),""))</f>
        <v/>
      </c>
      <c r="E3979" s="22">
        <f t="array" ref="E3979">IF($C3979="","",IFERROR(INDEX(DATA_MASTER!$I$2:$I$5000,MATCH($C3979,DATA_MASTER!$D$2:$D$5000,0)),""))</f>
        <v/>
      </c>
      <c r="F3979" s="22">
        <f t="array" ref="F3979">IF($C3979="","",IFERROR(INDEX(DATA_MASTER!$L$2:$L$5000,MATCH($C3979,DATA_MASTER!$D$2:$D$5000,0)),""))</f>
        <v/>
      </c>
      <c r="G3979" s="24" t="n"/>
      <c r="H3979" s="24" t="n"/>
      <c r="I3979" s="30" t="n"/>
      <c r="J3979" s="23">
        <f>IF(OR($H3979="",$I3979=""),"",$H3979*$I3979)</f>
        <v/>
      </c>
      <c r="K3979" s="24" t="n"/>
      <c r="L3979" s="24" t="n"/>
      <c r="M3979" s="29" t="n"/>
      <c r="N3979" s="28" t="n"/>
      <c r="O3979" s="24" t="n"/>
      <c r="P3979" s="24" t="n"/>
      <c r="Q3979" s="24" t="n"/>
      <c r="R3979" s="24" t="n"/>
      <c r="S3979" s="22">
        <f>IF(AND($A3979="",$C3979=""),"",IF($A3979="","Thiếu mã đơn; ","")&amp;IF(COUNTIF($A$2:$A3979,$A3979)&gt;1,"Trùng mã đơn; ","")&amp;IF(ISNA(MATCH($C3979,DATA_MASTER!$D$2:$D$5000,0)),"SĐT chưa đăng ký hội viên; ","")&amp;IF(AND($L3979="Đã chuyển khoản",$M3979=""),"Thiếu ngày nhận CK; ",""))</f>
        <v/>
      </c>
      <c r="T3979" s="24" t="n"/>
    </row>
    <row r="3980" ht="14.25" customHeight="1" s="40">
      <c r="A3980" s="24" t="n"/>
      <c r="B3980" s="29" t="n"/>
      <c r="C3980" s="28" t="n"/>
      <c r="D3980" s="22">
        <f t="array" ref="D3980">IF($C3980="","",IFERROR(INDEX(DATA_MASTER!$C$2:$C$5000,MATCH($C3980,DATA_MASTER!$D$2:$D$5000,0)),""))</f>
        <v/>
      </c>
      <c r="E3980" s="22">
        <f t="array" ref="E3980">IF($C3980="","",IFERROR(INDEX(DATA_MASTER!$I$2:$I$5000,MATCH($C3980,DATA_MASTER!$D$2:$D$5000,0)),""))</f>
        <v/>
      </c>
      <c r="F3980" s="22">
        <f t="array" ref="F3980">IF($C3980="","",IFERROR(INDEX(DATA_MASTER!$L$2:$L$5000,MATCH($C3980,DATA_MASTER!$D$2:$D$5000,0)),""))</f>
        <v/>
      </c>
      <c r="G3980" s="24" t="n"/>
      <c r="H3980" s="24" t="n"/>
      <c r="I3980" s="30" t="n"/>
      <c r="J3980" s="23">
        <f>IF(OR($H3980="",$I3980=""),"",$H3980*$I3980)</f>
        <v/>
      </c>
      <c r="K3980" s="24" t="n"/>
      <c r="L3980" s="24" t="n"/>
      <c r="M3980" s="29" t="n"/>
      <c r="N3980" s="28" t="n"/>
      <c r="O3980" s="24" t="n"/>
      <c r="P3980" s="24" t="n"/>
      <c r="Q3980" s="24" t="n"/>
      <c r="R3980" s="24" t="n"/>
      <c r="S3980" s="22">
        <f>IF(AND($A3980="",$C3980=""),"",IF($A3980="","Thiếu mã đơn; ","")&amp;IF(COUNTIF($A$2:$A3980,$A3980)&gt;1,"Trùng mã đơn; ","")&amp;IF(ISNA(MATCH($C3980,DATA_MASTER!$D$2:$D$5000,0)),"SĐT chưa đăng ký hội viên; ","")&amp;IF(AND($L3980="Đã chuyển khoản",$M3980=""),"Thiếu ngày nhận CK; ",""))</f>
        <v/>
      </c>
      <c r="T3980" s="24" t="n"/>
    </row>
    <row r="3981" ht="14.25" customHeight="1" s="40">
      <c r="A3981" s="24" t="n"/>
      <c r="B3981" s="29" t="n"/>
      <c r="C3981" s="28" t="n"/>
      <c r="D3981" s="22">
        <f t="array" ref="D3981">IF($C3981="","",IFERROR(INDEX(DATA_MASTER!$C$2:$C$5000,MATCH($C3981,DATA_MASTER!$D$2:$D$5000,0)),""))</f>
        <v/>
      </c>
      <c r="E3981" s="22">
        <f t="array" ref="E3981">IF($C3981="","",IFERROR(INDEX(DATA_MASTER!$I$2:$I$5000,MATCH($C3981,DATA_MASTER!$D$2:$D$5000,0)),""))</f>
        <v/>
      </c>
      <c r="F3981" s="22">
        <f t="array" ref="F3981">IF($C3981="","",IFERROR(INDEX(DATA_MASTER!$L$2:$L$5000,MATCH($C3981,DATA_MASTER!$D$2:$D$5000,0)),""))</f>
        <v/>
      </c>
      <c r="G3981" s="24" t="n"/>
      <c r="H3981" s="24" t="n"/>
      <c r="I3981" s="30" t="n"/>
      <c r="J3981" s="23">
        <f>IF(OR($H3981="",$I3981=""),"",$H3981*$I3981)</f>
        <v/>
      </c>
      <c r="K3981" s="24" t="n"/>
      <c r="L3981" s="24" t="n"/>
      <c r="M3981" s="29" t="n"/>
      <c r="N3981" s="28" t="n"/>
      <c r="O3981" s="24" t="n"/>
      <c r="P3981" s="24" t="n"/>
      <c r="Q3981" s="24" t="n"/>
      <c r="R3981" s="24" t="n"/>
      <c r="S3981" s="22">
        <f>IF(AND($A3981="",$C3981=""),"",IF($A3981="","Thiếu mã đơn; ","")&amp;IF(COUNTIF($A$2:$A3981,$A3981)&gt;1,"Trùng mã đơn; ","")&amp;IF(ISNA(MATCH($C3981,DATA_MASTER!$D$2:$D$5000,0)),"SĐT chưa đăng ký hội viên; ","")&amp;IF(AND($L3981="Đã chuyển khoản",$M3981=""),"Thiếu ngày nhận CK; ",""))</f>
        <v/>
      </c>
      <c r="T3981" s="24" t="n"/>
    </row>
    <row r="3982" ht="14.25" customHeight="1" s="40">
      <c r="A3982" s="24" t="n"/>
      <c r="B3982" s="29" t="n"/>
      <c r="C3982" s="28" t="n"/>
      <c r="D3982" s="22">
        <f t="array" ref="D3982">IF($C3982="","",IFERROR(INDEX(DATA_MASTER!$C$2:$C$5000,MATCH($C3982,DATA_MASTER!$D$2:$D$5000,0)),""))</f>
        <v/>
      </c>
      <c r="E3982" s="22">
        <f t="array" ref="E3982">IF($C3982="","",IFERROR(INDEX(DATA_MASTER!$I$2:$I$5000,MATCH($C3982,DATA_MASTER!$D$2:$D$5000,0)),""))</f>
        <v/>
      </c>
      <c r="F3982" s="22">
        <f t="array" ref="F3982">IF($C3982="","",IFERROR(INDEX(DATA_MASTER!$L$2:$L$5000,MATCH($C3982,DATA_MASTER!$D$2:$D$5000,0)),""))</f>
        <v/>
      </c>
      <c r="G3982" s="24" t="n"/>
      <c r="H3982" s="24" t="n"/>
      <c r="I3982" s="30" t="n"/>
      <c r="J3982" s="23">
        <f>IF(OR($H3982="",$I3982=""),"",$H3982*$I3982)</f>
        <v/>
      </c>
      <c r="K3982" s="24" t="n"/>
      <c r="L3982" s="24" t="n"/>
      <c r="M3982" s="29" t="n"/>
      <c r="N3982" s="28" t="n"/>
      <c r="O3982" s="24" t="n"/>
      <c r="P3982" s="24" t="n"/>
      <c r="Q3982" s="24" t="n"/>
      <c r="R3982" s="24" t="n"/>
      <c r="S3982" s="22">
        <f>IF(AND($A3982="",$C3982=""),"",IF($A3982="","Thiếu mã đơn; ","")&amp;IF(COUNTIF($A$2:$A3982,$A3982)&gt;1,"Trùng mã đơn; ","")&amp;IF(ISNA(MATCH($C3982,DATA_MASTER!$D$2:$D$5000,0)),"SĐT chưa đăng ký hội viên; ","")&amp;IF(AND($L3982="Đã chuyển khoản",$M3982=""),"Thiếu ngày nhận CK; ",""))</f>
        <v/>
      </c>
      <c r="T3982" s="24" t="n"/>
    </row>
    <row r="3983" ht="14.25" customHeight="1" s="40">
      <c r="A3983" s="24" t="n"/>
      <c r="B3983" s="29" t="n"/>
      <c r="C3983" s="28" t="n"/>
      <c r="D3983" s="22">
        <f t="array" ref="D3983">IF($C3983="","",IFERROR(INDEX(DATA_MASTER!$C$2:$C$5000,MATCH($C3983,DATA_MASTER!$D$2:$D$5000,0)),""))</f>
        <v/>
      </c>
      <c r="E3983" s="22">
        <f t="array" ref="E3983">IF($C3983="","",IFERROR(INDEX(DATA_MASTER!$I$2:$I$5000,MATCH($C3983,DATA_MASTER!$D$2:$D$5000,0)),""))</f>
        <v/>
      </c>
      <c r="F3983" s="22">
        <f t="array" ref="F3983">IF($C3983="","",IFERROR(INDEX(DATA_MASTER!$L$2:$L$5000,MATCH($C3983,DATA_MASTER!$D$2:$D$5000,0)),""))</f>
        <v/>
      </c>
      <c r="G3983" s="24" t="n"/>
      <c r="H3983" s="24" t="n"/>
      <c r="I3983" s="30" t="n"/>
      <c r="J3983" s="23">
        <f>IF(OR($H3983="",$I3983=""),"",$H3983*$I3983)</f>
        <v/>
      </c>
      <c r="K3983" s="24" t="n"/>
      <c r="L3983" s="24" t="n"/>
      <c r="M3983" s="29" t="n"/>
      <c r="N3983" s="28" t="n"/>
      <c r="O3983" s="24" t="n"/>
      <c r="P3983" s="24" t="n"/>
      <c r="Q3983" s="24" t="n"/>
      <c r="R3983" s="24" t="n"/>
      <c r="S3983" s="22">
        <f>IF(AND($A3983="",$C3983=""),"",IF($A3983="","Thiếu mã đơn; ","")&amp;IF(COUNTIF($A$2:$A3983,$A3983)&gt;1,"Trùng mã đơn; ","")&amp;IF(ISNA(MATCH($C3983,DATA_MASTER!$D$2:$D$5000,0)),"SĐT chưa đăng ký hội viên; ","")&amp;IF(AND($L3983="Đã chuyển khoản",$M3983=""),"Thiếu ngày nhận CK; ",""))</f>
        <v/>
      </c>
      <c r="T3983" s="24" t="n"/>
    </row>
    <row r="3984" ht="14.25" customHeight="1" s="40">
      <c r="A3984" s="24" t="n"/>
      <c r="B3984" s="29" t="n"/>
      <c r="C3984" s="28" t="n"/>
      <c r="D3984" s="22">
        <f t="array" ref="D3984">IF($C3984="","",IFERROR(INDEX(DATA_MASTER!$C$2:$C$5000,MATCH($C3984,DATA_MASTER!$D$2:$D$5000,0)),""))</f>
        <v/>
      </c>
      <c r="E3984" s="22">
        <f t="array" ref="E3984">IF($C3984="","",IFERROR(INDEX(DATA_MASTER!$I$2:$I$5000,MATCH($C3984,DATA_MASTER!$D$2:$D$5000,0)),""))</f>
        <v/>
      </c>
      <c r="F3984" s="22">
        <f t="array" ref="F3984">IF($C3984="","",IFERROR(INDEX(DATA_MASTER!$L$2:$L$5000,MATCH($C3984,DATA_MASTER!$D$2:$D$5000,0)),""))</f>
        <v/>
      </c>
      <c r="G3984" s="24" t="n"/>
      <c r="H3984" s="24" t="n"/>
      <c r="I3984" s="30" t="n"/>
      <c r="J3984" s="23">
        <f>IF(OR($H3984="",$I3984=""),"",$H3984*$I3984)</f>
        <v/>
      </c>
      <c r="K3984" s="24" t="n"/>
      <c r="L3984" s="24" t="n"/>
      <c r="M3984" s="29" t="n"/>
      <c r="N3984" s="28" t="n"/>
      <c r="O3984" s="24" t="n"/>
      <c r="P3984" s="24" t="n"/>
      <c r="Q3984" s="24" t="n"/>
      <c r="R3984" s="24" t="n"/>
      <c r="S3984" s="22">
        <f>IF(AND($A3984="",$C3984=""),"",IF($A3984="","Thiếu mã đơn; ","")&amp;IF(COUNTIF($A$2:$A3984,$A3984)&gt;1,"Trùng mã đơn; ","")&amp;IF(ISNA(MATCH($C3984,DATA_MASTER!$D$2:$D$5000,0)),"SĐT chưa đăng ký hội viên; ","")&amp;IF(AND($L3984="Đã chuyển khoản",$M3984=""),"Thiếu ngày nhận CK; ",""))</f>
        <v/>
      </c>
      <c r="T3984" s="24" t="n"/>
    </row>
    <row r="3985" ht="14.25" customHeight="1" s="40">
      <c r="A3985" s="24" t="n"/>
      <c r="B3985" s="29" t="n"/>
      <c r="C3985" s="28" t="n"/>
      <c r="D3985" s="22">
        <f t="array" ref="D3985">IF($C3985="","",IFERROR(INDEX(DATA_MASTER!$C$2:$C$5000,MATCH($C3985,DATA_MASTER!$D$2:$D$5000,0)),""))</f>
        <v/>
      </c>
      <c r="E3985" s="22">
        <f t="array" ref="E3985">IF($C3985="","",IFERROR(INDEX(DATA_MASTER!$I$2:$I$5000,MATCH($C3985,DATA_MASTER!$D$2:$D$5000,0)),""))</f>
        <v/>
      </c>
      <c r="F3985" s="22">
        <f t="array" ref="F3985">IF($C3985="","",IFERROR(INDEX(DATA_MASTER!$L$2:$L$5000,MATCH($C3985,DATA_MASTER!$D$2:$D$5000,0)),""))</f>
        <v/>
      </c>
      <c r="G3985" s="24" t="n"/>
      <c r="H3985" s="24" t="n"/>
      <c r="I3985" s="30" t="n"/>
      <c r="J3985" s="23">
        <f>IF(OR($H3985="",$I3985=""),"",$H3985*$I3985)</f>
        <v/>
      </c>
      <c r="K3985" s="24" t="n"/>
      <c r="L3985" s="24" t="n"/>
      <c r="M3985" s="29" t="n"/>
      <c r="N3985" s="28" t="n"/>
      <c r="O3985" s="24" t="n"/>
      <c r="P3985" s="24" t="n"/>
      <c r="Q3985" s="24" t="n"/>
      <c r="R3985" s="24" t="n"/>
      <c r="S3985" s="22">
        <f>IF(AND($A3985="",$C3985=""),"",IF($A3985="","Thiếu mã đơn; ","")&amp;IF(COUNTIF($A$2:$A3985,$A3985)&gt;1,"Trùng mã đơn; ","")&amp;IF(ISNA(MATCH($C3985,DATA_MASTER!$D$2:$D$5000,0)),"SĐT chưa đăng ký hội viên; ","")&amp;IF(AND($L3985="Đã chuyển khoản",$M3985=""),"Thiếu ngày nhận CK; ",""))</f>
        <v/>
      </c>
      <c r="T3985" s="24" t="n"/>
    </row>
    <row r="3986" ht="14.25" customHeight="1" s="40">
      <c r="A3986" s="24" t="n"/>
      <c r="B3986" s="29" t="n"/>
      <c r="C3986" s="28" t="n"/>
      <c r="D3986" s="22">
        <f t="array" ref="D3986">IF($C3986="","",IFERROR(INDEX(DATA_MASTER!$C$2:$C$5000,MATCH($C3986,DATA_MASTER!$D$2:$D$5000,0)),""))</f>
        <v/>
      </c>
      <c r="E3986" s="22">
        <f t="array" ref="E3986">IF($C3986="","",IFERROR(INDEX(DATA_MASTER!$I$2:$I$5000,MATCH($C3986,DATA_MASTER!$D$2:$D$5000,0)),""))</f>
        <v/>
      </c>
      <c r="F3986" s="22">
        <f t="array" ref="F3986">IF($C3986="","",IFERROR(INDEX(DATA_MASTER!$L$2:$L$5000,MATCH($C3986,DATA_MASTER!$D$2:$D$5000,0)),""))</f>
        <v/>
      </c>
      <c r="G3986" s="24" t="n"/>
      <c r="H3986" s="24" t="n"/>
      <c r="I3986" s="30" t="n"/>
      <c r="J3986" s="23">
        <f>IF(OR($H3986="",$I3986=""),"",$H3986*$I3986)</f>
        <v/>
      </c>
      <c r="K3986" s="24" t="n"/>
      <c r="L3986" s="24" t="n"/>
      <c r="M3986" s="29" t="n"/>
      <c r="N3986" s="28" t="n"/>
      <c r="O3986" s="24" t="n"/>
      <c r="P3986" s="24" t="n"/>
      <c r="Q3986" s="24" t="n"/>
      <c r="R3986" s="24" t="n"/>
      <c r="S3986" s="22">
        <f>IF(AND($A3986="",$C3986=""),"",IF($A3986="","Thiếu mã đơn; ","")&amp;IF(COUNTIF($A$2:$A3986,$A3986)&gt;1,"Trùng mã đơn; ","")&amp;IF(ISNA(MATCH($C3986,DATA_MASTER!$D$2:$D$5000,0)),"SĐT chưa đăng ký hội viên; ","")&amp;IF(AND($L3986="Đã chuyển khoản",$M3986=""),"Thiếu ngày nhận CK; ",""))</f>
        <v/>
      </c>
      <c r="T3986" s="24" t="n"/>
    </row>
    <row r="3987" ht="14.25" customHeight="1" s="40">
      <c r="A3987" s="24" t="n"/>
      <c r="B3987" s="29" t="n"/>
      <c r="C3987" s="28" t="n"/>
      <c r="D3987" s="22">
        <f t="array" ref="D3987">IF($C3987="","",IFERROR(INDEX(DATA_MASTER!$C$2:$C$5000,MATCH($C3987,DATA_MASTER!$D$2:$D$5000,0)),""))</f>
        <v/>
      </c>
      <c r="E3987" s="22">
        <f t="array" ref="E3987">IF($C3987="","",IFERROR(INDEX(DATA_MASTER!$I$2:$I$5000,MATCH($C3987,DATA_MASTER!$D$2:$D$5000,0)),""))</f>
        <v/>
      </c>
      <c r="F3987" s="22">
        <f t="array" ref="F3987">IF($C3987="","",IFERROR(INDEX(DATA_MASTER!$L$2:$L$5000,MATCH($C3987,DATA_MASTER!$D$2:$D$5000,0)),""))</f>
        <v/>
      </c>
      <c r="G3987" s="24" t="n"/>
      <c r="H3987" s="24" t="n"/>
      <c r="I3987" s="30" t="n"/>
      <c r="J3987" s="23">
        <f>IF(OR($H3987="",$I3987=""),"",$H3987*$I3987)</f>
        <v/>
      </c>
      <c r="K3987" s="24" t="n"/>
      <c r="L3987" s="24" t="n"/>
      <c r="M3987" s="29" t="n"/>
      <c r="N3987" s="28" t="n"/>
      <c r="O3987" s="24" t="n"/>
      <c r="P3987" s="24" t="n"/>
      <c r="Q3987" s="24" t="n"/>
      <c r="R3987" s="24" t="n"/>
      <c r="S3987" s="22">
        <f>IF(AND($A3987="",$C3987=""),"",IF($A3987="","Thiếu mã đơn; ","")&amp;IF(COUNTIF($A$2:$A3987,$A3987)&gt;1,"Trùng mã đơn; ","")&amp;IF(ISNA(MATCH($C3987,DATA_MASTER!$D$2:$D$5000,0)),"SĐT chưa đăng ký hội viên; ","")&amp;IF(AND($L3987="Đã chuyển khoản",$M3987=""),"Thiếu ngày nhận CK; ",""))</f>
        <v/>
      </c>
      <c r="T3987" s="24" t="n"/>
    </row>
    <row r="3988" ht="14.25" customHeight="1" s="40">
      <c r="A3988" s="24" t="n"/>
      <c r="B3988" s="29" t="n"/>
      <c r="C3988" s="28" t="n"/>
      <c r="D3988" s="22">
        <f t="array" ref="D3988">IF($C3988="","",IFERROR(INDEX(DATA_MASTER!$C$2:$C$5000,MATCH($C3988,DATA_MASTER!$D$2:$D$5000,0)),""))</f>
        <v/>
      </c>
      <c r="E3988" s="22">
        <f t="array" ref="E3988">IF($C3988="","",IFERROR(INDEX(DATA_MASTER!$I$2:$I$5000,MATCH($C3988,DATA_MASTER!$D$2:$D$5000,0)),""))</f>
        <v/>
      </c>
      <c r="F3988" s="22">
        <f t="array" ref="F3988">IF($C3988="","",IFERROR(INDEX(DATA_MASTER!$L$2:$L$5000,MATCH($C3988,DATA_MASTER!$D$2:$D$5000,0)),""))</f>
        <v/>
      </c>
      <c r="G3988" s="24" t="n"/>
      <c r="H3988" s="24" t="n"/>
      <c r="I3988" s="30" t="n"/>
      <c r="J3988" s="23">
        <f>IF(OR($H3988="",$I3988=""),"",$H3988*$I3988)</f>
        <v/>
      </c>
      <c r="K3988" s="24" t="n"/>
      <c r="L3988" s="24" t="n"/>
      <c r="M3988" s="29" t="n"/>
      <c r="N3988" s="28" t="n"/>
      <c r="O3988" s="24" t="n"/>
      <c r="P3988" s="24" t="n"/>
      <c r="Q3988" s="24" t="n"/>
      <c r="R3988" s="24" t="n"/>
      <c r="S3988" s="22">
        <f>IF(AND($A3988="",$C3988=""),"",IF($A3988="","Thiếu mã đơn; ","")&amp;IF(COUNTIF($A$2:$A3988,$A3988)&gt;1,"Trùng mã đơn; ","")&amp;IF(ISNA(MATCH($C3988,DATA_MASTER!$D$2:$D$5000,0)),"SĐT chưa đăng ký hội viên; ","")&amp;IF(AND($L3988="Đã chuyển khoản",$M3988=""),"Thiếu ngày nhận CK; ",""))</f>
        <v/>
      </c>
      <c r="T3988" s="24" t="n"/>
    </row>
    <row r="3989" ht="14.25" customHeight="1" s="40">
      <c r="A3989" s="24" t="n"/>
      <c r="B3989" s="29" t="n"/>
      <c r="C3989" s="28" t="n"/>
      <c r="D3989" s="22">
        <f t="array" ref="D3989">IF($C3989="","",IFERROR(INDEX(DATA_MASTER!$C$2:$C$5000,MATCH($C3989,DATA_MASTER!$D$2:$D$5000,0)),""))</f>
        <v/>
      </c>
      <c r="E3989" s="22">
        <f t="array" ref="E3989">IF($C3989="","",IFERROR(INDEX(DATA_MASTER!$I$2:$I$5000,MATCH($C3989,DATA_MASTER!$D$2:$D$5000,0)),""))</f>
        <v/>
      </c>
      <c r="F3989" s="22">
        <f t="array" ref="F3989">IF($C3989="","",IFERROR(INDEX(DATA_MASTER!$L$2:$L$5000,MATCH($C3989,DATA_MASTER!$D$2:$D$5000,0)),""))</f>
        <v/>
      </c>
      <c r="G3989" s="24" t="n"/>
      <c r="H3989" s="24" t="n"/>
      <c r="I3989" s="30" t="n"/>
      <c r="J3989" s="23">
        <f>IF(OR($H3989="",$I3989=""),"",$H3989*$I3989)</f>
        <v/>
      </c>
      <c r="K3989" s="24" t="n"/>
      <c r="L3989" s="24" t="n"/>
      <c r="M3989" s="29" t="n"/>
      <c r="N3989" s="28" t="n"/>
      <c r="O3989" s="24" t="n"/>
      <c r="P3989" s="24" t="n"/>
      <c r="Q3989" s="24" t="n"/>
      <c r="R3989" s="24" t="n"/>
      <c r="S3989" s="22">
        <f>IF(AND($A3989="",$C3989=""),"",IF($A3989="","Thiếu mã đơn; ","")&amp;IF(COUNTIF($A$2:$A3989,$A3989)&gt;1,"Trùng mã đơn; ","")&amp;IF(ISNA(MATCH($C3989,DATA_MASTER!$D$2:$D$5000,0)),"SĐT chưa đăng ký hội viên; ","")&amp;IF(AND($L3989="Đã chuyển khoản",$M3989=""),"Thiếu ngày nhận CK; ",""))</f>
        <v/>
      </c>
      <c r="T3989" s="24" t="n"/>
    </row>
    <row r="3990" ht="14.25" customHeight="1" s="40">
      <c r="A3990" s="24" t="n"/>
      <c r="B3990" s="29" t="n"/>
      <c r="C3990" s="28" t="n"/>
      <c r="D3990" s="22">
        <f t="array" ref="D3990">IF($C3990="","",IFERROR(INDEX(DATA_MASTER!$C$2:$C$5000,MATCH($C3990,DATA_MASTER!$D$2:$D$5000,0)),""))</f>
        <v/>
      </c>
      <c r="E3990" s="22">
        <f t="array" ref="E3990">IF($C3990="","",IFERROR(INDEX(DATA_MASTER!$I$2:$I$5000,MATCH($C3990,DATA_MASTER!$D$2:$D$5000,0)),""))</f>
        <v/>
      </c>
      <c r="F3990" s="22">
        <f t="array" ref="F3990">IF($C3990="","",IFERROR(INDEX(DATA_MASTER!$L$2:$L$5000,MATCH($C3990,DATA_MASTER!$D$2:$D$5000,0)),""))</f>
        <v/>
      </c>
      <c r="G3990" s="24" t="n"/>
      <c r="H3990" s="24" t="n"/>
      <c r="I3990" s="30" t="n"/>
      <c r="J3990" s="23">
        <f>IF(OR($H3990="",$I3990=""),"",$H3990*$I3990)</f>
        <v/>
      </c>
      <c r="K3990" s="24" t="n"/>
      <c r="L3990" s="24" t="n"/>
      <c r="M3990" s="29" t="n"/>
      <c r="N3990" s="28" t="n"/>
      <c r="O3990" s="24" t="n"/>
      <c r="P3990" s="24" t="n"/>
      <c r="Q3990" s="24" t="n"/>
      <c r="R3990" s="24" t="n"/>
      <c r="S3990" s="22">
        <f>IF(AND($A3990="",$C3990=""),"",IF($A3990="","Thiếu mã đơn; ","")&amp;IF(COUNTIF($A$2:$A3990,$A3990)&gt;1,"Trùng mã đơn; ","")&amp;IF(ISNA(MATCH($C3990,DATA_MASTER!$D$2:$D$5000,0)),"SĐT chưa đăng ký hội viên; ","")&amp;IF(AND($L3990="Đã chuyển khoản",$M3990=""),"Thiếu ngày nhận CK; ",""))</f>
        <v/>
      </c>
      <c r="T3990" s="24" t="n"/>
    </row>
    <row r="3991" ht="14.25" customHeight="1" s="40">
      <c r="A3991" s="24" t="n"/>
      <c r="B3991" s="29" t="n"/>
      <c r="C3991" s="28" t="n"/>
      <c r="D3991" s="22">
        <f t="array" ref="D3991">IF($C3991="","",IFERROR(INDEX(DATA_MASTER!$C$2:$C$5000,MATCH($C3991,DATA_MASTER!$D$2:$D$5000,0)),""))</f>
        <v/>
      </c>
      <c r="E3991" s="22">
        <f t="array" ref="E3991">IF($C3991="","",IFERROR(INDEX(DATA_MASTER!$I$2:$I$5000,MATCH($C3991,DATA_MASTER!$D$2:$D$5000,0)),""))</f>
        <v/>
      </c>
      <c r="F3991" s="22">
        <f t="array" ref="F3991">IF($C3991="","",IFERROR(INDEX(DATA_MASTER!$L$2:$L$5000,MATCH($C3991,DATA_MASTER!$D$2:$D$5000,0)),""))</f>
        <v/>
      </c>
      <c r="G3991" s="24" t="n"/>
      <c r="H3991" s="24" t="n"/>
      <c r="I3991" s="30" t="n"/>
      <c r="J3991" s="23">
        <f>IF(OR($H3991="",$I3991=""),"",$H3991*$I3991)</f>
        <v/>
      </c>
      <c r="K3991" s="24" t="n"/>
      <c r="L3991" s="24" t="n"/>
      <c r="M3991" s="29" t="n"/>
      <c r="N3991" s="28" t="n"/>
      <c r="O3991" s="24" t="n"/>
      <c r="P3991" s="24" t="n"/>
      <c r="Q3991" s="24" t="n"/>
      <c r="R3991" s="24" t="n"/>
      <c r="S3991" s="22">
        <f>IF(AND($A3991="",$C3991=""),"",IF($A3991="","Thiếu mã đơn; ","")&amp;IF(COUNTIF($A$2:$A3991,$A3991)&gt;1,"Trùng mã đơn; ","")&amp;IF(ISNA(MATCH($C3991,DATA_MASTER!$D$2:$D$5000,0)),"SĐT chưa đăng ký hội viên; ","")&amp;IF(AND($L3991="Đã chuyển khoản",$M3991=""),"Thiếu ngày nhận CK; ",""))</f>
        <v/>
      </c>
      <c r="T3991" s="24" t="n"/>
    </row>
    <row r="3992" ht="14.25" customHeight="1" s="40">
      <c r="A3992" s="24" t="n"/>
      <c r="B3992" s="29" t="n"/>
      <c r="C3992" s="28" t="n"/>
      <c r="D3992" s="22">
        <f t="array" ref="D3992">IF($C3992="","",IFERROR(INDEX(DATA_MASTER!$C$2:$C$5000,MATCH($C3992,DATA_MASTER!$D$2:$D$5000,0)),""))</f>
        <v/>
      </c>
      <c r="E3992" s="22">
        <f t="array" ref="E3992">IF($C3992="","",IFERROR(INDEX(DATA_MASTER!$I$2:$I$5000,MATCH($C3992,DATA_MASTER!$D$2:$D$5000,0)),""))</f>
        <v/>
      </c>
      <c r="F3992" s="22">
        <f t="array" ref="F3992">IF($C3992="","",IFERROR(INDEX(DATA_MASTER!$L$2:$L$5000,MATCH($C3992,DATA_MASTER!$D$2:$D$5000,0)),""))</f>
        <v/>
      </c>
      <c r="G3992" s="24" t="n"/>
      <c r="H3992" s="24" t="n"/>
      <c r="I3992" s="30" t="n"/>
      <c r="J3992" s="23">
        <f>IF(OR($H3992="",$I3992=""),"",$H3992*$I3992)</f>
        <v/>
      </c>
      <c r="K3992" s="24" t="n"/>
      <c r="L3992" s="24" t="n"/>
      <c r="M3992" s="29" t="n"/>
      <c r="N3992" s="28" t="n"/>
      <c r="O3992" s="24" t="n"/>
      <c r="P3992" s="24" t="n"/>
      <c r="Q3992" s="24" t="n"/>
      <c r="R3992" s="24" t="n"/>
      <c r="S3992" s="22">
        <f>IF(AND($A3992="",$C3992=""),"",IF($A3992="","Thiếu mã đơn; ","")&amp;IF(COUNTIF($A$2:$A3992,$A3992)&gt;1,"Trùng mã đơn; ","")&amp;IF(ISNA(MATCH($C3992,DATA_MASTER!$D$2:$D$5000,0)),"SĐT chưa đăng ký hội viên; ","")&amp;IF(AND($L3992="Đã chuyển khoản",$M3992=""),"Thiếu ngày nhận CK; ",""))</f>
        <v/>
      </c>
      <c r="T3992" s="24" t="n"/>
    </row>
    <row r="3993" ht="14.25" customHeight="1" s="40">
      <c r="A3993" s="24" t="n"/>
      <c r="B3993" s="29" t="n"/>
      <c r="C3993" s="28" t="n"/>
      <c r="D3993" s="22">
        <f t="array" ref="D3993">IF($C3993="","",IFERROR(INDEX(DATA_MASTER!$C$2:$C$5000,MATCH($C3993,DATA_MASTER!$D$2:$D$5000,0)),""))</f>
        <v/>
      </c>
      <c r="E3993" s="22">
        <f t="array" ref="E3993">IF($C3993="","",IFERROR(INDEX(DATA_MASTER!$I$2:$I$5000,MATCH($C3993,DATA_MASTER!$D$2:$D$5000,0)),""))</f>
        <v/>
      </c>
      <c r="F3993" s="22">
        <f t="array" ref="F3993">IF($C3993="","",IFERROR(INDEX(DATA_MASTER!$L$2:$L$5000,MATCH($C3993,DATA_MASTER!$D$2:$D$5000,0)),""))</f>
        <v/>
      </c>
      <c r="G3993" s="24" t="n"/>
      <c r="H3993" s="24" t="n"/>
      <c r="I3993" s="30" t="n"/>
      <c r="J3993" s="23">
        <f>IF(OR($H3993="",$I3993=""),"",$H3993*$I3993)</f>
        <v/>
      </c>
      <c r="K3993" s="24" t="n"/>
      <c r="L3993" s="24" t="n"/>
      <c r="M3993" s="29" t="n"/>
      <c r="N3993" s="28" t="n"/>
      <c r="O3993" s="24" t="n"/>
      <c r="P3993" s="24" t="n"/>
      <c r="Q3993" s="24" t="n"/>
      <c r="R3993" s="24" t="n"/>
      <c r="S3993" s="22">
        <f>IF(AND($A3993="",$C3993=""),"",IF($A3993="","Thiếu mã đơn; ","")&amp;IF(COUNTIF($A$2:$A3993,$A3993)&gt;1,"Trùng mã đơn; ","")&amp;IF(ISNA(MATCH($C3993,DATA_MASTER!$D$2:$D$5000,0)),"SĐT chưa đăng ký hội viên; ","")&amp;IF(AND($L3993="Đã chuyển khoản",$M3993=""),"Thiếu ngày nhận CK; ",""))</f>
        <v/>
      </c>
      <c r="T3993" s="24" t="n"/>
    </row>
    <row r="3994" ht="14.25" customHeight="1" s="40">
      <c r="A3994" s="24" t="n"/>
      <c r="B3994" s="29" t="n"/>
      <c r="C3994" s="28" t="n"/>
      <c r="D3994" s="22">
        <f t="array" ref="D3994">IF($C3994="","",IFERROR(INDEX(DATA_MASTER!$C$2:$C$5000,MATCH($C3994,DATA_MASTER!$D$2:$D$5000,0)),""))</f>
        <v/>
      </c>
      <c r="E3994" s="22">
        <f t="array" ref="E3994">IF($C3994="","",IFERROR(INDEX(DATA_MASTER!$I$2:$I$5000,MATCH($C3994,DATA_MASTER!$D$2:$D$5000,0)),""))</f>
        <v/>
      </c>
      <c r="F3994" s="22">
        <f t="array" ref="F3994">IF($C3994="","",IFERROR(INDEX(DATA_MASTER!$L$2:$L$5000,MATCH($C3994,DATA_MASTER!$D$2:$D$5000,0)),""))</f>
        <v/>
      </c>
      <c r="G3994" s="24" t="n"/>
      <c r="H3994" s="24" t="n"/>
      <c r="I3994" s="30" t="n"/>
      <c r="J3994" s="23">
        <f>IF(OR($H3994="",$I3994=""),"",$H3994*$I3994)</f>
        <v/>
      </c>
      <c r="K3994" s="24" t="n"/>
      <c r="L3994" s="24" t="n"/>
      <c r="M3994" s="29" t="n"/>
      <c r="N3994" s="28" t="n"/>
      <c r="O3994" s="24" t="n"/>
      <c r="P3994" s="24" t="n"/>
      <c r="Q3994" s="24" t="n"/>
      <c r="R3994" s="24" t="n"/>
      <c r="S3994" s="22">
        <f>IF(AND($A3994="",$C3994=""),"",IF($A3994="","Thiếu mã đơn; ","")&amp;IF(COUNTIF($A$2:$A3994,$A3994)&gt;1,"Trùng mã đơn; ","")&amp;IF(ISNA(MATCH($C3994,DATA_MASTER!$D$2:$D$5000,0)),"SĐT chưa đăng ký hội viên; ","")&amp;IF(AND($L3994="Đã chuyển khoản",$M3994=""),"Thiếu ngày nhận CK; ",""))</f>
        <v/>
      </c>
      <c r="T3994" s="24" t="n"/>
    </row>
    <row r="3995" ht="14.25" customHeight="1" s="40">
      <c r="A3995" s="24" t="n"/>
      <c r="B3995" s="29" t="n"/>
      <c r="C3995" s="28" t="n"/>
      <c r="D3995" s="22">
        <f t="array" ref="D3995">IF($C3995="","",IFERROR(INDEX(DATA_MASTER!$C$2:$C$5000,MATCH($C3995,DATA_MASTER!$D$2:$D$5000,0)),""))</f>
        <v/>
      </c>
      <c r="E3995" s="22">
        <f t="array" ref="E3995">IF($C3995="","",IFERROR(INDEX(DATA_MASTER!$I$2:$I$5000,MATCH($C3995,DATA_MASTER!$D$2:$D$5000,0)),""))</f>
        <v/>
      </c>
      <c r="F3995" s="22">
        <f t="array" ref="F3995">IF($C3995="","",IFERROR(INDEX(DATA_MASTER!$L$2:$L$5000,MATCH($C3995,DATA_MASTER!$D$2:$D$5000,0)),""))</f>
        <v/>
      </c>
      <c r="G3995" s="24" t="n"/>
      <c r="H3995" s="24" t="n"/>
      <c r="I3995" s="30" t="n"/>
      <c r="J3995" s="23">
        <f>IF(OR($H3995="",$I3995=""),"",$H3995*$I3995)</f>
        <v/>
      </c>
      <c r="K3995" s="24" t="n"/>
      <c r="L3995" s="24" t="n"/>
      <c r="M3995" s="29" t="n"/>
      <c r="N3995" s="28" t="n"/>
      <c r="O3995" s="24" t="n"/>
      <c r="P3995" s="24" t="n"/>
      <c r="Q3995" s="24" t="n"/>
      <c r="R3995" s="24" t="n"/>
      <c r="S3995" s="22">
        <f>IF(AND($A3995="",$C3995=""),"",IF($A3995="","Thiếu mã đơn; ","")&amp;IF(COUNTIF($A$2:$A3995,$A3995)&gt;1,"Trùng mã đơn; ","")&amp;IF(ISNA(MATCH($C3995,DATA_MASTER!$D$2:$D$5000,0)),"SĐT chưa đăng ký hội viên; ","")&amp;IF(AND($L3995="Đã chuyển khoản",$M3995=""),"Thiếu ngày nhận CK; ",""))</f>
        <v/>
      </c>
      <c r="T3995" s="24" t="n"/>
    </row>
    <row r="3996" ht="14.25" customHeight="1" s="40">
      <c r="A3996" s="24" t="n"/>
      <c r="B3996" s="29" t="n"/>
      <c r="C3996" s="28" t="n"/>
      <c r="D3996" s="22">
        <f t="array" ref="D3996">IF($C3996="","",IFERROR(INDEX(DATA_MASTER!$C$2:$C$5000,MATCH($C3996,DATA_MASTER!$D$2:$D$5000,0)),""))</f>
        <v/>
      </c>
      <c r="E3996" s="22">
        <f t="array" ref="E3996">IF($C3996="","",IFERROR(INDEX(DATA_MASTER!$I$2:$I$5000,MATCH($C3996,DATA_MASTER!$D$2:$D$5000,0)),""))</f>
        <v/>
      </c>
      <c r="F3996" s="22">
        <f t="array" ref="F3996">IF($C3996="","",IFERROR(INDEX(DATA_MASTER!$L$2:$L$5000,MATCH($C3996,DATA_MASTER!$D$2:$D$5000,0)),""))</f>
        <v/>
      </c>
      <c r="G3996" s="24" t="n"/>
      <c r="H3996" s="24" t="n"/>
      <c r="I3996" s="30" t="n"/>
      <c r="J3996" s="23">
        <f>IF(OR($H3996="",$I3996=""),"",$H3996*$I3996)</f>
        <v/>
      </c>
      <c r="K3996" s="24" t="n"/>
      <c r="L3996" s="24" t="n"/>
      <c r="M3996" s="29" t="n"/>
      <c r="N3996" s="28" t="n"/>
      <c r="O3996" s="24" t="n"/>
      <c r="P3996" s="24" t="n"/>
      <c r="Q3996" s="24" t="n"/>
      <c r="R3996" s="24" t="n"/>
      <c r="S3996" s="22">
        <f>IF(AND($A3996="",$C3996=""),"",IF($A3996="","Thiếu mã đơn; ","")&amp;IF(COUNTIF($A$2:$A3996,$A3996)&gt;1,"Trùng mã đơn; ","")&amp;IF(ISNA(MATCH($C3996,DATA_MASTER!$D$2:$D$5000,0)),"SĐT chưa đăng ký hội viên; ","")&amp;IF(AND($L3996="Đã chuyển khoản",$M3996=""),"Thiếu ngày nhận CK; ",""))</f>
        <v/>
      </c>
      <c r="T3996" s="24" t="n"/>
    </row>
    <row r="3997" ht="14.25" customHeight="1" s="40">
      <c r="A3997" s="24" t="n"/>
      <c r="B3997" s="29" t="n"/>
      <c r="C3997" s="28" t="n"/>
      <c r="D3997" s="22">
        <f t="array" ref="D3997">IF($C3997="","",IFERROR(INDEX(DATA_MASTER!$C$2:$C$5000,MATCH($C3997,DATA_MASTER!$D$2:$D$5000,0)),""))</f>
        <v/>
      </c>
      <c r="E3997" s="22">
        <f t="array" ref="E3997">IF($C3997="","",IFERROR(INDEX(DATA_MASTER!$I$2:$I$5000,MATCH($C3997,DATA_MASTER!$D$2:$D$5000,0)),""))</f>
        <v/>
      </c>
      <c r="F3997" s="22">
        <f t="array" ref="F3997">IF($C3997="","",IFERROR(INDEX(DATA_MASTER!$L$2:$L$5000,MATCH($C3997,DATA_MASTER!$D$2:$D$5000,0)),""))</f>
        <v/>
      </c>
      <c r="G3997" s="24" t="n"/>
      <c r="H3997" s="24" t="n"/>
      <c r="I3997" s="30" t="n"/>
      <c r="J3997" s="23">
        <f>IF(OR($H3997="",$I3997=""),"",$H3997*$I3997)</f>
        <v/>
      </c>
      <c r="K3997" s="24" t="n"/>
      <c r="L3997" s="24" t="n"/>
      <c r="M3997" s="29" t="n"/>
      <c r="N3997" s="28" t="n"/>
      <c r="O3997" s="24" t="n"/>
      <c r="P3997" s="24" t="n"/>
      <c r="Q3997" s="24" t="n"/>
      <c r="R3997" s="24" t="n"/>
      <c r="S3997" s="22">
        <f>IF(AND($A3997="",$C3997=""),"",IF($A3997="","Thiếu mã đơn; ","")&amp;IF(COUNTIF($A$2:$A3997,$A3997)&gt;1,"Trùng mã đơn; ","")&amp;IF(ISNA(MATCH($C3997,DATA_MASTER!$D$2:$D$5000,0)),"SĐT chưa đăng ký hội viên; ","")&amp;IF(AND($L3997="Đã chuyển khoản",$M3997=""),"Thiếu ngày nhận CK; ",""))</f>
        <v/>
      </c>
      <c r="T3997" s="24" t="n"/>
    </row>
    <row r="3998" ht="14.25" customHeight="1" s="40">
      <c r="A3998" s="24" t="n"/>
      <c r="B3998" s="29" t="n"/>
      <c r="C3998" s="28" t="n"/>
      <c r="D3998" s="22">
        <f t="array" ref="D3998">IF($C3998="","",IFERROR(INDEX(DATA_MASTER!$C$2:$C$5000,MATCH($C3998,DATA_MASTER!$D$2:$D$5000,0)),""))</f>
        <v/>
      </c>
      <c r="E3998" s="22">
        <f t="array" ref="E3998">IF($C3998="","",IFERROR(INDEX(DATA_MASTER!$I$2:$I$5000,MATCH($C3998,DATA_MASTER!$D$2:$D$5000,0)),""))</f>
        <v/>
      </c>
      <c r="F3998" s="22">
        <f t="array" ref="F3998">IF($C3998="","",IFERROR(INDEX(DATA_MASTER!$L$2:$L$5000,MATCH($C3998,DATA_MASTER!$D$2:$D$5000,0)),""))</f>
        <v/>
      </c>
      <c r="G3998" s="24" t="n"/>
      <c r="H3998" s="24" t="n"/>
      <c r="I3998" s="30" t="n"/>
      <c r="J3998" s="23">
        <f>IF(OR($H3998="",$I3998=""),"",$H3998*$I3998)</f>
        <v/>
      </c>
      <c r="K3998" s="24" t="n"/>
      <c r="L3998" s="24" t="n"/>
      <c r="M3998" s="29" t="n"/>
      <c r="N3998" s="28" t="n"/>
      <c r="O3998" s="24" t="n"/>
      <c r="P3998" s="24" t="n"/>
      <c r="Q3998" s="24" t="n"/>
      <c r="R3998" s="24" t="n"/>
      <c r="S3998" s="22">
        <f>IF(AND($A3998="",$C3998=""),"",IF($A3998="","Thiếu mã đơn; ","")&amp;IF(COUNTIF($A$2:$A3998,$A3998)&gt;1,"Trùng mã đơn; ","")&amp;IF(ISNA(MATCH($C3998,DATA_MASTER!$D$2:$D$5000,0)),"SĐT chưa đăng ký hội viên; ","")&amp;IF(AND($L3998="Đã chuyển khoản",$M3998=""),"Thiếu ngày nhận CK; ",""))</f>
        <v/>
      </c>
      <c r="T3998" s="24" t="n"/>
    </row>
    <row r="3999" ht="14.25" customHeight="1" s="40">
      <c r="A3999" s="24" t="n"/>
      <c r="B3999" s="29" t="n"/>
      <c r="C3999" s="28" t="n"/>
      <c r="D3999" s="22">
        <f t="array" ref="D3999">IF($C3999="","",IFERROR(INDEX(DATA_MASTER!$C$2:$C$5000,MATCH($C3999,DATA_MASTER!$D$2:$D$5000,0)),""))</f>
        <v/>
      </c>
      <c r="E3999" s="22">
        <f t="array" ref="E3999">IF($C3999="","",IFERROR(INDEX(DATA_MASTER!$I$2:$I$5000,MATCH($C3999,DATA_MASTER!$D$2:$D$5000,0)),""))</f>
        <v/>
      </c>
      <c r="F3999" s="22">
        <f t="array" ref="F3999">IF($C3999="","",IFERROR(INDEX(DATA_MASTER!$L$2:$L$5000,MATCH($C3999,DATA_MASTER!$D$2:$D$5000,0)),""))</f>
        <v/>
      </c>
      <c r="G3999" s="24" t="n"/>
      <c r="H3999" s="24" t="n"/>
      <c r="I3999" s="30" t="n"/>
      <c r="J3999" s="23">
        <f>IF(OR($H3999="",$I3999=""),"",$H3999*$I3999)</f>
        <v/>
      </c>
      <c r="K3999" s="24" t="n"/>
      <c r="L3999" s="24" t="n"/>
      <c r="M3999" s="29" t="n"/>
      <c r="N3999" s="28" t="n"/>
      <c r="O3999" s="24" t="n"/>
      <c r="P3999" s="24" t="n"/>
      <c r="Q3999" s="24" t="n"/>
      <c r="R3999" s="24" t="n"/>
      <c r="S3999" s="22">
        <f>IF(AND($A3999="",$C3999=""),"",IF($A3999="","Thiếu mã đơn; ","")&amp;IF(COUNTIF($A$2:$A3999,$A3999)&gt;1,"Trùng mã đơn; ","")&amp;IF(ISNA(MATCH($C3999,DATA_MASTER!$D$2:$D$5000,0)),"SĐT chưa đăng ký hội viên; ","")&amp;IF(AND($L3999="Đã chuyển khoản",$M3999=""),"Thiếu ngày nhận CK; ",""))</f>
        <v/>
      </c>
      <c r="T3999" s="24" t="n"/>
    </row>
    <row r="4000" ht="14.25" customHeight="1" s="40">
      <c r="A4000" s="24" t="n"/>
      <c r="B4000" s="29" t="n"/>
      <c r="C4000" s="28" t="n"/>
      <c r="D4000" s="22">
        <f t="array" ref="D4000">IF($C4000="","",IFERROR(INDEX(DATA_MASTER!$C$2:$C$5000,MATCH($C4000,DATA_MASTER!$D$2:$D$5000,0)),""))</f>
        <v/>
      </c>
      <c r="E4000" s="22">
        <f t="array" ref="E4000">IF($C4000="","",IFERROR(INDEX(DATA_MASTER!$I$2:$I$5000,MATCH($C4000,DATA_MASTER!$D$2:$D$5000,0)),""))</f>
        <v/>
      </c>
      <c r="F4000" s="22">
        <f t="array" ref="F4000">IF($C4000="","",IFERROR(INDEX(DATA_MASTER!$L$2:$L$5000,MATCH($C4000,DATA_MASTER!$D$2:$D$5000,0)),""))</f>
        <v/>
      </c>
      <c r="G4000" s="24" t="n"/>
      <c r="H4000" s="24" t="n"/>
      <c r="I4000" s="30" t="n"/>
      <c r="J4000" s="23">
        <f>IF(OR($H4000="",$I4000=""),"",$H4000*$I4000)</f>
        <v/>
      </c>
      <c r="K4000" s="24" t="n"/>
      <c r="L4000" s="24" t="n"/>
      <c r="M4000" s="29" t="n"/>
      <c r="N4000" s="28" t="n"/>
      <c r="O4000" s="24" t="n"/>
      <c r="P4000" s="24" t="n"/>
      <c r="Q4000" s="24" t="n"/>
      <c r="R4000" s="24" t="n"/>
      <c r="S4000" s="22">
        <f>IF(AND($A4000="",$C4000=""),"",IF($A4000="","Thiếu mã đơn; ","")&amp;IF(COUNTIF($A$2:$A4000,$A4000)&gt;1,"Trùng mã đơn; ","")&amp;IF(ISNA(MATCH($C4000,DATA_MASTER!$D$2:$D$5000,0)),"SĐT chưa đăng ký hội viên; ","")&amp;IF(AND($L4000="Đã chuyển khoản",$M4000=""),"Thiếu ngày nhận CK; ",""))</f>
        <v/>
      </c>
      <c r="T4000" s="24" t="n"/>
    </row>
    <row r="4001" ht="14.25" customHeight="1" s="40">
      <c r="A4001" s="24" t="n"/>
      <c r="B4001" s="29" t="n"/>
      <c r="C4001" s="28" t="n"/>
      <c r="D4001" s="22">
        <f t="array" ref="D4001">IF($C4001="","",IFERROR(INDEX(DATA_MASTER!$C$2:$C$5000,MATCH($C4001,DATA_MASTER!$D$2:$D$5000,0)),""))</f>
        <v/>
      </c>
      <c r="E4001" s="22">
        <f t="array" ref="E4001">IF($C4001="","",IFERROR(INDEX(DATA_MASTER!$I$2:$I$5000,MATCH($C4001,DATA_MASTER!$D$2:$D$5000,0)),""))</f>
        <v/>
      </c>
      <c r="F4001" s="22">
        <f t="array" ref="F4001">IF($C4001="","",IFERROR(INDEX(DATA_MASTER!$L$2:$L$5000,MATCH($C4001,DATA_MASTER!$D$2:$D$5000,0)),""))</f>
        <v/>
      </c>
      <c r="G4001" s="24" t="n"/>
      <c r="H4001" s="24" t="n"/>
      <c r="I4001" s="30" t="n"/>
      <c r="J4001" s="23">
        <f>IF(OR($H4001="",$I4001=""),"",$H4001*$I4001)</f>
        <v/>
      </c>
      <c r="K4001" s="24" t="n"/>
      <c r="L4001" s="24" t="n"/>
      <c r="M4001" s="29" t="n"/>
      <c r="N4001" s="28" t="n"/>
      <c r="O4001" s="24" t="n"/>
      <c r="P4001" s="24" t="n"/>
      <c r="Q4001" s="24" t="n"/>
      <c r="R4001" s="24" t="n"/>
      <c r="S4001" s="22">
        <f>IF(AND($A4001="",$C4001=""),"",IF($A4001="","Thiếu mã đơn; ","")&amp;IF(COUNTIF($A$2:$A4001,$A4001)&gt;1,"Trùng mã đơn; ","")&amp;IF(ISNA(MATCH($C4001,DATA_MASTER!$D$2:$D$5000,0)),"SĐT chưa đăng ký hội viên; ","")&amp;IF(AND($L4001="Đã chuyển khoản",$M4001=""),"Thiếu ngày nhận CK; ",""))</f>
        <v/>
      </c>
      <c r="T4001" s="24" t="n"/>
    </row>
    <row r="4002" ht="14.25" customHeight="1" s="40">
      <c r="A4002" s="24" t="n"/>
      <c r="B4002" s="29" t="n"/>
      <c r="C4002" s="28" t="n"/>
      <c r="D4002" s="22">
        <f t="array" ref="D4002">IF($C4002="","",IFERROR(INDEX(DATA_MASTER!$C$2:$C$5000,MATCH($C4002,DATA_MASTER!$D$2:$D$5000,0)),""))</f>
        <v/>
      </c>
      <c r="E4002" s="22">
        <f t="array" ref="E4002">IF($C4002="","",IFERROR(INDEX(DATA_MASTER!$I$2:$I$5000,MATCH($C4002,DATA_MASTER!$D$2:$D$5000,0)),""))</f>
        <v/>
      </c>
      <c r="F4002" s="22">
        <f t="array" ref="F4002">IF($C4002="","",IFERROR(INDEX(DATA_MASTER!$L$2:$L$5000,MATCH($C4002,DATA_MASTER!$D$2:$D$5000,0)),""))</f>
        <v/>
      </c>
      <c r="G4002" s="24" t="n"/>
      <c r="H4002" s="24" t="n"/>
      <c r="I4002" s="30" t="n"/>
      <c r="J4002" s="23">
        <f>IF(OR($H4002="",$I4002=""),"",$H4002*$I4002)</f>
        <v/>
      </c>
      <c r="K4002" s="24" t="n"/>
      <c r="L4002" s="24" t="n"/>
      <c r="M4002" s="29" t="n"/>
      <c r="N4002" s="28" t="n"/>
      <c r="O4002" s="24" t="n"/>
      <c r="P4002" s="24" t="n"/>
      <c r="Q4002" s="24" t="n"/>
      <c r="R4002" s="24" t="n"/>
      <c r="S4002" s="22">
        <f>IF(AND($A4002="",$C4002=""),"",IF($A4002="","Thiếu mã đơn; ","")&amp;IF(COUNTIF($A$2:$A4002,$A4002)&gt;1,"Trùng mã đơn; ","")&amp;IF(ISNA(MATCH($C4002,DATA_MASTER!$D$2:$D$5000,0)),"SĐT chưa đăng ký hội viên; ","")&amp;IF(AND($L4002="Đã chuyển khoản",$M4002=""),"Thiếu ngày nhận CK; ",""))</f>
        <v/>
      </c>
      <c r="T4002" s="24" t="n"/>
    </row>
    <row r="4003" ht="14.25" customHeight="1" s="40">
      <c r="A4003" s="24" t="n"/>
      <c r="B4003" s="29" t="n"/>
      <c r="C4003" s="28" t="n"/>
      <c r="D4003" s="22">
        <f t="array" ref="D4003">IF($C4003="","",IFERROR(INDEX(DATA_MASTER!$C$2:$C$5000,MATCH($C4003,DATA_MASTER!$D$2:$D$5000,0)),""))</f>
        <v/>
      </c>
      <c r="E4003" s="22">
        <f t="array" ref="E4003">IF($C4003="","",IFERROR(INDEX(DATA_MASTER!$I$2:$I$5000,MATCH($C4003,DATA_MASTER!$D$2:$D$5000,0)),""))</f>
        <v/>
      </c>
      <c r="F4003" s="22">
        <f t="array" ref="F4003">IF($C4003="","",IFERROR(INDEX(DATA_MASTER!$L$2:$L$5000,MATCH($C4003,DATA_MASTER!$D$2:$D$5000,0)),""))</f>
        <v/>
      </c>
      <c r="G4003" s="24" t="n"/>
      <c r="H4003" s="24" t="n"/>
      <c r="I4003" s="30" t="n"/>
      <c r="J4003" s="23">
        <f>IF(OR($H4003="",$I4003=""),"",$H4003*$I4003)</f>
        <v/>
      </c>
      <c r="K4003" s="24" t="n"/>
      <c r="L4003" s="24" t="n"/>
      <c r="M4003" s="29" t="n"/>
      <c r="N4003" s="28" t="n"/>
      <c r="O4003" s="24" t="n"/>
      <c r="P4003" s="24" t="n"/>
      <c r="Q4003" s="24" t="n"/>
      <c r="R4003" s="24" t="n"/>
      <c r="S4003" s="22">
        <f>IF(AND($A4003="",$C4003=""),"",IF($A4003="","Thiếu mã đơn; ","")&amp;IF(COUNTIF($A$2:$A4003,$A4003)&gt;1,"Trùng mã đơn; ","")&amp;IF(ISNA(MATCH($C4003,DATA_MASTER!$D$2:$D$5000,0)),"SĐT chưa đăng ký hội viên; ","")&amp;IF(AND($L4003="Đã chuyển khoản",$M4003=""),"Thiếu ngày nhận CK; ",""))</f>
        <v/>
      </c>
      <c r="T4003" s="24" t="n"/>
    </row>
    <row r="4004" ht="14.25" customHeight="1" s="40">
      <c r="A4004" s="24" t="n"/>
      <c r="B4004" s="29" t="n"/>
      <c r="C4004" s="28" t="n"/>
      <c r="D4004" s="22">
        <f t="array" ref="D4004">IF($C4004="","",IFERROR(INDEX(DATA_MASTER!$C$2:$C$5000,MATCH($C4004,DATA_MASTER!$D$2:$D$5000,0)),""))</f>
        <v/>
      </c>
      <c r="E4004" s="22">
        <f t="array" ref="E4004">IF($C4004="","",IFERROR(INDEX(DATA_MASTER!$I$2:$I$5000,MATCH($C4004,DATA_MASTER!$D$2:$D$5000,0)),""))</f>
        <v/>
      </c>
      <c r="F4004" s="22">
        <f t="array" ref="F4004">IF($C4004="","",IFERROR(INDEX(DATA_MASTER!$L$2:$L$5000,MATCH($C4004,DATA_MASTER!$D$2:$D$5000,0)),""))</f>
        <v/>
      </c>
      <c r="G4004" s="24" t="n"/>
      <c r="H4004" s="24" t="n"/>
      <c r="I4004" s="30" t="n"/>
      <c r="J4004" s="23">
        <f>IF(OR($H4004="",$I4004=""),"",$H4004*$I4004)</f>
        <v/>
      </c>
      <c r="K4004" s="24" t="n"/>
      <c r="L4004" s="24" t="n"/>
      <c r="M4004" s="29" t="n"/>
      <c r="N4004" s="28" t="n"/>
      <c r="O4004" s="24" t="n"/>
      <c r="P4004" s="24" t="n"/>
      <c r="Q4004" s="24" t="n"/>
      <c r="R4004" s="24" t="n"/>
      <c r="S4004" s="22">
        <f>IF(AND($A4004="",$C4004=""),"",IF($A4004="","Thiếu mã đơn; ","")&amp;IF(COUNTIF($A$2:$A4004,$A4004)&gt;1,"Trùng mã đơn; ","")&amp;IF(ISNA(MATCH($C4004,DATA_MASTER!$D$2:$D$5000,0)),"SĐT chưa đăng ký hội viên; ","")&amp;IF(AND($L4004="Đã chuyển khoản",$M4004=""),"Thiếu ngày nhận CK; ",""))</f>
        <v/>
      </c>
      <c r="T4004" s="24" t="n"/>
    </row>
    <row r="4005" ht="14.25" customHeight="1" s="40">
      <c r="A4005" s="24" t="n"/>
      <c r="B4005" s="29" t="n"/>
      <c r="C4005" s="28" t="n"/>
      <c r="D4005" s="22">
        <f t="array" ref="D4005">IF($C4005="","",IFERROR(INDEX(DATA_MASTER!$C$2:$C$5000,MATCH($C4005,DATA_MASTER!$D$2:$D$5000,0)),""))</f>
        <v/>
      </c>
      <c r="E4005" s="22">
        <f t="array" ref="E4005">IF($C4005="","",IFERROR(INDEX(DATA_MASTER!$I$2:$I$5000,MATCH($C4005,DATA_MASTER!$D$2:$D$5000,0)),""))</f>
        <v/>
      </c>
      <c r="F4005" s="22">
        <f t="array" ref="F4005">IF($C4005="","",IFERROR(INDEX(DATA_MASTER!$L$2:$L$5000,MATCH($C4005,DATA_MASTER!$D$2:$D$5000,0)),""))</f>
        <v/>
      </c>
      <c r="G4005" s="24" t="n"/>
      <c r="H4005" s="24" t="n"/>
      <c r="I4005" s="30" t="n"/>
      <c r="J4005" s="23">
        <f>IF(OR($H4005="",$I4005=""),"",$H4005*$I4005)</f>
        <v/>
      </c>
      <c r="K4005" s="24" t="n"/>
      <c r="L4005" s="24" t="n"/>
      <c r="M4005" s="29" t="n"/>
      <c r="N4005" s="28" t="n"/>
      <c r="O4005" s="24" t="n"/>
      <c r="P4005" s="24" t="n"/>
      <c r="Q4005" s="24" t="n"/>
      <c r="R4005" s="24" t="n"/>
      <c r="S4005" s="22">
        <f>IF(AND($A4005="",$C4005=""),"",IF($A4005="","Thiếu mã đơn; ","")&amp;IF(COUNTIF($A$2:$A4005,$A4005)&gt;1,"Trùng mã đơn; ","")&amp;IF(ISNA(MATCH($C4005,DATA_MASTER!$D$2:$D$5000,0)),"SĐT chưa đăng ký hội viên; ","")&amp;IF(AND($L4005="Đã chuyển khoản",$M4005=""),"Thiếu ngày nhận CK; ",""))</f>
        <v/>
      </c>
      <c r="T4005" s="24" t="n"/>
    </row>
    <row r="4006" ht="14.25" customHeight="1" s="40">
      <c r="A4006" s="24" t="n"/>
      <c r="B4006" s="29" t="n"/>
      <c r="C4006" s="28" t="n"/>
      <c r="D4006" s="22">
        <f t="array" ref="D4006">IF($C4006="","",IFERROR(INDEX(DATA_MASTER!$C$2:$C$5000,MATCH($C4006,DATA_MASTER!$D$2:$D$5000,0)),""))</f>
        <v/>
      </c>
      <c r="E4006" s="22">
        <f t="array" ref="E4006">IF($C4006="","",IFERROR(INDEX(DATA_MASTER!$I$2:$I$5000,MATCH($C4006,DATA_MASTER!$D$2:$D$5000,0)),""))</f>
        <v/>
      </c>
      <c r="F4006" s="22">
        <f t="array" ref="F4006">IF($C4006="","",IFERROR(INDEX(DATA_MASTER!$L$2:$L$5000,MATCH($C4006,DATA_MASTER!$D$2:$D$5000,0)),""))</f>
        <v/>
      </c>
      <c r="G4006" s="24" t="n"/>
      <c r="H4006" s="24" t="n"/>
      <c r="I4006" s="30" t="n"/>
      <c r="J4006" s="23">
        <f>IF(OR($H4006="",$I4006=""),"",$H4006*$I4006)</f>
        <v/>
      </c>
      <c r="K4006" s="24" t="n"/>
      <c r="L4006" s="24" t="n"/>
      <c r="M4006" s="29" t="n"/>
      <c r="N4006" s="28" t="n"/>
      <c r="O4006" s="24" t="n"/>
      <c r="P4006" s="24" t="n"/>
      <c r="Q4006" s="24" t="n"/>
      <c r="R4006" s="24" t="n"/>
      <c r="S4006" s="22">
        <f>IF(AND($A4006="",$C4006=""),"",IF($A4006="","Thiếu mã đơn; ","")&amp;IF(COUNTIF($A$2:$A4006,$A4006)&gt;1,"Trùng mã đơn; ","")&amp;IF(ISNA(MATCH($C4006,DATA_MASTER!$D$2:$D$5000,0)),"SĐT chưa đăng ký hội viên; ","")&amp;IF(AND($L4006="Đã chuyển khoản",$M4006=""),"Thiếu ngày nhận CK; ",""))</f>
        <v/>
      </c>
      <c r="T4006" s="24" t="n"/>
    </row>
    <row r="4007" ht="14.25" customHeight="1" s="40">
      <c r="A4007" s="24" t="n"/>
      <c r="B4007" s="29" t="n"/>
      <c r="C4007" s="28" t="n"/>
      <c r="D4007" s="22">
        <f t="array" ref="D4007">IF($C4007="","",IFERROR(INDEX(DATA_MASTER!$C$2:$C$5000,MATCH($C4007,DATA_MASTER!$D$2:$D$5000,0)),""))</f>
        <v/>
      </c>
      <c r="E4007" s="22">
        <f t="array" ref="E4007">IF($C4007="","",IFERROR(INDEX(DATA_MASTER!$I$2:$I$5000,MATCH($C4007,DATA_MASTER!$D$2:$D$5000,0)),""))</f>
        <v/>
      </c>
      <c r="F4007" s="22">
        <f t="array" ref="F4007">IF($C4007="","",IFERROR(INDEX(DATA_MASTER!$L$2:$L$5000,MATCH($C4007,DATA_MASTER!$D$2:$D$5000,0)),""))</f>
        <v/>
      </c>
      <c r="G4007" s="24" t="n"/>
      <c r="H4007" s="24" t="n"/>
      <c r="I4007" s="30" t="n"/>
      <c r="J4007" s="23">
        <f>IF(OR($H4007="",$I4007=""),"",$H4007*$I4007)</f>
        <v/>
      </c>
      <c r="K4007" s="24" t="n"/>
      <c r="L4007" s="24" t="n"/>
      <c r="M4007" s="29" t="n"/>
      <c r="N4007" s="28" t="n"/>
      <c r="O4007" s="24" t="n"/>
      <c r="P4007" s="24" t="n"/>
      <c r="Q4007" s="24" t="n"/>
      <c r="R4007" s="24" t="n"/>
      <c r="S4007" s="22">
        <f>IF(AND($A4007="",$C4007=""),"",IF($A4007="","Thiếu mã đơn; ","")&amp;IF(COUNTIF($A$2:$A4007,$A4007)&gt;1,"Trùng mã đơn; ","")&amp;IF(ISNA(MATCH($C4007,DATA_MASTER!$D$2:$D$5000,0)),"SĐT chưa đăng ký hội viên; ","")&amp;IF(AND($L4007="Đã chuyển khoản",$M4007=""),"Thiếu ngày nhận CK; ",""))</f>
        <v/>
      </c>
      <c r="T4007" s="24" t="n"/>
    </row>
    <row r="4008" ht="14.25" customHeight="1" s="40">
      <c r="A4008" s="24" t="n"/>
      <c r="B4008" s="29" t="n"/>
      <c r="C4008" s="28" t="n"/>
      <c r="D4008" s="22">
        <f t="array" ref="D4008">IF($C4008="","",IFERROR(INDEX(DATA_MASTER!$C$2:$C$5000,MATCH($C4008,DATA_MASTER!$D$2:$D$5000,0)),""))</f>
        <v/>
      </c>
      <c r="E4008" s="22">
        <f t="array" ref="E4008">IF($C4008="","",IFERROR(INDEX(DATA_MASTER!$I$2:$I$5000,MATCH($C4008,DATA_MASTER!$D$2:$D$5000,0)),""))</f>
        <v/>
      </c>
      <c r="F4008" s="22">
        <f t="array" ref="F4008">IF($C4008="","",IFERROR(INDEX(DATA_MASTER!$L$2:$L$5000,MATCH($C4008,DATA_MASTER!$D$2:$D$5000,0)),""))</f>
        <v/>
      </c>
      <c r="G4008" s="24" t="n"/>
      <c r="H4008" s="24" t="n"/>
      <c r="I4008" s="30" t="n"/>
      <c r="J4008" s="23">
        <f>IF(OR($H4008="",$I4008=""),"",$H4008*$I4008)</f>
        <v/>
      </c>
      <c r="K4008" s="24" t="n"/>
      <c r="L4008" s="24" t="n"/>
      <c r="M4008" s="29" t="n"/>
      <c r="N4008" s="28" t="n"/>
      <c r="O4008" s="24" t="n"/>
      <c r="P4008" s="24" t="n"/>
      <c r="Q4008" s="24" t="n"/>
      <c r="R4008" s="24" t="n"/>
      <c r="S4008" s="22">
        <f>IF(AND($A4008="",$C4008=""),"",IF($A4008="","Thiếu mã đơn; ","")&amp;IF(COUNTIF($A$2:$A4008,$A4008)&gt;1,"Trùng mã đơn; ","")&amp;IF(ISNA(MATCH($C4008,DATA_MASTER!$D$2:$D$5000,0)),"SĐT chưa đăng ký hội viên; ","")&amp;IF(AND($L4008="Đã chuyển khoản",$M4008=""),"Thiếu ngày nhận CK; ",""))</f>
        <v/>
      </c>
      <c r="T4008" s="24" t="n"/>
    </row>
    <row r="4009" ht="14.25" customHeight="1" s="40">
      <c r="A4009" s="24" t="n"/>
      <c r="B4009" s="29" t="n"/>
      <c r="C4009" s="28" t="n"/>
      <c r="D4009" s="22">
        <f t="array" ref="D4009">IF($C4009="","",IFERROR(INDEX(DATA_MASTER!$C$2:$C$5000,MATCH($C4009,DATA_MASTER!$D$2:$D$5000,0)),""))</f>
        <v/>
      </c>
      <c r="E4009" s="22">
        <f t="array" ref="E4009">IF($C4009="","",IFERROR(INDEX(DATA_MASTER!$I$2:$I$5000,MATCH($C4009,DATA_MASTER!$D$2:$D$5000,0)),""))</f>
        <v/>
      </c>
      <c r="F4009" s="22">
        <f t="array" ref="F4009">IF($C4009="","",IFERROR(INDEX(DATA_MASTER!$L$2:$L$5000,MATCH($C4009,DATA_MASTER!$D$2:$D$5000,0)),""))</f>
        <v/>
      </c>
      <c r="G4009" s="24" t="n"/>
      <c r="H4009" s="24" t="n"/>
      <c r="I4009" s="30" t="n"/>
      <c r="J4009" s="23">
        <f>IF(OR($H4009="",$I4009=""),"",$H4009*$I4009)</f>
        <v/>
      </c>
      <c r="K4009" s="24" t="n"/>
      <c r="L4009" s="24" t="n"/>
      <c r="M4009" s="29" t="n"/>
      <c r="N4009" s="28" t="n"/>
      <c r="O4009" s="24" t="n"/>
      <c r="P4009" s="24" t="n"/>
      <c r="Q4009" s="24" t="n"/>
      <c r="R4009" s="24" t="n"/>
      <c r="S4009" s="22">
        <f>IF(AND($A4009="",$C4009=""),"",IF($A4009="","Thiếu mã đơn; ","")&amp;IF(COUNTIF($A$2:$A4009,$A4009)&gt;1,"Trùng mã đơn; ","")&amp;IF(ISNA(MATCH($C4009,DATA_MASTER!$D$2:$D$5000,0)),"SĐT chưa đăng ký hội viên; ","")&amp;IF(AND($L4009="Đã chuyển khoản",$M4009=""),"Thiếu ngày nhận CK; ",""))</f>
        <v/>
      </c>
      <c r="T4009" s="24" t="n"/>
    </row>
    <row r="4010" ht="14.25" customHeight="1" s="40">
      <c r="A4010" s="24" t="n"/>
      <c r="B4010" s="29" t="n"/>
      <c r="C4010" s="28" t="n"/>
      <c r="D4010" s="22">
        <f t="array" ref="D4010">IF($C4010="","",IFERROR(INDEX(DATA_MASTER!$C$2:$C$5000,MATCH($C4010,DATA_MASTER!$D$2:$D$5000,0)),""))</f>
        <v/>
      </c>
      <c r="E4010" s="22">
        <f t="array" ref="E4010">IF($C4010="","",IFERROR(INDEX(DATA_MASTER!$I$2:$I$5000,MATCH($C4010,DATA_MASTER!$D$2:$D$5000,0)),""))</f>
        <v/>
      </c>
      <c r="F4010" s="22">
        <f t="array" ref="F4010">IF($C4010="","",IFERROR(INDEX(DATA_MASTER!$L$2:$L$5000,MATCH($C4010,DATA_MASTER!$D$2:$D$5000,0)),""))</f>
        <v/>
      </c>
      <c r="G4010" s="24" t="n"/>
      <c r="H4010" s="24" t="n"/>
      <c r="I4010" s="30" t="n"/>
      <c r="J4010" s="23">
        <f>IF(OR($H4010="",$I4010=""),"",$H4010*$I4010)</f>
        <v/>
      </c>
      <c r="K4010" s="24" t="n"/>
      <c r="L4010" s="24" t="n"/>
      <c r="M4010" s="29" t="n"/>
      <c r="N4010" s="28" t="n"/>
      <c r="O4010" s="24" t="n"/>
      <c r="P4010" s="24" t="n"/>
      <c r="Q4010" s="24" t="n"/>
      <c r="R4010" s="24" t="n"/>
      <c r="S4010" s="22">
        <f>IF(AND($A4010="",$C4010=""),"",IF($A4010="","Thiếu mã đơn; ","")&amp;IF(COUNTIF($A$2:$A4010,$A4010)&gt;1,"Trùng mã đơn; ","")&amp;IF(ISNA(MATCH($C4010,DATA_MASTER!$D$2:$D$5000,0)),"SĐT chưa đăng ký hội viên; ","")&amp;IF(AND($L4010="Đã chuyển khoản",$M4010=""),"Thiếu ngày nhận CK; ",""))</f>
        <v/>
      </c>
      <c r="T4010" s="24" t="n"/>
    </row>
    <row r="4011" ht="14.25" customHeight="1" s="40">
      <c r="A4011" s="24" t="n"/>
      <c r="B4011" s="29" t="n"/>
      <c r="C4011" s="28" t="n"/>
      <c r="D4011" s="22">
        <f t="array" ref="D4011">IF($C4011="","",IFERROR(INDEX(DATA_MASTER!$C$2:$C$5000,MATCH($C4011,DATA_MASTER!$D$2:$D$5000,0)),""))</f>
        <v/>
      </c>
      <c r="E4011" s="22">
        <f t="array" ref="E4011">IF($C4011="","",IFERROR(INDEX(DATA_MASTER!$I$2:$I$5000,MATCH($C4011,DATA_MASTER!$D$2:$D$5000,0)),""))</f>
        <v/>
      </c>
      <c r="F4011" s="22">
        <f t="array" ref="F4011">IF($C4011="","",IFERROR(INDEX(DATA_MASTER!$L$2:$L$5000,MATCH($C4011,DATA_MASTER!$D$2:$D$5000,0)),""))</f>
        <v/>
      </c>
      <c r="G4011" s="24" t="n"/>
      <c r="H4011" s="24" t="n"/>
      <c r="I4011" s="30" t="n"/>
      <c r="J4011" s="23">
        <f>IF(OR($H4011="",$I4011=""),"",$H4011*$I4011)</f>
        <v/>
      </c>
      <c r="K4011" s="24" t="n"/>
      <c r="L4011" s="24" t="n"/>
      <c r="M4011" s="29" t="n"/>
      <c r="N4011" s="28" t="n"/>
      <c r="O4011" s="24" t="n"/>
      <c r="P4011" s="24" t="n"/>
      <c r="Q4011" s="24" t="n"/>
      <c r="R4011" s="24" t="n"/>
      <c r="S4011" s="22">
        <f>IF(AND($A4011="",$C4011=""),"",IF($A4011="","Thiếu mã đơn; ","")&amp;IF(COUNTIF($A$2:$A4011,$A4011)&gt;1,"Trùng mã đơn; ","")&amp;IF(ISNA(MATCH($C4011,DATA_MASTER!$D$2:$D$5000,0)),"SĐT chưa đăng ký hội viên; ","")&amp;IF(AND($L4011="Đã chuyển khoản",$M4011=""),"Thiếu ngày nhận CK; ",""))</f>
        <v/>
      </c>
      <c r="T4011" s="24" t="n"/>
    </row>
    <row r="4012" ht="14.25" customHeight="1" s="40">
      <c r="A4012" s="24" t="n"/>
      <c r="B4012" s="29" t="n"/>
      <c r="C4012" s="28" t="n"/>
      <c r="D4012" s="22">
        <f t="array" ref="D4012">IF($C4012="","",IFERROR(INDEX(DATA_MASTER!$C$2:$C$5000,MATCH($C4012,DATA_MASTER!$D$2:$D$5000,0)),""))</f>
        <v/>
      </c>
      <c r="E4012" s="22">
        <f t="array" ref="E4012">IF($C4012="","",IFERROR(INDEX(DATA_MASTER!$I$2:$I$5000,MATCH($C4012,DATA_MASTER!$D$2:$D$5000,0)),""))</f>
        <v/>
      </c>
      <c r="F4012" s="22">
        <f t="array" ref="F4012">IF($C4012="","",IFERROR(INDEX(DATA_MASTER!$L$2:$L$5000,MATCH($C4012,DATA_MASTER!$D$2:$D$5000,0)),""))</f>
        <v/>
      </c>
      <c r="G4012" s="24" t="n"/>
      <c r="H4012" s="24" t="n"/>
      <c r="I4012" s="30" t="n"/>
      <c r="J4012" s="23">
        <f>IF(OR($H4012="",$I4012=""),"",$H4012*$I4012)</f>
        <v/>
      </c>
      <c r="K4012" s="24" t="n"/>
      <c r="L4012" s="24" t="n"/>
      <c r="M4012" s="29" t="n"/>
      <c r="N4012" s="28" t="n"/>
      <c r="O4012" s="24" t="n"/>
      <c r="P4012" s="24" t="n"/>
      <c r="Q4012" s="24" t="n"/>
      <c r="R4012" s="24" t="n"/>
      <c r="S4012" s="22">
        <f>IF(AND($A4012="",$C4012=""),"",IF($A4012="","Thiếu mã đơn; ","")&amp;IF(COUNTIF($A$2:$A4012,$A4012)&gt;1,"Trùng mã đơn; ","")&amp;IF(ISNA(MATCH($C4012,DATA_MASTER!$D$2:$D$5000,0)),"SĐT chưa đăng ký hội viên; ","")&amp;IF(AND($L4012="Đã chuyển khoản",$M4012=""),"Thiếu ngày nhận CK; ",""))</f>
        <v/>
      </c>
      <c r="T4012" s="24" t="n"/>
    </row>
    <row r="4013" ht="14.25" customHeight="1" s="40">
      <c r="A4013" s="24" t="n"/>
      <c r="B4013" s="29" t="n"/>
      <c r="C4013" s="28" t="n"/>
      <c r="D4013" s="22">
        <f t="array" ref="D4013">IF($C4013="","",IFERROR(INDEX(DATA_MASTER!$C$2:$C$5000,MATCH($C4013,DATA_MASTER!$D$2:$D$5000,0)),""))</f>
        <v/>
      </c>
      <c r="E4013" s="22">
        <f t="array" ref="E4013">IF($C4013="","",IFERROR(INDEX(DATA_MASTER!$I$2:$I$5000,MATCH($C4013,DATA_MASTER!$D$2:$D$5000,0)),""))</f>
        <v/>
      </c>
      <c r="F4013" s="22">
        <f t="array" ref="F4013">IF($C4013="","",IFERROR(INDEX(DATA_MASTER!$L$2:$L$5000,MATCH($C4013,DATA_MASTER!$D$2:$D$5000,0)),""))</f>
        <v/>
      </c>
      <c r="G4013" s="24" t="n"/>
      <c r="H4013" s="24" t="n"/>
      <c r="I4013" s="30" t="n"/>
      <c r="J4013" s="23">
        <f>IF(OR($H4013="",$I4013=""),"",$H4013*$I4013)</f>
        <v/>
      </c>
      <c r="K4013" s="24" t="n"/>
      <c r="L4013" s="24" t="n"/>
      <c r="M4013" s="29" t="n"/>
      <c r="N4013" s="28" t="n"/>
      <c r="O4013" s="24" t="n"/>
      <c r="P4013" s="24" t="n"/>
      <c r="Q4013" s="24" t="n"/>
      <c r="R4013" s="24" t="n"/>
      <c r="S4013" s="22">
        <f>IF(AND($A4013="",$C4013=""),"",IF($A4013="","Thiếu mã đơn; ","")&amp;IF(COUNTIF($A$2:$A4013,$A4013)&gt;1,"Trùng mã đơn; ","")&amp;IF(ISNA(MATCH($C4013,DATA_MASTER!$D$2:$D$5000,0)),"SĐT chưa đăng ký hội viên; ","")&amp;IF(AND($L4013="Đã chuyển khoản",$M4013=""),"Thiếu ngày nhận CK; ",""))</f>
        <v/>
      </c>
      <c r="T4013" s="24" t="n"/>
    </row>
    <row r="4014" ht="14.25" customHeight="1" s="40">
      <c r="A4014" s="24" t="n"/>
      <c r="B4014" s="29" t="n"/>
      <c r="C4014" s="28" t="n"/>
      <c r="D4014" s="22">
        <f t="array" ref="D4014">IF($C4014="","",IFERROR(INDEX(DATA_MASTER!$C$2:$C$5000,MATCH($C4014,DATA_MASTER!$D$2:$D$5000,0)),""))</f>
        <v/>
      </c>
      <c r="E4014" s="22">
        <f t="array" ref="E4014">IF($C4014="","",IFERROR(INDEX(DATA_MASTER!$I$2:$I$5000,MATCH($C4014,DATA_MASTER!$D$2:$D$5000,0)),""))</f>
        <v/>
      </c>
      <c r="F4014" s="22">
        <f t="array" ref="F4014">IF($C4014="","",IFERROR(INDEX(DATA_MASTER!$L$2:$L$5000,MATCH($C4014,DATA_MASTER!$D$2:$D$5000,0)),""))</f>
        <v/>
      </c>
      <c r="G4014" s="24" t="n"/>
      <c r="H4014" s="24" t="n"/>
      <c r="I4014" s="30" t="n"/>
      <c r="J4014" s="23">
        <f>IF(OR($H4014="",$I4014=""),"",$H4014*$I4014)</f>
        <v/>
      </c>
      <c r="K4014" s="24" t="n"/>
      <c r="L4014" s="24" t="n"/>
      <c r="M4014" s="29" t="n"/>
      <c r="N4014" s="28" t="n"/>
      <c r="O4014" s="24" t="n"/>
      <c r="P4014" s="24" t="n"/>
      <c r="Q4014" s="24" t="n"/>
      <c r="R4014" s="24" t="n"/>
      <c r="S4014" s="22">
        <f>IF(AND($A4014="",$C4014=""),"",IF($A4014="","Thiếu mã đơn; ","")&amp;IF(COUNTIF($A$2:$A4014,$A4014)&gt;1,"Trùng mã đơn; ","")&amp;IF(ISNA(MATCH($C4014,DATA_MASTER!$D$2:$D$5000,0)),"SĐT chưa đăng ký hội viên; ","")&amp;IF(AND($L4014="Đã chuyển khoản",$M4014=""),"Thiếu ngày nhận CK; ",""))</f>
        <v/>
      </c>
      <c r="T4014" s="24" t="n"/>
    </row>
    <row r="4015" ht="14.25" customHeight="1" s="40">
      <c r="A4015" s="24" t="n"/>
      <c r="B4015" s="29" t="n"/>
      <c r="C4015" s="28" t="n"/>
      <c r="D4015" s="22">
        <f t="array" ref="D4015">IF($C4015="","",IFERROR(INDEX(DATA_MASTER!$C$2:$C$5000,MATCH($C4015,DATA_MASTER!$D$2:$D$5000,0)),""))</f>
        <v/>
      </c>
      <c r="E4015" s="22">
        <f t="array" ref="E4015">IF($C4015="","",IFERROR(INDEX(DATA_MASTER!$I$2:$I$5000,MATCH($C4015,DATA_MASTER!$D$2:$D$5000,0)),""))</f>
        <v/>
      </c>
      <c r="F4015" s="22">
        <f t="array" ref="F4015">IF($C4015="","",IFERROR(INDEX(DATA_MASTER!$L$2:$L$5000,MATCH($C4015,DATA_MASTER!$D$2:$D$5000,0)),""))</f>
        <v/>
      </c>
      <c r="G4015" s="24" t="n"/>
      <c r="H4015" s="24" t="n"/>
      <c r="I4015" s="30" t="n"/>
      <c r="J4015" s="23">
        <f>IF(OR($H4015="",$I4015=""),"",$H4015*$I4015)</f>
        <v/>
      </c>
      <c r="K4015" s="24" t="n"/>
      <c r="L4015" s="24" t="n"/>
      <c r="M4015" s="29" t="n"/>
      <c r="N4015" s="28" t="n"/>
      <c r="O4015" s="24" t="n"/>
      <c r="P4015" s="24" t="n"/>
      <c r="Q4015" s="24" t="n"/>
      <c r="R4015" s="24" t="n"/>
      <c r="S4015" s="22">
        <f>IF(AND($A4015="",$C4015=""),"",IF($A4015="","Thiếu mã đơn; ","")&amp;IF(COUNTIF($A$2:$A4015,$A4015)&gt;1,"Trùng mã đơn; ","")&amp;IF(ISNA(MATCH($C4015,DATA_MASTER!$D$2:$D$5000,0)),"SĐT chưa đăng ký hội viên; ","")&amp;IF(AND($L4015="Đã chuyển khoản",$M4015=""),"Thiếu ngày nhận CK; ",""))</f>
        <v/>
      </c>
      <c r="T4015" s="24" t="n"/>
    </row>
    <row r="4016" ht="14.25" customHeight="1" s="40">
      <c r="A4016" s="24" t="n"/>
      <c r="B4016" s="29" t="n"/>
      <c r="C4016" s="28" t="n"/>
      <c r="D4016" s="22">
        <f t="array" ref="D4016">IF($C4016="","",IFERROR(INDEX(DATA_MASTER!$C$2:$C$5000,MATCH($C4016,DATA_MASTER!$D$2:$D$5000,0)),""))</f>
        <v/>
      </c>
      <c r="E4016" s="22">
        <f t="array" ref="E4016">IF($C4016="","",IFERROR(INDEX(DATA_MASTER!$I$2:$I$5000,MATCH($C4016,DATA_MASTER!$D$2:$D$5000,0)),""))</f>
        <v/>
      </c>
      <c r="F4016" s="22">
        <f t="array" ref="F4016">IF($C4016="","",IFERROR(INDEX(DATA_MASTER!$L$2:$L$5000,MATCH($C4016,DATA_MASTER!$D$2:$D$5000,0)),""))</f>
        <v/>
      </c>
      <c r="G4016" s="24" t="n"/>
      <c r="H4016" s="24" t="n"/>
      <c r="I4016" s="30" t="n"/>
      <c r="J4016" s="23">
        <f>IF(OR($H4016="",$I4016=""),"",$H4016*$I4016)</f>
        <v/>
      </c>
      <c r="K4016" s="24" t="n"/>
      <c r="L4016" s="24" t="n"/>
      <c r="M4016" s="29" t="n"/>
      <c r="N4016" s="28" t="n"/>
      <c r="O4016" s="24" t="n"/>
      <c r="P4016" s="24" t="n"/>
      <c r="Q4016" s="24" t="n"/>
      <c r="R4016" s="24" t="n"/>
      <c r="S4016" s="22">
        <f>IF(AND($A4016="",$C4016=""),"",IF($A4016="","Thiếu mã đơn; ","")&amp;IF(COUNTIF($A$2:$A4016,$A4016)&gt;1,"Trùng mã đơn; ","")&amp;IF(ISNA(MATCH($C4016,DATA_MASTER!$D$2:$D$5000,0)),"SĐT chưa đăng ký hội viên; ","")&amp;IF(AND($L4016="Đã chuyển khoản",$M4016=""),"Thiếu ngày nhận CK; ",""))</f>
        <v/>
      </c>
      <c r="T4016" s="24" t="n"/>
    </row>
    <row r="4017" ht="14.25" customHeight="1" s="40">
      <c r="A4017" s="24" t="n"/>
      <c r="B4017" s="29" t="n"/>
      <c r="C4017" s="28" t="n"/>
      <c r="D4017" s="22">
        <f t="array" ref="D4017">IF($C4017="","",IFERROR(INDEX(DATA_MASTER!$C$2:$C$5000,MATCH($C4017,DATA_MASTER!$D$2:$D$5000,0)),""))</f>
        <v/>
      </c>
      <c r="E4017" s="22">
        <f t="array" ref="E4017">IF($C4017="","",IFERROR(INDEX(DATA_MASTER!$I$2:$I$5000,MATCH($C4017,DATA_MASTER!$D$2:$D$5000,0)),""))</f>
        <v/>
      </c>
      <c r="F4017" s="22">
        <f t="array" ref="F4017">IF($C4017="","",IFERROR(INDEX(DATA_MASTER!$L$2:$L$5000,MATCH($C4017,DATA_MASTER!$D$2:$D$5000,0)),""))</f>
        <v/>
      </c>
      <c r="G4017" s="24" t="n"/>
      <c r="H4017" s="24" t="n"/>
      <c r="I4017" s="30" t="n"/>
      <c r="J4017" s="23">
        <f>IF(OR($H4017="",$I4017=""),"",$H4017*$I4017)</f>
        <v/>
      </c>
      <c r="K4017" s="24" t="n"/>
      <c r="L4017" s="24" t="n"/>
      <c r="M4017" s="29" t="n"/>
      <c r="N4017" s="28" t="n"/>
      <c r="O4017" s="24" t="n"/>
      <c r="P4017" s="24" t="n"/>
      <c r="Q4017" s="24" t="n"/>
      <c r="R4017" s="24" t="n"/>
      <c r="S4017" s="22">
        <f>IF(AND($A4017="",$C4017=""),"",IF($A4017="","Thiếu mã đơn; ","")&amp;IF(COUNTIF($A$2:$A4017,$A4017)&gt;1,"Trùng mã đơn; ","")&amp;IF(ISNA(MATCH($C4017,DATA_MASTER!$D$2:$D$5000,0)),"SĐT chưa đăng ký hội viên; ","")&amp;IF(AND($L4017="Đã chuyển khoản",$M4017=""),"Thiếu ngày nhận CK; ",""))</f>
        <v/>
      </c>
      <c r="T4017" s="24" t="n"/>
    </row>
    <row r="4018" ht="14.25" customHeight="1" s="40">
      <c r="A4018" s="24" t="n"/>
      <c r="B4018" s="29" t="n"/>
      <c r="C4018" s="28" t="n"/>
      <c r="D4018" s="22">
        <f t="array" ref="D4018">IF($C4018="","",IFERROR(INDEX(DATA_MASTER!$C$2:$C$5000,MATCH($C4018,DATA_MASTER!$D$2:$D$5000,0)),""))</f>
        <v/>
      </c>
      <c r="E4018" s="22">
        <f t="array" ref="E4018">IF($C4018="","",IFERROR(INDEX(DATA_MASTER!$I$2:$I$5000,MATCH($C4018,DATA_MASTER!$D$2:$D$5000,0)),""))</f>
        <v/>
      </c>
      <c r="F4018" s="22">
        <f t="array" ref="F4018">IF($C4018="","",IFERROR(INDEX(DATA_MASTER!$L$2:$L$5000,MATCH($C4018,DATA_MASTER!$D$2:$D$5000,0)),""))</f>
        <v/>
      </c>
      <c r="G4018" s="24" t="n"/>
      <c r="H4018" s="24" t="n"/>
      <c r="I4018" s="30" t="n"/>
      <c r="J4018" s="23">
        <f>IF(OR($H4018="",$I4018=""),"",$H4018*$I4018)</f>
        <v/>
      </c>
      <c r="K4018" s="24" t="n"/>
      <c r="L4018" s="24" t="n"/>
      <c r="M4018" s="29" t="n"/>
      <c r="N4018" s="28" t="n"/>
      <c r="O4018" s="24" t="n"/>
      <c r="P4018" s="24" t="n"/>
      <c r="Q4018" s="24" t="n"/>
      <c r="R4018" s="24" t="n"/>
      <c r="S4018" s="22">
        <f>IF(AND($A4018="",$C4018=""),"",IF($A4018="","Thiếu mã đơn; ","")&amp;IF(COUNTIF($A$2:$A4018,$A4018)&gt;1,"Trùng mã đơn; ","")&amp;IF(ISNA(MATCH($C4018,DATA_MASTER!$D$2:$D$5000,0)),"SĐT chưa đăng ký hội viên; ","")&amp;IF(AND($L4018="Đã chuyển khoản",$M4018=""),"Thiếu ngày nhận CK; ",""))</f>
        <v/>
      </c>
      <c r="T4018" s="24" t="n"/>
    </row>
    <row r="4019" ht="14.25" customHeight="1" s="40">
      <c r="A4019" s="24" t="n"/>
      <c r="B4019" s="29" t="n"/>
      <c r="C4019" s="28" t="n"/>
      <c r="D4019" s="22">
        <f t="array" ref="D4019">IF($C4019="","",IFERROR(INDEX(DATA_MASTER!$C$2:$C$5000,MATCH($C4019,DATA_MASTER!$D$2:$D$5000,0)),""))</f>
        <v/>
      </c>
      <c r="E4019" s="22">
        <f t="array" ref="E4019">IF($C4019="","",IFERROR(INDEX(DATA_MASTER!$I$2:$I$5000,MATCH($C4019,DATA_MASTER!$D$2:$D$5000,0)),""))</f>
        <v/>
      </c>
      <c r="F4019" s="22">
        <f t="array" ref="F4019">IF($C4019="","",IFERROR(INDEX(DATA_MASTER!$L$2:$L$5000,MATCH($C4019,DATA_MASTER!$D$2:$D$5000,0)),""))</f>
        <v/>
      </c>
      <c r="G4019" s="24" t="n"/>
      <c r="H4019" s="24" t="n"/>
      <c r="I4019" s="30" t="n"/>
      <c r="J4019" s="23">
        <f>IF(OR($H4019="",$I4019=""),"",$H4019*$I4019)</f>
        <v/>
      </c>
      <c r="K4019" s="24" t="n"/>
      <c r="L4019" s="24" t="n"/>
      <c r="M4019" s="29" t="n"/>
      <c r="N4019" s="28" t="n"/>
      <c r="O4019" s="24" t="n"/>
      <c r="P4019" s="24" t="n"/>
      <c r="Q4019" s="24" t="n"/>
      <c r="R4019" s="24" t="n"/>
      <c r="S4019" s="22">
        <f>IF(AND($A4019="",$C4019=""),"",IF($A4019="","Thiếu mã đơn; ","")&amp;IF(COUNTIF($A$2:$A4019,$A4019)&gt;1,"Trùng mã đơn; ","")&amp;IF(ISNA(MATCH($C4019,DATA_MASTER!$D$2:$D$5000,0)),"SĐT chưa đăng ký hội viên; ","")&amp;IF(AND($L4019="Đã chuyển khoản",$M4019=""),"Thiếu ngày nhận CK; ",""))</f>
        <v/>
      </c>
      <c r="T4019" s="24" t="n"/>
    </row>
    <row r="4020" ht="14.25" customHeight="1" s="40">
      <c r="A4020" s="24" t="n"/>
      <c r="B4020" s="29" t="n"/>
      <c r="C4020" s="28" t="n"/>
      <c r="D4020" s="22">
        <f t="array" ref="D4020">IF($C4020="","",IFERROR(INDEX(DATA_MASTER!$C$2:$C$5000,MATCH($C4020,DATA_MASTER!$D$2:$D$5000,0)),""))</f>
        <v/>
      </c>
      <c r="E4020" s="22">
        <f t="array" ref="E4020">IF($C4020="","",IFERROR(INDEX(DATA_MASTER!$I$2:$I$5000,MATCH($C4020,DATA_MASTER!$D$2:$D$5000,0)),""))</f>
        <v/>
      </c>
      <c r="F4020" s="22">
        <f t="array" ref="F4020">IF($C4020="","",IFERROR(INDEX(DATA_MASTER!$L$2:$L$5000,MATCH($C4020,DATA_MASTER!$D$2:$D$5000,0)),""))</f>
        <v/>
      </c>
      <c r="G4020" s="24" t="n"/>
      <c r="H4020" s="24" t="n"/>
      <c r="I4020" s="30" t="n"/>
      <c r="J4020" s="23">
        <f>IF(OR($H4020="",$I4020=""),"",$H4020*$I4020)</f>
        <v/>
      </c>
      <c r="K4020" s="24" t="n"/>
      <c r="L4020" s="24" t="n"/>
      <c r="M4020" s="29" t="n"/>
      <c r="N4020" s="28" t="n"/>
      <c r="O4020" s="24" t="n"/>
      <c r="P4020" s="24" t="n"/>
      <c r="Q4020" s="24" t="n"/>
      <c r="R4020" s="24" t="n"/>
      <c r="S4020" s="22">
        <f>IF(AND($A4020="",$C4020=""),"",IF($A4020="","Thiếu mã đơn; ","")&amp;IF(COUNTIF($A$2:$A4020,$A4020)&gt;1,"Trùng mã đơn; ","")&amp;IF(ISNA(MATCH($C4020,DATA_MASTER!$D$2:$D$5000,0)),"SĐT chưa đăng ký hội viên; ","")&amp;IF(AND($L4020="Đã chuyển khoản",$M4020=""),"Thiếu ngày nhận CK; ",""))</f>
        <v/>
      </c>
      <c r="T4020" s="24" t="n"/>
    </row>
    <row r="4021" ht="14.25" customHeight="1" s="40">
      <c r="A4021" s="24" t="n"/>
      <c r="B4021" s="29" t="n"/>
      <c r="C4021" s="28" t="n"/>
      <c r="D4021" s="22">
        <f t="array" ref="D4021">IF($C4021="","",IFERROR(INDEX(DATA_MASTER!$C$2:$C$5000,MATCH($C4021,DATA_MASTER!$D$2:$D$5000,0)),""))</f>
        <v/>
      </c>
      <c r="E4021" s="22">
        <f t="array" ref="E4021">IF($C4021="","",IFERROR(INDEX(DATA_MASTER!$I$2:$I$5000,MATCH($C4021,DATA_MASTER!$D$2:$D$5000,0)),""))</f>
        <v/>
      </c>
      <c r="F4021" s="22">
        <f t="array" ref="F4021">IF($C4021="","",IFERROR(INDEX(DATA_MASTER!$L$2:$L$5000,MATCH($C4021,DATA_MASTER!$D$2:$D$5000,0)),""))</f>
        <v/>
      </c>
      <c r="G4021" s="24" t="n"/>
      <c r="H4021" s="24" t="n"/>
      <c r="I4021" s="30" t="n"/>
      <c r="J4021" s="23">
        <f>IF(OR($H4021="",$I4021=""),"",$H4021*$I4021)</f>
        <v/>
      </c>
      <c r="K4021" s="24" t="n"/>
      <c r="L4021" s="24" t="n"/>
      <c r="M4021" s="29" t="n"/>
      <c r="N4021" s="28" t="n"/>
      <c r="O4021" s="24" t="n"/>
      <c r="P4021" s="24" t="n"/>
      <c r="Q4021" s="24" t="n"/>
      <c r="R4021" s="24" t="n"/>
      <c r="S4021" s="22">
        <f>IF(AND($A4021="",$C4021=""),"",IF($A4021="","Thiếu mã đơn; ","")&amp;IF(COUNTIF($A$2:$A4021,$A4021)&gt;1,"Trùng mã đơn; ","")&amp;IF(ISNA(MATCH($C4021,DATA_MASTER!$D$2:$D$5000,0)),"SĐT chưa đăng ký hội viên; ","")&amp;IF(AND($L4021="Đã chuyển khoản",$M4021=""),"Thiếu ngày nhận CK; ",""))</f>
        <v/>
      </c>
      <c r="T4021" s="24" t="n"/>
    </row>
    <row r="4022" ht="14.25" customHeight="1" s="40">
      <c r="A4022" s="24" t="n"/>
      <c r="B4022" s="29" t="n"/>
      <c r="C4022" s="28" t="n"/>
      <c r="D4022" s="22">
        <f t="array" ref="D4022">IF($C4022="","",IFERROR(INDEX(DATA_MASTER!$C$2:$C$5000,MATCH($C4022,DATA_MASTER!$D$2:$D$5000,0)),""))</f>
        <v/>
      </c>
      <c r="E4022" s="22">
        <f t="array" ref="E4022">IF($C4022="","",IFERROR(INDEX(DATA_MASTER!$I$2:$I$5000,MATCH($C4022,DATA_MASTER!$D$2:$D$5000,0)),""))</f>
        <v/>
      </c>
      <c r="F4022" s="22">
        <f t="array" ref="F4022">IF($C4022="","",IFERROR(INDEX(DATA_MASTER!$L$2:$L$5000,MATCH($C4022,DATA_MASTER!$D$2:$D$5000,0)),""))</f>
        <v/>
      </c>
      <c r="G4022" s="24" t="n"/>
      <c r="H4022" s="24" t="n"/>
      <c r="I4022" s="30" t="n"/>
      <c r="J4022" s="23">
        <f>IF(OR($H4022="",$I4022=""),"",$H4022*$I4022)</f>
        <v/>
      </c>
      <c r="K4022" s="24" t="n"/>
      <c r="L4022" s="24" t="n"/>
      <c r="M4022" s="29" t="n"/>
      <c r="N4022" s="28" t="n"/>
      <c r="O4022" s="24" t="n"/>
      <c r="P4022" s="24" t="n"/>
      <c r="Q4022" s="24" t="n"/>
      <c r="R4022" s="24" t="n"/>
      <c r="S4022" s="22">
        <f>IF(AND($A4022="",$C4022=""),"",IF($A4022="","Thiếu mã đơn; ","")&amp;IF(COUNTIF($A$2:$A4022,$A4022)&gt;1,"Trùng mã đơn; ","")&amp;IF(ISNA(MATCH($C4022,DATA_MASTER!$D$2:$D$5000,0)),"SĐT chưa đăng ký hội viên; ","")&amp;IF(AND($L4022="Đã chuyển khoản",$M4022=""),"Thiếu ngày nhận CK; ",""))</f>
        <v/>
      </c>
      <c r="T4022" s="24" t="n"/>
    </row>
    <row r="4023" ht="14.25" customHeight="1" s="40">
      <c r="A4023" s="24" t="n"/>
      <c r="B4023" s="29" t="n"/>
      <c r="C4023" s="28" t="n"/>
      <c r="D4023" s="22">
        <f t="array" ref="D4023">IF($C4023="","",IFERROR(INDEX(DATA_MASTER!$C$2:$C$5000,MATCH($C4023,DATA_MASTER!$D$2:$D$5000,0)),""))</f>
        <v/>
      </c>
      <c r="E4023" s="22">
        <f t="array" ref="E4023">IF($C4023="","",IFERROR(INDEX(DATA_MASTER!$I$2:$I$5000,MATCH($C4023,DATA_MASTER!$D$2:$D$5000,0)),""))</f>
        <v/>
      </c>
      <c r="F4023" s="22">
        <f t="array" ref="F4023">IF($C4023="","",IFERROR(INDEX(DATA_MASTER!$L$2:$L$5000,MATCH($C4023,DATA_MASTER!$D$2:$D$5000,0)),""))</f>
        <v/>
      </c>
      <c r="G4023" s="24" t="n"/>
      <c r="H4023" s="24" t="n"/>
      <c r="I4023" s="30" t="n"/>
      <c r="J4023" s="23">
        <f>IF(OR($H4023="",$I4023=""),"",$H4023*$I4023)</f>
        <v/>
      </c>
      <c r="K4023" s="24" t="n"/>
      <c r="L4023" s="24" t="n"/>
      <c r="M4023" s="29" t="n"/>
      <c r="N4023" s="28" t="n"/>
      <c r="O4023" s="24" t="n"/>
      <c r="P4023" s="24" t="n"/>
      <c r="Q4023" s="24" t="n"/>
      <c r="R4023" s="24" t="n"/>
      <c r="S4023" s="22">
        <f>IF(AND($A4023="",$C4023=""),"",IF($A4023="","Thiếu mã đơn; ","")&amp;IF(COUNTIF($A$2:$A4023,$A4023)&gt;1,"Trùng mã đơn; ","")&amp;IF(ISNA(MATCH($C4023,DATA_MASTER!$D$2:$D$5000,0)),"SĐT chưa đăng ký hội viên; ","")&amp;IF(AND($L4023="Đã chuyển khoản",$M4023=""),"Thiếu ngày nhận CK; ",""))</f>
        <v/>
      </c>
      <c r="T4023" s="24" t="n"/>
    </row>
    <row r="4024" ht="14.25" customHeight="1" s="40">
      <c r="A4024" s="24" t="n"/>
      <c r="B4024" s="29" t="n"/>
      <c r="C4024" s="28" t="n"/>
      <c r="D4024" s="22">
        <f t="array" ref="D4024">IF($C4024="","",IFERROR(INDEX(DATA_MASTER!$C$2:$C$5000,MATCH($C4024,DATA_MASTER!$D$2:$D$5000,0)),""))</f>
        <v/>
      </c>
      <c r="E4024" s="22">
        <f t="array" ref="E4024">IF($C4024="","",IFERROR(INDEX(DATA_MASTER!$I$2:$I$5000,MATCH($C4024,DATA_MASTER!$D$2:$D$5000,0)),""))</f>
        <v/>
      </c>
      <c r="F4024" s="22">
        <f t="array" ref="F4024">IF($C4024="","",IFERROR(INDEX(DATA_MASTER!$L$2:$L$5000,MATCH($C4024,DATA_MASTER!$D$2:$D$5000,0)),""))</f>
        <v/>
      </c>
      <c r="G4024" s="24" t="n"/>
      <c r="H4024" s="24" t="n"/>
      <c r="I4024" s="30" t="n"/>
      <c r="J4024" s="23">
        <f>IF(OR($H4024="",$I4024=""),"",$H4024*$I4024)</f>
        <v/>
      </c>
      <c r="K4024" s="24" t="n"/>
      <c r="L4024" s="24" t="n"/>
      <c r="M4024" s="29" t="n"/>
      <c r="N4024" s="28" t="n"/>
      <c r="O4024" s="24" t="n"/>
      <c r="P4024" s="24" t="n"/>
      <c r="Q4024" s="24" t="n"/>
      <c r="R4024" s="24" t="n"/>
      <c r="S4024" s="22">
        <f>IF(AND($A4024="",$C4024=""),"",IF($A4024="","Thiếu mã đơn; ","")&amp;IF(COUNTIF($A$2:$A4024,$A4024)&gt;1,"Trùng mã đơn; ","")&amp;IF(ISNA(MATCH($C4024,DATA_MASTER!$D$2:$D$5000,0)),"SĐT chưa đăng ký hội viên; ","")&amp;IF(AND($L4024="Đã chuyển khoản",$M4024=""),"Thiếu ngày nhận CK; ",""))</f>
        <v/>
      </c>
      <c r="T4024" s="24" t="n"/>
    </row>
    <row r="4025" ht="14.25" customHeight="1" s="40">
      <c r="A4025" s="24" t="n"/>
      <c r="B4025" s="29" t="n"/>
      <c r="C4025" s="28" t="n"/>
      <c r="D4025" s="22">
        <f t="array" ref="D4025">IF($C4025="","",IFERROR(INDEX(DATA_MASTER!$C$2:$C$5000,MATCH($C4025,DATA_MASTER!$D$2:$D$5000,0)),""))</f>
        <v/>
      </c>
      <c r="E4025" s="22">
        <f t="array" ref="E4025">IF($C4025="","",IFERROR(INDEX(DATA_MASTER!$I$2:$I$5000,MATCH($C4025,DATA_MASTER!$D$2:$D$5000,0)),""))</f>
        <v/>
      </c>
      <c r="F4025" s="22">
        <f t="array" ref="F4025">IF($C4025="","",IFERROR(INDEX(DATA_MASTER!$L$2:$L$5000,MATCH($C4025,DATA_MASTER!$D$2:$D$5000,0)),""))</f>
        <v/>
      </c>
      <c r="G4025" s="24" t="n"/>
      <c r="H4025" s="24" t="n"/>
      <c r="I4025" s="30" t="n"/>
      <c r="J4025" s="23">
        <f>IF(OR($H4025="",$I4025=""),"",$H4025*$I4025)</f>
        <v/>
      </c>
      <c r="K4025" s="24" t="n"/>
      <c r="L4025" s="24" t="n"/>
      <c r="M4025" s="29" t="n"/>
      <c r="N4025" s="28" t="n"/>
      <c r="O4025" s="24" t="n"/>
      <c r="P4025" s="24" t="n"/>
      <c r="Q4025" s="24" t="n"/>
      <c r="R4025" s="24" t="n"/>
      <c r="S4025" s="22">
        <f>IF(AND($A4025="",$C4025=""),"",IF($A4025="","Thiếu mã đơn; ","")&amp;IF(COUNTIF($A$2:$A4025,$A4025)&gt;1,"Trùng mã đơn; ","")&amp;IF(ISNA(MATCH($C4025,DATA_MASTER!$D$2:$D$5000,0)),"SĐT chưa đăng ký hội viên; ","")&amp;IF(AND($L4025="Đã chuyển khoản",$M4025=""),"Thiếu ngày nhận CK; ",""))</f>
        <v/>
      </c>
      <c r="T4025" s="24" t="n"/>
    </row>
    <row r="4026" ht="14.25" customHeight="1" s="40">
      <c r="A4026" s="24" t="n"/>
      <c r="B4026" s="29" t="n"/>
      <c r="C4026" s="28" t="n"/>
      <c r="D4026" s="22">
        <f t="array" ref="D4026">IF($C4026="","",IFERROR(INDEX(DATA_MASTER!$C$2:$C$5000,MATCH($C4026,DATA_MASTER!$D$2:$D$5000,0)),""))</f>
        <v/>
      </c>
      <c r="E4026" s="22">
        <f t="array" ref="E4026">IF($C4026="","",IFERROR(INDEX(DATA_MASTER!$I$2:$I$5000,MATCH($C4026,DATA_MASTER!$D$2:$D$5000,0)),""))</f>
        <v/>
      </c>
      <c r="F4026" s="22">
        <f t="array" ref="F4026">IF($C4026="","",IFERROR(INDEX(DATA_MASTER!$L$2:$L$5000,MATCH($C4026,DATA_MASTER!$D$2:$D$5000,0)),""))</f>
        <v/>
      </c>
      <c r="G4026" s="24" t="n"/>
      <c r="H4026" s="24" t="n"/>
      <c r="I4026" s="30" t="n"/>
      <c r="J4026" s="23">
        <f>IF(OR($H4026="",$I4026=""),"",$H4026*$I4026)</f>
        <v/>
      </c>
      <c r="K4026" s="24" t="n"/>
      <c r="L4026" s="24" t="n"/>
      <c r="M4026" s="29" t="n"/>
      <c r="N4026" s="28" t="n"/>
      <c r="O4026" s="24" t="n"/>
      <c r="P4026" s="24" t="n"/>
      <c r="Q4026" s="24" t="n"/>
      <c r="R4026" s="24" t="n"/>
      <c r="S4026" s="22">
        <f>IF(AND($A4026="",$C4026=""),"",IF($A4026="","Thiếu mã đơn; ","")&amp;IF(COUNTIF($A$2:$A4026,$A4026)&gt;1,"Trùng mã đơn; ","")&amp;IF(ISNA(MATCH($C4026,DATA_MASTER!$D$2:$D$5000,0)),"SĐT chưa đăng ký hội viên; ","")&amp;IF(AND($L4026="Đã chuyển khoản",$M4026=""),"Thiếu ngày nhận CK; ",""))</f>
        <v/>
      </c>
      <c r="T4026" s="24" t="n"/>
    </row>
    <row r="4027" ht="14.25" customHeight="1" s="40">
      <c r="A4027" s="24" t="n"/>
      <c r="B4027" s="29" t="n"/>
      <c r="C4027" s="28" t="n"/>
      <c r="D4027" s="22">
        <f t="array" ref="D4027">IF($C4027="","",IFERROR(INDEX(DATA_MASTER!$C$2:$C$5000,MATCH($C4027,DATA_MASTER!$D$2:$D$5000,0)),""))</f>
        <v/>
      </c>
      <c r="E4027" s="22">
        <f t="array" ref="E4027">IF($C4027="","",IFERROR(INDEX(DATA_MASTER!$I$2:$I$5000,MATCH($C4027,DATA_MASTER!$D$2:$D$5000,0)),""))</f>
        <v/>
      </c>
      <c r="F4027" s="22">
        <f t="array" ref="F4027">IF($C4027="","",IFERROR(INDEX(DATA_MASTER!$L$2:$L$5000,MATCH($C4027,DATA_MASTER!$D$2:$D$5000,0)),""))</f>
        <v/>
      </c>
      <c r="G4027" s="24" t="n"/>
      <c r="H4027" s="24" t="n"/>
      <c r="I4027" s="30" t="n"/>
      <c r="J4027" s="23">
        <f>IF(OR($H4027="",$I4027=""),"",$H4027*$I4027)</f>
        <v/>
      </c>
      <c r="K4027" s="24" t="n"/>
      <c r="L4027" s="24" t="n"/>
      <c r="M4027" s="29" t="n"/>
      <c r="N4027" s="28" t="n"/>
      <c r="O4027" s="24" t="n"/>
      <c r="P4027" s="24" t="n"/>
      <c r="Q4027" s="24" t="n"/>
      <c r="R4027" s="24" t="n"/>
      <c r="S4027" s="22">
        <f>IF(AND($A4027="",$C4027=""),"",IF($A4027="","Thiếu mã đơn; ","")&amp;IF(COUNTIF($A$2:$A4027,$A4027)&gt;1,"Trùng mã đơn; ","")&amp;IF(ISNA(MATCH($C4027,DATA_MASTER!$D$2:$D$5000,0)),"SĐT chưa đăng ký hội viên; ","")&amp;IF(AND($L4027="Đã chuyển khoản",$M4027=""),"Thiếu ngày nhận CK; ",""))</f>
        <v/>
      </c>
      <c r="T4027" s="24" t="n"/>
    </row>
    <row r="4028" ht="14.25" customHeight="1" s="40">
      <c r="A4028" s="24" t="n"/>
      <c r="B4028" s="29" t="n"/>
      <c r="C4028" s="28" t="n"/>
      <c r="D4028" s="22">
        <f t="array" ref="D4028">IF($C4028="","",IFERROR(INDEX(DATA_MASTER!$C$2:$C$5000,MATCH($C4028,DATA_MASTER!$D$2:$D$5000,0)),""))</f>
        <v/>
      </c>
      <c r="E4028" s="22">
        <f t="array" ref="E4028">IF($C4028="","",IFERROR(INDEX(DATA_MASTER!$I$2:$I$5000,MATCH($C4028,DATA_MASTER!$D$2:$D$5000,0)),""))</f>
        <v/>
      </c>
      <c r="F4028" s="22">
        <f t="array" ref="F4028">IF($C4028="","",IFERROR(INDEX(DATA_MASTER!$L$2:$L$5000,MATCH($C4028,DATA_MASTER!$D$2:$D$5000,0)),""))</f>
        <v/>
      </c>
      <c r="G4028" s="24" t="n"/>
      <c r="H4028" s="24" t="n"/>
      <c r="I4028" s="30" t="n"/>
      <c r="J4028" s="23">
        <f>IF(OR($H4028="",$I4028=""),"",$H4028*$I4028)</f>
        <v/>
      </c>
      <c r="K4028" s="24" t="n"/>
      <c r="L4028" s="24" t="n"/>
      <c r="M4028" s="29" t="n"/>
      <c r="N4028" s="28" t="n"/>
      <c r="O4028" s="24" t="n"/>
      <c r="P4028" s="24" t="n"/>
      <c r="Q4028" s="24" t="n"/>
      <c r="R4028" s="24" t="n"/>
      <c r="S4028" s="22">
        <f>IF(AND($A4028="",$C4028=""),"",IF($A4028="","Thiếu mã đơn; ","")&amp;IF(COUNTIF($A$2:$A4028,$A4028)&gt;1,"Trùng mã đơn; ","")&amp;IF(ISNA(MATCH($C4028,DATA_MASTER!$D$2:$D$5000,0)),"SĐT chưa đăng ký hội viên; ","")&amp;IF(AND($L4028="Đã chuyển khoản",$M4028=""),"Thiếu ngày nhận CK; ",""))</f>
        <v/>
      </c>
      <c r="T4028" s="24" t="n"/>
    </row>
    <row r="4029" ht="14.25" customHeight="1" s="40">
      <c r="A4029" s="24" t="n"/>
      <c r="B4029" s="29" t="n"/>
      <c r="C4029" s="28" t="n"/>
      <c r="D4029" s="22">
        <f t="array" ref="D4029">IF($C4029="","",IFERROR(INDEX(DATA_MASTER!$C$2:$C$5000,MATCH($C4029,DATA_MASTER!$D$2:$D$5000,0)),""))</f>
        <v/>
      </c>
      <c r="E4029" s="22">
        <f t="array" ref="E4029">IF($C4029="","",IFERROR(INDEX(DATA_MASTER!$I$2:$I$5000,MATCH($C4029,DATA_MASTER!$D$2:$D$5000,0)),""))</f>
        <v/>
      </c>
      <c r="F4029" s="22">
        <f t="array" ref="F4029">IF($C4029="","",IFERROR(INDEX(DATA_MASTER!$L$2:$L$5000,MATCH($C4029,DATA_MASTER!$D$2:$D$5000,0)),""))</f>
        <v/>
      </c>
      <c r="G4029" s="24" t="n"/>
      <c r="H4029" s="24" t="n"/>
      <c r="I4029" s="30" t="n"/>
      <c r="J4029" s="23">
        <f>IF(OR($H4029="",$I4029=""),"",$H4029*$I4029)</f>
        <v/>
      </c>
      <c r="K4029" s="24" t="n"/>
      <c r="L4029" s="24" t="n"/>
      <c r="M4029" s="29" t="n"/>
      <c r="N4029" s="28" t="n"/>
      <c r="O4029" s="24" t="n"/>
      <c r="P4029" s="24" t="n"/>
      <c r="Q4029" s="24" t="n"/>
      <c r="R4029" s="24" t="n"/>
      <c r="S4029" s="22">
        <f>IF(AND($A4029="",$C4029=""),"",IF($A4029="","Thiếu mã đơn; ","")&amp;IF(COUNTIF($A$2:$A4029,$A4029)&gt;1,"Trùng mã đơn; ","")&amp;IF(ISNA(MATCH($C4029,DATA_MASTER!$D$2:$D$5000,0)),"SĐT chưa đăng ký hội viên; ","")&amp;IF(AND($L4029="Đã chuyển khoản",$M4029=""),"Thiếu ngày nhận CK; ",""))</f>
        <v/>
      </c>
      <c r="T4029" s="24" t="n"/>
    </row>
    <row r="4030" ht="14.25" customHeight="1" s="40">
      <c r="A4030" s="24" t="n"/>
      <c r="B4030" s="29" t="n"/>
      <c r="C4030" s="28" t="n"/>
      <c r="D4030" s="22">
        <f t="array" ref="D4030">IF($C4030="","",IFERROR(INDEX(DATA_MASTER!$C$2:$C$5000,MATCH($C4030,DATA_MASTER!$D$2:$D$5000,0)),""))</f>
        <v/>
      </c>
      <c r="E4030" s="22">
        <f t="array" ref="E4030">IF($C4030="","",IFERROR(INDEX(DATA_MASTER!$I$2:$I$5000,MATCH($C4030,DATA_MASTER!$D$2:$D$5000,0)),""))</f>
        <v/>
      </c>
      <c r="F4030" s="22">
        <f t="array" ref="F4030">IF($C4030="","",IFERROR(INDEX(DATA_MASTER!$L$2:$L$5000,MATCH($C4030,DATA_MASTER!$D$2:$D$5000,0)),""))</f>
        <v/>
      </c>
      <c r="G4030" s="24" t="n"/>
      <c r="H4030" s="24" t="n"/>
      <c r="I4030" s="30" t="n"/>
      <c r="J4030" s="23">
        <f>IF(OR($H4030="",$I4030=""),"",$H4030*$I4030)</f>
        <v/>
      </c>
      <c r="K4030" s="24" t="n"/>
      <c r="L4030" s="24" t="n"/>
      <c r="M4030" s="29" t="n"/>
      <c r="N4030" s="28" t="n"/>
      <c r="O4030" s="24" t="n"/>
      <c r="P4030" s="24" t="n"/>
      <c r="Q4030" s="24" t="n"/>
      <c r="R4030" s="24" t="n"/>
      <c r="S4030" s="22">
        <f>IF(AND($A4030="",$C4030=""),"",IF($A4030="","Thiếu mã đơn; ","")&amp;IF(COUNTIF($A$2:$A4030,$A4030)&gt;1,"Trùng mã đơn; ","")&amp;IF(ISNA(MATCH($C4030,DATA_MASTER!$D$2:$D$5000,0)),"SĐT chưa đăng ký hội viên; ","")&amp;IF(AND($L4030="Đã chuyển khoản",$M4030=""),"Thiếu ngày nhận CK; ",""))</f>
        <v/>
      </c>
      <c r="T4030" s="24" t="n"/>
    </row>
    <row r="4031" ht="14.25" customHeight="1" s="40">
      <c r="A4031" s="24" t="n"/>
      <c r="B4031" s="29" t="n"/>
      <c r="C4031" s="28" t="n"/>
      <c r="D4031" s="22">
        <f t="array" ref="D4031">IF($C4031="","",IFERROR(INDEX(DATA_MASTER!$C$2:$C$5000,MATCH($C4031,DATA_MASTER!$D$2:$D$5000,0)),""))</f>
        <v/>
      </c>
      <c r="E4031" s="22">
        <f t="array" ref="E4031">IF($C4031="","",IFERROR(INDEX(DATA_MASTER!$I$2:$I$5000,MATCH($C4031,DATA_MASTER!$D$2:$D$5000,0)),""))</f>
        <v/>
      </c>
      <c r="F4031" s="22">
        <f t="array" ref="F4031">IF($C4031="","",IFERROR(INDEX(DATA_MASTER!$L$2:$L$5000,MATCH($C4031,DATA_MASTER!$D$2:$D$5000,0)),""))</f>
        <v/>
      </c>
      <c r="G4031" s="24" t="n"/>
      <c r="H4031" s="24" t="n"/>
      <c r="I4031" s="30" t="n"/>
      <c r="J4031" s="23">
        <f>IF(OR($H4031="",$I4031=""),"",$H4031*$I4031)</f>
        <v/>
      </c>
      <c r="K4031" s="24" t="n"/>
      <c r="L4031" s="24" t="n"/>
      <c r="M4031" s="29" t="n"/>
      <c r="N4031" s="28" t="n"/>
      <c r="O4031" s="24" t="n"/>
      <c r="P4031" s="24" t="n"/>
      <c r="Q4031" s="24" t="n"/>
      <c r="R4031" s="24" t="n"/>
      <c r="S4031" s="22">
        <f>IF(AND($A4031="",$C4031=""),"",IF($A4031="","Thiếu mã đơn; ","")&amp;IF(COUNTIF($A$2:$A4031,$A4031)&gt;1,"Trùng mã đơn; ","")&amp;IF(ISNA(MATCH($C4031,DATA_MASTER!$D$2:$D$5000,0)),"SĐT chưa đăng ký hội viên; ","")&amp;IF(AND($L4031="Đã chuyển khoản",$M4031=""),"Thiếu ngày nhận CK; ",""))</f>
        <v/>
      </c>
      <c r="T4031" s="24" t="n"/>
    </row>
    <row r="4032" ht="14.25" customHeight="1" s="40">
      <c r="A4032" s="24" t="n"/>
      <c r="B4032" s="29" t="n"/>
      <c r="C4032" s="28" t="n"/>
      <c r="D4032" s="22">
        <f t="array" ref="D4032">IF($C4032="","",IFERROR(INDEX(DATA_MASTER!$C$2:$C$5000,MATCH($C4032,DATA_MASTER!$D$2:$D$5000,0)),""))</f>
        <v/>
      </c>
      <c r="E4032" s="22">
        <f t="array" ref="E4032">IF($C4032="","",IFERROR(INDEX(DATA_MASTER!$I$2:$I$5000,MATCH($C4032,DATA_MASTER!$D$2:$D$5000,0)),""))</f>
        <v/>
      </c>
      <c r="F4032" s="22">
        <f t="array" ref="F4032">IF($C4032="","",IFERROR(INDEX(DATA_MASTER!$L$2:$L$5000,MATCH($C4032,DATA_MASTER!$D$2:$D$5000,0)),""))</f>
        <v/>
      </c>
      <c r="G4032" s="24" t="n"/>
      <c r="H4032" s="24" t="n"/>
      <c r="I4032" s="30" t="n"/>
      <c r="J4032" s="23">
        <f>IF(OR($H4032="",$I4032=""),"",$H4032*$I4032)</f>
        <v/>
      </c>
      <c r="K4032" s="24" t="n"/>
      <c r="L4032" s="24" t="n"/>
      <c r="M4032" s="29" t="n"/>
      <c r="N4032" s="28" t="n"/>
      <c r="O4032" s="24" t="n"/>
      <c r="P4032" s="24" t="n"/>
      <c r="Q4032" s="24" t="n"/>
      <c r="R4032" s="24" t="n"/>
      <c r="S4032" s="22">
        <f>IF(AND($A4032="",$C4032=""),"",IF($A4032="","Thiếu mã đơn; ","")&amp;IF(COUNTIF($A$2:$A4032,$A4032)&gt;1,"Trùng mã đơn; ","")&amp;IF(ISNA(MATCH($C4032,DATA_MASTER!$D$2:$D$5000,0)),"SĐT chưa đăng ký hội viên; ","")&amp;IF(AND($L4032="Đã chuyển khoản",$M4032=""),"Thiếu ngày nhận CK; ",""))</f>
        <v/>
      </c>
      <c r="T4032" s="24" t="n"/>
    </row>
    <row r="4033" ht="14.25" customHeight="1" s="40">
      <c r="A4033" s="24" t="n"/>
      <c r="B4033" s="29" t="n"/>
      <c r="C4033" s="28" t="n"/>
      <c r="D4033" s="22">
        <f t="array" ref="D4033">IF($C4033="","",IFERROR(INDEX(DATA_MASTER!$C$2:$C$5000,MATCH($C4033,DATA_MASTER!$D$2:$D$5000,0)),""))</f>
        <v/>
      </c>
      <c r="E4033" s="22">
        <f t="array" ref="E4033">IF($C4033="","",IFERROR(INDEX(DATA_MASTER!$I$2:$I$5000,MATCH($C4033,DATA_MASTER!$D$2:$D$5000,0)),""))</f>
        <v/>
      </c>
      <c r="F4033" s="22">
        <f t="array" ref="F4033">IF($C4033="","",IFERROR(INDEX(DATA_MASTER!$L$2:$L$5000,MATCH($C4033,DATA_MASTER!$D$2:$D$5000,0)),""))</f>
        <v/>
      </c>
      <c r="G4033" s="24" t="n"/>
      <c r="H4033" s="24" t="n"/>
      <c r="I4033" s="30" t="n"/>
      <c r="J4033" s="23">
        <f>IF(OR($H4033="",$I4033=""),"",$H4033*$I4033)</f>
        <v/>
      </c>
      <c r="K4033" s="24" t="n"/>
      <c r="L4033" s="24" t="n"/>
      <c r="M4033" s="29" t="n"/>
      <c r="N4033" s="28" t="n"/>
      <c r="O4033" s="24" t="n"/>
      <c r="P4033" s="24" t="n"/>
      <c r="Q4033" s="24" t="n"/>
      <c r="R4033" s="24" t="n"/>
      <c r="S4033" s="22">
        <f>IF(AND($A4033="",$C4033=""),"",IF($A4033="","Thiếu mã đơn; ","")&amp;IF(COUNTIF($A$2:$A4033,$A4033)&gt;1,"Trùng mã đơn; ","")&amp;IF(ISNA(MATCH($C4033,DATA_MASTER!$D$2:$D$5000,0)),"SĐT chưa đăng ký hội viên; ","")&amp;IF(AND($L4033="Đã chuyển khoản",$M4033=""),"Thiếu ngày nhận CK; ",""))</f>
        <v/>
      </c>
      <c r="T4033" s="24" t="n"/>
    </row>
    <row r="4034" ht="14.25" customHeight="1" s="40">
      <c r="A4034" s="24" t="n"/>
      <c r="B4034" s="29" t="n"/>
      <c r="C4034" s="28" t="n"/>
      <c r="D4034" s="22">
        <f t="array" ref="D4034">IF($C4034="","",IFERROR(INDEX(DATA_MASTER!$C$2:$C$5000,MATCH($C4034,DATA_MASTER!$D$2:$D$5000,0)),""))</f>
        <v/>
      </c>
      <c r="E4034" s="22">
        <f t="array" ref="E4034">IF($C4034="","",IFERROR(INDEX(DATA_MASTER!$I$2:$I$5000,MATCH($C4034,DATA_MASTER!$D$2:$D$5000,0)),""))</f>
        <v/>
      </c>
      <c r="F4034" s="22">
        <f t="array" ref="F4034">IF($C4034="","",IFERROR(INDEX(DATA_MASTER!$L$2:$L$5000,MATCH($C4034,DATA_MASTER!$D$2:$D$5000,0)),""))</f>
        <v/>
      </c>
      <c r="G4034" s="24" t="n"/>
      <c r="H4034" s="24" t="n"/>
      <c r="I4034" s="30" t="n"/>
      <c r="J4034" s="23">
        <f>IF(OR($H4034="",$I4034=""),"",$H4034*$I4034)</f>
        <v/>
      </c>
      <c r="K4034" s="24" t="n"/>
      <c r="L4034" s="24" t="n"/>
      <c r="M4034" s="29" t="n"/>
      <c r="N4034" s="28" t="n"/>
      <c r="O4034" s="24" t="n"/>
      <c r="P4034" s="24" t="n"/>
      <c r="Q4034" s="24" t="n"/>
      <c r="R4034" s="24" t="n"/>
      <c r="S4034" s="22">
        <f>IF(AND($A4034="",$C4034=""),"",IF($A4034="","Thiếu mã đơn; ","")&amp;IF(COUNTIF($A$2:$A4034,$A4034)&gt;1,"Trùng mã đơn; ","")&amp;IF(ISNA(MATCH($C4034,DATA_MASTER!$D$2:$D$5000,0)),"SĐT chưa đăng ký hội viên; ","")&amp;IF(AND($L4034="Đã chuyển khoản",$M4034=""),"Thiếu ngày nhận CK; ",""))</f>
        <v/>
      </c>
      <c r="T4034" s="24" t="n"/>
    </row>
    <row r="4035" ht="14.25" customHeight="1" s="40">
      <c r="A4035" s="24" t="n"/>
      <c r="B4035" s="29" t="n"/>
      <c r="C4035" s="28" t="n"/>
      <c r="D4035" s="22">
        <f t="array" ref="D4035">IF($C4035="","",IFERROR(INDEX(DATA_MASTER!$C$2:$C$5000,MATCH($C4035,DATA_MASTER!$D$2:$D$5000,0)),""))</f>
        <v/>
      </c>
      <c r="E4035" s="22">
        <f t="array" ref="E4035">IF($C4035="","",IFERROR(INDEX(DATA_MASTER!$I$2:$I$5000,MATCH($C4035,DATA_MASTER!$D$2:$D$5000,0)),""))</f>
        <v/>
      </c>
      <c r="F4035" s="22">
        <f t="array" ref="F4035">IF($C4035="","",IFERROR(INDEX(DATA_MASTER!$L$2:$L$5000,MATCH($C4035,DATA_MASTER!$D$2:$D$5000,0)),""))</f>
        <v/>
      </c>
      <c r="G4035" s="24" t="n"/>
      <c r="H4035" s="24" t="n"/>
      <c r="I4035" s="30" t="n"/>
      <c r="J4035" s="23">
        <f>IF(OR($H4035="",$I4035=""),"",$H4035*$I4035)</f>
        <v/>
      </c>
      <c r="K4035" s="24" t="n"/>
      <c r="L4035" s="24" t="n"/>
      <c r="M4035" s="29" t="n"/>
      <c r="N4035" s="28" t="n"/>
      <c r="O4035" s="24" t="n"/>
      <c r="P4035" s="24" t="n"/>
      <c r="Q4035" s="24" t="n"/>
      <c r="R4035" s="24" t="n"/>
      <c r="S4035" s="22">
        <f>IF(AND($A4035="",$C4035=""),"",IF($A4035="","Thiếu mã đơn; ","")&amp;IF(COUNTIF($A$2:$A4035,$A4035)&gt;1,"Trùng mã đơn; ","")&amp;IF(ISNA(MATCH($C4035,DATA_MASTER!$D$2:$D$5000,0)),"SĐT chưa đăng ký hội viên; ","")&amp;IF(AND($L4035="Đã chuyển khoản",$M4035=""),"Thiếu ngày nhận CK; ",""))</f>
        <v/>
      </c>
      <c r="T4035" s="24" t="n"/>
    </row>
    <row r="4036" ht="14.25" customHeight="1" s="40">
      <c r="A4036" s="24" t="n"/>
      <c r="B4036" s="29" t="n"/>
      <c r="C4036" s="28" t="n"/>
      <c r="D4036" s="22">
        <f t="array" ref="D4036">IF($C4036="","",IFERROR(INDEX(DATA_MASTER!$C$2:$C$5000,MATCH($C4036,DATA_MASTER!$D$2:$D$5000,0)),""))</f>
        <v/>
      </c>
      <c r="E4036" s="22">
        <f t="array" ref="E4036">IF($C4036="","",IFERROR(INDEX(DATA_MASTER!$I$2:$I$5000,MATCH($C4036,DATA_MASTER!$D$2:$D$5000,0)),""))</f>
        <v/>
      </c>
      <c r="F4036" s="22">
        <f t="array" ref="F4036">IF($C4036="","",IFERROR(INDEX(DATA_MASTER!$L$2:$L$5000,MATCH($C4036,DATA_MASTER!$D$2:$D$5000,0)),""))</f>
        <v/>
      </c>
      <c r="G4036" s="24" t="n"/>
      <c r="H4036" s="24" t="n"/>
      <c r="I4036" s="30" t="n"/>
      <c r="J4036" s="23">
        <f>IF(OR($H4036="",$I4036=""),"",$H4036*$I4036)</f>
        <v/>
      </c>
      <c r="K4036" s="24" t="n"/>
      <c r="L4036" s="24" t="n"/>
      <c r="M4036" s="29" t="n"/>
      <c r="N4036" s="28" t="n"/>
      <c r="O4036" s="24" t="n"/>
      <c r="P4036" s="24" t="n"/>
      <c r="Q4036" s="24" t="n"/>
      <c r="R4036" s="24" t="n"/>
      <c r="S4036" s="22">
        <f>IF(AND($A4036="",$C4036=""),"",IF($A4036="","Thiếu mã đơn; ","")&amp;IF(COUNTIF($A$2:$A4036,$A4036)&gt;1,"Trùng mã đơn; ","")&amp;IF(ISNA(MATCH($C4036,DATA_MASTER!$D$2:$D$5000,0)),"SĐT chưa đăng ký hội viên; ","")&amp;IF(AND($L4036="Đã chuyển khoản",$M4036=""),"Thiếu ngày nhận CK; ",""))</f>
        <v/>
      </c>
      <c r="T4036" s="24" t="n"/>
    </row>
    <row r="4037" ht="14.25" customHeight="1" s="40">
      <c r="A4037" s="24" t="n"/>
      <c r="B4037" s="29" t="n"/>
      <c r="C4037" s="28" t="n"/>
      <c r="D4037" s="22">
        <f t="array" ref="D4037">IF($C4037="","",IFERROR(INDEX(DATA_MASTER!$C$2:$C$5000,MATCH($C4037,DATA_MASTER!$D$2:$D$5000,0)),""))</f>
        <v/>
      </c>
      <c r="E4037" s="22">
        <f t="array" ref="E4037">IF($C4037="","",IFERROR(INDEX(DATA_MASTER!$I$2:$I$5000,MATCH($C4037,DATA_MASTER!$D$2:$D$5000,0)),""))</f>
        <v/>
      </c>
      <c r="F4037" s="22">
        <f t="array" ref="F4037">IF($C4037="","",IFERROR(INDEX(DATA_MASTER!$L$2:$L$5000,MATCH($C4037,DATA_MASTER!$D$2:$D$5000,0)),""))</f>
        <v/>
      </c>
      <c r="G4037" s="24" t="n"/>
      <c r="H4037" s="24" t="n"/>
      <c r="I4037" s="30" t="n"/>
      <c r="J4037" s="23">
        <f>IF(OR($H4037="",$I4037=""),"",$H4037*$I4037)</f>
        <v/>
      </c>
      <c r="K4037" s="24" t="n"/>
      <c r="L4037" s="24" t="n"/>
      <c r="M4037" s="29" t="n"/>
      <c r="N4037" s="28" t="n"/>
      <c r="O4037" s="24" t="n"/>
      <c r="P4037" s="24" t="n"/>
      <c r="Q4037" s="24" t="n"/>
      <c r="R4037" s="24" t="n"/>
      <c r="S4037" s="22">
        <f>IF(AND($A4037="",$C4037=""),"",IF($A4037="","Thiếu mã đơn; ","")&amp;IF(COUNTIF($A$2:$A4037,$A4037)&gt;1,"Trùng mã đơn; ","")&amp;IF(ISNA(MATCH($C4037,DATA_MASTER!$D$2:$D$5000,0)),"SĐT chưa đăng ký hội viên; ","")&amp;IF(AND($L4037="Đã chuyển khoản",$M4037=""),"Thiếu ngày nhận CK; ",""))</f>
        <v/>
      </c>
      <c r="T4037" s="24" t="n"/>
    </row>
    <row r="4038" ht="14.25" customHeight="1" s="40">
      <c r="A4038" s="24" t="n"/>
      <c r="B4038" s="29" t="n"/>
      <c r="C4038" s="28" t="n"/>
      <c r="D4038" s="22">
        <f t="array" ref="D4038">IF($C4038="","",IFERROR(INDEX(DATA_MASTER!$C$2:$C$5000,MATCH($C4038,DATA_MASTER!$D$2:$D$5000,0)),""))</f>
        <v/>
      </c>
      <c r="E4038" s="22">
        <f t="array" ref="E4038">IF($C4038="","",IFERROR(INDEX(DATA_MASTER!$I$2:$I$5000,MATCH($C4038,DATA_MASTER!$D$2:$D$5000,0)),""))</f>
        <v/>
      </c>
      <c r="F4038" s="22">
        <f t="array" ref="F4038">IF($C4038="","",IFERROR(INDEX(DATA_MASTER!$L$2:$L$5000,MATCH($C4038,DATA_MASTER!$D$2:$D$5000,0)),""))</f>
        <v/>
      </c>
      <c r="G4038" s="24" t="n"/>
      <c r="H4038" s="24" t="n"/>
      <c r="I4038" s="30" t="n"/>
      <c r="J4038" s="23">
        <f>IF(OR($H4038="",$I4038=""),"",$H4038*$I4038)</f>
        <v/>
      </c>
      <c r="K4038" s="24" t="n"/>
      <c r="L4038" s="24" t="n"/>
      <c r="M4038" s="29" t="n"/>
      <c r="N4038" s="28" t="n"/>
      <c r="O4038" s="24" t="n"/>
      <c r="P4038" s="24" t="n"/>
      <c r="Q4038" s="24" t="n"/>
      <c r="R4038" s="24" t="n"/>
      <c r="S4038" s="22">
        <f>IF(AND($A4038="",$C4038=""),"",IF($A4038="","Thiếu mã đơn; ","")&amp;IF(COUNTIF($A$2:$A4038,$A4038)&gt;1,"Trùng mã đơn; ","")&amp;IF(ISNA(MATCH($C4038,DATA_MASTER!$D$2:$D$5000,0)),"SĐT chưa đăng ký hội viên; ","")&amp;IF(AND($L4038="Đã chuyển khoản",$M4038=""),"Thiếu ngày nhận CK; ",""))</f>
        <v/>
      </c>
      <c r="T4038" s="24" t="n"/>
    </row>
    <row r="4039" ht="14.25" customHeight="1" s="40">
      <c r="A4039" s="24" t="n"/>
      <c r="B4039" s="29" t="n"/>
      <c r="C4039" s="28" t="n"/>
      <c r="D4039" s="22">
        <f t="array" ref="D4039">IF($C4039="","",IFERROR(INDEX(DATA_MASTER!$C$2:$C$5000,MATCH($C4039,DATA_MASTER!$D$2:$D$5000,0)),""))</f>
        <v/>
      </c>
      <c r="E4039" s="22">
        <f t="array" ref="E4039">IF($C4039="","",IFERROR(INDEX(DATA_MASTER!$I$2:$I$5000,MATCH($C4039,DATA_MASTER!$D$2:$D$5000,0)),""))</f>
        <v/>
      </c>
      <c r="F4039" s="22">
        <f t="array" ref="F4039">IF($C4039="","",IFERROR(INDEX(DATA_MASTER!$L$2:$L$5000,MATCH($C4039,DATA_MASTER!$D$2:$D$5000,0)),""))</f>
        <v/>
      </c>
      <c r="G4039" s="24" t="n"/>
      <c r="H4039" s="24" t="n"/>
      <c r="I4039" s="30" t="n"/>
      <c r="J4039" s="23">
        <f>IF(OR($H4039="",$I4039=""),"",$H4039*$I4039)</f>
        <v/>
      </c>
      <c r="K4039" s="24" t="n"/>
      <c r="L4039" s="24" t="n"/>
      <c r="M4039" s="29" t="n"/>
      <c r="N4039" s="28" t="n"/>
      <c r="O4039" s="24" t="n"/>
      <c r="P4039" s="24" t="n"/>
      <c r="Q4039" s="24" t="n"/>
      <c r="R4039" s="24" t="n"/>
      <c r="S4039" s="22">
        <f>IF(AND($A4039="",$C4039=""),"",IF($A4039="","Thiếu mã đơn; ","")&amp;IF(COUNTIF($A$2:$A4039,$A4039)&gt;1,"Trùng mã đơn; ","")&amp;IF(ISNA(MATCH($C4039,DATA_MASTER!$D$2:$D$5000,0)),"SĐT chưa đăng ký hội viên; ","")&amp;IF(AND($L4039="Đã chuyển khoản",$M4039=""),"Thiếu ngày nhận CK; ",""))</f>
        <v/>
      </c>
      <c r="T4039" s="24" t="n"/>
    </row>
    <row r="4040" ht="14.25" customHeight="1" s="40">
      <c r="A4040" s="24" t="n"/>
      <c r="B4040" s="29" t="n"/>
      <c r="C4040" s="28" t="n"/>
      <c r="D4040" s="22">
        <f t="array" ref="D4040">IF($C4040="","",IFERROR(INDEX(DATA_MASTER!$C$2:$C$5000,MATCH($C4040,DATA_MASTER!$D$2:$D$5000,0)),""))</f>
        <v/>
      </c>
      <c r="E4040" s="22">
        <f t="array" ref="E4040">IF($C4040="","",IFERROR(INDEX(DATA_MASTER!$I$2:$I$5000,MATCH($C4040,DATA_MASTER!$D$2:$D$5000,0)),""))</f>
        <v/>
      </c>
      <c r="F4040" s="22">
        <f t="array" ref="F4040">IF($C4040="","",IFERROR(INDEX(DATA_MASTER!$L$2:$L$5000,MATCH($C4040,DATA_MASTER!$D$2:$D$5000,0)),""))</f>
        <v/>
      </c>
      <c r="G4040" s="24" t="n"/>
      <c r="H4040" s="24" t="n"/>
      <c r="I4040" s="30" t="n"/>
      <c r="J4040" s="23">
        <f>IF(OR($H4040="",$I4040=""),"",$H4040*$I4040)</f>
        <v/>
      </c>
      <c r="K4040" s="24" t="n"/>
      <c r="L4040" s="24" t="n"/>
      <c r="M4040" s="29" t="n"/>
      <c r="N4040" s="28" t="n"/>
      <c r="O4040" s="24" t="n"/>
      <c r="P4040" s="24" t="n"/>
      <c r="Q4040" s="24" t="n"/>
      <c r="R4040" s="24" t="n"/>
      <c r="S4040" s="22">
        <f>IF(AND($A4040="",$C4040=""),"",IF($A4040="","Thiếu mã đơn; ","")&amp;IF(COUNTIF($A$2:$A4040,$A4040)&gt;1,"Trùng mã đơn; ","")&amp;IF(ISNA(MATCH($C4040,DATA_MASTER!$D$2:$D$5000,0)),"SĐT chưa đăng ký hội viên; ","")&amp;IF(AND($L4040="Đã chuyển khoản",$M4040=""),"Thiếu ngày nhận CK; ",""))</f>
        <v/>
      </c>
      <c r="T4040" s="24" t="n"/>
    </row>
    <row r="4041" ht="14.25" customHeight="1" s="40">
      <c r="A4041" s="24" t="n"/>
      <c r="B4041" s="29" t="n"/>
      <c r="C4041" s="28" t="n"/>
      <c r="D4041" s="22">
        <f t="array" ref="D4041">IF($C4041="","",IFERROR(INDEX(DATA_MASTER!$C$2:$C$5000,MATCH($C4041,DATA_MASTER!$D$2:$D$5000,0)),""))</f>
        <v/>
      </c>
      <c r="E4041" s="22">
        <f t="array" ref="E4041">IF($C4041="","",IFERROR(INDEX(DATA_MASTER!$I$2:$I$5000,MATCH($C4041,DATA_MASTER!$D$2:$D$5000,0)),""))</f>
        <v/>
      </c>
      <c r="F4041" s="22">
        <f t="array" ref="F4041">IF($C4041="","",IFERROR(INDEX(DATA_MASTER!$L$2:$L$5000,MATCH($C4041,DATA_MASTER!$D$2:$D$5000,0)),""))</f>
        <v/>
      </c>
      <c r="G4041" s="24" t="n"/>
      <c r="H4041" s="24" t="n"/>
      <c r="I4041" s="30" t="n"/>
      <c r="J4041" s="23">
        <f>IF(OR($H4041="",$I4041=""),"",$H4041*$I4041)</f>
        <v/>
      </c>
      <c r="K4041" s="24" t="n"/>
      <c r="L4041" s="24" t="n"/>
      <c r="M4041" s="29" t="n"/>
      <c r="N4041" s="28" t="n"/>
      <c r="O4041" s="24" t="n"/>
      <c r="P4041" s="24" t="n"/>
      <c r="Q4041" s="24" t="n"/>
      <c r="R4041" s="24" t="n"/>
      <c r="S4041" s="22">
        <f>IF(AND($A4041="",$C4041=""),"",IF($A4041="","Thiếu mã đơn; ","")&amp;IF(COUNTIF($A$2:$A4041,$A4041)&gt;1,"Trùng mã đơn; ","")&amp;IF(ISNA(MATCH($C4041,DATA_MASTER!$D$2:$D$5000,0)),"SĐT chưa đăng ký hội viên; ","")&amp;IF(AND($L4041="Đã chuyển khoản",$M4041=""),"Thiếu ngày nhận CK; ",""))</f>
        <v/>
      </c>
      <c r="T4041" s="24" t="n"/>
    </row>
    <row r="4042" ht="14.25" customHeight="1" s="40">
      <c r="A4042" s="24" t="n"/>
      <c r="B4042" s="29" t="n"/>
      <c r="C4042" s="28" t="n"/>
      <c r="D4042" s="22">
        <f t="array" ref="D4042">IF($C4042="","",IFERROR(INDEX(DATA_MASTER!$C$2:$C$5000,MATCH($C4042,DATA_MASTER!$D$2:$D$5000,0)),""))</f>
        <v/>
      </c>
      <c r="E4042" s="22">
        <f t="array" ref="E4042">IF($C4042="","",IFERROR(INDEX(DATA_MASTER!$I$2:$I$5000,MATCH($C4042,DATA_MASTER!$D$2:$D$5000,0)),""))</f>
        <v/>
      </c>
      <c r="F4042" s="22">
        <f t="array" ref="F4042">IF($C4042="","",IFERROR(INDEX(DATA_MASTER!$L$2:$L$5000,MATCH($C4042,DATA_MASTER!$D$2:$D$5000,0)),""))</f>
        <v/>
      </c>
      <c r="G4042" s="24" t="n"/>
      <c r="H4042" s="24" t="n"/>
      <c r="I4042" s="30" t="n"/>
      <c r="J4042" s="23">
        <f>IF(OR($H4042="",$I4042=""),"",$H4042*$I4042)</f>
        <v/>
      </c>
      <c r="K4042" s="24" t="n"/>
      <c r="L4042" s="24" t="n"/>
      <c r="M4042" s="29" t="n"/>
      <c r="N4042" s="28" t="n"/>
      <c r="O4042" s="24" t="n"/>
      <c r="P4042" s="24" t="n"/>
      <c r="Q4042" s="24" t="n"/>
      <c r="R4042" s="24" t="n"/>
      <c r="S4042" s="22">
        <f>IF(AND($A4042="",$C4042=""),"",IF($A4042="","Thiếu mã đơn; ","")&amp;IF(COUNTIF($A$2:$A4042,$A4042)&gt;1,"Trùng mã đơn; ","")&amp;IF(ISNA(MATCH($C4042,DATA_MASTER!$D$2:$D$5000,0)),"SĐT chưa đăng ký hội viên; ","")&amp;IF(AND($L4042="Đã chuyển khoản",$M4042=""),"Thiếu ngày nhận CK; ",""))</f>
        <v/>
      </c>
      <c r="T4042" s="24" t="n"/>
    </row>
    <row r="4043" ht="14.25" customHeight="1" s="40">
      <c r="A4043" s="24" t="n"/>
      <c r="B4043" s="29" t="n"/>
      <c r="C4043" s="28" t="n"/>
      <c r="D4043" s="22">
        <f t="array" ref="D4043">IF($C4043="","",IFERROR(INDEX(DATA_MASTER!$C$2:$C$5000,MATCH($C4043,DATA_MASTER!$D$2:$D$5000,0)),""))</f>
        <v/>
      </c>
      <c r="E4043" s="22">
        <f t="array" ref="E4043">IF($C4043="","",IFERROR(INDEX(DATA_MASTER!$I$2:$I$5000,MATCH($C4043,DATA_MASTER!$D$2:$D$5000,0)),""))</f>
        <v/>
      </c>
      <c r="F4043" s="22">
        <f t="array" ref="F4043">IF($C4043="","",IFERROR(INDEX(DATA_MASTER!$L$2:$L$5000,MATCH($C4043,DATA_MASTER!$D$2:$D$5000,0)),""))</f>
        <v/>
      </c>
      <c r="G4043" s="24" t="n"/>
      <c r="H4043" s="24" t="n"/>
      <c r="I4043" s="30" t="n"/>
      <c r="J4043" s="23">
        <f>IF(OR($H4043="",$I4043=""),"",$H4043*$I4043)</f>
        <v/>
      </c>
      <c r="K4043" s="24" t="n"/>
      <c r="L4043" s="24" t="n"/>
      <c r="M4043" s="29" t="n"/>
      <c r="N4043" s="28" t="n"/>
      <c r="O4043" s="24" t="n"/>
      <c r="P4043" s="24" t="n"/>
      <c r="Q4043" s="24" t="n"/>
      <c r="R4043" s="24" t="n"/>
      <c r="S4043" s="22">
        <f>IF(AND($A4043="",$C4043=""),"",IF($A4043="","Thiếu mã đơn; ","")&amp;IF(COUNTIF($A$2:$A4043,$A4043)&gt;1,"Trùng mã đơn; ","")&amp;IF(ISNA(MATCH($C4043,DATA_MASTER!$D$2:$D$5000,0)),"SĐT chưa đăng ký hội viên; ","")&amp;IF(AND($L4043="Đã chuyển khoản",$M4043=""),"Thiếu ngày nhận CK; ",""))</f>
        <v/>
      </c>
      <c r="T4043" s="24" t="n"/>
    </row>
    <row r="4044" ht="14.25" customHeight="1" s="40">
      <c r="A4044" s="24" t="n"/>
      <c r="B4044" s="29" t="n"/>
      <c r="C4044" s="28" t="n"/>
      <c r="D4044" s="22">
        <f t="array" ref="D4044">IF($C4044="","",IFERROR(INDEX(DATA_MASTER!$C$2:$C$5000,MATCH($C4044,DATA_MASTER!$D$2:$D$5000,0)),""))</f>
        <v/>
      </c>
      <c r="E4044" s="22">
        <f t="array" ref="E4044">IF($C4044="","",IFERROR(INDEX(DATA_MASTER!$I$2:$I$5000,MATCH($C4044,DATA_MASTER!$D$2:$D$5000,0)),""))</f>
        <v/>
      </c>
      <c r="F4044" s="22">
        <f t="array" ref="F4044">IF($C4044="","",IFERROR(INDEX(DATA_MASTER!$L$2:$L$5000,MATCH($C4044,DATA_MASTER!$D$2:$D$5000,0)),""))</f>
        <v/>
      </c>
      <c r="G4044" s="24" t="n"/>
      <c r="H4044" s="24" t="n"/>
      <c r="I4044" s="30" t="n"/>
      <c r="J4044" s="23">
        <f>IF(OR($H4044="",$I4044=""),"",$H4044*$I4044)</f>
        <v/>
      </c>
      <c r="K4044" s="24" t="n"/>
      <c r="L4044" s="24" t="n"/>
      <c r="M4044" s="29" t="n"/>
      <c r="N4044" s="28" t="n"/>
      <c r="O4044" s="24" t="n"/>
      <c r="P4044" s="24" t="n"/>
      <c r="Q4044" s="24" t="n"/>
      <c r="R4044" s="24" t="n"/>
      <c r="S4044" s="22">
        <f>IF(AND($A4044="",$C4044=""),"",IF($A4044="","Thiếu mã đơn; ","")&amp;IF(COUNTIF($A$2:$A4044,$A4044)&gt;1,"Trùng mã đơn; ","")&amp;IF(ISNA(MATCH($C4044,DATA_MASTER!$D$2:$D$5000,0)),"SĐT chưa đăng ký hội viên; ","")&amp;IF(AND($L4044="Đã chuyển khoản",$M4044=""),"Thiếu ngày nhận CK; ",""))</f>
        <v/>
      </c>
      <c r="T4044" s="24" t="n"/>
    </row>
    <row r="4045" ht="14.25" customHeight="1" s="40">
      <c r="A4045" s="24" t="n"/>
      <c r="B4045" s="29" t="n"/>
      <c r="C4045" s="28" t="n"/>
      <c r="D4045" s="22">
        <f t="array" ref="D4045">IF($C4045="","",IFERROR(INDEX(DATA_MASTER!$C$2:$C$5000,MATCH($C4045,DATA_MASTER!$D$2:$D$5000,0)),""))</f>
        <v/>
      </c>
      <c r="E4045" s="22">
        <f t="array" ref="E4045">IF($C4045="","",IFERROR(INDEX(DATA_MASTER!$I$2:$I$5000,MATCH($C4045,DATA_MASTER!$D$2:$D$5000,0)),""))</f>
        <v/>
      </c>
      <c r="F4045" s="22">
        <f t="array" ref="F4045">IF($C4045="","",IFERROR(INDEX(DATA_MASTER!$L$2:$L$5000,MATCH($C4045,DATA_MASTER!$D$2:$D$5000,0)),""))</f>
        <v/>
      </c>
      <c r="G4045" s="24" t="n"/>
      <c r="H4045" s="24" t="n"/>
      <c r="I4045" s="30" t="n"/>
      <c r="J4045" s="23">
        <f>IF(OR($H4045="",$I4045=""),"",$H4045*$I4045)</f>
        <v/>
      </c>
      <c r="K4045" s="24" t="n"/>
      <c r="L4045" s="24" t="n"/>
      <c r="M4045" s="29" t="n"/>
      <c r="N4045" s="28" t="n"/>
      <c r="O4045" s="24" t="n"/>
      <c r="P4045" s="24" t="n"/>
      <c r="Q4045" s="24" t="n"/>
      <c r="R4045" s="24" t="n"/>
      <c r="S4045" s="22">
        <f>IF(AND($A4045="",$C4045=""),"",IF($A4045="","Thiếu mã đơn; ","")&amp;IF(COUNTIF($A$2:$A4045,$A4045)&gt;1,"Trùng mã đơn; ","")&amp;IF(ISNA(MATCH($C4045,DATA_MASTER!$D$2:$D$5000,0)),"SĐT chưa đăng ký hội viên; ","")&amp;IF(AND($L4045="Đã chuyển khoản",$M4045=""),"Thiếu ngày nhận CK; ",""))</f>
        <v/>
      </c>
      <c r="T4045" s="24" t="n"/>
    </row>
    <row r="4046" ht="14.25" customHeight="1" s="40">
      <c r="A4046" s="24" t="n"/>
      <c r="B4046" s="29" t="n"/>
      <c r="C4046" s="28" t="n"/>
      <c r="D4046" s="22">
        <f t="array" ref="D4046">IF($C4046="","",IFERROR(INDEX(DATA_MASTER!$C$2:$C$5000,MATCH($C4046,DATA_MASTER!$D$2:$D$5000,0)),""))</f>
        <v/>
      </c>
      <c r="E4046" s="22">
        <f t="array" ref="E4046">IF($C4046="","",IFERROR(INDEX(DATA_MASTER!$I$2:$I$5000,MATCH($C4046,DATA_MASTER!$D$2:$D$5000,0)),""))</f>
        <v/>
      </c>
      <c r="F4046" s="22">
        <f t="array" ref="F4046">IF($C4046="","",IFERROR(INDEX(DATA_MASTER!$L$2:$L$5000,MATCH($C4046,DATA_MASTER!$D$2:$D$5000,0)),""))</f>
        <v/>
      </c>
      <c r="G4046" s="24" t="n"/>
      <c r="H4046" s="24" t="n"/>
      <c r="I4046" s="30" t="n"/>
      <c r="J4046" s="23">
        <f>IF(OR($H4046="",$I4046=""),"",$H4046*$I4046)</f>
        <v/>
      </c>
      <c r="K4046" s="24" t="n"/>
      <c r="L4046" s="24" t="n"/>
      <c r="M4046" s="29" t="n"/>
      <c r="N4046" s="28" t="n"/>
      <c r="O4046" s="24" t="n"/>
      <c r="P4046" s="24" t="n"/>
      <c r="Q4046" s="24" t="n"/>
      <c r="R4046" s="24" t="n"/>
      <c r="S4046" s="22">
        <f>IF(AND($A4046="",$C4046=""),"",IF($A4046="","Thiếu mã đơn; ","")&amp;IF(COUNTIF($A$2:$A4046,$A4046)&gt;1,"Trùng mã đơn; ","")&amp;IF(ISNA(MATCH($C4046,DATA_MASTER!$D$2:$D$5000,0)),"SĐT chưa đăng ký hội viên; ","")&amp;IF(AND($L4046="Đã chuyển khoản",$M4046=""),"Thiếu ngày nhận CK; ",""))</f>
        <v/>
      </c>
      <c r="T4046" s="24" t="n"/>
    </row>
    <row r="4047" ht="14.25" customHeight="1" s="40">
      <c r="A4047" s="24" t="n"/>
      <c r="B4047" s="29" t="n"/>
      <c r="C4047" s="28" t="n"/>
      <c r="D4047" s="22">
        <f t="array" ref="D4047">IF($C4047="","",IFERROR(INDEX(DATA_MASTER!$C$2:$C$5000,MATCH($C4047,DATA_MASTER!$D$2:$D$5000,0)),""))</f>
        <v/>
      </c>
      <c r="E4047" s="22">
        <f t="array" ref="E4047">IF($C4047="","",IFERROR(INDEX(DATA_MASTER!$I$2:$I$5000,MATCH($C4047,DATA_MASTER!$D$2:$D$5000,0)),""))</f>
        <v/>
      </c>
      <c r="F4047" s="22">
        <f t="array" ref="F4047">IF($C4047="","",IFERROR(INDEX(DATA_MASTER!$L$2:$L$5000,MATCH($C4047,DATA_MASTER!$D$2:$D$5000,0)),""))</f>
        <v/>
      </c>
      <c r="G4047" s="24" t="n"/>
      <c r="H4047" s="24" t="n"/>
      <c r="I4047" s="30" t="n"/>
      <c r="J4047" s="23">
        <f>IF(OR($H4047="",$I4047=""),"",$H4047*$I4047)</f>
        <v/>
      </c>
      <c r="K4047" s="24" t="n"/>
      <c r="L4047" s="24" t="n"/>
      <c r="M4047" s="29" t="n"/>
      <c r="N4047" s="28" t="n"/>
      <c r="O4047" s="24" t="n"/>
      <c r="P4047" s="24" t="n"/>
      <c r="Q4047" s="24" t="n"/>
      <c r="R4047" s="24" t="n"/>
      <c r="S4047" s="22">
        <f>IF(AND($A4047="",$C4047=""),"",IF($A4047="","Thiếu mã đơn; ","")&amp;IF(COUNTIF($A$2:$A4047,$A4047)&gt;1,"Trùng mã đơn; ","")&amp;IF(ISNA(MATCH($C4047,DATA_MASTER!$D$2:$D$5000,0)),"SĐT chưa đăng ký hội viên; ","")&amp;IF(AND($L4047="Đã chuyển khoản",$M4047=""),"Thiếu ngày nhận CK; ",""))</f>
        <v/>
      </c>
      <c r="T4047" s="24" t="n"/>
    </row>
    <row r="4048" ht="14.25" customHeight="1" s="40">
      <c r="A4048" s="24" t="n"/>
      <c r="B4048" s="29" t="n"/>
      <c r="C4048" s="28" t="n"/>
      <c r="D4048" s="22">
        <f t="array" ref="D4048">IF($C4048="","",IFERROR(INDEX(DATA_MASTER!$C$2:$C$5000,MATCH($C4048,DATA_MASTER!$D$2:$D$5000,0)),""))</f>
        <v/>
      </c>
      <c r="E4048" s="22">
        <f t="array" ref="E4048">IF($C4048="","",IFERROR(INDEX(DATA_MASTER!$I$2:$I$5000,MATCH($C4048,DATA_MASTER!$D$2:$D$5000,0)),""))</f>
        <v/>
      </c>
      <c r="F4048" s="22">
        <f t="array" ref="F4048">IF($C4048="","",IFERROR(INDEX(DATA_MASTER!$L$2:$L$5000,MATCH($C4048,DATA_MASTER!$D$2:$D$5000,0)),""))</f>
        <v/>
      </c>
      <c r="G4048" s="24" t="n"/>
      <c r="H4048" s="24" t="n"/>
      <c r="I4048" s="30" t="n"/>
      <c r="J4048" s="23">
        <f>IF(OR($H4048="",$I4048=""),"",$H4048*$I4048)</f>
        <v/>
      </c>
      <c r="K4048" s="24" t="n"/>
      <c r="L4048" s="24" t="n"/>
      <c r="M4048" s="29" t="n"/>
      <c r="N4048" s="28" t="n"/>
      <c r="O4048" s="24" t="n"/>
      <c r="P4048" s="24" t="n"/>
      <c r="Q4048" s="24" t="n"/>
      <c r="R4048" s="24" t="n"/>
      <c r="S4048" s="22">
        <f>IF(AND($A4048="",$C4048=""),"",IF($A4048="","Thiếu mã đơn; ","")&amp;IF(COUNTIF($A$2:$A4048,$A4048)&gt;1,"Trùng mã đơn; ","")&amp;IF(ISNA(MATCH($C4048,DATA_MASTER!$D$2:$D$5000,0)),"SĐT chưa đăng ký hội viên; ","")&amp;IF(AND($L4048="Đã chuyển khoản",$M4048=""),"Thiếu ngày nhận CK; ",""))</f>
        <v/>
      </c>
      <c r="T4048" s="24" t="n"/>
    </row>
    <row r="4049" ht="14.25" customHeight="1" s="40">
      <c r="A4049" s="24" t="n"/>
      <c r="B4049" s="29" t="n"/>
      <c r="C4049" s="28" t="n"/>
      <c r="D4049" s="22">
        <f t="array" ref="D4049">IF($C4049="","",IFERROR(INDEX(DATA_MASTER!$C$2:$C$5000,MATCH($C4049,DATA_MASTER!$D$2:$D$5000,0)),""))</f>
        <v/>
      </c>
      <c r="E4049" s="22">
        <f t="array" ref="E4049">IF($C4049="","",IFERROR(INDEX(DATA_MASTER!$I$2:$I$5000,MATCH($C4049,DATA_MASTER!$D$2:$D$5000,0)),""))</f>
        <v/>
      </c>
      <c r="F4049" s="22">
        <f t="array" ref="F4049">IF($C4049="","",IFERROR(INDEX(DATA_MASTER!$L$2:$L$5000,MATCH($C4049,DATA_MASTER!$D$2:$D$5000,0)),""))</f>
        <v/>
      </c>
      <c r="G4049" s="24" t="n"/>
      <c r="H4049" s="24" t="n"/>
      <c r="I4049" s="30" t="n"/>
      <c r="J4049" s="23">
        <f>IF(OR($H4049="",$I4049=""),"",$H4049*$I4049)</f>
        <v/>
      </c>
      <c r="K4049" s="24" t="n"/>
      <c r="L4049" s="24" t="n"/>
      <c r="M4049" s="29" t="n"/>
      <c r="N4049" s="28" t="n"/>
      <c r="O4049" s="24" t="n"/>
      <c r="P4049" s="24" t="n"/>
      <c r="Q4049" s="24" t="n"/>
      <c r="R4049" s="24" t="n"/>
      <c r="S4049" s="22">
        <f>IF(AND($A4049="",$C4049=""),"",IF($A4049="","Thiếu mã đơn; ","")&amp;IF(COUNTIF($A$2:$A4049,$A4049)&gt;1,"Trùng mã đơn; ","")&amp;IF(ISNA(MATCH($C4049,DATA_MASTER!$D$2:$D$5000,0)),"SĐT chưa đăng ký hội viên; ","")&amp;IF(AND($L4049="Đã chuyển khoản",$M4049=""),"Thiếu ngày nhận CK; ",""))</f>
        <v/>
      </c>
      <c r="T4049" s="24" t="n"/>
    </row>
    <row r="4050" ht="14.25" customHeight="1" s="40">
      <c r="A4050" s="24" t="n"/>
      <c r="B4050" s="29" t="n"/>
      <c r="C4050" s="28" t="n"/>
      <c r="D4050" s="22">
        <f t="array" ref="D4050">IF($C4050="","",IFERROR(INDEX(DATA_MASTER!$C$2:$C$5000,MATCH($C4050,DATA_MASTER!$D$2:$D$5000,0)),""))</f>
        <v/>
      </c>
      <c r="E4050" s="22">
        <f t="array" ref="E4050">IF($C4050="","",IFERROR(INDEX(DATA_MASTER!$I$2:$I$5000,MATCH($C4050,DATA_MASTER!$D$2:$D$5000,0)),""))</f>
        <v/>
      </c>
      <c r="F4050" s="22">
        <f t="array" ref="F4050">IF($C4050="","",IFERROR(INDEX(DATA_MASTER!$L$2:$L$5000,MATCH($C4050,DATA_MASTER!$D$2:$D$5000,0)),""))</f>
        <v/>
      </c>
      <c r="G4050" s="24" t="n"/>
      <c r="H4050" s="24" t="n"/>
      <c r="I4050" s="30" t="n"/>
      <c r="J4050" s="23">
        <f>IF(OR($H4050="",$I4050=""),"",$H4050*$I4050)</f>
        <v/>
      </c>
      <c r="K4050" s="24" t="n"/>
      <c r="L4050" s="24" t="n"/>
      <c r="M4050" s="29" t="n"/>
      <c r="N4050" s="28" t="n"/>
      <c r="O4050" s="24" t="n"/>
      <c r="P4050" s="24" t="n"/>
      <c r="Q4050" s="24" t="n"/>
      <c r="R4050" s="24" t="n"/>
      <c r="S4050" s="22">
        <f>IF(AND($A4050="",$C4050=""),"",IF($A4050="","Thiếu mã đơn; ","")&amp;IF(COUNTIF($A$2:$A4050,$A4050)&gt;1,"Trùng mã đơn; ","")&amp;IF(ISNA(MATCH($C4050,DATA_MASTER!$D$2:$D$5000,0)),"SĐT chưa đăng ký hội viên; ","")&amp;IF(AND($L4050="Đã chuyển khoản",$M4050=""),"Thiếu ngày nhận CK; ",""))</f>
        <v/>
      </c>
      <c r="T4050" s="24" t="n"/>
    </row>
    <row r="4051" ht="14.25" customHeight="1" s="40">
      <c r="A4051" s="24" t="n"/>
      <c r="B4051" s="29" t="n"/>
      <c r="C4051" s="28" t="n"/>
      <c r="D4051" s="22">
        <f t="array" ref="D4051">IF($C4051="","",IFERROR(INDEX(DATA_MASTER!$C$2:$C$5000,MATCH($C4051,DATA_MASTER!$D$2:$D$5000,0)),""))</f>
        <v/>
      </c>
      <c r="E4051" s="22">
        <f t="array" ref="E4051">IF($C4051="","",IFERROR(INDEX(DATA_MASTER!$I$2:$I$5000,MATCH($C4051,DATA_MASTER!$D$2:$D$5000,0)),""))</f>
        <v/>
      </c>
      <c r="F4051" s="22">
        <f t="array" ref="F4051">IF($C4051="","",IFERROR(INDEX(DATA_MASTER!$L$2:$L$5000,MATCH($C4051,DATA_MASTER!$D$2:$D$5000,0)),""))</f>
        <v/>
      </c>
      <c r="G4051" s="24" t="n"/>
      <c r="H4051" s="24" t="n"/>
      <c r="I4051" s="30" t="n"/>
      <c r="J4051" s="23">
        <f>IF(OR($H4051="",$I4051=""),"",$H4051*$I4051)</f>
        <v/>
      </c>
      <c r="K4051" s="24" t="n"/>
      <c r="L4051" s="24" t="n"/>
      <c r="M4051" s="29" t="n"/>
      <c r="N4051" s="28" t="n"/>
      <c r="O4051" s="24" t="n"/>
      <c r="P4051" s="24" t="n"/>
      <c r="Q4051" s="24" t="n"/>
      <c r="R4051" s="24" t="n"/>
      <c r="S4051" s="22">
        <f>IF(AND($A4051="",$C4051=""),"",IF($A4051="","Thiếu mã đơn; ","")&amp;IF(COUNTIF($A$2:$A4051,$A4051)&gt;1,"Trùng mã đơn; ","")&amp;IF(ISNA(MATCH($C4051,DATA_MASTER!$D$2:$D$5000,0)),"SĐT chưa đăng ký hội viên; ","")&amp;IF(AND($L4051="Đã chuyển khoản",$M4051=""),"Thiếu ngày nhận CK; ",""))</f>
        <v/>
      </c>
      <c r="T4051" s="24" t="n"/>
    </row>
    <row r="4052" ht="14.25" customHeight="1" s="40">
      <c r="A4052" s="24" t="n"/>
      <c r="B4052" s="29" t="n"/>
      <c r="C4052" s="28" t="n"/>
      <c r="D4052" s="22">
        <f t="array" ref="D4052">IF($C4052="","",IFERROR(INDEX(DATA_MASTER!$C$2:$C$5000,MATCH($C4052,DATA_MASTER!$D$2:$D$5000,0)),""))</f>
        <v/>
      </c>
      <c r="E4052" s="22">
        <f t="array" ref="E4052">IF($C4052="","",IFERROR(INDEX(DATA_MASTER!$I$2:$I$5000,MATCH($C4052,DATA_MASTER!$D$2:$D$5000,0)),""))</f>
        <v/>
      </c>
      <c r="F4052" s="22">
        <f t="array" ref="F4052">IF($C4052="","",IFERROR(INDEX(DATA_MASTER!$L$2:$L$5000,MATCH($C4052,DATA_MASTER!$D$2:$D$5000,0)),""))</f>
        <v/>
      </c>
      <c r="G4052" s="24" t="n"/>
      <c r="H4052" s="24" t="n"/>
      <c r="I4052" s="30" t="n"/>
      <c r="J4052" s="23">
        <f>IF(OR($H4052="",$I4052=""),"",$H4052*$I4052)</f>
        <v/>
      </c>
      <c r="K4052" s="24" t="n"/>
      <c r="L4052" s="24" t="n"/>
      <c r="M4052" s="29" t="n"/>
      <c r="N4052" s="28" t="n"/>
      <c r="O4052" s="24" t="n"/>
      <c r="P4052" s="24" t="n"/>
      <c r="Q4052" s="24" t="n"/>
      <c r="R4052" s="24" t="n"/>
      <c r="S4052" s="22">
        <f>IF(AND($A4052="",$C4052=""),"",IF($A4052="","Thiếu mã đơn; ","")&amp;IF(COUNTIF($A$2:$A4052,$A4052)&gt;1,"Trùng mã đơn; ","")&amp;IF(ISNA(MATCH($C4052,DATA_MASTER!$D$2:$D$5000,0)),"SĐT chưa đăng ký hội viên; ","")&amp;IF(AND($L4052="Đã chuyển khoản",$M4052=""),"Thiếu ngày nhận CK; ",""))</f>
        <v/>
      </c>
      <c r="T4052" s="24" t="n"/>
    </row>
    <row r="4053" ht="14.25" customHeight="1" s="40">
      <c r="A4053" s="24" t="n"/>
      <c r="B4053" s="29" t="n"/>
      <c r="C4053" s="28" t="n"/>
      <c r="D4053" s="22">
        <f t="array" ref="D4053">IF($C4053="","",IFERROR(INDEX(DATA_MASTER!$C$2:$C$5000,MATCH($C4053,DATA_MASTER!$D$2:$D$5000,0)),""))</f>
        <v/>
      </c>
      <c r="E4053" s="22">
        <f t="array" ref="E4053">IF($C4053="","",IFERROR(INDEX(DATA_MASTER!$I$2:$I$5000,MATCH($C4053,DATA_MASTER!$D$2:$D$5000,0)),""))</f>
        <v/>
      </c>
      <c r="F4053" s="22">
        <f t="array" ref="F4053">IF($C4053="","",IFERROR(INDEX(DATA_MASTER!$L$2:$L$5000,MATCH($C4053,DATA_MASTER!$D$2:$D$5000,0)),""))</f>
        <v/>
      </c>
      <c r="G4053" s="24" t="n"/>
      <c r="H4053" s="24" t="n"/>
      <c r="I4053" s="30" t="n"/>
      <c r="J4053" s="23">
        <f>IF(OR($H4053="",$I4053=""),"",$H4053*$I4053)</f>
        <v/>
      </c>
      <c r="K4053" s="24" t="n"/>
      <c r="L4053" s="24" t="n"/>
      <c r="M4053" s="29" t="n"/>
      <c r="N4053" s="28" t="n"/>
      <c r="O4053" s="24" t="n"/>
      <c r="P4053" s="24" t="n"/>
      <c r="Q4053" s="24" t="n"/>
      <c r="R4053" s="24" t="n"/>
      <c r="S4053" s="22">
        <f>IF(AND($A4053="",$C4053=""),"",IF($A4053="","Thiếu mã đơn; ","")&amp;IF(COUNTIF($A$2:$A4053,$A4053)&gt;1,"Trùng mã đơn; ","")&amp;IF(ISNA(MATCH($C4053,DATA_MASTER!$D$2:$D$5000,0)),"SĐT chưa đăng ký hội viên; ","")&amp;IF(AND($L4053="Đã chuyển khoản",$M4053=""),"Thiếu ngày nhận CK; ",""))</f>
        <v/>
      </c>
      <c r="T4053" s="24" t="n"/>
    </row>
    <row r="4054" ht="14.25" customHeight="1" s="40">
      <c r="A4054" s="24" t="n"/>
      <c r="B4054" s="29" t="n"/>
      <c r="C4054" s="28" t="n"/>
      <c r="D4054" s="22">
        <f t="array" ref="D4054">IF($C4054="","",IFERROR(INDEX(DATA_MASTER!$C$2:$C$5000,MATCH($C4054,DATA_MASTER!$D$2:$D$5000,0)),""))</f>
        <v/>
      </c>
      <c r="E4054" s="22">
        <f t="array" ref="E4054">IF($C4054="","",IFERROR(INDEX(DATA_MASTER!$I$2:$I$5000,MATCH($C4054,DATA_MASTER!$D$2:$D$5000,0)),""))</f>
        <v/>
      </c>
      <c r="F4054" s="22">
        <f t="array" ref="F4054">IF($C4054="","",IFERROR(INDEX(DATA_MASTER!$L$2:$L$5000,MATCH($C4054,DATA_MASTER!$D$2:$D$5000,0)),""))</f>
        <v/>
      </c>
      <c r="G4054" s="24" t="n"/>
      <c r="H4054" s="24" t="n"/>
      <c r="I4054" s="30" t="n"/>
      <c r="J4054" s="23">
        <f>IF(OR($H4054="",$I4054=""),"",$H4054*$I4054)</f>
        <v/>
      </c>
      <c r="K4054" s="24" t="n"/>
      <c r="L4054" s="24" t="n"/>
      <c r="M4054" s="29" t="n"/>
      <c r="N4054" s="28" t="n"/>
      <c r="O4054" s="24" t="n"/>
      <c r="P4054" s="24" t="n"/>
      <c r="Q4054" s="24" t="n"/>
      <c r="R4054" s="24" t="n"/>
      <c r="S4054" s="22">
        <f>IF(AND($A4054="",$C4054=""),"",IF($A4054="","Thiếu mã đơn; ","")&amp;IF(COUNTIF($A$2:$A4054,$A4054)&gt;1,"Trùng mã đơn; ","")&amp;IF(ISNA(MATCH($C4054,DATA_MASTER!$D$2:$D$5000,0)),"SĐT chưa đăng ký hội viên; ","")&amp;IF(AND($L4054="Đã chuyển khoản",$M4054=""),"Thiếu ngày nhận CK; ",""))</f>
        <v/>
      </c>
      <c r="T4054" s="24" t="n"/>
    </row>
    <row r="4055" ht="14.25" customHeight="1" s="40">
      <c r="A4055" s="24" t="n"/>
      <c r="B4055" s="29" t="n"/>
      <c r="C4055" s="28" t="n"/>
      <c r="D4055" s="22">
        <f t="array" ref="D4055">IF($C4055="","",IFERROR(INDEX(DATA_MASTER!$C$2:$C$5000,MATCH($C4055,DATA_MASTER!$D$2:$D$5000,0)),""))</f>
        <v/>
      </c>
      <c r="E4055" s="22">
        <f t="array" ref="E4055">IF($C4055="","",IFERROR(INDEX(DATA_MASTER!$I$2:$I$5000,MATCH($C4055,DATA_MASTER!$D$2:$D$5000,0)),""))</f>
        <v/>
      </c>
      <c r="F4055" s="22">
        <f t="array" ref="F4055">IF($C4055="","",IFERROR(INDEX(DATA_MASTER!$L$2:$L$5000,MATCH($C4055,DATA_MASTER!$D$2:$D$5000,0)),""))</f>
        <v/>
      </c>
      <c r="G4055" s="24" t="n"/>
      <c r="H4055" s="24" t="n"/>
      <c r="I4055" s="30" t="n"/>
      <c r="J4055" s="23">
        <f>IF(OR($H4055="",$I4055=""),"",$H4055*$I4055)</f>
        <v/>
      </c>
      <c r="K4055" s="24" t="n"/>
      <c r="L4055" s="24" t="n"/>
      <c r="M4055" s="29" t="n"/>
      <c r="N4055" s="28" t="n"/>
      <c r="O4055" s="24" t="n"/>
      <c r="P4055" s="24" t="n"/>
      <c r="Q4055" s="24" t="n"/>
      <c r="R4055" s="24" t="n"/>
      <c r="S4055" s="22">
        <f>IF(AND($A4055="",$C4055=""),"",IF($A4055="","Thiếu mã đơn; ","")&amp;IF(COUNTIF($A$2:$A4055,$A4055)&gt;1,"Trùng mã đơn; ","")&amp;IF(ISNA(MATCH($C4055,DATA_MASTER!$D$2:$D$5000,0)),"SĐT chưa đăng ký hội viên; ","")&amp;IF(AND($L4055="Đã chuyển khoản",$M4055=""),"Thiếu ngày nhận CK; ",""))</f>
        <v/>
      </c>
      <c r="T4055" s="24" t="n"/>
    </row>
    <row r="4056" ht="14.25" customHeight="1" s="40">
      <c r="A4056" s="24" t="n"/>
      <c r="B4056" s="29" t="n"/>
      <c r="C4056" s="28" t="n"/>
      <c r="D4056" s="22">
        <f t="array" ref="D4056">IF($C4056="","",IFERROR(INDEX(DATA_MASTER!$C$2:$C$5000,MATCH($C4056,DATA_MASTER!$D$2:$D$5000,0)),""))</f>
        <v/>
      </c>
      <c r="E4056" s="22">
        <f t="array" ref="E4056">IF($C4056="","",IFERROR(INDEX(DATA_MASTER!$I$2:$I$5000,MATCH($C4056,DATA_MASTER!$D$2:$D$5000,0)),""))</f>
        <v/>
      </c>
      <c r="F4056" s="22">
        <f t="array" ref="F4056">IF($C4056="","",IFERROR(INDEX(DATA_MASTER!$L$2:$L$5000,MATCH($C4056,DATA_MASTER!$D$2:$D$5000,0)),""))</f>
        <v/>
      </c>
      <c r="G4056" s="24" t="n"/>
      <c r="H4056" s="24" t="n"/>
      <c r="I4056" s="30" t="n"/>
      <c r="J4056" s="23">
        <f>IF(OR($H4056="",$I4056=""),"",$H4056*$I4056)</f>
        <v/>
      </c>
      <c r="K4056" s="24" t="n"/>
      <c r="L4056" s="24" t="n"/>
      <c r="M4056" s="29" t="n"/>
      <c r="N4056" s="28" t="n"/>
      <c r="O4056" s="24" t="n"/>
      <c r="P4056" s="24" t="n"/>
      <c r="Q4056" s="24" t="n"/>
      <c r="R4056" s="24" t="n"/>
      <c r="S4056" s="22">
        <f>IF(AND($A4056="",$C4056=""),"",IF($A4056="","Thiếu mã đơn; ","")&amp;IF(COUNTIF($A$2:$A4056,$A4056)&gt;1,"Trùng mã đơn; ","")&amp;IF(ISNA(MATCH($C4056,DATA_MASTER!$D$2:$D$5000,0)),"SĐT chưa đăng ký hội viên; ","")&amp;IF(AND($L4056="Đã chuyển khoản",$M4056=""),"Thiếu ngày nhận CK; ",""))</f>
        <v/>
      </c>
      <c r="T4056" s="24" t="n"/>
    </row>
    <row r="4057" ht="14.25" customHeight="1" s="40">
      <c r="A4057" s="24" t="n"/>
      <c r="B4057" s="29" t="n"/>
      <c r="C4057" s="28" t="n"/>
      <c r="D4057" s="22">
        <f t="array" ref="D4057">IF($C4057="","",IFERROR(INDEX(DATA_MASTER!$C$2:$C$5000,MATCH($C4057,DATA_MASTER!$D$2:$D$5000,0)),""))</f>
        <v/>
      </c>
      <c r="E4057" s="22">
        <f t="array" ref="E4057">IF($C4057="","",IFERROR(INDEX(DATA_MASTER!$I$2:$I$5000,MATCH($C4057,DATA_MASTER!$D$2:$D$5000,0)),""))</f>
        <v/>
      </c>
      <c r="F4057" s="22">
        <f t="array" ref="F4057">IF($C4057="","",IFERROR(INDEX(DATA_MASTER!$L$2:$L$5000,MATCH($C4057,DATA_MASTER!$D$2:$D$5000,0)),""))</f>
        <v/>
      </c>
      <c r="G4057" s="24" t="n"/>
      <c r="H4057" s="24" t="n"/>
      <c r="I4057" s="30" t="n"/>
      <c r="J4057" s="23">
        <f>IF(OR($H4057="",$I4057=""),"",$H4057*$I4057)</f>
        <v/>
      </c>
      <c r="K4057" s="24" t="n"/>
      <c r="L4057" s="24" t="n"/>
      <c r="M4057" s="29" t="n"/>
      <c r="N4057" s="28" t="n"/>
      <c r="O4057" s="24" t="n"/>
      <c r="P4057" s="24" t="n"/>
      <c r="Q4057" s="24" t="n"/>
      <c r="R4057" s="24" t="n"/>
      <c r="S4057" s="22">
        <f>IF(AND($A4057="",$C4057=""),"",IF($A4057="","Thiếu mã đơn; ","")&amp;IF(COUNTIF($A$2:$A4057,$A4057)&gt;1,"Trùng mã đơn; ","")&amp;IF(ISNA(MATCH($C4057,DATA_MASTER!$D$2:$D$5000,0)),"SĐT chưa đăng ký hội viên; ","")&amp;IF(AND($L4057="Đã chuyển khoản",$M4057=""),"Thiếu ngày nhận CK; ",""))</f>
        <v/>
      </c>
      <c r="T4057" s="24" t="n"/>
    </row>
    <row r="4058" ht="14.25" customHeight="1" s="40">
      <c r="A4058" s="24" t="n"/>
      <c r="B4058" s="29" t="n"/>
      <c r="C4058" s="28" t="n"/>
      <c r="D4058" s="22">
        <f t="array" ref="D4058">IF($C4058="","",IFERROR(INDEX(DATA_MASTER!$C$2:$C$5000,MATCH($C4058,DATA_MASTER!$D$2:$D$5000,0)),""))</f>
        <v/>
      </c>
      <c r="E4058" s="22">
        <f t="array" ref="E4058">IF($C4058="","",IFERROR(INDEX(DATA_MASTER!$I$2:$I$5000,MATCH($C4058,DATA_MASTER!$D$2:$D$5000,0)),""))</f>
        <v/>
      </c>
      <c r="F4058" s="22">
        <f t="array" ref="F4058">IF($C4058="","",IFERROR(INDEX(DATA_MASTER!$L$2:$L$5000,MATCH($C4058,DATA_MASTER!$D$2:$D$5000,0)),""))</f>
        <v/>
      </c>
      <c r="G4058" s="24" t="n"/>
      <c r="H4058" s="24" t="n"/>
      <c r="I4058" s="30" t="n"/>
      <c r="J4058" s="23">
        <f>IF(OR($H4058="",$I4058=""),"",$H4058*$I4058)</f>
        <v/>
      </c>
      <c r="K4058" s="24" t="n"/>
      <c r="L4058" s="24" t="n"/>
      <c r="M4058" s="29" t="n"/>
      <c r="N4058" s="28" t="n"/>
      <c r="O4058" s="24" t="n"/>
      <c r="P4058" s="24" t="n"/>
      <c r="Q4058" s="24" t="n"/>
      <c r="R4058" s="24" t="n"/>
      <c r="S4058" s="22">
        <f>IF(AND($A4058="",$C4058=""),"",IF($A4058="","Thiếu mã đơn; ","")&amp;IF(COUNTIF($A$2:$A4058,$A4058)&gt;1,"Trùng mã đơn; ","")&amp;IF(ISNA(MATCH($C4058,DATA_MASTER!$D$2:$D$5000,0)),"SĐT chưa đăng ký hội viên; ","")&amp;IF(AND($L4058="Đã chuyển khoản",$M4058=""),"Thiếu ngày nhận CK; ",""))</f>
        <v/>
      </c>
      <c r="T4058" s="24" t="n"/>
    </row>
    <row r="4059" ht="14.25" customHeight="1" s="40">
      <c r="A4059" s="24" t="n"/>
      <c r="B4059" s="29" t="n"/>
      <c r="C4059" s="28" t="n"/>
      <c r="D4059" s="22">
        <f t="array" ref="D4059">IF($C4059="","",IFERROR(INDEX(DATA_MASTER!$C$2:$C$5000,MATCH($C4059,DATA_MASTER!$D$2:$D$5000,0)),""))</f>
        <v/>
      </c>
      <c r="E4059" s="22">
        <f t="array" ref="E4059">IF($C4059="","",IFERROR(INDEX(DATA_MASTER!$I$2:$I$5000,MATCH($C4059,DATA_MASTER!$D$2:$D$5000,0)),""))</f>
        <v/>
      </c>
      <c r="F4059" s="22">
        <f t="array" ref="F4059">IF($C4059="","",IFERROR(INDEX(DATA_MASTER!$L$2:$L$5000,MATCH($C4059,DATA_MASTER!$D$2:$D$5000,0)),""))</f>
        <v/>
      </c>
      <c r="G4059" s="24" t="n"/>
      <c r="H4059" s="24" t="n"/>
      <c r="I4059" s="30" t="n"/>
      <c r="J4059" s="23">
        <f>IF(OR($H4059="",$I4059=""),"",$H4059*$I4059)</f>
        <v/>
      </c>
      <c r="K4059" s="24" t="n"/>
      <c r="L4059" s="24" t="n"/>
      <c r="M4059" s="29" t="n"/>
      <c r="N4059" s="28" t="n"/>
      <c r="O4059" s="24" t="n"/>
      <c r="P4059" s="24" t="n"/>
      <c r="Q4059" s="24" t="n"/>
      <c r="R4059" s="24" t="n"/>
      <c r="S4059" s="22">
        <f>IF(AND($A4059="",$C4059=""),"",IF($A4059="","Thiếu mã đơn; ","")&amp;IF(COUNTIF($A$2:$A4059,$A4059)&gt;1,"Trùng mã đơn; ","")&amp;IF(ISNA(MATCH($C4059,DATA_MASTER!$D$2:$D$5000,0)),"SĐT chưa đăng ký hội viên; ","")&amp;IF(AND($L4059="Đã chuyển khoản",$M4059=""),"Thiếu ngày nhận CK; ",""))</f>
        <v/>
      </c>
      <c r="T4059" s="24" t="n"/>
    </row>
    <row r="4060" ht="14.25" customHeight="1" s="40">
      <c r="A4060" s="24" t="n"/>
      <c r="B4060" s="29" t="n"/>
      <c r="C4060" s="28" t="n"/>
      <c r="D4060" s="22">
        <f t="array" ref="D4060">IF($C4060="","",IFERROR(INDEX(DATA_MASTER!$C$2:$C$5000,MATCH($C4060,DATA_MASTER!$D$2:$D$5000,0)),""))</f>
        <v/>
      </c>
      <c r="E4060" s="22">
        <f t="array" ref="E4060">IF($C4060="","",IFERROR(INDEX(DATA_MASTER!$I$2:$I$5000,MATCH($C4060,DATA_MASTER!$D$2:$D$5000,0)),""))</f>
        <v/>
      </c>
      <c r="F4060" s="22">
        <f t="array" ref="F4060">IF($C4060="","",IFERROR(INDEX(DATA_MASTER!$L$2:$L$5000,MATCH($C4060,DATA_MASTER!$D$2:$D$5000,0)),""))</f>
        <v/>
      </c>
      <c r="G4060" s="24" t="n"/>
      <c r="H4060" s="24" t="n"/>
      <c r="I4060" s="30" t="n"/>
      <c r="J4060" s="23">
        <f>IF(OR($H4060="",$I4060=""),"",$H4060*$I4060)</f>
        <v/>
      </c>
      <c r="K4060" s="24" t="n"/>
      <c r="L4060" s="24" t="n"/>
      <c r="M4060" s="29" t="n"/>
      <c r="N4060" s="28" t="n"/>
      <c r="O4060" s="24" t="n"/>
      <c r="P4060" s="24" t="n"/>
      <c r="Q4060" s="24" t="n"/>
      <c r="R4060" s="24" t="n"/>
      <c r="S4060" s="22">
        <f>IF(AND($A4060="",$C4060=""),"",IF($A4060="","Thiếu mã đơn; ","")&amp;IF(COUNTIF($A$2:$A4060,$A4060)&gt;1,"Trùng mã đơn; ","")&amp;IF(ISNA(MATCH($C4060,DATA_MASTER!$D$2:$D$5000,0)),"SĐT chưa đăng ký hội viên; ","")&amp;IF(AND($L4060="Đã chuyển khoản",$M4060=""),"Thiếu ngày nhận CK; ",""))</f>
        <v/>
      </c>
      <c r="T4060" s="24" t="n"/>
    </row>
    <row r="4061" ht="14.25" customHeight="1" s="40">
      <c r="A4061" s="24" t="n"/>
      <c r="B4061" s="29" t="n"/>
      <c r="C4061" s="28" t="n"/>
      <c r="D4061" s="22">
        <f t="array" ref="D4061">IF($C4061="","",IFERROR(INDEX(DATA_MASTER!$C$2:$C$5000,MATCH($C4061,DATA_MASTER!$D$2:$D$5000,0)),""))</f>
        <v/>
      </c>
      <c r="E4061" s="22">
        <f t="array" ref="E4061">IF($C4061="","",IFERROR(INDEX(DATA_MASTER!$I$2:$I$5000,MATCH($C4061,DATA_MASTER!$D$2:$D$5000,0)),""))</f>
        <v/>
      </c>
      <c r="F4061" s="22">
        <f t="array" ref="F4061">IF($C4061="","",IFERROR(INDEX(DATA_MASTER!$L$2:$L$5000,MATCH($C4061,DATA_MASTER!$D$2:$D$5000,0)),""))</f>
        <v/>
      </c>
      <c r="G4061" s="24" t="n"/>
      <c r="H4061" s="24" t="n"/>
      <c r="I4061" s="30" t="n"/>
      <c r="J4061" s="23">
        <f>IF(OR($H4061="",$I4061=""),"",$H4061*$I4061)</f>
        <v/>
      </c>
      <c r="K4061" s="24" t="n"/>
      <c r="L4061" s="24" t="n"/>
      <c r="M4061" s="29" t="n"/>
      <c r="N4061" s="28" t="n"/>
      <c r="O4061" s="24" t="n"/>
      <c r="P4061" s="24" t="n"/>
      <c r="Q4061" s="24" t="n"/>
      <c r="R4061" s="24" t="n"/>
      <c r="S4061" s="22">
        <f>IF(AND($A4061="",$C4061=""),"",IF($A4061="","Thiếu mã đơn; ","")&amp;IF(COUNTIF($A$2:$A4061,$A4061)&gt;1,"Trùng mã đơn; ","")&amp;IF(ISNA(MATCH($C4061,DATA_MASTER!$D$2:$D$5000,0)),"SĐT chưa đăng ký hội viên; ","")&amp;IF(AND($L4061="Đã chuyển khoản",$M4061=""),"Thiếu ngày nhận CK; ",""))</f>
        <v/>
      </c>
      <c r="T4061" s="24" t="n"/>
    </row>
    <row r="4062" ht="14.25" customHeight="1" s="40">
      <c r="A4062" s="24" t="n"/>
      <c r="B4062" s="29" t="n"/>
      <c r="C4062" s="28" t="n"/>
      <c r="D4062" s="22">
        <f t="array" ref="D4062">IF($C4062="","",IFERROR(INDEX(DATA_MASTER!$C$2:$C$5000,MATCH($C4062,DATA_MASTER!$D$2:$D$5000,0)),""))</f>
        <v/>
      </c>
      <c r="E4062" s="22">
        <f t="array" ref="E4062">IF($C4062="","",IFERROR(INDEX(DATA_MASTER!$I$2:$I$5000,MATCH($C4062,DATA_MASTER!$D$2:$D$5000,0)),""))</f>
        <v/>
      </c>
      <c r="F4062" s="22">
        <f t="array" ref="F4062">IF($C4062="","",IFERROR(INDEX(DATA_MASTER!$L$2:$L$5000,MATCH($C4062,DATA_MASTER!$D$2:$D$5000,0)),""))</f>
        <v/>
      </c>
      <c r="G4062" s="24" t="n"/>
      <c r="H4062" s="24" t="n"/>
      <c r="I4062" s="30" t="n"/>
      <c r="J4062" s="23">
        <f>IF(OR($H4062="",$I4062=""),"",$H4062*$I4062)</f>
        <v/>
      </c>
      <c r="K4062" s="24" t="n"/>
      <c r="L4062" s="24" t="n"/>
      <c r="M4062" s="29" t="n"/>
      <c r="N4062" s="28" t="n"/>
      <c r="O4062" s="24" t="n"/>
      <c r="P4062" s="24" t="n"/>
      <c r="Q4062" s="24" t="n"/>
      <c r="R4062" s="24" t="n"/>
      <c r="S4062" s="22">
        <f>IF(AND($A4062="",$C4062=""),"",IF($A4062="","Thiếu mã đơn; ","")&amp;IF(COUNTIF($A$2:$A4062,$A4062)&gt;1,"Trùng mã đơn; ","")&amp;IF(ISNA(MATCH($C4062,DATA_MASTER!$D$2:$D$5000,0)),"SĐT chưa đăng ký hội viên; ","")&amp;IF(AND($L4062="Đã chuyển khoản",$M4062=""),"Thiếu ngày nhận CK; ",""))</f>
        <v/>
      </c>
      <c r="T4062" s="24" t="n"/>
    </row>
    <row r="4063" ht="14.25" customHeight="1" s="40">
      <c r="A4063" s="24" t="n"/>
      <c r="B4063" s="29" t="n"/>
      <c r="C4063" s="28" t="n"/>
      <c r="D4063" s="22">
        <f t="array" ref="D4063">IF($C4063="","",IFERROR(INDEX(DATA_MASTER!$C$2:$C$5000,MATCH($C4063,DATA_MASTER!$D$2:$D$5000,0)),""))</f>
        <v/>
      </c>
      <c r="E4063" s="22">
        <f t="array" ref="E4063">IF($C4063="","",IFERROR(INDEX(DATA_MASTER!$I$2:$I$5000,MATCH($C4063,DATA_MASTER!$D$2:$D$5000,0)),""))</f>
        <v/>
      </c>
      <c r="F4063" s="22">
        <f t="array" ref="F4063">IF($C4063="","",IFERROR(INDEX(DATA_MASTER!$L$2:$L$5000,MATCH($C4063,DATA_MASTER!$D$2:$D$5000,0)),""))</f>
        <v/>
      </c>
      <c r="G4063" s="24" t="n"/>
      <c r="H4063" s="24" t="n"/>
      <c r="I4063" s="30" t="n"/>
      <c r="J4063" s="23">
        <f>IF(OR($H4063="",$I4063=""),"",$H4063*$I4063)</f>
        <v/>
      </c>
      <c r="K4063" s="24" t="n"/>
      <c r="L4063" s="24" t="n"/>
      <c r="M4063" s="29" t="n"/>
      <c r="N4063" s="28" t="n"/>
      <c r="O4063" s="24" t="n"/>
      <c r="P4063" s="24" t="n"/>
      <c r="Q4063" s="24" t="n"/>
      <c r="R4063" s="24" t="n"/>
      <c r="S4063" s="22">
        <f>IF(AND($A4063="",$C4063=""),"",IF($A4063="","Thiếu mã đơn; ","")&amp;IF(COUNTIF($A$2:$A4063,$A4063)&gt;1,"Trùng mã đơn; ","")&amp;IF(ISNA(MATCH($C4063,DATA_MASTER!$D$2:$D$5000,0)),"SĐT chưa đăng ký hội viên; ","")&amp;IF(AND($L4063="Đã chuyển khoản",$M4063=""),"Thiếu ngày nhận CK; ",""))</f>
        <v/>
      </c>
      <c r="T4063" s="24" t="n"/>
    </row>
    <row r="4064" ht="14.25" customHeight="1" s="40">
      <c r="A4064" s="24" t="n"/>
      <c r="B4064" s="29" t="n"/>
      <c r="C4064" s="28" t="n"/>
      <c r="D4064" s="22">
        <f t="array" ref="D4064">IF($C4064="","",IFERROR(INDEX(DATA_MASTER!$C$2:$C$5000,MATCH($C4064,DATA_MASTER!$D$2:$D$5000,0)),""))</f>
        <v/>
      </c>
      <c r="E4064" s="22">
        <f t="array" ref="E4064">IF($C4064="","",IFERROR(INDEX(DATA_MASTER!$I$2:$I$5000,MATCH($C4064,DATA_MASTER!$D$2:$D$5000,0)),""))</f>
        <v/>
      </c>
      <c r="F4064" s="22">
        <f t="array" ref="F4064">IF($C4064="","",IFERROR(INDEX(DATA_MASTER!$L$2:$L$5000,MATCH($C4064,DATA_MASTER!$D$2:$D$5000,0)),""))</f>
        <v/>
      </c>
      <c r="G4064" s="24" t="n"/>
      <c r="H4064" s="24" t="n"/>
      <c r="I4064" s="30" t="n"/>
      <c r="J4064" s="23">
        <f>IF(OR($H4064="",$I4064=""),"",$H4064*$I4064)</f>
        <v/>
      </c>
      <c r="K4064" s="24" t="n"/>
      <c r="L4064" s="24" t="n"/>
      <c r="M4064" s="29" t="n"/>
      <c r="N4064" s="28" t="n"/>
      <c r="O4064" s="24" t="n"/>
      <c r="P4064" s="24" t="n"/>
      <c r="Q4064" s="24" t="n"/>
      <c r="R4064" s="24" t="n"/>
      <c r="S4064" s="22">
        <f>IF(AND($A4064="",$C4064=""),"",IF($A4064="","Thiếu mã đơn; ","")&amp;IF(COUNTIF($A$2:$A4064,$A4064)&gt;1,"Trùng mã đơn; ","")&amp;IF(ISNA(MATCH($C4064,DATA_MASTER!$D$2:$D$5000,0)),"SĐT chưa đăng ký hội viên; ","")&amp;IF(AND($L4064="Đã chuyển khoản",$M4064=""),"Thiếu ngày nhận CK; ",""))</f>
        <v/>
      </c>
      <c r="T4064" s="24" t="n"/>
    </row>
    <row r="4065" ht="14.25" customHeight="1" s="40">
      <c r="A4065" s="24" t="n"/>
      <c r="B4065" s="29" t="n"/>
      <c r="C4065" s="28" t="n"/>
      <c r="D4065" s="22">
        <f t="array" ref="D4065">IF($C4065="","",IFERROR(INDEX(DATA_MASTER!$C$2:$C$5000,MATCH($C4065,DATA_MASTER!$D$2:$D$5000,0)),""))</f>
        <v/>
      </c>
      <c r="E4065" s="22">
        <f t="array" ref="E4065">IF($C4065="","",IFERROR(INDEX(DATA_MASTER!$I$2:$I$5000,MATCH($C4065,DATA_MASTER!$D$2:$D$5000,0)),""))</f>
        <v/>
      </c>
      <c r="F4065" s="22">
        <f t="array" ref="F4065">IF($C4065="","",IFERROR(INDEX(DATA_MASTER!$L$2:$L$5000,MATCH($C4065,DATA_MASTER!$D$2:$D$5000,0)),""))</f>
        <v/>
      </c>
      <c r="G4065" s="24" t="n"/>
      <c r="H4065" s="24" t="n"/>
      <c r="I4065" s="30" t="n"/>
      <c r="J4065" s="23">
        <f>IF(OR($H4065="",$I4065=""),"",$H4065*$I4065)</f>
        <v/>
      </c>
      <c r="K4065" s="24" t="n"/>
      <c r="L4065" s="24" t="n"/>
      <c r="M4065" s="29" t="n"/>
      <c r="N4065" s="28" t="n"/>
      <c r="O4065" s="24" t="n"/>
      <c r="P4065" s="24" t="n"/>
      <c r="Q4065" s="24" t="n"/>
      <c r="R4065" s="24" t="n"/>
      <c r="S4065" s="22">
        <f>IF(AND($A4065="",$C4065=""),"",IF($A4065="","Thiếu mã đơn; ","")&amp;IF(COUNTIF($A$2:$A4065,$A4065)&gt;1,"Trùng mã đơn; ","")&amp;IF(ISNA(MATCH($C4065,DATA_MASTER!$D$2:$D$5000,0)),"SĐT chưa đăng ký hội viên; ","")&amp;IF(AND($L4065="Đã chuyển khoản",$M4065=""),"Thiếu ngày nhận CK; ",""))</f>
        <v/>
      </c>
      <c r="T4065" s="24" t="n"/>
    </row>
    <row r="4066" ht="14.25" customHeight="1" s="40">
      <c r="A4066" s="24" t="n"/>
      <c r="B4066" s="29" t="n"/>
      <c r="C4066" s="28" t="n"/>
      <c r="D4066" s="22">
        <f t="array" ref="D4066">IF($C4066="","",IFERROR(INDEX(DATA_MASTER!$C$2:$C$5000,MATCH($C4066,DATA_MASTER!$D$2:$D$5000,0)),""))</f>
        <v/>
      </c>
      <c r="E4066" s="22">
        <f t="array" ref="E4066">IF($C4066="","",IFERROR(INDEX(DATA_MASTER!$I$2:$I$5000,MATCH($C4066,DATA_MASTER!$D$2:$D$5000,0)),""))</f>
        <v/>
      </c>
      <c r="F4066" s="22">
        <f t="array" ref="F4066">IF($C4066="","",IFERROR(INDEX(DATA_MASTER!$L$2:$L$5000,MATCH($C4066,DATA_MASTER!$D$2:$D$5000,0)),""))</f>
        <v/>
      </c>
      <c r="G4066" s="24" t="n"/>
      <c r="H4066" s="24" t="n"/>
      <c r="I4066" s="30" t="n"/>
      <c r="J4066" s="23">
        <f>IF(OR($H4066="",$I4066=""),"",$H4066*$I4066)</f>
        <v/>
      </c>
      <c r="K4066" s="24" t="n"/>
      <c r="L4066" s="24" t="n"/>
      <c r="M4066" s="29" t="n"/>
      <c r="N4066" s="28" t="n"/>
      <c r="O4066" s="24" t="n"/>
      <c r="P4066" s="24" t="n"/>
      <c r="Q4066" s="24" t="n"/>
      <c r="R4066" s="24" t="n"/>
      <c r="S4066" s="22">
        <f>IF(AND($A4066="",$C4066=""),"",IF($A4066="","Thiếu mã đơn; ","")&amp;IF(COUNTIF($A$2:$A4066,$A4066)&gt;1,"Trùng mã đơn; ","")&amp;IF(ISNA(MATCH($C4066,DATA_MASTER!$D$2:$D$5000,0)),"SĐT chưa đăng ký hội viên; ","")&amp;IF(AND($L4066="Đã chuyển khoản",$M4066=""),"Thiếu ngày nhận CK; ",""))</f>
        <v/>
      </c>
      <c r="T4066" s="24" t="n"/>
    </row>
    <row r="4067" ht="14.25" customHeight="1" s="40">
      <c r="A4067" s="24" t="n"/>
      <c r="B4067" s="29" t="n"/>
      <c r="C4067" s="28" t="n"/>
      <c r="D4067" s="22">
        <f t="array" ref="D4067">IF($C4067="","",IFERROR(INDEX(DATA_MASTER!$C$2:$C$5000,MATCH($C4067,DATA_MASTER!$D$2:$D$5000,0)),""))</f>
        <v/>
      </c>
      <c r="E4067" s="22">
        <f t="array" ref="E4067">IF($C4067="","",IFERROR(INDEX(DATA_MASTER!$I$2:$I$5000,MATCH($C4067,DATA_MASTER!$D$2:$D$5000,0)),""))</f>
        <v/>
      </c>
      <c r="F4067" s="22">
        <f t="array" ref="F4067">IF($C4067="","",IFERROR(INDEX(DATA_MASTER!$L$2:$L$5000,MATCH($C4067,DATA_MASTER!$D$2:$D$5000,0)),""))</f>
        <v/>
      </c>
      <c r="G4067" s="24" t="n"/>
      <c r="H4067" s="24" t="n"/>
      <c r="I4067" s="30" t="n"/>
      <c r="J4067" s="23">
        <f>IF(OR($H4067="",$I4067=""),"",$H4067*$I4067)</f>
        <v/>
      </c>
      <c r="K4067" s="24" t="n"/>
      <c r="L4067" s="24" t="n"/>
      <c r="M4067" s="29" t="n"/>
      <c r="N4067" s="28" t="n"/>
      <c r="O4067" s="24" t="n"/>
      <c r="P4067" s="24" t="n"/>
      <c r="Q4067" s="24" t="n"/>
      <c r="R4067" s="24" t="n"/>
      <c r="S4067" s="22">
        <f>IF(AND($A4067="",$C4067=""),"",IF($A4067="","Thiếu mã đơn; ","")&amp;IF(COUNTIF($A$2:$A4067,$A4067)&gt;1,"Trùng mã đơn; ","")&amp;IF(ISNA(MATCH($C4067,DATA_MASTER!$D$2:$D$5000,0)),"SĐT chưa đăng ký hội viên; ","")&amp;IF(AND($L4067="Đã chuyển khoản",$M4067=""),"Thiếu ngày nhận CK; ",""))</f>
        <v/>
      </c>
      <c r="T4067" s="24" t="n"/>
    </row>
    <row r="4068" ht="14.25" customHeight="1" s="40">
      <c r="A4068" s="24" t="n"/>
      <c r="B4068" s="29" t="n"/>
      <c r="C4068" s="28" t="n"/>
      <c r="D4068" s="22">
        <f t="array" ref="D4068">IF($C4068="","",IFERROR(INDEX(DATA_MASTER!$C$2:$C$5000,MATCH($C4068,DATA_MASTER!$D$2:$D$5000,0)),""))</f>
        <v/>
      </c>
      <c r="E4068" s="22">
        <f t="array" ref="E4068">IF($C4068="","",IFERROR(INDEX(DATA_MASTER!$I$2:$I$5000,MATCH($C4068,DATA_MASTER!$D$2:$D$5000,0)),""))</f>
        <v/>
      </c>
      <c r="F4068" s="22">
        <f t="array" ref="F4068">IF($C4068="","",IFERROR(INDEX(DATA_MASTER!$L$2:$L$5000,MATCH($C4068,DATA_MASTER!$D$2:$D$5000,0)),""))</f>
        <v/>
      </c>
      <c r="G4068" s="24" t="n"/>
      <c r="H4068" s="24" t="n"/>
      <c r="I4068" s="30" t="n"/>
      <c r="J4068" s="23">
        <f>IF(OR($H4068="",$I4068=""),"",$H4068*$I4068)</f>
        <v/>
      </c>
      <c r="K4068" s="24" t="n"/>
      <c r="L4068" s="24" t="n"/>
      <c r="M4068" s="29" t="n"/>
      <c r="N4068" s="28" t="n"/>
      <c r="O4068" s="24" t="n"/>
      <c r="P4068" s="24" t="n"/>
      <c r="Q4068" s="24" t="n"/>
      <c r="R4068" s="24" t="n"/>
      <c r="S4068" s="22">
        <f>IF(AND($A4068="",$C4068=""),"",IF($A4068="","Thiếu mã đơn; ","")&amp;IF(COUNTIF($A$2:$A4068,$A4068)&gt;1,"Trùng mã đơn; ","")&amp;IF(ISNA(MATCH($C4068,DATA_MASTER!$D$2:$D$5000,0)),"SĐT chưa đăng ký hội viên; ","")&amp;IF(AND($L4068="Đã chuyển khoản",$M4068=""),"Thiếu ngày nhận CK; ",""))</f>
        <v/>
      </c>
      <c r="T4068" s="24" t="n"/>
    </row>
    <row r="4069" ht="14.25" customHeight="1" s="40">
      <c r="A4069" s="24" t="n"/>
      <c r="B4069" s="29" t="n"/>
      <c r="C4069" s="28" t="n"/>
      <c r="D4069" s="22">
        <f t="array" ref="D4069">IF($C4069="","",IFERROR(INDEX(DATA_MASTER!$C$2:$C$5000,MATCH($C4069,DATA_MASTER!$D$2:$D$5000,0)),""))</f>
        <v/>
      </c>
      <c r="E4069" s="22">
        <f t="array" ref="E4069">IF($C4069="","",IFERROR(INDEX(DATA_MASTER!$I$2:$I$5000,MATCH($C4069,DATA_MASTER!$D$2:$D$5000,0)),""))</f>
        <v/>
      </c>
      <c r="F4069" s="22">
        <f t="array" ref="F4069">IF($C4069="","",IFERROR(INDEX(DATA_MASTER!$L$2:$L$5000,MATCH($C4069,DATA_MASTER!$D$2:$D$5000,0)),""))</f>
        <v/>
      </c>
      <c r="G4069" s="24" t="n"/>
      <c r="H4069" s="24" t="n"/>
      <c r="I4069" s="30" t="n"/>
      <c r="J4069" s="23">
        <f>IF(OR($H4069="",$I4069=""),"",$H4069*$I4069)</f>
        <v/>
      </c>
      <c r="K4069" s="24" t="n"/>
      <c r="L4069" s="24" t="n"/>
      <c r="M4069" s="29" t="n"/>
      <c r="N4069" s="28" t="n"/>
      <c r="O4069" s="24" t="n"/>
      <c r="P4069" s="24" t="n"/>
      <c r="Q4069" s="24" t="n"/>
      <c r="R4069" s="24" t="n"/>
      <c r="S4069" s="22">
        <f>IF(AND($A4069="",$C4069=""),"",IF($A4069="","Thiếu mã đơn; ","")&amp;IF(COUNTIF($A$2:$A4069,$A4069)&gt;1,"Trùng mã đơn; ","")&amp;IF(ISNA(MATCH($C4069,DATA_MASTER!$D$2:$D$5000,0)),"SĐT chưa đăng ký hội viên; ","")&amp;IF(AND($L4069="Đã chuyển khoản",$M4069=""),"Thiếu ngày nhận CK; ",""))</f>
        <v/>
      </c>
      <c r="T4069" s="24" t="n"/>
    </row>
    <row r="4070" ht="14.25" customHeight="1" s="40">
      <c r="A4070" s="24" t="n"/>
      <c r="B4070" s="29" t="n"/>
      <c r="C4070" s="28" t="n"/>
      <c r="D4070" s="22">
        <f t="array" ref="D4070">IF($C4070="","",IFERROR(INDEX(DATA_MASTER!$C$2:$C$5000,MATCH($C4070,DATA_MASTER!$D$2:$D$5000,0)),""))</f>
        <v/>
      </c>
      <c r="E4070" s="22">
        <f t="array" ref="E4070">IF($C4070="","",IFERROR(INDEX(DATA_MASTER!$I$2:$I$5000,MATCH($C4070,DATA_MASTER!$D$2:$D$5000,0)),""))</f>
        <v/>
      </c>
      <c r="F4070" s="22">
        <f t="array" ref="F4070">IF($C4070="","",IFERROR(INDEX(DATA_MASTER!$L$2:$L$5000,MATCH($C4070,DATA_MASTER!$D$2:$D$5000,0)),""))</f>
        <v/>
      </c>
      <c r="G4070" s="24" t="n"/>
      <c r="H4070" s="24" t="n"/>
      <c r="I4070" s="30" t="n"/>
      <c r="J4070" s="23">
        <f>IF(OR($H4070="",$I4070=""),"",$H4070*$I4070)</f>
        <v/>
      </c>
      <c r="K4070" s="24" t="n"/>
      <c r="L4070" s="24" t="n"/>
      <c r="M4070" s="29" t="n"/>
      <c r="N4070" s="28" t="n"/>
      <c r="O4070" s="24" t="n"/>
      <c r="P4070" s="24" t="n"/>
      <c r="Q4070" s="24" t="n"/>
      <c r="R4070" s="24" t="n"/>
      <c r="S4070" s="22">
        <f>IF(AND($A4070="",$C4070=""),"",IF($A4070="","Thiếu mã đơn; ","")&amp;IF(COUNTIF($A$2:$A4070,$A4070)&gt;1,"Trùng mã đơn; ","")&amp;IF(ISNA(MATCH($C4070,DATA_MASTER!$D$2:$D$5000,0)),"SĐT chưa đăng ký hội viên; ","")&amp;IF(AND($L4070="Đã chuyển khoản",$M4070=""),"Thiếu ngày nhận CK; ",""))</f>
        <v/>
      </c>
      <c r="T4070" s="24" t="n"/>
    </row>
    <row r="4071" ht="14.25" customHeight="1" s="40">
      <c r="A4071" s="24" t="n"/>
      <c r="B4071" s="29" t="n"/>
      <c r="C4071" s="28" t="n"/>
      <c r="D4071" s="22">
        <f t="array" ref="D4071">IF($C4071="","",IFERROR(INDEX(DATA_MASTER!$C$2:$C$5000,MATCH($C4071,DATA_MASTER!$D$2:$D$5000,0)),""))</f>
        <v/>
      </c>
      <c r="E4071" s="22">
        <f t="array" ref="E4071">IF($C4071="","",IFERROR(INDEX(DATA_MASTER!$I$2:$I$5000,MATCH($C4071,DATA_MASTER!$D$2:$D$5000,0)),""))</f>
        <v/>
      </c>
      <c r="F4071" s="22">
        <f t="array" ref="F4071">IF($C4071="","",IFERROR(INDEX(DATA_MASTER!$L$2:$L$5000,MATCH($C4071,DATA_MASTER!$D$2:$D$5000,0)),""))</f>
        <v/>
      </c>
      <c r="G4071" s="24" t="n"/>
      <c r="H4071" s="24" t="n"/>
      <c r="I4071" s="30" t="n"/>
      <c r="J4071" s="23">
        <f>IF(OR($H4071="",$I4071=""),"",$H4071*$I4071)</f>
        <v/>
      </c>
      <c r="K4071" s="24" t="n"/>
      <c r="L4071" s="24" t="n"/>
      <c r="M4071" s="29" t="n"/>
      <c r="N4071" s="28" t="n"/>
      <c r="O4071" s="24" t="n"/>
      <c r="P4071" s="24" t="n"/>
      <c r="Q4071" s="24" t="n"/>
      <c r="R4071" s="24" t="n"/>
      <c r="S4071" s="22">
        <f>IF(AND($A4071="",$C4071=""),"",IF($A4071="","Thiếu mã đơn; ","")&amp;IF(COUNTIF($A$2:$A4071,$A4071)&gt;1,"Trùng mã đơn; ","")&amp;IF(ISNA(MATCH($C4071,DATA_MASTER!$D$2:$D$5000,0)),"SĐT chưa đăng ký hội viên; ","")&amp;IF(AND($L4071="Đã chuyển khoản",$M4071=""),"Thiếu ngày nhận CK; ",""))</f>
        <v/>
      </c>
      <c r="T4071" s="24" t="n"/>
    </row>
    <row r="4072" ht="14.25" customHeight="1" s="40">
      <c r="A4072" s="24" t="n"/>
      <c r="B4072" s="29" t="n"/>
      <c r="C4072" s="28" t="n"/>
      <c r="D4072" s="22">
        <f t="array" ref="D4072">IF($C4072="","",IFERROR(INDEX(DATA_MASTER!$C$2:$C$5000,MATCH($C4072,DATA_MASTER!$D$2:$D$5000,0)),""))</f>
        <v/>
      </c>
      <c r="E4072" s="22">
        <f t="array" ref="E4072">IF($C4072="","",IFERROR(INDEX(DATA_MASTER!$I$2:$I$5000,MATCH($C4072,DATA_MASTER!$D$2:$D$5000,0)),""))</f>
        <v/>
      </c>
      <c r="F4072" s="22">
        <f t="array" ref="F4072">IF($C4072="","",IFERROR(INDEX(DATA_MASTER!$L$2:$L$5000,MATCH($C4072,DATA_MASTER!$D$2:$D$5000,0)),""))</f>
        <v/>
      </c>
      <c r="G4072" s="24" t="n"/>
      <c r="H4072" s="24" t="n"/>
      <c r="I4072" s="30" t="n"/>
      <c r="J4072" s="23">
        <f>IF(OR($H4072="",$I4072=""),"",$H4072*$I4072)</f>
        <v/>
      </c>
      <c r="K4072" s="24" t="n"/>
      <c r="L4072" s="24" t="n"/>
      <c r="M4072" s="29" t="n"/>
      <c r="N4072" s="28" t="n"/>
      <c r="O4072" s="24" t="n"/>
      <c r="P4072" s="24" t="n"/>
      <c r="Q4072" s="24" t="n"/>
      <c r="R4072" s="24" t="n"/>
      <c r="S4072" s="22">
        <f>IF(AND($A4072="",$C4072=""),"",IF($A4072="","Thiếu mã đơn; ","")&amp;IF(COUNTIF($A$2:$A4072,$A4072)&gt;1,"Trùng mã đơn; ","")&amp;IF(ISNA(MATCH($C4072,DATA_MASTER!$D$2:$D$5000,0)),"SĐT chưa đăng ký hội viên; ","")&amp;IF(AND($L4072="Đã chuyển khoản",$M4072=""),"Thiếu ngày nhận CK; ",""))</f>
        <v/>
      </c>
      <c r="T4072" s="24" t="n"/>
    </row>
    <row r="4073" ht="14.25" customHeight="1" s="40">
      <c r="A4073" s="24" t="n"/>
      <c r="B4073" s="29" t="n"/>
      <c r="C4073" s="28" t="n"/>
      <c r="D4073" s="22">
        <f t="array" ref="D4073">IF($C4073="","",IFERROR(INDEX(DATA_MASTER!$C$2:$C$5000,MATCH($C4073,DATA_MASTER!$D$2:$D$5000,0)),""))</f>
        <v/>
      </c>
      <c r="E4073" s="22">
        <f t="array" ref="E4073">IF($C4073="","",IFERROR(INDEX(DATA_MASTER!$I$2:$I$5000,MATCH($C4073,DATA_MASTER!$D$2:$D$5000,0)),""))</f>
        <v/>
      </c>
      <c r="F4073" s="22">
        <f t="array" ref="F4073">IF($C4073="","",IFERROR(INDEX(DATA_MASTER!$L$2:$L$5000,MATCH($C4073,DATA_MASTER!$D$2:$D$5000,0)),""))</f>
        <v/>
      </c>
      <c r="G4073" s="24" t="n"/>
      <c r="H4073" s="24" t="n"/>
      <c r="I4073" s="30" t="n"/>
      <c r="J4073" s="23">
        <f>IF(OR($H4073="",$I4073=""),"",$H4073*$I4073)</f>
        <v/>
      </c>
      <c r="K4073" s="24" t="n"/>
      <c r="L4073" s="24" t="n"/>
      <c r="M4073" s="29" t="n"/>
      <c r="N4073" s="28" t="n"/>
      <c r="O4073" s="24" t="n"/>
      <c r="P4073" s="24" t="n"/>
      <c r="Q4073" s="24" t="n"/>
      <c r="R4073" s="24" t="n"/>
      <c r="S4073" s="22">
        <f>IF(AND($A4073="",$C4073=""),"",IF($A4073="","Thiếu mã đơn; ","")&amp;IF(COUNTIF($A$2:$A4073,$A4073)&gt;1,"Trùng mã đơn; ","")&amp;IF(ISNA(MATCH($C4073,DATA_MASTER!$D$2:$D$5000,0)),"SĐT chưa đăng ký hội viên; ","")&amp;IF(AND($L4073="Đã chuyển khoản",$M4073=""),"Thiếu ngày nhận CK; ",""))</f>
        <v/>
      </c>
      <c r="T4073" s="24" t="n"/>
    </row>
    <row r="4074" ht="14.25" customHeight="1" s="40">
      <c r="A4074" s="24" t="n"/>
      <c r="B4074" s="29" t="n"/>
      <c r="C4074" s="28" t="n"/>
      <c r="D4074" s="22">
        <f t="array" ref="D4074">IF($C4074="","",IFERROR(INDEX(DATA_MASTER!$C$2:$C$5000,MATCH($C4074,DATA_MASTER!$D$2:$D$5000,0)),""))</f>
        <v/>
      </c>
      <c r="E4074" s="22">
        <f t="array" ref="E4074">IF($C4074="","",IFERROR(INDEX(DATA_MASTER!$I$2:$I$5000,MATCH($C4074,DATA_MASTER!$D$2:$D$5000,0)),""))</f>
        <v/>
      </c>
      <c r="F4074" s="22">
        <f t="array" ref="F4074">IF($C4074="","",IFERROR(INDEX(DATA_MASTER!$L$2:$L$5000,MATCH($C4074,DATA_MASTER!$D$2:$D$5000,0)),""))</f>
        <v/>
      </c>
      <c r="G4074" s="24" t="n"/>
      <c r="H4074" s="24" t="n"/>
      <c r="I4074" s="30" t="n"/>
      <c r="J4074" s="23">
        <f>IF(OR($H4074="",$I4074=""),"",$H4074*$I4074)</f>
        <v/>
      </c>
      <c r="K4074" s="24" t="n"/>
      <c r="L4074" s="24" t="n"/>
      <c r="M4074" s="29" t="n"/>
      <c r="N4074" s="28" t="n"/>
      <c r="O4074" s="24" t="n"/>
      <c r="P4074" s="24" t="n"/>
      <c r="Q4074" s="24" t="n"/>
      <c r="R4074" s="24" t="n"/>
      <c r="S4074" s="22">
        <f>IF(AND($A4074="",$C4074=""),"",IF($A4074="","Thiếu mã đơn; ","")&amp;IF(COUNTIF($A$2:$A4074,$A4074)&gt;1,"Trùng mã đơn; ","")&amp;IF(ISNA(MATCH($C4074,DATA_MASTER!$D$2:$D$5000,0)),"SĐT chưa đăng ký hội viên; ","")&amp;IF(AND($L4074="Đã chuyển khoản",$M4074=""),"Thiếu ngày nhận CK; ",""))</f>
        <v/>
      </c>
      <c r="T4074" s="24" t="n"/>
    </row>
    <row r="4075" ht="14.25" customHeight="1" s="40">
      <c r="A4075" s="24" t="n"/>
      <c r="B4075" s="29" t="n"/>
      <c r="C4075" s="28" t="n"/>
      <c r="D4075" s="22">
        <f t="array" ref="D4075">IF($C4075="","",IFERROR(INDEX(DATA_MASTER!$C$2:$C$5000,MATCH($C4075,DATA_MASTER!$D$2:$D$5000,0)),""))</f>
        <v/>
      </c>
      <c r="E4075" s="22">
        <f t="array" ref="E4075">IF($C4075="","",IFERROR(INDEX(DATA_MASTER!$I$2:$I$5000,MATCH($C4075,DATA_MASTER!$D$2:$D$5000,0)),""))</f>
        <v/>
      </c>
      <c r="F4075" s="22">
        <f t="array" ref="F4075">IF($C4075="","",IFERROR(INDEX(DATA_MASTER!$L$2:$L$5000,MATCH($C4075,DATA_MASTER!$D$2:$D$5000,0)),""))</f>
        <v/>
      </c>
      <c r="G4075" s="24" t="n"/>
      <c r="H4075" s="24" t="n"/>
      <c r="I4075" s="30" t="n"/>
      <c r="J4075" s="23">
        <f>IF(OR($H4075="",$I4075=""),"",$H4075*$I4075)</f>
        <v/>
      </c>
      <c r="K4075" s="24" t="n"/>
      <c r="L4075" s="24" t="n"/>
      <c r="M4075" s="29" t="n"/>
      <c r="N4075" s="28" t="n"/>
      <c r="O4075" s="24" t="n"/>
      <c r="P4075" s="24" t="n"/>
      <c r="Q4075" s="24" t="n"/>
      <c r="R4075" s="24" t="n"/>
      <c r="S4075" s="22">
        <f>IF(AND($A4075="",$C4075=""),"",IF($A4075="","Thiếu mã đơn; ","")&amp;IF(COUNTIF($A$2:$A4075,$A4075)&gt;1,"Trùng mã đơn; ","")&amp;IF(ISNA(MATCH($C4075,DATA_MASTER!$D$2:$D$5000,0)),"SĐT chưa đăng ký hội viên; ","")&amp;IF(AND($L4075="Đã chuyển khoản",$M4075=""),"Thiếu ngày nhận CK; ",""))</f>
        <v/>
      </c>
      <c r="T4075" s="24" t="n"/>
    </row>
    <row r="4076" ht="14.25" customHeight="1" s="40">
      <c r="A4076" s="24" t="n"/>
      <c r="B4076" s="29" t="n"/>
      <c r="C4076" s="28" t="n"/>
      <c r="D4076" s="22">
        <f t="array" ref="D4076">IF($C4076="","",IFERROR(INDEX(DATA_MASTER!$C$2:$C$5000,MATCH($C4076,DATA_MASTER!$D$2:$D$5000,0)),""))</f>
        <v/>
      </c>
      <c r="E4076" s="22">
        <f t="array" ref="E4076">IF($C4076="","",IFERROR(INDEX(DATA_MASTER!$I$2:$I$5000,MATCH($C4076,DATA_MASTER!$D$2:$D$5000,0)),""))</f>
        <v/>
      </c>
      <c r="F4076" s="22">
        <f t="array" ref="F4076">IF($C4076="","",IFERROR(INDEX(DATA_MASTER!$L$2:$L$5000,MATCH($C4076,DATA_MASTER!$D$2:$D$5000,0)),""))</f>
        <v/>
      </c>
      <c r="G4076" s="24" t="n"/>
      <c r="H4076" s="24" t="n"/>
      <c r="I4076" s="30" t="n"/>
      <c r="J4076" s="23">
        <f>IF(OR($H4076="",$I4076=""),"",$H4076*$I4076)</f>
        <v/>
      </c>
      <c r="K4076" s="24" t="n"/>
      <c r="L4076" s="24" t="n"/>
      <c r="M4076" s="29" t="n"/>
      <c r="N4076" s="28" t="n"/>
      <c r="O4076" s="24" t="n"/>
      <c r="P4076" s="24" t="n"/>
      <c r="Q4076" s="24" t="n"/>
      <c r="R4076" s="24" t="n"/>
      <c r="S4076" s="22">
        <f>IF(AND($A4076="",$C4076=""),"",IF($A4076="","Thiếu mã đơn; ","")&amp;IF(COUNTIF($A$2:$A4076,$A4076)&gt;1,"Trùng mã đơn; ","")&amp;IF(ISNA(MATCH($C4076,DATA_MASTER!$D$2:$D$5000,0)),"SĐT chưa đăng ký hội viên; ","")&amp;IF(AND($L4076="Đã chuyển khoản",$M4076=""),"Thiếu ngày nhận CK; ",""))</f>
        <v/>
      </c>
      <c r="T4076" s="24" t="n"/>
    </row>
    <row r="4077" ht="14.25" customHeight="1" s="40">
      <c r="A4077" s="24" t="n"/>
      <c r="B4077" s="29" t="n"/>
      <c r="C4077" s="28" t="n"/>
      <c r="D4077" s="22">
        <f t="array" ref="D4077">IF($C4077="","",IFERROR(INDEX(DATA_MASTER!$C$2:$C$5000,MATCH($C4077,DATA_MASTER!$D$2:$D$5000,0)),""))</f>
        <v/>
      </c>
      <c r="E4077" s="22">
        <f t="array" ref="E4077">IF($C4077="","",IFERROR(INDEX(DATA_MASTER!$I$2:$I$5000,MATCH($C4077,DATA_MASTER!$D$2:$D$5000,0)),""))</f>
        <v/>
      </c>
      <c r="F4077" s="22">
        <f t="array" ref="F4077">IF($C4077="","",IFERROR(INDEX(DATA_MASTER!$L$2:$L$5000,MATCH($C4077,DATA_MASTER!$D$2:$D$5000,0)),""))</f>
        <v/>
      </c>
      <c r="G4077" s="24" t="n"/>
      <c r="H4077" s="24" t="n"/>
      <c r="I4077" s="30" t="n"/>
      <c r="J4077" s="23">
        <f>IF(OR($H4077="",$I4077=""),"",$H4077*$I4077)</f>
        <v/>
      </c>
      <c r="K4077" s="24" t="n"/>
      <c r="L4077" s="24" t="n"/>
      <c r="M4077" s="29" t="n"/>
      <c r="N4077" s="28" t="n"/>
      <c r="O4077" s="24" t="n"/>
      <c r="P4077" s="24" t="n"/>
      <c r="Q4077" s="24" t="n"/>
      <c r="R4077" s="24" t="n"/>
      <c r="S4077" s="22">
        <f>IF(AND($A4077="",$C4077=""),"",IF($A4077="","Thiếu mã đơn; ","")&amp;IF(COUNTIF($A$2:$A4077,$A4077)&gt;1,"Trùng mã đơn; ","")&amp;IF(ISNA(MATCH($C4077,DATA_MASTER!$D$2:$D$5000,0)),"SĐT chưa đăng ký hội viên; ","")&amp;IF(AND($L4077="Đã chuyển khoản",$M4077=""),"Thiếu ngày nhận CK; ",""))</f>
        <v/>
      </c>
      <c r="T4077" s="24" t="n"/>
    </row>
    <row r="4078" ht="14.25" customHeight="1" s="40">
      <c r="A4078" s="24" t="n"/>
      <c r="B4078" s="29" t="n"/>
      <c r="C4078" s="28" t="n"/>
      <c r="D4078" s="22">
        <f t="array" ref="D4078">IF($C4078="","",IFERROR(INDEX(DATA_MASTER!$C$2:$C$5000,MATCH($C4078,DATA_MASTER!$D$2:$D$5000,0)),""))</f>
        <v/>
      </c>
      <c r="E4078" s="22">
        <f t="array" ref="E4078">IF($C4078="","",IFERROR(INDEX(DATA_MASTER!$I$2:$I$5000,MATCH($C4078,DATA_MASTER!$D$2:$D$5000,0)),""))</f>
        <v/>
      </c>
      <c r="F4078" s="22">
        <f t="array" ref="F4078">IF($C4078="","",IFERROR(INDEX(DATA_MASTER!$L$2:$L$5000,MATCH($C4078,DATA_MASTER!$D$2:$D$5000,0)),""))</f>
        <v/>
      </c>
      <c r="G4078" s="24" t="n"/>
      <c r="H4078" s="24" t="n"/>
      <c r="I4078" s="30" t="n"/>
      <c r="J4078" s="23">
        <f>IF(OR($H4078="",$I4078=""),"",$H4078*$I4078)</f>
        <v/>
      </c>
      <c r="K4078" s="24" t="n"/>
      <c r="L4078" s="24" t="n"/>
      <c r="M4078" s="29" t="n"/>
      <c r="N4078" s="28" t="n"/>
      <c r="O4078" s="24" t="n"/>
      <c r="P4078" s="24" t="n"/>
      <c r="Q4078" s="24" t="n"/>
      <c r="R4078" s="24" t="n"/>
      <c r="S4078" s="22">
        <f>IF(AND($A4078="",$C4078=""),"",IF($A4078="","Thiếu mã đơn; ","")&amp;IF(COUNTIF($A$2:$A4078,$A4078)&gt;1,"Trùng mã đơn; ","")&amp;IF(ISNA(MATCH($C4078,DATA_MASTER!$D$2:$D$5000,0)),"SĐT chưa đăng ký hội viên; ","")&amp;IF(AND($L4078="Đã chuyển khoản",$M4078=""),"Thiếu ngày nhận CK; ",""))</f>
        <v/>
      </c>
      <c r="T4078" s="24" t="n"/>
    </row>
    <row r="4079" ht="14.25" customHeight="1" s="40">
      <c r="A4079" s="24" t="n"/>
      <c r="B4079" s="29" t="n"/>
      <c r="C4079" s="28" t="n"/>
      <c r="D4079" s="22">
        <f t="array" ref="D4079">IF($C4079="","",IFERROR(INDEX(DATA_MASTER!$C$2:$C$5000,MATCH($C4079,DATA_MASTER!$D$2:$D$5000,0)),""))</f>
        <v/>
      </c>
      <c r="E4079" s="22">
        <f t="array" ref="E4079">IF($C4079="","",IFERROR(INDEX(DATA_MASTER!$I$2:$I$5000,MATCH($C4079,DATA_MASTER!$D$2:$D$5000,0)),""))</f>
        <v/>
      </c>
      <c r="F4079" s="22">
        <f t="array" ref="F4079">IF($C4079="","",IFERROR(INDEX(DATA_MASTER!$L$2:$L$5000,MATCH($C4079,DATA_MASTER!$D$2:$D$5000,0)),""))</f>
        <v/>
      </c>
      <c r="G4079" s="24" t="n"/>
      <c r="H4079" s="24" t="n"/>
      <c r="I4079" s="30" t="n"/>
      <c r="J4079" s="23">
        <f>IF(OR($H4079="",$I4079=""),"",$H4079*$I4079)</f>
        <v/>
      </c>
      <c r="K4079" s="24" t="n"/>
      <c r="L4079" s="24" t="n"/>
      <c r="M4079" s="29" t="n"/>
      <c r="N4079" s="28" t="n"/>
      <c r="O4079" s="24" t="n"/>
      <c r="P4079" s="24" t="n"/>
      <c r="Q4079" s="24" t="n"/>
      <c r="R4079" s="24" t="n"/>
      <c r="S4079" s="22">
        <f>IF(AND($A4079="",$C4079=""),"",IF($A4079="","Thiếu mã đơn; ","")&amp;IF(COUNTIF($A$2:$A4079,$A4079)&gt;1,"Trùng mã đơn; ","")&amp;IF(ISNA(MATCH($C4079,DATA_MASTER!$D$2:$D$5000,0)),"SĐT chưa đăng ký hội viên; ","")&amp;IF(AND($L4079="Đã chuyển khoản",$M4079=""),"Thiếu ngày nhận CK; ",""))</f>
        <v/>
      </c>
      <c r="T4079" s="24" t="n"/>
    </row>
    <row r="4080" ht="14.25" customHeight="1" s="40">
      <c r="A4080" s="24" t="n"/>
      <c r="B4080" s="29" t="n"/>
      <c r="C4080" s="28" t="n"/>
      <c r="D4080" s="22">
        <f t="array" ref="D4080">IF($C4080="","",IFERROR(INDEX(DATA_MASTER!$C$2:$C$5000,MATCH($C4080,DATA_MASTER!$D$2:$D$5000,0)),""))</f>
        <v/>
      </c>
      <c r="E4080" s="22">
        <f t="array" ref="E4080">IF($C4080="","",IFERROR(INDEX(DATA_MASTER!$I$2:$I$5000,MATCH($C4080,DATA_MASTER!$D$2:$D$5000,0)),""))</f>
        <v/>
      </c>
      <c r="F4080" s="22">
        <f t="array" ref="F4080">IF($C4080="","",IFERROR(INDEX(DATA_MASTER!$L$2:$L$5000,MATCH($C4080,DATA_MASTER!$D$2:$D$5000,0)),""))</f>
        <v/>
      </c>
      <c r="G4080" s="24" t="n"/>
      <c r="H4080" s="24" t="n"/>
      <c r="I4080" s="30" t="n"/>
      <c r="J4080" s="23">
        <f>IF(OR($H4080="",$I4080=""),"",$H4080*$I4080)</f>
        <v/>
      </c>
      <c r="K4080" s="24" t="n"/>
      <c r="L4080" s="24" t="n"/>
      <c r="M4080" s="29" t="n"/>
      <c r="N4080" s="28" t="n"/>
      <c r="O4080" s="24" t="n"/>
      <c r="P4080" s="24" t="n"/>
      <c r="Q4080" s="24" t="n"/>
      <c r="R4080" s="24" t="n"/>
      <c r="S4080" s="22">
        <f>IF(AND($A4080="",$C4080=""),"",IF($A4080="","Thiếu mã đơn; ","")&amp;IF(COUNTIF($A$2:$A4080,$A4080)&gt;1,"Trùng mã đơn; ","")&amp;IF(ISNA(MATCH($C4080,DATA_MASTER!$D$2:$D$5000,0)),"SĐT chưa đăng ký hội viên; ","")&amp;IF(AND($L4080="Đã chuyển khoản",$M4080=""),"Thiếu ngày nhận CK; ",""))</f>
        <v/>
      </c>
      <c r="T4080" s="24" t="n"/>
    </row>
    <row r="4081" ht="14.25" customHeight="1" s="40">
      <c r="A4081" s="24" t="n"/>
      <c r="B4081" s="29" t="n"/>
      <c r="C4081" s="28" t="n"/>
      <c r="D4081" s="22">
        <f t="array" ref="D4081">IF($C4081="","",IFERROR(INDEX(DATA_MASTER!$C$2:$C$5000,MATCH($C4081,DATA_MASTER!$D$2:$D$5000,0)),""))</f>
        <v/>
      </c>
      <c r="E4081" s="22">
        <f t="array" ref="E4081">IF($C4081="","",IFERROR(INDEX(DATA_MASTER!$I$2:$I$5000,MATCH($C4081,DATA_MASTER!$D$2:$D$5000,0)),""))</f>
        <v/>
      </c>
      <c r="F4081" s="22">
        <f t="array" ref="F4081">IF($C4081="","",IFERROR(INDEX(DATA_MASTER!$L$2:$L$5000,MATCH($C4081,DATA_MASTER!$D$2:$D$5000,0)),""))</f>
        <v/>
      </c>
      <c r="G4081" s="24" t="n"/>
      <c r="H4081" s="24" t="n"/>
      <c r="I4081" s="30" t="n"/>
      <c r="J4081" s="23">
        <f>IF(OR($H4081="",$I4081=""),"",$H4081*$I4081)</f>
        <v/>
      </c>
      <c r="K4081" s="24" t="n"/>
      <c r="L4081" s="24" t="n"/>
      <c r="M4081" s="29" t="n"/>
      <c r="N4081" s="28" t="n"/>
      <c r="O4081" s="24" t="n"/>
      <c r="P4081" s="24" t="n"/>
      <c r="Q4081" s="24" t="n"/>
      <c r="R4081" s="24" t="n"/>
      <c r="S4081" s="22">
        <f>IF(AND($A4081="",$C4081=""),"",IF($A4081="","Thiếu mã đơn; ","")&amp;IF(COUNTIF($A$2:$A4081,$A4081)&gt;1,"Trùng mã đơn; ","")&amp;IF(ISNA(MATCH($C4081,DATA_MASTER!$D$2:$D$5000,0)),"SĐT chưa đăng ký hội viên; ","")&amp;IF(AND($L4081="Đã chuyển khoản",$M4081=""),"Thiếu ngày nhận CK; ",""))</f>
        <v/>
      </c>
      <c r="T4081" s="24" t="n"/>
    </row>
    <row r="4082" ht="14.25" customHeight="1" s="40">
      <c r="A4082" s="24" t="n"/>
      <c r="B4082" s="29" t="n"/>
      <c r="C4082" s="28" t="n"/>
      <c r="D4082" s="22">
        <f t="array" ref="D4082">IF($C4082="","",IFERROR(INDEX(DATA_MASTER!$C$2:$C$5000,MATCH($C4082,DATA_MASTER!$D$2:$D$5000,0)),""))</f>
        <v/>
      </c>
      <c r="E4082" s="22">
        <f t="array" ref="E4082">IF($C4082="","",IFERROR(INDEX(DATA_MASTER!$I$2:$I$5000,MATCH($C4082,DATA_MASTER!$D$2:$D$5000,0)),""))</f>
        <v/>
      </c>
      <c r="F4082" s="22">
        <f t="array" ref="F4082">IF($C4082="","",IFERROR(INDEX(DATA_MASTER!$L$2:$L$5000,MATCH($C4082,DATA_MASTER!$D$2:$D$5000,0)),""))</f>
        <v/>
      </c>
      <c r="G4082" s="24" t="n"/>
      <c r="H4082" s="24" t="n"/>
      <c r="I4082" s="30" t="n"/>
      <c r="J4082" s="23">
        <f>IF(OR($H4082="",$I4082=""),"",$H4082*$I4082)</f>
        <v/>
      </c>
      <c r="K4082" s="24" t="n"/>
      <c r="L4082" s="24" t="n"/>
      <c r="M4082" s="29" t="n"/>
      <c r="N4082" s="28" t="n"/>
      <c r="O4082" s="24" t="n"/>
      <c r="P4082" s="24" t="n"/>
      <c r="Q4082" s="24" t="n"/>
      <c r="R4082" s="24" t="n"/>
      <c r="S4082" s="22">
        <f>IF(AND($A4082="",$C4082=""),"",IF($A4082="","Thiếu mã đơn; ","")&amp;IF(COUNTIF($A$2:$A4082,$A4082)&gt;1,"Trùng mã đơn; ","")&amp;IF(ISNA(MATCH($C4082,DATA_MASTER!$D$2:$D$5000,0)),"SĐT chưa đăng ký hội viên; ","")&amp;IF(AND($L4082="Đã chuyển khoản",$M4082=""),"Thiếu ngày nhận CK; ",""))</f>
        <v/>
      </c>
      <c r="T4082" s="24" t="n"/>
    </row>
    <row r="4083" ht="14.25" customHeight="1" s="40">
      <c r="A4083" s="24" t="n"/>
      <c r="B4083" s="29" t="n"/>
      <c r="C4083" s="28" t="n"/>
      <c r="D4083" s="22">
        <f t="array" ref="D4083">IF($C4083="","",IFERROR(INDEX(DATA_MASTER!$C$2:$C$5000,MATCH($C4083,DATA_MASTER!$D$2:$D$5000,0)),""))</f>
        <v/>
      </c>
      <c r="E4083" s="22">
        <f t="array" ref="E4083">IF($C4083="","",IFERROR(INDEX(DATA_MASTER!$I$2:$I$5000,MATCH($C4083,DATA_MASTER!$D$2:$D$5000,0)),""))</f>
        <v/>
      </c>
      <c r="F4083" s="22">
        <f t="array" ref="F4083">IF($C4083="","",IFERROR(INDEX(DATA_MASTER!$L$2:$L$5000,MATCH($C4083,DATA_MASTER!$D$2:$D$5000,0)),""))</f>
        <v/>
      </c>
      <c r="G4083" s="24" t="n"/>
      <c r="H4083" s="24" t="n"/>
      <c r="I4083" s="30" t="n"/>
      <c r="J4083" s="23">
        <f>IF(OR($H4083="",$I4083=""),"",$H4083*$I4083)</f>
        <v/>
      </c>
      <c r="K4083" s="24" t="n"/>
      <c r="L4083" s="24" t="n"/>
      <c r="M4083" s="29" t="n"/>
      <c r="N4083" s="28" t="n"/>
      <c r="O4083" s="24" t="n"/>
      <c r="P4083" s="24" t="n"/>
      <c r="Q4083" s="24" t="n"/>
      <c r="R4083" s="24" t="n"/>
      <c r="S4083" s="22">
        <f>IF(AND($A4083="",$C4083=""),"",IF($A4083="","Thiếu mã đơn; ","")&amp;IF(COUNTIF($A$2:$A4083,$A4083)&gt;1,"Trùng mã đơn; ","")&amp;IF(ISNA(MATCH($C4083,DATA_MASTER!$D$2:$D$5000,0)),"SĐT chưa đăng ký hội viên; ","")&amp;IF(AND($L4083="Đã chuyển khoản",$M4083=""),"Thiếu ngày nhận CK; ",""))</f>
        <v/>
      </c>
      <c r="T4083" s="24" t="n"/>
    </row>
    <row r="4084" ht="14.25" customHeight="1" s="40">
      <c r="A4084" s="24" t="n"/>
      <c r="B4084" s="29" t="n"/>
      <c r="C4084" s="28" t="n"/>
      <c r="D4084" s="22">
        <f t="array" ref="D4084">IF($C4084="","",IFERROR(INDEX(DATA_MASTER!$C$2:$C$5000,MATCH($C4084,DATA_MASTER!$D$2:$D$5000,0)),""))</f>
        <v/>
      </c>
      <c r="E4084" s="22">
        <f t="array" ref="E4084">IF($C4084="","",IFERROR(INDEX(DATA_MASTER!$I$2:$I$5000,MATCH($C4084,DATA_MASTER!$D$2:$D$5000,0)),""))</f>
        <v/>
      </c>
      <c r="F4084" s="22">
        <f t="array" ref="F4084">IF($C4084="","",IFERROR(INDEX(DATA_MASTER!$L$2:$L$5000,MATCH($C4084,DATA_MASTER!$D$2:$D$5000,0)),""))</f>
        <v/>
      </c>
      <c r="G4084" s="24" t="n"/>
      <c r="H4084" s="24" t="n"/>
      <c r="I4084" s="30" t="n"/>
      <c r="J4084" s="23">
        <f>IF(OR($H4084="",$I4084=""),"",$H4084*$I4084)</f>
        <v/>
      </c>
      <c r="K4084" s="24" t="n"/>
      <c r="L4084" s="24" t="n"/>
      <c r="M4084" s="29" t="n"/>
      <c r="N4084" s="28" t="n"/>
      <c r="O4084" s="24" t="n"/>
      <c r="P4084" s="24" t="n"/>
      <c r="Q4084" s="24" t="n"/>
      <c r="R4084" s="24" t="n"/>
      <c r="S4084" s="22">
        <f>IF(AND($A4084="",$C4084=""),"",IF($A4084="","Thiếu mã đơn; ","")&amp;IF(COUNTIF($A$2:$A4084,$A4084)&gt;1,"Trùng mã đơn; ","")&amp;IF(ISNA(MATCH($C4084,DATA_MASTER!$D$2:$D$5000,0)),"SĐT chưa đăng ký hội viên; ","")&amp;IF(AND($L4084="Đã chuyển khoản",$M4084=""),"Thiếu ngày nhận CK; ",""))</f>
        <v/>
      </c>
      <c r="T4084" s="24" t="n"/>
    </row>
    <row r="4085" ht="14.25" customHeight="1" s="40">
      <c r="A4085" s="24" t="n"/>
      <c r="B4085" s="29" t="n"/>
      <c r="C4085" s="28" t="n"/>
      <c r="D4085" s="22">
        <f t="array" ref="D4085">IF($C4085="","",IFERROR(INDEX(DATA_MASTER!$C$2:$C$5000,MATCH($C4085,DATA_MASTER!$D$2:$D$5000,0)),""))</f>
        <v/>
      </c>
      <c r="E4085" s="22">
        <f t="array" ref="E4085">IF($C4085="","",IFERROR(INDEX(DATA_MASTER!$I$2:$I$5000,MATCH($C4085,DATA_MASTER!$D$2:$D$5000,0)),""))</f>
        <v/>
      </c>
      <c r="F4085" s="22">
        <f t="array" ref="F4085">IF($C4085="","",IFERROR(INDEX(DATA_MASTER!$L$2:$L$5000,MATCH($C4085,DATA_MASTER!$D$2:$D$5000,0)),""))</f>
        <v/>
      </c>
      <c r="G4085" s="24" t="n"/>
      <c r="H4085" s="24" t="n"/>
      <c r="I4085" s="30" t="n"/>
      <c r="J4085" s="23">
        <f>IF(OR($H4085="",$I4085=""),"",$H4085*$I4085)</f>
        <v/>
      </c>
      <c r="K4085" s="24" t="n"/>
      <c r="L4085" s="24" t="n"/>
      <c r="M4085" s="29" t="n"/>
      <c r="N4085" s="28" t="n"/>
      <c r="O4085" s="24" t="n"/>
      <c r="P4085" s="24" t="n"/>
      <c r="Q4085" s="24" t="n"/>
      <c r="R4085" s="24" t="n"/>
      <c r="S4085" s="22">
        <f>IF(AND($A4085="",$C4085=""),"",IF($A4085="","Thiếu mã đơn; ","")&amp;IF(COUNTIF($A$2:$A4085,$A4085)&gt;1,"Trùng mã đơn; ","")&amp;IF(ISNA(MATCH($C4085,DATA_MASTER!$D$2:$D$5000,0)),"SĐT chưa đăng ký hội viên; ","")&amp;IF(AND($L4085="Đã chuyển khoản",$M4085=""),"Thiếu ngày nhận CK; ",""))</f>
        <v/>
      </c>
      <c r="T4085" s="24" t="n"/>
    </row>
    <row r="4086" ht="14.25" customHeight="1" s="40">
      <c r="A4086" s="24" t="n"/>
      <c r="B4086" s="29" t="n"/>
      <c r="C4086" s="28" t="n"/>
      <c r="D4086" s="22">
        <f t="array" ref="D4086">IF($C4086="","",IFERROR(INDEX(DATA_MASTER!$C$2:$C$5000,MATCH($C4086,DATA_MASTER!$D$2:$D$5000,0)),""))</f>
        <v/>
      </c>
      <c r="E4086" s="22">
        <f t="array" ref="E4086">IF($C4086="","",IFERROR(INDEX(DATA_MASTER!$I$2:$I$5000,MATCH($C4086,DATA_MASTER!$D$2:$D$5000,0)),""))</f>
        <v/>
      </c>
      <c r="F4086" s="22">
        <f t="array" ref="F4086">IF($C4086="","",IFERROR(INDEX(DATA_MASTER!$L$2:$L$5000,MATCH($C4086,DATA_MASTER!$D$2:$D$5000,0)),""))</f>
        <v/>
      </c>
      <c r="G4086" s="24" t="n"/>
      <c r="H4086" s="24" t="n"/>
      <c r="I4086" s="30" t="n"/>
      <c r="J4086" s="23">
        <f>IF(OR($H4086="",$I4086=""),"",$H4086*$I4086)</f>
        <v/>
      </c>
      <c r="K4086" s="24" t="n"/>
      <c r="L4086" s="24" t="n"/>
      <c r="M4086" s="29" t="n"/>
      <c r="N4086" s="28" t="n"/>
      <c r="O4086" s="24" t="n"/>
      <c r="P4086" s="24" t="n"/>
      <c r="Q4086" s="24" t="n"/>
      <c r="R4086" s="24" t="n"/>
      <c r="S4086" s="22">
        <f>IF(AND($A4086="",$C4086=""),"",IF($A4086="","Thiếu mã đơn; ","")&amp;IF(COUNTIF($A$2:$A4086,$A4086)&gt;1,"Trùng mã đơn; ","")&amp;IF(ISNA(MATCH($C4086,DATA_MASTER!$D$2:$D$5000,0)),"SĐT chưa đăng ký hội viên; ","")&amp;IF(AND($L4086="Đã chuyển khoản",$M4086=""),"Thiếu ngày nhận CK; ",""))</f>
        <v/>
      </c>
      <c r="T4086" s="24" t="n"/>
    </row>
    <row r="4087" ht="14.25" customHeight="1" s="40">
      <c r="A4087" s="24" t="n"/>
      <c r="B4087" s="29" t="n"/>
      <c r="C4087" s="28" t="n"/>
      <c r="D4087" s="22">
        <f t="array" ref="D4087">IF($C4087="","",IFERROR(INDEX(DATA_MASTER!$C$2:$C$5000,MATCH($C4087,DATA_MASTER!$D$2:$D$5000,0)),""))</f>
        <v/>
      </c>
      <c r="E4087" s="22">
        <f t="array" ref="E4087">IF($C4087="","",IFERROR(INDEX(DATA_MASTER!$I$2:$I$5000,MATCH($C4087,DATA_MASTER!$D$2:$D$5000,0)),""))</f>
        <v/>
      </c>
      <c r="F4087" s="22">
        <f t="array" ref="F4087">IF($C4087="","",IFERROR(INDEX(DATA_MASTER!$L$2:$L$5000,MATCH($C4087,DATA_MASTER!$D$2:$D$5000,0)),""))</f>
        <v/>
      </c>
      <c r="G4087" s="24" t="n"/>
      <c r="H4087" s="24" t="n"/>
      <c r="I4087" s="30" t="n"/>
      <c r="J4087" s="23">
        <f>IF(OR($H4087="",$I4087=""),"",$H4087*$I4087)</f>
        <v/>
      </c>
      <c r="K4087" s="24" t="n"/>
      <c r="L4087" s="24" t="n"/>
      <c r="M4087" s="29" t="n"/>
      <c r="N4087" s="28" t="n"/>
      <c r="O4087" s="24" t="n"/>
      <c r="P4087" s="24" t="n"/>
      <c r="Q4087" s="24" t="n"/>
      <c r="R4087" s="24" t="n"/>
      <c r="S4087" s="22">
        <f>IF(AND($A4087="",$C4087=""),"",IF($A4087="","Thiếu mã đơn; ","")&amp;IF(COUNTIF($A$2:$A4087,$A4087)&gt;1,"Trùng mã đơn; ","")&amp;IF(ISNA(MATCH($C4087,DATA_MASTER!$D$2:$D$5000,0)),"SĐT chưa đăng ký hội viên; ","")&amp;IF(AND($L4087="Đã chuyển khoản",$M4087=""),"Thiếu ngày nhận CK; ",""))</f>
        <v/>
      </c>
      <c r="T4087" s="24" t="n"/>
    </row>
    <row r="4088" ht="14.25" customHeight="1" s="40">
      <c r="A4088" s="24" t="n"/>
      <c r="B4088" s="29" t="n"/>
      <c r="C4088" s="28" t="n"/>
      <c r="D4088" s="22">
        <f t="array" ref="D4088">IF($C4088="","",IFERROR(INDEX(DATA_MASTER!$C$2:$C$5000,MATCH($C4088,DATA_MASTER!$D$2:$D$5000,0)),""))</f>
        <v/>
      </c>
      <c r="E4088" s="22">
        <f t="array" ref="E4088">IF($C4088="","",IFERROR(INDEX(DATA_MASTER!$I$2:$I$5000,MATCH($C4088,DATA_MASTER!$D$2:$D$5000,0)),""))</f>
        <v/>
      </c>
      <c r="F4088" s="22">
        <f t="array" ref="F4088">IF($C4088="","",IFERROR(INDEX(DATA_MASTER!$L$2:$L$5000,MATCH($C4088,DATA_MASTER!$D$2:$D$5000,0)),""))</f>
        <v/>
      </c>
      <c r="G4088" s="24" t="n"/>
      <c r="H4088" s="24" t="n"/>
      <c r="I4088" s="30" t="n"/>
      <c r="J4088" s="23">
        <f>IF(OR($H4088="",$I4088=""),"",$H4088*$I4088)</f>
        <v/>
      </c>
      <c r="K4088" s="24" t="n"/>
      <c r="L4088" s="24" t="n"/>
      <c r="M4088" s="29" t="n"/>
      <c r="N4088" s="28" t="n"/>
      <c r="O4088" s="24" t="n"/>
      <c r="P4088" s="24" t="n"/>
      <c r="Q4088" s="24" t="n"/>
      <c r="R4088" s="24" t="n"/>
      <c r="S4088" s="22">
        <f>IF(AND($A4088="",$C4088=""),"",IF($A4088="","Thiếu mã đơn; ","")&amp;IF(COUNTIF($A$2:$A4088,$A4088)&gt;1,"Trùng mã đơn; ","")&amp;IF(ISNA(MATCH($C4088,DATA_MASTER!$D$2:$D$5000,0)),"SĐT chưa đăng ký hội viên; ","")&amp;IF(AND($L4088="Đã chuyển khoản",$M4088=""),"Thiếu ngày nhận CK; ",""))</f>
        <v/>
      </c>
      <c r="T4088" s="24" t="n"/>
    </row>
    <row r="4089" ht="14.25" customHeight="1" s="40">
      <c r="A4089" s="24" t="n"/>
      <c r="B4089" s="29" t="n"/>
      <c r="C4089" s="28" t="n"/>
      <c r="D4089" s="22">
        <f t="array" ref="D4089">IF($C4089="","",IFERROR(INDEX(DATA_MASTER!$C$2:$C$5000,MATCH($C4089,DATA_MASTER!$D$2:$D$5000,0)),""))</f>
        <v/>
      </c>
      <c r="E4089" s="22">
        <f t="array" ref="E4089">IF($C4089="","",IFERROR(INDEX(DATA_MASTER!$I$2:$I$5000,MATCH($C4089,DATA_MASTER!$D$2:$D$5000,0)),""))</f>
        <v/>
      </c>
      <c r="F4089" s="22">
        <f t="array" ref="F4089">IF($C4089="","",IFERROR(INDEX(DATA_MASTER!$L$2:$L$5000,MATCH($C4089,DATA_MASTER!$D$2:$D$5000,0)),""))</f>
        <v/>
      </c>
      <c r="G4089" s="24" t="n"/>
      <c r="H4089" s="24" t="n"/>
      <c r="I4089" s="30" t="n"/>
      <c r="J4089" s="23">
        <f>IF(OR($H4089="",$I4089=""),"",$H4089*$I4089)</f>
        <v/>
      </c>
      <c r="K4089" s="24" t="n"/>
      <c r="L4089" s="24" t="n"/>
      <c r="M4089" s="29" t="n"/>
      <c r="N4089" s="28" t="n"/>
      <c r="O4089" s="24" t="n"/>
      <c r="P4089" s="24" t="n"/>
      <c r="Q4089" s="24" t="n"/>
      <c r="R4089" s="24" t="n"/>
      <c r="S4089" s="22">
        <f>IF(AND($A4089="",$C4089=""),"",IF($A4089="","Thiếu mã đơn; ","")&amp;IF(COUNTIF($A$2:$A4089,$A4089)&gt;1,"Trùng mã đơn; ","")&amp;IF(ISNA(MATCH($C4089,DATA_MASTER!$D$2:$D$5000,0)),"SĐT chưa đăng ký hội viên; ","")&amp;IF(AND($L4089="Đã chuyển khoản",$M4089=""),"Thiếu ngày nhận CK; ",""))</f>
        <v/>
      </c>
      <c r="T4089" s="24" t="n"/>
    </row>
    <row r="4090" ht="14.25" customHeight="1" s="40">
      <c r="A4090" s="24" t="n"/>
      <c r="B4090" s="29" t="n"/>
      <c r="C4090" s="28" t="n"/>
      <c r="D4090" s="22">
        <f t="array" ref="D4090">IF($C4090="","",IFERROR(INDEX(DATA_MASTER!$C$2:$C$5000,MATCH($C4090,DATA_MASTER!$D$2:$D$5000,0)),""))</f>
        <v/>
      </c>
      <c r="E4090" s="22">
        <f t="array" ref="E4090">IF($C4090="","",IFERROR(INDEX(DATA_MASTER!$I$2:$I$5000,MATCH($C4090,DATA_MASTER!$D$2:$D$5000,0)),""))</f>
        <v/>
      </c>
      <c r="F4090" s="22">
        <f t="array" ref="F4090">IF($C4090="","",IFERROR(INDEX(DATA_MASTER!$L$2:$L$5000,MATCH($C4090,DATA_MASTER!$D$2:$D$5000,0)),""))</f>
        <v/>
      </c>
      <c r="G4090" s="24" t="n"/>
      <c r="H4090" s="24" t="n"/>
      <c r="I4090" s="30" t="n"/>
      <c r="J4090" s="23">
        <f>IF(OR($H4090="",$I4090=""),"",$H4090*$I4090)</f>
        <v/>
      </c>
      <c r="K4090" s="24" t="n"/>
      <c r="L4090" s="24" t="n"/>
      <c r="M4090" s="29" t="n"/>
      <c r="N4090" s="28" t="n"/>
      <c r="O4090" s="24" t="n"/>
      <c r="P4090" s="24" t="n"/>
      <c r="Q4090" s="24" t="n"/>
      <c r="R4090" s="24" t="n"/>
      <c r="S4090" s="22">
        <f>IF(AND($A4090="",$C4090=""),"",IF($A4090="","Thiếu mã đơn; ","")&amp;IF(COUNTIF($A$2:$A4090,$A4090)&gt;1,"Trùng mã đơn; ","")&amp;IF(ISNA(MATCH($C4090,DATA_MASTER!$D$2:$D$5000,0)),"SĐT chưa đăng ký hội viên; ","")&amp;IF(AND($L4090="Đã chuyển khoản",$M4090=""),"Thiếu ngày nhận CK; ",""))</f>
        <v/>
      </c>
      <c r="T4090" s="24" t="n"/>
    </row>
    <row r="4091" ht="14.25" customHeight="1" s="40">
      <c r="A4091" s="24" t="n"/>
      <c r="B4091" s="29" t="n"/>
      <c r="C4091" s="28" t="n"/>
      <c r="D4091" s="22">
        <f t="array" ref="D4091">IF($C4091="","",IFERROR(INDEX(DATA_MASTER!$C$2:$C$5000,MATCH($C4091,DATA_MASTER!$D$2:$D$5000,0)),""))</f>
        <v/>
      </c>
      <c r="E4091" s="22">
        <f t="array" ref="E4091">IF($C4091="","",IFERROR(INDEX(DATA_MASTER!$I$2:$I$5000,MATCH($C4091,DATA_MASTER!$D$2:$D$5000,0)),""))</f>
        <v/>
      </c>
      <c r="F4091" s="22">
        <f t="array" ref="F4091">IF($C4091="","",IFERROR(INDEX(DATA_MASTER!$L$2:$L$5000,MATCH($C4091,DATA_MASTER!$D$2:$D$5000,0)),""))</f>
        <v/>
      </c>
      <c r="G4091" s="24" t="n"/>
      <c r="H4091" s="24" t="n"/>
      <c r="I4091" s="30" t="n"/>
      <c r="J4091" s="23">
        <f>IF(OR($H4091="",$I4091=""),"",$H4091*$I4091)</f>
        <v/>
      </c>
      <c r="K4091" s="24" t="n"/>
      <c r="L4091" s="24" t="n"/>
      <c r="M4091" s="29" t="n"/>
      <c r="N4091" s="28" t="n"/>
      <c r="O4091" s="24" t="n"/>
      <c r="P4091" s="24" t="n"/>
      <c r="Q4091" s="24" t="n"/>
      <c r="R4091" s="24" t="n"/>
      <c r="S4091" s="22">
        <f>IF(AND($A4091="",$C4091=""),"",IF($A4091="","Thiếu mã đơn; ","")&amp;IF(COUNTIF($A$2:$A4091,$A4091)&gt;1,"Trùng mã đơn; ","")&amp;IF(ISNA(MATCH($C4091,DATA_MASTER!$D$2:$D$5000,0)),"SĐT chưa đăng ký hội viên; ","")&amp;IF(AND($L4091="Đã chuyển khoản",$M4091=""),"Thiếu ngày nhận CK; ",""))</f>
        <v/>
      </c>
      <c r="T4091" s="24" t="n"/>
    </row>
    <row r="4092" ht="14.25" customHeight="1" s="40">
      <c r="A4092" s="24" t="n"/>
      <c r="B4092" s="29" t="n"/>
      <c r="C4092" s="28" t="n"/>
      <c r="D4092" s="22">
        <f t="array" ref="D4092">IF($C4092="","",IFERROR(INDEX(DATA_MASTER!$C$2:$C$5000,MATCH($C4092,DATA_MASTER!$D$2:$D$5000,0)),""))</f>
        <v/>
      </c>
      <c r="E4092" s="22">
        <f t="array" ref="E4092">IF($C4092="","",IFERROR(INDEX(DATA_MASTER!$I$2:$I$5000,MATCH($C4092,DATA_MASTER!$D$2:$D$5000,0)),""))</f>
        <v/>
      </c>
      <c r="F4092" s="22">
        <f t="array" ref="F4092">IF($C4092="","",IFERROR(INDEX(DATA_MASTER!$L$2:$L$5000,MATCH($C4092,DATA_MASTER!$D$2:$D$5000,0)),""))</f>
        <v/>
      </c>
      <c r="G4092" s="24" t="n"/>
      <c r="H4092" s="24" t="n"/>
      <c r="I4092" s="30" t="n"/>
      <c r="J4092" s="23">
        <f>IF(OR($H4092="",$I4092=""),"",$H4092*$I4092)</f>
        <v/>
      </c>
      <c r="K4092" s="24" t="n"/>
      <c r="L4092" s="24" t="n"/>
      <c r="M4092" s="29" t="n"/>
      <c r="N4092" s="28" t="n"/>
      <c r="O4092" s="24" t="n"/>
      <c r="P4092" s="24" t="n"/>
      <c r="Q4092" s="24" t="n"/>
      <c r="R4092" s="24" t="n"/>
      <c r="S4092" s="22">
        <f>IF(AND($A4092="",$C4092=""),"",IF($A4092="","Thiếu mã đơn; ","")&amp;IF(COUNTIF($A$2:$A4092,$A4092)&gt;1,"Trùng mã đơn; ","")&amp;IF(ISNA(MATCH($C4092,DATA_MASTER!$D$2:$D$5000,0)),"SĐT chưa đăng ký hội viên; ","")&amp;IF(AND($L4092="Đã chuyển khoản",$M4092=""),"Thiếu ngày nhận CK; ",""))</f>
        <v/>
      </c>
      <c r="T4092" s="24" t="n"/>
    </row>
    <row r="4093" ht="14.25" customHeight="1" s="40">
      <c r="A4093" s="24" t="n"/>
      <c r="B4093" s="29" t="n"/>
      <c r="C4093" s="28" t="n"/>
      <c r="D4093" s="22">
        <f t="array" ref="D4093">IF($C4093="","",IFERROR(INDEX(DATA_MASTER!$C$2:$C$5000,MATCH($C4093,DATA_MASTER!$D$2:$D$5000,0)),""))</f>
        <v/>
      </c>
      <c r="E4093" s="22">
        <f t="array" ref="E4093">IF($C4093="","",IFERROR(INDEX(DATA_MASTER!$I$2:$I$5000,MATCH($C4093,DATA_MASTER!$D$2:$D$5000,0)),""))</f>
        <v/>
      </c>
      <c r="F4093" s="22">
        <f t="array" ref="F4093">IF($C4093="","",IFERROR(INDEX(DATA_MASTER!$L$2:$L$5000,MATCH($C4093,DATA_MASTER!$D$2:$D$5000,0)),""))</f>
        <v/>
      </c>
      <c r="G4093" s="24" t="n"/>
      <c r="H4093" s="24" t="n"/>
      <c r="I4093" s="30" t="n"/>
      <c r="J4093" s="23">
        <f>IF(OR($H4093="",$I4093=""),"",$H4093*$I4093)</f>
        <v/>
      </c>
      <c r="K4093" s="24" t="n"/>
      <c r="L4093" s="24" t="n"/>
      <c r="M4093" s="29" t="n"/>
      <c r="N4093" s="28" t="n"/>
      <c r="O4093" s="24" t="n"/>
      <c r="P4093" s="24" t="n"/>
      <c r="Q4093" s="24" t="n"/>
      <c r="R4093" s="24" t="n"/>
      <c r="S4093" s="22">
        <f>IF(AND($A4093="",$C4093=""),"",IF($A4093="","Thiếu mã đơn; ","")&amp;IF(COUNTIF($A$2:$A4093,$A4093)&gt;1,"Trùng mã đơn; ","")&amp;IF(ISNA(MATCH($C4093,DATA_MASTER!$D$2:$D$5000,0)),"SĐT chưa đăng ký hội viên; ","")&amp;IF(AND($L4093="Đã chuyển khoản",$M4093=""),"Thiếu ngày nhận CK; ",""))</f>
        <v/>
      </c>
      <c r="T4093" s="24" t="n"/>
    </row>
    <row r="4094" ht="14.25" customHeight="1" s="40">
      <c r="A4094" s="24" t="n"/>
      <c r="B4094" s="29" t="n"/>
      <c r="C4094" s="28" t="n"/>
      <c r="D4094" s="22">
        <f t="array" ref="D4094">IF($C4094="","",IFERROR(INDEX(DATA_MASTER!$C$2:$C$5000,MATCH($C4094,DATA_MASTER!$D$2:$D$5000,0)),""))</f>
        <v/>
      </c>
      <c r="E4094" s="22">
        <f t="array" ref="E4094">IF($C4094="","",IFERROR(INDEX(DATA_MASTER!$I$2:$I$5000,MATCH($C4094,DATA_MASTER!$D$2:$D$5000,0)),""))</f>
        <v/>
      </c>
      <c r="F4094" s="22">
        <f t="array" ref="F4094">IF($C4094="","",IFERROR(INDEX(DATA_MASTER!$L$2:$L$5000,MATCH($C4094,DATA_MASTER!$D$2:$D$5000,0)),""))</f>
        <v/>
      </c>
      <c r="G4094" s="24" t="n"/>
      <c r="H4094" s="24" t="n"/>
      <c r="I4094" s="30" t="n"/>
      <c r="J4094" s="23">
        <f>IF(OR($H4094="",$I4094=""),"",$H4094*$I4094)</f>
        <v/>
      </c>
      <c r="K4094" s="24" t="n"/>
      <c r="L4094" s="24" t="n"/>
      <c r="M4094" s="29" t="n"/>
      <c r="N4094" s="28" t="n"/>
      <c r="O4094" s="24" t="n"/>
      <c r="P4094" s="24" t="n"/>
      <c r="Q4094" s="24" t="n"/>
      <c r="R4094" s="24" t="n"/>
      <c r="S4094" s="22">
        <f>IF(AND($A4094="",$C4094=""),"",IF($A4094="","Thiếu mã đơn; ","")&amp;IF(COUNTIF($A$2:$A4094,$A4094)&gt;1,"Trùng mã đơn; ","")&amp;IF(ISNA(MATCH($C4094,DATA_MASTER!$D$2:$D$5000,0)),"SĐT chưa đăng ký hội viên; ","")&amp;IF(AND($L4094="Đã chuyển khoản",$M4094=""),"Thiếu ngày nhận CK; ",""))</f>
        <v/>
      </c>
      <c r="T4094" s="24" t="n"/>
    </row>
    <row r="4095" ht="14.25" customHeight="1" s="40">
      <c r="A4095" s="24" t="n"/>
      <c r="B4095" s="29" t="n"/>
      <c r="C4095" s="28" t="n"/>
      <c r="D4095" s="22">
        <f t="array" ref="D4095">IF($C4095="","",IFERROR(INDEX(DATA_MASTER!$C$2:$C$5000,MATCH($C4095,DATA_MASTER!$D$2:$D$5000,0)),""))</f>
        <v/>
      </c>
      <c r="E4095" s="22">
        <f t="array" ref="E4095">IF($C4095="","",IFERROR(INDEX(DATA_MASTER!$I$2:$I$5000,MATCH($C4095,DATA_MASTER!$D$2:$D$5000,0)),""))</f>
        <v/>
      </c>
      <c r="F4095" s="22">
        <f t="array" ref="F4095">IF($C4095="","",IFERROR(INDEX(DATA_MASTER!$L$2:$L$5000,MATCH($C4095,DATA_MASTER!$D$2:$D$5000,0)),""))</f>
        <v/>
      </c>
      <c r="G4095" s="24" t="n"/>
      <c r="H4095" s="24" t="n"/>
      <c r="I4095" s="30" t="n"/>
      <c r="J4095" s="23">
        <f>IF(OR($H4095="",$I4095=""),"",$H4095*$I4095)</f>
        <v/>
      </c>
      <c r="K4095" s="24" t="n"/>
      <c r="L4095" s="24" t="n"/>
      <c r="M4095" s="29" t="n"/>
      <c r="N4095" s="28" t="n"/>
      <c r="O4095" s="24" t="n"/>
      <c r="P4095" s="24" t="n"/>
      <c r="Q4095" s="24" t="n"/>
      <c r="R4095" s="24" t="n"/>
      <c r="S4095" s="22">
        <f>IF(AND($A4095="",$C4095=""),"",IF($A4095="","Thiếu mã đơn; ","")&amp;IF(COUNTIF($A$2:$A4095,$A4095)&gt;1,"Trùng mã đơn; ","")&amp;IF(ISNA(MATCH($C4095,DATA_MASTER!$D$2:$D$5000,0)),"SĐT chưa đăng ký hội viên; ","")&amp;IF(AND($L4095="Đã chuyển khoản",$M4095=""),"Thiếu ngày nhận CK; ",""))</f>
        <v/>
      </c>
      <c r="T4095" s="24" t="n"/>
    </row>
    <row r="4096" ht="14.25" customHeight="1" s="40">
      <c r="A4096" s="24" t="n"/>
      <c r="B4096" s="29" t="n"/>
      <c r="C4096" s="28" t="n"/>
      <c r="D4096" s="22">
        <f t="array" ref="D4096">IF($C4096="","",IFERROR(INDEX(DATA_MASTER!$C$2:$C$5000,MATCH($C4096,DATA_MASTER!$D$2:$D$5000,0)),""))</f>
        <v/>
      </c>
      <c r="E4096" s="22">
        <f t="array" ref="E4096">IF($C4096="","",IFERROR(INDEX(DATA_MASTER!$I$2:$I$5000,MATCH($C4096,DATA_MASTER!$D$2:$D$5000,0)),""))</f>
        <v/>
      </c>
      <c r="F4096" s="22">
        <f t="array" ref="F4096">IF($C4096="","",IFERROR(INDEX(DATA_MASTER!$L$2:$L$5000,MATCH($C4096,DATA_MASTER!$D$2:$D$5000,0)),""))</f>
        <v/>
      </c>
      <c r="G4096" s="24" t="n"/>
      <c r="H4096" s="24" t="n"/>
      <c r="I4096" s="30" t="n"/>
      <c r="J4096" s="23">
        <f>IF(OR($H4096="",$I4096=""),"",$H4096*$I4096)</f>
        <v/>
      </c>
      <c r="K4096" s="24" t="n"/>
      <c r="L4096" s="24" t="n"/>
      <c r="M4096" s="29" t="n"/>
      <c r="N4096" s="28" t="n"/>
      <c r="O4096" s="24" t="n"/>
      <c r="P4096" s="24" t="n"/>
      <c r="Q4096" s="24" t="n"/>
      <c r="R4096" s="24" t="n"/>
      <c r="S4096" s="22">
        <f>IF(AND($A4096="",$C4096=""),"",IF($A4096="","Thiếu mã đơn; ","")&amp;IF(COUNTIF($A$2:$A4096,$A4096)&gt;1,"Trùng mã đơn; ","")&amp;IF(ISNA(MATCH($C4096,DATA_MASTER!$D$2:$D$5000,0)),"SĐT chưa đăng ký hội viên; ","")&amp;IF(AND($L4096="Đã chuyển khoản",$M4096=""),"Thiếu ngày nhận CK; ",""))</f>
        <v/>
      </c>
      <c r="T4096" s="24" t="n"/>
    </row>
    <row r="4097" ht="14.25" customHeight="1" s="40">
      <c r="A4097" s="24" t="n"/>
      <c r="B4097" s="29" t="n"/>
      <c r="C4097" s="28" t="n"/>
      <c r="D4097" s="22">
        <f t="array" ref="D4097">IF($C4097="","",IFERROR(INDEX(DATA_MASTER!$C$2:$C$5000,MATCH($C4097,DATA_MASTER!$D$2:$D$5000,0)),""))</f>
        <v/>
      </c>
      <c r="E4097" s="22">
        <f t="array" ref="E4097">IF($C4097="","",IFERROR(INDEX(DATA_MASTER!$I$2:$I$5000,MATCH($C4097,DATA_MASTER!$D$2:$D$5000,0)),""))</f>
        <v/>
      </c>
      <c r="F4097" s="22">
        <f t="array" ref="F4097">IF($C4097="","",IFERROR(INDEX(DATA_MASTER!$L$2:$L$5000,MATCH($C4097,DATA_MASTER!$D$2:$D$5000,0)),""))</f>
        <v/>
      </c>
      <c r="G4097" s="24" t="n"/>
      <c r="H4097" s="24" t="n"/>
      <c r="I4097" s="30" t="n"/>
      <c r="J4097" s="23">
        <f>IF(OR($H4097="",$I4097=""),"",$H4097*$I4097)</f>
        <v/>
      </c>
      <c r="K4097" s="24" t="n"/>
      <c r="L4097" s="24" t="n"/>
      <c r="M4097" s="29" t="n"/>
      <c r="N4097" s="28" t="n"/>
      <c r="O4097" s="24" t="n"/>
      <c r="P4097" s="24" t="n"/>
      <c r="Q4097" s="24" t="n"/>
      <c r="R4097" s="24" t="n"/>
      <c r="S4097" s="22">
        <f>IF(AND($A4097="",$C4097=""),"",IF($A4097="","Thiếu mã đơn; ","")&amp;IF(COUNTIF($A$2:$A4097,$A4097)&gt;1,"Trùng mã đơn; ","")&amp;IF(ISNA(MATCH($C4097,DATA_MASTER!$D$2:$D$5000,0)),"SĐT chưa đăng ký hội viên; ","")&amp;IF(AND($L4097="Đã chuyển khoản",$M4097=""),"Thiếu ngày nhận CK; ",""))</f>
        <v/>
      </c>
      <c r="T4097" s="24" t="n"/>
    </row>
    <row r="4098" ht="14.25" customHeight="1" s="40">
      <c r="A4098" s="24" t="n"/>
      <c r="B4098" s="29" t="n"/>
      <c r="C4098" s="28" t="n"/>
      <c r="D4098" s="22">
        <f t="array" ref="D4098">IF($C4098="","",IFERROR(INDEX(DATA_MASTER!$C$2:$C$5000,MATCH($C4098,DATA_MASTER!$D$2:$D$5000,0)),""))</f>
        <v/>
      </c>
      <c r="E4098" s="22">
        <f t="array" ref="E4098">IF($C4098="","",IFERROR(INDEX(DATA_MASTER!$I$2:$I$5000,MATCH($C4098,DATA_MASTER!$D$2:$D$5000,0)),""))</f>
        <v/>
      </c>
      <c r="F4098" s="22">
        <f t="array" ref="F4098">IF($C4098="","",IFERROR(INDEX(DATA_MASTER!$L$2:$L$5000,MATCH($C4098,DATA_MASTER!$D$2:$D$5000,0)),""))</f>
        <v/>
      </c>
      <c r="G4098" s="24" t="n"/>
      <c r="H4098" s="24" t="n"/>
      <c r="I4098" s="30" t="n"/>
      <c r="J4098" s="23">
        <f>IF(OR($H4098="",$I4098=""),"",$H4098*$I4098)</f>
        <v/>
      </c>
      <c r="K4098" s="24" t="n"/>
      <c r="L4098" s="24" t="n"/>
      <c r="M4098" s="29" t="n"/>
      <c r="N4098" s="28" t="n"/>
      <c r="O4098" s="24" t="n"/>
      <c r="P4098" s="24" t="n"/>
      <c r="Q4098" s="24" t="n"/>
      <c r="R4098" s="24" t="n"/>
      <c r="S4098" s="22">
        <f>IF(AND($A4098="",$C4098=""),"",IF($A4098="","Thiếu mã đơn; ","")&amp;IF(COUNTIF($A$2:$A4098,$A4098)&gt;1,"Trùng mã đơn; ","")&amp;IF(ISNA(MATCH($C4098,DATA_MASTER!$D$2:$D$5000,0)),"SĐT chưa đăng ký hội viên; ","")&amp;IF(AND($L4098="Đã chuyển khoản",$M4098=""),"Thiếu ngày nhận CK; ",""))</f>
        <v/>
      </c>
      <c r="T4098" s="24" t="n"/>
    </row>
    <row r="4099" ht="14.25" customHeight="1" s="40">
      <c r="A4099" s="24" t="n"/>
      <c r="B4099" s="29" t="n"/>
      <c r="C4099" s="28" t="n"/>
      <c r="D4099" s="22">
        <f t="array" ref="D4099">IF($C4099="","",IFERROR(INDEX(DATA_MASTER!$C$2:$C$5000,MATCH($C4099,DATA_MASTER!$D$2:$D$5000,0)),""))</f>
        <v/>
      </c>
      <c r="E4099" s="22">
        <f t="array" ref="E4099">IF($C4099="","",IFERROR(INDEX(DATA_MASTER!$I$2:$I$5000,MATCH($C4099,DATA_MASTER!$D$2:$D$5000,0)),""))</f>
        <v/>
      </c>
      <c r="F4099" s="22">
        <f t="array" ref="F4099">IF($C4099="","",IFERROR(INDEX(DATA_MASTER!$L$2:$L$5000,MATCH($C4099,DATA_MASTER!$D$2:$D$5000,0)),""))</f>
        <v/>
      </c>
      <c r="G4099" s="24" t="n"/>
      <c r="H4099" s="24" t="n"/>
      <c r="I4099" s="30" t="n"/>
      <c r="J4099" s="23">
        <f>IF(OR($H4099="",$I4099=""),"",$H4099*$I4099)</f>
        <v/>
      </c>
      <c r="K4099" s="24" t="n"/>
      <c r="L4099" s="24" t="n"/>
      <c r="M4099" s="29" t="n"/>
      <c r="N4099" s="28" t="n"/>
      <c r="O4099" s="24" t="n"/>
      <c r="P4099" s="24" t="n"/>
      <c r="Q4099" s="24" t="n"/>
      <c r="R4099" s="24" t="n"/>
      <c r="S4099" s="22">
        <f>IF(AND($A4099="",$C4099=""),"",IF($A4099="","Thiếu mã đơn; ","")&amp;IF(COUNTIF($A$2:$A4099,$A4099)&gt;1,"Trùng mã đơn; ","")&amp;IF(ISNA(MATCH($C4099,DATA_MASTER!$D$2:$D$5000,0)),"SĐT chưa đăng ký hội viên; ","")&amp;IF(AND($L4099="Đã chuyển khoản",$M4099=""),"Thiếu ngày nhận CK; ",""))</f>
        <v/>
      </c>
      <c r="T4099" s="24" t="n"/>
    </row>
    <row r="4100" ht="14.25" customHeight="1" s="40">
      <c r="A4100" s="24" t="n"/>
      <c r="B4100" s="29" t="n"/>
      <c r="C4100" s="28" t="n"/>
      <c r="D4100" s="22">
        <f t="array" ref="D4100">IF($C4100="","",IFERROR(INDEX(DATA_MASTER!$C$2:$C$5000,MATCH($C4100,DATA_MASTER!$D$2:$D$5000,0)),""))</f>
        <v/>
      </c>
      <c r="E4100" s="22">
        <f t="array" ref="E4100">IF($C4100="","",IFERROR(INDEX(DATA_MASTER!$I$2:$I$5000,MATCH($C4100,DATA_MASTER!$D$2:$D$5000,0)),""))</f>
        <v/>
      </c>
      <c r="F4100" s="22">
        <f t="array" ref="F4100">IF($C4100="","",IFERROR(INDEX(DATA_MASTER!$L$2:$L$5000,MATCH($C4100,DATA_MASTER!$D$2:$D$5000,0)),""))</f>
        <v/>
      </c>
      <c r="G4100" s="24" t="n"/>
      <c r="H4100" s="24" t="n"/>
      <c r="I4100" s="30" t="n"/>
      <c r="J4100" s="23">
        <f>IF(OR($H4100="",$I4100=""),"",$H4100*$I4100)</f>
        <v/>
      </c>
      <c r="K4100" s="24" t="n"/>
      <c r="L4100" s="24" t="n"/>
      <c r="M4100" s="29" t="n"/>
      <c r="N4100" s="28" t="n"/>
      <c r="O4100" s="24" t="n"/>
      <c r="P4100" s="24" t="n"/>
      <c r="Q4100" s="24" t="n"/>
      <c r="R4100" s="24" t="n"/>
      <c r="S4100" s="22">
        <f>IF(AND($A4100="",$C4100=""),"",IF($A4100="","Thiếu mã đơn; ","")&amp;IF(COUNTIF($A$2:$A4100,$A4100)&gt;1,"Trùng mã đơn; ","")&amp;IF(ISNA(MATCH($C4100,DATA_MASTER!$D$2:$D$5000,0)),"SĐT chưa đăng ký hội viên; ","")&amp;IF(AND($L4100="Đã chuyển khoản",$M4100=""),"Thiếu ngày nhận CK; ",""))</f>
        <v/>
      </c>
      <c r="T4100" s="24" t="n"/>
    </row>
    <row r="4101" ht="14.25" customHeight="1" s="40">
      <c r="A4101" s="24" t="n"/>
      <c r="B4101" s="29" t="n"/>
      <c r="C4101" s="28" t="n"/>
      <c r="D4101" s="22">
        <f t="array" ref="D4101">IF($C4101="","",IFERROR(INDEX(DATA_MASTER!$C$2:$C$5000,MATCH($C4101,DATA_MASTER!$D$2:$D$5000,0)),""))</f>
        <v/>
      </c>
      <c r="E4101" s="22">
        <f t="array" ref="E4101">IF($C4101="","",IFERROR(INDEX(DATA_MASTER!$I$2:$I$5000,MATCH($C4101,DATA_MASTER!$D$2:$D$5000,0)),""))</f>
        <v/>
      </c>
      <c r="F4101" s="22">
        <f t="array" ref="F4101">IF($C4101="","",IFERROR(INDEX(DATA_MASTER!$L$2:$L$5000,MATCH($C4101,DATA_MASTER!$D$2:$D$5000,0)),""))</f>
        <v/>
      </c>
      <c r="G4101" s="24" t="n"/>
      <c r="H4101" s="24" t="n"/>
      <c r="I4101" s="30" t="n"/>
      <c r="J4101" s="23">
        <f>IF(OR($H4101="",$I4101=""),"",$H4101*$I4101)</f>
        <v/>
      </c>
      <c r="K4101" s="24" t="n"/>
      <c r="L4101" s="24" t="n"/>
      <c r="M4101" s="29" t="n"/>
      <c r="N4101" s="28" t="n"/>
      <c r="O4101" s="24" t="n"/>
      <c r="P4101" s="24" t="n"/>
      <c r="Q4101" s="24" t="n"/>
      <c r="R4101" s="24" t="n"/>
      <c r="S4101" s="22">
        <f>IF(AND($A4101="",$C4101=""),"",IF($A4101="","Thiếu mã đơn; ","")&amp;IF(COUNTIF($A$2:$A4101,$A4101)&gt;1,"Trùng mã đơn; ","")&amp;IF(ISNA(MATCH($C4101,DATA_MASTER!$D$2:$D$5000,0)),"SĐT chưa đăng ký hội viên; ","")&amp;IF(AND($L4101="Đã chuyển khoản",$M4101=""),"Thiếu ngày nhận CK; ",""))</f>
        <v/>
      </c>
      <c r="T4101" s="24" t="n"/>
    </row>
    <row r="4102" ht="14.25" customHeight="1" s="40">
      <c r="A4102" s="24" t="n"/>
      <c r="B4102" s="29" t="n"/>
      <c r="C4102" s="28" t="n"/>
      <c r="D4102" s="22">
        <f t="array" ref="D4102">IF($C4102="","",IFERROR(INDEX(DATA_MASTER!$C$2:$C$5000,MATCH($C4102,DATA_MASTER!$D$2:$D$5000,0)),""))</f>
        <v/>
      </c>
      <c r="E4102" s="22">
        <f t="array" ref="E4102">IF($C4102="","",IFERROR(INDEX(DATA_MASTER!$I$2:$I$5000,MATCH($C4102,DATA_MASTER!$D$2:$D$5000,0)),""))</f>
        <v/>
      </c>
      <c r="F4102" s="22">
        <f t="array" ref="F4102">IF($C4102="","",IFERROR(INDEX(DATA_MASTER!$L$2:$L$5000,MATCH($C4102,DATA_MASTER!$D$2:$D$5000,0)),""))</f>
        <v/>
      </c>
      <c r="G4102" s="24" t="n"/>
      <c r="H4102" s="24" t="n"/>
      <c r="I4102" s="30" t="n"/>
      <c r="J4102" s="23">
        <f>IF(OR($H4102="",$I4102=""),"",$H4102*$I4102)</f>
        <v/>
      </c>
      <c r="K4102" s="24" t="n"/>
      <c r="L4102" s="24" t="n"/>
      <c r="M4102" s="29" t="n"/>
      <c r="N4102" s="28" t="n"/>
      <c r="O4102" s="24" t="n"/>
      <c r="P4102" s="24" t="n"/>
      <c r="Q4102" s="24" t="n"/>
      <c r="R4102" s="24" t="n"/>
      <c r="S4102" s="22">
        <f>IF(AND($A4102="",$C4102=""),"",IF($A4102="","Thiếu mã đơn; ","")&amp;IF(COUNTIF($A$2:$A4102,$A4102)&gt;1,"Trùng mã đơn; ","")&amp;IF(ISNA(MATCH($C4102,DATA_MASTER!$D$2:$D$5000,0)),"SĐT chưa đăng ký hội viên; ","")&amp;IF(AND($L4102="Đã chuyển khoản",$M4102=""),"Thiếu ngày nhận CK; ",""))</f>
        <v/>
      </c>
      <c r="T4102" s="24" t="n"/>
    </row>
    <row r="4103" ht="14.25" customHeight="1" s="40">
      <c r="A4103" s="24" t="n"/>
      <c r="B4103" s="29" t="n"/>
      <c r="C4103" s="28" t="n"/>
      <c r="D4103" s="22">
        <f t="array" ref="D4103">IF($C4103="","",IFERROR(INDEX(DATA_MASTER!$C$2:$C$5000,MATCH($C4103,DATA_MASTER!$D$2:$D$5000,0)),""))</f>
        <v/>
      </c>
      <c r="E4103" s="22">
        <f t="array" ref="E4103">IF($C4103="","",IFERROR(INDEX(DATA_MASTER!$I$2:$I$5000,MATCH($C4103,DATA_MASTER!$D$2:$D$5000,0)),""))</f>
        <v/>
      </c>
      <c r="F4103" s="22">
        <f t="array" ref="F4103">IF($C4103="","",IFERROR(INDEX(DATA_MASTER!$L$2:$L$5000,MATCH($C4103,DATA_MASTER!$D$2:$D$5000,0)),""))</f>
        <v/>
      </c>
      <c r="G4103" s="24" t="n"/>
      <c r="H4103" s="24" t="n"/>
      <c r="I4103" s="30" t="n"/>
      <c r="J4103" s="23">
        <f>IF(OR($H4103="",$I4103=""),"",$H4103*$I4103)</f>
        <v/>
      </c>
      <c r="K4103" s="24" t="n"/>
      <c r="L4103" s="24" t="n"/>
      <c r="M4103" s="29" t="n"/>
      <c r="N4103" s="28" t="n"/>
      <c r="O4103" s="24" t="n"/>
      <c r="P4103" s="24" t="n"/>
      <c r="Q4103" s="24" t="n"/>
      <c r="R4103" s="24" t="n"/>
      <c r="S4103" s="22">
        <f>IF(AND($A4103="",$C4103=""),"",IF($A4103="","Thiếu mã đơn; ","")&amp;IF(COUNTIF($A$2:$A4103,$A4103)&gt;1,"Trùng mã đơn; ","")&amp;IF(ISNA(MATCH($C4103,DATA_MASTER!$D$2:$D$5000,0)),"SĐT chưa đăng ký hội viên; ","")&amp;IF(AND($L4103="Đã chuyển khoản",$M4103=""),"Thiếu ngày nhận CK; ",""))</f>
        <v/>
      </c>
      <c r="T4103" s="24" t="n"/>
    </row>
    <row r="4104" ht="14.25" customHeight="1" s="40">
      <c r="A4104" s="24" t="n"/>
      <c r="B4104" s="29" t="n"/>
      <c r="C4104" s="28" t="n"/>
      <c r="D4104" s="22">
        <f t="array" ref="D4104">IF($C4104="","",IFERROR(INDEX(DATA_MASTER!$C$2:$C$5000,MATCH($C4104,DATA_MASTER!$D$2:$D$5000,0)),""))</f>
        <v/>
      </c>
      <c r="E4104" s="22">
        <f t="array" ref="E4104">IF($C4104="","",IFERROR(INDEX(DATA_MASTER!$I$2:$I$5000,MATCH($C4104,DATA_MASTER!$D$2:$D$5000,0)),""))</f>
        <v/>
      </c>
      <c r="F4104" s="22">
        <f t="array" ref="F4104">IF($C4104="","",IFERROR(INDEX(DATA_MASTER!$L$2:$L$5000,MATCH($C4104,DATA_MASTER!$D$2:$D$5000,0)),""))</f>
        <v/>
      </c>
      <c r="G4104" s="24" t="n"/>
      <c r="H4104" s="24" t="n"/>
      <c r="I4104" s="30" t="n"/>
      <c r="J4104" s="23">
        <f>IF(OR($H4104="",$I4104=""),"",$H4104*$I4104)</f>
        <v/>
      </c>
      <c r="K4104" s="24" t="n"/>
      <c r="L4104" s="24" t="n"/>
      <c r="M4104" s="29" t="n"/>
      <c r="N4104" s="28" t="n"/>
      <c r="O4104" s="24" t="n"/>
      <c r="P4104" s="24" t="n"/>
      <c r="Q4104" s="24" t="n"/>
      <c r="R4104" s="24" t="n"/>
      <c r="S4104" s="22">
        <f>IF(AND($A4104="",$C4104=""),"",IF($A4104="","Thiếu mã đơn; ","")&amp;IF(COUNTIF($A$2:$A4104,$A4104)&gt;1,"Trùng mã đơn; ","")&amp;IF(ISNA(MATCH($C4104,DATA_MASTER!$D$2:$D$5000,0)),"SĐT chưa đăng ký hội viên; ","")&amp;IF(AND($L4104="Đã chuyển khoản",$M4104=""),"Thiếu ngày nhận CK; ",""))</f>
        <v/>
      </c>
      <c r="T4104" s="24" t="n"/>
    </row>
    <row r="4105" ht="14.25" customHeight="1" s="40">
      <c r="A4105" s="24" t="n"/>
      <c r="B4105" s="29" t="n"/>
      <c r="C4105" s="28" t="n"/>
      <c r="D4105" s="22">
        <f t="array" ref="D4105">IF($C4105="","",IFERROR(INDEX(DATA_MASTER!$C$2:$C$5000,MATCH($C4105,DATA_MASTER!$D$2:$D$5000,0)),""))</f>
        <v/>
      </c>
      <c r="E4105" s="22">
        <f t="array" ref="E4105">IF($C4105="","",IFERROR(INDEX(DATA_MASTER!$I$2:$I$5000,MATCH($C4105,DATA_MASTER!$D$2:$D$5000,0)),""))</f>
        <v/>
      </c>
      <c r="F4105" s="22">
        <f t="array" ref="F4105">IF($C4105="","",IFERROR(INDEX(DATA_MASTER!$L$2:$L$5000,MATCH($C4105,DATA_MASTER!$D$2:$D$5000,0)),""))</f>
        <v/>
      </c>
      <c r="G4105" s="24" t="n"/>
      <c r="H4105" s="24" t="n"/>
      <c r="I4105" s="30" t="n"/>
      <c r="J4105" s="23">
        <f>IF(OR($H4105="",$I4105=""),"",$H4105*$I4105)</f>
        <v/>
      </c>
      <c r="K4105" s="24" t="n"/>
      <c r="L4105" s="24" t="n"/>
      <c r="M4105" s="29" t="n"/>
      <c r="N4105" s="28" t="n"/>
      <c r="O4105" s="24" t="n"/>
      <c r="P4105" s="24" t="n"/>
      <c r="Q4105" s="24" t="n"/>
      <c r="R4105" s="24" t="n"/>
      <c r="S4105" s="22">
        <f>IF(AND($A4105="",$C4105=""),"",IF($A4105="","Thiếu mã đơn; ","")&amp;IF(COUNTIF($A$2:$A4105,$A4105)&gt;1,"Trùng mã đơn; ","")&amp;IF(ISNA(MATCH($C4105,DATA_MASTER!$D$2:$D$5000,0)),"SĐT chưa đăng ký hội viên; ","")&amp;IF(AND($L4105="Đã chuyển khoản",$M4105=""),"Thiếu ngày nhận CK; ",""))</f>
        <v/>
      </c>
      <c r="T4105" s="24" t="n"/>
    </row>
    <row r="4106" ht="14.25" customHeight="1" s="40">
      <c r="A4106" s="24" t="n"/>
      <c r="B4106" s="29" t="n"/>
      <c r="C4106" s="28" t="n"/>
      <c r="D4106" s="22">
        <f t="array" ref="D4106">IF($C4106="","",IFERROR(INDEX(DATA_MASTER!$C$2:$C$5000,MATCH($C4106,DATA_MASTER!$D$2:$D$5000,0)),""))</f>
        <v/>
      </c>
      <c r="E4106" s="22">
        <f t="array" ref="E4106">IF($C4106="","",IFERROR(INDEX(DATA_MASTER!$I$2:$I$5000,MATCH($C4106,DATA_MASTER!$D$2:$D$5000,0)),""))</f>
        <v/>
      </c>
      <c r="F4106" s="22">
        <f t="array" ref="F4106">IF($C4106="","",IFERROR(INDEX(DATA_MASTER!$L$2:$L$5000,MATCH($C4106,DATA_MASTER!$D$2:$D$5000,0)),""))</f>
        <v/>
      </c>
      <c r="G4106" s="24" t="n"/>
      <c r="H4106" s="24" t="n"/>
      <c r="I4106" s="30" t="n"/>
      <c r="J4106" s="23">
        <f>IF(OR($H4106="",$I4106=""),"",$H4106*$I4106)</f>
        <v/>
      </c>
      <c r="K4106" s="24" t="n"/>
      <c r="L4106" s="24" t="n"/>
      <c r="M4106" s="29" t="n"/>
      <c r="N4106" s="28" t="n"/>
      <c r="O4106" s="24" t="n"/>
      <c r="P4106" s="24" t="n"/>
      <c r="Q4106" s="24" t="n"/>
      <c r="R4106" s="24" t="n"/>
      <c r="S4106" s="22">
        <f>IF(AND($A4106="",$C4106=""),"",IF($A4106="","Thiếu mã đơn; ","")&amp;IF(COUNTIF($A$2:$A4106,$A4106)&gt;1,"Trùng mã đơn; ","")&amp;IF(ISNA(MATCH($C4106,DATA_MASTER!$D$2:$D$5000,0)),"SĐT chưa đăng ký hội viên; ","")&amp;IF(AND($L4106="Đã chuyển khoản",$M4106=""),"Thiếu ngày nhận CK; ",""))</f>
        <v/>
      </c>
      <c r="T4106" s="24" t="n"/>
    </row>
    <row r="4107" ht="14.25" customHeight="1" s="40">
      <c r="A4107" s="24" t="n"/>
      <c r="B4107" s="29" t="n"/>
      <c r="C4107" s="28" t="n"/>
      <c r="D4107" s="22">
        <f t="array" ref="D4107">IF($C4107="","",IFERROR(INDEX(DATA_MASTER!$C$2:$C$5000,MATCH($C4107,DATA_MASTER!$D$2:$D$5000,0)),""))</f>
        <v/>
      </c>
      <c r="E4107" s="22">
        <f t="array" ref="E4107">IF($C4107="","",IFERROR(INDEX(DATA_MASTER!$I$2:$I$5000,MATCH($C4107,DATA_MASTER!$D$2:$D$5000,0)),""))</f>
        <v/>
      </c>
      <c r="F4107" s="22">
        <f t="array" ref="F4107">IF($C4107="","",IFERROR(INDEX(DATA_MASTER!$L$2:$L$5000,MATCH($C4107,DATA_MASTER!$D$2:$D$5000,0)),""))</f>
        <v/>
      </c>
      <c r="G4107" s="24" t="n"/>
      <c r="H4107" s="24" t="n"/>
      <c r="I4107" s="30" t="n"/>
      <c r="J4107" s="23">
        <f>IF(OR($H4107="",$I4107=""),"",$H4107*$I4107)</f>
        <v/>
      </c>
      <c r="K4107" s="24" t="n"/>
      <c r="L4107" s="24" t="n"/>
      <c r="M4107" s="29" t="n"/>
      <c r="N4107" s="28" t="n"/>
      <c r="O4107" s="24" t="n"/>
      <c r="P4107" s="24" t="n"/>
      <c r="Q4107" s="24" t="n"/>
      <c r="R4107" s="24" t="n"/>
      <c r="S4107" s="22">
        <f>IF(AND($A4107="",$C4107=""),"",IF($A4107="","Thiếu mã đơn; ","")&amp;IF(COUNTIF($A$2:$A4107,$A4107)&gt;1,"Trùng mã đơn; ","")&amp;IF(ISNA(MATCH($C4107,DATA_MASTER!$D$2:$D$5000,0)),"SĐT chưa đăng ký hội viên; ","")&amp;IF(AND($L4107="Đã chuyển khoản",$M4107=""),"Thiếu ngày nhận CK; ",""))</f>
        <v/>
      </c>
      <c r="T4107" s="24" t="n"/>
    </row>
    <row r="4108" ht="14.25" customHeight="1" s="40">
      <c r="A4108" s="24" t="n"/>
      <c r="B4108" s="29" t="n"/>
      <c r="C4108" s="28" t="n"/>
      <c r="D4108" s="22">
        <f t="array" ref="D4108">IF($C4108="","",IFERROR(INDEX(DATA_MASTER!$C$2:$C$5000,MATCH($C4108,DATA_MASTER!$D$2:$D$5000,0)),""))</f>
        <v/>
      </c>
      <c r="E4108" s="22">
        <f t="array" ref="E4108">IF($C4108="","",IFERROR(INDEX(DATA_MASTER!$I$2:$I$5000,MATCH($C4108,DATA_MASTER!$D$2:$D$5000,0)),""))</f>
        <v/>
      </c>
      <c r="F4108" s="22">
        <f t="array" ref="F4108">IF($C4108="","",IFERROR(INDEX(DATA_MASTER!$L$2:$L$5000,MATCH($C4108,DATA_MASTER!$D$2:$D$5000,0)),""))</f>
        <v/>
      </c>
      <c r="G4108" s="24" t="n"/>
      <c r="H4108" s="24" t="n"/>
      <c r="I4108" s="30" t="n"/>
      <c r="J4108" s="23">
        <f>IF(OR($H4108="",$I4108=""),"",$H4108*$I4108)</f>
        <v/>
      </c>
      <c r="K4108" s="24" t="n"/>
      <c r="L4108" s="24" t="n"/>
      <c r="M4108" s="29" t="n"/>
      <c r="N4108" s="28" t="n"/>
      <c r="O4108" s="24" t="n"/>
      <c r="P4108" s="24" t="n"/>
      <c r="Q4108" s="24" t="n"/>
      <c r="R4108" s="24" t="n"/>
      <c r="S4108" s="22">
        <f>IF(AND($A4108="",$C4108=""),"",IF($A4108="","Thiếu mã đơn; ","")&amp;IF(COUNTIF($A$2:$A4108,$A4108)&gt;1,"Trùng mã đơn; ","")&amp;IF(ISNA(MATCH($C4108,DATA_MASTER!$D$2:$D$5000,0)),"SĐT chưa đăng ký hội viên; ","")&amp;IF(AND($L4108="Đã chuyển khoản",$M4108=""),"Thiếu ngày nhận CK; ",""))</f>
        <v/>
      </c>
      <c r="T4108" s="24" t="n"/>
    </row>
    <row r="4109" ht="14.25" customHeight="1" s="40">
      <c r="A4109" s="24" t="n"/>
      <c r="B4109" s="29" t="n"/>
      <c r="C4109" s="28" t="n"/>
      <c r="D4109" s="22">
        <f t="array" ref="D4109">IF($C4109="","",IFERROR(INDEX(DATA_MASTER!$C$2:$C$5000,MATCH($C4109,DATA_MASTER!$D$2:$D$5000,0)),""))</f>
        <v/>
      </c>
      <c r="E4109" s="22">
        <f t="array" ref="E4109">IF($C4109="","",IFERROR(INDEX(DATA_MASTER!$I$2:$I$5000,MATCH($C4109,DATA_MASTER!$D$2:$D$5000,0)),""))</f>
        <v/>
      </c>
      <c r="F4109" s="22">
        <f t="array" ref="F4109">IF($C4109="","",IFERROR(INDEX(DATA_MASTER!$L$2:$L$5000,MATCH($C4109,DATA_MASTER!$D$2:$D$5000,0)),""))</f>
        <v/>
      </c>
      <c r="G4109" s="24" t="n"/>
      <c r="H4109" s="24" t="n"/>
      <c r="I4109" s="30" t="n"/>
      <c r="J4109" s="23">
        <f>IF(OR($H4109="",$I4109=""),"",$H4109*$I4109)</f>
        <v/>
      </c>
      <c r="K4109" s="24" t="n"/>
      <c r="L4109" s="24" t="n"/>
      <c r="M4109" s="29" t="n"/>
      <c r="N4109" s="28" t="n"/>
      <c r="O4109" s="24" t="n"/>
      <c r="P4109" s="24" t="n"/>
      <c r="Q4109" s="24" t="n"/>
      <c r="R4109" s="24" t="n"/>
      <c r="S4109" s="22">
        <f>IF(AND($A4109="",$C4109=""),"",IF($A4109="","Thiếu mã đơn; ","")&amp;IF(COUNTIF($A$2:$A4109,$A4109)&gt;1,"Trùng mã đơn; ","")&amp;IF(ISNA(MATCH($C4109,DATA_MASTER!$D$2:$D$5000,0)),"SĐT chưa đăng ký hội viên; ","")&amp;IF(AND($L4109="Đã chuyển khoản",$M4109=""),"Thiếu ngày nhận CK; ",""))</f>
        <v/>
      </c>
      <c r="T4109" s="24" t="n"/>
    </row>
    <row r="4110" ht="14.25" customHeight="1" s="40">
      <c r="A4110" s="24" t="n"/>
      <c r="B4110" s="29" t="n"/>
      <c r="C4110" s="28" t="n"/>
      <c r="D4110" s="22">
        <f t="array" ref="D4110">IF($C4110="","",IFERROR(INDEX(DATA_MASTER!$C$2:$C$5000,MATCH($C4110,DATA_MASTER!$D$2:$D$5000,0)),""))</f>
        <v/>
      </c>
      <c r="E4110" s="22">
        <f t="array" ref="E4110">IF($C4110="","",IFERROR(INDEX(DATA_MASTER!$I$2:$I$5000,MATCH($C4110,DATA_MASTER!$D$2:$D$5000,0)),""))</f>
        <v/>
      </c>
      <c r="F4110" s="22">
        <f t="array" ref="F4110">IF($C4110="","",IFERROR(INDEX(DATA_MASTER!$L$2:$L$5000,MATCH($C4110,DATA_MASTER!$D$2:$D$5000,0)),""))</f>
        <v/>
      </c>
      <c r="G4110" s="24" t="n"/>
      <c r="H4110" s="24" t="n"/>
      <c r="I4110" s="30" t="n"/>
      <c r="J4110" s="23">
        <f>IF(OR($H4110="",$I4110=""),"",$H4110*$I4110)</f>
        <v/>
      </c>
      <c r="K4110" s="24" t="n"/>
      <c r="L4110" s="24" t="n"/>
      <c r="M4110" s="29" t="n"/>
      <c r="N4110" s="28" t="n"/>
      <c r="O4110" s="24" t="n"/>
      <c r="P4110" s="24" t="n"/>
      <c r="Q4110" s="24" t="n"/>
      <c r="R4110" s="24" t="n"/>
      <c r="S4110" s="22">
        <f>IF(AND($A4110="",$C4110=""),"",IF($A4110="","Thiếu mã đơn; ","")&amp;IF(COUNTIF($A$2:$A4110,$A4110)&gt;1,"Trùng mã đơn; ","")&amp;IF(ISNA(MATCH($C4110,DATA_MASTER!$D$2:$D$5000,0)),"SĐT chưa đăng ký hội viên; ","")&amp;IF(AND($L4110="Đã chuyển khoản",$M4110=""),"Thiếu ngày nhận CK; ",""))</f>
        <v/>
      </c>
      <c r="T4110" s="24" t="n"/>
    </row>
    <row r="4111" ht="14.25" customHeight="1" s="40">
      <c r="A4111" s="24" t="n"/>
      <c r="B4111" s="29" t="n"/>
      <c r="C4111" s="28" t="n"/>
      <c r="D4111" s="22">
        <f t="array" ref="D4111">IF($C4111="","",IFERROR(INDEX(DATA_MASTER!$C$2:$C$5000,MATCH($C4111,DATA_MASTER!$D$2:$D$5000,0)),""))</f>
        <v/>
      </c>
      <c r="E4111" s="22">
        <f t="array" ref="E4111">IF($C4111="","",IFERROR(INDEX(DATA_MASTER!$I$2:$I$5000,MATCH($C4111,DATA_MASTER!$D$2:$D$5000,0)),""))</f>
        <v/>
      </c>
      <c r="F4111" s="22">
        <f t="array" ref="F4111">IF($C4111="","",IFERROR(INDEX(DATA_MASTER!$L$2:$L$5000,MATCH($C4111,DATA_MASTER!$D$2:$D$5000,0)),""))</f>
        <v/>
      </c>
      <c r="G4111" s="24" t="n"/>
      <c r="H4111" s="24" t="n"/>
      <c r="I4111" s="30" t="n"/>
      <c r="J4111" s="23">
        <f>IF(OR($H4111="",$I4111=""),"",$H4111*$I4111)</f>
        <v/>
      </c>
      <c r="K4111" s="24" t="n"/>
      <c r="L4111" s="24" t="n"/>
      <c r="M4111" s="29" t="n"/>
      <c r="N4111" s="28" t="n"/>
      <c r="O4111" s="24" t="n"/>
      <c r="P4111" s="24" t="n"/>
      <c r="Q4111" s="24" t="n"/>
      <c r="R4111" s="24" t="n"/>
      <c r="S4111" s="22">
        <f>IF(AND($A4111="",$C4111=""),"",IF($A4111="","Thiếu mã đơn; ","")&amp;IF(COUNTIF($A$2:$A4111,$A4111)&gt;1,"Trùng mã đơn; ","")&amp;IF(ISNA(MATCH($C4111,DATA_MASTER!$D$2:$D$5000,0)),"SĐT chưa đăng ký hội viên; ","")&amp;IF(AND($L4111="Đã chuyển khoản",$M4111=""),"Thiếu ngày nhận CK; ",""))</f>
        <v/>
      </c>
      <c r="T4111" s="24" t="n"/>
    </row>
    <row r="4112" ht="14.25" customHeight="1" s="40">
      <c r="A4112" s="24" t="n"/>
      <c r="B4112" s="29" t="n"/>
      <c r="C4112" s="28" t="n"/>
      <c r="D4112" s="22">
        <f t="array" ref="D4112">IF($C4112="","",IFERROR(INDEX(DATA_MASTER!$C$2:$C$5000,MATCH($C4112,DATA_MASTER!$D$2:$D$5000,0)),""))</f>
        <v/>
      </c>
      <c r="E4112" s="22">
        <f t="array" ref="E4112">IF($C4112="","",IFERROR(INDEX(DATA_MASTER!$I$2:$I$5000,MATCH($C4112,DATA_MASTER!$D$2:$D$5000,0)),""))</f>
        <v/>
      </c>
      <c r="F4112" s="22">
        <f t="array" ref="F4112">IF($C4112="","",IFERROR(INDEX(DATA_MASTER!$L$2:$L$5000,MATCH($C4112,DATA_MASTER!$D$2:$D$5000,0)),""))</f>
        <v/>
      </c>
      <c r="G4112" s="24" t="n"/>
      <c r="H4112" s="24" t="n"/>
      <c r="I4112" s="30" t="n"/>
      <c r="J4112" s="23">
        <f>IF(OR($H4112="",$I4112=""),"",$H4112*$I4112)</f>
        <v/>
      </c>
      <c r="K4112" s="24" t="n"/>
      <c r="L4112" s="24" t="n"/>
      <c r="M4112" s="29" t="n"/>
      <c r="N4112" s="28" t="n"/>
      <c r="O4112" s="24" t="n"/>
      <c r="P4112" s="24" t="n"/>
      <c r="Q4112" s="24" t="n"/>
      <c r="R4112" s="24" t="n"/>
      <c r="S4112" s="22">
        <f>IF(AND($A4112="",$C4112=""),"",IF($A4112="","Thiếu mã đơn; ","")&amp;IF(COUNTIF($A$2:$A4112,$A4112)&gt;1,"Trùng mã đơn; ","")&amp;IF(ISNA(MATCH($C4112,DATA_MASTER!$D$2:$D$5000,0)),"SĐT chưa đăng ký hội viên; ","")&amp;IF(AND($L4112="Đã chuyển khoản",$M4112=""),"Thiếu ngày nhận CK; ",""))</f>
        <v/>
      </c>
      <c r="T4112" s="24" t="n"/>
    </row>
    <row r="4113" ht="14.25" customHeight="1" s="40">
      <c r="A4113" s="24" t="n"/>
      <c r="B4113" s="29" t="n"/>
      <c r="C4113" s="28" t="n"/>
      <c r="D4113" s="22">
        <f t="array" ref="D4113">IF($C4113="","",IFERROR(INDEX(DATA_MASTER!$C$2:$C$5000,MATCH($C4113,DATA_MASTER!$D$2:$D$5000,0)),""))</f>
        <v/>
      </c>
      <c r="E4113" s="22">
        <f t="array" ref="E4113">IF($C4113="","",IFERROR(INDEX(DATA_MASTER!$I$2:$I$5000,MATCH($C4113,DATA_MASTER!$D$2:$D$5000,0)),""))</f>
        <v/>
      </c>
      <c r="F4113" s="22">
        <f t="array" ref="F4113">IF($C4113="","",IFERROR(INDEX(DATA_MASTER!$L$2:$L$5000,MATCH($C4113,DATA_MASTER!$D$2:$D$5000,0)),""))</f>
        <v/>
      </c>
      <c r="G4113" s="24" t="n"/>
      <c r="H4113" s="24" t="n"/>
      <c r="I4113" s="30" t="n"/>
      <c r="J4113" s="23">
        <f>IF(OR($H4113="",$I4113=""),"",$H4113*$I4113)</f>
        <v/>
      </c>
      <c r="K4113" s="24" t="n"/>
      <c r="L4113" s="24" t="n"/>
      <c r="M4113" s="29" t="n"/>
      <c r="N4113" s="28" t="n"/>
      <c r="O4113" s="24" t="n"/>
      <c r="P4113" s="24" t="n"/>
      <c r="Q4113" s="24" t="n"/>
      <c r="R4113" s="24" t="n"/>
      <c r="S4113" s="22">
        <f>IF(AND($A4113="",$C4113=""),"",IF($A4113="","Thiếu mã đơn; ","")&amp;IF(COUNTIF($A$2:$A4113,$A4113)&gt;1,"Trùng mã đơn; ","")&amp;IF(ISNA(MATCH($C4113,DATA_MASTER!$D$2:$D$5000,0)),"SĐT chưa đăng ký hội viên; ","")&amp;IF(AND($L4113="Đã chuyển khoản",$M4113=""),"Thiếu ngày nhận CK; ",""))</f>
        <v/>
      </c>
      <c r="T4113" s="24" t="n"/>
    </row>
    <row r="4114" ht="14.25" customHeight="1" s="40">
      <c r="A4114" s="24" t="n"/>
      <c r="B4114" s="29" t="n"/>
      <c r="C4114" s="28" t="n"/>
      <c r="D4114" s="22">
        <f t="array" ref="D4114">IF($C4114="","",IFERROR(INDEX(DATA_MASTER!$C$2:$C$5000,MATCH($C4114,DATA_MASTER!$D$2:$D$5000,0)),""))</f>
        <v/>
      </c>
      <c r="E4114" s="22">
        <f t="array" ref="E4114">IF($C4114="","",IFERROR(INDEX(DATA_MASTER!$I$2:$I$5000,MATCH($C4114,DATA_MASTER!$D$2:$D$5000,0)),""))</f>
        <v/>
      </c>
      <c r="F4114" s="22">
        <f t="array" ref="F4114">IF($C4114="","",IFERROR(INDEX(DATA_MASTER!$L$2:$L$5000,MATCH($C4114,DATA_MASTER!$D$2:$D$5000,0)),""))</f>
        <v/>
      </c>
      <c r="G4114" s="24" t="n"/>
      <c r="H4114" s="24" t="n"/>
      <c r="I4114" s="30" t="n"/>
      <c r="J4114" s="23">
        <f>IF(OR($H4114="",$I4114=""),"",$H4114*$I4114)</f>
        <v/>
      </c>
      <c r="K4114" s="24" t="n"/>
      <c r="L4114" s="24" t="n"/>
      <c r="M4114" s="29" t="n"/>
      <c r="N4114" s="28" t="n"/>
      <c r="O4114" s="24" t="n"/>
      <c r="P4114" s="24" t="n"/>
      <c r="Q4114" s="24" t="n"/>
      <c r="R4114" s="24" t="n"/>
      <c r="S4114" s="22">
        <f>IF(AND($A4114="",$C4114=""),"",IF($A4114="","Thiếu mã đơn; ","")&amp;IF(COUNTIF($A$2:$A4114,$A4114)&gt;1,"Trùng mã đơn; ","")&amp;IF(ISNA(MATCH($C4114,DATA_MASTER!$D$2:$D$5000,0)),"SĐT chưa đăng ký hội viên; ","")&amp;IF(AND($L4114="Đã chuyển khoản",$M4114=""),"Thiếu ngày nhận CK; ",""))</f>
        <v/>
      </c>
      <c r="T4114" s="24" t="n"/>
    </row>
    <row r="4115" ht="14.25" customHeight="1" s="40">
      <c r="A4115" s="24" t="n"/>
      <c r="B4115" s="29" t="n"/>
      <c r="C4115" s="28" t="n"/>
      <c r="D4115" s="22">
        <f t="array" ref="D4115">IF($C4115="","",IFERROR(INDEX(DATA_MASTER!$C$2:$C$5000,MATCH($C4115,DATA_MASTER!$D$2:$D$5000,0)),""))</f>
        <v/>
      </c>
      <c r="E4115" s="22">
        <f t="array" ref="E4115">IF($C4115="","",IFERROR(INDEX(DATA_MASTER!$I$2:$I$5000,MATCH($C4115,DATA_MASTER!$D$2:$D$5000,0)),""))</f>
        <v/>
      </c>
      <c r="F4115" s="22">
        <f t="array" ref="F4115">IF($C4115="","",IFERROR(INDEX(DATA_MASTER!$L$2:$L$5000,MATCH($C4115,DATA_MASTER!$D$2:$D$5000,0)),""))</f>
        <v/>
      </c>
      <c r="G4115" s="24" t="n"/>
      <c r="H4115" s="24" t="n"/>
      <c r="I4115" s="30" t="n"/>
      <c r="J4115" s="23">
        <f>IF(OR($H4115="",$I4115=""),"",$H4115*$I4115)</f>
        <v/>
      </c>
      <c r="K4115" s="24" t="n"/>
      <c r="L4115" s="24" t="n"/>
      <c r="M4115" s="29" t="n"/>
      <c r="N4115" s="28" t="n"/>
      <c r="O4115" s="24" t="n"/>
      <c r="P4115" s="24" t="n"/>
      <c r="Q4115" s="24" t="n"/>
      <c r="R4115" s="24" t="n"/>
      <c r="S4115" s="22">
        <f>IF(AND($A4115="",$C4115=""),"",IF($A4115="","Thiếu mã đơn; ","")&amp;IF(COUNTIF($A$2:$A4115,$A4115)&gt;1,"Trùng mã đơn; ","")&amp;IF(ISNA(MATCH($C4115,DATA_MASTER!$D$2:$D$5000,0)),"SĐT chưa đăng ký hội viên; ","")&amp;IF(AND($L4115="Đã chuyển khoản",$M4115=""),"Thiếu ngày nhận CK; ",""))</f>
        <v/>
      </c>
      <c r="T4115" s="24" t="n"/>
    </row>
    <row r="4116" ht="14.25" customHeight="1" s="40">
      <c r="A4116" s="24" t="n"/>
      <c r="B4116" s="29" t="n"/>
      <c r="C4116" s="28" t="n"/>
      <c r="D4116" s="22">
        <f t="array" ref="D4116">IF($C4116="","",IFERROR(INDEX(DATA_MASTER!$C$2:$C$5000,MATCH($C4116,DATA_MASTER!$D$2:$D$5000,0)),""))</f>
        <v/>
      </c>
      <c r="E4116" s="22">
        <f t="array" ref="E4116">IF($C4116="","",IFERROR(INDEX(DATA_MASTER!$I$2:$I$5000,MATCH($C4116,DATA_MASTER!$D$2:$D$5000,0)),""))</f>
        <v/>
      </c>
      <c r="F4116" s="22">
        <f t="array" ref="F4116">IF($C4116="","",IFERROR(INDEX(DATA_MASTER!$L$2:$L$5000,MATCH($C4116,DATA_MASTER!$D$2:$D$5000,0)),""))</f>
        <v/>
      </c>
      <c r="G4116" s="24" t="n"/>
      <c r="H4116" s="24" t="n"/>
      <c r="I4116" s="30" t="n"/>
      <c r="J4116" s="23">
        <f>IF(OR($H4116="",$I4116=""),"",$H4116*$I4116)</f>
        <v/>
      </c>
      <c r="K4116" s="24" t="n"/>
      <c r="L4116" s="24" t="n"/>
      <c r="M4116" s="29" t="n"/>
      <c r="N4116" s="28" t="n"/>
      <c r="O4116" s="24" t="n"/>
      <c r="P4116" s="24" t="n"/>
      <c r="Q4116" s="24" t="n"/>
      <c r="R4116" s="24" t="n"/>
      <c r="S4116" s="22">
        <f>IF(AND($A4116="",$C4116=""),"",IF($A4116="","Thiếu mã đơn; ","")&amp;IF(COUNTIF($A$2:$A4116,$A4116)&gt;1,"Trùng mã đơn; ","")&amp;IF(ISNA(MATCH($C4116,DATA_MASTER!$D$2:$D$5000,0)),"SĐT chưa đăng ký hội viên; ","")&amp;IF(AND($L4116="Đã chuyển khoản",$M4116=""),"Thiếu ngày nhận CK; ",""))</f>
        <v/>
      </c>
      <c r="T4116" s="24" t="n"/>
    </row>
    <row r="4117" ht="14.25" customHeight="1" s="40">
      <c r="A4117" s="24" t="n"/>
      <c r="B4117" s="29" t="n"/>
      <c r="C4117" s="28" t="n"/>
      <c r="D4117" s="22">
        <f t="array" ref="D4117">IF($C4117="","",IFERROR(INDEX(DATA_MASTER!$C$2:$C$5000,MATCH($C4117,DATA_MASTER!$D$2:$D$5000,0)),""))</f>
        <v/>
      </c>
      <c r="E4117" s="22">
        <f t="array" ref="E4117">IF($C4117="","",IFERROR(INDEX(DATA_MASTER!$I$2:$I$5000,MATCH($C4117,DATA_MASTER!$D$2:$D$5000,0)),""))</f>
        <v/>
      </c>
      <c r="F4117" s="22">
        <f t="array" ref="F4117">IF($C4117="","",IFERROR(INDEX(DATA_MASTER!$L$2:$L$5000,MATCH($C4117,DATA_MASTER!$D$2:$D$5000,0)),""))</f>
        <v/>
      </c>
      <c r="G4117" s="24" t="n"/>
      <c r="H4117" s="24" t="n"/>
      <c r="I4117" s="30" t="n"/>
      <c r="J4117" s="23">
        <f>IF(OR($H4117="",$I4117=""),"",$H4117*$I4117)</f>
        <v/>
      </c>
      <c r="K4117" s="24" t="n"/>
      <c r="L4117" s="24" t="n"/>
      <c r="M4117" s="29" t="n"/>
      <c r="N4117" s="28" t="n"/>
      <c r="O4117" s="24" t="n"/>
      <c r="P4117" s="24" t="n"/>
      <c r="Q4117" s="24" t="n"/>
      <c r="R4117" s="24" t="n"/>
      <c r="S4117" s="22">
        <f>IF(AND($A4117="",$C4117=""),"",IF($A4117="","Thiếu mã đơn; ","")&amp;IF(COUNTIF($A$2:$A4117,$A4117)&gt;1,"Trùng mã đơn; ","")&amp;IF(ISNA(MATCH($C4117,DATA_MASTER!$D$2:$D$5000,0)),"SĐT chưa đăng ký hội viên; ","")&amp;IF(AND($L4117="Đã chuyển khoản",$M4117=""),"Thiếu ngày nhận CK; ",""))</f>
        <v/>
      </c>
      <c r="T4117" s="24" t="n"/>
    </row>
    <row r="4118" ht="14.25" customHeight="1" s="40">
      <c r="A4118" s="24" t="n"/>
      <c r="B4118" s="29" t="n"/>
      <c r="C4118" s="28" t="n"/>
      <c r="D4118" s="22">
        <f t="array" ref="D4118">IF($C4118="","",IFERROR(INDEX(DATA_MASTER!$C$2:$C$5000,MATCH($C4118,DATA_MASTER!$D$2:$D$5000,0)),""))</f>
        <v/>
      </c>
      <c r="E4118" s="22">
        <f t="array" ref="E4118">IF($C4118="","",IFERROR(INDEX(DATA_MASTER!$I$2:$I$5000,MATCH($C4118,DATA_MASTER!$D$2:$D$5000,0)),""))</f>
        <v/>
      </c>
      <c r="F4118" s="22">
        <f t="array" ref="F4118">IF($C4118="","",IFERROR(INDEX(DATA_MASTER!$L$2:$L$5000,MATCH($C4118,DATA_MASTER!$D$2:$D$5000,0)),""))</f>
        <v/>
      </c>
      <c r="G4118" s="24" t="n"/>
      <c r="H4118" s="24" t="n"/>
      <c r="I4118" s="30" t="n"/>
      <c r="J4118" s="23">
        <f>IF(OR($H4118="",$I4118=""),"",$H4118*$I4118)</f>
        <v/>
      </c>
      <c r="K4118" s="24" t="n"/>
      <c r="L4118" s="24" t="n"/>
      <c r="M4118" s="29" t="n"/>
      <c r="N4118" s="28" t="n"/>
      <c r="O4118" s="24" t="n"/>
      <c r="P4118" s="24" t="n"/>
      <c r="Q4118" s="24" t="n"/>
      <c r="R4118" s="24" t="n"/>
      <c r="S4118" s="22">
        <f>IF(AND($A4118="",$C4118=""),"",IF($A4118="","Thiếu mã đơn; ","")&amp;IF(COUNTIF($A$2:$A4118,$A4118)&gt;1,"Trùng mã đơn; ","")&amp;IF(ISNA(MATCH($C4118,DATA_MASTER!$D$2:$D$5000,0)),"SĐT chưa đăng ký hội viên; ","")&amp;IF(AND($L4118="Đã chuyển khoản",$M4118=""),"Thiếu ngày nhận CK; ",""))</f>
        <v/>
      </c>
      <c r="T4118" s="24" t="n"/>
    </row>
    <row r="4119" ht="14.25" customHeight="1" s="40">
      <c r="A4119" s="24" t="n"/>
      <c r="B4119" s="29" t="n"/>
      <c r="C4119" s="28" t="n"/>
      <c r="D4119" s="22">
        <f t="array" ref="D4119">IF($C4119="","",IFERROR(INDEX(DATA_MASTER!$C$2:$C$5000,MATCH($C4119,DATA_MASTER!$D$2:$D$5000,0)),""))</f>
        <v/>
      </c>
      <c r="E4119" s="22">
        <f t="array" ref="E4119">IF($C4119="","",IFERROR(INDEX(DATA_MASTER!$I$2:$I$5000,MATCH($C4119,DATA_MASTER!$D$2:$D$5000,0)),""))</f>
        <v/>
      </c>
      <c r="F4119" s="22">
        <f t="array" ref="F4119">IF($C4119="","",IFERROR(INDEX(DATA_MASTER!$L$2:$L$5000,MATCH($C4119,DATA_MASTER!$D$2:$D$5000,0)),""))</f>
        <v/>
      </c>
      <c r="G4119" s="24" t="n"/>
      <c r="H4119" s="24" t="n"/>
      <c r="I4119" s="30" t="n"/>
      <c r="J4119" s="23">
        <f>IF(OR($H4119="",$I4119=""),"",$H4119*$I4119)</f>
        <v/>
      </c>
      <c r="K4119" s="24" t="n"/>
      <c r="L4119" s="24" t="n"/>
      <c r="M4119" s="29" t="n"/>
      <c r="N4119" s="28" t="n"/>
      <c r="O4119" s="24" t="n"/>
      <c r="P4119" s="24" t="n"/>
      <c r="Q4119" s="24" t="n"/>
      <c r="R4119" s="24" t="n"/>
      <c r="S4119" s="22">
        <f>IF(AND($A4119="",$C4119=""),"",IF($A4119="","Thiếu mã đơn; ","")&amp;IF(COUNTIF($A$2:$A4119,$A4119)&gt;1,"Trùng mã đơn; ","")&amp;IF(ISNA(MATCH($C4119,DATA_MASTER!$D$2:$D$5000,0)),"SĐT chưa đăng ký hội viên; ","")&amp;IF(AND($L4119="Đã chuyển khoản",$M4119=""),"Thiếu ngày nhận CK; ",""))</f>
        <v/>
      </c>
      <c r="T4119" s="24" t="n"/>
    </row>
    <row r="4120" ht="14.25" customHeight="1" s="40">
      <c r="A4120" s="24" t="n"/>
      <c r="B4120" s="29" t="n"/>
      <c r="C4120" s="28" t="n"/>
      <c r="D4120" s="22">
        <f t="array" ref="D4120">IF($C4120="","",IFERROR(INDEX(DATA_MASTER!$C$2:$C$5000,MATCH($C4120,DATA_MASTER!$D$2:$D$5000,0)),""))</f>
        <v/>
      </c>
      <c r="E4120" s="22">
        <f t="array" ref="E4120">IF($C4120="","",IFERROR(INDEX(DATA_MASTER!$I$2:$I$5000,MATCH($C4120,DATA_MASTER!$D$2:$D$5000,0)),""))</f>
        <v/>
      </c>
      <c r="F4120" s="22">
        <f t="array" ref="F4120">IF($C4120="","",IFERROR(INDEX(DATA_MASTER!$L$2:$L$5000,MATCH($C4120,DATA_MASTER!$D$2:$D$5000,0)),""))</f>
        <v/>
      </c>
      <c r="G4120" s="24" t="n"/>
      <c r="H4120" s="24" t="n"/>
      <c r="I4120" s="30" t="n"/>
      <c r="J4120" s="23">
        <f>IF(OR($H4120="",$I4120=""),"",$H4120*$I4120)</f>
        <v/>
      </c>
      <c r="K4120" s="24" t="n"/>
      <c r="L4120" s="24" t="n"/>
      <c r="M4120" s="29" t="n"/>
      <c r="N4120" s="28" t="n"/>
      <c r="O4120" s="24" t="n"/>
      <c r="P4120" s="24" t="n"/>
      <c r="Q4120" s="24" t="n"/>
      <c r="R4120" s="24" t="n"/>
      <c r="S4120" s="22">
        <f>IF(AND($A4120="",$C4120=""),"",IF($A4120="","Thiếu mã đơn; ","")&amp;IF(COUNTIF($A$2:$A4120,$A4120)&gt;1,"Trùng mã đơn; ","")&amp;IF(ISNA(MATCH($C4120,DATA_MASTER!$D$2:$D$5000,0)),"SĐT chưa đăng ký hội viên; ","")&amp;IF(AND($L4120="Đã chuyển khoản",$M4120=""),"Thiếu ngày nhận CK; ",""))</f>
        <v/>
      </c>
      <c r="T4120" s="24" t="n"/>
    </row>
    <row r="4121" ht="14.25" customHeight="1" s="40">
      <c r="A4121" s="24" t="n"/>
      <c r="B4121" s="29" t="n"/>
      <c r="C4121" s="28" t="n"/>
      <c r="D4121" s="22">
        <f t="array" ref="D4121">IF($C4121="","",IFERROR(INDEX(DATA_MASTER!$C$2:$C$5000,MATCH($C4121,DATA_MASTER!$D$2:$D$5000,0)),""))</f>
        <v/>
      </c>
      <c r="E4121" s="22">
        <f t="array" ref="E4121">IF($C4121="","",IFERROR(INDEX(DATA_MASTER!$I$2:$I$5000,MATCH($C4121,DATA_MASTER!$D$2:$D$5000,0)),""))</f>
        <v/>
      </c>
      <c r="F4121" s="22">
        <f t="array" ref="F4121">IF($C4121="","",IFERROR(INDEX(DATA_MASTER!$L$2:$L$5000,MATCH($C4121,DATA_MASTER!$D$2:$D$5000,0)),""))</f>
        <v/>
      </c>
      <c r="G4121" s="24" t="n"/>
      <c r="H4121" s="24" t="n"/>
      <c r="I4121" s="30" t="n"/>
      <c r="J4121" s="23">
        <f>IF(OR($H4121="",$I4121=""),"",$H4121*$I4121)</f>
        <v/>
      </c>
      <c r="K4121" s="24" t="n"/>
      <c r="L4121" s="24" t="n"/>
      <c r="M4121" s="29" t="n"/>
      <c r="N4121" s="28" t="n"/>
      <c r="O4121" s="24" t="n"/>
      <c r="P4121" s="24" t="n"/>
      <c r="Q4121" s="24" t="n"/>
      <c r="R4121" s="24" t="n"/>
      <c r="S4121" s="22">
        <f>IF(AND($A4121="",$C4121=""),"",IF($A4121="","Thiếu mã đơn; ","")&amp;IF(COUNTIF($A$2:$A4121,$A4121)&gt;1,"Trùng mã đơn; ","")&amp;IF(ISNA(MATCH($C4121,DATA_MASTER!$D$2:$D$5000,0)),"SĐT chưa đăng ký hội viên; ","")&amp;IF(AND($L4121="Đã chuyển khoản",$M4121=""),"Thiếu ngày nhận CK; ",""))</f>
        <v/>
      </c>
      <c r="T4121" s="24" t="n"/>
    </row>
    <row r="4122" ht="14.25" customHeight="1" s="40">
      <c r="A4122" s="24" t="n"/>
      <c r="B4122" s="29" t="n"/>
      <c r="C4122" s="28" t="n"/>
      <c r="D4122" s="22">
        <f t="array" ref="D4122">IF($C4122="","",IFERROR(INDEX(DATA_MASTER!$C$2:$C$5000,MATCH($C4122,DATA_MASTER!$D$2:$D$5000,0)),""))</f>
        <v/>
      </c>
      <c r="E4122" s="22">
        <f t="array" ref="E4122">IF($C4122="","",IFERROR(INDEX(DATA_MASTER!$I$2:$I$5000,MATCH($C4122,DATA_MASTER!$D$2:$D$5000,0)),""))</f>
        <v/>
      </c>
      <c r="F4122" s="22">
        <f t="array" ref="F4122">IF($C4122="","",IFERROR(INDEX(DATA_MASTER!$L$2:$L$5000,MATCH($C4122,DATA_MASTER!$D$2:$D$5000,0)),""))</f>
        <v/>
      </c>
      <c r="G4122" s="24" t="n"/>
      <c r="H4122" s="24" t="n"/>
      <c r="I4122" s="30" t="n"/>
      <c r="J4122" s="23">
        <f>IF(OR($H4122="",$I4122=""),"",$H4122*$I4122)</f>
        <v/>
      </c>
      <c r="K4122" s="24" t="n"/>
      <c r="L4122" s="24" t="n"/>
      <c r="M4122" s="29" t="n"/>
      <c r="N4122" s="28" t="n"/>
      <c r="O4122" s="24" t="n"/>
      <c r="P4122" s="24" t="n"/>
      <c r="Q4122" s="24" t="n"/>
      <c r="R4122" s="24" t="n"/>
      <c r="S4122" s="22">
        <f>IF(AND($A4122="",$C4122=""),"",IF($A4122="","Thiếu mã đơn; ","")&amp;IF(COUNTIF($A$2:$A4122,$A4122)&gt;1,"Trùng mã đơn; ","")&amp;IF(ISNA(MATCH($C4122,DATA_MASTER!$D$2:$D$5000,0)),"SĐT chưa đăng ký hội viên; ","")&amp;IF(AND($L4122="Đã chuyển khoản",$M4122=""),"Thiếu ngày nhận CK; ",""))</f>
        <v/>
      </c>
      <c r="T4122" s="24" t="n"/>
    </row>
    <row r="4123" ht="14.25" customHeight="1" s="40">
      <c r="A4123" s="24" t="n"/>
      <c r="B4123" s="29" t="n"/>
      <c r="C4123" s="28" t="n"/>
      <c r="D4123" s="22">
        <f t="array" ref="D4123">IF($C4123="","",IFERROR(INDEX(DATA_MASTER!$C$2:$C$5000,MATCH($C4123,DATA_MASTER!$D$2:$D$5000,0)),""))</f>
        <v/>
      </c>
      <c r="E4123" s="22">
        <f t="array" ref="E4123">IF($C4123="","",IFERROR(INDEX(DATA_MASTER!$I$2:$I$5000,MATCH($C4123,DATA_MASTER!$D$2:$D$5000,0)),""))</f>
        <v/>
      </c>
      <c r="F4123" s="22">
        <f t="array" ref="F4123">IF($C4123="","",IFERROR(INDEX(DATA_MASTER!$L$2:$L$5000,MATCH($C4123,DATA_MASTER!$D$2:$D$5000,0)),""))</f>
        <v/>
      </c>
      <c r="G4123" s="24" t="n"/>
      <c r="H4123" s="24" t="n"/>
      <c r="I4123" s="30" t="n"/>
      <c r="J4123" s="23">
        <f>IF(OR($H4123="",$I4123=""),"",$H4123*$I4123)</f>
        <v/>
      </c>
      <c r="K4123" s="24" t="n"/>
      <c r="L4123" s="24" t="n"/>
      <c r="M4123" s="29" t="n"/>
      <c r="N4123" s="28" t="n"/>
      <c r="O4123" s="24" t="n"/>
      <c r="P4123" s="24" t="n"/>
      <c r="Q4123" s="24" t="n"/>
      <c r="R4123" s="24" t="n"/>
      <c r="S4123" s="22">
        <f>IF(AND($A4123="",$C4123=""),"",IF($A4123="","Thiếu mã đơn; ","")&amp;IF(COUNTIF($A$2:$A4123,$A4123)&gt;1,"Trùng mã đơn; ","")&amp;IF(ISNA(MATCH($C4123,DATA_MASTER!$D$2:$D$5000,0)),"SĐT chưa đăng ký hội viên; ","")&amp;IF(AND($L4123="Đã chuyển khoản",$M4123=""),"Thiếu ngày nhận CK; ",""))</f>
        <v/>
      </c>
      <c r="T4123" s="24" t="n"/>
    </row>
    <row r="4124" ht="14.25" customHeight="1" s="40">
      <c r="A4124" s="24" t="n"/>
      <c r="B4124" s="29" t="n"/>
      <c r="C4124" s="28" t="n"/>
      <c r="D4124" s="22">
        <f t="array" ref="D4124">IF($C4124="","",IFERROR(INDEX(DATA_MASTER!$C$2:$C$5000,MATCH($C4124,DATA_MASTER!$D$2:$D$5000,0)),""))</f>
        <v/>
      </c>
      <c r="E4124" s="22">
        <f t="array" ref="E4124">IF($C4124="","",IFERROR(INDEX(DATA_MASTER!$I$2:$I$5000,MATCH($C4124,DATA_MASTER!$D$2:$D$5000,0)),""))</f>
        <v/>
      </c>
      <c r="F4124" s="22">
        <f t="array" ref="F4124">IF($C4124="","",IFERROR(INDEX(DATA_MASTER!$L$2:$L$5000,MATCH($C4124,DATA_MASTER!$D$2:$D$5000,0)),""))</f>
        <v/>
      </c>
      <c r="G4124" s="24" t="n"/>
      <c r="H4124" s="24" t="n"/>
      <c r="I4124" s="30" t="n"/>
      <c r="J4124" s="23">
        <f>IF(OR($H4124="",$I4124=""),"",$H4124*$I4124)</f>
        <v/>
      </c>
      <c r="K4124" s="24" t="n"/>
      <c r="L4124" s="24" t="n"/>
      <c r="M4124" s="29" t="n"/>
      <c r="N4124" s="28" t="n"/>
      <c r="O4124" s="24" t="n"/>
      <c r="P4124" s="24" t="n"/>
      <c r="Q4124" s="24" t="n"/>
      <c r="R4124" s="24" t="n"/>
      <c r="S4124" s="22">
        <f>IF(AND($A4124="",$C4124=""),"",IF($A4124="","Thiếu mã đơn; ","")&amp;IF(COUNTIF($A$2:$A4124,$A4124)&gt;1,"Trùng mã đơn; ","")&amp;IF(ISNA(MATCH($C4124,DATA_MASTER!$D$2:$D$5000,0)),"SĐT chưa đăng ký hội viên; ","")&amp;IF(AND($L4124="Đã chuyển khoản",$M4124=""),"Thiếu ngày nhận CK; ",""))</f>
        <v/>
      </c>
      <c r="T4124" s="24" t="n"/>
    </row>
    <row r="4125" ht="14.25" customHeight="1" s="40">
      <c r="A4125" s="24" t="n"/>
      <c r="B4125" s="29" t="n"/>
      <c r="C4125" s="28" t="n"/>
      <c r="D4125" s="22">
        <f t="array" ref="D4125">IF($C4125="","",IFERROR(INDEX(DATA_MASTER!$C$2:$C$5000,MATCH($C4125,DATA_MASTER!$D$2:$D$5000,0)),""))</f>
        <v/>
      </c>
      <c r="E4125" s="22">
        <f t="array" ref="E4125">IF($C4125="","",IFERROR(INDEX(DATA_MASTER!$I$2:$I$5000,MATCH($C4125,DATA_MASTER!$D$2:$D$5000,0)),""))</f>
        <v/>
      </c>
      <c r="F4125" s="22">
        <f t="array" ref="F4125">IF($C4125="","",IFERROR(INDEX(DATA_MASTER!$L$2:$L$5000,MATCH($C4125,DATA_MASTER!$D$2:$D$5000,0)),""))</f>
        <v/>
      </c>
      <c r="G4125" s="24" t="n"/>
      <c r="H4125" s="24" t="n"/>
      <c r="I4125" s="30" t="n"/>
      <c r="J4125" s="23">
        <f>IF(OR($H4125="",$I4125=""),"",$H4125*$I4125)</f>
        <v/>
      </c>
      <c r="K4125" s="24" t="n"/>
      <c r="L4125" s="24" t="n"/>
      <c r="M4125" s="29" t="n"/>
      <c r="N4125" s="28" t="n"/>
      <c r="O4125" s="24" t="n"/>
      <c r="P4125" s="24" t="n"/>
      <c r="Q4125" s="24" t="n"/>
      <c r="R4125" s="24" t="n"/>
      <c r="S4125" s="22">
        <f>IF(AND($A4125="",$C4125=""),"",IF($A4125="","Thiếu mã đơn; ","")&amp;IF(COUNTIF($A$2:$A4125,$A4125)&gt;1,"Trùng mã đơn; ","")&amp;IF(ISNA(MATCH($C4125,DATA_MASTER!$D$2:$D$5000,0)),"SĐT chưa đăng ký hội viên; ","")&amp;IF(AND($L4125="Đã chuyển khoản",$M4125=""),"Thiếu ngày nhận CK; ",""))</f>
        <v/>
      </c>
      <c r="T4125" s="24" t="n"/>
    </row>
    <row r="4126" ht="14.25" customHeight="1" s="40">
      <c r="A4126" s="24" t="n"/>
      <c r="B4126" s="29" t="n"/>
      <c r="C4126" s="28" t="n"/>
      <c r="D4126" s="22">
        <f t="array" ref="D4126">IF($C4126="","",IFERROR(INDEX(DATA_MASTER!$C$2:$C$5000,MATCH($C4126,DATA_MASTER!$D$2:$D$5000,0)),""))</f>
        <v/>
      </c>
      <c r="E4126" s="22">
        <f t="array" ref="E4126">IF($C4126="","",IFERROR(INDEX(DATA_MASTER!$I$2:$I$5000,MATCH($C4126,DATA_MASTER!$D$2:$D$5000,0)),""))</f>
        <v/>
      </c>
      <c r="F4126" s="22">
        <f t="array" ref="F4126">IF($C4126="","",IFERROR(INDEX(DATA_MASTER!$L$2:$L$5000,MATCH($C4126,DATA_MASTER!$D$2:$D$5000,0)),""))</f>
        <v/>
      </c>
      <c r="G4126" s="24" t="n"/>
      <c r="H4126" s="24" t="n"/>
      <c r="I4126" s="30" t="n"/>
      <c r="J4126" s="23">
        <f>IF(OR($H4126="",$I4126=""),"",$H4126*$I4126)</f>
        <v/>
      </c>
      <c r="K4126" s="24" t="n"/>
      <c r="L4126" s="24" t="n"/>
      <c r="M4126" s="29" t="n"/>
      <c r="N4126" s="28" t="n"/>
      <c r="O4126" s="24" t="n"/>
      <c r="P4126" s="24" t="n"/>
      <c r="Q4126" s="24" t="n"/>
      <c r="R4126" s="24" t="n"/>
      <c r="S4126" s="22">
        <f>IF(AND($A4126="",$C4126=""),"",IF($A4126="","Thiếu mã đơn; ","")&amp;IF(COUNTIF($A$2:$A4126,$A4126)&gt;1,"Trùng mã đơn; ","")&amp;IF(ISNA(MATCH($C4126,DATA_MASTER!$D$2:$D$5000,0)),"SĐT chưa đăng ký hội viên; ","")&amp;IF(AND($L4126="Đã chuyển khoản",$M4126=""),"Thiếu ngày nhận CK; ",""))</f>
        <v/>
      </c>
      <c r="T4126" s="24" t="n"/>
    </row>
    <row r="4127" ht="14.25" customHeight="1" s="40">
      <c r="A4127" s="24" t="n"/>
      <c r="B4127" s="29" t="n"/>
      <c r="C4127" s="28" t="n"/>
      <c r="D4127" s="22">
        <f t="array" ref="D4127">IF($C4127="","",IFERROR(INDEX(DATA_MASTER!$C$2:$C$5000,MATCH($C4127,DATA_MASTER!$D$2:$D$5000,0)),""))</f>
        <v/>
      </c>
      <c r="E4127" s="22">
        <f t="array" ref="E4127">IF($C4127="","",IFERROR(INDEX(DATA_MASTER!$I$2:$I$5000,MATCH($C4127,DATA_MASTER!$D$2:$D$5000,0)),""))</f>
        <v/>
      </c>
      <c r="F4127" s="22">
        <f t="array" ref="F4127">IF($C4127="","",IFERROR(INDEX(DATA_MASTER!$L$2:$L$5000,MATCH($C4127,DATA_MASTER!$D$2:$D$5000,0)),""))</f>
        <v/>
      </c>
      <c r="G4127" s="24" t="n"/>
      <c r="H4127" s="24" t="n"/>
      <c r="I4127" s="30" t="n"/>
      <c r="J4127" s="23">
        <f>IF(OR($H4127="",$I4127=""),"",$H4127*$I4127)</f>
        <v/>
      </c>
      <c r="K4127" s="24" t="n"/>
      <c r="L4127" s="24" t="n"/>
      <c r="M4127" s="29" t="n"/>
      <c r="N4127" s="28" t="n"/>
      <c r="O4127" s="24" t="n"/>
      <c r="P4127" s="24" t="n"/>
      <c r="Q4127" s="24" t="n"/>
      <c r="R4127" s="24" t="n"/>
      <c r="S4127" s="22">
        <f>IF(AND($A4127="",$C4127=""),"",IF($A4127="","Thiếu mã đơn; ","")&amp;IF(COUNTIF($A$2:$A4127,$A4127)&gt;1,"Trùng mã đơn; ","")&amp;IF(ISNA(MATCH($C4127,DATA_MASTER!$D$2:$D$5000,0)),"SĐT chưa đăng ký hội viên; ","")&amp;IF(AND($L4127="Đã chuyển khoản",$M4127=""),"Thiếu ngày nhận CK; ",""))</f>
        <v/>
      </c>
      <c r="T4127" s="24" t="n"/>
    </row>
    <row r="4128" ht="14.25" customHeight="1" s="40">
      <c r="A4128" s="24" t="n"/>
      <c r="B4128" s="29" t="n"/>
      <c r="C4128" s="28" t="n"/>
      <c r="D4128" s="22">
        <f t="array" ref="D4128">IF($C4128="","",IFERROR(INDEX(DATA_MASTER!$C$2:$C$5000,MATCH($C4128,DATA_MASTER!$D$2:$D$5000,0)),""))</f>
        <v/>
      </c>
      <c r="E4128" s="22">
        <f t="array" ref="E4128">IF($C4128="","",IFERROR(INDEX(DATA_MASTER!$I$2:$I$5000,MATCH($C4128,DATA_MASTER!$D$2:$D$5000,0)),""))</f>
        <v/>
      </c>
      <c r="F4128" s="22">
        <f t="array" ref="F4128">IF($C4128="","",IFERROR(INDEX(DATA_MASTER!$L$2:$L$5000,MATCH($C4128,DATA_MASTER!$D$2:$D$5000,0)),""))</f>
        <v/>
      </c>
      <c r="G4128" s="24" t="n"/>
      <c r="H4128" s="24" t="n"/>
      <c r="I4128" s="30" t="n"/>
      <c r="J4128" s="23">
        <f>IF(OR($H4128="",$I4128=""),"",$H4128*$I4128)</f>
        <v/>
      </c>
      <c r="K4128" s="24" t="n"/>
      <c r="L4128" s="24" t="n"/>
      <c r="M4128" s="29" t="n"/>
      <c r="N4128" s="28" t="n"/>
      <c r="O4128" s="24" t="n"/>
      <c r="P4128" s="24" t="n"/>
      <c r="Q4128" s="24" t="n"/>
      <c r="R4128" s="24" t="n"/>
      <c r="S4128" s="22">
        <f>IF(AND($A4128="",$C4128=""),"",IF($A4128="","Thiếu mã đơn; ","")&amp;IF(COUNTIF($A$2:$A4128,$A4128)&gt;1,"Trùng mã đơn; ","")&amp;IF(ISNA(MATCH($C4128,DATA_MASTER!$D$2:$D$5000,0)),"SĐT chưa đăng ký hội viên; ","")&amp;IF(AND($L4128="Đã chuyển khoản",$M4128=""),"Thiếu ngày nhận CK; ",""))</f>
        <v/>
      </c>
      <c r="T4128" s="24" t="n"/>
    </row>
    <row r="4129" ht="14.25" customHeight="1" s="40">
      <c r="A4129" s="24" t="n"/>
      <c r="B4129" s="29" t="n"/>
      <c r="C4129" s="28" t="n"/>
      <c r="D4129" s="22">
        <f t="array" ref="D4129">IF($C4129="","",IFERROR(INDEX(DATA_MASTER!$C$2:$C$5000,MATCH($C4129,DATA_MASTER!$D$2:$D$5000,0)),""))</f>
        <v/>
      </c>
      <c r="E4129" s="22">
        <f t="array" ref="E4129">IF($C4129="","",IFERROR(INDEX(DATA_MASTER!$I$2:$I$5000,MATCH($C4129,DATA_MASTER!$D$2:$D$5000,0)),""))</f>
        <v/>
      </c>
      <c r="F4129" s="22">
        <f t="array" ref="F4129">IF($C4129="","",IFERROR(INDEX(DATA_MASTER!$L$2:$L$5000,MATCH($C4129,DATA_MASTER!$D$2:$D$5000,0)),""))</f>
        <v/>
      </c>
      <c r="G4129" s="24" t="n"/>
      <c r="H4129" s="24" t="n"/>
      <c r="I4129" s="30" t="n"/>
      <c r="J4129" s="23">
        <f>IF(OR($H4129="",$I4129=""),"",$H4129*$I4129)</f>
        <v/>
      </c>
      <c r="K4129" s="24" t="n"/>
      <c r="L4129" s="24" t="n"/>
      <c r="M4129" s="29" t="n"/>
      <c r="N4129" s="28" t="n"/>
      <c r="O4129" s="24" t="n"/>
      <c r="P4129" s="24" t="n"/>
      <c r="Q4129" s="24" t="n"/>
      <c r="R4129" s="24" t="n"/>
      <c r="S4129" s="22">
        <f>IF(AND($A4129="",$C4129=""),"",IF($A4129="","Thiếu mã đơn; ","")&amp;IF(COUNTIF($A$2:$A4129,$A4129)&gt;1,"Trùng mã đơn; ","")&amp;IF(ISNA(MATCH($C4129,DATA_MASTER!$D$2:$D$5000,0)),"SĐT chưa đăng ký hội viên; ","")&amp;IF(AND($L4129="Đã chuyển khoản",$M4129=""),"Thiếu ngày nhận CK; ",""))</f>
        <v/>
      </c>
      <c r="T4129" s="24" t="n"/>
    </row>
    <row r="4130" ht="14.25" customHeight="1" s="40">
      <c r="A4130" s="24" t="n"/>
      <c r="B4130" s="29" t="n"/>
      <c r="C4130" s="28" t="n"/>
      <c r="D4130" s="22">
        <f t="array" ref="D4130">IF($C4130="","",IFERROR(INDEX(DATA_MASTER!$C$2:$C$5000,MATCH($C4130,DATA_MASTER!$D$2:$D$5000,0)),""))</f>
        <v/>
      </c>
      <c r="E4130" s="22">
        <f t="array" ref="E4130">IF($C4130="","",IFERROR(INDEX(DATA_MASTER!$I$2:$I$5000,MATCH($C4130,DATA_MASTER!$D$2:$D$5000,0)),""))</f>
        <v/>
      </c>
      <c r="F4130" s="22">
        <f t="array" ref="F4130">IF($C4130="","",IFERROR(INDEX(DATA_MASTER!$L$2:$L$5000,MATCH($C4130,DATA_MASTER!$D$2:$D$5000,0)),""))</f>
        <v/>
      </c>
      <c r="G4130" s="24" t="n"/>
      <c r="H4130" s="24" t="n"/>
      <c r="I4130" s="30" t="n"/>
      <c r="J4130" s="23">
        <f>IF(OR($H4130="",$I4130=""),"",$H4130*$I4130)</f>
        <v/>
      </c>
      <c r="K4130" s="24" t="n"/>
      <c r="L4130" s="24" t="n"/>
      <c r="M4130" s="29" t="n"/>
      <c r="N4130" s="28" t="n"/>
      <c r="O4130" s="24" t="n"/>
      <c r="P4130" s="24" t="n"/>
      <c r="Q4130" s="24" t="n"/>
      <c r="R4130" s="24" t="n"/>
      <c r="S4130" s="22">
        <f>IF(AND($A4130="",$C4130=""),"",IF($A4130="","Thiếu mã đơn; ","")&amp;IF(COUNTIF($A$2:$A4130,$A4130)&gt;1,"Trùng mã đơn; ","")&amp;IF(ISNA(MATCH($C4130,DATA_MASTER!$D$2:$D$5000,0)),"SĐT chưa đăng ký hội viên; ","")&amp;IF(AND($L4130="Đã chuyển khoản",$M4130=""),"Thiếu ngày nhận CK; ",""))</f>
        <v/>
      </c>
      <c r="T4130" s="24" t="n"/>
    </row>
    <row r="4131" ht="14.25" customHeight="1" s="40">
      <c r="A4131" s="24" t="n"/>
      <c r="B4131" s="29" t="n"/>
      <c r="C4131" s="28" t="n"/>
      <c r="D4131" s="22">
        <f t="array" ref="D4131">IF($C4131="","",IFERROR(INDEX(DATA_MASTER!$C$2:$C$5000,MATCH($C4131,DATA_MASTER!$D$2:$D$5000,0)),""))</f>
        <v/>
      </c>
      <c r="E4131" s="22">
        <f t="array" ref="E4131">IF($C4131="","",IFERROR(INDEX(DATA_MASTER!$I$2:$I$5000,MATCH($C4131,DATA_MASTER!$D$2:$D$5000,0)),""))</f>
        <v/>
      </c>
      <c r="F4131" s="22">
        <f t="array" ref="F4131">IF($C4131="","",IFERROR(INDEX(DATA_MASTER!$L$2:$L$5000,MATCH($C4131,DATA_MASTER!$D$2:$D$5000,0)),""))</f>
        <v/>
      </c>
      <c r="G4131" s="24" t="n"/>
      <c r="H4131" s="24" t="n"/>
      <c r="I4131" s="30" t="n"/>
      <c r="J4131" s="23">
        <f>IF(OR($H4131="",$I4131=""),"",$H4131*$I4131)</f>
        <v/>
      </c>
      <c r="K4131" s="24" t="n"/>
      <c r="L4131" s="24" t="n"/>
      <c r="M4131" s="29" t="n"/>
      <c r="N4131" s="28" t="n"/>
      <c r="O4131" s="24" t="n"/>
      <c r="P4131" s="24" t="n"/>
      <c r="Q4131" s="24" t="n"/>
      <c r="R4131" s="24" t="n"/>
      <c r="S4131" s="22">
        <f>IF(AND($A4131="",$C4131=""),"",IF($A4131="","Thiếu mã đơn; ","")&amp;IF(COUNTIF($A$2:$A4131,$A4131)&gt;1,"Trùng mã đơn; ","")&amp;IF(ISNA(MATCH($C4131,DATA_MASTER!$D$2:$D$5000,0)),"SĐT chưa đăng ký hội viên; ","")&amp;IF(AND($L4131="Đã chuyển khoản",$M4131=""),"Thiếu ngày nhận CK; ",""))</f>
        <v/>
      </c>
      <c r="T4131" s="24" t="n"/>
    </row>
    <row r="4132" ht="14.25" customHeight="1" s="40">
      <c r="A4132" s="24" t="n"/>
      <c r="B4132" s="29" t="n"/>
      <c r="C4132" s="28" t="n"/>
      <c r="D4132" s="22">
        <f t="array" ref="D4132">IF($C4132="","",IFERROR(INDEX(DATA_MASTER!$C$2:$C$5000,MATCH($C4132,DATA_MASTER!$D$2:$D$5000,0)),""))</f>
        <v/>
      </c>
      <c r="E4132" s="22">
        <f t="array" ref="E4132">IF($C4132="","",IFERROR(INDEX(DATA_MASTER!$I$2:$I$5000,MATCH($C4132,DATA_MASTER!$D$2:$D$5000,0)),""))</f>
        <v/>
      </c>
      <c r="F4132" s="22">
        <f t="array" ref="F4132">IF($C4132="","",IFERROR(INDEX(DATA_MASTER!$L$2:$L$5000,MATCH($C4132,DATA_MASTER!$D$2:$D$5000,0)),""))</f>
        <v/>
      </c>
      <c r="G4132" s="24" t="n"/>
      <c r="H4132" s="24" t="n"/>
      <c r="I4132" s="30" t="n"/>
      <c r="J4132" s="23">
        <f>IF(OR($H4132="",$I4132=""),"",$H4132*$I4132)</f>
        <v/>
      </c>
      <c r="K4132" s="24" t="n"/>
      <c r="L4132" s="24" t="n"/>
      <c r="M4132" s="29" t="n"/>
      <c r="N4132" s="28" t="n"/>
      <c r="O4132" s="24" t="n"/>
      <c r="P4132" s="24" t="n"/>
      <c r="Q4132" s="24" t="n"/>
      <c r="R4132" s="24" t="n"/>
      <c r="S4132" s="22">
        <f>IF(AND($A4132="",$C4132=""),"",IF($A4132="","Thiếu mã đơn; ","")&amp;IF(COUNTIF($A$2:$A4132,$A4132)&gt;1,"Trùng mã đơn; ","")&amp;IF(ISNA(MATCH($C4132,DATA_MASTER!$D$2:$D$5000,0)),"SĐT chưa đăng ký hội viên; ","")&amp;IF(AND($L4132="Đã chuyển khoản",$M4132=""),"Thiếu ngày nhận CK; ",""))</f>
        <v/>
      </c>
      <c r="T4132" s="24" t="n"/>
    </row>
    <row r="4133" ht="14.25" customHeight="1" s="40">
      <c r="A4133" s="24" t="n"/>
      <c r="B4133" s="29" t="n"/>
      <c r="C4133" s="28" t="n"/>
      <c r="D4133" s="22">
        <f t="array" ref="D4133">IF($C4133="","",IFERROR(INDEX(DATA_MASTER!$C$2:$C$5000,MATCH($C4133,DATA_MASTER!$D$2:$D$5000,0)),""))</f>
        <v/>
      </c>
      <c r="E4133" s="22">
        <f t="array" ref="E4133">IF($C4133="","",IFERROR(INDEX(DATA_MASTER!$I$2:$I$5000,MATCH($C4133,DATA_MASTER!$D$2:$D$5000,0)),""))</f>
        <v/>
      </c>
      <c r="F4133" s="22">
        <f t="array" ref="F4133">IF($C4133="","",IFERROR(INDEX(DATA_MASTER!$L$2:$L$5000,MATCH($C4133,DATA_MASTER!$D$2:$D$5000,0)),""))</f>
        <v/>
      </c>
      <c r="G4133" s="24" t="n"/>
      <c r="H4133" s="24" t="n"/>
      <c r="I4133" s="30" t="n"/>
      <c r="J4133" s="23">
        <f>IF(OR($H4133="",$I4133=""),"",$H4133*$I4133)</f>
        <v/>
      </c>
      <c r="K4133" s="24" t="n"/>
      <c r="L4133" s="24" t="n"/>
      <c r="M4133" s="29" t="n"/>
      <c r="N4133" s="28" t="n"/>
      <c r="O4133" s="24" t="n"/>
      <c r="P4133" s="24" t="n"/>
      <c r="Q4133" s="24" t="n"/>
      <c r="R4133" s="24" t="n"/>
      <c r="S4133" s="22">
        <f>IF(AND($A4133="",$C4133=""),"",IF($A4133="","Thiếu mã đơn; ","")&amp;IF(COUNTIF($A$2:$A4133,$A4133)&gt;1,"Trùng mã đơn; ","")&amp;IF(ISNA(MATCH($C4133,DATA_MASTER!$D$2:$D$5000,0)),"SĐT chưa đăng ký hội viên; ","")&amp;IF(AND($L4133="Đã chuyển khoản",$M4133=""),"Thiếu ngày nhận CK; ",""))</f>
        <v/>
      </c>
      <c r="T4133" s="24" t="n"/>
    </row>
    <row r="4134" ht="14.25" customHeight="1" s="40">
      <c r="A4134" s="24" t="n"/>
      <c r="B4134" s="29" t="n"/>
      <c r="C4134" s="28" t="n"/>
      <c r="D4134" s="22">
        <f t="array" ref="D4134">IF($C4134="","",IFERROR(INDEX(DATA_MASTER!$C$2:$C$5000,MATCH($C4134,DATA_MASTER!$D$2:$D$5000,0)),""))</f>
        <v/>
      </c>
      <c r="E4134" s="22">
        <f t="array" ref="E4134">IF($C4134="","",IFERROR(INDEX(DATA_MASTER!$I$2:$I$5000,MATCH($C4134,DATA_MASTER!$D$2:$D$5000,0)),""))</f>
        <v/>
      </c>
      <c r="F4134" s="22">
        <f t="array" ref="F4134">IF($C4134="","",IFERROR(INDEX(DATA_MASTER!$L$2:$L$5000,MATCH($C4134,DATA_MASTER!$D$2:$D$5000,0)),""))</f>
        <v/>
      </c>
      <c r="G4134" s="24" t="n"/>
      <c r="H4134" s="24" t="n"/>
      <c r="I4134" s="30" t="n"/>
      <c r="J4134" s="23">
        <f>IF(OR($H4134="",$I4134=""),"",$H4134*$I4134)</f>
        <v/>
      </c>
      <c r="K4134" s="24" t="n"/>
      <c r="L4134" s="24" t="n"/>
      <c r="M4134" s="29" t="n"/>
      <c r="N4134" s="28" t="n"/>
      <c r="O4134" s="24" t="n"/>
      <c r="P4134" s="24" t="n"/>
      <c r="Q4134" s="24" t="n"/>
      <c r="R4134" s="24" t="n"/>
      <c r="S4134" s="22">
        <f>IF(AND($A4134="",$C4134=""),"",IF($A4134="","Thiếu mã đơn; ","")&amp;IF(COUNTIF($A$2:$A4134,$A4134)&gt;1,"Trùng mã đơn; ","")&amp;IF(ISNA(MATCH($C4134,DATA_MASTER!$D$2:$D$5000,0)),"SĐT chưa đăng ký hội viên; ","")&amp;IF(AND($L4134="Đã chuyển khoản",$M4134=""),"Thiếu ngày nhận CK; ",""))</f>
        <v/>
      </c>
      <c r="T4134" s="24" t="n"/>
    </row>
    <row r="4135" ht="14.25" customHeight="1" s="40">
      <c r="A4135" s="24" t="n"/>
      <c r="B4135" s="29" t="n"/>
      <c r="C4135" s="28" t="n"/>
      <c r="D4135" s="22">
        <f t="array" ref="D4135">IF($C4135="","",IFERROR(INDEX(DATA_MASTER!$C$2:$C$5000,MATCH($C4135,DATA_MASTER!$D$2:$D$5000,0)),""))</f>
        <v/>
      </c>
      <c r="E4135" s="22">
        <f t="array" ref="E4135">IF($C4135="","",IFERROR(INDEX(DATA_MASTER!$I$2:$I$5000,MATCH($C4135,DATA_MASTER!$D$2:$D$5000,0)),""))</f>
        <v/>
      </c>
      <c r="F4135" s="22">
        <f t="array" ref="F4135">IF($C4135="","",IFERROR(INDEX(DATA_MASTER!$L$2:$L$5000,MATCH($C4135,DATA_MASTER!$D$2:$D$5000,0)),""))</f>
        <v/>
      </c>
      <c r="G4135" s="24" t="n"/>
      <c r="H4135" s="24" t="n"/>
      <c r="I4135" s="30" t="n"/>
      <c r="J4135" s="23">
        <f>IF(OR($H4135="",$I4135=""),"",$H4135*$I4135)</f>
        <v/>
      </c>
      <c r="K4135" s="24" t="n"/>
      <c r="L4135" s="24" t="n"/>
      <c r="M4135" s="29" t="n"/>
      <c r="N4135" s="28" t="n"/>
      <c r="O4135" s="24" t="n"/>
      <c r="P4135" s="24" t="n"/>
      <c r="Q4135" s="24" t="n"/>
      <c r="R4135" s="24" t="n"/>
      <c r="S4135" s="22">
        <f>IF(AND($A4135="",$C4135=""),"",IF($A4135="","Thiếu mã đơn; ","")&amp;IF(COUNTIF($A$2:$A4135,$A4135)&gt;1,"Trùng mã đơn; ","")&amp;IF(ISNA(MATCH($C4135,DATA_MASTER!$D$2:$D$5000,0)),"SĐT chưa đăng ký hội viên; ","")&amp;IF(AND($L4135="Đã chuyển khoản",$M4135=""),"Thiếu ngày nhận CK; ",""))</f>
        <v/>
      </c>
      <c r="T4135" s="24" t="n"/>
    </row>
    <row r="4136" ht="14.25" customHeight="1" s="40">
      <c r="A4136" s="24" t="n"/>
      <c r="B4136" s="29" t="n"/>
      <c r="C4136" s="28" t="n"/>
      <c r="D4136" s="22">
        <f t="array" ref="D4136">IF($C4136="","",IFERROR(INDEX(DATA_MASTER!$C$2:$C$5000,MATCH($C4136,DATA_MASTER!$D$2:$D$5000,0)),""))</f>
        <v/>
      </c>
      <c r="E4136" s="22">
        <f t="array" ref="E4136">IF($C4136="","",IFERROR(INDEX(DATA_MASTER!$I$2:$I$5000,MATCH($C4136,DATA_MASTER!$D$2:$D$5000,0)),""))</f>
        <v/>
      </c>
      <c r="F4136" s="22">
        <f t="array" ref="F4136">IF($C4136="","",IFERROR(INDEX(DATA_MASTER!$L$2:$L$5000,MATCH($C4136,DATA_MASTER!$D$2:$D$5000,0)),""))</f>
        <v/>
      </c>
      <c r="G4136" s="24" t="n"/>
      <c r="H4136" s="24" t="n"/>
      <c r="I4136" s="30" t="n"/>
      <c r="J4136" s="23">
        <f>IF(OR($H4136="",$I4136=""),"",$H4136*$I4136)</f>
        <v/>
      </c>
      <c r="K4136" s="24" t="n"/>
      <c r="L4136" s="24" t="n"/>
      <c r="M4136" s="29" t="n"/>
      <c r="N4136" s="28" t="n"/>
      <c r="O4136" s="24" t="n"/>
      <c r="P4136" s="24" t="n"/>
      <c r="Q4136" s="24" t="n"/>
      <c r="R4136" s="24" t="n"/>
      <c r="S4136" s="22">
        <f>IF(AND($A4136="",$C4136=""),"",IF($A4136="","Thiếu mã đơn; ","")&amp;IF(COUNTIF($A$2:$A4136,$A4136)&gt;1,"Trùng mã đơn; ","")&amp;IF(ISNA(MATCH($C4136,DATA_MASTER!$D$2:$D$5000,0)),"SĐT chưa đăng ký hội viên; ","")&amp;IF(AND($L4136="Đã chuyển khoản",$M4136=""),"Thiếu ngày nhận CK; ",""))</f>
        <v/>
      </c>
      <c r="T4136" s="24" t="n"/>
    </row>
    <row r="4137" ht="14.25" customHeight="1" s="40">
      <c r="A4137" s="24" t="n"/>
      <c r="B4137" s="29" t="n"/>
      <c r="C4137" s="28" t="n"/>
      <c r="D4137" s="22">
        <f t="array" ref="D4137">IF($C4137="","",IFERROR(INDEX(DATA_MASTER!$C$2:$C$5000,MATCH($C4137,DATA_MASTER!$D$2:$D$5000,0)),""))</f>
        <v/>
      </c>
      <c r="E4137" s="22">
        <f t="array" ref="E4137">IF($C4137="","",IFERROR(INDEX(DATA_MASTER!$I$2:$I$5000,MATCH($C4137,DATA_MASTER!$D$2:$D$5000,0)),""))</f>
        <v/>
      </c>
      <c r="F4137" s="22">
        <f t="array" ref="F4137">IF($C4137="","",IFERROR(INDEX(DATA_MASTER!$L$2:$L$5000,MATCH($C4137,DATA_MASTER!$D$2:$D$5000,0)),""))</f>
        <v/>
      </c>
      <c r="G4137" s="24" t="n"/>
      <c r="H4137" s="24" t="n"/>
      <c r="I4137" s="30" t="n"/>
      <c r="J4137" s="23">
        <f>IF(OR($H4137="",$I4137=""),"",$H4137*$I4137)</f>
        <v/>
      </c>
      <c r="K4137" s="24" t="n"/>
      <c r="L4137" s="24" t="n"/>
      <c r="M4137" s="29" t="n"/>
      <c r="N4137" s="28" t="n"/>
      <c r="O4137" s="24" t="n"/>
      <c r="P4137" s="24" t="n"/>
      <c r="Q4137" s="24" t="n"/>
      <c r="R4137" s="24" t="n"/>
      <c r="S4137" s="22">
        <f>IF(AND($A4137="",$C4137=""),"",IF($A4137="","Thiếu mã đơn; ","")&amp;IF(COUNTIF($A$2:$A4137,$A4137)&gt;1,"Trùng mã đơn; ","")&amp;IF(ISNA(MATCH($C4137,DATA_MASTER!$D$2:$D$5000,0)),"SĐT chưa đăng ký hội viên; ","")&amp;IF(AND($L4137="Đã chuyển khoản",$M4137=""),"Thiếu ngày nhận CK; ",""))</f>
        <v/>
      </c>
      <c r="T4137" s="24" t="n"/>
    </row>
    <row r="4138" ht="14.25" customHeight="1" s="40">
      <c r="A4138" s="24" t="n"/>
      <c r="B4138" s="29" t="n"/>
      <c r="C4138" s="28" t="n"/>
      <c r="D4138" s="22">
        <f t="array" ref="D4138">IF($C4138="","",IFERROR(INDEX(DATA_MASTER!$C$2:$C$5000,MATCH($C4138,DATA_MASTER!$D$2:$D$5000,0)),""))</f>
        <v/>
      </c>
      <c r="E4138" s="22">
        <f t="array" ref="E4138">IF($C4138="","",IFERROR(INDEX(DATA_MASTER!$I$2:$I$5000,MATCH($C4138,DATA_MASTER!$D$2:$D$5000,0)),""))</f>
        <v/>
      </c>
      <c r="F4138" s="22">
        <f t="array" ref="F4138">IF($C4138="","",IFERROR(INDEX(DATA_MASTER!$L$2:$L$5000,MATCH($C4138,DATA_MASTER!$D$2:$D$5000,0)),""))</f>
        <v/>
      </c>
      <c r="G4138" s="24" t="n"/>
      <c r="H4138" s="24" t="n"/>
      <c r="I4138" s="30" t="n"/>
      <c r="J4138" s="23">
        <f>IF(OR($H4138="",$I4138=""),"",$H4138*$I4138)</f>
        <v/>
      </c>
      <c r="K4138" s="24" t="n"/>
      <c r="L4138" s="24" t="n"/>
      <c r="M4138" s="29" t="n"/>
      <c r="N4138" s="28" t="n"/>
      <c r="O4138" s="24" t="n"/>
      <c r="P4138" s="24" t="n"/>
      <c r="Q4138" s="24" t="n"/>
      <c r="R4138" s="24" t="n"/>
      <c r="S4138" s="22">
        <f>IF(AND($A4138="",$C4138=""),"",IF($A4138="","Thiếu mã đơn; ","")&amp;IF(COUNTIF($A$2:$A4138,$A4138)&gt;1,"Trùng mã đơn; ","")&amp;IF(ISNA(MATCH($C4138,DATA_MASTER!$D$2:$D$5000,0)),"SĐT chưa đăng ký hội viên; ","")&amp;IF(AND($L4138="Đã chuyển khoản",$M4138=""),"Thiếu ngày nhận CK; ",""))</f>
        <v/>
      </c>
      <c r="T4138" s="24" t="n"/>
    </row>
    <row r="4139" ht="14.25" customHeight="1" s="40">
      <c r="A4139" s="24" t="n"/>
      <c r="B4139" s="29" t="n"/>
      <c r="C4139" s="28" t="n"/>
      <c r="D4139" s="22">
        <f t="array" ref="D4139">IF($C4139="","",IFERROR(INDEX(DATA_MASTER!$C$2:$C$5000,MATCH($C4139,DATA_MASTER!$D$2:$D$5000,0)),""))</f>
        <v/>
      </c>
      <c r="E4139" s="22">
        <f t="array" ref="E4139">IF($C4139="","",IFERROR(INDEX(DATA_MASTER!$I$2:$I$5000,MATCH($C4139,DATA_MASTER!$D$2:$D$5000,0)),""))</f>
        <v/>
      </c>
      <c r="F4139" s="22">
        <f t="array" ref="F4139">IF($C4139="","",IFERROR(INDEX(DATA_MASTER!$L$2:$L$5000,MATCH($C4139,DATA_MASTER!$D$2:$D$5000,0)),""))</f>
        <v/>
      </c>
      <c r="G4139" s="24" t="n"/>
      <c r="H4139" s="24" t="n"/>
      <c r="I4139" s="30" t="n"/>
      <c r="J4139" s="23">
        <f>IF(OR($H4139="",$I4139=""),"",$H4139*$I4139)</f>
        <v/>
      </c>
      <c r="K4139" s="24" t="n"/>
      <c r="L4139" s="24" t="n"/>
      <c r="M4139" s="29" t="n"/>
      <c r="N4139" s="28" t="n"/>
      <c r="O4139" s="24" t="n"/>
      <c r="P4139" s="24" t="n"/>
      <c r="Q4139" s="24" t="n"/>
      <c r="R4139" s="24" t="n"/>
      <c r="S4139" s="22">
        <f>IF(AND($A4139="",$C4139=""),"",IF($A4139="","Thiếu mã đơn; ","")&amp;IF(COUNTIF($A$2:$A4139,$A4139)&gt;1,"Trùng mã đơn; ","")&amp;IF(ISNA(MATCH($C4139,DATA_MASTER!$D$2:$D$5000,0)),"SĐT chưa đăng ký hội viên; ","")&amp;IF(AND($L4139="Đã chuyển khoản",$M4139=""),"Thiếu ngày nhận CK; ",""))</f>
        <v/>
      </c>
      <c r="T4139" s="24" t="n"/>
    </row>
    <row r="4140" ht="14.25" customHeight="1" s="40">
      <c r="A4140" s="24" t="n"/>
      <c r="B4140" s="29" t="n"/>
      <c r="C4140" s="28" t="n"/>
      <c r="D4140" s="22">
        <f t="array" ref="D4140">IF($C4140="","",IFERROR(INDEX(DATA_MASTER!$C$2:$C$5000,MATCH($C4140,DATA_MASTER!$D$2:$D$5000,0)),""))</f>
        <v/>
      </c>
      <c r="E4140" s="22">
        <f t="array" ref="E4140">IF($C4140="","",IFERROR(INDEX(DATA_MASTER!$I$2:$I$5000,MATCH($C4140,DATA_MASTER!$D$2:$D$5000,0)),""))</f>
        <v/>
      </c>
      <c r="F4140" s="22">
        <f t="array" ref="F4140">IF($C4140="","",IFERROR(INDEX(DATA_MASTER!$L$2:$L$5000,MATCH($C4140,DATA_MASTER!$D$2:$D$5000,0)),""))</f>
        <v/>
      </c>
      <c r="G4140" s="24" t="n"/>
      <c r="H4140" s="24" t="n"/>
      <c r="I4140" s="30" t="n"/>
      <c r="J4140" s="23">
        <f>IF(OR($H4140="",$I4140=""),"",$H4140*$I4140)</f>
        <v/>
      </c>
      <c r="K4140" s="24" t="n"/>
      <c r="L4140" s="24" t="n"/>
      <c r="M4140" s="29" t="n"/>
      <c r="N4140" s="28" t="n"/>
      <c r="O4140" s="24" t="n"/>
      <c r="P4140" s="24" t="n"/>
      <c r="Q4140" s="24" t="n"/>
      <c r="R4140" s="24" t="n"/>
      <c r="S4140" s="22">
        <f>IF(AND($A4140="",$C4140=""),"",IF($A4140="","Thiếu mã đơn; ","")&amp;IF(COUNTIF($A$2:$A4140,$A4140)&gt;1,"Trùng mã đơn; ","")&amp;IF(ISNA(MATCH($C4140,DATA_MASTER!$D$2:$D$5000,0)),"SĐT chưa đăng ký hội viên; ","")&amp;IF(AND($L4140="Đã chuyển khoản",$M4140=""),"Thiếu ngày nhận CK; ",""))</f>
        <v/>
      </c>
      <c r="T4140" s="24" t="n"/>
    </row>
    <row r="4141" ht="14.25" customHeight="1" s="40">
      <c r="A4141" s="24" t="n"/>
      <c r="B4141" s="29" t="n"/>
      <c r="C4141" s="28" t="n"/>
      <c r="D4141" s="22">
        <f t="array" ref="D4141">IF($C4141="","",IFERROR(INDEX(DATA_MASTER!$C$2:$C$5000,MATCH($C4141,DATA_MASTER!$D$2:$D$5000,0)),""))</f>
        <v/>
      </c>
      <c r="E4141" s="22">
        <f t="array" ref="E4141">IF($C4141="","",IFERROR(INDEX(DATA_MASTER!$I$2:$I$5000,MATCH($C4141,DATA_MASTER!$D$2:$D$5000,0)),""))</f>
        <v/>
      </c>
      <c r="F4141" s="22">
        <f t="array" ref="F4141">IF($C4141="","",IFERROR(INDEX(DATA_MASTER!$L$2:$L$5000,MATCH($C4141,DATA_MASTER!$D$2:$D$5000,0)),""))</f>
        <v/>
      </c>
      <c r="G4141" s="24" t="n"/>
      <c r="H4141" s="24" t="n"/>
      <c r="I4141" s="30" t="n"/>
      <c r="J4141" s="23">
        <f>IF(OR($H4141="",$I4141=""),"",$H4141*$I4141)</f>
        <v/>
      </c>
      <c r="K4141" s="24" t="n"/>
      <c r="L4141" s="24" t="n"/>
      <c r="M4141" s="29" t="n"/>
      <c r="N4141" s="28" t="n"/>
      <c r="O4141" s="24" t="n"/>
      <c r="P4141" s="24" t="n"/>
      <c r="Q4141" s="24" t="n"/>
      <c r="R4141" s="24" t="n"/>
      <c r="S4141" s="22">
        <f>IF(AND($A4141="",$C4141=""),"",IF($A4141="","Thiếu mã đơn; ","")&amp;IF(COUNTIF($A$2:$A4141,$A4141)&gt;1,"Trùng mã đơn; ","")&amp;IF(ISNA(MATCH($C4141,DATA_MASTER!$D$2:$D$5000,0)),"SĐT chưa đăng ký hội viên; ","")&amp;IF(AND($L4141="Đã chuyển khoản",$M4141=""),"Thiếu ngày nhận CK; ",""))</f>
        <v/>
      </c>
      <c r="T4141" s="24" t="n"/>
    </row>
    <row r="4142" ht="14.25" customHeight="1" s="40">
      <c r="A4142" s="24" t="n"/>
      <c r="B4142" s="29" t="n"/>
      <c r="C4142" s="28" t="n"/>
      <c r="D4142" s="22">
        <f t="array" ref="D4142">IF($C4142="","",IFERROR(INDEX(DATA_MASTER!$C$2:$C$5000,MATCH($C4142,DATA_MASTER!$D$2:$D$5000,0)),""))</f>
        <v/>
      </c>
      <c r="E4142" s="22">
        <f t="array" ref="E4142">IF($C4142="","",IFERROR(INDEX(DATA_MASTER!$I$2:$I$5000,MATCH($C4142,DATA_MASTER!$D$2:$D$5000,0)),""))</f>
        <v/>
      </c>
      <c r="F4142" s="22">
        <f t="array" ref="F4142">IF($C4142="","",IFERROR(INDEX(DATA_MASTER!$L$2:$L$5000,MATCH($C4142,DATA_MASTER!$D$2:$D$5000,0)),""))</f>
        <v/>
      </c>
      <c r="G4142" s="24" t="n"/>
      <c r="H4142" s="24" t="n"/>
      <c r="I4142" s="30" t="n"/>
      <c r="J4142" s="23">
        <f>IF(OR($H4142="",$I4142=""),"",$H4142*$I4142)</f>
        <v/>
      </c>
      <c r="K4142" s="24" t="n"/>
      <c r="L4142" s="24" t="n"/>
      <c r="M4142" s="29" t="n"/>
      <c r="N4142" s="28" t="n"/>
      <c r="O4142" s="24" t="n"/>
      <c r="P4142" s="24" t="n"/>
      <c r="Q4142" s="24" t="n"/>
      <c r="R4142" s="24" t="n"/>
      <c r="S4142" s="22">
        <f>IF(AND($A4142="",$C4142=""),"",IF($A4142="","Thiếu mã đơn; ","")&amp;IF(COUNTIF($A$2:$A4142,$A4142)&gt;1,"Trùng mã đơn; ","")&amp;IF(ISNA(MATCH($C4142,DATA_MASTER!$D$2:$D$5000,0)),"SĐT chưa đăng ký hội viên; ","")&amp;IF(AND($L4142="Đã chuyển khoản",$M4142=""),"Thiếu ngày nhận CK; ",""))</f>
        <v/>
      </c>
      <c r="T4142" s="24" t="n"/>
    </row>
    <row r="4143" ht="14.25" customHeight="1" s="40">
      <c r="A4143" s="24" t="n"/>
      <c r="B4143" s="29" t="n"/>
      <c r="C4143" s="28" t="n"/>
      <c r="D4143" s="22">
        <f t="array" ref="D4143">IF($C4143="","",IFERROR(INDEX(DATA_MASTER!$C$2:$C$5000,MATCH($C4143,DATA_MASTER!$D$2:$D$5000,0)),""))</f>
        <v/>
      </c>
      <c r="E4143" s="22">
        <f t="array" ref="E4143">IF($C4143="","",IFERROR(INDEX(DATA_MASTER!$I$2:$I$5000,MATCH($C4143,DATA_MASTER!$D$2:$D$5000,0)),""))</f>
        <v/>
      </c>
      <c r="F4143" s="22">
        <f t="array" ref="F4143">IF($C4143="","",IFERROR(INDEX(DATA_MASTER!$L$2:$L$5000,MATCH($C4143,DATA_MASTER!$D$2:$D$5000,0)),""))</f>
        <v/>
      </c>
      <c r="G4143" s="24" t="n"/>
      <c r="H4143" s="24" t="n"/>
      <c r="I4143" s="30" t="n"/>
      <c r="J4143" s="23">
        <f>IF(OR($H4143="",$I4143=""),"",$H4143*$I4143)</f>
        <v/>
      </c>
      <c r="K4143" s="24" t="n"/>
      <c r="L4143" s="24" t="n"/>
      <c r="M4143" s="29" t="n"/>
      <c r="N4143" s="28" t="n"/>
      <c r="O4143" s="24" t="n"/>
      <c r="P4143" s="24" t="n"/>
      <c r="Q4143" s="24" t="n"/>
      <c r="R4143" s="24" t="n"/>
      <c r="S4143" s="22">
        <f>IF(AND($A4143="",$C4143=""),"",IF($A4143="","Thiếu mã đơn; ","")&amp;IF(COUNTIF($A$2:$A4143,$A4143)&gt;1,"Trùng mã đơn; ","")&amp;IF(ISNA(MATCH($C4143,DATA_MASTER!$D$2:$D$5000,0)),"SĐT chưa đăng ký hội viên; ","")&amp;IF(AND($L4143="Đã chuyển khoản",$M4143=""),"Thiếu ngày nhận CK; ",""))</f>
        <v/>
      </c>
      <c r="T4143" s="24" t="n"/>
    </row>
    <row r="4144" ht="14.25" customHeight="1" s="40">
      <c r="A4144" s="24" t="n"/>
      <c r="B4144" s="29" t="n"/>
      <c r="C4144" s="28" t="n"/>
      <c r="D4144" s="22">
        <f t="array" ref="D4144">IF($C4144="","",IFERROR(INDEX(DATA_MASTER!$C$2:$C$5000,MATCH($C4144,DATA_MASTER!$D$2:$D$5000,0)),""))</f>
        <v/>
      </c>
      <c r="E4144" s="22">
        <f t="array" ref="E4144">IF($C4144="","",IFERROR(INDEX(DATA_MASTER!$I$2:$I$5000,MATCH($C4144,DATA_MASTER!$D$2:$D$5000,0)),""))</f>
        <v/>
      </c>
      <c r="F4144" s="22">
        <f t="array" ref="F4144">IF($C4144="","",IFERROR(INDEX(DATA_MASTER!$L$2:$L$5000,MATCH($C4144,DATA_MASTER!$D$2:$D$5000,0)),""))</f>
        <v/>
      </c>
      <c r="G4144" s="24" t="n"/>
      <c r="H4144" s="24" t="n"/>
      <c r="I4144" s="30" t="n"/>
      <c r="J4144" s="23">
        <f>IF(OR($H4144="",$I4144=""),"",$H4144*$I4144)</f>
        <v/>
      </c>
      <c r="K4144" s="24" t="n"/>
      <c r="L4144" s="24" t="n"/>
      <c r="M4144" s="29" t="n"/>
      <c r="N4144" s="28" t="n"/>
      <c r="O4144" s="24" t="n"/>
      <c r="P4144" s="24" t="n"/>
      <c r="Q4144" s="24" t="n"/>
      <c r="R4144" s="24" t="n"/>
      <c r="S4144" s="22">
        <f>IF(AND($A4144="",$C4144=""),"",IF($A4144="","Thiếu mã đơn; ","")&amp;IF(COUNTIF($A$2:$A4144,$A4144)&gt;1,"Trùng mã đơn; ","")&amp;IF(ISNA(MATCH($C4144,DATA_MASTER!$D$2:$D$5000,0)),"SĐT chưa đăng ký hội viên; ","")&amp;IF(AND($L4144="Đã chuyển khoản",$M4144=""),"Thiếu ngày nhận CK; ",""))</f>
        <v/>
      </c>
      <c r="T4144" s="24" t="n"/>
    </row>
    <row r="4145" ht="14.25" customHeight="1" s="40">
      <c r="A4145" s="24" t="n"/>
      <c r="B4145" s="29" t="n"/>
      <c r="C4145" s="28" t="n"/>
      <c r="D4145" s="22">
        <f t="array" ref="D4145">IF($C4145="","",IFERROR(INDEX(DATA_MASTER!$C$2:$C$5000,MATCH($C4145,DATA_MASTER!$D$2:$D$5000,0)),""))</f>
        <v/>
      </c>
      <c r="E4145" s="22">
        <f t="array" ref="E4145">IF($C4145="","",IFERROR(INDEX(DATA_MASTER!$I$2:$I$5000,MATCH($C4145,DATA_MASTER!$D$2:$D$5000,0)),""))</f>
        <v/>
      </c>
      <c r="F4145" s="22">
        <f t="array" ref="F4145">IF($C4145="","",IFERROR(INDEX(DATA_MASTER!$L$2:$L$5000,MATCH($C4145,DATA_MASTER!$D$2:$D$5000,0)),""))</f>
        <v/>
      </c>
      <c r="G4145" s="24" t="n"/>
      <c r="H4145" s="24" t="n"/>
      <c r="I4145" s="30" t="n"/>
      <c r="J4145" s="23">
        <f>IF(OR($H4145="",$I4145=""),"",$H4145*$I4145)</f>
        <v/>
      </c>
      <c r="K4145" s="24" t="n"/>
      <c r="L4145" s="24" t="n"/>
      <c r="M4145" s="29" t="n"/>
      <c r="N4145" s="28" t="n"/>
      <c r="O4145" s="24" t="n"/>
      <c r="P4145" s="24" t="n"/>
      <c r="Q4145" s="24" t="n"/>
      <c r="R4145" s="24" t="n"/>
      <c r="S4145" s="22">
        <f>IF(AND($A4145="",$C4145=""),"",IF($A4145="","Thiếu mã đơn; ","")&amp;IF(COUNTIF($A$2:$A4145,$A4145)&gt;1,"Trùng mã đơn; ","")&amp;IF(ISNA(MATCH($C4145,DATA_MASTER!$D$2:$D$5000,0)),"SĐT chưa đăng ký hội viên; ","")&amp;IF(AND($L4145="Đã chuyển khoản",$M4145=""),"Thiếu ngày nhận CK; ",""))</f>
        <v/>
      </c>
      <c r="T4145" s="24" t="n"/>
    </row>
    <row r="4146" ht="14.25" customHeight="1" s="40">
      <c r="A4146" s="24" t="n"/>
      <c r="B4146" s="29" t="n"/>
      <c r="C4146" s="28" t="n"/>
      <c r="D4146" s="22">
        <f t="array" ref="D4146">IF($C4146="","",IFERROR(INDEX(DATA_MASTER!$C$2:$C$5000,MATCH($C4146,DATA_MASTER!$D$2:$D$5000,0)),""))</f>
        <v/>
      </c>
      <c r="E4146" s="22">
        <f t="array" ref="E4146">IF($C4146="","",IFERROR(INDEX(DATA_MASTER!$I$2:$I$5000,MATCH($C4146,DATA_MASTER!$D$2:$D$5000,0)),""))</f>
        <v/>
      </c>
      <c r="F4146" s="22">
        <f t="array" ref="F4146">IF($C4146="","",IFERROR(INDEX(DATA_MASTER!$L$2:$L$5000,MATCH($C4146,DATA_MASTER!$D$2:$D$5000,0)),""))</f>
        <v/>
      </c>
      <c r="G4146" s="24" t="n"/>
      <c r="H4146" s="24" t="n"/>
      <c r="I4146" s="30" t="n"/>
      <c r="J4146" s="23">
        <f>IF(OR($H4146="",$I4146=""),"",$H4146*$I4146)</f>
        <v/>
      </c>
      <c r="K4146" s="24" t="n"/>
      <c r="L4146" s="24" t="n"/>
      <c r="M4146" s="29" t="n"/>
      <c r="N4146" s="28" t="n"/>
      <c r="O4146" s="24" t="n"/>
      <c r="P4146" s="24" t="n"/>
      <c r="Q4146" s="24" t="n"/>
      <c r="R4146" s="24" t="n"/>
      <c r="S4146" s="22">
        <f>IF(AND($A4146="",$C4146=""),"",IF($A4146="","Thiếu mã đơn; ","")&amp;IF(COUNTIF($A$2:$A4146,$A4146)&gt;1,"Trùng mã đơn; ","")&amp;IF(ISNA(MATCH($C4146,DATA_MASTER!$D$2:$D$5000,0)),"SĐT chưa đăng ký hội viên; ","")&amp;IF(AND($L4146="Đã chuyển khoản",$M4146=""),"Thiếu ngày nhận CK; ",""))</f>
        <v/>
      </c>
      <c r="T4146" s="24" t="n"/>
    </row>
    <row r="4147" ht="14.25" customHeight="1" s="40">
      <c r="A4147" s="24" t="n"/>
      <c r="B4147" s="29" t="n"/>
      <c r="C4147" s="28" t="n"/>
      <c r="D4147" s="22">
        <f t="array" ref="D4147">IF($C4147="","",IFERROR(INDEX(DATA_MASTER!$C$2:$C$5000,MATCH($C4147,DATA_MASTER!$D$2:$D$5000,0)),""))</f>
        <v/>
      </c>
      <c r="E4147" s="22">
        <f t="array" ref="E4147">IF($C4147="","",IFERROR(INDEX(DATA_MASTER!$I$2:$I$5000,MATCH($C4147,DATA_MASTER!$D$2:$D$5000,0)),""))</f>
        <v/>
      </c>
      <c r="F4147" s="22">
        <f t="array" ref="F4147">IF($C4147="","",IFERROR(INDEX(DATA_MASTER!$L$2:$L$5000,MATCH($C4147,DATA_MASTER!$D$2:$D$5000,0)),""))</f>
        <v/>
      </c>
      <c r="G4147" s="24" t="n"/>
      <c r="H4147" s="24" t="n"/>
      <c r="I4147" s="30" t="n"/>
      <c r="J4147" s="23">
        <f>IF(OR($H4147="",$I4147=""),"",$H4147*$I4147)</f>
        <v/>
      </c>
      <c r="K4147" s="24" t="n"/>
      <c r="L4147" s="24" t="n"/>
      <c r="M4147" s="29" t="n"/>
      <c r="N4147" s="28" t="n"/>
      <c r="O4147" s="24" t="n"/>
      <c r="P4147" s="24" t="n"/>
      <c r="Q4147" s="24" t="n"/>
      <c r="R4147" s="24" t="n"/>
      <c r="S4147" s="22">
        <f>IF(AND($A4147="",$C4147=""),"",IF($A4147="","Thiếu mã đơn; ","")&amp;IF(COUNTIF($A$2:$A4147,$A4147)&gt;1,"Trùng mã đơn; ","")&amp;IF(ISNA(MATCH($C4147,DATA_MASTER!$D$2:$D$5000,0)),"SĐT chưa đăng ký hội viên; ","")&amp;IF(AND($L4147="Đã chuyển khoản",$M4147=""),"Thiếu ngày nhận CK; ",""))</f>
        <v/>
      </c>
      <c r="T4147" s="24" t="n"/>
    </row>
    <row r="4148" ht="14.25" customHeight="1" s="40">
      <c r="A4148" s="24" t="n"/>
      <c r="B4148" s="29" t="n"/>
      <c r="C4148" s="28" t="n"/>
      <c r="D4148" s="22">
        <f t="array" ref="D4148">IF($C4148="","",IFERROR(INDEX(DATA_MASTER!$C$2:$C$5000,MATCH($C4148,DATA_MASTER!$D$2:$D$5000,0)),""))</f>
        <v/>
      </c>
      <c r="E4148" s="22">
        <f t="array" ref="E4148">IF($C4148="","",IFERROR(INDEX(DATA_MASTER!$I$2:$I$5000,MATCH($C4148,DATA_MASTER!$D$2:$D$5000,0)),""))</f>
        <v/>
      </c>
      <c r="F4148" s="22">
        <f t="array" ref="F4148">IF($C4148="","",IFERROR(INDEX(DATA_MASTER!$L$2:$L$5000,MATCH($C4148,DATA_MASTER!$D$2:$D$5000,0)),""))</f>
        <v/>
      </c>
      <c r="G4148" s="24" t="n"/>
      <c r="H4148" s="24" t="n"/>
      <c r="I4148" s="30" t="n"/>
      <c r="J4148" s="23">
        <f>IF(OR($H4148="",$I4148=""),"",$H4148*$I4148)</f>
        <v/>
      </c>
      <c r="K4148" s="24" t="n"/>
      <c r="L4148" s="24" t="n"/>
      <c r="M4148" s="29" t="n"/>
      <c r="N4148" s="28" t="n"/>
      <c r="O4148" s="24" t="n"/>
      <c r="P4148" s="24" t="n"/>
      <c r="Q4148" s="24" t="n"/>
      <c r="R4148" s="24" t="n"/>
      <c r="S4148" s="22">
        <f>IF(AND($A4148="",$C4148=""),"",IF($A4148="","Thiếu mã đơn; ","")&amp;IF(COUNTIF($A$2:$A4148,$A4148)&gt;1,"Trùng mã đơn; ","")&amp;IF(ISNA(MATCH($C4148,DATA_MASTER!$D$2:$D$5000,0)),"SĐT chưa đăng ký hội viên; ","")&amp;IF(AND($L4148="Đã chuyển khoản",$M4148=""),"Thiếu ngày nhận CK; ",""))</f>
        <v/>
      </c>
      <c r="T4148" s="24" t="n"/>
    </row>
    <row r="4149" ht="14.25" customHeight="1" s="40">
      <c r="A4149" s="24" t="n"/>
      <c r="B4149" s="29" t="n"/>
      <c r="C4149" s="28" t="n"/>
      <c r="D4149" s="22">
        <f t="array" ref="D4149">IF($C4149="","",IFERROR(INDEX(DATA_MASTER!$C$2:$C$5000,MATCH($C4149,DATA_MASTER!$D$2:$D$5000,0)),""))</f>
        <v/>
      </c>
      <c r="E4149" s="22">
        <f t="array" ref="E4149">IF($C4149="","",IFERROR(INDEX(DATA_MASTER!$I$2:$I$5000,MATCH($C4149,DATA_MASTER!$D$2:$D$5000,0)),""))</f>
        <v/>
      </c>
      <c r="F4149" s="22">
        <f t="array" ref="F4149">IF($C4149="","",IFERROR(INDEX(DATA_MASTER!$L$2:$L$5000,MATCH($C4149,DATA_MASTER!$D$2:$D$5000,0)),""))</f>
        <v/>
      </c>
      <c r="G4149" s="24" t="n"/>
      <c r="H4149" s="24" t="n"/>
      <c r="I4149" s="30" t="n"/>
      <c r="J4149" s="23">
        <f>IF(OR($H4149="",$I4149=""),"",$H4149*$I4149)</f>
        <v/>
      </c>
      <c r="K4149" s="24" t="n"/>
      <c r="L4149" s="24" t="n"/>
      <c r="M4149" s="29" t="n"/>
      <c r="N4149" s="28" t="n"/>
      <c r="O4149" s="24" t="n"/>
      <c r="P4149" s="24" t="n"/>
      <c r="Q4149" s="24" t="n"/>
      <c r="R4149" s="24" t="n"/>
      <c r="S4149" s="22">
        <f>IF(AND($A4149="",$C4149=""),"",IF($A4149="","Thiếu mã đơn; ","")&amp;IF(COUNTIF($A$2:$A4149,$A4149)&gt;1,"Trùng mã đơn; ","")&amp;IF(ISNA(MATCH($C4149,DATA_MASTER!$D$2:$D$5000,0)),"SĐT chưa đăng ký hội viên; ","")&amp;IF(AND($L4149="Đã chuyển khoản",$M4149=""),"Thiếu ngày nhận CK; ",""))</f>
        <v/>
      </c>
      <c r="T4149" s="24" t="n"/>
    </row>
    <row r="4150" ht="14.25" customHeight="1" s="40">
      <c r="A4150" s="24" t="n"/>
      <c r="B4150" s="29" t="n"/>
      <c r="C4150" s="28" t="n"/>
      <c r="D4150" s="22">
        <f t="array" ref="D4150">IF($C4150="","",IFERROR(INDEX(DATA_MASTER!$C$2:$C$5000,MATCH($C4150,DATA_MASTER!$D$2:$D$5000,0)),""))</f>
        <v/>
      </c>
      <c r="E4150" s="22">
        <f t="array" ref="E4150">IF($C4150="","",IFERROR(INDEX(DATA_MASTER!$I$2:$I$5000,MATCH($C4150,DATA_MASTER!$D$2:$D$5000,0)),""))</f>
        <v/>
      </c>
      <c r="F4150" s="22">
        <f t="array" ref="F4150">IF($C4150="","",IFERROR(INDEX(DATA_MASTER!$L$2:$L$5000,MATCH($C4150,DATA_MASTER!$D$2:$D$5000,0)),""))</f>
        <v/>
      </c>
      <c r="G4150" s="24" t="n"/>
      <c r="H4150" s="24" t="n"/>
      <c r="I4150" s="30" t="n"/>
      <c r="J4150" s="23">
        <f>IF(OR($H4150="",$I4150=""),"",$H4150*$I4150)</f>
        <v/>
      </c>
      <c r="K4150" s="24" t="n"/>
      <c r="L4150" s="24" t="n"/>
      <c r="M4150" s="29" t="n"/>
      <c r="N4150" s="28" t="n"/>
      <c r="O4150" s="24" t="n"/>
      <c r="P4150" s="24" t="n"/>
      <c r="Q4150" s="24" t="n"/>
      <c r="R4150" s="24" t="n"/>
      <c r="S4150" s="22">
        <f>IF(AND($A4150="",$C4150=""),"",IF($A4150="","Thiếu mã đơn; ","")&amp;IF(COUNTIF($A$2:$A4150,$A4150)&gt;1,"Trùng mã đơn; ","")&amp;IF(ISNA(MATCH($C4150,DATA_MASTER!$D$2:$D$5000,0)),"SĐT chưa đăng ký hội viên; ","")&amp;IF(AND($L4150="Đã chuyển khoản",$M4150=""),"Thiếu ngày nhận CK; ",""))</f>
        <v/>
      </c>
      <c r="T4150" s="24" t="n"/>
    </row>
    <row r="4151" ht="14.25" customHeight="1" s="40">
      <c r="A4151" s="24" t="n"/>
      <c r="B4151" s="29" t="n"/>
      <c r="C4151" s="28" t="n"/>
      <c r="D4151" s="22">
        <f t="array" ref="D4151">IF($C4151="","",IFERROR(INDEX(DATA_MASTER!$C$2:$C$5000,MATCH($C4151,DATA_MASTER!$D$2:$D$5000,0)),""))</f>
        <v/>
      </c>
      <c r="E4151" s="22">
        <f t="array" ref="E4151">IF($C4151="","",IFERROR(INDEX(DATA_MASTER!$I$2:$I$5000,MATCH($C4151,DATA_MASTER!$D$2:$D$5000,0)),""))</f>
        <v/>
      </c>
      <c r="F4151" s="22">
        <f t="array" ref="F4151">IF($C4151="","",IFERROR(INDEX(DATA_MASTER!$L$2:$L$5000,MATCH($C4151,DATA_MASTER!$D$2:$D$5000,0)),""))</f>
        <v/>
      </c>
      <c r="G4151" s="24" t="n"/>
      <c r="H4151" s="24" t="n"/>
      <c r="I4151" s="30" t="n"/>
      <c r="J4151" s="23">
        <f>IF(OR($H4151="",$I4151=""),"",$H4151*$I4151)</f>
        <v/>
      </c>
      <c r="K4151" s="24" t="n"/>
      <c r="L4151" s="24" t="n"/>
      <c r="M4151" s="29" t="n"/>
      <c r="N4151" s="28" t="n"/>
      <c r="O4151" s="24" t="n"/>
      <c r="P4151" s="24" t="n"/>
      <c r="Q4151" s="24" t="n"/>
      <c r="R4151" s="24" t="n"/>
      <c r="S4151" s="22">
        <f>IF(AND($A4151="",$C4151=""),"",IF($A4151="","Thiếu mã đơn; ","")&amp;IF(COUNTIF($A$2:$A4151,$A4151)&gt;1,"Trùng mã đơn; ","")&amp;IF(ISNA(MATCH($C4151,DATA_MASTER!$D$2:$D$5000,0)),"SĐT chưa đăng ký hội viên; ","")&amp;IF(AND($L4151="Đã chuyển khoản",$M4151=""),"Thiếu ngày nhận CK; ",""))</f>
        <v/>
      </c>
      <c r="T4151" s="24" t="n"/>
    </row>
    <row r="4152" ht="14.25" customHeight="1" s="40">
      <c r="A4152" s="24" t="n"/>
      <c r="B4152" s="29" t="n"/>
      <c r="C4152" s="28" t="n"/>
      <c r="D4152" s="22">
        <f t="array" ref="D4152">IF($C4152="","",IFERROR(INDEX(DATA_MASTER!$C$2:$C$5000,MATCH($C4152,DATA_MASTER!$D$2:$D$5000,0)),""))</f>
        <v/>
      </c>
      <c r="E4152" s="22">
        <f t="array" ref="E4152">IF($C4152="","",IFERROR(INDEX(DATA_MASTER!$I$2:$I$5000,MATCH($C4152,DATA_MASTER!$D$2:$D$5000,0)),""))</f>
        <v/>
      </c>
      <c r="F4152" s="22">
        <f t="array" ref="F4152">IF($C4152="","",IFERROR(INDEX(DATA_MASTER!$L$2:$L$5000,MATCH($C4152,DATA_MASTER!$D$2:$D$5000,0)),""))</f>
        <v/>
      </c>
      <c r="G4152" s="24" t="n"/>
      <c r="H4152" s="24" t="n"/>
      <c r="I4152" s="30" t="n"/>
      <c r="J4152" s="23">
        <f>IF(OR($H4152="",$I4152=""),"",$H4152*$I4152)</f>
        <v/>
      </c>
      <c r="K4152" s="24" t="n"/>
      <c r="L4152" s="24" t="n"/>
      <c r="M4152" s="29" t="n"/>
      <c r="N4152" s="28" t="n"/>
      <c r="O4152" s="24" t="n"/>
      <c r="P4152" s="24" t="n"/>
      <c r="Q4152" s="24" t="n"/>
      <c r="R4152" s="24" t="n"/>
      <c r="S4152" s="22">
        <f>IF(AND($A4152="",$C4152=""),"",IF($A4152="","Thiếu mã đơn; ","")&amp;IF(COUNTIF($A$2:$A4152,$A4152)&gt;1,"Trùng mã đơn; ","")&amp;IF(ISNA(MATCH($C4152,DATA_MASTER!$D$2:$D$5000,0)),"SĐT chưa đăng ký hội viên; ","")&amp;IF(AND($L4152="Đã chuyển khoản",$M4152=""),"Thiếu ngày nhận CK; ",""))</f>
        <v/>
      </c>
      <c r="T4152" s="24" t="n"/>
    </row>
    <row r="4153" ht="14.25" customHeight="1" s="40">
      <c r="A4153" s="24" t="n"/>
      <c r="B4153" s="29" t="n"/>
      <c r="C4153" s="28" t="n"/>
      <c r="D4153" s="22">
        <f t="array" ref="D4153">IF($C4153="","",IFERROR(INDEX(DATA_MASTER!$C$2:$C$5000,MATCH($C4153,DATA_MASTER!$D$2:$D$5000,0)),""))</f>
        <v/>
      </c>
      <c r="E4153" s="22">
        <f t="array" ref="E4153">IF($C4153="","",IFERROR(INDEX(DATA_MASTER!$I$2:$I$5000,MATCH($C4153,DATA_MASTER!$D$2:$D$5000,0)),""))</f>
        <v/>
      </c>
      <c r="F4153" s="22">
        <f t="array" ref="F4153">IF($C4153="","",IFERROR(INDEX(DATA_MASTER!$L$2:$L$5000,MATCH($C4153,DATA_MASTER!$D$2:$D$5000,0)),""))</f>
        <v/>
      </c>
      <c r="G4153" s="24" t="n"/>
      <c r="H4153" s="24" t="n"/>
      <c r="I4153" s="30" t="n"/>
      <c r="J4153" s="23">
        <f>IF(OR($H4153="",$I4153=""),"",$H4153*$I4153)</f>
        <v/>
      </c>
      <c r="K4153" s="24" t="n"/>
      <c r="L4153" s="24" t="n"/>
      <c r="M4153" s="29" t="n"/>
      <c r="N4153" s="28" t="n"/>
      <c r="O4153" s="24" t="n"/>
      <c r="P4153" s="24" t="n"/>
      <c r="Q4153" s="24" t="n"/>
      <c r="R4153" s="24" t="n"/>
      <c r="S4153" s="22">
        <f>IF(AND($A4153="",$C4153=""),"",IF($A4153="","Thiếu mã đơn; ","")&amp;IF(COUNTIF($A$2:$A4153,$A4153)&gt;1,"Trùng mã đơn; ","")&amp;IF(ISNA(MATCH($C4153,DATA_MASTER!$D$2:$D$5000,0)),"SĐT chưa đăng ký hội viên; ","")&amp;IF(AND($L4153="Đã chuyển khoản",$M4153=""),"Thiếu ngày nhận CK; ",""))</f>
        <v/>
      </c>
      <c r="T4153" s="24" t="n"/>
    </row>
    <row r="4154" ht="14.25" customHeight="1" s="40">
      <c r="A4154" s="24" t="n"/>
      <c r="B4154" s="29" t="n"/>
      <c r="C4154" s="28" t="n"/>
      <c r="D4154" s="22">
        <f t="array" ref="D4154">IF($C4154="","",IFERROR(INDEX(DATA_MASTER!$C$2:$C$5000,MATCH($C4154,DATA_MASTER!$D$2:$D$5000,0)),""))</f>
        <v/>
      </c>
      <c r="E4154" s="22">
        <f t="array" ref="E4154">IF($C4154="","",IFERROR(INDEX(DATA_MASTER!$I$2:$I$5000,MATCH($C4154,DATA_MASTER!$D$2:$D$5000,0)),""))</f>
        <v/>
      </c>
      <c r="F4154" s="22">
        <f t="array" ref="F4154">IF($C4154="","",IFERROR(INDEX(DATA_MASTER!$L$2:$L$5000,MATCH($C4154,DATA_MASTER!$D$2:$D$5000,0)),""))</f>
        <v/>
      </c>
      <c r="G4154" s="24" t="n"/>
      <c r="H4154" s="24" t="n"/>
      <c r="I4154" s="30" t="n"/>
      <c r="J4154" s="23">
        <f>IF(OR($H4154="",$I4154=""),"",$H4154*$I4154)</f>
        <v/>
      </c>
      <c r="K4154" s="24" t="n"/>
      <c r="L4154" s="24" t="n"/>
      <c r="M4154" s="29" t="n"/>
      <c r="N4154" s="28" t="n"/>
      <c r="O4154" s="24" t="n"/>
      <c r="P4154" s="24" t="n"/>
      <c r="Q4154" s="24" t="n"/>
      <c r="R4154" s="24" t="n"/>
      <c r="S4154" s="22">
        <f>IF(AND($A4154="",$C4154=""),"",IF($A4154="","Thiếu mã đơn; ","")&amp;IF(COUNTIF($A$2:$A4154,$A4154)&gt;1,"Trùng mã đơn; ","")&amp;IF(ISNA(MATCH($C4154,DATA_MASTER!$D$2:$D$5000,0)),"SĐT chưa đăng ký hội viên; ","")&amp;IF(AND($L4154="Đã chuyển khoản",$M4154=""),"Thiếu ngày nhận CK; ",""))</f>
        <v/>
      </c>
      <c r="T4154" s="24" t="n"/>
    </row>
    <row r="4155" ht="14.25" customHeight="1" s="40">
      <c r="A4155" s="24" t="n"/>
      <c r="B4155" s="29" t="n"/>
      <c r="C4155" s="28" t="n"/>
      <c r="D4155" s="22">
        <f t="array" ref="D4155">IF($C4155="","",IFERROR(INDEX(DATA_MASTER!$C$2:$C$5000,MATCH($C4155,DATA_MASTER!$D$2:$D$5000,0)),""))</f>
        <v/>
      </c>
      <c r="E4155" s="22">
        <f t="array" ref="E4155">IF($C4155="","",IFERROR(INDEX(DATA_MASTER!$I$2:$I$5000,MATCH($C4155,DATA_MASTER!$D$2:$D$5000,0)),""))</f>
        <v/>
      </c>
      <c r="F4155" s="22">
        <f t="array" ref="F4155">IF($C4155="","",IFERROR(INDEX(DATA_MASTER!$L$2:$L$5000,MATCH($C4155,DATA_MASTER!$D$2:$D$5000,0)),""))</f>
        <v/>
      </c>
      <c r="G4155" s="24" t="n"/>
      <c r="H4155" s="24" t="n"/>
      <c r="I4155" s="30" t="n"/>
      <c r="J4155" s="23">
        <f>IF(OR($H4155="",$I4155=""),"",$H4155*$I4155)</f>
        <v/>
      </c>
      <c r="K4155" s="24" t="n"/>
      <c r="L4155" s="24" t="n"/>
      <c r="M4155" s="29" t="n"/>
      <c r="N4155" s="28" t="n"/>
      <c r="O4155" s="24" t="n"/>
      <c r="P4155" s="24" t="n"/>
      <c r="Q4155" s="24" t="n"/>
      <c r="R4155" s="24" t="n"/>
      <c r="S4155" s="22">
        <f>IF(AND($A4155="",$C4155=""),"",IF($A4155="","Thiếu mã đơn; ","")&amp;IF(COUNTIF($A$2:$A4155,$A4155)&gt;1,"Trùng mã đơn; ","")&amp;IF(ISNA(MATCH($C4155,DATA_MASTER!$D$2:$D$5000,0)),"SĐT chưa đăng ký hội viên; ","")&amp;IF(AND($L4155="Đã chuyển khoản",$M4155=""),"Thiếu ngày nhận CK; ",""))</f>
        <v/>
      </c>
      <c r="T4155" s="24" t="n"/>
    </row>
    <row r="4156" ht="14.25" customHeight="1" s="40">
      <c r="A4156" s="24" t="n"/>
      <c r="B4156" s="29" t="n"/>
      <c r="C4156" s="28" t="n"/>
      <c r="D4156" s="22">
        <f t="array" ref="D4156">IF($C4156="","",IFERROR(INDEX(DATA_MASTER!$C$2:$C$5000,MATCH($C4156,DATA_MASTER!$D$2:$D$5000,0)),""))</f>
        <v/>
      </c>
      <c r="E4156" s="22">
        <f t="array" ref="E4156">IF($C4156="","",IFERROR(INDEX(DATA_MASTER!$I$2:$I$5000,MATCH($C4156,DATA_MASTER!$D$2:$D$5000,0)),""))</f>
        <v/>
      </c>
      <c r="F4156" s="22">
        <f t="array" ref="F4156">IF($C4156="","",IFERROR(INDEX(DATA_MASTER!$L$2:$L$5000,MATCH($C4156,DATA_MASTER!$D$2:$D$5000,0)),""))</f>
        <v/>
      </c>
      <c r="G4156" s="24" t="n"/>
      <c r="H4156" s="24" t="n"/>
      <c r="I4156" s="30" t="n"/>
      <c r="J4156" s="23">
        <f>IF(OR($H4156="",$I4156=""),"",$H4156*$I4156)</f>
        <v/>
      </c>
      <c r="K4156" s="24" t="n"/>
      <c r="L4156" s="24" t="n"/>
      <c r="M4156" s="29" t="n"/>
      <c r="N4156" s="28" t="n"/>
      <c r="O4156" s="24" t="n"/>
      <c r="P4156" s="24" t="n"/>
      <c r="Q4156" s="24" t="n"/>
      <c r="R4156" s="24" t="n"/>
      <c r="S4156" s="22">
        <f>IF(AND($A4156="",$C4156=""),"",IF($A4156="","Thiếu mã đơn; ","")&amp;IF(COUNTIF($A$2:$A4156,$A4156)&gt;1,"Trùng mã đơn; ","")&amp;IF(ISNA(MATCH($C4156,DATA_MASTER!$D$2:$D$5000,0)),"SĐT chưa đăng ký hội viên; ","")&amp;IF(AND($L4156="Đã chuyển khoản",$M4156=""),"Thiếu ngày nhận CK; ",""))</f>
        <v/>
      </c>
      <c r="T4156" s="24" t="n"/>
    </row>
    <row r="4157" ht="14.25" customHeight="1" s="40">
      <c r="A4157" s="24" t="n"/>
      <c r="B4157" s="29" t="n"/>
      <c r="C4157" s="28" t="n"/>
      <c r="D4157" s="22">
        <f t="array" ref="D4157">IF($C4157="","",IFERROR(INDEX(DATA_MASTER!$C$2:$C$5000,MATCH($C4157,DATA_MASTER!$D$2:$D$5000,0)),""))</f>
        <v/>
      </c>
      <c r="E4157" s="22">
        <f t="array" ref="E4157">IF($C4157="","",IFERROR(INDEX(DATA_MASTER!$I$2:$I$5000,MATCH($C4157,DATA_MASTER!$D$2:$D$5000,0)),""))</f>
        <v/>
      </c>
      <c r="F4157" s="22">
        <f t="array" ref="F4157">IF($C4157="","",IFERROR(INDEX(DATA_MASTER!$L$2:$L$5000,MATCH($C4157,DATA_MASTER!$D$2:$D$5000,0)),""))</f>
        <v/>
      </c>
      <c r="G4157" s="24" t="n"/>
      <c r="H4157" s="24" t="n"/>
      <c r="I4157" s="30" t="n"/>
      <c r="J4157" s="23">
        <f>IF(OR($H4157="",$I4157=""),"",$H4157*$I4157)</f>
        <v/>
      </c>
      <c r="K4157" s="24" t="n"/>
      <c r="L4157" s="24" t="n"/>
      <c r="M4157" s="29" t="n"/>
      <c r="N4157" s="28" t="n"/>
      <c r="O4157" s="24" t="n"/>
      <c r="P4157" s="24" t="n"/>
      <c r="Q4157" s="24" t="n"/>
      <c r="R4157" s="24" t="n"/>
      <c r="S4157" s="22">
        <f>IF(AND($A4157="",$C4157=""),"",IF($A4157="","Thiếu mã đơn; ","")&amp;IF(COUNTIF($A$2:$A4157,$A4157)&gt;1,"Trùng mã đơn; ","")&amp;IF(ISNA(MATCH($C4157,DATA_MASTER!$D$2:$D$5000,0)),"SĐT chưa đăng ký hội viên; ","")&amp;IF(AND($L4157="Đã chuyển khoản",$M4157=""),"Thiếu ngày nhận CK; ",""))</f>
        <v/>
      </c>
      <c r="T4157" s="24" t="n"/>
    </row>
    <row r="4158" ht="14.25" customHeight="1" s="40">
      <c r="A4158" s="24" t="n"/>
      <c r="B4158" s="29" t="n"/>
      <c r="C4158" s="28" t="n"/>
      <c r="D4158" s="22">
        <f t="array" ref="D4158">IF($C4158="","",IFERROR(INDEX(DATA_MASTER!$C$2:$C$5000,MATCH($C4158,DATA_MASTER!$D$2:$D$5000,0)),""))</f>
        <v/>
      </c>
      <c r="E4158" s="22">
        <f t="array" ref="E4158">IF($C4158="","",IFERROR(INDEX(DATA_MASTER!$I$2:$I$5000,MATCH($C4158,DATA_MASTER!$D$2:$D$5000,0)),""))</f>
        <v/>
      </c>
      <c r="F4158" s="22">
        <f t="array" ref="F4158">IF($C4158="","",IFERROR(INDEX(DATA_MASTER!$L$2:$L$5000,MATCH($C4158,DATA_MASTER!$D$2:$D$5000,0)),""))</f>
        <v/>
      </c>
      <c r="G4158" s="24" t="n"/>
      <c r="H4158" s="24" t="n"/>
      <c r="I4158" s="30" t="n"/>
      <c r="J4158" s="23">
        <f>IF(OR($H4158="",$I4158=""),"",$H4158*$I4158)</f>
        <v/>
      </c>
      <c r="K4158" s="24" t="n"/>
      <c r="L4158" s="24" t="n"/>
      <c r="M4158" s="29" t="n"/>
      <c r="N4158" s="28" t="n"/>
      <c r="O4158" s="24" t="n"/>
      <c r="P4158" s="24" t="n"/>
      <c r="Q4158" s="24" t="n"/>
      <c r="R4158" s="24" t="n"/>
      <c r="S4158" s="22">
        <f>IF(AND($A4158="",$C4158=""),"",IF($A4158="","Thiếu mã đơn; ","")&amp;IF(COUNTIF($A$2:$A4158,$A4158)&gt;1,"Trùng mã đơn; ","")&amp;IF(ISNA(MATCH($C4158,DATA_MASTER!$D$2:$D$5000,0)),"SĐT chưa đăng ký hội viên; ","")&amp;IF(AND($L4158="Đã chuyển khoản",$M4158=""),"Thiếu ngày nhận CK; ",""))</f>
        <v/>
      </c>
      <c r="T4158" s="24" t="n"/>
    </row>
    <row r="4159" ht="14.25" customHeight="1" s="40">
      <c r="A4159" s="24" t="n"/>
      <c r="B4159" s="29" t="n"/>
      <c r="C4159" s="28" t="n"/>
      <c r="D4159" s="22">
        <f t="array" ref="D4159">IF($C4159="","",IFERROR(INDEX(DATA_MASTER!$C$2:$C$5000,MATCH($C4159,DATA_MASTER!$D$2:$D$5000,0)),""))</f>
        <v/>
      </c>
      <c r="E4159" s="22">
        <f t="array" ref="E4159">IF($C4159="","",IFERROR(INDEX(DATA_MASTER!$I$2:$I$5000,MATCH($C4159,DATA_MASTER!$D$2:$D$5000,0)),""))</f>
        <v/>
      </c>
      <c r="F4159" s="22">
        <f t="array" ref="F4159">IF($C4159="","",IFERROR(INDEX(DATA_MASTER!$L$2:$L$5000,MATCH($C4159,DATA_MASTER!$D$2:$D$5000,0)),""))</f>
        <v/>
      </c>
      <c r="G4159" s="24" t="n"/>
      <c r="H4159" s="24" t="n"/>
      <c r="I4159" s="30" t="n"/>
      <c r="J4159" s="23">
        <f>IF(OR($H4159="",$I4159=""),"",$H4159*$I4159)</f>
        <v/>
      </c>
      <c r="K4159" s="24" t="n"/>
      <c r="L4159" s="24" t="n"/>
      <c r="M4159" s="29" t="n"/>
      <c r="N4159" s="28" t="n"/>
      <c r="O4159" s="24" t="n"/>
      <c r="P4159" s="24" t="n"/>
      <c r="Q4159" s="24" t="n"/>
      <c r="R4159" s="24" t="n"/>
      <c r="S4159" s="22">
        <f>IF(AND($A4159="",$C4159=""),"",IF($A4159="","Thiếu mã đơn; ","")&amp;IF(COUNTIF($A$2:$A4159,$A4159)&gt;1,"Trùng mã đơn; ","")&amp;IF(ISNA(MATCH($C4159,DATA_MASTER!$D$2:$D$5000,0)),"SĐT chưa đăng ký hội viên; ","")&amp;IF(AND($L4159="Đã chuyển khoản",$M4159=""),"Thiếu ngày nhận CK; ",""))</f>
        <v/>
      </c>
      <c r="T4159" s="24" t="n"/>
    </row>
    <row r="4160" ht="14.25" customHeight="1" s="40">
      <c r="A4160" s="24" t="n"/>
      <c r="B4160" s="29" t="n"/>
      <c r="C4160" s="28" t="n"/>
      <c r="D4160" s="22">
        <f t="array" ref="D4160">IF($C4160="","",IFERROR(INDEX(DATA_MASTER!$C$2:$C$5000,MATCH($C4160,DATA_MASTER!$D$2:$D$5000,0)),""))</f>
        <v/>
      </c>
      <c r="E4160" s="22">
        <f t="array" ref="E4160">IF($C4160="","",IFERROR(INDEX(DATA_MASTER!$I$2:$I$5000,MATCH($C4160,DATA_MASTER!$D$2:$D$5000,0)),""))</f>
        <v/>
      </c>
      <c r="F4160" s="22">
        <f t="array" ref="F4160">IF($C4160="","",IFERROR(INDEX(DATA_MASTER!$L$2:$L$5000,MATCH($C4160,DATA_MASTER!$D$2:$D$5000,0)),""))</f>
        <v/>
      </c>
      <c r="G4160" s="24" t="n"/>
      <c r="H4160" s="24" t="n"/>
      <c r="I4160" s="30" t="n"/>
      <c r="J4160" s="23">
        <f>IF(OR($H4160="",$I4160=""),"",$H4160*$I4160)</f>
        <v/>
      </c>
      <c r="K4160" s="24" t="n"/>
      <c r="L4160" s="24" t="n"/>
      <c r="M4160" s="29" t="n"/>
      <c r="N4160" s="28" t="n"/>
      <c r="O4160" s="24" t="n"/>
      <c r="P4160" s="24" t="n"/>
      <c r="Q4160" s="24" t="n"/>
      <c r="R4160" s="24" t="n"/>
      <c r="S4160" s="22">
        <f>IF(AND($A4160="",$C4160=""),"",IF($A4160="","Thiếu mã đơn; ","")&amp;IF(COUNTIF($A$2:$A4160,$A4160)&gt;1,"Trùng mã đơn; ","")&amp;IF(ISNA(MATCH($C4160,DATA_MASTER!$D$2:$D$5000,0)),"SĐT chưa đăng ký hội viên; ","")&amp;IF(AND($L4160="Đã chuyển khoản",$M4160=""),"Thiếu ngày nhận CK; ",""))</f>
        <v/>
      </c>
      <c r="T4160" s="24" t="n"/>
    </row>
    <row r="4161" ht="14.25" customHeight="1" s="40">
      <c r="A4161" s="24" t="n"/>
      <c r="B4161" s="29" t="n"/>
      <c r="C4161" s="28" t="n"/>
      <c r="D4161" s="22">
        <f t="array" ref="D4161">IF($C4161="","",IFERROR(INDEX(DATA_MASTER!$C$2:$C$5000,MATCH($C4161,DATA_MASTER!$D$2:$D$5000,0)),""))</f>
        <v/>
      </c>
      <c r="E4161" s="22">
        <f t="array" ref="E4161">IF($C4161="","",IFERROR(INDEX(DATA_MASTER!$I$2:$I$5000,MATCH($C4161,DATA_MASTER!$D$2:$D$5000,0)),""))</f>
        <v/>
      </c>
      <c r="F4161" s="22">
        <f t="array" ref="F4161">IF($C4161="","",IFERROR(INDEX(DATA_MASTER!$L$2:$L$5000,MATCH($C4161,DATA_MASTER!$D$2:$D$5000,0)),""))</f>
        <v/>
      </c>
      <c r="G4161" s="24" t="n"/>
      <c r="H4161" s="24" t="n"/>
      <c r="I4161" s="30" t="n"/>
      <c r="J4161" s="23">
        <f>IF(OR($H4161="",$I4161=""),"",$H4161*$I4161)</f>
        <v/>
      </c>
      <c r="K4161" s="24" t="n"/>
      <c r="L4161" s="24" t="n"/>
      <c r="M4161" s="29" t="n"/>
      <c r="N4161" s="28" t="n"/>
      <c r="O4161" s="24" t="n"/>
      <c r="P4161" s="24" t="n"/>
      <c r="Q4161" s="24" t="n"/>
      <c r="R4161" s="24" t="n"/>
      <c r="S4161" s="22">
        <f>IF(AND($A4161="",$C4161=""),"",IF($A4161="","Thiếu mã đơn; ","")&amp;IF(COUNTIF($A$2:$A4161,$A4161)&gt;1,"Trùng mã đơn; ","")&amp;IF(ISNA(MATCH($C4161,DATA_MASTER!$D$2:$D$5000,0)),"SĐT chưa đăng ký hội viên; ","")&amp;IF(AND($L4161="Đã chuyển khoản",$M4161=""),"Thiếu ngày nhận CK; ",""))</f>
        <v/>
      </c>
      <c r="T4161" s="24" t="n"/>
    </row>
    <row r="4162" ht="14.25" customHeight="1" s="40">
      <c r="A4162" s="24" t="n"/>
      <c r="B4162" s="29" t="n"/>
      <c r="C4162" s="28" t="n"/>
      <c r="D4162" s="22">
        <f t="array" ref="D4162">IF($C4162="","",IFERROR(INDEX(DATA_MASTER!$C$2:$C$5000,MATCH($C4162,DATA_MASTER!$D$2:$D$5000,0)),""))</f>
        <v/>
      </c>
      <c r="E4162" s="22">
        <f t="array" ref="E4162">IF($C4162="","",IFERROR(INDEX(DATA_MASTER!$I$2:$I$5000,MATCH($C4162,DATA_MASTER!$D$2:$D$5000,0)),""))</f>
        <v/>
      </c>
      <c r="F4162" s="22">
        <f t="array" ref="F4162">IF($C4162="","",IFERROR(INDEX(DATA_MASTER!$L$2:$L$5000,MATCH($C4162,DATA_MASTER!$D$2:$D$5000,0)),""))</f>
        <v/>
      </c>
      <c r="G4162" s="24" t="n"/>
      <c r="H4162" s="24" t="n"/>
      <c r="I4162" s="30" t="n"/>
      <c r="J4162" s="23">
        <f>IF(OR($H4162="",$I4162=""),"",$H4162*$I4162)</f>
        <v/>
      </c>
      <c r="K4162" s="24" t="n"/>
      <c r="L4162" s="24" t="n"/>
      <c r="M4162" s="29" t="n"/>
      <c r="N4162" s="28" t="n"/>
      <c r="O4162" s="24" t="n"/>
      <c r="P4162" s="24" t="n"/>
      <c r="Q4162" s="24" t="n"/>
      <c r="R4162" s="24" t="n"/>
      <c r="S4162" s="22">
        <f>IF(AND($A4162="",$C4162=""),"",IF($A4162="","Thiếu mã đơn; ","")&amp;IF(COUNTIF($A$2:$A4162,$A4162)&gt;1,"Trùng mã đơn; ","")&amp;IF(ISNA(MATCH($C4162,DATA_MASTER!$D$2:$D$5000,0)),"SĐT chưa đăng ký hội viên; ","")&amp;IF(AND($L4162="Đã chuyển khoản",$M4162=""),"Thiếu ngày nhận CK; ",""))</f>
        <v/>
      </c>
      <c r="T4162" s="24" t="n"/>
    </row>
    <row r="4163" ht="14.25" customHeight="1" s="40">
      <c r="A4163" s="24" t="n"/>
      <c r="B4163" s="29" t="n"/>
      <c r="C4163" s="28" t="n"/>
      <c r="D4163" s="22">
        <f t="array" ref="D4163">IF($C4163="","",IFERROR(INDEX(DATA_MASTER!$C$2:$C$5000,MATCH($C4163,DATA_MASTER!$D$2:$D$5000,0)),""))</f>
        <v/>
      </c>
      <c r="E4163" s="22">
        <f t="array" ref="E4163">IF($C4163="","",IFERROR(INDEX(DATA_MASTER!$I$2:$I$5000,MATCH($C4163,DATA_MASTER!$D$2:$D$5000,0)),""))</f>
        <v/>
      </c>
      <c r="F4163" s="22">
        <f t="array" ref="F4163">IF($C4163="","",IFERROR(INDEX(DATA_MASTER!$L$2:$L$5000,MATCH($C4163,DATA_MASTER!$D$2:$D$5000,0)),""))</f>
        <v/>
      </c>
      <c r="G4163" s="24" t="n"/>
      <c r="H4163" s="24" t="n"/>
      <c r="I4163" s="30" t="n"/>
      <c r="J4163" s="23">
        <f>IF(OR($H4163="",$I4163=""),"",$H4163*$I4163)</f>
        <v/>
      </c>
      <c r="K4163" s="24" t="n"/>
      <c r="L4163" s="24" t="n"/>
      <c r="M4163" s="29" t="n"/>
      <c r="N4163" s="28" t="n"/>
      <c r="O4163" s="24" t="n"/>
      <c r="P4163" s="24" t="n"/>
      <c r="Q4163" s="24" t="n"/>
      <c r="R4163" s="24" t="n"/>
      <c r="S4163" s="22">
        <f>IF(AND($A4163="",$C4163=""),"",IF($A4163="","Thiếu mã đơn; ","")&amp;IF(COUNTIF($A$2:$A4163,$A4163)&gt;1,"Trùng mã đơn; ","")&amp;IF(ISNA(MATCH($C4163,DATA_MASTER!$D$2:$D$5000,0)),"SĐT chưa đăng ký hội viên; ","")&amp;IF(AND($L4163="Đã chuyển khoản",$M4163=""),"Thiếu ngày nhận CK; ",""))</f>
        <v/>
      </c>
      <c r="T4163" s="24" t="n"/>
    </row>
    <row r="4164" ht="14.25" customHeight="1" s="40">
      <c r="A4164" s="24" t="n"/>
      <c r="B4164" s="29" t="n"/>
      <c r="C4164" s="28" t="n"/>
      <c r="D4164" s="22">
        <f t="array" ref="D4164">IF($C4164="","",IFERROR(INDEX(DATA_MASTER!$C$2:$C$5000,MATCH($C4164,DATA_MASTER!$D$2:$D$5000,0)),""))</f>
        <v/>
      </c>
      <c r="E4164" s="22">
        <f t="array" ref="E4164">IF($C4164="","",IFERROR(INDEX(DATA_MASTER!$I$2:$I$5000,MATCH($C4164,DATA_MASTER!$D$2:$D$5000,0)),""))</f>
        <v/>
      </c>
      <c r="F4164" s="22">
        <f t="array" ref="F4164">IF($C4164="","",IFERROR(INDEX(DATA_MASTER!$L$2:$L$5000,MATCH($C4164,DATA_MASTER!$D$2:$D$5000,0)),""))</f>
        <v/>
      </c>
      <c r="G4164" s="24" t="n"/>
      <c r="H4164" s="24" t="n"/>
      <c r="I4164" s="30" t="n"/>
      <c r="J4164" s="23">
        <f>IF(OR($H4164="",$I4164=""),"",$H4164*$I4164)</f>
        <v/>
      </c>
      <c r="K4164" s="24" t="n"/>
      <c r="L4164" s="24" t="n"/>
      <c r="M4164" s="29" t="n"/>
      <c r="N4164" s="28" t="n"/>
      <c r="O4164" s="24" t="n"/>
      <c r="P4164" s="24" t="n"/>
      <c r="Q4164" s="24" t="n"/>
      <c r="R4164" s="24" t="n"/>
      <c r="S4164" s="22">
        <f>IF(AND($A4164="",$C4164=""),"",IF($A4164="","Thiếu mã đơn; ","")&amp;IF(COUNTIF($A$2:$A4164,$A4164)&gt;1,"Trùng mã đơn; ","")&amp;IF(ISNA(MATCH($C4164,DATA_MASTER!$D$2:$D$5000,0)),"SĐT chưa đăng ký hội viên; ","")&amp;IF(AND($L4164="Đã chuyển khoản",$M4164=""),"Thiếu ngày nhận CK; ",""))</f>
        <v/>
      </c>
      <c r="T4164" s="24" t="n"/>
    </row>
    <row r="4165" ht="14.25" customHeight="1" s="40">
      <c r="A4165" s="24" t="n"/>
      <c r="B4165" s="29" t="n"/>
      <c r="C4165" s="28" t="n"/>
      <c r="D4165" s="22">
        <f t="array" ref="D4165">IF($C4165="","",IFERROR(INDEX(DATA_MASTER!$C$2:$C$5000,MATCH($C4165,DATA_MASTER!$D$2:$D$5000,0)),""))</f>
        <v/>
      </c>
      <c r="E4165" s="22">
        <f t="array" ref="E4165">IF($C4165="","",IFERROR(INDEX(DATA_MASTER!$I$2:$I$5000,MATCH($C4165,DATA_MASTER!$D$2:$D$5000,0)),""))</f>
        <v/>
      </c>
      <c r="F4165" s="22">
        <f t="array" ref="F4165">IF($C4165="","",IFERROR(INDEX(DATA_MASTER!$L$2:$L$5000,MATCH($C4165,DATA_MASTER!$D$2:$D$5000,0)),""))</f>
        <v/>
      </c>
      <c r="G4165" s="24" t="n"/>
      <c r="H4165" s="24" t="n"/>
      <c r="I4165" s="30" t="n"/>
      <c r="J4165" s="23">
        <f>IF(OR($H4165="",$I4165=""),"",$H4165*$I4165)</f>
        <v/>
      </c>
      <c r="K4165" s="24" t="n"/>
      <c r="L4165" s="24" t="n"/>
      <c r="M4165" s="29" t="n"/>
      <c r="N4165" s="28" t="n"/>
      <c r="O4165" s="24" t="n"/>
      <c r="P4165" s="24" t="n"/>
      <c r="Q4165" s="24" t="n"/>
      <c r="R4165" s="24" t="n"/>
      <c r="S4165" s="22">
        <f>IF(AND($A4165="",$C4165=""),"",IF($A4165="","Thiếu mã đơn; ","")&amp;IF(COUNTIF($A$2:$A4165,$A4165)&gt;1,"Trùng mã đơn; ","")&amp;IF(ISNA(MATCH($C4165,DATA_MASTER!$D$2:$D$5000,0)),"SĐT chưa đăng ký hội viên; ","")&amp;IF(AND($L4165="Đã chuyển khoản",$M4165=""),"Thiếu ngày nhận CK; ",""))</f>
        <v/>
      </c>
      <c r="T4165" s="24" t="n"/>
    </row>
    <row r="4166" ht="14.25" customHeight="1" s="40">
      <c r="A4166" s="24" t="n"/>
      <c r="B4166" s="29" t="n"/>
      <c r="C4166" s="28" t="n"/>
      <c r="D4166" s="22">
        <f t="array" ref="D4166">IF($C4166="","",IFERROR(INDEX(DATA_MASTER!$C$2:$C$5000,MATCH($C4166,DATA_MASTER!$D$2:$D$5000,0)),""))</f>
        <v/>
      </c>
      <c r="E4166" s="22">
        <f t="array" ref="E4166">IF($C4166="","",IFERROR(INDEX(DATA_MASTER!$I$2:$I$5000,MATCH($C4166,DATA_MASTER!$D$2:$D$5000,0)),""))</f>
        <v/>
      </c>
      <c r="F4166" s="22">
        <f t="array" ref="F4166">IF($C4166="","",IFERROR(INDEX(DATA_MASTER!$L$2:$L$5000,MATCH($C4166,DATA_MASTER!$D$2:$D$5000,0)),""))</f>
        <v/>
      </c>
      <c r="G4166" s="24" t="n"/>
      <c r="H4166" s="24" t="n"/>
      <c r="I4166" s="30" t="n"/>
      <c r="J4166" s="23">
        <f>IF(OR($H4166="",$I4166=""),"",$H4166*$I4166)</f>
        <v/>
      </c>
      <c r="K4166" s="24" t="n"/>
      <c r="L4166" s="24" t="n"/>
      <c r="M4166" s="29" t="n"/>
      <c r="N4166" s="28" t="n"/>
      <c r="O4166" s="24" t="n"/>
      <c r="P4166" s="24" t="n"/>
      <c r="Q4166" s="24" t="n"/>
      <c r="R4166" s="24" t="n"/>
      <c r="S4166" s="22">
        <f>IF(AND($A4166="",$C4166=""),"",IF($A4166="","Thiếu mã đơn; ","")&amp;IF(COUNTIF($A$2:$A4166,$A4166)&gt;1,"Trùng mã đơn; ","")&amp;IF(ISNA(MATCH($C4166,DATA_MASTER!$D$2:$D$5000,0)),"SĐT chưa đăng ký hội viên; ","")&amp;IF(AND($L4166="Đã chuyển khoản",$M4166=""),"Thiếu ngày nhận CK; ",""))</f>
        <v/>
      </c>
      <c r="T4166" s="24" t="n"/>
    </row>
    <row r="4167" ht="14.25" customHeight="1" s="40">
      <c r="A4167" s="24" t="n"/>
      <c r="B4167" s="29" t="n"/>
      <c r="C4167" s="28" t="n"/>
      <c r="D4167" s="22">
        <f t="array" ref="D4167">IF($C4167="","",IFERROR(INDEX(DATA_MASTER!$C$2:$C$5000,MATCH($C4167,DATA_MASTER!$D$2:$D$5000,0)),""))</f>
        <v/>
      </c>
      <c r="E4167" s="22">
        <f t="array" ref="E4167">IF($C4167="","",IFERROR(INDEX(DATA_MASTER!$I$2:$I$5000,MATCH($C4167,DATA_MASTER!$D$2:$D$5000,0)),""))</f>
        <v/>
      </c>
      <c r="F4167" s="22">
        <f t="array" ref="F4167">IF($C4167="","",IFERROR(INDEX(DATA_MASTER!$L$2:$L$5000,MATCH($C4167,DATA_MASTER!$D$2:$D$5000,0)),""))</f>
        <v/>
      </c>
      <c r="G4167" s="24" t="n"/>
      <c r="H4167" s="24" t="n"/>
      <c r="I4167" s="30" t="n"/>
      <c r="J4167" s="23">
        <f>IF(OR($H4167="",$I4167=""),"",$H4167*$I4167)</f>
        <v/>
      </c>
      <c r="K4167" s="24" t="n"/>
      <c r="L4167" s="24" t="n"/>
      <c r="M4167" s="29" t="n"/>
      <c r="N4167" s="28" t="n"/>
      <c r="O4167" s="24" t="n"/>
      <c r="P4167" s="24" t="n"/>
      <c r="Q4167" s="24" t="n"/>
      <c r="R4167" s="24" t="n"/>
      <c r="S4167" s="22">
        <f>IF(AND($A4167="",$C4167=""),"",IF($A4167="","Thiếu mã đơn; ","")&amp;IF(COUNTIF($A$2:$A4167,$A4167)&gt;1,"Trùng mã đơn; ","")&amp;IF(ISNA(MATCH($C4167,DATA_MASTER!$D$2:$D$5000,0)),"SĐT chưa đăng ký hội viên; ","")&amp;IF(AND($L4167="Đã chuyển khoản",$M4167=""),"Thiếu ngày nhận CK; ",""))</f>
        <v/>
      </c>
      <c r="T4167" s="24" t="n"/>
    </row>
    <row r="4168" ht="14.25" customHeight="1" s="40">
      <c r="A4168" s="24" t="n"/>
      <c r="B4168" s="29" t="n"/>
      <c r="C4168" s="28" t="n"/>
      <c r="D4168" s="22">
        <f t="array" ref="D4168">IF($C4168="","",IFERROR(INDEX(DATA_MASTER!$C$2:$C$5000,MATCH($C4168,DATA_MASTER!$D$2:$D$5000,0)),""))</f>
        <v/>
      </c>
      <c r="E4168" s="22">
        <f t="array" ref="E4168">IF($C4168="","",IFERROR(INDEX(DATA_MASTER!$I$2:$I$5000,MATCH($C4168,DATA_MASTER!$D$2:$D$5000,0)),""))</f>
        <v/>
      </c>
      <c r="F4168" s="22">
        <f t="array" ref="F4168">IF($C4168="","",IFERROR(INDEX(DATA_MASTER!$L$2:$L$5000,MATCH($C4168,DATA_MASTER!$D$2:$D$5000,0)),""))</f>
        <v/>
      </c>
      <c r="G4168" s="24" t="n"/>
      <c r="H4168" s="24" t="n"/>
      <c r="I4168" s="30" t="n"/>
      <c r="J4168" s="23">
        <f>IF(OR($H4168="",$I4168=""),"",$H4168*$I4168)</f>
        <v/>
      </c>
      <c r="K4168" s="24" t="n"/>
      <c r="L4168" s="24" t="n"/>
      <c r="M4168" s="29" t="n"/>
      <c r="N4168" s="28" t="n"/>
      <c r="O4168" s="24" t="n"/>
      <c r="P4168" s="24" t="n"/>
      <c r="Q4168" s="24" t="n"/>
      <c r="R4168" s="24" t="n"/>
      <c r="S4168" s="22">
        <f>IF(AND($A4168="",$C4168=""),"",IF($A4168="","Thiếu mã đơn; ","")&amp;IF(COUNTIF($A$2:$A4168,$A4168)&gt;1,"Trùng mã đơn; ","")&amp;IF(ISNA(MATCH($C4168,DATA_MASTER!$D$2:$D$5000,0)),"SĐT chưa đăng ký hội viên; ","")&amp;IF(AND($L4168="Đã chuyển khoản",$M4168=""),"Thiếu ngày nhận CK; ",""))</f>
        <v/>
      </c>
      <c r="T4168" s="24" t="n"/>
    </row>
    <row r="4169" ht="14.25" customHeight="1" s="40">
      <c r="A4169" s="24" t="n"/>
      <c r="B4169" s="29" t="n"/>
      <c r="C4169" s="28" t="n"/>
      <c r="D4169" s="22">
        <f t="array" ref="D4169">IF($C4169="","",IFERROR(INDEX(DATA_MASTER!$C$2:$C$5000,MATCH($C4169,DATA_MASTER!$D$2:$D$5000,0)),""))</f>
        <v/>
      </c>
      <c r="E4169" s="22">
        <f t="array" ref="E4169">IF($C4169="","",IFERROR(INDEX(DATA_MASTER!$I$2:$I$5000,MATCH($C4169,DATA_MASTER!$D$2:$D$5000,0)),""))</f>
        <v/>
      </c>
      <c r="F4169" s="22">
        <f t="array" ref="F4169">IF($C4169="","",IFERROR(INDEX(DATA_MASTER!$L$2:$L$5000,MATCH($C4169,DATA_MASTER!$D$2:$D$5000,0)),""))</f>
        <v/>
      </c>
      <c r="G4169" s="24" t="n"/>
      <c r="H4169" s="24" t="n"/>
      <c r="I4169" s="30" t="n"/>
      <c r="J4169" s="23">
        <f>IF(OR($H4169="",$I4169=""),"",$H4169*$I4169)</f>
        <v/>
      </c>
      <c r="K4169" s="24" t="n"/>
      <c r="L4169" s="24" t="n"/>
      <c r="M4169" s="29" t="n"/>
      <c r="N4169" s="28" t="n"/>
      <c r="O4169" s="24" t="n"/>
      <c r="P4169" s="24" t="n"/>
      <c r="Q4169" s="24" t="n"/>
      <c r="R4169" s="24" t="n"/>
      <c r="S4169" s="22">
        <f>IF(AND($A4169="",$C4169=""),"",IF($A4169="","Thiếu mã đơn; ","")&amp;IF(COUNTIF($A$2:$A4169,$A4169)&gt;1,"Trùng mã đơn; ","")&amp;IF(ISNA(MATCH($C4169,DATA_MASTER!$D$2:$D$5000,0)),"SĐT chưa đăng ký hội viên; ","")&amp;IF(AND($L4169="Đã chuyển khoản",$M4169=""),"Thiếu ngày nhận CK; ",""))</f>
        <v/>
      </c>
      <c r="T4169" s="24" t="n"/>
    </row>
    <row r="4170" ht="14.25" customHeight="1" s="40">
      <c r="A4170" s="24" t="n"/>
      <c r="B4170" s="29" t="n"/>
      <c r="C4170" s="28" t="n"/>
      <c r="D4170" s="22">
        <f t="array" ref="D4170">IF($C4170="","",IFERROR(INDEX(DATA_MASTER!$C$2:$C$5000,MATCH($C4170,DATA_MASTER!$D$2:$D$5000,0)),""))</f>
        <v/>
      </c>
      <c r="E4170" s="22">
        <f t="array" ref="E4170">IF($C4170="","",IFERROR(INDEX(DATA_MASTER!$I$2:$I$5000,MATCH($C4170,DATA_MASTER!$D$2:$D$5000,0)),""))</f>
        <v/>
      </c>
      <c r="F4170" s="22">
        <f t="array" ref="F4170">IF($C4170="","",IFERROR(INDEX(DATA_MASTER!$L$2:$L$5000,MATCH($C4170,DATA_MASTER!$D$2:$D$5000,0)),""))</f>
        <v/>
      </c>
      <c r="G4170" s="24" t="n"/>
      <c r="H4170" s="24" t="n"/>
      <c r="I4170" s="30" t="n"/>
      <c r="J4170" s="23">
        <f>IF(OR($H4170="",$I4170=""),"",$H4170*$I4170)</f>
        <v/>
      </c>
      <c r="K4170" s="24" t="n"/>
      <c r="L4170" s="24" t="n"/>
      <c r="M4170" s="29" t="n"/>
      <c r="N4170" s="28" t="n"/>
      <c r="O4170" s="24" t="n"/>
      <c r="P4170" s="24" t="n"/>
      <c r="Q4170" s="24" t="n"/>
      <c r="R4170" s="24" t="n"/>
      <c r="S4170" s="22">
        <f>IF(AND($A4170="",$C4170=""),"",IF($A4170="","Thiếu mã đơn; ","")&amp;IF(COUNTIF($A$2:$A4170,$A4170)&gt;1,"Trùng mã đơn; ","")&amp;IF(ISNA(MATCH($C4170,DATA_MASTER!$D$2:$D$5000,0)),"SĐT chưa đăng ký hội viên; ","")&amp;IF(AND($L4170="Đã chuyển khoản",$M4170=""),"Thiếu ngày nhận CK; ",""))</f>
        <v/>
      </c>
      <c r="T4170" s="24" t="n"/>
    </row>
    <row r="4171" ht="14.25" customHeight="1" s="40">
      <c r="A4171" s="24" t="n"/>
      <c r="B4171" s="29" t="n"/>
      <c r="C4171" s="28" t="n"/>
      <c r="D4171" s="22">
        <f t="array" ref="D4171">IF($C4171="","",IFERROR(INDEX(DATA_MASTER!$C$2:$C$5000,MATCH($C4171,DATA_MASTER!$D$2:$D$5000,0)),""))</f>
        <v/>
      </c>
      <c r="E4171" s="22">
        <f t="array" ref="E4171">IF($C4171="","",IFERROR(INDEX(DATA_MASTER!$I$2:$I$5000,MATCH($C4171,DATA_MASTER!$D$2:$D$5000,0)),""))</f>
        <v/>
      </c>
      <c r="F4171" s="22">
        <f t="array" ref="F4171">IF($C4171="","",IFERROR(INDEX(DATA_MASTER!$L$2:$L$5000,MATCH($C4171,DATA_MASTER!$D$2:$D$5000,0)),""))</f>
        <v/>
      </c>
      <c r="G4171" s="24" t="n"/>
      <c r="H4171" s="24" t="n"/>
      <c r="I4171" s="30" t="n"/>
      <c r="J4171" s="23">
        <f>IF(OR($H4171="",$I4171=""),"",$H4171*$I4171)</f>
        <v/>
      </c>
      <c r="K4171" s="24" t="n"/>
      <c r="L4171" s="24" t="n"/>
      <c r="M4171" s="29" t="n"/>
      <c r="N4171" s="28" t="n"/>
      <c r="O4171" s="24" t="n"/>
      <c r="P4171" s="24" t="n"/>
      <c r="Q4171" s="24" t="n"/>
      <c r="R4171" s="24" t="n"/>
      <c r="S4171" s="22">
        <f>IF(AND($A4171="",$C4171=""),"",IF($A4171="","Thiếu mã đơn; ","")&amp;IF(COUNTIF($A$2:$A4171,$A4171)&gt;1,"Trùng mã đơn; ","")&amp;IF(ISNA(MATCH($C4171,DATA_MASTER!$D$2:$D$5000,0)),"SĐT chưa đăng ký hội viên; ","")&amp;IF(AND($L4171="Đã chuyển khoản",$M4171=""),"Thiếu ngày nhận CK; ",""))</f>
        <v/>
      </c>
      <c r="T4171" s="24" t="n"/>
    </row>
    <row r="4172" ht="14.25" customHeight="1" s="40">
      <c r="A4172" s="24" t="n"/>
      <c r="B4172" s="29" t="n"/>
      <c r="C4172" s="28" t="n"/>
      <c r="D4172" s="22">
        <f t="array" ref="D4172">IF($C4172="","",IFERROR(INDEX(DATA_MASTER!$C$2:$C$5000,MATCH($C4172,DATA_MASTER!$D$2:$D$5000,0)),""))</f>
        <v/>
      </c>
      <c r="E4172" s="22">
        <f t="array" ref="E4172">IF($C4172="","",IFERROR(INDEX(DATA_MASTER!$I$2:$I$5000,MATCH($C4172,DATA_MASTER!$D$2:$D$5000,0)),""))</f>
        <v/>
      </c>
      <c r="F4172" s="22">
        <f t="array" ref="F4172">IF($C4172="","",IFERROR(INDEX(DATA_MASTER!$L$2:$L$5000,MATCH($C4172,DATA_MASTER!$D$2:$D$5000,0)),""))</f>
        <v/>
      </c>
      <c r="G4172" s="24" t="n"/>
      <c r="H4172" s="24" t="n"/>
      <c r="I4172" s="30" t="n"/>
      <c r="J4172" s="23">
        <f>IF(OR($H4172="",$I4172=""),"",$H4172*$I4172)</f>
        <v/>
      </c>
      <c r="K4172" s="24" t="n"/>
      <c r="L4172" s="24" t="n"/>
      <c r="M4172" s="29" t="n"/>
      <c r="N4172" s="28" t="n"/>
      <c r="O4172" s="24" t="n"/>
      <c r="P4172" s="24" t="n"/>
      <c r="Q4172" s="24" t="n"/>
      <c r="R4172" s="24" t="n"/>
      <c r="S4172" s="22">
        <f>IF(AND($A4172="",$C4172=""),"",IF($A4172="","Thiếu mã đơn; ","")&amp;IF(COUNTIF($A$2:$A4172,$A4172)&gt;1,"Trùng mã đơn; ","")&amp;IF(ISNA(MATCH($C4172,DATA_MASTER!$D$2:$D$5000,0)),"SĐT chưa đăng ký hội viên; ","")&amp;IF(AND($L4172="Đã chuyển khoản",$M4172=""),"Thiếu ngày nhận CK; ",""))</f>
        <v/>
      </c>
      <c r="T4172" s="24" t="n"/>
    </row>
    <row r="4173" ht="14.25" customHeight="1" s="40">
      <c r="A4173" s="24" t="n"/>
      <c r="B4173" s="29" t="n"/>
      <c r="C4173" s="28" t="n"/>
      <c r="D4173" s="22">
        <f t="array" ref="D4173">IF($C4173="","",IFERROR(INDEX(DATA_MASTER!$C$2:$C$5000,MATCH($C4173,DATA_MASTER!$D$2:$D$5000,0)),""))</f>
        <v/>
      </c>
      <c r="E4173" s="22">
        <f t="array" ref="E4173">IF($C4173="","",IFERROR(INDEX(DATA_MASTER!$I$2:$I$5000,MATCH($C4173,DATA_MASTER!$D$2:$D$5000,0)),""))</f>
        <v/>
      </c>
      <c r="F4173" s="22">
        <f t="array" ref="F4173">IF($C4173="","",IFERROR(INDEX(DATA_MASTER!$L$2:$L$5000,MATCH($C4173,DATA_MASTER!$D$2:$D$5000,0)),""))</f>
        <v/>
      </c>
      <c r="G4173" s="24" t="n"/>
      <c r="H4173" s="24" t="n"/>
      <c r="I4173" s="30" t="n"/>
      <c r="J4173" s="23">
        <f>IF(OR($H4173="",$I4173=""),"",$H4173*$I4173)</f>
        <v/>
      </c>
      <c r="K4173" s="24" t="n"/>
      <c r="L4173" s="24" t="n"/>
      <c r="M4173" s="29" t="n"/>
      <c r="N4173" s="28" t="n"/>
      <c r="O4173" s="24" t="n"/>
      <c r="P4173" s="24" t="n"/>
      <c r="Q4173" s="24" t="n"/>
      <c r="R4173" s="24" t="n"/>
      <c r="S4173" s="22">
        <f>IF(AND($A4173="",$C4173=""),"",IF($A4173="","Thiếu mã đơn; ","")&amp;IF(COUNTIF($A$2:$A4173,$A4173)&gt;1,"Trùng mã đơn; ","")&amp;IF(ISNA(MATCH($C4173,DATA_MASTER!$D$2:$D$5000,0)),"SĐT chưa đăng ký hội viên; ","")&amp;IF(AND($L4173="Đã chuyển khoản",$M4173=""),"Thiếu ngày nhận CK; ",""))</f>
        <v/>
      </c>
      <c r="T4173" s="24" t="n"/>
    </row>
    <row r="4174" ht="14.25" customHeight="1" s="40">
      <c r="A4174" s="24" t="n"/>
      <c r="B4174" s="29" t="n"/>
      <c r="C4174" s="28" t="n"/>
      <c r="D4174" s="22">
        <f t="array" ref="D4174">IF($C4174="","",IFERROR(INDEX(DATA_MASTER!$C$2:$C$5000,MATCH($C4174,DATA_MASTER!$D$2:$D$5000,0)),""))</f>
        <v/>
      </c>
      <c r="E4174" s="22">
        <f t="array" ref="E4174">IF($C4174="","",IFERROR(INDEX(DATA_MASTER!$I$2:$I$5000,MATCH($C4174,DATA_MASTER!$D$2:$D$5000,0)),""))</f>
        <v/>
      </c>
      <c r="F4174" s="22">
        <f t="array" ref="F4174">IF($C4174="","",IFERROR(INDEX(DATA_MASTER!$L$2:$L$5000,MATCH($C4174,DATA_MASTER!$D$2:$D$5000,0)),""))</f>
        <v/>
      </c>
      <c r="G4174" s="24" t="n"/>
      <c r="H4174" s="24" t="n"/>
      <c r="I4174" s="30" t="n"/>
      <c r="J4174" s="23">
        <f>IF(OR($H4174="",$I4174=""),"",$H4174*$I4174)</f>
        <v/>
      </c>
      <c r="K4174" s="24" t="n"/>
      <c r="L4174" s="24" t="n"/>
      <c r="M4174" s="29" t="n"/>
      <c r="N4174" s="28" t="n"/>
      <c r="O4174" s="24" t="n"/>
      <c r="P4174" s="24" t="n"/>
      <c r="Q4174" s="24" t="n"/>
      <c r="R4174" s="24" t="n"/>
      <c r="S4174" s="22">
        <f>IF(AND($A4174="",$C4174=""),"",IF($A4174="","Thiếu mã đơn; ","")&amp;IF(COUNTIF($A$2:$A4174,$A4174)&gt;1,"Trùng mã đơn; ","")&amp;IF(ISNA(MATCH($C4174,DATA_MASTER!$D$2:$D$5000,0)),"SĐT chưa đăng ký hội viên; ","")&amp;IF(AND($L4174="Đã chuyển khoản",$M4174=""),"Thiếu ngày nhận CK; ",""))</f>
        <v/>
      </c>
      <c r="T4174" s="24" t="n"/>
    </row>
    <row r="4175" ht="14.25" customHeight="1" s="40">
      <c r="A4175" s="24" t="n"/>
      <c r="B4175" s="29" t="n"/>
      <c r="C4175" s="28" t="n"/>
      <c r="D4175" s="22">
        <f t="array" ref="D4175">IF($C4175="","",IFERROR(INDEX(DATA_MASTER!$C$2:$C$5000,MATCH($C4175,DATA_MASTER!$D$2:$D$5000,0)),""))</f>
        <v/>
      </c>
      <c r="E4175" s="22">
        <f t="array" ref="E4175">IF($C4175="","",IFERROR(INDEX(DATA_MASTER!$I$2:$I$5000,MATCH($C4175,DATA_MASTER!$D$2:$D$5000,0)),""))</f>
        <v/>
      </c>
      <c r="F4175" s="22">
        <f t="array" ref="F4175">IF($C4175="","",IFERROR(INDEX(DATA_MASTER!$L$2:$L$5000,MATCH($C4175,DATA_MASTER!$D$2:$D$5000,0)),""))</f>
        <v/>
      </c>
      <c r="G4175" s="24" t="n"/>
      <c r="H4175" s="24" t="n"/>
      <c r="I4175" s="30" t="n"/>
      <c r="J4175" s="23">
        <f>IF(OR($H4175="",$I4175=""),"",$H4175*$I4175)</f>
        <v/>
      </c>
      <c r="K4175" s="24" t="n"/>
      <c r="L4175" s="24" t="n"/>
      <c r="M4175" s="29" t="n"/>
      <c r="N4175" s="28" t="n"/>
      <c r="O4175" s="24" t="n"/>
      <c r="P4175" s="24" t="n"/>
      <c r="Q4175" s="24" t="n"/>
      <c r="R4175" s="24" t="n"/>
      <c r="S4175" s="22">
        <f>IF(AND($A4175="",$C4175=""),"",IF($A4175="","Thiếu mã đơn; ","")&amp;IF(COUNTIF($A$2:$A4175,$A4175)&gt;1,"Trùng mã đơn; ","")&amp;IF(ISNA(MATCH($C4175,DATA_MASTER!$D$2:$D$5000,0)),"SĐT chưa đăng ký hội viên; ","")&amp;IF(AND($L4175="Đã chuyển khoản",$M4175=""),"Thiếu ngày nhận CK; ",""))</f>
        <v/>
      </c>
      <c r="T4175" s="24" t="n"/>
    </row>
    <row r="4176" ht="14.25" customHeight="1" s="40">
      <c r="A4176" s="24" t="n"/>
      <c r="B4176" s="29" t="n"/>
      <c r="C4176" s="28" t="n"/>
      <c r="D4176" s="22">
        <f t="array" ref="D4176">IF($C4176="","",IFERROR(INDEX(DATA_MASTER!$C$2:$C$5000,MATCH($C4176,DATA_MASTER!$D$2:$D$5000,0)),""))</f>
        <v/>
      </c>
      <c r="E4176" s="22">
        <f t="array" ref="E4176">IF($C4176="","",IFERROR(INDEX(DATA_MASTER!$I$2:$I$5000,MATCH($C4176,DATA_MASTER!$D$2:$D$5000,0)),""))</f>
        <v/>
      </c>
      <c r="F4176" s="22">
        <f t="array" ref="F4176">IF($C4176="","",IFERROR(INDEX(DATA_MASTER!$L$2:$L$5000,MATCH($C4176,DATA_MASTER!$D$2:$D$5000,0)),""))</f>
        <v/>
      </c>
      <c r="G4176" s="24" t="n"/>
      <c r="H4176" s="24" t="n"/>
      <c r="I4176" s="30" t="n"/>
      <c r="J4176" s="23">
        <f>IF(OR($H4176="",$I4176=""),"",$H4176*$I4176)</f>
        <v/>
      </c>
      <c r="K4176" s="24" t="n"/>
      <c r="L4176" s="24" t="n"/>
      <c r="M4176" s="29" t="n"/>
      <c r="N4176" s="28" t="n"/>
      <c r="O4176" s="24" t="n"/>
      <c r="P4176" s="24" t="n"/>
      <c r="Q4176" s="24" t="n"/>
      <c r="R4176" s="24" t="n"/>
      <c r="S4176" s="22">
        <f>IF(AND($A4176="",$C4176=""),"",IF($A4176="","Thiếu mã đơn; ","")&amp;IF(COUNTIF($A$2:$A4176,$A4176)&gt;1,"Trùng mã đơn; ","")&amp;IF(ISNA(MATCH($C4176,DATA_MASTER!$D$2:$D$5000,0)),"SĐT chưa đăng ký hội viên; ","")&amp;IF(AND($L4176="Đã chuyển khoản",$M4176=""),"Thiếu ngày nhận CK; ",""))</f>
        <v/>
      </c>
      <c r="T4176" s="24" t="n"/>
    </row>
    <row r="4177" ht="14.25" customHeight="1" s="40">
      <c r="A4177" s="24" t="n"/>
      <c r="B4177" s="29" t="n"/>
      <c r="C4177" s="28" t="n"/>
      <c r="D4177" s="22">
        <f t="array" ref="D4177">IF($C4177="","",IFERROR(INDEX(DATA_MASTER!$C$2:$C$5000,MATCH($C4177,DATA_MASTER!$D$2:$D$5000,0)),""))</f>
        <v/>
      </c>
      <c r="E4177" s="22">
        <f t="array" ref="E4177">IF($C4177="","",IFERROR(INDEX(DATA_MASTER!$I$2:$I$5000,MATCH($C4177,DATA_MASTER!$D$2:$D$5000,0)),""))</f>
        <v/>
      </c>
      <c r="F4177" s="22">
        <f t="array" ref="F4177">IF($C4177="","",IFERROR(INDEX(DATA_MASTER!$L$2:$L$5000,MATCH($C4177,DATA_MASTER!$D$2:$D$5000,0)),""))</f>
        <v/>
      </c>
      <c r="G4177" s="24" t="n"/>
      <c r="H4177" s="24" t="n"/>
      <c r="I4177" s="30" t="n"/>
      <c r="J4177" s="23">
        <f>IF(OR($H4177="",$I4177=""),"",$H4177*$I4177)</f>
        <v/>
      </c>
      <c r="K4177" s="24" t="n"/>
      <c r="L4177" s="24" t="n"/>
      <c r="M4177" s="29" t="n"/>
      <c r="N4177" s="28" t="n"/>
      <c r="O4177" s="24" t="n"/>
      <c r="P4177" s="24" t="n"/>
      <c r="Q4177" s="24" t="n"/>
      <c r="R4177" s="24" t="n"/>
      <c r="S4177" s="22">
        <f>IF(AND($A4177="",$C4177=""),"",IF($A4177="","Thiếu mã đơn; ","")&amp;IF(COUNTIF($A$2:$A4177,$A4177)&gt;1,"Trùng mã đơn; ","")&amp;IF(ISNA(MATCH($C4177,DATA_MASTER!$D$2:$D$5000,0)),"SĐT chưa đăng ký hội viên; ","")&amp;IF(AND($L4177="Đã chuyển khoản",$M4177=""),"Thiếu ngày nhận CK; ",""))</f>
        <v/>
      </c>
      <c r="T4177" s="24" t="n"/>
    </row>
    <row r="4178" ht="14.25" customHeight="1" s="40">
      <c r="A4178" s="24" t="n"/>
      <c r="B4178" s="29" t="n"/>
      <c r="C4178" s="28" t="n"/>
      <c r="D4178" s="22">
        <f t="array" ref="D4178">IF($C4178="","",IFERROR(INDEX(DATA_MASTER!$C$2:$C$5000,MATCH($C4178,DATA_MASTER!$D$2:$D$5000,0)),""))</f>
        <v/>
      </c>
      <c r="E4178" s="22">
        <f t="array" ref="E4178">IF($C4178="","",IFERROR(INDEX(DATA_MASTER!$I$2:$I$5000,MATCH($C4178,DATA_MASTER!$D$2:$D$5000,0)),""))</f>
        <v/>
      </c>
      <c r="F4178" s="22">
        <f t="array" ref="F4178">IF($C4178="","",IFERROR(INDEX(DATA_MASTER!$L$2:$L$5000,MATCH($C4178,DATA_MASTER!$D$2:$D$5000,0)),""))</f>
        <v/>
      </c>
      <c r="G4178" s="24" t="n"/>
      <c r="H4178" s="24" t="n"/>
      <c r="I4178" s="30" t="n"/>
      <c r="J4178" s="23">
        <f>IF(OR($H4178="",$I4178=""),"",$H4178*$I4178)</f>
        <v/>
      </c>
      <c r="K4178" s="24" t="n"/>
      <c r="L4178" s="24" t="n"/>
      <c r="M4178" s="29" t="n"/>
      <c r="N4178" s="28" t="n"/>
      <c r="O4178" s="24" t="n"/>
      <c r="P4178" s="24" t="n"/>
      <c r="Q4178" s="24" t="n"/>
      <c r="R4178" s="24" t="n"/>
      <c r="S4178" s="22">
        <f>IF(AND($A4178="",$C4178=""),"",IF($A4178="","Thiếu mã đơn; ","")&amp;IF(COUNTIF($A$2:$A4178,$A4178)&gt;1,"Trùng mã đơn; ","")&amp;IF(ISNA(MATCH($C4178,DATA_MASTER!$D$2:$D$5000,0)),"SĐT chưa đăng ký hội viên; ","")&amp;IF(AND($L4178="Đã chuyển khoản",$M4178=""),"Thiếu ngày nhận CK; ",""))</f>
        <v/>
      </c>
      <c r="T4178" s="24" t="n"/>
    </row>
    <row r="4179" ht="14.25" customHeight="1" s="40">
      <c r="A4179" s="24" t="n"/>
      <c r="B4179" s="29" t="n"/>
      <c r="C4179" s="28" t="n"/>
      <c r="D4179" s="22">
        <f t="array" ref="D4179">IF($C4179="","",IFERROR(INDEX(DATA_MASTER!$C$2:$C$5000,MATCH($C4179,DATA_MASTER!$D$2:$D$5000,0)),""))</f>
        <v/>
      </c>
      <c r="E4179" s="22">
        <f t="array" ref="E4179">IF($C4179="","",IFERROR(INDEX(DATA_MASTER!$I$2:$I$5000,MATCH($C4179,DATA_MASTER!$D$2:$D$5000,0)),""))</f>
        <v/>
      </c>
      <c r="F4179" s="22">
        <f t="array" ref="F4179">IF($C4179="","",IFERROR(INDEX(DATA_MASTER!$L$2:$L$5000,MATCH($C4179,DATA_MASTER!$D$2:$D$5000,0)),""))</f>
        <v/>
      </c>
      <c r="G4179" s="24" t="n"/>
      <c r="H4179" s="24" t="n"/>
      <c r="I4179" s="30" t="n"/>
      <c r="J4179" s="23">
        <f>IF(OR($H4179="",$I4179=""),"",$H4179*$I4179)</f>
        <v/>
      </c>
      <c r="K4179" s="24" t="n"/>
      <c r="L4179" s="24" t="n"/>
      <c r="M4179" s="29" t="n"/>
      <c r="N4179" s="28" t="n"/>
      <c r="O4179" s="24" t="n"/>
      <c r="P4179" s="24" t="n"/>
      <c r="Q4179" s="24" t="n"/>
      <c r="R4179" s="24" t="n"/>
      <c r="S4179" s="22">
        <f>IF(AND($A4179="",$C4179=""),"",IF($A4179="","Thiếu mã đơn; ","")&amp;IF(COUNTIF($A$2:$A4179,$A4179)&gt;1,"Trùng mã đơn; ","")&amp;IF(ISNA(MATCH($C4179,DATA_MASTER!$D$2:$D$5000,0)),"SĐT chưa đăng ký hội viên; ","")&amp;IF(AND($L4179="Đã chuyển khoản",$M4179=""),"Thiếu ngày nhận CK; ",""))</f>
        <v/>
      </c>
      <c r="T4179" s="24" t="n"/>
    </row>
    <row r="4180" ht="14.25" customHeight="1" s="40">
      <c r="A4180" s="24" t="n"/>
      <c r="B4180" s="29" t="n"/>
      <c r="C4180" s="28" t="n"/>
      <c r="D4180" s="22">
        <f t="array" ref="D4180">IF($C4180="","",IFERROR(INDEX(DATA_MASTER!$C$2:$C$5000,MATCH($C4180,DATA_MASTER!$D$2:$D$5000,0)),""))</f>
        <v/>
      </c>
      <c r="E4180" s="22">
        <f t="array" ref="E4180">IF($C4180="","",IFERROR(INDEX(DATA_MASTER!$I$2:$I$5000,MATCH($C4180,DATA_MASTER!$D$2:$D$5000,0)),""))</f>
        <v/>
      </c>
      <c r="F4180" s="22">
        <f t="array" ref="F4180">IF($C4180="","",IFERROR(INDEX(DATA_MASTER!$L$2:$L$5000,MATCH($C4180,DATA_MASTER!$D$2:$D$5000,0)),""))</f>
        <v/>
      </c>
      <c r="G4180" s="24" t="n"/>
      <c r="H4180" s="24" t="n"/>
      <c r="I4180" s="30" t="n"/>
      <c r="J4180" s="23">
        <f>IF(OR($H4180="",$I4180=""),"",$H4180*$I4180)</f>
        <v/>
      </c>
      <c r="K4180" s="24" t="n"/>
      <c r="L4180" s="24" t="n"/>
      <c r="M4180" s="29" t="n"/>
      <c r="N4180" s="28" t="n"/>
      <c r="O4180" s="24" t="n"/>
      <c r="P4180" s="24" t="n"/>
      <c r="Q4180" s="24" t="n"/>
      <c r="R4180" s="24" t="n"/>
      <c r="S4180" s="22">
        <f>IF(AND($A4180="",$C4180=""),"",IF($A4180="","Thiếu mã đơn; ","")&amp;IF(COUNTIF($A$2:$A4180,$A4180)&gt;1,"Trùng mã đơn; ","")&amp;IF(ISNA(MATCH($C4180,DATA_MASTER!$D$2:$D$5000,0)),"SĐT chưa đăng ký hội viên; ","")&amp;IF(AND($L4180="Đã chuyển khoản",$M4180=""),"Thiếu ngày nhận CK; ",""))</f>
        <v/>
      </c>
      <c r="T4180" s="24" t="n"/>
    </row>
    <row r="4181" ht="14.25" customHeight="1" s="40">
      <c r="A4181" s="24" t="n"/>
      <c r="B4181" s="29" t="n"/>
      <c r="C4181" s="28" t="n"/>
      <c r="D4181" s="22">
        <f t="array" ref="D4181">IF($C4181="","",IFERROR(INDEX(DATA_MASTER!$C$2:$C$5000,MATCH($C4181,DATA_MASTER!$D$2:$D$5000,0)),""))</f>
        <v/>
      </c>
      <c r="E4181" s="22">
        <f t="array" ref="E4181">IF($C4181="","",IFERROR(INDEX(DATA_MASTER!$I$2:$I$5000,MATCH($C4181,DATA_MASTER!$D$2:$D$5000,0)),""))</f>
        <v/>
      </c>
      <c r="F4181" s="22">
        <f t="array" ref="F4181">IF($C4181="","",IFERROR(INDEX(DATA_MASTER!$L$2:$L$5000,MATCH($C4181,DATA_MASTER!$D$2:$D$5000,0)),""))</f>
        <v/>
      </c>
      <c r="G4181" s="24" t="n"/>
      <c r="H4181" s="24" t="n"/>
      <c r="I4181" s="30" t="n"/>
      <c r="J4181" s="23">
        <f>IF(OR($H4181="",$I4181=""),"",$H4181*$I4181)</f>
        <v/>
      </c>
      <c r="K4181" s="24" t="n"/>
      <c r="L4181" s="24" t="n"/>
      <c r="M4181" s="29" t="n"/>
      <c r="N4181" s="28" t="n"/>
      <c r="O4181" s="24" t="n"/>
      <c r="P4181" s="24" t="n"/>
      <c r="Q4181" s="24" t="n"/>
      <c r="R4181" s="24" t="n"/>
      <c r="S4181" s="22">
        <f>IF(AND($A4181="",$C4181=""),"",IF($A4181="","Thiếu mã đơn; ","")&amp;IF(COUNTIF($A$2:$A4181,$A4181)&gt;1,"Trùng mã đơn; ","")&amp;IF(ISNA(MATCH($C4181,DATA_MASTER!$D$2:$D$5000,0)),"SĐT chưa đăng ký hội viên; ","")&amp;IF(AND($L4181="Đã chuyển khoản",$M4181=""),"Thiếu ngày nhận CK; ",""))</f>
        <v/>
      </c>
      <c r="T4181" s="24" t="n"/>
    </row>
    <row r="4182" ht="14.25" customHeight="1" s="40">
      <c r="A4182" s="24" t="n"/>
      <c r="B4182" s="29" t="n"/>
      <c r="C4182" s="28" t="n"/>
      <c r="D4182" s="22">
        <f t="array" ref="D4182">IF($C4182="","",IFERROR(INDEX(DATA_MASTER!$C$2:$C$5000,MATCH($C4182,DATA_MASTER!$D$2:$D$5000,0)),""))</f>
        <v/>
      </c>
      <c r="E4182" s="22">
        <f t="array" ref="E4182">IF($C4182="","",IFERROR(INDEX(DATA_MASTER!$I$2:$I$5000,MATCH($C4182,DATA_MASTER!$D$2:$D$5000,0)),""))</f>
        <v/>
      </c>
      <c r="F4182" s="22">
        <f t="array" ref="F4182">IF($C4182="","",IFERROR(INDEX(DATA_MASTER!$L$2:$L$5000,MATCH($C4182,DATA_MASTER!$D$2:$D$5000,0)),""))</f>
        <v/>
      </c>
      <c r="G4182" s="24" t="n"/>
      <c r="H4182" s="24" t="n"/>
      <c r="I4182" s="30" t="n"/>
      <c r="J4182" s="23">
        <f>IF(OR($H4182="",$I4182=""),"",$H4182*$I4182)</f>
        <v/>
      </c>
      <c r="K4182" s="24" t="n"/>
      <c r="L4182" s="24" t="n"/>
      <c r="M4182" s="29" t="n"/>
      <c r="N4182" s="28" t="n"/>
      <c r="O4182" s="24" t="n"/>
      <c r="P4182" s="24" t="n"/>
      <c r="Q4182" s="24" t="n"/>
      <c r="R4182" s="24" t="n"/>
      <c r="S4182" s="22">
        <f>IF(AND($A4182="",$C4182=""),"",IF($A4182="","Thiếu mã đơn; ","")&amp;IF(COUNTIF($A$2:$A4182,$A4182)&gt;1,"Trùng mã đơn; ","")&amp;IF(ISNA(MATCH($C4182,DATA_MASTER!$D$2:$D$5000,0)),"SĐT chưa đăng ký hội viên; ","")&amp;IF(AND($L4182="Đã chuyển khoản",$M4182=""),"Thiếu ngày nhận CK; ",""))</f>
        <v/>
      </c>
      <c r="T4182" s="24" t="n"/>
    </row>
    <row r="4183" ht="14.25" customHeight="1" s="40">
      <c r="A4183" s="24" t="n"/>
      <c r="B4183" s="29" t="n"/>
      <c r="C4183" s="28" t="n"/>
      <c r="D4183" s="22">
        <f t="array" ref="D4183">IF($C4183="","",IFERROR(INDEX(DATA_MASTER!$C$2:$C$5000,MATCH($C4183,DATA_MASTER!$D$2:$D$5000,0)),""))</f>
        <v/>
      </c>
      <c r="E4183" s="22">
        <f t="array" ref="E4183">IF($C4183="","",IFERROR(INDEX(DATA_MASTER!$I$2:$I$5000,MATCH($C4183,DATA_MASTER!$D$2:$D$5000,0)),""))</f>
        <v/>
      </c>
      <c r="F4183" s="22">
        <f t="array" ref="F4183">IF($C4183="","",IFERROR(INDEX(DATA_MASTER!$L$2:$L$5000,MATCH($C4183,DATA_MASTER!$D$2:$D$5000,0)),""))</f>
        <v/>
      </c>
      <c r="G4183" s="24" t="n"/>
      <c r="H4183" s="24" t="n"/>
      <c r="I4183" s="30" t="n"/>
      <c r="J4183" s="23">
        <f>IF(OR($H4183="",$I4183=""),"",$H4183*$I4183)</f>
        <v/>
      </c>
      <c r="K4183" s="24" t="n"/>
      <c r="L4183" s="24" t="n"/>
      <c r="M4183" s="29" t="n"/>
      <c r="N4183" s="28" t="n"/>
      <c r="O4183" s="24" t="n"/>
      <c r="P4183" s="24" t="n"/>
      <c r="Q4183" s="24" t="n"/>
      <c r="R4183" s="24" t="n"/>
      <c r="S4183" s="22">
        <f>IF(AND($A4183="",$C4183=""),"",IF($A4183="","Thiếu mã đơn; ","")&amp;IF(COUNTIF($A$2:$A4183,$A4183)&gt;1,"Trùng mã đơn; ","")&amp;IF(ISNA(MATCH($C4183,DATA_MASTER!$D$2:$D$5000,0)),"SĐT chưa đăng ký hội viên; ","")&amp;IF(AND($L4183="Đã chuyển khoản",$M4183=""),"Thiếu ngày nhận CK; ",""))</f>
        <v/>
      </c>
      <c r="T4183" s="24" t="n"/>
    </row>
    <row r="4184" ht="14.25" customHeight="1" s="40">
      <c r="A4184" s="24" t="n"/>
      <c r="B4184" s="29" t="n"/>
      <c r="C4184" s="28" t="n"/>
      <c r="D4184" s="22">
        <f t="array" ref="D4184">IF($C4184="","",IFERROR(INDEX(DATA_MASTER!$C$2:$C$5000,MATCH($C4184,DATA_MASTER!$D$2:$D$5000,0)),""))</f>
        <v/>
      </c>
      <c r="E4184" s="22">
        <f t="array" ref="E4184">IF($C4184="","",IFERROR(INDEX(DATA_MASTER!$I$2:$I$5000,MATCH($C4184,DATA_MASTER!$D$2:$D$5000,0)),""))</f>
        <v/>
      </c>
      <c r="F4184" s="22">
        <f t="array" ref="F4184">IF($C4184="","",IFERROR(INDEX(DATA_MASTER!$L$2:$L$5000,MATCH($C4184,DATA_MASTER!$D$2:$D$5000,0)),""))</f>
        <v/>
      </c>
      <c r="G4184" s="24" t="n"/>
      <c r="H4184" s="24" t="n"/>
      <c r="I4184" s="30" t="n"/>
      <c r="J4184" s="23">
        <f>IF(OR($H4184="",$I4184=""),"",$H4184*$I4184)</f>
        <v/>
      </c>
      <c r="K4184" s="24" t="n"/>
      <c r="L4184" s="24" t="n"/>
      <c r="M4184" s="29" t="n"/>
      <c r="N4184" s="28" t="n"/>
      <c r="O4184" s="24" t="n"/>
      <c r="P4184" s="24" t="n"/>
      <c r="Q4184" s="24" t="n"/>
      <c r="R4184" s="24" t="n"/>
      <c r="S4184" s="22">
        <f>IF(AND($A4184="",$C4184=""),"",IF($A4184="","Thiếu mã đơn; ","")&amp;IF(COUNTIF($A$2:$A4184,$A4184)&gt;1,"Trùng mã đơn; ","")&amp;IF(ISNA(MATCH($C4184,DATA_MASTER!$D$2:$D$5000,0)),"SĐT chưa đăng ký hội viên; ","")&amp;IF(AND($L4184="Đã chuyển khoản",$M4184=""),"Thiếu ngày nhận CK; ",""))</f>
        <v/>
      </c>
      <c r="T4184" s="24" t="n"/>
    </row>
    <row r="4185" ht="14.25" customHeight="1" s="40">
      <c r="A4185" s="24" t="n"/>
      <c r="B4185" s="29" t="n"/>
      <c r="C4185" s="28" t="n"/>
      <c r="D4185" s="22">
        <f t="array" ref="D4185">IF($C4185="","",IFERROR(INDEX(DATA_MASTER!$C$2:$C$5000,MATCH($C4185,DATA_MASTER!$D$2:$D$5000,0)),""))</f>
        <v/>
      </c>
      <c r="E4185" s="22">
        <f t="array" ref="E4185">IF($C4185="","",IFERROR(INDEX(DATA_MASTER!$I$2:$I$5000,MATCH($C4185,DATA_MASTER!$D$2:$D$5000,0)),""))</f>
        <v/>
      </c>
      <c r="F4185" s="22">
        <f t="array" ref="F4185">IF($C4185="","",IFERROR(INDEX(DATA_MASTER!$L$2:$L$5000,MATCH($C4185,DATA_MASTER!$D$2:$D$5000,0)),""))</f>
        <v/>
      </c>
      <c r="G4185" s="24" t="n"/>
      <c r="H4185" s="24" t="n"/>
      <c r="I4185" s="30" t="n"/>
      <c r="J4185" s="23">
        <f>IF(OR($H4185="",$I4185=""),"",$H4185*$I4185)</f>
        <v/>
      </c>
      <c r="K4185" s="24" t="n"/>
      <c r="L4185" s="24" t="n"/>
      <c r="M4185" s="29" t="n"/>
      <c r="N4185" s="28" t="n"/>
      <c r="O4185" s="24" t="n"/>
      <c r="P4185" s="24" t="n"/>
      <c r="Q4185" s="24" t="n"/>
      <c r="R4185" s="24" t="n"/>
      <c r="S4185" s="22">
        <f>IF(AND($A4185="",$C4185=""),"",IF($A4185="","Thiếu mã đơn; ","")&amp;IF(COUNTIF($A$2:$A4185,$A4185)&gt;1,"Trùng mã đơn; ","")&amp;IF(ISNA(MATCH($C4185,DATA_MASTER!$D$2:$D$5000,0)),"SĐT chưa đăng ký hội viên; ","")&amp;IF(AND($L4185="Đã chuyển khoản",$M4185=""),"Thiếu ngày nhận CK; ",""))</f>
        <v/>
      </c>
      <c r="T4185" s="24" t="n"/>
    </row>
    <row r="4186" ht="14.25" customHeight="1" s="40">
      <c r="A4186" s="24" t="n"/>
      <c r="B4186" s="29" t="n"/>
      <c r="C4186" s="28" t="n"/>
      <c r="D4186" s="22">
        <f t="array" ref="D4186">IF($C4186="","",IFERROR(INDEX(DATA_MASTER!$C$2:$C$5000,MATCH($C4186,DATA_MASTER!$D$2:$D$5000,0)),""))</f>
        <v/>
      </c>
      <c r="E4186" s="22">
        <f t="array" ref="E4186">IF($C4186="","",IFERROR(INDEX(DATA_MASTER!$I$2:$I$5000,MATCH($C4186,DATA_MASTER!$D$2:$D$5000,0)),""))</f>
        <v/>
      </c>
      <c r="F4186" s="22">
        <f t="array" ref="F4186">IF($C4186="","",IFERROR(INDEX(DATA_MASTER!$L$2:$L$5000,MATCH($C4186,DATA_MASTER!$D$2:$D$5000,0)),""))</f>
        <v/>
      </c>
      <c r="G4186" s="24" t="n"/>
      <c r="H4186" s="24" t="n"/>
      <c r="I4186" s="30" t="n"/>
      <c r="J4186" s="23">
        <f>IF(OR($H4186="",$I4186=""),"",$H4186*$I4186)</f>
        <v/>
      </c>
      <c r="K4186" s="24" t="n"/>
      <c r="L4186" s="24" t="n"/>
      <c r="M4186" s="29" t="n"/>
      <c r="N4186" s="28" t="n"/>
      <c r="O4186" s="24" t="n"/>
      <c r="P4186" s="24" t="n"/>
      <c r="Q4186" s="24" t="n"/>
      <c r="R4186" s="24" t="n"/>
      <c r="S4186" s="22">
        <f>IF(AND($A4186="",$C4186=""),"",IF($A4186="","Thiếu mã đơn; ","")&amp;IF(COUNTIF($A$2:$A4186,$A4186)&gt;1,"Trùng mã đơn; ","")&amp;IF(ISNA(MATCH($C4186,DATA_MASTER!$D$2:$D$5000,0)),"SĐT chưa đăng ký hội viên; ","")&amp;IF(AND($L4186="Đã chuyển khoản",$M4186=""),"Thiếu ngày nhận CK; ",""))</f>
        <v/>
      </c>
      <c r="T4186" s="24" t="n"/>
    </row>
    <row r="4187" ht="14.25" customHeight="1" s="40">
      <c r="A4187" s="24" t="n"/>
      <c r="B4187" s="29" t="n"/>
      <c r="C4187" s="28" t="n"/>
      <c r="D4187" s="22">
        <f t="array" ref="D4187">IF($C4187="","",IFERROR(INDEX(DATA_MASTER!$C$2:$C$5000,MATCH($C4187,DATA_MASTER!$D$2:$D$5000,0)),""))</f>
        <v/>
      </c>
      <c r="E4187" s="22">
        <f t="array" ref="E4187">IF($C4187="","",IFERROR(INDEX(DATA_MASTER!$I$2:$I$5000,MATCH($C4187,DATA_MASTER!$D$2:$D$5000,0)),""))</f>
        <v/>
      </c>
      <c r="F4187" s="22">
        <f t="array" ref="F4187">IF($C4187="","",IFERROR(INDEX(DATA_MASTER!$L$2:$L$5000,MATCH($C4187,DATA_MASTER!$D$2:$D$5000,0)),""))</f>
        <v/>
      </c>
      <c r="G4187" s="24" t="n"/>
      <c r="H4187" s="24" t="n"/>
      <c r="I4187" s="30" t="n"/>
      <c r="J4187" s="23">
        <f>IF(OR($H4187="",$I4187=""),"",$H4187*$I4187)</f>
        <v/>
      </c>
      <c r="K4187" s="24" t="n"/>
      <c r="L4187" s="24" t="n"/>
      <c r="M4187" s="29" t="n"/>
      <c r="N4187" s="28" t="n"/>
      <c r="O4187" s="24" t="n"/>
      <c r="P4187" s="24" t="n"/>
      <c r="Q4187" s="24" t="n"/>
      <c r="R4187" s="24" t="n"/>
      <c r="S4187" s="22">
        <f>IF(AND($A4187="",$C4187=""),"",IF($A4187="","Thiếu mã đơn; ","")&amp;IF(COUNTIF($A$2:$A4187,$A4187)&gt;1,"Trùng mã đơn; ","")&amp;IF(ISNA(MATCH($C4187,DATA_MASTER!$D$2:$D$5000,0)),"SĐT chưa đăng ký hội viên; ","")&amp;IF(AND($L4187="Đã chuyển khoản",$M4187=""),"Thiếu ngày nhận CK; ",""))</f>
        <v/>
      </c>
      <c r="T4187" s="24" t="n"/>
    </row>
    <row r="4188" ht="14.25" customHeight="1" s="40">
      <c r="A4188" s="24" t="n"/>
      <c r="B4188" s="29" t="n"/>
      <c r="C4188" s="28" t="n"/>
      <c r="D4188" s="22">
        <f t="array" ref="D4188">IF($C4188="","",IFERROR(INDEX(DATA_MASTER!$C$2:$C$5000,MATCH($C4188,DATA_MASTER!$D$2:$D$5000,0)),""))</f>
        <v/>
      </c>
      <c r="E4188" s="22">
        <f t="array" ref="E4188">IF($C4188="","",IFERROR(INDEX(DATA_MASTER!$I$2:$I$5000,MATCH($C4188,DATA_MASTER!$D$2:$D$5000,0)),""))</f>
        <v/>
      </c>
      <c r="F4188" s="22">
        <f t="array" ref="F4188">IF($C4188="","",IFERROR(INDEX(DATA_MASTER!$L$2:$L$5000,MATCH($C4188,DATA_MASTER!$D$2:$D$5000,0)),""))</f>
        <v/>
      </c>
      <c r="G4188" s="24" t="n"/>
      <c r="H4188" s="24" t="n"/>
      <c r="I4188" s="30" t="n"/>
      <c r="J4188" s="23">
        <f>IF(OR($H4188="",$I4188=""),"",$H4188*$I4188)</f>
        <v/>
      </c>
      <c r="K4188" s="24" t="n"/>
      <c r="L4188" s="24" t="n"/>
      <c r="M4188" s="29" t="n"/>
      <c r="N4188" s="28" t="n"/>
      <c r="O4188" s="24" t="n"/>
      <c r="P4188" s="24" t="n"/>
      <c r="Q4188" s="24" t="n"/>
      <c r="R4188" s="24" t="n"/>
      <c r="S4188" s="22">
        <f>IF(AND($A4188="",$C4188=""),"",IF($A4188="","Thiếu mã đơn; ","")&amp;IF(COUNTIF($A$2:$A4188,$A4188)&gt;1,"Trùng mã đơn; ","")&amp;IF(ISNA(MATCH($C4188,DATA_MASTER!$D$2:$D$5000,0)),"SĐT chưa đăng ký hội viên; ","")&amp;IF(AND($L4188="Đã chuyển khoản",$M4188=""),"Thiếu ngày nhận CK; ",""))</f>
        <v/>
      </c>
      <c r="T4188" s="24" t="n"/>
    </row>
    <row r="4189" ht="14.25" customHeight="1" s="40">
      <c r="A4189" s="24" t="n"/>
      <c r="B4189" s="29" t="n"/>
      <c r="C4189" s="28" t="n"/>
      <c r="D4189" s="22">
        <f t="array" ref="D4189">IF($C4189="","",IFERROR(INDEX(DATA_MASTER!$C$2:$C$5000,MATCH($C4189,DATA_MASTER!$D$2:$D$5000,0)),""))</f>
        <v/>
      </c>
      <c r="E4189" s="22">
        <f t="array" ref="E4189">IF($C4189="","",IFERROR(INDEX(DATA_MASTER!$I$2:$I$5000,MATCH($C4189,DATA_MASTER!$D$2:$D$5000,0)),""))</f>
        <v/>
      </c>
      <c r="F4189" s="22">
        <f t="array" ref="F4189">IF($C4189="","",IFERROR(INDEX(DATA_MASTER!$L$2:$L$5000,MATCH($C4189,DATA_MASTER!$D$2:$D$5000,0)),""))</f>
        <v/>
      </c>
      <c r="G4189" s="24" t="n"/>
      <c r="H4189" s="24" t="n"/>
      <c r="I4189" s="30" t="n"/>
      <c r="J4189" s="23">
        <f>IF(OR($H4189="",$I4189=""),"",$H4189*$I4189)</f>
        <v/>
      </c>
      <c r="K4189" s="24" t="n"/>
      <c r="L4189" s="24" t="n"/>
      <c r="M4189" s="29" t="n"/>
      <c r="N4189" s="28" t="n"/>
      <c r="O4189" s="24" t="n"/>
      <c r="P4189" s="24" t="n"/>
      <c r="Q4189" s="24" t="n"/>
      <c r="R4189" s="24" t="n"/>
      <c r="S4189" s="22">
        <f>IF(AND($A4189="",$C4189=""),"",IF($A4189="","Thiếu mã đơn; ","")&amp;IF(COUNTIF($A$2:$A4189,$A4189)&gt;1,"Trùng mã đơn; ","")&amp;IF(ISNA(MATCH($C4189,DATA_MASTER!$D$2:$D$5000,0)),"SĐT chưa đăng ký hội viên; ","")&amp;IF(AND($L4189="Đã chuyển khoản",$M4189=""),"Thiếu ngày nhận CK; ",""))</f>
        <v/>
      </c>
      <c r="T4189" s="24" t="n"/>
    </row>
    <row r="4190" ht="14.25" customHeight="1" s="40">
      <c r="A4190" s="24" t="n"/>
      <c r="B4190" s="29" t="n"/>
      <c r="C4190" s="28" t="n"/>
      <c r="D4190" s="22">
        <f t="array" ref="D4190">IF($C4190="","",IFERROR(INDEX(DATA_MASTER!$C$2:$C$5000,MATCH($C4190,DATA_MASTER!$D$2:$D$5000,0)),""))</f>
        <v/>
      </c>
      <c r="E4190" s="22">
        <f t="array" ref="E4190">IF($C4190="","",IFERROR(INDEX(DATA_MASTER!$I$2:$I$5000,MATCH($C4190,DATA_MASTER!$D$2:$D$5000,0)),""))</f>
        <v/>
      </c>
      <c r="F4190" s="22">
        <f t="array" ref="F4190">IF($C4190="","",IFERROR(INDEX(DATA_MASTER!$L$2:$L$5000,MATCH($C4190,DATA_MASTER!$D$2:$D$5000,0)),""))</f>
        <v/>
      </c>
      <c r="G4190" s="24" t="n"/>
      <c r="H4190" s="24" t="n"/>
      <c r="I4190" s="30" t="n"/>
      <c r="J4190" s="23">
        <f>IF(OR($H4190="",$I4190=""),"",$H4190*$I4190)</f>
        <v/>
      </c>
      <c r="K4190" s="24" t="n"/>
      <c r="L4190" s="24" t="n"/>
      <c r="M4190" s="29" t="n"/>
      <c r="N4190" s="28" t="n"/>
      <c r="O4190" s="24" t="n"/>
      <c r="P4190" s="24" t="n"/>
      <c r="Q4190" s="24" t="n"/>
      <c r="R4190" s="24" t="n"/>
      <c r="S4190" s="22">
        <f>IF(AND($A4190="",$C4190=""),"",IF($A4190="","Thiếu mã đơn; ","")&amp;IF(COUNTIF($A$2:$A4190,$A4190)&gt;1,"Trùng mã đơn; ","")&amp;IF(ISNA(MATCH($C4190,DATA_MASTER!$D$2:$D$5000,0)),"SĐT chưa đăng ký hội viên; ","")&amp;IF(AND($L4190="Đã chuyển khoản",$M4190=""),"Thiếu ngày nhận CK; ",""))</f>
        <v/>
      </c>
      <c r="T4190" s="24" t="n"/>
    </row>
    <row r="4191" ht="14.25" customHeight="1" s="40">
      <c r="A4191" s="24" t="n"/>
      <c r="B4191" s="29" t="n"/>
      <c r="C4191" s="28" t="n"/>
      <c r="D4191" s="22">
        <f t="array" ref="D4191">IF($C4191="","",IFERROR(INDEX(DATA_MASTER!$C$2:$C$5000,MATCH($C4191,DATA_MASTER!$D$2:$D$5000,0)),""))</f>
        <v/>
      </c>
      <c r="E4191" s="22">
        <f t="array" ref="E4191">IF($C4191="","",IFERROR(INDEX(DATA_MASTER!$I$2:$I$5000,MATCH($C4191,DATA_MASTER!$D$2:$D$5000,0)),""))</f>
        <v/>
      </c>
      <c r="F4191" s="22">
        <f t="array" ref="F4191">IF($C4191="","",IFERROR(INDEX(DATA_MASTER!$L$2:$L$5000,MATCH($C4191,DATA_MASTER!$D$2:$D$5000,0)),""))</f>
        <v/>
      </c>
      <c r="G4191" s="24" t="n"/>
      <c r="H4191" s="24" t="n"/>
      <c r="I4191" s="30" t="n"/>
      <c r="J4191" s="23">
        <f>IF(OR($H4191="",$I4191=""),"",$H4191*$I4191)</f>
        <v/>
      </c>
      <c r="K4191" s="24" t="n"/>
      <c r="L4191" s="24" t="n"/>
      <c r="M4191" s="29" t="n"/>
      <c r="N4191" s="28" t="n"/>
      <c r="O4191" s="24" t="n"/>
      <c r="P4191" s="24" t="n"/>
      <c r="Q4191" s="24" t="n"/>
      <c r="R4191" s="24" t="n"/>
      <c r="S4191" s="22">
        <f>IF(AND($A4191="",$C4191=""),"",IF($A4191="","Thiếu mã đơn; ","")&amp;IF(COUNTIF($A$2:$A4191,$A4191)&gt;1,"Trùng mã đơn; ","")&amp;IF(ISNA(MATCH($C4191,DATA_MASTER!$D$2:$D$5000,0)),"SĐT chưa đăng ký hội viên; ","")&amp;IF(AND($L4191="Đã chuyển khoản",$M4191=""),"Thiếu ngày nhận CK; ",""))</f>
        <v/>
      </c>
      <c r="T4191" s="24" t="n"/>
    </row>
    <row r="4192" ht="14.25" customHeight="1" s="40">
      <c r="A4192" s="24" t="n"/>
      <c r="B4192" s="29" t="n"/>
      <c r="C4192" s="28" t="n"/>
      <c r="D4192" s="22">
        <f t="array" ref="D4192">IF($C4192="","",IFERROR(INDEX(DATA_MASTER!$C$2:$C$5000,MATCH($C4192,DATA_MASTER!$D$2:$D$5000,0)),""))</f>
        <v/>
      </c>
      <c r="E4192" s="22">
        <f t="array" ref="E4192">IF($C4192="","",IFERROR(INDEX(DATA_MASTER!$I$2:$I$5000,MATCH($C4192,DATA_MASTER!$D$2:$D$5000,0)),""))</f>
        <v/>
      </c>
      <c r="F4192" s="22">
        <f t="array" ref="F4192">IF($C4192="","",IFERROR(INDEX(DATA_MASTER!$L$2:$L$5000,MATCH($C4192,DATA_MASTER!$D$2:$D$5000,0)),""))</f>
        <v/>
      </c>
      <c r="G4192" s="24" t="n"/>
      <c r="H4192" s="24" t="n"/>
      <c r="I4192" s="30" t="n"/>
      <c r="J4192" s="23">
        <f>IF(OR($H4192="",$I4192=""),"",$H4192*$I4192)</f>
        <v/>
      </c>
      <c r="K4192" s="24" t="n"/>
      <c r="L4192" s="24" t="n"/>
      <c r="M4192" s="29" t="n"/>
      <c r="N4192" s="28" t="n"/>
      <c r="O4192" s="24" t="n"/>
      <c r="P4192" s="24" t="n"/>
      <c r="Q4192" s="24" t="n"/>
      <c r="R4192" s="24" t="n"/>
      <c r="S4192" s="22">
        <f>IF(AND($A4192="",$C4192=""),"",IF($A4192="","Thiếu mã đơn; ","")&amp;IF(COUNTIF($A$2:$A4192,$A4192)&gt;1,"Trùng mã đơn; ","")&amp;IF(ISNA(MATCH($C4192,DATA_MASTER!$D$2:$D$5000,0)),"SĐT chưa đăng ký hội viên; ","")&amp;IF(AND($L4192="Đã chuyển khoản",$M4192=""),"Thiếu ngày nhận CK; ",""))</f>
        <v/>
      </c>
      <c r="T4192" s="24" t="n"/>
    </row>
    <row r="4193" ht="14.25" customHeight="1" s="40">
      <c r="A4193" s="24" t="n"/>
      <c r="B4193" s="29" t="n"/>
      <c r="C4193" s="28" t="n"/>
      <c r="D4193" s="22">
        <f t="array" ref="D4193">IF($C4193="","",IFERROR(INDEX(DATA_MASTER!$C$2:$C$5000,MATCH($C4193,DATA_MASTER!$D$2:$D$5000,0)),""))</f>
        <v/>
      </c>
      <c r="E4193" s="22">
        <f t="array" ref="E4193">IF($C4193="","",IFERROR(INDEX(DATA_MASTER!$I$2:$I$5000,MATCH($C4193,DATA_MASTER!$D$2:$D$5000,0)),""))</f>
        <v/>
      </c>
      <c r="F4193" s="22">
        <f t="array" ref="F4193">IF($C4193="","",IFERROR(INDEX(DATA_MASTER!$L$2:$L$5000,MATCH($C4193,DATA_MASTER!$D$2:$D$5000,0)),""))</f>
        <v/>
      </c>
      <c r="G4193" s="24" t="n"/>
      <c r="H4193" s="24" t="n"/>
      <c r="I4193" s="30" t="n"/>
      <c r="J4193" s="23">
        <f>IF(OR($H4193="",$I4193=""),"",$H4193*$I4193)</f>
        <v/>
      </c>
      <c r="K4193" s="24" t="n"/>
      <c r="L4193" s="24" t="n"/>
      <c r="M4193" s="29" t="n"/>
      <c r="N4193" s="28" t="n"/>
      <c r="O4193" s="24" t="n"/>
      <c r="P4193" s="24" t="n"/>
      <c r="Q4193" s="24" t="n"/>
      <c r="R4193" s="24" t="n"/>
      <c r="S4193" s="22">
        <f>IF(AND($A4193="",$C4193=""),"",IF($A4193="","Thiếu mã đơn; ","")&amp;IF(COUNTIF($A$2:$A4193,$A4193)&gt;1,"Trùng mã đơn; ","")&amp;IF(ISNA(MATCH($C4193,DATA_MASTER!$D$2:$D$5000,0)),"SĐT chưa đăng ký hội viên; ","")&amp;IF(AND($L4193="Đã chuyển khoản",$M4193=""),"Thiếu ngày nhận CK; ",""))</f>
        <v/>
      </c>
      <c r="T4193" s="24" t="n"/>
    </row>
    <row r="4194" ht="14.25" customHeight="1" s="40">
      <c r="A4194" s="24" t="n"/>
      <c r="B4194" s="29" t="n"/>
      <c r="C4194" s="28" t="n"/>
      <c r="D4194" s="22">
        <f t="array" ref="D4194">IF($C4194="","",IFERROR(INDEX(DATA_MASTER!$C$2:$C$5000,MATCH($C4194,DATA_MASTER!$D$2:$D$5000,0)),""))</f>
        <v/>
      </c>
      <c r="E4194" s="22">
        <f t="array" ref="E4194">IF($C4194="","",IFERROR(INDEX(DATA_MASTER!$I$2:$I$5000,MATCH($C4194,DATA_MASTER!$D$2:$D$5000,0)),""))</f>
        <v/>
      </c>
      <c r="F4194" s="22">
        <f t="array" ref="F4194">IF($C4194="","",IFERROR(INDEX(DATA_MASTER!$L$2:$L$5000,MATCH($C4194,DATA_MASTER!$D$2:$D$5000,0)),""))</f>
        <v/>
      </c>
      <c r="G4194" s="24" t="n"/>
      <c r="H4194" s="24" t="n"/>
      <c r="I4194" s="30" t="n"/>
      <c r="J4194" s="23">
        <f>IF(OR($H4194="",$I4194=""),"",$H4194*$I4194)</f>
        <v/>
      </c>
      <c r="K4194" s="24" t="n"/>
      <c r="L4194" s="24" t="n"/>
      <c r="M4194" s="29" t="n"/>
      <c r="N4194" s="28" t="n"/>
      <c r="O4194" s="24" t="n"/>
      <c r="P4194" s="24" t="n"/>
      <c r="Q4194" s="24" t="n"/>
      <c r="R4194" s="24" t="n"/>
      <c r="S4194" s="22">
        <f>IF(AND($A4194="",$C4194=""),"",IF($A4194="","Thiếu mã đơn; ","")&amp;IF(COUNTIF($A$2:$A4194,$A4194)&gt;1,"Trùng mã đơn; ","")&amp;IF(ISNA(MATCH($C4194,DATA_MASTER!$D$2:$D$5000,0)),"SĐT chưa đăng ký hội viên; ","")&amp;IF(AND($L4194="Đã chuyển khoản",$M4194=""),"Thiếu ngày nhận CK; ",""))</f>
        <v/>
      </c>
      <c r="T4194" s="24" t="n"/>
    </row>
    <row r="4195" ht="14.25" customHeight="1" s="40">
      <c r="A4195" s="24" t="n"/>
      <c r="B4195" s="29" t="n"/>
      <c r="C4195" s="28" t="n"/>
      <c r="D4195" s="22">
        <f t="array" ref="D4195">IF($C4195="","",IFERROR(INDEX(DATA_MASTER!$C$2:$C$5000,MATCH($C4195,DATA_MASTER!$D$2:$D$5000,0)),""))</f>
        <v/>
      </c>
      <c r="E4195" s="22">
        <f t="array" ref="E4195">IF($C4195="","",IFERROR(INDEX(DATA_MASTER!$I$2:$I$5000,MATCH($C4195,DATA_MASTER!$D$2:$D$5000,0)),""))</f>
        <v/>
      </c>
      <c r="F4195" s="22">
        <f t="array" ref="F4195">IF($C4195="","",IFERROR(INDEX(DATA_MASTER!$L$2:$L$5000,MATCH($C4195,DATA_MASTER!$D$2:$D$5000,0)),""))</f>
        <v/>
      </c>
      <c r="G4195" s="24" t="n"/>
      <c r="H4195" s="24" t="n"/>
      <c r="I4195" s="30" t="n"/>
      <c r="J4195" s="23">
        <f>IF(OR($H4195="",$I4195=""),"",$H4195*$I4195)</f>
        <v/>
      </c>
      <c r="K4195" s="24" t="n"/>
      <c r="L4195" s="24" t="n"/>
      <c r="M4195" s="29" t="n"/>
      <c r="N4195" s="28" t="n"/>
      <c r="O4195" s="24" t="n"/>
      <c r="P4195" s="24" t="n"/>
      <c r="Q4195" s="24" t="n"/>
      <c r="R4195" s="24" t="n"/>
      <c r="S4195" s="22">
        <f>IF(AND($A4195="",$C4195=""),"",IF($A4195="","Thiếu mã đơn; ","")&amp;IF(COUNTIF($A$2:$A4195,$A4195)&gt;1,"Trùng mã đơn; ","")&amp;IF(ISNA(MATCH($C4195,DATA_MASTER!$D$2:$D$5000,0)),"SĐT chưa đăng ký hội viên; ","")&amp;IF(AND($L4195="Đã chuyển khoản",$M4195=""),"Thiếu ngày nhận CK; ",""))</f>
        <v/>
      </c>
      <c r="T4195" s="24" t="n"/>
    </row>
    <row r="4196" ht="14.25" customHeight="1" s="40">
      <c r="A4196" s="24" t="n"/>
      <c r="B4196" s="29" t="n"/>
      <c r="C4196" s="28" t="n"/>
      <c r="D4196" s="22">
        <f t="array" ref="D4196">IF($C4196="","",IFERROR(INDEX(DATA_MASTER!$C$2:$C$5000,MATCH($C4196,DATA_MASTER!$D$2:$D$5000,0)),""))</f>
        <v/>
      </c>
      <c r="E4196" s="22">
        <f t="array" ref="E4196">IF($C4196="","",IFERROR(INDEX(DATA_MASTER!$I$2:$I$5000,MATCH($C4196,DATA_MASTER!$D$2:$D$5000,0)),""))</f>
        <v/>
      </c>
      <c r="F4196" s="22">
        <f t="array" ref="F4196">IF($C4196="","",IFERROR(INDEX(DATA_MASTER!$L$2:$L$5000,MATCH($C4196,DATA_MASTER!$D$2:$D$5000,0)),""))</f>
        <v/>
      </c>
      <c r="G4196" s="24" t="n"/>
      <c r="H4196" s="24" t="n"/>
      <c r="I4196" s="30" t="n"/>
      <c r="J4196" s="23">
        <f>IF(OR($H4196="",$I4196=""),"",$H4196*$I4196)</f>
        <v/>
      </c>
      <c r="K4196" s="24" t="n"/>
      <c r="L4196" s="24" t="n"/>
      <c r="M4196" s="29" t="n"/>
      <c r="N4196" s="28" t="n"/>
      <c r="O4196" s="24" t="n"/>
      <c r="P4196" s="24" t="n"/>
      <c r="Q4196" s="24" t="n"/>
      <c r="R4196" s="24" t="n"/>
      <c r="S4196" s="22">
        <f>IF(AND($A4196="",$C4196=""),"",IF($A4196="","Thiếu mã đơn; ","")&amp;IF(COUNTIF($A$2:$A4196,$A4196)&gt;1,"Trùng mã đơn; ","")&amp;IF(ISNA(MATCH($C4196,DATA_MASTER!$D$2:$D$5000,0)),"SĐT chưa đăng ký hội viên; ","")&amp;IF(AND($L4196="Đã chuyển khoản",$M4196=""),"Thiếu ngày nhận CK; ",""))</f>
        <v/>
      </c>
      <c r="T4196" s="24" t="n"/>
    </row>
    <row r="4197" ht="14.25" customHeight="1" s="40">
      <c r="A4197" s="24" t="n"/>
      <c r="B4197" s="29" t="n"/>
      <c r="C4197" s="28" t="n"/>
      <c r="D4197" s="22">
        <f t="array" ref="D4197">IF($C4197="","",IFERROR(INDEX(DATA_MASTER!$C$2:$C$5000,MATCH($C4197,DATA_MASTER!$D$2:$D$5000,0)),""))</f>
        <v/>
      </c>
      <c r="E4197" s="22">
        <f t="array" ref="E4197">IF($C4197="","",IFERROR(INDEX(DATA_MASTER!$I$2:$I$5000,MATCH($C4197,DATA_MASTER!$D$2:$D$5000,0)),""))</f>
        <v/>
      </c>
      <c r="F4197" s="22">
        <f t="array" ref="F4197">IF($C4197="","",IFERROR(INDEX(DATA_MASTER!$L$2:$L$5000,MATCH($C4197,DATA_MASTER!$D$2:$D$5000,0)),""))</f>
        <v/>
      </c>
      <c r="G4197" s="24" t="n"/>
      <c r="H4197" s="24" t="n"/>
      <c r="I4197" s="30" t="n"/>
      <c r="J4197" s="23">
        <f>IF(OR($H4197="",$I4197=""),"",$H4197*$I4197)</f>
        <v/>
      </c>
      <c r="K4197" s="24" t="n"/>
      <c r="L4197" s="24" t="n"/>
      <c r="M4197" s="29" t="n"/>
      <c r="N4197" s="28" t="n"/>
      <c r="O4197" s="24" t="n"/>
      <c r="P4197" s="24" t="n"/>
      <c r="Q4197" s="24" t="n"/>
      <c r="R4197" s="24" t="n"/>
      <c r="S4197" s="22">
        <f>IF(AND($A4197="",$C4197=""),"",IF($A4197="","Thiếu mã đơn; ","")&amp;IF(COUNTIF($A$2:$A4197,$A4197)&gt;1,"Trùng mã đơn; ","")&amp;IF(ISNA(MATCH($C4197,DATA_MASTER!$D$2:$D$5000,0)),"SĐT chưa đăng ký hội viên; ","")&amp;IF(AND($L4197="Đã chuyển khoản",$M4197=""),"Thiếu ngày nhận CK; ",""))</f>
        <v/>
      </c>
      <c r="T4197" s="24" t="n"/>
    </row>
    <row r="4198" ht="14.25" customHeight="1" s="40">
      <c r="A4198" s="24" t="n"/>
      <c r="B4198" s="29" t="n"/>
      <c r="C4198" s="28" t="n"/>
      <c r="D4198" s="22">
        <f t="array" ref="D4198">IF($C4198="","",IFERROR(INDEX(DATA_MASTER!$C$2:$C$5000,MATCH($C4198,DATA_MASTER!$D$2:$D$5000,0)),""))</f>
        <v/>
      </c>
      <c r="E4198" s="22">
        <f t="array" ref="E4198">IF($C4198="","",IFERROR(INDEX(DATA_MASTER!$I$2:$I$5000,MATCH($C4198,DATA_MASTER!$D$2:$D$5000,0)),""))</f>
        <v/>
      </c>
      <c r="F4198" s="22">
        <f t="array" ref="F4198">IF($C4198="","",IFERROR(INDEX(DATA_MASTER!$L$2:$L$5000,MATCH($C4198,DATA_MASTER!$D$2:$D$5000,0)),""))</f>
        <v/>
      </c>
      <c r="G4198" s="24" t="n"/>
      <c r="H4198" s="24" t="n"/>
      <c r="I4198" s="30" t="n"/>
      <c r="J4198" s="23">
        <f>IF(OR($H4198="",$I4198=""),"",$H4198*$I4198)</f>
        <v/>
      </c>
      <c r="K4198" s="24" t="n"/>
      <c r="L4198" s="24" t="n"/>
      <c r="M4198" s="29" t="n"/>
      <c r="N4198" s="28" t="n"/>
      <c r="O4198" s="24" t="n"/>
      <c r="P4198" s="24" t="n"/>
      <c r="Q4198" s="24" t="n"/>
      <c r="R4198" s="24" t="n"/>
      <c r="S4198" s="22">
        <f>IF(AND($A4198="",$C4198=""),"",IF($A4198="","Thiếu mã đơn; ","")&amp;IF(COUNTIF($A$2:$A4198,$A4198)&gt;1,"Trùng mã đơn; ","")&amp;IF(ISNA(MATCH($C4198,DATA_MASTER!$D$2:$D$5000,0)),"SĐT chưa đăng ký hội viên; ","")&amp;IF(AND($L4198="Đã chuyển khoản",$M4198=""),"Thiếu ngày nhận CK; ",""))</f>
        <v/>
      </c>
      <c r="T4198" s="24" t="n"/>
    </row>
    <row r="4199" ht="14.25" customHeight="1" s="40">
      <c r="A4199" s="24" t="n"/>
      <c r="B4199" s="29" t="n"/>
      <c r="C4199" s="28" t="n"/>
      <c r="D4199" s="22">
        <f t="array" ref="D4199">IF($C4199="","",IFERROR(INDEX(DATA_MASTER!$C$2:$C$5000,MATCH($C4199,DATA_MASTER!$D$2:$D$5000,0)),""))</f>
        <v/>
      </c>
      <c r="E4199" s="22">
        <f t="array" ref="E4199">IF($C4199="","",IFERROR(INDEX(DATA_MASTER!$I$2:$I$5000,MATCH($C4199,DATA_MASTER!$D$2:$D$5000,0)),""))</f>
        <v/>
      </c>
      <c r="F4199" s="22">
        <f t="array" ref="F4199">IF($C4199="","",IFERROR(INDEX(DATA_MASTER!$L$2:$L$5000,MATCH($C4199,DATA_MASTER!$D$2:$D$5000,0)),""))</f>
        <v/>
      </c>
      <c r="G4199" s="24" t="n"/>
      <c r="H4199" s="24" t="n"/>
      <c r="I4199" s="30" t="n"/>
      <c r="J4199" s="23">
        <f>IF(OR($H4199="",$I4199=""),"",$H4199*$I4199)</f>
        <v/>
      </c>
      <c r="K4199" s="24" t="n"/>
      <c r="L4199" s="24" t="n"/>
      <c r="M4199" s="29" t="n"/>
      <c r="N4199" s="28" t="n"/>
      <c r="O4199" s="24" t="n"/>
      <c r="P4199" s="24" t="n"/>
      <c r="Q4199" s="24" t="n"/>
      <c r="R4199" s="24" t="n"/>
      <c r="S4199" s="22">
        <f>IF(AND($A4199="",$C4199=""),"",IF($A4199="","Thiếu mã đơn; ","")&amp;IF(COUNTIF($A$2:$A4199,$A4199)&gt;1,"Trùng mã đơn; ","")&amp;IF(ISNA(MATCH($C4199,DATA_MASTER!$D$2:$D$5000,0)),"SĐT chưa đăng ký hội viên; ","")&amp;IF(AND($L4199="Đã chuyển khoản",$M4199=""),"Thiếu ngày nhận CK; ",""))</f>
        <v/>
      </c>
      <c r="T4199" s="24" t="n"/>
    </row>
    <row r="4200" ht="14.25" customHeight="1" s="40">
      <c r="A4200" s="24" t="n"/>
      <c r="B4200" s="29" t="n"/>
      <c r="C4200" s="28" t="n"/>
      <c r="D4200" s="22">
        <f t="array" ref="D4200">IF($C4200="","",IFERROR(INDEX(DATA_MASTER!$C$2:$C$5000,MATCH($C4200,DATA_MASTER!$D$2:$D$5000,0)),""))</f>
        <v/>
      </c>
      <c r="E4200" s="22">
        <f t="array" ref="E4200">IF($C4200="","",IFERROR(INDEX(DATA_MASTER!$I$2:$I$5000,MATCH($C4200,DATA_MASTER!$D$2:$D$5000,0)),""))</f>
        <v/>
      </c>
      <c r="F4200" s="22">
        <f t="array" ref="F4200">IF($C4200="","",IFERROR(INDEX(DATA_MASTER!$L$2:$L$5000,MATCH($C4200,DATA_MASTER!$D$2:$D$5000,0)),""))</f>
        <v/>
      </c>
      <c r="G4200" s="24" t="n"/>
      <c r="H4200" s="24" t="n"/>
      <c r="I4200" s="30" t="n"/>
      <c r="J4200" s="23">
        <f>IF(OR($H4200="",$I4200=""),"",$H4200*$I4200)</f>
        <v/>
      </c>
      <c r="K4200" s="24" t="n"/>
      <c r="L4200" s="24" t="n"/>
      <c r="M4200" s="29" t="n"/>
      <c r="N4200" s="28" t="n"/>
      <c r="O4200" s="24" t="n"/>
      <c r="P4200" s="24" t="n"/>
      <c r="Q4200" s="24" t="n"/>
      <c r="R4200" s="24" t="n"/>
      <c r="S4200" s="22">
        <f>IF(AND($A4200="",$C4200=""),"",IF($A4200="","Thiếu mã đơn; ","")&amp;IF(COUNTIF($A$2:$A4200,$A4200)&gt;1,"Trùng mã đơn; ","")&amp;IF(ISNA(MATCH($C4200,DATA_MASTER!$D$2:$D$5000,0)),"SĐT chưa đăng ký hội viên; ","")&amp;IF(AND($L4200="Đã chuyển khoản",$M4200=""),"Thiếu ngày nhận CK; ",""))</f>
        <v/>
      </c>
      <c r="T4200" s="24" t="n"/>
    </row>
    <row r="4201" ht="14.25" customHeight="1" s="40">
      <c r="A4201" s="24" t="n"/>
      <c r="B4201" s="29" t="n"/>
      <c r="C4201" s="28" t="n"/>
      <c r="D4201" s="22">
        <f t="array" ref="D4201">IF($C4201="","",IFERROR(INDEX(DATA_MASTER!$C$2:$C$5000,MATCH($C4201,DATA_MASTER!$D$2:$D$5000,0)),""))</f>
        <v/>
      </c>
      <c r="E4201" s="22">
        <f t="array" ref="E4201">IF($C4201="","",IFERROR(INDEX(DATA_MASTER!$I$2:$I$5000,MATCH($C4201,DATA_MASTER!$D$2:$D$5000,0)),""))</f>
        <v/>
      </c>
      <c r="F4201" s="22">
        <f t="array" ref="F4201">IF($C4201="","",IFERROR(INDEX(DATA_MASTER!$L$2:$L$5000,MATCH($C4201,DATA_MASTER!$D$2:$D$5000,0)),""))</f>
        <v/>
      </c>
      <c r="G4201" s="24" t="n"/>
      <c r="H4201" s="24" t="n"/>
      <c r="I4201" s="30" t="n"/>
      <c r="J4201" s="23">
        <f>IF(OR($H4201="",$I4201=""),"",$H4201*$I4201)</f>
        <v/>
      </c>
      <c r="K4201" s="24" t="n"/>
      <c r="L4201" s="24" t="n"/>
      <c r="M4201" s="29" t="n"/>
      <c r="N4201" s="28" t="n"/>
      <c r="O4201" s="24" t="n"/>
      <c r="P4201" s="24" t="n"/>
      <c r="Q4201" s="24" t="n"/>
      <c r="R4201" s="24" t="n"/>
      <c r="S4201" s="22">
        <f>IF(AND($A4201="",$C4201=""),"",IF($A4201="","Thiếu mã đơn; ","")&amp;IF(COUNTIF($A$2:$A4201,$A4201)&gt;1,"Trùng mã đơn; ","")&amp;IF(ISNA(MATCH($C4201,DATA_MASTER!$D$2:$D$5000,0)),"SĐT chưa đăng ký hội viên; ","")&amp;IF(AND($L4201="Đã chuyển khoản",$M4201=""),"Thiếu ngày nhận CK; ",""))</f>
        <v/>
      </c>
      <c r="T4201" s="24" t="n"/>
    </row>
    <row r="4202" ht="14.25" customHeight="1" s="40">
      <c r="A4202" s="24" t="n"/>
      <c r="B4202" s="29" t="n"/>
      <c r="C4202" s="28" t="n"/>
      <c r="D4202" s="22">
        <f t="array" ref="D4202">IF($C4202="","",IFERROR(INDEX(DATA_MASTER!$C$2:$C$5000,MATCH($C4202,DATA_MASTER!$D$2:$D$5000,0)),""))</f>
        <v/>
      </c>
      <c r="E4202" s="22">
        <f t="array" ref="E4202">IF($C4202="","",IFERROR(INDEX(DATA_MASTER!$I$2:$I$5000,MATCH($C4202,DATA_MASTER!$D$2:$D$5000,0)),""))</f>
        <v/>
      </c>
      <c r="F4202" s="22">
        <f t="array" ref="F4202">IF($C4202="","",IFERROR(INDEX(DATA_MASTER!$L$2:$L$5000,MATCH($C4202,DATA_MASTER!$D$2:$D$5000,0)),""))</f>
        <v/>
      </c>
      <c r="G4202" s="24" t="n"/>
      <c r="H4202" s="24" t="n"/>
      <c r="I4202" s="30" t="n"/>
      <c r="J4202" s="23">
        <f>IF(OR($H4202="",$I4202=""),"",$H4202*$I4202)</f>
        <v/>
      </c>
      <c r="K4202" s="24" t="n"/>
      <c r="L4202" s="24" t="n"/>
      <c r="M4202" s="29" t="n"/>
      <c r="N4202" s="28" t="n"/>
      <c r="O4202" s="24" t="n"/>
      <c r="P4202" s="24" t="n"/>
      <c r="Q4202" s="24" t="n"/>
      <c r="R4202" s="24" t="n"/>
      <c r="S4202" s="22">
        <f>IF(AND($A4202="",$C4202=""),"",IF($A4202="","Thiếu mã đơn; ","")&amp;IF(COUNTIF($A$2:$A4202,$A4202)&gt;1,"Trùng mã đơn; ","")&amp;IF(ISNA(MATCH($C4202,DATA_MASTER!$D$2:$D$5000,0)),"SĐT chưa đăng ký hội viên; ","")&amp;IF(AND($L4202="Đã chuyển khoản",$M4202=""),"Thiếu ngày nhận CK; ",""))</f>
        <v/>
      </c>
      <c r="T4202" s="24" t="n"/>
    </row>
    <row r="4203" ht="14.25" customHeight="1" s="40">
      <c r="A4203" s="24" t="n"/>
      <c r="B4203" s="29" t="n"/>
      <c r="C4203" s="28" t="n"/>
      <c r="D4203" s="22">
        <f t="array" ref="D4203">IF($C4203="","",IFERROR(INDEX(DATA_MASTER!$C$2:$C$5000,MATCH($C4203,DATA_MASTER!$D$2:$D$5000,0)),""))</f>
        <v/>
      </c>
      <c r="E4203" s="22">
        <f t="array" ref="E4203">IF($C4203="","",IFERROR(INDEX(DATA_MASTER!$I$2:$I$5000,MATCH($C4203,DATA_MASTER!$D$2:$D$5000,0)),""))</f>
        <v/>
      </c>
      <c r="F4203" s="22">
        <f t="array" ref="F4203">IF($C4203="","",IFERROR(INDEX(DATA_MASTER!$L$2:$L$5000,MATCH($C4203,DATA_MASTER!$D$2:$D$5000,0)),""))</f>
        <v/>
      </c>
      <c r="G4203" s="24" t="n"/>
      <c r="H4203" s="24" t="n"/>
      <c r="I4203" s="30" t="n"/>
      <c r="J4203" s="23">
        <f>IF(OR($H4203="",$I4203=""),"",$H4203*$I4203)</f>
        <v/>
      </c>
      <c r="K4203" s="24" t="n"/>
      <c r="L4203" s="24" t="n"/>
      <c r="M4203" s="29" t="n"/>
      <c r="N4203" s="28" t="n"/>
      <c r="O4203" s="24" t="n"/>
      <c r="P4203" s="24" t="n"/>
      <c r="Q4203" s="24" t="n"/>
      <c r="R4203" s="24" t="n"/>
      <c r="S4203" s="22">
        <f>IF(AND($A4203="",$C4203=""),"",IF($A4203="","Thiếu mã đơn; ","")&amp;IF(COUNTIF($A$2:$A4203,$A4203)&gt;1,"Trùng mã đơn; ","")&amp;IF(ISNA(MATCH($C4203,DATA_MASTER!$D$2:$D$5000,0)),"SĐT chưa đăng ký hội viên; ","")&amp;IF(AND($L4203="Đã chuyển khoản",$M4203=""),"Thiếu ngày nhận CK; ",""))</f>
        <v/>
      </c>
      <c r="T4203" s="24" t="n"/>
    </row>
    <row r="4204" ht="14.25" customHeight="1" s="40">
      <c r="A4204" s="24" t="n"/>
      <c r="B4204" s="29" t="n"/>
      <c r="C4204" s="28" t="n"/>
      <c r="D4204" s="22">
        <f t="array" ref="D4204">IF($C4204="","",IFERROR(INDEX(DATA_MASTER!$C$2:$C$5000,MATCH($C4204,DATA_MASTER!$D$2:$D$5000,0)),""))</f>
        <v/>
      </c>
      <c r="E4204" s="22">
        <f t="array" ref="E4204">IF($C4204="","",IFERROR(INDEX(DATA_MASTER!$I$2:$I$5000,MATCH($C4204,DATA_MASTER!$D$2:$D$5000,0)),""))</f>
        <v/>
      </c>
      <c r="F4204" s="22">
        <f t="array" ref="F4204">IF($C4204="","",IFERROR(INDEX(DATA_MASTER!$L$2:$L$5000,MATCH($C4204,DATA_MASTER!$D$2:$D$5000,0)),""))</f>
        <v/>
      </c>
      <c r="G4204" s="24" t="n"/>
      <c r="H4204" s="24" t="n"/>
      <c r="I4204" s="30" t="n"/>
      <c r="J4204" s="23">
        <f>IF(OR($H4204="",$I4204=""),"",$H4204*$I4204)</f>
        <v/>
      </c>
      <c r="K4204" s="24" t="n"/>
      <c r="L4204" s="24" t="n"/>
      <c r="M4204" s="29" t="n"/>
      <c r="N4204" s="28" t="n"/>
      <c r="O4204" s="24" t="n"/>
      <c r="P4204" s="24" t="n"/>
      <c r="Q4204" s="24" t="n"/>
      <c r="R4204" s="24" t="n"/>
      <c r="S4204" s="22">
        <f>IF(AND($A4204="",$C4204=""),"",IF($A4204="","Thiếu mã đơn; ","")&amp;IF(COUNTIF($A$2:$A4204,$A4204)&gt;1,"Trùng mã đơn; ","")&amp;IF(ISNA(MATCH($C4204,DATA_MASTER!$D$2:$D$5000,0)),"SĐT chưa đăng ký hội viên; ","")&amp;IF(AND($L4204="Đã chuyển khoản",$M4204=""),"Thiếu ngày nhận CK; ",""))</f>
        <v/>
      </c>
      <c r="T4204" s="24" t="n"/>
    </row>
    <row r="4205" ht="14.25" customHeight="1" s="40">
      <c r="A4205" s="24" t="n"/>
      <c r="B4205" s="29" t="n"/>
      <c r="C4205" s="28" t="n"/>
      <c r="D4205" s="22">
        <f t="array" ref="D4205">IF($C4205="","",IFERROR(INDEX(DATA_MASTER!$C$2:$C$5000,MATCH($C4205,DATA_MASTER!$D$2:$D$5000,0)),""))</f>
        <v/>
      </c>
      <c r="E4205" s="22">
        <f t="array" ref="E4205">IF($C4205="","",IFERROR(INDEX(DATA_MASTER!$I$2:$I$5000,MATCH($C4205,DATA_MASTER!$D$2:$D$5000,0)),""))</f>
        <v/>
      </c>
      <c r="F4205" s="22">
        <f t="array" ref="F4205">IF($C4205="","",IFERROR(INDEX(DATA_MASTER!$L$2:$L$5000,MATCH($C4205,DATA_MASTER!$D$2:$D$5000,0)),""))</f>
        <v/>
      </c>
      <c r="G4205" s="24" t="n"/>
      <c r="H4205" s="24" t="n"/>
      <c r="I4205" s="30" t="n"/>
      <c r="J4205" s="23">
        <f>IF(OR($H4205="",$I4205=""),"",$H4205*$I4205)</f>
        <v/>
      </c>
      <c r="K4205" s="24" t="n"/>
      <c r="L4205" s="24" t="n"/>
      <c r="M4205" s="29" t="n"/>
      <c r="N4205" s="28" t="n"/>
      <c r="O4205" s="24" t="n"/>
      <c r="P4205" s="24" t="n"/>
      <c r="Q4205" s="24" t="n"/>
      <c r="R4205" s="24" t="n"/>
      <c r="S4205" s="22">
        <f>IF(AND($A4205="",$C4205=""),"",IF($A4205="","Thiếu mã đơn; ","")&amp;IF(COUNTIF($A$2:$A4205,$A4205)&gt;1,"Trùng mã đơn; ","")&amp;IF(ISNA(MATCH($C4205,DATA_MASTER!$D$2:$D$5000,0)),"SĐT chưa đăng ký hội viên; ","")&amp;IF(AND($L4205="Đã chuyển khoản",$M4205=""),"Thiếu ngày nhận CK; ",""))</f>
        <v/>
      </c>
      <c r="T4205" s="24" t="n"/>
    </row>
    <row r="4206" ht="14.25" customHeight="1" s="40">
      <c r="A4206" s="24" t="n"/>
      <c r="B4206" s="29" t="n"/>
      <c r="C4206" s="28" t="n"/>
      <c r="D4206" s="22">
        <f t="array" ref="D4206">IF($C4206="","",IFERROR(INDEX(DATA_MASTER!$C$2:$C$5000,MATCH($C4206,DATA_MASTER!$D$2:$D$5000,0)),""))</f>
        <v/>
      </c>
      <c r="E4206" s="22">
        <f t="array" ref="E4206">IF($C4206="","",IFERROR(INDEX(DATA_MASTER!$I$2:$I$5000,MATCH($C4206,DATA_MASTER!$D$2:$D$5000,0)),""))</f>
        <v/>
      </c>
      <c r="F4206" s="22">
        <f t="array" ref="F4206">IF($C4206="","",IFERROR(INDEX(DATA_MASTER!$L$2:$L$5000,MATCH($C4206,DATA_MASTER!$D$2:$D$5000,0)),""))</f>
        <v/>
      </c>
      <c r="G4206" s="24" t="n"/>
      <c r="H4206" s="24" t="n"/>
      <c r="I4206" s="30" t="n"/>
      <c r="J4206" s="23">
        <f>IF(OR($H4206="",$I4206=""),"",$H4206*$I4206)</f>
        <v/>
      </c>
      <c r="K4206" s="24" t="n"/>
      <c r="L4206" s="24" t="n"/>
      <c r="M4206" s="29" t="n"/>
      <c r="N4206" s="28" t="n"/>
      <c r="O4206" s="24" t="n"/>
      <c r="P4206" s="24" t="n"/>
      <c r="Q4206" s="24" t="n"/>
      <c r="R4206" s="24" t="n"/>
      <c r="S4206" s="22">
        <f>IF(AND($A4206="",$C4206=""),"",IF($A4206="","Thiếu mã đơn; ","")&amp;IF(COUNTIF($A$2:$A4206,$A4206)&gt;1,"Trùng mã đơn; ","")&amp;IF(ISNA(MATCH($C4206,DATA_MASTER!$D$2:$D$5000,0)),"SĐT chưa đăng ký hội viên; ","")&amp;IF(AND($L4206="Đã chuyển khoản",$M4206=""),"Thiếu ngày nhận CK; ",""))</f>
        <v/>
      </c>
      <c r="T4206" s="24" t="n"/>
    </row>
    <row r="4207" ht="14.25" customHeight="1" s="40">
      <c r="A4207" s="24" t="n"/>
      <c r="B4207" s="29" t="n"/>
      <c r="C4207" s="28" t="n"/>
      <c r="D4207" s="22">
        <f t="array" ref="D4207">IF($C4207="","",IFERROR(INDEX(DATA_MASTER!$C$2:$C$5000,MATCH($C4207,DATA_MASTER!$D$2:$D$5000,0)),""))</f>
        <v/>
      </c>
      <c r="E4207" s="22">
        <f t="array" ref="E4207">IF($C4207="","",IFERROR(INDEX(DATA_MASTER!$I$2:$I$5000,MATCH($C4207,DATA_MASTER!$D$2:$D$5000,0)),""))</f>
        <v/>
      </c>
      <c r="F4207" s="22">
        <f t="array" ref="F4207">IF($C4207="","",IFERROR(INDEX(DATA_MASTER!$L$2:$L$5000,MATCH($C4207,DATA_MASTER!$D$2:$D$5000,0)),""))</f>
        <v/>
      </c>
      <c r="G4207" s="24" t="n"/>
      <c r="H4207" s="24" t="n"/>
      <c r="I4207" s="30" t="n"/>
      <c r="J4207" s="23">
        <f>IF(OR($H4207="",$I4207=""),"",$H4207*$I4207)</f>
        <v/>
      </c>
      <c r="K4207" s="24" t="n"/>
      <c r="L4207" s="24" t="n"/>
      <c r="M4207" s="29" t="n"/>
      <c r="N4207" s="28" t="n"/>
      <c r="O4207" s="24" t="n"/>
      <c r="P4207" s="24" t="n"/>
      <c r="Q4207" s="24" t="n"/>
      <c r="R4207" s="24" t="n"/>
      <c r="S4207" s="22">
        <f>IF(AND($A4207="",$C4207=""),"",IF($A4207="","Thiếu mã đơn; ","")&amp;IF(COUNTIF($A$2:$A4207,$A4207)&gt;1,"Trùng mã đơn; ","")&amp;IF(ISNA(MATCH($C4207,DATA_MASTER!$D$2:$D$5000,0)),"SĐT chưa đăng ký hội viên; ","")&amp;IF(AND($L4207="Đã chuyển khoản",$M4207=""),"Thiếu ngày nhận CK; ",""))</f>
        <v/>
      </c>
      <c r="T4207" s="24" t="n"/>
    </row>
    <row r="4208" ht="14.25" customHeight="1" s="40">
      <c r="A4208" s="24" t="n"/>
      <c r="B4208" s="29" t="n"/>
      <c r="C4208" s="28" t="n"/>
      <c r="D4208" s="22">
        <f t="array" ref="D4208">IF($C4208="","",IFERROR(INDEX(DATA_MASTER!$C$2:$C$5000,MATCH($C4208,DATA_MASTER!$D$2:$D$5000,0)),""))</f>
        <v/>
      </c>
      <c r="E4208" s="22">
        <f t="array" ref="E4208">IF($C4208="","",IFERROR(INDEX(DATA_MASTER!$I$2:$I$5000,MATCH($C4208,DATA_MASTER!$D$2:$D$5000,0)),""))</f>
        <v/>
      </c>
      <c r="F4208" s="22">
        <f t="array" ref="F4208">IF($C4208="","",IFERROR(INDEX(DATA_MASTER!$L$2:$L$5000,MATCH($C4208,DATA_MASTER!$D$2:$D$5000,0)),""))</f>
        <v/>
      </c>
      <c r="G4208" s="24" t="n"/>
      <c r="H4208" s="24" t="n"/>
      <c r="I4208" s="30" t="n"/>
      <c r="J4208" s="23">
        <f>IF(OR($H4208="",$I4208=""),"",$H4208*$I4208)</f>
        <v/>
      </c>
      <c r="K4208" s="24" t="n"/>
      <c r="L4208" s="24" t="n"/>
      <c r="M4208" s="29" t="n"/>
      <c r="N4208" s="28" t="n"/>
      <c r="O4208" s="24" t="n"/>
      <c r="P4208" s="24" t="n"/>
      <c r="Q4208" s="24" t="n"/>
      <c r="R4208" s="24" t="n"/>
      <c r="S4208" s="22">
        <f>IF(AND($A4208="",$C4208=""),"",IF($A4208="","Thiếu mã đơn; ","")&amp;IF(COUNTIF($A$2:$A4208,$A4208)&gt;1,"Trùng mã đơn; ","")&amp;IF(ISNA(MATCH($C4208,DATA_MASTER!$D$2:$D$5000,0)),"SĐT chưa đăng ký hội viên; ","")&amp;IF(AND($L4208="Đã chuyển khoản",$M4208=""),"Thiếu ngày nhận CK; ",""))</f>
        <v/>
      </c>
      <c r="T4208" s="24" t="n"/>
    </row>
    <row r="4209" ht="14.25" customHeight="1" s="40">
      <c r="A4209" s="24" t="n"/>
      <c r="B4209" s="29" t="n"/>
      <c r="C4209" s="28" t="n"/>
      <c r="D4209" s="22">
        <f t="array" ref="D4209">IF($C4209="","",IFERROR(INDEX(DATA_MASTER!$C$2:$C$5000,MATCH($C4209,DATA_MASTER!$D$2:$D$5000,0)),""))</f>
        <v/>
      </c>
      <c r="E4209" s="22">
        <f t="array" ref="E4209">IF($C4209="","",IFERROR(INDEX(DATA_MASTER!$I$2:$I$5000,MATCH($C4209,DATA_MASTER!$D$2:$D$5000,0)),""))</f>
        <v/>
      </c>
      <c r="F4209" s="22">
        <f t="array" ref="F4209">IF($C4209="","",IFERROR(INDEX(DATA_MASTER!$L$2:$L$5000,MATCH($C4209,DATA_MASTER!$D$2:$D$5000,0)),""))</f>
        <v/>
      </c>
      <c r="G4209" s="24" t="n"/>
      <c r="H4209" s="24" t="n"/>
      <c r="I4209" s="30" t="n"/>
      <c r="J4209" s="23">
        <f>IF(OR($H4209="",$I4209=""),"",$H4209*$I4209)</f>
        <v/>
      </c>
      <c r="K4209" s="24" t="n"/>
      <c r="L4209" s="24" t="n"/>
      <c r="M4209" s="29" t="n"/>
      <c r="N4209" s="28" t="n"/>
      <c r="O4209" s="24" t="n"/>
      <c r="P4209" s="24" t="n"/>
      <c r="Q4209" s="24" t="n"/>
      <c r="R4209" s="24" t="n"/>
      <c r="S4209" s="22">
        <f>IF(AND($A4209="",$C4209=""),"",IF($A4209="","Thiếu mã đơn; ","")&amp;IF(COUNTIF($A$2:$A4209,$A4209)&gt;1,"Trùng mã đơn; ","")&amp;IF(ISNA(MATCH($C4209,DATA_MASTER!$D$2:$D$5000,0)),"SĐT chưa đăng ký hội viên; ","")&amp;IF(AND($L4209="Đã chuyển khoản",$M4209=""),"Thiếu ngày nhận CK; ",""))</f>
        <v/>
      </c>
      <c r="T4209" s="24" t="n"/>
    </row>
    <row r="4210" ht="14.25" customHeight="1" s="40">
      <c r="A4210" s="24" t="n"/>
      <c r="B4210" s="29" t="n"/>
      <c r="C4210" s="28" t="n"/>
      <c r="D4210" s="22">
        <f t="array" ref="D4210">IF($C4210="","",IFERROR(INDEX(DATA_MASTER!$C$2:$C$5000,MATCH($C4210,DATA_MASTER!$D$2:$D$5000,0)),""))</f>
        <v/>
      </c>
      <c r="E4210" s="22">
        <f t="array" ref="E4210">IF($C4210="","",IFERROR(INDEX(DATA_MASTER!$I$2:$I$5000,MATCH($C4210,DATA_MASTER!$D$2:$D$5000,0)),""))</f>
        <v/>
      </c>
      <c r="F4210" s="22">
        <f t="array" ref="F4210">IF($C4210="","",IFERROR(INDEX(DATA_MASTER!$L$2:$L$5000,MATCH($C4210,DATA_MASTER!$D$2:$D$5000,0)),""))</f>
        <v/>
      </c>
      <c r="G4210" s="24" t="n"/>
      <c r="H4210" s="24" t="n"/>
      <c r="I4210" s="30" t="n"/>
      <c r="J4210" s="23">
        <f>IF(OR($H4210="",$I4210=""),"",$H4210*$I4210)</f>
        <v/>
      </c>
      <c r="K4210" s="24" t="n"/>
      <c r="L4210" s="24" t="n"/>
      <c r="M4210" s="29" t="n"/>
      <c r="N4210" s="28" t="n"/>
      <c r="O4210" s="24" t="n"/>
      <c r="P4210" s="24" t="n"/>
      <c r="Q4210" s="24" t="n"/>
      <c r="R4210" s="24" t="n"/>
      <c r="S4210" s="22">
        <f>IF(AND($A4210="",$C4210=""),"",IF($A4210="","Thiếu mã đơn; ","")&amp;IF(COUNTIF($A$2:$A4210,$A4210)&gt;1,"Trùng mã đơn; ","")&amp;IF(ISNA(MATCH($C4210,DATA_MASTER!$D$2:$D$5000,0)),"SĐT chưa đăng ký hội viên; ","")&amp;IF(AND($L4210="Đã chuyển khoản",$M4210=""),"Thiếu ngày nhận CK; ",""))</f>
        <v/>
      </c>
      <c r="T4210" s="24" t="n"/>
    </row>
    <row r="4211" ht="14.25" customHeight="1" s="40">
      <c r="A4211" s="24" t="n"/>
      <c r="B4211" s="29" t="n"/>
      <c r="C4211" s="28" t="n"/>
      <c r="D4211" s="22">
        <f t="array" ref="D4211">IF($C4211="","",IFERROR(INDEX(DATA_MASTER!$C$2:$C$5000,MATCH($C4211,DATA_MASTER!$D$2:$D$5000,0)),""))</f>
        <v/>
      </c>
      <c r="E4211" s="22">
        <f t="array" ref="E4211">IF($C4211="","",IFERROR(INDEX(DATA_MASTER!$I$2:$I$5000,MATCH($C4211,DATA_MASTER!$D$2:$D$5000,0)),""))</f>
        <v/>
      </c>
      <c r="F4211" s="22">
        <f t="array" ref="F4211">IF($C4211="","",IFERROR(INDEX(DATA_MASTER!$L$2:$L$5000,MATCH($C4211,DATA_MASTER!$D$2:$D$5000,0)),""))</f>
        <v/>
      </c>
      <c r="G4211" s="24" t="n"/>
      <c r="H4211" s="24" t="n"/>
      <c r="I4211" s="30" t="n"/>
      <c r="J4211" s="23">
        <f>IF(OR($H4211="",$I4211=""),"",$H4211*$I4211)</f>
        <v/>
      </c>
      <c r="K4211" s="24" t="n"/>
      <c r="L4211" s="24" t="n"/>
      <c r="M4211" s="29" t="n"/>
      <c r="N4211" s="28" t="n"/>
      <c r="O4211" s="24" t="n"/>
      <c r="P4211" s="24" t="n"/>
      <c r="Q4211" s="24" t="n"/>
      <c r="R4211" s="24" t="n"/>
      <c r="S4211" s="22">
        <f>IF(AND($A4211="",$C4211=""),"",IF($A4211="","Thiếu mã đơn; ","")&amp;IF(COUNTIF($A$2:$A4211,$A4211)&gt;1,"Trùng mã đơn; ","")&amp;IF(ISNA(MATCH($C4211,DATA_MASTER!$D$2:$D$5000,0)),"SĐT chưa đăng ký hội viên; ","")&amp;IF(AND($L4211="Đã chuyển khoản",$M4211=""),"Thiếu ngày nhận CK; ",""))</f>
        <v/>
      </c>
      <c r="T4211" s="24" t="n"/>
    </row>
    <row r="4212" ht="14.25" customHeight="1" s="40">
      <c r="A4212" s="24" t="n"/>
      <c r="B4212" s="29" t="n"/>
      <c r="C4212" s="28" t="n"/>
      <c r="D4212" s="22">
        <f t="array" ref="D4212">IF($C4212="","",IFERROR(INDEX(DATA_MASTER!$C$2:$C$5000,MATCH($C4212,DATA_MASTER!$D$2:$D$5000,0)),""))</f>
        <v/>
      </c>
      <c r="E4212" s="22">
        <f t="array" ref="E4212">IF($C4212="","",IFERROR(INDEX(DATA_MASTER!$I$2:$I$5000,MATCH($C4212,DATA_MASTER!$D$2:$D$5000,0)),""))</f>
        <v/>
      </c>
      <c r="F4212" s="22">
        <f t="array" ref="F4212">IF($C4212="","",IFERROR(INDEX(DATA_MASTER!$L$2:$L$5000,MATCH($C4212,DATA_MASTER!$D$2:$D$5000,0)),""))</f>
        <v/>
      </c>
      <c r="G4212" s="24" t="n"/>
      <c r="H4212" s="24" t="n"/>
      <c r="I4212" s="30" t="n"/>
      <c r="J4212" s="23">
        <f>IF(OR($H4212="",$I4212=""),"",$H4212*$I4212)</f>
        <v/>
      </c>
      <c r="K4212" s="24" t="n"/>
      <c r="L4212" s="24" t="n"/>
      <c r="M4212" s="29" t="n"/>
      <c r="N4212" s="28" t="n"/>
      <c r="O4212" s="24" t="n"/>
      <c r="P4212" s="24" t="n"/>
      <c r="Q4212" s="24" t="n"/>
      <c r="R4212" s="24" t="n"/>
      <c r="S4212" s="22">
        <f>IF(AND($A4212="",$C4212=""),"",IF($A4212="","Thiếu mã đơn; ","")&amp;IF(COUNTIF($A$2:$A4212,$A4212)&gt;1,"Trùng mã đơn; ","")&amp;IF(ISNA(MATCH($C4212,DATA_MASTER!$D$2:$D$5000,0)),"SĐT chưa đăng ký hội viên; ","")&amp;IF(AND($L4212="Đã chuyển khoản",$M4212=""),"Thiếu ngày nhận CK; ",""))</f>
        <v/>
      </c>
      <c r="T4212" s="24" t="n"/>
    </row>
    <row r="4213" ht="14.25" customHeight="1" s="40">
      <c r="A4213" s="24" t="n"/>
      <c r="B4213" s="29" t="n"/>
      <c r="C4213" s="28" t="n"/>
      <c r="D4213" s="22">
        <f t="array" ref="D4213">IF($C4213="","",IFERROR(INDEX(DATA_MASTER!$C$2:$C$5000,MATCH($C4213,DATA_MASTER!$D$2:$D$5000,0)),""))</f>
        <v/>
      </c>
      <c r="E4213" s="22">
        <f t="array" ref="E4213">IF($C4213="","",IFERROR(INDEX(DATA_MASTER!$I$2:$I$5000,MATCH($C4213,DATA_MASTER!$D$2:$D$5000,0)),""))</f>
        <v/>
      </c>
      <c r="F4213" s="22">
        <f t="array" ref="F4213">IF($C4213="","",IFERROR(INDEX(DATA_MASTER!$L$2:$L$5000,MATCH($C4213,DATA_MASTER!$D$2:$D$5000,0)),""))</f>
        <v/>
      </c>
      <c r="G4213" s="24" t="n"/>
      <c r="H4213" s="24" t="n"/>
      <c r="I4213" s="30" t="n"/>
      <c r="J4213" s="23">
        <f>IF(OR($H4213="",$I4213=""),"",$H4213*$I4213)</f>
        <v/>
      </c>
      <c r="K4213" s="24" t="n"/>
      <c r="L4213" s="24" t="n"/>
      <c r="M4213" s="29" t="n"/>
      <c r="N4213" s="28" t="n"/>
      <c r="O4213" s="24" t="n"/>
      <c r="P4213" s="24" t="n"/>
      <c r="Q4213" s="24" t="n"/>
      <c r="R4213" s="24" t="n"/>
      <c r="S4213" s="22">
        <f>IF(AND($A4213="",$C4213=""),"",IF($A4213="","Thiếu mã đơn; ","")&amp;IF(COUNTIF($A$2:$A4213,$A4213)&gt;1,"Trùng mã đơn; ","")&amp;IF(ISNA(MATCH($C4213,DATA_MASTER!$D$2:$D$5000,0)),"SĐT chưa đăng ký hội viên; ","")&amp;IF(AND($L4213="Đã chuyển khoản",$M4213=""),"Thiếu ngày nhận CK; ",""))</f>
        <v/>
      </c>
      <c r="T4213" s="24" t="n"/>
    </row>
    <row r="4214" ht="14.25" customHeight="1" s="40">
      <c r="A4214" s="24" t="n"/>
      <c r="B4214" s="29" t="n"/>
      <c r="C4214" s="28" t="n"/>
      <c r="D4214" s="22">
        <f t="array" ref="D4214">IF($C4214="","",IFERROR(INDEX(DATA_MASTER!$C$2:$C$5000,MATCH($C4214,DATA_MASTER!$D$2:$D$5000,0)),""))</f>
        <v/>
      </c>
      <c r="E4214" s="22">
        <f t="array" ref="E4214">IF($C4214="","",IFERROR(INDEX(DATA_MASTER!$I$2:$I$5000,MATCH($C4214,DATA_MASTER!$D$2:$D$5000,0)),""))</f>
        <v/>
      </c>
      <c r="F4214" s="22">
        <f t="array" ref="F4214">IF($C4214="","",IFERROR(INDEX(DATA_MASTER!$L$2:$L$5000,MATCH($C4214,DATA_MASTER!$D$2:$D$5000,0)),""))</f>
        <v/>
      </c>
      <c r="G4214" s="24" t="n"/>
      <c r="H4214" s="24" t="n"/>
      <c r="I4214" s="30" t="n"/>
      <c r="J4214" s="23">
        <f>IF(OR($H4214="",$I4214=""),"",$H4214*$I4214)</f>
        <v/>
      </c>
      <c r="K4214" s="24" t="n"/>
      <c r="L4214" s="24" t="n"/>
      <c r="M4214" s="29" t="n"/>
      <c r="N4214" s="28" t="n"/>
      <c r="O4214" s="24" t="n"/>
      <c r="P4214" s="24" t="n"/>
      <c r="Q4214" s="24" t="n"/>
      <c r="R4214" s="24" t="n"/>
      <c r="S4214" s="22">
        <f>IF(AND($A4214="",$C4214=""),"",IF($A4214="","Thiếu mã đơn; ","")&amp;IF(COUNTIF($A$2:$A4214,$A4214)&gt;1,"Trùng mã đơn; ","")&amp;IF(ISNA(MATCH($C4214,DATA_MASTER!$D$2:$D$5000,0)),"SĐT chưa đăng ký hội viên; ","")&amp;IF(AND($L4214="Đã chuyển khoản",$M4214=""),"Thiếu ngày nhận CK; ",""))</f>
        <v/>
      </c>
      <c r="T4214" s="24" t="n"/>
    </row>
    <row r="4215" ht="14.25" customHeight="1" s="40">
      <c r="A4215" s="24" t="n"/>
      <c r="B4215" s="29" t="n"/>
      <c r="C4215" s="28" t="n"/>
      <c r="D4215" s="22">
        <f t="array" ref="D4215">IF($C4215="","",IFERROR(INDEX(DATA_MASTER!$C$2:$C$5000,MATCH($C4215,DATA_MASTER!$D$2:$D$5000,0)),""))</f>
        <v/>
      </c>
      <c r="E4215" s="22">
        <f t="array" ref="E4215">IF($C4215="","",IFERROR(INDEX(DATA_MASTER!$I$2:$I$5000,MATCH($C4215,DATA_MASTER!$D$2:$D$5000,0)),""))</f>
        <v/>
      </c>
      <c r="F4215" s="22">
        <f t="array" ref="F4215">IF($C4215="","",IFERROR(INDEX(DATA_MASTER!$L$2:$L$5000,MATCH($C4215,DATA_MASTER!$D$2:$D$5000,0)),""))</f>
        <v/>
      </c>
      <c r="G4215" s="24" t="n"/>
      <c r="H4215" s="24" t="n"/>
      <c r="I4215" s="30" t="n"/>
      <c r="J4215" s="23">
        <f>IF(OR($H4215="",$I4215=""),"",$H4215*$I4215)</f>
        <v/>
      </c>
      <c r="K4215" s="24" t="n"/>
      <c r="L4215" s="24" t="n"/>
      <c r="M4215" s="29" t="n"/>
      <c r="N4215" s="28" t="n"/>
      <c r="O4215" s="24" t="n"/>
      <c r="P4215" s="24" t="n"/>
      <c r="Q4215" s="24" t="n"/>
      <c r="R4215" s="24" t="n"/>
      <c r="S4215" s="22">
        <f>IF(AND($A4215="",$C4215=""),"",IF($A4215="","Thiếu mã đơn; ","")&amp;IF(COUNTIF($A$2:$A4215,$A4215)&gt;1,"Trùng mã đơn; ","")&amp;IF(ISNA(MATCH($C4215,DATA_MASTER!$D$2:$D$5000,0)),"SĐT chưa đăng ký hội viên; ","")&amp;IF(AND($L4215="Đã chuyển khoản",$M4215=""),"Thiếu ngày nhận CK; ",""))</f>
        <v/>
      </c>
      <c r="T4215" s="24" t="n"/>
    </row>
    <row r="4216" ht="14.25" customHeight="1" s="40">
      <c r="A4216" s="24" t="n"/>
      <c r="B4216" s="29" t="n"/>
      <c r="C4216" s="28" t="n"/>
      <c r="D4216" s="22">
        <f t="array" ref="D4216">IF($C4216="","",IFERROR(INDEX(DATA_MASTER!$C$2:$C$5000,MATCH($C4216,DATA_MASTER!$D$2:$D$5000,0)),""))</f>
        <v/>
      </c>
      <c r="E4216" s="22">
        <f t="array" ref="E4216">IF($C4216="","",IFERROR(INDEX(DATA_MASTER!$I$2:$I$5000,MATCH($C4216,DATA_MASTER!$D$2:$D$5000,0)),""))</f>
        <v/>
      </c>
      <c r="F4216" s="22">
        <f t="array" ref="F4216">IF($C4216="","",IFERROR(INDEX(DATA_MASTER!$L$2:$L$5000,MATCH($C4216,DATA_MASTER!$D$2:$D$5000,0)),""))</f>
        <v/>
      </c>
      <c r="G4216" s="24" t="n"/>
      <c r="H4216" s="24" t="n"/>
      <c r="I4216" s="30" t="n"/>
      <c r="J4216" s="23">
        <f>IF(OR($H4216="",$I4216=""),"",$H4216*$I4216)</f>
        <v/>
      </c>
      <c r="K4216" s="24" t="n"/>
      <c r="L4216" s="24" t="n"/>
      <c r="M4216" s="29" t="n"/>
      <c r="N4216" s="28" t="n"/>
      <c r="O4216" s="24" t="n"/>
      <c r="P4216" s="24" t="n"/>
      <c r="Q4216" s="24" t="n"/>
      <c r="R4216" s="24" t="n"/>
      <c r="S4216" s="22">
        <f>IF(AND($A4216="",$C4216=""),"",IF($A4216="","Thiếu mã đơn; ","")&amp;IF(COUNTIF($A$2:$A4216,$A4216)&gt;1,"Trùng mã đơn; ","")&amp;IF(ISNA(MATCH($C4216,DATA_MASTER!$D$2:$D$5000,0)),"SĐT chưa đăng ký hội viên; ","")&amp;IF(AND($L4216="Đã chuyển khoản",$M4216=""),"Thiếu ngày nhận CK; ",""))</f>
        <v/>
      </c>
      <c r="T4216" s="24" t="n"/>
    </row>
    <row r="4217" ht="14.25" customHeight="1" s="40">
      <c r="A4217" s="24" t="n"/>
      <c r="B4217" s="29" t="n"/>
      <c r="C4217" s="28" t="n"/>
      <c r="D4217" s="22">
        <f t="array" ref="D4217">IF($C4217="","",IFERROR(INDEX(DATA_MASTER!$C$2:$C$5000,MATCH($C4217,DATA_MASTER!$D$2:$D$5000,0)),""))</f>
        <v/>
      </c>
      <c r="E4217" s="22">
        <f t="array" ref="E4217">IF($C4217="","",IFERROR(INDEX(DATA_MASTER!$I$2:$I$5000,MATCH($C4217,DATA_MASTER!$D$2:$D$5000,0)),""))</f>
        <v/>
      </c>
      <c r="F4217" s="22">
        <f t="array" ref="F4217">IF($C4217="","",IFERROR(INDEX(DATA_MASTER!$L$2:$L$5000,MATCH($C4217,DATA_MASTER!$D$2:$D$5000,0)),""))</f>
        <v/>
      </c>
      <c r="G4217" s="24" t="n"/>
      <c r="H4217" s="24" t="n"/>
      <c r="I4217" s="30" t="n"/>
      <c r="J4217" s="23">
        <f>IF(OR($H4217="",$I4217=""),"",$H4217*$I4217)</f>
        <v/>
      </c>
      <c r="K4217" s="24" t="n"/>
      <c r="L4217" s="24" t="n"/>
      <c r="M4217" s="29" t="n"/>
      <c r="N4217" s="28" t="n"/>
      <c r="O4217" s="24" t="n"/>
      <c r="P4217" s="24" t="n"/>
      <c r="Q4217" s="24" t="n"/>
      <c r="R4217" s="24" t="n"/>
      <c r="S4217" s="22">
        <f>IF(AND($A4217="",$C4217=""),"",IF($A4217="","Thiếu mã đơn; ","")&amp;IF(COUNTIF($A$2:$A4217,$A4217)&gt;1,"Trùng mã đơn; ","")&amp;IF(ISNA(MATCH($C4217,DATA_MASTER!$D$2:$D$5000,0)),"SĐT chưa đăng ký hội viên; ","")&amp;IF(AND($L4217="Đã chuyển khoản",$M4217=""),"Thiếu ngày nhận CK; ",""))</f>
        <v/>
      </c>
      <c r="T4217" s="24" t="n"/>
    </row>
    <row r="4218" ht="14.25" customHeight="1" s="40">
      <c r="A4218" s="24" t="n"/>
      <c r="B4218" s="29" t="n"/>
      <c r="C4218" s="28" t="n"/>
      <c r="D4218" s="22">
        <f t="array" ref="D4218">IF($C4218="","",IFERROR(INDEX(DATA_MASTER!$C$2:$C$5000,MATCH($C4218,DATA_MASTER!$D$2:$D$5000,0)),""))</f>
        <v/>
      </c>
      <c r="E4218" s="22">
        <f t="array" ref="E4218">IF($C4218="","",IFERROR(INDEX(DATA_MASTER!$I$2:$I$5000,MATCH($C4218,DATA_MASTER!$D$2:$D$5000,0)),""))</f>
        <v/>
      </c>
      <c r="F4218" s="22">
        <f t="array" ref="F4218">IF($C4218="","",IFERROR(INDEX(DATA_MASTER!$L$2:$L$5000,MATCH($C4218,DATA_MASTER!$D$2:$D$5000,0)),""))</f>
        <v/>
      </c>
      <c r="G4218" s="24" t="n"/>
      <c r="H4218" s="24" t="n"/>
      <c r="I4218" s="30" t="n"/>
      <c r="J4218" s="23">
        <f>IF(OR($H4218="",$I4218=""),"",$H4218*$I4218)</f>
        <v/>
      </c>
      <c r="K4218" s="24" t="n"/>
      <c r="L4218" s="24" t="n"/>
      <c r="M4218" s="29" t="n"/>
      <c r="N4218" s="28" t="n"/>
      <c r="O4218" s="24" t="n"/>
      <c r="P4218" s="24" t="n"/>
      <c r="Q4218" s="24" t="n"/>
      <c r="R4218" s="24" t="n"/>
      <c r="S4218" s="22">
        <f>IF(AND($A4218="",$C4218=""),"",IF($A4218="","Thiếu mã đơn; ","")&amp;IF(COUNTIF($A$2:$A4218,$A4218)&gt;1,"Trùng mã đơn; ","")&amp;IF(ISNA(MATCH($C4218,DATA_MASTER!$D$2:$D$5000,0)),"SĐT chưa đăng ký hội viên; ","")&amp;IF(AND($L4218="Đã chuyển khoản",$M4218=""),"Thiếu ngày nhận CK; ",""))</f>
        <v/>
      </c>
      <c r="T4218" s="24" t="n"/>
    </row>
    <row r="4219" ht="14.25" customHeight="1" s="40">
      <c r="A4219" s="24" t="n"/>
      <c r="B4219" s="29" t="n"/>
      <c r="C4219" s="28" t="n"/>
      <c r="D4219" s="22">
        <f t="array" ref="D4219">IF($C4219="","",IFERROR(INDEX(DATA_MASTER!$C$2:$C$5000,MATCH($C4219,DATA_MASTER!$D$2:$D$5000,0)),""))</f>
        <v/>
      </c>
      <c r="E4219" s="22">
        <f t="array" ref="E4219">IF($C4219="","",IFERROR(INDEX(DATA_MASTER!$I$2:$I$5000,MATCH($C4219,DATA_MASTER!$D$2:$D$5000,0)),""))</f>
        <v/>
      </c>
      <c r="F4219" s="22">
        <f t="array" ref="F4219">IF($C4219="","",IFERROR(INDEX(DATA_MASTER!$L$2:$L$5000,MATCH($C4219,DATA_MASTER!$D$2:$D$5000,0)),""))</f>
        <v/>
      </c>
      <c r="G4219" s="24" t="n"/>
      <c r="H4219" s="24" t="n"/>
      <c r="I4219" s="30" t="n"/>
      <c r="J4219" s="23">
        <f>IF(OR($H4219="",$I4219=""),"",$H4219*$I4219)</f>
        <v/>
      </c>
      <c r="K4219" s="24" t="n"/>
      <c r="L4219" s="24" t="n"/>
      <c r="M4219" s="29" t="n"/>
      <c r="N4219" s="28" t="n"/>
      <c r="O4219" s="24" t="n"/>
      <c r="P4219" s="24" t="n"/>
      <c r="Q4219" s="24" t="n"/>
      <c r="R4219" s="24" t="n"/>
      <c r="S4219" s="22">
        <f>IF(AND($A4219="",$C4219=""),"",IF($A4219="","Thiếu mã đơn; ","")&amp;IF(COUNTIF($A$2:$A4219,$A4219)&gt;1,"Trùng mã đơn; ","")&amp;IF(ISNA(MATCH($C4219,DATA_MASTER!$D$2:$D$5000,0)),"SĐT chưa đăng ký hội viên; ","")&amp;IF(AND($L4219="Đã chuyển khoản",$M4219=""),"Thiếu ngày nhận CK; ",""))</f>
        <v/>
      </c>
      <c r="T4219" s="24" t="n"/>
    </row>
    <row r="4220" ht="14.25" customHeight="1" s="40">
      <c r="A4220" s="24" t="n"/>
      <c r="B4220" s="29" t="n"/>
      <c r="C4220" s="28" t="n"/>
      <c r="D4220" s="22">
        <f t="array" ref="D4220">IF($C4220="","",IFERROR(INDEX(DATA_MASTER!$C$2:$C$5000,MATCH($C4220,DATA_MASTER!$D$2:$D$5000,0)),""))</f>
        <v/>
      </c>
      <c r="E4220" s="22">
        <f t="array" ref="E4220">IF($C4220="","",IFERROR(INDEX(DATA_MASTER!$I$2:$I$5000,MATCH($C4220,DATA_MASTER!$D$2:$D$5000,0)),""))</f>
        <v/>
      </c>
      <c r="F4220" s="22">
        <f t="array" ref="F4220">IF($C4220="","",IFERROR(INDEX(DATA_MASTER!$L$2:$L$5000,MATCH($C4220,DATA_MASTER!$D$2:$D$5000,0)),""))</f>
        <v/>
      </c>
      <c r="G4220" s="24" t="n"/>
      <c r="H4220" s="24" t="n"/>
      <c r="I4220" s="30" t="n"/>
      <c r="J4220" s="23">
        <f>IF(OR($H4220="",$I4220=""),"",$H4220*$I4220)</f>
        <v/>
      </c>
      <c r="K4220" s="24" t="n"/>
      <c r="L4220" s="24" t="n"/>
      <c r="M4220" s="29" t="n"/>
      <c r="N4220" s="28" t="n"/>
      <c r="O4220" s="24" t="n"/>
      <c r="P4220" s="24" t="n"/>
      <c r="Q4220" s="24" t="n"/>
      <c r="R4220" s="24" t="n"/>
      <c r="S4220" s="22">
        <f>IF(AND($A4220="",$C4220=""),"",IF($A4220="","Thiếu mã đơn; ","")&amp;IF(COUNTIF($A$2:$A4220,$A4220)&gt;1,"Trùng mã đơn; ","")&amp;IF(ISNA(MATCH($C4220,DATA_MASTER!$D$2:$D$5000,0)),"SĐT chưa đăng ký hội viên; ","")&amp;IF(AND($L4220="Đã chuyển khoản",$M4220=""),"Thiếu ngày nhận CK; ",""))</f>
        <v/>
      </c>
      <c r="T4220" s="24" t="n"/>
    </row>
    <row r="4221" ht="14.25" customHeight="1" s="40">
      <c r="A4221" s="24" t="n"/>
      <c r="B4221" s="29" t="n"/>
      <c r="C4221" s="28" t="n"/>
      <c r="D4221" s="22">
        <f t="array" ref="D4221">IF($C4221="","",IFERROR(INDEX(DATA_MASTER!$C$2:$C$5000,MATCH($C4221,DATA_MASTER!$D$2:$D$5000,0)),""))</f>
        <v/>
      </c>
      <c r="E4221" s="22">
        <f t="array" ref="E4221">IF($C4221="","",IFERROR(INDEX(DATA_MASTER!$I$2:$I$5000,MATCH($C4221,DATA_MASTER!$D$2:$D$5000,0)),""))</f>
        <v/>
      </c>
      <c r="F4221" s="22">
        <f t="array" ref="F4221">IF($C4221="","",IFERROR(INDEX(DATA_MASTER!$L$2:$L$5000,MATCH($C4221,DATA_MASTER!$D$2:$D$5000,0)),""))</f>
        <v/>
      </c>
      <c r="G4221" s="24" t="n"/>
      <c r="H4221" s="24" t="n"/>
      <c r="I4221" s="30" t="n"/>
      <c r="J4221" s="23">
        <f>IF(OR($H4221="",$I4221=""),"",$H4221*$I4221)</f>
        <v/>
      </c>
      <c r="K4221" s="24" t="n"/>
      <c r="L4221" s="24" t="n"/>
      <c r="M4221" s="29" t="n"/>
      <c r="N4221" s="28" t="n"/>
      <c r="O4221" s="24" t="n"/>
      <c r="P4221" s="24" t="n"/>
      <c r="Q4221" s="24" t="n"/>
      <c r="R4221" s="24" t="n"/>
      <c r="S4221" s="22">
        <f>IF(AND($A4221="",$C4221=""),"",IF($A4221="","Thiếu mã đơn; ","")&amp;IF(COUNTIF($A$2:$A4221,$A4221)&gt;1,"Trùng mã đơn; ","")&amp;IF(ISNA(MATCH($C4221,DATA_MASTER!$D$2:$D$5000,0)),"SĐT chưa đăng ký hội viên; ","")&amp;IF(AND($L4221="Đã chuyển khoản",$M4221=""),"Thiếu ngày nhận CK; ",""))</f>
        <v/>
      </c>
      <c r="T4221" s="24" t="n"/>
    </row>
    <row r="4222" ht="14.25" customHeight="1" s="40">
      <c r="A4222" s="24" t="n"/>
      <c r="B4222" s="29" t="n"/>
      <c r="C4222" s="28" t="n"/>
      <c r="D4222" s="22">
        <f t="array" ref="D4222">IF($C4222="","",IFERROR(INDEX(DATA_MASTER!$C$2:$C$5000,MATCH($C4222,DATA_MASTER!$D$2:$D$5000,0)),""))</f>
        <v/>
      </c>
      <c r="E4222" s="22">
        <f t="array" ref="E4222">IF($C4222="","",IFERROR(INDEX(DATA_MASTER!$I$2:$I$5000,MATCH($C4222,DATA_MASTER!$D$2:$D$5000,0)),""))</f>
        <v/>
      </c>
      <c r="F4222" s="22">
        <f t="array" ref="F4222">IF($C4222="","",IFERROR(INDEX(DATA_MASTER!$L$2:$L$5000,MATCH($C4222,DATA_MASTER!$D$2:$D$5000,0)),""))</f>
        <v/>
      </c>
      <c r="G4222" s="24" t="n"/>
      <c r="H4222" s="24" t="n"/>
      <c r="I4222" s="30" t="n"/>
      <c r="J4222" s="23">
        <f>IF(OR($H4222="",$I4222=""),"",$H4222*$I4222)</f>
        <v/>
      </c>
      <c r="K4222" s="24" t="n"/>
      <c r="L4222" s="24" t="n"/>
      <c r="M4222" s="29" t="n"/>
      <c r="N4222" s="28" t="n"/>
      <c r="O4222" s="24" t="n"/>
      <c r="P4222" s="24" t="n"/>
      <c r="Q4222" s="24" t="n"/>
      <c r="R4222" s="24" t="n"/>
      <c r="S4222" s="22">
        <f>IF(AND($A4222="",$C4222=""),"",IF($A4222="","Thiếu mã đơn; ","")&amp;IF(COUNTIF($A$2:$A4222,$A4222)&gt;1,"Trùng mã đơn; ","")&amp;IF(ISNA(MATCH($C4222,DATA_MASTER!$D$2:$D$5000,0)),"SĐT chưa đăng ký hội viên; ","")&amp;IF(AND($L4222="Đã chuyển khoản",$M4222=""),"Thiếu ngày nhận CK; ",""))</f>
        <v/>
      </c>
      <c r="T4222" s="24" t="n"/>
    </row>
    <row r="4223" ht="14.25" customHeight="1" s="40">
      <c r="A4223" s="24" t="n"/>
      <c r="B4223" s="29" t="n"/>
      <c r="C4223" s="28" t="n"/>
      <c r="D4223" s="22">
        <f t="array" ref="D4223">IF($C4223="","",IFERROR(INDEX(DATA_MASTER!$C$2:$C$5000,MATCH($C4223,DATA_MASTER!$D$2:$D$5000,0)),""))</f>
        <v/>
      </c>
      <c r="E4223" s="22">
        <f t="array" ref="E4223">IF($C4223="","",IFERROR(INDEX(DATA_MASTER!$I$2:$I$5000,MATCH($C4223,DATA_MASTER!$D$2:$D$5000,0)),""))</f>
        <v/>
      </c>
      <c r="F4223" s="22">
        <f t="array" ref="F4223">IF($C4223="","",IFERROR(INDEX(DATA_MASTER!$L$2:$L$5000,MATCH($C4223,DATA_MASTER!$D$2:$D$5000,0)),""))</f>
        <v/>
      </c>
      <c r="G4223" s="24" t="n"/>
      <c r="H4223" s="24" t="n"/>
      <c r="I4223" s="30" t="n"/>
      <c r="J4223" s="23">
        <f>IF(OR($H4223="",$I4223=""),"",$H4223*$I4223)</f>
        <v/>
      </c>
      <c r="K4223" s="24" t="n"/>
      <c r="L4223" s="24" t="n"/>
      <c r="M4223" s="29" t="n"/>
      <c r="N4223" s="28" t="n"/>
      <c r="O4223" s="24" t="n"/>
      <c r="P4223" s="24" t="n"/>
      <c r="Q4223" s="24" t="n"/>
      <c r="R4223" s="24" t="n"/>
      <c r="S4223" s="22">
        <f>IF(AND($A4223="",$C4223=""),"",IF($A4223="","Thiếu mã đơn; ","")&amp;IF(COUNTIF($A$2:$A4223,$A4223)&gt;1,"Trùng mã đơn; ","")&amp;IF(ISNA(MATCH($C4223,DATA_MASTER!$D$2:$D$5000,0)),"SĐT chưa đăng ký hội viên; ","")&amp;IF(AND($L4223="Đã chuyển khoản",$M4223=""),"Thiếu ngày nhận CK; ",""))</f>
        <v/>
      </c>
      <c r="T4223" s="24" t="n"/>
    </row>
    <row r="4224" ht="14.25" customHeight="1" s="40">
      <c r="A4224" s="24" t="n"/>
      <c r="B4224" s="29" t="n"/>
      <c r="C4224" s="28" t="n"/>
      <c r="D4224" s="22">
        <f t="array" ref="D4224">IF($C4224="","",IFERROR(INDEX(DATA_MASTER!$C$2:$C$5000,MATCH($C4224,DATA_MASTER!$D$2:$D$5000,0)),""))</f>
        <v/>
      </c>
      <c r="E4224" s="22">
        <f t="array" ref="E4224">IF($C4224="","",IFERROR(INDEX(DATA_MASTER!$I$2:$I$5000,MATCH($C4224,DATA_MASTER!$D$2:$D$5000,0)),""))</f>
        <v/>
      </c>
      <c r="F4224" s="22">
        <f t="array" ref="F4224">IF($C4224="","",IFERROR(INDEX(DATA_MASTER!$L$2:$L$5000,MATCH($C4224,DATA_MASTER!$D$2:$D$5000,0)),""))</f>
        <v/>
      </c>
      <c r="G4224" s="24" t="n"/>
      <c r="H4224" s="24" t="n"/>
      <c r="I4224" s="30" t="n"/>
      <c r="J4224" s="23">
        <f>IF(OR($H4224="",$I4224=""),"",$H4224*$I4224)</f>
        <v/>
      </c>
      <c r="K4224" s="24" t="n"/>
      <c r="L4224" s="24" t="n"/>
      <c r="M4224" s="29" t="n"/>
      <c r="N4224" s="28" t="n"/>
      <c r="O4224" s="24" t="n"/>
      <c r="P4224" s="24" t="n"/>
      <c r="Q4224" s="24" t="n"/>
      <c r="R4224" s="24" t="n"/>
      <c r="S4224" s="22">
        <f>IF(AND($A4224="",$C4224=""),"",IF($A4224="","Thiếu mã đơn; ","")&amp;IF(COUNTIF($A$2:$A4224,$A4224)&gt;1,"Trùng mã đơn; ","")&amp;IF(ISNA(MATCH($C4224,DATA_MASTER!$D$2:$D$5000,0)),"SĐT chưa đăng ký hội viên; ","")&amp;IF(AND($L4224="Đã chuyển khoản",$M4224=""),"Thiếu ngày nhận CK; ",""))</f>
        <v/>
      </c>
      <c r="T4224" s="24" t="n"/>
    </row>
    <row r="4225" ht="14.25" customHeight="1" s="40">
      <c r="A4225" s="24" t="n"/>
      <c r="B4225" s="29" t="n"/>
      <c r="C4225" s="28" t="n"/>
      <c r="D4225" s="22">
        <f t="array" ref="D4225">IF($C4225="","",IFERROR(INDEX(DATA_MASTER!$C$2:$C$5000,MATCH($C4225,DATA_MASTER!$D$2:$D$5000,0)),""))</f>
        <v/>
      </c>
      <c r="E4225" s="22">
        <f t="array" ref="E4225">IF($C4225="","",IFERROR(INDEX(DATA_MASTER!$I$2:$I$5000,MATCH($C4225,DATA_MASTER!$D$2:$D$5000,0)),""))</f>
        <v/>
      </c>
      <c r="F4225" s="22">
        <f t="array" ref="F4225">IF($C4225="","",IFERROR(INDEX(DATA_MASTER!$L$2:$L$5000,MATCH($C4225,DATA_MASTER!$D$2:$D$5000,0)),""))</f>
        <v/>
      </c>
      <c r="G4225" s="24" t="n"/>
      <c r="H4225" s="24" t="n"/>
      <c r="I4225" s="30" t="n"/>
      <c r="J4225" s="23">
        <f>IF(OR($H4225="",$I4225=""),"",$H4225*$I4225)</f>
        <v/>
      </c>
      <c r="K4225" s="24" t="n"/>
      <c r="L4225" s="24" t="n"/>
      <c r="M4225" s="29" t="n"/>
      <c r="N4225" s="28" t="n"/>
      <c r="O4225" s="24" t="n"/>
      <c r="P4225" s="24" t="n"/>
      <c r="Q4225" s="24" t="n"/>
      <c r="R4225" s="24" t="n"/>
      <c r="S4225" s="22">
        <f>IF(AND($A4225="",$C4225=""),"",IF($A4225="","Thiếu mã đơn; ","")&amp;IF(COUNTIF($A$2:$A4225,$A4225)&gt;1,"Trùng mã đơn; ","")&amp;IF(ISNA(MATCH($C4225,DATA_MASTER!$D$2:$D$5000,0)),"SĐT chưa đăng ký hội viên; ","")&amp;IF(AND($L4225="Đã chuyển khoản",$M4225=""),"Thiếu ngày nhận CK; ",""))</f>
        <v/>
      </c>
      <c r="T4225" s="24" t="n"/>
    </row>
    <row r="4226" ht="14.25" customHeight="1" s="40">
      <c r="A4226" s="24" t="n"/>
      <c r="B4226" s="29" t="n"/>
      <c r="C4226" s="28" t="n"/>
      <c r="D4226" s="22">
        <f t="array" ref="D4226">IF($C4226="","",IFERROR(INDEX(DATA_MASTER!$C$2:$C$5000,MATCH($C4226,DATA_MASTER!$D$2:$D$5000,0)),""))</f>
        <v/>
      </c>
      <c r="E4226" s="22">
        <f t="array" ref="E4226">IF($C4226="","",IFERROR(INDEX(DATA_MASTER!$I$2:$I$5000,MATCH($C4226,DATA_MASTER!$D$2:$D$5000,0)),""))</f>
        <v/>
      </c>
      <c r="F4226" s="22">
        <f t="array" ref="F4226">IF($C4226="","",IFERROR(INDEX(DATA_MASTER!$L$2:$L$5000,MATCH($C4226,DATA_MASTER!$D$2:$D$5000,0)),""))</f>
        <v/>
      </c>
      <c r="G4226" s="24" t="n"/>
      <c r="H4226" s="24" t="n"/>
      <c r="I4226" s="30" t="n"/>
      <c r="J4226" s="23">
        <f>IF(OR($H4226="",$I4226=""),"",$H4226*$I4226)</f>
        <v/>
      </c>
      <c r="K4226" s="24" t="n"/>
      <c r="L4226" s="24" t="n"/>
      <c r="M4226" s="29" t="n"/>
      <c r="N4226" s="28" t="n"/>
      <c r="O4226" s="24" t="n"/>
      <c r="P4226" s="24" t="n"/>
      <c r="Q4226" s="24" t="n"/>
      <c r="R4226" s="24" t="n"/>
      <c r="S4226" s="22">
        <f>IF(AND($A4226="",$C4226=""),"",IF($A4226="","Thiếu mã đơn; ","")&amp;IF(COUNTIF($A$2:$A4226,$A4226)&gt;1,"Trùng mã đơn; ","")&amp;IF(ISNA(MATCH($C4226,DATA_MASTER!$D$2:$D$5000,0)),"SĐT chưa đăng ký hội viên; ","")&amp;IF(AND($L4226="Đã chuyển khoản",$M4226=""),"Thiếu ngày nhận CK; ",""))</f>
        <v/>
      </c>
      <c r="T4226" s="24" t="n"/>
    </row>
    <row r="4227" ht="14.25" customHeight="1" s="40">
      <c r="A4227" s="24" t="n"/>
      <c r="B4227" s="29" t="n"/>
      <c r="C4227" s="28" t="n"/>
      <c r="D4227" s="22">
        <f t="array" ref="D4227">IF($C4227="","",IFERROR(INDEX(DATA_MASTER!$C$2:$C$5000,MATCH($C4227,DATA_MASTER!$D$2:$D$5000,0)),""))</f>
        <v/>
      </c>
      <c r="E4227" s="22">
        <f t="array" ref="E4227">IF($C4227="","",IFERROR(INDEX(DATA_MASTER!$I$2:$I$5000,MATCH($C4227,DATA_MASTER!$D$2:$D$5000,0)),""))</f>
        <v/>
      </c>
      <c r="F4227" s="22">
        <f t="array" ref="F4227">IF($C4227="","",IFERROR(INDEX(DATA_MASTER!$L$2:$L$5000,MATCH($C4227,DATA_MASTER!$D$2:$D$5000,0)),""))</f>
        <v/>
      </c>
      <c r="G4227" s="24" t="n"/>
      <c r="H4227" s="24" t="n"/>
      <c r="I4227" s="30" t="n"/>
      <c r="J4227" s="23">
        <f>IF(OR($H4227="",$I4227=""),"",$H4227*$I4227)</f>
        <v/>
      </c>
      <c r="K4227" s="24" t="n"/>
      <c r="L4227" s="24" t="n"/>
      <c r="M4227" s="29" t="n"/>
      <c r="N4227" s="28" t="n"/>
      <c r="O4227" s="24" t="n"/>
      <c r="P4227" s="24" t="n"/>
      <c r="Q4227" s="24" t="n"/>
      <c r="R4227" s="24" t="n"/>
      <c r="S4227" s="22">
        <f>IF(AND($A4227="",$C4227=""),"",IF($A4227="","Thiếu mã đơn; ","")&amp;IF(COUNTIF($A$2:$A4227,$A4227)&gt;1,"Trùng mã đơn; ","")&amp;IF(ISNA(MATCH($C4227,DATA_MASTER!$D$2:$D$5000,0)),"SĐT chưa đăng ký hội viên; ","")&amp;IF(AND($L4227="Đã chuyển khoản",$M4227=""),"Thiếu ngày nhận CK; ",""))</f>
        <v/>
      </c>
      <c r="T4227" s="24" t="n"/>
    </row>
    <row r="4228" ht="14.25" customHeight="1" s="40">
      <c r="A4228" s="24" t="n"/>
      <c r="B4228" s="29" t="n"/>
      <c r="C4228" s="28" t="n"/>
      <c r="D4228" s="22">
        <f t="array" ref="D4228">IF($C4228="","",IFERROR(INDEX(DATA_MASTER!$C$2:$C$5000,MATCH($C4228,DATA_MASTER!$D$2:$D$5000,0)),""))</f>
        <v/>
      </c>
      <c r="E4228" s="22">
        <f t="array" ref="E4228">IF($C4228="","",IFERROR(INDEX(DATA_MASTER!$I$2:$I$5000,MATCH($C4228,DATA_MASTER!$D$2:$D$5000,0)),""))</f>
        <v/>
      </c>
      <c r="F4228" s="22">
        <f t="array" ref="F4228">IF($C4228="","",IFERROR(INDEX(DATA_MASTER!$L$2:$L$5000,MATCH($C4228,DATA_MASTER!$D$2:$D$5000,0)),""))</f>
        <v/>
      </c>
      <c r="G4228" s="24" t="n"/>
      <c r="H4228" s="24" t="n"/>
      <c r="I4228" s="30" t="n"/>
      <c r="J4228" s="23">
        <f>IF(OR($H4228="",$I4228=""),"",$H4228*$I4228)</f>
        <v/>
      </c>
      <c r="K4228" s="24" t="n"/>
      <c r="L4228" s="24" t="n"/>
      <c r="M4228" s="29" t="n"/>
      <c r="N4228" s="28" t="n"/>
      <c r="O4228" s="24" t="n"/>
      <c r="P4228" s="24" t="n"/>
      <c r="Q4228" s="24" t="n"/>
      <c r="R4228" s="24" t="n"/>
      <c r="S4228" s="22">
        <f>IF(AND($A4228="",$C4228=""),"",IF($A4228="","Thiếu mã đơn; ","")&amp;IF(COUNTIF($A$2:$A4228,$A4228)&gt;1,"Trùng mã đơn; ","")&amp;IF(ISNA(MATCH($C4228,DATA_MASTER!$D$2:$D$5000,0)),"SĐT chưa đăng ký hội viên; ","")&amp;IF(AND($L4228="Đã chuyển khoản",$M4228=""),"Thiếu ngày nhận CK; ",""))</f>
        <v/>
      </c>
      <c r="T4228" s="24" t="n"/>
    </row>
    <row r="4229" ht="14.25" customHeight="1" s="40">
      <c r="A4229" s="24" t="n"/>
      <c r="B4229" s="29" t="n"/>
      <c r="C4229" s="28" t="n"/>
      <c r="D4229" s="22">
        <f t="array" ref="D4229">IF($C4229="","",IFERROR(INDEX(DATA_MASTER!$C$2:$C$5000,MATCH($C4229,DATA_MASTER!$D$2:$D$5000,0)),""))</f>
        <v/>
      </c>
      <c r="E4229" s="22">
        <f t="array" ref="E4229">IF($C4229="","",IFERROR(INDEX(DATA_MASTER!$I$2:$I$5000,MATCH($C4229,DATA_MASTER!$D$2:$D$5000,0)),""))</f>
        <v/>
      </c>
      <c r="F4229" s="22">
        <f t="array" ref="F4229">IF($C4229="","",IFERROR(INDEX(DATA_MASTER!$L$2:$L$5000,MATCH($C4229,DATA_MASTER!$D$2:$D$5000,0)),""))</f>
        <v/>
      </c>
      <c r="G4229" s="24" t="n"/>
      <c r="H4229" s="24" t="n"/>
      <c r="I4229" s="30" t="n"/>
      <c r="J4229" s="23">
        <f>IF(OR($H4229="",$I4229=""),"",$H4229*$I4229)</f>
        <v/>
      </c>
      <c r="K4229" s="24" t="n"/>
      <c r="L4229" s="24" t="n"/>
      <c r="M4229" s="29" t="n"/>
      <c r="N4229" s="28" t="n"/>
      <c r="O4229" s="24" t="n"/>
      <c r="P4229" s="24" t="n"/>
      <c r="Q4229" s="24" t="n"/>
      <c r="R4229" s="24" t="n"/>
      <c r="S4229" s="22">
        <f>IF(AND($A4229="",$C4229=""),"",IF($A4229="","Thiếu mã đơn; ","")&amp;IF(COUNTIF($A$2:$A4229,$A4229)&gt;1,"Trùng mã đơn; ","")&amp;IF(ISNA(MATCH($C4229,DATA_MASTER!$D$2:$D$5000,0)),"SĐT chưa đăng ký hội viên; ","")&amp;IF(AND($L4229="Đã chuyển khoản",$M4229=""),"Thiếu ngày nhận CK; ",""))</f>
        <v/>
      </c>
      <c r="T4229" s="24" t="n"/>
    </row>
    <row r="4230" ht="14.25" customHeight="1" s="40">
      <c r="A4230" s="24" t="n"/>
      <c r="B4230" s="29" t="n"/>
      <c r="C4230" s="28" t="n"/>
      <c r="D4230" s="22">
        <f t="array" ref="D4230">IF($C4230="","",IFERROR(INDEX(DATA_MASTER!$C$2:$C$5000,MATCH($C4230,DATA_MASTER!$D$2:$D$5000,0)),""))</f>
        <v/>
      </c>
      <c r="E4230" s="22">
        <f t="array" ref="E4230">IF($C4230="","",IFERROR(INDEX(DATA_MASTER!$I$2:$I$5000,MATCH($C4230,DATA_MASTER!$D$2:$D$5000,0)),""))</f>
        <v/>
      </c>
      <c r="F4230" s="22">
        <f t="array" ref="F4230">IF($C4230="","",IFERROR(INDEX(DATA_MASTER!$L$2:$L$5000,MATCH($C4230,DATA_MASTER!$D$2:$D$5000,0)),""))</f>
        <v/>
      </c>
      <c r="G4230" s="24" t="n"/>
      <c r="H4230" s="24" t="n"/>
      <c r="I4230" s="30" t="n"/>
      <c r="J4230" s="23">
        <f>IF(OR($H4230="",$I4230=""),"",$H4230*$I4230)</f>
        <v/>
      </c>
      <c r="K4230" s="24" t="n"/>
      <c r="L4230" s="24" t="n"/>
      <c r="M4230" s="29" t="n"/>
      <c r="N4230" s="28" t="n"/>
      <c r="O4230" s="24" t="n"/>
      <c r="P4230" s="24" t="n"/>
      <c r="Q4230" s="24" t="n"/>
      <c r="R4230" s="24" t="n"/>
      <c r="S4230" s="22">
        <f>IF(AND($A4230="",$C4230=""),"",IF($A4230="","Thiếu mã đơn; ","")&amp;IF(COUNTIF($A$2:$A4230,$A4230)&gt;1,"Trùng mã đơn; ","")&amp;IF(ISNA(MATCH($C4230,DATA_MASTER!$D$2:$D$5000,0)),"SĐT chưa đăng ký hội viên; ","")&amp;IF(AND($L4230="Đã chuyển khoản",$M4230=""),"Thiếu ngày nhận CK; ",""))</f>
        <v/>
      </c>
      <c r="T4230" s="24" t="n"/>
    </row>
    <row r="4231" ht="14.25" customHeight="1" s="40">
      <c r="A4231" s="24" t="n"/>
      <c r="B4231" s="29" t="n"/>
      <c r="C4231" s="28" t="n"/>
      <c r="D4231" s="22">
        <f t="array" ref="D4231">IF($C4231="","",IFERROR(INDEX(DATA_MASTER!$C$2:$C$5000,MATCH($C4231,DATA_MASTER!$D$2:$D$5000,0)),""))</f>
        <v/>
      </c>
      <c r="E4231" s="22">
        <f t="array" ref="E4231">IF($C4231="","",IFERROR(INDEX(DATA_MASTER!$I$2:$I$5000,MATCH($C4231,DATA_MASTER!$D$2:$D$5000,0)),""))</f>
        <v/>
      </c>
      <c r="F4231" s="22">
        <f t="array" ref="F4231">IF($C4231="","",IFERROR(INDEX(DATA_MASTER!$L$2:$L$5000,MATCH($C4231,DATA_MASTER!$D$2:$D$5000,0)),""))</f>
        <v/>
      </c>
      <c r="G4231" s="24" t="n"/>
      <c r="H4231" s="24" t="n"/>
      <c r="I4231" s="30" t="n"/>
      <c r="J4231" s="23">
        <f>IF(OR($H4231="",$I4231=""),"",$H4231*$I4231)</f>
        <v/>
      </c>
      <c r="K4231" s="24" t="n"/>
      <c r="L4231" s="24" t="n"/>
      <c r="M4231" s="29" t="n"/>
      <c r="N4231" s="28" t="n"/>
      <c r="O4231" s="24" t="n"/>
      <c r="P4231" s="24" t="n"/>
      <c r="Q4231" s="24" t="n"/>
      <c r="R4231" s="24" t="n"/>
      <c r="S4231" s="22">
        <f>IF(AND($A4231="",$C4231=""),"",IF($A4231="","Thiếu mã đơn; ","")&amp;IF(COUNTIF($A$2:$A4231,$A4231)&gt;1,"Trùng mã đơn; ","")&amp;IF(ISNA(MATCH($C4231,DATA_MASTER!$D$2:$D$5000,0)),"SĐT chưa đăng ký hội viên; ","")&amp;IF(AND($L4231="Đã chuyển khoản",$M4231=""),"Thiếu ngày nhận CK; ",""))</f>
        <v/>
      </c>
      <c r="T4231" s="24" t="n"/>
    </row>
    <row r="4232" ht="14.25" customHeight="1" s="40">
      <c r="A4232" s="24" t="n"/>
      <c r="B4232" s="29" t="n"/>
      <c r="C4232" s="28" t="n"/>
      <c r="D4232" s="22">
        <f t="array" ref="D4232">IF($C4232="","",IFERROR(INDEX(DATA_MASTER!$C$2:$C$5000,MATCH($C4232,DATA_MASTER!$D$2:$D$5000,0)),""))</f>
        <v/>
      </c>
      <c r="E4232" s="22">
        <f t="array" ref="E4232">IF($C4232="","",IFERROR(INDEX(DATA_MASTER!$I$2:$I$5000,MATCH($C4232,DATA_MASTER!$D$2:$D$5000,0)),""))</f>
        <v/>
      </c>
      <c r="F4232" s="22">
        <f t="array" ref="F4232">IF($C4232="","",IFERROR(INDEX(DATA_MASTER!$L$2:$L$5000,MATCH($C4232,DATA_MASTER!$D$2:$D$5000,0)),""))</f>
        <v/>
      </c>
      <c r="G4232" s="24" t="n"/>
      <c r="H4232" s="24" t="n"/>
      <c r="I4232" s="30" t="n"/>
      <c r="J4232" s="23">
        <f>IF(OR($H4232="",$I4232=""),"",$H4232*$I4232)</f>
        <v/>
      </c>
      <c r="K4232" s="24" t="n"/>
      <c r="L4232" s="24" t="n"/>
      <c r="M4232" s="29" t="n"/>
      <c r="N4232" s="28" t="n"/>
      <c r="O4232" s="24" t="n"/>
      <c r="P4232" s="24" t="n"/>
      <c r="Q4232" s="24" t="n"/>
      <c r="R4232" s="24" t="n"/>
      <c r="S4232" s="22">
        <f>IF(AND($A4232="",$C4232=""),"",IF($A4232="","Thiếu mã đơn; ","")&amp;IF(COUNTIF($A$2:$A4232,$A4232)&gt;1,"Trùng mã đơn; ","")&amp;IF(ISNA(MATCH($C4232,DATA_MASTER!$D$2:$D$5000,0)),"SĐT chưa đăng ký hội viên; ","")&amp;IF(AND($L4232="Đã chuyển khoản",$M4232=""),"Thiếu ngày nhận CK; ",""))</f>
        <v/>
      </c>
      <c r="T4232" s="24" t="n"/>
    </row>
    <row r="4233" ht="14.25" customHeight="1" s="40">
      <c r="A4233" s="24" t="n"/>
      <c r="B4233" s="29" t="n"/>
      <c r="C4233" s="28" t="n"/>
      <c r="D4233" s="22">
        <f t="array" ref="D4233">IF($C4233="","",IFERROR(INDEX(DATA_MASTER!$C$2:$C$5000,MATCH($C4233,DATA_MASTER!$D$2:$D$5000,0)),""))</f>
        <v/>
      </c>
      <c r="E4233" s="22">
        <f t="array" ref="E4233">IF($C4233="","",IFERROR(INDEX(DATA_MASTER!$I$2:$I$5000,MATCH($C4233,DATA_MASTER!$D$2:$D$5000,0)),""))</f>
        <v/>
      </c>
      <c r="F4233" s="22">
        <f t="array" ref="F4233">IF($C4233="","",IFERROR(INDEX(DATA_MASTER!$L$2:$L$5000,MATCH($C4233,DATA_MASTER!$D$2:$D$5000,0)),""))</f>
        <v/>
      </c>
      <c r="G4233" s="24" t="n"/>
      <c r="H4233" s="24" t="n"/>
      <c r="I4233" s="30" t="n"/>
      <c r="J4233" s="23">
        <f>IF(OR($H4233="",$I4233=""),"",$H4233*$I4233)</f>
        <v/>
      </c>
      <c r="K4233" s="24" t="n"/>
      <c r="L4233" s="24" t="n"/>
      <c r="M4233" s="29" t="n"/>
      <c r="N4233" s="28" t="n"/>
      <c r="O4233" s="24" t="n"/>
      <c r="P4233" s="24" t="n"/>
      <c r="Q4233" s="24" t="n"/>
      <c r="R4233" s="24" t="n"/>
      <c r="S4233" s="22">
        <f>IF(AND($A4233="",$C4233=""),"",IF($A4233="","Thiếu mã đơn; ","")&amp;IF(COUNTIF($A$2:$A4233,$A4233)&gt;1,"Trùng mã đơn; ","")&amp;IF(ISNA(MATCH($C4233,DATA_MASTER!$D$2:$D$5000,0)),"SĐT chưa đăng ký hội viên; ","")&amp;IF(AND($L4233="Đã chuyển khoản",$M4233=""),"Thiếu ngày nhận CK; ",""))</f>
        <v/>
      </c>
      <c r="T4233" s="24" t="n"/>
    </row>
    <row r="4234" ht="14.25" customHeight="1" s="40">
      <c r="A4234" s="24" t="n"/>
      <c r="B4234" s="29" t="n"/>
      <c r="C4234" s="28" t="n"/>
      <c r="D4234" s="22">
        <f t="array" ref="D4234">IF($C4234="","",IFERROR(INDEX(DATA_MASTER!$C$2:$C$5000,MATCH($C4234,DATA_MASTER!$D$2:$D$5000,0)),""))</f>
        <v/>
      </c>
      <c r="E4234" s="22">
        <f t="array" ref="E4234">IF($C4234="","",IFERROR(INDEX(DATA_MASTER!$I$2:$I$5000,MATCH($C4234,DATA_MASTER!$D$2:$D$5000,0)),""))</f>
        <v/>
      </c>
      <c r="F4234" s="22">
        <f t="array" ref="F4234">IF($C4234="","",IFERROR(INDEX(DATA_MASTER!$L$2:$L$5000,MATCH($C4234,DATA_MASTER!$D$2:$D$5000,0)),""))</f>
        <v/>
      </c>
      <c r="G4234" s="24" t="n"/>
      <c r="H4234" s="24" t="n"/>
      <c r="I4234" s="30" t="n"/>
      <c r="J4234" s="23">
        <f>IF(OR($H4234="",$I4234=""),"",$H4234*$I4234)</f>
        <v/>
      </c>
      <c r="K4234" s="24" t="n"/>
      <c r="L4234" s="24" t="n"/>
      <c r="M4234" s="29" t="n"/>
      <c r="N4234" s="28" t="n"/>
      <c r="O4234" s="24" t="n"/>
      <c r="P4234" s="24" t="n"/>
      <c r="Q4234" s="24" t="n"/>
      <c r="R4234" s="24" t="n"/>
      <c r="S4234" s="22">
        <f>IF(AND($A4234="",$C4234=""),"",IF($A4234="","Thiếu mã đơn; ","")&amp;IF(COUNTIF($A$2:$A4234,$A4234)&gt;1,"Trùng mã đơn; ","")&amp;IF(ISNA(MATCH($C4234,DATA_MASTER!$D$2:$D$5000,0)),"SĐT chưa đăng ký hội viên; ","")&amp;IF(AND($L4234="Đã chuyển khoản",$M4234=""),"Thiếu ngày nhận CK; ",""))</f>
        <v/>
      </c>
      <c r="T4234" s="24" t="n"/>
    </row>
    <row r="4235" ht="14.25" customHeight="1" s="40">
      <c r="A4235" s="24" t="n"/>
      <c r="B4235" s="29" t="n"/>
      <c r="C4235" s="28" t="n"/>
      <c r="D4235" s="22">
        <f t="array" ref="D4235">IF($C4235="","",IFERROR(INDEX(DATA_MASTER!$C$2:$C$5000,MATCH($C4235,DATA_MASTER!$D$2:$D$5000,0)),""))</f>
        <v/>
      </c>
      <c r="E4235" s="22">
        <f t="array" ref="E4235">IF($C4235="","",IFERROR(INDEX(DATA_MASTER!$I$2:$I$5000,MATCH($C4235,DATA_MASTER!$D$2:$D$5000,0)),""))</f>
        <v/>
      </c>
      <c r="F4235" s="22">
        <f t="array" ref="F4235">IF($C4235="","",IFERROR(INDEX(DATA_MASTER!$L$2:$L$5000,MATCH($C4235,DATA_MASTER!$D$2:$D$5000,0)),""))</f>
        <v/>
      </c>
      <c r="G4235" s="24" t="n"/>
      <c r="H4235" s="24" t="n"/>
      <c r="I4235" s="30" t="n"/>
      <c r="J4235" s="23">
        <f>IF(OR($H4235="",$I4235=""),"",$H4235*$I4235)</f>
        <v/>
      </c>
      <c r="K4235" s="24" t="n"/>
      <c r="L4235" s="24" t="n"/>
      <c r="M4235" s="29" t="n"/>
      <c r="N4235" s="28" t="n"/>
      <c r="O4235" s="24" t="n"/>
      <c r="P4235" s="24" t="n"/>
      <c r="Q4235" s="24" t="n"/>
      <c r="R4235" s="24" t="n"/>
      <c r="S4235" s="22">
        <f>IF(AND($A4235="",$C4235=""),"",IF($A4235="","Thiếu mã đơn; ","")&amp;IF(COUNTIF($A$2:$A4235,$A4235)&gt;1,"Trùng mã đơn; ","")&amp;IF(ISNA(MATCH($C4235,DATA_MASTER!$D$2:$D$5000,0)),"SĐT chưa đăng ký hội viên; ","")&amp;IF(AND($L4235="Đã chuyển khoản",$M4235=""),"Thiếu ngày nhận CK; ",""))</f>
        <v/>
      </c>
      <c r="T4235" s="24" t="n"/>
    </row>
    <row r="4236" ht="14.25" customHeight="1" s="40">
      <c r="A4236" s="24" t="n"/>
      <c r="B4236" s="29" t="n"/>
      <c r="C4236" s="28" t="n"/>
      <c r="D4236" s="22">
        <f t="array" ref="D4236">IF($C4236="","",IFERROR(INDEX(DATA_MASTER!$C$2:$C$5000,MATCH($C4236,DATA_MASTER!$D$2:$D$5000,0)),""))</f>
        <v/>
      </c>
      <c r="E4236" s="22">
        <f t="array" ref="E4236">IF($C4236="","",IFERROR(INDEX(DATA_MASTER!$I$2:$I$5000,MATCH($C4236,DATA_MASTER!$D$2:$D$5000,0)),""))</f>
        <v/>
      </c>
      <c r="F4236" s="22">
        <f t="array" ref="F4236">IF($C4236="","",IFERROR(INDEX(DATA_MASTER!$L$2:$L$5000,MATCH($C4236,DATA_MASTER!$D$2:$D$5000,0)),""))</f>
        <v/>
      </c>
      <c r="G4236" s="24" t="n"/>
      <c r="H4236" s="24" t="n"/>
      <c r="I4236" s="30" t="n"/>
      <c r="J4236" s="23">
        <f>IF(OR($H4236="",$I4236=""),"",$H4236*$I4236)</f>
        <v/>
      </c>
      <c r="K4236" s="24" t="n"/>
      <c r="L4236" s="24" t="n"/>
      <c r="M4236" s="29" t="n"/>
      <c r="N4236" s="28" t="n"/>
      <c r="O4236" s="24" t="n"/>
      <c r="P4236" s="24" t="n"/>
      <c r="Q4236" s="24" t="n"/>
      <c r="R4236" s="24" t="n"/>
      <c r="S4236" s="22">
        <f>IF(AND($A4236="",$C4236=""),"",IF($A4236="","Thiếu mã đơn; ","")&amp;IF(COUNTIF($A$2:$A4236,$A4236)&gt;1,"Trùng mã đơn; ","")&amp;IF(ISNA(MATCH($C4236,DATA_MASTER!$D$2:$D$5000,0)),"SĐT chưa đăng ký hội viên; ","")&amp;IF(AND($L4236="Đã chuyển khoản",$M4236=""),"Thiếu ngày nhận CK; ",""))</f>
        <v/>
      </c>
      <c r="T4236" s="24" t="n"/>
    </row>
    <row r="4237" ht="14.25" customHeight="1" s="40">
      <c r="A4237" s="24" t="n"/>
      <c r="B4237" s="29" t="n"/>
      <c r="C4237" s="28" t="n"/>
      <c r="D4237" s="22">
        <f t="array" ref="D4237">IF($C4237="","",IFERROR(INDEX(DATA_MASTER!$C$2:$C$5000,MATCH($C4237,DATA_MASTER!$D$2:$D$5000,0)),""))</f>
        <v/>
      </c>
      <c r="E4237" s="22">
        <f t="array" ref="E4237">IF($C4237="","",IFERROR(INDEX(DATA_MASTER!$I$2:$I$5000,MATCH($C4237,DATA_MASTER!$D$2:$D$5000,0)),""))</f>
        <v/>
      </c>
      <c r="F4237" s="22">
        <f t="array" ref="F4237">IF($C4237="","",IFERROR(INDEX(DATA_MASTER!$L$2:$L$5000,MATCH($C4237,DATA_MASTER!$D$2:$D$5000,0)),""))</f>
        <v/>
      </c>
      <c r="G4237" s="24" t="n"/>
      <c r="H4237" s="24" t="n"/>
      <c r="I4237" s="30" t="n"/>
      <c r="J4237" s="23">
        <f>IF(OR($H4237="",$I4237=""),"",$H4237*$I4237)</f>
        <v/>
      </c>
      <c r="K4237" s="24" t="n"/>
      <c r="L4237" s="24" t="n"/>
      <c r="M4237" s="29" t="n"/>
      <c r="N4237" s="28" t="n"/>
      <c r="O4237" s="24" t="n"/>
      <c r="P4237" s="24" t="n"/>
      <c r="Q4237" s="24" t="n"/>
      <c r="R4237" s="24" t="n"/>
      <c r="S4237" s="22">
        <f>IF(AND($A4237="",$C4237=""),"",IF($A4237="","Thiếu mã đơn; ","")&amp;IF(COUNTIF($A$2:$A4237,$A4237)&gt;1,"Trùng mã đơn; ","")&amp;IF(ISNA(MATCH($C4237,DATA_MASTER!$D$2:$D$5000,0)),"SĐT chưa đăng ký hội viên; ","")&amp;IF(AND($L4237="Đã chuyển khoản",$M4237=""),"Thiếu ngày nhận CK; ",""))</f>
        <v/>
      </c>
      <c r="T4237" s="24" t="n"/>
    </row>
    <row r="4238" ht="14.25" customHeight="1" s="40">
      <c r="A4238" s="24" t="n"/>
      <c r="B4238" s="29" t="n"/>
      <c r="C4238" s="28" t="n"/>
      <c r="D4238" s="22">
        <f t="array" ref="D4238">IF($C4238="","",IFERROR(INDEX(DATA_MASTER!$C$2:$C$5000,MATCH($C4238,DATA_MASTER!$D$2:$D$5000,0)),""))</f>
        <v/>
      </c>
      <c r="E4238" s="22">
        <f t="array" ref="E4238">IF($C4238="","",IFERROR(INDEX(DATA_MASTER!$I$2:$I$5000,MATCH($C4238,DATA_MASTER!$D$2:$D$5000,0)),""))</f>
        <v/>
      </c>
      <c r="F4238" s="22">
        <f t="array" ref="F4238">IF($C4238="","",IFERROR(INDEX(DATA_MASTER!$L$2:$L$5000,MATCH($C4238,DATA_MASTER!$D$2:$D$5000,0)),""))</f>
        <v/>
      </c>
      <c r="G4238" s="24" t="n"/>
      <c r="H4238" s="24" t="n"/>
      <c r="I4238" s="30" t="n"/>
      <c r="J4238" s="23">
        <f>IF(OR($H4238="",$I4238=""),"",$H4238*$I4238)</f>
        <v/>
      </c>
      <c r="K4238" s="24" t="n"/>
      <c r="L4238" s="24" t="n"/>
      <c r="M4238" s="29" t="n"/>
      <c r="N4238" s="28" t="n"/>
      <c r="O4238" s="24" t="n"/>
      <c r="P4238" s="24" t="n"/>
      <c r="Q4238" s="24" t="n"/>
      <c r="R4238" s="24" t="n"/>
      <c r="S4238" s="22">
        <f>IF(AND($A4238="",$C4238=""),"",IF($A4238="","Thiếu mã đơn; ","")&amp;IF(COUNTIF($A$2:$A4238,$A4238)&gt;1,"Trùng mã đơn; ","")&amp;IF(ISNA(MATCH($C4238,DATA_MASTER!$D$2:$D$5000,0)),"SĐT chưa đăng ký hội viên; ","")&amp;IF(AND($L4238="Đã chuyển khoản",$M4238=""),"Thiếu ngày nhận CK; ",""))</f>
        <v/>
      </c>
      <c r="T4238" s="24" t="n"/>
    </row>
    <row r="4239" ht="14.25" customHeight="1" s="40">
      <c r="A4239" s="24" t="n"/>
      <c r="B4239" s="29" t="n"/>
      <c r="C4239" s="28" t="n"/>
      <c r="D4239" s="22">
        <f t="array" ref="D4239">IF($C4239="","",IFERROR(INDEX(DATA_MASTER!$C$2:$C$5000,MATCH($C4239,DATA_MASTER!$D$2:$D$5000,0)),""))</f>
        <v/>
      </c>
      <c r="E4239" s="22">
        <f t="array" ref="E4239">IF($C4239="","",IFERROR(INDEX(DATA_MASTER!$I$2:$I$5000,MATCH($C4239,DATA_MASTER!$D$2:$D$5000,0)),""))</f>
        <v/>
      </c>
      <c r="F4239" s="22">
        <f t="array" ref="F4239">IF($C4239="","",IFERROR(INDEX(DATA_MASTER!$L$2:$L$5000,MATCH($C4239,DATA_MASTER!$D$2:$D$5000,0)),""))</f>
        <v/>
      </c>
      <c r="G4239" s="24" t="n"/>
      <c r="H4239" s="24" t="n"/>
      <c r="I4239" s="30" t="n"/>
      <c r="J4239" s="23">
        <f>IF(OR($H4239="",$I4239=""),"",$H4239*$I4239)</f>
        <v/>
      </c>
      <c r="K4239" s="24" t="n"/>
      <c r="L4239" s="24" t="n"/>
      <c r="M4239" s="29" t="n"/>
      <c r="N4239" s="28" t="n"/>
      <c r="O4239" s="24" t="n"/>
      <c r="P4239" s="24" t="n"/>
      <c r="Q4239" s="24" t="n"/>
      <c r="R4239" s="24" t="n"/>
      <c r="S4239" s="22">
        <f>IF(AND($A4239="",$C4239=""),"",IF($A4239="","Thiếu mã đơn; ","")&amp;IF(COUNTIF($A$2:$A4239,$A4239)&gt;1,"Trùng mã đơn; ","")&amp;IF(ISNA(MATCH($C4239,DATA_MASTER!$D$2:$D$5000,0)),"SĐT chưa đăng ký hội viên; ","")&amp;IF(AND($L4239="Đã chuyển khoản",$M4239=""),"Thiếu ngày nhận CK; ",""))</f>
        <v/>
      </c>
      <c r="T4239" s="24" t="n"/>
    </row>
    <row r="4240" ht="14.25" customHeight="1" s="40">
      <c r="A4240" s="24" t="n"/>
      <c r="B4240" s="29" t="n"/>
      <c r="C4240" s="28" t="n"/>
      <c r="D4240" s="22">
        <f t="array" ref="D4240">IF($C4240="","",IFERROR(INDEX(DATA_MASTER!$C$2:$C$5000,MATCH($C4240,DATA_MASTER!$D$2:$D$5000,0)),""))</f>
        <v/>
      </c>
      <c r="E4240" s="22">
        <f t="array" ref="E4240">IF($C4240="","",IFERROR(INDEX(DATA_MASTER!$I$2:$I$5000,MATCH($C4240,DATA_MASTER!$D$2:$D$5000,0)),""))</f>
        <v/>
      </c>
      <c r="F4240" s="22">
        <f t="array" ref="F4240">IF($C4240="","",IFERROR(INDEX(DATA_MASTER!$L$2:$L$5000,MATCH($C4240,DATA_MASTER!$D$2:$D$5000,0)),""))</f>
        <v/>
      </c>
      <c r="G4240" s="24" t="n"/>
      <c r="H4240" s="24" t="n"/>
      <c r="I4240" s="30" t="n"/>
      <c r="J4240" s="23">
        <f>IF(OR($H4240="",$I4240=""),"",$H4240*$I4240)</f>
        <v/>
      </c>
      <c r="K4240" s="24" t="n"/>
      <c r="L4240" s="24" t="n"/>
      <c r="M4240" s="29" t="n"/>
      <c r="N4240" s="28" t="n"/>
      <c r="O4240" s="24" t="n"/>
      <c r="P4240" s="24" t="n"/>
      <c r="Q4240" s="24" t="n"/>
      <c r="R4240" s="24" t="n"/>
      <c r="S4240" s="22">
        <f>IF(AND($A4240="",$C4240=""),"",IF($A4240="","Thiếu mã đơn; ","")&amp;IF(COUNTIF($A$2:$A4240,$A4240)&gt;1,"Trùng mã đơn; ","")&amp;IF(ISNA(MATCH($C4240,DATA_MASTER!$D$2:$D$5000,0)),"SĐT chưa đăng ký hội viên; ","")&amp;IF(AND($L4240="Đã chuyển khoản",$M4240=""),"Thiếu ngày nhận CK; ",""))</f>
        <v/>
      </c>
      <c r="T4240" s="24" t="n"/>
    </row>
    <row r="4241" ht="14.25" customHeight="1" s="40">
      <c r="A4241" s="24" t="n"/>
      <c r="B4241" s="29" t="n"/>
      <c r="C4241" s="28" t="n"/>
      <c r="D4241" s="22">
        <f t="array" ref="D4241">IF($C4241="","",IFERROR(INDEX(DATA_MASTER!$C$2:$C$5000,MATCH($C4241,DATA_MASTER!$D$2:$D$5000,0)),""))</f>
        <v/>
      </c>
      <c r="E4241" s="22">
        <f t="array" ref="E4241">IF($C4241="","",IFERROR(INDEX(DATA_MASTER!$I$2:$I$5000,MATCH($C4241,DATA_MASTER!$D$2:$D$5000,0)),""))</f>
        <v/>
      </c>
      <c r="F4241" s="22">
        <f t="array" ref="F4241">IF($C4241="","",IFERROR(INDEX(DATA_MASTER!$L$2:$L$5000,MATCH($C4241,DATA_MASTER!$D$2:$D$5000,0)),""))</f>
        <v/>
      </c>
      <c r="G4241" s="24" t="n"/>
      <c r="H4241" s="24" t="n"/>
      <c r="I4241" s="30" t="n"/>
      <c r="J4241" s="23">
        <f>IF(OR($H4241="",$I4241=""),"",$H4241*$I4241)</f>
        <v/>
      </c>
      <c r="K4241" s="24" t="n"/>
      <c r="L4241" s="24" t="n"/>
      <c r="M4241" s="29" t="n"/>
      <c r="N4241" s="28" t="n"/>
      <c r="O4241" s="24" t="n"/>
      <c r="P4241" s="24" t="n"/>
      <c r="Q4241" s="24" t="n"/>
      <c r="R4241" s="24" t="n"/>
      <c r="S4241" s="22">
        <f>IF(AND($A4241="",$C4241=""),"",IF($A4241="","Thiếu mã đơn; ","")&amp;IF(COUNTIF($A$2:$A4241,$A4241)&gt;1,"Trùng mã đơn; ","")&amp;IF(ISNA(MATCH($C4241,DATA_MASTER!$D$2:$D$5000,0)),"SĐT chưa đăng ký hội viên; ","")&amp;IF(AND($L4241="Đã chuyển khoản",$M4241=""),"Thiếu ngày nhận CK; ",""))</f>
        <v/>
      </c>
      <c r="T4241" s="24" t="n"/>
    </row>
    <row r="4242" ht="14.25" customHeight="1" s="40">
      <c r="A4242" s="24" t="n"/>
      <c r="B4242" s="29" t="n"/>
      <c r="C4242" s="28" t="n"/>
      <c r="D4242" s="22">
        <f t="array" ref="D4242">IF($C4242="","",IFERROR(INDEX(DATA_MASTER!$C$2:$C$5000,MATCH($C4242,DATA_MASTER!$D$2:$D$5000,0)),""))</f>
        <v/>
      </c>
      <c r="E4242" s="22">
        <f t="array" ref="E4242">IF($C4242="","",IFERROR(INDEX(DATA_MASTER!$I$2:$I$5000,MATCH($C4242,DATA_MASTER!$D$2:$D$5000,0)),""))</f>
        <v/>
      </c>
      <c r="F4242" s="22">
        <f t="array" ref="F4242">IF($C4242="","",IFERROR(INDEX(DATA_MASTER!$L$2:$L$5000,MATCH($C4242,DATA_MASTER!$D$2:$D$5000,0)),""))</f>
        <v/>
      </c>
      <c r="G4242" s="24" t="n"/>
      <c r="H4242" s="24" t="n"/>
      <c r="I4242" s="30" t="n"/>
      <c r="J4242" s="23">
        <f>IF(OR($H4242="",$I4242=""),"",$H4242*$I4242)</f>
        <v/>
      </c>
      <c r="K4242" s="24" t="n"/>
      <c r="L4242" s="24" t="n"/>
      <c r="M4242" s="29" t="n"/>
      <c r="N4242" s="28" t="n"/>
      <c r="O4242" s="24" t="n"/>
      <c r="P4242" s="24" t="n"/>
      <c r="Q4242" s="24" t="n"/>
      <c r="R4242" s="24" t="n"/>
      <c r="S4242" s="22">
        <f>IF(AND($A4242="",$C4242=""),"",IF($A4242="","Thiếu mã đơn; ","")&amp;IF(COUNTIF($A$2:$A4242,$A4242)&gt;1,"Trùng mã đơn; ","")&amp;IF(ISNA(MATCH($C4242,DATA_MASTER!$D$2:$D$5000,0)),"SĐT chưa đăng ký hội viên; ","")&amp;IF(AND($L4242="Đã chuyển khoản",$M4242=""),"Thiếu ngày nhận CK; ",""))</f>
        <v/>
      </c>
      <c r="T4242" s="24" t="n"/>
    </row>
    <row r="4243" ht="14.25" customHeight="1" s="40">
      <c r="A4243" s="24" t="n"/>
      <c r="B4243" s="29" t="n"/>
      <c r="C4243" s="28" t="n"/>
      <c r="D4243" s="22">
        <f t="array" ref="D4243">IF($C4243="","",IFERROR(INDEX(DATA_MASTER!$C$2:$C$5000,MATCH($C4243,DATA_MASTER!$D$2:$D$5000,0)),""))</f>
        <v/>
      </c>
      <c r="E4243" s="22">
        <f t="array" ref="E4243">IF($C4243="","",IFERROR(INDEX(DATA_MASTER!$I$2:$I$5000,MATCH($C4243,DATA_MASTER!$D$2:$D$5000,0)),""))</f>
        <v/>
      </c>
      <c r="F4243" s="22">
        <f t="array" ref="F4243">IF($C4243="","",IFERROR(INDEX(DATA_MASTER!$L$2:$L$5000,MATCH($C4243,DATA_MASTER!$D$2:$D$5000,0)),""))</f>
        <v/>
      </c>
      <c r="G4243" s="24" t="n"/>
      <c r="H4243" s="24" t="n"/>
      <c r="I4243" s="30" t="n"/>
      <c r="J4243" s="23">
        <f>IF(OR($H4243="",$I4243=""),"",$H4243*$I4243)</f>
        <v/>
      </c>
      <c r="K4243" s="24" t="n"/>
      <c r="L4243" s="24" t="n"/>
      <c r="M4243" s="29" t="n"/>
      <c r="N4243" s="28" t="n"/>
      <c r="O4243" s="24" t="n"/>
      <c r="P4243" s="24" t="n"/>
      <c r="Q4243" s="24" t="n"/>
      <c r="R4243" s="24" t="n"/>
      <c r="S4243" s="22">
        <f>IF(AND($A4243="",$C4243=""),"",IF($A4243="","Thiếu mã đơn; ","")&amp;IF(COUNTIF($A$2:$A4243,$A4243)&gt;1,"Trùng mã đơn; ","")&amp;IF(ISNA(MATCH($C4243,DATA_MASTER!$D$2:$D$5000,0)),"SĐT chưa đăng ký hội viên; ","")&amp;IF(AND($L4243="Đã chuyển khoản",$M4243=""),"Thiếu ngày nhận CK; ",""))</f>
        <v/>
      </c>
      <c r="T4243" s="24" t="n"/>
    </row>
    <row r="4244" ht="14.25" customHeight="1" s="40">
      <c r="A4244" s="24" t="n"/>
      <c r="B4244" s="29" t="n"/>
      <c r="C4244" s="28" t="n"/>
      <c r="D4244" s="22">
        <f t="array" ref="D4244">IF($C4244="","",IFERROR(INDEX(DATA_MASTER!$C$2:$C$5000,MATCH($C4244,DATA_MASTER!$D$2:$D$5000,0)),""))</f>
        <v/>
      </c>
      <c r="E4244" s="22">
        <f t="array" ref="E4244">IF($C4244="","",IFERROR(INDEX(DATA_MASTER!$I$2:$I$5000,MATCH($C4244,DATA_MASTER!$D$2:$D$5000,0)),""))</f>
        <v/>
      </c>
      <c r="F4244" s="22">
        <f t="array" ref="F4244">IF($C4244="","",IFERROR(INDEX(DATA_MASTER!$L$2:$L$5000,MATCH($C4244,DATA_MASTER!$D$2:$D$5000,0)),""))</f>
        <v/>
      </c>
      <c r="G4244" s="24" t="n"/>
      <c r="H4244" s="24" t="n"/>
      <c r="I4244" s="30" t="n"/>
      <c r="J4244" s="23">
        <f>IF(OR($H4244="",$I4244=""),"",$H4244*$I4244)</f>
        <v/>
      </c>
      <c r="K4244" s="24" t="n"/>
      <c r="L4244" s="24" t="n"/>
      <c r="M4244" s="29" t="n"/>
      <c r="N4244" s="28" t="n"/>
      <c r="O4244" s="24" t="n"/>
      <c r="P4244" s="24" t="n"/>
      <c r="Q4244" s="24" t="n"/>
      <c r="R4244" s="24" t="n"/>
      <c r="S4244" s="22">
        <f>IF(AND($A4244="",$C4244=""),"",IF($A4244="","Thiếu mã đơn; ","")&amp;IF(COUNTIF($A$2:$A4244,$A4244)&gt;1,"Trùng mã đơn; ","")&amp;IF(ISNA(MATCH($C4244,DATA_MASTER!$D$2:$D$5000,0)),"SĐT chưa đăng ký hội viên; ","")&amp;IF(AND($L4244="Đã chuyển khoản",$M4244=""),"Thiếu ngày nhận CK; ",""))</f>
        <v/>
      </c>
      <c r="T4244" s="24" t="n"/>
    </row>
    <row r="4245" ht="14.25" customHeight="1" s="40">
      <c r="A4245" s="24" t="n"/>
      <c r="B4245" s="29" t="n"/>
      <c r="C4245" s="28" t="n"/>
      <c r="D4245" s="22">
        <f t="array" ref="D4245">IF($C4245="","",IFERROR(INDEX(DATA_MASTER!$C$2:$C$5000,MATCH($C4245,DATA_MASTER!$D$2:$D$5000,0)),""))</f>
        <v/>
      </c>
      <c r="E4245" s="22">
        <f t="array" ref="E4245">IF($C4245="","",IFERROR(INDEX(DATA_MASTER!$I$2:$I$5000,MATCH($C4245,DATA_MASTER!$D$2:$D$5000,0)),""))</f>
        <v/>
      </c>
      <c r="F4245" s="22">
        <f t="array" ref="F4245">IF($C4245="","",IFERROR(INDEX(DATA_MASTER!$L$2:$L$5000,MATCH($C4245,DATA_MASTER!$D$2:$D$5000,0)),""))</f>
        <v/>
      </c>
      <c r="G4245" s="24" t="n"/>
      <c r="H4245" s="24" t="n"/>
      <c r="I4245" s="30" t="n"/>
      <c r="J4245" s="23">
        <f>IF(OR($H4245="",$I4245=""),"",$H4245*$I4245)</f>
        <v/>
      </c>
      <c r="K4245" s="24" t="n"/>
      <c r="L4245" s="24" t="n"/>
      <c r="M4245" s="29" t="n"/>
      <c r="N4245" s="28" t="n"/>
      <c r="O4245" s="24" t="n"/>
      <c r="P4245" s="24" t="n"/>
      <c r="Q4245" s="24" t="n"/>
      <c r="R4245" s="24" t="n"/>
      <c r="S4245" s="22">
        <f>IF(AND($A4245="",$C4245=""),"",IF($A4245="","Thiếu mã đơn; ","")&amp;IF(COUNTIF($A$2:$A4245,$A4245)&gt;1,"Trùng mã đơn; ","")&amp;IF(ISNA(MATCH($C4245,DATA_MASTER!$D$2:$D$5000,0)),"SĐT chưa đăng ký hội viên; ","")&amp;IF(AND($L4245="Đã chuyển khoản",$M4245=""),"Thiếu ngày nhận CK; ",""))</f>
        <v/>
      </c>
      <c r="T4245" s="24" t="n"/>
    </row>
    <row r="4246" ht="14.25" customHeight="1" s="40">
      <c r="A4246" s="24" t="n"/>
      <c r="B4246" s="29" t="n"/>
      <c r="C4246" s="28" t="n"/>
      <c r="D4246" s="22">
        <f t="array" ref="D4246">IF($C4246="","",IFERROR(INDEX(DATA_MASTER!$C$2:$C$5000,MATCH($C4246,DATA_MASTER!$D$2:$D$5000,0)),""))</f>
        <v/>
      </c>
      <c r="E4246" s="22">
        <f t="array" ref="E4246">IF($C4246="","",IFERROR(INDEX(DATA_MASTER!$I$2:$I$5000,MATCH($C4246,DATA_MASTER!$D$2:$D$5000,0)),""))</f>
        <v/>
      </c>
      <c r="F4246" s="22">
        <f t="array" ref="F4246">IF($C4246="","",IFERROR(INDEX(DATA_MASTER!$L$2:$L$5000,MATCH($C4246,DATA_MASTER!$D$2:$D$5000,0)),""))</f>
        <v/>
      </c>
      <c r="G4246" s="24" t="n"/>
      <c r="H4246" s="24" t="n"/>
      <c r="I4246" s="30" t="n"/>
      <c r="J4246" s="23">
        <f>IF(OR($H4246="",$I4246=""),"",$H4246*$I4246)</f>
        <v/>
      </c>
      <c r="K4246" s="24" t="n"/>
      <c r="L4246" s="24" t="n"/>
      <c r="M4246" s="29" t="n"/>
      <c r="N4246" s="28" t="n"/>
      <c r="O4246" s="24" t="n"/>
      <c r="P4246" s="24" t="n"/>
      <c r="Q4246" s="24" t="n"/>
      <c r="R4246" s="24" t="n"/>
      <c r="S4246" s="22">
        <f>IF(AND($A4246="",$C4246=""),"",IF($A4246="","Thiếu mã đơn; ","")&amp;IF(COUNTIF($A$2:$A4246,$A4246)&gt;1,"Trùng mã đơn; ","")&amp;IF(ISNA(MATCH($C4246,DATA_MASTER!$D$2:$D$5000,0)),"SĐT chưa đăng ký hội viên; ","")&amp;IF(AND($L4246="Đã chuyển khoản",$M4246=""),"Thiếu ngày nhận CK; ",""))</f>
        <v/>
      </c>
      <c r="T4246" s="24" t="n"/>
    </row>
    <row r="4247" ht="14.25" customHeight="1" s="40">
      <c r="A4247" s="24" t="n"/>
      <c r="B4247" s="29" t="n"/>
      <c r="C4247" s="28" t="n"/>
      <c r="D4247" s="22">
        <f t="array" ref="D4247">IF($C4247="","",IFERROR(INDEX(DATA_MASTER!$C$2:$C$5000,MATCH($C4247,DATA_MASTER!$D$2:$D$5000,0)),""))</f>
        <v/>
      </c>
      <c r="E4247" s="22">
        <f t="array" ref="E4247">IF($C4247="","",IFERROR(INDEX(DATA_MASTER!$I$2:$I$5000,MATCH($C4247,DATA_MASTER!$D$2:$D$5000,0)),""))</f>
        <v/>
      </c>
      <c r="F4247" s="22">
        <f t="array" ref="F4247">IF($C4247="","",IFERROR(INDEX(DATA_MASTER!$L$2:$L$5000,MATCH($C4247,DATA_MASTER!$D$2:$D$5000,0)),""))</f>
        <v/>
      </c>
      <c r="G4247" s="24" t="n"/>
      <c r="H4247" s="24" t="n"/>
      <c r="I4247" s="30" t="n"/>
      <c r="J4247" s="23">
        <f>IF(OR($H4247="",$I4247=""),"",$H4247*$I4247)</f>
        <v/>
      </c>
      <c r="K4247" s="24" t="n"/>
      <c r="L4247" s="24" t="n"/>
      <c r="M4247" s="29" t="n"/>
      <c r="N4247" s="28" t="n"/>
      <c r="O4247" s="24" t="n"/>
      <c r="P4247" s="24" t="n"/>
      <c r="Q4247" s="24" t="n"/>
      <c r="R4247" s="24" t="n"/>
      <c r="S4247" s="22">
        <f>IF(AND($A4247="",$C4247=""),"",IF($A4247="","Thiếu mã đơn; ","")&amp;IF(COUNTIF($A$2:$A4247,$A4247)&gt;1,"Trùng mã đơn; ","")&amp;IF(ISNA(MATCH($C4247,DATA_MASTER!$D$2:$D$5000,0)),"SĐT chưa đăng ký hội viên; ","")&amp;IF(AND($L4247="Đã chuyển khoản",$M4247=""),"Thiếu ngày nhận CK; ",""))</f>
        <v/>
      </c>
      <c r="T4247" s="24" t="n"/>
    </row>
    <row r="4248" ht="14.25" customHeight="1" s="40">
      <c r="A4248" s="24" t="n"/>
      <c r="B4248" s="29" t="n"/>
      <c r="C4248" s="28" t="n"/>
      <c r="D4248" s="22">
        <f t="array" ref="D4248">IF($C4248="","",IFERROR(INDEX(DATA_MASTER!$C$2:$C$5000,MATCH($C4248,DATA_MASTER!$D$2:$D$5000,0)),""))</f>
        <v/>
      </c>
      <c r="E4248" s="22">
        <f t="array" ref="E4248">IF($C4248="","",IFERROR(INDEX(DATA_MASTER!$I$2:$I$5000,MATCH($C4248,DATA_MASTER!$D$2:$D$5000,0)),""))</f>
        <v/>
      </c>
      <c r="F4248" s="22">
        <f t="array" ref="F4248">IF($C4248="","",IFERROR(INDEX(DATA_MASTER!$L$2:$L$5000,MATCH($C4248,DATA_MASTER!$D$2:$D$5000,0)),""))</f>
        <v/>
      </c>
      <c r="G4248" s="24" t="n"/>
      <c r="H4248" s="24" t="n"/>
      <c r="I4248" s="30" t="n"/>
      <c r="J4248" s="23">
        <f>IF(OR($H4248="",$I4248=""),"",$H4248*$I4248)</f>
        <v/>
      </c>
      <c r="K4248" s="24" t="n"/>
      <c r="L4248" s="24" t="n"/>
      <c r="M4248" s="29" t="n"/>
      <c r="N4248" s="28" t="n"/>
      <c r="O4248" s="24" t="n"/>
      <c r="P4248" s="24" t="n"/>
      <c r="Q4248" s="24" t="n"/>
      <c r="R4248" s="24" t="n"/>
      <c r="S4248" s="22">
        <f>IF(AND($A4248="",$C4248=""),"",IF($A4248="","Thiếu mã đơn; ","")&amp;IF(COUNTIF($A$2:$A4248,$A4248)&gt;1,"Trùng mã đơn; ","")&amp;IF(ISNA(MATCH($C4248,DATA_MASTER!$D$2:$D$5000,0)),"SĐT chưa đăng ký hội viên; ","")&amp;IF(AND($L4248="Đã chuyển khoản",$M4248=""),"Thiếu ngày nhận CK; ",""))</f>
        <v/>
      </c>
      <c r="T4248" s="24" t="n"/>
    </row>
    <row r="4249" ht="14.25" customHeight="1" s="40">
      <c r="A4249" s="24" t="n"/>
      <c r="B4249" s="29" t="n"/>
      <c r="C4249" s="28" t="n"/>
      <c r="D4249" s="22">
        <f t="array" ref="D4249">IF($C4249="","",IFERROR(INDEX(DATA_MASTER!$C$2:$C$5000,MATCH($C4249,DATA_MASTER!$D$2:$D$5000,0)),""))</f>
        <v/>
      </c>
      <c r="E4249" s="22">
        <f t="array" ref="E4249">IF($C4249="","",IFERROR(INDEX(DATA_MASTER!$I$2:$I$5000,MATCH($C4249,DATA_MASTER!$D$2:$D$5000,0)),""))</f>
        <v/>
      </c>
      <c r="F4249" s="22">
        <f t="array" ref="F4249">IF($C4249="","",IFERROR(INDEX(DATA_MASTER!$L$2:$L$5000,MATCH($C4249,DATA_MASTER!$D$2:$D$5000,0)),""))</f>
        <v/>
      </c>
      <c r="G4249" s="24" t="n"/>
      <c r="H4249" s="24" t="n"/>
      <c r="I4249" s="30" t="n"/>
      <c r="J4249" s="23">
        <f>IF(OR($H4249="",$I4249=""),"",$H4249*$I4249)</f>
        <v/>
      </c>
      <c r="K4249" s="24" t="n"/>
      <c r="L4249" s="24" t="n"/>
      <c r="M4249" s="29" t="n"/>
      <c r="N4249" s="28" t="n"/>
      <c r="O4249" s="24" t="n"/>
      <c r="P4249" s="24" t="n"/>
      <c r="Q4249" s="24" t="n"/>
      <c r="R4249" s="24" t="n"/>
      <c r="S4249" s="22">
        <f>IF(AND($A4249="",$C4249=""),"",IF($A4249="","Thiếu mã đơn; ","")&amp;IF(COUNTIF($A$2:$A4249,$A4249)&gt;1,"Trùng mã đơn; ","")&amp;IF(ISNA(MATCH($C4249,DATA_MASTER!$D$2:$D$5000,0)),"SĐT chưa đăng ký hội viên; ","")&amp;IF(AND($L4249="Đã chuyển khoản",$M4249=""),"Thiếu ngày nhận CK; ",""))</f>
        <v/>
      </c>
      <c r="T4249" s="24" t="n"/>
    </row>
    <row r="4250" ht="14.25" customHeight="1" s="40">
      <c r="A4250" s="24" t="n"/>
      <c r="B4250" s="29" t="n"/>
      <c r="C4250" s="28" t="n"/>
      <c r="D4250" s="22">
        <f t="array" ref="D4250">IF($C4250="","",IFERROR(INDEX(DATA_MASTER!$C$2:$C$5000,MATCH($C4250,DATA_MASTER!$D$2:$D$5000,0)),""))</f>
        <v/>
      </c>
      <c r="E4250" s="22">
        <f t="array" ref="E4250">IF($C4250="","",IFERROR(INDEX(DATA_MASTER!$I$2:$I$5000,MATCH($C4250,DATA_MASTER!$D$2:$D$5000,0)),""))</f>
        <v/>
      </c>
      <c r="F4250" s="22">
        <f t="array" ref="F4250">IF($C4250="","",IFERROR(INDEX(DATA_MASTER!$L$2:$L$5000,MATCH($C4250,DATA_MASTER!$D$2:$D$5000,0)),""))</f>
        <v/>
      </c>
      <c r="G4250" s="24" t="n"/>
      <c r="H4250" s="24" t="n"/>
      <c r="I4250" s="30" t="n"/>
      <c r="J4250" s="23">
        <f>IF(OR($H4250="",$I4250=""),"",$H4250*$I4250)</f>
        <v/>
      </c>
      <c r="K4250" s="24" t="n"/>
      <c r="L4250" s="24" t="n"/>
      <c r="M4250" s="29" t="n"/>
      <c r="N4250" s="28" t="n"/>
      <c r="O4250" s="24" t="n"/>
      <c r="P4250" s="24" t="n"/>
      <c r="Q4250" s="24" t="n"/>
      <c r="R4250" s="24" t="n"/>
      <c r="S4250" s="22">
        <f>IF(AND($A4250="",$C4250=""),"",IF($A4250="","Thiếu mã đơn; ","")&amp;IF(COUNTIF($A$2:$A4250,$A4250)&gt;1,"Trùng mã đơn; ","")&amp;IF(ISNA(MATCH($C4250,DATA_MASTER!$D$2:$D$5000,0)),"SĐT chưa đăng ký hội viên; ","")&amp;IF(AND($L4250="Đã chuyển khoản",$M4250=""),"Thiếu ngày nhận CK; ",""))</f>
        <v/>
      </c>
      <c r="T4250" s="24" t="n"/>
    </row>
    <row r="4251" ht="14.25" customHeight="1" s="40">
      <c r="A4251" s="24" t="n"/>
      <c r="B4251" s="29" t="n"/>
      <c r="C4251" s="28" t="n"/>
      <c r="D4251" s="22">
        <f t="array" ref="D4251">IF($C4251="","",IFERROR(INDEX(DATA_MASTER!$C$2:$C$5000,MATCH($C4251,DATA_MASTER!$D$2:$D$5000,0)),""))</f>
        <v/>
      </c>
      <c r="E4251" s="22">
        <f t="array" ref="E4251">IF($C4251="","",IFERROR(INDEX(DATA_MASTER!$I$2:$I$5000,MATCH($C4251,DATA_MASTER!$D$2:$D$5000,0)),""))</f>
        <v/>
      </c>
      <c r="F4251" s="22">
        <f t="array" ref="F4251">IF($C4251="","",IFERROR(INDEX(DATA_MASTER!$L$2:$L$5000,MATCH($C4251,DATA_MASTER!$D$2:$D$5000,0)),""))</f>
        <v/>
      </c>
      <c r="G4251" s="24" t="n"/>
      <c r="H4251" s="24" t="n"/>
      <c r="I4251" s="30" t="n"/>
      <c r="J4251" s="23">
        <f>IF(OR($H4251="",$I4251=""),"",$H4251*$I4251)</f>
        <v/>
      </c>
      <c r="K4251" s="24" t="n"/>
      <c r="L4251" s="24" t="n"/>
      <c r="M4251" s="29" t="n"/>
      <c r="N4251" s="28" t="n"/>
      <c r="O4251" s="24" t="n"/>
      <c r="P4251" s="24" t="n"/>
      <c r="Q4251" s="24" t="n"/>
      <c r="R4251" s="24" t="n"/>
      <c r="S4251" s="22">
        <f>IF(AND($A4251="",$C4251=""),"",IF($A4251="","Thiếu mã đơn; ","")&amp;IF(COUNTIF($A$2:$A4251,$A4251)&gt;1,"Trùng mã đơn; ","")&amp;IF(ISNA(MATCH($C4251,DATA_MASTER!$D$2:$D$5000,0)),"SĐT chưa đăng ký hội viên; ","")&amp;IF(AND($L4251="Đã chuyển khoản",$M4251=""),"Thiếu ngày nhận CK; ",""))</f>
        <v/>
      </c>
      <c r="T4251" s="24" t="n"/>
    </row>
    <row r="4252" ht="14.25" customHeight="1" s="40">
      <c r="A4252" s="24" t="n"/>
      <c r="B4252" s="29" t="n"/>
      <c r="C4252" s="28" t="n"/>
      <c r="D4252" s="22">
        <f t="array" ref="D4252">IF($C4252="","",IFERROR(INDEX(DATA_MASTER!$C$2:$C$5000,MATCH($C4252,DATA_MASTER!$D$2:$D$5000,0)),""))</f>
        <v/>
      </c>
      <c r="E4252" s="22">
        <f t="array" ref="E4252">IF($C4252="","",IFERROR(INDEX(DATA_MASTER!$I$2:$I$5000,MATCH($C4252,DATA_MASTER!$D$2:$D$5000,0)),""))</f>
        <v/>
      </c>
      <c r="F4252" s="22">
        <f t="array" ref="F4252">IF($C4252="","",IFERROR(INDEX(DATA_MASTER!$L$2:$L$5000,MATCH($C4252,DATA_MASTER!$D$2:$D$5000,0)),""))</f>
        <v/>
      </c>
      <c r="G4252" s="24" t="n"/>
      <c r="H4252" s="24" t="n"/>
      <c r="I4252" s="30" t="n"/>
      <c r="J4252" s="23">
        <f>IF(OR($H4252="",$I4252=""),"",$H4252*$I4252)</f>
        <v/>
      </c>
      <c r="K4252" s="24" t="n"/>
      <c r="L4252" s="24" t="n"/>
      <c r="M4252" s="29" t="n"/>
      <c r="N4252" s="28" t="n"/>
      <c r="O4252" s="24" t="n"/>
      <c r="P4252" s="24" t="n"/>
      <c r="Q4252" s="24" t="n"/>
      <c r="R4252" s="24" t="n"/>
      <c r="S4252" s="22">
        <f>IF(AND($A4252="",$C4252=""),"",IF($A4252="","Thiếu mã đơn; ","")&amp;IF(COUNTIF($A$2:$A4252,$A4252)&gt;1,"Trùng mã đơn; ","")&amp;IF(ISNA(MATCH($C4252,DATA_MASTER!$D$2:$D$5000,0)),"SĐT chưa đăng ký hội viên; ","")&amp;IF(AND($L4252="Đã chuyển khoản",$M4252=""),"Thiếu ngày nhận CK; ",""))</f>
        <v/>
      </c>
      <c r="T4252" s="24" t="n"/>
    </row>
    <row r="4253" ht="14.25" customHeight="1" s="40">
      <c r="A4253" s="24" t="n"/>
      <c r="B4253" s="29" t="n"/>
      <c r="C4253" s="28" t="n"/>
      <c r="D4253" s="22">
        <f t="array" ref="D4253">IF($C4253="","",IFERROR(INDEX(DATA_MASTER!$C$2:$C$5000,MATCH($C4253,DATA_MASTER!$D$2:$D$5000,0)),""))</f>
        <v/>
      </c>
      <c r="E4253" s="22">
        <f t="array" ref="E4253">IF($C4253="","",IFERROR(INDEX(DATA_MASTER!$I$2:$I$5000,MATCH($C4253,DATA_MASTER!$D$2:$D$5000,0)),""))</f>
        <v/>
      </c>
      <c r="F4253" s="22">
        <f t="array" ref="F4253">IF($C4253="","",IFERROR(INDEX(DATA_MASTER!$L$2:$L$5000,MATCH($C4253,DATA_MASTER!$D$2:$D$5000,0)),""))</f>
        <v/>
      </c>
      <c r="G4253" s="24" t="n"/>
      <c r="H4253" s="24" t="n"/>
      <c r="I4253" s="30" t="n"/>
      <c r="J4253" s="23">
        <f>IF(OR($H4253="",$I4253=""),"",$H4253*$I4253)</f>
        <v/>
      </c>
      <c r="K4253" s="24" t="n"/>
      <c r="L4253" s="24" t="n"/>
      <c r="M4253" s="29" t="n"/>
      <c r="N4253" s="28" t="n"/>
      <c r="O4253" s="24" t="n"/>
      <c r="P4253" s="24" t="n"/>
      <c r="Q4253" s="24" t="n"/>
      <c r="R4253" s="24" t="n"/>
      <c r="S4253" s="22">
        <f>IF(AND($A4253="",$C4253=""),"",IF($A4253="","Thiếu mã đơn; ","")&amp;IF(COUNTIF($A$2:$A4253,$A4253)&gt;1,"Trùng mã đơn; ","")&amp;IF(ISNA(MATCH($C4253,DATA_MASTER!$D$2:$D$5000,0)),"SĐT chưa đăng ký hội viên; ","")&amp;IF(AND($L4253="Đã chuyển khoản",$M4253=""),"Thiếu ngày nhận CK; ",""))</f>
        <v/>
      </c>
      <c r="T4253" s="24" t="n"/>
    </row>
    <row r="4254" ht="14.25" customHeight="1" s="40">
      <c r="A4254" s="24" t="n"/>
      <c r="B4254" s="29" t="n"/>
      <c r="C4254" s="28" t="n"/>
      <c r="D4254" s="22">
        <f t="array" ref="D4254">IF($C4254="","",IFERROR(INDEX(DATA_MASTER!$C$2:$C$5000,MATCH($C4254,DATA_MASTER!$D$2:$D$5000,0)),""))</f>
        <v/>
      </c>
      <c r="E4254" s="22">
        <f t="array" ref="E4254">IF($C4254="","",IFERROR(INDEX(DATA_MASTER!$I$2:$I$5000,MATCH($C4254,DATA_MASTER!$D$2:$D$5000,0)),""))</f>
        <v/>
      </c>
      <c r="F4254" s="22">
        <f t="array" ref="F4254">IF($C4254="","",IFERROR(INDEX(DATA_MASTER!$L$2:$L$5000,MATCH($C4254,DATA_MASTER!$D$2:$D$5000,0)),""))</f>
        <v/>
      </c>
      <c r="G4254" s="24" t="n"/>
      <c r="H4254" s="24" t="n"/>
      <c r="I4254" s="30" t="n"/>
      <c r="J4254" s="23">
        <f>IF(OR($H4254="",$I4254=""),"",$H4254*$I4254)</f>
        <v/>
      </c>
      <c r="K4254" s="24" t="n"/>
      <c r="L4254" s="24" t="n"/>
      <c r="M4254" s="29" t="n"/>
      <c r="N4254" s="28" t="n"/>
      <c r="O4254" s="24" t="n"/>
      <c r="P4254" s="24" t="n"/>
      <c r="Q4254" s="24" t="n"/>
      <c r="R4254" s="24" t="n"/>
      <c r="S4254" s="22">
        <f>IF(AND($A4254="",$C4254=""),"",IF($A4254="","Thiếu mã đơn; ","")&amp;IF(COUNTIF($A$2:$A4254,$A4254)&gt;1,"Trùng mã đơn; ","")&amp;IF(ISNA(MATCH($C4254,DATA_MASTER!$D$2:$D$5000,0)),"SĐT chưa đăng ký hội viên; ","")&amp;IF(AND($L4254="Đã chuyển khoản",$M4254=""),"Thiếu ngày nhận CK; ",""))</f>
        <v/>
      </c>
      <c r="T4254" s="24" t="n"/>
    </row>
    <row r="4255" ht="14.25" customHeight="1" s="40">
      <c r="A4255" s="24" t="n"/>
      <c r="B4255" s="29" t="n"/>
      <c r="C4255" s="28" t="n"/>
      <c r="D4255" s="22">
        <f t="array" ref="D4255">IF($C4255="","",IFERROR(INDEX(DATA_MASTER!$C$2:$C$5000,MATCH($C4255,DATA_MASTER!$D$2:$D$5000,0)),""))</f>
        <v/>
      </c>
      <c r="E4255" s="22">
        <f t="array" ref="E4255">IF($C4255="","",IFERROR(INDEX(DATA_MASTER!$I$2:$I$5000,MATCH($C4255,DATA_MASTER!$D$2:$D$5000,0)),""))</f>
        <v/>
      </c>
      <c r="F4255" s="22">
        <f t="array" ref="F4255">IF($C4255="","",IFERROR(INDEX(DATA_MASTER!$L$2:$L$5000,MATCH($C4255,DATA_MASTER!$D$2:$D$5000,0)),""))</f>
        <v/>
      </c>
      <c r="G4255" s="24" t="n"/>
      <c r="H4255" s="24" t="n"/>
      <c r="I4255" s="30" t="n"/>
      <c r="J4255" s="23">
        <f>IF(OR($H4255="",$I4255=""),"",$H4255*$I4255)</f>
        <v/>
      </c>
      <c r="K4255" s="24" t="n"/>
      <c r="L4255" s="24" t="n"/>
      <c r="M4255" s="29" t="n"/>
      <c r="N4255" s="28" t="n"/>
      <c r="O4255" s="24" t="n"/>
      <c r="P4255" s="24" t="n"/>
      <c r="Q4255" s="24" t="n"/>
      <c r="R4255" s="24" t="n"/>
      <c r="S4255" s="22">
        <f>IF(AND($A4255="",$C4255=""),"",IF($A4255="","Thiếu mã đơn; ","")&amp;IF(COUNTIF($A$2:$A4255,$A4255)&gt;1,"Trùng mã đơn; ","")&amp;IF(ISNA(MATCH($C4255,DATA_MASTER!$D$2:$D$5000,0)),"SĐT chưa đăng ký hội viên; ","")&amp;IF(AND($L4255="Đã chuyển khoản",$M4255=""),"Thiếu ngày nhận CK; ",""))</f>
        <v/>
      </c>
      <c r="T4255" s="24" t="n"/>
    </row>
    <row r="4256" ht="14.25" customHeight="1" s="40">
      <c r="A4256" s="24" t="n"/>
      <c r="B4256" s="29" t="n"/>
      <c r="C4256" s="28" t="n"/>
      <c r="D4256" s="22">
        <f t="array" ref="D4256">IF($C4256="","",IFERROR(INDEX(DATA_MASTER!$C$2:$C$5000,MATCH($C4256,DATA_MASTER!$D$2:$D$5000,0)),""))</f>
        <v/>
      </c>
      <c r="E4256" s="22">
        <f t="array" ref="E4256">IF($C4256="","",IFERROR(INDEX(DATA_MASTER!$I$2:$I$5000,MATCH($C4256,DATA_MASTER!$D$2:$D$5000,0)),""))</f>
        <v/>
      </c>
      <c r="F4256" s="22">
        <f t="array" ref="F4256">IF($C4256="","",IFERROR(INDEX(DATA_MASTER!$L$2:$L$5000,MATCH($C4256,DATA_MASTER!$D$2:$D$5000,0)),""))</f>
        <v/>
      </c>
      <c r="G4256" s="24" t="n"/>
      <c r="H4256" s="24" t="n"/>
      <c r="I4256" s="30" t="n"/>
      <c r="J4256" s="23">
        <f>IF(OR($H4256="",$I4256=""),"",$H4256*$I4256)</f>
        <v/>
      </c>
      <c r="K4256" s="24" t="n"/>
      <c r="L4256" s="24" t="n"/>
      <c r="M4256" s="29" t="n"/>
      <c r="N4256" s="28" t="n"/>
      <c r="O4256" s="24" t="n"/>
      <c r="P4256" s="24" t="n"/>
      <c r="Q4256" s="24" t="n"/>
      <c r="R4256" s="24" t="n"/>
      <c r="S4256" s="22">
        <f>IF(AND($A4256="",$C4256=""),"",IF($A4256="","Thiếu mã đơn; ","")&amp;IF(COUNTIF($A$2:$A4256,$A4256)&gt;1,"Trùng mã đơn; ","")&amp;IF(ISNA(MATCH($C4256,DATA_MASTER!$D$2:$D$5000,0)),"SĐT chưa đăng ký hội viên; ","")&amp;IF(AND($L4256="Đã chuyển khoản",$M4256=""),"Thiếu ngày nhận CK; ",""))</f>
        <v/>
      </c>
      <c r="T4256" s="24" t="n"/>
    </row>
    <row r="4257" ht="14.25" customHeight="1" s="40">
      <c r="A4257" s="24" t="n"/>
      <c r="B4257" s="29" t="n"/>
      <c r="C4257" s="28" t="n"/>
      <c r="D4257" s="22">
        <f t="array" ref="D4257">IF($C4257="","",IFERROR(INDEX(DATA_MASTER!$C$2:$C$5000,MATCH($C4257,DATA_MASTER!$D$2:$D$5000,0)),""))</f>
        <v/>
      </c>
      <c r="E4257" s="22">
        <f t="array" ref="E4257">IF($C4257="","",IFERROR(INDEX(DATA_MASTER!$I$2:$I$5000,MATCH($C4257,DATA_MASTER!$D$2:$D$5000,0)),""))</f>
        <v/>
      </c>
      <c r="F4257" s="22">
        <f t="array" ref="F4257">IF($C4257="","",IFERROR(INDEX(DATA_MASTER!$L$2:$L$5000,MATCH($C4257,DATA_MASTER!$D$2:$D$5000,0)),""))</f>
        <v/>
      </c>
      <c r="G4257" s="24" t="n"/>
      <c r="H4257" s="24" t="n"/>
      <c r="I4257" s="30" t="n"/>
      <c r="J4257" s="23">
        <f>IF(OR($H4257="",$I4257=""),"",$H4257*$I4257)</f>
        <v/>
      </c>
      <c r="K4257" s="24" t="n"/>
      <c r="L4257" s="24" t="n"/>
      <c r="M4257" s="29" t="n"/>
      <c r="N4257" s="28" t="n"/>
      <c r="O4257" s="24" t="n"/>
      <c r="P4257" s="24" t="n"/>
      <c r="Q4257" s="24" t="n"/>
      <c r="R4257" s="24" t="n"/>
      <c r="S4257" s="22">
        <f>IF(AND($A4257="",$C4257=""),"",IF($A4257="","Thiếu mã đơn; ","")&amp;IF(COUNTIF($A$2:$A4257,$A4257)&gt;1,"Trùng mã đơn; ","")&amp;IF(ISNA(MATCH($C4257,DATA_MASTER!$D$2:$D$5000,0)),"SĐT chưa đăng ký hội viên; ","")&amp;IF(AND($L4257="Đã chuyển khoản",$M4257=""),"Thiếu ngày nhận CK; ",""))</f>
        <v/>
      </c>
      <c r="T4257" s="24" t="n"/>
    </row>
    <row r="4258" ht="14.25" customHeight="1" s="40">
      <c r="A4258" s="24" t="n"/>
      <c r="B4258" s="29" t="n"/>
      <c r="C4258" s="28" t="n"/>
      <c r="D4258" s="22">
        <f t="array" ref="D4258">IF($C4258="","",IFERROR(INDEX(DATA_MASTER!$C$2:$C$5000,MATCH($C4258,DATA_MASTER!$D$2:$D$5000,0)),""))</f>
        <v/>
      </c>
      <c r="E4258" s="22">
        <f t="array" ref="E4258">IF($C4258="","",IFERROR(INDEX(DATA_MASTER!$I$2:$I$5000,MATCH($C4258,DATA_MASTER!$D$2:$D$5000,0)),""))</f>
        <v/>
      </c>
      <c r="F4258" s="22">
        <f t="array" ref="F4258">IF($C4258="","",IFERROR(INDEX(DATA_MASTER!$L$2:$L$5000,MATCH($C4258,DATA_MASTER!$D$2:$D$5000,0)),""))</f>
        <v/>
      </c>
      <c r="G4258" s="24" t="n"/>
      <c r="H4258" s="24" t="n"/>
      <c r="I4258" s="30" t="n"/>
      <c r="J4258" s="23">
        <f>IF(OR($H4258="",$I4258=""),"",$H4258*$I4258)</f>
        <v/>
      </c>
      <c r="K4258" s="24" t="n"/>
      <c r="L4258" s="24" t="n"/>
      <c r="M4258" s="29" t="n"/>
      <c r="N4258" s="28" t="n"/>
      <c r="O4258" s="24" t="n"/>
      <c r="P4258" s="24" t="n"/>
      <c r="Q4258" s="24" t="n"/>
      <c r="R4258" s="24" t="n"/>
      <c r="S4258" s="22">
        <f>IF(AND($A4258="",$C4258=""),"",IF($A4258="","Thiếu mã đơn; ","")&amp;IF(COUNTIF($A$2:$A4258,$A4258)&gt;1,"Trùng mã đơn; ","")&amp;IF(ISNA(MATCH($C4258,DATA_MASTER!$D$2:$D$5000,0)),"SĐT chưa đăng ký hội viên; ","")&amp;IF(AND($L4258="Đã chuyển khoản",$M4258=""),"Thiếu ngày nhận CK; ",""))</f>
        <v/>
      </c>
      <c r="T4258" s="24" t="n"/>
    </row>
    <row r="4259" ht="14.25" customHeight="1" s="40">
      <c r="A4259" s="24" t="n"/>
      <c r="B4259" s="29" t="n"/>
      <c r="C4259" s="28" t="n"/>
      <c r="D4259" s="22">
        <f t="array" ref="D4259">IF($C4259="","",IFERROR(INDEX(DATA_MASTER!$C$2:$C$5000,MATCH($C4259,DATA_MASTER!$D$2:$D$5000,0)),""))</f>
        <v/>
      </c>
      <c r="E4259" s="22">
        <f t="array" ref="E4259">IF($C4259="","",IFERROR(INDEX(DATA_MASTER!$I$2:$I$5000,MATCH($C4259,DATA_MASTER!$D$2:$D$5000,0)),""))</f>
        <v/>
      </c>
      <c r="F4259" s="22">
        <f t="array" ref="F4259">IF($C4259="","",IFERROR(INDEX(DATA_MASTER!$L$2:$L$5000,MATCH($C4259,DATA_MASTER!$D$2:$D$5000,0)),""))</f>
        <v/>
      </c>
      <c r="G4259" s="24" t="n"/>
      <c r="H4259" s="24" t="n"/>
      <c r="I4259" s="30" t="n"/>
      <c r="J4259" s="23">
        <f>IF(OR($H4259="",$I4259=""),"",$H4259*$I4259)</f>
        <v/>
      </c>
      <c r="K4259" s="24" t="n"/>
      <c r="L4259" s="24" t="n"/>
      <c r="M4259" s="29" t="n"/>
      <c r="N4259" s="28" t="n"/>
      <c r="O4259" s="24" t="n"/>
      <c r="P4259" s="24" t="n"/>
      <c r="Q4259" s="24" t="n"/>
      <c r="R4259" s="24" t="n"/>
      <c r="S4259" s="22">
        <f>IF(AND($A4259="",$C4259=""),"",IF($A4259="","Thiếu mã đơn; ","")&amp;IF(COUNTIF($A$2:$A4259,$A4259)&gt;1,"Trùng mã đơn; ","")&amp;IF(ISNA(MATCH($C4259,DATA_MASTER!$D$2:$D$5000,0)),"SĐT chưa đăng ký hội viên; ","")&amp;IF(AND($L4259="Đã chuyển khoản",$M4259=""),"Thiếu ngày nhận CK; ",""))</f>
        <v/>
      </c>
      <c r="T4259" s="24" t="n"/>
    </row>
    <row r="4260" ht="14.25" customHeight="1" s="40">
      <c r="A4260" s="24" t="n"/>
      <c r="B4260" s="29" t="n"/>
      <c r="C4260" s="28" t="n"/>
      <c r="D4260" s="22">
        <f t="array" ref="D4260">IF($C4260="","",IFERROR(INDEX(DATA_MASTER!$C$2:$C$5000,MATCH($C4260,DATA_MASTER!$D$2:$D$5000,0)),""))</f>
        <v/>
      </c>
      <c r="E4260" s="22">
        <f t="array" ref="E4260">IF($C4260="","",IFERROR(INDEX(DATA_MASTER!$I$2:$I$5000,MATCH($C4260,DATA_MASTER!$D$2:$D$5000,0)),""))</f>
        <v/>
      </c>
      <c r="F4260" s="22">
        <f t="array" ref="F4260">IF($C4260="","",IFERROR(INDEX(DATA_MASTER!$L$2:$L$5000,MATCH($C4260,DATA_MASTER!$D$2:$D$5000,0)),""))</f>
        <v/>
      </c>
      <c r="G4260" s="24" t="n"/>
      <c r="H4260" s="24" t="n"/>
      <c r="I4260" s="30" t="n"/>
      <c r="J4260" s="23">
        <f>IF(OR($H4260="",$I4260=""),"",$H4260*$I4260)</f>
        <v/>
      </c>
      <c r="K4260" s="24" t="n"/>
      <c r="L4260" s="24" t="n"/>
      <c r="M4260" s="29" t="n"/>
      <c r="N4260" s="28" t="n"/>
      <c r="O4260" s="24" t="n"/>
      <c r="P4260" s="24" t="n"/>
      <c r="Q4260" s="24" t="n"/>
      <c r="R4260" s="24" t="n"/>
      <c r="S4260" s="22">
        <f>IF(AND($A4260="",$C4260=""),"",IF($A4260="","Thiếu mã đơn; ","")&amp;IF(COUNTIF($A$2:$A4260,$A4260)&gt;1,"Trùng mã đơn; ","")&amp;IF(ISNA(MATCH($C4260,DATA_MASTER!$D$2:$D$5000,0)),"SĐT chưa đăng ký hội viên; ","")&amp;IF(AND($L4260="Đã chuyển khoản",$M4260=""),"Thiếu ngày nhận CK; ",""))</f>
        <v/>
      </c>
      <c r="T4260" s="24" t="n"/>
    </row>
    <row r="4261" ht="14.25" customHeight="1" s="40">
      <c r="A4261" s="24" t="n"/>
      <c r="B4261" s="29" t="n"/>
      <c r="C4261" s="28" t="n"/>
      <c r="D4261" s="22">
        <f t="array" ref="D4261">IF($C4261="","",IFERROR(INDEX(DATA_MASTER!$C$2:$C$5000,MATCH($C4261,DATA_MASTER!$D$2:$D$5000,0)),""))</f>
        <v/>
      </c>
      <c r="E4261" s="22">
        <f t="array" ref="E4261">IF($C4261="","",IFERROR(INDEX(DATA_MASTER!$I$2:$I$5000,MATCH($C4261,DATA_MASTER!$D$2:$D$5000,0)),""))</f>
        <v/>
      </c>
      <c r="F4261" s="22">
        <f t="array" ref="F4261">IF($C4261="","",IFERROR(INDEX(DATA_MASTER!$L$2:$L$5000,MATCH($C4261,DATA_MASTER!$D$2:$D$5000,0)),""))</f>
        <v/>
      </c>
      <c r="G4261" s="24" t="n"/>
      <c r="H4261" s="24" t="n"/>
      <c r="I4261" s="30" t="n"/>
      <c r="J4261" s="23">
        <f>IF(OR($H4261="",$I4261=""),"",$H4261*$I4261)</f>
        <v/>
      </c>
      <c r="K4261" s="24" t="n"/>
      <c r="L4261" s="24" t="n"/>
      <c r="M4261" s="29" t="n"/>
      <c r="N4261" s="28" t="n"/>
      <c r="O4261" s="24" t="n"/>
      <c r="P4261" s="24" t="n"/>
      <c r="Q4261" s="24" t="n"/>
      <c r="R4261" s="24" t="n"/>
      <c r="S4261" s="22">
        <f>IF(AND($A4261="",$C4261=""),"",IF($A4261="","Thiếu mã đơn; ","")&amp;IF(COUNTIF($A$2:$A4261,$A4261)&gt;1,"Trùng mã đơn; ","")&amp;IF(ISNA(MATCH($C4261,DATA_MASTER!$D$2:$D$5000,0)),"SĐT chưa đăng ký hội viên; ","")&amp;IF(AND($L4261="Đã chuyển khoản",$M4261=""),"Thiếu ngày nhận CK; ",""))</f>
        <v/>
      </c>
      <c r="T4261" s="24" t="n"/>
    </row>
    <row r="4262" ht="14.25" customHeight="1" s="40">
      <c r="A4262" s="24" t="n"/>
      <c r="B4262" s="29" t="n"/>
      <c r="C4262" s="28" t="n"/>
      <c r="D4262" s="22">
        <f t="array" ref="D4262">IF($C4262="","",IFERROR(INDEX(DATA_MASTER!$C$2:$C$5000,MATCH($C4262,DATA_MASTER!$D$2:$D$5000,0)),""))</f>
        <v/>
      </c>
      <c r="E4262" s="22">
        <f t="array" ref="E4262">IF($C4262="","",IFERROR(INDEX(DATA_MASTER!$I$2:$I$5000,MATCH($C4262,DATA_MASTER!$D$2:$D$5000,0)),""))</f>
        <v/>
      </c>
      <c r="F4262" s="22">
        <f t="array" ref="F4262">IF($C4262="","",IFERROR(INDEX(DATA_MASTER!$L$2:$L$5000,MATCH($C4262,DATA_MASTER!$D$2:$D$5000,0)),""))</f>
        <v/>
      </c>
      <c r="G4262" s="24" t="n"/>
      <c r="H4262" s="24" t="n"/>
      <c r="I4262" s="30" t="n"/>
      <c r="J4262" s="23">
        <f>IF(OR($H4262="",$I4262=""),"",$H4262*$I4262)</f>
        <v/>
      </c>
      <c r="K4262" s="24" t="n"/>
      <c r="L4262" s="24" t="n"/>
      <c r="M4262" s="29" t="n"/>
      <c r="N4262" s="28" t="n"/>
      <c r="O4262" s="24" t="n"/>
      <c r="P4262" s="24" t="n"/>
      <c r="Q4262" s="24" t="n"/>
      <c r="R4262" s="24" t="n"/>
      <c r="S4262" s="22">
        <f>IF(AND($A4262="",$C4262=""),"",IF($A4262="","Thiếu mã đơn; ","")&amp;IF(COUNTIF($A$2:$A4262,$A4262)&gt;1,"Trùng mã đơn; ","")&amp;IF(ISNA(MATCH($C4262,DATA_MASTER!$D$2:$D$5000,0)),"SĐT chưa đăng ký hội viên; ","")&amp;IF(AND($L4262="Đã chuyển khoản",$M4262=""),"Thiếu ngày nhận CK; ",""))</f>
        <v/>
      </c>
      <c r="T4262" s="24" t="n"/>
    </row>
    <row r="4263" ht="14.25" customHeight="1" s="40">
      <c r="A4263" s="24" t="n"/>
      <c r="B4263" s="29" t="n"/>
      <c r="C4263" s="28" t="n"/>
      <c r="D4263" s="22">
        <f t="array" ref="D4263">IF($C4263="","",IFERROR(INDEX(DATA_MASTER!$C$2:$C$5000,MATCH($C4263,DATA_MASTER!$D$2:$D$5000,0)),""))</f>
        <v/>
      </c>
      <c r="E4263" s="22">
        <f t="array" ref="E4263">IF($C4263="","",IFERROR(INDEX(DATA_MASTER!$I$2:$I$5000,MATCH($C4263,DATA_MASTER!$D$2:$D$5000,0)),""))</f>
        <v/>
      </c>
      <c r="F4263" s="22">
        <f t="array" ref="F4263">IF($C4263="","",IFERROR(INDEX(DATA_MASTER!$L$2:$L$5000,MATCH($C4263,DATA_MASTER!$D$2:$D$5000,0)),""))</f>
        <v/>
      </c>
      <c r="G4263" s="24" t="n"/>
      <c r="H4263" s="24" t="n"/>
      <c r="I4263" s="30" t="n"/>
      <c r="J4263" s="23">
        <f>IF(OR($H4263="",$I4263=""),"",$H4263*$I4263)</f>
        <v/>
      </c>
      <c r="K4263" s="24" t="n"/>
      <c r="L4263" s="24" t="n"/>
      <c r="M4263" s="29" t="n"/>
      <c r="N4263" s="28" t="n"/>
      <c r="O4263" s="24" t="n"/>
      <c r="P4263" s="24" t="n"/>
      <c r="Q4263" s="24" t="n"/>
      <c r="R4263" s="24" t="n"/>
      <c r="S4263" s="22">
        <f>IF(AND($A4263="",$C4263=""),"",IF($A4263="","Thiếu mã đơn; ","")&amp;IF(COUNTIF($A$2:$A4263,$A4263)&gt;1,"Trùng mã đơn; ","")&amp;IF(ISNA(MATCH($C4263,DATA_MASTER!$D$2:$D$5000,0)),"SĐT chưa đăng ký hội viên; ","")&amp;IF(AND($L4263="Đã chuyển khoản",$M4263=""),"Thiếu ngày nhận CK; ",""))</f>
        <v/>
      </c>
      <c r="T4263" s="24" t="n"/>
    </row>
    <row r="4264" ht="14.25" customHeight="1" s="40">
      <c r="A4264" s="24" t="n"/>
      <c r="B4264" s="29" t="n"/>
      <c r="C4264" s="28" t="n"/>
      <c r="D4264" s="22">
        <f t="array" ref="D4264">IF($C4264="","",IFERROR(INDEX(DATA_MASTER!$C$2:$C$5000,MATCH($C4264,DATA_MASTER!$D$2:$D$5000,0)),""))</f>
        <v/>
      </c>
      <c r="E4264" s="22">
        <f t="array" ref="E4264">IF($C4264="","",IFERROR(INDEX(DATA_MASTER!$I$2:$I$5000,MATCH($C4264,DATA_MASTER!$D$2:$D$5000,0)),""))</f>
        <v/>
      </c>
      <c r="F4264" s="22">
        <f t="array" ref="F4264">IF($C4264="","",IFERROR(INDEX(DATA_MASTER!$L$2:$L$5000,MATCH($C4264,DATA_MASTER!$D$2:$D$5000,0)),""))</f>
        <v/>
      </c>
      <c r="G4264" s="24" t="n"/>
      <c r="H4264" s="24" t="n"/>
      <c r="I4264" s="30" t="n"/>
      <c r="J4264" s="23">
        <f>IF(OR($H4264="",$I4264=""),"",$H4264*$I4264)</f>
        <v/>
      </c>
      <c r="K4264" s="24" t="n"/>
      <c r="L4264" s="24" t="n"/>
      <c r="M4264" s="29" t="n"/>
      <c r="N4264" s="28" t="n"/>
      <c r="O4264" s="24" t="n"/>
      <c r="P4264" s="24" t="n"/>
      <c r="Q4264" s="24" t="n"/>
      <c r="R4264" s="24" t="n"/>
      <c r="S4264" s="22">
        <f>IF(AND($A4264="",$C4264=""),"",IF($A4264="","Thiếu mã đơn; ","")&amp;IF(COUNTIF($A$2:$A4264,$A4264)&gt;1,"Trùng mã đơn; ","")&amp;IF(ISNA(MATCH($C4264,DATA_MASTER!$D$2:$D$5000,0)),"SĐT chưa đăng ký hội viên; ","")&amp;IF(AND($L4264="Đã chuyển khoản",$M4264=""),"Thiếu ngày nhận CK; ",""))</f>
        <v/>
      </c>
      <c r="T4264" s="24" t="n"/>
    </row>
    <row r="4265" ht="14.25" customHeight="1" s="40">
      <c r="A4265" s="24" t="n"/>
      <c r="B4265" s="29" t="n"/>
      <c r="C4265" s="28" t="n"/>
      <c r="D4265" s="22">
        <f t="array" ref="D4265">IF($C4265="","",IFERROR(INDEX(DATA_MASTER!$C$2:$C$5000,MATCH($C4265,DATA_MASTER!$D$2:$D$5000,0)),""))</f>
        <v/>
      </c>
      <c r="E4265" s="22">
        <f t="array" ref="E4265">IF($C4265="","",IFERROR(INDEX(DATA_MASTER!$I$2:$I$5000,MATCH($C4265,DATA_MASTER!$D$2:$D$5000,0)),""))</f>
        <v/>
      </c>
      <c r="F4265" s="22">
        <f t="array" ref="F4265">IF($C4265="","",IFERROR(INDEX(DATA_MASTER!$L$2:$L$5000,MATCH($C4265,DATA_MASTER!$D$2:$D$5000,0)),""))</f>
        <v/>
      </c>
      <c r="G4265" s="24" t="n"/>
      <c r="H4265" s="24" t="n"/>
      <c r="I4265" s="30" t="n"/>
      <c r="J4265" s="23">
        <f>IF(OR($H4265="",$I4265=""),"",$H4265*$I4265)</f>
        <v/>
      </c>
      <c r="K4265" s="24" t="n"/>
      <c r="L4265" s="24" t="n"/>
      <c r="M4265" s="29" t="n"/>
      <c r="N4265" s="28" t="n"/>
      <c r="O4265" s="24" t="n"/>
      <c r="P4265" s="24" t="n"/>
      <c r="Q4265" s="24" t="n"/>
      <c r="R4265" s="24" t="n"/>
      <c r="S4265" s="22">
        <f>IF(AND($A4265="",$C4265=""),"",IF($A4265="","Thiếu mã đơn; ","")&amp;IF(COUNTIF($A$2:$A4265,$A4265)&gt;1,"Trùng mã đơn; ","")&amp;IF(ISNA(MATCH($C4265,DATA_MASTER!$D$2:$D$5000,0)),"SĐT chưa đăng ký hội viên; ","")&amp;IF(AND($L4265="Đã chuyển khoản",$M4265=""),"Thiếu ngày nhận CK; ",""))</f>
        <v/>
      </c>
      <c r="T4265" s="24" t="n"/>
    </row>
    <row r="4266" ht="14.25" customHeight="1" s="40">
      <c r="A4266" s="24" t="n"/>
      <c r="B4266" s="29" t="n"/>
      <c r="C4266" s="28" t="n"/>
      <c r="D4266" s="22">
        <f t="array" ref="D4266">IF($C4266="","",IFERROR(INDEX(DATA_MASTER!$C$2:$C$5000,MATCH($C4266,DATA_MASTER!$D$2:$D$5000,0)),""))</f>
        <v/>
      </c>
      <c r="E4266" s="22">
        <f t="array" ref="E4266">IF($C4266="","",IFERROR(INDEX(DATA_MASTER!$I$2:$I$5000,MATCH($C4266,DATA_MASTER!$D$2:$D$5000,0)),""))</f>
        <v/>
      </c>
      <c r="F4266" s="22">
        <f t="array" ref="F4266">IF($C4266="","",IFERROR(INDEX(DATA_MASTER!$L$2:$L$5000,MATCH($C4266,DATA_MASTER!$D$2:$D$5000,0)),""))</f>
        <v/>
      </c>
      <c r="G4266" s="24" t="n"/>
      <c r="H4266" s="24" t="n"/>
      <c r="I4266" s="30" t="n"/>
      <c r="J4266" s="23">
        <f>IF(OR($H4266="",$I4266=""),"",$H4266*$I4266)</f>
        <v/>
      </c>
      <c r="K4266" s="24" t="n"/>
      <c r="L4266" s="24" t="n"/>
      <c r="M4266" s="29" t="n"/>
      <c r="N4266" s="28" t="n"/>
      <c r="O4266" s="24" t="n"/>
      <c r="P4266" s="24" t="n"/>
      <c r="Q4266" s="24" t="n"/>
      <c r="R4266" s="24" t="n"/>
      <c r="S4266" s="22">
        <f>IF(AND($A4266="",$C4266=""),"",IF($A4266="","Thiếu mã đơn; ","")&amp;IF(COUNTIF($A$2:$A4266,$A4266)&gt;1,"Trùng mã đơn; ","")&amp;IF(ISNA(MATCH($C4266,DATA_MASTER!$D$2:$D$5000,0)),"SĐT chưa đăng ký hội viên; ","")&amp;IF(AND($L4266="Đã chuyển khoản",$M4266=""),"Thiếu ngày nhận CK; ",""))</f>
        <v/>
      </c>
      <c r="T4266" s="24" t="n"/>
    </row>
    <row r="4267" ht="14.25" customHeight="1" s="40">
      <c r="A4267" s="24" t="n"/>
      <c r="B4267" s="29" t="n"/>
      <c r="C4267" s="28" t="n"/>
      <c r="D4267" s="22">
        <f t="array" ref="D4267">IF($C4267="","",IFERROR(INDEX(DATA_MASTER!$C$2:$C$5000,MATCH($C4267,DATA_MASTER!$D$2:$D$5000,0)),""))</f>
        <v/>
      </c>
      <c r="E4267" s="22">
        <f t="array" ref="E4267">IF($C4267="","",IFERROR(INDEX(DATA_MASTER!$I$2:$I$5000,MATCH($C4267,DATA_MASTER!$D$2:$D$5000,0)),""))</f>
        <v/>
      </c>
      <c r="F4267" s="22">
        <f t="array" ref="F4267">IF($C4267="","",IFERROR(INDEX(DATA_MASTER!$L$2:$L$5000,MATCH($C4267,DATA_MASTER!$D$2:$D$5000,0)),""))</f>
        <v/>
      </c>
      <c r="G4267" s="24" t="n"/>
      <c r="H4267" s="24" t="n"/>
      <c r="I4267" s="30" t="n"/>
      <c r="J4267" s="23">
        <f>IF(OR($H4267="",$I4267=""),"",$H4267*$I4267)</f>
        <v/>
      </c>
      <c r="K4267" s="24" t="n"/>
      <c r="L4267" s="24" t="n"/>
      <c r="M4267" s="29" t="n"/>
      <c r="N4267" s="28" t="n"/>
      <c r="O4267" s="24" t="n"/>
      <c r="P4267" s="24" t="n"/>
      <c r="Q4267" s="24" t="n"/>
      <c r="R4267" s="24" t="n"/>
      <c r="S4267" s="22">
        <f>IF(AND($A4267="",$C4267=""),"",IF($A4267="","Thiếu mã đơn; ","")&amp;IF(COUNTIF($A$2:$A4267,$A4267)&gt;1,"Trùng mã đơn; ","")&amp;IF(ISNA(MATCH($C4267,DATA_MASTER!$D$2:$D$5000,0)),"SĐT chưa đăng ký hội viên; ","")&amp;IF(AND($L4267="Đã chuyển khoản",$M4267=""),"Thiếu ngày nhận CK; ",""))</f>
        <v/>
      </c>
      <c r="T4267" s="24" t="n"/>
    </row>
    <row r="4268" ht="14.25" customHeight="1" s="40">
      <c r="A4268" s="24" t="n"/>
      <c r="B4268" s="29" t="n"/>
      <c r="C4268" s="28" t="n"/>
      <c r="D4268" s="22">
        <f t="array" ref="D4268">IF($C4268="","",IFERROR(INDEX(DATA_MASTER!$C$2:$C$5000,MATCH($C4268,DATA_MASTER!$D$2:$D$5000,0)),""))</f>
        <v/>
      </c>
      <c r="E4268" s="22">
        <f t="array" ref="E4268">IF($C4268="","",IFERROR(INDEX(DATA_MASTER!$I$2:$I$5000,MATCH($C4268,DATA_MASTER!$D$2:$D$5000,0)),""))</f>
        <v/>
      </c>
      <c r="F4268" s="22">
        <f t="array" ref="F4268">IF($C4268="","",IFERROR(INDEX(DATA_MASTER!$L$2:$L$5000,MATCH($C4268,DATA_MASTER!$D$2:$D$5000,0)),""))</f>
        <v/>
      </c>
      <c r="G4268" s="24" t="n"/>
      <c r="H4268" s="24" t="n"/>
      <c r="I4268" s="30" t="n"/>
      <c r="J4268" s="23">
        <f>IF(OR($H4268="",$I4268=""),"",$H4268*$I4268)</f>
        <v/>
      </c>
      <c r="K4268" s="24" t="n"/>
      <c r="L4268" s="24" t="n"/>
      <c r="M4268" s="29" t="n"/>
      <c r="N4268" s="28" t="n"/>
      <c r="O4268" s="24" t="n"/>
      <c r="P4268" s="24" t="n"/>
      <c r="Q4268" s="24" t="n"/>
      <c r="R4268" s="24" t="n"/>
      <c r="S4268" s="22">
        <f>IF(AND($A4268="",$C4268=""),"",IF($A4268="","Thiếu mã đơn; ","")&amp;IF(COUNTIF($A$2:$A4268,$A4268)&gt;1,"Trùng mã đơn; ","")&amp;IF(ISNA(MATCH($C4268,DATA_MASTER!$D$2:$D$5000,0)),"SĐT chưa đăng ký hội viên; ","")&amp;IF(AND($L4268="Đã chuyển khoản",$M4268=""),"Thiếu ngày nhận CK; ",""))</f>
        <v/>
      </c>
      <c r="T4268" s="24" t="n"/>
    </row>
    <row r="4269" ht="14.25" customHeight="1" s="40">
      <c r="A4269" s="24" t="n"/>
      <c r="B4269" s="29" t="n"/>
      <c r="C4269" s="28" t="n"/>
      <c r="D4269" s="22">
        <f t="array" ref="D4269">IF($C4269="","",IFERROR(INDEX(DATA_MASTER!$C$2:$C$5000,MATCH($C4269,DATA_MASTER!$D$2:$D$5000,0)),""))</f>
        <v/>
      </c>
      <c r="E4269" s="22">
        <f t="array" ref="E4269">IF($C4269="","",IFERROR(INDEX(DATA_MASTER!$I$2:$I$5000,MATCH($C4269,DATA_MASTER!$D$2:$D$5000,0)),""))</f>
        <v/>
      </c>
      <c r="F4269" s="22">
        <f t="array" ref="F4269">IF($C4269="","",IFERROR(INDEX(DATA_MASTER!$L$2:$L$5000,MATCH($C4269,DATA_MASTER!$D$2:$D$5000,0)),""))</f>
        <v/>
      </c>
      <c r="G4269" s="24" t="n"/>
      <c r="H4269" s="24" t="n"/>
      <c r="I4269" s="30" t="n"/>
      <c r="J4269" s="23">
        <f>IF(OR($H4269="",$I4269=""),"",$H4269*$I4269)</f>
        <v/>
      </c>
      <c r="K4269" s="24" t="n"/>
      <c r="L4269" s="24" t="n"/>
      <c r="M4269" s="29" t="n"/>
      <c r="N4269" s="28" t="n"/>
      <c r="O4269" s="24" t="n"/>
      <c r="P4269" s="24" t="n"/>
      <c r="Q4269" s="24" t="n"/>
      <c r="R4269" s="24" t="n"/>
      <c r="S4269" s="22">
        <f>IF(AND($A4269="",$C4269=""),"",IF($A4269="","Thiếu mã đơn; ","")&amp;IF(COUNTIF($A$2:$A4269,$A4269)&gt;1,"Trùng mã đơn; ","")&amp;IF(ISNA(MATCH($C4269,DATA_MASTER!$D$2:$D$5000,0)),"SĐT chưa đăng ký hội viên; ","")&amp;IF(AND($L4269="Đã chuyển khoản",$M4269=""),"Thiếu ngày nhận CK; ",""))</f>
        <v/>
      </c>
      <c r="T4269" s="24" t="n"/>
    </row>
    <row r="4270" ht="14.25" customHeight="1" s="40">
      <c r="A4270" s="24" t="n"/>
      <c r="B4270" s="29" t="n"/>
      <c r="C4270" s="28" t="n"/>
      <c r="D4270" s="22">
        <f t="array" ref="D4270">IF($C4270="","",IFERROR(INDEX(DATA_MASTER!$C$2:$C$5000,MATCH($C4270,DATA_MASTER!$D$2:$D$5000,0)),""))</f>
        <v/>
      </c>
      <c r="E4270" s="22">
        <f t="array" ref="E4270">IF($C4270="","",IFERROR(INDEX(DATA_MASTER!$I$2:$I$5000,MATCH($C4270,DATA_MASTER!$D$2:$D$5000,0)),""))</f>
        <v/>
      </c>
      <c r="F4270" s="22">
        <f t="array" ref="F4270">IF($C4270="","",IFERROR(INDEX(DATA_MASTER!$L$2:$L$5000,MATCH($C4270,DATA_MASTER!$D$2:$D$5000,0)),""))</f>
        <v/>
      </c>
      <c r="G4270" s="24" t="n"/>
      <c r="H4270" s="24" t="n"/>
      <c r="I4270" s="30" t="n"/>
      <c r="J4270" s="23">
        <f>IF(OR($H4270="",$I4270=""),"",$H4270*$I4270)</f>
        <v/>
      </c>
      <c r="K4270" s="24" t="n"/>
      <c r="L4270" s="24" t="n"/>
      <c r="M4270" s="29" t="n"/>
      <c r="N4270" s="28" t="n"/>
      <c r="O4270" s="24" t="n"/>
      <c r="P4270" s="24" t="n"/>
      <c r="Q4270" s="24" t="n"/>
      <c r="R4270" s="24" t="n"/>
      <c r="S4270" s="22">
        <f>IF(AND($A4270="",$C4270=""),"",IF($A4270="","Thiếu mã đơn; ","")&amp;IF(COUNTIF($A$2:$A4270,$A4270)&gt;1,"Trùng mã đơn; ","")&amp;IF(ISNA(MATCH($C4270,DATA_MASTER!$D$2:$D$5000,0)),"SĐT chưa đăng ký hội viên; ","")&amp;IF(AND($L4270="Đã chuyển khoản",$M4270=""),"Thiếu ngày nhận CK; ",""))</f>
        <v/>
      </c>
      <c r="T4270" s="24" t="n"/>
    </row>
    <row r="4271" ht="14.25" customHeight="1" s="40">
      <c r="A4271" s="24" t="n"/>
      <c r="B4271" s="29" t="n"/>
      <c r="C4271" s="28" t="n"/>
      <c r="D4271" s="22">
        <f t="array" ref="D4271">IF($C4271="","",IFERROR(INDEX(DATA_MASTER!$C$2:$C$5000,MATCH($C4271,DATA_MASTER!$D$2:$D$5000,0)),""))</f>
        <v/>
      </c>
      <c r="E4271" s="22">
        <f t="array" ref="E4271">IF($C4271="","",IFERROR(INDEX(DATA_MASTER!$I$2:$I$5000,MATCH($C4271,DATA_MASTER!$D$2:$D$5000,0)),""))</f>
        <v/>
      </c>
      <c r="F4271" s="22">
        <f t="array" ref="F4271">IF($C4271="","",IFERROR(INDEX(DATA_MASTER!$L$2:$L$5000,MATCH($C4271,DATA_MASTER!$D$2:$D$5000,0)),""))</f>
        <v/>
      </c>
      <c r="G4271" s="24" t="n"/>
      <c r="H4271" s="24" t="n"/>
      <c r="I4271" s="30" t="n"/>
      <c r="J4271" s="23">
        <f>IF(OR($H4271="",$I4271=""),"",$H4271*$I4271)</f>
        <v/>
      </c>
      <c r="K4271" s="24" t="n"/>
      <c r="L4271" s="24" t="n"/>
      <c r="M4271" s="29" t="n"/>
      <c r="N4271" s="28" t="n"/>
      <c r="O4271" s="24" t="n"/>
      <c r="P4271" s="24" t="n"/>
      <c r="Q4271" s="24" t="n"/>
      <c r="R4271" s="24" t="n"/>
      <c r="S4271" s="22">
        <f>IF(AND($A4271="",$C4271=""),"",IF($A4271="","Thiếu mã đơn; ","")&amp;IF(COUNTIF($A$2:$A4271,$A4271)&gt;1,"Trùng mã đơn; ","")&amp;IF(ISNA(MATCH($C4271,DATA_MASTER!$D$2:$D$5000,0)),"SĐT chưa đăng ký hội viên; ","")&amp;IF(AND($L4271="Đã chuyển khoản",$M4271=""),"Thiếu ngày nhận CK; ",""))</f>
        <v/>
      </c>
      <c r="T4271" s="24" t="n"/>
    </row>
    <row r="4272" ht="14.25" customHeight="1" s="40">
      <c r="A4272" s="24" t="n"/>
      <c r="B4272" s="29" t="n"/>
      <c r="C4272" s="28" t="n"/>
      <c r="D4272" s="22">
        <f t="array" ref="D4272">IF($C4272="","",IFERROR(INDEX(DATA_MASTER!$C$2:$C$5000,MATCH($C4272,DATA_MASTER!$D$2:$D$5000,0)),""))</f>
        <v/>
      </c>
      <c r="E4272" s="22">
        <f t="array" ref="E4272">IF($C4272="","",IFERROR(INDEX(DATA_MASTER!$I$2:$I$5000,MATCH($C4272,DATA_MASTER!$D$2:$D$5000,0)),""))</f>
        <v/>
      </c>
      <c r="F4272" s="22">
        <f t="array" ref="F4272">IF($C4272="","",IFERROR(INDEX(DATA_MASTER!$L$2:$L$5000,MATCH($C4272,DATA_MASTER!$D$2:$D$5000,0)),""))</f>
        <v/>
      </c>
      <c r="G4272" s="24" t="n"/>
      <c r="H4272" s="24" t="n"/>
      <c r="I4272" s="30" t="n"/>
      <c r="J4272" s="23">
        <f>IF(OR($H4272="",$I4272=""),"",$H4272*$I4272)</f>
        <v/>
      </c>
      <c r="K4272" s="24" t="n"/>
      <c r="L4272" s="24" t="n"/>
      <c r="M4272" s="29" t="n"/>
      <c r="N4272" s="28" t="n"/>
      <c r="O4272" s="24" t="n"/>
      <c r="P4272" s="24" t="n"/>
      <c r="Q4272" s="24" t="n"/>
      <c r="R4272" s="24" t="n"/>
      <c r="S4272" s="22">
        <f>IF(AND($A4272="",$C4272=""),"",IF($A4272="","Thiếu mã đơn; ","")&amp;IF(COUNTIF($A$2:$A4272,$A4272)&gt;1,"Trùng mã đơn; ","")&amp;IF(ISNA(MATCH($C4272,DATA_MASTER!$D$2:$D$5000,0)),"SĐT chưa đăng ký hội viên; ","")&amp;IF(AND($L4272="Đã chuyển khoản",$M4272=""),"Thiếu ngày nhận CK; ",""))</f>
        <v/>
      </c>
      <c r="T4272" s="24" t="n"/>
    </row>
    <row r="4273" ht="14.25" customHeight="1" s="40">
      <c r="A4273" s="24" t="n"/>
      <c r="B4273" s="29" t="n"/>
      <c r="C4273" s="28" t="n"/>
      <c r="D4273" s="22">
        <f t="array" ref="D4273">IF($C4273="","",IFERROR(INDEX(DATA_MASTER!$C$2:$C$5000,MATCH($C4273,DATA_MASTER!$D$2:$D$5000,0)),""))</f>
        <v/>
      </c>
      <c r="E4273" s="22">
        <f t="array" ref="E4273">IF($C4273="","",IFERROR(INDEX(DATA_MASTER!$I$2:$I$5000,MATCH($C4273,DATA_MASTER!$D$2:$D$5000,0)),""))</f>
        <v/>
      </c>
      <c r="F4273" s="22">
        <f t="array" ref="F4273">IF($C4273="","",IFERROR(INDEX(DATA_MASTER!$L$2:$L$5000,MATCH($C4273,DATA_MASTER!$D$2:$D$5000,0)),""))</f>
        <v/>
      </c>
      <c r="G4273" s="24" t="n"/>
      <c r="H4273" s="24" t="n"/>
      <c r="I4273" s="30" t="n"/>
      <c r="J4273" s="23">
        <f>IF(OR($H4273="",$I4273=""),"",$H4273*$I4273)</f>
        <v/>
      </c>
      <c r="K4273" s="24" t="n"/>
      <c r="L4273" s="24" t="n"/>
      <c r="M4273" s="29" t="n"/>
      <c r="N4273" s="28" t="n"/>
      <c r="O4273" s="24" t="n"/>
      <c r="P4273" s="24" t="n"/>
      <c r="Q4273" s="24" t="n"/>
      <c r="R4273" s="24" t="n"/>
      <c r="S4273" s="22">
        <f>IF(AND($A4273="",$C4273=""),"",IF($A4273="","Thiếu mã đơn; ","")&amp;IF(COUNTIF($A$2:$A4273,$A4273)&gt;1,"Trùng mã đơn; ","")&amp;IF(ISNA(MATCH($C4273,DATA_MASTER!$D$2:$D$5000,0)),"SĐT chưa đăng ký hội viên; ","")&amp;IF(AND($L4273="Đã chuyển khoản",$M4273=""),"Thiếu ngày nhận CK; ",""))</f>
        <v/>
      </c>
      <c r="T4273" s="24" t="n"/>
    </row>
    <row r="4274" ht="14.25" customHeight="1" s="40">
      <c r="A4274" s="24" t="n"/>
      <c r="B4274" s="29" t="n"/>
      <c r="C4274" s="28" t="n"/>
      <c r="D4274" s="22">
        <f t="array" ref="D4274">IF($C4274="","",IFERROR(INDEX(DATA_MASTER!$C$2:$C$5000,MATCH($C4274,DATA_MASTER!$D$2:$D$5000,0)),""))</f>
        <v/>
      </c>
      <c r="E4274" s="22">
        <f t="array" ref="E4274">IF($C4274="","",IFERROR(INDEX(DATA_MASTER!$I$2:$I$5000,MATCH($C4274,DATA_MASTER!$D$2:$D$5000,0)),""))</f>
        <v/>
      </c>
      <c r="F4274" s="22">
        <f t="array" ref="F4274">IF($C4274="","",IFERROR(INDEX(DATA_MASTER!$L$2:$L$5000,MATCH($C4274,DATA_MASTER!$D$2:$D$5000,0)),""))</f>
        <v/>
      </c>
      <c r="G4274" s="24" t="n"/>
      <c r="H4274" s="24" t="n"/>
      <c r="I4274" s="30" t="n"/>
      <c r="J4274" s="23">
        <f>IF(OR($H4274="",$I4274=""),"",$H4274*$I4274)</f>
        <v/>
      </c>
      <c r="K4274" s="24" t="n"/>
      <c r="L4274" s="24" t="n"/>
      <c r="M4274" s="29" t="n"/>
      <c r="N4274" s="28" t="n"/>
      <c r="O4274" s="24" t="n"/>
      <c r="P4274" s="24" t="n"/>
      <c r="Q4274" s="24" t="n"/>
      <c r="R4274" s="24" t="n"/>
      <c r="S4274" s="22">
        <f>IF(AND($A4274="",$C4274=""),"",IF($A4274="","Thiếu mã đơn; ","")&amp;IF(COUNTIF($A$2:$A4274,$A4274)&gt;1,"Trùng mã đơn; ","")&amp;IF(ISNA(MATCH($C4274,DATA_MASTER!$D$2:$D$5000,0)),"SĐT chưa đăng ký hội viên; ","")&amp;IF(AND($L4274="Đã chuyển khoản",$M4274=""),"Thiếu ngày nhận CK; ",""))</f>
        <v/>
      </c>
      <c r="T4274" s="24" t="n"/>
    </row>
    <row r="4275" ht="14.25" customHeight="1" s="40">
      <c r="A4275" s="24" t="n"/>
      <c r="B4275" s="29" t="n"/>
      <c r="C4275" s="28" t="n"/>
      <c r="D4275" s="22">
        <f t="array" ref="D4275">IF($C4275="","",IFERROR(INDEX(DATA_MASTER!$C$2:$C$5000,MATCH($C4275,DATA_MASTER!$D$2:$D$5000,0)),""))</f>
        <v/>
      </c>
      <c r="E4275" s="22">
        <f t="array" ref="E4275">IF($C4275="","",IFERROR(INDEX(DATA_MASTER!$I$2:$I$5000,MATCH($C4275,DATA_MASTER!$D$2:$D$5000,0)),""))</f>
        <v/>
      </c>
      <c r="F4275" s="22">
        <f t="array" ref="F4275">IF($C4275="","",IFERROR(INDEX(DATA_MASTER!$L$2:$L$5000,MATCH($C4275,DATA_MASTER!$D$2:$D$5000,0)),""))</f>
        <v/>
      </c>
      <c r="G4275" s="24" t="n"/>
      <c r="H4275" s="24" t="n"/>
      <c r="I4275" s="30" t="n"/>
      <c r="J4275" s="23">
        <f>IF(OR($H4275="",$I4275=""),"",$H4275*$I4275)</f>
        <v/>
      </c>
      <c r="K4275" s="24" t="n"/>
      <c r="L4275" s="24" t="n"/>
      <c r="M4275" s="29" t="n"/>
      <c r="N4275" s="28" t="n"/>
      <c r="O4275" s="24" t="n"/>
      <c r="P4275" s="24" t="n"/>
      <c r="Q4275" s="24" t="n"/>
      <c r="R4275" s="24" t="n"/>
      <c r="S4275" s="22">
        <f>IF(AND($A4275="",$C4275=""),"",IF($A4275="","Thiếu mã đơn; ","")&amp;IF(COUNTIF($A$2:$A4275,$A4275)&gt;1,"Trùng mã đơn; ","")&amp;IF(ISNA(MATCH($C4275,DATA_MASTER!$D$2:$D$5000,0)),"SĐT chưa đăng ký hội viên; ","")&amp;IF(AND($L4275="Đã chuyển khoản",$M4275=""),"Thiếu ngày nhận CK; ",""))</f>
        <v/>
      </c>
      <c r="T4275" s="24" t="n"/>
    </row>
    <row r="4276" ht="14.25" customHeight="1" s="40">
      <c r="A4276" s="24" t="n"/>
      <c r="B4276" s="29" t="n"/>
      <c r="C4276" s="28" t="n"/>
      <c r="D4276" s="22">
        <f t="array" ref="D4276">IF($C4276="","",IFERROR(INDEX(DATA_MASTER!$C$2:$C$5000,MATCH($C4276,DATA_MASTER!$D$2:$D$5000,0)),""))</f>
        <v/>
      </c>
      <c r="E4276" s="22">
        <f t="array" ref="E4276">IF($C4276="","",IFERROR(INDEX(DATA_MASTER!$I$2:$I$5000,MATCH($C4276,DATA_MASTER!$D$2:$D$5000,0)),""))</f>
        <v/>
      </c>
      <c r="F4276" s="22">
        <f t="array" ref="F4276">IF($C4276="","",IFERROR(INDEX(DATA_MASTER!$L$2:$L$5000,MATCH($C4276,DATA_MASTER!$D$2:$D$5000,0)),""))</f>
        <v/>
      </c>
      <c r="G4276" s="24" t="n"/>
      <c r="H4276" s="24" t="n"/>
      <c r="I4276" s="30" t="n"/>
      <c r="J4276" s="23">
        <f>IF(OR($H4276="",$I4276=""),"",$H4276*$I4276)</f>
        <v/>
      </c>
      <c r="K4276" s="24" t="n"/>
      <c r="L4276" s="24" t="n"/>
      <c r="M4276" s="29" t="n"/>
      <c r="N4276" s="28" t="n"/>
      <c r="O4276" s="24" t="n"/>
      <c r="P4276" s="24" t="n"/>
      <c r="Q4276" s="24" t="n"/>
      <c r="R4276" s="24" t="n"/>
      <c r="S4276" s="22">
        <f>IF(AND($A4276="",$C4276=""),"",IF($A4276="","Thiếu mã đơn; ","")&amp;IF(COUNTIF($A$2:$A4276,$A4276)&gt;1,"Trùng mã đơn; ","")&amp;IF(ISNA(MATCH($C4276,DATA_MASTER!$D$2:$D$5000,0)),"SĐT chưa đăng ký hội viên; ","")&amp;IF(AND($L4276="Đã chuyển khoản",$M4276=""),"Thiếu ngày nhận CK; ",""))</f>
        <v/>
      </c>
      <c r="T4276" s="24" t="n"/>
    </row>
    <row r="4277" ht="14.25" customHeight="1" s="40">
      <c r="A4277" s="24" t="n"/>
      <c r="B4277" s="29" t="n"/>
      <c r="C4277" s="28" t="n"/>
      <c r="D4277" s="22">
        <f t="array" ref="D4277">IF($C4277="","",IFERROR(INDEX(DATA_MASTER!$C$2:$C$5000,MATCH($C4277,DATA_MASTER!$D$2:$D$5000,0)),""))</f>
        <v/>
      </c>
      <c r="E4277" s="22">
        <f t="array" ref="E4277">IF($C4277="","",IFERROR(INDEX(DATA_MASTER!$I$2:$I$5000,MATCH($C4277,DATA_MASTER!$D$2:$D$5000,0)),""))</f>
        <v/>
      </c>
      <c r="F4277" s="22">
        <f t="array" ref="F4277">IF($C4277="","",IFERROR(INDEX(DATA_MASTER!$L$2:$L$5000,MATCH($C4277,DATA_MASTER!$D$2:$D$5000,0)),""))</f>
        <v/>
      </c>
      <c r="G4277" s="24" t="n"/>
      <c r="H4277" s="24" t="n"/>
      <c r="I4277" s="30" t="n"/>
      <c r="J4277" s="23">
        <f>IF(OR($H4277="",$I4277=""),"",$H4277*$I4277)</f>
        <v/>
      </c>
      <c r="K4277" s="24" t="n"/>
      <c r="L4277" s="24" t="n"/>
      <c r="M4277" s="29" t="n"/>
      <c r="N4277" s="28" t="n"/>
      <c r="O4277" s="24" t="n"/>
      <c r="P4277" s="24" t="n"/>
      <c r="Q4277" s="24" t="n"/>
      <c r="R4277" s="24" t="n"/>
      <c r="S4277" s="22">
        <f>IF(AND($A4277="",$C4277=""),"",IF($A4277="","Thiếu mã đơn; ","")&amp;IF(COUNTIF($A$2:$A4277,$A4277)&gt;1,"Trùng mã đơn; ","")&amp;IF(ISNA(MATCH($C4277,DATA_MASTER!$D$2:$D$5000,0)),"SĐT chưa đăng ký hội viên; ","")&amp;IF(AND($L4277="Đã chuyển khoản",$M4277=""),"Thiếu ngày nhận CK; ",""))</f>
        <v/>
      </c>
      <c r="T4277" s="24" t="n"/>
    </row>
    <row r="4278" ht="14.25" customHeight="1" s="40">
      <c r="A4278" s="24" t="n"/>
      <c r="B4278" s="29" t="n"/>
      <c r="C4278" s="28" t="n"/>
      <c r="D4278" s="22">
        <f t="array" ref="D4278">IF($C4278="","",IFERROR(INDEX(DATA_MASTER!$C$2:$C$5000,MATCH($C4278,DATA_MASTER!$D$2:$D$5000,0)),""))</f>
        <v/>
      </c>
      <c r="E4278" s="22">
        <f t="array" ref="E4278">IF($C4278="","",IFERROR(INDEX(DATA_MASTER!$I$2:$I$5000,MATCH($C4278,DATA_MASTER!$D$2:$D$5000,0)),""))</f>
        <v/>
      </c>
      <c r="F4278" s="22">
        <f t="array" ref="F4278">IF($C4278="","",IFERROR(INDEX(DATA_MASTER!$L$2:$L$5000,MATCH($C4278,DATA_MASTER!$D$2:$D$5000,0)),""))</f>
        <v/>
      </c>
      <c r="G4278" s="24" t="n"/>
      <c r="H4278" s="24" t="n"/>
      <c r="I4278" s="30" t="n"/>
      <c r="J4278" s="23">
        <f>IF(OR($H4278="",$I4278=""),"",$H4278*$I4278)</f>
        <v/>
      </c>
      <c r="K4278" s="24" t="n"/>
      <c r="L4278" s="24" t="n"/>
      <c r="M4278" s="29" t="n"/>
      <c r="N4278" s="28" t="n"/>
      <c r="O4278" s="24" t="n"/>
      <c r="P4278" s="24" t="n"/>
      <c r="Q4278" s="24" t="n"/>
      <c r="R4278" s="24" t="n"/>
      <c r="S4278" s="22">
        <f>IF(AND($A4278="",$C4278=""),"",IF($A4278="","Thiếu mã đơn; ","")&amp;IF(COUNTIF($A$2:$A4278,$A4278)&gt;1,"Trùng mã đơn; ","")&amp;IF(ISNA(MATCH($C4278,DATA_MASTER!$D$2:$D$5000,0)),"SĐT chưa đăng ký hội viên; ","")&amp;IF(AND($L4278="Đã chuyển khoản",$M4278=""),"Thiếu ngày nhận CK; ",""))</f>
        <v/>
      </c>
      <c r="T4278" s="24" t="n"/>
    </row>
    <row r="4279" ht="14.25" customHeight="1" s="40">
      <c r="A4279" s="24" t="n"/>
      <c r="B4279" s="29" t="n"/>
      <c r="C4279" s="28" t="n"/>
      <c r="D4279" s="22">
        <f t="array" ref="D4279">IF($C4279="","",IFERROR(INDEX(DATA_MASTER!$C$2:$C$5000,MATCH($C4279,DATA_MASTER!$D$2:$D$5000,0)),""))</f>
        <v/>
      </c>
      <c r="E4279" s="22">
        <f t="array" ref="E4279">IF($C4279="","",IFERROR(INDEX(DATA_MASTER!$I$2:$I$5000,MATCH($C4279,DATA_MASTER!$D$2:$D$5000,0)),""))</f>
        <v/>
      </c>
      <c r="F4279" s="22">
        <f t="array" ref="F4279">IF($C4279="","",IFERROR(INDEX(DATA_MASTER!$L$2:$L$5000,MATCH($C4279,DATA_MASTER!$D$2:$D$5000,0)),""))</f>
        <v/>
      </c>
      <c r="G4279" s="24" t="n"/>
      <c r="H4279" s="24" t="n"/>
      <c r="I4279" s="30" t="n"/>
      <c r="J4279" s="23">
        <f>IF(OR($H4279="",$I4279=""),"",$H4279*$I4279)</f>
        <v/>
      </c>
      <c r="K4279" s="24" t="n"/>
      <c r="L4279" s="24" t="n"/>
      <c r="M4279" s="29" t="n"/>
      <c r="N4279" s="28" t="n"/>
      <c r="O4279" s="24" t="n"/>
      <c r="P4279" s="24" t="n"/>
      <c r="Q4279" s="24" t="n"/>
      <c r="R4279" s="24" t="n"/>
      <c r="S4279" s="22">
        <f>IF(AND($A4279="",$C4279=""),"",IF($A4279="","Thiếu mã đơn; ","")&amp;IF(COUNTIF($A$2:$A4279,$A4279)&gt;1,"Trùng mã đơn; ","")&amp;IF(ISNA(MATCH($C4279,DATA_MASTER!$D$2:$D$5000,0)),"SĐT chưa đăng ký hội viên; ","")&amp;IF(AND($L4279="Đã chuyển khoản",$M4279=""),"Thiếu ngày nhận CK; ",""))</f>
        <v/>
      </c>
      <c r="T4279" s="24" t="n"/>
    </row>
    <row r="4280" ht="14.25" customHeight="1" s="40">
      <c r="A4280" s="24" t="n"/>
      <c r="B4280" s="29" t="n"/>
      <c r="C4280" s="28" t="n"/>
      <c r="D4280" s="22">
        <f t="array" ref="D4280">IF($C4280="","",IFERROR(INDEX(DATA_MASTER!$C$2:$C$5000,MATCH($C4280,DATA_MASTER!$D$2:$D$5000,0)),""))</f>
        <v/>
      </c>
      <c r="E4280" s="22">
        <f t="array" ref="E4280">IF($C4280="","",IFERROR(INDEX(DATA_MASTER!$I$2:$I$5000,MATCH($C4280,DATA_MASTER!$D$2:$D$5000,0)),""))</f>
        <v/>
      </c>
      <c r="F4280" s="22">
        <f t="array" ref="F4280">IF($C4280="","",IFERROR(INDEX(DATA_MASTER!$L$2:$L$5000,MATCH($C4280,DATA_MASTER!$D$2:$D$5000,0)),""))</f>
        <v/>
      </c>
      <c r="G4280" s="24" t="n"/>
      <c r="H4280" s="24" t="n"/>
      <c r="I4280" s="30" t="n"/>
      <c r="J4280" s="23">
        <f>IF(OR($H4280="",$I4280=""),"",$H4280*$I4280)</f>
        <v/>
      </c>
      <c r="K4280" s="24" t="n"/>
      <c r="L4280" s="24" t="n"/>
      <c r="M4280" s="29" t="n"/>
      <c r="N4280" s="28" t="n"/>
      <c r="O4280" s="24" t="n"/>
      <c r="P4280" s="24" t="n"/>
      <c r="Q4280" s="24" t="n"/>
      <c r="R4280" s="24" t="n"/>
      <c r="S4280" s="22">
        <f>IF(AND($A4280="",$C4280=""),"",IF($A4280="","Thiếu mã đơn; ","")&amp;IF(COUNTIF($A$2:$A4280,$A4280)&gt;1,"Trùng mã đơn; ","")&amp;IF(ISNA(MATCH($C4280,DATA_MASTER!$D$2:$D$5000,0)),"SĐT chưa đăng ký hội viên; ","")&amp;IF(AND($L4280="Đã chuyển khoản",$M4280=""),"Thiếu ngày nhận CK; ",""))</f>
        <v/>
      </c>
      <c r="T4280" s="24" t="n"/>
    </row>
    <row r="4281" ht="14.25" customHeight="1" s="40">
      <c r="A4281" s="24" t="n"/>
      <c r="B4281" s="29" t="n"/>
      <c r="C4281" s="28" t="n"/>
      <c r="D4281" s="22">
        <f t="array" ref="D4281">IF($C4281="","",IFERROR(INDEX(DATA_MASTER!$C$2:$C$5000,MATCH($C4281,DATA_MASTER!$D$2:$D$5000,0)),""))</f>
        <v/>
      </c>
      <c r="E4281" s="22">
        <f t="array" ref="E4281">IF($C4281="","",IFERROR(INDEX(DATA_MASTER!$I$2:$I$5000,MATCH($C4281,DATA_MASTER!$D$2:$D$5000,0)),""))</f>
        <v/>
      </c>
      <c r="F4281" s="22">
        <f t="array" ref="F4281">IF($C4281="","",IFERROR(INDEX(DATA_MASTER!$L$2:$L$5000,MATCH($C4281,DATA_MASTER!$D$2:$D$5000,0)),""))</f>
        <v/>
      </c>
      <c r="G4281" s="24" t="n"/>
      <c r="H4281" s="24" t="n"/>
      <c r="I4281" s="30" t="n"/>
      <c r="J4281" s="23">
        <f>IF(OR($H4281="",$I4281=""),"",$H4281*$I4281)</f>
        <v/>
      </c>
      <c r="K4281" s="24" t="n"/>
      <c r="L4281" s="24" t="n"/>
      <c r="M4281" s="29" t="n"/>
      <c r="N4281" s="28" t="n"/>
      <c r="O4281" s="24" t="n"/>
      <c r="P4281" s="24" t="n"/>
      <c r="Q4281" s="24" t="n"/>
      <c r="R4281" s="24" t="n"/>
      <c r="S4281" s="22">
        <f>IF(AND($A4281="",$C4281=""),"",IF($A4281="","Thiếu mã đơn; ","")&amp;IF(COUNTIF($A$2:$A4281,$A4281)&gt;1,"Trùng mã đơn; ","")&amp;IF(ISNA(MATCH($C4281,DATA_MASTER!$D$2:$D$5000,0)),"SĐT chưa đăng ký hội viên; ","")&amp;IF(AND($L4281="Đã chuyển khoản",$M4281=""),"Thiếu ngày nhận CK; ",""))</f>
        <v/>
      </c>
      <c r="T4281" s="24" t="n"/>
    </row>
    <row r="4282" ht="14.25" customHeight="1" s="40">
      <c r="A4282" s="24" t="n"/>
      <c r="B4282" s="29" t="n"/>
      <c r="C4282" s="28" t="n"/>
      <c r="D4282" s="22">
        <f t="array" ref="D4282">IF($C4282="","",IFERROR(INDEX(DATA_MASTER!$C$2:$C$5000,MATCH($C4282,DATA_MASTER!$D$2:$D$5000,0)),""))</f>
        <v/>
      </c>
      <c r="E4282" s="22">
        <f t="array" ref="E4282">IF($C4282="","",IFERROR(INDEX(DATA_MASTER!$I$2:$I$5000,MATCH($C4282,DATA_MASTER!$D$2:$D$5000,0)),""))</f>
        <v/>
      </c>
      <c r="F4282" s="22">
        <f t="array" ref="F4282">IF($C4282="","",IFERROR(INDEX(DATA_MASTER!$L$2:$L$5000,MATCH($C4282,DATA_MASTER!$D$2:$D$5000,0)),""))</f>
        <v/>
      </c>
      <c r="G4282" s="24" t="n"/>
      <c r="H4282" s="24" t="n"/>
      <c r="I4282" s="30" t="n"/>
      <c r="J4282" s="23">
        <f>IF(OR($H4282="",$I4282=""),"",$H4282*$I4282)</f>
        <v/>
      </c>
      <c r="K4282" s="24" t="n"/>
      <c r="L4282" s="24" t="n"/>
      <c r="M4282" s="29" t="n"/>
      <c r="N4282" s="28" t="n"/>
      <c r="O4282" s="24" t="n"/>
      <c r="P4282" s="24" t="n"/>
      <c r="Q4282" s="24" t="n"/>
      <c r="R4282" s="24" t="n"/>
      <c r="S4282" s="22">
        <f>IF(AND($A4282="",$C4282=""),"",IF($A4282="","Thiếu mã đơn; ","")&amp;IF(COUNTIF($A$2:$A4282,$A4282)&gt;1,"Trùng mã đơn; ","")&amp;IF(ISNA(MATCH($C4282,DATA_MASTER!$D$2:$D$5000,0)),"SĐT chưa đăng ký hội viên; ","")&amp;IF(AND($L4282="Đã chuyển khoản",$M4282=""),"Thiếu ngày nhận CK; ",""))</f>
        <v/>
      </c>
      <c r="T4282" s="24" t="n"/>
    </row>
    <row r="4283" ht="14.25" customHeight="1" s="40">
      <c r="A4283" s="24" t="n"/>
      <c r="B4283" s="29" t="n"/>
      <c r="C4283" s="28" t="n"/>
      <c r="D4283" s="22">
        <f t="array" ref="D4283">IF($C4283="","",IFERROR(INDEX(DATA_MASTER!$C$2:$C$5000,MATCH($C4283,DATA_MASTER!$D$2:$D$5000,0)),""))</f>
        <v/>
      </c>
      <c r="E4283" s="22">
        <f t="array" ref="E4283">IF($C4283="","",IFERROR(INDEX(DATA_MASTER!$I$2:$I$5000,MATCH($C4283,DATA_MASTER!$D$2:$D$5000,0)),""))</f>
        <v/>
      </c>
      <c r="F4283" s="22">
        <f t="array" ref="F4283">IF($C4283="","",IFERROR(INDEX(DATA_MASTER!$L$2:$L$5000,MATCH($C4283,DATA_MASTER!$D$2:$D$5000,0)),""))</f>
        <v/>
      </c>
      <c r="G4283" s="24" t="n"/>
      <c r="H4283" s="24" t="n"/>
      <c r="I4283" s="30" t="n"/>
      <c r="J4283" s="23">
        <f>IF(OR($H4283="",$I4283=""),"",$H4283*$I4283)</f>
        <v/>
      </c>
      <c r="K4283" s="24" t="n"/>
      <c r="L4283" s="24" t="n"/>
      <c r="M4283" s="29" t="n"/>
      <c r="N4283" s="28" t="n"/>
      <c r="O4283" s="24" t="n"/>
      <c r="P4283" s="24" t="n"/>
      <c r="Q4283" s="24" t="n"/>
      <c r="R4283" s="24" t="n"/>
      <c r="S4283" s="22">
        <f>IF(AND($A4283="",$C4283=""),"",IF($A4283="","Thiếu mã đơn; ","")&amp;IF(COUNTIF($A$2:$A4283,$A4283)&gt;1,"Trùng mã đơn; ","")&amp;IF(ISNA(MATCH($C4283,DATA_MASTER!$D$2:$D$5000,0)),"SĐT chưa đăng ký hội viên; ","")&amp;IF(AND($L4283="Đã chuyển khoản",$M4283=""),"Thiếu ngày nhận CK; ",""))</f>
        <v/>
      </c>
      <c r="T4283" s="24" t="n"/>
    </row>
    <row r="4284" ht="14.25" customHeight="1" s="40">
      <c r="A4284" s="24" t="n"/>
      <c r="B4284" s="29" t="n"/>
      <c r="C4284" s="28" t="n"/>
      <c r="D4284" s="22">
        <f t="array" ref="D4284">IF($C4284="","",IFERROR(INDEX(DATA_MASTER!$C$2:$C$5000,MATCH($C4284,DATA_MASTER!$D$2:$D$5000,0)),""))</f>
        <v/>
      </c>
      <c r="E4284" s="22">
        <f t="array" ref="E4284">IF($C4284="","",IFERROR(INDEX(DATA_MASTER!$I$2:$I$5000,MATCH($C4284,DATA_MASTER!$D$2:$D$5000,0)),""))</f>
        <v/>
      </c>
      <c r="F4284" s="22">
        <f t="array" ref="F4284">IF($C4284="","",IFERROR(INDEX(DATA_MASTER!$L$2:$L$5000,MATCH($C4284,DATA_MASTER!$D$2:$D$5000,0)),""))</f>
        <v/>
      </c>
      <c r="G4284" s="24" t="n"/>
      <c r="H4284" s="24" t="n"/>
      <c r="I4284" s="30" t="n"/>
      <c r="J4284" s="23">
        <f>IF(OR($H4284="",$I4284=""),"",$H4284*$I4284)</f>
        <v/>
      </c>
      <c r="K4284" s="24" t="n"/>
      <c r="L4284" s="24" t="n"/>
      <c r="M4284" s="29" t="n"/>
      <c r="N4284" s="28" t="n"/>
      <c r="O4284" s="24" t="n"/>
      <c r="P4284" s="24" t="n"/>
      <c r="Q4284" s="24" t="n"/>
      <c r="R4284" s="24" t="n"/>
      <c r="S4284" s="22">
        <f>IF(AND($A4284="",$C4284=""),"",IF($A4284="","Thiếu mã đơn; ","")&amp;IF(COUNTIF($A$2:$A4284,$A4284)&gt;1,"Trùng mã đơn; ","")&amp;IF(ISNA(MATCH($C4284,DATA_MASTER!$D$2:$D$5000,0)),"SĐT chưa đăng ký hội viên; ","")&amp;IF(AND($L4284="Đã chuyển khoản",$M4284=""),"Thiếu ngày nhận CK; ",""))</f>
        <v/>
      </c>
      <c r="T4284" s="24" t="n"/>
    </row>
    <row r="4285" ht="14.25" customHeight="1" s="40">
      <c r="A4285" s="24" t="n"/>
      <c r="B4285" s="29" t="n"/>
      <c r="C4285" s="28" t="n"/>
      <c r="D4285" s="22">
        <f t="array" ref="D4285">IF($C4285="","",IFERROR(INDEX(DATA_MASTER!$C$2:$C$5000,MATCH($C4285,DATA_MASTER!$D$2:$D$5000,0)),""))</f>
        <v/>
      </c>
      <c r="E4285" s="22">
        <f t="array" ref="E4285">IF($C4285="","",IFERROR(INDEX(DATA_MASTER!$I$2:$I$5000,MATCH($C4285,DATA_MASTER!$D$2:$D$5000,0)),""))</f>
        <v/>
      </c>
      <c r="F4285" s="22">
        <f t="array" ref="F4285">IF($C4285="","",IFERROR(INDEX(DATA_MASTER!$L$2:$L$5000,MATCH($C4285,DATA_MASTER!$D$2:$D$5000,0)),""))</f>
        <v/>
      </c>
      <c r="G4285" s="24" t="n"/>
      <c r="H4285" s="24" t="n"/>
      <c r="I4285" s="30" t="n"/>
      <c r="J4285" s="23">
        <f>IF(OR($H4285="",$I4285=""),"",$H4285*$I4285)</f>
        <v/>
      </c>
      <c r="K4285" s="24" t="n"/>
      <c r="L4285" s="24" t="n"/>
      <c r="M4285" s="29" t="n"/>
      <c r="N4285" s="28" t="n"/>
      <c r="O4285" s="24" t="n"/>
      <c r="P4285" s="24" t="n"/>
      <c r="Q4285" s="24" t="n"/>
      <c r="R4285" s="24" t="n"/>
      <c r="S4285" s="22">
        <f>IF(AND($A4285="",$C4285=""),"",IF($A4285="","Thiếu mã đơn; ","")&amp;IF(COUNTIF($A$2:$A4285,$A4285)&gt;1,"Trùng mã đơn; ","")&amp;IF(ISNA(MATCH($C4285,DATA_MASTER!$D$2:$D$5000,0)),"SĐT chưa đăng ký hội viên; ","")&amp;IF(AND($L4285="Đã chuyển khoản",$M4285=""),"Thiếu ngày nhận CK; ",""))</f>
        <v/>
      </c>
      <c r="T4285" s="24" t="n"/>
    </row>
    <row r="4286" ht="14.25" customHeight="1" s="40">
      <c r="A4286" s="24" t="n"/>
      <c r="B4286" s="29" t="n"/>
      <c r="C4286" s="28" t="n"/>
      <c r="D4286" s="22">
        <f t="array" ref="D4286">IF($C4286="","",IFERROR(INDEX(DATA_MASTER!$C$2:$C$5000,MATCH($C4286,DATA_MASTER!$D$2:$D$5000,0)),""))</f>
        <v/>
      </c>
      <c r="E4286" s="22">
        <f t="array" ref="E4286">IF($C4286="","",IFERROR(INDEX(DATA_MASTER!$I$2:$I$5000,MATCH($C4286,DATA_MASTER!$D$2:$D$5000,0)),""))</f>
        <v/>
      </c>
      <c r="F4286" s="22">
        <f t="array" ref="F4286">IF($C4286="","",IFERROR(INDEX(DATA_MASTER!$L$2:$L$5000,MATCH($C4286,DATA_MASTER!$D$2:$D$5000,0)),""))</f>
        <v/>
      </c>
      <c r="G4286" s="24" t="n"/>
      <c r="H4286" s="24" t="n"/>
      <c r="I4286" s="30" t="n"/>
      <c r="J4286" s="23">
        <f>IF(OR($H4286="",$I4286=""),"",$H4286*$I4286)</f>
        <v/>
      </c>
      <c r="K4286" s="24" t="n"/>
      <c r="L4286" s="24" t="n"/>
      <c r="M4286" s="29" t="n"/>
      <c r="N4286" s="28" t="n"/>
      <c r="O4286" s="24" t="n"/>
      <c r="P4286" s="24" t="n"/>
      <c r="Q4286" s="24" t="n"/>
      <c r="R4286" s="24" t="n"/>
      <c r="S4286" s="22">
        <f>IF(AND($A4286="",$C4286=""),"",IF($A4286="","Thiếu mã đơn; ","")&amp;IF(COUNTIF($A$2:$A4286,$A4286)&gt;1,"Trùng mã đơn; ","")&amp;IF(ISNA(MATCH($C4286,DATA_MASTER!$D$2:$D$5000,0)),"SĐT chưa đăng ký hội viên; ","")&amp;IF(AND($L4286="Đã chuyển khoản",$M4286=""),"Thiếu ngày nhận CK; ",""))</f>
        <v/>
      </c>
      <c r="T4286" s="24" t="n"/>
    </row>
    <row r="4287" ht="14.25" customHeight="1" s="40">
      <c r="A4287" s="24" t="n"/>
      <c r="B4287" s="29" t="n"/>
      <c r="C4287" s="28" t="n"/>
      <c r="D4287" s="22">
        <f t="array" ref="D4287">IF($C4287="","",IFERROR(INDEX(DATA_MASTER!$C$2:$C$5000,MATCH($C4287,DATA_MASTER!$D$2:$D$5000,0)),""))</f>
        <v/>
      </c>
      <c r="E4287" s="22">
        <f t="array" ref="E4287">IF($C4287="","",IFERROR(INDEX(DATA_MASTER!$I$2:$I$5000,MATCH($C4287,DATA_MASTER!$D$2:$D$5000,0)),""))</f>
        <v/>
      </c>
      <c r="F4287" s="22">
        <f t="array" ref="F4287">IF($C4287="","",IFERROR(INDEX(DATA_MASTER!$L$2:$L$5000,MATCH($C4287,DATA_MASTER!$D$2:$D$5000,0)),""))</f>
        <v/>
      </c>
      <c r="G4287" s="24" t="n"/>
      <c r="H4287" s="24" t="n"/>
      <c r="I4287" s="30" t="n"/>
      <c r="J4287" s="23">
        <f>IF(OR($H4287="",$I4287=""),"",$H4287*$I4287)</f>
        <v/>
      </c>
      <c r="K4287" s="24" t="n"/>
      <c r="L4287" s="24" t="n"/>
      <c r="M4287" s="29" t="n"/>
      <c r="N4287" s="28" t="n"/>
      <c r="O4287" s="24" t="n"/>
      <c r="P4287" s="24" t="n"/>
      <c r="Q4287" s="24" t="n"/>
      <c r="R4287" s="24" t="n"/>
      <c r="S4287" s="22">
        <f>IF(AND($A4287="",$C4287=""),"",IF($A4287="","Thiếu mã đơn; ","")&amp;IF(COUNTIF($A$2:$A4287,$A4287)&gt;1,"Trùng mã đơn; ","")&amp;IF(ISNA(MATCH($C4287,DATA_MASTER!$D$2:$D$5000,0)),"SĐT chưa đăng ký hội viên; ","")&amp;IF(AND($L4287="Đã chuyển khoản",$M4287=""),"Thiếu ngày nhận CK; ",""))</f>
        <v/>
      </c>
      <c r="T4287" s="24" t="n"/>
    </row>
    <row r="4288" ht="14.25" customHeight="1" s="40">
      <c r="A4288" s="24" t="n"/>
      <c r="B4288" s="29" t="n"/>
      <c r="C4288" s="28" t="n"/>
      <c r="D4288" s="22">
        <f t="array" ref="D4288">IF($C4288="","",IFERROR(INDEX(DATA_MASTER!$C$2:$C$5000,MATCH($C4288,DATA_MASTER!$D$2:$D$5000,0)),""))</f>
        <v/>
      </c>
      <c r="E4288" s="22">
        <f t="array" ref="E4288">IF($C4288="","",IFERROR(INDEX(DATA_MASTER!$I$2:$I$5000,MATCH($C4288,DATA_MASTER!$D$2:$D$5000,0)),""))</f>
        <v/>
      </c>
      <c r="F4288" s="22">
        <f t="array" ref="F4288">IF($C4288="","",IFERROR(INDEX(DATA_MASTER!$L$2:$L$5000,MATCH($C4288,DATA_MASTER!$D$2:$D$5000,0)),""))</f>
        <v/>
      </c>
      <c r="G4288" s="24" t="n"/>
      <c r="H4288" s="24" t="n"/>
      <c r="I4288" s="30" t="n"/>
      <c r="J4288" s="23">
        <f>IF(OR($H4288="",$I4288=""),"",$H4288*$I4288)</f>
        <v/>
      </c>
      <c r="K4288" s="24" t="n"/>
      <c r="L4288" s="24" t="n"/>
      <c r="M4288" s="29" t="n"/>
      <c r="N4288" s="28" t="n"/>
      <c r="O4288" s="24" t="n"/>
      <c r="P4288" s="24" t="n"/>
      <c r="Q4288" s="24" t="n"/>
      <c r="R4288" s="24" t="n"/>
      <c r="S4288" s="22">
        <f>IF(AND($A4288="",$C4288=""),"",IF($A4288="","Thiếu mã đơn; ","")&amp;IF(COUNTIF($A$2:$A4288,$A4288)&gt;1,"Trùng mã đơn; ","")&amp;IF(ISNA(MATCH($C4288,DATA_MASTER!$D$2:$D$5000,0)),"SĐT chưa đăng ký hội viên; ","")&amp;IF(AND($L4288="Đã chuyển khoản",$M4288=""),"Thiếu ngày nhận CK; ",""))</f>
        <v/>
      </c>
      <c r="T4288" s="24" t="n"/>
    </row>
    <row r="4289" ht="14.25" customHeight="1" s="40">
      <c r="A4289" s="24" t="n"/>
      <c r="B4289" s="29" t="n"/>
      <c r="C4289" s="28" t="n"/>
      <c r="D4289" s="22">
        <f t="array" ref="D4289">IF($C4289="","",IFERROR(INDEX(DATA_MASTER!$C$2:$C$5000,MATCH($C4289,DATA_MASTER!$D$2:$D$5000,0)),""))</f>
        <v/>
      </c>
      <c r="E4289" s="22">
        <f t="array" ref="E4289">IF($C4289="","",IFERROR(INDEX(DATA_MASTER!$I$2:$I$5000,MATCH($C4289,DATA_MASTER!$D$2:$D$5000,0)),""))</f>
        <v/>
      </c>
      <c r="F4289" s="22">
        <f t="array" ref="F4289">IF($C4289="","",IFERROR(INDEX(DATA_MASTER!$L$2:$L$5000,MATCH($C4289,DATA_MASTER!$D$2:$D$5000,0)),""))</f>
        <v/>
      </c>
      <c r="G4289" s="24" t="n"/>
      <c r="H4289" s="24" t="n"/>
      <c r="I4289" s="30" t="n"/>
      <c r="J4289" s="23">
        <f>IF(OR($H4289="",$I4289=""),"",$H4289*$I4289)</f>
        <v/>
      </c>
      <c r="K4289" s="24" t="n"/>
      <c r="L4289" s="24" t="n"/>
      <c r="M4289" s="29" t="n"/>
      <c r="N4289" s="28" t="n"/>
      <c r="O4289" s="24" t="n"/>
      <c r="P4289" s="24" t="n"/>
      <c r="Q4289" s="24" t="n"/>
      <c r="R4289" s="24" t="n"/>
      <c r="S4289" s="22">
        <f>IF(AND($A4289="",$C4289=""),"",IF($A4289="","Thiếu mã đơn; ","")&amp;IF(COUNTIF($A$2:$A4289,$A4289)&gt;1,"Trùng mã đơn; ","")&amp;IF(ISNA(MATCH($C4289,DATA_MASTER!$D$2:$D$5000,0)),"SĐT chưa đăng ký hội viên; ","")&amp;IF(AND($L4289="Đã chuyển khoản",$M4289=""),"Thiếu ngày nhận CK; ",""))</f>
        <v/>
      </c>
      <c r="T4289" s="24" t="n"/>
    </row>
    <row r="4290" ht="14.25" customHeight="1" s="40">
      <c r="A4290" s="24" t="n"/>
      <c r="B4290" s="29" t="n"/>
      <c r="C4290" s="28" t="n"/>
      <c r="D4290" s="22">
        <f t="array" ref="D4290">IF($C4290="","",IFERROR(INDEX(DATA_MASTER!$C$2:$C$5000,MATCH($C4290,DATA_MASTER!$D$2:$D$5000,0)),""))</f>
        <v/>
      </c>
      <c r="E4290" s="22">
        <f t="array" ref="E4290">IF($C4290="","",IFERROR(INDEX(DATA_MASTER!$I$2:$I$5000,MATCH($C4290,DATA_MASTER!$D$2:$D$5000,0)),""))</f>
        <v/>
      </c>
      <c r="F4290" s="22">
        <f t="array" ref="F4290">IF($C4290="","",IFERROR(INDEX(DATA_MASTER!$L$2:$L$5000,MATCH($C4290,DATA_MASTER!$D$2:$D$5000,0)),""))</f>
        <v/>
      </c>
      <c r="G4290" s="24" t="n"/>
      <c r="H4290" s="24" t="n"/>
      <c r="I4290" s="30" t="n"/>
      <c r="J4290" s="23">
        <f>IF(OR($H4290="",$I4290=""),"",$H4290*$I4290)</f>
        <v/>
      </c>
      <c r="K4290" s="24" t="n"/>
      <c r="L4290" s="24" t="n"/>
      <c r="M4290" s="29" t="n"/>
      <c r="N4290" s="28" t="n"/>
      <c r="O4290" s="24" t="n"/>
      <c r="P4290" s="24" t="n"/>
      <c r="Q4290" s="24" t="n"/>
      <c r="R4290" s="24" t="n"/>
      <c r="S4290" s="22">
        <f>IF(AND($A4290="",$C4290=""),"",IF($A4290="","Thiếu mã đơn; ","")&amp;IF(COUNTIF($A$2:$A4290,$A4290)&gt;1,"Trùng mã đơn; ","")&amp;IF(ISNA(MATCH($C4290,DATA_MASTER!$D$2:$D$5000,0)),"SĐT chưa đăng ký hội viên; ","")&amp;IF(AND($L4290="Đã chuyển khoản",$M4290=""),"Thiếu ngày nhận CK; ",""))</f>
        <v/>
      </c>
      <c r="T4290" s="24" t="n"/>
    </row>
    <row r="4291" ht="14.25" customHeight="1" s="40">
      <c r="A4291" s="24" t="n"/>
      <c r="B4291" s="29" t="n"/>
      <c r="C4291" s="28" t="n"/>
      <c r="D4291" s="22">
        <f t="array" ref="D4291">IF($C4291="","",IFERROR(INDEX(DATA_MASTER!$C$2:$C$5000,MATCH($C4291,DATA_MASTER!$D$2:$D$5000,0)),""))</f>
        <v/>
      </c>
      <c r="E4291" s="22">
        <f t="array" ref="E4291">IF($C4291="","",IFERROR(INDEX(DATA_MASTER!$I$2:$I$5000,MATCH($C4291,DATA_MASTER!$D$2:$D$5000,0)),""))</f>
        <v/>
      </c>
      <c r="F4291" s="22">
        <f t="array" ref="F4291">IF($C4291="","",IFERROR(INDEX(DATA_MASTER!$L$2:$L$5000,MATCH($C4291,DATA_MASTER!$D$2:$D$5000,0)),""))</f>
        <v/>
      </c>
      <c r="G4291" s="24" t="n"/>
      <c r="H4291" s="24" t="n"/>
      <c r="I4291" s="30" t="n"/>
      <c r="J4291" s="23">
        <f>IF(OR($H4291="",$I4291=""),"",$H4291*$I4291)</f>
        <v/>
      </c>
      <c r="K4291" s="24" t="n"/>
      <c r="L4291" s="24" t="n"/>
      <c r="M4291" s="29" t="n"/>
      <c r="N4291" s="28" t="n"/>
      <c r="O4291" s="24" t="n"/>
      <c r="P4291" s="24" t="n"/>
      <c r="Q4291" s="24" t="n"/>
      <c r="R4291" s="24" t="n"/>
      <c r="S4291" s="22">
        <f>IF(AND($A4291="",$C4291=""),"",IF($A4291="","Thiếu mã đơn; ","")&amp;IF(COUNTIF($A$2:$A4291,$A4291)&gt;1,"Trùng mã đơn; ","")&amp;IF(ISNA(MATCH($C4291,DATA_MASTER!$D$2:$D$5000,0)),"SĐT chưa đăng ký hội viên; ","")&amp;IF(AND($L4291="Đã chuyển khoản",$M4291=""),"Thiếu ngày nhận CK; ",""))</f>
        <v/>
      </c>
      <c r="T4291" s="24" t="n"/>
    </row>
    <row r="4292" ht="14.25" customHeight="1" s="40">
      <c r="A4292" s="24" t="n"/>
      <c r="B4292" s="29" t="n"/>
      <c r="C4292" s="28" t="n"/>
      <c r="D4292" s="22">
        <f t="array" ref="D4292">IF($C4292="","",IFERROR(INDEX(DATA_MASTER!$C$2:$C$5000,MATCH($C4292,DATA_MASTER!$D$2:$D$5000,0)),""))</f>
        <v/>
      </c>
      <c r="E4292" s="22">
        <f t="array" ref="E4292">IF($C4292="","",IFERROR(INDEX(DATA_MASTER!$I$2:$I$5000,MATCH($C4292,DATA_MASTER!$D$2:$D$5000,0)),""))</f>
        <v/>
      </c>
      <c r="F4292" s="22">
        <f t="array" ref="F4292">IF($C4292="","",IFERROR(INDEX(DATA_MASTER!$L$2:$L$5000,MATCH($C4292,DATA_MASTER!$D$2:$D$5000,0)),""))</f>
        <v/>
      </c>
      <c r="G4292" s="24" t="n"/>
      <c r="H4292" s="24" t="n"/>
      <c r="I4292" s="30" t="n"/>
      <c r="J4292" s="23">
        <f>IF(OR($H4292="",$I4292=""),"",$H4292*$I4292)</f>
        <v/>
      </c>
      <c r="K4292" s="24" t="n"/>
      <c r="L4292" s="24" t="n"/>
      <c r="M4292" s="29" t="n"/>
      <c r="N4292" s="28" t="n"/>
      <c r="O4292" s="24" t="n"/>
      <c r="P4292" s="24" t="n"/>
      <c r="Q4292" s="24" t="n"/>
      <c r="R4292" s="24" t="n"/>
      <c r="S4292" s="22">
        <f>IF(AND($A4292="",$C4292=""),"",IF($A4292="","Thiếu mã đơn; ","")&amp;IF(COUNTIF($A$2:$A4292,$A4292)&gt;1,"Trùng mã đơn; ","")&amp;IF(ISNA(MATCH($C4292,DATA_MASTER!$D$2:$D$5000,0)),"SĐT chưa đăng ký hội viên; ","")&amp;IF(AND($L4292="Đã chuyển khoản",$M4292=""),"Thiếu ngày nhận CK; ",""))</f>
        <v/>
      </c>
      <c r="T4292" s="24" t="n"/>
    </row>
    <row r="4293" ht="14.25" customHeight="1" s="40">
      <c r="A4293" s="24" t="n"/>
      <c r="B4293" s="29" t="n"/>
      <c r="C4293" s="28" t="n"/>
      <c r="D4293" s="22">
        <f t="array" ref="D4293">IF($C4293="","",IFERROR(INDEX(DATA_MASTER!$C$2:$C$5000,MATCH($C4293,DATA_MASTER!$D$2:$D$5000,0)),""))</f>
        <v/>
      </c>
      <c r="E4293" s="22">
        <f t="array" ref="E4293">IF($C4293="","",IFERROR(INDEX(DATA_MASTER!$I$2:$I$5000,MATCH($C4293,DATA_MASTER!$D$2:$D$5000,0)),""))</f>
        <v/>
      </c>
      <c r="F4293" s="22">
        <f t="array" ref="F4293">IF($C4293="","",IFERROR(INDEX(DATA_MASTER!$L$2:$L$5000,MATCH($C4293,DATA_MASTER!$D$2:$D$5000,0)),""))</f>
        <v/>
      </c>
      <c r="G4293" s="24" t="n"/>
      <c r="H4293" s="24" t="n"/>
      <c r="I4293" s="30" t="n"/>
      <c r="J4293" s="23">
        <f>IF(OR($H4293="",$I4293=""),"",$H4293*$I4293)</f>
        <v/>
      </c>
      <c r="K4293" s="24" t="n"/>
      <c r="L4293" s="24" t="n"/>
      <c r="M4293" s="29" t="n"/>
      <c r="N4293" s="28" t="n"/>
      <c r="O4293" s="24" t="n"/>
      <c r="P4293" s="24" t="n"/>
      <c r="Q4293" s="24" t="n"/>
      <c r="R4293" s="24" t="n"/>
      <c r="S4293" s="22">
        <f>IF(AND($A4293="",$C4293=""),"",IF($A4293="","Thiếu mã đơn; ","")&amp;IF(COUNTIF($A$2:$A4293,$A4293)&gt;1,"Trùng mã đơn; ","")&amp;IF(ISNA(MATCH($C4293,DATA_MASTER!$D$2:$D$5000,0)),"SĐT chưa đăng ký hội viên; ","")&amp;IF(AND($L4293="Đã chuyển khoản",$M4293=""),"Thiếu ngày nhận CK; ",""))</f>
        <v/>
      </c>
      <c r="T4293" s="24" t="n"/>
    </row>
    <row r="4294" ht="14.25" customHeight="1" s="40">
      <c r="A4294" s="24" t="n"/>
      <c r="B4294" s="29" t="n"/>
      <c r="C4294" s="28" t="n"/>
      <c r="D4294" s="22">
        <f t="array" ref="D4294">IF($C4294="","",IFERROR(INDEX(DATA_MASTER!$C$2:$C$5000,MATCH($C4294,DATA_MASTER!$D$2:$D$5000,0)),""))</f>
        <v/>
      </c>
      <c r="E4294" s="22">
        <f t="array" ref="E4294">IF($C4294="","",IFERROR(INDEX(DATA_MASTER!$I$2:$I$5000,MATCH($C4294,DATA_MASTER!$D$2:$D$5000,0)),""))</f>
        <v/>
      </c>
      <c r="F4294" s="22">
        <f t="array" ref="F4294">IF($C4294="","",IFERROR(INDEX(DATA_MASTER!$L$2:$L$5000,MATCH($C4294,DATA_MASTER!$D$2:$D$5000,0)),""))</f>
        <v/>
      </c>
      <c r="G4294" s="24" t="n"/>
      <c r="H4294" s="24" t="n"/>
      <c r="I4294" s="30" t="n"/>
      <c r="J4294" s="23">
        <f>IF(OR($H4294="",$I4294=""),"",$H4294*$I4294)</f>
        <v/>
      </c>
      <c r="K4294" s="24" t="n"/>
      <c r="L4294" s="24" t="n"/>
      <c r="M4294" s="29" t="n"/>
      <c r="N4294" s="28" t="n"/>
      <c r="O4294" s="24" t="n"/>
      <c r="P4294" s="24" t="n"/>
      <c r="Q4294" s="24" t="n"/>
      <c r="R4294" s="24" t="n"/>
      <c r="S4294" s="22">
        <f>IF(AND($A4294="",$C4294=""),"",IF($A4294="","Thiếu mã đơn; ","")&amp;IF(COUNTIF($A$2:$A4294,$A4294)&gt;1,"Trùng mã đơn; ","")&amp;IF(ISNA(MATCH($C4294,DATA_MASTER!$D$2:$D$5000,0)),"SĐT chưa đăng ký hội viên; ","")&amp;IF(AND($L4294="Đã chuyển khoản",$M4294=""),"Thiếu ngày nhận CK; ",""))</f>
        <v/>
      </c>
      <c r="T4294" s="24" t="n"/>
    </row>
    <row r="4295" ht="14.25" customHeight="1" s="40">
      <c r="A4295" s="24" t="n"/>
      <c r="B4295" s="29" t="n"/>
      <c r="C4295" s="28" t="n"/>
      <c r="D4295" s="22">
        <f t="array" ref="D4295">IF($C4295="","",IFERROR(INDEX(DATA_MASTER!$C$2:$C$5000,MATCH($C4295,DATA_MASTER!$D$2:$D$5000,0)),""))</f>
        <v/>
      </c>
      <c r="E4295" s="22">
        <f t="array" ref="E4295">IF($C4295="","",IFERROR(INDEX(DATA_MASTER!$I$2:$I$5000,MATCH($C4295,DATA_MASTER!$D$2:$D$5000,0)),""))</f>
        <v/>
      </c>
      <c r="F4295" s="22">
        <f t="array" ref="F4295">IF($C4295="","",IFERROR(INDEX(DATA_MASTER!$L$2:$L$5000,MATCH($C4295,DATA_MASTER!$D$2:$D$5000,0)),""))</f>
        <v/>
      </c>
      <c r="G4295" s="24" t="n"/>
      <c r="H4295" s="24" t="n"/>
      <c r="I4295" s="30" t="n"/>
      <c r="J4295" s="23">
        <f>IF(OR($H4295="",$I4295=""),"",$H4295*$I4295)</f>
        <v/>
      </c>
      <c r="K4295" s="24" t="n"/>
      <c r="L4295" s="24" t="n"/>
      <c r="M4295" s="29" t="n"/>
      <c r="N4295" s="28" t="n"/>
      <c r="O4295" s="24" t="n"/>
      <c r="P4295" s="24" t="n"/>
      <c r="Q4295" s="24" t="n"/>
      <c r="R4295" s="24" t="n"/>
      <c r="S4295" s="22">
        <f>IF(AND($A4295="",$C4295=""),"",IF($A4295="","Thiếu mã đơn; ","")&amp;IF(COUNTIF($A$2:$A4295,$A4295)&gt;1,"Trùng mã đơn; ","")&amp;IF(ISNA(MATCH($C4295,DATA_MASTER!$D$2:$D$5000,0)),"SĐT chưa đăng ký hội viên; ","")&amp;IF(AND($L4295="Đã chuyển khoản",$M4295=""),"Thiếu ngày nhận CK; ",""))</f>
        <v/>
      </c>
      <c r="T4295" s="24" t="n"/>
    </row>
    <row r="4296" ht="14.25" customHeight="1" s="40">
      <c r="A4296" s="24" t="n"/>
      <c r="B4296" s="29" t="n"/>
      <c r="C4296" s="28" t="n"/>
      <c r="D4296" s="22">
        <f t="array" ref="D4296">IF($C4296="","",IFERROR(INDEX(DATA_MASTER!$C$2:$C$5000,MATCH($C4296,DATA_MASTER!$D$2:$D$5000,0)),""))</f>
        <v/>
      </c>
      <c r="E4296" s="22">
        <f t="array" ref="E4296">IF($C4296="","",IFERROR(INDEX(DATA_MASTER!$I$2:$I$5000,MATCH($C4296,DATA_MASTER!$D$2:$D$5000,0)),""))</f>
        <v/>
      </c>
      <c r="F4296" s="22">
        <f t="array" ref="F4296">IF($C4296="","",IFERROR(INDEX(DATA_MASTER!$L$2:$L$5000,MATCH($C4296,DATA_MASTER!$D$2:$D$5000,0)),""))</f>
        <v/>
      </c>
      <c r="G4296" s="24" t="n"/>
      <c r="H4296" s="24" t="n"/>
      <c r="I4296" s="30" t="n"/>
      <c r="J4296" s="23">
        <f>IF(OR($H4296="",$I4296=""),"",$H4296*$I4296)</f>
        <v/>
      </c>
      <c r="K4296" s="24" t="n"/>
      <c r="L4296" s="24" t="n"/>
      <c r="M4296" s="29" t="n"/>
      <c r="N4296" s="28" t="n"/>
      <c r="O4296" s="24" t="n"/>
      <c r="P4296" s="24" t="n"/>
      <c r="Q4296" s="24" t="n"/>
      <c r="R4296" s="24" t="n"/>
      <c r="S4296" s="22">
        <f>IF(AND($A4296="",$C4296=""),"",IF($A4296="","Thiếu mã đơn; ","")&amp;IF(COUNTIF($A$2:$A4296,$A4296)&gt;1,"Trùng mã đơn; ","")&amp;IF(ISNA(MATCH($C4296,DATA_MASTER!$D$2:$D$5000,0)),"SĐT chưa đăng ký hội viên; ","")&amp;IF(AND($L4296="Đã chuyển khoản",$M4296=""),"Thiếu ngày nhận CK; ",""))</f>
        <v/>
      </c>
      <c r="T4296" s="24" t="n"/>
    </row>
    <row r="4297" ht="14.25" customHeight="1" s="40">
      <c r="A4297" s="24" t="n"/>
      <c r="B4297" s="29" t="n"/>
      <c r="C4297" s="28" t="n"/>
      <c r="D4297" s="22">
        <f t="array" ref="D4297">IF($C4297="","",IFERROR(INDEX(DATA_MASTER!$C$2:$C$5000,MATCH($C4297,DATA_MASTER!$D$2:$D$5000,0)),""))</f>
        <v/>
      </c>
      <c r="E4297" s="22">
        <f t="array" ref="E4297">IF($C4297="","",IFERROR(INDEX(DATA_MASTER!$I$2:$I$5000,MATCH($C4297,DATA_MASTER!$D$2:$D$5000,0)),""))</f>
        <v/>
      </c>
      <c r="F4297" s="22">
        <f t="array" ref="F4297">IF($C4297="","",IFERROR(INDEX(DATA_MASTER!$L$2:$L$5000,MATCH($C4297,DATA_MASTER!$D$2:$D$5000,0)),""))</f>
        <v/>
      </c>
      <c r="G4297" s="24" t="n"/>
      <c r="H4297" s="24" t="n"/>
      <c r="I4297" s="30" t="n"/>
      <c r="J4297" s="23">
        <f>IF(OR($H4297="",$I4297=""),"",$H4297*$I4297)</f>
        <v/>
      </c>
      <c r="K4297" s="24" t="n"/>
      <c r="L4297" s="24" t="n"/>
      <c r="M4297" s="29" t="n"/>
      <c r="N4297" s="28" t="n"/>
      <c r="O4297" s="24" t="n"/>
      <c r="P4297" s="24" t="n"/>
      <c r="Q4297" s="24" t="n"/>
      <c r="R4297" s="24" t="n"/>
      <c r="S4297" s="22">
        <f>IF(AND($A4297="",$C4297=""),"",IF($A4297="","Thiếu mã đơn; ","")&amp;IF(COUNTIF($A$2:$A4297,$A4297)&gt;1,"Trùng mã đơn; ","")&amp;IF(ISNA(MATCH($C4297,DATA_MASTER!$D$2:$D$5000,0)),"SĐT chưa đăng ký hội viên; ","")&amp;IF(AND($L4297="Đã chuyển khoản",$M4297=""),"Thiếu ngày nhận CK; ",""))</f>
        <v/>
      </c>
      <c r="T4297" s="24" t="n"/>
    </row>
    <row r="4298" ht="14.25" customHeight="1" s="40">
      <c r="A4298" s="24" t="n"/>
      <c r="B4298" s="29" t="n"/>
      <c r="C4298" s="28" t="n"/>
      <c r="D4298" s="22">
        <f t="array" ref="D4298">IF($C4298="","",IFERROR(INDEX(DATA_MASTER!$C$2:$C$5000,MATCH($C4298,DATA_MASTER!$D$2:$D$5000,0)),""))</f>
        <v/>
      </c>
      <c r="E4298" s="22">
        <f t="array" ref="E4298">IF($C4298="","",IFERROR(INDEX(DATA_MASTER!$I$2:$I$5000,MATCH($C4298,DATA_MASTER!$D$2:$D$5000,0)),""))</f>
        <v/>
      </c>
      <c r="F4298" s="22">
        <f t="array" ref="F4298">IF($C4298="","",IFERROR(INDEX(DATA_MASTER!$L$2:$L$5000,MATCH($C4298,DATA_MASTER!$D$2:$D$5000,0)),""))</f>
        <v/>
      </c>
      <c r="G4298" s="24" t="n"/>
      <c r="H4298" s="24" t="n"/>
      <c r="I4298" s="30" t="n"/>
      <c r="J4298" s="23">
        <f>IF(OR($H4298="",$I4298=""),"",$H4298*$I4298)</f>
        <v/>
      </c>
      <c r="K4298" s="24" t="n"/>
      <c r="L4298" s="24" t="n"/>
      <c r="M4298" s="29" t="n"/>
      <c r="N4298" s="28" t="n"/>
      <c r="O4298" s="24" t="n"/>
      <c r="P4298" s="24" t="n"/>
      <c r="Q4298" s="24" t="n"/>
      <c r="R4298" s="24" t="n"/>
      <c r="S4298" s="22">
        <f>IF(AND($A4298="",$C4298=""),"",IF($A4298="","Thiếu mã đơn; ","")&amp;IF(COUNTIF($A$2:$A4298,$A4298)&gt;1,"Trùng mã đơn; ","")&amp;IF(ISNA(MATCH($C4298,DATA_MASTER!$D$2:$D$5000,0)),"SĐT chưa đăng ký hội viên; ","")&amp;IF(AND($L4298="Đã chuyển khoản",$M4298=""),"Thiếu ngày nhận CK; ",""))</f>
        <v/>
      </c>
      <c r="T4298" s="24" t="n"/>
    </row>
    <row r="4299" ht="14.25" customHeight="1" s="40">
      <c r="A4299" s="24" t="n"/>
      <c r="B4299" s="29" t="n"/>
      <c r="C4299" s="28" t="n"/>
      <c r="D4299" s="22">
        <f t="array" ref="D4299">IF($C4299="","",IFERROR(INDEX(DATA_MASTER!$C$2:$C$5000,MATCH($C4299,DATA_MASTER!$D$2:$D$5000,0)),""))</f>
        <v/>
      </c>
      <c r="E4299" s="22">
        <f t="array" ref="E4299">IF($C4299="","",IFERROR(INDEX(DATA_MASTER!$I$2:$I$5000,MATCH($C4299,DATA_MASTER!$D$2:$D$5000,0)),""))</f>
        <v/>
      </c>
      <c r="F4299" s="22">
        <f t="array" ref="F4299">IF($C4299="","",IFERROR(INDEX(DATA_MASTER!$L$2:$L$5000,MATCH($C4299,DATA_MASTER!$D$2:$D$5000,0)),""))</f>
        <v/>
      </c>
      <c r="G4299" s="24" t="n"/>
      <c r="H4299" s="24" t="n"/>
      <c r="I4299" s="30" t="n"/>
      <c r="J4299" s="23">
        <f>IF(OR($H4299="",$I4299=""),"",$H4299*$I4299)</f>
        <v/>
      </c>
      <c r="K4299" s="24" t="n"/>
      <c r="L4299" s="24" t="n"/>
      <c r="M4299" s="29" t="n"/>
      <c r="N4299" s="28" t="n"/>
      <c r="O4299" s="24" t="n"/>
      <c r="P4299" s="24" t="n"/>
      <c r="Q4299" s="24" t="n"/>
      <c r="R4299" s="24" t="n"/>
      <c r="S4299" s="22">
        <f>IF(AND($A4299="",$C4299=""),"",IF($A4299="","Thiếu mã đơn; ","")&amp;IF(COUNTIF($A$2:$A4299,$A4299)&gt;1,"Trùng mã đơn; ","")&amp;IF(ISNA(MATCH($C4299,DATA_MASTER!$D$2:$D$5000,0)),"SĐT chưa đăng ký hội viên; ","")&amp;IF(AND($L4299="Đã chuyển khoản",$M4299=""),"Thiếu ngày nhận CK; ",""))</f>
        <v/>
      </c>
      <c r="T4299" s="24" t="n"/>
    </row>
    <row r="4300" ht="14.25" customHeight="1" s="40">
      <c r="A4300" s="24" t="n"/>
      <c r="B4300" s="29" t="n"/>
      <c r="C4300" s="28" t="n"/>
      <c r="D4300" s="22">
        <f t="array" ref="D4300">IF($C4300="","",IFERROR(INDEX(DATA_MASTER!$C$2:$C$5000,MATCH($C4300,DATA_MASTER!$D$2:$D$5000,0)),""))</f>
        <v/>
      </c>
      <c r="E4300" s="22">
        <f t="array" ref="E4300">IF($C4300="","",IFERROR(INDEX(DATA_MASTER!$I$2:$I$5000,MATCH($C4300,DATA_MASTER!$D$2:$D$5000,0)),""))</f>
        <v/>
      </c>
      <c r="F4300" s="22">
        <f t="array" ref="F4300">IF($C4300="","",IFERROR(INDEX(DATA_MASTER!$L$2:$L$5000,MATCH($C4300,DATA_MASTER!$D$2:$D$5000,0)),""))</f>
        <v/>
      </c>
      <c r="G4300" s="24" t="n"/>
      <c r="H4300" s="24" t="n"/>
      <c r="I4300" s="30" t="n"/>
      <c r="J4300" s="23">
        <f>IF(OR($H4300="",$I4300=""),"",$H4300*$I4300)</f>
        <v/>
      </c>
      <c r="K4300" s="24" t="n"/>
      <c r="L4300" s="24" t="n"/>
      <c r="M4300" s="29" t="n"/>
      <c r="N4300" s="28" t="n"/>
      <c r="O4300" s="24" t="n"/>
      <c r="P4300" s="24" t="n"/>
      <c r="Q4300" s="24" t="n"/>
      <c r="R4300" s="24" t="n"/>
      <c r="S4300" s="22">
        <f>IF(AND($A4300="",$C4300=""),"",IF($A4300="","Thiếu mã đơn; ","")&amp;IF(COUNTIF($A$2:$A4300,$A4300)&gt;1,"Trùng mã đơn; ","")&amp;IF(ISNA(MATCH($C4300,DATA_MASTER!$D$2:$D$5000,0)),"SĐT chưa đăng ký hội viên; ","")&amp;IF(AND($L4300="Đã chuyển khoản",$M4300=""),"Thiếu ngày nhận CK; ",""))</f>
        <v/>
      </c>
      <c r="T4300" s="24" t="n"/>
    </row>
    <row r="4301" ht="14.25" customHeight="1" s="40">
      <c r="A4301" s="24" t="n"/>
      <c r="B4301" s="29" t="n"/>
      <c r="C4301" s="28" t="n"/>
      <c r="D4301" s="22">
        <f t="array" ref="D4301">IF($C4301="","",IFERROR(INDEX(DATA_MASTER!$C$2:$C$5000,MATCH($C4301,DATA_MASTER!$D$2:$D$5000,0)),""))</f>
        <v/>
      </c>
      <c r="E4301" s="22">
        <f t="array" ref="E4301">IF($C4301="","",IFERROR(INDEX(DATA_MASTER!$I$2:$I$5000,MATCH($C4301,DATA_MASTER!$D$2:$D$5000,0)),""))</f>
        <v/>
      </c>
      <c r="F4301" s="22">
        <f t="array" ref="F4301">IF($C4301="","",IFERROR(INDEX(DATA_MASTER!$L$2:$L$5000,MATCH($C4301,DATA_MASTER!$D$2:$D$5000,0)),""))</f>
        <v/>
      </c>
      <c r="G4301" s="24" t="n"/>
      <c r="H4301" s="24" t="n"/>
      <c r="I4301" s="30" t="n"/>
      <c r="J4301" s="23">
        <f>IF(OR($H4301="",$I4301=""),"",$H4301*$I4301)</f>
        <v/>
      </c>
      <c r="K4301" s="24" t="n"/>
      <c r="L4301" s="24" t="n"/>
      <c r="M4301" s="29" t="n"/>
      <c r="N4301" s="28" t="n"/>
      <c r="O4301" s="24" t="n"/>
      <c r="P4301" s="24" t="n"/>
      <c r="Q4301" s="24" t="n"/>
      <c r="R4301" s="24" t="n"/>
      <c r="S4301" s="22">
        <f>IF(AND($A4301="",$C4301=""),"",IF($A4301="","Thiếu mã đơn; ","")&amp;IF(COUNTIF($A$2:$A4301,$A4301)&gt;1,"Trùng mã đơn; ","")&amp;IF(ISNA(MATCH($C4301,DATA_MASTER!$D$2:$D$5000,0)),"SĐT chưa đăng ký hội viên; ","")&amp;IF(AND($L4301="Đã chuyển khoản",$M4301=""),"Thiếu ngày nhận CK; ",""))</f>
        <v/>
      </c>
      <c r="T4301" s="24" t="n"/>
    </row>
    <row r="4302" ht="14.25" customHeight="1" s="40">
      <c r="A4302" s="24" t="n"/>
      <c r="B4302" s="29" t="n"/>
      <c r="C4302" s="28" t="n"/>
      <c r="D4302" s="22">
        <f t="array" ref="D4302">IF($C4302="","",IFERROR(INDEX(DATA_MASTER!$C$2:$C$5000,MATCH($C4302,DATA_MASTER!$D$2:$D$5000,0)),""))</f>
        <v/>
      </c>
      <c r="E4302" s="22">
        <f t="array" ref="E4302">IF($C4302="","",IFERROR(INDEX(DATA_MASTER!$I$2:$I$5000,MATCH($C4302,DATA_MASTER!$D$2:$D$5000,0)),""))</f>
        <v/>
      </c>
      <c r="F4302" s="22">
        <f t="array" ref="F4302">IF($C4302="","",IFERROR(INDEX(DATA_MASTER!$L$2:$L$5000,MATCH($C4302,DATA_MASTER!$D$2:$D$5000,0)),""))</f>
        <v/>
      </c>
      <c r="G4302" s="24" t="n"/>
      <c r="H4302" s="24" t="n"/>
      <c r="I4302" s="30" t="n"/>
      <c r="J4302" s="23">
        <f>IF(OR($H4302="",$I4302=""),"",$H4302*$I4302)</f>
        <v/>
      </c>
      <c r="K4302" s="24" t="n"/>
      <c r="L4302" s="24" t="n"/>
      <c r="M4302" s="29" t="n"/>
      <c r="N4302" s="28" t="n"/>
      <c r="O4302" s="24" t="n"/>
      <c r="P4302" s="24" t="n"/>
      <c r="Q4302" s="24" t="n"/>
      <c r="R4302" s="24" t="n"/>
      <c r="S4302" s="22">
        <f>IF(AND($A4302="",$C4302=""),"",IF($A4302="","Thiếu mã đơn; ","")&amp;IF(COUNTIF($A$2:$A4302,$A4302)&gt;1,"Trùng mã đơn; ","")&amp;IF(ISNA(MATCH($C4302,DATA_MASTER!$D$2:$D$5000,0)),"SĐT chưa đăng ký hội viên; ","")&amp;IF(AND($L4302="Đã chuyển khoản",$M4302=""),"Thiếu ngày nhận CK; ",""))</f>
        <v/>
      </c>
      <c r="T4302" s="24" t="n"/>
    </row>
    <row r="4303" ht="14.25" customHeight="1" s="40">
      <c r="A4303" s="24" t="n"/>
      <c r="B4303" s="29" t="n"/>
      <c r="C4303" s="28" t="n"/>
      <c r="D4303" s="22">
        <f t="array" ref="D4303">IF($C4303="","",IFERROR(INDEX(DATA_MASTER!$C$2:$C$5000,MATCH($C4303,DATA_MASTER!$D$2:$D$5000,0)),""))</f>
        <v/>
      </c>
      <c r="E4303" s="22">
        <f t="array" ref="E4303">IF($C4303="","",IFERROR(INDEX(DATA_MASTER!$I$2:$I$5000,MATCH($C4303,DATA_MASTER!$D$2:$D$5000,0)),""))</f>
        <v/>
      </c>
      <c r="F4303" s="22">
        <f t="array" ref="F4303">IF($C4303="","",IFERROR(INDEX(DATA_MASTER!$L$2:$L$5000,MATCH($C4303,DATA_MASTER!$D$2:$D$5000,0)),""))</f>
        <v/>
      </c>
      <c r="G4303" s="24" t="n"/>
      <c r="H4303" s="24" t="n"/>
      <c r="I4303" s="30" t="n"/>
      <c r="J4303" s="23">
        <f>IF(OR($H4303="",$I4303=""),"",$H4303*$I4303)</f>
        <v/>
      </c>
      <c r="K4303" s="24" t="n"/>
      <c r="L4303" s="24" t="n"/>
      <c r="M4303" s="29" t="n"/>
      <c r="N4303" s="28" t="n"/>
      <c r="O4303" s="24" t="n"/>
      <c r="P4303" s="24" t="n"/>
      <c r="Q4303" s="24" t="n"/>
      <c r="R4303" s="24" t="n"/>
      <c r="S4303" s="22">
        <f>IF(AND($A4303="",$C4303=""),"",IF($A4303="","Thiếu mã đơn; ","")&amp;IF(COUNTIF($A$2:$A4303,$A4303)&gt;1,"Trùng mã đơn; ","")&amp;IF(ISNA(MATCH($C4303,DATA_MASTER!$D$2:$D$5000,0)),"SĐT chưa đăng ký hội viên; ","")&amp;IF(AND($L4303="Đã chuyển khoản",$M4303=""),"Thiếu ngày nhận CK; ",""))</f>
        <v/>
      </c>
      <c r="T4303" s="24" t="n"/>
    </row>
    <row r="4304" ht="14.25" customHeight="1" s="40">
      <c r="A4304" s="24" t="n"/>
      <c r="B4304" s="29" t="n"/>
      <c r="C4304" s="28" t="n"/>
      <c r="D4304" s="22">
        <f t="array" ref="D4304">IF($C4304="","",IFERROR(INDEX(DATA_MASTER!$C$2:$C$5000,MATCH($C4304,DATA_MASTER!$D$2:$D$5000,0)),""))</f>
        <v/>
      </c>
      <c r="E4304" s="22">
        <f t="array" ref="E4304">IF($C4304="","",IFERROR(INDEX(DATA_MASTER!$I$2:$I$5000,MATCH($C4304,DATA_MASTER!$D$2:$D$5000,0)),""))</f>
        <v/>
      </c>
      <c r="F4304" s="22">
        <f t="array" ref="F4304">IF($C4304="","",IFERROR(INDEX(DATA_MASTER!$L$2:$L$5000,MATCH($C4304,DATA_MASTER!$D$2:$D$5000,0)),""))</f>
        <v/>
      </c>
      <c r="G4304" s="24" t="n"/>
      <c r="H4304" s="24" t="n"/>
      <c r="I4304" s="30" t="n"/>
      <c r="J4304" s="23">
        <f>IF(OR($H4304="",$I4304=""),"",$H4304*$I4304)</f>
        <v/>
      </c>
      <c r="K4304" s="24" t="n"/>
      <c r="L4304" s="24" t="n"/>
      <c r="M4304" s="29" t="n"/>
      <c r="N4304" s="28" t="n"/>
      <c r="O4304" s="24" t="n"/>
      <c r="P4304" s="24" t="n"/>
      <c r="Q4304" s="24" t="n"/>
      <c r="R4304" s="24" t="n"/>
      <c r="S4304" s="22">
        <f>IF(AND($A4304="",$C4304=""),"",IF($A4304="","Thiếu mã đơn; ","")&amp;IF(COUNTIF($A$2:$A4304,$A4304)&gt;1,"Trùng mã đơn; ","")&amp;IF(ISNA(MATCH($C4304,DATA_MASTER!$D$2:$D$5000,0)),"SĐT chưa đăng ký hội viên; ","")&amp;IF(AND($L4304="Đã chuyển khoản",$M4304=""),"Thiếu ngày nhận CK; ",""))</f>
        <v/>
      </c>
      <c r="T4304" s="24" t="n"/>
    </row>
    <row r="4305" ht="14.25" customHeight="1" s="40">
      <c r="A4305" s="24" t="n"/>
      <c r="B4305" s="29" t="n"/>
      <c r="C4305" s="28" t="n"/>
      <c r="D4305" s="22">
        <f t="array" ref="D4305">IF($C4305="","",IFERROR(INDEX(DATA_MASTER!$C$2:$C$5000,MATCH($C4305,DATA_MASTER!$D$2:$D$5000,0)),""))</f>
        <v/>
      </c>
      <c r="E4305" s="22">
        <f t="array" ref="E4305">IF($C4305="","",IFERROR(INDEX(DATA_MASTER!$I$2:$I$5000,MATCH($C4305,DATA_MASTER!$D$2:$D$5000,0)),""))</f>
        <v/>
      </c>
      <c r="F4305" s="22">
        <f t="array" ref="F4305">IF($C4305="","",IFERROR(INDEX(DATA_MASTER!$L$2:$L$5000,MATCH($C4305,DATA_MASTER!$D$2:$D$5000,0)),""))</f>
        <v/>
      </c>
      <c r="G4305" s="24" t="n"/>
      <c r="H4305" s="24" t="n"/>
      <c r="I4305" s="30" t="n"/>
      <c r="J4305" s="23">
        <f>IF(OR($H4305="",$I4305=""),"",$H4305*$I4305)</f>
        <v/>
      </c>
      <c r="K4305" s="24" t="n"/>
      <c r="L4305" s="24" t="n"/>
      <c r="M4305" s="29" t="n"/>
      <c r="N4305" s="28" t="n"/>
      <c r="O4305" s="24" t="n"/>
      <c r="P4305" s="24" t="n"/>
      <c r="Q4305" s="24" t="n"/>
      <c r="R4305" s="24" t="n"/>
      <c r="S4305" s="22">
        <f>IF(AND($A4305="",$C4305=""),"",IF($A4305="","Thiếu mã đơn; ","")&amp;IF(COUNTIF($A$2:$A4305,$A4305)&gt;1,"Trùng mã đơn; ","")&amp;IF(ISNA(MATCH($C4305,DATA_MASTER!$D$2:$D$5000,0)),"SĐT chưa đăng ký hội viên; ","")&amp;IF(AND($L4305="Đã chuyển khoản",$M4305=""),"Thiếu ngày nhận CK; ",""))</f>
        <v/>
      </c>
      <c r="T4305" s="24" t="n"/>
    </row>
    <row r="4306" ht="14.25" customHeight="1" s="40">
      <c r="A4306" s="24" t="n"/>
      <c r="B4306" s="29" t="n"/>
      <c r="C4306" s="28" t="n"/>
      <c r="D4306" s="22">
        <f t="array" ref="D4306">IF($C4306="","",IFERROR(INDEX(DATA_MASTER!$C$2:$C$5000,MATCH($C4306,DATA_MASTER!$D$2:$D$5000,0)),""))</f>
        <v/>
      </c>
      <c r="E4306" s="22">
        <f t="array" ref="E4306">IF($C4306="","",IFERROR(INDEX(DATA_MASTER!$I$2:$I$5000,MATCH($C4306,DATA_MASTER!$D$2:$D$5000,0)),""))</f>
        <v/>
      </c>
      <c r="F4306" s="22">
        <f t="array" ref="F4306">IF($C4306="","",IFERROR(INDEX(DATA_MASTER!$L$2:$L$5000,MATCH($C4306,DATA_MASTER!$D$2:$D$5000,0)),""))</f>
        <v/>
      </c>
      <c r="G4306" s="24" t="n"/>
      <c r="H4306" s="24" t="n"/>
      <c r="I4306" s="30" t="n"/>
      <c r="J4306" s="23">
        <f>IF(OR($H4306="",$I4306=""),"",$H4306*$I4306)</f>
        <v/>
      </c>
      <c r="K4306" s="24" t="n"/>
      <c r="L4306" s="24" t="n"/>
      <c r="M4306" s="29" t="n"/>
      <c r="N4306" s="28" t="n"/>
      <c r="O4306" s="24" t="n"/>
      <c r="P4306" s="24" t="n"/>
      <c r="Q4306" s="24" t="n"/>
      <c r="R4306" s="24" t="n"/>
      <c r="S4306" s="22">
        <f>IF(AND($A4306="",$C4306=""),"",IF($A4306="","Thiếu mã đơn; ","")&amp;IF(COUNTIF($A$2:$A4306,$A4306)&gt;1,"Trùng mã đơn; ","")&amp;IF(ISNA(MATCH($C4306,DATA_MASTER!$D$2:$D$5000,0)),"SĐT chưa đăng ký hội viên; ","")&amp;IF(AND($L4306="Đã chuyển khoản",$M4306=""),"Thiếu ngày nhận CK; ",""))</f>
        <v/>
      </c>
      <c r="T4306" s="24" t="n"/>
    </row>
    <row r="4307" ht="14.25" customHeight="1" s="40">
      <c r="A4307" s="24" t="n"/>
      <c r="B4307" s="29" t="n"/>
      <c r="C4307" s="28" t="n"/>
      <c r="D4307" s="22">
        <f t="array" ref="D4307">IF($C4307="","",IFERROR(INDEX(DATA_MASTER!$C$2:$C$5000,MATCH($C4307,DATA_MASTER!$D$2:$D$5000,0)),""))</f>
        <v/>
      </c>
      <c r="E4307" s="22">
        <f t="array" ref="E4307">IF($C4307="","",IFERROR(INDEX(DATA_MASTER!$I$2:$I$5000,MATCH($C4307,DATA_MASTER!$D$2:$D$5000,0)),""))</f>
        <v/>
      </c>
      <c r="F4307" s="22">
        <f t="array" ref="F4307">IF($C4307="","",IFERROR(INDEX(DATA_MASTER!$L$2:$L$5000,MATCH($C4307,DATA_MASTER!$D$2:$D$5000,0)),""))</f>
        <v/>
      </c>
      <c r="G4307" s="24" t="n"/>
      <c r="H4307" s="24" t="n"/>
      <c r="I4307" s="30" t="n"/>
      <c r="J4307" s="23">
        <f>IF(OR($H4307="",$I4307=""),"",$H4307*$I4307)</f>
        <v/>
      </c>
      <c r="K4307" s="24" t="n"/>
      <c r="L4307" s="24" t="n"/>
      <c r="M4307" s="29" t="n"/>
      <c r="N4307" s="28" t="n"/>
      <c r="O4307" s="24" t="n"/>
      <c r="P4307" s="24" t="n"/>
      <c r="Q4307" s="24" t="n"/>
      <c r="R4307" s="24" t="n"/>
      <c r="S4307" s="22">
        <f>IF(AND($A4307="",$C4307=""),"",IF($A4307="","Thiếu mã đơn; ","")&amp;IF(COUNTIF($A$2:$A4307,$A4307)&gt;1,"Trùng mã đơn; ","")&amp;IF(ISNA(MATCH($C4307,DATA_MASTER!$D$2:$D$5000,0)),"SĐT chưa đăng ký hội viên; ","")&amp;IF(AND($L4307="Đã chuyển khoản",$M4307=""),"Thiếu ngày nhận CK; ",""))</f>
        <v/>
      </c>
      <c r="T4307" s="24" t="n"/>
    </row>
    <row r="4308" ht="14.25" customHeight="1" s="40">
      <c r="A4308" s="24" t="n"/>
      <c r="B4308" s="29" t="n"/>
      <c r="C4308" s="28" t="n"/>
      <c r="D4308" s="22">
        <f t="array" ref="D4308">IF($C4308="","",IFERROR(INDEX(DATA_MASTER!$C$2:$C$5000,MATCH($C4308,DATA_MASTER!$D$2:$D$5000,0)),""))</f>
        <v/>
      </c>
      <c r="E4308" s="22">
        <f t="array" ref="E4308">IF($C4308="","",IFERROR(INDEX(DATA_MASTER!$I$2:$I$5000,MATCH($C4308,DATA_MASTER!$D$2:$D$5000,0)),""))</f>
        <v/>
      </c>
      <c r="F4308" s="22">
        <f t="array" ref="F4308">IF($C4308="","",IFERROR(INDEX(DATA_MASTER!$L$2:$L$5000,MATCH($C4308,DATA_MASTER!$D$2:$D$5000,0)),""))</f>
        <v/>
      </c>
      <c r="G4308" s="24" t="n"/>
      <c r="H4308" s="24" t="n"/>
      <c r="I4308" s="30" t="n"/>
      <c r="J4308" s="23">
        <f>IF(OR($H4308="",$I4308=""),"",$H4308*$I4308)</f>
        <v/>
      </c>
      <c r="K4308" s="24" t="n"/>
      <c r="L4308" s="24" t="n"/>
      <c r="M4308" s="29" t="n"/>
      <c r="N4308" s="28" t="n"/>
      <c r="O4308" s="24" t="n"/>
      <c r="P4308" s="24" t="n"/>
      <c r="Q4308" s="24" t="n"/>
      <c r="R4308" s="24" t="n"/>
      <c r="S4308" s="22">
        <f>IF(AND($A4308="",$C4308=""),"",IF($A4308="","Thiếu mã đơn; ","")&amp;IF(COUNTIF($A$2:$A4308,$A4308)&gt;1,"Trùng mã đơn; ","")&amp;IF(ISNA(MATCH($C4308,DATA_MASTER!$D$2:$D$5000,0)),"SĐT chưa đăng ký hội viên; ","")&amp;IF(AND($L4308="Đã chuyển khoản",$M4308=""),"Thiếu ngày nhận CK; ",""))</f>
        <v/>
      </c>
      <c r="T4308" s="24" t="n"/>
    </row>
    <row r="4309" ht="14.25" customHeight="1" s="40">
      <c r="A4309" s="24" t="n"/>
      <c r="B4309" s="29" t="n"/>
      <c r="C4309" s="28" t="n"/>
      <c r="D4309" s="22">
        <f t="array" ref="D4309">IF($C4309="","",IFERROR(INDEX(DATA_MASTER!$C$2:$C$5000,MATCH($C4309,DATA_MASTER!$D$2:$D$5000,0)),""))</f>
        <v/>
      </c>
      <c r="E4309" s="22">
        <f t="array" ref="E4309">IF($C4309="","",IFERROR(INDEX(DATA_MASTER!$I$2:$I$5000,MATCH($C4309,DATA_MASTER!$D$2:$D$5000,0)),""))</f>
        <v/>
      </c>
      <c r="F4309" s="22">
        <f t="array" ref="F4309">IF($C4309="","",IFERROR(INDEX(DATA_MASTER!$L$2:$L$5000,MATCH($C4309,DATA_MASTER!$D$2:$D$5000,0)),""))</f>
        <v/>
      </c>
      <c r="G4309" s="24" t="n"/>
      <c r="H4309" s="24" t="n"/>
      <c r="I4309" s="30" t="n"/>
      <c r="J4309" s="23">
        <f>IF(OR($H4309="",$I4309=""),"",$H4309*$I4309)</f>
        <v/>
      </c>
      <c r="K4309" s="24" t="n"/>
      <c r="L4309" s="24" t="n"/>
      <c r="M4309" s="29" t="n"/>
      <c r="N4309" s="28" t="n"/>
      <c r="O4309" s="24" t="n"/>
      <c r="P4309" s="24" t="n"/>
      <c r="Q4309" s="24" t="n"/>
      <c r="R4309" s="24" t="n"/>
      <c r="S4309" s="22">
        <f>IF(AND($A4309="",$C4309=""),"",IF($A4309="","Thiếu mã đơn; ","")&amp;IF(COUNTIF($A$2:$A4309,$A4309)&gt;1,"Trùng mã đơn; ","")&amp;IF(ISNA(MATCH($C4309,DATA_MASTER!$D$2:$D$5000,0)),"SĐT chưa đăng ký hội viên; ","")&amp;IF(AND($L4309="Đã chuyển khoản",$M4309=""),"Thiếu ngày nhận CK; ",""))</f>
        <v/>
      </c>
      <c r="T4309" s="24" t="n"/>
    </row>
    <row r="4310" ht="14.25" customHeight="1" s="40">
      <c r="A4310" s="24" t="n"/>
      <c r="B4310" s="29" t="n"/>
      <c r="C4310" s="28" t="n"/>
      <c r="D4310" s="22">
        <f t="array" ref="D4310">IF($C4310="","",IFERROR(INDEX(DATA_MASTER!$C$2:$C$5000,MATCH($C4310,DATA_MASTER!$D$2:$D$5000,0)),""))</f>
        <v/>
      </c>
      <c r="E4310" s="22">
        <f t="array" ref="E4310">IF($C4310="","",IFERROR(INDEX(DATA_MASTER!$I$2:$I$5000,MATCH($C4310,DATA_MASTER!$D$2:$D$5000,0)),""))</f>
        <v/>
      </c>
      <c r="F4310" s="22">
        <f t="array" ref="F4310">IF($C4310="","",IFERROR(INDEX(DATA_MASTER!$L$2:$L$5000,MATCH($C4310,DATA_MASTER!$D$2:$D$5000,0)),""))</f>
        <v/>
      </c>
      <c r="G4310" s="24" t="n"/>
      <c r="H4310" s="24" t="n"/>
      <c r="I4310" s="30" t="n"/>
      <c r="J4310" s="23">
        <f>IF(OR($H4310="",$I4310=""),"",$H4310*$I4310)</f>
        <v/>
      </c>
      <c r="K4310" s="24" t="n"/>
      <c r="L4310" s="24" t="n"/>
      <c r="M4310" s="29" t="n"/>
      <c r="N4310" s="28" t="n"/>
      <c r="O4310" s="24" t="n"/>
      <c r="P4310" s="24" t="n"/>
      <c r="Q4310" s="24" t="n"/>
      <c r="R4310" s="24" t="n"/>
      <c r="S4310" s="22">
        <f>IF(AND($A4310="",$C4310=""),"",IF($A4310="","Thiếu mã đơn; ","")&amp;IF(COUNTIF($A$2:$A4310,$A4310)&gt;1,"Trùng mã đơn; ","")&amp;IF(ISNA(MATCH($C4310,DATA_MASTER!$D$2:$D$5000,0)),"SĐT chưa đăng ký hội viên; ","")&amp;IF(AND($L4310="Đã chuyển khoản",$M4310=""),"Thiếu ngày nhận CK; ",""))</f>
        <v/>
      </c>
      <c r="T4310" s="24" t="n"/>
    </row>
    <row r="4311" ht="14.25" customHeight="1" s="40">
      <c r="A4311" s="24" t="n"/>
      <c r="B4311" s="29" t="n"/>
      <c r="C4311" s="28" t="n"/>
      <c r="D4311" s="22">
        <f t="array" ref="D4311">IF($C4311="","",IFERROR(INDEX(DATA_MASTER!$C$2:$C$5000,MATCH($C4311,DATA_MASTER!$D$2:$D$5000,0)),""))</f>
        <v/>
      </c>
      <c r="E4311" s="22">
        <f t="array" ref="E4311">IF($C4311="","",IFERROR(INDEX(DATA_MASTER!$I$2:$I$5000,MATCH($C4311,DATA_MASTER!$D$2:$D$5000,0)),""))</f>
        <v/>
      </c>
      <c r="F4311" s="22">
        <f t="array" ref="F4311">IF($C4311="","",IFERROR(INDEX(DATA_MASTER!$L$2:$L$5000,MATCH($C4311,DATA_MASTER!$D$2:$D$5000,0)),""))</f>
        <v/>
      </c>
      <c r="G4311" s="24" t="n"/>
      <c r="H4311" s="24" t="n"/>
      <c r="I4311" s="30" t="n"/>
      <c r="J4311" s="23">
        <f>IF(OR($H4311="",$I4311=""),"",$H4311*$I4311)</f>
        <v/>
      </c>
      <c r="K4311" s="24" t="n"/>
      <c r="L4311" s="24" t="n"/>
      <c r="M4311" s="29" t="n"/>
      <c r="N4311" s="28" t="n"/>
      <c r="O4311" s="24" t="n"/>
      <c r="P4311" s="24" t="n"/>
      <c r="Q4311" s="24" t="n"/>
      <c r="R4311" s="24" t="n"/>
      <c r="S4311" s="22">
        <f>IF(AND($A4311="",$C4311=""),"",IF($A4311="","Thiếu mã đơn; ","")&amp;IF(COUNTIF($A$2:$A4311,$A4311)&gt;1,"Trùng mã đơn; ","")&amp;IF(ISNA(MATCH($C4311,DATA_MASTER!$D$2:$D$5000,0)),"SĐT chưa đăng ký hội viên; ","")&amp;IF(AND($L4311="Đã chuyển khoản",$M4311=""),"Thiếu ngày nhận CK; ",""))</f>
        <v/>
      </c>
      <c r="T4311" s="24" t="n"/>
    </row>
    <row r="4312" ht="14.25" customHeight="1" s="40">
      <c r="A4312" s="24" t="n"/>
      <c r="B4312" s="29" t="n"/>
      <c r="C4312" s="28" t="n"/>
      <c r="D4312" s="22">
        <f t="array" ref="D4312">IF($C4312="","",IFERROR(INDEX(DATA_MASTER!$C$2:$C$5000,MATCH($C4312,DATA_MASTER!$D$2:$D$5000,0)),""))</f>
        <v/>
      </c>
      <c r="E4312" s="22">
        <f t="array" ref="E4312">IF($C4312="","",IFERROR(INDEX(DATA_MASTER!$I$2:$I$5000,MATCH($C4312,DATA_MASTER!$D$2:$D$5000,0)),""))</f>
        <v/>
      </c>
      <c r="F4312" s="22">
        <f t="array" ref="F4312">IF($C4312="","",IFERROR(INDEX(DATA_MASTER!$L$2:$L$5000,MATCH($C4312,DATA_MASTER!$D$2:$D$5000,0)),""))</f>
        <v/>
      </c>
      <c r="G4312" s="24" t="n"/>
      <c r="H4312" s="24" t="n"/>
      <c r="I4312" s="30" t="n"/>
      <c r="J4312" s="23">
        <f>IF(OR($H4312="",$I4312=""),"",$H4312*$I4312)</f>
        <v/>
      </c>
      <c r="K4312" s="24" t="n"/>
      <c r="L4312" s="24" t="n"/>
      <c r="M4312" s="29" t="n"/>
      <c r="N4312" s="28" t="n"/>
      <c r="O4312" s="24" t="n"/>
      <c r="P4312" s="24" t="n"/>
      <c r="Q4312" s="24" t="n"/>
      <c r="R4312" s="24" t="n"/>
      <c r="S4312" s="22">
        <f>IF(AND($A4312="",$C4312=""),"",IF($A4312="","Thiếu mã đơn; ","")&amp;IF(COUNTIF($A$2:$A4312,$A4312)&gt;1,"Trùng mã đơn; ","")&amp;IF(ISNA(MATCH($C4312,DATA_MASTER!$D$2:$D$5000,0)),"SĐT chưa đăng ký hội viên; ","")&amp;IF(AND($L4312="Đã chuyển khoản",$M4312=""),"Thiếu ngày nhận CK; ",""))</f>
        <v/>
      </c>
      <c r="T4312" s="24" t="n"/>
    </row>
    <row r="4313" ht="14.25" customHeight="1" s="40">
      <c r="A4313" s="24" t="n"/>
      <c r="B4313" s="29" t="n"/>
      <c r="C4313" s="28" t="n"/>
      <c r="D4313" s="22">
        <f t="array" ref="D4313">IF($C4313="","",IFERROR(INDEX(DATA_MASTER!$C$2:$C$5000,MATCH($C4313,DATA_MASTER!$D$2:$D$5000,0)),""))</f>
        <v/>
      </c>
      <c r="E4313" s="22">
        <f t="array" ref="E4313">IF($C4313="","",IFERROR(INDEX(DATA_MASTER!$I$2:$I$5000,MATCH($C4313,DATA_MASTER!$D$2:$D$5000,0)),""))</f>
        <v/>
      </c>
      <c r="F4313" s="22">
        <f t="array" ref="F4313">IF($C4313="","",IFERROR(INDEX(DATA_MASTER!$L$2:$L$5000,MATCH($C4313,DATA_MASTER!$D$2:$D$5000,0)),""))</f>
        <v/>
      </c>
      <c r="G4313" s="24" t="n"/>
      <c r="H4313" s="24" t="n"/>
      <c r="I4313" s="30" t="n"/>
      <c r="J4313" s="23">
        <f>IF(OR($H4313="",$I4313=""),"",$H4313*$I4313)</f>
        <v/>
      </c>
      <c r="K4313" s="24" t="n"/>
      <c r="L4313" s="24" t="n"/>
      <c r="M4313" s="29" t="n"/>
      <c r="N4313" s="28" t="n"/>
      <c r="O4313" s="24" t="n"/>
      <c r="P4313" s="24" t="n"/>
      <c r="Q4313" s="24" t="n"/>
      <c r="R4313" s="24" t="n"/>
      <c r="S4313" s="22">
        <f>IF(AND($A4313="",$C4313=""),"",IF($A4313="","Thiếu mã đơn; ","")&amp;IF(COUNTIF($A$2:$A4313,$A4313)&gt;1,"Trùng mã đơn; ","")&amp;IF(ISNA(MATCH($C4313,DATA_MASTER!$D$2:$D$5000,0)),"SĐT chưa đăng ký hội viên; ","")&amp;IF(AND($L4313="Đã chuyển khoản",$M4313=""),"Thiếu ngày nhận CK; ",""))</f>
        <v/>
      </c>
      <c r="T4313" s="24" t="n"/>
    </row>
    <row r="4314" ht="14.25" customHeight="1" s="40">
      <c r="A4314" s="24" t="n"/>
      <c r="B4314" s="29" t="n"/>
      <c r="C4314" s="28" t="n"/>
      <c r="D4314" s="22">
        <f t="array" ref="D4314">IF($C4314="","",IFERROR(INDEX(DATA_MASTER!$C$2:$C$5000,MATCH($C4314,DATA_MASTER!$D$2:$D$5000,0)),""))</f>
        <v/>
      </c>
      <c r="E4314" s="22">
        <f t="array" ref="E4314">IF($C4314="","",IFERROR(INDEX(DATA_MASTER!$I$2:$I$5000,MATCH($C4314,DATA_MASTER!$D$2:$D$5000,0)),""))</f>
        <v/>
      </c>
      <c r="F4314" s="22">
        <f t="array" ref="F4314">IF($C4314="","",IFERROR(INDEX(DATA_MASTER!$L$2:$L$5000,MATCH($C4314,DATA_MASTER!$D$2:$D$5000,0)),""))</f>
        <v/>
      </c>
      <c r="G4314" s="24" t="n"/>
      <c r="H4314" s="24" t="n"/>
      <c r="I4314" s="30" t="n"/>
      <c r="J4314" s="23">
        <f>IF(OR($H4314="",$I4314=""),"",$H4314*$I4314)</f>
        <v/>
      </c>
      <c r="K4314" s="24" t="n"/>
      <c r="L4314" s="24" t="n"/>
      <c r="M4314" s="29" t="n"/>
      <c r="N4314" s="28" t="n"/>
      <c r="O4314" s="24" t="n"/>
      <c r="P4314" s="24" t="n"/>
      <c r="Q4314" s="24" t="n"/>
      <c r="R4314" s="24" t="n"/>
      <c r="S4314" s="22">
        <f>IF(AND($A4314="",$C4314=""),"",IF($A4314="","Thiếu mã đơn; ","")&amp;IF(COUNTIF($A$2:$A4314,$A4314)&gt;1,"Trùng mã đơn; ","")&amp;IF(ISNA(MATCH($C4314,DATA_MASTER!$D$2:$D$5000,0)),"SĐT chưa đăng ký hội viên; ","")&amp;IF(AND($L4314="Đã chuyển khoản",$M4314=""),"Thiếu ngày nhận CK; ",""))</f>
        <v/>
      </c>
      <c r="T4314" s="24" t="n"/>
    </row>
    <row r="4315" ht="14.25" customHeight="1" s="40">
      <c r="A4315" s="24" t="n"/>
      <c r="B4315" s="29" t="n"/>
      <c r="C4315" s="28" t="n"/>
      <c r="D4315" s="22">
        <f t="array" ref="D4315">IF($C4315="","",IFERROR(INDEX(DATA_MASTER!$C$2:$C$5000,MATCH($C4315,DATA_MASTER!$D$2:$D$5000,0)),""))</f>
        <v/>
      </c>
      <c r="E4315" s="22">
        <f t="array" ref="E4315">IF($C4315="","",IFERROR(INDEX(DATA_MASTER!$I$2:$I$5000,MATCH($C4315,DATA_MASTER!$D$2:$D$5000,0)),""))</f>
        <v/>
      </c>
      <c r="F4315" s="22">
        <f t="array" ref="F4315">IF($C4315="","",IFERROR(INDEX(DATA_MASTER!$L$2:$L$5000,MATCH($C4315,DATA_MASTER!$D$2:$D$5000,0)),""))</f>
        <v/>
      </c>
      <c r="G4315" s="24" t="n"/>
      <c r="H4315" s="24" t="n"/>
      <c r="I4315" s="30" t="n"/>
      <c r="J4315" s="23">
        <f>IF(OR($H4315="",$I4315=""),"",$H4315*$I4315)</f>
        <v/>
      </c>
      <c r="K4315" s="24" t="n"/>
      <c r="L4315" s="24" t="n"/>
      <c r="M4315" s="29" t="n"/>
      <c r="N4315" s="28" t="n"/>
      <c r="O4315" s="24" t="n"/>
      <c r="P4315" s="24" t="n"/>
      <c r="Q4315" s="24" t="n"/>
      <c r="R4315" s="24" t="n"/>
      <c r="S4315" s="22">
        <f>IF(AND($A4315="",$C4315=""),"",IF($A4315="","Thiếu mã đơn; ","")&amp;IF(COUNTIF($A$2:$A4315,$A4315)&gt;1,"Trùng mã đơn; ","")&amp;IF(ISNA(MATCH($C4315,DATA_MASTER!$D$2:$D$5000,0)),"SĐT chưa đăng ký hội viên; ","")&amp;IF(AND($L4315="Đã chuyển khoản",$M4315=""),"Thiếu ngày nhận CK; ",""))</f>
        <v/>
      </c>
      <c r="T4315" s="24" t="n"/>
    </row>
    <row r="4316" ht="14.25" customHeight="1" s="40">
      <c r="A4316" s="24" t="n"/>
      <c r="B4316" s="29" t="n"/>
      <c r="C4316" s="28" t="n"/>
      <c r="D4316" s="22">
        <f t="array" ref="D4316">IF($C4316="","",IFERROR(INDEX(DATA_MASTER!$C$2:$C$5000,MATCH($C4316,DATA_MASTER!$D$2:$D$5000,0)),""))</f>
        <v/>
      </c>
      <c r="E4316" s="22">
        <f t="array" ref="E4316">IF($C4316="","",IFERROR(INDEX(DATA_MASTER!$I$2:$I$5000,MATCH($C4316,DATA_MASTER!$D$2:$D$5000,0)),""))</f>
        <v/>
      </c>
      <c r="F4316" s="22">
        <f t="array" ref="F4316">IF($C4316="","",IFERROR(INDEX(DATA_MASTER!$L$2:$L$5000,MATCH($C4316,DATA_MASTER!$D$2:$D$5000,0)),""))</f>
        <v/>
      </c>
      <c r="G4316" s="24" t="n"/>
      <c r="H4316" s="24" t="n"/>
      <c r="I4316" s="30" t="n"/>
      <c r="J4316" s="23">
        <f>IF(OR($H4316="",$I4316=""),"",$H4316*$I4316)</f>
        <v/>
      </c>
      <c r="K4316" s="24" t="n"/>
      <c r="L4316" s="24" t="n"/>
      <c r="M4316" s="29" t="n"/>
      <c r="N4316" s="28" t="n"/>
      <c r="O4316" s="24" t="n"/>
      <c r="P4316" s="24" t="n"/>
      <c r="Q4316" s="24" t="n"/>
      <c r="R4316" s="24" t="n"/>
      <c r="S4316" s="22">
        <f>IF(AND($A4316="",$C4316=""),"",IF($A4316="","Thiếu mã đơn; ","")&amp;IF(COUNTIF($A$2:$A4316,$A4316)&gt;1,"Trùng mã đơn; ","")&amp;IF(ISNA(MATCH($C4316,DATA_MASTER!$D$2:$D$5000,0)),"SĐT chưa đăng ký hội viên; ","")&amp;IF(AND($L4316="Đã chuyển khoản",$M4316=""),"Thiếu ngày nhận CK; ",""))</f>
        <v/>
      </c>
      <c r="T4316" s="24" t="n"/>
    </row>
    <row r="4317" ht="14.25" customHeight="1" s="40">
      <c r="A4317" s="24" t="n"/>
      <c r="B4317" s="29" t="n"/>
      <c r="C4317" s="28" t="n"/>
      <c r="D4317" s="22">
        <f t="array" ref="D4317">IF($C4317="","",IFERROR(INDEX(DATA_MASTER!$C$2:$C$5000,MATCH($C4317,DATA_MASTER!$D$2:$D$5000,0)),""))</f>
        <v/>
      </c>
      <c r="E4317" s="22">
        <f t="array" ref="E4317">IF($C4317="","",IFERROR(INDEX(DATA_MASTER!$I$2:$I$5000,MATCH($C4317,DATA_MASTER!$D$2:$D$5000,0)),""))</f>
        <v/>
      </c>
      <c r="F4317" s="22">
        <f t="array" ref="F4317">IF($C4317="","",IFERROR(INDEX(DATA_MASTER!$L$2:$L$5000,MATCH($C4317,DATA_MASTER!$D$2:$D$5000,0)),""))</f>
        <v/>
      </c>
      <c r="G4317" s="24" t="n"/>
      <c r="H4317" s="24" t="n"/>
      <c r="I4317" s="30" t="n"/>
      <c r="J4317" s="23">
        <f>IF(OR($H4317="",$I4317=""),"",$H4317*$I4317)</f>
        <v/>
      </c>
      <c r="K4317" s="24" t="n"/>
      <c r="L4317" s="24" t="n"/>
      <c r="M4317" s="29" t="n"/>
      <c r="N4317" s="28" t="n"/>
      <c r="O4317" s="24" t="n"/>
      <c r="P4317" s="24" t="n"/>
      <c r="Q4317" s="24" t="n"/>
      <c r="R4317" s="24" t="n"/>
      <c r="S4317" s="22">
        <f>IF(AND($A4317="",$C4317=""),"",IF($A4317="","Thiếu mã đơn; ","")&amp;IF(COUNTIF($A$2:$A4317,$A4317)&gt;1,"Trùng mã đơn; ","")&amp;IF(ISNA(MATCH($C4317,DATA_MASTER!$D$2:$D$5000,0)),"SĐT chưa đăng ký hội viên; ","")&amp;IF(AND($L4317="Đã chuyển khoản",$M4317=""),"Thiếu ngày nhận CK; ",""))</f>
        <v/>
      </c>
      <c r="T4317" s="24" t="n"/>
    </row>
    <row r="4318" ht="14.25" customHeight="1" s="40">
      <c r="A4318" s="24" t="n"/>
      <c r="B4318" s="29" t="n"/>
      <c r="C4318" s="28" t="n"/>
      <c r="D4318" s="22">
        <f t="array" ref="D4318">IF($C4318="","",IFERROR(INDEX(DATA_MASTER!$C$2:$C$5000,MATCH($C4318,DATA_MASTER!$D$2:$D$5000,0)),""))</f>
        <v/>
      </c>
      <c r="E4318" s="22">
        <f t="array" ref="E4318">IF($C4318="","",IFERROR(INDEX(DATA_MASTER!$I$2:$I$5000,MATCH($C4318,DATA_MASTER!$D$2:$D$5000,0)),""))</f>
        <v/>
      </c>
      <c r="F4318" s="22">
        <f t="array" ref="F4318">IF($C4318="","",IFERROR(INDEX(DATA_MASTER!$L$2:$L$5000,MATCH($C4318,DATA_MASTER!$D$2:$D$5000,0)),""))</f>
        <v/>
      </c>
      <c r="G4318" s="24" t="n"/>
      <c r="H4318" s="24" t="n"/>
      <c r="I4318" s="30" t="n"/>
      <c r="J4318" s="23">
        <f>IF(OR($H4318="",$I4318=""),"",$H4318*$I4318)</f>
        <v/>
      </c>
      <c r="K4318" s="24" t="n"/>
      <c r="L4318" s="24" t="n"/>
      <c r="M4318" s="29" t="n"/>
      <c r="N4318" s="28" t="n"/>
      <c r="O4318" s="24" t="n"/>
      <c r="P4318" s="24" t="n"/>
      <c r="Q4318" s="24" t="n"/>
      <c r="R4318" s="24" t="n"/>
      <c r="S4318" s="22">
        <f>IF(AND($A4318="",$C4318=""),"",IF($A4318="","Thiếu mã đơn; ","")&amp;IF(COUNTIF($A$2:$A4318,$A4318)&gt;1,"Trùng mã đơn; ","")&amp;IF(ISNA(MATCH($C4318,DATA_MASTER!$D$2:$D$5000,0)),"SĐT chưa đăng ký hội viên; ","")&amp;IF(AND($L4318="Đã chuyển khoản",$M4318=""),"Thiếu ngày nhận CK; ",""))</f>
        <v/>
      </c>
      <c r="T4318" s="24" t="n"/>
    </row>
    <row r="4319" ht="14.25" customHeight="1" s="40">
      <c r="A4319" s="24" t="n"/>
      <c r="B4319" s="29" t="n"/>
      <c r="C4319" s="28" t="n"/>
      <c r="D4319" s="22">
        <f t="array" ref="D4319">IF($C4319="","",IFERROR(INDEX(DATA_MASTER!$C$2:$C$5000,MATCH($C4319,DATA_MASTER!$D$2:$D$5000,0)),""))</f>
        <v/>
      </c>
      <c r="E4319" s="22">
        <f t="array" ref="E4319">IF($C4319="","",IFERROR(INDEX(DATA_MASTER!$I$2:$I$5000,MATCH($C4319,DATA_MASTER!$D$2:$D$5000,0)),""))</f>
        <v/>
      </c>
      <c r="F4319" s="22">
        <f t="array" ref="F4319">IF($C4319="","",IFERROR(INDEX(DATA_MASTER!$L$2:$L$5000,MATCH($C4319,DATA_MASTER!$D$2:$D$5000,0)),""))</f>
        <v/>
      </c>
      <c r="G4319" s="24" t="n"/>
      <c r="H4319" s="24" t="n"/>
      <c r="I4319" s="30" t="n"/>
      <c r="J4319" s="23">
        <f>IF(OR($H4319="",$I4319=""),"",$H4319*$I4319)</f>
        <v/>
      </c>
      <c r="K4319" s="24" t="n"/>
      <c r="L4319" s="24" t="n"/>
      <c r="M4319" s="29" t="n"/>
      <c r="N4319" s="28" t="n"/>
      <c r="O4319" s="24" t="n"/>
      <c r="P4319" s="24" t="n"/>
      <c r="Q4319" s="24" t="n"/>
      <c r="R4319" s="24" t="n"/>
      <c r="S4319" s="22">
        <f>IF(AND($A4319="",$C4319=""),"",IF($A4319="","Thiếu mã đơn; ","")&amp;IF(COUNTIF($A$2:$A4319,$A4319)&gt;1,"Trùng mã đơn; ","")&amp;IF(ISNA(MATCH($C4319,DATA_MASTER!$D$2:$D$5000,0)),"SĐT chưa đăng ký hội viên; ","")&amp;IF(AND($L4319="Đã chuyển khoản",$M4319=""),"Thiếu ngày nhận CK; ",""))</f>
        <v/>
      </c>
      <c r="T4319" s="24" t="n"/>
    </row>
    <row r="4320" ht="14.25" customHeight="1" s="40">
      <c r="A4320" s="24" t="n"/>
      <c r="B4320" s="29" t="n"/>
      <c r="C4320" s="28" t="n"/>
      <c r="D4320" s="22">
        <f t="array" ref="D4320">IF($C4320="","",IFERROR(INDEX(DATA_MASTER!$C$2:$C$5000,MATCH($C4320,DATA_MASTER!$D$2:$D$5000,0)),""))</f>
        <v/>
      </c>
      <c r="E4320" s="22">
        <f t="array" ref="E4320">IF($C4320="","",IFERROR(INDEX(DATA_MASTER!$I$2:$I$5000,MATCH($C4320,DATA_MASTER!$D$2:$D$5000,0)),""))</f>
        <v/>
      </c>
      <c r="F4320" s="22">
        <f t="array" ref="F4320">IF($C4320="","",IFERROR(INDEX(DATA_MASTER!$L$2:$L$5000,MATCH($C4320,DATA_MASTER!$D$2:$D$5000,0)),""))</f>
        <v/>
      </c>
      <c r="G4320" s="24" t="n"/>
      <c r="H4320" s="24" t="n"/>
      <c r="I4320" s="30" t="n"/>
      <c r="J4320" s="23">
        <f>IF(OR($H4320="",$I4320=""),"",$H4320*$I4320)</f>
        <v/>
      </c>
      <c r="K4320" s="24" t="n"/>
      <c r="L4320" s="24" t="n"/>
      <c r="M4320" s="29" t="n"/>
      <c r="N4320" s="28" t="n"/>
      <c r="O4320" s="24" t="n"/>
      <c r="P4320" s="24" t="n"/>
      <c r="Q4320" s="24" t="n"/>
      <c r="R4320" s="24" t="n"/>
      <c r="S4320" s="22">
        <f>IF(AND($A4320="",$C4320=""),"",IF($A4320="","Thiếu mã đơn; ","")&amp;IF(COUNTIF($A$2:$A4320,$A4320)&gt;1,"Trùng mã đơn; ","")&amp;IF(ISNA(MATCH($C4320,DATA_MASTER!$D$2:$D$5000,0)),"SĐT chưa đăng ký hội viên; ","")&amp;IF(AND($L4320="Đã chuyển khoản",$M4320=""),"Thiếu ngày nhận CK; ",""))</f>
        <v/>
      </c>
      <c r="T4320" s="24" t="n"/>
    </row>
    <row r="4321" ht="14.25" customHeight="1" s="40">
      <c r="A4321" s="24" t="n"/>
      <c r="B4321" s="29" t="n"/>
      <c r="C4321" s="28" t="n"/>
      <c r="D4321" s="22">
        <f t="array" ref="D4321">IF($C4321="","",IFERROR(INDEX(DATA_MASTER!$C$2:$C$5000,MATCH($C4321,DATA_MASTER!$D$2:$D$5000,0)),""))</f>
        <v/>
      </c>
      <c r="E4321" s="22">
        <f t="array" ref="E4321">IF($C4321="","",IFERROR(INDEX(DATA_MASTER!$I$2:$I$5000,MATCH($C4321,DATA_MASTER!$D$2:$D$5000,0)),""))</f>
        <v/>
      </c>
      <c r="F4321" s="22">
        <f t="array" ref="F4321">IF($C4321="","",IFERROR(INDEX(DATA_MASTER!$L$2:$L$5000,MATCH($C4321,DATA_MASTER!$D$2:$D$5000,0)),""))</f>
        <v/>
      </c>
      <c r="G4321" s="24" t="n"/>
      <c r="H4321" s="24" t="n"/>
      <c r="I4321" s="30" t="n"/>
      <c r="J4321" s="23">
        <f>IF(OR($H4321="",$I4321=""),"",$H4321*$I4321)</f>
        <v/>
      </c>
      <c r="K4321" s="24" t="n"/>
      <c r="L4321" s="24" t="n"/>
      <c r="M4321" s="29" t="n"/>
      <c r="N4321" s="28" t="n"/>
      <c r="O4321" s="24" t="n"/>
      <c r="P4321" s="24" t="n"/>
      <c r="Q4321" s="24" t="n"/>
      <c r="R4321" s="24" t="n"/>
      <c r="S4321" s="22">
        <f>IF(AND($A4321="",$C4321=""),"",IF($A4321="","Thiếu mã đơn; ","")&amp;IF(COUNTIF($A$2:$A4321,$A4321)&gt;1,"Trùng mã đơn; ","")&amp;IF(ISNA(MATCH($C4321,DATA_MASTER!$D$2:$D$5000,0)),"SĐT chưa đăng ký hội viên; ","")&amp;IF(AND($L4321="Đã chuyển khoản",$M4321=""),"Thiếu ngày nhận CK; ",""))</f>
        <v/>
      </c>
      <c r="T4321" s="24" t="n"/>
    </row>
    <row r="4322" ht="14.25" customHeight="1" s="40">
      <c r="A4322" s="24" t="n"/>
      <c r="B4322" s="29" t="n"/>
      <c r="C4322" s="28" t="n"/>
      <c r="D4322" s="22">
        <f t="array" ref="D4322">IF($C4322="","",IFERROR(INDEX(DATA_MASTER!$C$2:$C$5000,MATCH($C4322,DATA_MASTER!$D$2:$D$5000,0)),""))</f>
        <v/>
      </c>
      <c r="E4322" s="22">
        <f t="array" ref="E4322">IF($C4322="","",IFERROR(INDEX(DATA_MASTER!$I$2:$I$5000,MATCH($C4322,DATA_MASTER!$D$2:$D$5000,0)),""))</f>
        <v/>
      </c>
      <c r="F4322" s="22">
        <f t="array" ref="F4322">IF($C4322="","",IFERROR(INDEX(DATA_MASTER!$L$2:$L$5000,MATCH($C4322,DATA_MASTER!$D$2:$D$5000,0)),""))</f>
        <v/>
      </c>
      <c r="G4322" s="24" t="n"/>
      <c r="H4322" s="24" t="n"/>
      <c r="I4322" s="30" t="n"/>
      <c r="J4322" s="23">
        <f>IF(OR($H4322="",$I4322=""),"",$H4322*$I4322)</f>
        <v/>
      </c>
      <c r="K4322" s="24" t="n"/>
      <c r="L4322" s="24" t="n"/>
      <c r="M4322" s="29" t="n"/>
      <c r="N4322" s="28" t="n"/>
      <c r="O4322" s="24" t="n"/>
      <c r="P4322" s="24" t="n"/>
      <c r="Q4322" s="24" t="n"/>
      <c r="R4322" s="24" t="n"/>
      <c r="S4322" s="22">
        <f>IF(AND($A4322="",$C4322=""),"",IF($A4322="","Thiếu mã đơn; ","")&amp;IF(COUNTIF($A$2:$A4322,$A4322)&gt;1,"Trùng mã đơn; ","")&amp;IF(ISNA(MATCH($C4322,DATA_MASTER!$D$2:$D$5000,0)),"SĐT chưa đăng ký hội viên; ","")&amp;IF(AND($L4322="Đã chuyển khoản",$M4322=""),"Thiếu ngày nhận CK; ",""))</f>
        <v/>
      </c>
      <c r="T4322" s="24" t="n"/>
    </row>
    <row r="4323" ht="14.25" customHeight="1" s="40">
      <c r="A4323" s="24" t="n"/>
      <c r="B4323" s="29" t="n"/>
      <c r="C4323" s="28" t="n"/>
      <c r="D4323" s="22">
        <f t="array" ref="D4323">IF($C4323="","",IFERROR(INDEX(DATA_MASTER!$C$2:$C$5000,MATCH($C4323,DATA_MASTER!$D$2:$D$5000,0)),""))</f>
        <v/>
      </c>
      <c r="E4323" s="22">
        <f t="array" ref="E4323">IF($C4323="","",IFERROR(INDEX(DATA_MASTER!$I$2:$I$5000,MATCH($C4323,DATA_MASTER!$D$2:$D$5000,0)),""))</f>
        <v/>
      </c>
      <c r="F4323" s="22">
        <f t="array" ref="F4323">IF($C4323="","",IFERROR(INDEX(DATA_MASTER!$L$2:$L$5000,MATCH($C4323,DATA_MASTER!$D$2:$D$5000,0)),""))</f>
        <v/>
      </c>
      <c r="G4323" s="24" t="n"/>
      <c r="H4323" s="24" t="n"/>
      <c r="I4323" s="30" t="n"/>
      <c r="J4323" s="23">
        <f>IF(OR($H4323="",$I4323=""),"",$H4323*$I4323)</f>
        <v/>
      </c>
      <c r="K4323" s="24" t="n"/>
      <c r="L4323" s="24" t="n"/>
      <c r="M4323" s="29" t="n"/>
      <c r="N4323" s="28" t="n"/>
      <c r="O4323" s="24" t="n"/>
      <c r="P4323" s="24" t="n"/>
      <c r="Q4323" s="24" t="n"/>
      <c r="R4323" s="24" t="n"/>
      <c r="S4323" s="22">
        <f>IF(AND($A4323="",$C4323=""),"",IF($A4323="","Thiếu mã đơn; ","")&amp;IF(COUNTIF($A$2:$A4323,$A4323)&gt;1,"Trùng mã đơn; ","")&amp;IF(ISNA(MATCH($C4323,DATA_MASTER!$D$2:$D$5000,0)),"SĐT chưa đăng ký hội viên; ","")&amp;IF(AND($L4323="Đã chuyển khoản",$M4323=""),"Thiếu ngày nhận CK; ",""))</f>
        <v/>
      </c>
      <c r="T4323" s="24" t="n"/>
    </row>
    <row r="4324" ht="14.25" customHeight="1" s="40">
      <c r="A4324" s="24" t="n"/>
      <c r="B4324" s="29" t="n"/>
      <c r="C4324" s="28" t="n"/>
      <c r="D4324" s="22">
        <f t="array" ref="D4324">IF($C4324="","",IFERROR(INDEX(DATA_MASTER!$C$2:$C$5000,MATCH($C4324,DATA_MASTER!$D$2:$D$5000,0)),""))</f>
        <v/>
      </c>
      <c r="E4324" s="22">
        <f t="array" ref="E4324">IF($C4324="","",IFERROR(INDEX(DATA_MASTER!$I$2:$I$5000,MATCH($C4324,DATA_MASTER!$D$2:$D$5000,0)),""))</f>
        <v/>
      </c>
      <c r="F4324" s="22">
        <f t="array" ref="F4324">IF($C4324="","",IFERROR(INDEX(DATA_MASTER!$L$2:$L$5000,MATCH($C4324,DATA_MASTER!$D$2:$D$5000,0)),""))</f>
        <v/>
      </c>
      <c r="G4324" s="24" t="n"/>
      <c r="H4324" s="24" t="n"/>
      <c r="I4324" s="30" t="n"/>
      <c r="J4324" s="23">
        <f>IF(OR($H4324="",$I4324=""),"",$H4324*$I4324)</f>
        <v/>
      </c>
      <c r="K4324" s="24" t="n"/>
      <c r="L4324" s="24" t="n"/>
      <c r="M4324" s="29" t="n"/>
      <c r="N4324" s="28" t="n"/>
      <c r="O4324" s="24" t="n"/>
      <c r="P4324" s="24" t="n"/>
      <c r="Q4324" s="24" t="n"/>
      <c r="R4324" s="24" t="n"/>
      <c r="S4324" s="22">
        <f>IF(AND($A4324="",$C4324=""),"",IF($A4324="","Thiếu mã đơn; ","")&amp;IF(COUNTIF($A$2:$A4324,$A4324)&gt;1,"Trùng mã đơn; ","")&amp;IF(ISNA(MATCH($C4324,DATA_MASTER!$D$2:$D$5000,0)),"SĐT chưa đăng ký hội viên; ","")&amp;IF(AND($L4324="Đã chuyển khoản",$M4324=""),"Thiếu ngày nhận CK; ",""))</f>
        <v/>
      </c>
      <c r="T4324" s="24" t="n"/>
    </row>
    <row r="4325" ht="14.25" customHeight="1" s="40">
      <c r="A4325" s="24" t="n"/>
      <c r="B4325" s="29" t="n"/>
      <c r="C4325" s="28" t="n"/>
      <c r="D4325" s="22">
        <f t="array" ref="D4325">IF($C4325="","",IFERROR(INDEX(DATA_MASTER!$C$2:$C$5000,MATCH($C4325,DATA_MASTER!$D$2:$D$5000,0)),""))</f>
        <v/>
      </c>
      <c r="E4325" s="22">
        <f t="array" ref="E4325">IF($C4325="","",IFERROR(INDEX(DATA_MASTER!$I$2:$I$5000,MATCH($C4325,DATA_MASTER!$D$2:$D$5000,0)),""))</f>
        <v/>
      </c>
      <c r="F4325" s="22">
        <f t="array" ref="F4325">IF($C4325="","",IFERROR(INDEX(DATA_MASTER!$L$2:$L$5000,MATCH($C4325,DATA_MASTER!$D$2:$D$5000,0)),""))</f>
        <v/>
      </c>
      <c r="G4325" s="24" t="n"/>
      <c r="H4325" s="24" t="n"/>
      <c r="I4325" s="30" t="n"/>
      <c r="J4325" s="23">
        <f>IF(OR($H4325="",$I4325=""),"",$H4325*$I4325)</f>
        <v/>
      </c>
      <c r="K4325" s="24" t="n"/>
      <c r="L4325" s="24" t="n"/>
      <c r="M4325" s="29" t="n"/>
      <c r="N4325" s="28" t="n"/>
      <c r="O4325" s="24" t="n"/>
      <c r="P4325" s="24" t="n"/>
      <c r="Q4325" s="24" t="n"/>
      <c r="R4325" s="24" t="n"/>
      <c r="S4325" s="22">
        <f>IF(AND($A4325="",$C4325=""),"",IF($A4325="","Thiếu mã đơn; ","")&amp;IF(COUNTIF($A$2:$A4325,$A4325)&gt;1,"Trùng mã đơn; ","")&amp;IF(ISNA(MATCH($C4325,DATA_MASTER!$D$2:$D$5000,0)),"SĐT chưa đăng ký hội viên; ","")&amp;IF(AND($L4325="Đã chuyển khoản",$M4325=""),"Thiếu ngày nhận CK; ",""))</f>
        <v/>
      </c>
      <c r="T4325" s="24" t="n"/>
    </row>
    <row r="4326" ht="14.25" customHeight="1" s="40">
      <c r="A4326" s="24" t="n"/>
      <c r="B4326" s="29" t="n"/>
      <c r="C4326" s="28" t="n"/>
      <c r="D4326" s="22">
        <f t="array" ref="D4326">IF($C4326="","",IFERROR(INDEX(DATA_MASTER!$C$2:$C$5000,MATCH($C4326,DATA_MASTER!$D$2:$D$5000,0)),""))</f>
        <v/>
      </c>
      <c r="E4326" s="22">
        <f t="array" ref="E4326">IF($C4326="","",IFERROR(INDEX(DATA_MASTER!$I$2:$I$5000,MATCH($C4326,DATA_MASTER!$D$2:$D$5000,0)),""))</f>
        <v/>
      </c>
      <c r="F4326" s="22">
        <f t="array" ref="F4326">IF($C4326="","",IFERROR(INDEX(DATA_MASTER!$L$2:$L$5000,MATCH($C4326,DATA_MASTER!$D$2:$D$5000,0)),""))</f>
        <v/>
      </c>
      <c r="G4326" s="24" t="n"/>
      <c r="H4326" s="24" t="n"/>
      <c r="I4326" s="30" t="n"/>
      <c r="J4326" s="23">
        <f>IF(OR($H4326="",$I4326=""),"",$H4326*$I4326)</f>
        <v/>
      </c>
      <c r="K4326" s="24" t="n"/>
      <c r="L4326" s="24" t="n"/>
      <c r="M4326" s="29" t="n"/>
      <c r="N4326" s="28" t="n"/>
      <c r="O4326" s="24" t="n"/>
      <c r="P4326" s="24" t="n"/>
      <c r="Q4326" s="24" t="n"/>
      <c r="R4326" s="24" t="n"/>
      <c r="S4326" s="22">
        <f>IF(AND($A4326="",$C4326=""),"",IF($A4326="","Thiếu mã đơn; ","")&amp;IF(COUNTIF($A$2:$A4326,$A4326)&gt;1,"Trùng mã đơn; ","")&amp;IF(ISNA(MATCH($C4326,DATA_MASTER!$D$2:$D$5000,0)),"SĐT chưa đăng ký hội viên; ","")&amp;IF(AND($L4326="Đã chuyển khoản",$M4326=""),"Thiếu ngày nhận CK; ",""))</f>
        <v/>
      </c>
      <c r="T4326" s="24" t="n"/>
    </row>
    <row r="4327" ht="14.25" customHeight="1" s="40">
      <c r="A4327" s="24" t="n"/>
      <c r="B4327" s="29" t="n"/>
      <c r="C4327" s="28" t="n"/>
      <c r="D4327" s="22">
        <f t="array" ref="D4327">IF($C4327="","",IFERROR(INDEX(DATA_MASTER!$C$2:$C$5000,MATCH($C4327,DATA_MASTER!$D$2:$D$5000,0)),""))</f>
        <v/>
      </c>
      <c r="E4327" s="22">
        <f t="array" ref="E4327">IF($C4327="","",IFERROR(INDEX(DATA_MASTER!$I$2:$I$5000,MATCH($C4327,DATA_MASTER!$D$2:$D$5000,0)),""))</f>
        <v/>
      </c>
      <c r="F4327" s="22">
        <f t="array" ref="F4327">IF($C4327="","",IFERROR(INDEX(DATA_MASTER!$L$2:$L$5000,MATCH($C4327,DATA_MASTER!$D$2:$D$5000,0)),""))</f>
        <v/>
      </c>
      <c r="G4327" s="24" t="n"/>
      <c r="H4327" s="24" t="n"/>
      <c r="I4327" s="30" t="n"/>
      <c r="J4327" s="23">
        <f>IF(OR($H4327="",$I4327=""),"",$H4327*$I4327)</f>
        <v/>
      </c>
      <c r="K4327" s="24" t="n"/>
      <c r="L4327" s="24" t="n"/>
      <c r="M4327" s="29" t="n"/>
      <c r="N4327" s="28" t="n"/>
      <c r="O4327" s="24" t="n"/>
      <c r="P4327" s="24" t="n"/>
      <c r="Q4327" s="24" t="n"/>
      <c r="R4327" s="24" t="n"/>
      <c r="S4327" s="22">
        <f>IF(AND($A4327="",$C4327=""),"",IF($A4327="","Thiếu mã đơn; ","")&amp;IF(COUNTIF($A$2:$A4327,$A4327)&gt;1,"Trùng mã đơn; ","")&amp;IF(ISNA(MATCH($C4327,DATA_MASTER!$D$2:$D$5000,0)),"SĐT chưa đăng ký hội viên; ","")&amp;IF(AND($L4327="Đã chuyển khoản",$M4327=""),"Thiếu ngày nhận CK; ",""))</f>
        <v/>
      </c>
      <c r="T4327" s="24" t="n"/>
    </row>
    <row r="4328" ht="14.25" customHeight="1" s="40">
      <c r="A4328" s="24" t="n"/>
      <c r="B4328" s="29" t="n"/>
      <c r="C4328" s="28" t="n"/>
      <c r="D4328" s="22">
        <f t="array" ref="D4328">IF($C4328="","",IFERROR(INDEX(DATA_MASTER!$C$2:$C$5000,MATCH($C4328,DATA_MASTER!$D$2:$D$5000,0)),""))</f>
        <v/>
      </c>
      <c r="E4328" s="22">
        <f t="array" ref="E4328">IF($C4328="","",IFERROR(INDEX(DATA_MASTER!$I$2:$I$5000,MATCH($C4328,DATA_MASTER!$D$2:$D$5000,0)),""))</f>
        <v/>
      </c>
      <c r="F4328" s="22">
        <f t="array" ref="F4328">IF($C4328="","",IFERROR(INDEX(DATA_MASTER!$L$2:$L$5000,MATCH($C4328,DATA_MASTER!$D$2:$D$5000,0)),""))</f>
        <v/>
      </c>
      <c r="G4328" s="24" t="n"/>
      <c r="H4328" s="24" t="n"/>
      <c r="I4328" s="30" t="n"/>
      <c r="J4328" s="23">
        <f>IF(OR($H4328="",$I4328=""),"",$H4328*$I4328)</f>
        <v/>
      </c>
      <c r="K4328" s="24" t="n"/>
      <c r="L4328" s="24" t="n"/>
      <c r="M4328" s="29" t="n"/>
      <c r="N4328" s="28" t="n"/>
      <c r="O4328" s="24" t="n"/>
      <c r="P4328" s="24" t="n"/>
      <c r="Q4328" s="24" t="n"/>
      <c r="R4328" s="24" t="n"/>
      <c r="S4328" s="22">
        <f>IF(AND($A4328="",$C4328=""),"",IF($A4328="","Thiếu mã đơn; ","")&amp;IF(COUNTIF($A$2:$A4328,$A4328)&gt;1,"Trùng mã đơn; ","")&amp;IF(ISNA(MATCH($C4328,DATA_MASTER!$D$2:$D$5000,0)),"SĐT chưa đăng ký hội viên; ","")&amp;IF(AND($L4328="Đã chuyển khoản",$M4328=""),"Thiếu ngày nhận CK; ",""))</f>
        <v/>
      </c>
      <c r="T4328" s="24" t="n"/>
    </row>
    <row r="4329" ht="14.25" customHeight="1" s="40">
      <c r="A4329" s="24" t="n"/>
      <c r="B4329" s="29" t="n"/>
      <c r="C4329" s="28" t="n"/>
      <c r="D4329" s="22">
        <f t="array" ref="D4329">IF($C4329="","",IFERROR(INDEX(DATA_MASTER!$C$2:$C$5000,MATCH($C4329,DATA_MASTER!$D$2:$D$5000,0)),""))</f>
        <v/>
      </c>
      <c r="E4329" s="22">
        <f t="array" ref="E4329">IF($C4329="","",IFERROR(INDEX(DATA_MASTER!$I$2:$I$5000,MATCH($C4329,DATA_MASTER!$D$2:$D$5000,0)),""))</f>
        <v/>
      </c>
      <c r="F4329" s="22">
        <f t="array" ref="F4329">IF($C4329="","",IFERROR(INDEX(DATA_MASTER!$L$2:$L$5000,MATCH($C4329,DATA_MASTER!$D$2:$D$5000,0)),""))</f>
        <v/>
      </c>
      <c r="G4329" s="24" t="n"/>
      <c r="H4329" s="24" t="n"/>
      <c r="I4329" s="30" t="n"/>
      <c r="J4329" s="23">
        <f>IF(OR($H4329="",$I4329=""),"",$H4329*$I4329)</f>
        <v/>
      </c>
      <c r="K4329" s="24" t="n"/>
      <c r="L4329" s="24" t="n"/>
      <c r="M4329" s="29" t="n"/>
      <c r="N4329" s="28" t="n"/>
      <c r="O4329" s="24" t="n"/>
      <c r="P4329" s="24" t="n"/>
      <c r="Q4329" s="24" t="n"/>
      <c r="R4329" s="24" t="n"/>
      <c r="S4329" s="22">
        <f>IF(AND($A4329="",$C4329=""),"",IF($A4329="","Thiếu mã đơn; ","")&amp;IF(COUNTIF($A$2:$A4329,$A4329)&gt;1,"Trùng mã đơn; ","")&amp;IF(ISNA(MATCH($C4329,DATA_MASTER!$D$2:$D$5000,0)),"SĐT chưa đăng ký hội viên; ","")&amp;IF(AND($L4329="Đã chuyển khoản",$M4329=""),"Thiếu ngày nhận CK; ",""))</f>
        <v/>
      </c>
      <c r="T4329" s="24" t="n"/>
    </row>
    <row r="4330" ht="14.25" customHeight="1" s="40">
      <c r="A4330" s="24" t="n"/>
      <c r="B4330" s="29" t="n"/>
      <c r="C4330" s="28" t="n"/>
      <c r="D4330" s="22">
        <f t="array" ref="D4330">IF($C4330="","",IFERROR(INDEX(DATA_MASTER!$C$2:$C$5000,MATCH($C4330,DATA_MASTER!$D$2:$D$5000,0)),""))</f>
        <v/>
      </c>
      <c r="E4330" s="22">
        <f t="array" ref="E4330">IF($C4330="","",IFERROR(INDEX(DATA_MASTER!$I$2:$I$5000,MATCH($C4330,DATA_MASTER!$D$2:$D$5000,0)),""))</f>
        <v/>
      </c>
      <c r="F4330" s="22">
        <f t="array" ref="F4330">IF($C4330="","",IFERROR(INDEX(DATA_MASTER!$L$2:$L$5000,MATCH($C4330,DATA_MASTER!$D$2:$D$5000,0)),""))</f>
        <v/>
      </c>
      <c r="G4330" s="24" t="n"/>
      <c r="H4330" s="24" t="n"/>
      <c r="I4330" s="30" t="n"/>
      <c r="J4330" s="23">
        <f>IF(OR($H4330="",$I4330=""),"",$H4330*$I4330)</f>
        <v/>
      </c>
      <c r="K4330" s="24" t="n"/>
      <c r="L4330" s="24" t="n"/>
      <c r="M4330" s="29" t="n"/>
      <c r="N4330" s="28" t="n"/>
      <c r="O4330" s="24" t="n"/>
      <c r="P4330" s="24" t="n"/>
      <c r="Q4330" s="24" t="n"/>
      <c r="R4330" s="24" t="n"/>
      <c r="S4330" s="22">
        <f>IF(AND($A4330="",$C4330=""),"",IF($A4330="","Thiếu mã đơn; ","")&amp;IF(COUNTIF($A$2:$A4330,$A4330)&gt;1,"Trùng mã đơn; ","")&amp;IF(ISNA(MATCH($C4330,DATA_MASTER!$D$2:$D$5000,0)),"SĐT chưa đăng ký hội viên; ","")&amp;IF(AND($L4330="Đã chuyển khoản",$M4330=""),"Thiếu ngày nhận CK; ",""))</f>
        <v/>
      </c>
      <c r="T4330" s="24" t="n"/>
    </row>
    <row r="4331" ht="14.25" customHeight="1" s="40">
      <c r="A4331" s="24" t="n"/>
      <c r="B4331" s="29" t="n"/>
      <c r="C4331" s="28" t="n"/>
      <c r="D4331" s="22">
        <f t="array" ref="D4331">IF($C4331="","",IFERROR(INDEX(DATA_MASTER!$C$2:$C$5000,MATCH($C4331,DATA_MASTER!$D$2:$D$5000,0)),""))</f>
        <v/>
      </c>
      <c r="E4331" s="22">
        <f t="array" ref="E4331">IF($C4331="","",IFERROR(INDEX(DATA_MASTER!$I$2:$I$5000,MATCH($C4331,DATA_MASTER!$D$2:$D$5000,0)),""))</f>
        <v/>
      </c>
      <c r="F4331" s="22">
        <f t="array" ref="F4331">IF($C4331="","",IFERROR(INDEX(DATA_MASTER!$L$2:$L$5000,MATCH($C4331,DATA_MASTER!$D$2:$D$5000,0)),""))</f>
        <v/>
      </c>
      <c r="G4331" s="24" t="n"/>
      <c r="H4331" s="24" t="n"/>
      <c r="I4331" s="30" t="n"/>
      <c r="J4331" s="23">
        <f>IF(OR($H4331="",$I4331=""),"",$H4331*$I4331)</f>
        <v/>
      </c>
      <c r="K4331" s="24" t="n"/>
      <c r="L4331" s="24" t="n"/>
      <c r="M4331" s="29" t="n"/>
      <c r="N4331" s="28" t="n"/>
      <c r="O4331" s="24" t="n"/>
      <c r="P4331" s="24" t="n"/>
      <c r="Q4331" s="24" t="n"/>
      <c r="R4331" s="24" t="n"/>
      <c r="S4331" s="22">
        <f>IF(AND($A4331="",$C4331=""),"",IF($A4331="","Thiếu mã đơn; ","")&amp;IF(COUNTIF($A$2:$A4331,$A4331)&gt;1,"Trùng mã đơn; ","")&amp;IF(ISNA(MATCH($C4331,DATA_MASTER!$D$2:$D$5000,0)),"SĐT chưa đăng ký hội viên; ","")&amp;IF(AND($L4331="Đã chuyển khoản",$M4331=""),"Thiếu ngày nhận CK; ",""))</f>
        <v/>
      </c>
      <c r="T4331" s="24" t="n"/>
    </row>
    <row r="4332" ht="14.25" customHeight="1" s="40">
      <c r="A4332" s="24" t="n"/>
      <c r="B4332" s="29" t="n"/>
      <c r="C4332" s="28" t="n"/>
      <c r="D4332" s="22">
        <f t="array" ref="D4332">IF($C4332="","",IFERROR(INDEX(DATA_MASTER!$C$2:$C$5000,MATCH($C4332,DATA_MASTER!$D$2:$D$5000,0)),""))</f>
        <v/>
      </c>
      <c r="E4332" s="22">
        <f t="array" ref="E4332">IF($C4332="","",IFERROR(INDEX(DATA_MASTER!$I$2:$I$5000,MATCH($C4332,DATA_MASTER!$D$2:$D$5000,0)),""))</f>
        <v/>
      </c>
      <c r="F4332" s="22">
        <f t="array" ref="F4332">IF($C4332="","",IFERROR(INDEX(DATA_MASTER!$L$2:$L$5000,MATCH($C4332,DATA_MASTER!$D$2:$D$5000,0)),""))</f>
        <v/>
      </c>
      <c r="G4332" s="24" t="n"/>
      <c r="H4332" s="24" t="n"/>
      <c r="I4332" s="30" t="n"/>
      <c r="J4332" s="23">
        <f>IF(OR($H4332="",$I4332=""),"",$H4332*$I4332)</f>
        <v/>
      </c>
      <c r="K4332" s="24" t="n"/>
      <c r="L4332" s="24" t="n"/>
      <c r="M4332" s="29" t="n"/>
      <c r="N4332" s="28" t="n"/>
      <c r="O4332" s="24" t="n"/>
      <c r="P4332" s="24" t="n"/>
      <c r="Q4332" s="24" t="n"/>
      <c r="R4332" s="24" t="n"/>
      <c r="S4332" s="22">
        <f>IF(AND($A4332="",$C4332=""),"",IF($A4332="","Thiếu mã đơn; ","")&amp;IF(COUNTIF($A$2:$A4332,$A4332)&gt;1,"Trùng mã đơn; ","")&amp;IF(ISNA(MATCH($C4332,DATA_MASTER!$D$2:$D$5000,0)),"SĐT chưa đăng ký hội viên; ","")&amp;IF(AND($L4332="Đã chuyển khoản",$M4332=""),"Thiếu ngày nhận CK; ",""))</f>
        <v/>
      </c>
      <c r="T4332" s="24" t="n"/>
    </row>
    <row r="4333" ht="14.25" customHeight="1" s="40">
      <c r="A4333" s="24" t="n"/>
      <c r="B4333" s="29" t="n"/>
      <c r="C4333" s="28" t="n"/>
      <c r="D4333" s="22">
        <f t="array" ref="D4333">IF($C4333="","",IFERROR(INDEX(DATA_MASTER!$C$2:$C$5000,MATCH($C4333,DATA_MASTER!$D$2:$D$5000,0)),""))</f>
        <v/>
      </c>
      <c r="E4333" s="22">
        <f t="array" ref="E4333">IF($C4333="","",IFERROR(INDEX(DATA_MASTER!$I$2:$I$5000,MATCH($C4333,DATA_MASTER!$D$2:$D$5000,0)),""))</f>
        <v/>
      </c>
      <c r="F4333" s="22">
        <f t="array" ref="F4333">IF($C4333="","",IFERROR(INDEX(DATA_MASTER!$L$2:$L$5000,MATCH($C4333,DATA_MASTER!$D$2:$D$5000,0)),""))</f>
        <v/>
      </c>
      <c r="G4333" s="24" t="n"/>
      <c r="H4333" s="24" t="n"/>
      <c r="I4333" s="30" t="n"/>
      <c r="J4333" s="23">
        <f>IF(OR($H4333="",$I4333=""),"",$H4333*$I4333)</f>
        <v/>
      </c>
      <c r="K4333" s="24" t="n"/>
      <c r="L4333" s="24" t="n"/>
      <c r="M4333" s="29" t="n"/>
      <c r="N4333" s="28" t="n"/>
      <c r="O4333" s="24" t="n"/>
      <c r="P4333" s="24" t="n"/>
      <c r="Q4333" s="24" t="n"/>
      <c r="R4333" s="24" t="n"/>
      <c r="S4333" s="22">
        <f>IF(AND($A4333="",$C4333=""),"",IF($A4333="","Thiếu mã đơn; ","")&amp;IF(COUNTIF($A$2:$A4333,$A4333)&gt;1,"Trùng mã đơn; ","")&amp;IF(ISNA(MATCH($C4333,DATA_MASTER!$D$2:$D$5000,0)),"SĐT chưa đăng ký hội viên; ","")&amp;IF(AND($L4333="Đã chuyển khoản",$M4333=""),"Thiếu ngày nhận CK; ",""))</f>
        <v/>
      </c>
      <c r="T4333" s="24" t="n"/>
    </row>
    <row r="4334" ht="14.25" customHeight="1" s="40">
      <c r="A4334" s="24" t="n"/>
      <c r="B4334" s="29" t="n"/>
      <c r="C4334" s="28" t="n"/>
      <c r="D4334" s="22">
        <f t="array" ref="D4334">IF($C4334="","",IFERROR(INDEX(DATA_MASTER!$C$2:$C$5000,MATCH($C4334,DATA_MASTER!$D$2:$D$5000,0)),""))</f>
        <v/>
      </c>
      <c r="E4334" s="22">
        <f t="array" ref="E4334">IF($C4334="","",IFERROR(INDEX(DATA_MASTER!$I$2:$I$5000,MATCH($C4334,DATA_MASTER!$D$2:$D$5000,0)),""))</f>
        <v/>
      </c>
      <c r="F4334" s="22">
        <f t="array" ref="F4334">IF($C4334="","",IFERROR(INDEX(DATA_MASTER!$L$2:$L$5000,MATCH($C4334,DATA_MASTER!$D$2:$D$5000,0)),""))</f>
        <v/>
      </c>
      <c r="G4334" s="24" t="n"/>
      <c r="H4334" s="24" t="n"/>
      <c r="I4334" s="30" t="n"/>
      <c r="J4334" s="23">
        <f>IF(OR($H4334="",$I4334=""),"",$H4334*$I4334)</f>
        <v/>
      </c>
      <c r="K4334" s="24" t="n"/>
      <c r="L4334" s="24" t="n"/>
      <c r="M4334" s="29" t="n"/>
      <c r="N4334" s="28" t="n"/>
      <c r="O4334" s="24" t="n"/>
      <c r="P4334" s="24" t="n"/>
      <c r="Q4334" s="24" t="n"/>
      <c r="R4334" s="24" t="n"/>
      <c r="S4334" s="22">
        <f>IF(AND($A4334="",$C4334=""),"",IF($A4334="","Thiếu mã đơn; ","")&amp;IF(COUNTIF($A$2:$A4334,$A4334)&gt;1,"Trùng mã đơn; ","")&amp;IF(ISNA(MATCH($C4334,DATA_MASTER!$D$2:$D$5000,0)),"SĐT chưa đăng ký hội viên; ","")&amp;IF(AND($L4334="Đã chuyển khoản",$M4334=""),"Thiếu ngày nhận CK; ",""))</f>
        <v/>
      </c>
      <c r="T4334" s="24" t="n"/>
    </row>
    <row r="4335" ht="14.25" customHeight="1" s="40">
      <c r="A4335" s="24" t="n"/>
      <c r="B4335" s="29" t="n"/>
      <c r="C4335" s="28" t="n"/>
      <c r="D4335" s="22">
        <f t="array" ref="D4335">IF($C4335="","",IFERROR(INDEX(DATA_MASTER!$C$2:$C$5000,MATCH($C4335,DATA_MASTER!$D$2:$D$5000,0)),""))</f>
        <v/>
      </c>
      <c r="E4335" s="22">
        <f t="array" ref="E4335">IF($C4335="","",IFERROR(INDEX(DATA_MASTER!$I$2:$I$5000,MATCH($C4335,DATA_MASTER!$D$2:$D$5000,0)),""))</f>
        <v/>
      </c>
      <c r="F4335" s="22">
        <f t="array" ref="F4335">IF($C4335="","",IFERROR(INDEX(DATA_MASTER!$L$2:$L$5000,MATCH($C4335,DATA_MASTER!$D$2:$D$5000,0)),""))</f>
        <v/>
      </c>
      <c r="G4335" s="24" t="n"/>
      <c r="H4335" s="24" t="n"/>
      <c r="I4335" s="30" t="n"/>
      <c r="J4335" s="23">
        <f>IF(OR($H4335="",$I4335=""),"",$H4335*$I4335)</f>
        <v/>
      </c>
      <c r="K4335" s="24" t="n"/>
      <c r="L4335" s="24" t="n"/>
      <c r="M4335" s="29" t="n"/>
      <c r="N4335" s="28" t="n"/>
      <c r="O4335" s="24" t="n"/>
      <c r="P4335" s="24" t="n"/>
      <c r="Q4335" s="24" t="n"/>
      <c r="R4335" s="24" t="n"/>
      <c r="S4335" s="22">
        <f>IF(AND($A4335="",$C4335=""),"",IF($A4335="","Thiếu mã đơn; ","")&amp;IF(COUNTIF($A$2:$A4335,$A4335)&gt;1,"Trùng mã đơn; ","")&amp;IF(ISNA(MATCH($C4335,DATA_MASTER!$D$2:$D$5000,0)),"SĐT chưa đăng ký hội viên; ","")&amp;IF(AND($L4335="Đã chuyển khoản",$M4335=""),"Thiếu ngày nhận CK; ",""))</f>
        <v/>
      </c>
      <c r="T4335" s="24" t="n"/>
    </row>
    <row r="4336" ht="14.25" customHeight="1" s="40">
      <c r="A4336" s="24" t="n"/>
      <c r="B4336" s="29" t="n"/>
      <c r="C4336" s="28" t="n"/>
      <c r="D4336" s="22">
        <f t="array" ref="D4336">IF($C4336="","",IFERROR(INDEX(DATA_MASTER!$C$2:$C$5000,MATCH($C4336,DATA_MASTER!$D$2:$D$5000,0)),""))</f>
        <v/>
      </c>
      <c r="E4336" s="22">
        <f t="array" ref="E4336">IF($C4336="","",IFERROR(INDEX(DATA_MASTER!$I$2:$I$5000,MATCH($C4336,DATA_MASTER!$D$2:$D$5000,0)),""))</f>
        <v/>
      </c>
      <c r="F4336" s="22">
        <f t="array" ref="F4336">IF($C4336="","",IFERROR(INDEX(DATA_MASTER!$L$2:$L$5000,MATCH($C4336,DATA_MASTER!$D$2:$D$5000,0)),""))</f>
        <v/>
      </c>
      <c r="G4336" s="24" t="n"/>
      <c r="H4336" s="24" t="n"/>
      <c r="I4336" s="30" t="n"/>
      <c r="J4336" s="23">
        <f>IF(OR($H4336="",$I4336=""),"",$H4336*$I4336)</f>
        <v/>
      </c>
      <c r="K4336" s="24" t="n"/>
      <c r="L4336" s="24" t="n"/>
      <c r="M4336" s="29" t="n"/>
      <c r="N4336" s="28" t="n"/>
      <c r="O4336" s="24" t="n"/>
      <c r="P4336" s="24" t="n"/>
      <c r="Q4336" s="24" t="n"/>
      <c r="R4336" s="24" t="n"/>
      <c r="S4336" s="22">
        <f>IF(AND($A4336="",$C4336=""),"",IF($A4336="","Thiếu mã đơn; ","")&amp;IF(COUNTIF($A$2:$A4336,$A4336)&gt;1,"Trùng mã đơn; ","")&amp;IF(ISNA(MATCH($C4336,DATA_MASTER!$D$2:$D$5000,0)),"SĐT chưa đăng ký hội viên; ","")&amp;IF(AND($L4336="Đã chuyển khoản",$M4336=""),"Thiếu ngày nhận CK; ",""))</f>
        <v/>
      </c>
      <c r="T4336" s="24" t="n"/>
    </row>
    <row r="4337" ht="14.25" customHeight="1" s="40">
      <c r="A4337" s="24" t="n"/>
      <c r="B4337" s="29" t="n"/>
      <c r="C4337" s="28" t="n"/>
      <c r="D4337" s="22">
        <f t="array" ref="D4337">IF($C4337="","",IFERROR(INDEX(DATA_MASTER!$C$2:$C$5000,MATCH($C4337,DATA_MASTER!$D$2:$D$5000,0)),""))</f>
        <v/>
      </c>
      <c r="E4337" s="22">
        <f t="array" ref="E4337">IF($C4337="","",IFERROR(INDEX(DATA_MASTER!$I$2:$I$5000,MATCH($C4337,DATA_MASTER!$D$2:$D$5000,0)),""))</f>
        <v/>
      </c>
      <c r="F4337" s="22">
        <f t="array" ref="F4337">IF($C4337="","",IFERROR(INDEX(DATA_MASTER!$L$2:$L$5000,MATCH($C4337,DATA_MASTER!$D$2:$D$5000,0)),""))</f>
        <v/>
      </c>
      <c r="G4337" s="24" t="n"/>
      <c r="H4337" s="24" t="n"/>
      <c r="I4337" s="30" t="n"/>
      <c r="J4337" s="23">
        <f>IF(OR($H4337="",$I4337=""),"",$H4337*$I4337)</f>
        <v/>
      </c>
      <c r="K4337" s="24" t="n"/>
      <c r="L4337" s="24" t="n"/>
      <c r="M4337" s="29" t="n"/>
      <c r="N4337" s="28" t="n"/>
      <c r="O4337" s="24" t="n"/>
      <c r="P4337" s="24" t="n"/>
      <c r="Q4337" s="24" t="n"/>
      <c r="R4337" s="24" t="n"/>
      <c r="S4337" s="22">
        <f>IF(AND($A4337="",$C4337=""),"",IF($A4337="","Thiếu mã đơn; ","")&amp;IF(COUNTIF($A$2:$A4337,$A4337)&gt;1,"Trùng mã đơn; ","")&amp;IF(ISNA(MATCH($C4337,DATA_MASTER!$D$2:$D$5000,0)),"SĐT chưa đăng ký hội viên; ","")&amp;IF(AND($L4337="Đã chuyển khoản",$M4337=""),"Thiếu ngày nhận CK; ",""))</f>
        <v/>
      </c>
      <c r="T4337" s="24" t="n"/>
    </row>
    <row r="4338" ht="14.25" customHeight="1" s="40">
      <c r="A4338" s="24" t="n"/>
      <c r="B4338" s="29" t="n"/>
      <c r="C4338" s="28" t="n"/>
      <c r="D4338" s="22">
        <f t="array" ref="D4338">IF($C4338="","",IFERROR(INDEX(DATA_MASTER!$C$2:$C$5000,MATCH($C4338,DATA_MASTER!$D$2:$D$5000,0)),""))</f>
        <v/>
      </c>
      <c r="E4338" s="22">
        <f t="array" ref="E4338">IF($C4338="","",IFERROR(INDEX(DATA_MASTER!$I$2:$I$5000,MATCH($C4338,DATA_MASTER!$D$2:$D$5000,0)),""))</f>
        <v/>
      </c>
      <c r="F4338" s="22">
        <f t="array" ref="F4338">IF($C4338="","",IFERROR(INDEX(DATA_MASTER!$L$2:$L$5000,MATCH($C4338,DATA_MASTER!$D$2:$D$5000,0)),""))</f>
        <v/>
      </c>
      <c r="G4338" s="24" t="n"/>
      <c r="H4338" s="24" t="n"/>
      <c r="I4338" s="30" t="n"/>
      <c r="J4338" s="23">
        <f>IF(OR($H4338="",$I4338=""),"",$H4338*$I4338)</f>
        <v/>
      </c>
      <c r="K4338" s="24" t="n"/>
      <c r="L4338" s="24" t="n"/>
      <c r="M4338" s="29" t="n"/>
      <c r="N4338" s="28" t="n"/>
      <c r="O4338" s="24" t="n"/>
      <c r="P4338" s="24" t="n"/>
      <c r="Q4338" s="24" t="n"/>
      <c r="R4338" s="24" t="n"/>
      <c r="S4338" s="22">
        <f>IF(AND($A4338="",$C4338=""),"",IF($A4338="","Thiếu mã đơn; ","")&amp;IF(COUNTIF($A$2:$A4338,$A4338)&gt;1,"Trùng mã đơn; ","")&amp;IF(ISNA(MATCH($C4338,DATA_MASTER!$D$2:$D$5000,0)),"SĐT chưa đăng ký hội viên; ","")&amp;IF(AND($L4338="Đã chuyển khoản",$M4338=""),"Thiếu ngày nhận CK; ",""))</f>
        <v/>
      </c>
      <c r="T4338" s="24" t="n"/>
    </row>
    <row r="4339" ht="14.25" customHeight="1" s="40">
      <c r="A4339" s="24" t="n"/>
      <c r="B4339" s="29" t="n"/>
      <c r="C4339" s="28" t="n"/>
      <c r="D4339" s="22">
        <f t="array" ref="D4339">IF($C4339="","",IFERROR(INDEX(DATA_MASTER!$C$2:$C$5000,MATCH($C4339,DATA_MASTER!$D$2:$D$5000,0)),""))</f>
        <v/>
      </c>
      <c r="E4339" s="22">
        <f t="array" ref="E4339">IF($C4339="","",IFERROR(INDEX(DATA_MASTER!$I$2:$I$5000,MATCH($C4339,DATA_MASTER!$D$2:$D$5000,0)),""))</f>
        <v/>
      </c>
      <c r="F4339" s="22">
        <f t="array" ref="F4339">IF($C4339="","",IFERROR(INDEX(DATA_MASTER!$L$2:$L$5000,MATCH($C4339,DATA_MASTER!$D$2:$D$5000,0)),""))</f>
        <v/>
      </c>
      <c r="G4339" s="24" t="n"/>
      <c r="H4339" s="24" t="n"/>
      <c r="I4339" s="30" t="n"/>
      <c r="J4339" s="23">
        <f>IF(OR($H4339="",$I4339=""),"",$H4339*$I4339)</f>
        <v/>
      </c>
      <c r="K4339" s="24" t="n"/>
      <c r="L4339" s="24" t="n"/>
      <c r="M4339" s="29" t="n"/>
      <c r="N4339" s="28" t="n"/>
      <c r="O4339" s="24" t="n"/>
      <c r="P4339" s="24" t="n"/>
      <c r="Q4339" s="24" t="n"/>
      <c r="R4339" s="24" t="n"/>
      <c r="S4339" s="22">
        <f>IF(AND($A4339="",$C4339=""),"",IF($A4339="","Thiếu mã đơn; ","")&amp;IF(COUNTIF($A$2:$A4339,$A4339)&gt;1,"Trùng mã đơn; ","")&amp;IF(ISNA(MATCH($C4339,DATA_MASTER!$D$2:$D$5000,0)),"SĐT chưa đăng ký hội viên; ","")&amp;IF(AND($L4339="Đã chuyển khoản",$M4339=""),"Thiếu ngày nhận CK; ",""))</f>
        <v/>
      </c>
      <c r="T4339" s="24" t="n"/>
    </row>
    <row r="4340" ht="14.25" customHeight="1" s="40">
      <c r="A4340" s="24" t="n"/>
      <c r="B4340" s="29" t="n"/>
      <c r="C4340" s="28" t="n"/>
      <c r="D4340" s="22">
        <f t="array" ref="D4340">IF($C4340="","",IFERROR(INDEX(DATA_MASTER!$C$2:$C$5000,MATCH($C4340,DATA_MASTER!$D$2:$D$5000,0)),""))</f>
        <v/>
      </c>
      <c r="E4340" s="22">
        <f t="array" ref="E4340">IF($C4340="","",IFERROR(INDEX(DATA_MASTER!$I$2:$I$5000,MATCH($C4340,DATA_MASTER!$D$2:$D$5000,0)),""))</f>
        <v/>
      </c>
      <c r="F4340" s="22">
        <f t="array" ref="F4340">IF($C4340="","",IFERROR(INDEX(DATA_MASTER!$L$2:$L$5000,MATCH($C4340,DATA_MASTER!$D$2:$D$5000,0)),""))</f>
        <v/>
      </c>
      <c r="G4340" s="24" t="n"/>
      <c r="H4340" s="24" t="n"/>
      <c r="I4340" s="30" t="n"/>
      <c r="J4340" s="23">
        <f>IF(OR($H4340="",$I4340=""),"",$H4340*$I4340)</f>
        <v/>
      </c>
      <c r="K4340" s="24" t="n"/>
      <c r="L4340" s="24" t="n"/>
      <c r="M4340" s="29" t="n"/>
      <c r="N4340" s="28" t="n"/>
      <c r="O4340" s="24" t="n"/>
      <c r="P4340" s="24" t="n"/>
      <c r="Q4340" s="24" t="n"/>
      <c r="R4340" s="24" t="n"/>
      <c r="S4340" s="22">
        <f>IF(AND($A4340="",$C4340=""),"",IF($A4340="","Thiếu mã đơn; ","")&amp;IF(COUNTIF($A$2:$A4340,$A4340)&gt;1,"Trùng mã đơn; ","")&amp;IF(ISNA(MATCH($C4340,DATA_MASTER!$D$2:$D$5000,0)),"SĐT chưa đăng ký hội viên; ","")&amp;IF(AND($L4340="Đã chuyển khoản",$M4340=""),"Thiếu ngày nhận CK; ",""))</f>
        <v/>
      </c>
      <c r="T4340" s="24" t="n"/>
    </row>
    <row r="4341" ht="14.25" customHeight="1" s="40">
      <c r="A4341" s="24" t="n"/>
      <c r="B4341" s="29" t="n"/>
      <c r="C4341" s="28" t="n"/>
      <c r="D4341" s="22">
        <f t="array" ref="D4341">IF($C4341="","",IFERROR(INDEX(DATA_MASTER!$C$2:$C$5000,MATCH($C4341,DATA_MASTER!$D$2:$D$5000,0)),""))</f>
        <v/>
      </c>
      <c r="E4341" s="22">
        <f t="array" ref="E4341">IF($C4341="","",IFERROR(INDEX(DATA_MASTER!$I$2:$I$5000,MATCH($C4341,DATA_MASTER!$D$2:$D$5000,0)),""))</f>
        <v/>
      </c>
      <c r="F4341" s="22">
        <f t="array" ref="F4341">IF($C4341="","",IFERROR(INDEX(DATA_MASTER!$L$2:$L$5000,MATCH($C4341,DATA_MASTER!$D$2:$D$5000,0)),""))</f>
        <v/>
      </c>
      <c r="G4341" s="24" t="n"/>
      <c r="H4341" s="24" t="n"/>
      <c r="I4341" s="30" t="n"/>
      <c r="J4341" s="23">
        <f>IF(OR($H4341="",$I4341=""),"",$H4341*$I4341)</f>
        <v/>
      </c>
      <c r="K4341" s="24" t="n"/>
      <c r="L4341" s="24" t="n"/>
      <c r="M4341" s="29" t="n"/>
      <c r="N4341" s="28" t="n"/>
      <c r="O4341" s="24" t="n"/>
      <c r="P4341" s="24" t="n"/>
      <c r="Q4341" s="24" t="n"/>
      <c r="R4341" s="24" t="n"/>
      <c r="S4341" s="22">
        <f>IF(AND($A4341="",$C4341=""),"",IF($A4341="","Thiếu mã đơn; ","")&amp;IF(COUNTIF($A$2:$A4341,$A4341)&gt;1,"Trùng mã đơn; ","")&amp;IF(ISNA(MATCH($C4341,DATA_MASTER!$D$2:$D$5000,0)),"SĐT chưa đăng ký hội viên; ","")&amp;IF(AND($L4341="Đã chuyển khoản",$M4341=""),"Thiếu ngày nhận CK; ",""))</f>
        <v/>
      </c>
      <c r="T4341" s="24" t="n"/>
    </row>
    <row r="4342" ht="14.25" customHeight="1" s="40">
      <c r="A4342" s="24" t="n"/>
      <c r="B4342" s="29" t="n"/>
      <c r="C4342" s="28" t="n"/>
      <c r="D4342" s="22">
        <f t="array" ref="D4342">IF($C4342="","",IFERROR(INDEX(DATA_MASTER!$C$2:$C$5000,MATCH($C4342,DATA_MASTER!$D$2:$D$5000,0)),""))</f>
        <v/>
      </c>
      <c r="E4342" s="22">
        <f t="array" ref="E4342">IF($C4342="","",IFERROR(INDEX(DATA_MASTER!$I$2:$I$5000,MATCH($C4342,DATA_MASTER!$D$2:$D$5000,0)),""))</f>
        <v/>
      </c>
      <c r="F4342" s="22">
        <f t="array" ref="F4342">IF($C4342="","",IFERROR(INDEX(DATA_MASTER!$L$2:$L$5000,MATCH($C4342,DATA_MASTER!$D$2:$D$5000,0)),""))</f>
        <v/>
      </c>
      <c r="G4342" s="24" t="n"/>
      <c r="H4342" s="24" t="n"/>
      <c r="I4342" s="30" t="n"/>
      <c r="J4342" s="23">
        <f>IF(OR($H4342="",$I4342=""),"",$H4342*$I4342)</f>
        <v/>
      </c>
      <c r="K4342" s="24" t="n"/>
      <c r="L4342" s="24" t="n"/>
      <c r="M4342" s="29" t="n"/>
      <c r="N4342" s="28" t="n"/>
      <c r="O4342" s="24" t="n"/>
      <c r="P4342" s="24" t="n"/>
      <c r="Q4342" s="24" t="n"/>
      <c r="R4342" s="24" t="n"/>
      <c r="S4342" s="22">
        <f>IF(AND($A4342="",$C4342=""),"",IF($A4342="","Thiếu mã đơn; ","")&amp;IF(COUNTIF($A$2:$A4342,$A4342)&gt;1,"Trùng mã đơn; ","")&amp;IF(ISNA(MATCH($C4342,DATA_MASTER!$D$2:$D$5000,0)),"SĐT chưa đăng ký hội viên; ","")&amp;IF(AND($L4342="Đã chuyển khoản",$M4342=""),"Thiếu ngày nhận CK; ",""))</f>
        <v/>
      </c>
      <c r="T4342" s="24" t="n"/>
    </row>
    <row r="4343" ht="14.25" customHeight="1" s="40">
      <c r="A4343" s="24" t="n"/>
      <c r="B4343" s="29" t="n"/>
      <c r="C4343" s="28" t="n"/>
      <c r="D4343" s="22">
        <f t="array" ref="D4343">IF($C4343="","",IFERROR(INDEX(DATA_MASTER!$C$2:$C$5000,MATCH($C4343,DATA_MASTER!$D$2:$D$5000,0)),""))</f>
        <v/>
      </c>
      <c r="E4343" s="22">
        <f t="array" ref="E4343">IF($C4343="","",IFERROR(INDEX(DATA_MASTER!$I$2:$I$5000,MATCH($C4343,DATA_MASTER!$D$2:$D$5000,0)),""))</f>
        <v/>
      </c>
      <c r="F4343" s="22">
        <f t="array" ref="F4343">IF($C4343="","",IFERROR(INDEX(DATA_MASTER!$L$2:$L$5000,MATCH($C4343,DATA_MASTER!$D$2:$D$5000,0)),""))</f>
        <v/>
      </c>
      <c r="G4343" s="24" t="n"/>
      <c r="H4343" s="24" t="n"/>
      <c r="I4343" s="30" t="n"/>
      <c r="J4343" s="23">
        <f>IF(OR($H4343="",$I4343=""),"",$H4343*$I4343)</f>
        <v/>
      </c>
      <c r="K4343" s="24" t="n"/>
      <c r="L4343" s="24" t="n"/>
      <c r="M4343" s="29" t="n"/>
      <c r="N4343" s="28" t="n"/>
      <c r="O4343" s="24" t="n"/>
      <c r="P4343" s="24" t="n"/>
      <c r="Q4343" s="24" t="n"/>
      <c r="R4343" s="24" t="n"/>
      <c r="S4343" s="22">
        <f>IF(AND($A4343="",$C4343=""),"",IF($A4343="","Thiếu mã đơn; ","")&amp;IF(COUNTIF($A$2:$A4343,$A4343)&gt;1,"Trùng mã đơn; ","")&amp;IF(ISNA(MATCH($C4343,DATA_MASTER!$D$2:$D$5000,0)),"SĐT chưa đăng ký hội viên; ","")&amp;IF(AND($L4343="Đã chuyển khoản",$M4343=""),"Thiếu ngày nhận CK; ",""))</f>
        <v/>
      </c>
      <c r="T4343" s="24" t="n"/>
    </row>
    <row r="4344" ht="14.25" customHeight="1" s="40">
      <c r="A4344" s="24" t="n"/>
      <c r="B4344" s="29" t="n"/>
      <c r="C4344" s="28" t="n"/>
      <c r="D4344" s="22">
        <f t="array" ref="D4344">IF($C4344="","",IFERROR(INDEX(DATA_MASTER!$C$2:$C$5000,MATCH($C4344,DATA_MASTER!$D$2:$D$5000,0)),""))</f>
        <v/>
      </c>
      <c r="E4344" s="22">
        <f t="array" ref="E4344">IF($C4344="","",IFERROR(INDEX(DATA_MASTER!$I$2:$I$5000,MATCH($C4344,DATA_MASTER!$D$2:$D$5000,0)),""))</f>
        <v/>
      </c>
      <c r="F4344" s="22">
        <f t="array" ref="F4344">IF($C4344="","",IFERROR(INDEX(DATA_MASTER!$L$2:$L$5000,MATCH($C4344,DATA_MASTER!$D$2:$D$5000,0)),""))</f>
        <v/>
      </c>
      <c r="G4344" s="24" t="n"/>
      <c r="H4344" s="24" t="n"/>
      <c r="I4344" s="30" t="n"/>
      <c r="J4344" s="23">
        <f>IF(OR($H4344="",$I4344=""),"",$H4344*$I4344)</f>
        <v/>
      </c>
      <c r="K4344" s="24" t="n"/>
      <c r="L4344" s="24" t="n"/>
      <c r="M4344" s="29" t="n"/>
      <c r="N4344" s="28" t="n"/>
      <c r="O4344" s="24" t="n"/>
      <c r="P4344" s="24" t="n"/>
      <c r="Q4344" s="24" t="n"/>
      <c r="R4344" s="24" t="n"/>
      <c r="S4344" s="22">
        <f>IF(AND($A4344="",$C4344=""),"",IF($A4344="","Thiếu mã đơn; ","")&amp;IF(COUNTIF($A$2:$A4344,$A4344)&gt;1,"Trùng mã đơn; ","")&amp;IF(ISNA(MATCH($C4344,DATA_MASTER!$D$2:$D$5000,0)),"SĐT chưa đăng ký hội viên; ","")&amp;IF(AND($L4344="Đã chuyển khoản",$M4344=""),"Thiếu ngày nhận CK; ",""))</f>
        <v/>
      </c>
      <c r="T4344" s="24" t="n"/>
    </row>
    <row r="4345" ht="14.25" customHeight="1" s="40">
      <c r="A4345" s="24" t="n"/>
      <c r="B4345" s="29" t="n"/>
      <c r="C4345" s="28" t="n"/>
      <c r="D4345" s="22">
        <f t="array" ref="D4345">IF($C4345="","",IFERROR(INDEX(DATA_MASTER!$C$2:$C$5000,MATCH($C4345,DATA_MASTER!$D$2:$D$5000,0)),""))</f>
        <v/>
      </c>
      <c r="E4345" s="22">
        <f t="array" ref="E4345">IF($C4345="","",IFERROR(INDEX(DATA_MASTER!$I$2:$I$5000,MATCH($C4345,DATA_MASTER!$D$2:$D$5000,0)),""))</f>
        <v/>
      </c>
      <c r="F4345" s="22">
        <f t="array" ref="F4345">IF($C4345="","",IFERROR(INDEX(DATA_MASTER!$L$2:$L$5000,MATCH($C4345,DATA_MASTER!$D$2:$D$5000,0)),""))</f>
        <v/>
      </c>
      <c r="G4345" s="24" t="n"/>
      <c r="H4345" s="24" t="n"/>
      <c r="I4345" s="30" t="n"/>
      <c r="J4345" s="23">
        <f>IF(OR($H4345="",$I4345=""),"",$H4345*$I4345)</f>
        <v/>
      </c>
      <c r="K4345" s="24" t="n"/>
      <c r="L4345" s="24" t="n"/>
      <c r="M4345" s="29" t="n"/>
      <c r="N4345" s="28" t="n"/>
      <c r="O4345" s="24" t="n"/>
      <c r="P4345" s="24" t="n"/>
      <c r="Q4345" s="24" t="n"/>
      <c r="R4345" s="24" t="n"/>
      <c r="S4345" s="22">
        <f>IF(AND($A4345="",$C4345=""),"",IF($A4345="","Thiếu mã đơn; ","")&amp;IF(COUNTIF($A$2:$A4345,$A4345)&gt;1,"Trùng mã đơn; ","")&amp;IF(ISNA(MATCH($C4345,DATA_MASTER!$D$2:$D$5000,0)),"SĐT chưa đăng ký hội viên; ","")&amp;IF(AND($L4345="Đã chuyển khoản",$M4345=""),"Thiếu ngày nhận CK; ",""))</f>
        <v/>
      </c>
      <c r="T4345" s="24" t="n"/>
    </row>
    <row r="4346" ht="14.25" customHeight="1" s="40">
      <c r="A4346" s="24" t="n"/>
      <c r="B4346" s="29" t="n"/>
      <c r="C4346" s="28" t="n"/>
      <c r="D4346" s="22">
        <f t="array" ref="D4346">IF($C4346="","",IFERROR(INDEX(DATA_MASTER!$C$2:$C$5000,MATCH($C4346,DATA_MASTER!$D$2:$D$5000,0)),""))</f>
        <v/>
      </c>
      <c r="E4346" s="22">
        <f t="array" ref="E4346">IF($C4346="","",IFERROR(INDEX(DATA_MASTER!$I$2:$I$5000,MATCH($C4346,DATA_MASTER!$D$2:$D$5000,0)),""))</f>
        <v/>
      </c>
      <c r="F4346" s="22">
        <f t="array" ref="F4346">IF($C4346="","",IFERROR(INDEX(DATA_MASTER!$L$2:$L$5000,MATCH($C4346,DATA_MASTER!$D$2:$D$5000,0)),""))</f>
        <v/>
      </c>
      <c r="G4346" s="24" t="n"/>
      <c r="H4346" s="24" t="n"/>
      <c r="I4346" s="30" t="n"/>
      <c r="J4346" s="23">
        <f>IF(OR($H4346="",$I4346=""),"",$H4346*$I4346)</f>
        <v/>
      </c>
      <c r="K4346" s="24" t="n"/>
      <c r="L4346" s="24" t="n"/>
      <c r="M4346" s="29" t="n"/>
      <c r="N4346" s="28" t="n"/>
      <c r="O4346" s="24" t="n"/>
      <c r="P4346" s="24" t="n"/>
      <c r="Q4346" s="24" t="n"/>
      <c r="R4346" s="24" t="n"/>
      <c r="S4346" s="22">
        <f>IF(AND($A4346="",$C4346=""),"",IF($A4346="","Thiếu mã đơn; ","")&amp;IF(COUNTIF($A$2:$A4346,$A4346)&gt;1,"Trùng mã đơn; ","")&amp;IF(ISNA(MATCH($C4346,DATA_MASTER!$D$2:$D$5000,0)),"SĐT chưa đăng ký hội viên; ","")&amp;IF(AND($L4346="Đã chuyển khoản",$M4346=""),"Thiếu ngày nhận CK; ",""))</f>
        <v/>
      </c>
      <c r="T4346" s="24" t="n"/>
    </row>
    <row r="4347" ht="14.25" customHeight="1" s="40">
      <c r="A4347" s="24" t="n"/>
      <c r="B4347" s="29" t="n"/>
      <c r="C4347" s="28" t="n"/>
      <c r="D4347" s="22">
        <f t="array" ref="D4347">IF($C4347="","",IFERROR(INDEX(DATA_MASTER!$C$2:$C$5000,MATCH($C4347,DATA_MASTER!$D$2:$D$5000,0)),""))</f>
        <v/>
      </c>
      <c r="E4347" s="22">
        <f t="array" ref="E4347">IF($C4347="","",IFERROR(INDEX(DATA_MASTER!$I$2:$I$5000,MATCH($C4347,DATA_MASTER!$D$2:$D$5000,0)),""))</f>
        <v/>
      </c>
      <c r="F4347" s="22">
        <f t="array" ref="F4347">IF($C4347="","",IFERROR(INDEX(DATA_MASTER!$L$2:$L$5000,MATCH($C4347,DATA_MASTER!$D$2:$D$5000,0)),""))</f>
        <v/>
      </c>
      <c r="G4347" s="24" t="n"/>
      <c r="H4347" s="24" t="n"/>
      <c r="I4347" s="30" t="n"/>
      <c r="J4347" s="23">
        <f>IF(OR($H4347="",$I4347=""),"",$H4347*$I4347)</f>
        <v/>
      </c>
      <c r="K4347" s="24" t="n"/>
      <c r="L4347" s="24" t="n"/>
      <c r="M4347" s="29" t="n"/>
      <c r="N4347" s="28" t="n"/>
      <c r="O4347" s="24" t="n"/>
      <c r="P4347" s="24" t="n"/>
      <c r="Q4347" s="24" t="n"/>
      <c r="R4347" s="24" t="n"/>
      <c r="S4347" s="22">
        <f>IF(AND($A4347="",$C4347=""),"",IF($A4347="","Thiếu mã đơn; ","")&amp;IF(COUNTIF($A$2:$A4347,$A4347)&gt;1,"Trùng mã đơn; ","")&amp;IF(ISNA(MATCH($C4347,DATA_MASTER!$D$2:$D$5000,0)),"SĐT chưa đăng ký hội viên; ","")&amp;IF(AND($L4347="Đã chuyển khoản",$M4347=""),"Thiếu ngày nhận CK; ",""))</f>
        <v/>
      </c>
      <c r="T4347" s="24" t="n"/>
    </row>
    <row r="4348" ht="14.25" customHeight="1" s="40">
      <c r="A4348" s="24" t="n"/>
      <c r="B4348" s="29" t="n"/>
      <c r="C4348" s="28" t="n"/>
      <c r="D4348" s="22">
        <f t="array" ref="D4348">IF($C4348="","",IFERROR(INDEX(DATA_MASTER!$C$2:$C$5000,MATCH($C4348,DATA_MASTER!$D$2:$D$5000,0)),""))</f>
        <v/>
      </c>
      <c r="E4348" s="22">
        <f t="array" ref="E4348">IF($C4348="","",IFERROR(INDEX(DATA_MASTER!$I$2:$I$5000,MATCH($C4348,DATA_MASTER!$D$2:$D$5000,0)),""))</f>
        <v/>
      </c>
      <c r="F4348" s="22">
        <f t="array" ref="F4348">IF($C4348="","",IFERROR(INDEX(DATA_MASTER!$L$2:$L$5000,MATCH($C4348,DATA_MASTER!$D$2:$D$5000,0)),""))</f>
        <v/>
      </c>
      <c r="G4348" s="24" t="n"/>
      <c r="H4348" s="24" t="n"/>
      <c r="I4348" s="30" t="n"/>
      <c r="J4348" s="23">
        <f>IF(OR($H4348="",$I4348=""),"",$H4348*$I4348)</f>
        <v/>
      </c>
      <c r="K4348" s="24" t="n"/>
      <c r="L4348" s="24" t="n"/>
      <c r="M4348" s="29" t="n"/>
      <c r="N4348" s="28" t="n"/>
      <c r="O4348" s="24" t="n"/>
      <c r="P4348" s="24" t="n"/>
      <c r="Q4348" s="24" t="n"/>
      <c r="R4348" s="24" t="n"/>
      <c r="S4348" s="22">
        <f>IF(AND($A4348="",$C4348=""),"",IF($A4348="","Thiếu mã đơn; ","")&amp;IF(COUNTIF($A$2:$A4348,$A4348)&gt;1,"Trùng mã đơn; ","")&amp;IF(ISNA(MATCH($C4348,DATA_MASTER!$D$2:$D$5000,0)),"SĐT chưa đăng ký hội viên; ","")&amp;IF(AND($L4348="Đã chuyển khoản",$M4348=""),"Thiếu ngày nhận CK; ",""))</f>
        <v/>
      </c>
      <c r="T4348" s="24" t="n"/>
    </row>
    <row r="4349" ht="14.25" customHeight="1" s="40">
      <c r="A4349" s="24" t="n"/>
      <c r="B4349" s="29" t="n"/>
      <c r="C4349" s="28" t="n"/>
      <c r="D4349" s="22">
        <f t="array" ref="D4349">IF($C4349="","",IFERROR(INDEX(DATA_MASTER!$C$2:$C$5000,MATCH($C4349,DATA_MASTER!$D$2:$D$5000,0)),""))</f>
        <v/>
      </c>
      <c r="E4349" s="22">
        <f t="array" ref="E4349">IF($C4349="","",IFERROR(INDEX(DATA_MASTER!$I$2:$I$5000,MATCH($C4349,DATA_MASTER!$D$2:$D$5000,0)),""))</f>
        <v/>
      </c>
      <c r="F4349" s="22">
        <f t="array" ref="F4349">IF($C4349="","",IFERROR(INDEX(DATA_MASTER!$L$2:$L$5000,MATCH($C4349,DATA_MASTER!$D$2:$D$5000,0)),""))</f>
        <v/>
      </c>
      <c r="G4349" s="24" t="n"/>
      <c r="H4349" s="24" t="n"/>
      <c r="I4349" s="30" t="n"/>
      <c r="J4349" s="23">
        <f>IF(OR($H4349="",$I4349=""),"",$H4349*$I4349)</f>
        <v/>
      </c>
      <c r="K4349" s="24" t="n"/>
      <c r="L4349" s="24" t="n"/>
      <c r="M4349" s="29" t="n"/>
      <c r="N4349" s="28" t="n"/>
      <c r="O4349" s="24" t="n"/>
      <c r="P4349" s="24" t="n"/>
      <c r="Q4349" s="24" t="n"/>
      <c r="R4349" s="24" t="n"/>
      <c r="S4349" s="22">
        <f>IF(AND($A4349="",$C4349=""),"",IF($A4349="","Thiếu mã đơn; ","")&amp;IF(COUNTIF($A$2:$A4349,$A4349)&gt;1,"Trùng mã đơn; ","")&amp;IF(ISNA(MATCH($C4349,DATA_MASTER!$D$2:$D$5000,0)),"SĐT chưa đăng ký hội viên; ","")&amp;IF(AND($L4349="Đã chuyển khoản",$M4349=""),"Thiếu ngày nhận CK; ",""))</f>
        <v/>
      </c>
      <c r="T4349" s="24" t="n"/>
    </row>
    <row r="4350" ht="14.25" customHeight="1" s="40">
      <c r="A4350" s="24" t="n"/>
      <c r="B4350" s="29" t="n"/>
      <c r="C4350" s="28" t="n"/>
      <c r="D4350" s="22">
        <f t="array" ref="D4350">IF($C4350="","",IFERROR(INDEX(DATA_MASTER!$C$2:$C$5000,MATCH($C4350,DATA_MASTER!$D$2:$D$5000,0)),""))</f>
        <v/>
      </c>
      <c r="E4350" s="22">
        <f t="array" ref="E4350">IF($C4350="","",IFERROR(INDEX(DATA_MASTER!$I$2:$I$5000,MATCH($C4350,DATA_MASTER!$D$2:$D$5000,0)),""))</f>
        <v/>
      </c>
      <c r="F4350" s="22">
        <f t="array" ref="F4350">IF($C4350="","",IFERROR(INDEX(DATA_MASTER!$L$2:$L$5000,MATCH($C4350,DATA_MASTER!$D$2:$D$5000,0)),""))</f>
        <v/>
      </c>
      <c r="G4350" s="24" t="n"/>
      <c r="H4350" s="24" t="n"/>
      <c r="I4350" s="30" t="n"/>
      <c r="J4350" s="23">
        <f>IF(OR($H4350="",$I4350=""),"",$H4350*$I4350)</f>
        <v/>
      </c>
      <c r="K4350" s="24" t="n"/>
      <c r="L4350" s="24" t="n"/>
      <c r="M4350" s="29" t="n"/>
      <c r="N4350" s="28" t="n"/>
      <c r="O4350" s="24" t="n"/>
      <c r="P4350" s="24" t="n"/>
      <c r="Q4350" s="24" t="n"/>
      <c r="R4350" s="24" t="n"/>
      <c r="S4350" s="22">
        <f>IF(AND($A4350="",$C4350=""),"",IF($A4350="","Thiếu mã đơn; ","")&amp;IF(COUNTIF($A$2:$A4350,$A4350)&gt;1,"Trùng mã đơn; ","")&amp;IF(ISNA(MATCH($C4350,DATA_MASTER!$D$2:$D$5000,0)),"SĐT chưa đăng ký hội viên; ","")&amp;IF(AND($L4350="Đã chuyển khoản",$M4350=""),"Thiếu ngày nhận CK; ",""))</f>
        <v/>
      </c>
      <c r="T4350" s="24" t="n"/>
    </row>
    <row r="4351" ht="14.25" customHeight="1" s="40">
      <c r="A4351" s="24" t="n"/>
      <c r="B4351" s="29" t="n"/>
      <c r="C4351" s="28" t="n"/>
      <c r="D4351" s="22">
        <f t="array" ref="D4351">IF($C4351="","",IFERROR(INDEX(DATA_MASTER!$C$2:$C$5000,MATCH($C4351,DATA_MASTER!$D$2:$D$5000,0)),""))</f>
        <v/>
      </c>
      <c r="E4351" s="22">
        <f t="array" ref="E4351">IF($C4351="","",IFERROR(INDEX(DATA_MASTER!$I$2:$I$5000,MATCH($C4351,DATA_MASTER!$D$2:$D$5000,0)),""))</f>
        <v/>
      </c>
      <c r="F4351" s="22">
        <f t="array" ref="F4351">IF($C4351="","",IFERROR(INDEX(DATA_MASTER!$L$2:$L$5000,MATCH($C4351,DATA_MASTER!$D$2:$D$5000,0)),""))</f>
        <v/>
      </c>
      <c r="G4351" s="24" t="n"/>
      <c r="H4351" s="24" t="n"/>
      <c r="I4351" s="30" t="n"/>
      <c r="J4351" s="23">
        <f>IF(OR($H4351="",$I4351=""),"",$H4351*$I4351)</f>
        <v/>
      </c>
      <c r="K4351" s="24" t="n"/>
      <c r="L4351" s="24" t="n"/>
      <c r="M4351" s="29" t="n"/>
      <c r="N4351" s="28" t="n"/>
      <c r="O4351" s="24" t="n"/>
      <c r="P4351" s="24" t="n"/>
      <c r="Q4351" s="24" t="n"/>
      <c r="R4351" s="24" t="n"/>
      <c r="S4351" s="22">
        <f>IF(AND($A4351="",$C4351=""),"",IF($A4351="","Thiếu mã đơn; ","")&amp;IF(COUNTIF($A$2:$A4351,$A4351)&gt;1,"Trùng mã đơn; ","")&amp;IF(ISNA(MATCH($C4351,DATA_MASTER!$D$2:$D$5000,0)),"SĐT chưa đăng ký hội viên; ","")&amp;IF(AND($L4351="Đã chuyển khoản",$M4351=""),"Thiếu ngày nhận CK; ",""))</f>
        <v/>
      </c>
      <c r="T4351" s="24" t="n"/>
    </row>
    <row r="4352" ht="14.25" customHeight="1" s="40">
      <c r="A4352" s="24" t="n"/>
      <c r="B4352" s="29" t="n"/>
      <c r="C4352" s="28" t="n"/>
      <c r="D4352" s="22">
        <f t="array" ref="D4352">IF($C4352="","",IFERROR(INDEX(DATA_MASTER!$C$2:$C$5000,MATCH($C4352,DATA_MASTER!$D$2:$D$5000,0)),""))</f>
        <v/>
      </c>
      <c r="E4352" s="22">
        <f t="array" ref="E4352">IF($C4352="","",IFERROR(INDEX(DATA_MASTER!$I$2:$I$5000,MATCH($C4352,DATA_MASTER!$D$2:$D$5000,0)),""))</f>
        <v/>
      </c>
      <c r="F4352" s="22">
        <f t="array" ref="F4352">IF($C4352="","",IFERROR(INDEX(DATA_MASTER!$L$2:$L$5000,MATCH($C4352,DATA_MASTER!$D$2:$D$5000,0)),""))</f>
        <v/>
      </c>
      <c r="G4352" s="24" t="n"/>
      <c r="H4352" s="24" t="n"/>
      <c r="I4352" s="30" t="n"/>
      <c r="J4352" s="23">
        <f>IF(OR($H4352="",$I4352=""),"",$H4352*$I4352)</f>
        <v/>
      </c>
      <c r="K4352" s="24" t="n"/>
      <c r="L4352" s="24" t="n"/>
      <c r="M4352" s="29" t="n"/>
      <c r="N4352" s="28" t="n"/>
      <c r="O4352" s="24" t="n"/>
      <c r="P4352" s="24" t="n"/>
      <c r="Q4352" s="24" t="n"/>
      <c r="R4352" s="24" t="n"/>
      <c r="S4352" s="22">
        <f>IF(AND($A4352="",$C4352=""),"",IF($A4352="","Thiếu mã đơn; ","")&amp;IF(COUNTIF($A$2:$A4352,$A4352)&gt;1,"Trùng mã đơn; ","")&amp;IF(ISNA(MATCH($C4352,DATA_MASTER!$D$2:$D$5000,0)),"SĐT chưa đăng ký hội viên; ","")&amp;IF(AND($L4352="Đã chuyển khoản",$M4352=""),"Thiếu ngày nhận CK; ",""))</f>
        <v/>
      </c>
      <c r="T4352" s="24" t="n"/>
    </row>
    <row r="4353" ht="14.25" customHeight="1" s="40">
      <c r="A4353" s="24" t="n"/>
      <c r="B4353" s="29" t="n"/>
      <c r="C4353" s="28" t="n"/>
      <c r="D4353" s="22">
        <f t="array" ref="D4353">IF($C4353="","",IFERROR(INDEX(DATA_MASTER!$C$2:$C$5000,MATCH($C4353,DATA_MASTER!$D$2:$D$5000,0)),""))</f>
        <v/>
      </c>
      <c r="E4353" s="22">
        <f t="array" ref="E4353">IF($C4353="","",IFERROR(INDEX(DATA_MASTER!$I$2:$I$5000,MATCH($C4353,DATA_MASTER!$D$2:$D$5000,0)),""))</f>
        <v/>
      </c>
      <c r="F4353" s="22">
        <f t="array" ref="F4353">IF($C4353="","",IFERROR(INDEX(DATA_MASTER!$L$2:$L$5000,MATCH($C4353,DATA_MASTER!$D$2:$D$5000,0)),""))</f>
        <v/>
      </c>
      <c r="G4353" s="24" t="n"/>
      <c r="H4353" s="24" t="n"/>
      <c r="I4353" s="30" t="n"/>
      <c r="J4353" s="23">
        <f>IF(OR($H4353="",$I4353=""),"",$H4353*$I4353)</f>
        <v/>
      </c>
      <c r="K4353" s="24" t="n"/>
      <c r="L4353" s="24" t="n"/>
      <c r="M4353" s="29" t="n"/>
      <c r="N4353" s="28" t="n"/>
      <c r="O4353" s="24" t="n"/>
      <c r="P4353" s="24" t="n"/>
      <c r="Q4353" s="24" t="n"/>
      <c r="R4353" s="24" t="n"/>
      <c r="S4353" s="22">
        <f>IF(AND($A4353="",$C4353=""),"",IF($A4353="","Thiếu mã đơn; ","")&amp;IF(COUNTIF($A$2:$A4353,$A4353)&gt;1,"Trùng mã đơn; ","")&amp;IF(ISNA(MATCH($C4353,DATA_MASTER!$D$2:$D$5000,0)),"SĐT chưa đăng ký hội viên; ","")&amp;IF(AND($L4353="Đã chuyển khoản",$M4353=""),"Thiếu ngày nhận CK; ",""))</f>
        <v/>
      </c>
      <c r="T4353" s="24" t="n"/>
    </row>
    <row r="4354" ht="14.25" customHeight="1" s="40">
      <c r="A4354" s="24" t="n"/>
      <c r="B4354" s="29" t="n"/>
      <c r="C4354" s="28" t="n"/>
      <c r="D4354" s="22">
        <f t="array" ref="D4354">IF($C4354="","",IFERROR(INDEX(DATA_MASTER!$C$2:$C$5000,MATCH($C4354,DATA_MASTER!$D$2:$D$5000,0)),""))</f>
        <v/>
      </c>
      <c r="E4354" s="22">
        <f t="array" ref="E4354">IF($C4354="","",IFERROR(INDEX(DATA_MASTER!$I$2:$I$5000,MATCH($C4354,DATA_MASTER!$D$2:$D$5000,0)),""))</f>
        <v/>
      </c>
      <c r="F4354" s="22">
        <f t="array" ref="F4354">IF($C4354="","",IFERROR(INDEX(DATA_MASTER!$L$2:$L$5000,MATCH($C4354,DATA_MASTER!$D$2:$D$5000,0)),""))</f>
        <v/>
      </c>
      <c r="G4354" s="24" t="n"/>
      <c r="H4354" s="24" t="n"/>
      <c r="I4354" s="30" t="n"/>
      <c r="J4354" s="23">
        <f>IF(OR($H4354="",$I4354=""),"",$H4354*$I4354)</f>
        <v/>
      </c>
      <c r="K4354" s="24" t="n"/>
      <c r="L4354" s="24" t="n"/>
      <c r="M4354" s="29" t="n"/>
      <c r="N4354" s="28" t="n"/>
      <c r="O4354" s="24" t="n"/>
      <c r="P4354" s="24" t="n"/>
      <c r="Q4354" s="24" t="n"/>
      <c r="R4354" s="24" t="n"/>
      <c r="S4354" s="22">
        <f>IF(AND($A4354="",$C4354=""),"",IF($A4354="","Thiếu mã đơn; ","")&amp;IF(COUNTIF($A$2:$A4354,$A4354)&gt;1,"Trùng mã đơn; ","")&amp;IF(ISNA(MATCH($C4354,DATA_MASTER!$D$2:$D$5000,0)),"SĐT chưa đăng ký hội viên; ","")&amp;IF(AND($L4354="Đã chuyển khoản",$M4354=""),"Thiếu ngày nhận CK; ",""))</f>
        <v/>
      </c>
      <c r="T4354" s="24" t="n"/>
    </row>
    <row r="4355" ht="14.25" customHeight="1" s="40">
      <c r="A4355" s="24" t="n"/>
      <c r="B4355" s="29" t="n"/>
      <c r="C4355" s="28" t="n"/>
      <c r="D4355" s="22">
        <f t="array" ref="D4355">IF($C4355="","",IFERROR(INDEX(DATA_MASTER!$C$2:$C$5000,MATCH($C4355,DATA_MASTER!$D$2:$D$5000,0)),""))</f>
        <v/>
      </c>
      <c r="E4355" s="22">
        <f t="array" ref="E4355">IF($C4355="","",IFERROR(INDEX(DATA_MASTER!$I$2:$I$5000,MATCH($C4355,DATA_MASTER!$D$2:$D$5000,0)),""))</f>
        <v/>
      </c>
      <c r="F4355" s="22">
        <f t="array" ref="F4355">IF($C4355="","",IFERROR(INDEX(DATA_MASTER!$L$2:$L$5000,MATCH($C4355,DATA_MASTER!$D$2:$D$5000,0)),""))</f>
        <v/>
      </c>
      <c r="G4355" s="24" t="n"/>
      <c r="H4355" s="24" t="n"/>
      <c r="I4355" s="30" t="n"/>
      <c r="J4355" s="23">
        <f>IF(OR($H4355="",$I4355=""),"",$H4355*$I4355)</f>
        <v/>
      </c>
      <c r="K4355" s="24" t="n"/>
      <c r="L4355" s="24" t="n"/>
      <c r="M4355" s="29" t="n"/>
      <c r="N4355" s="28" t="n"/>
      <c r="O4355" s="24" t="n"/>
      <c r="P4355" s="24" t="n"/>
      <c r="Q4355" s="24" t="n"/>
      <c r="R4355" s="24" t="n"/>
      <c r="S4355" s="22">
        <f>IF(AND($A4355="",$C4355=""),"",IF($A4355="","Thiếu mã đơn; ","")&amp;IF(COUNTIF($A$2:$A4355,$A4355)&gt;1,"Trùng mã đơn; ","")&amp;IF(ISNA(MATCH($C4355,DATA_MASTER!$D$2:$D$5000,0)),"SĐT chưa đăng ký hội viên; ","")&amp;IF(AND($L4355="Đã chuyển khoản",$M4355=""),"Thiếu ngày nhận CK; ",""))</f>
        <v/>
      </c>
      <c r="T4355" s="24" t="n"/>
    </row>
    <row r="4356" ht="14.25" customHeight="1" s="40">
      <c r="A4356" s="24" t="n"/>
      <c r="B4356" s="29" t="n"/>
      <c r="C4356" s="28" t="n"/>
      <c r="D4356" s="22">
        <f t="array" ref="D4356">IF($C4356="","",IFERROR(INDEX(DATA_MASTER!$C$2:$C$5000,MATCH($C4356,DATA_MASTER!$D$2:$D$5000,0)),""))</f>
        <v/>
      </c>
      <c r="E4356" s="22">
        <f t="array" ref="E4356">IF($C4356="","",IFERROR(INDEX(DATA_MASTER!$I$2:$I$5000,MATCH($C4356,DATA_MASTER!$D$2:$D$5000,0)),""))</f>
        <v/>
      </c>
      <c r="F4356" s="22">
        <f t="array" ref="F4356">IF($C4356="","",IFERROR(INDEX(DATA_MASTER!$L$2:$L$5000,MATCH($C4356,DATA_MASTER!$D$2:$D$5000,0)),""))</f>
        <v/>
      </c>
      <c r="G4356" s="24" t="n"/>
      <c r="H4356" s="24" t="n"/>
      <c r="I4356" s="30" t="n"/>
      <c r="J4356" s="23">
        <f>IF(OR($H4356="",$I4356=""),"",$H4356*$I4356)</f>
        <v/>
      </c>
      <c r="K4356" s="24" t="n"/>
      <c r="L4356" s="24" t="n"/>
      <c r="M4356" s="29" t="n"/>
      <c r="N4356" s="28" t="n"/>
      <c r="O4356" s="24" t="n"/>
      <c r="P4356" s="24" t="n"/>
      <c r="Q4356" s="24" t="n"/>
      <c r="R4356" s="24" t="n"/>
      <c r="S4356" s="22">
        <f>IF(AND($A4356="",$C4356=""),"",IF($A4356="","Thiếu mã đơn; ","")&amp;IF(COUNTIF($A$2:$A4356,$A4356)&gt;1,"Trùng mã đơn; ","")&amp;IF(ISNA(MATCH($C4356,DATA_MASTER!$D$2:$D$5000,0)),"SĐT chưa đăng ký hội viên; ","")&amp;IF(AND($L4356="Đã chuyển khoản",$M4356=""),"Thiếu ngày nhận CK; ",""))</f>
        <v/>
      </c>
      <c r="T4356" s="24" t="n"/>
    </row>
    <row r="4357" ht="14.25" customHeight="1" s="40">
      <c r="A4357" s="24" t="n"/>
      <c r="B4357" s="29" t="n"/>
      <c r="C4357" s="28" t="n"/>
      <c r="D4357" s="22">
        <f t="array" ref="D4357">IF($C4357="","",IFERROR(INDEX(DATA_MASTER!$C$2:$C$5000,MATCH($C4357,DATA_MASTER!$D$2:$D$5000,0)),""))</f>
        <v/>
      </c>
      <c r="E4357" s="22">
        <f t="array" ref="E4357">IF($C4357="","",IFERROR(INDEX(DATA_MASTER!$I$2:$I$5000,MATCH($C4357,DATA_MASTER!$D$2:$D$5000,0)),""))</f>
        <v/>
      </c>
      <c r="F4357" s="22">
        <f t="array" ref="F4357">IF($C4357="","",IFERROR(INDEX(DATA_MASTER!$L$2:$L$5000,MATCH($C4357,DATA_MASTER!$D$2:$D$5000,0)),""))</f>
        <v/>
      </c>
      <c r="G4357" s="24" t="n"/>
      <c r="H4357" s="24" t="n"/>
      <c r="I4357" s="30" t="n"/>
      <c r="J4357" s="23">
        <f>IF(OR($H4357="",$I4357=""),"",$H4357*$I4357)</f>
        <v/>
      </c>
      <c r="K4357" s="24" t="n"/>
      <c r="L4357" s="24" t="n"/>
      <c r="M4357" s="29" t="n"/>
      <c r="N4357" s="28" t="n"/>
      <c r="O4357" s="24" t="n"/>
      <c r="P4357" s="24" t="n"/>
      <c r="Q4357" s="24" t="n"/>
      <c r="R4357" s="24" t="n"/>
      <c r="S4357" s="22">
        <f>IF(AND($A4357="",$C4357=""),"",IF($A4357="","Thiếu mã đơn; ","")&amp;IF(COUNTIF($A$2:$A4357,$A4357)&gt;1,"Trùng mã đơn; ","")&amp;IF(ISNA(MATCH($C4357,DATA_MASTER!$D$2:$D$5000,0)),"SĐT chưa đăng ký hội viên; ","")&amp;IF(AND($L4357="Đã chuyển khoản",$M4357=""),"Thiếu ngày nhận CK; ",""))</f>
        <v/>
      </c>
      <c r="T4357" s="24" t="n"/>
    </row>
    <row r="4358" ht="14.25" customHeight="1" s="40">
      <c r="A4358" s="24" t="n"/>
      <c r="B4358" s="29" t="n"/>
      <c r="C4358" s="28" t="n"/>
      <c r="D4358" s="22">
        <f t="array" ref="D4358">IF($C4358="","",IFERROR(INDEX(DATA_MASTER!$C$2:$C$5000,MATCH($C4358,DATA_MASTER!$D$2:$D$5000,0)),""))</f>
        <v/>
      </c>
      <c r="E4358" s="22">
        <f t="array" ref="E4358">IF($C4358="","",IFERROR(INDEX(DATA_MASTER!$I$2:$I$5000,MATCH($C4358,DATA_MASTER!$D$2:$D$5000,0)),""))</f>
        <v/>
      </c>
      <c r="F4358" s="22">
        <f t="array" ref="F4358">IF($C4358="","",IFERROR(INDEX(DATA_MASTER!$L$2:$L$5000,MATCH($C4358,DATA_MASTER!$D$2:$D$5000,0)),""))</f>
        <v/>
      </c>
      <c r="G4358" s="24" t="n"/>
      <c r="H4358" s="24" t="n"/>
      <c r="I4358" s="30" t="n"/>
      <c r="J4358" s="23">
        <f>IF(OR($H4358="",$I4358=""),"",$H4358*$I4358)</f>
        <v/>
      </c>
      <c r="K4358" s="24" t="n"/>
      <c r="L4358" s="24" t="n"/>
      <c r="M4358" s="29" t="n"/>
      <c r="N4358" s="28" t="n"/>
      <c r="O4358" s="24" t="n"/>
      <c r="P4358" s="24" t="n"/>
      <c r="Q4358" s="24" t="n"/>
      <c r="R4358" s="24" t="n"/>
      <c r="S4358" s="22">
        <f>IF(AND($A4358="",$C4358=""),"",IF($A4358="","Thiếu mã đơn; ","")&amp;IF(COUNTIF($A$2:$A4358,$A4358)&gt;1,"Trùng mã đơn; ","")&amp;IF(ISNA(MATCH($C4358,DATA_MASTER!$D$2:$D$5000,0)),"SĐT chưa đăng ký hội viên; ","")&amp;IF(AND($L4358="Đã chuyển khoản",$M4358=""),"Thiếu ngày nhận CK; ",""))</f>
        <v/>
      </c>
      <c r="T4358" s="24" t="n"/>
    </row>
    <row r="4359" ht="14.25" customHeight="1" s="40">
      <c r="A4359" s="24" t="n"/>
      <c r="B4359" s="29" t="n"/>
      <c r="C4359" s="28" t="n"/>
      <c r="D4359" s="22">
        <f t="array" ref="D4359">IF($C4359="","",IFERROR(INDEX(DATA_MASTER!$C$2:$C$5000,MATCH($C4359,DATA_MASTER!$D$2:$D$5000,0)),""))</f>
        <v/>
      </c>
      <c r="E4359" s="22">
        <f t="array" ref="E4359">IF($C4359="","",IFERROR(INDEX(DATA_MASTER!$I$2:$I$5000,MATCH($C4359,DATA_MASTER!$D$2:$D$5000,0)),""))</f>
        <v/>
      </c>
      <c r="F4359" s="22">
        <f t="array" ref="F4359">IF($C4359="","",IFERROR(INDEX(DATA_MASTER!$L$2:$L$5000,MATCH($C4359,DATA_MASTER!$D$2:$D$5000,0)),""))</f>
        <v/>
      </c>
      <c r="G4359" s="24" t="n"/>
      <c r="H4359" s="24" t="n"/>
      <c r="I4359" s="30" t="n"/>
      <c r="J4359" s="23">
        <f>IF(OR($H4359="",$I4359=""),"",$H4359*$I4359)</f>
        <v/>
      </c>
      <c r="K4359" s="24" t="n"/>
      <c r="L4359" s="24" t="n"/>
      <c r="M4359" s="29" t="n"/>
      <c r="N4359" s="28" t="n"/>
      <c r="O4359" s="24" t="n"/>
      <c r="P4359" s="24" t="n"/>
      <c r="Q4359" s="24" t="n"/>
      <c r="R4359" s="24" t="n"/>
      <c r="S4359" s="22">
        <f>IF(AND($A4359="",$C4359=""),"",IF($A4359="","Thiếu mã đơn; ","")&amp;IF(COUNTIF($A$2:$A4359,$A4359)&gt;1,"Trùng mã đơn; ","")&amp;IF(ISNA(MATCH($C4359,DATA_MASTER!$D$2:$D$5000,0)),"SĐT chưa đăng ký hội viên; ","")&amp;IF(AND($L4359="Đã chuyển khoản",$M4359=""),"Thiếu ngày nhận CK; ",""))</f>
        <v/>
      </c>
      <c r="T4359" s="24" t="n"/>
    </row>
    <row r="4360" ht="14.25" customHeight="1" s="40">
      <c r="A4360" s="24" t="n"/>
      <c r="B4360" s="29" t="n"/>
      <c r="C4360" s="28" t="n"/>
      <c r="D4360" s="22">
        <f t="array" ref="D4360">IF($C4360="","",IFERROR(INDEX(DATA_MASTER!$C$2:$C$5000,MATCH($C4360,DATA_MASTER!$D$2:$D$5000,0)),""))</f>
        <v/>
      </c>
      <c r="E4360" s="22">
        <f t="array" ref="E4360">IF($C4360="","",IFERROR(INDEX(DATA_MASTER!$I$2:$I$5000,MATCH($C4360,DATA_MASTER!$D$2:$D$5000,0)),""))</f>
        <v/>
      </c>
      <c r="F4360" s="22">
        <f t="array" ref="F4360">IF($C4360="","",IFERROR(INDEX(DATA_MASTER!$L$2:$L$5000,MATCH($C4360,DATA_MASTER!$D$2:$D$5000,0)),""))</f>
        <v/>
      </c>
      <c r="G4360" s="24" t="n"/>
      <c r="H4360" s="24" t="n"/>
      <c r="I4360" s="30" t="n"/>
      <c r="J4360" s="23">
        <f>IF(OR($H4360="",$I4360=""),"",$H4360*$I4360)</f>
        <v/>
      </c>
      <c r="K4360" s="24" t="n"/>
      <c r="L4360" s="24" t="n"/>
      <c r="M4360" s="29" t="n"/>
      <c r="N4360" s="28" t="n"/>
      <c r="O4360" s="24" t="n"/>
      <c r="P4360" s="24" t="n"/>
      <c r="Q4360" s="24" t="n"/>
      <c r="R4360" s="24" t="n"/>
      <c r="S4360" s="22">
        <f>IF(AND($A4360="",$C4360=""),"",IF($A4360="","Thiếu mã đơn; ","")&amp;IF(COUNTIF($A$2:$A4360,$A4360)&gt;1,"Trùng mã đơn; ","")&amp;IF(ISNA(MATCH($C4360,DATA_MASTER!$D$2:$D$5000,0)),"SĐT chưa đăng ký hội viên; ","")&amp;IF(AND($L4360="Đã chuyển khoản",$M4360=""),"Thiếu ngày nhận CK; ",""))</f>
        <v/>
      </c>
      <c r="T4360" s="24" t="n"/>
    </row>
    <row r="4361" ht="14.25" customHeight="1" s="40">
      <c r="A4361" s="24" t="n"/>
      <c r="B4361" s="29" t="n"/>
      <c r="C4361" s="28" t="n"/>
      <c r="D4361" s="22">
        <f t="array" ref="D4361">IF($C4361="","",IFERROR(INDEX(DATA_MASTER!$C$2:$C$5000,MATCH($C4361,DATA_MASTER!$D$2:$D$5000,0)),""))</f>
        <v/>
      </c>
      <c r="E4361" s="22">
        <f t="array" ref="E4361">IF($C4361="","",IFERROR(INDEX(DATA_MASTER!$I$2:$I$5000,MATCH($C4361,DATA_MASTER!$D$2:$D$5000,0)),""))</f>
        <v/>
      </c>
      <c r="F4361" s="22">
        <f t="array" ref="F4361">IF($C4361="","",IFERROR(INDEX(DATA_MASTER!$L$2:$L$5000,MATCH($C4361,DATA_MASTER!$D$2:$D$5000,0)),""))</f>
        <v/>
      </c>
      <c r="G4361" s="24" t="n"/>
      <c r="H4361" s="24" t="n"/>
      <c r="I4361" s="30" t="n"/>
      <c r="J4361" s="23">
        <f>IF(OR($H4361="",$I4361=""),"",$H4361*$I4361)</f>
        <v/>
      </c>
      <c r="K4361" s="24" t="n"/>
      <c r="L4361" s="24" t="n"/>
      <c r="M4361" s="29" t="n"/>
      <c r="N4361" s="28" t="n"/>
      <c r="O4361" s="24" t="n"/>
      <c r="P4361" s="24" t="n"/>
      <c r="Q4361" s="24" t="n"/>
      <c r="R4361" s="24" t="n"/>
      <c r="S4361" s="22">
        <f>IF(AND($A4361="",$C4361=""),"",IF($A4361="","Thiếu mã đơn; ","")&amp;IF(COUNTIF($A$2:$A4361,$A4361)&gt;1,"Trùng mã đơn; ","")&amp;IF(ISNA(MATCH($C4361,DATA_MASTER!$D$2:$D$5000,0)),"SĐT chưa đăng ký hội viên; ","")&amp;IF(AND($L4361="Đã chuyển khoản",$M4361=""),"Thiếu ngày nhận CK; ",""))</f>
        <v/>
      </c>
      <c r="T4361" s="24" t="n"/>
    </row>
    <row r="4362" ht="14.25" customHeight="1" s="40">
      <c r="A4362" s="24" t="n"/>
      <c r="B4362" s="29" t="n"/>
      <c r="C4362" s="28" t="n"/>
      <c r="D4362" s="22">
        <f t="array" ref="D4362">IF($C4362="","",IFERROR(INDEX(DATA_MASTER!$C$2:$C$5000,MATCH($C4362,DATA_MASTER!$D$2:$D$5000,0)),""))</f>
        <v/>
      </c>
      <c r="E4362" s="22">
        <f t="array" ref="E4362">IF($C4362="","",IFERROR(INDEX(DATA_MASTER!$I$2:$I$5000,MATCH($C4362,DATA_MASTER!$D$2:$D$5000,0)),""))</f>
        <v/>
      </c>
      <c r="F4362" s="22">
        <f t="array" ref="F4362">IF($C4362="","",IFERROR(INDEX(DATA_MASTER!$L$2:$L$5000,MATCH($C4362,DATA_MASTER!$D$2:$D$5000,0)),""))</f>
        <v/>
      </c>
      <c r="G4362" s="24" t="n"/>
      <c r="H4362" s="24" t="n"/>
      <c r="I4362" s="30" t="n"/>
      <c r="J4362" s="23">
        <f>IF(OR($H4362="",$I4362=""),"",$H4362*$I4362)</f>
        <v/>
      </c>
      <c r="K4362" s="24" t="n"/>
      <c r="L4362" s="24" t="n"/>
      <c r="M4362" s="29" t="n"/>
      <c r="N4362" s="28" t="n"/>
      <c r="O4362" s="24" t="n"/>
      <c r="P4362" s="24" t="n"/>
      <c r="Q4362" s="24" t="n"/>
      <c r="R4362" s="24" t="n"/>
      <c r="S4362" s="22">
        <f>IF(AND($A4362="",$C4362=""),"",IF($A4362="","Thiếu mã đơn; ","")&amp;IF(COUNTIF($A$2:$A4362,$A4362)&gt;1,"Trùng mã đơn; ","")&amp;IF(ISNA(MATCH($C4362,DATA_MASTER!$D$2:$D$5000,0)),"SĐT chưa đăng ký hội viên; ","")&amp;IF(AND($L4362="Đã chuyển khoản",$M4362=""),"Thiếu ngày nhận CK; ",""))</f>
        <v/>
      </c>
      <c r="T4362" s="24" t="n"/>
    </row>
    <row r="4363" ht="14.25" customHeight="1" s="40">
      <c r="A4363" s="24" t="n"/>
      <c r="B4363" s="29" t="n"/>
      <c r="C4363" s="28" t="n"/>
      <c r="D4363" s="22">
        <f t="array" ref="D4363">IF($C4363="","",IFERROR(INDEX(DATA_MASTER!$C$2:$C$5000,MATCH($C4363,DATA_MASTER!$D$2:$D$5000,0)),""))</f>
        <v/>
      </c>
      <c r="E4363" s="22">
        <f t="array" ref="E4363">IF($C4363="","",IFERROR(INDEX(DATA_MASTER!$I$2:$I$5000,MATCH($C4363,DATA_MASTER!$D$2:$D$5000,0)),""))</f>
        <v/>
      </c>
      <c r="F4363" s="22">
        <f t="array" ref="F4363">IF($C4363="","",IFERROR(INDEX(DATA_MASTER!$L$2:$L$5000,MATCH($C4363,DATA_MASTER!$D$2:$D$5000,0)),""))</f>
        <v/>
      </c>
      <c r="G4363" s="24" t="n"/>
      <c r="H4363" s="24" t="n"/>
      <c r="I4363" s="30" t="n"/>
      <c r="J4363" s="23">
        <f>IF(OR($H4363="",$I4363=""),"",$H4363*$I4363)</f>
        <v/>
      </c>
      <c r="K4363" s="24" t="n"/>
      <c r="L4363" s="24" t="n"/>
      <c r="M4363" s="29" t="n"/>
      <c r="N4363" s="28" t="n"/>
      <c r="O4363" s="24" t="n"/>
      <c r="P4363" s="24" t="n"/>
      <c r="Q4363" s="24" t="n"/>
      <c r="R4363" s="24" t="n"/>
      <c r="S4363" s="22">
        <f>IF(AND($A4363="",$C4363=""),"",IF($A4363="","Thiếu mã đơn; ","")&amp;IF(COUNTIF($A$2:$A4363,$A4363)&gt;1,"Trùng mã đơn; ","")&amp;IF(ISNA(MATCH($C4363,DATA_MASTER!$D$2:$D$5000,0)),"SĐT chưa đăng ký hội viên; ","")&amp;IF(AND($L4363="Đã chuyển khoản",$M4363=""),"Thiếu ngày nhận CK; ",""))</f>
        <v/>
      </c>
      <c r="T4363" s="24" t="n"/>
    </row>
    <row r="4364" ht="14.25" customHeight="1" s="40">
      <c r="A4364" s="24" t="n"/>
      <c r="B4364" s="29" t="n"/>
      <c r="C4364" s="28" t="n"/>
      <c r="D4364" s="22">
        <f t="array" ref="D4364">IF($C4364="","",IFERROR(INDEX(DATA_MASTER!$C$2:$C$5000,MATCH($C4364,DATA_MASTER!$D$2:$D$5000,0)),""))</f>
        <v/>
      </c>
      <c r="E4364" s="22">
        <f t="array" ref="E4364">IF($C4364="","",IFERROR(INDEX(DATA_MASTER!$I$2:$I$5000,MATCH($C4364,DATA_MASTER!$D$2:$D$5000,0)),""))</f>
        <v/>
      </c>
      <c r="F4364" s="22">
        <f t="array" ref="F4364">IF($C4364="","",IFERROR(INDEX(DATA_MASTER!$L$2:$L$5000,MATCH($C4364,DATA_MASTER!$D$2:$D$5000,0)),""))</f>
        <v/>
      </c>
      <c r="G4364" s="24" t="n"/>
      <c r="H4364" s="24" t="n"/>
      <c r="I4364" s="30" t="n"/>
      <c r="J4364" s="23">
        <f>IF(OR($H4364="",$I4364=""),"",$H4364*$I4364)</f>
        <v/>
      </c>
      <c r="K4364" s="24" t="n"/>
      <c r="L4364" s="24" t="n"/>
      <c r="M4364" s="29" t="n"/>
      <c r="N4364" s="28" t="n"/>
      <c r="O4364" s="24" t="n"/>
      <c r="P4364" s="24" t="n"/>
      <c r="Q4364" s="24" t="n"/>
      <c r="R4364" s="24" t="n"/>
      <c r="S4364" s="22">
        <f>IF(AND($A4364="",$C4364=""),"",IF($A4364="","Thiếu mã đơn; ","")&amp;IF(COUNTIF($A$2:$A4364,$A4364)&gt;1,"Trùng mã đơn; ","")&amp;IF(ISNA(MATCH($C4364,DATA_MASTER!$D$2:$D$5000,0)),"SĐT chưa đăng ký hội viên; ","")&amp;IF(AND($L4364="Đã chuyển khoản",$M4364=""),"Thiếu ngày nhận CK; ",""))</f>
        <v/>
      </c>
      <c r="T4364" s="24" t="n"/>
    </row>
    <row r="4365" ht="14.25" customHeight="1" s="40">
      <c r="A4365" s="24" t="n"/>
      <c r="B4365" s="29" t="n"/>
      <c r="C4365" s="28" t="n"/>
      <c r="D4365" s="22">
        <f t="array" ref="D4365">IF($C4365="","",IFERROR(INDEX(DATA_MASTER!$C$2:$C$5000,MATCH($C4365,DATA_MASTER!$D$2:$D$5000,0)),""))</f>
        <v/>
      </c>
      <c r="E4365" s="22">
        <f t="array" ref="E4365">IF($C4365="","",IFERROR(INDEX(DATA_MASTER!$I$2:$I$5000,MATCH($C4365,DATA_MASTER!$D$2:$D$5000,0)),""))</f>
        <v/>
      </c>
      <c r="F4365" s="22">
        <f t="array" ref="F4365">IF($C4365="","",IFERROR(INDEX(DATA_MASTER!$L$2:$L$5000,MATCH($C4365,DATA_MASTER!$D$2:$D$5000,0)),""))</f>
        <v/>
      </c>
      <c r="G4365" s="24" t="n"/>
      <c r="H4365" s="24" t="n"/>
      <c r="I4365" s="30" t="n"/>
      <c r="J4365" s="23">
        <f>IF(OR($H4365="",$I4365=""),"",$H4365*$I4365)</f>
        <v/>
      </c>
      <c r="K4365" s="24" t="n"/>
      <c r="L4365" s="24" t="n"/>
      <c r="M4365" s="29" t="n"/>
      <c r="N4365" s="28" t="n"/>
      <c r="O4365" s="24" t="n"/>
      <c r="P4365" s="24" t="n"/>
      <c r="Q4365" s="24" t="n"/>
      <c r="R4365" s="24" t="n"/>
      <c r="S4365" s="22">
        <f>IF(AND($A4365="",$C4365=""),"",IF($A4365="","Thiếu mã đơn; ","")&amp;IF(COUNTIF($A$2:$A4365,$A4365)&gt;1,"Trùng mã đơn; ","")&amp;IF(ISNA(MATCH($C4365,DATA_MASTER!$D$2:$D$5000,0)),"SĐT chưa đăng ký hội viên; ","")&amp;IF(AND($L4365="Đã chuyển khoản",$M4365=""),"Thiếu ngày nhận CK; ",""))</f>
        <v/>
      </c>
      <c r="T4365" s="24" t="n"/>
    </row>
    <row r="4366" ht="14.25" customHeight="1" s="40">
      <c r="A4366" s="24" t="n"/>
      <c r="B4366" s="29" t="n"/>
      <c r="C4366" s="28" t="n"/>
      <c r="D4366" s="22">
        <f t="array" ref="D4366">IF($C4366="","",IFERROR(INDEX(DATA_MASTER!$C$2:$C$5000,MATCH($C4366,DATA_MASTER!$D$2:$D$5000,0)),""))</f>
        <v/>
      </c>
      <c r="E4366" s="22">
        <f t="array" ref="E4366">IF($C4366="","",IFERROR(INDEX(DATA_MASTER!$I$2:$I$5000,MATCH($C4366,DATA_MASTER!$D$2:$D$5000,0)),""))</f>
        <v/>
      </c>
      <c r="F4366" s="22">
        <f t="array" ref="F4366">IF($C4366="","",IFERROR(INDEX(DATA_MASTER!$L$2:$L$5000,MATCH($C4366,DATA_MASTER!$D$2:$D$5000,0)),""))</f>
        <v/>
      </c>
      <c r="G4366" s="24" t="n"/>
      <c r="H4366" s="24" t="n"/>
      <c r="I4366" s="30" t="n"/>
      <c r="J4366" s="23">
        <f>IF(OR($H4366="",$I4366=""),"",$H4366*$I4366)</f>
        <v/>
      </c>
      <c r="K4366" s="24" t="n"/>
      <c r="L4366" s="24" t="n"/>
      <c r="M4366" s="29" t="n"/>
      <c r="N4366" s="28" t="n"/>
      <c r="O4366" s="24" t="n"/>
      <c r="P4366" s="24" t="n"/>
      <c r="Q4366" s="24" t="n"/>
      <c r="R4366" s="24" t="n"/>
      <c r="S4366" s="22">
        <f>IF(AND($A4366="",$C4366=""),"",IF($A4366="","Thiếu mã đơn; ","")&amp;IF(COUNTIF($A$2:$A4366,$A4366)&gt;1,"Trùng mã đơn; ","")&amp;IF(ISNA(MATCH($C4366,DATA_MASTER!$D$2:$D$5000,0)),"SĐT chưa đăng ký hội viên; ","")&amp;IF(AND($L4366="Đã chuyển khoản",$M4366=""),"Thiếu ngày nhận CK; ",""))</f>
        <v/>
      </c>
      <c r="T4366" s="24" t="n"/>
    </row>
    <row r="4367" ht="14.25" customHeight="1" s="40">
      <c r="A4367" s="24" t="n"/>
      <c r="B4367" s="29" t="n"/>
      <c r="C4367" s="28" t="n"/>
      <c r="D4367" s="22">
        <f t="array" ref="D4367">IF($C4367="","",IFERROR(INDEX(DATA_MASTER!$C$2:$C$5000,MATCH($C4367,DATA_MASTER!$D$2:$D$5000,0)),""))</f>
        <v/>
      </c>
      <c r="E4367" s="22">
        <f t="array" ref="E4367">IF($C4367="","",IFERROR(INDEX(DATA_MASTER!$I$2:$I$5000,MATCH($C4367,DATA_MASTER!$D$2:$D$5000,0)),""))</f>
        <v/>
      </c>
      <c r="F4367" s="22">
        <f t="array" ref="F4367">IF($C4367="","",IFERROR(INDEX(DATA_MASTER!$L$2:$L$5000,MATCH($C4367,DATA_MASTER!$D$2:$D$5000,0)),""))</f>
        <v/>
      </c>
      <c r="G4367" s="24" t="n"/>
      <c r="H4367" s="24" t="n"/>
      <c r="I4367" s="30" t="n"/>
      <c r="J4367" s="23">
        <f>IF(OR($H4367="",$I4367=""),"",$H4367*$I4367)</f>
        <v/>
      </c>
      <c r="K4367" s="24" t="n"/>
      <c r="L4367" s="24" t="n"/>
      <c r="M4367" s="29" t="n"/>
      <c r="N4367" s="28" t="n"/>
      <c r="O4367" s="24" t="n"/>
      <c r="P4367" s="24" t="n"/>
      <c r="Q4367" s="24" t="n"/>
      <c r="R4367" s="24" t="n"/>
      <c r="S4367" s="22">
        <f>IF(AND($A4367="",$C4367=""),"",IF($A4367="","Thiếu mã đơn; ","")&amp;IF(COUNTIF($A$2:$A4367,$A4367)&gt;1,"Trùng mã đơn; ","")&amp;IF(ISNA(MATCH($C4367,DATA_MASTER!$D$2:$D$5000,0)),"SĐT chưa đăng ký hội viên; ","")&amp;IF(AND($L4367="Đã chuyển khoản",$M4367=""),"Thiếu ngày nhận CK; ",""))</f>
        <v/>
      </c>
      <c r="T4367" s="24" t="n"/>
    </row>
    <row r="4368" ht="14.25" customHeight="1" s="40">
      <c r="A4368" s="24" t="n"/>
      <c r="B4368" s="29" t="n"/>
      <c r="C4368" s="28" t="n"/>
      <c r="D4368" s="22">
        <f t="array" ref="D4368">IF($C4368="","",IFERROR(INDEX(DATA_MASTER!$C$2:$C$5000,MATCH($C4368,DATA_MASTER!$D$2:$D$5000,0)),""))</f>
        <v/>
      </c>
      <c r="E4368" s="22">
        <f t="array" ref="E4368">IF($C4368="","",IFERROR(INDEX(DATA_MASTER!$I$2:$I$5000,MATCH($C4368,DATA_MASTER!$D$2:$D$5000,0)),""))</f>
        <v/>
      </c>
      <c r="F4368" s="22">
        <f t="array" ref="F4368">IF($C4368="","",IFERROR(INDEX(DATA_MASTER!$L$2:$L$5000,MATCH($C4368,DATA_MASTER!$D$2:$D$5000,0)),""))</f>
        <v/>
      </c>
      <c r="G4368" s="24" t="n"/>
      <c r="H4368" s="24" t="n"/>
      <c r="I4368" s="30" t="n"/>
      <c r="J4368" s="23">
        <f>IF(OR($H4368="",$I4368=""),"",$H4368*$I4368)</f>
        <v/>
      </c>
      <c r="K4368" s="24" t="n"/>
      <c r="L4368" s="24" t="n"/>
      <c r="M4368" s="29" t="n"/>
      <c r="N4368" s="28" t="n"/>
      <c r="O4368" s="24" t="n"/>
      <c r="P4368" s="24" t="n"/>
      <c r="Q4368" s="24" t="n"/>
      <c r="R4368" s="24" t="n"/>
      <c r="S4368" s="22">
        <f>IF(AND($A4368="",$C4368=""),"",IF($A4368="","Thiếu mã đơn; ","")&amp;IF(COUNTIF($A$2:$A4368,$A4368)&gt;1,"Trùng mã đơn; ","")&amp;IF(ISNA(MATCH($C4368,DATA_MASTER!$D$2:$D$5000,0)),"SĐT chưa đăng ký hội viên; ","")&amp;IF(AND($L4368="Đã chuyển khoản",$M4368=""),"Thiếu ngày nhận CK; ",""))</f>
        <v/>
      </c>
      <c r="T4368" s="24" t="n"/>
    </row>
    <row r="4369" ht="14.25" customHeight="1" s="40">
      <c r="A4369" s="24" t="n"/>
      <c r="B4369" s="29" t="n"/>
      <c r="C4369" s="28" t="n"/>
      <c r="D4369" s="22">
        <f t="array" ref="D4369">IF($C4369="","",IFERROR(INDEX(DATA_MASTER!$C$2:$C$5000,MATCH($C4369,DATA_MASTER!$D$2:$D$5000,0)),""))</f>
        <v/>
      </c>
      <c r="E4369" s="22">
        <f t="array" ref="E4369">IF($C4369="","",IFERROR(INDEX(DATA_MASTER!$I$2:$I$5000,MATCH($C4369,DATA_MASTER!$D$2:$D$5000,0)),""))</f>
        <v/>
      </c>
      <c r="F4369" s="22">
        <f t="array" ref="F4369">IF($C4369="","",IFERROR(INDEX(DATA_MASTER!$L$2:$L$5000,MATCH($C4369,DATA_MASTER!$D$2:$D$5000,0)),""))</f>
        <v/>
      </c>
      <c r="G4369" s="24" t="n"/>
      <c r="H4369" s="24" t="n"/>
      <c r="I4369" s="30" t="n"/>
      <c r="J4369" s="23">
        <f>IF(OR($H4369="",$I4369=""),"",$H4369*$I4369)</f>
        <v/>
      </c>
      <c r="K4369" s="24" t="n"/>
      <c r="L4369" s="24" t="n"/>
      <c r="M4369" s="29" t="n"/>
      <c r="N4369" s="28" t="n"/>
      <c r="O4369" s="24" t="n"/>
      <c r="P4369" s="24" t="n"/>
      <c r="Q4369" s="24" t="n"/>
      <c r="R4369" s="24" t="n"/>
      <c r="S4369" s="22">
        <f>IF(AND($A4369="",$C4369=""),"",IF($A4369="","Thiếu mã đơn; ","")&amp;IF(COUNTIF($A$2:$A4369,$A4369)&gt;1,"Trùng mã đơn; ","")&amp;IF(ISNA(MATCH($C4369,DATA_MASTER!$D$2:$D$5000,0)),"SĐT chưa đăng ký hội viên; ","")&amp;IF(AND($L4369="Đã chuyển khoản",$M4369=""),"Thiếu ngày nhận CK; ",""))</f>
        <v/>
      </c>
      <c r="T4369" s="24" t="n"/>
    </row>
    <row r="4370" ht="14.25" customHeight="1" s="40">
      <c r="A4370" s="24" t="n"/>
      <c r="B4370" s="29" t="n"/>
      <c r="C4370" s="28" t="n"/>
      <c r="D4370" s="22">
        <f t="array" ref="D4370">IF($C4370="","",IFERROR(INDEX(DATA_MASTER!$C$2:$C$5000,MATCH($C4370,DATA_MASTER!$D$2:$D$5000,0)),""))</f>
        <v/>
      </c>
      <c r="E4370" s="22">
        <f t="array" ref="E4370">IF($C4370="","",IFERROR(INDEX(DATA_MASTER!$I$2:$I$5000,MATCH($C4370,DATA_MASTER!$D$2:$D$5000,0)),""))</f>
        <v/>
      </c>
      <c r="F4370" s="22">
        <f t="array" ref="F4370">IF($C4370="","",IFERROR(INDEX(DATA_MASTER!$L$2:$L$5000,MATCH($C4370,DATA_MASTER!$D$2:$D$5000,0)),""))</f>
        <v/>
      </c>
      <c r="G4370" s="24" t="n"/>
      <c r="H4370" s="24" t="n"/>
      <c r="I4370" s="30" t="n"/>
      <c r="J4370" s="23">
        <f>IF(OR($H4370="",$I4370=""),"",$H4370*$I4370)</f>
        <v/>
      </c>
      <c r="K4370" s="24" t="n"/>
      <c r="L4370" s="24" t="n"/>
      <c r="M4370" s="29" t="n"/>
      <c r="N4370" s="28" t="n"/>
      <c r="O4370" s="24" t="n"/>
      <c r="P4370" s="24" t="n"/>
      <c r="Q4370" s="24" t="n"/>
      <c r="R4370" s="24" t="n"/>
      <c r="S4370" s="22">
        <f>IF(AND($A4370="",$C4370=""),"",IF($A4370="","Thiếu mã đơn; ","")&amp;IF(COUNTIF($A$2:$A4370,$A4370)&gt;1,"Trùng mã đơn; ","")&amp;IF(ISNA(MATCH($C4370,DATA_MASTER!$D$2:$D$5000,0)),"SĐT chưa đăng ký hội viên; ","")&amp;IF(AND($L4370="Đã chuyển khoản",$M4370=""),"Thiếu ngày nhận CK; ",""))</f>
        <v/>
      </c>
      <c r="T4370" s="24" t="n"/>
    </row>
    <row r="4371" ht="14.25" customHeight="1" s="40">
      <c r="A4371" s="24" t="n"/>
      <c r="B4371" s="29" t="n"/>
      <c r="C4371" s="28" t="n"/>
      <c r="D4371" s="22">
        <f t="array" ref="D4371">IF($C4371="","",IFERROR(INDEX(DATA_MASTER!$C$2:$C$5000,MATCH($C4371,DATA_MASTER!$D$2:$D$5000,0)),""))</f>
        <v/>
      </c>
      <c r="E4371" s="22">
        <f t="array" ref="E4371">IF($C4371="","",IFERROR(INDEX(DATA_MASTER!$I$2:$I$5000,MATCH($C4371,DATA_MASTER!$D$2:$D$5000,0)),""))</f>
        <v/>
      </c>
      <c r="F4371" s="22">
        <f t="array" ref="F4371">IF($C4371="","",IFERROR(INDEX(DATA_MASTER!$L$2:$L$5000,MATCH($C4371,DATA_MASTER!$D$2:$D$5000,0)),""))</f>
        <v/>
      </c>
      <c r="G4371" s="24" t="n"/>
      <c r="H4371" s="24" t="n"/>
      <c r="I4371" s="30" t="n"/>
      <c r="J4371" s="23">
        <f>IF(OR($H4371="",$I4371=""),"",$H4371*$I4371)</f>
        <v/>
      </c>
      <c r="K4371" s="24" t="n"/>
      <c r="L4371" s="24" t="n"/>
      <c r="M4371" s="29" t="n"/>
      <c r="N4371" s="28" t="n"/>
      <c r="O4371" s="24" t="n"/>
      <c r="P4371" s="24" t="n"/>
      <c r="Q4371" s="24" t="n"/>
      <c r="R4371" s="24" t="n"/>
      <c r="S4371" s="22">
        <f>IF(AND($A4371="",$C4371=""),"",IF($A4371="","Thiếu mã đơn; ","")&amp;IF(COUNTIF($A$2:$A4371,$A4371)&gt;1,"Trùng mã đơn; ","")&amp;IF(ISNA(MATCH($C4371,DATA_MASTER!$D$2:$D$5000,0)),"SĐT chưa đăng ký hội viên; ","")&amp;IF(AND($L4371="Đã chuyển khoản",$M4371=""),"Thiếu ngày nhận CK; ",""))</f>
        <v/>
      </c>
      <c r="T4371" s="24" t="n"/>
    </row>
    <row r="4372" ht="14.25" customHeight="1" s="40">
      <c r="A4372" s="24" t="n"/>
      <c r="B4372" s="29" t="n"/>
      <c r="C4372" s="28" t="n"/>
      <c r="D4372" s="22">
        <f t="array" ref="D4372">IF($C4372="","",IFERROR(INDEX(DATA_MASTER!$C$2:$C$5000,MATCH($C4372,DATA_MASTER!$D$2:$D$5000,0)),""))</f>
        <v/>
      </c>
      <c r="E4372" s="22">
        <f t="array" ref="E4372">IF($C4372="","",IFERROR(INDEX(DATA_MASTER!$I$2:$I$5000,MATCH($C4372,DATA_MASTER!$D$2:$D$5000,0)),""))</f>
        <v/>
      </c>
      <c r="F4372" s="22">
        <f t="array" ref="F4372">IF($C4372="","",IFERROR(INDEX(DATA_MASTER!$L$2:$L$5000,MATCH($C4372,DATA_MASTER!$D$2:$D$5000,0)),""))</f>
        <v/>
      </c>
      <c r="G4372" s="24" t="n"/>
      <c r="H4372" s="24" t="n"/>
      <c r="I4372" s="30" t="n"/>
      <c r="J4372" s="23">
        <f>IF(OR($H4372="",$I4372=""),"",$H4372*$I4372)</f>
        <v/>
      </c>
      <c r="K4372" s="24" t="n"/>
      <c r="L4372" s="24" t="n"/>
      <c r="M4372" s="29" t="n"/>
      <c r="N4372" s="28" t="n"/>
      <c r="O4372" s="24" t="n"/>
      <c r="P4372" s="24" t="n"/>
      <c r="Q4372" s="24" t="n"/>
      <c r="R4372" s="24" t="n"/>
      <c r="S4372" s="22">
        <f>IF(AND($A4372="",$C4372=""),"",IF($A4372="","Thiếu mã đơn; ","")&amp;IF(COUNTIF($A$2:$A4372,$A4372)&gt;1,"Trùng mã đơn; ","")&amp;IF(ISNA(MATCH($C4372,DATA_MASTER!$D$2:$D$5000,0)),"SĐT chưa đăng ký hội viên; ","")&amp;IF(AND($L4372="Đã chuyển khoản",$M4372=""),"Thiếu ngày nhận CK; ",""))</f>
        <v/>
      </c>
      <c r="T4372" s="24" t="n"/>
    </row>
    <row r="4373" ht="14.25" customHeight="1" s="40">
      <c r="A4373" s="24" t="n"/>
      <c r="B4373" s="29" t="n"/>
      <c r="C4373" s="28" t="n"/>
      <c r="D4373" s="22">
        <f t="array" ref="D4373">IF($C4373="","",IFERROR(INDEX(DATA_MASTER!$C$2:$C$5000,MATCH($C4373,DATA_MASTER!$D$2:$D$5000,0)),""))</f>
        <v/>
      </c>
      <c r="E4373" s="22">
        <f t="array" ref="E4373">IF($C4373="","",IFERROR(INDEX(DATA_MASTER!$I$2:$I$5000,MATCH($C4373,DATA_MASTER!$D$2:$D$5000,0)),""))</f>
        <v/>
      </c>
      <c r="F4373" s="22">
        <f t="array" ref="F4373">IF($C4373="","",IFERROR(INDEX(DATA_MASTER!$L$2:$L$5000,MATCH($C4373,DATA_MASTER!$D$2:$D$5000,0)),""))</f>
        <v/>
      </c>
      <c r="G4373" s="24" t="n"/>
      <c r="H4373" s="24" t="n"/>
      <c r="I4373" s="30" t="n"/>
      <c r="J4373" s="23">
        <f>IF(OR($H4373="",$I4373=""),"",$H4373*$I4373)</f>
        <v/>
      </c>
      <c r="K4373" s="24" t="n"/>
      <c r="L4373" s="24" t="n"/>
      <c r="M4373" s="29" t="n"/>
      <c r="N4373" s="28" t="n"/>
      <c r="O4373" s="24" t="n"/>
      <c r="P4373" s="24" t="n"/>
      <c r="Q4373" s="24" t="n"/>
      <c r="R4373" s="24" t="n"/>
      <c r="S4373" s="22">
        <f>IF(AND($A4373="",$C4373=""),"",IF($A4373="","Thiếu mã đơn; ","")&amp;IF(COUNTIF($A$2:$A4373,$A4373)&gt;1,"Trùng mã đơn; ","")&amp;IF(ISNA(MATCH($C4373,DATA_MASTER!$D$2:$D$5000,0)),"SĐT chưa đăng ký hội viên; ","")&amp;IF(AND($L4373="Đã chuyển khoản",$M4373=""),"Thiếu ngày nhận CK; ",""))</f>
        <v/>
      </c>
      <c r="T4373" s="24" t="n"/>
    </row>
    <row r="4374" ht="14.25" customHeight="1" s="40">
      <c r="A4374" s="24" t="n"/>
      <c r="B4374" s="29" t="n"/>
      <c r="C4374" s="28" t="n"/>
      <c r="D4374" s="22">
        <f t="array" ref="D4374">IF($C4374="","",IFERROR(INDEX(DATA_MASTER!$C$2:$C$5000,MATCH($C4374,DATA_MASTER!$D$2:$D$5000,0)),""))</f>
        <v/>
      </c>
      <c r="E4374" s="22">
        <f t="array" ref="E4374">IF($C4374="","",IFERROR(INDEX(DATA_MASTER!$I$2:$I$5000,MATCH($C4374,DATA_MASTER!$D$2:$D$5000,0)),""))</f>
        <v/>
      </c>
      <c r="F4374" s="22">
        <f t="array" ref="F4374">IF($C4374="","",IFERROR(INDEX(DATA_MASTER!$L$2:$L$5000,MATCH($C4374,DATA_MASTER!$D$2:$D$5000,0)),""))</f>
        <v/>
      </c>
      <c r="G4374" s="24" t="n"/>
      <c r="H4374" s="24" t="n"/>
      <c r="I4374" s="30" t="n"/>
      <c r="J4374" s="23">
        <f>IF(OR($H4374="",$I4374=""),"",$H4374*$I4374)</f>
        <v/>
      </c>
      <c r="K4374" s="24" t="n"/>
      <c r="L4374" s="24" t="n"/>
      <c r="M4374" s="29" t="n"/>
      <c r="N4374" s="28" t="n"/>
      <c r="O4374" s="24" t="n"/>
      <c r="P4374" s="24" t="n"/>
      <c r="Q4374" s="24" t="n"/>
      <c r="R4374" s="24" t="n"/>
      <c r="S4374" s="22">
        <f>IF(AND($A4374="",$C4374=""),"",IF($A4374="","Thiếu mã đơn; ","")&amp;IF(COUNTIF($A$2:$A4374,$A4374)&gt;1,"Trùng mã đơn; ","")&amp;IF(ISNA(MATCH($C4374,DATA_MASTER!$D$2:$D$5000,0)),"SĐT chưa đăng ký hội viên; ","")&amp;IF(AND($L4374="Đã chuyển khoản",$M4374=""),"Thiếu ngày nhận CK; ",""))</f>
        <v/>
      </c>
      <c r="T4374" s="24" t="n"/>
    </row>
    <row r="4375" ht="14.25" customHeight="1" s="40">
      <c r="A4375" s="24" t="n"/>
      <c r="B4375" s="29" t="n"/>
      <c r="C4375" s="28" t="n"/>
      <c r="D4375" s="22">
        <f t="array" ref="D4375">IF($C4375="","",IFERROR(INDEX(DATA_MASTER!$C$2:$C$5000,MATCH($C4375,DATA_MASTER!$D$2:$D$5000,0)),""))</f>
        <v/>
      </c>
      <c r="E4375" s="22">
        <f t="array" ref="E4375">IF($C4375="","",IFERROR(INDEX(DATA_MASTER!$I$2:$I$5000,MATCH($C4375,DATA_MASTER!$D$2:$D$5000,0)),""))</f>
        <v/>
      </c>
      <c r="F4375" s="22">
        <f t="array" ref="F4375">IF($C4375="","",IFERROR(INDEX(DATA_MASTER!$L$2:$L$5000,MATCH($C4375,DATA_MASTER!$D$2:$D$5000,0)),""))</f>
        <v/>
      </c>
      <c r="G4375" s="24" t="n"/>
      <c r="H4375" s="24" t="n"/>
      <c r="I4375" s="30" t="n"/>
      <c r="J4375" s="23">
        <f>IF(OR($H4375="",$I4375=""),"",$H4375*$I4375)</f>
        <v/>
      </c>
      <c r="K4375" s="24" t="n"/>
      <c r="L4375" s="24" t="n"/>
      <c r="M4375" s="29" t="n"/>
      <c r="N4375" s="28" t="n"/>
      <c r="O4375" s="24" t="n"/>
      <c r="P4375" s="24" t="n"/>
      <c r="Q4375" s="24" t="n"/>
      <c r="R4375" s="24" t="n"/>
      <c r="S4375" s="22">
        <f>IF(AND($A4375="",$C4375=""),"",IF($A4375="","Thiếu mã đơn; ","")&amp;IF(COUNTIF($A$2:$A4375,$A4375)&gt;1,"Trùng mã đơn; ","")&amp;IF(ISNA(MATCH($C4375,DATA_MASTER!$D$2:$D$5000,0)),"SĐT chưa đăng ký hội viên; ","")&amp;IF(AND($L4375="Đã chuyển khoản",$M4375=""),"Thiếu ngày nhận CK; ",""))</f>
        <v/>
      </c>
      <c r="T4375" s="24" t="n"/>
    </row>
    <row r="4376" ht="14.25" customHeight="1" s="40">
      <c r="A4376" s="24" t="n"/>
      <c r="B4376" s="29" t="n"/>
      <c r="C4376" s="28" t="n"/>
      <c r="D4376" s="22">
        <f t="array" ref="D4376">IF($C4376="","",IFERROR(INDEX(DATA_MASTER!$C$2:$C$5000,MATCH($C4376,DATA_MASTER!$D$2:$D$5000,0)),""))</f>
        <v/>
      </c>
      <c r="E4376" s="22">
        <f t="array" ref="E4376">IF($C4376="","",IFERROR(INDEX(DATA_MASTER!$I$2:$I$5000,MATCH($C4376,DATA_MASTER!$D$2:$D$5000,0)),""))</f>
        <v/>
      </c>
      <c r="F4376" s="22">
        <f t="array" ref="F4376">IF($C4376="","",IFERROR(INDEX(DATA_MASTER!$L$2:$L$5000,MATCH($C4376,DATA_MASTER!$D$2:$D$5000,0)),""))</f>
        <v/>
      </c>
      <c r="G4376" s="24" t="n"/>
      <c r="H4376" s="24" t="n"/>
      <c r="I4376" s="30" t="n"/>
      <c r="J4376" s="23">
        <f>IF(OR($H4376="",$I4376=""),"",$H4376*$I4376)</f>
        <v/>
      </c>
      <c r="K4376" s="24" t="n"/>
      <c r="L4376" s="24" t="n"/>
      <c r="M4376" s="29" t="n"/>
      <c r="N4376" s="28" t="n"/>
      <c r="O4376" s="24" t="n"/>
      <c r="P4376" s="24" t="n"/>
      <c r="Q4376" s="24" t="n"/>
      <c r="R4376" s="24" t="n"/>
      <c r="S4376" s="22">
        <f>IF(AND($A4376="",$C4376=""),"",IF($A4376="","Thiếu mã đơn; ","")&amp;IF(COUNTIF($A$2:$A4376,$A4376)&gt;1,"Trùng mã đơn; ","")&amp;IF(ISNA(MATCH($C4376,DATA_MASTER!$D$2:$D$5000,0)),"SĐT chưa đăng ký hội viên; ","")&amp;IF(AND($L4376="Đã chuyển khoản",$M4376=""),"Thiếu ngày nhận CK; ",""))</f>
        <v/>
      </c>
      <c r="T4376" s="24" t="n"/>
    </row>
    <row r="4377" ht="14.25" customHeight="1" s="40">
      <c r="A4377" s="24" t="n"/>
      <c r="B4377" s="29" t="n"/>
      <c r="C4377" s="28" t="n"/>
      <c r="D4377" s="22">
        <f t="array" ref="D4377">IF($C4377="","",IFERROR(INDEX(DATA_MASTER!$C$2:$C$5000,MATCH($C4377,DATA_MASTER!$D$2:$D$5000,0)),""))</f>
        <v/>
      </c>
      <c r="E4377" s="22">
        <f t="array" ref="E4377">IF($C4377="","",IFERROR(INDEX(DATA_MASTER!$I$2:$I$5000,MATCH($C4377,DATA_MASTER!$D$2:$D$5000,0)),""))</f>
        <v/>
      </c>
      <c r="F4377" s="22">
        <f t="array" ref="F4377">IF($C4377="","",IFERROR(INDEX(DATA_MASTER!$L$2:$L$5000,MATCH($C4377,DATA_MASTER!$D$2:$D$5000,0)),""))</f>
        <v/>
      </c>
      <c r="G4377" s="24" t="n"/>
      <c r="H4377" s="24" t="n"/>
      <c r="I4377" s="30" t="n"/>
      <c r="J4377" s="23">
        <f>IF(OR($H4377="",$I4377=""),"",$H4377*$I4377)</f>
        <v/>
      </c>
      <c r="K4377" s="24" t="n"/>
      <c r="L4377" s="24" t="n"/>
      <c r="M4377" s="29" t="n"/>
      <c r="N4377" s="28" t="n"/>
      <c r="O4377" s="24" t="n"/>
      <c r="P4377" s="24" t="n"/>
      <c r="Q4377" s="24" t="n"/>
      <c r="R4377" s="24" t="n"/>
      <c r="S4377" s="22">
        <f>IF(AND($A4377="",$C4377=""),"",IF($A4377="","Thiếu mã đơn; ","")&amp;IF(COUNTIF($A$2:$A4377,$A4377)&gt;1,"Trùng mã đơn; ","")&amp;IF(ISNA(MATCH($C4377,DATA_MASTER!$D$2:$D$5000,0)),"SĐT chưa đăng ký hội viên; ","")&amp;IF(AND($L4377="Đã chuyển khoản",$M4377=""),"Thiếu ngày nhận CK; ",""))</f>
        <v/>
      </c>
      <c r="T4377" s="24" t="n"/>
    </row>
    <row r="4378" ht="14.25" customHeight="1" s="40">
      <c r="A4378" s="24" t="n"/>
      <c r="B4378" s="29" t="n"/>
      <c r="C4378" s="28" t="n"/>
      <c r="D4378" s="22">
        <f t="array" ref="D4378">IF($C4378="","",IFERROR(INDEX(DATA_MASTER!$C$2:$C$5000,MATCH($C4378,DATA_MASTER!$D$2:$D$5000,0)),""))</f>
        <v/>
      </c>
      <c r="E4378" s="22">
        <f t="array" ref="E4378">IF($C4378="","",IFERROR(INDEX(DATA_MASTER!$I$2:$I$5000,MATCH($C4378,DATA_MASTER!$D$2:$D$5000,0)),""))</f>
        <v/>
      </c>
      <c r="F4378" s="22">
        <f t="array" ref="F4378">IF($C4378="","",IFERROR(INDEX(DATA_MASTER!$L$2:$L$5000,MATCH($C4378,DATA_MASTER!$D$2:$D$5000,0)),""))</f>
        <v/>
      </c>
      <c r="G4378" s="24" t="n"/>
      <c r="H4378" s="24" t="n"/>
      <c r="I4378" s="30" t="n"/>
      <c r="J4378" s="23">
        <f>IF(OR($H4378="",$I4378=""),"",$H4378*$I4378)</f>
        <v/>
      </c>
      <c r="K4378" s="24" t="n"/>
      <c r="L4378" s="24" t="n"/>
      <c r="M4378" s="29" t="n"/>
      <c r="N4378" s="28" t="n"/>
      <c r="O4378" s="24" t="n"/>
      <c r="P4378" s="24" t="n"/>
      <c r="Q4378" s="24" t="n"/>
      <c r="R4378" s="24" t="n"/>
      <c r="S4378" s="22">
        <f>IF(AND($A4378="",$C4378=""),"",IF($A4378="","Thiếu mã đơn; ","")&amp;IF(COUNTIF($A$2:$A4378,$A4378)&gt;1,"Trùng mã đơn; ","")&amp;IF(ISNA(MATCH($C4378,DATA_MASTER!$D$2:$D$5000,0)),"SĐT chưa đăng ký hội viên; ","")&amp;IF(AND($L4378="Đã chuyển khoản",$M4378=""),"Thiếu ngày nhận CK; ",""))</f>
        <v/>
      </c>
      <c r="T4378" s="24" t="n"/>
    </row>
    <row r="4379" ht="14.25" customHeight="1" s="40">
      <c r="A4379" s="24" t="n"/>
      <c r="B4379" s="29" t="n"/>
      <c r="C4379" s="28" t="n"/>
      <c r="D4379" s="22">
        <f t="array" ref="D4379">IF($C4379="","",IFERROR(INDEX(DATA_MASTER!$C$2:$C$5000,MATCH($C4379,DATA_MASTER!$D$2:$D$5000,0)),""))</f>
        <v/>
      </c>
      <c r="E4379" s="22">
        <f t="array" ref="E4379">IF($C4379="","",IFERROR(INDEX(DATA_MASTER!$I$2:$I$5000,MATCH($C4379,DATA_MASTER!$D$2:$D$5000,0)),""))</f>
        <v/>
      </c>
      <c r="F4379" s="22">
        <f t="array" ref="F4379">IF($C4379="","",IFERROR(INDEX(DATA_MASTER!$L$2:$L$5000,MATCH($C4379,DATA_MASTER!$D$2:$D$5000,0)),""))</f>
        <v/>
      </c>
      <c r="G4379" s="24" t="n"/>
      <c r="H4379" s="24" t="n"/>
      <c r="I4379" s="30" t="n"/>
      <c r="J4379" s="23">
        <f>IF(OR($H4379="",$I4379=""),"",$H4379*$I4379)</f>
        <v/>
      </c>
      <c r="K4379" s="24" t="n"/>
      <c r="L4379" s="24" t="n"/>
      <c r="M4379" s="29" t="n"/>
      <c r="N4379" s="28" t="n"/>
      <c r="O4379" s="24" t="n"/>
      <c r="P4379" s="24" t="n"/>
      <c r="Q4379" s="24" t="n"/>
      <c r="R4379" s="24" t="n"/>
      <c r="S4379" s="22">
        <f>IF(AND($A4379="",$C4379=""),"",IF($A4379="","Thiếu mã đơn; ","")&amp;IF(COUNTIF($A$2:$A4379,$A4379)&gt;1,"Trùng mã đơn; ","")&amp;IF(ISNA(MATCH($C4379,DATA_MASTER!$D$2:$D$5000,0)),"SĐT chưa đăng ký hội viên; ","")&amp;IF(AND($L4379="Đã chuyển khoản",$M4379=""),"Thiếu ngày nhận CK; ",""))</f>
        <v/>
      </c>
      <c r="T4379" s="24" t="n"/>
    </row>
    <row r="4380" ht="14.25" customHeight="1" s="40">
      <c r="A4380" s="24" t="n"/>
      <c r="B4380" s="29" t="n"/>
      <c r="C4380" s="28" t="n"/>
      <c r="D4380" s="22">
        <f t="array" ref="D4380">IF($C4380="","",IFERROR(INDEX(DATA_MASTER!$C$2:$C$5000,MATCH($C4380,DATA_MASTER!$D$2:$D$5000,0)),""))</f>
        <v/>
      </c>
      <c r="E4380" s="22">
        <f t="array" ref="E4380">IF($C4380="","",IFERROR(INDEX(DATA_MASTER!$I$2:$I$5000,MATCH($C4380,DATA_MASTER!$D$2:$D$5000,0)),""))</f>
        <v/>
      </c>
      <c r="F4380" s="22">
        <f t="array" ref="F4380">IF($C4380="","",IFERROR(INDEX(DATA_MASTER!$L$2:$L$5000,MATCH($C4380,DATA_MASTER!$D$2:$D$5000,0)),""))</f>
        <v/>
      </c>
      <c r="G4380" s="24" t="n"/>
      <c r="H4380" s="24" t="n"/>
      <c r="I4380" s="30" t="n"/>
      <c r="J4380" s="23">
        <f>IF(OR($H4380="",$I4380=""),"",$H4380*$I4380)</f>
        <v/>
      </c>
      <c r="K4380" s="24" t="n"/>
      <c r="L4380" s="24" t="n"/>
      <c r="M4380" s="29" t="n"/>
      <c r="N4380" s="28" t="n"/>
      <c r="O4380" s="24" t="n"/>
      <c r="P4380" s="24" t="n"/>
      <c r="Q4380" s="24" t="n"/>
      <c r="R4380" s="24" t="n"/>
      <c r="S4380" s="22">
        <f>IF(AND($A4380="",$C4380=""),"",IF($A4380="","Thiếu mã đơn; ","")&amp;IF(COUNTIF($A$2:$A4380,$A4380)&gt;1,"Trùng mã đơn; ","")&amp;IF(ISNA(MATCH($C4380,DATA_MASTER!$D$2:$D$5000,0)),"SĐT chưa đăng ký hội viên; ","")&amp;IF(AND($L4380="Đã chuyển khoản",$M4380=""),"Thiếu ngày nhận CK; ",""))</f>
        <v/>
      </c>
      <c r="T4380" s="24" t="n"/>
    </row>
    <row r="4381" ht="14.25" customHeight="1" s="40">
      <c r="A4381" s="24" t="n"/>
      <c r="B4381" s="29" t="n"/>
      <c r="C4381" s="28" t="n"/>
      <c r="D4381" s="22">
        <f t="array" ref="D4381">IF($C4381="","",IFERROR(INDEX(DATA_MASTER!$C$2:$C$5000,MATCH($C4381,DATA_MASTER!$D$2:$D$5000,0)),""))</f>
        <v/>
      </c>
      <c r="E4381" s="22">
        <f t="array" ref="E4381">IF($C4381="","",IFERROR(INDEX(DATA_MASTER!$I$2:$I$5000,MATCH($C4381,DATA_MASTER!$D$2:$D$5000,0)),""))</f>
        <v/>
      </c>
      <c r="F4381" s="22">
        <f t="array" ref="F4381">IF($C4381="","",IFERROR(INDEX(DATA_MASTER!$L$2:$L$5000,MATCH($C4381,DATA_MASTER!$D$2:$D$5000,0)),""))</f>
        <v/>
      </c>
      <c r="G4381" s="24" t="n"/>
      <c r="H4381" s="24" t="n"/>
      <c r="I4381" s="30" t="n"/>
      <c r="J4381" s="23">
        <f>IF(OR($H4381="",$I4381=""),"",$H4381*$I4381)</f>
        <v/>
      </c>
      <c r="K4381" s="24" t="n"/>
      <c r="L4381" s="24" t="n"/>
      <c r="M4381" s="29" t="n"/>
      <c r="N4381" s="28" t="n"/>
      <c r="O4381" s="24" t="n"/>
      <c r="P4381" s="24" t="n"/>
      <c r="Q4381" s="24" t="n"/>
      <c r="R4381" s="24" t="n"/>
      <c r="S4381" s="22">
        <f>IF(AND($A4381="",$C4381=""),"",IF($A4381="","Thiếu mã đơn; ","")&amp;IF(COUNTIF($A$2:$A4381,$A4381)&gt;1,"Trùng mã đơn; ","")&amp;IF(ISNA(MATCH($C4381,DATA_MASTER!$D$2:$D$5000,0)),"SĐT chưa đăng ký hội viên; ","")&amp;IF(AND($L4381="Đã chuyển khoản",$M4381=""),"Thiếu ngày nhận CK; ",""))</f>
        <v/>
      </c>
      <c r="T4381" s="24" t="n"/>
    </row>
    <row r="4382" ht="14.25" customHeight="1" s="40">
      <c r="A4382" s="24" t="n"/>
      <c r="B4382" s="29" t="n"/>
      <c r="C4382" s="28" t="n"/>
      <c r="D4382" s="22">
        <f t="array" ref="D4382">IF($C4382="","",IFERROR(INDEX(DATA_MASTER!$C$2:$C$5000,MATCH($C4382,DATA_MASTER!$D$2:$D$5000,0)),""))</f>
        <v/>
      </c>
      <c r="E4382" s="22">
        <f t="array" ref="E4382">IF($C4382="","",IFERROR(INDEX(DATA_MASTER!$I$2:$I$5000,MATCH($C4382,DATA_MASTER!$D$2:$D$5000,0)),""))</f>
        <v/>
      </c>
      <c r="F4382" s="22">
        <f t="array" ref="F4382">IF($C4382="","",IFERROR(INDEX(DATA_MASTER!$L$2:$L$5000,MATCH($C4382,DATA_MASTER!$D$2:$D$5000,0)),""))</f>
        <v/>
      </c>
      <c r="G4382" s="24" t="n"/>
      <c r="H4382" s="24" t="n"/>
      <c r="I4382" s="30" t="n"/>
      <c r="J4382" s="23">
        <f>IF(OR($H4382="",$I4382=""),"",$H4382*$I4382)</f>
        <v/>
      </c>
      <c r="K4382" s="24" t="n"/>
      <c r="L4382" s="24" t="n"/>
      <c r="M4382" s="29" t="n"/>
      <c r="N4382" s="28" t="n"/>
      <c r="O4382" s="24" t="n"/>
      <c r="P4382" s="24" t="n"/>
      <c r="Q4382" s="24" t="n"/>
      <c r="R4382" s="24" t="n"/>
      <c r="S4382" s="22">
        <f>IF(AND($A4382="",$C4382=""),"",IF($A4382="","Thiếu mã đơn; ","")&amp;IF(COUNTIF($A$2:$A4382,$A4382)&gt;1,"Trùng mã đơn; ","")&amp;IF(ISNA(MATCH($C4382,DATA_MASTER!$D$2:$D$5000,0)),"SĐT chưa đăng ký hội viên; ","")&amp;IF(AND($L4382="Đã chuyển khoản",$M4382=""),"Thiếu ngày nhận CK; ",""))</f>
        <v/>
      </c>
      <c r="T4382" s="24" t="n"/>
    </row>
    <row r="4383" ht="14.25" customHeight="1" s="40">
      <c r="A4383" s="24" t="n"/>
      <c r="B4383" s="29" t="n"/>
      <c r="C4383" s="28" t="n"/>
      <c r="D4383" s="22">
        <f t="array" ref="D4383">IF($C4383="","",IFERROR(INDEX(DATA_MASTER!$C$2:$C$5000,MATCH($C4383,DATA_MASTER!$D$2:$D$5000,0)),""))</f>
        <v/>
      </c>
      <c r="E4383" s="22">
        <f t="array" ref="E4383">IF($C4383="","",IFERROR(INDEX(DATA_MASTER!$I$2:$I$5000,MATCH($C4383,DATA_MASTER!$D$2:$D$5000,0)),""))</f>
        <v/>
      </c>
      <c r="F4383" s="22">
        <f t="array" ref="F4383">IF($C4383="","",IFERROR(INDEX(DATA_MASTER!$L$2:$L$5000,MATCH($C4383,DATA_MASTER!$D$2:$D$5000,0)),""))</f>
        <v/>
      </c>
      <c r="G4383" s="24" t="n"/>
      <c r="H4383" s="24" t="n"/>
      <c r="I4383" s="30" t="n"/>
      <c r="J4383" s="23">
        <f>IF(OR($H4383="",$I4383=""),"",$H4383*$I4383)</f>
        <v/>
      </c>
      <c r="K4383" s="24" t="n"/>
      <c r="L4383" s="24" t="n"/>
      <c r="M4383" s="29" t="n"/>
      <c r="N4383" s="28" t="n"/>
      <c r="O4383" s="24" t="n"/>
      <c r="P4383" s="24" t="n"/>
      <c r="Q4383" s="24" t="n"/>
      <c r="R4383" s="24" t="n"/>
      <c r="S4383" s="22">
        <f>IF(AND($A4383="",$C4383=""),"",IF($A4383="","Thiếu mã đơn; ","")&amp;IF(COUNTIF($A$2:$A4383,$A4383)&gt;1,"Trùng mã đơn; ","")&amp;IF(ISNA(MATCH($C4383,DATA_MASTER!$D$2:$D$5000,0)),"SĐT chưa đăng ký hội viên; ","")&amp;IF(AND($L4383="Đã chuyển khoản",$M4383=""),"Thiếu ngày nhận CK; ",""))</f>
        <v/>
      </c>
      <c r="T4383" s="24" t="n"/>
    </row>
    <row r="4384" ht="14.25" customHeight="1" s="40">
      <c r="A4384" s="24" t="n"/>
      <c r="B4384" s="29" t="n"/>
      <c r="C4384" s="28" t="n"/>
      <c r="D4384" s="22">
        <f t="array" ref="D4384">IF($C4384="","",IFERROR(INDEX(DATA_MASTER!$C$2:$C$5000,MATCH($C4384,DATA_MASTER!$D$2:$D$5000,0)),""))</f>
        <v/>
      </c>
      <c r="E4384" s="22">
        <f t="array" ref="E4384">IF($C4384="","",IFERROR(INDEX(DATA_MASTER!$I$2:$I$5000,MATCH($C4384,DATA_MASTER!$D$2:$D$5000,0)),""))</f>
        <v/>
      </c>
      <c r="F4384" s="22">
        <f t="array" ref="F4384">IF($C4384="","",IFERROR(INDEX(DATA_MASTER!$L$2:$L$5000,MATCH($C4384,DATA_MASTER!$D$2:$D$5000,0)),""))</f>
        <v/>
      </c>
      <c r="G4384" s="24" t="n"/>
      <c r="H4384" s="24" t="n"/>
      <c r="I4384" s="30" t="n"/>
      <c r="J4384" s="23">
        <f>IF(OR($H4384="",$I4384=""),"",$H4384*$I4384)</f>
        <v/>
      </c>
      <c r="K4384" s="24" t="n"/>
      <c r="L4384" s="24" t="n"/>
      <c r="M4384" s="29" t="n"/>
      <c r="N4384" s="28" t="n"/>
      <c r="O4384" s="24" t="n"/>
      <c r="P4384" s="24" t="n"/>
      <c r="Q4384" s="24" t="n"/>
      <c r="R4384" s="24" t="n"/>
      <c r="S4384" s="22">
        <f>IF(AND($A4384="",$C4384=""),"",IF($A4384="","Thiếu mã đơn; ","")&amp;IF(COUNTIF($A$2:$A4384,$A4384)&gt;1,"Trùng mã đơn; ","")&amp;IF(ISNA(MATCH($C4384,DATA_MASTER!$D$2:$D$5000,0)),"SĐT chưa đăng ký hội viên; ","")&amp;IF(AND($L4384="Đã chuyển khoản",$M4384=""),"Thiếu ngày nhận CK; ",""))</f>
        <v/>
      </c>
      <c r="T4384" s="24" t="n"/>
    </row>
    <row r="4385" ht="14.25" customHeight="1" s="40">
      <c r="A4385" s="24" t="n"/>
      <c r="B4385" s="29" t="n"/>
      <c r="C4385" s="28" t="n"/>
      <c r="D4385" s="22">
        <f t="array" ref="D4385">IF($C4385="","",IFERROR(INDEX(DATA_MASTER!$C$2:$C$5000,MATCH($C4385,DATA_MASTER!$D$2:$D$5000,0)),""))</f>
        <v/>
      </c>
      <c r="E4385" s="22">
        <f t="array" ref="E4385">IF($C4385="","",IFERROR(INDEX(DATA_MASTER!$I$2:$I$5000,MATCH($C4385,DATA_MASTER!$D$2:$D$5000,0)),""))</f>
        <v/>
      </c>
      <c r="F4385" s="22">
        <f t="array" ref="F4385">IF($C4385="","",IFERROR(INDEX(DATA_MASTER!$L$2:$L$5000,MATCH($C4385,DATA_MASTER!$D$2:$D$5000,0)),""))</f>
        <v/>
      </c>
      <c r="G4385" s="24" t="n"/>
      <c r="H4385" s="24" t="n"/>
      <c r="I4385" s="30" t="n"/>
      <c r="J4385" s="23">
        <f>IF(OR($H4385="",$I4385=""),"",$H4385*$I4385)</f>
        <v/>
      </c>
      <c r="K4385" s="24" t="n"/>
      <c r="L4385" s="24" t="n"/>
      <c r="M4385" s="29" t="n"/>
      <c r="N4385" s="28" t="n"/>
      <c r="O4385" s="24" t="n"/>
      <c r="P4385" s="24" t="n"/>
      <c r="Q4385" s="24" t="n"/>
      <c r="R4385" s="24" t="n"/>
      <c r="S4385" s="22">
        <f>IF(AND($A4385="",$C4385=""),"",IF($A4385="","Thiếu mã đơn; ","")&amp;IF(COUNTIF($A$2:$A4385,$A4385)&gt;1,"Trùng mã đơn; ","")&amp;IF(ISNA(MATCH($C4385,DATA_MASTER!$D$2:$D$5000,0)),"SĐT chưa đăng ký hội viên; ","")&amp;IF(AND($L4385="Đã chuyển khoản",$M4385=""),"Thiếu ngày nhận CK; ",""))</f>
        <v/>
      </c>
      <c r="T4385" s="24" t="n"/>
    </row>
    <row r="4386" ht="14.25" customHeight="1" s="40">
      <c r="A4386" s="24" t="n"/>
      <c r="B4386" s="29" t="n"/>
      <c r="C4386" s="28" t="n"/>
      <c r="D4386" s="22">
        <f t="array" ref="D4386">IF($C4386="","",IFERROR(INDEX(DATA_MASTER!$C$2:$C$5000,MATCH($C4386,DATA_MASTER!$D$2:$D$5000,0)),""))</f>
        <v/>
      </c>
      <c r="E4386" s="22">
        <f t="array" ref="E4386">IF($C4386="","",IFERROR(INDEX(DATA_MASTER!$I$2:$I$5000,MATCH($C4386,DATA_MASTER!$D$2:$D$5000,0)),""))</f>
        <v/>
      </c>
      <c r="F4386" s="22">
        <f t="array" ref="F4386">IF($C4386="","",IFERROR(INDEX(DATA_MASTER!$L$2:$L$5000,MATCH($C4386,DATA_MASTER!$D$2:$D$5000,0)),""))</f>
        <v/>
      </c>
      <c r="G4386" s="24" t="n"/>
      <c r="H4386" s="24" t="n"/>
      <c r="I4386" s="30" t="n"/>
      <c r="J4386" s="23">
        <f>IF(OR($H4386="",$I4386=""),"",$H4386*$I4386)</f>
        <v/>
      </c>
      <c r="K4386" s="24" t="n"/>
      <c r="L4386" s="24" t="n"/>
      <c r="M4386" s="29" t="n"/>
      <c r="N4386" s="28" t="n"/>
      <c r="O4386" s="24" t="n"/>
      <c r="P4386" s="24" t="n"/>
      <c r="Q4386" s="24" t="n"/>
      <c r="R4386" s="24" t="n"/>
      <c r="S4386" s="22">
        <f>IF(AND($A4386="",$C4386=""),"",IF($A4386="","Thiếu mã đơn; ","")&amp;IF(COUNTIF($A$2:$A4386,$A4386)&gt;1,"Trùng mã đơn; ","")&amp;IF(ISNA(MATCH($C4386,DATA_MASTER!$D$2:$D$5000,0)),"SĐT chưa đăng ký hội viên; ","")&amp;IF(AND($L4386="Đã chuyển khoản",$M4386=""),"Thiếu ngày nhận CK; ",""))</f>
        <v/>
      </c>
      <c r="T4386" s="24" t="n"/>
    </row>
    <row r="4387" ht="14.25" customHeight="1" s="40">
      <c r="A4387" s="24" t="n"/>
      <c r="B4387" s="29" t="n"/>
      <c r="C4387" s="28" t="n"/>
      <c r="D4387" s="22">
        <f t="array" ref="D4387">IF($C4387="","",IFERROR(INDEX(DATA_MASTER!$C$2:$C$5000,MATCH($C4387,DATA_MASTER!$D$2:$D$5000,0)),""))</f>
        <v/>
      </c>
      <c r="E4387" s="22">
        <f t="array" ref="E4387">IF($C4387="","",IFERROR(INDEX(DATA_MASTER!$I$2:$I$5000,MATCH($C4387,DATA_MASTER!$D$2:$D$5000,0)),""))</f>
        <v/>
      </c>
      <c r="F4387" s="22">
        <f t="array" ref="F4387">IF($C4387="","",IFERROR(INDEX(DATA_MASTER!$L$2:$L$5000,MATCH($C4387,DATA_MASTER!$D$2:$D$5000,0)),""))</f>
        <v/>
      </c>
      <c r="G4387" s="24" t="n"/>
      <c r="H4387" s="24" t="n"/>
      <c r="I4387" s="30" t="n"/>
      <c r="J4387" s="23">
        <f>IF(OR($H4387="",$I4387=""),"",$H4387*$I4387)</f>
        <v/>
      </c>
      <c r="K4387" s="24" t="n"/>
      <c r="L4387" s="24" t="n"/>
      <c r="M4387" s="29" t="n"/>
      <c r="N4387" s="28" t="n"/>
      <c r="O4387" s="24" t="n"/>
      <c r="P4387" s="24" t="n"/>
      <c r="Q4387" s="24" t="n"/>
      <c r="R4387" s="24" t="n"/>
      <c r="S4387" s="22">
        <f>IF(AND($A4387="",$C4387=""),"",IF($A4387="","Thiếu mã đơn; ","")&amp;IF(COUNTIF($A$2:$A4387,$A4387)&gt;1,"Trùng mã đơn; ","")&amp;IF(ISNA(MATCH($C4387,DATA_MASTER!$D$2:$D$5000,0)),"SĐT chưa đăng ký hội viên; ","")&amp;IF(AND($L4387="Đã chuyển khoản",$M4387=""),"Thiếu ngày nhận CK; ",""))</f>
        <v/>
      </c>
      <c r="T4387" s="24" t="n"/>
    </row>
    <row r="4388" ht="14.25" customHeight="1" s="40">
      <c r="A4388" s="24" t="n"/>
      <c r="B4388" s="29" t="n"/>
      <c r="C4388" s="28" t="n"/>
      <c r="D4388" s="22">
        <f t="array" ref="D4388">IF($C4388="","",IFERROR(INDEX(DATA_MASTER!$C$2:$C$5000,MATCH($C4388,DATA_MASTER!$D$2:$D$5000,0)),""))</f>
        <v/>
      </c>
      <c r="E4388" s="22">
        <f t="array" ref="E4388">IF($C4388="","",IFERROR(INDEX(DATA_MASTER!$I$2:$I$5000,MATCH($C4388,DATA_MASTER!$D$2:$D$5000,0)),""))</f>
        <v/>
      </c>
      <c r="F4388" s="22">
        <f t="array" ref="F4388">IF($C4388="","",IFERROR(INDEX(DATA_MASTER!$L$2:$L$5000,MATCH($C4388,DATA_MASTER!$D$2:$D$5000,0)),""))</f>
        <v/>
      </c>
      <c r="G4388" s="24" t="n"/>
      <c r="H4388" s="24" t="n"/>
      <c r="I4388" s="30" t="n"/>
      <c r="J4388" s="23">
        <f>IF(OR($H4388="",$I4388=""),"",$H4388*$I4388)</f>
        <v/>
      </c>
      <c r="K4388" s="24" t="n"/>
      <c r="L4388" s="24" t="n"/>
      <c r="M4388" s="29" t="n"/>
      <c r="N4388" s="28" t="n"/>
      <c r="O4388" s="24" t="n"/>
      <c r="P4388" s="24" t="n"/>
      <c r="Q4388" s="24" t="n"/>
      <c r="R4388" s="24" t="n"/>
      <c r="S4388" s="22">
        <f>IF(AND($A4388="",$C4388=""),"",IF($A4388="","Thiếu mã đơn; ","")&amp;IF(COUNTIF($A$2:$A4388,$A4388)&gt;1,"Trùng mã đơn; ","")&amp;IF(ISNA(MATCH($C4388,DATA_MASTER!$D$2:$D$5000,0)),"SĐT chưa đăng ký hội viên; ","")&amp;IF(AND($L4388="Đã chuyển khoản",$M4388=""),"Thiếu ngày nhận CK; ",""))</f>
        <v/>
      </c>
      <c r="T4388" s="24" t="n"/>
    </row>
    <row r="4389" ht="14.25" customHeight="1" s="40">
      <c r="A4389" s="24" t="n"/>
      <c r="B4389" s="29" t="n"/>
      <c r="C4389" s="28" t="n"/>
      <c r="D4389" s="22">
        <f t="array" ref="D4389">IF($C4389="","",IFERROR(INDEX(DATA_MASTER!$C$2:$C$5000,MATCH($C4389,DATA_MASTER!$D$2:$D$5000,0)),""))</f>
        <v/>
      </c>
      <c r="E4389" s="22">
        <f t="array" ref="E4389">IF($C4389="","",IFERROR(INDEX(DATA_MASTER!$I$2:$I$5000,MATCH($C4389,DATA_MASTER!$D$2:$D$5000,0)),""))</f>
        <v/>
      </c>
      <c r="F4389" s="22">
        <f t="array" ref="F4389">IF($C4389="","",IFERROR(INDEX(DATA_MASTER!$L$2:$L$5000,MATCH($C4389,DATA_MASTER!$D$2:$D$5000,0)),""))</f>
        <v/>
      </c>
      <c r="G4389" s="24" t="n"/>
      <c r="H4389" s="24" t="n"/>
      <c r="I4389" s="30" t="n"/>
      <c r="J4389" s="23">
        <f>IF(OR($H4389="",$I4389=""),"",$H4389*$I4389)</f>
        <v/>
      </c>
      <c r="K4389" s="24" t="n"/>
      <c r="L4389" s="24" t="n"/>
      <c r="M4389" s="29" t="n"/>
      <c r="N4389" s="28" t="n"/>
      <c r="O4389" s="24" t="n"/>
      <c r="P4389" s="24" t="n"/>
      <c r="Q4389" s="24" t="n"/>
      <c r="R4389" s="24" t="n"/>
      <c r="S4389" s="22">
        <f>IF(AND($A4389="",$C4389=""),"",IF($A4389="","Thiếu mã đơn; ","")&amp;IF(COUNTIF($A$2:$A4389,$A4389)&gt;1,"Trùng mã đơn; ","")&amp;IF(ISNA(MATCH($C4389,DATA_MASTER!$D$2:$D$5000,0)),"SĐT chưa đăng ký hội viên; ","")&amp;IF(AND($L4389="Đã chuyển khoản",$M4389=""),"Thiếu ngày nhận CK; ",""))</f>
        <v/>
      </c>
      <c r="T4389" s="24" t="n"/>
    </row>
    <row r="4390" ht="14.25" customHeight="1" s="40">
      <c r="A4390" s="24" t="n"/>
      <c r="B4390" s="29" t="n"/>
      <c r="C4390" s="28" t="n"/>
      <c r="D4390" s="22">
        <f t="array" ref="D4390">IF($C4390="","",IFERROR(INDEX(DATA_MASTER!$C$2:$C$5000,MATCH($C4390,DATA_MASTER!$D$2:$D$5000,0)),""))</f>
        <v/>
      </c>
      <c r="E4390" s="22">
        <f t="array" ref="E4390">IF($C4390="","",IFERROR(INDEX(DATA_MASTER!$I$2:$I$5000,MATCH($C4390,DATA_MASTER!$D$2:$D$5000,0)),""))</f>
        <v/>
      </c>
      <c r="F4390" s="22">
        <f t="array" ref="F4390">IF($C4390="","",IFERROR(INDEX(DATA_MASTER!$L$2:$L$5000,MATCH($C4390,DATA_MASTER!$D$2:$D$5000,0)),""))</f>
        <v/>
      </c>
      <c r="G4390" s="24" t="n"/>
      <c r="H4390" s="24" t="n"/>
      <c r="I4390" s="30" t="n"/>
      <c r="J4390" s="23">
        <f>IF(OR($H4390="",$I4390=""),"",$H4390*$I4390)</f>
        <v/>
      </c>
      <c r="K4390" s="24" t="n"/>
      <c r="L4390" s="24" t="n"/>
      <c r="M4390" s="29" t="n"/>
      <c r="N4390" s="28" t="n"/>
      <c r="O4390" s="24" t="n"/>
      <c r="P4390" s="24" t="n"/>
      <c r="Q4390" s="24" t="n"/>
      <c r="R4390" s="24" t="n"/>
      <c r="S4390" s="22">
        <f>IF(AND($A4390="",$C4390=""),"",IF($A4390="","Thiếu mã đơn; ","")&amp;IF(COUNTIF($A$2:$A4390,$A4390)&gt;1,"Trùng mã đơn; ","")&amp;IF(ISNA(MATCH($C4390,DATA_MASTER!$D$2:$D$5000,0)),"SĐT chưa đăng ký hội viên; ","")&amp;IF(AND($L4390="Đã chuyển khoản",$M4390=""),"Thiếu ngày nhận CK; ",""))</f>
        <v/>
      </c>
      <c r="T4390" s="24" t="n"/>
    </row>
    <row r="4391" ht="14.25" customHeight="1" s="40">
      <c r="A4391" s="24" t="n"/>
      <c r="B4391" s="29" t="n"/>
      <c r="C4391" s="28" t="n"/>
      <c r="D4391" s="22">
        <f t="array" ref="D4391">IF($C4391="","",IFERROR(INDEX(DATA_MASTER!$C$2:$C$5000,MATCH($C4391,DATA_MASTER!$D$2:$D$5000,0)),""))</f>
        <v/>
      </c>
      <c r="E4391" s="22">
        <f t="array" ref="E4391">IF($C4391="","",IFERROR(INDEX(DATA_MASTER!$I$2:$I$5000,MATCH($C4391,DATA_MASTER!$D$2:$D$5000,0)),""))</f>
        <v/>
      </c>
      <c r="F4391" s="22">
        <f t="array" ref="F4391">IF($C4391="","",IFERROR(INDEX(DATA_MASTER!$L$2:$L$5000,MATCH($C4391,DATA_MASTER!$D$2:$D$5000,0)),""))</f>
        <v/>
      </c>
      <c r="G4391" s="24" t="n"/>
      <c r="H4391" s="24" t="n"/>
      <c r="I4391" s="30" t="n"/>
      <c r="J4391" s="23">
        <f>IF(OR($H4391="",$I4391=""),"",$H4391*$I4391)</f>
        <v/>
      </c>
      <c r="K4391" s="24" t="n"/>
      <c r="L4391" s="24" t="n"/>
      <c r="M4391" s="29" t="n"/>
      <c r="N4391" s="28" t="n"/>
      <c r="O4391" s="24" t="n"/>
      <c r="P4391" s="24" t="n"/>
      <c r="Q4391" s="24" t="n"/>
      <c r="R4391" s="24" t="n"/>
      <c r="S4391" s="22">
        <f>IF(AND($A4391="",$C4391=""),"",IF($A4391="","Thiếu mã đơn; ","")&amp;IF(COUNTIF($A$2:$A4391,$A4391)&gt;1,"Trùng mã đơn; ","")&amp;IF(ISNA(MATCH($C4391,DATA_MASTER!$D$2:$D$5000,0)),"SĐT chưa đăng ký hội viên; ","")&amp;IF(AND($L4391="Đã chuyển khoản",$M4391=""),"Thiếu ngày nhận CK; ",""))</f>
        <v/>
      </c>
      <c r="T4391" s="24" t="n"/>
    </row>
    <row r="4392" ht="14.25" customHeight="1" s="40">
      <c r="A4392" s="24" t="n"/>
      <c r="B4392" s="29" t="n"/>
      <c r="C4392" s="28" t="n"/>
      <c r="D4392" s="22">
        <f t="array" ref="D4392">IF($C4392="","",IFERROR(INDEX(DATA_MASTER!$C$2:$C$5000,MATCH($C4392,DATA_MASTER!$D$2:$D$5000,0)),""))</f>
        <v/>
      </c>
      <c r="E4392" s="22">
        <f t="array" ref="E4392">IF($C4392="","",IFERROR(INDEX(DATA_MASTER!$I$2:$I$5000,MATCH($C4392,DATA_MASTER!$D$2:$D$5000,0)),""))</f>
        <v/>
      </c>
      <c r="F4392" s="22">
        <f t="array" ref="F4392">IF($C4392="","",IFERROR(INDEX(DATA_MASTER!$L$2:$L$5000,MATCH($C4392,DATA_MASTER!$D$2:$D$5000,0)),""))</f>
        <v/>
      </c>
      <c r="G4392" s="24" t="n"/>
      <c r="H4392" s="24" t="n"/>
      <c r="I4392" s="30" t="n"/>
      <c r="J4392" s="23">
        <f>IF(OR($H4392="",$I4392=""),"",$H4392*$I4392)</f>
        <v/>
      </c>
      <c r="K4392" s="24" t="n"/>
      <c r="L4392" s="24" t="n"/>
      <c r="M4392" s="29" t="n"/>
      <c r="N4392" s="28" t="n"/>
      <c r="O4392" s="24" t="n"/>
      <c r="P4392" s="24" t="n"/>
      <c r="Q4392" s="24" t="n"/>
      <c r="R4392" s="24" t="n"/>
      <c r="S4392" s="22">
        <f>IF(AND($A4392="",$C4392=""),"",IF($A4392="","Thiếu mã đơn; ","")&amp;IF(COUNTIF($A$2:$A4392,$A4392)&gt;1,"Trùng mã đơn; ","")&amp;IF(ISNA(MATCH($C4392,DATA_MASTER!$D$2:$D$5000,0)),"SĐT chưa đăng ký hội viên; ","")&amp;IF(AND($L4392="Đã chuyển khoản",$M4392=""),"Thiếu ngày nhận CK; ",""))</f>
        <v/>
      </c>
      <c r="T4392" s="24" t="n"/>
    </row>
    <row r="4393" ht="14.25" customHeight="1" s="40">
      <c r="A4393" s="24" t="n"/>
      <c r="B4393" s="29" t="n"/>
      <c r="C4393" s="28" t="n"/>
      <c r="D4393" s="22">
        <f t="array" ref="D4393">IF($C4393="","",IFERROR(INDEX(DATA_MASTER!$C$2:$C$5000,MATCH($C4393,DATA_MASTER!$D$2:$D$5000,0)),""))</f>
        <v/>
      </c>
      <c r="E4393" s="22">
        <f t="array" ref="E4393">IF($C4393="","",IFERROR(INDEX(DATA_MASTER!$I$2:$I$5000,MATCH($C4393,DATA_MASTER!$D$2:$D$5000,0)),""))</f>
        <v/>
      </c>
      <c r="F4393" s="22">
        <f t="array" ref="F4393">IF($C4393="","",IFERROR(INDEX(DATA_MASTER!$L$2:$L$5000,MATCH($C4393,DATA_MASTER!$D$2:$D$5000,0)),""))</f>
        <v/>
      </c>
      <c r="G4393" s="24" t="n"/>
      <c r="H4393" s="24" t="n"/>
      <c r="I4393" s="30" t="n"/>
      <c r="J4393" s="23">
        <f>IF(OR($H4393="",$I4393=""),"",$H4393*$I4393)</f>
        <v/>
      </c>
      <c r="K4393" s="24" t="n"/>
      <c r="L4393" s="24" t="n"/>
      <c r="M4393" s="29" t="n"/>
      <c r="N4393" s="28" t="n"/>
      <c r="O4393" s="24" t="n"/>
      <c r="P4393" s="24" t="n"/>
      <c r="Q4393" s="24" t="n"/>
      <c r="R4393" s="24" t="n"/>
      <c r="S4393" s="22">
        <f>IF(AND($A4393="",$C4393=""),"",IF($A4393="","Thiếu mã đơn; ","")&amp;IF(COUNTIF($A$2:$A4393,$A4393)&gt;1,"Trùng mã đơn; ","")&amp;IF(ISNA(MATCH($C4393,DATA_MASTER!$D$2:$D$5000,0)),"SĐT chưa đăng ký hội viên; ","")&amp;IF(AND($L4393="Đã chuyển khoản",$M4393=""),"Thiếu ngày nhận CK; ",""))</f>
        <v/>
      </c>
      <c r="T4393" s="24" t="n"/>
    </row>
    <row r="4394" ht="14.25" customHeight="1" s="40">
      <c r="A4394" s="24" t="n"/>
      <c r="B4394" s="29" t="n"/>
      <c r="C4394" s="28" t="n"/>
      <c r="D4394" s="22">
        <f t="array" ref="D4394">IF($C4394="","",IFERROR(INDEX(DATA_MASTER!$C$2:$C$5000,MATCH($C4394,DATA_MASTER!$D$2:$D$5000,0)),""))</f>
        <v/>
      </c>
      <c r="E4394" s="22">
        <f t="array" ref="E4394">IF($C4394="","",IFERROR(INDEX(DATA_MASTER!$I$2:$I$5000,MATCH($C4394,DATA_MASTER!$D$2:$D$5000,0)),""))</f>
        <v/>
      </c>
      <c r="F4394" s="22">
        <f t="array" ref="F4394">IF($C4394="","",IFERROR(INDEX(DATA_MASTER!$L$2:$L$5000,MATCH($C4394,DATA_MASTER!$D$2:$D$5000,0)),""))</f>
        <v/>
      </c>
      <c r="G4394" s="24" t="n"/>
      <c r="H4394" s="24" t="n"/>
      <c r="I4394" s="30" t="n"/>
      <c r="J4394" s="23">
        <f>IF(OR($H4394="",$I4394=""),"",$H4394*$I4394)</f>
        <v/>
      </c>
      <c r="K4394" s="24" t="n"/>
      <c r="L4394" s="24" t="n"/>
      <c r="M4394" s="29" t="n"/>
      <c r="N4394" s="28" t="n"/>
      <c r="O4394" s="24" t="n"/>
      <c r="P4394" s="24" t="n"/>
      <c r="Q4394" s="24" t="n"/>
      <c r="R4394" s="24" t="n"/>
      <c r="S4394" s="22">
        <f>IF(AND($A4394="",$C4394=""),"",IF($A4394="","Thiếu mã đơn; ","")&amp;IF(COUNTIF($A$2:$A4394,$A4394)&gt;1,"Trùng mã đơn; ","")&amp;IF(ISNA(MATCH($C4394,DATA_MASTER!$D$2:$D$5000,0)),"SĐT chưa đăng ký hội viên; ","")&amp;IF(AND($L4394="Đã chuyển khoản",$M4394=""),"Thiếu ngày nhận CK; ",""))</f>
        <v/>
      </c>
      <c r="T4394" s="24" t="n"/>
    </row>
    <row r="4395" ht="14.25" customHeight="1" s="40">
      <c r="A4395" s="24" t="n"/>
      <c r="B4395" s="29" t="n"/>
      <c r="C4395" s="28" t="n"/>
      <c r="D4395" s="22">
        <f t="array" ref="D4395">IF($C4395="","",IFERROR(INDEX(DATA_MASTER!$C$2:$C$5000,MATCH($C4395,DATA_MASTER!$D$2:$D$5000,0)),""))</f>
        <v/>
      </c>
      <c r="E4395" s="22">
        <f t="array" ref="E4395">IF($C4395="","",IFERROR(INDEX(DATA_MASTER!$I$2:$I$5000,MATCH($C4395,DATA_MASTER!$D$2:$D$5000,0)),""))</f>
        <v/>
      </c>
      <c r="F4395" s="22">
        <f t="array" ref="F4395">IF($C4395="","",IFERROR(INDEX(DATA_MASTER!$L$2:$L$5000,MATCH($C4395,DATA_MASTER!$D$2:$D$5000,0)),""))</f>
        <v/>
      </c>
      <c r="G4395" s="24" t="n"/>
      <c r="H4395" s="24" t="n"/>
      <c r="I4395" s="30" t="n"/>
      <c r="J4395" s="23">
        <f>IF(OR($H4395="",$I4395=""),"",$H4395*$I4395)</f>
        <v/>
      </c>
      <c r="K4395" s="24" t="n"/>
      <c r="L4395" s="24" t="n"/>
      <c r="M4395" s="29" t="n"/>
      <c r="N4395" s="28" t="n"/>
      <c r="O4395" s="24" t="n"/>
      <c r="P4395" s="24" t="n"/>
      <c r="Q4395" s="24" t="n"/>
      <c r="R4395" s="24" t="n"/>
      <c r="S4395" s="22">
        <f>IF(AND($A4395="",$C4395=""),"",IF($A4395="","Thiếu mã đơn; ","")&amp;IF(COUNTIF($A$2:$A4395,$A4395)&gt;1,"Trùng mã đơn; ","")&amp;IF(ISNA(MATCH($C4395,DATA_MASTER!$D$2:$D$5000,0)),"SĐT chưa đăng ký hội viên; ","")&amp;IF(AND($L4395="Đã chuyển khoản",$M4395=""),"Thiếu ngày nhận CK; ",""))</f>
        <v/>
      </c>
      <c r="T4395" s="24" t="n"/>
    </row>
    <row r="4396" ht="14.25" customHeight="1" s="40">
      <c r="A4396" s="24" t="n"/>
      <c r="B4396" s="29" t="n"/>
      <c r="C4396" s="28" t="n"/>
      <c r="D4396" s="22">
        <f t="array" ref="D4396">IF($C4396="","",IFERROR(INDEX(DATA_MASTER!$C$2:$C$5000,MATCH($C4396,DATA_MASTER!$D$2:$D$5000,0)),""))</f>
        <v/>
      </c>
      <c r="E4396" s="22">
        <f t="array" ref="E4396">IF($C4396="","",IFERROR(INDEX(DATA_MASTER!$I$2:$I$5000,MATCH($C4396,DATA_MASTER!$D$2:$D$5000,0)),""))</f>
        <v/>
      </c>
      <c r="F4396" s="22">
        <f t="array" ref="F4396">IF($C4396="","",IFERROR(INDEX(DATA_MASTER!$L$2:$L$5000,MATCH($C4396,DATA_MASTER!$D$2:$D$5000,0)),""))</f>
        <v/>
      </c>
      <c r="G4396" s="24" t="n"/>
      <c r="H4396" s="24" t="n"/>
      <c r="I4396" s="30" t="n"/>
      <c r="J4396" s="23">
        <f>IF(OR($H4396="",$I4396=""),"",$H4396*$I4396)</f>
        <v/>
      </c>
      <c r="K4396" s="24" t="n"/>
      <c r="L4396" s="24" t="n"/>
      <c r="M4396" s="29" t="n"/>
      <c r="N4396" s="28" t="n"/>
      <c r="O4396" s="24" t="n"/>
      <c r="P4396" s="24" t="n"/>
      <c r="Q4396" s="24" t="n"/>
      <c r="R4396" s="24" t="n"/>
      <c r="S4396" s="22">
        <f>IF(AND($A4396="",$C4396=""),"",IF($A4396="","Thiếu mã đơn; ","")&amp;IF(COUNTIF($A$2:$A4396,$A4396)&gt;1,"Trùng mã đơn; ","")&amp;IF(ISNA(MATCH($C4396,DATA_MASTER!$D$2:$D$5000,0)),"SĐT chưa đăng ký hội viên; ","")&amp;IF(AND($L4396="Đã chuyển khoản",$M4396=""),"Thiếu ngày nhận CK; ",""))</f>
        <v/>
      </c>
      <c r="T4396" s="24" t="n"/>
    </row>
    <row r="4397" ht="14.25" customHeight="1" s="40">
      <c r="A4397" s="24" t="n"/>
      <c r="B4397" s="29" t="n"/>
      <c r="C4397" s="28" t="n"/>
      <c r="D4397" s="22">
        <f t="array" ref="D4397">IF($C4397="","",IFERROR(INDEX(DATA_MASTER!$C$2:$C$5000,MATCH($C4397,DATA_MASTER!$D$2:$D$5000,0)),""))</f>
        <v/>
      </c>
      <c r="E4397" s="22">
        <f t="array" ref="E4397">IF($C4397="","",IFERROR(INDEX(DATA_MASTER!$I$2:$I$5000,MATCH($C4397,DATA_MASTER!$D$2:$D$5000,0)),""))</f>
        <v/>
      </c>
      <c r="F4397" s="22">
        <f t="array" ref="F4397">IF($C4397="","",IFERROR(INDEX(DATA_MASTER!$L$2:$L$5000,MATCH($C4397,DATA_MASTER!$D$2:$D$5000,0)),""))</f>
        <v/>
      </c>
      <c r="G4397" s="24" t="n"/>
      <c r="H4397" s="24" t="n"/>
      <c r="I4397" s="30" t="n"/>
      <c r="J4397" s="23">
        <f>IF(OR($H4397="",$I4397=""),"",$H4397*$I4397)</f>
        <v/>
      </c>
      <c r="K4397" s="24" t="n"/>
      <c r="L4397" s="24" t="n"/>
      <c r="M4397" s="29" t="n"/>
      <c r="N4397" s="28" t="n"/>
      <c r="O4397" s="24" t="n"/>
      <c r="P4397" s="24" t="n"/>
      <c r="Q4397" s="24" t="n"/>
      <c r="R4397" s="24" t="n"/>
      <c r="S4397" s="22">
        <f>IF(AND($A4397="",$C4397=""),"",IF($A4397="","Thiếu mã đơn; ","")&amp;IF(COUNTIF($A$2:$A4397,$A4397)&gt;1,"Trùng mã đơn; ","")&amp;IF(ISNA(MATCH($C4397,DATA_MASTER!$D$2:$D$5000,0)),"SĐT chưa đăng ký hội viên; ","")&amp;IF(AND($L4397="Đã chuyển khoản",$M4397=""),"Thiếu ngày nhận CK; ",""))</f>
        <v/>
      </c>
      <c r="T4397" s="24" t="n"/>
    </row>
    <row r="4398" ht="14.25" customHeight="1" s="40">
      <c r="A4398" s="24" t="n"/>
      <c r="B4398" s="29" t="n"/>
      <c r="C4398" s="28" t="n"/>
      <c r="D4398" s="22">
        <f t="array" ref="D4398">IF($C4398="","",IFERROR(INDEX(DATA_MASTER!$C$2:$C$5000,MATCH($C4398,DATA_MASTER!$D$2:$D$5000,0)),""))</f>
        <v/>
      </c>
      <c r="E4398" s="22">
        <f t="array" ref="E4398">IF($C4398="","",IFERROR(INDEX(DATA_MASTER!$I$2:$I$5000,MATCH($C4398,DATA_MASTER!$D$2:$D$5000,0)),""))</f>
        <v/>
      </c>
      <c r="F4398" s="22">
        <f t="array" ref="F4398">IF($C4398="","",IFERROR(INDEX(DATA_MASTER!$L$2:$L$5000,MATCH($C4398,DATA_MASTER!$D$2:$D$5000,0)),""))</f>
        <v/>
      </c>
      <c r="G4398" s="24" t="n"/>
      <c r="H4398" s="24" t="n"/>
      <c r="I4398" s="30" t="n"/>
      <c r="J4398" s="23">
        <f>IF(OR($H4398="",$I4398=""),"",$H4398*$I4398)</f>
        <v/>
      </c>
      <c r="K4398" s="24" t="n"/>
      <c r="L4398" s="24" t="n"/>
      <c r="M4398" s="29" t="n"/>
      <c r="N4398" s="28" t="n"/>
      <c r="O4398" s="24" t="n"/>
      <c r="P4398" s="24" t="n"/>
      <c r="Q4398" s="24" t="n"/>
      <c r="R4398" s="24" t="n"/>
      <c r="S4398" s="22">
        <f>IF(AND($A4398="",$C4398=""),"",IF($A4398="","Thiếu mã đơn; ","")&amp;IF(COUNTIF($A$2:$A4398,$A4398)&gt;1,"Trùng mã đơn; ","")&amp;IF(ISNA(MATCH($C4398,DATA_MASTER!$D$2:$D$5000,0)),"SĐT chưa đăng ký hội viên; ","")&amp;IF(AND($L4398="Đã chuyển khoản",$M4398=""),"Thiếu ngày nhận CK; ",""))</f>
        <v/>
      </c>
      <c r="T4398" s="24" t="n"/>
    </row>
    <row r="4399" ht="14.25" customHeight="1" s="40">
      <c r="A4399" s="24" t="n"/>
      <c r="B4399" s="29" t="n"/>
      <c r="C4399" s="28" t="n"/>
      <c r="D4399" s="22">
        <f t="array" ref="D4399">IF($C4399="","",IFERROR(INDEX(DATA_MASTER!$C$2:$C$5000,MATCH($C4399,DATA_MASTER!$D$2:$D$5000,0)),""))</f>
        <v/>
      </c>
      <c r="E4399" s="22">
        <f t="array" ref="E4399">IF($C4399="","",IFERROR(INDEX(DATA_MASTER!$I$2:$I$5000,MATCH($C4399,DATA_MASTER!$D$2:$D$5000,0)),""))</f>
        <v/>
      </c>
      <c r="F4399" s="22">
        <f t="array" ref="F4399">IF($C4399="","",IFERROR(INDEX(DATA_MASTER!$L$2:$L$5000,MATCH($C4399,DATA_MASTER!$D$2:$D$5000,0)),""))</f>
        <v/>
      </c>
      <c r="G4399" s="24" t="n"/>
      <c r="H4399" s="24" t="n"/>
      <c r="I4399" s="30" t="n"/>
      <c r="J4399" s="23">
        <f>IF(OR($H4399="",$I4399=""),"",$H4399*$I4399)</f>
        <v/>
      </c>
      <c r="K4399" s="24" t="n"/>
      <c r="L4399" s="24" t="n"/>
      <c r="M4399" s="29" t="n"/>
      <c r="N4399" s="28" t="n"/>
      <c r="O4399" s="24" t="n"/>
      <c r="P4399" s="24" t="n"/>
      <c r="Q4399" s="24" t="n"/>
      <c r="R4399" s="24" t="n"/>
      <c r="S4399" s="22">
        <f>IF(AND($A4399="",$C4399=""),"",IF($A4399="","Thiếu mã đơn; ","")&amp;IF(COUNTIF($A$2:$A4399,$A4399)&gt;1,"Trùng mã đơn; ","")&amp;IF(ISNA(MATCH($C4399,DATA_MASTER!$D$2:$D$5000,0)),"SĐT chưa đăng ký hội viên; ","")&amp;IF(AND($L4399="Đã chuyển khoản",$M4399=""),"Thiếu ngày nhận CK; ",""))</f>
        <v/>
      </c>
      <c r="T4399" s="24" t="n"/>
    </row>
    <row r="4400" ht="14.25" customHeight="1" s="40">
      <c r="A4400" s="24" t="n"/>
      <c r="B4400" s="29" t="n"/>
      <c r="C4400" s="28" t="n"/>
      <c r="D4400" s="22">
        <f t="array" ref="D4400">IF($C4400="","",IFERROR(INDEX(DATA_MASTER!$C$2:$C$5000,MATCH($C4400,DATA_MASTER!$D$2:$D$5000,0)),""))</f>
        <v/>
      </c>
      <c r="E4400" s="22">
        <f t="array" ref="E4400">IF($C4400="","",IFERROR(INDEX(DATA_MASTER!$I$2:$I$5000,MATCH($C4400,DATA_MASTER!$D$2:$D$5000,0)),""))</f>
        <v/>
      </c>
      <c r="F4400" s="22">
        <f t="array" ref="F4400">IF($C4400="","",IFERROR(INDEX(DATA_MASTER!$L$2:$L$5000,MATCH($C4400,DATA_MASTER!$D$2:$D$5000,0)),""))</f>
        <v/>
      </c>
      <c r="G4400" s="24" t="n"/>
      <c r="H4400" s="24" t="n"/>
      <c r="I4400" s="30" t="n"/>
      <c r="J4400" s="23">
        <f>IF(OR($H4400="",$I4400=""),"",$H4400*$I4400)</f>
        <v/>
      </c>
      <c r="K4400" s="24" t="n"/>
      <c r="L4400" s="24" t="n"/>
      <c r="M4400" s="29" t="n"/>
      <c r="N4400" s="28" t="n"/>
      <c r="O4400" s="24" t="n"/>
      <c r="P4400" s="24" t="n"/>
      <c r="Q4400" s="24" t="n"/>
      <c r="R4400" s="24" t="n"/>
      <c r="S4400" s="22">
        <f>IF(AND($A4400="",$C4400=""),"",IF($A4400="","Thiếu mã đơn; ","")&amp;IF(COUNTIF($A$2:$A4400,$A4400)&gt;1,"Trùng mã đơn; ","")&amp;IF(ISNA(MATCH($C4400,DATA_MASTER!$D$2:$D$5000,0)),"SĐT chưa đăng ký hội viên; ","")&amp;IF(AND($L4400="Đã chuyển khoản",$M4400=""),"Thiếu ngày nhận CK; ",""))</f>
        <v/>
      </c>
      <c r="T4400" s="24" t="n"/>
    </row>
    <row r="4401" ht="14.25" customHeight="1" s="40">
      <c r="A4401" s="24" t="n"/>
      <c r="B4401" s="29" t="n"/>
      <c r="C4401" s="28" t="n"/>
      <c r="D4401" s="22">
        <f t="array" ref="D4401">IF($C4401="","",IFERROR(INDEX(DATA_MASTER!$C$2:$C$5000,MATCH($C4401,DATA_MASTER!$D$2:$D$5000,0)),""))</f>
        <v/>
      </c>
      <c r="E4401" s="22">
        <f t="array" ref="E4401">IF($C4401="","",IFERROR(INDEX(DATA_MASTER!$I$2:$I$5000,MATCH($C4401,DATA_MASTER!$D$2:$D$5000,0)),""))</f>
        <v/>
      </c>
      <c r="F4401" s="22">
        <f t="array" ref="F4401">IF($C4401="","",IFERROR(INDEX(DATA_MASTER!$L$2:$L$5000,MATCH($C4401,DATA_MASTER!$D$2:$D$5000,0)),""))</f>
        <v/>
      </c>
      <c r="G4401" s="24" t="n"/>
      <c r="H4401" s="24" t="n"/>
      <c r="I4401" s="30" t="n"/>
      <c r="J4401" s="23">
        <f>IF(OR($H4401="",$I4401=""),"",$H4401*$I4401)</f>
        <v/>
      </c>
      <c r="K4401" s="24" t="n"/>
      <c r="L4401" s="24" t="n"/>
      <c r="M4401" s="29" t="n"/>
      <c r="N4401" s="28" t="n"/>
      <c r="O4401" s="24" t="n"/>
      <c r="P4401" s="24" t="n"/>
      <c r="Q4401" s="24" t="n"/>
      <c r="R4401" s="24" t="n"/>
      <c r="S4401" s="22">
        <f>IF(AND($A4401="",$C4401=""),"",IF($A4401="","Thiếu mã đơn; ","")&amp;IF(COUNTIF($A$2:$A4401,$A4401)&gt;1,"Trùng mã đơn; ","")&amp;IF(ISNA(MATCH($C4401,DATA_MASTER!$D$2:$D$5000,0)),"SĐT chưa đăng ký hội viên; ","")&amp;IF(AND($L4401="Đã chuyển khoản",$M4401=""),"Thiếu ngày nhận CK; ",""))</f>
        <v/>
      </c>
      <c r="T4401" s="24" t="n"/>
    </row>
    <row r="4402" ht="14.25" customHeight="1" s="40">
      <c r="A4402" s="24" t="n"/>
      <c r="B4402" s="29" t="n"/>
      <c r="C4402" s="28" t="n"/>
      <c r="D4402" s="22">
        <f t="array" ref="D4402">IF($C4402="","",IFERROR(INDEX(DATA_MASTER!$C$2:$C$5000,MATCH($C4402,DATA_MASTER!$D$2:$D$5000,0)),""))</f>
        <v/>
      </c>
      <c r="E4402" s="22">
        <f t="array" ref="E4402">IF($C4402="","",IFERROR(INDEX(DATA_MASTER!$I$2:$I$5000,MATCH($C4402,DATA_MASTER!$D$2:$D$5000,0)),""))</f>
        <v/>
      </c>
      <c r="F4402" s="22">
        <f t="array" ref="F4402">IF($C4402="","",IFERROR(INDEX(DATA_MASTER!$L$2:$L$5000,MATCH($C4402,DATA_MASTER!$D$2:$D$5000,0)),""))</f>
        <v/>
      </c>
      <c r="G4402" s="24" t="n"/>
      <c r="H4402" s="24" t="n"/>
      <c r="I4402" s="30" t="n"/>
      <c r="J4402" s="23">
        <f>IF(OR($H4402="",$I4402=""),"",$H4402*$I4402)</f>
        <v/>
      </c>
      <c r="K4402" s="24" t="n"/>
      <c r="L4402" s="24" t="n"/>
      <c r="M4402" s="29" t="n"/>
      <c r="N4402" s="28" t="n"/>
      <c r="O4402" s="24" t="n"/>
      <c r="P4402" s="24" t="n"/>
      <c r="Q4402" s="24" t="n"/>
      <c r="R4402" s="24" t="n"/>
      <c r="S4402" s="22">
        <f>IF(AND($A4402="",$C4402=""),"",IF($A4402="","Thiếu mã đơn; ","")&amp;IF(COUNTIF($A$2:$A4402,$A4402)&gt;1,"Trùng mã đơn; ","")&amp;IF(ISNA(MATCH($C4402,DATA_MASTER!$D$2:$D$5000,0)),"SĐT chưa đăng ký hội viên; ","")&amp;IF(AND($L4402="Đã chuyển khoản",$M4402=""),"Thiếu ngày nhận CK; ",""))</f>
        <v/>
      </c>
      <c r="T4402" s="24" t="n"/>
    </row>
    <row r="4403" ht="14.25" customHeight="1" s="40">
      <c r="A4403" s="24" t="n"/>
      <c r="B4403" s="29" t="n"/>
      <c r="C4403" s="28" t="n"/>
      <c r="D4403" s="22">
        <f t="array" ref="D4403">IF($C4403="","",IFERROR(INDEX(DATA_MASTER!$C$2:$C$5000,MATCH($C4403,DATA_MASTER!$D$2:$D$5000,0)),""))</f>
        <v/>
      </c>
      <c r="E4403" s="22">
        <f t="array" ref="E4403">IF($C4403="","",IFERROR(INDEX(DATA_MASTER!$I$2:$I$5000,MATCH($C4403,DATA_MASTER!$D$2:$D$5000,0)),""))</f>
        <v/>
      </c>
      <c r="F4403" s="22">
        <f t="array" ref="F4403">IF($C4403="","",IFERROR(INDEX(DATA_MASTER!$L$2:$L$5000,MATCH($C4403,DATA_MASTER!$D$2:$D$5000,0)),""))</f>
        <v/>
      </c>
      <c r="G4403" s="24" t="n"/>
      <c r="H4403" s="24" t="n"/>
      <c r="I4403" s="30" t="n"/>
      <c r="J4403" s="23">
        <f>IF(OR($H4403="",$I4403=""),"",$H4403*$I4403)</f>
        <v/>
      </c>
      <c r="K4403" s="24" t="n"/>
      <c r="L4403" s="24" t="n"/>
      <c r="M4403" s="29" t="n"/>
      <c r="N4403" s="28" t="n"/>
      <c r="O4403" s="24" t="n"/>
      <c r="P4403" s="24" t="n"/>
      <c r="Q4403" s="24" t="n"/>
      <c r="R4403" s="24" t="n"/>
      <c r="S4403" s="22">
        <f>IF(AND($A4403="",$C4403=""),"",IF($A4403="","Thiếu mã đơn; ","")&amp;IF(COUNTIF($A$2:$A4403,$A4403)&gt;1,"Trùng mã đơn; ","")&amp;IF(ISNA(MATCH($C4403,DATA_MASTER!$D$2:$D$5000,0)),"SĐT chưa đăng ký hội viên; ","")&amp;IF(AND($L4403="Đã chuyển khoản",$M4403=""),"Thiếu ngày nhận CK; ",""))</f>
        <v/>
      </c>
      <c r="T4403" s="24" t="n"/>
    </row>
    <row r="4404" ht="14.25" customHeight="1" s="40">
      <c r="A4404" s="24" t="n"/>
      <c r="B4404" s="29" t="n"/>
      <c r="C4404" s="28" t="n"/>
      <c r="D4404" s="22">
        <f t="array" ref="D4404">IF($C4404="","",IFERROR(INDEX(DATA_MASTER!$C$2:$C$5000,MATCH($C4404,DATA_MASTER!$D$2:$D$5000,0)),""))</f>
        <v/>
      </c>
      <c r="E4404" s="22">
        <f t="array" ref="E4404">IF($C4404="","",IFERROR(INDEX(DATA_MASTER!$I$2:$I$5000,MATCH($C4404,DATA_MASTER!$D$2:$D$5000,0)),""))</f>
        <v/>
      </c>
      <c r="F4404" s="22">
        <f t="array" ref="F4404">IF($C4404="","",IFERROR(INDEX(DATA_MASTER!$L$2:$L$5000,MATCH($C4404,DATA_MASTER!$D$2:$D$5000,0)),""))</f>
        <v/>
      </c>
      <c r="G4404" s="24" t="n"/>
      <c r="H4404" s="24" t="n"/>
      <c r="I4404" s="30" t="n"/>
      <c r="J4404" s="23">
        <f>IF(OR($H4404="",$I4404=""),"",$H4404*$I4404)</f>
        <v/>
      </c>
      <c r="K4404" s="24" t="n"/>
      <c r="L4404" s="24" t="n"/>
      <c r="M4404" s="29" t="n"/>
      <c r="N4404" s="28" t="n"/>
      <c r="O4404" s="24" t="n"/>
      <c r="P4404" s="24" t="n"/>
      <c r="Q4404" s="24" t="n"/>
      <c r="R4404" s="24" t="n"/>
      <c r="S4404" s="22">
        <f>IF(AND($A4404="",$C4404=""),"",IF($A4404="","Thiếu mã đơn; ","")&amp;IF(COUNTIF($A$2:$A4404,$A4404)&gt;1,"Trùng mã đơn; ","")&amp;IF(ISNA(MATCH($C4404,DATA_MASTER!$D$2:$D$5000,0)),"SĐT chưa đăng ký hội viên; ","")&amp;IF(AND($L4404="Đã chuyển khoản",$M4404=""),"Thiếu ngày nhận CK; ",""))</f>
        <v/>
      </c>
      <c r="T4404" s="24" t="n"/>
    </row>
    <row r="4405" ht="14.25" customHeight="1" s="40">
      <c r="A4405" s="24" t="n"/>
      <c r="B4405" s="29" t="n"/>
      <c r="C4405" s="28" t="n"/>
      <c r="D4405" s="22">
        <f t="array" ref="D4405">IF($C4405="","",IFERROR(INDEX(DATA_MASTER!$C$2:$C$5000,MATCH($C4405,DATA_MASTER!$D$2:$D$5000,0)),""))</f>
        <v/>
      </c>
      <c r="E4405" s="22">
        <f t="array" ref="E4405">IF($C4405="","",IFERROR(INDEX(DATA_MASTER!$I$2:$I$5000,MATCH($C4405,DATA_MASTER!$D$2:$D$5000,0)),""))</f>
        <v/>
      </c>
      <c r="F4405" s="22">
        <f t="array" ref="F4405">IF($C4405="","",IFERROR(INDEX(DATA_MASTER!$L$2:$L$5000,MATCH($C4405,DATA_MASTER!$D$2:$D$5000,0)),""))</f>
        <v/>
      </c>
      <c r="G4405" s="24" t="n"/>
      <c r="H4405" s="24" t="n"/>
      <c r="I4405" s="30" t="n"/>
      <c r="J4405" s="23">
        <f>IF(OR($H4405="",$I4405=""),"",$H4405*$I4405)</f>
        <v/>
      </c>
      <c r="K4405" s="24" t="n"/>
      <c r="L4405" s="24" t="n"/>
      <c r="M4405" s="29" t="n"/>
      <c r="N4405" s="28" t="n"/>
      <c r="O4405" s="24" t="n"/>
      <c r="P4405" s="24" t="n"/>
      <c r="Q4405" s="24" t="n"/>
      <c r="R4405" s="24" t="n"/>
      <c r="S4405" s="22">
        <f>IF(AND($A4405="",$C4405=""),"",IF($A4405="","Thiếu mã đơn; ","")&amp;IF(COUNTIF($A$2:$A4405,$A4405)&gt;1,"Trùng mã đơn; ","")&amp;IF(ISNA(MATCH($C4405,DATA_MASTER!$D$2:$D$5000,0)),"SĐT chưa đăng ký hội viên; ","")&amp;IF(AND($L4405="Đã chuyển khoản",$M4405=""),"Thiếu ngày nhận CK; ",""))</f>
        <v/>
      </c>
      <c r="T4405" s="24" t="n"/>
    </row>
    <row r="4406" ht="14.25" customHeight="1" s="40">
      <c r="A4406" s="24" t="n"/>
      <c r="B4406" s="29" t="n"/>
      <c r="C4406" s="28" t="n"/>
      <c r="D4406" s="22">
        <f t="array" ref="D4406">IF($C4406="","",IFERROR(INDEX(DATA_MASTER!$C$2:$C$5000,MATCH($C4406,DATA_MASTER!$D$2:$D$5000,0)),""))</f>
        <v/>
      </c>
      <c r="E4406" s="22">
        <f t="array" ref="E4406">IF($C4406="","",IFERROR(INDEX(DATA_MASTER!$I$2:$I$5000,MATCH($C4406,DATA_MASTER!$D$2:$D$5000,0)),""))</f>
        <v/>
      </c>
      <c r="F4406" s="22">
        <f t="array" ref="F4406">IF($C4406="","",IFERROR(INDEX(DATA_MASTER!$L$2:$L$5000,MATCH($C4406,DATA_MASTER!$D$2:$D$5000,0)),""))</f>
        <v/>
      </c>
      <c r="G4406" s="24" t="n"/>
      <c r="H4406" s="24" t="n"/>
      <c r="I4406" s="30" t="n"/>
      <c r="J4406" s="23">
        <f>IF(OR($H4406="",$I4406=""),"",$H4406*$I4406)</f>
        <v/>
      </c>
      <c r="K4406" s="24" t="n"/>
      <c r="L4406" s="24" t="n"/>
      <c r="M4406" s="29" t="n"/>
      <c r="N4406" s="28" t="n"/>
      <c r="O4406" s="24" t="n"/>
      <c r="P4406" s="24" t="n"/>
      <c r="Q4406" s="24" t="n"/>
      <c r="R4406" s="24" t="n"/>
      <c r="S4406" s="22">
        <f>IF(AND($A4406="",$C4406=""),"",IF($A4406="","Thiếu mã đơn; ","")&amp;IF(COUNTIF($A$2:$A4406,$A4406)&gt;1,"Trùng mã đơn; ","")&amp;IF(ISNA(MATCH($C4406,DATA_MASTER!$D$2:$D$5000,0)),"SĐT chưa đăng ký hội viên; ","")&amp;IF(AND($L4406="Đã chuyển khoản",$M4406=""),"Thiếu ngày nhận CK; ",""))</f>
        <v/>
      </c>
      <c r="T4406" s="24" t="n"/>
    </row>
    <row r="4407" ht="14.25" customHeight="1" s="40">
      <c r="A4407" s="24" t="n"/>
      <c r="B4407" s="29" t="n"/>
      <c r="C4407" s="28" t="n"/>
      <c r="D4407" s="22">
        <f t="array" ref="D4407">IF($C4407="","",IFERROR(INDEX(DATA_MASTER!$C$2:$C$5000,MATCH($C4407,DATA_MASTER!$D$2:$D$5000,0)),""))</f>
        <v/>
      </c>
      <c r="E4407" s="22">
        <f t="array" ref="E4407">IF($C4407="","",IFERROR(INDEX(DATA_MASTER!$I$2:$I$5000,MATCH($C4407,DATA_MASTER!$D$2:$D$5000,0)),""))</f>
        <v/>
      </c>
      <c r="F4407" s="22">
        <f t="array" ref="F4407">IF($C4407="","",IFERROR(INDEX(DATA_MASTER!$L$2:$L$5000,MATCH($C4407,DATA_MASTER!$D$2:$D$5000,0)),""))</f>
        <v/>
      </c>
      <c r="G4407" s="24" t="n"/>
      <c r="H4407" s="24" t="n"/>
      <c r="I4407" s="30" t="n"/>
      <c r="J4407" s="23">
        <f>IF(OR($H4407="",$I4407=""),"",$H4407*$I4407)</f>
        <v/>
      </c>
      <c r="K4407" s="24" t="n"/>
      <c r="L4407" s="24" t="n"/>
      <c r="M4407" s="29" t="n"/>
      <c r="N4407" s="28" t="n"/>
      <c r="O4407" s="24" t="n"/>
      <c r="P4407" s="24" t="n"/>
      <c r="Q4407" s="24" t="n"/>
      <c r="R4407" s="24" t="n"/>
      <c r="S4407" s="22">
        <f>IF(AND($A4407="",$C4407=""),"",IF($A4407="","Thiếu mã đơn; ","")&amp;IF(COUNTIF($A$2:$A4407,$A4407)&gt;1,"Trùng mã đơn; ","")&amp;IF(ISNA(MATCH($C4407,DATA_MASTER!$D$2:$D$5000,0)),"SĐT chưa đăng ký hội viên; ","")&amp;IF(AND($L4407="Đã chuyển khoản",$M4407=""),"Thiếu ngày nhận CK; ",""))</f>
        <v/>
      </c>
      <c r="T4407" s="24" t="n"/>
    </row>
    <row r="4408" ht="14.25" customHeight="1" s="40">
      <c r="A4408" s="24" t="n"/>
      <c r="B4408" s="29" t="n"/>
      <c r="C4408" s="28" t="n"/>
      <c r="D4408" s="22">
        <f t="array" ref="D4408">IF($C4408="","",IFERROR(INDEX(DATA_MASTER!$C$2:$C$5000,MATCH($C4408,DATA_MASTER!$D$2:$D$5000,0)),""))</f>
        <v/>
      </c>
      <c r="E4408" s="22">
        <f t="array" ref="E4408">IF($C4408="","",IFERROR(INDEX(DATA_MASTER!$I$2:$I$5000,MATCH($C4408,DATA_MASTER!$D$2:$D$5000,0)),""))</f>
        <v/>
      </c>
      <c r="F4408" s="22">
        <f t="array" ref="F4408">IF($C4408="","",IFERROR(INDEX(DATA_MASTER!$L$2:$L$5000,MATCH($C4408,DATA_MASTER!$D$2:$D$5000,0)),""))</f>
        <v/>
      </c>
      <c r="G4408" s="24" t="n"/>
      <c r="H4408" s="24" t="n"/>
      <c r="I4408" s="30" t="n"/>
      <c r="J4408" s="23">
        <f>IF(OR($H4408="",$I4408=""),"",$H4408*$I4408)</f>
        <v/>
      </c>
      <c r="K4408" s="24" t="n"/>
      <c r="L4408" s="24" t="n"/>
      <c r="M4408" s="29" t="n"/>
      <c r="N4408" s="28" t="n"/>
      <c r="O4408" s="24" t="n"/>
      <c r="P4408" s="24" t="n"/>
      <c r="Q4408" s="24" t="n"/>
      <c r="R4408" s="24" t="n"/>
      <c r="S4408" s="22">
        <f>IF(AND($A4408="",$C4408=""),"",IF($A4408="","Thiếu mã đơn; ","")&amp;IF(COUNTIF($A$2:$A4408,$A4408)&gt;1,"Trùng mã đơn; ","")&amp;IF(ISNA(MATCH($C4408,DATA_MASTER!$D$2:$D$5000,0)),"SĐT chưa đăng ký hội viên; ","")&amp;IF(AND($L4408="Đã chuyển khoản",$M4408=""),"Thiếu ngày nhận CK; ",""))</f>
        <v/>
      </c>
      <c r="T4408" s="24" t="n"/>
    </row>
    <row r="4409" ht="14.25" customHeight="1" s="40">
      <c r="A4409" s="24" t="n"/>
      <c r="B4409" s="29" t="n"/>
      <c r="C4409" s="28" t="n"/>
      <c r="D4409" s="22">
        <f t="array" ref="D4409">IF($C4409="","",IFERROR(INDEX(DATA_MASTER!$C$2:$C$5000,MATCH($C4409,DATA_MASTER!$D$2:$D$5000,0)),""))</f>
        <v/>
      </c>
      <c r="E4409" s="22">
        <f t="array" ref="E4409">IF($C4409="","",IFERROR(INDEX(DATA_MASTER!$I$2:$I$5000,MATCH($C4409,DATA_MASTER!$D$2:$D$5000,0)),""))</f>
        <v/>
      </c>
      <c r="F4409" s="22">
        <f t="array" ref="F4409">IF($C4409="","",IFERROR(INDEX(DATA_MASTER!$L$2:$L$5000,MATCH($C4409,DATA_MASTER!$D$2:$D$5000,0)),""))</f>
        <v/>
      </c>
      <c r="G4409" s="24" t="n"/>
      <c r="H4409" s="24" t="n"/>
      <c r="I4409" s="30" t="n"/>
      <c r="J4409" s="23">
        <f>IF(OR($H4409="",$I4409=""),"",$H4409*$I4409)</f>
        <v/>
      </c>
      <c r="K4409" s="24" t="n"/>
      <c r="L4409" s="24" t="n"/>
      <c r="M4409" s="29" t="n"/>
      <c r="N4409" s="28" t="n"/>
      <c r="O4409" s="24" t="n"/>
      <c r="P4409" s="24" t="n"/>
      <c r="Q4409" s="24" t="n"/>
      <c r="R4409" s="24" t="n"/>
      <c r="S4409" s="22">
        <f>IF(AND($A4409="",$C4409=""),"",IF($A4409="","Thiếu mã đơn; ","")&amp;IF(COUNTIF($A$2:$A4409,$A4409)&gt;1,"Trùng mã đơn; ","")&amp;IF(ISNA(MATCH($C4409,DATA_MASTER!$D$2:$D$5000,0)),"SĐT chưa đăng ký hội viên; ","")&amp;IF(AND($L4409="Đã chuyển khoản",$M4409=""),"Thiếu ngày nhận CK; ",""))</f>
        <v/>
      </c>
      <c r="T4409" s="24" t="n"/>
    </row>
    <row r="4410" ht="14.25" customHeight="1" s="40">
      <c r="A4410" s="24" t="n"/>
      <c r="B4410" s="29" t="n"/>
      <c r="C4410" s="28" t="n"/>
      <c r="D4410" s="22">
        <f t="array" ref="D4410">IF($C4410="","",IFERROR(INDEX(DATA_MASTER!$C$2:$C$5000,MATCH($C4410,DATA_MASTER!$D$2:$D$5000,0)),""))</f>
        <v/>
      </c>
      <c r="E4410" s="22">
        <f t="array" ref="E4410">IF($C4410="","",IFERROR(INDEX(DATA_MASTER!$I$2:$I$5000,MATCH($C4410,DATA_MASTER!$D$2:$D$5000,0)),""))</f>
        <v/>
      </c>
      <c r="F4410" s="22">
        <f t="array" ref="F4410">IF($C4410="","",IFERROR(INDEX(DATA_MASTER!$L$2:$L$5000,MATCH($C4410,DATA_MASTER!$D$2:$D$5000,0)),""))</f>
        <v/>
      </c>
      <c r="G4410" s="24" t="n"/>
      <c r="H4410" s="24" t="n"/>
      <c r="I4410" s="30" t="n"/>
      <c r="J4410" s="23">
        <f>IF(OR($H4410="",$I4410=""),"",$H4410*$I4410)</f>
        <v/>
      </c>
      <c r="K4410" s="24" t="n"/>
      <c r="L4410" s="24" t="n"/>
      <c r="M4410" s="29" t="n"/>
      <c r="N4410" s="28" t="n"/>
      <c r="O4410" s="24" t="n"/>
      <c r="P4410" s="24" t="n"/>
      <c r="Q4410" s="24" t="n"/>
      <c r="R4410" s="24" t="n"/>
      <c r="S4410" s="22">
        <f>IF(AND($A4410="",$C4410=""),"",IF($A4410="","Thiếu mã đơn; ","")&amp;IF(COUNTIF($A$2:$A4410,$A4410)&gt;1,"Trùng mã đơn; ","")&amp;IF(ISNA(MATCH($C4410,DATA_MASTER!$D$2:$D$5000,0)),"SĐT chưa đăng ký hội viên; ","")&amp;IF(AND($L4410="Đã chuyển khoản",$M4410=""),"Thiếu ngày nhận CK; ",""))</f>
        <v/>
      </c>
      <c r="T4410" s="24" t="n"/>
    </row>
    <row r="4411" ht="14.25" customHeight="1" s="40">
      <c r="A4411" s="24" t="n"/>
      <c r="B4411" s="29" t="n"/>
      <c r="C4411" s="28" t="n"/>
      <c r="D4411" s="22">
        <f t="array" ref="D4411">IF($C4411="","",IFERROR(INDEX(DATA_MASTER!$C$2:$C$5000,MATCH($C4411,DATA_MASTER!$D$2:$D$5000,0)),""))</f>
        <v/>
      </c>
      <c r="E4411" s="22">
        <f t="array" ref="E4411">IF($C4411="","",IFERROR(INDEX(DATA_MASTER!$I$2:$I$5000,MATCH($C4411,DATA_MASTER!$D$2:$D$5000,0)),""))</f>
        <v/>
      </c>
      <c r="F4411" s="22">
        <f t="array" ref="F4411">IF($C4411="","",IFERROR(INDEX(DATA_MASTER!$L$2:$L$5000,MATCH($C4411,DATA_MASTER!$D$2:$D$5000,0)),""))</f>
        <v/>
      </c>
      <c r="G4411" s="24" t="n"/>
      <c r="H4411" s="24" t="n"/>
      <c r="I4411" s="30" t="n"/>
      <c r="J4411" s="23">
        <f>IF(OR($H4411="",$I4411=""),"",$H4411*$I4411)</f>
        <v/>
      </c>
      <c r="K4411" s="24" t="n"/>
      <c r="L4411" s="24" t="n"/>
      <c r="M4411" s="29" t="n"/>
      <c r="N4411" s="28" t="n"/>
      <c r="O4411" s="24" t="n"/>
      <c r="P4411" s="24" t="n"/>
      <c r="Q4411" s="24" t="n"/>
      <c r="R4411" s="24" t="n"/>
      <c r="S4411" s="22">
        <f>IF(AND($A4411="",$C4411=""),"",IF($A4411="","Thiếu mã đơn; ","")&amp;IF(COUNTIF($A$2:$A4411,$A4411)&gt;1,"Trùng mã đơn; ","")&amp;IF(ISNA(MATCH($C4411,DATA_MASTER!$D$2:$D$5000,0)),"SĐT chưa đăng ký hội viên; ","")&amp;IF(AND($L4411="Đã chuyển khoản",$M4411=""),"Thiếu ngày nhận CK; ",""))</f>
        <v/>
      </c>
      <c r="T4411" s="24" t="n"/>
    </row>
    <row r="4412" ht="14.25" customHeight="1" s="40">
      <c r="A4412" s="24" t="n"/>
      <c r="B4412" s="29" t="n"/>
      <c r="C4412" s="28" t="n"/>
      <c r="D4412" s="22">
        <f t="array" ref="D4412">IF($C4412="","",IFERROR(INDEX(DATA_MASTER!$C$2:$C$5000,MATCH($C4412,DATA_MASTER!$D$2:$D$5000,0)),""))</f>
        <v/>
      </c>
      <c r="E4412" s="22">
        <f t="array" ref="E4412">IF($C4412="","",IFERROR(INDEX(DATA_MASTER!$I$2:$I$5000,MATCH($C4412,DATA_MASTER!$D$2:$D$5000,0)),""))</f>
        <v/>
      </c>
      <c r="F4412" s="22">
        <f t="array" ref="F4412">IF($C4412="","",IFERROR(INDEX(DATA_MASTER!$L$2:$L$5000,MATCH($C4412,DATA_MASTER!$D$2:$D$5000,0)),""))</f>
        <v/>
      </c>
      <c r="G4412" s="24" t="n"/>
      <c r="H4412" s="24" t="n"/>
      <c r="I4412" s="30" t="n"/>
      <c r="J4412" s="23">
        <f>IF(OR($H4412="",$I4412=""),"",$H4412*$I4412)</f>
        <v/>
      </c>
      <c r="K4412" s="24" t="n"/>
      <c r="L4412" s="24" t="n"/>
      <c r="M4412" s="29" t="n"/>
      <c r="N4412" s="28" t="n"/>
      <c r="O4412" s="24" t="n"/>
      <c r="P4412" s="24" t="n"/>
      <c r="Q4412" s="24" t="n"/>
      <c r="R4412" s="24" t="n"/>
      <c r="S4412" s="22">
        <f>IF(AND($A4412="",$C4412=""),"",IF($A4412="","Thiếu mã đơn; ","")&amp;IF(COUNTIF($A$2:$A4412,$A4412)&gt;1,"Trùng mã đơn; ","")&amp;IF(ISNA(MATCH($C4412,DATA_MASTER!$D$2:$D$5000,0)),"SĐT chưa đăng ký hội viên; ","")&amp;IF(AND($L4412="Đã chuyển khoản",$M4412=""),"Thiếu ngày nhận CK; ",""))</f>
        <v/>
      </c>
      <c r="T4412" s="24" t="n"/>
    </row>
    <row r="4413" ht="14.25" customHeight="1" s="40">
      <c r="A4413" s="24" t="n"/>
      <c r="B4413" s="29" t="n"/>
      <c r="C4413" s="28" t="n"/>
      <c r="D4413" s="22">
        <f t="array" ref="D4413">IF($C4413="","",IFERROR(INDEX(DATA_MASTER!$C$2:$C$5000,MATCH($C4413,DATA_MASTER!$D$2:$D$5000,0)),""))</f>
        <v/>
      </c>
      <c r="E4413" s="22">
        <f t="array" ref="E4413">IF($C4413="","",IFERROR(INDEX(DATA_MASTER!$I$2:$I$5000,MATCH($C4413,DATA_MASTER!$D$2:$D$5000,0)),""))</f>
        <v/>
      </c>
      <c r="F4413" s="22">
        <f t="array" ref="F4413">IF($C4413="","",IFERROR(INDEX(DATA_MASTER!$L$2:$L$5000,MATCH($C4413,DATA_MASTER!$D$2:$D$5000,0)),""))</f>
        <v/>
      </c>
      <c r="G4413" s="24" t="n"/>
      <c r="H4413" s="24" t="n"/>
      <c r="I4413" s="30" t="n"/>
      <c r="J4413" s="23">
        <f>IF(OR($H4413="",$I4413=""),"",$H4413*$I4413)</f>
        <v/>
      </c>
      <c r="K4413" s="24" t="n"/>
      <c r="L4413" s="24" t="n"/>
      <c r="M4413" s="29" t="n"/>
      <c r="N4413" s="28" t="n"/>
      <c r="O4413" s="24" t="n"/>
      <c r="P4413" s="24" t="n"/>
      <c r="Q4413" s="24" t="n"/>
      <c r="R4413" s="24" t="n"/>
      <c r="S4413" s="22">
        <f>IF(AND($A4413="",$C4413=""),"",IF($A4413="","Thiếu mã đơn; ","")&amp;IF(COUNTIF($A$2:$A4413,$A4413)&gt;1,"Trùng mã đơn; ","")&amp;IF(ISNA(MATCH($C4413,DATA_MASTER!$D$2:$D$5000,0)),"SĐT chưa đăng ký hội viên; ","")&amp;IF(AND($L4413="Đã chuyển khoản",$M4413=""),"Thiếu ngày nhận CK; ",""))</f>
        <v/>
      </c>
      <c r="T4413" s="24" t="n"/>
    </row>
    <row r="4414" ht="14.25" customHeight="1" s="40">
      <c r="A4414" s="24" t="n"/>
      <c r="B4414" s="29" t="n"/>
      <c r="C4414" s="28" t="n"/>
      <c r="D4414" s="22">
        <f t="array" ref="D4414">IF($C4414="","",IFERROR(INDEX(DATA_MASTER!$C$2:$C$5000,MATCH($C4414,DATA_MASTER!$D$2:$D$5000,0)),""))</f>
        <v/>
      </c>
      <c r="E4414" s="22">
        <f t="array" ref="E4414">IF($C4414="","",IFERROR(INDEX(DATA_MASTER!$I$2:$I$5000,MATCH($C4414,DATA_MASTER!$D$2:$D$5000,0)),""))</f>
        <v/>
      </c>
      <c r="F4414" s="22">
        <f t="array" ref="F4414">IF($C4414="","",IFERROR(INDEX(DATA_MASTER!$L$2:$L$5000,MATCH($C4414,DATA_MASTER!$D$2:$D$5000,0)),""))</f>
        <v/>
      </c>
      <c r="G4414" s="24" t="n"/>
      <c r="H4414" s="24" t="n"/>
      <c r="I4414" s="30" t="n"/>
      <c r="J4414" s="23">
        <f>IF(OR($H4414="",$I4414=""),"",$H4414*$I4414)</f>
        <v/>
      </c>
      <c r="K4414" s="24" t="n"/>
      <c r="L4414" s="24" t="n"/>
      <c r="M4414" s="29" t="n"/>
      <c r="N4414" s="28" t="n"/>
      <c r="O4414" s="24" t="n"/>
      <c r="P4414" s="24" t="n"/>
      <c r="Q4414" s="24" t="n"/>
      <c r="R4414" s="24" t="n"/>
      <c r="S4414" s="22">
        <f>IF(AND($A4414="",$C4414=""),"",IF($A4414="","Thiếu mã đơn; ","")&amp;IF(COUNTIF($A$2:$A4414,$A4414)&gt;1,"Trùng mã đơn; ","")&amp;IF(ISNA(MATCH($C4414,DATA_MASTER!$D$2:$D$5000,0)),"SĐT chưa đăng ký hội viên; ","")&amp;IF(AND($L4414="Đã chuyển khoản",$M4414=""),"Thiếu ngày nhận CK; ",""))</f>
        <v/>
      </c>
      <c r="T4414" s="24" t="n"/>
    </row>
    <row r="4415" ht="14.25" customHeight="1" s="40">
      <c r="A4415" s="24" t="n"/>
      <c r="B4415" s="29" t="n"/>
      <c r="C4415" s="28" t="n"/>
      <c r="D4415" s="22">
        <f t="array" ref="D4415">IF($C4415="","",IFERROR(INDEX(DATA_MASTER!$C$2:$C$5000,MATCH($C4415,DATA_MASTER!$D$2:$D$5000,0)),""))</f>
        <v/>
      </c>
      <c r="E4415" s="22">
        <f t="array" ref="E4415">IF($C4415="","",IFERROR(INDEX(DATA_MASTER!$I$2:$I$5000,MATCH($C4415,DATA_MASTER!$D$2:$D$5000,0)),""))</f>
        <v/>
      </c>
      <c r="F4415" s="22">
        <f t="array" ref="F4415">IF($C4415="","",IFERROR(INDEX(DATA_MASTER!$L$2:$L$5000,MATCH($C4415,DATA_MASTER!$D$2:$D$5000,0)),""))</f>
        <v/>
      </c>
      <c r="G4415" s="24" t="n"/>
      <c r="H4415" s="24" t="n"/>
      <c r="I4415" s="30" t="n"/>
      <c r="J4415" s="23">
        <f>IF(OR($H4415="",$I4415=""),"",$H4415*$I4415)</f>
        <v/>
      </c>
      <c r="K4415" s="24" t="n"/>
      <c r="L4415" s="24" t="n"/>
      <c r="M4415" s="29" t="n"/>
      <c r="N4415" s="28" t="n"/>
      <c r="O4415" s="24" t="n"/>
      <c r="P4415" s="24" t="n"/>
      <c r="Q4415" s="24" t="n"/>
      <c r="R4415" s="24" t="n"/>
      <c r="S4415" s="22">
        <f>IF(AND($A4415="",$C4415=""),"",IF($A4415="","Thiếu mã đơn; ","")&amp;IF(COUNTIF($A$2:$A4415,$A4415)&gt;1,"Trùng mã đơn; ","")&amp;IF(ISNA(MATCH($C4415,DATA_MASTER!$D$2:$D$5000,0)),"SĐT chưa đăng ký hội viên; ","")&amp;IF(AND($L4415="Đã chuyển khoản",$M4415=""),"Thiếu ngày nhận CK; ",""))</f>
        <v/>
      </c>
      <c r="T4415" s="24" t="n"/>
    </row>
    <row r="4416" ht="14.25" customHeight="1" s="40">
      <c r="A4416" s="24" t="n"/>
      <c r="B4416" s="29" t="n"/>
      <c r="C4416" s="28" t="n"/>
      <c r="D4416" s="22">
        <f t="array" ref="D4416">IF($C4416="","",IFERROR(INDEX(DATA_MASTER!$C$2:$C$5000,MATCH($C4416,DATA_MASTER!$D$2:$D$5000,0)),""))</f>
        <v/>
      </c>
      <c r="E4416" s="22">
        <f t="array" ref="E4416">IF($C4416="","",IFERROR(INDEX(DATA_MASTER!$I$2:$I$5000,MATCH($C4416,DATA_MASTER!$D$2:$D$5000,0)),""))</f>
        <v/>
      </c>
      <c r="F4416" s="22">
        <f t="array" ref="F4416">IF($C4416="","",IFERROR(INDEX(DATA_MASTER!$L$2:$L$5000,MATCH($C4416,DATA_MASTER!$D$2:$D$5000,0)),""))</f>
        <v/>
      </c>
      <c r="G4416" s="24" t="n"/>
      <c r="H4416" s="24" t="n"/>
      <c r="I4416" s="30" t="n"/>
      <c r="J4416" s="23">
        <f>IF(OR($H4416="",$I4416=""),"",$H4416*$I4416)</f>
        <v/>
      </c>
      <c r="K4416" s="24" t="n"/>
      <c r="L4416" s="24" t="n"/>
      <c r="M4416" s="29" t="n"/>
      <c r="N4416" s="28" t="n"/>
      <c r="O4416" s="24" t="n"/>
      <c r="P4416" s="24" t="n"/>
      <c r="Q4416" s="24" t="n"/>
      <c r="R4416" s="24" t="n"/>
      <c r="S4416" s="22">
        <f>IF(AND($A4416="",$C4416=""),"",IF($A4416="","Thiếu mã đơn; ","")&amp;IF(COUNTIF($A$2:$A4416,$A4416)&gt;1,"Trùng mã đơn; ","")&amp;IF(ISNA(MATCH($C4416,DATA_MASTER!$D$2:$D$5000,0)),"SĐT chưa đăng ký hội viên; ","")&amp;IF(AND($L4416="Đã chuyển khoản",$M4416=""),"Thiếu ngày nhận CK; ",""))</f>
        <v/>
      </c>
      <c r="T4416" s="24" t="n"/>
    </row>
    <row r="4417" ht="14.25" customHeight="1" s="40">
      <c r="A4417" s="24" t="n"/>
      <c r="B4417" s="29" t="n"/>
      <c r="C4417" s="28" t="n"/>
      <c r="D4417" s="22">
        <f t="array" ref="D4417">IF($C4417="","",IFERROR(INDEX(DATA_MASTER!$C$2:$C$5000,MATCH($C4417,DATA_MASTER!$D$2:$D$5000,0)),""))</f>
        <v/>
      </c>
      <c r="E4417" s="22">
        <f t="array" ref="E4417">IF($C4417="","",IFERROR(INDEX(DATA_MASTER!$I$2:$I$5000,MATCH($C4417,DATA_MASTER!$D$2:$D$5000,0)),""))</f>
        <v/>
      </c>
      <c r="F4417" s="22">
        <f t="array" ref="F4417">IF($C4417="","",IFERROR(INDEX(DATA_MASTER!$L$2:$L$5000,MATCH($C4417,DATA_MASTER!$D$2:$D$5000,0)),""))</f>
        <v/>
      </c>
      <c r="G4417" s="24" t="n"/>
      <c r="H4417" s="24" t="n"/>
      <c r="I4417" s="30" t="n"/>
      <c r="J4417" s="23">
        <f>IF(OR($H4417="",$I4417=""),"",$H4417*$I4417)</f>
        <v/>
      </c>
      <c r="K4417" s="24" t="n"/>
      <c r="L4417" s="24" t="n"/>
      <c r="M4417" s="29" t="n"/>
      <c r="N4417" s="28" t="n"/>
      <c r="O4417" s="24" t="n"/>
      <c r="P4417" s="24" t="n"/>
      <c r="Q4417" s="24" t="n"/>
      <c r="R4417" s="24" t="n"/>
      <c r="S4417" s="22">
        <f>IF(AND($A4417="",$C4417=""),"",IF($A4417="","Thiếu mã đơn; ","")&amp;IF(COUNTIF($A$2:$A4417,$A4417)&gt;1,"Trùng mã đơn; ","")&amp;IF(ISNA(MATCH($C4417,DATA_MASTER!$D$2:$D$5000,0)),"SĐT chưa đăng ký hội viên; ","")&amp;IF(AND($L4417="Đã chuyển khoản",$M4417=""),"Thiếu ngày nhận CK; ",""))</f>
        <v/>
      </c>
      <c r="T4417" s="24" t="n"/>
    </row>
    <row r="4418" ht="14.25" customHeight="1" s="40">
      <c r="A4418" s="24" t="n"/>
      <c r="B4418" s="29" t="n"/>
      <c r="C4418" s="28" t="n"/>
      <c r="D4418" s="22">
        <f t="array" ref="D4418">IF($C4418="","",IFERROR(INDEX(DATA_MASTER!$C$2:$C$5000,MATCH($C4418,DATA_MASTER!$D$2:$D$5000,0)),""))</f>
        <v/>
      </c>
      <c r="E4418" s="22">
        <f t="array" ref="E4418">IF($C4418="","",IFERROR(INDEX(DATA_MASTER!$I$2:$I$5000,MATCH($C4418,DATA_MASTER!$D$2:$D$5000,0)),""))</f>
        <v/>
      </c>
      <c r="F4418" s="22">
        <f t="array" ref="F4418">IF($C4418="","",IFERROR(INDEX(DATA_MASTER!$L$2:$L$5000,MATCH($C4418,DATA_MASTER!$D$2:$D$5000,0)),""))</f>
        <v/>
      </c>
      <c r="G4418" s="24" t="n"/>
      <c r="H4418" s="24" t="n"/>
      <c r="I4418" s="30" t="n"/>
      <c r="J4418" s="23">
        <f>IF(OR($H4418="",$I4418=""),"",$H4418*$I4418)</f>
        <v/>
      </c>
      <c r="K4418" s="24" t="n"/>
      <c r="L4418" s="24" t="n"/>
      <c r="M4418" s="29" t="n"/>
      <c r="N4418" s="28" t="n"/>
      <c r="O4418" s="24" t="n"/>
      <c r="P4418" s="24" t="n"/>
      <c r="Q4418" s="24" t="n"/>
      <c r="R4418" s="24" t="n"/>
      <c r="S4418" s="22">
        <f>IF(AND($A4418="",$C4418=""),"",IF($A4418="","Thiếu mã đơn; ","")&amp;IF(COUNTIF($A$2:$A4418,$A4418)&gt;1,"Trùng mã đơn; ","")&amp;IF(ISNA(MATCH($C4418,DATA_MASTER!$D$2:$D$5000,0)),"SĐT chưa đăng ký hội viên; ","")&amp;IF(AND($L4418="Đã chuyển khoản",$M4418=""),"Thiếu ngày nhận CK; ",""))</f>
        <v/>
      </c>
      <c r="T4418" s="24" t="n"/>
    </row>
    <row r="4419" ht="14.25" customHeight="1" s="40">
      <c r="A4419" s="24" t="n"/>
      <c r="B4419" s="29" t="n"/>
      <c r="C4419" s="28" t="n"/>
      <c r="D4419" s="22">
        <f t="array" ref="D4419">IF($C4419="","",IFERROR(INDEX(DATA_MASTER!$C$2:$C$5000,MATCH($C4419,DATA_MASTER!$D$2:$D$5000,0)),""))</f>
        <v/>
      </c>
      <c r="E4419" s="22">
        <f t="array" ref="E4419">IF($C4419="","",IFERROR(INDEX(DATA_MASTER!$I$2:$I$5000,MATCH($C4419,DATA_MASTER!$D$2:$D$5000,0)),""))</f>
        <v/>
      </c>
      <c r="F4419" s="22">
        <f t="array" ref="F4419">IF($C4419="","",IFERROR(INDEX(DATA_MASTER!$L$2:$L$5000,MATCH($C4419,DATA_MASTER!$D$2:$D$5000,0)),""))</f>
        <v/>
      </c>
      <c r="G4419" s="24" t="n"/>
      <c r="H4419" s="24" t="n"/>
      <c r="I4419" s="30" t="n"/>
      <c r="J4419" s="23">
        <f>IF(OR($H4419="",$I4419=""),"",$H4419*$I4419)</f>
        <v/>
      </c>
      <c r="K4419" s="24" t="n"/>
      <c r="L4419" s="24" t="n"/>
      <c r="M4419" s="29" t="n"/>
      <c r="N4419" s="28" t="n"/>
      <c r="O4419" s="24" t="n"/>
      <c r="P4419" s="24" t="n"/>
      <c r="Q4419" s="24" t="n"/>
      <c r="R4419" s="24" t="n"/>
      <c r="S4419" s="22">
        <f>IF(AND($A4419="",$C4419=""),"",IF($A4419="","Thiếu mã đơn; ","")&amp;IF(COUNTIF($A$2:$A4419,$A4419)&gt;1,"Trùng mã đơn; ","")&amp;IF(ISNA(MATCH($C4419,DATA_MASTER!$D$2:$D$5000,0)),"SĐT chưa đăng ký hội viên; ","")&amp;IF(AND($L4419="Đã chuyển khoản",$M4419=""),"Thiếu ngày nhận CK; ",""))</f>
        <v/>
      </c>
      <c r="T4419" s="24" t="n"/>
    </row>
    <row r="4420" ht="14.25" customHeight="1" s="40">
      <c r="A4420" s="24" t="n"/>
      <c r="B4420" s="29" t="n"/>
      <c r="C4420" s="28" t="n"/>
      <c r="D4420" s="22">
        <f t="array" ref="D4420">IF($C4420="","",IFERROR(INDEX(DATA_MASTER!$C$2:$C$5000,MATCH($C4420,DATA_MASTER!$D$2:$D$5000,0)),""))</f>
        <v/>
      </c>
      <c r="E4420" s="22">
        <f t="array" ref="E4420">IF($C4420="","",IFERROR(INDEX(DATA_MASTER!$I$2:$I$5000,MATCH($C4420,DATA_MASTER!$D$2:$D$5000,0)),""))</f>
        <v/>
      </c>
      <c r="F4420" s="22">
        <f t="array" ref="F4420">IF($C4420="","",IFERROR(INDEX(DATA_MASTER!$L$2:$L$5000,MATCH($C4420,DATA_MASTER!$D$2:$D$5000,0)),""))</f>
        <v/>
      </c>
      <c r="G4420" s="24" t="n"/>
      <c r="H4420" s="24" t="n"/>
      <c r="I4420" s="30" t="n"/>
      <c r="J4420" s="23">
        <f>IF(OR($H4420="",$I4420=""),"",$H4420*$I4420)</f>
        <v/>
      </c>
      <c r="K4420" s="24" t="n"/>
      <c r="L4420" s="24" t="n"/>
      <c r="M4420" s="29" t="n"/>
      <c r="N4420" s="28" t="n"/>
      <c r="O4420" s="24" t="n"/>
      <c r="P4420" s="24" t="n"/>
      <c r="Q4420" s="24" t="n"/>
      <c r="R4420" s="24" t="n"/>
      <c r="S4420" s="22">
        <f>IF(AND($A4420="",$C4420=""),"",IF($A4420="","Thiếu mã đơn; ","")&amp;IF(COUNTIF($A$2:$A4420,$A4420)&gt;1,"Trùng mã đơn; ","")&amp;IF(ISNA(MATCH($C4420,DATA_MASTER!$D$2:$D$5000,0)),"SĐT chưa đăng ký hội viên; ","")&amp;IF(AND($L4420="Đã chuyển khoản",$M4420=""),"Thiếu ngày nhận CK; ",""))</f>
        <v/>
      </c>
      <c r="T4420" s="24" t="n"/>
    </row>
    <row r="4421" ht="14.25" customHeight="1" s="40">
      <c r="A4421" s="24" t="n"/>
      <c r="B4421" s="29" t="n"/>
      <c r="C4421" s="28" t="n"/>
      <c r="D4421" s="22">
        <f t="array" ref="D4421">IF($C4421="","",IFERROR(INDEX(DATA_MASTER!$C$2:$C$5000,MATCH($C4421,DATA_MASTER!$D$2:$D$5000,0)),""))</f>
        <v/>
      </c>
      <c r="E4421" s="22">
        <f t="array" ref="E4421">IF($C4421="","",IFERROR(INDEX(DATA_MASTER!$I$2:$I$5000,MATCH($C4421,DATA_MASTER!$D$2:$D$5000,0)),""))</f>
        <v/>
      </c>
      <c r="F4421" s="22">
        <f t="array" ref="F4421">IF($C4421="","",IFERROR(INDEX(DATA_MASTER!$L$2:$L$5000,MATCH($C4421,DATA_MASTER!$D$2:$D$5000,0)),""))</f>
        <v/>
      </c>
      <c r="G4421" s="24" t="n"/>
      <c r="H4421" s="24" t="n"/>
      <c r="I4421" s="30" t="n"/>
      <c r="J4421" s="23">
        <f>IF(OR($H4421="",$I4421=""),"",$H4421*$I4421)</f>
        <v/>
      </c>
      <c r="K4421" s="24" t="n"/>
      <c r="L4421" s="24" t="n"/>
      <c r="M4421" s="29" t="n"/>
      <c r="N4421" s="28" t="n"/>
      <c r="O4421" s="24" t="n"/>
      <c r="P4421" s="24" t="n"/>
      <c r="Q4421" s="24" t="n"/>
      <c r="R4421" s="24" t="n"/>
      <c r="S4421" s="22">
        <f>IF(AND($A4421="",$C4421=""),"",IF($A4421="","Thiếu mã đơn; ","")&amp;IF(COUNTIF($A$2:$A4421,$A4421)&gt;1,"Trùng mã đơn; ","")&amp;IF(ISNA(MATCH($C4421,DATA_MASTER!$D$2:$D$5000,0)),"SĐT chưa đăng ký hội viên; ","")&amp;IF(AND($L4421="Đã chuyển khoản",$M4421=""),"Thiếu ngày nhận CK; ",""))</f>
        <v/>
      </c>
      <c r="T4421" s="24" t="n"/>
    </row>
    <row r="4422" ht="14.25" customHeight="1" s="40">
      <c r="A4422" s="24" t="n"/>
      <c r="B4422" s="29" t="n"/>
      <c r="C4422" s="28" t="n"/>
      <c r="D4422" s="22">
        <f t="array" ref="D4422">IF($C4422="","",IFERROR(INDEX(DATA_MASTER!$C$2:$C$5000,MATCH($C4422,DATA_MASTER!$D$2:$D$5000,0)),""))</f>
        <v/>
      </c>
      <c r="E4422" s="22">
        <f t="array" ref="E4422">IF($C4422="","",IFERROR(INDEX(DATA_MASTER!$I$2:$I$5000,MATCH($C4422,DATA_MASTER!$D$2:$D$5000,0)),""))</f>
        <v/>
      </c>
      <c r="F4422" s="22">
        <f t="array" ref="F4422">IF($C4422="","",IFERROR(INDEX(DATA_MASTER!$L$2:$L$5000,MATCH($C4422,DATA_MASTER!$D$2:$D$5000,0)),""))</f>
        <v/>
      </c>
      <c r="G4422" s="24" t="n"/>
      <c r="H4422" s="24" t="n"/>
      <c r="I4422" s="30" t="n"/>
      <c r="J4422" s="23">
        <f>IF(OR($H4422="",$I4422=""),"",$H4422*$I4422)</f>
        <v/>
      </c>
      <c r="K4422" s="24" t="n"/>
      <c r="L4422" s="24" t="n"/>
      <c r="M4422" s="29" t="n"/>
      <c r="N4422" s="28" t="n"/>
      <c r="O4422" s="24" t="n"/>
      <c r="P4422" s="24" t="n"/>
      <c r="Q4422" s="24" t="n"/>
      <c r="R4422" s="24" t="n"/>
      <c r="S4422" s="22">
        <f>IF(AND($A4422="",$C4422=""),"",IF($A4422="","Thiếu mã đơn; ","")&amp;IF(COUNTIF($A$2:$A4422,$A4422)&gt;1,"Trùng mã đơn; ","")&amp;IF(ISNA(MATCH($C4422,DATA_MASTER!$D$2:$D$5000,0)),"SĐT chưa đăng ký hội viên; ","")&amp;IF(AND($L4422="Đã chuyển khoản",$M4422=""),"Thiếu ngày nhận CK; ",""))</f>
        <v/>
      </c>
      <c r="T4422" s="24" t="n"/>
    </row>
    <row r="4423" ht="14.25" customHeight="1" s="40">
      <c r="A4423" s="24" t="n"/>
      <c r="B4423" s="29" t="n"/>
      <c r="C4423" s="28" t="n"/>
      <c r="D4423" s="22">
        <f t="array" ref="D4423">IF($C4423="","",IFERROR(INDEX(DATA_MASTER!$C$2:$C$5000,MATCH($C4423,DATA_MASTER!$D$2:$D$5000,0)),""))</f>
        <v/>
      </c>
      <c r="E4423" s="22">
        <f t="array" ref="E4423">IF($C4423="","",IFERROR(INDEX(DATA_MASTER!$I$2:$I$5000,MATCH($C4423,DATA_MASTER!$D$2:$D$5000,0)),""))</f>
        <v/>
      </c>
      <c r="F4423" s="22">
        <f t="array" ref="F4423">IF($C4423="","",IFERROR(INDEX(DATA_MASTER!$L$2:$L$5000,MATCH($C4423,DATA_MASTER!$D$2:$D$5000,0)),""))</f>
        <v/>
      </c>
      <c r="G4423" s="24" t="n"/>
      <c r="H4423" s="24" t="n"/>
      <c r="I4423" s="30" t="n"/>
      <c r="J4423" s="23">
        <f>IF(OR($H4423="",$I4423=""),"",$H4423*$I4423)</f>
        <v/>
      </c>
      <c r="K4423" s="24" t="n"/>
      <c r="L4423" s="24" t="n"/>
      <c r="M4423" s="29" t="n"/>
      <c r="N4423" s="28" t="n"/>
      <c r="O4423" s="24" t="n"/>
      <c r="P4423" s="24" t="n"/>
      <c r="Q4423" s="24" t="n"/>
      <c r="R4423" s="24" t="n"/>
      <c r="S4423" s="22">
        <f>IF(AND($A4423="",$C4423=""),"",IF($A4423="","Thiếu mã đơn; ","")&amp;IF(COUNTIF($A$2:$A4423,$A4423)&gt;1,"Trùng mã đơn; ","")&amp;IF(ISNA(MATCH($C4423,DATA_MASTER!$D$2:$D$5000,0)),"SĐT chưa đăng ký hội viên; ","")&amp;IF(AND($L4423="Đã chuyển khoản",$M4423=""),"Thiếu ngày nhận CK; ",""))</f>
        <v/>
      </c>
      <c r="T4423" s="24" t="n"/>
    </row>
    <row r="4424" ht="14.25" customHeight="1" s="40">
      <c r="A4424" s="24" t="n"/>
      <c r="B4424" s="29" t="n"/>
      <c r="C4424" s="28" t="n"/>
      <c r="D4424" s="22">
        <f t="array" ref="D4424">IF($C4424="","",IFERROR(INDEX(DATA_MASTER!$C$2:$C$5000,MATCH($C4424,DATA_MASTER!$D$2:$D$5000,0)),""))</f>
        <v/>
      </c>
      <c r="E4424" s="22">
        <f t="array" ref="E4424">IF($C4424="","",IFERROR(INDEX(DATA_MASTER!$I$2:$I$5000,MATCH($C4424,DATA_MASTER!$D$2:$D$5000,0)),""))</f>
        <v/>
      </c>
      <c r="F4424" s="22">
        <f t="array" ref="F4424">IF($C4424="","",IFERROR(INDEX(DATA_MASTER!$L$2:$L$5000,MATCH($C4424,DATA_MASTER!$D$2:$D$5000,0)),""))</f>
        <v/>
      </c>
      <c r="G4424" s="24" t="n"/>
      <c r="H4424" s="24" t="n"/>
      <c r="I4424" s="30" t="n"/>
      <c r="J4424" s="23">
        <f>IF(OR($H4424="",$I4424=""),"",$H4424*$I4424)</f>
        <v/>
      </c>
      <c r="K4424" s="24" t="n"/>
      <c r="L4424" s="24" t="n"/>
      <c r="M4424" s="29" t="n"/>
      <c r="N4424" s="28" t="n"/>
      <c r="O4424" s="24" t="n"/>
      <c r="P4424" s="24" t="n"/>
      <c r="Q4424" s="24" t="n"/>
      <c r="R4424" s="24" t="n"/>
      <c r="S4424" s="22">
        <f>IF(AND($A4424="",$C4424=""),"",IF($A4424="","Thiếu mã đơn; ","")&amp;IF(COUNTIF($A$2:$A4424,$A4424)&gt;1,"Trùng mã đơn; ","")&amp;IF(ISNA(MATCH($C4424,DATA_MASTER!$D$2:$D$5000,0)),"SĐT chưa đăng ký hội viên; ","")&amp;IF(AND($L4424="Đã chuyển khoản",$M4424=""),"Thiếu ngày nhận CK; ",""))</f>
        <v/>
      </c>
      <c r="T4424" s="24" t="n"/>
    </row>
    <row r="4425" ht="14.25" customHeight="1" s="40">
      <c r="A4425" s="24" t="n"/>
      <c r="B4425" s="29" t="n"/>
      <c r="C4425" s="28" t="n"/>
      <c r="D4425" s="22">
        <f t="array" ref="D4425">IF($C4425="","",IFERROR(INDEX(DATA_MASTER!$C$2:$C$5000,MATCH($C4425,DATA_MASTER!$D$2:$D$5000,0)),""))</f>
        <v/>
      </c>
      <c r="E4425" s="22">
        <f t="array" ref="E4425">IF($C4425="","",IFERROR(INDEX(DATA_MASTER!$I$2:$I$5000,MATCH($C4425,DATA_MASTER!$D$2:$D$5000,0)),""))</f>
        <v/>
      </c>
      <c r="F4425" s="22">
        <f t="array" ref="F4425">IF($C4425="","",IFERROR(INDEX(DATA_MASTER!$L$2:$L$5000,MATCH($C4425,DATA_MASTER!$D$2:$D$5000,0)),""))</f>
        <v/>
      </c>
      <c r="G4425" s="24" t="n"/>
      <c r="H4425" s="24" t="n"/>
      <c r="I4425" s="30" t="n"/>
      <c r="J4425" s="23">
        <f>IF(OR($H4425="",$I4425=""),"",$H4425*$I4425)</f>
        <v/>
      </c>
      <c r="K4425" s="24" t="n"/>
      <c r="L4425" s="24" t="n"/>
      <c r="M4425" s="29" t="n"/>
      <c r="N4425" s="28" t="n"/>
      <c r="O4425" s="24" t="n"/>
      <c r="P4425" s="24" t="n"/>
      <c r="Q4425" s="24" t="n"/>
      <c r="R4425" s="24" t="n"/>
      <c r="S4425" s="22">
        <f>IF(AND($A4425="",$C4425=""),"",IF($A4425="","Thiếu mã đơn; ","")&amp;IF(COUNTIF($A$2:$A4425,$A4425)&gt;1,"Trùng mã đơn; ","")&amp;IF(ISNA(MATCH($C4425,DATA_MASTER!$D$2:$D$5000,0)),"SĐT chưa đăng ký hội viên; ","")&amp;IF(AND($L4425="Đã chuyển khoản",$M4425=""),"Thiếu ngày nhận CK; ",""))</f>
        <v/>
      </c>
      <c r="T4425" s="24" t="n"/>
    </row>
    <row r="4426" ht="14.25" customHeight="1" s="40">
      <c r="A4426" s="24" t="n"/>
      <c r="B4426" s="29" t="n"/>
      <c r="C4426" s="28" t="n"/>
      <c r="D4426" s="22">
        <f t="array" ref="D4426">IF($C4426="","",IFERROR(INDEX(DATA_MASTER!$C$2:$C$5000,MATCH($C4426,DATA_MASTER!$D$2:$D$5000,0)),""))</f>
        <v/>
      </c>
      <c r="E4426" s="22">
        <f t="array" ref="E4426">IF($C4426="","",IFERROR(INDEX(DATA_MASTER!$I$2:$I$5000,MATCH($C4426,DATA_MASTER!$D$2:$D$5000,0)),""))</f>
        <v/>
      </c>
      <c r="F4426" s="22">
        <f t="array" ref="F4426">IF($C4426="","",IFERROR(INDEX(DATA_MASTER!$L$2:$L$5000,MATCH($C4426,DATA_MASTER!$D$2:$D$5000,0)),""))</f>
        <v/>
      </c>
      <c r="G4426" s="24" t="n"/>
      <c r="H4426" s="24" t="n"/>
      <c r="I4426" s="30" t="n"/>
      <c r="J4426" s="23">
        <f>IF(OR($H4426="",$I4426=""),"",$H4426*$I4426)</f>
        <v/>
      </c>
      <c r="K4426" s="24" t="n"/>
      <c r="L4426" s="24" t="n"/>
      <c r="M4426" s="29" t="n"/>
      <c r="N4426" s="28" t="n"/>
      <c r="O4426" s="24" t="n"/>
      <c r="P4426" s="24" t="n"/>
      <c r="Q4426" s="24" t="n"/>
      <c r="R4426" s="24" t="n"/>
      <c r="S4426" s="22">
        <f>IF(AND($A4426="",$C4426=""),"",IF($A4426="","Thiếu mã đơn; ","")&amp;IF(COUNTIF($A$2:$A4426,$A4426)&gt;1,"Trùng mã đơn; ","")&amp;IF(ISNA(MATCH($C4426,DATA_MASTER!$D$2:$D$5000,0)),"SĐT chưa đăng ký hội viên; ","")&amp;IF(AND($L4426="Đã chuyển khoản",$M4426=""),"Thiếu ngày nhận CK; ",""))</f>
        <v/>
      </c>
      <c r="T4426" s="24" t="n"/>
    </row>
    <row r="4427" ht="14.25" customHeight="1" s="40">
      <c r="A4427" s="24" t="n"/>
      <c r="B4427" s="29" t="n"/>
      <c r="C4427" s="28" t="n"/>
      <c r="D4427" s="22">
        <f t="array" ref="D4427">IF($C4427="","",IFERROR(INDEX(DATA_MASTER!$C$2:$C$5000,MATCH($C4427,DATA_MASTER!$D$2:$D$5000,0)),""))</f>
        <v/>
      </c>
      <c r="E4427" s="22">
        <f t="array" ref="E4427">IF($C4427="","",IFERROR(INDEX(DATA_MASTER!$I$2:$I$5000,MATCH($C4427,DATA_MASTER!$D$2:$D$5000,0)),""))</f>
        <v/>
      </c>
      <c r="F4427" s="22">
        <f t="array" ref="F4427">IF($C4427="","",IFERROR(INDEX(DATA_MASTER!$L$2:$L$5000,MATCH($C4427,DATA_MASTER!$D$2:$D$5000,0)),""))</f>
        <v/>
      </c>
      <c r="G4427" s="24" t="n"/>
      <c r="H4427" s="24" t="n"/>
      <c r="I4427" s="30" t="n"/>
      <c r="J4427" s="23">
        <f>IF(OR($H4427="",$I4427=""),"",$H4427*$I4427)</f>
        <v/>
      </c>
      <c r="K4427" s="24" t="n"/>
      <c r="L4427" s="24" t="n"/>
      <c r="M4427" s="29" t="n"/>
      <c r="N4427" s="28" t="n"/>
      <c r="O4427" s="24" t="n"/>
      <c r="P4427" s="24" t="n"/>
      <c r="Q4427" s="24" t="n"/>
      <c r="R4427" s="24" t="n"/>
      <c r="S4427" s="22">
        <f>IF(AND($A4427="",$C4427=""),"",IF($A4427="","Thiếu mã đơn; ","")&amp;IF(COUNTIF($A$2:$A4427,$A4427)&gt;1,"Trùng mã đơn; ","")&amp;IF(ISNA(MATCH($C4427,DATA_MASTER!$D$2:$D$5000,0)),"SĐT chưa đăng ký hội viên; ","")&amp;IF(AND($L4427="Đã chuyển khoản",$M4427=""),"Thiếu ngày nhận CK; ",""))</f>
        <v/>
      </c>
      <c r="T4427" s="24" t="n"/>
    </row>
    <row r="4428" ht="14.25" customHeight="1" s="40">
      <c r="A4428" s="24" t="n"/>
      <c r="B4428" s="29" t="n"/>
      <c r="C4428" s="28" t="n"/>
      <c r="D4428" s="22">
        <f t="array" ref="D4428">IF($C4428="","",IFERROR(INDEX(DATA_MASTER!$C$2:$C$5000,MATCH($C4428,DATA_MASTER!$D$2:$D$5000,0)),""))</f>
        <v/>
      </c>
      <c r="E4428" s="22">
        <f t="array" ref="E4428">IF($C4428="","",IFERROR(INDEX(DATA_MASTER!$I$2:$I$5000,MATCH($C4428,DATA_MASTER!$D$2:$D$5000,0)),""))</f>
        <v/>
      </c>
      <c r="F4428" s="22">
        <f t="array" ref="F4428">IF($C4428="","",IFERROR(INDEX(DATA_MASTER!$L$2:$L$5000,MATCH($C4428,DATA_MASTER!$D$2:$D$5000,0)),""))</f>
        <v/>
      </c>
      <c r="G4428" s="24" t="n"/>
      <c r="H4428" s="24" t="n"/>
      <c r="I4428" s="30" t="n"/>
      <c r="J4428" s="23">
        <f>IF(OR($H4428="",$I4428=""),"",$H4428*$I4428)</f>
        <v/>
      </c>
      <c r="K4428" s="24" t="n"/>
      <c r="L4428" s="24" t="n"/>
      <c r="M4428" s="29" t="n"/>
      <c r="N4428" s="28" t="n"/>
      <c r="O4428" s="24" t="n"/>
      <c r="P4428" s="24" t="n"/>
      <c r="Q4428" s="24" t="n"/>
      <c r="R4428" s="24" t="n"/>
      <c r="S4428" s="22">
        <f>IF(AND($A4428="",$C4428=""),"",IF($A4428="","Thiếu mã đơn; ","")&amp;IF(COUNTIF($A$2:$A4428,$A4428)&gt;1,"Trùng mã đơn; ","")&amp;IF(ISNA(MATCH($C4428,DATA_MASTER!$D$2:$D$5000,0)),"SĐT chưa đăng ký hội viên; ","")&amp;IF(AND($L4428="Đã chuyển khoản",$M4428=""),"Thiếu ngày nhận CK; ",""))</f>
        <v/>
      </c>
      <c r="T4428" s="24" t="n"/>
    </row>
    <row r="4429" ht="14.25" customHeight="1" s="40">
      <c r="A4429" s="24" t="n"/>
      <c r="B4429" s="29" t="n"/>
      <c r="C4429" s="28" t="n"/>
      <c r="D4429" s="22">
        <f t="array" ref="D4429">IF($C4429="","",IFERROR(INDEX(DATA_MASTER!$C$2:$C$5000,MATCH($C4429,DATA_MASTER!$D$2:$D$5000,0)),""))</f>
        <v/>
      </c>
      <c r="E4429" s="22">
        <f t="array" ref="E4429">IF($C4429="","",IFERROR(INDEX(DATA_MASTER!$I$2:$I$5000,MATCH($C4429,DATA_MASTER!$D$2:$D$5000,0)),""))</f>
        <v/>
      </c>
      <c r="F4429" s="22">
        <f t="array" ref="F4429">IF($C4429="","",IFERROR(INDEX(DATA_MASTER!$L$2:$L$5000,MATCH($C4429,DATA_MASTER!$D$2:$D$5000,0)),""))</f>
        <v/>
      </c>
      <c r="G4429" s="24" t="n"/>
      <c r="H4429" s="24" t="n"/>
      <c r="I4429" s="30" t="n"/>
      <c r="J4429" s="23">
        <f>IF(OR($H4429="",$I4429=""),"",$H4429*$I4429)</f>
        <v/>
      </c>
      <c r="K4429" s="24" t="n"/>
      <c r="L4429" s="24" t="n"/>
      <c r="M4429" s="29" t="n"/>
      <c r="N4429" s="28" t="n"/>
      <c r="O4429" s="24" t="n"/>
      <c r="P4429" s="24" t="n"/>
      <c r="Q4429" s="24" t="n"/>
      <c r="R4429" s="24" t="n"/>
      <c r="S4429" s="22">
        <f>IF(AND($A4429="",$C4429=""),"",IF($A4429="","Thiếu mã đơn; ","")&amp;IF(COUNTIF($A$2:$A4429,$A4429)&gt;1,"Trùng mã đơn; ","")&amp;IF(ISNA(MATCH($C4429,DATA_MASTER!$D$2:$D$5000,0)),"SĐT chưa đăng ký hội viên; ","")&amp;IF(AND($L4429="Đã chuyển khoản",$M4429=""),"Thiếu ngày nhận CK; ",""))</f>
        <v/>
      </c>
      <c r="T4429" s="24" t="n"/>
    </row>
    <row r="4430" ht="14.25" customHeight="1" s="40">
      <c r="A4430" s="24" t="n"/>
      <c r="B4430" s="29" t="n"/>
      <c r="C4430" s="28" t="n"/>
      <c r="D4430" s="22">
        <f t="array" ref="D4430">IF($C4430="","",IFERROR(INDEX(DATA_MASTER!$C$2:$C$5000,MATCH($C4430,DATA_MASTER!$D$2:$D$5000,0)),""))</f>
        <v/>
      </c>
      <c r="E4430" s="22">
        <f t="array" ref="E4430">IF($C4430="","",IFERROR(INDEX(DATA_MASTER!$I$2:$I$5000,MATCH($C4430,DATA_MASTER!$D$2:$D$5000,0)),""))</f>
        <v/>
      </c>
      <c r="F4430" s="22">
        <f t="array" ref="F4430">IF($C4430="","",IFERROR(INDEX(DATA_MASTER!$L$2:$L$5000,MATCH($C4430,DATA_MASTER!$D$2:$D$5000,0)),""))</f>
        <v/>
      </c>
      <c r="G4430" s="24" t="n"/>
      <c r="H4430" s="24" t="n"/>
      <c r="I4430" s="30" t="n"/>
      <c r="J4430" s="23">
        <f>IF(OR($H4430="",$I4430=""),"",$H4430*$I4430)</f>
        <v/>
      </c>
      <c r="K4430" s="24" t="n"/>
      <c r="L4430" s="24" t="n"/>
      <c r="M4430" s="29" t="n"/>
      <c r="N4430" s="28" t="n"/>
      <c r="O4430" s="24" t="n"/>
      <c r="P4430" s="24" t="n"/>
      <c r="Q4430" s="24" t="n"/>
      <c r="R4430" s="24" t="n"/>
      <c r="S4430" s="22">
        <f>IF(AND($A4430="",$C4430=""),"",IF($A4430="","Thiếu mã đơn; ","")&amp;IF(COUNTIF($A$2:$A4430,$A4430)&gt;1,"Trùng mã đơn; ","")&amp;IF(ISNA(MATCH($C4430,DATA_MASTER!$D$2:$D$5000,0)),"SĐT chưa đăng ký hội viên; ","")&amp;IF(AND($L4430="Đã chuyển khoản",$M4430=""),"Thiếu ngày nhận CK; ",""))</f>
        <v/>
      </c>
      <c r="T4430" s="24" t="n"/>
    </row>
    <row r="4431" ht="14.25" customHeight="1" s="40">
      <c r="A4431" s="24" t="n"/>
      <c r="B4431" s="29" t="n"/>
      <c r="C4431" s="28" t="n"/>
      <c r="D4431" s="22">
        <f t="array" ref="D4431">IF($C4431="","",IFERROR(INDEX(DATA_MASTER!$C$2:$C$5000,MATCH($C4431,DATA_MASTER!$D$2:$D$5000,0)),""))</f>
        <v/>
      </c>
      <c r="E4431" s="22">
        <f t="array" ref="E4431">IF($C4431="","",IFERROR(INDEX(DATA_MASTER!$I$2:$I$5000,MATCH($C4431,DATA_MASTER!$D$2:$D$5000,0)),""))</f>
        <v/>
      </c>
      <c r="F4431" s="22">
        <f t="array" ref="F4431">IF($C4431="","",IFERROR(INDEX(DATA_MASTER!$L$2:$L$5000,MATCH($C4431,DATA_MASTER!$D$2:$D$5000,0)),""))</f>
        <v/>
      </c>
      <c r="G4431" s="24" t="n"/>
      <c r="H4431" s="24" t="n"/>
      <c r="I4431" s="30" t="n"/>
      <c r="J4431" s="23">
        <f>IF(OR($H4431="",$I4431=""),"",$H4431*$I4431)</f>
        <v/>
      </c>
      <c r="K4431" s="24" t="n"/>
      <c r="L4431" s="24" t="n"/>
      <c r="M4431" s="29" t="n"/>
      <c r="N4431" s="28" t="n"/>
      <c r="O4431" s="24" t="n"/>
      <c r="P4431" s="24" t="n"/>
      <c r="Q4431" s="24" t="n"/>
      <c r="R4431" s="24" t="n"/>
      <c r="S4431" s="22">
        <f>IF(AND($A4431="",$C4431=""),"",IF($A4431="","Thiếu mã đơn; ","")&amp;IF(COUNTIF($A$2:$A4431,$A4431)&gt;1,"Trùng mã đơn; ","")&amp;IF(ISNA(MATCH($C4431,DATA_MASTER!$D$2:$D$5000,0)),"SĐT chưa đăng ký hội viên; ","")&amp;IF(AND($L4431="Đã chuyển khoản",$M4431=""),"Thiếu ngày nhận CK; ",""))</f>
        <v/>
      </c>
      <c r="T4431" s="24" t="n"/>
    </row>
    <row r="4432" ht="14.25" customHeight="1" s="40">
      <c r="A4432" s="24" t="n"/>
      <c r="B4432" s="29" t="n"/>
      <c r="C4432" s="28" t="n"/>
      <c r="D4432" s="22">
        <f t="array" ref="D4432">IF($C4432="","",IFERROR(INDEX(DATA_MASTER!$C$2:$C$5000,MATCH($C4432,DATA_MASTER!$D$2:$D$5000,0)),""))</f>
        <v/>
      </c>
      <c r="E4432" s="22">
        <f t="array" ref="E4432">IF($C4432="","",IFERROR(INDEX(DATA_MASTER!$I$2:$I$5000,MATCH($C4432,DATA_MASTER!$D$2:$D$5000,0)),""))</f>
        <v/>
      </c>
      <c r="F4432" s="22">
        <f t="array" ref="F4432">IF($C4432="","",IFERROR(INDEX(DATA_MASTER!$L$2:$L$5000,MATCH($C4432,DATA_MASTER!$D$2:$D$5000,0)),""))</f>
        <v/>
      </c>
      <c r="G4432" s="24" t="n"/>
      <c r="H4432" s="24" t="n"/>
      <c r="I4432" s="30" t="n"/>
      <c r="J4432" s="23">
        <f>IF(OR($H4432="",$I4432=""),"",$H4432*$I4432)</f>
        <v/>
      </c>
      <c r="K4432" s="24" t="n"/>
      <c r="L4432" s="24" t="n"/>
      <c r="M4432" s="29" t="n"/>
      <c r="N4432" s="28" t="n"/>
      <c r="O4432" s="24" t="n"/>
      <c r="P4432" s="24" t="n"/>
      <c r="Q4432" s="24" t="n"/>
      <c r="R4432" s="24" t="n"/>
      <c r="S4432" s="22">
        <f>IF(AND($A4432="",$C4432=""),"",IF($A4432="","Thiếu mã đơn; ","")&amp;IF(COUNTIF($A$2:$A4432,$A4432)&gt;1,"Trùng mã đơn; ","")&amp;IF(ISNA(MATCH($C4432,DATA_MASTER!$D$2:$D$5000,0)),"SĐT chưa đăng ký hội viên; ","")&amp;IF(AND($L4432="Đã chuyển khoản",$M4432=""),"Thiếu ngày nhận CK; ",""))</f>
        <v/>
      </c>
      <c r="T4432" s="24" t="n"/>
    </row>
    <row r="4433" ht="14.25" customHeight="1" s="40">
      <c r="A4433" s="24" t="n"/>
      <c r="B4433" s="29" t="n"/>
      <c r="C4433" s="28" t="n"/>
      <c r="D4433" s="22">
        <f t="array" ref="D4433">IF($C4433="","",IFERROR(INDEX(DATA_MASTER!$C$2:$C$5000,MATCH($C4433,DATA_MASTER!$D$2:$D$5000,0)),""))</f>
        <v/>
      </c>
      <c r="E4433" s="22">
        <f t="array" ref="E4433">IF($C4433="","",IFERROR(INDEX(DATA_MASTER!$I$2:$I$5000,MATCH($C4433,DATA_MASTER!$D$2:$D$5000,0)),""))</f>
        <v/>
      </c>
      <c r="F4433" s="22">
        <f t="array" ref="F4433">IF($C4433="","",IFERROR(INDEX(DATA_MASTER!$L$2:$L$5000,MATCH($C4433,DATA_MASTER!$D$2:$D$5000,0)),""))</f>
        <v/>
      </c>
      <c r="G4433" s="24" t="n"/>
      <c r="H4433" s="24" t="n"/>
      <c r="I4433" s="30" t="n"/>
      <c r="J4433" s="23">
        <f>IF(OR($H4433="",$I4433=""),"",$H4433*$I4433)</f>
        <v/>
      </c>
      <c r="K4433" s="24" t="n"/>
      <c r="L4433" s="24" t="n"/>
      <c r="M4433" s="29" t="n"/>
      <c r="N4433" s="28" t="n"/>
      <c r="O4433" s="24" t="n"/>
      <c r="P4433" s="24" t="n"/>
      <c r="Q4433" s="24" t="n"/>
      <c r="R4433" s="24" t="n"/>
      <c r="S4433" s="22">
        <f>IF(AND($A4433="",$C4433=""),"",IF($A4433="","Thiếu mã đơn; ","")&amp;IF(COUNTIF($A$2:$A4433,$A4433)&gt;1,"Trùng mã đơn; ","")&amp;IF(ISNA(MATCH($C4433,DATA_MASTER!$D$2:$D$5000,0)),"SĐT chưa đăng ký hội viên; ","")&amp;IF(AND($L4433="Đã chuyển khoản",$M4433=""),"Thiếu ngày nhận CK; ",""))</f>
        <v/>
      </c>
      <c r="T4433" s="24" t="n"/>
    </row>
    <row r="4434" ht="14.25" customHeight="1" s="40">
      <c r="A4434" s="24" t="n"/>
      <c r="B4434" s="29" t="n"/>
      <c r="C4434" s="28" t="n"/>
      <c r="D4434" s="22">
        <f t="array" ref="D4434">IF($C4434="","",IFERROR(INDEX(DATA_MASTER!$C$2:$C$5000,MATCH($C4434,DATA_MASTER!$D$2:$D$5000,0)),""))</f>
        <v/>
      </c>
      <c r="E4434" s="22">
        <f t="array" ref="E4434">IF($C4434="","",IFERROR(INDEX(DATA_MASTER!$I$2:$I$5000,MATCH($C4434,DATA_MASTER!$D$2:$D$5000,0)),""))</f>
        <v/>
      </c>
      <c r="F4434" s="22">
        <f t="array" ref="F4434">IF($C4434="","",IFERROR(INDEX(DATA_MASTER!$L$2:$L$5000,MATCH($C4434,DATA_MASTER!$D$2:$D$5000,0)),""))</f>
        <v/>
      </c>
      <c r="G4434" s="24" t="n"/>
      <c r="H4434" s="24" t="n"/>
      <c r="I4434" s="30" t="n"/>
      <c r="J4434" s="23">
        <f>IF(OR($H4434="",$I4434=""),"",$H4434*$I4434)</f>
        <v/>
      </c>
      <c r="K4434" s="24" t="n"/>
      <c r="L4434" s="24" t="n"/>
      <c r="M4434" s="29" t="n"/>
      <c r="N4434" s="28" t="n"/>
      <c r="O4434" s="24" t="n"/>
      <c r="P4434" s="24" t="n"/>
      <c r="Q4434" s="24" t="n"/>
      <c r="R4434" s="24" t="n"/>
      <c r="S4434" s="22">
        <f>IF(AND($A4434="",$C4434=""),"",IF($A4434="","Thiếu mã đơn; ","")&amp;IF(COUNTIF($A$2:$A4434,$A4434)&gt;1,"Trùng mã đơn; ","")&amp;IF(ISNA(MATCH($C4434,DATA_MASTER!$D$2:$D$5000,0)),"SĐT chưa đăng ký hội viên; ","")&amp;IF(AND($L4434="Đã chuyển khoản",$M4434=""),"Thiếu ngày nhận CK; ",""))</f>
        <v/>
      </c>
      <c r="T4434" s="24" t="n"/>
    </row>
    <row r="4435" ht="14.25" customHeight="1" s="40">
      <c r="A4435" s="24" t="n"/>
      <c r="B4435" s="29" t="n"/>
      <c r="C4435" s="28" t="n"/>
      <c r="D4435" s="22">
        <f t="array" ref="D4435">IF($C4435="","",IFERROR(INDEX(DATA_MASTER!$C$2:$C$5000,MATCH($C4435,DATA_MASTER!$D$2:$D$5000,0)),""))</f>
        <v/>
      </c>
      <c r="E4435" s="22">
        <f t="array" ref="E4435">IF($C4435="","",IFERROR(INDEX(DATA_MASTER!$I$2:$I$5000,MATCH($C4435,DATA_MASTER!$D$2:$D$5000,0)),""))</f>
        <v/>
      </c>
      <c r="F4435" s="22">
        <f t="array" ref="F4435">IF($C4435="","",IFERROR(INDEX(DATA_MASTER!$L$2:$L$5000,MATCH($C4435,DATA_MASTER!$D$2:$D$5000,0)),""))</f>
        <v/>
      </c>
      <c r="G4435" s="24" t="n"/>
      <c r="H4435" s="24" t="n"/>
      <c r="I4435" s="30" t="n"/>
      <c r="J4435" s="23">
        <f>IF(OR($H4435="",$I4435=""),"",$H4435*$I4435)</f>
        <v/>
      </c>
      <c r="K4435" s="24" t="n"/>
      <c r="L4435" s="24" t="n"/>
      <c r="M4435" s="29" t="n"/>
      <c r="N4435" s="28" t="n"/>
      <c r="O4435" s="24" t="n"/>
      <c r="P4435" s="24" t="n"/>
      <c r="Q4435" s="24" t="n"/>
      <c r="R4435" s="24" t="n"/>
      <c r="S4435" s="22">
        <f>IF(AND($A4435="",$C4435=""),"",IF($A4435="","Thiếu mã đơn; ","")&amp;IF(COUNTIF($A$2:$A4435,$A4435)&gt;1,"Trùng mã đơn; ","")&amp;IF(ISNA(MATCH($C4435,DATA_MASTER!$D$2:$D$5000,0)),"SĐT chưa đăng ký hội viên; ","")&amp;IF(AND($L4435="Đã chuyển khoản",$M4435=""),"Thiếu ngày nhận CK; ",""))</f>
        <v/>
      </c>
      <c r="T4435" s="24" t="n"/>
    </row>
    <row r="4436" ht="14.25" customHeight="1" s="40">
      <c r="A4436" s="24" t="n"/>
      <c r="B4436" s="29" t="n"/>
      <c r="C4436" s="28" t="n"/>
      <c r="D4436" s="22">
        <f t="array" ref="D4436">IF($C4436="","",IFERROR(INDEX(DATA_MASTER!$C$2:$C$5000,MATCH($C4436,DATA_MASTER!$D$2:$D$5000,0)),""))</f>
        <v/>
      </c>
      <c r="E4436" s="22">
        <f t="array" ref="E4436">IF($C4436="","",IFERROR(INDEX(DATA_MASTER!$I$2:$I$5000,MATCH($C4436,DATA_MASTER!$D$2:$D$5000,0)),""))</f>
        <v/>
      </c>
      <c r="F4436" s="22">
        <f t="array" ref="F4436">IF($C4436="","",IFERROR(INDEX(DATA_MASTER!$L$2:$L$5000,MATCH($C4436,DATA_MASTER!$D$2:$D$5000,0)),""))</f>
        <v/>
      </c>
      <c r="G4436" s="24" t="n"/>
      <c r="H4436" s="24" t="n"/>
      <c r="I4436" s="30" t="n"/>
      <c r="J4436" s="23">
        <f>IF(OR($H4436="",$I4436=""),"",$H4436*$I4436)</f>
        <v/>
      </c>
      <c r="K4436" s="24" t="n"/>
      <c r="L4436" s="24" t="n"/>
      <c r="M4436" s="29" t="n"/>
      <c r="N4436" s="28" t="n"/>
      <c r="O4436" s="24" t="n"/>
      <c r="P4436" s="24" t="n"/>
      <c r="Q4436" s="24" t="n"/>
      <c r="R4436" s="24" t="n"/>
      <c r="S4436" s="22">
        <f>IF(AND($A4436="",$C4436=""),"",IF($A4436="","Thiếu mã đơn; ","")&amp;IF(COUNTIF($A$2:$A4436,$A4436)&gt;1,"Trùng mã đơn; ","")&amp;IF(ISNA(MATCH($C4436,DATA_MASTER!$D$2:$D$5000,0)),"SĐT chưa đăng ký hội viên; ","")&amp;IF(AND($L4436="Đã chuyển khoản",$M4436=""),"Thiếu ngày nhận CK; ",""))</f>
        <v/>
      </c>
      <c r="T4436" s="24" t="n"/>
    </row>
    <row r="4437" ht="14.25" customHeight="1" s="40">
      <c r="A4437" s="24" t="n"/>
      <c r="B4437" s="29" t="n"/>
      <c r="C4437" s="28" t="n"/>
      <c r="D4437" s="22">
        <f t="array" ref="D4437">IF($C4437="","",IFERROR(INDEX(DATA_MASTER!$C$2:$C$5000,MATCH($C4437,DATA_MASTER!$D$2:$D$5000,0)),""))</f>
        <v/>
      </c>
      <c r="E4437" s="22">
        <f t="array" ref="E4437">IF($C4437="","",IFERROR(INDEX(DATA_MASTER!$I$2:$I$5000,MATCH($C4437,DATA_MASTER!$D$2:$D$5000,0)),""))</f>
        <v/>
      </c>
      <c r="F4437" s="22">
        <f t="array" ref="F4437">IF($C4437="","",IFERROR(INDEX(DATA_MASTER!$L$2:$L$5000,MATCH($C4437,DATA_MASTER!$D$2:$D$5000,0)),""))</f>
        <v/>
      </c>
      <c r="G4437" s="24" t="n"/>
      <c r="H4437" s="24" t="n"/>
      <c r="I4437" s="30" t="n"/>
      <c r="J4437" s="23">
        <f>IF(OR($H4437="",$I4437=""),"",$H4437*$I4437)</f>
        <v/>
      </c>
      <c r="K4437" s="24" t="n"/>
      <c r="L4437" s="24" t="n"/>
      <c r="M4437" s="29" t="n"/>
      <c r="N4437" s="28" t="n"/>
      <c r="O4437" s="24" t="n"/>
      <c r="P4437" s="24" t="n"/>
      <c r="Q4437" s="24" t="n"/>
      <c r="R4437" s="24" t="n"/>
      <c r="S4437" s="22">
        <f>IF(AND($A4437="",$C4437=""),"",IF($A4437="","Thiếu mã đơn; ","")&amp;IF(COUNTIF($A$2:$A4437,$A4437)&gt;1,"Trùng mã đơn; ","")&amp;IF(ISNA(MATCH($C4437,DATA_MASTER!$D$2:$D$5000,0)),"SĐT chưa đăng ký hội viên; ","")&amp;IF(AND($L4437="Đã chuyển khoản",$M4437=""),"Thiếu ngày nhận CK; ",""))</f>
        <v/>
      </c>
      <c r="T4437" s="24" t="n"/>
    </row>
    <row r="4438" ht="14.25" customHeight="1" s="40">
      <c r="A4438" s="24" t="n"/>
      <c r="B4438" s="29" t="n"/>
      <c r="C4438" s="28" t="n"/>
      <c r="D4438" s="22">
        <f t="array" ref="D4438">IF($C4438="","",IFERROR(INDEX(DATA_MASTER!$C$2:$C$5000,MATCH($C4438,DATA_MASTER!$D$2:$D$5000,0)),""))</f>
        <v/>
      </c>
      <c r="E4438" s="22">
        <f t="array" ref="E4438">IF($C4438="","",IFERROR(INDEX(DATA_MASTER!$I$2:$I$5000,MATCH($C4438,DATA_MASTER!$D$2:$D$5000,0)),""))</f>
        <v/>
      </c>
      <c r="F4438" s="22">
        <f t="array" ref="F4438">IF($C4438="","",IFERROR(INDEX(DATA_MASTER!$L$2:$L$5000,MATCH($C4438,DATA_MASTER!$D$2:$D$5000,0)),""))</f>
        <v/>
      </c>
      <c r="G4438" s="24" t="n"/>
      <c r="H4438" s="24" t="n"/>
      <c r="I4438" s="30" t="n"/>
      <c r="J4438" s="23">
        <f>IF(OR($H4438="",$I4438=""),"",$H4438*$I4438)</f>
        <v/>
      </c>
      <c r="K4438" s="24" t="n"/>
      <c r="L4438" s="24" t="n"/>
      <c r="M4438" s="29" t="n"/>
      <c r="N4438" s="28" t="n"/>
      <c r="O4438" s="24" t="n"/>
      <c r="P4438" s="24" t="n"/>
      <c r="Q4438" s="24" t="n"/>
      <c r="R4438" s="24" t="n"/>
      <c r="S4438" s="22">
        <f>IF(AND($A4438="",$C4438=""),"",IF($A4438="","Thiếu mã đơn; ","")&amp;IF(COUNTIF($A$2:$A4438,$A4438)&gt;1,"Trùng mã đơn; ","")&amp;IF(ISNA(MATCH($C4438,DATA_MASTER!$D$2:$D$5000,0)),"SĐT chưa đăng ký hội viên; ","")&amp;IF(AND($L4438="Đã chuyển khoản",$M4438=""),"Thiếu ngày nhận CK; ",""))</f>
        <v/>
      </c>
      <c r="T4438" s="24" t="n"/>
    </row>
    <row r="4439" ht="14.25" customHeight="1" s="40">
      <c r="A4439" s="24" t="n"/>
      <c r="B4439" s="29" t="n"/>
      <c r="C4439" s="28" t="n"/>
      <c r="D4439" s="22">
        <f t="array" ref="D4439">IF($C4439="","",IFERROR(INDEX(DATA_MASTER!$C$2:$C$5000,MATCH($C4439,DATA_MASTER!$D$2:$D$5000,0)),""))</f>
        <v/>
      </c>
      <c r="E4439" s="22">
        <f t="array" ref="E4439">IF($C4439="","",IFERROR(INDEX(DATA_MASTER!$I$2:$I$5000,MATCH($C4439,DATA_MASTER!$D$2:$D$5000,0)),""))</f>
        <v/>
      </c>
      <c r="F4439" s="22">
        <f t="array" ref="F4439">IF($C4439="","",IFERROR(INDEX(DATA_MASTER!$L$2:$L$5000,MATCH($C4439,DATA_MASTER!$D$2:$D$5000,0)),""))</f>
        <v/>
      </c>
      <c r="G4439" s="24" t="n"/>
      <c r="H4439" s="24" t="n"/>
      <c r="I4439" s="30" t="n"/>
      <c r="J4439" s="23">
        <f>IF(OR($H4439="",$I4439=""),"",$H4439*$I4439)</f>
        <v/>
      </c>
      <c r="K4439" s="24" t="n"/>
      <c r="L4439" s="24" t="n"/>
      <c r="M4439" s="29" t="n"/>
      <c r="N4439" s="28" t="n"/>
      <c r="O4439" s="24" t="n"/>
      <c r="P4439" s="24" t="n"/>
      <c r="Q4439" s="24" t="n"/>
      <c r="R4439" s="24" t="n"/>
      <c r="S4439" s="22">
        <f>IF(AND($A4439="",$C4439=""),"",IF($A4439="","Thiếu mã đơn; ","")&amp;IF(COUNTIF($A$2:$A4439,$A4439)&gt;1,"Trùng mã đơn; ","")&amp;IF(ISNA(MATCH($C4439,DATA_MASTER!$D$2:$D$5000,0)),"SĐT chưa đăng ký hội viên; ","")&amp;IF(AND($L4439="Đã chuyển khoản",$M4439=""),"Thiếu ngày nhận CK; ",""))</f>
        <v/>
      </c>
      <c r="T4439" s="24" t="n"/>
    </row>
    <row r="4440" ht="14.25" customHeight="1" s="40">
      <c r="A4440" s="24" t="n"/>
      <c r="B4440" s="29" t="n"/>
      <c r="C4440" s="28" t="n"/>
      <c r="D4440" s="22">
        <f t="array" ref="D4440">IF($C4440="","",IFERROR(INDEX(DATA_MASTER!$C$2:$C$5000,MATCH($C4440,DATA_MASTER!$D$2:$D$5000,0)),""))</f>
        <v/>
      </c>
      <c r="E4440" s="22">
        <f t="array" ref="E4440">IF($C4440="","",IFERROR(INDEX(DATA_MASTER!$I$2:$I$5000,MATCH($C4440,DATA_MASTER!$D$2:$D$5000,0)),""))</f>
        <v/>
      </c>
      <c r="F4440" s="22">
        <f t="array" ref="F4440">IF($C4440="","",IFERROR(INDEX(DATA_MASTER!$L$2:$L$5000,MATCH($C4440,DATA_MASTER!$D$2:$D$5000,0)),""))</f>
        <v/>
      </c>
      <c r="G4440" s="24" t="n"/>
      <c r="H4440" s="24" t="n"/>
      <c r="I4440" s="30" t="n"/>
      <c r="J4440" s="23">
        <f>IF(OR($H4440="",$I4440=""),"",$H4440*$I4440)</f>
        <v/>
      </c>
      <c r="K4440" s="24" t="n"/>
      <c r="L4440" s="24" t="n"/>
      <c r="M4440" s="29" t="n"/>
      <c r="N4440" s="28" t="n"/>
      <c r="O4440" s="24" t="n"/>
      <c r="P4440" s="24" t="n"/>
      <c r="Q4440" s="24" t="n"/>
      <c r="R4440" s="24" t="n"/>
      <c r="S4440" s="22">
        <f>IF(AND($A4440="",$C4440=""),"",IF($A4440="","Thiếu mã đơn; ","")&amp;IF(COUNTIF($A$2:$A4440,$A4440)&gt;1,"Trùng mã đơn; ","")&amp;IF(ISNA(MATCH($C4440,DATA_MASTER!$D$2:$D$5000,0)),"SĐT chưa đăng ký hội viên; ","")&amp;IF(AND($L4440="Đã chuyển khoản",$M4440=""),"Thiếu ngày nhận CK; ",""))</f>
        <v/>
      </c>
      <c r="T4440" s="24" t="n"/>
    </row>
    <row r="4441" ht="14.25" customHeight="1" s="40">
      <c r="A4441" s="24" t="n"/>
      <c r="B4441" s="29" t="n"/>
      <c r="C4441" s="28" t="n"/>
      <c r="D4441" s="22">
        <f t="array" ref="D4441">IF($C4441="","",IFERROR(INDEX(DATA_MASTER!$C$2:$C$5000,MATCH($C4441,DATA_MASTER!$D$2:$D$5000,0)),""))</f>
        <v/>
      </c>
      <c r="E4441" s="22">
        <f t="array" ref="E4441">IF($C4441="","",IFERROR(INDEX(DATA_MASTER!$I$2:$I$5000,MATCH($C4441,DATA_MASTER!$D$2:$D$5000,0)),""))</f>
        <v/>
      </c>
      <c r="F4441" s="22">
        <f t="array" ref="F4441">IF($C4441="","",IFERROR(INDEX(DATA_MASTER!$L$2:$L$5000,MATCH($C4441,DATA_MASTER!$D$2:$D$5000,0)),""))</f>
        <v/>
      </c>
      <c r="G4441" s="24" t="n"/>
      <c r="H4441" s="24" t="n"/>
      <c r="I4441" s="30" t="n"/>
      <c r="J4441" s="23">
        <f>IF(OR($H4441="",$I4441=""),"",$H4441*$I4441)</f>
        <v/>
      </c>
      <c r="K4441" s="24" t="n"/>
      <c r="L4441" s="24" t="n"/>
      <c r="M4441" s="29" t="n"/>
      <c r="N4441" s="28" t="n"/>
      <c r="O4441" s="24" t="n"/>
      <c r="P4441" s="24" t="n"/>
      <c r="Q4441" s="24" t="n"/>
      <c r="R4441" s="24" t="n"/>
      <c r="S4441" s="22">
        <f>IF(AND($A4441="",$C4441=""),"",IF($A4441="","Thiếu mã đơn; ","")&amp;IF(COUNTIF($A$2:$A4441,$A4441)&gt;1,"Trùng mã đơn; ","")&amp;IF(ISNA(MATCH($C4441,DATA_MASTER!$D$2:$D$5000,0)),"SĐT chưa đăng ký hội viên; ","")&amp;IF(AND($L4441="Đã chuyển khoản",$M4441=""),"Thiếu ngày nhận CK; ",""))</f>
        <v/>
      </c>
      <c r="T4441" s="24" t="n"/>
    </row>
    <row r="4442" ht="14.25" customHeight="1" s="40">
      <c r="A4442" s="24" t="n"/>
      <c r="B4442" s="29" t="n"/>
      <c r="C4442" s="28" t="n"/>
      <c r="D4442" s="22">
        <f t="array" ref="D4442">IF($C4442="","",IFERROR(INDEX(DATA_MASTER!$C$2:$C$5000,MATCH($C4442,DATA_MASTER!$D$2:$D$5000,0)),""))</f>
        <v/>
      </c>
      <c r="E4442" s="22">
        <f t="array" ref="E4442">IF($C4442="","",IFERROR(INDEX(DATA_MASTER!$I$2:$I$5000,MATCH($C4442,DATA_MASTER!$D$2:$D$5000,0)),""))</f>
        <v/>
      </c>
      <c r="F4442" s="22">
        <f t="array" ref="F4442">IF($C4442="","",IFERROR(INDEX(DATA_MASTER!$L$2:$L$5000,MATCH($C4442,DATA_MASTER!$D$2:$D$5000,0)),""))</f>
        <v/>
      </c>
      <c r="G4442" s="24" t="n"/>
      <c r="H4442" s="24" t="n"/>
      <c r="I4442" s="30" t="n"/>
      <c r="J4442" s="23">
        <f>IF(OR($H4442="",$I4442=""),"",$H4442*$I4442)</f>
        <v/>
      </c>
      <c r="K4442" s="24" t="n"/>
      <c r="L4442" s="24" t="n"/>
      <c r="M4442" s="29" t="n"/>
      <c r="N4442" s="28" t="n"/>
      <c r="O4442" s="24" t="n"/>
      <c r="P4442" s="24" t="n"/>
      <c r="Q4442" s="24" t="n"/>
      <c r="R4442" s="24" t="n"/>
      <c r="S4442" s="22">
        <f>IF(AND($A4442="",$C4442=""),"",IF($A4442="","Thiếu mã đơn; ","")&amp;IF(COUNTIF($A$2:$A4442,$A4442)&gt;1,"Trùng mã đơn; ","")&amp;IF(ISNA(MATCH($C4442,DATA_MASTER!$D$2:$D$5000,0)),"SĐT chưa đăng ký hội viên; ","")&amp;IF(AND($L4442="Đã chuyển khoản",$M4442=""),"Thiếu ngày nhận CK; ",""))</f>
        <v/>
      </c>
      <c r="T4442" s="24" t="n"/>
    </row>
    <row r="4443" ht="14.25" customHeight="1" s="40">
      <c r="A4443" s="24" t="n"/>
      <c r="B4443" s="29" t="n"/>
      <c r="C4443" s="28" t="n"/>
      <c r="D4443" s="22">
        <f t="array" ref="D4443">IF($C4443="","",IFERROR(INDEX(DATA_MASTER!$C$2:$C$5000,MATCH($C4443,DATA_MASTER!$D$2:$D$5000,0)),""))</f>
        <v/>
      </c>
      <c r="E4443" s="22">
        <f t="array" ref="E4443">IF($C4443="","",IFERROR(INDEX(DATA_MASTER!$I$2:$I$5000,MATCH($C4443,DATA_MASTER!$D$2:$D$5000,0)),""))</f>
        <v/>
      </c>
      <c r="F4443" s="22">
        <f t="array" ref="F4443">IF($C4443="","",IFERROR(INDEX(DATA_MASTER!$L$2:$L$5000,MATCH($C4443,DATA_MASTER!$D$2:$D$5000,0)),""))</f>
        <v/>
      </c>
      <c r="G4443" s="24" t="n"/>
      <c r="H4443" s="24" t="n"/>
      <c r="I4443" s="30" t="n"/>
      <c r="J4443" s="23">
        <f>IF(OR($H4443="",$I4443=""),"",$H4443*$I4443)</f>
        <v/>
      </c>
      <c r="K4443" s="24" t="n"/>
      <c r="L4443" s="24" t="n"/>
      <c r="M4443" s="29" t="n"/>
      <c r="N4443" s="28" t="n"/>
      <c r="O4443" s="24" t="n"/>
      <c r="P4443" s="24" t="n"/>
      <c r="Q4443" s="24" t="n"/>
      <c r="R4443" s="24" t="n"/>
      <c r="S4443" s="22">
        <f>IF(AND($A4443="",$C4443=""),"",IF($A4443="","Thiếu mã đơn; ","")&amp;IF(COUNTIF($A$2:$A4443,$A4443)&gt;1,"Trùng mã đơn; ","")&amp;IF(ISNA(MATCH($C4443,DATA_MASTER!$D$2:$D$5000,0)),"SĐT chưa đăng ký hội viên; ","")&amp;IF(AND($L4443="Đã chuyển khoản",$M4443=""),"Thiếu ngày nhận CK; ",""))</f>
        <v/>
      </c>
      <c r="T4443" s="24" t="n"/>
    </row>
    <row r="4444" ht="14.25" customHeight="1" s="40">
      <c r="A4444" s="24" t="n"/>
      <c r="B4444" s="29" t="n"/>
      <c r="C4444" s="28" t="n"/>
      <c r="D4444" s="22">
        <f t="array" ref="D4444">IF($C4444="","",IFERROR(INDEX(DATA_MASTER!$C$2:$C$5000,MATCH($C4444,DATA_MASTER!$D$2:$D$5000,0)),""))</f>
        <v/>
      </c>
      <c r="E4444" s="22">
        <f t="array" ref="E4444">IF($C4444="","",IFERROR(INDEX(DATA_MASTER!$I$2:$I$5000,MATCH($C4444,DATA_MASTER!$D$2:$D$5000,0)),""))</f>
        <v/>
      </c>
      <c r="F4444" s="22">
        <f t="array" ref="F4444">IF($C4444="","",IFERROR(INDEX(DATA_MASTER!$L$2:$L$5000,MATCH($C4444,DATA_MASTER!$D$2:$D$5000,0)),""))</f>
        <v/>
      </c>
      <c r="G4444" s="24" t="n"/>
      <c r="H4444" s="24" t="n"/>
      <c r="I4444" s="30" t="n"/>
      <c r="J4444" s="23">
        <f>IF(OR($H4444="",$I4444=""),"",$H4444*$I4444)</f>
        <v/>
      </c>
      <c r="K4444" s="24" t="n"/>
      <c r="L4444" s="24" t="n"/>
      <c r="M4444" s="29" t="n"/>
      <c r="N4444" s="28" t="n"/>
      <c r="O4444" s="24" t="n"/>
      <c r="P4444" s="24" t="n"/>
      <c r="Q4444" s="24" t="n"/>
      <c r="R4444" s="24" t="n"/>
      <c r="S4444" s="22">
        <f>IF(AND($A4444="",$C4444=""),"",IF($A4444="","Thiếu mã đơn; ","")&amp;IF(COUNTIF($A$2:$A4444,$A4444)&gt;1,"Trùng mã đơn; ","")&amp;IF(ISNA(MATCH($C4444,DATA_MASTER!$D$2:$D$5000,0)),"SĐT chưa đăng ký hội viên; ","")&amp;IF(AND($L4444="Đã chuyển khoản",$M4444=""),"Thiếu ngày nhận CK; ",""))</f>
        <v/>
      </c>
      <c r="T4444" s="24" t="n"/>
    </row>
    <row r="4445" ht="14.25" customHeight="1" s="40">
      <c r="A4445" s="24" t="n"/>
      <c r="B4445" s="29" t="n"/>
      <c r="C4445" s="28" t="n"/>
      <c r="D4445" s="22">
        <f t="array" ref="D4445">IF($C4445="","",IFERROR(INDEX(DATA_MASTER!$C$2:$C$5000,MATCH($C4445,DATA_MASTER!$D$2:$D$5000,0)),""))</f>
        <v/>
      </c>
      <c r="E4445" s="22">
        <f t="array" ref="E4445">IF($C4445="","",IFERROR(INDEX(DATA_MASTER!$I$2:$I$5000,MATCH($C4445,DATA_MASTER!$D$2:$D$5000,0)),""))</f>
        <v/>
      </c>
      <c r="F4445" s="22">
        <f t="array" ref="F4445">IF($C4445="","",IFERROR(INDEX(DATA_MASTER!$L$2:$L$5000,MATCH($C4445,DATA_MASTER!$D$2:$D$5000,0)),""))</f>
        <v/>
      </c>
      <c r="G4445" s="24" t="n"/>
      <c r="H4445" s="24" t="n"/>
      <c r="I4445" s="30" t="n"/>
      <c r="J4445" s="23">
        <f>IF(OR($H4445="",$I4445=""),"",$H4445*$I4445)</f>
        <v/>
      </c>
      <c r="K4445" s="24" t="n"/>
      <c r="L4445" s="24" t="n"/>
      <c r="M4445" s="29" t="n"/>
      <c r="N4445" s="28" t="n"/>
      <c r="O4445" s="24" t="n"/>
      <c r="P4445" s="24" t="n"/>
      <c r="Q4445" s="24" t="n"/>
      <c r="R4445" s="24" t="n"/>
      <c r="S4445" s="22">
        <f>IF(AND($A4445="",$C4445=""),"",IF($A4445="","Thiếu mã đơn; ","")&amp;IF(COUNTIF($A$2:$A4445,$A4445)&gt;1,"Trùng mã đơn; ","")&amp;IF(ISNA(MATCH($C4445,DATA_MASTER!$D$2:$D$5000,0)),"SĐT chưa đăng ký hội viên; ","")&amp;IF(AND($L4445="Đã chuyển khoản",$M4445=""),"Thiếu ngày nhận CK; ",""))</f>
        <v/>
      </c>
      <c r="T4445" s="24" t="n"/>
    </row>
    <row r="4446" ht="14.25" customHeight="1" s="40">
      <c r="A4446" s="24" t="n"/>
      <c r="B4446" s="29" t="n"/>
      <c r="C4446" s="28" t="n"/>
      <c r="D4446" s="22">
        <f t="array" ref="D4446">IF($C4446="","",IFERROR(INDEX(DATA_MASTER!$C$2:$C$5000,MATCH($C4446,DATA_MASTER!$D$2:$D$5000,0)),""))</f>
        <v/>
      </c>
      <c r="E4446" s="22">
        <f t="array" ref="E4446">IF($C4446="","",IFERROR(INDEX(DATA_MASTER!$I$2:$I$5000,MATCH($C4446,DATA_MASTER!$D$2:$D$5000,0)),""))</f>
        <v/>
      </c>
      <c r="F4446" s="22">
        <f t="array" ref="F4446">IF($C4446="","",IFERROR(INDEX(DATA_MASTER!$L$2:$L$5000,MATCH($C4446,DATA_MASTER!$D$2:$D$5000,0)),""))</f>
        <v/>
      </c>
      <c r="G4446" s="24" t="n"/>
      <c r="H4446" s="24" t="n"/>
      <c r="I4446" s="30" t="n"/>
      <c r="J4446" s="23">
        <f>IF(OR($H4446="",$I4446=""),"",$H4446*$I4446)</f>
        <v/>
      </c>
      <c r="K4446" s="24" t="n"/>
      <c r="L4446" s="24" t="n"/>
      <c r="M4446" s="29" t="n"/>
      <c r="N4446" s="28" t="n"/>
      <c r="O4446" s="24" t="n"/>
      <c r="P4446" s="24" t="n"/>
      <c r="Q4446" s="24" t="n"/>
      <c r="R4446" s="24" t="n"/>
      <c r="S4446" s="22">
        <f>IF(AND($A4446="",$C4446=""),"",IF($A4446="","Thiếu mã đơn; ","")&amp;IF(COUNTIF($A$2:$A4446,$A4446)&gt;1,"Trùng mã đơn; ","")&amp;IF(ISNA(MATCH($C4446,DATA_MASTER!$D$2:$D$5000,0)),"SĐT chưa đăng ký hội viên; ","")&amp;IF(AND($L4446="Đã chuyển khoản",$M4446=""),"Thiếu ngày nhận CK; ",""))</f>
        <v/>
      </c>
      <c r="T4446" s="24" t="n"/>
    </row>
    <row r="4447" ht="14.25" customHeight="1" s="40">
      <c r="A4447" s="24" t="n"/>
      <c r="B4447" s="29" t="n"/>
      <c r="C4447" s="28" t="n"/>
      <c r="D4447" s="22">
        <f t="array" ref="D4447">IF($C4447="","",IFERROR(INDEX(DATA_MASTER!$C$2:$C$5000,MATCH($C4447,DATA_MASTER!$D$2:$D$5000,0)),""))</f>
        <v/>
      </c>
      <c r="E4447" s="22">
        <f t="array" ref="E4447">IF($C4447="","",IFERROR(INDEX(DATA_MASTER!$I$2:$I$5000,MATCH($C4447,DATA_MASTER!$D$2:$D$5000,0)),""))</f>
        <v/>
      </c>
      <c r="F4447" s="22">
        <f t="array" ref="F4447">IF($C4447="","",IFERROR(INDEX(DATA_MASTER!$L$2:$L$5000,MATCH($C4447,DATA_MASTER!$D$2:$D$5000,0)),""))</f>
        <v/>
      </c>
      <c r="G4447" s="24" t="n"/>
      <c r="H4447" s="24" t="n"/>
      <c r="I4447" s="30" t="n"/>
      <c r="J4447" s="23">
        <f>IF(OR($H4447="",$I4447=""),"",$H4447*$I4447)</f>
        <v/>
      </c>
      <c r="K4447" s="24" t="n"/>
      <c r="L4447" s="24" t="n"/>
      <c r="M4447" s="29" t="n"/>
      <c r="N4447" s="28" t="n"/>
      <c r="O4447" s="24" t="n"/>
      <c r="P4447" s="24" t="n"/>
      <c r="Q4447" s="24" t="n"/>
      <c r="R4447" s="24" t="n"/>
      <c r="S4447" s="22">
        <f>IF(AND($A4447="",$C4447=""),"",IF($A4447="","Thiếu mã đơn; ","")&amp;IF(COUNTIF($A$2:$A4447,$A4447)&gt;1,"Trùng mã đơn; ","")&amp;IF(ISNA(MATCH($C4447,DATA_MASTER!$D$2:$D$5000,0)),"SĐT chưa đăng ký hội viên; ","")&amp;IF(AND($L4447="Đã chuyển khoản",$M4447=""),"Thiếu ngày nhận CK; ",""))</f>
        <v/>
      </c>
      <c r="T4447" s="24" t="n"/>
    </row>
    <row r="4448" ht="14.25" customHeight="1" s="40">
      <c r="A4448" s="24" t="n"/>
      <c r="B4448" s="29" t="n"/>
      <c r="C4448" s="28" t="n"/>
      <c r="D4448" s="22">
        <f t="array" ref="D4448">IF($C4448="","",IFERROR(INDEX(DATA_MASTER!$C$2:$C$5000,MATCH($C4448,DATA_MASTER!$D$2:$D$5000,0)),""))</f>
        <v/>
      </c>
      <c r="E4448" s="22">
        <f t="array" ref="E4448">IF($C4448="","",IFERROR(INDEX(DATA_MASTER!$I$2:$I$5000,MATCH($C4448,DATA_MASTER!$D$2:$D$5000,0)),""))</f>
        <v/>
      </c>
      <c r="F4448" s="22">
        <f t="array" ref="F4448">IF($C4448="","",IFERROR(INDEX(DATA_MASTER!$L$2:$L$5000,MATCH($C4448,DATA_MASTER!$D$2:$D$5000,0)),""))</f>
        <v/>
      </c>
      <c r="G4448" s="24" t="n"/>
      <c r="H4448" s="24" t="n"/>
      <c r="I4448" s="30" t="n"/>
      <c r="J4448" s="23">
        <f>IF(OR($H4448="",$I4448=""),"",$H4448*$I4448)</f>
        <v/>
      </c>
      <c r="K4448" s="24" t="n"/>
      <c r="L4448" s="24" t="n"/>
      <c r="M4448" s="29" t="n"/>
      <c r="N4448" s="28" t="n"/>
      <c r="O4448" s="24" t="n"/>
      <c r="P4448" s="24" t="n"/>
      <c r="Q4448" s="24" t="n"/>
      <c r="R4448" s="24" t="n"/>
      <c r="S4448" s="22">
        <f>IF(AND($A4448="",$C4448=""),"",IF($A4448="","Thiếu mã đơn; ","")&amp;IF(COUNTIF($A$2:$A4448,$A4448)&gt;1,"Trùng mã đơn; ","")&amp;IF(ISNA(MATCH($C4448,DATA_MASTER!$D$2:$D$5000,0)),"SĐT chưa đăng ký hội viên; ","")&amp;IF(AND($L4448="Đã chuyển khoản",$M4448=""),"Thiếu ngày nhận CK; ",""))</f>
        <v/>
      </c>
      <c r="T4448" s="24" t="n"/>
    </row>
    <row r="4449" ht="14.25" customHeight="1" s="40">
      <c r="A4449" s="24" t="n"/>
      <c r="B4449" s="29" t="n"/>
      <c r="C4449" s="28" t="n"/>
      <c r="D4449" s="22">
        <f t="array" ref="D4449">IF($C4449="","",IFERROR(INDEX(DATA_MASTER!$C$2:$C$5000,MATCH($C4449,DATA_MASTER!$D$2:$D$5000,0)),""))</f>
        <v/>
      </c>
      <c r="E4449" s="22">
        <f t="array" ref="E4449">IF($C4449="","",IFERROR(INDEX(DATA_MASTER!$I$2:$I$5000,MATCH($C4449,DATA_MASTER!$D$2:$D$5000,0)),""))</f>
        <v/>
      </c>
      <c r="F4449" s="22">
        <f t="array" ref="F4449">IF($C4449="","",IFERROR(INDEX(DATA_MASTER!$L$2:$L$5000,MATCH($C4449,DATA_MASTER!$D$2:$D$5000,0)),""))</f>
        <v/>
      </c>
      <c r="G4449" s="24" t="n"/>
      <c r="H4449" s="24" t="n"/>
      <c r="I4449" s="30" t="n"/>
      <c r="J4449" s="23">
        <f>IF(OR($H4449="",$I4449=""),"",$H4449*$I4449)</f>
        <v/>
      </c>
      <c r="K4449" s="24" t="n"/>
      <c r="L4449" s="24" t="n"/>
      <c r="M4449" s="29" t="n"/>
      <c r="N4449" s="28" t="n"/>
      <c r="O4449" s="24" t="n"/>
      <c r="P4449" s="24" t="n"/>
      <c r="Q4449" s="24" t="n"/>
      <c r="R4449" s="24" t="n"/>
      <c r="S4449" s="22">
        <f>IF(AND($A4449="",$C4449=""),"",IF($A4449="","Thiếu mã đơn; ","")&amp;IF(COUNTIF($A$2:$A4449,$A4449)&gt;1,"Trùng mã đơn; ","")&amp;IF(ISNA(MATCH($C4449,DATA_MASTER!$D$2:$D$5000,0)),"SĐT chưa đăng ký hội viên; ","")&amp;IF(AND($L4449="Đã chuyển khoản",$M4449=""),"Thiếu ngày nhận CK; ",""))</f>
        <v/>
      </c>
      <c r="T4449" s="24" t="n"/>
    </row>
    <row r="4450" ht="14.25" customHeight="1" s="40">
      <c r="A4450" s="24" t="n"/>
      <c r="B4450" s="29" t="n"/>
      <c r="C4450" s="28" t="n"/>
      <c r="D4450" s="22">
        <f t="array" ref="D4450">IF($C4450="","",IFERROR(INDEX(DATA_MASTER!$C$2:$C$5000,MATCH($C4450,DATA_MASTER!$D$2:$D$5000,0)),""))</f>
        <v/>
      </c>
      <c r="E4450" s="22">
        <f t="array" ref="E4450">IF($C4450="","",IFERROR(INDEX(DATA_MASTER!$I$2:$I$5000,MATCH($C4450,DATA_MASTER!$D$2:$D$5000,0)),""))</f>
        <v/>
      </c>
      <c r="F4450" s="22">
        <f t="array" ref="F4450">IF($C4450="","",IFERROR(INDEX(DATA_MASTER!$L$2:$L$5000,MATCH($C4450,DATA_MASTER!$D$2:$D$5000,0)),""))</f>
        <v/>
      </c>
      <c r="G4450" s="24" t="n"/>
      <c r="H4450" s="24" t="n"/>
      <c r="I4450" s="30" t="n"/>
      <c r="J4450" s="23">
        <f>IF(OR($H4450="",$I4450=""),"",$H4450*$I4450)</f>
        <v/>
      </c>
      <c r="K4450" s="24" t="n"/>
      <c r="L4450" s="24" t="n"/>
      <c r="M4450" s="29" t="n"/>
      <c r="N4450" s="28" t="n"/>
      <c r="O4450" s="24" t="n"/>
      <c r="P4450" s="24" t="n"/>
      <c r="Q4450" s="24" t="n"/>
      <c r="R4450" s="24" t="n"/>
      <c r="S4450" s="22">
        <f>IF(AND($A4450="",$C4450=""),"",IF($A4450="","Thiếu mã đơn; ","")&amp;IF(COUNTIF($A$2:$A4450,$A4450)&gt;1,"Trùng mã đơn; ","")&amp;IF(ISNA(MATCH($C4450,DATA_MASTER!$D$2:$D$5000,0)),"SĐT chưa đăng ký hội viên; ","")&amp;IF(AND($L4450="Đã chuyển khoản",$M4450=""),"Thiếu ngày nhận CK; ",""))</f>
        <v/>
      </c>
      <c r="T4450" s="24" t="n"/>
    </row>
    <row r="4451" ht="14.25" customHeight="1" s="40">
      <c r="A4451" s="24" t="n"/>
      <c r="B4451" s="29" t="n"/>
      <c r="C4451" s="28" t="n"/>
      <c r="D4451" s="22">
        <f t="array" ref="D4451">IF($C4451="","",IFERROR(INDEX(DATA_MASTER!$C$2:$C$5000,MATCH($C4451,DATA_MASTER!$D$2:$D$5000,0)),""))</f>
        <v/>
      </c>
      <c r="E4451" s="22">
        <f t="array" ref="E4451">IF($C4451="","",IFERROR(INDEX(DATA_MASTER!$I$2:$I$5000,MATCH($C4451,DATA_MASTER!$D$2:$D$5000,0)),""))</f>
        <v/>
      </c>
      <c r="F4451" s="22">
        <f t="array" ref="F4451">IF($C4451="","",IFERROR(INDEX(DATA_MASTER!$L$2:$L$5000,MATCH($C4451,DATA_MASTER!$D$2:$D$5000,0)),""))</f>
        <v/>
      </c>
      <c r="G4451" s="24" t="n"/>
      <c r="H4451" s="24" t="n"/>
      <c r="I4451" s="30" t="n"/>
      <c r="J4451" s="23">
        <f>IF(OR($H4451="",$I4451=""),"",$H4451*$I4451)</f>
        <v/>
      </c>
      <c r="K4451" s="24" t="n"/>
      <c r="L4451" s="24" t="n"/>
      <c r="M4451" s="29" t="n"/>
      <c r="N4451" s="28" t="n"/>
      <c r="O4451" s="24" t="n"/>
      <c r="P4451" s="24" t="n"/>
      <c r="Q4451" s="24" t="n"/>
      <c r="R4451" s="24" t="n"/>
      <c r="S4451" s="22">
        <f>IF(AND($A4451="",$C4451=""),"",IF($A4451="","Thiếu mã đơn; ","")&amp;IF(COUNTIF($A$2:$A4451,$A4451)&gt;1,"Trùng mã đơn; ","")&amp;IF(ISNA(MATCH($C4451,DATA_MASTER!$D$2:$D$5000,0)),"SĐT chưa đăng ký hội viên; ","")&amp;IF(AND($L4451="Đã chuyển khoản",$M4451=""),"Thiếu ngày nhận CK; ",""))</f>
        <v/>
      </c>
      <c r="T4451" s="24" t="n"/>
    </row>
    <row r="4452" ht="14.25" customHeight="1" s="40">
      <c r="A4452" s="24" t="n"/>
      <c r="B4452" s="29" t="n"/>
      <c r="C4452" s="28" t="n"/>
      <c r="D4452" s="22">
        <f t="array" ref="D4452">IF($C4452="","",IFERROR(INDEX(DATA_MASTER!$C$2:$C$5000,MATCH($C4452,DATA_MASTER!$D$2:$D$5000,0)),""))</f>
        <v/>
      </c>
      <c r="E4452" s="22">
        <f t="array" ref="E4452">IF($C4452="","",IFERROR(INDEX(DATA_MASTER!$I$2:$I$5000,MATCH($C4452,DATA_MASTER!$D$2:$D$5000,0)),""))</f>
        <v/>
      </c>
      <c r="F4452" s="22">
        <f t="array" ref="F4452">IF($C4452="","",IFERROR(INDEX(DATA_MASTER!$L$2:$L$5000,MATCH($C4452,DATA_MASTER!$D$2:$D$5000,0)),""))</f>
        <v/>
      </c>
      <c r="G4452" s="24" t="n"/>
      <c r="H4452" s="24" t="n"/>
      <c r="I4452" s="30" t="n"/>
      <c r="J4452" s="23">
        <f>IF(OR($H4452="",$I4452=""),"",$H4452*$I4452)</f>
        <v/>
      </c>
      <c r="K4452" s="24" t="n"/>
      <c r="L4452" s="24" t="n"/>
      <c r="M4452" s="29" t="n"/>
      <c r="N4452" s="28" t="n"/>
      <c r="O4452" s="24" t="n"/>
      <c r="P4452" s="24" t="n"/>
      <c r="Q4452" s="24" t="n"/>
      <c r="R4452" s="24" t="n"/>
      <c r="S4452" s="22">
        <f>IF(AND($A4452="",$C4452=""),"",IF($A4452="","Thiếu mã đơn; ","")&amp;IF(COUNTIF($A$2:$A4452,$A4452)&gt;1,"Trùng mã đơn; ","")&amp;IF(ISNA(MATCH($C4452,DATA_MASTER!$D$2:$D$5000,0)),"SĐT chưa đăng ký hội viên; ","")&amp;IF(AND($L4452="Đã chuyển khoản",$M4452=""),"Thiếu ngày nhận CK; ",""))</f>
        <v/>
      </c>
      <c r="T4452" s="24" t="n"/>
    </row>
    <row r="4453" ht="14.25" customHeight="1" s="40">
      <c r="A4453" s="24" t="n"/>
      <c r="B4453" s="29" t="n"/>
      <c r="C4453" s="28" t="n"/>
      <c r="D4453" s="22">
        <f t="array" ref="D4453">IF($C4453="","",IFERROR(INDEX(DATA_MASTER!$C$2:$C$5000,MATCH($C4453,DATA_MASTER!$D$2:$D$5000,0)),""))</f>
        <v/>
      </c>
      <c r="E4453" s="22">
        <f t="array" ref="E4453">IF($C4453="","",IFERROR(INDEX(DATA_MASTER!$I$2:$I$5000,MATCH($C4453,DATA_MASTER!$D$2:$D$5000,0)),""))</f>
        <v/>
      </c>
      <c r="F4453" s="22">
        <f t="array" ref="F4453">IF($C4453="","",IFERROR(INDEX(DATA_MASTER!$L$2:$L$5000,MATCH($C4453,DATA_MASTER!$D$2:$D$5000,0)),""))</f>
        <v/>
      </c>
      <c r="G4453" s="24" t="n"/>
      <c r="H4453" s="24" t="n"/>
      <c r="I4453" s="30" t="n"/>
      <c r="J4453" s="23">
        <f>IF(OR($H4453="",$I4453=""),"",$H4453*$I4453)</f>
        <v/>
      </c>
      <c r="K4453" s="24" t="n"/>
      <c r="L4453" s="24" t="n"/>
      <c r="M4453" s="29" t="n"/>
      <c r="N4453" s="28" t="n"/>
      <c r="O4453" s="24" t="n"/>
      <c r="P4453" s="24" t="n"/>
      <c r="Q4453" s="24" t="n"/>
      <c r="R4453" s="24" t="n"/>
      <c r="S4453" s="22">
        <f>IF(AND($A4453="",$C4453=""),"",IF($A4453="","Thiếu mã đơn; ","")&amp;IF(COUNTIF($A$2:$A4453,$A4453)&gt;1,"Trùng mã đơn; ","")&amp;IF(ISNA(MATCH($C4453,DATA_MASTER!$D$2:$D$5000,0)),"SĐT chưa đăng ký hội viên; ","")&amp;IF(AND($L4453="Đã chuyển khoản",$M4453=""),"Thiếu ngày nhận CK; ",""))</f>
        <v/>
      </c>
      <c r="T4453" s="24" t="n"/>
    </row>
    <row r="4454" ht="14.25" customHeight="1" s="40">
      <c r="A4454" s="24" t="n"/>
      <c r="B4454" s="29" t="n"/>
      <c r="C4454" s="28" t="n"/>
      <c r="D4454" s="22">
        <f t="array" ref="D4454">IF($C4454="","",IFERROR(INDEX(DATA_MASTER!$C$2:$C$5000,MATCH($C4454,DATA_MASTER!$D$2:$D$5000,0)),""))</f>
        <v/>
      </c>
      <c r="E4454" s="22">
        <f t="array" ref="E4454">IF($C4454="","",IFERROR(INDEX(DATA_MASTER!$I$2:$I$5000,MATCH($C4454,DATA_MASTER!$D$2:$D$5000,0)),""))</f>
        <v/>
      </c>
      <c r="F4454" s="22">
        <f t="array" ref="F4454">IF($C4454="","",IFERROR(INDEX(DATA_MASTER!$L$2:$L$5000,MATCH($C4454,DATA_MASTER!$D$2:$D$5000,0)),""))</f>
        <v/>
      </c>
      <c r="G4454" s="24" t="n"/>
      <c r="H4454" s="24" t="n"/>
      <c r="I4454" s="30" t="n"/>
      <c r="J4454" s="23">
        <f>IF(OR($H4454="",$I4454=""),"",$H4454*$I4454)</f>
        <v/>
      </c>
      <c r="K4454" s="24" t="n"/>
      <c r="L4454" s="24" t="n"/>
      <c r="M4454" s="29" t="n"/>
      <c r="N4454" s="28" t="n"/>
      <c r="O4454" s="24" t="n"/>
      <c r="P4454" s="24" t="n"/>
      <c r="Q4454" s="24" t="n"/>
      <c r="R4454" s="24" t="n"/>
      <c r="S4454" s="22">
        <f>IF(AND($A4454="",$C4454=""),"",IF($A4454="","Thiếu mã đơn; ","")&amp;IF(COUNTIF($A$2:$A4454,$A4454)&gt;1,"Trùng mã đơn; ","")&amp;IF(ISNA(MATCH($C4454,DATA_MASTER!$D$2:$D$5000,0)),"SĐT chưa đăng ký hội viên; ","")&amp;IF(AND($L4454="Đã chuyển khoản",$M4454=""),"Thiếu ngày nhận CK; ",""))</f>
        <v/>
      </c>
      <c r="T4454" s="24" t="n"/>
    </row>
    <row r="4455" ht="14.25" customHeight="1" s="40">
      <c r="A4455" s="24" t="n"/>
      <c r="B4455" s="29" t="n"/>
      <c r="C4455" s="28" t="n"/>
      <c r="D4455" s="22">
        <f t="array" ref="D4455">IF($C4455="","",IFERROR(INDEX(DATA_MASTER!$C$2:$C$5000,MATCH($C4455,DATA_MASTER!$D$2:$D$5000,0)),""))</f>
        <v/>
      </c>
      <c r="E4455" s="22">
        <f t="array" ref="E4455">IF($C4455="","",IFERROR(INDEX(DATA_MASTER!$I$2:$I$5000,MATCH($C4455,DATA_MASTER!$D$2:$D$5000,0)),""))</f>
        <v/>
      </c>
      <c r="F4455" s="22">
        <f t="array" ref="F4455">IF($C4455="","",IFERROR(INDEX(DATA_MASTER!$L$2:$L$5000,MATCH($C4455,DATA_MASTER!$D$2:$D$5000,0)),""))</f>
        <v/>
      </c>
      <c r="G4455" s="24" t="n"/>
      <c r="H4455" s="24" t="n"/>
      <c r="I4455" s="30" t="n"/>
      <c r="J4455" s="23">
        <f>IF(OR($H4455="",$I4455=""),"",$H4455*$I4455)</f>
        <v/>
      </c>
      <c r="K4455" s="24" t="n"/>
      <c r="L4455" s="24" t="n"/>
      <c r="M4455" s="29" t="n"/>
      <c r="N4455" s="28" t="n"/>
      <c r="O4455" s="24" t="n"/>
      <c r="P4455" s="24" t="n"/>
      <c r="Q4455" s="24" t="n"/>
      <c r="R4455" s="24" t="n"/>
      <c r="S4455" s="22">
        <f>IF(AND($A4455="",$C4455=""),"",IF($A4455="","Thiếu mã đơn; ","")&amp;IF(COUNTIF($A$2:$A4455,$A4455)&gt;1,"Trùng mã đơn; ","")&amp;IF(ISNA(MATCH($C4455,DATA_MASTER!$D$2:$D$5000,0)),"SĐT chưa đăng ký hội viên; ","")&amp;IF(AND($L4455="Đã chuyển khoản",$M4455=""),"Thiếu ngày nhận CK; ",""))</f>
        <v/>
      </c>
      <c r="T4455" s="24" t="n"/>
    </row>
    <row r="4456" ht="14.25" customHeight="1" s="40">
      <c r="A4456" s="24" t="n"/>
      <c r="B4456" s="29" t="n"/>
      <c r="C4456" s="28" t="n"/>
      <c r="D4456" s="22">
        <f t="array" ref="D4456">IF($C4456="","",IFERROR(INDEX(DATA_MASTER!$C$2:$C$5000,MATCH($C4456,DATA_MASTER!$D$2:$D$5000,0)),""))</f>
        <v/>
      </c>
      <c r="E4456" s="22">
        <f t="array" ref="E4456">IF($C4456="","",IFERROR(INDEX(DATA_MASTER!$I$2:$I$5000,MATCH($C4456,DATA_MASTER!$D$2:$D$5000,0)),""))</f>
        <v/>
      </c>
      <c r="F4456" s="22">
        <f t="array" ref="F4456">IF($C4456="","",IFERROR(INDEX(DATA_MASTER!$L$2:$L$5000,MATCH($C4456,DATA_MASTER!$D$2:$D$5000,0)),""))</f>
        <v/>
      </c>
      <c r="G4456" s="24" t="n"/>
      <c r="H4456" s="24" t="n"/>
      <c r="I4456" s="30" t="n"/>
      <c r="J4456" s="23">
        <f>IF(OR($H4456="",$I4456=""),"",$H4456*$I4456)</f>
        <v/>
      </c>
      <c r="K4456" s="24" t="n"/>
      <c r="L4456" s="24" t="n"/>
      <c r="M4456" s="29" t="n"/>
      <c r="N4456" s="28" t="n"/>
      <c r="O4456" s="24" t="n"/>
      <c r="P4456" s="24" t="n"/>
      <c r="Q4456" s="24" t="n"/>
      <c r="R4456" s="24" t="n"/>
      <c r="S4456" s="22">
        <f>IF(AND($A4456="",$C4456=""),"",IF($A4456="","Thiếu mã đơn; ","")&amp;IF(COUNTIF($A$2:$A4456,$A4456)&gt;1,"Trùng mã đơn; ","")&amp;IF(ISNA(MATCH($C4456,DATA_MASTER!$D$2:$D$5000,0)),"SĐT chưa đăng ký hội viên; ","")&amp;IF(AND($L4456="Đã chuyển khoản",$M4456=""),"Thiếu ngày nhận CK; ",""))</f>
        <v/>
      </c>
      <c r="T4456" s="24" t="n"/>
    </row>
    <row r="4457" ht="14.25" customHeight="1" s="40">
      <c r="A4457" s="24" t="n"/>
      <c r="B4457" s="29" t="n"/>
      <c r="C4457" s="28" t="n"/>
      <c r="D4457" s="22">
        <f t="array" ref="D4457">IF($C4457="","",IFERROR(INDEX(DATA_MASTER!$C$2:$C$5000,MATCH($C4457,DATA_MASTER!$D$2:$D$5000,0)),""))</f>
        <v/>
      </c>
      <c r="E4457" s="22">
        <f t="array" ref="E4457">IF($C4457="","",IFERROR(INDEX(DATA_MASTER!$I$2:$I$5000,MATCH($C4457,DATA_MASTER!$D$2:$D$5000,0)),""))</f>
        <v/>
      </c>
      <c r="F4457" s="22">
        <f t="array" ref="F4457">IF($C4457="","",IFERROR(INDEX(DATA_MASTER!$L$2:$L$5000,MATCH($C4457,DATA_MASTER!$D$2:$D$5000,0)),""))</f>
        <v/>
      </c>
      <c r="G4457" s="24" t="n"/>
      <c r="H4457" s="24" t="n"/>
      <c r="I4457" s="30" t="n"/>
      <c r="J4457" s="23">
        <f>IF(OR($H4457="",$I4457=""),"",$H4457*$I4457)</f>
        <v/>
      </c>
      <c r="K4457" s="24" t="n"/>
      <c r="L4457" s="24" t="n"/>
      <c r="M4457" s="29" t="n"/>
      <c r="N4457" s="28" t="n"/>
      <c r="O4457" s="24" t="n"/>
      <c r="P4457" s="24" t="n"/>
      <c r="Q4457" s="24" t="n"/>
      <c r="R4457" s="24" t="n"/>
      <c r="S4457" s="22">
        <f>IF(AND($A4457="",$C4457=""),"",IF($A4457="","Thiếu mã đơn; ","")&amp;IF(COUNTIF($A$2:$A4457,$A4457)&gt;1,"Trùng mã đơn; ","")&amp;IF(ISNA(MATCH($C4457,DATA_MASTER!$D$2:$D$5000,0)),"SĐT chưa đăng ký hội viên; ","")&amp;IF(AND($L4457="Đã chuyển khoản",$M4457=""),"Thiếu ngày nhận CK; ",""))</f>
        <v/>
      </c>
      <c r="T4457" s="24" t="n"/>
    </row>
    <row r="4458" ht="14.25" customHeight="1" s="40">
      <c r="A4458" s="24" t="n"/>
      <c r="B4458" s="29" t="n"/>
      <c r="C4458" s="28" t="n"/>
      <c r="D4458" s="22">
        <f t="array" ref="D4458">IF($C4458="","",IFERROR(INDEX(DATA_MASTER!$C$2:$C$5000,MATCH($C4458,DATA_MASTER!$D$2:$D$5000,0)),""))</f>
        <v/>
      </c>
      <c r="E4458" s="22">
        <f t="array" ref="E4458">IF($C4458="","",IFERROR(INDEX(DATA_MASTER!$I$2:$I$5000,MATCH($C4458,DATA_MASTER!$D$2:$D$5000,0)),""))</f>
        <v/>
      </c>
      <c r="F4458" s="22">
        <f t="array" ref="F4458">IF($C4458="","",IFERROR(INDEX(DATA_MASTER!$L$2:$L$5000,MATCH($C4458,DATA_MASTER!$D$2:$D$5000,0)),""))</f>
        <v/>
      </c>
      <c r="G4458" s="24" t="n"/>
      <c r="H4458" s="24" t="n"/>
      <c r="I4458" s="30" t="n"/>
      <c r="J4458" s="23">
        <f>IF(OR($H4458="",$I4458=""),"",$H4458*$I4458)</f>
        <v/>
      </c>
      <c r="K4458" s="24" t="n"/>
      <c r="L4458" s="24" t="n"/>
      <c r="M4458" s="29" t="n"/>
      <c r="N4458" s="28" t="n"/>
      <c r="O4458" s="24" t="n"/>
      <c r="P4458" s="24" t="n"/>
      <c r="Q4458" s="24" t="n"/>
      <c r="R4458" s="24" t="n"/>
      <c r="S4458" s="22">
        <f>IF(AND($A4458="",$C4458=""),"",IF($A4458="","Thiếu mã đơn; ","")&amp;IF(COUNTIF($A$2:$A4458,$A4458)&gt;1,"Trùng mã đơn; ","")&amp;IF(ISNA(MATCH($C4458,DATA_MASTER!$D$2:$D$5000,0)),"SĐT chưa đăng ký hội viên; ","")&amp;IF(AND($L4458="Đã chuyển khoản",$M4458=""),"Thiếu ngày nhận CK; ",""))</f>
        <v/>
      </c>
      <c r="T4458" s="24" t="n"/>
    </row>
    <row r="4459" ht="14.25" customHeight="1" s="40">
      <c r="A4459" s="24" t="n"/>
      <c r="B4459" s="29" t="n"/>
      <c r="C4459" s="28" t="n"/>
      <c r="D4459" s="22">
        <f t="array" ref="D4459">IF($C4459="","",IFERROR(INDEX(DATA_MASTER!$C$2:$C$5000,MATCH($C4459,DATA_MASTER!$D$2:$D$5000,0)),""))</f>
        <v/>
      </c>
      <c r="E4459" s="22">
        <f t="array" ref="E4459">IF($C4459="","",IFERROR(INDEX(DATA_MASTER!$I$2:$I$5000,MATCH($C4459,DATA_MASTER!$D$2:$D$5000,0)),""))</f>
        <v/>
      </c>
      <c r="F4459" s="22">
        <f t="array" ref="F4459">IF($C4459="","",IFERROR(INDEX(DATA_MASTER!$L$2:$L$5000,MATCH($C4459,DATA_MASTER!$D$2:$D$5000,0)),""))</f>
        <v/>
      </c>
      <c r="G4459" s="24" t="n"/>
      <c r="H4459" s="24" t="n"/>
      <c r="I4459" s="30" t="n"/>
      <c r="J4459" s="23">
        <f>IF(OR($H4459="",$I4459=""),"",$H4459*$I4459)</f>
        <v/>
      </c>
      <c r="K4459" s="24" t="n"/>
      <c r="L4459" s="24" t="n"/>
      <c r="M4459" s="29" t="n"/>
      <c r="N4459" s="28" t="n"/>
      <c r="O4459" s="24" t="n"/>
      <c r="P4459" s="24" t="n"/>
      <c r="Q4459" s="24" t="n"/>
      <c r="R4459" s="24" t="n"/>
      <c r="S4459" s="22">
        <f>IF(AND($A4459="",$C4459=""),"",IF($A4459="","Thiếu mã đơn; ","")&amp;IF(COUNTIF($A$2:$A4459,$A4459)&gt;1,"Trùng mã đơn; ","")&amp;IF(ISNA(MATCH($C4459,DATA_MASTER!$D$2:$D$5000,0)),"SĐT chưa đăng ký hội viên; ","")&amp;IF(AND($L4459="Đã chuyển khoản",$M4459=""),"Thiếu ngày nhận CK; ",""))</f>
        <v/>
      </c>
      <c r="T4459" s="24" t="n"/>
    </row>
    <row r="4460" ht="14.25" customHeight="1" s="40">
      <c r="A4460" s="24" t="n"/>
      <c r="B4460" s="29" t="n"/>
      <c r="C4460" s="28" t="n"/>
      <c r="D4460" s="22">
        <f t="array" ref="D4460">IF($C4460="","",IFERROR(INDEX(DATA_MASTER!$C$2:$C$5000,MATCH($C4460,DATA_MASTER!$D$2:$D$5000,0)),""))</f>
        <v/>
      </c>
      <c r="E4460" s="22">
        <f t="array" ref="E4460">IF($C4460="","",IFERROR(INDEX(DATA_MASTER!$I$2:$I$5000,MATCH($C4460,DATA_MASTER!$D$2:$D$5000,0)),""))</f>
        <v/>
      </c>
      <c r="F4460" s="22">
        <f t="array" ref="F4460">IF($C4460="","",IFERROR(INDEX(DATA_MASTER!$L$2:$L$5000,MATCH($C4460,DATA_MASTER!$D$2:$D$5000,0)),""))</f>
        <v/>
      </c>
      <c r="G4460" s="24" t="n"/>
      <c r="H4460" s="24" t="n"/>
      <c r="I4460" s="30" t="n"/>
      <c r="J4460" s="23">
        <f>IF(OR($H4460="",$I4460=""),"",$H4460*$I4460)</f>
        <v/>
      </c>
      <c r="K4460" s="24" t="n"/>
      <c r="L4460" s="24" t="n"/>
      <c r="M4460" s="29" t="n"/>
      <c r="N4460" s="28" t="n"/>
      <c r="O4460" s="24" t="n"/>
      <c r="P4460" s="24" t="n"/>
      <c r="Q4460" s="24" t="n"/>
      <c r="R4460" s="24" t="n"/>
      <c r="S4460" s="22">
        <f>IF(AND($A4460="",$C4460=""),"",IF($A4460="","Thiếu mã đơn; ","")&amp;IF(COUNTIF($A$2:$A4460,$A4460)&gt;1,"Trùng mã đơn; ","")&amp;IF(ISNA(MATCH($C4460,DATA_MASTER!$D$2:$D$5000,0)),"SĐT chưa đăng ký hội viên; ","")&amp;IF(AND($L4460="Đã chuyển khoản",$M4460=""),"Thiếu ngày nhận CK; ",""))</f>
        <v/>
      </c>
      <c r="T4460" s="24" t="n"/>
    </row>
    <row r="4461" ht="14.25" customHeight="1" s="40">
      <c r="A4461" s="24" t="n"/>
      <c r="B4461" s="29" t="n"/>
      <c r="C4461" s="28" t="n"/>
      <c r="D4461" s="22">
        <f t="array" ref="D4461">IF($C4461="","",IFERROR(INDEX(DATA_MASTER!$C$2:$C$5000,MATCH($C4461,DATA_MASTER!$D$2:$D$5000,0)),""))</f>
        <v/>
      </c>
      <c r="E4461" s="22">
        <f t="array" ref="E4461">IF($C4461="","",IFERROR(INDEX(DATA_MASTER!$I$2:$I$5000,MATCH($C4461,DATA_MASTER!$D$2:$D$5000,0)),""))</f>
        <v/>
      </c>
      <c r="F4461" s="22">
        <f t="array" ref="F4461">IF($C4461="","",IFERROR(INDEX(DATA_MASTER!$L$2:$L$5000,MATCH($C4461,DATA_MASTER!$D$2:$D$5000,0)),""))</f>
        <v/>
      </c>
      <c r="G4461" s="24" t="n"/>
      <c r="H4461" s="24" t="n"/>
      <c r="I4461" s="30" t="n"/>
      <c r="J4461" s="23">
        <f>IF(OR($H4461="",$I4461=""),"",$H4461*$I4461)</f>
        <v/>
      </c>
      <c r="K4461" s="24" t="n"/>
      <c r="L4461" s="24" t="n"/>
      <c r="M4461" s="29" t="n"/>
      <c r="N4461" s="28" t="n"/>
      <c r="O4461" s="24" t="n"/>
      <c r="P4461" s="24" t="n"/>
      <c r="Q4461" s="24" t="n"/>
      <c r="R4461" s="24" t="n"/>
      <c r="S4461" s="22">
        <f>IF(AND($A4461="",$C4461=""),"",IF($A4461="","Thiếu mã đơn; ","")&amp;IF(COUNTIF($A$2:$A4461,$A4461)&gt;1,"Trùng mã đơn; ","")&amp;IF(ISNA(MATCH($C4461,DATA_MASTER!$D$2:$D$5000,0)),"SĐT chưa đăng ký hội viên; ","")&amp;IF(AND($L4461="Đã chuyển khoản",$M4461=""),"Thiếu ngày nhận CK; ",""))</f>
        <v/>
      </c>
      <c r="T4461" s="24" t="n"/>
    </row>
    <row r="4462" ht="14.25" customHeight="1" s="40">
      <c r="A4462" s="24" t="n"/>
      <c r="B4462" s="29" t="n"/>
      <c r="C4462" s="28" t="n"/>
      <c r="D4462" s="22">
        <f t="array" ref="D4462">IF($C4462="","",IFERROR(INDEX(DATA_MASTER!$C$2:$C$5000,MATCH($C4462,DATA_MASTER!$D$2:$D$5000,0)),""))</f>
        <v/>
      </c>
      <c r="E4462" s="22">
        <f t="array" ref="E4462">IF($C4462="","",IFERROR(INDEX(DATA_MASTER!$I$2:$I$5000,MATCH($C4462,DATA_MASTER!$D$2:$D$5000,0)),""))</f>
        <v/>
      </c>
      <c r="F4462" s="22">
        <f t="array" ref="F4462">IF($C4462="","",IFERROR(INDEX(DATA_MASTER!$L$2:$L$5000,MATCH($C4462,DATA_MASTER!$D$2:$D$5000,0)),""))</f>
        <v/>
      </c>
      <c r="G4462" s="24" t="n"/>
      <c r="H4462" s="24" t="n"/>
      <c r="I4462" s="30" t="n"/>
      <c r="J4462" s="23">
        <f>IF(OR($H4462="",$I4462=""),"",$H4462*$I4462)</f>
        <v/>
      </c>
      <c r="K4462" s="24" t="n"/>
      <c r="L4462" s="24" t="n"/>
      <c r="M4462" s="29" t="n"/>
      <c r="N4462" s="28" t="n"/>
      <c r="O4462" s="24" t="n"/>
      <c r="P4462" s="24" t="n"/>
      <c r="Q4462" s="24" t="n"/>
      <c r="R4462" s="24" t="n"/>
      <c r="S4462" s="22">
        <f>IF(AND($A4462="",$C4462=""),"",IF($A4462="","Thiếu mã đơn; ","")&amp;IF(COUNTIF($A$2:$A4462,$A4462)&gt;1,"Trùng mã đơn; ","")&amp;IF(ISNA(MATCH($C4462,DATA_MASTER!$D$2:$D$5000,0)),"SĐT chưa đăng ký hội viên; ","")&amp;IF(AND($L4462="Đã chuyển khoản",$M4462=""),"Thiếu ngày nhận CK; ",""))</f>
        <v/>
      </c>
      <c r="T4462" s="24" t="n"/>
    </row>
    <row r="4463" ht="14.25" customHeight="1" s="40">
      <c r="A4463" s="24" t="n"/>
      <c r="B4463" s="29" t="n"/>
      <c r="C4463" s="28" t="n"/>
      <c r="D4463" s="22">
        <f t="array" ref="D4463">IF($C4463="","",IFERROR(INDEX(DATA_MASTER!$C$2:$C$5000,MATCH($C4463,DATA_MASTER!$D$2:$D$5000,0)),""))</f>
        <v/>
      </c>
      <c r="E4463" s="22">
        <f t="array" ref="E4463">IF($C4463="","",IFERROR(INDEX(DATA_MASTER!$I$2:$I$5000,MATCH($C4463,DATA_MASTER!$D$2:$D$5000,0)),""))</f>
        <v/>
      </c>
      <c r="F4463" s="22">
        <f t="array" ref="F4463">IF($C4463="","",IFERROR(INDEX(DATA_MASTER!$L$2:$L$5000,MATCH($C4463,DATA_MASTER!$D$2:$D$5000,0)),""))</f>
        <v/>
      </c>
      <c r="G4463" s="24" t="n"/>
      <c r="H4463" s="24" t="n"/>
      <c r="I4463" s="30" t="n"/>
      <c r="J4463" s="23">
        <f>IF(OR($H4463="",$I4463=""),"",$H4463*$I4463)</f>
        <v/>
      </c>
      <c r="K4463" s="24" t="n"/>
      <c r="L4463" s="24" t="n"/>
      <c r="M4463" s="29" t="n"/>
      <c r="N4463" s="28" t="n"/>
      <c r="O4463" s="24" t="n"/>
      <c r="P4463" s="24" t="n"/>
      <c r="Q4463" s="24" t="n"/>
      <c r="R4463" s="24" t="n"/>
      <c r="S4463" s="22">
        <f>IF(AND($A4463="",$C4463=""),"",IF($A4463="","Thiếu mã đơn; ","")&amp;IF(COUNTIF($A$2:$A4463,$A4463)&gt;1,"Trùng mã đơn; ","")&amp;IF(ISNA(MATCH($C4463,DATA_MASTER!$D$2:$D$5000,0)),"SĐT chưa đăng ký hội viên; ","")&amp;IF(AND($L4463="Đã chuyển khoản",$M4463=""),"Thiếu ngày nhận CK; ",""))</f>
        <v/>
      </c>
      <c r="T4463" s="24" t="n"/>
    </row>
    <row r="4464" ht="14.25" customHeight="1" s="40">
      <c r="A4464" s="24" t="n"/>
      <c r="B4464" s="29" t="n"/>
      <c r="C4464" s="28" t="n"/>
      <c r="D4464" s="22">
        <f t="array" ref="D4464">IF($C4464="","",IFERROR(INDEX(DATA_MASTER!$C$2:$C$5000,MATCH($C4464,DATA_MASTER!$D$2:$D$5000,0)),""))</f>
        <v/>
      </c>
      <c r="E4464" s="22">
        <f t="array" ref="E4464">IF($C4464="","",IFERROR(INDEX(DATA_MASTER!$I$2:$I$5000,MATCH($C4464,DATA_MASTER!$D$2:$D$5000,0)),""))</f>
        <v/>
      </c>
      <c r="F4464" s="22">
        <f t="array" ref="F4464">IF($C4464="","",IFERROR(INDEX(DATA_MASTER!$L$2:$L$5000,MATCH($C4464,DATA_MASTER!$D$2:$D$5000,0)),""))</f>
        <v/>
      </c>
      <c r="G4464" s="24" t="n"/>
      <c r="H4464" s="24" t="n"/>
      <c r="I4464" s="30" t="n"/>
      <c r="J4464" s="23">
        <f>IF(OR($H4464="",$I4464=""),"",$H4464*$I4464)</f>
        <v/>
      </c>
      <c r="K4464" s="24" t="n"/>
      <c r="L4464" s="24" t="n"/>
      <c r="M4464" s="29" t="n"/>
      <c r="N4464" s="28" t="n"/>
      <c r="O4464" s="24" t="n"/>
      <c r="P4464" s="24" t="n"/>
      <c r="Q4464" s="24" t="n"/>
      <c r="R4464" s="24" t="n"/>
      <c r="S4464" s="22">
        <f>IF(AND($A4464="",$C4464=""),"",IF($A4464="","Thiếu mã đơn; ","")&amp;IF(COUNTIF($A$2:$A4464,$A4464)&gt;1,"Trùng mã đơn; ","")&amp;IF(ISNA(MATCH($C4464,DATA_MASTER!$D$2:$D$5000,0)),"SĐT chưa đăng ký hội viên; ","")&amp;IF(AND($L4464="Đã chuyển khoản",$M4464=""),"Thiếu ngày nhận CK; ",""))</f>
        <v/>
      </c>
      <c r="T4464" s="24" t="n"/>
    </row>
    <row r="4465" ht="14.25" customHeight="1" s="40">
      <c r="A4465" s="24" t="n"/>
      <c r="B4465" s="29" t="n"/>
      <c r="C4465" s="28" t="n"/>
      <c r="D4465" s="22">
        <f t="array" ref="D4465">IF($C4465="","",IFERROR(INDEX(DATA_MASTER!$C$2:$C$5000,MATCH($C4465,DATA_MASTER!$D$2:$D$5000,0)),""))</f>
        <v/>
      </c>
      <c r="E4465" s="22">
        <f t="array" ref="E4465">IF($C4465="","",IFERROR(INDEX(DATA_MASTER!$I$2:$I$5000,MATCH($C4465,DATA_MASTER!$D$2:$D$5000,0)),""))</f>
        <v/>
      </c>
      <c r="F4465" s="22">
        <f t="array" ref="F4465">IF($C4465="","",IFERROR(INDEX(DATA_MASTER!$L$2:$L$5000,MATCH($C4465,DATA_MASTER!$D$2:$D$5000,0)),""))</f>
        <v/>
      </c>
      <c r="G4465" s="24" t="n"/>
      <c r="H4465" s="24" t="n"/>
      <c r="I4465" s="30" t="n"/>
      <c r="J4465" s="23">
        <f>IF(OR($H4465="",$I4465=""),"",$H4465*$I4465)</f>
        <v/>
      </c>
      <c r="K4465" s="24" t="n"/>
      <c r="L4465" s="24" t="n"/>
      <c r="M4465" s="29" t="n"/>
      <c r="N4465" s="28" t="n"/>
      <c r="O4465" s="24" t="n"/>
      <c r="P4465" s="24" t="n"/>
      <c r="Q4465" s="24" t="n"/>
      <c r="R4465" s="24" t="n"/>
      <c r="S4465" s="22">
        <f>IF(AND($A4465="",$C4465=""),"",IF($A4465="","Thiếu mã đơn; ","")&amp;IF(COUNTIF($A$2:$A4465,$A4465)&gt;1,"Trùng mã đơn; ","")&amp;IF(ISNA(MATCH($C4465,DATA_MASTER!$D$2:$D$5000,0)),"SĐT chưa đăng ký hội viên; ","")&amp;IF(AND($L4465="Đã chuyển khoản",$M4465=""),"Thiếu ngày nhận CK; ",""))</f>
        <v/>
      </c>
      <c r="T4465" s="24" t="n"/>
    </row>
    <row r="4466" ht="14.25" customHeight="1" s="40">
      <c r="A4466" s="24" t="n"/>
      <c r="B4466" s="29" t="n"/>
      <c r="C4466" s="28" t="n"/>
      <c r="D4466" s="22">
        <f t="array" ref="D4466">IF($C4466="","",IFERROR(INDEX(DATA_MASTER!$C$2:$C$5000,MATCH($C4466,DATA_MASTER!$D$2:$D$5000,0)),""))</f>
        <v/>
      </c>
      <c r="E4466" s="22">
        <f t="array" ref="E4466">IF($C4466="","",IFERROR(INDEX(DATA_MASTER!$I$2:$I$5000,MATCH($C4466,DATA_MASTER!$D$2:$D$5000,0)),""))</f>
        <v/>
      </c>
      <c r="F4466" s="22">
        <f t="array" ref="F4466">IF($C4466="","",IFERROR(INDEX(DATA_MASTER!$L$2:$L$5000,MATCH($C4466,DATA_MASTER!$D$2:$D$5000,0)),""))</f>
        <v/>
      </c>
      <c r="G4466" s="24" t="n"/>
      <c r="H4466" s="24" t="n"/>
      <c r="I4466" s="30" t="n"/>
      <c r="J4466" s="23">
        <f>IF(OR($H4466="",$I4466=""),"",$H4466*$I4466)</f>
        <v/>
      </c>
      <c r="K4466" s="24" t="n"/>
      <c r="L4466" s="24" t="n"/>
      <c r="M4466" s="29" t="n"/>
      <c r="N4466" s="28" t="n"/>
      <c r="O4466" s="24" t="n"/>
      <c r="P4466" s="24" t="n"/>
      <c r="Q4466" s="24" t="n"/>
      <c r="R4466" s="24" t="n"/>
      <c r="S4466" s="22">
        <f>IF(AND($A4466="",$C4466=""),"",IF($A4466="","Thiếu mã đơn; ","")&amp;IF(COUNTIF($A$2:$A4466,$A4466)&gt;1,"Trùng mã đơn; ","")&amp;IF(ISNA(MATCH($C4466,DATA_MASTER!$D$2:$D$5000,0)),"SĐT chưa đăng ký hội viên; ","")&amp;IF(AND($L4466="Đã chuyển khoản",$M4466=""),"Thiếu ngày nhận CK; ",""))</f>
        <v/>
      </c>
      <c r="T4466" s="24" t="n"/>
    </row>
    <row r="4467" ht="14.25" customHeight="1" s="40">
      <c r="A4467" s="24" t="n"/>
      <c r="B4467" s="29" t="n"/>
      <c r="C4467" s="28" t="n"/>
      <c r="D4467" s="22">
        <f t="array" ref="D4467">IF($C4467="","",IFERROR(INDEX(DATA_MASTER!$C$2:$C$5000,MATCH($C4467,DATA_MASTER!$D$2:$D$5000,0)),""))</f>
        <v/>
      </c>
      <c r="E4467" s="22">
        <f t="array" ref="E4467">IF($C4467="","",IFERROR(INDEX(DATA_MASTER!$I$2:$I$5000,MATCH($C4467,DATA_MASTER!$D$2:$D$5000,0)),""))</f>
        <v/>
      </c>
      <c r="F4467" s="22">
        <f t="array" ref="F4467">IF($C4467="","",IFERROR(INDEX(DATA_MASTER!$L$2:$L$5000,MATCH($C4467,DATA_MASTER!$D$2:$D$5000,0)),""))</f>
        <v/>
      </c>
      <c r="G4467" s="24" t="n"/>
      <c r="H4467" s="24" t="n"/>
      <c r="I4467" s="30" t="n"/>
      <c r="J4467" s="23">
        <f>IF(OR($H4467="",$I4467=""),"",$H4467*$I4467)</f>
        <v/>
      </c>
      <c r="K4467" s="24" t="n"/>
      <c r="L4467" s="24" t="n"/>
      <c r="M4467" s="29" t="n"/>
      <c r="N4467" s="28" t="n"/>
      <c r="O4467" s="24" t="n"/>
      <c r="P4467" s="24" t="n"/>
      <c r="Q4467" s="24" t="n"/>
      <c r="R4467" s="24" t="n"/>
      <c r="S4467" s="22">
        <f>IF(AND($A4467="",$C4467=""),"",IF($A4467="","Thiếu mã đơn; ","")&amp;IF(COUNTIF($A$2:$A4467,$A4467)&gt;1,"Trùng mã đơn; ","")&amp;IF(ISNA(MATCH($C4467,DATA_MASTER!$D$2:$D$5000,0)),"SĐT chưa đăng ký hội viên; ","")&amp;IF(AND($L4467="Đã chuyển khoản",$M4467=""),"Thiếu ngày nhận CK; ",""))</f>
        <v/>
      </c>
      <c r="T4467" s="24" t="n"/>
    </row>
    <row r="4468" ht="14.25" customHeight="1" s="40">
      <c r="A4468" s="24" t="n"/>
      <c r="B4468" s="29" t="n"/>
      <c r="C4468" s="28" t="n"/>
      <c r="D4468" s="22">
        <f t="array" ref="D4468">IF($C4468="","",IFERROR(INDEX(DATA_MASTER!$C$2:$C$5000,MATCH($C4468,DATA_MASTER!$D$2:$D$5000,0)),""))</f>
        <v/>
      </c>
      <c r="E4468" s="22">
        <f t="array" ref="E4468">IF($C4468="","",IFERROR(INDEX(DATA_MASTER!$I$2:$I$5000,MATCH($C4468,DATA_MASTER!$D$2:$D$5000,0)),""))</f>
        <v/>
      </c>
      <c r="F4468" s="22">
        <f t="array" ref="F4468">IF($C4468="","",IFERROR(INDEX(DATA_MASTER!$L$2:$L$5000,MATCH($C4468,DATA_MASTER!$D$2:$D$5000,0)),""))</f>
        <v/>
      </c>
      <c r="G4468" s="24" t="n"/>
      <c r="H4468" s="24" t="n"/>
      <c r="I4468" s="30" t="n"/>
      <c r="J4468" s="23">
        <f>IF(OR($H4468="",$I4468=""),"",$H4468*$I4468)</f>
        <v/>
      </c>
      <c r="K4468" s="24" t="n"/>
      <c r="L4468" s="24" t="n"/>
      <c r="M4468" s="29" t="n"/>
      <c r="N4468" s="28" t="n"/>
      <c r="O4468" s="24" t="n"/>
      <c r="P4468" s="24" t="n"/>
      <c r="Q4468" s="24" t="n"/>
      <c r="R4468" s="24" t="n"/>
      <c r="S4468" s="22">
        <f>IF(AND($A4468="",$C4468=""),"",IF($A4468="","Thiếu mã đơn; ","")&amp;IF(COUNTIF($A$2:$A4468,$A4468)&gt;1,"Trùng mã đơn; ","")&amp;IF(ISNA(MATCH($C4468,DATA_MASTER!$D$2:$D$5000,0)),"SĐT chưa đăng ký hội viên; ","")&amp;IF(AND($L4468="Đã chuyển khoản",$M4468=""),"Thiếu ngày nhận CK; ",""))</f>
        <v/>
      </c>
      <c r="T4468" s="24" t="n"/>
    </row>
    <row r="4469" ht="14.25" customHeight="1" s="40">
      <c r="A4469" s="24" t="n"/>
      <c r="B4469" s="29" t="n"/>
      <c r="C4469" s="28" t="n"/>
      <c r="D4469" s="22">
        <f t="array" ref="D4469">IF($C4469="","",IFERROR(INDEX(DATA_MASTER!$C$2:$C$5000,MATCH($C4469,DATA_MASTER!$D$2:$D$5000,0)),""))</f>
        <v/>
      </c>
      <c r="E4469" s="22">
        <f t="array" ref="E4469">IF($C4469="","",IFERROR(INDEX(DATA_MASTER!$I$2:$I$5000,MATCH($C4469,DATA_MASTER!$D$2:$D$5000,0)),""))</f>
        <v/>
      </c>
      <c r="F4469" s="22">
        <f t="array" ref="F4469">IF($C4469="","",IFERROR(INDEX(DATA_MASTER!$L$2:$L$5000,MATCH($C4469,DATA_MASTER!$D$2:$D$5000,0)),""))</f>
        <v/>
      </c>
      <c r="G4469" s="24" t="n"/>
      <c r="H4469" s="24" t="n"/>
      <c r="I4469" s="30" t="n"/>
      <c r="J4469" s="23">
        <f>IF(OR($H4469="",$I4469=""),"",$H4469*$I4469)</f>
        <v/>
      </c>
      <c r="K4469" s="24" t="n"/>
      <c r="L4469" s="24" t="n"/>
      <c r="M4469" s="29" t="n"/>
      <c r="N4469" s="28" t="n"/>
      <c r="O4469" s="24" t="n"/>
      <c r="P4469" s="24" t="n"/>
      <c r="Q4469" s="24" t="n"/>
      <c r="R4469" s="24" t="n"/>
      <c r="S4469" s="22">
        <f>IF(AND($A4469="",$C4469=""),"",IF($A4469="","Thiếu mã đơn; ","")&amp;IF(COUNTIF($A$2:$A4469,$A4469)&gt;1,"Trùng mã đơn; ","")&amp;IF(ISNA(MATCH($C4469,DATA_MASTER!$D$2:$D$5000,0)),"SĐT chưa đăng ký hội viên; ","")&amp;IF(AND($L4469="Đã chuyển khoản",$M4469=""),"Thiếu ngày nhận CK; ",""))</f>
        <v/>
      </c>
      <c r="T4469" s="24" t="n"/>
    </row>
    <row r="4470" ht="14.25" customHeight="1" s="40">
      <c r="A4470" s="24" t="n"/>
      <c r="B4470" s="29" t="n"/>
      <c r="C4470" s="28" t="n"/>
      <c r="D4470" s="22">
        <f t="array" ref="D4470">IF($C4470="","",IFERROR(INDEX(DATA_MASTER!$C$2:$C$5000,MATCH($C4470,DATA_MASTER!$D$2:$D$5000,0)),""))</f>
        <v/>
      </c>
      <c r="E4470" s="22">
        <f t="array" ref="E4470">IF($C4470="","",IFERROR(INDEX(DATA_MASTER!$I$2:$I$5000,MATCH($C4470,DATA_MASTER!$D$2:$D$5000,0)),""))</f>
        <v/>
      </c>
      <c r="F4470" s="22">
        <f t="array" ref="F4470">IF($C4470="","",IFERROR(INDEX(DATA_MASTER!$L$2:$L$5000,MATCH($C4470,DATA_MASTER!$D$2:$D$5000,0)),""))</f>
        <v/>
      </c>
      <c r="G4470" s="24" t="n"/>
      <c r="H4470" s="24" t="n"/>
      <c r="I4470" s="30" t="n"/>
      <c r="J4470" s="23">
        <f>IF(OR($H4470="",$I4470=""),"",$H4470*$I4470)</f>
        <v/>
      </c>
      <c r="K4470" s="24" t="n"/>
      <c r="L4470" s="24" t="n"/>
      <c r="M4470" s="29" t="n"/>
      <c r="N4470" s="28" t="n"/>
      <c r="O4470" s="24" t="n"/>
      <c r="P4470" s="24" t="n"/>
      <c r="Q4470" s="24" t="n"/>
      <c r="R4470" s="24" t="n"/>
      <c r="S4470" s="22">
        <f>IF(AND($A4470="",$C4470=""),"",IF($A4470="","Thiếu mã đơn; ","")&amp;IF(COUNTIF($A$2:$A4470,$A4470)&gt;1,"Trùng mã đơn; ","")&amp;IF(ISNA(MATCH($C4470,DATA_MASTER!$D$2:$D$5000,0)),"SĐT chưa đăng ký hội viên; ","")&amp;IF(AND($L4470="Đã chuyển khoản",$M4470=""),"Thiếu ngày nhận CK; ",""))</f>
        <v/>
      </c>
      <c r="T4470" s="24" t="n"/>
    </row>
    <row r="4471" ht="14.25" customHeight="1" s="40">
      <c r="A4471" s="24" t="n"/>
      <c r="B4471" s="29" t="n"/>
      <c r="C4471" s="28" t="n"/>
      <c r="D4471" s="22">
        <f t="array" ref="D4471">IF($C4471="","",IFERROR(INDEX(DATA_MASTER!$C$2:$C$5000,MATCH($C4471,DATA_MASTER!$D$2:$D$5000,0)),""))</f>
        <v/>
      </c>
      <c r="E4471" s="22">
        <f t="array" ref="E4471">IF($C4471="","",IFERROR(INDEX(DATA_MASTER!$I$2:$I$5000,MATCH($C4471,DATA_MASTER!$D$2:$D$5000,0)),""))</f>
        <v/>
      </c>
      <c r="F4471" s="22">
        <f t="array" ref="F4471">IF($C4471="","",IFERROR(INDEX(DATA_MASTER!$L$2:$L$5000,MATCH($C4471,DATA_MASTER!$D$2:$D$5000,0)),""))</f>
        <v/>
      </c>
      <c r="G4471" s="24" t="n"/>
      <c r="H4471" s="24" t="n"/>
      <c r="I4471" s="30" t="n"/>
      <c r="J4471" s="23">
        <f>IF(OR($H4471="",$I4471=""),"",$H4471*$I4471)</f>
        <v/>
      </c>
      <c r="K4471" s="24" t="n"/>
      <c r="L4471" s="24" t="n"/>
      <c r="M4471" s="29" t="n"/>
      <c r="N4471" s="28" t="n"/>
      <c r="O4471" s="24" t="n"/>
      <c r="P4471" s="24" t="n"/>
      <c r="Q4471" s="24" t="n"/>
      <c r="R4471" s="24" t="n"/>
      <c r="S4471" s="22">
        <f>IF(AND($A4471="",$C4471=""),"",IF($A4471="","Thiếu mã đơn; ","")&amp;IF(COUNTIF($A$2:$A4471,$A4471)&gt;1,"Trùng mã đơn; ","")&amp;IF(ISNA(MATCH($C4471,DATA_MASTER!$D$2:$D$5000,0)),"SĐT chưa đăng ký hội viên; ","")&amp;IF(AND($L4471="Đã chuyển khoản",$M4471=""),"Thiếu ngày nhận CK; ",""))</f>
        <v/>
      </c>
      <c r="T4471" s="24" t="n"/>
    </row>
    <row r="4472" ht="14.25" customHeight="1" s="40">
      <c r="A4472" s="24" t="n"/>
      <c r="B4472" s="29" t="n"/>
      <c r="C4472" s="28" t="n"/>
      <c r="D4472" s="22">
        <f t="array" ref="D4472">IF($C4472="","",IFERROR(INDEX(DATA_MASTER!$C$2:$C$5000,MATCH($C4472,DATA_MASTER!$D$2:$D$5000,0)),""))</f>
        <v/>
      </c>
      <c r="E4472" s="22">
        <f t="array" ref="E4472">IF($C4472="","",IFERROR(INDEX(DATA_MASTER!$I$2:$I$5000,MATCH($C4472,DATA_MASTER!$D$2:$D$5000,0)),""))</f>
        <v/>
      </c>
      <c r="F4472" s="22">
        <f t="array" ref="F4472">IF($C4472="","",IFERROR(INDEX(DATA_MASTER!$L$2:$L$5000,MATCH($C4472,DATA_MASTER!$D$2:$D$5000,0)),""))</f>
        <v/>
      </c>
      <c r="G4472" s="24" t="n"/>
      <c r="H4472" s="24" t="n"/>
      <c r="I4472" s="30" t="n"/>
      <c r="J4472" s="23">
        <f>IF(OR($H4472="",$I4472=""),"",$H4472*$I4472)</f>
        <v/>
      </c>
      <c r="K4472" s="24" t="n"/>
      <c r="L4472" s="24" t="n"/>
      <c r="M4472" s="29" t="n"/>
      <c r="N4472" s="28" t="n"/>
      <c r="O4472" s="24" t="n"/>
      <c r="P4472" s="24" t="n"/>
      <c r="Q4472" s="24" t="n"/>
      <c r="R4472" s="24" t="n"/>
      <c r="S4472" s="22">
        <f>IF(AND($A4472="",$C4472=""),"",IF($A4472="","Thiếu mã đơn; ","")&amp;IF(COUNTIF($A$2:$A4472,$A4472)&gt;1,"Trùng mã đơn; ","")&amp;IF(ISNA(MATCH($C4472,DATA_MASTER!$D$2:$D$5000,0)),"SĐT chưa đăng ký hội viên; ","")&amp;IF(AND($L4472="Đã chuyển khoản",$M4472=""),"Thiếu ngày nhận CK; ",""))</f>
        <v/>
      </c>
      <c r="T4472" s="24" t="n"/>
    </row>
    <row r="4473" ht="14.25" customHeight="1" s="40">
      <c r="A4473" s="24" t="n"/>
      <c r="B4473" s="29" t="n"/>
      <c r="C4473" s="28" t="n"/>
      <c r="D4473" s="22">
        <f t="array" ref="D4473">IF($C4473="","",IFERROR(INDEX(DATA_MASTER!$C$2:$C$5000,MATCH($C4473,DATA_MASTER!$D$2:$D$5000,0)),""))</f>
        <v/>
      </c>
      <c r="E4473" s="22">
        <f t="array" ref="E4473">IF($C4473="","",IFERROR(INDEX(DATA_MASTER!$I$2:$I$5000,MATCH($C4473,DATA_MASTER!$D$2:$D$5000,0)),""))</f>
        <v/>
      </c>
      <c r="F4473" s="22">
        <f t="array" ref="F4473">IF($C4473="","",IFERROR(INDEX(DATA_MASTER!$L$2:$L$5000,MATCH($C4473,DATA_MASTER!$D$2:$D$5000,0)),""))</f>
        <v/>
      </c>
      <c r="G4473" s="24" t="n"/>
      <c r="H4473" s="24" t="n"/>
      <c r="I4473" s="30" t="n"/>
      <c r="J4473" s="23">
        <f>IF(OR($H4473="",$I4473=""),"",$H4473*$I4473)</f>
        <v/>
      </c>
      <c r="K4473" s="24" t="n"/>
      <c r="L4473" s="24" t="n"/>
      <c r="M4473" s="29" t="n"/>
      <c r="N4473" s="28" t="n"/>
      <c r="O4473" s="24" t="n"/>
      <c r="P4473" s="24" t="n"/>
      <c r="Q4473" s="24" t="n"/>
      <c r="R4473" s="24" t="n"/>
      <c r="S4473" s="22">
        <f>IF(AND($A4473="",$C4473=""),"",IF($A4473="","Thiếu mã đơn; ","")&amp;IF(COUNTIF($A$2:$A4473,$A4473)&gt;1,"Trùng mã đơn; ","")&amp;IF(ISNA(MATCH($C4473,DATA_MASTER!$D$2:$D$5000,0)),"SĐT chưa đăng ký hội viên; ","")&amp;IF(AND($L4473="Đã chuyển khoản",$M4473=""),"Thiếu ngày nhận CK; ",""))</f>
        <v/>
      </c>
      <c r="T4473" s="24" t="n"/>
    </row>
    <row r="4474" ht="14.25" customHeight="1" s="40">
      <c r="A4474" s="24" t="n"/>
      <c r="B4474" s="29" t="n"/>
      <c r="C4474" s="28" t="n"/>
      <c r="D4474" s="22">
        <f t="array" ref="D4474">IF($C4474="","",IFERROR(INDEX(DATA_MASTER!$C$2:$C$5000,MATCH($C4474,DATA_MASTER!$D$2:$D$5000,0)),""))</f>
        <v/>
      </c>
      <c r="E4474" s="22">
        <f t="array" ref="E4474">IF($C4474="","",IFERROR(INDEX(DATA_MASTER!$I$2:$I$5000,MATCH($C4474,DATA_MASTER!$D$2:$D$5000,0)),""))</f>
        <v/>
      </c>
      <c r="F4474" s="22">
        <f t="array" ref="F4474">IF($C4474="","",IFERROR(INDEX(DATA_MASTER!$L$2:$L$5000,MATCH($C4474,DATA_MASTER!$D$2:$D$5000,0)),""))</f>
        <v/>
      </c>
      <c r="G4474" s="24" t="n"/>
      <c r="H4474" s="24" t="n"/>
      <c r="I4474" s="30" t="n"/>
      <c r="J4474" s="23">
        <f>IF(OR($H4474="",$I4474=""),"",$H4474*$I4474)</f>
        <v/>
      </c>
      <c r="K4474" s="24" t="n"/>
      <c r="L4474" s="24" t="n"/>
      <c r="M4474" s="29" t="n"/>
      <c r="N4474" s="28" t="n"/>
      <c r="O4474" s="24" t="n"/>
      <c r="P4474" s="24" t="n"/>
      <c r="Q4474" s="24" t="n"/>
      <c r="R4474" s="24" t="n"/>
      <c r="S4474" s="22">
        <f>IF(AND($A4474="",$C4474=""),"",IF($A4474="","Thiếu mã đơn; ","")&amp;IF(COUNTIF($A$2:$A4474,$A4474)&gt;1,"Trùng mã đơn; ","")&amp;IF(ISNA(MATCH($C4474,DATA_MASTER!$D$2:$D$5000,0)),"SĐT chưa đăng ký hội viên; ","")&amp;IF(AND($L4474="Đã chuyển khoản",$M4474=""),"Thiếu ngày nhận CK; ",""))</f>
        <v/>
      </c>
      <c r="T4474" s="24" t="n"/>
    </row>
    <row r="4475" ht="14.25" customHeight="1" s="40">
      <c r="A4475" s="24" t="n"/>
      <c r="B4475" s="29" t="n"/>
      <c r="C4475" s="28" t="n"/>
      <c r="D4475" s="22">
        <f t="array" ref="D4475">IF($C4475="","",IFERROR(INDEX(DATA_MASTER!$C$2:$C$5000,MATCH($C4475,DATA_MASTER!$D$2:$D$5000,0)),""))</f>
        <v/>
      </c>
      <c r="E4475" s="22">
        <f t="array" ref="E4475">IF($C4475="","",IFERROR(INDEX(DATA_MASTER!$I$2:$I$5000,MATCH($C4475,DATA_MASTER!$D$2:$D$5000,0)),""))</f>
        <v/>
      </c>
      <c r="F4475" s="22">
        <f t="array" ref="F4475">IF($C4475="","",IFERROR(INDEX(DATA_MASTER!$L$2:$L$5000,MATCH($C4475,DATA_MASTER!$D$2:$D$5000,0)),""))</f>
        <v/>
      </c>
      <c r="G4475" s="24" t="n"/>
      <c r="H4475" s="24" t="n"/>
      <c r="I4475" s="30" t="n"/>
      <c r="J4475" s="23">
        <f>IF(OR($H4475="",$I4475=""),"",$H4475*$I4475)</f>
        <v/>
      </c>
      <c r="K4475" s="24" t="n"/>
      <c r="L4475" s="24" t="n"/>
      <c r="M4475" s="29" t="n"/>
      <c r="N4475" s="28" t="n"/>
      <c r="O4475" s="24" t="n"/>
      <c r="P4475" s="24" t="n"/>
      <c r="Q4475" s="24" t="n"/>
      <c r="R4475" s="24" t="n"/>
      <c r="S4475" s="22">
        <f>IF(AND($A4475="",$C4475=""),"",IF($A4475="","Thiếu mã đơn; ","")&amp;IF(COUNTIF($A$2:$A4475,$A4475)&gt;1,"Trùng mã đơn; ","")&amp;IF(ISNA(MATCH($C4475,DATA_MASTER!$D$2:$D$5000,0)),"SĐT chưa đăng ký hội viên; ","")&amp;IF(AND($L4475="Đã chuyển khoản",$M4475=""),"Thiếu ngày nhận CK; ",""))</f>
        <v/>
      </c>
      <c r="T4475" s="24" t="n"/>
    </row>
    <row r="4476" ht="14.25" customHeight="1" s="40">
      <c r="A4476" s="24" t="n"/>
      <c r="B4476" s="29" t="n"/>
      <c r="C4476" s="28" t="n"/>
      <c r="D4476" s="22">
        <f t="array" ref="D4476">IF($C4476="","",IFERROR(INDEX(DATA_MASTER!$C$2:$C$5000,MATCH($C4476,DATA_MASTER!$D$2:$D$5000,0)),""))</f>
        <v/>
      </c>
      <c r="E4476" s="22">
        <f t="array" ref="E4476">IF($C4476="","",IFERROR(INDEX(DATA_MASTER!$I$2:$I$5000,MATCH($C4476,DATA_MASTER!$D$2:$D$5000,0)),""))</f>
        <v/>
      </c>
      <c r="F4476" s="22">
        <f t="array" ref="F4476">IF($C4476="","",IFERROR(INDEX(DATA_MASTER!$L$2:$L$5000,MATCH($C4476,DATA_MASTER!$D$2:$D$5000,0)),""))</f>
        <v/>
      </c>
      <c r="G4476" s="24" t="n"/>
      <c r="H4476" s="24" t="n"/>
      <c r="I4476" s="30" t="n"/>
      <c r="J4476" s="23">
        <f>IF(OR($H4476="",$I4476=""),"",$H4476*$I4476)</f>
        <v/>
      </c>
      <c r="K4476" s="24" t="n"/>
      <c r="L4476" s="24" t="n"/>
      <c r="M4476" s="29" t="n"/>
      <c r="N4476" s="28" t="n"/>
      <c r="O4476" s="24" t="n"/>
      <c r="P4476" s="24" t="n"/>
      <c r="Q4476" s="24" t="n"/>
      <c r="R4476" s="24" t="n"/>
      <c r="S4476" s="22">
        <f>IF(AND($A4476="",$C4476=""),"",IF($A4476="","Thiếu mã đơn; ","")&amp;IF(COUNTIF($A$2:$A4476,$A4476)&gt;1,"Trùng mã đơn; ","")&amp;IF(ISNA(MATCH($C4476,DATA_MASTER!$D$2:$D$5000,0)),"SĐT chưa đăng ký hội viên; ","")&amp;IF(AND($L4476="Đã chuyển khoản",$M4476=""),"Thiếu ngày nhận CK; ",""))</f>
        <v/>
      </c>
      <c r="T4476" s="24" t="n"/>
    </row>
    <row r="4477" ht="14.25" customHeight="1" s="40">
      <c r="A4477" s="24" t="n"/>
      <c r="B4477" s="29" t="n"/>
      <c r="C4477" s="28" t="n"/>
      <c r="D4477" s="22">
        <f t="array" ref="D4477">IF($C4477="","",IFERROR(INDEX(DATA_MASTER!$C$2:$C$5000,MATCH($C4477,DATA_MASTER!$D$2:$D$5000,0)),""))</f>
        <v/>
      </c>
      <c r="E4477" s="22">
        <f t="array" ref="E4477">IF($C4477="","",IFERROR(INDEX(DATA_MASTER!$I$2:$I$5000,MATCH($C4477,DATA_MASTER!$D$2:$D$5000,0)),""))</f>
        <v/>
      </c>
      <c r="F4477" s="22">
        <f t="array" ref="F4477">IF($C4477="","",IFERROR(INDEX(DATA_MASTER!$L$2:$L$5000,MATCH($C4477,DATA_MASTER!$D$2:$D$5000,0)),""))</f>
        <v/>
      </c>
      <c r="G4477" s="24" t="n"/>
      <c r="H4477" s="24" t="n"/>
      <c r="I4477" s="30" t="n"/>
      <c r="J4477" s="23">
        <f>IF(OR($H4477="",$I4477=""),"",$H4477*$I4477)</f>
        <v/>
      </c>
      <c r="K4477" s="24" t="n"/>
      <c r="L4477" s="24" t="n"/>
      <c r="M4477" s="29" t="n"/>
      <c r="N4477" s="28" t="n"/>
      <c r="O4477" s="24" t="n"/>
      <c r="P4477" s="24" t="n"/>
      <c r="Q4477" s="24" t="n"/>
      <c r="R4477" s="24" t="n"/>
      <c r="S4477" s="22">
        <f>IF(AND($A4477="",$C4477=""),"",IF($A4477="","Thiếu mã đơn; ","")&amp;IF(COUNTIF($A$2:$A4477,$A4477)&gt;1,"Trùng mã đơn; ","")&amp;IF(ISNA(MATCH($C4477,DATA_MASTER!$D$2:$D$5000,0)),"SĐT chưa đăng ký hội viên; ","")&amp;IF(AND($L4477="Đã chuyển khoản",$M4477=""),"Thiếu ngày nhận CK; ",""))</f>
        <v/>
      </c>
      <c r="T4477" s="24" t="n"/>
    </row>
    <row r="4478" ht="14.25" customHeight="1" s="40">
      <c r="A4478" s="24" t="n"/>
      <c r="B4478" s="29" t="n"/>
      <c r="C4478" s="28" t="n"/>
      <c r="D4478" s="22">
        <f t="array" ref="D4478">IF($C4478="","",IFERROR(INDEX(DATA_MASTER!$C$2:$C$5000,MATCH($C4478,DATA_MASTER!$D$2:$D$5000,0)),""))</f>
        <v/>
      </c>
      <c r="E4478" s="22">
        <f t="array" ref="E4478">IF($C4478="","",IFERROR(INDEX(DATA_MASTER!$I$2:$I$5000,MATCH($C4478,DATA_MASTER!$D$2:$D$5000,0)),""))</f>
        <v/>
      </c>
      <c r="F4478" s="22">
        <f t="array" ref="F4478">IF($C4478="","",IFERROR(INDEX(DATA_MASTER!$L$2:$L$5000,MATCH($C4478,DATA_MASTER!$D$2:$D$5000,0)),""))</f>
        <v/>
      </c>
      <c r="G4478" s="24" t="n"/>
      <c r="H4478" s="24" t="n"/>
      <c r="I4478" s="30" t="n"/>
      <c r="J4478" s="23">
        <f>IF(OR($H4478="",$I4478=""),"",$H4478*$I4478)</f>
        <v/>
      </c>
      <c r="K4478" s="24" t="n"/>
      <c r="L4478" s="24" t="n"/>
      <c r="M4478" s="29" t="n"/>
      <c r="N4478" s="28" t="n"/>
      <c r="O4478" s="24" t="n"/>
      <c r="P4478" s="24" t="n"/>
      <c r="Q4478" s="24" t="n"/>
      <c r="R4478" s="24" t="n"/>
      <c r="S4478" s="22">
        <f>IF(AND($A4478="",$C4478=""),"",IF($A4478="","Thiếu mã đơn; ","")&amp;IF(COUNTIF($A$2:$A4478,$A4478)&gt;1,"Trùng mã đơn; ","")&amp;IF(ISNA(MATCH($C4478,DATA_MASTER!$D$2:$D$5000,0)),"SĐT chưa đăng ký hội viên; ","")&amp;IF(AND($L4478="Đã chuyển khoản",$M4478=""),"Thiếu ngày nhận CK; ",""))</f>
        <v/>
      </c>
      <c r="T4478" s="24" t="n"/>
    </row>
    <row r="4479" ht="14.25" customHeight="1" s="40">
      <c r="A4479" s="24" t="n"/>
      <c r="B4479" s="29" t="n"/>
      <c r="C4479" s="28" t="n"/>
      <c r="D4479" s="22">
        <f t="array" ref="D4479">IF($C4479="","",IFERROR(INDEX(DATA_MASTER!$C$2:$C$5000,MATCH($C4479,DATA_MASTER!$D$2:$D$5000,0)),""))</f>
        <v/>
      </c>
      <c r="E4479" s="22">
        <f t="array" ref="E4479">IF($C4479="","",IFERROR(INDEX(DATA_MASTER!$I$2:$I$5000,MATCH($C4479,DATA_MASTER!$D$2:$D$5000,0)),""))</f>
        <v/>
      </c>
      <c r="F4479" s="22">
        <f t="array" ref="F4479">IF($C4479="","",IFERROR(INDEX(DATA_MASTER!$L$2:$L$5000,MATCH($C4479,DATA_MASTER!$D$2:$D$5000,0)),""))</f>
        <v/>
      </c>
      <c r="G4479" s="24" t="n"/>
      <c r="H4479" s="24" t="n"/>
      <c r="I4479" s="30" t="n"/>
      <c r="J4479" s="23">
        <f>IF(OR($H4479="",$I4479=""),"",$H4479*$I4479)</f>
        <v/>
      </c>
      <c r="K4479" s="24" t="n"/>
      <c r="L4479" s="24" t="n"/>
      <c r="M4479" s="29" t="n"/>
      <c r="N4479" s="28" t="n"/>
      <c r="O4479" s="24" t="n"/>
      <c r="P4479" s="24" t="n"/>
      <c r="Q4479" s="24" t="n"/>
      <c r="R4479" s="24" t="n"/>
      <c r="S4479" s="22">
        <f>IF(AND($A4479="",$C4479=""),"",IF($A4479="","Thiếu mã đơn; ","")&amp;IF(COUNTIF($A$2:$A4479,$A4479)&gt;1,"Trùng mã đơn; ","")&amp;IF(ISNA(MATCH($C4479,DATA_MASTER!$D$2:$D$5000,0)),"SĐT chưa đăng ký hội viên; ","")&amp;IF(AND($L4479="Đã chuyển khoản",$M4479=""),"Thiếu ngày nhận CK; ",""))</f>
        <v/>
      </c>
      <c r="T4479" s="24" t="n"/>
    </row>
    <row r="4480" ht="14.25" customHeight="1" s="40">
      <c r="A4480" s="24" t="n"/>
      <c r="B4480" s="29" t="n"/>
      <c r="C4480" s="28" t="n"/>
      <c r="D4480" s="22">
        <f t="array" ref="D4480">IF($C4480="","",IFERROR(INDEX(DATA_MASTER!$C$2:$C$5000,MATCH($C4480,DATA_MASTER!$D$2:$D$5000,0)),""))</f>
        <v/>
      </c>
      <c r="E4480" s="22">
        <f t="array" ref="E4480">IF($C4480="","",IFERROR(INDEX(DATA_MASTER!$I$2:$I$5000,MATCH($C4480,DATA_MASTER!$D$2:$D$5000,0)),""))</f>
        <v/>
      </c>
      <c r="F4480" s="22">
        <f t="array" ref="F4480">IF($C4480="","",IFERROR(INDEX(DATA_MASTER!$L$2:$L$5000,MATCH($C4480,DATA_MASTER!$D$2:$D$5000,0)),""))</f>
        <v/>
      </c>
      <c r="G4480" s="24" t="n"/>
      <c r="H4480" s="24" t="n"/>
      <c r="I4480" s="30" t="n"/>
      <c r="J4480" s="23">
        <f>IF(OR($H4480="",$I4480=""),"",$H4480*$I4480)</f>
        <v/>
      </c>
      <c r="K4480" s="24" t="n"/>
      <c r="L4480" s="24" t="n"/>
      <c r="M4480" s="29" t="n"/>
      <c r="N4480" s="28" t="n"/>
      <c r="O4480" s="24" t="n"/>
      <c r="P4480" s="24" t="n"/>
      <c r="Q4480" s="24" t="n"/>
      <c r="R4480" s="24" t="n"/>
      <c r="S4480" s="22">
        <f>IF(AND($A4480="",$C4480=""),"",IF($A4480="","Thiếu mã đơn; ","")&amp;IF(COUNTIF($A$2:$A4480,$A4480)&gt;1,"Trùng mã đơn; ","")&amp;IF(ISNA(MATCH($C4480,DATA_MASTER!$D$2:$D$5000,0)),"SĐT chưa đăng ký hội viên; ","")&amp;IF(AND($L4480="Đã chuyển khoản",$M4480=""),"Thiếu ngày nhận CK; ",""))</f>
        <v/>
      </c>
      <c r="T4480" s="24" t="n"/>
    </row>
    <row r="4481" ht="14.25" customHeight="1" s="40">
      <c r="A4481" s="24" t="n"/>
      <c r="B4481" s="29" t="n"/>
      <c r="C4481" s="28" t="n"/>
      <c r="D4481" s="22">
        <f t="array" ref="D4481">IF($C4481="","",IFERROR(INDEX(DATA_MASTER!$C$2:$C$5000,MATCH($C4481,DATA_MASTER!$D$2:$D$5000,0)),""))</f>
        <v/>
      </c>
      <c r="E4481" s="22">
        <f t="array" ref="E4481">IF($C4481="","",IFERROR(INDEX(DATA_MASTER!$I$2:$I$5000,MATCH($C4481,DATA_MASTER!$D$2:$D$5000,0)),""))</f>
        <v/>
      </c>
      <c r="F4481" s="22">
        <f t="array" ref="F4481">IF($C4481="","",IFERROR(INDEX(DATA_MASTER!$L$2:$L$5000,MATCH($C4481,DATA_MASTER!$D$2:$D$5000,0)),""))</f>
        <v/>
      </c>
      <c r="G4481" s="24" t="n"/>
      <c r="H4481" s="24" t="n"/>
      <c r="I4481" s="30" t="n"/>
      <c r="J4481" s="23">
        <f>IF(OR($H4481="",$I4481=""),"",$H4481*$I4481)</f>
        <v/>
      </c>
      <c r="K4481" s="24" t="n"/>
      <c r="L4481" s="24" t="n"/>
      <c r="M4481" s="29" t="n"/>
      <c r="N4481" s="28" t="n"/>
      <c r="O4481" s="24" t="n"/>
      <c r="P4481" s="24" t="n"/>
      <c r="Q4481" s="24" t="n"/>
      <c r="R4481" s="24" t="n"/>
      <c r="S4481" s="22">
        <f>IF(AND($A4481="",$C4481=""),"",IF($A4481="","Thiếu mã đơn; ","")&amp;IF(COUNTIF($A$2:$A4481,$A4481)&gt;1,"Trùng mã đơn; ","")&amp;IF(ISNA(MATCH($C4481,DATA_MASTER!$D$2:$D$5000,0)),"SĐT chưa đăng ký hội viên; ","")&amp;IF(AND($L4481="Đã chuyển khoản",$M4481=""),"Thiếu ngày nhận CK; ",""))</f>
        <v/>
      </c>
      <c r="T4481" s="24" t="n"/>
    </row>
    <row r="4482" ht="14.25" customHeight="1" s="40">
      <c r="A4482" s="24" t="n"/>
      <c r="B4482" s="29" t="n"/>
      <c r="C4482" s="28" t="n"/>
      <c r="D4482" s="22">
        <f t="array" ref="D4482">IF($C4482="","",IFERROR(INDEX(DATA_MASTER!$C$2:$C$5000,MATCH($C4482,DATA_MASTER!$D$2:$D$5000,0)),""))</f>
        <v/>
      </c>
      <c r="E4482" s="22">
        <f t="array" ref="E4482">IF($C4482="","",IFERROR(INDEX(DATA_MASTER!$I$2:$I$5000,MATCH($C4482,DATA_MASTER!$D$2:$D$5000,0)),""))</f>
        <v/>
      </c>
      <c r="F4482" s="22">
        <f t="array" ref="F4482">IF($C4482="","",IFERROR(INDEX(DATA_MASTER!$L$2:$L$5000,MATCH($C4482,DATA_MASTER!$D$2:$D$5000,0)),""))</f>
        <v/>
      </c>
      <c r="G4482" s="24" t="n"/>
      <c r="H4482" s="24" t="n"/>
      <c r="I4482" s="30" t="n"/>
      <c r="J4482" s="23">
        <f>IF(OR($H4482="",$I4482=""),"",$H4482*$I4482)</f>
        <v/>
      </c>
      <c r="K4482" s="24" t="n"/>
      <c r="L4482" s="24" t="n"/>
      <c r="M4482" s="29" t="n"/>
      <c r="N4482" s="28" t="n"/>
      <c r="O4482" s="24" t="n"/>
      <c r="P4482" s="24" t="n"/>
      <c r="Q4482" s="24" t="n"/>
      <c r="R4482" s="24" t="n"/>
      <c r="S4482" s="22">
        <f>IF(AND($A4482="",$C4482=""),"",IF($A4482="","Thiếu mã đơn; ","")&amp;IF(COUNTIF($A$2:$A4482,$A4482)&gt;1,"Trùng mã đơn; ","")&amp;IF(ISNA(MATCH($C4482,DATA_MASTER!$D$2:$D$5000,0)),"SĐT chưa đăng ký hội viên; ","")&amp;IF(AND($L4482="Đã chuyển khoản",$M4482=""),"Thiếu ngày nhận CK; ",""))</f>
        <v/>
      </c>
      <c r="T4482" s="24" t="n"/>
    </row>
    <row r="4483" ht="14.25" customHeight="1" s="40">
      <c r="A4483" s="24" t="n"/>
      <c r="B4483" s="29" t="n"/>
      <c r="C4483" s="28" t="n"/>
      <c r="D4483" s="22">
        <f t="array" ref="D4483">IF($C4483="","",IFERROR(INDEX(DATA_MASTER!$C$2:$C$5000,MATCH($C4483,DATA_MASTER!$D$2:$D$5000,0)),""))</f>
        <v/>
      </c>
      <c r="E4483" s="22">
        <f t="array" ref="E4483">IF($C4483="","",IFERROR(INDEX(DATA_MASTER!$I$2:$I$5000,MATCH($C4483,DATA_MASTER!$D$2:$D$5000,0)),""))</f>
        <v/>
      </c>
      <c r="F4483" s="22">
        <f t="array" ref="F4483">IF($C4483="","",IFERROR(INDEX(DATA_MASTER!$L$2:$L$5000,MATCH($C4483,DATA_MASTER!$D$2:$D$5000,0)),""))</f>
        <v/>
      </c>
      <c r="G4483" s="24" t="n"/>
      <c r="H4483" s="24" t="n"/>
      <c r="I4483" s="30" t="n"/>
      <c r="J4483" s="23">
        <f>IF(OR($H4483="",$I4483=""),"",$H4483*$I4483)</f>
        <v/>
      </c>
      <c r="K4483" s="24" t="n"/>
      <c r="L4483" s="24" t="n"/>
      <c r="M4483" s="29" t="n"/>
      <c r="N4483" s="28" t="n"/>
      <c r="O4483" s="24" t="n"/>
      <c r="P4483" s="24" t="n"/>
      <c r="Q4483" s="24" t="n"/>
      <c r="R4483" s="24" t="n"/>
      <c r="S4483" s="22">
        <f>IF(AND($A4483="",$C4483=""),"",IF($A4483="","Thiếu mã đơn; ","")&amp;IF(COUNTIF($A$2:$A4483,$A4483)&gt;1,"Trùng mã đơn; ","")&amp;IF(ISNA(MATCH($C4483,DATA_MASTER!$D$2:$D$5000,0)),"SĐT chưa đăng ký hội viên; ","")&amp;IF(AND($L4483="Đã chuyển khoản",$M4483=""),"Thiếu ngày nhận CK; ",""))</f>
        <v/>
      </c>
      <c r="T4483" s="24" t="n"/>
    </row>
    <row r="4484" ht="14.25" customHeight="1" s="40">
      <c r="A4484" s="24" t="n"/>
      <c r="B4484" s="29" t="n"/>
      <c r="C4484" s="28" t="n"/>
      <c r="D4484" s="22">
        <f t="array" ref="D4484">IF($C4484="","",IFERROR(INDEX(DATA_MASTER!$C$2:$C$5000,MATCH($C4484,DATA_MASTER!$D$2:$D$5000,0)),""))</f>
        <v/>
      </c>
      <c r="E4484" s="22">
        <f t="array" ref="E4484">IF($C4484="","",IFERROR(INDEX(DATA_MASTER!$I$2:$I$5000,MATCH($C4484,DATA_MASTER!$D$2:$D$5000,0)),""))</f>
        <v/>
      </c>
      <c r="F4484" s="22">
        <f t="array" ref="F4484">IF($C4484="","",IFERROR(INDEX(DATA_MASTER!$L$2:$L$5000,MATCH($C4484,DATA_MASTER!$D$2:$D$5000,0)),""))</f>
        <v/>
      </c>
      <c r="G4484" s="24" t="n"/>
      <c r="H4484" s="24" t="n"/>
      <c r="I4484" s="30" t="n"/>
      <c r="J4484" s="23">
        <f>IF(OR($H4484="",$I4484=""),"",$H4484*$I4484)</f>
        <v/>
      </c>
      <c r="K4484" s="24" t="n"/>
      <c r="L4484" s="24" t="n"/>
      <c r="M4484" s="29" t="n"/>
      <c r="N4484" s="28" t="n"/>
      <c r="O4484" s="24" t="n"/>
      <c r="P4484" s="24" t="n"/>
      <c r="Q4484" s="24" t="n"/>
      <c r="R4484" s="24" t="n"/>
      <c r="S4484" s="22">
        <f>IF(AND($A4484="",$C4484=""),"",IF($A4484="","Thiếu mã đơn; ","")&amp;IF(COUNTIF($A$2:$A4484,$A4484)&gt;1,"Trùng mã đơn; ","")&amp;IF(ISNA(MATCH($C4484,DATA_MASTER!$D$2:$D$5000,0)),"SĐT chưa đăng ký hội viên; ","")&amp;IF(AND($L4484="Đã chuyển khoản",$M4484=""),"Thiếu ngày nhận CK; ",""))</f>
        <v/>
      </c>
      <c r="T4484" s="24" t="n"/>
    </row>
    <row r="4485" ht="14.25" customHeight="1" s="40">
      <c r="A4485" s="24" t="n"/>
      <c r="B4485" s="29" t="n"/>
      <c r="C4485" s="28" t="n"/>
      <c r="D4485" s="22">
        <f t="array" ref="D4485">IF($C4485="","",IFERROR(INDEX(DATA_MASTER!$C$2:$C$5000,MATCH($C4485,DATA_MASTER!$D$2:$D$5000,0)),""))</f>
        <v/>
      </c>
      <c r="E4485" s="22">
        <f t="array" ref="E4485">IF($C4485="","",IFERROR(INDEX(DATA_MASTER!$I$2:$I$5000,MATCH($C4485,DATA_MASTER!$D$2:$D$5000,0)),""))</f>
        <v/>
      </c>
      <c r="F4485" s="22">
        <f t="array" ref="F4485">IF($C4485="","",IFERROR(INDEX(DATA_MASTER!$L$2:$L$5000,MATCH($C4485,DATA_MASTER!$D$2:$D$5000,0)),""))</f>
        <v/>
      </c>
      <c r="G4485" s="24" t="n"/>
      <c r="H4485" s="24" t="n"/>
      <c r="I4485" s="30" t="n"/>
      <c r="J4485" s="23">
        <f>IF(OR($H4485="",$I4485=""),"",$H4485*$I4485)</f>
        <v/>
      </c>
      <c r="K4485" s="24" t="n"/>
      <c r="L4485" s="24" t="n"/>
      <c r="M4485" s="29" t="n"/>
      <c r="N4485" s="28" t="n"/>
      <c r="O4485" s="24" t="n"/>
      <c r="P4485" s="24" t="n"/>
      <c r="Q4485" s="24" t="n"/>
      <c r="R4485" s="24" t="n"/>
      <c r="S4485" s="22">
        <f>IF(AND($A4485="",$C4485=""),"",IF($A4485="","Thiếu mã đơn; ","")&amp;IF(COUNTIF($A$2:$A4485,$A4485)&gt;1,"Trùng mã đơn; ","")&amp;IF(ISNA(MATCH($C4485,DATA_MASTER!$D$2:$D$5000,0)),"SĐT chưa đăng ký hội viên; ","")&amp;IF(AND($L4485="Đã chuyển khoản",$M4485=""),"Thiếu ngày nhận CK; ",""))</f>
        <v/>
      </c>
      <c r="T4485" s="24" t="n"/>
    </row>
    <row r="4486" ht="14.25" customHeight="1" s="40">
      <c r="A4486" s="24" t="n"/>
      <c r="B4486" s="29" t="n"/>
      <c r="C4486" s="28" t="n"/>
      <c r="D4486" s="22">
        <f t="array" ref="D4486">IF($C4486="","",IFERROR(INDEX(DATA_MASTER!$C$2:$C$5000,MATCH($C4486,DATA_MASTER!$D$2:$D$5000,0)),""))</f>
        <v/>
      </c>
      <c r="E4486" s="22">
        <f t="array" ref="E4486">IF($C4486="","",IFERROR(INDEX(DATA_MASTER!$I$2:$I$5000,MATCH($C4486,DATA_MASTER!$D$2:$D$5000,0)),""))</f>
        <v/>
      </c>
      <c r="F4486" s="22">
        <f t="array" ref="F4486">IF($C4486="","",IFERROR(INDEX(DATA_MASTER!$L$2:$L$5000,MATCH($C4486,DATA_MASTER!$D$2:$D$5000,0)),""))</f>
        <v/>
      </c>
      <c r="G4486" s="24" t="n"/>
      <c r="H4486" s="24" t="n"/>
      <c r="I4486" s="30" t="n"/>
      <c r="J4486" s="23">
        <f>IF(OR($H4486="",$I4486=""),"",$H4486*$I4486)</f>
        <v/>
      </c>
      <c r="K4486" s="24" t="n"/>
      <c r="L4486" s="24" t="n"/>
      <c r="M4486" s="29" t="n"/>
      <c r="N4486" s="28" t="n"/>
      <c r="O4486" s="24" t="n"/>
      <c r="P4486" s="24" t="n"/>
      <c r="Q4486" s="24" t="n"/>
      <c r="R4486" s="24" t="n"/>
      <c r="S4486" s="22">
        <f>IF(AND($A4486="",$C4486=""),"",IF($A4486="","Thiếu mã đơn; ","")&amp;IF(COUNTIF($A$2:$A4486,$A4486)&gt;1,"Trùng mã đơn; ","")&amp;IF(ISNA(MATCH($C4486,DATA_MASTER!$D$2:$D$5000,0)),"SĐT chưa đăng ký hội viên; ","")&amp;IF(AND($L4486="Đã chuyển khoản",$M4486=""),"Thiếu ngày nhận CK; ",""))</f>
        <v/>
      </c>
      <c r="T4486" s="24" t="n"/>
    </row>
    <row r="4487" ht="14.25" customHeight="1" s="40">
      <c r="A4487" s="24" t="n"/>
      <c r="B4487" s="29" t="n"/>
      <c r="C4487" s="28" t="n"/>
      <c r="D4487" s="22">
        <f t="array" ref="D4487">IF($C4487="","",IFERROR(INDEX(DATA_MASTER!$C$2:$C$5000,MATCH($C4487,DATA_MASTER!$D$2:$D$5000,0)),""))</f>
        <v/>
      </c>
      <c r="E4487" s="22">
        <f t="array" ref="E4487">IF($C4487="","",IFERROR(INDEX(DATA_MASTER!$I$2:$I$5000,MATCH($C4487,DATA_MASTER!$D$2:$D$5000,0)),""))</f>
        <v/>
      </c>
      <c r="F4487" s="22">
        <f t="array" ref="F4487">IF($C4487="","",IFERROR(INDEX(DATA_MASTER!$L$2:$L$5000,MATCH($C4487,DATA_MASTER!$D$2:$D$5000,0)),""))</f>
        <v/>
      </c>
      <c r="G4487" s="24" t="n"/>
      <c r="H4487" s="24" t="n"/>
      <c r="I4487" s="30" t="n"/>
      <c r="J4487" s="23">
        <f>IF(OR($H4487="",$I4487=""),"",$H4487*$I4487)</f>
        <v/>
      </c>
      <c r="K4487" s="24" t="n"/>
      <c r="L4487" s="24" t="n"/>
      <c r="M4487" s="29" t="n"/>
      <c r="N4487" s="28" t="n"/>
      <c r="O4487" s="24" t="n"/>
      <c r="P4487" s="24" t="n"/>
      <c r="Q4487" s="24" t="n"/>
      <c r="R4487" s="24" t="n"/>
      <c r="S4487" s="22">
        <f>IF(AND($A4487="",$C4487=""),"",IF($A4487="","Thiếu mã đơn; ","")&amp;IF(COUNTIF($A$2:$A4487,$A4487)&gt;1,"Trùng mã đơn; ","")&amp;IF(ISNA(MATCH($C4487,DATA_MASTER!$D$2:$D$5000,0)),"SĐT chưa đăng ký hội viên; ","")&amp;IF(AND($L4487="Đã chuyển khoản",$M4487=""),"Thiếu ngày nhận CK; ",""))</f>
        <v/>
      </c>
      <c r="T4487" s="24" t="n"/>
    </row>
    <row r="4488" ht="14.25" customHeight="1" s="40">
      <c r="A4488" s="24" t="n"/>
      <c r="B4488" s="29" t="n"/>
      <c r="C4488" s="28" t="n"/>
      <c r="D4488" s="22">
        <f t="array" ref="D4488">IF($C4488="","",IFERROR(INDEX(DATA_MASTER!$C$2:$C$5000,MATCH($C4488,DATA_MASTER!$D$2:$D$5000,0)),""))</f>
        <v/>
      </c>
      <c r="E4488" s="22">
        <f t="array" ref="E4488">IF($C4488="","",IFERROR(INDEX(DATA_MASTER!$I$2:$I$5000,MATCH($C4488,DATA_MASTER!$D$2:$D$5000,0)),""))</f>
        <v/>
      </c>
      <c r="F4488" s="22">
        <f t="array" ref="F4488">IF($C4488="","",IFERROR(INDEX(DATA_MASTER!$L$2:$L$5000,MATCH($C4488,DATA_MASTER!$D$2:$D$5000,0)),""))</f>
        <v/>
      </c>
      <c r="G4488" s="24" t="n"/>
      <c r="H4488" s="24" t="n"/>
      <c r="I4488" s="30" t="n"/>
      <c r="J4488" s="23">
        <f>IF(OR($H4488="",$I4488=""),"",$H4488*$I4488)</f>
        <v/>
      </c>
      <c r="K4488" s="24" t="n"/>
      <c r="L4488" s="24" t="n"/>
      <c r="M4488" s="29" t="n"/>
      <c r="N4488" s="28" t="n"/>
      <c r="O4488" s="24" t="n"/>
      <c r="P4488" s="24" t="n"/>
      <c r="Q4488" s="24" t="n"/>
      <c r="R4488" s="24" t="n"/>
      <c r="S4488" s="22">
        <f>IF(AND($A4488="",$C4488=""),"",IF($A4488="","Thiếu mã đơn; ","")&amp;IF(COUNTIF($A$2:$A4488,$A4488)&gt;1,"Trùng mã đơn; ","")&amp;IF(ISNA(MATCH($C4488,DATA_MASTER!$D$2:$D$5000,0)),"SĐT chưa đăng ký hội viên; ","")&amp;IF(AND($L4488="Đã chuyển khoản",$M4488=""),"Thiếu ngày nhận CK; ",""))</f>
        <v/>
      </c>
      <c r="T4488" s="24" t="n"/>
    </row>
    <row r="4489" ht="14.25" customHeight="1" s="40">
      <c r="A4489" s="24" t="n"/>
      <c r="B4489" s="29" t="n"/>
      <c r="C4489" s="28" t="n"/>
      <c r="D4489" s="22">
        <f t="array" ref="D4489">IF($C4489="","",IFERROR(INDEX(DATA_MASTER!$C$2:$C$5000,MATCH($C4489,DATA_MASTER!$D$2:$D$5000,0)),""))</f>
        <v/>
      </c>
      <c r="E4489" s="22">
        <f t="array" ref="E4489">IF($C4489="","",IFERROR(INDEX(DATA_MASTER!$I$2:$I$5000,MATCH($C4489,DATA_MASTER!$D$2:$D$5000,0)),""))</f>
        <v/>
      </c>
      <c r="F4489" s="22">
        <f t="array" ref="F4489">IF($C4489="","",IFERROR(INDEX(DATA_MASTER!$L$2:$L$5000,MATCH($C4489,DATA_MASTER!$D$2:$D$5000,0)),""))</f>
        <v/>
      </c>
      <c r="G4489" s="24" t="n"/>
      <c r="H4489" s="24" t="n"/>
      <c r="I4489" s="30" t="n"/>
      <c r="J4489" s="23">
        <f>IF(OR($H4489="",$I4489=""),"",$H4489*$I4489)</f>
        <v/>
      </c>
      <c r="K4489" s="24" t="n"/>
      <c r="L4489" s="24" t="n"/>
      <c r="M4489" s="29" t="n"/>
      <c r="N4489" s="28" t="n"/>
      <c r="O4489" s="24" t="n"/>
      <c r="P4489" s="24" t="n"/>
      <c r="Q4489" s="24" t="n"/>
      <c r="R4489" s="24" t="n"/>
      <c r="S4489" s="22">
        <f>IF(AND($A4489="",$C4489=""),"",IF($A4489="","Thiếu mã đơn; ","")&amp;IF(COUNTIF($A$2:$A4489,$A4489)&gt;1,"Trùng mã đơn; ","")&amp;IF(ISNA(MATCH($C4489,DATA_MASTER!$D$2:$D$5000,0)),"SĐT chưa đăng ký hội viên; ","")&amp;IF(AND($L4489="Đã chuyển khoản",$M4489=""),"Thiếu ngày nhận CK; ",""))</f>
        <v/>
      </c>
      <c r="T4489" s="24" t="n"/>
    </row>
    <row r="4490" ht="14.25" customHeight="1" s="40">
      <c r="A4490" s="24" t="n"/>
      <c r="B4490" s="29" t="n"/>
      <c r="C4490" s="28" t="n"/>
      <c r="D4490" s="22">
        <f t="array" ref="D4490">IF($C4490="","",IFERROR(INDEX(DATA_MASTER!$C$2:$C$5000,MATCH($C4490,DATA_MASTER!$D$2:$D$5000,0)),""))</f>
        <v/>
      </c>
      <c r="E4490" s="22">
        <f t="array" ref="E4490">IF($C4490="","",IFERROR(INDEX(DATA_MASTER!$I$2:$I$5000,MATCH($C4490,DATA_MASTER!$D$2:$D$5000,0)),""))</f>
        <v/>
      </c>
      <c r="F4490" s="22">
        <f t="array" ref="F4490">IF($C4490="","",IFERROR(INDEX(DATA_MASTER!$L$2:$L$5000,MATCH($C4490,DATA_MASTER!$D$2:$D$5000,0)),""))</f>
        <v/>
      </c>
      <c r="G4490" s="24" t="n"/>
      <c r="H4490" s="24" t="n"/>
      <c r="I4490" s="30" t="n"/>
      <c r="J4490" s="23">
        <f>IF(OR($H4490="",$I4490=""),"",$H4490*$I4490)</f>
        <v/>
      </c>
      <c r="K4490" s="24" t="n"/>
      <c r="L4490" s="24" t="n"/>
      <c r="M4490" s="29" t="n"/>
      <c r="N4490" s="28" t="n"/>
      <c r="O4490" s="24" t="n"/>
      <c r="P4490" s="24" t="n"/>
      <c r="Q4490" s="24" t="n"/>
      <c r="R4490" s="24" t="n"/>
      <c r="S4490" s="22">
        <f>IF(AND($A4490="",$C4490=""),"",IF($A4490="","Thiếu mã đơn; ","")&amp;IF(COUNTIF($A$2:$A4490,$A4490)&gt;1,"Trùng mã đơn; ","")&amp;IF(ISNA(MATCH($C4490,DATA_MASTER!$D$2:$D$5000,0)),"SĐT chưa đăng ký hội viên; ","")&amp;IF(AND($L4490="Đã chuyển khoản",$M4490=""),"Thiếu ngày nhận CK; ",""))</f>
        <v/>
      </c>
      <c r="T4490" s="24" t="n"/>
    </row>
    <row r="4491" ht="14.25" customHeight="1" s="40">
      <c r="A4491" s="24" t="n"/>
      <c r="B4491" s="29" t="n"/>
      <c r="C4491" s="28" t="n"/>
      <c r="D4491" s="22">
        <f t="array" ref="D4491">IF($C4491="","",IFERROR(INDEX(DATA_MASTER!$C$2:$C$5000,MATCH($C4491,DATA_MASTER!$D$2:$D$5000,0)),""))</f>
        <v/>
      </c>
      <c r="E4491" s="22">
        <f t="array" ref="E4491">IF($C4491="","",IFERROR(INDEX(DATA_MASTER!$I$2:$I$5000,MATCH($C4491,DATA_MASTER!$D$2:$D$5000,0)),""))</f>
        <v/>
      </c>
      <c r="F4491" s="22">
        <f t="array" ref="F4491">IF($C4491="","",IFERROR(INDEX(DATA_MASTER!$L$2:$L$5000,MATCH($C4491,DATA_MASTER!$D$2:$D$5000,0)),""))</f>
        <v/>
      </c>
      <c r="G4491" s="24" t="n"/>
      <c r="H4491" s="24" t="n"/>
      <c r="I4491" s="30" t="n"/>
      <c r="J4491" s="23">
        <f>IF(OR($H4491="",$I4491=""),"",$H4491*$I4491)</f>
        <v/>
      </c>
      <c r="K4491" s="24" t="n"/>
      <c r="L4491" s="24" t="n"/>
      <c r="M4491" s="29" t="n"/>
      <c r="N4491" s="28" t="n"/>
      <c r="O4491" s="24" t="n"/>
      <c r="P4491" s="24" t="n"/>
      <c r="Q4491" s="24" t="n"/>
      <c r="R4491" s="24" t="n"/>
      <c r="S4491" s="22">
        <f>IF(AND($A4491="",$C4491=""),"",IF($A4491="","Thiếu mã đơn; ","")&amp;IF(COUNTIF($A$2:$A4491,$A4491)&gt;1,"Trùng mã đơn; ","")&amp;IF(ISNA(MATCH($C4491,DATA_MASTER!$D$2:$D$5000,0)),"SĐT chưa đăng ký hội viên; ","")&amp;IF(AND($L4491="Đã chuyển khoản",$M4491=""),"Thiếu ngày nhận CK; ",""))</f>
        <v/>
      </c>
      <c r="T4491" s="24" t="n"/>
    </row>
    <row r="4492" ht="14.25" customHeight="1" s="40">
      <c r="A4492" s="24" t="n"/>
      <c r="B4492" s="29" t="n"/>
      <c r="C4492" s="28" t="n"/>
      <c r="D4492" s="22">
        <f t="array" ref="D4492">IF($C4492="","",IFERROR(INDEX(DATA_MASTER!$C$2:$C$5000,MATCH($C4492,DATA_MASTER!$D$2:$D$5000,0)),""))</f>
        <v/>
      </c>
      <c r="E4492" s="22">
        <f t="array" ref="E4492">IF($C4492="","",IFERROR(INDEX(DATA_MASTER!$I$2:$I$5000,MATCH($C4492,DATA_MASTER!$D$2:$D$5000,0)),""))</f>
        <v/>
      </c>
      <c r="F4492" s="22">
        <f t="array" ref="F4492">IF($C4492="","",IFERROR(INDEX(DATA_MASTER!$L$2:$L$5000,MATCH($C4492,DATA_MASTER!$D$2:$D$5000,0)),""))</f>
        <v/>
      </c>
      <c r="G4492" s="24" t="n"/>
      <c r="H4492" s="24" t="n"/>
      <c r="I4492" s="30" t="n"/>
      <c r="J4492" s="23">
        <f>IF(OR($H4492="",$I4492=""),"",$H4492*$I4492)</f>
        <v/>
      </c>
      <c r="K4492" s="24" t="n"/>
      <c r="L4492" s="24" t="n"/>
      <c r="M4492" s="29" t="n"/>
      <c r="N4492" s="28" t="n"/>
      <c r="O4492" s="24" t="n"/>
      <c r="P4492" s="24" t="n"/>
      <c r="Q4492" s="24" t="n"/>
      <c r="R4492" s="24" t="n"/>
      <c r="S4492" s="22">
        <f>IF(AND($A4492="",$C4492=""),"",IF($A4492="","Thiếu mã đơn; ","")&amp;IF(COUNTIF($A$2:$A4492,$A4492)&gt;1,"Trùng mã đơn; ","")&amp;IF(ISNA(MATCH($C4492,DATA_MASTER!$D$2:$D$5000,0)),"SĐT chưa đăng ký hội viên; ","")&amp;IF(AND($L4492="Đã chuyển khoản",$M4492=""),"Thiếu ngày nhận CK; ",""))</f>
        <v/>
      </c>
      <c r="T4492" s="24" t="n"/>
    </row>
    <row r="4493" ht="14.25" customHeight="1" s="40">
      <c r="A4493" s="24" t="n"/>
      <c r="B4493" s="29" t="n"/>
      <c r="C4493" s="28" t="n"/>
      <c r="D4493" s="22">
        <f t="array" ref="D4493">IF($C4493="","",IFERROR(INDEX(DATA_MASTER!$C$2:$C$5000,MATCH($C4493,DATA_MASTER!$D$2:$D$5000,0)),""))</f>
        <v/>
      </c>
      <c r="E4493" s="22">
        <f t="array" ref="E4493">IF($C4493="","",IFERROR(INDEX(DATA_MASTER!$I$2:$I$5000,MATCH($C4493,DATA_MASTER!$D$2:$D$5000,0)),""))</f>
        <v/>
      </c>
      <c r="F4493" s="22">
        <f t="array" ref="F4493">IF($C4493="","",IFERROR(INDEX(DATA_MASTER!$L$2:$L$5000,MATCH($C4493,DATA_MASTER!$D$2:$D$5000,0)),""))</f>
        <v/>
      </c>
      <c r="G4493" s="24" t="n"/>
      <c r="H4493" s="24" t="n"/>
      <c r="I4493" s="30" t="n"/>
      <c r="J4493" s="23">
        <f>IF(OR($H4493="",$I4493=""),"",$H4493*$I4493)</f>
        <v/>
      </c>
      <c r="K4493" s="24" t="n"/>
      <c r="L4493" s="24" t="n"/>
      <c r="M4493" s="29" t="n"/>
      <c r="N4493" s="28" t="n"/>
      <c r="O4493" s="24" t="n"/>
      <c r="P4493" s="24" t="n"/>
      <c r="Q4493" s="24" t="n"/>
      <c r="R4493" s="24" t="n"/>
      <c r="S4493" s="22">
        <f>IF(AND($A4493="",$C4493=""),"",IF($A4493="","Thiếu mã đơn; ","")&amp;IF(COUNTIF($A$2:$A4493,$A4493)&gt;1,"Trùng mã đơn; ","")&amp;IF(ISNA(MATCH($C4493,DATA_MASTER!$D$2:$D$5000,0)),"SĐT chưa đăng ký hội viên; ","")&amp;IF(AND($L4493="Đã chuyển khoản",$M4493=""),"Thiếu ngày nhận CK; ",""))</f>
        <v/>
      </c>
      <c r="T4493" s="24" t="n"/>
    </row>
    <row r="4494" ht="14.25" customHeight="1" s="40">
      <c r="A4494" s="24" t="n"/>
      <c r="B4494" s="29" t="n"/>
      <c r="C4494" s="28" t="n"/>
      <c r="D4494" s="22">
        <f t="array" ref="D4494">IF($C4494="","",IFERROR(INDEX(DATA_MASTER!$C$2:$C$5000,MATCH($C4494,DATA_MASTER!$D$2:$D$5000,0)),""))</f>
        <v/>
      </c>
      <c r="E4494" s="22">
        <f t="array" ref="E4494">IF($C4494="","",IFERROR(INDEX(DATA_MASTER!$I$2:$I$5000,MATCH($C4494,DATA_MASTER!$D$2:$D$5000,0)),""))</f>
        <v/>
      </c>
      <c r="F4494" s="22">
        <f t="array" ref="F4494">IF($C4494="","",IFERROR(INDEX(DATA_MASTER!$L$2:$L$5000,MATCH($C4494,DATA_MASTER!$D$2:$D$5000,0)),""))</f>
        <v/>
      </c>
      <c r="G4494" s="24" t="n"/>
      <c r="H4494" s="24" t="n"/>
      <c r="I4494" s="30" t="n"/>
      <c r="J4494" s="23">
        <f>IF(OR($H4494="",$I4494=""),"",$H4494*$I4494)</f>
        <v/>
      </c>
      <c r="K4494" s="24" t="n"/>
      <c r="L4494" s="24" t="n"/>
      <c r="M4494" s="29" t="n"/>
      <c r="N4494" s="28" t="n"/>
      <c r="O4494" s="24" t="n"/>
      <c r="P4494" s="24" t="n"/>
      <c r="Q4494" s="24" t="n"/>
      <c r="R4494" s="24" t="n"/>
      <c r="S4494" s="22">
        <f>IF(AND($A4494="",$C4494=""),"",IF($A4494="","Thiếu mã đơn; ","")&amp;IF(COUNTIF($A$2:$A4494,$A4494)&gt;1,"Trùng mã đơn; ","")&amp;IF(ISNA(MATCH($C4494,DATA_MASTER!$D$2:$D$5000,0)),"SĐT chưa đăng ký hội viên; ","")&amp;IF(AND($L4494="Đã chuyển khoản",$M4494=""),"Thiếu ngày nhận CK; ",""))</f>
        <v/>
      </c>
      <c r="T4494" s="24" t="n"/>
    </row>
    <row r="4495" ht="14.25" customHeight="1" s="40">
      <c r="A4495" s="24" t="n"/>
      <c r="B4495" s="29" t="n"/>
      <c r="C4495" s="28" t="n"/>
      <c r="D4495" s="22">
        <f t="array" ref="D4495">IF($C4495="","",IFERROR(INDEX(DATA_MASTER!$C$2:$C$5000,MATCH($C4495,DATA_MASTER!$D$2:$D$5000,0)),""))</f>
        <v/>
      </c>
      <c r="E4495" s="22">
        <f t="array" ref="E4495">IF($C4495="","",IFERROR(INDEX(DATA_MASTER!$I$2:$I$5000,MATCH($C4495,DATA_MASTER!$D$2:$D$5000,0)),""))</f>
        <v/>
      </c>
      <c r="F4495" s="22">
        <f t="array" ref="F4495">IF($C4495="","",IFERROR(INDEX(DATA_MASTER!$L$2:$L$5000,MATCH($C4495,DATA_MASTER!$D$2:$D$5000,0)),""))</f>
        <v/>
      </c>
      <c r="G4495" s="24" t="n"/>
      <c r="H4495" s="24" t="n"/>
      <c r="I4495" s="30" t="n"/>
      <c r="J4495" s="23">
        <f>IF(OR($H4495="",$I4495=""),"",$H4495*$I4495)</f>
        <v/>
      </c>
      <c r="K4495" s="24" t="n"/>
      <c r="L4495" s="24" t="n"/>
      <c r="M4495" s="29" t="n"/>
      <c r="N4495" s="28" t="n"/>
      <c r="O4495" s="24" t="n"/>
      <c r="P4495" s="24" t="n"/>
      <c r="Q4495" s="24" t="n"/>
      <c r="R4495" s="24" t="n"/>
      <c r="S4495" s="22">
        <f>IF(AND($A4495="",$C4495=""),"",IF($A4495="","Thiếu mã đơn; ","")&amp;IF(COUNTIF($A$2:$A4495,$A4495)&gt;1,"Trùng mã đơn; ","")&amp;IF(ISNA(MATCH($C4495,DATA_MASTER!$D$2:$D$5000,0)),"SĐT chưa đăng ký hội viên; ","")&amp;IF(AND($L4495="Đã chuyển khoản",$M4495=""),"Thiếu ngày nhận CK; ",""))</f>
        <v/>
      </c>
      <c r="T4495" s="24" t="n"/>
    </row>
    <row r="4496" ht="14.25" customHeight="1" s="40">
      <c r="A4496" s="24" t="n"/>
      <c r="B4496" s="29" t="n"/>
      <c r="C4496" s="28" t="n"/>
      <c r="D4496" s="22">
        <f t="array" ref="D4496">IF($C4496="","",IFERROR(INDEX(DATA_MASTER!$C$2:$C$5000,MATCH($C4496,DATA_MASTER!$D$2:$D$5000,0)),""))</f>
        <v/>
      </c>
      <c r="E4496" s="22">
        <f t="array" ref="E4496">IF($C4496="","",IFERROR(INDEX(DATA_MASTER!$I$2:$I$5000,MATCH($C4496,DATA_MASTER!$D$2:$D$5000,0)),""))</f>
        <v/>
      </c>
      <c r="F4496" s="22">
        <f t="array" ref="F4496">IF($C4496="","",IFERROR(INDEX(DATA_MASTER!$L$2:$L$5000,MATCH($C4496,DATA_MASTER!$D$2:$D$5000,0)),""))</f>
        <v/>
      </c>
      <c r="G4496" s="24" t="n"/>
      <c r="H4496" s="24" t="n"/>
      <c r="I4496" s="30" t="n"/>
      <c r="J4496" s="23">
        <f>IF(OR($H4496="",$I4496=""),"",$H4496*$I4496)</f>
        <v/>
      </c>
      <c r="K4496" s="24" t="n"/>
      <c r="L4496" s="24" t="n"/>
      <c r="M4496" s="29" t="n"/>
      <c r="N4496" s="28" t="n"/>
      <c r="O4496" s="24" t="n"/>
      <c r="P4496" s="24" t="n"/>
      <c r="Q4496" s="24" t="n"/>
      <c r="R4496" s="24" t="n"/>
      <c r="S4496" s="22">
        <f>IF(AND($A4496="",$C4496=""),"",IF($A4496="","Thiếu mã đơn; ","")&amp;IF(COUNTIF($A$2:$A4496,$A4496)&gt;1,"Trùng mã đơn; ","")&amp;IF(ISNA(MATCH($C4496,DATA_MASTER!$D$2:$D$5000,0)),"SĐT chưa đăng ký hội viên; ","")&amp;IF(AND($L4496="Đã chuyển khoản",$M4496=""),"Thiếu ngày nhận CK; ",""))</f>
        <v/>
      </c>
      <c r="T4496" s="24" t="n"/>
    </row>
    <row r="4497" ht="14.25" customHeight="1" s="40">
      <c r="A4497" s="24" t="n"/>
      <c r="B4497" s="29" t="n"/>
      <c r="C4497" s="28" t="n"/>
      <c r="D4497" s="22">
        <f t="array" ref="D4497">IF($C4497="","",IFERROR(INDEX(DATA_MASTER!$C$2:$C$5000,MATCH($C4497,DATA_MASTER!$D$2:$D$5000,0)),""))</f>
        <v/>
      </c>
      <c r="E4497" s="22">
        <f t="array" ref="E4497">IF($C4497="","",IFERROR(INDEX(DATA_MASTER!$I$2:$I$5000,MATCH($C4497,DATA_MASTER!$D$2:$D$5000,0)),""))</f>
        <v/>
      </c>
      <c r="F4497" s="22">
        <f t="array" ref="F4497">IF($C4497="","",IFERROR(INDEX(DATA_MASTER!$L$2:$L$5000,MATCH($C4497,DATA_MASTER!$D$2:$D$5000,0)),""))</f>
        <v/>
      </c>
      <c r="G4497" s="24" t="n"/>
      <c r="H4497" s="24" t="n"/>
      <c r="I4497" s="30" t="n"/>
      <c r="J4497" s="23">
        <f>IF(OR($H4497="",$I4497=""),"",$H4497*$I4497)</f>
        <v/>
      </c>
      <c r="K4497" s="24" t="n"/>
      <c r="L4497" s="24" t="n"/>
      <c r="M4497" s="29" t="n"/>
      <c r="N4497" s="28" t="n"/>
      <c r="O4497" s="24" t="n"/>
      <c r="P4497" s="24" t="n"/>
      <c r="Q4497" s="24" t="n"/>
      <c r="R4497" s="24" t="n"/>
      <c r="S4497" s="22">
        <f>IF(AND($A4497="",$C4497=""),"",IF($A4497="","Thiếu mã đơn; ","")&amp;IF(COUNTIF($A$2:$A4497,$A4497)&gt;1,"Trùng mã đơn; ","")&amp;IF(ISNA(MATCH($C4497,DATA_MASTER!$D$2:$D$5000,0)),"SĐT chưa đăng ký hội viên; ","")&amp;IF(AND($L4497="Đã chuyển khoản",$M4497=""),"Thiếu ngày nhận CK; ",""))</f>
        <v/>
      </c>
      <c r="T4497" s="24" t="n"/>
    </row>
    <row r="4498" ht="14.25" customHeight="1" s="40">
      <c r="A4498" s="24" t="n"/>
      <c r="B4498" s="29" t="n"/>
      <c r="C4498" s="28" t="n"/>
      <c r="D4498" s="22">
        <f t="array" ref="D4498">IF($C4498="","",IFERROR(INDEX(DATA_MASTER!$C$2:$C$5000,MATCH($C4498,DATA_MASTER!$D$2:$D$5000,0)),""))</f>
        <v/>
      </c>
      <c r="E4498" s="22">
        <f t="array" ref="E4498">IF($C4498="","",IFERROR(INDEX(DATA_MASTER!$I$2:$I$5000,MATCH($C4498,DATA_MASTER!$D$2:$D$5000,0)),""))</f>
        <v/>
      </c>
      <c r="F4498" s="22">
        <f t="array" ref="F4498">IF($C4498="","",IFERROR(INDEX(DATA_MASTER!$L$2:$L$5000,MATCH($C4498,DATA_MASTER!$D$2:$D$5000,0)),""))</f>
        <v/>
      </c>
      <c r="G4498" s="24" t="n"/>
      <c r="H4498" s="24" t="n"/>
      <c r="I4498" s="30" t="n"/>
      <c r="J4498" s="23">
        <f>IF(OR($H4498="",$I4498=""),"",$H4498*$I4498)</f>
        <v/>
      </c>
      <c r="K4498" s="24" t="n"/>
      <c r="L4498" s="24" t="n"/>
      <c r="M4498" s="29" t="n"/>
      <c r="N4498" s="28" t="n"/>
      <c r="O4498" s="24" t="n"/>
      <c r="P4498" s="24" t="n"/>
      <c r="Q4498" s="24" t="n"/>
      <c r="R4498" s="24" t="n"/>
      <c r="S4498" s="22">
        <f>IF(AND($A4498="",$C4498=""),"",IF($A4498="","Thiếu mã đơn; ","")&amp;IF(COUNTIF($A$2:$A4498,$A4498)&gt;1,"Trùng mã đơn; ","")&amp;IF(ISNA(MATCH($C4498,DATA_MASTER!$D$2:$D$5000,0)),"SĐT chưa đăng ký hội viên; ","")&amp;IF(AND($L4498="Đã chuyển khoản",$M4498=""),"Thiếu ngày nhận CK; ",""))</f>
        <v/>
      </c>
      <c r="T4498" s="24" t="n"/>
    </row>
    <row r="4499" ht="14.25" customHeight="1" s="40">
      <c r="A4499" s="24" t="n"/>
      <c r="B4499" s="29" t="n"/>
      <c r="C4499" s="28" t="n"/>
      <c r="D4499" s="22">
        <f t="array" ref="D4499">IF($C4499="","",IFERROR(INDEX(DATA_MASTER!$C$2:$C$5000,MATCH($C4499,DATA_MASTER!$D$2:$D$5000,0)),""))</f>
        <v/>
      </c>
      <c r="E4499" s="22">
        <f t="array" ref="E4499">IF($C4499="","",IFERROR(INDEX(DATA_MASTER!$I$2:$I$5000,MATCH($C4499,DATA_MASTER!$D$2:$D$5000,0)),""))</f>
        <v/>
      </c>
      <c r="F4499" s="22">
        <f t="array" ref="F4499">IF($C4499="","",IFERROR(INDEX(DATA_MASTER!$L$2:$L$5000,MATCH($C4499,DATA_MASTER!$D$2:$D$5000,0)),""))</f>
        <v/>
      </c>
      <c r="G4499" s="24" t="n"/>
      <c r="H4499" s="24" t="n"/>
      <c r="I4499" s="30" t="n"/>
      <c r="J4499" s="23">
        <f>IF(OR($H4499="",$I4499=""),"",$H4499*$I4499)</f>
        <v/>
      </c>
      <c r="K4499" s="24" t="n"/>
      <c r="L4499" s="24" t="n"/>
      <c r="M4499" s="29" t="n"/>
      <c r="N4499" s="28" t="n"/>
      <c r="O4499" s="24" t="n"/>
      <c r="P4499" s="24" t="n"/>
      <c r="Q4499" s="24" t="n"/>
      <c r="R4499" s="24" t="n"/>
      <c r="S4499" s="22">
        <f>IF(AND($A4499="",$C4499=""),"",IF($A4499="","Thiếu mã đơn; ","")&amp;IF(COUNTIF($A$2:$A4499,$A4499)&gt;1,"Trùng mã đơn; ","")&amp;IF(ISNA(MATCH($C4499,DATA_MASTER!$D$2:$D$5000,0)),"SĐT chưa đăng ký hội viên; ","")&amp;IF(AND($L4499="Đã chuyển khoản",$M4499=""),"Thiếu ngày nhận CK; ",""))</f>
        <v/>
      </c>
      <c r="T4499" s="24" t="n"/>
    </row>
    <row r="4500" ht="14.25" customHeight="1" s="40">
      <c r="A4500" s="24" t="n"/>
      <c r="B4500" s="29" t="n"/>
      <c r="C4500" s="28" t="n"/>
      <c r="D4500" s="22">
        <f t="array" ref="D4500">IF($C4500="","",IFERROR(INDEX(DATA_MASTER!$C$2:$C$5000,MATCH($C4500,DATA_MASTER!$D$2:$D$5000,0)),""))</f>
        <v/>
      </c>
      <c r="E4500" s="22">
        <f t="array" ref="E4500">IF($C4500="","",IFERROR(INDEX(DATA_MASTER!$I$2:$I$5000,MATCH($C4500,DATA_MASTER!$D$2:$D$5000,0)),""))</f>
        <v/>
      </c>
      <c r="F4500" s="22">
        <f t="array" ref="F4500">IF($C4500="","",IFERROR(INDEX(DATA_MASTER!$L$2:$L$5000,MATCH($C4500,DATA_MASTER!$D$2:$D$5000,0)),""))</f>
        <v/>
      </c>
      <c r="G4500" s="24" t="n"/>
      <c r="H4500" s="24" t="n"/>
      <c r="I4500" s="30" t="n"/>
      <c r="J4500" s="23">
        <f>IF(OR($H4500="",$I4500=""),"",$H4500*$I4500)</f>
        <v/>
      </c>
      <c r="K4500" s="24" t="n"/>
      <c r="L4500" s="24" t="n"/>
      <c r="M4500" s="29" t="n"/>
      <c r="N4500" s="28" t="n"/>
      <c r="O4500" s="24" t="n"/>
      <c r="P4500" s="24" t="n"/>
      <c r="Q4500" s="24" t="n"/>
      <c r="R4500" s="24" t="n"/>
      <c r="S4500" s="22">
        <f>IF(AND($A4500="",$C4500=""),"",IF($A4500="","Thiếu mã đơn; ","")&amp;IF(COUNTIF($A$2:$A4500,$A4500)&gt;1,"Trùng mã đơn; ","")&amp;IF(ISNA(MATCH($C4500,DATA_MASTER!$D$2:$D$5000,0)),"SĐT chưa đăng ký hội viên; ","")&amp;IF(AND($L4500="Đã chuyển khoản",$M4500=""),"Thiếu ngày nhận CK; ",""))</f>
        <v/>
      </c>
      <c r="T4500" s="24" t="n"/>
    </row>
    <row r="4501" ht="14.25" customHeight="1" s="40">
      <c r="A4501" s="24" t="n"/>
      <c r="B4501" s="29" t="n"/>
      <c r="C4501" s="28" t="n"/>
      <c r="D4501" s="22">
        <f t="array" ref="D4501">IF($C4501="","",IFERROR(INDEX(DATA_MASTER!$C$2:$C$5000,MATCH($C4501,DATA_MASTER!$D$2:$D$5000,0)),""))</f>
        <v/>
      </c>
      <c r="E4501" s="22">
        <f t="array" ref="E4501">IF($C4501="","",IFERROR(INDEX(DATA_MASTER!$I$2:$I$5000,MATCH($C4501,DATA_MASTER!$D$2:$D$5000,0)),""))</f>
        <v/>
      </c>
      <c r="F4501" s="22">
        <f t="array" ref="F4501">IF($C4501="","",IFERROR(INDEX(DATA_MASTER!$L$2:$L$5000,MATCH($C4501,DATA_MASTER!$D$2:$D$5000,0)),""))</f>
        <v/>
      </c>
      <c r="G4501" s="24" t="n"/>
      <c r="H4501" s="24" t="n"/>
      <c r="I4501" s="30" t="n"/>
      <c r="J4501" s="23">
        <f>IF(OR($H4501="",$I4501=""),"",$H4501*$I4501)</f>
        <v/>
      </c>
      <c r="K4501" s="24" t="n"/>
      <c r="L4501" s="24" t="n"/>
      <c r="M4501" s="29" t="n"/>
      <c r="N4501" s="28" t="n"/>
      <c r="O4501" s="24" t="n"/>
      <c r="P4501" s="24" t="n"/>
      <c r="Q4501" s="24" t="n"/>
      <c r="R4501" s="24" t="n"/>
      <c r="S4501" s="22">
        <f>IF(AND($A4501="",$C4501=""),"",IF($A4501="","Thiếu mã đơn; ","")&amp;IF(COUNTIF($A$2:$A4501,$A4501)&gt;1,"Trùng mã đơn; ","")&amp;IF(ISNA(MATCH($C4501,DATA_MASTER!$D$2:$D$5000,0)),"SĐT chưa đăng ký hội viên; ","")&amp;IF(AND($L4501="Đã chuyển khoản",$M4501=""),"Thiếu ngày nhận CK; ",""))</f>
        <v/>
      </c>
      <c r="T4501" s="24" t="n"/>
    </row>
    <row r="4502" ht="14.25" customHeight="1" s="40">
      <c r="A4502" s="24" t="n"/>
      <c r="B4502" s="29" t="n"/>
      <c r="C4502" s="28" t="n"/>
      <c r="D4502" s="22">
        <f t="array" ref="D4502">IF($C4502="","",IFERROR(INDEX(DATA_MASTER!$C$2:$C$5000,MATCH($C4502,DATA_MASTER!$D$2:$D$5000,0)),""))</f>
        <v/>
      </c>
      <c r="E4502" s="22">
        <f t="array" ref="E4502">IF($C4502="","",IFERROR(INDEX(DATA_MASTER!$I$2:$I$5000,MATCH($C4502,DATA_MASTER!$D$2:$D$5000,0)),""))</f>
        <v/>
      </c>
      <c r="F4502" s="22">
        <f t="array" ref="F4502">IF($C4502="","",IFERROR(INDEX(DATA_MASTER!$L$2:$L$5000,MATCH($C4502,DATA_MASTER!$D$2:$D$5000,0)),""))</f>
        <v/>
      </c>
      <c r="G4502" s="24" t="n"/>
      <c r="H4502" s="24" t="n"/>
      <c r="I4502" s="30" t="n"/>
      <c r="J4502" s="23">
        <f>IF(OR($H4502="",$I4502=""),"",$H4502*$I4502)</f>
        <v/>
      </c>
      <c r="K4502" s="24" t="n"/>
      <c r="L4502" s="24" t="n"/>
      <c r="M4502" s="29" t="n"/>
      <c r="N4502" s="28" t="n"/>
      <c r="O4502" s="24" t="n"/>
      <c r="P4502" s="24" t="n"/>
      <c r="Q4502" s="24" t="n"/>
      <c r="R4502" s="24" t="n"/>
      <c r="S4502" s="22">
        <f>IF(AND($A4502="",$C4502=""),"",IF($A4502="","Thiếu mã đơn; ","")&amp;IF(COUNTIF($A$2:$A4502,$A4502)&gt;1,"Trùng mã đơn; ","")&amp;IF(ISNA(MATCH($C4502,DATA_MASTER!$D$2:$D$5000,0)),"SĐT chưa đăng ký hội viên; ","")&amp;IF(AND($L4502="Đã chuyển khoản",$M4502=""),"Thiếu ngày nhận CK; ",""))</f>
        <v/>
      </c>
      <c r="T4502" s="24" t="n"/>
    </row>
    <row r="4503" ht="14.25" customHeight="1" s="40">
      <c r="A4503" s="24" t="n"/>
      <c r="B4503" s="29" t="n"/>
      <c r="C4503" s="28" t="n"/>
      <c r="D4503" s="22">
        <f t="array" ref="D4503">IF($C4503="","",IFERROR(INDEX(DATA_MASTER!$C$2:$C$5000,MATCH($C4503,DATA_MASTER!$D$2:$D$5000,0)),""))</f>
        <v/>
      </c>
      <c r="E4503" s="22">
        <f t="array" ref="E4503">IF($C4503="","",IFERROR(INDEX(DATA_MASTER!$I$2:$I$5000,MATCH($C4503,DATA_MASTER!$D$2:$D$5000,0)),""))</f>
        <v/>
      </c>
      <c r="F4503" s="22">
        <f t="array" ref="F4503">IF($C4503="","",IFERROR(INDEX(DATA_MASTER!$L$2:$L$5000,MATCH($C4503,DATA_MASTER!$D$2:$D$5000,0)),""))</f>
        <v/>
      </c>
      <c r="G4503" s="24" t="n"/>
      <c r="H4503" s="24" t="n"/>
      <c r="I4503" s="30" t="n"/>
      <c r="J4503" s="23">
        <f>IF(OR($H4503="",$I4503=""),"",$H4503*$I4503)</f>
        <v/>
      </c>
      <c r="K4503" s="24" t="n"/>
      <c r="L4503" s="24" t="n"/>
      <c r="M4503" s="29" t="n"/>
      <c r="N4503" s="28" t="n"/>
      <c r="O4503" s="24" t="n"/>
      <c r="P4503" s="24" t="n"/>
      <c r="Q4503" s="24" t="n"/>
      <c r="R4503" s="24" t="n"/>
      <c r="S4503" s="22">
        <f>IF(AND($A4503="",$C4503=""),"",IF($A4503="","Thiếu mã đơn; ","")&amp;IF(COUNTIF($A$2:$A4503,$A4503)&gt;1,"Trùng mã đơn; ","")&amp;IF(ISNA(MATCH($C4503,DATA_MASTER!$D$2:$D$5000,0)),"SĐT chưa đăng ký hội viên; ","")&amp;IF(AND($L4503="Đã chuyển khoản",$M4503=""),"Thiếu ngày nhận CK; ",""))</f>
        <v/>
      </c>
      <c r="T4503" s="24" t="n"/>
    </row>
    <row r="4504" ht="14.25" customHeight="1" s="40">
      <c r="A4504" s="24" t="n"/>
      <c r="B4504" s="29" t="n"/>
      <c r="C4504" s="28" t="n"/>
      <c r="D4504" s="22">
        <f t="array" ref="D4504">IF($C4504="","",IFERROR(INDEX(DATA_MASTER!$C$2:$C$5000,MATCH($C4504,DATA_MASTER!$D$2:$D$5000,0)),""))</f>
        <v/>
      </c>
      <c r="E4504" s="22">
        <f t="array" ref="E4504">IF($C4504="","",IFERROR(INDEX(DATA_MASTER!$I$2:$I$5000,MATCH($C4504,DATA_MASTER!$D$2:$D$5000,0)),""))</f>
        <v/>
      </c>
      <c r="F4504" s="22">
        <f t="array" ref="F4504">IF($C4504="","",IFERROR(INDEX(DATA_MASTER!$L$2:$L$5000,MATCH($C4504,DATA_MASTER!$D$2:$D$5000,0)),""))</f>
        <v/>
      </c>
      <c r="G4504" s="24" t="n"/>
      <c r="H4504" s="24" t="n"/>
      <c r="I4504" s="30" t="n"/>
      <c r="J4504" s="23">
        <f>IF(OR($H4504="",$I4504=""),"",$H4504*$I4504)</f>
        <v/>
      </c>
      <c r="K4504" s="24" t="n"/>
      <c r="L4504" s="24" t="n"/>
      <c r="M4504" s="29" t="n"/>
      <c r="N4504" s="28" t="n"/>
      <c r="O4504" s="24" t="n"/>
      <c r="P4504" s="24" t="n"/>
      <c r="Q4504" s="24" t="n"/>
      <c r="R4504" s="24" t="n"/>
      <c r="S4504" s="22">
        <f>IF(AND($A4504="",$C4504=""),"",IF($A4504="","Thiếu mã đơn; ","")&amp;IF(COUNTIF($A$2:$A4504,$A4504)&gt;1,"Trùng mã đơn; ","")&amp;IF(ISNA(MATCH($C4504,DATA_MASTER!$D$2:$D$5000,0)),"SĐT chưa đăng ký hội viên; ","")&amp;IF(AND($L4504="Đã chuyển khoản",$M4504=""),"Thiếu ngày nhận CK; ",""))</f>
        <v/>
      </c>
      <c r="T4504" s="24" t="n"/>
    </row>
    <row r="4505" ht="14.25" customHeight="1" s="40">
      <c r="A4505" s="24" t="n"/>
      <c r="B4505" s="29" t="n"/>
      <c r="C4505" s="28" t="n"/>
      <c r="D4505" s="22">
        <f t="array" ref="D4505">IF($C4505="","",IFERROR(INDEX(DATA_MASTER!$C$2:$C$5000,MATCH($C4505,DATA_MASTER!$D$2:$D$5000,0)),""))</f>
        <v/>
      </c>
      <c r="E4505" s="22">
        <f t="array" ref="E4505">IF($C4505="","",IFERROR(INDEX(DATA_MASTER!$I$2:$I$5000,MATCH($C4505,DATA_MASTER!$D$2:$D$5000,0)),""))</f>
        <v/>
      </c>
      <c r="F4505" s="22">
        <f t="array" ref="F4505">IF($C4505="","",IFERROR(INDEX(DATA_MASTER!$L$2:$L$5000,MATCH($C4505,DATA_MASTER!$D$2:$D$5000,0)),""))</f>
        <v/>
      </c>
      <c r="G4505" s="24" t="n"/>
      <c r="H4505" s="24" t="n"/>
      <c r="I4505" s="30" t="n"/>
      <c r="J4505" s="23">
        <f>IF(OR($H4505="",$I4505=""),"",$H4505*$I4505)</f>
        <v/>
      </c>
      <c r="K4505" s="24" t="n"/>
      <c r="L4505" s="24" t="n"/>
      <c r="M4505" s="29" t="n"/>
      <c r="N4505" s="28" t="n"/>
      <c r="O4505" s="24" t="n"/>
      <c r="P4505" s="24" t="n"/>
      <c r="Q4505" s="24" t="n"/>
      <c r="R4505" s="24" t="n"/>
      <c r="S4505" s="22">
        <f>IF(AND($A4505="",$C4505=""),"",IF($A4505="","Thiếu mã đơn; ","")&amp;IF(COUNTIF($A$2:$A4505,$A4505)&gt;1,"Trùng mã đơn; ","")&amp;IF(ISNA(MATCH($C4505,DATA_MASTER!$D$2:$D$5000,0)),"SĐT chưa đăng ký hội viên; ","")&amp;IF(AND($L4505="Đã chuyển khoản",$M4505=""),"Thiếu ngày nhận CK; ",""))</f>
        <v/>
      </c>
      <c r="T4505" s="24" t="n"/>
    </row>
    <row r="4506" ht="14.25" customHeight="1" s="40">
      <c r="A4506" s="24" t="n"/>
      <c r="B4506" s="29" t="n"/>
      <c r="C4506" s="28" t="n"/>
      <c r="D4506" s="22">
        <f t="array" ref="D4506">IF($C4506="","",IFERROR(INDEX(DATA_MASTER!$C$2:$C$5000,MATCH($C4506,DATA_MASTER!$D$2:$D$5000,0)),""))</f>
        <v/>
      </c>
      <c r="E4506" s="22">
        <f t="array" ref="E4506">IF($C4506="","",IFERROR(INDEX(DATA_MASTER!$I$2:$I$5000,MATCH($C4506,DATA_MASTER!$D$2:$D$5000,0)),""))</f>
        <v/>
      </c>
      <c r="F4506" s="22">
        <f t="array" ref="F4506">IF($C4506="","",IFERROR(INDEX(DATA_MASTER!$L$2:$L$5000,MATCH($C4506,DATA_MASTER!$D$2:$D$5000,0)),""))</f>
        <v/>
      </c>
      <c r="G4506" s="24" t="n"/>
      <c r="H4506" s="24" t="n"/>
      <c r="I4506" s="30" t="n"/>
      <c r="J4506" s="23">
        <f>IF(OR($H4506="",$I4506=""),"",$H4506*$I4506)</f>
        <v/>
      </c>
      <c r="K4506" s="24" t="n"/>
      <c r="L4506" s="24" t="n"/>
      <c r="M4506" s="29" t="n"/>
      <c r="N4506" s="28" t="n"/>
      <c r="O4506" s="24" t="n"/>
      <c r="P4506" s="24" t="n"/>
      <c r="Q4506" s="24" t="n"/>
      <c r="R4506" s="24" t="n"/>
      <c r="S4506" s="22">
        <f>IF(AND($A4506="",$C4506=""),"",IF($A4506="","Thiếu mã đơn; ","")&amp;IF(COUNTIF($A$2:$A4506,$A4506)&gt;1,"Trùng mã đơn; ","")&amp;IF(ISNA(MATCH($C4506,DATA_MASTER!$D$2:$D$5000,0)),"SĐT chưa đăng ký hội viên; ","")&amp;IF(AND($L4506="Đã chuyển khoản",$M4506=""),"Thiếu ngày nhận CK; ",""))</f>
        <v/>
      </c>
      <c r="T4506" s="24" t="n"/>
    </row>
    <row r="4507" ht="14.25" customHeight="1" s="40">
      <c r="A4507" s="24" t="n"/>
      <c r="B4507" s="29" t="n"/>
      <c r="C4507" s="28" t="n"/>
      <c r="D4507" s="22">
        <f t="array" ref="D4507">IF($C4507="","",IFERROR(INDEX(DATA_MASTER!$C$2:$C$5000,MATCH($C4507,DATA_MASTER!$D$2:$D$5000,0)),""))</f>
        <v/>
      </c>
      <c r="E4507" s="22">
        <f t="array" ref="E4507">IF($C4507="","",IFERROR(INDEX(DATA_MASTER!$I$2:$I$5000,MATCH($C4507,DATA_MASTER!$D$2:$D$5000,0)),""))</f>
        <v/>
      </c>
      <c r="F4507" s="22">
        <f t="array" ref="F4507">IF($C4507="","",IFERROR(INDEX(DATA_MASTER!$L$2:$L$5000,MATCH($C4507,DATA_MASTER!$D$2:$D$5000,0)),""))</f>
        <v/>
      </c>
      <c r="G4507" s="24" t="n"/>
      <c r="H4507" s="24" t="n"/>
      <c r="I4507" s="30" t="n"/>
      <c r="J4507" s="23">
        <f>IF(OR($H4507="",$I4507=""),"",$H4507*$I4507)</f>
        <v/>
      </c>
      <c r="K4507" s="24" t="n"/>
      <c r="L4507" s="24" t="n"/>
      <c r="M4507" s="29" t="n"/>
      <c r="N4507" s="28" t="n"/>
      <c r="O4507" s="24" t="n"/>
      <c r="P4507" s="24" t="n"/>
      <c r="Q4507" s="24" t="n"/>
      <c r="R4507" s="24" t="n"/>
      <c r="S4507" s="22">
        <f>IF(AND($A4507="",$C4507=""),"",IF($A4507="","Thiếu mã đơn; ","")&amp;IF(COUNTIF($A$2:$A4507,$A4507)&gt;1,"Trùng mã đơn; ","")&amp;IF(ISNA(MATCH($C4507,DATA_MASTER!$D$2:$D$5000,0)),"SĐT chưa đăng ký hội viên; ","")&amp;IF(AND($L4507="Đã chuyển khoản",$M4507=""),"Thiếu ngày nhận CK; ",""))</f>
        <v/>
      </c>
      <c r="T4507" s="24" t="n"/>
    </row>
    <row r="4508" ht="14.25" customHeight="1" s="40">
      <c r="A4508" s="24" t="n"/>
      <c r="B4508" s="29" t="n"/>
      <c r="C4508" s="28" t="n"/>
      <c r="D4508" s="22">
        <f t="array" ref="D4508">IF($C4508="","",IFERROR(INDEX(DATA_MASTER!$C$2:$C$5000,MATCH($C4508,DATA_MASTER!$D$2:$D$5000,0)),""))</f>
        <v/>
      </c>
      <c r="E4508" s="22">
        <f t="array" ref="E4508">IF($C4508="","",IFERROR(INDEX(DATA_MASTER!$I$2:$I$5000,MATCH($C4508,DATA_MASTER!$D$2:$D$5000,0)),""))</f>
        <v/>
      </c>
      <c r="F4508" s="22">
        <f t="array" ref="F4508">IF($C4508="","",IFERROR(INDEX(DATA_MASTER!$L$2:$L$5000,MATCH($C4508,DATA_MASTER!$D$2:$D$5000,0)),""))</f>
        <v/>
      </c>
      <c r="G4508" s="24" t="n"/>
      <c r="H4508" s="24" t="n"/>
      <c r="I4508" s="30" t="n"/>
      <c r="J4508" s="23">
        <f>IF(OR($H4508="",$I4508=""),"",$H4508*$I4508)</f>
        <v/>
      </c>
      <c r="K4508" s="24" t="n"/>
      <c r="L4508" s="24" t="n"/>
      <c r="M4508" s="29" t="n"/>
      <c r="N4508" s="28" t="n"/>
      <c r="O4508" s="24" t="n"/>
      <c r="P4508" s="24" t="n"/>
      <c r="Q4508" s="24" t="n"/>
      <c r="R4508" s="24" t="n"/>
      <c r="S4508" s="22">
        <f>IF(AND($A4508="",$C4508=""),"",IF($A4508="","Thiếu mã đơn; ","")&amp;IF(COUNTIF($A$2:$A4508,$A4508)&gt;1,"Trùng mã đơn; ","")&amp;IF(ISNA(MATCH($C4508,DATA_MASTER!$D$2:$D$5000,0)),"SĐT chưa đăng ký hội viên; ","")&amp;IF(AND($L4508="Đã chuyển khoản",$M4508=""),"Thiếu ngày nhận CK; ",""))</f>
        <v/>
      </c>
      <c r="T4508" s="24" t="n"/>
    </row>
    <row r="4509" ht="14.25" customHeight="1" s="40">
      <c r="A4509" s="24" t="n"/>
      <c r="B4509" s="29" t="n"/>
      <c r="C4509" s="28" t="n"/>
      <c r="D4509" s="22">
        <f t="array" ref="D4509">IF($C4509="","",IFERROR(INDEX(DATA_MASTER!$C$2:$C$5000,MATCH($C4509,DATA_MASTER!$D$2:$D$5000,0)),""))</f>
        <v/>
      </c>
      <c r="E4509" s="22">
        <f t="array" ref="E4509">IF($C4509="","",IFERROR(INDEX(DATA_MASTER!$I$2:$I$5000,MATCH($C4509,DATA_MASTER!$D$2:$D$5000,0)),""))</f>
        <v/>
      </c>
      <c r="F4509" s="22">
        <f t="array" ref="F4509">IF($C4509="","",IFERROR(INDEX(DATA_MASTER!$L$2:$L$5000,MATCH($C4509,DATA_MASTER!$D$2:$D$5000,0)),""))</f>
        <v/>
      </c>
      <c r="G4509" s="24" t="n"/>
      <c r="H4509" s="24" t="n"/>
      <c r="I4509" s="30" t="n"/>
      <c r="J4509" s="23">
        <f>IF(OR($H4509="",$I4509=""),"",$H4509*$I4509)</f>
        <v/>
      </c>
      <c r="K4509" s="24" t="n"/>
      <c r="L4509" s="24" t="n"/>
      <c r="M4509" s="29" t="n"/>
      <c r="N4509" s="28" t="n"/>
      <c r="O4509" s="24" t="n"/>
      <c r="P4509" s="24" t="n"/>
      <c r="Q4509" s="24" t="n"/>
      <c r="R4509" s="24" t="n"/>
      <c r="S4509" s="22">
        <f>IF(AND($A4509="",$C4509=""),"",IF($A4509="","Thiếu mã đơn; ","")&amp;IF(COUNTIF($A$2:$A4509,$A4509)&gt;1,"Trùng mã đơn; ","")&amp;IF(ISNA(MATCH($C4509,DATA_MASTER!$D$2:$D$5000,0)),"SĐT chưa đăng ký hội viên; ","")&amp;IF(AND($L4509="Đã chuyển khoản",$M4509=""),"Thiếu ngày nhận CK; ",""))</f>
        <v/>
      </c>
      <c r="T4509" s="24" t="n"/>
    </row>
    <row r="4510" ht="14.25" customHeight="1" s="40">
      <c r="A4510" s="24" t="n"/>
      <c r="B4510" s="29" t="n"/>
      <c r="C4510" s="28" t="n"/>
      <c r="D4510" s="22">
        <f t="array" ref="D4510">IF($C4510="","",IFERROR(INDEX(DATA_MASTER!$C$2:$C$5000,MATCH($C4510,DATA_MASTER!$D$2:$D$5000,0)),""))</f>
        <v/>
      </c>
      <c r="E4510" s="22">
        <f t="array" ref="E4510">IF($C4510="","",IFERROR(INDEX(DATA_MASTER!$I$2:$I$5000,MATCH($C4510,DATA_MASTER!$D$2:$D$5000,0)),""))</f>
        <v/>
      </c>
      <c r="F4510" s="22">
        <f t="array" ref="F4510">IF($C4510="","",IFERROR(INDEX(DATA_MASTER!$L$2:$L$5000,MATCH($C4510,DATA_MASTER!$D$2:$D$5000,0)),""))</f>
        <v/>
      </c>
      <c r="G4510" s="24" t="n"/>
      <c r="H4510" s="24" t="n"/>
      <c r="I4510" s="30" t="n"/>
      <c r="J4510" s="23">
        <f>IF(OR($H4510="",$I4510=""),"",$H4510*$I4510)</f>
        <v/>
      </c>
      <c r="K4510" s="24" t="n"/>
      <c r="L4510" s="24" t="n"/>
      <c r="M4510" s="29" t="n"/>
      <c r="N4510" s="28" t="n"/>
      <c r="O4510" s="24" t="n"/>
      <c r="P4510" s="24" t="n"/>
      <c r="Q4510" s="24" t="n"/>
      <c r="R4510" s="24" t="n"/>
      <c r="S4510" s="22">
        <f>IF(AND($A4510="",$C4510=""),"",IF($A4510="","Thiếu mã đơn; ","")&amp;IF(COUNTIF($A$2:$A4510,$A4510)&gt;1,"Trùng mã đơn; ","")&amp;IF(ISNA(MATCH($C4510,DATA_MASTER!$D$2:$D$5000,0)),"SĐT chưa đăng ký hội viên; ","")&amp;IF(AND($L4510="Đã chuyển khoản",$M4510=""),"Thiếu ngày nhận CK; ",""))</f>
        <v/>
      </c>
      <c r="T4510" s="24" t="n"/>
    </row>
    <row r="4511" ht="14.25" customHeight="1" s="40">
      <c r="A4511" s="24" t="n"/>
      <c r="B4511" s="29" t="n"/>
      <c r="C4511" s="28" t="n"/>
      <c r="D4511" s="22">
        <f t="array" ref="D4511">IF($C4511="","",IFERROR(INDEX(DATA_MASTER!$C$2:$C$5000,MATCH($C4511,DATA_MASTER!$D$2:$D$5000,0)),""))</f>
        <v/>
      </c>
      <c r="E4511" s="22">
        <f t="array" ref="E4511">IF($C4511="","",IFERROR(INDEX(DATA_MASTER!$I$2:$I$5000,MATCH($C4511,DATA_MASTER!$D$2:$D$5000,0)),""))</f>
        <v/>
      </c>
      <c r="F4511" s="22">
        <f t="array" ref="F4511">IF($C4511="","",IFERROR(INDEX(DATA_MASTER!$L$2:$L$5000,MATCH($C4511,DATA_MASTER!$D$2:$D$5000,0)),""))</f>
        <v/>
      </c>
      <c r="G4511" s="24" t="n"/>
      <c r="H4511" s="24" t="n"/>
      <c r="I4511" s="30" t="n"/>
      <c r="J4511" s="23">
        <f>IF(OR($H4511="",$I4511=""),"",$H4511*$I4511)</f>
        <v/>
      </c>
      <c r="K4511" s="24" t="n"/>
      <c r="L4511" s="24" t="n"/>
      <c r="M4511" s="29" t="n"/>
      <c r="N4511" s="28" t="n"/>
      <c r="O4511" s="24" t="n"/>
      <c r="P4511" s="24" t="n"/>
      <c r="Q4511" s="24" t="n"/>
      <c r="R4511" s="24" t="n"/>
      <c r="S4511" s="22">
        <f>IF(AND($A4511="",$C4511=""),"",IF($A4511="","Thiếu mã đơn; ","")&amp;IF(COUNTIF($A$2:$A4511,$A4511)&gt;1,"Trùng mã đơn; ","")&amp;IF(ISNA(MATCH($C4511,DATA_MASTER!$D$2:$D$5000,0)),"SĐT chưa đăng ký hội viên; ","")&amp;IF(AND($L4511="Đã chuyển khoản",$M4511=""),"Thiếu ngày nhận CK; ",""))</f>
        <v/>
      </c>
      <c r="T4511" s="24" t="n"/>
    </row>
    <row r="4512" ht="14.25" customHeight="1" s="40">
      <c r="A4512" s="24" t="n"/>
      <c r="B4512" s="29" t="n"/>
      <c r="C4512" s="28" t="n"/>
      <c r="D4512" s="22">
        <f t="array" ref="D4512">IF($C4512="","",IFERROR(INDEX(DATA_MASTER!$C$2:$C$5000,MATCH($C4512,DATA_MASTER!$D$2:$D$5000,0)),""))</f>
        <v/>
      </c>
      <c r="E4512" s="22">
        <f t="array" ref="E4512">IF($C4512="","",IFERROR(INDEX(DATA_MASTER!$I$2:$I$5000,MATCH($C4512,DATA_MASTER!$D$2:$D$5000,0)),""))</f>
        <v/>
      </c>
      <c r="F4512" s="22">
        <f t="array" ref="F4512">IF($C4512="","",IFERROR(INDEX(DATA_MASTER!$L$2:$L$5000,MATCH($C4512,DATA_MASTER!$D$2:$D$5000,0)),""))</f>
        <v/>
      </c>
      <c r="G4512" s="24" t="n"/>
      <c r="H4512" s="24" t="n"/>
      <c r="I4512" s="30" t="n"/>
      <c r="J4512" s="23">
        <f>IF(OR($H4512="",$I4512=""),"",$H4512*$I4512)</f>
        <v/>
      </c>
      <c r="K4512" s="24" t="n"/>
      <c r="L4512" s="24" t="n"/>
      <c r="M4512" s="29" t="n"/>
      <c r="N4512" s="28" t="n"/>
      <c r="O4512" s="24" t="n"/>
      <c r="P4512" s="24" t="n"/>
      <c r="Q4512" s="24" t="n"/>
      <c r="R4512" s="24" t="n"/>
      <c r="S4512" s="22">
        <f>IF(AND($A4512="",$C4512=""),"",IF($A4512="","Thiếu mã đơn; ","")&amp;IF(COUNTIF($A$2:$A4512,$A4512)&gt;1,"Trùng mã đơn; ","")&amp;IF(ISNA(MATCH($C4512,DATA_MASTER!$D$2:$D$5000,0)),"SĐT chưa đăng ký hội viên; ","")&amp;IF(AND($L4512="Đã chuyển khoản",$M4512=""),"Thiếu ngày nhận CK; ",""))</f>
        <v/>
      </c>
      <c r="T4512" s="24" t="n"/>
    </row>
    <row r="4513" ht="14.25" customHeight="1" s="40">
      <c r="A4513" s="24" t="n"/>
      <c r="B4513" s="29" t="n"/>
      <c r="C4513" s="28" t="n"/>
      <c r="D4513" s="22">
        <f t="array" ref="D4513">IF($C4513="","",IFERROR(INDEX(DATA_MASTER!$C$2:$C$5000,MATCH($C4513,DATA_MASTER!$D$2:$D$5000,0)),""))</f>
        <v/>
      </c>
      <c r="E4513" s="22">
        <f t="array" ref="E4513">IF($C4513="","",IFERROR(INDEX(DATA_MASTER!$I$2:$I$5000,MATCH($C4513,DATA_MASTER!$D$2:$D$5000,0)),""))</f>
        <v/>
      </c>
      <c r="F4513" s="22">
        <f t="array" ref="F4513">IF($C4513="","",IFERROR(INDEX(DATA_MASTER!$L$2:$L$5000,MATCH($C4513,DATA_MASTER!$D$2:$D$5000,0)),""))</f>
        <v/>
      </c>
      <c r="G4513" s="24" t="n"/>
      <c r="H4513" s="24" t="n"/>
      <c r="I4513" s="30" t="n"/>
      <c r="J4513" s="23">
        <f>IF(OR($H4513="",$I4513=""),"",$H4513*$I4513)</f>
        <v/>
      </c>
      <c r="K4513" s="24" t="n"/>
      <c r="L4513" s="24" t="n"/>
      <c r="M4513" s="29" t="n"/>
      <c r="N4513" s="28" t="n"/>
      <c r="O4513" s="24" t="n"/>
      <c r="P4513" s="24" t="n"/>
      <c r="Q4513" s="24" t="n"/>
      <c r="R4513" s="24" t="n"/>
      <c r="S4513" s="22">
        <f>IF(AND($A4513="",$C4513=""),"",IF($A4513="","Thiếu mã đơn; ","")&amp;IF(COUNTIF($A$2:$A4513,$A4513)&gt;1,"Trùng mã đơn; ","")&amp;IF(ISNA(MATCH($C4513,DATA_MASTER!$D$2:$D$5000,0)),"SĐT chưa đăng ký hội viên; ","")&amp;IF(AND($L4513="Đã chuyển khoản",$M4513=""),"Thiếu ngày nhận CK; ",""))</f>
        <v/>
      </c>
      <c r="T4513" s="24" t="n"/>
    </row>
    <row r="4514" ht="14.25" customHeight="1" s="40">
      <c r="A4514" s="24" t="n"/>
      <c r="B4514" s="29" t="n"/>
      <c r="C4514" s="28" t="n"/>
      <c r="D4514" s="22">
        <f t="array" ref="D4514">IF($C4514="","",IFERROR(INDEX(DATA_MASTER!$C$2:$C$5000,MATCH($C4514,DATA_MASTER!$D$2:$D$5000,0)),""))</f>
        <v/>
      </c>
      <c r="E4514" s="22">
        <f t="array" ref="E4514">IF($C4514="","",IFERROR(INDEX(DATA_MASTER!$I$2:$I$5000,MATCH($C4514,DATA_MASTER!$D$2:$D$5000,0)),""))</f>
        <v/>
      </c>
      <c r="F4514" s="22">
        <f t="array" ref="F4514">IF($C4514="","",IFERROR(INDEX(DATA_MASTER!$L$2:$L$5000,MATCH($C4514,DATA_MASTER!$D$2:$D$5000,0)),""))</f>
        <v/>
      </c>
      <c r="G4514" s="24" t="n"/>
      <c r="H4514" s="24" t="n"/>
      <c r="I4514" s="30" t="n"/>
      <c r="J4514" s="23">
        <f>IF(OR($H4514="",$I4514=""),"",$H4514*$I4514)</f>
        <v/>
      </c>
      <c r="K4514" s="24" t="n"/>
      <c r="L4514" s="24" t="n"/>
      <c r="M4514" s="29" t="n"/>
      <c r="N4514" s="28" t="n"/>
      <c r="O4514" s="24" t="n"/>
      <c r="P4514" s="24" t="n"/>
      <c r="Q4514" s="24" t="n"/>
      <c r="R4514" s="24" t="n"/>
      <c r="S4514" s="22">
        <f>IF(AND($A4514="",$C4514=""),"",IF($A4514="","Thiếu mã đơn; ","")&amp;IF(COUNTIF($A$2:$A4514,$A4514)&gt;1,"Trùng mã đơn; ","")&amp;IF(ISNA(MATCH($C4514,DATA_MASTER!$D$2:$D$5000,0)),"SĐT chưa đăng ký hội viên; ","")&amp;IF(AND($L4514="Đã chuyển khoản",$M4514=""),"Thiếu ngày nhận CK; ",""))</f>
        <v/>
      </c>
      <c r="T4514" s="24" t="n"/>
    </row>
    <row r="4515" ht="14.25" customHeight="1" s="40">
      <c r="A4515" s="24" t="n"/>
      <c r="B4515" s="29" t="n"/>
      <c r="C4515" s="28" t="n"/>
      <c r="D4515" s="22">
        <f t="array" ref="D4515">IF($C4515="","",IFERROR(INDEX(DATA_MASTER!$C$2:$C$5000,MATCH($C4515,DATA_MASTER!$D$2:$D$5000,0)),""))</f>
        <v/>
      </c>
      <c r="E4515" s="22">
        <f t="array" ref="E4515">IF($C4515="","",IFERROR(INDEX(DATA_MASTER!$I$2:$I$5000,MATCH($C4515,DATA_MASTER!$D$2:$D$5000,0)),""))</f>
        <v/>
      </c>
      <c r="F4515" s="22">
        <f t="array" ref="F4515">IF($C4515="","",IFERROR(INDEX(DATA_MASTER!$L$2:$L$5000,MATCH($C4515,DATA_MASTER!$D$2:$D$5000,0)),""))</f>
        <v/>
      </c>
      <c r="G4515" s="24" t="n"/>
      <c r="H4515" s="24" t="n"/>
      <c r="I4515" s="30" t="n"/>
      <c r="J4515" s="23">
        <f>IF(OR($H4515="",$I4515=""),"",$H4515*$I4515)</f>
        <v/>
      </c>
      <c r="K4515" s="24" t="n"/>
      <c r="L4515" s="24" t="n"/>
      <c r="M4515" s="29" t="n"/>
      <c r="N4515" s="28" t="n"/>
      <c r="O4515" s="24" t="n"/>
      <c r="P4515" s="24" t="n"/>
      <c r="Q4515" s="24" t="n"/>
      <c r="R4515" s="24" t="n"/>
      <c r="S4515" s="22">
        <f>IF(AND($A4515="",$C4515=""),"",IF($A4515="","Thiếu mã đơn; ","")&amp;IF(COUNTIF($A$2:$A4515,$A4515)&gt;1,"Trùng mã đơn; ","")&amp;IF(ISNA(MATCH($C4515,DATA_MASTER!$D$2:$D$5000,0)),"SĐT chưa đăng ký hội viên; ","")&amp;IF(AND($L4515="Đã chuyển khoản",$M4515=""),"Thiếu ngày nhận CK; ",""))</f>
        <v/>
      </c>
      <c r="T4515" s="24" t="n"/>
    </row>
    <row r="4516" ht="14.25" customHeight="1" s="40">
      <c r="A4516" s="24" t="n"/>
      <c r="B4516" s="29" t="n"/>
      <c r="C4516" s="28" t="n"/>
      <c r="D4516" s="22">
        <f t="array" ref="D4516">IF($C4516="","",IFERROR(INDEX(DATA_MASTER!$C$2:$C$5000,MATCH($C4516,DATA_MASTER!$D$2:$D$5000,0)),""))</f>
        <v/>
      </c>
      <c r="E4516" s="22">
        <f t="array" ref="E4516">IF($C4516="","",IFERROR(INDEX(DATA_MASTER!$I$2:$I$5000,MATCH($C4516,DATA_MASTER!$D$2:$D$5000,0)),""))</f>
        <v/>
      </c>
      <c r="F4516" s="22">
        <f t="array" ref="F4516">IF($C4516="","",IFERROR(INDEX(DATA_MASTER!$L$2:$L$5000,MATCH($C4516,DATA_MASTER!$D$2:$D$5000,0)),""))</f>
        <v/>
      </c>
      <c r="G4516" s="24" t="n"/>
      <c r="H4516" s="24" t="n"/>
      <c r="I4516" s="30" t="n"/>
      <c r="J4516" s="23">
        <f>IF(OR($H4516="",$I4516=""),"",$H4516*$I4516)</f>
        <v/>
      </c>
      <c r="K4516" s="24" t="n"/>
      <c r="L4516" s="24" t="n"/>
      <c r="M4516" s="29" t="n"/>
      <c r="N4516" s="28" t="n"/>
      <c r="O4516" s="24" t="n"/>
      <c r="P4516" s="24" t="n"/>
      <c r="Q4516" s="24" t="n"/>
      <c r="R4516" s="24" t="n"/>
      <c r="S4516" s="22">
        <f>IF(AND($A4516="",$C4516=""),"",IF($A4516="","Thiếu mã đơn; ","")&amp;IF(COUNTIF($A$2:$A4516,$A4516)&gt;1,"Trùng mã đơn; ","")&amp;IF(ISNA(MATCH($C4516,DATA_MASTER!$D$2:$D$5000,0)),"SĐT chưa đăng ký hội viên; ","")&amp;IF(AND($L4516="Đã chuyển khoản",$M4516=""),"Thiếu ngày nhận CK; ",""))</f>
        <v/>
      </c>
      <c r="T4516" s="24" t="n"/>
    </row>
    <row r="4517" ht="14.25" customHeight="1" s="40">
      <c r="A4517" s="24" t="n"/>
      <c r="B4517" s="29" t="n"/>
      <c r="C4517" s="28" t="n"/>
      <c r="D4517" s="22">
        <f t="array" ref="D4517">IF($C4517="","",IFERROR(INDEX(DATA_MASTER!$C$2:$C$5000,MATCH($C4517,DATA_MASTER!$D$2:$D$5000,0)),""))</f>
        <v/>
      </c>
      <c r="E4517" s="22">
        <f t="array" ref="E4517">IF($C4517="","",IFERROR(INDEX(DATA_MASTER!$I$2:$I$5000,MATCH($C4517,DATA_MASTER!$D$2:$D$5000,0)),""))</f>
        <v/>
      </c>
      <c r="F4517" s="22">
        <f t="array" ref="F4517">IF($C4517="","",IFERROR(INDEX(DATA_MASTER!$L$2:$L$5000,MATCH($C4517,DATA_MASTER!$D$2:$D$5000,0)),""))</f>
        <v/>
      </c>
      <c r="G4517" s="24" t="n"/>
      <c r="H4517" s="24" t="n"/>
      <c r="I4517" s="30" t="n"/>
      <c r="J4517" s="23">
        <f>IF(OR($H4517="",$I4517=""),"",$H4517*$I4517)</f>
        <v/>
      </c>
      <c r="K4517" s="24" t="n"/>
      <c r="L4517" s="24" t="n"/>
      <c r="M4517" s="29" t="n"/>
      <c r="N4517" s="28" t="n"/>
      <c r="O4517" s="24" t="n"/>
      <c r="P4517" s="24" t="n"/>
      <c r="Q4517" s="24" t="n"/>
      <c r="R4517" s="24" t="n"/>
      <c r="S4517" s="22">
        <f>IF(AND($A4517="",$C4517=""),"",IF($A4517="","Thiếu mã đơn; ","")&amp;IF(COUNTIF($A$2:$A4517,$A4517)&gt;1,"Trùng mã đơn; ","")&amp;IF(ISNA(MATCH($C4517,DATA_MASTER!$D$2:$D$5000,0)),"SĐT chưa đăng ký hội viên; ","")&amp;IF(AND($L4517="Đã chuyển khoản",$M4517=""),"Thiếu ngày nhận CK; ",""))</f>
        <v/>
      </c>
      <c r="T4517" s="24" t="n"/>
    </row>
    <row r="4518" ht="14.25" customHeight="1" s="40">
      <c r="A4518" s="24" t="n"/>
      <c r="B4518" s="29" t="n"/>
      <c r="C4518" s="28" t="n"/>
      <c r="D4518" s="22">
        <f t="array" ref="D4518">IF($C4518="","",IFERROR(INDEX(DATA_MASTER!$C$2:$C$5000,MATCH($C4518,DATA_MASTER!$D$2:$D$5000,0)),""))</f>
        <v/>
      </c>
      <c r="E4518" s="22">
        <f t="array" ref="E4518">IF($C4518="","",IFERROR(INDEX(DATA_MASTER!$I$2:$I$5000,MATCH($C4518,DATA_MASTER!$D$2:$D$5000,0)),""))</f>
        <v/>
      </c>
      <c r="F4518" s="22">
        <f t="array" ref="F4518">IF($C4518="","",IFERROR(INDEX(DATA_MASTER!$L$2:$L$5000,MATCH($C4518,DATA_MASTER!$D$2:$D$5000,0)),""))</f>
        <v/>
      </c>
      <c r="G4518" s="24" t="n"/>
      <c r="H4518" s="24" t="n"/>
      <c r="I4518" s="30" t="n"/>
      <c r="J4518" s="23">
        <f>IF(OR($H4518="",$I4518=""),"",$H4518*$I4518)</f>
        <v/>
      </c>
      <c r="K4518" s="24" t="n"/>
      <c r="L4518" s="24" t="n"/>
      <c r="M4518" s="29" t="n"/>
      <c r="N4518" s="28" t="n"/>
      <c r="O4518" s="24" t="n"/>
      <c r="P4518" s="24" t="n"/>
      <c r="Q4518" s="24" t="n"/>
      <c r="R4518" s="24" t="n"/>
      <c r="S4518" s="22">
        <f>IF(AND($A4518="",$C4518=""),"",IF($A4518="","Thiếu mã đơn; ","")&amp;IF(COUNTIF($A$2:$A4518,$A4518)&gt;1,"Trùng mã đơn; ","")&amp;IF(ISNA(MATCH($C4518,DATA_MASTER!$D$2:$D$5000,0)),"SĐT chưa đăng ký hội viên; ","")&amp;IF(AND($L4518="Đã chuyển khoản",$M4518=""),"Thiếu ngày nhận CK; ",""))</f>
        <v/>
      </c>
      <c r="T4518" s="24" t="n"/>
    </row>
    <row r="4519" ht="14.25" customHeight="1" s="40">
      <c r="A4519" s="24" t="n"/>
      <c r="B4519" s="29" t="n"/>
      <c r="C4519" s="28" t="n"/>
      <c r="D4519" s="22">
        <f t="array" ref="D4519">IF($C4519="","",IFERROR(INDEX(DATA_MASTER!$C$2:$C$5000,MATCH($C4519,DATA_MASTER!$D$2:$D$5000,0)),""))</f>
        <v/>
      </c>
      <c r="E4519" s="22">
        <f t="array" ref="E4519">IF($C4519="","",IFERROR(INDEX(DATA_MASTER!$I$2:$I$5000,MATCH($C4519,DATA_MASTER!$D$2:$D$5000,0)),""))</f>
        <v/>
      </c>
      <c r="F4519" s="22">
        <f t="array" ref="F4519">IF($C4519="","",IFERROR(INDEX(DATA_MASTER!$L$2:$L$5000,MATCH($C4519,DATA_MASTER!$D$2:$D$5000,0)),""))</f>
        <v/>
      </c>
      <c r="G4519" s="24" t="n"/>
      <c r="H4519" s="24" t="n"/>
      <c r="I4519" s="30" t="n"/>
      <c r="J4519" s="23">
        <f>IF(OR($H4519="",$I4519=""),"",$H4519*$I4519)</f>
        <v/>
      </c>
      <c r="K4519" s="24" t="n"/>
      <c r="L4519" s="24" t="n"/>
      <c r="M4519" s="29" t="n"/>
      <c r="N4519" s="28" t="n"/>
      <c r="O4519" s="24" t="n"/>
      <c r="P4519" s="24" t="n"/>
      <c r="Q4519" s="24" t="n"/>
      <c r="R4519" s="24" t="n"/>
      <c r="S4519" s="22">
        <f>IF(AND($A4519="",$C4519=""),"",IF($A4519="","Thiếu mã đơn; ","")&amp;IF(COUNTIF($A$2:$A4519,$A4519)&gt;1,"Trùng mã đơn; ","")&amp;IF(ISNA(MATCH($C4519,DATA_MASTER!$D$2:$D$5000,0)),"SĐT chưa đăng ký hội viên; ","")&amp;IF(AND($L4519="Đã chuyển khoản",$M4519=""),"Thiếu ngày nhận CK; ",""))</f>
        <v/>
      </c>
      <c r="T4519" s="24" t="n"/>
    </row>
    <row r="4520" ht="14.25" customHeight="1" s="40">
      <c r="A4520" s="24" t="n"/>
      <c r="B4520" s="29" t="n"/>
      <c r="C4520" s="28" t="n"/>
      <c r="D4520" s="22">
        <f t="array" ref="D4520">IF($C4520="","",IFERROR(INDEX(DATA_MASTER!$C$2:$C$5000,MATCH($C4520,DATA_MASTER!$D$2:$D$5000,0)),""))</f>
        <v/>
      </c>
      <c r="E4520" s="22">
        <f t="array" ref="E4520">IF($C4520="","",IFERROR(INDEX(DATA_MASTER!$I$2:$I$5000,MATCH($C4520,DATA_MASTER!$D$2:$D$5000,0)),""))</f>
        <v/>
      </c>
      <c r="F4520" s="22">
        <f t="array" ref="F4520">IF($C4520="","",IFERROR(INDEX(DATA_MASTER!$L$2:$L$5000,MATCH($C4520,DATA_MASTER!$D$2:$D$5000,0)),""))</f>
        <v/>
      </c>
      <c r="G4520" s="24" t="n"/>
      <c r="H4520" s="24" t="n"/>
      <c r="I4520" s="30" t="n"/>
      <c r="J4520" s="23">
        <f>IF(OR($H4520="",$I4520=""),"",$H4520*$I4520)</f>
        <v/>
      </c>
      <c r="K4520" s="24" t="n"/>
      <c r="L4520" s="24" t="n"/>
      <c r="M4520" s="29" t="n"/>
      <c r="N4520" s="28" t="n"/>
      <c r="O4520" s="24" t="n"/>
      <c r="P4520" s="24" t="n"/>
      <c r="Q4520" s="24" t="n"/>
      <c r="R4520" s="24" t="n"/>
      <c r="S4520" s="22">
        <f>IF(AND($A4520="",$C4520=""),"",IF($A4520="","Thiếu mã đơn; ","")&amp;IF(COUNTIF($A$2:$A4520,$A4520)&gt;1,"Trùng mã đơn; ","")&amp;IF(ISNA(MATCH($C4520,DATA_MASTER!$D$2:$D$5000,0)),"SĐT chưa đăng ký hội viên; ","")&amp;IF(AND($L4520="Đã chuyển khoản",$M4520=""),"Thiếu ngày nhận CK; ",""))</f>
        <v/>
      </c>
      <c r="T4520" s="24" t="n"/>
    </row>
    <row r="4521" ht="14.25" customHeight="1" s="40">
      <c r="A4521" s="24" t="n"/>
      <c r="B4521" s="29" t="n"/>
      <c r="C4521" s="28" t="n"/>
      <c r="D4521" s="22">
        <f t="array" ref="D4521">IF($C4521="","",IFERROR(INDEX(DATA_MASTER!$C$2:$C$5000,MATCH($C4521,DATA_MASTER!$D$2:$D$5000,0)),""))</f>
        <v/>
      </c>
      <c r="E4521" s="22">
        <f t="array" ref="E4521">IF($C4521="","",IFERROR(INDEX(DATA_MASTER!$I$2:$I$5000,MATCH($C4521,DATA_MASTER!$D$2:$D$5000,0)),""))</f>
        <v/>
      </c>
      <c r="F4521" s="22">
        <f t="array" ref="F4521">IF($C4521="","",IFERROR(INDEX(DATA_MASTER!$L$2:$L$5000,MATCH($C4521,DATA_MASTER!$D$2:$D$5000,0)),""))</f>
        <v/>
      </c>
      <c r="G4521" s="24" t="n"/>
      <c r="H4521" s="24" t="n"/>
      <c r="I4521" s="30" t="n"/>
      <c r="J4521" s="23">
        <f>IF(OR($H4521="",$I4521=""),"",$H4521*$I4521)</f>
        <v/>
      </c>
      <c r="K4521" s="24" t="n"/>
      <c r="L4521" s="24" t="n"/>
      <c r="M4521" s="29" t="n"/>
      <c r="N4521" s="28" t="n"/>
      <c r="O4521" s="24" t="n"/>
      <c r="P4521" s="24" t="n"/>
      <c r="Q4521" s="24" t="n"/>
      <c r="R4521" s="24" t="n"/>
      <c r="S4521" s="22">
        <f>IF(AND($A4521="",$C4521=""),"",IF($A4521="","Thiếu mã đơn; ","")&amp;IF(COUNTIF($A$2:$A4521,$A4521)&gt;1,"Trùng mã đơn; ","")&amp;IF(ISNA(MATCH($C4521,DATA_MASTER!$D$2:$D$5000,0)),"SĐT chưa đăng ký hội viên; ","")&amp;IF(AND($L4521="Đã chuyển khoản",$M4521=""),"Thiếu ngày nhận CK; ",""))</f>
        <v/>
      </c>
      <c r="T4521" s="24" t="n"/>
    </row>
    <row r="4522" ht="14.25" customHeight="1" s="40">
      <c r="A4522" s="24" t="n"/>
      <c r="B4522" s="29" t="n"/>
      <c r="C4522" s="28" t="n"/>
      <c r="D4522" s="22">
        <f t="array" ref="D4522">IF($C4522="","",IFERROR(INDEX(DATA_MASTER!$C$2:$C$5000,MATCH($C4522,DATA_MASTER!$D$2:$D$5000,0)),""))</f>
        <v/>
      </c>
      <c r="E4522" s="22">
        <f t="array" ref="E4522">IF($C4522="","",IFERROR(INDEX(DATA_MASTER!$I$2:$I$5000,MATCH($C4522,DATA_MASTER!$D$2:$D$5000,0)),""))</f>
        <v/>
      </c>
      <c r="F4522" s="22">
        <f t="array" ref="F4522">IF($C4522="","",IFERROR(INDEX(DATA_MASTER!$L$2:$L$5000,MATCH($C4522,DATA_MASTER!$D$2:$D$5000,0)),""))</f>
        <v/>
      </c>
      <c r="G4522" s="24" t="n"/>
      <c r="H4522" s="24" t="n"/>
      <c r="I4522" s="30" t="n"/>
      <c r="J4522" s="23">
        <f>IF(OR($H4522="",$I4522=""),"",$H4522*$I4522)</f>
        <v/>
      </c>
      <c r="K4522" s="24" t="n"/>
      <c r="L4522" s="24" t="n"/>
      <c r="M4522" s="29" t="n"/>
      <c r="N4522" s="28" t="n"/>
      <c r="O4522" s="24" t="n"/>
      <c r="P4522" s="24" t="n"/>
      <c r="Q4522" s="24" t="n"/>
      <c r="R4522" s="24" t="n"/>
      <c r="S4522" s="22">
        <f>IF(AND($A4522="",$C4522=""),"",IF($A4522="","Thiếu mã đơn; ","")&amp;IF(COUNTIF($A$2:$A4522,$A4522)&gt;1,"Trùng mã đơn; ","")&amp;IF(ISNA(MATCH($C4522,DATA_MASTER!$D$2:$D$5000,0)),"SĐT chưa đăng ký hội viên; ","")&amp;IF(AND($L4522="Đã chuyển khoản",$M4522=""),"Thiếu ngày nhận CK; ",""))</f>
        <v/>
      </c>
      <c r="T4522" s="24" t="n"/>
    </row>
    <row r="4523" ht="14.25" customHeight="1" s="40">
      <c r="A4523" s="24" t="n"/>
      <c r="B4523" s="29" t="n"/>
      <c r="C4523" s="28" t="n"/>
      <c r="D4523" s="22">
        <f t="array" ref="D4523">IF($C4523="","",IFERROR(INDEX(DATA_MASTER!$C$2:$C$5000,MATCH($C4523,DATA_MASTER!$D$2:$D$5000,0)),""))</f>
        <v/>
      </c>
      <c r="E4523" s="22">
        <f t="array" ref="E4523">IF($C4523="","",IFERROR(INDEX(DATA_MASTER!$I$2:$I$5000,MATCH($C4523,DATA_MASTER!$D$2:$D$5000,0)),""))</f>
        <v/>
      </c>
      <c r="F4523" s="22">
        <f t="array" ref="F4523">IF($C4523="","",IFERROR(INDEX(DATA_MASTER!$L$2:$L$5000,MATCH($C4523,DATA_MASTER!$D$2:$D$5000,0)),""))</f>
        <v/>
      </c>
      <c r="G4523" s="24" t="n"/>
      <c r="H4523" s="24" t="n"/>
      <c r="I4523" s="30" t="n"/>
      <c r="J4523" s="23">
        <f>IF(OR($H4523="",$I4523=""),"",$H4523*$I4523)</f>
        <v/>
      </c>
      <c r="K4523" s="24" t="n"/>
      <c r="L4523" s="24" t="n"/>
      <c r="M4523" s="29" t="n"/>
      <c r="N4523" s="28" t="n"/>
      <c r="O4523" s="24" t="n"/>
      <c r="P4523" s="24" t="n"/>
      <c r="Q4523" s="24" t="n"/>
      <c r="R4523" s="24" t="n"/>
      <c r="S4523" s="22">
        <f>IF(AND($A4523="",$C4523=""),"",IF($A4523="","Thiếu mã đơn; ","")&amp;IF(COUNTIF($A$2:$A4523,$A4523)&gt;1,"Trùng mã đơn; ","")&amp;IF(ISNA(MATCH($C4523,DATA_MASTER!$D$2:$D$5000,0)),"SĐT chưa đăng ký hội viên; ","")&amp;IF(AND($L4523="Đã chuyển khoản",$M4523=""),"Thiếu ngày nhận CK; ",""))</f>
        <v/>
      </c>
      <c r="T4523" s="24" t="n"/>
    </row>
    <row r="4524" ht="14.25" customHeight="1" s="40">
      <c r="A4524" s="24" t="n"/>
      <c r="B4524" s="29" t="n"/>
      <c r="C4524" s="28" t="n"/>
      <c r="D4524" s="22">
        <f t="array" ref="D4524">IF($C4524="","",IFERROR(INDEX(DATA_MASTER!$C$2:$C$5000,MATCH($C4524,DATA_MASTER!$D$2:$D$5000,0)),""))</f>
        <v/>
      </c>
      <c r="E4524" s="22">
        <f t="array" ref="E4524">IF($C4524="","",IFERROR(INDEX(DATA_MASTER!$I$2:$I$5000,MATCH($C4524,DATA_MASTER!$D$2:$D$5000,0)),""))</f>
        <v/>
      </c>
      <c r="F4524" s="22">
        <f t="array" ref="F4524">IF($C4524="","",IFERROR(INDEX(DATA_MASTER!$L$2:$L$5000,MATCH($C4524,DATA_MASTER!$D$2:$D$5000,0)),""))</f>
        <v/>
      </c>
      <c r="G4524" s="24" t="n"/>
      <c r="H4524" s="24" t="n"/>
      <c r="I4524" s="30" t="n"/>
      <c r="J4524" s="23">
        <f>IF(OR($H4524="",$I4524=""),"",$H4524*$I4524)</f>
        <v/>
      </c>
      <c r="K4524" s="24" t="n"/>
      <c r="L4524" s="24" t="n"/>
      <c r="M4524" s="29" t="n"/>
      <c r="N4524" s="28" t="n"/>
      <c r="O4524" s="24" t="n"/>
      <c r="P4524" s="24" t="n"/>
      <c r="Q4524" s="24" t="n"/>
      <c r="R4524" s="24" t="n"/>
      <c r="S4524" s="22">
        <f>IF(AND($A4524="",$C4524=""),"",IF($A4524="","Thiếu mã đơn; ","")&amp;IF(COUNTIF($A$2:$A4524,$A4524)&gt;1,"Trùng mã đơn; ","")&amp;IF(ISNA(MATCH($C4524,DATA_MASTER!$D$2:$D$5000,0)),"SĐT chưa đăng ký hội viên; ","")&amp;IF(AND($L4524="Đã chuyển khoản",$M4524=""),"Thiếu ngày nhận CK; ",""))</f>
        <v/>
      </c>
      <c r="T4524" s="24" t="n"/>
    </row>
    <row r="4525" ht="14.25" customHeight="1" s="40">
      <c r="A4525" s="24" t="n"/>
      <c r="B4525" s="29" t="n"/>
      <c r="C4525" s="28" t="n"/>
      <c r="D4525" s="22">
        <f t="array" ref="D4525">IF($C4525="","",IFERROR(INDEX(DATA_MASTER!$C$2:$C$5000,MATCH($C4525,DATA_MASTER!$D$2:$D$5000,0)),""))</f>
        <v/>
      </c>
      <c r="E4525" s="22">
        <f t="array" ref="E4525">IF($C4525="","",IFERROR(INDEX(DATA_MASTER!$I$2:$I$5000,MATCH($C4525,DATA_MASTER!$D$2:$D$5000,0)),""))</f>
        <v/>
      </c>
      <c r="F4525" s="22">
        <f t="array" ref="F4525">IF($C4525="","",IFERROR(INDEX(DATA_MASTER!$L$2:$L$5000,MATCH($C4525,DATA_MASTER!$D$2:$D$5000,0)),""))</f>
        <v/>
      </c>
      <c r="G4525" s="24" t="n"/>
      <c r="H4525" s="24" t="n"/>
      <c r="I4525" s="30" t="n"/>
      <c r="J4525" s="23">
        <f>IF(OR($H4525="",$I4525=""),"",$H4525*$I4525)</f>
        <v/>
      </c>
      <c r="K4525" s="24" t="n"/>
      <c r="L4525" s="24" t="n"/>
      <c r="M4525" s="29" t="n"/>
      <c r="N4525" s="28" t="n"/>
      <c r="O4525" s="24" t="n"/>
      <c r="P4525" s="24" t="n"/>
      <c r="Q4525" s="24" t="n"/>
      <c r="R4525" s="24" t="n"/>
      <c r="S4525" s="22">
        <f>IF(AND($A4525="",$C4525=""),"",IF($A4525="","Thiếu mã đơn; ","")&amp;IF(COUNTIF($A$2:$A4525,$A4525)&gt;1,"Trùng mã đơn; ","")&amp;IF(ISNA(MATCH($C4525,DATA_MASTER!$D$2:$D$5000,0)),"SĐT chưa đăng ký hội viên; ","")&amp;IF(AND($L4525="Đã chuyển khoản",$M4525=""),"Thiếu ngày nhận CK; ",""))</f>
        <v/>
      </c>
      <c r="T4525" s="24" t="n"/>
    </row>
    <row r="4526" ht="14.25" customHeight="1" s="40">
      <c r="A4526" s="24" t="n"/>
      <c r="B4526" s="29" t="n"/>
      <c r="C4526" s="28" t="n"/>
      <c r="D4526" s="22">
        <f t="array" ref="D4526">IF($C4526="","",IFERROR(INDEX(DATA_MASTER!$C$2:$C$5000,MATCH($C4526,DATA_MASTER!$D$2:$D$5000,0)),""))</f>
        <v/>
      </c>
      <c r="E4526" s="22">
        <f t="array" ref="E4526">IF($C4526="","",IFERROR(INDEX(DATA_MASTER!$I$2:$I$5000,MATCH($C4526,DATA_MASTER!$D$2:$D$5000,0)),""))</f>
        <v/>
      </c>
      <c r="F4526" s="22">
        <f t="array" ref="F4526">IF($C4526="","",IFERROR(INDEX(DATA_MASTER!$L$2:$L$5000,MATCH($C4526,DATA_MASTER!$D$2:$D$5000,0)),""))</f>
        <v/>
      </c>
      <c r="G4526" s="24" t="n"/>
      <c r="H4526" s="24" t="n"/>
      <c r="I4526" s="30" t="n"/>
      <c r="J4526" s="23">
        <f>IF(OR($H4526="",$I4526=""),"",$H4526*$I4526)</f>
        <v/>
      </c>
      <c r="K4526" s="24" t="n"/>
      <c r="L4526" s="24" t="n"/>
      <c r="M4526" s="29" t="n"/>
      <c r="N4526" s="28" t="n"/>
      <c r="O4526" s="24" t="n"/>
      <c r="P4526" s="24" t="n"/>
      <c r="Q4526" s="24" t="n"/>
      <c r="R4526" s="24" t="n"/>
      <c r="S4526" s="22">
        <f>IF(AND($A4526="",$C4526=""),"",IF($A4526="","Thiếu mã đơn; ","")&amp;IF(COUNTIF($A$2:$A4526,$A4526)&gt;1,"Trùng mã đơn; ","")&amp;IF(ISNA(MATCH($C4526,DATA_MASTER!$D$2:$D$5000,0)),"SĐT chưa đăng ký hội viên; ","")&amp;IF(AND($L4526="Đã chuyển khoản",$M4526=""),"Thiếu ngày nhận CK; ",""))</f>
        <v/>
      </c>
      <c r="T4526" s="24" t="n"/>
    </row>
    <row r="4527" ht="14.25" customHeight="1" s="40">
      <c r="A4527" s="24" t="n"/>
      <c r="B4527" s="29" t="n"/>
      <c r="C4527" s="28" t="n"/>
      <c r="D4527" s="22">
        <f t="array" ref="D4527">IF($C4527="","",IFERROR(INDEX(DATA_MASTER!$C$2:$C$5000,MATCH($C4527,DATA_MASTER!$D$2:$D$5000,0)),""))</f>
        <v/>
      </c>
      <c r="E4527" s="22">
        <f t="array" ref="E4527">IF($C4527="","",IFERROR(INDEX(DATA_MASTER!$I$2:$I$5000,MATCH($C4527,DATA_MASTER!$D$2:$D$5000,0)),""))</f>
        <v/>
      </c>
      <c r="F4527" s="22">
        <f t="array" ref="F4527">IF($C4527="","",IFERROR(INDEX(DATA_MASTER!$L$2:$L$5000,MATCH($C4527,DATA_MASTER!$D$2:$D$5000,0)),""))</f>
        <v/>
      </c>
      <c r="G4527" s="24" t="n"/>
      <c r="H4527" s="24" t="n"/>
      <c r="I4527" s="30" t="n"/>
      <c r="J4527" s="23">
        <f>IF(OR($H4527="",$I4527=""),"",$H4527*$I4527)</f>
        <v/>
      </c>
      <c r="K4527" s="24" t="n"/>
      <c r="L4527" s="24" t="n"/>
      <c r="M4527" s="29" t="n"/>
      <c r="N4527" s="28" t="n"/>
      <c r="O4527" s="24" t="n"/>
      <c r="P4527" s="24" t="n"/>
      <c r="Q4527" s="24" t="n"/>
      <c r="R4527" s="24" t="n"/>
      <c r="S4527" s="22">
        <f>IF(AND($A4527="",$C4527=""),"",IF($A4527="","Thiếu mã đơn; ","")&amp;IF(COUNTIF($A$2:$A4527,$A4527)&gt;1,"Trùng mã đơn; ","")&amp;IF(ISNA(MATCH($C4527,DATA_MASTER!$D$2:$D$5000,0)),"SĐT chưa đăng ký hội viên; ","")&amp;IF(AND($L4527="Đã chuyển khoản",$M4527=""),"Thiếu ngày nhận CK; ",""))</f>
        <v/>
      </c>
      <c r="T4527" s="24" t="n"/>
    </row>
    <row r="4528" ht="14.25" customHeight="1" s="40">
      <c r="A4528" s="24" t="n"/>
      <c r="B4528" s="29" t="n"/>
      <c r="C4528" s="28" t="n"/>
      <c r="D4528" s="22">
        <f t="array" ref="D4528">IF($C4528="","",IFERROR(INDEX(DATA_MASTER!$C$2:$C$5000,MATCH($C4528,DATA_MASTER!$D$2:$D$5000,0)),""))</f>
        <v/>
      </c>
      <c r="E4528" s="22">
        <f t="array" ref="E4528">IF($C4528="","",IFERROR(INDEX(DATA_MASTER!$I$2:$I$5000,MATCH($C4528,DATA_MASTER!$D$2:$D$5000,0)),""))</f>
        <v/>
      </c>
      <c r="F4528" s="22">
        <f t="array" ref="F4528">IF($C4528="","",IFERROR(INDEX(DATA_MASTER!$L$2:$L$5000,MATCH($C4528,DATA_MASTER!$D$2:$D$5000,0)),""))</f>
        <v/>
      </c>
      <c r="G4528" s="24" t="n"/>
      <c r="H4528" s="24" t="n"/>
      <c r="I4528" s="30" t="n"/>
      <c r="J4528" s="23">
        <f>IF(OR($H4528="",$I4528=""),"",$H4528*$I4528)</f>
        <v/>
      </c>
      <c r="K4528" s="24" t="n"/>
      <c r="L4528" s="24" t="n"/>
      <c r="M4528" s="29" t="n"/>
      <c r="N4528" s="28" t="n"/>
      <c r="O4528" s="24" t="n"/>
      <c r="P4528" s="24" t="n"/>
      <c r="Q4528" s="24" t="n"/>
      <c r="R4528" s="24" t="n"/>
      <c r="S4528" s="22">
        <f>IF(AND($A4528="",$C4528=""),"",IF($A4528="","Thiếu mã đơn; ","")&amp;IF(COUNTIF($A$2:$A4528,$A4528)&gt;1,"Trùng mã đơn; ","")&amp;IF(ISNA(MATCH($C4528,DATA_MASTER!$D$2:$D$5000,0)),"SĐT chưa đăng ký hội viên; ","")&amp;IF(AND($L4528="Đã chuyển khoản",$M4528=""),"Thiếu ngày nhận CK; ",""))</f>
        <v/>
      </c>
      <c r="T4528" s="24" t="n"/>
    </row>
    <row r="4529" ht="14.25" customHeight="1" s="40">
      <c r="A4529" s="24" t="n"/>
      <c r="B4529" s="29" t="n"/>
      <c r="C4529" s="28" t="n"/>
      <c r="D4529" s="22">
        <f t="array" ref="D4529">IF($C4529="","",IFERROR(INDEX(DATA_MASTER!$C$2:$C$5000,MATCH($C4529,DATA_MASTER!$D$2:$D$5000,0)),""))</f>
        <v/>
      </c>
      <c r="E4529" s="22">
        <f t="array" ref="E4529">IF($C4529="","",IFERROR(INDEX(DATA_MASTER!$I$2:$I$5000,MATCH($C4529,DATA_MASTER!$D$2:$D$5000,0)),""))</f>
        <v/>
      </c>
      <c r="F4529" s="22">
        <f t="array" ref="F4529">IF($C4529="","",IFERROR(INDEX(DATA_MASTER!$L$2:$L$5000,MATCH($C4529,DATA_MASTER!$D$2:$D$5000,0)),""))</f>
        <v/>
      </c>
      <c r="G4529" s="24" t="n"/>
      <c r="H4529" s="24" t="n"/>
      <c r="I4529" s="30" t="n"/>
      <c r="J4529" s="23">
        <f>IF(OR($H4529="",$I4529=""),"",$H4529*$I4529)</f>
        <v/>
      </c>
      <c r="K4529" s="24" t="n"/>
      <c r="L4529" s="24" t="n"/>
      <c r="M4529" s="29" t="n"/>
      <c r="N4529" s="28" t="n"/>
      <c r="O4529" s="24" t="n"/>
      <c r="P4529" s="24" t="n"/>
      <c r="Q4529" s="24" t="n"/>
      <c r="R4529" s="24" t="n"/>
      <c r="S4529" s="22">
        <f>IF(AND($A4529="",$C4529=""),"",IF($A4529="","Thiếu mã đơn; ","")&amp;IF(COUNTIF($A$2:$A4529,$A4529)&gt;1,"Trùng mã đơn; ","")&amp;IF(ISNA(MATCH($C4529,DATA_MASTER!$D$2:$D$5000,0)),"SĐT chưa đăng ký hội viên; ","")&amp;IF(AND($L4529="Đã chuyển khoản",$M4529=""),"Thiếu ngày nhận CK; ",""))</f>
        <v/>
      </c>
      <c r="T4529" s="24" t="n"/>
    </row>
    <row r="4530" ht="14.25" customHeight="1" s="40">
      <c r="A4530" s="24" t="n"/>
      <c r="B4530" s="29" t="n"/>
      <c r="C4530" s="28" t="n"/>
      <c r="D4530" s="22">
        <f t="array" ref="D4530">IF($C4530="","",IFERROR(INDEX(DATA_MASTER!$C$2:$C$5000,MATCH($C4530,DATA_MASTER!$D$2:$D$5000,0)),""))</f>
        <v/>
      </c>
      <c r="E4530" s="22">
        <f t="array" ref="E4530">IF($C4530="","",IFERROR(INDEX(DATA_MASTER!$I$2:$I$5000,MATCH($C4530,DATA_MASTER!$D$2:$D$5000,0)),""))</f>
        <v/>
      </c>
      <c r="F4530" s="22">
        <f t="array" ref="F4530">IF($C4530="","",IFERROR(INDEX(DATA_MASTER!$L$2:$L$5000,MATCH($C4530,DATA_MASTER!$D$2:$D$5000,0)),""))</f>
        <v/>
      </c>
      <c r="G4530" s="24" t="n"/>
      <c r="H4530" s="24" t="n"/>
      <c r="I4530" s="30" t="n"/>
      <c r="J4530" s="23">
        <f>IF(OR($H4530="",$I4530=""),"",$H4530*$I4530)</f>
        <v/>
      </c>
      <c r="K4530" s="24" t="n"/>
      <c r="L4530" s="24" t="n"/>
      <c r="M4530" s="29" t="n"/>
      <c r="N4530" s="28" t="n"/>
      <c r="O4530" s="24" t="n"/>
      <c r="P4530" s="24" t="n"/>
      <c r="Q4530" s="24" t="n"/>
      <c r="R4530" s="24" t="n"/>
      <c r="S4530" s="22">
        <f>IF(AND($A4530="",$C4530=""),"",IF($A4530="","Thiếu mã đơn; ","")&amp;IF(COUNTIF($A$2:$A4530,$A4530)&gt;1,"Trùng mã đơn; ","")&amp;IF(ISNA(MATCH($C4530,DATA_MASTER!$D$2:$D$5000,0)),"SĐT chưa đăng ký hội viên; ","")&amp;IF(AND($L4530="Đã chuyển khoản",$M4530=""),"Thiếu ngày nhận CK; ",""))</f>
        <v/>
      </c>
      <c r="T4530" s="24" t="n"/>
    </row>
    <row r="4531" ht="14.25" customHeight="1" s="40">
      <c r="A4531" s="24" t="n"/>
      <c r="B4531" s="29" t="n"/>
      <c r="C4531" s="28" t="n"/>
      <c r="D4531" s="22">
        <f t="array" ref="D4531">IF($C4531="","",IFERROR(INDEX(DATA_MASTER!$C$2:$C$5000,MATCH($C4531,DATA_MASTER!$D$2:$D$5000,0)),""))</f>
        <v/>
      </c>
      <c r="E4531" s="22">
        <f t="array" ref="E4531">IF($C4531="","",IFERROR(INDEX(DATA_MASTER!$I$2:$I$5000,MATCH($C4531,DATA_MASTER!$D$2:$D$5000,0)),""))</f>
        <v/>
      </c>
      <c r="F4531" s="22">
        <f t="array" ref="F4531">IF($C4531="","",IFERROR(INDEX(DATA_MASTER!$L$2:$L$5000,MATCH($C4531,DATA_MASTER!$D$2:$D$5000,0)),""))</f>
        <v/>
      </c>
      <c r="G4531" s="24" t="n"/>
      <c r="H4531" s="24" t="n"/>
      <c r="I4531" s="30" t="n"/>
      <c r="J4531" s="23">
        <f>IF(OR($H4531="",$I4531=""),"",$H4531*$I4531)</f>
        <v/>
      </c>
      <c r="K4531" s="24" t="n"/>
      <c r="L4531" s="24" t="n"/>
      <c r="M4531" s="29" t="n"/>
      <c r="N4531" s="28" t="n"/>
      <c r="O4531" s="24" t="n"/>
      <c r="P4531" s="24" t="n"/>
      <c r="Q4531" s="24" t="n"/>
      <c r="R4531" s="24" t="n"/>
      <c r="S4531" s="22">
        <f>IF(AND($A4531="",$C4531=""),"",IF($A4531="","Thiếu mã đơn; ","")&amp;IF(COUNTIF($A$2:$A4531,$A4531)&gt;1,"Trùng mã đơn; ","")&amp;IF(ISNA(MATCH($C4531,DATA_MASTER!$D$2:$D$5000,0)),"SĐT chưa đăng ký hội viên; ","")&amp;IF(AND($L4531="Đã chuyển khoản",$M4531=""),"Thiếu ngày nhận CK; ",""))</f>
        <v/>
      </c>
      <c r="T4531" s="24" t="n"/>
    </row>
    <row r="4532" ht="14.25" customHeight="1" s="40">
      <c r="A4532" s="24" t="n"/>
      <c r="B4532" s="29" t="n"/>
      <c r="C4532" s="28" t="n"/>
      <c r="D4532" s="22">
        <f t="array" ref="D4532">IF($C4532="","",IFERROR(INDEX(DATA_MASTER!$C$2:$C$5000,MATCH($C4532,DATA_MASTER!$D$2:$D$5000,0)),""))</f>
        <v/>
      </c>
      <c r="E4532" s="22">
        <f t="array" ref="E4532">IF($C4532="","",IFERROR(INDEX(DATA_MASTER!$I$2:$I$5000,MATCH($C4532,DATA_MASTER!$D$2:$D$5000,0)),""))</f>
        <v/>
      </c>
      <c r="F4532" s="22">
        <f t="array" ref="F4532">IF($C4532="","",IFERROR(INDEX(DATA_MASTER!$L$2:$L$5000,MATCH($C4532,DATA_MASTER!$D$2:$D$5000,0)),""))</f>
        <v/>
      </c>
      <c r="G4532" s="24" t="n"/>
      <c r="H4532" s="24" t="n"/>
      <c r="I4532" s="30" t="n"/>
      <c r="J4532" s="23">
        <f>IF(OR($H4532="",$I4532=""),"",$H4532*$I4532)</f>
        <v/>
      </c>
      <c r="K4532" s="24" t="n"/>
      <c r="L4532" s="24" t="n"/>
      <c r="M4532" s="29" t="n"/>
      <c r="N4532" s="28" t="n"/>
      <c r="O4532" s="24" t="n"/>
      <c r="P4532" s="24" t="n"/>
      <c r="Q4532" s="24" t="n"/>
      <c r="R4532" s="24" t="n"/>
      <c r="S4532" s="22">
        <f>IF(AND($A4532="",$C4532=""),"",IF($A4532="","Thiếu mã đơn; ","")&amp;IF(COUNTIF($A$2:$A4532,$A4532)&gt;1,"Trùng mã đơn; ","")&amp;IF(ISNA(MATCH($C4532,DATA_MASTER!$D$2:$D$5000,0)),"SĐT chưa đăng ký hội viên; ","")&amp;IF(AND($L4532="Đã chuyển khoản",$M4532=""),"Thiếu ngày nhận CK; ",""))</f>
        <v/>
      </c>
      <c r="T4532" s="24" t="n"/>
    </row>
    <row r="4533" ht="14.25" customHeight="1" s="40">
      <c r="A4533" s="24" t="n"/>
      <c r="B4533" s="29" t="n"/>
      <c r="C4533" s="28" t="n"/>
      <c r="D4533" s="22">
        <f t="array" ref="D4533">IF($C4533="","",IFERROR(INDEX(DATA_MASTER!$C$2:$C$5000,MATCH($C4533,DATA_MASTER!$D$2:$D$5000,0)),""))</f>
        <v/>
      </c>
      <c r="E4533" s="22">
        <f t="array" ref="E4533">IF($C4533="","",IFERROR(INDEX(DATA_MASTER!$I$2:$I$5000,MATCH($C4533,DATA_MASTER!$D$2:$D$5000,0)),""))</f>
        <v/>
      </c>
      <c r="F4533" s="22">
        <f t="array" ref="F4533">IF($C4533="","",IFERROR(INDEX(DATA_MASTER!$L$2:$L$5000,MATCH($C4533,DATA_MASTER!$D$2:$D$5000,0)),""))</f>
        <v/>
      </c>
      <c r="G4533" s="24" t="n"/>
      <c r="H4533" s="24" t="n"/>
      <c r="I4533" s="30" t="n"/>
      <c r="J4533" s="23">
        <f>IF(OR($H4533="",$I4533=""),"",$H4533*$I4533)</f>
        <v/>
      </c>
      <c r="K4533" s="24" t="n"/>
      <c r="L4533" s="24" t="n"/>
      <c r="M4533" s="29" t="n"/>
      <c r="N4533" s="28" t="n"/>
      <c r="O4533" s="24" t="n"/>
      <c r="P4533" s="24" t="n"/>
      <c r="Q4533" s="24" t="n"/>
      <c r="R4533" s="24" t="n"/>
      <c r="S4533" s="22">
        <f>IF(AND($A4533="",$C4533=""),"",IF($A4533="","Thiếu mã đơn; ","")&amp;IF(COUNTIF($A$2:$A4533,$A4533)&gt;1,"Trùng mã đơn; ","")&amp;IF(ISNA(MATCH($C4533,DATA_MASTER!$D$2:$D$5000,0)),"SĐT chưa đăng ký hội viên; ","")&amp;IF(AND($L4533="Đã chuyển khoản",$M4533=""),"Thiếu ngày nhận CK; ",""))</f>
        <v/>
      </c>
      <c r="T4533" s="24" t="n"/>
    </row>
    <row r="4534" ht="14.25" customHeight="1" s="40">
      <c r="A4534" s="24" t="n"/>
      <c r="B4534" s="29" t="n"/>
      <c r="C4534" s="28" t="n"/>
      <c r="D4534" s="22">
        <f t="array" ref="D4534">IF($C4534="","",IFERROR(INDEX(DATA_MASTER!$C$2:$C$5000,MATCH($C4534,DATA_MASTER!$D$2:$D$5000,0)),""))</f>
        <v/>
      </c>
      <c r="E4534" s="22">
        <f t="array" ref="E4534">IF($C4534="","",IFERROR(INDEX(DATA_MASTER!$I$2:$I$5000,MATCH($C4534,DATA_MASTER!$D$2:$D$5000,0)),""))</f>
        <v/>
      </c>
      <c r="F4534" s="22">
        <f t="array" ref="F4534">IF($C4534="","",IFERROR(INDEX(DATA_MASTER!$L$2:$L$5000,MATCH($C4534,DATA_MASTER!$D$2:$D$5000,0)),""))</f>
        <v/>
      </c>
      <c r="G4534" s="24" t="n"/>
      <c r="H4534" s="24" t="n"/>
      <c r="I4534" s="30" t="n"/>
      <c r="J4534" s="23">
        <f>IF(OR($H4534="",$I4534=""),"",$H4534*$I4534)</f>
        <v/>
      </c>
      <c r="K4534" s="24" t="n"/>
      <c r="L4534" s="24" t="n"/>
      <c r="M4534" s="29" t="n"/>
      <c r="N4534" s="28" t="n"/>
      <c r="O4534" s="24" t="n"/>
      <c r="P4534" s="24" t="n"/>
      <c r="Q4534" s="24" t="n"/>
      <c r="R4534" s="24" t="n"/>
      <c r="S4534" s="22">
        <f>IF(AND($A4534="",$C4534=""),"",IF($A4534="","Thiếu mã đơn; ","")&amp;IF(COUNTIF($A$2:$A4534,$A4534)&gt;1,"Trùng mã đơn; ","")&amp;IF(ISNA(MATCH($C4534,DATA_MASTER!$D$2:$D$5000,0)),"SĐT chưa đăng ký hội viên; ","")&amp;IF(AND($L4534="Đã chuyển khoản",$M4534=""),"Thiếu ngày nhận CK; ",""))</f>
        <v/>
      </c>
      <c r="T4534" s="24" t="n"/>
    </row>
    <row r="4535" ht="14.25" customHeight="1" s="40">
      <c r="A4535" s="24" t="n"/>
      <c r="B4535" s="29" t="n"/>
      <c r="C4535" s="28" t="n"/>
      <c r="D4535" s="22">
        <f t="array" ref="D4535">IF($C4535="","",IFERROR(INDEX(DATA_MASTER!$C$2:$C$5000,MATCH($C4535,DATA_MASTER!$D$2:$D$5000,0)),""))</f>
        <v/>
      </c>
      <c r="E4535" s="22">
        <f t="array" ref="E4535">IF($C4535="","",IFERROR(INDEX(DATA_MASTER!$I$2:$I$5000,MATCH($C4535,DATA_MASTER!$D$2:$D$5000,0)),""))</f>
        <v/>
      </c>
      <c r="F4535" s="22">
        <f t="array" ref="F4535">IF($C4535="","",IFERROR(INDEX(DATA_MASTER!$L$2:$L$5000,MATCH($C4535,DATA_MASTER!$D$2:$D$5000,0)),""))</f>
        <v/>
      </c>
      <c r="G4535" s="24" t="n"/>
      <c r="H4535" s="24" t="n"/>
      <c r="I4535" s="30" t="n"/>
      <c r="J4535" s="23">
        <f>IF(OR($H4535="",$I4535=""),"",$H4535*$I4535)</f>
        <v/>
      </c>
      <c r="K4535" s="24" t="n"/>
      <c r="L4535" s="24" t="n"/>
      <c r="M4535" s="29" t="n"/>
      <c r="N4535" s="28" t="n"/>
      <c r="O4535" s="24" t="n"/>
      <c r="P4535" s="24" t="n"/>
      <c r="Q4535" s="24" t="n"/>
      <c r="R4535" s="24" t="n"/>
      <c r="S4535" s="22">
        <f>IF(AND($A4535="",$C4535=""),"",IF($A4535="","Thiếu mã đơn; ","")&amp;IF(COUNTIF($A$2:$A4535,$A4535)&gt;1,"Trùng mã đơn; ","")&amp;IF(ISNA(MATCH($C4535,DATA_MASTER!$D$2:$D$5000,0)),"SĐT chưa đăng ký hội viên; ","")&amp;IF(AND($L4535="Đã chuyển khoản",$M4535=""),"Thiếu ngày nhận CK; ",""))</f>
        <v/>
      </c>
      <c r="T4535" s="24" t="n"/>
    </row>
    <row r="4536" ht="14.25" customHeight="1" s="40">
      <c r="A4536" s="24" t="n"/>
      <c r="B4536" s="29" t="n"/>
      <c r="C4536" s="28" t="n"/>
      <c r="D4536" s="22">
        <f t="array" ref="D4536">IF($C4536="","",IFERROR(INDEX(DATA_MASTER!$C$2:$C$5000,MATCH($C4536,DATA_MASTER!$D$2:$D$5000,0)),""))</f>
        <v/>
      </c>
      <c r="E4536" s="22">
        <f t="array" ref="E4536">IF($C4536="","",IFERROR(INDEX(DATA_MASTER!$I$2:$I$5000,MATCH($C4536,DATA_MASTER!$D$2:$D$5000,0)),""))</f>
        <v/>
      </c>
      <c r="F4536" s="22">
        <f t="array" ref="F4536">IF($C4536="","",IFERROR(INDEX(DATA_MASTER!$L$2:$L$5000,MATCH($C4536,DATA_MASTER!$D$2:$D$5000,0)),""))</f>
        <v/>
      </c>
      <c r="G4536" s="24" t="n"/>
      <c r="H4536" s="24" t="n"/>
      <c r="I4536" s="30" t="n"/>
      <c r="J4536" s="23">
        <f>IF(OR($H4536="",$I4536=""),"",$H4536*$I4536)</f>
        <v/>
      </c>
      <c r="K4536" s="24" t="n"/>
      <c r="L4536" s="24" t="n"/>
      <c r="M4536" s="29" t="n"/>
      <c r="N4536" s="28" t="n"/>
      <c r="O4536" s="24" t="n"/>
      <c r="P4536" s="24" t="n"/>
      <c r="Q4536" s="24" t="n"/>
      <c r="R4536" s="24" t="n"/>
      <c r="S4536" s="22">
        <f>IF(AND($A4536="",$C4536=""),"",IF($A4536="","Thiếu mã đơn; ","")&amp;IF(COUNTIF($A$2:$A4536,$A4536)&gt;1,"Trùng mã đơn; ","")&amp;IF(ISNA(MATCH($C4536,DATA_MASTER!$D$2:$D$5000,0)),"SĐT chưa đăng ký hội viên; ","")&amp;IF(AND($L4536="Đã chuyển khoản",$M4536=""),"Thiếu ngày nhận CK; ",""))</f>
        <v/>
      </c>
      <c r="T4536" s="24" t="n"/>
    </row>
    <row r="4537" ht="14.25" customHeight="1" s="40">
      <c r="A4537" s="24" t="n"/>
      <c r="B4537" s="29" t="n"/>
      <c r="C4537" s="28" t="n"/>
      <c r="D4537" s="22">
        <f t="array" ref="D4537">IF($C4537="","",IFERROR(INDEX(DATA_MASTER!$C$2:$C$5000,MATCH($C4537,DATA_MASTER!$D$2:$D$5000,0)),""))</f>
        <v/>
      </c>
      <c r="E4537" s="22">
        <f t="array" ref="E4537">IF($C4537="","",IFERROR(INDEX(DATA_MASTER!$I$2:$I$5000,MATCH($C4537,DATA_MASTER!$D$2:$D$5000,0)),""))</f>
        <v/>
      </c>
      <c r="F4537" s="22">
        <f t="array" ref="F4537">IF($C4537="","",IFERROR(INDEX(DATA_MASTER!$L$2:$L$5000,MATCH($C4537,DATA_MASTER!$D$2:$D$5000,0)),""))</f>
        <v/>
      </c>
      <c r="G4537" s="24" t="n"/>
      <c r="H4537" s="24" t="n"/>
      <c r="I4537" s="30" t="n"/>
      <c r="J4537" s="23">
        <f>IF(OR($H4537="",$I4537=""),"",$H4537*$I4537)</f>
        <v/>
      </c>
      <c r="K4537" s="24" t="n"/>
      <c r="L4537" s="24" t="n"/>
      <c r="M4537" s="29" t="n"/>
      <c r="N4537" s="28" t="n"/>
      <c r="O4537" s="24" t="n"/>
      <c r="P4537" s="24" t="n"/>
      <c r="Q4537" s="24" t="n"/>
      <c r="R4537" s="24" t="n"/>
      <c r="S4537" s="22">
        <f>IF(AND($A4537="",$C4537=""),"",IF($A4537="","Thiếu mã đơn; ","")&amp;IF(COUNTIF($A$2:$A4537,$A4537)&gt;1,"Trùng mã đơn; ","")&amp;IF(ISNA(MATCH($C4537,DATA_MASTER!$D$2:$D$5000,0)),"SĐT chưa đăng ký hội viên; ","")&amp;IF(AND($L4537="Đã chuyển khoản",$M4537=""),"Thiếu ngày nhận CK; ",""))</f>
        <v/>
      </c>
      <c r="T4537" s="24" t="n"/>
    </row>
    <row r="4538" ht="14.25" customHeight="1" s="40">
      <c r="A4538" s="24" t="n"/>
      <c r="B4538" s="29" t="n"/>
      <c r="C4538" s="28" t="n"/>
      <c r="D4538" s="22">
        <f t="array" ref="D4538">IF($C4538="","",IFERROR(INDEX(DATA_MASTER!$C$2:$C$5000,MATCH($C4538,DATA_MASTER!$D$2:$D$5000,0)),""))</f>
        <v/>
      </c>
      <c r="E4538" s="22">
        <f t="array" ref="E4538">IF($C4538="","",IFERROR(INDEX(DATA_MASTER!$I$2:$I$5000,MATCH($C4538,DATA_MASTER!$D$2:$D$5000,0)),""))</f>
        <v/>
      </c>
      <c r="F4538" s="22">
        <f t="array" ref="F4538">IF($C4538="","",IFERROR(INDEX(DATA_MASTER!$L$2:$L$5000,MATCH($C4538,DATA_MASTER!$D$2:$D$5000,0)),""))</f>
        <v/>
      </c>
      <c r="G4538" s="24" t="n"/>
      <c r="H4538" s="24" t="n"/>
      <c r="I4538" s="30" t="n"/>
      <c r="J4538" s="23">
        <f>IF(OR($H4538="",$I4538=""),"",$H4538*$I4538)</f>
        <v/>
      </c>
      <c r="K4538" s="24" t="n"/>
      <c r="L4538" s="24" t="n"/>
      <c r="M4538" s="29" t="n"/>
      <c r="N4538" s="28" t="n"/>
      <c r="O4538" s="24" t="n"/>
      <c r="P4538" s="24" t="n"/>
      <c r="Q4538" s="24" t="n"/>
      <c r="R4538" s="24" t="n"/>
      <c r="S4538" s="22">
        <f>IF(AND($A4538="",$C4538=""),"",IF($A4538="","Thiếu mã đơn; ","")&amp;IF(COUNTIF($A$2:$A4538,$A4538)&gt;1,"Trùng mã đơn; ","")&amp;IF(ISNA(MATCH($C4538,DATA_MASTER!$D$2:$D$5000,0)),"SĐT chưa đăng ký hội viên; ","")&amp;IF(AND($L4538="Đã chuyển khoản",$M4538=""),"Thiếu ngày nhận CK; ",""))</f>
        <v/>
      </c>
      <c r="T4538" s="24" t="n"/>
    </row>
    <row r="4539" ht="14.25" customHeight="1" s="40">
      <c r="A4539" s="24" t="n"/>
      <c r="B4539" s="29" t="n"/>
      <c r="C4539" s="28" t="n"/>
      <c r="D4539" s="22">
        <f t="array" ref="D4539">IF($C4539="","",IFERROR(INDEX(DATA_MASTER!$C$2:$C$5000,MATCH($C4539,DATA_MASTER!$D$2:$D$5000,0)),""))</f>
        <v/>
      </c>
      <c r="E4539" s="22">
        <f t="array" ref="E4539">IF($C4539="","",IFERROR(INDEX(DATA_MASTER!$I$2:$I$5000,MATCH($C4539,DATA_MASTER!$D$2:$D$5000,0)),""))</f>
        <v/>
      </c>
      <c r="F4539" s="22">
        <f t="array" ref="F4539">IF($C4539="","",IFERROR(INDEX(DATA_MASTER!$L$2:$L$5000,MATCH($C4539,DATA_MASTER!$D$2:$D$5000,0)),""))</f>
        <v/>
      </c>
      <c r="G4539" s="24" t="n"/>
      <c r="H4539" s="24" t="n"/>
      <c r="I4539" s="30" t="n"/>
      <c r="J4539" s="23">
        <f>IF(OR($H4539="",$I4539=""),"",$H4539*$I4539)</f>
        <v/>
      </c>
      <c r="K4539" s="24" t="n"/>
      <c r="L4539" s="24" t="n"/>
      <c r="M4539" s="29" t="n"/>
      <c r="N4539" s="28" t="n"/>
      <c r="O4539" s="24" t="n"/>
      <c r="P4539" s="24" t="n"/>
      <c r="Q4539" s="24" t="n"/>
      <c r="R4539" s="24" t="n"/>
      <c r="S4539" s="22">
        <f>IF(AND($A4539="",$C4539=""),"",IF($A4539="","Thiếu mã đơn; ","")&amp;IF(COUNTIF($A$2:$A4539,$A4539)&gt;1,"Trùng mã đơn; ","")&amp;IF(ISNA(MATCH($C4539,DATA_MASTER!$D$2:$D$5000,0)),"SĐT chưa đăng ký hội viên; ","")&amp;IF(AND($L4539="Đã chuyển khoản",$M4539=""),"Thiếu ngày nhận CK; ",""))</f>
        <v/>
      </c>
      <c r="T4539" s="24" t="n"/>
    </row>
    <row r="4540" ht="14.25" customHeight="1" s="40">
      <c r="A4540" s="24" t="n"/>
      <c r="B4540" s="29" t="n"/>
      <c r="C4540" s="28" t="n"/>
      <c r="D4540" s="22">
        <f t="array" ref="D4540">IF($C4540="","",IFERROR(INDEX(DATA_MASTER!$C$2:$C$5000,MATCH($C4540,DATA_MASTER!$D$2:$D$5000,0)),""))</f>
        <v/>
      </c>
      <c r="E4540" s="22">
        <f t="array" ref="E4540">IF($C4540="","",IFERROR(INDEX(DATA_MASTER!$I$2:$I$5000,MATCH($C4540,DATA_MASTER!$D$2:$D$5000,0)),""))</f>
        <v/>
      </c>
      <c r="F4540" s="22">
        <f t="array" ref="F4540">IF($C4540="","",IFERROR(INDEX(DATA_MASTER!$L$2:$L$5000,MATCH($C4540,DATA_MASTER!$D$2:$D$5000,0)),""))</f>
        <v/>
      </c>
      <c r="G4540" s="24" t="n"/>
      <c r="H4540" s="24" t="n"/>
      <c r="I4540" s="30" t="n"/>
      <c r="J4540" s="23">
        <f>IF(OR($H4540="",$I4540=""),"",$H4540*$I4540)</f>
        <v/>
      </c>
      <c r="K4540" s="24" t="n"/>
      <c r="L4540" s="24" t="n"/>
      <c r="M4540" s="29" t="n"/>
      <c r="N4540" s="28" t="n"/>
      <c r="O4540" s="24" t="n"/>
      <c r="P4540" s="24" t="n"/>
      <c r="Q4540" s="24" t="n"/>
      <c r="R4540" s="24" t="n"/>
      <c r="S4540" s="22">
        <f>IF(AND($A4540="",$C4540=""),"",IF($A4540="","Thiếu mã đơn; ","")&amp;IF(COUNTIF($A$2:$A4540,$A4540)&gt;1,"Trùng mã đơn; ","")&amp;IF(ISNA(MATCH($C4540,DATA_MASTER!$D$2:$D$5000,0)),"SĐT chưa đăng ký hội viên; ","")&amp;IF(AND($L4540="Đã chuyển khoản",$M4540=""),"Thiếu ngày nhận CK; ",""))</f>
        <v/>
      </c>
      <c r="T4540" s="24" t="n"/>
    </row>
    <row r="4541" ht="14.25" customHeight="1" s="40">
      <c r="A4541" s="24" t="n"/>
      <c r="B4541" s="29" t="n"/>
      <c r="C4541" s="28" t="n"/>
      <c r="D4541" s="22">
        <f t="array" ref="D4541">IF($C4541="","",IFERROR(INDEX(DATA_MASTER!$C$2:$C$5000,MATCH($C4541,DATA_MASTER!$D$2:$D$5000,0)),""))</f>
        <v/>
      </c>
      <c r="E4541" s="22">
        <f t="array" ref="E4541">IF($C4541="","",IFERROR(INDEX(DATA_MASTER!$I$2:$I$5000,MATCH($C4541,DATA_MASTER!$D$2:$D$5000,0)),""))</f>
        <v/>
      </c>
      <c r="F4541" s="22">
        <f t="array" ref="F4541">IF($C4541="","",IFERROR(INDEX(DATA_MASTER!$L$2:$L$5000,MATCH($C4541,DATA_MASTER!$D$2:$D$5000,0)),""))</f>
        <v/>
      </c>
      <c r="G4541" s="24" t="n"/>
      <c r="H4541" s="24" t="n"/>
      <c r="I4541" s="30" t="n"/>
      <c r="J4541" s="23">
        <f>IF(OR($H4541="",$I4541=""),"",$H4541*$I4541)</f>
        <v/>
      </c>
      <c r="K4541" s="24" t="n"/>
      <c r="L4541" s="24" t="n"/>
      <c r="M4541" s="29" t="n"/>
      <c r="N4541" s="28" t="n"/>
      <c r="O4541" s="24" t="n"/>
      <c r="P4541" s="24" t="n"/>
      <c r="Q4541" s="24" t="n"/>
      <c r="R4541" s="24" t="n"/>
      <c r="S4541" s="22">
        <f>IF(AND($A4541="",$C4541=""),"",IF($A4541="","Thiếu mã đơn; ","")&amp;IF(COUNTIF($A$2:$A4541,$A4541)&gt;1,"Trùng mã đơn; ","")&amp;IF(ISNA(MATCH($C4541,DATA_MASTER!$D$2:$D$5000,0)),"SĐT chưa đăng ký hội viên; ","")&amp;IF(AND($L4541="Đã chuyển khoản",$M4541=""),"Thiếu ngày nhận CK; ",""))</f>
        <v/>
      </c>
      <c r="T4541" s="24" t="n"/>
    </row>
    <row r="4542" ht="14.25" customHeight="1" s="40">
      <c r="A4542" s="24" t="n"/>
      <c r="B4542" s="29" t="n"/>
      <c r="C4542" s="28" t="n"/>
      <c r="D4542" s="22">
        <f t="array" ref="D4542">IF($C4542="","",IFERROR(INDEX(DATA_MASTER!$C$2:$C$5000,MATCH($C4542,DATA_MASTER!$D$2:$D$5000,0)),""))</f>
        <v/>
      </c>
      <c r="E4542" s="22">
        <f t="array" ref="E4542">IF($C4542="","",IFERROR(INDEX(DATA_MASTER!$I$2:$I$5000,MATCH($C4542,DATA_MASTER!$D$2:$D$5000,0)),""))</f>
        <v/>
      </c>
      <c r="F4542" s="22">
        <f t="array" ref="F4542">IF($C4542="","",IFERROR(INDEX(DATA_MASTER!$L$2:$L$5000,MATCH($C4542,DATA_MASTER!$D$2:$D$5000,0)),""))</f>
        <v/>
      </c>
      <c r="G4542" s="24" t="n"/>
      <c r="H4542" s="24" t="n"/>
      <c r="I4542" s="30" t="n"/>
      <c r="J4542" s="23">
        <f>IF(OR($H4542="",$I4542=""),"",$H4542*$I4542)</f>
        <v/>
      </c>
      <c r="K4542" s="24" t="n"/>
      <c r="L4542" s="24" t="n"/>
      <c r="M4542" s="29" t="n"/>
      <c r="N4542" s="28" t="n"/>
      <c r="O4542" s="24" t="n"/>
      <c r="P4542" s="24" t="n"/>
      <c r="Q4542" s="24" t="n"/>
      <c r="R4542" s="24" t="n"/>
      <c r="S4542" s="22">
        <f>IF(AND($A4542="",$C4542=""),"",IF($A4542="","Thiếu mã đơn; ","")&amp;IF(COUNTIF($A$2:$A4542,$A4542)&gt;1,"Trùng mã đơn; ","")&amp;IF(ISNA(MATCH($C4542,DATA_MASTER!$D$2:$D$5000,0)),"SĐT chưa đăng ký hội viên; ","")&amp;IF(AND($L4542="Đã chuyển khoản",$M4542=""),"Thiếu ngày nhận CK; ",""))</f>
        <v/>
      </c>
      <c r="T4542" s="24" t="n"/>
    </row>
    <row r="4543" ht="14.25" customHeight="1" s="40">
      <c r="A4543" s="24" t="n"/>
      <c r="B4543" s="29" t="n"/>
      <c r="C4543" s="28" t="n"/>
      <c r="D4543" s="22">
        <f t="array" ref="D4543">IF($C4543="","",IFERROR(INDEX(DATA_MASTER!$C$2:$C$5000,MATCH($C4543,DATA_MASTER!$D$2:$D$5000,0)),""))</f>
        <v/>
      </c>
      <c r="E4543" s="22">
        <f t="array" ref="E4543">IF($C4543="","",IFERROR(INDEX(DATA_MASTER!$I$2:$I$5000,MATCH($C4543,DATA_MASTER!$D$2:$D$5000,0)),""))</f>
        <v/>
      </c>
      <c r="F4543" s="22">
        <f t="array" ref="F4543">IF($C4543="","",IFERROR(INDEX(DATA_MASTER!$L$2:$L$5000,MATCH($C4543,DATA_MASTER!$D$2:$D$5000,0)),""))</f>
        <v/>
      </c>
      <c r="G4543" s="24" t="n"/>
      <c r="H4543" s="24" t="n"/>
      <c r="I4543" s="30" t="n"/>
      <c r="J4543" s="23">
        <f>IF(OR($H4543="",$I4543=""),"",$H4543*$I4543)</f>
        <v/>
      </c>
      <c r="K4543" s="24" t="n"/>
      <c r="L4543" s="24" t="n"/>
      <c r="M4543" s="29" t="n"/>
      <c r="N4543" s="28" t="n"/>
      <c r="O4543" s="24" t="n"/>
      <c r="P4543" s="24" t="n"/>
      <c r="Q4543" s="24" t="n"/>
      <c r="R4543" s="24" t="n"/>
      <c r="S4543" s="22">
        <f>IF(AND($A4543="",$C4543=""),"",IF($A4543="","Thiếu mã đơn; ","")&amp;IF(COUNTIF($A$2:$A4543,$A4543)&gt;1,"Trùng mã đơn; ","")&amp;IF(ISNA(MATCH($C4543,DATA_MASTER!$D$2:$D$5000,0)),"SĐT chưa đăng ký hội viên; ","")&amp;IF(AND($L4543="Đã chuyển khoản",$M4543=""),"Thiếu ngày nhận CK; ",""))</f>
        <v/>
      </c>
      <c r="T4543" s="24" t="n"/>
    </row>
    <row r="4544" ht="14.25" customHeight="1" s="40">
      <c r="A4544" s="24" t="n"/>
      <c r="B4544" s="29" t="n"/>
      <c r="C4544" s="28" t="n"/>
      <c r="D4544" s="22">
        <f t="array" ref="D4544">IF($C4544="","",IFERROR(INDEX(DATA_MASTER!$C$2:$C$5000,MATCH($C4544,DATA_MASTER!$D$2:$D$5000,0)),""))</f>
        <v/>
      </c>
      <c r="E4544" s="22">
        <f t="array" ref="E4544">IF($C4544="","",IFERROR(INDEX(DATA_MASTER!$I$2:$I$5000,MATCH($C4544,DATA_MASTER!$D$2:$D$5000,0)),""))</f>
        <v/>
      </c>
      <c r="F4544" s="22">
        <f t="array" ref="F4544">IF($C4544="","",IFERROR(INDEX(DATA_MASTER!$L$2:$L$5000,MATCH($C4544,DATA_MASTER!$D$2:$D$5000,0)),""))</f>
        <v/>
      </c>
      <c r="G4544" s="24" t="n"/>
      <c r="H4544" s="24" t="n"/>
      <c r="I4544" s="30" t="n"/>
      <c r="J4544" s="23">
        <f>IF(OR($H4544="",$I4544=""),"",$H4544*$I4544)</f>
        <v/>
      </c>
      <c r="K4544" s="24" t="n"/>
      <c r="L4544" s="24" t="n"/>
      <c r="M4544" s="29" t="n"/>
      <c r="N4544" s="28" t="n"/>
      <c r="O4544" s="24" t="n"/>
      <c r="P4544" s="24" t="n"/>
      <c r="Q4544" s="24" t="n"/>
      <c r="R4544" s="24" t="n"/>
      <c r="S4544" s="22">
        <f>IF(AND($A4544="",$C4544=""),"",IF($A4544="","Thiếu mã đơn; ","")&amp;IF(COUNTIF($A$2:$A4544,$A4544)&gt;1,"Trùng mã đơn; ","")&amp;IF(ISNA(MATCH($C4544,DATA_MASTER!$D$2:$D$5000,0)),"SĐT chưa đăng ký hội viên; ","")&amp;IF(AND($L4544="Đã chuyển khoản",$M4544=""),"Thiếu ngày nhận CK; ",""))</f>
        <v/>
      </c>
      <c r="T4544" s="24" t="n"/>
    </row>
    <row r="4545" ht="14.25" customHeight="1" s="40">
      <c r="A4545" s="24" t="n"/>
      <c r="B4545" s="29" t="n"/>
      <c r="C4545" s="28" t="n"/>
      <c r="D4545" s="22">
        <f t="array" ref="D4545">IF($C4545="","",IFERROR(INDEX(DATA_MASTER!$C$2:$C$5000,MATCH($C4545,DATA_MASTER!$D$2:$D$5000,0)),""))</f>
        <v/>
      </c>
      <c r="E4545" s="22">
        <f t="array" ref="E4545">IF($C4545="","",IFERROR(INDEX(DATA_MASTER!$I$2:$I$5000,MATCH($C4545,DATA_MASTER!$D$2:$D$5000,0)),""))</f>
        <v/>
      </c>
      <c r="F4545" s="22">
        <f t="array" ref="F4545">IF($C4545="","",IFERROR(INDEX(DATA_MASTER!$L$2:$L$5000,MATCH($C4545,DATA_MASTER!$D$2:$D$5000,0)),""))</f>
        <v/>
      </c>
      <c r="G4545" s="24" t="n"/>
      <c r="H4545" s="24" t="n"/>
      <c r="I4545" s="30" t="n"/>
      <c r="J4545" s="23">
        <f>IF(OR($H4545="",$I4545=""),"",$H4545*$I4545)</f>
        <v/>
      </c>
      <c r="K4545" s="24" t="n"/>
      <c r="L4545" s="24" t="n"/>
      <c r="M4545" s="29" t="n"/>
      <c r="N4545" s="28" t="n"/>
      <c r="O4545" s="24" t="n"/>
      <c r="P4545" s="24" t="n"/>
      <c r="Q4545" s="24" t="n"/>
      <c r="R4545" s="24" t="n"/>
      <c r="S4545" s="22">
        <f>IF(AND($A4545="",$C4545=""),"",IF($A4545="","Thiếu mã đơn; ","")&amp;IF(COUNTIF($A$2:$A4545,$A4545)&gt;1,"Trùng mã đơn; ","")&amp;IF(ISNA(MATCH($C4545,DATA_MASTER!$D$2:$D$5000,0)),"SĐT chưa đăng ký hội viên; ","")&amp;IF(AND($L4545="Đã chuyển khoản",$M4545=""),"Thiếu ngày nhận CK; ",""))</f>
        <v/>
      </c>
      <c r="T4545" s="24" t="n"/>
    </row>
    <row r="4546" ht="14.25" customHeight="1" s="40">
      <c r="A4546" s="24" t="n"/>
      <c r="B4546" s="29" t="n"/>
      <c r="C4546" s="28" t="n"/>
      <c r="D4546" s="22">
        <f t="array" ref="D4546">IF($C4546="","",IFERROR(INDEX(DATA_MASTER!$C$2:$C$5000,MATCH($C4546,DATA_MASTER!$D$2:$D$5000,0)),""))</f>
        <v/>
      </c>
      <c r="E4546" s="22">
        <f t="array" ref="E4546">IF($C4546="","",IFERROR(INDEX(DATA_MASTER!$I$2:$I$5000,MATCH($C4546,DATA_MASTER!$D$2:$D$5000,0)),""))</f>
        <v/>
      </c>
      <c r="F4546" s="22">
        <f t="array" ref="F4546">IF($C4546="","",IFERROR(INDEX(DATA_MASTER!$L$2:$L$5000,MATCH($C4546,DATA_MASTER!$D$2:$D$5000,0)),""))</f>
        <v/>
      </c>
      <c r="G4546" s="24" t="n"/>
      <c r="H4546" s="24" t="n"/>
      <c r="I4546" s="30" t="n"/>
      <c r="J4546" s="23">
        <f>IF(OR($H4546="",$I4546=""),"",$H4546*$I4546)</f>
        <v/>
      </c>
      <c r="K4546" s="24" t="n"/>
      <c r="L4546" s="24" t="n"/>
      <c r="M4546" s="29" t="n"/>
      <c r="N4546" s="28" t="n"/>
      <c r="O4546" s="24" t="n"/>
      <c r="P4546" s="24" t="n"/>
      <c r="Q4546" s="24" t="n"/>
      <c r="R4546" s="24" t="n"/>
      <c r="S4546" s="22">
        <f>IF(AND($A4546="",$C4546=""),"",IF($A4546="","Thiếu mã đơn; ","")&amp;IF(COUNTIF($A$2:$A4546,$A4546)&gt;1,"Trùng mã đơn; ","")&amp;IF(ISNA(MATCH($C4546,DATA_MASTER!$D$2:$D$5000,0)),"SĐT chưa đăng ký hội viên; ","")&amp;IF(AND($L4546="Đã chuyển khoản",$M4546=""),"Thiếu ngày nhận CK; ",""))</f>
        <v/>
      </c>
      <c r="T4546" s="24" t="n"/>
    </row>
    <row r="4547" ht="14.25" customHeight="1" s="40">
      <c r="A4547" s="24" t="n"/>
      <c r="B4547" s="29" t="n"/>
      <c r="C4547" s="28" t="n"/>
      <c r="D4547" s="22">
        <f t="array" ref="D4547">IF($C4547="","",IFERROR(INDEX(DATA_MASTER!$C$2:$C$5000,MATCH($C4547,DATA_MASTER!$D$2:$D$5000,0)),""))</f>
        <v/>
      </c>
      <c r="E4547" s="22">
        <f t="array" ref="E4547">IF($C4547="","",IFERROR(INDEX(DATA_MASTER!$I$2:$I$5000,MATCH($C4547,DATA_MASTER!$D$2:$D$5000,0)),""))</f>
        <v/>
      </c>
      <c r="F4547" s="22">
        <f t="array" ref="F4547">IF($C4547="","",IFERROR(INDEX(DATA_MASTER!$L$2:$L$5000,MATCH($C4547,DATA_MASTER!$D$2:$D$5000,0)),""))</f>
        <v/>
      </c>
      <c r="G4547" s="24" t="n"/>
      <c r="H4547" s="24" t="n"/>
      <c r="I4547" s="30" t="n"/>
      <c r="J4547" s="23">
        <f>IF(OR($H4547="",$I4547=""),"",$H4547*$I4547)</f>
        <v/>
      </c>
      <c r="K4547" s="24" t="n"/>
      <c r="L4547" s="24" t="n"/>
      <c r="M4547" s="29" t="n"/>
      <c r="N4547" s="28" t="n"/>
      <c r="O4547" s="24" t="n"/>
      <c r="P4547" s="24" t="n"/>
      <c r="Q4547" s="24" t="n"/>
      <c r="R4547" s="24" t="n"/>
      <c r="S4547" s="22">
        <f>IF(AND($A4547="",$C4547=""),"",IF($A4547="","Thiếu mã đơn; ","")&amp;IF(COUNTIF($A$2:$A4547,$A4547)&gt;1,"Trùng mã đơn; ","")&amp;IF(ISNA(MATCH($C4547,DATA_MASTER!$D$2:$D$5000,0)),"SĐT chưa đăng ký hội viên; ","")&amp;IF(AND($L4547="Đã chuyển khoản",$M4547=""),"Thiếu ngày nhận CK; ",""))</f>
        <v/>
      </c>
      <c r="T4547" s="24" t="n"/>
    </row>
    <row r="4548" ht="14.25" customHeight="1" s="40">
      <c r="A4548" s="24" t="n"/>
      <c r="B4548" s="29" t="n"/>
      <c r="C4548" s="28" t="n"/>
      <c r="D4548" s="22">
        <f t="array" ref="D4548">IF($C4548="","",IFERROR(INDEX(DATA_MASTER!$C$2:$C$5000,MATCH($C4548,DATA_MASTER!$D$2:$D$5000,0)),""))</f>
        <v/>
      </c>
      <c r="E4548" s="22">
        <f t="array" ref="E4548">IF($C4548="","",IFERROR(INDEX(DATA_MASTER!$I$2:$I$5000,MATCH($C4548,DATA_MASTER!$D$2:$D$5000,0)),""))</f>
        <v/>
      </c>
      <c r="F4548" s="22">
        <f t="array" ref="F4548">IF($C4548="","",IFERROR(INDEX(DATA_MASTER!$L$2:$L$5000,MATCH($C4548,DATA_MASTER!$D$2:$D$5000,0)),""))</f>
        <v/>
      </c>
      <c r="G4548" s="24" t="n"/>
      <c r="H4548" s="24" t="n"/>
      <c r="I4548" s="30" t="n"/>
      <c r="J4548" s="23">
        <f>IF(OR($H4548="",$I4548=""),"",$H4548*$I4548)</f>
        <v/>
      </c>
      <c r="K4548" s="24" t="n"/>
      <c r="L4548" s="24" t="n"/>
      <c r="M4548" s="29" t="n"/>
      <c r="N4548" s="28" t="n"/>
      <c r="O4548" s="24" t="n"/>
      <c r="P4548" s="24" t="n"/>
      <c r="Q4548" s="24" t="n"/>
      <c r="R4548" s="24" t="n"/>
      <c r="S4548" s="22">
        <f>IF(AND($A4548="",$C4548=""),"",IF($A4548="","Thiếu mã đơn; ","")&amp;IF(COUNTIF($A$2:$A4548,$A4548)&gt;1,"Trùng mã đơn; ","")&amp;IF(ISNA(MATCH($C4548,DATA_MASTER!$D$2:$D$5000,0)),"SĐT chưa đăng ký hội viên; ","")&amp;IF(AND($L4548="Đã chuyển khoản",$M4548=""),"Thiếu ngày nhận CK; ",""))</f>
        <v/>
      </c>
      <c r="T4548" s="24" t="n"/>
    </row>
    <row r="4549" ht="14.25" customHeight="1" s="40">
      <c r="A4549" s="24" t="n"/>
      <c r="B4549" s="29" t="n"/>
      <c r="C4549" s="28" t="n"/>
      <c r="D4549" s="22">
        <f t="array" ref="D4549">IF($C4549="","",IFERROR(INDEX(DATA_MASTER!$C$2:$C$5000,MATCH($C4549,DATA_MASTER!$D$2:$D$5000,0)),""))</f>
        <v/>
      </c>
      <c r="E4549" s="22">
        <f t="array" ref="E4549">IF($C4549="","",IFERROR(INDEX(DATA_MASTER!$I$2:$I$5000,MATCH($C4549,DATA_MASTER!$D$2:$D$5000,0)),""))</f>
        <v/>
      </c>
      <c r="F4549" s="22">
        <f t="array" ref="F4549">IF($C4549="","",IFERROR(INDEX(DATA_MASTER!$L$2:$L$5000,MATCH($C4549,DATA_MASTER!$D$2:$D$5000,0)),""))</f>
        <v/>
      </c>
      <c r="G4549" s="24" t="n"/>
      <c r="H4549" s="24" t="n"/>
      <c r="I4549" s="30" t="n"/>
      <c r="J4549" s="23">
        <f>IF(OR($H4549="",$I4549=""),"",$H4549*$I4549)</f>
        <v/>
      </c>
      <c r="K4549" s="24" t="n"/>
      <c r="L4549" s="24" t="n"/>
      <c r="M4549" s="29" t="n"/>
      <c r="N4549" s="28" t="n"/>
      <c r="O4549" s="24" t="n"/>
      <c r="P4549" s="24" t="n"/>
      <c r="Q4549" s="24" t="n"/>
      <c r="R4549" s="24" t="n"/>
      <c r="S4549" s="22">
        <f>IF(AND($A4549="",$C4549=""),"",IF($A4549="","Thiếu mã đơn; ","")&amp;IF(COUNTIF($A$2:$A4549,$A4549)&gt;1,"Trùng mã đơn; ","")&amp;IF(ISNA(MATCH($C4549,DATA_MASTER!$D$2:$D$5000,0)),"SĐT chưa đăng ký hội viên; ","")&amp;IF(AND($L4549="Đã chuyển khoản",$M4549=""),"Thiếu ngày nhận CK; ",""))</f>
        <v/>
      </c>
      <c r="T4549" s="24" t="n"/>
    </row>
    <row r="4550" ht="14.25" customHeight="1" s="40">
      <c r="A4550" s="24" t="n"/>
      <c r="B4550" s="29" t="n"/>
      <c r="C4550" s="28" t="n"/>
      <c r="D4550" s="22">
        <f t="array" ref="D4550">IF($C4550="","",IFERROR(INDEX(DATA_MASTER!$C$2:$C$5000,MATCH($C4550,DATA_MASTER!$D$2:$D$5000,0)),""))</f>
        <v/>
      </c>
      <c r="E4550" s="22">
        <f t="array" ref="E4550">IF($C4550="","",IFERROR(INDEX(DATA_MASTER!$I$2:$I$5000,MATCH($C4550,DATA_MASTER!$D$2:$D$5000,0)),""))</f>
        <v/>
      </c>
      <c r="F4550" s="22">
        <f t="array" ref="F4550">IF($C4550="","",IFERROR(INDEX(DATA_MASTER!$L$2:$L$5000,MATCH($C4550,DATA_MASTER!$D$2:$D$5000,0)),""))</f>
        <v/>
      </c>
      <c r="G4550" s="24" t="n"/>
      <c r="H4550" s="24" t="n"/>
      <c r="I4550" s="30" t="n"/>
      <c r="J4550" s="23">
        <f>IF(OR($H4550="",$I4550=""),"",$H4550*$I4550)</f>
        <v/>
      </c>
      <c r="K4550" s="24" t="n"/>
      <c r="L4550" s="24" t="n"/>
      <c r="M4550" s="29" t="n"/>
      <c r="N4550" s="28" t="n"/>
      <c r="O4550" s="24" t="n"/>
      <c r="P4550" s="24" t="n"/>
      <c r="Q4550" s="24" t="n"/>
      <c r="R4550" s="24" t="n"/>
      <c r="S4550" s="22">
        <f>IF(AND($A4550="",$C4550=""),"",IF($A4550="","Thiếu mã đơn; ","")&amp;IF(COUNTIF($A$2:$A4550,$A4550)&gt;1,"Trùng mã đơn; ","")&amp;IF(ISNA(MATCH($C4550,DATA_MASTER!$D$2:$D$5000,0)),"SĐT chưa đăng ký hội viên; ","")&amp;IF(AND($L4550="Đã chuyển khoản",$M4550=""),"Thiếu ngày nhận CK; ",""))</f>
        <v/>
      </c>
      <c r="T4550" s="24" t="n"/>
    </row>
    <row r="4551" ht="14.25" customHeight="1" s="40">
      <c r="A4551" s="24" t="n"/>
      <c r="B4551" s="29" t="n"/>
      <c r="C4551" s="28" t="n"/>
      <c r="D4551" s="22">
        <f t="array" ref="D4551">IF($C4551="","",IFERROR(INDEX(DATA_MASTER!$C$2:$C$5000,MATCH($C4551,DATA_MASTER!$D$2:$D$5000,0)),""))</f>
        <v/>
      </c>
      <c r="E4551" s="22">
        <f t="array" ref="E4551">IF($C4551="","",IFERROR(INDEX(DATA_MASTER!$I$2:$I$5000,MATCH($C4551,DATA_MASTER!$D$2:$D$5000,0)),""))</f>
        <v/>
      </c>
      <c r="F4551" s="22">
        <f t="array" ref="F4551">IF($C4551="","",IFERROR(INDEX(DATA_MASTER!$L$2:$L$5000,MATCH($C4551,DATA_MASTER!$D$2:$D$5000,0)),""))</f>
        <v/>
      </c>
      <c r="G4551" s="24" t="n"/>
      <c r="H4551" s="24" t="n"/>
      <c r="I4551" s="30" t="n"/>
      <c r="J4551" s="23">
        <f>IF(OR($H4551="",$I4551=""),"",$H4551*$I4551)</f>
        <v/>
      </c>
      <c r="K4551" s="24" t="n"/>
      <c r="L4551" s="24" t="n"/>
      <c r="M4551" s="29" t="n"/>
      <c r="N4551" s="28" t="n"/>
      <c r="O4551" s="24" t="n"/>
      <c r="P4551" s="24" t="n"/>
      <c r="Q4551" s="24" t="n"/>
      <c r="R4551" s="24" t="n"/>
      <c r="S4551" s="22">
        <f>IF(AND($A4551="",$C4551=""),"",IF($A4551="","Thiếu mã đơn; ","")&amp;IF(COUNTIF($A$2:$A4551,$A4551)&gt;1,"Trùng mã đơn; ","")&amp;IF(ISNA(MATCH($C4551,DATA_MASTER!$D$2:$D$5000,0)),"SĐT chưa đăng ký hội viên; ","")&amp;IF(AND($L4551="Đã chuyển khoản",$M4551=""),"Thiếu ngày nhận CK; ",""))</f>
        <v/>
      </c>
      <c r="T4551" s="24" t="n"/>
    </row>
    <row r="4552" ht="14.25" customHeight="1" s="40">
      <c r="A4552" s="24" t="n"/>
      <c r="B4552" s="29" t="n"/>
      <c r="C4552" s="28" t="n"/>
      <c r="D4552" s="22">
        <f t="array" ref="D4552">IF($C4552="","",IFERROR(INDEX(DATA_MASTER!$C$2:$C$5000,MATCH($C4552,DATA_MASTER!$D$2:$D$5000,0)),""))</f>
        <v/>
      </c>
      <c r="E4552" s="22">
        <f t="array" ref="E4552">IF($C4552="","",IFERROR(INDEX(DATA_MASTER!$I$2:$I$5000,MATCH($C4552,DATA_MASTER!$D$2:$D$5000,0)),""))</f>
        <v/>
      </c>
      <c r="F4552" s="22">
        <f t="array" ref="F4552">IF($C4552="","",IFERROR(INDEX(DATA_MASTER!$L$2:$L$5000,MATCH($C4552,DATA_MASTER!$D$2:$D$5000,0)),""))</f>
        <v/>
      </c>
      <c r="G4552" s="24" t="n"/>
      <c r="H4552" s="24" t="n"/>
      <c r="I4552" s="30" t="n"/>
      <c r="J4552" s="23">
        <f>IF(OR($H4552="",$I4552=""),"",$H4552*$I4552)</f>
        <v/>
      </c>
      <c r="K4552" s="24" t="n"/>
      <c r="L4552" s="24" t="n"/>
      <c r="M4552" s="29" t="n"/>
      <c r="N4552" s="28" t="n"/>
      <c r="O4552" s="24" t="n"/>
      <c r="P4552" s="24" t="n"/>
      <c r="Q4552" s="24" t="n"/>
      <c r="R4552" s="24" t="n"/>
      <c r="S4552" s="22">
        <f>IF(AND($A4552="",$C4552=""),"",IF($A4552="","Thiếu mã đơn; ","")&amp;IF(COUNTIF($A$2:$A4552,$A4552)&gt;1,"Trùng mã đơn; ","")&amp;IF(ISNA(MATCH($C4552,DATA_MASTER!$D$2:$D$5000,0)),"SĐT chưa đăng ký hội viên; ","")&amp;IF(AND($L4552="Đã chuyển khoản",$M4552=""),"Thiếu ngày nhận CK; ",""))</f>
        <v/>
      </c>
      <c r="T4552" s="24" t="n"/>
    </row>
    <row r="4553" ht="14.25" customHeight="1" s="40">
      <c r="A4553" s="24" t="n"/>
      <c r="B4553" s="29" t="n"/>
      <c r="C4553" s="28" t="n"/>
      <c r="D4553" s="22">
        <f t="array" ref="D4553">IF($C4553="","",IFERROR(INDEX(DATA_MASTER!$C$2:$C$5000,MATCH($C4553,DATA_MASTER!$D$2:$D$5000,0)),""))</f>
        <v/>
      </c>
      <c r="E4553" s="22">
        <f t="array" ref="E4553">IF($C4553="","",IFERROR(INDEX(DATA_MASTER!$I$2:$I$5000,MATCH($C4553,DATA_MASTER!$D$2:$D$5000,0)),""))</f>
        <v/>
      </c>
      <c r="F4553" s="22">
        <f t="array" ref="F4553">IF($C4553="","",IFERROR(INDEX(DATA_MASTER!$L$2:$L$5000,MATCH($C4553,DATA_MASTER!$D$2:$D$5000,0)),""))</f>
        <v/>
      </c>
      <c r="G4553" s="24" t="n"/>
      <c r="H4553" s="24" t="n"/>
      <c r="I4553" s="30" t="n"/>
      <c r="J4553" s="23">
        <f>IF(OR($H4553="",$I4553=""),"",$H4553*$I4553)</f>
        <v/>
      </c>
      <c r="K4553" s="24" t="n"/>
      <c r="L4553" s="24" t="n"/>
      <c r="M4553" s="29" t="n"/>
      <c r="N4553" s="28" t="n"/>
      <c r="O4553" s="24" t="n"/>
      <c r="P4553" s="24" t="n"/>
      <c r="Q4553" s="24" t="n"/>
      <c r="R4553" s="24" t="n"/>
      <c r="S4553" s="22">
        <f>IF(AND($A4553="",$C4553=""),"",IF($A4553="","Thiếu mã đơn; ","")&amp;IF(COUNTIF($A$2:$A4553,$A4553)&gt;1,"Trùng mã đơn; ","")&amp;IF(ISNA(MATCH($C4553,DATA_MASTER!$D$2:$D$5000,0)),"SĐT chưa đăng ký hội viên; ","")&amp;IF(AND($L4553="Đã chuyển khoản",$M4553=""),"Thiếu ngày nhận CK; ",""))</f>
        <v/>
      </c>
      <c r="T4553" s="24" t="n"/>
    </row>
    <row r="4554" ht="14.25" customHeight="1" s="40">
      <c r="A4554" s="24" t="n"/>
      <c r="B4554" s="29" t="n"/>
      <c r="C4554" s="28" t="n"/>
      <c r="D4554" s="22">
        <f t="array" ref="D4554">IF($C4554="","",IFERROR(INDEX(DATA_MASTER!$C$2:$C$5000,MATCH($C4554,DATA_MASTER!$D$2:$D$5000,0)),""))</f>
        <v/>
      </c>
      <c r="E4554" s="22">
        <f t="array" ref="E4554">IF($C4554="","",IFERROR(INDEX(DATA_MASTER!$I$2:$I$5000,MATCH($C4554,DATA_MASTER!$D$2:$D$5000,0)),""))</f>
        <v/>
      </c>
      <c r="F4554" s="22">
        <f t="array" ref="F4554">IF($C4554="","",IFERROR(INDEX(DATA_MASTER!$L$2:$L$5000,MATCH($C4554,DATA_MASTER!$D$2:$D$5000,0)),""))</f>
        <v/>
      </c>
      <c r="G4554" s="24" t="n"/>
      <c r="H4554" s="24" t="n"/>
      <c r="I4554" s="30" t="n"/>
      <c r="J4554" s="23">
        <f>IF(OR($H4554="",$I4554=""),"",$H4554*$I4554)</f>
        <v/>
      </c>
      <c r="K4554" s="24" t="n"/>
      <c r="L4554" s="24" t="n"/>
      <c r="M4554" s="29" t="n"/>
      <c r="N4554" s="28" t="n"/>
      <c r="O4554" s="24" t="n"/>
      <c r="P4554" s="24" t="n"/>
      <c r="Q4554" s="24" t="n"/>
      <c r="R4554" s="24" t="n"/>
      <c r="S4554" s="22">
        <f>IF(AND($A4554="",$C4554=""),"",IF($A4554="","Thiếu mã đơn; ","")&amp;IF(COUNTIF($A$2:$A4554,$A4554)&gt;1,"Trùng mã đơn; ","")&amp;IF(ISNA(MATCH($C4554,DATA_MASTER!$D$2:$D$5000,0)),"SĐT chưa đăng ký hội viên; ","")&amp;IF(AND($L4554="Đã chuyển khoản",$M4554=""),"Thiếu ngày nhận CK; ",""))</f>
        <v/>
      </c>
      <c r="T4554" s="24" t="n"/>
    </row>
    <row r="4555" ht="14.25" customHeight="1" s="40">
      <c r="A4555" s="24" t="n"/>
      <c r="B4555" s="29" t="n"/>
      <c r="C4555" s="28" t="n"/>
      <c r="D4555" s="22">
        <f t="array" ref="D4555">IF($C4555="","",IFERROR(INDEX(DATA_MASTER!$C$2:$C$5000,MATCH($C4555,DATA_MASTER!$D$2:$D$5000,0)),""))</f>
        <v/>
      </c>
      <c r="E4555" s="22">
        <f t="array" ref="E4555">IF($C4555="","",IFERROR(INDEX(DATA_MASTER!$I$2:$I$5000,MATCH($C4555,DATA_MASTER!$D$2:$D$5000,0)),""))</f>
        <v/>
      </c>
      <c r="F4555" s="22">
        <f t="array" ref="F4555">IF($C4555="","",IFERROR(INDEX(DATA_MASTER!$L$2:$L$5000,MATCH($C4555,DATA_MASTER!$D$2:$D$5000,0)),""))</f>
        <v/>
      </c>
      <c r="G4555" s="24" t="n"/>
      <c r="H4555" s="24" t="n"/>
      <c r="I4555" s="30" t="n"/>
      <c r="J4555" s="23">
        <f>IF(OR($H4555="",$I4555=""),"",$H4555*$I4555)</f>
        <v/>
      </c>
      <c r="K4555" s="24" t="n"/>
      <c r="L4555" s="24" t="n"/>
      <c r="M4555" s="29" t="n"/>
      <c r="N4555" s="28" t="n"/>
      <c r="O4555" s="24" t="n"/>
      <c r="P4555" s="24" t="n"/>
      <c r="Q4555" s="24" t="n"/>
      <c r="R4555" s="24" t="n"/>
      <c r="S4555" s="22">
        <f>IF(AND($A4555="",$C4555=""),"",IF($A4555="","Thiếu mã đơn; ","")&amp;IF(COUNTIF($A$2:$A4555,$A4555)&gt;1,"Trùng mã đơn; ","")&amp;IF(ISNA(MATCH($C4555,DATA_MASTER!$D$2:$D$5000,0)),"SĐT chưa đăng ký hội viên; ","")&amp;IF(AND($L4555="Đã chuyển khoản",$M4555=""),"Thiếu ngày nhận CK; ",""))</f>
        <v/>
      </c>
      <c r="T4555" s="24" t="n"/>
    </row>
    <row r="4556" ht="14.25" customHeight="1" s="40">
      <c r="A4556" s="24" t="n"/>
      <c r="B4556" s="29" t="n"/>
      <c r="C4556" s="28" t="n"/>
      <c r="D4556" s="22">
        <f t="array" ref="D4556">IF($C4556="","",IFERROR(INDEX(DATA_MASTER!$C$2:$C$5000,MATCH($C4556,DATA_MASTER!$D$2:$D$5000,0)),""))</f>
        <v/>
      </c>
      <c r="E4556" s="22">
        <f t="array" ref="E4556">IF($C4556="","",IFERROR(INDEX(DATA_MASTER!$I$2:$I$5000,MATCH($C4556,DATA_MASTER!$D$2:$D$5000,0)),""))</f>
        <v/>
      </c>
      <c r="F4556" s="22">
        <f t="array" ref="F4556">IF($C4556="","",IFERROR(INDEX(DATA_MASTER!$L$2:$L$5000,MATCH($C4556,DATA_MASTER!$D$2:$D$5000,0)),""))</f>
        <v/>
      </c>
      <c r="G4556" s="24" t="n"/>
      <c r="H4556" s="24" t="n"/>
      <c r="I4556" s="30" t="n"/>
      <c r="J4556" s="23">
        <f>IF(OR($H4556="",$I4556=""),"",$H4556*$I4556)</f>
        <v/>
      </c>
      <c r="K4556" s="24" t="n"/>
      <c r="L4556" s="24" t="n"/>
      <c r="M4556" s="29" t="n"/>
      <c r="N4556" s="28" t="n"/>
      <c r="O4556" s="24" t="n"/>
      <c r="P4556" s="24" t="n"/>
      <c r="Q4556" s="24" t="n"/>
      <c r="R4556" s="24" t="n"/>
      <c r="S4556" s="22">
        <f>IF(AND($A4556="",$C4556=""),"",IF($A4556="","Thiếu mã đơn; ","")&amp;IF(COUNTIF($A$2:$A4556,$A4556)&gt;1,"Trùng mã đơn; ","")&amp;IF(ISNA(MATCH($C4556,DATA_MASTER!$D$2:$D$5000,0)),"SĐT chưa đăng ký hội viên; ","")&amp;IF(AND($L4556="Đã chuyển khoản",$M4556=""),"Thiếu ngày nhận CK; ",""))</f>
        <v/>
      </c>
      <c r="T4556" s="24" t="n"/>
    </row>
    <row r="4557" ht="14.25" customHeight="1" s="40">
      <c r="A4557" s="24" t="n"/>
      <c r="B4557" s="29" t="n"/>
      <c r="C4557" s="28" t="n"/>
      <c r="D4557" s="22">
        <f t="array" ref="D4557">IF($C4557="","",IFERROR(INDEX(DATA_MASTER!$C$2:$C$5000,MATCH($C4557,DATA_MASTER!$D$2:$D$5000,0)),""))</f>
        <v/>
      </c>
      <c r="E4557" s="22">
        <f t="array" ref="E4557">IF($C4557="","",IFERROR(INDEX(DATA_MASTER!$I$2:$I$5000,MATCH($C4557,DATA_MASTER!$D$2:$D$5000,0)),""))</f>
        <v/>
      </c>
      <c r="F4557" s="22">
        <f t="array" ref="F4557">IF($C4557="","",IFERROR(INDEX(DATA_MASTER!$L$2:$L$5000,MATCH($C4557,DATA_MASTER!$D$2:$D$5000,0)),""))</f>
        <v/>
      </c>
      <c r="G4557" s="24" t="n"/>
      <c r="H4557" s="24" t="n"/>
      <c r="I4557" s="30" t="n"/>
      <c r="J4557" s="23">
        <f>IF(OR($H4557="",$I4557=""),"",$H4557*$I4557)</f>
        <v/>
      </c>
      <c r="K4557" s="24" t="n"/>
      <c r="L4557" s="24" t="n"/>
      <c r="M4557" s="29" t="n"/>
      <c r="N4557" s="28" t="n"/>
      <c r="O4557" s="24" t="n"/>
      <c r="P4557" s="24" t="n"/>
      <c r="Q4557" s="24" t="n"/>
      <c r="R4557" s="24" t="n"/>
      <c r="S4557" s="22">
        <f>IF(AND($A4557="",$C4557=""),"",IF($A4557="","Thiếu mã đơn; ","")&amp;IF(COUNTIF($A$2:$A4557,$A4557)&gt;1,"Trùng mã đơn; ","")&amp;IF(ISNA(MATCH($C4557,DATA_MASTER!$D$2:$D$5000,0)),"SĐT chưa đăng ký hội viên; ","")&amp;IF(AND($L4557="Đã chuyển khoản",$M4557=""),"Thiếu ngày nhận CK; ",""))</f>
        <v/>
      </c>
      <c r="T4557" s="24" t="n"/>
    </row>
    <row r="4558" ht="14.25" customHeight="1" s="40">
      <c r="A4558" s="24" t="n"/>
      <c r="B4558" s="29" t="n"/>
      <c r="C4558" s="28" t="n"/>
      <c r="D4558" s="22">
        <f t="array" ref="D4558">IF($C4558="","",IFERROR(INDEX(DATA_MASTER!$C$2:$C$5000,MATCH($C4558,DATA_MASTER!$D$2:$D$5000,0)),""))</f>
        <v/>
      </c>
      <c r="E4558" s="22">
        <f t="array" ref="E4558">IF($C4558="","",IFERROR(INDEX(DATA_MASTER!$I$2:$I$5000,MATCH($C4558,DATA_MASTER!$D$2:$D$5000,0)),""))</f>
        <v/>
      </c>
      <c r="F4558" s="22">
        <f t="array" ref="F4558">IF($C4558="","",IFERROR(INDEX(DATA_MASTER!$L$2:$L$5000,MATCH($C4558,DATA_MASTER!$D$2:$D$5000,0)),""))</f>
        <v/>
      </c>
      <c r="G4558" s="24" t="n"/>
      <c r="H4558" s="24" t="n"/>
      <c r="I4558" s="30" t="n"/>
      <c r="J4558" s="23">
        <f>IF(OR($H4558="",$I4558=""),"",$H4558*$I4558)</f>
        <v/>
      </c>
      <c r="K4558" s="24" t="n"/>
      <c r="L4558" s="24" t="n"/>
      <c r="M4558" s="29" t="n"/>
      <c r="N4558" s="28" t="n"/>
      <c r="O4558" s="24" t="n"/>
      <c r="P4558" s="24" t="n"/>
      <c r="Q4558" s="24" t="n"/>
      <c r="R4558" s="24" t="n"/>
      <c r="S4558" s="22">
        <f>IF(AND($A4558="",$C4558=""),"",IF($A4558="","Thiếu mã đơn; ","")&amp;IF(COUNTIF($A$2:$A4558,$A4558)&gt;1,"Trùng mã đơn; ","")&amp;IF(ISNA(MATCH($C4558,DATA_MASTER!$D$2:$D$5000,0)),"SĐT chưa đăng ký hội viên; ","")&amp;IF(AND($L4558="Đã chuyển khoản",$M4558=""),"Thiếu ngày nhận CK; ",""))</f>
        <v/>
      </c>
      <c r="T4558" s="24" t="n"/>
    </row>
    <row r="4559" ht="14.25" customHeight="1" s="40">
      <c r="A4559" s="24" t="n"/>
      <c r="B4559" s="29" t="n"/>
      <c r="C4559" s="28" t="n"/>
      <c r="D4559" s="22">
        <f t="array" ref="D4559">IF($C4559="","",IFERROR(INDEX(DATA_MASTER!$C$2:$C$5000,MATCH($C4559,DATA_MASTER!$D$2:$D$5000,0)),""))</f>
        <v/>
      </c>
      <c r="E4559" s="22">
        <f t="array" ref="E4559">IF($C4559="","",IFERROR(INDEX(DATA_MASTER!$I$2:$I$5000,MATCH($C4559,DATA_MASTER!$D$2:$D$5000,0)),""))</f>
        <v/>
      </c>
      <c r="F4559" s="22">
        <f t="array" ref="F4559">IF($C4559="","",IFERROR(INDEX(DATA_MASTER!$L$2:$L$5000,MATCH($C4559,DATA_MASTER!$D$2:$D$5000,0)),""))</f>
        <v/>
      </c>
      <c r="G4559" s="24" t="n"/>
      <c r="H4559" s="24" t="n"/>
      <c r="I4559" s="30" t="n"/>
      <c r="J4559" s="23">
        <f>IF(OR($H4559="",$I4559=""),"",$H4559*$I4559)</f>
        <v/>
      </c>
      <c r="K4559" s="24" t="n"/>
      <c r="L4559" s="24" t="n"/>
      <c r="M4559" s="29" t="n"/>
      <c r="N4559" s="28" t="n"/>
      <c r="O4559" s="24" t="n"/>
      <c r="P4559" s="24" t="n"/>
      <c r="Q4559" s="24" t="n"/>
      <c r="R4559" s="24" t="n"/>
      <c r="S4559" s="22">
        <f>IF(AND($A4559="",$C4559=""),"",IF($A4559="","Thiếu mã đơn; ","")&amp;IF(COUNTIF($A$2:$A4559,$A4559)&gt;1,"Trùng mã đơn; ","")&amp;IF(ISNA(MATCH($C4559,DATA_MASTER!$D$2:$D$5000,0)),"SĐT chưa đăng ký hội viên; ","")&amp;IF(AND($L4559="Đã chuyển khoản",$M4559=""),"Thiếu ngày nhận CK; ",""))</f>
        <v/>
      </c>
      <c r="T4559" s="24" t="n"/>
    </row>
    <row r="4560" ht="14.25" customHeight="1" s="40">
      <c r="A4560" s="24" t="n"/>
      <c r="B4560" s="29" t="n"/>
      <c r="C4560" s="28" t="n"/>
      <c r="D4560" s="22">
        <f t="array" ref="D4560">IF($C4560="","",IFERROR(INDEX(DATA_MASTER!$C$2:$C$5000,MATCH($C4560,DATA_MASTER!$D$2:$D$5000,0)),""))</f>
        <v/>
      </c>
      <c r="E4560" s="22">
        <f t="array" ref="E4560">IF($C4560="","",IFERROR(INDEX(DATA_MASTER!$I$2:$I$5000,MATCH($C4560,DATA_MASTER!$D$2:$D$5000,0)),""))</f>
        <v/>
      </c>
      <c r="F4560" s="22">
        <f t="array" ref="F4560">IF($C4560="","",IFERROR(INDEX(DATA_MASTER!$L$2:$L$5000,MATCH($C4560,DATA_MASTER!$D$2:$D$5000,0)),""))</f>
        <v/>
      </c>
      <c r="G4560" s="24" t="n"/>
      <c r="H4560" s="24" t="n"/>
      <c r="I4560" s="30" t="n"/>
      <c r="J4560" s="23">
        <f>IF(OR($H4560="",$I4560=""),"",$H4560*$I4560)</f>
        <v/>
      </c>
      <c r="K4560" s="24" t="n"/>
      <c r="L4560" s="24" t="n"/>
      <c r="M4560" s="29" t="n"/>
      <c r="N4560" s="28" t="n"/>
      <c r="O4560" s="24" t="n"/>
      <c r="P4560" s="24" t="n"/>
      <c r="Q4560" s="24" t="n"/>
      <c r="R4560" s="24" t="n"/>
      <c r="S4560" s="22">
        <f>IF(AND($A4560="",$C4560=""),"",IF($A4560="","Thiếu mã đơn; ","")&amp;IF(COUNTIF($A$2:$A4560,$A4560)&gt;1,"Trùng mã đơn; ","")&amp;IF(ISNA(MATCH($C4560,DATA_MASTER!$D$2:$D$5000,0)),"SĐT chưa đăng ký hội viên; ","")&amp;IF(AND($L4560="Đã chuyển khoản",$M4560=""),"Thiếu ngày nhận CK; ",""))</f>
        <v/>
      </c>
      <c r="T4560" s="24" t="n"/>
    </row>
    <row r="4561" ht="14.25" customHeight="1" s="40">
      <c r="A4561" s="24" t="n"/>
      <c r="B4561" s="29" t="n"/>
      <c r="C4561" s="28" t="n"/>
      <c r="D4561" s="22">
        <f t="array" ref="D4561">IF($C4561="","",IFERROR(INDEX(DATA_MASTER!$C$2:$C$5000,MATCH($C4561,DATA_MASTER!$D$2:$D$5000,0)),""))</f>
        <v/>
      </c>
      <c r="E4561" s="22">
        <f t="array" ref="E4561">IF($C4561="","",IFERROR(INDEX(DATA_MASTER!$I$2:$I$5000,MATCH($C4561,DATA_MASTER!$D$2:$D$5000,0)),""))</f>
        <v/>
      </c>
      <c r="F4561" s="22">
        <f t="array" ref="F4561">IF($C4561="","",IFERROR(INDEX(DATA_MASTER!$L$2:$L$5000,MATCH($C4561,DATA_MASTER!$D$2:$D$5000,0)),""))</f>
        <v/>
      </c>
      <c r="G4561" s="24" t="n"/>
      <c r="H4561" s="24" t="n"/>
      <c r="I4561" s="30" t="n"/>
      <c r="J4561" s="23">
        <f>IF(OR($H4561="",$I4561=""),"",$H4561*$I4561)</f>
        <v/>
      </c>
      <c r="K4561" s="24" t="n"/>
      <c r="L4561" s="24" t="n"/>
      <c r="M4561" s="29" t="n"/>
      <c r="N4561" s="28" t="n"/>
      <c r="O4561" s="24" t="n"/>
      <c r="P4561" s="24" t="n"/>
      <c r="Q4561" s="24" t="n"/>
      <c r="R4561" s="24" t="n"/>
      <c r="S4561" s="22">
        <f>IF(AND($A4561="",$C4561=""),"",IF($A4561="","Thiếu mã đơn; ","")&amp;IF(COUNTIF($A$2:$A4561,$A4561)&gt;1,"Trùng mã đơn; ","")&amp;IF(ISNA(MATCH($C4561,DATA_MASTER!$D$2:$D$5000,0)),"SĐT chưa đăng ký hội viên; ","")&amp;IF(AND($L4561="Đã chuyển khoản",$M4561=""),"Thiếu ngày nhận CK; ",""))</f>
        <v/>
      </c>
      <c r="T4561" s="24" t="n"/>
    </row>
    <row r="4562" ht="14.25" customHeight="1" s="40">
      <c r="A4562" s="24" t="n"/>
      <c r="B4562" s="29" t="n"/>
      <c r="C4562" s="28" t="n"/>
      <c r="D4562" s="22">
        <f t="array" ref="D4562">IF($C4562="","",IFERROR(INDEX(DATA_MASTER!$C$2:$C$5000,MATCH($C4562,DATA_MASTER!$D$2:$D$5000,0)),""))</f>
        <v/>
      </c>
      <c r="E4562" s="22">
        <f t="array" ref="E4562">IF($C4562="","",IFERROR(INDEX(DATA_MASTER!$I$2:$I$5000,MATCH($C4562,DATA_MASTER!$D$2:$D$5000,0)),""))</f>
        <v/>
      </c>
      <c r="F4562" s="22">
        <f t="array" ref="F4562">IF($C4562="","",IFERROR(INDEX(DATA_MASTER!$L$2:$L$5000,MATCH($C4562,DATA_MASTER!$D$2:$D$5000,0)),""))</f>
        <v/>
      </c>
      <c r="G4562" s="24" t="n"/>
      <c r="H4562" s="24" t="n"/>
      <c r="I4562" s="30" t="n"/>
      <c r="J4562" s="23">
        <f>IF(OR($H4562="",$I4562=""),"",$H4562*$I4562)</f>
        <v/>
      </c>
      <c r="K4562" s="24" t="n"/>
      <c r="L4562" s="24" t="n"/>
      <c r="M4562" s="29" t="n"/>
      <c r="N4562" s="28" t="n"/>
      <c r="O4562" s="24" t="n"/>
      <c r="P4562" s="24" t="n"/>
      <c r="Q4562" s="24" t="n"/>
      <c r="R4562" s="24" t="n"/>
      <c r="S4562" s="22">
        <f>IF(AND($A4562="",$C4562=""),"",IF($A4562="","Thiếu mã đơn; ","")&amp;IF(COUNTIF($A$2:$A4562,$A4562)&gt;1,"Trùng mã đơn; ","")&amp;IF(ISNA(MATCH($C4562,DATA_MASTER!$D$2:$D$5000,0)),"SĐT chưa đăng ký hội viên; ","")&amp;IF(AND($L4562="Đã chuyển khoản",$M4562=""),"Thiếu ngày nhận CK; ",""))</f>
        <v/>
      </c>
      <c r="T4562" s="24" t="n"/>
    </row>
    <row r="4563" ht="14.25" customHeight="1" s="40">
      <c r="A4563" s="24" t="n"/>
      <c r="B4563" s="29" t="n"/>
      <c r="C4563" s="28" t="n"/>
      <c r="D4563" s="22">
        <f t="array" ref="D4563">IF($C4563="","",IFERROR(INDEX(DATA_MASTER!$C$2:$C$5000,MATCH($C4563,DATA_MASTER!$D$2:$D$5000,0)),""))</f>
        <v/>
      </c>
      <c r="E4563" s="22">
        <f t="array" ref="E4563">IF($C4563="","",IFERROR(INDEX(DATA_MASTER!$I$2:$I$5000,MATCH($C4563,DATA_MASTER!$D$2:$D$5000,0)),""))</f>
        <v/>
      </c>
      <c r="F4563" s="22">
        <f t="array" ref="F4563">IF($C4563="","",IFERROR(INDEX(DATA_MASTER!$L$2:$L$5000,MATCH($C4563,DATA_MASTER!$D$2:$D$5000,0)),""))</f>
        <v/>
      </c>
      <c r="G4563" s="24" t="n"/>
      <c r="H4563" s="24" t="n"/>
      <c r="I4563" s="30" t="n"/>
      <c r="J4563" s="23">
        <f>IF(OR($H4563="",$I4563=""),"",$H4563*$I4563)</f>
        <v/>
      </c>
      <c r="K4563" s="24" t="n"/>
      <c r="L4563" s="24" t="n"/>
      <c r="M4563" s="29" t="n"/>
      <c r="N4563" s="28" t="n"/>
      <c r="O4563" s="24" t="n"/>
      <c r="P4563" s="24" t="n"/>
      <c r="Q4563" s="24" t="n"/>
      <c r="R4563" s="24" t="n"/>
      <c r="S4563" s="22">
        <f>IF(AND($A4563="",$C4563=""),"",IF($A4563="","Thiếu mã đơn; ","")&amp;IF(COUNTIF($A$2:$A4563,$A4563)&gt;1,"Trùng mã đơn; ","")&amp;IF(ISNA(MATCH($C4563,DATA_MASTER!$D$2:$D$5000,0)),"SĐT chưa đăng ký hội viên; ","")&amp;IF(AND($L4563="Đã chuyển khoản",$M4563=""),"Thiếu ngày nhận CK; ",""))</f>
        <v/>
      </c>
      <c r="T4563" s="24" t="n"/>
    </row>
    <row r="4564" ht="14.25" customHeight="1" s="40">
      <c r="A4564" s="24" t="n"/>
      <c r="B4564" s="29" t="n"/>
      <c r="C4564" s="28" t="n"/>
      <c r="D4564" s="22">
        <f t="array" ref="D4564">IF($C4564="","",IFERROR(INDEX(DATA_MASTER!$C$2:$C$5000,MATCH($C4564,DATA_MASTER!$D$2:$D$5000,0)),""))</f>
        <v/>
      </c>
      <c r="E4564" s="22">
        <f t="array" ref="E4564">IF($C4564="","",IFERROR(INDEX(DATA_MASTER!$I$2:$I$5000,MATCH($C4564,DATA_MASTER!$D$2:$D$5000,0)),""))</f>
        <v/>
      </c>
      <c r="F4564" s="22">
        <f t="array" ref="F4564">IF($C4564="","",IFERROR(INDEX(DATA_MASTER!$L$2:$L$5000,MATCH($C4564,DATA_MASTER!$D$2:$D$5000,0)),""))</f>
        <v/>
      </c>
      <c r="G4564" s="24" t="n"/>
      <c r="H4564" s="24" t="n"/>
      <c r="I4564" s="30" t="n"/>
      <c r="J4564" s="23">
        <f>IF(OR($H4564="",$I4564=""),"",$H4564*$I4564)</f>
        <v/>
      </c>
      <c r="K4564" s="24" t="n"/>
      <c r="L4564" s="24" t="n"/>
      <c r="M4564" s="29" t="n"/>
      <c r="N4564" s="28" t="n"/>
      <c r="O4564" s="24" t="n"/>
      <c r="P4564" s="24" t="n"/>
      <c r="Q4564" s="24" t="n"/>
      <c r="R4564" s="24" t="n"/>
      <c r="S4564" s="22">
        <f>IF(AND($A4564="",$C4564=""),"",IF($A4564="","Thiếu mã đơn; ","")&amp;IF(COUNTIF($A$2:$A4564,$A4564)&gt;1,"Trùng mã đơn; ","")&amp;IF(ISNA(MATCH($C4564,DATA_MASTER!$D$2:$D$5000,0)),"SĐT chưa đăng ký hội viên; ","")&amp;IF(AND($L4564="Đã chuyển khoản",$M4564=""),"Thiếu ngày nhận CK; ",""))</f>
        <v/>
      </c>
      <c r="T4564" s="24" t="n"/>
    </row>
    <row r="4565" ht="14.25" customHeight="1" s="40">
      <c r="A4565" s="24" t="n"/>
      <c r="B4565" s="29" t="n"/>
      <c r="C4565" s="28" t="n"/>
      <c r="D4565" s="22">
        <f t="array" ref="D4565">IF($C4565="","",IFERROR(INDEX(DATA_MASTER!$C$2:$C$5000,MATCH($C4565,DATA_MASTER!$D$2:$D$5000,0)),""))</f>
        <v/>
      </c>
      <c r="E4565" s="22">
        <f t="array" ref="E4565">IF($C4565="","",IFERROR(INDEX(DATA_MASTER!$I$2:$I$5000,MATCH($C4565,DATA_MASTER!$D$2:$D$5000,0)),""))</f>
        <v/>
      </c>
      <c r="F4565" s="22">
        <f t="array" ref="F4565">IF($C4565="","",IFERROR(INDEX(DATA_MASTER!$L$2:$L$5000,MATCH($C4565,DATA_MASTER!$D$2:$D$5000,0)),""))</f>
        <v/>
      </c>
      <c r="G4565" s="24" t="n"/>
      <c r="H4565" s="24" t="n"/>
      <c r="I4565" s="30" t="n"/>
      <c r="J4565" s="23">
        <f>IF(OR($H4565="",$I4565=""),"",$H4565*$I4565)</f>
        <v/>
      </c>
      <c r="K4565" s="24" t="n"/>
      <c r="L4565" s="24" t="n"/>
      <c r="M4565" s="29" t="n"/>
      <c r="N4565" s="28" t="n"/>
      <c r="O4565" s="24" t="n"/>
      <c r="P4565" s="24" t="n"/>
      <c r="Q4565" s="24" t="n"/>
      <c r="R4565" s="24" t="n"/>
      <c r="S4565" s="22">
        <f>IF(AND($A4565="",$C4565=""),"",IF($A4565="","Thiếu mã đơn; ","")&amp;IF(COUNTIF($A$2:$A4565,$A4565)&gt;1,"Trùng mã đơn; ","")&amp;IF(ISNA(MATCH($C4565,DATA_MASTER!$D$2:$D$5000,0)),"SĐT chưa đăng ký hội viên; ","")&amp;IF(AND($L4565="Đã chuyển khoản",$M4565=""),"Thiếu ngày nhận CK; ",""))</f>
        <v/>
      </c>
      <c r="T4565" s="24" t="n"/>
    </row>
    <row r="4566" ht="14.25" customHeight="1" s="40">
      <c r="A4566" s="24" t="n"/>
      <c r="B4566" s="29" t="n"/>
      <c r="C4566" s="28" t="n"/>
      <c r="D4566" s="22">
        <f t="array" ref="D4566">IF($C4566="","",IFERROR(INDEX(DATA_MASTER!$C$2:$C$5000,MATCH($C4566,DATA_MASTER!$D$2:$D$5000,0)),""))</f>
        <v/>
      </c>
      <c r="E4566" s="22">
        <f t="array" ref="E4566">IF($C4566="","",IFERROR(INDEX(DATA_MASTER!$I$2:$I$5000,MATCH($C4566,DATA_MASTER!$D$2:$D$5000,0)),""))</f>
        <v/>
      </c>
      <c r="F4566" s="22">
        <f t="array" ref="F4566">IF($C4566="","",IFERROR(INDEX(DATA_MASTER!$L$2:$L$5000,MATCH($C4566,DATA_MASTER!$D$2:$D$5000,0)),""))</f>
        <v/>
      </c>
      <c r="G4566" s="24" t="n"/>
      <c r="H4566" s="24" t="n"/>
      <c r="I4566" s="30" t="n"/>
      <c r="J4566" s="23">
        <f>IF(OR($H4566="",$I4566=""),"",$H4566*$I4566)</f>
        <v/>
      </c>
      <c r="K4566" s="24" t="n"/>
      <c r="L4566" s="24" t="n"/>
      <c r="M4566" s="29" t="n"/>
      <c r="N4566" s="28" t="n"/>
      <c r="O4566" s="24" t="n"/>
      <c r="P4566" s="24" t="n"/>
      <c r="Q4566" s="24" t="n"/>
      <c r="R4566" s="24" t="n"/>
      <c r="S4566" s="22">
        <f>IF(AND($A4566="",$C4566=""),"",IF($A4566="","Thiếu mã đơn; ","")&amp;IF(COUNTIF($A$2:$A4566,$A4566)&gt;1,"Trùng mã đơn; ","")&amp;IF(ISNA(MATCH($C4566,DATA_MASTER!$D$2:$D$5000,0)),"SĐT chưa đăng ký hội viên; ","")&amp;IF(AND($L4566="Đã chuyển khoản",$M4566=""),"Thiếu ngày nhận CK; ",""))</f>
        <v/>
      </c>
      <c r="T4566" s="24" t="n"/>
    </row>
    <row r="4567" ht="14.25" customHeight="1" s="40">
      <c r="A4567" s="24" t="n"/>
      <c r="B4567" s="29" t="n"/>
      <c r="C4567" s="28" t="n"/>
      <c r="D4567" s="22">
        <f t="array" ref="D4567">IF($C4567="","",IFERROR(INDEX(DATA_MASTER!$C$2:$C$5000,MATCH($C4567,DATA_MASTER!$D$2:$D$5000,0)),""))</f>
        <v/>
      </c>
      <c r="E4567" s="22">
        <f t="array" ref="E4567">IF($C4567="","",IFERROR(INDEX(DATA_MASTER!$I$2:$I$5000,MATCH($C4567,DATA_MASTER!$D$2:$D$5000,0)),""))</f>
        <v/>
      </c>
      <c r="F4567" s="22">
        <f t="array" ref="F4567">IF($C4567="","",IFERROR(INDEX(DATA_MASTER!$L$2:$L$5000,MATCH($C4567,DATA_MASTER!$D$2:$D$5000,0)),""))</f>
        <v/>
      </c>
      <c r="G4567" s="24" t="n"/>
      <c r="H4567" s="24" t="n"/>
      <c r="I4567" s="30" t="n"/>
      <c r="J4567" s="23">
        <f>IF(OR($H4567="",$I4567=""),"",$H4567*$I4567)</f>
        <v/>
      </c>
      <c r="K4567" s="24" t="n"/>
      <c r="L4567" s="24" t="n"/>
      <c r="M4567" s="29" t="n"/>
      <c r="N4567" s="28" t="n"/>
      <c r="O4567" s="24" t="n"/>
      <c r="P4567" s="24" t="n"/>
      <c r="Q4567" s="24" t="n"/>
      <c r="R4567" s="24" t="n"/>
      <c r="S4567" s="22">
        <f>IF(AND($A4567="",$C4567=""),"",IF($A4567="","Thiếu mã đơn; ","")&amp;IF(COUNTIF($A$2:$A4567,$A4567)&gt;1,"Trùng mã đơn; ","")&amp;IF(ISNA(MATCH($C4567,DATA_MASTER!$D$2:$D$5000,0)),"SĐT chưa đăng ký hội viên; ","")&amp;IF(AND($L4567="Đã chuyển khoản",$M4567=""),"Thiếu ngày nhận CK; ",""))</f>
        <v/>
      </c>
      <c r="T4567" s="24" t="n"/>
    </row>
    <row r="4568" ht="14.25" customHeight="1" s="40">
      <c r="A4568" s="24" t="n"/>
      <c r="B4568" s="29" t="n"/>
      <c r="C4568" s="28" t="n"/>
      <c r="D4568" s="22">
        <f t="array" ref="D4568">IF($C4568="","",IFERROR(INDEX(DATA_MASTER!$C$2:$C$5000,MATCH($C4568,DATA_MASTER!$D$2:$D$5000,0)),""))</f>
        <v/>
      </c>
      <c r="E4568" s="22">
        <f t="array" ref="E4568">IF($C4568="","",IFERROR(INDEX(DATA_MASTER!$I$2:$I$5000,MATCH($C4568,DATA_MASTER!$D$2:$D$5000,0)),""))</f>
        <v/>
      </c>
      <c r="F4568" s="22">
        <f t="array" ref="F4568">IF($C4568="","",IFERROR(INDEX(DATA_MASTER!$L$2:$L$5000,MATCH($C4568,DATA_MASTER!$D$2:$D$5000,0)),""))</f>
        <v/>
      </c>
      <c r="G4568" s="24" t="n"/>
      <c r="H4568" s="24" t="n"/>
      <c r="I4568" s="30" t="n"/>
      <c r="J4568" s="23">
        <f>IF(OR($H4568="",$I4568=""),"",$H4568*$I4568)</f>
        <v/>
      </c>
      <c r="K4568" s="24" t="n"/>
      <c r="L4568" s="24" t="n"/>
      <c r="M4568" s="29" t="n"/>
      <c r="N4568" s="28" t="n"/>
      <c r="O4568" s="24" t="n"/>
      <c r="P4568" s="24" t="n"/>
      <c r="Q4568" s="24" t="n"/>
      <c r="R4568" s="24" t="n"/>
      <c r="S4568" s="22">
        <f>IF(AND($A4568="",$C4568=""),"",IF($A4568="","Thiếu mã đơn; ","")&amp;IF(COUNTIF($A$2:$A4568,$A4568)&gt;1,"Trùng mã đơn; ","")&amp;IF(ISNA(MATCH($C4568,DATA_MASTER!$D$2:$D$5000,0)),"SĐT chưa đăng ký hội viên; ","")&amp;IF(AND($L4568="Đã chuyển khoản",$M4568=""),"Thiếu ngày nhận CK; ",""))</f>
        <v/>
      </c>
      <c r="T4568" s="24" t="n"/>
    </row>
    <row r="4569" ht="14.25" customHeight="1" s="40">
      <c r="A4569" s="24" t="n"/>
      <c r="B4569" s="29" t="n"/>
      <c r="C4569" s="28" t="n"/>
      <c r="D4569" s="22">
        <f t="array" ref="D4569">IF($C4569="","",IFERROR(INDEX(DATA_MASTER!$C$2:$C$5000,MATCH($C4569,DATA_MASTER!$D$2:$D$5000,0)),""))</f>
        <v/>
      </c>
      <c r="E4569" s="22">
        <f t="array" ref="E4569">IF($C4569="","",IFERROR(INDEX(DATA_MASTER!$I$2:$I$5000,MATCH($C4569,DATA_MASTER!$D$2:$D$5000,0)),""))</f>
        <v/>
      </c>
      <c r="F4569" s="22">
        <f t="array" ref="F4569">IF($C4569="","",IFERROR(INDEX(DATA_MASTER!$L$2:$L$5000,MATCH($C4569,DATA_MASTER!$D$2:$D$5000,0)),""))</f>
        <v/>
      </c>
      <c r="G4569" s="24" t="n"/>
      <c r="H4569" s="24" t="n"/>
      <c r="I4569" s="30" t="n"/>
      <c r="J4569" s="23">
        <f>IF(OR($H4569="",$I4569=""),"",$H4569*$I4569)</f>
        <v/>
      </c>
      <c r="K4569" s="24" t="n"/>
      <c r="L4569" s="24" t="n"/>
      <c r="M4569" s="29" t="n"/>
      <c r="N4569" s="28" t="n"/>
      <c r="O4569" s="24" t="n"/>
      <c r="P4569" s="24" t="n"/>
      <c r="Q4569" s="24" t="n"/>
      <c r="R4569" s="24" t="n"/>
      <c r="S4569" s="22">
        <f>IF(AND($A4569="",$C4569=""),"",IF($A4569="","Thiếu mã đơn; ","")&amp;IF(COUNTIF($A$2:$A4569,$A4569)&gt;1,"Trùng mã đơn; ","")&amp;IF(ISNA(MATCH($C4569,DATA_MASTER!$D$2:$D$5000,0)),"SĐT chưa đăng ký hội viên; ","")&amp;IF(AND($L4569="Đã chuyển khoản",$M4569=""),"Thiếu ngày nhận CK; ",""))</f>
        <v/>
      </c>
      <c r="T4569" s="24" t="n"/>
    </row>
    <row r="4570" ht="14.25" customHeight="1" s="40">
      <c r="A4570" s="24" t="n"/>
      <c r="B4570" s="29" t="n"/>
      <c r="C4570" s="28" t="n"/>
      <c r="D4570" s="22">
        <f t="array" ref="D4570">IF($C4570="","",IFERROR(INDEX(DATA_MASTER!$C$2:$C$5000,MATCH($C4570,DATA_MASTER!$D$2:$D$5000,0)),""))</f>
        <v/>
      </c>
      <c r="E4570" s="22">
        <f t="array" ref="E4570">IF($C4570="","",IFERROR(INDEX(DATA_MASTER!$I$2:$I$5000,MATCH($C4570,DATA_MASTER!$D$2:$D$5000,0)),""))</f>
        <v/>
      </c>
      <c r="F4570" s="22">
        <f t="array" ref="F4570">IF($C4570="","",IFERROR(INDEX(DATA_MASTER!$L$2:$L$5000,MATCH($C4570,DATA_MASTER!$D$2:$D$5000,0)),""))</f>
        <v/>
      </c>
      <c r="G4570" s="24" t="n"/>
      <c r="H4570" s="24" t="n"/>
      <c r="I4570" s="30" t="n"/>
      <c r="J4570" s="23">
        <f>IF(OR($H4570="",$I4570=""),"",$H4570*$I4570)</f>
        <v/>
      </c>
      <c r="K4570" s="24" t="n"/>
      <c r="L4570" s="24" t="n"/>
      <c r="M4570" s="29" t="n"/>
      <c r="N4570" s="28" t="n"/>
      <c r="O4570" s="24" t="n"/>
      <c r="P4570" s="24" t="n"/>
      <c r="Q4570" s="24" t="n"/>
      <c r="R4570" s="24" t="n"/>
      <c r="S4570" s="22">
        <f>IF(AND($A4570="",$C4570=""),"",IF($A4570="","Thiếu mã đơn; ","")&amp;IF(COUNTIF($A$2:$A4570,$A4570)&gt;1,"Trùng mã đơn; ","")&amp;IF(ISNA(MATCH($C4570,DATA_MASTER!$D$2:$D$5000,0)),"SĐT chưa đăng ký hội viên; ","")&amp;IF(AND($L4570="Đã chuyển khoản",$M4570=""),"Thiếu ngày nhận CK; ",""))</f>
        <v/>
      </c>
      <c r="T4570" s="24" t="n"/>
    </row>
    <row r="4571" ht="14.25" customHeight="1" s="40">
      <c r="A4571" s="24" t="n"/>
      <c r="B4571" s="29" t="n"/>
      <c r="C4571" s="28" t="n"/>
      <c r="D4571" s="22">
        <f t="array" ref="D4571">IF($C4571="","",IFERROR(INDEX(DATA_MASTER!$C$2:$C$5000,MATCH($C4571,DATA_MASTER!$D$2:$D$5000,0)),""))</f>
        <v/>
      </c>
      <c r="E4571" s="22">
        <f t="array" ref="E4571">IF($C4571="","",IFERROR(INDEX(DATA_MASTER!$I$2:$I$5000,MATCH($C4571,DATA_MASTER!$D$2:$D$5000,0)),""))</f>
        <v/>
      </c>
      <c r="F4571" s="22">
        <f t="array" ref="F4571">IF($C4571="","",IFERROR(INDEX(DATA_MASTER!$L$2:$L$5000,MATCH($C4571,DATA_MASTER!$D$2:$D$5000,0)),""))</f>
        <v/>
      </c>
      <c r="G4571" s="24" t="n"/>
      <c r="H4571" s="24" t="n"/>
      <c r="I4571" s="30" t="n"/>
      <c r="J4571" s="23">
        <f>IF(OR($H4571="",$I4571=""),"",$H4571*$I4571)</f>
        <v/>
      </c>
      <c r="K4571" s="24" t="n"/>
      <c r="L4571" s="24" t="n"/>
      <c r="M4571" s="29" t="n"/>
      <c r="N4571" s="28" t="n"/>
      <c r="O4571" s="24" t="n"/>
      <c r="P4571" s="24" t="n"/>
      <c r="Q4571" s="24" t="n"/>
      <c r="R4571" s="24" t="n"/>
      <c r="S4571" s="22">
        <f>IF(AND($A4571="",$C4571=""),"",IF($A4571="","Thiếu mã đơn; ","")&amp;IF(COUNTIF($A$2:$A4571,$A4571)&gt;1,"Trùng mã đơn; ","")&amp;IF(ISNA(MATCH($C4571,DATA_MASTER!$D$2:$D$5000,0)),"SĐT chưa đăng ký hội viên; ","")&amp;IF(AND($L4571="Đã chuyển khoản",$M4571=""),"Thiếu ngày nhận CK; ",""))</f>
        <v/>
      </c>
      <c r="T4571" s="24" t="n"/>
    </row>
    <row r="4572" ht="14.25" customHeight="1" s="40">
      <c r="A4572" s="24" t="n"/>
      <c r="B4572" s="29" t="n"/>
      <c r="C4572" s="28" t="n"/>
      <c r="D4572" s="22">
        <f t="array" ref="D4572">IF($C4572="","",IFERROR(INDEX(DATA_MASTER!$C$2:$C$5000,MATCH($C4572,DATA_MASTER!$D$2:$D$5000,0)),""))</f>
        <v/>
      </c>
      <c r="E4572" s="22">
        <f t="array" ref="E4572">IF($C4572="","",IFERROR(INDEX(DATA_MASTER!$I$2:$I$5000,MATCH($C4572,DATA_MASTER!$D$2:$D$5000,0)),""))</f>
        <v/>
      </c>
      <c r="F4572" s="22">
        <f t="array" ref="F4572">IF($C4572="","",IFERROR(INDEX(DATA_MASTER!$L$2:$L$5000,MATCH($C4572,DATA_MASTER!$D$2:$D$5000,0)),""))</f>
        <v/>
      </c>
      <c r="G4572" s="24" t="n"/>
      <c r="H4572" s="24" t="n"/>
      <c r="I4572" s="30" t="n"/>
      <c r="J4572" s="23">
        <f>IF(OR($H4572="",$I4572=""),"",$H4572*$I4572)</f>
        <v/>
      </c>
      <c r="K4572" s="24" t="n"/>
      <c r="L4572" s="24" t="n"/>
      <c r="M4572" s="29" t="n"/>
      <c r="N4572" s="28" t="n"/>
      <c r="O4572" s="24" t="n"/>
      <c r="P4572" s="24" t="n"/>
      <c r="Q4572" s="24" t="n"/>
      <c r="R4572" s="24" t="n"/>
      <c r="S4572" s="22">
        <f>IF(AND($A4572="",$C4572=""),"",IF($A4572="","Thiếu mã đơn; ","")&amp;IF(COUNTIF($A$2:$A4572,$A4572)&gt;1,"Trùng mã đơn; ","")&amp;IF(ISNA(MATCH($C4572,DATA_MASTER!$D$2:$D$5000,0)),"SĐT chưa đăng ký hội viên; ","")&amp;IF(AND($L4572="Đã chuyển khoản",$M4572=""),"Thiếu ngày nhận CK; ",""))</f>
        <v/>
      </c>
      <c r="T4572" s="24" t="n"/>
    </row>
    <row r="4573" ht="14.25" customHeight="1" s="40">
      <c r="A4573" s="24" t="n"/>
      <c r="B4573" s="29" t="n"/>
      <c r="C4573" s="28" t="n"/>
      <c r="D4573" s="22">
        <f t="array" ref="D4573">IF($C4573="","",IFERROR(INDEX(DATA_MASTER!$C$2:$C$5000,MATCH($C4573,DATA_MASTER!$D$2:$D$5000,0)),""))</f>
        <v/>
      </c>
      <c r="E4573" s="22">
        <f t="array" ref="E4573">IF($C4573="","",IFERROR(INDEX(DATA_MASTER!$I$2:$I$5000,MATCH($C4573,DATA_MASTER!$D$2:$D$5000,0)),""))</f>
        <v/>
      </c>
      <c r="F4573" s="22">
        <f t="array" ref="F4573">IF($C4573="","",IFERROR(INDEX(DATA_MASTER!$L$2:$L$5000,MATCH($C4573,DATA_MASTER!$D$2:$D$5000,0)),""))</f>
        <v/>
      </c>
      <c r="G4573" s="24" t="n"/>
      <c r="H4573" s="24" t="n"/>
      <c r="I4573" s="30" t="n"/>
      <c r="J4573" s="23">
        <f>IF(OR($H4573="",$I4573=""),"",$H4573*$I4573)</f>
        <v/>
      </c>
      <c r="K4573" s="24" t="n"/>
      <c r="L4573" s="24" t="n"/>
      <c r="M4573" s="29" t="n"/>
      <c r="N4573" s="28" t="n"/>
      <c r="O4573" s="24" t="n"/>
      <c r="P4573" s="24" t="n"/>
      <c r="Q4573" s="24" t="n"/>
      <c r="R4573" s="24" t="n"/>
      <c r="S4573" s="22">
        <f>IF(AND($A4573="",$C4573=""),"",IF($A4573="","Thiếu mã đơn; ","")&amp;IF(COUNTIF($A$2:$A4573,$A4573)&gt;1,"Trùng mã đơn; ","")&amp;IF(ISNA(MATCH($C4573,DATA_MASTER!$D$2:$D$5000,0)),"SĐT chưa đăng ký hội viên; ","")&amp;IF(AND($L4573="Đã chuyển khoản",$M4573=""),"Thiếu ngày nhận CK; ",""))</f>
        <v/>
      </c>
      <c r="T4573" s="24" t="n"/>
    </row>
    <row r="4574" ht="14.25" customHeight="1" s="40">
      <c r="A4574" s="24" t="n"/>
      <c r="B4574" s="29" t="n"/>
      <c r="C4574" s="28" t="n"/>
      <c r="D4574" s="22">
        <f t="array" ref="D4574">IF($C4574="","",IFERROR(INDEX(DATA_MASTER!$C$2:$C$5000,MATCH($C4574,DATA_MASTER!$D$2:$D$5000,0)),""))</f>
        <v/>
      </c>
      <c r="E4574" s="22">
        <f t="array" ref="E4574">IF($C4574="","",IFERROR(INDEX(DATA_MASTER!$I$2:$I$5000,MATCH($C4574,DATA_MASTER!$D$2:$D$5000,0)),""))</f>
        <v/>
      </c>
      <c r="F4574" s="22">
        <f t="array" ref="F4574">IF($C4574="","",IFERROR(INDEX(DATA_MASTER!$L$2:$L$5000,MATCH($C4574,DATA_MASTER!$D$2:$D$5000,0)),""))</f>
        <v/>
      </c>
      <c r="G4574" s="24" t="n"/>
      <c r="H4574" s="24" t="n"/>
      <c r="I4574" s="30" t="n"/>
      <c r="J4574" s="23">
        <f>IF(OR($H4574="",$I4574=""),"",$H4574*$I4574)</f>
        <v/>
      </c>
      <c r="K4574" s="24" t="n"/>
      <c r="L4574" s="24" t="n"/>
      <c r="M4574" s="29" t="n"/>
      <c r="N4574" s="28" t="n"/>
      <c r="O4574" s="24" t="n"/>
      <c r="P4574" s="24" t="n"/>
      <c r="Q4574" s="24" t="n"/>
      <c r="R4574" s="24" t="n"/>
      <c r="S4574" s="22">
        <f>IF(AND($A4574="",$C4574=""),"",IF($A4574="","Thiếu mã đơn; ","")&amp;IF(COUNTIF($A$2:$A4574,$A4574)&gt;1,"Trùng mã đơn; ","")&amp;IF(ISNA(MATCH($C4574,DATA_MASTER!$D$2:$D$5000,0)),"SĐT chưa đăng ký hội viên; ","")&amp;IF(AND($L4574="Đã chuyển khoản",$M4574=""),"Thiếu ngày nhận CK; ",""))</f>
        <v/>
      </c>
      <c r="T4574" s="24" t="n"/>
    </row>
    <row r="4575" ht="14.25" customHeight="1" s="40">
      <c r="A4575" s="24" t="n"/>
      <c r="B4575" s="29" t="n"/>
      <c r="C4575" s="28" t="n"/>
      <c r="D4575" s="22">
        <f t="array" ref="D4575">IF($C4575="","",IFERROR(INDEX(DATA_MASTER!$C$2:$C$5000,MATCH($C4575,DATA_MASTER!$D$2:$D$5000,0)),""))</f>
        <v/>
      </c>
      <c r="E4575" s="22">
        <f t="array" ref="E4575">IF($C4575="","",IFERROR(INDEX(DATA_MASTER!$I$2:$I$5000,MATCH($C4575,DATA_MASTER!$D$2:$D$5000,0)),""))</f>
        <v/>
      </c>
      <c r="F4575" s="22">
        <f t="array" ref="F4575">IF($C4575="","",IFERROR(INDEX(DATA_MASTER!$L$2:$L$5000,MATCH($C4575,DATA_MASTER!$D$2:$D$5000,0)),""))</f>
        <v/>
      </c>
      <c r="G4575" s="24" t="n"/>
      <c r="H4575" s="24" t="n"/>
      <c r="I4575" s="30" t="n"/>
      <c r="J4575" s="23">
        <f>IF(OR($H4575="",$I4575=""),"",$H4575*$I4575)</f>
        <v/>
      </c>
      <c r="K4575" s="24" t="n"/>
      <c r="L4575" s="24" t="n"/>
      <c r="M4575" s="29" t="n"/>
      <c r="N4575" s="28" t="n"/>
      <c r="O4575" s="24" t="n"/>
      <c r="P4575" s="24" t="n"/>
      <c r="Q4575" s="24" t="n"/>
      <c r="R4575" s="24" t="n"/>
      <c r="S4575" s="22">
        <f>IF(AND($A4575="",$C4575=""),"",IF($A4575="","Thiếu mã đơn; ","")&amp;IF(COUNTIF($A$2:$A4575,$A4575)&gt;1,"Trùng mã đơn; ","")&amp;IF(ISNA(MATCH($C4575,DATA_MASTER!$D$2:$D$5000,0)),"SĐT chưa đăng ký hội viên; ","")&amp;IF(AND($L4575="Đã chuyển khoản",$M4575=""),"Thiếu ngày nhận CK; ",""))</f>
        <v/>
      </c>
      <c r="T4575" s="24" t="n"/>
    </row>
    <row r="4576" ht="14.25" customHeight="1" s="40">
      <c r="A4576" s="24" t="n"/>
      <c r="B4576" s="29" t="n"/>
      <c r="C4576" s="28" t="n"/>
      <c r="D4576" s="22">
        <f t="array" ref="D4576">IF($C4576="","",IFERROR(INDEX(DATA_MASTER!$C$2:$C$5000,MATCH($C4576,DATA_MASTER!$D$2:$D$5000,0)),""))</f>
        <v/>
      </c>
      <c r="E4576" s="22">
        <f t="array" ref="E4576">IF($C4576="","",IFERROR(INDEX(DATA_MASTER!$I$2:$I$5000,MATCH($C4576,DATA_MASTER!$D$2:$D$5000,0)),""))</f>
        <v/>
      </c>
      <c r="F4576" s="22">
        <f t="array" ref="F4576">IF($C4576="","",IFERROR(INDEX(DATA_MASTER!$L$2:$L$5000,MATCH($C4576,DATA_MASTER!$D$2:$D$5000,0)),""))</f>
        <v/>
      </c>
      <c r="G4576" s="24" t="n"/>
      <c r="H4576" s="24" t="n"/>
      <c r="I4576" s="30" t="n"/>
      <c r="J4576" s="23">
        <f>IF(OR($H4576="",$I4576=""),"",$H4576*$I4576)</f>
        <v/>
      </c>
      <c r="K4576" s="24" t="n"/>
      <c r="L4576" s="24" t="n"/>
      <c r="M4576" s="29" t="n"/>
      <c r="N4576" s="28" t="n"/>
      <c r="O4576" s="24" t="n"/>
      <c r="P4576" s="24" t="n"/>
      <c r="Q4576" s="24" t="n"/>
      <c r="R4576" s="24" t="n"/>
      <c r="S4576" s="22">
        <f>IF(AND($A4576="",$C4576=""),"",IF($A4576="","Thiếu mã đơn; ","")&amp;IF(COUNTIF($A$2:$A4576,$A4576)&gt;1,"Trùng mã đơn; ","")&amp;IF(ISNA(MATCH($C4576,DATA_MASTER!$D$2:$D$5000,0)),"SĐT chưa đăng ký hội viên; ","")&amp;IF(AND($L4576="Đã chuyển khoản",$M4576=""),"Thiếu ngày nhận CK; ",""))</f>
        <v/>
      </c>
      <c r="T4576" s="24" t="n"/>
    </row>
    <row r="4577" ht="14.25" customHeight="1" s="40">
      <c r="A4577" s="24" t="n"/>
      <c r="B4577" s="29" t="n"/>
      <c r="C4577" s="28" t="n"/>
      <c r="D4577" s="22">
        <f t="array" ref="D4577">IF($C4577="","",IFERROR(INDEX(DATA_MASTER!$C$2:$C$5000,MATCH($C4577,DATA_MASTER!$D$2:$D$5000,0)),""))</f>
        <v/>
      </c>
      <c r="E4577" s="22">
        <f t="array" ref="E4577">IF($C4577="","",IFERROR(INDEX(DATA_MASTER!$I$2:$I$5000,MATCH($C4577,DATA_MASTER!$D$2:$D$5000,0)),""))</f>
        <v/>
      </c>
      <c r="F4577" s="22">
        <f t="array" ref="F4577">IF($C4577="","",IFERROR(INDEX(DATA_MASTER!$L$2:$L$5000,MATCH($C4577,DATA_MASTER!$D$2:$D$5000,0)),""))</f>
        <v/>
      </c>
      <c r="G4577" s="24" t="n"/>
      <c r="H4577" s="24" t="n"/>
      <c r="I4577" s="30" t="n"/>
      <c r="J4577" s="23">
        <f>IF(OR($H4577="",$I4577=""),"",$H4577*$I4577)</f>
        <v/>
      </c>
      <c r="K4577" s="24" t="n"/>
      <c r="L4577" s="24" t="n"/>
      <c r="M4577" s="29" t="n"/>
      <c r="N4577" s="28" t="n"/>
      <c r="O4577" s="24" t="n"/>
      <c r="P4577" s="24" t="n"/>
      <c r="Q4577" s="24" t="n"/>
      <c r="R4577" s="24" t="n"/>
      <c r="S4577" s="22">
        <f>IF(AND($A4577="",$C4577=""),"",IF($A4577="","Thiếu mã đơn; ","")&amp;IF(COUNTIF($A$2:$A4577,$A4577)&gt;1,"Trùng mã đơn; ","")&amp;IF(ISNA(MATCH($C4577,DATA_MASTER!$D$2:$D$5000,0)),"SĐT chưa đăng ký hội viên; ","")&amp;IF(AND($L4577="Đã chuyển khoản",$M4577=""),"Thiếu ngày nhận CK; ",""))</f>
        <v/>
      </c>
      <c r="T4577" s="24" t="n"/>
    </row>
    <row r="4578" ht="14.25" customHeight="1" s="40">
      <c r="A4578" s="24" t="n"/>
      <c r="B4578" s="29" t="n"/>
      <c r="C4578" s="28" t="n"/>
      <c r="D4578" s="22">
        <f t="array" ref="D4578">IF($C4578="","",IFERROR(INDEX(DATA_MASTER!$C$2:$C$5000,MATCH($C4578,DATA_MASTER!$D$2:$D$5000,0)),""))</f>
        <v/>
      </c>
      <c r="E4578" s="22">
        <f t="array" ref="E4578">IF($C4578="","",IFERROR(INDEX(DATA_MASTER!$I$2:$I$5000,MATCH($C4578,DATA_MASTER!$D$2:$D$5000,0)),""))</f>
        <v/>
      </c>
      <c r="F4578" s="22">
        <f t="array" ref="F4578">IF($C4578="","",IFERROR(INDEX(DATA_MASTER!$L$2:$L$5000,MATCH($C4578,DATA_MASTER!$D$2:$D$5000,0)),""))</f>
        <v/>
      </c>
      <c r="G4578" s="24" t="n"/>
      <c r="H4578" s="24" t="n"/>
      <c r="I4578" s="30" t="n"/>
      <c r="J4578" s="23">
        <f>IF(OR($H4578="",$I4578=""),"",$H4578*$I4578)</f>
        <v/>
      </c>
      <c r="K4578" s="24" t="n"/>
      <c r="L4578" s="24" t="n"/>
      <c r="M4578" s="29" t="n"/>
      <c r="N4578" s="28" t="n"/>
      <c r="O4578" s="24" t="n"/>
      <c r="P4578" s="24" t="n"/>
      <c r="Q4578" s="24" t="n"/>
      <c r="R4578" s="24" t="n"/>
      <c r="S4578" s="22">
        <f>IF(AND($A4578="",$C4578=""),"",IF($A4578="","Thiếu mã đơn; ","")&amp;IF(COUNTIF($A$2:$A4578,$A4578)&gt;1,"Trùng mã đơn; ","")&amp;IF(ISNA(MATCH($C4578,DATA_MASTER!$D$2:$D$5000,0)),"SĐT chưa đăng ký hội viên; ","")&amp;IF(AND($L4578="Đã chuyển khoản",$M4578=""),"Thiếu ngày nhận CK; ",""))</f>
        <v/>
      </c>
      <c r="T4578" s="24" t="n"/>
    </row>
    <row r="4579" ht="14.25" customHeight="1" s="40">
      <c r="A4579" s="24" t="n"/>
      <c r="B4579" s="29" t="n"/>
      <c r="C4579" s="28" t="n"/>
      <c r="D4579" s="22">
        <f t="array" ref="D4579">IF($C4579="","",IFERROR(INDEX(DATA_MASTER!$C$2:$C$5000,MATCH($C4579,DATA_MASTER!$D$2:$D$5000,0)),""))</f>
        <v/>
      </c>
      <c r="E4579" s="22">
        <f t="array" ref="E4579">IF($C4579="","",IFERROR(INDEX(DATA_MASTER!$I$2:$I$5000,MATCH($C4579,DATA_MASTER!$D$2:$D$5000,0)),""))</f>
        <v/>
      </c>
      <c r="F4579" s="22">
        <f t="array" ref="F4579">IF($C4579="","",IFERROR(INDEX(DATA_MASTER!$L$2:$L$5000,MATCH($C4579,DATA_MASTER!$D$2:$D$5000,0)),""))</f>
        <v/>
      </c>
      <c r="G4579" s="24" t="n"/>
      <c r="H4579" s="24" t="n"/>
      <c r="I4579" s="30" t="n"/>
      <c r="J4579" s="23">
        <f>IF(OR($H4579="",$I4579=""),"",$H4579*$I4579)</f>
        <v/>
      </c>
      <c r="K4579" s="24" t="n"/>
      <c r="L4579" s="24" t="n"/>
      <c r="M4579" s="29" t="n"/>
      <c r="N4579" s="28" t="n"/>
      <c r="O4579" s="24" t="n"/>
      <c r="P4579" s="24" t="n"/>
      <c r="Q4579" s="24" t="n"/>
      <c r="R4579" s="24" t="n"/>
      <c r="S4579" s="22">
        <f>IF(AND($A4579="",$C4579=""),"",IF($A4579="","Thiếu mã đơn; ","")&amp;IF(COUNTIF($A$2:$A4579,$A4579)&gt;1,"Trùng mã đơn; ","")&amp;IF(ISNA(MATCH($C4579,DATA_MASTER!$D$2:$D$5000,0)),"SĐT chưa đăng ký hội viên; ","")&amp;IF(AND($L4579="Đã chuyển khoản",$M4579=""),"Thiếu ngày nhận CK; ",""))</f>
        <v/>
      </c>
      <c r="T4579" s="24" t="n"/>
    </row>
    <row r="4580" ht="14.25" customHeight="1" s="40">
      <c r="A4580" s="24" t="n"/>
      <c r="B4580" s="29" t="n"/>
      <c r="C4580" s="28" t="n"/>
      <c r="D4580" s="22">
        <f t="array" ref="D4580">IF($C4580="","",IFERROR(INDEX(DATA_MASTER!$C$2:$C$5000,MATCH($C4580,DATA_MASTER!$D$2:$D$5000,0)),""))</f>
        <v/>
      </c>
      <c r="E4580" s="22">
        <f t="array" ref="E4580">IF($C4580="","",IFERROR(INDEX(DATA_MASTER!$I$2:$I$5000,MATCH($C4580,DATA_MASTER!$D$2:$D$5000,0)),""))</f>
        <v/>
      </c>
      <c r="F4580" s="22">
        <f t="array" ref="F4580">IF($C4580="","",IFERROR(INDEX(DATA_MASTER!$L$2:$L$5000,MATCH($C4580,DATA_MASTER!$D$2:$D$5000,0)),""))</f>
        <v/>
      </c>
      <c r="G4580" s="24" t="n"/>
      <c r="H4580" s="24" t="n"/>
      <c r="I4580" s="30" t="n"/>
      <c r="J4580" s="23">
        <f>IF(OR($H4580="",$I4580=""),"",$H4580*$I4580)</f>
        <v/>
      </c>
      <c r="K4580" s="24" t="n"/>
      <c r="L4580" s="24" t="n"/>
      <c r="M4580" s="29" t="n"/>
      <c r="N4580" s="28" t="n"/>
      <c r="O4580" s="24" t="n"/>
      <c r="P4580" s="24" t="n"/>
      <c r="Q4580" s="24" t="n"/>
      <c r="R4580" s="24" t="n"/>
      <c r="S4580" s="22">
        <f>IF(AND($A4580="",$C4580=""),"",IF($A4580="","Thiếu mã đơn; ","")&amp;IF(COUNTIF($A$2:$A4580,$A4580)&gt;1,"Trùng mã đơn; ","")&amp;IF(ISNA(MATCH($C4580,DATA_MASTER!$D$2:$D$5000,0)),"SĐT chưa đăng ký hội viên; ","")&amp;IF(AND($L4580="Đã chuyển khoản",$M4580=""),"Thiếu ngày nhận CK; ",""))</f>
        <v/>
      </c>
      <c r="T4580" s="24" t="n"/>
    </row>
    <row r="4581" ht="14.25" customHeight="1" s="40">
      <c r="A4581" s="24" t="n"/>
      <c r="B4581" s="29" t="n"/>
      <c r="C4581" s="28" t="n"/>
      <c r="D4581" s="22">
        <f t="array" ref="D4581">IF($C4581="","",IFERROR(INDEX(DATA_MASTER!$C$2:$C$5000,MATCH($C4581,DATA_MASTER!$D$2:$D$5000,0)),""))</f>
        <v/>
      </c>
      <c r="E4581" s="22">
        <f t="array" ref="E4581">IF($C4581="","",IFERROR(INDEX(DATA_MASTER!$I$2:$I$5000,MATCH($C4581,DATA_MASTER!$D$2:$D$5000,0)),""))</f>
        <v/>
      </c>
      <c r="F4581" s="22">
        <f t="array" ref="F4581">IF($C4581="","",IFERROR(INDEX(DATA_MASTER!$L$2:$L$5000,MATCH($C4581,DATA_MASTER!$D$2:$D$5000,0)),""))</f>
        <v/>
      </c>
      <c r="G4581" s="24" t="n"/>
      <c r="H4581" s="24" t="n"/>
      <c r="I4581" s="30" t="n"/>
      <c r="J4581" s="23">
        <f>IF(OR($H4581="",$I4581=""),"",$H4581*$I4581)</f>
        <v/>
      </c>
      <c r="K4581" s="24" t="n"/>
      <c r="L4581" s="24" t="n"/>
      <c r="M4581" s="29" t="n"/>
      <c r="N4581" s="28" t="n"/>
      <c r="O4581" s="24" t="n"/>
      <c r="P4581" s="24" t="n"/>
      <c r="Q4581" s="24" t="n"/>
      <c r="R4581" s="24" t="n"/>
      <c r="S4581" s="22">
        <f>IF(AND($A4581="",$C4581=""),"",IF($A4581="","Thiếu mã đơn; ","")&amp;IF(COUNTIF($A$2:$A4581,$A4581)&gt;1,"Trùng mã đơn; ","")&amp;IF(ISNA(MATCH($C4581,DATA_MASTER!$D$2:$D$5000,0)),"SĐT chưa đăng ký hội viên; ","")&amp;IF(AND($L4581="Đã chuyển khoản",$M4581=""),"Thiếu ngày nhận CK; ",""))</f>
        <v/>
      </c>
      <c r="T4581" s="24" t="n"/>
    </row>
    <row r="4582" ht="14.25" customHeight="1" s="40">
      <c r="A4582" s="24" t="n"/>
      <c r="B4582" s="29" t="n"/>
      <c r="C4582" s="28" t="n"/>
      <c r="D4582" s="22">
        <f t="array" ref="D4582">IF($C4582="","",IFERROR(INDEX(DATA_MASTER!$C$2:$C$5000,MATCH($C4582,DATA_MASTER!$D$2:$D$5000,0)),""))</f>
        <v/>
      </c>
      <c r="E4582" s="22">
        <f t="array" ref="E4582">IF($C4582="","",IFERROR(INDEX(DATA_MASTER!$I$2:$I$5000,MATCH($C4582,DATA_MASTER!$D$2:$D$5000,0)),""))</f>
        <v/>
      </c>
      <c r="F4582" s="22">
        <f t="array" ref="F4582">IF($C4582="","",IFERROR(INDEX(DATA_MASTER!$L$2:$L$5000,MATCH($C4582,DATA_MASTER!$D$2:$D$5000,0)),""))</f>
        <v/>
      </c>
      <c r="G4582" s="24" t="n"/>
      <c r="H4582" s="24" t="n"/>
      <c r="I4582" s="30" t="n"/>
      <c r="J4582" s="23">
        <f>IF(OR($H4582="",$I4582=""),"",$H4582*$I4582)</f>
        <v/>
      </c>
      <c r="K4582" s="24" t="n"/>
      <c r="L4582" s="24" t="n"/>
      <c r="M4582" s="29" t="n"/>
      <c r="N4582" s="28" t="n"/>
      <c r="O4582" s="24" t="n"/>
      <c r="P4582" s="24" t="n"/>
      <c r="Q4582" s="24" t="n"/>
      <c r="R4582" s="24" t="n"/>
      <c r="S4582" s="22">
        <f>IF(AND($A4582="",$C4582=""),"",IF($A4582="","Thiếu mã đơn; ","")&amp;IF(COUNTIF($A$2:$A4582,$A4582)&gt;1,"Trùng mã đơn; ","")&amp;IF(ISNA(MATCH($C4582,DATA_MASTER!$D$2:$D$5000,0)),"SĐT chưa đăng ký hội viên; ","")&amp;IF(AND($L4582="Đã chuyển khoản",$M4582=""),"Thiếu ngày nhận CK; ",""))</f>
        <v/>
      </c>
      <c r="T4582" s="24" t="n"/>
    </row>
    <row r="4583" ht="14.25" customHeight="1" s="40">
      <c r="A4583" s="24" t="n"/>
      <c r="B4583" s="29" t="n"/>
      <c r="C4583" s="28" t="n"/>
      <c r="D4583" s="22">
        <f t="array" ref="D4583">IF($C4583="","",IFERROR(INDEX(DATA_MASTER!$C$2:$C$5000,MATCH($C4583,DATA_MASTER!$D$2:$D$5000,0)),""))</f>
        <v/>
      </c>
      <c r="E4583" s="22">
        <f t="array" ref="E4583">IF($C4583="","",IFERROR(INDEX(DATA_MASTER!$I$2:$I$5000,MATCH($C4583,DATA_MASTER!$D$2:$D$5000,0)),""))</f>
        <v/>
      </c>
      <c r="F4583" s="22">
        <f t="array" ref="F4583">IF($C4583="","",IFERROR(INDEX(DATA_MASTER!$L$2:$L$5000,MATCH($C4583,DATA_MASTER!$D$2:$D$5000,0)),""))</f>
        <v/>
      </c>
      <c r="G4583" s="24" t="n"/>
      <c r="H4583" s="24" t="n"/>
      <c r="I4583" s="30" t="n"/>
      <c r="J4583" s="23">
        <f>IF(OR($H4583="",$I4583=""),"",$H4583*$I4583)</f>
        <v/>
      </c>
      <c r="K4583" s="24" t="n"/>
      <c r="L4583" s="24" t="n"/>
      <c r="M4583" s="29" t="n"/>
      <c r="N4583" s="28" t="n"/>
      <c r="O4583" s="24" t="n"/>
      <c r="P4583" s="24" t="n"/>
      <c r="Q4583" s="24" t="n"/>
      <c r="R4583" s="24" t="n"/>
      <c r="S4583" s="22">
        <f>IF(AND($A4583="",$C4583=""),"",IF($A4583="","Thiếu mã đơn; ","")&amp;IF(COUNTIF($A$2:$A4583,$A4583)&gt;1,"Trùng mã đơn; ","")&amp;IF(ISNA(MATCH($C4583,DATA_MASTER!$D$2:$D$5000,0)),"SĐT chưa đăng ký hội viên; ","")&amp;IF(AND($L4583="Đã chuyển khoản",$M4583=""),"Thiếu ngày nhận CK; ",""))</f>
        <v/>
      </c>
      <c r="T4583" s="24" t="n"/>
    </row>
    <row r="4584" ht="14.25" customHeight="1" s="40">
      <c r="A4584" s="24" t="n"/>
      <c r="B4584" s="29" t="n"/>
      <c r="C4584" s="28" t="n"/>
      <c r="D4584" s="22">
        <f t="array" ref="D4584">IF($C4584="","",IFERROR(INDEX(DATA_MASTER!$C$2:$C$5000,MATCH($C4584,DATA_MASTER!$D$2:$D$5000,0)),""))</f>
        <v/>
      </c>
      <c r="E4584" s="22">
        <f t="array" ref="E4584">IF($C4584="","",IFERROR(INDEX(DATA_MASTER!$I$2:$I$5000,MATCH($C4584,DATA_MASTER!$D$2:$D$5000,0)),""))</f>
        <v/>
      </c>
      <c r="F4584" s="22">
        <f t="array" ref="F4584">IF($C4584="","",IFERROR(INDEX(DATA_MASTER!$L$2:$L$5000,MATCH($C4584,DATA_MASTER!$D$2:$D$5000,0)),""))</f>
        <v/>
      </c>
      <c r="G4584" s="24" t="n"/>
      <c r="H4584" s="24" t="n"/>
      <c r="I4584" s="30" t="n"/>
      <c r="J4584" s="23">
        <f>IF(OR($H4584="",$I4584=""),"",$H4584*$I4584)</f>
        <v/>
      </c>
      <c r="K4584" s="24" t="n"/>
      <c r="L4584" s="24" t="n"/>
      <c r="M4584" s="29" t="n"/>
      <c r="N4584" s="28" t="n"/>
      <c r="O4584" s="24" t="n"/>
      <c r="P4584" s="24" t="n"/>
      <c r="Q4584" s="24" t="n"/>
      <c r="R4584" s="24" t="n"/>
      <c r="S4584" s="22">
        <f>IF(AND($A4584="",$C4584=""),"",IF($A4584="","Thiếu mã đơn; ","")&amp;IF(COUNTIF($A$2:$A4584,$A4584)&gt;1,"Trùng mã đơn; ","")&amp;IF(ISNA(MATCH($C4584,DATA_MASTER!$D$2:$D$5000,0)),"SĐT chưa đăng ký hội viên; ","")&amp;IF(AND($L4584="Đã chuyển khoản",$M4584=""),"Thiếu ngày nhận CK; ",""))</f>
        <v/>
      </c>
      <c r="T4584" s="24" t="n"/>
    </row>
    <row r="4585" ht="14.25" customHeight="1" s="40">
      <c r="A4585" s="24" t="n"/>
      <c r="B4585" s="29" t="n"/>
      <c r="C4585" s="28" t="n"/>
      <c r="D4585" s="22">
        <f t="array" ref="D4585">IF($C4585="","",IFERROR(INDEX(DATA_MASTER!$C$2:$C$5000,MATCH($C4585,DATA_MASTER!$D$2:$D$5000,0)),""))</f>
        <v/>
      </c>
      <c r="E4585" s="22">
        <f t="array" ref="E4585">IF($C4585="","",IFERROR(INDEX(DATA_MASTER!$I$2:$I$5000,MATCH($C4585,DATA_MASTER!$D$2:$D$5000,0)),""))</f>
        <v/>
      </c>
      <c r="F4585" s="22">
        <f t="array" ref="F4585">IF($C4585="","",IFERROR(INDEX(DATA_MASTER!$L$2:$L$5000,MATCH($C4585,DATA_MASTER!$D$2:$D$5000,0)),""))</f>
        <v/>
      </c>
      <c r="G4585" s="24" t="n"/>
      <c r="H4585" s="24" t="n"/>
      <c r="I4585" s="30" t="n"/>
      <c r="J4585" s="23">
        <f>IF(OR($H4585="",$I4585=""),"",$H4585*$I4585)</f>
        <v/>
      </c>
      <c r="K4585" s="24" t="n"/>
      <c r="L4585" s="24" t="n"/>
      <c r="M4585" s="29" t="n"/>
      <c r="N4585" s="28" t="n"/>
      <c r="O4585" s="24" t="n"/>
      <c r="P4585" s="24" t="n"/>
      <c r="Q4585" s="24" t="n"/>
      <c r="R4585" s="24" t="n"/>
      <c r="S4585" s="22">
        <f>IF(AND($A4585="",$C4585=""),"",IF($A4585="","Thiếu mã đơn; ","")&amp;IF(COUNTIF($A$2:$A4585,$A4585)&gt;1,"Trùng mã đơn; ","")&amp;IF(ISNA(MATCH($C4585,DATA_MASTER!$D$2:$D$5000,0)),"SĐT chưa đăng ký hội viên; ","")&amp;IF(AND($L4585="Đã chuyển khoản",$M4585=""),"Thiếu ngày nhận CK; ",""))</f>
        <v/>
      </c>
      <c r="T4585" s="24" t="n"/>
    </row>
    <row r="4586" ht="14.25" customHeight="1" s="40">
      <c r="A4586" s="24" t="n"/>
      <c r="B4586" s="29" t="n"/>
      <c r="C4586" s="28" t="n"/>
      <c r="D4586" s="22">
        <f t="array" ref="D4586">IF($C4586="","",IFERROR(INDEX(DATA_MASTER!$C$2:$C$5000,MATCH($C4586,DATA_MASTER!$D$2:$D$5000,0)),""))</f>
        <v/>
      </c>
      <c r="E4586" s="22">
        <f t="array" ref="E4586">IF($C4586="","",IFERROR(INDEX(DATA_MASTER!$I$2:$I$5000,MATCH($C4586,DATA_MASTER!$D$2:$D$5000,0)),""))</f>
        <v/>
      </c>
      <c r="F4586" s="22">
        <f t="array" ref="F4586">IF($C4586="","",IFERROR(INDEX(DATA_MASTER!$L$2:$L$5000,MATCH($C4586,DATA_MASTER!$D$2:$D$5000,0)),""))</f>
        <v/>
      </c>
      <c r="G4586" s="24" t="n"/>
      <c r="H4586" s="24" t="n"/>
      <c r="I4586" s="30" t="n"/>
      <c r="J4586" s="23">
        <f>IF(OR($H4586="",$I4586=""),"",$H4586*$I4586)</f>
        <v/>
      </c>
      <c r="K4586" s="24" t="n"/>
      <c r="L4586" s="24" t="n"/>
      <c r="M4586" s="29" t="n"/>
      <c r="N4586" s="28" t="n"/>
      <c r="O4586" s="24" t="n"/>
      <c r="P4586" s="24" t="n"/>
      <c r="Q4586" s="24" t="n"/>
      <c r="R4586" s="24" t="n"/>
      <c r="S4586" s="22">
        <f>IF(AND($A4586="",$C4586=""),"",IF($A4586="","Thiếu mã đơn; ","")&amp;IF(COUNTIF($A$2:$A4586,$A4586)&gt;1,"Trùng mã đơn; ","")&amp;IF(ISNA(MATCH($C4586,DATA_MASTER!$D$2:$D$5000,0)),"SĐT chưa đăng ký hội viên; ","")&amp;IF(AND($L4586="Đã chuyển khoản",$M4586=""),"Thiếu ngày nhận CK; ",""))</f>
        <v/>
      </c>
      <c r="T4586" s="24" t="n"/>
    </row>
    <row r="4587" ht="14.25" customHeight="1" s="40">
      <c r="A4587" s="24" t="n"/>
      <c r="B4587" s="29" t="n"/>
      <c r="C4587" s="28" t="n"/>
      <c r="D4587" s="22">
        <f t="array" ref="D4587">IF($C4587="","",IFERROR(INDEX(DATA_MASTER!$C$2:$C$5000,MATCH($C4587,DATA_MASTER!$D$2:$D$5000,0)),""))</f>
        <v/>
      </c>
      <c r="E4587" s="22">
        <f t="array" ref="E4587">IF($C4587="","",IFERROR(INDEX(DATA_MASTER!$I$2:$I$5000,MATCH($C4587,DATA_MASTER!$D$2:$D$5000,0)),""))</f>
        <v/>
      </c>
      <c r="F4587" s="22">
        <f t="array" ref="F4587">IF($C4587="","",IFERROR(INDEX(DATA_MASTER!$L$2:$L$5000,MATCH($C4587,DATA_MASTER!$D$2:$D$5000,0)),""))</f>
        <v/>
      </c>
      <c r="G4587" s="24" t="n"/>
      <c r="H4587" s="24" t="n"/>
      <c r="I4587" s="30" t="n"/>
      <c r="J4587" s="23">
        <f>IF(OR($H4587="",$I4587=""),"",$H4587*$I4587)</f>
        <v/>
      </c>
      <c r="K4587" s="24" t="n"/>
      <c r="L4587" s="24" t="n"/>
      <c r="M4587" s="29" t="n"/>
      <c r="N4587" s="28" t="n"/>
      <c r="O4587" s="24" t="n"/>
      <c r="P4587" s="24" t="n"/>
      <c r="Q4587" s="24" t="n"/>
      <c r="R4587" s="24" t="n"/>
      <c r="S4587" s="22">
        <f>IF(AND($A4587="",$C4587=""),"",IF($A4587="","Thiếu mã đơn; ","")&amp;IF(COUNTIF($A$2:$A4587,$A4587)&gt;1,"Trùng mã đơn; ","")&amp;IF(ISNA(MATCH($C4587,DATA_MASTER!$D$2:$D$5000,0)),"SĐT chưa đăng ký hội viên; ","")&amp;IF(AND($L4587="Đã chuyển khoản",$M4587=""),"Thiếu ngày nhận CK; ",""))</f>
        <v/>
      </c>
      <c r="T4587" s="24" t="n"/>
    </row>
    <row r="4588" ht="14.25" customHeight="1" s="40">
      <c r="A4588" s="24" t="n"/>
      <c r="B4588" s="29" t="n"/>
      <c r="C4588" s="28" t="n"/>
      <c r="D4588" s="22">
        <f t="array" ref="D4588">IF($C4588="","",IFERROR(INDEX(DATA_MASTER!$C$2:$C$5000,MATCH($C4588,DATA_MASTER!$D$2:$D$5000,0)),""))</f>
        <v/>
      </c>
      <c r="E4588" s="22">
        <f t="array" ref="E4588">IF($C4588="","",IFERROR(INDEX(DATA_MASTER!$I$2:$I$5000,MATCH($C4588,DATA_MASTER!$D$2:$D$5000,0)),""))</f>
        <v/>
      </c>
      <c r="F4588" s="22">
        <f t="array" ref="F4588">IF($C4588="","",IFERROR(INDEX(DATA_MASTER!$L$2:$L$5000,MATCH($C4588,DATA_MASTER!$D$2:$D$5000,0)),""))</f>
        <v/>
      </c>
      <c r="G4588" s="24" t="n"/>
      <c r="H4588" s="24" t="n"/>
      <c r="I4588" s="30" t="n"/>
      <c r="J4588" s="23">
        <f>IF(OR($H4588="",$I4588=""),"",$H4588*$I4588)</f>
        <v/>
      </c>
      <c r="K4588" s="24" t="n"/>
      <c r="L4588" s="24" t="n"/>
      <c r="M4588" s="29" t="n"/>
      <c r="N4588" s="28" t="n"/>
      <c r="O4588" s="24" t="n"/>
      <c r="P4588" s="24" t="n"/>
      <c r="Q4588" s="24" t="n"/>
      <c r="R4588" s="24" t="n"/>
      <c r="S4588" s="22">
        <f>IF(AND($A4588="",$C4588=""),"",IF($A4588="","Thiếu mã đơn; ","")&amp;IF(COUNTIF($A$2:$A4588,$A4588)&gt;1,"Trùng mã đơn; ","")&amp;IF(ISNA(MATCH($C4588,DATA_MASTER!$D$2:$D$5000,0)),"SĐT chưa đăng ký hội viên; ","")&amp;IF(AND($L4588="Đã chuyển khoản",$M4588=""),"Thiếu ngày nhận CK; ",""))</f>
        <v/>
      </c>
      <c r="T4588" s="24" t="n"/>
    </row>
    <row r="4589" ht="14.25" customHeight="1" s="40">
      <c r="A4589" s="24" t="n"/>
      <c r="B4589" s="29" t="n"/>
      <c r="C4589" s="28" t="n"/>
      <c r="D4589" s="22">
        <f t="array" ref="D4589">IF($C4589="","",IFERROR(INDEX(DATA_MASTER!$C$2:$C$5000,MATCH($C4589,DATA_MASTER!$D$2:$D$5000,0)),""))</f>
        <v/>
      </c>
      <c r="E4589" s="22">
        <f t="array" ref="E4589">IF($C4589="","",IFERROR(INDEX(DATA_MASTER!$I$2:$I$5000,MATCH($C4589,DATA_MASTER!$D$2:$D$5000,0)),""))</f>
        <v/>
      </c>
      <c r="F4589" s="22">
        <f t="array" ref="F4589">IF($C4589="","",IFERROR(INDEX(DATA_MASTER!$L$2:$L$5000,MATCH($C4589,DATA_MASTER!$D$2:$D$5000,0)),""))</f>
        <v/>
      </c>
      <c r="G4589" s="24" t="n"/>
      <c r="H4589" s="24" t="n"/>
      <c r="I4589" s="30" t="n"/>
      <c r="J4589" s="23">
        <f>IF(OR($H4589="",$I4589=""),"",$H4589*$I4589)</f>
        <v/>
      </c>
      <c r="K4589" s="24" t="n"/>
      <c r="L4589" s="24" t="n"/>
      <c r="M4589" s="29" t="n"/>
      <c r="N4589" s="28" t="n"/>
      <c r="O4589" s="24" t="n"/>
      <c r="P4589" s="24" t="n"/>
      <c r="Q4589" s="24" t="n"/>
      <c r="R4589" s="24" t="n"/>
      <c r="S4589" s="22">
        <f>IF(AND($A4589="",$C4589=""),"",IF($A4589="","Thiếu mã đơn; ","")&amp;IF(COUNTIF($A$2:$A4589,$A4589)&gt;1,"Trùng mã đơn; ","")&amp;IF(ISNA(MATCH($C4589,DATA_MASTER!$D$2:$D$5000,0)),"SĐT chưa đăng ký hội viên; ","")&amp;IF(AND($L4589="Đã chuyển khoản",$M4589=""),"Thiếu ngày nhận CK; ",""))</f>
        <v/>
      </c>
      <c r="T4589" s="24" t="n"/>
    </row>
    <row r="4590" ht="14.25" customHeight="1" s="40">
      <c r="A4590" s="24" t="n"/>
      <c r="B4590" s="29" t="n"/>
      <c r="C4590" s="28" t="n"/>
      <c r="D4590" s="22">
        <f t="array" ref="D4590">IF($C4590="","",IFERROR(INDEX(DATA_MASTER!$C$2:$C$5000,MATCH($C4590,DATA_MASTER!$D$2:$D$5000,0)),""))</f>
        <v/>
      </c>
      <c r="E4590" s="22">
        <f t="array" ref="E4590">IF($C4590="","",IFERROR(INDEX(DATA_MASTER!$I$2:$I$5000,MATCH($C4590,DATA_MASTER!$D$2:$D$5000,0)),""))</f>
        <v/>
      </c>
      <c r="F4590" s="22">
        <f t="array" ref="F4590">IF($C4590="","",IFERROR(INDEX(DATA_MASTER!$L$2:$L$5000,MATCH($C4590,DATA_MASTER!$D$2:$D$5000,0)),""))</f>
        <v/>
      </c>
      <c r="G4590" s="24" t="n"/>
      <c r="H4590" s="24" t="n"/>
      <c r="I4590" s="30" t="n"/>
      <c r="J4590" s="23">
        <f>IF(OR($H4590="",$I4590=""),"",$H4590*$I4590)</f>
        <v/>
      </c>
      <c r="K4590" s="24" t="n"/>
      <c r="L4590" s="24" t="n"/>
      <c r="M4590" s="29" t="n"/>
      <c r="N4590" s="28" t="n"/>
      <c r="O4590" s="24" t="n"/>
      <c r="P4590" s="24" t="n"/>
      <c r="Q4590" s="24" t="n"/>
      <c r="R4590" s="24" t="n"/>
      <c r="S4590" s="22">
        <f>IF(AND($A4590="",$C4590=""),"",IF($A4590="","Thiếu mã đơn; ","")&amp;IF(COUNTIF($A$2:$A4590,$A4590)&gt;1,"Trùng mã đơn; ","")&amp;IF(ISNA(MATCH($C4590,DATA_MASTER!$D$2:$D$5000,0)),"SĐT chưa đăng ký hội viên; ","")&amp;IF(AND($L4590="Đã chuyển khoản",$M4590=""),"Thiếu ngày nhận CK; ",""))</f>
        <v/>
      </c>
      <c r="T4590" s="24" t="n"/>
    </row>
    <row r="4591" ht="14.25" customHeight="1" s="40">
      <c r="A4591" s="24" t="n"/>
      <c r="B4591" s="29" t="n"/>
      <c r="C4591" s="28" t="n"/>
      <c r="D4591" s="22">
        <f t="array" ref="D4591">IF($C4591="","",IFERROR(INDEX(DATA_MASTER!$C$2:$C$5000,MATCH($C4591,DATA_MASTER!$D$2:$D$5000,0)),""))</f>
        <v/>
      </c>
      <c r="E4591" s="22">
        <f t="array" ref="E4591">IF($C4591="","",IFERROR(INDEX(DATA_MASTER!$I$2:$I$5000,MATCH($C4591,DATA_MASTER!$D$2:$D$5000,0)),""))</f>
        <v/>
      </c>
      <c r="F4591" s="22">
        <f t="array" ref="F4591">IF($C4591="","",IFERROR(INDEX(DATA_MASTER!$L$2:$L$5000,MATCH($C4591,DATA_MASTER!$D$2:$D$5000,0)),""))</f>
        <v/>
      </c>
      <c r="G4591" s="24" t="n"/>
      <c r="H4591" s="24" t="n"/>
      <c r="I4591" s="30" t="n"/>
      <c r="J4591" s="23">
        <f>IF(OR($H4591="",$I4591=""),"",$H4591*$I4591)</f>
        <v/>
      </c>
      <c r="K4591" s="24" t="n"/>
      <c r="L4591" s="24" t="n"/>
      <c r="M4591" s="29" t="n"/>
      <c r="N4591" s="28" t="n"/>
      <c r="O4591" s="24" t="n"/>
      <c r="P4591" s="24" t="n"/>
      <c r="Q4591" s="24" t="n"/>
      <c r="R4591" s="24" t="n"/>
      <c r="S4591" s="22">
        <f>IF(AND($A4591="",$C4591=""),"",IF($A4591="","Thiếu mã đơn; ","")&amp;IF(COUNTIF($A$2:$A4591,$A4591)&gt;1,"Trùng mã đơn; ","")&amp;IF(ISNA(MATCH($C4591,DATA_MASTER!$D$2:$D$5000,0)),"SĐT chưa đăng ký hội viên; ","")&amp;IF(AND($L4591="Đã chuyển khoản",$M4591=""),"Thiếu ngày nhận CK; ",""))</f>
        <v/>
      </c>
      <c r="T4591" s="24" t="n"/>
    </row>
    <row r="4592" ht="14.25" customHeight="1" s="40">
      <c r="A4592" s="24" t="n"/>
      <c r="B4592" s="29" t="n"/>
      <c r="C4592" s="28" t="n"/>
      <c r="D4592" s="22">
        <f t="array" ref="D4592">IF($C4592="","",IFERROR(INDEX(DATA_MASTER!$C$2:$C$5000,MATCH($C4592,DATA_MASTER!$D$2:$D$5000,0)),""))</f>
        <v/>
      </c>
      <c r="E4592" s="22">
        <f t="array" ref="E4592">IF($C4592="","",IFERROR(INDEX(DATA_MASTER!$I$2:$I$5000,MATCH($C4592,DATA_MASTER!$D$2:$D$5000,0)),""))</f>
        <v/>
      </c>
      <c r="F4592" s="22">
        <f t="array" ref="F4592">IF($C4592="","",IFERROR(INDEX(DATA_MASTER!$L$2:$L$5000,MATCH($C4592,DATA_MASTER!$D$2:$D$5000,0)),""))</f>
        <v/>
      </c>
      <c r="G4592" s="24" t="n"/>
      <c r="H4592" s="24" t="n"/>
      <c r="I4592" s="30" t="n"/>
      <c r="J4592" s="23">
        <f>IF(OR($H4592="",$I4592=""),"",$H4592*$I4592)</f>
        <v/>
      </c>
      <c r="K4592" s="24" t="n"/>
      <c r="L4592" s="24" t="n"/>
      <c r="M4592" s="29" t="n"/>
      <c r="N4592" s="28" t="n"/>
      <c r="O4592" s="24" t="n"/>
      <c r="P4592" s="24" t="n"/>
      <c r="Q4592" s="24" t="n"/>
      <c r="R4592" s="24" t="n"/>
      <c r="S4592" s="22">
        <f>IF(AND($A4592="",$C4592=""),"",IF($A4592="","Thiếu mã đơn; ","")&amp;IF(COUNTIF($A$2:$A4592,$A4592)&gt;1,"Trùng mã đơn; ","")&amp;IF(ISNA(MATCH($C4592,DATA_MASTER!$D$2:$D$5000,0)),"SĐT chưa đăng ký hội viên; ","")&amp;IF(AND($L4592="Đã chuyển khoản",$M4592=""),"Thiếu ngày nhận CK; ",""))</f>
        <v/>
      </c>
      <c r="T4592" s="24" t="n"/>
    </row>
    <row r="4593" ht="14.25" customHeight="1" s="40">
      <c r="A4593" s="24" t="n"/>
      <c r="B4593" s="29" t="n"/>
      <c r="C4593" s="28" t="n"/>
      <c r="D4593" s="22">
        <f t="array" ref="D4593">IF($C4593="","",IFERROR(INDEX(DATA_MASTER!$C$2:$C$5000,MATCH($C4593,DATA_MASTER!$D$2:$D$5000,0)),""))</f>
        <v/>
      </c>
      <c r="E4593" s="22">
        <f t="array" ref="E4593">IF($C4593="","",IFERROR(INDEX(DATA_MASTER!$I$2:$I$5000,MATCH($C4593,DATA_MASTER!$D$2:$D$5000,0)),""))</f>
        <v/>
      </c>
      <c r="F4593" s="22">
        <f t="array" ref="F4593">IF($C4593="","",IFERROR(INDEX(DATA_MASTER!$L$2:$L$5000,MATCH($C4593,DATA_MASTER!$D$2:$D$5000,0)),""))</f>
        <v/>
      </c>
      <c r="G4593" s="24" t="n"/>
      <c r="H4593" s="24" t="n"/>
      <c r="I4593" s="30" t="n"/>
      <c r="J4593" s="23">
        <f>IF(OR($H4593="",$I4593=""),"",$H4593*$I4593)</f>
        <v/>
      </c>
      <c r="K4593" s="24" t="n"/>
      <c r="L4593" s="24" t="n"/>
      <c r="M4593" s="29" t="n"/>
      <c r="N4593" s="28" t="n"/>
      <c r="O4593" s="24" t="n"/>
      <c r="P4593" s="24" t="n"/>
      <c r="Q4593" s="24" t="n"/>
      <c r="R4593" s="24" t="n"/>
      <c r="S4593" s="22">
        <f>IF(AND($A4593="",$C4593=""),"",IF($A4593="","Thiếu mã đơn; ","")&amp;IF(COUNTIF($A$2:$A4593,$A4593)&gt;1,"Trùng mã đơn; ","")&amp;IF(ISNA(MATCH($C4593,DATA_MASTER!$D$2:$D$5000,0)),"SĐT chưa đăng ký hội viên; ","")&amp;IF(AND($L4593="Đã chuyển khoản",$M4593=""),"Thiếu ngày nhận CK; ",""))</f>
        <v/>
      </c>
      <c r="T4593" s="24" t="n"/>
    </row>
    <row r="4594" ht="14.25" customHeight="1" s="40">
      <c r="A4594" s="24" t="n"/>
      <c r="B4594" s="29" t="n"/>
      <c r="C4594" s="28" t="n"/>
      <c r="D4594" s="22">
        <f t="array" ref="D4594">IF($C4594="","",IFERROR(INDEX(DATA_MASTER!$C$2:$C$5000,MATCH($C4594,DATA_MASTER!$D$2:$D$5000,0)),""))</f>
        <v/>
      </c>
      <c r="E4594" s="22">
        <f t="array" ref="E4594">IF($C4594="","",IFERROR(INDEX(DATA_MASTER!$I$2:$I$5000,MATCH($C4594,DATA_MASTER!$D$2:$D$5000,0)),""))</f>
        <v/>
      </c>
      <c r="F4594" s="22">
        <f t="array" ref="F4594">IF($C4594="","",IFERROR(INDEX(DATA_MASTER!$L$2:$L$5000,MATCH($C4594,DATA_MASTER!$D$2:$D$5000,0)),""))</f>
        <v/>
      </c>
      <c r="G4594" s="24" t="n"/>
      <c r="H4594" s="24" t="n"/>
      <c r="I4594" s="30" t="n"/>
      <c r="J4594" s="23">
        <f>IF(OR($H4594="",$I4594=""),"",$H4594*$I4594)</f>
        <v/>
      </c>
      <c r="K4594" s="24" t="n"/>
      <c r="L4594" s="24" t="n"/>
      <c r="M4594" s="29" t="n"/>
      <c r="N4594" s="28" t="n"/>
      <c r="O4594" s="24" t="n"/>
      <c r="P4594" s="24" t="n"/>
      <c r="Q4594" s="24" t="n"/>
      <c r="R4594" s="24" t="n"/>
      <c r="S4594" s="22">
        <f>IF(AND($A4594="",$C4594=""),"",IF($A4594="","Thiếu mã đơn; ","")&amp;IF(COUNTIF($A$2:$A4594,$A4594)&gt;1,"Trùng mã đơn; ","")&amp;IF(ISNA(MATCH($C4594,DATA_MASTER!$D$2:$D$5000,0)),"SĐT chưa đăng ký hội viên; ","")&amp;IF(AND($L4594="Đã chuyển khoản",$M4594=""),"Thiếu ngày nhận CK; ",""))</f>
        <v/>
      </c>
      <c r="T4594" s="24" t="n"/>
    </row>
    <row r="4595" ht="14.25" customHeight="1" s="40">
      <c r="A4595" s="24" t="n"/>
      <c r="B4595" s="29" t="n"/>
      <c r="C4595" s="28" t="n"/>
      <c r="D4595" s="22">
        <f t="array" ref="D4595">IF($C4595="","",IFERROR(INDEX(DATA_MASTER!$C$2:$C$5000,MATCH($C4595,DATA_MASTER!$D$2:$D$5000,0)),""))</f>
        <v/>
      </c>
      <c r="E4595" s="22">
        <f t="array" ref="E4595">IF($C4595="","",IFERROR(INDEX(DATA_MASTER!$I$2:$I$5000,MATCH($C4595,DATA_MASTER!$D$2:$D$5000,0)),""))</f>
        <v/>
      </c>
      <c r="F4595" s="22">
        <f t="array" ref="F4595">IF($C4595="","",IFERROR(INDEX(DATA_MASTER!$L$2:$L$5000,MATCH($C4595,DATA_MASTER!$D$2:$D$5000,0)),""))</f>
        <v/>
      </c>
      <c r="G4595" s="24" t="n"/>
      <c r="H4595" s="24" t="n"/>
      <c r="I4595" s="30" t="n"/>
      <c r="J4595" s="23">
        <f>IF(OR($H4595="",$I4595=""),"",$H4595*$I4595)</f>
        <v/>
      </c>
      <c r="K4595" s="24" t="n"/>
      <c r="L4595" s="24" t="n"/>
      <c r="M4595" s="29" t="n"/>
      <c r="N4595" s="28" t="n"/>
      <c r="O4595" s="24" t="n"/>
      <c r="P4595" s="24" t="n"/>
      <c r="Q4595" s="24" t="n"/>
      <c r="R4595" s="24" t="n"/>
      <c r="S4595" s="22">
        <f>IF(AND($A4595="",$C4595=""),"",IF($A4595="","Thiếu mã đơn; ","")&amp;IF(COUNTIF($A$2:$A4595,$A4595)&gt;1,"Trùng mã đơn; ","")&amp;IF(ISNA(MATCH($C4595,DATA_MASTER!$D$2:$D$5000,0)),"SĐT chưa đăng ký hội viên; ","")&amp;IF(AND($L4595="Đã chuyển khoản",$M4595=""),"Thiếu ngày nhận CK; ",""))</f>
        <v/>
      </c>
      <c r="T4595" s="24" t="n"/>
    </row>
    <row r="4596" ht="14.25" customHeight="1" s="40">
      <c r="A4596" s="24" t="n"/>
      <c r="B4596" s="29" t="n"/>
      <c r="C4596" s="28" t="n"/>
      <c r="D4596" s="22">
        <f t="array" ref="D4596">IF($C4596="","",IFERROR(INDEX(DATA_MASTER!$C$2:$C$5000,MATCH($C4596,DATA_MASTER!$D$2:$D$5000,0)),""))</f>
        <v/>
      </c>
      <c r="E4596" s="22">
        <f t="array" ref="E4596">IF($C4596="","",IFERROR(INDEX(DATA_MASTER!$I$2:$I$5000,MATCH($C4596,DATA_MASTER!$D$2:$D$5000,0)),""))</f>
        <v/>
      </c>
      <c r="F4596" s="22">
        <f t="array" ref="F4596">IF($C4596="","",IFERROR(INDEX(DATA_MASTER!$L$2:$L$5000,MATCH($C4596,DATA_MASTER!$D$2:$D$5000,0)),""))</f>
        <v/>
      </c>
      <c r="G4596" s="24" t="n"/>
      <c r="H4596" s="24" t="n"/>
      <c r="I4596" s="30" t="n"/>
      <c r="J4596" s="23">
        <f>IF(OR($H4596="",$I4596=""),"",$H4596*$I4596)</f>
        <v/>
      </c>
      <c r="K4596" s="24" t="n"/>
      <c r="L4596" s="24" t="n"/>
      <c r="M4596" s="29" t="n"/>
      <c r="N4596" s="28" t="n"/>
      <c r="O4596" s="24" t="n"/>
      <c r="P4596" s="24" t="n"/>
      <c r="Q4596" s="24" t="n"/>
      <c r="R4596" s="24" t="n"/>
      <c r="S4596" s="22">
        <f>IF(AND($A4596="",$C4596=""),"",IF($A4596="","Thiếu mã đơn; ","")&amp;IF(COUNTIF($A$2:$A4596,$A4596)&gt;1,"Trùng mã đơn; ","")&amp;IF(ISNA(MATCH($C4596,DATA_MASTER!$D$2:$D$5000,0)),"SĐT chưa đăng ký hội viên; ","")&amp;IF(AND($L4596="Đã chuyển khoản",$M4596=""),"Thiếu ngày nhận CK; ",""))</f>
        <v/>
      </c>
      <c r="T4596" s="24" t="n"/>
    </row>
    <row r="4597" ht="14.25" customHeight="1" s="40">
      <c r="A4597" s="24" t="n"/>
      <c r="B4597" s="29" t="n"/>
      <c r="C4597" s="28" t="n"/>
      <c r="D4597" s="22">
        <f t="array" ref="D4597">IF($C4597="","",IFERROR(INDEX(DATA_MASTER!$C$2:$C$5000,MATCH($C4597,DATA_MASTER!$D$2:$D$5000,0)),""))</f>
        <v/>
      </c>
      <c r="E4597" s="22">
        <f t="array" ref="E4597">IF($C4597="","",IFERROR(INDEX(DATA_MASTER!$I$2:$I$5000,MATCH($C4597,DATA_MASTER!$D$2:$D$5000,0)),""))</f>
        <v/>
      </c>
      <c r="F4597" s="22">
        <f t="array" ref="F4597">IF($C4597="","",IFERROR(INDEX(DATA_MASTER!$L$2:$L$5000,MATCH($C4597,DATA_MASTER!$D$2:$D$5000,0)),""))</f>
        <v/>
      </c>
      <c r="G4597" s="24" t="n"/>
      <c r="H4597" s="24" t="n"/>
      <c r="I4597" s="30" t="n"/>
      <c r="J4597" s="23">
        <f>IF(OR($H4597="",$I4597=""),"",$H4597*$I4597)</f>
        <v/>
      </c>
      <c r="K4597" s="24" t="n"/>
      <c r="L4597" s="24" t="n"/>
      <c r="M4597" s="29" t="n"/>
      <c r="N4597" s="28" t="n"/>
      <c r="O4597" s="24" t="n"/>
      <c r="P4597" s="24" t="n"/>
      <c r="Q4597" s="24" t="n"/>
      <c r="R4597" s="24" t="n"/>
      <c r="S4597" s="22">
        <f>IF(AND($A4597="",$C4597=""),"",IF($A4597="","Thiếu mã đơn; ","")&amp;IF(COUNTIF($A$2:$A4597,$A4597)&gt;1,"Trùng mã đơn; ","")&amp;IF(ISNA(MATCH($C4597,DATA_MASTER!$D$2:$D$5000,0)),"SĐT chưa đăng ký hội viên; ","")&amp;IF(AND($L4597="Đã chuyển khoản",$M4597=""),"Thiếu ngày nhận CK; ",""))</f>
        <v/>
      </c>
      <c r="T4597" s="24" t="n"/>
    </row>
    <row r="4598" ht="14.25" customHeight="1" s="40">
      <c r="A4598" s="24" t="n"/>
      <c r="B4598" s="29" t="n"/>
      <c r="C4598" s="28" t="n"/>
      <c r="D4598" s="22">
        <f t="array" ref="D4598">IF($C4598="","",IFERROR(INDEX(DATA_MASTER!$C$2:$C$5000,MATCH($C4598,DATA_MASTER!$D$2:$D$5000,0)),""))</f>
        <v/>
      </c>
      <c r="E4598" s="22">
        <f t="array" ref="E4598">IF($C4598="","",IFERROR(INDEX(DATA_MASTER!$I$2:$I$5000,MATCH($C4598,DATA_MASTER!$D$2:$D$5000,0)),""))</f>
        <v/>
      </c>
      <c r="F4598" s="22">
        <f t="array" ref="F4598">IF($C4598="","",IFERROR(INDEX(DATA_MASTER!$L$2:$L$5000,MATCH($C4598,DATA_MASTER!$D$2:$D$5000,0)),""))</f>
        <v/>
      </c>
      <c r="G4598" s="24" t="n"/>
      <c r="H4598" s="24" t="n"/>
      <c r="I4598" s="30" t="n"/>
      <c r="J4598" s="23">
        <f>IF(OR($H4598="",$I4598=""),"",$H4598*$I4598)</f>
        <v/>
      </c>
      <c r="K4598" s="24" t="n"/>
      <c r="L4598" s="24" t="n"/>
      <c r="M4598" s="29" t="n"/>
      <c r="N4598" s="28" t="n"/>
      <c r="O4598" s="24" t="n"/>
      <c r="P4598" s="24" t="n"/>
      <c r="Q4598" s="24" t="n"/>
      <c r="R4598" s="24" t="n"/>
      <c r="S4598" s="22">
        <f>IF(AND($A4598="",$C4598=""),"",IF($A4598="","Thiếu mã đơn; ","")&amp;IF(COUNTIF($A$2:$A4598,$A4598)&gt;1,"Trùng mã đơn; ","")&amp;IF(ISNA(MATCH($C4598,DATA_MASTER!$D$2:$D$5000,0)),"SĐT chưa đăng ký hội viên; ","")&amp;IF(AND($L4598="Đã chuyển khoản",$M4598=""),"Thiếu ngày nhận CK; ",""))</f>
        <v/>
      </c>
      <c r="T4598" s="24" t="n"/>
    </row>
    <row r="4599" ht="14.25" customHeight="1" s="40">
      <c r="A4599" s="24" t="n"/>
      <c r="B4599" s="29" t="n"/>
      <c r="C4599" s="28" t="n"/>
      <c r="D4599" s="22">
        <f t="array" ref="D4599">IF($C4599="","",IFERROR(INDEX(DATA_MASTER!$C$2:$C$5000,MATCH($C4599,DATA_MASTER!$D$2:$D$5000,0)),""))</f>
        <v/>
      </c>
      <c r="E4599" s="22">
        <f t="array" ref="E4599">IF($C4599="","",IFERROR(INDEX(DATA_MASTER!$I$2:$I$5000,MATCH($C4599,DATA_MASTER!$D$2:$D$5000,0)),""))</f>
        <v/>
      </c>
      <c r="F4599" s="22">
        <f t="array" ref="F4599">IF($C4599="","",IFERROR(INDEX(DATA_MASTER!$L$2:$L$5000,MATCH($C4599,DATA_MASTER!$D$2:$D$5000,0)),""))</f>
        <v/>
      </c>
      <c r="G4599" s="24" t="n"/>
      <c r="H4599" s="24" t="n"/>
      <c r="I4599" s="30" t="n"/>
      <c r="J4599" s="23">
        <f>IF(OR($H4599="",$I4599=""),"",$H4599*$I4599)</f>
        <v/>
      </c>
      <c r="K4599" s="24" t="n"/>
      <c r="L4599" s="24" t="n"/>
      <c r="M4599" s="29" t="n"/>
      <c r="N4599" s="28" t="n"/>
      <c r="O4599" s="24" t="n"/>
      <c r="P4599" s="24" t="n"/>
      <c r="Q4599" s="24" t="n"/>
      <c r="R4599" s="24" t="n"/>
      <c r="S4599" s="22">
        <f>IF(AND($A4599="",$C4599=""),"",IF($A4599="","Thiếu mã đơn; ","")&amp;IF(COUNTIF($A$2:$A4599,$A4599)&gt;1,"Trùng mã đơn; ","")&amp;IF(ISNA(MATCH($C4599,DATA_MASTER!$D$2:$D$5000,0)),"SĐT chưa đăng ký hội viên; ","")&amp;IF(AND($L4599="Đã chuyển khoản",$M4599=""),"Thiếu ngày nhận CK; ",""))</f>
        <v/>
      </c>
      <c r="T4599" s="24" t="n"/>
    </row>
    <row r="4600" ht="14.25" customHeight="1" s="40">
      <c r="A4600" s="24" t="n"/>
      <c r="B4600" s="29" t="n"/>
      <c r="C4600" s="28" t="n"/>
      <c r="D4600" s="22">
        <f t="array" ref="D4600">IF($C4600="","",IFERROR(INDEX(DATA_MASTER!$C$2:$C$5000,MATCH($C4600,DATA_MASTER!$D$2:$D$5000,0)),""))</f>
        <v/>
      </c>
      <c r="E4600" s="22">
        <f t="array" ref="E4600">IF($C4600="","",IFERROR(INDEX(DATA_MASTER!$I$2:$I$5000,MATCH($C4600,DATA_MASTER!$D$2:$D$5000,0)),""))</f>
        <v/>
      </c>
      <c r="F4600" s="22">
        <f t="array" ref="F4600">IF($C4600="","",IFERROR(INDEX(DATA_MASTER!$L$2:$L$5000,MATCH($C4600,DATA_MASTER!$D$2:$D$5000,0)),""))</f>
        <v/>
      </c>
      <c r="G4600" s="24" t="n"/>
      <c r="H4600" s="24" t="n"/>
      <c r="I4600" s="30" t="n"/>
      <c r="J4600" s="23">
        <f>IF(OR($H4600="",$I4600=""),"",$H4600*$I4600)</f>
        <v/>
      </c>
      <c r="K4600" s="24" t="n"/>
      <c r="L4600" s="24" t="n"/>
      <c r="M4600" s="29" t="n"/>
      <c r="N4600" s="28" t="n"/>
      <c r="O4600" s="24" t="n"/>
      <c r="P4600" s="24" t="n"/>
      <c r="Q4600" s="24" t="n"/>
      <c r="R4600" s="24" t="n"/>
      <c r="S4600" s="22">
        <f>IF(AND($A4600="",$C4600=""),"",IF($A4600="","Thiếu mã đơn; ","")&amp;IF(COUNTIF($A$2:$A4600,$A4600)&gt;1,"Trùng mã đơn; ","")&amp;IF(ISNA(MATCH($C4600,DATA_MASTER!$D$2:$D$5000,0)),"SĐT chưa đăng ký hội viên; ","")&amp;IF(AND($L4600="Đã chuyển khoản",$M4600=""),"Thiếu ngày nhận CK; ",""))</f>
        <v/>
      </c>
      <c r="T4600" s="24" t="n"/>
    </row>
    <row r="4601" ht="14.25" customHeight="1" s="40">
      <c r="A4601" s="24" t="n"/>
      <c r="B4601" s="29" t="n"/>
      <c r="C4601" s="28" t="n"/>
      <c r="D4601" s="22">
        <f t="array" ref="D4601">IF($C4601="","",IFERROR(INDEX(DATA_MASTER!$C$2:$C$5000,MATCH($C4601,DATA_MASTER!$D$2:$D$5000,0)),""))</f>
        <v/>
      </c>
      <c r="E4601" s="22">
        <f t="array" ref="E4601">IF($C4601="","",IFERROR(INDEX(DATA_MASTER!$I$2:$I$5000,MATCH($C4601,DATA_MASTER!$D$2:$D$5000,0)),""))</f>
        <v/>
      </c>
      <c r="F4601" s="22">
        <f t="array" ref="F4601">IF($C4601="","",IFERROR(INDEX(DATA_MASTER!$L$2:$L$5000,MATCH($C4601,DATA_MASTER!$D$2:$D$5000,0)),""))</f>
        <v/>
      </c>
      <c r="G4601" s="24" t="n"/>
      <c r="H4601" s="24" t="n"/>
      <c r="I4601" s="30" t="n"/>
      <c r="J4601" s="23">
        <f>IF(OR($H4601="",$I4601=""),"",$H4601*$I4601)</f>
        <v/>
      </c>
      <c r="K4601" s="24" t="n"/>
      <c r="L4601" s="24" t="n"/>
      <c r="M4601" s="29" t="n"/>
      <c r="N4601" s="28" t="n"/>
      <c r="O4601" s="24" t="n"/>
      <c r="P4601" s="24" t="n"/>
      <c r="Q4601" s="24" t="n"/>
      <c r="R4601" s="24" t="n"/>
      <c r="S4601" s="22">
        <f>IF(AND($A4601="",$C4601=""),"",IF($A4601="","Thiếu mã đơn; ","")&amp;IF(COUNTIF($A$2:$A4601,$A4601)&gt;1,"Trùng mã đơn; ","")&amp;IF(ISNA(MATCH($C4601,DATA_MASTER!$D$2:$D$5000,0)),"SĐT chưa đăng ký hội viên; ","")&amp;IF(AND($L4601="Đã chuyển khoản",$M4601=""),"Thiếu ngày nhận CK; ",""))</f>
        <v/>
      </c>
      <c r="T4601" s="24" t="n"/>
    </row>
    <row r="4602" ht="14.25" customHeight="1" s="40">
      <c r="A4602" s="24" t="n"/>
      <c r="B4602" s="29" t="n"/>
      <c r="C4602" s="28" t="n"/>
      <c r="D4602" s="22">
        <f t="array" ref="D4602">IF($C4602="","",IFERROR(INDEX(DATA_MASTER!$C$2:$C$5000,MATCH($C4602,DATA_MASTER!$D$2:$D$5000,0)),""))</f>
        <v/>
      </c>
      <c r="E4602" s="22">
        <f t="array" ref="E4602">IF($C4602="","",IFERROR(INDEX(DATA_MASTER!$I$2:$I$5000,MATCH($C4602,DATA_MASTER!$D$2:$D$5000,0)),""))</f>
        <v/>
      </c>
      <c r="F4602" s="22">
        <f t="array" ref="F4602">IF($C4602="","",IFERROR(INDEX(DATA_MASTER!$L$2:$L$5000,MATCH($C4602,DATA_MASTER!$D$2:$D$5000,0)),""))</f>
        <v/>
      </c>
      <c r="G4602" s="24" t="n"/>
      <c r="H4602" s="24" t="n"/>
      <c r="I4602" s="30" t="n"/>
      <c r="J4602" s="23">
        <f>IF(OR($H4602="",$I4602=""),"",$H4602*$I4602)</f>
        <v/>
      </c>
      <c r="K4602" s="24" t="n"/>
      <c r="L4602" s="24" t="n"/>
      <c r="M4602" s="29" t="n"/>
      <c r="N4602" s="28" t="n"/>
      <c r="O4602" s="24" t="n"/>
      <c r="P4602" s="24" t="n"/>
      <c r="Q4602" s="24" t="n"/>
      <c r="R4602" s="24" t="n"/>
      <c r="S4602" s="22">
        <f>IF(AND($A4602="",$C4602=""),"",IF($A4602="","Thiếu mã đơn; ","")&amp;IF(COUNTIF($A$2:$A4602,$A4602)&gt;1,"Trùng mã đơn; ","")&amp;IF(ISNA(MATCH($C4602,DATA_MASTER!$D$2:$D$5000,0)),"SĐT chưa đăng ký hội viên; ","")&amp;IF(AND($L4602="Đã chuyển khoản",$M4602=""),"Thiếu ngày nhận CK; ",""))</f>
        <v/>
      </c>
      <c r="T4602" s="24" t="n"/>
    </row>
    <row r="4603" ht="14.25" customHeight="1" s="40">
      <c r="A4603" s="24" t="n"/>
      <c r="B4603" s="29" t="n"/>
      <c r="C4603" s="28" t="n"/>
      <c r="D4603" s="22">
        <f t="array" ref="D4603">IF($C4603="","",IFERROR(INDEX(DATA_MASTER!$C$2:$C$5000,MATCH($C4603,DATA_MASTER!$D$2:$D$5000,0)),""))</f>
        <v/>
      </c>
      <c r="E4603" s="22">
        <f t="array" ref="E4603">IF($C4603="","",IFERROR(INDEX(DATA_MASTER!$I$2:$I$5000,MATCH($C4603,DATA_MASTER!$D$2:$D$5000,0)),""))</f>
        <v/>
      </c>
      <c r="F4603" s="22">
        <f t="array" ref="F4603">IF($C4603="","",IFERROR(INDEX(DATA_MASTER!$L$2:$L$5000,MATCH($C4603,DATA_MASTER!$D$2:$D$5000,0)),""))</f>
        <v/>
      </c>
      <c r="G4603" s="24" t="n"/>
      <c r="H4603" s="24" t="n"/>
      <c r="I4603" s="30" t="n"/>
      <c r="J4603" s="23">
        <f>IF(OR($H4603="",$I4603=""),"",$H4603*$I4603)</f>
        <v/>
      </c>
      <c r="K4603" s="24" t="n"/>
      <c r="L4603" s="24" t="n"/>
      <c r="M4603" s="29" t="n"/>
      <c r="N4603" s="28" t="n"/>
      <c r="O4603" s="24" t="n"/>
      <c r="P4603" s="24" t="n"/>
      <c r="Q4603" s="24" t="n"/>
      <c r="R4603" s="24" t="n"/>
      <c r="S4603" s="22">
        <f>IF(AND($A4603="",$C4603=""),"",IF($A4603="","Thiếu mã đơn; ","")&amp;IF(COUNTIF($A$2:$A4603,$A4603)&gt;1,"Trùng mã đơn; ","")&amp;IF(ISNA(MATCH($C4603,DATA_MASTER!$D$2:$D$5000,0)),"SĐT chưa đăng ký hội viên; ","")&amp;IF(AND($L4603="Đã chuyển khoản",$M4603=""),"Thiếu ngày nhận CK; ",""))</f>
        <v/>
      </c>
      <c r="T4603" s="24" t="n"/>
    </row>
    <row r="4604" ht="14.25" customHeight="1" s="40">
      <c r="A4604" s="24" t="n"/>
      <c r="B4604" s="29" t="n"/>
      <c r="C4604" s="28" t="n"/>
      <c r="D4604" s="22">
        <f t="array" ref="D4604">IF($C4604="","",IFERROR(INDEX(DATA_MASTER!$C$2:$C$5000,MATCH($C4604,DATA_MASTER!$D$2:$D$5000,0)),""))</f>
        <v/>
      </c>
      <c r="E4604" s="22">
        <f t="array" ref="E4604">IF($C4604="","",IFERROR(INDEX(DATA_MASTER!$I$2:$I$5000,MATCH($C4604,DATA_MASTER!$D$2:$D$5000,0)),""))</f>
        <v/>
      </c>
      <c r="F4604" s="22">
        <f t="array" ref="F4604">IF($C4604="","",IFERROR(INDEX(DATA_MASTER!$L$2:$L$5000,MATCH($C4604,DATA_MASTER!$D$2:$D$5000,0)),""))</f>
        <v/>
      </c>
      <c r="G4604" s="24" t="n"/>
      <c r="H4604" s="24" t="n"/>
      <c r="I4604" s="30" t="n"/>
      <c r="J4604" s="23">
        <f>IF(OR($H4604="",$I4604=""),"",$H4604*$I4604)</f>
        <v/>
      </c>
      <c r="K4604" s="24" t="n"/>
      <c r="L4604" s="24" t="n"/>
      <c r="M4604" s="29" t="n"/>
      <c r="N4604" s="28" t="n"/>
      <c r="O4604" s="24" t="n"/>
      <c r="P4604" s="24" t="n"/>
      <c r="Q4604" s="24" t="n"/>
      <c r="R4604" s="24" t="n"/>
      <c r="S4604" s="22">
        <f>IF(AND($A4604="",$C4604=""),"",IF($A4604="","Thiếu mã đơn; ","")&amp;IF(COUNTIF($A$2:$A4604,$A4604)&gt;1,"Trùng mã đơn; ","")&amp;IF(ISNA(MATCH($C4604,DATA_MASTER!$D$2:$D$5000,0)),"SĐT chưa đăng ký hội viên; ","")&amp;IF(AND($L4604="Đã chuyển khoản",$M4604=""),"Thiếu ngày nhận CK; ",""))</f>
        <v/>
      </c>
      <c r="T4604" s="24" t="n"/>
    </row>
    <row r="4605" ht="14.25" customHeight="1" s="40">
      <c r="A4605" s="24" t="n"/>
      <c r="B4605" s="29" t="n"/>
      <c r="C4605" s="28" t="n"/>
      <c r="D4605" s="22">
        <f t="array" ref="D4605">IF($C4605="","",IFERROR(INDEX(DATA_MASTER!$C$2:$C$5000,MATCH($C4605,DATA_MASTER!$D$2:$D$5000,0)),""))</f>
        <v/>
      </c>
      <c r="E4605" s="22">
        <f t="array" ref="E4605">IF($C4605="","",IFERROR(INDEX(DATA_MASTER!$I$2:$I$5000,MATCH($C4605,DATA_MASTER!$D$2:$D$5000,0)),""))</f>
        <v/>
      </c>
      <c r="F4605" s="22">
        <f t="array" ref="F4605">IF($C4605="","",IFERROR(INDEX(DATA_MASTER!$L$2:$L$5000,MATCH($C4605,DATA_MASTER!$D$2:$D$5000,0)),""))</f>
        <v/>
      </c>
      <c r="G4605" s="24" t="n"/>
      <c r="H4605" s="24" t="n"/>
      <c r="I4605" s="30" t="n"/>
      <c r="J4605" s="23">
        <f>IF(OR($H4605="",$I4605=""),"",$H4605*$I4605)</f>
        <v/>
      </c>
      <c r="K4605" s="24" t="n"/>
      <c r="L4605" s="24" t="n"/>
      <c r="M4605" s="29" t="n"/>
      <c r="N4605" s="28" t="n"/>
      <c r="O4605" s="24" t="n"/>
      <c r="P4605" s="24" t="n"/>
      <c r="Q4605" s="24" t="n"/>
      <c r="R4605" s="24" t="n"/>
      <c r="S4605" s="22">
        <f>IF(AND($A4605="",$C4605=""),"",IF($A4605="","Thiếu mã đơn; ","")&amp;IF(COUNTIF($A$2:$A4605,$A4605)&gt;1,"Trùng mã đơn; ","")&amp;IF(ISNA(MATCH($C4605,DATA_MASTER!$D$2:$D$5000,0)),"SĐT chưa đăng ký hội viên; ","")&amp;IF(AND($L4605="Đã chuyển khoản",$M4605=""),"Thiếu ngày nhận CK; ",""))</f>
        <v/>
      </c>
      <c r="T4605" s="24" t="n"/>
    </row>
    <row r="4606" ht="14.25" customHeight="1" s="40">
      <c r="A4606" s="24" t="n"/>
      <c r="B4606" s="29" t="n"/>
      <c r="C4606" s="28" t="n"/>
      <c r="D4606" s="22">
        <f t="array" ref="D4606">IF($C4606="","",IFERROR(INDEX(DATA_MASTER!$C$2:$C$5000,MATCH($C4606,DATA_MASTER!$D$2:$D$5000,0)),""))</f>
        <v/>
      </c>
      <c r="E4606" s="22">
        <f t="array" ref="E4606">IF($C4606="","",IFERROR(INDEX(DATA_MASTER!$I$2:$I$5000,MATCH($C4606,DATA_MASTER!$D$2:$D$5000,0)),""))</f>
        <v/>
      </c>
      <c r="F4606" s="22">
        <f t="array" ref="F4606">IF($C4606="","",IFERROR(INDEX(DATA_MASTER!$L$2:$L$5000,MATCH($C4606,DATA_MASTER!$D$2:$D$5000,0)),""))</f>
        <v/>
      </c>
      <c r="G4606" s="24" t="n"/>
      <c r="H4606" s="24" t="n"/>
      <c r="I4606" s="30" t="n"/>
      <c r="J4606" s="23">
        <f>IF(OR($H4606="",$I4606=""),"",$H4606*$I4606)</f>
        <v/>
      </c>
      <c r="K4606" s="24" t="n"/>
      <c r="L4606" s="24" t="n"/>
      <c r="M4606" s="29" t="n"/>
      <c r="N4606" s="28" t="n"/>
      <c r="O4606" s="24" t="n"/>
      <c r="P4606" s="24" t="n"/>
      <c r="Q4606" s="24" t="n"/>
      <c r="R4606" s="24" t="n"/>
      <c r="S4606" s="22">
        <f>IF(AND($A4606="",$C4606=""),"",IF($A4606="","Thiếu mã đơn; ","")&amp;IF(COUNTIF($A$2:$A4606,$A4606)&gt;1,"Trùng mã đơn; ","")&amp;IF(ISNA(MATCH($C4606,DATA_MASTER!$D$2:$D$5000,0)),"SĐT chưa đăng ký hội viên; ","")&amp;IF(AND($L4606="Đã chuyển khoản",$M4606=""),"Thiếu ngày nhận CK; ",""))</f>
        <v/>
      </c>
      <c r="T4606" s="24" t="n"/>
    </row>
    <row r="4607" ht="14.25" customHeight="1" s="40">
      <c r="A4607" s="24" t="n"/>
      <c r="B4607" s="29" t="n"/>
      <c r="C4607" s="28" t="n"/>
      <c r="D4607" s="22">
        <f t="array" ref="D4607">IF($C4607="","",IFERROR(INDEX(DATA_MASTER!$C$2:$C$5000,MATCH($C4607,DATA_MASTER!$D$2:$D$5000,0)),""))</f>
        <v/>
      </c>
      <c r="E4607" s="22">
        <f t="array" ref="E4607">IF($C4607="","",IFERROR(INDEX(DATA_MASTER!$I$2:$I$5000,MATCH($C4607,DATA_MASTER!$D$2:$D$5000,0)),""))</f>
        <v/>
      </c>
      <c r="F4607" s="22">
        <f t="array" ref="F4607">IF($C4607="","",IFERROR(INDEX(DATA_MASTER!$L$2:$L$5000,MATCH($C4607,DATA_MASTER!$D$2:$D$5000,0)),""))</f>
        <v/>
      </c>
      <c r="G4607" s="24" t="n"/>
      <c r="H4607" s="24" t="n"/>
      <c r="I4607" s="30" t="n"/>
      <c r="J4607" s="23">
        <f>IF(OR($H4607="",$I4607=""),"",$H4607*$I4607)</f>
        <v/>
      </c>
      <c r="K4607" s="24" t="n"/>
      <c r="L4607" s="24" t="n"/>
      <c r="M4607" s="29" t="n"/>
      <c r="N4607" s="28" t="n"/>
      <c r="O4607" s="24" t="n"/>
      <c r="P4607" s="24" t="n"/>
      <c r="Q4607" s="24" t="n"/>
      <c r="R4607" s="24" t="n"/>
      <c r="S4607" s="22">
        <f>IF(AND($A4607="",$C4607=""),"",IF($A4607="","Thiếu mã đơn; ","")&amp;IF(COUNTIF($A$2:$A4607,$A4607)&gt;1,"Trùng mã đơn; ","")&amp;IF(ISNA(MATCH($C4607,DATA_MASTER!$D$2:$D$5000,0)),"SĐT chưa đăng ký hội viên; ","")&amp;IF(AND($L4607="Đã chuyển khoản",$M4607=""),"Thiếu ngày nhận CK; ",""))</f>
        <v/>
      </c>
      <c r="T4607" s="24" t="n"/>
    </row>
    <row r="4608" ht="14.25" customHeight="1" s="40">
      <c r="A4608" s="24" t="n"/>
      <c r="B4608" s="29" t="n"/>
      <c r="C4608" s="28" t="n"/>
      <c r="D4608" s="22">
        <f t="array" ref="D4608">IF($C4608="","",IFERROR(INDEX(DATA_MASTER!$C$2:$C$5000,MATCH($C4608,DATA_MASTER!$D$2:$D$5000,0)),""))</f>
        <v/>
      </c>
      <c r="E4608" s="22">
        <f t="array" ref="E4608">IF($C4608="","",IFERROR(INDEX(DATA_MASTER!$I$2:$I$5000,MATCH($C4608,DATA_MASTER!$D$2:$D$5000,0)),""))</f>
        <v/>
      </c>
      <c r="F4608" s="22">
        <f t="array" ref="F4608">IF($C4608="","",IFERROR(INDEX(DATA_MASTER!$L$2:$L$5000,MATCH($C4608,DATA_MASTER!$D$2:$D$5000,0)),""))</f>
        <v/>
      </c>
      <c r="G4608" s="24" t="n"/>
      <c r="H4608" s="24" t="n"/>
      <c r="I4608" s="30" t="n"/>
      <c r="J4608" s="23">
        <f>IF(OR($H4608="",$I4608=""),"",$H4608*$I4608)</f>
        <v/>
      </c>
      <c r="K4608" s="24" t="n"/>
      <c r="L4608" s="24" t="n"/>
      <c r="M4608" s="29" t="n"/>
      <c r="N4608" s="28" t="n"/>
      <c r="O4608" s="24" t="n"/>
      <c r="P4608" s="24" t="n"/>
      <c r="Q4608" s="24" t="n"/>
      <c r="R4608" s="24" t="n"/>
      <c r="S4608" s="22">
        <f>IF(AND($A4608="",$C4608=""),"",IF($A4608="","Thiếu mã đơn; ","")&amp;IF(COUNTIF($A$2:$A4608,$A4608)&gt;1,"Trùng mã đơn; ","")&amp;IF(ISNA(MATCH($C4608,DATA_MASTER!$D$2:$D$5000,0)),"SĐT chưa đăng ký hội viên; ","")&amp;IF(AND($L4608="Đã chuyển khoản",$M4608=""),"Thiếu ngày nhận CK; ",""))</f>
        <v/>
      </c>
      <c r="T4608" s="24" t="n"/>
    </row>
    <row r="4609" ht="14.25" customHeight="1" s="40">
      <c r="A4609" s="24" t="n"/>
      <c r="B4609" s="29" t="n"/>
      <c r="C4609" s="28" t="n"/>
      <c r="D4609" s="22">
        <f t="array" ref="D4609">IF($C4609="","",IFERROR(INDEX(DATA_MASTER!$C$2:$C$5000,MATCH($C4609,DATA_MASTER!$D$2:$D$5000,0)),""))</f>
        <v/>
      </c>
      <c r="E4609" s="22">
        <f t="array" ref="E4609">IF($C4609="","",IFERROR(INDEX(DATA_MASTER!$I$2:$I$5000,MATCH($C4609,DATA_MASTER!$D$2:$D$5000,0)),""))</f>
        <v/>
      </c>
      <c r="F4609" s="22">
        <f t="array" ref="F4609">IF($C4609="","",IFERROR(INDEX(DATA_MASTER!$L$2:$L$5000,MATCH($C4609,DATA_MASTER!$D$2:$D$5000,0)),""))</f>
        <v/>
      </c>
      <c r="G4609" s="24" t="n"/>
      <c r="H4609" s="24" t="n"/>
      <c r="I4609" s="30" t="n"/>
      <c r="J4609" s="23">
        <f>IF(OR($H4609="",$I4609=""),"",$H4609*$I4609)</f>
        <v/>
      </c>
      <c r="K4609" s="24" t="n"/>
      <c r="L4609" s="24" t="n"/>
      <c r="M4609" s="29" t="n"/>
      <c r="N4609" s="28" t="n"/>
      <c r="O4609" s="24" t="n"/>
      <c r="P4609" s="24" t="n"/>
      <c r="Q4609" s="24" t="n"/>
      <c r="R4609" s="24" t="n"/>
      <c r="S4609" s="22">
        <f>IF(AND($A4609="",$C4609=""),"",IF($A4609="","Thiếu mã đơn; ","")&amp;IF(COUNTIF($A$2:$A4609,$A4609)&gt;1,"Trùng mã đơn; ","")&amp;IF(ISNA(MATCH($C4609,DATA_MASTER!$D$2:$D$5000,0)),"SĐT chưa đăng ký hội viên; ","")&amp;IF(AND($L4609="Đã chuyển khoản",$M4609=""),"Thiếu ngày nhận CK; ",""))</f>
        <v/>
      </c>
      <c r="T4609" s="24" t="n"/>
    </row>
    <row r="4610" ht="14.25" customHeight="1" s="40">
      <c r="A4610" s="24" t="n"/>
      <c r="B4610" s="29" t="n"/>
      <c r="C4610" s="28" t="n"/>
      <c r="D4610" s="22">
        <f t="array" ref="D4610">IF($C4610="","",IFERROR(INDEX(DATA_MASTER!$C$2:$C$5000,MATCH($C4610,DATA_MASTER!$D$2:$D$5000,0)),""))</f>
        <v/>
      </c>
      <c r="E4610" s="22">
        <f t="array" ref="E4610">IF($C4610="","",IFERROR(INDEX(DATA_MASTER!$I$2:$I$5000,MATCH($C4610,DATA_MASTER!$D$2:$D$5000,0)),""))</f>
        <v/>
      </c>
      <c r="F4610" s="22">
        <f t="array" ref="F4610">IF($C4610="","",IFERROR(INDEX(DATA_MASTER!$L$2:$L$5000,MATCH($C4610,DATA_MASTER!$D$2:$D$5000,0)),""))</f>
        <v/>
      </c>
      <c r="G4610" s="24" t="n"/>
      <c r="H4610" s="24" t="n"/>
      <c r="I4610" s="30" t="n"/>
      <c r="J4610" s="23">
        <f>IF(OR($H4610="",$I4610=""),"",$H4610*$I4610)</f>
        <v/>
      </c>
      <c r="K4610" s="24" t="n"/>
      <c r="L4610" s="24" t="n"/>
      <c r="M4610" s="29" t="n"/>
      <c r="N4610" s="28" t="n"/>
      <c r="O4610" s="24" t="n"/>
      <c r="P4610" s="24" t="n"/>
      <c r="Q4610" s="24" t="n"/>
      <c r="R4610" s="24" t="n"/>
      <c r="S4610" s="22">
        <f>IF(AND($A4610="",$C4610=""),"",IF($A4610="","Thiếu mã đơn; ","")&amp;IF(COUNTIF($A$2:$A4610,$A4610)&gt;1,"Trùng mã đơn; ","")&amp;IF(ISNA(MATCH($C4610,DATA_MASTER!$D$2:$D$5000,0)),"SĐT chưa đăng ký hội viên; ","")&amp;IF(AND($L4610="Đã chuyển khoản",$M4610=""),"Thiếu ngày nhận CK; ",""))</f>
        <v/>
      </c>
      <c r="T4610" s="24" t="n"/>
    </row>
    <row r="4611" ht="14.25" customHeight="1" s="40">
      <c r="A4611" s="24" t="n"/>
      <c r="B4611" s="29" t="n"/>
      <c r="C4611" s="28" t="n"/>
      <c r="D4611" s="22">
        <f t="array" ref="D4611">IF($C4611="","",IFERROR(INDEX(DATA_MASTER!$C$2:$C$5000,MATCH($C4611,DATA_MASTER!$D$2:$D$5000,0)),""))</f>
        <v/>
      </c>
      <c r="E4611" s="22">
        <f t="array" ref="E4611">IF($C4611="","",IFERROR(INDEX(DATA_MASTER!$I$2:$I$5000,MATCH($C4611,DATA_MASTER!$D$2:$D$5000,0)),""))</f>
        <v/>
      </c>
      <c r="F4611" s="22">
        <f t="array" ref="F4611">IF($C4611="","",IFERROR(INDEX(DATA_MASTER!$L$2:$L$5000,MATCH($C4611,DATA_MASTER!$D$2:$D$5000,0)),""))</f>
        <v/>
      </c>
      <c r="G4611" s="24" t="n"/>
      <c r="H4611" s="24" t="n"/>
      <c r="I4611" s="30" t="n"/>
      <c r="J4611" s="23">
        <f>IF(OR($H4611="",$I4611=""),"",$H4611*$I4611)</f>
        <v/>
      </c>
      <c r="K4611" s="24" t="n"/>
      <c r="L4611" s="24" t="n"/>
      <c r="M4611" s="29" t="n"/>
      <c r="N4611" s="28" t="n"/>
      <c r="O4611" s="24" t="n"/>
      <c r="P4611" s="24" t="n"/>
      <c r="Q4611" s="24" t="n"/>
      <c r="R4611" s="24" t="n"/>
      <c r="S4611" s="22">
        <f>IF(AND($A4611="",$C4611=""),"",IF($A4611="","Thiếu mã đơn; ","")&amp;IF(COUNTIF($A$2:$A4611,$A4611)&gt;1,"Trùng mã đơn; ","")&amp;IF(ISNA(MATCH($C4611,DATA_MASTER!$D$2:$D$5000,0)),"SĐT chưa đăng ký hội viên; ","")&amp;IF(AND($L4611="Đã chuyển khoản",$M4611=""),"Thiếu ngày nhận CK; ",""))</f>
        <v/>
      </c>
      <c r="T4611" s="24" t="n"/>
    </row>
    <row r="4612" ht="14.25" customHeight="1" s="40">
      <c r="A4612" s="24" t="n"/>
      <c r="B4612" s="29" t="n"/>
      <c r="C4612" s="28" t="n"/>
      <c r="D4612" s="22">
        <f t="array" ref="D4612">IF($C4612="","",IFERROR(INDEX(DATA_MASTER!$C$2:$C$5000,MATCH($C4612,DATA_MASTER!$D$2:$D$5000,0)),""))</f>
        <v/>
      </c>
      <c r="E4612" s="22">
        <f t="array" ref="E4612">IF($C4612="","",IFERROR(INDEX(DATA_MASTER!$I$2:$I$5000,MATCH($C4612,DATA_MASTER!$D$2:$D$5000,0)),""))</f>
        <v/>
      </c>
      <c r="F4612" s="22">
        <f t="array" ref="F4612">IF($C4612="","",IFERROR(INDEX(DATA_MASTER!$L$2:$L$5000,MATCH($C4612,DATA_MASTER!$D$2:$D$5000,0)),""))</f>
        <v/>
      </c>
      <c r="G4612" s="24" t="n"/>
      <c r="H4612" s="24" t="n"/>
      <c r="I4612" s="30" t="n"/>
      <c r="J4612" s="23">
        <f>IF(OR($H4612="",$I4612=""),"",$H4612*$I4612)</f>
        <v/>
      </c>
      <c r="K4612" s="24" t="n"/>
      <c r="L4612" s="24" t="n"/>
      <c r="M4612" s="29" t="n"/>
      <c r="N4612" s="28" t="n"/>
      <c r="O4612" s="24" t="n"/>
      <c r="P4612" s="24" t="n"/>
      <c r="Q4612" s="24" t="n"/>
      <c r="R4612" s="24" t="n"/>
      <c r="S4612" s="22">
        <f>IF(AND($A4612="",$C4612=""),"",IF($A4612="","Thiếu mã đơn; ","")&amp;IF(COUNTIF($A$2:$A4612,$A4612)&gt;1,"Trùng mã đơn; ","")&amp;IF(ISNA(MATCH($C4612,DATA_MASTER!$D$2:$D$5000,0)),"SĐT chưa đăng ký hội viên; ","")&amp;IF(AND($L4612="Đã chuyển khoản",$M4612=""),"Thiếu ngày nhận CK; ",""))</f>
        <v/>
      </c>
      <c r="T4612" s="24" t="n"/>
    </row>
    <row r="4613" ht="14.25" customHeight="1" s="40">
      <c r="A4613" s="24" t="n"/>
      <c r="B4613" s="29" t="n"/>
      <c r="C4613" s="28" t="n"/>
      <c r="D4613" s="22">
        <f t="array" ref="D4613">IF($C4613="","",IFERROR(INDEX(DATA_MASTER!$C$2:$C$5000,MATCH($C4613,DATA_MASTER!$D$2:$D$5000,0)),""))</f>
        <v/>
      </c>
      <c r="E4613" s="22">
        <f t="array" ref="E4613">IF($C4613="","",IFERROR(INDEX(DATA_MASTER!$I$2:$I$5000,MATCH($C4613,DATA_MASTER!$D$2:$D$5000,0)),""))</f>
        <v/>
      </c>
      <c r="F4613" s="22">
        <f t="array" ref="F4613">IF($C4613="","",IFERROR(INDEX(DATA_MASTER!$L$2:$L$5000,MATCH($C4613,DATA_MASTER!$D$2:$D$5000,0)),""))</f>
        <v/>
      </c>
      <c r="G4613" s="24" t="n"/>
      <c r="H4613" s="24" t="n"/>
      <c r="I4613" s="30" t="n"/>
      <c r="J4613" s="23">
        <f>IF(OR($H4613="",$I4613=""),"",$H4613*$I4613)</f>
        <v/>
      </c>
      <c r="K4613" s="24" t="n"/>
      <c r="L4613" s="24" t="n"/>
      <c r="M4613" s="29" t="n"/>
      <c r="N4613" s="28" t="n"/>
      <c r="O4613" s="24" t="n"/>
      <c r="P4613" s="24" t="n"/>
      <c r="Q4613" s="24" t="n"/>
      <c r="R4613" s="24" t="n"/>
      <c r="S4613" s="22">
        <f>IF(AND($A4613="",$C4613=""),"",IF($A4613="","Thiếu mã đơn; ","")&amp;IF(COUNTIF($A$2:$A4613,$A4613)&gt;1,"Trùng mã đơn; ","")&amp;IF(ISNA(MATCH($C4613,DATA_MASTER!$D$2:$D$5000,0)),"SĐT chưa đăng ký hội viên; ","")&amp;IF(AND($L4613="Đã chuyển khoản",$M4613=""),"Thiếu ngày nhận CK; ",""))</f>
        <v/>
      </c>
      <c r="T4613" s="24" t="n"/>
    </row>
    <row r="4614" ht="14.25" customHeight="1" s="40">
      <c r="A4614" s="24" t="n"/>
      <c r="B4614" s="29" t="n"/>
      <c r="C4614" s="28" t="n"/>
      <c r="D4614" s="22">
        <f t="array" ref="D4614">IF($C4614="","",IFERROR(INDEX(DATA_MASTER!$C$2:$C$5000,MATCH($C4614,DATA_MASTER!$D$2:$D$5000,0)),""))</f>
        <v/>
      </c>
      <c r="E4614" s="22">
        <f t="array" ref="E4614">IF($C4614="","",IFERROR(INDEX(DATA_MASTER!$I$2:$I$5000,MATCH($C4614,DATA_MASTER!$D$2:$D$5000,0)),""))</f>
        <v/>
      </c>
      <c r="F4614" s="22">
        <f t="array" ref="F4614">IF($C4614="","",IFERROR(INDEX(DATA_MASTER!$L$2:$L$5000,MATCH($C4614,DATA_MASTER!$D$2:$D$5000,0)),""))</f>
        <v/>
      </c>
      <c r="G4614" s="24" t="n"/>
      <c r="H4614" s="24" t="n"/>
      <c r="I4614" s="30" t="n"/>
      <c r="J4614" s="23">
        <f>IF(OR($H4614="",$I4614=""),"",$H4614*$I4614)</f>
        <v/>
      </c>
      <c r="K4614" s="24" t="n"/>
      <c r="L4614" s="24" t="n"/>
      <c r="M4614" s="29" t="n"/>
      <c r="N4614" s="28" t="n"/>
      <c r="O4614" s="24" t="n"/>
      <c r="P4614" s="24" t="n"/>
      <c r="Q4614" s="24" t="n"/>
      <c r="R4614" s="24" t="n"/>
      <c r="S4614" s="22">
        <f>IF(AND($A4614="",$C4614=""),"",IF($A4614="","Thiếu mã đơn; ","")&amp;IF(COUNTIF($A$2:$A4614,$A4614)&gt;1,"Trùng mã đơn; ","")&amp;IF(ISNA(MATCH($C4614,DATA_MASTER!$D$2:$D$5000,0)),"SĐT chưa đăng ký hội viên; ","")&amp;IF(AND($L4614="Đã chuyển khoản",$M4614=""),"Thiếu ngày nhận CK; ",""))</f>
        <v/>
      </c>
      <c r="T4614" s="24" t="n"/>
    </row>
    <row r="4615" ht="14.25" customHeight="1" s="40">
      <c r="A4615" s="24" t="n"/>
      <c r="B4615" s="29" t="n"/>
      <c r="C4615" s="28" t="n"/>
      <c r="D4615" s="22">
        <f t="array" ref="D4615">IF($C4615="","",IFERROR(INDEX(DATA_MASTER!$C$2:$C$5000,MATCH($C4615,DATA_MASTER!$D$2:$D$5000,0)),""))</f>
        <v/>
      </c>
      <c r="E4615" s="22">
        <f t="array" ref="E4615">IF($C4615="","",IFERROR(INDEX(DATA_MASTER!$I$2:$I$5000,MATCH($C4615,DATA_MASTER!$D$2:$D$5000,0)),""))</f>
        <v/>
      </c>
      <c r="F4615" s="22">
        <f t="array" ref="F4615">IF($C4615="","",IFERROR(INDEX(DATA_MASTER!$L$2:$L$5000,MATCH($C4615,DATA_MASTER!$D$2:$D$5000,0)),""))</f>
        <v/>
      </c>
      <c r="G4615" s="24" t="n"/>
      <c r="H4615" s="24" t="n"/>
      <c r="I4615" s="30" t="n"/>
      <c r="J4615" s="23">
        <f>IF(OR($H4615="",$I4615=""),"",$H4615*$I4615)</f>
        <v/>
      </c>
      <c r="K4615" s="24" t="n"/>
      <c r="L4615" s="24" t="n"/>
      <c r="M4615" s="29" t="n"/>
      <c r="N4615" s="28" t="n"/>
      <c r="O4615" s="24" t="n"/>
      <c r="P4615" s="24" t="n"/>
      <c r="Q4615" s="24" t="n"/>
      <c r="R4615" s="24" t="n"/>
      <c r="S4615" s="22">
        <f>IF(AND($A4615="",$C4615=""),"",IF($A4615="","Thiếu mã đơn; ","")&amp;IF(COUNTIF($A$2:$A4615,$A4615)&gt;1,"Trùng mã đơn; ","")&amp;IF(ISNA(MATCH($C4615,DATA_MASTER!$D$2:$D$5000,0)),"SĐT chưa đăng ký hội viên; ","")&amp;IF(AND($L4615="Đã chuyển khoản",$M4615=""),"Thiếu ngày nhận CK; ",""))</f>
        <v/>
      </c>
      <c r="T4615" s="24" t="n"/>
    </row>
    <row r="4616" ht="14.25" customHeight="1" s="40">
      <c r="A4616" s="24" t="n"/>
      <c r="B4616" s="29" t="n"/>
      <c r="C4616" s="28" t="n"/>
      <c r="D4616" s="22">
        <f t="array" ref="D4616">IF($C4616="","",IFERROR(INDEX(DATA_MASTER!$C$2:$C$5000,MATCH($C4616,DATA_MASTER!$D$2:$D$5000,0)),""))</f>
        <v/>
      </c>
      <c r="E4616" s="22">
        <f t="array" ref="E4616">IF($C4616="","",IFERROR(INDEX(DATA_MASTER!$I$2:$I$5000,MATCH($C4616,DATA_MASTER!$D$2:$D$5000,0)),""))</f>
        <v/>
      </c>
      <c r="F4616" s="22">
        <f t="array" ref="F4616">IF($C4616="","",IFERROR(INDEX(DATA_MASTER!$L$2:$L$5000,MATCH($C4616,DATA_MASTER!$D$2:$D$5000,0)),""))</f>
        <v/>
      </c>
      <c r="G4616" s="24" t="n"/>
      <c r="H4616" s="24" t="n"/>
      <c r="I4616" s="30" t="n"/>
      <c r="J4616" s="23">
        <f>IF(OR($H4616="",$I4616=""),"",$H4616*$I4616)</f>
        <v/>
      </c>
      <c r="K4616" s="24" t="n"/>
      <c r="L4616" s="24" t="n"/>
      <c r="M4616" s="29" t="n"/>
      <c r="N4616" s="28" t="n"/>
      <c r="O4616" s="24" t="n"/>
      <c r="P4616" s="24" t="n"/>
      <c r="Q4616" s="24" t="n"/>
      <c r="R4616" s="24" t="n"/>
      <c r="S4616" s="22">
        <f>IF(AND($A4616="",$C4616=""),"",IF($A4616="","Thiếu mã đơn; ","")&amp;IF(COUNTIF($A$2:$A4616,$A4616)&gt;1,"Trùng mã đơn; ","")&amp;IF(ISNA(MATCH($C4616,DATA_MASTER!$D$2:$D$5000,0)),"SĐT chưa đăng ký hội viên; ","")&amp;IF(AND($L4616="Đã chuyển khoản",$M4616=""),"Thiếu ngày nhận CK; ",""))</f>
        <v/>
      </c>
      <c r="T4616" s="24" t="n"/>
    </row>
    <row r="4617" ht="14.25" customHeight="1" s="40">
      <c r="A4617" s="24" t="n"/>
      <c r="B4617" s="29" t="n"/>
      <c r="C4617" s="28" t="n"/>
      <c r="D4617" s="22">
        <f t="array" ref="D4617">IF($C4617="","",IFERROR(INDEX(DATA_MASTER!$C$2:$C$5000,MATCH($C4617,DATA_MASTER!$D$2:$D$5000,0)),""))</f>
        <v/>
      </c>
      <c r="E4617" s="22">
        <f t="array" ref="E4617">IF($C4617="","",IFERROR(INDEX(DATA_MASTER!$I$2:$I$5000,MATCH($C4617,DATA_MASTER!$D$2:$D$5000,0)),""))</f>
        <v/>
      </c>
      <c r="F4617" s="22">
        <f t="array" ref="F4617">IF($C4617="","",IFERROR(INDEX(DATA_MASTER!$L$2:$L$5000,MATCH($C4617,DATA_MASTER!$D$2:$D$5000,0)),""))</f>
        <v/>
      </c>
      <c r="G4617" s="24" t="n"/>
      <c r="H4617" s="24" t="n"/>
      <c r="I4617" s="30" t="n"/>
      <c r="J4617" s="23">
        <f>IF(OR($H4617="",$I4617=""),"",$H4617*$I4617)</f>
        <v/>
      </c>
      <c r="K4617" s="24" t="n"/>
      <c r="L4617" s="24" t="n"/>
      <c r="M4617" s="29" t="n"/>
      <c r="N4617" s="28" t="n"/>
      <c r="O4617" s="24" t="n"/>
      <c r="P4617" s="24" t="n"/>
      <c r="Q4617" s="24" t="n"/>
      <c r="R4617" s="24" t="n"/>
      <c r="S4617" s="22">
        <f>IF(AND($A4617="",$C4617=""),"",IF($A4617="","Thiếu mã đơn; ","")&amp;IF(COUNTIF($A$2:$A4617,$A4617)&gt;1,"Trùng mã đơn; ","")&amp;IF(ISNA(MATCH($C4617,DATA_MASTER!$D$2:$D$5000,0)),"SĐT chưa đăng ký hội viên; ","")&amp;IF(AND($L4617="Đã chuyển khoản",$M4617=""),"Thiếu ngày nhận CK; ",""))</f>
        <v/>
      </c>
      <c r="T4617" s="24" t="n"/>
    </row>
    <row r="4618" ht="14.25" customHeight="1" s="40">
      <c r="A4618" s="24" t="n"/>
      <c r="B4618" s="29" t="n"/>
      <c r="C4618" s="28" t="n"/>
      <c r="D4618" s="22">
        <f t="array" ref="D4618">IF($C4618="","",IFERROR(INDEX(DATA_MASTER!$C$2:$C$5000,MATCH($C4618,DATA_MASTER!$D$2:$D$5000,0)),""))</f>
        <v/>
      </c>
      <c r="E4618" s="22">
        <f t="array" ref="E4618">IF($C4618="","",IFERROR(INDEX(DATA_MASTER!$I$2:$I$5000,MATCH($C4618,DATA_MASTER!$D$2:$D$5000,0)),""))</f>
        <v/>
      </c>
      <c r="F4618" s="22">
        <f t="array" ref="F4618">IF($C4618="","",IFERROR(INDEX(DATA_MASTER!$L$2:$L$5000,MATCH($C4618,DATA_MASTER!$D$2:$D$5000,0)),""))</f>
        <v/>
      </c>
      <c r="G4618" s="24" t="n"/>
      <c r="H4618" s="24" t="n"/>
      <c r="I4618" s="30" t="n"/>
      <c r="J4618" s="23">
        <f>IF(OR($H4618="",$I4618=""),"",$H4618*$I4618)</f>
        <v/>
      </c>
      <c r="K4618" s="24" t="n"/>
      <c r="L4618" s="24" t="n"/>
      <c r="M4618" s="29" t="n"/>
      <c r="N4618" s="28" t="n"/>
      <c r="O4618" s="24" t="n"/>
      <c r="P4618" s="24" t="n"/>
      <c r="Q4618" s="24" t="n"/>
      <c r="R4618" s="24" t="n"/>
      <c r="S4618" s="22">
        <f>IF(AND($A4618="",$C4618=""),"",IF($A4618="","Thiếu mã đơn; ","")&amp;IF(COUNTIF($A$2:$A4618,$A4618)&gt;1,"Trùng mã đơn; ","")&amp;IF(ISNA(MATCH($C4618,DATA_MASTER!$D$2:$D$5000,0)),"SĐT chưa đăng ký hội viên; ","")&amp;IF(AND($L4618="Đã chuyển khoản",$M4618=""),"Thiếu ngày nhận CK; ",""))</f>
        <v/>
      </c>
      <c r="T4618" s="24" t="n"/>
    </row>
    <row r="4619" ht="14.25" customHeight="1" s="40">
      <c r="A4619" s="24" t="n"/>
      <c r="B4619" s="29" t="n"/>
      <c r="C4619" s="28" t="n"/>
      <c r="D4619" s="22">
        <f t="array" ref="D4619">IF($C4619="","",IFERROR(INDEX(DATA_MASTER!$C$2:$C$5000,MATCH($C4619,DATA_MASTER!$D$2:$D$5000,0)),""))</f>
        <v/>
      </c>
      <c r="E4619" s="22">
        <f t="array" ref="E4619">IF($C4619="","",IFERROR(INDEX(DATA_MASTER!$I$2:$I$5000,MATCH($C4619,DATA_MASTER!$D$2:$D$5000,0)),""))</f>
        <v/>
      </c>
      <c r="F4619" s="22">
        <f t="array" ref="F4619">IF($C4619="","",IFERROR(INDEX(DATA_MASTER!$L$2:$L$5000,MATCH($C4619,DATA_MASTER!$D$2:$D$5000,0)),""))</f>
        <v/>
      </c>
      <c r="G4619" s="24" t="n"/>
      <c r="H4619" s="24" t="n"/>
      <c r="I4619" s="30" t="n"/>
      <c r="J4619" s="23">
        <f>IF(OR($H4619="",$I4619=""),"",$H4619*$I4619)</f>
        <v/>
      </c>
      <c r="K4619" s="24" t="n"/>
      <c r="L4619" s="24" t="n"/>
      <c r="M4619" s="29" t="n"/>
      <c r="N4619" s="28" t="n"/>
      <c r="O4619" s="24" t="n"/>
      <c r="P4619" s="24" t="n"/>
      <c r="Q4619" s="24" t="n"/>
      <c r="R4619" s="24" t="n"/>
      <c r="S4619" s="22">
        <f>IF(AND($A4619="",$C4619=""),"",IF($A4619="","Thiếu mã đơn; ","")&amp;IF(COUNTIF($A$2:$A4619,$A4619)&gt;1,"Trùng mã đơn; ","")&amp;IF(ISNA(MATCH($C4619,DATA_MASTER!$D$2:$D$5000,0)),"SĐT chưa đăng ký hội viên; ","")&amp;IF(AND($L4619="Đã chuyển khoản",$M4619=""),"Thiếu ngày nhận CK; ",""))</f>
        <v/>
      </c>
      <c r="T4619" s="24" t="n"/>
    </row>
    <row r="4620" ht="14.25" customHeight="1" s="40">
      <c r="A4620" s="24" t="n"/>
      <c r="B4620" s="29" t="n"/>
      <c r="C4620" s="28" t="n"/>
      <c r="D4620" s="22">
        <f t="array" ref="D4620">IF($C4620="","",IFERROR(INDEX(DATA_MASTER!$C$2:$C$5000,MATCH($C4620,DATA_MASTER!$D$2:$D$5000,0)),""))</f>
        <v/>
      </c>
      <c r="E4620" s="22">
        <f t="array" ref="E4620">IF($C4620="","",IFERROR(INDEX(DATA_MASTER!$I$2:$I$5000,MATCH($C4620,DATA_MASTER!$D$2:$D$5000,0)),""))</f>
        <v/>
      </c>
      <c r="F4620" s="22">
        <f t="array" ref="F4620">IF($C4620="","",IFERROR(INDEX(DATA_MASTER!$L$2:$L$5000,MATCH($C4620,DATA_MASTER!$D$2:$D$5000,0)),""))</f>
        <v/>
      </c>
      <c r="G4620" s="24" t="n"/>
      <c r="H4620" s="24" t="n"/>
      <c r="I4620" s="30" t="n"/>
      <c r="J4620" s="23">
        <f>IF(OR($H4620="",$I4620=""),"",$H4620*$I4620)</f>
        <v/>
      </c>
      <c r="K4620" s="24" t="n"/>
      <c r="L4620" s="24" t="n"/>
      <c r="M4620" s="29" t="n"/>
      <c r="N4620" s="28" t="n"/>
      <c r="O4620" s="24" t="n"/>
      <c r="P4620" s="24" t="n"/>
      <c r="Q4620" s="24" t="n"/>
      <c r="R4620" s="24" t="n"/>
      <c r="S4620" s="22">
        <f>IF(AND($A4620="",$C4620=""),"",IF($A4620="","Thiếu mã đơn; ","")&amp;IF(COUNTIF($A$2:$A4620,$A4620)&gt;1,"Trùng mã đơn; ","")&amp;IF(ISNA(MATCH($C4620,DATA_MASTER!$D$2:$D$5000,0)),"SĐT chưa đăng ký hội viên; ","")&amp;IF(AND($L4620="Đã chuyển khoản",$M4620=""),"Thiếu ngày nhận CK; ",""))</f>
        <v/>
      </c>
      <c r="T4620" s="24" t="n"/>
    </row>
    <row r="4621" ht="14.25" customHeight="1" s="40">
      <c r="A4621" s="24" t="n"/>
      <c r="B4621" s="29" t="n"/>
      <c r="C4621" s="28" t="n"/>
      <c r="D4621" s="22">
        <f t="array" ref="D4621">IF($C4621="","",IFERROR(INDEX(DATA_MASTER!$C$2:$C$5000,MATCH($C4621,DATA_MASTER!$D$2:$D$5000,0)),""))</f>
        <v/>
      </c>
      <c r="E4621" s="22">
        <f t="array" ref="E4621">IF($C4621="","",IFERROR(INDEX(DATA_MASTER!$I$2:$I$5000,MATCH($C4621,DATA_MASTER!$D$2:$D$5000,0)),""))</f>
        <v/>
      </c>
      <c r="F4621" s="22">
        <f t="array" ref="F4621">IF($C4621="","",IFERROR(INDEX(DATA_MASTER!$L$2:$L$5000,MATCH($C4621,DATA_MASTER!$D$2:$D$5000,0)),""))</f>
        <v/>
      </c>
      <c r="G4621" s="24" t="n"/>
      <c r="H4621" s="24" t="n"/>
      <c r="I4621" s="30" t="n"/>
      <c r="J4621" s="23">
        <f>IF(OR($H4621="",$I4621=""),"",$H4621*$I4621)</f>
        <v/>
      </c>
      <c r="K4621" s="24" t="n"/>
      <c r="L4621" s="24" t="n"/>
      <c r="M4621" s="29" t="n"/>
      <c r="N4621" s="28" t="n"/>
      <c r="O4621" s="24" t="n"/>
      <c r="P4621" s="24" t="n"/>
      <c r="Q4621" s="24" t="n"/>
      <c r="R4621" s="24" t="n"/>
      <c r="S4621" s="22">
        <f>IF(AND($A4621="",$C4621=""),"",IF($A4621="","Thiếu mã đơn; ","")&amp;IF(COUNTIF($A$2:$A4621,$A4621)&gt;1,"Trùng mã đơn; ","")&amp;IF(ISNA(MATCH($C4621,DATA_MASTER!$D$2:$D$5000,0)),"SĐT chưa đăng ký hội viên; ","")&amp;IF(AND($L4621="Đã chuyển khoản",$M4621=""),"Thiếu ngày nhận CK; ",""))</f>
        <v/>
      </c>
      <c r="T4621" s="24" t="n"/>
    </row>
    <row r="4622" ht="14.25" customHeight="1" s="40">
      <c r="A4622" s="24" t="n"/>
      <c r="B4622" s="29" t="n"/>
      <c r="C4622" s="28" t="n"/>
      <c r="D4622" s="22">
        <f t="array" ref="D4622">IF($C4622="","",IFERROR(INDEX(DATA_MASTER!$C$2:$C$5000,MATCH($C4622,DATA_MASTER!$D$2:$D$5000,0)),""))</f>
        <v/>
      </c>
      <c r="E4622" s="22">
        <f t="array" ref="E4622">IF($C4622="","",IFERROR(INDEX(DATA_MASTER!$I$2:$I$5000,MATCH($C4622,DATA_MASTER!$D$2:$D$5000,0)),""))</f>
        <v/>
      </c>
      <c r="F4622" s="22">
        <f t="array" ref="F4622">IF($C4622="","",IFERROR(INDEX(DATA_MASTER!$L$2:$L$5000,MATCH($C4622,DATA_MASTER!$D$2:$D$5000,0)),""))</f>
        <v/>
      </c>
      <c r="G4622" s="24" t="n"/>
      <c r="H4622" s="24" t="n"/>
      <c r="I4622" s="30" t="n"/>
      <c r="J4622" s="23">
        <f>IF(OR($H4622="",$I4622=""),"",$H4622*$I4622)</f>
        <v/>
      </c>
      <c r="K4622" s="24" t="n"/>
      <c r="L4622" s="24" t="n"/>
      <c r="M4622" s="29" t="n"/>
      <c r="N4622" s="28" t="n"/>
      <c r="O4622" s="24" t="n"/>
      <c r="P4622" s="24" t="n"/>
      <c r="Q4622" s="24" t="n"/>
      <c r="R4622" s="24" t="n"/>
      <c r="S4622" s="22">
        <f>IF(AND($A4622="",$C4622=""),"",IF($A4622="","Thiếu mã đơn; ","")&amp;IF(COUNTIF($A$2:$A4622,$A4622)&gt;1,"Trùng mã đơn; ","")&amp;IF(ISNA(MATCH($C4622,DATA_MASTER!$D$2:$D$5000,0)),"SĐT chưa đăng ký hội viên; ","")&amp;IF(AND($L4622="Đã chuyển khoản",$M4622=""),"Thiếu ngày nhận CK; ",""))</f>
        <v/>
      </c>
      <c r="T4622" s="24" t="n"/>
    </row>
    <row r="4623" ht="14.25" customHeight="1" s="40">
      <c r="A4623" s="24" t="n"/>
      <c r="B4623" s="29" t="n"/>
      <c r="C4623" s="28" t="n"/>
      <c r="D4623" s="22">
        <f t="array" ref="D4623">IF($C4623="","",IFERROR(INDEX(DATA_MASTER!$C$2:$C$5000,MATCH($C4623,DATA_MASTER!$D$2:$D$5000,0)),""))</f>
        <v/>
      </c>
      <c r="E4623" s="22">
        <f t="array" ref="E4623">IF($C4623="","",IFERROR(INDEX(DATA_MASTER!$I$2:$I$5000,MATCH($C4623,DATA_MASTER!$D$2:$D$5000,0)),""))</f>
        <v/>
      </c>
      <c r="F4623" s="22">
        <f t="array" ref="F4623">IF($C4623="","",IFERROR(INDEX(DATA_MASTER!$L$2:$L$5000,MATCH($C4623,DATA_MASTER!$D$2:$D$5000,0)),""))</f>
        <v/>
      </c>
      <c r="G4623" s="24" t="n"/>
      <c r="H4623" s="24" t="n"/>
      <c r="I4623" s="30" t="n"/>
      <c r="J4623" s="23">
        <f>IF(OR($H4623="",$I4623=""),"",$H4623*$I4623)</f>
        <v/>
      </c>
      <c r="K4623" s="24" t="n"/>
      <c r="L4623" s="24" t="n"/>
      <c r="M4623" s="29" t="n"/>
      <c r="N4623" s="28" t="n"/>
      <c r="O4623" s="24" t="n"/>
      <c r="P4623" s="24" t="n"/>
      <c r="Q4623" s="24" t="n"/>
      <c r="R4623" s="24" t="n"/>
      <c r="S4623" s="22">
        <f>IF(AND($A4623="",$C4623=""),"",IF($A4623="","Thiếu mã đơn; ","")&amp;IF(COUNTIF($A$2:$A4623,$A4623)&gt;1,"Trùng mã đơn; ","")&amp;IF(ISNA(MATCH($C4623,DATA_MASTER!$D$2:$D$5000,0)),"SĐT chưa đăng ký hội viên; ","")&amp;IF(AND($L4623="Đã chuyển khoản",$M4623=""),"Thiếu ngày nhận CK; ",""))</f>
        <v/>
      </c>
      <c r="T4623" s="24" t="n"/>
    </row>
    <row r="4624" ht="14.25" customHeight="1" s="40">
      <c r="A4624" s="24" t="n"/>
      <c r="B4624" s="29" t="n"/>
      <c r="C4624" s="28" t="n"/>
      <c r="D4624" s="22">
        <f t="array" ref="D4624">IF($C4624="","",IFERROR(INDEX(DATA_MASTER!$C$2:$C$5000,MATCH($C4624,DATA_MASTER!$D$2:$D$5000,0)),""))</f>
        <v/>
      </c>
      <c r="E4624" s="22">
        <f t="array" ref="E4624">IF($C4624="","",IFERROR(INDEX(DATA_MASTER!$I$2:$I$5000,MATCH($C4624,DATA_MASTER!$D$2:$D$5000,0)),""))</f>
        <v/>
      </c>
      <c r="F4624" s="22">
        <f t="array" ref="F4624">IF($C4624="","",IFERROR(INDEX(DATA_MASTER!$L$2:$L$5000,MATCH($C4624,DATA_MASTER!$D$2:$D$5000,0)),""))</f>
        <v/>
      </c>
      <c r="G4624" s="24" t="n"/>
      <c r="H4624" s="24" t="n"/>
      <c r="I4624" s="30" t="n"/>
      <c r="J4624" s="23">
        <f>IF(OR($H4624="",$I4624=""),"",$H4624*$I4624)</f>
        <v/>
      </c>
      <c r="K4624" s="24" t="n"/>
      <c r="L4624" s="24" t="n"/>
      <c r="M4624" s="29" t="n"/>
      <c r="N4624" s="28" t="n"/>
      <c r="O4624" s="24" t="n"/>
      <c r="P4624" s="24" t="n"/>
      <c r="Q4624" s="24" t="n"/>
      <c r="R4624" s="24" t="n"/>
      <c r="S4624" s="22">
        <f>IF(AND($A4624="",$C4624=""),"",IF($A4624="","Thiếu mã đơn; ","")&amp;IF(COUNTIF($A$2:$A4624,$A4624)&gt;1,"Trùng mã đơn; ","")&amp;IF(ISNA(MATCH($C4624,DATA_MASTER!$D$2:$D$5000,0)),"SĐT chưa đăng ký hội viên; ","")&amp;IF(AND($L4624="Đã chuyển khoản",$M4624=""),"Thiếu ngày nhận CK; ",""))</f>
        <v/>
      </c>
      <c r="T4624" s="24" t="n"/>
    </row>
    <row r="4625" ht="14.25" customHeight="1" s="40">
      <c r="A4625" s="24" t="n"/>
      <c r="B4625" s="29" t="n"/>
      <c r="C4625" s="28" t="n"/>
      <c r="D4625" s="22">
        <f t="array" ref="D4625">IF($C4625="","",IFERROR(INDEX(DATA_MASTER!$C$2:$C$5000,MATCH($C4625,DATA_MASTER!$D$2:$D$5000,0)),""))</f>
        <v/>
      </c>
      <c r="E4625" s="22">
        <f t="array" ref="E4625">IF($C4625="","",IFERROR(INDEX(DATA_MASTER!$I$2:$I$5000,MATCH($C4625,DATA_MASTER!$D$2:$D$5000,0)),""))</f>
        <v/>
      </c>
      <c r="F4625" s="22">
        <f t="array" ref="F4625">IF($C4625="","",IFERROR(INDEX(DATA_MASTER!$L$2:$L$5000,MATCH($C4625,DATA_MASTER!$D$2:$D$5000,0)),""))</f>
        <v/>
      </c>
      <c r="G4625" s="24" t="n"/>
      <c r="H4625" s="24" t="n"/>
      <c r="I4625" s="30" t="n"/>
      <c r="J4625" s="23">
        <f>IF(OR($H4625="",$I4625=""),"",$H4625*$I4625)</f>
        <v/>
      </c>
      <c r="K4625" s="24" t="n"/>
      <c r="L4625" s="24" t="n"/>
      <c r="M4625" s="29" t="n"/>
      <c r="N4625" s="28" t="n"/>
      <c r="O4625" s="24" t="n"/>
      <c r="P4625" s="24" t="n"/>
      <c r="Q4625" s="24" t="n"/>
      <c r="R4625" s="24" t="n"/>
      <c r="S4625" s="22">
        <f>IF(AND($A4625="",$C4625=""),"",IF($A4625="","Thiếu mã đơn; ","")&amp;IF(COUNTIF($A$2:$A4625,$A4625)&gt;1,"Trùng mã đơn; ","")&amp;IF(ISNA(MATCH($C4625,DATA_MASTER!$D$2:$D$5000,0)),"SĐT chưa đăng ký hội viên; ","")&amp;IF(AND($L4625="Đã chuyển khoản",$M4625=""),"Thiếu ngày nhận CK; ",""))</f>
        <v/>
      </c>
      <c r="T4625" s="24" t="n"/>
    </row>
    <row r="4626" ht="14.25" customHeight="1" s="40">
      <c r="A4626" s="24" t="n"/>
      <c r="B4626" s="29" t="n"/>
      <c r="C4626" s="28" t="n"/>
      <c r="D4626" s="22">
        <f t="array" ref="D4626">IF($C4626="","",IFERROR(INDEX(DATA_MASTER!$C$2:$C$5000,MATCH($C4626,DATA_MASTER!$D$2:$D$5000,0)),""))</f>
        <v/>
      </c>
      <c r="E4626" s="22">
        <f t="array" ref="E4626">IF($C4626="","",IFERROR(INDEX(DATA_MASTER!$I$2:$I$5000,MATCH($C4626,DATA_MASTER!$D$2:$D$5000,0)),""))</f>
        <v/>
      </c>
      <c r="F4626" s="22">
        <f t="array" ref="F4626">IF($C4626="","",IFERROR(INDEX(DATA_MASTER!$L$2:$L$5000,MATCH($C4626,DATA_MASTER!$D$2:$D$5000,0)),""))</f>
        <v/>
      </c>
      <c r="G4626" s="24" t="n"/>
      <c r="H4626" s="24" t="n"/>
      <c r="I4626" s="30" t="n"/>
      <c r="J4626" s="23">
        <f>IF(OR($H4626="",$I4626=""),"",$H4626*$I4626)</f>
        <v/>
      </c>
      <c r="K4626" s="24" t="n"/>
      <c r="L4626" s="24" t="n"/>
      <c r="M4626" s="29" t="n"/>
      <c r="N4626" s="28" t="n"/>
      <c r="O4626" s="24" t="n"/>
      <c r="P4626" s="24" t="n"/>
      <c r="Q4626" s="24" t="n"/>
      <c r="R4626" s="24" t="n"/>
      <c r="S4626" s="22">
        <f>IF(AND($A4626="",$C4626=""),"",IF($A4626="","Thiếu mã đơn; ","")&amp;IF(COUNTIF($A$2:$A4626,$A4626)&gt;1,"Trùng mã đơn; ","")&amp;IF(ISNA(MATCH($C4626,DATA_MASTER!$D$2:$D$5000,0)),"SĐT chưa đăng ký hội viên; ","")&amp;IF(AND($L4626="Đã chuyển khoản",$M4626=""),"Thiếu ngày nhận CK; ",""))</f>
        <v/>
      </c>
      <c r="T4626" s="24" t="n"/>
    </row>
    <row r="4627" ht="14.25" customHeight="1" s="40">
      <c r="A4627" s="24" t="n"/>
      <c r="B4627" s="29" t="n"/>
      <c r="C4627" s="28" t="n"/>
      <c r="D4627" s="22">
        <f t="array" ref="D4627">IF($C4627="","",IFERROR(INDEX(DATA_MASTER!$C$2:$C$5000,MATCH($C4627,DATA_MASTER!$D$2:$D$5000,0)),""))</f>
        <v/>
      </c>
      <c r="E4627" s="22">
        <f t="array" ref="E4627">IF($C4627="","",IFERROR(INDEX(DATA_MASTER!$I$2:$I$5000,MATCH($C4627,DATA_MASTER!$D$2:$D$5000,0)),""))</f>
        <v/>
      </c>
      <c r="F4627" s="22">
        <f t="array" ref="F4627">IF($C4627="","",IFERROR(INDEX(DATA_MASTER!$L$2:$L$5000,MATCH($C4627,DATA_MASTER!$D$2:$D$5000,0)),""))</f>
        <v/>
      </c>
      <c r="G4627" s="24" t="n"/>
      <c r="H4627" s="24" t="n"/>
      <c r="I4627" s="30" t="n"/>
      <c r="J4627" s="23">
        <f>IF(OR($H4627="",$I4627=""),"",$H4627*$I4627)</f>
        <v/>
      </c>
      <c r="K4627" s="24" t="n"/>
      <c r="L4627" s="24" t="n"/>
      <c r="M4627" s="29" t="n"/>
      <c r="N4627" s="28" t="n"/>
      <c r="O4627" s="24" t="n"/>
      <c r="P4627" s="24" t="n"/>
      <c r="Q4627" s="24" t="n"/>
      <c r="R4627" s="24" t="n"/>
      <c r="S4627" s="22">
        <f>IF(AND($A4627="",$C4627=""),"",IF($A4627="","Thiếu mã đơn; ","")&amp;IF(COUNTIF($A$2:$A4627,$A4627)&gt;1,"Trùng mã đơn; ","")&amp;IF(ISNA(MATCH($C4627,DATA_MASTER!$D$2:$D$5000,0)),"SĐT chưa đăng ký hội viên; ","")&amp;IF(AND($L4627="Đã chuyển khoản",$M4627=""),"Thiếu ngày nhận CK; ",""))</f>
        <v/>
      </c>
      <c r="T4627" s="24" t="n"/>
    </row>
    <row r="4628" ht="14.25" customHeight="1" s="40">
      <c r="A4628" s="24" t="n"/>
      <c r="B4628" s="29" t="n"/>
      <c r="C4628" s="28" t="n"/>
      <c r="D4628" s="22">
        <f t="array" ref="D4628">IF($C4628="","",IFERROR(INDEX(DATA_MASTER!$C$2:$C$5000,MATCH($C4628,DATA_MASTER!$D$2:$D$5000,0)),""))</f>
        <v/>
      </c>
      <c r="E4628" s="22">
        <f t="array" ref="E4628">IF($C4628="","",IFERROR(INDEX(DATA_MASTER!$I$2:$I$5000,MATCH($C4628,DATA_MASTER!$D$2:$D$5000,0)),""))</f>
        <v/>
      </c>
      <c r="F4628" s="22">
        <f t="array" ref="F4628">IF($C4628="","",IFERROR(INDEX(DATA_MASTER!$L$2:$L$5000,MATCH($C4628,DATA_MASTER!$D$2:$D$5000,0)),""))</f>
        <v/>
      </c>
      <c r="G4628" s="24" t="n"/>
      <c r="H4628" s="24" t="n"/>
      <c r="I4628" s="30" t="n"/>
      <c r="J4628" s="23">
        <f>IF(OR($H4628="",$I4628=""),"",$H4628*$I4628)</f>
        <v/>
      </c>
      <c r="K4628" s="24" t="n"/>
      <c r="L4628" s="24" t="n"/>
      <c r="M4628" s="29" t="n"/>
      <c r="N4628" s="28" t="n"/>
      <c r="O4628" s="24" t="n"/>
      <c r="P4628" s="24" t="n"/>
      <c r="Q4628" s="24" t="n"/>
      <c r="R4628" s="24" t="n"/>
      <c r="S4628" s="22">
        <f>IF(AND($A4628="",$C4628=""),"",IF($A4628="","Thiếu mã đơn; ","")&amp;IF(COUNTIF($A$2:$A4628,$A4628)&gt;1,"Trùng mã đơn; ","")&amp;IF(ISNA(MATCH($C4628,DATA_MASTER!$D$2:$D$5000,0)),"SĐT chưa đăng ký hội viên; ","")&amp;IF(AND($L4628="Đã chuyển khoản",$M4628=""),"Thiếu ngày nhận CK; ",""))</f>
        <v/>
      </c>
      <c r="T4628" s="24" t="n"/>
    </row>
    <row r="4629" ht="14.25" customHeight="1" s="40">
      <c r="A4629" s="24" t="n"/>
      <c r="B4629" s="29" t="n"/>
      <c r="C4629" s="28" t="n"/>
      <c r="D4629" s="22">
        <f t="array" ref="D4629">IF($C4629="","",IFERROR(INDEX(DATA_MASTER!$C$2:$C$5000,MATCH($C4629,DATA_MASTER!$D$2:$D$5000,0)),""))</f>
        <v/>
      </c>
      <c r="E4629" s="22">
        <f t="array" ref="E4629">IF($C4629="","",IFERROR(INDEX(DATA_MASTER!$I$2:$I$5000,MATCH($C4629,DATA_MASTER!$D$2:$D$5000,0)),""))</f>
        <v/>
      </c>
      <c r="F4629" s="22">
        <f t="array" ref="F4629">IF($C4629="","",IFERROR(INDEX(DATA_MASTER!$L$2:$L$5000,MATCH($C4629,DATA_MASTER!$D$2:$D$5000,0)),""))</f>
        <v/>
      </c>
      <c r="G4629" s="24" t="n"/>
      <c r="H4629" s="24" t="n"/>
      <c r="I4629" s="30" t="n"/>
      <c r="J4629" s="23">
        <f>IF(OR($H4629="",$I4629=""),"",$H4629*$I4629)</f>
        <v/>
      </c>
      <c r="K4629" s="24" t="n"/>
      <c r="L4629" s="24" t="n"/>
      <c r="M4629" s="29" t="n"/>
      <c r="N4629" s="28" t="n"/>
      <c r="O4629" s="24" t="n"/>
      <c r="P4629" s="24" t="n"/>
      <c r="Q4629" s="24" t="n"/>
      <c r="R4629" s="24" t="n"/>
      <c r="S4629" s="22">
        <f>IF(AND($A4629="",$C4629=""),"",IF($A4629="","Thiếu mã đơn; ","")&amp;IF(COUNTIF($A$2:$A4629,$A4629)&gt;1,"Trùng mã đơn; ","")&amp;IF(ISNA(MATCH($C4629,DATA_MASTER!$D$2:$D$5000,0)),"SĐT chưa đăng ký hội viên; ","")&amp;IF(AND($L4629="Đã chuyển khoản",$M4629=""),"Thiếu ngày nhận CK; ",""))</f>
        <v/>
      </c>
      <c r="T4629" s="24" t="n"/>
    </row>
    <row r="4630" ht="14.25" customHeight="1" s="40">
      <c r="A4630" s="24" t="n"/>
      <c r="B4630" s="29" t="n"/>
      <c r="C4630" s="28" t="n"/>
      <c r="D4630" s="22">
        <f t="array" ref="D4630">IF($C4630="","",IFERROR(INDEX(DATA_MASTER!$C$2:$C$5000,MATCH($C4630,DATA_MASTER!$D$2:$D$5000,0)),""))</f>
        <v/>
      </c>
      <c r="E4630" s="22">
        <f t="array" ref="E4630">IF($C4630="","",IFERROR(INDEX(DATA_MASTER!$I$2:$I$5000,MATCH($C4630,DATA_MASTER!$D$2:$D$5000,0)),""))</f>
        <v/>
      </c>
      <c r="F4630" s="22">
        <f t="array" ref="F4630">IF($C4630="","",IFERROR(INDEX(DATA_MASTER!$L$2:$L$5000,MATCH($C4630,DATA_MASTER!$D$2:$D$5000,0)),""))</f>
        <v/>
      </c>
      <c r="G4630" s="24" t="n"/>
      <c r="H4630" s="24" t="n"/>
      <c r="I4630" s="30" t="n"/>
      <c r="J4630" s="23">
        <f>IF(OR($H4630="",$I4630=""),"",$H4630*$I4630)</f>
        <v/>
      </c>
      <c r="K4630" s="24" t="n"/>
      <c r="L4630" s="24" t="n"/>
      <c r="M4630" s="29" t="n"/>
      <c r="N4630" s="28" t="n"/>
      <c r="O4630" s="24" t="n"/>
      <c r="P4630" s="24" t="n"/>
      <c r="Q4630" s="24" t="n"/>
      <c r="R4630" s="24" t="n"/>
      <c r="S4630" s="22">
        <f>IF(AND($A4630="",$C4630=""),"",IF($A4630="","Thiếu mã đơn; ","")&amp;IF(COUNTIF($A$2:$A4630,$A4630)&gt;1,"Trùng mã đơn; ","")&amp;IF(ISNA(MATCH($C4630,DATA_MASTER!$D$2:$D$5000,0)),"SĐT chưa đăng ký hội viên; ","")&amp;IF(AND($L4630="Đã chuyển khoản",$M4630=""),"Thiếu ngày nhận CK; ",""))</f>
        <v/>
      </c>
      <c r="T4630" s="24" t="n"/>
    </row>
    <row r="4631" ht="14.25" customHeight="1" s="40">
      <c r="A4631" s="24" t="n"/>
      <c r="B4631" s="29" t="n"/>
      <c r="C4631" s="28" t="n"/>
      <c r="D4631" s="22">
        <f t="array" ref="D4631">IF($C4631="","",IFERROR(INDEX(DATA_MASTER!$C$2:$C$5000,MATCH($C4631,DATA_MASTER!$D$2:$D$5000,0)),""))</f>
        <v/>
      </c>
      <c r="E4631" s="22">
        <f t="array" ref="E4631">IF($C4631="","",IFERROR(INDEX(DATA_MASTER!$I$2:$I$5000,MATCH($C4631,DATA_MASTER!$D$2:$D$5000,0)),""))</f>
        <v/>
      </c>
      <c r="F4631" s="22">
        <f t="array" ref="F4631">IF($C4631="","",IFERROR(INDEX(DATA_MASTER!$L$2:$L$5000,MATCH($C4631,DATA_MASTER!$D$2:$D$5000,0)),""))</f>
        <v/>
      </c>
      <c r="G4631" s="24" t="n"/>
      <c r="H4631" s="24" t="n"/>
      <c r="I4631" s="30" t="n"/>
      <c r="J4631" s="23">
        <f>IF(OR($H4631="",$I4631=""),"",$H4631*$I4631)</f>
        <v/>
      </c>
      <c r="K4631" s="24" t="n"/>
      <c r="L4631" s="24" t="n"/>
      <c r="M4631" s="29" t="n"/>
      <c r="N4631" s="28" t="n"/>
      <c r="O4631" s="24" t="n"/>
      <c r="P4631" s="24" t="n"/>
      <c r="Q4631" s="24" t="n"/>
      <c r="R4631" s="24" t="n"/>
      <c r="S4631" s="22">
        <f>IF(AND($A4631="",$C4631=""),"",IF($A4631="","Thiếu mã đơn; ","")&amp;IF(COUNTIF($A$2:$A4631,$A4631)&gt;1,"Trùng mã đơn; ","")&amp;IF(ISNA(MATCH($C4631,DATA_MASTER!$D$2:$D$5000,0)),"SĐT chưa đăng ký hội viên; ","")&amp;IF(AND($L4631="Đã chuyển khoản",$M4631=""),"Thiếu ngày nhận CK; ",""))</f>
        <v/>
      </c>
      <c r="T4631" s="24" t="n"/>
    </row>
    <row r="4632" ht="14.25" customHeight="1" s="40">
      <c r="A4632" s="24" t="n"/>
      <c r="B4632" s="29" t="n"/>
      <c r="C4632" s="28" t="n"/>
      <c r="D4632" s="22">
        <f t="array" ref="D4632">IF($C4632="","",IFERROR(INDEX(DATA_MASTER!$C$2:$C$5000,MATCH($C4632,DATA_MASTER!$D$2:$D$5000,0)),""))</f>
        <v/>
      </c>
      <c r="E4632" s="22">
        <f t="array" ref="E4632">IF($C4632="","",IFERROR(INDEX(DATA_MASTER!$I$2:$I$5000,MATCH($C4632,DATA_MASTER!$D$2:$D$5000,0)),""))</f>
        <v/>
      </c>
      <c r="F4632" s="22">
        <f t="array" ref="F4632">IF($C4632="","",IFERROR(INDEX(DATA_MASTER!$L$2:$L$5000,MATCH($C4632,DATA_MASTER!$D$2:$D$5000,0)),""))</f>
        <v/>
      </c>
      <c r="G4632" s="24" t="n"/>
      <c r="H4632" s="24" t="n"/>
      <c r="I4632" s="30" t="n"/>
      <c r="J4632" s="23">
        <f>IF(OR($H4632="",$I4632=""),"",$H4632*$I4632)</f>
        <v/>
      </c>
      <c r="K4632" s="24" t="n"/>
      <c r="L4632" s="24" t="n"/>
      <c r="M4632" s="29" t="n"/>
      <c r="N4632" s="28" t="n"/>
      <c r="O4632" s="24" t="n"/>
      <c r="P4632" s="24" t="n"/>
      <c r="Q4632" s="24" t="n"/>
      <c r="R4632" s="24" t="n"/>
      <c r="S4632" s="22">
        <f>IF(AND($A4632="",$C4632=""),"",IF($A4632="","Thiếu mã đơn; ","")&amp;IF(COUNTIF($A$2:$A4632,$A4632)&gt;1,"Trùng mã đơn; ","")&amp;IF(ISNA(MATCH($C4632,DATA_MASTER!$D$2:$D$5000,0)),"SĐT chưa đăng ký hội viên; ","")&amp;IF(AND($L4632="Đã chuyển khoản",$M4632=""),"Thiếu ngày nhận CK; ",""))</f>
        <v/>
      </c>
      <c r="T4632" s="24" t="n"/>
    </row>
    <row r="4633" ht="14.25" customHeight="1" s="40">
      <c r="A4633" s="24" t="n"/>
      <c r="B4633" s="29" t="n"/>
      <c r="C4633" s="28" t="n"/>
      <c r="D4633" s="22">
        <f t="array" ref="D4633">IF($C4633="","",IFERROR(INDEX(DATA_MASTER!$C$2:$C$5000,MATCH($C4633,DATA_MASTER!$D$2:$D$5000,0)),""))</f>
        <v/>
      </c>
      <c r="E4633" s="22">
        <f t="array" ref="E4633">IF($C4633="","",IFERROR(INDEX(DATA_MASTER!$I$2:$I$5000,MATCH($C4633,DATA_MASTER!$D$2:$D$5000,0)),""))</f>
        <v/>
      </c>
      <c r="F4633" s="22">
        <f t="array" ref="F4633">IF($C4633="","",IFERROR(INDEX(DATA_MASTER!$L$2:$L$5000,MATCH($C4633,DATA_MASTER!$D$2:$D$5000,0)),""))</f>
        <v/>
      </c>
      <c r="G4633" s="24" t="n"/>
      <c r="H4633" s="24" t="n"/>
      <c r="I4633" s="30" t="n"/>
      <c r="J4633" s="23">
        <f>IF(OR($H4633="",$I4633=""),"",$H4633*$I4633)</f>
        <v/>
      </c>
      <c r="K4633" s="24" t="n"/>
      <c r="L4633" s="24" t="n"/>
      <c r="M4633" s="29" t="n"/>
      <c r="N4633" s="28" t="n"/>
      <c r="O4633" s="24" t="n"/>
      <c r="P4633" s="24" t="n"/>
      <c r="Q4633" s="24" t="n"/>
      <c r="R4633" s="24" t="n"/>
      <c r="S4633" s="22">
        <f>IF(AND($A4633="",$C4633=""),"",IF($A4633="","Thiếu mã đơn; ","")&amp;IF(COUNTIF($A$2:$A4633,$A4633)&gt;1,"Trùng mã đơn; ","")&amp;IF(ISNA(MATCH($C4633,DATA_MASTER!$D$2:$D$5000,0)),"SĐT chưa đăng ký hội viên; ","")&amp;IF(AND($L4633="Đã chuyển khoản",$M4633=""),"Thiếu ngày nhận CK; ",""))</f>
        <v/>
      </c>
      <c r="T4633" s="24" t="n"/>
    </row>
    <row r="4634" ht="14.25" customHeight="1" s="40">
      <c r="A4634" s="24" t="n"/>
      <c r="B4634" s="29" t="n"/>
      <c r="C4634" s="28" t="n"/>
      <c r="D4634" s="22">
        <f t="array" ref="D4634">IF($C4634="","",IFERROR(INDEX(DATA_MASTER!$C$2:$C$5000,MATCH($C4634,DATA_MASTER!$D$2:$D$5000,0)),""))</f>
        <v/>
      </c>
      <c r="E4634" s="22">
        <f t="array" ref="E4634">IF($C4634="","",IFERROR(INDEX(DATA_MASTER!$I$2:$I$5000,MATCH($C4634,DATA_MASTER!$D$2:$D$5000,0)),""))</f>
        <v/>
      </c>
      <c r="F4634" s="22">
        <f t="array" ref="F4634">IF($C4634="","",IFERROR(INDEX(DATA_MASTER!$L$2:$L$5000,MATCH($C4634,DATA_MASTER!$D$2:$D$5000,0)),""))</f>
        <v/>
      </c>
      <c r="G4634" s="24" t="n"/>
      <c r="H4634" s="24" t="n"/>
      <c r="I4634" s="30" t="n"/>
      <c r="J4634" s="23">
        <f>IF(OR($H4634="",$I4634=""),"",$H4634*$I4634)</f>
        <v/>
      </c>
      <c r="K4634" s="24" t="n"/>
      <c r="L4634" s="24" t="n"/>
      <c r="M4634" s="29" t="n"/>
      <c r="N4634" s="28" t="n"/>
      <c r="O4634" s="24" t="n"/>
      <c r="P4634" s="24" t="n"/>
      <c r="Q4634" s="24" t="n"/>
      <c r="R4634" s="24" t="n"/>
      <c r="S4634" s="22">
        <f>IF(AND($A4634="",$C4634=""),"",IF($A4634="","Thiếu mã đơn; ","")&amp;IF(COUNTIF($A$2:$A4634,$A4634)&gt;1,"Trùng mã đơn; ","")&amp;IF(ISNA(MATCH($C4634,DATA_MASTER!$D$2:$D$5000,0)),"SĐT chưa đăng ký hội viên; ","")&amp;IF(AND($L4634="Đã chuyển khoản",$M4634=""),"Thiếu ngày nhận CK; ",""))</f>
        <v/>
      </c>
      <c r="T4634" s="24" t="n"/>
    </row>
    <row r="4635" ht="14.25" customHeight="1" s="40">
      <c r="A4635" s="24" t="n"/>
      <c r="B4635" s="29" t="n"/>
      <c r="C4635" s="28" t="n"/>
      <c r="D4635" s="22">
        <f t="array" ref="D4635">IF($C4635="","",IFERROR(INDEX(DATA_MASTER!$C$2:$C$5000,MATCH($C4635,DATA_MASTER!$D$2:$D$5000,0)),""))</f>
        <v/>
      </c>
      <c r="E4635" s="22">
        <f t="array" ref="E4635">IF($C4635="","",IFERROR(INDEX(DATA_MASTER!$I$2:$I$5000,MATCH($C4635,DATA_MASTER!$D$2:$D$5000,0)),""))</f>
        <v/>
      </c>
      <c r="F4635" s="22">
        <f t="array" ref="F4635">IF($C4635="","",IFERROR(INDEX(DATA_MASTER!$L$2:$L$5000,MATCH($C4635,DATA_MASTER!$D$2:$D$5000,0)),""))</f>
        <v/>
      </c>
      <c r="G4635" s="24" t="n"/>
      <c r="H4635" s="24" t="n"/>
      <c r="I4635" s="30" t="n"/>
      <c r="J4635" s="23">
        <f>IF(OR($H4635="",$I4635=""),"",$H4635*$I4635)</f>
        <v/>
      </c>
      <c r="K4635" s="24" t="n"/>
      <c r="L4635" s="24" t="n"/>
      <c r="M4635" s="29" t="n"/>
      <c r="N4635" s="28" t="n"/>
      <c r="O4635" s="24" t="n"/>
      <c r="P4635" s="24" t="n"/>
      <c r="Q4635" s="24" t="n"/>
      <c r="R4635" s="24" t="n"/>
      <c r="S4635" s="22">
        <f>IF(AND($A4635="",$C4635=""),"",IF($A4635="","Thiếu mã đơn; ","")&amp;IF(COUNTIF($A$2:$A4635,$A4635)&gt;1,"Trùng mã đơn; ","")&amp;IF(ISNA(MATCH($C4635,DATA_MASTER!$D$2:$D$5000,0)),"SĐT chưa đăng ký hội viên; ","")&amp;IF(AND($L4635="Đã chuyển khoản",$M4635=""),"Thiếu ngày nhận CK; ",""))</f>
        <v/>
      </c>
      <c r="T4635" s="24" t="n"/>
    </row>
    <row r="4636" ht="14.25" customHeight="1" s="40">
      <c r="A4636" s="24" t="n"/>
      <c r="B4636" s="29" t="n"/>
      <c r="C4636" s="28" t="n"/>
      <c r="D4636" s="22">
        <f t="array" ref="D4636">IF($C4636="","",IFERROR(INDEX(DATA_MASTER!$C$2:$C$5000,MATCH($C4636,DATA_MASTER!$D$2:$D$5000,0)),""))</f>
        <v/>
      </c>
      <c r="E4636" s="22">
        <f t="array" ref="E4636">IF($C4636="","",IFERROR(INDEX(DATA_MASTER!$I$2:$I$5000,MATCH($C4636,DATA_MASTER!$D$2:$D$5000,0)),""))</f>
        <v/>
      </c>
      <c r="F4636" s="22">
        <f t="array" ref="F4636">IF($C4636="","",IFERROR(INDEX(DATA_MASTER!$L$2:$L$5000,MATCH($C4636,DATA_MASTER!$D$2:$D$5000,0)),""))</f>
        <v/>
      </c>
      <c r="G4636" s="24" t="n"/>
      <c r="H4636" s="24" t="n"/>
      <c r="I4636" s="30" t="n"/>
      <c r="J4636" s="23">
        <f>IF(OR($H4636="",$I4636=""),"",$H4636*$I4636)</f>
        <v/>
      </c>
      <c r="K4636" s="24" t="n"/>
      <c r="L4636" s="24" t="n"/>
      <c r="M4636" s="29" t="n"/>
      <c r="N4636" s="28" t="n"/>
      <c r="O4636" s="24" t="n"/>
      <c r="P4636" s="24" t="n"/>
      <c r="Q4636" s="24" t="n"/>
      <c r="R4636" s="24" t="n"/>
      <c r="S4636" s="22">
        <f>IF(AND($A4636="",$C4636=""),"",IF($A4636="","Thiếu mã đơn; ","")&amp;IF(COUNTIF($A$2:$A4636,$A4636)&gt;1,"Trùng mã đơn; ","")&amp;IF(ISNA(MATCH($C4636,DATA_MASTER!$D$2:$D$5000,0)),"SĐT chưa đăng ký hội viên; ","")&amp;IF(AND($L4636="Đã chuyển khoản",$M4636=""),"Thiếu ngày nhận CK; ",""))</f>
        <v/>
      </c>
      <c r="T4636" s="24" t="n"/>
    </row>
    <row r="4637" ht="14.25" customHeight="1" s="40">
      <c r="A4637" s="24" t="n"/>
      <c r="B4637" s="29" t="n"/>
      <c r="C4637" s="28" t="n"/>
      <c r="D4637" s="22">
        <f t="array" ref="D4637">IF($C4637="","",IFERROR(INDEX(DATA_MASTER!$C$2:$C$5000,MATCH($C4637,DATA_MASTER!$D$2:$D$5000,0)),""))</f>
        <v/>
      </c>
      <c r="E4637" s="22">
        <f t="array" ref="E4637">IF($C4637="","",IFERROR(INDEX(DATA_MASTER!$I$2:$I$5000,MATCH($C4637,DATA_MASTER!$D$2:$D$5000,0)),""))</f>
        <v/>
      </c>
      <c r="F4637" s="22">
        <f t="array" ref="F4637">IF($C4637="","",IFERROR(INDEX(DATA_MASTER!$L$2:$L$5000,MATCH($C4637,DATA_MASTER!$D$2:$D$5000,0)),""))</f>
        <v/>
      </c>
      <c r="G4637" s="24" t="n"/>
      <c r="H4637" s="24" t="n"/>
      <c r="I4637" s="30" t="n"/>
      <c r="J4637" s="23">
        <f>IF(OR($H4637="",$I4637=""),"",$H4637*$I4637)</f>
        <v/>
      </c>
      <c r="K4637" s="24" t="n"/>
      <c r="L4637" s="24" t="n"/>
      <c r="M4637" s="29" t="n"/>
      <c r="N4637" s="28" t="n"/>
      <c r="O4637" s="24" t="n"/>
      <c r="P4637" s="24" t="n"/>
      <c r="Q4637" s="24" t="n"/>
      <c r="R4637" s="24" t="n"/>
      <c r="S4637" s="22">
        <f>IF(AND($A4637="",$C4637=""),"",IF($A4637="","Thiếu mã đơn; ","")&amp;IF(COUNTIF($A$2:$A4637,$A4637)&gt;1,"Trùng mã đơn; ","")&amp;IF(ISNA(MATCH($C4637,DATA_MASTER!$D$2:$D$5000,0)),"SĐT chưa đăng ký hội viên; ","")&amp;IF(AND($L4637="Đã chuyển khoản",$M4637=""),"Thiếu ngày nhận CK; ",""))</f>
        <v/>
      </c>
      <c r="T4637" s="24" t="n"/>
    </row>
    <row r="4638" ht="14.25" customHeight="1" s="40">
      <c r="A4638" s="24" t="n"/>
      <c r="B4638" s="29" t="n"/>
      <c r="C4638" s="28" t="n"/>
      <c r="D4638" s="22">
        <f t="array" ref="D4638">IF($C4638="","",IFERROR(INDEX(DATA_MASTER!$C$2:$C$5000,MATCH($C4638,DATA_MASTER!$D$2:$D$5000,0)),""))</f>
        <v/>
      </c>
      <c r="E4638" s="22">
        <f t="array" ref="E4638">IF($C4638="","",IFERROR(INDEX(DATA_MASTER!$I$2:$I$5000,MATCH($C4638,DATA_MASTER!$D$2:$D$5000,0)),""))</f>
        <v/>
      </c>
      <c r="F4638" s="22">
        <f t="array" ref="F4638">IF($C4638="","",IFERROR(INDEX(DATA_MASTER!$L$2:$L$5000,MATCH($C4638,DATA_MASTER!$D$2:$D$5000,0)),""))</f>
        <v/>
      </c>
      <c r="G4638" s="24" t="n"/>
      <c r="H4638" s="24" t="n"/>
      <c r="I4638" s="30" t="n"/>
      <c r="J4638" s="23">
        <f>IF(OR($H4638="",$I4638=""),"",$H4638*$I4638)</f>
        <v/>
      </c>
      <c r="K4638" s="24" t="n"/>
      <c r="L4638" s="24" t="n"/>
      <c r="M4638" s="29" t="n"/>
      <c r="N4638" s="28" t="n"/>
      <c r="O4638" s="24" t="n"/>
      <c r="P4638" s="24" t="n"/>
      <c r="Q4638" s="24" t="n"/>
      <c r="R4638" s="24" t="n"/>
      <c r="S4638" s="22">
        <f>IF(AND($A4638="",$C4638=""),"",IF($A4638="","Thiếu mã đơn; ","")&amp;IF(COUNTIF($A$2:$A4638,$A4638)&gt;1,"Trùng mã đơn; ","")&amp;IF(ISNA(MATCH($C4638,DATA_MASTER!$D$2:$D$5000,0)),"SĐT chưa đăng ký hội viên; ","")&amp;IF(AND($L4638="Đã chuyển khoản",$M4638=""),"Thiếu ngày nhận CK; ",""))</f>
        <v/>
      </c>
      <c r="T4638" s="24" t="n"/>
    </row>
    <row r="4639" ht="14.25" customHeight="1" s="40">
      <c r="A4639" s="24" t="n"/>
      <c r="B4639" s="29" t="n"/>
      <c r="C4639" s="28" t="n"/>
      <c r="D4639" s="22">
        <f t="array" ref="D4639">IF($C4639="","",IFERROR(INDEX(DATA_MASTER!$C$2:$C$5000,MATCH($C4639,DATA_MASTER!$D$2:$D$5000,0)),""))</f>
        <v/>
      </c>
      <c r="E4639" s="22">
        <f t="array" ref="E4639">IF($C4639="","",IFERROR(INDEX(DATA_MASTER!$I$2:$I$5000,MATCH($C4639,DATA_MASTER!$D$2:$D$5000,0)),""))</f>
        <v/>
      </c>
      <c r="F4639" s="22">
        <f t="array" ref="F4639">IF($C4639="","",IFERROR(INDEX(DATA_MASTER!$L$2:$L$5000,MATCH($C4639,DATA_MASTER!$D$2:$D$5000,0)),""))</f>
        <v/>
      </c>
      <c r="G4639" s="24" t="n"/>
      <c r="H4639" s="24" t="n"/>
      <c r="I4639" s="30" t="n"/>
      <c r="J4639" s="23">
        <f>IF(OR($H4639="",$I4639=""),"",$H4639*$I4639)</f>
        <v/>
      </c>
      <c r="K4639" s="24" t="n"/>
      <c r="L4639" s="24" t="n"/>
      <c r="M4639" s="29" t="n"/>
      <c r="N4639" s="28" t="n"/>
      <c r="O4639" s="24" t="n"/>
      <c r="P4639" s="24" t="n"/>
      <c r="Q4639" s="24" t="n"/>
      <c r="R4639" s="24" t="n"/>
      <c r="S4639" s="22">
        <f>IF(AND($A4639="",$C4639=""),"",IF($A4639="","Thiếu mã đơn; ","")&amp;IF(COUNTIF($A$2:$A4639,$A4639)&gt;1,"Trùng mã đơn; ","")&amp;IF(ISNA(MATCH($C4639,DATA_MASTER!$D$2:$D$5000,0)),"SĐT chưa đăng ký hội viên; ","")&amp;IF(AND($L4639="Đã chuyển khoản",$M4639=""),"Thiếu ngày nhận CK; ",""))</f>
        <v/>
      </c>
      <c r="T4639" s="24" t="n"/>
    </row>
    <row r="4640" ht="14.25" customHeight="1" s="40">
      <c r="A4640" s="24" t="n"/>
      <c r="B4640" s="29" t="n"/>
      <c r="C4640" s="28" t="n"/>
      <c r="D4640" s="22">
        <f t="array" ref="D4640">IF($C4640="","",IFERROR(INDEX(DATA_MASTER!$C$2:$C$5000,MATCH($C4640,DATA_MASTER!$D$2:$D$5000,0)),""))</f>
        <v/>
      </c>
      <c r="E4640" s="22">
        <f t="array" ref="E4640">IF($C4640="","",IFERROR(INDEX(DATA_MASTER!$I$2:$I$5000,MATCH($C4640,DATA_MASTER!$D$2:$D$5000,0)),""))</f>
        <v/>
      </c>
      <c r="F4640" s="22">
        <f t="array" ref="F4640">IF($C4640="","",IFERROR(INDEX(DATA_MASTER!$L$2:$L$5000,MATCH($C4640,DATA_MASTER!$D$2:$D$5000,0)),""))</f>
        <v/>
      </c>
      <c r="G4640" s="24" t="n"/>
      <c r="H4640" s="24" t="n"/>
      <c r="I4640" s="30" t="n"/>
      <c r="J4640" s="23">
        <f>IF(OR($H4640="",$I4640=""),"",$H4640*$I4640)</f>
        <v/>
      </c>
      <c r="K4640" s="24" t="n"/>
      <c r="L4640" s="24" t="n"/>
      <c r="M4640" s="29" t="n"/>
      <c r="N4640" s="28" t="n"/>
      <c r="O4640" s="24" t="n"/>
      <c r="P4640" s="24" t="n"/>
      <c r="Q4640" s="24" t="n"/>
      <c r="R4640" s="24" t="n"/>
      <c r="S4640" s="22">
        <f>IF(AND($A4640="",$C4640=""),"",IF($A4640="","Thiếu mã đơn; ","")&amp;IF(COUNTIF($A$2:$A4640,$A4640)&gt;1,"Trùng mã đơn; ","")&amp;IF(ISNA(MATCH($C4640,DATA_MASTER!$D$2:$D$5000,0)),"SĐT chưa đăng ký hội viên; ","")&amp;IF(AND($L4640="Đã chuyển khoản",$M4640=""),"Thiếu ngày nhận CK; ",""))</f>
        <v/>
      </c>
      <c r="T4640" s="24" t="n"/>
    </row>
    <row r="4641" ht="14.25" customHeight="1" s="40">
      <c r="A4641" s="24" t="n"/>
      <c r="B4641" s="29" t="n"/>
      <c r="C4641" s="28" t="n"/>
      <c r="D4641" s="22">
        <f t="array" ref="D4641">IF($C4641="","",IFERROR(INDEX(DATA_MASTER!$C$2:$C$5000,MATCH($C4641,DATA_MASTER!$D$2:$D$5000,0)),""))</f>
        <v/>
      </c>
      <c r="E4641" s="22">
        <f t="array" ref="E4641">IF($C4641="","",IFERROR(INDEX(DATA_MASTER!$I$2:$I$5000,MATCH($C4641,DATA_MASTER!$D$2:$D$5000,0)),""))</f>
        <v/>
      </c>
      <c r="F4641" s="22">
        <f t="array" ref="F4641">IF($C4641="","",IFERROR(INDEX(DATA_MASTER!$L$2:$L$5000,MATCH($C4641,DATA_MASTER!$D$2:$D$5000,0)),""))</f>
        <v/>
      </c>
      <c r="G4641" s="24" t="n"/>
      <c r="H4641" s="24" t="n"/>
      <c r="I4641" s="30" t="n"/>
      <c r="J4641" s="23">
        <f>IF(OR($H4641="",$I4641=""),"",$H4641*$I4641)</f>
        <v/>
      </c>
      <c r="K4641" s="24" t="n"/>
      <c r="L4641" s="24" t="n"/>
      <c r="M4641" s="29" t="n"/>
      <c r="N4641" s="28" t="n"/>
      <c r="O4641" s="24" t="n"/>
      <c r="P4641" s="24" t="n"/>
      <c r="Q4641" s="24" t="n"/>
      <c r="R4641" s="24" t="n"/>
      <c r="S4641" s="22">
        <f>IF(AND($A4641="",$C4641=""),"",IF($A4641="","Thiếu mã đơn; ","")&amp;IF(COUNTIF($A$2:$A4641,$A4641)&gt;1,"Trùng mã đơn; ","")&amp;IF(ISNA(MATCH($C4641,DATA_MASTER!$D$2:$D$5000,0)),"SĐT chưa đăng ký hội viên; ","")&amp;IF(AND($L4641="Đã chuyển khoản",$M4641=""),"Thiếu ngày nhận CK; ",""))</f>
        <v/>
      </c>
      <c r="T4641" s="24" t="n"/>
    </row>
    <row r="4642" ht="14.25" customHeight="1" s="40">
      <c r="A4642" s="24" t="n"/>
      <c r="B4642" s="29" t="n"/>
      <c r="C4642" s="28" t="n"/>
      <c r="D4642" s="22">
        <f t="array" ref="D4642">IF($C4642="","",IFERROR(INDEX(DATA_MASTER!$C$2:$C$5000,MATCH($C4642,DATA_MASTER!$D$2:$D$5000,0)),""))</f>
        <v/>
      </c>
      <c r="E4642" s="22">
        <f t="array" ref="E4642">IF($C4642="","",IFERROR(INDEX(DATA_MASTER!$I$2:$I$5000,MATCH($C4642,DATA_MASTER!$D$2:$D$5000,0)),""))</f>
        <v/>
      </c>
      <c r="F4642" s="22">
        <f t="array" ref="F4642">IF($C4642="","",IFERROR(INDEX(DATA_MASTER!$L$2:$L$5000,MATCH($C4642,DATA_MASTER!$D$2:$D$5000,0)),""))</f>
        <v/>
      </c>
      <c r="G4642" s="24" t="n"/>
      <c r="H4642" s="24" t="n"/>
      <c r="I4642" s="30" t="n"/>
      <c r="J4642" s="23">
        <f>IF(OR($H4642="",$I4642=""),"",$H4642*$I4642)</f>
        <v/>
      </c>
      <c r="K4642" s="24" t="n"/>
      <c r="L4642" s="24" t="n"/>
      <c r="M4642" s="29" t="n"/>
      <c r="N4642" s="28" t="n"/>
      <c r="O4642" s="24" t="n"/>
      <c r="P4642" s="24" t="n"/>
      <c r="Q4642" s="24" t="n"/>
      <c r="R4642" s="24" t="n"/>
      <c r="S4642" s="22">
        <f>IF(AND($A4642="",$C4642=""),"",IF($A4642="","Thiếu mã đơn; ","")&amp;IF(COUNTIF($A$2:$A4642,$A4642)&gt;1,"Trùng mã đơn; ","")&amp;IF(ISNA(MATCH($C4642,DATA_MASTER!$D$2:$D$5000,0)),"SĐT chưa đăng ký hội viên; ","")&amp;IF(AND($L4642="Đã chuyển khoản",$M4642=""),"Thiếu ngày nhận CK; ",""))</f>
        <v/>
      </c>
      <c r="T4642" s="24" t="n"/>
    </row>
    <row r="4643" ht="14.25" customHeight="1" s="40">
      <c r="A4643" s="24" t="n"/>
      <c r="B4643" s="29" t="n"/>
      <c r="C4643" s="28" t="n"/>
      <c r="D4643" s="22">
        <f t="array" ref="D4643">IF($C4643="","",IFERROR(INDEX(DATA_MASTER!$C$2:$C$5000,MATCH($C4643,DATA_MASTER!$D$2:$D$5000,0)),""))</f>
        <v/>
      </c>
      <c r="E4643" s="22">
        <f t="array" ref="E4643">IF($C4643="","",IFERROR(INDEX(DATA_MASTER!$I$2:$I$5000,MATCH($C4643,DATA_MASTER!$D$2:$D$5000,0)),""))</f>
        <v/>
      </c>
      <c r="F4643" s="22">
        <f t="array" ref="F4643">IF($C4643="","",IFERROR(INDEX(DATA_MASTER!$L$2:$L$5000,MATCH($C4643,DATA_MASTER!$D$2:$D$5000,0)),""))</f>
        <v/>
      </c>
      <c r="G4643" s="24" t="n"/>
      <c r="H4643" s="24" t="n"/>
      <c r="I4643" s="30" t="n"/>
      <c r="J4643" s="23">
        <f>IF(OR($H4643="",$I4643=""),"",$H4643*$I4643)</f>
        <v/>
      </c>
      <c r="K4643" s="24" t="n"/>
      <c r="L4643" s="24" t="n"/>
      <c r="M4643" s="29" t="n"/>
      <c r="N4643" s="28" t="n"/>
      <c r="O4643" s="24" t="n"/>
      <c r="P4643" s="24" t="n"/>
      <c r="Q4643" s="24" t="n"/>
      <c r="R4643" s="24" t="n"/>
      <c r="S4643" s="22">
        <f>IF(AND($A4643="",$C4643=""),"",IF($A4643="","Thiếu mã đơn; ","")&amp;IF(COUNTIF($A$2:$A4643,$A4643)&gt;1,"Trùng mã đơn; ","")&amp;IF(ISNA(MATCH($C4643,DATA_MASTER!$D$2:$D$5000,0)),"SĐT chưa đăng ký hội viên; ","")&amp;IF(AND($L4643="Đã chuyển khoản",$M4643=""),"Thiếu ngày nhận CK; ",""))</f>
        <v/>
      </c>
      <c r="T4643" s="24" t="n"/>
    </row>
    <row r="4644" ht="14.25" customHeight="1" s="40">
      <c r="A4644" s="24" t="n"/>
      <c r="B4644" s="29" t="n"/>
      <c r="C4644" s="28" t="n"/>
      <c r="D4644" s="22">
        <f t="array" ref="D4644">IF($C4644="","",IFERROR(INDEX(DATA_MASTER!$C$2:$C$5000,MATCH($C4644,DATA_MASTER!$D$2:$D$5000,0)),""))</f>
        <v/>
      </c>
      <c r="E4644" s="22">
        <f t="array" ref="E4644">IF($C4644="","",IFERROR(INDEX(DATA_MASTER!$I$2:$I$5000,MATCH($C4644,DATA_MASTER!$D$2:$D$5000,0)),""))</f>
        <v/>
      </c>
      <c r="F4644" s="22">
        <f t="array" ref="F4644">IF($C4644="","",IFERROR(INDEX(DATA_MASTER!$L$2:$L$5000,MATCH($C4644,DATA_MASTER!$D$2:$D$5000,0)),""))</f>
        <v/>
      </c>
      <c r="G4644" s="24" t="n"/>
      <c r="H4644" s="24" t="n"/>
      <c r="I4644" s="30" t="n"/>
      <c r="J4644" s="23">
        <f>IF(OR($H4644="",$I4644=""),"",$H4644*$I4644)</f>
        <v/>
      </c>
      <c r="K4644" s="24" t="n"/>
      <c r="L4644" s="24" t="n"/>
      <c r="M4644" s="29" t="n"/>
      <c r="N4644" s="28" t="n"/>
      <c r="O4644" s="24" t="n"/>
      <c r="P4644" s="24" t="n"/>
      <c r="Q4644" s="24" t="n"/>
      <c r="R4644" s="24" t="n"/>
      <c r="S4644" s="22">
        <f>IF(AND($A4644="",$C4644=""),"",IF($A4644="","Thiếu mã đơn; ","")&amp;IF(COUNTIF($A$2:$A4644,$A4644)&gt;1,"Trùng mã đơn; ","")&amp;IF(ISNA(MATCH($C4644,DATA_MASTER!$D$2:$D$5000,0)),"SĐT chưa đăng ký hội viên; ","")&amp;IF(AND($L4644="Đã chuyển khoản",$M4644=""),"Thiếu ngày nhận CK; ",""))</f>
        <v/>
      </c>
      <c r="T4644" s="24" t="n"/>
    </row>
    <row r="4645" ht="14.25" customHeight="1" s="40">
      <c r="A4645" s="24" t="n"/>
      <c r="B4645" s="29" t="n"/>
      <c r="C4645" s="28" t="n"/>
      <c r="D4645" s="22">
        <f t="array" ref="D4645">IF($C4645="","",IFERROR(INDEX(DATA_MASTER!$C$2:$C$5000,MATCH($C4645,DATA_MASTER!$D$2:$D$5000,0)),""))</f>
        <v/>
      </c>
      <c r="E4645" s="22">
        <f t="array" ref="E4645">IF($C4645="","",IFERROR(INDEX(DATA_MASTER!$I$2:$I$5000,MATCH($C4645,DATA_MASTER!$D$2:$D$5000,0)),""))</f>
        <v/>
      </c>
      <c r="F4645" s="22">
        <f t="array" ref="F4645">IF($C4645="","",IFERROR(INDEX(DATA_MASTER!$L$2:$L$5000,MATCH($C4645,DATA_MASTER!$D$2:$D$5000,0)),""))</f>
        <v/>
      </c>
      <c r="G4645" s="24" t="n"/>
      <c r="H4645" s="24" t="n"/>
      <c r="I4645" s="30" t="n"/>
      <c r="J4645" s="23">
        <f>IF(OR($H4645="",$I4645=""),"",$H4645*$I4645)</f>
        <v/>
      </c>
      <c r="K4645" s="24" t="n"/>
      <c r="L4645" s="24" t="n"/>
      <c r="M4645" s="29" t="n"/>
      <c r="N4645" s="28" t="n"/>
      <c r="O4645" s="24" t="n"/>
      <c r="P4645" s="24" t="n"/>
      <c r="Q4645" s="24" t="n"/>
      <c r="R4645" s="24" t="n"/>
      <c r="S4645" s="22">
        <f>IF(AND($A4645="",$C4645=""),"",IF($A4645="","Thiếu mã đơn; ","")&amp;IF(COUNTIF($A$2:$A4645,$A4645)&gt;1,"Trùng mã đơn; ","")&amp;IF(ISNA(MATCH($C4645,DATA_MASTER!$D$2:$D$5000,0)),"SĐT chưa đăng ký hội viên; ","")&amp;IF(AND($L4645="Đã chuyển khoản",$M4645=""),"Thiếu ngày nhận CK; ",""))</f>
        <v/>
      </c>
      <c r="T4645" s="24" t="n"/>
    </row>
    <row r="4646" ht="14.25" customHeight="1" s="40">
      <c r="A4646" s="24" t="n"/>
      <c r="B4646" s="29" t="n"/>
      <c r="C4646" s="28" t="n"/>
      <c r="D4646" s="22">
        <f t="array" ref="D4646">IF($C4646="","",IFERROR(INDEX(DATA_MASTER!$C$2:$C$5000,MATCH($C4646,DATA_MASTER!$D$2:$D$5000,0)),""))</f>
        <v/>
      </c>
      <c r="E4646" s="22">
        <f t="array" ref="E4646">IF($C4646="","",IFERROR(INDEX(DATA_MASTER!$I$2:$I$5000,MATCH($C4646,DATA_MASTER!$D$2:$D$5000,0)),""))</f>
        <v/>
      </c>
      <c r="F4646" s="22">
        <f t="array" ref="F4646">IF($C4646="","",IFERROR(INDEX(DATA_MASTER!$L$2:$L$5000,MATCH($C4646,DATA_MASTER!$D$2:$D$5000,0)),""))</f>
        <v/>
      </c>
      <c r="G4646" s="24" t="n"/>
      <c r="H4646" s="24" t="n"/>
      <c r="I4646" s="30" t="n"/>
      <c r="J4646" s="23">
        <f>IF(OR($H4646="",$I4646=""),"",$H4646*$I4646)</f>
        <v/>
      </c>
      <c r="K4646" s="24" t="n"/>
      <c r="L4646" s="24" t="n"/>
      <c r="M4646" s="29" t="n"/>
      <c r="N4646" s="28" t="n"/>
      <c r="O4646" s="24" t="n"/>
      <c r="P4646" s="24" t="n"/>
      <c r="Q4646" s="24" t="n"/>
      <c r="R4646" s="24" t="n"/>
      <c r="S4646" s="22">
        <f>IF(AND($A4646="",$C4646=""),"",IF($A4646="","Thiếu mã đơn; ","")&amp;IF(COUNTIF($A$2:$A4646,$A4646)&gt;1,"Trùng mã đơn; ","")&amp;IF(ISNA(MATCH($C4646,DATA_MASTER!$D$2:$D$5000,0)),"SĐT chưa đăng ký hội viên; ","")&amp;IF(AND($L4646="Đã chuyển khoản",$M4646=""),"Thiếu ngày nhận CK; ",""))</f>
        <v/>
      </c>
      <c r="T4646" s="24" t="n"/>
    </row>
    <row r="4647" ht="14.25" customHeight="1" s="40">
      <c r="A4647" s="24" t="n"/>
      <c r="B4647" s="29" t="n"/>
      <c r="C4647" s="28" t="n"/>
      <c r="D4647" s="22">
        <f t="array" ref="D4647">IF($C4647="","",IFERROR(INDEX(DATA_MASTER!$C$2:$C$5000,MATCH($C4647,DATA_MASTER!$D$2:$D$5000,0)),""))</f>
        <v/>
      </c>
      <c r="E4647" s="22">
        <f t="array" ref="E4647">IF($C4647="","",IFERROR(INDEX(DATA_MASTER!$I$2:$I$5000,MATCH($C4647,DATA_MASTER!$D$2:$D$5000,0)),""))</f>
        <v/>
      </c>
      <c r="F4647" s="22">
        <f t="array" ref="F4647">IF($C4647="","",IFERROR(INDEX(DATA_MASTER!$L$2:$L$5000,MATCH($C4647,DATA_MASTER!$D$2:$D$5000,0)),""))</f>
        <v/>
      </c>
      <c r="G4647" s="24" t="n"/>
      <c r="H4647" s="24" t="n"/>
      <c r="I4647" s="30" t="n"/>
      <c r="J4647" s="23">
        <f>IF(OR($H4647="",$I4647=""),"",$H4647*$I4647)</f>
        <v/>
      </c>
      <c r="K4647" s="24" t="n"/>
      <c r="L4647" s="24" t="n"/>
      <c r="M4647" s="29" t="n"/>
      <c r="N4647" s="28" t="n"/>
      <c r="O4647" s="24" t="n"/>
      <c r="P4647" s="24" t="n"/>
      <c r="Q4647" s="24" t="n"/>
      <c r="R4647" s="24" t="n"/>
      <c r="S4647" s="22">
        <f>IF(AND($A4647="",$C4647=""),"",IF($A4647="","Thiếu mã đơn; ","")&amp;IF(COUNTIF($A$2:$A4647,$A4647)&gt;1,"Trùng mã đơn; ","")&amp;IF(ISNA(MATCH($C4647,DATA_MASTER!$D$2:$D$5000,0)),"SĐT chưa đăng ký hội viên; ","")&amp;IF(AND($L4647="Đã chuyển khoản",$M4647=""),"Thiếu ngày nhận CK; ",""))</f>
        <v/>
      </c>
      <c r="T4647" s="24" t="n"/>
    </row>
    <row r="4648" ht="14.25" customHeight="1" s="40">
      <c r="A4648" s="24" t="n"/>
      <c r="B4648" s="29" t="n"/>
      <c r="C4648" s="28" t="n"/>
      <c r="D4648" s="22">
        <f t="array" ref="D4648">IF($C4648="","",IFERROR(INDEX(DATA_MASTER!$C$2:$C$5000,MATCH($C4648,DATA_MASTER!$D$2:$D$5000,0)),""))</f>
        <v/>
      </c>
      <c r="E4648" s="22">
        <f t="array" ref="E4648">IF($C4648="","",IFERROR(INDEX(DATA_MASTER!$I$2:$I$5000,MATCH($C4648,DATA_MASTER!$D$2:$D$5000,0)),""))</f>
        <v/>
      </c>
      <c r="F4648" s="22">
        <f t="array" ref="F4648">IF($C4648="","",IFERROR(INDEX(DATA_MASTER!$L$2:$L$5000,MATCH($C4648,DATA_MASTER!$D$2:$D$5000,0)),""))</f>
        <v/>
      </c>
      <c r="G4648" s="24" t="n"/>
      <c r="H4648" s="24" t="n"/>
      <c r="I4648" s="30" t="n"/>
      <c r="J4648" s="23">
        <f>IF(OR($H4648="",$I4648=""),"",$H4648*$I4648)</f>
        <v/>
      </c>
      <c r="K4648" s="24" t="n"/>
      <c r="L4648" s="24" t="n"/>
      <c r="M4648" s="29" t="n"/>
      <c r="N4648" s="28" t="n"/>
      <c r="O4648" s="24" t="n"/>
      <c r="P4648" s="24" t="n"/>
      <c r="Q4648" s="24" t="n"/>
      <c r="R4648" s="24" t="n"/>
      <c r="S4648" s="22">
        <f>IF(AND($A4648="",$C4648=""),"",IF($A4648="","Thiếu mã đơn; ","")&amp;IF(COUNTIF($A$2:$A4648,$A4648)&gt;1,"Trùng mã đơn; ","")&amp;IF(ISNA(MATCH($C4648,DATA_MASTER!$D$2:$D$5000,0)),"SĐT chưa đăng ký hội viên; ","")&amp;IF(AND($L4648="Đã chuyển khoản",$M4648=""),"Thiếu ngày nhận CK; ",""))</f>
        <v/>
      </c>
      <c r="T4648" s="24" t="n"/>
    </row>
    <row r="4649" ht="14.25" customHeight="1" s="40">
      <c r="A4649" s="24" t="n"/>
      <c r="B4649" s="29" t="n"/>
      <c r="C4649" s="28" t="n"/>
      <c r="D4649" s="22">
        <f t="array" ref="D4649">IF($C4649="","",IFERROR(INDEX(DATA_MASTER!$C$2:$C$5000,MATCH($C4649,DATA_MASTER!$D$2:$D$5000,0)),""))</f>
        <v/>
      </c>
      <c r="E4649" s="22">
        <f t="array" ref="E4649">IF($C4649="","",IFERROR(INDEX(DATA_MASTER!$I$2:$I$5000,MATCH($C4649,DATA_MASTER!$D$2:$D$5000,0)),""))</f>
        <v/>
      </c>
      <c r="F4649" s="22">
        <f t="array" ref="F4649">IF($C4649="","",IFERROR(INDEX(DATA_MASTER!$L$2:$L$5000,MATCH($C4649,DATA_MASTER!$D$2:$D$5000,0)),""))</f>
        <v/>
      </c>
      <c r="G4649" s="24" t="n"/>
      <c r="H4649" s="24" t="n"/>
      <c r="I4649" s="30" t="n"/>
      <c r="J4649" s="23">
        <f>IF(OR($H4649="",$I4649=""),"",$H4649*$I4649)</f>
        <v/>
      </c>
      <c r="K4649" s="24" t="n"/>
      <c r="L4649" s="24" t="n"/>
      <c r="M4649" s="29" t="n"/>
      <c r="N4649" s="28" t="n"/>
      <c r="O4649" s="24" t="n"/>
      <c r="P4649" s="24" t="n"/>
      <c r="Q4649" s="24" t="n"/>
      <c r="R4649" s="24" t="n"/>
      <c r="S4649" s="22">
        <f>IF(AND($A4649="",$C4649=""),"",IF($A4649="","Thiếu mã đơn; ","")&amp;IF(COUNTIF($A$2:$A4649,$A4649)&gt;1,"Trùng mã đơn; ","")&amp;IF(ISNA(MATCH($C4649,DATA_MASTER!$D$2:$D$5000,0)),"SĐT chưa đăng ký hội viên; ","")&amp;IF(AND($L4649="Đã chuyển khoản",$M4649=""),"Thiếu ngày nhận CK; ",""))</f>
        <v/>
      </c>
      <c r="T4649" s="24" t="n"/>
    </row>
    <row r="4650" ht="14.25" customHeight="1" s="40">
      <c r="A4650" s="24" t="n"/>
      <c r="B4650" s="29" t="n"/>
      <c r="C4650" s="28" t="n"/>
      <c r="D4650" s="22">
        <f t="array" ref="D4650">IF($C4650="","",IFERROR(INDEX(DATA_MASTER!$C$2:$C$5000,MATCH($C4650,DATA_MASTER!$D$2:$D$5000,0)),""))</f>
        <v/>
      </c>
      <c r="E4650" s="22">
        <f t="array" ref="E4650">IF($C4650="","",IFERROR(INDEX(DATA_MASTER!$I$2:$I$5000,MATCH($C4650,DATA_MASTER!$D$2:$D$5000,0)),""))</f>
        <v/>
      </c>
      <c r="F4650" s="22">
        <f t="array" ref="F4650">IF($C4650="","",IFERROR(INDEX(DATA_MASTER!$L$2:$L$5000,MATCH($C4650,DATA_MASTER!$D$2:$D$5000,0)),""))</f>
        <v/>
      </c>
      <c r="G4650" s="24" t="n"/>
      <c r="H4650" s="24" t="n"/>
      <c r="I4650" s="30" t="n"/>
      <c r="J4650" s="23">
        <f>IF(OR($H4650="",$I4650=""),"",$H4650*$I4650)</f>
        <v/>
      </c>
      <c r="K4650" s="24" t="n"/>
      <c r="L4650" s="24" t="n"/>
      <c r="M4650" s="29" t="n"/>
      <c r="N4650" s="28" t="n"/>
      <c r="O4650" s="24" t="n"/>
      <c r="P4650" s="24" t="n"/>
      <c r="Q4650" s="24" t="n"/>
      <c r="R4650" s="24" t="n"/>
      <c r="S4650" s="22">
        <f>IF(AND($A4650="",$C4650=""),"",IF($A4650="","Thiếu mã đơn; ","")&amp;IF(COUNTIF($A$2:$A4650,$A4650)&gt;1,"Trùng mã đơn; ","")&amp;IF(ISNA(MATCH($C4650,DATA_MASTER!$D$2:$D$5000,0)),"SĐT chưa đăng ký hội viên; ","")&amp;IF(AND($L4650="Đã chuyển khoản",$M4650=""),"Thiếu ngày nhận CK; ",""))</f>
        <v/>
      </c>
      <c r="T4650" s="24" t="n"/>
    </row>
    <row r="4651" ht="14.25" customHeight="1" s="40">
      <c r="A4651" s="24" t="n"/>
      <c r="B4651" s="29" t="n"/>
      <c r="C4651" s="28" t="n"/>
      <c r="D4651" s="22">
        <f t="array" ref="D4651">IF($C4651="","",IFERROR(INDEX(DATA_MASTER!$C$2:$C$5000,MATCH($C4651,DATA_MASTER!$D$2:$D$5000,0)),""))</f>
        <v/>
      </c>
      <c r="E4651" s="22">
        <f t="array" ref="E4651">IF($C4651="","",IFERROR(INDEX(DATA_MASTER!$I$2:$I$5000,MATCH($C4651,DATA_MASTER!$D$2:$D$5000,0)),""))</f>
        <v/>
      </c>
      <c r="F4651" s="22">
        <f t="array" ref="F4651">IF($C4651="","",IFERROR(INDEX(DATA_MASTER!$L$2:$L$5000,MATCH($C4651,DATA_MASTER!$D$2:$D$5000,0)),""))</f>
        <v/>
      </c>
      <c r="G4651" s="24" t="n"/>
      <c r="H4651" s="24" t="n"/>
      <c r="I4651" s="30" t="n"/>
      <c r="J4651" s="23">
        <f>IF(OR($H4651="",$I4651=""),"",$H4651*$I4651)</f>
        <v/>
      </c>
      <c r="K4651" s="24" t="n"/>
      <c r="L4651" s="24" t="n"/>
      <c r="M4651" s="29" t="n"/>
      <c r="N4651" s="28" t="n"/>
      <c r="O4651" s="24" t="n"/>
      <c r="P4651" s="24" t="n"/>
      <c r="Q4651" s="24" t="n"/>
      <c r="R4651" s="24" t="n"/>
      <c r="S4651" s="22">
        <f>IF(AND($A4651="",$C4651=""),"",IF($A4651="","Thiếu mã đơn; ","")&amp;IF(COUNTIF($A$2:$A4651,$A4651)&gt;1,"Trùng mã đơn; ","")&amp;IF(ISNA(MATCH($C4651,DATA_MASTER!$D$2:$D$5000,0)),"SĐT chưa đăng ký hội viên; ","")&amp;IF(AND($L4651="Đã chuyển khoản",$M4651=""),"Thiếu ngày nhận CK; ",""))</f>
        <v/>
      </c>
      <c r="T4651" s="24" t="n"/>
    </row>
    <row r="4652" ht="14.25" customHeight="1" s="40">
      <c r="A4652" s="24" t="n"/>
      <c r="B4652" s="29" t="n"/>
      <c r="C4652" s="28" t="n"/>
      <c r="D4652" s="22">
        <f t="array" ref="D4652">IF($C4652="","",IFERROR(INDEX(DATA_MASTER!$C$2:$C$5000,MATCH($C4652,DATA_MASTER!$D$2:$D$5000,0)),""))</f>
        <v/>
      </c>
      <c r="E4652" s="22">
        <f t="array" ref="E4652">IF($C4652="","",IFERROR(INDEX(DATA_MASTER!$I$2:$I$5000,MATCH($C4652,DATA_MASTER!$D$2:$D$5000,0)),""))</f>
        <v/>
      </c>
      <c r="F4652" s="22">
        <f t="array" ref="F4652">IF($C4652="","",IFERROR(INDEX(DATA_MASTER!$L$2:$L$5000,MATCH($C4652,DATA_MASTER!$D$2:$D$5000,0)),""))</f>
        <v/>
      </c>
      <c r="G4652" s="24" t="n"/>
      <c r="H4652" s="24" t="n"/>
      <c r="I4652" s="30" t="n"/>
      <c r="J4652" s="23">
        <f>IF(OR($H4652="",$I4652=""),"",$H4652*$I4652)</f>
        <v/>
      </c>
      <c r="K4652" s="24" t="n"/>
      <c r="L4652" s="24" t="n"/>
      <c r="M4652" s="29" t="n"/>
      <c r="N4652" s="28" t="n"/>
      <c r="O4652" s="24" t="n"/>
      <c r="P4652" s="24" t="n"/>
      <c r="Q4652" s="24" t="n"/>
      <c r="R4652" s="24" t="n"/>
      <c r="S4652" s="22">
        <f>IF(AND($A4652="",$C4652=""),"",IF($A4652="","Thiếu mã đơn; ","")&amp;IF(COUNTIF($A$2:$A4652,$A4652)&gt;1,"Trùng mã đơn; ","")&amp;IF(ISNA(MATCH($C4652,DATA_MASTER!$D$2:$D$5000,0)),"SĐT chưa đăng ký hội viên; ","")&amp;IF(AND($L4652="Đã chuyển khoản",$M4652=""),"Thiếu ngày nhận CK; ",""))</f>
        <v/>
      </c>
      <c r="T4652" s="24" t="n"/>
    </row>
    <row r="4653" ht="14.25" customHeight="1" s="40">
      <c r="A4653" s="24" t="n"/>
      <c r="B4653" s="29" t="n"/>
      <c r="C4653" s="28" t="n"/>
      <c r="D4653" s="22">
        <f t="array" ref="D4653">IF($C4653="","",IFERROR(INDEX(DATA_MASTER!$C$2:$C$5000,MATCH($C4653,DATA_MASTER!$D$2:$D$5000,0)),""))</f>
        <v/>
      </c>
      <c r="E4653" s="22">
        <f t="array" ref="E4653">IF($C4653="","",IFERROR(INDEX(DATA_MASTER!$I$2:$I$5000,MATCH($C4653,DATA_MASTER!$D$2:$D$5000,0)),""))</f>
        <v/>
      </c>
      <c r="F4653" s="22">
        <f t="array" ref="F4653">IF($C4653="","",IFERROR(INDEX(DATA_MASTER!$L$2:$L$5000,MATCH($C4653,DATA_MASTER!$D$2:$D$5000,0)),""))</f>
        <v/>
      </c>
      <c r="G4653" s="24" t="n"/>
      <c r="H4653" s="24" t="n"/>
      <c r="I4653" s="30" t="n"/>
      <c r="J4653" s="23">
        <f>IF(OR($H4653="",$I4653=""),"",$H4653*$I4653)</f>
        <v/>
      </c>
      <c r="K4653" s="24" t="n"/>
      <c r="L4653" s="24" t="n"/>
      <c r="M4653" s="29" t="n"/>
      <c r="N4653" s="28" t="n"/>
      <c r="O4653" s="24" t="n"/>
      <c r="P4653" s="24" t="n"/>
      <c r="Q4653" s="24" t="n"/>
      <c r="R4653" s="24" t="n"/>
      <c r="S4653" s="22">
        <f>IF(AND($A4653="",$C4653=""),"",IF($A4653="","Thiếu mã đơn; ","")&amp;IF(COUNTIF($A$2:$A4653,$A4653)&gt;1,"Trùng mã đơn; ","")&amp;IF(ISNA(MATCH($C4653,DATA_MASTER!$D$2:$D$5000,0)),"SĐT chưa đăng ký hội viên; ","")&amp;IF(AND($L4653="Đã chuyển khoản",$M4653=""),"Thiếu ngày nhận CK; ",""))</f>
        <v/>
      </c>
      <c r="T4653" s="24" t="n"/>
    </row>
    <row r="4654" ht="14.25" customHeight="1" s="40">
      <c r="A4654" s="24" t="n"/>
      <c r="B4654" s="29" t="n"/>
      <c r="C4654" s="28" t="n"/>
      <c r="D4654" s="22">
        <f t="array" ref="D4654">IF($C4654="","",IFERROR(INDEX(DATA_MASTER!$C$2:$C$5000,MATCH($C4654,DATA_MASTER!$D$2:$D$5000,0)),""))</f>
        <v/>
      </c>
      <c r="E4654" s="22">
        <f t="array" ref="E4654">IF($C4654="","",IFERROR(INDEX(DATA_MASTER!$I$2:$I$5000,MATCH($C4654,DATA_MASTER!$D$2:$D$5000,0)),""))</f>
        <v/>
      </c>
      <c r="F4654" s="22">
        <f t="array" ref="F4654">IF($C4654="","",IFERROR(INDEX(DATA_MASTER!$L$2:$L$5000,MATCH($C4654,DATA_MASTER!$D$2:$D$5000,0)),""))</f>
        <v/>
      </c>
      <c r="G4654" s="24" t="n"/>
      <c r="H4654" s="24" t="n"/>
      <c r="I4654" s="30" t="n"/>
      <c r="J4654" s="23">
        <f>IF(OR($H4654="",$I4654=""),"",$H4654*$I4654)</f>
        <v/>
      </c>
      <c r="K4654" s="24" t="n"/>
      <c r="L4654" s="24" t="n"/>
      <c r="M4654" s="29" t="n"/>
      <c r="N4654" s="28" t="n"/>
      <c r="O4654" s="24" t="n"/>
      <c r="P4654" s="24" t="n"/>
      <c r="Q4654" s="24" t="n"/>
      <c r="R4654" s="24" t="n"/>
      <c r="S4654" s="22">
        <f>IF(AND($A4654="",$C4654=""),"",IF($A4654="","Thiếu mã đơn; ","")&amp;IF(COUNTIF($A$2:$A4654,$A4654)&gt;1,"Trùng mã đơn; ","")&amp;IF(ISNA(MATCH($C4654,DATA_MASTER!$D$2:$D$5000,0)),"SĐT chưa đăng ký hội viên; ","")&amp;IF(AND($L4654="Đã chuyển khoản",$M4654=""),"Thiếu ngày nhận CK; ",""))</f>
        <v/>
      </c>
      <c r="T4654" s="24" t="n"/>
    </row>
    <row r="4655" ht="14.25" customHeight="1" s="40">
      <c r="A4655" s="24" t="n"/>
      <c r="B4655" s="29" t="n"/>
      <c r="C4655" s="28" t="n"/>
      <c r="D4655" s="22">
        <f t="array" ref="D4655">IF($C4655="","",IFERROR(INDEX(DATA_MASTER!$C$2:$C$5000,MATCH($C4655,DATA_MASTER!$D$2:$D$5000,0)),""))</f>
        <v/>
      </c>
      <c r="E4655" s="22">
        <f t="array" ref="E4655">IF($C4655="","",IFERROR(INDEX(DATA_MASTER!$I$2:$I$5000,MATCH($C4655,DATA_MASTER!$D$2:$D$5000,0)),""))</f>
        <v/>
      </c>
      <c r="F4655" s="22">
        <f t="array" ref="F4655">IF($C4655="","",IFERROR(INDEX(DATA_MASTER!$L$2:$L$5000,MATCH($C4655,DATA_MASTER!$D$2:$D$5000,0)),""))</f>
        <v/>
      </c>
      <c r="G4655" s="24" t="n"/>
      <c r="H4655" s="24" t="n"/>
      <c r="I4655" s="30" t="n"/>
      <c r="J4655" s="23">
        <f>IF(OR($H4655="",$I4655=""),"",$H4655*$I4655)</f>
        <v/>
      </c>
      <c r="K4655" s="24" t="n"/>
      <c r="L4655" s="24" t="n"/>
      <c r="M4655" s="29" t="n"/>
      <c r="N4655" s="28" t="n"/>
      <c r="O4655" s="24" t="n"/>
      <c r="P4655" s="24" t="n"/>
      <c r="Q4655" s="24" t="n"/>
      <c r="R4655" s="24" t="n"/>
      <c r="S4655" s="22">
        <f>IF(AND($A4655="",$C4655=""),"",IF($A4655="","Thiếu mã đơn; ","")&amp;IF(COUNTIF($A$2:$A4655,$A4655)&gt;1,"Trùng mã đơn; ","")&amp;IF(ISNA(MATCH($C4655,DATA_MASTER!$D$2:$D$5000,0)),"SĐT chưa đăng ký hội viên; ","")&amp;IF(AND($L4655="Đã chuyển khoản",$M4655=""),"Thiếu ngày nhận CK; ",""))</f>
        <v/>
      </c>
      <c r="T4655" s="24" t="n"/>
    </row>
    <row r="4656" ht="14.25" customHeight="1" s="40">
      <c r="A4656" s="24" t="n"/>
      <c r="B4656" s="29" t="n"/>
      <c r="C4656" s="28" t="n"/>
      <c r="D4656" s="22">
        <f t="array" ref="D4656">IF($C4656="","",IFERROR(INDEX(DATA_MASTER!$C$2:$C$5000,MATCH($C4656,DATA_MASTER!$D$2:$D$5000,0)),""))</f>
        <v/>
      </c>
      <c r="E4656" s="22">
        <f t="array" ref="E4656">IF($C4656="","",IFERROR(INDEX(DATA_MASTER!$I$2:$I$5000,MATCH($C4656,DATA_MASTER!$D$2:$D$5000,0)),""))</f>
        <v/>
      </c>
      <c r="F4656" s="22">
        <f t="array" ref="F4656">IF($C4656="","",IFERROR(INDEX(DATA_MASTER!$L$2:$L$5000,MATCH($C4656,DATA_MASTER!$D$2:$D$5000,0)),""))</f>
        <v/>
      </c>
      <c r="G4656" s="24" t="n"/>
      <c r="H4656" s="24" t="n"/>
      <c r="I4656" s="30" t="n"/>
      <c r="J4656" s="23">
        <f>IF(OR($H4656="",$I4656=""),"",$H4656*$I4656)</f>
        <v/>
      </c>
      <c r="K4656" s="24" t="n"/>
      <c r="L4656" s="24" t="n"/>
      <c r="M4656" s="29" t="n"/>
      <c r="N4656" s="28" t="n"/>
      <c r="O4656" s="24" t="n"/>
      <c r="P4656" s="24" t="n"/>
      <c r="Q4656" s="24" t="n"/>
      <c r="R4656" s="24" t="n"/>
      <c r="S4656" s="22">
        <f>IF(AND($A4656="",$C4656=""),"",IF($A4656="","Thiếu mã đơn; ","")&amp;IF(COUNTIF($A$2:$A4656,$A4656)&gt;1,"Trùng mã đơn; ","")&amp;IF(ISNA(MATCH($C4656,DATA_MASTER!$D$2:$D$5000,0)),"SĐT chưa đăng ký hội viên; ","")&amp;IF(AND($L4656="Đã chuyển khoản",$M4656=""),"Thiếu ngày nhận CK; ",""))</f>
        <v/>
      </c>
      <c r="T4656" s="24" t="n"/>
    </row>
    <row r="4657" ht="14.25" customHeight="1" s="40">
      <c r="A4657" s="24" t="n"/>
      <c r="B4657" s="29" t="n"/>
      <c r="C4657" s="28" t="n"/>
      <c r="D4657" s="22">
        <f t="array" ref="D4657">IF($C4657="","",IFERROR(INDEX(DATA_MASTER!$C$2:$C$5000,MATCH($C4657,DATA_MASTER!$D$2:$D$5000,0)),""))</f>
        <v/>
      </c>
      <c r="E4657" s="22">
        <f t="array" ref="E4657">IF($C4657="","",IFERROR(INDEX(DATA_MASTER!$I$2:$I$5000,MATCH($C4657,DATA_MASTER!$D$2:$D$5000,0)),""))</f>
        <v/>
      </c>
      <c r="F4657" s="22">
        <f t="array" ref="F4657">IF($C4657="","",IFERROR(INDEX(DATA_MASTER!$L$2:$L$5000,MATCH($C4657,DATA_MASTER!$D$2:$D$5000,0)),""))</f>
        <v/>
      </c>
      <c r="G4657" s="24" t="n"/>
      <c r="H4657" s="24" t="n"/>
      <c r="I4657" s="30" t="n"/>
      <c r="J4657" s="23">
        <f>IF(OR($H4657="",$I4657=""),"",$H4657*$I4657)</f>
        <v/>
      </c>
      <c r="K4657" s="24" t="n"/>
      <c r="L4657" s="24" t="n"/>
      <c r="M4657" s="29" t="n"/>
      <c r="N4657" s="28" t="n"/>
      <c r="O4657" s="24" t="n"/>
      <c r="P4657" s="24" t="n"/>
      <c r="Q4657" s="24" t="n"/>
      <c r="R4657" s="24" t="n"/>
      <c r="S4657" s="22">
        <f>IF(AND($A4657="",$C4657=""),"",IF($A4657="","Thiếu mã đơn; ","")&amp;IF(COUNTIF($A$2:$A4657,$A4657)&gt;1,"Trùng mã đơn; ","")&amp;IF(ISNA(MATCH($C4657,DATA_MASTER!$D$2:$D$5000,0)),"SĐT chưa đăng ký hội viên; ","")&amp;IF(AND($L4657="Đã chuyển khoản",$M4657=""),"Thiếu ngày nhận CK; ",""))</f>
        <v/>
      </c>
      <c r="T4657" s="24" t="n"/>
    </row>
    <row r="4658" ht="14.25" customHeight="1" s="40">
      <c r="A4658" s="24" t="n"/>
      <c r="B4658" s="29" t="n"/>
      <c r="C4658" s="28" t="n"/>
      <c r="D4658" s="22">
        <f t="array" ref="D4658">IF($C4658="","",IFERROR(INDEX(DATA_MASTER!$C$2:$C$5000,MATCH($C4658,DATA_MASTER!$D$2:$D$5000,0)),""))</f>
        <v/>
      </c>
      <c r="E4658" s="22">
        <f t="array" ref="E4658">IF($C4658="","",IFERROR(INDEX(DATA_MASTER!$I$2:$I$5000,MATCH($C4658,DATA_MASTER!$D$2:$D$5000,0)),""))</f>
        <v/>
      </c>
      <c r="F4658" s="22">
        <f t="array" ref="F4658">IF($C4658="","",IFERROR(INDEX(DATA_MASTER!$L$2:$L$5000,MATCH($C4658,DATA_MASTER!$D$2:$D$5000,0)),""))</f>
        <v/>
      </c>
      <c r="G4658" s="24" t="n"/>
      <c r="H4658" s="24" t="n"/>
      <c r="I4658" s="30" t="n"/>
      <c r="J4658" s="23">
        <f>IF(OR($H4658="",$I4658=""),"",$H4658*$I4658)</f>
        <v/>
      </c>
      <c r="K4658" s="24" t="n"/>
      <c r="L4658" s="24" t="n"/>
      <c r="M4658" s="29" t="n"/>
      <c r="N4658" s="28" t="n"/>
      <c r="O4658" s="24" t="n"/>
      <c r="P4658" s="24" t="n"/>
      <c r="Q4658" s="24" t="n"/>
      <c r="R4658" s="24" t="n"/>
      <c r="S4658" s="22">
        <f>IF(AND($A4658="",$C4658=""),"",IF($A4658="","Thiếu mã đơn; ","")&amp;IF(COUNTIF($A$2:$A4658,$A4658)&gt;1,"Trùng mã đơn; ","")&amp;IF(ISNA(MATCH($C4658,DATA_MASTER!$D$2:$D$5000,0)),"SĐT chưa đăng ký hội viên; ","")&amp;IF(AND($L4658="Đã chuyển khoản",$M4658=""),"Thiếu ngày nhận CK; ",""))</f>
        <v/>
      </c>
      <c r="T4658" s="24" t="n"/>
    </row>
    <row r="4659" ht="14.25" customHeight="1" s="40">
      <c r="A4659" s="24" t="n"/>
      <c r="B4659" s="29" t="n"/>
      <c r="C4659" s="28" t="n"/>
      <c r="D4659" s="22">
        <f t="array" ref="D4659">IF($C4659="","",IFERROR(INDEX(DATA_MASTER!$C$2:$C$5000,MATCH($C4659,DATA_MASTER!$D$2:$D$5000,0)),""))</f>
        <v/>
      </c>
      <c r="E4659" s="22">
        <f t="array" ref="E4659">IF($C4659="","",IFERROR(INDEX(DATA_MASTER!$I$2:$I$5000,MATCH($C4659,DATA_MASTER!$D$2:$D$5000,0)),""))</f>
        <v/>
      </c>
      <c r="F4659" s="22">
        <f t="array" ref="F4659">IF($C4659="","",IFERROR(INDEX(DATA_MASTER!$L$2:$L$5000,MATCH($C4659,DATA_MASTER!$D$2:$D$5000,0)),""))</f>
        <v/>
      </c>
      <c r="G4659" s="24" t="n"/>
      <c r="H4659" s="24" t="n"/>
      <c r="I4659" s="30" t="n"/>
      <c r="J4659" s="23">
        <f>IF(OR($H4659="",$I4659=""),"",$H4659*$I4659)</f>
        <v/>
      </c>
      <c r="K4659" s="24" t="n"/>
      <c r="L4659" s="24" t="n"/>
      <c r="M4659" s="29" t="n"/>
      <c r="N4659" s="28" t="n"/>
      <c r="O4659" s="24" t="n"/>
      <c r="P4659" s="24" t="n"/>
      <c r="Q4659" s="24" t="n"/>
      <c r="R4659" s="24" t="n"/>
      <c r="S4659" s="22">
        <f>IF(AND($A4659="",$C4659=""),"",IF($A4659="","Thiếu mã đơn; ","")&amp;IF(COUNTIF($A$2:$A4659,$A4659)&gt;1,"Trùng mã đơn; ","")&amp;IF(ISNA(MATCH($C4659,DATA_MASTER!$D$2:$D$5000,0)),"SĐT chưa đăng ký hội viên; ","")&amp;IF(AND($L4659="Đã chuyển khoản",$M4659=""),"Thiếu ngày nhận CK; ",""))</f>
        <v/>
      </c>
      <c r="T4659" s="24" t="n"/>
    </row>
    <row r="4660" ht="14.25" customHeight="1" s="40">
      <c r="A4660" s="24" t="n"/>
      <c r="B4660" s="29" t="n"/>
      <c r="C4660" s="28" t="n"/>
      <c r="D4660" s="22">
        <f t="array" ref="D4660">IF($C4660="","",IFERROR(INDEX(DATA_MASTER!$C$2:$C$5000,MATCH($C4660,DATA_MASTER!$D$2:$D$5000,0)),""))</f>
        <v/>
      </c>
      <c r="E4660" s="22">
        <f t="array" ref="E4660">IF($C4660="","",IFERROR(INDEX(DATA_MASTER!$I$2:$I$5000,MATCH($C4660,DATA_MASTER!$D$2:$D$5000,0)),""))</f>
        <v/>
      </c>
      <c r="F4660" s="22">
        <f t="array" ref="F4660">IF($C4660="","",IFERROR(INDEX(DATA_MASTER!$L$2:$L$5000,MATCH($C4660,DATA_MASTER!$D$2:$D$5000,0)),""))</f>
        <v/>
      </c>
      <c r="G4660" s="24" t="n"/>
      <c r="H4660" s="24" t="n"/>
      <c r="I4660" s="30" t="n"/>
      <c r="J4660" s="23">
        <f>IF(OR($H4660="",$I4660=""),"",$H4660*$I4660)</f>
        <v/>
      </c>
      <c r="K4660" s="24" t="n"/>
      <c r="L4660" s="24" t="n"/>
      <c r="M4660" s="29" t="n"/>
      <c r="N4660" s="28" t="n"/>
      <c r="O4660" s="24" t="n"/>
      <c r="P4660" s="24" t="n"/>
      <c r="Q4660" s="24" t="n"/>
      <c r="R4660" s="24" t="n"/>
      <c r="S4660" s="22">
        <f>IF(AND($A4660="",$C4660=""),"",IF($A4660="","Thiếu mã đơn; ","")&amp;IF(COUNTIF($A$2:$A4660,$A4660)&gt;1,"Trùng mã đơn; ","")&amp;IF(ISNA(MATCH($C4660,DATA_MASTER!$D$2:$D$5000,0)),"SĐT chưa đăng ký hội viên; ","")&amp;IF(AND($L4660="Đã chuyển khoản",$M4660=""),"Thiếu ngày nhận CK; ",""))</f>
        <v/>
      </c>
      <c r="T4660" s="24" t="n"/>
    </row>
    <row r="4661" ht="14.25" customHeight="1" s="40">
      <c r="A4661" s="24" t="n"/>
      <c r="B4661" s="29" t="n"/>
      <c r="C4661" s="28" t="n"/>
      <c r="D4661" s="22">
        <f t="array" ref="D4661">IF($C4661="","",IFERROR(INDEX(DATA_MASTER!$C$2:$C$5000,MATCH($C4661,DATA_MASTER!$D$2:$D$5000,0)),""))</f>
        <v/>
      </c>
      <c r="E4661" s="22">
        <f t="array" ref="E4661">IF($C4661="","",IFERROR(INDEX(DATA_MASTER!$I$2:$I$5000,MATCH($C4661,DATA_MASTER!$D$2:$D$5000,0)),""))</f>
        <v/>
      </c>
      <c r="F4661" s="22">
        <f t="array" ref="F4661">IF($C4661="","",IFERROR(INDEX(DATA_MASTER!$L$2:$L$5000,MATCH($C4661,DATA_MASTER!$D$2:$D$5000,0)),""))</f>
        <v/>
      </c>
      <c r="G4661" s="24" t="n"/>
      <c r="H4661" s="24" t="n"/>
      <c r="I4661" s="30" t="n"/>
      <c r="J4661" s="23">
        <f>IF(OR($H4661="",$I4661=""),"",$H4661*$I4661)</f>
        <v/>
      </c>
      <c r="K4661" s="24" t="n"/>
      <c r="L4661" s="24" t="n"/>
      <c r="M4661" s="29" t="n"/>
      <c r="N4661" s="28" t="n"/>
      <c r="O4661" s="24" t="n"/>
      <c r="P4661" s="24" t="n"/>
      <c r="Q4661" s="24" t="n"/>
      <c r="R4661" s="24" t="n"/>
      <c r="S4661" s="22">
        <f>IF(AND($A4661="",$C4661=""),"",IF($A4661="","Thiếu mã đơn; ","")&amp;IF(COUNTIF($A$2:$A4661,$A4661)&gt;1,"Trùng mã đơn; ","")&amp;IF(ISNA(MATCH($C4661,DATA_MASTER!$D$2:$D$5000,0)),"SĐT chưa đăng ký hội viên; ","")&amp;IF(AND($L4661="Đã chuyển khoản",$M4661=""),"Thiếu ngày nhận CK; ",""))</f>
        <v/>
      </c>
      <c r="T4661" s="24" t="n"/>
    </row>
    <row r="4662" ht="14.25" customHeight="1" s="40">
      <c r="A4662" s="24" t="n"/>
      <c r="B4662" s="29" t="n"/>
      <c r="C4662" s="28" t="n"/>
      <c r="D4662" s="22">
        <f t="array" ref="D4662">IF($C4662="","",IFERROR(INDEX(DATA_MASTER!$C$2:$C$5000,MATCH($C4662,DATA_MASTER!$D$2:$D$5000,0)),""))</f>
        <v/>
      </c>
      <c r="E4662" s="22">
        <f t="array" ref="E4662">IF($C4662="","",IFERROR(INDEX(DATA_MASTER!$I$2:$I$5000,MATCH($C4662,DATA_MASTER!$D$2:$D$5000,0)),""))</f>
        <v/>
      </c>
      <c r="F4662" s="22">
        <f t="array" ref="F4662">IF($C4662="","",IFERROR(INDEX(DATA_MASTER!$L$2:$L$5000,MATCH($C4662,DATA_MASTER!$D$2:$D$5000,0)),""))</f>
        <v/>
      </c>
      <c r="G4662" s="24" t="n"/>
      <c r="H4662" s="24" t="n"/>
      <c r="I4662" s="30" t="n"/>
      <c r="J4662" s="23">
        <f>IF(OR($H4662="",$I4662=""),"",$H4662*$I4662)</f>
        <v/>
      </c>
      <c r="K4662" s="24" t="n"/>
      <c r="L4662" s="24" t="n"/>
      <c r="M4662" s="29" t="n"/>
      <c r="N4662" s="28" t="n"/>
      <c r="O4662" s="24" t="n"/>
      <c r="P4662" s="24" t="n"/>
      <c r="Q4662" s="24" t="n"/>
      <c r="R4662" s="24" t="n"/>
      <c r="S4662" s="22">
        <f>IF(AND($A4662="",$C4662=""),"",IF($A4662="","Thiếu mã đơn; ","")&amp;IF(COUNTIF($A$2:$A4662,$A4662)&gt;1,"Trùng mã đơn; ","")&amp;IF(ISNA(MATCH($C4662,DATA_MASTER!$D$2:$D$5000,0)),"SĐT chưa đăng ký hội viên; ","")&amp;IF(AND($L4662="Đã chuyển khoản",$M4662=""),"Thiếu ngày nhận CK; ",""))</f>
        <v/>
      </c>
      <c r="T4662" s="24" t="n"/>
    </row>
    <row r="4663" ht="14.25" customHeight="1" s="40">
      <c r="A4663" s="24" t="n"/>
      <c r="B4663" s="29" t="n"/>
      <c r="C4663" s="28" t="n"/>
      <c r="D4663" s="22">
        <f t="array" ref="D4663">IF($C4663="","",IFERROR(INDEX(DATA_MASTER!$C$2:$C$5000,MATCH($C4663,DATA_MASTER!$D$2:$D$5000,0)),""))</f>
        <v/>
      </c>
      <c r="E4663" s="22">
        <f t="array" ref="E4663">IF($C4663="","",IFERROR(INDEX(DATA_MASTER!$I$2:$I$5000,MATCH($C4663,DATA_MASTER!$D$2:$D$5000,0)),""))</f>
        <v/>
      </c>
      <c r="F4663" s="22">
        <f t="array" ref="F4663">IF($C4663="","",IFERROR(INDEX(DATA_MASTER!$L$2:$L$5000,MATCH($C4663,DATA_MASTER!$D$2:$D$5000,0)),""))</f>
        <v/>
      </c>
      <c r="G4663" s="24" t="n"/>
      <c r="H4663" s="24" t="n"/>
      <c r="I4663" s="30" t="n"/>
      <c r="J4663" s="23">
        <f>IF(OR($H4663="",$I4663=""),"",$H4663*$I4663)</f>
        <v/>
      </c>
      <c r="K4663" s="24" t="n"/>
      <c r="L4663" s="24" t="n"/>
      <c r="M4663" s="29" t="n"/>
      <c r="N4663" s="28" t="n"/>
      <c r="O4663" s="24" t="n"/>
      <c r="P4663" s="24" t="n"/>
      <c r="Q4663" s="24" t="n"/>
      <c r="R4663" s="24" t="n"/>
      <c r="S4663" s="22">
        <f>IF(AND($A4663="",$C4663=""),"",IF($A4663="","Thiếu mã đơn; ","")&amp;IF(COUNTIF($A$2:$A4663,$A4663)&gt;1,"Trùng mã đơn; ","")&amp;IF(ISNA(MATCH($C4663,DATA_MASTER!$D$2:$D$5000,0)),"SĐT chưa đăng ký hội viên; ","")&amp;IF(AND($L4663="Đã chuyển khoản",$M4663=""),"Thiếu ngày nhận CK; ",""))</f>
        <v/>
      </c>
      <c r="T4663" s="24" t="n"/>
    </row>
    <row r="4664" ht="14.25" customHeight="1" s="40">
      <c r="A4664" s="24" t="n"/>
      <c r="B4664" s="29" t="n"/>
      <c r="C4664" s="28" t="n"/>
      <c r="D4664" s="22">
        <f t="array" ref="D4664">IF($C4664="","",IFERROR(INDEX(DATA_MASTER!$C$2:$C$5000,MATCH($C4664,DATA_MASTER!$D$2:$D$5000,0)),""))</f>
        <v/>
      </c>
      <c r="E4664" s="22">
        <f t="array" ref="E4664">IF($C4664="","",IFERROR(INDEX(DATA_MASTER!$I$2:$I$5000,MATCH($C4664,DATA_MASTER!$D$2:$D$5000,0)),""))</f>
        <v/>
      </c>
      <c r="F4664" s="22">
        <f t="array" ref="F4664">IF($C4664="","",IFERROR(INDEX(DATA_MASTER!$L$2:$L$5000,MATCH($C4664,DATA_MASTER!$D$2:$D$5000,0)),""))</f>
        <v/>
      </c>
      <c r="G4664" s="24" t="n"/>
      <c r="H4664" s="24" t="n"/>
      <c r="I4664" s="30" t="n"/>
      <c r="J4664" s="23">
        <f>IF(OR($H4664="",$I4664=""),"",$H4664*$I4664)</f>
        <v/>
      </c>
      <c r="K4664" s="24" t="n"/>
      <c r="L4664" s="24" t="n"/>
      <c r="M4664" s="29" t="n"/>
      <c r="N4664" s="28" t="n"/>
      <c r="O4664" s="24" t="n"/>
      <c r="P4664" s="24" t="n"/>
      <c r="Q4664" s="24" t="n"/>
      <c r="R4664" s="24" t="n"/>
      <c r="S4664" s="22">
        <f>IF(AND($A4664="",$C4664=""),"",IF($A4664="","Thiếu mã đơn; ","")&amp;IF(COUNTIF($A$2:$A4664,$A4664)&gt;1,"Trùng mã đơn; ","")&amp;IF(ISNA(MATCH($C4664,DATA_MASTER!$D$2:$D$5000,0)),"SĐT chưa đăng ký hội viên; ","")&amp;IF(AND($L4664="Đã chuyển khoản",$M4664=""),"Thiếu ngày nhận CK; ",""))</f>
        <v/>
      </c>
      <c r="T4664" s="24" t="n"/>
    </row>
    <row r="4665" ht="14.25" customHeight="1" s="40">
      <c r="A4665" s="24" t="n"/>
      <c r="B4665" s="29" t="n"/>
      <c r="C4665" s="28" t="n"/>
      <c r="D4665" s="22">
        <f t="array" ref="D4665">IF($C4665="","",IFERROR(INDEX(DATA_MASTER!$C$2:$C$5000,MATCH($C4665,DATA_MASTER!$D$2:$D$5000,0)),""))</f>
        <v/>
      </c>
      <c r="E4665" s="22">
        <f t="array" ref="E4665">IF($C4665="","",IFERROR(INDEX(DATA_MASTER!$I$2:$I$5000,MATCH($C4665,DATA_MASTER!$D$2:$D$5000,0)),""))</f>
        <v/>
      </c>
      <c r="F4665" s="22">
        <f t="array" ref="F4665">IF($C4665="","",IFERROR(INDEX(DATA_MASTER!$L$2:$L$5000,MATCH($C4665,DATA_MASTER!$D$2:$D$5000,0)),""))</f>
        <v/>
      </c>
      <c r="G4665" s="24" t="n"/>
      <c r="H4665" s="24" t="n"/>
      <c r="I4665" s="30" t="n"/>
      <c r="J4665" s="23">
        <f>IF(OR($H4665="",$I4665=""),"",$H4665*$I4665)</f>
        <v/>
      </c>
      <c r="K4665" s="24" t="n"/>
      <c r="L4665" s="24" t="n"/>
      <c r="M4665" s="29" t="n"/>
      <c r="N4665" s="28" t="n"/>
      <c r="O4665" s="24" t="n"/>
      <c r="P4665" s="24" t="n"/>
      <c r="Q4665" s="24" t="n"/>
      <c r="R4665" s="24" t="n"/>
      <c r="S4665" s="22">
        <f>IF(AND($A4665="",$C4665=""),"",IF($A4665="","Thiếu mã đơn; ","")&amp;IF(COUNTIF($A$2:$A4665,$A4665)&gt;1,"Trùng mã đơn; ","")&amp;IF(ISNA(MATCH($C4665,DATA_MASTER!$D$2:$D$5000,0)),"SĐT chưa đăng ký hội viên; ","")&amp;IF(AND($L4665="Đã chuyển khoản",$M4665=""),"Thiếu ngày nhận CK; ",""))</f>
        <v/>
      </c>
      <c r="T4665" s="24" t="n"/>
    </row>
    <row r="4666" ht="14.25" customHeight="1" s="40">
      <c r="A4666" s="24" t="n"/>
      <c r="B4666" s="29" t="n"/>
      <c r="C4666" s="28" t="n"/>
      <c r="D4666" s="22">
        <f t="array" ref="D4666">IF($C4666="","",IFERROR(INDEX(DATA_MASTER!$C$2:$C$5000,MATCH($C4666,DATA_MASTER!$D$2:$D$5000,0)),""))</f>
        <v/>
      </c>
      <c r="E4666" s="22">
        <f t="array" ref="E4666">IF($C4666="","",IFERROR(INDEX(DATA_MASTER!$I$2:$I$5000,MATCH($C4666,DATA_MASTER!$D$2:$D$5000,0)),""))</f>
        <v/>
      </c>
      <c r="F4666" s="22">
        <f t="array" ref="F4666">IF($C4666="","",IFERROR(INDEX(DATA_MASTER!$L$2:$L$5000,MATCH($C4666,DATA_MASTER!$D$2:$D$5000,0)),""))</f>
        <v/>
      </c>
      <c r="G4666" s="24" t="n"/>
      <c r="H4666" s="24" t="n"/>
      <c r="I4666" s="30" t="n"/>
      <c r="J4666" s="23">
        <f>IF(OR($H4666="",$I4666=""),"",$H4666*$I4666)</f>
        <v/>
      </c>
      <c r="K4666" s="24" t="n"/>
      <c r="L4666" s="24" t="n"/>
      <c r="M4666" s="29" t="n"/>
      <c r="N4666" s="28" t="n"/>
      <c r="O4666" s="24" t="n"/>
      <c r="P4666" s="24" t="n"/>
      <c r="Q4666" s="24" t="n"/>
      <c r="R4666" s="24" t="n"/>
      <c r="S4666" s="22">
        <f>IF(AND($A4666="",$C4666=""),"",IF($A4666="","Thiếu mã đơn; ","")&amp;IF(COUNTIF($A$2:$A4666,$A4666)&gt;1,"Trùng mã đơn; ","")&amp;IF(ISNA(MATCH($C4666,DATA_MASTER!$D$2:$D$5000,0)),"SĐT chưa đăng ký hội viên; ","")&amp;IF(AND($L4666="Đã chuyển khoản",$M4666=""),"Thiếu ngày nhận CK; ",""))</f>
        <v/>
      </c>
      <c r="T4666" s="24" t="n"/>
    </row>
    <row r="4667" ht="14.25" customHeight="1" s="40">
      <c r="A4667" s="24" t="n"/>
      <c r="B4667" s="29" t="n"/>
      <c r="C4667" s="28" t="n"/>
      <c r="D4667" s="22">
        <f t="array" ref="D4667">IF($C4667="","",IFERROR(INDEX(DATA_MASTER!$C$2:$C$5000,MATCH($C4667,DATA_MASTER!$D$2:$D$5000,0)),""))</f>
        <v/>
      </c>
      <c r="E4667" s="22">
        <f t="array" ref="E4667">IF($C4667="","",IFERROR(INDEX(DATA_MASTER!$I$2:$I$5000,MATCH($C4667,DATA_MASTER!$D$2:$D$5000,0)),""))</f>
        <v/>
      </c>
      <c r="F4667" s="22">
        <f t="array" ref="F4667">IF($C4667="","",IFERROR(INDEX(DATA_MASTER!$L$2:$L$5000,MATCH($C4667,DATA_MASTER!$D$2:$D$5000,0)),""))</f>
        <v/>
      </c>
      <c r="G4667" s="24" t="n"/>
      <c r="H4667" s="24" t="n"/>
      <c r="I4667" s="30" t="n"/>
      <c r="J4667" s="23">
        <f>IF(OR($H4667="",$I4667=""),"",$H4667*$I4667)</f>
        <v/>
      </c>
      <c r="K4667" s="24" t="n"/>
      <c r="L4667" s="24" t="n"/>
      <c r="M4667" s="29" t="n"/>
      <c r="N4667" s="28" t="n"/>
      <c r="O4667" s="24" t="n"/>
      <c r="P4667" s="24" t="n"/>
      <c r="Q4667" s="24" t="n"/>
      <c r="R4667" s="24" t="n"/>
      <c r="S4667" s="22">
        <f>IF(AND($A4667="",$C4667=""),"",IF($A4667="","Thiếu mã đơn; ","")&amp;IF(COUNTIF($A$2:$A4667,$A4667)&gt;1,"Trùng mã đơn; ","")&amp;IF(ISNA(MATCH($C4667,DATA_MASTER!$D$2:$D$5000,0)),"SĐT chưa đăng ký hội viên; ","")&amp;IF(AND($L4667="Đã chuyển khoản",$M4667=""),"Thiếu ngày nhận CK; ",""))</f>
        <v/>
      </c>
      <c r="T4667" s="24" t="n"/>
    </row>
    <row r="4668" ht="14.25" customHeight="1" s="40">
      <c r="A4668" s="24" t="n"/>
      <c r="B4668" s="29" t="n"/>
      <c r="C4668" s="28" t="n"/>
      <c r="D4668" s="22">
        <f t="array" ref="D4668">IF($C4668="","",IFERROR(INDEX(DATA_MASTER!$C$2:$C$5000,MATCH($C4668,DATA_MASTER!$D$2:$D$5000,0)),""))</f>
        <v/>
      </c>
      <c r="E4668" s="22">
        <f t="array" ref="E4668">IF($C4668="","",IFERROR(INDEX(DATA_MASTER!$I$2:$I$5000,MATCH($C4668,DATA_MASTER!$D$2:$D$5000,0)),""))</f>
        <v/>
      </c>
      <c r="F4668" s="22">
        <f t="array" ref="F4668">IF($C4668="","",IFERROR(INDEX(DATA_MASTER!$L$2:$L$5000,MATCH($C4668,DATA_MASTER!$D$2:$D$5000,0)),""))</f>
        <v/>
      </c>
      <c r="G4668" s="24" t="n"/>
      <c r="H4668" s="24" t="n"/>
      <c r="I4668" s="30" t="n"/>
      <c r="J4668" s="23">
        <f>IF(OR($H4668="",$I4668=""),"",$H4668*$I4668)</f>
        <v/>
      </c>
      <c r="K4668" s="24" t="n"/>
      <c r="L4668" s="24" t="n"/>
      <c r="M4668" s="29" t="n"/>
      <c r="N4668" s="28" t="n"/>
      <c r="O4668" s="24" t="n"/>
      <c r="P4668" s="24" t="n"/>
      <c r="Q4668" s="24" t="n"/>
      <c r="R4668" s="24" t="n"/>
      <c r="S4668" s="22">
        <f>IF(AND($A4668="",$C4668=""),"",IF($A4668="","Thiếu mã đơn; ","")&amp;IF(COUNTIF($A$2:$A4668,$A4668)&gt;1,"Trùng mã đơn; ","")&amp;IF(ISNA(MATCH($C4668,DATA_MASTER!$D$2:$D$5000,0)),"SĐT chưa đăng ký hội viên; ","")&amp;IF(AND($L4668="Đã chuyển khoản",$M4668=""),"Thiếu ngày nhận CK; ",""))</f>
        <v/>
      </c>
      <c r="T4668" s="24" t="n"/>
    </row>
    <row r="4669" ht="14.25" customHeight="1" s="40">
      <c r="A4669" s="24" t="n"/>
      <c r="B4669" s="29" t="n"/>
      <c r="C4669" s="28" t="n"/>
      <c r="D4669" s="22">
        <f t="array" ref="D4669">IF($C4669="","",IFERROR(INDEX(DATA_MASTER!$C$2:$C$5000,MATCH($C4669,DATA_MASTER!$D$2:$D$5000,0)),""))</f>
        <v/>
      </c>
      <c r="E4669" s="22">
        <f t="array" ref="E4669">IF($C4669="","",IFERROR(INDEX(DATA_MASTER!$I$2:$I$5000,MATCH($C4669,DATA_MASTER!$D$2:$D$5000,0)),""))</f>
        <v/>
      </c>
      <c r="F4669" s="22">
        <f t="array" ref="F4669">IF($C4669="","",IFERROR(INDEX(DATA_MASTER!$L$2:$L$5000,MATCH($C4669,DATA_MASTER!$D$2:$D$5000,0)),""))</f>
        <v/>
      </c>
      <c r="G4669" s="24" t="n"/>
      <c r="H4669" s="24" t="n"/>
      <c r="I4669" s="30" t="n"/>
      <c r="J4669" s="23">
        <f>IF(OR($H4669="",$I4669=""),"",$H4669*$I4669)</f>
        <v/>
      </c>
      <c r="K4669" s="24" t="n"/>
      <c r="L4669" s="24" t="n"/>
      <c r="M4669" s="29" t="n"/>
      <c r="N4669" s="28" t="n"/>
      <c r="O4669" s="24" t="n"/>
      <c r="P4669" s="24" t="n"/>
      <c r="Q4669" s="24" t="n"/>
      <c r="R4669" s="24" t="n"/>
      <c r="S4669" s="22">
        <f>IF(AND($A4669="",$C4669=""),"",IF($A4669="","Thiếu mã đơn; ","")&amp;IF(COUNTIF($A$2:$A4669,$A4669)&gt;1,"Trùng mã đơn; ","")&amp;IF(ISNA(MATCH($C4669,DATA_MASTER!$D$2:$D$5000,0)),"SĐT chưa đăng ký hội viên; ","")&amp;IF(AND($L4669="Đã chuyển khoản",$M4669=""),"Thiếu ngày nhận CK; ",""))</f>
        <v/>
      </c>
      <c r="T4669" s="24" t="n"/>
    </row>
    <row r="4670" ht="14.25" customHeight="1" s="40">
      <c r="A4670" s="24" t="n"/>
      <c r="B4670" s="29" t="n"/>
      <c r="C4670" s="28" t="n"/>
      <c r="D4670" s="22">
        <f t="array" ref="D4670">IF($C4670="","",IFERROR(INDEX(DATA_MASTER!$C$2:$C$5000,MATCH($C4670,DATA_MASTER!$D$2:$D$5000,0)),""))</f>
        <v/>
      </c>
      <c r="E4670" s="22">
        <f t="array" ref="E4670">IF($C4670="","",IFERROR(INDEX(DATA_MASTER!$I$2:$I$5000,MATCH($C4670,DATA_MASTER!$D$2:$D$5000,0)),""))</f>
        <v/>
      </c>
      <c r="F4670" s="22">
        <f t="array" ref="F4670">IF($C4670="","",IFERROR(INDEX(DATA_MASTER!$L$2:$L$5000,MATCH($C4670,DATA_MASTER!$D$2:$D$5000,0)),""))</f>
        <v/>
      </c>
      <c r="G4670" s="24" t="n"/>
      <c r="H4670" s="24" t="n"/>
      <c r="I4670" s="30" t="n"/>
      <c r="J4670" s="23">
        <f>IF(OR($H4670="",$I4670=""),"",$H4670*$I4670)</f>
        <v/>
      </c>
      <c r="K4670" s="24" t="n"/>
      <c r="L4670" s="24" t="n"/>
      <c r="M4670" s="29" t="n"/>
      <c r="N4670" s="28" t="n"/>
      <c r="O4670" s="24" t="n"/>
      <c r="P4670" s="24" t="n"/>
      <c r="Q4670" s="24" t="n"/>
      <c r="R4670" s="24" t="n"/>
      <c r="S4670" s="22">
        <f>IF(AND($A4670="",$C4670=""),"",IF($A4670="","Thiếu mã đơn; ","")&amp;IF(COUNTIF($A$2:$A4670,$A4670)&gt;1,"Trùng mã đơn; ","")&amp;IF(ISNA(MATCH($C4670,DATA_MASTER!$D$2:$D$5000,0)),"SĐT chưa đăng ký hội viên; ","")&amp;IF(AND($L4670="Đã chuyển khoản",$M4670=""),"Thiếu ngày nhận CK; ",""))</f>
        <v/>
      </c>
      <c r="T4670" s="24" t="n"/>
    </row>
    <row r="4671" ht="14.25" customHeight="1" s="40">
      <c r="A4671" s="24" t="n"/>
      <c r="B4671" s="29" t="n"/>
      <c r="C4671" s="28" t="n"/>
      <c r="D4671" s="22">
        <f t="array" ref="D4671">IF($C4671="","",IFERROR(INDEX(DATA_MASTER!$C$2:$C$5000,MATCH($C4671,DATA_MASTER!$D$2:$D$5000,0)),""))</f>
        <v/>
      </c>
      <c r="E4671" s="22">
        <f t="array" ref="E4671">IF($C4671="","",IFERROR(INDEX(DATA_MASTER!$I$2:$I$5000,MATCH($C4671,DATA_MASTER!$D$2:$D$5000,0)),""))</f>
        <v/>
      </c>
      <c r="F4671" s="22">
        <f t="array" ref="F4671">IF($C4671="","",IFERROR(INDEX(DATA_MASTER!$L$2:$L$5000,MATCH($C4671,DATA_MASTER!$D$2:$D$5000,0)),""))</f>
        <v/>
      </c>
      <c r="G4671" s="24" t="n"/>
      <c r="H4671" s="24" t="n"/>
      <c r="I4671" s="30" t="n"/>
      <c r="J4671" s="23">
        <f>IF(OR($H4671="",$I4671=""),"",$H4671*$I4671)</f>
        <v/>
      </c>
      <c r="K4671" s="24" t="n"/>
      <c r="L4671" s="24" t="n"/>
      <c r="M4671" s="29" t="n"/>
      <c r="N4671" s="28" t="n"/>
      <c r="O4671" s="24" t="n"/>
      <c r="P4671" s="24" t="n"/>
      <c r="Q4671" s="24" t="n"/>
      <c r="R4671" s="24" t="n"/>
      <c r="S4671" s="22">
        <f>IF(AND($A4671="",$C4671=""),"",IF($A4671="","Thiếu mã đơn; ","")&amp;IF(COUNTIF($A$2:$A4671,$A4671)&gt;1,"Trùng mã đơn; ","")&amp;IF(ISNA(MATCH($C4671,DATA_MASTER!$D$2:$D$5000,0)),"SĐT chưa đăng ký hội viên; ","")&amp;IF(AND($L4671="Đã chuyển khoản",$M4671=""),"Thiếu ngày nhận CK; ",""))</f>
        <v/>
      </c>
      <c r="T4671" s="24" t="n"/>
    </row>
    <row r="4672" ht="14.25" customHeight="1" s="40">
      <c r="A4672" s="24" t="n"/>
      <c r="B4672" s="29" t="n"/>
      <c r="C4672" s="28" t="n"/>
      <c r="D4672" s="22">
        <f t="array" ref="D4672">IF($C4672="","",IFERROR(INDEX(DATA_MASTER!$C$2:$C$5000,MATCH($C4672,DATA_MASTER!$D$2:$D$5000,0)),""))</f>
        <v/>
      </c>
      <c r="E4672" s="22">
        <f t="array" ref="E4672">IF($C4672="","",IFERROR(INDEX(DATA_MASTER!$I$2:$I$5000,MATCH($C4672,DATA_MASTER!$D$2:$D$5000,0)),""))</f>
        <v/>
      </c>
      <c r="F4672" s="22">
        <f t="array" ref="F4672">IF($C4672="","",IFERROR(INDEX(DATA_MASTER!$L$2:$L$5000,MATCH($C4672,DATA_MASTER!$D$2:$D$5000,0)),""))</f>
        <v/>
      </c>
      <c r="G4672" s="24" t="n"/>
      <c r="H4672" s="24" t="n"/>
      <c r="I4672" s="30" t="n"/>
      <c r="J4672" s="23">
        <f>IF(OR($H4672="",$I4672=""),"",$H4672*$I4672)</f>
        <v/>
      </c>
      <c r="K4672" s="24" t="n"/>
      <c r="L4672" s="24" t="n"/>
      <c r="M4672" s="29" t="n"/>
      <c r="N4672" s="28" t="n"/>
      <c r="O4672" s="24" t="n"/>
      <c r="P4672" s="24" t="n"/>
      <c r="Q4672" s="24" t="n"/>
      <c r="R4672" s="24" t="n"/>
      <c r="S4672" s="22">
        <f>IF(AND($A4672="",$C4672=""),"",IF($A4672="","Thiếu mã đơn; ","")&amp;IF(COUNTIF($A$2:$A4672,$A4672)&gt;1,"Trùng mã đơn; ","")&amp;IF(ISNA(MATCH($C4672,DATA_MASTER!$D$2:$D$5000,0)),"SĐT chưa đăng ký hội viên; ","")&amp;IF(AND($L4672="Đã chuyển khoản",$M4672=""),"Thiếu ngày nhận CK; ",""))</f>
        <v/>
      </c>
      <c r="T4672" s="24" t="n"/>
    </row>
    <row r="4673" ht="14.25" customHeight="1" s="40">
      <c r="A4673" s="24" t="n"/>
      <c r="B4673" s="29" t="n"/>
      <c r="C4673" s="28" t="n"/>
      <c r="D4673" s="22">
        <f t="array" ref="D4673">IF($C4673="","",IFERROR(INDEX(DATA_MASTER!$C$2:$C$5000,MATCH($C4673,DATA_MASTER!$D$2:$D$5000,0)),""))</f>
        <v/>
      </c>
      <c r="E4673" s="22">
        <f t="array" ref="E4673">IF($C4673="","",IFERROR(INDEX(DATA_MASTER!$I$2:$I$5000,MATCH($C4673,DATA_MASTER!$D$2:$D$5000,0)),""))</f>
        <v/>
      </c>
      <c r="F4673" s="22">
        <f t="array" ref="F4673">IF($C4673="","",IFERROR(INDEX(DATA_MASTER!$L$2:$L$5000,MATCH($C4673,DATA_MASTER!$D$2:$D$5000,0)),""))</f>
        <v/>
      </c>
      <c r="G4673" s="24" t="n"/>
      <c r="H4673" s="24" t="n"/>
      <c r="I4673" s="30" t="n"/>
      <c r="J4673" s="23">
        <f>IF(OR($H4673="",$I4673=""),"",$H4673*$I4673)</f>
        <v/>
      </c>
      <c r="K4673" s="24" t="n"/>
      <c r="L4673" s="24" t="n"/>
      <c r="M4673" s="29" t="n"/>
      <c r="N4673" s="28" t="n"/>
      <c r="O4673" s="24" t="n"/>
      <c r="P4673" s="24" t="n"/>
      <c r="Q4673" s="24" t="n"/>
      <c r="R4673" s="24" t="n"/>
      <c r="S4673" s="22">
        <f>IF(AND($A4673="",$C4673=""),"",IF($A4673="","Thiếu mã đơn; ","")&amp;IF(COUNTIF($A$2:$A4673,$A4673)&gt;1,"Trùng mã đơn; ","")&amp;IF(ISNA(MATCH($C4673,DATA_MASTER!$D$2:$D$5000,0)),"SĐT chưa đăng ký hội viên; ","")&amp;IF(AND($L4673="Đã chuyển khoản",$M4673=""),"Thiếu ngày nhận CK; ",""))</f>
        <v/>
      </c>
      <c r="T4673" s="24" t="n"/>
    </row>
    <row r="4674" ht="14.25" customHeight="1" s="40">
      <c r="A4674" s="24" t="n"/>
      <c r="B4674" s="29" t="n"/>
      <c r="C4674" s="28" t="n"/>
      <c r="D4674" s="22">
        <f t="array" ref="D4674">IF($C4674="","",IFERROR(INDEX(DATA_MASTER!$C$2:$C$5000,MATCH($C4674,DATA_MASTER!$D$2:$D$5000,0)),""))</f>
        <v/>
      </c>
      <c r="E4674" s="22">
        <f t="array" ref="E4674">IF($C4674="","",IFERROR(INDEX(DATA_MASTER!$I$2:$I$5000,MATCH($C4674,DATA_MASTER!$D$2:$D$5000,0)),""))</f>
        <v/>
      </c>
      <c r="F4674" s="22">
        <f t="array" ref="F4674">IF($C4674="","",IFERROR(INDEX(DATA_MASTER!$L$2:$L$5000,MATCH($C4674,DATA_MASTER!$D$2:$D$5000,0)),""))</f>
        <v/>
      </c>
      <c r="G4674" s="24" t="n"/>
      <c r="H4674" s="24" t="n"/>
      <c r="I4674" s="30" t="n"/>
      <c r="J4674" s="23">
        <f>IF(OR($H4674="",$I4674=""),"",$H4674*$I4674)</f>
        <v/>
      </c>
      <c r="K4674" s="24" t="n"/>
      <c r="L4674" s="24" t="n"/>
      <c r="M4674" s="29" t="n"/>
      <c r="N4674" s="28" t="n"/>
      <c r="O4674" s="24" t="n"/>
      <c r="P4674" s="24" t="n"/>
      <c r="Q4674" s="24" t="n"/>
      <c r="R4674" s="24" t="n"/>
      <c r="S4674" s="22">
        <f>IF(AND($A4674="",$C4674=""),"",IF($A4674="","Thiếu mã đơn; ","")&amp;IF(COUNTIF($A$2:$A4674,$A4674)&gt;1,"Trùng mã đơn; ","")&amp;IF(ISNA(MATCH($C4674,DATA_MASTER!$D$2:$D$5000,0)),"SĐT chưa đăng ký hội viên; ","")&amp;IF(AND($L4674="Đã chuyển khoản",$M4674=""),"Thiếu ngày nhận CK; ",""))</f>
        <v/>
      </c>
      <c r="T4674" s="24" t="n"/>
    </row>
    <row r="4675" ht="14.25" customHeight="1" s="40">
      <c r="A4675" s="24" t="n"/>
      <c r="B4675" s="29" t="n"/>
      <c r="C4675" s="28" t="n"/>
      <c r="D4675" s="22">
        <f t="array" ref="D4675">IF($C4675="","",IFERROR(INDEX(DATA_MASTER!$C$2:$C$5000,MATCH($C4675,DATA_MASTER!$D$2:$D$5000,0)),""))</f>
        <v/>
      </c>
      <c r="E4675" s="22">
        <f t="array" ref="E4675">IF($C4675="","",IFERROR(INDEX(DATA_MASTER!$I$2:$I$5000,MATCH($C4675,DATA_MASTER!$D$2:$D$5000,0)),""))</f>
        <v/>
      </c>
      <c r="F4675" s="22">
        <f t="array" ref="F4675">IF($C4675="","",IFERROR(INDEX(DATA_MASTER!$L$2:$L$5000,MATCH($C4675,DATA_MASTER!$D$2:$D$5000,0)),""))</f>
        <v/>
      </c>
      <c r="G4675" s="24" t="n"/>
      <c r="H4675" s="24" t="n"/>
      <c r="I4675" s="30" t="n"/>
      <c r="J4675" s="23">
        <f>IF(OR($H4675="",$I4675=""),"",$H4675*$I4675)</f>
        <v/>
      </c>
      <c r="K4675" s="24" t="n"/>
      <c r="L4675" s="24" t="n"/>
      <c r="M4675" s="29" t="n"/>
      <c r="N4675" s="28" t="n"/>
      <c r="O4675" s="24" t="n"/>
      <c r="P4675" s="24" t="n"/>
      <c r="Q4675" s="24" t="n"/>
      <c r="R4675" s="24" t="n"/>
      <c r="S4675" s="22">
        <f>IF(AND($A4675="",$C4675=""),"",IF($A4675="","Thiếu mã đơn; ","")&amp;IF(COUNTIF($A$2:$A4675,$A4675)&gt;1,"Trùng mã đơn; ","")&amp;IF(ISNA(MATCH($C4675,DATA_MASTER!$D$2:$D$5000,0)),"SĐT chưa đăng ký hội viên; ","")&amp;IF(AND($L4675="Đã chuyển khoản",$M4675=""),"Thiếu ngày nhận CK; ",""))</f>
        <v/>
      </c>
      <c r="T4675" s="24" t="n"/>
    </row>
    <row r="4676" ht="14.25" customHeight="1" s="40">
      <c r="A4676" s="24" t="n"/>
      <c r="B4676" s="29" t="n"/>
      <c r="C4676" s="28" t="n"/>
      <c r="D4676" s="22">
        <f t="array" ref="D4676">IF($C4676="","",IFERROR(INDEX(DATA_MASTER!$C$2:$C$5000,MATCH($C4676,DATA_MASTER!$D$2:$D$5000,0)),""))</f>
        <v/>
      </c>
      <c r="E4676" s="22">
        <f t="array" ref="E4676">IF($C4676="","",IFERROR(INDEX(DATA_MASTER!$I$2:$I$5000,MATCH($C4676,DATA_MASTER!$D$2:$D$5000,0)),""))</f>
        <v/>
      </c>
      <c r="F4676" s="22">
        <f t="array" ref="F4676">IF($C4676="","",IFERROR(INDEX(DATA_MASTER!$L$2:$L$5000,MATCH($C4676,DATA_MASTER!$D$2:$D$5000,0)),""))</f>
        <v/>
      </c>
      <c r="G4676" s="24" t="n"/>
      <c r="H4676" s="24" t="n"/>
      <c r="I4676" s="30" t="n"/>
      <c r="J4676" s="23">
        <f>IF(OR($H4676="",$I4676=""),"",$H4676*$I4676)</f>
        <v/>
      </c>
      <c r="K4676" s="24" t="n"/>
      <c r="L4676" s="24" t="n"/>
      <c r="M4676" s="29" t="n"/>
      <c r="N4676" s="28" t="n"/>
      <c r="O4676" s="24" t="n"/>
      <c r="P4676" s="24" t="n"/>
      <c r="Q4676" s="24" t="n"/>
      <c r="R4676" s="24" t="n"/>
      <c r="S4676" s="22">
        <f>IF(AND($A4676="",$C4676=""),"",IF($A4676="","Thiếu mã đơn; ","")&amp;IF(COUNTIF($A$2:$A4676,$A4676)&gt;1,"Trùng mã đơn; ","")&amp;IF(ISNA(MATCH($C4676,DATA_MASTER!$D$2:$D$5000,0)),"SĐT chưa đăng ký hội viên; ","")&amp;IF(AND($L4676="Đã chuyển khoản",$M4676=""),"Thiếu ngày nhận CK; ",""))</f>
        <v/>
      </c>
      <c r="T4676" s="24" t="n"/>
    </row>
    <row r="4677" ht="14.25" customHeight="1" s="40">
      <c r="A4677" s="24" t="n"/>
      <c r="B4677" s="29" t="n"/>
      <c r="C4677" s="28" t="n"/>
      <c r="D4677" s="22">
        <f t="array" ref="D4677">IF($C4677="","",IFERROR(INDEX(DATA_MASTER!$C$2:$C$5000,MATCH($C4677,DATA_MASTER!$D$2:$D$5000,0)),""))</f>
        <v/>
      </c>
      <c r="E4677" s="22">
        <f t="array" ref="E4677">IF($C4677="","",IFERROR(INDEX(DATA_MASTER!$I$2:$I$5000,MATCH($C4677,DATA_MASTER!$D$2:$D$5000,0)),""))</f>
        <v/>
      </c>
      <c r="F4677" s="22">
        <f t="array" ref="F4677">IF($C4677="","",IFERROR(INDEX(DATA_MASTER!$L$2:$L$5000,MATCH($C4677,DATA_MASTER!$D$2:$D$5000,0)),""))</f>
        <v/>
      </c>
      <c r="G4677" s="24" t="n"/>
      <c r="H4677" s="24" t="n"/>
      <c r="I4677" s="30" t="n"/>
      <c r="J4677" s="23">
        <f>IF(OR($H4677="",$I4677=""),"",$H4677*$I4677)</f>
        <v/>
      </c>
      <c r="K4677" s="24" t="n"/>
      <c r="L4677" s="24" t="n"/>
      <c r="M4677" s="29" t="n"/>
      <c r="N4677" s="28" t="n"/>
      <c r="O4677" s="24" t="n"/>
      <c r="P4677" s="24" t="n"/>
      <c r="Q4677" s="24" t="n"/>
      <c r="R4677" s="24" t="n"/>
      <c r="S4677" s="22">
        <f>IF(AND($A4677="",$C4677=""),"",IF($A4677="","Thiếu mã đơn; ","")&amp;IF(COUNTIF($A$2:$A4677,$A4677)&gt;1,"Trùng mã đơn; ","")&amp;IF(ISNA(MATCH($C4677,DATA_MASTER!$D$2:$D$5000,0)),"SĐT chưa đăng ký hội viên; ","")&amp;IF(AND($L4677="Đã chuyển khoản",$M4677=""),"Thiếu ngày nhận CK; ",""))</f>
        <v/>
      </c>
      <c r="T4677" s="24" t="n"/>
    </row>
    <row r="4678" ht="14.25" customHeight="1" s="40">
      <c r="A4678" s="24" t="n"/>
      <c r="B4678" s="29" t="n"/>
      <c r="C4678" s="28" t="n"/>
      <c r="D4678" s="22">
        <f t="array" ref="D4678">IF($C4678="","",IFERROR(INDEX(DATA_MASTER!$C$2:$C$5000,MATCH($C4678,DATA_MASTER!$D$2:$D$5000,0)),""))</f>
        <v/>
      </c>
      <c r="E4678" s="22">
        <f t="array" ref="E4678">IF($C4678="","",IFERROR(INDEX(DATA_MASTER!$I$2:$I$5000,MATCH($C4678,DATA_MASTER!$D$2:$D$5000,0)),""))</f>
        <v/>
      </c>
      <c r="F4678" s="22">
        <f t="array" ref="F4678">IF($C4678="","",IFERROR(INDEX(DATA_MASTER!$L$2:$L$5000,MATCH($C4678,DATA_MASTER!$D$2:$D$5000,0)),""))</f>
        <v/>
      </c>
      <c r="G4678" s="24" t="n"/>
      <c r="H4678" s="24" t="n"/>
      <c r="I4678" s="30" t="n"/>
      <c r="J4678" s="23">
        <f>IF(OR($H4678="",$I4678=""),"",$H4678*$I4678)</f>
        <v/>
      </c>
      <c r="K4678" s="24" t="n"/>
      <c r="L4678" s="24" t="n"/>
      <c r="M4678" s="29" t="n"/>
      <c r="N4678" s="28" t="n"/>
      <c r="O4678" s="24" t="n"/>
      <c r="P4678" s="24" t="n"/>
      <c r="Q4678" s="24" t="n"/>
      <c r="R4678" s="24" t="n"/>
      <c r="S4678" s="22">
        <f>IF(AND($A4678="",$C4678=""),"",IF($A4678="","Thiếu mã đơn; ","")&amp;IF(COUNTIF($A$2:$A4678,$A4678)&gt;1,"Trùng mã đơn; ","")&amp;IF(ISNA(MATCH($C4678,DATA_MASTER!$D$2:$D$5000,0)),"SĐT chưa đăng ký hội viên; ","")&amp;IF(AND($L4678="Đã chuyển khoản",$M4678=""),"Thiếu ngày nhận CK; ",""))</f>
        <v/>
      </c>
      <c r="T4678" s="24" t="n"/>
    </row>
    <row r="4679" ht="14.25" customHeight="1" s="40">
      <c r="A4679" s="24" t="n"/>
      <c r="B4679" s="29" t="n"/>
      <c r="C4679" s="28" t="n"/>
      <c r="D4679" s="22">
        <f t="array" ref="D4679">IF($C4679="","",IFERROR(INDEX(DATA_MASTER!$C$2:$C$5000,MATCH($C4679,DATA_MASTER!$D$2:$D$5000,0)),""))</f>
        <v/>
      </c>
      <c r="E4679" s="22">
        <f t="array" ref="E4679">IF($C4679="","",IFERROR(INDEX(DATA_MASTER!$I$2:$I$5000,MATCH($C4679,DATA_MASTER!$D$2:$D$5000,0)),""))</f>
        <v/>
      </c>
      <c r="F4679" s="22">
        <f t="array" ref="F4679">IF($C4679="","",IFERROR(INDEX(DATA_MASTER!$L$2:$L$5000,MATCH($C4679,DATA_MASTER!$D$2:$D$5000,0)),""))</f>
        <v/>
      </c>
      <c r="G4679" s="24" t="n"/>
      <c r="H4679" s="24" t="n"/>
      <c r="I4679" s="30" t="n"/>
      <c r="J4679" s="23">
        <f>IF(OR($H4679="",$I4679=""),"",$H4679*$I4679)</f>
        <v/>
      </c>
      <c r="K4679" s="24" t="n"/>
      <c r="L4679" s="24" t="n"/>
      <c r="M4679" s="29" t="n"/>
      <c r="N4679" s="28" t="n"/>
      <c r="O4679" s="24" t="n"/>
      <c r="P4679" s="24" t="n"/>
      <c r="Q4679" s="24" t="n"/>
      <c r="R4679" s="24" t="n"/>
      <c r="S4679" s="22">
        <f>IF(AND($A4679="",$C4679=""),"",IF($A4679="","Thiếu mã đơn; ","")&amp;IF(COUNTIF($A$2:$A4679,$A4679)&gt;1,"Trùng mã đơn; ","")&amp;IF(ISNA(MATCH($C4679,DATA_MASTER!$D$2:$D$5000,0)),"SĐT chưa đăng ký hội viên; ","")&amp;IF(AND($L4679="Đã chuyển khoản",$M4679=""),"Thiếu ngày nhận CK; ",""))</f>
        <v/>
      </c>
      <c r="T4679" s="24" t="n"/>
    </row>
    <row r="4680" ht="14.25" customHeight="1" s="40">
      <c r="A4680" s="24" t="n"/>
      <c r="B4680" s="29" t="n"/>
      <c r="C4680" s="28" t="n"/>
      <c r="D4680" s="22">
        <f t="array" ref="D4680">IF($C4680="","",IFERROR(INDEX(DATA_MASTER!$C$2:$C$5000,MATCH($C4680,DATA_MASTER!$D$2:$D$5000,0)),""))</f>
        <v/>
      </c>
      <c r="E4680" s="22">
        <f t="array" ref="E4680">IF($C4680="","",IFERROR(INDEX(DATA_MASTER!$I$2:$I$5000,MATCH($C4680,DATA_MASTER!$D$2:$D$5000,0)),""))</f>
        <v/>
      </c>
      <c r="F4680" s="22">
        <f t="array" ref="F4680">IF($C4680="","",IFERROR(INDEX(DATA_MASTER!$L$2:$L$5000,MATCH($C4680,DATA_MASTER!$D$2:$D$5000,0)),""))</f>
        <v/>
      </c>
      <c r="G4680" s="24" t="n"/>
      <c r="H4680" s="24" t="n"/>
      <c r="I4680" s="30" t="n"/>
      <c r="J4680" s="23">
        <f>IF(OR($H4680="",$I4680=""),"",$H4680*$I4680)</f>
        <v/>
      </c>
      <c r="K4680" s="24" t="n"/>
      <c r="L4680" s="24" t="n"/>
      <c r="M4680" s="29" t="n"/>
      <c r="N4680" s="28" t="n"/>
      <c r="O4680" s="24" t="n"/>
      <c r="P4680" s="24" t="n"/>
      <c r="Q4680" s="24" t="n"/>
      <c r="R4680" s="24" t="n"/>
      <c r="S4680" s="22">
        <f>IF(AND($A4680="",$C4680=""),"",IF($A4680="","Thiếu mã đơn; ","")&amp;IF(COUNTIF($A$2:$A4680,$A4680)&gt;1,"Trùng mã đơn; ","")&amp;IF(ISNA(MATCH($C4680,DATA_MASTER!$D$2:$D$5000,0)),"SĐT chưa đăng ký hội viên; ","")&amp;IF(AND($L4680="Đã chuyển khoản",$M4680=""),"Thiếu ngày nhận CK; ",""))</f>
        <v/>
      </c>
      <c r="T4680" s="24" t="n"/>
    </row>
    <row r="4681" ht="14.25" customHeight="1" s="40">
      <c r="A4681" s="24" t="n"/>
      <c r="B4681" s="29" t="n"/>
      <c r="C4681" s="28" t="n"/>
      <c r="D4681" s="22">
        <f t="array" ref="D4681">IF($C4681="","",IFERROR(INDEX(DATA_MASTER!$C$2:$C$5000,MATCH($C4681,DATA_MASTER!$D$2:$D$5000,0)),""))</f>
        <v/>
      </c>
      <c r="E4681" s="22">
        <f t="array" ref="E4681">IF($C4681="","",IFERROR(INDEX(DATA_MASTER!$I$2:$I$5000,MATCH($C4681,DATA_MASTER!$D$2:$D$5000,0)),""))</f>
        <v/>
      </c>
      <c r="F4681" s="22">
        <f t="array" ref="F4681">IF($C4681="","",IFERROR(INDEX(DATA_MASTER!$L$2:$L$5000,MATCH($C4681,DATA_MASTER!$D$2:$D$5000,0)),""))</f>
        <v/>
      </c>
      <c r="G4681" s="24" t="n"/>
      <c r="H4681" s="24" t="n"/>
      <c r="I4681" s="30" t="n"/>
      <c r="J4681" s="23">
        <f>IF(OR($H4681="",$I4681=""),"",$H4681*$I4681)</f>
        <v/>
      </c>
      <c r="K4681" s="24" t="n"/>
      <c r="L4681" s="24" t="n"/>
      <c r="M4681" s="29" t="n"/>
      <c r="N4681" s="28" t="n"/>
      <c r="O4681" s="24" t="n"/>
      <c r="P4681" s="24" t="n"/>
      <c r="Q4681" s="24" t="n"/>
      <c r="R4681" s="24" t="n"/>
      <c r="S4681" s="22">
        <f>IF(AND($A4681="",$C4681=""),"",IF($A4681="","Thiếu mã đơn; ","")&amp;IF(COUNTIF($A$2:$A4681,$A4681)&gt;1,"Trùng mã đơn; ","")&amp;IF(ISNA(MATCH($C4681,DATA_MASTER!$D$2:$D$5000,0)),"SĐT chưa đăng ký hội viên; ","")&amp;IF(AND($L4681="Đã chuyển khoản",$M4681=""),"Thiếu ngày nhận CK; ",""))</f>
        <v/>
      </c>
      <c r="T4681" s="24" t="n"/>
    </row>
    <row r="4682" ht="14.25" customHeight="1" s="40">
      <c r="A4682" s="24" t="n"/>
      <c r="B4682" s="29" t="n"/>
      <c r="C4682" s="28" t="n"/>
      <c r="D4682" s="22">
        <f t="array" ref="D4682">IF($C4682="","",IFERROR(INDEX(DATA_MASTER!$C$2:$C$5000,MATCH($C4682,DATA_MASTER!$D$2:$D$5000,0)),""))</f>
        <v/>
      </c>
      <c r="E4682" s="22">
        <f t="array" ref="E4682">IF($C4682="","",IFERROR(INDEX(DATA_MASTER!$I$2:$I$5000,MATCH($C4682,DATA_MASTER!$D$2:$D$5000,0)),""))</f>
        <v/>
      </c>
      <c r="F4682" s="22">
        <f t="array" ref="F4682">IF($C4682="","",IFERROR(INDEX(DATA_MASTER!$L$2:$L$5000,MATCH($C4682,DATA_MASTER!$D$2:$D$5000,0)),""))</f>
        <v/>
      </c>
      <c r="G4682" s="24" t="n"/>
      <c r="H4682" s="24" t="n"/>
      <c r="I4682" s="30" t="n"/>
      <c r="J4682" s="23">
        <f>IF(OR($H4682="",$I4682=""),"",$H4682*$I4682)</f>
        <v/>
      </c>
      <c r="K4682" s="24" t="n"/>
      <c r="L4682" s="24" t="n"/>
      <c r="M4682" s="29" t="n"/>
      <c r="N4682" s="28" t="n"/>
      <c r="O4682" s="24" t="n"/>
      <c r="P4682" s="24" t="n"/>
      <c r="Q4682" s="24" t="n"/>
      <c r="R4682" s="24" t="n"/>
      <c r="S4682" s="22">
        <f>IF(AND($A4682="",$C4682=""),"",IF($A4682="","Thiếu mã đơn; ","")&amp;IF(COUNTIF($A$2:$A4682,$A4682)&gt;1,"Trùng mã đơn; ","")&amp;IF(ISNA(MATCH($C4682,DATA_MASTER!$D$2:$D$5000,0)),"SĐT chưa đăng ký hội viên; ","")&amp;IF(AND($L4682="Đã chuyển khoản",$M4682=""),"Thiếu ngày nhận CK; ",""))</f>
        <v/>
      </c>
      <c r="T4682" s="24" t="n"/>
    </row>
    <row r="4683" ht="14.25" customHeight="1" s="40">
      <c r="A4683" s="24" t="n"/>
      <c r="B4683" s="29" t="n"/>
      <c r="C4683" s="28" t="n"/>
      <c r="D4683" s="22">
        <f t="array" ref="D4683">IF($C4683="","",IFERROR(INDEX(DATA_MASTER!$C$2:$C$5000,MATCH($C4683,DATA_MASTER!$D$2:$D$5000,0)),""))</f>
        <v/>
      </c>
      <c r="E4683" s="22">
        <f t="array" ref="E4683">IF($C4683="","",IFERROR(INDEX(DATA_MASTER!$I$2:$I$5000,MATCH($C4683,DATA_MASTER!$D$2:$D$5000,0)),""))</f>
        <v/>
      </c>
      <c r="F4683" s="22">
        <f t="array" ref="F4683">IF($C4683="","",IFERROR(INDEX(DATA_MASTER!$L$2:$L$5000,MATCH($C4683,DATA_MASTER!$D$2:$D$5000,0)),""))</f>
        <v/>
      </c>
      <c r="G4683" s="24" t="n"/>
      <c r="H4683" s="24" t="n"/>
      <c r="I4683" s="30" t="n"/>
      <c r="J4683" s="23">
        <f>IF(OR($H4683="",$I4683=""),"",$H4683*$I4683)</f>
        <v/>
      </c>
      <c r="K4683" s="24" t="n"/>
      <c r="L4683" s="24" t="n"/>
      <c r="M4683" s="29" t="n"/>
      <c r="N4683" s="28" t="n"/>
      <c r="O4683" s="24" t="n"/>
      <c r="P4683" s="24" t="n"/>
      <c r="Q4683" s="24" t="n"/>
      <c r="R4683" s="24" t="n"/>
      <c r="S4683" s="22">
        <f>IF(AND($A4683="",$C4683=""),"",IF($A4683="","Thiếu mã đơn; ","")&amp;IF(COUNTIF($A$2:$A4683,$A4683)&gt;1,"Trùng mã đơn; ","")&amp;IF(ISNA(MATCH($C4683,DATA_MASTER!$D$2:$D$5000,0)),"SĐT chưa đăng ký hội viên; ","")&amp;IF(AND($L4683="Đã chuyển khoản",$M4683=""),"Thiếu ngày nhận CK; ",""))</f>
        <v/>
      </c>
      <c r="T4683" s="24" t="n"/>
    </row>
    <row r="4684" ht="14.25" customHeight="1" s="40">
      <c r="A4684" s="24" t="n"/>
      <c r="B4684" s="29" t="n"/>
      <c r="C4684" s="28" t="n"/>
      <c r="D4684" s="22">
        <f t="array" ref="D4684">IF($C4684="","",IFERROR(INDEX(DATA_MASTER!$C$2:$C$5000,MATCH($C4684,DATA_MASTER!$D$2:$D$5000,0)),""))</f>
        <v/>
      </c>
      <c r="E4684" s="22">
        <f t="array" ref="E4684">IF($C4684="","",IFERROR(INDEX(DATA_MASTER!$I$2:$I$5000,MATCH($C4684,DATA_MASTER!$D$2:$D$5000,0)),""))</f>
        <v/>
      </c>
      <c r="F4684" s="22">
        <f t="array" ref="F4684">IF($C4684="","",IFERROR(INDEX(DATA_MASTER!$L$2:$L$5000,MATCH($C4684,DATA_MASTER!$D$2:$D$5000,0)),""))</f>
        <v/>
      </c>
      <c r="G4684" s="24" t="n"/>
      <c r="H4684" s="24" t="n"/>
      <c r="I4684" s="30" t="n"/>
      <c r="J4684" s="23">
        <f>IF(OR($H4684="",$I4684=""),"",$H4684*$I4684)</f>
        <v/>
      </c>
      <c r="K4684" s="24" t="n"/>
      <c r="L4684" s="24" t="n"/>
      <c r="M4684" s="29" t="n"/>
      <c r="N4684" s="28" t="n"/>
      <c r="O4684" s="24" t="n"/>
      <c r="P4684" s="24" t="n"/>
      <c r="Q4684" s="24" t="n"/>
      <c r="R4684" s="24" t="n"/>
      <c r="S4684" s="22">
        <f>IF(AND($A4684="",$C4684=""),"",IF($A4684="","Thiếu mã đơn; ","")&amp;IF(COUNTIF($A$2:$A4684,$A4684)&gt;1,"Trùng mã đơn; ","")&amp;IF(ISNA(MATCH($C4684,DATA_MASTER!$D$2:$D$5000,0)),"SĐT chưa đăng ký hội viên; ","")&amp;IF(AND($L4684="Đã chuyển khoản",$M4684=""),"Thiếu ngày nhận CK; ",""))</f>
        <v/>
      </c>
      <c r="T4684" s="24" t="n"/>
    </row>
    <row r="4685" ht="14.25" customHeight="1" s="40">
      <c r="A4685" s="24" t="n"/>
      <c r="B4685" s="29" t="n"/>
      <c r="C4685" s="28" t="n"/>
      <c r="D4685" s="22">
        <f t="array" ref="D4685">IF($C4685="","",IFERROR(INDEX(DATA_MASTER!$C$2:$C$5000,MATCH($C4685,DATA_MASTER!$D$2:$D$5000,0)),""))</f>
        <v/>
      </c>
      <c r="E4685" s="22">
        <f t="array" ref="E4685">IF($C4685="","",IFERROR(INDEX(DATA_MASTER!$I$2:$I$5000,MATCH($C4685,DATA_MASTER!$D$2:$D$5000,0)),""))</f>
        <v/>
      </c>
      <c r="F4685" s="22">
        <f t="array" ref="F4685">IF($C4685="","",IFERROR(INDEX(DATA_MASTER!$L$2:$L$5000,MATCH($C4685,DATA_MASTER!$D$2:$D$5000,0)),""))</f>
        <v/>
      </c>
      <c r="G4685" s="24" t="n"/>
      <c r="H4685" s="24" t="n"/>
      <c r="I4685" s="30" t="n"/>
      <c r="J4685" s="23">
        <f>IF(OR($H4685="",$I4685=""),"",$H4685*$I4685)</f>
        <v/>
      </c>
      <c r="K4685" s="24" t="n"/>
      <c r="L4685" s="24" t="n"/>
      <c r="M4685" s="29" t="n"/>
      <c r="N4685" s="28" t="n"/>
      <c r="O4685" s="24" t="n"/>
      <c r="P4685" s="24" t="n"/>
      <c r="Q4685" s="24" t="n"/>
      <c r="R4685" s="24" t="n"/>
      <c r="S4685" s="22">
        <f>IF(AND($A4685="",$C4685=""),"",IF($A4685="","Thiếu mã đơn; ","")&amp;IF(COUNTIF($A$2:$A4685,$A4685)&gt;1,"Trùng mã đơn; ","")&amp;IF(ISNA(MATCH($C4685,DATA_MASTER!$D$2:$D$5000,0)),"SĐT chưa đăng ký hội viên; ","")&amp;IF(AND($L4685="Đã chuyển khoản",$M4685=""),"Thiếu ngày nhận CK; ",""))</f>
        <v/>
      </c>
      <c r="T4685" s="24" t="n"/>
    </row>
    <row r="4686" ht="14.25" customHeight="1" s="40">
      <c r="A4686" s="24" t="n"/>
      <c r="B4686" s="29" t="n"/>
      <c r="C4686" s="28" t="n"/>
      <c r="D4686" s="22">
        <f t="array" ref="D4686">IF($C4686="","",IFERROR(INDEX(DATA_MASTER!$C$2:$C$5000,MATCH($C4686,DATA_MASTER!$D$2:$D$5000,0)),""))</f>
        <v/>
      </c>
      <c r="E4686" s="22">
        <f t="array" ref="E4686">IF($C4686="","",IFERROR(INDEX(DATA_MASTER!$I$2:$I$5000,MATCH($C4686,DATA_MASTER!$D$2:$D$5000,0)),""))</f>
        <v/>
      </c>
      <c r="F4686" s="22">
        <f t="array" ref="F4686">IF($C4686="","",IFERROR(INDEX(DATA_MASTER!$L$2:$L$5000,MATCH($C4686,DATA_MASTER!$D$2:$D$5000,0)),""))</f>
        <v/>
      </c>
      <c r="G4686" s="24" t="n"/>
      <c r="H4686" s="24" t="n"/>
      <c r="I4686" s="30" t="n"/>
      <c r="J4686" s="23">
        <f>IF(OR($H4686="",$I4686=""),"",$H4686*$I4686)</f>
        <v/>
      </c>
      <c r="K4686" s="24" t="n"/>
      <c r="L4686" s="24" t="n"/>
      <c r="M4686" s="29" t="n"/>
      <c r="N4686" s="28" t="n"/>
      <c r="O4686" s="24" t="n"/>
      <c r="P4686" s="24" t="n"/>
      <c r="Q4686" s="24" t="n"/>
      <c r="R4686" s="24" t="n"/>
      <c r="S4686" s="22">
        <f>IF(AND($A4686="",$C4686=""),"",IF($A4686="","Thiếu mã đơn; ","")&amp;IF(COUNTIF($A$2:$A4686,$A4686)&gt;1,"Trùng mã đơn; ","")&amp;IF(ISNA(MATCH($C4686,DATA_MASTER!$D$2:$D$5000,0)),"SĐT chưa đăng ký hội viên; ","")&amp;IF(AND($L4686="Đã chuyển khoản",$M4686=""),"Thiếu ngày nhận CK; ",""))</f>
        <v/>
      </c>
      <c r="T4686" s="24" t="n"/>
    </row>
    <row r="4687" ht="14.25" customHeight="1" s="40">
      <c r="A4687" s="24" t="n"/>
      <c r="B4687" s="29" t="n"/>
      <c r="C4687" s="28" t="n"/>
      <c r="D4687" s="22">
        <f t="array" ref="D4687">IF($C4687="","",IFERROR(INDEX(DATA_MASTER!$C$2:$C$5000,MATCH($C4687,DATA_MASTER!$D$2:$D$5000,0)),""))</f>
        <v/>
      </c>
      <c r="E4687" s="22">
        <f t="array" ref="E4687">IF($C4687="","",IFERROR(INDEX(DATA_MASTER!$I$2:$I$5000,MATCH($C4687,DATA_MASTER!$D$2:$D$5000,0)),""))</f>
        <v/>
      </c>
      <c r="F4687" s="22">
        <f t="array" ref="F4687">IF($C4687="","",IFERROR(INDEX(DATA_MASTER!$L$2:$L$5000,MATCH($C4687,DATA_MASTER!$D$2:$D$5000,0)),""))</f>
        <v/>
      </c>
      <c r="G4687" s="24" t="n"/>
      <c r="H4687" s="24" t="n"/>
      <c r="I4687" s="30" t="n"/>
      <c r="J4687" s="23">
        <f>IF(OR($H4687="",$I4687=""),"",$H4687*$I4687)</f>
        <v/>
      </c>
      <c r="K4687" s="24" t="n"/>
      <c r="L4687" s="24" t="n"/>
      <c r="M4687" s="29" t="n"/>
      <c r="N4687" s="28" t="n"/>
      <c r="O4687" s="24" t="n"/>
      <c r="P4687" s="24" t="n"/>
      <c r="Q4687" s="24" t="n"/>
      <c r="R4687" s="24" t="n"/>
      <c r="S4687" s="22">
        <f>IF(AND($A4687="",$C4687=""),"",IF($A4687="","Thiếu mã đơn; ","")&amp;IF(COUNTIF($A$2:$A4687,$A4687)&gt;1,"Trùng mã đơn; ","")&amp;IF(ISNA(MATCH($C4687,DATA_MASTER!$D$2:$D$5000,0)),"SĐT chưa đăng ký hội viên; ","")&amp;IF(AND($L4687="Đã chuyển khoản",$M4687=""),"Thiếu ngày nhận CK; ",""))</f>
        <v/>
      </c>
      <c r="T4687" s="24" t="n"/>
    </row>
    <row r="4688" ht="14.25" customHeight="1" s="40">
      <c r="A4688" s="24" t="n"/>
      <c r="B4688" s="29" t="n"/>
      <c r="C4688" s="28" t="n"/>
      <c r="D4688" s="22">
        <f t="array" ref="D4688">IF($C4688="","",IFERROR(INDEX(DATA_MASTER!$C$2:$C$5000,MATCH($C4688,DATA_MASTER!$D$2:$D$5000,0)),""))</f>
        <v/>
      </c>
      <c r="E4688" s="22">
        <f t="array" ref="E4688">IF($C4688="","",IFERROR(INDEX(DATA_MASTER!$I$2:$I$5000,MATCH($C4688,DATA_MASTER!$D$2:$D$5000,0)),""))</f>
        <v/>
      </c>
      <c r="F4688" s="22">
        <f t="array" ref="F4688">IF($C4688="","",IFERROR(INDEX(DATA_MASTER!$L$2:$L$5000,MATCH($C4688,DATA_MASTER!$D$2:$D$5000,0)),""))</f>
        <v/>
      </c>
      <c r="G4688" s="24" t="n"/>
      <c r="H4688" s="24" t="n"/>
      <c r="I4688" s="30" t="n"/>
      <c r="J4688" s="23">
        <f>IF(OR($H4688="",$I4688=""),"",$H4688*$I4688)</f>
        <v/>
      </c>
      <c r="K4688" s="24" t="n"/>
      <c r="L4688" s="24" t="n"/>
      <c r="M4688" s="29" t="n"/>
      <c r="N4688" s="28" t="n"/>
      <c r="O4688" s="24" t="n"/>
      <c r="P4688" s="24" t="n"/>
      <c r="Q4688" s="24" t="n"/>
      <c r="R4688" s="24" t="n"/>
      <c r="S4688" s="22">
        <f>IF(AND($A4688="",$C4688=""),"",IF($A4688="","Thiếu mã đơn; ","")&amp;IF(COUNTIF($A$2:$A4688,$A4688)&gt;1,"Trùng mã đơn; ","")&amp;IF(ISNA(MATCH($C4688,DATA_MASTER!$D$2:$D$5000,0)),"SĐT chưa đăng ký hội viên; ","")&amp;IF(AND($L4688="Đã chuyển khoản",$M4688=""),"Thiếu ngày nhận CK; ",""))</f>
        <v/>
      </c>
      <c r="T4688" s="24" t="n"/>
    </row>
    <row r="4689" ht="14.25" customHeight="1" s="40">
      <c r="A4689" s="24" t="n"/>
      <c r="B4689" s="29" t="n"/>
      <c r="C4689" s="28" t="n"/>
      <c r="D4689" s="22">
        <f t="array" ref="D4689">IF($C4689="","",IFERROR(INDEX(DATA_MASTER!$C$2:$C$5000,MATCH($C4689,DATA_MASTER!$D$2:$D$5000,0)),""))</f>
        <v/>
      </c>
      <c r="E4689" s="22">
        <f t="array" ref="E4689">IF($C4689="","",IFERROR(INDEX(DATA_MASTER!$I$2:$I$5000,MATCH($C4689,DATA_MASTER!$D$2:$D$5000,0)),""))</f>
        <v/>
      </c>
      <c r="F4689" s="22">
        <f t="array" ref="F4689">IF($C4689="","",IFERROR(INDEX(DATA_MASTER!$L$2:$L$5000,MATCH($C4689,DATA_MASTER!$D$2:$D$5000,0)),""))</f>
        <v/>
      </c>
      <c r="G4689" s="24" t="n"/>
      <c r="H4689" s="24" t="n"/>
      <c r="I4689" s="30" t="n"/>
      <c r="J4689" s="23">
        <f>IF(OR($H4689="",$I4689=""),"",$H4689*$I4689)</f>
        <v/>
      </c>
      <c r="K4689" s="24" t="n"/>
      <c r="L4689" s="24" t="n"/>
      <c r="M4689" s="29" t="n"/>
      <c r="N4689" s="28" t="n"/>
      <c r="O4689" s="24" t="n"/>
      <c r="P4689" s="24" t="n"/>
      <c r="Q4689" s="24" t="n"/>
      <c r="R4689" s="24" t="n"/>
      <c r="S4689" s="22">
        <f>IF(AND($A4689="",$C4689=""),"",IF($A4689="","Thiếu mã đơn; ","")&amp;IF(COUNTIF($A$2:$A4689,$A4689)&gt;1,"Trùng mã đơn; ","")&amp;IF(ISNA(MATCH($C4689,DATA_MASTER!$D$2:$D$5000,0)),"SĐT chưa đăng ký hội viên; ","")&amp;IF(AND($L4689="Đã chuyển khoản",$M4689=""),"Thiếu ngày nhận CK; ",""))</f>
        <v/>
      </c>
      <c r="T4689" s="24" t="n"/>
    </row>
    <row r="4690" ht="14.25" customHeight="1" s="40">
      <c r="A4690" s="24" t="n"/>
      <c r="B4690" s="29" t="n"/>
      <c r="C4690" s="28" t="n"/>
      <c r="D4690" s="22">
        <f t="array" ref="D4690">IF($C4690="","",IFERROR(INDEX(DATA_MASTER!$C$2:$C$5000,MATCH($C4690,DATA_MASTER!$D$2:$D$5000,0)),""))</f>
        <v/>
      </c>
      <c r="E4690" s="22">
        <f t="array" ref="E4690">IF($C4690="","",IFERROR(INDEX(DATA_MASTER!$I$2:$I$5000,MATCH($C4690,DATA_MASTER!$D$2:$D$5000,0)),""))</f>
        <v/>
      </c>
      <c r="F4690" s="22">
        <f t="array" ref="F4690">IF($C4690="","",IFERROR(INDEX(DATA_MASTER!$L$2:$L$5000,MATCH($C4690,DATA_MASTER!$D$2:$D$5000,0)),""))</f>
        <v/>
      </c>
      <c r="G4690" s="24" t="n"/>
      <c r="H4690" s="24" t="n"/>
      <c r="I4690" s="30" t="n"/>
      <c r="J4690" s="23">
        <f>IF(OR($H4690="",$I4690=""),"",$H4690*$I4690)</f>
        <v/>
      </c>
      <c r="K4690" s="24" t="n"/>
      <c r="L4690" s="24" t="n"/>
      <c r="M4690" s="29" t="n"/>
      <c r="N4690" s="28" t="n"/>
      <c r="O4690" s="24" t="n"/>
      <c r="P4690" s="24" t="n"/>
      <c r="Q4690" s="24" t="n"/>
      <c r="R4690" s="24" t="n"/>
      <c r="S4690" s="22">
        <f>IF(AND($A4690="",$C4690=""),"",IF($A4690="","Thiếu mã đơn; ","")&amp;IF(COUNTIF($A$2:$A4690,$A4690)&gt;1,"Trùng mã đơn; ","")&amp;IF(ISNA(MATCH($C4690,DATA_MASTER!$D$2:$D$5000,0)),"SĐT chưa đăng ký hội viên; ","")&amp;IF(AND($L4690="Đã chuyển khoản",$M4690=""),"Thiếu ngày nhận CK; ",""))</f>
        <v/>
      </c>
      <c r="T4690" s="24" t="n"/>
    </row>
    <row r="4691" ht="14.25" customHeight="1" s="40">
      <c r="A4691" s="24" t="n"/>
      <c r="B4691" s="29" t="n"/>
      <c r="C4691" s="28" t="n"/>
      <c r="D4691" s="22">
        <f t="array" ref="D4691">IF($C4691="","",IFERROR(INDEX(DATA_MASTER!$C$2:$C$5000,MATCH($C4691,DATA_MASTER!$D$2:$D$5000,0)),""))</f>
        <v/>
      </c>
      <c r="E4691" s="22">
        <f t="array" ref="E4691">IF($C4691="","",IFERROR(INDEX(DATA_MASTER!$I$2:$I$5000,MATCH($C4691,DATA_MASTER!$D$2:$D$5000,0)),""))</f>
        <v/>
      </c>
      <c r="F4691" s="22">
        <f t="array" ref="F4691">IF($C4691="","",IFERROR(INDEX(DATA_MASTER!$L$2:$L$5000,MATCH($C4691,DATA_MASTER!$D$2:$D$5000,0)),""))</f>
        <v/>
      </c>
      <c r="G4691" s="24" t="n"/>
      <c r="H4691" s="24" t="n"/>
      <c r="I4691" s="30" t="n"/>
      <c r="J4691" s="23">
        <f>IF(OR($H4691="",$I4691=""),"",$H4691*$I4691)</f>
        <v/>
      </c>
      <c r="K4691" s="24" t="n"/>
      <c r="L4691" s="24" t="n"/>
      <c r="M4691" s="29" t="n"/>
      <c r="N4691" s="28" t="n"/>
      <c r="O4691" s="24" t="n"/>
      <c r="P4691" s="24" t="n"/>
      <c r="Q4691" s="24" t="n"/>
      <c r="R4691" s="24" t="n"/>
      <c r="S4691" s="22">
        <f>IF(AND($A4691="",$C4691=""),"",IF($A4691="","Thiếu mã đơn; ","")&amp;IF(COUNTIF($A$2:$A4691,$A4691)&gt;1,"Trùng mã đơn; ","")&amp;IF(ISNA(MATCH($C4691,DATA_MASTER!$D$2:$D$5000,0)),"SĐT chưa đăng ký hội viên; ","")&amp;IF(AND($L4691="Đã chuyển khoản",$M4691=""),"Thiếu ngày nhận CK; ",""))</f>
        <v/>
      </c>
      <c r="T4691" s="24" t="n"/>
    </row>
    <row r="4692" ht="14.25" customHeight="1" s="40">
      <c r="A4692" s="24" t="n"/>
      <c r="B4692" s="29" t="n"/>
      <c r="C4692" s="28" t="n"/>
      <c r="D4692" s="22">
        <f t="array" ref="D4692">IF($C4692="","",IFERROR(INDEX(DATA_MASTER!$C$2:$C$5000,MATCH($C4692,DATA_MASTER!$D$2:$D$5000,0)),""))</f>
        <v/>
      </c>
      <c r="E4692" s="22">
        <f t="array" ref="E4692">IF($C4692="","",IFERROR(INDEX(DATA_MASTER!$I$2:$I$5000,MATCH($C4692,DATA_MASTER!$D$2:$D$5000,0)),""))</f>
        <v/>
      </c>
      <c r="F4692" s="22">
        <f t="array" ref="F4692">IF($C4692="","",IFERROR(INDEX(DATA_MASTER!$L$2:$L$5000,MATCH($C4692,DATA_MASTER!$D$2:$D$5000,0)),""))</f>
        <v/>
      </c>
      <c r="G4692" s="24" t="n"/>
      <c r="H4692" s="24" t="n"/>
      <c r="I4692" s="30" t="n"/>
      <c r="J4692" s="23">
        <f>IF(OR($H4692="",$I4692=""),"",$H4692*$I4692)</f>
        <v/>
      </c>
      <c r="K4692" s="24" t="n"/>
      <c r="L4692" s="24" t="n"/>
      <c r="M4692" s="29" t="n"/>
      <c r="N4692" s="28" t="n"/>
      <c r="O4692" s="24" t="n"/>
      <c r="P4692" s="24" t="n"/>
      <c r="Q4692" s="24" t="n"/>
      <c r="R4692" s="24" t="n"/>
      <c r="S4692" s="22">
        <f>IF(AND($A4692="",$C4692=""),"",IF($A4692="","Thiếu mã đơn; ","")&amp;IF(COUNTIF($A$2:$A4692,$A4692)&gt;1,"Trùng mã đơn; ","")&amp;IF(ISNA(MATCH($C4692,DATA_MASTER!$D$2:$D$5000,0)),"SĐT chưa đăng ký hội viên; ","")&amp;IF(AND($L4692="Đã chuyển khoản",$M4692=""),"Thiếu ngày nhận CK; ",""))</f>
        <v/>
      </c>
      <c r="T4692" s="24" t="n"/>
    </row>
    <row r="4693" ht="14.25" customHeight="1" s="40">
      <c r="A4693" s="24" t="n"/>
      <c r="B4693" s="29" t="n"/>
      <c r="C4693" s="28" t="n"/>
      <c r="D4693" s="22">
        <f t="array" ref="D4693">IF($C4693="","",IFERROR(INDEX(DATA_MASTER!$C$2:$C$5000,MATCH($C4693,DATA_MASTER!$D$2:$D$5000,0)),""))</f>
        <v/>
      </c>
      <c r="E4693" s="22">
        <f t="array" ref="E4693">IF($C4693="","",IFERROR(INDEX(DATA_MASTER!$I$2:$I$5000,MATCH($C4693,DATA_MASTER!$D$2:$D$5000,0)),""))</f>
        <v/>
      </c>
      <c r="F4693" s="22">
        <f t="array" ref="F4693">IF($C4693="","",IFERROR(INDEX(DATA_MASTER!$L$2:$L$5000,MATCH($C4693,DATA_MASTER!$D$2:$D$5000,0)),""))</f>
        <v/>
      </c>
      <c r="G4693" s="24" t="n"/>
      <c r="H4693" s="24" t="n"/>
      <c r="I4693" s="30" t="n"/>
      <c r="J4693" s="23">
        <f>IF(OR($H4693="",$I4693=""),"",$H4693*$I4693)</f>
        <v/>
      </c>
      <c r="K4693" s="24" t="n"/>
      <c r="L4693" s="24" t="n"/>
      <c r="M4693" s="29" t="n"/>
      <c r="N4693" s="28" t="n"/>
      <c r="O4693" s="24" t="n"/>
      <c r="P4693" s="24" t="n"/>
      <c r="Q4693" s="24" t="n"/>
      <c r="R4693" s="24" t="n"/>
      <c r="S4693" s="22">
        <f>IF(AND($A4693="",$C4693=""),"",IF($A4693="","Thiếu mã đơn; ","")&amp;IF(COUNTIF($A$2:$A4693,$A4693)&gt;1,"Trùng mã đơn; ","")&amp;IF(ISNA(MATCH($C4693,DATA_MASTER!$D$2:$D$5000,0)),"SĐT chưa đăng ký hội viên; ","")&amp;IF(AND($L4693="Đã chuyển khoản",$M4693=""),"Thiếu ngày nhận CK; ",""))</f>
        <v/>
      </c>
      <c r="T4693" s="24" t="n"/>
    </row>
    <row r="4694" ht="14.25" customHeight="1" s="40">
      <c r="A4694" s="24" t="n"/>
      <c r="B4694" s="29" t="n"/>
      <c r="C4694" s="28" t="n"/>
      <c r="D4694" s="22">
        <f t="array" ref="D4694">IF($C4694="","",IFERROR(INDEX(DATA_MASTER!$C$2:$C$5000,MATCH($C4694,DATA_MASTER!$D$2:$D$5000,0)),""))</f>
        <v/>
      </c>
      <c r="E4694" s="22">
        <f t="array" ref="E4694">IF($C4694="","",IFERROR(INDEX(DATA_MASTER!$I$2:$I$5000,MATCH($C4694,DATA_MASTER!$D$2:$D$5000,0)),""))</f>
        <v/>
      </c>
      <c r="F4694" s="22">
        <f t="array" ref="F4694">IF($C4694="","",IFERROR(INDEX(DATA_MASTER!$L$2:$L$5000,MATCH($C4694,DATA_MASTER!$D$2:$D$5000,0)),""))</f>
        <v/>
      </c>
      <c r="G4694" s="24" t="n"/>
      <c r="H4694" s="24" t="n"/>
      <c r="I4694" s="30" t="n"/>
      <c r="J4694" s="23">
        <f>IF(OR($H4694="",$I4694=""),"",$H4694*$I4694)</f>
        <v/>
      </c>
      <c r="K4694" s="24" t="n"/>
      <c r="L4694" s="24" t="n"/>
      <c r="M4694" s="29" t="n"/>
      <c r="N4694" s="28" t="n"/>
      <c r="O4694" s="24" t="n"/>
      <c r="P4694" s="24" t="n"/>
      <c r="Q4694" s="24" t="n"/>
      <c r="R4694" s="24" t="n"/>
      <c r="S4694" s="22">
        <f>IF(AND($A4694="",$C4694=""),"",IF($A4694="","Thiếu mã đơn; ","")&amp;IF(COUNTIF($A$2:$A4694,$A4694)&gt;1,"Trùng mã đơn; ","")&amp;IF(ISNA(MATCH($C4694,DATA_MASTER!$D$2:$D$5000,0)),"SĐT chưa đăng ký hội viên; ","")&amp;IF(AND($L4694="Đã chuyển khoản",$M4694=""),"Thiếu ngày nhận CK; ",""))</f>
        <v/>
      </c>
      <c r="T4694" s="24" t="n"/>
    </row>
    <row r="4695" ht="14.25" customHeight="1" s="40">
      <c r="A4695" s="24" t="n"/>
      <c r="B4695" s="29" t="n"/>
      <c r="C4695" s="28" t="n"/>
      <c r="D4695" s="22">
        <f t="array" ref="D4695">IF($C4695="","",IFERROR(INDEX(DATA_MASTER!$C$2:$C$5000,MATCH($C4695,DATA_MASTER!$D$2:$D$5000,0)),""))</f>
        <v/>
      </c>
      <c r="E4695" s="22">
        <f t="array" ref="E4695">IF($C4695="","",IFERROR(INDEX(DATA_MASTER!$I$2:$I$5000,MATCH($C4695,DATA_MASTER!$D$2:$D$5000,0)),""))</f>
        <v/>
      </c>
      <c r="F4695" s="22">
        <f t="array" ref="F4695">IF($C4695="","",IFERROR(INDEX(DATA_MASTER!$L$2:$L$5000,MATCH($C4695,DATA_MASTER!$D$2:$D$5000,0)),""))</f>
        <v/>
      </c>
      <c r="G4695" s="24" t="n"/>
      <c r="H4695" s="24" t="n"/>
      <c r="I4695" s="30" t="n"/>
      <c r="J4695" s="23">
        <f>IF(OR($H4695="",$I4695=""),"",$H4695*$I4695)</f>
        <v/>
      </c>
      <c r="K4695" s="24" t="n"/>
      <c r="L4695" s="24" t="n"/>
      <c r="M4695" s="29" t="n"/>
      <c r="N4695" s="28" t="n"/>
      <c r="O4695" s="24" t="n"/>
      <c r="P4695" s="24" t="n"/>
      <c r="Q4695" s="24" t="n"/>
      <c r="R4695" s="24" t="n"/>
      <c r="S4695" s="22">
        <f>IF(AND($A4695="",$C4695=""),"",IF($A4695="","Thiếu mã đơn; ","")&amp;IF(COUNTIF($A$2:$A4695,$A4695)&gt;1,"Trùng mã đơn; ","")&amp;IF(ISNA(MATCH($C4695,DATA_MASTER!$D$2:$D$5000,0)),"SĐT chưa đăng ký hội viên; ","")&amp;IF(AND($L4695="Đã chuyển khoản",$M4695=""),"Thiếu ngày nhận CK; ",""))</f>
        <v/>
      </c>
      <c r="T4695" s="24" t="n"/>
    </row>
    <row r="4696" ht="14.25" customHeight="1" s="40">
      <c r="A4696" s="24" t="n"/>
      <c r="B4696" s="29" t="n"/>
      <c r="C4696" s="28" t="n"/>
      <c r="D4696" s="22">
        <f t="array" ref="D4696">IF($C4696="","",IFERROR(INDEX(DATA_MASTER!$C$2:$C$5000,MATCH($C4696,DATA_MASTER!$D$2:$D$5000,0)),""))</f>
        <v/>
      </c>
      <c r="E4696" s="22">
        <f t="array" ref="E4696">IF($C4696="","",IFERROR(INDEX(DATA_MASTER!$I$2:$I$5000,MATCH($C4696,DATA_MASTER!$D$2:$D$5000,0)),""))</f>
        <v/>
      </c>
      <c r="F4696" s="22">
        <f t="array" ref="F4696">IF($C4696="","",IFERROR(INDEX(DATA_MASTER!$L$2:$L$5000,MATCH($C4696,DATA_MASTER!$D$2:$D$5000,0)),""))</f>
        <v/>
      </c>
      <c r="G4696" s="24" t="n"/>
      <c r="H4696" s="24" t="n"/>
      <c r="I4696" s="30" t="n"/>
      <c r="J4696" s="23">
        <f>IF(OR($H4696="",$I4696=""),"",$H4696*$I4696)</f>
        <v/>
      </c>
      <c r="K4696" s="24" t="n"/>
      <c r="L4696" s="24" t="n"/>
      <c r="M4696" s="29" t="n"/>
      <c r="N4696" s="28" t="n"/>
      <c r="O4696" s="24" t="n"/>
      <c r="P4696" s="24" t="n"/>
      <c r="Q4696" s="24" t="n"/>
      <c r="R4696" s="24" t="n"/>
      <c r="S4696" s="22">
        <f>IF(AND($A4696="",$C4696=""),"",IF($A4696="","Thiếu mã đơn; ","")&amp;IF(COUNTIF($A$2:$A4696,$A4696)&gt;1,"Trùng mã đơn; ","")&amp;IF(ISNA(MATCH($C4696,DATA_MASTER!$D$2:$D$5000,0)),"SĐT chưa đăng ký hội viên; ","")&amp;IF(AND($L4696="Đã chuyển khoản",$M4696=""),"Thiếu ngày nhận CK; ",""))</f>
        <v/>
      </c>
      <c r="T4696" s="24" t="n"/>
    </row>
    <row r="4697" ht="14.25" customHeight="1" s="40">
      <c r="A4697" s="24" t="n"/>
      <c r="B4697" s="29" t="n"/>
      <c r="C4697" s="28" t="n"/>
      <c r="D4697" s="22">
        <f t="array" ref="D4697">IF($C4697="","",IFERROR(INDEX(DATA_MASTER!$C$2:$C$5000,MATCH($C4697,DATA_MASTER!$D$2:$D$5000,0)),""))</f>
        <v/>
      </c>
      <c r="E4697" s="22">
        <f t="array" ref="E4697">IF($C4697="","",IFERROR(INDEX(DATA_MASTER!$I$2:$I$5000,MATCH($C4697,DATA_MASTER!$D$2:$D$5000,0)),""))</f>
        <v/>
      </c>
      <c r="F4697" s="22">
        <f t="array" ref="F4697">IF($C4697="","",IFERROR(INDEX(DATA_MASTER!$L$2:$L$5000,MATCH($C4697,DATA_MASTER!$D$2:$D$5000,0)),""))</f>
        <v/>
      </c>
      <c r="G4697" s="24" t="n"/>
      <c r="H4697" s="24" t="n"/>
      <c r="I4697" s="30" t="n"/>
      <c r="J4697" s="23">
        <f>IF(OR($H4697="",$I4697=""),"",$H4697*$I4697)</f>
        <v/>
      </c>
      <c r="K4697" s="24" t="n"/>
      <c r="L4697" s="24" t="n"/>
      <c r="M4697" s="29" t="n"/>
      <c r="N4697" s="28" t="n"/>
      <c r="O4697" s="24" t="n"/>
      <c r="P4697" s="24" t="n"/>
      <c r="Q4697" s="24" t="n"/>
      <c r="R4697" s="24" t="n"/>
      <c r="S4697" s="22">
        <f>IF(AND($A4697="",$C4697=""),"",IF($A4697="","Thiếu mã đơn; ","")&amp;IF(COUNTIF($A$2:$A4697,$A4697)&gt;1,"Trùng mã đơn; ","")&amp;IF(ISNA(MATCH($C4697,DATA_MASTER!$D$2:$D$5000,0)),"SĐT chưa đăng ký hội viên; ","")&amp;IF(AND($L4697="Đã chuyển khoản",$M4697=""),"Thiếu ngày nhận CK; ",""))</f>
        <v/>
      </c>
      <c r="T4697" s="24" t="n"/>
    </row>
    <row r="4698" ht="14.25" customHeight="1" s="40">
      <c r="A4698" s="24" t="n"/>
      <c r="B4698" s="29" t="n"/>
      <c r="C4698" s="28" t="n"/>
      <c r="D4698" s="22">
        <f t="array" ref="D4698">IF($C4698="","",IFERROR(INDEX(DATA_MASTER!$C$2:$C$5000,MATCH($C4698,DATA_MASTER!$D$2:$D$5000,0)),""))</f>
        <v/>
      </c>
      <c r="E4698" s="22">
        <f t="array" ref="E4698">IF($C4698="","",IFERROR(INDEX(DATA_MASTER!$I$2:$I$5000,MATCH($C4698,DATA_MASTER!$D$2:$D$5000,0)),""))</f>
        <v/>
      </c>
      <c r="F4698" s="22">
        <f t="array" ref="F4698">IF($C4698="","",IFERROR(INDEX(DATA_MASTER!$L$2:$L$5000,MATCH($C4698,DATA_MASTER!$D$2:$D$5000,0)),""))</f>
        <v/>
      </c>
      <c r="G4698" s="24" t="n"/>
      <c r="H4698" s="24" t="n"/>
      <c r="I4698" s="30" t="n"/>
      <c r="J4698" s="23">
        <f>IF(OR($H4698="",$I4698=""),"",$H4698*$I4698)</f>
        <v/>
      </c>
      <c r="K4698" s="24" t="n"/>
      <c r="L4698" s="24" t="n"/>
      <c r="M4698" s="29" t="n"/>
      <c r="N4698" s="28" t="n"/>
      <c r="O4698" s="24" t="n"/>
      <c r="P4698" s="24" t="n"/>
      <c r="Q4698" s="24" t="n"/>
      <c r="R4698" s="24" t="n"/>
      <c r="S4698" s="22">
        <f>IF(AND($A4698="",$C4698=""),"",IF($A4698="","Thiếu mã đơn; ","")&amp;IF(COUNTIF($A$2:$A4698,$A4698)&gt;1,"Trùng mã đơn; ","")&amp;IF(ISNA(MATCH($C4698,DATA_MASTER!$D$2:$D$5000,0)),"SĐT chưa đăng ký hội viên; ","")&amp;IF(AND($L4698="Đã chuyển khoản",$M4698=""),"Thiếu ngày nhận CK; ",""))</f>
        <v/>
      </c>
      <c r="T4698" s="24" t="n"/>
    </row>
    <row r="4699" ht="14.25" customHeight="1" s="40">
      <c r="A4699" s="24" t="n"/>
      <c r="B4699" s="29" t="n"/>
      <c r="C4699" s="28" t="n"/>
      <c r="D4699" s="22">
        <f t="array" ref="D4699">IF($C4699="","",IFERROR(INDEX(DATA_MASTER!$C$2:$C$5000,MATCH($C4699,DATA_MASTER!$D$2:$D$5000,0)),""))</f>
        <v/>
      </c>
      <c r="E4699" s="22">
        <f t="array" ref="E4699">IF($C4699="","",IFERROR(INDEX(DATA_MASTER!$I$2:$I$5000,MATCH($C4699,DATA_MASTER!$D$2:$D$5000,0)),""))</f>
        <v/>
      </c>
      <c r="F4699" s="22">
        <f t="array" ref="F4699">IF($C4699="","",IFERROR(INDEX(DATA_MASTER!$L$2:$L$5000,MATCH($C4699,DATA_MASTER!$D$2:$D$5000,0)),""))</f>
        <v/>
      </c>
      <c r="G4699" s="24" t="n"/>
      <c r="H4699" s="24" t="n"/>
      <c r="I4699" s="30" t="n"/>
      <c r="J4699" s="23">
        <f>IF(OR($H4699="",$I4699=""),"",$H4699*$I4699)</f>
        <v/>
      </c>
      <c r="K4699" s="24" t="n"/>
      <c r="L4699" s="24" t="n"/>
      <c r="M4699" s="29" t="n"/>
      <c r="N4699" s="28" t="n"/>
      <c r="O4699" s="24" t="n"/>
      <c r="P4699" s="24" t="n"/>
      <c r="Q4699" s="24" t="n"/>
      <c r="R4699" s="24" t="n"/>
      <c r="S4699" s="22">
        <f>IF(AND($A4699="",$C4699=""),"",IF($A4699="","Thiếu mã đơn; ","")&amp;IF(COUNTIF($A$2:$A4699,$A4699)&gt;1,"Trùng mã đơn; ","")&amp;IF(ISNA(MATCH($C4699,DATA_MASTER!$D$2:$D$5000,0)),"SĐT chưa đăng ký hội viên; ","")&amp;IF(AND($L4699="Đã chuyển khoản",$M4699=""),"Thiếu ngày nhận CK; ",""))</f>
        <v/>
      </c>
      <c r="T4699" s="24" t="n"/>
    </row>
    <row r="4700" ht="14.25" customHeight="1" s="40">
      <c r="A4700" s="24" t="n"/>
      <c r="B4700" s="29" t="n"/>
      <c r="C4700" s="28" t="n"/>
      <c r="D4700" s="22">
        <f t="array" ref="D4700">IF($C4700="","",IFERROR(INDEX(DATA_MASTER!$C$2:$C$5000,MATCH($C4700,DATA_MASTER!$D$2:$D$5000,0)),""))</f>
        <v/>
      </c>
      <c r="E4700" s="22">
        <f t="array" ref="E4700">IF($C4700="","",IFERROR(INDEX(DATA_MASTER!$I$2:$I$5000,MATCH($C4700,DATA_MASTER!$D$2:$D$5000,0)),""))</f>
        <v/>
      </c>
      <c r="F4700" s="22">
        <f t="array" ref="F4700">IF($C4700="","",IFERROR(INDEX(DATA_MASTER!$L$2:$L$5000,MATCH($C4700,DATA_MASTER!$D$2:$D$5000,0)),""))</f>
        <v/>
      </c>
      <c r="G4700" s="24" t="n"/>
      <c r="H4700" s="24" t="n"/>
      <c r="I4700" s="30" t="n"/>
      <c r="J4700" s="23">
        <f>IF(OR($H4700="",$I4700=""),"",$H4700*$I4700)</f>
        <v/>
      </c>
      <c r="K4700" s="24" t="n"/>
      <c r="L4700" s="24" t="n"/>
      <c r="M4700" s="29" t="n"/>
      <c r="N4700" s="28" t="n"/>
      <c r="O4700" s="24" t="n"/>
      <c r="P4700" s="24" t="n"/>
      <c r="Q4700" s="24" t="n"/>
      <c r="R4700" s="24" t="n"/>
      <c r="S4700" s="22">
        <f>IF(AND($A4700="",$C4700=""),"",IF($A4700="","Thiếu mã đơn; ","")&amp;IF(COUNTIF($A$2:$A4700,$A4700)&gt;1,"Trùng mã đơn; ","")&amp;IF(ISNA(MATCH($C4700,DATA_MASTER!$D$2:$D$5000,0)),"SĐT chưa đăng ký hội viên; ","")&amp;IF(AND($L4700="Đã chuyển khoản",$M4700=""),"Thiếu ngày nhận CK; ",""))</f>
        <v/>
      </c>
      <c r="T4700" s="24" t="n"/>
    </row>
    <row r="4701" ht="14.25" customHeight="1" s="40">
      <c r="A4701" s="24" t="n"/>
      <c r="B4701" s="29" t="n"/>
      <c r="C4701" s="28" t="n"/>
      <c r="D4701" s="22">
        <f t="array" ref="D4701">IF($C4701="","",IFERROR(INDEX(DATA_MASTER!$C$2:$C$5000,MATCH($C4701,DATA_MASTER!$D$2:$D$5000,0)),""))</f>
        <v/>
      </c>
      <c r="E4701" s="22">
        <f t="array" ref="E4701">IF($C4701="","",IFERROR(INDEX(DATA_MASTER!$I$2:$I$5000,MATCH($C4701,DATA_MASTER!$D$2:$D$5000,0)),""))</f>
        <v/>
      </c>
      <c r="F4701" s="22">
        <f t="array" ref="F4701">IF($C4701="","",IFERROR(INDEX(DATA_MASTER!$L$2:$L$5000,MATCH($C4701,DATA_MASTER!$D$2:$D$5000,0)),""))</f>
        <v/>
      </c>
      <c r="G4701" s="24" t="n"/>
      <c r="H4701" s="24" t="n"/>
      <c r="I4701" s="30" t="n"/>
      <c r="J4701" s="23">
        <f>IF(OR($H4701="",$I4701=""),"",$H4701*$I4701)</f>
        <v/>
      </c>
      <c r="K4701" s="24" t="n"/>
      <c r="L4701" s="24" t="n"/>
      <c r="M4701" s="29" t="n"/>
      <c r="N4701" s="28" t="n"/>
      <c r="O4701" s="24" t="n"/>
      <c r="P4701" s="24" t="n"/>
      <c r="Q4701" s="24" t="n"/>
      <c r="R4701" s="24" t="n"/>
      <c r="S4701" s="22">
        <f>IF(AND($A4701="",$C4701=""),"",IF($A4701="","Thiếu mã đơn; ","")&amp;IF(COUNTIF($A$2:$A4701,$A4701)&gt;1,"Trùng mã đơn; ","")&amp;IF(ISNA(MATCH($C4701,DATA_MASTER!$D$2:$D$5000,0)),"SĐT chưa đăng ký hội viên; ","")&amp;IF(AND($L4701="Đã chuyển khoản",$M4701=""),"Thiếu ngày nhận CK; ",""))</f>
        <v/>
      </c>
      <c r="T4701" s="24" t="n"/>
    </row>
    <row r="4702" ht="14.25" customHeight="1" s="40">
      <c r="A4702" s="24" t="n"/>
      <c r="B4702" s="29" t="n"/>
      <c r="C4702" s="28" t="n"/>
      <c r="D4702" s="22">
        <f t="array" ref="D4702">IF($C4702="","",IFERROR(INDEX(DATA_MASTER!$C$2:$C$5000,MATCH($C4702,DATA_MASTER!$D$2:$D$5000,0)),""))</f>
        <v/>
      </c>
      <c r="E4702" s="22">
        <f t="array" ref="E4702">IF($C4702="","",IFERROR(INDEX(DATA_MASTER!$I$2:$I$5000,MATCH($C4702,DATA_MASTER!$D$2:$D$5000,0)),""))</f>
        <v/>
      </c>
      <c r="F4702" s="22">
        <f t="array" ref="F4702">IF($C4702="","",IFERROR(INDEX(DATA_MASTER!$L$2:$L$5000,MATCH($C4702,DATA_MASTER!$D$2:$D$5000,0)),""))</f>
        <v/>
      </c>
      <c r="G4702" s="24" t="n"/>
      <c r="H4702" s="24" t="n"/>
      <c r="I4702" s="30" t="n"/>
      <c r="J4702" s="23">
        <f>IF(OR($H4702="",$I4702=""),"",$H4702*$I4702)</f>
        <v/>
      </c>
      <c r="K4702" s="24" t="n"/>
      <c r="L4702" s="24" t="n"/>
      <c r="M4702" s="29" t="n"/>
      <c r="N4702" s="28" t="n"/>
      <c r="O4702" s="24" t="n"/>
      <c r="P4702" s="24" t="n"/>
      <c r="Q4702" s="24" t="n"/>
      <c r="R4702" s="24" t="n"/>
      <c r="S4702" s="22">
        <f>IF(AND($A4702="",$C4702=""),"",IF($A4702="","Thiếu mã đơn; ","")&amp;IF(COUNTIF($A$2:$A4702,$A4702)&gt;1,"Trùng mã đơn; ","")&amp;IF(ISNA(MATCH($C4702,DATA_MASTER!$D$2:$D$5000,0)),"SĐT chưa đăng ký hội viên; ","")&amp;IF(AND($L4702="Đã chuyển khoản",$M4702=""),"Thiếu ngày nhận CK; ",""))</f>
        <v/>
      </c>
      <c r="T4702" s="24" t="n"/>
    </row>
    <row r="4703" ht="14.25" customHeight="1" s="40">
      <c r="A4703" s="24" t="n"/>
      <c r="B4703" s="29" t="n"/>
      <c r="C4703" s="28" t="n"/>
      <c r="D4703" s="22">
        <f t="array" ref="D4703">IF($C4703="","",IFERROR(INDEX(DATA_MASTER!$C$2:$C$5000,MATCH($C4703,DATA_MASTER!$D$2:$D$5000,0)),""))</f>
        <v/>
      </c>
      <c r="E4703" s="22">
        <f t="array" ref="E4703">IF($C4703="","",IFERROR(INDEX(DATA_MASTER!$I$2:$I$5000,MATCH($C4703,DATA_MASTER!$D$2:$D$5000,0)),""))</f>
        <v/>
      </c>
      <c r="F4703" s="22">
        <f t="array" ref="F4703">IF($C4703="","",IFERROR(INDEX(DATA_MASTER!$L$2:$L$5000,MATCH($C4703,DATA_MASTER!$D$2:$D$5000,0)),""))</f>
        <v/>
      </c>
      <c r="G4703" s="24" t="n"/>
      <c r="H4703" s="24" t="n"/>
      <c r="I4703" s="30" t="n"/>
      <c r="J4703" s="23">
        <f>IF(OR($H4703="",$I4703=""),"",$H4703*$I4703)</f>
        <v/>
      </c>
      <c r="K4703" s="24" t="n"/>
      <c r="L4703" s="24" t="n"/>
      <c r="M4703" s="29" t="n"/>
      <c r="N4703" s="28" t="n"/>
      <c r="O4703" s="24" t="n"/>
      <c r="P4703" s="24" t="n"/>
      <c r="Q4703" s="24" t="n"/>
      <c r="R4703" s="24" t="n"/>
      <c r="S4703" s="22">
        <f>IF(AND($A4703="",$C4703=""),"",IF($A4703="","Thiếu mã đơn; ","")&amp;IF(COUNTIF($A$2:$A4703,$A4703)&gt;1,"Trùng mã đơn; ","")&amp;IF(ISNA(MATCH($C4703,DATA_MASTER!$D$2:$D$5000,0)),"SĐT chưa đăng ký hội viên; ","")&amp;IF(AND($L4703="Đã chuyển khoản",$M4703=""),"Thiếu ngày nhận CK; ",""))</f>
        <v/>
      </c>
      <c r="T4703" s="24" t="n"/>
    </row>
    <row r="4704" ht="14.25" customHeight="1" s="40">
      <c r="A4704" s="24" t="n"/>
      <c r="B4704" s="29" t="n"/>
      <c r="C4704" s="28" t="n"/>
      <c r="D4704" s="22">
        <f t="array" ref="D4704">IF($C4704="","",IFERROR(INDEX(DATA_MASTER!$C$2:$C$5000,MATCH($C4704,DATA_MASTER!$D$2:$D$5000,0)),""))</f>
        <v/>
      </c>
      <c r="E4704" s="22">
        <f t="array" ref="E4704">IF($C4704="","",IFERROR(INDEX(DATA_MASTER!$I$2:$I$5000,MATCH($C4704,DATA_MASTER!$D$2:$D$5000,0)),""))</f>
        <v/>
      </c>
      <c r="F4704" s="22">
        <f t="array" ref="F4704">IF($C4704="","",IFERROR(INDEX(DATA_MASTER!$L$2:$L$5000,MATCH($C4704,DATA_MASTER!$D$2:$D$5000,0)),""))</f>
        <v/>
      </c>
      <c r="G4704" s="24" t="n"/>
      <c r="H4704" s="24" t="n"/>
      <c r="I4704" s="30" t="n"/>
      <c r="J4704" s="23">
        <f>IF(OR($H4704="",$I4704=""),"",$H4704*$I4704)</f>
        <v/>
      </c>
      <c r="K4704" s="24" t="n"/>
      <c r="L4704" s="24" t="n"/>
      <c r="M4704" s="29" t="n"/>
      <c r="N4704" s="28" t="n"/>
      <c r="O4704" s="24" t="n"/>
      <c r="P4704" s="24" t="n"/>
      <c r="Q4704" s="24" t="n"/>
      <c r="R4704" s="24" t="n"/>
      <c r="S4704" s="22">
        <f>IF(AND($A4704="",$C4704=""),"",IF($A4704="","Thiếu mã đơn; ","")&amp;IF(COUNTIF($A$2:$A4704,$A4704)&gt;1,"Trùng mã đơn; ","")&amp;IF(ISNA(MATCH($C4704,DATA_MASTER!$D$2:$D$5000,0)),"SĐT chưa đăng ký hội viên; ","")&amp;IF(AND($L4704="Đã chuyển khoản",$M4704=""),"Thiếu ngày nhận CK; ",""))</f>
        <v/>
      </c>
      <c r="T4704" s="24" t="n"/>
    </row>
    <row r="4705" ht="14.25" customHeight="1" s="40">
      <c r="A4705" s="24" t="n"/>
      <c r="B4705" s="29" t="n"/>
      <c r="C4705" s="28" t="n"/>
      <c r="D4705" s="22">
        <f t="array" ref="D4705">IF($C4705="","",IFERROR(INDEX(DATA_MASTER!$C$2:$C$5000,MATCH($C4705,DATA_MASTER!$D$2:$D$5000,0)),""))</f>
        <v/>
      </c>
      <c r="E4705" s="22">
        <f t="array" ref="E4705">IF($C4705="","",IFERROR(INDEX(DATA_MASTER!$I$2:$I$5000,MATCH($C4705,DATA_MASTER!$D$2:$D$5000,0)),""))</f>
        <v/>
      </c>
      <c r="F4705" s="22">
        <f t="array" ref="F4705">IF($C4705="","",IFERROR(INDEX(DATA_MASTER!$L$2:$L$5000,MATCH($C4705,DATA_MASTER!$D$2:$D$5000,0)),""))</f>
        <v/>
      </c>
      <c r="G4705" s="24" t="n"/>
      <c r="H4705" s="24" t="n"/>
      <c r="I4705" s="30" t="n"/>
      <c r="J4705" s="23">
        <f>IF(OR($H4705="",$I4705=""),"",$H4705*$I4705)</f>
        <v/>
      </c>
      <c r="K4705" s="24" t="n"/>
      <c r="L4705" s="24" t="n"/>
      <c r="M4705" s="29" t="n"/>
      <c r="N4705" s="28" t="n"/>
      <c r="O4705" s="24" t="n"/>
      <c r="P4705" s="24" t="n"/>
      <c r="Q4705" s="24" t="n"/>
      <c r="R4705" s="24" t="n"/>
      <c r="S4705" s="22">
        <f>IF(AND($A4705="",$C4705=""),"",IF($A4705="","Thiếu mã đơn; ","")&amp;IF(COUNTIF($A$2:$A4705,$A4705)&gt;1,"Trùng mã đơn; ","")&amp;IF(ISNA(MATCH($C4705,DATA_MASTER!$D$2:$D$5000,0)),"SĐT chưa đăng ký hội viên; ","")&amp;IF(AND($L4705="Đã chuyển khoản",$M4705=""),"Thiếu ngày nhận CK; ",""))</f>
        <v/>
      </c>
      <c r="T4705" s="24" t="n"/>
    </row>
    <row r="4706" ht="14.25" customHeight="1" s="40">
      <c r="A4706" s="24" t="n"/>
      <c r="B4706" s="29" t="n"/>
      <c r="C4706" s="28" t="n"/>
      <c r="D4706" s="22">
        <f t="array" ref="D4706">IF($C4706="","",IFERROR(INDEX(DATA_MASTER!$C$2:$C$5000,MATCH($C4706,DATA_MASTER!$D$2:$D$5000,0)),""))</f>
        <v/>
      </c>
      <c r="E4706" s="22">
        <f t="array" ref="E4706">IF($C4706="","",IFERROR(INDEX(DATA_MASTER!$I$2:$I$5000,MATCH($C4706,DATA_MASTER!$D$2:$D$5000,0)),""))</f>
        <v/>
      </c>
      <c r="F4706" s="22">
        <f t="array" ref="F4706">IF($C4706="","",IFERROR(INDEX(DATA_MASTER!$L$2:$L$5000,MATCH($C4706,DATA_MASTER!$D$2:$D$5000,0)),""))</f>
        <v/>
      </c>
      <c r="G4706" s="24" t="n"/>
      <c r="H4706" s="24" t="n"/>
      <c r="I4706" s="30" t="n"/>
      <c r="J4706" s="23">
        <f>IF(OR($H4706="",$I4706=""),"",$H4706*$I4706)</f>
        <v/>
      </c>
      <c r="K4706" s="24" t="n"/>
      <c r="L4706" s="24" t="n"/>
      <c r="M4706" s="29" t="n"/>
      <c r="N4706" s="28" t="n"/>
      <c r="O4706" s="24" t="n"/>
      <c r="P4706" s="24" t="n"/>
      <c r="Q4706" s="24" t="n"/>
      <c r="R4706" s="24" t="n"/>
      <c r="S4706" s="22">
        <f>IF(AND($A4706="",$C4706=""),"",IF($A4706="","Thiếu mã đơn; ","")&amp;IF(COUNTIF($A$2:$A4706,$A4706)&gt;1,"Trùng mã đơn; ","")&amp;IF(ISNA(MATCH($C4706,DATA_MASTER!$D$2:$D$5000,0)),"SĐT chưa đăng ký hội viên; ","")&amp;IF(AND($L4706="Đã chuyển khoản",$M4706=""),"Thiếu ngày nhận CK; ",""))</f>
        <v/>
      </c>
      <c r="T4706" s="24" t="n"/>
    </row>
    <row r="4707" ht="14.25" customHeight="1" s="40">
      <c r="A4707" s="24" t="n"/>
      <c r="B4707" s="29" t="n"/>
      <c r="C4707" s="28" t="n"/>
      <c r="D4707" s="22">
        <f t="array" ref="D4707">IF($C4707="","",IFERROR(INDEX(DATA_MASTER!$C$2:$C$5000,MATCH($C4707,DATA_MASTER!$D$2:$D$5000,0)),""))</f>
        <v/>
      </c>
      <c r="E4707" s="22">
        <f t="array" ref="E4707">IF($C4707="","",IFERROR(INDEX(DATA_MASTER!$I$2:$I$5000,MATCH($C4707,DATA_MASTER!$D$2:$D$5000,0)),""))</f>
        <v/>
      </c>
      <c r="F4707" s="22">
        <f t="array" ref="F4707">IF($C4707="","",IFERROR(INDEX(DATA_MASTER!$L$2:$L$5000,MATCH($C4707,DATA_MASTER!$D$2:$D$5000,0)),""))</f>
        <v/>
      </c>
      <c r="G4707" s="24" t="n"/>
      <c r="H4707" s="24" t="n"/>
      <c r="I4707" s="30" t="n"/>
      <c r="J4707" s="23">
        <f>IF(OR($H4707="",$I4707=""),"",$H4707*$I4707)</f>
        <v/>
      </c>
      <c r="K4707" s="24" t="n"/>
      <c r="L4707" s="24" t="n"/>
      <c r="M4707" s="29" t="n"/>
      <c r="N4707" s="28" t="n"/>
      <c r="O4707" s="24" t="n"/>
      <c r="P4707" s="24" t="n"/>
      <c r="Q4707" s="24" t="n"/>
      <c r="R4707" s="24" t="n"/>
      <c r="S4707" s="22">
        <f>IF(AND($A4707="",$C4707=""),"",IF($A4707="","Thiếu mã đơn; ","")&amp;IF(COUNTIF($A$2:$A4707,$A4707)&gt;1,"Trùng mã đơn; ","")&amp;IF(ISNA(MATCH($C4707,DATA_MASTER!$D$2:$D$5000,0)),"SĐT chưa đăng ký hội viên; ","")&amp;IF(AND($L4707="Đã chuyển khoản",$M4707=""),"Thiếu ngày nhận CK; ",""))</f>
        <v/>
      </c>
      <c r="T4707" s="24" t="n"/>
    </row>
    <row r="4708" ht="14.25" customHeight="1" s="40">
      <c r="A4708" s="24" t="n"/>
      <c r="B4708" s="29" t="n"/>
      <c r="C4708" s="28" t="n"/>
      <c r="D4708" s="22">
        <f t="array" ref="D4708">IF($C4708="","",IFERROR(INDEX(DATA_MASTER!$C$2:$C$5000,MATCH($C4708,DATA_MASTER!$D$2:$D$5000,0)),""))</f>
        <v/>
      </c>
      <c r="E4708" s="22">
        <f t="array" ref="E4708">IF($C4708="","",IFERROR(INDEX(DATA_MASTER!$I$2:$I$5000,MATCH($C4708,DATA_MASTER!$D$2:$D$5000,0)),""))</f>
        <v/>
      </c>
      <c r="F4708" s="22">
        <f t="array" ref="F4708">IF($C4708="","",IFERROR(INDEX(DATA_MASTER!$L$2:$L$5000,MATCH($C4708,DATA_MASTER!$D$2:$D$5000,0)),""))</f>
        <v/>
      </c>
      <c r="G4708" s="24" t="n"/>
      <c r="H4708" s="24" t="n"/>
      <c r="I4708" s="30" t="n"/>
      <c r="J4708" s="23">
        <f>IF(OR($H4708="",$I4708=""),"",$H4708*$I4708)</f>
        <v/>
      </c>
      <c r="K4708" s="24" t="n"/>
      <c r="L4708" s="24" t="n"/>
      <c r="M4708" s="29" t="n"/>
      <c r="N4708" s="28" t="n"/>
      <c r="O4708" s="24" t="n"/>
      <c r="P4708" s="24" t="n"/>
      <c r="Q4708" s="24" t="n"/>
      <c r="R4708" s="24" t="n"/>
      <c r="S4708" s="22">
        <f>IF(AND($A4708="",$C4708=""),"",IF($A4708="","Thiếu mã đơn; ","")&amp;IF(COUNTIF($A$2:$A4708,$A4708)&gt;1,"Trùng mã đơn; ","")&amp;IF(ISNA(MATCH($C4708,DATA_MASTER!$D$2:$D$5000,0)),"SĐT chưa đăng ký hội viên; ","")&amp;IF(AND($L4708="Đã chuyển khoản",$M4708=""),"Thiếu ngày nhận CK; ",""))</f>
        <v/>
      </c>
      <c r="T4708" s="24" t="n"/>
    </row>
    <row r="4709" ht="14.25" customHeight="1" s="40">
      <c r="A4709" s="24" t="n"/>
      <c r="B4709" s="29" t="n"/>
      <c r="C4709" s="28" t="n"/>
      <c r="D4709" s="22">
        <f t="array" ref="D4709">IF($C4709="","",IFERROR(INDEX(DATA_MASTER!$C$2:$C$5000,MATCH($C4709,DATA_MASTER!$D$2:$D$5000,0)),""))</f>
        <v/>
      </c>
      <c r="E4709" s="22">
        <f t="array" ref="E4709">IF($C4709="","",IFERROR(INDEX(DATA_MASTER!$I$2:$I$5000,MATCH($C4709,DATA_MASTER!$D$2:$D$5000,0)),""))</f>
        <v/>
      </c>
      <c r="F4709" s="22">
        <f t="array" ref="F4709">IF($C4709="","",IFERROR(INDEX(DATA_MASTER!$L$2:$L$5000,MATCH($C4709,DATA_MASTER!$D$2:$D$5000,0)),""))</f>
        <v/>
      </c>
      <c r="G4709" s="24" t="n"/>
      <c r="H4709" s="24" t="n"/>
      <c r="I4709" s="30" t="n"/>
      <c r="J4709" s="23">
        <f>IF(OR($H4709="",$I4709=""),"",$H4709*$I4709)</f>
        <v/>
      </c>
      <c r="K4709" s="24" t="n"/>
      <c r="L4709" s="24" t="n"/>
      <c r="M4709" s="29" t="n"/>
      <c r="N4709" s="28" t="n"/>
      <c r="O4709" s="24" t="n"/>
      <c r="P4709" s="24" t="n"/>
      <c r="Q4709" s="24" t="n"/>
      <c r="R4709" s="24" t="n"/>
      <c r="S4709" s="22">
        <f>IF(AND($A4709="",$C4709=""),"",IF($A4709="","Thiếu mã đơn; ","")&amp;IF(COUNTIF($A$2:$A4709,$A4709)&gt;1,"Trùng mã đơn; ","")&amp;IF(ISNA(MATCH($C4709,DATA_MASTER!$D$2:$D$5000,0)),"SĐT chưa đăng ký hội viên; ","")&amp;IF(AND($L4709="Đã chuyển khoản",$M4709=""),"Thiếu ngày nhận CK; ",""))</f>
        <v/>
      </c>
      <c r="T4709" s="24" t="n"/>
    </row>
    <row r="4710" ht="14.25" customHeight="1" s="40">
      <c r="A4710" s="24" t="n"/>
      <c r="B4710" s="29" t="n"/>
      <c r="C4710" s="28" t="n"/>
      <c r="D4710" s="22">
        <f t="array" ref="D4710">IF($C4710="","",IFERROR(INDEX(DATA_MASTER!$C$2:$C$5000,MATCH($C4710,DATA_MASTER!$D$2:$D$5000,0)),""))</f>
        <v/>
      </c>
      <c r="E4710" s="22">
        <f t="array" ref="E4710">IF($C4710="","",IFERROR(INDEX(DATA_MASTER!$I$2:$I$5000,MATCH($C4710,DATA_MASTER!$D$2:$D$5000,0)),""))</f>
        <v/>
      </c>
      <c r="F4710" s="22">
        <f t="array" ref="F4710">IF($C4710="","",IFERROR(INDEX(DATA_MASTER!$L$2:$L$5000,MATCH($C4710,DATA_MASTER!$D$2:$D$5000,0)),""))</f>
        <v/>
      </c>
      <c r="G4710" s="24" t="n"/>
      <c r="H4710" s="24" t="n"/>
      <c r="I4710" s="30" t="n"/>
      <c r="J4710" s="23">
        <f>IF(OR($H4710="",$I4710=""),"",$H4710*$I4710)</f>
        <v/>
      </c>
      <c r="K4710" s="24" t="n"/>
      <c r="L4710" s="24" t="n"/>
      <c r="M4710" s="29" t="n"/>
      <c r="N4710" s="28" t="n"/>
      <c r="O4710" s="24" t="n"/>
      <c r="P4710" s="24" t="n"/>
      <c r="Q4710" s="24" t="n"/>
      <c r="R4710" s="24" t="n"/>
      <c r="S4710" s="22">
        <f>IF(AND($A4710="",$C4710=""),"",IF($A4710="","Thiếu mã đơn; ","")&amp;IF(COUNTIF($A$2:$A4710,$A4710)&gt;1,"Trùng mã đơn; ","")&amp;IF(ISNA(MATCH($C4710,DATA_MASTER!$D$2:$D$5000,0)),"SĐT chưa đăng ký hội viên; ","")&amp;IF(AND($L4710="Đã chuyển khoản",$M4710=""),"Thiếu ngày nhận CK; ",""))</f>
        <v/>
      </c>
      <c r="T4710" s="24" t="n"/>
    </row>
    <row r="4711" ht="14.25" customHeight="1" s="40">
      <c r="A4711" s="24" t="n"/>
      <c r="B4711" s="29" t="n"/>
      <c r="C4711" s="28" t="n"/>
      <c r="D4711" s="22">
        <f t="array" ref="D4711">IF($C4711="","",IFERROR(INDEX(DATA_MASTER!$C$2:$C$5000,MATCH($C4711,DATA_MASTER!$D$2:$D$5000,0)),""))</f>
        <v/>
      </c>
      <c r="E4711" s="22">
        <f t="array" ref="E4711">IF($C4711="","",IFERROR(INDEX(DATA_MASTER!$I$2:$I$5000,MATCH($C4711,DATA_MASTER!$D$2:$D$5000,0)),""))</f>
        <v/>
      </c>
      <c r="F4711" s="22">
        <f t="array" ref="F4711">IF($C4711="","",IFERROR(INDEX(DATA_MASTER!$L$2:$L$5000,MATCH($C4711,DATA_MASTER!$D$2:$D$5000,0)),""))</f>
        <v/>
      </c>
      <c r="G4711" s="24" t="n"/>
      <c r="H4711" s="24" t="n"/>
      <c r="I4711" s="30" t="n"/>
      <c r="J4711" s="23">
        <f>IF(OR($H4711="",$I4711=""),"",$H4711*$I4711)</f>
        <v/>
      </c>
      <c r="K4711" s="24" t="n"/>
      <c r="L4711" s="24" t="n"/>
      <c r="M4711" s="29" t="n"/>
      <c r="N4711" s="28" t="n"/>
      <c r="O4711" s="24" t="n"/>
      <c r="P4711" s="24" t="n"/>
      <c r="Q4711" s="24" t="n"/>
      <c r="R4711" s="24" t="n"/>
      <c r="S4711" s="22">
        <f>IF(AND($A4711="",$C4711=""),"",IF($A4711="","Thiếu mã đơn; ","")&amp;IF(COUNTIF($A$2:$A4711,$A4711)&gt;1,"Trùng mã đơn; ","")&amp;IF(ISNA(MATCH($C4711,DATA_MASTER!$D$2:$D$5000,0)),"SĐT chưa đăng ký hội viên; ","")&amp;IF(AND($L4711="Đã chuyển khoản",$M4711=""),"Thiếu ngày nhận CK; ",""))</f>
        <v/>
      </c>
      <c r="T4711" s="24" t="n"/>
    </row>
    <row r="4712" ht="14.25" customHeight="1" s="40">
      <c r="A4712" s="24" t="n"/>
      <c r="B4712" s="29" t="n"/>
      <c r="C4712" s="28" t="n"/>
      <c r="D4712" s="22">
        <f t="array" ref="D4712">IF($C4712="","",IFERROR(INDEX(DATA_MASTER!$C$2:$C$5000,MATCH($C4712,DATA_MASTER!$D$2:$D$5000,0)),""))</f>
        <v/>
      </c>
      <c r="E4712" s="22">
        <f t="array" ref="E4712">IF($C4712="","",IFERROR(INDEX(DATA_MASTER!$I$2:$I$5000,MATCH($C4712,DATA_MASTER!$D$2:$D$5000,0)),""))</f>
        <v/>
      </c>
      <c r="F4712" s="22">
        <f t="array" ref="F4712">IF($C4712="","",IFERROR(INDEX(DATA_MASTER!$L$2:$L$5000,MATCH($C4712,DATA_MASTER!$D$2:$D$5000,0)),""))</f>
        <v/>
      </c>
      <c r="G4712" s="24" t="n"/>
      <c r="H4712" s="24" t="n"/>
      <c r="I4712" s="30" t="n"/>
      <c r="J4712" s="23">
        <f>IF(OR($H4712="",$I4712=""),"",$H4712*$I4712)</f>
        <v/>
      </c>
      <c r="K4712" s="24" t="n"/>
      <c r="L4712" s="24" t="n"/>
      <c r="M4712" s="29" t="n"/>
      <c r="N4712" s="28" t="n"/>
      <c r="O4712" s="24" t="n"/>
      <c r="P4712" s="24" t="n"/>
      <c r="Q4712" s="24" t="n"/>
      <c r="R4712" s="24" t="n"/>
      <c r="S4712" s="22">
        <f>IF(AND($A4712="",$C4712=""),"",IF($A4712="","Thiếu mã đơn; ","")&amp;IF(COUNTIF($A$2:$A4712,$A4712)&gt;1,"Trùng mã đơn; ","")&amp;IF(ISNA(MATCH($C4712,DATA_MASTER!$D$2:$D$5000,0)),"SĐT chưa đăng ký hội viên; ","")&amp;IF(AND($L4712="Đã chuyển khoản",$M4712=""),"Thiếu ngày nhận CK; ",""))</f>
        <v/>
      </c>
      <c r="T4712" s="24" t="n"/>
    </row>
    <row r="4713" ht="14.25" customHeight="1" s="40">
      <c r="A4713" s="24" t="n"/>
      <c r="B4713" s="29" t="n"/>
      <c r="C4713" s="28" t="n"/>
      <c r="D4713" s="22">
        <f t="array" ref="D4713">IF($C4713="","",IFERROR(INDEX(DATA_MASTER!$C$2:$C$5000,MATCH($C4713,DATA_MASTER!$D$2:$D$5000,0)),""))</f>
        <v/>
      </c>
      <c r="E4713" s="22">
        <f t="array" ref="E4713">IF($C4713="","",IFERROR(INDEX(DATA_MASTER!$I$2:$I$5000,MATCH($C4713,DATA_MASTER!$D$2:$D$5000,0)),""))</f>
        <v/>
      </c>
      <c r="F4713" s="22">
        <f t="array" ref="F4713">IF($C4713="","",IFERROR(INDEX(DATA_MASTER!$L$2:$L$5000,MATCH($C4713,DATA_MASTER!$D$2:$D$5000,0)),""))</f>
        <v/>
      </c>
      <c r="G4713" s="24" t="n"/>
      <c r="H4713" s="24" t="n"/>
      <c r="I4713" s="30" t="n"/>
      <c r="J4713" s="23">
        <f>IF(OR($H4713="",$I4713=""),"",$H4713*$I4713)</f>
        <v/>
      </c>
      <c r="K4713" s="24" t="n"/>
      <c r="L4713" s="24" t="n"/>
      <c r="M4713" s="29" t="n"/>
      <c r="N4713" s="28" t="n"/>
      <c r="O4713" s="24" t="n"/>
      <c r="P4713" s="24" t="n"/>
      <c r="Q4713" s="24" t="n"/>
      <c r="R4713" s="24" t="n"/>
      <c r="S4713" s="22">
        <f>IF(AND($A4713="",$C4713=""),"",IF($A4713="","Thiếu mã đơn; ","")&amp;IF(COUNTIF($A$2:$A4713,$A4713)&gt;1,"Trùng mã đơn; ","")&amp;IF(ISNA(MATCH($C4713,DATA_MASTER!$D$2:$D$5000,0)),"SĐT chưa đăng ký hội viên; ","")&amp;IF(AND($L4713="Đã chuyển khoản",$M4713=""),"Thiếu ngày nhận CK; ",""))</f>
        <v/>
      </c>
      <c r="T4713" s="24" t="n"/>
    </row>
    <row r="4714" ht="14.25" customHeight="1" s="40">
      <c r="A4714" s="24" t="n"/>
      <c r="B4714" s="29" t="n"/>
      <c r="C4714" s="28" t="n"/>
      <c r="D4714" s="22">
        <f t="array" ref="D4714">IF($C4714="","",IFERROR(INDEX(DATA_MASTER!$C$2:$C$5000,MATCH($C4714,DATA_MASTER!$D$2:$D$5000,0)),""))</f>
        <v/>
      </c>
      <c r="E4714" s="22">
        <f t="array" ref="E4714">IF($C4714="","",IFERROR(INDEX(DATA_MASTER!$I$2:$I$5000,MATCH($C4714,DATA_MASTER!$D$2:$D$5000,0)),""))</f>
        <v/>
      </c>
      <c r="F4714" s="22">
        <f t="array" ref="F4714">IF($C4714="","",IFERROR(INDEX(DATA_MASTER!$L$2:$L$5000,MATCH($C4714,DATA_MASTER!$D$2:$D$5000,0)),""))</f>
        <v/>
      </c>
      <c r="G4714" s="24" t="n"/>
      <c r="H4714" s="24" t="n"/>
      <c r="I4714" s="30" t="n"/>
      <c r="J4714" s="23">
        <f>IF(OR($H4714="",$I4714=""),"",$H4714*$I4714)</f>
        <v/>
      </c>
      <c r="K4714" s="24" t="n"/>
      <c r="L4714" s="24" t="n"/>
      <c r="M4714" s="29" t="n"/>
      <c r="N4714" s="28" t="n"/>
      <c r="O4714" s="24" t="n"/>
      <c r="P4714" s="24" t="n"/>
      <c r="Q4714" s="24" t="n"/>
      <c r="R4714" s="24" t="n"/>
      <c r="S4714" s="22">
        <f>IF(AND($A4714="",$C4714=""),"",IF($A4714="","Thiếu mã đơn; ","")&amp;IF(COUNTIF($A$2:$A4714,$A4714)&gt;1,"Trùng mã đơn; ","")&amp;IF(ISNA(MATCH($C4714,DATA_MASTER!$D$2:$D$5000,0)),"SĐT chưa đăng ký hội viên; ","")&amp;IF(AND($L4714="Đã chuyển khoản",$M4714=""),"Thiếu ngày nhận CK; ",""))</f>
        <v/>
      </c>
      <c r="T4714" s="24" t="n"/>
    </row>
    <row r="4715" ht="14.25" customHeight="1" s="40">
      <c r="A4715" s="24" t="n"/>
      <c r="B4715" s="29" t="n"/>
      <c r="C4715" s="28" t="n"/>
      <c r="D4715" s="22">
        <f t="array" ref="D4715">IF($C4715="","",IFERROR(INDEX(DATA_MASTER!$C$2:$C$5000,MATCH($C4715,DATA_MASTER!$D$2:$D$5000,0)),""))</f>
        <v/>
      </c>
      <c r="E4715" s="22">
        <f t="array" ref="E4715">IF($C4715="","",IFERROR(INDEX(DATA_MASTER!$I$2:$I$5000,MATCH($C4715,DATA_MASTER!$D$2:$D$5000,0)),""))</f>
        <v/>
      </c>
      <c r="F4715" s="22">
        <f t="array" ref="F4715">IF($C4715="","",IFERROR(INDEX(DATA_MASTER!$L$2:$L$5000,MATCH($C4715,DATA_MASTER!$D$2:$D$5000,0)),""))</f>
        <v/>
      </c>
      <c r="G4715" s="24" t="n"/>
      <c r="H4715" s="24" t="n"/>
      <c r="I4715" s="30" t="n"/>
      <c r="J4715" s="23">
        <f>IF(OR($H4715="",$I4715=""),"",$H4715*$I4715)</f>
        <v/>
      </c>
      <c r="K4715" s="24" t="n"/>
      <c r="L4715" s="24" t="n"/>
      <c r="M4715" s="29" t="n"/>
      <c r="N4715" s="28" t="n"/>
      <c r="O4715" s="24" t="n"/>
      <c r="P4715" s="24" t="n"/>
      <c r="Q4715" s="24" t="n"/>
      <c r="R4715" s="24" t="n"/>
      <c r="S4715" s="22">
        <f>IF(AND($A4715="",$C4715=""),"",IF($A4715="","Thiếu mã đơn; ","")&amp;IF(COUNTIF($A$2:$A4715,$A4715)&gt;1,"Trùng mã đơn; ","")&amp;IF(ISNA(MATCH($C4715,DATA_MASTER!$D$2:$D$5000,0)),"SĐT chưa đăng ký hội viên; ","")&amp;IF(AND($L4715="Đã chuyển khoản",$M4715=""),"Thiếu ngày nhận CK; ",""))</f>
        <v/>
      </c>
      <c r="T4715" s="24" t="n"/>
    </row>
    <row r="4716" ht="14.25" customHeight="1" s="40">
      <c r="A4716" s="24" t="n"/>
      <c r="B4716" s="29" t="n"/>
      <c r="C4716" s="28" t="n"/>
      <c r="D4716" s="22">
        <f t="array" ref="D4716">IF($C4716="","",IFERROR(INDEX(DATA_MASTER!$C$2:$C$5000,MATCH($C4716,DATA_MASTER!$D$2:$D$5000,0)),""))</f>
        <v/>
      </c>
      <c r="E4716" s="22">
        <f t="array" ref="E4716">IF($C4716="","",IFERROR(INDEX(DATA_MASTER!$I$2:$I$5000,MATCH($C4716,DATA_MASTER!$D$2:$D$5000,0)),""))</f>
        <v/>
      </c>
      <c r="F4716" s="22">
        <f t="array" ref="F4716">IF($C4716="","",IFERROR(INDEX(DATA_MASTER!$L$2:$L$5000,MATCH($C4716,DATA_MASTER!$D$2:$D$5000,0)),""))</f>
        <v/>
      </c>
      <c r="G4716" s="24" t="n"/>
      <c r="H4716" s="24" t="n"/>
      <c r="I4716" s="30" t="n"/>
      <c r="J4716" s="23">
        <f>IF(OR($H4716="",$I4716=""),"",$H4716*$I4716)</f>
        <v/>
      </c>
      <c r="K4716" s="24" t="n"/>
      <c r="L4716" s="24" t="n"/>
      <c r="M4716" s="29" t="n"/>
      <c r="N4716" s="28" t="n"/>
      <c r="O4716" s="24" t="n"/>
      <c r="P4716" s="24" t="n"/>
      <c r="Q4716" s="24" t="n"/>
      <c r="R4716" s="24" t="n"/>
      <c r="S4716" s="22">
        <f>IF(AND($A4716="",$C4716=""),"",IF($A4716="","Thiếu mã đơn; ","")&amp;IF(COUNTIF($A$2:$A4716,$A4716)&gt;1,"Trùng mã đơn; ","")&amp;IF(ISNA(MATCH($C4716,DATA_MASTER!$D$2:$D$5000,0)),"SĐT chưa đăng ký hội viên; ","")&amp;IF(AND($L4716="Đã chuyển khoản",$M4716=""),"Thiếu ngày nhận CK; ",""))</f>
        <v/>
      </c>
      <c r="T4716" s="24" t="n"/>
    </row>
    <row r="4717" ht="14.25" customHeight="1" s="40">
      <c r="A4717" s="24" t="n"/>
      <c r="B4717" s="29" t="n"/>
      <c r="C4717" s="28" t="n"/>
      <c r="D4717" s="22">
        <f t="array" ref="D4717">IF($C4717="","",IFERROR(INDEX(DATA_MASTER!$C$2:$C$5000,MATCH($C4717,DATA_MASTER!$D$2:$D$5000,0)),""))</f>
        <v/>
      </c>
      <c r="E4717" s="22">
        <f t="array" ref="E4717">IF($C4717="","",IFERROR(INDEX(DATA_MASTER!$I$2:$I$5000,MATCH($C4717,DATA_MASTER!$D$2:$D$5000,0)),""))</f>
        <v/>
      </c>
      <c r="F4717" s="22">
        <f t="array" ref="F4717">IF($C4717="","",IFERROR(INDEX(DATA_MASTER!$L$2:$L$5000,MATCH($C4717,DATA_MASTER!$D$2:$D$5000,0)),""))</f>
        <v/>
      </c>
      <c r="G4717" s="24" t="n"/>
      <c r="H4717" s="24" t="n"/>
      <c r="I4717" s="30" t="n"/>
      <c r="J4717" s="23">
        <f>IF(OR($H4717="",$I4717=""),"",$H4717*$I4717)</f>
        <v/>
      </c>
      <c r="K4717" s="24" t="n"/>
      <c r="L4717" s="24" t="n"/>
      <c r="M4717" s="29" t="n"/>
      <c r="N4717" s="28" t="n"/>
      <c r="O4717" s="24" t="n"/>
      <c r="P4717" s="24" t="n"/>
      <c r="Q4717" s="24" t="n"/>
      <c r="R4717" s="24" t="n"/>
      <c r="S4717" s="22">
        <f>IF(AND($A4717="",$C4717=""),"",IF($A4717="","Thiếu mã đơn; ","")&amp;IF(COUNTIF($A$2:$A4717,$A4717)&gt;1,"Trùng mã đơn; ","")&amp;IF(ISNA(MATCH($C4717,DATA_MASTER!$D$2:$D$5000,0)),"SĐT chưa đăng ký hội viên; ","")&amp;IF(AND($L4717="Đã chuyển khoản",$M4717=""),"Thiếu ngày nhận CK; ",""))</f>
        <v/>
      </c>
      <c r="T4717" s="24" t="n"/>
    </row>
    <row r="4718" ht="14.25" customHeight="1" s="40">
      <c r="A4718" s="24" t="n"/>
      <c r="B4718" s="29" t="n"/>
      <c r="C4718" s="28" t="n"/>
      <c r="D4718" s="22">
        <f t="array" ref="D4718">IF($C4718="","",IFERROR(INDEX(DATA_MASTER!$C$2:$C$5000,MATCH($C4718,DATA_MASTER!$D$2:$D$5000,0)),""))</f>
        <v/>
      </c>
      <c r="E4718" s="22">
        <f t="array" ref="E4718">IF($C4718="","",IFERROR(INDEX(DATA_MASTER!$I$2:$I$5000,MATCH($C4718,DATA_MASTER!$D$2:$D$5000,0)),""))</f>
        <v/>
      </c>
      <c r="F4718" s="22">
        <f t="array" ref="F4718">IF($C4718="","",IFERROR(INDEX(DATA_MASTER!$L$2:$L$5000,MATCH($C4718,DATA_MASTER!$D$2:$D$5000,0)),""))</f>
        <v/>
      </c>
      <c r="G4718" s="24" t="n"/>
      <c r="H4718" s="24" t="n"/>
      <c r="I4718" s="30" t="n"/>
      <c r="J4718" s="23">
        <f>IF(OR($H4718="",$I4718=""),"",$H4718*$I4718)</f>
        <v/>
      </c>
      <c r="K4718" s="24" t="n"/>
      <c r="L4718" s="24" t="n"/>
      <c r="M4718" s="29" t="n"/>
      <c r="N4718" s="28" t="n"/>
      <c r="O4718" s="24" t="n"/>
      <c r="P4718" s="24" t="n"/>
      <c r="Q4718" s="24" t="n"/>
      <c r="R4718" s="24" t="n"/>
      <c r="S4718" s="22">
        <f>IF(AND($A4718="",$C4718=""),"",IF($A4718="","Thiếu mã đơn; ","")&amp;IF(COUNTIF($A$2:$A4718,$A4718)&gt;1,"Trùng mã đơn; ","")&amp;IF(ISNA(MATCH($C4718,DATA_MASTER!$D$2:$D$5000,0)),"SĐT chưa đăng ký hội viên; ","")&amp;IF(AND($L4718="Đã chuyển khoản",$M4718=""),"Thiếu ngày nhận CK; ",""))</f>
        <v/>
      </c>
      <c r="T4718" s="24" t="n"/>
    </row>
    <row r="4719" ht="14.25" customHeight="1" s="40">
      <c r="A4719" s="24" t="n"/>
      <c r="B4719" s="29" t="n"/>
      <c r="C4719" s="28" t="n"/>
      <c r="D4719" s="22">
        <f t="array" ref="D4719">IF($C4719="","",IFERROR(INDEX(DATA_MASTER!$C$2:$C$5000,MATCH($C4719,DATA_MASTER!$D$2:$D$5000,0)),""))</f>
        <v/>
      </c>
      <c r="E4719" s="22">
        <f t="array" ref="E4719">IF($C4719="","",IFERROR(INDEX(DATA_MASTER!$I$2:$I$5000,MATCH($C4719,DATA_MASTER!$D$2:$D$5000,0)),""))</f>
        <v/>
      </c>
      <c r="F4719" s="22">
        <f t="array" ref="F4719">IF($C4719="","",IFERROR(INDEX(DATA_MASTER!$L$2:$L$5000,MATCH($C4719,DATA_MASTER!$D$2:$D$5000,0)),""))</f>
        <v/>
      </c>
      <c r="G4719" s="24" t="n"/>
      <c r="H4719" s="24" t="n"/>
      <c r="I4719" s="30" t="n"/>
      <c r="J4719" s="23">
        <f>IF(OR($H4719="",$I4719=""),"",$H4719*$I4719)</f>
        <v/>
      </c>
      <c r="K4719" s="24" t="n"/>
      <c r="L4719" s="24" t="n"/>
      <c r="M4719" s="29" t="n"/>
      <c r="N4719" s="28" t="n"/>
      <c r="O4719" s="24" t="n"/>
      <c r="P4719" s="24" t="n"/>
      <c r="Q4719" s="24" t="n"/>
      <c r="R4719" s="24" t="n"/>
      <c r="S4719" s="22">
        <f>IF(AND($A4719="",$C4719=""),"",IF($A4719="","Thiếu mã đơn; ","")&amp;IF(COUNTIF($A$2:$A4719,$A4719)&gt;1,"Trùng mã đơn; ","")&amp;IF(ISNA(MATCH($C4719,DATA_MASTER!$D$2:$D$5000,0)),"SĐT chưa đăng ký hội viên; ","")&amp;IF(AND($L4719="Đã chuyển khoản",$M4719=""),"Thiếu ngày nhận CK; ",""))</f>
        <v/>
      </c>
      <c r="T4719" s="24" t="n"/>
    </row>
    <row r="4720" ht="14.25" customHeight="1" s="40">
      <c r="A4720" s="24" t="n"/>
      <c r="B4720" s="29" t="n"/>
      <c r="C4720" s="28" t="n"/>
      <c r="D4720" s="22">
        <f t="array" ref="D4720">IF($C4720="","",IFERROR(INDEX(DATA_MASTER!$C$2:$C$5000,MATCH($C4720,DATA_MASTER!$D$2:$D$5000,0)),""))</f>
        <v/>
      </c>
      <c r="E4720" s="22">
        <f t="array" ref="E4720">IF($C4720="","",IFERROR(INDEX(DATA_MASTER!$I$2:$I$5000,MATCH($C4720,DATA_MASTER!$D$2:$D$5000,0)),""))</f>
        <v/>
      </c>
      <c r="F4720" s="22">
        <f t="array" ref="F4720">IF($C4720="","",IFERROR(INDEX(DATA_MASTER!$L$2:$L$5000,MATCH($C4720,DATA_MASTER!$D$2:$D$5000,0)),""))</f>
        <v/>
      </c>
      <c r="G4720" s="24" t="n"/>
      <c r="H4720" s="24" t="n"/>
      <c r="I4720" s="30" t="n"/>
      <c r="J4720" s="23">
        <f>IF(OR($H4720="",$I4720=""),"",$H4720*$I4720)</f>
        <v/>
      </c>
      <c r="K4720" s="24" t="n"/>
      <c r="L4720" s="24" t="n"/>
      <c r="M4720" s="29" t="n"/>
      <c r="N4720" s="28" t="n"/>
      <c r="O4720" s="24" t="n"/>
      <c r="P4720" s="24" t="n"/>
      <c r="Q4720" s="24" t="n"/>
      <c r="R4720" s="24" t="n"/>
      <c r="S4720" s="22">
        <f>IF(AND($A4720="",$C4720=""),"",IF($A4720="","Thiếu mã đơn; ","")&amp;IF(COUNTIF($A$2:$A4720,$A4720)&gt;1,"Trùng mã đơn; ","")&amp;IF(ISNA(MATCH($C4720,DATA_MASTER!$D$2:$D$5000,0)),"SĐT chưa đăng ký hội viên; ","")&amp;IF(AND($L4720="Đã chuyển khoản",$M4720=""),"Thiếu ngày nhận CK; ",""))</f>
        <v/>
      </c>
      <c r="T4720" s="24" t="n"/>
    </row>
    <row r="4721" ht="14.25" customHeight="1" s="40">
      <c r="A4721" s="24" t="n"/>
      <c r="B4721" s="29" t="n"/>
      <c r="C4721" s="28" t="n"/>
      <c r="D4721" s="22">
        <f t="array" ref="D4721">IF($C4721="","",IFERROR(INDEX(DATA_MASTER!$C$2:$C$5000,MATCH($C4721,DATA_MASTER!$D$2:$D$5000,0)),""))</f>
        <v/>
      </c>
      <c r="E4721" s="22">
        <f t="array" ref="E4721">IF($C4721="","",IFERROR(INDEX(DATA_MASTER!$I$2:$I$5000,MATCH($C4721,DATA_MASTER!$D$2:$D$5000,0)),""))</f>
        <v/>
      </c>
      <c r="F4721" s="22">
        <f t="array" ref="F4721">IF($C4721="","",IFERROR(INDEX(DATA_MASTER!$L$2:$L$5000,MATCH($C4721,DATA_MASTER!$D$2:$D$5000,0)),""))</f>
        <v/>
      </c>
      <c r="G4721" s="24" t="n"/>
      <c r="H4721" s="24" t="n"/>
      <c r="I4721" s="30" t="n"/>
      <c r="J4721" s="23">
        <f>IF(OR($H4721="",$I4721=""),"",$H4721*$I4721)</f>
        <v/>
      </c>
      <c r="K4721" s="24" t="n"/>
      <c r="L4721" s="24" t="n"/>
      <c r="M4721" s="29" t="n"/>
      <c r="N4721" s="28" t="n"/>
      <c r="O4721" s="24" t="n"/>
      <c r="P4721" s="24" t="n"/>
      <c r="Q4721" s="24" t="n"/>
      <c r="R4721" s="24" t="n"/>
      <c r="S4721" s="22">
        <f>IF(AND($A4721="",$C4721=""),"",IF($A4721="","Thiếu mã đơn; ","")&amp;IF(COUNTIF($A$2:$A4721,$A4721)&gt;1,"Trùng mã đơn; ","")&amp;IF(ISNA(MATCH($C4721,DATA_MASTER!$D$2:$D$5000,0)),"SĐT chưa đăng ký hội viên; ","")&amp;IF(AND($L4721="Đã chuyển khoản",$M4721=""),"Thiếu ngày nhận CK; ",""))</f>
        <v/>
      </c>
      <c r="T4721" s="24" t="n"/>
    </row>
    <row r="4722" ht="14.25" customHeight="1" s="40">
      <c r="A4722" s="24" t="n"/>
      <c r="B4722" s="29" t="n"/>
      <c r="C4722" s="28" t="n"/>
      <c r="D4722" s="22">
        <f t="array" ref="D4722">IF($C4722="","",IFERROR(INDEX(DATA_MASTER!$C$2:$C$5000,MATCH($C4722,DATA_MASTER!$D$2:$D$5000,0)),""))</f>
        <v/>
      </c>
      <c r="E4722" s="22">
        <f t="array" ref="E4722">IF($C4722="","",IFERROR(INDEX(DATA_MASTER!$I$2:$I$5000,MATCH($C4722,DATA_MASTER!$D$2:$D$5000,0)),""))</f>
        <v/>
      </c>
      <c r="F4722" s="22">
        <f t="array" ref="F4722">IF($C4722="","",IFERROR(INDEX(DATA_MASTER!$L$2:$L$5000,MATCH($C4722,DATA_MASTER!$D$2:$D$5000,0)),""))</f>
        <v/>
      </c>
      <c r="G4722" s="24" t="n"/>
      <c r="H4722" s="24" t="n"/>
      <c r="I4722" s="30" t="n"/>
      <c r="J4722" s="23">
        <f>IF(OR($H4722="",$I4722=""),"",$H4722*$I4722)</f>
        <v/>
      </c>
      <c r="K4722" s="24" t="n"/>
      <c r="L4722" s="24" t="n"/>
      <c r="M4722" s="29" t="n"/>
      <c r="N4722" s="28" t="n"/>
      <c r="O4722" s="24" t="n"/>
      <c r="P4722" s="24" t="n"/>
      <c r="Q4722" s="24" t="n"/>
      <c r="R4722" s="24" t="n"/>
      <c r="S4722" s="22">
        <f>IF(AND($A4722="",$C4722=""),"",IF($A4722="","Thiếu mã đơn; ","")&amp;IF(COUNTIF($A$2:$A4722,$A4722)&gt;1,"Trùng mã đơn; ","")&amp;IF(ISNA(MATCH($C4722,DATA_MASTER!$D$2:$D$5000,0)),"SĐT chưa đăng ký hội viên; ","")&amp;IF(AND($L4722="Đã chuyển khoản",$M4722=""),"Thiếu ngày nhận CK; ",""))</f>
        <v/>
      </c>
      <c r="T4722" s="24" t="n"/>
    </row>
    <row r="4723" ht="14.25" customHeight="1" s="40">
      <c r="A4723" s="24" t="n"/>
      <c r="B4723" s="29" t="n"/>
      <c r="C4723" s="28" t="n"/>
      <c r="D4723" s="22">
        <f t="array" ref="D4723">IF($C4723="","",IFERROR(INDEX(DATA_MASTER!$C$2:$C$5000,MATCH($C4723,DATA_MASTER!$D$2:$D$5000,0)),""))</f>
        <v/>
      </c>
      <c r="E4723" s="22">
        <f t="array" ref="E4723">IF($C4723="","",IFERROR(INDEX(DATA_MASTER!$I$2:$I$5000,MATCH($C4723,DATA_MASTER!$D$2:$D$5000,0)),""))</f>
        <v/>
      </c>
      <c r="F4723" s="22">
        <f t="array" ref="F4723">IF($C4723="","",IFERROR(INDEX(DATA_MASTER!$L$2:$L$5000,MATCH($C4723,DATA_MASTER!$D$2:$D$5000,0)),""))</f>
        <v/>
      </c>
      <c r="G4723" s="24" t="n"/>
      <c r="H4723" s="24" t="n"/>
      <c r="I4723" s="30" t="n"/>
      <c r="J4723" s="23">
        <f>IF(OR($H4723="",$I4723=""),"",$H4723*$I4723)</f>
        <v/>
      </c>
      <c r="K4723" s="24" t="n"/>
      <c r="L4723" s="24" t="n"/>
      <c r="M4723" s="29" t="n"/>
      <c r="N4723" s="28" t="n"/>
      <c r="O4723" s="24" t="n"/>
      <c r="P4723" s="24" t="n"/>
      <c r="Q4723" s="24" t="n"/>
      <c r="R4723" s="24" t="n"/>
      <c r="S4723" s="22">
        <f>IF(AND($A4723="",$C4723=""),"",IF($A4723="","Thiếu mã đơn; ","")&amp;IF(COUNTIF($A$2:$A4723,$A4723)&gt;1,"Trùng mã đơn; ","")&amp;IF(ISNA(MATCH($C4723,DATA_MASTER!$D$2:$D$5000,0)),"SĐT chưa đăng ký hội viên; ","")&amp;IF(AND($L4723="Đã chuyển khoản",$M4723=""),"Thiếu ngày nhận CK; ",""))</f>
        <v/>
      </c>
      <c r="T4723" s="24" t="n"/>
    </row>
    <row r="4724" ht="14.25" customHeight="1" s="40">
      <c r="A4724" s="24" t="n"/>
      <c r="B4724" s="29" t="n"/>
      <c r="C4724" s="28" t="n"/>
      <c r="D4724" s="22">
        <f t="array" ref="D4724">IF($C4724="","",IFERROR(INDEX(DATA_MASTER!$C$2:$C$5000,MATCH($C4724,DATA_MASTER!$D$2:$D$5000,0)),""))</f>
        <v/>
      </c>
      <c r="E4724" s="22">
        <f t="array" ref="E4724">IF($C4724="","",IFERROR(INDEX(DATA_MASTER!$I$2:$I$5000,MATCH($C4724,DATA_MASTER!$D$2:$D$5000,0)),""))</f>
        <v/>
      </c>
      <c r="F4724" s="22">
        <f t="array" ref="F4724">IF($C4724="","",IFERROR(INDEX(DATA_MASTER!$L$2:$L$5000,MATCH($C4724,DATA_MASTER!$D$2:$D$5000,0)),""))</f>
        <v/>
      </c>
      <c r="G4724" s="24" t="n"/>
      <c r="H4724" s="24" t="n"/>
      <c r="I4724" s="30" t="n"/>
      <c r="J4724" s="23">
        <f>IF(OR($H4724="",$I4724=""),"",$H4724*$I4724)</f>
        <v/>
      </c>
      <c r="K4724" s="24" t="n"/>
      <c r="L4724" s="24" t="n"/>
      <c r="M4724" s="29" t="n"/>
      <c r="N4724" s="28" t="n"/>
      <c r="O4724" s="24" t="n"/>
      <c r="P4724" s="24" t="n"/>
      <c r="Q4724" s="24" t="n"/>
      <c r="R4724" s="24" t="n"/>
      <c r="S4724" s="22">
        <f>IF(AND($A4724="",$C4724=""),"",IF($A4724="","Thiếu mã đơn; ","")&amp;IF(COUNTIF($A$2:$A4724,$A4724)&gt;1,"Trùng mã đơn; ","")&amp;IF(ISNA(MATCH($C4724,DATA_MASTER!$D$2:$D$5000,0)),"SĐT chưa đăng ký hội viên; ","")&amp;IF(AND($L4724="Đã chuyển khoản",$M4724=""),"Thiếu ngày nhận CK; ",""))</f>
        <v/>
      </c>
      <c r="T4724" s="24" t="n"/>
    </row>
    <row r="4725" ht="14.25" customHeight="1" s="40">
      <c r="A4725" s="24" t="n"/>
      <c r="B4725" s="29" t="n"/>
      <c r="C4725" s="28" t="n"/>
      <c r="D4725" s="22">
        <f t="array" ref="D4725">IF($C4725="","",IFERROR(INDEX(DATA_MASTER!$C$2:$C$5000,MATCH($C4725,DATA_MASTER!$D$2:$D$5000,0)),""))</f>
        <v/>
      </c>
      <c r="E4725" s="22">
        <f t="array" ref="E4725">IF($C4725="","",IFERROR(INDEX(DATA_MASTER!$I$2:$I$5000,MATCH($C4725,DATA_MASTER!$D$2:$D$5000,0)),""))</f>
        <v/>
      </c>
      <c r="F4725" s="22">
        <f t="array" ref="F4725">IF($C4725="","",IFERROR(INDEX(DATA_MASTER!$L$2:$L$5000,MATCH($C4725,DATA_MASTER!$D$2:$D$5000,0)),""))</f>
        <v/>
      </c>
      <c r="G4725" s="24" t="n"/>
      <c r="H4725" s="24" t="n"/>
      <c r="I4725" s="30" t="n"/>
      <c r="J4725" s="23">
        <f>IF(OR($H4725="",$I4725=""),"",$H4725*$I4725)</f>
        <v/>
      </c>
      <c r="K4725" s="24" t="n"/>
      <c r="L4725" s="24" t="n"/>
      <c r="M4725" s="29" t="n"/>
      <c r="N4725" s="28" t="n"/>
      <c r="O4725" s="24" t="n"/>
      <c r="P4725" s="24" t="n"/>
      <c r="Q4725" s="24" t="n"/>
      <c r="R4725" s="24" t="n"/>
      <c r="S4725" s="22">
        <f>IF(AND($A4725="",$C4725=""),"",IF($A4725="","Thiếu mã đơn; ","")&amp;IF(COUNTIF($A$2:$A4725,$A4725)&gt;1,"Trùng mã đơn; ","")&amp;IF(ISNA(MATCH($C4725,DATA_MASTER!$D$2:$D$5000,0)),"SĐT chưa đăng ký hội viên; ","")&amp;IF(AND($L4725="Đã chuyển khoản",$M4725=""),"Thiếu ngày nhận CK; ",""))</f>
        <v/>
      </c>
      <c r="T4725" s="24" t="n"/>
    </row>
    <row r="4726" ht="14.25" customHeight="1" s="40">
      <c r="A4726" s="24" t="n"/>
      <c r="B4726" s="29" t="n"/>
      <c r="C4726" s="28" t="n"/>
      <c r="D4726" s="22">
        <f t="array" ref="D4726">IF($C4726="","",IFERROR(INDEX(DATA_MASTER!$C$2:$C$5000,MATCH($C4726,DATA_MASTER!$D$2:$D$5000,0)),""))</f>
        <v/>
      </c>
      <c r="E4726" s="22">
        <f t="array" ref="E4726">IF($C4726="","",IFERROR(INDEX(DATA_MASTER!$I$2:$I$5000,MATCH($C4726,DATA_MASTER!$D$2:$D$5000,0)),""))</f>
        <v/>
      </c>
      <c r="F4726" s="22">
        <f t="array" ref="F4726">IF($C4726="","",IFERROR(INDEX(DATA_MASTER!$L$2:$L$5000,MATCH($C4726,DATA_MASTER!$D$2:$D$5000,0)),""))</f>
        <v/>
      </c>
      <c r="G4726" s="24" t="n"/>
      <c r="H4726" s="24" t="n"/>
      <c r="I4726" s="30" t="n"/>
      <c r="J4726" s="23">
        <f>IF(OR($H4726="",$I4726=""),"",$H4726*$I4726)</f>
        <v/>
      </c>
      <c r="K4726" s="24" t="n"/>
      <c r="L4726" s="24" t="n"/>
      <c r="M4726" s="29" t="n"/>
      <c r="N4726" s="28" t="n"/>
      <c r="O4726" s="24" t="n"/>
      <c r="P4726" s="24" t="n"/>
      <c r="Q4726" s="24" t="n"/>
      <c r="R4726" s="24" t="n"/>
      <c r="S4726" s="22">
        <f>IF(AND($A4726="",$C4726=""),"",IF($A4726="","Thiếu mã đơn; ","")&amp;IF(COUNTIF($A$2:$A4726,$A4726)&gt;1,"Trùng mã đơn; ","")&amp;IF(ISNA(MATCH($C4726,DATA_MASTER!$D$2:$D$5000,0)),"SĐT chưa đăng ký hội viên; ","")&amp;IF(AND($L4726="Đã chuyển khoản",$M4726=""),"Thiếu ngày nhận CK; ",""))</f>
        <v/>
      </c>
      <c r="T4726" s="24" t="n"/>
    </row>
    <row r="4727" ht="14.25" customHeight="1" s="40">
      <c r="A4727" s="24" t="n"/>
      <c r="B4727" s="29" t="n"/>
      <c r="C4727" s="28" t="n"/>
      <c r="D4727" s="22">
        <f t="array" ref="D4727">IF($C4727="","",IFERROR(INDEX(DATA_MASTER!$C$2:$C$5000,MATCH($C4727,DATA_MASTER!$D$2:$D$5000,0)),""))</f>
        <v/>
      </c>
      <c r="E4727" s="22">
        <f t="array" ref="E4727">IF($C4727="","",IFERROR(INDEX(DATA_MASTER!$I$2:$I$5000,MATCH($C4727,DATA_MASTER!$D$2:$D$5000,0)),""))</f>
        <v/>
      </c>
      <c r="F4727" s="22">
        <f t="array" ref="F4727">IF($C4727="","",IFERROR(INDEX(DATA_MASTER!$L$2:$L$5000,MATCH($C4727,DATA_MASTER!$D$2:$D$5000,0)),""))</f>
        <v/>
      </c>
      <c r="G4727" s="24" t="n"/>
      <c r="H4727" s="24" t="n"/>
      <c r="I4727" s="30" t="n"/>
      <c r="J4727" s="23">
        <f>IF(OR($H4727="",$I4727=""),"",$H4727*$I4727)</f>
        <v/>
      </c>
      <c r="K4727" s="24" t="n"/>
      <c r="L4727" s="24" t="n"/>
      <c r="M4727" s="29" t="n"/>
      <c r="N4727" s="28" t="n"/>
      <c r="O4727" s="24" t="n"/>
      <c r="P4727" s="24" t="n"/>
      <c r="Q4727" s="24" t="n"/>
      <c r="R4727" s="24" t="n"/>
      <c r="S4727" s="22">
        <f>IF(AND($A4727="",$C4727=""),"",IF($A4727="","Thiếu mã đơn; ","")&amp;IF(COUNTIF($A$2:$A4727,$A4727)&gt;1,"Trùng mã đơn; ","")&amp;IF(ISNA(MATCH($C4727,DATA_MASTER!$D$2:$D$5000,0)),"SĐT chưa đăng ký hội viên; ","")&amp;IF(AND($L4727="Đã chuyển khoản",$M4727=""),"Thiếu ngày nhận CK; ",""))</f>
        <v/>
      </c>
      <c r="T4727" s="24" t="n"/>
    </row>
    <row r="4728" ht="14.25" customHeight="1" s="40">
      <c r="A4728" s="24" t="n"/>
      <c r="B4728" s="29" t="n"/>
      <c r="C4728" s="28" t="n"/>
      <c r="D4728" s="22">
        <f t="array" ref="D4728">IF($C4728="","",IFERROR(INDEX(DATA_MASTER!$C$2:$C$5000,MATCH($C4728,DATA_MASTER!$D$2:$D$5000,0)),""))</f>
        <v/>
      </c>
      <c r="E4728" s="22">
        <f t="array" ref="E4728">IF($C4728="","",IFERROR(INDEX(DATA_MASTER!$I$2:$I$5000,MATCH($C4728,DATA_MASTER!$D$2:$D$5000,0)),""))</f>
        <v/>
      </c>
      <c r="F4728" s="22">
        <f t="array" ref="F4728">IF($C4728="","",IFERROR(INDEX(DATA_MASTER!$L$2:$L$5000,MATCH($C4728,DATA_MASTER!$D$2:$D$5000,0)),""))</f>
        <v/>
      </c>
      <c r="G4728" s="24" t="n"/>
      <c r="H4728" s="24" t="n"/>
      <c r="I4728" s="30" t="n"/>
      <c r="J4728" s="23">
        <f>IF(OR($H4728="",$I4728=""),"",$H4728*$I4728)</f>
        <v/>
      </c>
      <c r="K4728" s="24" t="n"/>
      <c r="L4728" s="24" t="n"/>
      <c r="M4728" s="29" t="n"/>
      <c r="N4728" s="28" t="n"/>
      <c r="O4728" s="24" t="n"/>
      <c r="P4728" s="24" t="n"/>
      <c r="Q4728" s="24" t="n"/>
      <c r="R4728" s="24" t="n"/>
      <c r="S4728" s="22">
        <f>IF(AND($A4728="",$C4728=""),"",IF($A4728="","Thiếu mã đơn; ","")&amp;IF(COUNTIF($A$2:$A4728,$A4728)&gt;1,"Trùng mã đơn; ","")&amp;IF(ISNA(MATCH($C4728,DATA_MASTER!$D$2:$D$5000,0)),"SĐT chưa đăng ký hội viên; ","")&amp;IF(AND($L4728="Đã chuyển khoản",$M4728=""),"Thiếu ngày nhận CK; ",""))</f>
        <v/>
      </c>
      <c r="T4728" s="24" t="n"/>
    </row>
    <row r="4729" ht="14.25" customHeight="1" s="40">
      <c r="A4729" s="24" t="n"/>
      <c r="B4729" s="29" t="n"/>
      <c r="C4729" s="28" t="n"/>
      <c r="D4729" s="22">
        <f t="array" ref="D4729">IF($C4729="","",IFERROR(INDEX(DATA_MASTER!$C$2:$C$5000,MATCH($C4729,DATA_MASTER!$D$2:$D$5000,0)),""))</f>
        <v/>
      </c>
      <c r="E4729" s="22">
        <f t="array" ref="E4729">IF($C4729="","",IFERROR(INDEX(DATA_MASTER!$I$2:$I$5000,MATCH($C4729,DATA_MASTER!$D$2:$D$5000,0)),""))</f>
        <v/>
      </c>
      <c r="F4729" s="22">
        <f t="array" ref="F4729">IF($C4729="","",IFERROR(INDEX(DATA_MASTER!$L$2:$L$5000,MATCH($C4729,DATA_MASTER!$D$2:$D$5000,0)),""))</f>
        <v/>
      </c>
      <c r="G4729" s="24" t="n"/>
      <c r="H4729" s="24" t="n"/>
      <c r="I4729" s="30" t="n"/>
      <c r="J4729" s="23">
        <f>IF(OR($H4729="",$I4729=""),"",$H4729*$I4729)</f>
        <v/>
      </c>
      <c r="K4729" s="24" t="n"/>
      <c r="L4729" s="24" t="n"/>
      <c r="M4729" s="29" t="n"/>
      <c r="N4729" s="28" t="n"/>
      <c r="O4729" s="24" t="n"/>
      <c r="P4729" s="24" t="n"/>
      <c r="Q4729" s="24" t="n"/>
      <c r="R4729" s="24" t="n"/>
      <c r="S4729" s="22">
        <f>IF(AND($A4729="",$C4729=""),"",IF($A4729="","Thiếu mã đơn; ","")&amp;IF(COUNTIF($A$2:$A4729,$A4729)&gt;1,"Trùng mã đơn; ","")&amp;IF(ISNA(MATCH($C4729,DATA_MASTER!$D$2:$D$5000,0)),"SĐT chưa đăng ký hội viên; ","")&amp;IF(AND($L4729="Đã chuyển khoản",$M4729=""),"Thiếu ngày nhận CK; ",""))</f>
        <v/>
      </c>
      <c r="T4729" s="24" t="n"/>
    </row>
    <row r="4730" ht="14.25" customHeight="1" s="40">
      <c r="A4730" s="24" t="n"/>
      <c r="B4730" s="29" t="n"/>
      <c r="C4730" s="28" t="n"/>
      <c r="D4730" s="22">
        <f t="array" ref="D4730">IF($C4730="","",IFERROR(INDEX(DATA_MASTER!$C$2:$C$5000,MATCH($C4730,DATA_MASTER!$D$2:$D$5000,0)),""))</f>
        <v/>
      </c>
      <c r="E4730" s="22">
        <f t="array" ref="E4730">IF($C4730="","",IFERROR(INDEX(DATA_MASTER!$I$2:$I$5000,MATCH($C4730,DATA_MASTER!$D$2:$D$5000,0)),""))</f>
        <v/>
      </c>
      <c r="F4730" s="22">
        <f t="array" ref="F4730">IF($C4730="","",IFERROR(INDEX(DATA_MASTER!$L$2:$L$5000,MATCH($C4730,DATA_MASTER!$D$2:$D$5000,0)),""))</f>
        <v/>
      </c>
      <c r="G4730" s="24" t="n"/>
      <c r="H4730" s="24" t="n"/>
      <c r="I4730" s="30" t="n"/>
      <c r="J4730" s="23">
        <f>IF(OR($H4730="",$I4730=""),"",$H4730*$I4730)</f>
        <v/>
      </c>
      <c r="K4730" s="24" t="n"/>
      <c r="L4730" s="24" t="n"/>
      <c r="M4730" s="29" t="n"/>
      <c r="N4730" s="28" t="n"/>
      <c r="O4730" s="24" t="n"/>
      <c r="P4730" s="24" t="n"/>
      <c r="Q4730" s="24" t="n"/>
      <c r="R4730" s="24" t="n"/>
      <c r="S4730" s="22">
        <f>IF(AND($A4730="",$C4730=""),"",IF($A4730="","Thiếu mã đơn; ","")&amp;IF(COUNTIF($A$2:$A4730,$A4730)&gt;1,"Trùng mã đơn; ","")&amp;IF(ISNA(MATCH($C4730,DATA_MASTER!$D$2:$D$5000,0)),"SĐT chưa đăng ký hội viên; ","")&amp;IF(AND($L4730="Đã chuyển khoản",$M4730=""),"Thiếu ngày nhận CK; ",""))</f>
        <v/>
      </c>
      <c r="T4730" s="24" t="n"/>
    </row>
    <row r="4731" ht="14.25" customHeight="1" s="40">
      <c r="A4731" s="24" t="n"/>
      <c r="B4731" s="29" t="n"/>
      <c r="C4731" s="28" t="n"/>
      <c r="D4731" s="22">
        <f t="array" ref="D4731">IF($C4731="","",IFERROR(INDEX(DATA_MASTER!$C$2:$C$5000,MATCH($C4731,DATA_MASTER!$D$2:$D$5000,0)),""))</f>
        <v/>
      </c>
      <c r="E4731" s="22">
        <f t="array" ref="E4731">IF($C4731="","",IFERROR(INDEX(DATA_MASTER!$I$2:$I$5000,MATCH($C4731,DATA_MASTER!$D$2:$D$5000,0)),""))</f>
        <v/>
      </c>
      <c r="F4731" s="22">
        <f t="array" ref="F4731">IF($C4731="","",IFERROR(INDEX(DATA_MASTER!$L$2:$L$5000,MATCH($C4731,DATA_MASTER!$D$2:$D$5000,0)),""))</f>
        <v/>
      </c>
      <c r="G4731" s="24" t="n"/>
      <c r="H4731" s="24" t="n"/>
      <c r="I4731" s="30" t="n"/>
      <c r="J4731" s="23">
        <f>IF(OR($H4731="",$I4731=""),"",$H4731*$I4731)</f>
        <v/>
      </c>
      <c r="K4731" s="24" t="n"/>
      <c r="L4731" s="24" t="n"/>
      <c r="M4731" s="29" t="n"/>
      <c r="N4731" s="28" t="n"/>
      <c r="O4731" s="24" t="n"/>
      <c r="P4731" s="24" t="n"/>
      <c r="Q4731" s="24" t="n"/>
      <c r="R4731" s="24" t="n"/>
      <c r="S4731" s="22">
        <f>IF(AND($A4731="",$C4731=""),"",IF($A4731="","Thiếu mã đơn; ","")&amp;IF(COUNTIF($A$2:$A4731,$A4731)&gt;1,"Trùng mã đơn; ","")&amp;IF(ISNA(MATCH($C4731,DATA_MASTER!$D$2:$D$5000,0)),"SĐT chưa đăng ký hội viên; ","")&amp;IF(AND($L4731="Đã chuyển khoản",$M4731=""),"Thiếu ngày nhận CK; ",""))</f>
        <v/>
      </c>
      <c r="T4731" s="24" t="n"/>
    </row>
    <row r="4732" ht="14.25" customHeight="1" s="40">
      <c r="A4732" s="24" t="n"/>
      <c r="B4732" s="29" t="n"/>
      <c r="C4732" s="28" t="n"/>
      <c r="D4732" s="22">
        <f t="array" ref="D4732">IF($C4732="","",IFERROR(INDEX(DATA_MASTER!$C$2:$C$5000,MATCH($C4732,DATA_MASTER!$D$2:$D$5000,0)),""))</f>
        <v/>
      </c>
      <c r="E4732" s="22">
        <f t="array" ref="E4732">IF($C4732="","",IFERROR(INDEX(DATA_MASTER!$I$2:$I$5000,MATCH($C4732,DATA_MASTER!$D$2:$D$5000,0)),""))</f>
        <v/>
      </c>
      <c r="F4732" s="22">
        <f t="array" ref="F4732">IF($C4732="","",IFERROR(INDEX(DATA_MASTER!$L$2:$L$5000,MATCH($C4732,DATA_MASTER!$D$2:$D$5000,0)),""))</f>
        <v/>
      </c>
      <c r="G4732" s="24" t="n"/>
      <c r="H4732" s="24" t="n"/>
      <c r="I4732" s="30" t="n"/>
      <c r="J4732" s="23">
        <f>IF(OR($H4732="",$I4732=""),"",$H4732*$I4732)</f>
        <v/>
      </c>
      <c r="K4732" s="24" t="n"/>
      <c r="L4732" s="24" t="n"/>
      <c r="M4732" s="29" t="n"/>
      <c r="N4732" s="28" t="n"/>
      <c r="O4732" s="24" t="n"/>
      <c r="P4732" s="24" t="n"/>
      <c r="Q4732" s="24" t="n"/>
      <c r="R4732" s="24" t="n"/>
      <c r="S4732" s="22">
        <f>IF(AND($A4732="",$C4732=""),"",IF($A4732="","Thiếu mã đơn; ","")&amp;IF(COUNTIF($A$2:$A4732,$A4732)&gt;1,"Trùng mã đơn; ","")&amp;IF(ISNA(MATCH($C4732,DATA_MASTER!$D$2:$D$5000,0)),"SĐT chưa đăng ký hội viên; ","")&amp;IF(AND($L4732="Đã chuyển khoản",$M4732=""),"Thiếu ngày nhận CK; ",""))</f>
        <v/>
      </c>
      <c r="T4732" s="24" t="n"/>
    </row>
    <row r="4733" ht="14.25" customHeight="1" s="40">
      <c r="A4733" s="24" t="n"/>
      <c r="B4733" s="29" t="n"/>
      <c r="C4733" s="28" t="n"/>
      <c r="D4733" s="22">
        <f t="array" ref="D4733">IF($C4733="","",IFERROR(INDEX(DATA_MASTER!$C$2:$C$5000,MATCH($C4733,DATA_MASTER!$D$2:$D$5000,0)),""))</f>
        <v/>
      </c>
      <c r="E4733" s="22">
        <f t="array" ref="E4733">IF($C4733="","",IFERROR(INDEX(DATA_MASTER!$I$2:$I$5000,MATCH($C4733,DATA_MASTER!$D$2:$D$5000,0)),""))</f>
        <v/>
      </c>
      <c r="F4733" s="22">
        <f t="array" ref="F4733">IF($C4733="","",IFERROR(INDEX(DATA_MASTER!$L$2:$L$5000,MATCH($C4733,DATA_MASTER!$D$2:$D$5000,0)),""))</f>
        <v/>
      </c>
      <c r="G4733" s="24" t="n"/>
      <c r="H4733" s="24" t="n"/>
      <c r="I4733" s="30" t="n"/>
      <c r="J4733" s="23">
        <f>IF(OR($H4733="",$I4733=""),"",$H4733*$I4733)</f>
        <v/>
      </c>
      <c r="K4733" s="24" t="n"/>
      <c r="L4733" s="24" t="n"/>
      <c r="M4733" s="29" t="n"/>
      <c r="N4733" s="28" t="n"/>
      <c r="O4733" s="24" t="n"/>
      <c r="P4733" s="24" t="n"/>
      <c r="Q4733" s="24" t="n"/>
      <c r="R4733" s="24" t="n"/>
      <c r="S4733" s="22">
        <f>IF(AND($A4733="",$C4733=""),"",IF($A4733="","Thiếu mã đơn; ","")&amp;IF(COUNTIF($A$2:$A4733,$A4733)&gt;1,"Trùng mã đơn; ","")&amp;IF(ISNA(MATCH($C4733,DATA_MASTER!$D$2:$D$5000,0)),"SĐT chưa đăng ký hội viên; ","")&amp;IF(AND($L4733="Đã chuyển khoản",$M4733=""),"Thiếu ngày nhận CK; ",""))</f>
        <v/>
      </c>
      <c r="T4733" s="24" t="n"/>
    </row>
    <row r="4734" ht="14.25" customHeight="1" s="40">
      <c r="A4734" s="24" t="n"/>
      <c r="B4734" s="29" t="n"/>
      <c r="C4734" s="28" t="n"/>
      <c r="D4734" s="22">
        <f t="array" ref="D4734">IF($C4734="","",IFERROR(INDEX(DATA_MASTER!$C$2:$C$5000,MATCH($C4734,DATA_MASTER!$D$2:$D$5000,0)),""))</f>
        <v/>
      </c>
      <c r="E4734" s="22">
        <f t="array" ref="E4734">IF($C4734="","",IFERROR(INDEX(DATA_MASTER!$I$2:$I$5000,MATCH($C4734,DATA_MASTER!$D$2:$D$5000,0)),""))</f>
        <v/>
      </c>
      <c r="F4734" s="22">
        <f t="array" ref="F4734">IF($C4734="","",IFERROR(INDEX(DATA_MASTER!$L$2:$L$5000,MATCH($C4734,DATA_MASTER!$D$2:$D$5000,0)),""))</f>
        <v/>
      </c>
      <c r="G4734" s="24" t="n"/>
      <c r="H4734" s="24" t="n"/>
      <c r="I4734" s="30" t="n"/>
      <c r="J4734" s="23">
        <f>IF(OR($H4734="",$I4734=""),"",$H4734*$I4734)</f>
        <v/>
      </c>
      <c r="K4734" s="24" t="n"/>
      <c r="L4734" s="24" t="n"/>
      <c r="M4734" s="29" t="n"/>
      <c r="N4734" s="28" t="n"/>
      <c r="O4734" s="24" t="n"/>
      <c r="P4734" s="24" t="n"/>
      <c r="Q4734" s="24" t="n"/>
      <c r="R4734" s="24" t="n"/>
      <c r="S4734" s="22">
        <f>IF(AND($A4734="",$C4734=""),"",IF($A4734="","Thiếu mã đơn; ","")&amp;IF(COUNTIF($A$2:$A4734,$A4734)&gt;1,"Trùng mã đơn; ","")&amp;IF(ISNA(MATCH($C4734,DATA_MASTER!$D$2:$D$5000,0)),"SĐT chưa đăng ký hội viên; ","")&amp;IF(AND($L4734="Đã chuyển khoản",$M4734=""),"Thiếu ngày nhận CK; ",""))</f>
        <v/>
      </c>
      <c r="T4734" s="24" t="n"/>
    </row>
    <row r="4735" ht="14.25" customHeight="1" s="40">
      <c r="A4735" s="24" t="n"/>
      <c r="B4735" s="29" t="n"/>
      <c r="C4735" s="28" t="n"/>
      <c r="D4735" s="22">
        <f t="array" ref="D4735">IF($C4735="","",IFERROR(INDEX(DATA_MASTER!$C$2:$C$5000,MATCH($C4735,DATA_MASTER!$D$2:$D$5000,0)),""))</f>
        <v/>
      </c>
      <c r="E4735" s="22">
        <f t="array" ref="E4735">IF($C4735="","",IFERROR(INDEX(DATA_MASTER!$I$2:$I$5000,MATCH($C4735,DATA_MASTER!$D$2:$D$5000,0)),""))</f>
        <v/>
      </c>
      <c r="F4735" s="22">
        <f t="array" ref="F4735">IF($C4735="","",IFERROR(INDEX(DATA_MASTER!$L$2:$L$5000,MATCH($C4735,DATA_MASTER!$D$2:$D$5000,0)),""))</f>
        <v/>
      </c>
      <c r="G4735" s="24" t="n"/>
      <c r="H4735" s="24" t="n"/>
      <c r="I4735" s="30" t="n"/>
      <c r="J4735" s="23">
        <f>IF(OR($H4735="",$I4735=""),"",$H4735*$I4735)</f>
        <v/>
      </c>
      <c r="K4735" s="24" t="n"/>
      <c r="L4735" s="24" t="n"/>
      <c r="M4735" s="29" t="n"/>
      <c r="N4735" s="28" t="n"/>
      <c r="O4735" s="24" t="n"/>
      <c r="P4735" s="24" t="n"/>
      <c r="Q4735" s="24" t="n"/>
      <c r="R4735" s="24" t="n"/>
      <c r="S4735" s="22">
        <f>IF(AND($A4735="",$C4735=""),"",IF($A4735="","Thiếu mã đơn; ","")&amp;IF(COUNTIF($A$2:$A4735,$A4735)&gt;1,"Trùng mã đơn; ","")&amp;IF(ISNA(MATCH($C4735,DATA_MASTER!$D$2:$D$5000,0)),"SĐT chưa đăng ký hội viên; ","")&amp;IF(AND($L4735="Đã chuyển khoản",$M4735=""),"Thiếu ngày nhận CK; ",""))</f>
        <v/>
      </c>
      <c r="T4735" s="24" t="n"/>
    </row>
    <row r="4736" ht="14.25" customHeight="1" s="40">
      <c r="A4736" s="24" t="n"/>
      <c r="B4736" s="29" t="n"/>
      <c r="C4736" s="28" t="n"/>
      <c r="D4736" s="22">
        <f t="array" ref="D4736">IF($C4736="","",IFERROR(INDEX(DATA_MASTER!$C$2:$C$5000,MATCH($C4736,DATA_MASTER!$D$2:$D$5000,0)),""))</f>
        <v/>
      </c>
      <c r="E4736" s="22">
        <f t="array" ref="E4736">IF($C4736="","",IFERROR(INDEX(DATA_MASTER!$I$2:$I$5000,MATCH($C4736,DATA_MASTER!$D$2:$D$5000,0)),""))</f>
        <v/>
      </c>
      <c r="F4736" s="22">
        <f t="array" ref="F4736">IF($C4736="","",IFERROR(INDEX(DATA_MASTER!$L$2:$L$5000,MATCH($C4736,DATA_MASTER!$D$2:$D$5000,0)),""))</f>
        <v/>
      </c>
      <c r="G4736" s="24" t="n"/>
      <c r="H4736" s="24" t="n"/>
      <c r="I4736" s="30" t="n"/>
      <c r="J4736" s="23">
        <f>IF(OR($H4736="",$I4736=""),"",$H4736*$I4736)</f>
        <v/>
      </c>
      <c r="K4736" s="24" t="n"/>
      <c r="L4736" s="24" t="n"/>
      <c r="M4736" s="29" t="n"/>
      <c r="N4736" s="28" t="n"/>
      <c r="O4736" s="24" t="n"/>
      <c r="P4736" s="24" t="n"/>
      <c r="Q4736" s="24" t="n"/>
      <c r="R4736" s="24" t="n"/>
      <c r="S4736" s="22">
        <f>IF(AND($A4736="",$C4736=""),"",IF($A4736="","Thiếu mã đơn; ","")&amp;IF(COUNTIF($A$2:$A4736,$A4736)&gt;1,"Trùng mã đơn; ","")&amp;IF(ISNA(MATCH($C4736,DATA_MASTER!$D$2:$D$5000,0)),"SĐT chưa đăng ký hội viên; ","")&amp;IF(AND($L4736="Đã chuyển khoản",$M4736=""),"Thiếu ngày nhận CK; ",""))</f>
        <v/>
      </c>
      <c r="T4736" s="24" t="n"/>
    </row>
    <row r="4737" ht="14.25" customHeight="1" s="40">
      <c r="A4737" s="24" t="n"/>
      <c r="B4737" s="29" t="n"/>
      <c r="C4737" s="28" t="n"/>
      <c r="D4737" s="22">
        <f t="array" ref="D4737">IF($C4737="","",IFERROR(INDEX(DATA_MASTER!$C$2:$C$5000,MATCH($C4737,DATA_MASTER!$D$2:$D$5000,0)),""))</f>
        <v/>
      </c>
      <c r="E4737" s="22">
        <f t="array" ref="E4737">IF($C4737="","",IFERROR(INDEX(DATA_MASTER!$I$2:$I$5000,MATCH($C4737,DATA_MASTER!$D$2:$D$5000,0)),""))</f>
        <v/>
      </c>
      <c r="F4737" s="22">
        <f t="array" ref="F4737">IF($C4737="","",IFERROR(INDEX(DATA_MASTER!$L$2:$L$5000,MATCH($C4737,DATA_MASTER!$D$2:$D$5000,0)),""))</f>
        <v/>
      </c>
      <c r="G4737" s="24" t="n"/>
      <c r="H4737" s="24" t="n"/>
      <c r="I4737" s="30" t="n"/>
      <c r="J4737" s="23">
        <f>IF(OR($H4737="",$I4737=""),"",$H4737*$I4737)</f>
        <v/>
      </c>
      <c r="K4737" s="24" t="n"/>
      <c r="L4737" s="24" t="n"/>
      <c r="M4737" s="29" t="n"/>
      <c r="N4737" s="28" t="n"/>
      <c r="O4737" s="24" t="n"/>
      <c r="P4737" s="24" t="n"/>
      <c r="Q4737" s="24" t="n"/>
      <c r="R4737" s="24" t="n"/>
      <c r="S4737" s="22">
        <f>IF(AND($A4737="",$C4737=""),"",IF($A4737="","Thiếu mã đơn; ","")&amp;IF(COUNTIF($A$2:$A4737,$A4737)&gt;1,"Trùng mã đơn; ","")&amp;IF(ISNA(MATCH($C4737,DATA_MASTER!$D$2:$D$5000,0)),"SĐT chưa đăng ký hội viên; ","")&amp;IF(AND($L4737="Đã chuyển khoản",$M4737=""),"Thiếu ngày nhận CK; ",""))</f>
        <v/>
      </c>
      <c r="T4737" s="24" t="n"/>
    </row>
    <row r="4738" ht="14.25" customHeight="1" s="40">
      <c r="A4738" s="24" t="n"/>
      <c r="B4738" s="29" t="n"/>
      <c r="C4738" s="28" t="n"/>
      <c r="D4738" s="22">
        <f t="array" ref="D4738">IF($C4738="","",IFERROR(INDEX(DATA_MASTER!$C$2:$C$5000,MATCH($C4738,DATA_MASTER!$D$2:$D$5000,0)),""))</f>
        <v/>
      </c>
      <c r="E4738" s="22">
        <f t="array" ref="E4738">IF($C4738="","",IFERROR(INDEX(DATA_MASTER!$I$2:$I$5000,MATCH($C4738,DATA_MASTER!$D$2:$D$5000,0)),""))</f>
        <v/>
      </c>
      <c r="F4738" s="22">
        <f t="array" ref="F4738">IF($C4738="","",IFERROR(INDEX(DATA_MASTER!$L$2:$L$5000,MATCH($C4738,DATA_MASTER!$D$2:$D$5000,0)),""))</f>
        <v/>
      </c>
      <c r="G4738" s="24" t="n"/>
      <c r="H4738" s="24" t="n"/>
      <c r="I4738" s="30" t="n"/>
      <c r="J4738" s="23">
        <f>IF(OR($H4738="",$I4738=""),"",$H4738*$I4738)</f>
        <v/>
      </c>
      <c r="K4738" s="24" t="n"/>
      <c r="L4738" s="24" t="n"/>
      <c r="M4738" s="29" t="n"/>
      <c r="N4738" s="28" t="n"/>
      <c r="O4738" s="24" t="n"/>
      <c r="P4738" s="24" t="n"/>
      <c r="Q4738" s="24" t="n"/>
      <c r="R4738" s="24" t="n"/>
      <c r="S4738" s="22">
        <f>IF(AND($A4738="",$C4738=""),"",IF($A4738="","Thiếu mã đơn; ","")&amp;IF(COUNTIF($A$2:$A4738,$A4738)&gt;1,"Trùng mã đơn; ","")&amp;IF(ISNA(MATCH($C4738,DATA_MASTER!$D$2:$D$5000,0)),"SĐT chưa đăng ký hội viên; ","")&amp;IF(AND($L4738="Đã chuyển khoản",$M4738=""),"Thiếu ngày nhận CK; ",""))</f>
        <v/>
      </c>
      <c r="T4738" s="24" t="n"/>
    </row>
    <row r="4739" ht="14.25" customHeight="1" s="40">
      <c r="A4739" s="24" t="n"/>
      <c r="B4739" s="29" t="n"/>
      <c r="C4739" s="28" t="n"/>
      <c r="D4739" s="22">
        <f t="array" ref="D4739">IF($C4739="","",IFERROR(INDEX(DATA_MASTER!$C$2:$C$5000,MATCH($C4739,DATA_MASTER!$D$2:$D$5000,0)),""))</f>
        <v/>
      </c>
      <c r="E4739" s="22">
        <f t="array" ref="E4739">IF($C4739="","",IFERROR(INDEX(DATA_MASTER!$I$2:$I$5000,MATCH($C4739,DATA_MASTER!$D$2:$D$5000,0)),""))</f>
        <v/>
      </c>
      <c r="F4739" s="22">
        <f t="array" ref="F4739">IF($C4739="","",IFERROR(INDEX(DATA_MASTER!$L$2:$L$5000,MATCH($C4739,DATA_MASTER!$D$2:$D$5000,0)),""))</f>
        <v/>
      </c>
      <c r="G4739" s="24" t="n"/>
      <c r="H4739" s="24" t="n"/>
      <c r="I4739" s="30" t="n"/>
      <c r="J4739" s="23">
        <f>IF(OR($H4739="",$I4739=""),"",$H4739*$I4739)</f>
        <v/>
      </c>
      <c r="K4739" s="24" t="n"/>
      <c r="L4739" s="24" t="n"/>
      <c r="M4739" s="29" t="n"/>
      <c r="N4739" s="28" t="n"/>
      <c r="O4739" s="24" t="n"/>
      <c r="P4739" s="24" t="n"/>
      <c r="Q4739" s="24" t="n"/>
      <c r="R4739" s="24" t="n"/>
      <c r="S4739" s="22">
        <f>IF(AND($A4739="",$C4739=""),"",IF($A4739="","Thiếu mã đơn; ","")&amp;IF(COUNTIF($A$2:$A4739,$A4739)&gt;1,"Trùng mã đơn; ","")&amp;IF(ISNA(MATCH($C4739,DATA_MASTER!$D$2:$D$5000,0)),"SĐT chưa đăng ký hội viên; ","")&amp;IF(AND($L4739="Đã chuyển khoản",$M4739=""),"Thiếu ngày nhận CK; ",""))</f>
        <v/>
      </c>
      <c r="T4739" s="24" t="n"/>
    </row>
    <row r="4740" ht="14.25" customHeight="1" s="40">
      <c r="A4740" s="24" t="n"/>
      <c r="B4740" s="29" t="n"/>
      <c r="C4740" s="28" t="n"/>
      <c r="D4740" s="22">
        <f t="array" ref="D4740">IF($C4740="","",IFERROR(INDEX(DATA_MASTER!$C$2:$C$5000,MATCH($C4740,DATA_MASTER!$D$2:$D$5000,0)),""))</f>
        <v/>
      </c>
      <c r="E4740" s="22">
        <f t="array" ref="E4740">IF($C4740="","",IFERROR(INDEX(DATA_MASTER!$I$2:$I$5000,MATCH($C4740,DATA_MASTER!$D$2:$D$5000,0)),""))</f>
        <v/>
      </c>
      <c r="F4740" s="22">
        <f t="array" ref="F4740">IF($C4740="","",IFERROR(INDEX(DATA_MASTER!$L$2:$L$5000,MATCH($C4740,DATA_MASTER!$D$2:$D$5000,0)),""))</f>
        <v/>
      </c>
      <c r="G4740" s="24" t="n"/>
      <c r="H4740" s="24" t="n"/>
      <c r="I4740" s="30" t="n"/>
      <c r="J4740" s="23">
        <f>IF(OR($H4740="",$I4740=""),"",$H4740*$I4740)</f>
        <v/>
      </c>
      <c r="K4740" s="24" t="n"/>
      <c r="L4740" s="24" t="n"/>
      <c r="M4740" s="29" t="n"/>
      <c r="N4740" s="28" t="n"/>
      <c r="O4740" s="24" t="n"/>
      <c r="P4740" s="24" t="n"/>
      <c r="Q4740" s="24" t="n"/>
      <c r="R4740" s="24" t="n"/>
      <c r="S4740" s="22">
        <f>IF(AND($A4740="",$C4740=""),"",IF($A4740="","Thiếu mã đơn; ","")&amp;IF(COUNTIF($A$2:$A4740,$A4740)&gt;1,"Trùng mã đơn; ","")&amp;IF(ISNA(MATCH($C4740,DATA_MASTER!$D$2:$D$5000,0)),"SĐT chưa đăng ký hội viên; ","")&amp;IF(AND($L4740="Đã chuyển khoản",$M4740=""),"Thiếu ngày nhận CK; ",""))</f>
        <v/>
      </c>
      <c r="T4740" s="24" t="n"/>
    </row>
    <row r="4741" ht="14.25" customHeight="1" s="40">
      <c r="A4741" s="24" t="n"/>
      <c r="B4741" s="29" t="n"/>
      <c r="C4741" s="28" t="n"/>
      <c r="D4741" s="22">
        <f t="array" ref="D4741">IF($C4741="","",IFERROR(INDEX(DATA_MASTER!$C$2:$C$5000,MATCH($C4741,DATA_MASTER!$D$2:$D$5000,0)),""))</f>
        <v/>
      </c>
      <c r="E4741" s="22">
        <f t="array" ref="E4741">IF($C4741="","",IFERROR(INDEX(DATA_MASTER!$I$2:$I$5000,MATCH($C4741,DATA_MASTER!$D$2:$D$5000,0)),""))</f>
        <v/>
      </c>
      <c r="F4741" s="22">
        <f t="array" ref="F4741">IF($C4741="","",IFERROR(INDEX(DATA_MASTER!$L$2:$L$5000,MATCH($C4741,DATA_MASTER!$D$2:$D$5000,0)),""))</f>
        <v/>
      </c>
      <c r="G4741" s="24" t="n"/>
      <c r="H4741" s="24" t="n"/>
      <c r="I4741" s="30" t="n"/>
      <c r="J4741" s="23">
        <f>IF(OR($H4741="",$I4741=""),"",$H4741*$I4741)</f>
        <v/>
      </c>
      <c r="K4741" s="24" t="n"/>
      <c r="L4741" s="24" t="n"/>
      <c r="M4741" s="29" t="n"/>
      <c r="N4741" s="28" t="n"/>
      <c r="O4741" s="24" t="n"/>
      <c r="P4741" s="24" t="n"/>
      <c r="Q4741" s="24" t="n"/>
      <c r="R4741" s="24" t="n"/>
      <c r="S4741" s="22">
        <f>IF(AND($A4741="",$C4741=""),"",IF($A4741="","Thiếu mã đơn; ","")&amp;IF(COUNTIF($A$2:$A4741,$A4741)&gt;1,"Trùng mã đơn; ","")&amp;IF(ISNA(MATCH($C4741,DATA_MASTER!$D$2:$D$5000,0)),"SĐT chưa đăng ký hội viên; ","")&amp;IF(AND($L4741="Đã chuyển khoản",$M4741=""),"Thiếu ngày nhận CK; ",""))</f>
        <v/>
      </c>
      <c r="T4741" s="24" t="n"/>
    </row>
    <row r="4742" ht="14.25" customHeight="1" s="40">
      <c r="A4742" s="24" t="n"/>
      <c r="B4742" s="29" t="n"/>
      <c r="C4742" s="28" t="n"/>
      <c r="D4742" s="22">
        <f t="array" ref="D4742">IF($C4742="","",IFERROR(INDEX(DATA_MASTER!$C$2:$C$5000,MATCH($C4742,DATA_MASTER!$D$2:$D$5000,0)),""))</f>
        <v/>
      </c>
      <c r="E4742" s="22">
        <f t="array" ref="E4742">IF($C4742="","",IFERROR(INDEX(DATA_MASTER!$I$2:$I$5000,MATCH($C4742,DATA_MASTER!$D$2:$D$5000,0)),""))</f>
        <v/>
      </c>
      <c r="F4742" s="22">
        <f t="array" ref="F4742">IF($C4742="","",IFERROR(INDEX(DATA_MASTER!$L$2:$L$5000,MATCH($C4742,DATA_MASTER!$D$2:$D$5000,0)),""))</f>
        <v/>
      </c>
      <c r="G4742" s="24" t="n"/>
      <c r="H4742" s="24" t="n"/>
      <c r="I4742" s="30" t="n"/>
      <c r="J4742" s="23">
        <f>IF(OR($H4742="",$I4742=""),"",$H4742*$I4742)</f>
        <v/>
      </c>
      <c r="K4742" s="24" t="n"/>
      <c r="L4742" s="24" t="n"/>
      <c r="M4742" s="29" t="n"/>
      <c r="N4742" s="28" t="n"/>
      <c r="O4742" s="24" t="n"/>
      <c r="P4742" s="24" t="n"/>
      <c r="Q4742" s="24" t="n"/>
      <c r="R4742" s="24" t="n"/>
      <c r="S4742" s="22">
        <f>IF(AND($A4742="",$C4742=""),"",IF($A4742="","Thiếu mã đơn; ","")&amp;IF(COUNTIF($A$2:$A4742,$A4742)&gt;1,"Trùng mã đơn; ","")&amp;IF(ISNA(MATCH($C4742,DATA_MASTER!$D$2:$D$5000,0)),"SĐT chưa đăng ký hội viên; ","")&amp;IF(AND($L4742="Đã chuyển khoản",$M4742=""),"Thiếu ngày nhận CK; ",""))</f>
        <v/>
      </c>
      <c r="T4742" s="24" t="n"/>
    </row>
    <row r="4743" ht="14.25" customHeight="1" s="40">
      <c r="A4743" s="24" t="n"/>
      <c r="B4743" s="29" t="n"/>
      <c r="C4743" s="28" t="n"/>
      <c r="D4743" s="22">
        <f t="array" ref="D4743">IF($C4743="","",IFERROR(INDEX(DATA_MASTER!$C$2:$C$5000,MATCH($C4743,DATA_MASTER!$D$2:$D$5000,0)),""))</f>
        <v/>
      </c>
      <c r="E4743" s="22">
        <f t="array" ref="E4743">IF($C4743="","",IFERROR(INDEX(DATA_MASTER!$I$2:$I$5000,MATCH($C4743,DATA_MASTER!$D$2:$D$5000,0)),""))</f>
        <v/>
      </c>
      <c r="F4743" s="22">
        <f t="array" ref="F4743">IF($C4743="","",IFERROR(INDEX(DATA_MASTER!$L$2:$L$5000,MATCH($C4743,DATA_MASTER!$D$2:$D$5000,0)),""))</f>
        <v/>
      </c>
      <c r="G4743" s="24" t="n"/>
      <c r="H4743" s="24" t="n"/>
      <c r="I4743" s="30" t="n"/>
      <c r="J4743" s="23">
        <f>IF(OR($H4743="",$I4743=""),"",$H4743*$I4743)</f>
        <v/>
      </c>
      <c r="K4743" s="24" t="n"/>
      <c r="L4743" s="24" t="n"/>
      <c r="M4743" s="29" t="n"/>
      <c r="N4743" s="28" t="n"/>
      <c r="O4743" s="24" t="n"/>
      <c r="P4743" s="24" t="n"/>
      <c r="Q4743" s="24" t="n"/>
      <c r="R4743" s="24" t="n"/>
      <c r="S4743" s="22">
        <f>IF(AND($A4743="",$C4743=""),"",IF($A4743="","Thiếu mã đơn; ","")&amp;IF(COUNTIF($A$2:$A4743,$A4743)&gt;1,"Trùng mã đơn; ","")&amp;IF(ISNA(MATCH($C4743,DATA_MASTER!$D$2:$D$5000,0)),"SĐT chưa đăng ký hội viên; ","")&amp;IF(AND($L4743="Đã chuyển khoản",$M4743=""),"Thiếu ngày nhận CK; ",""))</f>
        <v/>
      </c>
      <c r="T4743" s="24" t="n"/>
    </row>
    <row r="4744" ht="14.25" customHeight="1" s="40">
      <c r="A4744" s="24" t="n"/>
      <c r="B4744" s="29" t="n"/>
      <c r="C4744" s="28" t="n"/>
      <c r="D4744" s="22">
        <f t="array" ref="D4744">IF($C4744="","",IFERROR(INDEX(DATA_MASTER!$C$2:$C$5000,MATCH($C4744,DATA_MASTER!$D$2:$D$5000,0)),""))</f>
        <v/>
      </c>
      <c r="E4744" s="22">
        <f t="array" ref="E4744">IF($C4744="","",IFERROR(INDEX(DATA_MASTER!$I$2:$I$5000,MATCH($C4744,DATA_MASTER!$D$2:$D$5000,0)),""))</f>
        <v/>
      </c>
      <c r="F4744" s="22">
        <f t="array" ref="F4744">IF($C4744="","",IFERROR(INDEX(DATA_MASTER!$L$2:$L$5000,MATCH($C4744,DATA_MASTER!$D$2:$D$5000,0)),""))</f>
        <v/>
      </c>
      <c r="G4744" s="24" t="n"/>
      <c r="H4744" s="24" t="n"/>
      <c r="I4744" s="30" t="n"/>
      <c r="J4744" s="23">
        <f>IF(OR($H4744="",$I4744=""),"",$H4744*$I4744)</f>
        <v/>
      </c>
      <c r="K4744" s="24" t="n"/>
      <c r="L4744" s="24" t="n"/>
      <c r="M4744" s="29" t="n"/>
      <c r="N4744" s="28" t="n"/>
      <c r="O4744" s="24" t="n"/>
      <c r="P4744" s="24" t="n"/>
      <c r="Q4744" s="24" t="n"/>
      <c r="R4744" s="24" t="n"/>
      <c r="S4744" s="22">
        <f>IF(AND($A4744="",$C4744=""),"",IF($A4744="","Thiếu mã đơn; ","")&amp;IF(COUNTIF($A$2:$A4744,$A4744)&gt;1,"Trùng mã đơn; ","")&amp;IF(ISNA(MATCH($C4744,DATA_MASTER!$D$2:$D$5000,0)),"SĐT chưa đăng ký hội viên; ","")&amp;IF(AND($L4744="Đã chuyển khoản",$M4744=""),"Thiếu ngày nhận CK; ",""))</f>
        <v/>
      </c>
      <c r="T4744" s="24" t="n"/>
    </row>
    <row r="4745" ht="14.25" customHeight="1" s="40">
      <c r="A4745" s="24" t="n"/>
      <c r="B4745" s="29" t="n"/>
      <c r="C4745" s="28" t="n"/>
      <c r="D4745" s="22">
        <f t="array" ref="D4745">IF($C4745="","",IFERROR(INDEX(DATA_MASTER!$C$2:$C$5000,MATCH($C4745,DATA_MASTER!$D$2:$D$5000,0)),""))</f>
        <v/>
      </c>
      <c r="E4745" s="22">
        <f t="array" ref="E4745">IF($C4745="","",IFERROR(INDEX(DATA_MASTER!$I$2:$I$5000,MATCH($C4745,DATA_MASTER!$D$2:$D$5000,0)),""))</f>
        <v/>
      </c>
      <c r="F4745" s="22">
        <f t="array" ref="F4745">IF($C4745="","",IFERROR(INDEX(DATA_MASTER!$L$2:$L$5000,MATCH($C4745,DATA_MASTER!$D$2:$D$5000,0)),""))</f>
        <v/>
      </c>
      <c r="G4745" s="24" t="n"/>
      <c r="H4745" s="24" t="n"/>
      <c r="I4745" s="30" t="n"/>
      <c r="J4745" s="23">
        <f>IF(OR($H4745="",$I4745=""),"",$H4745*$I4745)</f>
        <v/>
      </c>
      <c r="K4745" s="24" t="n"/>
      <c r="L4745" s="24" t="n"/>
      <c r="M4745" s="29" t="n"/>
      <c r="N4745" s="28" t="n"/>
      <c r="O4745" s="24" t="n"/>
      <c r="P4745" s="24" t="n"/>
      <c r="Q4745" s="24" t="n"/>
      <c r="R4745" s="24" t="n"/>
      <c r="S4745" s="22">
        <f>IF(AND($A4745="",$C4745=""),"",IF($A4745="","Thiếu mã đơn; ","")&amp;IF(COUNTIF($A$2:$A4745,$A4745)&gt;1,"Trùng mã đơn; ","")&amp;IF(ISNA(MATCH($C4745,DATA_MASTER!$D$2:$D$5000,0)),"SĐT chưa đăng ký hội viên; ","")&amp;IF(AND($L4745="Đã chuyển khoản",$M4745=""),"Thiếu ngày nhận CK; ",""))</f>
        <v/>
      </c>
      <c r="T4745" s="24" t="n"/>
    </row>
    <row r="4746" ht="14.25" customHeight="1" s="40">
      <c r="A4746" s="24" t="n"/>
      <c r="B4746" s="29" t="n"/>
      <c r="C4746" s="28" t="n"/>
      <c r="D4746" s="22">
        <f t="array" ref="D4746">IF($C4746="","",IFERROR(INDEX(DATA_MASTER!$C$2:$C$5000,MATCH($C4746,DATA_MASTER!$D$2:$D$5000,0)),""))</f>
        <v/>
      </c>
      <c r="E4746" s="22">
        <f t="array" ref="E4746">IF($C4746="","",IFERROR(INDEX(DATA_MASTER!$I$2:$I$5000,MATCH($C4746,DATA_MASTER!$D$2:$D$5000,0)),""))</f>
        <v/>
      </c>
      <c r="F4746" s="22">
        <f t="array" ref="F4746">IF($C4746="","",IFERROR(INDEX(DATA_MASTER!$L$2:$L$5000,MATCH($C4746,DATA_MASTER!$D$2:$D$5000,0)),""))</f>
        <v/>
      </c>
      <c r="G4746" s="24" t="n"/>
      <c r="H4746" s="24" t="n"/>
      <c r="I4746" s="30" t="n"/>
      <c r="J4746" s="23">
        <f>IF(OR($H4746="",$I4746=""),"",$H4746*$I4746)</f>
        <v/>
      </c>
      <c r="K4746" s="24" t="n"/>
      <c r="L4746" s="24" t="n"/>
      <c r="M4746" s="29" t="n"/>
      <c r="N4746" s="28" t="n"/>
      <c r="O4746" s="24" t="n"/>
      <c r="P4746" s="24" t="n"/>
      <c r="Q4746" s="24" t="n"/>
      <c r="R4746" s="24" t="n"/>
      <c r="S4746" s="22">
        <f>IF(AND($A4746="",$C4746=""),"",IF($A4746="","Thiếu mã đơn; ","")&amp;IF(COUNTIF($A$2:$A4746,$A4746)&gt;1,"Trùng mã đơn; ","")&amp;IF(ISNA(MATCH($C4746,DATA_MASTER!$D$2:$D$5000,0)),"SĐT chưa đăng ký hội viên; ","")&amp;IF(AND($L4746="Đã chuyển khoản",$M4746=""),"Thiếu ngày nhận CK; ",""))</f>
        <v/>
      </c>
      <c r="T4746" s="24" t="n"/>
    </row>
    <row r="4747" ht="14.25" customHeight="1" s="40">
      <c r="A4747" s="24" t="n"/>
      <c r="B4747" s="29" t="n"/>
      <c r="C4747" s="28" t="n"/>
      <c r="D4747" s="22">
        <f t="array" ref="D4747">IF($C4747="","",IFERROR(INDEX(DATA_MASTER!$C$2:$C$5000,MATCH($C4747,DATA_MASTER!$D$2:$D$5000,0)),""))</f>
        <v/>
      </c>
      <c r="E4747" s="22">
        <f t="array" ref="E4747">IF($C4747="","",IFERROR(INDEX(DATA_MASTER!$I$2:$I$5000,MATCH($C4747,DATA_MASTER!$D$2:$D$5000,0)),""))</f>
        <v/>
      </c>
      <c r="F4747" s="22">
        <f t="array" ref="F4747">IF($C4747="","",IFERROR(INDEX(DATA_MASTER!$L$2:$L$5000,MATCH($C4747,DATA_MASTER!$D$2:$D$5000,0)),""))</f>
        <v/>
      </c>
      <c r="G4747" s="24" t="n"/>
      <c r="H4747" s="24" t="n"/>
      <c r="I4747" s="30" t="n"/>
      <c r="J4747" s="23">
        <f>IF(OR($H4747="",$I4747=""),"",$H4747*$I4747)</f>
        <v/>
      </c>
      <c r="K4747" s="24" t="n"/>
      <c r="L4747" s="24" t="n"/>
      <c r="M4747" s="29" t="n"/>
      <c r="N4747" s="28" t="n"/>
      <c r="O4747" s="24" t="n"/>
      <c r="P4747" s="24" t="n"/>
      <c r="Q4747" s="24" t="n"/>
      <c r="R4747" s="24" t="n"/>
      <c r="S4747" s="22">
        <f>IF(AND($A4747="",$C4747=""),"",IF($A4747="","Thiếu mã đơn; ","")&amp;IF(COUNTIF($A$2:$A4747,$A4747)&gt;1,"Trùng mã đơn; ","")&amp;IF(ISNA(MATCH($C4747,DATA_MASTER!$D$2:$D$5000,0)),"SĐT chưa đăng ký hội viên; ","")&amp;IF(AND($L4747="Đã chuyển khoản",$M4747=""),"Thiếu ngày nhận CK; ",""))</f>
        <v/>
      </c>
      <c r="T4747" s="24" t="n"/>
    </row>
    <row r="4748" ht="14.25" customHeight="1" s="40">
      <c r="A4748" s="24" t="n"/>
      <c r="B4748" s="29" t="n"/>
      <c r="C4748" s="28" t="n"/>
      <c r="D4748" s="22">
        <f t="array" ref="D4748">IF($C4748="","",IFERROR(INDEX(DATA_MASTER!$C$2:$C$5000,MATCH($C4748,DATA_MASTER!$D$2:$D$5000,0)),""))</f>
        <v/>
      </c>
      <c r="E4748" s="22">
        <f t="array" ref="E4748">IF($C4748="","",IFERROR(INDEX(DATA_MASTER!$I$2:$I$5000,MATCH($C4748,DATA_MASTER!$D$2:$D$5000,0)),""))</f>
        <v/>
      </c>
      <c r="F4748" s="22">
        <f t="array" ref="F4748">IF($C4748="","",IFERROR(INDEX(DATA_MASTER!$L$2:$L$5000,MATCH($C4748,DATA_MASTER!$D$2:$D$5000,0)),""))</f>
        <v/>
      </c>
      <c r="G4748" s="24" t="n"/>
      <c r="H4748" s="24" t="n"/>
      <c r="I4748" s="30" t="n"/>
      <c r="J4748" s="23">
        <f>IF(OR($H4748="",$I4748=""),"",$H4748*$I4748)</f>
        <v/>
      </c>
      <c r="K4748" s="24" t="n"/>
      <c r="L4748" s="24" t="n"/>
      <c r="M4748" s="29" t="n"/>
      <c r="N4748" s="28" t="n"/>
      <c r="O4748" s="24" t="n"/>
      <c r="P4748" s="24" t="n"/>
      <c r="Q4748" s="24" t="n"/>
      <c r="R4748" s="24" t="n"/>
      <c r="S4748" s="22">
        <f>IF(AND($A4748="",$C4748=""),"",IF($A4748="","Thiếu mã đơn; ","")&amp;IF(COUNTIF($A$2:$A4748,$A4748)&gt;1,"Trùng mã đơn; ","")&amp;IF(ISNA(MATCH($C4748,DATA_MASTER!$D$2:$D$5000,0)),"SĐT chưa đăng ký hội viên; ","")&amp;IF(AND($L4748="Đã chuyển khoản",$M4748=""),"Thiếu ngày nhận CK; ",""))</f>
        <v/>
      </c>
      <c r="T4748" s="24" t="n"/>
    </row>
    <row r="4749" ht="14.25" customHeight="1" s="40">
      <c r="A4749" s="24" t="n"/>
      <c r="B4749" s="29" t="n"/>
      <c r="C4749" s="28" t="n"/>
      <c r="D4749" s="22">
        <f t="array" ref="D4749">IF($C4749="","",IFERROR(INDEX(DATA_MASTER!$C$2:$C$5000,MATCH($C4749,DATA_MASTER!$D$2:$D$5000,0)),""))</f>
        <v/>
      </c>
      <c r="E4749" s="22">
        <f t="array" ref="E4749">IF($C4749="","",IFERROR(INDEX(DATA_MASTER!$I$2:$I$5000,MATCH($C4749,DATA_MASTER!$D$2:$D$5000,0)),""))</f>
        <v/>
      </c>
      <c r="F4749" s="22">
        <f t="array" ref="F4749">IF($C4749="","",IFERROR(INDEX(DATA_MASTER!$L$2:$L$5000,MATCH($C4749,DATA_MASTER!$D$2:$D$5000,0)),""))</f>
        <v/>
      </c>
      <c r="G4749" s="24" t="n"/>
      <c r="H4749" s="24" t="n"/>
      <c r="I4749" s="30" t="n"/>
      <c r="J4749" s="23">
        <f>IF(OR($H4749="",$I4749=""),"",$H4749*$I4749)</f>
        <v/>
      </c>
      <c r="K4749" s="24" t="n"/>
      <c r="L4749" s="24" t="n"/>
      <c r="M4749" s="29" t="n"/>
      <c r="N4749" s="28" t="n"/>
      <c r="O4749" s="24" t="n"/>
      <c r="P4749" s="24" t="n"/>
      <c r="Q4749" s="24" t="n"/>
      <c r="R4749" s="24" t="n"/>
      <c r="S4749" s="22">
        <f>IF(AND($A4749="",$C4749=""),"",IF($A4749="","Thiếu mã đơn; ","")&amp;IF(COUNTIF($A$2:$A4749,$A4749)&gt;1,"Trùng mã đơn; ","")&amp;IF(ISNA(MATCH($C4749,DATA_MASTER!$D$2:$D$5000,0)),"SĐT chưa đăng ký hội viên; ","")&amp;IF(AND($L4749="Đã chuyển khoản",$M4749=""),"Thiếu ngày nhận CK; ",""))</f>
        <v/>
      </c>
      <c r="T4749" s="24" t="n"/>
    </row>
    <row r="4750" ht="14.25" customHeight="1" s="40">
      <c r="A4750" s="24" t="n"/>
      <c r="B4750" s="29" t="n"/>
      <c r="C4750" s="28" t="n"/>
      <c r="D4750" s="22">
        <f t="array" ref="D4750">IF($C4750="","",IFERROR(INDEX(DATA_MASTER!$C$2:$C$5000,MATCH($C4750,DATA_MASTER!$D$2:$D$5000,0)),""))</f>
        <v/>
      </c>
      <c r="E4750" s="22">
        <f t="array" ref="E4750">IF($C4750="","",IFERROR(INDEX(DATA_MASTER!$I$2:$I$5000,MATCH($C4750,DATA_MASTER!$D$2:$D$5000,0)),""))</f>
        <v/>
      </c>
      <c r="F4750" s="22">
        <f t="array" ref="F4750">IF($C4750="","",IFERROR(INDEX(DATA_MASTER!$L$2:$L$5000,MATCH($C4750,DATA_MASTER!$D$2:$D$5000,0)),""))</f>
        <v/>
      </c>
      <c r="G4750" s="24" t="n"/>
      <c r="H4750" s="24" t="n"/>
      <c r="I4750" s="30" t="n"/>
      <c r="J4750" s="23">
        <f>IF(OR($H4750="",$I4750=""),"",$H4750*$I4750)</f>
        <v/>
      </c>
      <c r="K4750" s="24" t="n"/>
      <c r="L4750" s="24" t="n"/>
      <c r="M4750" s="29" t="n"/>
      <c r="N4750" s="28" t="n"/>
      <c r="O4750" s="24" t="n"/>
      <c r="P4750" s="24" t="n"/>
      <c r="Q4750" s="24" t="n"/>
      <c r="R4750" s="24" t="n"/>
      <c r="S4750" s="22">
        <f>IF(AND($A4750="",$C4750=""),"",IF($A4750="","Thiếu mã đơn; ","")&amp;IF(COUNTIF($A$2:$A4750,$A4750)&gt;1,"Trùng mã đơn; ","")&amp;IF(ISNA(MATCH($C4750,DATA_MASTER!$D$2:$D$5000,0)),"SĐT chưa đăng ký hội viên; ","")&amp;IF(AND($L4750="Đã chuyển khoản",$M4750=""),"Thiếu ngày nhận CK; ",""))</f>
        <v/>
      </c>
      <c r="T4750" s="24" t="n"/>
    </row>
    <row r="4751" ht="14.25" customHeight="1" s="40">
      <c r="A4751" s="24" t="n"/>
      <c r="B4751" s="29" t="n"/>
      <c r="C4751" s="28" t="n"/>
      <c r="D4751" s="22">
        <f t="array" ref="D4751">IF($C4751="","",IFERROR(INDEX(DATA_MASTER!$C$2:$C$5000,MATCH($C4751,DATA_MASTER!$D$2:$D$5000,0)),""))</f>
        <v/>
      </c>
      <c r="E4751" s="22">
        <f t="array" ref="E4751">IF($C4751="","",IFERROR(INDEX(DATA_MASTER!$I$2:$I$5000,MATCH($C4751,DATA_MASTER!$D$2:$D$5000,0)),""))</f>
        <v/>
      </c>
      <c r="F4751" s="22">
        <f t="array" ref="F4751">IF($C4751="","",IFERROR(INDEX(DATA_MASTER!$L$2:$L$5000,MATCH($C4751,DATA_MASTER!$D$2:$D$5000,0)),""))</f>
        <v/>
      </c>
      <c r="G4751" s="24" t="n"/>
      <c r="H4751" s="24" t="n"/>
      <c r="I4751" s="30" t="n"/>
      <c r="J4751" s="23">
        <f>IF(OR($H4751="",$I4751=""),"",$H4751*$I4751)</f>
        <v/>
      </c>
      <c r="K4751" s="24" t="n"/>
      <c r="L4751" s="24" t="n"/>
      <c r="M4751" s="29" t="n"/>
      <c r="N4751" s="28" t="n"/>
      <c r="O4751" s="24" t="n"/>
      <c r="P4751" s="24" t="n"/>
      <c r="Q4751" s="24" t="n"/>
      <c r="R4751" s="24" t="n"/>
      <c r="S4751" s="22">
        <f>IF(AND($A4751="",$C4751=""),"",IF($A4751="","Thiếu mã đơn; ","")&amp;IF(COUNTIF($A$2:$A4751,$A4751)&gt;1,"Trùng mã đơn; ","")&amp;IF(ISNA(MATCH($C4751,DATA_MASTER!$D$2:$D$5000,0)),"SĐT chưa đăng ký hội viên; ","")&amp;IF(AND($L4751="Đã chuyển khoản",$M4751=""),"Thiếu ngày nhận CK; ",""))</f>
        <v/>
      </c>
      <c r="T4751" s="24" t="n"/>
    </row>
    <row r="4752" ht="14.25" customHeight="1" s="40">
      <c r="A4752" s="24" t="n"/>
      <c r="B4752" s="29" t="n"/>
      <c r="C4752" s="28" t="n"/>
      <c r="D4752" s="22">
        <f t="array" ref="D4752">IF($C4752="","",IFERROR(INDEX(DATA_MASTER!$C$2:$C$5000,MATCH($C4752,DATA_MASTER!$D$2:$D$5000,0)),""))</f>
        <v/>
      </c>
      <c r="E4752" s="22">
        <f t="array" ref="E4752">IF($C4752="","",IFERROR(INDEX(DATA_MASTER!$I$2:$I$5000,MATCH($C4752,DATA_MASTER!$D$2:$D$5000,0)),""))</f>
        <v/>
      </c>
      <c r="F4752" s="22">
        <f t="array" ref="F4752">IF($C4752="","",IFERROR(INDEX(DATA_MASTER!$L$2:$L$5000,MATCH($C4752,DATA_MASTER!$D$2:$D$5000,0)),""))</f>
        <v/>
      </c>
      <c r="G4752" s="24" t="n"/>
      <c r="H4752" s="24" t="n"/>
      <c r="I4752" s="30" t="n"/>
      <c r="J4752" s="23">
        <f>IF(OR($H4752="",$I4752=""),"",$H4752*$I4752)</f>
        <v/>
      </c>
      <c r="K4752" s="24" t="n"/>
      <c r="L4752" s="24" t="n"/>
      <c r="M4752" s="29" t="n"/>
      <c r="N4752" s="28" t="n"/>
      <c r="O4752" s="24" t="n"/>
      <c r="P4752" s="24" t="n"/>
      <c r="Q4752" s="24" t="n"/>
      <c r="R4752" s="24" t="n"/>
      <c r="S4752" s="22">
        <f>IF(AND($A4752="",$C4752=""),"",IF($A4752="","Thiếu mã đơn; ","")&amp;IF(COUNTIF($A$2:$A4752,$A4752)&gt;1,"Trùng mã đơn; ","")&amp;IF(ISNA(MATCH($C4752,DATA_MASTER!$D$2:$D$5000,0)),"SĐT chưa đăng ký hội viên; ","")&amp;IF(AND($L4752="Đã chuyển khoản",$M4752=""),"Thiếu ngày nhận CK; ",""))</f>
        <v/>
      </c>
      <c r="T4752" s="24" t="n"/>
    </row>
    <row r="4753" ht="14.25" customHeight="1" s="40">
      <c r="A4753" s="24" t="n"/>
      <c r="B4753" s="29" t="n"/>
      <c r="C4753" s="28" t="n"/>
      <c r="D4753" s="22">
        <f t="array" ref="D4753">IF($C4753="","",IFERROR(INDEX(DATA_MASTER!$C$2:$C$5000,MATCH($C4753,DATA_MASTER!$D$2:$D$5000,0)),""))</f>
        <v/>
      </c>
      <c r="E4753" s="22">
        <f t="array" ref="E4753">IF($C4753="","",IFERROR(INDEX(DATA_MASTER!$I$2:$I$5000,MATCH($C4753,DATA_MASTER!$D$2:$D$5000,0)),""))</f>
        <v/>
      </c>
      <c r="F4753" s="22">
        <f t="array" ref="F4753">IF($C4753="","",IFERROR(INDEX(DATA_MASTER!$L$2:$L$5000,MATCH($C4753,DATA_MASTER!$D$2:$D$5000,0)),""))</f>
        <v/>
      </c>
      <c r="G4753" s="24" t="n"/>
      <c r="H4753" s="24" t="n"/>
      <c r="I4753" s="30" t="n"/>
      <c r="J4753" s="23">
        <f>IF(OR($H4753="",$I4753=""),"",$H4753*$I4753)</f>
        <v/>
      </c>
      <c r="K4753" s="24" t="n"/>
      <c r="L4753" s="24" t="n"/>
      <c r="M4753" s="29" t="n"/>
      <c r="N4753" s="28" t="n"/>
      <c r="O4753" s="24" t="n"/>
      <c r="P4753" s="24" t="n"/>
      <c r="Q4753" s="24" t="n"/>
      <c r="R4753" s="24" t="n"/>
      <c r="S4753" s="22">
        <f>IF(AND($A4753="",$C4753=""),"",IF($A4753="","Thiếu mã đơn; ","")&amp;IF(COUNTIF($A$2:$A4753,$A4753)&gt;1,"Trùng mã đơn; ","")&amp;IF(ISNA(MATCH($C4753,DATA_MASTER!$D$2:$D$5000,0)),"SĐT chưa đăng ký hội viên; ","")&amp;IF(AND($L4753="Đã chuyển khoản",$M4753=""),"Thiếu ngày nhận CK; ",""))</f>
        <v/>
      </c>
      <c r="T4753" s="24" t="n"/>
    </row>
    <row r="4754" ht="14.25" customHeight="1" s="40">
      <c r="A4754" s="24" t="n"/>
      <c r="B4754" s="29" t="n"/>
      <c r="C4754" s="28" t="n"/>
      <c r="D4754" s="22">
        <f t="array" ref="D4754">IF($C4754="","",IFERROR(INDEX(DATA_MASTER!$C$2:$C$5000,MATCH($C4754,DATA_MASTER!$D$2:$D$5000,0)),""))</f>
        <v/>
      </c>
      <c r="E4754" s="22">
        <f t="array" ref="E4754">IF($C4754="","",IFERROR(INDEX(DATA_MASTER!$I$2:$I$5000,MATCH($C4754,DATA_MASTER!$D$2:$D$5000,0)),""))</f>
        <v/>
      </c>
      <c r="F4754" s="22">
        <f t="array" ref="F4754">IF($C4754="","",IFERROR(INDEX(DATA_MASTER!$L$2:$L$5000,MATCH($C4754,DATA_MASTER!$D$2:$D$5000,0)),""))</f>
        <v/>
      </c>
      <c r="G4754" s="24" t="n"/>
      <c r="H4754" s="24" t="n"/>
      <c r="I4754" s="30" t="n"/>
      <c r="J4754" s="23">
        <f>IF(OR($H4754="",$I4754=""),"",$H4754*$I4754)</f>
        <v/>
      </c>
      <c r="K4754" s="24" t="n"/>
      <c r="L4754" s="24" t="n"/>
      <c r="M4754" s="29" t="n"/>
      <c r="N4754" s="28" t="n"/>
      <c r="O4754" s="24" t="n"/>
      <c r="P4754" s="24" t="n"/>
      <c r="Q4754" s="24" t="n"/>
      <c r="R4754" s="24" t="n"/>
      <c r="S4754" s="22">
        <f>IF(AND($A4754="",$C4754=""),"",IF($A4754="","Thiếu mã đơn; ","")&amp;IF(COUNTIF($A$2:$A4754,$A4754)&gt;1,"Trùng mã đơn; ","")&amp;IF(ISNA(MATCH($C4754,DATA_MASTER!$D$2:$D$5000,0)),"SĐT chưa đăng ký hội viên; ","")&amp;IF(AND($L4754="Đã chuyển khoản",$M4754=""),"Thiếu ngày nhận CK; ",""))</f>
        <v/>
      </c>
      <c r="T4754" s="24" t="n"/>
    </row>
    <row r="4755" ht="14.25" customHeight="1" s="40">
      <c r="A4755" s="24" t="n"/>
      <c r="B4755" s="29" t="n"/>
      <c r="C4755" s="28" t="n"/>
      <c r="D4755" s="22">
        <f t="array" ref="D4755">IF($C4755="","",IFERROR(INDEX(DATA_MASTER!$C$2:$C$5000,MATCH($C4755,DATA_MASTER!$D$2:$D$5000,0)),""))</f>
        <v/>
      </c>
      <c r="E4755" s="22">
        <f t="array" ref="E4755">IF($C4755="","",IFERROR(INDEX(DATA_MASTER!$I$2:$I$5000,MATCH($C4755,DATA_MASTER!$D$2:$D$5000,0)),""))</f>
        <v/>
      </c>
      <c r="F4755" s="22">
        <f t="array" ref="F4755">IF($C4755="","",IFERROR(INDEX(DATA_MASTER!$L$2:$L$5000,MATCH($C4755,DATA_MASTER!$D$2:$D$5000,0)),""))</f>
        <v/>
      </c>
      <c r="G4755" s="24" t="n"/>
      <c r="H4755" s="24" t="n"/>
      <c r="I4755" s="30" t="n"/>
      <c r="J4755" s="23">
        <f>IF(OR($H4755="",$I4755=""),"",$H4755*$I4755)</f>
        <v/>
      </c>
      <c r="K4755" s="24" t="n"/>
      <c r="L4755" s="24" t="n"/>
      <c r="M4755" s="29" t="n"/>
      <c r="N4755" s="28" t="n"/>
      <c r="O4755" s="24" t="n"/>
      <c r="P4755" s="24" t="n"/>
      <c r="Q4755" s="24" t="n"/>
      <c r="R4755" s="24" t="n"/>
      <c r="S4755" s="22">
        <f>IF(AND($A4755="",$C4755=""),"",IF($A4755="","Thiếu mã đơn; ","")&amp;IF(COUNTIF($A$2:$A4755,$A4755)&gt;1,"Trùng mã đơn; ","")&amp;IF(ISNA(MATCH($C4755,DATA_MASTER!$D$2:$D$5000,0)),"SĐT chưa đăng ký hội viên; ","")&amp;IF(AND($L4755="Đã chuyển khoản",$M4755=""),"Thiếu ngày nhận CK; ",""))</f>
        <v/>
      </c>
      <c r="T4755" s="24" t="n"/>
    </row>
    <row r="4756" ht="14.25" customHeight="1" s="40">
      <c r="A4756" s="24" t="n"/>
      <c r="B4756" s="29" t="n"/>
      <c r="C4756" s="28" t="n"/>
      <c r="D4756" s="22">
        <f t="array" ref="D4756">IF($C4756="","",IFERROR(INDEX(DATA_MASTER!$C$2:$C$5000,MATCH($C4756,DATA_MASTER!$D$2:$D$5000,0)),""))</f>
        <v/>
      </c>
      <c r="E4756" s="22">
        <f t="array" ref="E4756">IF($C4756="","",IFERROR(INDEX(DATA_MASTER!$I$2:$I$5000,MATCH($C4756,DATA_MASTER!$D$2:$D$5000,0)),""))</f>
        <v/>
      </c>
      <c r="F4756" s="22">
        <f t="array" ref="F4756">IF($C4756="","",IFERROR(INDEX(DATA_MASTER!$L$2:$L$5000,MATCH($C4756,DATA_MASTER!$D$2:$D$5000,0)),""))</f>
        <v/>
      </c>
      <c r="G4756" s="24" t="n"/>
      <c r="H4756" s="24" t="n"/>
      <c r="I4756" s="30" t="n"/>
      <c r="J4756" s="23">
        <f>IF(OR($H4756="",$I4756=""),"",$H4756*$I4756)</f>
        <v/>
      </c>
      <c r="K4756" s="24" t="n"/>
      <c r="L4756" s="24" t="n"/>
      <c r="M4756" s="29" t="n"/>
      <c r="N4756" s="28" t="n"/>
      <c r="O4756" s="24" t="n"/>
      <c r="P4756" s="24" t="n"/>
      <c r="Q4756" s="24" t="n"/>
      <c r="R4756" s="24" t="n"/>
      <c r="S4756" s="22">
        <f>IF(AND($A4756="",$C4756=""),"",IF($A4756="","Thiếu mã đơn; ","")&amp;IF(COUNTIF($A$2:$A4756,$A4756)&gt;1,"Trùng mã đơn; ","")&amp;IF(ISNA(MATCH($C4756,DATA_MASTER!$D$2:$D$5000,0)),"SĐT chưa đăng ký hội viên; ","")&amp;IF(AND($L4756="Đã chuyển khoản",$M4756=""),"Thiếu ngày nhận CK; ",""))</f>
        <v/>
      </c>
      <c r="T4756" s="24" t="n"/>
    </row>
    <row r="4757" ht="14.25" customHeight="1" s="40">
      <c r="A4757" s="24" t="n"/>
      <c r="B4757" s="29" t="n"/>
      <c r="C4757" s="28" t="n"/>
      <c r="D4757" s="22">
        <f t="array" ref="D4757">IF($C4757="","",IFERROR(INDEX(DATA_MASTER!$C$2:$C$5000,MATCH($C4757,DATA_MASTER!$D$2:$D$5000,0)),""))</f>
        <v/>
      </c>
      <c r="E4757" s="22">
        <f t="array" ref="E4757">IF($C4757="","",IFERROR(INDEX(DATA_MASTER!$I$2:$I$5000,MATCH($C4757,DATA_MASTER!$D$2:$D$5000,0)),""))</f>
        <v/>
      </c>
      <c r="F4757" s="22">
        <f t="array" ref="F4757">IF($C4757="","",IFERROR(INDEX(DATA_MASTER!$L$2:$L$5000,MATCH($C4757,DATA_MASTER!$D$2:$D$5000,0)),""))</f>
        <v/>
      </c>
      <c r="G4757" s="24" t="n"/>
      <c r="H4757" s="24" t="n"/>
      <c r="I4757" s="30" t="n"/>
      <c r="J4757" s="23">
        <f>IF(OR($H4757="",$I4757=""),"",$H4757*$I4757)</f>
        <v/>
      </c>
      <c r="K4757" s="24" t="n"/>
      <c r="L4757" s="24" t="n"/>
      <c r="M4757" s="29" t="n"/>
      <c r="N4757" s="28" t="n"/>
      <c r="O4757" s="24" t="n"/>
      <c r="P4757" s="24" t="n"/>
      <c r="Q4757" s="24" t="n"/>
      <c r="R4757" s="24" t="n"/>
      <c r="S4757" s="22">
        <f>IF(AND($A4757="",$C4757=""),"",IF($A4757="","Thiếu mã đơn; ","")&amp;IF(COUNTIF($A$2:$A4757,$A4757)&gt;1,"Trùng mã đơn; ","")&amp;IF(ISNA(MATCH($C4757,DATA_MASTER!$D$2:$D$5000,0)),"SĐT chưa đăng ký hội viên; ","")&amp;IF(AND($L4757="Đã chuyển khoản",$M4757=""),"Thiếu ngày nhận CK; ",""))</f>
        <v/>
      </c>
      <c r="T4757" s="24" t="n"/>
    </row>
    <row r="4758" ht="14.25" customHeight="1" s="40">
      <c r="A4758" s="24" t="n"/>
      <c r="B4758" s="29" t="n"/>
      <c r="C4758" s="28" t="n"/>
      <c r="D4758" s="22">
        <f t="array" ref="D4758">IF($C4758="","",IFERROR(INDEX(DATA_MASTER!$C$2:$C$5000,MATCH($C4758,DATA_MASTER!$D$2:$D$5000,0)),""))</f>
        <v/>
      </c>
      <c r="E4758" s="22">
        <f t="array" ref="E4758">IF($C4758="","",IFERROR(INDEX(DATA_MASTER!$I$2:$I$5000,MATCH($C4758,DATA_MASTER!$D$2:$D$5000,0)),""))</f>
        <v/>
      </c>
      <c r="F4758" s="22">
        <f t="array" ref="F4758">IF($C4758="","",IFERROR(INDEX(DATA_MASTER!$L$2:$L$5000,MATCH($C4758,DATA_MASTER!$D$2:$D$5000,0)),""))</f>
        <v/>
      </c>
      <c r="G4758" s="24" t="n"/>
      <c r="H4758" s="24" t="n"/>
      <c r="I4758" s="30" t="n"/>
      <c r="J4758" s="23">
        <f>IF(OR($H4758="",$I4758=""),"",$H4758*$I4758)</f>
        <v/>
      </c>
      <c r="K4758" s="24" t="n"/>
      <c r="L4758" s="24" t="n"/>
      <c r="M4758" s="29" t="n"/>
      <c r="N4758" s="28" t="n"/>
      <c r="O4758" s="24" t="n"/>
      <c r="P4758" s="24" t="n"/>
      <c r="Q4758" s="24" t="n"/>
      <c r="R4758" s="24" t="n"/>
      <c r="S4758" s="22">
        <f>IF(AND($A4758="",$C4758=""),"",IF($A4758="","Thiếu mã đơn; ","")&amp;IF(COUNTIF($A$2:$A4758,$A4758)&gt;1,"Trùng mã đơn; ","")&amp;IF(ISNA(MATCH($C4758,DATA_MASTER!$D$2:$D$5000,0)),"SĐT chưa đăng ký hội viên; ","")&amp;IF(AND($L4758="Đã chuyển khoản",$M4758=""),"Thiếu ngày nhận CK; ",""))</f>
        <v/>
      </c>
      <c r="T4758" s="24" t="n"/>
    </row>
    <row r="4759" ht="14.25" customHeight="1" s="40">
      <c r="A4759" s="24" t="n"/>
      <c r="B4759" s="29" t="n"/>
      <c r="C4759" s="28" t="n"/>
      <c r="D4759" s="22">
        <f t="array" ref="D4759">IF($C4759="","",IFERROR(INDEX(DATA_MASTER!$C$2:$C$5000,MATCH($C4759,DATA_MASTER!$D$2:$D$5000,0)),""))</f>
        <v/>
      </c>
      <c r="E4759" s="22">
        <f t="array" ref="E4759">IF($C4759="","",IFERROR(INDEX(DATA_MASTER!$I$2:$I$5000,MATCH($C4759,DATA_MASTER!$D$2:$D$5000,0)),""))</f>
        <v/>
      </c>
      <c r="F4759" s="22">
        <f t="array" ref="F4759">IF($C4759="","",IFERROR(INDEX(DATA_MASTER!$L$2:$L$5000,MATCH($C4759,DATA_MASTER!$D$2:$D$5000,0)),""))</f>
        <v/>
      </c>
      <c r="G4759" s="24" t="n"/>
      <c r="H4759" s="24" t="n"/>
      <c r="I4759" s="30" t="n"/>
      <c r="J4759" s="23">
        <f>IF(OR($H4759="",$I4759=""),"",$H4759*$I4759)</f>
        <v/>
      </c>
      <c r="K4759" s="24" t="n"/>
      <c r="L4759" s="24" t="n"/>
      <c r="M4759" s="29" t="n"/>
      <c r="N4759" s="28" t="n"/>
      <c r="O4759" s="24" t="n"/>
      <c r="P4759" s="24" t="n"/>
      <c r="Q4759" s="24" t="n"/>
      <c r="R4759" s="24" t="n"/>
      <c r="S4759" s="22">
        <f>IF(AND($A4759="",$C4759=""),"",IF($A4759="","Thiếu mã đơn; ","")&amp;IF(COUNTIF($A$2:$A4759,$A4759)&gt;1,"Trùng mã đơn; ","")&amp;IF(ISNA(MATCH($C4759,DATA_MASTER!$D$2:$D$5000,0)),"SĐT chưa đăng ký hội viên; ","")&amp;IF(AND($L4759="Đã chuyển khoản",$M4759=""),"Thiếu ngày nhận CK; ",""))</f>
        <v/>
      </c>
      <c r="T4759" s="24" t="n"/>
    </row>
    <row r="4760" ht="14.25" customHeight="1" s="40">
      <c r="A4760" s="24" t="n"/>
      <c r="B4760" s="29" t="n"/>
      <c r="C4760" s="28" t="n"/>
      <c r="D4760" s="22">
        <f t="array" ref="D4760">IF($C4760="","",IFERROR(INDEX(DATA_MASTER!$C$2:$C$5000,MATCH($C4760,DATA_MASTER!$D$2:$D$5000,0)),""))</f>
        <v/>
      </c>
      <c r="E4760" s="22">
        <f t="array" ref="E4760">IF($C4760="","",IFERROR(INDEX(DATA_MASTER!$I$2:$I$5000,MATCH($C4760,DATA_MASTER!$D$2:$D$5000,0)),""))</f>
        <v/>
      </c>
      <c r="F4760" s="22">
        <f t="array" ref="F4760">IF($C4760="","",IFERROR(INDEX(DATA_MASTER!$L$2:$L$5000,MATCH($C4760,DATA_MASTER!$D$2:$D$5000,0)),""))</f>
        <v/>
      </c>
      <c r="G4760" s="24" t="n"/>
      <c r="H4760" s="24" t="n"/>
      <c r="I4760" s="30" t="n"/>
      <c r="J4760" s="23">
        <f>IF(OR($H4760="",$I4760=""),"",$H4760*$I4760)</f>
        <v/>
      </c>
      <c r="K4760" s="24" t="n"/>
      <c r="L4760" s="24" t="n"/>
      <c r="M4760" s="29" t="n"/>
      <c r="N4760" s="28" t="n"/>
      <c r="O4760" s="24" t="n"/>
      <c r="P4760" s="24" t="n"/>
      <c r="Q4760" s="24" t="n"/>
      <c r="R4760" s="24" t="n"/>
      <c r="S4760" s="22">
        <f>IF(AND($A4760="",$C4760=""),"",IF($A4760="","Thiếu mã đơn; ","")&amp;IF(COUNTIF($A$2:$A4760,$A4760)&gt;1,"Trùng mã đơn; ","")&amp;IF(ISNA(MATCH($C4760,DATA_MASTER!$D$2:$D$5000,0)),"SĐT chưa đăng ký hội viên; ","")&amp;IF(AND($L4760="Đã chuyển khoản",$M4760=""),"Thiếu ngày nhận CK; ",""))</f>
        <v/>
      </c>
      <c r="T4760" s="24" t="n"/>
    </row>
    <row r="4761" ht="14.25" customHeight="1" s="40">
      <c r="A4761" s="24" t="n"/>
      <c r="B4761" s="29" t="n"/>
      <c r="C4761" s="28" t="n"/>
      <c r="D4761" s="22">
        <f t="array" ref="D4761">IF($C4761="","",IFERROR(INDEX(DATA_MASTER!$C$2:$C$5000,MATCH($C4761,DATA_MASTER!$D$2:$D$5000,0)),""))</f>
        <v/>
      </c>
      <c r="E4761" s="22">
        <f t="array" ref="E4761">IF($C4761="","",IFERROR(INDEX(DATA_MASTER!$I$2:$I$5000,MATCH($C4761,DATA_MASTER!$D$2:$D$5000,0)),""))</f>
        <v/>
      </c>
      <c r="F4761" s="22">
        <f t="array" ref="F4761">IF($C4761="","",IFERROR(INDEX(DATA_MASTER!$L$2:$L$5000,MATCH($C4761,DATA_MASTER!$D$2:$D$5000,0)),""))</f>
        <v/>
      </c>
      <c r="G4761" s="24" t="n"/>
      <c r="H4761" s="24" t="n"/>
      <c r="I4761" s="30" t="n"/>
      <c r="J4761" s="23">
        <f>IF(OR($H4761="",$I4761=""),"",$H4761*$I4761)</f>
        <v/>
      </c>
      <c r="K4761" s="24" t="n"/>
      <c r="L4761" s="24" t="n"/>
      <c r="M4761" s="29" t="n"/>
      <c r="N4761" s="28" t="n"/>
      <c r="O4761" s="24" t="n"/>
      <c r="P4761" s="24" t="n"/>
      <c r="Q4761" s="24" t="n"/>
      <c r="R4761" s="24" t="n"/>
      <c r="S4761" s="22">
        <f>IF(AND($A4761="",$C4761=""),"",IF($A4761="","Thiếu mã đơn; ","")&amp;IF(COUNTIF($A$2:$A4761,$A4761)&gt;1,"Trùng mã đơn; ","")&amp;IF(ISNA(MATCH($C4761,DATA_MASTER!$D$2:$D$5000,0)),"SĐT chưa đăng ký hội viên; ","")&amp;IF(AND($L4761="Đã chuyển khoản",$M4761=""),"Thiếu ngày nhận CK; ",""))</f>
        <v/>
      </c>
      <c r="T4761" s="24" t="n"/>
    </row>
    <row r="4762" ht="14.25" customHeight="1" s="40">
      <c r="A4762" s="24" t="n"/>
      <c r="B4762" s="29" t="n"/>
      <c r="C4762" s="28" t="n"/>
      <c r="D4762" s="22">
        <f t="array" ref="D4762">IF($C4762="","",IFERROR(INDEX(DATA_MASTER!$C$2:$C$5000,MATCH($C4762,DATA_MASTER!$D$2:$D$5000,0)),""))</f>
        <v/>
      </c>
      <c r="E4762" s="22">
        <f t="array" ref="E4762">IF($C4762="","",IFERROR(INDEX(DATA_MASTER!$I$2:$I$5000,MATCH($C4762,DATA_MASTER!$D$2:$D$5000,0)),""))</f>
        <v/>
      </c>
      <c r="F4762" s="22">
        <f t="array" ref="F4762">IF($C4762="","",IFERROR(INDEX(DATA_MASTER!$L$2:$L$5000,MATCH($C4762,DATA_MASTER!$D$2:$D$5000,0)),""))</f>
        <v/>
      </c>
      <c r="G4762" s="24" t="n"/>
      <c r="H4762" s="24" t="n"/>
      <c r="I4762" s="30" t="n"/>
      <c r="J4762" s="23">
        <f>IF(OR($H4762="",$I4762=""),"",$H4762*$I4762)</f>
        <v/>
      </c>
      <c r="K4762" s="24" t="n"/>
      <c r="L4762" s="24" t="n"/>
      <c r="M4762" s="29" t="n"/>
      <c r="N4762" s="28" t="n"/>
      <c r="O4762" s="24" t="n"/>
      <c r="P4762" s="24" t="n"/>
      <c r="Q4762" s="24" t="n"/>
      <c r="R4762" s="24" t="n"/>
      <c r="S4762" s="22">
        <f>IF(AND($A4762="",$C4762=""),"",IF($A4762="","Thiếu mã đơn; ","")&amp;IF(COUNTIF($A$2:$A4762,$A4762)&gt;1,"Trùng mã đơn; ","")&amp;IF(ISNA(MATCH($C4762,DATA_MASTER!$D$2:$D$5000,0)),"SĐT chưa đăng ký hội viên; ","")&amp;IF(AND($L4762="Đã chuyển khoản",$M4762=""),"Thiếu ngày nhận CK; ",""))</f>
        <v/>
      </c>
      <c r="T4762" s="24" t="n"/>
    </row>
    <row r="4763" ht="14.25" customHeight="1" s="40">
      <c r="A4763" s="24" t="n"/>
      <c r="B4763" s="29" t="n"/>
      <c r="C4763" s="28" t="n"/>
      <c r="D4763" s="22">
        <f t="array" ref="D4763">IF($C4763="","",IFERROR(INDEX(DATA_MASTER!$C$2:$C$5000,MATCH($C4763,DATA_MASTER!$D$2:$D$5000,0)),""))</f>
        <v/>
      </c>
      <c r="E4763" s="22">
        <f t="array" ref="E4763">IF($C4763="","",IFERROR(INDEX(DATA_MASTER!$I$2:$I$5000,MATCH($C4763,DATA_MASTER!$D$2:$D$5000,0)),""))</f>
        <v/>
      </c>
      <c r="F4763" s="22">
        <f t="array" ref="F4763">IF($C4763="","",IFERROR(INDEX(DATA_MASTER!$L$2:$L$5000,MATCH($C4763,DATA_MASTER!$D$2:$D$5000,0)),""))</f>
        <v/>
      </c>
      <c r="G4763" s="24" t="n"/>
      <c r="H4763" s="24" t="n"/>
      <c r="I4763" s="30" t="n"/>
      <c r="J4763" s="23">
        <f>IF(OR($H4763="",$I4763=""),"",$H4763*$I4763)</f>
        <v/>
      </c>
      <c r="K4763" s="24" t="n"/>
      <c r="L4763" s="24" t="n"/>
      <c r="M4763" s="29" t="n"/>
      <c r="N4763" s="28" t="n"/>
      <c r="O4763" s="24" t="n"/>
      <c r="P4763" s="24" t="n"/>
      <c r="Q4763" s="24" t="n"/>
      <c r="R4763" s="24" t="n"/>
      <c r="S4763" s="22">
        <f>IF(AND($A4763="",$C4763=""),"",IF($A4763="","Thiếu mã đơn; ","")&amp;IF(COUNTIF($A$2:$A4763,$A4763)&gt;1,"Trùng mã đơn; ","")&amp;IF(ISNA(MATCH($C4763,DATA_MASTER!$D$2:$D$5000,0)),"SĐT chưa đăng ký hội viên; ","")&amp;IF(AND($L4763="Đã chuyển khoản",$M4763=""),"Thiếu ngày nhận CK; ",""))</f>
        <v/>
      </c>
      <c r="T4763" s="24" t="n"/>
    </row>
    <row r="4764" ht="14.25" customHeight="1" s="40">
      <c r="A4764" s="24" t="n"/>
      <c r="B4764" s="29" t="n"/>
      <c r="C4764" s="28" t="n"/>
      <c r="D4764" s="22">
        <f t="array" ref="D4764">IF($C4764="","",IFERROR(INDEX(DATA_MASTER!$C$2:$C$5000,MATCH($C4764,DATA_MASTER!$D$2:$D$5000,0)),""))</f>
        <v/>
      </c>
      <c r="E4764" s="22">
        <f t="array" ref="E4764">IF($C4764="","",IFERROR(INDEX(DATA_MASTER!$I$2:$I$5000,MATCH($C4764,DATA_MASTER!$D$2:$D$5000,0)),""))</f>
        <v/>
      </c>
      <c r="F4764" s="22">
        <f t="array" ref="F4764">IF($C4764="","",IFERROR(INDEX(DATA_MASTER!$L$2:$L$5000,MATCH($C4764,DATA_MASTER!$D$2:$D$5000,0)),""))</f>
        <v/>
      </c>
      <c r="G4764" s="24" t="n"/>
      <c r="H4764" s="24" t="n"/>
      <c r="I4764" s="30" t="n"/>
      <c r="J4764" s="23">
        <f>IF(OR($H4764="",$I4764=""),"",$H4764*$I4764)</f>
        <v/>
      </c>
      <c r="K4764" s="24" t="n"/>
      <c r="L4764" s="24" t="n"/>
      <c r="M4764" s="29" t="n"/>
      <c r="N4764" s="28" t="n"/>
      <c r="O4764" s="24" t="n"/>
      <c r="P4764" s="24" t="n"/>
      <c r="Q4764" s="24" t="n"/>
      <c r="R4764" s="24" t="n"/>
      <c r="S4764" s="22">
        <f>IF(AND($A4764="",$C4764=""),"",IF($A4764="","Thiếu mã đơn; ","")&amp;IF(COUNTIF($A$2:$A4764,$A4764)&gt;1,"Trùng mã đơn; ","")&amp;IF(ISNA(MATCH($C4764,DATA_MASTER!$D$2:$D$5000,0)),"SĐT chưa đăng ký hội viên; ","")&amp;IF(AND($L4764="Đã chuyển khoản",$M4764=""),"Thiếu ngày nhận CK; ",""))</f>
        <v/>
      </c>
      <c r="T4764" s="24" t="n"/>
    </row>
    <row r="4765" ht="14.25" customHeight="1" s="40">
      <c r="A4765" s="24" t="n"/>
      <c r="B4765" s="29" t="n"/>
      <c r="C4765" s="28" t="n"/>
      <c r="D4765" s="22">
        <f t="array" ref="D4765">IF($C4765="","",IFERROR(INDEX(DATA_MASTER!$C$2:$C$5000,MATCH($C4765,DATA_MASTER!$D$2:$D$5000,0)),""))</f>
        <v/>
      </c>
      <c r="E4765" s="22">
        <f t="array" ref="E4765">IF($C4765="","",IFERROR(INDEX(DATA_MASTER!$I$2:$I$5000,MATCH($C4765,DATA_MASTER!$D$2:$D$5000,0)),""))</f>
        <v/>
      </c>
      <c r="F4765" s="22">
        <f t="array" ref="F4765">IF($C4765="","",IFERROR(INDEX(DATA_MASTER!$L$2:$L$5000,MATCH($C4765,DATA_MASTER!$D$2:$D$5000,0)),""))</f>
        <v/>
      </c>
      <c r="G4765" s="24" t="n"/>
      <c r="H4765" s="24" t="n"/>
      <c r="I4765" s="30" t="n"/>
      <c r="J4765" s="23">
        <f>IF(OR($H4765="",$I4765=""),"",$H4765*$I4765)</f>
        <v/>
      </c>
      <c r="K4765" s="24" t="n"/>
      <c r="L4765" s="24" t="n"/>
      <c r="M4765" s="29" t="n"/>
      <c r="N4765" s="28" t="n"/>
      <c r="O4765" s="24" t="n"/>
      <c r="P4765" s="24" t="n"/>
      <c r="Q4765" s="24" t="n"/>
      <c r="R4765" s="24" t="n"/>
      <c r="S4765" s="22">
        <f>IF(AND($A4765="",$C4765=""),"",IF($A4765="","Thiếu mã đơn; ","")&amp;IF(COUNTIF($A$2:$A4765,$A4765)&gt;1,"Trùng mã đơn; ","")&amp;IF(ISNA(MATCH($C4765,DATA_MASTER!$D$2:$D$5000,0)),"SĐT chưa đăng ký hội viên; ","")&amp;IF(AND($L4765="Đã chuyển khoản",$M4765=""),"Thiếu ngày nhận CK; ",""))</f>
        <v/>
      </c>
      <c r="T4765" s="24" t="n"/>
    </row>
    <row r="4766" ht="14.25" customHeight="1" s="40">
      <c r="A4766" s="24" t="n"/>
      <c r="B4766" s="29" t="n"/>
      <c r="C4766" s="28" t="n"/>
      <c r="D4766" s="22">
        <f t="array" ref="D4766">IF($C4766="","",IFERROR(INDEX(DATA_MASTER!$C$2:$C$5000,MATCH($C4766,DATA_MASTER!$D$2:$D$5000,0)),""))</f>
        <v/>
      </c>
      <c r="E4766" s="22">
        <f t="array" ref="E4766">IF($C4766="","",IFERROR(INDEX(DATA_MASTER!$I$2:$I$5000,MATCH($C4766,DATA_MASTER!$D$2:$D$5000,0)),""))</f>
        <v/>
      </c>
      <c r="F4766" s="22">
        <f t="array" ref="F4766">IF($C4766="","",IFERROR(INDEX(DATA_MASTER!$L$2:$L$5000,MATCH($C4766,DATA_MASTER!$D$2:$D$5000,0)),""))</f>
        <v/>
      </c>
      <c r="G4766" s="24" t="n"/>
      <c r="H4766" s="24" t="n"/>
      <c r="I4766" s="30" t="n"/>
      <c r="J4766" s="23">
        <f>IF(OR($H4766="",$I4766=""),"",$H4766*$I4766)</f>
        <v/>
      </c>
      <c r="K4766" s="24" t="n"/>
      <c r="L4766" s="24" t="n"/>
      <c r="M4766" s="29" t="n"/>
      <c r="N4766" s="28" t="n"/>
      <c r="O4766" s="24" t="n"/>
      <c r="P4766" s="24" t="n"/>
      <c r="Q4766" s="24" t="n"/>
      <c r="R4766" s="24" t="n"/>
      <c r="S4766" s="22">
        <f>IF(AND($A4766="",$C4766=""),"",IF($A4766="","Thiếu mã đơn; ","")&amp;IF(COUNTIF($A$2:$A4766,$A4766)&gt;1,"Trùng mã đơn; ","")&amp;IF(ISNA(MATCH($C4766,DATA_MASTER!$D$2:$D$5000,0)),"SĐT chưa đăng ký hội viên; ","")&amp;IF(AND($L4766="Đã chuyển khoản",$M4766=""),"Thiếu ngày nhận CK; ",""))</f>
        <v/>
      </c>
      <c r="T4766" s="24" t="n"/>
    </row>
    <row r="4767" ht="14.25" customHeight="1" s="40">
      <c r="A4767" s="24" t="n"/>
      <c r="B4767" s="29" t="n"/>
      <c r="C4767" s="28" t="n"/>
      <c r="D4767" s="22">
        <f t="array" ref="D4767">IF($C4767="","",IFERROR(INDEX(DATA_MASTER!$C$2:$C$5000,MATCH($C4767,DATA_MASTER!$D$2:$D$5000,0)),""))</f>
        <v/>
      </c>
      <c r="E4767" s="22">
        <f t="array" ref="E4767">IF($C4767="","",IFERROR(INDEX(DATA_MASTER!$I$2:$I$5000,MATCH($C4767,DATA_MASTER!$D$2:$D$5000,0)),""))</f>
        <v/>
      </c>
      <c r="F4767" s="22">
        <f t="array" ref="F4767">IF($C4767="","",IFERROR(INDEX(DATA_MASTER!$L$2:$L$5000,MATCH($C4767,DATA_MASTER!$D$2:$D$5000,0)),""))</f>
        <v/>
      </c>
      <c r="G4767" s="24" t="n"/>
      <c r="H4767" s="24" t="n"/>
      <c r="I4767" s="30" t="n"/>
      <c r="J4767" s="23">
        <f>IF(OR($H4767="",$I4767=""),"",$H4767*$I4767)</f>
        <v/>
      </c>
      <c r="K4767" s="24" t="n"/>
      <c r="L4767" s="24" t="n"/>
      <c r="M4767" s="29" t="n"/>
      <c r="N4767" s="28" t="n"/>
      <c r="O4767" s="24" t="n"/>
      <c r="P4767" s="24" t="n"/>
      <c r="Q4767" s="24" t="n"/>
      <c r="R4767" s="24" t="n"/>
      <c r="S4767" s="22">
        <f>IF(AND($A4767="",$C4767=""),"",IF($A4767="","Thiếu mã đơn; ","")&amp;IF(COUNTIF($A$2:$A4767,$A4767)&gt;1,"Trùng mã đơn; ","")&amp;IF(ISNA(MATCH($C4767,DATA_MASTER!$D$2:$D$5000,0)),"SĐT chưa đăng ký hội viên; ","")&amp;IF(AND($L4767="Đã chuyển khoản",$M4767=""),"Thiếu ngày nhận CK; ",""))</f>
        <v/>
      </c>
      <c r="T4767" s="24" t="n"/>
    </row>
    <row r="4768" ht="14.25" customHeight="1" s="40">
      <c r="A4768" s="24" t="n"/>
      <c r="B4768" s="29" t="n"/>
      <c r="C4768" s="28" t="n"/>
      <c r="D4768" s="22">
        <f t="array" ref="D4768">IF($C4768="","",IFERROR(INDEX(DATA_MASTER!$C$2:$C$5000,MATCH($C4768,DATA_MASTER!$D$2:$D$5000,0)),""))</f>
        <v/>
      </c>
      <c r="E4768" s="22">
        <f t="array" ref="E4768">IF($C4768="","",IFERROR(INDEX(DATA_MASTER!$I$2:$I$5000,MATCH($C4768,DATA_MASTER!$D$2:$D$5000,0)),""))</f>
        <v/>
      </c>
      <c r="F4768" s="22">
        <f t="array" ref="F4768">IF($C4768="","",IFERROR(INDEX(DATA_MASTER!$L$2:$L$5000,MATCH($C4768,DATA_MASTER!$D$2:$D$5000,0)),""))</f>
        <v/>
      </c>
      <c r="G4768" s="24" t="n"/>
      <c r="H4768" s="24" t="n"/>
      <c r="I4768" s="30" t="n"/>
      <c r="J4768" s="23">
        <f>IF(OR($H4768="",$I4768=""),"",$H4768*$I4768)</f>
        <v/>
      </c>
      <c r="K4768" s="24" t="n"/>
      <c r="L4768" s="24" t="n"/>
      <c r="M4768" s="29" t="n"/>
      <c r="N4768" s="28" t="n"/>
      <c r="O4768" s="24" t="n"/>
      <c r="P4768" s="24" t="n"/>
      <c r="Q4768" s="24" t="n"/>
      <c r="R4768" s="24" t="n"/>
      <c r="S4768" s="22">
        <f>IF(AND($A4768="",$C4768=""),"",IF($A4768="","Thiếu mã đơn; ","")&amp;IF(COUNTIF($A$2:$A4768,$A4768)&gt;1,"Trùng mã đơn; ","")&amp;IF(ISNA(MATCH($C4768,DATA_MASTER!$D$2:$D$5000,0)),"SĐT chưa đăng ký hội viên; ","")&amp;IF(AND($L4768="Đã chuyển khoản",$M4768=""),"Thiếu ngày nhận CK; ",""))</f>
        <v/>
      </c>
      <c r="T4768" s="24" t="n"/>
    </row>
    <row r="4769" ht="14.25" customHeight="1" s="40">
      <c r="A4769" s="24" t="n"/>
      <c r="B4769" s="29" t="n"/>
      <c r="C4769" s="28" t="n"/>
      <c r="D4769" s="22">
        <f t="array" ref="D4769">IF($C4769="","",IFERROR(INDEX(DATA_MASTER!$C$2:$C$5000,MATCH($C4769,DATA_MASTER!$D$2:$D$5000,0)),""))</f>
        <v/>
      </c>
      <c r="E4769" s="22">
        <f t="array" ref="E4769">IF($C4769="","",IFERROR(INDEX(DATA_MASTER!$I$2:$I$5000,MATCH($C4769,DATA_MASTER!$D$2:$D$5000,0)),""))</f>
        <v/>
      </c>
      <c r="F4769" s="22">
        <f t="array" ref="F4769">IF($C4769="","",IFERROR(INDEX(DATA_MASTER!$L$2:$L$5000,MATCH($C4769,DATA_MASTER!$D$2:$D$5000,0)),""))</f>
        <v/>
      </c>
      <c r="G4769" s="24" t="n"/>
      <c r="H4769" s="24" t="n"/>
      <c r="I4769" s="30" t="n"/>
      <c r="J4769" s="23">
        <f>IF(OR($H4769="",$I4769=""),"",$H4769*$I4769)</f>
        <v/>
      </c>
      <c r="K4769" s="24" t="n"/>
      <c r="L4769" s="24" t="n"/>
      <c r="M4769" s="29" t="n"/>
      <c r="N4769" s="28" t="n"/>
      <c r="O4769" s="24" t="n"/>
      <c r="P4769" s="24" t="n"/>
      <c r="Q4769" s="24" t="n"/>
      <c r="R4769" s="24" t="n"/>
      <c r="S4769" s="22">
        <f>IF(AND($A4769="",$C4769=""),"",IF($A4769="","Thiếu mã đơn; ","")&amp;IF(COUNTIF($A$2:$A4769,$A4769)&gt;1,"Trùng mã đơn; ","")&amp;IF(ISNA(MATCH($C4769,DATA_MASTER!$D$2:$D$5000,0)),"SĐT chưa đăng ký hội viên; ","")&amp;IF(AND($L4769="Đã chuyển khoản",$M4769=""),"Thiếu ngày nhận CK; ",""))</f>
        <v/>
      </c>
      <c r="T4769" s="24" t="n"/>
    </row>
    <row r="4770" ht="14.25" customHeight="1" s="40">
      <c r="A4770" s="24" t="n"/>
      <c r="B4770" s="29" t="n"/>
      <c r="C4770" s="28" t="n"/>
      <c r="D4770" s="22">
        <f t="array" ref="D4770">IF($C4770="","",IFERROR(INDEX(DATA_MASTER!$C$2:$C$5000,MATCH($C4770,DATA_MASTER!$D$2:$D$5000,0)),""))</f>
        <v/>
      </c>
      <c r="E4770" s="22">
        <f t="array" ref="E4770">IF($C4770="","",IFERROR(INDEX(DATA_MASTER!$I$2:$I$5000,MATCH($C4770,DATA_MASTER!$D$2:$D$5000,0)),""))</f>
        <v/>
      </c>
      <c r="F4770" s="22">
        <f t="array" ref="F4770">IF($C4770="","",IFERROR(INDEX(DATA_MASTER!$L$2:$L$5000,MATCH($C4770,DATA_MASTER!$D$2:$D$5000,0)),""))</f>
        <v/>
      </c>
      <c r="G4770" s="24" t="n"/>
      <c r="H4770" s="24" t="n"/>
      <c r="I4770" s="30" t="n"/>
      <c r="J4770" s="23">
        <f>IF(OR($H4770="",$I4770=""),"",$H4770*$I4770)</f>
        <v/>
      </c>
      <c r="K4770" s="24" t="n"/>
      <c r="L4770" s="24" t="n"/>
      <c r="M4770" s="29" t="n"/>
      <c r="N4770" s="28" t="n"/>
      <c r="O4770" s="24" t="n"/>
      <c r="P4770" s="24" t="n"/>
      <c r="Q4770" s="24" t="n"/>
      <c r="R4770" s="24" t="n"/>
      <c r="S4770" s="22">
        <f>IF(AND($A4770="",$C4770=""),"",IF($A4770="","Thiếu mã đơn; ","")&amp;IF(COUNTIF($A$2:$A4770,$A4770)&gt;1,"Trùng mã đơn; ","")&amp;IF(ISNA(MATCH($C4770,DATA_MASTER!$D$2:$D$5000,0)),"SĐT chưa đăng ký hội viên; ","")&amp;IF(AND($L4770="Đã chuyển khoản",$M4770=""),"Thiếu ngày nhận CK; ",""))</f>
        <v/>
      </c>
      <c r="T4770" s="24" t="n"/>
    </row>
    <row r="4771" ht="14.25" customHeight="1" s="40">
      <c r="A4771" s="24" t="n"/>
      <c r="B4771" s="29" t="n"/>
      <c r="C4771" s="28" t="n"/>
      <c r="D4771" s="22">
        <f t="array" ref="D4771">IF($C4771="","",IFERROR(INDEX(DATA_MASTER!$C$2:$C$5000,MATCH($C4771,DATA_MASTER!$D$2:$D$5000,0)),""))</f>
        <v/>
      </c>
      <c r="E4771" s="22">
        <f t="array" ref="E4771">IF($C4771="","",IFERROR(INDEX(DATA_MASTER!$I$2:$I$5000,MATCH($C4771,DATA_MASTER!$D$2:$D$5000,0)),""))</f>
        <v/>
      </c>
      <c r="F4771" s="22">
        <f t="array" ref="F4771">IF($C4771="","",IFERROR(INDEX(DATA_MASTER!$L$2:$L$5000,MATCH($C4771,DATA_MASTER!$D$2:$D$5000,0)),""))</f>
        <v/>
      </c>
      <c r="G4771" s="24" t="n"/>
      <c r="H4771" s="24" t="n"/>
      <c r="I4771" s="30" t="n"/>
      <c r="J4771" s="23">
        <f>IF(OR($H4771="",$I4771=""),"",$H4771*$I4771)</f>
        <v/>
      </c>
      <c r="K4771" s="24" t="n"/>
      <c r="L4771" s="24" t="n"/>
      <c r="M4771" s="29" t="n"/>
      <c r="N4771" s="28" t="n"/>
      <c r="O4771" s="24" t="n"/>
      <c r="P4771" s="24" t="n"/>
      <c r="Q4771" s="24" t="n"/>
      <c r="R4771" s="24" t="n"/>
      <c r="S4771" s="22">
        <f>IF(AND($A4771="",$C4771=""),"",IF($A4771="","Thiếu mã đơn; ","")&amp;IF(COUNTIF($A$2:$A4771,$A4771)&gt;1,"Trùng mã đơn; ","")&amp;IF(ISNA(MATCH($C4771,DATA_MASTER!$D$2:$D$5000,0)),"SĐT chưa đăng ký hội viên; ","")&amp;IF(AND($L4771="Đã chuyển khoản",$M4771=""),"Thiếu ngày nhận CK; ",""))</f>
        <v/>
      </c>
      <c r="T4771" s="24" t="n"/>
    </row>
    <row r="4772" ht="14.25" customHeight="1" s="40">
      <c r="A4772" s="24" t="n"/>
      <c r="B4772" s="29" t="n"/>
      <c r="C4772" s="28" t="n"/>
      <c r="D4772" s="22">
        <f t="array" ref="D4772">IF($C4772="","",IFERROR(INDEX(DATA_MASTER!$C$2:$C$5000,MATCH($C4772,DATA_MASTER!$D$2:$D$5000,0)),""))</f>
        <v/>
      </c>
      <c r="E4772" s="22">
        <f t="array" ref="E4772">IF($C4772="","",IFERROR(INDEX(DATA_MASTER!$I$2:$I$5000,MATCH($C4772,DATA_MASTER!$D$2:$D$5000,0)),""))</f>
        <v/>
      </c>
      <c r="F4772" s="22">
        <f t="array" ref="F4772">IF($C4772="","",IFERROR(INDEX(DATA_MASTER!$L$2:$L$5000,MATCH($C4772,DATA_MASTER!$D$2:$D$5000,0)),""))</f>
        <v/>
      </c>
      <c r="G4772" s="24" t="n"/>
      <c r="H4772" s="24" t="n"/>
      <c r="I4772" s="30" t="n"/>
      <c r="J4772" s="23">
        <f>IF(OR($H4772="",$I4772=""),"",$H4772*$I4772)</f>
        <v/>
      </c>
      <c r="K4772" s="24" t="n"/>
      <c r="L4772" s="24" t="n"/>
      <c r="M4772" s="29" t="n"/>
      <c r="N4772" s="28" t="n"/>
      <c r="O4772" s="24" t="n"/>
      <c r="P4772" s="24" t="n"/>
      <c r="Q4772" s="24" t="n"/>
      <c r="R4772" s="24" t="n"/>
      <c r="S4772" s="22">
        <f>IF(AND($A4772="",$C4772=""),"",IF($A4772="","Thiếu mã đơn; ","")&amp;IF(COUNTIF($A$2:$A4772,$A4772)&gt;1,"Trùng mã đơn; ","")&amp;IF(ISNA(MATCH($C4772,DATA_MASTER!$D$2:$D$5000,0)),"SĐT chưa đăng ký hội viên; ","")&amp;IF(AND($L4772="Đã chuyển khoản",$M4772=""),"Thiếu ngày nhận CK; ",""))</f>
        <v/>
      </c>
      <c r="T4772" s="24" t="n"/>
    </row>
    <row r="4773" ht="14.25" customHeight="1" s="40">
      <c r="A4773" s="24" t="n"/>
      <c r="B4773" s="29" t="n"/>
      <c r="C4773" s="28" t="n"/>
      <c r="D4773" s="22">
        <f t="array" ref="D4773">IF($C4773="","",IFERROR(INDEX(DATA_MASTER!$C$2:$C$5000,MATCH($C4773,DATA_MASTER!$D$2:$D$5000,0)),""))</f>
        <v/>
      </c>
      <c r="E4773" s="22">
        <f t="array" ref="E4773">IF($C4773="","",IFERROR(INDEX(DATA_MASTER!$I$2:$I$5000,MATCH($C4773,DATA_MASTER!$D$2:$D$5000,0)),""))</f>
        <v/>
      </c>
      <c r="F4773" s="22">
        <f t="array" ref="F4773">IF($C4773="","",IFERROR(INDEX(DATA_MASTER!$L$2:$L$5000,MATCH($C4773,DATA_MASTER!$D$2:$D$5000,0)),""))</f>
        <v/>
      </c>
      <c r="G4773" s="24" t="n"/>
      <c r="H4773" s="24" t="n"/>
      <c r="I4773" s="30" t="n"/>
      <c r="J4773" s="23">
        <f>IF(OR($H4773="",$I4773=""),"",$H4773*$I4773)</f>
        <v/>
      </c>
      <c r="K4773" s="24" t="n"/>
      <c r="L4773" s="24" t="n"/>
      <c r="M4773" s="29" t="n"/>
      <c r="N4773" s="28" t="n"/>
      <c r="O4773" s="24" t="n"/>
      <c r="P4773" s="24" t="n"/>
      <c r="Q4773" s="24" t="n"/>
      <c r="R4773" s="24" t="n"/>
      <c r="S4773" s="22">
        <f>IF(AND($A4773="",$C4773=""),"",IF($A4773="","Thiếu mã đơn; ","")&amp;IF(COUNTIF($A$2:$A4773,$A4773)&gt;1,"Trùng mã đơn; ","")&amp;IF(ISNA(MATCH($C4773,DATA_MASTER!$D$2:$D$5000,0)),"SĐT chưa đăng ký hội viên; ","")&amp;IF(AND($L4773="Đã chuyển khoản",$M4773=""),"Thiếu ngày nhận CK; ",""))</f>
        <v/>
      </c>
      <c r="T4773" s="24" t="n"/>
    </row>
    <row r="4774" ht="14.25" customHeight="1" s="40">
      <c r="A4774" s="24" t="n"/>
      <c r="B4774" s="29" t="n"/>
      <c r="C4774" s="28" t="n"/>
      <c r="D4774" s="22">
        <f t="array" ref="D4774">IF($C4774="","",IFERROR(INDEX(DATA_MASTER!$C$2:$C$5000,MATCH($C4774,DATA_MASTER!$D$2:$D$5000,0)),""))</f>
        <v/>
      </c>
      <c r="E4774" s="22">
        <f t="array" ref="E4774">IF($C4774="","",IFERROR(INDEX(DATA_MASTER!$I$2:$I$5000,MATCH($C4774,DATA_MASTER!$D$2:$D$5000,0)),""))</f>
        <v/>
      </c>
      <c r="F4774" s="22">
        <f t="array" ref="F4774">IF($C4774="","",IFERROR(INDEX(DATA_MASTER!$L$2:$L$5000,MATCH($C4774,DATA_MASTER!$D$2:$D$5000,0)),""))</f>
        <v/>
      </c>
      <c r="G4774" s="24" t="n"/>
      <c r="H4774" s="24" t="n"/>
      <c r="I4774" s="30" t="n"/>
      <c r="J4774" s="23">
        <f>IF(OR($H4774="",$I4774=""),"",$H4774*$I4774)</f>
        <v/>
      </c>
      <c r="K4774" s="24" t="n"/>
      <c r="L4774" s="24" t="n"/>
      <c r="M4774" s="29" t="n"/>
      <c r="N4774" s="28" t="n"/>
      <c r="O4774" s="24" t="n"/>
      <c r="P4774" s="24" t="n"/>
      <c r="Q4774" s="24" t="n"/>
      <c r="R4774" s="24" t="n"/>
      <c r="S4774" s="22">
        <f>IF(AND($A4774="",$C4774=""),"",IF($A4774="","Thiếu mã đơn; ","")&amp;IF(COUNTIF($A$2:$A4774,$A4774)&gt;1,"Trùng mã đơn; ","")&amp;IF(ISNA(MATCH($C4774,DATA_MASTER!$D$2:$D$5000,0)),"SĐT chưa đăng ký hội viên; ","")&amp;IF(AND($L4774="Đã chuyển khoản",$M4774=""),"Thiếu ngày nhận CK; ",""))</f>
        <v/>
      </c>
      <c r="T4774" s="24" t="n"/>
    </row>
    <row r="4775" ht="14.25" customHeight="1" s="40">
      <c r="A4775" s="24" t="n"/>
      <c r="B4775" s="29" t="n"/>
      <c r="C4775" s="28" t="n"/>
      <c r="D4775" s="22">
        <f t="array" ref="D4775">IF($C4775="","",IFERROR(INDEX(DATA_MASTER!$C$2:$C$5000,MATCH($C4775,DATA_MASTER!$D$2:$D$5000,0)),""))</f>
        <v/>
      </c>
      <c r="E4775" s="22">
        <f t="array" ref="E4775">IF($C4775="","",IFERROR(INDEX(DATA_MASTER!$I$2:$I$5000,MATCH($C4775,DATA_MASTER!$D$2:$D$5000,0)),""))</f>
        <v/>
      </c>
      <c r="F4775" s="22">
        <f t="array" ref="F4775">IF($C4775="","",IFERROR(INDEX(DATA_MASTER!$L$2:$L$5000,MATCH($C4775,DATA_MASTER!$D$2:$D$5000,0)),""))</f>
        <v/>
      </c>
      <c r="G4775" s="24" t="n"/>
      <c r="H4775" s="24" t="n"/>
      <c r="I4775" s="30" t="n"/>
      <c r="J4775" s="23">
        <f>IF(OR($H4775="",$I4775=""),"",$H4775*$I4775)</f>
        <v/>
      </c>
      <c r="K4775" s="24" t="n"/>
      <c r="L4775" s="24" t="n"/>
      <c r="M4775" s="29" t="n"/>
      <c r="N4775" s="28" t="n"/>
      <c r="O4775" s="24" t="n"/>
      <c r="P4775" s="24" t="n"/>
      <c r="Q4775" s="24" t="n"/>
      <c r="R4775" s="24" t="n"/>
      <c r="S4775" s="22">
        <f>IF(AND($A4775="",$C4775=""),"",IF($A4775="","Thiếu mã đơn; ","")&amp;IF(COUNTIF($A$2:$A4775,$A4775)&gt;1,"Trùng mã đơn; ","")&amp;IF(ISNA(MATCH($C4775,DATA_MASTER!$D$2:$D$5000,0)),"SĐT chưa đăng ký hội viên; ","")&amp;IF(AND($L4775="Đã chuyển khoản",$M4775=""),"Thiếu ngày nhận CK; ",""))</f>
        <v/>
      </c>
      <c r="T4775" s="24" t="n"/>
    </row>
    <row r="4776" ht="14.25" customHeight="1" s="40">
      <c r="A4776" s="24" t="n"/>
      <c r="B4776" s="29" t="n"/>
      <c r="C4776" s="28" t="n"/>
      <c r="D4776" s="22">
        <f t="array" ref="D4776">IF($C4776="","",IFERROR(INDEX(DATA_MASTER!$C$2:$C$5000,MATCH($C4776,DATA_MASTER!$D$2:$D$5000,0)),""))</f>
        <v/>
      </c>
      <c r="E4776" s="22">
        <f t="array" ref="E4776">IF($C4776="","",IFERROR(INDEX(DATA_MASTER!$I$2:$I$5000,MATCH($C4776,DATA_MASTER!$D$2:$D$5000,0)),""))</f>
        <v/>
      </c>
      <c r="F4776" s="22">
        <f t="array" ref="F4776">IF($C4776="","",IFERROR(INDEX(DATA_MASTER!$L$2:$L$5000,MATCH($C4776,DATA_MASTER!$D$2:$D$5000,0)),""))</f>
        <v/>
      </c>
      <c r="G4776" s="24" t="n"/>
      <c r="H4776" s="24" t="n"/>
      <c r="I4776" s="30" t="n"/>
      <c r="J4776" s="23">
        <f>IF(OR($H4776="",$I4776=""),"",$H4776*$I4776)</f>
        <v/>
      </c>
      <c r="K4776" s="24" t="n"/>
      <c r="L4776" s="24" t="n"/>
      <c r="M4776" s="29" t="n"/>
      <c r="N4776" s="28" t="n"/>
      <c r="O4776" s="24" t="n"/>
      <c r="P4776" s="24" t="n"/>
      <c r="Q4776" s="24" t="n"/>
      <c r="R4776" s="24" t="n"/>
      <c r="S4776" s="22">
        <f>IF(AND($A4776="",$C4776=""),"",IF($A4776="","Thiếu mã đơn; ","")&amp;IF(COUNTIF($A$2:$A4776,$A4776)&gt;1,"Trùng mã đơn; ","")&amp;IF(ISNA(MATCH($C4776,DATA_MASTER!$D$2:$D$5000,0)),"SĐT chưa đăng ký hội viên; ","")&amp;IF(AND($L4776="Đã chuyển khoản",$M4776=""),"Thiếu ngày nhận CK; ",""))</f>
        <v/>
      </c>
      <c r="T4776" s="24" t="n"/>
    </row>
    <row r="4777" ht="14.25" customHeight="1" s="40">
      <c r="A4777" s="24" t="n"/>
      <c r="B4777" s="29" t="n"/>
      <c r="C4777" s="28" t="n"/>
      <c r="D4777" s="22">
        <f t="array" ref="D4777">IF($C4777="","",IFERROR(INDEX(DATA_MASTER!$C$2:$C$5000,MATCH($C4777,DATA_MASTER!$D$2:$D$5000,0)),""))</f>
        <v/>
      </c>
      <c r="E4777" s="22">
        <f t="array" ref="E4777">IF($C4777="","",IFERROR(INDEX(DATA_MASTER!$I$2:$I$5000,MATCH($C4777,DATA_MASTER!$D$2:$D$5000,0)),""))</f>
        <v/>
      </c>
      <c r="F4777" s="22">
        <f t="array" ref="F4777">IF($C4777="","",IFERROR(INDEX(DATA_MASTER!$L$2:$L$5000,MATCH($C4777,DATA_MASTER!$D$2:$D$5000,0)),""))</f>
        <v/>
      </c>
      <c r="G4777" s="24" t="n"/>
      <c r="H4777" s="24" t="n"/>
      <c r="I4777" s="30" t="n"/>
      <c r="J4777" s="23">
        <f>IF(OR($H4777="",$I4777=""),"",$H4777*$I4777)</f>
        <v/>
      </c>
      <c r="K4777" s="24" t="n"/>
      <c r="L4777" s="24" t="n"/>
      <c r="M4777" s="29" t="n"/>
      <c r="N4777" s="28" t="n"/>
      <c r="O4777" s="24" t="n"/>
      <c r="P4777" s="24" t="n"/>
      <c r="Q4777" s="24" t="n"/>
      <c r="R4777" s="24" t="n"/>
      <c r="S4777" s="22">
        <f>IF(AND($A4777="",$C4777=""),"",IF($A4777="","Thiếu mã đơn; ","")&amp;IF(COUNTIF($A$2:$A4777,$A4777)&gt;1,"Trùng mã đơn; ","")&amp;IF(ISNA(MATCH($C4777,DATA_MASTER!$D$2:$D$5000,0)),"SĐT chưa đăng ký hội viên; ","")&amp;IF(AND($L4777="Đã chuyển khoản",$M4777=""),"Thiếu ngày nhận CK; ",""))</f>
        <v/>
      </c>
      <c r="T4777" s="24" t="n"/>
    </row>
    <row r="4778" ht="14.25" customHeight="1" s="40">
      <c r="A4778" s="24" t="n"/>
      <c r="B4778" s="29" t="n"/>
      <c r="C4778" s="28" t="n"/>
      <c r="D4778" s="22">
        <f t="array" ref="D4778">IF($C4778="","",IFERROR(INDEX(DATA_MASTER!$C$2:$C$5000,MATCH($C4778,DATA_MASTER!$D$2:$D$5000,0)),""))</f>
        <v/>
      </c>
      <c r="E4778" s="22">
        <f t="array" ref="E4778">IF($C4778="","",IFERROR(INDEX(DATA_MASTER!$I$2:$I$5000,MATCH($C4778,DATA_MASTER!$D$2:$D$5000,0)),""))</f>
        <v/>
      </c>
      <c r="F4778" s="22">
        <f t="array" ref="F4778">IF($C4778="","",IFERROR(INDEX(DATA_MASTER!$L$2:$L$5000,MATCH($C4778,DATA_MASTER!$D$2:$D$5000,0)),""))</f>
        <v/>
      </c>
      <c r="G4778" s="24" t="n"/>
      <c r="H4778" s="24" t="n"/>
      <c r="I4778" s="30" t="n"/>
      <c r="J4778" s="23">
        <f>IF(OR($H4778="",$I4778=""),"",$H4778*$I4778)</f>
        <v/>
      </c>
      <c r="K4778" s="24" t="n"/>
      <c r="L4778" s="24" t="n"/>
      <c r="M4778" s="29" t="n"/>
      <c r="N4778" s="28" t="n"/>
      <c r="O4778" s="24" t="n"/>
      <c r="P4778" s="24" t="n"/>
      <c r="Q4778" s="24" t="n"/>
      <c r="R4778" s="24" t="n"/>
      <c r="S4778" s="22">
        <f>IF(AND($A4778="",$C4778=""),"",IF($A4778="","Thiếu mã đơn; ","")&amp;IF(COUNTIF($A$2:$A4778,$A4778)&gt;1,"Trùng mã đơn; ","")&amp;IF(ISNA(MATCH($C4778,DATA_MASTER!$D$2:$D$5000,0)),"SĐT chưa đăng ký hội viên; ","")&amp;IF(AND($L4778="Đã chuyển khoản",$M4778=""),"Thiếu ngày nhận CK; ",""))</f>
        <v/>
      </c>
      <c r="T4778" s="24" t="n"/>
    </row>
    <row r="4779" ht="14.25" customHeight="1" s="40">
      <c r="A4779" s="24" t="n"/>
      <c r="B4779" s="29" t="n"/>
      <c r="C4779" s="28" t="n"/>
      <c r="D4779" s="22">
        <f t="array" ref="D4779">IF($C4779="","",IFERROR(INDEX(DATA_MASTER!$C$2:$C$5000,MATCH($C4779,DATA_MASTER!$D$2:$D$5000,0)),""))</f>
        <v/>
      </c>
      <c r="E4779" s="22">
        <f t="array" ref="E4779">IF($C4779="","",IFERROR(INDEX(DATA_MASTER!$I$2:$I$5000,MATCH($C4779,DATA_MASTER!$D$2:$D$5000,0)),""))</f>
        <v/>
      </c>
      <c r="F4779" s="22">
        <f t="array" ref="F4779">IF($C4779="","",IFERROR(INDEX(DATA_MASTER!$L$2:$L$5000,MATCH($C4779,DATA_MASTER!$D$2:$D$5000,0)),""))</f>
        <v/>
      </c>
      <c r="G4779" s="24" t="n"/>
      <c r="H4779" s="24" t="n"/>
      <c r="I4779" s="30" t="n"/>
      <c r="J4779" s="23">
        <f>IF(OR($H4779="",$I4779=""),"",$H4779*$I4779)</f>
        <v/>
      </c>
      <c r="K4779" s="24" t="n"/>
      <c r="L4779" s="24" t="n"/>
      <c r="M4779" s="29" t="n"/>
      <c r="N4779" s="28" t="n"/>
      <c r="O4779" s="24" t="n"/>
      <c r="P4779" s="24" t="n"/>
      <c r="Q4779" s="24" t="n"/>
      <c r="R4779" s="24" t="n"/>
      <c r="S4779" s="22">
        <f>IF(AND($A4779="",$C4779=""),"",IF($A4779="","Thiếu mã đơn; ","")&amp;IF(COUNTIF($A$2:$A4779,$A4779)&gt;1,"Trùng mã đơn; ","")&amp;IF(ISNA(MATCH($C4779,DATA_MASTER!$D$2:$D$5000,0)),"SĐT chưa đăng ký hội viên; ","")&amp;IF(AND($L4779="Đã chuyển khoản",$M4779=""),"Thiếu ngày nhận CK; ",""))</f>
        <v/>
      </c>
      <c r="T4779" s="24" t="n"/>
    </row>
    <row r="4780" ht="14.25" customHeight="1" s="40">
      <c r="A4780" s="24" t="n"/>
      <c r="B4780" s="29" t="n"/>
      <c r="C4780" s="28" t="n"/>
      <c r="D4780" s="22">
        <f t="array" ref="D4780">IF($C4780="","",IFERROR(INDEX(DATA_MASTER!$C$2:$C$5000,MATCH($C4780,DATA_MASTER!$D$2:$D$5000,0)),""))</f>
        <v/>
      </c>
      <c r="E4780" s="22">
        <f t="array" ref="E4780">IF($C4780="","",IFERROR(INDEX(DATA_MASTER!$I$2:$I$5000,MATCH($C4780,DATA_MASTER!$D$2:$D$5000,0)),""))</f>
        <v/>
      </c>
      <c r="F4780" s="22">
        <f t="array" ref="F4780">IF($C4780="","",IFERROR(INDEX(DATA_MASTER!$L$2:$L$5000,MATCH($C4780,DATA_MASTER!$D$2:$D$5000,0)),""))</f>
        <v/>
      </c>
      <c r="G4780" s="24" t="n"/>
      <c r="H4780" s="24" t="n"/>
      <c r="I4780" s="30" t="n"/>
      <c r="J4780" s="23">
        <f>IF(OR($H4780="",$I4780=""),"",$H4780*$I4780)</f>
        <v/>
      </c>
      <c r="K4780" s="24" t="n"/>
      <c r="L4780" s="24" t="n"/>
      <c r="M4780" s="29" t="n"/>
      <c r="N4780" s="28" t="n"/>
      <c r="O4780" s="24" t="n"/>
      <c r="P4780" s="24" t="n"/>
      <c r="Q4780" s="24" t="n"/>
      <c r="R4780" s="24" t="n"/>
      <c r="S4780" s="22">
        <f>IF(AND($A4780="",$C4780=""),"",IF($A4780="","Thiếu mã đơn; ","")&amp;IF(COUNTIF($A$2:$A4780,$A4780)&gt;1,"Trùng mã đơn; ","")&amp;IF(ISNA(MATCH($C4780,DATA_MASTER!$D$2:$D$5000,0)),"SĐT chưa đăng ký hội viên; ","")&amp;IF(AND($L4780="Đã chuyển khoản",$M4780=""),"Thiếu ngày nhận CK; ",""))</f>
        <v/>
      </c>
      <c r="T4780" s="24" t="n"/>
    </row>
    <row r="4781" ht="14.25" customHeight="1" s="40">
      <c r="A4781" s="24" t="n"/>
      <c r="B4781" s="29" t="n"/>
      <c r="C4781" s="28" t="n"/>
      <c r="D4781" s="22">
        <f t="array" ref="D4781">IF($C4781="","",IFERROR(INDEX(DATA_MASTER!$C$2:$C$5000,MATCH($C4781,DATA_MASTER!$D$2:$D$5000,0)),""))</f>
        <v/>
      </c>
      <c r="E4781" s="22">
        <f t="array" ref="E4781">IF($C4781="","",IFERROR(INDEX(DATA_MASTER!$I$2:$I$5000,MATCH($C4781,DATA_MASTER!$D$2:$D$5000,0)),""))</f>
        <v/>
      </c>
      <c r="F4781" s="22">
        <f t="array" ref="F4781">IF($C4781="","",IFERROR(INDEX(DATA_MASTER!$L$2:$L$5000,MATCH($C4781,DATA_MASTER!$D$2:$D$5000,0)),""))</f>
        <v/>
      </c>
      <c r="G4781" s="24" t="n"/>
      <c r="H4781" s="24" t="n"/>
      <c r="I4781" s="30" t="n"/>
      <c r="J4781" s="23">
        <f>IF(OR($H4781="",$I4781=""),"",$H4781*$I4781)</f>
        <v/>
      </c>
      <c r="K4781" s="24" t="n"/>
      <c r="L4781" s="24" t="n"/>
      <c r="M4781" s="29" t="n"/>
      <c r="N4781" s="28" t="n"/>
      <c r="O4781" s="24" t="n"/>
      <c r="P4781" s="24" t="n"/>
      <c r="Q4781" s="24" t="n"/>
      <c r="R4781" s="24" t="n"/>
      <c r="S4781" s="22">
        <f>IF(AND($A4781="",$C4781=""),"",IF($A4781="","Thiếu mã đơn; ","")&amp;IF(COUNTIF($A$2:$A4781,$A4781)&gt;1,"Trùng mã đơn; ","")&amp;IF(ISNA(MATCH($C4781,DATA_MASTER!$D$2:$D$5000,0)),"SĐT chưa đăng ký hội viên; ","")&amp;IF(AND($L4781="Đã chuyển khoản",$M4781=""),"Thiếu ngày nhận CK; ",""))</f>
        <v/>
      </c>
      <c r="T4781" s="24" t="n"/>
    </row>
    <row r="4782" ht="14.25" customHeight="1" s="40">
      <c r="A4782" s="24" t="n"/>
      <c r="B4782" s="29" t="n"/>
      <c r="C4782" s="28" t="n"/>
      <c r="D4782" s="22">
        <f t="array" ref="D4782">IF($C4782="","",IFERROR(INDEX(DATA_MASTER!$C$2:$C$5000,MATCH($C4782,DATA_MASTER!$D$2:$D$5000,0)),""))</f>
        <v/>
      </c>
      <c r="E4782" s="22">
        <f t="array" ref="E4782">IF($C4782="","",IFERROR(INDEX(DATA_MASTER!$I$2:$I$5000,MATCH($C4782,DATA_MASTER!$D$2:$D$5000,0)),""))</f>
        <v/>
      </c>
      <c r="F4782" s="22">
        <f t="array" ref="F4782">IF($C4782="","",IFERROR(INDEX(DATA_MASTER!$L$2:$L$5000,MATCH($C4782,DATA_MASTER!$D$2:$D$5000,0)),""))</f>
        <v/>
      </c>
      <c r="G4782" s="24" t="n"/>
      <c r="H4782" s="24" t="n"/>
      <c r="I4782" s="30" t="n"/>
      <c r="J4782" s="23">
        <f>IF(OR($H4782="",$I4782=""),"",$H4782*$I4782)</f>
        <v/>
      </c>
      <c r="K4782" s="24" t="n"/>
      <c r="L4782" s="24" t="n"/>
      <c r="M4782" s="29" t="n"/>
      <c r="N4782" s="28" t="n"/>
      <c r="O4782" s="24" t="n"/>
      <c r="P4782" s="24" t="n"/>
      <c r="Q4782" s="24" t="n"/>
      <c r="R4782" s="24" t="n"/>
      <c r="S4782" s="22">
        <f>IF(AND($A4782="",$C4782=""),"",IF($A4782="","Thiếu mã đơn; ","")&amp;IF(COUNTIF($A$2:$A4782,$A4782)&gt;1,"Trùng mã đơn; ","")&amp;IF(ISNA(MATCH($C4782,DATA_MASTER!$D$2:$D$5000,0)),"SĐT chưa đăng ký hội viên; ","")&amp;IF(AND($L4782="Đã chuyển khoản",$M4782=""),"Thiếu ngày nhận CK; ",""))</f>
        <v/>
      </c>
      <c r="T4782" s="24" t="n"/>
    </row>
    <row r="4783" ht="14.25" customHeight="1" s="40">
      <c r="A4783" s="24" t="n"/>
      <c r="B4783" s="29" t="n"/>
      <c r="C4783" s="28" t="n"/>
      <c r="D4783" s="22">
        <f t="array" ref="D4783">IF($C4783="","",IFERROR(INDEX(DATA_MASTER!$C$2:$C$5000,MATCH($C4783,DATA_MASTER!$D$2:$D$5000,0)),""))</f>
        <v/>
      </c>
      <c r="E4783" s="22">
        <f t="array" ref="E4783">IF($C4783="","",IFERROR(INDEX(DATA_MASTER!$I$2:$I$5000,MATCH($C4783,DATA_MASTER!$D$2:$D$5000,0)),""))</f>
        <v/>
      </c>
      <c r="F4783" s="22">
        <f t="array" ref="F4783">IF($C4783="","",IFERROR(INDEX(DATA_MASTER!$L$2:$L$5000,MATCH($C4783,DATA_MASTER!$D$2:$D$5000,0)),""))</f>
        <v/>
      </c>
      <c r="G4783" s="24" t="n"/>
      <c r="H4783" s="24" t="n"/>
      <c r="I4783" s="30" t="n"/>
      <c r="J4783" s="23">
        <f>IF(OR($H4783="",$I4783=""),"",$H4783*$I4783)</f>
        <v/>
      </c>
      <c r="K4783" s="24" t="n"/>
      <c r="L4783" s="24" t="n"/>
      <c r="M4783" s="29" t="n"/>
      <c r="N4783" s="28" t="n"/>
      <c r="O4783" s="24" t="n"/>
      <c r="P4783" s="24" t="n"/>
      <c r="Q4783" s="24" t="n"/>
      <c r="R4783" s="24" t="n"/>
      <c r="S4783" s="22">
        <f>IF(AND($A4783="",$C4783=""),"",IF($A4783="","Thiếu mã đơn; ","")&amp;IF(COUNTIF($A$2:$A4783,$A4783)&gt;1,"Trùng mã đơn; ","")&amp;IF(ISNA(MATCH($C4783,DATA_MASTER!$D$2:$D$5000,0)),"SĐT chưa đăng ký hội viên; ","")&amp;IF(AND($L4783="Đã chuyển khoản",$M4783=""),"Thiếu ngày nhận CK; ",""))</f>
        <v/>
      </c>
      <c r="T4783" s="24" t="n"/>
    </row>
    <row r="4784" ht="14.25" customHeight="1" s="40">
      <c r="A4784" s="24" t="n"/>
      <c r="B4784" s="29" t="n"/>
      <c r="C4784" s="28" t="n"/>
      <c r="D4784" s="22">
        <f t="array" ref="D4784">IF($C4784="","",IFERROR(INDEX(DATA_MASTER!$C$2:$C$5000,MATCH($C4784,DATA_MASTER!$D$2:$D$5000,0)),""))</f>
        <v/>
      </c>
      <c r="E4784" s="22">
        <f t="array" ref="E4784">IF($C4784="","",IFERROR(INDEX(DATA_MASTER!$I$2:$I$5000,MATCH($C4784,DATA_MASTER!$D$2:$D$5000,0)),""))</f>
        <v/>
      </c>
      <c r="F4784" s="22">
        <f t="array" ref="F4784">IF($C4784="","",IFERROR(INDEX(DATA_MASTER!$L$2:$L$5000,MATCH($C4784,DATA_MASTER!$D$2:$D$5000,0)),""))</f>
        <v/>
      </c>
      <c r="G4784" s="24" t="n"/>
      <c r="H4784" s="24" t="n"/>
      <c r="I4784" s="30" t="n"/>
      <c r="J4784" s="23">
        <f>IF(OR($H4784="",$I4784=""),"",$H4784*$I4784)</f>
        <v/>
      </c>
      <c r="K4784" s="24" t="n"/>
      <c r="L4784" s="24" t="n"/>
      <c r="M4784" s="29" t="n"/>
      <c r="N4784" s="28" t="n"/>
      <c r="O4784" s="24" t="n"/>
      <c r="P4784" s="24" t="n"/>
      <c r="Q4784" s="24" t="n"/>
      <c r="R4784" s="24" t="n"/>
      <c r="S4784" s="22">
        <f>IF(AND($A4784="",$C4784=""),"",IF($A4784="","Thiếu mã đơn; ","")&amp;IF(COUNTIF($A$2:$A4784,$A4784)&gt;1,"Trùng mã đơn; ","")&amp;IF(ISNA(MATCH($C4784,DATA_MASTER!$D$2:$D$5000,0)),"SĐT chưa đăng ký hội viên; ","")&amp;IF(AND($L4784="Đã chuyển khoản",$M4784=""),"Thiếu ngày nhận CK; ",""))</f>
        <v/>
      </c>
      <c r="T4784" s="24" t="n"/>
    </row>
    <row r="4785" ht="14.25" customHeight="1" s="40">
      <c r="A4785" s="24" t="n"/>
      <c r="B4785" s="29" t="n"/>
      <c r="C4785" s="28" t="n"/>
      <c r="D4785" s="22">
        <f t="array" ref="D4785">IF($C4785="","",IFERROR(INDEX(DATA_MASTER!$C$2:$C$5000,MATCH($C4785,DATA_MASTER!$D$2:$D$5000,0)),""))</f>
        <v/>
      </c>
      <c r="E4785" s="22">
        <f t="array" ref="E4785">IF($C4785="","",IFERROR(INDEX(DATA_MASTER!$I$2:$I$5000,MATCH($C4785,DATA_MASTER!$D$2:$D$5000,0)),""))</f>
        <v/>
      </c>
      <c r="F4785" s="22">
        <f t="array" ref="F4785">IF($C4785="","",IFERROR(INDEX(DATA_MASTER!$L$2:$L$5000,MATCH($C4785,DATA_MASTER!$D$2:$D$5000,0)),""))</f>
        <v/>
      </c>
      <c r="G4785" s="24" t="n"/>
      <c r="H4785" s="24" t="n"/>
      <c r="I4785" s="30" t="n"/>
      <c r="J4785" s="23">
        <f>IF(OR($H4785="",$I4785=""),"",$H4785*$I4785)</f>
        <v/>
      </c>
      <c r="K4785" s="24" t="n"/>
      <c r="L4785" s="24" t="n"/>
      <c r="M4785" s="29" t="n"/>
      <c r="N4785" s="28" t="n"/>
      <c r="O4785" s="24" t="n"/>
      <c r="P4785" s="24" t="n"/>
      <c r="Q4785" s="24" t="n"/>
      <c r="R4785" s="24" t="n"/>
      <c r="S4785" s="22">
        <f>IF(AND($A4785="",$C4785=""),"",IF($A4785="","Thiếu mã đơn; ","")&amp;IF(COUNTIF($A$2:$A4785,$A4785)&gt;1,"Trùng mã đơn; ","")&amp;IF(ISNA(MATCH($C4785,DATA_MASTER!$D$2:$D$5000,0)),"SĐT chưa đăng ký hội viên; ","")&amp;IF(AND($L4785="Đã chuyển khoản",$M4785=""),"Thiếu ngày nhận CK; ",""))</f>
        <v/>
      </c>
      <c r="T4785" s="24" t="n"/>
    </row>
    <row r="4786" ht="14.25" customHeight="1" s="40">
      <c r="A4786" s="24" t="n"/>
      <c r="B4786" s="29" t="n"/>
      <c r="C4786" s="28" t="n"/>
      <c r="D4786" s="22">
        <f t="array" ref="D4786">IF($C4786="","",IFERROR(INDEX(DATA_MASTER!$C$2:$C$5000,MATCH($C4786,DATA_MASTER!$D$2:$D$5000,0)),""))</f>
        <v/>
      </c>
      <c r="E4786" s="22">
        <f t="array" ref="E4786">IF($C4786="","",IFERROR(INDEX(DATA_MASTER!$I$2:$I$5000,MATCH($C4786,DATA_MASTER!$D$2:$D$5000,0)),""))</f>
        <v/>
      </c>
      <c r="F4786" s="22">
        <f t="array" ref="F4786">IF($C4786="","",IFERROR(INDEX(DATA_MASTER!$L$2:$L$5000,MATCH($C4786,DATA_MASTER!$D$2:$D$5000,0)),""))</f>
        <v/>
      </c>
      <c r="G4786" s="24" t="n"/>
      <c r="H4786" s="24" t="n"/>
      <c r="I4786" s="30" t="n"/>
      <c r="J4786" s="23">
        <f>IF(OR($H4786="",$I4786=""),"",$H4786*$I4786)</f>
        <v/>
      </c>
      <c r="K4786" s="24" t="n"/>
      <c r="L4786" s="24" t="n"/>
      <c r="M4786" s="29" t="n"/>
      <c r="N4786" s="28" t="n"/>
      <c r="O4786" s="24" t="n"/>
      <c r="P4786" s="24" t="n"/>
      <c r="Q4786" s="24" t="n"/>
      <c r="R4786" s="24" t="n"/>
      <c r="S4786" s="22">
        <f>IF(AND($A4786="",$C4786=""),"",IF($A4786="","Thiếu mã đơn; ","")&amp;IF(COUNTIF($A$2:$A4786,$A4786)&gt;1,"Trùng mã đơn; ","")&amp;IF(ISNA(MATCH($C4786,DATA_MASTER!$D$2:$D$5000,0)),"SĐT chưa đăng ký hội viên; ","")&amp;IF(AND($L4786="Đã chuyển khoản",$M4786=""),"Thiếu ngày nhận CK; ",""))</f>
        <v/>
      </c>
      <c r="T4786" s="24" t="n"/>
    </row>
    <row r="4787" ht="14.25" customHeight="1" s="40">
      <c r="A4787" s="24" t="n"/>
      <c r="B4787" s="29" t="n"/>
      <c r="C4787" s="28" t="n"/>
      <c r="D4787" s="22">
        <f t="array" ref="D4787">IF($C4787="","",IFERROR(INDEX(DATA_MASTER!$C$2:$C$5000,MATCH($C4787,DATA_MASTER!$D$2:$D$5000,0)),""))</f>
        <v/>
      </c>
      <c r="E4787" s="22">
        <f t="array" ref="E4787">IF($C4787="","",IFERROR(INDEX(DATA_MASTER!$I$2:$I$5000,MATCH($C4787,DATA_MASTER!$D$2:$D$5000,0)),""))</f>
        <v/>
      </c>
      <c r="F4787" s="22">
        <f t="array" ref="F4787">IF($C4787="","",IFERROR(INDEX(DATA_MASTER!$L$2:$L$5000,MATCH($C4787,DATA_MASTER!$D$2:$D$5000,0)),""))</f>
        <v/>
      </c>
      <c r="G4787" s="24" t="n"/>
      <c r="H4787" s="24" t="n"/>
      <c r="I4787" s="30" t="n"/>
      <c r="J4787" s="23">
        <f>IF(OR($H4787="",$I4787=""),"",$H4787*$I4787)</f>
        <v/>
      </c>
      <c r="K4787" s="24" t="n"/>
      <c r="L4787" s="24" t="n"/>
      <c r="M4787" s="29" t="n"/>
      <c r="N4787" s="28" t="n"/>
      <c r="O4787" s="24" t="n"/>
      <c r="P4787" s="24" t="n"/>
      <c r="Q4787" s="24" t="n"/>
      <c r="R4787" s="24" t="n"/>
      <c r="S4787" s="22">
        <f>IF(AND($A4787="",$C4787=""),"",IF($A4787="","Thiếu mã đơn; ","")&amp;IF(COUNTIF($A$2:$A4787,$A4787)&gt;1,"Trùng mã đơn; ","")&amp;IF(ISNA(MATCH($C4787,DATA_MASTER!$D$2:$D$5000,0)),"SĐT chưa đăng ký hội viên; ","")&amp;IF(AND($L4787="Đã chuyển khoản",$M4787=""),"Thiếu ngày nhận CK; ",""))</f>
        <v/>
      </c>
      <c r="T4787" s="24" t="n"/>
    </row>
    <row r="4788" ht="14.25" customHeight="1" s="40">
      <c r="A4788" s="24" t="n"/>
      <c r="B4788" s="29" t="n"/>
      <c r="C4788" s="28" t="n"/>
      <c r="D4788" s="22">
        <f t="array" ref="D4788">IF($C4788="","",IFERROR(INDEX(DATA_MASTER!$C$2:$C$5000,MATCH($C4788,DATA_MASTER!$D$2:$D$5000,0)),""))</f>
        <v/>
      </c>
      <c r="E4788" s="22">
        <f t="array" ref="E4788">IF($C4788="","",IFERROR(INDEX(DATA_MASTER!$I$2:$I$5000,MATCH($C4788,DATA_MASTER!$D$2:$D$5000,0)),""))</f>
        <v/>
      </c>
      <c r="F4788" s="22">
        <f t="array" ref="F4788">IF($C4788="","",IFERROR(INDEX(DATA_MASTER!$L$2:$L$5000,MATCH($C4788,DATA_MASTER!$D$2:$D$5000,0)),""))</f>
        <v/>
      </c>
      <c r="G4788" s="24" t="n"/>
      <c r="H4788" s="24" t="n"/>
      <c r="I4788" s="30" t="n"/>
      <c r="J4788" s="23">
        <f>IF(OR($H4788="",$I4788=""),"",$H4788*$I4788)</f>
        <v/>
      </c>
      <c r="K4788" s="24" t="n"/>
      <c r="L4788" s="24" t="n"/>
      <c r="M4788" s="29" t="n"/>
      <c r="N4788" s="28" t="n"/>
      <c r="O4788" s="24" t="n"/>
      <c r="P4788" s="24" t="n"/>
      <c r="Q4788" s="24" t="n"/>
      <c r="R4788" s="24" t="n"/>
      <c r="S4788" s="22">
        <f>IF(AND($A4788="",$C4788=""),"",IF($A4788="","Thiếu mã đơn; ","")&amp;IF(COUNTIF($A$2:$A4788,$A4788)&gt;1,"Trùng mã đơn; ","")&amp;IF(ISNA(MATCH($C4788,DATA_MASTER!$D$2:$D$5000,0)),"SĐT chưa đăng ký hội viên; ","")&amp;IF(AND($L4788="Đã chuyển khoản",$M4788=""),"Thiếu ngày nhận CK; ",""))</f>
        <v/>
      </c>
      <c r="T4788" s="24" t="n"/>
    </row>
    <row r="4789" ht="14.25" customHeight="1" s="40">
      <c r="A4789" s="24" t="n"/>
      <c r="B4789" s="29" t="n"/>
      <c r="C4789" s="28" t="n"/>
      <c r="D4789" s="22">
        <f t="array" ref="D4789">IF($C4789="","",IFERROR(INDEX(DATA_MASTER!$C$2:$C$5000,MATCH($C4789,DATA_MASTER!$D$2:$D$5000,0)),""))</f>
        <v/>
      </c>
      <c r="E4789" s="22">
        <f t="array" ref="E4789">IF($C4789="","",IFERROR(INDEX(DATA_MASTER!$I$2:$I$5000,MATCH($C4789,DATA_MASTER!$D$2:$D$5000,0)),""))</f>
        <v/>
      </c>
      <c r="F4789" s="22">
        <f t="array" ref="F4789">IF($C4789="","",IFERROR(INDEX(DATA_MASTER!$L$2:$L$5000,MATCH($C4789,DATA_MASTER!$D$2:$D$5000,0)),""))</f>
        <v/>
      </c>
      <c r="G4789" s="24" t="n"/>
      <c r="H4789" s="24" t="n"/>
      <c r="I4789" s="30" t="n"/>
      <c r="J4789" s="23">
        <f>IF(OR($H4789="",$I4789=""),"",$H4789*$I4789)</f>
        <v/>
      </c>
      <c r="K4789" s="24" t="n"/>
      <c r="L4789" s="24" t="n"/>
      <c r="M4789" s="29" t="n"/>
      <c r="N4789" s="28" t="n"/>
      <c r="O4789" s="24" t="n"/>
      <c r="P4789" s="24" t="n"/>
      <c r="Q4789" s="24" t="n"/>
      <c r="R4789" s="24" t="n"/>
      <c r="S4789" s="22">
        <f>IF(AND($A4789="",$C4789=""),"",IF($A4789="","Thiếu mã đơn; ","")&amp;IF(COUNTIF($A$2:$A4789,$A4789)&gt;1,"Trùng mã đơn; ","")&amp;IF(ISNA(MATCH($C4789,DATA_MASTER!$D$2:$D$5000,0)),"SĐT chưa đăng ký hội viên; ","")&amp;IF(AND($L4789="Đã chuyển khoản",$M4789=""),"Thiếu ngày nhận CK; ",""))</f>
        <v/>
      </c>
      <c r="T4789" s="24" t="n"/>
    </row>
    <row r="4790" ht="14.25" customHeight="1" s="40">
      <c r="A4790" s="24" t="n"/>
      <c r="B4790" s="29" t="n"/>
      <c r="C4790" s="28" t="n"/>
      <c r="D4790" s="22">
        <f t="array" ref="D4790">IF($C4790="","",IFERROR(INDEX(DATA_MASTER!$C$2:$C$5000,MATCH($C4790,DATA_MASTER!$D$2:$D$5000,0)),""))</f>
        <v/>
      </c>
      <c r="E4790" s="22">
        <f t="array" ref="E4790">IF($C4790="","",IFERROR(INDEX(DATA_MASTER!$I$2:$I$5000,MATCH($C4790,DATA_MASTER!$D$2:$D$5000,0)),""))</f>
        <v/>
      </c>
      <c r="F4790" s="22">
        <f t="array" ref="F4790">IF($C4790="","",IFERROR(INDEX(DATA_MASTER!$L$2:$L$5000,MATCH($C4790,DATA_MASTER!$D$2:$D$5000,0)),""))</f>
        <v/>
      </c>
      <c r="G4790" s="24" t="n"/>
      <c r="H4790" s="24" t="n"/>
      <c r="I4790" s="30" t="n"/>
      <c r="J4790" s="23">
        <f>IF(OR($H4790="",$I4790=""),"",$H4790*$I4790)</f>
        <v/>
      </c>
      <c r="K4790" s="24" t="n"/>
      <c r="L4790" s="24" t="n"/>
      <c r="M4790" s="29" t="n"/>
      <c r="N4790" s="28" t="n"/>
      <c r="O4790" s="24" t="n"/>
      <c r="P4790" s="24" t="n"/>
      <c r="Q4790" s="24" t="n"/>
      <c r="R4790" s="24" t="n"/>
      <c r="S4790" s="22">
        <f>IF(AND($A4790="",$C4790=""),"",IF($A4790="","Thiếu mã đơn; ","")&amp;IF(COUNTIF($A$2:$A4790,$A4790)&gt;1,"Trùng mã đơn; ","")&amp;IF(ISNA(MATCH($C4790,DATA_MASTER!$D$2:$D$5000,0)),"SĐT chưa đăng ký hội viên; ","")&amp;IF(AND($L4790="Đã chuyển khoản",$M4790=""),"Thiếu ngày nhận CK; ",""))</f>
        <v/>
      </c>
      <c r="T4790" s="24" t="n"/>
    </row>
    <row r="4791" ht="14.25" customHeight="1" s="40">
      <c r="A4791" s="24" t="n"/>
      <c r="B4791" s="29" t="n"/>
      <c r="C4791" s="28" t="n"/>
      <c r="D4791" s="22">
        <f t="array" ref="D4791">IF($C4791="","",IFERROR(INDEX(DATA_MASTER!$C$2:$C$5000,MATCH($C4791,DATA_MASTER!$D$2:$D$5000,0)),""))</f>
        <v/>
      </c>
      <c r="E4791" s="22">
        <f t="array" ref="E4791">IF($C4791="","",IFERROR(INDEX(DATA_MASTER!$I$2:$I$5000,MATCH($C4791,DATA_MASTER!$D$2:$D$5000,0)),""))</f>
        <v/>
      </c>
      <c r="F4791" s="22">
        <f t="array" ref="F4791">IF($C4791="","",IFERROR(INDEX(DATA_MASTER!$L$2:$L$5000,MATCH($C4791,DATA_MASTER!$D$2:$D$5000,0)),""))</f>
        <v/>
      </c>
      <c r="G4791" s="24" t="n"/>
      <c r="H4791" s="24" t="n"/>
      <c r="I4791" s="30" t="n"/>
      <c r="J4791" s="23">
        <f>IF(OR($H4791="",$I4791=""),"",$H4791*$I4791)</f>
        <v/>
      </c>
      <c r="K4791" s="24" t="n"/>
      <c r="L4791" s="24" t="n"/>
      <c r="M4791" s="29" t="n"/>
      <c r="N4791" s="28" t="n"/>
      <c r="O4791" s="24" t="n"/>
      <c r="P4791" s="24" t="n"/>
      <c r="Q4791" s="24" t="n"/>
      <c r="R4791" s="24" t="n"/>
      <c r="S4791" s="22">
        <f>IF(AND($A4791="",$C4791=""),"",IF($A4791="","Thiếu mã đơn; ","")&amp;IF(COUNTIF($A$2:$A4791,$A4791)&gt;1,"Trùng mã đơn; ","")&amp;IF(ISNA(MATCH($C4791,DATA_MASTER!$D$2:$D$5000,0)),"SĐT chưa đăng ký hội viên; ","")&amp;IF(AND($L4791="Đã chuyển khoản",$M4791=""),"Thiếu ngày nhận CK; ",""))</f>
        <v/>
      </c>
      <c r="T4791" s="24" t="n"/>
    </row>
    <row r="4792" ht="14.25" customHeight="1" s="40">
      <c r="A4792" s="24" t="n"/>
      <c r="B4792" s="29" t="n"/>
      <c r="C4792" s="28" t="n"/>
      <c r="D4792" s="22">
        <f t="array" ref="D4792">IF($C4792="","",IFERROR(INDEX(DATA_MASTER!$C$2:$C$5000,MATCH($C4792,DATA_MASTER!$D$2:$D$5000,0)),""))</f>
        <v/>
      </c>
      <c r="E4792" s="22">
        <f t="array" ref="E4792">IF($C4792="","",IFERROR(INDEX(DATA_MASTER!$I$2:$I$5000,MATCH($C4792,DATA_MASTER!$D$2:$D$5000,0)),""))</f>
        <v/>
      </c>
      <c r="F4792" s="22">
        <f t="array" ref="F4792">IF($C4792="","",IFERROR(INDEX(DATA_MASTER!$L$2:$L$5000,MATCH($C4792,DATA_MASTER!$D$2:$D$5000,0)),""))</f>
        <v/>
      </c>
      <c r="G4792" s="24" t="n"/>
      <c r="H4792" s="24" t="n"/>
      <c r="I4792" s="30" t="n"/>
      <c r="J4792" s="23">
        <f>IF(OR($H4792="",$I4792=""),"",$H4792*$I4792)</f>
        <v/>
      </c>
      <c r="K4792" s="24" t="n"/>
      <c r="L4792" s="24" t="n"/>
      <c r="M4792" s="29" t="n"/>
      <c r="N4792" s="28" t="n"/>
      <c r="O4792" s="24" t="n"/>
      <c r="P4792" s="24" t="n"/>
      <c r="Q4792" s="24" t="n"/>
      <c r="R4792" s="24" t="n"/>
      <c r="S4792" s="22">
        <f>IF(AND($A4792="",$C4792=""),"",IF($A4792="","Thiếu mã đơn; ","")&amp;IF(COUNTIF($A$2:$A4792,$A4792)&gt;1,"Trùng mã đơn; ","")&amp;IF(ISNA(MATCH($C4792,DATA_MASTER!$D$2:$D$5000,0)),"SĐT chưa đăng ký hội viên; ","")&amp;IF(AND($L4792="Đã chuyển khoản",$M4792=""),"Thiếu ngày nhận CK; ",""))</f>
        <v/>
      </c>
      <c r="T4792" s="24" t="n"/>
    </row>
    <row r="4793" ht="14.25" customHeight="1" s="40">
      <c r="A4793" s="24" t="n"/>
      <c r="B4793" s="29" t="n"/>
      <c r="C4793" s="28" t="n"/>
      <c r="D4793" s="22">
        <f t="array" ref="D4793">IF($C4793="","",IFERROR(INDEX(DATA_MASTER!$C$2:$C$5000,MATCH($C4793,DATA_MASTER!$D$2:$D$5000,0)),""))</f>
        <v/>
      </c>
      <c r="E4793" s="22">
        <f t="array" ref="E4793">IF($C4793="","",IFERROR(INDEX(DATA_MASTER!$I$2:$I$5000,MATCH($C4793,DATA_MASTER!$D$2:$D$5000,0)),""))</f>
        <v/>
      </c>
      <c r="F4793" s="22">
        <f t="array" ref="F4793">IF($C4793="","",IFERROR(INDEX(DATA_MASTER!$L$2:$L$5000,MATCH($C4793,DATA_MASTER!$D$2:$D$5000,0)),""))</f>
        <v/>
      </c>
      <c r="G4793" s="24" t="n"/>
      <c r="H4793" s="24" t="n"/>
      <c r="I4793" s="30" t="n"/>
      <c r="J4793" s="23">
        <f>IF(OR($H4793="",$I4793=""),"",$H4793*$I4793)</f>
        <v/>
      </c>
      <c r="K4793" s="24" t="n"/>
      <c r="L4793" s="24" t="n"/>
      <c r="M4793" s="29" t="n"/>
      <c r="N4793" s="28" t="n"/>
      <c r="O4793" s="24" t="n"/>
      <c r="P4793" s="24" t="n"/>
      <c r="Q4793" s="24" t="n"/>
      <c r="R4793" s="24" t="n"/>
      <c r="S4793" s="22">
        <f>IF(AND($A4793="",$C4793=""),"",IF($A4793="","Thiếu mã đơn; ","")&amp;IF(COUNTIF($A$2:$A4793,$A4793)&gt;1,"Trùng mã đơn; ","")&amp;IF(ISNA(MATCH($C4793,DATA_MASTER!$D$2:$D$5000,0)),"SĐT chưa đăng ký hội viên; ","")&amp;IF(AND($L4793="Đã chuyển khoản",$M4793=""),"Thiếu ngày nhận CK; ",""))</f>
        <v/>
      </c>
      <c r="T4793" s="24" t="n"/>
    </row>
    <row r="4794" ht="14.25" customHeight="1" s="40">
      <c r="A4794" s="24" t="n"/>
      <c r="B4794" s="29" t="n"/>
      <c r="C4794" s="28" t="n"/>
      <c r="D4794" s="22">
        <f t="array" ref="D4794">IF($C4794="","",IFERROR(INDEX(DATA_MASTER!$C$2:$C$5000,MATCH($C4794,DATA_MASTER!$D$2:$D$5000,0)),""))</f>
        <v/>
      </c>
      <c r="E4794" s="22">
        <f t="array" ref="E4794">IF($C4794="","",IFERROR(INDEX(DATA_MASTER!$I$2:$I$5000,MATCH($C4794,DATA_MASTER!$D$2:$D$5000,0)),""))</f>
        <v/>
      </c>
      <c r="F4794" s="22">
        <f t="array" ref="F4794">IF($C4794="","",IFERROR(INDEX(DATA_MASTER!$L$2:$L$5000,MATCH($C4794,DATA_MASTER!$D$2:$D$5000,0)),""))</f>
        <v/>
      </c>
      <c r="G4794" s="24" t="n"/>
      <c r="H4794" s="24" t="n"/>
      <c r="I4794" s="30" t="n"/>
      <c r="J4794" s="23">
        <f>IF(OR($H4794="",$I4794=""),"",$H4794*$I4794)</f>
        <v/>
      </c>
      <c r="K4794" s="24" t="n"/>
      <c r="L4794" s="24" t="n"/>
      <c r="M4794" s="29" t="n"/>
      <c r="N4794" s="28" t="n"/>
      <c r="O4794" s="24" t="n"/>
      <c r="P4794" s="24" t="n"/>
      <c r="Q4794" s="24" t="n"/>
      <c r="R4794" s="24" t="n"/>
      <c r="S4794" s="22">
        <f>IF(AND($A4794="",$C4794=""),"",IF($A4794="","Thiếu mã đơn; ","")&amp;IF(COUNTIF($A$2:$A4794,$A4794)&gt;1,"Trùng mã đơn; ","")&amp;IF(ISNA(MATCH($C4794,DATA_MASTER!$D$2:$D$5000,0)),"SĐT chưa đăng ký hội viên; ","")&amp;IF(AND($L4794="Đã chuyển khoản",$M4794=""),"Thiếu ngày nhận CK; ",""))</f>
        <v/>
      </c>
      <c r="T4794" s="24" t="n"/>
    </row>
    <row r="4795" ht="14.25" customHeight="1" s="40">
      <c r="A4795" s="24" t="n"/>
      <c r="B4795" s="29" t="n"/>
      <c r="C4795" s="28" t="n"/>
      <c r="D4795" s="22">
        <f t="array" ref="D4795">IF($C4795="","",IFERROR(INDEX(DATA_MASTER!$C$2:$C$5000,MATCH($C4795,DATA_MASTER!$D$2:$D$5000,0)),""))</f>
        <v/>
      </c>
      <c r="E4795" s="22">
        <f t="array" ref="E4795">IF($C4795="","",IFERROR(INDEX(DATA_MASTER!$I$2:$I$5000,MATCH($C4795,DATA_MASTER!$D$2:$D$5000,0)),""))</f>
        <v/>
      </c>
      <c r="F4795" s="22">
        <f t="array" ref="F4795">IF($C4795="","",IFERROR(INDEX(DATA_MASTER!$L$2:$L$5000,MATCH($C4795,DATA_MASTER!$D$2:$D$5000,0)),""))</f>
        <v/>
      </c>
      <c r="G4795" s="24" t="n"/>
      <c r="H4795" s="24" t="n"/>
      <c r="I4795" s="30" t="n"/>
      <c r="J4795" s="23">
        <f>IF(OR($H4795="",$I4795=""),"",$H4795*$I4795)</f>
        <v/>
      </c>
      <c r="K4795" s="24" t="n"/>
      <c r="L4795" s="24" t="n"/>
      <c r="M4795" s="29" t="n"/>
      <c r="N4795" s="28" t="n"/>
      <c r="O4795" s="24" t="n"/>
      <c r="P4795" s="24" t="n"/>
      <c r="Q4795" s="24" t="n"/>
      <c r="R4795" s="24" t="n"/>
      <c r="S4795" s="22">
        <f>IF(AND($A4795="",$C4795=""),"",IF($A4795="","Thiếu mã đơn; ","")&amp;IF(COUNTIF($A$2:$A4795,$A4795)&gt;1,"Trùng mã đơn; ","")&amp;IF(ISNA(MATCH($C4795,DATA_MASTER!$D$2:$D$5000,0)),"SĐT chưa đăng ký hội viên; ","")&amp;IF(AND($L4795="Đã chuyển khoản",$M4795=""),"Thiếu ngày nhận CK; ",""))</f>
        <v/>
      </c>
      <c r="T4795" s="24" t="n"/>
    </row>
    <row r="4796" ht="14.25" customHeight="1" s="40">
      <c r="A4796" s="24" t="n"/>
      <c r="B4796" s="29" t="n"/>
      <c r="C4796" s="28" t="n"/>
      <c r="D4796" s="22">
        <f t="array" ref="D4796">IF($C4796="","",IFERROR(INDEX(DATA_MASTER!$C$2:$C$5000,MATCH($C4796,DATA_MASTER!$D$2:$D$5000,0)),""))</f>
        <v/>
      </c>
      <c r="E4796" s="22">
        <f t="array" ref="E4796">IF($C4796="","",IFERROR(INDEX(DATA_MASTER!$I$2:$I$5000,MATCH($C4796,DATA_MASTER!$D$2:$D$5000,0)),""))</f>
        <v/>
      </c>
      <c r="F4796" s="22">
        <f t="array" ref="F4796">IF($C4796="","",IFERROR(INDEX(DATA_MASTER!$L$2:$L$5000,MATCH($C4796,DATA_MASTER!$D$2:$D$5000,0)),""))</f>
        <v/>
      </c>
      <c r="G4796" s="24" t="n"/>
      <c r="H4796" s="24" t="n"/>
      <c r="I4796" s="30" t="n"/>
      <c r="J4796" s="23">
        <f>IF(OR($H4796="",$I4796=""),"",$H4796*$I4796)</f>
        <v/>
      </c>
      <c r="K4796" s="24" t="n"/>
      <c r="L4796" s="24" t="n"/>
      <c r="M4796" s="29" t="n"/>
      <c r="N4796" s="28" t="n"/>
      <c r="O4796" s="24" t="n"/>
      <c r="P4796" s="24" t="n"/>
      <c r="Q4796" s="24" t="n"/>
      <c r="R4796" s="24" t="n"/>
      <c r="S4796" s="22">
        <f>IF(AND($A4796="",$C4796=""),"",IF($A4796="","Thiếu mã đơn; ","")&amp;IF(COUNTIF($A$2:$A4796,$A4796)&gt;1,"Trùng mã đơn; ","")&amp;IF(ISNA(MATCH($C4796,DATA_MASTER!$D$2:$D$5000,0)),"SĐT chưa đăng ký hội viên; ","")&amp;IF(AND($L4796="Đã chuyển khoản",$M4796=""),"Thiếu ngày nhận CK; ",""))</f>
        <v/>
      </c>
      <c r="T4796" s="24" t="n"/>
    </row>
    <row r="4797" ht="14.25" customHeight="1" s="40">
      <c r="A4797" s="24" t="n"/>
      <c r="B4797" s="29" t="n"/>
      <c r="C4797" s="28" t="n"/>
      <c r="D4797" s="22">
        <f t="array" ref="D4797">IF($C4797="","",IFERROR(INDEX(DATA_MASTER!$C$2:$C$5000,MATCH($C4797,DATA_MASTER!$D$2:$D$5000,0)),""))</f>
        <v/>
      </c>
      <c r="E4797" s="22">
        <f t="array" ref="E4797">IF($C4797="","",IFERROR(INDEX(DATA_MASTER!$I$2:$I$5000,MATCH($C4797,DATA_MASTER!$D$2:$D$5000,0)),""))</f>
        <v/>
      </c>
      <c r="F4797" s="22">
        <f t="array" ref="F4797">IF($C4797="","",IFERROR(INDEX(DATA_MASTER!$L$2:$L$5000,MATCH($C4797,DATA_MASTER!$D$2:$D$5000,0)),""))</f>
        <v/>
      </c>
      <c r="G4797" s="24" t="n"/>
      <c r="H4797" s="24" t="n"/>
      <c r="I4797" s="30" t="n"/>
      <c r="J4797" s="23">
        <f>IF(OR($H4797="",$I4797=""),"",$H4797*$I4797)</f>
        <v/>
      </c>
      <c r="K4797" s="24" t="n"/>
      <c r="L4797" s="24" t="n"/>
      <c r="M4797" s="29" t="n"/>
      <c r="N4797" s="28" t="n"/>
      <c r="O4797" s="24" t="n"/>
      <c r="P4797" s="24" t="n"/>
      <c r="Q4797" s="24" t="n"/>
      <c r="R4797" s="24" t="n"/>
      <c r="S4797" s="22">
        <f>IF(AND($A4797="",$C4797=""),"",IF($A4797="","Thiếu mã đơn; ","")&amp;IF(COUNTIF($A$2:$A4797,$A4797)&gt;1,"Trùng mã đơn; ","")&amp;IF(ISNA(MATCH($C4797,DATA_MASTER!$D$2:$D$5000,0)),"SĐT chưa đăng ký hội viên; ","")&amp;IF(AND($L4797="Đã chuyển khoản",$M4797=""),"Thiếu ngày nhận CK; ",""))</f>
        <v/>
      </c>
      <c r="T4797" s="24" t="n"/>
    </row>
    <row r="4798" ht="14.25" customHeight="1" s="40">
      <c r="A4798" s="24" t="n"/>
      <c r="B4798" s="29" t="n"/>
      <c r="C4798" s="28" t="n"/>
      <c r="D4798" s="22">
        <f t="array" ref="D4798">IF($C4798="","",IFERROR(INDEX(DATA_MASTER!$C$2:$C$5000,MATCH($C4798,DATA_MASTER!$D$2:$D$5000,0)),""))</f>
        <v/>
      </c>
      <c r="E4798" s="22">
        <f t="array" ref="E4798">IF($C4798="","",IFERROR(INDEX(DATA_MASTER!$I$2:$I$5000,MATCH($C4798,DATA_MASTER!$D$2:$D$5000,0)),""))</f>
        <v/>
      </c>
      <c r="F4798" s="22">
        <f t="array" ref="F4798">IF($C4798="","",IFERROR(INDEX(DATA_MASTER!$L$2:$L$5000,MATCH($C4798,DATA_MASTER!$D$2:$D$5000,0)),""))</f>
        <v/>
      </c>
      <c r="G4798" s="24" t="n"/>
      <c r="H4798" s="24" t="n"/>
      <c r="I4798" s="30" t="n"/>
      <c r="J4798" s="23">
        <f>IF(OR($H4798="",$I4798=""),"",$H4798*$I4798)</f>
        <v/>
      </c>
      <c r="K4798" s="24" t="n"/>
      <c r="L4798" s="24" t="n"/>
      <c r="M4798" s="29" t="n"/>
      <c r="N4798" s="28" t="n"/>
      <c r="O4798" s="24" t="n"/>
      <c r="P4798" s="24" t="n"/>
      <c r="Q4798" s="24" t="n"/>
      <c r="R4798" s="24" t="n"/>
      <c r="S4798" s="22">
        <f>IF(AND($A4798="",$C4798=""),"",IF($A4798="","Thiếu mã đơn; ","")&amp;IF(COUNTIF($A$2:$A4798,$A4798)&gt;1,"Trùng mã đơn; ","")&amp;IF(ISNA(MATCH($C4798,DATA_MASTER!$D$2:$D$5000,0)),"SĐT chưa đăng ký hội viên; ","")&amp;IF(AND($L4798="Đã chuyển khoản",$M4798=""),"Thiếu ngày nhận CK; ",""))</f>
        <v/>
      </c>
      <c r="T4798" s="24" t="n"/>
    </row>
    <row r="4799" ht="14.25" customHeight="1" s="40">
      <c r="A4799" s="24" t="n"/>
      <c r="B4799" s="29" t="n"/>
      <c r="C4799" s="28" t="n"/>
      <c r="D4799" s="22">
        <f t="array" ref="D4799">IF($C4799="","",IFERROR(INDEX(DATA_MASTER!$C$2:$C$5000,MATCH($C4799,DATA_MASTER!$D$2:$D$5000,0)),""))</f>
        <v/>
      </c>
      <c r="E4799" s="22">
        <f t="array" ref="E4799">IF($C4799="","",IFERROR(INDEX(DATA_MASTER!$I$2:$I$5000,MATCH($C4799,DATA_MASTER!$D$2:$D$5000,0)),""))</f>
        <v/>
      </c>
      <c r="F4799" s="22">
        <f t="array" ref="F4799">IF($C4799="","",IFERROR(INDEX(DATA_MASTER!$L$2:$L$5000,MATCH($C4799,DATA_MASTER!$D$2:$D$5000,0)),""))</f>
        <v/>
      </c>
      <c r="G4799" s="24" t="n"/>
      <c r="H4799" s="24" t="n"/>
      <c r="I4799" s="30" t="n"/>
      <c r="J4799" s="23">
        <f>IF(OR($H4799="",$I4799=""),"",$H4799*$I4799)</f>
        <v/>
      </c>
      <c r="K4799" s="24" t="n"/>
      <c r="L4799" s="24" t="n"/>
      <c r="M4799" s="29" t="n"/>
      <c r="N4799" s="28" t="n"/>
      <c r="O4799" s="24" t="n"/>
      <c r="P4799" s="24" t="n"/>
      <c r="Q4799" s="24" t="n"/>
      <c r="R4799" s="24" t="n"/>
      <c r="S4799" s="22">
        <f>IF(AND($A4799="",$C4799=""),"",IF($A4799="","Thiếu mã đơn; ","")&amp;IF(COUNTIF($A$2:$A4799,$A4799)&gt;1,"Trùng mã đơn; ","")&amp;IF(ISNA(MATCH($C4799,DATA_MASTER!$D$2:$D$5000,0)),"SĐT chưa đăng ký hội viên; ","")&amp;IF(AND($L4799="Đã chuyển khoản",$M4799=""),"Thiếu ngày nhận CK; ",""))</f>
        <v/>
      </c>
      <c r="T4799" s="24" t="n"/>
    </row>
    <row r="4800" ht="14.25" customHeight="1" s="40">
      <c r="A4800" s="24" t="n"/>
      <c r="B4800" s="29" t="n"/>
      <c r="C4800" s="28" t="n"/>
      <c r="D4800" s="22">
        <f t="array" ref="D4800">IF($C4800="","",IFERROR(INDEX(DATA_MASTER!$C$2:$C$5000,MATCH($C4800,DATA_MASTER!$D$2:$D$5000,0)),""))</f>
        <v/>
      </c>
      <c r="E4800" s="22">
        <f t="array" ref="E4800">IF($C4800="","",IFERROR(INDEX(DATA_MASTER!$I$2:$I$5000,MATCH($C4800,DATA_MASTER!$D$2:$D$5000,0)),""))</f>
        <v/>
      </c>
      <c r="F4800" s="22">
        <f t="array" ref="F4800">IF($C4800="","",IFERROR(INDEX(DATA_MASTER!$L$2:$L$5000,MATCH($C4800,DATA_MASTER!$D$2:$D$5000,0)),""))</f>
        <v/>
      </c>
      <c r="G4800" s="24" t="n"/>
      <c r="H4800" s="24" t="n"/>
      <c r="I4800" s="30" t="n"/>
      <c r="J4800" s="23">
        <f>IF(OR($H4800="",$I4800=""),"",$H4800*$I4800)</f>
        <v/>
      </c>
      <c r="K4800" s="24" t="n"/>
      <c r="L4800" s="24" t="n"/>
      <c r="M4800" s="29" t="n"/>
      <c r="N4800" s="28" t="n"/>
      <c r="O4800" s="24" t="n"/>
      <c r="P4800" s="24" t="n"/>
      <c r="Q4800" s="24" t="n"/>
      <c r="R4800" s="24" t="n"/>
      <c r="S4800" s="22">
        <f>IF(AND($A4800="",$C4800=""),"",IF($A4800="","Thiếu mã đơn; ","")&amp;IF(COUNTIF($A$2:$A4800,$A4800)&gt;1,"Trùng mã đơn; ","")&amp;IF(ISNA(MATCH($C4800,DATA_MASTER!$D$2:$D$5000,0)),"SĐT chưa đăng ký hội viên; ","")&amp;IF(AND($L4800="Đã chuyển khoản",$M4800=""),"Thiếu ngày nhận CK; ",""))</f>
        <v/>
      </c>
      <c r="T4800" s="24" t="n"/>
    </row>
    <row r="4801" ht="14.25" customHeight="1" s="40">
      <c r="A4801" s="24" t="n"/>
      <c r="B4801" s="29" t="n"/>
      <c r="C4801" s="28" t="n"/>
      <c r="D4801" s="22">
        <f t="array" ref="D4801">IF($C4801="","",IFERROR(INDEX(DATA_MASTER!$C$2:$C$5000,MATCH($C4801,DATA_MASTER!$D$2:$D$5000,0)),""))</f>
        <v/>
      </c>
      <c r="E4801" s="22">
        <f t="array" ref="E4801">IF($C4801="","",IFERROR(INDEX(DATA_MASTER!$I$2:$I$5000,MATCH($C4801,DATA_MASTER!$D$2:$D$5000,0)),""))</f>
        <v/>
      </c>
      <c r="F4801" s="22">
        <f t="array" ref="F4801">IF($C4801="","",IFERROR(INDEX(DATA_MASTER!$L$2:$L$5000,MATCH($C4801,DATA_MASTER!$D$2:$D$5000,0)),""))</f>
        <v/>
      </c>
      <c r="G4801" s="24" t="n"/>
      <c r="H4801" s="24" t="n"/>
      <c r="I4801" s="30" t="n"/>
      <c r="J4801" s="23">
        <f>IF(OR($H4801="",$I4801=""),"",$H4801*$I4801)</f>
        <v/>
      </c>
      <c r="K4801" s="24" t="n"/>
      <c r="L4801" s="24" t="n"/>
      <c r="M4801" s="29" t="n"/>
      <c r="N4801" s="28" t="n"/>
      <c r="O4801" s="24" t="n"/>
      <c r="P4801" s="24" t="n"/>
      <c r="Q4801" s="24" t="n"/>
      <c r="R4801" s="24" t="n"/>
      <c r="S4801" s="22">
        <f>IF(AND($A4801="",$C4801=""),"",IF($A4801="","Thiếu mã đơn; ","")&amp;IF(COUNTIF($A$2:$A4801,$A4801)&gt;1,"Trùng mã đơn; ","")&amp;IF(ISNA(MATCH($C4801,DATA_MASTER!$D$2:$D$5000,0)),"SĐT chưa đăng ký hội viên; ","")&amp;IF(AND($L4801="Đã chuyển khoản",$M4801=""),"Thiếu ngày nhận CK; ",""))</f>
        <v/>
      </c>
      <c r="T4801" s="24" t="n"/>
    </row>
    <row r="4802" ht="14.25" customHeight="1" s="40">
      <c r="A4802" s="24" t="n"/>
      <c r="B4802" s="29" t="n"/>
      <c r="C4802" s="28" t="n"/>
      <c r="D4802" s="22">
        <f t="array" ref="D4802">IF($C4802="","",IFERROR(INDEX(DATA_MASTER!$C$2:$C$5000,MATCH($C4802,DATA_MASTER!$D$2:$D$5000,0)),""))</f>
        <v/>
      </c>
      <c r="E4802" s="22">
        <f t="array" ref="E4802">IF($C4802="","",IFERROR(INDEX(DATA_MASTER!$I$2:$I$5000,MATCH($C4802,DATA_MASTER!$D$2:$D$5000,0)),""))</f>
        <v/>
      </c>
      <c r="F4802" s="22">
        <f t="array" ref="F4802">IF($C4802="","",IFERROR(INDEX(DATA_MASTER!$L$2:$L$5000,MATCH($C4802,DATA_MASTER!$D$2:$D$5000,0)),""))</f>
        <v/>
      </c>
      <c r="G4802" s="24" t="n"/>
      <c r="H4802" s="24" t="n"/>
      <c r="I4802" s="30" t="n"/>
      <c r="J4802" s="23">
        <f>IF(OR($H4802="",$I4802=""),"",$H4802*$I4802)</f>
        <v/>
      </c>
      <c r="K4802" s="24" t="n"/>
      <c r="L4802" s="24" t="n"/>
      <c r="M4802" s="29" t="n"/>
      <c r="N4802" s="28" t="n"/>
      <c r="O4802" s="24" t="n"/>
      <c r="P4802" s="24" t="n"/>
      <c r="Q4802" s="24" t="n"/>
      <c r="R4802" s="24" t="n"/>
      <c r="S4802" s="22">
        <f>IF(AND($A4802="",$C4802=""),"",IF($A4802="","Thiếu mã đơn; ","")&amp;IF(COUNTIF($A$2:$A4802,$A4802)&gt;1,"Trùng mã đơn; ","")&amp;IF(ISNA(MATCH($C4802,DATA_MASTER!$D$2:$D$5000,0)),"SĐT chưa đăng ký hội viên; ","")&amp;IF(AND($L4802="Đã chuyển khoản",$M4802=""),"Thiếu ngày nhận CK; ",""))</f>
        <v/>
      </c>
      <c r="T4802" s="24" t="n"/>
    </row>
    <row r="4803" ht="14.25" customHeight="1" s="40">
      <c r="A4803" s="24" t="n"/>
      <c r="B4803" s="29" t="n"/>
      <c r="C4803" s="28" t="n"/>
      <c r="D4803" s="22">
        <f t="array" ref="D4803">IF($C4803="","",IFERROR(INDEX(DATA_MASTER!$C$2:$C$5000,MATCH($C4803,DATA_MASTER!$D$2:$D$5000,0)),""))</f>
        <v/>
      </c>
      <c r="E4803" s="22">
        <f t="array" ref="E4803">IF($C4803="","",IFERROR(INDEX(DATA_MASTER!$I$2:$I$5000,MATCH($C4803,DATA_MASTER!$D$2:$D$5000,0)),""))</f>
        <v/>
      </c>
      <c r="F4803" s="22">
        <f t="array" ref="F4803">IF($C4803="","",IFERROR(INDEX(DATA_MASTER!$L$2:$L$5000,MATCH($C4803,DATA_MASTER!$D$2:$D$5000,0)),""))</f>
        <v/>
      </c>
      <c r="G4803" s="24" t="n"/>
      <c r="H4803" s="24" t="n"/>
      <c r="I4803" s="30" t="n"/>
      <c r="J4803" s="23">
        <f>IF(OR($H4803="",$I4803=""),"",$H4803*$I4803)</f>
        <v/>
      </c>
      <c r="K4803" s="24" t="n"/>
      <c r="L4803" s="24" t="n"/>
      <c r="M4803" s="29" t="n"/>
      <c r="N4803" s="28" t="n"/>
      <c r="O4803" s="24" t="n"/>
      <c r="P4803" s="24" t="n"/>
      <c r="Q4803" s="24" t="n"/>
      <c r="R4803" s="24" t="n"/>
      <c r="S4803" s="22">
        <f>IF(AND($A4803="",$C4803=""),"",IF($A4803="","Thiếu mã đơn; ","")&amp;IF(COUNTIF($A$2:$A4803,$A4803)&gt;1,"Trùng mã đơn; ","")&amp;IF(ISNA(MATCH($C4803,DATA_MASTER!$D$2:$D$5000,0)),"SĐT chưa đăng ký hội viên; ","")&amp;IF(AND($L4803="Đã chuyển khoản",$M4803=""),"Thiếu ngày nhận CK; ",""))</f>
        <v/>
      </c>
      <c r="T4803" s="24" t="n"/>
    </row>
    <row r="4804" ht="14.25" customHeight="1" s="40">
      <c r="A4804" s="24" t="n"/>
      <c r="B4804" s="29" t="n"/>
      <c r="C4804" s="28" t="n"/>
      <c r="D4804" s="22">
        <f t="array" ref="D4804">IF($C4804="","",IFERROR(INDEX(DATA_MASTER!$C$2:$C$5000,MATCH($C4804,DATA_MASTER!$D$2:$D$5000,0)),""))</f>
        <v/>
      </c>
      <c r="E4804" s="22">
        <f t="array" ref="E4804">IF($C4804="","",IFERROR(INDEX(DATA_MASTER!$I$2:$I$5000,MATCH($C4804,DATA_MASTER!$D$2:$D$5000,0)),""))</f>
        <v/>
      </c>
      <c r="F4804" s="22">
        <f t="array" ref="F4804">IF($C4804="","",IFERROR(INDEX(DATA_MASTER!$L$2:$L$5000,MATCH($C4804,DATA_MASTER!$D$2:$D$5000,0)),""))</f>
        <v/>
      </c>
      <c r="G4804" s="24" t="n"/>
      <c r="H4804" s="24" t="n"/>
      <c r="I4804" s="30" t="n"/>
      <c r="J4804" s="23">
        <f>IF(OR($H4804="",$I4804=""),"",$H4804*$I4804)</f>
        <v/>
      </c>
      <c r="K4804" s="24" t="n"/>
      <c r="L4804" s="24" t="n"/>
      <c r="M4804" s="29" t="n"/>
      <c r="N4804" s="28" t="n"/>
      <c r="O4804" s="24" t="n"/>
      <c r="P4804" s="24" t="n"/>
      <c r="Q4804" s="24" t="n"/>
      <c r="R4804" s="24" t="n"/>
      <c r="S4804" s="22">
        <f>IF(AND($A4804="",$C4804=""),"",IF($A4804="","Thiếu mã đơn; ","")&amp;IF(COUNTIF($A$2:$A4804,$A4804)&gt;1,"Trùng mã đơn; ","")&amp;IF(ISNA(MATCH($C4804,DATA_MASTER!$D$2:$D$5000,0)),"SĐT chưa đăng ký hội viên; ","")&amp;IF(AND($L4804="Đã chuyển khoản",$M4804=""),"Thiếu ngày nhận CK; ",""))</f>
        <v/>
      </c>
      <c r="T4804" s="24" t="n"/>
    </row>
    <row r="4805" ht="14.25" customHeight="1" s="40">
      <c r="A4805" s="24" t="n"/>
      <c r="B4805" s="29" t="n"/>
      <c r="C4805" s="28" t="n"/>
      <c r="D4805" s="22">
        <f t="array" ref="D4805">IF($C4805="","",IFERROR(INDEX(DATA_MASTER!$C$2:$C$5000,MATCH($C4805,DATA_MASTER!$D$2:$D$5000,0)),""))</f>
        <v/>
      </c>
      <c r="E4805" s="22">
        <f t="array" ref="E4805">IF($C4805="","",IFERROR(INDEX(DATA_MASTER!$I$2:$I$5000,MATCH($C4805,DATA_MASTER!$D$2:$D$5000,0)),""))</f>
        <v/>
      </c>
      <c r="F4805" s="22">
        <f t="array" ref="F4805">IF($C4805="","",IFERROR(INDEX(DATA_MASTER!$L$2:$L$5000,MATCH($C4805,DATA_MASTER!$D$2:$D$5000,0)),""))</f>
        <v/>
      </c>
      <c r="G4805" s="24" t="n"/>
      <c r="H4805" s="24" t="n"/>
      <c r="I4805" s="30" t="n"/>
      <c r="J4805" s="23">
        <f>IF(OR($H4805="",$I4805=""),"",$H4805*$I4805)</f>
        <v/>
      </c>
      <c r="K4805" s="24" t="n"/>
      <c r="L4805" s="24" t="n"/>
      <c r="M4805" s="29" t="n"/>
      <c r="N4805" s="28" t="n"/>
      <c r="O4805" s="24" t="n"/>
      <c r="P4805" s="24" t="n"/>
      <c r="Q4805" s="24" t="n"/>
      <c r="R4805" s="24" t="n"/>
      <c r="S4805" s="22">
        <f>IF(AND($A4805="",$C4805=""),"",IF($A4805="","Thiếu mã đơn; ","")&amp;IF(COUNTIF($A$2:$A4805,$A4805)&gt;1,"Trùng mã đơn; ","")&amp;IF(ISNA(MATCH($C4805,DATA_MASTER!$D$2:$D$5000,0)),"SĐT chưa đăng ký hội viên; ","")&amp;IF(AND($L4805="Đã chuyển khoản",$M4805=""),"Thiếu ngày nhận CK; ",""))</f>
        <v/>
      </c>
      <c r="T4805" s="24" t="n"/>
    </row>
    <row r="4806" ht="14.25" customHeight="1" s="40">
      <c r="A4806" s="24" t="n"/>
      <c r="B4806" s="29" t="n"/>
      <c r="C4806" s="28" t="n"/>
      <c r="D4806" s="22">
        <f t="array" ref="D4806">IF($C4806="","",IFERROR(INDEX(DATA_MASTER!$C$2:$C$5000,MATCH($C4806,DATA_MASTER!$D$2:$D$5000,0)),""))</f>
        <v/>
      </c>
      <c r="E4806" s="22">
        <f t="array" ref="E4806">IF($C4806="","",IFERROR(INDEX(DATA_MASTER!$I$2:$I$5000,MATCH($C4806,DATA_MASTER!$D$2:$D$5000,0)),""))</f>
        <v/>
      </c>
      <c r="F4806" s="22">
        <f t="array" ref="F4806">IF($C4806="","",IFERROR(INDEX(DATA_MASTER!$L$2:$L$5000,MATCH($C4806,DATA_MASTER!$D$2:$D$5000,0)),""))</f>
        <v/>
      </c>
      <c r="G4806" s="24" t="n"/>
      <c r="H4806" s="24" t="n"/>
      <c r="I4806" s="30" t="n"/>
      <c r="J4806" s="23">
        <f>IF(OR($H4806="",$I4806=""),"",$H4806*$I4806)</f>
        <v/>
      </c>
      <c r="K4806" s="24" t="n"/>
      <c r="L4806" s="24" t="n"/>
      <c r="M4806" s="29" t="n"/>
      <c r="N4806" s="28" t="n"/>
      <c r="O4806" s="24" t="n"/>
      <c r="P4806" s="24" t="n"/>
      <c r="Q4806" s="24" t="n"/>
      <c r="R4806" s="24" t="n"/>
      <c r="S4806" s="22">
        <f>IF(AND($A4806="",$C4806=""),"",IF($A4806="","Thiếu mã đơn; ","")&amp;IF(COUNTIF($A$2:$A4806,$A4806)&gt;1,"Trùng mã đơn; ","")&amp;IF(ISNA(MATCH($C4806,DATA_MASTER!$D$2:$D$5000,0)),"SĐT chưa đăng ký hội viên; ","")&amp;IF(AND($L4806="Đã chuyển khoản",$M4806=""),"Thiếu ngày nhận CK; ",""))</f>
        <v/>
      </c>
      <c r="T4806" s="24" t="n"/>
    </row>
    <row r="4807" ht="14.25" customHeight="1" s="40">
      <c r="A4807" s="24" t="n"/>
      <c r="B4807" s="29" t="n"/>
      <c r="C4807" s="28" t="n"/>
      <c r="D4807" s="22">
        <f t="array" ref="D4807">IF($C4807="","",IFERROR(INDEX(DATA_MASTER!$C$2:$C$5000,MATCH($C4807,DATA_MASTER!$D$2:$D$5000,0)),""))</f>
        <v/>
      </c>
      <c r="E4807" s="22">
        <f t="array" ref="E4807">IF($C4807="","",IFERROR(INDEX(DATA_MASTER!$I$2:$I$5000,MATCH($C4807,DATA_MASTER!$D$2:$D$5000,0)),""))</f>
        <v/>
      </c>
      <c r="F4807" s="22">
        <f t="array" ref="F4807">IF($C4807="","",IFERROR(INDEX(DATA_MASTER!$L$2:$L$5000,MATCH($C4807,DATA_MASTER!$D$2:$D$5000,0)),""))</f>
        <v/>
      </c>
      <c r="G4807" s="24" t="n"/>
      <c r="H4807" s="24" t="n"/>
      <c r="I4807" s="30" t="n"/>
      <c r="J4807" s="23">
        <f>IF(OR($H4807="",$I4807=""),"",$H4807*$I4807)</f>
        <v/>
      </c>
      <c r="K4807" s="24" t="n"/>
      <c r="L4807" s="24" t="n"/>
      <c r="M4807" s="29" t="n"/>
      <c r="N4807" s="28" t="n"/>
      <c r="O4807" s="24" t="n"/>
      <c r="P4807" s="24" t="n"/>
      <c r="Q4807" s="24" t="n"/>
      <c r="R4807" s="24" t="n"/>
      <c r="S4807" s="22">
        <f>IF(AND($A4807="",$C4807=""),"",IF($A4807="","Thiếu mã đơn; ","")&amp;IF(COUNTIF($A$2:$A4807,$A4807)&gt;1,"Trùng mã đơn; ","")&amp;IF(ISNA(MATCH($C4807,DATA_MASTER!$D$2:$D$5000,0)),"SĐT chưa đăng ký hội viên; ","")&amp;IF(AND($L4807="Đã chuyển khoản",$M4807=""),"Thiếu ngày nhận CK; ",""))</f>
        <v/>
      </c>
      <c r="T4807" s="24" t="n"/>
    </row>
    <row r="4808" ht="14.25" customHeight="1" s="40">
      <c r="A4808" s="24" t="n"/>
      <c r="B4808" s="29" t="n"/>
      <c r="C4808" s="28" t="n"/>
      <c r="D4808" s="22">
        <f t="array" ref="D4808">IF($C4808="","",IFERROR(INDEX(DATA_MASTER!$C$2:$C$5000,MATCH($C4808,DATA_MASTER!$D$2:$D$5000,0)),""))</f>
        <v/>
      </c>
      <c r="E4808" s="22">
        <f t="array" ref="E4808">IF($C4808="","",IFERROR(INDEX(DATA_MASTER!$I$2:$I$5000,MATCH($C4808,DATA_MASTER!$D$2:$D$5000,0)),""))</f>
        <v/>
      </c>
      <c r="F4808" s="22">
        <f t="array" ref="F4808">IF($C4808="","",IFERROR(INDEX(DATA_MASTER!$L$2:$L$5000,MATCH($C4808,DATA_MASTER!$D$2:$D$5000,0)),""))</f>
        <v/>
      </c>
      <c r="G4808" s="24" t="n"/>
      <c r="H4808" s="24" t="n"/>
      <c r="I4808" s="30" t="n"/>
      <c r="J4808" s="23">
        <f>IF(OR($H4808="",$I4808=""),"",$H4808*$I4808)</f>
        <v/>
      </c>
      <c r="K4808" s="24" t="n"/>
      <c r="L4808" s="24" t="n"/>
      <c r="M4808" s="29" t="n"/>
      <c r="N4808" s="28" t="n"/>
      <c r="O4808" s="24" t="n"/>
      <c r="P4808" s="24" t="n"/>
      <c r="Q4808" s="24" t="n"/>
      <c r="R4808" s="24" t="n"/>
      <c r="S4808" s="22">
        <f>IF(AND($A4808="",$C4808=""),"",IF($A4808="","Thiếu mã đơn; ","")&amp;IF(COUNTIF($A$2:$A4808,$A4808)&gt;1,"Trùng mã đơn; ","")&amp;IF(ISNA(MATCH($C4808,DATA_MASTER!$D$2:$D$5000,0)),"SĐT chưa đăng ký hội viên; ","")&amp;IF(AND($L4808="Đã chuyển khoản",$M4808=""),"Thiếu ngày nhận CK; ",""))</f>
        <v/>
      </c>
      <c r="T4808" s="24" t="n"/>
    </row>
    <row r="4809" ht="14.25" customHeight="1" s="40">
      <c r="A4809" s="24" t="n"/>
      <c r="B4809" s="29" t="n"/>
      <c r="C4809" s="28" t="n"/>
      <c r="D4809" s="22">
        <f t="array" ref="D4809">IF($C4809="","",IFERROR(INDEX(DATA_MASTER!$C$2:$C$5000,MATCH($C4809,DATA_MASTER!$D$2:$D$5000,0)),""))</f>
        <v/>
      </c>
      <c r="E4809" s="22">
        <f t="array" ref="E4809">IF($C4809="","",IFERROR(INDEX(DATA_MASTER!$I$2:$I$5000,MATCH($C4809,DATA_MASTER!$D$2:$D$5000,0)),""))</f>
        <v/>
      </c>
      <c r="F4809" s="22">
        <f t="array" ref="F4809">IF($C4809="","",IFERROR(INDEX(DATA_MASTER!$L$2:$L$5000,MATCH($C4809,DATA_MASTER!$D$2:$D$5000,0)),""))</f>
        <v/>
      </c>
      <c r="G4809" s="24" t="n"/>
      <c r="H4809" s="24" t="n"/>
      <c r="I4809" s="30" t="n"/>
      <c r="J4809" s="23">
        <f>IF(OR($H4809="",$I4809=""),"",$H4809*$I4809)</f>
        <v/>
      </c>
      <c r="K4809" s="24" t="n"/>
      <c r="L4809" s="24" t="n"/>
      <c r="M4809" s="29" t="n"/>
      <c r="N4809" s="28" t="n"/>
      <c r="O4809" s="24" t="n"/>
      <c r="P4809" s="24" t="n"/>
      <c r="Q4809" s="24" t="n"/>
      <c r="R4809" s="24" t="n"/>
      <c r="S4809" s="22">
        <f>IF(AND($A4809="",$C4809=""),"",IF($A4809="","Thiếu mã đơn; ","")&amp;IF(COUNTIF($A$2:$A4809,$A4809)&gt;1,"Trùng mã đơn; ","")&amp;IF(ISNA(MATCH($C4809,DATA_MASTER!$D$2:$D$5000,0)),"SĐT chưa đăng ký hội viên; ","")&amp;IF(AND($L4809="Đã chuyển khoản",$M4809=""),"Thiếu ngày nhận CK; ",""))</f>
        <v/>
      </c>
      <c r="T4809" s="24" t="n"/>
    </row>
    <row r="4810" ht="14.25" customHeight="1" s="40">
      <c r="A4810" s="24" t="n"/>
      <c r="B4810" s="29" t="n"/>
      <c r="C4810" s="28" t="n"/>
      <c r="D4810" s="22">
        <f t="array" ref="D4810">IF($C4810="","",IFERROR(INDEX(DATA_MASTER!$C$2:$C$5000,MATCH($C4810,DATA_MASTER!$D$2:$D$5000,0)),""))</f>
        <v/>
      </c>
      <c r="E4810" s="22">
        <f t="array" ref="E4810">IF($C4810="","",IFERROR(INDEX(DATA_MASTER!$I$2:$I$5000,MATCH($C4810,DATA_MASTER!$D$2:$D$5000,0)),""))</f>
        <v/>
      </c>
      <c r="F4810" s="22">
        <f t="array" ref="F4810">IF($C4810="","",IFERROR(INDEX(DATA_MASTER!$L$2:$L$5000,MATCH($C4810,DATA_MASTER!$D$2:$D$5000,0)),""))</f>
        <v/>
      </c>
      <c r="G4810" s="24" t="n"/>
      <c r="H4810" s="24" t="n"/>
      <c r="I4810" s="30" t="n"/>
      <c r="J4810" s="23">
        <f>IF(OR($H4810="",$I4810=""),"",$H4810*$I4810)</f>
        <v/>
      </c>
      <c r="K4810" s="24" t="n"/>
      <c r="L4810" s="24" t="n"/>
      <c r="M4810" s="29" t="n"/>
      <c r="N4810" s="28" t="n"/>
      <c r="O4810" s="24" t="n"/>
      <c r="P4810" s="24" t="n"/>
      <c r="Q4810" s="24" t="n"/>
      <c r="R4810" s="24" t="n"/>
      <c r="S4810" s="22">
        <f>IF(AND($A4810="",$C4810=""),"",IF($A4810="","Thiếu mã đơn; ","")&amp;IF(COUNTIF($A$2:$A4810,$A4810)&gt;1,"Trùng mã đơn; ","")&amp;IF(ISNA(MATCH($C4810,DATA_MASTER!$D$2:$D$5000,0)),"SĐT chưa đăng ký hội viên; ","")&amp;IF(AND($L4810="Đã chuyển khoản",$M4810=""),"Thiếu ngày nhận CK; ",""))</f>
        <v/>
      </c>
      <c r="T4810" s="24" t="n"/>
    </row>
    <row r="4811" ht="14.25" customHeight="1" s="40">
      <c r="A4811" s="24" t="n"/>
      <c r="B4811" s="29" t="n"/>
      <c r="C4811" s="28" t="n"/>
      <c r="D4811" s="22">
        <f t="array" ref="D4811">IF($C4811="","",IFERROR(INDEX(DATA_MASTER!$C$2:$C$5000,MATCH($C4811,DATA_MASTER!$D$2:$D$5000,0)),""))</f>
        <v/>
      </c>
      <c r="E4811" s="22">
        <f t="array" ref="E4811">IF($C4811="","",IFERROR(INDEX(DATA_MASTER!$I$2:$I$5000,MATCH($C4811,DATA_MASTER!$D$2:$D$5000,0)),""))</f>
        <v/>
      </c>
      <c r="F4811" s="22">
        <f t="array" ref="F4811">IF($C4811="","",IFERROR(INDEX(DATA_MASTER!$L$2:$L$5000,MATCH($C4811,DATA_MASTER!$D$2:$D$5000,0)),""))</f>
        <v/>
      </c>
      <c r="G4811" s="24" t="n"/>
      <c r="H4811" s="24" t="n"/>
      <c r="I4811" s="30" t="n"/>
      <c r="J4811" s="23">
        <f>IF(OR($H4811="",$I4811=""),"",$H4811*$I4811)</f>
        <v/>
      </c>
      <c r="K4811" s="24" t="n"/>
      <c r="L4811" s="24" t="n"/>
      <c r="M4811" s="29" t="n"/>
      <c r="N4811" s="28" t="n"/>
      <c r="O4811" s="24" t="n"/>
      <c r="P4811" s="24" t="n"/>
      <c r="Q4811" s="24" t="n"/>
      <c r="R4811" s="24" t="n"/>
      <c r="S4811" s="22">
        <f>IF(AND($A4811="",$C4811=""),"",IF($A4811="","Thiếu mã đơn; ","")&amp;IF(COUNTIF($A$2:$A4811,$A4811)&gt;1,"Trùng mã đơn; ","")&amp;IF(ISNA(MATCH($C4811,DATA_MASTER!$D$2:$D$5000,0)),"SĐT chưa đăng ký hội viên; ","")&amp;IF(AND($L4811="Đã chuyển khoản",$M4811=""),"Thiếu ngày nhận CK; ",""))</f>
        <v/>
      </c>
      <c r="T4811" s="24" t="n"/>
    </row>
    <row r="4812" ht="14.25" customHeight="1" s="40">
      <c r="A4812" s="24" t="n"/>
      <c r="B4812" s="29" t="n"/>
      <c r="C4812" s="28" t="n"/>
      <c r="D4812" s="22">
        <f t="array" ref="D4812">IF($C4812="","",IFERROR(INDEX(DATA_MASTER!$C$2:$C$5000,MATCH($C4812,DATA_MASTER!$D$2:$D$5000,0)),""))</f>
        <v/>
      </c>
      <c r="E4812" s="22">
        <f t="array" ref="E4812">IF($C4812="","",IFERROR(INDEX(DATA_MASTER!$I$2:$I$5000,MATCH($C4812,DATA_MASTER!$D$2:$D$5000,0)),""))</f>
        <v/>
      </c>
      <c r="F4812" s="22">
        <f t="array" ref="F4812">IF($C4812="","",IFERROR(INDEX(DATA_MASTER!$L$2:$L$5000,MATCH($C4812,DATA_MASTER!$D$2:$D$5000,0)),""))</f>
        <v/>
      </c>
      <c r="G4812" s="24" t="n"/>
      <c r="H4812" s="24" t="n"/>
      <c r="I4812" s="30" t="n"/>
      <c r="J4812" s="23">
        <f>IF(OR($H4812="",$I4812=""),"",$H4812*$I4812)</f>
        <v/>
      </c>
      <c r="K4812" s="24" t="n"/>
      <c r="L4812" s="24" t="n"/>
      <c r="M4812" s="29" t="n"/>
      <c r="N4812" s="28" t="n"/>
      <c r="O4812" s="24" t="n"/>
      <c r="P4812" s="24" t="n"/>
      <c r="Q4812" s="24" t="n"/>
      <c r="R4812" s="24" t="n"/>
      <c r="S4812" s="22">
        <f>IF(AND($A4812="",$C4812=""),"",IF($A4812="","Thiếu mã đơn; ","")&amp;IF(COUNTIF($A$2:$A4812,$A4812)&gt;1,"Trùng mã đơn; ","")&amp;IF(ISNA(MATCH($C4812,DATA_MASTER!$D$2:$D$5000,0)),"SĐT chưa đăng ký hội viên; ","")&amp;IF(AND($L4812="Đã chuyển khoản",$M4812=""),"Thiếu ngày nhận CK; ",""))</f>
        <v/>
      </c>
      <c r="T4812" s="24" t="n"/>
    </row>
    <row r="4813" ht="14.25" customHeight="1" s="40">
      <c r="A4813" s="24" t="n"/>
      <c r="B4813" s="29" t="n"/>
      <c r="C4813" s="28" t="n"/>
      <c r="D4813" s="22">
        <f t="array" ref="D4813">IF($C4813="","",IFERROR(INDEX(DATA_MASTER!$C$2:$C$5000,MATCH($C4813,DATA_MASTER!$D$2:$D$5000,0)),""))</f>
        <v/>
      </c>
      <c r="E4813" s="22">
        <f t="array" ref="E4813">IF($C4813="","",IFERROR(INDEX(DATA_MASTER!$I$2:$I$5000,MATCH($C4813,DATA_MASTER!$D$2:$D$5000,0)),""))</f>
        <v/>
      </c>
      <c r="F4813" s="22">
        <f t="array" ref="F4813">IF($C4813="","",IFERROR(INDEX(DATA_MASTER!$L$2:$L$5000,MATCH($C4813,DATA_MASTER!$D$2:$D$5000,0)),""))</f>
        <v/>
      </c>
      <c r="G4813" s="24" t="n"/>
      <c r="H4813" s="24" t="n"/>
      <c r="I4813" s="30" t="n"/>
      <c r="J4813" s="23">
        <f>IF(OR($H4813="",$I4813=""),"",$H4813*$I4813)</f>
        <v/>
      </c>
      <c r="K4813" s="24" t="n"/>
      <c r="L4813" s="24" t="n"/>
      <c r="M4813" s="29" t="n"/>
      <c r="N4813" s="28" t="n"/>
      <c r="O4813" s="24" t="n"/>
      <c r="P4813" s="24" t="n"/>
      <c r="Q4813" s="24" t="n"/>
      <c r="R4813" s="24" t="n"/>
      <c r="S4813" s="22">
        <f>IF(AND($A4813="",$C4813=""),"",IF($A4813="","Thiếu mã đơn; ","")&amp;IF(COUNTIF($A$2:$A4813,$A4813)&gt;1,"Trùng mã đơn; ","")&amp;IF(ISNA(MATCH($C4813,DATA_MASTER!$D$2:$D$5000,0)),"SĐT chưa đăng ký hội viên; ","")&amp;IF(AND($L4813="Đã chuyển khoản",$M4813=""),"Thiếu ngày nhận CK; ",""))</f>
        <v/>
      </c>
      <c r="T4813" s="24" t="n"/>
    </row>
    <row r="4814" ht="14.25" customHeight="1" s="40">
      <c r="A4814" s="24" t="n"/>
      <c r="B4814" s="29" t="n"/>
      <c r="C4814" s="28" t="n"/>
      <c r="D4814" s="22">
        <f t="array" ref="D4814">IF($C4814="","",IFERROR(INDEX(DATA_MASTER!$C$2:$C$5000,MATCH($C4814,DATA_MASTER!$D$2:$D$5000,0)),""))</f>
        <v/>
      </c>
      <c r="E4814" s="22">
        <f t="array" ref="E4814">IF($C4814="","",IFERROR(INDEX(DATA_MASTER!$I$2:$I$5000,MATCH($C4814,DATA_MASTER!$D$2:$D$5000,0)),""))</f>
        <v/>
      </c>
      <c r="F4814" s="22">
        <f t="array" ref="F4814">IF($C4814="","",IFERROR(INDEX(DATA_MASTER!$L$2:$L$5000,MATCH($C4814,DATA_MASTER!$D$2:$D$5000,0)),""))</f>
        <v/>
      </c>
      <c r="G4814" s="24" t="n"/>
      <c r="H4814" s="24" t="n"/>
      <c r="I4814" s="30" t="n"/>
      <c r="J4814" s="23">
        <f>IF(OR($H4814="",$I4814=""),"",$H4814*$I4814)</f>
        <v/>
      </c>
      <c r="K4814" s="24" t="n"/>
      <c r="L4814" s="24" t="n"/>
      <c r="M4814" s="29" t="n"/>
      <c r="N4814" s="28" t="n"/>
      <c r="O4814" s="24" t="n"/>
      <c r="P4814" s="24" t="n"/>
      <c r="Q4814" s="24" t="n"/>
      <c r="R4814" s="24" t="n"/>
      <c r="S4814" s="22">
        <f>IF(AND($A4814="",$C4814=""),"",IF($A4814="","Thiếu mã đơn; ","")&amp;IF(COUNTIF($A$2:$A4814,$A4814)&gt;1,"Trùng mã đơn; ","")&amp;IF(ISNA(MATCH($C4814,DATA_MASTER!$D$2:$D$5000,0)),"SĐT chưa đăng ký hội viên; ","")&amp;IF(AND($L4814="Đã chuyển khoản",$M4814=""),"Thiếu ngày nhận CK; ",""))</f>
        <v/>
      </c>
      <c r="T4814" s="24" t="n"/>
    </row>
    <row r="4815" ht="14.25" customHeight="1" s="40">
      <c r="A4815" s="24" t="n"/>
      <c r="B4815" s="29" t="n"/>
      <c r="C4815" s="28" t="n"/>
      <c r="D4815" s="22">
        <f t="array" ref="D4815">IF($C4815="","",IFERROR(INDEX(DATA_MASTER!$C$2:$C$5000,MATCH($C4815,DATA_MASTER!$D$2:$D$5000,0)),""))</f>
        <v/>
      </c>
      <c r="E4815" s="22">
        <f t="array" ref="E4815">IF($C4815="","",IFERROR(INDEX(DATA_MASTER!$I$2:$I$5000,MATCH($C4815,DATA_MASTER!$D$2:$D$5000,0)),""))</f>
        <v/>
      </c>
      <c r="F4815" s="22">
        <f t="array" ref="F4815">IF($C4815="","",IFERROR(INDEX(DATA_MASTER!$L$2:$L$5000,MATCH($C4815,DATA_MASTER!$D$2:$D$5000,0)),""))</f>
        <v/>
      </c>
      <c r="G4815" s="24" t="n"/>
      <c r="H4815" s="24" t="n"/>
      <c r="I4815" s="30" t="n"/>
      <c r="J4815" s="23">
        <f>IF(OR($H4815="",$I4815=""),"",$H4815*$I4815)</f>
        <v/>
      </c>
      <c r="K4815" s="24" t="n"/>
      <c r="L4815" s="24" t="n"/>
      <c r="M4815" s="29" t="n"/>
      <c r="N4815" s="28" t="n"/>
      <c r="O4815" s="24" t="n"/>
      <c r="P4815" s="24" t="n"/>
      <c r="Q4815" s="24" t="n"/>
      <c r="R4815" s="24" t="n"/>
      <c r="S4815" s="22">
        <f>IF(AND($A4815="",$C4815=""),"",IF($A4815="","Thiếu mã đơn; ","")&amp;IF(COUNTIF($A$2:$A4815,$A4815)&gt;1,"Trùng mã đơn; ","")&amp;IF(ISNA(MATCH($C4815,DATA_MASTER!$D$2:$D$5000,0)),"SĐT chưa đăng ký hội viên; ","")&amp;IF(AND($L4815="Đã chuyển khoản",$M4815=""),"Thiếu ngày nhận CK; ",""))</f>
        <v/>
      </c>
      <c r="T4815" s="24" t="n"/>
    </row>
    <row r="4816" ht="14.25" customHeight="1" s="40">
      <c r="A4816" s="24" t="n"/>
      <c r="B4816" s="29" t="n"/>
      <c r="C4816" s="28" t="n"/>
      <c r="D4816" s="22">
        <f t="array" ref="D4816">IF($C4816="","",IFERROR(INDEX(DATA_MASTER!$C$2:$C$5000,MATCH($C4816,DATA_MASTER!$D$2:$D$5000,0)),""))</f>
        <v/>
      </c>
      <c r="E4816" s="22">
        <f t="array" ref="E4816">IF($C4816="","",IFERROR(INDEX(DATA_MASTER!$I$2:$I$5000,MATCH($C4816,DATA_MASTER!$D$2:$D$5000,0)),""))</f>
        <v/>
      </c>
      <c r="F4816" s="22">
        <f t="array" ref="F4816">IF($C4816="","",IFERROR(INDEX(DATA_MASTER!$L$2:$L$5000,MATCH($C4816,DATA_MASTER!$D$2:$D$5000,0)),""))</f>
        <v/>
      </c>
      <c r="G4816" s="24" t="n"/>
      <c r="H4816" s="24" t="n"/>
      <c r="I4816" s="30" t="n"/>
      <c r="J4816" s="23">
        <f>IF(OR($H4816="",$I4816=""),"",$H4816*$I4816)</f>
        <v/>
      </c>
      <c r="K4816" s="24" t="n"/>
      <c r="L4816" s="24" t="n"/>
      <c r="M4816" s="29" t="n"/>
      <c r="N4816" s="28" t="n"/>
      <c r="O4816" s="24" t="n"/>
      <c r="P4816" s="24" t="n"/>
      <c r="Q4816" s="24" t="n"/>
      <c r="R4816" s="24" t="n"/>
      <c r="S4816" s="22">
        <f>IF(AND($A4816="",$C4816=""),"",IF($A4816="","Thiếu mã đơn; ","")&amp;IF(COUNTIF($A$2:$A4816,$A4816)&gt;1,"Trùng mã đơn; ","")&amp;IF(ISNA(MATCH($C4816,DATA_MASTER!$D$2:$D$5000,0)),"SĐT chưa đăng ký hội viên; ","")&amp;IF(AND($L4816="Đã chuyển khoản",$M4816=""),"Thiếu ngày nhận CK; ",""))</f>
        <v/>
      </c>
      <c r="T4816" s="24" t="n"/>
    </row>
    <row r="4817" ht="14.25" customHeight="1" s="40">
      <c r="A4817" s="24" t="n"/>
      <c r="B4817" s="29" t="n"/>
      <c r="C4817" s="28" t="n"/>
      <c r="D4817" s="22">
        <f t="array" ref="D4817">IF($C4817="","",IFERROR(INDEX(DATA_MASTER!$C$2:$C$5000,MATCH($C4817,DATA_MASTER!$D$2:$D$5000,0)),""))</f>
        <v/>
      </c>
      <c r="E4817" s="22">
        <f t="array" ref="E4817">IF($C4817="","",IFERROR(INDEX(DATA_MASTER!$I$2:$I$5000,MATCH($C4817,DATA_MASTER!$D$2:$D$5000,0)),""))</f>
        <v/>
      </c>
      <c r="F4817" s="22">
        <f t="array" ref="F4817">IF($C4817="","",IFERROR(INDEX(DATA_MASTER!$L$2:$L$5000,MATCH($C4817,DATA_MASTER!$D$2:$D$5000,0)),""))</f>
        <v/>
      </c>
      <c r="G4817" s="24" t="n"/>
      <c r="H4817" s="24" t="n"/>
      <c r="I4817" s="30" t="n"/>
      <c r="J4817" s="23">
        <f>IF(OR($H4817="",$I4817=""),"",$H4817*$I4817)</f>
        <v/>
      </c>
      <c r="K4817" s="24" t="n"/>
      <c r="L4817" s="24" t="n"/>
      <c r="M4817" s="29" t="n"/>
      <c r="N4817" s="28" t="n"/>
      <c r="O4817" s="24" t="n"/>
      <c r="P4817" s="24" t="n"/>
      <c r="Q4817" s="24" t="n"/>
      <c r="R4817" s="24" t="n"/>
      <c r="S4817" s="22">
        <f>IF(AND($A4817="",$C4817=""),"",IF($A4817="","Thiếu mã đơn; ","")&amp;IF(COUNTIF($A$2:$A4817,$A4817)&gt;1,"Trùng mã đơn; ","")&amp;IF(ISNA(MATCH($C4817,DATA_MASTER!$D$2:$D$5000,0)),"SĐT chưa đăng ký hội viên; ","")&amp;IF(AND($L4817="Đã chuyển khoản",$M4817=""),"Thiếu ngày nhận CK; ",""))</f>
        <v/>
      </c>
      <c r="T4817" s="24" t="n"/>
    </row>
    <row r="4818" ht="14.25" customHeight="1" s="40">
      <c r="A4818" s="24" t="n"/>
      <c r="B4818" s="29" t="n"/>
      <c r="C4818" s="28" t="n"/>
      <c r="D4818" s="22">
        <f t="array" ref="D4818">IF($C4818="","",IFERROR(INDEX(DATA_MASTER!$C$2:$C$5000,MATCH($C4818,DATA_MASTER!$D$2:$D$5000,0)),""))</f>
        <v/>
      </c>
      <c r="E4818" s="22">
        <f t="array" ref="E4818">IF($C4818="","",IFERROR(INDEX(DATA_MASTER!$I$2:$I$5000,MATCH($C4818,DATA_MASTER!$D$2:$D$5000,0)),""))</f>
        <v/>
      </c>
      <c r="F4818" s="22">
        <f t="array" ref="F4818">IF($C4818="","",IFERROR(INDEX(DATA_MASTER!$L$2:$L$5000,MATCH($C4818,DATA_MASTER!$D$2:$D$5000,0)),""))</f>
        <v/>
      </c>
      <c r="G4818" s="24" t="n"/>
      <c r="H4818" s="24" t="n"/>
      <c r="I4818" s="30" t="n"/>
      <c r="J4818" s="23">
        <f>IF(OR($H4818="",$I4818=""),"",$H4818*$I4818)</f>
        <v/>
      </c>
      <c r="K4818" s="24" t="n"/>
      <c r="L4818" s="24" t="n"/>
      <c r="M4818" s="29" t="n"/>
      <c r="N4818" s="28" t="n"/>
      <c r="O4818" s="24" t="n"/>
      <c r="P4818" s="24" t="n"/>
      <c r="Q4818" s="24" t="n"/>
      <c r="R4818" s="24" t="n"/>
      <c r="S4818" s="22">
        <f>IF(AND($A4818="",$C4818=""),"",IF($A4818="","Thiếu mã đơn; ","")&amp;IF(COUNTIF($A$2:$A4818,$A4818)&gt;1,"Trùng mã đơn; ","")&amp;IF(ISNA(MATCH($C4818,DATA_MASTER!$D$2:$D$5000,0)),"SĐT chưa đăng ký hội viên; ","")&amp;IF(AND($L4818="Đã chuyển khoản",$M4818=""),"Thiếu ngày nhận CK; ",""))</f>
        <v/>
      </c>
      <c r="T4818" s="24" t="n"/>
    </row>
    <row r="4819" ht="14.25" customHeight="1" s="40">
      <c r="A4819" s="24" t="n"/>
      <c r="B4819" s="29" t="n"/>
      <c r="C4819" s="28" t="n"/>
      <c r="D4819" s="22">
        <f t="array" ref="D4819">IF($C4819="","",IFERROR(INDEX(DATA_MASTER!$C$2:$C$5000,MATCH($C4819,DATA_MASTER!$D$2:$D$5000,0)),""))</f>
        <v/>
      </c>
      <c r="E4819" s="22">
        <f t="array" ref="E4819">IF($C4819="","",IFERROR(INDEX(DATA_MASTER!$I$2:$I$5000,MATCH($C4819,DATA_MASTER!$D$2:$D$5000,0)),""))</f>
        <v/>
      </c>
      <c r="F4819" s="22">
        <f t="array" ref="F4819">IF($C4819="","",IFERROR(INDEX(DATA_MASTER!$L$2:$L$5000,MATCH($C4819,DATA_MASTER!$D$2:$D$5000,0)),""))</f>
        <v/>
      </c>
      <c r="G4819" s="24" t="n"/>
      <c r="H4819" s="24" t="n"/>
      <c r="I4819" s="30" t="n"/>
      <c r="J4819" s="23">
        <f>IF(OR($H4819="",$I4819=""),"",$H4819*$I4819)</f>
        <v/>
      </c>
      <c r="K4819" s="24" t="n"/>
      <c r="L4819" s="24" t="n"/>
      <c r="M4819" s="29" t="n"/>
      <c r="N4819" s="28" t="n"/>
      <c r="O4819" s="24" t="n"/>
      <c r="P4819" s="24" t="n"/>
      <c r="Q4819" s="24" t="n"/>
      <c r="R4819" s="24" t="n"/>
      <c r="S4819" s="22">
        <f>IF(AND($A4819="",$C4819=""),"",IF($A4819="","Thiếu mã đơn; ","")&amp;IF(COUNTIF($A$2:$A4819,$A4819)&gt;1,"Trùng mã đơn; ","")&amp;IF(ISNA(MATCH($C4819,DATA_MASTER!$D$2:$D$5000,0)),"SĐT chưa đăng ký hội viên; ","")&amp;IF(AND($L4819="Đã chuyển khoản",$M4819=""),"Thiếu ngày nhận CK; ",""))</f>
        <v/>
      </c>
      <c r="T4819" s="24" t="n"/>
    </row>
    <row r="4820" ht="14.25" customHeight="1" s="40">
      <c r="A4820" s="24" t="n"/>
      <c r="B4820" s="29" t="n"/>
      <c r="C4820" s="28" t="n"/>
      <c r="D4820" s="22">
        <f t="array" ref="D4820">IF($C4820="","",IFERROR(INDEX(DATA_MASTER!$C$2:$C$5000,MATCH($C4820,DATA_MASTER!$D$2:$D$5000,0)),""))</f>
        <v/>
      </c>
      <c r="E4820" s="22">
        <f t="array" ref="E4820">IF($C4820="","",IFERROR(INDEX(DATA_MASTER!$I$2:$I$5000,MATCH($C4820,DATA_MASTER!$D$2:$D$5000,0)),""))</f>
        <v/>
      </c>
      <c r="F4820" s="22">
        <f t="array" ref="F4820">IF($C4820="","",IFERROR(INDEX(DATA_MASTER!$L$2:$L$5000,MATCH($C4820,DATA_MASTER!$D$2:$D$5000,0)),""))</f>
        <v/>
      </c>
      <c r="G4820" s="24" t="n"/>
      <c r="H4820" s="24" t="n"/>
      <c r="I4820" s="30" t="n"/>
      <c r="J4820" s="23">
        <f>IF(OR($H4820="",$I4820=""),"",$H4820*$I4820)</f>
        <v/>
      </c>
      <c r="K4820" s="24" t="n"/>
      <c r="L4820" s="24" t="n"/>
      <c r="M4820" s="29" t="n"/>
      <c r="N4820" s="28" t="n"/>
      <c r="O4820" s="24" t="n"/>
      <c r="P4820" s="24" t="n"/>
      <c r="Q4820" s="24" t="n"/>
      <c r="R4820" s="24" t="n"/>
      <c r="S4820" s="22">
        <f>IF(AND($A4820="",$C4820=""),"",IF($A4820="","Thiếu mã đơn; ","")&amp;IF(COUNTIF($A$2:$A4820,$A4820)&gt;1,"Trùng mã đơn; ","")&amp;IF(ISNA(MATCH($C4820,DATA_MASTER!$D$2:$D$5000,0)),"SĐT chưa đăng ký hội viên; ","")&amp;IF(AND($L4820="Đã chuyển khoản",$M4820=""),"Thiếu ngày nhận CK; ",""))</f>
        <v/>
      </c>
      <c r="T4820" s="24" t="n"/>
    </row>
    <row r="4821" ht="14.25" customHeight="1" s="40">
      <c r="A4821" s="24" t="n"/>
      <c r="B4821" s="29" t="n"/>
      <c r="C4821" s="28" t="n"/>
      <c r="D4821" s="22">
        <f t="array" ref="D4821">IF($C4821="","",IFERROR(INDEX(DATA_MASTER!$C$2:$C$5000,MATCH($C4821,DATA_MASTER!$D$2:$D$5000,0)),""))</f>
        <v/>
      </c>
      <c r="E4821" s="22">
        <f t="array" ref="E4821">IF($C4821="","",IFERROR(INDEX(DATA_MASTER!$I$2:$I$5000,MATCH($C4821,DATA_MASTER!$D$2:$D$5000,0)),""))</f>
        <v/>
      </c>
      <c r="F4821" s="22">
        <f t="array" ref="F4821">IF($C4821="","",IFERROR(INDEX(DATA_MASTER!$L$2:$L$5000,MATCH($C4821,DATA_MASTER!$D$2:$D$5000,0)),""))</f>
        <v/>
      </c>
      <c r="G4821" s="24" t="n"/>
      <c r="H4821" s="24" t="n"/>
      <c r="I4821" s="30" t="n"/>
      <c r="J4821" s="23">
        <f>IF(OR($H4821="",$I4821=""),"",$H4821*$I4821)</f>
        <v/>
      </c>
      <c r="K4821" s="24" t="n"/>
      <c r="L4821" s="24" t="n"/>
      <c r="M4821" s="29" t="n"/>
      <c r="N4821" s="28" t="n"/>
      <c r="O4821" s="24" t="n"/>
      <c r="P4821" s="24" t="n"/>
      <c r="Q4821" s="24" t="n"/>
      <c r="R4821" s="24" t="n"/>
      <c r="S4821" s="22">
        <f>IF(AND($A4821="",$C4821=""),"",IF($A4821="","Thiếu mã đơn; ","")&amp;IF(COUNTIF($A$2:$A4821,$A4821)&gt;1,"Trùng mã đơn; ","")&amp;IF(ISNA(MATCH($C4821,DATA_MASTER!$D$2:$D$5000,0)),"SĐT chưa đăng ký hội viên; ","")&amp;IF(AND($L4821="Đã chuyển khoản",$M4821=""),"Thiếu ngày nhận CK; ",""))</f>
        <v/>
      </c>
      <c r="T4821" s="24" t="n"/>
    </row>
    <row r="4822" ht="14.25" customHeight="1" s="40">
      <c r="A4822" s="24" t="n"/>
      <c r="B4822" s="29" t="n"/>
      <c r="C4822" s="28" t="n"/>
      <c r="D4822" s="22">
        <f t="array" ref="D4822">IF($C4822="","",IFERROR(INDEX(DATA_MASTER!$C$2:$C$5000,MATCH($C4822,DATA_MASTER!$D$2:$D$5000,0)),""))</f>
        <v/>
      </c>
      <c r="E4822" s="22">
        <f t="array" ref="E4822">IF($C4822="","",IFERROR(INDEX(DATA_MASTER!$I$2:$I$5000,MATCH($C4822,DATA_MASTER!$D$2:$D$5000,0)),""))</f>
        <v/>
      </c>
      <c r="F4822" s="22">
        <f t="array" ref="F4822">IF($C4822="","",IFERROR(INDEX(DATA_MASTER!$L$2:$L$5000,MATCH($C4822,DATA_MASTER!$D$2:$D$5000,0)),""))</f>
        <v/>
      </c>
      <c r="G4822" s="24" t="n"/>
      <c r="H4822" s="24" t="n"/>
      <c r="I4822" s="30" t="n"/>
      <c r="J4822" s="23">
        <f>IF(OR($H4822="",$I4822=""),"",$H4822*$I4822)</f>
        <v/>
      </c>
      <c r="K4822" s="24" t="n"/>
      <c r="L4822" s="24" t="n"/>
      <c r="M4822" s="29" t="n"/>
      <c r="N4822" s="28" t="n"/>
      <c r="O4822" s="24" t="n"/>
      <c r="P4822" s="24" t="n"/>
      <c r="Q4822" s="24" t="n"/>
      <c r="R4822" s="24" t="n"/>
      <c r="S4822" s="22">
        <f>IF(AND($A4822="",$C4822=""),"",IF($A4822="","Thiếu mã đơn; ","")&amp;IF(COUNTIF($A$2:$A4822,$A4822)&gt;1,"Trùng mã đơn; ","")&amp;IF(ISNA(MATCH($C4822,DATA_MASTER!$D$2:$D$5000,0)),"SĐT chưa đăng ký hội viên; ","")&amp;IF(AND($L4822="Đã chuyển khoản",$M4822=""),"Thiếu ngày nhận CK; ",""))</f>
        <v/>
      </c>
      <c r="T4822" s="24" t="n"/>
    </row>
    <row r="4823" ht="14.25" customHeight="1" s="40">
      <c r="A4823" s="24" t="n"/>
      <c r="B4823" s="29" t="n"/>
      <c r="C4823" s="28" t="n"/>
      <c r="D4823" s="22">
        <f t="array" ref="D4823">IF($C4823="","",IFERROR(INDEX(DATA_MASTER!$C$2:$C$5000,MATCH($C4823,DATA_MASTER!$D$2:$D$5000,0)),""))</f>
        <v/>
      </c>
      <c r="E4823" s="22">
        <f t="array" ref="E4823">IF($C4823="","",IFERROR(INDEX(DATA_MASTER!$I$2:$I$5000,MATCH($C4823,DATA_MASTER!$D$2:$D$5000,0)),""))</f>
        <v/>
      </c>
      <c r="F4823" s="22">
        <f t="array" ref="F4823">IF($C4823="","",IFERROR(INDEX(DATA_MASTER!$L$2:$L$5000,MATCH($C4823,DATA_MASTER!$D$2:$D$5000,0)),""))</f>
        <v/>
      </c>
      <c r="G4823" s="24" t="n"/>
      <c r="H4823" s="24" t="n"/>
      <c r="I4823" s="30" t="n"/>
      <c r="J4823" s="23">
        <f>IF(OR($H4823="",$I4823=""),"",$H4823*$I4823)</f>
        <v/>
      </c>
      <c r="K4823" s="24" t="n"/>
      <c r="L4823" s="24" t="n"/>
      <c r="M4823" s="29" t="n"/>
      <c r="N4823" s="28" t="n"/>
      <c r="O4823" s="24" t="n"/>
      <c r="P4823" s="24" t="n"/>
      <c r="Q4823" s="24" t="n"/>
      <c r="R4823" s="24" t="n"/>
      <c r="S4823" s="22">
        <f>IF(AND($A4823="",$C4823=""),"",IF($A4823="","Thiếu mã đơn; ","")&amp;IF(COUNTIF($A$2:$A4823,$A4823)&gt;1,"Trùng mã đơn; ","")&amp;IF(ISNA(MATCH($C4823,DATA_MASTER!$D$2:$D$5000,0)),"SĐT chưa đăng ký hội viên; ","")&amp;IF(AND($L4823="Đã chuyển khoản",$M4823=""),"Thiếu ngày nhận CK; ",""))</f>
        <v/>
      </c>
      <c r="T4823" s="24" t="n"/>
    </row>
    <row r="4824" ht="14.25" customHeight="1" s="40">
      <c r="A4824" s="24" t="n"/>
      <c r="B4824" s="29" t="n"/>
      <c r="C4824" s="28" t="n"/>
      <c r="D4824" s="22">
        <f t="array" ref="D4824">IF($C4824="","",IFERROR(INDEX(DATA_MASTER!$C$2:$C$5000,MATCH($C4824,DATA_MASTER!$D$2:$D$5000,0)),""))</f>
        <v/>
      </c>
      <c r="E4824" s="22">
        <f t="array" ref="E4824">IF($C4824="","",IFERROR(INDEX(DATA_MASTER!$I$2:$I$5000,MATCH($C4824,DATA_MASTER!$D$2:$D$5000,0)),""))</f>
        <v/>
      </c>
      <c r="F4824" s="22">
        <f t="array" ref="F4824">IF($C4824="","",IFERROR(INDEX(DATA_MASTER!$L$2:$L$5000,MATCH($C4824,DATA_MASTER!$D$2:$D$5000,0)),""))</f>
        <v/>
      </c>
      <c r="G4824" s="24" t="n"/>
      <c r="H4824" s="24" t="n"/>
      <c r="I4824" s="30" t="n"/>
      <c r="J4824" s="23">
        <f>IF(OR($H4824="",$I4824=""),"",$H4824*$I4824)</f>
        <v/>
      </c>
      <c r="K4824" s="24" t="n"/>
      <c r="L4824" s="24" t="n"/>
      <c r="M4824" s="29" t="n"/>
      <c r="N4824" s="28" t="n"/>
      <c r="O4824" s="24" t="n"/>
      <c r="P4824" s="24" t="n"/>
      <c r="Q4824" s="24" t="n"/>
      <c r="R4824" s="24" t="n"/>
      <c r="S4824" s="22">
        <f>IF(AND($A4824="",$C4824=""),"",IF($A4824="","Thiếu mã đơn; ","")&amp;IF(COUNTIF($A$2:$A4824,$A4824)&gt;1,"Trùng mã đơn; ","")&amp;IF(ISNA(MATCH($C4824,DATA_MASTER!$D$2:$D$5000,0)),"SĐT chưa đăng ký hội viên; ","")&amp;IF(AND($L4824="Đã chuyển khoản",$M4824=""),"Thiếu ngày nhận CK; ",""))</f>
        <v/>
      </c>
      <c r="T4824" s="24" t="n"/>
    </row>
    <row r="4825" ht="14.25" customHeight="1" s="40">
      <c r="A4825" s="24" t="n"/>
      <c r="B4825" s="29" t="n"/>
      <c r="C4825" s="28" t="n"/>
      <c r="D4825" s="22">
        <f t="array" ref="D4825">IF($C4825="","",IFERROR(INDEX(DATA_MASTER!$C$2:$C$5000,MATCH($C4825,DATA_MASTER!$D$2:$D$5000,0)),""))</f>
        <v/>
      </c>
      <c r="E4825" s="22">
        <f t="array" ref="E4825">IF($C4825="","",IFERROR(INDEX(DATA_MASTER!$I$2:$I$5000,MATCH($C4825,DATA_MASTER!$D$2:$D$5000,0)),""))</f>
        <v/>
      </c>
      <c r="F4825" s="22">
        <f t="array" ref="F4825">IF($C4825="","",IFERROR(INDEX(DATA_MASTER!$L$2:$L$5000,MATCH($C4825,DATA_MASTER!$D$2:$D$5000,0)),""))</f>
        <v/>
      </c>
      <c r="G4825" s="24" t="n"/>
      <c r="H4825" s="24" t="n"/>
      <c r="I4825" s="30" t="n"/>
      <c r="J4825" s="23">
        <f>IF(OR($H4825="",$I4825=""),"",$H4825*$I4825)</f>
        <v/>
      </c>
      <c r="K4825" s="24" t="n"/>
      <c r="L4825" s="24" t="n"/>
      <c r="M4825" s="29" t="n"/>
      <c r="N4825" s="28" t="n"/>
      <c r="O4825" s="24" t="n"/>
      <c r="P4825" s="24" t="n"/>
      <c r="Q4825" s="24" t="n"/>
      <c r="R4825" s="24" t="n"/>
      <c r="S4825" s="22">
        <f>IF(AND($A4825="",$C4825=""),"",IF($A4825="","Thiếu mã đơn; ","")&amp;IF(COUNTIF($A$2:$A4825,$A4825)&gt;1,"Trùng mã đơn; ","")&amp;IF(ISNA(MATCH($C4825,DATA_MASTER!$D$2:$D$5000,0)),"SĐT chưa đăng ký hội viên; ","")&amp;IF(AND($L4825="Đã chuyển khoản",$M4825=""),"Thiếu ngày nhận CK; ",""))</f>
        <v/>
      </c>
      <c r="T4825" s="24" t="n"/>
    </row>
    <row r="4826" ht="14.25" customHeight="1" s="40">
      <c r="A4826" s="24" t="n"/>
      <c r="B4826" s="29" t="n"/>
      <c r="C4826" s="28" t="n"/>
      <c r="D4826" s="22">
        <f t="array" ref="D4826">IF($C4826="","",IFERROR(INDEX(DATA_MASTER!$C$2:$C$5000,MATCH($C4826,DATA_MASTER!$D$2:$D$5000,0)),""))</f>
        <v/>
      </c>
      <c r="E4826" s="22">
        <f t="array" ref="E4826">IF($C4826="","",IFERROR(INDEX(DATA_MASTER!$I$2:$I$5000,MATCH($C4826,DATA_MASTER!$D$2:$D$5000,0)),""))</f>
        <v/>
      </c>
      <c r="F4826" s="22">
        <f t="array" ref="F4826">IF($C4826="","",IFERROR(INDEX(DATA_MASTER!$L$2:$L$5000,MATCH($C4826,DATA_MASTER!$D$2:$D$5000,0)),""))</f>
        <v/>
      </c>
      <c r="G4826" s="24" t="n"/>
      <c r="H4826" s="24" t="n"/>
      <c r="I4826" s="30" t="n"/>
      <c r="J4826" s="23">
        <f>IF(OR($H4826="",$I4826=""),"",$H4826*$I4826)</f>
        <v/>
      </c>
      <c r="K4826" s="24" t="n"/>
      <c r="L4826" s="24" t="n"/>
      <c r="M4826" s="29" t="n"/>
      <c r="N4826" s="28" t="n"/>
      <c r="O4826" s="24" t="n"/>
      <c r="P4826" s="24" t="n"/>
      <c r="Q4826" s="24" t="n"/>
      <c r="R4826" s="24" t="n"/>
      <c r="S4826" s="22">
        <f>IF(AND($A4826="",$C4826=""),"",IF($A4826="","Thiếu mã đơn; ","")&amp;IF(COUNTIF($A$2:$A4826,$A4826)&gt;1,"Trùng mã đơn; ","")&amp;IF(ISNA(MATCH($C4826,DATA_MASTER!$D$2:$D$5000,0)),"SĐT chưa đăng ký hội viên; ","")&amp;IF(AND($L4826="Đã chuyển khoản",$M4826=""),"Thiếu ngày nhận CK; ",""))</f>
        <v/>
      </c>
      <c r="T4826" s="24" t="n"/>
    </row>
    <row r="4827" ht="14.25" customHeight="1" s="40">
      <c r="A4827" s="24" t="n"/>
      <c r="B4827" s="29" t="n"/>
      <c r="C4827" s="28" t="n"/>
      <c r="D4827" s="22">
        <f t="array" ref="D4827">IF($C4827="","",IFERROR(INDEX(DATA_MASTER!$C$2:$C$5000,MATCH($C4827,DATA_MASTER!$D$2:$D$5000,0)),""))</f>
        <v/>
      </c>
      <c r="E4827" s="22">
        <f t="array" ref="E4827">IF($C4827="","",IFERROR(INDEX(DATA_MASTER!$I$2:$I$5000,MATCH($C4827,DATA_MASTER!$D$2:$D$5000,0)),""))</f>
        <v/>
      </c>
      <c r="F4827" s="22">
        <f t="array" ref="F4827">IF($C4827="","",IFERROR(INDEX(DATA_MASTER!$L$2:$L$5000,MATCH($C4827,DATA_MASTER!$D$2:$D$5000,0)),""))</f>
        <v/>
      </c>
      <c r="G4827" s="24" t="n"/>
      <c r="H4827" s="24" t="n"/>
      <c r="I4827" s="30" t="n"/>
      <c r="J4827" s="23">
        <f>IF(OR($H4827="",$I4827=""),"",$H4827*$I4827)</f>
        <v/>
      </c>
      <c r="K4827" s="24" t="n"/>
      <c r="L4827" s="24" t="n"/>
      <c r="M4827" s="29" t="n"/>
      <c r="N4827" s="28" t="n"/>
      <c r="O4827" s="24" t="n"/>
      <c r="P4827" s="24" t="n"/>
      <c r="Q4827" s="24" t="n"/>
      <c r="R4827" s="24" t="n"/>
      <c r="S4827" s="22">
        <f>IF(AND($A4827="",$C4827=""),"",IF($A4827="","Thiếu mã đơn; ","")&amp;IF(COUNTIF($A$2:$A4827,$A4827)&gt;1,"Trùng mã đơn; ","")&amp;IF(ISNA(MATCH($C4827,DATA_MASTER!$D$2:$D$5000,0)),"SĐT chưa đăng ký hội viên; ","")&amp;IF(AND($L4827="Đã chuyển khoản",$M4827=""),"Thiếu ngày nhận CK; ",""))</f>
        <v/>
      </c>
      <c r="T4827" s="24" t="n"/>
    </row>
    <row r="4828" ht="14.25" customHeight="1" s="40">
      <c r="A4828" s="24" t="n"/>
      <c r="B4828" s="29" t="n"/>
      <c r="C4828" s="28" t="n"/>
      <c r="D4828" s="22">
        <f t="array" ref="D4828">IF($C4828="","",IFERROR(INDEX(DATA_MASTER!$C$2:$C$5000,MATCH($C4828,DATA_MASTER!$D$2:$D$5000,0)),""))</f>
        <v/>
      </c>
      <c r="E4828" s="22">
        <f t="array" ref="E4828">IF($C4828="","",IFERROR(INDEX(DATA_MASTER!$I$2:$I$5000,MATCH($C4828,DATA_MASTER!$D$2:$D$5000,0)),""))</f>
        <v/>
      </c>
      <c r="F4828" s="22">
        <f t="array" ref="F4828">IF($C4828="","",IFERROR(INDEX(DATA_MASTER!$L$2:$L$5000,MATCH($C4828,DATA_MASTER!$D$2:$D$5000,0)),""))</f>
        <v/>
      </c>
      <c r="G4828" s="24" t="n"/>
      <c r="H4828" s="24" t="n"/>
      <c r="I4828" s="30" t="n"/>
      <c r="J4828" s="23">
        <f>IF(OR($H4828="",$I4828=""),"",$H4828*$I4828)</f>
        <v/>
      </c>
      <c r="K4828" s="24" t="n"/>
      <c r="L4828" s="24" t="n"/>
      <c r="M4828" s="29" t="n"/>
      <c r="N4828" s="28" t="n"/>
      <c r="O4828" s="24" t="n"/>
      <c r="P4828" s="24" t="n"/>
      <c r="Q4828" s="24" t="n"/>
      <c r="R4828" s="24" t="n"/>
      <c r="S4828" s="22">
        <f>IF(AND($A4828="",$C4828=""),"",IF($A4828="","Thiếu mã đơn; ","")&amp;IF(COUNTIF($A$2:$A4828,$A4828)&gt;1,"Trùng mã đơn; ","")&amp;IF(ISNA(MATCH($C4828,DATA_MASTER!$D$2:$D$5000,0)),"SĐT chưa đăng ký hội viên; ","")&amp;IF(AND($L4828="Đã chuyển khoản",$M4828=""),"Thiếu ngày nhận CK; ",""))</f>
        <v/>
      </c>
      <c r="T4828" s="24" t="n"/>
    </row>
    <row r="4829" ht="14.25" customHeight="1" s="40">
      <c r="A4829" s="24" t="n"/>
      <c r="B4829" s="29" t="n"/>
      <c r="C4829" s="28" t="n"/>
      <c r="D4829" s="22">
        <f t="array" ref="D4829">IF($C4829="","",IFERROR(INDEX(DATA_MASTER!$C$2:$C$5000,MATCH($C4829,DATA_MASTER!$D$2:$D$5000,0)),""))</f>
        <v/>
      </c>
      <c r="E4829" s="22">
        <f t="array" ref="E4829">IF($C4829="","",IFERROR(INDEX(DATA_MASTER!$I$2:$I$5000,MATCH($C4829,DATA_MASTER!$D$2:$D$5000,0)),""))</f>
        <v/>
      </c>
      <c r="F4829" s="22">
        <f t="array" ref="F4829">IF($C4829="","",IFERROR(INDEX(DATA_MASTER!$L$2:$L$5000,MATCH($C4829,DATA_MASTER!$D$2:$D$5000,0)),""))</f>
        <v/>
      </c>
      <c r="G4829" s="24" t="n"/>
      <c r="H4829" s="24" t="n"/>
      <c r="I4829" s="30" t="n"/>
      <c r="J4829" s="23">
        <f>IF(OR($H4829="",$I4829=""),"",$H4829*$I4829)</f>
        <v/>
      </c>
      <c r="K4829" s="24" t="n"/>
      <c r="L4829" s="24" t="n"/>
      <c r="M4829" s="29" t="n"/>
      <c r="N4829" s="28" t="n"/>
      <c r="O4829" s="24" t="n"/>
      <c r="P4829" s="24" t="n"/>
      <c r="Q4829" s="24" t="n"/>
      <c r="R4829" s="24" t="n"/>
      <c r="S4829" s="22">
        <f>IF(AND($A4829="",$C4829=""),"",IF($A4829="","Thiếu mã đơn; ","")&amp;IF(COUNTIF($A$2:$A4829,$A4829)&gt;1,"Trùng mã đơn; ","")&amp;IF(ISNA(MATCH($C4829,DATA_MASTER!$D$2:$D$5000,0)),"SĐT chưa đăng ký hội viên; ","")&amp;IF(AND($L4829="Đã chuyển khoản",$M4829=""),"Thiếu ngày nhận CK; ",""))</f>
        <v/>
      </c>
      <c r="T4829" s="24" t="n"/>
    </row>
    <row r="4830" ht="14.25" customHeight="1" s="40">
      <c r="A4830" s="24" t="n"/>
      <c r="B4830" s="29" t="n"/>
      <c r="C4830" s="28" t="n"/>
      <c r="D4830" s="22">
        <f t="array" ref="D4830">IF($C4830="","",IFERROR(INDEX(DATA_MASTER!$C$2:$C$5000,MATCH($C4830,DATA_MASTER!$D$2:$D$5000,0)),""))</f>
        <v/>
      </c>
      <c r="E4830" s="22">
        <f t="array" ref="E4830">IF($C4830="","",IFERROR(INDEX(DATA_MASTER!$I$2:$I$5000,MATCH($C4830,DATA_MASTER!$D$2:$D$5000,0)),""))</f>
        <v/>
      </c>
      <c r="F4830" s="22">
        <f t="array" ref="F4830">IF($C4830="","",IFERROR(INDEX(DATA_MASTER!$L$2:$L$5000,MATCH($C4830,DATA_MASTER!$D$2:$D$5000,0)),""))</f>
        <v/>
      </c>
      <c r="G4830" s="24" t="n"/>
      <c r="H4830" s="24" t="n"/>
      <c r="I4830" s="30" t="n"/>
      <c r="J4830" s="23">
        <f>IF(OR($H4830="",$I4830=""),"",$H4830*$I4830)</f>
        <v/>
      </c>
      <c r="K4830" s="24" t="n"/>
      <c r="L4830" s="24" t="n"/>
      <c r="M4830" s="29" t="n"/>
      <c r="N4830" s="28" t="n"/>
      <c r="O4830" s="24" t="n"/>
      <c r="P4830" s="24" t="n"/>
      <c r="Q4830" s="24" t="n"/>
      <c r="R4830" s="24" t="n"/>
      <c r="S4830" s="22">
        <f>IF(AND($A4830="",$C4830=""),"",IF($A4830="","Thiếu mã đơn; ","")&amp;IF(COUNTIF($A$2:$A4830,$A4830)&gt;1,"Trùng mã đơn; ","")&amp;IF(ISNA(MATCH($C4830,DATA_MASTER!$D$2:$D$5000,0)),"SĐT chưa đăng ký hội viên; ","")&amp;IF(AND($L4830="Đã chuyển khoản",$M4830=""),"Thiếu ngày nhận CK; ",""))</f>
        <v/>
      </c>
      <c r="T4830" s="24" t="n"/>
    </row>
    <row r="4831" ht="14.25" customHeight="1" s="40">
      <c r="A4831" s="24" t="n"/>
      <c r="B4831" s="29" t="n"/>
      <c r="C4831" s="28" t="n"/>
      <c r="D4831" s="22">
        <f t="array" ref="D4831">IF($C4831="","",IFERROR(INDEX(DATA_MASTER!$C$2:$C$5000,MATCH($C4831,DATA_MASTER!$D$2:$D$5000,0)),""))</f>
        <v/>
      </c>
      <c r="E4831" s="22">
        <f t="array" ref="E4831">IF($C4831="","",IFERROR(INDEX(DATA_MASTER!$I$2:$I$5000,MATCH($C4831,DATA_MASTER!$D$2:$D$5000,0)),""))</f>
        <v/>
      </c>
      <c r="F4831" s="22">
        <f t="array" ref="F4831">IF($C4831="","",IFERROR(INDEX(DATA_MASTER!$L$2:$L$5000,MATCH($C4831,DATA_MASTER!$D$2:$D$5000,0)),""))</f>
        <v/>
      </c>
      <c r="G4831" s="24" t="n"/>
      <c r="H4831" s="24" t="n"/>
      <c r="I4831" s="30" t="n"/>
      <c r="J4831" s="23">
        <f>IF(OR($H4831="",$I4831=""),"",$H4831*$I4831)</f>
        <v/>
      </c>
      <c r="K4831" s="24" t="n"/>
      <c r="L4831" s="24" t="n"/>
      <c r="M4831" s="29" t="n"/>
      <c r="N4831" s="28" t="n"/>
      <c r="O4831" s="24" t="n"/>
      <c r="P4831" s="24" t="n"/>
      <c r="Q4831" s="24" t="n"/>
      <c r="R4831" s="24" t="n"/>
      <c r="S4831" s="22">
        <f>IF(AND($A4831="",$C4831=""),"",IF($A4831="","Thiếu mã đơn; ","")&amp;IF(COUNTIF($A$2:$A4831,$A4831)&gt;1,"Trùng mã đơn; ","")&amp;IF(ISNA(MATCH($C4831,DATA_MASTER!$D$2:$D$5000,0)),"SĐT chưa đăng ký hội viên; ","")&amp;IF(AND($L4831="Đã chuyển khoản",$M4831=""),"Thiếu ngày nhận CK; ",""))</f>
        <v/>
      </c>
      <c r="T4831" s="24" t="n"/>
    </row>
    <row r="4832" ht="14.25" customHeight="1" s="40">
      <c r="A4832" s="24" t="n"/>
      <c r="B4832" s="29" t="n"/>
      <c r="C4832" s="28" t="n"/>
      <c r="D4832" s="22">
        <f t="array" ref="D4832">IF($C4832="","",IFERROR(INDEX(DATA_MASTER!$C$2:$C$5000,MATCH($C4832,DATA_MASTER!$D$2:$D$5000,0)),""))</f>
        <v/>
      </c>
      <c r="E4832" s="22">
        <f t="array" ref="E4832">IF($C4832="","",IFERROR(INDEX(DATA_MASTER!$I$2:$I$5000,MATCH($C4832,DATA_MASTER!$D$2:$D$5000,0)),""))</f>
        <v/>
      </c>
      <c r="F4832" s="22">
        <f t="array" ref="F4832">IF($C4832="","",IFERROR(INDEX(DATA_MASTER!$L$2:$L$5000,MATCH($C4832,DATA_MASTER!$D$2:$D$5000,0)),""))</f>
        <v/>
      </c>
      <c r="G4832" s="24" t="n"/>
      <c r="H4832" s="24" t="n"/>
      <c r="I4832" s="30" t="n"/>
      <c r="J4832" s="23">
        <f>IF(OR($H4832="",$I4832=""),"",$H4832*$I4832)</f>
        <v/>
      </c>
      <c r="K4832" s="24" t="n"/>
      <c r="L4832" s="24" t="n"/>
      <c r="M4832" s="29" t="n"/>
      <c r="N4832" s="28" t="n"/>
      <c r="O4832" s="24" t="n"/>
      <c r="P4832" s="24" t="n"/>
      <c r="Q4832" s="24" t="n"/>
      <c r="R4832" s="24" t="n"/>
      <c r="S4832" s="22">
        <f>IF(AND($A4832="",$C4832=""),"",IF($A4832="","Thiếu mã đơn; ","")&amp;IF(COUNTIF($A$2:$A4832,$A4832)&gt;1,"Trùng mã đơn; ","")&amp;IF(ISNA(MATCH($C4832,DATA_MASTER!$D$2:$D$5000,0)),"SĐT chưa đăng ký hội viên; ","")&amp;IF(AND($L4832="Đã chuyển khoản",$M4832=""),"Thiếu ngày nhận CK; ",""))</f>
        <v/>
      </c>
      <c r="T4832" s="24" t="n"/>
    </row>
    <row r="4833" ht="14.25" customHeight="1" s="40">
      <c r="A4833" s="24" t="n"/>
      <c r="B4833" s="29" t="n"/>
      <c r="C4833" s="28" t="n"/>
      <c r="D4833" s="22">
        <f t="array" ref="D4833">IF($C4833="","",IFERROR(INDEX(DATA_MASTER!$C$2:$C$5000,MATCH($C4833,DATA_MASTER!$D$2:$D$5000,0)),""))</f>
        <v/>
      </c>
      <c r="E4833" s="22">
        <f t="array" ref="E4833">IF($C4833="","",IFERROR(INDEX(DATA_MASTER!$I$2:$I$5000,MATCH($C4833,DATA_MASTER!$D$2:$D$5000,0)),""))</f>
        <v/>
      </c>
      <c r="F4833" s="22">
        <f t="array" ref="F4833">IF($C4833="","",IFERROR(INDEX(DATA_MASTER!$L$2:$L$5000,MATCH($C4833,DATA_MASTER!$D$2:$D$5000,0)),""))</f>
        <v/>
      </c>
      <c r="G4833" s="24" t="n"/>
      <c r="H4833" s="24" t="n"/>
      <c r="I4833" s="30" t="n"/>
      <c r="J4833" s="23">
        <f>IF(OR($H4833="",$I4833=""),"",$H4833*$I4833)</f>
        <v/>
      </c>
      <c r="K4833" s="24" t="n"/>
      <c r="L4833" s="24" t="n"/>
      <c r="M4833" s="29" t="n"/>
      <c r="N4833" s="28" t="n"/>
      <c r="O4833" s="24" t="n"/>
      <c r="P4833" s="24" t="n"/>
      <c r="Q4833" s="24" t="n"/>
      <c r="R4833" s="24" t="n"/>
      <c r="S4833" s="22">
        <f>IF(AND($A4833="",$C4833=""),"",IF($A4833="","Thiếu mã đơn; ","")&amp;IF(COUNTIF($A$2:$A4833,$A4833)&gt;1,"Trùng mã đơn; ","")&amp;IF(ISNA(MATCH($C4833,DATA_MASTER!$D$2:$D$5000,0)),"SĐT chưa đăng ký hội viên; ","")&amp;IF(AND($L4833="Đã chuyển khoản",$M4833=""),"Thiếu ngày nhận CK; ",""))</f>
        <v/>
      </c>
      <c r="T4833" s="24" t="n"/>
    </row>
    <row r="4834" ht="14.25" customHeight="1" s="40">
      <c r="A4834" s="24" t="n"/>
      <c r="B4834" s="29" t="n"/>
      <c r="C4834" s="28" t="n"/>
      <c r="D4834" s="22">
        <f t="array" ref="D4834">IF($C4834="","",IFERROR(INDEX(DATA_MASTER!$C$2:$C$5000,MATCH($C4834,DATA_MASTER!$D$2:$D$5000,0)),""))</f>
        <v/>
      </c>
      <c r="E4834" s="22">
        <f t="array" ref="E4834">IF($C4834="","",IFERROR(INDEX(DATA_MASTER!$I$2:$I$5000,MATCH($C4834,DATA_MASTER!$D$2:$D$5000,0)),""))</f>
        <v/>
      </c>
      <c r="F4834" s="22">
        <f t="array" ref="F4834">IF($C4834="","",IFERROR(INDEX(DATA_MASTER!$L$2:$L$5000,MATCH($C4834,DATA_MASTER!$D$2:$D$5000,0)),""))</f>
        <v/>
      </c>
      <c r="G4834" s="24" t="n"/>
      <c r="H4834" s="24" t="n"/>
      <c r="I4834" s="30" t="n"/>
      <c r="J4834" s="23">
        <f>IF(OR($H4834="",$I4834=""),"",$H4834*$I4834)</f>
        <v/>
      </c>
      <c r="K4834" s="24" t="n"/>
      <c r="L4834" s="24" t="n"/>
      <c r="M4834" s="29" t="n"/>
      <c r="N4834" s="28" t="n"/>
      <c r="O4834" s="24" t="n"/>
      <c r="P4834" s="24" t="n"/>
      <c r="Q4834" s="24" t="n"/>
      <c r="R4834" s="24" t="n"/>
      <c r="S4834" s="22">
        <f>IF(AND($A4834="",$C4834=""),"",IF($A4834="","Thiếu mã đơn; ","")&amp;IF(COUNTIF($A$2:$A4834,$A4834)&gt;1,"Trùng mã đơn; ","")&amp;IF(ISNA(MATCH($C4834,DATA_MASTER!$D$2:$D$5000,0)),"SĐT chưa đăng ký hội viên; ","")&amp;IF(AND($L4834="Đã chuyển khoản",$M4834=""),"Thiếu ngày nhận CK; ",""))</f>
        <v/>
      </c>
      <c r="T4834" s="24" t="n"/>
    </row>
    <row r="4835" ht="14.25" customHeight="1" s="40">
      <c r="A4835" s="24" t="n"/>
      <c r="B4835" s="29" t="n"/>
      <c r="C4835" s="28" t="n"/>
      <c r="D4835" s="22">
        <f t="array" ref="D4835">IF($C4835="","",IFERROR(INDEX(DATA_MASTER!$C$2:$C$5000,MATCH($C4835,DATA_MASTER!$D$2:$D$5000,0)),""))</f>
        <v/>
      </c>
      <c r="E4835" s="22">
        <f t="array" ref="E4835">IF($C4835="","",IFERROR(INDEX(DATA_MASTER!$I$2:$I$5000,MATCH($C4835,DATA_MASTER!$D$2:$D$5000,0)),""))</f>
        <v/>
      </c>
      <c r="F4835" s="22">
        <f t="array" ref="F4835">IF($C4835="","",IFERROR(INDEX(DATA_MASTER!$L$2:$L$5000,MATCH($C4835,DATA_MASTER!$D$2:$D$5000,0)),""))</f>
        <v/>
      </c>
      <c r="G4835" s="24" t="n"/>
      <c r="H4835" s="24" t="n"/>
      <c r="I4835" s="30" t="n"/>
      <c r="J4835" s="23">
        <f>IF(OR($H4835="",$I4835=""),"",$H4835*$I4835)</f>
        <v/>
      </c>
      <c r="K4835" s="24" t="n"/>
      <c r="L4835" s="24" t="n"/>
      <c r="M4835" s="29" t="n"/>
      <c r="N4835" s="28" t="n"/>
      <c r="O4835" s="24" t="n"/>
      <c r="P4835" s="24" t="n"/>
      <c r="Q4835" s="24" t="n"/>
      <c r="R4835" s="24" t="n"/>
      <c r="S4835" s="22">
        <f>IF(AND($A4835="",$C4835=""),"",IF($A4835="","Thiếu mã đơn; ","")&amp;IF(COUNTIF($A$2:$A4835,$A4835)&gt;1,"Trùng mã đơn; ","")&amp;IF(ISNA(MATCH($C4835,DATA_MASTER!$D$2:$D$5000,0)),"SĐT chưa đăng ký hội viên; ","")&amp;IF(AND($L4835="Đã chuyển khoản",$M4835=""),"Thiếu ngày nhận CK; ",""))</f>
        <v/>
      </c>
      <c r="T4835" s="24" t="n"/>
    </row>
    <row r="4836" ht="14.25" customHeight="1" s="40">
      <c r="A4836" s="24" t="n"/>
      <c r="B4836" s="29" t="n"/>
      <c r="C4836" s="28" t="n"/>
      <c r="D4836" s="22">
        <f t="array" ref="D4836">IF($C4836="","",IFERROR(INDEX(DATA_MASTER!$C$2:$C$5000,MATCH($C4836,DATA_MASTER!$D$2:$D$5000,0)),""))</f>
        <v/>
      </c>
      <c r="E4836" s="22">
        <f t="array" ref="E4836">IF($C4836="","",IFERROR(INDEX(DATA_MASTER!$I$2:$I$5000,MATCH($C4836,DATA_MASTER!$D$2:$D$5000,0)),""))</f>
        <v/>
      </c>
      <c r="F4836" s="22">
        <f t="array" ref="F4836">IF($C4836="","",IFERROR(INDEX(DATA_MASTER!$L$2:$L$5000,MATCH($C4836,DATA_MASTER!$D$2:$D$5000,0)),""))</f>
        <v/>
      </c>
      <c r="G4836" s="24" t="n"/>
      <c r="H4836" s="24" t="n"/>
      <c r="I4836" s="30" t="n"/>
      <c r="J4836" s="23">
        <f>IF(OR($H4836="",$I4836=""),"",$H4836*$I4836)</f>
        <v/>
      </c>
      <c r="K4836" s="24" t="n"/>
      <c r="L4836" s="24" t="n"/>
      <c r="M4836" s="29" t="n"/>
      <c r="N4836" s="28" t="n"/>
      <c r="O4836" s="24" t="n"/>
      <c r="P4836" s="24" t="n"/>
      <c r="Q4836" s="24" t="n"/>
      <c r="R4836" s="24" t="n"/>
      <c r="S4836" s="22">
        <f>IF(AND($A4836="",$C4836=""),"",IF($A4836="","Thiếu mã đơn; ","")&amp;IF(COUNTIF($A$2:$A4836,$A4836)&gt;1,"Trùng mã đơn; ","")&amp;IF(ISNA(MATCH($C4836,DATA_MASTER!$D$2:$D$5000,0)),"SĐT chưa đăng ký hội viên; ","")&amp;IF(AND($L4836="Đã chuyển khoản",$M4836=""),"Thiếu ngày nhận CK; ",""))</f>
        <v/>
      </c>
      <c r="T4836" s="24" t="n"/>
    </row>
    <row r="4837" ht="14.25" customHeight="1" s="40">
      <c r="A4837" s="24" t="n"/>
      <c r="B4837" s="29" t="n"/>
      <c r="C4837" s="28" t="n"/>
      <c r="D4837" s="22">
        <f t="array" ref="D4837">IF($C4837="","",IFERROR(INDEX(DATA_MASTER!$C$2:$C$5000,MATCH($C4837,DATA_MASTER!$D$2:$D$5000,0)),""))</f>
        <v/>
      </c>
      <c r="E4837" s="22">
        <f t="array" ref="E4837">IF($C4837="","",IFERROR(INDEX(DATA_MASTER!$I$2:$I$5000,MATCH($C4837,DATA_MASTER!$D$2:$D$5000,0)),""))</f>
        <v/>
      </c>
      <c r="F4837" s="22">
        <f t="array" ref="F4837">IF($C4837="","",IFERROR(INDEX(DATA_MASTER!$L$2:$L$5000,MATCH($C4837,DATA_MASTER!$D$2:$D$5000,0)),""))</f>
        <v/>
      </c>
      <c r="G4837" s="24" t="n"/>
      <c r="H4837" s="24" t="n"/>
      <c r="I4837" s="30" t="n"/>
      <c r="J4837" s="23">
        <f>IF(OR($H4837="",$I4837=""),"",$H4837*$I4837)</f>
        <v/>
      </c>
      <c r="K4837" s="24" t="n"/>
      <c r="L4837" s="24" t="n"/>
      <c r="M4837" s="29" t="n"/>
      <c r="N4837" s="28" t="n"/>
      <c r="O4837" s="24" t="n"/>
      <c r="P4837" s="24" t="n"/>
      <c r="Q4837" s="24" t="n"/>
      <c r="R4837" s="24" t="n"/>
      <c r="S4837" s="22">
        <f>IF(AND($A4837="",$C4837=""),"",IF($A4837="","Thiếu mã đơn; ","")&amp;IF(COUNTIF($A$2:$A4837,$A4837)&gt;1,"Trùng mã đơn; ","")&amp;IF(ISNA(MATCH($C4837,DATA_MASTER!$D$2:$D$5000,0)),"SĐT chưa đăng ký hội viên; ","")&amp;IF(AND($L4837="Đã chuyển khoản",$M4837=""),"Thiếu ngày nhận CK; ",""))</f>
        <v/>
      </c>
      <c r="T4837" s="24" t="n"/>
    </row>
    <row r="4838" ht="14.25" customHeight="1" s="40">
      <c r="A4838" s="24" t="n"/>
      <c r="B4838" s="29" t="n"/>
      <c r="C4838" s="28" t="n"/>
      <c r="D4838" s="22">
        <f t="array" ref="D4838">IF($C4838="","",IFERROR(INDEX(DATA_MASTER!$C$2:$C$5000,MATCH($C4838,DATA_MASTER!$D$2:$D$5000,0)),""))</f>
        <v/>
      </c>
      <c r="E4838" s="22">
        <f t="array" ref="E4838">IF($C4838="","",IFERROR(INDEX(DATA_MASTER!$I$2:$I$5000,MATCH($C4838,DATA_MASTER!$D$2:$D$5000,0)),""))</f>
        <v/>
      </c>
      <c r="F4838" s="22">
        <f t="array" ref="F4838">IF($C4838="","",IFERROR(INDEX(DATA_MASTER!$L$2:$L$5000,MATCH($C4838,DATA_MASTER!$D$2:$D$5000,0)),""))</f>
        <v/>
      </c>
      <c r="G4838" s="24" t="n"/>
      <c r="H4838" s="24" t="n"/>
      <c r="I4838" s="30" t="n"/>
      <c r="J4838" s="23">
        <f>IF(OR($H4838="",$I4838=""),"",$H4838*$I4838)</f>
        <v/>
      </c>
      <c r="K4838" s="24" t="n"/>
      <c r="L4838" s="24" t="n"/>
      <c r="M4838" s="29" t="n"/>
      <c r="N4838" s="28" t="n"/>
      <c r="O4838" s="24" t="n"/>
      <c r="P4838" s="24" t="n"/>
      <c r="Q4838" s="24" t="n"/>
      <c r="R4838" s="24" t="n"/>
      <c r="S4838" s="22">
        <f>IF(AND($A4838="",$C4838=""),"",IF($A4838="","Thiếu mã đơn; ","")&amp;IF(COUNTIF($A$2:$A4838,$A4838)&gt;1,"Trùng mã đơn; ","")&amp;IF(ISNA(MATCH($C4838,DATA_MASTER!$D$2:$D$5000,0)),"SĐT chưa đăng ký hội viên; ","")&amp;IF(AND($L4838="Đã chuyển khoản",$M4838=""),"Thiếu ngày nhận CK; ",""))</f>
        <v/>
      </c>
      <c r="T4838" s="24" t="n"/>
    </row>
    <row r="4839" ht="14.25" customHeight="1" s="40">
      <c r="A4839" s="24" t="n"/>
      <c r="B4839" s="29" t="n"/>
      <c r="C4839" s="28" t="n"/>
      <c r="D4839" s="22">
        <f t="array" ref="D4839">IF($C4839="","",IFERROR(INDEX(DATA_MASTER!$C$2:$C$5000,MATCH($C4839,DATA_MASTER!$D$2:$D$5000,0)),""))</f>
        <v/>
      </c>
      <c r="E4839" s="22">
        <f t="array" ref="E4839">IF($C4839="","",IFERROR(INDEX(DATA_MASTER!$I$2:$I$5000,MATCH($C4839,DATA_MASTER!$D$2:$D$5000,0)),""))</f>
        <v/>
      </c>
      <c r="F4839" s="22">
        <f t="array" ref="F4839">IF($C4839="","",IFERROR(INDEX(DATA_MASTER!$L$2:$L$5000,MATCH($C4839,DATA_MASTER!$D$2:$D$5000,0)),""))</f>
        <v/>
      </c>
      <c r="G4839" s="24" t="n"/>
      <c r="H4839" s="24" t="n"/>
      <c r="I4839" s="30" t="n"/>
      <c r="J4839" s="23">
        <f>IF(OR($H4839="",$I4839=""),"",$H4839*$I4839)</f>
        <v/>
      </c>
      <c r="K4839" s="24" t="n"/>
      <c r="L4839" s="24" t="n"/>
      <c r="M4839" s="29" t="n"/>
      <c r="N4839" s="28" t="n"/>
      <c r="O4839" s="24" t="n"/>
      <c r="P4839" s="24" t="n"/>
      <c r="Q4839" s="24" t="n"/>
      <c r="R4839" s="24" t="n"/>
      <c r="S4839" s="22">
        <f>IF(AND($A4839="",$C4839=""),"",IF($A4839="","Thiếu mã đơn; ","")&amp;IF(COUNTIF($A$2:$A4839,$A4839)&gt;1,"Trùng mã đơn; ","")&amp;IF(ISNA(MATCH($C4839,DATA_MASTER!$D$2:$D$5000,0)),"SĐT chưa đăng ký hội viên; ","")&amp;IF(AND($L4839="Đã chuyển khoản",$M4839=""),"Thiếu ngày nhận CK; ",""))</f>
        <v/>
      </c>
      <c r="T4839" s="24" t="n"/>
    </row>
    <row r="4840" ht="14.25" customHeight="1" s="40">
      <c r="A4840" s="24" t="n"/>
      <c r="B4840" s="29" t="n"/>
      <c r="C4840" s="28" t="n"/>
      <c r="D4840" s="22">
        <f t="array" ref="D4840">IF($C4840="","",IFERROR(INDEX(DATA_MASTER!$C$2:$C$5000,MATCH($C4840,DATA_MASTER!$D$2:$D$5000,0)),""))</f>
        <v/>
      </c>
      <c r="E4840" s="22">
        <f t="array" ref="E4840">IF($C4840="","",IFERROR(INDEX(DATA_MASTER!$I$2:$I$5000,MATCH($C4840,DATA_MASTER!$D$2:$D$5000,0)),""))</f>
        <v/>
      </c>
      <c r="F4840" s="22">
        <f t="array" ref="F4840">IF($C4840="","",IFERROR(INDEX(DATA_MASTER!$L$2:$L$5000,MATCH($C4840,DATA_MASTER!$D$2:$D$5000,0)),""))</f>
        <v/>
      </c>
      <c r="G4840" s="24" t="n"/>
      <c r="H4840" s="24" t="n"/>
      <c r="I4840" s="30" t="n"/>
      <c r="J4840" s="23">
        <f>IF(OR($H4840="",$I4840=""),"",$H4840*$I4840)</f>
        <v/>
      </c>
      <c r="K4840" s="24" t="n"/>
      <c r="L4840" s="24" t="n"/>
      <c r="M4840" s="29" t="n"/>
      <c r="N4840" s="28" t="n"/>
      <c r="O4840" s="24" t="n"/>
      <c r="P4840" s="24" t="n"/>
      <c r="Q4840" s="24" t="n"/>
      <c r="R4840" s="24" t="n"/>
      <c r="S4840" s="22">
        <f>IF(AND($A4840="",$C4840=""),"",IF($A4840="","Thiếu mã đơn; ","")&amp;IF(COUNTIF($A$2:$A4840,$A4840)&gt;1,"Trùng mã đơn; ","")&amp;IF(ISNA(MATCH($C4840,DATA_MASTER!$D$2:$D$5000,0)),"SĐT chưa đăng ký hội viên; ","")&amp;IF(AND($L4840="Đã chuyển khoản",$M4840=""),"Thiếu ngày nhận CK; ",""))</f>
        <v/>
      </c>
      <c r="T4840" s="24" t="n"/>
    </row>
    <row r="4841" ht="14.25" customHeight="1" s="40">
      <c r="A4841" s="24" t="n"/>
      <c r="B4841" s="29" t="n"/>
      <c r="C4841" s="28" t="n"/>
      <c r="D4841" s="22">
        <f t="array" ref="D4841">IF($C4841="","",IFERROR(INDEX(DATA_MASTER!$C$2:$C$5000,MATCH($C4841,DATA_MASTER!$D$2:$D$5000,0)),""))</f>
        <v/>
      </c>
      <c r="E4841" s="22">
        <f t="array" ref="E4841">IF($C4841="","",IFERROR(INDEX(DATA_MASTER!$I$2:$I$5000,MATCH($C4841,DATA_MASTER!$D$2:$D$5000,0)),""))</f>
        <v/>
      </c>
      <c r="F4841" s="22">
        <f t="array" ref="F4841">IF($C4841="","",IFERROR(INDEX(DATA_MASTER!$L$2:$L$5000,MATCH($C4841,DATA_MASTER!$D$2:$D$5000,0)),""))</f>
        <v/>
      </c>
      <c r="G4841" s="24" t="n"/>
      <c r="H4841" s="24" t="n"/>
      <c r="I4841" s="30" t="n"/>
      <c r="J4841" s="23">
        <f>IF(OR($H4841="",$I4841=""),"",$H4841*$I4841)</f>
        <v/>
      </c>
      <c r="K4841" s="24" t="n"/>
      <c r="L4841" s="24" t="n"/>
      <c r="M4841" s="29" t="n"/>
      <c r="N4841" s="28" t="n"/>
      <c r="O4841" s="24" t="n"/>
      <c r="P4841" s="24" t="n"/>
      <c r="Q4841" s="24" t="n"/>
      <c r="R4841" s="24" t="n"/>
      <c r="S4841" s="22">
        <f>IF(AND($A4841="",$C4841=""),"",IF($A4841="","Thiếu mã đơn; ","")&amp;IF(COUNTIF($A$2:$A4841,$A4841)&gt;1,"Trùng mã đơn; ","")&amp;IF(ISNA(MATCH($C4841,DATA_MASTER!$D$2:$D$5000,0)),"SĐT chưa đăng ký hội viên; ","")&amp;IF(AND($L4841="Đã chuyển khoản",$M4841=""),"Thiếu ngày nhận CK; ",""))</f>
        <v/>
      </c>
      <c r="T4841" s="24" t="n"/>
    </row>
    <row r="4842" ht="14.25" customHeight="1" s="40">
      <c r="A4842" s="24" t="n"/>
      <c r="B4842" s="29" t="n"/>
      <c r="C4842" s="28" t="n"/>
      <c r="D4842" s="22">
        <f t="array" ref="D4842">IF($C4842="","",IFERROR(INDEX(DATA_MASTER!$C$2:$C$5000,MATCH($C4842,DATA_MASTER!$D$2:$D$5000,0)),""))</f>
        <v/>
      </c>
      <c r="E4842" s="22">
        <f t="array" ref="E4842">IF($C4842="","",IFERROR(INDEX(DATA_MASTER!$I$2:$I$5000,MATCH($C4842,DATA_MASTER!$D$2:$D$5000,0)),""))</f>
        <v/>
      </c>
      <c r="F4842" s="22">
        <f t="array" ref="F4842">IF($C4842="","",IFERROR(INDEX(DATA_MASTER!$L$2:$L$5000,MATCH($C4842,DATA_MASTER!$D$2:$D$5000,0)),""))</f>
        <v/>
      </c>
      <c r="G4842" s="24" t="n"/>
      <c r="H4842" s="24" t="n"/>
      <c r="I4842" s="30" t="n"/>
      <c r="J4842" s="23">
        <f>IF(OR($H4842="",$I4842=""),"",$H4842*$I4842)</f>
        <v/>
      </c>
      <c r="K4842" s="24" t="n"/>
      <c r="L4842" s="24" t="n"/>
      <c r="M4842" s="29" t="n"/>
      <c r="N4842" s="28" t="n"/>
      <c r="O4842" s="24" t="n"/>
      <c r="P4842" s="24" t="n"/>
      <c r="Q4842" s="24" t="n"/>
      <c r="R4842" s="24" t="n"/>
      <c r="S4842" s="22">
        <f>IF(AND($A4842="",$C4842=""),"",IF($A4842="","Thiếu mã đơn; ","")&amp;IF(COUNTIF($A$2:$A4842,$A4842)&gt;1,"Trùng mã đơn; ","")&amp;IF(ISNA(MATCH($C4842,DATA_MASTER!$D$2:$D$5000,0)),"SĐT chưa đăng ký hội viên; ","")&amp;IF(AND($L4842="Đã chuyển khoản",$M4842=""),"Thiếu ngày nhận CK; ",""))</f>
        <v/>
      </c>
      <c r="T4842" s="24" t="n"/>
    </row>
    <row r="4843" ht="14.25" customHeight="1" s="40">
      <c r="A4843" s="24" t="n"/>
      <c r="B4843" s="29" t="n"/>
      <c r="C4843" s="28" t="n"/>
      <c r="D4843" s="22">
        <f t="array" ref="D4843">IF($C4843="","",IFERROR(INDEX(DATA_MASTER!$C$2:$C$5000,MATCH($C4843,DATA_MASTER!$D$2:$D$5000,0)),""))</f>
        <v/>
      </c>
      <c r="E4843" s="22">
        <f t="array" ref="E4843">IF($C4843="","",IFERROR(INDEX(DATA_MASTER!$I$2:$I$5000,MATCH($C4843,DATA_MASTER!$D$2:$D$5000,0)),""))</f>
        <v/>
      </c>
      <c r="F4843" s="22">
        <f t="array" ref="F4843">IF($C4843="","",IFERROR(INDEX(DATA_MASTER!$L$2:$L$5000,MATCH($C4843,DATA_MASTER!$D$2:$D$5000,0)),""))</f>
        <v/>
      </c>
      <c r="G4843" s="24" t="n"/>
      <c r="H4843" s="24" t="n"/>
      <c r="I4843" s="30" t="n"/>
      <c r="J4843" s="23">
        <f>IF(OR($H4843="",$I4843=""),"",$H4843*$I4843)</f>
        <v/>
      </c>
      <c r="K4843" s="24" t="n"/>
      <c r="L4843" s="24" t="n"/>
      <c r="M4843" s="29" t="n"/>
      <c r="N4843" s="28" t="n"/>
      <c r="O4843" s="24" t="n"/>
      <c r="P4843" s="24" t="n"/>
      <c r="Q4843" s="24" t="n"/>
      <c r="R4843" s="24" t="n"/>
      <c r="S4843" s="22">
        <f>IF(AND($A4843="",$C4843=""),"",IF($A4843="","Thiếu mã đơn; ","")&amp;IF(COUNTIF($A$2:$A4843,$A4843)&gt;1,"Trùng mã đơn; ","")&amp;IF(ISNA(MATCH($C4843,DATA_MASTER!$D$2:$D$5000,0)),"SĐT chưa đăng ký hội viên; ","")&amp;IF(AND($L4843="Đã chuyển khoản",$M4843=""),"Thiếu ngày nhận CK; ",""))</f>
        <v/>
      </c>
      <c r="T4843" s="24" t="n"/>
    </row>
    <row r="4844" ht="14.25" customHeight="1" s="40">
      <c r="A4844" s="24" t="n"/>
      <c r="B4844" s="29" t="n"/>
      <c r="C4844" s="28" t="n"/>
      <c r="D4844" s="22">
        <f t="array" ref="D4844">IF($C4844="","",IFERROR(INDEX(DATA_MASTER!$C$2:$C$5000,MATCH($C4844,DATA_MASTER!$D$2:$D$5000,0)),""))</f>
        <v/>
      </c>
      <c r="E4844" s="22">
        <f t="array" ref="E4844">IF($C4844="","",IFERROR(INDEX(DATA_MASTER!$I$2:$I$5000,MATCH($C4844,DATA_MASTER!$D$2:$D$5000,0)),""))</f>
        <v/>
      </c>
      <c r="F4844" s="22">
        <f t="array" ref="F4844">IF($C4844="","",IFERROR(INDEX(DATA_MASTER!$L$2:$L$5000,MATCH($C4844,DATA_MASTER!$D$2:$D$5000,0)),""))</f>
        <v/>
      </c>
      <c r="G4844" s="24" t="n"/>
      <c r="H4844" s="24" t="n"/>
      <c r="I4844" s="30" t="n"/>
      <c r="J4844" s="23">
        <f>IF(OR($H4844="",$I4844=""),"",$H4844*$I4844)</f>
        <v/>
      </c>
      <c r="K4844" s="24" t="n"/>
      <c r="L4844" s="24" t="n"/>
      <c r="M4844" s="29" t="n"/>
      <c r="N4844" s="28" t="n"/>
      <c r="O4844" s="24" t="n"/>
      <c r="P4844" s="24" t="n"/>
      <c r="Q4844" s="24" t="n"/>
      <c r="R4844" s="24" t="n"/>
      <c r="S4844" s="22">
        <f>IF(AND($A4844="",$C4844=""),"",IF($A4844="","Thiếu mã đơn; ","")&amp;IF(COUNTIF($A$2:$A4844,$A4844)&gt;1,"Trùng mã đơn; ","")&amp;IF(ISNA(MATCH($C4844,DATA_MASTER!$D$2:$D$5000,0)),"SĐT chưa đăng ký hội viên; ","")&amp;IF(AND($L4844="Đã chuyển khoản",$M4844=""),"Thiếu ngày nhận CK; ",""))</f>
        <v/>
      </c>
      <c r="T4844" s="24" t="n"/>
    </row>
    <row r="4845" ht="14.25" customHeight="1" s="40">
      <c r="A4845" s="24" t="n"/>
      <c r="B4845" s="29" t="n"/>
      <c r="C4845" s="28" t="n"/>
      <c r="D4845" s="22">
        <f t="array" ref="D4845">IF($C4845="","",IFERROR(INDEX(DATA_MASTER!$C$2:$C$5000,MATCH($C4845,DATA_MASTER!$D$2:$D$5000,0)),""))</f>
        <v/>
      </c>
      <c r="E4845" s="22">
        <f t="array" ref="E4845">IF($C4845="","",IFERROR(INDEX(DATA_MASTER!$I$2:$I$5000,MATCH($C4845,DATA_MASTER!$D$2:$D$5000,0)),""))</f>
        <v/>
      </c>
      <c r="F4845" s="22">
        <f t="array" ref="F4845">IF($C4845="","",IFERROR(INDEX(DATA_MASTER!$L$2:$L$5000,MATCH($C4845,DATA_MASTER!$D$2:$D$5000,0)),""))</f>
        <v/>
      </c>
      <c r="G4845" s="24" t="n"/>
      <c r="H4845" s="24" t="n"/>
      <c r="I4845" s="30" t="n"/>
      <c r="J4845" s="23">
        <f>IF(OR($H4845="",$I4845=""),"",$H4845*$I4845)</f>
        <v/>
      </c>
      <c r="K4845" s="24" t="n"/>
      <c r="L4845" s="24" t="n"/>
      <c r="M4845" s="29" t="n"/>
      <c r="N4845" s="28" t="n"/>
      <c r="O4845" s="24" t="n"/>
      <c r="P4845" s="24" t="n"/>
      <c r="Q4845" s="24" t="n"/>
      <c r="R4845" s="24" t="n"/>
      <c r="S4845" s="22">
        <f>IF(AND($A4845="",$C4845=""),"",IF($A4845="","Thiếu mã đơn; ","")&amp;IF(COUNTIF($A$2:$A4845,$A4845)&gt;1,"Trùng mã đơn; ","")&amp;IF(ISNA(MATCH($C4845,DATA_MASTER!$D$2:$D$5000,0)),"SĐT chưa đăng ký hội viên; ","")&amp;IF(AND($L4845="Đã chuyển khoản",$M4845=""),"Thiếu ngày nhận CK; ",""))</f>
        <v/>
      </c>
      <c r="T4845" s="24" t="n"/>
    </row>
    <row r="4846" ht="14.25" customHeight="1" s="40">
      <c r="A4846" s="24" t="n"/>
      <c r="B4846" s="29" t="n"/>
      <c r="C4846" s="28" t="n"/>
      <c r="D4846" s="22">
        <f t="array" ref="D4846">IF($C4846="","",IFERROR(INDEX(DATA_MASTER!$C$2:$C$5000,MATCH($C4846,DATA_MASTER!$D$2:$D$5000,0)),""))</f>
        <v/>
      </c>
      <c r="E4846" s="22">
        <f t="array" ref="E4846">IF($C4846="","",IFERROR(INDEX(DATA_MASTER!$I$2:$I$5000,MATCH($C4846,DATA_MASTER!$D$2:$D$5000,0)),""))</f>
        <v/>
      </c>
      <c r="F4846" s="22">
        <f t="array" ref="F4846">IF($C4846="","",IFERROR(INDEX(DATA_MASTER!$L$2:$L$5000,MATCH($C4846,DATA_MASTER!$D$2:$D$5000,0)),""))</f>
        <v/>
      </c>
      <c r="G4846" s="24" t="n"/>
      <c r="H4846" s="24" t="n"/>
      <c r="I4846" s="30" t="n"/>
      <c r="J4846" s="23">
        <f>IF(OR($H4846="",$I4846=""),"",$H4846*$I4846)</f>
        <v/>
      </c>
      <c r="K4846" s="24" t="n"/>
      <c r="L4846" s="24" t="n"/>
      <c r="M4846" s="29" t="n"/>
      <c r="N4846" s="28" t="n"/>
      <c r="O4846" s="24" t="n"/>
      <c r="P4846" s="24" t="n"/>
      <c r="Q4846" s="24" t="n"/>
      <c r="R4846" s="24" t="n"/>
      <c r="S4846" s="22">
        <f>IF(AND($A4846="",$C4846=""),"",IF($A4846="","Thiếu mã đơn; ","")&amp;IF(COUNTIF($A$2:$A4846,$A4846)&gt;1,"Trùng mã đơn; ","")&amp;IF(ISNA(MATCH($C4846,DATA_MASTER!$D$2:$D$5000,0)),"SĐT chưa đăng ký hội viên; ","")&amp;IF(AND($L4846="Đã chuyển khoản",$M4846=""),"Thiếu ngày nhận CK; ",""))</f>
        <v/>
      </c>
      <c r="T4846" s="24" t="n"/>
    </row>
    <row r="4847" ht="14.25" customHeight="1" s="40">
      <c r="A4847" s="24" t="n"/>
      <c r="B4847" s="29" t="n"/>
      <c r="C4847" s="28" t="n"/>
      <c r="D4847" s="22">
        <f t="array" ref="D4847">IF($C4847="","",IFERROR(INDEX(DATA_MASTER!$C$2:$C$5000,MATCH($C4847,DATA_MASTER!$D$2:$D$5000,0)),""))</f>
        <v/>
      </c>
      <c r="E4847" s="22">
        <f t="array" ref="E4847">IF($C4847="","",IFERROR(INDEX(DATA_MASTER!$I$2:$I$5000,MATCH($C4847,DATA_MASTER!$D$2:$D$5000,0)),""))</f>
        <v/>
      </c>
      <c r="F4847" s="22">
        <f t="array" ref="F4847">IF($C4847="","",IFERROR(INDEX(DATA_MASTER!$L$2:$L$5000,MATCH($C4847,DATA_MASTER!$D$2:$D$5000,0)),""))</f>
        <v/>
      </c>
      <c r="G4847" s="24" t="n"/>
      <c r="H4847" s="24" t="n"/>
      <c r="I4847" s="30" t="n"/>
      <c r="J4847" s="23">
        <f>IF(OR($H4847="",$I4847=""),"",$H4847*$I4847)</f>
        <v/>
      </c>
      <c r="K4847" s="24" t="n"/>
      <c r="L4847" s="24" t="n"/>
      <c r="M4847" s="29" t="n"/>
      <c r="N4847" s="28" t="n"/>
      <c r="O4847" s="24" t="n"/>
      <c r="P4847" s="24" t="n"/>
      <c r="Q4847" s="24" t="n"/>
      <c r="R4847" s="24" t="n"/>
      <c r="S4847" s="22">
        <f>IF(AND($A4847="",$C4847=""),"",IF($A4847="","Thiếu mã đơn; ","")&amp;IF(COUNTIF($A$2:$A4847,$A4847)&gt;1,"Trùng mã đơn; ","")&amp;IF(ISNA(MATCH($C4847,DATA_MASTER!$D$2:$D$5000,0)),"SĐT chưa đăng ký hội viên; ","")&amp;IF(AND($L4847="Đã chuyển khoản",$M4847=""),"Thiếu ngày nhận CK; ",""))</f>
        <v/>
      </c>
      <c r="T4847" s="24" t="n"/>
    </row>
    <row r="4848" ht="14.25" customHeight="1" s="40">
      <c r="A4848" s="24" t="n"/>
      <c r="B4848" s="29" t="n"/>
      <c r="C4848" s="28" t="n"/>
      <c r="D4848" s="22">
        <f t="array" ref="D4848">IF($C4848="","",IFERROR(INDEX(DATA_MASTER!$C$2:$C$5000,MATCH($C4848,DATA_MASTER!$D$2:$D$5000,0)),""))</f>
        <v/>
      </c>
      <c r="E4848" s="22">
        <f t="array" ref="E4848">IF($C4848="","",IFERROR(INDEX(DATA_MASTER!$I$2:$I$5000,MATCH($C4848,DATA_MASTER!$D$2:$D$5000,0)),""))</f>
        <v/>
      </c>
      <c r="F4848" s="22">
        <f t="array" ref="F4848">IF($C4848="","",IFERROR(INDEX(DATA_MASTER!$L$2:$L$5000,MATCH($C4848,DATA_MASTER!$D$2:$D$5000,0)),""))</f>
        <v/>
      </c>
      <c r="G4848" s="24" t="n"/>
      <c r="H4848" s="24" t="n"/>
      <c r="I4848" s="30" t="n"/>
      <c r="J4848" s="23">
        <f>IF(OR($H4848="",$I4848=""),"",$H4848*$I4848)</f>
        <v/>
      </c>
      <c r="K4848" s="24" t="n"/>
      <c r="L4848" s="24" t="n"/>
      <c r="M4848" s="29" t="n"/>
      <c r="N4848" s="28" t="n"/>
      <c r="O4848" s="24" t="n"/>
      <c r="P4848" s="24" t="n"/>
      <c r="Q4848" s="24" t="n"/>
      <c r="R4848" s="24" t="n"/>
      <c r="S4848" s="22">
        <f>IF(AND($A4848="",$C4848=""),"",IF($A4848="","Thiếu mã đơn; ","")&amp;IF(COUNTIF($A$2:$A4848,$A4848)&gt;1,"Trùng mã đơn; ","")&amp;IF(ISNA(MATCH($C4848,DATA_MASTER!$D$2:$D$5000,0)),"SĐT chưa đăng ký hội viên; ","")&amp;IF(AND($L4848="Đã chuyển khoản",$M4848=""),"Thiếu ngày nhận CK; ",""))</f>
        <v/>
      </c>
      <c r="T4848" s="24" t="n"/>
    </row>
    <row r="4849" ht="14.25" customHeight="1" s="40">
      <c r="A4849" s="24" t="n"/>
      <c r="B4849" s="29" t="n"/>
      <c r="C4849" s="28" t="n"/>
      <c r="D4849" s="22">
        <f t="array" ref="D4849">IF($C4849="","",IFERROR(INDEX(DATA_MASTER!$C$2:$C$5000,MATCH($C4849,DATA_MASTER!$D$2:$D$5000,0)),""))</f>
        <v/>
      </c>
      <c r="E4849" s="22">
        <f t="array" ref="E4849">IF($C4849="","",IFERROR(INDEX(DATA_MASTER!$I$2:$I$5000,MATCH($C4849,DATA_MASTER!$D$2:$D$5000,0)),""))</f>
        <v/>
      </c>
      <c r="F4849" s="22">
        <f t="array" ref="F4849">IF($C4849="","",IFERROR(INDEX(DATA_MASTER!$L$2:$L$5000,MATCH($C4849,DATA_MASTER!$D$2:$D$5000,0)),""))</f>
        <v/>
      </c>
      <c r="G4849" s="24" t="n"/>
      <c r="H4849" s="24" t="n"/>
      <c r="I4849" s="30" t="n"/>
      <c r="J4849" s="23">
        <f>IF(OR($H4849="",$I4849=""),"",$H4849*$I4849)</f>
        <v/>
      </c>
      <c r="K4849" s="24" t="n"/>
      <c r="L4849" s="24" t="n"/>
      <c r="M4849" s="29" t="n"/>
      <c r="N4849" s="28" t="n"/>
      <c r="O4849" s="24" t="n"/>
      <c r="P4849" s="24" t="n"/>
      <c r="Q4849" s="24" t="n"/>
      <c r="R4849" s="24" t="n"/>
      <c r="S4849" s="22">
        <f>IF(AND($A4849="",$C4849=""),"",IF($A4849="","Thiếu mã đơn; ","")&amp;IF(COUNTIF($A$2:$A4849,$A4849)&gt;1,"Trùng mã đơn; ","")&amp;IF(ISNA(MATCH($C4849,DATA_MASTER!$D$2:$D$5000,0)),"SĐT chưa đăng ký hội viên; ","")&amp;IF(AND($L4849="Đã chuyển khoản",$M4849=""),"Thiếu ngày nhận CK; ",""))</f>
        <v/>
      </c>
      <c r="T4849" s="24" t="n"/>
    </row>
    <row r="4850" ht="14.25" customHeight="1" s="40">
      <c r="A4850" s="24" t="n"/>
      <c r="B4850" s="29" t="n"/>
      <c r="C4850" s="28" t="n"/>
      <c r="D4850" s="22">
        <f t="array" ref="D4850">IF($C4850="","",IFERROR(INDEX(DATA_MASTER!$C$2:$C$5000,MATCH($C4850,DATA_MASTER!$D$2:$D$5000,0)),""))</f>
        <v/>
      </c>
      <c r="E4850" s="22">
        <f t="array" ref="E4850">IF($C4850="","",IFERROR(INDEX(DATA_MASTER!$I$2:$I$5000,MATCH($C4850,DATA_MASTER!$D$2:$D$5000,0)),""))</f>
        <v/>
      </c>
      <c r="F4850" s="22">
        <f t="array" ref="F4850">IF($C4850="","",IFERROR(INDEX(DATA_MASTER!$L$2:$L$5000,MATCH($C4850,DATA_MASTER!$D$2:$D$5000,0)),""))</f>
        <v/>
      </c>
      <c r="G4850" s="24" t="n"/>
      <c r="H4850" s="24" t="n"/>
      <c r="I4850" s="30" t="n"/>
      <c r="J4850" s="23">
        <f>IF(OR($H4850="",$I4850=""),"",$H4850*$I4850)</f>
        <v/>
      </c>
      <c r="K4850" s="24" t="n"/>
      <c r="L4850" s="24" t="n"/>
      <c r="M4850" s="29" t="n"/>
      <c r="N4850" s="28" t="n"/>
      <c r="O4850" s="24" t="n"/>
      <c r="P4850" s="24" t="n"/>
      <c r="Q4850" s="24" t="n"/>
      <c r="R4850" s="24" t="n"/>
      <c r="S4850" s="22">
        <f>IF(AND($A4850="",$C4850=""),"",IF($A4850="","Thiếu mã đơn; ","")&amp;IF(COUNTIF($A$2:$A4850,$A4850)&gt;1,"Trùng mã đơn; ","")&amp;IF(ISNA(MATCH($C4850,DATA_MASTER!$D$2:$D$5000,0)),"SĐT chưa đăng ký hội viên; ","")&amp;IF(AND($L4850="Đã chuyển khoản",$M4850=""),"Thiếu ngày nhận CK; ",""))</f>
        <v/>
      </c>
      <c r="T4850" s="24" t="n"/>
    </row>
    <row r="4851" ht="14.25" customHeight="1" s="40">
      <c r="A4851" s="24" t="n"/>
      <c r="B4851" s="29" t="n"/>
      <c r="C4851" s="28" t="n"/>
      <c r="D4851" s="22">
        <f t="array" ref="D4851">IF($C4851="","",IFERROR(INDEX(DATA_MASTER!$C$2:$C$5000,MATCH($C4851,DATA_MASTER!$D$2:$D$5000,0)),""))</f>
        <v/>
      </c>
      <c r="E4851" s="22">
        <f t="array" ref="E4851">IF($C4851="","",IFERROR(INDEX(DATA_MASTER!$I$2:$I$5000,MATCH($C4851,DATA_MASTER!$D$2:$D$5000,0)),""))</f>
        <v/>
      </c>
      <c r="F4851" s="22">
        <f t="array" ref="F4851">IF($C4851="","",IFERROR(INDEX(DATA_MASTER!$L$2:$L$5000,MATCH($C4851,DATA_MASTER!$D$2:$D$5000,0)),""))</f>
        <v/>
      </c>
      <c r="G4851" s="24" t="n"/>
      <c r="H4851" s="24" t="n"/>
      <c r="I4851" s="30" t="n"/>
      <c r="J4851" s="23">
        <f>IF(OR($H4851="",$I4851=""),"",$H4851*$I4851)</f>
        <v/>
      </c>
      <c r="K4851" s="24" t="n"/>
      <c r="L4851" s="24" t="n"/>
      <c r="M4851" s="29" t="n"/>
      <c r="N4851" s="28" t="n"/>
      <c r="O4851" s="24" t="n"/>
      <c r="P4851" s="24" t="n"/>
      <c r="Q4851" s="24" t="n"/>
      <c r="R4851" s="24" t="n"/>
      <c r="S4851" s="22">
        <f>IF(AND($A4851="",$C4851=""),"",IF($A4851="","Thiếu mã đơn; ","")&amp;IF(COUNTIF($A$2:$A4851,$A4851)&gt;1,"Trùng mã đơn; ","")&amp;IF(ISNA(MATCH($C4851,DATA_MASTER!$D$2:$D$5000,0)),"SĐT chưa đăng ký hội viên; ","")&amp;IF(AND($L4851="Đã chuyển khoản",$M4851=""),"Thiếu ngày nhận CK; ",""))</f>
        <v/>
      </c>
      <c r="T4851" s="24" t="n"/>
    </row>
    <row r="4852" ht="14.25" customHeight="1" s="40">
      <c r="A4852" s="24" t="n"/>
      <c r="B4852" s="29" t="n"/>
      <c r="C4852" s="28" t="n"/>
      <c r="D4852" s="22">
        <f t="array" ref="D4852">IF($C4852="","",IFERROR(INDEX(DATA_MASTER!$C$2:$C$5000,MATCH($C4852,DATA_MASTER!$D$2:$D$5000,0)),""))</f>
        <v/>
      </c>
      <c r="E4852" s="22">
        <f t="array" ref="E4852">IF($C4852="","",IFERROR(INDEX(DATA_MASTER!$I$2:$I$5000,MATCH($C4852,DATA_MASTER!$D$2:$D$5000,0)),""))</f>
        <v/>
      </c>
      <c r="F4852" s="22">
        <f t="array" ref="F4852">IF($C4852="","",IFERROR(INDEX(DATA_MASTER!$L$2:$L$5000,MATCH($C4852,DATA_MASTER!$D$2:$D$5000,0)),""))</f>
        <v/>
      </c>
      <c r="G4852" s="24" t="n"/>
      <c r="H4852" s="24" t="n"/>
      <c r="I4852" s="30" t="n"/>
      <c r="J4852" s="23">
        <f>IF(OR($H4852="",$I4852=""),"",$H4852*$I4852)</f>
        <v/>
      </c>
      <c r="K4852" s="24" t="n"/>
      <c r="L4852" s="24" t="n"/>
      <c r="M4852" s="29" t="n"/>
      <c r="N4852" s="28" t="n"/>
      <c r="O4852" s="24" t="n"/>
      <c r="P4852" s="24" t="n"/>
      <c r="Q4852" s="24" t="n"/>
      <c r="R4852" s="24" t="n"/>
      <c r="S4852" s="22">
        <f>IF(AND($A4852="",$C4852=""),"",IF($A4852="","Thiếu mã đơn; ","")&amp;IF(COUNTIF($A$2:$A4852,$A4852)&gt;1,"Trùng mã đơn; ","")&amp;IF(ISNA(MATCH($C4852,DATA_MASTER!$D$2:$D$5000,0)),"SĐT chưa đăng ký hội viên; ","")&amp;IF(AND($L4852="Đã chuyển khoản",$M4852=""),"Thiếu ngày nhận CK; ",""))</f>
        <v/>
      </c>
      <c r="T4852" s="24" t="n"/>
    </row>
    <row r="4853" ht="14.25" customHeight="1" s="40">
      <c r="A4853" s="24" t="n"/>
      <c r="B4853" s="29" t="n"/>
      <c r="C4853" s="28" t="n"/>
      <c r="D4853" s="22">
        <f t="array" ref="D4853">IF($C4853="","",IFERROR(INDEX(DATA_MASTER!$C$2:$C$5000,MATCH($C4853,DATA_MASTER!$D$2:$D$5000,0)),""))</f>
        <v/>
      </c>
      <c r="E4853" s="22">
        <f t="array" ref="E4853">IF($C4853="","",IFERROR(INDEX(DATA_MASTER!$I$2:$I$5000,MATCH($C4853,DATA_MASTER!$D$2:$D$5000,0)),""))</f>
        <v/>
      </c>
      <c r="F4853" s="22">
        <f t="array" ref="F4853">IF($C4853="","",IFERROR(INDEX(DATA_MASTER!$L$2:$L$5000,MATCH($C4853,DATA_MASTER!$D$2:$D$5000,0)),""))</f>
        <v/>
      </c>
      <c r="G4853" s="24" t="n"/>
      <c r="H4853" s="24" t="n"/>
      <c r="I4853" s="30" t="n"/>
      <c r="J4853" s="23">
        <f>IF(OR($H4853="",$I4853=""),"",$H4853*$I4853)</f>
        <v/>
      </c>
      <c r="K4853" s="24" t="n"/>
      <c r="L4853" s="24" t="n"/>
      <c r="M4853" s="29" t="n"/>
      <c r="N4853" s="28" t="n"/>
      <c r="O4853" s="24" t="n"/>
      <c r="P4853" s="24" t="n"/>
      <c r="Q4853" s="24" t="n"/>
      <c r="R4853" s="24" t="n"/>
      <c r="S4853" s="22">
        <f>IF(AND($A4853="",$C4853=""),"",IF($A4853="","Thiếu mã đơn; ","")&amp;IF(COUNTIF($A$2:$A4853,$A4853)&gt;1,"Trùng mã đơn; ","")&amp;IF(ISNA(MATCH($C4853,DATA_MASTER!$D$2:$D$5000,0)),"SĐT chưa đăng ký hội viên; ","")&amp;IF(AND($L4853="Đã chuyển khoản",$M4853=""),"Thiếu ngày nhận CK; ",""))</f>
        <v/>
      </c>
      <c r="T4853" s="24" t="n"/>
    </row>
    <row r="4854" ht="14.25" customHeight="1" s="40">
      <c r="A4854" s="24" t="n"/>
      <c r="B4854" s="29" t="n"/>
      <c r="C4854" s="28" t="n"/>
      <c r="D4854" s="22">
        <f t="array" ref="D4854">IF($C4854="","",IFERROR(INDEX(DATA_MASTER!$C$2:$C$5000,MATCH($C4854,DATA_MASTER!$D$2:$D$5000,0)),""))</f>
        <v/>
      </c>
      <c r="E4854" s="22">
        <f t="array" ref="E4854">IF($C4854="","",IFERROR(INDEX(DATA_MASTER!$I$2:$I$5000,MATCH($C4854,DATA_MASTER!$D$2:$D$5000,0)),""))</f>
        <v/>
      </c>
      <c r="F4854" s="22">
        <f t="array" ref="F4854">IF($C4854="","",IFERROR(INDEX(DATA_MASTER!$L$2:$L$5000,MATCH($C4854,DATA_MASTER!$D$2:$D$5000,0)),""))</f>
        <v/>
      </c>
      <c r="G4854" s="24" t="n"/>
      <c r="H4854" s="24" t="n"/>
      <c r="I4854" s="30" t="n"/>
      <c r="J4854" s="23">
        <f>IF(OR($H4854="",$I4854=""),"",$H4854*$I4854)</f>
        <v/>
      </c>
      <c r="K4854" s="24" t="n"/>
      <c r="L4854" s="24" t="n"/>
      <c r="M4854" s="29" t="n"/>
      <c r="N4854" s="28" t="n"/>
      <c r="O4854" s="24" t="n"/>
      <c r="P4854" s="24" t="n"/>
      <c r="Q4854" s="24" t="n"/>
      <c r="R4854" s="24" t="n"/>
      <c r="S4854" s="22">
        <f>IF(AND($A4854="",$C4854=""),"",IF($A4854="","Thiếu mã đơn; ","")&amp;IF(COUNTIF($A$2:$A4854,$A4854)&gt;1,"Trùng mã đơn; ","")&amp;IF(ISNA(MATCH($C4854,DATA_MASTER!$D$2:$D$5000,0)),"SĐT chưa đăng ký hội viên; ","")&amp;IF(AND($L4854="Đã chuyển khoản",$M4854=""),"Thiếu ngày nhận CK; ",""))</f>
        <v/>
      </c>
      <c r="T4854" s="24" t="n"/>
    </row>
    <row r="4855" ht="14.25" customHeight="1" s="40">
      <c r="A4855" s="24" t="n"/>
      <c r="B4855" s="29" t="n"/>
      <c r="C4855" s="28" t="n"/>
      <c r="D4855" s="22">
        <f t="array" ref="D4855">IF($C4855="","",IFERROR(INDEX(DATA_MASTER!$C$2:$C$5000,MATCH($C4855,DATA_MASTER!$D$2:$D$5000,0)),""))</f>
        <v/>
      </c>
      <c r="E4855" s="22">
        <f t="array" ref="E4855">IF($C4855="","",IFERROR(INDEX(DATA_MASTER!$I$2:$I$5000,MATCH($C4855,DATA_MASTER!$D$2:$D$5000,0)),""))</f>
        <v/>
      </c>
      <c r="F4855" s="22">
        <f t="array" ref="F4855">IF($C4855="","",IFERROR(INDEX(DATA_MASTER!$L$2:$L$5000,MATCH($C4855,DATA_MASTER!$D$2:$D$5000,0)),""))</f>
        <v/>
      </c>
      <c r="G4855" s="24" t="n"/>
      <c r="H4855" s="24" t="n"/>
      <c r="I4855" s="30" t="n"/>
      <c r="J4855" s="23">
        <f>IF(OR($H4855="",$I4855=""),"",$H4855*$I4855)</f>
        <v/>
      </c>
      <c r="K4855" s="24" t="n"/>
      <c r="L4855" s="24" t="n"/>
      <c r="M4855" s="29" t="n"/>
      <c r="N4855" s="28" t="n"/>
      <c r="O4855" s="24" t="n"/>
      <c r="P4855" s="24" t="n"/>
      <c r="Q4855" s="24" t="n"/>
      <c r="R4855" s="24" t="n"/>
      <c r="S4855" s="22">
        <f>IF(AND($A4855="",$C4855=""),"",IF($A4855="","Thiếu mã đơn; ","")&amp;IF(COUNTIF($A$2:$A4855,$A4855)&gt;1,"Trùng mã đơn; ","")&amp;IF(ISNA(MATCH($C4855,DATA_MASTER!$D$2:$D$5000,0)),"SĐT chưa đăng ký hội viên; ","")&amp;IF(AND($L4855="Đã chuyển khoản",$M4855=""),"Thiếu ngày nhận CK; ",""))</f>
        <v/>
      </c>
      <c r="T4855" s="24" t="n"/>
    </row>
    <row r="4856" ht="14.25" customHeight="1" s="40">
      <c r="A4856" s="24" t="n"/>
      <c r="B4856" s="29" t="n"/>
      <c r="C4856" s="28" t="n"/>
      <c r="D4856" s="22">
        <f t="array" ref="D4856">IF($C4856="","",IFERROR(INDEX(DATA_MASTER!$C$2:$C$5000,MATCH($C4856,DATA_MASTER!$D$2:$D$5000,0)),""))</f>
        <v/>
      </c>
      <c r="E4856" s="22">
        <f t="array" ref="E4856">IF($C4856="","",IFERROR(INDEX(DATA_MASTER!$I$2:$I$5000,MATCH($C4856,DATA_MASTER!$D$2:$D$5000,0)),""))</f>
        <v/>
      </c>
      <c r="F4856" s="22">
        <f t="array" ref="F4856">IF($C4856="","",IFERROR(INDEX(DATA_MASTER!$L$2:$L$5000,MATCH($C4856,DATA_MASTER!$D$2:$D$5000,0)),""))</f>
        <v/>
      </c>
      <c r="G4856" s="24" t="n"/>
      <c r="H4856" s="24" t="n"/>
      <c r="I4856" s="30" t="n"/>
      <c r="J4856" s="23">
        <f>IF(OR($H4856="",$I4856=""),"",$H4856*$I4856)</f>
        <v/>
      </c>
      <c r="K4856" s="24" t="n"/>
      <c r="L4856" s="24" t="n"/>
      <c r="M4856" s="29" t="n"/>
      <c r="N4856" s="28" t="n"/>
      <c r="O4856" s="24" t="n"/>
      <c r="P4856" s="24" t="n"/>
      <c r="Q4856" s="24" t="n"/>
      <c r="R4856" s="24" t="n"/>
      <c r="S4856" s="22">
        <f>IF(AND($A4856="",$C4856=""),"",IF($A4856="","Thiếu mã đơn; ","")&amp;IF(COUNTIF($A$2:$A4856,$A4856)&gt;1,"Trùng mã đơn; ","")&amp;IF(ISNA(MATCH($C4856,DATA_MASTER!$D$2:$D$5000,0)),"SĐT chưa đăng ký hội viên; ","")&amp;IF(AND($L4856="Đã chuyển khoản",$M4856=""),"Thiếu ngày nhận CK; ",""))</f>
        <v/>
      </c>
      <c r="T4856" s="24" t="n"/>
    </row>
    <row r="4857" ht="14.25" customHeight="1" s="40">
      <c r="A4857" s="24" t="n"/>
      <c r="B4857" s="29" t="n"/>
      <c r="C4857" s="28" t="n"/>
      <c r="D4857" s="22">
        <f t="array" ref="D4857">IF($C4857="","",IFERROR(INDEX(DATA_MASTER!$C$2:$C$5000,MATCH($C4857,DATA_MASTER!$D$2:$D$5000,0)),""))</f>
        <v/>
      </c>
      <c r="E4857" s="22">
        <f t="array" ref="E4857">IF($C4857="","",IFERROR(INDEX(DATA_MASTER!$I$2:$I$5000,MATCH($C4857,DATA_MASTER!$D$2:$D$5000,0)),""))</f>
        <v/>
      </c>
      <c r="F4857" s="22">
        <f t="array" ref="F4857">IF($C4857="","",IFERROR(INDEX(DATA_MASTER!$L$2:$L$5000,MATCH($C4857,DATA_MASTER!$D$2:$D$5000,0)),""))</f>
        <v/>
      </c>
      <c r="G4857" s="24" t="n"/>
      <c r="H4857" s="24" t="n"/>
      <c r="I4857" s="30" t="n"/>
      <c r="J4857" s="23">
        <f>IF(OR($H4857="",$I4857=""),"",$H4857*$I4857)</f>
        <v/>
      </c>
      <c r="K4857" s="24" t="n"/>
      <c r="L4857" s="24" t="n"/>
      <c r="M4857" s="29" t="n"/>
      <c r="N4857" s="28" t="n"/>
      <c r="O4857" s="24" t="n"/>
      <c r="P4857" s="24" t="n"/>
      <c r="Q4857" s="24" t="n"/>
      <c r="R4857" s="24" t="n"/>
      <c r="S4857" s="22">
        <f>IF(AND($A4857="",$C4857=""),"",IF($A4857="","Thiếu mã đơn; ","")&amp;IF(COUNTIF($A$2:$A4857,$A4857)&gt;1,"Trùng mã đơn; ","")&amp;IF(ISNA(MATCH($C4857,DATA_MASTER!$D$2:$D$5000,0)),"SĐT chưa đăng ký hội viên; ","")&amp;IF(AND($L4857="Đã chuyển khoản",$M4857=""),"Thiếu ngày nhận CK; ",""))</f>
        <v/>
      </c>
      <c r="T4857" s="24" t="n"/>
    </row>
    <row r="4858" ht="14.25" customHeight="1" s="40">
      <c r="A4858" s="24" t="n"/>
      <c r="B4858" s="29" t="n"/>
      <c r="C4858" s="28" t="n"/>
      <c r="D4858" s="22">
        <f t="array" ref="D4858">IF($C4858="","",IFERROR(INDEX(DATA_MASTER!$C$2:$C$5000,MATCH($C4858,DATA_MASTER!$D$2:$D$5000,0)),""))</f>
        <v/>
      </c>
      <c r="E4858" s="22">
        <f t="array" ref="E4858">IF($C4858="","",IFERROR(INDEX(DATA_MASTER!$I$2:$I$5000,MATCH($C4858,DATA_MASTER!$D$2:$D$5000,0)),""))</f>
        <v/>
      </c>
      <c r="F4858" s="22">
        <f t="array" ref="F4858">IF($C4858="","",IFERROR(INDEX(DATA_MASTER!$L$2:$L$5000,MATCH($C4858,DATA_MASTER!$D$2:$D$5000,0)),""))</f>
        <v/>
      </c>
      <c r="G4858" s="24" t="n"/>
      <c r="H4858" s="24" t="n"/>
      <c r="I4858" s="30" t="n"/>
      <c r="J4858" s="23">
        <f>IF(OR($H4858="",$I4858=""),"",$H4858*$I4858)</f>
        <v/>
      </c>
      <c r="K4858" s="24" t="n"/>
      <c r="L4858" s="24" t="n"/>
      <c r="M4858" s="29" t="n"/>
      <c r="N4858" s="28" t="n"/>
      <c r="O4858" s="24" t="n"/>
      <c r="P4858" s="24" t="n"/>
      <c r="Q4858" s="24" t="n"/>
      <c r="R4858" s="24" t="n"/>
      <c r="S4858" s="22">
        <f>IF(AND($A4858="",$C4858=""),"",IF($A4858="","Thiếu mã đơn; ","")&amp;IF(COUNTIF($A$2:$A4858,$A4858)&gt;1,"Trùng mã đơn; ","")&amp;IF(ISNA(MATCH($C4858,DATA_MASTER!$D$2:$D$5000,0)),"SĐT chưa đăng ký hội viên; ","")&amp;IF(AND($L4858="Đã chuyển khoản",$M4858=""),"Thiếu ngày nhận CK; ",""))</f>
        <v/>
      </c>
      <c r="T4858" s="24" t="n"/>
    </row>
    <row r="4859" ht="14.25" customHeight="1" s="40">
      <c r="A4859" s="24" t="n"/>
      <c r="B4859" s="29" t="n"/>
      <c r="C4859" s="28" t="n"/>
      <c r="D4859" s="22">
        <f t="array" ref="D4859">IF($C4859="","",IFERROR(INDEX(DATA_MASTER!$C$2:$C$5000,MATCH($C4859,DATA_MASTER!$D$2:$D$5000,0)),""))</f>
        <v/>
      </c>
      <c r="E4859" s="22">
        <f t="array" ref="E4859">IF($C4859="","",IFERROR(INDEX(DATA_MASTER!$I$2:$I$5000,MATCH($C4859,DATA_MASTER!$D$2:$D$5000,0)),""))</f>
        <v/>
      </c>
      <c r="F4859" s="22">
        <f t="array" ref="F4859">IF($C4859="","",IFERROR(INDEX(DATA_MASTER!$L$2:$L$5000,MATCH($C4859,DATA_MASTER!$D$2:$D$5000,0)),""))</f>
        <v/>
      </c>
      <c r="G4859" s="24" t="n"/>
      <c r="H4859" s="24" t="n"/>
      <c r="I4859" s="30" t="n"/>
      <c r="J4859" s="23">
        <f>IF(OR($H4859="",$I4859=""),"",$H4859*$I4859)</f>
        <v/>
      </c>
      <c r="K4859" s="24" t="n"/>
      <c r="L4859" s="24" t="n"/>
      <c r="M4859" s="29" t="n"/>
      <c r="N4859" s="28" t="n"/>
      <c r="O4859" s="24" t="n"/>
      <c r="P4859" s="24" t="n"/>
      <c r="Q4859" s="24" t="n"/>
      <c r="R4859" s="24" t="n"/>
      <c r="S4859" s="22">
        <f>IF(AND($A4859="",$C4859=""),"",IF($A4859="","Thiếu mã đơn; ","")&amp;IF(COUNTIF($A$2:$A4859,$A4859)&gt;1,"Trùng mã đơn; ","")&amp;IF(ISNA(MATCH($C4859,DATA_MASTER!$D$2:$D$5000,0)),"SĐT chưa đăng ký hội viên; ","")&amp;IF(AND($L4859="Đã chuyển khoản",$M4859=""),"Thiếu ngày nhận CK; ",""))</f>
        <v/>
      </c>
      <c r="T4859" s="24" t="n"/>
    </row>
    <row r="4860" ht="14.25" customHeight="1" s="40">
      <c r="A4860" s="24" t="n"/>
      <c r="B4860" s="29" t="n"/>
      <c r="C4860" s="28" t="n"/>
      <c r="D4860" s="22">
        <f t="array" ref="D4860">IF($C4860="","",IFERROR(INDEX(DATA_MASTER!$C$2:$C$5000,MATCH($C4860,DATA_MASTER!$D$2:$D$5000,0)),""))</f>
        <v/>
      </c>
      <c r="E4860" s="22">
        <f t="array" ref="E4860">IF($C4860="","",IFERROR(INDEX(DATA_MASTER!$I$2:$I$5000,MATCH($C4860,DATA_MASTER!$D$2:$D$5000,0)),""))</f>
        <v/>
      </c>
      <c r="F4860" s="22">
        <f t="array" ref="F4860">IF($C4860="","",IFERROR(INDEX(DATA_MASTER!$L$2:$L$5000,MATCH($C4860,DATA_MASTER!$D$2:$D$5000,0)),""))</f>
        <v/>
      </c>
      <c r="G4860" s="24" t="n"/>
      <c r="H4860" s="24" t="n"/>
      <c r="I4860" s="30" t="n"/>
      <c r="J4860" s="23">
        <f>IF(OR($H4860="",$I4860=""),"",$H4860*$I4860)</f>
        <v/>
      </c>
      <c r="K4860" s="24" t="n"/>
      <c r="L4860" s="24" t="n"/>
      <c r="M4860" s="29" t="n"/>
      <c r="N4860" s="28" t="n"/>
      <c r="O4860" s="24" t="n"/>
      <c r="P4860" s="24" t="n"/>
      <c r="Q4860" s="24" t="n"/>
      <c r="R4860" s="24" t="n"/>
      <c r="S4860" s="22">
        <f>IF(AND($A4860="",$C4860=""),"",IF($A4860="","Thiếu mã đơn; ","")&amp;IF(COUNTIF($A$2:$A4860,$A4860)&gt;1,"Trùng mã đơn; ","")&amp;IF(ISNA(MATCH($C4860,DATA_MASTER!$D$2:$D$5000,0)),"SĐT chưa đăng ký hội viên; ","")&amp;IF(AND($L4860="Đã chuyển khoản",$M4860=""),"Thiếu ngày nhận CK; ",""))</f>
        <v/>
      </c>
      <c r="T4860" s="24" t="n"/>
    </row>
    <row r="4861" ht="14.25" customHeight="1" s="40">
      <c r="A4861" s="24" t="n"/>
      <c r="B4861" s="29" t="n"/>
      <c r="C4861" s="28" t="n"/>
      <c r="D4861" s="22">
        <f t="array" ref="D4861">IF($C4861="","",IFERROR(INDEX(DATA_MASTER!$C$2:$C$5000,MATCH($C4861,DATA_MASTER!$D$2:$D$5000,0)),""))</f>
        <v/>
      </c>
      <c r="E4861" s="22">
        <f t="array" ref="E4861">IF($C4861="","",IFERROR(INDEX(DATA_MASTER!$I$2:$I$5000,MATCH($C4861,DATA_MASTER!$D$2:$D$5000,0)),""))</f>
        <v/>
      </c>
      <c r="F4861" s="22">
        <f t="array" ref="F4861">IF($C4861="","",IFERROR(INDEX(DATA_MASTER!$L$2:$L$5000,MATCH($C4861,DATA_MASTER!$D$2:$D$5000,0)),""))</f>
        <v/>
      </c>
      <c r="G4861" s="24" t="n"/>
      <c r="H4861" s="24" t="n"/>
      <c r="I4861" s="30" t="n"/>
      <c r="J4861" s="23">
        <f>IF(OR($H4861="",$I4861=""),"",$H4861*$I4861)</f>
        <v/>
      </c>
      <c r="K4861" s="24" t="n"/>
      <c r="L4861" s="24" t="n"/>
      <c r="M4861" s="29" t="n"/>
      <c r="N4861" s="28" t="n"/>
      <c r="O4861" s="24" t="n"/>
      <c r="P4861" s="24" t="n"/>
      <c r="Q4861" s="24" t="n"/>
      <c r="R4861" s="24" t="n"/>
      <c r="S4861" s="22">
        <f>IF(AND($A4861="",$C4861=""),"",IF($A4861="","Thiếu mã đơn; ","")&amp;IF(COUNTIF($A$2:$A4861,$A4861)&gt;1,"Trùng mã đơn; ","")&amp;IF(ISNA(MATCH($C4861,DATA_MASTER!$D$2:$D$5000,0)),"SĐT chưa đăng ký hội viên; ","")&amp;IF(AND($L4861="Đã chuyển khoản",$M4861=""),"Thiếu ngày nhận CK; ",""))</f>
        <v/>
      </c>
      <c r="T4861" s="24" t="n"/>
    </row>
    <row r="4862" ht="14.25" customHeight="1" s="40">
      <c r="A4862" s="24" t="n"/>
      <c r="B4862" s="29" t="n"/>
      <c r="C4862" s="28" t="n"/>
      <c r="D4862" s="22">
        <f t="array" ref="D4862">IF($C4862="","",IFERROR(INDEX(DATA_MASTER!$C$2:$C$5000,MATCH($C4862,DATA_MASTER!$D$2:$D$5000,0)),""))</f>
        <v/>
      </c>
      <c r="E4862" s="22">
        <f t="array" ref="E4862">IF($C4862="","",IFERROR(INDEX(DATA_MASTER!$I$2:$I$5000,MATCH($C4862,DATA_MASTER!$D$2:$D$5000,0)),""))</f>
        <v/>
      </c>
      <c r="F4862" s="22">
        <f t="array" ref="F4862">IF($C4862="","",IFERROR(INDEX(DATA_MASTER!$L$2:$L$5000,MATCH($C4862,DATA_MASTER!$D$2:$D$5000,0)),""))</f>
        <v/>
      </c>
      <c r="G4862" s="24" t="n"/>
      <c r="H4862" s="24" t="n"/>
      <c r="I4862" s="30" t="n"/>
      <c r="J4862" s="23">
        <f>IF(OR($H4862="",$I4862=""),"",$H4862*$I4862)</f>
        <v/>
      </c>
      <c r="K4862" s="24" t="n"/>
      <c r="L4862" s="24" t="n"/>
      <c r="M4862" s="29" t="n"/>
      <c r="N4862" s="28" t="n"/>
      <c r="O4862" s="24" t="n"/>
      <c r="P4862" s="24" t="n"/>
      <c r="Q4862" s="24" t="n"/>
      <c r="R4862" s="24" t="n"/>
      <c r="S4862" s="22">
        <f>IF(AND($A4862="",$C4862=""),"",IF($A4862="","Thiếu mã đơn; ","")&amp;IF(COUNTIF($A$2:$A4862,$A4862)&gt;1,"Trùng mã đơn; ","")&amp;IF(ISNA(MATCH($C4862,DATA_MASTER!$D$2:$D$5000,0)),"SĐT chưa đăng ký hội viên; ","")&amp;IF(AND($L4862="Đã chuyển khoản",$M4862=""),"Thiếu ngày nhận CK; ",""))</f>
        <v/>
      </c>
      <c r="T4862" s="24" t="n"/>
    </row>
    <row r="4863" ht="14.25" customHeight="1" s="40">
      <c r="A4863" s="24" t="n"/>
      <c r="B4863" s="29" t="n"/>
      <c r="C4863" s="28" t="n"/>
      <c r="D4863" s="22">
        <f t="array" ref="D4863">IF($C4863="","",IFERROR(INDEX(DATA_MASTER!$C$2:$C$5000,MATCH($C4863,DATA_MASTER!$D$2:$D$5000,0)),""))</f>
        <v/>
      </c>
      <c r="E4863" s="22">
        <f t="array" ref="E4863">IF($C4863="","",IFERROR(INDEX(DATA_MASTER!$I$2:$I$5000,MATCH($C4863,DATA_MASTER!$D$2:$D$5000,0)),""))</f>
        <v/>
      </c>
      <c r="F4863" s="22">
        <f t="array" ref="F4863">IF($C4863="","",IFERROR(INDEX(DATA_MASTER!$L$2:$L$5000,MATCH($C4863,DATA_MASTER!$D$2:$D$5000,0)),""))</f>
        <v/>
      </c>
      <c r="G4863" s="24" t="n"/>
      <c r="H4863" s="24" t="n"/>
      <c r="I4863" s="30" t="n"/>
      <c r="J4863" s="23">
        <f>IF(OR($H4863="",$I4863=""),"",$H4863*$I4863)</f>
        <v/>
      </c>
      <c r="K4863" s="24" t="n"/>
      <c r="L4863" s="24" t="n"/>
      <c r="M4863" s="29" t="n"/>
      <c r="N4863" s="28" t="n"/>
      <c r="O4863" s="24" t="n"/>
      <c r="P4863" s="24" t="n"/>
      <c r="Q4863" s="24" t="n"/>
      <c r="R4863" s="24" t="n"/>
      <c r="S4863" s="22">
        <f>IF(AND($A4863="",$C4863=""),"",IF($A4863="","Thiếu mã đơn; ","")&amp;IF(COUNTIF($A$2:$A4863,$A4863)&gt;1,"Trùng mã đơn; ","")&amp;IF(ISNA(MATCH($C4863,DATA_MASTER!$D$2:$D$5000,0)),"SĐT chưa đăng ký hội viên; ","")&amp;IF(AND($L4863="Đã chuyển khoản",$M4863=""),"Thiếu ngày nhận CK; ",""))</f>
        <v/>
      </c>
      <c r="T4863" s="24" t="n"/>
    </row>
    <row r="4864" ht="14.25" customHeight="1" s="40">
      <c r="A4864" s="24" t="n"/>
      <c r="B4864" s="29" t="n"/>
      <c r="C4864" s="28" t="n"/>
      <c r="D4864" s="22">
        <f t="array" ref="D4864">IF($C4864="","",IFERROR(INDEX(DATA_MASTER!$C$2:$C$5000,MATCH($C4864,DATA_MASTER!$D$2:$D$5000,0)),""))</f>
        <v/>
      </c>
      <c r="E4864" s="22">
        <f t="array" ref="E4864">IF($C4864="","",IFERROR(INDEX(DATA_MASTER!$I$2:$I$5000,MATCH($C4864,DATA_MASTER!$D$2:$D$5000,0)),""))</f>
        <v/>
      </c>
      <c r="F4864" s="22">
        <f t="array" ref="F4864">IF($C4864="","",IFERROR(INDEX(DATA_MASTER!$L$2:$L$5000,MATCH($C4864,DATA_MASTER!$D$2:$D$5000,0)),""))</f>
        <v/>
      </c>
      <c r="G4864" s="24" t="n"/>
      <c r="H4864" s="24" t="n"/>
      <c r="I4864" s="30" t="n"/>
      <c r="J4864" s="23">
        <f>IF(OR($H4864="",$I4864=""),"",$H4864*$I4864)</f>
        <v/>
      </c>
      <c r="K4864" s="24" t="n"/>
      <c r="L4864" s="24" t="n"/>
      <c r="M4864" s="29" t="n"/>
      <c r="N4864" s="28" t="n"/>
      <c r="O4864" s="24" t="n"/>
      <c r="P4864" s="24" t="n"/>
      <c r="Q4864" s="24" t="n"/>
      <c r="R4864" s="24" t="n"/>
      <c r="S4864" s="22">
        <f>IF(AND($A4864="",$C4864=""),"",IF($A4864="","Thiếu mã đơn; ","")&amp;IF(COUNTIF($A$2:$A4864,$A4864)&gt;1,"Trùng mã đơn; ","")&amp;IF(ISNA(MATCH($C4864,DATA_MASTER!$D$2:$D$5000,0)),"SĐT chưa đăng ký hội viên; ","")&amp;IF(AND($L4864="Đã chuyển khoản",$M4864=""),"Thiếu ngày nhận CK; ",""))</f>
        <v/>
      </c>
      <c r="T4864" s="24" t="n"/>
    </row>
    <row r="4865" ht="14.25" customHeight="1" s="40">
      <c r="A4865" s="24" t="n"/>
      <c r="B4865" s="29" t="n"/>
      <c r="C4865" s="28" t="n"/>
      <c r="D4865" s="22">
        <f t="array" ref="D4865">IF($C4865="","",IFERROR(INDEX(DATA_MASTER!$C$2:$C$5000,MATCH($C4865,DATA_MASTER!$D$2:$D$5000,0)),""))</f>
        <v/>
      </c>
      <c r="E4865" s="22">
        <f t="array" ref="E4865">IF($C4865="","",IFERROR(INDEX(DATA_MASTER!$I$2:$I$5000,MATCH($C4865,DATA_MASTER!$D$2:$D$5000,0)),""))</f>
        <v/>
      </c>
      <c r="F4865" s="22">
        <f t="array" ref="F4865">IF($C4865="","",IFERROR(INDEX(DATA_MASTER!$L$2:$L$5000,MATCH($C4865,DATA_MASTER!$D$2:$D$5000,0)),""))</f>
        <v/>
      </c>
      <c r="G4865" s="24" t="n"/>
      <c r="H4865" s="24" t="n"/>
      <c r="I4865" s="30" t="n"/>
      <c r="J4865" s="23">
        <f>IF(OR($H4865="",$I4865=""),"",$H4865*$I4865)</f>
        <v/>
      </c>
      <c r="K4865" s="24" t="n"/>
      <c r="L4865" s="24" t="n"/>
      <c r="M4865" s="29" t="n"/>
      <c r="N4865" s="28" t="n"/>
      <c r="O4865" s="24" t="n"/>
      <c r="P4865" s="24" t="n"/>
      <c r="Q4865" s="24" t="n"/>
      <c r="R4865" s="24" t="n"/>
      <c r="S4865" s="22">
        <f>IF(AND($A4865="",$C4865=""),"",IF($A4865="","Thiếu mã đơn; ","")&amp;IF(COUNTIF($A$2:$A4865,$A4865)&gt;1,"Trùng mã đơn; ","")&amp;IF(ISNA(MATCH($C4865,DATA_MASTER!$D$2:$D$5000,0)),"SĐT chưa đăng ký hội viên; ","")&amp;IF(AND($L4865="Đã chuyển khoản",$M4865=""),"Thiếu ngày nhận CK; ",""))</f>
        <v/>
      </c>
      <c r="T4865" s="24" t="n"/>
    </row>
    <row r="4866" ht="14.25" customHeight="1" s="40">
      <c r="A4866" s="24" t="n"/>
      <c r="B4866" s="29" t="n"/>
      <c r="C4866" s="28" t="n"/>
      <c r="D4866" s="22">
        <f t="array" ref="D4866">IF($C4866="","",IFERROR(INDEX(DATA_MASTER!$C$2:$C$5000,MATCH($C4866,DATA_MASTER!$D$2:$D$5000,0)),""))</f>
        <v/>
      </c>
      <c r="E4866" s="22">
        <f t="array" ref="E4866">IF($C4866="","",IFERROR(INDEX(DATA_MASTER!$I$2:$I$5000,MATCH($C4866,DATA_MASTER!$D$2:$D$5000,0)),""))</f>
        <v/>
      </c>
      <c r="F4866" s="22">
        <f t="array" ref="F4866">IF($C4866="","",IFERROR(INDEX(DATA_MASTER!$L$2:$L$5000,MATCH($C4866,DATA_MASTER!$D$2:$D$5000,0)),""))</f>
        <v/>
      </c>
      <c r="G4866" s="24" t="n"/>
      <c r="H4866" s="24" t="n"/>
      <c r="I4866" s="30" t="n"/>
      <c r="J4866" s="23">
        <f>IF(OR($H4866="",$I4866=""),"",$H4866*$I4866)</f>
        <v/>
      </c>
      <c r="K4866" s="24" t="n"/>
      <c r="L4866" s="24" t="n"/>
      <c r="M4866" s="29" t="n"/>
      <c r="N4866" s="28" t="n"/>
      <c r="O4866" s="24" t="n"/>
      <c r="P4866" s="24" t="n"/>
      <c r="Q4866" s="24" t="n"/>
      <c r="R4866" s="24" t="n"/>
      <c r="S4866" s="22">
        <f>IF(AND($A4866="",$C4866=""),"",IF($A4866="","Thiếu mã đơn; ","")&amp;IF(COUNTIF($A$2:$A4866,$A4866)&gt;1,"Trùng mã đơn; ","")&amp;IF(ISNA(MATCH($C4866,DATA_MASTER!$D$2:$D$5000,0)),"SĐT chưa đăng ký hội viên; ","")&amp;IF(AND($L4866="Đã chuyển khoản",$M4866=""),"Thiếu ngày nhận CK; ",""))</f>
        <v/>
      </c>
      <c r="T4866" s="24" t="n"/>
    </row>
    <row r="4867" ht="14.25" customHeight="1" s="40">
      <c r="A4867" s="24" t="n"/>
      <c r="B4867" s="29" t="n"/>
      <c r="C4867" s="28" t="n"/>
      <c r="D4867" s="22">
        <f t="array" ref="D4867">IF($C4867="","",IFERROR(INDEX(DATA_MASTER!$C$2:$C$5000,MATCH($C4867,DATA_MASTER!$D$2:$D$5000,0)),""))</f>
        <v/>
      </c>
      <c r="E4867" s="22">
        <f t="array" ref="E4867">IF($C4867="","",IFERROR(INDEX(DATA_MASTER!$I$2:$I$5000,MATCH($C4867,DATA_MASTER!$D$2:$D$5000,0)),""))</f>
        <v/>
      </c>
      <c r="F4867" s="22">
        <f t="array" ref="F4867">IF($C4867="","",IFERROR(INDEX(DATA_MASTER!$L$2:$L$5000,MATCH($C4867,DATA_MASTER!$D$2:$D$5000,0)),""))</f>
        <v/>
      </c>
      <c r="G4867" s="24" t="n"/>
      <c r="H4867" s="24" t="n"/>
      <c r="I4867" s="30" t="n"/>
      <c r="J4867" s="23">
        <f>IF(OR($H4867="",$I4867=""),"",$H4867*$I4867)</f>
        <v/>
      </c>
      <c r="K4867" s="24" t="n"/>
      <c r="L4867" s="24" t="n"/>
      <c r="M4867" s="29" t="n"/>
      <c r="N4867" s="28" t="n"/>
      <c r="O4867" s="24" t="n"/>
      <c r="P4867" s="24" t="n"/>
      <c r="Q4867" s="24" t="n"/>
      <c r="R4867" s="24" t="n"/>
      <c r="S4867" s="22">
        <f>IF(AND($A4867="",$C4867=""),"",IF($A4867="","Thiếu mã đơn; ","")&amp;IF(COUNTIF($A$2:$A4867,$A4867)&gt;1,"Trùng mã đơn; ","")&amp;IF(ISNA(MATCH($C4867,DATA_MASTER!$D$2:$D$5000,0)),"SĐT chưa đăng ký hội viên; ","")&amp;IF(AND($L4867="Đã chuyển khoản",$M4867=""),"Thiếu ngày nhận CK; ",""))</f>
        <v/>
      </c>
      <c r="T4867" s="24" t="n"/>
    </row>
    <row r="4868" ht="14.25" customHeight="1" s="40">
      <c r="A4868" s="24" t="n"/>
      <c r="B4868" s="29" t="n"/>
      <c r="C4868" s="28" t="n"/>
      <c r="D4868" s="22">
        <f t="array" ref="D4868">IF($C4868="","",IFERROR(INDEX(DATA_MASTER!$C$2:$C$5000,MATCH($C4868,DATA_MASTER!$D$2:$D$5000,0)),""))</f>
        <v/>
      </c>
      <c r="E4868" s="22">
        <f t="array" ref="E4868">IF($C4868="","",IFERROR(INDEX(DATA_MASTER!$I$2:$I$5000,MATCH($C4868,DATA_MASTER!$D$2:$D$5000,0)),""))</f>
        <v/>
      </c>
      <c r="F4868" s="22">
        <f t="array" ref="F4868">IF($C4868="","",IFERROR(INDEX(DATA_MASTER!$L$2:$L$5000,MATCH($C4868,DATA_MASTER!$D$2:$D$5000,0)),""))</f>
        <v/>
      </c>
      <c r="G4868" s="24" t="n"/>
      <c r="H4868" s="24" t="n"/>
      <c r="I4868" s="30" t="n"/>
      <c r="J4868" s="23">
        <f>IF(OR($H4868="",$I4868=""),"",$H4868*$I4868)</f>
        <v/>
      </c>
      <c r="K4868" s="24" t="n"/>
      <c r="L4868" s="24" t="n"/>
      <c r="M4868" s="29" t="n"/>
      <c r="N4868" s="28" t="n"/>
      <c r="O4868" s="24" t="n"/>
      <c r="P4868" s="24" t="n"/>
      <c r="Q4868" s="24" t="n"/>
      <c r="R4868" s="24" t="n"/>
      <c r="S4868" s="22">
        <f>IF(AND($A4868="",$C4868=""),"",IF($A4868="","Thiếu mã đơn; ","")&amp;IF(COUNTIF($A$2:$A4868,$A4868)&gt;1,"Trùng mã đơn; ","")&amp;IF(ISNA(MATCH($C4868,DATA_MASTER!$D$2:$D$5000,0)),"SĐT chưa đăng ký hội viên; ","")&amp;IF(AND($L4868="Đã chuyển khoản",$M4868=""),"Thiếu ngày nhận CK; ",""))</f>
        <v/>
      </c>
      <c r="T4868" s="24" t="n"/>
    </row>
    <row r="4869" ht="14.25" customHeight="1" s="40">
      <c r="A4869" s="24" t="n"/>
      <c r="B4869" s="29" t="n"/>
      <c r="C4869" s="28" t="n"/>
      <c r="D4869" s="22">
        <f t="array" ref="D4869">IF($C4869="","",IFERROR(INDEX(DATA_MASTER!$C$2:$C$5000,MATCH($C4869,DATA_MASTER!$D$2:$D$5000,0)),""))</f>
        <v/>
      </c>
      <c r="E4869" s="22">
        <f t="array" ref="E4869">IF($C4869="","",IFERROR(INDEX(DATA_MASTER!$I$2:$I$5000,MATCH($C4869,DATA_MASTER!$D$2:$D$5000,0)),""))</f>
        <v/>
      </c>
      <c r="F4869" s="22">
        <f t="array" ref="F4869">IF($C4869="","",IFERROR(INDEX(DATA_MASTER!$L$2:$L$5000,MATCH($C4869,DATA_MASTER!$D$2:$D$5000,0)),""))</f>
        <v/>
      </c>
      <c r="G4869" s="24" t="n"/>
      <c r="H4869" s="24" t="n"/>
      <c r="I4869" s="30" t="n"/>
      <c r="J4869" s="23">
        <f>IF(OR($H4869="",$I4869=""),"",$H4869*$I4869)</f>
        <v/>
      </c>
      <c r="K4869" s="24" t="n"/>
      <c r="L4869" s="24" t="n"/>
      <c r="M4869" s="29" t="n"/>
      <c r="N4869" s="28" t="n"/>
      <c r="O4869" s="24" t="n"/>
      <c r="P4869" s="24" t="n"/>
      <c r="Q4869" s="24" t="n"/>
      <c r="R4869" s="24" t="n"/>
      <c r="S4869" s="22">
        <f>IF(AND($A4869="",$C4869=""),"",IF($A4869="","Thiếu mã đơn; ","")&amp;IF(COUNTIF($A$2:$A4869,$A4869)&gt;1,"Trùng mã đơn; ","")&amp;IF(ISNA(MATCH($C4869,DATA_MASTER!$D$2:$D$5000,0)),"SĐT chưa đăng ký hội viên; ","")&amp;IF(AND($L4869="Đã chuyển khoản",$M4869=""),"Thiếu ngày nhận CK; ",""))</f>
        <v/>
      </c>
      <c r="T4869" s="24" t="n"/>
    </row>
    <row r="4870" ht="14.25" customHeight="1" s="40">
      <c r="A4870" s="24" t="n"/>
      <c r="B4870" s="29" t="n"/>
      <c r="C4870" s="28" t="n"/>
      <c r="D4870" s="22">
        <f t="array" ref="D4870">IF($C4870="","",IFERROR(INDEX(DATA_MASTER!$C$2:$C$5000,MATCH($C4870,DATA_MASTER!$D$2:$D$5000,0)),""))</f>
        <v/>
      </c>
      <c r="E4870" s="22">
        <f t="array" ref="E4870">IF($C4870="","",IFERROR(INDEX(DATA_MASTER!$I$2:$I$5000,MATCH($C4870,DATA_MASTER!$D$2:$D$5000,0)),""))</f>
        <v/>
      </c>
      <c r="F4870" s="22">
        <f t="array" ref="F4870">IF($C4870="","",IFERROR(INDEX(DATA_MASTER!$L$2:$L$5000,MATCH($C4870,DATA_MASTER!$D$2:$D$5000,0)),""))</f>
        <v/>
      </c>
      <c r="G4870" s="24" t="n"/>
      <c r="H4870" s="24" t="n"/>
      <c r="I4870" s="30" t="n"/>
      <c r="J4870" s="23">
        <f>IF(OR($H4870="",$I4870=""),"",$H4870*$I4870)</f>
        <v/>
      </c>
      <c r="K4870" s="24" t="n"/>
      <c r="L4870" s="24" t="n"/>
      <c r="M4870" s="29" t="n"/>
      <c r="N4870" s="28" t="n"/>
      <c r="O4870" s="24" t="n"/>
      <c r="P4870" s="24" t="n"/>
      <c r="Q4870" s="24" t="n"/>
      <c r="R4870" s="24" t="n"/>
      <c r="S4870" s="22">
        <f>IF(AND($A4870="",$C4870=""),"",IF($A4870="","Thiếu mã đơn; ","")&amp;IF(COUNTIF($A$2:$A4870,$A4870)&gt;1,"Trùng mã đơn; ","")&amp;IF(ISNA(MATCH($C4870,DATA_MASTER!$D$2:$D$5000,0)),"SĐT chưa đăng ký hội viên; ","")&amp;IF(AND($L4870="Đã chuyển khoản",$M4870=""),"Thiếu ngày nhận CK; ",""))</f>
        <v/>
      </c>
      <c r="T4870" s="24" t="n"/>
    </row>
    <row r="4871" ht="14.25" customHeight="1" s="40">
      <c r="A4871" s="24" t="n"/>
      <c r="B4871" s="29" t="n"/>
      <c r="C4871" s="28" t="n"/>
      <c r="D4871" s="22">
        <f t="array" ref="D4871">IF($C4871="","",IFERROR(INDEX(DATA_MASTER!$C$2:$C$5000,MATCH($C4871,DATA_MASTER!$D$2:$D$5000,0)),""))</f>
        <v/>
      </c>
      <c r="E4871" s="22">
        <f t="array" ref="E4871">IF($C4871="","",IFERROR(INDEX(DATA_MASTER!$I$2:$I$5000,MATCH($C4871,DATA_MASTER!$D$2:$D$5000,0)),""))</f>
        <v/>
      </c>
      <c r="F4871" s="22">
        <f t="array" ref="F4871">IF($C4871="","",IFERROR(INDEX(DATA_MASTER!$L$2:$L$5000,MATCH($C4871,DATA_MASTER!$D$2:$D$5000,0)),""))</f>
        <v/>
      </c>
      <c r="G4871" s="24" t="n"/>
      <c r="H4871" s="24" t="n"/>
      <c r="I4871" s="30" t="n"/>
      <c r="J4871" s="23">
        <f>IF(OR($H4871="",$I4871=""),"",$H4871*$I4871)</f>
        <v/>
      </c>
      <c r="K4871" s="24" t="n"/>
      <c r="L4871" s="24" t="n"/>
      <c r="M4871" s="29" t="n"/>
      <c r="N4871" s="28" t="n"/>
      <c r="O4871" s="24" t="n"/>
      <c r="P4871" s="24" t="n"/>
      <c r="Q4871" s="24" t="n"/>
      <c r="R4871" s="24" t="n"/>
      <c r="S4871" s="22">
        <f>IF(AND($A4871="",$C4871=""),"",IF($A4871="","Thiếu mã đơn; ","")&amp;IF(COUNTIF($A$2:$A4871,$A4871)&gt;1,"Trùng mã đơn; ","")&amp;IF(ISNA(MATCH($C4871,DATA_MASTER!$D$2:$D$5000,0)),"SĐT chưa đăng ký hội viên; ","")&amp;IF(AND($L4871="Đã chuyển khoản",$M4871=""),"Thiếu ngày nhận CK; ",""))</f>
        <v/>
      </c>
      <c r="T4871" s="24" t="n"/>
    </row>
    <row r="4872" ht="14.25" customHeight="1" s="40">
      <c r="A4872" s="24" t="n"/>
      <c r="B4872" s="29" t="n"/>
      <c r="C4872" s="28" t="n"/>
      <c r="D4872" s="22">
        <f t="array" ref="D4872">IF($C4872="","",IFERROR(INDEX(DATA_MASTER!$C$2:$C$5000,MATCH($C4872,DATA_MASTER!$D$2:$D$5000,0)),""))</f>
        <v/>
      </c>
      <c r="E4872" s="22">
        <f t="array" ref="E4872">IF($C4872="","",IFERROR(INDEX(DATA_MASTER!$I$2:$I$5000,MATCH($C4872,DATA_MASTER!$D$2:$D$5000,0)),""))</f>
        <v/>
      </c>
      <c r="F4872" s="22">
        <f t="array" ref="F4872">IF($C4872="","",IFERROR(INDEX(DATA_MASTER!$L$2:$L$5000,MATCH($C4872,DATA_MASTER!$D$2:$D$5000,0)),""))</f>
        <v/>
      </c>
      <c r="G4872" s="24" t="n"/>
      <c r="H4872" s="24" t="n"/>
      <c r="I4872" s="30" t="n"/>
      <c r="J4872" s="23">
        <f>IF(OR($H4872="",$I4872=""),"",$H4872*$I4872)</f>
        <v/>
      </c>
      <c r="K4872" s="24" t="n"/>
      <c r="L4872" s="24" t="n"/>
      <c r="M4872" s="29" t="n"/>
      <c r="N4872" s="28" t="n"/>
      <c r="O4872" s="24" t="n"/>
      <c r="P4872" s="24" t="n"/>
      <c r="Q4872" s="24" t="n"/>
      <c r="R4872" s="24" t="n"/>
      <c r="S4872" s="22">
        <f>IF(AND($A4872="",$C4872=""),"",IF($A4872="","Thiếu mã đơn; ","")&amp;IF(COUNTIF($A$2:$A4872,$A4872)&gt;1,"Trùng mã đơn; ","")&amp;IF(ISNA(MATCH($C4872,DATA_MASTER!$D$2:$D$5000,0)),"SĐT chưa đăng ký hội viên; ","")&amp;IF(AND($L4872="Đã chuyển khoản",$M4872=""),"Thiếu ngày nhận CK; ",""))</f>
        <v/>
      </c>
      <c r="T4872" s="24" t="n"/>
    </row>
    <row r="4873" ht="14.25" customHeight="1" s="40">
      <c r="A4873" s="24" t="n"/>
      <c r="B4873" s="29" t="n"/>
      <c r="C4873" s="28" t="n"/>
      <c r="D4873" s="22">
        <f t="array" ref="D4873">IF($C4873="","",IFERROR(INDEX(DATA_MASTER!$C$2:$C$5000,MATCH($C4873,DATA_MASTER!$D$2:$D$5000,0)),""))</f>
        <v/>
      </c>
      <c r="E4873" s="22">
        <f t="array" ref="E4873">IF($C4873="","",IFERROR(INDEX(DATA_MASTER!$I$2:$I$5000,MATCH($C4873,DATA_MASTER!$D$2:$D$5000,0)),""))</f>
        <v/>
      </c>
      <c r="F4873" s="22">
        <f t="array" ref="F4873">IF($C4873="","",IFERROR(INDEX(DATA_MASTER!$L$2:$L$5000,MATCH($C4873,DATA_MASTER!$D$2:$D$5000,0)),""))</f>
        <v/>
      </c>
      <c r="G4873" s="24" t="n"/>
      <c r="H4873" s="24" t="n"/>
      <c r="I4873" s="30" t="n"/>
      <c r="J4873" s="23">
        <f>IF(OR($H4873="",$I4873=""),"",$H4873*$I4873)</f>
        <v/>
      </c>
      <c r="K4873" s="24" t="n"/>
      <c r="L4873" s="24" t="n"/>
      <c r="M4873" s="29" t="n"/>
      <c r="N4873" s="28" t="n"/>
      <c r="O4873" s="24" t="n"/>
      <c r="P4873" s="24" t="n"/>
      <c r="Q4873" s="24" t="n"/>
      <c r="R4873" s="24" t="n"/>
      <c r="S4873" s="22">
        <f>IF(AND($A4873="",$C4873=""),"",IF($A4873="","Thiếu mã đơn; ","")&amp;IF(COUNTIF($A$2:$A4873,$A4873)&gt;1,"Trùng mã đơn; ","")&amp;IF(ISNA(MATCH($C4873,DATA_MASTER!$D$2:$D$5000,0)),"SĐT chưa đăng ký hội viên; ","")&amp;IF(AND($L4873="Đã chuyển khoản",$M4873=""),"Thiếu ngày nhận CK; ",""))</f>
        <v/>
      </c>
      <c r="T4873" s="24" t="n"/>
    </row>
    <row r="4874" ht="14.25" customHeight="1" s="40">
      <c r="A4874" s="24" t="n"/>
      <c r="B4874" s="29" t="n"/>
      <c r="C4874" s="28" t="n"/>
      <c r="D4874" s="22">
        <f t="array" ref="D4874">IF($C4874="","",IFERROR(INDEX(DATA_MASTER!$C$2:$C$5000,MATCH($C4874,DATA_MASTER!$D$2:$D$5000,0)),""))</f>
        <v/>
      </c>
      <c r="E4874" s="22">
        <f t="array" ref="E4874">IF($C4874="","",IFERROR(INDEX(DATA_MASTER!$I$2:$I$5000,MATCH($C4874,DATA_MASTER!$D$2:$D$5000,0)),""))</f>
        <v/>
      </c>
      <c r="F4874" s="22">
        <f t="array" ref="F4874">IF($C4874="","",IFERROR(INDEX(DATA_MASTER!$L$2:$L$5000,MATCH($C4874,DATA_MASTER!$D$2:$D$5000,0)),""))</f>
        <v/>
      </c>
      <c r="G4874" s="24" t="n"/>
      <c r="H4874" s="24" t="n"/>
      <c r="I4874" s="30" t="n"/>
      <c r="J4874" s="23">
        <f>IF(OR($H4874="",$I4874=""),"",$H4874*$I4874)</f>
        <v/>
      </c>
      <c r="K4874" s="24" t="n"/>
      <c r="L4874" s="24" t="n"/>
      <c r="M4874" s="29" t="n"/>
      <c r="N4874" s="28" t="n"/>
      <c r="O4874" s="24" t="n"/>
      <c r="P4874" s="24" t="n"/>
      <c r="Q4874" s="24" t="n"/>
      <c r="R4874" s="24" t="n"/>
      <c r="S4874" s="22">
        <f>IF(AND($A4874="",$C4874=""),"",IF($A4874="","Thiếu mã đơn; ","")&amp;IF(COUNTIF($A$2:$A4874,$A4874)&gt;1,"Trùng mã đơn; ","")&amp;IF(ISNA(MATCH($C4874,DATA_MASTER!$D$2:$D$5000,0)),"SĐT chưa đăng ký hội viên; ","")&amp;IF(AND($L4874="Đã chuyển khoản",$M4874=""),"Thiếu ngày nhận CK; ",""))</f>
        <v/>
      </c>
      <c r="T4874" s="24" t="n"/>
    </row>
    <row r="4875" ht="14.25" customHeight="1" s="40">
      <c r="A4875" s="24" t="n"/>
      <c r="B4875" s="29" t="n"/>
      <c r="C4875" s="28" t="n"/>
      <c r="D4875" s="22">
        <f t="array" ref="D4875">IF($C4875="","",IFERROR(INDEX(DATA_MASTER!$C$2:$C$5000,MATCH($C4875,DATA_MASTER!$D$2:$D$5000,0)),""))</f>
        <v/>
      </c>
      <c r="E4875" s="22">
        <f t="array" ref="E4875">IF($C4875="","",IFERROR(INDEX(DATA_MASTER!$I$2:$I$5000,MATCH($C4875,DATA_MASTER!$D$2:$D$5000,0)),""))</f>
        <v/>
      </c>
      <c r="F4875" s="22">
        <f t="array" ref="F4875">IF($C4875="","",IFERROR(INDEX(DATA_MASTER!$L$2:$L$5000,MATCH($C4875,DATA_MASTER!$D$2:$D$5000,0)),""))</f>
        <v/>
      </c>
      <c r="G4875" s="24" t="n"/>
      <c r="H4875" s="24" t="n"/>
      <c r="I4875" s="30" t="n"/>
      <c r="J4875" s="23">
        <f>IF(OR($H4875="",$I4875=""),"",$H4875*$I4875)</f>
        <v/>
      </c>
      <c r="K4875" s="24" t="n"/>
      <c r="L4875" s="24" t="n"/>
      <c r="M4875" s="29" t="n"/>
      <c r="N4875" s="28" t="n"/>
      <c r="O4875" s="24" t="n"/>
      <c r="P4875" s="24" t="n"/>
      <c r="Q4875" s="24" t="n"/>
      <c r="R4875" s="24" t="n"/>
      <c r="S4875" s="22">
        <f>IF(AND($A4875="",$C4875=""),"",IF($A4875="","Thiếu mã đơn; ","")&amp;IF(COUNTIF($A$2:$A4875,$A4875)&gt;1,"Trùng mã đơn; ","")&amp;IF(ISNA(MATCH($C4875,DATA_MASTER!$D$2:$D$5000,0)),"SĐT chưa đăng ký hội viên; ","")&amp;IF(AND($L4875="Đã chuyển khoản",$M4875=""),"Thiếu ngày nhận CK; ",""))</f>
        <v/>
      </c>
      <c r="T4875" s="24" t="n"/>
    </row>
    <row r="4876" ht="14.25" customHeight="1" s="40">
      <c r="A4876" s="24" t="n"/>
      <c r="B4876" s="29" t="n"/>
      <c r="C4876" s="28" t="n"/>
      <c r="D4876" s="22">
        <f t="array" ref="D4876">IF($C4876="","",IFERROR(INDEX(DATA_MASTER!$C$2:$C$5000,MATCH($C4876,DATA_MASTER!$D$2:$D$5000,0)),""))</f>
        <v/>
      </c>
      <c r="E4876" s="22">
        <f t="array" ref="E4876">IF($C4876="","",IFERROR(INDEX(DATA_MASTER!$I$2:$I$5000,MATCH($C4876,DATA_MASTER!$D$2:$D$5000,0)),""))</f>
        <v/>
      </c>
      <c r="F4876" s="22">
        <f t="array" ref="F4876">IF($C4876="","",IFERROR(INDEX(DATA_MASTER!$L$2:$L$5000,MATCH($C4876,DATA_MASTER!$D$2:$D$5000,0)),""))</f>
        <v/>
      </c>
      <c r="G4876" s="24" t="n"/>
      <c r="H4876" s="24" t="n"/>
      <c r="I4876" s="30" t="n"/>
      <c r="J4876" s="23">
        <f>IF(OR($H4876="",$I4876=""),"",$H4876*$I4876)</f>
        <v/>
      </c>
      <c r="K4876" s="24" t="n"/>
      <c r="L4876" s="24" t="n"/>
      <c r="M4876" s="29" t="n"/>
      <c r="N4876" s="28" t="n"/>
      <c r="O4876" s="24" t="n"/>
      <c r="P4876" s="24" t="n"/>
      <c r="Q4876" s="24" t="n"/>
      <c r="R4876" s="24" t="n"/>
      <c r="S4876" s="22">
        <f>IF(AND($A4876="",$C4876=""),"",IF($A4876="","Thiếu mã đơn; ","")&amp;IF(COUNTIF($A$2:$A4876,$A4876)&gt;1,"Trùng mã đơn; ","")&amp;IF(ISNA(MATCH($C4876,DATA_MASTER!$D$2:$D$5000,0)),"SĐT chưa đăng ký hội viên; ","")&amp;IF(AND($L4876="Đã chuyển khoản",$M4876=""),"Thiếu ngày nhận CK; ",""))</f>
        <v/>
      </c>
      <c r="T4876" s="24" t="n"/>
    </row>
    <row r="4877" ht="14.25" customHeight="1" s="40">
      <c r="A4877" s="24" t="n"/>
      <c r="B4877" s="29" t="n"/>
      <c r="C4877" s="28" t="n"/>
      <c r="D4877" s="22">
        <f t="array" ref="D4877">IF($C4877="","",IFERROR(INDEX(DATA_MASTER!$C$2:$C$5000,MATCH($C4877,DATA_MASTER!$D$2:$D$5000,0)),""))</f>
        <v/>
      </c>
      <c r="E4877" s="22">
        <f t="array" ref="E4877">IF($C4877="","",IFERROR(INDEX(DATA_MASTER!$I$2:$I$5000,MATCH($C4877,DATA_MASTER!$D$2:$D$5000,0)),""))</f>
        <v/>
      </c>
      <c r="F4877" s="22">
        <f t="array" ref="F4877">IF($C4877="","",IFERROR(INDEX(DATA_MASTER!$L$2:$L$5000,MATCH($C4877,DATA_MASTER!$D$2:$D$5000,0)),""))</f>
        <v/>
      </c>
      <c r="G4877" s="24" t="n"/>
      <c r="H4877" s="24" t="n"/>
      <c r="I4877" s="30" t="n"/>
      <c r="J4877" s="23">
        <f>IF(OR($H4877="",$I4877=""),"",$H4877*$I4877)</f>
        <v/>
      </c>
      <c r="K4877" s="24" t="n"/>
      <c r="L4877" s="24" t="n"/>
      <c r="M4877" s="29" t="n"/>
      <c r="N4877" s="28" t="n"/>
      <c r="O4877" s="24" t="n"/>
      <c r="P4877" s="24" t="n"/>
      <c r="Q4877" s="24" t="n"/>
      <c r="R4877" s="24" t="n"/>
      <c r="S4877" s="22">
        <f>IF(AND($A4877="",$C4877=""),"",IF($A4877="","Thiếu mã đơn; ","")&amp;IF(COUNTIF($A$2:$A4877,$A4877)&gt;1,"Trùng mã đơn; ","")&amp;IF(ISNA(MATCH($C4877,DATA_MASTER!$D$2:$D$5000,0)),"SĐT chưa đăng ký hội viên; ","")&amp;IF(AND($L4877="Đã chuyển khoản",$M4877=""),"Thiếu ngày nhận CK; ",""))</f>
        <v/>
      </c>
      <c r="T4877" s="24" t="n"/>
    </row>
    <row r="4878" ht="14.25" customHeight="1" s="40">
      <c r="A4878" s="24" t="n"/>
      <c r="B4878" s="29" t="n"/>
      <c r="C4878" s="28" t="n"/>
      <c r="D4878" s="22">
        <f t="array" ref="D4878">IF($C4878="","",IFERROR(INDEX(DATA_MASTER!$C$2:$C$5000,MATCH($C4878,DATA_MASTER!$D$2:$D$5000,0)),""))</f>
        <v/>
      </c>
      <c r="E4878" s="22">
        <f t="array" ref="E4878">IF($C4878="","",IFERROR(INDEX(DATA_MASTER!$I$2:$I$5000,MATCH($C4878,DATA_MASTER!$D$2:$D$5000,0)),""))</f>
        <v/>
      </c>
      <c r="F4878" s="22">
        <f t="array" ref="F4878">IF($C4878="","",IFERROR(INDEX(DATA_MASTER!$L$2:$L$5000,MATCH($C4878,DATA_MASTER!$D$2:$D$5000,0)),""))</f>
        <v/>
      </c>
      <c r="G4878" s="24" t="n"/>
      <c r="H4878" s="24" t="n"/>
      <c r="I4878" s="30" t="n"/>
      <c r="J4878" s="23">
        <f>IF(OR($H4878="",$I4878=""),"",$H4878*$I4878)</f>
        <v/>
      </c>
      <c r="K4878" s="24" t="n"/>
      <c r="L4878" s="24" t="n"/>
      <c r="M4878" s="29" t="n"/>
      <c r="N4878" s="28" t="n"/>
      <c r="O4878" s="24" t="n"/>
      <c r="P4878" s="24" t="n"/>
      <c r="Q4878" s="24" t="n"/>
      <c r="R4878" s="24" t="n"/>
      <c r="S4878" s="22">
        <f>IF(AND($A4878="",$C4878=""),"",IF($A4878="","Thiếu mã đơn; ","")&amp;IF(COUNTIF($A$2:$A4878,$A4878)&gt;1,"Trùng mã đơn; ","")&amp;IF(ISNA(MATCH($C4878,DATA_MASTER!$D$2:$D$5000,0)),"SĐT chưa đăng ký hội viên; ","")&amp;IF(AND($L4878="Đã chuyển khoản",$M4878=""),"Thiếu ngày nhận CK; ",""))</f>
        <v/>
      </c>
      <c r="T4878" s="24" t="n"/>
    </row>
    <row r="4879" ht="14.25" customHeight="1" s="40">
      <c r="A4879" s="24" t="n"/>
      <c r="B4879" s="29" t="n"/>
      <c r="C4879" s="28" t="n"/>
      <c r="D4879" s="22">
        <f t="array" ref="D4879">IF($C4879="","",IFERROR(INDEX(DATA_MASTER!$C$2:$C$5000,MATCH($C4879,DATA_MASTER!$D$2:$D$5000,0)),""))</f>
        <v/>
      </c>
      <c r="E4879" s="22">
        <f t="array" ref="E4879">IF($C4879="","",IFERROR(INDEX(DATA_MASTER!$I$2:$I$5000,MATCH($C4879,DATA_MASTER!$D$2:$D$5000,0)),""))</f>
        <v/>
      </c>
      <c r="F4879" s="22">
        <f t="array" ref="F4879">IF($C4879="","",IFERROR(INDEX(DATA_MASTER!$L$2:$L$5000,MATCH($C4879,DATA_MASTER!$D$2:$D$5000,0)),""))</f>
        <v/>
      </c>
      <c r="G4879" s="24" t="n"/>
      <c r="H4879" s="24" t="n"/>
      <c r="I4879" s="30" t="n"/>
      <c r="J4879" s="23">
        <f>IF(OR($H4879="",$I4879=""),"",$H4879*$I4879)</f>
        <v/>
      </c>
      <c r="K4879" s="24" t="n"/>
      <c r="L4879" s="24" t="n"/>
      <c r="M4879" s="29" t="n"/>
      <c r="N4879" s="28" t="n"/>
      <c r="O4879" s="24" t="n"/>
      <c r="P4879" s="24" t="n"/>
      <c r="Q4879" s="24" t="n"/>
      <c r="R4879" s="24" t="n"/>
      <c r="S4879" s="22">
        <f>IF(AND($A4879="",$C4879=""),"",IF($A4879="","Thiếu mã đơn; ","")&amp;IF(COUNTIF($A$2:$A4879,$A4879)&gt;1,"Trùng mã đơn; ","")&amp;IF(ISNA(MATCH($C4879,DATA_MASTER!$D$2:$D$5000,0)),"SĐT chưa đăng ký hội viên; ","")&amp;IF(AND($L4879="Đã chuyển khoản",$M4879=""),"Thiếu ngày nhận CK; ",""))</f>
        <v/>
      </c>
      <c r="T4879" s="24" t="n"/>
    </row>
    <row r="4880" ht="14.25" customHeight="1" s="40">
      <c r="A4880" s="24" t="n"/>
      <c r="B4880" s="29" t="n"/>
      <c r="C4880" s="28" t="n"/>
      <c r="D4880" s="22">
        <f t="array" ref="D4880">IF($C4880="","",IFERROR(INDEX(DATA_MASTER!$C$2:$C$5000,MATCH($C4880,DATA_MASTER!$D$2:$D$5000,0)),""))</f>
        <v/>
      </c>
      <c r="E4880" s="22">
        <f t="array" ref="E4880">IF($C4880="","",IFERROR(INDEX(DATA_MASTER!$I$2:$I$5000,MATCH($C4880,DATA_MASTER!$D$2:$D$5000,0)),""))</f>
        <v/>
      </c>
      <c r="F4880" s="22">
        <f t="array" ref="F4880">IF($C4880="","",IFERROR(INDEX(DATA_MASTER!$L$2:$L$5000,MATCH($C4880,DATA_MASTER!$D$2:$D$5000,0)),""))</f>
        <v/>
      </c>
      <c r="G4880" s="24" t="n"/>
      <c r="H4880" s="24" t="n"/>
      <c r="I4880" s="30" t="n"/>
      <c r="J4880" s="23">
        <f>IF(OR($H4880="",$I4880=""),"",$H4880*$I4880)</f>
        <v/>
      </c>
      <c r="K4880" s="24" t="n"/>
      <c r="L4880" s="24" t="n"/>
      <c r="M4880" s="29" t="n"/>
      <c r="N4880" s="28" t="n"/>
      <c r="O4880" s="24" t="n"/>
      <c r="P4880" s="24" t="n"/>
      <c r="Q4880" s="24" t="n"/>
      <c r="R4880" s="24" t="n"/>
      <c r="S4880" s="22">
        <f>IF(AND($A4880="",$C4880=""),"",IF($A4880="","Thiếu mã đơn; ","")&amp;IF(COUNTIF($A$2:$A4880,$A4880)&gt;1,"Trùng mã đơn; ","")&amp;IF(ISNA(MATCH($C4880,DATA_MASTER!$D$2:$D$5000,0)),"SĐT chưa đăng ký hội viên; ","")&amp;IF(AND($L4880="Đã chuyển khoản",$M4880=""),"Thiếu ngày nhận CK; ",""))</f>
        <v/>
      </c>
      <c r="T4880" s="24" t="n"/>
    </row>
    <row r="4881" ht="14.25" customHeight="1" s="40">
      <c r="A4881" s="24" t="n"/>
      <c r="B4881" s="29" t="n"/>
      <c r="C4881" s="28" t="n"/>
      <c r="D4881" s="22">
        <f t="array" ref="D4881">IF($C4881="","",IFERROR(INDEX(DATA_MASTER!$C$2:$C$5000,MATCH($C4881,DATA_MASTER!$D$2:$D$5000,0)),""))</f>
        <v/>
      </c>
      <c r="E4881" s="22">
        <f t="array" ref="E4881">IF($C4881="","",IFERROR(INDEX(DATA_MASTER!$I$2:$I$5000,MATCH($C4881,DATA_MASTER!$D$2:$D$5000,0)),""))</f>
        <v/>
      </c>
      <c r="F4881" s="22">
        <f t="array" ref="F4881">IF($C4881="","",IFERROR(INDEX(DATA_MASTER!$L$2:$L$5000,MATCH($C4881,DATA_MASTER!$D$2:$D$5000,0)),""))</f>
        <v/>
      </c>
      <c r="G4881" s="24" t="n"/>
      <c r="H4881" s="24" t="n"/>
      <c r="I4881" s="30" t="n"/>
      <c r="J4881" s="23">
        <f>IF(OR($H4881="",$I4881=""),"",$H4881*$I4881)</f>
        <v/>
      </c>
      <c r="K4881" s="24" t="n"/>
      <c r="L4881" s="24" t="n"/>
      <c r="M4881" s="29" t="n"/>
      <c r="N4881" s="28" t="n"/>
      <c r="O4881" s="24" t="n"/>
      <c r="P4881" s="24" t="n"/>
      <c r="Q4881" s="24" t="n"/>
      <c r="R4881" s="24" t="n"/>
      <c r="S4881" s="22">
        <f>IF(AND($A4881="",$C4881=""),"",IF($A4881="","Thiếu mã đơn; ","")&amp;IF(COUNTIF($A$2:$A4881,$A4881)&gt;1,"Trùng mã đơn; ","")&amp;IF(ISNA(MATCH($C4881,DATA_MASTER!$D$2:$D$5000,0)),"SĐT chưa đăng ký hội viên; ","")&amp;IF(AND($L4881="Đã chuyển khoản",$M4881=""),"Thiếu ngày nhận CK; ",""))</f>
        <v/>
      </c>
      <c r="T4881" s="24" t="n"/>
    </row>
    <row r="4882" ht="14.25" customHeight="1" s="40">
      <c r="A4882" s="24" t="n"/>
      <c r="B4882" s="29" t="n"/>
      <c r="C4882" s="28" t="n"/>
      <c r="D4882" s="22">
        <f t="array" ref="D4882">IF($C4882="","",IFERROR(INDEX(DATA_MASTER!$C$2:$C$5000,MATCH($C4882,DATA_MASTER!$D$2:$D$5000,0)),""))</f>
        <v/>
      </c>
      <c r="E4882" s="22">
        <f t="array" ref="E4882">IF($C4882="","",IFERROR(INDEX(DATA_MASTER!$I$2:$I$5000,MATCH($C4882,DATA_MASTER!$D$2:$D$5000,0)),""))</f>
        <v/>
      </c>
      <c r="F4882" s="22">
        <f t="array" ref="F4882">IF($C4882="","",IFERROR(INDEX(DATA_MASTER!$L$2:$L$5000,MATCH($C4882,DATA_MASTER!$D$2:$D$5000,0)),""))</f>
        <v/>
      </c>
      <c r="G4882" s="24" t="n"/>
      <c r="H4882" s="24" t="n"/>
      <c r="I4882" s="30" t="n"/>
      <c r="J4882" s="23">
        <f>IF(OR($H4882="",$I4882=""),"",$H4882*$I4882)</f>
        <v/>
      </c>
      <c r="K4882" s="24" t="n"/>
      <c r="L4882" s="24" t="n"/>
      <c r="M4882" s="29" t="n"/>
      <c r="N4882" s="28" t="n"/>
      <c r="O4882" s="24" t="n"/>
      <c r="P4882" s="24" t="n"/>
      <c r="Q4882" s="24" t="n"/>
      <c r="R4882" s="24" t="n"/>
      <c r="S4882" s="22">
        <f>IF(AND($A4882="",$C4882=""),"",IF($A4882="","Thiếu mã đơn; ","")&amp;IF(COUNTIF($A$2:$A4882,$A4882)&gt;1,"Trùng mã đơn; ","")&amp;IF(ISNA(MATCH($C4882,DATA_MASTER!$D$2:$D$5000,0)),"SĐT chưa đăng ký hội viên; ","")&amp;IF(AND($L4882="Đã chuyển khoản",$M4882=""),"Thiếu ngày nhận CK; ",""))</f>
        <v/>
      </c>
      <c r="T4882" s="24" t="n"/>
    </row>
    <row r="4883" ht="14.25" customHeight="1" s="40">
      <c r="A4883" s="24" t="n"/>
      <c r="B4883" s="29" t="n"/>
      <c r="C4883" s="28" t="n"/>
      <c r="D4883" s="22">
        <f t="array" ref="D4883">IF($C4883="","",IFERROR(INDEX(DATA_MASTER!$C$2:$C$5000,MATCH($C4883,DATA_MASTER!$D$2:$D$5000,0)),""))</f>
        <v/>
      </c>
      <c r="E4883" s="22">
        <f t="array" ref="E4883">IF($C4883="","",IFERROR(INDEX(DATA_MASTER!$I$2:$I$5000,MATCH($C4883,DATA_MASTER!$D$2:$D$5000,0)),""))</f>
        <v/>
      </c>
      <c r="F4883" s="22">
        <f t="array" ref="F4883">IF($C4883="","",IFERROR(INDEX(DATA_MASTER!$L$2:$L$5000,MATCH($C4883,DATA_MASTER!$D$2:$D$5000,0)),""))</f>
        <v/>
      </c>
      <c r="G4883" s="24" t="n"/>
      <c r="H4883" s="24" t="n"/>
      <c r="I4883" s="30" t="n"/>
      <c r="J4883" s="23">
        <f>IF(OR($H4883="",$I4883=""),"",$H4883*$I4883)</f>
        <v/>
      </c>
      <c r="K4883" s="24" t="n"/>
      <c r="L4883" s="24" t="n"/>
      <c r="M4883" s="29" t="n"/>
      <c r="N4883" s="28" t="n"/>
      <c r="O4883" s="24" t="n"/>
      <c r="P4883" s="24" t="n"/>
      <c r="Q4883" s="24" t="n"/>
      <c r="R4883" s="24" t="n"/>
      <c r="S4883" s="22">
        <f>IF(AND($A4883="",$C4883=""),"",IF($A4883="","Thiếu mã đơn; ","")&amp;IF(COUNTIF($A$2:$A4883,$A4883)&gt;1,"Trùng mã đơn; ","")&amp;IF(ISNA(MATCH($C4883,DATA_MASTER!$D$2:$D$5000,0)),"SĐT chưa đăng ký hội viên; ","")&amp;IF(AND($L4883="Đã chuyển khoản",$M4883=""),"Thiếu ngày nhận CK; ",""))</f>
        <v/>
      </c>
      <c r="T4883" s="24" t="n"/>
    </row>
    <row r="4884" ht="14.25" customHeight="1" s="40">
      <c r="A4884" s="24" t="n"/>
      <c r="B4884" s="29" t="n"/>
      <c r="C4884" s="28" t="n"/>
      <c r="D4884" s="22">
        <f t="array" ref="D4884">IF($C4884="","",IFERROR(INDEX(DATA_MASTER!$C$2:$C$5000,MATCH($C4884,DATA_MASTER!$D$2:$D$5000,0)),""))</f>
        <v/>
      </c>
      <c r="E4884" s="22">
        <f t="array" ref="E4884">IF($C4884="","",IFERROR(INDEX(DATA_MASTER!$I$2:$I$5000,MATCH($C4884,DATA_MASTER!$D$2:$D$5000,0)),""))</f>
        <v/>
      </c>
      <c r="F4884" s="22">
        <f t="array" ref="F4884">IF($C4884="","",IFERROR(INDEX(DATA_MASTER!$L$2:$L$5000,MATCH($C4884,DATA_MASTER!$D$2:$D$5000,0)),""))</f>
        <v/>
      </c>
      <c r="G4884" s="24" t="n"/>
      <c r="H4884" s="24" t="n"/>
      <c r="I4884" s="30" t="n"/>
      <c r="J4884" s="23">
        <f>IF(OR($H4884="",$I4884=""),"",$H4884*$I4884)</f>
        <v/>
      </c>
      <c r="K4884" s="24" t="n"/>
      <c r="L4884" s="24" t="n"/>
      <c r="M4884" s="29" t="n"/>
      <c r="N4884" s="28" t="n"/>
      <c r="O4884" s="24" t="n"/>
      <c r="P4884" s="24" t="n"/>
      <c r="Q4884" s="24" t="n"/>
      <c r="R4884" s="24" t="n"/>
      <c r="S4884" s="22">
        <f>IF(AND($A4884="",$C4884=""),"",IF($A4884="","Thiếu mã đơn; ","")&amp;IF(COUNTIF($A$2:$A4884,$A4884)&gt;1,"Trùng mã đơn; ","")&amp;IF(ISNA(MATCH($C4884,DATA_MASTER!$D$2:$D$5000,0)),"SĐT chưa đăng ký hội viên; ","")&amp;IF(AND($L4884="Đã chuyển khoản",$M4884=""),"Thiếu ngày nhận CK; ",""))</f>
        <v/>
      </c>
      <c r="T4884" s="24" t="n"/>
    </row>
    <row r="4885" ht="14.25" customHeight="1" s="40">
      <c r="A4885" s="24" t="n"/>
      <c r="B4885" s="29" t="n"/>
      <c r="C4885" s="28" t="n"/>
      <c r="D4885" s="22">
        <f t="array" ref="D4885">IF($C4885="","",IFERROR(INDEX(DATA_MASTER!$C$2:$C$5000,MATCH($C4885,DATA_MASTER!$D$2:$D$5000,0)),""))</f>
        <v/>
      </c>
      <c r="E4885" s="22">
        <f t="array" ref="E4885">IF($C4885="","",IFERROR(INDEX(DATA_MASTER!$I$2:$I$5000,MATCH($C4885,DATA_MASTER!$D$2:$D$5000,0)),""))</f>
        <v/>
      </c>
      <c r="F4885" s="22">
        <f t="array" ref="F4885">IF($C4885="","",IFERROR(INDEX(DATA_MASTER!$L$2:$L$5000,MATCH($C4885,DATA_MASTER!$D$2:$D$5000,0)),""))</f>
        <v/>
      </c>
      <c r="G4885" s="24" t="n"/>
      <c r="H4885" s="24" t="n"/>
      <c r="I4885" s="30" t="n"/>
      <c r="J4885" s="23">
        <f>IF(OR($H4885="",$I4885=""),"",$H4885*$I4885)</f>
        <v/>
      </c>
      <c r="K4885" s="24" t="n"/>
      <c r="L4885" s="24" t="n"/>
      <c r="M4885" s="29" t="n"/>
      <c r="N4885" s="28" t="n"/>
      <c r="O4885" s="24" t="n"/>
      <c r="P4885" s="24" t="n"/>
      <c r="Q4885" s="24" t="n"/>
      <c r="R4885" s="24" t="n"/>
      <c r="S4885" s="22">
        <f>IF(AND($A4885="",$C4885=""),"",IF($A4885="","Thiếu mã đơn; ","")&amp;IF(COUNTIF($A$2:$A4885,$A4885)&gt;1,"Trùng mã đơn; ","")&amp;IF(ISNA(MATCH($C4885,DATA_MASTER!$D$2:$D$5000,0)),"SĐT chưa đăng ký hội viên; ","")&amp;IF(AND($L4885="Đã chuyển khoản",$M4885=""),"Thiếu ngày nhận CK; ",""))</f>
        <v/>
      </c>
      <c r="T4885" s="24" t="n"/>
    </row>
    <row r="4886" ht="14.25" customHeight="1" s="40">
      <c r="A4886" s="24" t="n"/>
      <c r="B4886" s="29" t="n"/>
      <c r="C4886" s="28" t="n"/>
      <c r="D4886" s="22">
        <f t="array" ref="D4886">IF($C4886="","",IFERROR(INDEX(DATA_MASTER!$C$2:$C$5000,MATCH($C4886,DATA_MASTER!$D$2:$D$5000,0)),""))</f>
        <v/>
      </c>
      <c r="E4886" s="22">
        <f t="array" ref="E4886">IF($C4886="","",IFERROR(INDEX(DATA_MASTER!$I$2:$I$5000,MATCH($C4886,DATA_MASTER!$D$2:$D$5000,0)),""))</f>
        <v/>
      </c>
      <c r="F4886" s="22">
        <f t="array" ref="F4886">IF($C4886="","",IFERROR(INDEX(DATA_MASTER!$L$2:$L$5000,MATCH($C4886,DATA_MASTER!$D$2:$D$5000,0)),""))</f>
        <v/>
      </c>
      <c r="G4886" s="24" t="n"/>
      <c r="H4886" s="24" t="n"/>
      <c r="I4886" s="30" t="n"/>
      <c r="J4886" s="23">
        <f>IF(OR($H4886="",$I4886=""),"",$H4886*$I4886)</f>
        <v/>
      </c>
      <c r="K4886" s="24" t="n"/>
      <c r="L4886" s="24" t="n"/>
      <c r="M4886" s="29" t="n"/>
      <c r="N4886" s="28" t="n"/>
      <c r="O4886" s="24" t="n"/>
      <c r="P4886" s="24" t="n"/>
      <c r="Q4886" s="24" t="n"/>
      <c r="R4886" s="24" t="n"/>
      <c r="S4886" s="22">
        <f>IF(AND($A4886="",$C4886=""),"",IF($A4886="","Thiếu mã đơn; ","")&amp;IF(COUNTIF($A$2:$A4886,$A4886)&gt;1,"Trùng mã đơn; ","")&amp;IF(ISNA(MATCH($C4886,DATA_MASTER!$D$2:$D$5000,0)),"SĐT chưa đăng ký hội viên; ","")&amp;IF(AND($L4886="Đã chuyển khoản",$M4886=""),"Thiếu ngày nhận CK; ",""))</f>
        <v/>
      </c>
      <c r="T4886" s="24" t="n"/>
    </row>
    <row r="4887" ht="14.25" customHeight="1" s="40">
      <c r="A4887" s="24" t="n"/>
      <c r="B4887" s="29" t="n"/>
      <c r="C4887" s="28" t="n"/>
      <c r="D4887" s="22">
        <f t="array" ref="D4887">IF($C4887="","",IFERROR(INDEX(DATA_MASTER!$C$2:$C$5000,MATCH($C4887,DATA_MASTER!$D$2:$D$5000,0)),""))</f>
        <v/>
      </c>
      <c r="E4887" s="22">
        <f t="array" ref="E4887">IF($C4887="","",IFERROR(INDEX(DATA_MASTER!$I$2:$I$5000,MATCH($C4887,DATA_MASTER!$D$2:$D$5000,0)),""))</f>
        <v/>
      </c>
      <c r="F4887" s="22">
        <f t="array" ref="F4887">IF($C4887="","",IFERROR(INDEX(DATA_MASTER!$L$2:$L$5000,MATCH($C4887,DATA_MASTER!$D$2:$D$5000,0)),""))</f>
        <v/>
      </c>
      <c r="G4887" s="24" t="n"/>
      <c r="H4887" s="24" t="n"/>
      <c r="I4887" s="30" t="n"/>
      <c r="J4887" s="23">
        <f>IF(OR($H4887="",$I4887=""),"",$H4887*$I4887)</f>
        <v/>
      </c>
      <c r="K4887" s="24" t="n"/>
      <c r="L4887" s="24" t="n"/>
      <c r="M4887" s="29" t="n"/>
      <c r="N4887" s="28" t="n"/>
      <c r="O4887" s="24" t="n"/>
      <c r="P4887" s="24" t="n"/>
      <c r="Q4887" s="24" t="n"/>
      <c r="R4887" s="24" t="n"/>
      <c r="S4887" s="22">
        <f>IF(AND($A4887="",$C4887=""),"",IF($A4887="","Thiếu mã đơn; ","")&amp;IF(COUNTIF($A$2:$A4887,$A4887)&gt;1,"Trùng mã đơn; ","")&amp;IF(ISNA(MATCH($C4887,DATA_MASTER!$D$2:$D$5000,0)),"SĐT chưa đăng ký hội viên; ","")&amp;IF(AND($L4887="Đã chuyển khoản",$M4887=""),"Thiếu ngày nhận CK; ",""))</f>
        <v/>
      </c>
      <c r="T4887" s="24" t="n"/>
    </row>
    <row r="4888" ht="14.25" customHeight="1" s="40">
      <c r="A4888" s="24" t="n"/>
      <c r="B4888" s="29" t="n"/>
      <c r="C4888" s="28" t="n"/>
      <c r="D4888" s="22">
        <f t="array" ref="D4888">IF($C4888="","",IFERROR(INDEX(DATA_MASTER!$C$2:$C$5000,MATCH($C4888,DATA_MASTER!$D$2:$D$5000,0)),""))</f>
        <v/>
      </c>
      <c r="E4888" s="22">
        <f t="array" ref="E4888">IF($C4888="","",IFERROR(INDEX(DATA_MASTER!$I$2:$I$5000,MATCH($C4888,DATA_MASTER!$D$2:$D$5000,0)),""))</f>
        <v/>
      </c>
      <c r="F4888" s="22">
        <f t="array" ref="F4888">IF($C4888="","",IFERROR(INDEX(DATA_MASTER!$L$2:$L$5000,MATCH($C4888,DATA_MASTER!$D$2:$D$5000,0)),""))</f>
        <v/>
      </c>
      <c r="G4888" s="24" t="n"/>
      <c r="H4888" s="24" t="n"/>
      <c r="I4888" s="30" t="n"/>
      <c r="J4888" s="23">
        <f>IF(OR($H4888="",$I4888=""),"",$H4888*$I4888)</f>
        <v/>
      </c>
      <c r="K4888" s="24" t="n"/>
      <c r="L4888" s="24" t="n"/>
      <c r="M4888" s="29" t="n"/>
      <c r="N4888" s="28" t="n"/>
      <c r="O4888" s="24" t="n"/>
      <c r="P4888" s="24" t="n"/>
      <c r="Q4888" s="24" t="n"/>
      <c r="R4888" s="24" t="n"/>
      <c r="S4888" s="22">
        <f>IF(AND($A4888="",$C4888=""),"",IF($A4888="","Thiếu mã đơn; ","")&amp;IF(COUNTIF($A$2:$A4888,$A4888)&gt;1,"Trùng mã đơn; ","")&amp;IF(ISNA(MATCH($C4888,DATA_MASTER!$D$2:$D$5000,0)),"SĐT chưa đăng ký hội viên; ","")&amp;IF(AND($L4888="Đã chuyển khoản",$M4888=""),"Thiếu ngày nhận CK; ",""))</f>
        <v/>
      </c>
      <c r="T4888" s="24" t="n"/>
    </row>
    <row r="4889" ht="14.25" customHeight="1" s="40">
      <c r="A4889" s="24" t="n"/>
      <c r="B4889" s="29" t="n"/>
      <c r="C4889" s="28" t="n"/>
      <c r="D4889" s="22">
        <f t="array" ref="D4889">IF($C4889="","",IFERROR(INDEX(DATA_MASTER!$C$2:$C$5000,MATCH($C4889,DATA_MASTER!$D$2:$D$5000,0)),""))</f>
        <v/>
      </c>
      <c r="E4889" s="22">
        <f t="array" ref="E4889">IF($C4889="","",IFERROR(INDEX(DATA_MASTER!$I$2:$I$5000,MATCH($C4889,DATA_MASTER!$D$2:$D$5000,0)),""))</f>
        <v/>
      </c>
      <c r="F4889" s="22">
        <f t="array" ref="F4889">IF($C4889="","",IFERROR(INDEX(DATA_MASTER!$L$2:$L$5000,MATCH($C4889,DATA_MASTER!$D$2:$D$5000,0)),""))</f>
        <v/>
      </c>
      <c r="G4889" s="24" t="n"/>
      <c r="H4889" s="24" t="n"/>
      <c r="I4889" s="30" t="n"/>
      <c r="J4889" s="23">
        <f>IF(OR($H4889="",$I4889=""),"",$H4889*$I4889)</f>
        <v/>
      </c>
      <c r="K4889" s="24" t="n"/>
      <c r="L4889" s="24" t="n"/>
      <c r="M4889" s="29" t="n"/>
      <c r="N4889" s="28" t="n"/>
      <c r="O4889" s="24" t="n"/>
      <c r="P4889" s="24" t="n"/>
      <c r="Q4889" s="24" t="n"/>
      <c r="R4889" s="24" t="n"/>
      <c r="S4889" s="22">
        <f>IF(AND($A4889="",$C4889=""),"",IF($A4889="","Thiếu mã đơn; ","")&amp;IF(COUNTIF($A$2:$A4889,$A4889)&gt;1,"Trùng mã đơn; ","")&amp;IF(ISNA(MATCH($C4889,DATA_MASTER!$D$2:$D$5000,0)),"SĐT chưa đăng ký hội viên; ","")&amp;IF(AND($L4889="Đã chuyển khoản",$M4889=""),"Thiếu ngày nhận CK; ",""))</f>
        <v/>
      </c>
      <c r="T4889" s="24" t="n"/>
    </row>
    <row r="4890" ht="14.25" customHeight="1" s="40">
      <c r="A4890" s="24" t="n"/>
      <c r="B4890" s="29" t="n"/>
      <c r="C4890" s="28" t="n"/>
      <c r="D4890" s="22">
        <f t="array" ref="D4890">IF($C4890="","",IFERROR(INDEX(DATA_MASTER!$C$2:$C$5000,MATCH($C4890,DATA_MASTER!$D$2:$D$5000,0)),""))</f>
        <v/>
      </c>
      <c r="E4890" s="22">
        <f t="array" ref="E4890">IF($C4890="","",IFERROR(INDEX(DATA_MASTER!$I$2:$I$5000,MATCH($C4890,DATA_MASTER!$D$2:$D$5000,0)),""))</f>
        <v/>
      </c>
      <c r="F4890" s="22">
        <f t="array" ref="F4890">IF($C4890="","",IFERROR(INDEX(DATA_MASTER!$L$2:$L$5000,MATCH($C4890,DATA_MASTER!$D$2:$D$5000,0)),""))</f>
        <v/>
      </c>
      <c r="G4890" s="24" t="n"/>
      <c r="H4890" s="24" t="n"/>
      <c r="I4890" s="30" t="n"/>
      <c r="J4890" s="23">
        <f>IF(OR($H4890="",$I4890=""),"",$H4890*$I4890)</f>
        <v/>
      </c>
      <c r="K4890" s="24" t="n"/>
      <c r="L4890" s="24" t="n"/>
      <c r="M4890" s="29" t="n"/>
      <c r="N4890" s="28" t="n"/>
      <c r="O4890" s="24" t="n"/>
      <c r="P4890" s="24" t="n"/>
      <c r="Q4890" s="24" t="n"/>
      <c r="R4890" s="24" t="n"/>
      <c r="S4890" s="22">
        <f>IF(AND($A4890="",$C4890=""),"",IF($A4890="","Thiếu mã đơn; ","")&amp;IF(COUNTIF($A$2:$A4890,$A4890)&gt;1,"Trùng mã đơn; ","")&amp;IF(ISNA(MATCH($C4890,DATA_MASTER!$D$2:$D$5000,0)),"SĐT chưa đăng ký hội viên; ","")&amp;IF(AND($L4890="Đã chuyển khoản",$M4890=""),"Thiếu ngày nhận CK; ",""))</f>
        <v/>
      </c>
      <c r="T4890" s="24" t="n"/>
    </row>
    <row r="4891" ht="14.25" customHeight="1" s="40">
      <c r="A4891" s="24" t="n"/>
      <c r="B4891" s="29" t="n"/>
      <c r="C4891" s="28" t="n"/>
      <c r="D4891" s="22">
        <f t="array" ref="D4891">IF($C4891="","",IFERROR(INDEX(DATA_MASTER!$C$2:$C$5000,MATCH($C4891,DATA_MASTER!$D$2:$D$5000,0)),""))</f>
        <v/>
      </c>
      <c r="E4891" s="22">
        <f t="array" ref="E4891">IF($C4891="","",IFERROR(INDEX(DATA_MASTER!$I$2:$I$5000,MATCH($C4891,DATA_MASTER!$D$2:$D$5000,0)),""))</f>
        <v/>
      </c>
      <c r="F4891" s="22">
        <f t="array" ref="F4891">IF($C4891="","",IFERROR(INDEX(DATA_MASTER!$L$2:$L$5000,MATCH($C4891,DATA_MASTER!$D$2:$D$5000,0)),""))</f>
        <v/>
      </c>
      <c r="G4891" s="24" t="n"/>
      <c r="H4891" s="24" t="n"/>
      <c r="I4891" s="30" t="n"/>
      <c r="J4891" s="23">
        <f>IF(OR($H4891="",$I4891=""),"",$H4891*$I4891)</f>
        <v/>
      </c>
      <c r="K4891" s="24" t="n"/>
      <c r="L4891" s="24" t="n"/>
      <c r="M4891" s="29" t="n"/>
      <c r="N4891" s="28" t="n"/>
      <c r="O4891" s="24" t="n"/>
      <c r="P4891" s="24" t="n"/>
      <c r="Q4891" s="24" t="n"/>
      <c r="R4891" s="24" t="n"/>
      <c r="S4891" s="22">
        <f>IF(AND($A4891="",$C4891=""),"",IF($A4891="","Thiếu mã đơn; ","")&amp;IF(COUNTIF($A$2:$A4891,$A4891)&gt;1,"Trùng mã đơn; ","")&amp;IF(ISNA(MATCH($C4891,DATA_MASTER!$D$2:$D$5000,0)),"SĐT chưa đăng ký hội viên; ","")&amp;IF(AND($L4891="Đã chuyển khoản",$M4891=""),"Thiếu ngày nhận CK; ",""))</f>
        <v/>
      </c>
      <c r="T4891" s="24" t="n"/>
    </row>
    <row r="4892" ht="14.25" customHeight="1" s="40">
      <c r="A4892" s="24" t="n"/>
      <c r="B4892" s="29" t="n"/>
      <c r="C4892" s="28" t="n"/>
      <c r="D4892" s="22">
        <f t="array" ref="D4892">IF($C4892="","",IFERROR(INDEX(DATA_MASTER!$C$2:$C$5000,MATCH($C4892,DATA_MASTER!$D$2:$D$5000,0)),""))</f>
        <v/>
      </c>
      <c r="E4892" s="22">
        <f t="array" ref="E4892">IF($C4892="","",IFERROR(INDEX(DATA_MASTER!$I$2:$I$5000,MATCH($C4892,DATA_MASTER!$D$2:$D$5000,0)),""))</f>
        <v/>
      </c>
      <c r="F4892" s="22">
        <f t="array" ref="F4892">IF($C4892="","",IFERROR(INDEX(DATA_MASTER!$L$2:$L$5000,MATCH($C4892,DATA_MASTER!$D$2:$D$5000,0)),""))</f>
        <v/>
      </c>
      <c r="G4892" s="24" t="n"/>
      <c r="H4892" s="24" t="n"/>
      <c r="I4892" s="30" t="n"/>
      <c r="J4892" s="23">
        <f>IF(OR($H4892="",$I4892=""),"",$H4892*$I4892)</f>
        <v/>
      </c>
      <c r="K4892" s="24" t="n"/>
      <c r="L4892" s="24" t="n"/>
      <c r="M4892" s="29" t="n"/>
      <c r="N4892" s="28" t="n"/>
      <c r="O4892" s="24" t="n"/>
      <c r="P4892" s="24" t="n"/>
      <c r="Q4892" s="24" t="n"/>
      <c r="R4892" s="24" t="n"/>
      <c r="S4892" s="22">
        <f>IF(AND($A4892="",$C4892=""),"",IF($A4892="","Thiếu mã đơn; ","")&amp;IF(COUNTIF($A$2:$A4892,$A4892)&gt;1,"Trùng mã đơn; ","")&amp;IF(ISNA(MATCH($C4892,DATA_MASTER!$D$2:$D$5000,0)),"SĐT chưa đăng ký hội viên; ","")&amp;IF(AND($L4892="Đã chuyển khoản",$M4892=""),"Thiếu ngày nhận CK; ",""))</f>
        <v/>
      </c>
      <c r="T4892" s="24" t="n"/>
    </row>
    <row r="4893" ht="14.25" customHeight="1" s="40">
      <c r="A4893" s="24" t="n"/>
      <c r="B4893" s="29" t="n"/>
      <c r="C4893" s="28" t="n"/>
      <c r="D4893" s="22">
        <f t="array" ref="D4893">IF($C4893="","",IFERROR(INDEX(DATA_MASTER!$C$2:$C$5000,MATCH($C4893,DATA_MASTER!$D$2:$D$5000,0)),""))</f>
        <v/>
      </c>
      <c r="E4893" s="22">
        <f t="array" ref="E4893">IF($C4893="","",IFERROR(INDEX(DATA_MASTER!$I$2:$I$5000,MATCH($C4893,DATA_MASTER!$D$2:$D$5000,0)),""))</f>
        <v/>
      </c>
      <c r="F4893" s="22">
        <f t="array" ref="F4893">IF($C4893="","",IFERROR(INDEX(DATA_MASTER!$L$2:$L$5000,MATCH($C4893,DATA_MASTER!$D$2:$D$5000,0)),""))</f>
        <v/>
      </c>
      <c r="G4893" s="24" t="n"/>
      <c r="H4893" s="24" t="n"/>
      <c r="I4893" s="30" t="n"/>
      <c r="J4893" s="23">
        <f>IF(OR($H4893="",$I4893=""),"",$H4893*$I4893)</f>
        <v/>
      </c>
      <c r="K4893" s="24" t="n"/>
      <c r="L4893" s="24" t="n"/>
      <c r="M4893" s="29" t="n"/>
      <c r="N4893" s="28" t="n"/>
      <c r="O4893" s="24" t="n"/>
      <c r="P4893" s="24" t="n"/>
      <c r="Q4893" s="24" t="n"/>
      <c r="R4893" s="24" t="n"/>
      <c r="S4893" s="22">
        <f>IF(AND($A4893="",$C4893=""),"",IF($A4893="","Thiếu mã đơn; ","")&amp;IF(COUNTIF($A$2:$A4893,$A4893)&gt;1,"Trùng mã đơn; ","")&amp;IF(ISNA(MATCH($C4893,DATA_MASTER!$D$2:$D$5000,0)),"SĐT chưa đăng ký hội viên; ","")&amp;IF(AND($L4893="Đã chuyển khoản",$M4893=""),"Thiếu ngày nhận CK; ",""))</f>
        <v/>
      </c>
      <c r="T4893" s="24" t="n"/>
    </row>
    <row r="4894" ht="14.25" customHeight="1" s="40">
      <c r="A4894" s="24" t="n"/>
      <c r="B4894" s="29" t="n"/>
      <c r="C4894" s="28" t="n"/>
      <c r="D4894" s="22">
        <f t="array" ref="D4894">IF($C4894="","",IFERROR(INDEX(DATA_MASTER!$C$2:$C$5000,MATCH($C4894,DATA_MASTER!$D$2:$D$5000,0)),""))</f>
        <v/>
      </c>
      <c r="E4894" s="22">
        <f t="array" ref="E4894">IF($C4894="","",IFERROR(INDEX(DATA_MASTER!$I$2:$I$5000,MATCH($C4894,DATA_MASTER!$D$2:$D$5000,0)),""))</f>
        <v/>
      </c>
      <c r="F4894" s="22">
        <f t="array" ref="F4894">IF($C4894="","",IFERROR(INDEX(DATA_MASTER!$L$2:$L$5000,MATCH($C4894,DATA_MASTER!$D$2:$D$5000,0)),""))</f>
        <v/>
      </c>
      <c r="G4894" s="24" t="n"/>
      <c r="H4894" s="24" t="n"/>
      <c r="I4894" s="30" t="n"/>
      <c r="J4894" s="23">
        <f>IF(OR($H4894="",$I4894=""),"",$H4894*$I4894)</f>
        <v/>
      </c>
      <c r="K4894" s="24" t="n"/>
      <c r="L4894" s="24" t="n"/>
      <c r="M4894" s="29" t="n"/>
      <c r="N4894" s="28" t="n"/>
      <c r="O4894" s="24" t="n"/>
      <c r="P4894" s="24" t="n"/>
      <c r="Q4894" s="24" t="n"/>
      <c r="R4894" s="24" t="n"/>
      <c r="S4894" s="22">
        <f>IF(AND($A4894="",$C4894=""),"",IF($A4894="","Thiếu mã đơn; ","")&amp;IF(COUNTIF($A$2:$A4894,$A4894)&gt;1,"Trùng mã đơn; ","")&amp;IF(ISNA(MATCH($C4894,DATA_MASTER!$D$2:$D$5000,0)),"SĐT chưa đăng ký hội viên; ","")&amp;IF(AND($L4894="Đã chuyển khoản",$M4894=""),"Thiếu ngày nhận CK; ",""))</f>
        <v/>
      </c>
      <c r="T4894" s="24" t="n"/>
    </row>
    <row r="4895" ht="14.25" customHeight="1" s="40">
      <c r="A4895" s="24" t="n"/>
      <c r="B4895" s="29" t="n"/>
      <c r="C4895" s="28" t="n"/>
      <c r="D4895" s="22">
        <f t="array" ref="D4895">IF($C4895="","",IFERROR(INDEX(DATA_MASTER!$C$2:$C$5000,MATCH($C4895,DATA_MASTER!$D$2:$D$5000,0)),""))</f>
        <v/>
      </c>
      <c r="E4895" s="22">
        <f t="array" ref="E4895">IF($C4895="","",IFERROR(INDEX(DATA_MASTER!$I$2:$I$5000,MATCH($C4895,DATA_MASTER!$D$2:$D$5000,0)),""))</f>
        <v/>
      </c>
      <c r="F4895" s="22">
        <f t="array" ref="F4895">IF($C4895="","",IFERROR(INDEX(DATA_MASTER!$L$2:$L$5000,MATCH($C4895,DATA_MASTER!$D$2:$D$5000,0)),""))</f>
        <v/>
      </c>
      <c r="G4895" s="24" t="n"/>
      <c r="H4895" s="24" t="n"/>
      <c r="I4895" s="30" t="n"/>
      <c r="J4895" s="23">
        <f>IF(OR($H4895="",$I4895=""),"",$H4895*$I4895)</f>
        <v/>
      </c>
      <c r="K4895" s="24" t="n"/>
      <c r="L4895" s="24" t="n"/>
      <c r="M4895" s="29" t="n"/>
      <c r="N4895" s="28" t="n"/>
      <c r="O4895" s="24" t="n"/>
      <c r="P4895" s="24" t="n"/>
      <c r="Q4895" s="24" t="n"/>
      <c r="R4895" s="24" t="n"/>
      <c r="S4895" s="22">
        <f>IF(AND($A4895="",$C4895=""),"",IF($A4895="","Thiếu mã đơn; ","")&amp;IF(COUNTIF($A$2:$A4895,$A4895)&gt;1,"Trùng mã đơn; ","")&amp;IF(ISNA(MATCH($C4895,DATA_MASTER!$D$2:$D$5000,0)),"SĐT chưa đăng ký hội viên; ","")&amp;IF(AND($L4895="Đã chuyển khoản",$M4895=""),"Thiếu ngày nhận CK; ",""))</f>
        <v/>
      </c>
      <c r="T4895" s="24" t="n"/>
    </row>
    <row r="4896" ht="14.25" customHeight="1" s="40">
      <c r="A4896" s="24" t="n"/>
      <c r="B4896" s="29" t="n"/>
      <c r="C4896" s="28" t="n"/>
      <c r="D4896" s="22">
        <f t="array" ref="D4896">IF($C4896="","",IFERROR(INDEX(DATA_MASTER!$C$2:$C$5000,MATCH($C4896,DATA_MASTER!$D$2:$D$5000,0)),""))</f>
        <v/>
      </c>
      <c r="E4896" s="22">
        <f t="array" ref="E4896">IF($C4896="","",IFERROR(INDEX(DATA_MASTER!$I$2:$I$5000,MATCH($C4896,DATA_MASTER!$D$2:$D$5000,0)),""))</f>
        <v/>
      </c>
      <c r="F4896" s="22">
        <f t="array" ref="F4896">IF($C4896="","",IFERROR(INDEX(DATA_MASTER!$L$2:$L$5000,MATCH($C4896,DATA_MASTER!$D$2:$D$5000,0)),""))</f>
        <v/>
      </c>
      <c r="G4896" s="24" t="n"/>
      <c r="H4896" s="24" t="n"/>
      <c r="I4896" s="30" t="n"/>
      <c r="J4896" s="23">
        <f>IF(OR($H4896="",$I4896=""),"",$H4896*$I4896)</f>
        <v/>
      </c>
      <c r="K4896" s="24" t="n"/>
      <c r="L4896" s="24" t="n"/>
      <c r="M4896" s="29" t="n"/>
      <c r="N4896" s="28" t="n"/>
      <c r="O4896" s="24" t="n"/>
      <c r="P4896" s="24" t="n"/>
      <c r="Q4896" s="24" t="n"/>
      <c r="R4896" s="24" t="n"/>
      <c r="S4896" s="22">
        <f>IF(AND($A4896="",$C4896=""),"",IF($A4896="","Thiếu mã đơn; ","")&amp;IF(COUNTIF($A$2:$A4896,$A4896)&gt;1,"Trùng mã đơn; ","")&amp;IF(ISNA(MATCH($C4896,DATA_MASTER!$D$2:$D$5000,0)),"SĐT chưa đăng ký hội viên; ","")&amp;IF(AND($L4896="Đã chuyển khoản",$M4896=""),"Thiếu ngày nhận CK; ",""))</f>
        <v/>
      </c>
      <c r="T4896" s="24" t="n"/>
    </row>
    <row r="4897" ht="14.25" customHeight="1" s="40">
      <c r="A4897" s="24" t="n"/>
      <c r="B4897" s="29" t="n"/>
      <c r="C4897" s="28" t="n"/>
      <c r="D4897" s="22">
        <f t="array" ref="D4897">IF($C4897="","",IFERROR(INDEX(DATA_MASTER!$C$2:$C$5000,MATCH($C4897,DATA_MASTER!$D$2:$D$5000,0)),""))</f>
        <v/>
      </c>
      <c r="E4897" s="22">
        <f t="array" ref="E4897">IF($C4897="","",IFERROR(INDEX(DATA_MASTER!$I$2:$I$5000,MATCH($C4897,DATA_MASTER!$D$2:$D$5000,0)),""))</f>
        <v/>
      </c>
      <c r="F4897" s="22">
        <f t="array" ref="F4897">IF($C4897="","",IFERROR(INDEX(DATA_MASTER!$L$2:$L$5000,MATCH($C4897,DATA_MASTER!$D$2:$D$5000,0)),""))</f>
        <v/>
      </c>
      <c r="G4897" s="24" t="n"/>
      <c r="H4897" s="24" t="n"/>
      <c r="I4897" s="30" t="n"/>
      <c r="J4897" s="23">
        <f>IF(OR($H4897="",$I4897=""),"",$H4897*$I4897)</f>
        <v/>
      </c>
      <c r="K4897" s="24" t="n"/>
      <c r="L4897" s="24" t="n"/>
      <c r="M4897" s="29" t="n"/>
      <c r="N4897" s="28" t="n"/>
      <c r="O4897" s="24" t="n"/>
      <c r="P4897" s="24" t="n"/>
      <c r="Q4897" s="24" t="n"/>
      <c r="R4897" s="24" t="n"/>
      <c r="S4897" s="22">
        <f>IF(AND($A4897="",$C4897=""),"",IF($A4897="","Thiếu mã đơn; ","")&amp;IF(COUNTIF($A$2:$A4897,$A4897)&gt;1,"Trùng mã đơn; ","")&amp;IF(ISNA(MATCH($C4897,DATA_MASTER!$D$2:$D$5000,0)),"SĐT chưa đăng ký hội viên; ","")&amp;IF(AND($L4897="Đã chuyển khoản",$M4897=""),"Thiếu ngày nhận CK; ",""))</f>
        <v/>
      </c>
      <c r="T4897" s="24" t="n"/>
    </row>
    <row r="4898" ht="14.25" customHeight="1" s="40">
      <c r="A4898" s="24" t="n"/>
      <c r="B4898" s="29" t="n"/>
      <c r="C4898" s="28" t="n"/>
      <c r="D4898" s="22">
        <f t="array" ref="D4898">IF($C4898="","",IFERROR(INDEX(DATA_MASTER!$C$2:$C$5000,MATCH($C4898,DATA_MASTER!$D$2:$D$5000,0)),""))</f>
        <v/>
      </c>
      <c r="E4898" s="22">
        <f t="array" ref="E4898">IF($C4898="","",IFERROR(INDEX(DATA_MASTER!$I$2:$I$5000,MATCH($C4898,DATA_MASTER!$D$2:$D$5000,0)),""))</f>
        <v/>
      </c>
      <c r="F4898" s="22">
        <f t="array" ref="F4898">IF($C4898="","",IFERROR(INDEX(DATA_MASTER!$L$2:$L$5000,MATCH($C4898,DATA_MASTER!$D$2:$D$5000,0)),""))</f>
        <v/>
      </c>
      <c r="G4898" s="24" t="n"/>
      <c r="H4898" s="24" t="n"/>
      <c r="I4898" s="30" t="n"/>
      <c r="J4898" s="23">
        <f>IF(OR($H4898="",$I4898=""),"",$H4898*$I4898)</f>
        <v/>
      </c>
      <c r="K4898" s="24" t="n"/>
      <c r="L4898" s="24" t="n"/>
      <c r="M4898" s="29" t="n"/>
      <c r="N4898" s="28" t="n"/>
      <c r="O4898" s="24" t="n"/>
      <c r="P4898" s="24" t="n"/>
      <c r="Q4898" s="24" t="n"/>
      <c r="R4898" s="24" t="n"/>
      <c r="S4898" s="22">
        <f>IF(AND($A4898="",$C4898=""),"",IF($A4898="","Thiếu mã đơn; ","")&amp;IF(COUNTIF($A$2:$A4898,$A4898)&gt;1,"Trùng mã đơn; ","")&amp;IF(ISNA(MATCH($C4898,DATA_MASTER!$D$2:$D$5000,0)),"SĐT chưa đăng ký hội viên; ","")&amp;IF(AND($L4898="Đã chuyển khoản",$M4898=""),"Thiếu ngày nhận CK; ",""))</f>
        <v/>
      </c>
      <c r="T4898" s="24" t="n"/>
    </row>
    <row r="4899" ht="14.25" customHeight="1" s="40">
      <c r="A4899" s="24" t="n"/>
      <c r="B4899" s="29" t="n"/>
      <c r="C4899" s="28" t="n"/>
      <c r="D4899" s="22">
        <f t="array" ref="D4899">IF($C4899="","",IFERROR(INDEX(DATA_MASTER!$C$2:$C$5000,MATCH($C4899,DATA_MASTER!$D$2:$D$5000,0)),""))</f>
        <v/>
      </c>
      <c r="E4899" s="22">
        <f t="array" ref="E4899">IF($C4899="","",IFERROR(INDEX(DATA_MASTER!$I$2:$I$5000,MATCH($C4899,DATA_MASTER!$D$2:$D$5000,0)),""))</f>
        <v/>
      </c>
      <c r="F4899" s="22">
        <f t="array" ref="F4899">IF($C4899="","",IFERROR(INDEX(DATA_MASTER!$L$2:$L$5000,MATCH($C4899,DATA_MASTER!$D$2:$D$5000,0)),""))</f>
        <v/>
      </c>
      <c r="G4899" s="24" t="n"/>
      <c r="H4899" s="24" t="n"/>
      <c r="I4899" s="30" t="n"/>
      <c r="J4899" s="23">
        <f>IF(OR($H4899="",$I4899=""),"",$H4899*$I4899)</f>
        <v/>
      </c>
      <c r="K4899" s="24" t="n"/>
      <c r="L4899" s="24" t="n"/>
      <c r="M4899" s="29" t="n"/>
      <c r="N4899" s="28" t="n"/>
      <c r="O4899" s="24" t="n"/>
      <c r="P4899" s="24" t="n"/>
      <c r="Q4899" s="24" t="n"/>
      <c r="R4899" s="24" t="n"/>
      <c r="S4899" s="22">
        <f>IF(AND($A4899="",$C4899=""),"",IF($A4899="","Thiếu mã đơn; ","")&amp;IF(COUNTIF($A$2:$A4899,$A4899)&gt;1,"Trùng mã đơn; ","")&amp;IF(ISNA(MATCH($C4899,DATA_MASTER!$D$2:$D$5000,0)),"SĐT chưa đăng ký hội viên; ","")&amp;IF(AND($L4899="Đã chuyển khoản",$M4899=""),"Thiếu ngày nhận CK; ",""))</f>
        <v/>
      </c>
      <c r="T4899" s="24" t="n"/>
    </row>
    <row r="4900" ht="14.25" customHeight="1" s="40">
      <c r="A4900" s="24" t="n"/>
      <c r="B4900" s="29" t="n"/>
      <c r="C4900" s="28" t="n"/>
      <c r="D4900" s="22">
        <f t="array" ref="D4900">IF($C4900="","",IFERROR(INDEX(DATA_MASTER!$C$2:$C$5000,MATCH($C4900,DATA_MASTER!$D$2:$D$5000,0)),""))</f>
        <v/>
      </c>
      <c r="E4900" s="22">
        <f t="array" ref="E4900">IF($C4900="","",IFERROR(INDEX(DATA_MASTER!$I$2:$I$5000,MATCH($C4900,DATA_MASTER!$D$2:$D$5000,0)),""))</f>
        <v/>
      </c>
      <c r="F4900" s="22">
        <f t="array" ref="F4900">IF($C4900="","",IFERROR(INDEX(DATA_MASTER!$L$2:$L$5000,MATCH($C4900,DATA_MASTER!$D$2:$D$5000,0)),""))</f>
        <v/>
      </c>
      <c r="G4900" s="24" t="n"/>
      <c r="H4900" s="24" t="n"/>
      <c r="I4900" s="30" t="n"/>
      <c r="J4900" s="23">
        <f>IF(OR($H4900="",$I4900=""),"",$H4900*$I4900)</f>
        <v/>
      </c>
      <c r="K4900" s="24" t="n"/>
      <c r="L4900" s="24" t="n"/>
      <c r="M4900" s="29" t="n"/>
      <c r="N4900" s="28" t="n"/>
      <c r="O4900" s="24" t="n"/>
      <c r="P4900" s="24" t="n"/>
      <c r="Q4900" s="24" t="n"/>
      <c r="R4900" s="24" t="n"/>
      <c r="S4900" s="22">
        <f>IF(AND($A4900="",$C4900=""),"",IF($A4900="","Thiếu mã đơn; ","")&amp;IF(COUNTIF($A$2:$A4900,$A4900)&gt;1,"Trùng mã đơn; ","")&amp;IF(ISNA(MATCH($C4900,DATA_MASTER!$D$2:$D$5000,0)),"SĐT chưa đăng ký hội viên; ","")&amp;IF(AND($L4900="Đã chuyển khoản",$M4900=""),"Thiếu ngày nhận CK; ",""))</f>
        <v/>
      </c>
      <c r="T4900" s="24" t="n"/>
    </row>
    <row r="4901" ht="14.25" customHeight="1" s="40">
      <c r="A4901" s="24" t="n"/>
      <c r="B4901" s="29" t="n"/>
      <c r="C4901" s="28" t="n"/>
      <c r="D4901" s="22">
        <f t="array" ref="D4901">IF($C4901="","",IFERROR(INDEX(DATA_MASTER!$C$2:$C$5000,MATCH($C4901,DATA_MASTER!$D$2:$D$5000,0)),""))</f>
        <v/>
      </c>
      <c r="E4901" s="22">
        <f t="array" ref="E4901">IF($C4901="","",IFERROR(INDEX(DATA_MASTER!$I$2:$I$5000,MATCH($C4901,DATA_MASTER!$D$2:$D$5000,0)),""))</f>
        <v/>
      </c>
      <c r="F4901" s="22">
        <f t="array" ref="F4901">IF($C4901="","",IFERROR(INDEX(DATA_MASTER!$L$2:$L$5000,MATCH($C4901,DATA_MASTER!$D$2:$D$5000,0)),""))</f>
        <v/>
      </c>
      <c r="G4901" s="24" t="n"/>
      <c r="H4901" s="24" t="n"/>
      <c r="I4901" s="30" t="n"/>
      <c r="J4901" s="23">
        <f>IF(OR($H4901="",$I4901=""),"",$H4901*$I4901)</f>
        <v/>
      </c>
      <c r="K4901" s="24" t="n"/>
      <c r="L4901" s="24" t="n"/>
      <c r="M4901" s="29" t="n"/>
      <c r="N4901" s="28" t="n"/>
      <c r="O4901" s="24" t="n"/>
      <c r="P4901" s="24" t="n"/>
      <c r="Q4901" s="24" t="n"/>
      <c r="R4901" s="24" t="n"/>
      <c r="S4901" s="22">
        <f>IF(AND($A4901="",$C4901=""),"",IF($A4901="","Thiếu mã đơn; ","")&amp;IF(COUNTIF($A$2:$A4901,$A4901)&gt;1,"Trùng mã đơn; ","")&amp;IF(ISNA(MATCH($C4901,DATA_MASTER!$D$2:$D$5000,0)),"SĐT chưa đăng ký hội viên; ","")&amp;IF(AND($L4901="Đã chuyển khoản",$M4901=""),"Thiếu ngày nhận CK; ",""))</f>
        <v/>
      </c>
      <c r="T4901" s="24" t="n"/>
    </row>
    <row r="4902" ht="14.25" customHeight="1" s="40">
      <c r="A4902" s="24" t="n"/>
      <c r="B4902" s="29" t="n"/>
      <c r="C4902" s="28" t="n"/>
      <c r="D4902" s="22">
        <f t="array" ref="D4902">IF($C4902="","",IFERROR(INDEX(DATA_MASTER!$C$2:$C$5000,MATCH($C4902,DATA_MASTER!$D$2:$D$5000,0)),""))</f>
        <v/>
      </c>
      <c r="E4902" s="22">
        <f t="array" ref="E4902">IF($C4902="","",IFERROR(INDEX(DATA_MASTER!$I$2:$I$5000,MATCH($C4902,DATA_MASTER!$D$2:$D$5000,0)),""))</f>
        <v/>
      </c>
      <c r="F4902" s="22">
        <f t="array" ref="F4902">IF($C4902="","",IFERROR(INDEX(DATA_MASTER!$L$2:$L$5000,MATCH($C4902,DATA_MASTER!$D$2:$D$5000,0)),""))</f>
        <v/>
      </c>
      <c r="G4902" s="24" t="n"/>
      <c r="H4902" s="24" t="n"/>
      <c r="I4902" s="30" t="n"/>
      <c r="J4902" s="23">
        <f>IF(OR($H4902="",$I4902=""),"",$H4902*$I4902)</f>
        <v/>
      </c>
      <c r="K4902" s="24" t="n"/>
      <c r="L4902" s="24" t="n"/>
      <c r="M4902" s="29" t="n"/>
      <c r="N4902" s="28" t="n"/>
      <c r="O4902" s="24" t="n"/>
      <c r="P4902" s="24" t="n"/>
      <c r="Q4902" s="24" t="n"/>
      <c r="R4902" s="24" t="n"/>
      <c r="S4902" s="22">
        <f>IF(AND($A4902="",$C4902=""),"",IF($A4902="","Thiếu mã đơn; ","")&amp;IF(COUNTIF($A$2:$A4902,$A4902)&gt;1,"Trùng mã đơn; ","")&amp;IF(ISNA(MATCH($C4902,DATA_MASTER!$D$2:$D$5000,0)),"SĐT chưa đăng ký hội viên; ","")&amp;IF(AND($L4902="Đã chuyển khoản",$M4902=""),"Thiếu ngày nhận CK; ",""))</f>
        <v/>
      </c>
      <c r="T4902" s="24" t="n"/>
    </row>
    <row r="4903" ht="14.25" customHeight="1" s="40">
      <c r="A4903" s="24" t="n"/>
      <c r="B4903" s="29" t="n"/>
      <c r="C4903" s="28" t="n"/>
      <c r="D4903" s="22">
        <f t="array" ref="D4903">IF($C4903="","",IFERROR(INDEX(DATA_MASTER!$C$2:$C$5000,MATCH($C4903,DATA_MASTER!$D$2:$D$5000,0)),""))</f>
        <v/>
      </c>
      <c r="E4903" s="22">
        <f t="array" ref="E4903">IF($C4903="","",IFERROR(INDEX(DATA_MASTER!$I$2:$I$5000,MATCH($C4903,DATA_MASTER!$D$2:$D$5000,0)),""))</f>
        <v/>
      </c>
      <c r="F4903" s="22">
        <f t="array" ref="F4903">IF($C4903="","",IFERROR(INDEX(DATA_MASTER!$L$2:$L$5000,MATCH($C4903,DATA_MASTER!$D$2:$D$5000,0)),""))</f>
        <v/>
      </c>
      <c r="G4903" s="24" t="n"/>
      <c r="H4903" s="24" t="n"/>
      <c r="I4903" s="30" t="n"/>
      <c r="J4903" s="23">
        <f>IF(OR($H4903="",$I4903=""),"",$H4903*$I4903)</f>
        <v/>
      </c>
      <c r="K4903" s="24" t="n"/>
      <c r="L4903" s="24" t="n"/>
      <c r="M4903" s="29" t="n"/>
      <c r="N4903" s="28" t="n"/>
      <c r="O4903" s="24" t="n"/>
      <c r="P4903" s="24" t="n"/>
      <c r="Q4903" s="24" t="n"/>
      <c r="R4903" s="24" t="n"/>
      <c r="S4903" s="22">
        <f>IF(AND($A4903="",$C4903=""),"",IF($A4903="","Thiếu mã đơn; ","")&amp;IF(COUNTIF($A$2:$A4903,$A4903)&gt;1,"Trùng mã đơn; ","")&amp;IF(ISNA(MATCH($C4903,DATA_MASTER!$D$2:$D$5000,0)),"SĐT chưa đăng ký hội viên; ","")&amp;IF(AND($L4903="Đã chuyển khoản",$M4903=""),"Thiếu ngày nhận CK; ",""))</f>
        <v/>
      </c>
      <c r="T4903" s="24" t="n"/>
    </row>
    <row r="4904" ht="14.25" customHeight="1" s="40">
      <c r="A4904" s="24" t="n"/>
      <c r="B4904" s="29" t="n"/>
      <c r="C4904" s="28" t="n"/>
      <c r="D4904" s="22">
        <f t="array" ref="D4904">IF($C4904="","",IFERROR(INDEX(DATA_MASTER!$C$2:$C$5000,MATCH($C4904,DATA_MASTER!$D$2:$D$5000,0)),""))</f>
        <v/>
      </c>
      <c r="E4904" s="22">
        <f t="array" ref="E4904">IF($C4904="","",IFERROR(INDEX(DATA_MASTER!$I$2:$I$5000,MATCH($C4904,DATA_MASTER!$D$2:$D$5000,0)),""))</f>
        <v/>
      </c>
      <c r="F4904" s="22">
        <f t="array" ref="F4904">IF($C4904="","",IFERROR(INDEX(DATA_MASTER!$L$2:$L$5000,MATCH($C4904,DATA_MASTER!$D$2:$D$5000,0)),""))</f>
        <v/>
      </c>
      <c r="G4904" s="24" t="n"/>
      <c r="H4904" s="24" t="n"/>
      <c r="I4904" s="30" t="n"/>
      <c r="J4904" s="23">
        <f>IF(OR($H4904="",$I4904=""),"",$H4904*$I4904)</f>
        <v/>
      </c>
      <c r="K4904" s="24" t="n"/>
      <c r="L4904" s="24" t="n"/>
      <c r="M4904" s="29" t="n"/>
      <c r="N4904" s="28" t="n"/>
      <c r="O4904" s="24" t="n"/>
      <c r="P4904" s="24" t="n"/>
      <c r="Q4904" s="24" t="n"/>
      <c r="R4904" s="24" t="n"/>
      <c r="S4904" s="22">
        <f>IF(AND($A4904="",$C4904=""),"",IF($A4904="","Thiếu mã đơn; ","")&amp;IF(COUNTIF($A$2:$A4904,$A4904)&gt;1,"Trùng mã đơn; ","")&amp;IF(ISNA(MATCH($C4904,DATA_MASTER!$D$2:$D$5000,0)),"SĐT chưa đăng ký hội viên; ","")&amp;IF(AND($L4904="Đã chuyển khoản",$M4904=""),"Thiếu ngày nhận CK; ",""))</f>
        <v/>
      </c>
      <c r="T4904" s="24" t="n"/>
    </row>
    <row r="4905" ht="14.25" customHeight="1" s="40">
      <c r="A4905" s="24" t="n"/>
      <c r="B4905" s="29" t="n"/>
      <c r="C4905" s="28" t="n"/>
      <c r="D4905" s="22">
        <f t="array" ref="D4905">IF($C4905="","",IFERROR(INDEX(DATA_MASTER!$C$2:$C$5000,MATCH($C4905,DATA_MASTER!$D$2:$D$5000,0)),""))</f>
        <v/>
      </c>
      <c r="E4905" s="22">
        <f t="array" ref="E4905">IF($C4905="","",IFERROR(INDEX(DATA_MASTER!$I$2:$I$5000,MATCH($C4905,DATA_MASTER!$D$2:$D$5000,0)),""))</f>
        <v/>
      </c>
      <c r="F4905" s="22">
        <f t="array" ref="F4905">IF($C4905="","",IFERROR(INDEX(DATA_MASTER!$L$2:$L$5000,MATCH($C4905,DATA_MASTER!$D$2:$D$5000,0)),""))</f>
        <v/>
      </c>
      <c r="G4905" s="24" t="n"/>
      <c r="H4905" s="24" t="n"/>
      <c r="I4905" s="30" t="n"/>
      <c r="J4905" s="23">
        <f>IF(OR($H4905="",$I4905=""),"",$H4905*$I4905)</f>
        <v/>
      </c>
      <c r="K4905" s="24" t="n"/>
      <c r="L4905" s="24" t="n"/>
      <c r="M4905" s="29" t="n"/>
      <c r="N4905" s="28" t="n"/>
      <c r="O4905" s="24" t="n"/>
      <c r="P4905" s="24" t="n"/>
      <c r="Q4905" s="24" t="n"/>
      <c r="R4905" s="24" t="n"/>
      <c r="S4905" s="22">
        <f>IF(AND($A4905="",$C4905=""),"",IF($A4905="","Thiếu mã đơn; ","")&amp;IF(COUNTIF($A$2:$A4905,$A4905)&gt;1,"Trùng mã đơn; ","")&amp;IF(ISNA(MATCH($C4905,DATA_MASTER!$D$2:$D$5000,0)),"SĐT chưa đăng ký hội viên; ","")&amp;IF(AND($L4905="Đã chuyển khoản",$M4905=""),"Thiếu ngày nhận CK; ",""))</f>
        <v/>
      </c>
      <c r="T4905" s="24" t="n"/>
    </row>
    <row r="4906" ht="14.25" customHeight="1" s="40">
      <c r="A4906" s="24" t="n"/>
      <c r="B4906" s="29" t="n"/>
      <c r="C4906" s="28" t="n"/>
      <c r="D4906" s="22">
        <f t="array" ref="D4906">IF($C4906="","",IFERROR(INDEX(DATA_MASTER!$C$2:$C$5000,MATCH($C4906,DATA_MASTER!$D$2:$D$5000,0)),""))</f>
        <v/>
      </c>
      <c r="E4906" s="22">
        <f t="array" ref="E4906">IF($C4906="","",IFERROR(INDEX(DATA_MASTER!$I$2:$I$5000,MATCH($C4906,DATA_MASTER!$D$2:$D$5000,0)),""))</f>
        <v/>
      </c>
      <c r="F4906" s="22">
        <f t="array" ref="F4906">IF($C4906="","",IFERROR(INDEX(DATA_MASTER!$L$2:$L$5000,MATCH($C4906,DATA_MASTER!$D$2:$D$5000,0)),""))</f>
        <v/>
      </c>
      <c r="G4906" s="24" t="n"/>
      <c r="H4906" s="24" t="n"/>
      <c r="I4906" s="30" t="n"/>
      <c r="J4906" s="23">
        <f>IF(OR($H4906="",$I4906=""),"",$H4906*$I4906)</f>
        <v/>
      </c>
      <c r="K4906" s="24" t="n"/>
      <c r="L4906" s="24" t="n"/>
      <c r="M4906" s="29" t="n"/>
      <c r="N4906" s="28" t="n"/>
      <c r="O4906" s="24" t="n"/>
      <c r="P4906" s="24" t="n"/>
      <c r="Q4906" s="24" t="n"/>
      <c r="R4906" s="24" t="n"/>
      <c r="S4906" s="22">
        <f>IF(AND($A4906="",$C4906=""),"",IF($A4906="","Thiếu mã đơn; ","")&amp;IF(COUNTIF($A$2:$A4906,$A4906)&gt;1,"Trùng mã đơn; ","")&amp;IF(ISNA(MATCH($C4906,DATA_MASTER!$D$2:$D$5000,0)),"SĐT chưa đăng ký hội viên; ","")&amp;IF(AND($L4906="Đã chuyển khoản",$M4906=""),"Thiếu ngày nhận CK; ",""))</f>
        <v/>
      </c>
      <c r="T4906" s="24" t="n"/>
    </row>
    <row r="4907" ht="14.25" customHeight="1" s="40">
      <c r="A4907" s="24" t="n"/>
      <c r="B4907" s="29" t="n"/>
      <c r="C4907" s="28" t="n"/>
      <c r="D4907" s="22">
        <f t="array" ref="D4907">IF($C4907="","",IFERROR(INDEX(DATA_MASTER!$C$2:$C$5000,MATCH($C4907,DATA_MASTER!$D$2:$D$5000,0)),""))</f>
        <v/>
      </c>
      <c r="E4907" s="22">
        <f t="array" ref="E4907">IF($C4907="","",IFERROR(INDEX(DATA_MASTER!$I$2:$I$5000,MATCH($C4907,DATA_MASTER!$D$2:$D$5000,0)),""))</f>
        <v/>
      </c>
      <c r="F4907" s="22">
        <f t="array" ref="F4907">IF($C4907="","",IFERROR(INDEX(DATA_MASTER!$L$2:$L$5000,MATCH($C4907,DATA_MASTER!$D$2:$D$5000,0)),""))</f>
        <v/>
      </c>
      <c r="G4907" s="24" t="n"/>
      <c r="H4907" s="24" t="n"/>
      <c r="I4907" s="30" t="n"/>
      <c r="J4907" s="23">
        <f>IF(OR($H4907="",$I4907=""),"",$H4907*$I4907)</f>
        <v/>
      </c>
      <c r="K4907" s="24" t="n"/>
      <c r="L4907" s="24" t="n"/>
      <c r="M4907" s="29" t="n"/>
      <c r="N4907" s="28" t="n"/>
      <c r="O4907" s="24" t="n"/>
      <c r="P4907" s="24" t="n"/>
      <c r="Q4907" s="24" t="n"/>
      <c r="R4907" s="24" t="n"/>
      <c r="S4907" s="22">
        <f>IF(AND($A4907="",$C4907=""),"",IF($A4907="","Thiếu mã đơn; ","")&amp;IF(COUNTIF($A$2:$A4907,$A4907)&gt;1,"Trùng mã đơn; ","")&amp;IF(ISNA(MATCH($C4907,DATA_MASTER!$D$2:$D$5000,0)),"SĐT chưa đăng ký hội viên; ","")&amp;IF(AND($L4907="Đã chuyển khoản",$M4907=""),"Thiếu ngày nhận CK; ",""))</f>
        <v/>
      </c>
      <c r="T4907" s="24" t="n"/>
    </row>
    <row r="4908" ht="14.25" customHeight="1" s="40">
      <c r="A4908" s="24" t="n"/>
      <c r="B4908" s="29" t="n"/>
      <c r="C4908" s="28" t="n"/>
      <c r="D4908" s="22">
        <f t="array" ref="D4908">IF($C4908="","",IFERROR(INDEX(DATA_MASTER!$C$2:$C$5000,MATCH($C4908,DATA_MASTER!$D$2:$D$5000,0)),""))</f>
        <v/>
      </c>
      <c r="E4908" s="22">
        <f t="array" ref="E4908">IF($C4908="","",IFERROR(INDEX(DATA_MASTER!$I$2:$I$5000,MATCH($C4908,DATA_MASTER!$D$2:$D$5000,0)),""))</f>
        <v/>
      </c>
      <c r="F4908" s="22">
        <f t="array" ref="F4908">IF($C4908="","",IFERROR(INDEX(DATA_MASTER!$L$2:$L$5000,MATCH($C4908,DATA_MASTER!$D$2:$D$5000,0)),""))</f>
        <v/>
      </c>
      <c r="G4908" s="24" t="n"/>
      <c r="H4908" s="24" t="n"/>
      <c r="I4908" s="30" t="n"/>
      <c r="J4908" s="23">
        <f>IF(OR($H4908="",$I4908=""),"",$H4908*$I4908)</f>
        <v/>
      </c>
      <c r="K4908" s="24" t="n"/>
      <c r="L4908" s="24" t="n"/>
      <c r="M4908" s="29" t="n"/>
      <c r="N4908" s="28" t="n"/>
      <c r="O4908" s="24" t="n"/>
      <c r="P4908" s="24" t="n"/>
      <c r="Q4908" s="24" t="n"/>
      <c r="R4908" s="24" t="n"/>
      <c r="S4908" s="22">
        <f>IF(AND($A4908="",$C4908=""),"",IF($A4908="","Thiếu mã đơn; ","")&amp;IF(COUNTIF($A$2:$A4908,$A4908)&gt;1,"Trùng mã đơn; ","")&amp;IF(ISNA(MATCH($C4908,DATA_MASTER!$D$2:$D$5000,0)),"SĐT chưa đăng ký hội viên; ","")&amp;IF(AND($L4908="Đã chuyển khoản",$M4908=""),"Thiếu ngày nhận CK; ",""))</f>
        <v/>
      </c>
      <c r="T4908" s="24" t="n"/>
    </row>
    <row r="4909" ht="14.25" customHeight="1" s="40">
      <c r="A4909" s="24" t="n"/>
      <c r="B4909" s="29" t="n"/>
      <c r="C4909" s="28" t="n"/>
      <c r="D4909" s="22">
        <f t="array" ref="D4909">IF($C4909="","",IFERROR(INDEX(DATA_MASTER!$C$2:$C$5000,MATCH($C4909,DATA_MASTER!$D$2:$D$5000,0)),""))</f>
        <v/>
      </c>
      <c r="E4909" s="22">
        <f t="array" ref="E4909">IF($C4909="","",IFERROR(INDEX(DATA_MASTER!$I$2:$I$5000,MATCH($C4909,DATA_MASTER!$D$2:$D$5000,0)),""))</f>
        <v/>
      </c>
      <c r="F4909" s="22">
        <f t="array" ref="F4909">IF($C4909="","",IFERROR(INDEX(DATA_MASTER!$L$2:$L$5000,MATCH($C4909,DATA_MASTER!$D$2:$D$5000,0)),""))</f>
        <v/>
      </c>
      <c r="G4909" s="24" t="n"/>
      <c r="H4909" s="24" t="n"/>
      <c r="I4909" s="30" t="n"/>
      <c r="J4909" s="23">
        <f>IF(OR($H4909="",$I4909=""),"",$H4909*$I4909)</f>
        <v/>
      </c>
      <c r="K4909" s="24" t="n"/>
      <c r="L4909" s="24" t="n"/>
      <c r="M4909" s="29" t="n"/>
      <c r="N4909" s="28" t="n"/>
      <c r="O4909" s="24" t="n"/>
      <c r="P4909" s="24" t="n"/>
      <c r="Q4909" s="24" t="n"/>
      <c r="R4909" s="24" t="n"/>
      <c r="S4909" s="22">
        <f>IF(AND($A4909="",$C4909=""),"",IF($A4909="","Thiếu mã đơn; ","")&amp;IF(COUNTIF($A$2:$A4909,$A4909)&gt;1,"Trùng mã đơn; ","")&amp;IF(ISNA(MATCH($C4909,DATA_MASTER!$D$2:$D$5000,0)),"SĐT chưa đăng ký hội viên; ","")&amp;IF(AND($L4909="Đã chuyển khoản",$M4909=""),"Thiếu ngày nhận CK; ",""))</f>
        <v/>
      </c>
      <c r="T4909" s="24" t="n"/>
    </row>
    <row r="4910" ht="14.25" customHeight="1" s="40">
      <c r="A4910" s="24" t="n"/>
      <c r="B4910" s="29" t="n"/>
      <c r="C4910" s="28" t="n"/>
      <c r="D4910" s="22">
        <f t="array" ref="D4910">IF($C4910="","",IFERROR(INDEX(DATA_MASTER!$C$2:$C$5000,MATCH($C4910,DATA_MASTER!$D$2:$D$5000,0)),""))</f>
        <v/>
      </c>
      <c r="E4910" s="22">
        <f t="array" ref="E4910">IF($C4910="","",IFERROR(INDEX(DATA_MASTER!$I$2:$I$5000,MATCH($C4910,DATA_MASTER!$D$2:$D$5000,0)),""))</f>
        <v/>
      </c>
      <c r="F4910" s="22">
        <f t="array" ref="F4910">IF($C4910="","",IFERROR(INDEX(DATA_MASTER!$L$2:$L$5000,MATCH($C4910,DATA_MASTER!$D$2:$D$5000,0)),""))</f>
        <v/>
      </c>
      <c r="G4910" s="24" t="n"/>
      <c r="H4910" s="24" t="n"/>
      <c r="I4910" s="30" t="n"/>
      <c r="J4910" s="23">
        <f>IF(OR($H4910="",$I4910=""),"",$H4910*$I4910)</f>
        <v/>
      </c>
      <c r="K4910" s="24" t="n"/>
      <c r="L4910" s="24" t="n"/>
      <c r="M4910" s="29" t="n"/>
      <c r="N4910" s="28" t="n"/>
      <c r="O4910" s="24" t="n"/>
      <c r="P4910" s="24" t="n"/>
      <c r="Q4910" s="24" t="n"/>
      <c r="R4910" s="24" t="n"/>
      <c r="S4910" s="22">
        <f>IF(AND($A4910="",$C4910=""),"",IF($A4910="","Thiếu mã đơn; ","")&amp;IF(COUNTIF($A$2:$A4910,$A4910)&gt;1,"Trùng mã đơn; ","")&amp;IF(ISNA(MATCH($C4910,DATA_MASTER!$D$2:$D$5000,0)),"SĐT chưa đăng ký hội viên; ","")&amp;IF(AND($L4910="Đã chuyển khoản",$M4910=""),"Thiếu ngày nhận CK; ",""))</f>
        <v/>
      </c>
      <c r="T4910" s="24" t="n"/>
    </row>
    <row r="4911" ht="14.25" customHeight="1" s="40">
      <c r="A4911" s="24" t="n"/>
      <c r="B4911" s="29" t="n"/>
      <c r="C4911" s="28" t="n"/>
      <c r="D4911" s="22">
        <f t="array" ref="D4911">IF($C4911="","",IFERROR(INDEX(DATA_MASTER!$C$2:$C$5000,MATCH($C4911,DATA_MASTER!$D$2:$D$5000,0)),""))</f>
        <v/>
      </c>
      <c r="E4911" s="22">
        <f t="array" ref="E4911">IF($C4911="","",IFERROR(INDEX(DATA_MASTER!$I$2:$I$5000,MATCH($C4911,DATA_MASTER!$D$2:$D$5000,0)),""))</f>
        <v/>
      </c>
      <c r="F4911" s="22">
        <f t="array" ref="F4911">IF($C4911="","",IFERROR(INDEX(DATA_MASTER!$L$2:$L$5000,MATCH($C4911,DATA_MASTER!$D$2:$D$5000,0)),""))</f>
        <v/>
      </c>
      <c r="G4911" s="24" t="n"/>
      <c r="H4911" s="24" t="n"/>
      <c r="I4911" s="30" t="n"/>
      <c r="J4911" s="23">
        <f>IF(OR($H4911="",$I4911=""),"",$H4911*$I4911)</f>
        <v/>
      </c>
      <c r="K4911" s="24" t="n"/>
      <c r="L4911" s="24" t="n"/>
      <c r="M4911" s="29" t="n"/>
      <c r="N4911" s="28" t="n"/>
      <c r="O4911" s="24" t="n"/>
      <c r="P4911" s="24" t="n"/>
      <c r="Q4911" s="24" t="n"/>
      <c r="R4911" s="24" t="n"/>
      <c r="S4911" s="22">
        <f>IF(AND($A4911="",$C4911=""),"",IF($A4911="","Thiếu mã đơn; ","")&amp;IF(COUNTIF($A$2:$A4911,$A4911)&gt;1,"Trùng mã đơn; ","")&amp;IF(ISNA(MATCH($C4911,DATA_MASTER!$D$2:$D$5000,0)),"SĐT chưa đăng ký hội viên; ","")&amp;IF(AND($L4911="Đã chuyển khoản",$M4911=""),"Thiếu ngày nhận CK; ",""))</f>
        <v/>
      </c>
      <c r="T4911" s="24" t="n"/>
    </row>
    <row r="4912" ht="14.25" customHeight="1" s="40">
      <c r="A4912" s="24" t="n"/>
      <c r="B4912" s="29" t="n"/>
      <c r="C4912" s="28" t="n"/>
      <c r="D4912" s="22">
        <f t="array" ref="D4912">IF($C4912="","",IFERROR(INDEX(DATA_MASTER!$C$2:$C$5000,MATCH($C4912,DATA_MASTER!$D$2:$D$5000,0)),""))</f>
        <v/>
      </c>
      <c r="E4912" s="22">
        <f t="array" ref="E4912">IF($C4912="","",IFERROR(INDEX(DATA_MASTER!$I$2:$I$5000,MATCH($C4912,DATA_MASTER!$D$2:$D$5000,0)),""))</f>
        <v/>
      </c>
      <c r="F4912" s="22">
        <f t="array" ref="F4912">IF($C4912="","",IFERROR(INDEX(DATA_MASTER!$L$2:$L$5000,MATCH($C4912,DATA_MASTER!$D$2:$D$5000,0)),""))</f>
        <v/>
      </c>
      <c r="G4912" s="24" t="n"/>
      <c r="H4912" s="24" t="n"/>
      <c r="I4912" s="30" t="n"/>
      <c r="J4912" s="23">
        <f>IF(OR($H4912="",$I4912=""),"",$H4912*$I4912)</f>
        <v/>
      </c>
      <c r="K4912" s="24" t="n"/>
      <c r="L4912" s="24" t="n"/>
      <c r="M4912" s="29" t="n"/>
      <c r="N4912" s="28" t="n"/>
      <c r="O4912" s="24" t="n"/>
      <c r="P4912" s="24" t="n"/>
      <c r="Q4912" s="24" t="n"/>
      <c r="R4912" s="24" t="n"/>
      <c r="S4912" s="22">
        <f>IF(AND($A4912="",$C4912=""),"",IF($A4912="","Thiếu mã đơn; ","")&amp;IF(COUNTIF($A$2:$A4912,$A4912)&gt;1,"Trùng mã đơn; ","")&amp;IF(ISNA(MATCH($C4912,DATA_MASTER!$D$2:$D$5000,0)),"SĐT chưa đăng ký hội viên; ","")&amp;IF(AND($L4912="Đã chuyển khoản",$M4912=""),"Thiếu ngày nhận CK; ",""))</f>
        <v/>
      </c>
      <c r="T4912" s="24" t="n"/>
    </row>
    <row r="4913" ht="14.25" customHeight="1" s="40">
      <c r="A4913" s="24" t="n"/>
      <c r="B4913" s="29" t="n"/>
      <c r="C4913" s="28" t="n"/>
      <c r="D4913" s="22">
        <f t="array" ref="D4913">IF($C4913="","",IFERROR(INDEX(DATA_MASTER!$C$2:$C$5000,MATCH($C4913,DATA_MASTER!$D$2:$D$5000,0)),""))</f>
        <v/>
      </c>
      <c r="E4913" s="22">
        <f t="array" ref="E4913">IF($C4913="","",IFERROR(INDEX(DATA_MASTER!$I$2:$I$5000,MATCH($C4913,DATA_MASTER!$D$2:$D$5000,0)),""))</f>
        <v/>
      </c>
      <c r="F4913" s="22">
        <f t="array" ref="F4913">IF($C4913="","",IFERROR(INDEX(DATA_MASTER!$L$2:$L$5000,MATCH($C4913,DATA_MASTER!$D$2:$D$5000,0)),""))</f>
        <v/>
      </c>
      <c r="G4913" s="24" t="n"/>
      <c r="H4913" s="24" t="n"/>
      <c r="I4913" s="30" t="n"/>
      <c r="J4913" s="23">
        <f>IF(OR($H4913="",$I4913=""),"",$H4913*$I4913)</f>
        <v/>
      </c>
      <c r="K4913" s="24" t="n"/>
      <c r="L4913" s="24" t="n"/>
      <c r="M4913" s="29" t="n"/>
      <c r="N4913" s="28" t="n"/>
      <c r="O4913" s="24" t="n"/>
      <c r="P4913" s="24" t="n"/>
      <c r="Q4913" s="24" t="n"/>
      <c r="R4913" s="24" t="n"/>
      <c r="S4913" s="22">
        <f>IF(AND($A4913="",$C4913=""),"",IF($A4913="","Thiếu mã đơn; ","")&amp;IF(COUNTIF($A$2:$A4913,$A4913)&gt;1,"Trùng mã đơn; ","")&amp;IF(ISNA(MATCH($C4913,DATA_MASTER!$D$2:$D$5000,0)),"SĐT chưa đăng ký hội viên; ","")&amp;IF(AND($L4913="Đã chuyển khoản",$M4913=""),"Thiếu ngày nhận CK; ",""))</f>
        <v/>
      </c>
      <c r="T4913" s="24" t="n"/>
    </row>
    <row r="4914" ht="14.25" customHeight="1" s="40">
      <c r="A4914" s="24" t="n"/>
      <c r="B4914" s="29" t="n"/>
      <c r="C4914" s="28" t="n"/>
      <c r="D4914" s="22">
        <f t="array" ref="D4914">IF($C4914="","",IFERROR(INDEX(DATA_MASTER!$C$2:$C$5000,MATCH($C4914,DATA_MASTER!$D$2:$D$5000,0)),""))</f>
        <v/>
      </c>
      <c r="E4914" s="22">
        <f t="array" ref="E4914">IF($C4914="","",IFERROR(INDEX(DATA_MASTER!$I$2:$I$5000,MATCH($C4914,DATA_MASTER!$D$2:$D$5000,0)),""))</f>
        <v/>
      </c>
      <c r="F4914" s="22">
        <f t="array" ref="F4914">IF($C4914="","",IFERROR(INDEX(DATA_MASTER!$L$2:$L$5000,MATCH($C4914,DATA_MASTER!$D$2:$D$5000,0)),""))</f>
        <v/>
      </c>
      <c r="G4914" s="24" t="n"/>
      <c r="H4914" s="24" t="n"/>
      <c r="I4914" s="30" t="n"/>
      <c r="J4914" s="23">
        <f>IF(OR($H4914="",$I4914=""),"",$H4914*$I4914)</f>
        <v/>
      </c>
      <c r="K4914" s="24" t="n"/>
      <c r="L4914" s="24" t="n"/>
      <c r="M4914" s="29" t="n"/>
      <c r="N4914" s="28" t="n"/>
      <c r="O4914" s="24" t="n"/>
      <c r="P4914" s="24" t="n"/>
      <c r="Q4914" s="24" t="n"/>
      <c r="R4914" s="24" t="n"/>
      <c r="S4914" s="22">
        <f>IF(AND($A4914="",$C4914=""),"",IF($A4914="","Thiếu mã đơn; ","")&amp;IF(COUNTIF($A$2:$A4914,$A4914)&gt;1,"Trùng mã đơn; ","")&amp;IF(ISNA(MATCH($C4914,DATA_MASTER!$D$2:$D$5000,0)),"SĐT chưa đăng ký hội viên; ","")&amp;IF(AND($L4914="Đã chuyển khoản",$M4914=""),"Thiếu ngày nhận CK; ",""))</f>
        <v/>
      </c>
      <c r="T4914" s="24" t="n"/>
    </row>
    <row r="4915" ht="14.25" customHeight="1" s="40">
      <c r="A4915" s="24" t="n"/>
      <c r="B4915" s="29" t="n"/>
      <c r="C4915" s="28" t="n"/>
      <c r="D4915" s="22">
        <f t="array" ref="D4915">IF($C4915="","",IFERROR(INDEX(DATA_MASTER!$C$2:$C$5000,MATCH($C4915,DATA_MASTER!$D$2:$D$5000,0)),""))</f>
        <v/>
      </c>
      <c r="E4915" s="22">
        <f t="array" ref="E4915">IF($C4915="","",IFERROR(INDEX(DATA_MASTER!$I$2:$I$5000,MATCH($C4915,DATA_MASTER!$D$2:$D$5000,0)),""))</f>
        <v/>
      </c>
      <c r="F4915" s="22">
        <f t="array" ref="F4915">IF($C4915="","",IFERROR(INDEX(DATA_MASTER!$L$2:$L$5000,MATCH($C4915,DATA_MASTER!$D$2:$D$5000,0)),""))</f>
        <v/>
      </c>
      <c r="G4915" s="24" t="n"/>
      <c r="H4915" s="24" t="n"/>
      <c r="I4915" s="30" t="n"/>
      <c r="J4915" s="23">
        <f>IF(OR($H4915="",$I4915=""),"",$H4915*$I4915)</f>
        <v/>
      </c>
      <c r="K4915" s="24" t="n"/>
      <c r="L4915" s="24" t="n"/>
      <c r="M4915" s="29" t="n"/>
      <c r="N4915" s="28" t="n"/>
      <c r="O4915" s="24" t="n"/>
      <c r="P4915" s="24" t="n"/>
      <c r="Q4915" s="24" t="n"/>
      <c r="R4915" s="24" t="n"/>
      <c r="S4915" s="22">
        <f>IF(AND($A4915="",$C4915=""),"",IF($A4915="","Thiếu mã đơn; ","")&amp;IF(COUNTIF($A$2:$A4915,$A4915)&gt;1,"Trùng mã đơn; ","")&amp;IF(ISNA(MATCH($C4915,DATA_MASTER!$D$2:$D$5000,0)),"SĐT chưa đăng ký hội viên; ","")&amp;IF(AND($L4915="Đã chuyển khoản",$M4915=""),"Thiếu ngày nhận CK; ",""))</f>
        <v/>
      </c>
      <c r="T4915" s="24" t="n"/>
    </row>
    <row r="4916" ht="14.25" customHeight="1" s="40">
      <c r="A4916" s="24" t="n"/>
      <c r="B4916" s="29" t="n"/>
      <c r="C4916" s="28" t="n"/>
      <c r="D4916" s="22">
        <f t="array" ref="D4916">IF($C4916="","",IFERROR(INDEX(DATA_MASTER!$C$2:$C$5000,MATCH($C4916,DATA_MASTER!$D$2:$D$5000,0)),""))</f>
        <v/>
      </c>
      <c r="E4916" s="22">
        <f t="array" ref="E4916">IF($C4916="","",IFERROR(INDEX(DATA_MASTER!$I$2:$I$5000,MATCH($C4916,DATA_MASTER!$D$2:$D$5000,0)),""))</f>
        <v/>
      </c>
      <c r="F4916" s="22">
        <f t="array" ref="F4916">IF($C4916="","",IFERROR(INDEX(DATA_MASTER!$L$2:$L$5000,MATCH($C4916,DATA_MASTER!$D$2:$D$5000,0)),""))</f>
        <v/>
      </c>
      <c r="G4916" s="24" t="n"/>
      <c r="H4916" s="24" t="n"/>
      <c r="I4916" s="30" t="n"/>
      <c r="J4916" s="23">
        <f>IF(OR($H4916="",$I4916=""),"",$H4916*$I4916)</f>
        <v/>
      </c>
      <c r="K4916" s="24" t="n"/>
      <c r="L4916" s="24" t="n"/>
      <c r="M4916" s="29" t="n"/>
      <c r="N4916" s="28" t="n"/>
      <c r="O4916" s="24" t="n"/>
      <c r="P4916" s="24" t="n"/>
      <c r="Q4916" s="24" t="n"/>
      <c r="R4916" s="24" t="n"/>
      <c r="S4916" s="22">
        <f>IF(AND($A4916="",$C4916=""),"",IF($A4916="","Thiếu mã đơn; ","")&amp;IF(COUNTIF($A$2:$A4916,$A4916)&gt;1,"Trùng mã đơn; ","")&amp;IF(ISNA(MATCH($C4916,DATA_MASTER!$D$2:$D$5000,0)),"SĐT chưa đăng ký hội viên; ","")&amp;IF(AND($L4916="Đã chuyển khoản",$M4916=""),"Thiếu ngày nhận CK; ",""))</f>
        <v/>
      </c>
      <c r="T4916" s="24" t="n"/>
    </row>
    <row r="4917" ht="14.25" customHeight="1" s="40">
      <c r="A4917" s="24" t="n"/>
      <c r="B4917" s="29" t="n"/>
      <c r="C4917" s="28" t="n"/>
      <c r="D4917" s="22">
        <f t="array" ref="D4917">IF($C4917="","",IFERROR(INDEX(DATA_MASTER!$C$2:$C$5000,MATCH($C4917,DATA_MASTER!$D$2:$D$5000,0)),""))</f>
        <v/>
      </c>
      <c r="E4917" s="22">
        <f t="array" ref="E4917">IF($C4917="","",IFERROR(INDEX(DATA_MASTER!$I$2:$I$5000,MATCH($C4917,DATA_MASTER!$D$2:$D$5000,0)),""))</f>
        <v/>
      </c>
      <c r="F4917" s="22">
        <f t="array" ref="F4917">IF($C4917="","",IFERROR(INDEX(DATA_MASTER!$L$2:$L$5000,MATCH($C4917,DATA_MASTER!$D$2:$D$5000,0)),""))</f>
        <v/>
      </c>
      <c r="G4917" s="24" t="n"/>
      <c r="H4917" s="24" t="n"/>
      <c r="I4917" s="30" t="n"/>
      <c r="J4917" s="23">
        <f>IF(OR($H4917="",$I4917=""),"",$H4917*$I4917)</f>
        <v/>
      </c>
      <c r="K4917" s="24" t="n"/>
      <c r="L4917" s="24" t="n"/>
      <c r="M4917" s="29" t="n"/>
      <c r="N4917" s="28" t="n"/>
      <c r="O4917" s="24" t="n"/>
      <c r="P4917" s="24" t="n"/>
      <c r="Q4917" s="24" t="n"/>
      <c r="R4917" s="24" t="n"/>
      <c r="S4917" s="22">
        <f>IF(AND($A4917="",$C4917=""),"",IF($A4917="","Thiếu mã đơn; ","")&amp;IF(COUNTIF($A$2:$A4917,$A4917)&gt;1,"Trùng mã đơn; ","")&amp;IF(ISNA(MATCH($C4917,DATA_MASTER!$D$2:$D$5000,0)),"SĐT chưa đăng ký hội viên; ","")&amp;IF(AND($L4917="Đã chuyển khoản",$M4917=""),"Thiếu ngày nhận CK; ",""))</f>
        <v/>
      </c>
      <c r="T4917" s="24" t="n"/>
    </row>
    <row r="4918" ht="14.25" customHeight="1" s="40">
      <c r="A4918" s="24" t="n"/>
      <c r="B4918" s="29" t="n"/>
      <c r="C4918" s="28" t="n"/>
      <c r="D4918" s="22">
        <f t="array" ref="D4918">IF($C4918="","",IFERROR(INDEX(DATA_MASTER!$C$2:$C$5000,MATCH($C4918,DATA_MASTER!$D$2:$D$5000,0)),""))</f>
        <v/>
      </c>
      <c r="E4918" s="22">
        <f t="array" ref="E4918">IF($C4918="","",IFERROR(INDEX(DATA_MASTER!$I$2:$I$5000,MATCH($C4918,DATA_MASTER!$D$2:$D$5000,0)),""))</f>
        <v/>
      </c>
      <c r="F4918" s="22">
        <f t="array" ref="F4918">IF($C4918="","",IFERROR(INDEX(DATA_MASTER!$L$2:$L$5000,MATCH($C4918,DATA_MASTER!$D$2:$D$5000,0)),""))</f>
        <v/>
      </c>
      <c r="G4918" s="24" t="n"/>
      <c r="H4918" s="24" t="n"/>
      <c r="I4918" s="30" t="n"/>
      <c r="J4918" s="23">
        <f>IF(OR($H4918="",$I4918=""),"",$H4918*$I4918)</f>
        <v/>
      </c>
      <c r="K4918" s="24" t="n"/>
      <c r="L4918" s="24" t="n"/>
      <c r="M4918" s="29" t="n"/>
      <c r="N4918" s="28" t="n"/>
      <c r="O4918" s="24" t="n"/>
      <c r="P4918" s="24" t="n"/>
      <c r="Q4918" s="24" t="n"/>
      <c r="R4918" s="24" t="n"/>
      <c r="S4918" s="22">
        <f>IF(AND($A4918="",$C4918=""),"",IF($A4918="","Thiếu mã đơn; ","")&amp;IF(COUNTIF($A$2:$A4918,$A4918)&gt;1,"Trùng mã đơn; ","")&amp;IF(ISNA(MATCH($C4918,DATA_MASTER!$D$2:$D$5000,0)),"SĐT chưa đăng ký hội viên; ","")&amp;IF(AND($L4918="Đã chuyển khoản",$M4918=""),"Thiếu ngày nhận CK; ",""))</f>
        <v/>
      </c>
      <c r="T4918" s="24" t="n"/>
    </row>
    <row r="4919" ht="14.25" customHeight="1" s="40">
      <c r="A4919" s="24" t="n"/>
      <c r="B4919" s="29" t="n"/>
      <c r="C4919" s="28" t="n"/>
      <c r="D4919" s="22">
        <f t="array" ref="D4919">IF($C4919="","",IFERROR(INDEX(DATA_MASTER!$C$2:$C$5000,MATCH($C4919,DATA_MASTER!$D$2:$D$5000,0)),""))</f>
        <v/>
      </c>
      <c r="E4919" s="22">
        <f t="array" ref="E4919">IF($C4919="","",IFERROR(INDEX(DATA_MASTER!$I$2:$I$5000,MATCH($C4919,DATA_MASTER!$D$2:$D$5000,0)),""))</f>
        <v/>
      </c>
      <c r="F4919" s="22">
        <f t="array" ref="F4919">IF($C4919="","",IFERROR(INDEX(DATA_MASTER!$L$2:$L$5000,MATCH($C4919,DATA_MASTER!$D$2:$D$5000,0)),""))</f>
        <v/>
      </c>
      <c r="G4919" s="24" t="n"/>
      <c r="H4919" s="24" t="n"/>
      <c r="I4919" s="30" t="n"/>
      <c r="J4919" s="23">
        <f>IF(OR($H4919="",$I4919=""),"",$H4919*$I4919)</f>
        <v/>
      </c>
      <c r="K4919" s="24" t="n"/>
      <c r="L4919" s="24" t="n"/>
      <c r="M4919" s="29" t="n"/>
      <c r="N4919" s="28" t="n"/>
      <c r="O4919" s="24" t="n"/>
      <c r="P4919" s="24" t="n"/>
      <c r="Q4919" s="24" t="n"/>
      <c r="R4919" s="24" t="n"/>
      <c r="S4919" s="22">
        <f>IF(AND($A4919="",$C4919=""),"",IF($A4919="","Thiếu mã đơn; ","")&amp;IF(COUNTIF($A$2:$A4919,$A4919)&gt;1,"Trùng mã đơn; ","")&amp;IF(ISNA(MATCH($C4919,DATA_MASTER!$D$2:$D$5000,0)),"SĐT chưa đăng ký hội viên; ","")&amp;IF(AND($L4919="Đã chuyển khoản",$M4919=""),"Thiếu ngày nhận CK; ",""))</f>
        <v/>
      </c>
      <c r="T4919" s="24" t="n"/>
    </row>
    <row r="4920" ht="14.25" customHeight="1" s="40">
      <c r="A4920" s="24" t="n"/>
      <c r="B4920" s="29" t="n"/>
      <c r="C4920" s="28" t="n"/>
      <c r="D4920" s="22">
        <f t="array" ref="D4920">IF($C4920="","",IFERROR(INDEX(DATA_MASTER!$C$2:$C$5000,MATCH($C4920,DATA_MASTER!$D$2:$D$5000,0)),""))</f>
        <v/>
      </c>
      <c r="E4920" s="22">
        <f t="array" ref="E4920">IF($C4920="","",IFERROR(INDEX(DATA_MASTER!$I$2:$I$5000,MATCH($C4920,DATA_MASTER!$D$2:$D$5000,0)),""))</f>
        <v/>
      </c>
      <c r="F4920" s="22">
        <f t="array" ref="F4920">IF($C4920="","",IFERROR(INDEX(DATA_MASTER!$L$2:$L$5000,MATCH($C4920,DATA_MASTER!$D$2:$D$5000,0)),""))</f>
        <v/>
      </c>
      <c r="G4920" s="24" t="n"/>
      <c r="H4920" s="24" t="n"/>
      <c r="I4920" s="30" t="n"/>
      <c r="J4920" s="23">
        <f>IF(OR($H4920="",$I4920=""),"",$H4920*$I4920)</f>
        <v/>
      </c>
      <c r="K4920" s="24" t="n"/>
      <c r="L4920" s="24" t="n"/>
      <c r="M4920" s="29" t="n"/>
      <c r="N4920" s="28" t="n"/>
      <c r="O4920" s="24" t="n"/>
      <c r="P4920" s="24" t="n"/>
      <c r="Q4920" s="24" t="n"/>
      <c r="R4920" s="24" t="n"/>
      <c r="S4920" s="22">
        <f>IF(AND($A4920="",$C4920=""),"",IF($A4920="","Thiếu mã đơn; ","")&amp;IF(COUNTIF($A$2:$A4920,$A4920)&gt;1,"Trùng mã đơn; ","")&amp;IF(ISNA(MATCH($C4920,DATA_MASTER!$D$2:$D$5000,0)),"SĐT chưa đăng ký hội viên; ","")&amp;IF(AND($L4920="Đã chuyển khoản",$M4920=""),"Thiếu ngày nhận CK; ",""))</f>
        <v/>
      </c>
      <c r="T4920" s="24" t="n"/>
    </row>
    <row r="4921" ht="14.25" customHeight="1" s="40">
      <c r="A4921" s="24" t="n"/>
      <c r="B4921" s="29" t="n"/>
      <c r="C4921" s="28" t="n"/>
      <c r="D4921" s="22">
        <f t="array" ref="D4921">IF($C4921="","",IFERROR(INDEX(DATA_MASTER!$C$2:$C$5000,MATCH($C4921,DATA_MASTER!$D$2:$D$5000,0)),""))</f>
        <v/>
      </c>
      <c r="E4921" s="22">
        <f t="array" ref="E4921">IF($C4921="","",IFERROR(INDEX(DATA_MASTER!$I$2:$I$5000,MATCH($C4921,DATA_MASTER!$D$2:$D$5000,0)),""))</f>
        <v/>
      </c>
      <c r="F4921" s="22">
        <f t="array" ref="F4921">IF($C4921="","",IFERROR(INDEX(DATA_MASTER!$L$2:$L$5000,MATCH($C4921,DATA_MASTER!$D$2:$D$5000,0)),""))</f>
        <v/>
      </c>
      <c r="G4921" s="24" t="n"/>
      <c r="H4921" s="24" t="n"/>
      <c r="I4921" s="30" t="n"/>
      <c r="J4921" s="23">
        <f>IF(OR($H4921="",$I4921=""),"",$H4921*$I4921)</f>
        <v/>
      </c>
      <c r="K4921" s="24" t="n"/>
      <c r="L4921" s="24" t="n"/>
      <c r="M4921" s="29" t="n"/>
      <c r="N4921" s="28" t="n"/>
      <c r="O4921" s="24" t="n"/>
      <c r="P4921" s="24" t="n"/>
      <c r="Q4921" s="24" t="n"/>
      <c r="R4921" s="24" t="n"/>
      <c r="S4921" s="22">
        <f>IF(AND($A4921="",$C4921=""),"",IF($A4921="","Thiếu mã đơn; ","")&amp;IF(COUNTIF($A$2:$A4921,$A4921)&gt;1,"Trùng mã đơn; ","")&amp;IF(ISNA(MATCH($C4921,DATA_MASTER!$D$2:$D$5000,0)),"SĐT chưa đăng ký hội viên; ","")&amp;IF(AND($L4921="Đã chuyển khoản",$M4921=""),"Thiếu ngày nhận CK; ",""))</f>
        <v/>
      </c>
      <c r="T4921" s="24" t="n"/>
    </row>
    <row r="4922" ht="14.25" customHeight="1" s="40">
      <c r="A4922" s="24" t="n"/>
      <c r="B4922" s="29" t="n"/>
      <c r="C4922" s="28" t="n"/>
      <c r="D4922" s="22">
        <f t="array" ref="D4922">IF($C4922="","",IFERROR(INDEX(DATA_MASTER!$C$2:$C$5000,MATCH($C4922,DATA_MASTER!$D$2:$D$5000,0)),""))</f>
        <v/>
      </c>
      <c r="E4922" s="22">
        <f t="array" ref="E4922">IF($C4922="","",IFERROR(INDEX(DATA_MASTER!$I$2:$I$5000,MATCH($C4922,DATA_MASTER!$D$2:$D$5000,0)),""))</f>
        <v/>
      </c>
      <c r="F4922" s="22">
        <f t="array" ref="F4922">IF($C4922="","",IFERROR(INDEX(DATA_MASTER!$L$2:$L$5000,MATCH($C4922,DATA_MASTER!$D$2:$D$5000,0)),""))</f>
        <v/>
      </c>
      <c r="G4922" s="24" t="n"/>
      <c r="H4922" s="24" t="n"/>
      <c r="I4922" s="30" t="n"/>
      <c r="J4922" s="23">
        <f>IF(OR($H4922="",$I4922=""),"",$H4922*$I4922)</f>
        <v/>
      </c>
      <c r="K4922" s="24" t="n"/>
      <c r="L4922" s="24" t="n"/>
      <c r="M4922" s="29" t="n"/>
      <c r="N4922" s="28" t="n"/>
      <c r="O4922" s="24" t="n"/>
      <c r="P4922" s="24" t="n"/>
      <c r="Q4922" s="24" t="n"/>
      <c r="R4922" s="24" t="n"/>
      <c r="S4922" s="22">
        <f>IF(AND($A4922="",$C4922=""),"",IF($A4922="","Thiếu mã đơn; ","")&amp;IF(COUNTIF($A$2:$A4922,$A4922)&gt;1,"Trùng mã đơn; ","")&amp;IF(ISNA(MATCH($C4922,DATA_MASTER!$D$2:$D$5000,0)),"SĐT chưa đăng ký hội viên; ","")&amp;IF(AND($L4922="Đã chuyển khoản",$M4922=""),"Thiếu ngày nhận CK; ",""))</f>
        <v/>
      </c>
      <c r="T4922" s="24" t="n"/>
    </row>
    <row r="4923" ht="14.25" customHeight="1" s="40">
      <c r="A4923" s="24" t="n"/>
      <c r="B4923" s="29" t="n"/>
      <c r="C4923" s="28" t="n"/>
      <c r="D4923" s="22">
        <f t="array" ref="D4923">IF($C4923="","",IFERROR(INDEX(DATA_MASTER!$C$2:$C$5000,MATCH($C4923,DATA_MASTER!$D$2:$D$5000,0)),""))</f>
        <v/>
      </c>
      <c r="E4923" s="22">
        <f t="array" ref="E4923">IF($C4923="","",IFERROR(INDEX(DATA_MASTER!$I$2:$I$5000,MATCH($C4923,DATA_MASTER!$D$2:$D$5000,0)),""))</f>
        <v/>
      </c>
      <c r="F4923" s="22">
        <f t="array" ref="F4923">IF($C4923="","",IFERROR(INDEX(DATA_MASTER!$L$2:$L$5000,MATCH($C4923,DATA_MASTER!$D$2:$D$5000,0)),""))</f>
        <v/>
      </c>
      <c r="G4923" s="24" t="n"/>
      <c r="H4923" s="24" t="n"/>
      <c r="I4923" s="30" t="n"/>
      <c r="J4923" s="23">
        <f>IF(OR($H4923="",$I4923=""),"",$H4923*$I4923)</f>
        <v/>
      </c>
      <c r="K4923" s="24" t="n"/>
      <c r="L4923" s="24" t="n"/>
      <c r="M4923" s="29" t="n"/>
      <c r="N4923" s="28" t="n"/>
      <c r="O4923" s="24" t="n"/>
      <c r="P4923" s="24" t="n"/>
      <c r="Q4923" s="24" t="n"/>
      <c r="R4923" s="24" t="n"/>
      <c r="S4923" s="22">
        <f>IF(AND($A4923="",$C4923=""),"",IF($A4923="","Thiếu mã đơn; ","")&amp;IF(COUNTIF($A$2:$A4923,$A4923)&gt;1,"Trùng mã đơn; ","")&amp;IF(ISNA(MATCH($C4923,DATA_MASTER!$D$2:$D$5000,0)),"SĐT chưa đăng ký hội viên; ","")&amp;IF(AND($L4923="Đã chuyển khoản",$M4923=""),"Thiếu ngày nhận CK; ",""))</f>
        <v/>
      </c>
      <c r="T4923" s="24" t="n"/>
    </row>
    <row r="4924" ht="14.25" customHeight="1" s="40">
      <c r="A4924" s="24" t="n"/>
      <c r="B4924" s="29" t="n"/>
      <c r="C4924" s="28" t="n"/>
      <c r="D4924" s="22">
        <f t="array" ref="D4924">IF($C4924="","",IFERROR(INDEX(DATA_MASTER!$C$2:$C$5000,MATCH($C4924,DATA_MASTER!$D$2:$D$5000,0)),""))</f>
        <v/>
      </c>
      <c r="E4924" s="22">
        <f t="array" ref="E4924">IF($C4924="","",IFERROR(INDEX(DATA_MASTER!$I$2:$I$5000,MATCH($C4924,DATA_MASTER!$D$2:$D$5000,0)),""))</f>
        <v/>
      </c>
      <c r="F4924" s="22">
        <f t="array" ref="F4924">IF($C4924="","",IFERROR(INDEX(DATA_MASTER!$L$2:$L$5000,MATCH($C4924,DATA_MASTER!$D$2:$D$5000,0)),""))</f>
        <v/>
      </c>
      <c r="G4924" s="24" t="n"/>
      <c r="H4924" s="24" t="n"/>
      <c r="I4924" s="30" t="n"/>
      <c r="J4924" s="23">
        <f>IF(OR($H4924="",$I4924=""),"",$H4924*$I4924)</f>
        <v/>
      </c>
      <c r="K4924" s="24" t="n"/>
      <c r="L4924" s="24" t="n"/>
      <c r="M4924" s="29" t="n"/>
      <c r="N4924" s="28" t="n"/>
      <c r="O4924" s="24" t="n"/>
      <c r="P4924" s="24" t="n"/>
      <c r="Q4924" s="24" t="n"/>
      <c r="R4924" s="24" t="n"/>
      <c r="S4924" s="22">
        <f>IF(AND($A4924="",$C4924=""),"",IF($A4924="","Thiếu mã đơn; ","")&amp;IF(COUNTIF($A$2:$A4924,$A4924)&gt;1,"Trùng mã đơn; ","")&amp;IF(ISNA(MATCH($C4924,DATA_MASTER!$D$2:$D$5000,0)),"SĐT chưa đăng ký hội viên; ","")&amp;IF(AND($L4924="Đã chuyển khoản",$M4924=""),"Thiếu ngày nhận CK; ",""))</f>
        <v/>
      </c>
      <c r="T4924" s="24" t="n"/>
    </row>
    <row r="4925" ht="14.25" customHeight="1" s="40">
      <c r="A4925" s="24" t="n"/>
      <c r="B4925" s="29" t="n"/>
      <c r="C4925" s="28" t="n"/>
      <c r="D4925" s="22">
        <f t="array" ref="D4925">IF($C4925="","",IFERROR(INDEX(DATA_MASTER!$C$2:$C$5000,MATCH($C4925,DATA_MASTER!$D$2:$D$5000,0)),""))</f>
        <v/>
      </c>
      <c r="E4925" s="22">
        <f t="array" ref="E4925">IF($C4925="","",IFERROR(INDEX(DATA_MASTER!$I$2:$I$5000,MATCH($C4925,DATA_MASTER!$D$2:$D$5000,0)),""))</f>
        <v/>
      </c>
      <c r="F4925" s="22">
        <f t="array" ref="F4925">IF($C4925="","",IFERROR(INDEX(DATA_MASTER!$L$2:$L$5000,MATCH($C4925,DATA_MASTER!$D$2:$D$5000,0)),""))</f>
        <v/>
      </c>
      <c r="G4925" s="24" t="n"/>
      <c r="H4925" s="24" t="n"/>
      <c r="I4925" s="30" t="n"/>
      <c r="J4925" s="23">
        <f>IF(OR($H4925="",$I4925=""),"",$H4925*$I4925)</f>
        <v/>
      </c>
      <c r="K4925" s="24" t="n"/>
      <c r="L4925" s="24" t="n"/>
      <c r="M4925" s="29" t="n"/>
      <c r="N4925" s="28" t="n"/>
      <c r="O4925" s="24" t="n"/>
      <c r="P4925" s="24" t="n"/>
      <c r="Q4925" s="24" t="n"/>
      <c r="R4925" s="24" t="n"/>
      <c r="S4925" s="22">
        <f>IF(AND($A4925="",$C4925=""),"",IF($A4925="","Thiếu mã đơn; ","")&amp;IF(COUNTIF($A$2:$A4925,$A4925)&gt;1,"Trùng mã đơn; ","")&amp;IF(ISNA(MATCH($C4925,DATA_MASTER!$D$2:$D$5000,0)),"SĐT chưa đăng ký hội viên; ","")&amp;IF(AND($L4925="Đã chuyển khoản",$M4925=""),"Thiếu ngày nhận CK; ",""))</f>
        <v/>
      </c>
      <c r="T4925" s="24" t="n"/>
    </row>
    <row r="4926" ht="14.25" customHeight="1" s="40">
      <c r="A4926" s="24" t="n"/>
      <c r="B4926" s="29" t="n"/>
      <c r="C4926" s="28" t="n"/>
      <c r="D4926" s="22">
        <f t="array" ref="D4926">IF($C4926="","",IFERROR(INDEX(DATA_MASTER!$C$2:$C$5000,MATCH($C4926,DATA_MASTER!$D$2:$D$5000,0)),""))</f>
        <v/>
      </c>
      <c r="E4926" s="22">
        <f t="array" ref="E4926">IF($C4926="","",IFERROR(INDEX(DATA_MASTER!$I$2:$I$5000,MATCH($C4926,DATA_MASTER!$D$2:$D$5000,0)),""))</f>
        <v/>
      </c>
      <c r="F4926" s="22">
        <f t="array" ref="F4926">IF($C4926="","",IFERROR(INDEX(DATA_MASTER!$L$2:$L$5000,MATCH($C4926,DATA_MASTER!$D$2:$D$5000,0)),""))</f>
        <v/>
      </c>
      <c r="G4926" s="24" t="n"/>
      <c r="H4926" s="24" t="n"/>
      <c r="I4926" s="30" t="n"/>
      <c r="J4926" s="23">
        <f>IF(OR($H4926="",$I4926=""),"",$H4926*$I4926)</f>
        <v/>
      </c>
      <c r="K4926" s="24" t="n"/>
      <c r="L4926" s="24" t="n"/>
      <c r="M4926" s="29" t="n"/>
      <c r="N4926" s="28" t="n"/>
      <c r="O4926" s="24" t="n"/>
      <c r="P4926" s="24" t="n"/>
      <c r="Q4926" s="24" t="n"/>
      <c r="R4926" s="24" t="n"/>
      <c r="S4926" s="22">
        <f>IF(AND($A4926="",$C4926=""),"",IF($A4926="","Thiếu mã đơn; ","")&amp;IF(COUNTIF($A$2:$A4926,$A4926)&gt;1,"Trùng mã đơn; ","")&amp;IF(ISNA(MATCH($C4926,DATA_MASTER!$D$2:$D$5000,0)),"SĐT chưa đăng ký hội viên; ","")&amp;IF(AND($L4926="Đã chuyển khoản",$M4926=""),"Thiếu ngày nhận CK; ",""))</f>
        <v/>
      </c>
      <c r="T4926" s="24" t="n"/>
    </row>
    <row r="4927" ht="14.25" customHeight="1" s="40">
      <c r="A4927" s="24" t="n"/>
      <c r="B4927" s="29" t="n"/>
      <c r="C4927" s="28" t="n"/>
      <c r="D4927" s="22">
        <f t="array" ref="D4927">IF($C4927="","",IFERROR(INDEX(DATA_MASTER!$C$2:$C$5000,MATCH($C4927,DATA_MASTER!$D$2:$D$5000,0)),""))</f>
        <v/>
      </c>
      <c r="E4927" s="22">
        <f t="array" ref="E4927">IF($C4927="","",IFERROR(INDEX(DATA_MASTER!$I$2:$I$5000,MATCH($C4927,DATA_MASTER!$D$2:$D$5000,0)),""))</f>
        <v/>
      </c>
      <c r="F4927" s="22">
        <f t="array" ref="F4927">IF($C4927="","",IFERROR(INDEX(DATA_MASTER!$L$2:$L$5000,MATCH($C4927,DATA_MASTER!$D$2:$D$5000,0)),""))</f>
        <v/>
      </c>
      <c r="G4927" s="24" t="n"/>
      <c r="H4927" s="24" t="n"/>
      <c r="I4927" s="30" t="n"/>
      <c r="J4927" s="23">
        <f>IF(OR($H4927="",$I4927=""),"",$H4927*$I4927)</f>
        <v/>
      </c>
      <c r="K4927" s="24" t="n"/>
      <c r="L4927" s="24" t="n"/>
      <c r="M4927" s="29" t="n"/>
      <c r="N4927" s="28" t="n"/>
      <c r="O4927" s="24" t="n"/>
      <c r="P4927" s="24" t="n"/>
      <c r="Q4927" s="24" t="n"/>
      <c r="R4927" s="24" t="n"/>
      <c r="S4927" s="22">
        <f>IF(AND($A4927="",$C4927=""),"",IF($A4927="","Thiếu mã đơn; ","")&amp;IF(COUNTIF($A$2:$A4927,$A4927)&gt;1,"Trùng mã đơn; ","")&amp;IF(ISNA(MATCH($C4927,DATA_MASTER!$D$2:$D$5000,0)),"SĐT chưa đăng ký hội viên; ","")&amp;IF(AND($L4927="Đã chuyển khoản",$M4927=""),"Thiếu ngày nhận CK; ",""))</f>
        <v/>
      </c>
      <c r="T4927" s="24" t="n"/>
    </row>
    <row r="4928" ht="14.25" customHeight="1" s="40">
      <c r="A4928" s="24" t="n"/>
      <c r="B4928" s="29" t="n"/>
      <c r="C4928" s="28" t="n"/>
      <c r="D4928" s="22">
        <f t="array" ref="D4928">IF($C4928="","",IFERROR(INDEX(DATA_MASTER!$C$2:$C$5000,MATCH($C4928,DATA_MASTER!$D$2:$D$5000,0)),""))</f>
        <v/>
      </c>
      <c r="E4928" s="22">
        <f t="array" ref="E4928">IF($C4928="","",IFERROR(INDEX(DATA_MASTER!$I$2:$I$5000,MATCH($C4928,DATA_MASTER!$D$2:$D$5000,0)),""))</f>
        <v/>
      </c>
      <c r="F4928" s="22">
        <f t="array" ref="F4928">IF($C4928="","",IFERROR(INDEX(DATA_MASTER!$L$2:$L$5000,MATCH($C4928,DATA_MASTER!$D$2:$D$5000,0)),""))</f>
        <v/>
      </c>
      <c r="G4928" s="24" t="n"/>
      <c r="H4928" s="24" t="n"/>
      <c r="I4928" s="30" t="n"/>
      <c r="J4928" s="23">
        <f>IF(OR($H4928="",$I4928=""),"",$H4928*$I4928)</f>
        <v/>
      </c>
      <c r="K4928" s="24" t="n"/>
      <c r="L4928" s="24" t="n"/>
      <c r="M4928" s="29" t="n"/>
      <c r="N4928" s="28" t="n"/>
      <c r="O4928" s="24" t="n"/>
      <c r="P4928" s="24" t="n"/>
      <c r="Q4928" s="24" t="n"/>
      <c r="R4928" s="24" t="n"/>
      <c r="S4928" s="22">
        <f>IF(AND($A4928="",$C4928=""),"",IF($A4928="","Thiếu mã đơn; ","")&amp;IF(COUNTIF($A$2:$A4928,$A4928)&gt;1,"Trùng mã đơn; ","")&amp;IF(ISNA(MATCH($C4928,DATA_MASTER!$D$2:$D$5000,0)),"SĐT chưa đăng ký hội viên; ","")&amp;IF(AND($L4928="Đã chuyển khoản",$M4928=""),"Thiếu ngày nhận CK; ",""))</f>
        <v/>
      </c>
      <c r="T4928" s="24" t="n"/>
    </row>
    <row r="4929" ht="14.25" customHeight="1" s="40">
      <c r="A4929" s="24" t="n"/>
      <c r="B4929" s="29" t="n"/>
      <c r="C4929" s="28" t="n"/>
      <c r="D4929" s="22">
        <f t="array" ref="D4929">IF($C4929="","",IFERROR(INDEX(DATA_MASTER!$C$2:$C$5000,MATCH($C4929,DATA_MASTER!$D$2:$D$5000,0)),""))</f>
        <v/>
      </c>
      <c r="E4929" s="22">
        <f t="array" ref="E4929">IF($C4929="","",IFERROR(INDEX(DATA_MASTER!$I$2:$I$5000,MATCH($C4929,DATA_MASTER!$D$2:$D$5000,0)),""))</f>
        <v/>
      </c>
      <c r="F4929" s="22">
        <f t="array" ref="F4929">IF($C4929="","",IFERROR(INDEX(DATA_MASTER!$L$2:$L$5000,MATCH($C4929,DATA_MASTER!$D$2:$D$5000,0)),""))</f>
        <v/>
      </c>
      <c r="G4929" s="24" t="n"/>
      <c r="H4929" s="24" t="n"/>
      <c r="I4929" s="30" t="n"/>
      <c r="J4929" s="23">
        <f>IF(OR($H4929="",$I4929=""),"",$H4929*$I4929)</f>
        <v/>
      </c>
      <c r="K4929" s="24" t="n"/>
      <c r="L4929" s="24" t="n"/>
      <c r="M4929" s="29" t="n"/>
      <c r="N4929" s="28" t="n"/>
      <c r="O4929" s="24" t="n"/>
      <c r="P4929" s="24" t="n"/>
      <c r="Q4929" s="24" t="n"/>
      <c r="R4929" s="24" t="n"/>
      <c r="S4929" s="22">
        <f>IF(AND($A4929="",$C4929=""),"",IF($A4929="","Thiếu mã đơn; ","")&amp;IF(COUNTIF($A$2:$A4929,$A4929)&gt;1,"Trùng mã đơn; ","")&amp;IF(ISNA(MATCH($C4929,DATA_MASTER!$D$2:$D$5000,0)),"SĐT chưa đăng ký hội viên; ","")&amp;IF(AND($L4929="Đã chuyển khoản",$M4929=""),"Thiếu ngày nhận CK; ",""))</f>
        <v/>
      </c>
      <c r="T4929" s="24" t="n"/>
    </row>
    <row r="4930" ht="14.25" customHeight="1" s="40">
      <c r="A4930" s="24" t="n"/>
      <c r="B4930" s="29" t="n"/>
      <c r="C4930" s="28" t="n"/>
      <c r="D4930" s="22">
        <f t="array" ref="D4930">IF($C4930="","",IFERROR(INDEX(DATA_MASTER!$C$2:$C$5000,MATCH($C4930,DATA_MASTER!$D$2:$D$5000,0)),""))</f>
        <v/>
      </c>
      <c r="E4930" s="22">
        <f t="array" ref="E4930">IF($C4930="","",IFERROR(INDEX(DATA_MASTER!$I$2:$I$5000,MATCH($C4930,DATA_MASTER!$D$2:$D$5000,0)),""))</f>
        <v/>
      </c>
      <c r="F4930" s="22">
        <f t="array" ref="F4930">IF($C4930="","",IFERROR(INDEX(DATA_MASTER!$L$2:$L$5000,MATCH($C4930,DATA_MASTER!$D$2:$D$5000,0)),""))</f>
        <v/>
      </c>
      <c r="G4930" s="24" t="n"/>
      <c r="H4930" s="24" t="n"/>
      <c r="I4930" s="30" t="n"/>
      <c r="J4930" s="23">
        <f>IF(OR($H4930="",$I4930=""),"",$H4930*$I4930)</f>
        <v/>
      </c>
      <c r="K4930" s="24" t="n"/>
      <c r="L4930" s="24" t="n"/>
      <c r="M4930" s="29" t="n"/>
      <c r="N4930" s="28" t="n"/>
      <c r="O4930" s="24" t="n"/>
      <c r="P4930" s="24" t="n"/>
      <c r="Q4930" s="24" t="n"/>
      <c r="R4930" s="24" t="n"/>
      <c r="S4930" s="22">
        <f>IF(AND($A4930="",$C4930=""),"",IF($A4930="","Thiếu mã đơn; ","")&amp;IF(COUNTIF($A$2:$A4930,$A4930)&gt;1,"Trùng mã đơn; ","")&amp;IF(ISNA(MATCH($C4930,DATA_MASTER!$D$2:$D$5000,0)),"SĐT chưa đăng ký hội viên; ","")&amp;IF(AND($L4930="Đã chuyển khoản",$M4930=""),"Thiếu ngày nhận CK; ",""))</f>
        <v/>
      </c>
      <c r="T4930" s="24" t="n"/>
    </row>
    <row r="4931" ht="14.25" customHeight="1" s="40">
      <c r="A4931" s="24" t="n"/>
      <c r="B4931" s="29" t="n"/>
      <c r="C4931" s="28" t="n"/>
      <c r="D4931" s="22">
        <f t="array" ref="D4931">IF($C4931="","",IFERROR(INDEX(DATA_MASTER!$C$2:$C$5000,MATCH($C4931,DATA_MASTER!$D$2:$D$5000,0)),""))</f>
        <v/>
      </c>
      <c r="E4931" s="22">
        <f t="array" ref="E4931">IF($C4931="","",IFERROR(INDEX(DATA_MASTER!$I$2:$I$5000,MATCH($C4931,DATA_MASTER!$D$2:$D$5000,0)),""))</f>
        <v/>
      </c>
      <c r="F4931" s="22">
        <f t="array" ref="F4931">IF($C4931="","",IFERROR(INDEX(DATA_MASTER!$L$2:$L$5000,MATCH($C4931,DATA_MASTER!$D$2:$D$5000,0)),""))</f>
        <v/>
      </c>
      <c r="G4931" s="24" t="n"/>
      <c r="H4931" s="24" t="n"/>
      <c r="I4931" s="30" t="n"/>
      <c r="J4931" s="23">
        <f>IF(OR($H4931="",$I4931=""),"",$H4931*$I4931)</f>
        <v/>
      </c>
      <c r="K4931" s="24" t="n"/>
      <c r="L4931" s="24" t="n"/>
      <c r="M4931" s="29" t="n"/>
      <c r="N4931" s="28" t="n"/>
      <c r="O4931" s="24" t="n"/>
      <c r="P4931" s="24" t="n"/>
      <c r="Q4931" s="24" t="n"/>
      <c r="R4931" s="24" t="n"/>
      <c r="S4931" s="22">
        <f>IF(AND($A4931="",$C4931=""),"",IF($A4931="","Thiếu mã đơn; ","")&amp;IF(COUNTIF($A$2:$A4931,$A4931)&gt;1,"Trùng mã đơn; ","")&amp;IF(ISNA(MATCH($C4931,DATA_MASTER!$D$2:$D$5000,0)),"SĐT chưa đăng ký hội viên; ","")&amp;IF(AND($L4931="Đã chuyển khoản",$M4931=""),"Thiếu ngày nhận CK; ",""))</f>
        <v/>
      </c>
      <c r="T4931" s="24" t="n"/>
    </row>
    <row r="4932" ht="14.25" customHeight="1" s="40">
      <c r="A4932" s="24" t="n"/>
      <c r="B4932" s="29" t="n"/>
      <c r="C4932" s="28" t="n"/>
      <c r="D4932" s="22">
        <f t="array" ref="D4932">IF($C4932="","",IFERROR(INDEX(DATA_MASTER!$C$2:$C$5000,MATCH($C4932,DATA_MASTER!$D$2:$D$5000,0)),""))</f>
        <v/>
      </c>
      <c r="E4932" s="22">
        <f t="array" ref="E4932">IF($C4932="","",IFERROR(INDEX(DATA_MASTER!$I$2:$I$5000,MATCH($C4932,DATA_MASTER!$D$2:$D$5000,0)),""))</f>
        <v/>
      </c>
      <c r="F4932" s="22">
        <f t="array" ref="F4932">IF($C4932="","",IFERROR(INDEX(DATA_MASTER!$L$2:$L$5000,MATCH($C4932,DATA_MASTER!$D$2:$D$5000,0)),""))</f>
        <v/>
      </c>
      <c r="G4932" s="24" t="n"/>
      <c r="H4932" s="24" t="n"/>
      <c r="I4932" s="30" t="n"/>
      <c r="J4932" s="23">
        <f>IF(OR($H4932="",$I4932=""),"",$H4932*$I4932)</f>
        <v/>
      </c>
      <c r="K4932" s="24" t="n"/>
      <c r="L4932" s="24" t="n"/>
      <c r="M4932" s="29" t="n"/>
      <c r="N4932" s="28" t="n"/>
      <c r="O4932" s="24" t="n"/>
      <c r="P4932" s="24" t="n"/>
      <c r="Q4932" s="24" t="n"/>
      <c r="R4932" s="24" t="n"/>
      <c r="S4932" s="22">
        <f>IF(AND($A4932="",$C4932=""),"",IF($A4932="","Thiếu mã đơn; ","")&amp;IF(COUNTIF($A$2:$A4932,$A4932)&gt;1,"Trùng mã đơn; ","")&amp;IF(ISNA(MATCH($C4932,DATA_MASTER!$D$2:$D$5000,0)),"SĐT chưa đăng ký hội viên; ","")&amp;IF(AND($L4932="Đã chuyển khoản",$M4932=""),"Thiếu ngày nhận CK; ",""))</f>
        <v/>
      </c>
      <c r="T4932" s="24" t="n"/>
    </row>
    <row r="4933" ht="14.25" customHeight="1" s="40">
      <c r="A4933" s="24" t="n"/>
      <c r="B4933" s="29" t="n"/>
      <c r="C4933" s="28" t="n"/>
      <c r="D4933" s="22">
        <f t="array" ref="D4933">IF($C4933="","",IFERROR(INDEX(DATA_MASTER!$C$2:$C$5000,MATCH($C4933,DATA_MASTER!$D$2:$D$5000,0)),""))</f>
        <v/>
      </c>
      <c r="E4933" s="22">
        <f t="array" ref="E4933">IF($C4933="","",IFERROR(INDEX(DATA_MASTER!$I$2:$I$5000,MATCH($C4933,DATA_MASTER!$D$2:$D$5000,0)),""))</f>
        <v/>
      </c>
      <c r="F4933" s="22">
        <f t="array" ref="F4933">IF($C4933="","",IFERROR(INDEX(DATA_MASTER!$L$2:$L$5000,MATCH($C4933,DATA_MASTER!$D$2:$D$5000,0)),""))</f>
        <v/>
      </c>
      <c r="G4933" s="24" t="n"/>
      <c r="H4933" s="24" t="n"/>
      <c r="I4933" s="30" t="n"/>
      <c r="J4933" s="23">
        <f>IF(OR($H4933="",$I4933=""),"",$H4933*$I4933)</f>
        <v/>
      </c>
      <c r="K4933" s="24" t="n"/>
      <c r="L4933" s="24" t="n"/>
      <c r="M4933" s="29" t="n"/>
      <c r="N4933" s="28" t="n"/>
      <c r="O4933" s="24" t="n"/>
      <c r="P4933" s="24" t="n"/>
      <c r="Q4933" s="24" t="n"/>
      <c r="R4933" s="24" t="n"/>
      <c r="S4933" s="22">
        <f>IF(AND($A4933="",$C4933=""),"",IF($A4933="","Thiếu mã đơn; ","")&amp;IF(COUNTIF($A$2:$A4933,$A4933)&gt;1,"Trùng mã đơn; ","")&amp;IF(ISNA(MATCH($C4933,DATA_MASTER!$D$2:$D$5000,0)),"SĐT chưa đăng ký hội viên; ","")&amp;IF(AND($L4933="Đã chuyển khoản",$M4933=""),"Thiếu ngày nhận CK; ",""))</f>
        <v/>
      </c>
      <c r="T4933" s="24" t="n"/>
    </row>
    <row r="4934" ht="14.25" customHeight="1" s="40">
      <c r="A4934" s="24" t="n"/>
      <c r="B4934" s="29" t="n"/>
      <c r="C4934" s="28" t="n"/>
      <c r="D4934" s="22">
        <f t="array" ref="D4934">IF($C4934="","",IFERROR(INDEX(DATA_MASTER!$C$2:$C$5000,MATCH($C4934,DATA_MASTER!$D$2:$D$5000,0)),""))</f>
        <v/>
      </c>
      <c r="E4934" s="22">
        <f t="array" ref="E4934">IF($C4934="","",IFERROR(INDEX(DATA_MASTER!$I$2:$I$5000,MATCH($C4934,DATA_MASTER!$D$2:$D$5000,0)),""))</f>
        <v/>
      </c>
      <c r="F4934" s="22">
        <f t="array" ref="F4934">IF($C4934="","",IFERROR(INDEX(DATA_MASTER!$L$2:$L$5000,MATCH($C4934,DATA_MASTER!$D$2:$D$5000,0)),""))</f>
        <v/>
      </c>
      <c r="G4934" s="24" t="n"/>
      <c r="H4934" s="24" t="n"/>
      <c r="I4934" s="30" t="n"/>
      <c r="J4934" s="23">
        <f>IF(OR($H4934="",$I4934=""),"",$H4934*$I4934)</f>
        <v/>
      </c>
      <c r="K4934" s="24" t="n"/>
      <c r="L4934" s="24" t="n"/>
      <c r="M4934" s="29" t="n"/>
      <c r="N4934" s="28" t="n"/>
      <c r="O4934" s="24" t="n"/>
      <c r="P4934" s="24" t="n"/>
      <c r="Q4934" s="24" t="n"/>
      <c r="R4934" s="24" t="n"/>
      <c r="S4934" s="22">
        <f>IF(AND($A4934="",$C4934=""),"",IF($A4934="","Thiếu mã đơn; ","")&amp;IF(COUNTIF($A$2:$A4934,$A4934)&gt;1,"Trùng mã đơn; ","")&amp;IF(ISNA(MATCH($C4934,DATA_MASTER!$D$2:$D$5000,0)),"SĐT chưa đăng ký hội viên; ","")&amp;IF(AND($L4934="Đã chuyển khoản",$M4934=""),"Thiếu ngày nhận CK; ",""))</f>
        <v/>
      </c>
      <c r="T4934" s="24" t="n"/>
    </row>
    <row r="4935" ht="14.25" customHeight="1" s="40">
      <c r="A4935" s="24" t="n"/>
      <c r="B4935" s="29" t="n"/>
      <c r="C4935" s="28" t="n"/>
      <c r="D4935" s="22">
        <f t="array" ref="D4935">IF($C4935="","",IFERROR(INDEX(DATA_MASTER!$C$2:$C$5000,MATCH($C4935,DATA_MASTER!$D$2:$D$5000,0)),""))</f>
        <v/>
      </c>
      <c r="E4935" s="22">
        <f t="array" ref="E4935">IF($C4935="","",IFERROR(INDEX(DATA_MASTER!$I$2:$I$5000,MATCH($C4935,DATA_MASTER!$D$2:$D$5000,0)),""))</f>
        <v/>
      </c>
      <c r="F4935" s="22">
        <f t="array" ref="F4935">IF($C4935="","",IFERROR(INDEX(DATA_MASTER!$L$2:$L$5000,MATCH($C4935,DATA_MASTER!$D$2:$D$5000,0)),""))</f>
        <v/>
      </c>
      <c r="G4935" s="24" t="n"/>
      <c r="H4935" s="24" t="n"/>
      <c r="I4935" s="30" t="n"/>
      <c r="J4935" s="23">
        <f>IF(OR($H4935="",$I4935=""),"",$H4935*$I4935)</f>
        <v/>
      </c>
      <c r="K4935" s="24" t="n"/>
      <c r="L4935" s="24" t="n"/>
      <c r="M4935" s="29" t="n"/>
      <c r="N4935" s="28" t="n"/>
      <c r="O4935" s="24" t="n"/>
      <c r="P4935" s="24" t="n"/>
      <c r="Q4935" s="24" t="n"/>
      <c r="R4935" s="24" t="n"/>
      <c r="S4935" s="22">
        <f>IF(AND($A4935="",$C4935=""),"",IF($A4935="","Thiếu mã đơn; ","")&amp;IF(COUNTIF($A$2:$A4935,$A4935)&gt;1,"Trùng mã đơn; ","")&amp;IF(ISNA(MATCH($C4935,DATA_MASTER!$D$2:$D$5000,0)),"SĐT chưa đăng ký hội viên; ","")&amp;IF(AND($L4935="Đã chuyển khoản",$M4935=""),"Thiếu ngày nhận CK; ",""))</f>
        <v/>
      </c>
      <c r="T4935" s="24" t="n"/>
    </row>
    <row r="4936" ht="14.25" customHeight="1" s="40">
      <c r="A4936" s="24" t="n"/>
      <c r="B4936" s="29" t="n"/>
      <c r="C4936" s="28" t="n"/>
      <c r="D4936" s="22">
        <f t="array" ref="D4936">IF($C4936="","",IFERROR(INDEX(DATA_MASTER!$C$2:$C$5000,MATCH($C4936,DATA_MASTER!$D$2:$D$5000,0)),""))</f>
        <v/>
      </c>
      <c r="E4936" s="22">
        <f t="array" ref="E4936">IF($C4936="","",IFERROR(INDEX(DATA_MASTER!$I$2:$I$5000,MATCH($C4936,DATA_MASTER!$D$2:$D$5000,0)),""))</f>
        <v/>
      </c>
      <c r="F4936" s="22">
        <f t="array" ref="F4936">IF($C4936="","",IFERROR(INDEX(DATA_MASTER!$L$2:$L$5000,MATCH($C4936,DATA_MASTER!$D$2:$D$5000,0)),""))</f>
        <v/>
      </c>
      <c r="G4936" s="24" t="n"/>
      <c r="H4936" s="24" t="n"/>
      <c r="I4936" s="30" t="n"/>
      <c r="J4936" s="23">
        <f>IF(OR($H4936="",$I4936=""),"",$H4936*$I4936)</f>
        <v/>
      </c>
      <c r="K4936" s="24" t="n"/>
      <c r="L4936" s="24" t="n"/>
      <c r="M4936" s="29" t="n"/>
      <c r="N4936" s="28" t="n"/>
      <c r="O4936" s="24" t="n"/>
      <c r="P4936" s="24" t="n"/>
      <c r="Q4936" s="24" t="n"/>
      <c r="R4936" s="24" t="n"/>
      <c r="S4936" s="22">
        <f>IF(AND($A4936="",$C4936=""),"",IF($A4936="","Thiếu mã đơn; ","")&amp;IF(COUNTIF($A$2:$A4936,$A4936)&gt;1,"Trùng mã đơn; ","")&amp;IF(ISNA(MATCH($C4936,DATA_MASTER!$D$2:$D$5000,0)),"SĐT chưa đăng ký hội viên; ","")&amp;IF(AND($L4936="Đã chuyển khoản",$M4936=""),"Thiếu ngày nhận CK; ",""))</f>
        <v/>
      </c>
      <c r="T4936" s="24" t="n"/>
    </row>
    <row r="4937" ht="14.25" customHeight="1" s="40">
      <c r="A4937" s="24" t="n"/>
      <c r="B4937" s="29" t="n"/>
      <c r="C4937" s="28" t="n"/>
      <c r="D4937" s="22">
        <f t="array" ref="D4937">IF($C4937="","",IFERROR(INDEX(DATA_MASTER!$C$2:$C$5000,MATCH($C4937,DATA_MASTER!$D$2:$D$5000,0)),""))</f>
        <v/>
      </c>
      <c r="E4937" s="22">
        <f t="array" ref="E4937">IF($C4937="","",IFERROR(INDEX(DATA_MASTER!$I$2:$I$5000,MATCH($C4937,DATA_MASTER!$D$2:$D$5000,0)),""))</f>
        <v/>
      </c>
      <c r="F4937" s="22">
        <f t="array" ref="F4937">IF($C4937="","",IFERROR(INDEX(DATA_MASTER!$L$2:$L$5000,MATCH($C4937,DATA_MASTER!$D$2:$D$5000,0)),""))</f>
        <v/>
      </c>
      <c r="G4937" s="24" t="n"/>
      <c r="H4937" s="24" t="n"/>
      <c r="I4937" s="30" t="n"/>
      <c r="J4937" s="23">
        <f>IF(OR($H4937="",$I4937=""),"",$H4937*$I4937)</f>
        <v/>
      </c>
      <c r="K4937" s="24" t="n"/>
      <c r="L4937" s="24" t="n"/>
      <c r="M4937" s="29" t="n"/>
      <c r="N4937" s="28" t="n"/>
      <c r="O4937" s="24" t="n"/>
      <c r="P4937" s="24" t="n"/>
      <c r="Q4937" s="24" t="n"/>
      <c r="R4937" s="24" t="n"/>
      <c r="S4937" s="22">
        <f>IF(AND($A4937="",$C4937=""),"",IF($A4937="","Thiếu mã đơn; ","")&amp;IF(COUNTIF($A$2:$A4937,$A4937)&gt;1,"Trùng mã đơn; ","")&amp;IF(ISNA(MATCH($C4937,DATA_MASTER!$D$2:$D$5000,0)),"SĐT chưa đăng ký hội viên; ","")&amp;IF(AND($L4937="Đã chuyển khoản",$M4937=""),"Thiếu ngày nhận CK; ",""))</f>
        <v/>
      </c>
      <c r="T4937" s="24" t="n"/>
    </row>
    <row r="4938" ht="14.25" customHeight="1" s="40">
      <c r="A4938" s="24" t="n"/>
      <c r="B4938" s="29" t="n"/>
      <c r="C4938" s="28" t="n"/>
      <c r="D4938" s="22">
        <f t="array" ref="D4938">IF($C4938="","",IFERROR(INDEX(DATA_MASTER!$C$2:$C$5000,MATCH($C4938,DATA_MASTER!$D$2:$D$5000,0)),""))</f>
        <v/>
      </c>
      <c r="E4938" s="22">
        <f t="array" ref="E4938">IF($C4938="","",IFERROR(INDEX(DATA_MASTER!$I$2:$I$5000,MATCH($C4938,DATA_MASTER!$D$2:$D$5000,0)),""))</f>
        <v/>
      </c>
      <c r="F4938" s="22">
        <f t="array" ref="F4938">IF($C4938="","",IFERROR(INDEX(DATA_MASTER!$L$2:$L$5000,MATCH($C4938,DATA_MASTER!$D$2:$D$5000,0)),""))</f>
        <v/>
      </c>
      <c r="G4938" s="24" t="n"/>
      <c r="H4938" s="24" t="n"/>
      <c r="I4938" s="30" t="n"/>
      <c r="J4938" s="23">
        <f>IF(OR($H4938="",$I4938=""),"",$H4938*$I4938)</f>
        <v/>
      </c>
      <c r="K4938" s="24" t="n"/>
      <c r="L4938" s="24" t="n"/>
      <c r="M4938" s="29" t="n"/>
      <c r="N4938" s="28" t="n"/>
      <c r="O4938" s="24" t="n"/>
      <c r="P4938" s="24" t="n"/>
      <c r="Q4938" s="24" t="n"/>
      <c r="R4938" s="24" t="n"/>
      <c r="S4938" s="22">
        <f>IF(AND($A4938="",$C4938=""),"",IF($A4938="","Thiếu mã đơn; ","")&amp;IF(COUNTIF($A$2:$A4938,$A4938)&gt;1,"Trùng mã đơn; ","")&amp;IF(ISNA(MATCH($C4938,DATA_MASTER!$D$2:$D$5000,0)),"SĐT chưa đăng ký hội viên; ","")&amp;IF(AND($L4938="Đã chuyển khoản",$M4938=""),"Thiếu ngày nhận CK; ",""))</f>
        <v/>
      </c>
      <c r="T4938" s="24" t="n"/>
    </row>
    <row r="4939" ht="14.25" customHeight="1" s="40">
      <c r="A4939" s="24" t="n"/>
      <c r="B4939" s="29" t="n"/>
      <c r="C4939" s="28" t="n"/>
      <c r="D4939" s="22">
        <f t="array" ref="D4939">IF($C4939="","",IFERROR(INDEX(DATA_MASTER!$C$2:$C$5000,MATCH($C4939,DATA_MASTER!$D$2:$D$5000,0)),""))</f>
        <v/>
      </c>
      <c r="E4939" s="22">
        <f t="array" ref="E4939">IF($C4939="","",IFERROR(INDEX(DATA_MASTER!$I$2:$I$5000,MATCH($C4939,DATA_MASTER!$D$2:$D$5000,0)),""))</f>
        <v/>
      </c>
      <c r="F4939" s="22">
        <f t="array" ref="F4939">IF($C4939="","",IFERROR(INDEX(DATA_MASTER!$L$2:$L$5000,MATCH($C4939,DATA_MASTER!$D$2:$D$5000,0)),""))</f>
        <v/>
      </c>
      <c r="G4939" s="24" t="n"/>
      <c r="H4939" s="24" t="n"/>
      <c r="I4939" s="30" t="n"/>
      <c r="J4939" s="23">
        <f>IF(OR($H4939="",$I4939=""),"",$H4939*$I4939)</f>
        <v/>
      </c>
      <c r="K4939" s="24" t="n"/>
      <c r="L4939" s="24" t="n"/>
      <c r="M4939" s="29" t="n"/>
      <c r="N4939" s="28" t="n"/>
      <c r="O4939" s="24" t="n"/>
      <c r="P4939" s="24" t="n"/>
      <c r="Q4939" s="24" t="n"/>
      <c r="R4939" s="24" t="n"/>
      <c r="S4939" s="22">
        <f>IF(AND($A4939="",$C4939=""),"",IF($A4939="","Thiếu mã đơn; ","")&amp;IF(COUNTIF($A$2:$A4939,$A4939)&gt;1,"Trùng mã đơn; ","")&amp;IF(ISNA(MATCH($C4939,DATA_MASTER!$D$2:$D$5000,0)),"SĐT chưa đăng ký hội viên; ","")&amp;IF(AND($L4939="Đã chuyển khoản",$M4939=""),"Thiếu ngày nhận CK; ",""))</f>
        <v/>
      </c>
      <c r="T4939" s="24" t="n"/>
    </row>
    <row r="4940" ht="14.25" customHeight="1" s="40">
      <c r="A4940" s="24" t="n"/>
      <c r="B4940" s="29" t="n"/>
      <c r="C4940" s="28" t="n"/>
      <c r="D4940" s="22">
        <f t="array" ref="D4940">IF($C4940="","",IFERROR(INDEX(DATA_MASTER!$C$2:$C$5000,MATCH($C4940,DATA_MASTER!$D$2:$D$5000,0)),""))</f>
        <v/>
      </c>
      <c r="E4940" s="22">
        <f t="array" ref="E4940">IF($C4940="","",IFERROR(INDEX(DATA_MASTER!$I$2:$I$5000,MATCH($C4940,DATA_MASTER!$D$2:$D$5000,0)),""))</f>
        <v/>
      </c>
      <c r="F4940" s="22">
        <f t="array" ref="F4940">IF($C4940="","",IFERROR(INDEX(DATA_MASTER!$L$2:$L$5000,MATCH($C4940,DATA_MASTER!$D$2:$D$5000,0)),""))</f>
        <v/>
      </c>
      <c r="G4940" s="24" t="n"/>
      <c r="H4940" s="24" t="n"/>
      <c r="I4940" s="30" t="n"/>
      <c r="J4940" s="23">
        <f>IF(OR($H4940="",$I4940=""),"",$H4940*$I4940)</f>
        <v/>
      </c>
      <c r="K4940" s="24" t="n"/>
      <c r="L4940" s="24" t="n"/>
      <c r="M4940" s="29" t="n"/>
      <c r="N4940" s="28" t="n"/>
      <c r="O4940" s="24" t="n"/>
      <c r="P4940" s="24" t="n"/>
      <c r="Q4940" s="24" t="n"/>
      <c r="R4940" s="24" t="n"/>
      <c r="S4940" s="22">
        <f>IF(AND($A4940="",$C4940=""),"",IF($A4940="","Thiếu mã đơn; ","")&amp;IF(COUNTIF($A$2:$A4940,$A4940)&gt;1,"Trùng mã đơn; ","")&amp;IF(ISNA(MATCH($C4940,DATA_MASTER!$D$2:$D$5000,0)),"SĐT chưa đăng ký hội viên; ","")&amp;IF(AND($L4940="Đã chuyển khoản",$M4940=""),"Thiếu ngày nhận CK; ",""))</f>
        <v/>
      </c>
      <c r="T4940" s="24" t="n"/>
    </row>
    <row r="4941" ht="14.25" customHeight="1" s="40">
      <c r="A4941" s="24" t="n"/>
      <c r="B4941" s="29" t="n"/>
      <c r="C4941" s="28" t="n"/>
      <c r="D4941" s="22">
        <f t="array" ref="D4941">IF($C4941="","",IFERROR(INDEX(DATA_MASTER!$C$2:$C$5000,MATCH($C4941,DATA_MASTER!$D$2:$D$5000,0)),""))</f>
        <v/>
      </c>
      <c r="E4941" s="22">
        <f t="array" ref="E4941">IF($C4941="","",IFERROR(INDEX(DATA_MASTER!$I$2:$I$5000,MATCH($C4941,DATA_MASTER!$D$2:$D$5000,0)),""))</f>
        <v/>
      </c>
      <c r="F4941" s="22">
        <f t="array" ref="F4941">IF($C4941="","",IFERROR(INDEX(DATA_MASTER!$L$2:$L$5000,MATCH($C4941,DATA_MASTER!$D$2:$D$5000,0)),""))</f>
        <v/>
      </c>
      <c r="G4941" s="24" t="n"/>
      <c r="H4941" s="24" t="n"/>
      <c r="I4941" s="30" t="n"/>
      <c r="J4941" s="23">
        <f>IF(OR($H4941="",$I4941=""),"",$H4941*$I4941)</f>
        <v/>
      </c>
      <c r="K4941" s="24" t="n"/>
      <c r="L4941" s="24" t="n"/>
      <c r="M4941" s="29" t="n"/>
      <c r="N4941" s="28" t="n"/>
      <c r="O4941" s="24" t="n"/>
      <c r="P4941" s="24" t="n"/>
      <c r="Q4941" s="24" t="n"/>
      <c r="R4941" s="24" t="n"/>
      <c r="S4941" s="22">
        <f>IF(AND($A4941="",$C4941=""),"",IF($A4941="","Thiếu mã đơn; ","")&amp;IF(COUNTIF($A$2:$A4941,$A4941)&gt;1,"Trùng mã đơn; ","")&amp;IF(ISNA(MATCH($C4941,DATA_MASTER!$D$2:$D$5000,0)),"SĐT chưa đăng ký hội viên; ","")&amp;IF(AND($L4941="Đã chuyển khoản",$M4941=""),"Thiếu ngày nhận CK; ",""))</f>
        <v/>
      </c>
      <c r="T4941" s="24" t="n"/>
    </row>
    <row r="4942" ht="14.25" customHeight="1" s="40">
      <c r="A4942" s="24" t="n"/>
      <c r="B4942" s="29" t="n"/>
      <c r="C4942" s="28" t="n"/>
      <c r="D4942" s="22">
        <f t="array" ref="D4942">IF($C4942="","",IFERROR(INDEX(DATA_MASTER!$C$2:$C$5000,MATCH($C4942,DATA_MASTER!$D$2:$D$5000,0)),""))</f>
        <v/>
      </c>
      <c r="E4942" s="22">
        <f t="array" ref="E4942">IF($C4942="","",IFERROR(INDEX(DATA_MASTER!$I$2:$I$5000,MATCH($C4942,DATA_MASTER!$D$2:$D$5000,0)),""))</f>
        <v/>
      </c>
      <c r="F4942" s="22">
        <f t="array" ref="F4942">IF($C4942="","",IFERROR(INDEX(DATA_MASTER!$L$2:$L$5000,MATCH($C4942,DATA_MASTER!$D$2:$D$5000,0)),""))</f>
        <v/>
      </c>
      <c r="G4942" s="24" t="n"/>
      <c r="H4942" s="24" t="n"/>
      <c r="I4942" s="30" t="n"/>
      <c r="J4942" s="23">
        <f>IF(OR($H4942="",$I4942=""),"",$H4942*$I4942)</f>
        <v/>
      </c>
      <c r="K4942" s="24" t="n"/>
      <c r="L4942" s="24" t="n"/>
      <c r="M4942" s="29" t="n"/>
      <c r="N4942" s="28" t="n"/>
      <c r="O4942" s="24" t="n"/>
      <c r="P4942" s="24" t="n"/>
      <c r="Q4942" s="24" t="n"/>
      <c r="R4942" s="24" t="n"/>
      <c r="S4942" s="22">
        <f>IF(AND($A4942="",$C4942=""),"",IF($A4942="","Thiếu mã đơn; ","")&amp;IF(COUNTIF($A$2:$A4942,$A4942)&gt;1,"Trùng mã đơn; ","")&amp;IF(ISNA(MATCH($C4942,DATA_MASTER!$D$2:$D$5000,0)),"SĐT chưa đăng ký hội viên; ","")&amp;IF(AND($L4942="Đã chuyển khoản",$M4942=""),"Thiếu ngày nhận CK; ",""))</f>
        <v/>
      </c>
      <c r="T4942" s="24" t="n"/>
    </row>
    <row r="4943" ht="14.25" customHeight="1" s="40">
      <c r="A4943" s="24" t="n"/>
      <c r="B4943" s="29" t="n"/>
      <c r="C4943" s="28" t="n"/>
      <c r="D4943" s="22">
        <f t="array" ref="D4943">IF($C4943="","",IFERROR(INDEX(DATA_MASTER!$C$2:$C$5000,MATCH($C4943,DATA_MASTER!$D$2:$D$5000,0)),""))</f>
        <v/>
      </c>
      <c r="E4943" s="22">
        <f t="array" ref="E4943">IF($C4943="","",IFERROR(INDEX(DATA_MASTER!$I$2:$I$5000,MATCH($C4943,DATA_MASTER!$D$2:$D$5000,0)),""))</f>
        <v/>
      </c>
      <c r="F4943" s="22">
        <f t="array" ref="F4943">IF($C4943="","",IFERROR(INDEX(DATA_MASTER!$L$2:$L$5000,MATCH($C4943,DATA_MASTER!$D$2:$D$5000,0)),""))</f>
        <v/>
      </c>
      <c r="G4943" s="24" t="n"/>
      <c r="H4943" s="24" t="n"/>
      <c r="I4943" s="30" t="n"/>
      <c r="J4943" s="23">
        <f>IF(OR($H4943="",$I4943=""),"",$H4943*$I4943)</f>
        <v/>
      </c>
      <c r="K4943" s="24" t="n"/>
      <c r="L4943" s="24" t="n"/>
      <c r="M4943" s="29" t="n"/>
      <c r="N4943" s="28" t="n"/>
      <c r="O4943" s="24" t="n"/>
      <c r="P4943" s="24" t="n"/>
      <c r="Q4943" s="24" t="n"/>
      <c r="R4943" s="24" t="n"/>
      <c r="S4943" s="22">
        <f>IF(AND($A4943="",$C4943=""),"",IF($A4943="","Thiếu mã đơn; ","")&amp;IF(COUNTIF($A$2:$A4943,$A4943)&gt;1,"Trùng mã đơn; ","")&amp;IF(ISNA(MATCH($C4943,DATA_MASTER!$D$2:$D$5000,0)),"SĐT chưa đăng ký hội viên; ","")&amp;IF(AND($L4943="Đã chuyển khoản",$M4943=""),"Thiếu ngày nhận CK; ",""))</f>
        <v/>
      </c>
      <c r="T4943" s="24" t="n"/>
    </row>
    <row r="4944" ht="14.25" customHeight="1" s="40">
      <c r="A4944" s="24" t="n"/>
      <c r="B4944" s="29" t="n"/>
      <c r="C4944" s="28" t="n"/>
      <c r="D4944" s="22">
        <f t="array" ref="D4944">IF($C4944="","",IFERROR(INDEX(DATA_MASTER!$C$2:$C$5000,MATCH($C4944,DATA_MASTER!$D$2:$D$5000,0)),""))</f>
        <v/>
      </c>
      <c r="E4944" s="22">
        <f t="array" ref="E4944">IF($C4944="","",IFERROR(INDEX(DATA_MASTER!$I$2:$I$5000,MATCH($C4944,DATA_MASTER!$D$2:$D$5000,0)),""))</f>
        <v/>
      </c>
      <c r="F4944" s="22">
        <f t="array" ref="F4944">IF($C4944="","",IFERROR(INDEX(DATA_MASTER!$L$2:$L$5000,MATCH($C4944,DATA_MASTER!$D$2:$D$5000,0)),""))</f>
        <v/>
      </c>
      <c r="G4944" s="24" t="n"/>
      <c r="H4944" s="24" t="n"/>
      <c r="I4944" s="30" t="n"/>
      <c r="J4944" s="23">
        <f>IF(OR($H4944="",$I4944=""),"",$H4944*$I4944)</f>
        <v/>
      </c>
      <c r="K4944" s="24" t="n"/>
      <c r="L4944" s="24" t="n"/>
      <c r="M4944" s="29" t="n"/>
      <c r="N4944" s="28" t="n"/>
      <c r="O4944" s="24" t="n"/>
      <c r="P4944" s="24" t="n"/>
      <c r="Q4944" s="24" t="n"/>
      <c r="R4944" s="24" t="n"/>
      <c r="S4944" s="22">
        <f>IF(AND($A4944="",$C4944=""),"",IF($A4944="","Thiếu mã đơn; ","")&amp;IF(COUNTIF($A$2:$A4944,$A4944)&gt;1,"Trùng mã đơn; ","")&amp;IF(ISNA(MATCH($C4944,DATA_MASTER!$D$2:$D$5000,0)),"SĐT chưa đăng ký hội viên; ","")&amp;IF(AND($L4944="Đã chuyển khoản",$M4944=""),"Thiếu ngày nhận CK; ",""))</f>
        <v/>
      </c>
      <c r="T4944" s="24" t="n"/>
    </row>
    <row r="4945" ht="14.25" customHeight="1" s="40">
      <c r="A4945" s="24" t="n"/>
      <c r="B4945" s="29" t="n"/>
      <c r="C4945" s="28" t="n"/>
      <c r="D4945" s="22">
        <f t="array" ref="D4945">IF($C4945="","",IFERROR(INDEX(DATA_MASTER!$C$2:$C$5000,MATCH($C4945,DATA_MASTER!$D$2:$D$5000,0)),""))</f>
        <v/>
      </c>
      <c r="E4945" s="22">
        <f t="array" ref="E4945">IF($C4945="","",IFERROR(INDEX(DATA_MASTER!$I$2:$I$5000,MATCH($C4945,DATA_MASTER!$D$2:$D$5000,0)),""))</f>
        <v/>
      </c>
      <c r="F4945" s="22">
        <f t="array" ref="F4945">IF($C4945="","",IFERROR(INDEX(DATA_MASTER!$L$2:$L$5000,MATCH($C4945,DATA_MASTER!$D$2:$D$5000,0)),""))</f>
        <v/>
      </c>
      <c r="G4945" s="24" t="n"/>
      <c r="H4945" s="24" t="n"/>
      <c r="I4945" s="30" t="n"/>
      <c r="J4945" s="23">
        <f>IF(OR($H4945="",$I4945=""),"",$H4945*$I4945)</f>
        <v/>
      </c>
      <c r="K4945" s="24" t="n"/>
      <c r="L4945" s="24" t="n"/>
      <c r="M4945" s="29" t="n"/>
      <c r="N4945" s="28" t="n"/>
      <c r="O4945" s="24" t="n"/>
      <c r="P4945" s="24" t="n"/>
      <c r="Q4945" s="24" t="n"/>
      <c r="R4945" s="24" t="n"/>
      <c r="S4945" s="22">
        <f>IF(AND($A4945="",$C4945=""),"",IF($A4945="","Thiếu mã đơn; ","")&amp;IF(COUNTIF($A$2:$A4945,$A4945)&gt;1,"Trùng mã đơn; ","")&amp;IF(ISNA(MATCH($C4945,DATA_MASTER!$D$2:$D$5000,0)),"SĐT chưa đăng ký hội viên; ","")&amp;IF(AND($L4945="Đã chuyển khoản",$M4945=""),"Thiếu ngày nhận CK; ",""))</f>
        <v/>
      </c>
      <c r="T4945" s="24" t="n"/>
    </row>
    <row r="4946" ht="14.25" customHeight="1" s="40">
      <c r="A4946" s="24" t="n"/>
      <c r="B4946" s="29" t="n"/>
      <c r="C4946" s="28" t="n"/>
      <c r="D4946" s="22">
        <f t="array" ref="D4946">IF($C4946="","",IFERROR(INDEX(DATA_MASTER!$C$2:$C$5000,MATCH($C4946,DATA_MASTER!$D$2:$D$5000,0)),""))</f>
        <v/>
      </c>
      <c r="E4946" s="22">
        <f t="array" ref="E4946">IF($C4946="","",IFERROR(INDEX(DATA_MASTER!$I$2:$I$5000,MATCH($C4946,DATA_MASTER!$D$2:$D$5000,0)),""))</f>
        <v/>
      </c>
      <c r="F4946" s="22">
        <f t="array" ref="F4946">IF($C4946="","",IFERROR(INDEX(DATA_MASTER!$L$2:$L$5000,MATCH($C4946,DATA_MASTER!$D$2:$D$5000,0)),""))</f>
        <v/>
      </c>
      <c r="G4946" s="24" t="n"/>
      <c r="H4946" s="24" t="n"/>
      <c r="I4946" s="30" t="n"/>
      <c r="J4946" s="23">
        <f>IF(OR($H4946="",$I4946=""),"",$H4946*$I4946)</f>
        <v/>
      </c>
      <c r="K4946" s="24" t="n"/>
      <c r="L4946" s="24" t="n"/>
      <c r="M4946" s="29" t="n"/>
      <c r="N4946" s="28" t="n"/>
      <c r="O4946" s="24" t="n"/>
      <c r="P4946" s="24" t="n"/>
      <c r="Q4946" s="24" t="n"/>
      <c r="R4946" s="24" t="n"/>
      <c r="S4946" s="22">
        <f>IF(AND($A4946="",$C4946=""),"",IF($A4946="","Thiếu mã đơn; ","")&amp;IF(COUNTIF($A$2:$A4946,$A4946)&gt;1,"Trùng mã đơn; ","")&amp;IF(ISNA(MATCH($C4946,DATA_MASTER!$D$2:$D$5000,0)),"SĐT chưa đăng ký hội viên; ","")&amp;IF(AND($L4946="Đã chuyển khoản",$M4946=""),"Thiếu ngày nhận CK; ",""))</f>
        <v/>
      </c>
      <c r="T4946" s="24" t="n"/>
    </row>
    <row r="4947" ht="14.25" customHeight="1" s="40">
      <c r="A4947" s="24" t="n"/>
      <c r="B4947" s="29" t="n"/>
      <c r="C4947" s="28" t="n"/>
      <c r="D4947" s="22">
        <f t="array" ref="D4947">IF($C4947="","",IFERROR(INDEX(DATA_MASTER!$C$2:$C$5000,MATCH($C4947,DATA_MASTER!$D$2:$D$5000,0)),""))</f>
        <v/>
      </c>
      <c r="E4947" s="22">
        <f t="array" ref="E4947">IF($C4947="","",IFERROR(INDEX(DATA_MASTER!$I$2:$I$5000,MATCH($C4947,DATA_MASTER!$D$2:$D$5000,0)),""))</f>
        <v/>
      </c>
      <c r="F4947" s="22">
        <f t="array" ref="F4947">IF($C4947="","",IFERROR(INDEX(DATA_MASTER!$L$2:$L$5000,MATCH($C4947,DATA_MASTER!$D$2:$D$5000,0)),""))</f>
        <v/>
      </c>
      <c r="G4947" s="24" t="n"/>
      <c r="H4947" s="24" t="n"/>
      <c r="I4947" s="30" t="n"/>
      <c r="J4947" s="23">
        <f>IF(OR($H4947="",$I4947=""),"",$H4947*$I4947)</f>
        <v/>
      </c>
      <c r="K4947" s="24" t="n"/>
      <c r="L4947" s="24" t="n"/>
      <c r="M4947" s="29" t="n"/>
      <c r="N4947" s="28" t="n"/>
      <c r="O4947" s="24" t="n"/>
      <c r="P4947" s="24" t="n"/>
      <c r="Q4947" s="24" t="n"/>
      <c r="R4947" s="24" t="n"/>
      <c r="S4947" s="22">
        <f>IF(AND($A4947="",$C4947=""),"",IF($A4947="","Thiếu mã đơn; ","")&amp;IF(COUNTIF($A$2:$A4947,$A4947)&gt;1,"Trùng mã đơn; ","")&amp;IF(ISNA(MATCH($C4947,DATA_MASTER!$D$2:$D$5000,0)),"SĐT chưa đăng ký hội viên; ","")&amp;IF(AND($L4947="Đã chuyển khoản",$M4947=""),"Thiếu ngày nhận CK; ",""))</f>
        <v/>
      </c>
      <c r="T4947" s="24" t="n"/>
    </row>
    <row r="4948" ht="14.25" customHeight="1" s="40">
      <c r="A4948" s="24" t="n"/>
      <c r="B4948" s="29" t="n"/>
      <c r="C4948" s="28" t="n"/>
      <c r="D4948" s="22">
        <f t="array" ref="D4948">IF($C4948="","",IFERROR(INDEX(DATA_MASTER!$C$2:$C$5000,MATCH($C4948,DATA_MASTER!$D$2:$D$5000,0)),""))</f>
        <v/>
      </c>
      <c r="E4948" s="22">
        <f t="array" ref="E4948">IF($C4948="","",IFERROR(INDEX(DATA_MASTER!$I$2:$I$5000,MATCH($C4948,DATA_MASTER!$D$2:$D$5000,0)),""))</f>
        <v/>
      </c>
      <c r="F4948" s="22">
        <f t="array" ref="F4948">IF($C4948="","",IFERROR(INDEX(DATA_MASTER!$L$2:$L$5000,MATCH($C4948,DATA_MASTER!$D$2:$D$5000,0)),""))</f>
        <v/>
      </c>
      <c r="G4948" s="24" t="n"/>
      <c r="H4948" s="24" t="n"/>
      <c r="I4948" s="30" t="n"/>
      <c r="J4948" s="23">
        <f>IF(OR($H4948="",$I4948=""),"",$H4948*$I4948)</f>
        <v/>
      </c>
      <c r="K4948" s="24" t="n"/>
      <c r="L4948" s="24" t="n"/>
      <c r="M4948" s="29" t="n"/>
      <c r="N4948" s="28" t="n"/>
      <c r="O4948" s="24" t="n"/>
      <c r="P4948" s="24" t="n"/>
      <c r="Q4948" s="24" t="n"/>
      <c r="R4948" s="24" t="n"/>
      <c r="S4948" s="22">
        <f>IF(AND($A4948="",$C4948=""),"",IF($A4948="","Thiếu mã đơn; ","")&amp;IF(COUNTIF($A$2:$A4948,$A4948)&gt;1,"Trùng mã đơn; ","")&amp;IF(ISNA(MATCH($C4948,DATA_MASTER!$D$2:$D$5000,0)),"SĐT chưa đăng ký hội viên; ","")&amp;IF(AND($L4948="Đã chuyển khoản",$M4948=""),"Thiếu ngày nhận CK; ",""))</f>
        <v/>
      </c>
      <c r="T4948" s="24" t="n"/>
    </row>
    <row r="4949" ht="14.25" customHeight="1" s="40">
      <c r="A4949" s="24" t="n"/>
      <c r="B4949" s="29" t="n"/>
      <c r="C4949" s="28" t="n"/>
      <c r="D4949" s="22">
        <f t="array" ref="D4949">IF($C4949="","",IFERROR(INDEX(DATA_MASTER!$C$2:$C$5000,MATCH($C4949,DATA_MASTER!$D$2:$D$5000,0)),""))</f>
        <v/>
      </c>
      <c r="E4949" s="22">
        <f t="array" ref="E4949">IF($C4949="","",IFERROR(INDEX(DATA_MASTER!$I$2:$I$5000,MATCH($C4949,DATA_MASTER!$D$2:$D$5000,0)),""))</f>
        <v/>
      </c>
      <c r="F4949" s="22">
        <f t="array" ref="F4949">IF($C4949="","",IFERROR(INDEX(DATA_MASTER!$L$2:$L$5000,MATCH($C4949,DATA_MASTER!$D$2:$D$5000,0)),""))</f>
        <v/>
      </c>
      <c r="G4949" s="24" t="n"/>
      <c r="H4949" s="24" t="n"/>
      <c r="I4949" s="30" t="n"/>
      <c r="J4949" s="23">
        <f>IF(OR($H4949="",$I4949=""),"",$H4949*$I4949)</f>
        <v/>
      </c>
      <c r="K4949" s="24" t="n"/>
      <c r="L4949" s="24" t="n"/>
      <c r="M4949" s="29" t="n"/>
      <c r="N4949" s="28" t="n"/>
      <c r="O4949" s="24" t="n"/>
      <c r="P4949" s="24" t="n"/>
      <c r="Q4949" s="24" t="n"/>
      <c r="R4949" s="24" t="n"/>
      <c r="S4949" s="22">
        <f>IF(AND($A4949="",$C4949=""),"",IF($A4949="","Thiếu mã đơn; ","")&amp;IF(COUNTIF($A$2:$A4949,$A4949)&gt;1,"Trùng mã đơn; ","")&amp;IF(ISNA(MATCH($C4949,DATA_MASTER!$D$2:$D$5000,0)),"SĐT chưa đăng ký hội viên; ","")&amp;IF(AND($L4949="Đã chuyển khoản",$M4949=""),"Thiếu ngày nhận CK; ",""))</f>
        <v/>
      </c>
      <c r="T4949" s="24" t="n"/>
    </row>
    <row r="4950" ht="14.25" customHeight="1" s="40">
      <c r="A4950" s="24" t="n"/>
      <c r="B4950" s="29" t="n"/>
      <c r="C4950" s="28" t="n"/>
      <c r="D4950" s="22">
        <f t="array" ref="D4950">IF($C4950="","",IFERROR(INDEX(DATA_MASTER!$C$2:$C$5000,MATCH($C4950,DATA_MASTER!$D$2:$D$5000,0)),""))</f>
        <v/>
      </c>
      <c r="E4950" s="22">
        <f t="array" ref="E4950">IF($C4950="","",IFERROR(INDEX(DATA_MASTER!$I$2:$I$5000,MATCH($C4950,DATA_MASTER!$D$2:$D$5000,0)),""))</f>
        <v/>
      </c>
      <c r="F4950" s="22">
        <f t="array" ref="F4950">IF($C4950="","",IFERROR(INDEX(DATA_MASTER!$L$2:$L$5000,MATCH($C4950,DATA_MASTER!$D$2:$D$5000,0)),""))</f>
        <v/>
      </c>
      <c r="G4950" s="24" t="n"/>
      <c r="H4950" s="24" t="n"/>
      <c r="I4950" s="30" t="n"/>
      <c r="J4950" s="23">
        <f>IF(OR($H4950="",$I4950=""),"",$H4950*$I4950)</f>
        <v/>
      </c>
      <c r="K4950" s="24" t="n"/>
      <c r="L4950" s="24" t="n"/>
      <c r="M4950" s="29" t="n"/>
      <c r="N4950" s="28" t="n"/>
      <c r="O4950" s="24" t="n"/>
      <c r="P4950" s="24" t="n"/>
      <c r="Q4950" s="24" t="n"/>
      <c r="R4950" s="24" t="n"/>
      <c r="S4950" s="22">
        <f>IF(AND($A4950="",$C4950=""),"",IF($A4950="","Thiếu mã đơn; ","")&amp;IF(COUNTIF($A$2:$A4950,$A4950)&gt;1,"Trùng mã đơn; ","")&amp;IF(ISNA(MATCH($C4950,DATA_MASTER!$D$2:$D$5000,0)),"SĐT chưa đăng ký hội viên; ","")&amp;IF(AND($L4950="Đã chuyển khoản",$M4950=""),"Thiếu ngày nhận CK; ",""))</f>
        <v/>
      </c>
      <c r="T4950" s="24" t="n"/>
    </row>
    <row r="4951" ht="14.25" customHeight="1" s="40">
      <c r="A4951" s="24" t="n"/>
      <c r="B4951" s="29" t="n"/>
      <c r="C4951" s="28" t="n"/>
      <c r="D4951" s="22">
        <f t="array" ref="D4951">IF($C4951="","",IFERROR(INDEX(DATA_MASTER!$C$2:$C$5000,MATCH($C4951,DATA_MASTER!$D$2:$D$5000,0)),""))</f>
        <v/>
      </c>
      <c r="E4951" s="22">
        <f t="array" ref="E4951">IF($C4951="","",IFERROR(INDEX(DATA_MASTER!$I$2:$I$5000,MATCH($C4951,DATA_MASTER!$D$2:$D$5000,0)),""))</f>
        <v/>
      </c>
      <c r="F4951" s="22">
        <f t="array" ref="F4951">IF($C4951="","",IFERROR(INDEX(DATA_MASTER!$L$2:$L$5000,MATCH($C4951,DATA_MASTER!$D$2:$D$5000,0)),""))</f>
        <v/>
      </c>
      <c r="G4951" s="24" t="n"/>
      <c r="H4951" s="24" t="n"/>
      <c r="I4951" s="30" t="n"/>
      <c r="J4951" s="23">
        <f>IF(OR($H4951="",$I4951=""),"",$H4951*$I4951)</f>
        <v/>
      </c>
      <c r="K4951" s="24" t="n"/>
      <c r="L4951" s="24" t="n"/>
      <c r="M4951" s="29" t="n"/>
      <c r="N4951" s="28" t="n"/>
      <c r="O4951" s="24" t="n"/>
      <c r="P4951" s="24" t="n"/>
      <c r="Q4951" s="24" t="n"/>
      <c r="R4951" s="24" t="n"/>
      <c r="S4951" s="22">
        <f>IF(AND($A4951="",$C4951=""),"",IF($A4951="","Thiếu mã đơn; ","")&amp;IF(COUNTIF($A$2:$A4951,$A4951)&gt;1,"Trùng mã đơn; ","")&amp;IF(ISNA(MATCH($C4951,DATA_MASTER!$D$2:$D$5000,0)),"SĐT chưa đăng ký hội viên; ","")&amp;IF(AND($L4951="Đã chuyển khoản",$M4951=""),"Thiếu ngày nhận CK; ",""))</f>
        <v/>
      </c>
      <c r="T4951" s="24" t="n"/>
    </row>
    <row r="4952" ht="14.25" customHeight="1" s="40">
      <c r="A4952" s="24" t="n"/>
      <c r="B4952" s="29" t="n"/>
      <c r="C4952" s="28" t="n"/>
      <c r="D4952" s="22">
        <f t="array" ref="D4952">IF($C4952="","",IFERROR(INDEX(DATA_MASTER!$C$2:$C$5000,MATCH($C4952,DATA_MASTER!$D$2:$D$5000,0)),""))</f>
        <v/>
      </c>
      <c r="E4952" s="22">
        <f t="array" ref="E4952">IF($C4952="","",IFERROR(INDEX(DATA_MASTER!$I$2:$I$5000,MATCH($C4952,DATA_MASTER!$D$2:$D$5000,0)),""))</f>
        <v/>
      </c>
      <c r="F4952" s="22">
        <f t="array" ref="F4952">IF($C4952="","",IFERROR(INDEX(DATA_MASTER!$L$2:$L$5000,MATCH($C4952,DATA_MASTER!$D$2:$D$5000,0)),""))</f>
        <v/>
      </c>
      <c r="G4952" s="24" t="n"/>
      <c r="H4952" s="24" t="n"/>
      <c r="I4952" s="30" t="n"/>
      <c r="J4952" s="23">
        <f>IF(OR($H4952="",$I4952=""),"",$H4952*$I4952)</f>
        <v/>
      </c>
      <c r="K4952" s="24" t="n"/>
      <c r="L4952" s="24" t="n"/>
      <c r="M4952" s="29" t="n"/>
      <c r="N4952" s="28" t="n"/>
      <c r="O4952" s="24" t="n"/>
      <c r="P4952" s="24" t="n"/>
      <c r="Q4952" s="24" t="n"/>
      <c r="R4952" s="24" t="n"/>
      <c r="S4952" s="22">
        <f>IF(AND($A4952="",$C4952=""),"",IF($A4952="","Thiếu mã đơn; ","")&amp;IF(COUNTIF($A$2:$A4952,$A4952)&gt;1,"Trùng mã đơn; ","")&amp;IF(ISNA(MATCH($C4952,DATA_MASTER!$D$2:$D$5000,0)),"SĐT chưa đăng ký hội viên; ","")&amp;IF(AND($L4952="Đã chuyển khoản",$M4952=""),"Thiếu ngày nhận CK; ",""))</f>
        <v/>
      </c>
      <c r="T4952" s="24" t="n"/>
    </row>
    <row r="4953" ht="14.25" customHeight="1" s="40">
      <c r="A4953" s="24" t="n"/>
      <c r="B4953" s="29" t="n"/>
      <c r="C4953" s="28" t="n"/>
      <c r="D4953" s="22">
        <f t="array" ref="D4953">IF($C4953="","",IFERROR(INDEX(DATA_MASTER!$C$2:$C$5000,MATCH($C4953,DATA_MASTER!$D$2:$D$5000,0)),""))</f>
        <v/>
      </c>
      <c r="E4953" s="22">
        <f t="array" ref="E4953">IF($C4953="","",IFERROR(INDEX(DATA_MASTER!$I$2:$I$5000,MATCH($C4953,DATA_MASTER!$D$2:$D$5000,0)),""))</f>
        <v/>
      </c>
      <c r="F4953" s="22">
        <f t="array" ref="F4953">IF($C4953="","",IFERROR(INDEX(DATA_MASTER!$L$2:$L$5000,MATCH($C4953,DATA_MASTER!$D$2:$D$5000,0)),""))</f>
        <v/>
      </c>
      <c r="G4953" s="24" t="n"/>
      <c r="H4953" s="24" t="n"/>
      <c r="I4953" s="30" t="n"/>
      <c r="J4953" s="23">
        <f>IF(OR($H4953="",$I4953=""),"",$H4953*$I4953)</f>
        <v/>
      </c>
      <c r="K4953" s="24" t="n"/>
      <c r="L4953" s="24" t="n"/>
      <c r="M4953" s="29" t="n"/>
      <c r="N4953" s="28" t="n"/>
      <c r="O4953" s="24" t="n"/>
      <c r="P4953" s="24" t="n"/>
      <c r="Q4953" s="24" t="n"/>
      <c r="R4953" s="24" t="n"/>
      <c r="S4953" s="22">
        <f>IF(AND($A4953="",$C4953=""),"",IF($A4953="","Thiếu mã đơn; ","")&amp;IF(COUNTIF($A$2:$A4953,$A4953)&gt;1,"Trùng mã đơn; ","")&amp;IF(ISNA(MATCH($C4953,DATA_MASTER!$D$2:$D$5000,0)),"SĐT chưa đăng ký hội viên; ","")&amp;IF(AND($L4953="Đã chuyển khoản",$M4953=""),"Thiếu ngày nhận CK; ",""))</f>
        <v/>
      </c>
      <c r="T4953" s="24" t="n"/>
    </row>
    <row r="4954" ht="14.25" customHeight="1" s="40">
      <c r="A4954" s="24" t="n"/>
      <c r="B4954" s="29" t="n"/>
      <c r="C4954" s="28" t="n"/>
      <c r="D4954" s="22">
        <f t="array" ref="D4954">IF($C4954="","",IFERROR(INDEX(DATA_MASTER!$C$2:$C$5000,MATCH($C4954,DATA_MASTER!$D$2:$D$5000,0)),""))</f>
        <v/>
      </c>
      <c r="E4954" s="22">
        <f t="array" ref="E4954">IF($C4954="","",IFERROR(INDEX(DATA_MASTER!$I$2:$I$5000,MATCH($C4954,DATA_MASTER!$D$2:$D$5000,0)),""))</f>
        <v/>
      </c>
      <c r="F4954" s="22">
        <f t="array" ref="F4954">IF($C4954="","",IFERROR(INDEX(DATA_MASTER!$L$2:$L$5000,MATCH($C4954,DATA_MASTER!$D$2:$D$5000,0)),""))</f>
        <v/>
      </c>
      <c r="G4954" s="24" t="n"/>
      <c r="H4954" s="24" t="n"/>
      <c r="I4954" s="30" t="n"/>
      <c r="J4954" s="23">
        <f>IF(OR($H4954="",$I4954=""),"",$H4954*$I4954)</f>
        <v/>
      </c>
      <c r="K4954" s="24" t="n"/>
      <c r="L4954" s="24" t="n"/>
      <c r="M4954" s="29" t="n"/>
      <c r="N4954" s="28" t="n"/>
      <c r="O4954" s="24" t="n"/>
      <c r="P4954" s="24" t="n"/>
      <c r="Q4954" s="24" t="n"/>
      <c r="R4954" s="24" t="n"/>
      <c r="S4954" s="22">
        <f>IF(AND($A4954="",$C4954=""),"",IF($A4954="","Thiếu mã đơn; ","")&amp;IF(COUNTIF($A$2:$A4954,$A4954)&gt;1,"Trùng mã đơn; ","")&amp;IF(ISNA(MATCH($C4954,DATA_MASTER!$D$2:$D$5000,0)),"SĐT chưa đăng ký hội viên; ","")&amp;IF(AND($L4954="Đã chuyển khoản",$M4954=""),"Thiếu ngày nhận CK; ",""))</f>
        <v/>
      </c>
      <c r="T4954" s="24" t="n"/>
    </row>
    <row r="4955" ht="14.25" customHeight="1" s="40">
      <c r="A4955" s="24" t="n"/>
      <c r="B4955" s="29" t="n"/>
      <c r="C4955" s="28" t="n"/>
      <c r="D4955" s="22">
        <f t="array" ref="D4955">IF($C4955="","",IFERROR(INDEX(DATA_MASTER!$C$2:$C$5000,MATCH($C4955,DATA_MASTER!$D$2:$D$5000,0)),""))</f>
        <v/>
      </c>
      <c r="E4955" s="22">
        <f t="array" ref="E4955">IF($C4955="","",IFERROR(INDEX(DATA_MASTER!$I$2:$I$5000,MATCH($C4955,DATA_MASTER!$D$2:$D$5000,0)),""))</f>
        <v/>
      </c>
      <c r="F4955" s="22">
        <f t="array" ref="F4955">IF($C4955="","",IFERROR(INDEX(DATA_MASTER!$L$2:$L$5000,MATCH($C4955,DATA_MASTER!$D$2:$D$5000,0)),""))</f>
        <v/>
      </c>
      <c r="G4955" s="24" t="n"/>
      <c r="H4955" s="24" t="n"/>
      <c r="I4955" s="30" t="n"/>
      <c r="J4955" s="23">
        <f>IF(OR($H4955="",$I4955=""),"",$H4955*$I4955)</f>
        <v/>
      </c>
      <c r="K4955" s="24" t="n"/>
      <c r="L4955" s="24" t="n"/>
      <c r="M4955" s="29" t="n"/>
      <c r="N4955" s="28" t="n"/>
      <c r="O4955" s="24" t="n"/>
      <c r="P4955" s="24" t="n"/>
      <c r="Q4955" s="24" t="n"/>
      <c r="R4955" s="24" t="n"/>
      <c r="S4955" s="22">
        <f>IF(AND($A4955="",$C4955=""),"",IF($A4955="","Thiếu mã đơn; ","")&amp;IF(COUNTIF($A$2:$A4955,$A4955)&gt;1,"Trùng mã đơn; ","")&amp;IF(ISNA(MATCH($C4955,DATA_MASTER!$D$2:$D$5000,0)),"SĐT chưa đăng ký hội viên; ","")&amp;IF(AND($L4955="Đã chuyển khoản",$M4955=""),"Thiếu ngày nhận CK; ",""))</f>
        <v/>
      </c>
      <c r="T4955" s="24" t="n"/>
    </row>
    <row r="4956" ht="14.25" customHeight="1" s="40">
      <c r="A4956" s="24" t="n"/>
      <c r="B4956" s="29" t="n"/>
      <c r="C4956" s="28" t="n"/>
      <c r="D4956" s="22">
        <f t="array" ref="D4956">IF($C4956="","",IFERROR(INDEX(DATA_MASTER!$C$2:$C$5000,MATCH($C4956,DATA_MASTER!$D$2:$D$5000,0)),""))</f>
        <v/>
      </c>
      <c r="E4956" s="22">
        <f t="array" ref="E4956">IF($C4956="","",IFERROR(INDEX(DATA_MASTER!$I$2:$I$5000,MATCH($C4956,DATA_MASTER!$D$2:$D$5000,0)),""))</f>
        <v/>
      </c>
      <c r="F4956" s="22">
        <f t="array" ref="F4956">IF($C4956="","",IFERROR(INDEX(DATA_MASTER!$L$2:$L$5000,MATCH($C4956,DATA_MASTER!$D$2:$D$5000,0)),""))</f>
        <v/>
      </c>
      <c r="G4956" s="24" t="n"/>
      <c r="H4956" s="24" t="n"/>
      <c r="I4956" s="30" t="n"/>
      <c r="J4956" s="23">
        <f>IF(OR($H4956="",$I4956=""),"",$H4956*$I4956)</f>
        <v/>
      </c>
      <c r="K4956" s="24" t="n"/>
      <c r="L4956" s="24" t="n"/>
      <c r="M4956" s="29" t="n"/>
      <c r="N4956" s="28" t="n"/>
      <c r="O4956" s="24" t="n"/>
      <c r="P4956" s="24" t="n"/>
      <c r="Q4956" s="24" t="n"/>
      <c r="R4956" s="24" t="n"/>
      <c r="S4956" s="22">
        <f>IF(AND($A4956="",$C4956=""),"",IF($A4956="","Thiếu mã đơn; ","")&amp;IF(COUNTIF($A$2:$A4956,$A4956)&gt;1,"Trùng mã đơn; ","")&amp;IF(ISNA(MATCH($C4956,DATA_MASTER!$D$2:$D$5000,0)),"SĐT chưa đăng ký hội viên; ","")&amp;IF(AND($L4956="Đã chuyển khoản",$M4956=""),"Thiếu ngày nhận CK; ",""))</f>
        <v/>
      </c>
      <c r="T4956" s="24" t="n"/>
    </row>
    <row r="4957" ht="14.25" customHeight="1" s="40">
      <c r="A4957" s="24" t="n"/>
      <c r="B4957" s="29" t="n"/>
      <c r="C4957" s="28" t="n"/>
      <c r="D4957" s="22">
        <f t="array" ref="D4957">IF($C4957="","",IFERROR(INDEX(DATA_MASTER!$C$2:$C$5000,MATCH($C4957,DATA_MASTER!$D$2:$D$5000,0)),""))</f>
        <v/>
      </c>
      <c r="E4957" s="22">
        <f t="array" ref="E4957">IF($C4957="","",IFERROR(INDEX(DATA_MASTER!$I$2:$I$5000,MATCH($C4957,DATA_MASTER!$D$2:$D$5000,0)),""))</f>
        <v/>
      </c>
      <c r="F4957" s="22">
        <f t="array" ref="F4957">IF($C4957="","",IFERROR(INDEX(DATA_MASTER!$L$2:$L$5000,MATCH($C4957,DATA_MASTER!$D$2:$D$5000,0)),""))</f>
        <v/>
      </c>
      <c r="G4957" s="24" t="n"/>
      <c r="H4957" s="24" t="n"/>
      <c r="I4957" s="30" t="n"/>
      <c r="J4957" s="23">
        <f>IF(OR($H4957="",$I4957=""),"",$H4957*$I4957)</f>
        <v/>
      </c>
      <c r="K4957" s="24" t="n"/>
      <c r="L4957" s="24" t="n"/>
      <c r="M4957" s="29" t="n"/>
      <c r="N4957" s="28" t="n"/>
      <c r="O4957" s="24" t="n"/>
      <c r="P4957" s="24" t="n"/>
      <c r="Q4957" s="24" t="n"/>
      <c r="R4957" s="24" t="n"/>
      <c r="S4957" s="22">
        <f>IF(AND($A4957="",$C4957=""),"",IF($A4957="","Thiếu mã đơn; ","")&amp;IF(COUNTIF($A$2:$A4957,$A4957)&gt;1,"Trùng mã đơn; ","")&amp;IF(ISNA(MATCH($C4957,DATA_MASTER!$D$2:$D$5000,0)),"SĐT chưa đăng ký hội viên; ","")&amp;IF(AND($L4957="Đã chuyển khoản",$M4957=""),"Thiếu ngày nhận CK; ",""))</f>
        <v/>
      </c>
      <c r="T4957" s="24" t="n"/>
    </row>
    <row r="4958" ht="14.25" customHeight="1" s="40">
      <c r="A4958" s="24" t="n"/>
      <c r="B4958" s="29" t="n"/>
      <c r="C4958" s="28" t="n"/>
      <c r="D4958" s="22">
        <f t="array" ref="D4958">IF($C4958="","",IFERROR(INDEX(DATA_MASTER!$C$2:$C$5000,MATCH($C4958,DATA_MASTER!$D$2:$D$5000,0)),""))</f>
        <v/>
      </c>
      <c r="E4958" s="22">
        <f t="array" ref="E4958">IF($C4958="","",IFERROR(INDEX(DATA_MASTER!$I$2:$I$5000,MATCH($C4958,DATA_MASTER!$D$2:$D$5000,0)),""))</f>
        <v/>
      </c>
      <c r="F4958" s="22">
        <f t="array" ref="F4958">IF($C4958="","",IFERROR(INDEX(DATA_MASTER!$L$2:$L$5000,MATCH($C4958,DATA_MASTER!$D$2:$D$5000,0)),""))</f>
        <v/>
      </c>
      <c r="G4958" s="24" t="n"/>
      <c r="H4958" s="24" t="n"/>
      <c r="I4958" s="30" t="n"/>
      <c r="J4958" s="23">
        <f>IF(OR($H4958="",$I4958=""),"",$H4958*$I4958)</f>
        <v/>
      </c>
      <c r="K4958" s="24" t="n"/>
      <c r="L4958" s="24" t="n"/>
      <c r="M4958" s="29" t="n"/>
      <c r="N4958" s="28" t="n"/>
      <c r="O4958" s="24" t="n"/>
      <c r="P4958" s="24" t="n"/>
      <c r="Q4958" s="24" t="n"/>
      <c r="R4958" s="24" t="n"/>
      <c r="S4958" s="22">
        <f>IF(AND($A4958="",$C4958=""),"",IF($A4958="","Thiếu mã đơn; ","")&amp;IF(COUNTIF($A$2:$A4958,$A4958)&gt;1,"Trùng mã đơn; ","")&amp;IF(ISNA(MATCH($C4958,DATA_MASTER!$D$2:$D$5000,0)),"SĐT chưa đăng ký hội viên; ","")&amp;IF(AND($L4958="Đã chuyển khoản",$M4958=""),"Thiếu ngày nhận CK; ",""))</f>
        <v/>
      </c>
      <c r="T4958" s="24" t="n"/>
    </row>
    <row r="4959" ht="14.25" customHeight="1" s="40">
      <c r="A4959" s="24" t="n"/>
      <c r="B4959" s="29" t="n"/>
      <c r="C4959" s="28" t="n"/>
      <c r="D4959" s="22">
        <f t="array" ref="D4959">IF($C4959="","",IFERROR(INDEX(DATA_MASTER!$C$2:$C$5000,MATCH($C4959,DATA_MASTER!$D$2:$D$5000,0)),""))</f>
        <v/>
      </c>
      <c r="E4959" s="22">
        <f t="array" ref="E4959">IF($C4959="","",IFERROR(INDEX(DATA_MASTER!$I$2:$I$5000,MATCH($C4959,DATA_MASTER!$D$2:$D$5000,0)),""))</f>
        <v/>
      </c>
      <c r="F4959" s="22">
        <f t="array" ref="F4959">IF($C4959="","",IFERROR(INDEX(DATA_MASTER!$L$2:$L$5000,MATCH($C4959,DATA_MASTER!$D$2:$D$5000,0)),""))</f>
        <v/>
      </c>
      <c r="G4959" s="24" t="n"/>
      <c r="H4959" s="24" t="n"/>
      <c r="I4959" s="30" t="n"/>
      <c r="J4959" s="23">
        <f>IF(OR($H4959="",$I4959=""),"",$H4959*$I4959)</f>
        <v/>
      </c>
      <c r="K4959" s="24" t="n"/>
      <c r="L4959" s="24" t="n"/>
      <c r="M4959" s="29" t="n"/>
      <c r="N4959" s="28" t="n"/>
      <c r="O4959" s="24" t="n"/>
      <c r="P4959" s="24" t="n"/>
      <c r="Q4959" s="24" t="n"/>
      <c r="R4959" s="24" t="n"/>
      <c r="S4959" s="22">
        <f>IF(AND($A4959="",$C4959=""),"",IF($A4959="","Thiếu mã đơn; ","")&amp;IF(COUNTIF($A$2:$A4959,$A4959)&gt;1,"Trùng mã đơn; ","")&amp;IF(ISNA(MATCH($C4959,DATA_MASTER!$D$2:$D$5000,0)),"SĐT chưa đăng ký hội viên; ","")&amp;IF(AND($L4959="Đã chuyển khoản",$M4959=""),"Thiếu ngày nhận CK; ",""))</f>
        <v/>
      </c>
      <c r="T4959" s="24" t="n"/>
    </row>
    <row r="4960" ht="14.25" customHeight="1" s="40">
      <c r="A4960" s="24" t="n"/>
      <c r="B4960" s="29" t="n"/>
      <c r="C4960" s="28" t="n"/>
      <c r="D4960" s="22">
        <f t="array" ref="D4960">IF($C4960="","",IFERROR(INDEX(DATA_MASTER!$C$2:$C$5000,MATCH($C4960,DATA_MASTER!$D$2:$D$5000,0)),""))</f>
        <v/>
      </c>
      <c r="E4960" s="22">
        <f t="array" ref="E4960">IF($C4960="","",IFERROR(INDEX(DATA_MASTER!$I$2:$I$5000,MATCH($C4960,DATA_MASTER!$D$2:$D$5000,0)),""))</f>
        <v/>
      </c>
      <c r="F4960" s="22">
        <f t="array" ref="F4960">IF($C4960="","",IFERROR(INDEX(DATA_MASTER!$L$2:$L$5000,MATCH($C4960,DATA_MASTER!$D$2:$D$5000,0)),""))</f>
        <v/>
      </c>
      <c r="G4960" s="24" t="n"/>
      <c r="H4960" s="24" t="n"/>
      <c r="I4960" s="30" t="n"/>
      <c r="J4960" s="23">
        <f>IF(OR($H4960="",$I4960=""),"",$H4960*$I4960)</f>
        <v/>
      </c>
      <c r="K4960" s="24" t="n"/>
      <c r="L4960" s="24" t="n"/>
      <c r="M4960" s="29" t="n"/>
      <c r="N4960" s="28" t="n"/>
      <c r="O4960" s="24" t="n"/>
      <c r="P4960" s="24" t="n"/>
      <c r="Q4960" s="24" t="n"/>
      <c r="R4960" s="24" t="n"/>
      <c r="S4960" s="22">
        <f>IF(AND($A4960="",$C4960=""),"",IF($A4960="","Thiếu mã đơn; ","")&amp;IF(COUNTIF($A$2:$A4960,$A4960)&gt;1,"Trùng mã đơn; ","")&amp;IF(ISNA(MATCH($C4960,DATA_MASTER!$D$2:$D$5000,0)),"SĐT chưa đăng ký hội viên; ","")&amp;IF(AND($L4960="Đã chuyển khoản",$M4960=""),"Thiếu ngày nhận CK; ",""))</f>
        <v/>
      </c>
      <c r="T4960" s="24" t="n"/>
    </row>
    <row r="4961" ht="14.25" customHeight="1" s="40">
      <c r="A4961" s="24" t="n"/>
      <c r="B4961" s="29" t="n"/>
      <c r="C4961" s="28" t="n"/>
      <c r="D4961" s="22">
        <f t="array" ref="D4961">IF($C4961="","",IFERROR(INDEX(DATA_MASTER!$C$2:$C$5000,MATCH($C4961,DATA_MASTER!$D$2:$D$5000,0)),""))</f>
        <v/>
      </c>
      <c r="E4961" s="22">
        <f t="array" ref="E4961">IF($C4961="","",IFERROR(INDEX(DATA_MASTER!$I$2:$I$5000,MATCH($C4961,DATA_MASTER!$D$2:$D$5000,0)),""))</f>
        <v/>
      </c>
      <c r="F4961" s="22">
        <f t="array" ref="F4961">IF($C4961="","",IFERROR(INDEX(DATA_MASTER!$L$2:$L$5000,MATCH($C4961,DATA_MASTER!$D$2:$D$5000,0)),""))</f>
        <v/>
      </c>
      <c r="G4961" s="24" t="n"/>
      <c r="H4961" s="24" t="n"/>
      <c r="I4961" s="30" t="n"/>
      <c r="J4961" s="23">
        <f>IF(OR($H4961="",$I4961=""),"",$H4961*$I4961)</f>
        <v/>
      </c>
      <c r="K4961" s="24" t="n"/>
      <c r="L4961" s="24" t="n"/>
      <c r="M4961" s="29" t="n"/>
      <c r="N4961" s="28" t="n"/>
      <c r="O4961" s="24" t="n"/>
      <c r="P4961" s="24" t="n"/>
      <c r="Q4961" s="24" t="n"/>
      <c r="R4961" s="24" t="n"/>
      <c r="S4961" s="22">
        <f>IF(AND($A4961="",$C4961=""),"",IF($A4961="","Thiếu mã đơn; ","")&amp;IF(COUNTIF($A$2:$A4961,$A4961)&gt;1,"Trùng mã đơn; ","")&amp;IF(ISNA(MATCH($C4961,DATA_MASTER!$D$2:$D$5000,0)),"SĐT chưa đăng ký hội viên; ","")&amp;IF(AND($L4961="Đã chuyển khoản",$M4961=""),"Thiếu ngày nhận CK; ",""))</f>
        <v/>
      </c>
      <c r="T4961" s="24" t="n"/>
    </row>
    <row r="4962" ht="14.25" customHeight="1" s="40">
      <c r="A4962" s="24" t="n"/>
      <c r="B4962" s="29" t="n"/>
      <c r="C4962" s="28" t="n"/>
      <c r="D4962" s="22">
        <f t="array" ref="D4962">IF($C4962="","",IFERROR(INDEX(DATA_MASTER!$C$2:$C$5000,MATCH($C4962,DATA_MASTER!$D$2:$D$5000,0)),""))</f>
        <v/>
      </c>
      <c r="E4962" s="22">
        <f t="array" ref="E4962">IF($C4962="","",IFERROR(INDEX(DATA_MASTER!$I$2:$I$5000,MATCH($C4962,DATA_MASTER!$D$2:$D$5000,0)),""))</f>
        <v/>
      </c>
      <c r="F4962" s="22">
        <f t="array" ref="F4962">IF($C4962="","",IFERROR(INDEX(DATA_MASTER!$L$2:$L$5000,MATCH($C4962,DATA_MASTER!$D$2:$D$5000,0)),""))</f>
        <v/>
      </c>
      <c r="G4962" s="24" t="n"/>
      <c r="H4962" s="24" t="n"/>
      <c r="I4962" s="30" t="n"/>
      <c r="J4962" s="23">
        <f>IF(OR($H4962="",$I4962=""),"",$H4962*$I4962)</f>
        <v/>
      </c>
      <c r="K4962" s="24" t="n"/>
      <c r="L4962" s="24" t="n"/>
      <c r="M4962" s="29" t="n"/>
      <c r="N4962" s="28" t="n"/>
      <c r="O4962" s="24" t="n"/>
      <c r="P4962" s="24" t="n"/>
      <c r="Q4962" s="24" t="n"/>
      <c r="R4962" s="24" t="n"/>
      <c r="S4962" s="22">
        <f>IF(AND($A4962="",$C4962=""),"",IF($A4962="","Thiếu mã đơn; ","")&amp;IF(COUNTIF($A$2:$A4962,$A4962)&gt;1,"Trùng mã đơn; ","")&amp;IF(ISNA(MATCH($C4962,DATA_MASTER!$D$2:$D$5000,0)),"SĐT chưa đăng ký hội viên; ","")&amp;IF(AND($L4962="Đã chuyển khoản",$M4962=""),"Thiếu ngày nhận CK; ",""))</f>
        <v/>
      </c>
      <c r="T4962" s="24" t="n"/>
    </row>
    <row r="4963" ht="14.25" customHeight="1" s="40">
      <c r="A4963" s="24" t="n"/>
      <c r="B4963" s="29" t="n"/>
      <c r="C4963" s="28" t="n"/>
      <c r="D4963" s="22">
        <f t="array" ref="D4963">IF($C4963="","",IFERROR(INDEX(DATA_MASTER!$C$2:$C$5000,MATCH($C4963,DATA_MASTER!$D$2:$D$5000,0)),""))</f>
        <v/>
      </c>
      <c r="E4963" s="22">
        <f t="array" ref="E4963">IF($C4963="","",IFERROR(INDEX(DATA_MASTER!$I$2:$I$5000,MATCH($C4963,DATA_MASTER!$D$2:$D$5000,0)),""))</f>
        <v/>
      </c>
      <c r="F4963" s="22">
        <f t="array" ref="F4963">IF($C4963="","",IFERROR(INDEX(DATA_MASTER!$L$2:$L$5000,MATCH($C4963,DATA_MASTER!$D$2:$D$5000,0)),""))</f>
        <v/>
      </c>
      <c r="G4963" s="24" t="n"/>
      <c r="H4963" s="24" t="n"/>
      <c r="I4963" s="30" t="n"/>
      <c r="J4963" s="23">
        <f>IF(OR($H4963="",$I4963=""),"",$H4963*$I4963)</f>
        <v/>
      </c>
      <c r="K4963" s="24" t="n"/>
      <c r="L4963" s="24" t="n"/>
      <c r="M4963" s="29" t="n"/>
      <c r="N4963" s="28" t="n"/>
      <c r="O4963" s="24" t="n"/>
      <c r="P4963" s="24" t="n"/>
      <c r="Q4963" s="24" t="n"/>
      <c r="R4963" s="24" t="n"/>
      <c r="S4963" s="22">
        <f>IF(AND($A4963="",$C4963=""),"",IF($A4963="","Thiếu mã đơn; ","")&amp;IF(COUNTIF($A$2:$A4963,$A4963)&gt;1,"Trùng mã đơn; ","")&amp;IF(ISNA(MATCH($C4963,DATA_MASTER!$D$2:$D$5000,0)),"SĐT chưa đăng ký hội viên; ","")&amp;IF(AND($L4963="Đã chuyển khoản",$M4963=""),"Thiếu ngày nhận CK; ",""))</f>
        <v/>
      </c>
      <c r="T4963" s="24" t="n"/>
    </row>
    <row r="4964" ht="14.25" customHeight="1" s="40">
      <c r="A4964" s="24" t="n"/>
      <c r="B4964" s="29" t="n"/>
      <c r="C4964" s="28" t="n"/>
      <c r="D4964" s="22">
        <f t="array" ref="D4964">IF($C4964="","",IFERROR(INDEX(DATA_MASTER!$C$2:$C$5000,MATCH($C4964,DATA_MASTER!$D$2:$D$5000,0)),""))</f>
        <v/>
      </c>
      <c r="E4964" s="22">
        <f t="array" ref="E4964">IF($C4964="","",IFERROR(INDEX(DATA_MASTER!$I$2:$I$5000,MATCH($C4964,DATA_MASTER!$D$2:$D$5000,0)),""))</f>
        <v/>
      </c>
      <c r="F4964" s="22">
        <f t="array" ref="F4964">IF($C4964="","",IFERROR(INDEX(DATA_MASTER!$L$2:$L$5000,MATCH($C4964,DATA_MASTER!$D$2:$D$5000,0)),""))</f>
        <v/>
      </c>
      <c r="G4964" s="24" t="n"/>
      <c r="H4964" s="24" t="n"/>
      <c r="I4964" s="30" t="n"/>
      <c r="J4964" s="23">
        <f>IF(OR($H4964="",$I4964=""),"",$H4964*$I4964)</f>
        <v/>
      </c>
      <c r="K4964" s="24" t="n"/>
      <c r="L4964" s="24" t="n"/>
      <c r="M4964" s="29" t="n"/>
      <c r="N4964" s="28" t="n"/>
      <c r="O4964" s="24" t="n"/>
      <c r="P4964" s="24" t="n"/>
      <c r="Q4964" s="24" t="n"/>
      <c r="R4964" s="24" t="n"/>
      <c r="S4964" s="22">
        <f>IF(AND($A4964="",$C4964=""),"",IF($A4964="","Thiếu mã đơn; ","")&amp;IF(COUNTIF($A$2:$A4964,$A4964)&gt;1,"Trùng mã đơn; ","")&amp;IF(ISNA(MATCH($C4964,DATA_MASTER!$D$2:$D$5000,0)),"SĐT chưa đăng ký hội viên; ","")&amp;IF(AND($L4964="Đã chuyển khoản",$M4964=""),"Thiếu ngày nhận CK; ",""))</f>
        <v/>
      </c>
      <c r="T4964" s="24" t="n"/>
    </row>
    <row r="4965" ht="14.25" customHeight="1" s="40">
      <c r="A4965" s="24" t="n"/>
      <c r="B4965" s="29" t="n"/>
      <c r="C4965" s="28" t="n"/>
      <c r="D4965" s="22">
        <f t="array" ref="D4965">IF($C4965="","",IFERROR(INDEX(DATA_MASTER!$C$2:$C$5000,MATCH($C4965,DATA_MASTER!$D$2:$D$5000,0)),""))</f>
        <v/>
      </c>
      <c r="E4965" s="22">
        <f t="array" ref="E4965">IF($C4965="","",IFERROR(INDEX(DATA_MASTER!$I$2:$I$5000,MATCH($C4965,DATA_MASTER!$D$2:$D$5000,0)),""))</f>
        <v/>
      </c>
      <c r="F4965" s="22">
        <f t="array" ref="F4965">IF($C4965="","",IFERROR(INDEX(DATA_MASTER!$L$2:$L$5000,MATCH($C4965,DATA_MASTER!$D$2:$D$5000,0)),""))</f>
        <v/>
      </c>
      <c r="G4965" s="24" t="n"/>
      <c r="H4965" s="24" t="n"/>
      <c r="I4965" s="30" t="n"/>
      <c r="J4965" s="23">
        <f>IF(OR($H4965="",$I4965=""),"",$H4965*$I4965)</f>
        <v/>
      </c>
      <c r="K4965" s="24" t="n"/>
      <c r="L4965" s="24" t="n"/>
      <c r="M4965" s="29" t="n"/>
      <c r="N4965" s="28" t="n"/>
      <c r="O4965" s="24" t="n"/>
      <c r="P4965" s="24" t="n"/>
      <c r="Q4965" s="24" t="n"/>
      <c r="R4965" s="24" t="n"/>
      <c r="S4965" s="22">
        <f>IF(AND($A4965="",$C4965=""),"",IF($A4965="","Thiếu mã đơn; ","")&amp;IF(COUNTIF($A$2:$A4965,$A4965)&gt;1,"Trùng mã đơn; ","")&amp;IF(ISNA(MATCH($C4965,DATA_MASTER!$D$2:$D$5000,0)),"SĐT chưa đăng ký hội viên; ","")&amp;IF(AND($L4965="Đã chuyển khoản",$M4965=""),"Thiếu ngày nhận CK; ",""))</f>
        <v/>
      </c>
      <c r="T4965" s="24" t="n"/>
    </row>
    <row r="4966" ht="14.25" customHeight="1" s="40">
      <c r="A4966" s="24" t="n"/>
      <c r="B4966" s="29" t="n"/>
      <c r="C4966" s="28" t="n"/>
      <c r="D4966" s="22">
        <f t="array" ref="D4966">IF($C4966="","",IFERROR(INDEX(DATA_MASTER!$C$2:$C$5000,MATCH($C4966,DATA_MASTER!$D$2:$D$5000,0)),""))</f>
        <v/>
      </c>
      <c r="E4966" s="22">
        <f t="array" ref="E4966">IF($C4966="","",IFERROR(INDEX(DATA_MASTER!$I$2:$I$5000,MATCH($C4966,DATA_MASTER!$D$2:$D$5000,0)),""))</f>
        <v/>
      </c>
      <c r="F4966" s="22">
        <f t="array" ref="F4966">IF($C4966="","",IFERROR(INDEX(DATA_MASTER!$L$2:$L$5000,MATCH($C4966,DATA_MASTER!$D$2:$D$5000,0)),""))</f>
        <v/>
      </c>
      <c r="G4966" s="24" t="n"/>
      <c r="H4966" s="24" t="n"/>
      <c r="I4966" s="30" t="n"/>
      <c r="J4966" s="23">
        <f>IF(OR($H4966="",$I4966=""),"",$H4966*$I4966)</f>
        <v/>
      </c>
      <c r="K4966" s="24" t="n"/>
      <c r="L4966" s="24" t="n"/>
      <c r="M4966" s="29" t="n"/>
      <c r="N4966" s="28" t="n"/>
      <c r="O4966" s="24" t="n"/>
      <c r="P4966" s="24" t="n"/>
      <c r="Q4966" s="24" t="n"/>
      <c r="R4966" s="24" t="n"/>
      <c r="S4966" s="22">
        <f>IF(AND($A4966="",$C4966=""),"",IF($A4966="","Thiếu mã đơn; ","")&amp;IF(COUNTIF($A$2:$A4966,$A4966)&gt;1,"Trùng mã đơn; ","")&amp;IF(ISNA(MATCH($C4966,DATA_MASTER!$D$2:$D$5000,0)),"SĐT chưa đăng ký hội viên; ","")&amp;IF(AND($L4966="Đã chuyển khoản",$M4966=""),"Thiếu ngày nhận CK; ",""))</f>
        <v/>
      </c>
      <c r="T4966" s="24" t="n"/>
    </row>
    <row r="4967" ht="14.25" customHeight="1" s="40">
      <c r="A4967" s="24" t="n"/>
      <c r="B4967" s="29" t="n"/>
      <c r="C4967" s="28" t="n"/>
      <c r="D4967" s="22">
        <f t="array" ref="D4967">IF($C4967="","",IFERROR(INDEX(DATA_MASTER!$C$2:$C$5000,MATCH($C4967,DATA_MASTER!$D$2:$D$5000,0)),""))</f>
        <v/>
      </c>
      <c r="E4967" s="22">
        <f t="array" ref="E4967">IF($C4967="","",IFERROR(INDEX(DATA_MASTER!$I$2:$I$5000,MATCH($C4967,DATA_MASTER!$D$2:$D$5000,0)),""))</f>
        <v/>
      </c>
      <c r="F4967" s="22">
        <f t="array" ref="F4967">IF($C4967="","",IFERROR(INDEX(DATA_MASTER!$L$2:$L$5000,MATCH($C4967,DATA_MASTER!$D$2:$D$5000,0)),""))</f>
        <v/>
      </c>
      <c r="G4967" s="24" t="n"/>
      <c r="H4967" s="24" t="n"/>
      <c r="I4967" s="30" t="n"/>
      <c r="J4967" s="23">
        <f>IF(OR($H4967="",$I4967=""),"",$H4967*$I4967)</f>
        <v/>
      </c>
      <c r="K4967" s="24" t="n"/>
      <c r="L4967" s="24" t="n"/>
      <c r="M4967" s="29" t="n"/>
      <c r="N4967" s="28" t="n"/>
      <c r="O4967" s="24" t="n"/>
      <c r="P4967" s="24" t="n"/>
      <c r="Q4967" s="24" t="n"/>
      <c r="R4967" s="24" t="n"/>
      <c r="S4967" s="22">
        <f>IF(AND($A4967="",$C4967=""),"",IF($A4967="","Thiếu mã đơn; ","")&amp;IF(COUNTIF($A$2:$A4967,$A4967)&gt;1,"Trùng mã đơn; ","")&amp;IF(ISNA(MATCH($C4967,DATA_MASTER!$D$2:$D$5000,0)),"SĐT chưa đăng ký hội viên; ","")&amp;IF(AND($L4967="Đã chuyển khoản",$M4967=""),"Thiếu ngày nhận CK; ",""))</f>
        <v/>
      </c>
      <c r="T4967" s="24" t="n"/>
    </row>
    <row r="4968" ht="14.25" customHeight="1" s="40">
      <c r="A4968" s="24" t="n"/>
      <c r="B4968" s="29" t="n"/>
      <c r="C4968" s="28" t="n"/>
      <c r="D4968" s="22">
        <f t="array" ref="D4968">IF($C4968="","",IFERROR(INDEX(DATA_MASTER!$C$2:$C$5000,MATCH($C4968,DATA_MASTER!$D$2:$D$5000,0)),""))</f>
        <v/>
      </c>
      <c r="E4968" s="22">
        <f t="array" ref="E4968">IF($C4968="","",IFERROR(INDEX(DATA_MASTER!$I$2:$I$5000,MATCH($C4968,DATA_MASTER!$D$2:$D$5000,0)),""))</f>
        <v/>
      </c>
      <c r="F4968" s="22">
        <f t="array" ref="F4968">IF($C4968="","",IFERROR(INDEX(DATA_MASTER!$L$2:$L$5000,MATCH($C4968,DATA_MASTER!$D$2:$D$5000,0)),""))</f>
        <v/>
      </c>
      <c r="G4968" s="24" t="n"/>
      <c r="H4968" s="24" t="n"/>
      <c r="I4968" s="30" t="n"/>
      <c r="J4968" s="23">
        <f>IF(OR($H4968="",$I4968=""),"",$H4968*$I4968)</f>
        <v/>
      </c>
      <c r="K4968" s="24" t="n"/>
      <c r="L4968" s="24" t="n"/>
      <c r="M4968" s="29" t="n"/>
      <c r="N4968" s="28" t="n"/>
      <c r="O4968" s="24" t="n"/>
      <c r="P4968" s="24" t="n"/>
      <c r="Q4968" s="24" t="n"/>
      <c r="R4968" s="24" t="n"/>
      <c r="S4968" s="22">
        <f>IF(AND($A4968="",$C4968=""),"",IF($A4968="","Thiếu mã đơn; ","")&amp;IF(COUNTIF($A$2:$A4968,$A4968)&gt;1,"Trùng mã đơn; ","")&amp;IF(ISNA(MATCH($C4968,DATA_MASTER!$D$2:$D$5000,0)),"SĐT chưa đăng ký hội viên; ","")&amp;IF(AND($L4968="Đã chuyển khoản",$M4968=""),"Thiếu ngày nhận CK; ",""))</f>
        <v/>
      </c>
      <c r="T4968" s="24" t="n"/>
    </row>
    <row r="4969" ht="14.25" customHeight="1" s="40">
      <c r="A4969" s="24" t="n"/>
      <c r="B4969" s="29" t="n"/>
      <c r="C4969" s="28" t="n"/>
      <c r="D4969" s="22">
        <f t="array" ref="D4969">IF($C4969="","",IFERROR(INDEX(DATA_MASTER!$C$2:$C$5000,MATCH($C4969,DATA_MASTER!$D$2:$D$5000,0)),""))</f>
        <v/>
      </c>
      <c r="E4969" s="22">
        <f t="array" ref="E4969">IF($C4969="","",IFERROR(INDEX(DATA_MASTER!$I$2:$I$5000,MATCH($C4969,DATA_MASTER!$D$2:$D$5000,0)),""))</f>
        <v/>
      </c>
      <c r="F4969" s="22">
        <f t="array" ref="F4969">IF($C4969="","",IFERROR(INDEX(DATA_MASTER!$L$2:$L$5000,MATCH($C4969,DATA_MASTER!$D$2:$D$5000,0)),""))</f>
        <v/>
      </c>
      <c r="G4969" s="24" t="n"/>
      <c r="H4969" s="24" t="n"/>
      <c r="I4969" s="30" t="n"/>
      <c r="J4969" s="23">
        <f>IF(OR($H4969="",$I4969=""),"",$H4969*$I4969)</f>
        <v/>
      </c>
      <c r="K4969" s="24" t="n"/>
      <c r="L4969" s="24" t="n"/>
      <c r="M4969" s="29" t="n"/>
      <c r="N4969" s="28" t="n"/>
      <c r="O4969" s="24" t="n"/>
      <c r="P4969" s="24" t="n"/>
      <c r="Q4969" s="24" t="n"/>
      <c r="R4969" s="24" t="n"/>
      <c r="S4969" s="22">
        <f>IF(AND($A4969="",$C4969=""),"",IF($A4969="","Thiếu mã đơn; ","")&amp;IF(COUNTIF($A$2:$A4969,$A4969)&gt;1,"Trùng mã đơn; ","")&amp;IF(ISNA(MATCH($C4969,DATA_MASTER!$D$2:$D$5000,0)),"SĐT chưa đăng ký hội viên; ","")&amp;IF(AND($L4969="Đã chuyển khoản",$M4969=""),"Thiếu ngày nhận CK; ",""))</f>
        <v/>
      </c>
      <c r="T4969" s="24" t="n"/>
    </row>
    <row r="4970" ht="14.25" customHeight="1" s="40">
      <c r="A4970" s="24" t="n"/>
      <c r="B4970" s="29" t="n"/>
      <c r="C4970" s="28" t="n"/>
      <c r="D4970" s="22">
        <f t="array" ref="D4970">IF($C4970="","",IFERROR(INDEX(DATA_MASTER!$C$2:$C$5000,MATCH($C4970,DATA_MASTER!$D$2:$D$5000,0)),""))</f>
        <v/>
      </c>
      <c r="E4970" s="22">
        <f t="array" ref="E4970">IF($C4970="","",IFERROR(INDEX(DATA_MASTER!$I$2:$I$5000,MATCH($C4970,DATA_MASTER!$D$2:$D$5000,0)),""))</f>
        <v/>
      </c>
      <c r="F4970" s="22">
        <f t="array" ref="F4970">IF($C4970="","",IFERROR(INDEX(DATA_MASTER!$L$2:$L$5000,MATCH($C4970,DATA_MASTER!$D$2:$D$5000,0)),""))</f>
        <v/>
      </c>
      <c r="G4970" s="24" t="n"/>
      <c r="H4970" s="24" t="n"/>
      <c r="I4970" s="30" t="n"/>
      <c r="J4970" s="23">
        <f>IF(OR($H4970="",$I4970=""),"",$H4970*$I4970)</f>
        <v/>
      </c>
      <c r="K4970" s="24" t="n"/>
      <c r="L4970" s="24" t="n"/>
      <c r="M4970" s="29" t="n"/>
      <c r="N4970" s="28" t="n"/>
      <c r="O4970" s="24" t="n"/>
      <c r="P4970" s="24" t="n"/>
      <c r="Q4970" s="24" t="n"/>
      <c r="R4970" s="24" t="n"/>
      <c r="S4970" s="22">
        <f>IF(AND($A4970="",$C4970=""),"",IF($A4970="","Thiếu mã đơn; ","")&amp;IF(COUNTIF($A$2:$A4970,$A4970)&gt;1,"Trùng mã đơn; ","")&amp;IF(ISNA(MATCH($C4970,DATA_MASTER!$D$2:$D$5000,0)),"SĐT chưa đăng ký hội viên; ","")&amp;IF(AND($L4970="Đã chuyển khoản",$M4970=""),"Thiếu ngày nhận CK; ",""))</f>
        <v/>
      </c>
      <c r="T4970" s="24" t="n"/>
    </row>
    <row r="4971" ht="14.25" customHeight="1" s="40">
      <c r="A4971" s="24" t="n"/>
      <c r="B4971" s="29" t="n"/>
      <c r="C4971" s="28" t="n"/>
      <c r="D4971" s="22">
        <f t="array" ref="D4971">IF($C4971="","",IFERROR(INDEX(DATA_MASTER!$C$2:$C$5000,MATCH($C4971,DATA_MASTER!$D$2:$D$5000,0)),""))</f>
        <v/>
      </c>
      <c r="E4971" s="22">
        <f t="array" ref="E4971">IF($C4971="","",IFERROR(INDEX(DATA_MASTER!$I$2:$I$5000,MATCH($C4971,DATA_MASTER!$D$2:$D$5000,0)),""))</f>
        <v/>
      </c>
      <c r="F4971" s="22">
        <f t="array" ref="F4971">IF($C4971="","",IFERROR(INDEX(DATA_MASTER!$L$2:$L$5000,MATCH($C4971,DATA_MASTER!$D$2:$D$5000,0)),""))</f>
        <v/>
      </c>
      <c r="G4971" s="24" t="n"/>
      <c r="H4971" s="24" t="n"/>
      <c r="I4971" s="30" t="n"/>
      <c r="J4971" s="23">
        <f>IF(OR($H4971="",$I4971=""),"",$H4971*$I4971)</f>
        <v/>
      </c>
      <c r="K4971" s="24" t="n"/>
      <c r="L4971" s="24" t="n"/>
      <c r="M4971" s="29" t="n"/>
      <c r="N4971" s="28" t="n"/>
      <c r="O4971" s="24" t="n"/>
      <c r="P4971" s="24" t="n"/>
      <c r="Q4971" s="24" t="n"/>
      <c r="R4971" s="24" t="n"/>
      <c r="S4971" s="22">
        <f>IF(AND($A4971="",$C4971=""),"",IF($A4971="","Thiếu mã đơn; ","")&amp;IF(COUNTIF($A$2:$A4971,$A4971)&gt;1,"Trùng mã đơn; ","")&amp;IF(ISNA(MATCH($C4971,DATA_MASTER!$D$2:$D$5000,0)),"SĐT chưa đăng ký hội viên; ","")&amp;IF(AND($L4971="Đã chuyển khoản",$M4971=""),"Thiếu ngày nhận CK; ",""))</f>
        <v/>
      </c>
      <c r="T4971" s="24" t="n"/>
    </row>
    <row r="4972" ht="14.25" customHeight="1" s="40">
      <c r="A4972" s="24" t="n"/>
      <c r="B4972" s="29" t="n"/>
      <c r="C4972" s="28" t="n"/>
      <c r="D4972" s="22">
        <f t="array" ref="D4972">IF($C4972="","",IFERROR(INDEX(DATA_MASTER!$C$2:$C$5000,MATCH($C4972,DATA_MASTER!$D$2:$D$5000,0)),""))</f>
        <v/>
      </c>
      <c r="E4972" s="22">
        <f t="array" ref="E4972">IF($C4972="","",IFERROR(INDEX(DATA_MASTER!$I$2:$I$5000,MATCH($C4972,DATA_MASTER!$D$2:$D$5000,0)),""))</f>
        <v/>
      </c>
      <c r="F4972" s="22">
        <f t="array" ref="F4972">IF($C4972="","",IFERROR(INDEX(DATA_MASTER!$L$2:$L$5000,MATCH($C4972,DATA_MASTER!$D$2:$D$5000,0)),""))</f>
        <v/>
      </c>
      <c r="G4972" s="24" t="n"/>
      <c r="H4972" s="24" t="n"/>
      <c r="I4972" s="30" t="n"/>
      <c r="J4972" s="23">
        <f>IF(OR($H4972="",$I4972=""),"",$H4972*$I4972)</f>
        <v/>
      </c>
      <c r="K4972" s="24" t="n"/>
      <c r="L4972" s="24" t="n"/>
      <c r="M4972" s="29" t="n"/>
      <c r="N4972" s="28" t="n"/>
      <c r="O4972" s="24" t="n"/>
      <c r="P4972" s="24" t="n"/>
      <c r="Q4972" s="24" t="n"/>
      <c r="R4972" s="24" t="n"/>
      <c r="S4972" s="22">
        <f>IF(AND($A4972="",$C4972=""),"",IF($A4972="","Thiếu mã đơn; ","")&amp;IF(COUNTIF($A$2:$A4972,$A4972)&gt;1,"Trùng mã đơn; ","")&amp;IF(ISNA(MATCH($C4972,DATA_MASTER!$D$2:$D$5000,0)),"SĐT chưa đăng ký hội viên; ","")&amp;IF(AND($L4972="Đã chuyển khoản",$M4972=""),"Thiếu ngày nhận CK; ",""))</f>
        <v/>
      </c>
      <c r="T4972" s="24" t="n"/>
    </row>
    <row r="4973" ht="14.25" customHeight="1" s="40">
      <c r="A4973" s="24" t="n"/>
      <c r="B4973" s="29" t="n"/>
      <c r="C4973" s="28" t="n"/>
      <c r="D4973" s="22">
        <f t="array" ref="D4973">IF($C4973="","",IFERROR(INDEX(DATA_MASTER!$C$2:$C$5000,MATCH($C4973,DATA_MASTER!$D$2:$D$5000,0)),""))</f>
        <v/>
      </c>
      <c r="E4973" s="22">
        <f t="array" ref="E4973">IF($C4973="","",IFERROR(INDEX(DATA_MASTER!$I$2:$I$5000,MATCH($C4973,DATA_MASTER!$D$2:$D$5000,0)),""))</f>
        <v/>
      </c>
      <c r="F4973" s="22">
        <f t="array" ref="F4973">IF($C4973="","",IFERROR(INDEX(DATA_MASTER!$L$2:$L$5000,MATCH($C4973,DATA_MASTER!$D$2:$D$5000,0)),""))</f>
        <v/>
      </c>
      <c r="G4973" s="24" t="n"/>
      <c r="H4973" s="24" t="n"/>
      <c r="I4973" s="30" t="n"/>
      <c r="J4973" s="23">
        <f>IF(OR($H4973="",$I4973=""),"",$H4973*$I4973)</f>
        <v/>
      </c>
      <c r="K4973" s="24" t="n"/>
      <c r="L4973" s="24" t="n"/>
      <c r="M4973" s="29" t="n"/>
      <c r="N4973" s="28" t="n"/>
      <c r="O4973" s="24" t="n"/>
      <c r="P4973" s="24" t="n"/>
      <c r="Q4973" s="24" t="n"/>
      <c r="R4973" s="24" t="n"/>
      <c r="S4973" s="22">
        <f>IF(AND($A4973="",$C4973=""),"",IF($A4973="","Thiếu mã đơn; ","")&amp;IF(COUNTIF($A$2:$A4973,$A4973)&gt;1,"Trùng mã đơn; ","")&amp;IF(ISNA(MATCH($C4973,DATA_MASTER!$D$2:$D$5000,0)),"SĐT chưa đăng ký hội viên; ","")&amp;IF(AND($L4973="Đã chuyển khoản",$M4973=""),"Thiếu ngày nhận CK; ",""))</f>
        <v/>
      </c>
      <c r="T4973" s="24" t="n"/>
    </row>
    <row r="4974" ht="14.25" customHeight="1" s="40">
      <c r="A4974" s="24" t="n"/>
      <c r="B4974" s="29" t="n"/>
      <c r="C4974" s="28" t="n"/>
      <c r="D4974" s="22">
        <f t="array" ref="D4974">IF($C4974="","",IFERROR(INDEX(DATA_MASTER!$C$2:$C$5000,MATCH($C4974,DATA_MASTER!$D$2:$D$5000,0)),""))</f>
        <v/>
      </c>
      <c r="E4974" s="22">
        <f t="array" ref="E4974">IF($C4974="","",IFERROR(INDEX(DATA_MASTER!$I$2:$I$5000,MATCH($C4974,DATA_MASTER!$D$2:$D$5000,0)),""))</f>
        <v/>
      </c>
      <c r="F4974" s="22">
        <f t="array" ref="F4974">IF($C4974="","",IFERROR(INDEX(DATA_MASTER!$L$2:$L$5000,MATCH($C4974,DATA_MASTER!$D$2:$D$5000,0)),""))</f>
        <v/>
      </c>
      <c r="G4974" s="24" t="n"/>
      <c r="H4974" s="24" t="n"/>
      <c r="I4974" s="30" t="n"/>
      <c r="J4974" s="23">
        <f>IF(OR($H4974="",$I4974=""),"",$H4974*$I4974)</f>
        <v/>
      </c>
      <c r="K4974" s="24" t="n"/>
      <c r="L4974" s="24" t="n"/>
      <c r="M4974" s="29" t="n"/>
      <c r="N4974" s="28" t="n"/>
      <c r="O4974" s="24" t="n"/>
      <c r="P4974" s="24" t="n"/>
      <c r="Q4974" s="24" t="n"/>
      <c r="R4974" s="24" t="n"/>
      <c r="S4974" s="22">
        <f>IF(AND($A4974="",$C4974=""),"",IF($A4974="","Thiếu mã đơn; ","")&amp;IF(COUNTIF($A$2:$A4974,$A4974)&gt;1,"Trùng mã đơn; ","")&amp;IF(ISNA(MATCH($C4974,DATA_MASTER!$D$2:$D$5000,0)),"SĐT chưa đăng ký hội viên; ","")&amp;IF(AND($L4974="Đã chuyển khoản",$M4974=""),"Thiếu ngày nhận CK; ",""))</f>
        <v/>
      </c>
      <c r="T4974" s="24" t="n"/>
    </row>
    <row r="4975" ht="14.25" customHeight="1" s="40">
      <c r="A4975" s="24" t="n"/>
      <c r="B4975" s="29" t="n"/>
      <c r="C4975" s="28" t="n"/>
      <c r="D4975" s="22">
        <f t="array" ref="D4975">IF($C4975="","",IFERROR(INDEX(DATA_MASTER!$C$2:$C$5000,MATCH($C4975,DATA_MASTER!$D$2:$D$5000,0)),""))</f>
        <v/>
      </c>
      <c r="E4975" s="22">
        <f t="array" ref="E4975">IF($C4975="","",IFERROR(INDEX(DATA_MASTER!$I$2:$I$5000,MATCH($C4975,DATA_MASTER!$D$2:$D$5000,0)),""))</f>
        <v/>
      </c>
      <c r="F4975" s="22">
        <f t="array" ref="F4975">IF($C4975="","",IFERROR(INDEX(DATA_MASTER!$L$2:$L$5000,MATCH($C4975,DATA_MASTER!$D$2:$D$5000,0)),""))</f>
        <v/>
      </c>
      <c r="G4975" s="24" t="n"/>
      <c r="H4975" s="24" t="n"/>
      <c r="I4975" s="30" t="n"/>
      <c r="J4975" s="23">
        <f>IF(OR($H4975="",$I4975=""),"",$H4975*$I4975)</f>
        <v/>
      </c>
      <c r="K4975" s="24" t="n"/>
      <c r="L4975" s="24" t="n"/>
      <c r="M4975" s="29" t="n"/>
      <c r="N4975" s="28" t="n"/>
      <c r="O4975" s="24" t="n"/>
      <c r="P4975" s="24" t="n"/>
      <c r="Q4975" s="24" t="n"/>
      <c r="R4975" s="24" t="n"/>
      <c r="S4975" s="22">
        <f>IF(AND($A4975="",$C4975=""),"",IF($A4975="","Thiếu mã đơn; ","")&amp;IF(COUNTIF($A$2:$A4975,$A4975)&gt;1,"Trùng mã đơn; ","")&amp;IF(ISNA(MATCH($C4975,DATA_MASTER!$D$2:$D$5000,0)),"SĐT chưa đăng ký hội viên; ","")&amp;IF(AND($L4975="Đã chuyển khoản",$M4975=""),"Thiếu ngày nhận CK; ",""))</f>
        <v/>
      </c>
      <c r="T4975" s="24" t="n"/>
    </row>
    <row r="4976" ht="14.25" customHeight="1" s="40">
      <c r="A4976" s="24" t="n"/>
      <c r="B4976" s="29" t="n"/>
      <c r="C4976" s="28" t="n"/>
      <c r="D4976" s="22">
        <f t="array" ref="D4976">IF($C4976="","",IFERROR(INDEX(DATA_MASTER!$C$2:$C$5000,MATCH($C4976,DATA_MASTER!$D$2:$D$5000,0)),""))</f>
        <v/>
      </c>
      <c r="E4976" s="22">
        <f t="array" ref="E4976">IF($C4976="","",IFERROR(INDEX(DATA_MASTER!$I$2:$I$5000,MATCH($C4976,DATA_MASTER!$D$2:$D$5000,0)),""))</f>
        <v/>
      </c>
      <c r="F4976" s="22">
        <f t="array" ref="F4976">IF($C4976="","",IFERROR(INDEX(DATA_MASTER!$L$2:$L$5000,MATCH($C4976,DATA_MASTER!$D$2:$D$5000,0)),""))</f>
        <v/>
      </c>
      <c r="G4976" s="24" t="n"/>
      <c r="H4976" s="24" t="n"/>
      <c r="I4976" s="30" t="n"/>
      <c r="J4976" s="23">
        <f>IF(OR($H4976="",$I4976=""),"",$H4976*$I4976)</f>
        <v/>
      </c>
      <c r="K4976" s="24" t="n"/>
      <c r="L4976" s="24" t="n"/>
      <c r="M4976" s="29" t="n"/>
      <c r="N4976" s="28" t="n"/>
      <c r="O4976" s="24" t="n"/>
      <c r="P4976" s="24" t="n"/>
      <c r="Q4976" s="24" t="n"/>
      <c r="R4976" s="24" t="n"/>
      <c r="S4976" s="22">
        <f>IF(AND($A4976="",$C4976=""),"",IF($A4976="","Thiếu mã đơn; ","")&amp;IF(COUNTIF($A$2:$A4976,$A4976)&gt;1,"Trùng mã đơn; ","")&amp;IF(ISNA(MATCH($C4976,DATA_MASTER!$D$2:$D$5000,0)),"SĐT chưa đăng ký hội viên; ","")&amp;IF(AND($L4976="Đã chuyển khoản",$M4976=""),"Thiếu ngày nhận CK; ",""))</f>
        <v/>
      </c>
      <c r="T4976" s="24" t="n"/>
    </row>
    <row r="4977" ht="14.25" customHeight="1" s="40">
      <c r="A4977" s="24" t="n"/>
      <c r="B4977" s="29" t="n"/>
      <c r="C4977" s="28" t="n"/>
      <c r="D4977" s="22">
        <f t="array" ref="D4977">IF($C4977="","",IFERROR(INDEX(DATA_MASTER!$C$2:$C$5000,MATCH($C4977,DATA_MASTER!$D$2:$D$5000,0)),""))</f>
        <v/>
      </c>
      <c r="E4977" s="22">
        <f t="array" ref="E4977">IF($C4977="","",IFERROR(INDEX(DATA_MASTER!$I$2:$I$5000,MATCH($C4977,DATA_MASTER!$D$2:$D$5000,0)),""))</f>
        <v/>
      </c>
      <c r="F4977" s="22">
        <f t="array" ref="F4977">IF($C4977="","",IFERROR(INDEX(DATA_MASTER!$L$2:$L$5000,MATCH($C4977,DATA_MASTER!$D$2:$D$5000,0)),""))</f>
        <v/>
      </c>
      <c r="G4977" s="24" t="n"/>
      <c r="H4977" s="24" t="n"/>
      <c r="I4977" s="30" t="n"/>
      <c r="J4977" s="23">
        <f>IF(OR($H4977="",$I4977=""),"",$H4977*$I4977)</f>
        <v/>
      </c>
      <c r="K4977" s="24" t="n"/>
      <c r="L4977" s="24" t="n"/>
      <c r="M4977" s="29" t="n"/>
      <c r="N4977" s="28" t="n"/>
      <c r="O4977" s="24" t="n"/>
      <c r="P4977" s="24" t="n"/>
      <c r="Q4977" s="24" t="n"/>
      <c r="R4977" s="24" t="n"/>
      <c r="S4977" s="22">
        <f>IF(AND($A4977="",$C4977=""),"",IF($A4977="","Thiếu mã đơn; ","")&amp;IF(COUNTIF($A$2:$A4977,$A4977)&gt;1,"Trùng mã đơn; ","")&amp;IF(ISNA(MATCH($C4977,DATA_MASTER!$D$2:$D$5000,0)),"SĐT chưa đăng ký hội viên; ","")&amp;IF(AND($L4977="Đã chuyển khoản",$M4977=""),"Thiếu ngày nhận CK; ",""))</f>
        <v/>
      </c>
      <c r="T4977" s="24" t="n"/>
    </row>
    <row r="4978" ht="14.25" customHeight="1" s="40">
      <c r="A4978" s="24" t="n"/>
      <c r="B4978" s="29" t="n"/>
      <c r="C4978" s="28" t="n"/>
      <c r="D4978" s="22">
        <f t="array" ref="D4978">IF($C4978="","",IFERROR(INDEX(DATA_MASTER!$C$2:$C$5000,MATCH($C4978,DATA_MASTER!$D$2:$D$5000,0)),""))</f>
        <v/>
      </c>
      <c r="E4978" s="22">
        <f t="array" ref="E4978">IF($C4978="","",IFERROR(INDEX(DATA_MASTER!$I$2:$I$5000,MATCH($C4978,DATA_MASTER!$D$2:$D$5000,0)),""))</f>
        <v/>
      </c>
      <c r="F4978" s="22">
        <f t="array" ref="F4978">IF($C4978="","",IFERROR(INDEX(DATA_MASTER!$L$2:$L$5000,MATCH($C4978,DATA_MASTER!$D$2:$D$5000,0)),""))</f>
        <v/>
      </c>
      <c r="G4978" s="24" t="n"/>
      <c r="H4978" s="24" t="n"/>
      <c r="I4978" s="30" t="n"/>
      <c r="J4978" s="23">
        <f>IF(OR($H4978="",$I4978=""),"",$H4978*$I4978)</f>
        <v/>
      </c>
      <c r="K4978" s="24" t="n"/>
      <c r="L4978" s="24" t="n"/>
      <c r="M4978" s="29" t="n"/>
      <c r="N4978" s="28" t="n"/>
      <c r="O4978" s="24" t="n"/>
      <c r="P4978" s="24" t="n"/>
      <c r="Q4978" s="24" t="n"/>
      <c r="R4978" s="24" t="n"/>
      <c r="S4978" s="22">
        <f>IF(AND($A4978="",$C4978=""),"",IF($A4978="","Thiếu mã đơn; ","")&amp;IF(COUNTIF($A$2:$A4978,$A4978)&gt;1,"Trùng mã đơn; ","")&amp;IF(ISNA(MATCH($C4978,DATA_MASTER!$D$2:$D$5000,0)),"SĐT chưa đăng ký hội viên; ","")&amp;IF(AND($L4978="Đã chuyển khoản",$M4978=""),"Thiếu ngày nhận CK; ",""))</f>
        <v/>
      </c>
      <c r="T4978" s="24" t="n"/>
    </row>
    <row r="4979" ht="14.25" customHeight="1" s="40">
      <c r="A4979" s="24" t="n"/>
      <c r="B4979" s="29" t="n"/>
      <c r="C4979" s="28" t="n"/>
      <c r="D4979" s="22">
        <f t="array" ref="D4979">IF($C4979="","",IFERROR(INDEX(DATA_MASTER!$C$2:$C$5000,MATCH($C4979,DATA_MASTER!$D$2:$D$5000,0)),""))</f>
        <v/>
      </c>
      <c r="E4979" s="22">
        <f t="array" ref="E4979">IF($C4979="","",IFERROR(INDEX(DATA_MASTER!$I$2:$I$5000,MATCH($C4979,DATA_MASTER!$D$2:$D$5000,0)),""))</f>
        <v/>
      </c>
      <c r="F4979" s="22">
        <f t="array" ref="F4979">IF($C4979="","",IFERROR(INDEX(DATA_MASTER!$L$2:$L$5000,MATCH($C4979,DATA_MASTER!$D$2:$D$5000,0)),""))</f>
        <v/>
      </c>
      <c r="G4979" s="24" t="n"/>
      <c r="H4979" s="24" t="n"/>
      <c r="I4979" s="30" t="n"/>
      <c r="J4979" s="23">
        <f>IF(OR($H4979="",$I4979=""),"",$H4979*$I4979)</f>
        <v/>
      </c>
      <c r="K4979" s="24" t="n"/>
      <c r="L4979" s="24" t="n"/>
      <c r="M4979" s="29" t="n"/>
      <c r="N4979" s="28" t="n"/>
      <c r="O4979" s="24" t="n"/>
      <c r="P4979" s="24" t="n"/>
      <c r="Q4979" s="24" t="n"/>
      <c r="R4979" s="24" t="n"/>
      <c r="S4979" s="22">
        <f>IF(AND($A4979="",$C4979=""),"",IF($A4979="","Thiếu mã đơn; ","")&amp;IF(COUNTIF($A$2:$A4979,$A4979)&gt;1,"Trùng mã đơn; ","")&amp;IF(ISNA(MATCH($C4979,DATA_MASTER!$D$2:$D$5000,0)),"SĐT chưa đăng ký hội viên; ","")&amp;IF(AND($L4979="Đã chuyển khoản",$M4979=""),"Thiếu ngày nhận CK; ",""))</f>
        <v/>
      </c>
      <c r="T4979" s="24" t="n"/>
    </row>
    <row r="4980" ht="14.25" customHeight="1" s="40">
      <c r="A4980" s="24" t="n"/>
      <c r="B4980" s="29" t="n"/>
      <c r="C4980" s="28" t="n"/>
      <c r="D4980" s="22">
        <f t="array" ref="D4980">IF($C4980="","",IFERROR(INDEX(DATA_MASTER!$C$2:$C$5000,MATCH($C4980,DATA_MASTER!$D$2:$D$5000,0)),""))</f>
        <v/>
      </c>
      <c r="E4980" s="22">
        <f t="array" ref="E4980">IF($C4980="","",IFERROR(INDEX(DATA_MASTER!$I$2:$I$5000,MATCH($C4980,DATA_MASTER!$D$2:$D$5000,0)),""))</f>
        <v/>
      </c>
      <c r="F4980" s="22">
        <f t="array" ref="F4980">IF($C4980="","",IFERROR(INDEX(DATA_MASTER!$L$2:$L$5000,MATCH($C4980,DATA_MASTER!$D$2:$D$5000,0)),""))</f>
        <v/>
      </c>
      <c r="G4980" s="24" t="n"/>
      <c r="H4980" s="24" t="n"/>
      <c r="I4980" s="30" t="n"/>
      <c r="J4980" s="23">
        <f>IF(OR($H4980="",$I4980=""),"",$H4980*$I4980)</f>
        <v/>
      </c>
      <c r="K4980" s="24" t="n"/>
      <c r="L4980" s="24" t="n"/>
      <c r="M4980" s="29" t="n"/>
      <c r="N4980" s="28" t="n"/>
      <c r="O4980" s="24" t="n"/>
      <c r="P4980" s="24" t="n"/>
      <c r="Q4980" s="24" t="n"/>
      <c r="R4980" s="24" t="n"/>
      <c r="S4980" s="22">
        <f>IF(AND($A4980="",$C4980=""),"",IF($A4980="","Thiếu mã đơn; ","")&amp;IF(COUNTIF($A$2:$A4980,$A4980)&gt;1,"Trùng mã đơn; ","")&amp;IF(ISNA(MATCH($C4980,DATA_MASTER!$D$2:$D$5000,0)),"SĐT chưa đăng ký hội viên; ","")&amp;IF(AND($L4980="Đã chuyển khoản",$M4980=""),"Thiếu ngày nhận CK; ",""))</f>
        <v/>
      </c>
      <c r="T4980" s="24" t="n"/>
    </row>
    <row r="4981" ht="14.25" customHeight="1" s="40">
      <c r="A4981" s="24" t="n"/>
      <c r="B4981" s="29" t="n"/>
      <c r="C4981" s="28" t="n"/>
      <c r="D4981" s="22">
        <f t="array" ref="D4981">IF($C4981="","",IFERROR(INDEX(DATA_MASTER!$C$2:$C$5000,MATCH($C4981,DATA_MASTER!$D$2:$D$5000,0)),""))</f>
        <v/>
      </c>
      <c r="E4981" s="22">
        <f t="array" ref="E4981">IF($C4981="","",IFERROR(INDEX(DATA_MASTER!$I$2:$I$5000,MATCH($C4981,DATA_MASTER!$D$2:$D$5000,0)),""))</f>
        <v/>
      </c>
      <c r="F4981" s="22">
        <f t="array" ref="F4981">IF($C4981="","",IFERROR(INDEX(DATA_MASTER!$L$2:$L$5000,MATCH($C4981,DATA_MASTER!$D$2:$D$5000,0)),""))</f>
        <v/>
      </c>
      <c r="G4981" s="24" t="n"/>
      <c r="H4981" s="24" t="n"/>
      <c r="I4981" s="30" t="n"/>
      <c r="J4981" s="23">
        <f>IF(OR($H4981="",$I4981=""),"",$H4981*$I4981)</f>
        <v/>
      </c>
      <c r="K4981" s="24" t="n"/>
      <c r="L4981" s="24" t="n"/>
      <c r="M4981" s="29" t="n"/>
      <c r="N4981" s="28" t="n"/>
      <c r="O4981" s="24" t="n"/>
      <c r="P4981" s="24" t="n"/>
      <c r="Q4981" s="24" t="n"/>
      <c r="R4981" s="24" t="n"/>
      <c r="S4981" s="22">
        <f>IF(AND($A4981="",$C4981=""),"",IF($A4981="","Thiếu mã đơn; ","")&amp;IF(COUNTIF($A$2:$A4981,$A4981)&gt;1,"Trùng mã đơn; ","")&amp;IF(ISNA(MATCH($C4981,DATA_MASTER!$D$2:$D$5000,0)),"SĐT chưa đăng ký hội viên; ","")&amp;IF(AND($L4981="Đã chuyển khoản",$M4981=""),"Thiếu ngày nhận CK; ",""))</f>
        <v/>
      </c>
      <c r="T4981" s="24" t="n"/>
    </row>
    <row r="4982" ht="14.25" customHeight="1" s="40">
      <c r="A4982" s="24" t="n"/>
      <c r="B4982" s="29" t="n"/>
      <c r="C4982" s="28" t="n"/>
      <c r="D4982" s="22">
        <f t="array" ref="D4982">IF($C4982="","",IFERROR(INDEX(DATA_MASTER!$C$2:$C$5000,MATCH($C4982,DATA_MASTER!$D$2:$D$5000,0)),""))</f>
        <v/>
      </c>
      <c r="E4982" s="22">
        <f t="array" ref="E4982">IF($C4982="","",IFERROR(INDEX(DATA_MASTER!$I$2:$I$5000,MATCH($C4982,DATA_MASTER!$D$2:$D$5000,0)),""))</f>
        <v/>
      </c>
      <c r="F4982" s="22">
        <f t="array" ref="F4982">IF($C4982="","",IFERROR(INDEX(DATA_MASTER!$L$2:$L$5000,MATCH($C4982,DATA_MASTER!$D$2:$D$5000,0)),""))</f>
        <v/>
      </c>
      <c r="G4982" s="24" t="n"/>
      <c r="H4982" s="24" t="n"/>
      <c r="I4982" s="30" t="n"/>
      <c r="J4982" s="23">
        <f>IF(OR($H4982="",$I4982=""),"",$H4982*$I4982)</f>
        <v/>
      </c>
      <c r="K4982" s="24" t="n"/>
      <c r="L4982" s="24" t="n"/>
      <c r="M4982" s="29" t="n"/>
      <c r="N4982" s="28" t="n"/>
      <c r="O4982" s="24" t="n"/>
      <c r="P4982" s="24" t="n"/>
      <c r="Q4982" s="24" t="n"/>
      <c r="R4982" s="24" t="n"/>
      <c r="S4982" s="22">
        <f>IF(AND($A4982="",$C4982=""),"",IF($A4982="","Thiếu mã đơn; ","")&amp;IF(COUNTIF($A$2:$A4982,$A4982)&gt;1,"Trùng mã đơn; ","")&amp;IF(ISNA(MATCH($C4982,DATA_MASTER!$D$2:$D$5000,0)),"SĐT chưa đăng ký hội viên; ","")&amp;IF(AND($L4982="Đã chuyển khoản",$M4982=""),"Thiếu ngày nhận CK; ",""))</f>
        <v/>
      </c>
      <c r="T4982" s="24" t="n"/>
    </row>
    <row r="4983" ht="14.25" customHeight="1" s="40">
      <c r="A4983" s="24" t="n"/>
      <c r="B4983" s="29" t="n"/>
      <c r="C4983" s="28" t="n"/>
      <c r="D4983" s="22">
        <f t="array" ref="D4983">IF($C4983="","",IFERROR(INDEX(DATA_MASTER!$C$2:$C$5000,MATCH($C4983,DATA_MASTER!$D$2:$D$5000,0)),""))</f>
        <v/>
      </c>
      <c r="E4983" s="22">
        <f t="array" ref="E4983">IF($C4983="","",IFERROR(INDEX(DATA_MASTER!$I$2:$I$5000,MATCH($C4983,DATA_MASTER!$D$2:$D$5000,0)),""))</f>
        <v/>
      </c>
      <c r="F4983" s="22">
        <f t="array" ref="F4983">IF($C4983="","",IFERROR(INDEX(DATA_MASTER!$L$2:$L$5000,MATCH($C4983,DATA_MASTER!$D$2:$D$5000,0)),""))</f>
        <v/>
      </c>
      <c r="G4983" s="24" t="n"/>
      <c r="H4983" s="24" t="n"/>
      <c r="I4983" s="30" t="n"/>
      <c r="J4983" s="23">
        <f>IF(OR($H4983="",$I4983=""),"",$H4983*$I4983)</f>
        <v/>
      </c>
      <c r="K4983" s="24" t="n"/>
      <c r="L4983" s="24" t="n"/>
      <c r="M4983" s="29" t="n"/>
      <c r="N4983" s="28" t="n"/>
      <c r="O4983" s="24" t="n"/>
      <c r="P4983" s="24" t="n"/>
      <c r="Q4983" s="24" t="n"/>
      <c r="R4983" s="24" t="n"/>
      <c r="S4983" s="22">
        <f>IF(AND($A4983="",$C4983=""),"",IF($A4983="","Thiếu mã đơn; ","")&amp;IF(COUNTIF($A$2:$A4983,$A4983)&gt;1,"Trùng mã đơn; ","")&amp;IF(ISNA(MATCH($C4983,DATA_MASTER!$D$2:$D$5000,0)),"SĐT chưa đăng ký hội viên; ","")&amp;IF(AND($L4983="Đã chuyển khoản",$M4983=""),"Thiếu ngày nhận CK; ",""))</f>
        <v/>
      </c>
      <c r="T4983" s="24" t="n"/>
    </row>
    <row r="4984" ht="14.25" customHeight="1" s="40">
      <c r="A4984" s="24" t="n"/>
      <c r="B4984" s="29" t="n"/>
      <c r="C4984" s="28" t="n"/>
      <c r="D4984" s="22">
        <f t="array" ref="D4984">IF($C4984="","",IFERROR(INDEX(DATA_MASTER!$C$2:$C$5000,MATCH($C4984,DATA_MASTER!$D$2:$D$5000,0)),""))</f>
        <v/>
      </c>
      <c r="E4984" s="22">
        <f t="array" ref="E4984">IF($C4984="","",IFERROR(INDEX(DATA_MASTER!$I$2:$I$5000,MATCH($C4984,DATA_MASTER!$D$2:$D$5000,0)),""))</f>
        <v/>
      </c>
      <c r="F4984" s="22">
        <f t="array" ref="F4984">IF($C4984="","",IFERROR(INDEX(DATA_MASTER!$L$2:$L$5000,MATCH($C4984,DATA_MASTER!$D$2:$D$5000,0)),""))</f>
        <v/>
      </c>
      <c r="G4984" s="24" t="n"/>
      <c r="H4984" s="24" t="n"/>
      <c r="I4984" s="30" t="n"/>
      <c r="J4984" s="23">
        <f>IF(OR($H4984="",$I4984=""),"",$H4984*$I4984)</f>
        <v/>
      </c>
      <c r="K4984" s="24" t="n"/>
      <c r="L4984" s="24" t="n"/>
      <c r="M4984" s="29" t="n"/>
      <c r="N4984" s="28" t="n"/>
      <c r="O4984" s="24" t="n"/>
      <c r="P4984" s="24" t="n"/>
      <c r="Q4984" s="24" t="n"/>
      <c r="R4984" s="24" t="n"/>
      <c r="S4984" s="22">
        <f>IF(AND($A4984="",$C4984=""),"",IF($A4984="","Thiếu mã đơn; ","")&amp;IF(COUNTIF($A$2:$A4984,$A4984)&gt;1,"Trùng mã đơn; ","")&amp;IF(ISNA(MATCH($C4984,DATA_MASTER!$D$2:$D$5000,0)),"SĐT chưa đăng ký hội viên; ","")&amp;IF(AND($L4984="Đã chuyển khoản",$M4984=""),"Thiếu ngày nhận CK; ",""))</f>
        <v/>
      </c>
      <c r="T4984" s="24" t="n"/>
    </row>
    <row r="4985" ht="14.25" customHeight="1" s="40">
      <c r="A4985" s="24" t="n"/>
      <c r="B4985" s="29" t="n"/>
      <c r="C4985" s="28" t="n"/>
      <c r="D4985" s="22">
        <f t="array" ref="D4985">IF($C4985="","",IFERROR(INDEX(DATA_MASTER!$C$2:$C$5000,MATCH($C4985,DATA_MASTER!$D$2:$D$5000,0)),""))</f>
        <v/>
      </c>
      <c r="E4985" s="22">
        <f t="array" ref="E4985">IF($C4985="","",IFERROR(INDEX(DATA_MASTER!$I$2:$I$5000,MATCH($C4985,DATA_MASTER!$D$2:$D$5000,0)),""))</f>
        <v/>
      </c>
      <c r="F4985" s="22">
        <f t="array" ref="F4985">IF($C4985="","",IFERROR(INDEX(DATA_MASTER!$L$2:$L$5000,MATCH($C4985,DATA_MASTER!$D$2:$D$5000,0)),""))</f>
        <v/>
      </c>
      <c r="G4985" s="24" t="n"/>
      <c r="H4985" s="24" t="n"/>
      <c r="I4985" s="30" t="n"/>
      <c r="J4985" s="23">
        <f>IF(OR($H4985="",$I4985=""),"",$H4985*$I4985)</f>
        <v/>
      </c>
      <c r="K4985" s="24" t="n"/>
      <c r="L4985" s="24" t="n"/>
      <c r="M4985" s="29" t="n"/>
      <c r="N4985" s="28" t="n"/>
      <c r="O4985" s="24" t="n"/>
      <c r="P4985" s="24" t="n"/>
      <c r="Q4985" s="24" t="n"/>
      <c r="R4985" s="24" t="n"/>
      <c r="S4985" s="22">
        <f>IF(AND($A4985="",$C4985=""),"",IF($A4985="","Thiếu mã đơn; ","")&amp;IF(COUNTIF($A$2:$A4985,$A4985)&gt;1,"Trùng mã đơn; ","")&amp;IF(ISNA(MATCH($C4985,DATA_MASTER!$D$2:$D$5000,0)),"SĐT chưa đăng ký hội viên; ","")&amp;IF(AND($L4985="Đã chuyển khoản",$M4985=""),"Thiếu ngày nhận CK; ",""))</f>
        <v/>
      </c>
      <c r="T4985" s="24" t="n"/>
    </row>
    <row r="4986" ht="14.25" customHeight="1" s="40">
      <c r="A4986" s="24" t="n"/>
      <c r="B4986" s="29" t="n"/>
      <c r="C4986" s="28" t="n"/>
      <c r="D4986" s="22">
        <f t="array" ref="D4986">IF($C4986="","",IFERROR(INDEX(DATA_MASTER!$C$2:$C$5000,MATCH($C4986,DATA_MASTER!$D$2:$D$5000,0)),""))</f>
        <v/>
      </c>
      <c r="E4986" s="22">
        <f t="array" ref="E4986">IF($C4986="","",IFERROR(INDEX(DATA_MASTER!$I$2:$I$5000,MATCH($C4986,DATA_MASTER!$D$2:$D$5000,0)),""))</f>
        <v/>
      </c>
      <c r="F4986" s="22">
        <f t="array" ref="F4986">IF($C4986="","",IFERROR(INDEX(DATA_MASTER!$L$2:$L$5000,MATCH($C4986,DATA_MASTER!$D$2:$D$5000,0)),""))</f>
        <v/>
      </c>
      <c r="G4986" s="24" t="n"/>
      <c r="H4986" s="24" t="n"/>
      <c r="I4986" s="30" t="n"/>
      <c r="J4986" s="23">
        <f>IF(OR($H4986="",$I4986=""),"",$H4986*$I4986)</f>
        <v/>
      </c>
      <c r="K4986" s="24" t="n"/>
      <c r="L4986" s="24" t="n"/>
      <c r="M4986" s="29" t="n"/>
      <c r="N4986" s="28" t="n"/>
      <c r="O4986" s="24" t="n"/>
      <c r="P4986" s="24" t="n"/>
      <c r="Q4986" s="24" t="n"/>
      <c r="R4986" s="24" t="n"/>
      <c r="S4986" s="22">
        <f>IF(AND($A4986="",$C4986=""),"",IF($A4986="","Thiếu mã đơn; ","")&amp;IF(COUNTIF($A$2:$A4986,$A4986)&gt;1,"Trùng mã đơn; ","")&amp;IF(ISNA(MATCH($C4986,DATA_MASTER!$D$2:$D$5000,0)),"SĐT chưa đăng ký hội viên; ","")&amp;IF(AND($L4986="Đã chuyển khoản",$M4986=""),"Thiếu ngày nhận CK; ",""))</f>
        <v/>
      </c>
      <c r="T4986" s="24" t="n"/>
    </row>
    <row r="4987" ht="14.25" customHeight="1" s="40">
      <c r="A4987" s="24" t="n"/>
      <c r="B4987" s="29" t="n"/>
      <c r="C4987" s="28" t="n"/>
      <c r="D4987" s="22">
        <f t="array" ref="D4987">IF($C4987="","",IFERROR(INDEX(DATA_MASTER!$C$2:$C$5000,MATCH($C4987,DATA_MASTER!$D$2:$D$5000,0)),""))</f>
        <v/>
      </c>
      <c r="E4987" s="22">
        <f t="array" ref="E4987">IF($C4987="","",IFERROR(INDEX(DATA_MASTER!$I$2:$I$5000,MATCH($C4987,DATA_MASTER!$D$2:$D$5000,0)),""))</f>
        <v/>
      </c>
      <c r="F4987" s="22">
        <f t="array" ref="F4987">IF($C4987="","",IFERROR(INDEX(DATA_MASTER!$L$2:$L$5000,MATCH($C4987,DATA_MASTER!$D$2:$D$5000,0)),""))</f>
        <v/>
      </c>
      <c r="G4987" s="24" t="n"/>
      <c r="H4987" s="24" t="n"/>
      <c r="I4987" s="30" t="n"/>
      <c r="J4987" s="23">
        <f>IF(OR($H4987="",$I4987=""),"",$H4987*$I4987)</f>
        <v/>
      </c>
      <c r="K4987" s="24" t="n"/>
      <c r="L4987" s="24" t="n"/>
      <c r="M4987" s="29" t="n"/>
      <c r="N4987" s="28" t="n"/>
      <c r="O4987" s="24" t="n"/>
      <c r="P4987" s="24" t="n"/>
      <c r="Q4987" s="24" t="n"/>
      <c r="R4987" s="24" t="n"/>
      <c r="S4987" s="22">
        <f>IF(AND($A4987="",$C4987=""),"",IF($A4987="","Thiếu mã đơn; ","")&amp;IF(COUNTIF($A$2:$A4987,$A4987)&gt;1,"Trùng mã đơn; ","")&amp;IF(ISNA(MATCH($C4987,DATA_MASTER!$D$2:$D$5000,0)),"SĐT chưa đăng ký hội viên; ","")&amp;IF(AND($L4987="Đã chuyển khoản",$M4987=""),"Thiếu ngày nhận CK; ",""))</f>
        <v/>
      </c>
      <c r="T4987" s="24" t="n"/>
    </row>
    <row r="4988" ht="14.25" customHeight="1" s="40">
      <c r="A4988" s="24" t="n"/>
      <c r="B4988" s="29" t="n"/>
      <c r="C4988" s="28" t="n"/>
      <c r="D4988" s="22">
        <f t="array" ref="D4988">IF($C4988="","",IFERROR(INDEX(DATA_MASTER!$C$2:$C$5000,MATCH($C4988,DATA_MASTER!$D$2:$D$5000,0)),""))</f>
        <v/>
      </c>
      <c r="E4988" s="22">
        <f t="array" ref="E4988">IF($C4988="","",IFERROR(INDEX(DATA_MASTER!$I$2:$I$5000,MATCH($C4988,DATA_MASTER!$D$2:$D$5000,0)),""))</f>
        <v/>
      </c>
      <c r="F4988" s="22">
        <f t="array" ref="F4988">IF($C4988="","",IFERROR(INDEX(DATA_MASTER!$L$2:$L$5000,MATCH($C4988,DATA_MASTER!$D$2:$D$5000,0)),""))</f>
        <v/>
      </c>
      <c r="G4988" s="24" t="n"/>
      <c r="H4988" s="24" t="n"/>
      <c r="I4988" s="30" t="n"/>
      <c r="J4988" s="23">
        <f>IF(OR($H4988="",$I4988=""),"",$H4988*$I4988)</f>
        <v/>
      </c>
      <c r="K4988" s="24" t="n"/>
      <c r="L4988" s="24" t="n"/>
      <c r="M4988" s="29" t="n"/>
      <c r="N4988" s="28" t="n"/>
      <c r="O4988" s="24" t="n"/>
      <c r="P4988" s="24" t="n"/>
      <c r="Q4988" s="24" t="n"/>
      <c r="R4988" s="24" t="n"/>
      <c r="S4988" s="22">
        <f>IF(AND($A4988="",$C4988=""),"",IF($A4988="","Thiếu mã đơn; ","")&amp;IF(COUNTIF($A$2:$A4988,$A4988)&gt;1,"Trùng mã đơn; ","")&amp;IF(ISNA(MATCH($C4988,DATA_MASTER!$D$2:$D$5000,0)),"SĐT chưa đăng ký hội viên; ","")&amp;IF(AND($L4988="Đã chuyển khoản",$M4988=""),"Thiếu ngày nhận CK; ",""))</f>
        <v/>
      </c>
      <c r="T4988" s="24" t="n"/>
    </row>
    <row r="4989" ht="14.25" customHeight="1" s="40">
      <c r="A4989" s="24" t="n"/>
      <c r="B4989" s="29" t="n"/>
      <c r="C4989" s="28" t="n"/>
      <c r="D4989" s="22">
        <f t="array" ref="D4989">IF($C4989="","",IFERROR(INDEX(DATA_MASTER!$C$2:$C$5000,MATCH($C4989,DATA_MASTER!$D$2:$D$5000,0)),""))</f>
        <v/>
      </c>
      <c r="E4989" s="22">
        <f t="array" ref="E4989">IF($C4989="","",IFERROR(INDEX(DATA_MASTER!$I$2:$I$5000,MATCH($C4989,DATA_MASTER!$D$2:$D$5000,0)),""))</f>
        <v/>
      </c>
      <c r="F4989" s="22">
        <f t="array" ref="F4989">IF($C4989="","",IFERROR(INDEX(DATA_MASTER!$L$2:$L$5000,MATCH($C4989,DATA_MASTER!$D$2:$D$5000,0)),""))</f>
        <v/>
      </c>
      <c r="G4989" s="24" t="n"/>
      <c r="H4989" s="24" t="n"/>
      <c r="I4989" s="30" t="n"/>
      <c r="J4989" s="23">
        <f>IF(OR($H4989="",$I4989=""),"",$H4989*$I4989)</f>
        <v/>
      </c>
      <c r="K4989" s="24" t="n"/>
      <c r="L4989" s="24" t="n"/>
      <c r="M4989" s="29" t="n"/>
      <c r="N4989" s="28" t="n"/>
      <c r="O4989" s="24" t="n"/>
      <c r="P4989" s="24" t="n"/>
      <c r="Q4989" s="24" t="n"/>
      <c r="R4989" s="24" t="n"/>
      <c r="S4989" s="22">
        <f>IF(AND($A4989="",$C4989=""),"",IF($A4989="","Thiếu mã đơn; ","")&amp;IF(COUNTIF($A$2:$A4989,$A4989)&gt;1,"Trùng mã đơn; ","")&amp;IF(ISNA(MATCH($C4989,DATA_MASTER!$D$2:$D$5000,0)),"SĐT chưa đăng ký hội viên; ","")&amp;IF(AND($L4989="Đã chuyển khoản",$M4989=""),"Thiếu ngày nhận CK; ",""))</f>
        <v/>
      </c>
      <c r="T4989" s="24" t="n"/>
    </row>
    <row r="4990" ht="14.25" customHeight="1" s="40">
      <c r="A4990" s="24" t="n"/>
      <c r="B4990" s="29" t="n"/>
      <c r="C4990" s="28" t="n"/>
      <c r="D4990" s="22">
        <f t="array" ref="D4990">IF($C4990="","",IFERROR(INDEX(DATA_MASTER!$C$2:$C$5000,MATCH($C4990,DATA_MASTER!$D$2:$D$5000,0)),""))</f>
        <v/>
      </c>
      <c r="E4990" s="22">
        <f t="array" ref="E4990">IF($C4990="","",IFERROR(INDEX(DATA_MASTER!$I$2:$I$5000,MATCH($C4990,DATA_MASTER!$D$2:$D$5000,0)),""))</f>
        <v/>
      </c>
      <c r="F4990" s="22">
        <f t="array" ref="F4990">IF($C4990="","",IFERROR(INDEX(DATA_MASTER!$L$2:$L$5000,MATCH($C4990,DATA_MASTER!$D$2:$D$5000,0)),""))</f>
        <v/>
      </c>
      <c r="G4990" s="24" t="n"/>
      <c r="H4990" s="24" t="n"/>
      <c r="I4990" s="30" t="n"/>
      <c r="J4990" s="23">
        <f>IF(OR($H4990="",$I4990=""),"",$H4990*$I4990)</f>
        <v/>
      </c>
      <c r="K4990" s="24" t="n"/>
      <c r="L4990" s="24" t="n"/>
      <c r="M4990" s="29" t="n"/>
      <c r="N4990" s="28" t="n"/>
      <c r="O4990" s="24" t="n"/>
      <c r="P4990" s="24" t="n"/>
      <c r="Q4990" s="24" t="n"/>
      <c r="R4990" s="24" t="n"/>
      <c r="S4990" s="22">
        <f>IF(AND($A4990="",$C4990=""),"",IF($A4990="","Thiếu mã đơn; ","")&amp;IF(COUNTIF($A$2:$A4990,$A4990)&gt;1,"Trùng mã đơn; ","")&amp;IF(ISNA(MATCH($C4990,DATA_MASTER!$D$2:$D$5000,0)),"SĐT chưa đăng ký hội viên; ","")&amp;IF(AND($L4990="Đã chuyển khoản",$M4990=""),"Thiếu ngày nhận CK; ",""))</f>
        <v/>
      </c>
      <c r="T4990" s="24" t="n"/>
    </row>
    <row r="4991" ht="14.25" customHeight="1" s="40">
      <c r="A4991" s="24" t="n"/>
      <c r="B4991" s="29" t="n"/>
      <c r="C4991" s="28" t="n"/>
      <c r="D4991" s="22">
        <f t="array" ref="D4991">IF($C4991="","",IFERROR(INDEX(DATA_MASTER!$C$2:$C$5000,MATCH($C4991,DATA_MASTER!$D$2:$D$5000,0)),""))</f>
        <v/>
      </c>
      <c r="E4991" s="22">
        <f t="array" ref="E4991">IF($C4991="","",IFERROR(INDEX(DATA_MASTER!$I$2:$I$5000,MATCH($C4991,DATA_MASTER!$D$2:$D$5000,0)),""))</f>
        <v/>
      </c>
      <c r="F4991" s="22">
        <f t="array" ref="F4991">IF($C4991="","",IFERROR(INDEX(DATA_MASTER!$L$2:$L$5000,MATCH($C4991,DATA_MASTER!$D$2:$D$5000,0)),""))</f>
        <v/>
      </c>
      <c r="G4991" s="24" t="n"/>
      <c r="H4991" s="24" t="n"/>
      <c r="I4991" s="30" t="n"/>
      <c r="J4991" s="23">
        <f>IF(OR($H4991="",$I4991=""),"",$H4991*$I4991)</f>
        <v/>
      </c>
      <c r="K4991" s="24" t="n"/>
      <c r="L4991" s="24" t="n"/>
      <c r="M4991" s="29" t="n"/>
      <c r="N4991" s="28" t="n"/>
      <c r="O4991" s="24" t="n"/>
      <c r="P4991" s="24" t="n"/>
      <c r="Q4991" s="24" t="n"/>
      <c r="R4991" s="24" t="n"/>
      <c r="S4991" s="22">
        <f>IF(AND($A4991="",$C4991=""),"",IF($A4991="","Thiếu mã đơn; ","")&amp;IF(COUNTIF($A$2:$A4991,$A4991)&gt;1,"Trùng mã đơn; ","")&amp;IF(ISNA(MATCH($C4991,DATA_MASTER!$D$2:$D$5000,0)),"SĐT chưa đăng ký hội viên; ","")&amp;IF(AND($L4991="Đã chuyển khoản",$M4991=""),"Thiếu ngày nhận CK; ",""))</f>
        <v/>
      </c>
      <c r="T4991" s="24" t="n"/>
    </row>
    <row r="4992" ht="14.25" customHeight="1" s="40">
      <c r="A4992" s="24" t="n"/>
      <c r="B4992" s="29" t="n"/>
      <c r="C4992" s="28" t="n"/>
      <c r="D4992" s="22">
        <f t="array" ref="D4992">IF($C4992="","",IFERROR(INDEX(DATA_MASTER!$C$2:$C$5000,MATCH($C4992,DATA_MASTER!$D$2:$D$5000,0)),""))</f>
        <v/>
      </c>
      <c r="E4992" s="22">
        <f t="array" ref="E4992">IF($C4992="","",IFERROR(INDEX(DATA_MASTER!$I$2:$I$5000,MATCH($C4992,DATA_MASTER!$D$2:$D$5000,0)),""))</f>
        <v/>
      </c>
      <c r="F4992" s="22">
        <f t="array" ref="F4992">IF($C4992="","",IFERROR(INDEX(DATA_MASTER!$L$2:$L$5000,MATCH($C4992,DATA_MASTER!$D$2:$D$5000,0)),""))</f>
        <v/>
      </c>
      <c r="G4992" s="24" t="n"/>
      <c r="H4992" s="24" t="n"/>
      <c r="I4992" s="30" t="n"/>
      <c r="J4992" s="23">
        <f>IF(OR($H4992="",$I4992=""),"",$H4992*$I4992)</f>
        <v/>
      </c>
      <c r="K4992" s="24" t="n"/>
      <c r="L4992" s="24" t="n"/>
      <c r="M4992" s="29" t="n"/>
      <c r="N4992" s="28" t="n"/>
      <c r="O4992" s="24" t="n"/>
      <c r="P4992" s="24" t="n"/>
      <c r="Q4992" s="24" t="n"/>
      <c r="R4992" s="24" t="n"/>
      <c r="S4992" s="22">
        <f>IF(AND($A4992="",$C4992=""),"",IF($A4992="","Thiếu mã đơn; ","")&amp;IF(COUNTIF($A$2:$A4992,$A4992)&gt;1,"Trùng mã đơn; ","")&amp;IF(ISNA(MATCH($C4992,DATA_MASTER!$D$2:$D$5000,0)),"SĐT chưa đăng ký hội viên; ","")&amp;IF(AND($L4992="Đã chuyển khoản",$M4992=""),"Thiếu ngày nhận CK; ",""))</f>
        <v/>
      </c>
      <c r="T4992" s="24" t="n"/>
    </row>
    <row r="4993" ht="14.25" customHeight="1" s="40">
      <c r="A4993" s="24" t="n"/>
      <c r="B4993" s="29" t="n"/>
      <c r="C4993" s="28" t="n"/>
      <c r="D4993" s="22">
        <f t="array" ref="D4993">IF($C4993="","",IFERROR(INDEX(DATA_MASTER!$C$2:$C$5000,MATCH($C4993,DATA_MASTER!$D$2:$D$5000,0)),""))</f>
        <v/>
      </c>
      <c r="E4993" s="22">
        <f t="array" ref="E4993">IF($C4993="","",IFERROR(INDEX(DATA_MASTER!$I$2:$I$5000,MATCH($C4993,DATA_MASTER!$D$2:$D$5000,0)),""))</f>
        <v/>
      </c>
      <c r="F4993" s="22">
        <f t="array" ref="F4993">IF($C4993="","",IFERROR(INDEX(DATA_MASTER!$L$2:$L$5000,MATCH($C4993,DATA_MASTER!$D$2:$D$5000,0)),""))</f>
        <v/>
      </c>
      <c r="G4993" s="24" t="n"/>
      <c r="H4993" s="24" t="n"/>
      <c r="I4993" s="30" t="n"/>
      <c r="J4993" s="23">
        <f>IF(OR($H4993="",$I4993=""),"",$H4993*$I4993)</f>
        <v/>
      </c>
      <c r="K4993" s="24" t="n"/>
      <c r="L4993" s="24" t="n"/>
      <c r="M4993" s="29" t="n"/>
      <c r="N4993" s="28" t="n"/>
      <c r="O4993" s="24" t="n"/>
      <c r="P4993" s="24" t="n"/>
      <c r="Q4993" s="24" t="n"/>
      <c r="R4993" s="24" t="n"/>
      <c r="S4993" s="22">
        <f>IF(AND($A4993="",$C4993=""),"",IF($A4993="","Thiếu mã đơn; ","")&amp;IF(COUNTIF($A$2:$A4993,$A4993)&gt;1,"Trùng mã đơn; ","")&amp;IF(ISNA(MATCH($C4993,DATA_MASTER!$D$2:$D$5000,0)),"SĐT chưa đăng ký hội viên; ","")&amp;IF(AND($L4993="Đã chuyển khoản",$M4993=""),"Thiếu ngày nhận CK; ",""))</f>
        <v/>
      </c>
      <c r="T4993" s="24" t="n"/>
    </row>
    <row r="4994" ht="14.25" customHeight="1" s="40">
      <c r="A4994" s="24" t="n"/>
      <c r="B4994" s="29" t="n"/>
      <c r="C4994" s="28" t="n"/>
      <c r="D4994" s="22">
        <f t="array" ref="D4994">IF($C4994="","",IFERROR(INDEX(DATA_MASTER!$C$2:$C$5000,MATCH($C4994,DATA_MASTER!$D$2:$D$5000,0)),""))</f>
        <v/>
      </c>
      <c r="E4994" s="22">
        <f t="array" ref="E4994">IF($C4994="","",IFERROR(INDEX(DATA_MASTER!$I$2:$I$5000,MATCH($C4994,DATA_MASTER!$D$2:$D$5000,0)),""))</f>
        <v/>
      </c>
      <c r="F4994" s="22">
        <f t="array" ref="F4994">IF($C4994="","",IFERROR(INDEX(DATA_MASTER!$L$2:$L$5000,MATCH($C4994,DATA_MASTER!$D$2:$D$5000,0)),""))</f>
        <v/>
      </c>
      <c r="G4994" s="24" t="n"/>
      <c r="H4994" s="24" t="n"/>
      <c r="I4994" s="30" t="n"/>
      <c r="J4994" s="23">
        <f>IF(OR($H4994="",$I4994=""),"",$H4994*$I4994)</f>
        <v/>
      </c>
      <c r="K4994" s="24" t="n"/>
      <c r="L4994" s="24" t="n"/>
      <c r="M4994" s="29" t="n"/>
      <c r="N4994" s="28" t="n"/>
      <c r="O4994" s="24" t="n"/>
      <c r="P4994" s="24" t="n"/>
      <c r="Q4994" s="24" t="n"/>
      <c r="R4994" s="24" t="n"/>
      <c r="S4994" s="22">
        <f>IF(AND($A4994="",$C4994=""),"",IF($A4994="","Thiếu mã đơn; ","")&amp;IF(COUNTIF($A$2:$A4994,$A4994)&gt;1,"Trùng mã đơn; ","")&amp;IF(ISNA(MATCH($C4994,DATA_MASTER!$D$2:$D$5000,0)),"SĐT chưa đăng ký hội viên; ","")&amp;IF(AND($L4994="Đã chuyển khoản",$M4994=""),"Thiếu ngày nhận CK; ",""))</f>
        <v/>
      </c>
      <c r="T4994" s="24" t="n"/>
    </row>
    <row r="4995" ht="14.25" customHeight="1" s="40">
      <c r="A4995" s="24" t="n"/>
      <c r="B4995" s="29" t="n"/>
      <c r="C4995" s="28" t="n"/>
      <c r="D4995" s="22">
        <f t="array" ref="D4995">IF($C4995="","",IFERROR(INDEX(DATA_MASTER!$C$2:$C$5000,MATCH($C4995,DATA_MASTER!$D$2:$D$5000,0)),""))</f>
        <v/>
      </c>
      <c r="E4995" s="22">
        <f t="array" ref="E4995">IF($C4995="","",IFERROR(INDEX(DATA_MASTER!$I$2:$I$5000,MATCH($C4995,DATA_MASTER!$D$2:$D$5000,0)),""))</f>
        <v/>
      </c>
      <c r="F4995" s="22">
        <f t="array" ref="F4995">IF($C4995="","",IFERROR(INDEX(DATA_MASTER!$L$2:$L$5000,MATCH($C4995,DATA_MASTER!$D$2:$D$5000,0)),""))</f>
        <v/>
      </c>
      <c r="G4995" s="24" t="n"/>
      <c r="H4995" s="24" t="n"/>
      <c r="I4995" s="30" t="n"/>
      <c r="J4995" s="23">
        <f>IF(OR($H4995="",$I4995=""),"",$H4995*$I4995)</f>
        <v/>
      </c>
      <c r="K4995" s="24" t="n"/>
      <c r="L4995" s="24" t="n"/>
      <c r="M4995" s="29" t="n"/>
      <c r="N4995" s="28" t="n"/>
      <c r="O4995" s="24" t="n"/>
      <c r="P4995" s="24" t="n"/>
      <c r="Q4995" s="24" t="n"/>
      <c r="R4995" s="24" t="n"/>
      <c r="S4995" s="22">
        <f>IF(AND($A4995="",$C4995=""),"",IF($A4995="","Thiếu mã đơn; ","")&amp;IF(COUNTIF($A$2:$A4995,$A4995)&gt;1,"Trùng mã đơn; ","")&amp;IF(ISNA(MATCH($C4995,DATA_MASTER!$D$2:$D$5000,0)),"SĐT chưa đăng ký hội viên; ","")&amp;IF(AND($L4995="Đã chuyển khoản",$M4995=""),"Thiếu ngày nhận CK; ",""))</f>
        <v/>
      </c>
      <c r="T4995" s="24" t="n"/>
    </row>
  </sheetData>
  <conditionalFormatting sqref="S2:S4995">
    <cfRule type="expression" priority="1" dxfId="0">
      <formula>$S2&lt;&gt;""</formula>
    </cfRule>
  </conditionalFormatting>
  <dataValidations count="3">
    <dataValidation sqref="K2:K4995" showDropDown="0" showInputMessage="1" showErrorMessage="1" allowBlank="1" prompt="Giá trị không hợp lệ - Chọn giá trị trong danh sách." type="list">
      <formula1>DANH_MUC!$F$2:$F$4</formula1>
    </dataValidation>
    <dataValidation sqref="Q2:Q4995" showDropDown="0" showInputMessage="1" showErrorMessage="1" allowBlank="1" prompt="Giá trị không hợp lệ - Chọn giá trị trong danh sách." type="list">
      <formula1>DANH_MUC!$H$2:$H$6</formula1>
    </dataValidation>
    <dataValidation sqref="L2:L4995" showDropDown="0" showInputMessage="1" showErrorMessage="1" allowBlank="1" prompt="Giá trị không hợp lệ - Chọn giá trị trong danh sách." type="list">
      <formula1>DANH_MUC!$G$2:$G$4</formula1>
    </dataValidation>
  </dataValidations>
  <pageMargins left="0.75" right="0.75" top="1" bottom="1" header="0" footer="0"/>
  <pageSetup orientation="portrait" paperSize="9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9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8" defaultColWidth="14.43" defaultRowHeight="15" customHeight="1"/>
  <cols>
    <col width="18.71" customWidth="1" style="40" min="1" max="1"/>
    <col width="41" customWidth="1" style="40" min="2" max="2"/>
    <col width="10.71" customWidth="1" style="40" min="3" max="3"/>
    <col width="16" customWidth="1" style="40" min="4" max="4"/>
    <col width="30.14" customWidth="1" style="40" min="5" max="5"/>
    <col width="24.29" customWidth="1" style="40" min="6" max="6"/>
    <col width="11.71" customWidth="1" style="40" min="7" max="7"/>
    <col width="9.289999999999999" customWidth="1" style="40" min="8" max="8"/>
    <col width="52.86" customWidth="1" style="40" min="9" max="9"/>
    <col width="9.710000000000001" customWidth="1" style="40" min="10" max="10"/>
    <col width="11" customWidth="1" style="40" min="11" max="11"/>
    <col width="10.14" customWidth="1" style="40" min="12" max="12"/>
    <col width="10.29" customWidth="1" style="40" min="13" max="13"/>
    <col width="79.43000000000001" customWidth="1" style="40" min="14" max="14"/>
    <col width="8.710000000000001" customWidth="1" style="40" min="15" max="26"/>
  </cols>
  <sheetData>
    <row r="1" ht="45" customHeight="1" s="40">
      <c r="A1" s="15" t="inlineStr">
        <is>
          <t>Mã REF</t>
        </is>
      </c>
      <c r="B1" s="15" t="inlineStr">
        <is>
          <t>Tên nguồn</t>
        </is>
      </c>
      <c r="C1" s="15" t="inlineStr">
        <is>
          <t>Loại nguồn</t>
        </is>
      </c>
      <c r="D1" s="15" t="inlineStr">
        <is>
          <t>Team</t>
        </is>
      </c>
      <c r="E1" s="15" t="inlineStr">
        <is>
          <t>Bệnh viện/Đơn vị</t>
        </is>
      </c>
      <c r="F1" s="15" t="inlineStr">
        <is>
          <t>Người phụ trách</t>
        </is>
      </c>
      <c r="G1" s="15" t="inlineStr">
        <is>
          <t>Ngày tạo</t>
        </is>
      </c>
      <c r="H1" s="15" t="inlineStr">
        <is>
          <t>Trạng thái</t>
        </is>
      </c>
      <c r="I1" s="16" t="inlineStr">
        <is>
          <t>Link/QR</t>
        </is>
      </c>
      <c r="J1" s="16" t="inlineStr">
        <is>
          <t>Mã trùng?</t>
        </is>
      </c>
      <c r="K1" s="16" t="inlineStr">
        <is>
          <t>Số đăng ký</t>
        </is>
      </c>
      <c r="L1" s="16" t="inlineStr">
        <is>
          <t>Số hợp lệ</t>
        </is>
      </c>
      <c r="M1" s="16" t="inlineStr">
        <is>
          <t>Số đơn đã CK</t>
        </is>
      </c>
      <c r="N1" s="15" t="inlineStr">
        <is>
          <t>Ghi chú</t>
        </is>
      </c>
    </row>
    <row r="2" ht="14.25" customHeight="1" s="40">
      <c r="A2" s="31" t="inlineStr">
        <is>
          <t>C-00</t>
        </is>
      </c>
      <c r="B2" s="11" t="inlineStr">
        <is>
          <t>CĐB - Seeding - Dịu My</t>
        </is>
      </c>
      <c r="C2" s="11" t="inlineStr">
        <is>
          <t>Seeding</t>
        </is>
      </c>
      <c r="D2" s="11" t="inlineStr">
        <is>
          <t>CDB</t>
        </is>
      </c>
      <c r="E2" s="11" t="inlineStr">
        <is>
          <t>Seeding mỗi ngày</t>
        </is>
      </c>
      <c r="F2" s="11" t="inlineStr">
        <is>
          <t>Nguyễn Thị Dịu My</t>
        </is>
      </c>
      <c r="G2" s="34" t="n">
        <v>46295</v>
      </c>
      <c r="H2" s="11" t="inlineStr">
        <is>
          <t>Active</t>
        </is>
      </c>
      <c r="I2" s="32">
        <f>IF(A2="","",DANH_MUC!$L$4&amp;"?ref="&amp;A2)</f>
        <v/>
      </c>
      <c r="J2" s="33">
        <f>IF(A2="","",IF(COUNTIF($A$2:$A$495,A2)&gt;1,"TRÙNG",""))</f>
        <v/>
      </c>
      <c r="K2" s="33">
        <f>IF(A2="","",COUNTIF(DATA_MASTER!$I$2:$I$5000,A2))</f>
        <v/>
      </c>
      <c r="L2" s="33">
        <f>IF(A2="","",COUNTIFS(DATA_MASTER!$I$2:$I$5000,A2,DATA_MASTER!$T$2:$T$5000,"Có"))</f>
        <v/>
      </c>
      <c r="M2" s="33">
        <f>IF(A2="","",COUNTIFS(ORDERS!$E$2:$E$4995,A2,ORDERS!$L$2:$L$4995,"Đã chuyển khoản"))</f>
        <v/>
      </c>
      <c r="N2" s="11" t="n"/>
    </row>
    <row r="3" ht="14.25" customHeight="1" s="40">
      <c r="A3" s="31" t="inlineStr">
        <is>
          <t>C-01</t>
        </is>
      </c>
      <c r="B3" s="11" t="inlineStr">
        <is>
          <t>CĐB - Seeding - Thành Hưng</t>
        </is>
      </c>
      <c r="C3" s="11" t="inlineStr">
        <is>
          <t>Seeding</t>
        </is>
      </c>
      <c r="D3" s="11" t="inlineStr">
        <is>
          <t>CDB</t>
        </is>
      </c>
      <c r="E3" s="11" t="inlineStr">
        <is>
          <t>Seeding mỗi ngày</t>
        </is>
      </c>
      <c r="F3" s="11" t="inlineStr">
        <is>
          <t>Lê Hoàng Thành Hưng</t>
        </is>
      </c>
      <c r="G3" s="34" t="n">
        <v>46295</v>
      </c>
      <c r="H3" s="11" t="inlineStr">
        <is>
          <t>Active</t>
        </is>
      </c>
      <c r="I3" s="32">
        <f>IF(A3="","",DANH_MUC!$L$4&amp;"?ref="&amp;A3)</f>
        <v/>
      </c>
      <c r="J3" s="33">
        <f>IF(A3="","",IF(COUNTIF($A$2:$A$495,A3)&gt;1,"TRÙNG",""))</f>
        <v/>
      </c>
      <c r="K3" s="33">
        <f>IF(A3="","",COUNTIF(DATA_MASTER!$I$2:$I$5000,A3))</f>
        <v/>
      </c>
      <c r="L3" s="33">
        <f>IF(A3="","",COUNTIFS(DATA_MASTER!$I$2:$I$5000,A3,DATA_MASTER!$T$2:$T$5000,"Có"))</f>
        <v/>
      </c>
      <c r="M3" s="33">
        <f>IF(A3="","",COUNTIFS(ORDERS!$E$2:$E$4995,A3,ORDERS!$L$2:$L$4995,"Đã chuyển khoản"))</f>
        <v/>
      </c>
      <c r="N3" s="11" t="n"/>
    </row>
    <row r="4" ht="14.25" customHeight="1" s="40">
      <c r="A4" s="31" t="inlineStr">
        <is>
          <t>C-02</t>
        </is>
      </c>
      <c r="B4" s="11" t="inlineStr">
        <is>
          <t>CĐB - Seeding - Thùy Vân</t>
        </is>
      </c>
      <c r="C4" s="11" t="inlineStr">
        <is>
          <t>Seeding</t>
        </is>
      </c>
      <c r="D4" s="11" t="inlineStr">
        <is>
          <t>CDB</t>
        </is>
      </c>
      <c r="E4" s="11" t="inlineStr">
        <is>
          <t>Seeding mỗi ngày</t>
        </is>
      </c>
      <c r="F4" s="11" t="inlineStr">
        <is>
          <t>Nguyễn Thị Thùy Vân</t>
        </is>
      </c>
      <c r="G4" s="34" t="n">
        <v>46295</v>
      </c>
      <c r="H4" s="11" t="inlineStr">
        <is>
          <t>Active</t>
        </is>
      </c>
      <c r="I4" s="32">
        <f>IF(A4="","",DANH_MUC!$L$4&amp;"?ref="&amp;A4)</f>
        <v/>
      </c>
      <c r="J4" s="33">
        <f>IF(A4="","",IF(COUNTIF($A$2:$A$495,A4)&gt;1,"TRÙNG",""))</f>
        <v/>
      </c>
      <c r="K4" s="33">
        <f>IF(A4="","",COUNTIF(DATA_MASTER!$I$2:$I$5000,A4))</f>
        <v/>
      </c>
      <c r="L4" s="33">
        <f>IF(A4="","",COUNTIFS(DATA_MASTER!$I$2:$I$5000,A4,DATA_MASTER!$T$2:$T$5000,"Có"))</f>
        <v/>
      </c>
      <c r="M4" s="33">
        <f>IF(A4="","",COUNTIFS(ORDERS!$E$2:$E$4995,A4,ORDERS!$L$2:$L$4995,"Đã chuyển khoản"))</f>
        <v/>
      </c>
      <c r="N4" s="11" t="n"/>
    </row>
    <row r="5" ht="14.25" customHeight="1" s="40">
      <c r="A5" s="31" t="inlineStr">
        <is>
          <t>C-03</t>
        </is>
      </c>
      <c r="B5" s="11" t="inlineStr">
        <is>
          <t>CĐB - Seeding - Tuyết Linh</t>
        </is>
      </c>
      <c r="C5" s="11" t="inlineStr">
        <is>
          <t>Seeding</t>
        </is>
      </c>
      <c r="D5" s="11" t="inlineStr">
        <is>
          <t>CDB</t>
        </is>
      </c>
      <c r="E5" s="11" t="inlineStr">
        <is>
          <t>Seeding mỗi ngày</t>
        </is>
      </c>
      <c r="F5" s="11" t="inlineStr">
        <is>
          <t>Nguyễn Thị Tuyết Linh</t>
        </is>
      </c>
      <c r="G5" s="34" t="n">
        <v>46295</v>
      </c>
      <c r="H5" s="11" t="inlineStr">
        <is>
          <t>Active</t>
        </is>
      </c>
      <c r="I5" s="32">
        <f>IF(A5="","",DANH_MUC!$L$4&amp;"?ref="&amp;A5)</f>
        <v/>
      </c>
      <c r="J5" s="33">
        <f>IF(A5="","",IF(COUNTIF($A$2:$A$495,A5)&gt;1,"TRÙNG",""))</f>
        <v/>
      </c>
      <c r="K5" s="33">
        <f>IF(A5="","",COUNTIF(DATA_MASTER!$I$2:$I$5000,A5))</f>
        <v/>
      </c>
      <c r="L5" s="33">
        <f>IF(A5="","",COUNTIFS(DATA_MASTER!$I$2:$I$5000,A5,DATA_MASTER!$T$2:$T$5000,"Có"))</f>
        <v/>
      </c>
      <c r="M5" s="33">
        <f>IF(A5="","",COUNTIFS(ORDERS!$E$2:$E$4995,A5,ORDERS!$L$2:$L$4995,"Đã chuyển khoản"))</f>
        <v/>
      </c>
      <c r="N5" s="11" t="n"/>
    </row>
    <row r="6" ht="14.25" customHeight="1" s="40">
      <c r="A6" s="31" t="inlineStr">
        <is>
          <t>C-04</t>
        </is>
      </c>
      <c r="B6" s="11" t="inlineStr">
        <is>
          <t>CĐB - Seeding - Ánh Nguyệt</t>
        </is>
      </c>
      <c r="C6" s="11" t="inlineStr">
        <is>
          <t>Seeding</t>
        </is>
      </c>
      <c r="D6" s="11" t="inlineStr">
        <is>
          <t>CDB</t>
        </is>
      </c>
      <c r="E6" s="11" t="inlineStr">
        <is>
          <t>Seeding mỗi ngày</t>
        </is>
      </c>
      <c r="F6" s="11" t="inlineStr">
        <is>
          <t>Đậu Hồ Ánh Nguyệt</t>
        </is>
      </c>
      <c r="G6" s="34" t="n">
        <v>46295</v>
      </c>
      <c r="H6" s="11" t="inlineStr">
        <is>
          <t>Active</t>
        </is>
      </c>
      <c r="I6" s="32">
        <f>IF(A6="","",DANH_MUC!$L$4&amp;"?ref="&amp;A6)</f>
        <v/>
      </c>
      <c r="J6" s="33">
        <f>IF(A6="","",IF(COUNTIF($A$2:$A$495,A6)&gt;1,"TRÙNG",""))</f>
        <v/>
      </c>
      <c r="K6" s="33">
        <f>IF(A6="","",COUNTIF(DATA_MASTER!$I$2:$I$5000,A6))</f>
        <v/>
      </c>
      <c r="L6" s="33">
        <f>IF(A6="","",COUNTIFS(DATA_MASTER!$I$2:$I$5000,A6,DATA_MASTER!$T$2:$T$5000,"Có"))</f>
        <v/>
      </c>
      <c r="M6" s="33">
        <f>IF(A6="","",COUNTIFS(ORDERS!$E$2:$E$4995,A6,ORDERS!$L$2:$L$4995,"Đã chuyển khoản"))</f>
        <v/>
      </c>
      <c r="N6" s="11" t="n"/>
    </row>
    <row r="7" ht="14.25" customHeight="1" s="40">
      <c r="A7" s="31" t="inlineStr">
        <is>
          <t>C-05</t>
        </is>
      </c>
      <c r="B7" s="11" t="inlineStr">
        <is>
          <t>CĐB - Seeding - Diễm Quỳnh</t>
        </is>
      </c>
      <c r="C7" s="11" t="inlineStr">
        <is>
          <t>Seeding</t>
        </is>
      </c>
      <c r="D7" s="11" t="inlineStr">
        <is>
          <t>CDB</t>
        </is>
      </c>
      <c r="E7" s="11" t="inlineStr">
        <is>
          <t>Seeding mỗi ngày</t>
        </is>
      </c>
      <c r="F7" s="11" t="inlineStr">
        <is>
          <t>Lê Ngọc Diễm Quỳnh</t>
        </is>
      </c>
      <c r="G7" s="34" t="n">
        <v>46295</v>
      </c>
      <c r="H7" s="11" t="inlineStr">
        <is>
          <t>Active</t>
        </is>
      </c>
      <c r="I7" s="32">
        <f>IF(A7="","",DANH_MUC!$L$4&amp;"?ref="&amp;A7)</f>
        <v/>
      </c>
      <c r="J7" s="33">
        <f>IF(A7="","",IF(COUNTIF($A$2:$A$495,A7)&gt;1,"TRÙNG",""))</f>
        <v/>
      </c>
      <c r="K7" s="33">
        <f>IF(A7="","",COUNTIF(DATA_MASTER!$I$2:$I$5000,A7))</f>
        <v/>
      </c>
      <c r="L7" s="33">
        <f>IF(A7="","",COUNTIFS(DATA_MASTER!$I$2:$I$5000,A7,DATA_MASTER!$T$2:$T$5000,"Có"))</f>
        <v/>
      </c>
      <c r="M7" s="33">
        <f>IF(A7="","",COUNTIFS(ORDERS!$E$2:$E$4995,A7,ORDERS!$L$2:$L$4995,"Đã chuyển khoản"))</f>
        <v/>
      </c>
      <c r="N7" s="11" t="n"/>
    </row>
    <row r="8" ht="14.25" customHeight="1" s="40">
      <c r="A8" s="31" t="inlineStr">
        <is>
          <t>C-06</t>
        </is>
      </c>
      <c r="B8" s="11" t="inlineStr">
        <is>
          <t>CĐB - Seeding - Cẩm Tú</t>
        </is>
      </c>
      <c r="C8" s="11" t="inlineStr">
        <is>
          <t>Seeding</t>
        </is>
      </c>
      <c r="D8" s="11" t="inlineStr">
        <is>
          <t>CDB</t>
        </is>
      </c>
      <c r="E8" s="11" t="inlineStr">
        <is>
          <t>Seeding mỗi ngày</t>
        </is>
      </c>
      <c r="F8" s="11" t="inlineStr">
        <is>
          <t>Nguyễn Thị Cẩm Tú</t>
        </is>
      </c>
      <c r="G8" s="34" t="n">
        <v>46295</v>
      </c>
      <c r="H8" s="11" t="inlineStr">
        <is>
          <t>Active</t>
        </is>
      </c>
      <c r="I8" s="32">
        <f>IF(A8="","",DANH_MUC!$L$4&amp;"?ref="&amp;A8)</f>
        <v/>
      </c>
      <c r="J8" s="33">
        <f>IF(A8="","",IF(COUNTIF($A$2:$A$495,A8)&gt;1,"TRÙNG",""))</f>
        <v/>
      </c>
      <c r="K8" s="33">
        <f>IF(A8="","",COUNTIF(DATA_MASTER!$I$2:$I$5000,A8))</f>
        <v/>
      </c>
      <c r="L8" s="33">
        <f>IF(A8="","",COUNTIFS(DATA_MASTER!$I$2:$I$5000,A8,DATA_MASTER!$T$2:$T$5000,"Có"))</f>
        <v/>
      </c>
      <c r="M8" s="33">
        <f>IF(A8="","",COUNTIFS(ORDERS!$E$2:$E$4995,A8,ORDERS!$L$2:$L$4995,"Đã chuyển khoản"))</f>
        <v/>
      </c>
      <c r="N8" s="11" t="n"/>
    </row>
    <row r="9" ht="14.25" customHeight="1" s="40">
      <c r="A9" s="31" t="inlineStr">
        <is>
          <t>C-07</t>
        </is>
      </c>
      <c r="B9" s="11" t="inlineStr">
        <is>
          <t>CĐB - Seeding - Quỳnh Giao</t>
        </is>
      </c>
      <c r="C9" s="11" t="inlineStr">
        <is>
          <t>Seeding</t>
        </is>
      </c>
      <c r="D9" s="11" t="inlineStr">
        <is>
          <t>CDB</t>
        </is>
      </c>
      <c r="E9" s="11" t="inlineStr">
        <is>
          <t>Seeding mỗi ngày</t>
        </is>
      </c>
      <c r="F9" s="11" t="inlineStr">
        <is>
          <t>Trần Quỳnh Giao</t>
        </is>
      </c>
      <c r="G9" s="34" t="n">
        <v>46295</v>
      </c>
      <c r="H9" s="11" t="inlineStr">
        <is>
          <t>Active</t>
        </is>
      </c>
      <c r="I9" s="32">
        <f>IF(A9="","",DANH_MUC!$L$4&amp;"?ref="&amp;A9)</f>
        <v/>
      </c>
      <c r="J9" s="33">
        <f>IF(A9="","",IF(COUNTIF($A$2:$A$495,A9)&gt;1,"TRÙNG",""))</f>
        <v/>
      </c>
      <c r="K9" s="33">
        <f>IF(A9="","",COUNTIF(DATA_MASTER!$I$2:$I$5000,A9))</f>
        <v/>
      </c>
      <c r="L9" s="33">
        <f>IF(A9="","",COUNTIFS(DATA_MASTER!$I$2:$I$5000,A9,DATA_MASTER!$T$2:$T$5000,"Có"))</f>
        <v/>
      </c>
      <c r="M9" s="33">
        <f>IF(A9="","",COUNTIFS(ORDERS!$E$2:$E$4995,A9,ORDERS!$L$2:$L$4995,"Đã chuyển khoản"))</f>
        <v/>
      </c>
      <c r="N9" s="11" t="n"/>
    </row>
    <row r="10" ht="14.25" customHeight="1" s="40">
      <c r="A10" s="24" t="inlineStr">
        <is>
          <t>C-08</t>
        </is>
      </c>
      <c r="B10" s="11" t="inlineStr">
        <is>
          <t>CĐB - Seeding - Thuý An</t>
        </is>
      </c>
      <c r="C10" s="11" t="inlineStr">
        <is>
          <t>Seeding</t>
        </is>
      </c>
      <c r="D10" s="11" t="inlineStr">
        <is>
          <t>CDB</t>
        </is>
      </c>
      <c r="E10" s="11" t="inlineStr">
        <is>
          <t>Seeding mỗi ngày</t>
        </is>
      </c>
      <c r="F10" s="11" t="inlineStr">
        <is>
          <t xml:space="preserve">Thuý An </t>
        </is>
      </c>
      <c r="G10" s="34" t="n">
        <v>46295</v>
      </c>
      <c r="H10" s="11" t="inlineStr">
        <is>
          <t>Active</t>
        </is>
      </c>
      <c r="I10" s="32">
        <f>IF(A10="","",DANH_MUC!$L$4&amp;"?ref="&amp;A10)</f>
        <v/>
      </c>
      <c r="J10" s="33">
        <f>IF(A10="","",IF(COUNTIF($A$2:$A$495,A10)&gt;1,"TRÙNG",""))</f>
        <v/>
      </c>
      <c r="K10" s="33">
        <f>IF(A10="","",COUNTIF(DATA_MASTER!$I$2:$I$5000,A10))</f>
        <v/>
      </c>
      <c r="L10" s="33">
        <f>IF(A10="","",COUNTIFS(DATA_MASTER!$I$2:$I$5000,A10,DATA_MASTER!$T$2:$T$5000,"Có"))</f>
        <v/>
      </c>
      <c r="M10" s="33">
        <f>IF(A10="","",COUNTIFS(ORDERS!$E$2:$E$4995,A10,ORDERS!$L$2:$L$4995,"Đã chuyển khoản"))</f>
        <v/>
      </c>
      <c r="N10" s="11" t="n"/>
    </row>
    <row r="11" ht="14.25" customHeight="1" s="40">
      <c r="A11" s="24" t="inlineStr">
        <is>
          <t>C-09</t>
        </is>
      </c>
      <c r="B11" s="11" t="inlineStr">
        <is>
          <t>CĐB - Seeding - Mỹ Vân</t>
        </is>
      </c>
      <c r="C11" s="11" t="inlineStr">
        <is>
          <t>Seeding</t>
        </is>
      </c>
      <c r="D11" s="11" t="inlineStr">
        <is>
          <t>CDB</t>
        </is>
      </c>
      <c r="E11" s="11" t="inlineStr">
        <is>
          <t>Seeding mỗi ngày</t>
        </is>
      </c>
      <c r="F11" s="11" t="inlineStr">
        <is>
          <t>Mỹ Vân</t>
        </is>
      </c>
      <c r="G11" s="34" t="n">
        <v>46295</v>
      </c>
      <c r="H11" s="11" t="inlineStr">
        <is>
          <t>Active</t>
        </is>
      </c>
      <c r="I11" s="32">
        <f>IF(A11="","",DANH_MUC!$L$4&amp;"?ref="&amp;A11)</f>
        <v/>
      </c>
      <c r="J11" s="33">
        <f>IF(A11="","",IF(COUNTIF($A$2:$A$495,A11)&gt;1,"TRÙNG",""))</f>
        <v/>
      </c>
      <c r="K11" s="33">
        <f>IF(A11="","",COUNTIF(DATA_MASTER!$I$2:$I$5000,A11))</f>
        <v/>
      </c>
      <c r="L11" s="33">
        <f>IF(A11="","",COUNTIFS(DATA_MASTER!$I$2:$I$5000,A11,DATA_MASTER!$T$2:$T$5000,"Có"))</f>
        <v/>
      </c>
      <c r="M11" s="33">
        <f>IF(A11="","",COUNTIFS(ORDERS!$E$2:$E$4995,A11,ORDERS!$L$2:$L$4995,"Đã chuyển khoản"))</f>
        <v/>
      </c>
      <c r="N11" s="11" t="n"/>
    </row>
    <row r="12" ht="14.25" customHeight="1" s="40">
      <c r="A12" s="31" t="inlineStr">
        <is>
          <t>C-BVHP</t>
        </is>
      </c>
      <c r="B12" s="11" t="inlineStr">
        <is>
          <t>CĐB-LTS-Bệnh viện Hạnh Phúc - Hồng</t>
        </is>
      </c>
      <c r="C12" s="11" t="inlineStr">
        <is>
          <t>Team</t>
        </is>
      </c>
      <c r="D12" s="11" t="inlineStr">
        <is>
          <t>CDB</t>
        </is>
      </c>
      <c r="E12" s="11" t="inlineStr">
        <is>
          <t>LTS - Bệnh viện Hạnh Phúc</t>
        </is>
      </c>
      <c r="F12" s="11" t="inlineStr">
        <is>
          <t>Lê Thị Hồng</t>
        </is>
      </c>
      <c r="G12" s="34" t="n">
        <v>46295</v>
      </c>
      <c r="H12" s="11" t="inlineStr">
        <is>
          <t>Active</t>
        </is>
      </c>
      <c r="I12" s="32">
        <f>IF(A12="","",DANH_MUC!$L$4&amp;"?ref="&amp;A12)</f>
        <v/>
      </c>
      <c r="J12" s="33">
        <f>IF(A12="","",IF(COUNTIF($A$2:$A$495,A12)&gt;1,"TRÙNG",""))</f>
        <v/>
      </c>
      <c r="K12" s="33">
        <f>IF(A12="","",COUNTIF(DATA_MASTER!$I$2:$I$5000,A12))</f>
        <v/>
      </c>
      <c r="L12" s="33">
        <f>IF(A12="","",COUNTIFS(DATA_MASTER!$I$2:$I$5000,A12,DATA_MASTER!$T$2:$T$5000,"Có"))</f>
        <v/>
      </c>
      <c r="M12" s="33">
        <f>IF(A12="","",COUNTIFS(ORDERS!$E$2:$E$4995,A12,ORDERS!$L$2:$L$4995,"Đã chuyển khoản"))</f>
        <v/>
      </c>
      <c r="N12" s="11" t="n"/>
    </row>
    <row r="13" ht="14.25" customHeight="1" s="40">
      <c r="A13" s="31" t="inlineStr">
        <is>
          <t>C-BVHP01</t>
        </is>
      </c>
      <c r="B13" s="11" t="inlineStr">
        <is>
          <t>CĐB-LTS-Bệnh viện Hạnh Phúc - Khánh Vi</t>
        </is>
      </c>
      <c r="C13" s="11" t="inlineStr">
        <is>
          <t>Team</t>
        </is>
      </c>
      <c r="D13" s="11" t="inlineStr">
        <is>
          <t>CDB</t>
        </is>
      </c>
      <c r="E13" s="11" t="inlineStr">
        <is>
          <t>LTS - Bệnh viện Hạnh Phúc</t>
        </is>
      </c>
      <c r="F13" s="11" t="inlineStr">
        <is>
          <t>Nguyễn Khánh Vi</t>
        </is>
      </c>
      <c r="G13" s="34" t="n">
        <v>46296</v>
      </c>
      <c r="H13" s="11" t="inlineStr">
        <is>
          <t>Active</t>
        </is>
      </c>
      <c r="I13" s="32">
        <f>IF(A13="","",DANH_MUC!$L$4&amp;"?ref="&amp;A13)</f>
        <v/>
      </c>
      <c r="J13" s="33">
        <f>IF(A13="","",IF(COUNTIF($A$2:$A$495,A13)&gt;1,"TRÙNG",""))</f>
        <v/>
      </c>
      <c r="K13" s="33">
        <f>IF(A13="","",COUNTIF(DATA_MASTER!$I$2:$I$5000,A13))</f>
        <v/>
      </c>
      <c r="L13" s="33">
        <f>IF(A13="","",COUNTIFS(DATA_MASTER!$I$2:$I$5000,A13,DATA_MASTER!$T$2:$T$5000,"Có"))</f>
        <v/>
      </c>
      <c r="M13" s="33">
        <f>IF(A13="","",COUNTIFS(ORDERS!$E$2:$E$4995,A13,ORDERS!$L$2:$L$4995,"Đã chuyển khoản"))</f>
        <v/>
      </c>
      <c r="N13" s="11" t="n"/>
    </row>
    <row r="14" ht="14.25" customHeight="1" s="40">
      <c r="A14" s="31" t="inlineStr">
        <is>
          <t>C-BVHP02</t>
        </is>
      </c>
      <c r="B14" s="11" t="inlineStr">
        <is>
          <t>CĐB-LTS-Bệnh viện Hạnh Phúc - Anh Thư</t>
        </is>
      </c>
      <c r="C14" s="11" t="inlineStr">
        <is>
          <t>Team</t>
        </is>
      </c>
      <c r="D14" s="11" t="inlineStr">
        <is>
          <t>CDB</t>
        </is>
      </c>
      <c r="E14" s="11" t="inlineStr">
        <is>
          <t>LTS - Bệnh viện Hạnh Phúc</t>
        </is>
      </c>
      <c r="F14" s="11" t="inlineStr">
        <is>
          <t>Ngô Anh Thư</t>
        </is>
      </c>
      <c r="G14" s="34" t="n">
        <v>46296</v>
      </c>
      <c r="H14" s="11" t="inlineStr">
        <is>
          <t>Active</t>
        </is>
      </c>
      <c r="I14" s="32">
        <f>IF(A14="","",DANH_MUC!$L$4&amp;"?ref="&amp;A14)</f>
        <v/>
      </c>
      <c r="J14" s="33">
        <f>IF(A14="","",IF(COUNTIF($A$2:$A$495,A14)&gt;1,"TRÙNG",""))</f>
        <v/>
      </c>
      <c r="K14" s="33">
        <f>IF(A14="","",COUNTIF(DATA_MASTER!$I$2:$I$5000,A14))</f>
        <v/>
      </c>
      <c r="L14" s="33">
        <f>IF(A14="","",COUNTIFS(DATA_MASTER!$I$2:$I$5000,A14,DATA_MASTER!$T$2:$T$5000,"Có"))</f>
        <v/>
      </c>
      <c r="M14" s="33">
        <f>IF(A14="","",COUNTIFS(ORDERS!$E$2:$E$4995,A14,ORDERS!$L$2:$L$4995,"Đã chuyển khoản"))</f>
        <v/>
      </c>
      <c r="N14" s="11" t="n"/>
    </row>
    <row r="15" ht="14.25" customHeight="1" s="40">
      <c r="A15" s="31" t="inlineStr">
        <is>
          <t>C-BVHP03</t>
        </is>
      </c>
      <c r="B15" s="11" t="inlineStr">
        <is>
          <t>CĐB-LTS-Bệnh viện Hạnh Phúc - Hoàng Vũ</t>
        </is>
      </c>
      <c r="C15" s="11" t="inlineStr">
        <is>
          <t>Team</t>
        </is>
      </c>
      <c r="D15" s="11" t="inlineStr">
        <is>
          <t>CDB</t>
        </is>
      </c>
      <c r="E15" s="11" t="inlineStr">
        <is>
          <t>LTS - Bệnh viện Hạnh Phúc</t>
        </is>
      </c>
      <c r="F15" s="11" t="inlineStr">
        <is>
          <t>Cao Hoàng Vũ</t>
        </is>
      </c>
      <c r="G15" s="34" t="n">
        <v>46296</v>
      </c>
      <c r="H15" s="11" t="inlineStr">
        <is>
          <t>Active</t>
        </is>
      </c>
      <c r="I15" s="32">
        <f>IF(A15="","",DANH_MUC!$L$4&amp;"?ref="&amp;A15)</f>
        <v/>
      </c>
      <c r="J15" s="33">
        <f>IF(A15="","",IF(COUNTIF($A$2:$A$495,A15)&gt;1,"TRÙNG",""))</f>
        <v/>
      </c>
      <c r="K15" s="33">
        <f>IF(A15="","",COUNTIF(DATA_MASTER!$I$2:$I$5000,A15))</f>
        <v/>
      </c>
      <c r="L15" s="33">
        <f>IF(A15="","",COUNTIFS(DATA_MASTER!$I$2:$I$5000,A15,DATA_MASTER!$T$2:$T$5000,"Có"))</f>
        <v/>
      </c>
      <c r="M15" s="33">
        <f>IF(A15="","",COUNTIFS(ORDERS!$E$2:$E$4995,A15,ORDERS!$L$2:$L$4995,"Đã chuyển khoản"))</f>
        <v/>
      </c>
      <c r="N15" s="11" t="n"/>
    </row>
    <row r="16" ht="14.25" customHeight="1" s="40">
      <c r="A16" s="31" t="inlineStr">
        <is>
          <t>C-KEI</t>
        </is>
      </c>
      <c r="B16" s="11" t="inlineStr">
        <is>
          <t>CĐB-LTS-Bệnh viện Hoàn Hảo Kei Mei Kai</t>
        </is>
      </c>
      <c r="C16" s="11" t="inlineStr">
        <is>
          <t>Team</t>
        </is>
      </c>
      <c r="D16" s="11" t="inlineStr">
        <is>
          <t>CDB</t>
        </is>
      </c>
      <c r="E16" s="11" t="inlineStr">
        <is>
          <t>Bệnh viện Hoàn Hảo Kei Mei Kai</t>
        </is>
      </c>
      <c r="F16" s="11" t="inlineStr">
        <is>
          <t>Nguyễn Thị Dịu My</t>
        </is>
      </c>
      <c r="G16" s="34" t="n">
        <v>46295</v>
      </c>
      <c r="H16" s="11" t="inlineStr">
        <is>
          <t>Active</t>
        </is>
      </c>
      <c r="I16" s="32">
        <f>IF(A16="","",DANH_MUC!$L$4&amp;"?ref="&amp;A16)</f>
        <v/>
      </c>
      <c r="J16" s="33">
        <f>IF(A16="","",IF(COUNTIF($A$2:$A$495,A16)&gt;1,"TRÙNG",""))</f>
        <v/>
      </c>
      <c r="K16" s="33">
        <f>IF(A16="","",COUNTIF(DATA_MASTER!$I$2:$I$5000,A16))</f>
        <v/>
      </c>
      <c r="L16" s="33">
        <f>IF(A16="","",COUNTIFS(DATA_MASTER!$I$2:$I$5000,A16,DATA_MASTER!$T$2:$T$5000,"Có"))</f>
        <v/>
      </c>
      <c r="M16" s="33">
        <f>IF(A16="","",COUNTIFS(ORDERS!$E$2:$E$4995,A16,ORDERS!$L$2:$L$4995,"Đã chuyển khoản"))</f>
        <v/>
      </c>
      <c r="N16" s="11" t="n"/>
    </row>
    <row r="17" ht="14.25" customHeight="1" s="40">
      <c r="A17" s="31" t="inlineStr">
        <is>
          <t>C-SHING</t>
        </is>
      </c>
      <c r="B17" s="11" t="inlineStr">
        <is>
          <t>CĐB-LTS-Bệnh viện Shingmark</t>
        </is>
      </c>
      <c r="C17" s="11" t="inlineStr">
        <is>
          <t>Team</t>
        </is>
      </c>
      <c r="D17" s="11" t="inlineStr">
        <is>
          <t>CDB</t>
        </is>
      </c>
      <c r="E17" s="11" t="inlineStr">
        <is>
          <t>Bệnh viện Shingmark</t>
        </is>
      </c>
      <c r="F17" s="11" t="inlineStr">
        <is>
          <t>Nguyễn Thị Dịu My</t>
        </is>
      </c>
      <c r="G17" s="34" t="n">
        <v>46295</v>
      </c>
      <c r="H17" s="11" t="inlineStr">
        <is>
          <t>Active</t>
        </is>
      </c>
      <c r="I17" s="32">
        <f>IF(A17="","",DANH_MUC!$L$4&amp;"?ref="&amp;A17)</f>
        <v/>
      </c>
      <c r="J17" s="33">
        <f>IF(A17="","",IF(COUNTIF($A$2:$A$495,A17)&gt;1,"TRÙNG",""))</f>
        <v/>
      </c>
      <c r="K17" s="33">
        <f>IF(A17="","",COUNTIF(DATA_MASTER!$I$2:$I$5000,A17))</f>
        <v/>
      </c>
      <c r="L17" s="33">
        <f>IF(A17="","",COUNTIFS(DATA_MASTER!$I$2:$I$5000,A17,DATA_MASTER!$T$2:$T$5000,"Có"))</f>
        <v/>
      </c>
      <c r="M17" s="33">
        <f>IF(A17="","",COUNTIFS(ORDERS!$E$2:$E$4995,A17,ORDERS!$L$2:$L$4995,"Đã chuyển khoản"))</f>
        <v/>
      </c>
      <c r="N17" s="11" t="n"/>
    </row>
    <row r="18" ht="14.25" customHeight="1" s="40">
      <c r="A18" s="31" t="inlineStr">
        <is>
          <t>C-SL</t>
        </is>
      </c>
      <c r="B18" s="11" t="inlineStr">
        <is>
          <t>CĐB - Seeding - Quí Chương</t>
        </is>
      </c>
      <c r="C18" s="11" t="inlineStr">
        <is>
          <t>Seeding</t>
        </is>
      </c>
      <c r="D18" s="11" t="inlineStr">
        <is>
          <t>CDB</t>
        </is>
      </c>
      <c r="E18" s="24" t="n"/>
      <c r="F18" s="11" t="inlineStr">
        <is>
          <t>Nguyễn Hoàng Quí Chương</t>
        </is>
      </c>
      <c r="G18" s="34" t="n">
        <v>46295</v>
      </c>
      <c r="H18" s="11" t="inlineStr">
        <is>
          <t>Active</t>
        </is>
      </c>
      <c r="I18" s="32">
        <f>IF(A18="","",DANH_MUC!$L$4&amp;"?ref="&amp;A18)</f>
        <v/>
      </c>
      <c r="J18" s="33">
        <f>IF(A18="","",IF(COUNTIF($A$2:$A$495,A18)&gt;1,"TRÙNG",""))</f>
        <v/>
      </c>
      <c r="K18" s="33">
        <f>IF(A18="","",COUNTIF(DATA_MASTER!$I$2:$I$5000,A18))</f>
        <v/>
      </c>
      <c r="L18" s="33">
        <f>IF(A18="","",COUNTIFS(DATA_MASTER!$I$2:$I$5000,A18,DATA_MASTER!$T$2:$T$5000,"Có"))</f>
        <v/>
      </c>
      <c r="M18" s="33">
        <f>IF(A18="","",COUNTIFS(ORDERS!$E$2:$E$4995,A18,ORDERS!$L$2:$L$4995,"Đã chuyển khoản"))</f>
        <v/>
      </c>
      <c r="N18" s="11" t="n"/>
    </row>
    <row r="19" ht="14.25" customHeight="1" s="40">
      <c r="A19" s="31" t="inlineStr">
        <is>
          <t>NHS-UNKNOWN</t>
        </is>
      </c>
      <c r="B19" s="11" t="inlineStr">
        <is>
          <t>Nữ hộ sinh – chưa xác định nguồn</t>
        </is>
      </c>
      <c r="C19" s="11" t="inlineStr">
        <is>
          <t>NHS</t>
        </is>
      </c>
      <c r="D19" s="11" t="inlineStr">
        <is>
          <t>Chưa xác định</t>
        </is>
      </c>
      <c r="E19" s="24" t="n"/>
      <c r="F19" s="11" t="inlineStr">
        <is>
          <t>Phát</t>
        </is>
      </c>
      <c r="G19" s="34" t="n">
        <v>46295</v>
      </c>
      <c r="H19" s="11" t="inlineStr">
        <is>
          <t>Active</t>
        </is>
      </c>
      <c r="I19" s="32">
        <f>IF(A19="","",DANH_MUC!$L$4&amp;"?ref="&amp;A19)</f>
        <v/>
      </c>
      <c r="J19" s="33">
        <f>IF(A19="","",IF(COUNTIF($A$2:$A$495,A19)&gt;1,"TRÙNG",""))</f>
        <v/>
      </c>
      <c r="K19" s="33">
        <f>IF(A19="","",COUNTIF(DATA_MASTER!$I$2:$I$5000,A19))</f>
        <v/>
      </c>
      <c r="L19" s="33">
        <f>IF(A19="","",COUNTIFS(DATA_MASTER!$I$2:$I$5000,A19,DATA_MASTER!$T$2:$T$5000,"Có"))</f>
        <v/>
      </c>
      <c r="M19" s="33">
        <f>IF(A19="","",COUNTIFS(ORDERS!$E$2:$E$4995,A19,ORDERS!$L$2:$L$4995,"Đã chuyển khoản"))</f>
        <v/>
      </c>
      <c r="N19" s="11" t="inlineStr">
        <is>
          <t>Mã mặc định cho đăng ký không có REF. KHÔNG gán vào NHS cụ thể. Báo cáo tỷ lệ này riêng.</t>
        </is>
      </c>
    </row>
    <row r="20" ht="14.25" customHeight="1" s="40">
      <c r="A20" s="31" t="inlineStr">
        <is>
          <t>Z-00</t>
        </is>
      </c>
      <c r="B20" s="11" t="inlineStr">
        <is>
          <t>ZM - Seeding online</t>
        </is>
      </c>
      <c r="C20" s="11" t="inlineStr">
        <is>
          <t>Seeding</t>
        </is>
      </c>
      <c r="D20" s="11" t="inlineStr">
        <is>
          <t>ZM</t>
        </is>
      </c>
      <c r="E20" s="11" t="inlineStr">
        <is>
          <t>Seeding mỗi ngày</t>
        </is>
      </c>
      <c r="F20" s="11" t="inlineStr">
        <is>
          <t>Huỳnh Kiều Trinh</t>
        </is>
      </c>
      <c r="G20" s="34" t="n">
        <v>46295</v>
      </c>
      <c r="H20" s="11" t="inlineStr">
        <is>
          <t>Active</t>
        </is>
      </c>
      <c r="I20" s="32">
        <f>IF(A20="","",DANH_MUC!$L$4&amp;"?ref="&amp;A20)</f>
        <v/>
      </c>
      <c r="J20" s="33">
        <f>IF(A20="","",IF(COUNTIF($A$2:$A$495,A20)&gt;1,"TRÙNG",""))</f>
        <v/>
      </c>
      <c r="K20" s="33">
        <f>IF(A20="","",COUNTIF(DATA_MASTER!$I$2:$I$5000,A20))</f>
        <v/>
      </c>
      <c r="L20" s="33">
        <f>IF(A20="","",COUNTIFS(DATA_MASTER!$I$2:$I$5000,A20,DATA_MASTER!$T$2:$T$5000,"Có"))</f>
        <v/>
      </c>
      <c r="M20" s="33">
        <f>IF(A20="","",COUNTIFS(ORDERS!$E$2:$E$4995,A20,ORDERS!$L$2:$L$4995,"Đã chuyển khoản"))</f>
        <v/>
      </c>
      <c r="N20" s="11" t="n"/>
    </row>
    <row r="21" ht="14.25" customHeight="1" s="40">
      <c r="A21" s="31" t="inlineStr">
        <is>
          <t>Z-CIH</t>
        </is>
      </c>
      <c r="B21" s="11" t="inlineStr">
        <is>
          <t>Event - 1000 ngày Bệnh viện CIH</t>
        </is>
      </c>
      <c r="C21" s="11" t="inlineStr">
        <is>
          <t>Event</t>
        </is>
      </c>
      <c r="D21" s="11" t="inlineStr">
        <is>
          <t>ZM</t>
        </is>
      </c>
      <c r="E21" s="24" t="inlineStr">
        <is>
          <t>Bệnh viện Quốc Tế City</t>
        </is>
      </c>
      <c r="F21" s="11" t="inlineStr">
        <is>
          <t>Nguyễn Phương Nhi</t>
        </is>
      </c>
      <c r="G21" s="34" t="n">
        <v>46295</v>
      </c>
      <c r="H21" s="11" t="inlineStr">
        <is>
          <t>Active</t>
        </is>
      </c>
      <c r="I21" s="32">
        <f>IF(A21="","",DANH_MUC!$L$4&amp;"?ref="&amp;A21)</f>
        <v/>
      </c>
      <c r="J21" s="33">
        <f>IF(A21="","",IF(COUNTIF($A$2:$A$495,A21)&gt;1,"TRÙNG",""))</f>
        <v/>
      </c>
      <c r="K21" s="33">
        <f>IF(A21="","",COUNTIF(DATA_MASTER!$I$2:$I$5000,A21))</f>
        <v/>
      </c>
      <c r="L21" s="33">
        <f>IF(A21="","",COUNTIFS(DATA_MASTER!$I$2:$I$5000,A21,DATA_MASTER!$T$2:$T$5000,"Có"))</f>
        <v/>
      </c>
      <c r="M21" s="33">
        <f>IF(A21="","",COUNTIFS(ORDERS!$E$2:$E$4995,A21,ORDERS!$L$2:$L$4995,"Đã chuyển khoản"))</f>
        <v/>
      </c>
      <c r="N21" s="11" t="n"/>
    </row>
    <row r="22" ht="14.25" customHeight="1" s="40">
      <c r="A22" s="31" t="inlineStr">
        <is>
          <t>Z-GREEN</t>
        </is>
      </c>
      <c r="B22" s="11" t="inlineStr">
        <is>
          <t>Event - 1000 ngày Bệnh viện Green</t>
        </is>
      </c>
      <c r="C22" s="11" t="inlineStr">
        <is>
          <t>Event</t>
        </is>
      </c>
      <c r="D22" s="11" t="inlineStr">
        <is>
          <t>ZM</t>
        </is>
      </c>
      <c r="E22" s="24" t="inlineStr">
        <is>
          <t>Bệnh viện Đa Khoa Quốc Tế Green</t>
        </is>
      </c>
      <c r="F22" s="11" t="inlineStr">
        <is>
          <t>Nguyễn Phương Nhi</t>
        </is>
      </c>
      <c r="G22" s="34" t="n">
        <v>46295</v>
      </c>
      <c r="H22" s="11" t="inlineStr">
        <is>
          <t>Active</t>
        </is>
      </c>
      <c r="I22" s="32">
        <f>IF(A22="","",DANH_MUC!$L$4&amp;"?ref="&amp;A22)</f>
        <v/>
      </c>
      <c r="J22" s="33">
        <f>IF(A22="","",IF(COUNTIF($A$2:$A$495,A22)&gt;1,"TRÙNG",""))</f>
        <v/>
      </c>
      <c r="K22" s="33">
        <f>IF(A22="","",COUNTIF(DATA_MASTER!$I$2:$I$5000,A22))</f>
        <v/>
      </c>
      <c r="L22" s="33">
        <f>IF(A22="","",COUNTIFS(DATA_MASTER!$I$2:$I$5000,A22,DATA_MASTER!$T$2:$T$5000,"Có"))</f>
        <v/>
      </c>
      <c r="M22" s="33">
        <f>IF(A22="","",COUNTIFS(ORDERS!$E$2:$E$4995,A22,ORDERS!$L$2:$L$4995,"Đã chuyển khoản"))</f>
        <v/>
      </c>
      <c r="N22" s="11" t="n"/>
    </row>
    <row r="23" ht="14.25" customHeight="1" s="40">
      <c r="A23" s="31" t="inlineStr">
        <is>
          <t>Z-HMN</t>
        </is>
      </c>
      <c r="B23" s="11" t="inlineStr">
        <is>
          <t>Bệnh viện Hạt Mầm Nhỏ</t>
        </is>
      </c>
      <c r="C23" s="11" t="inlineStr">
        <is>
          <t>Team</t>
        </is>
      </c>
      <c r="D23" s="11" t="inlineStr">
        <is>
          <t>ZM</t>
        </is>
      </c>
      <c r="E23" s="24" t="inlineStr">
        <is>
          <t>Bệnh viện Hạt Mầm Nhỏ</t>
        </is>
      </c>
      <c r="F23" s="11" t="inlineStr">
        <is>
          <t>Nguyễn Mai Anh</t>
        </is>
      </c>
      <c r="G23" s="34" t="n">
        <v>46295</v>
      </c>
      <c r="H23" s="11" t="inlineStr">
        <is>
          <t>Active</t>
        </is>
      </c>
      <c r="I23" s="32">
        <f>IF(A23="","",DANH_MUC!$L$4&amp;"?ref="&amp;A23)</f>
        <v/>
      </c>
      <c r="J23" s="33">
        <f>IF(A23="","",IF(COUNTIF($A$2:$A$495,A23)&gt;1,"TRÙNG",""))</f>
        <v/>
      </c>
      <c r="K23" s="33">
        <f>IF(A23="","",COUNTIF(DATA_MASTER!$I$2:$I$5000,A23))</f>
        <v/>
      </c>
      <c r="L23" s="33">
        <f>IF(A23="","",COUNTIFS(DATA_MASTER!$I$2:$I$5000,A23,DATA_MASTER!$T$2:$T$5000,"Có"))</f>
        <v/>
      </c>
      <c r="M23" s="33">
        <f>IF(A23="","",COUNTIFS(ORDERS!$E$2:$E$4995,A23,ORDERS!$L$2:$L$4995,"Đã chuyển khoản"))</f>
        <v/>
      </c>
      <c r="N23" s="11" t="n"/>
    </row>
    <row r="24" ht="14.25" customHeight="1" s="40">
      <c r="A24" s="35" t="inlineStr">
        <is>
          <t>Z-KID</t>
        </is>
      </c>
      <c r="B24" s="11" t="inlineStr">
        <is>
          <t>Event - KidsPlaza</t>
        </is>
      </c>
      <c r="C24" s="11" t="inlineStr">
        <is>
          <t>Event</t>
        </is>
      </c>
      <c r="D24" s="11" t="inlineStr">
        <is>
          <t>ZM</t>
        </is>
      </c>
      <c r="E24" s="11" t="n"/>
      <c r="F24" s="11" t="inlineStr">
        <is>
          <t>Nguyễn Phương Nhi</t>
        </is>
      </c>
      <c r="G24" s="34" t="n">
        <v>46295</v>
      </c>
      <c r="H24" s="11" t="inlineStr">
        <is>
          <t>Active</t>
        </is>
      </c>
      <c r="I24" s="32">
        <f>IF(A24="","",DANH_MUC!$L$4&amp;"?ref="&amp;A24)</f>
        <v/>
      </c>
      <c r="J24" s="33">
        <f>IF(A24="","",IF(COUNTIF($A$2:$A$495,A24)&gt;1,"TRÙNG",""))</f>
        <v/>
      </c>
      <c r="K24" s="33">
        <f>IF(A24="","",COUNTIF(DATA_MASTER!$I$2:$I$5000,A24))</f>
        <v/>
      </c>
      <c r="L24" s="33">
        <f>IF(A24="","",COUNTIFS(DATA_MASTER!$I$2:$I$5000,A24,DATA_MASTER!$T$2:$T$5000,"Có"))</f>
        <v/>
      </c>
      <c r="M24" s="33">
        <f>IF(A24="","",COUNTIFS(ORDERS!$E$2:$E$4995,A24,ORDERS!$L$2:$L$4995,"Đã chuyển khoản"))</f>
        <v/>
      </c>
      <c r="N24" s="11" t="n"/>
    </row>
    <row r="25" ht="14.25" customHeight="1" s="40">
      <c r="A25" s="11" t="inlineStr">
        <is>
          <t>Z-MEDUA</t>
        </is>
      </c>
      <c r="B25" s="11" t="inlineStr">
        <is>
          <t>Group mẹ Dứa</t>
        </is>
      </c>
      <c r="C25" s="11" t="inlineStr">
        <is>
          <t>Seeding</t>
        </is>
      </c>
      <c r="D25" s="11" t="inlineStr">
        <is>
          <t>ZM</t>
        </is>
      </c>
      <c r="E25" s="11" t="n"/>
      <c r="F25" s="11" t="inlineStr">
        <is>
          <t>Nguyễn Phương Nhi</t>
        </is>
      </c>
      <c r="G25" s="34" t="n">
        <v>46295</v>
      </c>
      <c r="H25" s="11" t="inlineStr">
        <is>
          <t>Active</t>
        </is>
      </c>
      <c r="I25" s="32">
        <f>IF(A25="","",DANH_MUC!$L$4&amp;"?ref="&amp;A25)</f>
        <v/>
      </c>
      <c r="J25" s="33">
        <f>IF(A25="","",IF(COUNTIF($A$2:$A$495,A25)&gt;1,"TRÙNG",""))</f>
        <v/>
      </c>
      <c r="K25" s="33">
        <f>IF(A25="","",COUNTIF(DATA_MASTER!$I$2:$I$5000,A25))</f>
        <v/>
      </c>
      <c r="L25" s="33">
        <f>IF(A25="","",COUNTIFS(DATA_MASTER!$I$2:$I$5000,A25,DATA_MASTER!$T$2:$T$5000,"Có"))</f>
        <v/>
      </c>
      <c r="M25" s="33">
        <f>IF(A25="","",COUNTIFS(ORDERS!$E$2:$E$4995,A25,ORDERS!$L$2:$L$4995,"Đã chuyển khoản"))</f>
        <v/>
      </c>
      <c r="N25" s="11" t="n"/>
    </row>
    <row r="26" ht="14.25" customHeight="1" s="40">
      <c r="A26" s="35" t="inlineStr">
        <is>
          <t>Z-PSAC</t>
        </is>
      </c>
      <c r="B26" s="11" t="inlineStr">
        <is>
          <t>Lớp tiền sản - Bệnh viện Phụ Sản Âu Cơ</t>
        </is>
      </c>
      <c r="C26" s="11" t="inlineStr">
        <is>
          <t>Team</t>
        </is>
      </c>
      <c r="D26" s="11" t="inlineStr">
        <is>
          <t>ZM</t>
        </is>
      </c>
      <c r="E26" s="11" t="inlineStr">
        <is>
          <t>Bệnh viện Phụ Sản Âu Cơ</t>
        </is>
      </c>
      <c r="F26" s="11" t="inlineStr">
        <is>
          <t>Nguyễn Thị Dịu Mi</t>
        </is>
      </c>
      <c r="G26" s="34" t="n">
        <v>46295</v>
      </c>
      <c r="H26" s="11" t="inlineStr">
        <is>
          <t>Active</t>
        </is>
      </c>
      <c r="I26" s="32">
        <f>IF(A26="","",DANH_MUC!$L$4&amp;"?ref="&amp;A26)</f>
        <v/>
      </c>
      <c r="J26" s="33">
        <f>IF(A26="","",IF(COUNTIF($A$2:$A$495,A26)&gt;1,"TRÙNG",""))</f>
        <v/>
      </c>
      <c r="K26" s="33">
        <f>IF(A26="","",COUNTIF(DATA_MASTER!$I$2:$I$5000,A26))</f>
        <v/>
      </c>
      <c r="L26" s="33">
        <f>IF(A26="","",COUNTIFS(DATA_MASTER!$I$2:$I$5000,A26,DATA_MASTER!$T$2:$T$5000,"Có"))</f>
        <v/>
      </c>
      <c r="M26" s="33">
        <f>IF(A26="","",COUNTIFS(ORDERS!$E$2:$E$4995,A26,ORDERS!$L$2:$L$4995,"Đã chuyển khoản"))</f>
        <v/>
      </c>
      <c r="N26" s="11" t="n"/>
    </row>
    <row r="27" ht="14.25" customHeight="1" s="40">
      <c r="A27" s="31" t="inlineStr">
        <is>
          <t>Z-SAMMY</t>
        </is>
      </c>
      <c r="B27" s="11" t="inlineStr">
        <is>
          <t>Spa Sammy Care</t>
        </is>
      </c>
      <c r="C27" s="11" t="inlineStr">
        <is>
          <t>Team</t>
        </is>
      </c>
      <c r="D27" s="11" t="inlineStr">
        <is>
          <t>ZM</t>
        </is>
      </c>
      <c r="E27" s="11" t="inlineStr">
        <is>
          <t>Spa Sammy Care</t>
        </is>
      </c>
      <c r="F27" s="11" t="inlineStr">
        <is>
          <t>Nguyễn Mai Anh</t>
        </is>
      </c>
      <c r="G27" s="34" t="n">
        <v>46295</v>
      </c>
      <c r="H27" s="11" t="inlineStr">
        <is>
          <t>Active</t>
        </is>
      </c>
      <c r="I27" s="32">
        <f>IF(A27="","",DANH_MUC!$L$4&amp;"?ref="&amp;A27)</f>
        <v/>
      </c>
      <c r="J27" s="33">
        <f>IF(A27="","",IF(COUNTIF($A$2:$A$495,A27)&gt;1,"TRÙNG",""))</f>
        <v/>
      </c>
      <c r="K27" s="33">
        <f>IF(A27="","",COUNTIF(DATA_MASTER!$I$2:$I$5000,A27))</f>
        <v/>
      </c>
      <c r="L27" s="33">
        <f>IF(A27="","",COUNTIFS(DATA_MASTER!$I$2:$I$5000,A27,DATA_MASTER!$T$2:$T$5000,"Có"))</f>
        <v/>
      </c>
      <c r="M27" s="33">
        <f>IF(A27="","",COUNTIFS(ORDERS!$E$2:$E$4995,A27,ORDERS!$L$2:$L$4995,"Đã chuyển khoản"))</f>
        <v/>
      </c>
      <c r="N27" s="11" t="n"/>
    </row>
    <row r="28" ht="14.25" customHeight="1" s="40">
      <c r="A28" s="31" t="inlineStr">
        <is>
          <t>Z-SHING</t>
        </is>
      </c>
      <c r="B28" s="11" t="inlineStr">
        <is>
          <t>Lớp tiền sản - Bệnh viện Shingmark - Kiều Trinh</t>
        </is>
      </c>
      <c r="C28" s="11" t="inlineStr">
        <is>
          <t>Team</t>
        </is>
      </c>
      <c r="D28" s="11" t="inlineStr">
        <is>
          <t>ZM</t>
        </is>
      </c>
      <c r="E28" s="11" t="inlineStr">
        <is>
          <t>Bệnh viện Shingmark</t>
        </is>
      </c>
      <c r="F28" s="11" t="inlineStr">
        <is>
          <t>Huỳnh Kiều Trinh</t>
        </is>
      </c>
      <c r="G28" s="34" t="n">
        <v>46295</v>
      </c>
      <c r="H28" s="11" t="inlineStr">
        <is>
          <t>Active</t>
        </is>
      </c>
      <c r="I28" s="32">
        <f>IF(A28="","",DANH_MUC!$L$4&amp;"?ref="&amp;A28)</f>
        <v/>
      </c>
      <c r="J28" s="33">
        <f>IF(A28="","",IF(COUNTIF($A$2:$A$495,A28)&gt;1,"TRÙNG",""))</f>
        <v/>
      </c>
      <c r="K28" s="33">
        <f>IF(A28="","",COUNTIF(DATA_MASTER!$I$2:$I$5000,A28))</f>
        <v/>
      </c>
      <c r="L28" s="33">
        <f>IF(A28="","",COUNTIFS(DATA_MASTER!$I$2:$I$5000,A28,DATA_MASTER!$T$2:$T$5000,"Có"))</f>
        <v/>
      </c>
      <c r="M28" s="33">
        <f>IF(A28="","",COUNTIFS(ORDERS!$E$2:$E$4995,A28,ORDERS!$L$2:$L$4995,"Đã chuyển khoản"))</f>
        <v/>
      </c>
      <c r="N28" s="11" t="n"/>
    </row>
    <row r="29" ht="14.25" customHeight="1" s="40">
      <c r="A29" s="31" t="inlineStr">
        <is>
          <t>Z-SL</t>
        </is>
      </c>
      <c r="B29" s="11" t="inlineStr">
        <is>
          <t>Mom đăng ký bán Affiliate</t>
        </is>
      </c>
      <c r="C29" s="11" t="inlineStr">
        <is>
          <t>Sales</t>
        </is>
      </c>
      <c r="D29" s="11" t="inlineStr">
        <is>
          <t>ZM</t>
        </is>
      </c>
      <c r="E29" s="11" t="n"/>
      <c r="F29" s="11" t="inlineStr">
        <is>
          <t>Nguyễn Phương Nhi</t>
        </is>
      </c>
      <c r="G29" s="34" t="n">
        <v>46295</v>
      </c>
      <c r="H29" s="11" t="inlineStr">
        <is>
          <t>Active</t>
        </is>
      </c>
      <c r="I29" s="32">
        <f>IF(A29="","",DANH_MUC!$L$4&amp;"?ref="&amp;A29)</f>
        <v/>
      </c>
      <c r="J29" s="33">
        <f>IF(A29="","",IF(COUNTIF($A$2:$A$495,A29)&gt;1,"TRÙNG",""))</f>
        <v/>
      </c>
      <c r="K29" s="33">
        <f>IF(A29="","",COUNTIF(DATA_MASTER!$I$2:$I$5000,A29))</f>
        <v/>
      </c>
      <c r="L29" s="33">
        <f>IF(A29="","",COUNTIFS(DATA_MASTER!$I$2:$I$5000,A29,DATA_MASTER!$T$2:$T$5000,"Có"))</f>
        <v/>
      </c>
      <c r="M29" s="33">
        <f>IF(A29="","",COUNTIFS(ORDERS!$E$2:$E$4995,A29,ORDERS!$L$2:$L$4995,"Đã chuyển khoản"))</f>
        <v/>
      </c>
      <c r="N29" s="11" t="n"/>
    </row>
    <row r="30" ht="14.25" customHeight="1" s="40">
      <c r="A30" s="11" t="inlineStr">
        <is>
          <t>Z-KID1</t>
        </is>
      </c>
      <c r="B30" s="11" t="inlineStr">
        <is>
          <t>Event - KidsPlaza - Phương Kim</t>
        </is>
      </c>
      <c r="C30" s="11" t="inlineStr">
        <is>
          <t>Event</t>
        </is>
      </c>
      <c r="D30" s="11" t="inlineStr">
        <is>
          <t>ZM</t>
        </is>
      </c>
      <c r="E30" s="11" t="n"/>
      <c r="F30" s="11" t="inlineStr">
        <is>
          <t>Nguyễn Phương Kim</t>
        </is>
      </c>
      <c r="G30" s="34" t="n">
        <v>46295</v>
      </c>
      <c r="H30" s="11" t="inlineStr">
        <is>
          <t>Active</t>
        </is>
      </c>
      <c r="I30" s="32">
        <f>IF(A30="","",DANH_MUC!$L$4&amp;"?ref="&amp;A30)</f>
        <v/>
      </c>
      <c r="J30" s="33">
        <f>IF(A30="","",IF(COUNTIF($A$2:$A$495,A30)&gt;1,"TRÙNG",""))</f>
        <v/>
      </c>
      <c r="K30" s="33">
        <f>IF(A30="","",COUNTIF(DATA_MASTER!$I$2:$I$5000,A30))</f>
        <v/>
      </c>
      <c r="L30" s="33">
        <f>IF(A30="","",COUNTIFS(DATA_MASTER!$I$2:$I$5000,A30,DATA_MASTER!$T$2:$T$5000,"Có"))</f>
        <v/>
      </c>
      <c r="M30" s="33">
        <f>IF(A30="","",COUNTIFS(ORDERS!$E$2:$E$4995,A30,ORDERS!$L$2:$L$4995,"Đã chuyển khoản"))</f>
        <v/>
      </c>
      <c r="N30" s="11" t="n"/>
    </row>
    <row r="31" ht="14.25" customHeight="1" s="40">
      <c r="A31" s="11" t="inlineStr">
        <is>
          <t>Z-KID2</t>
        </is>
      </c>
      <c r="B31" s="11" t="inlineStr">
        <is>
          <t>Event - KidsPlaza - Hải Yến</t>
        </is>
      </c>
      <c r="C31" s="11" t="inlineStr">
        <is>
          <t>Event</t>
        </is>
      </c>
      <c r="D31" s="11" t="inlineStr">
        <is>
          <t>ZM</t>
        </is>
      </c>
      <c r="E31" s="11" t="n"/>
      <c r="F31" s="11" t="inlineStr">
        <is>
          <t>Hoàng Thị Hải Yến</t>
        </is>
      </c>
      <c r="G31" s="34" t="n">
        <v>46295</v>
      </c>
      <c r="H31" s="11" t="inlineStr">
        <is>
          <t>Active</t>
        </is>
      </c>
      <c r="I31" s="32">
        <f>IF(A31="","",DANH_MUC!$L$4&amp;"?ref="&amp;A31)</f>
        <v/>
      </c>
      <c r="J31" s="33">
        <f>IF(A31="","",IF(COUNTIF($A$2:$A$495,A31)&gt;1,"TRÙNG",""))</f>
        <v/>
      </c>
      <c r="K31" s="33">
        <f>IF(A31="","",COUNTIF(DATA_MASTER!$I$2:$I$5000,A31))</f>
        <v/>
      </c>
      <c r="L31" s="33">
        <f>IF(A31="","",COUNTIFS(DATA_MASTER!$I$2:$I$5000,A31,DATA_MASTER!$T$2:$T$5000,"Có"))</f>
        <v/>
      </c>
      <c r="M31" s="33">
        <f>IF(A31="","",COUNTIFS(ORDERS!$E$2:$E$4995,A31,ORDERS!$L$2:$L$4995,"Đã chuyển khoản"))</f>
        <v/>
      </c>
      <c r="N31" s="11" t="n"/>
    </row>
    <row r="32" ht="14.25" customHeight="1" s="40">
      <c r="A32" s="11" t="inlineStr">
        <is>
          <t>Z-KID3</t>
        </is>
      </c>
      <c r="B32" s="11" t="inlineStr">
        <is>
          <t>Event - KidsPlaza - Bảo Trang</t>
        </is>
      </c>
      <c r="C32" s="11" t="inlineStr">
        <is>
          <t>Event</t>
        </is>
      </c>
      <c r="D32" s="11" t="inlineStr">
        <is>
          <t>ZM</t>
        </is>
      </c>
      <c r="E32" s="11" t="n"/>
      <c r="F32" s="11" t="inlineStr">
        <is>
          <t>Vương Bảo Trang</t>
        </is>
      </c>
      <c r="G32" s="34" t="n">
        <v>46295</v>
      </c>
      <c r="H32" s="11" t="inlineStr">
        <is>
          <t>Active</t>
        </is>
      </c>
      <c r="I32" s="32">
        <f>IF(A32="","",DANH_MUC!$L$4&amp;"?ref="&amp;A32)</f>
        <v/>
      </c>
      <c r="J32" s="33">
        <f>IF(A32="","",IF(COUNTIF($A$2:$A$495,A32)&gt;1,"TRÙNG",""))</f>
        <v/>
      </c>
      <c r="K32" s="33">
        <f>IF(A32="","",COUNTIF(DATA_MASTER!$I$2:$I$5000,A32))</f>
        <v/>
      </c>
      <c r="L32" s="33">
        <f>IF(A32="","",COUNTIFS(DATA_MASTER!$I$2:$I$5000,A32,DATA_MASTER!$T$2:$T$5000,"Có"))</f>
        <v/>
      </c>
      <c r="M32" s="33">
        <f>IF(A32="","",COUNTIFS(ORDERS!$E$2:$E$4995,A32,ORDERS!$L$2:$L$4995,"Đã chuyển khoản"))</f>
        <v/>
      </c>
      <c r="N32" s="11" t="n"/>
    </row>
    <row r="33" ht="14.25" customHeight="1" s="40">
      <c r="A33" s="11" t="inlineStr">
        <is>
          <t>Z-YHP</t>
        </is>
      </c>
      <c r="B33" s="11" t="inlineStr">
        <is>
          <t>Bệnh viện Y Hải Phòng</t>
        </is>
      </c>
      <c r="C33" s="11" t="inlineStr">
        <is>
          <t>Team</t>
        </is>
      </c>
      <c r="D33" s="11" t="inlineStr">
        <is>
          <t>ZM</t>
        </is>
      </c>
      <c r="E33" s="11" t="n"/>
      <c r="F33" s="11" t="n"/>
      <c r="G33" s="34" t="n">
        <v>46295</v>
      </c>
      <c r="H33" s="11" t="inlineStr">
        <is>
          <t>Active</t>
        </is>
      </c>
      <c r="I33" s="32">
        <f>IF(A33="","",DANH_MUC!$L$4&amp;"?ref="&amp;A33)</f>
        <v/>
      </c>
      <c r="J33" s="33">
        <f>IF(A33="","",IF(COUNTIF($A$2:$A$495,A33)&gt;1,"TRÙNG",""))</f>
        <v/>
      </c>
      <c r="K33" s="33">
        <f>IF(A33="","",COUNTIF(DATA_MASTER!$I$2:$I$5000,A33))</f>
        <v/>
      </c>
      <c r="L33" s="33">
        <f>IF(A33="","",COUNTIFS(DATA_MASTER!$I$2:$I$5000,A33,DATA_MASTER!$T$2:$T$5000,"Có"))</f>
        <v/>
      </c>
      <c r="M33" s="33">
        <f>IF(A33="","",COUNTIFS(ORDERS!$E$2:$E$4995,A33,ORDERS!$L$2:$L$4995,"Đã chuyển khoản"))</f>
        <v/>
      </c>
      <c r="N33" s="11" t="n"/>
    </row>
    <row r="34" ht="14.25" customHeight="1" s="40">
      <c r="B34" s="11" t="n"/>
      <c r="C34" s="11" t="n"/>
      <c r="D34" s="11" t="n"/>
      <c r="E34" s="11" t="n"/>
      <c r="F34" s="11" t="n"/>
      <c r="G34" s="34" t="n"/>
      <c r="H34" s="11" t="n"/>
      <c r="I34" s="33">
        <f>IF(A34="","",DANH_MUC!$L$4&amp;"?ref="&amp;A34)</f>
        <v/>
      </c>
      <c r="J34" s="33">
        <f>IF(A34="","",IF(COUNTIF($A$2:$A$495,A34)&gt;1,"TRÙNG",""))</f>
        <v/>
      </c>
      <c r="K34" s="33">
        <f>IF(A34="","",COUNTIF(DATA_MASTER!$I$2:$I$5000,A34))</f>
        <v/>
      </c>
      <c r="L34" s="33">
        <f>IF(A34="","",COUNTIFS(DATA_MASTER!$I$2:$I$5000,A34,DATA_MASTER!$T$2:$T$5000,"Có"))</f>
        <v/>
      </c>
      <c r="M34" s="33">
        <f>IF(A34="","",COUNTIFS(ORDERS!$E$2:$E$4995,A34,ORDERS!$L$2:$L$4995,"Đã chuyển khoản"))</f>
        <v/>
      </c>
      <c r="N34" s="11" t="n"/>
    </row>
    <row r="35" ht="14.25" customHeight="1" s="40">
      <c r="A35" s="11" t="n"/>
      <c r="B35" s="11" t="n"/>
      <c r="C35" s="11" t="n"/>
      <c r="D35" s="11" t="n"/>
      <c r="E35" s="11" t="n"/>
      <c r="F35" s="11" t="n"/>
      <c r="G35" s="34" t="n"/>
      <c r="H35" s="11" t="n"/>
      <c r="I35" s="33">
        <f>IF(A35="","",DANH_MUC!$L$4&amp;"?ref="&amp;A35)</f>
        <v/>
      </c>
      <c r="J35" s="33">
        <f>IF(A35="","",IF(COUNTIF($A$2:$A$495,A35)&gt;1,"TRÙNG",""))</f>
        <v/>
      </c>
      <c r="K35" s="33">
        <f>IF(A35="","",COUNTIF(DATA_MASTER!$I$2:$I$5000,A35))</f>
        <v/>
      </c>
      <c r="L35" s="33">
        <f>IF(A35="","",COUNTIFS(DATA_MASTER!$I$2:$I$5000,A35,DATA_MASTER!$T$2:$T$5000,"Có"))</f>
        <v/>
      </c>
      <c r="M35" s="33">
        <f>IF(A35="","",COUNTIFS(ORDERS!$E$2:$E$4995,A35,ORDERS!$L$2:$L$4995,"Đã chuyển khoản"))</f>
        <v/>
      </c>
      <c r="N35" s="11" t="n"/>
    </row>
    <row r="36" ht="14.25" customHeight="1" s="40">
      <c r="A36" s="11" t="n"/>
      <c r="B36" s="11" t="n"/>
      <c r="C36" s="11" t="n"/>
      <c r="D36" s="11" t="n"/>
      <c r="E36" s="11" t="n"/>
      <c r="F36" s="11" t="n"/>
      <c r="G36" s="34" t="n"/>
      <c r="H36" s="11" t="n"/>
      <c r="I36" s="33">
        <f>IF(A36="","",DANH_MUC!$L$4&amp;"?ref="&amp;A36)</f>
        <v/>
      </c>
      <c r="J36" s="33">
        <f>IF(A36="","",IF(COUNTIF($A$2:$A$495,A36)&gt;1,"TRÙNG",""))</f>
        <v/>
      </c>
      <c r="K36" s="33">
        <f>IF(A36="","",COUNTIF(DATA_MASTER!$I$2:$I$5000,A36))</f>
        <v/>
      </c>
      <c r="L36" s="33">
        <f>IF(A36="","",COUNTIFS(DATA_MASTER!$I$2:$I$5000,A36,DATA_MASTER!$T$2:$T$5000,"Có"))</f>
        <v/>
      </c>
      <c r="M36" s="33">
        <f>IF(A36="","",COUNTIFS(ORDERS!$E$2:$E$4995,A36,ORDERS!$L$2:$L$4995,"Đã chuyển khoản"))</f>
        <v/>
      </c>
      <c r="N36" s="11" t="n"/>
    </row>
    <row r="37" ht="14.25" customHeight="1" s="40">
      <c r="A37" s="11" t="n"/>
      <c r="B37" s="11" t="n"/>
      <c r="C37" s="11" t="n"/>
      <c r="D37" s="11" t="n"/>
      <c r="E37" s="11" t="n"/>
      <c r="F37" s="11" t="n"/>
      <c r="G37" s="34" t="n"/>
      <c r="H37" s="11" t="n"/>
      <c r="I37" s="33">
        <f>IF(A37="","",DANH_MUC!$L$4&amp;"?ref="&amp;A37)</f>
        <v/>
      </c>
      <c r="J37" s="33">
        <f>IF(A37="","",IF(COUNTIF($A$2:$A$495,A37)&gt;1,"TRÙNG",""))</f>
        <v/>
      </c>
      <c r="K37" s="33">
        <f>IF(A37="","",COUNTIF(DATA_MASTER!$I$2:$I$5000,A37))</f>
        <v/>
      </c>
      <c r="L37" s="33">
        <f>IF(A37="","",COUNTIFS(DATA_MASTER!$I$2:$I$5000,A37,DATA_MASTER!$T$2:$T$5000,"Có"))</f>
        <v/>
      </c>
      <c r="M37" s="33">
        <f>IF(A37="","",COUNTIFS(ORDERS!$E$2:$E$4995,A37,ORDERS!$L$2:$L$4995,"Đã chuyển khoản"))</f>
        <v/>
      </c>
      <c r="N37" s="11" t="n"/>
    </row>
    <row r="38" ht="14.25" customHeight="1" s="40">
      <c r="A38" s="11" t="n"/>
      <c r="B38" s="11" t="n"/>
      <c r="C38" s="11" t="n"/>
      <c r="D38" s="11" t="n"/>
      <c r="E38" s="11" t="n"/>
      <c r="F38" s="11" t="n"/>
      <c r="G38" s="34" t="n"/>
      <c r="H38" s="11" t="n"/>
      <c r="I38" s="33">
        <f>IF(A38="","",DANH_MUC!$L$4&amp;"?ref="&amp;A38)</f>
        <v/>
      </c>
      <c r="J38" s="33">
        <f>IF(A38="","",IF(COUNTIF($A$2:$A$495,A38)&gt;1,"TRÙNG",""))</f>
        <v/>
      </c>
      <c r="K38" s="33">
        <f>IF(A38="","",COUNTIF(DATA_MASTER!$I$2:$I$5000,A38))</f>
        <v/>
      </c>
      <c r="L38" s="33">
        <f>IF(A38="","",COUNTIFS(DATA_MASTER!$I$2:$I$5000,A38,DATA_MASTER!$T$2:$T$5000,"Có"))</f>
        <v/>
      </c>
      <c r="M38" s="33">
        <f>IF(A38="","",COUNTIFS(ORDERS!$E$2:$E$4995,A38,ORDERS!$L$2:$L$4995,"Đã chuyển khoản"))</f>
        <v/>
      </c>
      <c r="N38" s="11" t="n"/>
    </row>
    <row r="39" ht="14.25" customHeight="1" s="40">
      <c r="A39" s="11" t="n"/>
      <c r="B39" s="11" t="n"/>
      <c r="C39" s="11" t="n"/>
      <c r="D39" s="11" t="n"/>
      <c r="E39" s="11" t="n"/>
      <c r="F39" s="11" t="n"/>
      <c r="G39" s="34" t="n"/>
      <c r="H39" s="11" t="n"/>
      <c r="I39" s="33">
        <f>IF(A39="","",DANH_MUC!$L$4&amp;"?ref="&amp;A39)</f>
        <v/>
      </c>
      <c r="J39" s="33">
        <f>IF(A39="","",IF(COUNTIF($A$2:$A$495,A39)&gt;1,"TRÙNG",""))</f>
        <v/>
      </c>
      <c r="K39" s="33">
        <f>IF(A39="","",COUNTIF(DATA_MASTER!$I$2:$I$5000,A39))</f>
        <v/>
      </c>
      <c r="L39" s="33">
        <f>IF(A39="","",COUNTIFS(DATA_MASTER!$I$2:$I$5000,A39,DATA_MASTER!$T$2:$T$5000,"Có"))</f>
        <v/>
      </c>
      <c r="M39" s="33">
        <f>IF(A39="","",COUNTIFS(ORDERS!$E$2:$E$4995,A39,ORDERS!$L$2:$L$4995,"Đã chuyển khoản"))</f>
        <v/>
      </c>
      <c r="N39" s="11" t="n"/>
    </row>
    <row r="40" ht="14.25" customHeight="1" s="40">
      <c r="A40" s="11" t="n"/>
      <c r="B40" s="11" t="n"/>
      <c r="C40" s="11" t="n"/>
      <c r="D40" s="11" t="n"/>
      <c r="E40" s="11" t="n"/>
      <c r="F40" s="11" t="n"/>
      <c r="G40" s="34" t="n"/>
      <c r="H40" s="11" t="n"/>
      <c r="I40" s="33">
        <f>IF(A40="","",DANH_MUC!$L$4&amp;"?ref="&amp;A40)</f>
        <v/>
      </c>
      <c r="J40" s="33">
        <f>IF(A40="","",IF(COUNTIF($A$2:$A$495,A40)&gt;1,"TRÙNG",""))</f>
        <v/>
      </c>
      <c r="K40" s="33">
        <f>IF(A40="","",COUNTIF(DATA_MASTER!$I$2:$I$5000,A40))</f>
        <v/>
      </c>
      <c r="L40" s="33">
        <f>IF(A40="","",COUNTIFS(DATA_MASTER!$I$2:$I$5000,A40,DATA_MASTER!$T$2:$T$5000,"Có"))</f>
        <v/>
      </c>
      <c r="M40" s="33">
        <f>IF(A40="","",COUNTIFS(ORDERS!$E$2:$E$4995,A40,ORDERS!$L$2:$L$4995,"Đã chuyển khoản"))</f>
        <v/>
      </c>
      <c r="N40" s="11" t="n"/>
    </row>
    <row r="41" ht="14.25" customHeight="1" s="40">
      <c r="A41" s="11" t="n"/>
      <c r="B41" s="11" t="n"/>
      <c r="C41" s="11" t="n"/>
      <c r="D41" s="11" t="n"/>
      <c r="E41" s="11" t="n"/>
      <c r="F41" s="11" t="n"/>
      <c r="G41" s="34" t="n"/>
      <c r="H41" s="11" t="n"/>
      <c r="I41" s="33">
        <f>IF(A41="","",DANH_MUC!$L$4&amp;"?ref="&amp;A41)</f>
        <v/>
      </c>
      <c r="J41" s="33">
        <f>IF(A41="","",IF(COUNTIF($A$2:$A$495,A41)&gt;1,"TRÙNG",""))</f>
        <v/>
      </c>
      <c r="K41" s="33">
        <f>IF(A41="","",COUNTIF(DATA_MASTER!$I$2:$I$5000,A41))</f>
        <v/>
      </c>
      <c r="L41" s="33">
        <f>IF(A41="","",COUNTIFS(DATA_MASTER!$I$2:$I$5000,A41,DATA_MASTER!$T$2:$T$5000,"Có"))</f>
        <v/>
      </c>
      <c r="M41" s="33">
        <f>IF(A41="","",COUNTIFS(ORDERS!$E$2:$E$4995,A41,ORDERS!$L$2:$L$4995,"Đã chuyển khoản"))</f>
        <v/>
      </c>
      <c r="N41" s="11" t="n"/>
    </row>
    <row r="42" ht="14.25" customHeight="1" s="40">
      <c r="A42" s="11" t="n"/>
      <c r="B42" s="11" t="n"/>
      <c r="C42" s="11" t="n"/>
      <c r="D42" s="11" t="n"/>
      <c r="E42" s="11" t="n"/>
      <c r="F42" s="11" t="n"/>
      <c r="G42" s="34" t="n"/>
      <c r="H42" s="11" t="n"/>
      <c r="I42" s="33">
        <f>IF(A42="","",DANH_MUC!$L$4&amp;"?ref="&amp;A42)</f>
        <v/>
      </c>
      <c r="J42" s="33">
        <f>IF(A42="","",IF(COUNTIF($A$2:$A$495,A42)&gt;1,"TRÙNG",""))</f>
        <v/>
      </c>
      <c r="K42" s="33">
        <f>IF(A42="","",COUNTIF(DATA_MASTER!$I$2:$I$5000,A42))</f>
        <v/>
      </c>
      <c r="L42" s="33">
        <f>IF(A42="","",COUNTIFS(DATA_MASTER!$I$2:$I$5000,A42,DATA_MASTER!$T$2:$T$5000,"Có"))</f>
        <v/>
      </c>
      <c r="M42" s="33">
        <f>IF(A42="","",COUNTIFS(ORDERS!$E$2:$E$4995,A42,ORDERS!$L$2:$L$4995,"Đã chuyển khoản"))</f>
        <v/>
      </c>
      <c r="N42" s="11" t="n"/>
    </row>
    <row r="43" ht="14.25" customHeight="1" s="40">
      <c r="A43" s="11" t="n"/>
      <c r="B43" s="11" t="n"/>
      <c r="C43" s="11" t="n"/>
      <c r="D43" s="11" t="n"/>
      <c r="E43" s="11" t="n"/>
      <c r="F43" s="11" t="n"/>
      <c r="G43" s="34" t="n"/>
      <c r="H43" s="11" t="n"/>
      <c r="I43" s="33">
        <f>IF(A43="","",DANH_MUC!$L$4&amp;"?ref="&amp;A43)</f>
        <v/>
      </c>
      <c r="J43" s="33">
        <f>IF(A43="","",IF(COUNTIF($A$2:$A$495,A43)&gt;1,"TRÙNG",""))</f>
        <v/>
      </c>
      <c r="K43" s="33">
        <f>IF(A43="","",COUNTIF(DATA_MASTER!$I$2:$I$5000,A43))</f>
        <v/>
      </c>
      <c r="L43" s="33">
        <f>IF(A43="","",COUNTIFS(DATA_MASTER!$I$2:$I$5000,A43,DATA_MASTER!$T$2:$T$5000,"Có"))</f>
        <v/>
      </c>
      <c r="M43" s="33">
        <f>IF(A43="","",COUNTIFS(ORDERS!$E$2:$E$4995,A43,ORDERS!$L$2:$L$4995,"Đã chuyển khoản"))</f>
        <v/>
      </c>
      <c r="N43" s="11" t="n"/>
    </row>
    <row r="44" ht="14.25" customHeight="1" s="40">
      <c r="A44" s="11" t="n"/>
      <c r="B44" s="11" t="n"/>
      <c r="C44" s="11" t="n"/>
      <c r="D44" s="11" t="n"/>
      <c r="E44" s="11" t="n"/>
      <c r="F44" s="11" t="n"/>
      <c r="G44" s="34" t="n"/>
      <c r="H44" s="11" t="n"/>
      <c r="I44" s="33">
        <f>IF(A44="","",DANH_MUC!$L$4&amp;"?ref="&amp;A44)</f>
        <v/>
      </c>
      <c r="J44" s="33">
        <f>IF(A44="","",IF(COUNTIF($A$2:$A$495,A44)&gt;1,"TRÙNG",""))</f>
        <v/>
      </c>
      <c r="K44" s="33">
        <f>IF(A44="","",COUNTIF(DATA_MASTER!$I$2:$I$5000,A44))</f>
        <v/>
      </c>
      <c r="L44" s="33">
        <f>IF(A44="","",COUNTIFS(DATA_MASTER!$I$2:$I$5000,A44,DATA_MASTER!$T$2:$T$5000,"Có"))</f>
        <v/>
      </c>
      <c r="M44" s="33">
        <f>IF(A44="","",COUNTIFS(ORDERS!$E$2:$E$4995,A44,ORDERS!$L$2:$L$4995,"Đã chuyển khoản"))</f>
        <v/>
      </c>
      <c r="N44" s="11" t="n"/>
    </row>
    <row r="45" ht="14.25" customHeight="1" s="40">
      <c r="A45" s="11" t="n"/>
      <c r="B45" s="11" t="n"/>
      <c r="C45" s="11" t="n"/>
      <c r="D45" s="11" t="n"/>
      <c r="E45" s="11" t="n"/>
      <c r="F45" s="11" t="n"/>
      <c r="G45" s="34" t="n"/>
      <c r="H45" s="11" t="n"/>
      <c r="I45" s="33">
        <f>IF(A45="","",DANH_MUC!$L$4&amp;"?ref="&amp;A45)</f>
        <v/>
      </c>
      <c r="J45" s="33">
        <f>IF(A45="","",IF(COUNTIF($A$2:$A$495,A45)&gt;1,"TRÙNG",""))</f>
        <v/>
      </c>
      <c r="K45" s="33">
        <f>IF(A45="","",COUNTIF(DATA_MASTER!$I$2:$I$5000,A45))</f>
        <v/>
      </c>
      <c r="L45" s="33">
        <f>IF(A45="","",COUNTIFS(DATA_MASTER!$I$2:$I$5000,A45,DATA_MASTER!$T$2:$T$5000,"Có"))</f>
        <v/>
      </c>
      <c r="M45" s="33">
        <f>IF(A45="","",COUNTIFS(ORDERS!$E$2:$E$4995,A45,ORDERS!$L$2:$L$4995,"Đã chuyển khoản"))</f>
        <v/>
      </c>
      <c r="N45" s="11" t="n"/>
    </row>
    <row r="46" ht="14.25" customHeight="1" s="40">
      <c r="A46" s="11" t="n"/>
      <c r="B46" s="11" t="n"/>
      <c r="C46" s="11" t="n"/>
      <c r="D46" s="11" t="n"/>
      <c r="E46" s="11" t="n"/>
      <c r="F46" s="11" t="n"/>
      <c r="G46" s="34" t="n"/>
      <c r="H46" s="11" t="n"/>
      <c r="I46" s="33">
        <f>IF(A46="","",DANH_MUC!$L$4&amp;"?ref="&amp;A46)</f>
        <v/>
      </c>
      <c r="J46" s="33">
        <f>IF(A46="","",IF(COUNTIF($A$2:$A$495,A46)&gt;1,"TRÙNG",""))</f>
        <v/>
      </c>
      <c r="K46" s="33">
        <f>IF(A46="","",COUNTIF(DATA_MASTER!$I$2:$I$5000,A46))</f>
        <v/>
      </c>
      <c r="L46" s="33">
        <f>IF(A46="","",COUNTIFS(DATA_MASTER!$I$2:$I$5000,A46,DATA_MASTER!$T$2:$T$5000,"Có"))</f>
        <v/>
      </c>
      <c r="M46" s="33">
        <f>IF(A46="","",COUNTIFS(ORDERS!$E$2:$E$4995,A46,ORDERS!$L$2:$L$4995,"Đã chuyển khoản"))</f>
        <v/>
      </c>
      <c r="N46" s="11" t="n"/>
    </row>
    <row r="47" ht="14.25" customHeight="1" s="40">
      <c r="A47" s="11" t="n"/>
      <c r="B47" s="11" t="n"/>
      <c r="C47" s="11" t="n"/>
      <c r="D47" s="11" t="n"/>
      <c r="E47" s="11" t="n"/>
      <c r="F47" s="11" t="n"/>
      <c r="G47" s="34" t="n"/>
      <c r="H47" s="11" t="n"/>
      <c r="I47" s="33">
        <f>IF(A47="","",DANH_MUC!$L$4&amp;"?ref="&amp;A47)</f>
        <v/>
      </c>
      <c r="J47" s="33">
        <f>IF(A47="","",IF(COUNTIF($A$2:$A$495,A47)&gt;1,"TRÙNG",""))</f>
        <v/>
      </c>
      <c r="K47" s="33">
        <f>IF(A47="","",COUNTIF(DATA_MASTER!$I$2:$I$5000,A47))</f>
        <v/>
      </c>
      <c r="L47" s="33">
        <f>IF(A47="","",COUNTIFS(DATA_MASTER!$I$2:$I$5000,A47,DATA_MASTER!$T$2:$T$5000,"Có"))</f>
        <v/>
      </c>
      <c r="M47" s="33">
        <f>IF(A47="","",COUNTIFS(ORDERS!$E$2:$E$4995,A47,ORDERS!$L$2:$L$4995,"Đã chuyển khoản"))</f>
        <v/>
      </c>
      <c r="N47" s="11" t="n"/>
    </row>
    <row r="48" ht="14.25" customHeight="1" s="40">
      <c r="A48" s="11" t="n"/>
      <c r="B48" s="11" t="n"/>
      <c r="C48" s="11" t="n"/>
      <c r="D48" s="11" t="n"/>
      <c r="E48" s="11" t="n"/>
      <c r="F48" s="11" t="n"/>
      <c r="G48" s="34" t="n"/>
      <c r="H48" s="11" t="n"/>
      <c r="I48" s="33">
        <f>IF(A48="","",DANH_MUC!$L$4&amp;"?ref="&amp;A48)</f>
        <v/>
      </c>
      <c r="J48" s="33">
        <f>IF(A48="","",IF(COUNTIF($A$2:$A$495,A48)&gt;1,"TRÙNG",""))</f>
        <v/>
      </c>
      <c r="K48" s="33">
        <f>IF(A48="","",COUNTIF(DATA_MASTER!$I$2:$I$5000,A48))</f>
        <v/>
      </c>
      <c r="L48" s="33">
        <f>IF(A48="","",COUNTIFS(DATA_MASTER!$I$2:$I$5000,A48,DATA_MASTER!$T$2:$T$5000,"Có"))</f>
        <v/>
      </c>
      <c r="M48" s="33">
        <f>IF(A48="","",COUNTIFS(ORDERS!$E$2:$E$4995,A48,ORDERS!$L$2:$L$4995,"Đã chuyển khoản"))</f>
        <v/>
      </c>
      <c r="N48" s="11" t="n"/>
    </row>
    <row r="49" ht="14.25" customHeight="1" s="40">
      <c r="A49" s="11" t="n"/>
      <c r="B49" s="11" t="n"/>
      <c r="C49" s="11" t="n"/>
      <c r="D49" s="11" t="n"/>
      <c r="E49" s="11" t="n"/>
      <c r="F49" s="11" t="n"/>
      <c r="G49" s="34" t="n"/>
      <c r="H49" s="11" t="n"/>
      <c r="I49" s="33">
        <f>IF(A49="","",DANH_MUC!$L$4&amp;"?ref="&amp;A49)</f>
        <v/>
      </c>
      <c r="J49" s="33">
        <f>IF(A49="","",IF(COUNTIF($A$2:$A$495,A49)&gt;1,"TRÙNG",""))</f>
        <v/>
      </c>
      <c r="K49" s="33">
        <f>IF(A49="","",COUNTIF(DATA_MASTER!$I$2:$I$5000,A49))</f>
        <v/>
      </c>
      <c r="L49" s="33">
        <f>IF(A49="","",COUNTIFS(DATA_MASTER!$I$2:$I$5000,A49,DATA_MASTER!$T$2:$T$5000,"Có"))</f>
        <v/>
      </c>
      <c r="M49" s="33">
        <f>IF(A49="","",COUNTIFS(ORDERS!$E$2:$E$4995,A49,ORDERS!$L$2:$L$4995,"Đã chuyển khoản"))</f>
        <v/>
      </c>
      <c r="N49" s="11" t="n"/>
    </row>
    <row r="50" ht="14.25" customHeight="1" s="40">
      <c r="A50" s="11" t="n"/>
      <c r="B50" s="11" t="n"/>
      <c r="C50" s="11" t="n"/>
      <c r="D50" s="11" t="n"/>
      <c r="E50" s="11" t="n"/>
      <c r="F50" s="11" t="n"/>
      <c r="G50" s="34" t="n"/>
      <c r="H50" s="11" t="n"/>
      <c r="I50" s="33">
        <f>IF(A50="","",DANH_MUC!$L$4&amp;"?ref="&amp;A50)</f>
        <v/>
      </c>
      <c r="J50" s="33">
        <f>IF(A50="","",IF(COUNTIF($A$2:$A$495,A50)&gt;1,"TRÙNG",""))</f>
        <v/>
      </c>
      <c r="K50" s="33">
        <f>IF(A50="","",COUNTIF(DATA_MASTER!$I$2:$I$5000,A50))</f>
        <v/>
      </c>
      <c r="L50" s="33">
        <f>IF(A50="","",COUNTIFS(DATA_MASTER!$I$2:$I$5000,A50,DATA_MASTER!$T$2:$T$5000,"Có"))</f>
        <v/>
      </c>
      <c r="M50" s="33">
        <f>IF(A50="","",COUNTIFS(ORDERS!$E$2:$E$4995,A50,ORDERS!$L$2:$L$4995,"Đã chuyển khoản"))</f>
        <v/>
      </c>
      <c r="N50" s="11" t="n"/>
    </row>
    <row r="51" ht="14.25" customHeight="1" s="40">
      <c r="A51" s="11" t="n"/>
      <c r="B51" s="11" t="n"/>
      <c r="C51" s="11" t="n"/>
      <c r="D51" s="11" t="n"/>
      <c r="E51" s="11" t="n"/>
      <c r="F51" s="11" t="n"/>
      <c r="G51" s="34" t="n"/>
      <c r="H51" s="11" t="n"/>
      <c r="I51" s="33">
        <f>IF(A51="","",DANH_MUC!$L$4&amp;"?ref="&amp;A51)</f>
        <v/>
      </c>
      <c r="J51" s="33">
        <f>IF(A51="","",IF(COUNTIF($A$2:$A$495,A51)&gt;1,"TRÙNG",""))</f>
        <v/>
      </c>
      <c r="K51" s="33">
        <f>IF(A51="","",COUNTIF(DATA_MASTER!$I$2:$I$5000,A51))</f>
        <v/>
      </c>
      <c r="L51" s="33">
        <f>IF(A51="","",COUNTIFS(DATA_MASTER!$I$2:$I$5000,A51,DATA_MASTER!$T$2:$T$5000,"Có"))</f>
        <v/>
      </c>
      <c r="M51" s="33">
        <f>IF(A51="","",COUNTIFS(ORDERS!$E$2:$E$4995,A51,ORDERS!$L$2:$L$4995,"Đã chuyển khoản"))</f>
        <v/>
      </c>
      <c r="N51" s="11" t="n"/>
    </row>
    <row r="52" ht="14.25" customHeight="1" s="40">
      <c r="A52" s="11" t="n"/>
      <c r="B52" s="11" t="n"/>
      <c r="C52" s="11" t="n"/>
      <c r="D52" s="11" t="n"/>
      <c r="E52" s="11" t="n"/>
      <c r="F52" s="11" t="n"/>
      <c r="G52" s="34" t="n"/>
      <c r="H52" s="11" t="n"/>
      <c r="I52" s="33">
        <f>IF(A52="","",DANH_MUC!$L$4&amp;"?ref="&amp;A52)</f>
        <v/>
      </c>
      <c r="J52" s="33">
        <f>IF(A52="","",IF(COUNTIF($A$2:$A$495,A52)&gt;1,"TRÙNG",""))</f>
        <v/>
      </c>
      <c r="K52" s="33">
        <f>IF(A52="","",COUNTIF(DATA_MASTER!$I$2:$I$5000,A52))</f>
        <v/>
      </c>
      <c r="L52" s="33">
        <f>IF(A52="","",COUNTIFS(DATA_MASTER!$I$2:$I$5000,A52,DATA_MASTER!$T$2:$T$5000,"Có"))</f>
        <v/>
      </c>
      <c r="M52" s="33">
        <f>IF(A52="","",COUNTIFS(ORDERS!$E$2:$E$4995,A52,ORDERS!$L$2:$L$4995,"Đã chuyển khoản"))</f>
        <v/>
      </c>
      <c r="N52" s="11" t="n"/>
    </row>
    <row r="53" ht="14.25" customHeight="1" s="40">
      <c r="A53" s="11" t="n"/>
      <c r="B53" s="11" t="n"/>
      <c r="C53" s="11" t="n"/>
      <c r="D53" s="11" t="n"/>
      <c r="E53" s="11" t="n"/>
      <c r="F53" s="11" t="n"/>
      <c r="G53" s="34" t="n"/>
      <c r="H53" s="11" t="n"/>
      <c r="I53" s="33">
        <f>IF(A53="","",DANH_MUC!$L$4&amp;"?ref="&amp;A53)</f>
        <v/>
      </c>
      <c r="J53" s="33">
        <f>IF(A53="","",IF(COUNTIF($A$2:$A$495,A53)&gt;1,"TRÙNG",""))</f>
        <v/>
      </c>
      <c r="K53" s="33">
        <f>IF(A53="","",COUNTIF(DATA_MASTER!$I$2:$I$5000,A53))</f>
        <v/>
      </c>
      <c r="L53" s="33">
        <f>IF(A53="","",COUNTIFS(DATA_MASTER!$I$2:$I$5000,A53,DATA_MASTER!$T$2:$T$5000,"Có"))</f>
        <v/>
      </c>
      <c r="M53" s="33">
        <f>IF(A53="","",COUNTIFS(ORDERS!$E$2:$E$4995,A53,ORDERS!$L$2:$L$4995,"Đã chuyển khoản"))</f>
        <v/>
      </c>
      <c r="N53" s="11" t="n"/>
    </row>
    <row r="54" ht="14.25" customHeight="1" s="40">
      <c r="A54" s="11" t="n"/>
      <c r="B54" s="11" t="n"/>
      <c r="C54" s="11" t="n"/>
      <c r="D54" s="11" t="n"/>
      <c r="E54" s="11" t="n"/>
      <c r="F54" s="11" t="n"/>
      <c r="G54" s="34" t="n"/>
      <c r="H54" s="11" t="n"/>
      <c r="I54" s="33">
        <f>IF(A54="","",DANH_MUC!$L$4&amp;"?ref="&amp;A54)</f>
        <v/>
      </c>
      <c r="J54" s="33">
        <f>IF(A54="","",IF(COUNTIF($A$2:$A$495,A54)&gt;1,"TRÙNG",""))</f>
        <v/>
      </c>
      <c r="K54" s="33">
        <f>IF(A54="","",COUNTIF(DATA_MASTER!$I$2:$I$5000,A54))</f>
        <v/>
      </c>
      <c r="L54" s="33">
        <f>IF(A54="","",COUNTIFS(DATA_MASTER!$I$2:$I$5000,A54,DATA_MASTER!$T$2:$T$5000,"Có"))</f>
        <v/>
      </c>
      <c r="M54" s="33">
        <f>IF(A54="","",COUNTIFS(ORDERS!$E$2:$E$4995,A54,ORDERS!$L$2:$L$4995,"Đã chuyển khoản"))</f>
        <v/>
      </c>
      <c r="N54" s="11" t="n"/>
    </row>
    <row r="55" ht="14.25" customHeight="1" s="40">
      <c r="A55" s="11" t="n"/>
      <c r="B55" s="11" t="n"/>
      <c r="C55" s="11" t="n"/>
      <c r="D55" s="11" t="n"/>
      <c r="E55" s="11" t="n"/>
      <c r="F55" s="11" t="n"/>
      <c r="G55" s="34" t="n"/>
      <c r="H55" s="11" t="n"/>
      <c r="I55" s="33">
        <f>IF(A55="","",DANH_MUC!$L$4&amp;"?ref="&amp;A55)</f>
        <v/>
      </c>
      <c r="J55" s="33">
        <f>IF(A55="","",IF(COUNTIF($A$2:$A$495,A55)&gt;1,"TRÙNG",""))</f>
        <v/>
      </c>
      <c r="K55" s="33">
        <f>IF(A55="","",COUNTIF(DATA_MASTER!$I$2:$I$5000,A55))</f>
        <v/>
      </c>
      <c r="L55" s="33">
        <f>IF(A55="","",COUNTIFS(DATA_MASTER!$I$2:$I$5000,A55,DATA_MASTER!$T$2:$T$5000,"Có"))</f>
        <v/>
      </c>
      <c r="M55" s="33">
        <f>IF(A55="","",COUNTIFS(ORDERS!$E$2:$E$4995,A55,ORDERS!$L$2:$L$4995,"Đã chuyển khoản"))</f>
        <v/>
      </c>
      <c r="N55" s="11" t="n"/>
    </row>
    <row r="56" ht="14.25" customHeight="1" s="40">
      <c r="A56" s="11" t="n"/>
      <c r="B56" s="11" t="n"/>
      <c r="C56" s="11" t="n"/>
      <c r="D56" s="11" t="n"/>
      <c r="E56" s="11" t="n"/>
      <c r="F56" s="11" t="n"/>
      <c r="G56" s="34" t="n"/>
      <c r="H56" s="11" t="n"/>
      <c r="I56" s="33">
        <f>IF(A56="","",DANH_MUC!$L$4&amp;"?ref="&amp;A56)</f>
        <v/>
      </c>
      <c r="J56" s="33">
        <f>IF(A56="","",IF(COUNTIF($A$2:$A$495,A56)&gt;1,"TRÙNG",""))</f>
        <v/>
      </c>
      <c r="K56" s="33">
        <f>IF(A56="","",COUNTIF(DATA_MASTER!$I$2:$I$5000,A56))</f>
        <v/>
      </c>
      <c r="L56" s="33">
        <f>IF(A56="","",COUNTIFS(DATA_MASTER!$I$2:$I$5000,A56,DATA_MASTER!$T$2:$T$5000,"Có"))</f>
        <v/>
      </c>
      <c r="M56" s="33">
        <f>IF(A56="","",COUNTIFS(ORDERS!$E$2:$E$4995,A56,ORDERS!$L$2:$L$4995,"Đã chuyển khoản"))</f>
        <v/>
      </c>
      <c r="N56" s="11" t="n"/>
    </row>
    <row r="57" ht="14.25" customHeight="1" s="40">
      <c r="A57" s="11" t="n"/>
      <c r="B57" s="11" t="n"/>
      <c r="C57" s="11" t="n"/>
      <c r="D57" s="11" t="n"/>
      <c r="E57" s="11" t="n"/>
      <c r="F57" s="11" t="n"/>
      <c r="G57" s="34" t="n"/>
      <c r="H57" s="11" t="n"/>
      <c r="I57" s="33">
        <f>IF(A57="","",DANH_MUC!$L$4&amp;"?ref="&amp;A57)</f>
        <v/>
      </c>
      <c r="J57" s="33">
        <f>IF(A57="","",IF(COUNTIF($A$2:$A$495,A57)&gt;1,"TRÙNG",""))</f>
        <v/>
      </c>
      <c r="K57" s="33">
        <f>IF(A57="","",COUNTIF(DATA_MASTER!$I$2:$I$5000,A57))</f>
        <v/>
      </c>
      <c r="L57" s="33">
        <f>IF(A57="","",COUNTIFS(DATA_MASTER!$I$2:$I$5000,A57,DATA_MASTER!$T$2:$T$5000,"Có"))</f>
        <v/>
      </c>
      <c r="M57" s="33">
        <f>IF(A57="","",COUNTIFS(ORDERS!$E$2:$E$4995,A57,ORDERS!$L$2:$L$4995,"Đã chuyển khoản"))</f>
        <v/>
      </c>
      <c r="N57" s="11" t="n"/>
    </row>
    <row r="58" ht="14.25" customHeight="1" s="40">
      <c r="A58" s="11" t="n"/>
      <c r="B58" s="11" t="n"/>
      <c r="C58" s="11" t="n"/>
      <c r="D58" s="11" t="n"/>
      <c r="E58" s="11" t="n"/>
      <c r="F58" s="11" t="n"/>
      <c r="G58" s="34" t="n"/>
      <c r="H58" s="11" t="n"/>
      <c r="I58" s="33">
        <f>IF(A58="","",DANH_MUC!$L$4&amp;"?ref="&amp;A58)</f>
        <v/>
      </c>
      <c r="J58" s="33">
        <f>IF(A58="","",IF(COUNTIF($A$2:$A$495,A58)&gt;1,"TRÙNG",""))</f>
        <v/>
      </c>
      <c r="K58" s="33">
        <f>IF(A58="","",COUNTIF(DATA_MASTER!$I$2:$I$5000,A58))</f>
        <v/>
      </c>
      <c r="L58" s="33">
        <f>IF(A58="","",COUNTIFS(DATA_MASTER!$I$2:$I$5000,A58,DATA_MASTER!$T$2:$T$5000,"Có"))</f>
        <v/>
      </c>
      <c r="M58" s="33">
        <f>IF(A58="","",COUNTIFS(ORDERS!$E$2:$E$4995,A58,ORDERS!$L$2:$L$4995,"Đã chuyển khoản"))</f>
        <v/>
      </c>
      <c r="N58" s="11" t="n"/>
    </row>
    <row r="59" ht="14.25" customHeight="1" s="40">
      <c r="A59" s="11" t="n"/>
      <c r="B59" s="11" t="n"/>
      <c r="C59" s="11" t="n"/>
      <c r="D59" s="11" t="n"/>
      <c r="E59" s="11" t="n"/>
      <c r="F59" s="11" t="n"/>
      <c r="G59" s="34" t="n"/>
      <c r="H59" s="11" t="n"/>
      <c r="I59" s="33">
        <f>IF(A59="","",DANH_MUC!$L$4&amp;"?ref="&amp;A59)</f>
        <v/>
      </c>
      <c r="J59" s="33">
        <f>IF(A59="","",IF(COUNTIF($A$2:$A$495,A59)&gt;1,"TRÙNG",""))</f>
        <v/>
      </c>
      <c r="K59" s="33">
        <f>IF(A59="","",COUNTIF(DATA_MASTER!$I$2:$I$5000,A59))</f>
        <v/>
      </c>
      <c r="L59" s="33">
        <f>IF(A59="","",COUNTIFS(DATA_MASTER!$I$2:$I$5000,A59,DATA_MASTER!$T$2:$T$5000,"Có"))</f>
        <v/>
      </c>
      <c r="M59" s="33">
        <f>IF(A59="","",COUNTIFS(ORDERS!$E$2:$E$4995,A59,ORDERS!$L$2:$L$4995,"Đã chuyển khoản"))</f>
        <v/>
      </c>
      <c r="N59" s="11" t="n"/>
    </row>
    <row r="60" ht="14.25" customHeight="1" s="40">
      <c r="A60" s="11" t="n"/>
      <c r="B60" s="11" t="n"/>
      <c r="C60" s="11" t="n"/>
      <c r="D60" s="11" t="n"/>
      <c r="E60" s="11" t="n"/>
      <c r="F60" s="11" t="n"/>
      <c r="G60" s="34" t="n"/>
      <c r="H60" s="11" t="n"/>
      <c r="I60" s="33">
        <f>IF(A60="","",DANH_MUC!$L$4&amp;"?ref="&amp;A60)</f>
        <v/>
      </c>
      <c r="J60" s="33">
        <f>IF(A60="","",IF(COUNTIF($A$2:$A$495,A60)&gt;1,"TRÙNG",""))</f>
        <v/>
      </c>
      <c r="K60" s="33">
        <f>IF(A60="","",COUNTIF(DATA_MASTER!$I$2:$I$5000,A60))</f>
        <v/>
      </c>
      <c r="L60" s="33">
        <f>IF(A60="","",COUNTIFS(DATA_MASTER!$I$2:$I$5000,A60,DATA_MASTER!$T$2:$T$5000,"Có"))</f>
        <v/>
      </c>
      <c r="M60" s="33">
        <f>IF(A60="","",COUNTIFS(ORDERS!$E$2:$E$4995,A60,ORDERS!$L$2:$L$4995,"Đã chuyển khoản"))</f>
        <v/>
      </c>
      <c r="N60" s="11" t="n"/>
    </row>
    <row r="61" ht="14.25" customHeight="1" s="40">
      <c r="A61" s="11" t="n"/>
      <c r="B61" s="11" t="n"/>
      <c r="C61" s="11" t="n"/>
      <c r="D61" s="11" t="n"/>
      <c r="E61" s="11" t="n"/>
      <c r="F61" s="11" t="n"/>
      <c r="G61" s="34" t="n"/>
      <c r="H61" s="11" t="n"/>
      <c r="I61" s="33">
        <f>IF(A61="","",DANH_MUC!$L$4&amp;"?ref="&amp;A61)</f>
        <v/>
      </c>
      <c r="J61" s="33">
        <f>IF(A61="","",IF(COUNTIF($A$2:$A$495,A61)&gt;1,"TRÙNG",""))</f>
        <v/>
      </c>
      <c r="K61" s="33">
        <f>IF(A61="","",COUNTIF(DATA_MASTER!$I$2:$I$5000,A61))</f>
        <v/>
      </c>
      <c r="L61" s="33">
        <f>IF(A61="","",COUNTIFS(DATA_MASTER!$I$2:$I$5000,A61,DATA_MASTER!$T$2:$T$5000,"Có"))</f>
        <v/>
      </c>
      <c r="M61" s="33">
        <f>IF(A61="","",COUNTIFS(ORDERS!$E$2:$E$4995,A61,ORDERS!$L$2:$L$4995,"Đã chuyển khoản"))</f>
        <v/>
      </c>
      <c r="N61" s="11" t="n"/>
    </row>
    <row r="62" ht="14.25" customHeight="1" s="40">
      <c r="A62" s="11" t="n"/>
      <c r="B62" s="11" t="n"/>
      <c r="C62" s="11" t="n"/>
      <c r="D62" s="11" t="n"/>
      <c r="E62" s="11" t="n"/>
      <c r="F62" s="11" t="n"/>
      <c r="G62" s="34" t="n"/>
      <c r="H62" s="11" t="n"/>
      <c r="I62" s="33">
        <f>IF(A62="","",DANH_MUC!$L$4&amp;"?ref="&amp;A62)</f>
        <v/>
      </c>
      <c r="J62" s="33">
        <f>IF(A62="","",IF(COUNTIF($A$2:$A$495,A62)&gt;1,"TRÙNG",""))</f>
        <v/>
      </c>
      <c r="K62" s="33">
        <f>IF(A62="","",COUNTIF(DATA_MASTER!$I$2:$I$5000,A62))</f>
        <v/>
      </c>
      <c r="L62" s="33">
        <f>IF(A62="","",COUNTIFS(DATA_MASTER!$I$2:$I$5000,A62,DATA_MASTER!$T$2:$T$5000,"Có"))</f>
        <v/>
      </c>
      <c r="M62" s="33">
        <f>IF(A62="","",COUNTIFS(ORDERS!$E$2:$E$4995,A62,ORDERS!$L$2:$L$4995,"Đã chuyển khoản"))</f>
        <v/>
      </c>
      <c r="N62" s="11" t="n"/>
    </row>
    <row r="63" ht="14.25" customHeight="1" s="40">
      <c r="A63" s="11" t="n"/>
      <c r="B63" s="11" t="n"/>
      <c r="C63" s="11" t="n"/>
      <c r="D63" s="11" t="n"/>
      <c r="E63" s="11" t="n"/>
      <c r="F63" s="11" t="n"/>
      <c r="G63" s="34" t="n"/>
      <c r="H63" s="11" t="n"/>
      <c r="I63" s="33">
        <f>IF(A63="","",DANH_MUC!$L$4&amp;"?ref="&amp;A63)</f>
        <v/>
      </c>
      <c r="J63" s="33">
        <f>IF(A63="","",IF(COUNTIF($A$2:$A$495,A63)&gt;1,"TRÙNG",""))</f>
        <v/>
      </c>
      <c r="K63" s="33">
        <f>IF(A63="","",COUNTIF(DATA_MASTER!$I$2:$I$5000,A63))</f>
        <v/>
      </c>
      <c r="L63" s="33">
        <f>IF(A63="","",COUNTIFS(DATA_MASTER!$I$2:$I$5000,A63,DATA_MASTER!$T$2:$T$5000,"Có"))</f>
        <v/>
      </c>
      <c r="M63" s="33">
        <f>IF(A63="","",COUNTIFS(ORDERS!$E$2:$E$4995,A63,ORDERS!$L$2:$L$4995,"Đã chuyển khoản"))</f>
        <v/>
      </c>
      <c r="N63" s="11" t="n"/>
    </row>
    <row r="64" ht="14.25" customHeight="1" s="40">
      <c r="A64" s="11" t="n"/>
      <c r="B64" s="11" t="n"/>
      <c r="C64" s="11" t="n"/>
      <c r="D64" s="11" t="n"/>
      <c r="E64" s="11" t="n"/>
      <c r="F64" s="11" t="n"/>
      <c r="G64" s="34" t="n"/>
      <c r="H64" s="11" t="n"/>
      <c r="I64" s="33">
        <f>IF(A64="","",DANH_MUC!$L$4&amp;"?ref="&amp;A64)</f>
        <v/>
      </c>
      <c r="J64" s="33">
        <f>IF(A64="","",IF(COUNTIF($A$2:$A$495,A64)&gt;1,"TRÙNG",""))</f>
        <v/>
      </c>
      <c r="K64" s="33">
        <f>IF(A64="","",COUNTIF(DATA_MASTER!$I$2:$I$5000,A64))</f>
        <v/>
      </c>
      <c r="L64" s="33">
        <f>IF(A64="","",COUNTIFS(DATA_MASTER!$I$2:$I$5000,A64,DATA_MASTER!$T$2:$T$5000,"Có"))</f>
        <v/>
      </c>
      <c r="M64" s="33">
        <f>IF(A64="","",COUNTIFS(ORDERS!$E$2:$E$4995,A64,ORDERS!$L$2:$L$4995,"Đã chuyển khoản"))</f>
        <v/>
      </c>
      <c r="N64" s="11" t="n"/>
    </row>
    <row r="65" ht="14.25" customHeight="1" s="40">
      <c r="A65" s="11" t="n"/>
      <c r="B65" s="11" t="n"/>
      <c r="C65" s="11" t="n"/>
      <c r="D65" s="11" t="n"/>
      <c r="E65" s="11" t="n"/>
      <c r="F65" s="11" t="n"/>
      <c r="G65" s="34" t="n"/>
      <c r="H65" s="11" t="n"/>
      <c r="I65" s="33">
        <f>IF(A65="","",DANH_MUC!$L$4&amp;"?ref="&amp;A65)</f>
        <v/>
      </c>
      <c r="J65" s="33">
        <f>IF(A65="","",IF(COUNTIF($A$2:$A$495,A65)&gt;1,"TRÙNG",""))</f>
        <v/>
      </c>
      <c r="K65" s="33">
        <f>IF(A65="","",COUNTIF(DATA_MASTER!$I$2:$I$5000,A65))</f>
        <v/>
      </c>
      <c r="L65" s="33">
        <f>IF(A65="","",COUNTIFS(DATA_MASTER!$I$2:$I$5000,A65,DATA_MASTER!$T$2:$T$5000,"Có"))</f>
        <v/>
      </c>
      <c r="M65" s="33">
        <f>IF(A65="","",COUNTIFS(ORDERS!$E$2:$E$4995,A65,ORDERS!$L$2:$L$4995,"Đã chuyển khoản"))</f>
        <v/>
      </c>
      <c r="N65" s="11" t="n"/>
    </row>
    <row r="66" ht="14.25" customHeight="1" s="40">
      <c r="A66" s="11" t="n"/>
      <c r="B66" s="11" t="n"/>
      <c r="C66" s="11" t="n"/>
      <c r="D66" s="11" t="n"/>
      <c r="E66" s="11" t="n"/>
      <c r="F66" s="11" t="n"/>
      <c r="G66" s="34" t="n"/>
      <c r="H66" s="11" t="n"/>
      <c r="I66" s="33">
        <f>IF(A66="","",DANH_MUC!$L$4&amp;"?ref="&amp;A66)</f>
        <v/>
      </c>
      <c r="J66" s="33">
        <f>IF(A66="","",IF(COUNTIF($A$2:$A$495,A66)&gt;1,"TRÙNG",""))</f>
        <v/>
      </c>
      <c r="K66" s="33">
        <f>IF(A66="","",COUNTIF(DATA_MASTER!$I$2:$I$5000,A66))</f>
        <v/>
      </c>
      <c r="L66" s="33">
        <f>IF(A66="","",COUNTIFS(DATA_MASTER!$I$2:$I$5000,A66,DATA_MASTER!$T$2:$T$5000,"Có"))</f>
        <v/>
      </c>
      <c r="M66" s="33">
        <f>IF(A66="","",COUNTIFS(ORDERS!$E$2:$E$4995,A66,ORDERS!$L$2:$L$4995,"Đã chuyển khoản"))</f>
        <v/>
      </c>
      <c r="N66" s="11" t="n"/>
    </row>
    <row r="67" ht="14.25" customHeight="1" s="40">
      <c r="A67" s="11" t="n"/>
      <c r="B67" s="11" t="n"/>
      <c r="C67" s="11" t="n"/>
      <c r="D67" s="11" t="n"/>
      <c r="E67" s="11" t="n"/>
      <c r="F67" s="11" t="n"/>
      <c r="G67" s="34" t="n"/>
      <c r="H67" s="11" t="n"/>
      <c r="I67" s="33">
        <f>IF(A67="","",DANH_MUC!$L$4&amp;"?ref="&amp;A67)</f>
        <v/>
      </c>
      <c r="J67" s="33">
        <f>IF(A67="","",IF(COUNTIF($A$2:$A$495,A67)&gt;1,"TRÙNG",""))</f>
        <v/>
      </c>
      <c r="K67" s="33">
        <f>IF(A67="","",COUNTIF(DATA_MASTER!$I$2:$I$5000,A67))</f>
        <v/>
      </c>
      <c r="L67" s="33">
        <f>IF(A67="","",COUNTIFS(DATA_MASTER!$I$2:$I$5000,A67,DATA_MASTER!$T$2:$T$5000,"Có"))</f>
        <v/>
      </c>
      <c r="M67" s="33">
        <f>IF(A67="","",COUNTIFS(ORDERS!$E$2:$E$4995,A67,ORDERS!$L$2:$L$4995,"Đã chuyển khoản"))</f>
        <v/>
      </c>
      <c r="N67" s="11" t="n"/>
    </row>
    <row r="68" ht="14.25" customHeight="1" s="40">
      <c r="A68" s="11" t="n"/>
      <c r="B68" s="11" t="n"/>
      <c r="C68" s="11" t="n"/>
      <c r="D68" s="11" t="n"/>
      <c r="E68" s="11" t="n"/>
      <c r="F68" s="11" t="n"/>
      <c r="G68" s="34" t="n"/>
      <c r="H68" s="11" t="n"/>
      <c r="I68" s="33">
        <f>IF(A68="","",DANH_MUC!$L$4&amp;"?ref="&amp;A68)</f>
        <v/>
      </c>
      <c r="J68" s="33">
        <f>IF(A68="","",IF(COUNTIF($A$2:$A$495,A68)&gt;1,"TRÙNG",""))</f>
        <v/>
      </c>
      <c r="K68" s="33">
        <f>IF(A68="","",COUNTIF(DATA_MASTER!$I$2:$I$5000,A68))</f>
        <v/>
      </c>
      <c r="L68" s="33">
        <f>IF(A68="","",COUNTIFS(DATA_MASTER!$I$2:$I$5000,A68,DATA_MASTER!$T$2:$T$5000,"Có"))</f>
        <v/>
      </c>
      <c r="M68" s="33">
        <f>IF(A68="","",COUNTIFS(ORDERS!$E$2:$E$4995,A68,ORDERS!$L$2:$L$4995,"Đã chuyển khoản"))</f>
        <v/>
      </c>
      <c r="N68" s="11" t="n"/>
    </row>
    <row r="69" ht="14.25" customHeight="1" s="40">
      <c r="A69" s="11" t="n"/>
      <c r="B69" s="11" t="n"/>
      <c r="C69" s="11" t="n"/>
      <c r="D69" s="11" t="n"/>
      <c r="E69" s="11" t="n"/>
      <c r="F69" s="11" t="n"/>
      <c r="G69" s="34" t="n"/>
      <c r="H69" s="11" t="n"/>
      <c r="I69" s="33">
        <f>IF(A69="","",DANH_MUC!$L$4&amp;"?ref="&amp;A69)</f>
        <v/>
      </c>
      <c r="J69" s="33">
        <f>IF(A69="","",IF(COUNTIF($A$2:$A$495,A69)&gt;1,"TRÙNG",""))</f>
        <v/>
      </c>
      <c r="K69" s="33">
        <f>IF(A69="","",COUNTIF(DATA_MASTER!$I$2:$I$5000,A69))</f>
        <v/>
      </c>
      <c r="L69" s="33">
        <f>IF(A69="","",COUNTIFS(DATA_MASTER!$I$2:$I$5000,A69,DATA_MASTER!$T$2:$T$5000,"Có"))</f>
        <v/>
      </c>
      <c r="M69" s="33">
        <f>IF(A69="","",COUNTIFS(ORDERS!$E$2:$E$4995,A69,ORDERS!$L$2:$L$4995,"Đã chuyển khoản"))</f>
        <v/>
      </c>
      <c r="N69" s="11" t="n"/>
    </row>
    <row r="70" ht="14.25" customHeight="1" s="40">
      <c r="A70" s="11" t="n"/>
      <c r="B70" s="11" t="n"/>
      <c r="C70" s="11" t="n"/>
      <c r="D70" s="11" t="n"/>
      <c r="E70" s="11" t="n"/>
      <c r="F70" s="11" t="n"/>
      <c r="G70" s="34" t="n"/>
      <c r="H70" s="11" t="n"/>
      <c r="I70" s="33">
        <f>IF(A70="","",DANH_MUC!$L$4&amp;"?ref="&amp;A70)</f>
        <v/>
      </c>
      <c r="J70" s="33">
        <f>IF(A70="","",IF(COUNTIF($A$2:$A$495,A70)&gt;1,"TRÙNG",""))</f>
        <v/>
      </c>
      <c r="K70" s="33">
        <f>IF(A70="","",COUNTIF(DATA_MASTER!$I$2:$I$5000,A70))</f>
        <v/>
      </c>
      <c r="L70" s="33">
        <f>IF(A70="","",COUNTIFS(DATA_MASTER!$I$2:$I$5000,A70,DATA_MASTER!$T$2:$T$5000,"Có"))</f>
        <v/>
      </c>
      <c r="M70" s="33">
        <f>IF(A70="","",COUNTIFS(ORDERS!$E$2:$E$4995,A70,ORDERS!$L$2:$L$4995,"Đã chuyển khoản"))</f>
        <v/>
      </c>
      <c r="N70" s="11" t="n"/>
    </row>
    <row r="71" ht="14.25" customHeight="1" s="40">
      <c r="A71" s="11" t="n"/>
      <c r="B71" s="11" t="n"/>
      <c r="C71" s="11" t="n"/>
      <c r="D71" s="11" t="n"/>
      <c r="E71" s="11" t="n"/>
      <c r="F71" s="11" t="n"/>
      <c r="G71" s="34" t="n"/>
      <c r="H71" s="11" t="n"/>
      <c r="I71" s="33">
        <f>IF(A71="","",DANH_MUC!$L$4&amp;"?ref="&amp;A71)</f>
        <v/>
      </c>
      <c r="J71" s="33">
        <f>IF(A71="","",IF(COUNTIF($A$2:$A$495,A71)&gt;1,"TRÙNG",""))</f>
        <v/>
      </c>
      <c r="K71" s="33">
        <f>IF(A71="","",COUNTIF(DATA_MASTER!$I$2:$I$5000,A71))</f>
        <v/>
      </c>
      <c r="L71" s="33">
        <f>IF(A71="","",COUNTIFS(DATA_MASTER!$I$2:$I$5000,A71,DATA_MASTER!$T$2:$T$5000,"Có"))</f>
        <v/>
      </c>
      <c r="M71" s="33">
        <f>IF(A71="","",COUNTIFS(ORDERS!$E$2:$E$4995,A71,ORDERS!$L$2:$L$4995,"Đã chuyển khoản"))</f>
        <v/>
      </c>
      <c r="N71" s="11" t="n"/>
    </row>
    <row r="72" ht="14.25" customHeight="1" s="40">
      <c r="A72" s="11" t="n"/>
      <c r="B72" s="11" t="n"/>
      <c r="C72" s="11" t="n"/>
      <c r="D72" s="11" t="n"/>
      <c r="E72" s="11" t="n"/>
      <c r="F72" s="11" t="n"/>
      <c r="G72" s="34" t="n"/>
      <c r="H72" s="11" t="n"/>
      <c r="I72" s="33">
        <f>IF(A72="","",DANH_MUC!$L$4&amp;"?ref="&amp;A72)</f>
        <v/>
      </c>
      <c r="J72" s="33">
        <f>IF(A72="","",IF(COUNTIF($A$2:$A$495,A72)&gt;1,"TRÙNG",""))</f>
        <v/>
      </c>
      <c r="K72" s="33">
        <f>IF(A72="","",COUNTIF(DATA_MASTER!$I$2:$I$5000,A72))</f>
        <v/>
      </c>
      <c r="L72" s="33">
        <f>IF(A72="","",COUNTIFS(DATA_MASTER!$I$2:$I$5000,A72,DATA_MASTER!$T$2:$T$5000,"Có"))</f>
        <v/>
      </c>
      <c r="M72" s="33">
        <f>IF(A72="","",COUNTIFS(ORDERS!$E$2:$E$4995,A72,ORDERS!$L$2:$L$4995,"Đã chuyển khoản"))</f>
        <v/>
      </c>
      <c r="N72" s="11" t="n"/>
    </row>
    <row r="73" ht="14.25" customHeight="1" s="40">
      <c r="A73" s="11" t="n"/>
      <c r="B73" s="11" t="n"/>
      <c r="C73" s="11" t="n"/>
      <c r="D73" s="11" t="n"/>
      <c r="E73" s="11" t="n"/>
      <c r="F73" s="11" t="n"/>
      <c r="G73" s="34" t="n"/>
      <c r="H73" s="11" t="n"/>
      <c r="I73" s="33">
        <f>IF(A73="","",DANH_MUC!$L$4&amp;"?ref="&amp;A73)</f>
        <v/>
      </c>
      <c r="J73" s="33">
        <f>IF(A73="","",IF(COUNTIF($A$2:$A$495,A73)&gt;1,"TRÙNG",""))</f>
        <v/>
      </c>
      <c r="K73" s="33">
        <f>IF(A73="","",COUNTIF(DATA_MASTER!$I$2:$I$5000,A73))</f>
        <v/>
      </c>
      <c r="L73" s="33">
        <f>IF(A73="","",COUNTIFS(DATA_MASTER!$I$2:$I$5000,A73,DATA_MASTER!$T$2:$T$5000,"Có"))</f>
        <v/>
      </c>
      <c r="M73" s="33">
        <f>IF(A73="","",COUNTIFS(ORDERS!$E$2:$E$4995,A73,ORDERS!$L$2:$L$4995,"Đã chuyển khoản"))</f>
        <v/>
      </c>
      <c r="N73" s="11" t="n"/>
    </row>
    <row r="74" ht="14.25" customHeight="1" s="40">
      <c r="A74" s="11" t="n"/>
      <c r="B74" s="11" t="n"/>
      <c r="C74" s="11" t="n"/>
      <c r="D74" s="11" t="n"/>
      <c r="E74" s="11" t="n"/>
      <c r="F74" s="11" t="n"/>
      <c r="G74" s="34" t="n"/>
      <c r="H74" s="11" t="n"/>
      <c r="I74" s="33">
        <f>IF(A74="","",DANH_MUC!$L$4&amp;"?ref="&amp;A74)</f>
        <v/>
      </c>
      <c r="J74" s="33">
        <f>IF(A74="","",IF(COUNTIF($A$2:$A$495,A74)&gt;1,"TRÙNG",""))</f>
        <v/>
      </c>
      <c r="K74" s="33">
        <f>IF(A74="","",COUNTIF(DATA_MASTER!$I$2:$I$5000,A74))</f>
        <v/>
      </c>
      <c r="L74" s="33">
        <f>IF(A74="","",COUNTIFS(DATA_MASTER!$I$2:$I$5000,A74,DATA_MASTER!$T$2:$T$5000,"Có"))</f>
        <v/>
      </c>
      <c r="M74" s="33">
        <f>IF(A74="","",COUNTIFS(ORDERS!$E$2:$E$4995,A74,ORDERS!$L$2:$L$4995,"Đã chuyển khoản"))</f>
        <v/>
      </c>
      <c r="N74" s="11" t="n"/>
    </row>
    <row r="75" ht="14.25" customHeight="1" s="40">
      <c r="A75" s="11" t="n"/>
      <c r="B75" s="11" t="n"/>
      <c r="C75" s="11" t="n"/>
      <c r="D75" s="11" t="n"/>
      <c r="E75" s="11" t="n"/>
      <c r="F75" s="11" t="n"/>
      <c r="G75" s="34" t="n"/>
      <c r="H75" s="11" t="n"/>
      <c r="I75" s="33">
        <f>IF(A75="","",DANH_MUC!$L$4&amp;"?ref="&amp;A75)</f>
        <v/>
      </c>
      <c r="J75" s="33">
        <f>IF(A75="","",IF(COUNTIF($A$2:$A$495,A75)&gt;1,"TRÙNG",""))</f>
        <v/>
      </c>
      <c r="K75" s="33">
        <f>IF(A75="","",COUNTIF(DATA_MASTER!$I$2:$I$5000,A75))</f>
        <v/>
      </c>
      <c r="L75" s="33">
        <f>IF(A75="","",COUNTIFS(DATA_MASTER!$I$2:$I$5000,A75,DATA_MASTER!$T$2:$T$5000,"Có"))</f>
        <v/>
      </c>
      <c r="M75" s="33">
        <f>IF(A75="","",COUNTIFS(ORDERS!$E$2:$E$4995,A75,ORDERS!$L$2:$L$4995,"Đã chuyển khoản"))</f>
        <v/>
      </c>
      <c r="N75" s="11" t="n"/>
    </row>
    <row r="76" ht="14.25" customHeight="1" s="40">
      <c r="A76" s="11" t="n"/>
      <c r="B76" s="11" t="n"/>
      <c r="C76" s="11" t="n"/>
      <c r="D76" s="11" t="n"/>
      <c r="E76" s="11" t="n"/>
      <c r="F76" s="11" t="n"/>
      <c r="G76" s="34" t="n"/>
      <c r="H76" s="11" t="n"/>
      <c r="I76" s="33">
        <f>IF(A76="","",DANH_MUC!$L$4&amp;"?ref="&amp;A76)</f>
        <v/>
      </c>
      <c r="J76" s="33">
        <f>IF(A76="","",IF(COUNTIF($A$2:$A$495,A76)&gt;1,"TRÙNG",""))</f>
        <v/>
      </c>
      <c r="K76" s="33">
        <f>IF(A76="","",COUNTIF(DATA_MASTER!$I$2:$I$5000,A76))</f>
        <v/>
      </c>
      <c r="L76" s="33">
        <f>IF(A76="","",COUNTIFS(DATA_MASTER!$I$2:$I$5000,A76,DATA_MASTER!$T$2:$T$5000,"Có"))</f>
        <v/>
      </c>
      <c r="M76" s="33">
        <f>IF(A76="","",COUNTIFS(ORDERS!$E$2:$E$4995,A76,ORDERS!$L$2:$L$4995,"Đã chuyển khoản"))</f>
        <v/>
      </c>
      <c r="N76" s="11" t="n"/>
    </row>
    <row r="77" ht="14.25" customHeight="1" s="40">
      <c r="A77" s="11" t="n"/>
      <c r="B77" s="11" t="n"/>
      <c r="C77" s="11" t="n"/>
      <c r="D77" s="11" t="n"/>
      <c r="E77" s="11" t="n"/>
      <c r="F77" s="11" t="n"/>
      <c r="G77" s="34" t="n"/>
      <c r="H77" s="11" t="n"/>
      <c r="I77" s="33">
        <f>IF(A77="","",DANH_MUC!$L$4&amp;"?ref="&amp;A77)</f>
        <v/>
      </c>
      <c r="J77" s="33">
        <f>IF(A77="","",IF(COUNTIF($A$2:$A$495,A77)&gt;1,"TRÙNG",""))</f>
        <v/>
      </c>
      <c r="K77" s="33">
        <f>IF(A77="","",COUNTIF(DATA_MASTER!$I$2:$I$5000,A77))</f>
        <v/>
      </c>
      <c r="L77" s="33">
        <f>IF(A77="","",COUNTIFS(DATA_MASTER!$I$2:$I$5000,A77,DATA_MASTER!$T$2:$T$5000,"Có"))</f>
        <v/>
      </c>
      <c r="M77" s="33">
        <f>IF(A77="","",COUNTIFS(ORDERS!$E$2:$E$4995,A77,ORDERS!$L$2:$L$4995,"Đã chuyển khoản"))</f>
        <v/>
      </c>
      <c r="N77" s="11" t="n"/>
    </row>
    <row r="78" ht="14.25" customHeight="1" s="40">
      <c r="A78" s="11" t="n"/>
      <c r="B78" s="11" t="n"/>
      <c r="C78" s="11" t="n"/>
      <c r="D78" s="11" t="n"/>
      <c r="E78" s="11" t="n"/>
      <c r="F78" s="11" t="n"/>
      <c r="G78" s="34" t="n"/>
      <c r="H78" s="11" t="n"/>
      <c r="I78" s="33">
        <f>IF(A78="","",DANH_MUC!$L$4&amp;"?ref="&amp;A78)</f>
        <v/>
      </c>
      <c r="J78" s="33">
        <f>IF(A78="","",IF(COUNTIF($A$2:$A$495,A78)&gt;1,"TRÙNG",""))</f>
        <v/>
      </c>
      <c r="K78" s="33">
        <f>IF(A78="","",COUNTIF(DATA_MASTER!$I$2:$I$5000,A78))</f>
        <v/>
      </c>
      <c r="L78" s="33">
        <f>IF(A78="","",COUNTIFS(DATA_MASTER!$I$2:$I$5000,A78,DATA_MASTER!$T$2:$T$5000,"Có"))</f>
        <v/>
      </c>
      <c r="M78" s="33">
        <f>IF(A78="","",COUNTIFS(ORDERS!$E$2:$E$4995,A78,ORDERS!$L$2:$L$4995,"Đã chuyển khoản"))</f>
        <v/>
      </c>
      <c r="N78" s="11" t="n"/>
    </row>
    <row r="79" ht="14.25" customHeight="1" s="40">
      <c r="A79" s="11" t="n"/>
      <c r="B79" s="11" t="n"/>
      <c r="C79" s="11" t="n"/>
      <c r="D79" s="11" t="n"/>
      <c r="E79" s="11" t="n"/>
      <c r="F79" s="11" t="n"/>
      <c r="G79" s="34" t="n"/>
      <c r="H79" s="11" t="n"/>
      <c r="I79" s="33">
        <f>IF(A79="","",DANH_MUC!$L$4&amp;"?ref="&amp;A79)</f>
        <v/>
      </c>
      <c r="J79" s="33">
        <f>IF(A79="","",IF(COUNTIF($A$2:$A$495,A79)&gt;1,"TRÙNG",""))</f>
        <v/>
      </c>
      <c r="K79" s="33">
        <f>IF(A79="","",COUNTIF(DATA_MASTER!$I$2:$I$5000,A79))</f>
        <v/>
      </c>
      <c r="L79" s="33">
        <f>IF(A79="","",COUNTIFS(DATA_MASTER!$I$2:$I$5000,A79,DATA_MASTER!$T$2:$T$5000,"Có"))</f>
        <v/>
      </c>
      <c r="M79" s="33">
        <f>IF(A79="","",COUNTIFS(ORDERS!$E$2:$E$4995,A79,ORDERS!$L$2:$L$4995,"Đã chuyển khoản"))</f>
        <v/>
      </c>
      <c r="N79" s="11" t="n"/>
    </row>
    <row r="80" ht="14.25" customHeight="1" s="40">
      <c r="A80" s="11" t="n"/>
      <c r="B80" s="11" t="n"/>
      <c r="C80" s="11" t="n"/>
      <c r="D80" s="11" t="n"/>
      <c r="E80" s="11" t="n"/>
      <c r="F80" s="11" t="n"/>
      <c r="G80" s="34" t="n"/>
      <c r="H80" s="11" t="n"/>
      <c r="I80" s="33">
        <f>IF(A80="","",DANH_MUC!$L$4&amp;"?ref="&amp;A80)</f>
        <v/>
      </c>
      <c r="J80" s="33">
        <f>IF(A80="","",IF(COUNTIF($A$2:$A$495,A80)&gt;1,"TRÙNG",""))</f>
        <v/>
      </c>
      <c r="K80" s="33">
        <f>IF(A80="","",COUNTIF(DATA_MASTER!$I$2:$I$5000,A80))</f>
        <v/>
      </c>
      <c r="L80" s="33">
        <f>IF(A80="","",COUNTIFS(DATA_MASTER!$I$2:$I$5000,A80,DATA_MASTER!$T$2:$T$5000,"Có"))</f>
        <v/>
      </c>
      <c r="M80" s="33">
        <f>IF(A80="","",COUNTIFS(ORDERS!$E$2:$E$4995,A80,ORDERS!$L$2:$L$4995,"Đã chuyển khoản"))</f>
        <v/>
      </c>
      <c r="N80" s="11" t="n"/>
    </row>
    <row r="81" ht="14.25" customHeight="1" s="40">
      <c r="A81" s="11" t="n"/>
      <c r="B81" s="11" t="n"/>
      <c r="C81" s="11" t="n"/>
      <c r="D81" s="11" t="n"/>
      <c r="E81" s="11" t="n"/>
      <c r="F81" s="11" t="n"/>
      <c r="G81" s="34" t="n"/>
      <c r="H81" s="11" t="n"/>
      <c r="I81" s="33">
        <f>IF(A81="","",DANH_MUC!$L$4&amp;"?ref="&amp;A81)</f>
        <v/>
      </c>
      <c r="J81" s="33">
        <f>IF(A81="","",IF(COUNTIF($A$2:$A$495,A81)&gt;1,"TRÙNG",""))</f>
        <v/>
      </c>
      <c r="K81" s="33">
        <f>IF(A81="","",COUNTIF(DATA_MASTER!$I$2:$I$5000,A81))</f>
        <v/>
      </c>
      <c r="L81" s="33">
        <f>IF(A81="","",COUNTIFS(DATA_MASTER!$I$2:$I$5000,A81,DATA_MASTER!$T$2:$T$5000,"Có"))</f>
        <v/>
      </c>
      <c r="M81" s="33">
        <f>IF(A81="","",COUNTIFS(ORDERS!$E$2:$E$4995,A81,ORDERS!$L$2:$L$4995,"Đã chuyển khoản"))</f>
        <v/>
      </c>
      <c r="N81" s="11" t="n"/>
    </row>
    <row r="82" ht="14.25" customHeight="1" s="40">
      <c r="A82" s="11" t="n"/>
      <c r="B82" s="11" t="n"/>
      <c r="C82" s="11" t="n"/>
      <c r="D82" s="11" t="n"/>
      <c r="E82" s="11" t="n"/>
      <c r="F82" s="11" t="n"/>
      <c r="G82" s="34" t="n"/>
      <c r="H82" s="11" t="n"/>
      <c r="I82" s="33">
        <f>IF(A82="","",DANH_MUC!$L$4&amp;"?ref="&amp;A82)</f>
        <v/>
      </c>
      <c r="J82" s="33">
        <f>IF(A82="","",IF(COUNTIF($A$2:$A$495,A82)&gt;1,"TRÙNG",""))</f>
        <v/>
      </c>
      <c r="K82" s="33">
        <f>IF(A82="","",COUNTIF(DATA_MASTER!$I$2:$I$5000,A82))</f>
        <v/>
      </c>
      <c r="L82" s="33">
        <f>IF(A82="","",COUNTIFS(DATA_MASTER!$I$2:$I$5000,A82,DATA_MASTER!$T$2:$T$5000,"Có"))</f>
        <v/>
      </c>
      <c r="M82" s="33">
        <f>IF(A82="","",COUNTIFS(ORDERS!$E$2:$E$4995,A82,ORDERS!$L$2:$L$4995,"Đã chuyển khoản"))</f>
        <v/>
      </c>
      <c r="N82" s="11" t="n"/>
    </row>
    <row r="83" ht="14.25" customHeight="1" s="40">
      <c r="A83" s="11" t="n"/>
      <c r="B83" s="11" t="n"/>
      <c r="C83" s="11" t="n"/>
      <c r="D83" s="11" t="n"/>
      <c r="E83" s="11" t="n"/>
      <c r="F83" s="11" t="n"/>
      <c r="G83" s="34" t="n"/>
      <c r="H83" s="11" t="n"/>
      <c r="I83" s="33">
        <f>IF(A83="","",DANH_MUC!$L$4&amp;"?ref="&amp;A83)</f>
        <v/>
      </c>
      <c r="J83" s="33">
        <f>IF(A83="","",IF(COUNTIF($A$2:$A$495,A83)&gt;1,"TRÙNG",""))</f>
        <v/>
      </c>
      <c r="K83" s="33">
        <f>IF(A83="","",COUNTIF(DATA_MASTER!$I$2:$I$5000,A83))</f>
        <v/>
      </c>
      <c r="L83" s="33">
        <f>IF(A83="","",COUNTIFS(DATA_MASTER!$I$2:$I$5000,A83,DATA_MASTER!$T$2:$T$5000,"Có"))</f>
        <v/>
      </c>
      <c r="M83" s="33">
        <f>IF(A83="","",COUNTIFS(ORDERS!$E$2:$E$4995,A83,ORDERS!$L$2:$L$4995,"Đã chuyển khoản"))</f>
        <v/>
      </c>
      <c r="N83" s="11" t="n"/>
    </row>
    <row r="84" ht="14.25" customHeight="1" s="40">
      <c r="A84" s="11" t="n"/>
      <c r="B84" s="11" t="n"/>
      <c r="C84" s="11" t="n"/>
      <c r="D84" s="11" t="n"/>
      <c r="E84" s="11" t="n"/>
      <c r="F84" s="11" t="n"/>
      <c r="G84" s="34" t="n"/>
      <c r="H84" s="11" t="n"/>
      <c r="I84" s="33">
        <f>IF(A84="","",DANH_MUC!$L$4&amp;"?ref="&amp;A84)</f>
        <v/>
      </c>
      <c r="J84" s="33">
        <f>IF(A84="","",IF(COUNTIF($A$2:$A$495,A84)&gt;1,"TRÙNG",""))</f>
        <v/>
      </c>
      <c r="K84" s="33">
        <f>IF(A84="","",COUNTIF(DATA_MASTER!$I$2:$I$5000,A84))</f>
        <v/>
      </c>
      <c r="L84" s="33">
        <f>IF(A84="","",COUNTIFS(DATA_MASTER!$I$2:$I$5000,A84,DATA_MASTER!$T$2:$T$5000,"Có"))</f>
        <v/>
      </c>
      <c r="M84" s="33">
        <f>IF(A84="","",COUNTIFS(ORDERS!$E$2:$E$4995,A84,ORDERS!$L$2:$L$4995,"Đã chuyển khoản"))</f>
        <v/>
      </c>
      <c r="N84" s="11" t="n"/>
    </row>
    <row r="85" ht="14.25" customHeight="1" s="40">
      <c r="A85" s="11" t="n"/>
      <c r="B85" s="11" t="n"/>
      <c r="C85" s="11" t="n"/>
      <c r="D85" s="11" t="n"/>
      <c r="E85" s="11" t="n"/>
      <c r="F85" s="11" t="n"/>
      <c r="G85" s="34" t="n"/>
      <c r="H85" s="11" t="n"/>
      <c r="I85" s="33">
        <f>IF(A85="","",DANH_MUC!$L$4&amp;"?ref="&amp;A85)</f>
        <v/>
      </c>
      <c r="J85" s="33">
        <f>IF(A85="","",IF(COUNTIF($A$2:$A$495,A85)&gt;1,"TRÙNG",""))</f>
        <v/>
      </c>
      <c r="K85" s="33">
        <f>IF(A85="","",COUNTIF(DATA_MASTER!$I$2:$I$5000,A85))</f>
        <v/>
      </c>
      <c r="L85" s="33">
        <f>IF(A85="","",COUNTIFS(DATA_MASTER!$I$2:$I$5000,A85,DATA_MASTER!$T$2:$T$5000,"Có"))</f>
        <v/>
      </c>
      <c r="M85" s="33">
        <f>IF(A85="","",COUNTIFS(ORDERS!$E$2:$E$4995,A85,ORDERS!$L$2:$L$4995,"Đã chuyển khoản"))</f>
        <v/>
      </c>
      <c r="N85" s="11" t="n"/>
    </row>
    <row r="86" ht="14.25" customHeight="1" s="40">
      <c r="A86" s="11" t="n"/>
      <c r="B86" s="11" t="n"/>
      <c r="C86" s="11" t="n"/>
      <c r="D86" s="11" t="n"/>
      <c r="E86" s="11" t="n"/>
      <c r="F86" s="11" t="n"/>
      <c r="G86" s="34" t="n"/>
      <c r="H86" s="11" t="n"/>
      <c r="I86" s="33">
        <f>IF(A86="","",DANH_MUC!$L$4&amp;"?ref="&amp;A86)</f>
        <v/>
      </c>
      <c r="J86" s="33">
        <f>IF(A86="","",IF(COUNTIF($A$2:$A$495,A86)&gt;1,"TRÙNG",""))</f>
        <v/>
      </c>
      <c r="K86" s="33">
        <f>IF(A86="","",COUNTIF(DATA_MASTER!$I$2:$I$5000,A86))</f>
        <v/>
      </c>
      <c r="L86" s="33">
        <f>IF(A86="","",COUNTIFS(DATA_MASTER!$I$2:$I$5000,A86,DATA_MASTER!$T$2:$T$5000,"Có"))</f>
        <v/>
      </c>
      <c r="M86" s="33">
        <f>IF(A86="","",COUNTIFS(ORDERS!$E$2:$E$4995,A86,ORDERS!$L$2:$L$4995,"Đã chuyển khoản"))</f>
        <v/>
      </c>
      <c r="N86" s="11" t="n"/>
    </row>
    <row r="87" ht="14.25" customHeight="1" s="40">
      <c r="A87" s="11" t="n"/>
      <c r="B87" s="11" t="n"/>
      <c r="C87" s="11" t="n"/>
      <c r="D87" s="11" t="n"/>
      <c r="E87" s="11" t="n"/>
      <c r="F87" s="11" t="n"/>
      <c r="G87" s="34" t="n"/>
      <c r="H87" s="11" t="n"/>
      <c r="I87" s="33">
        <f>IF(A87="","",DANH_MUC!$L$4&amp;"?ref="&amp;A87)</f>
        <v/>
      </c>
      <c r="J87" s="33">
        <f>IF(A87="","",IF(COUNTIF($A$2:$A$495,A87)&gt;1,"TRÙNG",""))</f>
        <v/>
      </c>
      <c r="K87" s="33">
        <f>IF(A87="","",COUNTIF(DATA_MASTER!$I$2:$I$5000,A87))</f>
        <v/>
      </c>
      <c r="L87" s="33">
        <f>IF(A87="","",COUNTIFS(DATA_MASTER!$I$2:$I$5000,A87,DATA_MASTER!$T$2:$T$5000,"Có"))</f>
        <v/>
      </c>
      <c r="M87" s="33">
        <f>IF(A87="","",COUNTIFS(ORDERS!$E$2:$E$4995,A87,ORDERS!$L$2:$L$4995,"Đã chuyển khoản"))</f>
        <v/>
      </c>
      <c r="N87" s="11" t="n"/>
    </row>
    <row r="88" ht="14.25" customHeight="1" s="40">
      <c r="A88" s="11" t="n"/>
      <c r="B88" s="11" t="n"/>
      <c r="C88" s="11" t="n"/>
      <c r="D88" s="11" t="n"/>
      <c r="E88" s="11" t="n"/>
      <c r="F88" s="11" t="n"/>
      <c r="G88" s="34" t="n"/>
      <c r="H88" s="11" t="n"/>
      <c r="I88" s="33">
        <f>IF(A88="","",DANH_MUC!$L$4&amp;"?ref="&amp;A88)</f>
        <v/>
      </c>
      <c r="J88" s="33">
        <f>IF(A88="","",IF(COUNTIF($A$2:$A$495,A88)&gt;1,"TRÙNG",""))</f>
        <v/>
      </c>
      <c r="K88" s="33">
        <f>IF(A88="","",COUNTIF(DATA_MASTER!$I$2:$I$5000,A88))</f>
        <v/>
      </c>
      <c r="L88" s="33">
        <f>IF(A88="","",COUNTIFS(DATA_MASTER!$I$2:$I$5000,A88,DATA_MASTER!$T$2:$T$5000,"Có"))</f>
        <v/>
      </c>
      <c r="M88" s="33">
        <f>IF(A88="","",COUNTIFS(ORDERS!$E$2:$E$4995,A88,ORDERS!$L$2:$L$4995,"Đã chuyển khoản"))</f>
        <v/>
      </c>
      <c r="N88" s="11" t="n"/>
    </row>
    <row r="89" ht="14.25" customHeight="1" s="40">
      <c r="A89" s="11" t="n"/>
      <c r="B89" s="11" t="n"/>
      <c r="C89" s="11" t="n"/>
      <c r="D89" s="11" t="n"/>
      <c r="E89" s="11" t="n"/>
      <c r="F89" s="11" t="n"/>
      <c r="G89" s="34" t="n"/>
      <c r="H89" s="11" t="n"/>
      <c r="I89" s="33">
        <f>IF(A89="","",DANH_MUC!$L$4&amp;"?ref="&amp;A89)</f>
        <v/>
      </c>
      <c r="J89" s="33">
        <f>IF(A89="","",IF(COUNTIF($A$2:$A$495,A89)&gt;1,"TRÙNG",""))</f>
        <v/>
      </c>
      <c r="K89" s="33">
        <f>IF(A89="","",COUNTIF(DATA_MASTER!$I$2:$I$5000,A89))</f>
        <v/>
      </c>
      <c r="L89" s="33">
        <f>IF(A89="","",COUNTIFS(DATA_MASTER!$I$2:$I$5000,A89,DATA_MASTER!$T$2:$T$5000,"Có"))</f>
        <v/>
      </c>
      <c r="M89" s="33">
        <f>IF(A89="","",COUNTIFS(ORDERS!$E$2:$E$4995,A89,ORDERS!$L$2:$L$4995,"Đã chuyển khoản"))</f>
        <v/>
      </c>
      <c r="N89" s="11" t="n"/>
    </row>
    <row r="90" ht="14.25" customHeight="1" s="40">
      <c r="A90" s="11" t="n"/>
      <c r="B90" s="11" t="n"/>
      <c r="C90" s="11" t="n"/>
      <c r="D90" s="11" t="n"/>
      <c r="E90" s="11" t="n"/>
      <c r="F90" s="11" t="n"/>
      <c r="G90" s="34" t="n"/>
      <c r="H90" s="11" t="n"/>
      <c r="I90" s="33">
        <f>IF(A90="","",DANH_MUC!$L$4&amp;"?ref="&amp;A90)</f>
        <v/>
      </c>
      <c r="J90" s="33">
        <f>IF(A90="","",IF(COUNTIF($A$2:$A$495,A90)&gt;1,"TRÙNG",""))</f>
        <v/>
      </c>
      <c r="K90" s="33">
        <f>IF(A90="","",COUNTIF(DATA_MASTER!$I$2:$I$5000,A90))</f>
        <v/>
      </c>
      <c r="L90" s="33">
        <f>IF(A90="","",COUNTIFS(DATA_MASTER!$I$2:$I$5000,A90,DATA_MASTER!$T$2:$T$5000,"Có"))</f>
        <v/>
      </c>
      <c r="M90" s="33">
        <f>IF(A90="","",COUNTIFS(ORDERS!$E$2:$E$4995,A90,ORDERS!$L$2:$L$4995,"Đã chuyển khoản"))</f>
        <v/>
      </c>
      <c r="N90" s="11" t="n"/>
    </row>
    <row r="91" ht="14.25" customHeight="1" s="40">
      <c r="A91" s="11" t="n"/>
      <c r="B91" s="11" t="n"/>
      <c r="C91" s="11" t="n"/>
      <c r="D91" s="11" t="n"/>
      <c r="E91" s="11" t="n"/>
      <c r="F91" s="11" t="n"/>
      <c r="G91" s="34" t="n"/>
      <c r="H91" s="11" t="n"/>
      <c r="I91" s="33">
        <f>IF(A91="","",DANH_MUC!$L$4&amp;"?ref="&amp;A91)</f>
        <v/>
      </c>
      <c r="J91" s="33">
        <f>IF(A91="","",IF(COUNTIF($A$2:$A$495,A91)&gt;1,"TRÙNG",""))</f>
        <v/>
      </c>
      <c r="K91" s="33">
        <f>IF(A91="","",COUNTIF(DATA_MASTER!$I$2:$I$5000,A91))</f>
        <v/>
      </c>
      <c r="L91" s="33">
        <f>IF(A91="","",COUNTIFS(DATA_MASTER!$I$2:$I$5000,A91,DATA_MASTER!$T$2:$T$5000,"Có"))</f>
        <v/>
      </c>
      <c r="M91" s="33">
        <f>IF(A91="","",COUNTIFS(ORDERS!$E$2:$E$4995,A91,ORDERS!$L$2:$L$4995,"Đã chuyển khoản"))</f>
        <v/>
      </c>
      <c r="N91" s="11" t="n"/>
    </row>
    <row r="92" ht="14.25" customHeight="1" s="40">
      <c r="A92" s="11" t="n"/>
      <c r="B92" s="11" t="n"/>
      <c r="C92" s="11" t="n"/>
      <c r="D92" s="11" t="n"/>
      <c r="E92" s="11" t="n"/>
      <c r="F92" s="11" t="n"/>
      <c r="G92" s="34" t="n"/>
      <c r="H92" s="11" t="n"/>
      <c r="I92" s="33">
        <f>IF(A92="","",DANH_MUC!$L$4&amp;"?ref="&amp;A92)</f>
        <v/>
      </c>
      <c r="J92" s="33">
        <f>IF(A92="","",IF(COUNTIF($A$2:$A$495,A92)&gt;1,"TRÙNG",""))</f>
        <v/>
      </c>
      <c r="K92" s="33">
        <f>IF(A92="","",COUNTIF(DATA_MASTER!$I$2:$I$5000,A92))</f>
        <v/>
      </c>
      <c r="L92" s="33">
        <f>IF(A92="","",COUNTIFS(DATA_MASTER!$I$2:$I$5000,A92,DATA_MASTER!$T$2:$T$5000,"Có"))</f>
        <v/>
      </c>
      <c r="M92" s="33">
        <f>IF(A92="","",COUNTIFS(ORDERS!$E$2:$E$4995,A92,ORDERS!$L$2:$L$4995,"Đã chuyển khoản"))</f>
        <v/>
      </c>
      <c r="N92" s="11" t="n"/>
    </row>
    <row r="93" ht="14.25" customHeight="1" s="40">
      <c r="A93" s="11" t="n"/>
      <c r="B93" s="11" t="n"/>
      <c r="C93" s="11" t="n"/>
      <c r="D93" s="11" t="n"/>
      <c r="E93" s="11" t="n"/>
      <c r="F93" s="11" t="n"/>
      <c r="G93" s="34" t="n"/>
      <c r="H93" s="11" t="n"/>
      <c r="I93" s="33">
        <f>IF(A93="","",DANH_MUC!$L$4&amp;"?ref="&amp;A93)</f>
        <v/>
      </c>
      <c r="J93" s="33">
        <f>IF(A93="","",IF(COUNTIF($A$2:$A$495,A93)&gt;1,"TRÙNG",""))</f>
        <v/>
      </c>
      <c r="K93" s="33">
        <f>IF(A93="","",COUNTIF(DATA_MASTER!$I$2:$I$5000,A93))</f>
        <v/>
      </c>
      <c r="L93" s="33">
        <f>IF(A93="","",COUNTIFS(DATA_MASTER!$I$2:$I$5000,A93,DATA_MASTER!$T$2:$T$5000,"Có"))</f>
        <v/>
      </c>
      <c r="M93" s="33">
        <f>IF(A93="","",COUNTIFS(ORDERS!$E$2:$E$4995,A93,ORDERS!$L$2:$L$4995,"Đã chuyển khoản"))</f>
        <v/>
      </c>
      <c r="N93" s="11" t="n"/>
    </row>
    <row r="94" ht="14.25" customHeight="1" s="40">
      <c r="A94" s="11" t="n"/>
      <c r="B94" s="11" t="n"/>
      <c r="C94" s="11" t="n"/>
      <c r="D94" s="11" t="n"/>
      <c r="E94" s="11" t="n"/>
      <c r="F94" s="11" t="n"/>
      <c r="G94" s="34" t="n"/>
      <c r="H94" s="11" t="n"/>
      <c r="I94" s="33">
        <f>IF(A94="","",DANH_MUC!$L$4&amp;"?ref="&amp;A94)</f>
        <v/>
      </c>
      <c r="J94" s="33">
        <f>IF(A94="","",IF(COUNTIF($A$2:$A$495,A94)&gt;1,"TRÙNG",""))</f>
        <v/>
      </c>
      <c r="K94" s="33">
        <f>IF(A94="","",COUNTIF(DATA_MASTER!$I$2:$I$5000,A94))</f>
        <v/>
      </c>
      <c r="L94" s="33">
        <f>IF(A94="","",COUNTIFS(DATA_MASTER!$I$2:$I$5000,A94,DATA_MASTER!$T$2:$T$5000,"Có"))</f>
        <v/>
      </c>
      <c r="M94" s="33">
        <f>IF(A94="","",COUNTIFS(ORDERS!$E$2:$E$4995,A94,ORDERS!$L$2:$L$4995,"Đã chuyển khoản"))</f>
        <v/>
      </c>
      <c r="N94" s="11" t="n"/>
    </row>
    <row r="95" ht="14.25" customHeight="1" s="40">
      <c r="A95" s="11" t="n"/>
      <c r="B95" s="11" t="n"/>
      <c r="C95" s="11" t="n"/>
      <c r="D95" s="11" t="n"/>
      <c r="E95" s="11" t="n"/>
      <c r="F95" s="11" t="n"/>
      <c r="G95" s="34" t="n"/>
      <c r="H95" s="11" t="n"/>
      <c r="I95" s="33">
        <f>IF(A95="","",DANH_MUC!$L$4&amp;"?ref="&amp;A95)</f>
        <v/>
      </c>
      <c r="J95" s="33">
        <f>IF(A95="","",IF(COUNTIF($A$2:$A$495,A95)&gt;1,"TRÙNG",""))</f>
        <v/>
      </c>
      <c r="K95" s="33">
        <f>IF(A95="","",COUNTIF(DATA_MASTER!$I$2:$I$5000,A95))</f>
        <v/>
      </c>
      <c r="L95" s="33">
        <f>IF(A95="","",COUNTIFS(DATA_MASTER!$I$2:$I$5000,A95,DATA_MASTER!$T$2:$T$5000,"Có"))</f>
        <v/>
      </c>
      <c r="M95" s="33">
        <f>IF(A95="","",COUNTIFS(ORDERS!$E$2:$E$4995,A95,ORDERS!$L$2:$L$4995,"Đã chuyển khoản"))</f>
        <v/>
      </c>
      <c r="N95" s="11" t="n"/>
    </row>
    <row r="96" ht="14.25" customHeight="1" s="40">
      <c r="A96" s="11" t="n"/>
      <c r="B96" s="11" t="n"/>
      <c r="C96" s="11" t="n"/>
      <c r="D96" s="11" t="n"/>
      <c r="E96" s="11" t="n"/>
      <c r="F96" s="11" t="n"/>
      <c r="G96" s="34" t="n"/>
      <c r="H96" s="11" t="n"/>
      <c r="I96" s="33">
        <f>IF(A96="","",DANH_MUC!$L$4&amp;"?ref="&amp;A96)</f>
        <v/>
      </c>
      <c r="J96" s="33">
        <f>IF(A96="","",IF(COUNTIF($A$2:$A$495,A96)&gt;1,"TRÙNG",""))</f>
        <v/>
      </c>
      <c r="K96" s="33">
        <f>IF(A96="","",COUNTIF(DATA_MASTER!$I$2:$I$5000,A96))</f>
        <v/>
      </c>
      <c r="L96" s="33">
        <f>IF(A96="","",COUNTIFS(DATA_MASTER!$I$2:$I$5000,A96,DATA_MASTER!$T$2:$T$5000,"Có"))</f>
        <v/>
      </c>
      <c r="M96" s="33">
        <f>IF(A96="","",COUNTIFS(ORDERS!$E$2:$E$4995,A96,ORDERS!$L$2:$L$4995,"Đã chuyển khoản"))</f>
        <v/>
      </c>
      <c r="N96" s="11" t="n"/>
    </row>
    <row r="97" ht="14.25" customHeight="1" s="40">
      <c r="A97" s="11" t="n"/>
      <c r="B97" s="11" t="n"/>
      <c r="C97" s="11" t="n"/>
      <c r="D97" s="11" t="n"/>
      <c r="E97" s="11" t="n"/>
      <c r="F97" s="11" t="n"/>
      <c r="G97" s="34" t="n"/>
      <c r="H97" s="11" t="n"/>
      <c r="I97" s="33">
        <f>IF(A97="","",DANH_MUC!$L$4&amp;"?ref="&amp;A97)</f>
        <v/>
      </c>
      <c r="J97" s="33">
        <f>IF(A97="","",IF(COUNTIF($A$2:$A$495,A97)&gt;1,"TRÙNG",""))</f>
        <v/>
      </c>
      <c r="K97" s="33">
        <f>IF(A97="","",COUNTIF(DATA_MASTER!$I$2:$I$5000,A97))</f>
        <v/>
      </c>
      <c r="L97" s="33">
        <f>IF(A97="","",COUNTIFS(DATA_MASTER!$I$2:$I$5000,A97,DATA_MASTER!$T$2:$T$5000,"Có"))</f>
        <v/>
      </c>
      <c r="M97" s="33">
        <f>IF(A97="","",COUNTIFS(ORDERS!$E$2:$E$4995,A97,ORDERS!$L$2:$L$4995,"Đã chuyển khoản"))</f>
        <v/>
      </c>
      <c r="N97" s="11" t="n"/>
    </row>
    <row r="98" ht="14.25" customHeight="1" s="40">
      <c r="A98" s="11" t="n"/>
      <c r="B98" s="11" t="n"/>
      <c r="C98" s="11" t="n"/>
      <c r="D98" s="11" t="n"/>
      <c r="E98" s="11" t="n"/>
      <c r="F98" s="11" t="n"/>
      <c r="G98" s="34" t="n"/>
      <c r="H98" s="11" t="n"/>
      <c r="I98" s="33">
        <f>IF(A98="","",DANH_MUC!$L$4&amp;"?ref="&amp;A98)</f>
        <v/>
      </c>
      <c r="J98" s="33">
        <f>IF(A98="","",IF(COUNTIF($A$2:$A$495,A98)&gt;1,"TRÙNG",""))</f>
        <v/>
      </c>
      <c r="K98" s="33">
        <f>IF(A98="","",COUNTIF(DATA_MASTER!$I$2:$I$5000,A98))</f>
        <v/>
      </c>
      <c r="L98" s="33">
        <f>IF(A98="","",COUNTIFS(DATA_MASTER!$I$2:$I$5000,A98,DATA_MASTER!$T$2:$T$5000,"Có"))</f>
        <v/>
      </c>
      <c r="M98" s="33">
        <f>IF(A98="","",COUNTIFS(ORDERS!$E$2:$E$4995,A98,ORDERS!$L$2:$L$4995,"Đã chuyển khoản"))</f>
        <v/>
      </c>
      <c r="N98" s="11" t="n"/>
    </row>
    <row r="99" ht="14.25" customHeight="1" s="40">
      <c r="A99" s="11" t="n"/>
      <c r="B99" s="11" t="n"/>
      <c r="C99" s="11" t="n"/>
      <c r="D99" s="11" t="n"/>
      <c r="E99" s="11" t="n"/>
      <c r="F99" s="11" t="n"/>
      <c r="G99" s="34" t="n"/>
      <c r="H99" s="11" t="n"/>
      <c r="I99" s="33">
        <f>IF(A99="","",DANH_MUC!$L$4&amp;"?ref="&amp;A99)</f>
        <v/>
      </c>
      <c r="J99" s="33">
        <f>IF(A99="","",IF(COUNTIF($A$2:$A$495,A99)&gt;1,"TRÙNG",""))</f>
        <v/>
      </c>
      <c r="K99" s="33">
        <f>IF(A99="","",COUNTIF(DATA_MASTER!$I$2:$I$5000,A99))</f>
        <v/>
      </c>
      <c r="L99" s="33">
        <f>IF(A99="","",COUNTIFS(DATA_MASTER!$I$2:$I$5000,A99,DATA_MASTER!$T$2:$T$5000,"Có"))</f>
        <v/>
      </c>
      <c r="M99" s="33">
        <f>IF(A99="","",COUNTIFS(ORDERS!$E$2:$E$4995,A99,ORDERS!$L$2:$L$4995,"Đã chuyển khoản"))</f>
        <v/>
      </c>
      <c r="N99" s="11" t="n"/>
    </row>
    <row r="100" ht="14.25" customHeight="1" s="40">
      <c r="A100" s="11" t="n"/>
      <c r="B100" s="11" t="n"/>
      <c r="C100" s="11" t="n"/>
      <c r="D100" s="11" t="n"/>
      <c r="E100" s="11" t="n"/>
      <c r="F100" s="11" t="n"/>
      <c r="G100" s="34" t="n"/>
      <c r="H100" s="11" t="n"/>
      <c r="I100" s="33">
        <f>IF(A100="","",DANH_MUC!$L$4&amp;"?ref="&amp;A100)</f>
        <v/>
      </c>
      <c r="J100" s="33">
        <f>IF(A100="","",IF(COUNTIF($A$2:$A$495,A100)&gt;1,"TRÙNG",""))</f>
        <v/>
      </c>
      <c r="K100" s="33">
        <f>IF(A100="","",COUNTIF(DATA_MASTER!$I$2:$I$5000,A100))</f>
        <v/>
      </c>
      <c r="L100" s="33">
        <f>IF(A100="","",COUNTIFS(DATA_MASTER!$I$2:$I$5000,A100,DATA_MASTER!$T$2:$T$5000,"Có"))</f>
        <v/>
      </c>
      <c r="M100" s="33">
        <f>IF(A100="","",COUNTIFS(ORDERS!$E$2:$E$4995,A100,ORDERS!$L$2:$L$4995,"Đã chuyển khoản"))</f>
        <v/>
      </c>
      <c r="N100" s="11" t="n"/>
    </row>
    <row r="101" ht="14.25" customHeight="1" s="40">
      <c r="A101" s="11" t="n"/>
      <c r="B101" s="11" t="n"/>
      <c r="C101" s="11" t="n"/>
      <c r="D101" s="11" t="n"/>
      <c r="E101" s="11" t="n"/>
      <c r="F101" s="11" t="n"/>
      <c r="G101" s="34" t="n"/>
      <c r="H101" s="11" t="n"/>
      <c r="I101" s="33">
        <f>IF(A101="","",DANH_MUC!$L$4&amp;"?ref="&amp;A101)</f>
        <v/>
      </c>
      <c r="J101" s="33">
        <f>IF(A101="","",IF(COUNTIF($A$2:$A$495,A101)&gt;1,"TRÙNG",""))</f>
        <v/>
      </c>
      <c r="K101" s="33">
        <f>IF(A101="","",COUNTIF(DATA_MASTER!$I$2:$I$5000,A101))</f>
        <v/>
      </c>
      <c r="L101" s="33">
        <f>IF(A101="","",COUNTIFS(DATA_MASTER!$I$2:$I$5000,A101,DATA_MASTER!$T$2:$T$5000,"Có"))</f>
        <v/>
      </c>
      <c r="M101" s="33">
        <f>IF(A101="","",COUNTIFS(ORDERS!$E$2:$E$4995,A101,ORDERS!$L$2:$L$4995,"Đã chuyển khoản"))</f>
        <v/>
      </c>
      <c r="N101" s="11" t="n"/>
    </row>
    <row r="102" ht="14.25" customHeight="1" s="40">
      <c r="A102" s="11" t="n"/>
      <c r="B102" s="11" t="n"/>
      <c r="C102" s="11" t="n"/>
      <c r="D102" s="11" t="n"/>
      <c r="E102" s="11" t="n"/>
      <c r="F102" s="11" t="n"/>
      <c r="G102" s="34" t="n"/>
      <c r="H102" s="11" t="n"/>
      <c r="I102" s="33">
        <f>IF(A102="","",DANH_MUC!$L$4&amp;"?ref="&amp;A102)</f>
        <v/>
      </c>
      <c r="J102" s="33">
        <f>IF(A102="","",IF(COUNTIF($A$2:$A$495,A102)&gt;1,"TRÙNG",""))</f>
        <v/>
      </c>
      <c r="K102" s="33">
        <f>IF(A102="","",COUNTIF(DATA_MASTER!$I$2:$I$5000,A102))</f>
        <v/>
      </c>
      <c r="L102" s="33">
        <f>IF(A102="","",COUNTIFS(DATA_MASTER!$I$2:$I$5000,A102,DATA_MASTER!$T$2:$T$5000,"Có"))</f>
        <v/>
      </c>
      <c r="M102" s="33">
        <f>IF(A102="","",COUNTIFS(ORDERS!$E$2:$E$4995,A102,ORDERS!$L$2:$L$4995,"Đã chuyển khoản"))</f>
        <v/>
      </c>
      <c r="N102" s="11" t="n"/>
    </row>
    <row r="103" ht="14.25" customHeight="1" s="40">
      <c r="A103" s="11" t="n"/>
      <c r="B103" s="11" t="n"/>
      <c r="C103" s="11" t="n"/>
      <c r="D103" s="11" t="n"/>
      <c r="E103" s="11" t="n"/>
      <c r="F103" s="11" t="n"/>
      <c r="G103" s="34" t="n"/>
      <c r="H103" s="11" t="n"/>
      <c r="I103" s="33">
        <f>IF(A103="","",DANH_MUC!$L$4&amp;"?ref="&amp;A103)</f>
        <v/>
      </c>
      <c r="J103" s="33">
        <f>IF(A103="","",IF(COUNTIF($A$2:$A$495,A103)&gt;1,"TRÙNG",""))</f>
        <v/>
      </c>
      <c r="K103" s="33">
        <f>IF(A103="","",COUNTIF(DATA_MASTER!$I$2:$I$5000,A103))</f>
        <v/>
      </c>
      <c r="L103" s="33">
        <f>IF(A103="","",COUNTIFS(DATA_MASTER!$I$2:$I$5000,A103,DATA_MASTER!$T$2:$T$5000,"Có"))</f>
        <v/>
      </c>
      <c r="M103" s="33">
        <f>IF(A103="","",COUNTIFS(ORDERS!$E$2:$E$4995,A103,ORDERS!$L$2:$L$4995,"Đã chuyển khoản"))</f>
        <v/>
      </c>
      <c r="N103" s="11" t="n"/>
    </row>
    <row r="104" ht="14.25" customHeight="1" s="40">
      <c r="A104" s="11" t="n"/>
      <c r="B104" s="11" t="n"/>
      <c r="C104" s="11" t="n"/>
      <c r="D104" s="11" t="n"/>
      <c r="E104" s="11" t="n"/>
      <c r="F104" s="11" t="n"/>
      <c r="G104" s="34" t="n"/>
      <c r="H104" s="11" t="n"/>
      <c r="I104" s="33">
        <f>IF(A104="","",DANH_MUC!$L$4&amp;"?ref="&amp;A104)</f>
        <v/>
      </c>
      <c r="J104" s="33">
        <f>IF(A104="","",IF(COUNTIF($A$2:$A$495,A104)&gt;1,"TRÙNG",""))</f>
        <v/>
      </c>
      <c r="K104" s="33">
        <f>IF(A104="","",COUNTIF(DATA_MASTER!$I$2:$I$5000,A104))</f>
        <v/>
      </c>
      <c r="L104" s="33">
        <f>IF(A104="","",COUNTIFS(DATA_MASTER!$I$2:$I$5000,A104,DATA_MASTER!$T$2:$T$5000,"Có"))</f>
        <v/>
      </c>
      <c r="M104" s="33">
        <f>IF(A104="","",COUNTIFS(ORDERS!$E$2:$E$4995,A104,ORDERS!$L$2:$L$4995,"Đã chuyển khoản"))</f>
        <v/>
      </c>
      <c r="N104" s="11" t="n"/>
    </row>
    <row r="105" ht="14.25" customHeight="1" s="40">
      <c r="A105" s="11" t="n"/>
      <c r="B105" s="11" t="n"/>
      <c r="C105" s="11" t="n"/>
      <c r="D105" s="11" t="n"/>
      <c r="E105" s="11" t="n"/>
      <c r="F105" s="11" t="n"/>
      <c r="G105" s="34" t="n"/>
      <c r="H105" s="11" t="n"/>
      <c r="I105" s="33">
        <f>IF(A105="","",DANH_MUC!$L$4&amp;"?ref="&amp;A105)</f>
        <v/>
      </c>
      <c r="J105" s="33">
        <f>IF(A105="","",IF(COUNTIF($A$2:$A$495,A105)&gt;1,"TRÙNG",""))</f>
        <v/>
      </c>
      <c r="K105" s="33">
        <f>IF(A105="","",COUNTIF(DATA_MASTER!$I$2:$I$5000,A105))</f>
        <v/>
      </c>
      <c r="L105" s="33">
        <f>IF(A105="","",COUNTIFS(DATA_MASTER!$I$2:$I$5000,A105,DATA_MASTER!$T$2:$T$5000,"Có"))</f>
        <v/>
      </c>
      <c r="M105" s="33">
        <f>IF(A105="","",COUNTIFS(ORDERS!$E$2:$E$4995,A105,ORDERS!$L$2:$L$4995,"Đã chuyển khoản"))</f>
        <v/>
      </c>
      <c r="N105" s="11" t="n"/>
    </row>
    <row r="106" ht="14.25" customHeight="1" s="40">
      <c r="A106" s="11" t="n"/>
      <c r="B106" s="11" t="n"/>
      <c r="C106" s="11" t="n"/>
      <c r="D106" s="11" t="n"/>
      <c r="E106" s="11" t="n"/>
      <c r="F106" s="11" t="n"/>
      <c r="G106" s="34" t="n"/>
      <c r="H106" s="11" t="n"/>
      <c r="I106" s="33">
        <f>IF(A106="","",DANH_MUC!$L$4&amp;"?ref="&amp;A106)</f>
        <v/>
      </c>
      <c r="J106" s="33">
        <f>IF(A106="","",IF(COUNTIF($A$2:$A$495,A106)&gt;1,"TRÙNG",""))</f>
        <v/>
      </c>
      <c r="K106" s="33">
        <f>IF(A106="","",COUNTIF(DATA_MASTER!$I$2:$I$5000,A106))</f>
        <v/>
      </c>
      <c r="L106" s="33">
        <f>IF(A106="","",COUNTIFS(DATA_MASTER!$I$2:$I$5000,A106,DATA_MASTER!$T$2:$T$5000,"Có"))</f>
        <v/>
      </c>
      <c r="M106" s="33">
        <f>IF(A106="","",COUNTIFS(ORDERS!$E$2:$E$4995,A106,ORDERS!$L$2:$L$4995,"Đã chuyển khoản"))</f>
        <v/>
      </c>
      <c r="N106" s="11" t="n"/>
    </row>
    <row r="107" ht="14.25" customHeight="1" s="40">
      <c r="A107" s="11" t="n"/>
      <c r="B107" s="11" t="n"/>
      <c r="C107" s="11" t="n"/>
      <c r="D107" s="11" t="n"/>
      <c r="E107" s="11" t="n"/>
      <c r="F107" s="11" t="n"/>
      <c r="G107" s="34" t="n"/>
      <c r="H107" s="11" t="n"/>
      <c r="I107" s="33">
        <f>IF(A107="","",DANH_MUC!$L$4&amp;"?ref="&amp;A107)</f>
        <v/>
      </c>
      <c r="J107" s="33">
        <f>IF(A107="","",IF(COUNTIF($A$2:$A$495,A107)&gt;1,"TRÙNG",""))</f>
        <v/>
      </c>
      <c r="K107" s="33">
        <f>IF(A107="","",COUNTIF(DATA_MASTER!$I$2:$I$5000,A107))</f>
        <v/>
      </c>
      <c r="L107" s="33">
        <f>IF(A107="","",COUNTIFS(DATA_MASTER!$I$2:$I$5000,A107,DATA_MASTER!$T$2:$T$5000,"Có"))</f>
        <v/>
      </c>
      <c r="M107" s="33">
        <f>IF(A107="","",COUNTIFS(ORDERS!$E$2:$E$4995,A107,ORDERS!$L$2:$L$4995,"Đã chuyển khoản"))</f>
        <v/>
      </c>
      <c r="N107" s="11" t="n"/>
    </row>
    <row r="108" ht="14.25" customHeight="1" s="40">
      <c r="A108" s="11" t="n"/>
      <c r="B108" s="11" t="n"/>
      <c r="C108" s="11" t="n"/>
      <c r="D108" s="11" t="n"/>
      <c r="E108" s="11" t="n"/>
      <c r="F108" s="11" t="n"/>
      <c r="G108" s="34" t="n"/>
      <c r="H108" s="11" t="n"/>
      <c r="I108" s="33">
        <f>IF(A108="","",DANH_MUC!$L$4&amp;"?ref="&amp;A108)</f>
        <v/>
      </c>
      <c r="J108" s="33">
        <f>IF(A108="","",IF(COUNTIF($A$2:$A$495,A108)&gt;1,"TRÙNG",""))</f>
        <v/>
      </c>
      <c r="K108" s="33">
        <f>IF(A108="","",COUNTIF(DATA_MASTER!$I$2:$I$5000,A108))</f>
        <v/>
      </c>
      <c r="L108" s="33">
        <f>IF(A108="","",COUNTIFS(DATA_MASTER!$I$2:$I$5000,A108,DATA_MASTER!$T$2:$T$5000,"Có"))</f>
        <v/>
      </c>
      <c r="M108" s="33">
        <f>IF(A108="","",COUNTIFS(ORDERS!$E$2:$E$4995,A108,ORDERS!$L$2:$L$4995,"Đã chuyển khoản"))</f>
        <v/>
      </c>
      <c r="N108" s="11" t="n"/>
    </row>
    <row r="109" ht="14.25" customHeight="1" s="40">
      <c r="A109" s="11" t="n"/>
      <c r="B109" s="11" t="n"/>
      <c r="C109" s="11" t="n"/>
      <c r="D109" s="11" t="n"/>
      <c r="E109" s="11" t="n"/>
      <c r="F109" s="11" t="n"/>
      <c r="G109" s="34" t="n"/>
      <c r="H109" s="11" t="n"/>
      <c r="I109" s="33">
        <f>IF(A109="","",DANH_MUC!$L$4&amp;"?ref="&amp;A109)</f>
        <v/>
      </c>
      <c r="J109" s="33">
        <f>IF(A109="","",IF(COUNTIF($A$2:$A$495,A109)&gt;1,"TRÙNG",""))</f>
        <v/>
      </c>
      <c r="K109" s="33">
        <f>IF(A109="","",COUNTIF(DATA_MASTER!$I$2:$I$5000,A109))</f>
        <v/>
      </c>
      <c r="L109" s="33">
        <f>IF(A109="","",COUNTIFS(DATA_MASTER!$I$2:$I$5000,A109,DATA_MASTER!$T$2:$T$5000,"Có"))</f>
        <v/>
      </c>
      <c r="M109" s="33">
        <f>IF(A109="","",COUNTIFS(ORDERS!$E$2:$E$4995,A109,ORDERS!$L$2:$L$4995,"Đã chuyển khoản"))</f>
        <v/>
      </c>
      <c r="N109" s="11" t="n"/>
    </row>
    <row r="110" ht="14.25" customHeight="1" s="40">
      <c r="A110" s="11" t="n"/>
      <c r="B110" s="11" t="n"/>
      <c r="C110" s="11" t="n"/>
      <c r="D110" s="11" t="n"/>
      <c r="E110" s="11" t="n"/>
      <c r="F110" s="11" t="n"/>
      <c r="G110" s="34" t="n"/>
      <c r="H110" s="11" t="n"/>
      <c r="I110" s="33">
        <f>IF(A110="","",DANH_MUC!$L$4&amp;"?ref="&amp;A110)</f>
        <v/>
      </c>
      <c r="J110" s="33">
        <f>IF(A110="","",IF(COUNTIF($A$2:$A$495,A110)&gt;1,"TRÙNG",""))</f>
        <v/>
      </c>
      <c r="K110" s="33">
        <f>IF(A110="","",COUNTIF(DATA_MASTER!$I$2:$I$5000,A110))</f>
        <v/>
      </c>
      <c r="L110" s="33">
        <f>IF(A110="","",COUNTIFS(DATA_MASTER!$I$2:$I$5000,A110,DATA_MASTER!$T$2:$T$5000,"Có"))</f>
        <v/>
      </c>
      <c r="M110" s="33">
        <f>IF(A110="","",COUNTIFS(ORDERS!$E$2:$E$4995,A110,ORDERS!$L$2:$L$4995,"Đã chuyển khoản"))</f>
        <v/>
      </c>
      <c r="N110" s="11" t="n"/>
    </row>
    <row r="111" ht="14.25" customHeight="1" s="40">
      <c r="A111" s="11" t="n"/>
      <c r="B111" s="11" t="n"/>
      <c r="C111" s="11" t="n"/>
      <c r="D111" s="11" t="n"/>
      <c r="E111" s="11" t="n"/>
      <c r="F111" s="11" t="n"/>
      <c r="G111" s="34" t="n"/>
      <c r="H111" s="11" t="n"/>
      <c r="I111" s="33">
        <f>IF(A111="","",DANH_MUC!$L$4&amp;"?ref="&amp;A111)</f>
        <v/>
      </c>
      <c r="J111" s="33">
        <f>IF(A111="","",IF(COUNTIF($A$2:$A$495,A111)&gt;1,"TRÙNG",""))</f>
        <v/>
      </c>
      <c r="K111" s="33">
        <f>IF(A111="","",COUNTIF(DATA_MASTER!$I$2:$I$5000,A111))</f>
        <v/>
      </c>
      <c r="L111" s="33">
        <f>IF(A111="","",COUNTIFS(DATA_MASTER!$I$2:$I$5000,A111,DATA_MASTER!$T$2:$T$5000,"Có"))</f>
        <v/>
      </c>
      <c r="M111" s="33">
        <f>IF(A111="","",COUNTIFS(ORDERS!$E$2:$E$4995,A111,ORDERS!$L$2:$L$4995,"Đã chuyển khoản"))</f>
        <v/>
      </c>
      <c r="N111" s="11" t="n"/>
    </row>
    <row r="112" ht="14.25" customHeight="1" s="40">
      <c r="A112" s="11" t="n"/>
      <c r="B112" s="11" t="n"/>
      <c r="C112" s="11" t="n"/>
      <c r="D112" s="11" t="n"/>
      <c r="E112" s="11" t="n"/>
      <c r="F112" s="11" t="n"/>
      <c r="G112" s="34" t="n"/>
      <c r="H112" s="11" t="n"/>
      <c r="I112" s="33">
        <f>IF(A112="","",DANH_MUC!$L$4&amp;"?ref="&amp;A112)</f>
        <v/>
      </c>
      <c r="J112" s="33">
        <f>IF(A112="","",IF(COUNTIF($A$2:$A$495,A112)&gt;1,"TRÙNG",""))</f>
        <v/>
      </c>
      <c r="K112" s="33">
        <f>IF(A112="","",COUNTIF(DATA_MASTER!$I$2:$I$5000,A112))</f>
        <v/>
      </c>
      <c r="L112" s="33">
        <f>IF(A112="","",COUNTIFS(DATA_MASTER!$I$2:$I$5000,A112,DATA_MASTER!$T$2:$T$5000,"Có"))</f>
        <v/>
      </c>
      <c r="M112" s="33">
        <f>IF(A112="","",COUNTIFS(ORDERS!$E$2:$E$4995,A112,ORDERS!$L$2:$L$4995,"Đã chuyển khoản"))</f>
        <v/>
      </c>
      <c r="N112" s="11" t="n"/>
    </row>
    <row r="113" ht="14.25" customHeight="1" s="40">
      <c r="A113" s="11" t="n"/>
      <c r="B113" s="11" t="n"/>
      <c r="C113" s="11" t="n"/>
      <c r="D113" s="11" t="n"/>
      <c r="E113" s="11" t="n"/>
      <c r="F113" s="11" t="n"/>
      <c r="G113" s="34" t="n"/>
      <c r="H113" s="11" t="n"/>
      <c r="I113" s="33">
        <f>IF(A113="","",DANH_MUC!$L$4&amp;"?ref="&amp;A113)</f>
        <v/>
      </c>
      <c r="J113" s="33">
        <f>IF(A113="","",IF(COUNTIF($A$2:$A$495,A113)&gt;1,"TRÙNG",""))</f>
        <v/>
      </c>
      <c r="K113" s="33">
        <f>IF(A113="","",COUNTIF(DATA_MASTER!$I$2:$I$5000,A113))</f>
        <v/>
      </c>
      <c r="L113" s="33">
        <f>IF(A113="","",COUNTIFS(DATA_MASTER!$I$2:$I$5000,A113,DATA_MASTER!$T$2:$T$5000,"Có"))</f>
        <v/>
      </c>
      <c r="M113" s="33">
        <f>IF(A113="","",COUNTIFS(ORDERS!$E$2:$E$4995,A113,ORDERS!$L$2:$L$4995,"Đã chuyển khoản"))</f>
        <v/>
      </c>
      <c r="N113" s="11" t="n"/>
    </row>
    <row r="114" ht="14.25" customHeight="1" s="40">
      <c r="A114" s="11" t="n"/>
      <c r="B114" s="11" t="n"/>
      <c r="C114" s="11" t="n"/>
      <c r="D114" s="11" t="n"/>
      <c r="E114" s="11" t="n"/>
      <c r="F114" s="11" t="n"/>
      <c r="G114" s="34" t="n"/>
      <c r="H114" s="11" t="n"/>
      <c r="I114" s="33">
        <f>IF(A114="","",DANH_MUC!$L$4&amp;"?ref="&amp;A114)</f>
        <v/>
      </c>
      <c r="J114" s="33">
        <f>IF(A114="","",IF(COUNTIF($A$2:$A$495,A114)&gt;1,"TRÙNG",""))</f>
        <v/>
      </c>
      <c r="K114" s="33">
        <f>IF(A114="","",COUNTIF(DATA_MASTER!$I$2:$I$5000,A114))</f>
        <v/>
      </c>
      <c r="L114" s="33">
        <f>IF(A114="","",COUNTIFS(DATA_MASTER!$I$2:$I$5000,A114,DATA_MASTER!$T$2:$T$5000,"Có"))</f>
        <v/>
      </c>
      <c r="M114" s="33">
        <f>IF(A114="","",COUNTIFS(ORDERS!$E$2:$E$4995,A114,ORDERS!$L$2:$L$4995,"Đã chuyển khoản"))</f>
        <v/>
      </c>
      <c r="N114" s="11" t="n"/>
    </row>
    <row r="115" ht="14.25" customHeight="1" s="40">
      <c r="A115" s="11" t="n"/>
      <c r="B115" s="11" t="n"/>
      <c r="C115" s="11" t="n"/>
      <c r="D115" s="11" t="n"/>
      <c r="E115" s="11" t="n"/>
      <c r="F115" s="11" t="n"/>
      <c r="G115" s="34" t="n"/>
      <c r="H115" s="11" t="n"/>
      <c r="I115" s="33">
        <f>IF(A115="","",DANH_MUC!$L$4&amp;"?ref="&amp;A115)</f>
        <v/>
      </c>
      <c r="J115" s="33">
        <f>IF(A115="","",IF(COUNTIF($A$2:$A$495,A115)&gt;1,"TRÙNG",""))</f>
        <v/>
      </c>
      <c r="K115" s="33">
        <f>IF(A115="","",COUNTIF(DATA_MASTER!$I$2:$I$5000,A115))</f>
        <v/>
      </c>
      <c r="L115" s="33">
        <f>IF(A115="","",COUNTIFS(DATA_MASTER!$I$2:$I$5000,A115,DATA_MASTER!$T$2:$T$5000,"Có"))</f>
        <v/>
      </c>
      <c r="M115" s="33">
        <f>IF(A115="","",COUNTIFS(ORDERS!$E$2:$E$4995,A115,ORDERS!$L$2:$L$4995,"Đã chuyển khoản"))</f>
        <v/>
      </c>
      <c r="N115" s="11" t="n"/>
    </row>
    <row r="116" ht="14.25" customHeight="1" s="40">
      <c r="A116" s="11" t="n"/>
      <c r="B116" s="11" t="n"/>
      <c r="C116" s="11" t="n"/>
      <c r="D116" s="11" t="n"/>
      <c r="E116" s="11" t="n"/>
      <c r="F116" s="11" t="n"/>
      <c r="G116" s="34" t="n"/>
      <c r="H116" s="11" t="n"/>
      <c r="I116" s="33">
        <f>IF(A116="","",DANH_MUC!$L$4&amp;"?ref="&amp;A116)</f>
        <v/>
      </c>
      <c r="J116" s="33">
        <f>IF(A116="","",IF(COUNTIF($A$2:$A$495,A116)&gt;1,"TRÙNG",""))</f>
        <v/>
      </c>
      <c r="K116" s="33">
        <f>IF(A116="","",COUNTIF(DATA_MASTER!$I$2:$I$5000,A116))</f>
        <v/>
      </c>
      <c r="L116" s="33">
        <f>IF(A116="","",COUNTIFS(DATA_MASTER!$I$2:$I$5000,A116,DATA_MASTER!$T$2:$T$5000,"Có"))</f>
        <v/>
      </c>
      <c r="M116" s="33">
        <f>IF(A116="","",COUNTIFS(ORDERS!$E$2:$E$4995,A116,ORDERS!$L$2:$L$4995,"Đã chuyển khoản"))</f>
        <v/>
      </c>
      <c r="N116" s="11" t="n"/>
    </row>
    <row r="117" ht="14.25" customHeight="1" s="40">
      <c r="A117" s="11" t="n"/>
      <c r="B117" s="11" t="n"/>
      <c r="C117" s="11" t="n"/>
      <c r="D117" s="11" t="n"/>
      <c r="E117" s="11" t="n"/>
      <c r="F117" s="11" t="n"/>
      <c r="G117" s="34" t="n"/>
      <c r="H117" s="11" t="n"/>
      <c r="I117" s="33">
        <f>IF(A117="","",DANH_MUC!$L$4&amp;"?ref="&amp;A117)</f>
        <v/>
      </c>
      <c r="J117" s="33">
        <f>IF(A117="","",IF(COUNTIF($A$2:$A$495,A117)&gt;1,"TRÙNG",""))</f>
        <v/>
      </c>
      <c r="K117" s="33">
        <f>IF(A117="","",COUNTIF(DATA_MASTER!$I$2:$I$5000,A117))</f>
        <v/>
      </c>
      <c r="L117" s="33">
        <f>IF(A117="","",COUNTIFS(DATA_MASTER!$I$2:$I$5000,A117,DATA_MASTER!$T$2:$T$5000,"Có"))</f>
        <v/>
      </c>
      <c r="M117" s="33">
        <f>IF(A117="","",COUNTIFS(ORDERS!$E$2:$E$4995,A117,ORDERS!$L$2:$L$4995,"Đã chuyển khoản"))</f>
        <v/>
      </c>
      <c r="N117" s="11" t="n"/>
    </row>
    <row r="118" ht="14.25" customHeight="1" s="40">
      <c r="A118" s="11" t="n"/>
      <c r="B118" s="11" t="n"/>
      <c r="C118" s="11" t="n"/>
      <c r="D118" s="11" t="n"/>
      <c r="E118" s="11" t="n"/>
      <c r="F118" s="11" t="n"/>
      <c r="G118" s="34" t="n"/>
      <c r="H118" s="11" t="n"/>
      <c r="I118" s="33">
        <f>IF(A118="","",DANH_MUC!$L$4&amp;"?ref="&amp;A118)</f>
        <v/>
      </c>
      <c r="J118" s="33">
        <f>IF(A118="","",IF(COUNTIF($A$2:$A$495,A118)&gt;1,"TRÙNG",""))</f>
        <v/>
      </c>
      <c r="K118" s="33">
        <f>IF(A118="","",COUNTIF(DATA_MASTER!$I$2:$I$5000,A118))</f>
        <v/>
      </c>
      <c r="L118" s="33">
        <f>IF(A118="","",COUNTIFS(DATA_MASTER!$I$2:$I$5000,A118,DATA_MASTER!$T$2:$T$5000,"Có"))</f>
        <v/>
      </c>
      <c r="M118" s="33">
        <f>IF(A118="","",COUNTIFS(ORDERS!$E$2:$E$4995,A118,ORDERS!$L$2:$L$4995,"Đã chuyển khoản"))</f>
        <v/>
      </c>
      <c r="N118" s="11" t="n"/>
    </row>
    <row r="119" ht="14.25" customHeight="1" s="40">
      <c r="A119" s="11" t="n"/>
      <c r="B119" s="11" t="n"/>
      <c r="C119" s="11" t="n"/>
      <c r="D119" s="11" t="n"/>
      <c r="E119" s="11" t="n"/>
      <c r="F119" s="11" t="n"/>
      <c r="G119" s="34" t="n"/>
      <c r="H119" s="11" t="n"/>
      <c r="I119" s="33">
        <f>IF(A119="","",DANH_MUC!$L$4&amp;"?ref="&amp;A119)</f>
        <v/>
      </c>
      <c r="J119" s="33">
        <f>IF(A119="","",IF(COUNTIF($A$2:$A$495,A119)&gt;1,"TRÙNG",""))</f>
        <v/>
      </c>
      <c r="K119" s="33">
        <f>IF(A119="","",COUNTIF(DATA_MASTER!$I$2:$I$5000,A119))</f>
        <v/>
      </c>
      <c r="L119" s="33">
        <f>IF(A119="","",COUNTIFS(DATA_MASTER!$I$2:$I$5000,A119,DATA_MASTER!$T$2:$T$5000,"Có"))</f>
        <v/>
      </c>
      <c r="M119" s="33">
        <f>IF(A119="","",COUNTIFS(ORDERS!$E$2:$E$4995,A119,ORDERS!$L$2:$L$4995,"Đã chuyển khoản"))</f>
        <v/>
      </c>
      <c r="N119" s="11" t="n"/>
    </row>
    <row r="120" ht="14.25" customHeight="1" s="40">
      <c r="A120" s="11" t="n"/>
      <c r="B120" s="11" t="n"/>
      <c r="C120" s="11" t="n"/>
      <c r="D120" s="11" t="n"/>
      <c r="E120" s="11" t="n"/>
      <c r="F120" s="11" t="n"/>
      <c r="G120" s="34" t="n"/>
      <c r="H120" s="11" t="n"/>
      <c r="I120" s="33">
        <f>IF(A120="","",DANH_MUC!$L$4&amp;"?ref="&amp;A120)</f>
        <v/>
      </c>
      <c r="J120" s="33">
        <f>IF(A120="","",IF(COUNTIF($A$2:$A$495,A120)&gt;1,"TRÙNG",""))</f>
        <v/>
      </c>
      <c r="K120" s="33">
        <f>IF(A120="","",COUNTIF(DATA_MASTER!$I$2:$I$5000,A120))</f>
        <v/>
      </c>
      <c r="L120" s="33">
        <f>IF(A120="","",COUNTIFS(DATA_MASTER!$I$2:$I$5000,A120,DATA_MASTER!$T$2:$T$5000,"Có"))</f>
        <v/>
      </c>
      <c r="M120" s="33">
        <f>IF(A120="","",COUNTIFS(ORDERS!$E$2:$E$4995,A120,ORDERS!$L$2:$L$4995,"Đã chuyển khoản"))</f>
        <v/>
      </c>
      <c r="N120" s="11" t="n"/>
    </row>
    <row r="121" ht="14.25" customHeight="1" s="40">
      <c r="A121" s="11" t="n"/>
      <c r="B121" s="11" t="n"/>
      <c r="C121" s="11" t="n"/>
      <c r="D121" s="11" t="n"/>
      <c r="E121" s="11" t="n"/>
      <c r="F121" s="11" t="n"/>
      <c r="G121" s="34" t="n"/>
      <c r="H121" s="11" t="n"/>
      <c r="I121" s="33">
        <f>IF(A121="","",DANH_MUC!$L$4&amp;"?ref="&amp;A121)</f>
        <v/>
      </c>
      <c r="J121" s="33">
        <f>IF(A121="","",IF(COUNTIF($A$2:$A$495,A121)&gt;1,"TRÙNG",""))</f>
        <v/>
      </c>
      <c r="K121" s="33">
        <f>IF(A121="","",COUNTIF(DATA_MASTER!$I$2:$I$5000,A121))</f>
        <v/>
      </c>
      <c r="L121" s="33">
        <f>IF(A121="","",COUNTIFS(DATA_MASTER!$I$2:$I$5000,A121,DATA_MASTER!$T$2:$T$5000,"Có"))</f>
        <v/>
      </c>
      <c r="M121" s="33">
        <f>IF(A121="","",COUNTIFS(ORDERS!$E$2:$E$4995,A121,ORDERS!$L$2:$L$4995,"Đã chuyển khoản"))</f>
        <v/>
      </c>
      <c r="N121" s="11" t="n"/>
    </row>
    <row r="122" ht="14.25" customHeight="1" s="40">
      <c r="A122" s="11" t="n"/>
      <c r="B122" s="11" t="n"/>
      <c r="C122" s="11" t="n"/>
      <c r="D122" s="11" t="n"/>
      <c r="E122" s="11" t="n"/>
      <c r="F122" s="11" t="n"/>
      <c r="G122" s="34" t="n"/>
      <c r="H122" s="11" t="n"/>
      <c r="I122" s="33">
        <f>IF(A122="","",DANH_MUC!$L$4&amp;"?ref="&amp;A122)</f>
        <v/>
      </c>
      <c r="J122" s="33">
        <f>IF(A122="","",IF(COUNTIF($A$2:$A$495,A122)&gt;1,"TRÙNG",""))</f>
        <v/>
      </c>
      <c r="K122" s="33">
        <f>IF(A122="","",COUNTIF(DATA_MASTER!$I$2:$I$5000,A122))</f>
        <v/>
      </c>
      <c r="L122" s="33">
        <f>IF(A122="","",COUNTIFS(DATA_MASTER!$I$2:$I$5000,A122,DATA_MASTER!$T$2:$T$5000,"Có"))</f>
        <v/>
      </c>
      <c r="M122" s="33">
        <f>IF(A122="","",COUNTIFS(ORDERS!$E$2:$E$4995,A122,ORDERS!$L$2:$L$4995,"Đã chuyển khoản"))</f>
        <v/>
      </c>
      <c r="N122" s="11" t="n"/>
    </row>
    <row r="123" ht="14.25" customHeight="1" s="40">
      <c r="A123" s="11" t="n"/>
      <c r="B123" s="11" t="n"/>
      <c r="C123" s="11" t="n"/>
      <c r="D123" s="11" t="n"/>
      <c r="E123" s="11" t="n"/>
      <c r="F123" s="11" t="n"/>
      <c r="G123" s="34" t="n"/>
      <c r="H123" s="11" t="n"/>
      <c r="I123" s="33">
        <f>IF(A123="","",DANH_MUC!$L$4&amp;"?ref="&amp;A123)</f>
        <v/>
      </c>
      <c r="J123" s="33">
        <f>IF(A123="","",IF(COUNTIF($A$2:$A$495,A123)&gt;1,"TRÙNG",""))</f>
        <v/>
      </c>
      <c r="K123" s="33">
        <f>IF(A123="","",COUNTIF(DATA_MASTER!$I$2:$I$5000,A123))</f>
        <v/>
      </c>
      <c r="L123" s="33">
        <f>IF(A123="","",COUNTIFS(DATA_MASTER!$I$2:$I$5000,A123,DATA_MASTER!$T$2:$T$5000,"Có"))</f>
        <v/>
      </c>
      <c r="M123" s="33">
        <f>IF(A123="","",COUNTIFS(ORDERS!$E$2:$E$4995,A123,ORDERS!$L$2:$L$4995,"Đã chuyển khoản"))</f>
        <v/>
      </c>
      <c r="N123" s="11" t="n"/>
    </row>
    <row r="124" ht="14.25" customHeight="1" s="40">
      <c r="A124" s="11" t="n"/>
      <c r="B124" s="11" t="n"/>
      <c r="C124" s="11" t="n"/>
      <c r="D124" s="11" t="n"/>
      <c r="E124" s="11" t="n"/>
      <c r="F124" s="11" t="n"/>
      <c r="G124" s="34" t="n"/>
      <c r="H124" s="11" t="n"/>
      <c r="I124" s="33">
        <f>IF(A124="","",DANH_MUC!$L$4&amp;"?ref="&amp;A124)</f>
        <v/>
      </c>
      <c r="J124" s="33">
        <f>IF(A124="","",IF(COUNTIF($A$2:$A$495,A124)&gt;1,"TRÙNG",""))</f>
        <v/>
      </c>
      <c r="K124" s="33">
        <f>IF(A124="","",COUNTIF(DATA_MASTER!$I$2:$I$5000,A124))</f>
        <v/>
      </c>
      <c r="L124" s="33">
        <f>IF(A124="","",COUNTIFS(DATA_MASTER!$I$2:$I$5000,A124,DATA_MASTER!$T$2:$T$5000,"Có"))</f>
        <v/>
      </c>
      <c r="M124" s="33">
        <f>IF(A124="","",COUNTIFS(ORDERS!$E$2:$E$4995,A124,ORDERS!$L$2:$L$4995,"Đã chuyển khoản"))</f>
        <v/>
      </c>
      <c r="N124" s="11" t="n"/>
    </row>
    <row r="125" ht="14.25" customHeight="1" s="40">
      <c r="A125" s="11" t="n"/>
      <c r="B125" s="11" t="n"/>
      <c r="C125" s="11" t="n"/>
      <c r="D125" s="11" t="n"/>
      <c r="E125" s="11" t="n"/>
      <c r="F125" s="11" t="n"/>
      <c r="G125" s="34" t="n"/>
      <c r="H125" s="11" t="n"/>
      <c r="I125" s="33">
        <f>IF(A125="","",DANH_MUC!$L$4&amp;"?ref="&amp;A125)</f>
        <v/>
      </c>
      <c r="J125" s="33">
        <f>IF(A125="","",IF(COUNTIF($A$2:$A$495,A125)&gt;1,"TRÙNG",""))</f>
        <v/>
      </c>
      <c r="K125" s="33">
        <f>IF(A125="","",COUNTIF(DATA_MASTER!$I$2:$I$5000,A125))</f>
        <v/>
      </c>
      <c r="L125" s="33">
        <f>IF(A125="","",COUNTIFS(DATA_MASTER!$I$2:$I$5000,A125,DATA_MASTER!$T$2:$T$5000,"Có"))</f>
        <v/>
      </c>
      <c r="M125" s="33">
        <f>IF(A125="","",COUNTIFS(ORDERS!$E$2:$E$4995,A125,ORDERS!$L$2:$L$4995,"Đã chuyển khoản"))</f>
        <v/>
      </c>
      <c r="N125" s="11" t="n"/>
    </row>
    <row r="126" ht="14.25" customHeight="1" s="40">
      <c r="A126" s="11" t="n"/>
      <c r="B126" s="11" t="n"/>
      <c r="C126" s="11" t="n"/>
      <c r="D126" s="11" t="n"/>
      <c r="E126" s="11" t="n"/>
      <c r="F126" s="11" t="n"/>
      <c r="G126" s="34" t="n"/>
      <c r="H126" s="11" t="n"/>
      <c r="I126" s="33">
        <f>IF(A126="","",DANH_MUC!$L$4&amp;"?ref="&amp;A126)</f>
        <v/>
      </c>
      <c r="J126" s="33">
        <f>IF(A126="","",IF(COUNTIF($A$2:$A$495,A126)&gt;1,"TRÙNG",""))</f>
        <v/>
      </c>
      <c r="K126" s="33">
        <f>IF(A126="","",COUNTIF(DATA_MASTER!$I$2:$I$5000,A126))</f>
        <v/>
      </c>
      <c r="L126" s="33">
        <f>IF(A126="","",COUNTIFS(DATA_MASTER!$I$2:$I$5000,A126,DATA_MASTER!$T$2:$T$5000,"Có"))</f>
        <v/>
      </c>
      <c r="M126" s="33">
        <f>IF(A126="","",COUNTIFS(ORDERS!$E$2:$E$4995,A126,ORDERS!$L$2:$L$4995,"Đã chuyển khoản"))</f>
        <v/>
      </c>
      <c r="N126" s="11" t="n"/>
    </row>
    <row r="127" ht="14.25" customHeight="1" s="40">
      <c r="A127" s="11" t="n"/>
      <c r="B127" s="11" t="n"/>
      <c r="C127" s="11" t="n"/>
      <c r="D127" s="11" t="n"/>
      <c r="E127" s="11" t="n"/>
      <c r="F127" s="11" t="n"/>
      <c r="G127" s="34" t="n"/>
      <c r="H127" s="11" t="n"/>
      <c r="I127" s="33">
        <f>IF(A127="","",DANH_MUC!$L$4&amp;"?ref="&amp;A127)</f>
        <v/>
      </c>
      <c r="J127" s="33">
        <f>IF(A127="","",IF(COUNTIF($A$2:$A$495,A127)&gt;1,"TRÙNG",""))</f>
        <v/>
      </c>
      <c r="K127" s="33">
        <f>IF(A127="","",COUNTIF(DATA_MASTER!$I$2:$I$5000,A127))</f>
        <v/>
      </c>
      <c r="L127" s="33">
        <f>IF(A127="","",COUNTIFS(DATA_MASTER!$I$2:$I$5000,A127,DATA_MASTER!$T$2:$T$5000,"Có"))</f>
        <v/>
      </c>
      <c r="M127" s="33">
        <f>IF(A127="","",COUNTIFS(ORDERS!$E$2:$E$4995,A127,ORDERS!$L$2:$L$4995,"Đã chuyển khoản"))</f>
        <v/>
      </c>
      <c r="N127" s="11" t="n"/>
    </row>
    <row r="128" ht="14.25" customHeight="1" s="40">
      <c r="A128" s="11" t="n"/>
      <c r="B128" s="11" t="n"/>
      <c r="C128" s="11" t="n"/>
      <c r="D128" s="11" t="n"/>
      <c r="E128" s="11" t="n"/>
      <c r="F128" s="11" t="n"/>
      <c r="G128" s="34" t="n"/>
      <c r="H128" s="11" t="n"/>
      <c r="I128" s="33">
        <f>IF(A128="","",DANH_MUC!$L$4&amp;"?ref="&amp;A128)</f>
        <v/>
      </c>
      <c r="J128" s="33">
        <f>IF(A128="","",IF(COUNTIF($A$2:$A$495,A128)&gt;1,"TRÙNG",""))</f>
        <v/>
      </c>
      <c r="K128" s="33">
        <f>IF(A128="","",COUNTIF(DATA_MASTER!$I$2:$I$5000,A128))</f>
        <v/>
      </c>
      <c r="L128" s="33">
        <f>IF(A128="","",COUNTIFS(DATA_MASTER!$I$2:$I$5000,A128,DATA_MASTER!$T$2:$T$5000,"Có"))</f>
        <v/>
      </c>
      <c r="M128" s="33">
        <f>IF(A128="","",COUNTIFS(ORDERS!$E$2:$E$4995,A128,ORDERS!$L$2:$L$4995,"Đã chuyển khoản"))</f>
        <v/>
      </c>
      <c r="N128" s="11" t="n"/>
    </row>
    <row r="129" ht="14.25" customHeight="1" s="40">
      <c r="A129" s="11" t="n"/>
      <c r="B129" s="11" t="n"/>
      <c r="C129" s="11" t="n"/>
      <c r="D129" s="11" t="n"/>
      <c r="E129" s="11" t="n"/>
      <c r="F129" s="11" t="n"/>
      <c r="G129" s="34" t="n"/>
      <c r="H129" s="11" t="n"/>
      <c r="I129" s="33">
        <f>IF(A129="","",DANH_MUC!$L$4&amp;"?ref="&amp;A129)</f>
        <v/>
      </c>
      <c r="J129" s="33">
        <f>IF(A129="","",IF(COUNTIF($A$2:$A$495,A129)&gt;1,"TRÙNG",""))</f>
        <v/>
      </c>
      <c r="K129" s="33">
        <f>IF(A129="","",COUNTIF(DATA_MASTER!$I$2:$I$5000,A129))</f>
        <v/>
      </c>
      <c r="L129" s="33">
        <f>IF(A129="","",COUNTIFS(DATA_MASTER!$I$2:$I$5000,A129,DATA_MASTER!$T$2:$T$5000,"Có"))</f>
        <v/>
      </c>
      <c r="M129" s="33">
        <f>IF(A129="","",COUNTIFS(ORDERS!$E$2:$E$4995,A129,ORDERS!$L$2:$L$4995,"Đã chuyển khoản"))</f>
        <v/>
      </c>
      <c r="N129" s="11" t="n"/>
    </row>
    <row r="130" ht="14.25" customHeight="1" s="40">
      <c r="A130" s="11" t="n"/>
      <c r="B130" s="11" t="n"/>
      <c r="C130" s="11" t="n"/>
      <c r="D130" s="11" t="n"/>
      <c r="E130" s="11" t="n"/>
      <c r="F130" s="11" t="n"/>
      <c r="G130" s="34" t="n"/>
      <c r="H130" s="11" t="n"/>
      <c r="I130" s="33">
        <f>IF(A130="","",DANH_MUC!$L$4&amp;"?ref="&amp;A130)</f>
        <v/>
      </c>
      <c r="J130" s="33">
        <f>IF(A130="","",IF(COUNTIF($A$2:$A$495,A130)&gt;1,"TRÙNG",""))</f>
        <v/>
      </c>
      <c r="K130" s="33">
        <f>IF(A130="","",COUNTIF(DATA_MASTER!$I$2:$I$5000,A130))</f>
        <v/>
      </c>
      <c r="L130" s="33">
        <f>IF(A130="","",COUNTIFS(DATA_MASTER!$I$2:$I$5000,A130,DATA_MASTER!$T$2:$T$5000,"Có"))</f>
        <v/>
      </c>
      <c r="M130" s="33">
        <f>IF(A130="","",COUNTIFS(ORDERS!$E$2:$E$4995,A130,ORDERS!$L$2:$L$4995,"Đã chuyển khoản"))</f>
        <v/>
      </c>
      <c r="N130" s="11" t="n"/>
    </row>
    <row r="131" ht="14.25" customHeight="1" s="40">
      <c r="A131" s="11" t="n"/>
      <c r="B131" s="11" t="n"/>
      <c r="C131" s="11" t="n"/>
      <c r="D131" s="11" t="n"/>
      <c r="E131" s="11" t="n"/>
      <c r="F131" s="11" t="n"/>
      <c r="G131" s="34" t="n"/>
      <c r="H131" s="11" t="n"/>
      <c r="I131" s="33">
        <f>IF(A131="","",DANH_MUC!$L$4&amp;"?ref="&amp;A131)</f>
        <v/>
      </c>
      <c r="J131" s="33">
        <f>IF(A131="","",IF(COUNTIF($A$2:$A$495,A131)&gt;1,"TRÙNG",""))</f>
        <v/>
      </c>
      <c r="K131" s="33">
        <f>IF(A131="","",COUNTIF(DATA_MASTER!$I$2:$I$5000,A131))</f>
        <v/>
      </c>
      <c r="L131" s="33">
        <f>IF(A131="","",COUNTIFS(DATA_MASTER!$I$2:$I$5000,A131,DATA_MASTER!$T$2:$T$5000,"Có"))</f>
        <v/>
      </c>
      <c r="M131" s="33">
        <f>IF(A131="","",COUNTIFS(ORDERS!$E$2:$E$4995,A131,ORDERS!$L$2:$L$4995,"Đã chuyển khoản"))</f>
        <v/>
      </c>
      <c r="N131" s="11" t="n"/>
    </row>
    <row r="132" ht="14.25" customHeight="1" s="40">
      <c r="A132" s="11" t="n"/>
      <c r="B132" s="11" t="n"/>
      <c r="C132" s="11" t="n"/>
      <c r="D132" s="11" t="n"/>
      <c r="E132" s="11" t="n"/>
      <c r="F132" s="11" t="n"/>
      <c r="G132" s="34" t="n"/>
      <c r="H132" s="11" t="n"/>
      <c r="I132" s="33">
        <f>IF(A132="","",DANH_MUC!$L$4&amp;"?ref="&amp;A132)</f>
        <v/>
      </c>
      <c r="J132" s="33">
        <f>IF(A132="","",IF(COUNTIF($A$2:$A$495,A132)&gt;1,"TRÙNG",""))</f>
        <v/>
      </c>
      <c r="K132" s="33">
        <f>IF(A132="","",COUNTIF(DATA_MASTER!$I$2:$I$5000,A132))</f>
        <v/>
      </c>
      <c r="L132" s="33">
        <f>IF(A132="","",COUNTIFS(DATA_MASTER!$I$2:$I$5000,A132,DATA_MASTER!$T$2:$T$5000,"Có"))</f>
        <v/>
      </c>
      <c r="M132" s="33">
        <f>IF(A132="","",COUNTIFS(ORDERS!$E$2:$E$4995,A132,ORDERS!$L$2:$L$4995,"Đã chuyển khoản"))</f>
        <v/>
      </c>
      <c r="N132" s="11" t="n"/>
    </row>
    <row r="133" ht="14.25" customHeight="1" s="40">
      <c r="A133" s="11" t="n"/>
      <c r="B133" s="11" t="n"/>
      <c r="C133" s="11" t="n"/>
      <c r="D133" s="11" t="n"/>
      <c r="E133" s="11" t="n"/>
      <c r="F133" s="11" t="n"/>
      <c r="G133" s="34" t="n"/>
      <c r="H133" s="11" t="n"/>
      <c r="I133" s="33">
        <f>IF(A133="","",DANH_MUC!$L$4&amp;"?ref="&amp;A133)</f>
        <v/>
      </c>
      <c r="J133" s="33">
        <f>IF(A133="","",IF(COUNTIF($A$2:$A$495,A133)&gt;1,"TRÙNG",""))</f>
        <v/>
      </c>
      <c r="K133" s="33">
        <f>IF(A133="","",COUNTIF(DATA_MASTER!$I$2:$I$5000,A133))</f>
        <v/>
      </c>
      <c r="L133" s="33">
        <f>IF(A133="","",COUNTIFS(DATA_MASTER!$I$2:$I$5000,A133,DATA_MASTER!$T$2:$T$5000,"Có"))</f>
        <v/>
      </c>
      <c r="M133" s="33">
        <f>IF(A133="","",COUNTIFS(ORDERS!$E$2:$E$4995,A133,ORDERS!$L$2:$L$4995,"Đã chuyển khoản"))</f>
        <v/>
      </c>
      <c r="N133" s="11" t="n"/>
    </row>
    <row r="134" ht="14.25" customHeight="1" s="40">
      <c r="A134" s="11" t="n"/>
      <c r="B134" s="11" t="n"/>
      <c r="C134" s="11" t="n"/>
      <c r="D134" s="11" t="n"/>
      <c r="E134" s="11" t="n"/>
      <c r="F134" s="11" t="n"/>
      <c r="G134" s="34" t="n"/>
      <c r="H134" s="11" t="n"/>
      <c r="I134" s="33">
        <f>IF(A134="","",DANH_MUC!$L$4&amp;"?ref="&amp;A134)</f>
        <v/>
      </c>
      <c r="J134" s="33">
        <f>IF(A134="","",IF(COUNTIF($A$2:$A$495,A134)&gt;1,"TRÙNG",""))</f>
        <v/>
      </c>
      <c r="K134" s="33">
        <f>IF(A134="","",COUNTIF(DATA_MASTER!$I$2:$I$5000,A134))</f>
        <v/>
      </c>
      <c r="L134" s="33">
        <f>IF(A134="","",COUNTIFS(DATA_MASTER!$I$2:$I$5000,A134,DATA_MASTER!$T$2:$T$5000,"Có"))</f>
        <v/>
      </c>
      <c r="M134" s="33">
        <f>IF(A134="","",COUNTIFS(ORDERS!$E$2:$E$4995,A134,ORDERS!$L$2:$L$4995,"Đã chuyển khoản"))</f>
        <v/>
      </c>
      <c r="N134" s="11" t="n"/>
    </row>
    <row r="135" ht="14.25" customHeight="1" s="40">
      <c r="A135" s="11" t="n"/>
      <c r="B135" s="11" t="n"/>
      <c r="C135" s="11" t="n"/>
      <c r="D135" s="11" t="n"/>
      <c r="E135" s="11" t="n"/>
      <c r="F135" s="11" t="n"/>
      <c r="G135" s="34" t="n"/>
      <c r="H135" s="11" t="n"/>
      <c r="I135" s="33">
        <f>IF(A135="","",DANH_MUC!$L$4&amp;"?ref="&amp;A135)</f>
        <v/>
      </c>
      <c r="J135" s="33">
        <f>IF(A135="","",IF(COUNTIF($A$2:$A$495,A135)&gt;1,"TRÙNG",""))</f>
        <v/>
      </c>
      <c r="K135" s="33">
        <f>IF(A135="","",COUNTIF(DATA_MASTER!$I$2:$I$5000,A135))</f>
        <v/>
      </c>
      <c r="L135" s="33">
        <f>IF(A135="","",COUNTIFS(DATA_MASTER!$I$2:$I$5000,A135,DATA_MASTER!$T$2:$T$5000,"Có"))</f>
        <v/>
      </c>
      <c r="M135" s="33">
        <f>IF(A135="","",COUNTIFS(ORDERS!$E$2:$E$4995,A135,ORDERS!$L$2:$L$4995,"Đã chuyển khoản"))</f>
        <v/>
      </c>
      <c r="N135" s="11" t="n"/>
    </row>
    <row r="136" ht="14.25" customHeight="1" s="40">
      <c r="A136" s="11" t="n"/>
      <c r="B136" s="11" t="n"/>
      <c r="C136" s="11" t="n"/>
      <c r="D136" s="11" t="n"/>
      <c r="E136" s="11" t="n"/>
      <c r="F136" s="11" t="n"/>
      <c r="G136" s="34" t="n"/>
      <c r="H136" s="11" t="n"/>
      <c r="I136" s="33">
        <f>IF(A136="","",DANH_MUC!$L$4&amp;"?ref="&amp;A136)</f>
        <v/>
      </c>
      <c r="J136" s="33">
        <f>IF(A136="","",IF(COUNTIF($A$2:$A$495,A136)&gt;1,"TRÙNG",""))</f>
        <v/>
      </c>
      <c r="K136" s="33">
        <f>IF(A136="","",COUNTIF(DATA_MASTER!$I$2:$I$5000,A136))</f>
        <v/>
      </c>
      <c r="L136" s="33">
        <f>IF(A136="","",COUNTIFS(DATA_MASTER!$I$2:$I$5000,A136,DATA_MASTER!$T$2:$T$5000,"Có"))</f>
        <v/>
      </c>
      <c r="M136" s="33">
        <f>IF(A136="","",COUNTIFS(ORDERS!$E$2:$E$4995,A136,ORDERS!$L$2:$L$4995,"Đã chuyển khoản"))</f>
        <v/>
      </c>
      <c r="N136" s="11" t="n"/>
    </row>
    <row r="137" ht="14.25" customHeight="1" s="40">
      <c r="A137" s="11" t="n"/>
      <c r="B137" s="11" t="n"/>
      <c r="C137" s="11" t="n"/>
      <c r="D137" s="11" t="n"/>
      <c r="E137" s="11" t="n"/>
      <c r="F137" s="11" t="n"/>
      <c r="G137" s="34" t="n"/>
      <c r="H137" s="11" t="n"/>
      <c r="I137" s="33">
        <f>IF(A137="","",DANH_MUC!$L$4&amp;"?ref="&amp;A137)</f>
        <v/>
      </c>
      <c r="J137" s="33">
        <f>IF(A137="","",IF(COUNTIF($A$2:$A$495,A137)&gt;1,"TRÙNG",""))</f>
        <v/>
      </c>
      <c r="K137" s="33">
        <f>IF(A137="","",COUNTIF(DATA_MASTER!$I$2:$I$5000,A137))</f>
        <v/>
      </c>
      <c r="L137" s="33">
        <f>IF(A137="","",COUNTIFS(DATA_MASTER!$I$2:$I$5000,A137,DATA_MASTER!$T$2:$T$5000,"Có"))</f>
        <v/>
      </c>
      <c r="M137" s="33">
        <f>IF(A137="","",COUNTIFS(ORDERS!$E$2:$E$4995,A137,ORDERS!$L$2:$L$4995,"Đã chuyển khoản"))</f>
        <v/>
      </c>
      <c r="N137" s="11" t="n"/>
    </row>
    <row r="138" ht="14.25" customHeight="1" s="40">
      <c r="A138" s="11" t="n"/>
      <c r="B138" s="11" t="n"/>
      <c r="C138" s="11" t="n"/>
      <c r="D138" s="11" t="n"/>
      <c r="E138" s="11" t="n"/>
      <c r="F138" s="11" t="n"/>
      <c r="G138" s="34" t="n"/>
      <c r="H138" s="11" t="n"/>
      <c r="I138" s="33">
        <f>IF(A138="","",DANH_MUC!$L$4&amp;"?ref="&amp;A138)</f>
        <v/>
      </c>
      <c r="J138" s="33">
        <f>IF(A138="","",IF(COUNTIF($A$2:$A$495,A138)&gt;1,"TRÙNG",""))</f>
        <v/>
      </c>
      <c r="K138" s="33">
        <f>IF(A138="","",COUNTIF(DATA_MASTER!$I$2:$I$5000,A138))</f>
        <v/>
      </c>
      <c r="L138" s="33">
        <f>IF(A138="","",COUNTIFS(DATA_MASTER!$I$2:$I$5000,A138,DATA_MASTER!$T$2:$T$5000,"Có"))</f>
        <v/>
      </c>
      <c r="M138" s="33">
        <f>IF(A138="","",COUNTIFS(ORDERS!$E$2:$E$4995,A138,ORDERS!$L$2:$L$4995,"Đã chuyển khoản"))</f>
        <v/>
      </c>
      <c r="N138" s="11" t="n"/>
    </row>
    <row r="139" ht="14.25" customHeight="1" s="40">
      <c r="A139" s="11" t="n"/>
      <c r="B139" s="11" t="n"/>
      <c r="C139" s="11" t="n"/>
      <c r="D139" s="11" t="n"/>
      <c r="E139" s="11" t="n"/>
      <c r="F139" s="11" t="n"/>
      <c r="G139" s="34" t="n"/>
      <c r="H139" s="11" t="n"/>
      <c r="I139" s="33">
        <f>IF(A139="","",DANH_MUC!$L$4&amp;"?ref="&amp;A139)</f>
        <v/>
      </c>
      <c r="J139" s="33">
        <f>IF(A139="","",IF(COUNTIF($A$2:$A$495,A139)&gt;1,"TRÙNG",""))</f>
        <v/>
      </c>
      <c r="K139" s="33">
        <f>IF(A139="","",COUNTIF(DATA_MASTER!$I$2:$I$5000,A139))</f>
        <v/>
      </c>
      <c r="L139" s="33">
        <f>IF(A139="","",COUNTIFS(DATA_MASTER!$I$2:$I$5000,A139,DATA_MASTER!$T$2:$T$5000,"Có"))</f>
        <v/>
      </c>
      <c r="M139" s="33">
        <f>IF(A139="","",COUNTIFS(ORDERS!$E$2:$E$4995,A139,ORDERS!$L$2:$L$4995,"Đã chuyển khoản"))</f>
        <v/>
      </c>
      <c r="N139" s="11" t="n"/>
    </row>
    <row r="140" ht="14.25" customHeight="1" s="40">
      <c r="A140" s="11" t="n"/>
      <c r="B140" s="11" t="n"/>
      <c r="C140" s="11" t="n"/>
      <c r="D140" s="11" t="n"/>
      <c r="E140" s="11" t="n"/>
      <c r="F140" s="11" t="n"/>
      <c r="G140" s="34" t="n"/>
      <c r="H140" s="11" t="n"/>
      <c r="I140" s="33">
        <f>IF(A140="","",DANH_MUC!$L$4&amp;"?ref="&amp;A140)</f>
        <v/>
      </c>
      <c r="J140" s="33">
        <f>IF(A140="","",IF(COUNTIF($A$2:$A$495,A140)&gt;1,"TRÙNG",""))</f>
        <v/>
      </c>
      <c r="K140" s="33">
        <f>IF(A140="","",COUNTIF(DATA_MASTER!$I$2:$I$5000,A140))</f>
        <v/>
      </c>
      <c r="L140" s="33">
        <f>IF(A140="","",COUNTIFS(DATA_MASTER!$I$2:$I$5000,A140,DATA_MASTER!$T$2:$T$5000,"Có"))</f>
        <v/>
      </c>
      <c r="M140" s="33">
        <f>IF(A140="","",COUNTIFS(ORDERS!$E$2:$E$4995,A140,ORDERS!$L$2:$L$4995,"Đã chuyển khoản"))</f>
        <v/>
      </c>
      <c r="N140" s="11" t="n"/>
    </row>
    <row r="141" ht="14.25" customHeight="1" s="40">
      <c r="A141" s="11" t="n"/>
      <c r="B141" s="11" t="n"/>
      <c r="C141" s="11" t="n"/>
      <c r="D141" s="11" t="n"/>
      <c r="E141" s="11" t="n"/>
      <c r="F141" s="11" t="n"/>
      <c r="G141" s="34" t="n"/>
      <c r="H141" s="11" t="n"/>
      <c r="I141" s="33">
        <f>IF(A141="","",DANH_MUC!$L$4&amp;"?ref="&amp;A141)</f>
        <v/>
      </c>
      <c r="J141" s="33">
        <f>IF(A141="","",IF(COUNTIF($A$2:$A$495,A141)&gt;1,"TRÙNG",""))</f>
        <v/>
      </c>
      <c r="K141" s="33">
        <f>IF(A141="","",COUNTIF(DATA_MASTER!$I$2:$I$5000,A141))</f>
        <v/>
      </c>
      <c r="L141" s="33">
        <f>IF(A141="","",COUNTIFS(DATA_MASTER!$I$2:$I$5000,A141,DATA_MASTER!$T$2:$T$5000,"Có"))</f>
        <v/>
      </c>
      <c r="M141" s="33">
        <f>IF(A141="","",COUNTIFS(ORDERS!$E$2:$E$4995,A141,ORDERS!$L$2:$L$4995,"Đã chuyển khoản"))</f>
        <v/>
      </c>
      <c r="N141" s="11" t="n"/>
    </row>
    <row r="142" ht="14.25" customHeight="1" s="40">
      <c r="A142" s="11" t="n"/>
      <c r="B142" s="11" t="n"/>
      <c r="C142" s="11" t="n"/>
      <c r="D142" s="11" t="n"/>
      <c r="E142" s="11" t="n"/>
      <c r="F142" s="11" t="n"/>
      <c r="G142" s="34" t="n"/>
      <c r="H142" s="11" t="n"/>
      <c r="I142" s="33">
        <f>IF(A142="","",DANH_MUC!$L$4&amp;"?ref="&amp;A142)</f>
        <v/>
      </c>
      <c r="J142" s="33">
        <f>IF(A142="","",IF(COUNTIF($A$2:$A$495,A142)&gt;1,"TRÙNG",""))</f>
        <v/>
      </c>
      <c r="K142" s="33">
        <f>IF(A142="","",COUNTIF(DATA_MASTER!$I$2:$I$5000,A142))</f>
        <v/>
      </c>
      <c r="L142" s="33">
        <f>IF(A142="","",COUNTIFS(DATA_MASTER!$I$2:$I$5000,A142,DATA_MASTER!$T$2:$T$5000,"Có"))</f>
        <v/>
      </c>
      <c r="M142" s="33">
        <f>IF(A142="","",COUNTIFS(ORDERS!$E$2:$E$4995,A142,ORDERS!$L$2:$L$4995,"Đã chuyển khoản"))</f>
        <v/>
      </c>
      <c r="N142" s="11" t="n"/>
    </row>
    <row r="143" ht="14.25" customHeight="1" s="40">
      <c r="A143" s="11" t="n"/>
      <c r="B143" s="11" t="n"/>
      <c r="C143" s="11" t="n"/>
      <c r="D143" s="11" t="n"/>
      <c r="E143" s="11" t="n"/>
      <c r="F143" s="11" t="n"/>
      <c r="G143" s="34" t="n"/>
      <c r="H143" s="11" t="n"/>
      <c r="I143" s="33">
        <f>IF(A143="","",DANH_MUC!$L$4&amp;"?ref="&amp;A143)</f>
        <v/>
      </c>
      <c r="J143" s="33">
        <f>IF(A143="","",IF(COUNTIF($A$2:$A$495,A143)&gt;1,"TRÙNG",""))</f>
        <v/>
      </c>
      <c r="K143" s="33">
        <f>IF(A143="","",COUNTIF(DATA_MASTER!$I$2:$I$5000,A143))</f>
        <v/>
      </c>
      <c r="L143" s="33">
        <f>IF(A143="","",COUNTIFS(DATA_MASTER!$I$2:$I$5000,A143,DATA_MASTER!$T$2:$T$5000,"Có"))</f>
        <v/>
      </c>
      <c r="M143" s="33">
        <f>IF(A143="","",COUNTIFS(ORDERS!$E$2:$E$4995,A143,ORDERS!$L$2:$L$4995,"Đã chuyển khoản"))</f>
        <v/>
      </c>
      <c r="N143" s="11" t="n"/>
    </row>
    <row r="144" ht="14.25" customHeight="1" s="40">
      <c r="A144" s="11" t="n"/>
      <c r="B144" s="11" t="n"/>
      <c r="C144" s="11" t="n"/>
      <c r="D144" s="11" t="n"/>
      <c r="E144" s="11" t="n"/>
      <c r="F144" s="11" t="n"/>
      <c r="G144" s="34" t="n"/>
      <c r="H144" s="11" t="n"/>
      <c r="I144" s="33">
        <f>IF(A144="","",DANH_MUC!$L$4&amp;"?ref="&amp;A144)</f>
        <v/>
      </c>
      <c r="J144" s="33">
        <f>IF(A144="","",IF(COUNTIF($A$2:$A$495,A144)&gt;1,"TRÙNG",""))</f>
        <v/>
      </c>
      <c r="K144" s="33">
        <f>IF(A144="","",COUNTIF(DATA_MASTER!$I$2:$I$5000,A144))</f>
        <v/>
      </c>
      <c r="L144" s="33">
        <f>IF(A144="","",COUNTIFS(DATA_MASTER!$I$2:$I$5000,A144,DATA_MASTER!$T$2:$T$5000,"Có"))</f>
        <v/>
      </c>
      <c r="M144" s="33">
        <f>IF(A144="","",COUNTIFS(ORDERS!$E$2:$E$4995,A144,ORDERS!$L$2:$L$4995,"Đã chuyển khoản"))</f>
        <v/>
      </c>
      <c r="N144" s="11" t="n"/>
    </row>
    <row r="145" ht="14.25" customHeight="1" s="40">
      <c r="A145" s="11" t="n"/>
      <c r="B145" s="11" t="n"/>
      <c r="C145" s="11" t="n"/>
      <c r="D145" s="11" t="n"/>
      <c r="E145" s="11" t="n"/>
      <c r="F145" s="11" t="n"/>
      <c r="G145" s="34" t="n"/>
      <c r="H145" s="11" t="n"/>
      <c r="I145" s="33">
        <f>IF(A145="","",DANH_MUC!$L$4&amp;"?ref="&amp;A145)</f>
        <v/>
      </c>
      <c r="J145" s="33">
        <f>IF(A145="","",IF(COUNTIF($A$2:$A$495,A145)&gt;1,"TRÙNG",""))</f>
        <v/>
      </c>
      <c r="K145" s="33">
        <f>IF(A145="","",COUNTIF(DATA_MASTER!$I$2:$I$5000,A145))</f>
        <v/>
      </c>
      <c r="L145" s="33">
        <f>IF(A145="","",COUNTIFS(DATA_MASTER!$I$2:$I$5000,A145,DATA_MASTER!$T$2:$T$5000,"Có"))</f>
        <v/>
      </c>
      <c r="M145" s="33">
        <f>IF(A145="","",COUNTIFS(ORDERS!$E$2:$E$4995,A145,ORDERS!$L$2:$L$4995,"Đã chuyển khoản"))</f>
        <v/>
      </c>
      <c r="N145" s="11" t="n"/>
    </row>
    <row r="146" ht="14.25" customHeight="1" s="40">
      <c r="A146" s="11" t="n"/>
      <c r="B146" s="11" t="n"/>
      <c r="C146" s="11" t="n"/>
      <c r="D146" s="11" t="n"/>
      <c r="E146" s="11" t="n"/>
      <c r="F146" s="11" t="n"/>
      <c r="G146" s="34" t="n"/>
      <c r="H146" s="11" t="n"/>
      <c r="I146" s="33">
        <f>IF(A146="","",DANH_MUC!$L$4&amp;"?ref="&amp;A146)</f>
        <v/>
      </c>
      <c r="J146" s="33">
        <f>IF(A146="","",IF(COUNTIF($A$2:$A$495,A146)&gt;1,"TRÙNG",""))</f>
        <v/>
      </c>
      <c r="K146" s="33">
        <f>IF(A146="","",COUNTIF(DATA_MASTER!$I$2:$I$5000,A146))</f>
        <v/>
      </c>
      <c r="L146" s="33">
        <f>IF(A146="","",COUNTIFS(DATA_MASTER!$I$2:$I$5000,A146,DATA_MASTER!$T$2:$T$5000,"Có"))</f>
        <v/>
      </c>
      <c r="M146" s="33">
        <f>IF(A146="","",COUNTIFS(ORDERS!$E$2:$E$4995,A146,ORDERS!$L$2:$L$4995,"Đã chuyển khoản"))</f>
        <v/>
      </c>
      <c r="N146" s="11" t="n"/>
    </row>
    <row r="147" ht="14.25" customHeight="1" s="40">
      <c r="A147" s="11" t="n"/>
      <c r="B147" s="11" t="n"/>
      <c r="C147" s="11" t="n"/>
      <c r="D147" s="11" t="n"/>
      <c r="E147" s="11" t="n"/>
      <c r="F147" s="11" t="n"/>
      <c r="G147" s="34" t="n"/>
      <c r="H147" s="11" t="n"/>
      <c r="I147" s="33">
        <f>IF(A147="","",DANH_MUC!$L$4&amp;"?ref="&amp;A147)</f>
        <v/>
      </c>
      <c r="J147" s="33">
        <f>IF(A147="","",IF(COUNTIF($A$2:$A$495,A147)&gt;1,"TRÙNG",""))</f>
        <v/>
      </c>
      <c r="K147" s="33">
        <f>IF(A147="","",COUNTIF(DATA_MASTER!$I$2:$I$5000,A147))</f>
        <v/>
      </c>
      <c r="L147" s="33">
        <f>IF(A147="","",COUNTIFS(DATA_MASTER!$I$2:$I$5000,A147,DATA_MASTER!$T$2:$T$5000,"Có"))</f>
        <v/>
      </c>
      <c r="M147" s="33">
        <f>IF(A147="","",COUNTIFS(ORDERS!$E$2:$E$4995,A147,ORDERS!$L$2:$L$4995,"Đã chuyển khoản"))</f>
        <v/>
      </c>
      <c r="N147" s="11" t="n"/>
    </row>
    <row r="148" ht="14.25" customHeight="1" s="40">
      <c r="A148" s="11" t="n"/>
      <c r="B148" s="11" t="n"/>
      <c r="C148" s="11" t="n"/>
      <c r="D148" s="11" t="n"/>
      <c r="E148" s="11" t="n"/>
      <c r="F148" s="11" t="n"/>
      <c r="G148" s="34" t="n"/>
      <c r="H148" s="11" t="n"/>
      <c r="I148" s="33">
        <f>IF(A148="","",DANH_MUC!$L$4&amp;"?ref="&amp;A148)</f>
        <v/>
      </c>
      <c r="J148" s="33">
        <f>IF(A148="","",IF(COUNTIF($A$2:$A$495,A148)&gt;1,"TRÙNG",""))</f>
        <v/>
      </c>
      <c r="K148" s="33">
        <f>IF(A148="","",COUNTIF(DATA_MASTER!$I$2:$I$5000,A148))</f>
        <v/>
      </c>
      <c r="L148" s="33">
        <f>IF(A148="","",COUNTIFS(DATA_MASTER!$I$2:$I$5000,A148,DATA_MASTER!$T$2:$T$5000,"Có"))</f>
        <v/>
      </c>
      <c r="M148" s="33">
        <f>IF(A148="","",COUNTIFS(ORDERS!$E$2:$E$4995,A148,ORDERS!$L$2:$L$4995,"Đã chuyển khoản"))</f>
        <v/>
      </c>
      <c r="N148" s="11" t="n"/>
    </row>
    <row r="149" ht="14.25" customHeight="1" s="40">
      <c r="A149" s="11" t="n"/>
      <c r="B149" s="11" t="n"/>
      <c r="C149" s="11" t="n"/>
      <c r="D149" s="11" t="n"/>
      <c r="E149" s="11" t="n"/>
      <c r="F149" s="11" t="n"/>
      <c r="G149" s="34" t="n"/>
      <c r="H149" s="11" t="n"/>
      <c r="I149" s="33">
        <f>IF(A149="","",DANH_MUC!$L$4&amp;"?ref="&amp;A149)</f>
        <v/>
      </c>
      <c r="J149" s="33">
        <f>IF(A149="","",IF(COUNTIF($A$2:$A$495,A149)&gt;1,"TRÙNG",""))</f>
        <v/>
      </c>
      <c r="K149" s="33">
        <f>IF(A149="","",COUNTIF(DATA_MASTER!$I$2:$I$5000,A149))</f>
        <v/>
      </c>
      <c r="L149" s="33">
        <f>IF(A149="","",COUNTIFS(DATA_MASTER!$I$2:$I$5000,A149,DATA_MASTER!$T$2:$T$5000,"Có"))</f>
        <v/>
      </c>
      <c r="M149" s="33">
        <f>IF(A149="","",COUNTIFS(ORDERS!$E$2:$E$4995,A149,ORDERS!$L$2:$L$4995,"Đã chuyển khoản"))</f>
        <v/>
      </c>
      <c r="N149" s="11" t="n"/>
    </row>
    <row r="150" ht="14.25" customHeight="1" s="40">
      <c r="A150" s="11" t="n"/>
      <c r="B150" s="11" t="n"/>
      <c r="C150" s="11" t="n"/>
      <c r="D150" s="11" t="n"/>
      <c r="E150" s="11" t="n"/>
      <c r="F150" s="11" t="n"/>
      <c r="G150" s="34" t="n"/>
      <c r="H150" s="11" t="n"/>
      <c r="I150" s="33">
        <f>IF(A150="","",DANH_MUC!$L$4&amp;"?ref="&amp;A150)</f>
        <v/>
      </c>
      <c r="J150" s="33">
        <f>IF(A150="","",IF(COUNTIF($A$2:$A$495,A150)&gt;1,"TRÙNG",""))</f>
        <v/>
      </c>
      <c r="K150" s="33">
        <f>IF(A150="","",COUNTIF(DATA_MASTER!$I$2:$I$5000,A150))</f>
        <v/>
      </c>
      <c r="L150" s="33">
        <f>IF(A150="","",COUNTIFS(DATA_MASTER!$I$2:$I$5000,A150,DATA_MASTER!$T$2:$T$5000,"Có"))</f>
        <v/>
      </c>
      <c r="M150" s="33">
        <f>IF(A150="","",COUNTIFS(ORDERS!$E$2:$E$4995,A150,ORDERS!$L$2:$L$4995,"Đã chuyển khoản"))</f>
        <v/>
      </c>
      <c r="N150" s="11" t="n"/>
    </row>
    <row r="151" ht="14.25" customHeight="1" s="40">
      <c r="A151" s="11" t="n"/>
      <c r="B151" s="11" t="n"/>
      <c r="C151" s="11" t="n"/>
      <c r="D151" s="11" t="n"/>
      <c r="E151" s="11" t="n"/>
      <c r="F151" s="11" t="n"/>
      <c r="G151" s="34" t="n"/>
      <c r="H151" s="11" t="n"/>
      <c r="I151" s="33">
        <f>IF(A151="","",DANH_MUC!$L$4&amp;"?ref="&amp;A151)</f>
        <v/>
      </c>
      <c r="J151" s="33">
        <f>IF(A151="","",IF(COUNTIF($A$2:$A$495,A151)&gt;1,"TRÙNG",""))</f>
        <v/>
      </c>
      <c r="K151" s="33">
        <f>IF(A151="","",COUNTIF(DATA_MASTER!$I$2:$I$5000,A151))</f>
        <v/>
      </c>
      <c r="L151" s="33">
        <f>IF(A151="","",COUNTIFS(DATA_MASTER!$I$2:$I$5000,A151,DATA_MASTER!$T$2:$T$5000,"Có"))</f>
        <v/>
      </c>
      <c r="M151" s="33">
        <f>IF(A151="","",COUNTIFS(ORDERS!$E$2:$E$4995,A151,ORDERS!$L$2:$L$4995,"Đã chuyển khoản"))</f>
        <v/>
      </c>
      <c r="N151" s="11" t="n"/>
    </row>
    <row r="152" ht="14.25" customHeight="1" s="40">
      <c r="A152" s="11" t="n"/>
      <c r="B152" s="11" t="n"/>
      <c r="C152" s="11" t="n"/>
      <c r="D152" s="11" t="n"/>
      <c r="E152" s="11" t="n"/>
      <c r="F152" s="11" t="n"/>
      <c r="G152" s="34" t="n"/>
      <c r="H152" s="11" t="n"/>
      <c r="I152" s="33">
        <f>IF(A152="","",DANH_MUC!$L$4&amp;"?ref="&amp;A152)</f>
        <v/>
      </c>
      <c r="J152" s="33">
        <f>IF(A152="","",IF(COUNTIF($A$2:$A$495,A152)&gt;1,"TRÙNG",""))</f>
        <v/>
      </c>
      <c r="K152" s="33">
        <f>IF(A152="","",COUNTIF(DATA_MASTER!$I$2:$I$5000,A152))</f>
        <v/>
      </c>
      <c r="L152" s="33">
        <f>IF(A152="","",COUNTIFS(DATA_MASTER!$I$2:$I$5000,A152,DATA_MASTER!$T$2:$T$5000,"Có"))</f>
        <v/>
      </c>
      <c r="M152" s="33">
        <f>IF(A152="","",COUNTIFS(ORDERS!$E$2:$E$4995,A152,ORDERS!$L$2:$L$4995,"Đã chuyển khoản"))</f>
        <v/>
      </c>
      <c r="N152" s="11" t="n"/>
    </row>
    <row r="153" ht="14.25" customHeight="1" s="40">
      <c r="A153" s="11" t="n"/>
      <c r="B153" s="11" t="n"/>
      <c r="C153" s="11" t="n"/>
      <c r="D153" s="11" t="n"/>
      <c r="E153" s="11" t="n"/>
      <c r="F153" s="11" t="n"/>
      <c r="G153" s="34" t="n"/>
      <c r="H153" s="11" t="n"/>
      <c r="I153" s="33">
        <f>IF(A153="","",DANH_MUC!$L$4&amp;"?ref="&amp;A153)</f>
        <v/>
      </c>
      <c r="J153" s="33">
        <f>IF(A153="","",IF(COUNTIF($A$2:$A$495,A153)&gt;1,"TRÙNG",""))</f>
        <v/>
      </c>
      <c r="K153" s="33">
        <f>IF(A153="","",COUNTIF(DATA_MASTER!$I$2:$I$5000,A153))</f>
        <v/>
      </c>
      <c r="L153" s="33">
        <f>IF(A153="","",COUNTIFS(DATA_MASTER!$I$2:$I$5000,A153,DATA_MASTER!$T$2:$T$5000,"Có"))</f>
        <v/>
      </c>
      <c r="M153" s="33">
        <f>IF(A153="","",COUNTIFS(ORDERS!$E$2:$E$4995,A153,ORDERS!$L$2:$L$4995,"Đã chuyển khoản"))</f>
        <v/>
      </c>
      <c r="N153" s="11" t="n"/>
    </row>
    <row r="154" ht="14.25" customHeight="1" s="40">
      <c r="A154" s="11" t="n"/>
      <c r="B154" s="11" t="n"/>
      <c r="C154" s="11" t="n"/>
      <c r="D154" s="11" t="n"/>
      <c r="E154" s="11" t="n"/>
      <c r="F154" s="11" t="n"/>
      <c r="G154" s="34" t="n"/>
      <c r="H154" s="11" t="n"/>
      <c r="I154" s="33">
        <f>IF(A154="","",DANH_MUC!$L$4&amp;"?ref="&amp;A154)</f>
        <v/>
      </c>
      <c r="J154" s="33">
        <f>IF(A154="","",IF(COUNTIF($A$2:$A$495,A154)&gt;1,"TRÙNG",""))</f>
        <v/>
      </c>
      <c r="K154" s="33">
        <f>IF(A154="","",COUNTIF(DATA_MASTER!$I$2:$I$5000,A154))</f>
        <v/>
      </c>
      <c r="L154" s="33">
        <f>IF(A154="","",COUNTIFS(DATA_MASTER!$I$2:$I$5000,A154,DATA_MASTER!$T$2:$T$5000,"Có"))</f>
        <v/>
      </c>
      <c r="M154" s="33">
        <f>IF(A154="","",COUNTIFS(ORDERS!$E$2:$E$4995,A154,ORDERS!$L$2:$L$4995,"Đã chuyển khoản"))</f>
        <v/>
      </c>
      <c r="N154" s="11" t="n"/>
    </row>
    <row r="155" ht="14.25" customHeight="1" s="40">
      <c r="A155" s="11" t="n"/>
      <c r="B155" s="11" t="n"/>
      <c r="C155" s="11" t="n"/>
      <c r="D155" s="11" t="n"/>
      <c r="E155" s="11" t="n"/>
      <c r="F155" s="11" t="n"/>
      <c r="G155" s="34" t="n"/>
      <c r="H155" s="11" t="n"/>
      <c r="I155" s="33">
        <f>IF(A155="","",DANH_MUC!$L$4&amp;"?ref="&amp;A155)</f>
        <v/>
      </c>
      <c r="J155" s="33">
        <f>IF(A155="","",IF(COUNTIF($A$2:$A$495,A155)&gt;1,"TRÙNG",""))</f>
        <v/>
      </c>
      <c r="K155" s="33">
        <f>IF(A155="","",COUNTIF(DATA_MASTER!$I$2:$I$5000,A155))</f>
        <v/>
      </c>
      <c r="L155" s="33">
        <f>IF(A155="","",COUNTIFS(DATA_MASTER!$I$2:$I$5000,A155,DATA_MASTER!$T$2:$T$5000,"Có"))</f>
        <v/>
      </c>
      <c r="M155" s="33">
        <f>IF(A155="","",COUNTIFS(ORDERS!$E$2:$E$4995,A155,ORDERS!$L$2:$L$4995,"Đã chuyển khoản"))</f>
        <v/>
      </c>
      <c r="N155" s="11" t="n"/>
    </row>
    <row r="156" ht="14.25" customHeight="1" s="40">
      <c r="A156" s="11" t="n"/>
      <c r="B156" s="11" t="n"/>
      <c r="C156" s="11" t="n"/>
      <c r="D156" s="11" t="n"/>
      <c r="E156" s="11" t="n"/>
      <c r="F156" s="11" t="n"/>
      <c r="G156" s="34" t="n"/>
      <c r="H156" s="11" t="n"/>
      <c r="I156" s="33">
        <f>IF(A156="","",DANH_MUC!$L$4&amp;"?ref="&amp;A156)</f>
        <v/>
      </c>
      <c r="J156" s="33">
        <f>IF(A156="","",IF(COUNTIF($A$2:$A$495,A156)&gt;1,"TRÙNG",""))</f>
        <v/>
      </c>
      <c r="K156" s="33">
        <f>IF(A156="","",COUNTIF(DATA_MASTER!$I$2:$I$5000,A156))</f>
        <v/>
      </c>
      <c r="L156" s="33">
        <f>IF(A156="","",COUNTIFS(DATA_MASTER!$I$2:$I$5000,A156,DATA_MASTER!$T$2:$T$5000,"Có"))</f>
        <v/>
      </c>
      <c r="M156" s="33">
        <f>IF(A156="","",COUNTIFS(ORDERS!$E$2:$E$4995,A156,ORDERS!$L$2:$L$4995,"Đã chuyển khoản"))</f>
        <v/>
      </c>
      <c r="N156" s="11" t="n"/>
    </row>
    <row r="157" ht="14.25" customHeight="1" s="40">
      <c r="A157" s="11" t="n"/>
      <c r="B157" s="11" t="n"/>
      <c r="C157" s="11" t="n"/>
      <c r="D157" s="11" t="n"/>
      <c r="E157" s="11" t="n"/>
      <c r="F157" s="11" t="n"/>
      <c r="G157" s="34" t="n"/>
      <c r="H157" s="11" t="n"/>
      <c r="I157" s="33">
        <f>IF(A157="","",DANH_MUC!$L$4&amp;"?ref="&amp;A157)</f>
        <v/>
      </c>
      <c r="J157" s="33">
        <f>IF(A157="","",IF(COUNTIF($A$2:$A$495,A157)&gt;1,"TRÙNG",""))</f>
        <v/>
      </c>
      <c r="K157" s="33">
        <f>IF(A157="","",COUNTIF(DATA_MASTER!$I$2:$I$5000,A157))</f>
        <v/>
      </c>
      <c r="L157" s="33">
        <f>IF(A157="","",COUNTIFS(DATA_MASTER!$I$2:$I$5000,A157,DATA_MASTER!$T$2:$T$5000,"Có"))</f>
        <v/>
      </c>
      <c r="M157" s="33">
        <f>IF(A157="","",COUNTIFS(ORDERS!$E$2:$E$4995,A157,ORDERS!$L$2:$L$4995,"Đã chuyển khoản"))</f>
        <v/>
      </c>
      <c r="N157" s="11" t="n"/>
    </row>
    <row r="158" ht="14.25" customHeight="1" s="40">
      <c r="A158" s="11" t="n"/>
      <c r="B158" s="11" t="n"/>
      <c r="C158" s="11" t="n"/>
      <c r="D158" s="11" t="n"/>
      <c r="E158" s="11" t="n"/>
      <c r="F158" s="11" t="n"/>
      <c r="G158" s="34" t="n"/>
      <c r="H158" s="11" t="n"/>
      <c r="I158" s="33">
        <f>IF(A158="","",DANH_MUC!$L$4&amp;"?ref="&amp;A158)</f>
        <v/>
      </c>
      <c r="J158" s="33">
        <f>IF(A158="","",IF(COUNTIF($A$2:$A$495,A158)&gt;1,"TRÙNG",""))</f>
        <v/>
      </c>
      <c r="K158" s="33">
        <f>IF(A158="","",COUNTIF(DATA_MASTER!$I$2:$I$5000,A158))</f>
        <v/>
      </c>
      <c r="L158" s="33">
        <f>IF(A158="","",COUNTIFS(DATA_MASTER!$I$2:$I$5000,A158,DATA_MASTER!$T$2:$T$5000,"Có"))</f>
        <v/>
      </c>
      <c r="M158" s="33">
        <f>IF(A158="","",COUNTIFS(ORDERS!$E$2:$E$4995,A158,ORDERS!$L$2:$L$4995,"Đã chuyển khoản"))</f>
        <v/>
      </c>
      <c r="N158" s="11" t="n"/>
    </row>
    <row r="159" ht="14.25" customHeight="1" s="40">
      <c r="A159" s="11" t="n"/>
      <c r="B159" s="11" t="n"/>
      <c r="C159" s="11" t="n"/>
      <c r="D159" s="11" t="n"/>
      <c r="E159" s="11" t="n"/>
      <c r="F159" s="11" t="n"/>
      <c r="G159" s="34" t="n"/>
      <c r="H159" s="11" t="n"/>
      <c r="I159" s="33">
        <f>IF(A159="","",DANH_MUC!$L$4&amp;"?ref="&amp;A159)</f>
        <v/>
      </c>
      <c r="J159" s="33">
        <f>IF(A159="","",IF(COUNTIF($A$2:$A$495,A159)&gt;1,"TRÙNG",""))</f>
        <v/>
      </c>
      <c r="K159" s="33">
        <f>IF(A159="","",COUNTIF(DATA_MASTER!$I$2:$I$5000,A159))</f>
        <v/>
      </c>
      <c r="L159" s="33">
        <f>IF(A159="","",COUNTIFS(DATA_MASTER!$I$2:$I$5000,A159,DATA_MASTER!$T$2:$T$5000,"Có"))</f>
        <v/>
      </c>
      <c r="M159" s="33">
        <f>IF(A159="","",COUNTIFS(ORDERS!$E$2:$E$4995,A159,ORDERS!$L$2:$L$4995,"Đã chuyển khoản"))</f>
        <v/>
      </c>
      <c r="N159" s="11" t="n"/>
    </row>
    <row r="160" ht="14.25" customHeight="1" s="40">
      <c r="A160" s="11" t="n"/>
      <c r="B160" s="11" t="n"/>
      <c r="C160" s="11" t="n"/>
      <c r="D160" s="11" t="n"/>
      <c r="E160" s="11" t="n"/>
      <c r="F160" s="11" t="n"/>
      <c r="G160" s="34" t="n"/>
      <c r="H160" s="11" t="n"/>
      <c r="I160" s="33">
        <f>IF(A160="","",DANH_MUC!$L$4&amp;"?ref="&amp;A160)</f>
        <v/>
      </c>
      <c r="J160" s="33">
        <f>IF(A160="","",IF(COUNTIF($A$2:$A$495,A160)&gt;1,"TRÙNG",""))</f>
        <v/>
      </c>
      <c r="K160" s="33">
        <f>IF(A160="","",COUNTIF(DATA_MASTER!$I$2:$I$5000,A160))</f>
        <v/>
      </c>
      <c r="L160" s="33">
        <f>IF(A160="","",COUNTIFS(DATA_MASTER!$I$2:$I$5000,A160,DATA_MASTER!$T$2:$T$5000,"Có"))</f>
        <v/>
      </c>
      <c r="M160" s="33">
        <f>IF(A160="","",COUNTIFS(ORDERS!$E$2:$E$4995,A160,ORDERS!$L$2:$L$4995,"Đã chuyển khoản"))</f>
        <v/>
      </c>
      <c r="N160" s="11" t="n"/>
    </row>
    <row r="161" ht="14.25" customHeight="1" s="40">
      <c r="A161" s="11" t="n"/>
      <c r="B161" s="11" t="n"/>
      <c r="C161" s="11" t="n"/>
      <c r="D161" s="11" t="n"/>
      <c r="E161" s="11" t="n"/>
      <c r="F161" s="11" t="n"/>
      <c r="G161" s="34" t="n"/>
      <c r="H161" s="11" t="n"/>
      <c r="I161" s="33">
        <f>IF(A161="","",DANH_MUC!$L$4&amp;"?ref="&amp;A161)</f>
        <v/>
      </c>
      <c r="J161" s="33">
        <f>IF(A161="","",IF(COUNTIF($A$2:$A$495,A161)&gt;1,"TRÙNG",""))</f>
        <v/>
      </c>
      <c r="K161" s="33">
        <f>IF(A161="","",COUNTIF(DATA_MASTER!$I$2:$I$5000,A161))</f>
        <v/>
      </c>
      <c r="L161" s="33">
        <f>IF(A161="","",COUNTIFS(DATA_MASTER!$I$2:$I$5000,A161,DATA_MASTER!$T$2:$T$5000,"Có"))</f>
        <v/>
      </c>
      <c r="M161" s="33">
        <f>IF(A161="","",COUNTIFS(ORDERS!$E$2:$E$4995,A161,ORDERS!$L$2:$L$4995,"Đã chuyển khoản"))</f>
        <v/>
      </c>
      <c r="N161" s="11" t="n"/>
    </row>
    <row r="162" ht="14.25" customHeight="1" s="40">
      <c r="A162" s="11" t="n"/>
      <c r="B162" s="11" t="n"/>
      <c r="C162" s="11" t="n"/>
      <c r="D162" s="11" t="n"/>
      <c r="E162" s="11" t="n"/>
      <c r="F162" s="11" t="n"/>
      <c r="G162" s="34" t="n"/>
      <c r="H162" s="11" t="n"/>
      <c r="I162" s="33">
        <f>IF(A162="","",DANH_MUC!$L$4&amp;"?ref="&amp;A162)</f>
        <v/>
      </c>
      <c r="J162" s="33">
        <f>IF(A162="","",IF(COUNTIF($A$2:$A$495,A162)&gt;1,"TRÙNG",""))</f>
        <v/>
      </c>
      <c r="K162" s="33">
        <f>IF(A162="","",COUNTIF(DATA_MASTER!$I$2:$I$5000,A162))</f>
        <v/>
      </c>
      <c r="L162" s="33">
        <f>IF(A162="","",COUNTIFS(DATA_MASTER!$I$2:$I$5000,A162,DATA_MASTER!$T$2:$T$5000,"Có"))</f>
        <v/>
      </c>
      <c r="M162" s="33">
        <f>IF(A162="","",COUNTIFS(ORDERS!$E$2:$E$4995,A162,ORDERS!$L$2:$L$4995,"Đã chuyển khoản"))</f>
        <v/>
      </c>
      <c r="N162" s="11" t="n"/>
    </row>
    <row r="163" ht="14.25" customHeight="1" s="40">
      <c r="A163" s="11" t="n"/>
      <c r="B163" s="11" t="n"/>
      <c r="C163" s="11" t="n"/>
      <c r="D163" s="11" t="n"/>
      <c r="E163" s="11" t="n"/>
      <c r="F163" s="11" t="n"/>
      <c r="G163" s="34" t="n"/>
      <c r="H163" s="11" t="n"/>
      <c r="I163" s="33">
        <f>IF(A163="","",DANH_MUC!$L$4&amp;"?ref="&amp;A163)</f>
        <v/>
      </c>
      <c r="J163" s="33">
        <f>IF(A163="","",IF(COUNTIF($A$2:$A$495,A163)&gt;1,"TRÙNG",""))</f>
        <v/>
      </c>
      <c r="K163" s="33">
        <f>IF(A163="","",COUNTIF(DATA_MASTER!$I$2:$I$5000,A163))</f>
        <v/>
      </c>
      <c r="L163" s="33">
        <f>IF(A163="","",COUNTIFS(DATA_MASTER!$I$2:$I$5000,A163,DATA_MASTER!$T$2:$T$5000,"Có"))</f>
        <v/>
      </c>
      <c r="M163" s="33">
        <f>IF(A163="","",COUNTIFS(ORDERS!$E$2:$E$4995,A163,ORDERS!$L$2:$L$4995,"Đã chuyển khoản"))</f>
        <v/>
      </c>
      <c r="N163" s="11" t="n"/>
    </row>
    <row r="164" ht="14.25" customHeight="1" s="40">
      <c r="A164" s="11" t="n"/>
      <c r="B164" s="11" t="n"/>
      <c r="C164" s="11" t="n"/>
      <c r="D164" s="11" t="n"/>
      <c r="E164" s="11" t="n"/>
      <c r="F164" s="11" t="n"/>
      <c r="G164" s="34" t="n"/>
      <c r="H164" s="11" t="n"/>
      <c r="I164" s="33">
        <f>IF(A164="","",DANH_MUC!$L$4&amp;"?ref="&amp;A164)</f>
        <v/>
      </c>
      <c r="J164" s="33">
        <f>IF(A164="","",IF(COUNTIF($A$2:$A$495,A164)&gt;1,"TRÙNG",""))</f>
        <v/>
      </c>
      <c r="K164" s="33">
        <f>IF(A164="","",COUNTIF(DATA_MASTER!$I$2:$I$5000,A164))</f>
        <v/>
      </c>
      <c r="L164" s="33">
        <f>IF(A164="","",COUNTIFS(DATA_MASTER!$I$2:$I$5000,A164,DATA_MASTER!$T$2:$T$5000,"Có"))</f>
        <v/>
      </c>
      <c r="M164" s="33">
        <f>IF(A164="","",COUNTIFS(ORDERS!$E$2:$E$4995,A164,ORDERS!$L$2:$L$4995,"Đã chuyển khoản"))</f>
        <v/>
      </c>
      <c r="N164" s="11" t="n"/>
    </row>
    <row r="165" ht="14.25" customHeight="1" s="40">
      <c r="A165" s="11" t="n"/>
      <c r="B165" s="11" t="n"/>
      <c r="C165" s="11" t="n"/>
      <c r="D165" s="11" t="n"/>
      <c r="E165" s="11" t="n"/>
      <c r="F165" s="11" t="n"/>
      <c r="G165" s="34" t="n"/>
      <c r="H165" s="11" t="n"/>
      <c r="I165" s="33">
        <f>IF(A165="","",DANH_MUC!$L$4&amp;"?ref="&amp;A165)</f>
        <v/>
      </c>
      <c r="J165" s="33">
        <f>IF(A165="","",IF(COUNTIF($A$2:$A$495,A165)&gt;1,"TRÙNG",""))</f>
        <v/>
      </c>
      <c r="K165" s="33">
        <f>IF(A165="","",COUNTIF(DATA_MASTER!$I$2:$I$5000,A165))</f>
        <v/>
      </c>
      <c r="L165" s="33">
        <f>IF(A165="","",COUNTIFS(DATA_MASTER!$I$2:$I$5000,A165,DATA_MASTER!$T$2:$T$5000,"Có"))</f>
        <v/>
      </c>
      <c r="M165" s="33">
        <f>IF(A165="","",COUNTIFS(ORDERS!$E$2:$E$4995,A165,ORDERS!$L$2:$L$4995,"Đã chuyển khoản"))</f>
        <v/>
      </c>
      <c r="N165" s="11" t="n"/>
    </row>
    <row r="166" ht="14.25" customHeight="1" s="40">
      <c r="A166" s="11" t="n"/>
      <c r="B166" s="11" t="n"/>
      <c r="C166" s="11" t="n"/>
      <c r="D166" s="11" t="n"/>
      <c r="E166" s="11" t="n"/>
      <c r="F166" s="11" t="n"/>
      <c r="G166" s="34" t="n"/>
      <c r="H166" s="11" t="n"/>
      <c r="I166" s="33">
        <f>IF(A166="","",DANH_MUC!$L$4&amp;"?ref="&amp;A166)</f>
        <v/>
      </c>
      <c r="J166" s="33">
        <f>IF(A166="","",IF(COUNTIF($A$2:$A$495,A166)&gt;1,"TRÙNG",""))</f>
        <v/>
      </c>
      <c r="K166" s="33">
        <f>IF(A166="","",COUNTIF(DATA_MASTER!$I$2:$I$5000,A166))</f>
        <v/>
      </c>
      <c r="L166" s="33">
        <f>IF(A166="","",COUNTIFS(DATA_MASTER!$I$2:$I$5000,A166,DATA_MASTER!$T$2:$T$5000,"Có"))</f>
        <v/>
      </c>
      <c r="M166" s="33">
        <f>IF(A166="","",COUNTIFS(ORDERS!$E$2:$E$4995,A166,ORDERS!$L$2:$L$4995,"Đã chuyển khoản"))</f>
        <v/>
      </c>
      <c r="N166" s="11" t="n"/>
    </row>
    <row r="167" ht="14.25" customHeight="1" s="40">
      <c r="A167" s="11" t="n"/>
      <c r="B167" s="11" t="n"/>
      <c r="C167" s="11" t="n"/>
      <c r="D167" s="11" t="n"/>
      <c r="E167" s="11" t="n"/>
      <c r="F167" s="11" t="n"/>
      <c r="G167" s="34" t="n"/>
      <c r="H167" s="11" t="n"/>
      <c r="I167" s="33">
        <f>IF(A167="","",DANH_MUC!$L$4&amp;"?ref="&amp;A167)</f>
        <v/>
      </c>
      <c r="J167" s="33">
        <f>IF(A167="","",IF(COUNTIF($A$2:$A$495,A167)&gt;1,"TRÙNG",""))</f>
        <v/>
      </c>
      <c r="K167" s="33">
        <f>IF(A167="","",COUNTIF(DATA_MASTER!$I$2:$I$5000,A167))</f>
        <v/>
      </c>
      <c r="L167" s="33">
        <f>IF(A167="","",COUNTIFS(DATA_MASTER!$I$2:$I$5000,A167,DATA_MASTER!$T$2:$T$5000,"Có"))</f>
        <v/>
      </c>
      <c r="M167" s="33">
        <f>IF(A167="","",COUNTIFS(ORDERS!$E$2:$E$4995,A167,ORDERS!$L$2:$L$4995,"Đã chuyển khoản"))</f>
        <v/>
      </c>
      <c r="N167" s="11" t="n"/>
    </row>
    <row r="168" ht="14.25" customHeight="1" s="40">
      <c r="A168" s="11" t="n"/>
      <c r="B168" s="11" t="n"/>
      <c r="C168" s="11" t="n"/>
      <c r="D168" s="11" t="n"/>
      <c r="E168" s="11" t="n"/>
      <c r="F168" s="11" t="n"/>
      <c r="G168" s="34" t="n"/>
      <c r="H168" s="11" t="n"/>
      <c r="I168" s="33">
        <f>IF(A168="","",DANH_MUC!$L$4&amp;"?ref="&amp;A168)</f>
        <v/>
      </c>
      <c r="J168" s="33">
        <f>IF(A168="","",IF(COUNTIF($A$2:$A$495,A168)&gt;1,"TRÙNG",""))</f>
        <v/>
      </c>
      <c r="K168" s="33">
        <f>IF(A168="","",COUNTIF(DATA_MASTER!$I$2:$I$5000,A168))</f>
        <v/>
      </c>
      <c r="L168" s="33">
        <f>IF(A168="","",COUNTIFS(DATA_MASTER!$I$2:$I$5000,A168,DATA_MASTER!$T$2:$T$5000,"Có"))</f>
        <v/>
      </c>
      <c r="M168" s="33">
        <f>IF(A168="","",COUNTIFS(ORDERS!$E$2:$E$4995,A168,ORDERS!$L$2:$L$4995,"Đã chuyển khoản"))</f>
        <v/>
      </c>
      <c r="N168" s="11" t="n"/>
    </row>
    <row r="169" ht="14.25" customHeight="1" s="40">
      <c r="A169" s="11" t="n"/>
      <c r="B169" s="11" t="n"/>
      <c r="C169" s="11" t="n"/>
      <c r="D169" s="11" t="n"/>
      <c r="E169" s="11" t="n"/>
      <c r="F169" s="11" t="n"/>
      <c r="G169" s="34" t="n"/>
      <c r="H169" s="11" t="n"/>
      <c r="I169" s="33">
        <f>IF(A169="","",DANH_MUC!$L$4&amp;"?ref="&amp;A169)</f>
        <v/>
      </c>
      <c r="J169" s="33">
        <f>IF(A169="","",IF(COUNTIF($A$2:$A$495,A169)&gt;1,"TRÙNG",""))</f>
        <v/>
      </c>
      <c r="K169" s="33">
        <f>IF(A169="","",COUNTIF(DATA_MASTER!$I$2:$I$5000,A169))</f>
        <v/>
      </c>
      <c r="L169" s="33">
        <f>IF(A169="","",COUNTIFS(DATA_MASTER!$I$2:$I$5000,A169,DATA_MASTER!$T$2:$T$5000,"Có"))</f>
        <v/>
      </c>
      <c r="M169" s="33">
        <f>IF(A169="","",COUNTIFS(ORDERS!$E$2:$E$4995,A169,ORDERS!$L$2:$L$4995,"Đã chuyển khoản"))</f>
        <v/>
      </c>
      <c r="N169" s="11" t="n"/>
    </row>
    <row r="170" ht="14.25" customHeight="1" s="40">
      <c r="A170" s="11" t="n"/>
      <c r="B170" s="11" t="n"/>
      <c r="C170" s="11" t="n"/>
      <c r="D170" s="11" t="n"/>
      <c r="E170" s="11" t="n"/>
      <c r="F170" s="11" t="n"/>
      <c r="G170" s="34" t="n"/>
      <c r="H170" s="11" t="n"/>
      <c r="I170" s="33">
        <f>IF(A170="","",DANH_MUC!$L$4&amp;"?ref="&amp;A170)</f>
        <v/>
      </c>
      <c r="J170" s="33">
        <f>IF(A170="","",IF(COUNTIF($A$2:$A$495,A170)&gt;1,"TRÙNG",""))</f>
        <v/>
      </c>
      <c r="K170" s="33">
        <f>IF(A170="","",COUNTIF(DATA_MASTER!$I$2:$I$5000,A170))</f>
        <v/>
      </c>
      <c r="L170" s="33">
        <f>IF(A170="","",COUNTIFS(DATA_MASTER!$I$2:$I$5000,A170,DATA_MASTER!$T$2:$T$5000,"Có"))</f>
        <v/>
      </c>
      <c r="M170" s="33">
        <f>IF(A170="","",COUNTIFS(ORDERS!$E$2:$E$4995,A170,ORDERS!$L$2:$L$4995,"Đã chuyển khoản"))</f>
        <v/>
      </c>
      <c r="N170" s="11" t="n"/>
    </row>
    <row r="171" ht="14.25" customHeight="1" s="40">
      <c r="A171" s="11" t="n"/>
      <c r="B171" s="11" t="n"/>
      <c r="C171" s="11" t="n"/>
      <c r="D171" s="11" t="n"/>
      <c r="E171" s="11" t="n"/>
      <c r="F171" s="11" t="n"/>
      <c r="G171" s="34" t="n"/>
      <c r="H171" s="11" t="n"/>
      <c r="I171" s="33">
        <f>IF(A171="","",DANH_MUC!$L$4&amp;"?ref="&amp;A171)</f>
        <v/>
      </c>
      <c r="J171" s="33">
        <f>IF(A171="","",IF(COUNTIF($A$2:$A$495,A171)&gt;1,"TRÙNG",""))</f>
        <v/>
      </c>
      <c r="K171" s="33">
        <f>IF(A171="","",COUNTIF(DATA_MASTER!$I$2:$I$5000,A171))</f>
        <v/>
      </c>
      <c r="L171" s="33">
        <f>IF(A171="","",COUNTIFS(DATA_MASTER!$I$2:$I$5000,A171,DATA_MASTER!$T$2:$T$5000,"Có"))</f>
        <v/>
      </c>
      <c r="M171" s="33">
        <f>IF(A171="","",COUNTIFS(ORDERS!$E$2:$E$4995,A171,ORDERS!$L$2:$L$4995,"Đã chuyển khoản"))</f>
        <v/>
      </c>
      <c r="N171" s="11" t="n"/>
    </row>
    <row r="172" ht="14.25" customHeight="1" s="40">
      <c r="A172" s="11" t="n"/>
      <c r="B172" s="11" t="n"/>
      <c r="C172" s="11" t="n"/>
      <c r="D172" s="11" t="n"/>
      <c r="E172" s="11" t="n"/>
      <c r="F172" s="11" t="n"/>
      <c r="G172" s="34" t="n"/>
      <c r="H172" s="11" t="n"/>
      <c r="I172" s="33">
        <f>IF(A172="","",DANH_MUC!$L$4&amp;"?ref="&amp;A172)</f>
        <v/>
      </c>
      <c r="J172" s="33">
        <f>IF(A172="","",IF(COUNTIF($A$2:$A$495,A172)&gt;1,"TRÙNG",""))</f>
        <v/>
      </c>
      <c r="K172" s="33">
        <f>IF(A172="","",COUNTIF(DATA_MASTER!$I$2:$I$5000,A172))</f>
        <v/>
      </c>
      <c r="L172" s="33">
        <f>IF(A172="","",COUNTIFS(DATA_MASTER!$I$2:$I$5000,A172,DATA_MASTER!$T$2:$T$5000,"Có"))</f>
        <v/>
      </c>
      <c r="M172" s="33">
        <f>IF(A172="","",COUNTIFS(ORDERS!$E$2:$E$4995,A172,ORDERS!$L$2:$L$4995,"Đã chuyển khoản"))</f>
        <v/>
      </c>
      <c r="N172" s="11" t="n"/>
    </row>
    <row r="173" ht="14.25" customHeight="1" s="40">
      <c r="A173" s="11" t="n"/>
      <c r="B173" s="11" t="n"/>
      <c r="C173" s="11" t="n"/>
      <c r="D173" s="11" t="n"/>
      <c r="E173" s="11" t="n"/>
      <c r="F173" s="11" t="n"/>
      <c r="G173" s="34" t="n"/>
      <c r="H173" s="11" t="n"/>
      <c r="I173" s="33">
        <f>IF(A173="","",DANH_MUC!$L$4&amp;"?ref="&amp;A173)</f>
        <v/>
      </c>
      <c r="J173" s="33">
        <f>IF(A173="","",IF(COUNTIF($A$2:$A$495,A173)&gt;1,"TRÙNG",""))</f>
        <v/>
      </c>
      <c r="K173" s="33">
        <f>IF(A173="","",COUNTIF(DATA_MASTER!$I$2:$I$5000,A173))</f>
        <v/>
      </c>
      <c r="L173" s="33">
        <f>IF(A173="","",COUNTIFS(DATA_MASTER!$I$2:$I$5000,A173,DATA_MASTER!$T$2:$T$5000,"Có"))</f>
        <v/>
      </c>
      <c r="M173" s="33">
        <f>IF(A173="","",COUNTIFS(ORDERS!$E$2:$E$4995,A173,ORDERS!$L$2:$L$4995,"Đã chuyển khoản"))</f>
        <v/>
      </c>
      <c r="N173" s="11" t="n"/>
    </row>
    <row r="174" ht="14.25" customHeight="1" s="40">
      <c r="A174" s="11" t="n"/>
      <c r="B174" s="11" t="n"/>
      <c r="C174" s="11" t="n"/>
      <c r="D174" s="11" t="n"/>
      <c r="E174" s="11" t="n"/>
      <c r="F174" s="11" t="n"/>
      <c r="G174" s="34" t="n"/>
      <c r="H174" s="11" t="n"/>
      <c r="I174" s="33">
        <f>IF(A174="","",DANH_MUC!$L$4&amp;"?ref="&amp;A174)</f>
        <v/>
      </c>
      <c r="J174" s="33">
        <f>IF(A174="","",IF(COUNTIF($A$2:$A$495,A174)&gt;1,"TRÙNG",""))</f>
        <v/>
      </c>
      <c r="K174" s="33">
        <f>IF(A174="","",COUNTIF(DATA_MASTER!$I$2:$I$5000,A174))</f>
        <v/>
      </c>
      <c r="L174" s="33">
        <f>IF(A174="","",COUNTIFS(DATA_MASTER!$I$2:$I$5000,A174,DATA_MASTER!$T$2:$T$5000,"Có"))</f>
        <v/>
      </c>
      <c r="M174" s="33">
        <f>IF(A174="","",COUNTIFS(ORDERS!$E$2:$E$4995,A174,ORDERS!$L$2:$L$4995,"Đã chuyển khoản"))</f>
        <v/>
      </c>
      <c r="N174" s="11" t="n"/>
    </row>
    <row r="175" ht="14.25" customHeight="1" s="40">
      <c r="A175" s="11" t="n"/>
      <c r="B175" s="11" t="n"/>
      <c r="C175" s="11" t="n"/>
      <c r="D175" s="11" t="n"/>
      <c r="E175" s="11" t="n"/>
      <c r="F175" s="11" t="n"/>
      <c r="G175" s="34" t="n"/>
      <c r="H175" s="11" t="n"/>
      <c r="I175" s="33">
        <f>IF(A175="","",DANH_MUC!$L$4&amp;"?ref="&amp;A175)</f>
        <v/>
      </c>
      <c r="J175" s="33">
        <f>IF(A175="","",IF(COUNTIF($A$2:$A$495,A175)&gt;1,"TRÙNG",""))</f>
        <v/>
      </c>
      <c r="K175" s="33">
        <f>IF(A175="","",COUNTIF(DATA_MASTER!$I$2:$I$5000,A175))</f>
        <v/>
      </c>
      <c r="L175" s="33">
        <f>IF(A175="","",COUNTIFS(DATA_MASTER!$I$2:$I$5000,A175,DATA_MASTER!$T$2:$T$5000,"Có"))</f>
        <v/>
      </c>
      <c r="M175" s="33">
        <f>IF(A175="","",COUNTIFS(ORDERS!$E$2:$E$4995,A175,ORDERS!$L$2:$L$4995,"Đã chuyển khoản"))</f>
        <v/>
      </c>
      <c r="N175" s="11" t="n"/>
    </row>
    <row r="176" ht="14.25" customHeight="1" s="40">
      <c r="A176" s="11" t="n"/>
      <c r="B176" s="11" t="n"/>
      <c r="C176" s="11" t="n"/>
      <c r="D176" s="11" t="n"/>
      <c r="E176" s="11" t="n"/>
      <c r="F176" s="11" t="n"/>
      <c r="G176" s="34" t="n"/>
      <c r="H176" s="11" t="n"/>
      <c r="I176" s="33">
        <f>IF(A176="","",DANH_MUC!$L$4&amp;"?ref="&amp;A176)</f>
        <v/>
      </c>
      <c r="J176" s="33">
        <f>IF(A176="","",IF(COUNTIF($A$2:$A$495,A176)&gt;1,"TRÙNG",""))</f>
        <v/>
      </c>
      <c r="K176" s="33">
        <f>IF(A176="","",COUNTIF(DATA_MASTER!$I$2:$I$5000,A176))</f>
        <v/>
      </c>
      <c r="L176" s="33">
        <f>IF(A176="","",COUNTIFS(DATA_MASTER!$I$2:$I$5000,A176,DATA_MASTER!$T$2:$T$5000,"Có"))</f>
        <v/>
      </c>
      <c r="M176" s="33">
        <f>IF(A176="","",COUNTIFS(ORDERS!$E$2:$E$4995,A176,ORDERS!$L$2:$L$4995,"Đã chuyển khoản"))</f>
        <v/>
      </c>
      <c r="N176" s="11" t="n"/>
    </row>
    <row r="177" ht="14.25" customHeight="1" s="40">
      <c r="A177" s="11" t="n"/>
      <c r="B177" s="11" t="n"/>
      <c r="C177" s="11" t="n"/>
      <c r="D177" s="11" t="n"/>
      <c r="E177" s="11" t="n"/>
      <c r="F177" s="11" t="n"/>
      <c r="G177" s="34" t="n"/>
      <c r="H177" s="11" t="n"/>
      <c r="I177" s="33">
        <f>IF(A177="","",DANH_MUC!$L$4&amp;"?ref="&amp;A177)</f>
        <v/>
      </c>
      <c r="J177" s="33">
        <f>IF(A177="","",IF(COUNTIF($A$2:$A$495,A177)&gt;1,"TRÙNG",""))</f>
        <v/>
      </c>
      <c r="K177" s="33">
        <f>IF(A177="","",COUNTIF(DATA_MASTER!$I$2:$I$5000,A177))</f>
        <v/>
      </c>
      <c r="L177" s="33">
        <f>IF(A177="","",COUNTIFS(DATA_MASTER!$I$2:$I$5000,A177,DATA_MASTER!$T$2:$T$5000,"Có"))</f>
        <v/>
      </c>
      <c r="M177" s="33">
        <f>IF(A177="","",COUNTIFS(ORDERS!$E$2:$E$4995,A177,ORDERS!$L$2:$L$4995,"Đã chuyển khoản"))</f>
        <v/>
      </c>
      <c r="N177" s="11" t="n"/>
    </row>
    <row r="178" ht="14.25" customHeight="1" s="40">
      <c r="A178" s="11" t="n"/>
      <c r="B178" s="11" t="n"/>
      <c r="C178" s="11" t="n"/>
      <c r="D178" s="11" t="n"/>
      <c r="E178" s="11" t="n"/>
      <c r="F178" s="11" t="n"/>
      <c r="G178" s="34" t="n"/>
      <c r="H178" s="11" t="n"/>
      <c r="I178" s="33">
        <f>IF(A178="","",DANH_MUC!$L$4&amp;"?ref="&amp;A178)</f>
        <v/>
      </c>
      <c r="J178" s="33">
        <f>IF(A178="","",IF(COUNTIF($A$2:$A$495,A178)&gt;1,"TRÙNG",""))</f>
        <v/>
      </c>
      <c r="K178" s="33">
        <f>IF(A178="","",COUNTIF(DATA_MASTER!$I$2:$I$5000,A178))</f>
        <v/>
      </c>
      <c r="L178" s="33">
        <f>IF(A178="","",COUNTIFS(DATA_MASTER!$I$2:$I$5000,A178,DATA_MASTER!$T$2:$T$5000,"Có"))</f>
        <v/>
      </c>
      <c r="M178" s="33">
        <f>IF(A178="","",COUNTIFS(ORDERS!$E$2:$E$4995,A178,ORDERS!$L$2:$L$4995,"Đã chuyển khoản"))</f>
        <v/>
      </c>
      <c r="N178" s="11" t="n"/>
    </row>
    <row r="179" ht="14.25" customHeight="1" s="40">
      <c r="A179" s="11" t="n"/>
      <c r="B179" s="11" t="n"/>
      <c r="C179" s="11" t="n"/>
      <c r="D179" s="11" t="n"/>
      <c r="E179" s="11" t="n"/>
      <c r="F179" s="11" t="n"/>
      <c r="G179" s="34" t="n"/>
      <c r="H179" s="11" t="n"/>
      <c r="I179" s="33">
        <f>IF(A179="","",DANH_MUC!$L$4&amp;"?ref="&amp;A179)</f>
        <v/>
      </c>
      <c r="J179" s="33">
        <f>IF(A179="","",IF(COUNTIF($A$2:$A$495,A179)&gt;1,"TRÙNG",""))</f>
        <v/>
      </c>
      <c r="K179" s="33">
        <f>IF(A179="","",COUNTIF(DATA_MASTER!$I$2:$I$5000,A179))</f>
        <v/>
      </c>
      <c r="L179" s="33">
        <f>IF(A179="","",COUNTIFS(DATA_MASTER!$I$2:$I$5000,A179,DATA_MASTER!$T$2:$T$5000,"Có"))</f>
        <v/>
      </c>
      <c r="M179" s="33">
        <f>IF(A179="","",COUNTIFS(ORDERS!$E$2:$E$4995,A179,ORDERS!$L$2:$L$4995,"Đã chuyển khoản"))</f>
        <v/>
      </c>
      <c r="N179" s="11" t="n"/>
    </row>
    <row r="180" ht="14.25" customHeight="1" s="40">
      <c r="A180" s="11" t="n"/>
      <c r="B180" s="11" t="n"/>
      <c r="C180" s="11" t="n"/>
      <c r="D180" s="11" t="n"/>
      <c r="E180" s="11" t="n"/>
      <c r="F180" s="11" t="n"/>
      <c r="G180" s="34" t="n"/>
      <c r="H180" s="11" t="n"/>
      <c r="I180" s="33">
        <f>IF(A180="","",DANH_MUC!$L$4&amp;"?ref="&amp;A180)</f>
        <v/>
      </c>
      <c r="J180" s="33">
        <f>IF(A180="","",IF(COUNTIF($A$2:$A$495,A180)&gt;1,"TRÙNG",""))</f>
        <v/>
      </c>
      <c r="K180" s="33">
        <f>IF(A180="","",COUNTIF(DATA_MASTER!$I$2:$I$5000,A180))</f>
        <v/>
      </c>
      <c r="L180" s="33">
        <f>IF(A180="","",COUNTIFS(DATA_MASTER!$I$2:$I$5000,A180,DATA_MASTER!$T$2:$T$5000,"Có"))</f>
        <v/>
      </c>
      <c r="M180" s="33">
        <f>IF(A180="","",COUNTIFS(ORDERS!$E$2:$E$4995,A180,ORDERS!$L$2:$L$4995,"Đã chuyển khoản"))</f>
        <v/>
      </c>
      <c r="N180" s="11" t="n"/>
    </row>
    <row r="181" ht="14.25" customHeight="1" s="40">
      <c r="A181" s="11" t="n"/>
      <c r="B181" s="11" t="n"/>
      <c r="C181" s="11" t="n"/>
      <c r="D181" s="11" t="n"/>
      <c r="E181" s="11" t="n"/>
      <c r="F181" s="11" t="n"/>
      <c r="G181" s="34" t="n"/>
      <c r="H181" s="11" t="n"/>
      <c r="I181" s="33">
        <f>IF(A181="","",DANH_MUC!$L$4&amp;"?ref="&amp;A181)</f>
        <v/>
      </c>
      <c r="J181" s="33">
        <f>IF(A181="","",IF(COUNTIF($A$2:$A$495,A181)&gt;1,"TRÙNG",""))</f>
        <v/>
      </c>
      <c r="K181" s="33">
        <f>IF(A181="","",COUNTIF(DATA_MASTER!$I$2:$I$5000,A181))</f>
        <v/>
      </c>
      <c r="L181" s="33">
        <f>IF(A181="","",COUNTIFS(DATA_MASTER!$I$2:$I$5000,A181,DATA_MASTER!$T$2:$T$5000,"Có"))</f>
        <v/>
      </c>
      <c r="M181" s="33">
        <f>IF(A181="","",COUNTIFS(ORDERS!$E$2:$E$4995,A181,ORDERS!$L$2:$L$4995,"Đã chuyển khoản"))</f>
        <v/>
      </c>
      <c r="N181" s="11" t="n"/>
    </row>
    <row r="182" ht="14.25" customHeight="1" s="40">
      <c r="A182" s="11" t="n"/>
      <c r="B182" s="11" t="n"/>
      <c r="C182" s="11" t="n"/>
      <c r="D182" s="11" t="n"/>
      <c r="E182" s="11" t="n"/>
      <c r="F182" s="11" t="n"/>
      <c r="G182" s="34" t="n"/>
      <c r="H182" s="11" t="n"/>
      <c r="I182" s="33">
        <f>IF(A182="","",DANH_MUC!$L$4&amp;"?ref="&amp;A182)</f>
        <v/>
      </c>
      <c r="J182" s="33">
        <f>IF(A182="","",IF(COUNTIF($A$2:$A$495,A182)&gt;1,"TRÙNG",""))</f>
        <v/>
      </c>
      <c r="K182" s="33">
        <f>IF(A182="","",COUNTIF(DATA_MASTER!$I$2:$I$5000,A182))</f>
        <v/>
      </c>
      <c r="L182" s="33">
        <f>IF(A182="","",COUNTIFS(DATA_MASTER!$I$2:$I$5000,A182,DATA_MASTER!$T$2:$T$5000,"Có"))</f>
        <v/>
      </c>
      <c r="M182" s="33">
        <f>IF(A182="","",COUNTIFS(ORDERS!$E$2:$E$4995,A182,ORDERS!$L$2:$L$4995,"Đã chuyển khoản"))</f>
        <v/>
      </c>
      <c r="N182" s="11" t="n"/>
    </row>
    <row r="183" ht="14.25" customHeight="1" s="40">
      <c r="A183" s="11" t="n"/>
      <c r="B183" s="11" t="n"/>
      <c r="C183" s="11" t="n"/>
      <c r="D183" s="11" t="n"/>
      <c r="E183" s="11" t="n"/>
      <c r="F183" s="11" t="n"/>
      <c r="G183" s="34" t="n"/>
      <c r="H183" s="11" t="n"/>
      <c r="I183" s="33">
        <f>IF(A183="","",DANH_MUC!$L$4&amp;"?ref="&amp;A183)</f>
        <v/>
      </c>
      <c r="J183" s="33">
        <f>IF(A183="","",IF(COUNTIF($A$2:$A$495,A183)&gt;1,"TRÙNG",""))</f>
        <v/>
      </c>
      <c r="K183" s="33">
        <f>IF(A183="","",COUNTIF(DATA_MASTER!$I$2:$I$5000,A183))</f>
        <v/>
      </c>
      <c r="L183" s="33">
        <f>IF(A183="","",COUNTIFS(DATA_MASTER!$I$2:$I$5000,A183,DATA_MASTER!$T$2:$T$5000,"Có"))</f>
        <v/>
      </c>
      <c r="M183" s="33">
        <f>IF(A183="","",COUNTIFS(ORDERS!$E$2:$E$4995,A183,ORDERS!$L$2:$L$4995,"Đã chuyển khoản"))</f>
        <v/>
      </c>
      <c r="N183" s="11" t="n"/>
    </row>
    <row r="184" ht="14.25" customHeight="1" s="40">
      <c r="A184" s="11" t="n"/>
      <c r="B184" s="11" t="n"/>
      <c r="C184" s="11" t="n"/>
      <c r="D184" s="11" t="n"/>
      <c r="E184" s="11" t="n"/>
      <c r="F184" s="11" t="n"/>
      <c r="G184" s="34" t="n"/>
      <c r="H184" s="11" t="n"/>
      <c r="I184" s="33">
        <f>IF(A184="","",DANH_MUC!$L$4&amp;"?ref="&amp;A184)</f>
        <v/>
      </c>
      <c r="J184" s="33">
        <f>IF(A184="","",IF(COUNTIF($A$2:$A$495,A184)&gt;1,"TRÙNG",""))</f>
        <v/>
      </c>
      <c r="K184" s="33">
        <f>IF(A184="","",COUNTIF(DATA_MASTER!$I$2:$I$5000,A184))</f>
        <v/>
      </c>
      <c r="L184" s="33">
        <f>IF(A184="","",COUNTIFS(DATA_MASTER!$I$2:$I$5000,A184,DATA_MASTER!$T$2:$T$5000,"Có"))</f>
        <v/>
      </c>
      <c r="M184" s="33">
        <f>IF(A184="","",COUNTIFS(ORDERS!$E$2:$E$4995,A184,ORDERS!$L$2:$L$4995,"Đã chuyển khoản"))</f>
        <v/>
      </c>
      <c r="N184" s="11" t="n"/>
    </row>
    <row r="185" ht="14.25" customHeight="1" s="40">
      <c r="A185" s="11" t="n"/>
      <c r="B185" s="11" t="n"/>
      <c r="C185" s="11" t="n"/>
      <c r="D185" s="11" t="n"/>
      <c r="E185" s="11" t="n"/>
      <c r="F185" s="11" t="n"/>
      <c r="G185" s="34" t="n"/>
      <c r="H185" s="11" t="n"/>
      <c r="I185" s="33">
        <f>IF(A185="","",DANH_MUC!$L$4&amp;"?ref="&amp;A185)</f>
        <v/>
      </c>
      <c r="J185" s="33">
        <f>IF(A185="","",IF(COUNTIF($A$2:$A$495,A185)&gt;1,"TRÙNG",""))</f>
        <v/>
      </c>
      <c r="K185" s="33">
        <f>IF(A185="","",COUNTIF(DATA_MASTER!$I$2:$I$5000,A185))</f>
        <v/>
      </c>
      <c r="L185" s="33">
        <f>IF(A185="","",COUNTIFS(DATA_MASTER!$I$2:$I$5000,A185,DATA_MASTER!$T$2:$T$5000,"Có"))</f>
        <v/>
      </c>
      <c r="M185" s="33">
        <f>IF(A185="","",COUNTIFS(ORDERS!$E$2:$E$4995,A185,ORDERS!$L$2:$L$4995,"Đã chuyển khoản"))</f>
        <v/>
      </c>
      <c r="N185" s="11" t="n"/>
    </row>
    <row r="186" ht="14.25" customHeight="1" s="40">
      <c r="A186" s="11" t="n"/>
      <c r="B186" s="11" t="n"/>
      <c r="C186" s="11" t="n"/>
      <c r="D186" s="11" t="n"/>
      <c r="E186" s="11" t="n"/>
      <c r="F186" s="11" t="n"/>
      <c r="G186" s="34" t="n"/>
      <c r="H186" s="11" t="n"/>
      <c r="I186" s="33">
        <f>IF(A186="","",DANH_MUC!$L$4&amp;"?ref="&amp;A186)</f>
        <v/>
      </c>
      <c r="J186" s="33">
        <f>IF(A186="","",IF(COUNTIF($A$2:$A$495,A186)&gt;1,"TRÙNG",""))</f>
        <v/>
      </c>
      <c r="K186" s="33">
        <f>IF(A186="","",COUNTIF(DATA_MASTER!$I$2:$I$5000,A186))</f>
        <v/>
      </c>
      <c r="L186" s="33">
        <f>IF(A186="","",COUNTIFS(DATA_MASTER!$I$2:$I$5000,A186,DATA_MASTER!$T$2:$T$5000,"Có"))</f>
        <v/>
      </c>
      <c r="M186" s="33">
        <f>IF(A186="","",COUNTIFS(ORDERS!$E$2:$E$4995,A186,ORDERS!$L$2:$L$4995,"Đã chuyển khoản"))</f>
        <v/>
      </c>
      <c r="N186" s="11" t="n"/>
    </row>
    <row r="187" ht="14.25" customHeight="1" s="40">
      <c r="A187" s="11" t="n"/>
      <c r="B187" s="11" t="n"/>
      <c r="C187" s="11" t="n"/>
      <c r="D187" s="11" t="n"/>
      <c r="E187" s="11" t="n"/>
      <c r="F187" s="11" t="n"/>
      <c r="G187" s="34" t="n"/>
      <c r="H187" s="11" t="n"/>
      <c r="I187" s="33">
        <f>IF(A187="","",DANH_MUC!$L$4&amp;"?ref="&amp;A187)</f>
        <v/>
      </c>
      <c r="J187" s="33">
        <f>IF(A187="","",IF(COUNTIF($A$2:$A$495,A187)&gt;1,"TRÙNG",""))</f>
        <v/>
      </c>
      <c r="K187" s="33">
        <f>IF(A187="","",COUNTIF(DATA_MASTER!$I$2:$I$5000,A187))</f>
        <v/>
      </c>
      <c r="L187" s="33">
        <f>IF(A187="","",COUNTIFS(DATA_MASTER!$I$2:$I$5000,A187,DATA_MASTER!$T$2:$T$5000,"Có"))</f>
        <v/>
      </c>
      <c r="M187" s="33">
        <f>IF(A187="","",COUNTIFS(ORDERS!$E$2:$E$4995,A187,ORDERS!$L$2:$L$4995,"Đã chuyển khoản"))</f>
        <v/>
      </c>
      <c r="N187" s="11" t="n"/>
    </row>
    <row r="188" ht="14.25" customHeight="1" s="40">
      <c r="A188" s="11" t="n"/>
      <c r="B188" s="11" t="n"/>
      <c r="C188" s="11" t="n"/>
      <c r="D188" s="11" t="n"/>
      <c r="E188" s="11" t="n"/>
      <c r="F188" s="11" t="n"/>
      <c r="G188" s="34" t="n"/>
      <c r="H188" s="11" t="n"/>
      <c r="I188" s="33">
        <f>IF(A188="","",DANH_MUC!$L$4&amp;"?ref="&amp;A188)</f>
        <v/>
      </c>
      <c r="J188" s="33">
        <f>IF(A188="","",IF(COUNTIF($A$2:$A$495,A188)&gt;1,"TRÙNG",""))</f>
        <v/>
      </c>
      <c r="K188" s="33">
        <f>IF(A188="","",COUNTIF(DATA_MASTER!$I$2:$I$5000,A188))</f>
        <v/>
      </c>
      <c r="L188" s="33">
        <f>IF(A188="","",COUNTIFS(DATA_MASTER!$I$2:$I$5000,A188,DATA_MASTER!$T$2:$T$5000,"Có"))</f>
        <v/>
      </c>
      <c r="M188" s="33">
        <f>IF(A188="","",COUNTIFS(ORDERS!$E$2:$E$4995,A188,ORDERS!$L$2:$L$4995,"Đã chuyển khoản"))</f>
        <v/>
      </c>
      <c r="N188" s="11" t="n"/>
    </row>
    <row r="189" ht="14.25" customHeight="1" s="40">
      <c r="A189" s="11" t="n"/>
      <c r="B189" s="11" t="n"/>
      <c r="C189" s="11" t="n"/>
      <c r="D189" s="11" t="n"/>
      <c r="E189" s="11" t="n"/>
      <c r="F189" s="11" t="n"/>
      <c r="G189" s="34" t="n"/>
      <c r="H189" s="11" t="n"/>
      <c r="I189" s="33">
        <f>IF(A189="","",DANH_MUC!$L$4&amp;"?ref="&amp;A189)</f>
        <v/>
      </c>
      <c r="J189" s="33">
        <f>IF(A189="","",IF(COUNTIF($A$2:$A$495,A189)&gt;1,"TRÙNG",""))</f>
        <v/>
      </c>
      <c r="K189" s="33">
        <f>IF(A189="","",COUNTIF(DATA_MASTER!$I$2:$I$5000,A189))</f>
        <v/>
      </c>
      <c r="L189" s="33">
        <f>IF(A189="","",COUNTIFS(DATA_MASTER!$I$2:$I$5000,A189,DATA_MASTER!$T$2:$T$5000,"Có"))</f>
        <v/>
      </c>
      <c r="M189" s="33">
        <f>IF(A189="","",COUNTIFS(ORDERS!$E$2:$E$4995,A189,ORDERS!$L$2:$L$4995,"Đã chuyển khoản"))</f>
        <v/>
      </c>
      <c r="N189" s="11" t="n"/>
    </row>
    <row r="190" ht="14.25" customHeight="1" s="40">
      <c r="A190" s="11" t="n"/>
      <c r="B190" s="11" t="n"/>
      <c r="C190" s="11" t="n"/>
      <c r="D190" s="11" t="n"/>
      <c r="E190" s="11" t="n"/>
      <c r="F190" s="11" t="n"/>
      <c r="G190" s="34" t="n"/>
      <c r="H190" s="11" t="n"/>
      <c r="I190" s="33">
        <f>IF(A190="","",DANH_MUC!$L$4&amp;"?ref="&amp;A190)</f>
        <v/>
      </c>
      <c r="J190" s="33">
        <f>IF(A190="","",IF(COUNTIF($A$2:$A$495,A190)&gt;1,"TRÙNG",""))</f>
        <v/>
      </c>
      <c r="K190" s="33">
        <f>IF(A190="","",COUNTIF(DATA_MASTER!$I$2:$I$5000,A190))</f>
        <v/>
      </c>
      <c r="L190" s="33">
        <f>IF(A190="","",COUNTIFS(DATA_MASTER!$I$2:$I$5000,A190,DATA_MASTER!$T$2:$T$5000,"Có"))</f>
        <v/>
      </c>
      <c r="M190" s="33">
        <f>IF(A190="","",COUNTIFS(ORDERS!$E$2:$E$4995,A190,ORDERS!$L$2:$L$4995,"Đã chuyển khoản"))</f>
        <v/>
      </c>
      <c r="N190" s="11" t="n"/>
    </row>
    <row r="191" ht="14.25" customHeight="1" s="40">
      <c r="A191" s="11" t="n"/>
      <c r="B191" s="11" t="n"/>
      <c r="C191" s="11" t="n"/>
      <c r="D191" s="11" t="n"/>
      <c r="E191" s="11" t="n"/>
      <c r="F191" s="11" t="n"/>
      <c r="G191" s="34" t="n"/>
      <c r="H191" s="11" t="n"/>
      <c r="I191" s="33">
        <f>IF(A191="","",DANH_MUC!$L$4&amp;"?ref="&amp;A191)</f>
        <v/>
      </c>
      <c r="J191" s="33">
        <f>IF(A191="","",IF(COUNTIF($A$2:$A$495,A191)&gt;1,"TRÙNG",""))</f>
        <v/>
      </c>
      <c r="K191" s="33">
        <f>IF(A191="","",COUNTIF(DATA_MASTER!$I$2:$I$5000,A191))</f>
        <v/>
      </c>
      <c r="L191" s="33">
        <f>IF(A191="","",COUNTIFS(DATA_MASTER!$I$2:$I$5000,A191,DATA_MASTER!$T$2:$T$5000,"Có"))</f>
        <v/>
      </c>
      <c r="M191" s="33">
        <f>IF(A191="","",COUNTIFS(ORDERS!$E$2:$E$4995,A191,ORDERS!$L$2:$L$4995,"Đã chuyển khoản"))</f>
        <v/>
      </c>
      <c r="N191" s="11" t="n"/>
    </row>
    <row r="192" ht="14.25" customHeight="1" s="40">
      <c r="A192" s="11" t="n"/>
      <c r="B192" s="11" t="n"/>
      <c r="C192" s="11" t="n"/>
      <c r="D192" s="11" t="n"/>
      <c r="E192" s="11" t="n"/>
      <c r="F192" s="11" t="n"/>
      <c r="G192" s="34" t="n"/>
      <c r="H192" s="11" t="n"/>
      <c r="I192" s="33">
        <f>IF(A192="","",DANH_MUC!$L$4&amp;"?ref="&amp;A192)</f>
        <v/>
      </c>
      <c r="J192" s="33">
        <f>IF(A192="","",IF(COUNTIF($A$2:$A$495,A192)&gt;1,"TRÙNG",""))</f>
        <v/>
      </c>
      <c r="K192" s="33">
        <f>IF(A192="","",COUNTIF(DATA_MASTER!$I$2:$I$5000,A192))</f>
        <v/>
      </c>
      <c r="L192" s="33">
        <f>IF(A192="","",COUNTIFS(DATA_MASTER!$I$2:$I$5000,A192,DATA_MASTER!$T$2:$T$5000,"Có"))</f>
        <v/>
      </c>
      <c r="M192" s="33">
        <f>IF(A192="","",COUNTIFS(ORDERS!$E$2:$E$4995,A192,ORDERS!$L$2:$L$4995,"Đã chuyển khoản"))</f>
        <v/>
      </c>
      <c r="N192" s="11" t="n"/>
    </row>
    <row r="193" ht="14.25" customHeight="1" s="40">
      <c r="A193" s="11" t="n"/>
      <c r="B193" s="11" t="n"/>
      <c r="C193" s="11" t="n"/>
      <c r="D193" s="11" t="n"/>
      <c r="E193" s="11" t="n"/>
      <c r="F193" s="11" t="n"/>
      <c r="G193" s="34" t="n"/>
      <c r="H193" s="11" t="n"/>
      <c r="I193" s="33">
        <f>IF(A193="","",DANH_MUC!$L$4&amp;"?ref="&amp;A193)</f>
        <v/>
      </c>
      <c r="J193" s="33">
        <f>IF(A193="","",IF(COUNTIF($A$2:$A$495,A193)&gt;1,"TRÙNG",""))</f>
        <v/>
      </c>
      <c r="K193" s="33">
        <f>IF(A193="","",COUNTIF(DATA_MASTER!$I$2:$I$5000,A193))</f>
        <v/>
      </c>
      <c r="L193" s="33">
        <f>IF(A193="","",COUNTIFS(DATA_MASTER!$I$2:$I$5000,A193,DATA_MASTER!$T$2:$T$5000,"Có"))</f>
        <v/>
      </c>
      <c r="M193" s="33">
        <f>IF(A193="","",COUNTIFS(ORDERS!$E$2:$E$4995,A193,ORDERS!$L$2:$L$4995,"Đã chuyển khoản"))</f>
        <v/>
      </c>
      <c r="N193" s="11" t="n"/>
    </row>
    <row r="194" ht="14.25" customHeight="1" s="40">
      <c r="A194" s="11" t="n"/>
      <c r="B194" s="11" t="n"/>
      <c r="C194" s="11" t="n"/>
      <c r="D194" s="11" t="n"/>
      <c r="E194" s="11" t="n"/>
      <c r="F194" s="11" t="n"/>
      <c r="G194" s="34" t="n"/>
      <c r="H194" s="11" t="n"/>
      <c r="I194" s="33">
        <f>IF(A194="","",DANH_MUC!$L$4&amp;"?ref="&amp;A194)</f>
        <v/>
      </c>
      <c r="J194" s="33">
        <f>IF(A194="","",IF(COUNTIF($A$2:$A$495,A194)&gt;1,"TRÙNG",""))</f>
        <v/>
      </c>
      <c r="K194" s="33">
        <f>IF(A194="","",COUNTIF(DATA_MASTER!$I$2:$I$5000,A194))</f>
        <v/>
      </c>
      <c r="L194" s="33">
        <f>IF(A194="","",COUNTIFS(DATA_MASTER!$I$2:$I$5000,A194,DATA_MASTER!$T$2:$T$5000,"Có"))</f>
        <v/>
      </c>
      <c r="M194" s="33">
        <f>IF(A194="","",COUNTIFS(ORDERS!$E$2:$E$4995,A194,ORDERS!$L$2:$L$4995,"Đã chuyển khoản"))</f>
        <v/>
      </c>
      <c r="N194" s="11" t="n"/>
    </row>
    <row r="195" ht="14.25" customHeight="1" s="40">
      <c r="A195" s="11" t="n"/>
      <c r="B195" s="11" t="n"/>
      <c r="C195" s="11" t="n"/>
      <c r="D195" s="11" t="n"/>
      <c r="E195" s="11" t="n"/>
      <c r="F195" s="11" t="n"/>
      <c r="G195" s="34" t="n"/>
      <c r="H195" s="11" t="n"/>
      <c r="I195" s="33">
        <f>IF(A195="","",DANH_MUC!$L$4&amp;"?ref="&amp;A195)</f>
        <v/>
      </c>
      <c r="J195" s="33">
        <f>IF(A195="","",IF(COUNTIF($A$2:$A$495,A195)&gt;1,"TRÙNG",""))</f>
        <v/>
      </c>
      <c r="K195" s="33">
        <f>IF(A195="","",COUNTIF(DATA_MASTER!$I$2:$I$5000,A195))</f>
        <v/>
      </c>
      <c r="L195" s="33">
        <f>IF(A195="","",COUNTIFS(DATA_MASTER!$I$2:$I$5000,A195,DATA_MASTER!$T$2:$T$5000,"Có"))</f>
        <v/>
      </c>
      <c r="M195" s="33">
        <f>IF(A195="","",COUNTIFS(ORDERS!$E$2:$E$4995,A195,ORDERS!$L$2:$L$4995,"Đã chuyển khoản"))</f>
        <v/>
      </c>
      <c r="N195" s="11" t="n"/>
    </row>
    <row r="196" ht="14.25" customHeight="1" s="40">
      <c r="A196" s="11" t="n"/>
      <c r="B196" s="11" t="n"/>
      <c r="C196" s="11" t="n"/>
      <c r="D196" s="11" t="n"/>
      <c r="E196" s="11" t="n"/>
      <c r="F196" s="11" t="n"/>
      <c r="G196" s="34" t="n"/>
      <c r="H196" s="11" t="n"/>
      <c r="I196" s="33">
        <f>IF(A196="","",DANH_MUC!$L$4&amp;"?ref="&amp;A196)</f>
        <v/>
      </c>
      <c r="J196" s="33">
        <f>IF(A196="","",IF(COUNTIF($A$2:$A$495,A196)&gt;1,"TRÙNG",""))</f>
        <v/>
      </c>
      <c r="K196" s="33">
        <f>IF(A196="","",COUNTIF(DATA_MASTER!$I$2:$I$5000,A196))</f>
        <v/>
      </c>
      <c r="L196" s="33">
        <f>IF(A196="","",COUNTIFS(DATA_MASTER!$I$2:$I$5000,A196,DATA_MASTER!$T$2:$T$5000,"Có"))</f>
        <v/>
      </c>
      <c r="M196" s="33">
        <f>IF(A196="","",COUNTIFS(ORDERS!$E$2:$E$4995,A196,ORDERS!$L$2:$L$4995,"Đã chuyển khoản"))</f>
        <v/>
      </c>
      <c r="N196" s="11" t="n"/>
    </row>
    <row r="197" ht="14.25" customHeight="1" s="40">
      <c r="A197" s="11" t="n"/>
      <c r="B197" s="11" t="n"/>
      <c r="C197" s="11" t="n"/>
      <c r="D197" s="11" t="n"/>
      <c r="E197" s="11" t="n"/>
      <c r="F197" s="11" t="n"/>
      <c r="G197" s="34" t="n"/>
      <c r="H197" s="11" t="n"/>
      <c r="I197" s="33">
        <f>IF(A197="","",DANH_MUC!$L$4&amp;"?ref="&amp;A197)</f>
        <v/>
      </c>
      <c r="J197" s="33">
        <f>IF(A197="","",IF(COUNTIF($A$2:$A$495,A197)&gt;1,"TRÙNG",""))</f>
        <v/>
      </c>
      <c r="K197" s="33">
        <f>IF(A197="","",COUNTIF(DATA_MASTER!$I$2:$I$5000,A197))</f>
        <v/>
      </c>
      <c r="L197" s="33">
        <f>IF(A197="","",COUNTIFS(DATA_MASTER!$I$2:$I$5000,A197,DATA_MASTER!$T$2:$T$5000,"Có"))</f>
        <v/>
      </c>
      <c r="M197" s="33">
        <f>IF(A197="","",COUNTIFS(ORDERS!$E$2:$E$4995,A197,ORDERS!$L$2:$L$4995,"Đã chuyển khoản"))</f>
        <v/>
      </c>
      <c r="N197" s="11" t="n"/>
    </row>
    <row r="198" ht="14.25" customHeight="1" s="40">
      <c r="A198" s="11" t="n"/>
      <c r="B198" s="11" t="n"/>
      <c r="C198" s="11" t="n"/>
      <c r="D198" s="11" t="n"/>
      <c r="E198" s="11" t="n"/>
      <c r="F198" s="11" t="n"/>
      <c r="G198" s="34" t="n"/>
      <c r="H198" s="11" t="n"/>
      <c r="I198" s="33">
        <f>IF(A198="","",DANH_MUC!$L$4&amp;"?ref="&amp;A198)</f>
        <v/>
      </c>
      <c r="J198" s="33">
        <f>IF(A198="","",IF(COUNTIF($A$2:$A$495,A198)&gt;1,"TRÙNG",""))</f>
        <v/>
      </c>
      <c r="K198" s="33">
        <f>IF(A198="","",COUNTIF(DATA_MASTER!$I$2:$I$5000,A198))</f>
        <v/>
      </c>
      <c r="L198" s="33">
        <f>IF(A198="","",COUNTIFS(DATA_MASTER!$I$2:$I$5000,A198,DATA_MASTER!$T$2:$T$5000,"Có"))</f>
        <v/>
      </c>
      <c r="M198" s="33">
        <f>IF(A198="","",COUNTIFS(ORDERS!$E$2:$E$4995,A198,ORDERS!$L$2:$L$4995,"Đã chuyển khoản"))</f>
        <v/>
      </c>
      <c r="N198" s="11" t="n"/>
    </row>
    <row r="199" ht="14.25" customHeight="1" s="40">
      <c r="A199" s="11" t="n"/>
      <c r="B199" s="11" t="n"/>
      <c r="C199" s="11" t="n"/>
      <c r="D199" s="11" t="n"/>
      <c r="E199" s="11" t="n"/>
      <c r="F199" s="11" t="n"/>
      <c r="G199" s="34" t="n"/>
      <c r="H199" s="11" t="n"/>
      <c r="I199" s="33">
        <f>IF(A199="","",DANH_MUC!$L$4&amp;"?ref="&amp;A199)</f>
        <v/>
      </c>
      <c r="J199" s="33">
        <f>IF(A199="","",IF(COUNTIF($A$2:$A$495,A199)&gt;1,"TRÙNG",""))</f>
        <v/>
      </c>
      <c r="K199" s="33">
        <f>IF(A199="","",COUNTIF(DATA_MASTER!$I$2:$I$5000,A199))</f>
        <v/>
      </c>
      <c r="L199" s="33">
        <f>IF(A199="","",COUNTIFS(DATA_MASTER!$I$2:$I$5000,A199,DATA_MASTER!$T$2:$T$5000,"Có"))</f>
        <v/>
      </c>
      <c r="M199" s="33">
        <f>IF(A199="","",COUNTIFS(ORDERS!$E$2:$E$4995,A199,ORDERS!$L$2:$L$4995,"Đã chuyển khoản"))</f>
        <v/>
      </c>
      <c r="N199" s="11" t="n"/>
    </row>
    <row r="200" ht="14.25" customHeight="1" s="40">
      <c r="A200" s="11" t="n"/>
      <c r="B200" s="11" t="n"/>
      <c r="C200" s="11" t="n"/>
      <c r="D200" s="11" t="n"/>
      <c r="E200" s="11" t="n"/>
      <c r="F200" s="11" t="n"/>
      <c r="G200" s="34" t="n"/>
      <c r="H200" s="11" t="n"/>
      <c r="I200" s="33">
        <f>IF(A200="","",DANH_MUC!$L$4&amp;"?ref="&amp;A200)</f>
        <v/>
      </c>
      <c r="J200" s="33">
        <f>IF(A200="","",IF(COUNTIF($A$2:$A$495,A200)&gt;1,"TRÙNG",""))</f>
        <v/>
      </c>
      <c r="K200" s="33">
        <f>IF(A200="","",COUNTIF(DATA_MASTER!$I$2:$I$5000,A200))</f>
        <v/>
      </c>
      <c r="L200" s="33">
        <f>IF(A200="","",COUNTIFS(DATA_MASTER!$I$2:$I$5000,A200,DATA_MASTER!$T$2:$T$5000,"Có"))</f>
        <v/>
      </c>
      <c r="M200" s="33">
        <f>IF(A200="","",COUNTIFS(ORDERS!$E$2:$E$4995,A200,ORDERS!$L$2:$L$4995,"Đã chuyển khoản"))</f>
        <v/>
      </c>
      <c r="N200" s="11" t="n"/>
    </row>
    <row r="201" ht="14.25" customHeight="1" s="40">
      <c r="A201" s="11" t="n"/>
      <c r="B201" s="11" t="n"/>
      <c r="C201" s="11" t="n"/>
      <c r="D201" s="11" t="n"/>
      <c r="E201" s="11" t="n"/>
      <c r="F201" s="11" t="n"/>
      <c r="G201" s="34" t="n"/>
      <c r="H201" s="11" t="n"/>
      <c r="I201" s="33">
        <f>IF(A201="","",DANH_MUC!$L$4&amp;"?ref="&amp;A201)</f>
        <v/>
      </c>
      <c r="J201" s="33">
        <f>IF(A201="","",IF(COUNTIF($A$2:$A$495,A201)&gt;1,"TRÙNG",""))</f>
        <v/>
      </c>
      <c r="K201" s="33">
        <f>IF(A201="","",COUNTIF(DATA_MASTER!$I$2:$I$5000,A201))</f>
        <v/>
      </c>
      <c r="L201" s="33">
        <f>IF(A201="","",COUNTIFS(DATA_MASTER!$I$2:$I$5000,A201,DATA_MASTER!$T$2:$T$5000,"Có"))</f>
        <v/>
      </c>
      <c r="M201" s="33">
        <f>IF(A201="","",COUNTIFS(ORDERS!$E$2:$E$4995,A201,ORDERS!$L$2:$L$4995,"Đã chuyển khoản"))</f>
        <v/>
      </c>
      <c r="N201" s="11" t="n"/>
    </row>
    <row r="202" ht="14.25" customHeight="1" s="40">
      <c r="A202" s="11" t="n"/>
      <c r="B202" s="11" t="n"/>
      <c r="C202" s="11" t="n"/>
      <c r="D202" s="11" t="n"/>
      <c r="E202" s="11" t="n"/>
      <c r="F202" s="11" t="n"/>
      <c r="G202" s="34" t="n"/>
      <c r="H202" s="11" t="n"/>
      <c r="I202" s="33">
        <f>IF(A202="","",DANH_MUC!$L$4&amp;"?ref="&amp;A202)</f>
        <v/>
      </c>
      <c r="J202" s="33">
        <f>IF(A202="","",IF(COUNTIF($A$2:$A$495,A202)&gt;1,"TRÙNG",""))</f>
        <v/>
      </c>
      <c r="K202" s="33">
        <f>IF(A202="","",COUNTIF(DATA_MASTER!$I$2:$I$5000,A202))</f>
        <v/>
      </c>
      <c r="L202" s="33">
        <f>IF(A202="","",COUNTIFS(DATA_MASTER!$I$2:$I$5000,A202,DATA_MASTER!$T$2:$T$5000,"Có"))</f>
        <v/>
      </c>
      <c r="M202" s="33">
        <f>IF(A202="","",COUNTIFS(ORDERS!$E$2:$E$4995,A202,ORDERS!$L$2:$L$4995,"Đã chuyển khoản"))</f>
        <v/>
      </c>
      <c r="N202" s="11" t="n"/>
    </row>
    <row r="203" ht="14.25" customHeight="1" s="40">
      <c r="A203" s="11" t="n"/>
      <c r="B203" s="11" t="n"/>
      <c r="C203" s="11" t="n"/>
      <c r="D203" s="11" t="n"/>
      <c r="E203" s="11" t="n"/>
      <c r="F203" s="11" t="n"/>
      <c r="G203" s="34" t="n"/>
      <c r="H203" s="11" t="n"/>
      <c r="I203" s="33">
        <f>IF(A203="","",DANH_MUC!$L$4&amp;"?ref="&amp;A203)</f>
        <v/>
      </c>
      <c r="J203" s="33">
        <f>IF(A203="","",IF(COUNTIF($A$2:$A$495,A203)&gt;1,"TRÙNG",""))</f>
        <v/>
      </c>
      <c r="K203" s="33">
        <f>IF(A203="","",COUNTIF(DATA_MASTER!$I$2:$I$5000,A203))</f>
        <v/>
      </c>
      <c r="L203" s="33">
        <f>IF(A203="","",COUNTIFS(DATA_MASTER!$I$2:$I$5000,A203,DATA_MASTER!$T$2:$T$5000,"Có"))</f>
        <v/>
      </c>
      <c r="M203" s="33">
        <f>IF(A203="","",COUNTIFS(ORDERS!$E$2:$E$4995,A203,ORDERS!$L$2:$L$4995,"Đã chuyển khoản"))</f>
        <v/>
      </c>
      <c r="N203" s="11" t="n"/>
    </row>
    <row r="204" ht="14.25" customHeight="1" s="40">
      <c r="A204" s="11" t="n"/>
      <c r="B204" s="11" t="n"/>
      <c r="C204" s="11" t="n"/>
      <c r="D204" s="11" t="n"/>
      <c r="E204" s="11" t="n"/>
      <c r="F204" s="11" t="n"/>
      <c r="G204" s="34" t="n"/>
      <c r="H204" s="11" t="n"/>
      <c r="I204" s="33">
        <f>IF(A204="","",DANH_MUC!$L$4&amp;"?ref="&amp;A204)</f>
        <v/>
      </c>
      <c r="J204" s="33">
        <f>IF(A204="","",IF(COUNTIF($A$2:$A$495,A204)&gt;1,"TRÙNG",""))</f>
        <v/>
      </c>
      <c r="K204" s="33">
        <f>IF(A204="","",COUNTIF(DATA_MASTER!$I$2:$I$5000,A204))</f>
        <v/>
      </c>
      <c r="L204" s="33">
        <f>IF(A204="","",COUNTIFS(DATA_MASTER!$I$2:$I$5000,A204,DATA_MASTER!$T$2:$T$5000,"Có"))</f>
        <v/>
      </c>
      <c r="M204" s="33">
        <f>IF(A204="","",COUNTIFS(ORDERS!$E$2:$E$4995,A204,ORDERS!$L$2:$L$4995,"Đã chuyển khoản"))</f>
        <v/>
      </c>
      <c r="N204" s="11" t="n"/>
    </row>
    <row r="205" ht="14.25" customHeight="1" s="40">
      <c r="A205" s="11" t="n"/>
      <c r="B205" s="11" t="n"/>
      <c r="C205" s="11" t="n"/>
      <c r="D205" s="11" t="n"/>
      <c r="E205" s="11" t="n"/>
      <c r="F205" s="11" t="n"/>
      <c r="G205" s="34" t="n"/>
      <c r="H205" s="11" t="n"/>
      <c r="I205" s="33">
        <f>IF(A205="","",DANH_MUC!$L$4&amp;"?ref="&amp;A205)</f>
        <v/>
      </c>
      <c r="J205" s="33">
        <f>IF(A205="","",IF(COUNTIF($A$2:$A$495,A205)&gt;1,"TRÙNG",""))</f>
        <v/>
      </c>
      <c r="K205" s="33">
        <f>IF(A205="","",COUNTIF(DATA_MASTER!$I$2:$I$5000,A205))</f>
        <v/>
      </c>
      <c r="L205" s="33">
        <f>IF(A205="","",COUNTIFS(DATA_MASTER!$I$2:$I$5000,A205,DATA_MASTER!$T$2:$T$5000,"Có"))</f>
        <v/>
      </c>
      <c r="M205" s="33">
        <f>IF(A205="","",COUNTIFS(ORDERS!$E$2:$E$4995,A205,ORDERS!$L$2:$L$4995,"Đã chuyển khoản"))</f>
        <v/>
      </c>
      <c r="N205" s="11" t="n"/>
    </row>
    <row r="206" ht="14.25" customHeight="1" s="40">
      <c r="A206" s="11" t="n"/>
      <c r="B206" s="11" t="n"/>
      <c r="C206" s="11" t="n"/>
      <c r="D206" s="11" t="n"/>
      <c r="E206" s="11" t="n"/>
      <c r="F206" s="11" t="n"/>
      <c r="G206" s="34" t="n"/>
      <c r="H206" s="11" t="n"/>
      <c r="I206" s="33">
        <f>IF(A206="","",DANH_MUC!$L$4&amp;"?ref="&amp;A206)</f>
        <v/>
      </c>
      <c r="J206" s="33">
        <f>IF(A206="","",IF(COUNTIF($A$2:$A$495,A206)&gt;1,"TRÙNG",""))</f>
        <v/>
      </c>
      <c r="K206" s="33">
        <f>IF(A206="","",COUNTIF(DATA_MASTER!$I$2:$I$5000,A206))</f>
        <v/>
      </c>
      <c r="L206" s="33">
        <f>IF(A206="","",COUNTIFS(DATA_MASTER!$I$2:$I$5000,A206,DATA_MASTER!$T$2:$T$5000,"Có"))</f>
        <v/>
      </c>
      <c r="M206" s="33">
        <f>IF(A206="","",COUNTIFS(ORDERS!$E$2:$E$4995,A206,ORDERS!$L$2:$L$4995,"Đã chuyển khoản"))</f>
        <v/>
      </c>
      <c r="N206" s="11" t="n"/>
    </row>
    <row r="207" ht="14.25" customHeight="1" s="40">
      <c r="A207" s="11" t="n"/>
      <c r="B207" s="11" t="n"/>
      <c r="C207" s="11" t="n"/>
      <c r="D207" s="11" t="n"/>
      <c r="E207" s="11" t="n"/>
      <c r="F207" s="11" t="n"/>
      <c r="G207" s="34" t="n"/>
      <c r="H207" s="11" t="n"/>
      <c r="I207" s="33">
        <f>IF(A207="","",DANH_MUC!$L$4&amp;"?ref="&amp;A207)</f>
        <v/>
      </c>
      <c r="J207" s="33">
        <f>IF(A207="","",IF(COUNTIF($A$2:$A$495,A207)&gt;1,"TRÙNG",""))</f>
        <v/>
      </c>
      <c r="K207" s="33">
        <f>IF(A207="","",COUNTIF(DATA_MASTER!$I$2:$I$5000,A207))</f>
        <v/>
      </c>
      <c r="L207" s="33">
        <f>IF(A207="","",COUNTIFS(DATA_MASTER!$I$2:$I$5000,A207,DATA_MASTER!$T$2:$T$5000,"Có"))</f>
        <v/>
      </c>
      <c r="M207" s="33">
        <f>IF(A207="","",COUNTIFS(ORDERS!$E$2:$E$4995,A207,ORDERS!$L$2:$L$4995,"Đã chuyển khoản"))</f>
        <v/>
      </c>
      <c r="N207" s="11" t="n"/>
    </row>
    <row r="208" ht="14.25" customHeight="1" s="40">
      <c r="A208" s="11" t="n"/>
      <c r="B208" s="11" t="n"/>
      <c r="C208" s="11" t="n"/>
      <c r="D208" s="11" t="n"/>
      <c r="E208" s="11" t="n"/>
      <c r="F208" s="11" t="n"/>
      <c r="G208" s="34" t="n"/>
      <c r="H208" s="11" t="n"/>
      <c r="I208" s="33">
        <f>IF(A208="","",DANH_MUC!$L$4&amp;"?ref="&amp;A208)</f>
        <v/>
      </c>
      <c r="J208" s="33">
        <f>IF(A208="","",IF(COUNTIF($A$2:$A$495,A208)&gt;1,"TRÙNG",""))</f>
        <v/>
      </c>
      <c r="K208" s="33">
        <f>IF(A208="","",COUNTIF(DATA_MASTER!$I$2:$I$5000,A208))</f>
        <v/>
      </c>
      <c r="L208" s="33">
        <f>IF(A208="","",COUNTIFS(DATA_MASTER!$I$2:$I$5000,A208,DATA_MASTER!$T$2:$T$5000,"Có"))</f>
        <v/>
      </c>
      <c r="M208" s="33">
        <f>IF(A208="","",COUNTIFS(ORDERS!$E$2:$E$4995,A208,ORDERS!$L$2:$L$4995,"Đã chuyển khoản"))</f>
        <v/>
      </c>
      <c r="N208" s="11" t="n"/>
    </row>
    <row r="209" ht="14.25" customHeight="1" s="40">
      <c r="A209" s="11" t="n"/>
      <c r="B209" s="11" t="n"/>
      <c r="C209" s="11" t="n"/>
      <c r="D209" s="11" t="n"/>
      <c r="E209" s="11" t="n"/>
      <c r="F209" s="11" t="n"/>
      <c r="G209" s="34" t="n"/>
      <c r="H209" s="11" t="n"/>
      <c r="I209" s="33">
        <f>IF(A209="","",DANH_MUC!$L$4&amp;"?ref="&amp;A209)</f>
        <v/>
      </c>
      <c r="J209" s="33">
        <f>IF(A209="","",IF(COUNTIF($A$2:$A$495,A209)&gt;1,"TRÙNG",""))</f>
        <v/>
      </c>
      <c r="K209" s="33">
        <f>IF(A209="","",COUNTIF(DATA_MASTER!$I$2:$I$5000,A209))</f>
        <v/>
      </c>
      <c r="L209" s="33">
        <f>IF(A209="","",COUNTIFS(DATA_MASTER!$I$2:$I$5000,A209,DATA_MASTER!$T$2:$T$5000,"Có"))</f>
        <v/>
      </c>
      <c r="M209" s="33">
        <f>IF(A209="","",COUNTIFS(ORDERS!$E$2:$E$4995,A209,ORDERS!$L$2:$L$4995,"Đã chuyển khoản"))</f>
        <v/>
      </c>
      <c r="N209" s="11" t="n"/>
    </row>
    <row r="210" ht="14.25" customHeight="1" s="40">
      <c r="A210" s="11" t="n"/>
      <c r="B210" s="11" t="n"/>
      <c r="C210" s="11" t="n"/>
      <c r="D210" s="11" t="n"/>
      <c r="E210" s="11" t="n"/>
      <c r="F210" s="11" t="n"/>
      <c r="G210" s="34" t="n"/>
      <c r="H210" s="11" t="n"/>
      <c r="I210" s="33">
        <f>IF(A210="","",DANH_MUC!$L$4&amp;"?ref="&amp;A210)</f>
        <v/>
      </c>
      <c r="J210" s="33">
        <f>IF(A210="","",IF(COUNTIF($A$2:$A$495,A210)&gt;1,"TRÙNG",""))</f>
        <v/>
      </c>
      <c r="K210" s="33">
        <f>IF(A210="","",COUNTIF(DATA_MASTER!$I$2:$I$5000,A210))</f>
        <v/>
      </c>
      <c r="L210" s="33">
        <f>IF(A210="","",COUNTIFS(DATA_MASTER!$I$2:$I$5000,A210,DATA_MASTER!$T$2:$T$5000,"Có"))</f>
        <v/>
      </c>
      <c r="M210" s="33">
        <f>IF(A210="","",COUNTIFS(ORDERS!$E$2:$E$4995,A210,ORDERS!$L$2:$L$4995,"Đã chuyển khoản"))</f>
        <v/>
      </c>
      <c r="N210" s="11" t="n"/>
    </row>
    <row r="211" ht="14.25" customHeight="1" s="40">
      <c r="A211" s="11" t="n"/>
      <c r="B211" s="11" t="n"/>
      <c r="C211" s="11" t="n"/>
      <c r="D211" s="11" t="n"/>
      <c r="E211" s="11" t="n"/>
      <c r="F211" s="11" t="n"/>
      <c r="G211" s="34" t="n"/>
      <c r="H211" s="11" t="n"/>
      <c r="I211" s="33">
        <f>IF(A211="","",DANH_MUC!$L$4&amp;"?ref="&amp;A211)</f>
        <v/>
      </c>
      <c r="J211" s="33">
        <f>IF(A211="","",IF(COUNTIF($A$2:$A$495,A211)&gt;1,"TRÙNG",""))</f>
        <v/>
      </c>
      <c r="K211" s="33">
        <f>IF(A211="","",COUNTIF(DATA_MASTER!$I$2:$I$5000,A211))</f>
        <v/>
      </c>
      <c r="L211" s="33">
        <f>IF(A211="","",COUNTIFS(DATA_MASTER!$I$2:$I$5000,A211,DATA_MASTER!$T$2:$T$5000,"Có"))</f>
        <v/>
      </c>
      <c r="M211" s="33">
        <f>IF(A211="","",COUNTIFS(ORDERS!$E$2:$E$4995,A211,ORDERS!$L$2:$L$4995,"Đã chuyển khoản"))</f>
        <v/>
      </c>
      <c r="N211" s="11" t="n"/>
    </row>
    <row r="212" ht="14.25" customHeight="1" s="40">
      <c r="A212" s="11" t="n"/>
      <c r="B212" s="11" t="n"/>
      <c r="C212" s="11" t="n"/>
      <c r="D212" s="11" t="n"/>
      <c r="E212" s="11" t="n"/>
      <c r="F212" s="11" t="n"/>
      <c r="G212" s="34" t="n"/>
      <c r="H212" s="11" t="n"/>
      <c r="I212" s="33">
        <f>IF(A212="","",DANH_MUC!$L$4&amp;"?ref="&amp;A212)</f>
        <v/>
      </c>
      <c r="J212" s="33">
        <f>IF(A212="","",IF(COUNTIF($A$2:$A$495,A212)&gt;1,"TRÙNG",""))</f>
        <v/>
      </c>
      <c r="K212" s="33">
        <f>IF(A212="","",COUNTIF(DATA_MASTER!$I$2:$I$5000,A212))</f>
        <v/>
      </c>
      <c r="L212" s="33">
        <f>IF(A212="","",COUNTIFS(DATA_MASTER!$I$2:$I$5000,A212,DATA_MASTER!$T$2:$T$5000,"Có"))</f>
        <v/>
      </c>
      <c r="M212" s="33">
        <f>IF(A212="","",COUNTIFS(ORDERS!$E$2:$E$4995,A212,ORDERS!$L$2:$L$4995,"Đã chuyển khoản"))</f>
        <v/>
      </c>
      <c r="N212" s="11" t="n"/>
    </row>
    <row r="213" ht="14.25" customHeight="1" s="40">
      <c r="A213" s="11" t="n"/>
      <c r="B213" s="11" t="n"/>
      <c r="C213" s="11" t="n"/>
      <c r="D213" s="11" t="n"/>
      <c r="E213" s="11" t="n"/>
      <c r="F213" s="11" t="n"/>
      <c r="G213" s="34" t="n"/>
      <c r="H213" s="11" t="n"/>
      <c r="I213" s="33">
        <f>IF(A213="","",DANH_MUC!$L$4&amp;"?ref="&amp;A213)</f>
        <v/>
      </c>
      <c r="J213" s="33">
        <f>IF(A213="","",IF(COUNTIF($A$2:$A$495,A213)&gt;1,"TRÙNG",""))</f>
        <v/>
      </c>
      <c r="K213" s="33">
        <f>IF(A213="","",COUNTIF(DATA_MASTER!$I$2:$I$5000,A213))</f>
        <v/>
      </c>
      <c r="L213" s="33">
        <f>IF(A213="","",COUNTIFS(DATA_MASTER!$I$2:$I$5000,A213,DATA_MASTER!$T$2:$T$5000,"Có"))</f>
        <v/>
      </c>
      <c r="M213" s="33">
        <f>IF(A213="","",COUNTIFS(ORDERS!$E$2:$E$4995,A213,ORDERS!$L$2:$L$4995,"Đã chuyển khoản"))</f>
        <v/>
      </c>
      <c r="N213" s="11" t="n"/>
    </row>
    <row r="214" ht="14.25" customHeight="1" s="40">
      <c r="A214" s="11" t="n"/>
      <c r="B214" s="11" t="n"/>
      <c r="C214" s="11" t="n"/>
      <c r="D214" s="11" t="n"/>
      <c r="E214" s="11" t="n"/>
      <c r="F214" s="11" t="n"/>
      <c r="G214" s="34" t="n"/>
      <c r="H214" s="11" t="n"/>
      <c r="I214" s="33">
        <f>IF(A214="","",DANH_MUC!$L$4&amp;"?ref="&amp;A214)</f>
        <v/>
      </c>
      <c r="J214" s="33">
        <f>IF(A214="","",IF(COUNTIF($A$2:$A$495,A214)&gt;1,"TRÙNG",""))</f>
        <v/>
      </c>
      <c r="K214" s="33">
        <f>IF(A214="","",COUNTIF(DATA_MASTER!$I$2:$I$5000,A214))</f>
        <v/>
      </c>
      <c r="L214" s="33">
        <f>IF(A214="","",COUNTIFS(DATA_MASTER!$I$2:$I$5000,A214,DATA_MASTER!$T$2:$T$5000,"Có"))</f>
        <v/>
      </c>
      <c r="M214" s="33">
        <f>IF(A214="","",COUNTIFS(ORDERS!$E$2:$E$4995,A214,ORDERS!$L$2:$L$4995,"Đã chuyển khoản"))</f>
        <v/>
      </c>
      <c r="N214" s="11" t="n"/>
    </row>
    <row r="215" ht="14.25" customHeight="1" s="40">
      <c r="A215" s="11" t="n"/>
      <c r="B215" s="11" t="n"/>
      <c r="C215" s="11" t="n"/>
      <c r="D215" s="11" t="n"/>
      <c r="E215" s="11" t="n"/>
      <c r="F215" s="11" t="n"/>
      <c r="G215" s="34" t="n"/>
      <c r="H215" s="11" t="n"/>
      <c r="I215" s="33">
        <f>IF(A215="","",DANH_MUC!$L$4&amp;"?ref="&amp;A215)</f>
        <v/>
      </c>
      <c r="J215" s="33">
        <f>IF(A215="","",IF(COUNTIF($A$2:$A$495,A215)&gt;1,"TRÙNG",""))</f>
        <v/>
      </c>
      <c r="K215" s="33">
        <f>IF(A215="","",COUNTIF(DATA_MASTER!$I$2:$I$5000,A215))</f>
        <v/>
      </c>
      <c r="L215" s="33">
        <f>IF(A215="","",COUNTIFS(DATA_MASTER!$I$2:$I$5000,A215,DATA_MASTER!$T$2:$T$5000,"Có"))</f>
        <v/>
      </c>
      <c r="M215" s="33">
        <f>IF(A215="","",COUNTIFS(ORDERS!$E$2:$E$4995,A215,ORDERS!$L$2:$L$4995,"Đã chuyển khoản"))</f>
        <v/>
      </c>
      <c r="N215" s="11" t="n"/>
    </row>
    <row r="216" ht="14.25" customHeight="1" s="40">
      <c r="A216" s="11" t="n"/>
      <c r="B216" s="11" t="n"/>
      <c r="C216" s="11" t="n"/>
      <c r="D216" s="11" t="n"/>
      <c r="E216" s="11" t="n"/>
      <c r="F216" s="11" t="n"/>
      <c r="G216" s="34" t="n"/>
      <c r="H216" s="11" t="n"/>
      <c r="I216" s="33">
        <f>IF(A216="","",DANH_MUC!$L$4&amp;"?ref="&amp;A216)</f>
        <v/>
      </c>
      <c r="J216" s="33">
        <f>IF(A216="","",IF(COUNTIF($A$2:$A$495,A216)&gt;1,"TRÙNG",""))</f>
        <v/>
      </c>
      <c r="K216" s="33">
        <f>IF(A216="","",COUNTIF(DATA_MASTER!$I$2:$I$5000,A216))</f>
        <v/>
      </c>
      <c r="L216" s="33">
        <f>IF(A216="","",COUNTIFS(DATA_MASTER!$I$2:$I$5000,A216,DATA_MASTER!$T$2:$T$5000,"Có"))</f>
        <v/>
      </c>
      <c r="M216" s="33">
        <f>IF(A216="","",COUNTIFS(ORDERS!$E$2:$E$4995,A216,ORDERS!$L$2:$L$4995,"Đã chuyển khoản"))</f>
        <v/>
      </c>
      <c r="N216" s="11" t="n"/>
    </row>
    <row r="217" ht="14.25" customHeight="1" s="40">
      <c r="A217" s="11" t="n"/>
      <c r="B217" s="11" t="n"/>
      <c r="C217" s="11" t="n"/>
      <c r="D217" s="11" t="n"/>
      <c r="E217" s="11" t="n"/>
      <c r="F217" s="11" t="n"/>
      <c r="G217" s="34" t="n"/>
      <c r="H217" s="11" t="n"/>
      <c r="I217" s="33">
        <f>IF(A217="","",DANH_MUC!$L$4&amp;"?ref="&amp;A217)</f>
        <v/>
      </c>
      <c r="J217" s="33">
        <f>IF(A217="","",IF(COUNTIF($A$2:$A$495,A217)&gt;1,"TRÙNG",""))</f>
        <v/>
      </c>
      <c r="K217" s="33">
        <f>IF(A217="","",COUNTIF(DATA_MASTER!$I$2:$I$5000,A217))</f>
        <v/>
      </c>
      <c r="L217" s="33">
        <f>IF(A217="","",COUNTIFS(DATA_MASTER!$I$2:$I$5000,A217,DATA_MASTER!$T$2:$T$5000,"Có"))</f>
        <v/>
      </c>
      <c r="M217" s="33">
        <f>IF(A217="","",COUNTIFS(ORDERS!$E$2:$E$4995,A217,ORDERS!$L$2:$L$4995,"Đã chuyển khoản"))</f>
        <v/>
      </c>
      <c r="N217" s="11" t="n"/>
    </row>
    <row r="218" ht="14.25" customHeight="1" s="40">
      <c r="A218" s="11" t="n"/>
      <c r="B218" s="11" t="n"/>
      <c r="C218" s="11" t="n"/>
      <c r="D218" s="11" t="n"/>
      <c r="E218" s="11" t="n"/>
      <c r="F218" s="11" t="n"/>
      <c r="G218" s="34" t="n"/>
      <c r="H218" s="11" t="n"/>
      <c r="I218" s="33">
        <f>IF(A218="","",DANH_MUC!$L$4&amp;"?ref="&amp;A218)</f>
        <v/>
      </c>
      <c r="J218" s="33">
        <f>IF(A218="","",IF(COUNTIF($A$2:$A$495,A218)&gt;1,"TRÙNG",""))</f>
        <v/>
      </c>
      <c r="K218" s="33">
        <f>IF(A218="","",COUNTIF(DATA_MASTER!$I$2:$I$5000,A218))</f>
        <v/>
      </c>
      <c r="L218" s="33">
        <f>IF(A218="","",COUNTIFS(DATA_MASTER!$I$2:$I$5000,A218,DATA_MASTER!$T$2:$T$5000,"Có"))</f>
        <v/>
      </c>
      <c r="M218" s="33">
        <f>IF(A218="","",COUNTIFS(ORDERS!$E$2:$E$4995,A218,ORDERS!$L$2:$L$4995,"Đã chuyển khoản"))</f>
        <v/>
      </c>
      <c r="N218" s="11" t="n"/>
    </row>
    <row r="219" ht="14.25" customHeight="1" s="40">
      <c r="A219" s="11" t="n"/>
      <c r="B219" s="11" t="n"/>
      <c r="C219" s="11" t="n"/>
      <c r="D219" s="11" t="n"/>
      <c r="E219" s="11" t="n"/>
      <c r="F219" s="11" t="n"/>
      <c r="G219" s="34" t="n"/>
      <c r="H219" s="11" t="n"/>
      <c r="I219" s="33">
        <f>IF(A219="","",DANH_MUC!$L$4&amp;"?ref="&amp;A219)</f>
        <v/>
      </c>
      <c r="J219" s="33">
        <f>IF(A219="","",IF(COUNTIF($A$2:$A$495,A219)&gt;1,"TRÙNG",""))</f>
        <v/>
      </c>
      <c r="K219" s="33">
        <f>IF(A219="","",COUNTIF(DATA_MASTER!$I$2:$I$5000,A219))</f>
        <v/>
      </c>
      <c r="L219" s="33">
        <f>IF(A219="","",COUNTIFS(DATA_MASTER!$I$2:$I$5000,A219,DATA_MASTER!$T$2:$T$5000,"Có"))</f>
        <v/>
      </c>
      <c r="M219" s="33">
        <f>IF(A219="","",COUNTIFS(ORDERS!$E$2:$E$4995,A219,ORDERS!$L$2:$L$4995,"Đã chuyển khoản"))</f>
        <v/>
      </c>
      <c r="N219" s="11" t="n"/>
    </row>
    <row r="220" ht="14.25" customHeight="1" s="40">
      <c r="A220" s="11" t="n"/>
      <c r="B220" s="11" t="n"/>
      <c r="C220" s="11" t="n"/>
      <c r="D220" s="11" t="n"/>
      <c r="E220" s="11" t="n"/>
      <c r="F220" s="11" t="n"/>
      <c r="G220" s="34" t="n"/>
      <c r="H220" s="11" t="n"/>
      <c r="I220" s="33">
        <f>IF(A220="","",DANH_MUC!$L$4&amp;"?ref="&amp;A220)</f>
        <v/>
      </c>
      <c r="J220" s="33">
        <f>IF(A220="","",IF(COUNTIF($A$2:$A$495,A220)&gt;1,"TRÙNG",""))</f>
        <v/>
      </c>
      <c r="K220" s="33">
        <f>IF(A220="","",COUNTIF(DATA_MASTER!$I$2:$I$5000,A220))</f>
        <v/>
      </c>
      <c r="L220" s="33">
        <f>IF(A220="","",COUNTIFS(DATA_MASTER!$I$2:$I$5000,A220,DATA_MASTER!$T$2:$T$5000,"Có"))</f>
        <v/>
      </c>
      <c r="M220" s="33">
        <f>IF(A220="","",COUNTIFS(ORDERS!$E$2:$E$4995,A220,ORDERS!$L$2:$L$4995,"Đã chuyển khoản"))</f>
        <v/>
      </c>
      <c r="N220" s="11" t="n"/>
    </row>
    <row r="221" ht="14.25" customHeight="1" s="40">
      <c r="A221" s="11" t="n"/>
      <c r="B221" s="11" t="n"/>
      <c r="C221" s="11" t="n"/>
      <c r="D221" s="11" t="n"/>
      <c r="E221" s="11" t="n"/>
      <c r="F221" s="11" t="n"/>
      <c r="G221" s="34" t="n"/>
      <c r="H221" s="11" t="n"/>
      <c r="I221" s="33">
        <f>IF(A221="","",DANH_MUC!$L$4&amp;"?ref="&amp;A221)</f>
        <v/>
      </c>
      <c r="J221" s="33">
        <f>IF(A221="","",IF(COUNTIF($A$2:$A$495,A221)&gt;1,"TRÙNG",""))</f>
        <v/>
      </c>
      <c r="K221" s="33">
        <f>IF(A221="","",COUNTIF(DATA_MASTER!$I$2:$I$5000,A221))</f>
        <v/>
      </c>
      <c r="L221" s="33">
        <f>IF(A221="","",COUNTIFS(DATA_MASTER!$I$2:$I$5000,A221,DATA_MASTER!$T$2:$T$5000,"Có"))</f>
        <v/>
      </c>
      <c r="M221" s="33">
        <f>IF(A221="","",COUNTIFS(ORDERS!$E$2:$E$4995,A221,ORDERS!$L$2:$L$4995,"Đã chuyển khoản"))</f>
        <v/>
      </c>
      <c r="N221" s="11" t="n"/>
    </row>
    <row r="222" ht="14.25" customHeight="1" s="40">
      <c r="A222" s="11" t="n"/>
      <c r="B222" s="11" t="n"/>
      <c r="C222" s="11" t="n"/>
      <c r="D222" s="11" t="n"/>
      <c r="E222" s="11" t="n"/>
      <c r="F222" s="11" t="n"/>
      <c r="G222" s="34" t="n"/>
      <c r="H222" s="11" t="n"/>
      <c r="I222" s="33">
        <f>IF(A222="","",DANH_MUC!$L$4&amp;"?ref="&amp;A222)</f>
        <v/>
      </c>
      <c r="J222" s="33">
        <f>IF(A222="","",IF(COUNTIF($A$2:$A$495,A222)&gt;1,"TRÙNG",""))</f>
        <v/>
      </c>
      <c r="K222" s="33">
        <f>IF(A222="","",COUNTIF(DATA_MASTER!$I$2:$I$5000,A222))</f>
        <v/>
      </c>
      <c r="L222" s="33">
        <f>IF(A222="","",COUNTIFS(DATA_MASTER!$I$2:$I$5000,A222,DATA_MASTER!$T$2:$T$5000,"Có"))</f>
        <v/>
      </c>
      <c r="M222" s="33">
        <f>IF(A222="","",COUNTIFS(ORDERS!$E$2:$E$4995,A222,ORDERS!$L$2:$L$4995,"Đã chuyển khoản"))</f>
        <v/>
      </c>
      <c r="N222" s="11" t="n"/>
    </row>
    <row r="223" ht="14.25" customHeight="1" s="40">
      <c r="A223" s="11" t="n"/>
      <c r="B223" s="11" t="n"/>
      <c r="C223" s="11" t="n"/>
      <c r="D223" s="11" t="n"/>
      <c r="E223" s="11" t="n"/>
      <c r="F223" s="11" t="n"/>
      <c r="G223" s="34" t="n"/>
      <c r="H223" s="11" t="n"/>
      <c r="I223" s="33">
        <f>IF(A223="","",DANH_MUC!$L$4&amp;"?ref="&amp;A223)</f>
        <v/>
      </c>
      <c r="J223" s="33">
        <f>IF(A223="","",IF(COUNTIF($A$2:$A$495,A223)&gt;1,"TRÙNG",""))</f>
        <v/>
      </c>
      <c r="K223" s="33">
        <f>IF(A223="","",COUNTIF(DATA_MASTER!$I$2:$I$5000,A223))</f>
        <v/>
      </c>
      <c r="L223" s="33">
        <f>IF(A223="","",COUNTIFS(DATA_MASTER!$I$2:$I$5000,A223,DATA_MASTER!$T$2:$T$5000,"Có"))</f>
        <v/>
      </c>
      <c r="M223" s="33">
        <f>IF(A223="","",COUNTIFS(ORDERS!$E$2:$E$4995,A223,ORDERS!$L$2:$L$4995,"Đã chuyển khoản"))</f>
        <v/>
      </c>
      <c r="N223" s="11" t="n"/>
    </row>
    <row r="224" ht="14.25" customHeight="1" s="40">
      <c r="A224" s="11" t="n"/>
      <c r="B224" s="11" t="n"/>
      <c r="C224" s="11" t="n"/>
      <c r="D224" s="11" t="n"/>
      <c r="E224" s="11" t="n"/>
      <c r="F224" s="11" t="n"/>
      <c r="G224" s="34" t="n"/>
      <c r="H224" s="11" t="n"/>
      <c r="I224" s="33">
        <f>IF(A224="","",DANH_MUC!$L$4&amp;"?ref="&amp;A224)</f>
        <v/>
      </c>
      <c r="J224" s="33">
        <f>IF(A224="","",IF(COUNTIF($A$2:$A$495,A224)&gt;1,"TRÙNG",""))</f>
        <v/>
      </c>
      <c r="K224" s="33">
        <f>IF(A224="","",COUNTIF(DATA_MASTER!$I$2:$I$5000,A224))</f>
        <v/>
      </c>
      <c r="L224" s="33">
        <f>IF(A224="","",COUNTIFS(DATA_MASTER!$I$2:$I$5000,A224,DATA_MASTER!$T$2:$T$5000,"Có"))</f>
        <v/>
      </c>
      <c r="M224" s="33">
        <f>IF(A224="","",COUNTIFS(ORDERS!$E$2:$E$4995,A224,ORDERS!$L$2:$L$4995,"Đã chuyển khoản"))</f>
        <v/>
      </c>
      <c r="N224" s="11" t="n"/>
    </row>
    <row r="225" ht="14.25" customHeight="1" s="40">
      <c r="A225" s="11" t="n"/>
      <c r="B225" s="11" t="n"/>
      <c r="C225" s="11" t="n"/>
      <c r="D225" s="11" t="n"/>
      <c r="E225" s="11" t="n"/>
      <c r="F225" s="11" t="n"/>
      <c r="G225" s="34" t="n"/>
      <c r="H225" s="11" t="n"/>
      <c r="I225" s="33">
        <f>IF(A225="","",DANH_MUC!$L$4&amp;"?ref="&amp;A225)</f>
        <v/>
      </c>
      <c r="J225" s="33">
        <f>IF(A225="","",IF(COUNTIF($A$2:$A$495,A225)&gt;1,"TRÙNG",""))</f>
        <v/>
      </c>
      <c r="K225" s="33">
        <f>IF(A225="","",COUNTIF(DATA_MASTER!$I$2:$I$5000,A225))</f>
        <v/>
      </c>
      <c r="L225" s="33">
        <f>IF(A225="","",COUNTIFS(DATA_MASTER!$I$2:$I$5000,A225,DATA_MASTER!$T$2:$T$5000,"Có"))</f>
        <v/>
      </c>
      <c r="M225" s="33">
        <f>IF(A225="","",COUNTIFS(ORDERS!$E$2:$E$4995,A225,ORDERS!$L$2:$L$4995,"Đã chuyển khoản"))</f>
        <v/>
      </c>
      <c r="N225" s="11" t="n"/>
    </row>
    <row r="226" ht="14.25" customHeight="1" s="40">
      <c r="A226" s="11" t="n"/>
      <c r="B226" s="11" t="n"/>
      <c r="C226" s="11" t="n"/>
      <c r="D226" s="11" t="n"/>
      <c r="E226" s="11" t="n"/>
      <c r="F226" s="11" t="n"/>
      <c r="G226" s="34" t="n"/>
      <c r="H226" s="11" t="n"/>
      <c r="I226" s="33">
        <f>IF(A226="","",DANH_MUC!$L$4&amp;"?ref="&amp;A226)</f>
        <v/>
      </c>
      <c r="J226" s="33">
        <f>IF(A226="","",IF(COUNTIF($A$2:$A$495,A226)&gt;1,"TRÙNG",""))</f>
        <v/>
      </c>
      <c r="K226" s="33">
        <f>IF(A226="","",COUNTIF(DATA_MASTER!$I$2:$I$5000,A226))</f>
        <v/>
      </c>
      <c r="L226" s="33">
        <f>IF(A226="","",COUNTIFS(DATA_MASTER!$I$2:$I$5000,A226,DATA_MASTER!$T$2:$T$5000,"Có"))</f>
        <v/>
      </c>
      <c r="M226" s="33">
        <f>IF(A226="","",COUNTIFS(ORDERS!$E$2:$E$4995,A226,ORDERS!$L$2:$L$4995,"Đã chuyển khoản"))</f>
        <v/>
      </c>
      <c r="N226" s="11" t="n"/>
    </row>
    <row r="227" ht="14.25" customHeight="1" s="40">
      <c r="A227" s="11" t="n"/>
      <c r="B227" s="11" t="n"/>
      <c r="C227" s="11" t="n"/>
      <c r="D227" s="11" t="n"/>
      <c r="E227" s="11" t="n"/>
      <c r="F227" s="11" t="n"/>
      <c r="G227" s="34" t="n"/>
      <c r="H227" s="11" t="n"/>
      <c r="I227" s="33">
        <f>IF(A227="","",DANH_MUC!$L$4&amp;"?ref="&amp;A227)</f>
        <v/>
      </c>
      <c r="J227" s="33">
        <f>IF(A227="","",IF(COUNTIF($A$2:$A$495,A227)&gt;1,"TRÙNG",""))</f>
        <v/>
      </c>
      <c r="K227" s="33">
        <f>IF(A227="","",COUNTIF(DATA_MASTER!$I$2:$I$5000,A227))</f>
        <v/>
      </c>
      <c r="L227" s="33">
        <f>IF(A227="","",COUNTIFS(DATA_MASTER!$I$2:$I$5000,A227,DATA_MASTER!$T$2:$T$5000,"Có"))</f>
        <v/>
      </c>
      <c r="M227" s="33">
        <f>IF(A227="","",COUNTIFS(ORDERS!$E$2:$E$4995,A227,ORDERS!$L$2:$L$4995,"Đã chuyển khoản"))</f>
        <v/>
      </c>
      <c r="N227" s="11" t="n"/>
    </row>
    <row r="228" ht="14.25" customHeight="1" s="40">
      <c r="A228" s="11" t="n"/>
      <c r="B228" s="11" t="n"/>
      <c r="C228" s="11" t="n"/>
      <c r="D228" s="11" t="n"/>
      <c r="E228" s="11" t="n"/>
      <c r="F228" s="11" t="n"/>
      <c r="G228" s="34" t="n"/>
      <c r="H228" s="11" t="n"/>
      <c r="I228" s="33">
        <f>IF(A228="","",DANH_MUC!$L$4&amp;"?ref="&amp;A228)</f>
        <v/>
      </c>
      <c r="J228" s="33">
        <f>IF(A228="","",IF(COUNTIF($A$2:$A$495,A228)&gt;1,"TRÙNG",""))</f>
        <v/>
      </c>
      <c r="K228" s="33">
        <f>IF(A228="","",COUNTIF(DATA_MASTER!$I$2:$I$5000,A228))</f>
        <v/>
      </c>
      <c r="L228" s="33">
        <f>IF(A228="","",COUNTIFS(DATA_MASTER!$I$2:$I$5000,A228,DATA_MASTER!$T$2:$T$5000,"Có"))</f>
        <v/>
      </c>
      <c r="M228" s="33">
        <f>IF(A228="","",COUNTIFS(ORDERS!$E$2:$E$4995,A228,ORDERS!$L$2:$L$4995,"Đã chuyển khoản"))</f>
        <v/>
      </c>
      <c r="N228" s="11" t="n"/>
    </row>
    <row r="229" ht="14.25" customHeight="1" s="40">
      <c r="A229" s="11" t="n"/>
      <c r="B229" s="11" t="n"/>
      <c r="C229" s="11" t="n"/>
      <c r="D229" s="11" t="n"/>
      <c r="E229" s="11" t="n"/>
      <c r="F229" s="11" t="n"/>
      <c r="G229" s="34" t="n"/>
      <c r="H229" s="11" t="n"/>
      <c r="I229" s="33">
        <f>IF(A229="","",DANH_MUC!$L$4&amp;"?ref="&amp;A229)</f>
        <v/>
      </c>
      <c r="J229" s="33">
        <f>IF(A229="","",IF(COUNTIF($A$2:$A$495,A229)&gt;1,"TRÙNG",""))</f>
        <v/>
      </c>
      <c r="K229" s="33">
        <f>IF(A229="","",COUNTIF(DATA_MASTER!$I$2:$I$5000,A229))</f>
        <v/>
      </c>
      <c r="L229" s="33">
        <f>IF(A229="","",COUNTIFS(DATA_MASTER!$I$2:$I$5000,A229,DATA_MASTER!$T$2:$T$5000,"Có"))</f>
        <v/>
      </c>
      <c r="M229" s="33">
        <f>IF(A229="","",COUNTIFS(ORDERS!$E$2:$E$4995,A229,ORDERS!$L$2:$L$4995,"Đã chuyển khoản"))</f>
        <v/>
      </c>
      <c r="N229" s="11" t="n"/>
    </row>
    <row r="230" ht="14.25" customHeight="1" s="40">
      <c r="A230" s="11" t="n"/>
      <c r="B230" s="11" t="n"/>
      <c r="C230" s="11" t="n"/>
      <c r="D230" s="11" t="n"/>
      <c r="E230" s="11" t="n"/>
      <c r="F230" s="11" t="n"/>
      <c r="G230" s="34" t="n"/>
      <c r="H230" s="11" t="n"/>
      <c r="I230" s="33">
        <f>IF(A230="","",DANH_MUC!$L$4&amp;"?ref="&amp;A230)</f>
        <v/>
      </c>
      <c r="J230" s="33">
        <f>IF(A230="","",IF(COUNTIF($A$2:$A$495,A230)&gt;1,"TRÙNG",""))</f>
        <v/>
      </c>
      <c r="K230" s="33">
        <f>IF(A230="","",COUNTIF(DATA_MASTER!$I$2:$I$5000,A230))</f>
        <v/>
      </c>
      <c r="L230" s="33">
        <f>IF(A230="","",COUNTIFS(DATA_MASTER!$I$2:$I$5000,A230,DATA_MASTER!$T$2:$T$5000,"Có"))</f>
        <v/>
      </c>
      <c r="M230" s="33">
        <f>IF(A230="","",COUNTIFS(ORDERS!$E$2:$E$4995,A230,ORDERS!$L$2:$L$4995,"Đã chuyển khoản"))</f>
        <v/>
      </c>
      <c r="N230" s="11" t="n"/>
    </row>
    <row r="231" ht="14.25" customHeight="1" s="40">
      <c r="A231" s="11" t="n"/>
      <c r="B231" s="11" t="n"/>
      <c r="C231" s="11" t="n"/>
      <c r="D231" s="11" t="n"/>
      <c r="E231" s="11" t="n"/>
      <c r="F231" s="11" t="n"/>
      <c r="G231" s="34" t="n"/>
      <c r="H231" s="11" t="n"/>
      <c r="I231" s="33">
        <f>IF(A231="","",DANH_MUC!$L$4&amp;"?ref="&amp;A231)</f>
        <v/>
      </c>
      <c r="J231" s="33">
        <f>IF(A231="","",IF(COUNTIF($A$2:$A$495,A231)&gt;1,"TRÙNG",""))</f>
        <v/>
      </c>
      <c r="K231" s="33">
        <f>IF(A231="","",COUNTIF(DATA_MASTER!$I$2:$I$5000,A231))</f>
        <v/>
      </c>
      <c r="L231" s="33">
        <f>IF(A231="","",COUNTIFS(DATA_MASTER!$I$2:$I$5000,A231,DATA_MASTER!$T$2:$T$5000,"Có"))</f>
        <v/>
      </c>
      <c r="M231" s="33">
        <f>IF(A231="","",COUNTIFS(ORDERS!$E$2:$E$4995,A231,ORDERS!$L$2:$L$4995,"Đã chuyển khoản"))</f>
        <v/>
      </c>
      <c r="N231" s="11" t="n"/>
    </row>
    <row r="232" ht="14.25" customHeight="1" s="40">
      <c r="A232" s="11" t="n"/>
      <c r="B232" s="11" t="n"/>
      <c r="C232" s="11" t="n"/>
      <c r="D232" s="11" t="n"/>
      <c r="E232" s="11" t="n"/>
      <c r="F232" s="11" t="n"/>
      <c r="G232" s="34" t="n"/>
      <c r="H232" s="11" t="n"/>
      <c r="I232" s="33">
        <f>IF(A232="","",DANH_MUC!$L$4&amp;"?ref="&amp;A232)</f>
        <v/>
      </c>
      <c r="J232" s="33">
        <f>IF(A232="","",IF(COUNTIF($A$2:$A$495,A232)&gt;1,"TRÙNG",""))</f>
        <v/>
      </c>
      <c r="K232" s="33">
        <f>IF(A232="","",COUNTIF(DATA_MASTER!$I$2:$I$5000,A232))</f>
        <v/>
      </c>
      <c r="L232" s="33">
        <f>IF(A232="","",COUNTIFS(DATA_MASTER!$I$2:$I$5000,A232,DATA_MASTER!$T$2:$T$5000,"Có"))</f>
        <v/>
      </c>
      <c r="M232" s="33">
        <f>IF(A232="","",COUNTIFS(ORDERS!$E$2:$E$4995,A232,ORDERS!$L$2:$L$4995,"Đã chuyển khoản"))</f>
        <v/>
      </c>
      <c r="N232" s="11" t="n"/>
    </row>
    <row r="233" ht="14.25" customHeight="1" s="40">
      <c r="A233" s="11" t="n"/>
      <c r="B233" s="11" t="n"/>
      <c r="C233" s="11" t="n"/>
      <c r="D233" s="11" t="n"/>
      <c r="E233" s="11" t="n"/>
      <c r="F233" s="11" t="n"/>
      <c r="G233" s="34" t="n"/>
      <c r="H233" s="11" t="n"/>
      <c r="I233" s="33">
        <f>IF(A233="","",DANH_MUC!$L$4&amp;"?ref="&amp;A233)</f>
        <v/>
      </c>
      <c r="J233" s="33">
        <f>IF(A233="","",IF(COUNTIF($A$2:$A$495,A233)&gt;1,"TRÙNG",""))</f>
        <v/>
      </c>
      <c r="K233" s="33">
        <f>IF(A233="","",COUNTIF(DATA_MASTER!$I$2:$I$5000,A233))</f>
        <v/>
      </c>
      <c r="L233" s="33">
        <f>IF(A233="","",COUNTIFS(DATA_MASTER!$I$2:$I$5000,A233,DATA_MASTER!$T$2:$T$5000,"Có"))</f>
        <v/>
      </c>
      <c r="M233" s="33">
        <f>IF(A233="","",COUNTIFS(ORDERS!$E$2:$E$4995,A233,ORDERS!$L$2:$L$4995,"Đã chuyển khoản"))</f>
        <v/>
      </c>
      <c r="N233" s="11" t="n"/>
    </row>
    <row r="234" ht="14.25" customHeight="1" s="40">
      <c r="A234" s="11" t="n"/>
      <c r="B234" s="11" t="n"/>
      <c r="C234" s="11" t="n"/>
      <c r="D234" s="11" t="n"/>
      <c r="E234" s="11" t="n"/>
      <c r="F234" s="11" t="n"/>
      <c r="G234" s="34" t="n"/>
      <c r="H234" s="11" t="n"/>
      <c r="I234" s="33">
        <f>IF(A234="","",DANH_MUC!$L$4&amp;"?ref="&amp;A234)</f>
        <v/>
      </c>
      <c r="J234" s="33">
        <f>IF(A234="","",IF(COUNTIF($A$2:$A$495,A234)&gt;1,"TRÙNG",""))</f>
        <v/>
      </c>
      <c r="K234" s="33">
        <f>IF(A234="","",COUNTIF(DATA_MASTER!$I$2:$I$5000,A234))</f>
        <v/>
      </c>
      <c r="L234" s="33">
        <f>IF(A234="","",COUNTIFS(DATA_MASTER!$I$2:$I$5000,A234,DATA_MASTER!$T$2:$T$5000,"Có"))</f>
        <v/>
      </c>
      <c r="M234" s="33">
        <f>IF(A234="","",COUNTIFS(ORDERS!$E$2:$E$4995,A234,ORDERS!$L$2:$L$4995,"Đã chuyển khoản"))</f>
        <v/>
      </c>
      <c r="N234" s="11" t="n"/>
    </row>
    <row r="235" ht="14.25" customHeight="1" s="40">
      <c r="A235" s="11" t="n"/>
      <c r="B235" s="11" t="n"/>
      <c r="C235" s="11" t="n"/>
      <c r="D235" s="11" t="n"/>
      <c r="E235" s="11" t="n"/>
      <c r="F235" s="11" t="n"/>
      <c r="G235" s="34" t="n"/>
      <c r="H235" s="11" t="n"/>
      <c r="I235" s="33">
        <f>IF(A235="","",DANH_MUC!$L$4&amp;"?ref="&amp;A235)</f>
        <v/>
      </c>
      <c r="J235" s="33">
        <f>IF(A235="","",IF(COUNTIF($A$2:$A$495,A235)&gt;1,"TRÙNG",""))</f>
        <v/>
      </c>
      <c r="K235" s="33">
        <f>IF(A235="","",COUNTIF(DATA_MASTER!$I$2:$I$5000,A235))</f>
        <v/>
      </c>
      <c r="L235" s="33">
        <f>IF(A235="","",COUNTIFS(DATA_MASTER!$I$2:$I$5000,A235,DATA_MASTER!$T$2:$T$5000,"Có"))</f>
        <v/>
      </c>
      <c r="M235" s="33">
        <f>IF(A235="","",COUNTIFS(ORDERS!$E$2:$E$4995,A235,ORDERS!$L$2:$L$4995,"Đã chuyển khoản"))</f>
        <v/>
      </c>
      <c r="N235" s="11" t="n"/>
    </row>
    <row r="236" ht="14.25" customHeight="1" s="40">
      <c r="A236" s="11" t="n"/>
      <c r="B236" s="11" t="n"/>
      <c r="C236" s="11" t="n"/>
      <c r="D236" s="11" t="n"/>
      <c r="E236" s="11" t="n"/>
      <c r="F236" s="11" t="n"/>
      <c r="G236" s="34" t="n"/>
      <c r="H236" s="11" t="n"/>
      <c r="I236" s="33">
        <f>IF(A236="","",DANH_MUC!$L$4&amp;"?ref="&amp;A236)</f>
        <v/>
      </c>
      <c r="J236" s="33">
        <f>IF(A236="","",IF(COUNTIF($A$2:$A$495,A236)&gt;1,"TRÙNG",""))</f>
        <v/>
      </c>
      <c r="K236" s="33">
        <f>IF(A236="","",COUNTIF(DATA_MASTER!$I$2:$I$5000,A236))</f>
        <v/>
      </c>
      <c r="L236" s="33">
        <f>IF(A236="","",COUNTIFS(DATA_MASTER!$I$2:$I$5000,A236,DATA_MASTER!$T$2:$T$5000,"Có"))</f>
        <v/>
      </c>
      <c r="M236" s="33">
        <f>IF(A236="","",COUNTIFS(ORDERS!$E$2:$E$4995,A236,ORDERS!$L$2:$L$4995,"Đã chuyển khoản"))</f>
        <v/>
      </c>
      <c r="N236" s="11" t="n"/>
    </row>
    <row r="237" ht="14.25" customHeight="1" s="40">
      <c r="A237" s="11" t="n"/>
      <c r="B237" s="11" t="n"/>
      <c r="C237" s="11" t="n"/>
      <c r="D237" s="11" t="n"/>
      <c r="E237" s="11" t="n"/>
      <c r="F237" s="11" t="n"/>
      <c r="G237" s="34" t="n"/>
      <c r="H237" s="11" t="n"/>
      <c r="I237" s="33">
        <f>IF(A237="","",DANH_MUC!$L$4&amp;"?ref="&amp;A237)</f>
        <v/>
      </c>
      <c r="J237" s="33">
        <f>IF(A237="","",IF(COUNTIF($A$2:$A$495,A237)&gt;1,"TRÙNG",""))</f>
        <v/>
      </c>
      <c r="K237" s="33">
        <f>IF(A237="","",COUNTIF(DATA_MASTER!$I$2:$I$5000,A237))</f>
        <v/>
      </c>
      <c r="L237" s="33">
        <f>IF(A237="","",COUNTIFS(DATA_MASTER!$I$2:$I$5000,A237,DATA_MASTER!$T$2:$T$5000,"Có"))</f>
        <v/>
      </c>
      <c r="M237" s="33">
        <f>IF(A237="","",COUNTIFS(ORDERS!$E$2:$E$4995,A237,ORDERS!$L$2:$L$4995,"Đã chuyển khoản"))</f>
        <v/>
      </c>
      <c r="N237" s="11" t="n"/>
    </row>
    <row r="238" ht="14.25" customHeight="1" s="40">
      <c r="A238" s="11" t="n"/>
      <c r="B238" s="11" t="n"/>
      <c r="C238" s="11" t="n"/>
      <c r="D238" s="11" t="n"/>
      <c r="E238" s="11" t="n"/>
      <c r="F238" s="11" t="n"/>
      <c r="G238" s="34" t="n"/>
      <c r="H238" s="11" t="n"/>
      <c r="I238" s="33">
        <f>IF(A238="","",DANH_MUC!$L$4&amp;"?ref="&amp;A238)</f>
        <v/>
      </c>
      <c r="J238" s="33">
        <f>IF(A238="","",IF(COUNTIF($A$2:$A$495,A238)&gt;1,"TRÙNG",""))</f>
        <v/>
      </c>
      <c r="K238" s="33">
        <f>IF(A238="","",COUNTIF(DATA_MASTER!$I$2:$I$5000,A238))</f>
        <v/>
      </c>
      <c r="L238" s="33">
        <f>IF(A238="","",COUNTIFS(DATA_MASTER!$I$2:$I$5000,A238,DATA_MASTER!$T$2:$T$5000,"Có"))</f>
        <v/>
      </c>
      <c r="M238" s="33">
        <f>IF(A238="","",COUNTIFS(ORDERS!$E$2:$E$4995,A238,ORDERS!$L$2:$L$4995,"Đã chuyển khoản"))</f>
        <v/>
      </c>
      <c r="N238" s="11" t="n"/>
    </row>
    <row r="239" ht="14.25" customHeight="1" s="40">
      <c r="A239" s="11" t="n"/>
      <c r="B239" s="11" t="n"/>
      <c r="C239" s="11" t="n"/>
      <c r="D239" s="11" t="n"/>
      <c r="E239" s="11" t="n"/>
      <c r="F239" s="11" t="n"/>
      <c r="G239" s="34" t="n"/>
      <c r="H239" s="11" t="n"/>
      <c r="I239" s="33">
        <f>IF(A239="","",DANH_MUC!$L$4&amp;"?ref="&amp;A239)</f>
        <v/>
      </c>
      <c r="J239" s="33">
        <f>IF(A239="","",IF(COUNTIF($A$2:$A$495,A239)&gt;1,"TRÙNG",""))</f>
        <v/>
      </c>
      <c r="K239" s="33">
        <f>IF(A239="","",COUNTIF(DATA_MASTER!$I$2:$I$5000,A239))</f>
        <v/>
      </c>
      <c r="L239" s="33">
        <f>IF(A239="","",COUNTIFS(DATA_MASTER!$I$2:$I$5000,A239,DATA_MASTER!$T$2:$T$5000,"Có"))</f>
        <v/>
      </c>
      <c r="M239" s="33">
        <f>IF(A239="","",COUNTIFS(ORDERS!$E$2:$E$4995,A239,ORDERS!$L$2:$L$4995,"Đã chuyển khoản"))</f>
        <v/>
      </c>
      <c r="N239" s="11" t="n"/>
    </row>
    <row r="240" ht="14.25" customHeight="1" s="40">
      <c r="A240" s="11" t="n"/>
      <c r="B240" s="11" t="n"/>
      <c r="C240" s="11" t="n"/>
      <c r="D240" s="11" t="n"/>
      <c r="E240" s="11" t="n"/>
      <c r="F240" s="11" t="n"/>
      <c r="G240" s="34" t="n"/>
      <c r="H240" s="11" t="n"/>
      <c r="I240" s="33">
        <f>IF(A240="","",DANH_MUC!$L$4&amp;"?ref="&amp;A240)</f>
        <v/>
      </c>
      <c r="J240" s="33">
        <f>IF(A240="","",IF(COUNTIF($A$2:$A$495,A240)&gt;1,"TRÙNG",""))</f>
        <v/>
      </c>
      <c r="K240" s="33">
        <f>IF(A240="","",COUNTIF(DATA_MASTER!$I$2:$I$5000,A240))</f>
        <v/>
      </c>
      <c r="L240" s="33">
        <f>IF(A240="","",COUNTIFS(DATA_MASTER!$I$2:$I$5000,A240,DATA_MASTER!$T$2:$T$5000,"Có"))</f>
        <v/>
      </c>
      <c r="M240" s="33">
        <f>IF(A240="","",COUNTIFS(ORDERS!$E$2:$E$4995,A240,ORDERS!$L$2:$L$4995,"Đã chuyển khoản"))</f>
        <v/>
      </c>
      <c r="N240" s="11" t="n"/>
    </row>
    <row r="241" ht="14.25" customHeight="1" s="40">
      <c r="A241" s="11" t="n"/>
      <c r="B241" s="11" t="n"/>
      <c r="C241" s="11" t="n"/>
      <c r="D241" s="11" t="n"/>
      <c r="E241" s="11" t="n"/>
      <c r="F241" s="11" t="n"/>
      <c r="G241" s="34" t="n"/>
      <c r="H241" s="11" t="n"/>
      <c r="I241" s="33">
        <f>IF(A241="","",DANH_MUC!$L$4&amp;"?ref="&amp;A241)</f>
        <v/>
      </c>
      <c r="J241" s="33">
        <f>IF(A241="","",IF(COUNTIF($A$2:$A$495,A241)&gt;1,"TRÙNG",""))</f>
        <v/>
      </c>
      <c r="K241" s="33">
        <f>IF(A241="","",COUNTIF(DATA_MASTER!$I$2:$I$5000,A241))</f>
        <v/>
      </c>
      <c r="L241" s="33">
        <f>IF(A241="","",COUNTIFS(DATA_MASTER!$I$2:$I$5000,A241,DATA_MASTER!$T$2:$T$5000,"Có"))</f>
        <v/>
      </c>
      <c r="M241" s="33">
        <f>IF(A241="","",COUNTIFS(ORDERS!$E$2:$E$4995,A241,ORDERS!$L$2:$L$4995,"Đã chuyển khoản"))</f>
        <v/>
      </c>
      <c r="N241" s="11" t="n"/>
    </row>
    <row r="242" ht="14.25" customHeight="1" s="40">
      <c r="A242" s="11" t="n"/>
      <c r="B242" s="11" t="n"/>
      <c r="C242" s="11" t="n"/>
      <c r="D242" s="11" t="n"/>
      <c r="E242" s="11" t="n"/>
      <c r="F242" s="11" t="n"/>
      <c r="G242" s="34" t="n"/>
      <c r="H242" s="11" t="n"/>
      <c r="I242" s="33">
        <f>IF(A242="","",DANH_MUC!$L$4&amp;"?ref="&amp;A242)</f>
        <v/>
      </c>
      <c r="J242" s="33">
        <f>IF(A242="","",IF(COUNTIF($A$2:$A$495,A242)&gt;1,"TRÙNG",""))</f>
        <v/>
      </c>
      <c r="K242" s="33">
        <f>IF(A242="","",COUNTIF(DATA_MASTER!$I$2:$I$5000,A242))</f>
        <v/>
      </c>
      <c r="L242" s="33">
        <f>IF(A242="","",COUNTIFS(DATA_MASTER!$I$2:$I$5000,A242,DATA_MASTER!$T$2:$T$5000,"Có"))</f>
        <v/>
      </c>
      <c r="M242" s="33">
        <f>IF(A242="","",COUNTIFS(ORDERS!$E$2:$E$4995,A242,ORDERS!$L$2:$L$4995,"Đã chuyển khoản"))</f>
        <v/>
      </c>
      <c r="N242" s="11" t="n"/>
    </row>
    <row r="243" ht="14.25" customHeight="1" s="40">
      <c r="A243" s="11" t="n"/>
      <c r="B243" s="11" t="n"/>
      <c r="C243" s="11" t="n"/>
      <c r="D243" s="11" t="n"/>
      <c r="E243" s="11" t="n"/>
      <c r="F243" s="11" t="n"/>
      <c r="G243" s="34" t="n"/>
      <c r="H243" s="11" t="n"/>
      <c r="I243" s="33">
        <f>IF(A243="","",DANH_MUC!$L$4&amp;"?ref="&amp;A243)</f>
        <v/>
      </c>
      <c r="J243" s="33">
        <f>IF(A243="","",IF(COUNTIF($A$2:$A$495,A243)&gt;1,"TRÙNG",""))</f>
        <v/>
      </c>
      <c r="K243" s="33">
        <f>IF(A243="","",COUNTIF(DATA_MASTER!$I$2:$I$5000,A243))</f>
        <v/>
      </c>
      <c r="L243" s="33">
        <f>IF(A243="","",COUNTIFS(DATA_MASTER!$I$2:$I$5000,A243,DATA_MASTER!$T$2:$T$5000,"Có"))</f>
        <v/>
      </c>
      <c r="M243" s="33">
        <f>IF(A243="","",COUNTIFS(ORDERS!$E$2:$E$4995,A243,ORDERS!$L$2:$L$4995,"Đã chuyển khoản"))</f>
        <v/>
      </c>
      <c r="N243" s="11" t="n"/>
    </row>
    <row r="244" ht="14.25" customHeight="1" s="40">
      <c r="A244" s="11" t="n"/>
      <c r="B244" s="11" t="n"/>
      <c r="C244" s="11" t="n"/>
      <c r="D244" s="11" t="n"/>
      <c r="E244" s="11" t="n"/>
      <c r="F244" s="11" t="n"/>
      <c r="G244" s="34" t="n"/>
      <c r="H244" s="11" t="n"/>
      <c r="I244" s="33">
        <f>IF(A244="","",DANH_MUC!$L$4&amp;"?ref="&amp;A244)</f>
        <v/>
      </c>
      <c r="J244" s="33">
        <f>IF(A244="","",IF(COUNTIF($A$2:$A$495,A244)&gt;1,"TRÙNG",""))</f>
        <v/>
      </c>
      <c r="K244" s="33">
        <f>IF(A244="","",COUNTIF(DATA_MASTER!$I$2:$I$5000,A244))</f>
        <v/>
      </c>
      <c r="L244" s="33">
        <f>IF(A244="","",COUNTIFS(DATA_MASTER!$I$2:$I$5000,A244,DATA_MASTER!$T$2:$T$5000,"Có"))</f>
        <v/>
      </c>
      <c r="M244" s="33">
        <f>IF(A244="","",COUNTIFS(ORDERS!$E$2:$E$4995,A244,ORDERS!$L$2:$L$4995,"Đã chuyển khoản"))</f>
        <v/>
      </c>
      <c r="N244" s="11" t="n"/>
    </row>
    <row r="245" ht="14.25" customHeight="1" s="40">
      <c r="A245" s="11" t="n"/>
      <c r="B245" s="11" t="n"/>
      <c r="C245" s="11" t="n"/>
      <c r="D245" s="11" t="n"/>
      <c r="E245" s="11" t="n"/>
      <c r="F245" s="11" t="n"/>
      <c r="G245" s="34" t="n"/>
      <c r="H245" s="11" t="n"/>
      <c r="I245" s="33">
        <f>IF(A245="","",DANH_MUC!$L$4&amp;"?ref="&amp;A245)</f>
        <v/>
      </c>
      <c r="J245" s="33">
        <f>IF(A245="","",IF(COUNTIF($A$2:$A$495,A245)&gt;1,"TRÙNG",""))</f>
        <v/>
      </c>
      <c r="K245" s="33">
        <f>IF(A245="","",COUNTIF(DATA_MASTER!$I$2:$I$5000,A245))</f>
        <v/>
      </c>
      <c r="L245" s="33">
        <f>IF(A245="","",COUNTIFS(DATA_MASTER!$I$2:$I$5000,A245,DATA_MASTER!$T$2:$T$5000,"Có"))</f>
        <v/>
      </c>
      <c r="M245" s="33">
        <f>IF(A245="","",COUNTIFS(ORDERS!$E$2:$E$4995,A245,ORDERS!$L$2:$L$4995,"Đã chuyển khoản"))</f>
        <v/>
      </c>
      <c r="N245" s="11" t="n"/>
    </row>
    <row r="246" ht="14.25" customHeight="1" s="40">
      <c r="A246" s="11" t="n"/>
      <c r="B246" s="11" t="n"/>
      <c r="C246" s="11" t="n"/>
      <c r="D246" s="11" t="n"/>
      <c r="E246" s="11" t="n"/>
      <c r="F246" s="11" t="n"/>
      <c r="G246" s="34" t="n"/>
      <c r="H246" s="11" t="n"/>
      <c r="I246" s="33">
        <f>IF(A246="","",DANH_MUC!$L$4&amp;"?ref="&amp;A246)</f>
        <v/>
      </c>
      <c r="J246" s="33">
        <f>IF(A246="","",IF(COUNTIF($A$2:$A$495,A246)&gt;1,"TRÙNG",""))</f>
        <v/>
      </c>
      <c r="K246" s="33">
        <f>IF(A246="","",COUNTIF(DATA_MASTER!$I$2:$I$5000,A246))</f>
        <v/>
      </c>
      <c r="L246" s="33">
        <f>IF(A246="","",COUNTIFS(DATA_MASTER!$I$2:$I$5000,A246,DATA_MASTER!$T$2:$T$5000,"Có"))</f>
        <v/>
      </c>
      <c r="M246" s="33">
        <f>IF(A246="","",COUNTIFS(ORDERS!$E$2:$E$4995,A246,ORDERS!$L$2:$L$4995,"Đã chuyển khoản"))</f>
        <v/>
      </c>
      <c r="N246" s="11" t="n"/>
    </row>
    <row r="247" ht="14.25" customHeight="1" s="40">
      <c r="A247" s="11" t="n"/>
      <c r="B247" s="11" t="n"/>
      <c r="C247" s="11" t="n"/>
      <c r="D247" s="11" t="n"/>
      <c r="E247" s="11" t="n"/>
      <c r="F247" s="11" t="n"/>
      <c r="G247" s="34" t="n"/>
      <c r="H247" s="11" t="n"/>
      <c r="I247" s="33">
        <f>IF(A247="","",DANH_MUC!$L$4&amp;"?ref="&amp;A247)</f>
        <v/>
      </c>
      <c r="J247" s="33">
        <f>IF(A247="","",IF(COUNTIF($A$2:$A$495,A247)&gt;1,"TRÙNG",""))</f>
        <v/>
      </c>
      <c r="K247" s="33">
        <f>IF(A247="","",COUNTIF(DATA_MASTER!$I$2:$I$5000,A247))</f>
        <v/>
      </c>
      <c r="L247" s="33">
        <f>IF(A247="","",COUNTIFS(DATA_MASTER!$I$2:$I$5000,A247,DATA_MASTER!$T$2:$T$5000,"Có"))</f>
        <v/>
      </c>
      <c r="M247" s="33">
        <f>IF(A247="","",COUNTIFS(ORDERS!$E$2:$E$4995,A247,ORDERS!$L$2:$L$4995,"Đã chuyển khoản"))</f>
        <v/>
      </c>
      <c r="N247" s="11" t="n"/>
    </row>
    <row r="248" ht="14.25" customHeight="1" s="40">
      <c r="A248" s="11" t="n"/>
      <c r="B248" s="11" t="n"/>
      <c r="C248" s="11" t="n"/>
      <c r="D248" s="11" t="n"/>
      <c r="E248" s="11" t="n"/>
      <c r="F248" s="11" t="n"/>
      <c r="G248" s="34" t="n"/>
      <c r="H248" s="11" t="n"/>
      <c r="I248" s="33">
        <f>IF(A248="","",DANH_MUC!$L$4&amp;"?ref="&amp;A248)</f>
        <v/>
      </c>
      <c r="J248" s="33">
        <f>IF(A248="","",IF(COUNTIF($A$2:$A$495,A248)&gt;1,"TRÙNG",""))</f>
        <v/>
      </c>
      <c r="K248" s="33">
        <f>IF(A248="","",COUNTIF(DATA_MASTER!$I$2:$I$5000,A248))</f>
        <v/>
      </c>
      <c r="L248" s="33">
        <f>IF(A248="","",COUNTIFS(DATA_MASTER!$I$2:$I$5000,A248,DATA_MASTER!$T$2:$T$5000,"Có"))</f>
        <v/>
      </c>
      <c r="M248" s="33">
        <f>IF(A248="","",COUNTIFS(ORDERS!$E$2:$E$4995,A248,ORDERS!$L$2:$L$4995,"Đã chuyển khoản"))</f>
        <v/>
      </c>
      <c r="N248" s="11" t="n"/>
    </row>
    <row r="249" ht="14.25" customHeight="1" s="40">
      <c r="A249" s="11" t="n"/>
      <c r="B249" s="11" t="n"/>
      <c r="C249" s="11" t="n"/>
      <c r="D249" s="11" t="n"/>
      <c r="E249" s="11" t="n"/>
      <c r="F249" s="11" t="n"/>
      <c r="G249" s="34" t="n"/>
      <c r="H249" s="11" t="n"/>
      <c r="I249" s="33">
        <f>IF(A249="","",DANH_MUC!$L$4&amp;"?ref="&amp;A249)</f>
        <v/>
      </c>
      <c r="J249" s="33">
        <f>IF(A249="","",IF(COUNTIF($A$2:$A$495,A249)&gt;1,"TRÙNG",""))</f>
        <v/>
      </c>
      <c r="K249" s="33">
        <f>IF(A249="","",COUNTIF(DATA_MASTER!$I$2:$I$5000,A249))</f>
        <v/>
      </c>
      <c r="L249" s="33">
        <f>IF(A249="","",COUNTIFS(DATA_MASTER!$I$2:$I$5000,A249,DATA_MASTER!$T$2:$T$5000,"Có"))</f>
        <v/>
      </c>
      <c r="M249" s="33">
        <f>IF(A249="","",COUNTIFS(ORDERS!$E$2:$E$4995,A249,ORDERS!$L$2:$L$4995,"Đã chuyển khoản"))</f>
        <v/>
      </c>
      <c r="N249" s="11" t="n"/>
    </row>
    <row r="250" ht="14.25" customHeight="1" s="40">
      <c r="A250" s="11" t="n"/>
      <c r="B250" s="11" t="n"/>
      <c r="C250" s="11" t="n"/>
      <c r="D250" s="11" t="n"/>
      <c r="E250" s="11" t="n"/>
      <c r="F250" s="11" t="n"/>
      <c r="G250" s="34" t="n"/>
      <c r="H250" s="11" t="n"/>
      <c r="I250" s="33">
        <f>IF(A250="","",DANH_MUC!$L$4&amp;"?ref="&amp;A250)</f>
        <v/>
      </c>
      <c r="J250" s="33">
        <f>IF(A250="","",IF(COUNTIF($A$2:$A$495,A250)&gt;1,"TRÙNG",""))</f>
        <v/>
      </c>
      <c r="K250" s="33">
        <f>IF(A250="","",COUNTIF(DATA_MASTER!$I$2:$I$5000,A250))</f>
        <v/>
      </c>
      <c r="L250" s="33">
        <f>IF(A250="","",COUNTIFS(DATA_MASTER!$I$2:$I$5000,A250,DATA_MASTER!$T$2:$T$5000,"Có"))</f>
        <v/>
      </c>
      <c r="M250" s="33">
        <f>IF(A250="","",COUNTIFS(ORDERS!$E$2:$E$4995,A250,ORDERS!$L$2:$L$4995,"Đã chuyển khoản"))</f>
        <v/>
      </c>
      <c r="N250" s="11" t="n"/>
    </row>
    <row r="251" ht="14.25" customHeight="1" s="40">
      <c r="A251" s="11" t="n"/>
      <c r="B251" s="11" t="n"/>
      <c r="C251" s="11" t="n"/>
      <c r="D251" s="11" t="n"/>
      <c r="E251" s="11" t="n"/>
      <c r="F251" s="11" t="n"/>
      <c r="G251" s="34" t="n"/>
      <c r="H251" s="11" t="n"/>
      <c r="I251" s="33">
        <f>IF(A251="","",DANH_MUC!$L$4&amp;"?ref="&amp;A251)</f>
        <v/>
      </c>
      <c r="J251" s="33">
        <f>IF(A251="","",IF(COUNTIF($A$2:$A$495,A251)&gt;1,"TRÙNG",""))</f>
        <v/>
      </c>
      <c r="K251" s="33">
        <f>IF(A251="","",COUNTIF(DATA_MASTER!$I$2:$I$5000,A251))</f>
        <v/>
      </c>
      <c r="L251" s="33">
        <f>IF(A251="","",COUNTIFS(DATA_MASTER!$I$2:$I$5000,A251,DATA_MASTER!$T$2:$T$5000,"Có"))</f>
        <v/>
      </c>
      <c r="M251" s="33">
        <f>IF(A251="","",COUNTIFS(ORDERS!$E$2:$E$4995,A251,ORDERS!$L$2:$L$4995,"Đã chuyển khoản"))</f>
        <v/>
      </c>
      <c r="N251" s="11" t="n"/>
    </row>
    <row r="252" ht="14.25" customHeight="1" s="40">
      <c r="A252" s="11" t="n"/>
      <c r="B252" s="11" t="n"/>
      <c r="C252" s="11" t="n"/>
      <c r="D252" s="11" t="n"/>
      <c r="E252" s="11" t="n"/>
      <c r="F252" s="11" t="n"/>
      <c r="G252" s="34" t="n"/>
      <c r="H252" s="11" t="n"/>
      <c r="I252" s="33">
        <f>IF(A252="","",DANH_MUC!$L$4&amp;"?ref="&amp;A252)</f>
        <v/>
      </c>
      <c r="J252" s="33">
        <f>IF(A252="","",IF(COUNTIF($A$2:$A$495,A252)&gt;1,"TRÙNG",""))</f>
        <v/>
      </c>
      <c r="K252" s="33">
        <f>IF(A252="","",COUNTIF(DATA_MASTER!$I$2:$I$5000,A252))</f>
        <v/>
      </c>
      <c r="L252" s="33">
        <f>IF(A252="","",COUNTIFS(DATA_MASTER!$I$2:$I$5000,A252,DATA_MASTER!$T$2:$T$5000,"Có"))</f>
        <v/>
      </c>
      <c r="M252" s="33">
        <f>IF(A252="","",COUNTIFS(ORDERS!$E$2:$E$4995,A252,ORDERS!$L$2:$L$4995,"Đã chuyển khoản"))</f>
        <v/>
      </c>
      <c r="N252" s="11" t="n"/>
    </row>
    <row r="253" ht="14.25" customHeight="1" s="40">
      <c r="A253" s="11" t="n"/>
      <c r="B253" s="11" t="n"/>
      <c r="C253" s="11" t="n"/>
      <c r="D253" s="11" t="n"/>
      <c r="E253" s="11" t="n"/>
      <c r="F253" s="11" t="n"/>
      <c r="G253" s="34" t="n"/>
      <c r="H253" s="11" t="n"/>
      <c r="I253" s="33">
        <f>IF(A253="","",DANH_MUC!$L$4&amp;"?ref="&amp;A253)</f>
        <v/>
      </c>
      <c r="J253" s="33">
        <f>IF(A253="","",IF(COUNTIF($A$2:$A$495,A253)&gt;1,"TRÙNG",""))</f>
        <v/>
      </c>
      <c r="K253" s="33">
        <f>IF(A253="","",COUNTIF(DATA_MASTER!$I$2:$I$5000,A253))</f>
        <v/>
      </c>
      <c r="L253" s="33">
        <f>IF(A253="","",COUNTIFS(DATA_MASTER!$I$2:$I$5000,A253,DATA_MASTER!$T$2:$T$5000,"Có"))</f>
        <v/>
      </c>
      <c r="M253" s="33">
        <f>IF(A253="","",COUNTIFS(ORDERS!$E$2:$E$4995,A253,ORDERS!$L$2:$L$4995,"Đã chuyển khoản"))</f>
        <v/>
      </c>
      <c r="N253" s="11" t="n"/>
    </row>
    <row r="254" ht="14.25" customHeight="1" s="40">
      <c r="A254" s="11" t="n"/>
      <c r="B254" s="11" t="n"/>
      <c r="C254" s="11" t="n"/>
      <c r="D254" s="11" t="n"/>
      <c r="E254" s="11" t="n"/>
      <c r="F254" s="11" t="n"/>
      <c r="G254" s="34" t="n"/>
      <c r="H254" s="11" t="n"/>
      <c r="I254" s="33">
        <f>IF(A254="","",DANH_MUC!$L$4&amp;"?ref="&amp;A254)</f>
        <v/>
      </c>
      <c r="J254" s="33">
        <f>IF(A254="","",IF(COUNTIF($A$2:$A$495,A254)&gt;1,"TRÙNG",""))</f>
        <v/>
      </c>
      <c r="K254" s="33">
        <f>IF(A254="","",COUNTIF(DATA_MASTER!$I$2:$I$5000,A254))</f>
        <v/>
      </c>
      <c r="L254" s="33">
        <f>IF(A254="","",COUNTIFS(DATA_MASTER!$I$2:$I$5000,A254,DATA_MASTER!$T$2:$T$5000,"Có"))</f>
        <v/>
      </c>
      <c r="M254" s="33">
        <f>IF(A254="","",COUNTIFS(ORDERS!$E$2:$E$4995,A254,ORDERS!$L$2:$L$4995,"Đã chuyển khoản"))</f>
        <v/>
      </c>
      <c r="N254" s="11" t="n"/>
    </row>
    <row r="255" ht="14.25" customHeight="1" s="40">
      <c r="A255" s="11" t="n"/>
      <c r="B255" s="11" t="n"/>
      <c r="C255" s="11" t="n"/>
      <c r="D255" s="11" t="n"/>
      <c r="E255" s="11" t="n"/>
      <c r="F255" s="11" t="n"/>
      <c r="G255" s="34" t="n"/>
      <c r="H255" s="11" t="n"/>
      <c r="I255" s="33">
        <f>IF(A255="","",DANH_MUC!$L$4&amp;"?ref="&amp;A255)</f>
        <v/>
      </c>
      <c r="J255" s="33">
        <f>IF(A255="","",IF(COUNTIF($A$2:$A$495,A255)&gt;1,"TRÙNG",""))</f>
        <v/>
      </c>
      <c r="K255" s="33">
        <f>IF(A255="","",COUNTIF(DATA_MASTER!$I$2:$I$5000,A255))</f>
        <v/>
      </c>
      <c r="L255" s="33">
        <f>IF(A255="","",COUNTIFS(DATA_MASTER!$I$2:$I$5000,A255,DATA_MASTER!$T$2:$T$5000,"Có"))</f>
        <v/>
      </c>
      <c r="M255" s="33">
        <f>IF(A255="","",COUNTIFS(ORDERS!$E$2:$E$4995,A255,ORDERS!$L$2:$L$4995,"Đã chuyển khoản"))</f>
        <v/>
      </c>
      <c r="N255" s="11" t="n"/>
    </row>
    <row r="256" ht="14.25" customHeight="1" s="40">
      <c r="A256" s="11" t="n"/>
      <c r="B256" s="11" t="n"/>
      <c r="C256" s="11" t="n"/>
      <c r="D256" s="11" t="n"/>
      <c r="E256" s="11" t="n"/>
      <c r="F256" s="11" t="n"/>
      <c r="G256" s="34" t="n"/>
      <c r="H256" s="11" t="n"/>
      <c r="I256" s="33">
        <f>IF(A256="","",DANH_MUC!$L$4&amp;"?ref="&amp;A256)</f>
        <v/>
      </c>
      <c r="J256" s="33">
        <f>IF(A256="","",IF(COUNTIF($A$2:$A$495,A256)&gt;1,"TRÙNG",""))</f>
        <v/>
      </c>
      <c r="K256" s="33">
        <f>IF(A256="","",COUNTIF(DATA_MASTER!$I$2:$I$5000,A256))</f>
        <v/>
      </c>
      <c r="L256" s="33">
        <f>IF(A256="","",COUNTIFS(DATA_MASTER!$I$2:$I$5000,A256,DATA_MASTER!$T$2:$T$5000,"Có"))</f>
        <v/>
      </c>
      <c r="M256" s="33">
        <f>IF(A256="","",COUNTIFS(ORDERS!$E$2:$E$4995,A256,ORDERS!$L$2:$L$4995,"Đã chuyển khoản"))</f>
        <v/>
      </c>
      <c r="N256" s="11" t="n"/>
    </row>
    <row r="257" ht="14.25" customHeight="1" s="40">
      <c r="A257" s="11" t="n"/>
      <c r="B257" s="11" t="n"/>
      <c r="C257" s="11" t="n"/>
      <c r="D257" s="11" t="n"/>
      <c r="E257" s="11" t="n"/>
      <c r="F257" s="11" t="n"/>
      <c r="G257" s="34" t="n"/>
      <c r="H257" s="11" t="n"/>
      <c r="I257" s="33">
        <f>IF(A257="","",DANH_MUC!$L$4&amp;"?ref="&amp;A257)</f>
        <v/>
      </c>
      <c r="J257" s="33">
        <f>IF(A257="","",IF(COUNTIF($A$2:$A$495,A257)&gt;1,"TRÙNG",""))</f>
        <v/>
      </c>
      <c r="K257" s="33">
        <f>IF(A257="","",COUNTIF(DATA_MASTER!$I$2:$I$5000,A257))</f>
        <v/>
      </c>
      <c r="L257" s="33">
        <f>IF(A257="","",COUNTIFS(DATA_MASTER!$I$2:$I$5000,A257,DATA_MASTER!$T$2:$T$5000,"Có"))</f>
        <v/>
      </c>
      <c r="M257" s="33">
        <f>IF(A257="","",COUNTIFS(ORDERS!$E$2:$E$4995,A257,ORDERS!$L$2:$L$4995,"Đã chuyển khoản"))</f>
        <v/>
      </c>
      <c r="N257" s="11" t="n"/>
    </row>
    <row r="258" ht="14.25" customHeight="1" s="40">
      <c r="A258" s="11" t="n"/>
      <c r="B258" s="11" t="n"/>
      <c r="C258" s="11" t="n"/>
      <c r="D258" s="11" t="n"/>
      <c r="E258" s="11" t="n"/>
      <c r="F258" s="11" t="n"/>
      <c r="G258" s="34" t="n"/>
      <c r="H258" s="11" t="n"/>
      <c r="I258" s="33">
        <f>IF(A258="","",DANH_MUC!$L$4&amp;"?ref="&amp;A258)</f>
        <v/>
      </c>
      <c r="J258" s="33">
        <f>IF(A258="","",IF(COUNTIF($A$2:$A$495,A258)&gt;1,"TRÙNG",""))</f>
        <v/>
      </c>
      <c r="K258" s="33">
        <f>IF(A258="","",COUNTIF(DATA_MASTER!$I$2:$I$5000,A258))</f>
        <v/>
      </c>
      <c r="L258" s="33">
        <f>IF(A258="","",COUNTIFS(DATA_MASTER!$I$2:$I$5000,A258,DATA_MASTER!$T$2:$T$5000,"Có"))</f>
        <v/>
      </c>
      <c r="M258" s="33">
        <f>IF(A258="","",COUNTIFS(ORDERS!$E$2:$E$4995,A258,ORDERS!$L$2:$L$4995,"Đã chuyển khoản"))</f>
        <v/>
      </c>
      <c r="N258" s="11" t="n"/>
    </row>
    <row r="259" ht="14.25" customHeight="1" s="40">
      <c r="A259" s="11" t="n"/>
      <c r="B259" s="11" t="n"/>
      <c r="C259" s="11" t="n"/>
      <c r="D259" s="11" t="n"/>
      <c r="E259" s="11" t="n"/>
      <c r="F259" s="11" t="n"/>
      <c r="G259" s="34" t="n"/>
      <c r="H259" s="11" t="n"/>
      <c r="I259" s="33">
        <f>IF(A259="","",DANH_MUC!$L$4&amp;"?ref="&amp;A259)</f>
        <v/>
      </c>
      <c r="J259" s="33">
        <f>IF(A259="","",IF(COUNTIF($A$2:$A$495,A259)&gt;1,"TRÙNG",""))</f>
        <v/>
      </c>
      <c r="K259" s="33">
        <f>IF(A259="","",COUNTIF(DATA_MASTER!$I$2:$I$5000,A259))</f>
        <v/>
      </c>
      <c r="L259" s="33">
        <f>IF(A259="","",COUNTIFS(DATA_MASTER!$I$2:$I$5000,A259,DATA_MASTER!$T$2:$T$5000,"Có"))</f>
        <v/>
      </c>
      <c r="M259" s="33">
        <f>IF(A259="","",COUNTIFS(ORDERS!$E$2:$E$4995,A259,ORDERS!$L$2:$L$4995,"Đã chuyển khoản"))</f>
        <v/>
      </c>
      <c r="N259" s="11" t="n"/>
    </row>
    <row r="260" ht="14.25" customHeight="1" s="40">
      <c r="A260" s="11" t="n"/>
      <c r="B260" s="11" t="n"/>
      <c r="C260" s="11" t="n"/>
      <c r="D260" s="11" t="n"/>
      <c r="E260" s="11" t="n"/>
      <c r="F260" s="11" t="n"/>
      <c r="G260" s="34" t="n"/>
      <c r="H260" s="11" t="n"/>
      <c r="I260" s="33">
        <f>IF(A260="","",DANH_MUC!$L$4&amp;"?ref="&amp;A260)</f>
        <v/>
      </c>
      <c r="J260" s="33">
        <f>IF(A260="","",IF(COUNTIF($A$2:$A$495,A260)&gt;1,"TRÙNG",""))</f>
        <v/>
      </c>
      <c r="K260" s="33">
        <f>IF(A260="","",COUNTIF(DATA_MASTER!$I$2:$I$5000,A260))</f>
        <v/>
      </c>
      <c r="L260" s="33">
        <f>IF(A260="","",COUNTIFS(DATA_MASTER!$I$2:$I$5000,A260,DATA_MASTER!$T$2:$T$5000,"Có"))</f>
        <v/>
      </c>
      <c r="M260" s="33">
        <f>IF(A260="","",COUNTIFS(ORDERS!$E$2:$E$4995,A260,ORDERS!$L$2:$L$4995,"Đã chuyển khoản"))</f>
        <v/>
      </c>
      <c r="N260" s="11" t="n"/>
    </row>
    <row r="261" ht="14.25" customHeight="1" s="40">
      <c r="A261" s="11" t="n"/>
      <c r="B261" s="11" t="n"/>
      <c r="C261" s="11" t="n"/>
      <c r="D261" s="11" t="n"/>
      <c r="E261" s="11" t="n"/>
      <c r="F261" s="11" t="n"/>
      <c r="G261" s="34" t="n"/>
      <c r="H261" s="11" t="n"/>
      <c r="I261" s="33">
        <f>IF(A261="","",DANH_MUC!$L$4&amp;"?ref="&amp;A261)</f>
        <v/>
      </c>
      <c r="J261" s="33">
        <f>IF(A261="","",IF(COUNTIF($A$2:$A$495,A261)&gt;1,"TRÙNG",""))</f>
        <v/>
      </c>
      <c r="K261" s="33">
        <f>IF(A261="","",COUNTIF(DATA_MASTER!$I$2:$I$5000,A261))</f>
        <v/>
      </c>
      <c r="L261" s="33">
        <f>IF(A261="","",COUNTIFS(DATA_MASTER!$I$2:$I$5000,A261,DATA_MASTER!$T$2:$T$5000,"Có"))</f>
        <v/>
      </c>
      <c r="M261" s="33">
        <f>IF(A261="","",COUNTIFS(ORDERS!$E$2:$E$4995,A261,ORDERS!$L$2:$L$4995,"Đã chuyển khoản"))</f>
        <v/>
      </c>
      <c r="N261" s="11" t="n"/>
    </row>
    <row r="262" ht="14.25" customHeight="1" s="40">
      <c r="A262" s="11" t="n"/>
      <c r="B262" s="11" t="n"/>
      <c r="C262" s="11" t="n"/>
      <c r="D262" s="11" t="n"/>
      <c r="E262" s="11" t="n"/>
      <c r="F262" s="11" t="n"/>
      <c r="G262" s="34" t="n"/>
      <c r="H262" s="11" t="n"/>
      <c r="I262" s="33">
        <f>IF(A262="","",DANH_MUC!$L$4&amp;"?ref="&amp;A262)</f>
        <v/>
      </c>
      <c r="J262" s="33">
        <f>IF(A262="","",IF(COUNTIF($A$2:$A$495,A262)&gt;1,"TRÙNG",""))</f>
        <v/>
      </c>
      <c r="K262" s="33">
        <f>IF(A262="","",COUNTIF(DATA_MASTER!$I$2:$I$5000,A262))</f>
        <v/>
      </c>
      <c r="L262" s="33">
        <f>IF(A262="","",COUNTIFS(DATA_MASTER!$I$2:$I$5000,A262,DATA_MASTER!$T$2:$T$5000,"Có"))</f>
        <v/>
      </c>
      <c r="M262" s="33">
        <f>IF(A262="","",COUNTIFS(ORDERS!$E$2:$E$4995,A262,ORDERS!$L$2:$L$4995,"Đã chuyển khoản"))</f>
        <v/>
      </c>
      <c r="N262" s="11" t="n"/>
    </row>
    <row r="263" ht="14.25" customHeight="1" s="40">
      <c r="A263" s="11" t="n"/>
      <c r="B263" s="11" t="n"/>
      <c r="C263" s="11" t="n"/>
      <c r="D263" s="11" t="n"/>
      <c r="E263" s="11" t="n"/>
      <c r="F263" s="11" t="n"/>
      <c r="G263" s="34" t="n"/>
      <c r="H263" s="11" t="n"/>
      <c r="I263" s="33">
        <f>IF(A263="","",DANH_MUC!$L$4&amp;"?ref="&amp;A263)</f>
        <v/>
      </c>
      <c r="J263" s="33">
        <f>IF(A263="","",IF(COUNTIF($A$2:$A$495,A263)&gt;1,"TRÙNG",""))</f>
        <v/>
      </c>
      <c r="K263" s="33">
        <f>IF(A263="","",COUNTIF(DATA_MASTER!$I$2:$I$5000,A263))</f>
        <v/>
      </c>
      <c r="L263" s="33">
        <f>IF(A263="","",COUNTIFS(DATA_MASTER!$I$2:$I$5000,A263,DATA_MASTER!$T$2:$T$5000,"Có"))</f>
        <v/>
      </c>
      <c r="M263" s="33">
        <f>IF(A263="","",COUNTIFS(ORDERS!$E$2:$E$4995,A263,ORDERS!$L$2:$L$4995,"Đã chuyển khoản"))</f>
        <v/>
      </c>
      <c r="N263" s="11" t="n"/>
    </row>
    <row r="264" ht="14.25" customHeight="1" s="40">
      <c r="A264" s="11" t="n"/>
      <c r="B264" s="11" t="n"/>
      <c r="C264" s="11" t="n"/>
      <c r="D264" s="11" t="n"/>
      <c r="E264" s="11" t="n"/>
      <c r="F264" s="11" t="n"/>
      <c r="G264" s="34" t="n"/>
      <c r="H264" s="11" t="n"/>
      <c r="I264" s="33">
        <f>IF(A264="","",DANH_MUC!$L$4&amp;"?ref="&amp;A264)</f>
        <v/>
      </c>
      <c r="J264" s="33">
        <f>IF(A264="","",IF(COUNTIF($A$2:$A$495,A264)&gt;1,"TRÙNG",""))</f>
        <v/>
      </c>
      <c r="K264" s="33">
        <f>IF(A264="","",COUNTIF(DATA_MASTER!$I$2:$I$5000,A264))</f>
        <v/>
      </c>
      <c r="L264" s="33">
        <f>IF(A264="","",COUNTIFS(DATA_MASTER!$I$2:$I$5000,A264,DATA_MASTER!$T$2:$T$5000,"Có"))</f>
        <v/>
      </c>
      <c r="M264" s="33">
        <f>IF(A264="","",COUNTIFS(ORDERS!$E$2:$E$4995,A264,ORDERS!$L$2:$L$4995,"Đã chuyển khoản"))</f>
        <v/>
      </c>
      <c r="N264" s="11" t="n"/>
    </row>
    <row r="265" ht="14.25" customHeight="1" s="40">
      <c r="A265" s="11" t="n"/>
      <c r="B265" s="11" t="n"/>
      <c r="C265" s="11" t="n"/>
      <c r="D265" s="11" t="n"/>
      <c r="E265" s="11" t="n"/>
      <c r="F265" s="11" t="n"/>
      <c r="G265" s="34" t="n"/>
      <c r="H265" s="11" t="n"/>
      <c r="I265" s="33">
        <f>IF(A265="","",DANH_MUC!$L$4&amp;"?ref="&amp;A265)</f>
        <v/>
      </c>
      <c r="J265" s="33">
        <f>IF(A265="","",IF(COUNTIF($A$2:$A$495,A265)&gt;1,"TRÙNG",""))</f>
        <v/>
      </c>
      <c r="K265" s="33">
        <f>IF(A265="","",COUNTIF(DATA_MASTER!$I$2:$I$5000,A265))</f>
        <v/>
      </c>
      <c r="L265" s="33">
        <f>IF(A265="","",COUNTIFS(DATA_MASTER!$I$2:$I$5000,A265,DATA_MASTER!$T$2:$T$5000,"Có"))</f>
        <v/>
      </c>
      <c r="M265" s="33">
        <f>IF(A265="","",COUNTIFS(ORDERS!$E$2:$E$4995,A265,ORDERS!$L$2:$L$4995,"Đã chuyển khoản"))</f>
        <v/>
      </c>
      <c r="N265" s="11" t="n"/>
    </row>
    <row r="266" ht="14.25" customHeight="1" s="40">
      <c r="A266" s="11" t="n"/>
      <c r="B266" s="11" t="n"/>
      <c r="C266" s="11" t="n"/>
      <c r="D266" s="11" t="n"/>
      <c r="E266" s="11" t="n"/>
      <c r="F266" s="11" t="n"/>
      <c r="G266" s="34" t="n"/>
      <c r="H266" s="11" t="n"/>
      <c r="I266" s="33">
        <f>IF(A266="","",DANH_MUC!$L$4&amp;"?ref="&amp;A266)</f>
        <v/>
      </c>
      <c r="J266" s="33">
        <f>IF(A266="","",IF(COUNTIF($A$2:$A$495,A266)&gt;1,"TRÙNG",""))</f>
        <v/>
      </c>
      <c r="K266" s="33">
        <f>IF(A266="","",COUNTIF(DATA_MASTER!$I$2:$I$5000,A266))</f>
        <v/>
      </c>
      <c r="L266" s="33">
        <f>IF(A266="","",COUNTIFS(DATA_MASTER!$I$2:$I$5000,A266,DATA_MASTER!$T$2:$T$5000,"Có"))</f>
        <v/>
      </c>
      <c r="M266" s="33">
        <f>IF(A266="","",COUNTIFS(ORDERS!$E$2:$E$4995,A266,ORDERS!$L$2:$L$4995,"Đã chuyển khoản"))</f>
        <v/>
      </c>
      <c r="N266" s="11" t="n"/>
    </row>
    <row r="267" ht="14.25" customHeight="1" s="40">
      <c r="A267" s="11" t="n"/>
      <c r="B267" s="11" t="n"/>
      <c r="C267" s="11" t="n"/>
      <c r="D267" s="11" t="n"/>
      <c r="E267" s="11" t="n"/>
      <c r="F267" s="11" t="n"/>
      <c r="G267" s="34" t="n"/>
      <c r="H267" s="11" t="n"/>
      <c r="I267" s="33">
        <f>IF(A267="","",DANH_MUC!$L$4&amp;"?ref="&amp;A267)</f>
        <v/>
      </c>
      <c r="J267" s="33">
        <f>IF(A267="","",IF(COUNTIF($A$2:$A$495,A267)&gt;1,"TRÙNG",""))</f>
        <v/>
      </c>
      <c r="K267" s="33">
        <f>IF(A267="","",COUNTIF(DATA_MASTER!$I$2:$I$5000,A267))</f>
        <v/>
      </c>
      <c r="L267" s="33">
        <f>IF(A267="","",COUNTIFS(DATA_MASTER!$I$2:$I$5000,A267,DATA_MASTER!$T$2:$T$5000,"Có"))</f>
        <v/>
      </c>
      <c r="M267" s="33">
        <f>IF(A267="","",COUNTIFS(ORDERS!$E$2:$E$4995,A267,ORDERS!$L$2:$L$4995,"Đã chuyển khoản"))</f>
        <v/>
      </c>
      <c r="N267" s="11" t="n"/>
    </row>
    <row r="268" ht="14.25" customHeight="1" s="40">
      <c r="A268" s="11" t="n"/>
      <c r="B268" s="11" t="n"/>
      <c r="C268" s="11" t="n"/>
      <c r="D268" s="11" t="n"/>
      <c r="E268" s="11" t="n"/>
      <c r="F268" s="11" t="n"/>
      <c r="G268" s="34" t="n"/>
      <c r="H268" s="11" t="n"/>
      <c r="I268" s="33">
        <f>IF(A268="","",DANH_MUC!$L$4&amp;"?ref="&amp;A268)</f>
        <v/>
      </c>
      <c r="J268" s="33">
        <f>IF(A268="","",IF(COUNTIF($A$2:$A$495,A268)&gt;1,"TRÙNG",""))</f>
        <v/>
      </c>
      <c r="K268" s="33">
        <f>IF(A268="","",COUNTIF(DATA_MASTER!$I$2:$I$5000,A268))</f>
        <v/>
      </c>
      <c r="L268" s="33">
        <f>IF(A268="","",COUNTIFS(DATA_MASTER!$I$2:$I$5000,A268,DATA_MASTER!$T$2:$T$5000,"Có"))</f>
        <v/>
      </c>
      <c r="M268" s="33">
        <f>IF(A268="","",COUNTIFS(ORDERS!$E$2:$E$4995,A268,ORDERS!$L$2:$L$4995,"Đã chuyển khoản"))</f>
        <v/>
      </c>
      <c r="N268" s="11" t="n"/>
    </row>
    <row r="269" ht="14.25" customHeight="1" s="40">
      <c r="A269" s="11" t="n"/>
      <c r="B269" s="11" t="n"/>
      <c r="C269" s="11" t="n"/>
      <c r="D269" s="11" t="n"/>
      <c r="E269" s="11" t="n"/>
      <c r="F269" s="11" t="n"/>
      <c r="G269" s="34" t="n"/>
      <c r="H269" s="11" t="n"/>
      <c r="I269" s="33">
        <f>IF(A269="","",DANH_MUC!$L$4&amp;"?ref="&amp;A269)</f>
        <v/>
      </c>
      <c r="J269" s="33">
        <f>IF(A269="","",IF(COUNTIF($A$2:$A$495,A269)&gt;1,"TRÙNG",""))</f>
        <v/>
      </c>
      <c r="K269" s="33">
        <f>IF(A269="","",COUNTIF(DATA_MASTER!$I$2:$I$5000,A269))</f>
        <v/>
      </c>
      <c r="L269" s="33">
        <f>IF(A269="","",COUNTIFS(DATA_MASTER!$I$2:$I$5000,A269,DATA_MASTER!$T$2:$T$5000,"Có"))</f>
        <v/>
      </c>
      <c r="M269" s="33">
        <f>IF(A269="","",COUNTIFS(ORDERS!$E$2:$E$4995,A269,ORDERS!$L$2:$L$4995,"Đã chuyển khoản"))</f>
        <v/>
      </c>
      <c r="N269" s="11" t="n"/>
    </row>
    <row r="270" ht="14.25" customHeight="1" s="40">
      <c r="A270" s="11" t="n"/>
      <c r="B270" s="11" t="n"/>
      <c r="C270" s="11" t="n"/>
      <c r="D270" s="11" t="n"/>
      <c r="E270" s="11" t="n"/>
      <c r="F270" s="11" t="n"/>
      <c r="G270" s="34" t="n"/>
      <c r="H270" s="11" t="n"/>
      <c r="I270" s="33">
        <f>IF(A270="","",DANH_MUC!$L$4&amp;"?ref="&amp;A270)</f>
        <v/>
      </c>
      <c r="J270" s="33">
        <f>IF(A270="","",IF(COUNTIF($A$2:$A$495,A270)&gt;1,"TRÙNG",""))</f>
        <v/>
      </c>
      <c r="K270" s="33">
        <f>IF(A270="","",COUNTIF(DATA_MASTER!$I$2:$I$5000,A270))</f>
        <v/>
      </c>
      <c r="L270" s="33">
        <f>IF(A270="","",COUNTIFS(DATA_MASTER!$I$2:$I$5000,A270,DATA_MASTER!$T$2:$T$5000,"Có"))</f>
        <v/>
      </c>
      <c r="M270" s="33">
        <f>IF(A270="","",COUNTIFS(ORDERS!$E$2:$E$4995,A270,ORDERS!$L$2:$L$4995,"Đã chuyển khoản"))</f>
        <v/>
      </c>
      <c r="N270" s="11" t="n"/>
    </row>
    <row r="271" ht="14.25" customHeight="1" s="40">
      <c r="A271" s="11" t="n"/>
      <c r="B271" s="11" t="n"/>
      <c r="C271" s="11" t="n"/>
      <c r="D271" s="11" t="n"/>
      <c r="E271" s="11" t="n"/>
      <c r="F271" s="11" t="n"/>
      <c r="G271" s="34" t="n"/>
      <c r="H271" s="11" t="n"/>
      <c r="I271" s="33">
        <f>IF(A271="","",DANH_MUC!$L$4&amp;"?ref="&amp;A271)</f>
        <v/>
      </c>
      <c r="J271" s="33">
        <f>IF(A271="","",IF(COUNTIF($A$2:$A$495,A271)&gt;1,"TRÙNG",""))</f>
        <v/>
      </c>
      <c r="K271" s="33">
        <f>IF(A271="","",COUNTIF(DATA_MASTER!$I$2:$I$5000,A271))</f>
        <v/>
      </c>
      <c r="L271" s="33">
        <f>IF(A271="","",COUNTIFS(DATA_MASTER!$I$2:$I$5000,A271,DATA_MASTER!$T$2:$T$5000,"Có"))</f>
        <v/>
      </c>
      <c r="M271" s="33">
        <f>IF(A271="","",COUNTIFS(ORDERS!$E$2:$E$4995,A271,ORDERS!$L$2:$L$4995,"Đã chuyển khoản"))</f>
        <v/>
      </c>
      <c r="N271" s="11" t="n"/>
    </row>
    <row r="272" ht="14.25" customHeight="1" s="40">
      <c r="A272" s="11" t="n"/>
      <c r="B272" s="11" t="n"/>
      <c r="C272" s="11" t="n"/>
      <c r="D272" s="11" t="n"/>
      <c r="E272" s="11" t="n"/>
      <c r="F272" s="11" t="n"/>
      <c r="G272" s="34" t="n"/>
      <c r="H272" s="11" t="n"/>
      <c r="I272" s="33">
        <f>IF(A272="","",DANH_MUC!$L$4&amp;"?ref="&amp;A272)</f>
        <v/>
      </c>
      <c r="J272" s="33">
        <f>IF(A272="","",IF(COUNTIF($A$2:$A$495,A272)&gt;1,"TRÙNG",""))</f>
        <v/>
      </c>
      <c r="K272" s="33">
        <f>IF(A272="","",COUNTIF(DATA_MASTER!$I$2:$I$5000,A272))</f>
        <v/>
      </c>
      <c r="L272" s="33">
        <f>IF(A272="","",COUNTIFS(DATA_MASTER!$I$2:$I$5000,A272,DATA_MASTER!$T$2:$T$5000,"Có"))</f>
        <v/>
      </c>
      <c r="M272" s="33">
        <f>IF(A272="","",COUNTIFS(ORDERS!$E$2:$E$4995,A272,ORDERS!$L$2:$L$4995,"Đã chuyển khoản"))</f>
        <v/>
      </c>
      <c r="N272" s="11" t="n"/>
    </row>
    <row r="273" ht="14.25" customHeight="1" s="40">
      <c r="A273" s="11" t="n"/>
      <c r="B273" s="11" t="n"/>
      <c r="C273" s="11" t="n"/>
      <c r="D273" s="11" t="n"/>
      <c r="E273" s="11" t="n"/>
      <c r="F273" s="11" t="n"/>
      <c r="G273" s="34" t="n"/>
      <c r="H273" s="11" t="n"/>
      <c r="I273" s="33">
        <f>IF(A273="","",DANH_MUC!$L$4&amp;"?ref="&amp;A273)</f>
        <v/>
      </c>
      <c r="J273" s="33">
        <f>IF(A273="","",IF(COUNTIF($A$2:$A$495,A273)&gt;1,"TRÙNG",""))</f>
        <v/>
      </c>
      <c r="K273" s="33">
        <f>IF(A273="","",COUNTIF(DATA_MASTER!$I$2:$I$5000,A273))</f>
        <v/>
      </c>
      <c r="L273" s="33">
        <f>IF(A273="","",COUNTIFS(DATA_MASTER!$I$2:$I$5000,A273,DATA_MASTER!$T$2:$T$5000,"Có"))</f>
        <v/>
      </c>
      <c r="M273" s="33">
        <f>IF(A273="","",COUNTIFS(ORDERS!$E$2:$E$4995,A273,ORDERS!$L$2:$L$4995,"Đã chuyển khoản"))</f>
        <v/>
      </c>
      <c r="N273" s="11" t="n"/>
    </row>
    <row r="274" ht="14.25" customHeight="1" s="40">
      <c r="A274" s="11" t="n"/>
      <c r="B274" s="11" t="n"/>
      <c r="C274" s="11" t="n"/>
      <c r="D274" s="11" t="n"/>
      <c r="E274" s="11" t="n"/>
      <c r="F274" s="11" t="n"/>
      <c r="G274" s="34" t="n"/>
      <c r="H274" s="11" t="n"/>
      <c r="I274" s="33">
        <f>IF(A274="","",DANH_MUC!$L$4&amp;"?ref="&amp;A274)</f>
        <v/>
      </c>
      <c r="J274" s="33">
        <f>IF(A274="","",IF(COUNTIF($A$2:$A$495,A274)&gt;1,"TRÙNG",""))</f>
        <v/>
      </c>
      <c r="K274" s="33">
        <f>IF(A274="","",COUNTIF(DATA_MASTER!$I$2:$I$5000,A274))</f>
        <v/>
      </c>
      <c r="L274" s="33">
        <f>IF(A274="","",COUNTIFS(DATA_MASTER!$I$2:$I$5000,A274,DATA_MASTER!$T$2:$T$5000,"Có"))</f>
        <v/>
      </c>
      <c r="M274" s="33">
        <f>IF(A274="","",COUNTIFS(ORDERS!$E$2:$E$4995,A274,ORDERS!$L$2:$L$4995,"Đã chuyển khoản"))</f>
        <v/>
      </c>
      <c r="N274" s="11" t="n"/>
    </row>
    <row r="275" ht="14.25" customHeight="1" s="40">
      <c r="A275" s="11" t="n"/>
      <c r="B275" s="11" t="n"/>
      <c r="C275" s="11" t="n"/>
      <c r="D275" s="11" t="n"/>
      <c r="E275" s="11" t="n"/>
      <c r="F275" s="11" t="n"/>
      <c r="G275" s="34" t="n"/>
      <c r="H275" s="11" t="n"/>
      <c r="I275" s="33">
        <f>IF(A275="","",DANH_MUC!$L$4&amp;"?ref="&amp;A275)</f>
        <v/>
      </c>
      <c r="J275" s="33">
        <f>IF(A275="","",IF(COUNTIF($A$2:$A$495,A275)&gt;1,"TRÙNG",""))</f>
        <v/>
      </c>
      <c r="K275" s="33">
        <f>IF(A275="","",COUNTIF(DATA_MASTER!$I$2:$I$5000,A275))</f>
        <v/>
      </c>
      <c r="L275" s="33">
        <f>IF(A275="","",COUNTIFS(DATA_MASTER!$I$2:$I$5000,A275,DATA_MASTER!$T$2:$T$5000,"Có"))</f>
        <v/>
      </c>
      <c r="M275" s="33">
        <f>IF(A275="","",COUNTIFS(ORDERS!$E$2:$E$4995,A275,ORDERS!$L$2:$L$4995,"Đã chuyển khoản"))</f>
        <v/>
      </c>
      <c r="N275" s="11" t="n"/>
    </row>
    <row r="276" ht="14.25" customHeight="1" s="40">
      <c r="A276" s="11" t="n"/>
      <c r="B276" s="11" t="n"/>
      <c r="C276" s="11" t="n"/>
      <c r="D276" s="11" t="n"/>
      <c r="E276" s="11" t="n"/>
      <c r="F276" s="11" t="n"/>
      <c r="G276" s="34" t="n"/>
      <c r="H276" s="11" t="n"/>
      <c r="I276" s="33">
        <f>IF(A276="","",DANH_MUC!$L$4&amp;"?ref="&amp;A276)</f>
        <v/>
      </c>
      <c r="J276" s="33">
        <f>IF(A276="","",IF(COUNTIF($A$2:$A$495,A276)&gt;1,"TRÙNG",""))</f>
        <v/>
      </c>
      <c r="K276" s="33">
        <f>IF(A276="","",COUNTIF(DATA_MASTER!$I$2:$I$5000,A276))</f>
        <v/>
      </c>
      <c r="L276" s="33">
        <f>IF(A276="","",COUNTIFS(DATA_MASTER!$I$2:$I$5000,A276,DATA_MASTER!$T$2:$T$5000,"Có"))</f>
        <v/>
      </c>
      <c r="M276" s="33">
        <f>IF(A276="","",COUNTIFS(ORDERS!$E$2:$E$4995,A276,ORDERS!$L$2:$L$4995,"Đã chuyển khoản"))</f>
        <v/>
      </c>
      <c r="N276" s="11" t="n"/>
    </row>
    <row r="277" ht="14.25" customHeight="1" s="40">
      <c r="A277" s="11" t="n"/>
      <c r="B277" s="11" t="n"/>
      <c r="C277" s="11" t="n"/>
      <c r="D277" s="11" t="n"/>
      <c r="E277" s="11" t="n"/>
      <c r="F277" s="11" t="n"/>
      <c r="G277" s="34" t="n"/>
      <c r="H277" s="11" t="n"/>
      <c r="I277" s="33">
        <f>IF(A277="","",DANH_MUC!$L$4&amp;"?ref="&amp;A277)</f>
        <v/>
      </c>
      <c r="J277" s="33">
        <f>IF(A277="","",IF(COUNTIF($A$2:$A$495,A277)&gt;1,"TRÙNG",""))</f>
        <v/>
      </c>
      <c r="K277" s="33">
        <f>IF(A277="","",COUNTIF(DATA_MASTER!$I$2:$I$5000,A277))</f>
        <v/>
      </c>
      <c r="L277" s="33">
        <f>IF(A277="","",COUNTIFS(DATA_MASTER!$I$2:$I$5000,A277,DATA_MASTER!$T$2:$T$5000,"Có"))</f>
        <v/>
      </c>
      <c r="M277" s="33">
        <f>IF(A277="","",COUNTIFS(ORDERS!$E$2:$E$4995,A277,ORDERS!$L$2:$L$4995,"Đã chuyển khoản"))</f>
        <v/>
      </c>
      <c r="N277" s="11" t="n"/>
    </row>
    <row r="278" ht="14.25" customHeight="1" s="40">
      <c r="A278" s="11" t="n"/>
      <c r="B278" s="11" t="n"/>
      <c r="C278" s="11" t="n"/>
      <c r="D278" s="11" t="n"/>
      <c r="E278" s="11" t="n"/>
      <c r="F278" s="11" t="n"/>
      <c r="G278" s="34" t="n"/>
      <c r="H278" s="11" t="n"/>
      <c r="I278" s="33">
        <f>IF(A278="","",DANH_MUC!$L$4&amp;"?ref="&amp;A278)</f>
        <v/>
      </c>
      <c r="J278" s="33">
        <f>IF(A278="","",IF(COUNTIF($A$2:$A$495,A278)&gt;1,"TRÙNG",""))</f>
        <v/>
      </c>
      <c r="K278" s="33">
        <f>IF(A278="","",COUNTIF(DATA_MASTER!$I$2:$I$5000,A278))</f>
        <v/>
      </c>
      <c r="L278" s="33">
        <f>IF(A278="","",COUNTIFS(DATA_MASTER!$I$2:$I$5000,A278,DATA_MASTER!$T$2:$T$5000,"Có"))</f>
        <v/>
      </c>
      <c r="M278" s="33">
        <f>IF(A278="","",COUNTIFS(ORDERS!$E$2:$E$4995,A278,ORDERS!$L$2:$L$4995,"Đã chuyển khoản"))</f>
        <v/>
      </c>
      <c r="N278" s="11" t="n"/>
    </row>
    <row r="279" ht="14.25" customHeight="1" s="40">
      <c r="A279" s="11" t="n"/>
      <c r="B279" s="11" t="n"/>
      <c r="C279" s="11" t="n"/>
      <c r="D279" s="11" t="n"/>
      <c r="E279" s="11" t="n"/>
      <c r="F279" s="11" t="n"/>
      <c r="G279" s="34" t="n"/>
      <c r="H279" s="11" t="n"/>
      <c r="I279" s="33">
        <f>IF(A279="","",DANH_MUC!$L$4&amp;"?ref="&amp;A279)</f>
        <v/>
      </c>
      <c r="J279" s="33">
        <f>IF(A279="","",IF(COUNTIF($A$2:$A$495,A279)&gt;1,"TRÙNG",""))</f>
        <v/>
      </c>
      <c r="K279" s="33">
        <f>IF(A279="","",COUNTIF(DATA_MASTER!$I$2:$I$5000,A279))</f>
        <v/>
      </c>
      <c r="L279" s="33">
        <f>IF(A279="","",COUNTIFS(DATA_MASTER!$I$2:$I$5000,A279,DATA_MASTER!$T$2:$T$5000,"Có"))</f>
        <v/>
      </c>
      <c r="M279" s="33">
        <f>IF(A279="","",COUNTIFS(ORDERS!$E$2:$E$4995,A279,ORDERS!$L$2:$L$4995,"Đã chuyển khoản"))</f>
        <v/>
      </c>
      <c r="N279" s="11" t="n"/>
    </row>
    <row r="280" ht="14.25" customHeight="1" s="40">
      <c r="A280" s="11" t="n"/>
      <c r="B280" s="11" t="n"/>
      <c r="C280" s="11" t="n"/>
      <c r="D280" s="11" t="n"/>
      <c r="E280" s="11" t="n"/>
      <c r="F280" s="11" t="n"/>
      <c r="G280" s="34" t="n"/>
      <c r="H280" s="11" t="n"/>
      <c r="I280" s="33">
        <f>IF(A280="","",DANH_MUC!$L$4&amp;"?ref="&amp;A280)</f>
        <v/>
      </c>
      <c r="J280" s="33">
        <f>IF(A280="","",IF(COUNTIF($A$2:$A$495,A280)&gt;1,"TRÙNG",""))</f>
        <v/>
      </c>
      <c r="K280" s="33">
        <f>IF(A280="","",COUNTIF(DATA_MASTER!$I$2:$I$5000,A280))</f>
        <v/>
      </c>
      <c r="L280" s="33">
        <f>IF(A280="","",COUNTIFS(DATA_MASTER!$I$2:$I$5000,A280,DATA_MASTER!$T$2:$T$5000,"Có"))</f>
        <v/>
      </c>
      <c r="M280" s="33">
        <f>IF(A280="","",COUNTIFS(ORDERS!$E$2:$E$4995,A280,ORDERS!$L$2:$L$4995,"Đã chuyển khoản"))</f>
        <v/>
      </c>
      <c r="N280" s="11" t="n"/>
    </row>
    <row r="281" ht="14.25" customHeight="1" s="40">
      <c r="A281" s="11" t="n"/>
      <c r="B281" s="11" t="n"/>
      <c r="C281" s="11" t="n"/>
      <c r="D281" s="11" t="n"/>
      <c r="E281" s="11" t="n"/>
      <c r="F281" s="11" t="n"/>
      <c r="G281" s="34" t="n"/>
      <c r="H281" s="11" t="n"/>
      <c r="I281" s="33">
        <f>IF(A281="","",DANH_MUC!$L$4&amp;"?ref="&amp;A281)</f>
        <v/>
      </c>
      <c r="J281" s="33">
        <f>IF(A281="","",IF(COUNTIF($A$2:$A$495,A281)&gt;1,"TRÙNG",""))</f>
        <v/>
      </c>
      <c r="K281" s="33">
        <f>IF(A281="","",COUNTIF(DATA_MASTER!$I$2:$I$5000,A281))</f>
        <v/>
      </c>
      <c r="L281" s="33">
        <f>IF(A281="","",COUNTIFS(DATA_MASTER!$I$2:$I$5000,A281,DATA_MASTER!$T$2:$T$5000,"Có"))</f>
        <v/>
      </c>
      <c r="M281" s="33">
        <f>IF(A281="","",COUNTIFS(ORDERS!$E$2:$E$4995,A281,ORDERS!$L$2:$L$4995,"Đã chuyển khoản"))</f>
        <v/>
      </c>
      <c r="N281" s="11" t="n"/>
    </row>
    <row r="282" ht="14.25" customHeight="1" s="40">
      <c r="A282" s="11" t="n"/>
      <c r="B282" s="11" t="n"/>
      <c r="C282" s="11" t="n"/>
      <c r="D282" s="11" t="n"/>
      <c r="E282" s="11" t="n"/>
      <c r="F282" s="11" t="n"/>
      <c r="G282" s="34" t="n"/>
      <c r="H282" s="11" t="n"/>
      <c r="I282" s="33">
        <f>IF(A282="","",DANH_MUC!$L$4&amp;"?ref="&amp;A282)</f>
        <v/>
      </c>
      <c r="J282" s="33">
        <f>IF(A282="","",IF(COUNTIF($A$2:$A$495,A282)&gt;1,"TRÙNG",""))</f>
        <v/>
      </c>
      <c r="K282" s="33">
        <f>IF(A282="","",COUNTIF(DATA_MASTER!$I$2:$I$5000,A282))</f>
        <v/>
      </c>
      <c r="L282" s="33">
        <f>IF(A282="","",COUNTIFS(DATA_MASTER!$I$2:$I$5000,A282,DATA_MASTER!$T$2:$T$5000,"Có"))</f>
        <v/>
      </c>
      <c r="M282" s="33">
        <f>IF(A282="","",COUNTIFS(ORDERS!$E$2:$E$4995,A282,ORDERS!$L$2:$L$4995,"Đã chuyển khoản"))</f>
        <v/>
      </c>
      <c r="N282" s="11" t="n"/>
    </row>
    <row r="283" ht="14.25" customHeight="1" s="40">
      <c r="A283" s="11" t="n"/>
      <c r="B283" s="11" t="n"/>
      <c r="C283" s="11" t="n"/>
      <c r="D283" s="11" t="n"/>
      <c r="E283" s="11" t="n"/>
      <c r="F283" s="11" t="n"/>
      <c r="G283" s="34" t="n"/>
      <c r="H283" s="11" t="n"/>
      <c r="I283" s="33">
        <f>IF(A283="","",DANH_MUC!$L$4&amp;"?ref="&amp;A283)</f>
        <v/>
      </c>
      <c r="J283" s="33">
        <f>IF(A283="","",IF(COUNTIF($A$2:$A$495,A283)&gt;1,"TRÙNG",""))</f>
        <v/>
      </c>
      <c r="K283" s="33">
        <f>IF(A283="","",COUNTIF(DATA_MASTER!$I$2:$I$5000,A283))</f>
        <v/>
      </c>
      <c r="L283" s="33">
        <f>IF(A283="","",COUNTIFS(DATA_MASTER!$I$2:$I$5000,A283,DATA_MASTER!$T$2:$T$5000,"Có"))</f>
        <v/>
      </c>
      <c r="M283" s="33">
        <f>IF(A283="","",COUNTIFS(ORDERS!$E$2:$E$4995,A283,ORDERS!$L$2:$L$4995,"Đã chuyển khoản"))</f>
        <v/>
      </c>
      <c r="N283" s="11" t="n"/>
    </row>
    <row r="284" ht="14.25" customHeight="1" s="40">
      <c r="A284" s="11" t="n"/>
      <c r="B284" s="11" t="n"/>
      <c r="C284" s="11" t="n"/>
      <c r="D284" s="11" t="n"/>
      <c r="E284" s="11" t="n"/>
      <c r="F284" s="11" t="n"/>
      <c r="G284" s="34" t="n"/>
      <c r="H284" s="11" t="n"/>
      <c r="I284" s="33">
        <f>IF(A284="","",DANH_MUC!$L$4&amp;"?ref="&amp;A284)</f>
        <v/>
      </c>
      <c r="J284" s="33">
        <f>IF(A284="","",IF(COUNTIF($A$2:$A$495,A284)&gt;1,"TRÙNG",""))</f>
        <v/>
      </c>
      <c r="K284" s="33">
        <f>IF(A284="","",COUNTIF(DATA_MASTER!$I$2:$I$5000,A284))</f>
        <v/>
      </c>
      <c r="L284" s="33">
        <f>IF(A284="","",COUNTIFS(DATA_MASTER!$I$2:$I$5000,A284,DATA_MASTER!$T$2:$T$5000,"Có"))</f>
        <v/>
      </c>
      <c r="M284" s="33">
        <f>IF(A284="","",COUNTIFS(ORDERS!$E$2:$E$4995,A284,ORDERS!$L$2:$L$4995,"Đã chuyển khoản"))</f>
        <v/>
      </c>
      <c r="N284" s="11" t="n"/>
    </row>
    <row r="285" ht="14.25" customHeight="1" s="40">
      <c r="A285" s="11" t="n"/>
      <c r="B285" s="11" t="n"/>
      <c r="C285" s="11" t="n"/>
      <c r="D285" s="11" t="n"/>
      <c r="E285" s="11" t="n"/>
      <c r="F285" s="11" t="n"/>
      <c r="G285" s="34" t="n"/>
      <c r="H285" s="11" t="n"/>
      <c r="I285" s="33">
        <f>IF(A285="","",DANH_MUC!$L$4&amp;"?ref="&amp;A285)</f>
        <v/>
      </c>
      <c r="J285" s="33">
        <f>IF(A285="","",IF(COUNTIF($A$2:$A$495,A285)&gt;1,"TRÙNG",""))</f>
        <v/>
      </c>
      <c r="K285" s="33">
        <f>IF(A285="","",COUNTIF(DATA_MASTER!$I$2:$I$5000,A285))</f>
        <v/>
      </c>
      <c r="L285" s="33">
        <f>IF(A285="","",COUNTIFS(DATA_MASTER!$I$2:$I$5000,A285,DATA_MASTER!$T$2:$T$5000,"Có"))</f>
        <v/>
      </c>
      <c r="M285" s="33">
        <f>IF(A285="","",COUNTIFS(ORDERS!$E$2:$E$4995,A285,ORDERS!$L$2:$L$4995,"Đã chuyển khoản"))</f>
        <v/>
      </c>
      <c r="N285" s="11" t="n"/>
    </row>
    <row r="286" ht="14.25" customHeight="1" s="40">
      <c r="A286" s="11" t="n"/>
      <c r="B286" s="11" t="n"/>
      <c r="C286" s="11" t="n"/>
      <c r="D286" s="11" t="n"/>
      <c r="E286" s="11" t="n"/>
      <c r="F286" s="11" t="n"/>
      <c r="G286" s="34" t="n"/>
      <c r="H286" s="11" t="n"/>
      <c r="I286" s="33">
        <f>IF(A286="","",DANH_MUC!$L$4&amp;"?ref="&amp;A286)</f>
        <v/>
      </c>
      <c r="J286" s="33">
        <f>IF(A286="","",IF(COUNTIF($A$2:$A$495,A286)&gt;1,"TRÙNG",""))</f>
        <v/>
      </c>
      <c r="K286" s="33">
        <f>IF(A286="","",COUNTIF(DATA_MASTER!$I$2:$I$5000,A286))</f>
        <v/>
      </c>
      <c r="L286" s="33">
        <f>IF(A286="","",COUNTIFS(DATA_MASTER!$I$2:$I$5000,A286,DATA_MASTER!$T$2:$T$5000,"Có"))</f>
        <v/>
      </c>
      <c r="M286" s="33">
        <f>IF(A286="","",COUNTIFS(ORDERS!$E$2:$E$4995,A286,ORDERS!$L$2:$L$4995,"Đã chuyển khoản"))</f>
        <v/>
      </c>
      <c r="N286" s="11" t="n"/>
    </row>
    <row r="287" ht="14.25" customHeight="1" s="40">
      <c r="A287" s="11" t="n"/>
      <c r="B287" s="11" t="n"/>
      <c r="C287" s="11" t="n"/>
      <c r="D287" s="11" t="n"/>
      <c r="E287" s="11" t="n"/>
      <c r="F287" s="11" t="n"/>
      <c r="G287" s="34" t="n"/>
      <c r="H287" s="11" t="n"/>
      <c r="I287" s="33">
        <f>IF(A287="","",DANH_MUC!$L$4&amp;"?ref="&amp;A287)</f>
        <v/>
      </c>
      <c r="J287" s="33">
        <f>IF(A287="","",IF(COUNTIF($A$2:$A$495,A287)&gt;1,"TRÙNG",""))</f>
        <v/>
      </c>
      <c r="K287" s="33">
        <f>IF(A287="","",COUNTIF(DATA_MASTER!$I$2:$I$5000,A287))</f>
        <v/>
      </c>
      <c r="L287" s="33">
        <f>IF(A287="","",COUNTIFS(DATA_MASTER!$I$2:$I$5000,A287,DATA_MASTER!$T$2:$T$5000,"Có"))</f>
        <v/>
      </c>
      <c r="M287" s="33">
        <f>IF(A287="","",COUNTIFS(ORDERS!$E$2:$E$4995,A287,ORDERS!$L$2:$L$4995,"Đã chuyển khoản"))</f>
        <v/>
      </c>
      <c r="N287" s="11" t="n"/>
    </row>
    <row r="288" ht="14.25" customHeight="1" s="40">
      <c r="A288" s="11" t="n"/>
      <c r="B288" s="11" t="n"/>
      <c r="C288" s="11" t="n"/>
      <c r="D288" s="11" t="n"/>
      <c r="E288" s="11" t="n"/>
      <c r="F288" s="11" t="n"/>
      <c r="G288" s="34" t="n"/>
      <c r="H288" s="11" t="n"/>
      <c r="I288" s="33">
        <f>IF(A288="","",DANH_MUC!$L$4&amp;"?ref="&amp;A288)</f>
        <v/>
      </c>
      <c r="J288" s="33">
        <f>IF(A288="","",IF(COUNTIF($A$2:$A$495,A288)&gt;1,"TRÙNG",""))</f>
        <v/>
      </c>
      <c r="K288" s="33">
        <f>IF(A288="","",COUNTIF(DATA_MASTER!$I$2:$I$5000,A288))</f>
        <v/>
      </c>
      <c r="L288" s="33">
        <f>IF(A288="","",COUNTIFS(DATA_MASTER!$I$2:$I$5000,A288,DATA_MASTER!$T$2:$T$5000,"Có"))</f>
        <v/>
      </c>
      <c r="M288" s="33">
        <f>IF(A288="","",COUNTIFS(ORDERS!$E$2:$E$4995,A288,ORDERS!$L$2:$L$4995,"Đã chuyển khoản"))</f>
        <v/>
      </c>
      <c r="N288" s="11" t="n"/>
    </row>
    <row r="289" ht="14.25" customHeight="1" s="40">
      <c r="A289" s="11" t="n"/>
      <c r="B289" s="11" t="n"/>
      <c r="C289" s="11" t="n"/>
      <c r="D289" s="11" t="n"/>
      <c r="E289" s="11" t="n"/>
      <c r="F289" s="11" t="n"/>
      <c r="G289" s="34" t="n"/>
      <c r="H289" s="11" t="n"/>
      <c r="I289" s="33">
        <f>IF(A289="","",DANH_MUC!$L$4&amp;"?ref="&amp;A289)</f>
        <v/>
      </c>
      <c r="J289" s="33">
        <f>IF(A289="","",IF(COUNTIF($A$2:$A$495,A289)&gt;1,"TRÙNG",""))</f>
        <v/>
      </c>
      <c r="K289" s="33">
        <f>IF(A289="","",COUNTIF(DATA_MASTER!$I$2:$I$5000,A289))</f>
        <v/>
      </c>
      <c r="L289" s="33">
        <f>IF(A289="","",COUNTIFS(DATA_MASTER!$I$2:$I$5000,A289,DATA_MASTER!$T$2:$T$5000,"Có"))</f>
        <v/>
      </c>
      <c r="M289" s="33">
        <f>IF(A289="","",COUNTIFS(ORDERS!$E$2:$E$4995,A289,ORDERS!$L$2:$L$4995,"Đã chuyển khoản"))</f>
        <v/>
      </c>
      <c r="N289" s="11" t="n"/>
    </row>
    <row r="290" ht="14.25" customHeight="1" s="40">
      <c r="A290" s="11" t="n"/>
      <c r="B290" s="11" t="n"/>
      <c r="C290" s="11" t="n"/>
      <c r="D290" s="11" t="n"/>
      <c r="E290" s="11" t="n"/>
      <c r="F290" s="11" t="n"/>
      <c r="G290" s="34" t="n"/>
      <c r="H290" s="11" t="n"/>
      <c r="I290" s="33">
        <f>IF(A290="","",DANH_MUC!$L$4&amp;"?ref="&amp;A290)</f>
        <v/>
      </c>
      <c r="J290" s="33">
        <f>IF(A290="","",IF(COUNTIF($A$2:$A$495,A290)&gt;1,"TRÙNG",""))</f>
        <v/>
      </c>
      <c r="K290" s="33">
        <f>IF(A290="","",COUNTIF(DATA_MASTER!$I$2:$I$5000,A290))</f>
        <v/>
      </c>
      <c r="L290" s="33">
        <f>IF(A290="","",COUNTIFS(DATA_MASTER!$I$2:$I$5000,A290,DATA_MASTER!$T$2:$T$5000,"Có"))</f>
        <v/>
      </c>
      <c r="M290" s="33">
        <f>IF(A290="","",COUNTIFS(ORDERS!$E$2:$E$4995,A290,ORDERS!$L$2:$L$4995,"Đã chuyển khoản"))</f>
        <v/>
      </c>
      <c r="N290" s="11" t="n"/>
    </row>
    <row r="291" ht="14.25" customHeight="1" s="40">
      <c r="A291" s="11" t="n"/>
      <c r="B291" s="11" t="n"/>
      <c r="C291" s="11" t="n"/>
      <c r="D291" s="11" t="n"/>
      <c r="E291" s="11" t="n"/>
      <c r="F291" s="11" t="n"/>
      <c r="G291" s="34" t="n"/>
      <c r="H291" s="11" t="n"/>
      <c r="I291" s="33">
        <f>IF(A291="","",DANH_MUC!$L$4&amp;"?ref="&amp;A291)</f>
        <v/>
      </c>
      <c r="J291" s="33">
        <f>IF(A291="","",IF(COUNTIF($A$2:$A$495,A291)&gt;1,"TRÙNG",""))</f>
        <v/>
      </c>
      <c r="K291" s="33">
        <f>IF(A291="","",COUNTIF(DATA_MASTER!$I$2:$I$5000,A291))</f>
        <v/>
      </c>
      <c r="L291" s="33">
        <f>IF(A291="","",COUNTIFS(DATA_MASTER!$I$2:$I$5000,A291,DATA_MASTER!$T$2:$T$5000,"Có"))</f>
        <v/>
      </c>
      <c r="M291" s="33">
        <f>IF(A291="","",COUNTIFS(ORDERS!$E$2:$E$4995,A291,ORDERS!$L$2:$L$4995,"Đã chuyển khoản"))</f>
        <v/>
      </c>
      <c r="N291" s="11" t="n"/>
    </row>
    <row r="292" ht="14.25" customHeight="1" s="40">
      <c r="A292" s="11" t="n"/>
      <c r="B292" s="11" t="n"/>
      <c r="C292" s="11" t="n"/>
      <c r="D292" s="11" t="n"/>
      <c r="E292" s="11" t="n"/>
      <c r="F292" s="11" t="n"/>
      <c r="G292" s="34" t="n"/>
      <c r="H292" s="11" t="n"/>
      <c r="I292" s="33">
        <f>IF(A292="","",DANH_MUC!$L$4&amp;"?ref="&amp;A292)</f>
        <v/>
      </c>
      <c r="J292" s="33">
        <f>IF(A292="","",IF(COUNTIF($A$2:$A$495,A292)&gt;1,"TRÙNG",""))</f>
        <v/>
      </c>
      <c r="K292" s="33">
        <f>IF(A292="","",COUNTIF(DATA_MASTER!$I$2:$I$5000,A292))</f>
        <v/>
      </c>
      <c r="L292" s="33">
        <f>IF(A292="","",COUNTIFS(DATA_MASTER!$I$2:$I$5000,A292,DATA_MASTER!$T$2:$T$5000,"Có"))</f>
        <v/>
      </c>
      <c r="M292" s="33">
        <f>IF(A292="","",COUNTIFS(ORDERS!$E$2:$E$4995,A292,ORDERS!$L$2:$L$4995,"Đã chuyển khoản"))</f>
        <v/>
      </c>
      <c r="N292" s="11" t="n"/>
    </row>
    <row r="293" ht="14.25" customHeight="1" s="40">
      <c r="A293" s="11" t="n"/>
      <c r="B293" s="11" t="n"/>
      <c r="C293" s="11" t="n"/>
      <c r="D293" s="11" t="n"/>
      <c r="E293" s="11" t="n"/>
      <c r="F293" s="11" t="n"/>
      <c r="G293" s="34" t="n"/>
      <c r="H293" s="11" t="n"/>
      <c r="I293" s="33">
        <f>IF(A293="","",DANH_MUC!$L$4&amp;"?ref="&amp;A293)</f>
        <v/>
      </c>
      <c r="J293" s="33">
        <f>IF(A293="","",IF(COUNTIF($A$2:$A$495,A293)&gt;1,"TRÙNG",""))</f>
        <v/>
      </c>
      <c r="K293" s="33">
        <f>IF(A293="","",COUNTIF(DATA_MASTER!$I$2:$I$5000,A293))</f>
        <v/>
      </c>
      <c r="L293" s="33">
        <f>IF(A293="","",COUNTIFS(DATA_MASTER!$I$2:$I$5000,A293,DATA_MASTER!$T$2:$T$5000,"Có"))</f>
        <v/>
      </c>
      <c r="M293" s="33">
        <f>IF(A293="","",COUNTIFS(ORDERS!$E$2:$E$4995,A293,ORDERS!$L$2:$L$4995,"Đã chuyển khoản"))</f>
        <v/>
      </c>
      <c r="N293" s="11" t="n"/>
    </row>
    <row r="294" ht="14.25" customHeight="1" s="40">
      <c r="A294" s="11" t="n"/>
      <c r="B294" s="11" t="n"/>
      <c r="C294" s="11" t="n"/>
      <c r="D294" s="11" t="n"/>
      <c r="E294" s="11" t="n"/>
      <c r="F294" s="11" t="n"/>
      <c r="G294" s="34" t="n"/>
      <c r="H294" s="11" t="n"/>
      <c r="I294" s="33">
        <f>IF(A294="","",DANH_MUC!$L$4&amp;"?ref="&amp;A294)</f>
        <v/>
      </c>
      <c r="J294" s="33">
        <f>IF(A294="","",IF(COUNTIF($A$2:$A$495,A294)&gt;1,"TRÙNG",""))</f>
        <v/>
      </c>
      <c r="K294" s="33">
        <f>IF(A294="","",COUNTIF(DATA_MASTER!$I$2:$I$5000,A294))</f>
        <v/>
      </c>
      <c r="L294" s="33">
        <f>IF(A294="","",COUNTIFS(DATA_MASTER!$I$2:$I$5000,A294,DATA_MASTER!$T$2:$T$5000,"Có"))</f>
        <v/>
      </c>
      <c r="M294" s="33">
        <f>IF(A294="","",COUNTIFS(ORDERS!$E$2:$E$4995,A294,ORDERS!$L$2:$L$4995,"Đã chuyển khoản"))</f>
        <v/>
      </c>
      <c r="N294" s="11" t="n"/>
    </row>
    <row r="295" ht="14.25" customHeight="1" s="40">
      <c r="A295" s="11" t="n"/>
      <c r="B295" s="11" t="n"/>
      <c r="C295" s="11" t="n"/>
      <c r="D295" s="11" t="n"/>
      <c r="E295" s="11" t="n"/>
      <c r="F295" s="11" t="n"/>
      <c r="G295" s="34" t="n"/>
      <c r="H295" s="11" t="n"/>
      <c r="I295" s="33">
        <f>IF(A295="","",DANH_MUC!$L$4&amp;"?ref="&amp;A295)</f>
        <v/>
      </c>
      <c r="J295" s="33">
        <f>IF(A295="","",IF(COUNTIF($A$2:$A$495,A295)&gt;1,"TRÙNG",""))</f>
        <v/>
      </c>
      <c r="K295" s="33">
        <f>IF(A295="","",COUNTIF(DATA_MASTER!$I$2:$I$5000,A295))</f>
        <v/>
      </c>
      <c r="L295" s="33">
        <f>IF(A295="","",COUNTIFS(DATA_MASTER!$I$2:$I$5000,A295,DATA_MASTER!$T$2:$T$5000,"Có"))</f>
        <v/>
      </c>
      <c r="M295" s="33">
        <f>IF(A295="","",COUNTIFS(ORDERS!$E$2:$E$4995,A295,ORDERS!$L$2:$L$4995,"Đã chuyển khoản"))</f>
        <v/>
      </c>
      <c r="N295" s="11" t="n"/>
    </row>
    <row r="296" ht="14.25" customHeight="1" s="40">
      <c r="A296" s="11" t="n"/>
      <c r="B296" s="11" t="n"/>
      <c r="C296" s="11" t="n"/>
      <c r="D296" s="11" t="n"/>
      <c r="E296" s="11" t="n"/>
      <c r="F296" s="11" t="n"/>
      <c r="G296" s="34" t="n"/>
      <c r="H296" s="11" t="n"/>
      <c r="I296" s="33">
        <f>IF(A296="","",DANH_MUC!$L$4&amp;"?ref="&amp;A296)</f>
        <v/>
      </c>
      <c r="J296" s="33">
        <f>IF(A296="","",IF(COUNTIF($A$2:$A$495,A296)&gt;1,"TRÙNG",""))</f>
        <v/>
      </c>
      <c r="K296" s="33">
        <f>IF(A296="","",COUNTIF(DATA_MASTER!$I$2:$I$5000,A296))</f>
        <v/>
      </c>
      <c r="L296" s="33">
        <f>IF(A296="","",COUNTIFS(DATA_MASTER!$I$2:$I$5000,A296,DATA_MASTER!$T$2:$T$5000,"Có"))</f>
        <v/>
      </c>
      <c r="M296" s="33">
        <f>IF(A296="","",COUNTIFS(ORDERS!$E$2:$E$4995,A296,ORDERS!$L$2:$L$4995,"Đã chuyển khoản"))</f>
        <v/>
      </c>
      <c r="N296" s="11" t="n"/>
    </row>
    <row r="297" ht="14.25" customHeight="1" s="40">
      <c r="A297" s="11" t="n"/>
      <c r="B297" s="11" t="n"/>
      <c r="C297" s="11" t="n"/>
      <c r="D297" s="11" t="n"/>
      <c r="E297" s="11" t="n"/>
      <c r="F297" s="11" t="n"/>
      <c r="G297" s="34" t="n"/>
      <c r="H297" s="11" t="n"/>
      <c r="I297" s="33">
        <f>IF(A297="","",DANH_MUC!$L$4&amp;"?ref="&amp;A297)</f>
        <v/>
      </c>
      <c r="J297" s="33">
        <f>IF(A297="","",IF(COUNTIF($A$2:$A$495,A297)&gt;1,"TRÙNG",""))</f>
        <v/>
      </c>
      <c r="K297" s="33">
        <f>IF(A297="","",COUNTIF(DATA_MASTER!$I$2:$I$5000,A297))</f>
        <v/>
      </c>
      <c r="L297" s="33">
        <f>IF(A297="","",COUNTIFS(DATA_MASTER!$I$2:$I$5000,A297,DATA_MASTER!$T$2:$T$5000,"Có"))</f>
        <v/>
      </c>
      <c r="M297" s="33">
        <f>IF(A297="","",COUNTIFS(ORDERS!$E$2:$E$4995,A297,ORDERS!$L$2:$L$4995,"Đã chuyển khoản"))</f>
        <v/>
      </c>
      <c r="N297" s="11" t="n"/>
    </row>
    <row r="298" ht="14.25" customHeight="1" s="40">
      <c r="A298" s="11" t="n"/>
      <c r="B298" s="11" t="n"/>
      <c r="C298" s="11" t="n"/>
      <c r="D298" s="11" t="n"/>
      <c r="E298" s="11" t="n"/>
      <c r="F298" s="11" t="n"/>
      <c r="G298" s="34" t="n"/>
      <c r="H298" s="11" t="n"/>
      <c r="I298" s="33">
        <f>IF(A298="","",DANH_MUC!$L$4&amp;"?ref="&amp;A298)</f>
        <v/>
      </c>
      <c r="J298" s="33">
        <f>IF(A298="","",IF(COUNTIF($A$2:$A$495,A298)&gt;1,"TRÙNG",""))</f>
        <v/>
      </c>
      <c r="K298" s="33">
        <f>IF(A298="","",COUNTIF(DATA_MASTER!$I$2:$I$5000,A298))</f>
        <v/>
      </c>
      <c r="L298" s="33">
        <f>IF(A298="","",COUNTIFS(DATA_MASTER!$I$2:$I$5000,A298,DATA_MASTER!$T$2:$T$5000,"Có"))</f>
        <v/>
      </c>
      <c r="M298" s="33">
        <f>IF(A298="","",COUNTIFS(ORDERS!$E$2:$E$4995,A298,ORDERS!$L$2:$L$4995,"Đã chuyển khoản"))</f>
        <v/>
      </c>
      <c r="N298" s="11" t="n"/>
    </row>
    <row r="299" ht="14.25" customHeight="1" s="40">
      <c r="A299" s="11" t="n"/>
      <c r="B299" s="11" t="n"/>
      <c r="C299" s="11" t="n"/>
      <c r="D299" s="11" t="n"/>
      <c r="E299" s="11" t="n"/>
      <c r="F299" s="11" t="n"/>
      <c r="G299" s="34" t="n"/>
      <c r="H299" s="11" t="n"/>
      <c r="I299" s="33">
        <f>IF(A299="","",DANH_MUC!$L$4&amp;"?ref="&amp;A299)</f>
        <v/>
      </c>
      <c r="J299" s="33">
        <f>IF(A299="","",IF(COUNTIF($A$2:$A$495,A299)&gt;1,"TRÙNG",""))</f>
        <v/>
      </c>
      <c r="K299" s="33">
        <f>IF(A299="","",COUNTIF(DATA_MASTER!$I$2:$I$5000,A299))</f>
        <v/>
      </c>
      <c r="L299" s="33">
        <f>IF(A299="","",COUNTIFS(DATA_MASTER!$I$2:$I$5000,A299,DATA_MASTER!$T$2:$T$5000,"Có"))</f>
        <v/>
      </c>
      <c r="M299" s="33">
        <f>IF(A299="","",COUNTIFS(ORDERS!$E$2:$E$4995,A299,ORDERS!$L$2:$L$4995,"Đã chuyển khoản"))</f>
        <v/>
      </c>
      <c r="N299" s="11" t="n"/>
    </row>
    <row r="300" ht="14.25" customHeight="1" s="40">
      <c r="A300" s="11" t="n"/>
      <c r="B300" s="11" t="n"/>
      <c r="C300" s="11" t="n"/>
      <c r="D300" s="11" t="n"/>
      <c r="E300" s="11" t="n"/>
      <c r="F300" s="11" t="n"/>
      <c r="G300" s="34" t="n"/>
      <c r="H300" s="11" t="n"/>
      <c r="I300" s="33">
        <f>IF(A300="","",DANH_MUC!$L$4&amp;"?ref="&amp;A300)</f>
        <v/>
      </c>
      <c r="J300" s="33">
        <f>IF(A300="","",IF(COUNTIF($A$2:$A$495,A300)&gt;1,"TRÙNG",""))</f>
        <v/>
      </c>
      <c r="K300" s="33">
        <f>IF(A300="","",COUNTIF(DATA_MASTER!$I$2:$I$5000,A300))</f>
        <v/>
      </c>
      <c r="L300" s="33">
        <f>IF(A300="","",COUNTIFS(DATA_MASTER!$I$2:$I$5000,A300,DATA_MASTER!$T$2:$T$5000,"Có"))</f>
        <v/>
      </c>
      <c r="M300" s="33">
        <f>IF(A300="","",COUNTIFS(ORDERS!$E$2:$E$4995,A300,ORDERS!$L$2:$L$4995,"Đã chuyển khoản"))</f>
        <v/>
      </c>
      <c r="N300" s="11" t="n"/>
    </row>
    <row r="301" ht="14.25" customHeight="1" s="40">
      <c r="A301" s="11" t="n"/>
      <c r="B301" s="11" t="n"/>
      <c r="C301" s="11" t="n"/>
      <c r="D301" s="11" t="n"/>
      <c r="E301" s="11" t="n"/>
      <c r="F301" s="11" t="n"/>
      <c r="G301" s="34" t="n"/>
      <c r="H301" s="11" t="n"/>
      <c r="I301" s="33">
        <f>IF(A301="","",DANH_MUC!$L$4&amp;"?ref="&amp;A301)</f>
        <v/>
      </c>
      <c r="J301" s="33">
        <f>IF(A301="","",IF(COUNTIF($A$2:$A$495,A301)&gt;1,"TRÙNG",""))</f>
        <v/>
      </c>
      <c r="K301" s="33">
        <f>IF(A301="","",COUNTIF(DATA_MASTER!$I$2:$I$5000,A301))</f>
        <v/>
      </c>
      <c r="L301" s="33">
        <f>IF(A301="","",COUNTIFS(DATA_MASTER!$I$2:$I$5000,A301,DATA_MASTER!$T$2:$T$5000,"Có"))</f>
        <v/>
      </c>
      <c r="M301" s="33">
        <f>IF(A301="","",COUNTIFS(ORDERS!$E$2:$E$4995,A301,ORDERS!$L$2:$L$4995,"Đã chuyển khoản"))</f>
        <v/>
      </c>
      <c r="N301" s="11" t="n"/>
    </row>
    <row r="302" ht="14.25" customHeight="1" s="40">
      <c r="A302" s="11" t="n"/>
      <c r="B302" s="11" t="n"/>
      <c r="C302" s="11" t="n"/>
      <c r="D302" s="11" t="n"/>
      <c r="E302" s="11" t="n"/>
      <c r="F302" s="11" t="n"/>
      <c r="G302" s="34" t="n"/>
      <c r="H302" s="11" t="n"/>
      <c r="I302" s="33">
        <f>IF(A302="","",DANH_MUC!$L$4&amp;"?ref="&amp;A302)</f>
        <v/>
      </c>
      <c r="J302" s="33">
        <f>IF(A302="","",IF(COUNTIF($A$2:$A$495,A302)&gt;1,"TRÙNG",""))</f>
        <v/>
      </c>
      <c r="K302" s="33">
        <f>IF(A302="","",COUNTIF(DATA_MASTER!$I$2:$I$5000,A302))</f>
        <v/>
      </c>
      <c r="L302" s="33">
        <f>IF(A302="","",COUNTIFS(DATA_MASTER!$I$2:$I$5000,A302,DATA_MASTER!$T$2:$T$5000,"Có"))</f>
        <v/>
      </c>
      <c r="M302" s="33">
        <f>IF(A302="","",COUNTIFS(ORDERS!$E$2:$E$4995,A302,ORDERS!$L$2:$L$4995,"Đã chuyển khoản"))</f>
        <v/>
      </c>
      <c r="N302" s="11" t="n"/>
    </row>
    <row r="303" ht="14.25" customHeight="1" s="40">
      <c r="A303" s="11" t="n"/>
      <c r="B303" s="11" t="n"/>
      <c r="C303" s="11" t="n"/>
      <c r="D303" s="11" t="n"/>
      <c r="E303" s="11" t="n"/>
      <c r="F303" s="11" t="n"/>
      <c r="G303" s="34" t="n"/>
      <c r="H303" s="11" t="n"/>
      <c r="I303" s="33">
        <f>IF(A303="","",DANH_MUC!$L$4&amp;"?ref="&amp;A303)</f>
        <v/>
      </c>
      <c r="J303" s="33">
        <f>IF(A303="","",IF(COUNTIF($A$2:$A$495,A303)&gt;1,"TRÙNG",""))</f>
        <v/>
      </c>
      <c r="K303" s="33">
        <f>IF(A303="","",COUNTIF(DATA_MASTER!$I$2:$I$5000,A303))</f>
        <v/>
      </c>
      <c r="L303" s="33">
        <f>IF(A303="","",COUNTIFS(DATA_MASTER!$I$2:$I$5000,A303,DATA_MASTER!$T$2:$T$5000,"Có"))</f>
        <v/>
      </c>
      <c r="M303" s="33">
        <f>IF(A303="","",COUNTIFS(ORDERS!$E$2:$E$4995,A303,ORDERS!$L$2:$L$4995,"Đã chuyển khoản"))</f>
        <v/>
      </c>
      <c r="N303" s="11" t="n"/>
    </row>
    <row r="304" ht="14.25" customHeight="1" s="40">
      <c r="A304" s="11" t="n"/>
      <c r="B304" s="11" t="n"/>
      <c r="C304" s="11" t="n"/>
      <c r="D304" s="11" t="n"/>
      <c r="E304" s="11" t="n"/>
      <c r="F304" s="11" t="n"/>
      <c r="G304" s="34" t="n"/>
      <c r="H304" s="11" t="n"/>
      <c r="I304" s="33">
        <f>IF(A304="","",DANH_MUC!$L$4&amp;"?ref="&amp;A304)</f>
        <v/>
      </c>
      <c r="J304" s="33">
        <f>IF(A304="","",IF(COUNTIF($A$2:$A$495,A304)&gt;1,"TRÙNG",""))</f>
        <v/>
      </c>
      <c r="K304" s="33">
        <f>IF(A304="","",COUNTIF(DATA_MASTER!$I$2:$I$5000,A304))</f>
        <v/>
      </c>
      <c r="L304" s="33">
        <f>IF(A304="","",COUNTIFS(DATA_MASTER!$I$2:$I$5000,A304,DATA_MASTER!$T$2:$T$5000,"Có"))</f>
        <v/>
      </c>
      <c r="M304" s="33">
        <f>IF(A304="","",COUNTIFS(ORDERS!$E$2:$E$4995,A304,ORDERS!$L$2:$L$4995,"Đã chuyển khoản"))</f>
        <v/>
      </c>
      <c r="N304" s="11" t="n"/>
    </row>
    <row r="305" ht="14.25" customHeight="1" s="40">
      <c r="A305" s="11" t="n"/>
      <c r="B305" s="11" t="n"/>
      <c r="C305" s="11" t="n"/>
      <c r="D305" s="11" t="n"/>
      <c r="E305" s="11" t="n"/>
      <c r="F305" s="11" t="n"/>
      <c r="G305" s="34" t="n"/>
      <c r="H305" s="11" t="n"/>
      <c r="I305" s="33">
        <f>IF(A305="","",DANH_MUC!$L$4&amp;"?ref="&amp;A305)</f>
        <v/>
      </c>
      <c r="J305" s="33">
        <f>IF(A305="","",IF(COUNTIF($A$2:$A$495,A305)&gt;1,"TRÙNG",""))</f>
        <v/>
      </c>
      <c r="K305" s="33">
        <f>IF(A305="","",COUNTIF(DATA_MASTER!$I$2:$I$5000,A305))</f>
        <v/>
      </c>
      <c r="L305" s="33">
        <f>IF(A305="","",COUNTIFS(DATA_MASTER!$I$2:$I$5000,A305,DATA_MASTER!$T$2:$T$5000,"Có"))</f>
        <v/>
      </c>
      <c r="M305" s="33">
        <f>IF(A305="","",COUNTIFS(ORDERS!$E$2:$E$4995,A305,ORDERS!$L$2:$L$4995,"Đã chuyển khoản"))</f>
        <v/>
      </c>
      <c r="N305" s="11" t="n"/>
    </row>
    <row r="306" ht="14.25" customHeight="1" s="40">
      <c r="A306" s="11" t="n"/>
      <c r="B306" s="11" t="n"/>
      <c r="C306" s="11" t="n"/>
      <c r="D306" s="11" t="n"/>
      <c r="E306" s="11" t="n"/>
      <c r="F306" s="11" t="n"/>
      <c r="G306" s="34" t="n"/>
      <c r="H306" s="11" t="n"/>
      <c r="I306" s="33">
        <f>IF(A306="","",DANH_MUC!$L$4&amp;"?ref="&amp;A306)</f>
        <v/>
      </c>
      <c r="J306" s="33">
        <f>IF(A306="","",IF(COUNTIF($A$2:$A$495,A306)&gt;1,"TRÙNG",""))</f>
        <v/>
      </c>
      <c r="K306" s="33">
        <f>IF(A306="","",COUNTIF(DATA_MASTER!$I$2:$I$5000,A306))</f>
        <v/>
      </c>
      <c r="L306" s="33">
        <f>IF(A306="","",COUNTIFS(DATA_MASTER!$I$2:$I$5000,A306,DATA_MASTER!$T$2:$T$5000,"Có"))</f>
        <v/>
      </c>
      <c r="M306" s="33">
        <f>IF(A306="","",COUNTIFS(ORDERS!$E$2:$E$4995,A306,ORDERS!$L$2:$L$4995,"Đã chuyển khoản"))</f>
        <v/>
      </c>
      <c r="N306" s="11" t="n"/>
    </row>
    <row r="307" ht="14.25" customHeight="1" s="40">
      <c r="A307" s="11" t="n"/>
      <c r="B307" s="11" t="n"/>
      <c r="C307" s="11" t="n"/>
      <c r="D307" s="11" t="n"/>
      <c r="E307" s="11" t="n"/>
      <c r="F307" s="11" t="n"/>
      <c r="G307" s="34" t="n"/>
      <c r="H307" s="11" t="n"/>
      <c r="I307" s="33">
        <f>IF(A307="","",DANH_MUC!$L$4&amp;"?ref="&amp;A307)</f>
        <v/>
      </c>
      <c r="J307" s="33">
        <f>IF(A307="","",IF(COUNTIF($A$2:$A$495,A307)&gt;1,"TRÙNG",""))</f>
        <v/>
      </c>
      <c r="K307" s="33">
        <f>IF(A307="","",COUNTIF(DATA_MASTER!$I$2:$I$5000,A307))</f>
        <v/>
      </c>
      <c r="L307" s="33">
        <f>IF(A307="","",COUNTIFS(DATA_MASTER!$I$2:$I$5000,A307,DATA_MASTER!$T$2:$T$5000,"Có"))</f>
        <v/>
      </c>
      <c r="M307" s="33">
        <f>IF(A307="","",COUNTIFS(ORDERS!$E$2:$E$4995,A307,ORDERS!$L$2:$L$4995,"Đã chuyển khoản"))</f>
        <v/>
      </c>
      <c r="N307" s="11" t="n"/>
    </row>
    <row r="308" ht="14.25" customHeight="1" s="40">
      <c r="A308" s="11" t="n"/>
      <c r="B308" s="11" t="n"/>
      <c r="C308" s="11" t="n"/>
      <c r="D308" s="11" t="n"/>
      <c r="E308" s="11" t="n"/>
      <c r="F308" s="11" t="n"/>
      <c r="G308" s="34" t="n"/>
      <c r="H308" s="11" t="n"/>
      <c r="I308" s="33">
        <f>IF(A308="","",DANH_MUC!$L$4&amp;"?ref="&amp;A308)</f>
        <v/>
      </c>
      <c r="J308" s="33">
        <f>IF(A308="","",IF(COUNTIF($A$2:$A$495,A308)&gt;1,"TRÙNG",""))</f>
        <v/>
      </c>
      <c r="K308" s="33">
        <f>IF(A308="","",COUNTIF(DATA_MASTER!$I$2:$I$5000,A308))</f>
        <v/>
      </c>
      <c r="L308" s="33">
        <f>IF(A308="","",COUNTIFS(DATA_MASTER!$I$2:$I$5000,A308,DATA_MASTER!$T$2:$T$5000,"Có"))</f>
        <v/>
      </c>
      <c r="M308" s="33">
        <f>IF(A308="","",COUNTIFS(ORDERS!$E$2:$E$4995,A308,ORDERS!$L$2:$L$4995,"Đã chuyển khoản"))</f>
        <v/>
      </c>
      <c r="N308" s="11" t="n"/>
    </row>
    <row r="309" ht="14.25" customHeight="1" s="40">
      <c r="A309" s="11" t="n"/>
      <c r="B309" s="11" t="n"/>
      <c r="C309" s="11" t="n"/>
      <c r="D309" s="11" t="n"/>
      <c r="E309" s="11" t="n"/>
      <c r="F309" s="11" t="n"/>
      <c r="G309" s="34" t="n"/>
      <c r="H309" s="11" t="n"/>
      <c r="I309" s="33">
        <f>IF(A309="","",DANH_MUC!$L$4&amp;"?ref="&amp;A309)</f>
        <v/>
      </c>
      <c r="J309" s="33">
        <f>IF(A309="","",IF(COUNTIF($A$2:$A$495,A309)&gt;1,"TRÙNG",""))</f>
        <v/>
      </c>
      <c r="K309" s="33">
        <f>IF(A309="","",COUNTIF(DATA_MASTER!$I$2:$I$5000,A309))</f>
        <v/>
      </c>
      <c r="L309" s="33">
        <f>IF(A309="","",COUNTIFS(DATA_MASTER!$I$2:$I$5000,A309,DATA_MASTER!$T$2:$T$5000,"Có"))</f>
        <v/>
      </c>
      <c r="M309" s="33">
        <f>IF(A309="","",COUNTIFS(ORDERS!$E$2:$E$4995,A309,ORDERS!$L$2:$L$4995,"Đã chuyển khoản"))</f>
        <v/>
      </c>
      <c r="N309" s="11" t="n"/>
    </row>
    <row r="310" ht="14.25" customHeight="1" s="40">
      <c r="A310" s="11" t="n"/>
      <c r="B310" s="11" t="n"/>
      <c r="C310" s="11" t="n"/>
      <c r="D310" s="11" t="n"/>
      <c r="E310" s="11" t="n"/>
      <c r="F310" s="11" t="n"/>
      <c r="G310" s="34" t="n"/>
      <c r="H310" s="11" t="n"/>
      <c r="I310" s="33">
        <f>IF(A310="","",DANH_MUC!$L$4&amp;"?ref="&amp;A310)</f>
        <v/>
      </c>
      <c r="J310" s="33">
        <f>IF(A310="","",IF(COUNTIF($A$2:$A$495,A310)&gt;1,"TRÙNG",""))</f>
        <v/>
      </c>
      <c r="K310" s="33">
        <f>IF(A310="","",COUNTIF(DATA_MASTER!$I$2:$I$5000,A310))</f>
        <v/>
      </c>
      <c r="L310" s="33">
        <f>IF(A310="","",COUNTIFS(DATA_MASTER!$I$2:$I$5000,A310,DATA_MASTER!$T$2:$T$5000,"Có"))</f>
        <v/>
      </c>
      <c r="M310" s="33">
        <f>IF(A310="","",COUNTIFS(ORDERS!$E$2:$E$4995,A310,ORDERS!$L$2:$L$4995,"Đã chuyển khoản"))</f>
        <v/>
      </c>
      <c r="N310" s="11" t="n"/>
    </row>
    <row r="311" ht="14.25" customHeight="1" s="40">
      <c r="A311" s="11" t="n"/>
      <c r="B311" s="11" t="n"/>
      <c r="C311" s="11" t="n"/>
      <c r="D311" s="11" t="n"/>
      <c r="E311" s="11" t="n"/>
      <c r="F311" s="11" t="n"/>
      <c r="G311" s="34" t="n"/>
      <c r="H311" s="11" t="n"/>
      <c r="I311" s="33">
        <f>IF(A311="","",DANH_MUC!$L$4&amp;"?ref="&amp;A311)</f>
        <v/>
      </c>
      <c r="J311" s="33">
        <f>IF(A311="","",IF(COUNTIF($A$2:$A$495,A311)&gt;1,"TRÙNG",""))</f>
        <v/>
      </c>
      <c r="K311" s="33">
        <f>IF(A311="","",COUNTIF(DATA_MASTER!$I$2:$I$5000,A311))</f>
        <v/>
      </c>
      <c r="L311" s="33">
        <f>IF(A311="","",COUNTIFS(DATA_MASTER!$I$2:$I$5000,A311,DATA_MASTER!$T$2:$T$5000,"Có"))</f>
        <v/>
      </c>
      <c r="M311" s="33">
        <f>IF(A311="","",COUNTIFS(ORDERS!$E$2:$E$4995,A311,ORDERS!$L$2:$L$4995,"Đã chuyển khoản"))</f>
        <v/>
      </c>
      <c r="N311" s="11" t="n"/>
    </row>
    <row r="312" ht="14.25" customHeight="1" s="40">
      <c r="A312" s="11" t="n"/>
      <c r="B312" s="11" t="n"/>
      <c r="C312" s="11" t="n"/>
      <c r="D312" s="11" t="n"/>
      <c r="E312" s="11" t="n"/>
      <c r="F312" s="11" t="n"/>
      <c r="G312" s="34" t="n"/>
      <c r="H312" s="11" t="n"/>
      <c r="I312" s="33">
        <f>IF(A312="","",DANH_MUC!$L$4&amp;"?ref="&amp;A312)</f>
        <v/>
      </c>
      <c r="J312" s="33">
        <f>IF(A312="","",IF(COUNTIF($A$2:$A$495,A312)&gt;1,"TRÙNG",""))</f>
        <v/>
      </c>
      <c r="K312" s="33">
        <f>IF(A312="","",COUNTIF(DATA_MASTER!$I$2:$I$5000,A312))</f>
        <v/>
      </c>
      <c r="L312" s="33">
        <f>IF(A312="","",COUNTIFS(DATA_MASTER!$I$2:$I$5000,A312,DATA_MASTER!$T$2:$T$5000,"Có"))</f>
        <v/>
      </c>
      <c r="M312" s="33">
        <f>IF(A312="","",COUNTIFS(ORDERS!$E$2:$E$4995,A312,ORDERS!$L$2:$L$4995,"Đã chuyển khoản"))</f>
        <v/>
      </c>
      <c r="N312" s="11" t="n"/>
    </row>
    <row r="313" ht="14.25" customHeight="1" s="40">
      <c r="A313" s="11" t="n"/>
      <c r="B313" s="11" t="n"/>
      <c r="C313" s="11" t="n"/>
      <c r="D313" s="11" t="n"/>
      <c r="E313" s="11" t="n"/>
      <c r="F313" s="11" t="n"/>
      <c r="G313" s="34" t="n"/>
      <c r="H313" s="11" t="n"/>
      <c r="I313" s="33">
        <f>IF(A313="","",DANH_MUC!$L$4&amp;"?ref="&amp;A313)</f>
        <v/>
      </c>
      <c r="J313" s="33">
        <f>IF(A313="","",IF(COUNTIF($A$2:$A$495,A313)&gt;1,"TRÙNG",""))</f>
        <v/>
      </c>
      <c r="K313" s="33">
        <f>IF(A313="","",COUNTIF(DATA_MASTER!$I$2:$I$5000,A313))</f>
        <v/>
      </c>
      <c r="L313" s="33">
        <f>IF(A313="","",COUNTIFS(DATA_MASTER!$I$2:$I$5000,A313,DATA_MASTER!$T$2:$T$5000,"Có"))</f>
        <v/>
      </c>
      <c r="M313" s="33">
        <f>IF(A313="","",COUNTIFS(ORDERS!$E$2:$E$4995,A313,ORDERS!$L$2:$L$4995,"Đã chuyển khoản"))</f>
        <v/>
      </c>
      <c r="N313" s="11" t="n"/>
    </row>
    <row r="314" ht="14.25" customHeight="1" s="40">
      <c r="A314" s="11" t="n"/>
      <c r="B314" s="11" t="n"/>
      <c r="C314" s="11" t="n"/>
      <c r="D314" s="11" t="n"/>
      <c r="E314" s="11" t="n"/>
      <c r="F314" s="11" t="n"/>
      <c r="G314" s="34" t="n"/>
      <c r="H314" s="11" t="n"/>
      <c r="I314" s="33">
        <f>IF(A314="","",DANH_MUC!$L$4&amp;"?ref="&amp;A314)</f>
        <v/>
      </c>
      <c r="J314" s="33">
        <f>IF(A314="","",IF(COUNTIF($A$2:$A$495,A314)&gt;1,"TRÙNG",""))</f>
        <v/>
      </c>
      <c r="K314" s="33">
        <f>IF(A314="","",COUNTIF(DATA_MASTER!$I$2:$I$5000,A314))</f>
        <v/>
      </c>
      <c r="L314" s="33">
        <f>IF(A314="","",COUNTIFS(DATA_MASTER!$I$2:$I$5000,A314,DATA_MASTER!$T$2:$T$5000,"Có"))</f>
        <v/>
      </c>
      <c r="M314" s="33">
        <f>IF(A314="","",COUNTIFS(ORDERS!$E$2:$E$4995,A314,ORDERS!$L$2:$L$4995,"Đã chuyển khoản"))</f>
        <v/>
      </c>
      <c r="N314" s="11" t="n"/>
    </row>
    <row r="315" ht="14.25" customHeight="1" s="40">
      <c r="A315" s="11" t="n"/>
      <c r="B315" s="11" t="n"/>
      <c r="C315" s="11" t="n"/>
      <c r="D315" s="11" t="n"/>
      <c r="E315" s="11" t="n"/>
      <c r="F315" s="11" t="n"/>
      <c r="G315" s="34" t="n"/>
      <c r="H315" s="11" t="n"/>
      <c r="I315" s="33">
        <f>IF(A315="","",DANH_MUC!$L$4&amp;"?ref="&amp;A315)</f>
        <v/>
      </c>
      <c r="J315" s="33">
        <f>IF(A315="","",IF(COUNTIF($A$2:$A$495,A315)&gt;1,"TRÙNG",""))</f>
        <v/>
      </c>
      <c r="K315" s="33">
        <f>IF(A315="","",COUNTIF(DATA_MASTER!$I$2:$I$5000,A315))</f>
        <v/>
      </c>
      <c r="L315" s="33">
        <f>IF(A315="","",COUNTIFS(DATA_MASTER!$I$2:$I$5000,A315,DATA_MASTER!$T$2:$T$5000,"Có"))</f>
        <v/>
      </c>
      <c r="M315" s="33">
        <f>IF(A315="","",COUNTIFS(ORDERS!$E$2:$E$4995,A315,ORDERS!$L$2:$L$4995,"Đã chuyển khoản"))</f>
        <v/>
      </c>
      <c r="N315" s="11" t="n"/>
    </row>
    <row r="316" ht="14.25" customHeight="1" s="40">
      <c r="A316" s="11" t="n"/>
      <c r="B316" s="11" t="n"/>
      <c r="C316" s="11" t="n"/>
      <c r="D316" s="11" t="n"/>
      <c r="E316" s="11" t="n"/>
      <c r="F316" s="11" t="n"/>
      <c r="G316" s="34" t="n"/>
      <c r="H316" s="11" t="n"/>
      <c r="I316" s="33">
        <f>IF(A316="","",DANH_MUC!$L$4&amp;"?ref="&amp;A316)</f>
        <v/>
      </c>
      <c r="J316" s="33">
        <f>IF(A316="","",IF(COUNTIF($A$2:$A$495,A316)&gt;1,"TRÙNG",""))</f>
        <v/>
      </c>
      <c r="K316" s="33">
        <f>IF(A316="","",COUNTIF(DATA_MASTER!$I$2:$I$5000,A316))</f>
        <v/>
      </c>
      <c r="L316" s="33">
        <f>IF(A316="","",COUNTIFS(DATA_MASTER!$I$2:$I$5000,A316,DATA_MASTER!$T$2:$T$5000,"Có"))</f>
        <v/>
      </c>
      <c r="M316" s="33">
        <f>IF(A316="","",COUNTIFS(ORDERS!$E$2:$E$4995,A316,ORDERS!$L$2:$L$4995,"Đã chuyển khoản"))</f>
        <v/>
      </c>
      <c r="N316" s="11" t="n"/>
    </row>
    <row r="317" ht="14.25" customHeight="1" s="40">
      <c r="A317" s="11" t="n"/>
      <c r="B317" s="11" t="n"/>
      <c r="C317" s="11" t="n"/>
      <c r="D317" s="11" t="n"/>
      <c r="E317" s="11" t="n"/>
      <c r="F317" s="11" t="n"/>
      <c r="G317" s="34" t="n"/>
      <c r="H317" s="11" t="n"/>
      <c r="I317" s="33">
        <f>IF(A317="","",DANH_MUC!$L$4&amp;"?ref="&amp;A317)</f>
        <v/>
      </c>
      <c r="J317" s="33">
        <f>IF(A317="","",IF(COUNTIF($A$2:$A$495,A317)&gt;1,"TRÙNG",""))</f>
        <v/>
      </c>
      <c r="K317" s="33">
        <f>IF(A317="","",COUNTIF(DATA_MASTER!$I$2:$I$5000,A317))</f>
        <v/>
      </c>
      <c r="L317" s="33">
        <f>IF(A317="","",COUNTIFS(DATA_MASTER!$I$2:$I$5000,A317,DATA_MASTER!$T$2:$T$5000,"Có"))</f>
        <v/>
      </c>
      <c r="M317" s="33">
        <f>IF(A317="","",COUNTIFS(ORDERS!$E$2:$E$4995,A317,ORDERS!$L$2:$L$4995,"Đã chuyển khoản"))</f>
        <v/>
      </c>
      <c r="N317" s="11" t="n"/>
    </row>
    <row r="318" ht="14.25" customHeight="1" s="40">
      <c r="A318" s="11" t="n"/>
      <c r="B318" s="11" t="n"/>
      <c r="C318" s="11" t="n"/>
      <c r="D318" s="11" t="n"/>
      <c r="E318" s="11" t="n"/>
      <c r="F318" s="11" t="n"/>
      <c r="G318" s="34" t="n"/>
      <c r="H318" s="11" t="n"/>
      <c r="I318" s="33">
        <f>IF(A318="","",DANH_MUC!$L$4&amp;"?ref="&amp;A318)</f>
        <v/>
      </c>
      <c r="J318" s="33">
        <f>IF(A318="","",IF(COUNTIF($A$2:$A$495,A318)&gt;1,"TRÙNG",""))</f>
        <v/>
      </c>
      <c r="K318" s="33">
        <f>IF(A318="","",COUNTIF(DATA_MASTER!$I$2:$I$5000,A318))</f>
        <v/>
      </c>
      <c r="L318" s="33">
        <f>IF(A318="","",COUNTIFS(DATA_MASTER!$I$2:$I$5000,A318,DATA_MASTER!$T$2:$T$5000,"Có"))</f>
        <v/>
      </c>
      <c r="M318" s="33">
        <f>IF(A318="","",COUNTIFS(ORDERS!$E$2:$E$4995,A318,ORDERS!$L$2:$L$4995,"Đã chuyển khoản"))</f>
        <v/>
      </c>
      <c r="N318" s="11" t="n"/>
    </row>
    <row r="319" ht="14.25" customHeight="1" s="40">
      <c r="A319" s="11" t="n"/>
      <c r="B319" s="11" t="n"/>
      <c r="C319" s="11" t="n"/>
      <c r="D319" s="11" t="n"/>
      <c r="E319" s="11" t="n"/>
      <c r="F319" s="11" t="n"/>
      <c r="G319" s="34" t="n"/>
      <c r="H319" s="11" t="n"/>
      <c r="I319" s="33">
        <f>IF(A319="","",DANH_MUC!$L$4&amp;"?ref="&amp;A319)</f>
        <v/>
      </c>
      <c r="J319" s="33">
        <f>IF(A319="","",IF(COUNTIF($A$2:$A$495,A319)&gt;1,"TRÙNG",""))</f>
        <v/>
      </c>
      <c r="K319" s="33">
        <f>IF(A319="","",COUNTIF(DATA_MASTER!$I$2:$I$5000,A319))</f>
        <v/>
      </c>
      <c r="L319" s="33">
        <f>IF(A319="","",COUNTIFS(DATA_MASTER!$I$2:$I$5000,A319,DATA_MASTER!$T$2:$T$5000,"Có"))</f>
        <v/>
      </c>
      <c r="M319" s="33">
        <f>IF(A319="","",COUNTIFS(ORDERS!$E$2:$E$4995,A319,ORDERS!$L$2:$L$4995,"Đã chuyển khoản"))</f>
        <v/>
      </c>
      <c r="N319" s="11" t="n"/>
    </row>
    <row r="320" ht="14.25" customHeight="1" s="40">
      <c r="A320" s="11" t="n"/>
      <c r="B320" s="11" t="n"/>
      <c r="C320" s="11" t="n"/>
      <c r="D320" s="11" t="n"/>
      <c r="E320" s="11" t="n"/>
      <c r="F320" s="11" t="n"/>
      <c r="G320" s="34" t="n"/>
      <c r="H320" s="11" t="n"/>
      <c r="I320" s="33">
        <f>IF(A320="","",DANH_MUC!$L$4&amp;"?ref="&amp;A320)</f>
        <v/>
      </c>
      <c r="J320" s="33">
        <f>IF(A320="","",IF(COUNTIF($A$2:$A$495,A320)&gt;1,"TRÙNG",""))</f>
        <v/>
      </c>
      <c r="K320" s="33">
        <f>IF(A320="","",COUNTIF(DATA_MASTER!$I$2:$I$5000,A320))</f>
        <v/>
      </c>
      <c r="L320" s="33">
        <f>IF(A320="","",COUNTIFS(DATA_MASTER!$I$2:$I$5000,A320,DATA_MASTER!$T$2:$T$5000,"Có"))</f>
        <v/>
      </c>
      <c r="M320" s="33">
        <f>IF(A320="","",COUNTIFS(ORDERS!$E$2:$E$4995,A320,ORDERS!$L$2:$L$4995,"Đã chuyển khoản"))</f>
        <v/>
      </c>
      <c r="N320" s="11" t="n"/>
    </row>
    <row r="321" ht="14.25" customHeight="1" s="40">
      <c r="A321" s="11" t="n"/>
      <c r="B321" s="11" t="n"/>
      <c r="C321" s="11" t="n"/>
      <c r="D321" s="11" t="n"/>
      <c r="E321" s="11" t="n"/>
      <c r="F321" s="11" t="n"/>
      <c r="G321" s="34" t="n"/>
      <c r="H321" s="11" t="n"/>
      <c r="I321" s="33">
        <f>IF(A321="","",DANH_MUC!$L$4&amp;"?ref="&amp;A321)</f>
        <v/>
      </c>
      <c r="J321" s="33">
        <f>IF(A321="","",IF(COUNTIF($A$2:$A$495,A321)&gt;1,"TRÙNG",""))</f>
        <v/>
      </c>
      <c r="K321" s="33">
        <f>IF(A321="","",COUNTIF(DATA_MASTER!$I$2:$I$5000,A321))</f>
        <v/>
      </c>
      <c r="L321" s="33">
        <f>IF(A321="","",COUNTIFS(DATA_MASTER!$I$2:$I$5000,A321,DATA_MASTER!$T$2:$T$5000,"Có"))</f>
        <v/>
      </c>
      <c r="M321" s="33">
        <f>IF(A321="","",COUNTIFS(ORDERS!$E$2:$E$4995,A321,ORDERS!$L$2:$L$4995,"Đã chuyển khoản"))</f>
        <v/>
      </c>
      <c r="N321" s="11" t="n"/>
    </row>
    <row r="322" ht="14.25" customHeight="1" s="40">
      <c r="A322" s="11" t="n"/>
      <c r="B322" s="11" t="n"/>
      <c r="C322" s="11" t="n"/>
      <c r="D322" s="11" t="n"/>
      <c r="E322" s="11" t="n"/>
      <c r="F322" s="11" t="n"/>
      <c r="G322" s="34" t="n"/>
      <c r="H322" s="11" t="n"/>
      <c r="I322" s="33">
        <f>IF(A322="","",DANH_MUC!$L$4&amp;"?ref="&amp;A322)</f>
        <v/>
      </c>
      <c r="J322" s="33">
        <f>IF(A322="","",IF(COUNTIF($A$2:$A$495,A322)&gt;1,"TRÙNG",""))</f>
        <v/>
      </c>
      <c r="K322" s="33">
        <f>IF(A322="","",COUNTIF(DATA_MASTER!$I$2:$I$5000,A322))</f>
        <v/>
      </c>
      <c r="L322" s="33">
        <f>IF(A322="","",COUNTIFS(DATA_MASTER!$I$2:$I$5000,A322,DATA_MASTER!$T$2:$T$5000,"Có"))</f>
        <v/>
      </c>
      <c r="M322" s="33">
        <f>IF(A322="","",COUNTIFS(ORDERS!$E$2:$E$4995,A322,ORDERS!$L$2:$L$4995,"Đã chuyển khoản"))</f>
        <v/>
      </c>
      <c r="N322" s="11" t="n"/>
    </row>
    <row r="323" ht="14.25" customHeight="1" s="40">
      <c r="A323" s="11" t="n"/>
      <c r="B323" s="11" t="n"/>
      <c r="C323" s="11" t="n"/>
      <c r="D323" s="11" t="n"/>
      <c r="E323" s="11" t="n"/>
      <c r="F323" s="11" t="n"/>
      <c r="G323" s="34" t="n"/>
      <c r="H323" s="11" t="n"/>
      <c r="I323" s="33">
        <f>IF(A323="","",DANH_MUC!$L$4&amp;"?ref="&amp;A323)</f>
        <v/>
      </c>
      <c r="J323" s="33">
        <f>IF(A323="","",IF(COUNTIF($A$2:$A$495,A323)&gt;1,"TRÙNG",""))</f>
        <v/>
      </c>
      <c r="K323" s="33">
        <f>IF(A323="","",COUNTIF(DATA_MASTER!$I$2:$I$5000,A323))</f>
        <v/>
      </c>
      <c r="L323" s="33">
        <f>IF(A323="","",COUNTIFS(DATA_MASTER!$I$2:$I$5000,A323,DATA_MASTER!$T$2:$T$5000,"Có"))</f>
        <v/>
      </c>
      <c r="M323" s="33">
        <f>IF(A323="","",COUNTIFS(ORDERS!$E$2:$E$4995,A323,ORDERS!$L$2:$L$4995,"Đã chuyển khoản"))</f>
        <v/>
      </c>
      <c r="N323" s="11" t="n"/>
    </row>
    <row r="324" ht="14.25" customHeight="1" s="40">
      <c r="A324" s="11" t="n"/>
      <c r="B324" s="11" t="n"/>
      <c r="C324" s="11" t="n"/>
      <c r="D324" s="11" t="n"/>
      <c r="E324" s="11" t="n"/>
      <c r="F324" s="11" t="n"/>
      <c r="G324" s="34" t="n"/>
      <c r="H324" s="11" t="n"/>
      <c r="I324" s="33">
        <f>IF(A324="","",DANH_MUC!$L$4&amp;"?ref="&amp;A324)</f>
        <v/>
      </c>
      <c r="J324" s="33">
        <f>IF(A324="","",IF(COUNTIF($A$2:$A$495,A324)&gt;1,"TRÙNG",""))</f>
        <v/>
      </c>
      <c r="K324" s="33">
        <f>IF(A324="","",COUNTIF(DATA_MASTER!$I$2:$I$5000,A324))</f>
        <v/>
      </c>
      <c r="L324" s="33">
        <f>IF(A324="","",COUNTIFS(DATA_MASTER!$I$2:$I$5000,A324,DATA_MASTER!$T$2:$T$5000,"Có"))</f>
        <v/>
      </c>
      <c r="M324" s="33">
        <f>IF(A324="","",COUNTIFS(ORDERS!$E$2:$E$4995,A324,ORDERS!$L$2:$L$4995,"Đã chuyển khoản"))</f>
        <v/>
      </c>
      <c r="N324" s="11" t="n"/>
    </row>
    <row r="325" ht="14.25" customHeight="1" s="40">
      <c r="A325" s="11" t="n"/>
      <c r="B325" s="11" t="n"/>
      <c r="C325" s="11" t="n"/>
      <c r="D325" s="11" t="n"/>
      <c r="E325" s="11" t="n"/>
      <c r="F325" s="11" t="n"/>
      <c r="G325" s="34" t="n"/>
      <c r="H325" s="11" t="n"/>
      <c r="I325" s="33">
        <f>IF(A325="","",DANH_MUC!$L$4&amp;"?ref="&amp;A325)</f>
        <v/>
      </c>
      <c r="J325" s="33">
        <f>IF(A325="","",IF(COUNTIF($A$2:$A$495,A325)&gt;1,"TRÙNG",""))</f>
        <v/>
      </c>
      <c r="K325" s="33">
        <f>IF(A325="","",COUNTIF(DATA_MASTER!$I$2:$I$5000,A325))</f>
        <v/>
      </c>
      <c r="L325" s="33">
        <f>IF(A325="","",COUNTIFS(DATA_MASTER!$I$2:$I$5000,A325,DATA_MASTER!$T$2:$T$5000,"Có"))</f>
        <v/>
      </c>
      <c r="M325" s="33">
        <f>IF(A325="","",COUNTIFS(ORDERS!$E$2:$E$4995,A325,ORDERS!$L$2:$L$4995,"Đã chuyển khoản"))</f>
        <v/>
      </c>
      <c r="N325" s="11" t="n"/>
    </row>
    <row r="326" ht="14.25" customHeight="1" s="40">
      <c r="A326" s="11" t="n"/>
      <c r="B326" s="11" t="n"/>
      <c r="C326" s="11" t="n"/>
      <c r="D326" s="11" t="n"/>
      <c r="E326" s="11" t="n"/>
      <c r="F326" s="11" t="n"/>
      <c r="G326" s="34" t="n"/>
      <c r="H326" s="11" t="n"/>
      <c r="I326" s="33">
        <f>IF(A326="","",DANH_MUC!$L$4&amp;"?ref="&amp;A326)</f>
        <v/>
      </c>
      <c r="J326" s="33">
        <f>IF(A326="","",IF(COUNTIF($A$2:$A$495,A326)&gt;1,"TRÙNG",""))</f>
        <v/>
      </c>
      <c r="K326" s="33">
        <f>IF(A326="","",COUNTIF(DATA_MASTER!$I$2:$I$5000,A326))</f>
        <v/>
      </c>
      <c r="L326" s="33">
        <f>IF(A326="","",COUNTIFS(DATA_MASTER!$I$2:$I$5000,A326,DATA_MASTER!$T$2:$T$5000,"Có"))</f>
        <v/>
      </c>
      <c r="M326" s="33">
        <f>IF(A326="","",COUNTIFS(ORDERS!$E$2:$E$4995,A326,ORDERS!$L$2:$L$4995,"Đã chuyển khoản"))</f>
        <v/>
      </c>
      <c r="N326" s="11" t="n"/>
    </row>
    <row r="327" ht="14.25" customHeight="1" s="40">
      <c r="A327" s="11" t="n"/>
      <c r="B327" s="11" t="n"/>
      <c r="C327" s="11" t="n"/>
      <c r="D327" s="11" t="n"/>
      <c r="E327" s="11" t="n"/>
      <c r="F327" s="11" t="n"/>
      <c r="G327" s="34" t="n"/>
      <c r="H327" s="11" t="n"/>
      <c r="I327" s="33">
        <f>IF(A327="","",DANH_MUC!$L$4&amp;"?ref="&amp;A327)</f>
        <v/>
      </c>
      <c r="J327" s="33">
        <f>IF(A327="","",IF(COUNTIF($A$2:$A$495,A327)&gt;1,"TRÙNG",""))</f>
        <v/>
      </c>
      <c r="K327" s="33">
        <f>IF(A327="","",COUNTIF(DATA_MASTER!$I$2:$I$5000,A327))</f>
        <v/>
      </c>
      <c r="L327" s="33">
        <f>IF(A327="","",COUNTIFS(DATA_MASTER!$I$2:$I$5000,A327,DATA_MASTER!$T$2:$T$5000,"Có"))</f>
        <v/>
      </c>
      <c r="M327" s="33">
        <f>IF(A327="","",COUNTIFS(ORDERS!$E$2:$E$4995,A327,ORDERS!$L$2:$L$4995,"Đã chuyển khoản"))</f>
        <v/>
      </c>
      <c r="N327" s="11" t="n"/>
    </row>
    <row r="328" ht="14.25" customHeight="1" s="40">
      <c r="A328" s="11" t="n"/>
      <c r="B328" s="11" t="n"/>
      <c r="C328" s="11" t="n"/>
      <c r="D328" s="11" t="n"/>
      <c r="E328" s="11" t="n"/>
      <c r="F328" s="11" t="n"/>
      <c r="G328" s="34" t="n"/>
      <c r="H328" s="11" t="n"/>
      <c r="I328" s="33">
        <f>IF(A328="","",DANH_MUC!$L$4&amp;"?ref="&amp;A328)</f>
        <v/>
      </c>
      <c r="J328" s="33">
        <f>IF(A328="","",IF(COUNTIF($A$2:$A$495,A328)&gt;1,"TRÙNG",""))</f>
        <v/>
      </c>
      <c r="K328" s="33">
        <f>IF(A328="","",COUNTIF(DATA_MASTER!$I$2:$I$5000,A328))</f>
        <v/>
      </c>
      <c r="L328" s="33">
        <f>IF(A328="","",COUNTIFS(DATA_MASTER!$I$2:$I$5000,A328,DATA_MASTER!$T$2:$T$5000,"Có"))</f>
        <v/>
      </c>
      <c r="M328" s="33">
        <f>IF(A328="","",COUNTIFS(ORDERS!$E$2:$E$4995,A328,ORDERS!$L$2:$L$4995,"Đã chuyển khoản"))</f>
        <v/>
      </c>
      <c r="N328" s="11" t="n"/>
    </row>
    <row r="329" ht="14.25" customHeight="1" s="40">
      <c r="A329" s="11" t="n"/>
      <c r="B329" s="11" t="n"/>
      <c r="C329" s="11" t="n"/>
      <c r="D329" s="11" t="n"/>
      <c r="E329" s="11" t="n"/>
      <c r="F329" s="11" t="n"/>
      <c r="G329" s="34" t="n"/>
      <c r="H329" s="11" t="n"/>
      <c r="I329" s="33">
        <f>IF(A329="","",DANH_MUC!$L$4&amp;"?ref="&amp;A329)</f>
        <v/>
      </c>
      <c r="J329" s="33">
        <f>IF(A329="","",IF(COUNTIF($A$2:$A$495,A329)&gt;1,"TRÙNG",""))</f>
        <v/>
      </c>
      <c r="K329" s="33">
        <f>IF(A329="","",COUNTIF(DATA_MASTER!$I$2:$I$5000,A329))</f>
        <v/>
      </c>
      <c r="L329" s="33">
        <f>IF(A329="","",COUNTIFS(DATA_MASTER!$I$2:$I$5000,A329,DATA_MASTER!$T$2:$T$5000,"Có"))</f>
        <v/>
      </c>
      <c r="M329" s="33">
        <f>IF(A329="","",COUNTIFS(ORDERS!$E$2:$E$4995,A329,ORDERS!$L$2:$L$4995,"Đã chuyển khoản"))</f>
        <v/>
      </c>
      <c r="N329" s="11" t="n"/>
    </row>
    <row r="330" ht="14.25" customHeight="1" s="40">
      <c r="A330" s="11" t="n"/>
      <c r="B330" s="11" t="n"/>
      <c r="C330" s="11" t="n"/>
      <c r="D330" s="11" t="n"/>
      <c r="E330" s="11" t="n"/>
      <c r="F330" s="11" t="n"/>
      <c r="G330" s="34" t="n"/>
      <c r="H330" s="11" t="n"/>
      <c r="I330" s="33">
        <f>IF(A330="","",DANH_MUC!$L$4&amp;"?ref="&amp;A330)</f>
        <v/>
      </c>
      <c r="J330" s="33">
        <f>IF(A330="","",IF(COUNTIF($A$2:$A$495,A330)&gt;1,"TRÙNG",""))</f>
        <v/>
      </c>
      <c r="K330" s="33">
        <f>IF(A330="","",COUNTIF(DATA_MASTER!$I$2:$I$5000,A330))</f>
        <v/>
      </c>
      <c r="L330" s="33">
        <f>IF(A330="","",COUNTIFS(DATA_MASTER!$I$2:$I$5000,A330,DATA_MASTER!$T$2:$T$5000,"Có"))</f>
        <v/>
      </c>
      <c r="M330" s="33">
        <f>IF(A330="","",COUNTIFS(ORDERS!$E$2:$E$4995,A330,ORDERS!$L$2:$L$4995,"Đã chuyển khoản"))</f>
        <v/>
      </c>
      <c r="N330" s="11" t="n"/>
    </row>
    <row r="331" ht="14.25" customHeight="1" s="40">
      <c r="A331" s="11" t="n"/>
      <c r="B331" s="11" t="n"/>
      <c r="C331" s="11" t="n"/>
      <c r="D331" s="11" t="n"/>
      <c r="E331" s="11" t="n"/>
      <c r="F331" s="11" t="n"/>
      <c r="G331" s="34" t="n"/>
      <c r="H331" s="11" t="n"/>
      <c r="I331" s="33">
        <f>IF(A331="","",DANH_MUC!$L$4&amp;"?ref="&amp;A331)</f>
        <v/>
      </c>
      <c r="J331" s="33">
        <f>IF(A331="","",IF(COUNTIF($A$2:$A$495,A331)&gt;1,"TRÙNG",""))</f>
        <v/>
      </c>
      <c r="K331" s="33">
        <f>IF(A331="","",COUNTIF(DATA_MASTER!$I$2:$I$5000,A331))</f>
        <v/>
      </c>
      <c r="L331" s="33">
        <f>IF(A331="","",COUNTIFS(DATA_MASTER!$I$2:$I$5000,A331,DATA_MASTER!$T$2:$T$5000,"Có"))</f>
        <v/>
      </c>
      <c r="M331" s="33">
        <f>IF(A331="","",COUNTIFS(ORDERS!$E$2:$E$4995,A331,ORDERS!$L$2:$L$4995,"Đã chuyển khoản"))</f>
        <v/>
      </c>
      <c r="N331" s="11" t="n"/>
    </row>
    <row r="332" ht="14.25" customHeight="1" s="40">
      <c r="A332" s="11" t="n"/>
      <c r="B332" s="11" t="n"/>
      <c r="C332" s="11" t="n"/>
      <c r="D332" s="11" t="n"/>
      <c r="E332" s="11" t="n"/>
      <c r="F332" s="11" t="n"/>
      <c r="G332" s="34" t="n"/>
      <c r="H332" s="11" t="n"/>
      <c r="I332" s="33">
        <f>IF(A332="","",DANH_MUC!$L$4&amp;"?ref="&amp;A332)</f>
        <v/>
      </c>
      <c r="J332" s="33">
        <f>IF(A332="","",IF(COUNTIF($A$2:$A$495,A332)&gt;1,"TRÙNG",""))</f>
        <v/>
      </c>
      <c r="K332" s="33">
        <f>IF(A332="","",COUNTIF(DATA_MASTER!$I$2:$I$5000,A332))</f>
        <v/>
      </c>
      <c r="L332" s="33">
        <f>IF(A332="","",COUNTIFS(DATA_MASTER!$I$2:$I$5000,A332,DATA_MASTER!$T$2:$T$5000,"Có"))</f>
        <v/>
      </c>
      <c r="M332" s="33">
        <f>IF(A332="","",COUNTIFS(ORDERS!$E$2:$E$4995,A332,ORDERS!$L$2:$L$4995,"Đã chuyển khoản"))</f>
        <v/>
      </c>
      <c r="N332" s="11" t="n"/>
    </row>
    <row r="333" ht="14.25" customHeight="1" s="40">
      <c r="A333" s="11" t="n"/>
      <c r="B333" s="11" t="n"/>
      <c r="C333" s="11" t="n"/>
      <c r="D333" s="11" t="n"/>
      <c r="E333" s="11" t="n"/>
      <c r="F333" s="11" t="n"/>
      <c r="G333" s="34" t="n"/>
      <c r="H333" s="11" t="n"/>
      <c r="I333" s="33">
        <f>IF(A333="","",DANH_MUC!$L$4&amp;"?ref="&amp;A333)</f>
        <v/>
      </c>
      <c r="J333" s="33">
        <f>IF(A333="","",IF(COUNTIF($A$2:$A$495,A333)&gt;1,"TRÙNG",""))</f>
        <v/>
      </c>
      <c r="K333" s="33">
        <f>IF(A333="","",COUNTIF(DATA_MASTER!$I$2:$I$5000,A333))</f>
        <v/>
      </c>
      <c r="L333" s="33">
        <f>IF(A333="","",COUNTIFS(DATA_MASTER!$I$2:$I$5000,A333,DATA_MASTER!$T$2:$T$5000,"Có"))</f>
        <v/>
      </c>
      <c r="M333" s="33">
        <f>IF(A333="","",COUNTIFS(ORDERS!$E$2:$E$4995,A333,ORDERS!$L$2:$L$4995,"Đã chuyển khoản"))</f>
        <v/>
      </c>
      <c r="N333" s="11" t="n"/>
    </row>
    <row r="334" ht="14.25" customHeight="1" s="40">
      <c r="A334" s="11" t="n"/>
      <c r="B334" s="11" t="n"/>
      <c r="C334" s="11" t="n"/>
      <c r="D334" s="11" t="n"/>
      <c r="E334" s="11" t="n"/>
      <c r="F334" s="11" t="n"/>
      <c r="G334" s="34" t="n"/>
      <c r="H334" s="11" t="n"/>
      <c r="I334" s="33">
        <f>IF(A334="","",DANH_MUC!$L$4&amp;"?ref="&amp;A334)</f>
        <v/>
      </c>
      <c r="J334" s="33">
        <f>IF(A334="","",IF(COUNTIF($A$2:$A$495,A334)&gt;1,"TRÙNG",""))</f>
        <v/>
      </c>
      <c r="K334" s="33">
        <f>IF(A334="","",COUNTIF(DATA_MASTER!$I$2:$I$5000,A334))</f>
        <v/>
      </c>
      <c r="L334" s="33">
        <f>IF(A334="","",COUNTIFS(DATA_MASTER!$I$2:$I$5000,A334,DATA_MASTER!$T$2:$T$5000,"Có"))</f>
        <v/>
      </c>
      <c r="M334" s="33">
        <f>IF(A334="","",COUNTIFS(ORDERS!$E$2:$E$4995,A334,ORDERS!$L$2:$L$4995,"Đã chuyển khoản"))</f>
        <v/>
      </c>
      <c r="N334" s="11" t="n"/>
    </row>
    <row r="335" ht="14.25" customHeight="1" s="40">
      <c r="A335" s="11" t="n"/>
      <c r="B335" s="11" t="n"/>
      <c r="C335" s="11" t="n"/>
      <c r="D335" s="11" t="n"/>
      <c r="E335" s="11" t="n"/>
      <c r="F335" s="11" t="n"/>
      <c r="G335" s="34" t="n"/>
      <c r="H335" s="11" t="n"/>
      <c r="I335" s="33">
        <f>IF(A335="","",DANH_MUC!$L$4&amp;"?ref="&amp;A335)</f>
        <v/>
      </c>
      <c r="J335" s="33">
        <f>IF(A335="","",IF(COUNTIF($A$2:$A$495,A335)&gt;1,"TRÙNG",""))</f>
        <v/>
      </c>
      <c r="K335" s="33">
        <f>IF(A335="","",COUNTIF(DATA_MASTER!$I$2:$I$5000,A335))</f>
        <v/>
      </c>
      <c r="L335" s="33">
        <f>IF(A335="","",COUNTIFS(DATA_MASTER!$I$2:$I$5000,A335,DATA_MASTER!$T$2:$T$5000,"Có"))</f>
        <v/>
      </c>
      <c r="M335" s="33">
        <f>IF(A335="","",COUNTIFS(ORDERS!$E$2:$E$4995,A335,ORDERS!$L$2:$L$4995,"Đã chuyển khoản"))</f>
        <v/>
      </c>
      <c r="N335" s="11" t="n"/>
    </row>
    <row r="336" ht="14.25" customHeight="1" s="40">
      <c r="A336" s="11" t="n"/>
      <c r="B336" s="11" t="n"/>
      <c r="C336" s="11" t="n"/>
      <c r="D336" s="11" t="n"/>
      <c r="E336" s="11" t="n"/>
      <c r="F336" s="11" t="n"/>
      <c r="G336" s="34" t="n"/>
      <c r="H336" s="11" t="n"/>
      <c r="I336" s="33">
        <f>IF(A336="","",DANH_MUC!$L$4&amp;"?ref="&amp;A336)</f>
        <v/>
      </c>
      <c r="J336" s="33">
        <f>IF(A336="","",IF(COUNTIF($A$2:$A$495,A336)&gt;1,"TRÙNG",""))</f>
        <v/>
      </c>
      <c r="K336" s="33">
        <f>IF(A336="","",COUNTIF(DATA_MASTER!$I$2:$I$5000,A336))</f>
        <v/>
      </c>
      <c r="L336" s="33">
        <f>IF(A336="","",COUNTIFS(DATA_MASTER!$I$2:$I$5000,A336,DATA_MASTER!$T$2:$T$5000,"Có"))</f>
        <v/>
      </c>
      <c r="M336" s="33">
        <f>IF(A336="","",COUNTIFS(ORDERS!$E$2:$E$4995,A336,ORDERS!$L$2:$L$4995,"Đã chuyển khoản"))</f>
        <v/>
      </c>
      <c r="N336" s="11" t="n"/>
    </row>
    <row r="337" ht="14.25" customHeight="1" s="40">
      <c r="A337" s="11" t="n"/>
      <c r="B337" s="11" t="n"/>
      <c r="C337" s="11" t="n"/>
      <c r="D337" s="11" t="n"/>
      <c r="E337" s="11" t="n"/>
      <c r="F337" s="11" t="n"/>
      <c r="G337" s="34" t="n"/>
      <c r="H337" s="11" t="n"/>
      <c r="I337" s="33">
        <f>IF(A337="","",DANH_MUC!$L$4&amp;"?ref="&amp;A337)</f>
        <v/>
      </c>
      <c r="J337" s="33">
        <f>IF(A337="","",IF(COUNTIF($A$2:$A$495,A337)&gt;1,"TRÙNG",""))</f>
        <v/>
      </c>
      <c r="K337" s="33">
        <f>IF(A337="","",COUNTIF(DATA_MASTER!$I$2:$I$5000,A337))</f>
        <v/>
      </c>
      <c r="L337" s="33">
        <f>IF(A337="","",COUNTIFS(DATA_MASTER!$I$2:$I$5000,A337,DATA_MASTER!$T$2:$T$5000,"Có"))</f>
        <v/>
      </c>
      <c r="M337" s="33">
        <f>IF(A337="","",COUNTIFS(ORDERS!$E$2:$E$4995,A337,ORDERS!$L$2:$L$4995,"Đã chuyển khoản"))</f>
        <v/>
      </c>
      <c r="N337" s="11" t="n"/>
    </row>
    <row r="338" ht="14.25" customHeight="1" s="40">
      <c r="A338" s="11" t="n"/>
      <c r="B338" s="11" t="n"/>
      <c r="C338" s="11" t="n"/>
      <c r="D338" s="11" t="n"/>
      <c r="E338" s="11" t="n"/>
      <c r="F338" s="11" t="n"/>
      <c r="G338" s="34" t="n"/>
      <c r="H338" s="11" t="n"/>
      <c r="I338" s="33">
        <f>IF(A338="","",DANH_MUC!$L$4&amp;"?ref="&amp;A338)</f>
        <v/>
      </c>
      <c r="J338" s="33">
        <f>IF(A338="","",IF(COUNTIF($A$2:$A$495,A338)&gt;1,"TRÙNG",""))</f>
        <v/>
      </c>
      <c r="K338" s="33">
        <f>IF(A338="","",COUNTIF(DATA_MASTER!$I$2:$I$5000,A338))</f>
        <v/>
      </c>
      <c r="L338" s="33">
        <f>IF(A338="","",COUNTIFS(DATA_MASTER!$I$2:$I$5000,A338,DATA_MASTER!$T$2:$T$5000,"Có"))</f>
        <v/>
      </c>
      <c r="M338" s="33">
        <f>IF(A338="","",COUNTIFS(ORDERS!$E$2:$E$4995,A338,ORDERS!$L$2:$L$4995,"Đã chuyển khoản"))</f>
        <v/>
      </c>
      <c r="N338" s="11" t="n"/>
    </row>
    <row r="339" ht="14.25" customHeight="1" s="40">
      <c r="A339" s="11" t="n"/>
      <c r="B339" s="11" t="n"/>
      <c r="C339" s="11" t="n"/>
      <c r="D339" s="11" t="n"/>
      <c r="E339" s="11" t="n"/>
      <c r="F339" s="11" t="n"/>
      <c r="G339" s="34" t="n"/>
      <c r="H339" s="11" t="n"/>
      <c r="I339" s="33">
        <f>IF(A339="","",DANH_MUC!$L$4&amp;"?ref="&amp;A339)</f>
        <v/>
      </c>
      <c r="J339" s="33">
        <f>IF(A339="","",IF(COUNTIF($A$2:$A$495,A339)&gt;1,"TRÙNG",""))</f>
        <v/>
      </c>
      <c r="K339" s="33">
        <f>IF(A339="","",COUNTIF(DATA_MASTER!$I$2:$I$5000,A339))</f>
        <v/>
      </c>
      <c r="L339" s="33">
        <f>IF(A339="","",COUNTIFS(DATA_MASTER!$I$2:$I$5000,A339,DATA_MASTER!$T$2:$T$5000,"Có"))</f>
        <v/>
      </c>
      <c r="M339" s="33">
        <f>IF(A339="","",COUNTIFS(ORDERS!$E$2:$E$4995,A339,ORDERS!$L$2:$L$4995,"Đã chuyển khoản"))</f>
        <v/>
      </c>
      <c r="N339" s="11" t="n"/>
    </row>
    <row r="340" ht="14.25" customHeight="1" s="40">
      <c r="A340" s="11" t="n"/>
      <c r="B340" s="11" t="n"/>
      <c r="C340" s="11" t="n"/>
      <c r="D340" s="11" t="n"/>
      <c r="E340" s="11" t="n"/>
      <c r="F340" s="11" t="n"/>
      <c r="G340" s="34" t="n"/>
      <c r="H340" s="11" t="n"/>
      <c r="I340" s="33">
        <f>IF(A340="","",DANH_MUC!$L$4&amp;"?ref="&amp;A340)</f>
        <v/>
      </c>
      <c r="J340" s="33">
        <f>IF(A340="","",IF(COUNTIF($A$2:$A$495,A340)&gt;1,"TRÙNG",""))</f>
        <v/>
      </c>
      <c r="K340" s="33">
        <f>IF(A340="","",COUNTIF(DATA_MASTER!$I$2:$I$5000,A340))</f>
        <v/>
      </c>
      <c r="L340" s="33">
        <f>IF(A340="","",COUNTIFS(DATA_MASTER!$I$2:$I$5000,A340,DATA_MASTER!$T$2:$T$5000,"Có"))</f>
        <v/>
      </c>
      <c r="M340" s="33">
        <f>IF(A340="","",COUNTIFS(ORDERS!$E$2:$E$4995,A340,ORDERS!$L$2:$L$4995,"Đã chuyển khoản"))</f>
        <v/>
      </c>
      <c r="N340" s="11" t="n"/>
    </row>
    <row r="341" ht="14.25" customHeight="1" s="40">
      <c r="A341" s="11" t="n"/>
      <c r="B341" s="11" t="n"/>
      <c r="C341" s="11" t="n"/>
      <c r="D341" s="11" t="n"/>
      <c r="E341" s="11" t="n"/>
      <c r="F341" s="11" t="n"/>
      <c r="G341" s="34" t="n"/>
      <c r="H341" s="11" t="n"/>
      <c r="I341" s="33">
        <f>IF(A341="","",DANH_MUC!$L$4&amp;"?ref="&amp;A341)</f>
        <v/>
      </c>
      <c r="J341" s="33">
        <f>IF(A341="","",IF(COUNTIF($A$2:$A$495,A341)&gt;1,"TRÙNG",""))</f>
        <v/>
      </c>
      <c r="K341" s="33">
        <f>IF(A341="","",COUNTIF(DATA_MASTER!$I$2:$I$5000,A341))</f>
        <v/>
      </c>
      <c r="L341" s="33">
        <f>IF(A341="","",COUNTIFS(DATA_MASTER!$I$2:$I$5000,A341,DATA_MASTER!$T$2:$T$5000,"Có"))</f>
        <v/>
      </c>
      <c r="M341" s="33">
        <f>IF(A341="","",COUNTIFS(ORDERS!$E$2:$E$4995,A341,ORDERS!$L$2:$L$4995,"Đã chuyển khoản"))</f>
        <v/>
      </c>
      <c r="N341" s="11" t="n"/>
    </row>
    <row r="342" ht="14.25" customHeight="1" s="40">
      <c r="A342" s="11" t="n"/>
      <c r="B342" s="11" t="n"/>
      <c r="C342" s="11" t="n"/>
      <c r="D342" s="11" t="n"/>
      <c r="E342" s="11" t="n"/>
      <c r="F342" s="11" t="n"/>
      <c r="G342" s="34" t="n"/>
      <c r="H342" s="11" t="n"/>
      <c r="I342" s="33">
        <f>IF(A342="","",DANH_MUC!$L$4&amp;"?ref="&amp;A342)</f>
        <v/>
      </c>
      <c r="J342" s="33">
        <f>IF(A342="","",IF(COUNTIF($A$2:$A$495,A342)&gt;1,"TRÙNG",""))</f>
        <v/>
      </c>
      <c r="K342" s="33">
        <f>IF(A342="","",COUNTIF(DATA_MASTER!$I$2:$I$5000,A342))</f>
        <v/>
      </c>
      <c r="L342" s="33">
        <f>IF(A342="","",COUNTIFS(DATA_MASTER!$I$2:$I$5000,A342,DATA_MASTER!$T$2:$T$5000,"Có"))</f>
        <v/>
      </c>
      <c r="M342" s="33">
        <f>IF(A342="","",COUNTIFS(ORDERS!$E$2:$E$4995,A342,ORDERS!$L$2:$L$4995,"Đã chuyển khoản"))</f>
        <v/>
      </c>
      <c r="N342" s="11" t="n"/>
    </row>
    <row r="343" ht="14.25" customHeight="1" s="40">
      <c r="A343" s="11" t="n"/>
      <c r="B343" s="11" t="n"/>
      <c r="C343" s="11" t="n"/>
      <c r="D343" s="11" t="n"/>
      <c r="E343" s="11" t="n"/>
      <c r="F343" s="11" t="n"/>
      <c r="G343" s="34" t="n"/>
      <c r="H343" s="11" t="n"/>
      <c r="I343" s="33">
        <f>IF(A343="","",DANH_MUC!$L$4&amp;"?ref="&amp;A343)</f>
        <v/>
      </c>
      <c r="J343" s="33">
        <f>IF(A343="","",IF(COUNTIF($A$2:$A$495,A343)&gt;1,"TRÙNG",""))</f>
        <v/>
      </c>
      <c r="K343" s="33">
        <f>IF(A343="","",COUNTIF(DATA_MASTER!$I$2:$I$5000,A343))</f>
        <v/>
      </c>
      <c r="L343" s="33">
        <f>IF(A343="","",COUNTIFS(DATA_MASTER!$I$2:$I$5000,A343,DATA_MASTER!$T$2:$T$5000,"Có"))</f>
        <v/>
      </c>
      <c r="M343" s="33">
        <f>IF(A343="","",COUNTIFS(ORDERS!$E$2:$E$4995,A343,ORDERS!$L$2:$L$4995,"Đã chuyển khoản"))</f>
        <v/>
      </c>
      <c r="N343" s="11" t="n"/>
    </row>
    <row r="344" ht="14.25" customHeight="1" s="40">
      <c r="A344" s="11" t="n"/>
      <c r="B344" s="11" t="n"/>
      <c r="C344" s="11" t="n"/>
      <c r="D344" s="11" t="n"/>
      <c r="E344" s="11" t="n"/>
      <c r="F344" s="11" t="n"/>
      <c r="G344" s="34" t="n"/>
      <c r="H344" s="11" t="n"/>
      <c r="I344" s="33">
        <f>IF(A344="","",DANH_MUC!$L$4&amp;"?ref="&amp;A344)</f>
        <v/>
      </c>
      <c r="J344" s="33">
        <f>IF(A344="","",IF(COUNTIF($A$2:$A$495,A344)&gt;1,"TRÙNG",""))</f>
        <v/>
      </c>
      <c r="K344" s="33">
        <f>IF(A344="","",COUNTIF(DATA_MASTER!$I$2:$I$5000,A344))</f>
        <v/>
      </c>
      <c r="L344" s="33">
        <f>IF(A344="","",COUNTIFS(DATA_MASTER!$I$2:$I$5000,A344,DATA_MASTER!$T$2:$T$5000,"Có"))</f>
        <v/>
      </c>
      <c r="M344" s="33">
        <f>IF(A344="","",COUNTIFS(ORDERS!$E$2:$E$4995,A344,ORDERS!$L$2:$L$4995,"Đã chuyển khoản"))</f>
        <v/>
      </c>
      <c r="N344" s="11" t="n"/>
    </row>
    <row r="345" ht="14.25" customHeight="1" s="40">
      <c r="A345" s="11" t="n"/>
      <c r="B345" s="11" t="n"/>
      <c r="C345" s="11" t="n"/>
      <c r="D345" s="11" t="n"/>
      <c r="E345" s="11" t="n"/>
      <c r="F345" s="11" t="n"/>
      <c r="G345" s="34" t="n"/>
      <c r="H345" s="11" t="n"/>
      <c r="I345" s="33">
        <f>IF(A345="","",DANH_MUC!$L$4&amp;"?ref="&amp;A345)</f>
        <v/>
      </c>
      <c r="J345" s="33">
        <f>IF(A345="","",IF(COUNTIF($A$2:$A$495,A345)&gt;1,"TRÙNG",""))</f>
        <v/>
      </c>
      <c r="K345" s="33">
        <f>IF(A345="","",COUNTIF(DATA_MASTER!$I$2:$I$5000,A345))</f>
        <v/>
      </c>
      <c r="L345" s="33">
        <f>IF(A345="","",COUNTIFS(DATA_MASTER!$I$2:$I$5000,A345,DATA_MASTER!$T$2:$T$5000,"Có"))</f>
        <v/>
      </c>
      <c r="M345" s="33">
        <f>IF(A345="","",COUNTIFS(ORDERS!$E$2:$E$4995,A345,ORDERS!$L$2:$L$4995,"Đã chuyển khoản"))</f>
        <v/>
      </c>
      <c r="N345" s="11" t="n"/>
    </row>
    <row r="346" ht="14.25" customHeight="1" s="40">
      <c r="A346" s="11" t="n"/>
      <c r="B346" s="11" t="n"/>
      <c r="C346" s="11" t="n"/>
      <c r="D346" s="11" t="n"/>
      <c r="E346" s="11" t="n"/>
      <c r="F346" s="11" t="n"/>
      <c r="G346" s="34" t="n"/>
      <c r="H346" s="11" t="n"/>
      <c r="I346" s="33">
        <f>IF(A346="","",DANH_MUC!$L$4&amp;"?ref="&amp;A346)</f>
        <v/>
      </c>
      <c r="J346" s="33">
        <f>IF(A346="","",IF(COUNTIF($A$2:$A$495,A346)&gt;1,"TRÙNG",""))</f>
        <v/>
      </c>
      <c r="K346" s="33">
        <f>IF(A346="","",COUNTIF(DATA_MASTER!$I$2:$I$5000,A346))</f>
        <v/>
      </c>
      <c r="L346" s="33">
        <f>IF(A346="","",COUNTIFS(DATA_MASTER!$I$2:$I$5000,A346,DATA_MASTER!$T$2:$T$5000,"Có"))</f>
        <v/>
      </c>
      <c r="M346" s="33">
        <f>IF(A346="","",COUNTIFS(ORDERS!$E$2:$E$4995,A346,ORDERS!$L$2:$L$4995,"Đã chuyển khoản"))</f>
        <v/>
      </c>
      <c r="N346" s="11" t="n"/>
    </row>
    <row r="347" ht="14.25" customHeight="1" s="40">
      <c r="A347" s="11" t="n"/>
      <c r="B347" s="11" t="n"/>
      <c r="C347" s="11" t="n"/>
      <c r="D347" s="11" t="n"/>
      <c r="E347" s="11" t="n"/>
      <c r="F347" s="11" t="n"/>
      <c r="G347" s="34" t="n"/>
      <c r="H347" s="11" t="n"/>
      <c r="I347" s="33">
        <f>IF(A347="","",DANH_MUC!$L$4&amp;"?ref="&amp;A347)</f>
        <v/>
      </c>
      <c r="J347" s="33">
        <f>IF(A347="","",IF(COUNTIF($A$2:$A$495,A347)&gt;1,"TRÙNG",""))</f>
        <v/>
      </c>
      <c r="K347" s="33">
        <f>IF(A347="","",COUNTIF(DATA_MASTER!$I$2:$I$5000,A347))</f>
        <v/>
      </c>
      <c r="L347" s="33">
        <f>IF(A347="","",COUNTIFS(DATA_MASTER!$I$2:$I$5000,A347,DATA_MASTER!$T$2:$T$5000,"Có"))</f>
        <v/>
      </c>
      <c r="M347" s="33">
        <f>IF(A347="","",COUNTIFS(ORDERS!$E$2:$E$4995,A347,ORDERS!$L$2:$L$4995,"Đã chuyển khoản"))</f>
        <v/>
      </c>
      <c r="N347" s="11" t="n"/>
    </row>
    <row r="348" ht="14.25" customHeight="1" s="40">
      <c r="A348" s="11" t="n"/>
      <c r="B348" s="11" t="n"/>
      <c r="C348" s="11" t="n"/>
      <c r="D348" s="11" t="n"/>
      <c r="E348" s="11" t="n"/>
      <c r="F348" s="11" t="n"/>
      <c r="G348" s="34" t="n"/>
      <c r="H348" s="11" t="n"/>
      <c r="I348" s="33">
        <f>IF(A348="","",DANH_MUC!$L$4&amp;"?ref="&amp;A348)</f>
        <v/>
      </c>
      <c r="J348" s="33">
        <f>IF(A348="","",IF(COUNTIF($A$2:$A$495,A348)&gt;1,"TRÙNG",""))</f>
        <v/>
      </c>
      <c r="K348" s="33">
        <f>IF(A348="","",COUNTIF(DATA_MASTER!$I$2:$I$5000,A348))</f>
        <v/>
      </c>
      <c r="L348" s="33">
        <f>IF(A348="","",COUNTIFS(DATA_MASTER!$I$2:$I$5000,A348,DATA_MASTER!$T$2:$T$5000,"Có"))</f>
        <v/>
      </c>
      <c r="M348" s="33">
        <f>IF(A348="","",COUNTIFS(ORDERS!$E$2:$E$4995,A348,ORDERS!$L$2:$L$4995,"Đã chuyển khoản"))</f>
        <v/>
      </c>
      <c r="N348" s="11" t="n"/>
    </row>
    <row r="349" ht="14.25" customHeight="1" s="40">
      <c r="A349" s="11" t="n"/>
      <c r="B349" s="11" t="n"/>
      <c r="C349" s="11" t="n"/>
      <c r="D349" s="11" t="n"/>
      <c r="E349" s="11" t="n"/>
      <c r="F349" s="11" t="n"/>
      <c r="G349" s="34" t="n"/>
      <c r="H349" s="11" t="n"/>
      <c r="I349" s="33">
        <f>IF(A349="","",DANH_MUC!$L$4&amp;"?ref="&amp;A349)</f>
        <v/>
      </c>
      <c r="J349" s="33">
        <f>IF(A349="","",IF(COUNTIF($A$2:$A$495,A349)&gt;1,"TRÙNG",""))</f>
        <v/>
      </c>
      <c r="K349" s="33">
        <f>IF(A349="","",COUNTIF(DATA_MASTER!$I$2:$I$5000,A349))</f>
        <v/>
      </c>
      <c r="L349" s="33">
        <f>IF(A349="","",COUNTIFS(DATA_MASTER!$I$2:$I$5000,A349,DATA_MASTER!$T$2:$T$5000,"Có"))</f>
        <v/>
      </c>
      <c r="M349" s="33">
        <f>IF(A349="","",COUNTIFS(ORDERS!$E$2:$E$4995,A349,ORDERS!$L$2:$L$4995,"Đã chuyển khoản"))</f>
        <v/>
      </c>
      <c r="N349" s="11" t="n"/>
    </row>
    <row r="350" ht="14.25" customHeight="1" s="40">
      <c r="A350" s="11" t="n"/>
      <c r="B350" s="11" t="n"/>
      <c r="C350" s="11" t="n"/>
      <c r="D350" s="11" t="n"/>
      <c r="E350" s="11" t="n"/>
      <c r="F350" s="11" t="n"/>
      <c r="G350" s="34" t="n"/>
      <c r="H350" s="11" t="n"/>
      <c r="I350" s="33">
        <f>IF(A350="","",DANH_MUC!$L$4&amp;"?ref="&amp;A350)</f>
        <v/>
      </c>
      <c r="J350" s="33">
        <f>IF(A350="","",IF(COUNTIF($A$2:$A$495,A350)&gt;1,"TRÙNG",""))</f>
        <v/>
      </c>
      <c r="K350" s="33">
        <f>IF(A350="","",COUNTIF(DATA_MASTER!$I$2:$I$5000,A350))</f>
        <v/>
      </c>
      <c r="L350" s="33">
        <f>IF(A350="","",COUNTIFS(DATA_MASTER!$I$2:$I$5000,A350,DATA_MASTER!$T$2:$T$5000,"Có"))</f>
        <v/>
      </c>
      <c r="M350" s="33">
        <f>IF(A350="","",COUNTIFS(ORDERS!$E$2:$E$4995,A350,ORDERS!$L$2:$L$4995,"Đã chuyển khoản"))</f>
        <v/>
      </c>
      <c r="N350" s="11" t="n"/>
    </row>
    <row r="351" ht="14.25" customHeight="1" s="40">
      <c r="A351" s="11" t="n"/>
      <c r="B351" s="11" t="n"/>
      <c r="C351" s="11" t="n"/>
      <c r="D351" s="11" t="n"/>
      <c r="E351" s="11" t="n"/>
      <c r="F351" s="11" t="n"/>
      <c r="G351" s="34" t="n"/>
      <c r="H351" s="11" t="n"/>
      <c r="I351" s="33">
        <f>IF(A351="","",DANH_MUC!$L$4&amp;"?ref="&amp;A351)</f>
        <v/>
      </c>
      <c r="J351" s="33">
        <f>IF(A351="","",IF(COUNTIF($A$2:$A$495,A351)&gt;1,"TRÙNG",""))</f>
        <v/>
      </c>
      <c r="K351" s="33">
        <f>IF(A351="","",COUNTIF(DATA_MASTER!$I$2:$I$5000,A351))</f>
        <v/>
      </c>
      <c r="L351" s="33">
        <f>IF(A351="","",COUNTIFS(DATA_MASTER!$I$2:$I$5000,A351,DATA_MASTER!$T$2:$T$5000,"Có"))</f>
        <v/>
      </c>
      <c r="M351" s="33">
        <f>IF(A351="","",COUNTIFS(ORDERS!$E$2:$E$4995,A351,ORDERS!$L$2:$L$4995,"Đã chuyển khoản"))</f>
        <v/>
      </c>
      <c r="N351" s="11" t="n"/>
    </row>
    <row r="352" ht="14.25" customHeight="1" s="40">
      <c r="A352" s="11" t="n"/>
      <c r="B352" s="11" t="n"/>
      <c r="C352" s="11" t="n"/>
      <c r="D352" s="11" t="n"/>
      <c r="E352" s="11" t="n"/>
      <c r="F352" s="11" t="n"/>
      <c r="G352" s="34" t="n"/>
      <c r="H352" s="11" t="n"/>
      <c r="I352" s="33">
        <f>IF(A352="","",DANH_MUC!$L$4&amp;"?ref="&amp;A352)</f>
        <v/>
      </c>
      <c r="J352" s="33">
        <f>IF(A352="","",IF(COUNTIF($A$2:$A$495,A352)&gt;1,"TRÙNG",""))</f>
        <v/>
      </c>
      <c r="K352" s="33">
        <f>IF(A352="","",COUNTIF(DATA_MASTER!$I$2:$I$5000,A352))</f>
        <v/>
      </c>
      <c r="L352" s="33">
        <f>IF(A352="","",COUNTIFS(DATA_MASTER!$I$2:$I$5000,A352,DATA_MASTER!$T$2:$T$5000,"Có"))</f>
        <v/>
      </c>
      <c r="M352" s="33">
        <f>IF(A352="","",COUNTIFS(ORDERS!$E$2:$E$4995,A352,ORDERS!$L$2:$L$4995,"Đã chuyển khoản"))</f>
        <v/>
      </c>
      <c r="N352" s="11" t="n"/>
    </row>
    <row r="353" ht="14.25" customHeight="1" s="40">
      <c r="A353" s="11" t="n"/>
      <c r="B353" s="11" t="n"/>
      <c r="C353" s="11" t="n"/>
      <c r="D353" s="11" t="n"/>
      <c r="E353" s="11" t="n"/>
      <c r="F353" s="11" t="n"/>
      <c r="G353" s="34" t="n"/>
      <c r="H353" s="11" t="n"/>
      <c r="I353" s="33">
        <f>IF(A353="","",DANH_MUC!$L$4&amp;"?ref="&amp;A353)</f>
        <v/>
      </c>
      <c r="J353" s="33">
        <f>IF(A353="","",IF(COUNTIF($A$2:$A$495,A353)&gt;1,"TRÙNG",""))</f>
        <v/>
      </c>
      <c r="K353" s="33">
        <f>IF(A353="","",COUNTIF(DATA_MASTER!$I$2:$I$5000,A353))</f>
        <v/>
      </c>
      <c r="L353" s="33">
        <f>IF(A353="","",COUNTIFS(DATA_MASTER!$I$2:$I$5000,A353,DATA_MASTER!$T$2:$T$5000,"Có"))</f>
        <v/>
      </c>
      <c r="M353" s="33">
        <f>IF(A353="","",COUNTIFS(ORDERS!$E$2:$E$4995,A353,ORDERS!$L$2:$L$4995,"Đã chuyển khoản"))</f>
        <v/>
      </c>
      <c r="N353" s="11" t="n"/>
    </row>
    <row r="354" ht="14.25" customHeight="1" s="40">
      <c r="A354" s="11" t="n"/>
      <c r="B354" s="11" t="n"/>
      <c r="C354" s="11" t="n"/>
      <c r="D354" s="11" t="n"/>
      <c r="E354" s="11" t="n"/>
      <c r="F354" s="11" t="n"/>
      <c r="G354" s="34" t="n"/>
      <c r="H354" s="11" t="n"/>
      <c r="I354" s="33">
        <f>IF(A354="","",DANH_MUC!$L$4&amp;"?ref="&amp;A354)</f>
        <v/>
      </c>
      <c r="J354" s="33">
        <f>IF(A354="","",IF(COUNTIF($A$2:$A$495,A354)&gt;1,"TRÙNG",""))</f>
        <v/>
      </c>
      <c r="K354" s="33">
        <f>IF(A354="","",COUNTIF(DATA_MASTER!$I$2:$I$5000,A354))</f>
        <v/>
      </c>
      <c r="L354" s="33">
        <f>IF(A354="","",COUNTIFS(DATA_MASTER!$I$2:$I$5000,A354,DATA_MASTER!$T$2:$T$5000,"Có"))</f>
        <v/>
      </c>
      <c r="M354" s="33">
        <f>IF(A354="","",COUNTIFS(ORDERS!$E$2:$E$4995,A354,ORDERS!$L$2:$L$4995,"Đã chuyển khoản"))</f>
        <v/>
      </c>
      <c r="N354" s="11" t="n"/>
    </row>
    <row r="355" ht="14.25" customHeight="1" s="40">
      <c r="A355" s="11" t="n"/>
      <c r="B355" s="11" t="n"/>
      <c r="C355" s="11" t="n"/>
      <c r="D355" s="11" t="n"/>
      <c r="E355" s="11" t="n"/>
      <c r="F355" s="11" t="n"/>
      <c r="G355" s="34" t="n"/>
      <c r="H355" s="11" t="n"/>
      <c r="I355" s="33">
        <f>IF(A355="","",DANH_MUC!$L$4&amp;"?ref="&amp;A355)</f>
        <v/>
      </c>
      <c r="J355" s="33">
        <f>IF(A355="","",IF(COUNTIF($A$2:$A$495,A355)&gt;1,"TRÙNG",""))</f>
        <v/>
      </c>
      <c r="K355" s="33">
        <f>IF(A355="","",COUNTIF(DATA_MASTER!$I$2:$I$5000,A355))</f>
        <v/>
      </c>
      <c r="L355" s="33">
        <f>IF(A355="","",COUNTIFS(DATA_MASTER!$I$2:$I$5000,A355,DATA_MASTER!$T$2:$T$5000,"Có"))</f>
        <v/>
      </c>
      <c r="M355" s="33">
        <f>IF(A355="","",COUNTIFS(ORDERS!$E$2:$E$4995,A355,ORDERS!$L$2:$L$4995,"Đã chuyển khoản"))</f>
        <v/>
      </c>
      <c r="N355" s="11" t="n"/>
    </row>
    <row r="356" ht="14.25" customHeight="1" s="40">
      <c r="A356" s="11" t="n"/>
      <c r="B356" s="11" t="n"/>
      <c r="C356" s="11" t="n"/>
      <c r="D356" s="11" t="n"/>
      <c r="E356" s="11" t="n"/>
      <c r="F356" s="11" t="n"/>
      <c r="G356" s="34" t="n"/>
      <c r="H356" s="11" t="n"/>
      <c r="I356" s="33">
        <f>IF(A356="","",DANH_MUC!$L$4&amp;"?ref="&amp;A356)</f>
        <v/>
      </c>
      <c r="J356" s="33">
        <f>IF(A356="","",IF(COUNTIF($A$2:$A$495,A356)&gt;1,"TRÙNG",""))</f>
        <v/>
      </c>
      <c r="K356" s="33">
        <f>IF(A356="","",COUNTIF(DATA_MASTER!$I$2:$I$5000,A356))</f>
        <v/>
      </c>
      <c r="L356" s="33">
        <f>IF(A356="","",COUNTIFS(DATA_MASTER!$I$2:$I$5000,A356,DATA_MASTER!$T$2:$T$5000,"Có"))</f>
        <v/>
      </c>
      <c r="M356" s="33">
        <f>IF(A356="","",COUNTIFS(ORDERS!$E$2:$E$4995,A356,ORDERS!$L$2:$L$4995,"Đã chuyển khoản"))</f>
        <v/>
      </c>
      <c r="N356" s="11" t="n"/>
    </row>
    <row r="357" ht="14.25" customHeight="1" s="40">
      <c r="A357" s="11" t="n"/>
      <c r="B357" s="11" t="n"/>
      <c r="C357" s="11" t="n"/>
      <c r="D357" s="11" t="n"/>
      <c r="E357" s="11" t="n"/>
      <c r="F357" s="11" t="n"/>
      <c r="G357" s="34" t="n"/>
      <c r="H357" s="11" t="n"/>
      <c r="I357" s="33">
        <f>IF(A357="","",DANH_MUC!$L$4&amp;"?ref="&amp;A357)</f>
        <v/>
      </c>
      <c r="J357" s="33">
        <f>IF(A357="","",IF(COUNTIF($A$2:$A$495,A357)&gt;1,"TRÙNG",""))</f>
        <v/>
      </c>
      <c r="K357" s="33">
        <f>IF(A357="","",COUNTIF(DATA_MASTER!$I$2:$I$5000,A357))</f>
        <v/>
      </c>
      <c r="L357" s="33">
        <f>IF(A357="","",COUNTIFS(DATA_MASTER!$I$2:$I$5000,A357,DATA_MASTER!$T$2:$T$5000,"Có"))</f>
        <v/>
      </c>
      <c r="M357" s="33">
        <f>IF(A357="","",COUNTIFS(ORDERS!$E$2:$E$4995,A357,ORDERS!$L$2:$L$4995,"Đã chuyển khoản"))</f>
        <v/>
      </c>
      <c r="N357" s="11" t="n"/>
    </row>
    <row r="358" ht="14.25" customHeight="1" s="40">
      <c r="A358" s="11" t="n"/>
      <c r="B358" s="11" t="n"/>
      <c r="C358" s="11" t="n"/>
      <c r="D358" s="11" t="n"/>
      <c r="E358" s="11" t="n"/>
      <c r="F358" s="11" t="n"/>
      <c r="G358" s="34" t="n"/>
      <c r="H358" s="11" t="n"/>
      <c r="I358" s="33">
        <f>IF(A358="","",DANH_MUC!$L$4&amp;"?ref="&amp;A358)</f>
        <v/>
      </c>
      <c r="J358" s="33">
        <f>IF(A358="","",IF(COUNTIF($A$2:$A$495,A358)&gt;1,"TRÙNG",""))</f>
        <v/>
      </c>
      <c r="K358" s="33">
        <f>IF(A358="","",COUNTIF(DATA_MASTER!$I$2:$I$5000,A358))</f>
        <v/>
      </c>
      <c r="L358" s="33">
        <f>IF(A358="","",COUNTIFS(DATA_MASTER!$I$2:$I$5000,A358,DATA_MASTER!$T$2:$T$5000,"Có"))</f>
        <v/>
      </c>
      <c r="M358" s="33">
        <f>IF(A358="","",COUNTIFS(ORDERS!$E$2:$E$4995,A358,ORDERS!$L$2:$L$4995,"Đã chuyển khoản"))</f>
        <v/>
      </c>
      <c r="N358" s="11" t="n"/>
    </row>
    <row r="359" ht="14.25" customHeight="1" s="40">
      <c r="A359" s="11" t="n"/>
      <c r="B359" s="11" t="n"/>
      <c r="C359" s="11" t="n"/>
      <c r="D359" s="11" t="n"/>
      <c r="E359" s="11" t="n"/>
      <c r="F359" s="11" t="n"/>
      <c r="G359" s="34" t="n"/>
      <c r="H359" s="11" t="n"/>
      <c r="I359" s="33">
        <f>IF(A359="","",DANH_MUC!$L$4&amp;"?ref="&amp;A359)</f>
        <v/>
      </c>
      <c r="J359" s="33">
        <f>IF(A359="","",IF(COUNTIF($A$2:$A$495,A359)&gt;1,"TRÙNG",""))</f>
        <v/>
      </c>
      <c r="K359" s="33">
        <f>IF(A359="","",COUNTIF(DATA_MASTER!$I$2:$I$5000,A359))</f>
        <v/>
      </c>
      <c r="L359" s="33">
        <f>IF(A359="","",COUNTIFS(DATA_MASTER!$I$2:$I$5000,A359,DATA_MASTER!$T$2:$T$5000,"Có"))</f>
        <v/>
      </c>
      <c r="M359" s="33">
        <f>IF(A359="","",COUNTIFS(ORDERS!$E$2:$E$4995,A359,ORDERS!$L$2:$L$4995,"Đã chuyển khoản"))</f>
        <v/>
      </c>
      <c r="N359" s="11" t="n"/>
    </row>
    <row r="360" ht="14.25" customHeight="1" s="40">
      <c r="A360" s="11" t="n"/>
      <c r="B360" s="11" t="n"/>
      <c r="C360" s="11" t="n"/>
      <c r="D360" s="11" t="n"/>
      <c r="E360" s="11" t="n"/>
      <c r="F360" s="11" t="n"/>
      <c r="G360" s="34" t="n"/>
      <c r="H360" s="11" t="n"/>
      <c r="I360" s="33">
        <f>IF(A360="","",DANH_MUC!$L$4&amp;"?ref="&amp;A360)</f>
        <v/>
      </c>
      <c r="J360" s="33">
        <f>IF(A360="","",IF(COUNTIF($A$2:$A$495,A360)&gt;1,"TRÙNG",""))</f>
        <v/>
      </c>
      <c r="K360" s="33">
        <f>IF(A360="","",COUNTIF(DATA_MASTER!$I$2:$I$5000,A360))</f>
        <v/>
      </c>
      <c r="L360" s="33">
        <f>IF(A360="","",COUNTIFS(DATA_MASTER!$I$2:$I$5000,A360,DATA_MASTER!$T$2:$T$5000,"Có"))</f>
        <v/>
      </c>
      <c r="M360" s="33">
        <f>IF(A360="","",COUNTIFS(ORDERS!$E$2:$E$4995,A360,ORDERS!$L$2:$L$4995,"Đã chuyển khoản"))</f>
        <v/>
      </c>
      <c r="N360" s="11" t="n"/>
    </row>
    <row r="361" ht="14.25" customHeight="1" s="40">
      <c r="A361" s="11" t="n"/>
      <c r="B361" s="11" t="n"/>
      <c r="C361" s="11" t="n"/>
      <c r="D361" s="11" t="n"/>
      <c r="E361" s="11" t="n"/>
      <c r="F361" s="11" t="n"/>
      <c r="G361" s="34" t="n"/>
      <c r="H361" s="11" t="n"/>
      <c r="I361" s="33">
        <f>IF(A361="","",DANH_MUC!$L$4&amp;"?ref="&amp;A361)</f>
        <v/>
      </c>
      <c r="J361" s="33">
        <f>IF(A361="","",IF(COUNTIF($A$2:$A$495,A361)&gt;1,"TRÙNG",""))</f>
        <v/>
      </c>
      <c r="K361" s="33">
        <f>IF(A361="","",COUNTIF(DATA_MASTER!$I$2:$I$5000,A361))</f>
        <v/>
      </c>
      <c r="L361" s="33">
        <f>IF(A361="","",COUNTIFS(DATA_MASTER!$I$2:$I$5000,A361,DATA_MASTER!$T$2:$T$5000,"Có"))</f>
        <v/>
      </c>
      <c r="M361" s="33">
        <f>IF(A361="","",COUNTIFS(ORDERS!$E$2:$E$4995,A361,ORDERS!$L$2:$L$4995,"Đã chuyển khoản"))</f>
        <v/>
      </c>
      <c r="N361" s="11" t="n"/>
    </row>
    <row r="362" ht="14.25" customHeight="1" s="40">
      <c r="A362" s="11" t="n"/>
      <c r="B362" s="11" t="n"/>
      <c r="C362" s="11" t="n"/>
      <c r="D362" s="11" t="n"/>
      <c r="E362" s="11" t="n"/>
      <c r="F362" s="11" t="n"/>
      <c r="G362" s="34" t="n"/>
      <c r="H362" s="11" t="n"/>
      <c r="I362" s="33">
        <f>IF(A362="","",DANH_MUC!$L$4&amp;"?ref="&amp;A362)</f>
        <v/>
      </c>
      <c r="J362" s="33">
        <f>IF(A362="","",IF(COUNTIF($A$2:$A$495,A362)&gt;1,"TRÙNG",""))</f>
        <v/>
      </c>
      <c r="K362" s="33">
        <f>IF(A362="","",COUNTIF(DATA_MASTER!$I$2:$I$5000,A362))</f>
        <v/>
      </c>
      <c r="L362" s="33">
        <f>IF(A362="","",COUNTIFS(DATA_MASTER!$I$2:$I$5000,A362,DATA_MASTER!$T$2:$T$5000,"Có"))</f>
        <v/>
      </c>
      <c r="M362" s="33">
        <f>IF(A362="","",COUNTIFS(ORDERS!$E$2:$E$4995,A362,ORDERS!$L$2:$L$4995,"Đã chuyển khoản"))</f>
        <v/>
      </c>
      <c r="N362" s="11" t="n"/>
    </row>
    <row r="363" ht="14.25" customHeight="1" s="40">
      <c r="A363" s="11" t="n"/>
      <c r="B363" s="11" t="n"/>
      <c r="C363" s="11" t="n"/>
      <c r="D363" s="11" t="n"/>
      <c r="E363" s="11" t="n"/>
      <c r="F363" s="11" t="n"/>
      <c r="G363" s="34" t="n"/>
      <c r="H363" s="11" t="n"/>
      <c r="I363" s="33">
        <f>IF(A363="","",DANH_MUC!$L$4&amp;"?ref="&amp;A363)</f>
        <v/>
      </c>
      <c r="J363" s="33">
        <f>IF(A363="","",IF(COUNTIF($A$2:$A$495,A363)&gt;1,"TRÙNG",""))</f>
        <v/>
      </c>
      <c r="K363" s="33">
        <f>IF(A363="","",COUNTIF(DATA_MASTER!$I$2:$I$5000,A363))</f>
        <v/>
      </c>
      <c r="L363" s="33">
        <f>IF(A363="","",COUNTIFS(DATA_MASTER!$I$2:$I$5000,A363,DATA_MASTER!$T$2:$T$5000,"Có"))</f>
        <v/>
      </c>
      <c r="M363" s="33">
        <f>IF(A363="","",COUNTIFS(ORDERS!$E$2:$E$4995,A363,ORDERS!$L$2:$L$4995,"Đã chuyển khoản"))</f>
        <v/>
      </c>
      <c r="N363" s="11" t="n"/>
    </row>
    <row r="364" ht="14.25" customHeight="1" s="40">
      <c r="A364" s="11" t="n"/>
      <c r="B364" s="11" t="n"/>
      <c r="C364" s="11" t="n"/>
      <c r="D364" s="11" t="n"/>
      <c r="E364" s="11" t="n"/>
      <c r="F364" s="11" t="n"/>
      <c r="G364" s="34" t="n"/>
      <c r="H364" s="11" t="n"/>
      <c r="I364" s="33">
        <f>IF(A364="","",DANH_MUC!$L$4&amp;"?ref="&amp;A364)</f>
        <v/>
      </c>
      <c r="J364" s="33">
        <f>IF(A364="","",IF(COUNTIF($A$2:$A$495,A364)&gt;1,"TRÙNG",""))</f>
        <v/>
      </c>
      <c r="K364" s="33">
        <f>IF(A364="","",COUNTIF(DATA_MASTER!$I$2:$I$5000,A364))</f>
        <v/>
      </c>
      <c r="L364" s="33">
        <f>IF(A364="","",COUNTIFS(DATA_MASTER!$I$2:$I$5000,A364,DATA_MASTER!$T$2:$T$5000,"Có"))</f>
        <v/>
      </c>
      <c r="M364" s="33">
        <f>IF(A364="","",COUNTIFS(ORDERS!$E$2:$E$4995,A364,ORDERS!$L$2:$L$4995,"Đã chuyển khoản"))</f>
        <v/>
      </c>
      <c r="N364" s="11" t="n"/>
    </row>
    <row r="365" ht="14.25" customHeight="1" s="40">
      <c r="A365" s="11" t="n"/>
      <c r="B365" s="11" t="n"/>
      <c r="C365" s="11" t="n"/>
      <c r="D365" s="11" t="n"/>
      <c r="E365" s="11" t="n"/>
      <c r="F365" s="11" t="n"/>
      <c r="G365" s="34" t="n"/>
      <c r="H365" s="11" t="n"/>
      <c r="I365" s="33">
        <f>IF(A365="","",DANH_MUC!$L$4&amp;"?ref="&amp;A365)</f>
        <v/>
      </c>
      <c r="J365" s="33">
        <f>IF(A365="","",IF(COUNTIF($A$2:$A$495,A365)&gt;1,"TRÙNG",""))</f>
        <v/>
      </c>
      <c r="K365" s="33">
        <f>IF(A365="","",COUNTIF(DATA_MASTER!$I$2:$I$5000,A365))</f>
        <v/>
      </c>
      <c r="L365" s="33">
        <f>IF(A365="","",COUNTIFS(DATA_MASTER!$I$2:$I$5000,A365,DATA_MASTER!$T$2:$T$5000,"Có"))</f>
        <v/>
      </c>
      <c r="M365" s="33">
        <f>IF(A365="","",COUNTIFS(ORDERS!$E$2:$E$4995,A365,ORDERS!$L$2:$L$4995,"Đã chuyển khoản"))</f>
        <v/>
      </c>
      <c r="N365" s="11" t="n"/>
    </row>
    <row r="366" ht="14.25" customHeight="1" s="40">
      <c r="A366" s="11" t="n"/>
      <c r="B366" s="11" t="n"/>
      <c r="C366" s="11" t="n"/>
      <c r="D366" s="11" t="n"/>
      <c r="E366" s="11" t="n"/>
      <c r="F366" s="11" t="n"/>
      <c r="G366" s="34" t="n"/>
      <c r="H366" s="11" t="n"/>
      <c r="I366" s="33">
        <f>IF(A366="","",DANH_MUC!$L$4&amp;"?ref="&amp;A366)</f>
        <v/>
      </c>
      <c r="J366" s="33">
        <f>IF(A366="","",IF(COUNTIF($A$2:$A$495,A366)&gt;1,"TRÙNG",""))</f>
        <v/>
      </c>
      <c r="K366" s="33">
        <f>IF(A366="","",COUNTIF(DATA_MASTER!$I$2:$I$5000,A366))</f>
        <v/>
      </c>
      <c r="L366" s="33">
        <f>IF(A366="","",COUNTIFS(DATA_MASTER!$I$2:$I$5000,A366,DATA_MASTER!$T$2:$T$5000,"Có"))</f>
        <v/>
      </c>
      <c r="M366" s="33">
        <f>IF(A366="","",COUNTIFS(ORDERS!$E$2:$E$4995,A366,ORDERS!$L$2:$L$4995,"Đã chuyển khoản"))</f>
        <v/>
      </c>
      <c r="N366" s="11" t="n"/>
    </row>
    <row r="367" ht="14.25" customHeight="1" s="40">
      <c r="A367" s="11" t="n"/>
      <c r="B367" s="11" t="n"/>
      <c r="C367" s="11" t="n"/>
      <c r="D367" s="11" t="n"/>
      <c r="E367" s="11" t="n"/>
      <c r="F367" s="11" t="n"/>
      <c r="G367" s="34" t="n"/>
      <c r="H367" s="11" t="n"/>
      <c r="I367" s="33">
        <f>IF(A367="","",DANH_MUC!$L$4&amp;"?ref="&amp;A367)</f>
        <v/>
      </c>
      <c r="J367" s="33">
        <f>IF(A367="","",IF(COUNTIF($A$2:$A$495,A367)&gt;1,"TRÙNG",""))</f>
        <v/>
      </c>
      <c r="K367" s="33">
        <f>IF(A367="","",COUNTIF(DATA_MASTER!$I$2:$I$5000,A367))</f>
        <v/>
      </c>
      <c r="L367" s="33">
        <f>IF(A367="","",COUNTIFS(DATA_MASTER!$I$2:$I$5000,A367,DATA_MASTER!$T$2:$T$5000,"Có"))</f>
        <v/>
      </c>
      <c r="M367" s="33">
        <f>IF(A367="","",COUNTIFS(ORDERS!$E$2:$E$4995,A367,ORDERS!$L$2:$L$4995,"Đã chuyển khoản"))</f>
        <v/>
      </c>
      <c r="N367" s="11" t="n"/>
    </row>
    <row r="368" ht="14.25" customHeight="1" s="40">
      <c r="A368" s="11" t="n"/>
      <c r="B368" s="11" t="n"/>
      <c r="C368" s="11" t="n"/>
      <c r="D368" s="11" t="n"/>
      <c r="E368" s="11" t="n"/>
      <c r="F368" s="11" t="n"/>
      <c r="G368" s="34" t="n"/>
      <c r="H368" s="11" t="n"/>
      <c r="I368" s="33">
        <f>IF(A368="","",DANH_MUC!$L$4&amp;"?ref="&amp;A368)</f>
        <v/>
      </c>
      <c r="J368" s="33">
        <f>IF(A368="","",IF(COUNTIF($A$2:$A$495,A368)&gt;1,"TRÙNG",""))</f>
        <v/>
      </c>
      <c r="K368" s="33">
        <f>IF(A368="","",COUNTIF(DATA_MASTER!$I$2:$I$5000,A368))</f>
        <v/>
      </c>
      <c r="L368" s="33">
        <f>IF(A368="","",COUNTIFS(DATA_MASTER!$I$2:$I$5000,A368,DATA_MASTER!$T$2:$T$5000,"Có"))</f>
        <v/>
      </c>
      <c r="M368" s="33">
        <f>IF(A368="","",COUNTIFS(ORDERS!$E$2:$E$4995,A368,ORDERS!$L$2:$L$4995,"Đã chuyển khoản"))</f>
        <v/>
      </c>
      <c r="N368" s="11" t="n"/>
    </row>
    <row r="369" ht="14.25" customHeight="1" s="40">
      <c r="A369" s="11" t="n"/>
      <c r="B369" s="11" t="n"/>
      <c r="C369" s="11" t="n"/>
      <c r="D369" s="11" t="n"/>
      <c r="E369" s="11" t="n"/>
      <c r="F369" s="11" t="n"/>
      <c r="G369" s="34" t="n"/>
      <c r="H369" s="11" t="n"/>
      <c r="I369" s="33">
        <f>IF(A369="","",DANH_MUC!$L$4&amp;"?ref="&amp;A369)</f>
        <v/>
      </c>
      <c r="J369" s="33">
        <f>IF(A369="","",IF(COUNTIF($A$2:$A$495,A369)&gt;1,"TRÙNG",""))</f>
        <v/>
      </c>
      <c r="K369" s="33">
        <f>IF(A369="","",COUNTIF(DATA_MASTER!$I$2:$I$5000,A369))</f>
        <v/>
      </c>
      <c r="L369" s="33">
        <f>IF(A369="","",COUNTIFS(DATA_MASTER!$I$2:$I$5000,A369,DATA_MASTER!$T$2:$T$5000,"Có"))</f>
        <v/>
      </c>
      <c r="M369" s="33">
        <f>IF(A369="","",COUNTIFS(ORDERS!$E$2:$E$4995,A369,ORDERS!$L$2:$L$4995,"Đã chuyển khoản"))</f>
        <v/>
      </c>
      <c r="N369" s="11" t="n"/>
    </row>
    <row r="370" ht="14.25" customHeight="1" s="40">
      <c r="A370" s="11" t="n"/>
      <c r="B370" s="11" t="n"/>
      <c r="C370" s="11" t="n"/>
      <c r="D370" s="11" t="n"/>
      <c r="E370" s="11" t="n"/>
      <c r="F370" s="11" t="n"/>
      <c r="G370" s="34" t="n"/>
      <c r="H370" s="11" t="n"/>
      <c r="I370" s="33">
        <f>IF(A370="","",DANH_MUC!$L$4&amp;"?ref="&amp;A370)</f>
        <v/>
      </c>
      <c r="J370" s="33">
        <f>IF(A370="","",IF(COUNTIF($A$2:$A$495,A370)&gt;1,"TRÙNG",""))</f>
        <v/>
      </c>
      <c r="K370" s="33">
        <f>IF(A370="","",COUNTIF(DATA_MASTER!$I$2:$I$5000,A370))</f>
        <v/>
      </c>
      <c r="L370" s="33">
        <f>IF(A370="","",COUNTIFS(DATA_MASTER!$I$2:$I$5000,A370,DATA_MASTER!$T$2:$T$5000,"Có"))</f>
        <v/>
      </c>
      <c r="M370" s="33">
        <f>IF(A370="","",COUNTIFS(ORDERS!$E$2:$E$4995,A370,ORDERS!$L$2:$L$4995,"Đã chuyển khoản"))</f>
        <v/>
      </c>
      <c r="N370" s="11" t="n"/>
    </row>
    <row r="371" ht="14.25" customHeight="1" s="40">
      <c r="A371" s="11" t="n"/>
      <c r="B371" s="11" t="n"/>
      <c r="C371" s="11" t="n"/>
      <c r="D371" s="11" t="n"/>
      <c r="E371" s="11" t="n"/>
      <c r="F371" s="11" t="n"/>
      <c r="G371" s="34" t="n"/>
      <c r="H371" s="11" t="n"/>
      <c r="I371" s="33">
        <f>IF(A371="","",DANH_MUC!$L$4&amp;"?ref="&amp;A371)</f>
        <v/>
      </c>
      <c r="J371" s="33">
        <f>IF(A371="","",IF(COUNTIF($A$2:$A$495,A371)&gt;1,"TRÙNG",""))</f>
        <v/>
      </c>
      <c r="K371" s="33">
        <f>IF(A371="","",COUNTIF(DATA_MASTER!$I$2:$I$5000,A371))</f>
        <v/>
      </c>
      <c r="L371" s="33">
        <f>IF(A371="","",COUNTIFS(DATA_MASTER!$I$2:$I$5000,A371,DATA_MASTER!$T$2:$T$5000,"Có"))</f>
        <v/>
      </c>
      <c r="M371" s="33">
        <f>IF(A371="","",COUNTIFS(ORDERS!$E$2:$E$4995,A371,ORDERS!$L$2:$L$4995,"Đã chuyển khoản"))</f>
        <v/>
      </c>
      <c r="N371" s="11" t="n"/>
    </row>
    <row r="372" ht="14.25" customHeight="1" s="40">
      <c r="A372" s="11" t="n"/>
      <c r="B372" s="11" t="n"/>
      <c r="C372" s="11" t="n"/>
      <c r="D372" s="11" t="n"/>
      <c r="E372" s="11" t="n"/>
      <c r="F372" s="11" t="n"/>
      <c r="G372" s="34" t="n"/>
      <c r="H372" s="11" t="n"/>
      <c r="I372" s="33">
        <f>IF(A372="","",DANH_MUC!$L$4&amp;"?ref="&amp;A372)</f>
        <v/>
      </c>
      <c r="J372" s="33">
        <f>IF(A372="","",IF(COUNTIF($A$2:$A$495,A372)&gt;1,"TRÙNG",""))</f>
        <v/>
      </c>
      <c r="K372" s="33">
        <f>IF(A372="","",COUNTIF(DATA_MASTER!$I$2:$I$5000,A372))</f>
        <v/>
      </c>
      <c r="L372" s="33">
        <f>IF(A372="","",COUNTIFS(DATA_MASTER!$I$2:$I$5000,A372,DATA_MASTER!$T$2:$T$5000,"Có"))</f>
        <v/>
      </c>
      <c r="M372" s="33">
        <f>IF(A372="","",COUNTIFS(ORDERS!$E$2:$E$4995,A372,ORDERS!$L$2:$L$4995,"Đã chuyển khoản"))</f>
        <v/>
      </c>
      <c r="N372" s="11" t="n"/>
    </row>
    <row r="373" ht="14.25" customHeight="1" s="40">
      <c r="A373" s="11" t="n"/>
      <c r="B373" s="11" t="n"/>
      <c r="C373" s="11" t="n"/>
      <c r="D373" s="11" t="n"/>
      <c r="E373" s="11" t="n"/>
      <c r="F373" s="11" t="n"/>
      <c r="G373" s="34" t="n"/>
      <c r="H373" s="11" t="n"/>
      <c r="I373" s="33">
        <f>IF(A373="","",DANH_MUC!$L$4&amp;"?ref="&amp;A373)</f>
        <v/>
      </c>
      <c r="J373" s="33">
        <f>IF(A373="","",IF(COUNTIF($A$2:$A$495,A373)&gt;1,"TRÙNG",""))</f>
        <v/>
      </c>
      <c r="K373" s="33">
        <f>IF(A373="","",COUNTIF(DATA_MASTER!$I$2:$I$5000,A373))</f>
        <v/>
      </c>
      <c r="L373" s="33">
        <f>IF(A373="","",COUNTIFS(DATA_MASTER!$I$2:$I$5000,A373,DATA_MASTER!$T$2:$T$5000,"Có"))</f>
        <v/>
      </c>
      <c r="M373" s="33">
        <f>IF(A373="","",COUNTIFS(ORDERS!$E$2:$E$4995,A373,ORDERS!$L$2:$L$4995,"Đã chuyển khoản"))</f>
        <v/>
      </c>
      <c r="N373" s="11" t="n"/>
    </row>
    <row r="374" ht="14.25" customHeight="1" s="40">
      <c r="A374" s="11" t="n"/>
      <c r="B374" s="11" t="n"/>
      <c r="C374" s="11" t="n"/>
      <c r="D374" s="11" t="n"/>
      <c r="E374" s="11" t="n"/>
      <c r="F374" s="11" t="n"/>
      <c r="G374" s="34" t="n"/>
      <c r="H374" s="11" t="n"/>
      <c r="I374" s="33">
        <f>IF(A374="","",DANH_MUC!$L$4&amp;"?ref="&amp;A374)</f>
        <v/>
      </c>
      <c r="J374" s="33">
        <f>IF(A374="","",IF(COUNTIF($A$2:$A$495,A374)&gt;1,"TRÙNG",""))</f>
        <v/>
      </c>
      <c r="K374" s="33">
        <f>IF(A374="","",COUNTIF(DATA_MASTER!$I$2:$I$5000,A374))</f>
        <v/>
      </c>
      <c r="L374" s="33">
        <f>IF(A374="","",COUNTIFS(DATA_MASTER!$I$2:$I$5000,A374,DATA_MASTER!$T$2:$T$5000,"Có"))</f>
        <v/>
      </c>
      <c r="M374" s="33">
        <f>IF(A374="","",COUNTIFS(ORDERS!$E$2:$E$4995,A374,ORDERS!$L$2:$L$4995,"Đã chuyển khoản"))</f>
        <v/>
      </c>
      <c r="N374" s="11" t="n"/>
    </row>
    <row r="375" ht="14.25" customHeight="1" s="40">
      <c r="A375" s="11" t="n"/>
      <c r="B375" s="11" t="n"/>
      <c r="C375" s="11" t="n"/>
      <c r="D375" s="11" t="n"/>
      <c r="E375" s="11" t="n"/>
      <c r="F375" s="11" t="n"/>
      <c r="G375" s="34" t="n"/>
      <c r="H375" s="11" t="n"/>
      <c r="I375" s="33">
        <f>IF(A375="","",DANH_MUC!$L$4&amp;"?ref="&amp;A375)</f>
        <v/>
      </c>
      <c r="J375" s="33">
        <f>IF(A375="","",IF(COUNTIF($A$2:$A$495,A375)&gt;1,"TRÙNG",""))</f>
        <v/>
      </c>
      <c r="K375" s="33">
        <f>IF(A375="","",COUNTIF(DATA_MASTER!$I$2:$I$5000,A375))</f>
        <v/>
      </c>
      <c r="L375" s="33">
        <f>IF(A375="","",COUNTIFS(DATA_MASTER!$I$2:$I$5000,A375,DATA_MASTER!$T$2:$T$5000,"Có"))</f>
        <v/>
      </c>
      <c r="M375" s="33">
        <f>IF(A375="","",COUNTIFS(ORDERS!$E$2:$E$4995,A375,ORDERS!$L$2:$L$4995,"Đã chuyển khoản"))</f>
        <v/>
      </c>
      <c r="N375" s="11" t="n"/>
    </row>
    <row r="376" ht="14.25" customHeight="1" s="40">
      <c r="A376" s="11" t="n"/>
      <c r="B376" s="11" t="n"/>
      <c r="C376" s="11" t="n"/>
      <c r="D376" s="11" t="n"/>
      <c r="E376" s="11" t="n"/>
      <c r="F376" s="11" t="n"/>
      <c r="G376" s="34" t="n"/>
      <c r="H376" s="11" t="n"/>
      <c r="I376" s="33">
        <f>IF(A376="","",DANH_MUC!$L$4&amp;"?ref="&amp;A376)</f>
        <v/>
      </c>
      <c r="J376" s="33">
        <f>IF(A376="","",IF(COUNTIF($A$2:$A$495,A376)&gt;1,"TRÙNG",""))</f>
        <v/>
      </c>
      <c r="K376" s="33">
        <f>IF(A376="","",COUNTIF(DATA_MASTER!$I$2:$I$5000,A376))</f>
        <v/>
      </c>
      <c r="L376" s="33">
        <f>IF(A376="","",COUNTIFS(DATA_MASTER!$I$2:$I$5000,A376,DATA_MASTER!$T$2:$T$5000,"Có"))</f>
        <v/>
      </c>
      <c r="M376" s="33">
        <f>IF(A376="","",COUNTIFS(ORDERS!$E$2:$E$4995,A376,ORDERS!$L$2:$L$4995,"Đã chuyển khoản"))</f>
        <v/>
      </c>
      <c r="N376" s="11" t="n"/>
    </row>
    <row r="377" ht="14.25" customHeight="1" s="40">
      <c r="A377" s="11" t="n"/>
      <c r="B377" s="11" t="n"/>
      <c r="C377" s="11" t="n"/>
      <c r="D377" s="11" t="n"/>
      <c r="E377" s="11" t="n"/>
      <c r="F377" s="11" t="n"/>
      <c r="G377" s="34" t="n"/>
      <c r="H377" s="11" t="n"/>
      <c r="I377" s="33">
        <f>IF(A377="","",DANH_MUC!$L$4&amp;"?ref="&amp;A377)</f>
        <v/>
      </c>
      <c r="J377" s="33">
        <f>IF(A377="","",IF(COUNTIF($A$2:$A$495,A377)&gt;1,"TRÙNG",""))</f>
        <v/>
      </c>
      <c r="K377" s="33">
        <f>IF(A377="","",COUNTIF(DATA_MASTER!$I$2:$I$5000,A377))</f>
        <v/>
      </c>
      <c r="L377" s="33">
        <f>IF(A377="","",COUNTIFS(DATA_MASTER!$I$2:$I$5000,A377,DATA_MASTER!$T$2:$T$5000,"Có"))</f>
        <v/>
      </c>
      <c r="M377" s="33">
        <f>IF(A377="","",COUNTIFS(ORDERS!$E$2:$E$4995,A377,ORDERS!$L$2:$L$4995,"Đã chuyển khoản"))</f>
        <v/>
      </c>
      <c r="N377" s="11" t="n"/>
    </row>
    <row r="378" ht="14.25" customHeight="1" s="40">
      <c r="A378" s="11" t="n"/>
      <c r="B378" s="11" t="n"/>
      <c r="C378" s="11" t="n"/>
      <c r="D378" s="11" t="n"/>
      <c r="E378" s="11" t="n"/>
      <c r="F378" s="11" t="n"/>
      <c r="G378" s="34" t="n"/>
      <c r="H378" s="11" t="n"/>
      <c r="I378" s="33">
        <f>IF(A378="","",DANH_MUC!$L$4&amp;"?ref="&amp;A378)</f>
        <v/>
      </c>
      <c r="J378" s="33">
        <f>IF(A378="","",IF(COUNTIF($A$2:$A$495,A378)&gt;1,"TRÙNG",""))</f>
        <v/>
      </c>
      <c r="K378" s="33">
        <f>IF(A378="","",COUNTIF(DATA_MASTER!$I$2:$I$5000,A378))</f>
        <v/>
      </c>
      <c r="L378" s="33">
        <f>IF(A378="","",COUNTIFS(DATA_MASTER!$I$2:$I$5000,A378,DATA_MASTER!$T$2:$T$5000,"Có"))</f>
        <v/>
      </c>
      <c r="M378" s="33">
        <f>IF(A378="","",COUNTIFS(ORDERS!$E$2:$E$4995,A378,ORDERS!$L$2:$L$4995,"Đã chuyển khoản"))</f>
        <v/>
      </c>
      <c r="N378" s="11" t="n"/>
    </row>
    <row r="379" ht="14.25" customHeight="1" s="40">
      <c r="A379" s="11" t="n"/>
      <c r="B379" s="11" t="n"/>
      <c r="C379" s="11" t="n"/>
      <c r="D379" s="11" t="n"/>
      <c r="E379" s="11" t="n"/>
      <c r="F379" s="11" t="n"/>
      <c r="G379" s="34" t="n"/>
      <c r="H379" s="11" t="n"/>
      <c r="I379" s="33">
        <f>IF(A379="","",DANH_MUC!$L$4&amp;"?ref="&amp;A379)</f>
        <v/>
      </c>
      <c r="J379" s="33">
        <f>IF(A379="","",IF(COUNTIF($A$2:$A$495,A379)&gt;1,"TRÙNG",""))</f>
        <v/>
      </c>
      <c r="K379" s="33">
        <f>IF(A379="","",COUNTIF(DATA_MASTER!$I$2:$I$5000,A379))</f>
        <v/>
      </c>
      <c r="L379" s="33">
        <f>IF(A379="","",COUNTIFS(DATA_MASTER!$I$2:$I$5000,A379,DATA_MASTER!$T$2:$T$5000,"Có"))</f>
        <v/>
      </c>
      <c r="M379" s="33">
        <f>IF(A379="","",COUNTIFS(ORDERS!$E$2:$E$4995,A379,ORDERS!$L$2:$L$4995,"Đã chuyển khoản"))</f>
        <v/>
      </c>
      <c r="N379" s="11" t="n"/>
    </row>
    <row r="380" ht="14.25" customHeight="1" s="40">
      <c r="A380" s="11" t="n"/>
      <c r="B380" s="11" t="n"/>
      <c r="C380" s="11" t="n"/>
      <c r="D380" s="11" t="n"/>
      <c r="E380" s="11" t="n"/>
      <c r="F380" s="11" t="n"/>
      <c r="G380" s="34" t="n"/>
      <c r="H380" s="11" t="n"/>
      <c r="I380" s="33">
        <f>IF(A380="","",DANH_MUC!$L$4&amp;"?ref="&amp;A380)</f>
        <v/>
      </c>
      <c r="J380" s="33">
        <f>IF(A380="","",IF(COUNTIF($A$2:$A$495,A380)&gt;1,"TRÙNG",""))</f>
        <v/>
      </c>
      <c r="K380" s="33">
        <f>IF(A380="","",COUNTIF(DATA_MASTER!$I$2:$I$5000,A380))</f>
        <v/>
      </c>
      <c r="L380" s="33">
        <f>IF(A380="","",COUNTIFS(DATA_MASTER!$I$2:$I$5000,A380,DATA_MASTER!$T$2:$T$5000,"Có"))</f>
        <v/>
      </c>
      <c r="M380" s="33">
        <f>IF(A380="","",COUNTIFS(ORDERS!$E$2:$E$4995,A380,ORDERS!$L$2:$L$4995,"Đã chuyển khoản"))</f>
        <v/>
      </c>
      <c r="N380" s="11" t="n"/>
    </row>
    <row r="381" ht="14.25" customHeight="1" s="40">
      <c r="A381" s="11" t="n"/>
      <c r="B381" s="11" t="n"/>
      <c r="C381" s="11" t="n"/>
      <c r="D381" s="11" t="n"/>
      <c r="E381" s="11" t="n"/>
      <c r="F381" s="11" t="n"/>
      <c r="G381" s="34" t="n"/>
      <c r="H381" s="11" t="n"/>
      <c r="I381" s="33">
        <f>IF(A381="","",DANH_MUC!$L$4&amp;"?ref="&amp;A381)</f>
        <v/>
      </c>
      <c r="J381" s="33">
        <f>IF(A381="","",IF(COUNTIF($A$2:$A$495,A381)&gt;1,"TRÙNG",""))</f>
        <v/>
      </c>
      <c r="K381" s="33">
        <f>IF(A381="","",COUNTIF(DATA_MASTER!$I$2:$I$5000,A381))</f>
        <v/>
      </c>
      <c r="L381" s="33">
        <f>IF(A381="","",COUNTIFS(DATA_MASTER!$I$2:$I$5000,A381,DATA_MASTER!$T$2:$T$5000,"Có"))</f>
        <v/>
      </c>
      <c r="M381" s="33">
        <f>IF(A381="","",COUNTIFS(ORDERS!$E$2:$E$4995,A381,ORDERS!$L$2:$L$4995,"Đã chuyển khoản"))</f>
        <v/>
      </c>
      <c r="N381" s="11" t="n"/>
    </row>
    <row r="382" ht="14.25" customHeight="1" s="40">
      <c r="A382" s="11" t="n"/>
      <c r="B382" s="11" t="n"/>
      <c r="C382" s="11" t="n"/>
      <c r="D382" s="11" t="n"/>
      <c r="E382" s="11" t="n"/>
      <c r="F382" s="11" t="n"/>
      <c r="G382" s="34" t="n"/>
      <c r="H382" s="11" t="n"/>
      <c r="I382" s="33">
        <f>IF(A382="","",DANH_MUC!$L$4&amp;"?ref="&amp;A382)</f>
        <v/>
      </c>
      <c r="J382" s="33">
        <f>IF(A382="","",IF(COUNTIF($A$2:$A$495,A382)&gt;1,"TRÙNG",""))</f>
        <v/>
      </c>
      <c r="K382" s="33">
        <f>IF(A382="","",COUNTIF(DATA_MASTER!$I$2:$I$5000,A382))</f>
        <v/>
      </c>
      <c r="L382" s="33">
        <f>IF(A382="","",COUNTIFS(DATA_MASTER!$I$2:$I$5000,A382,DATA_MASTER!$T$2:$T$5000,"Có"))</f>
        <v/>
      </c>
      <c r="M382" s="33">
        <f>IF(A382="","",COUNTIFS(ORDERS!$E$2:$E$4995,A382,ORDERS!$L$2:$L$4995,"Đã chuyển khoản"))</f>
        <v/>
      </c>
      <c r="N382" s="11" t="n"/>
    </row>
    <row r="383" ht="14.25" customHeight="1" s="40">
      <c r="A383" s="11" t="n"/>
      <c r="B383" s="11" t="n"/>
      <c r="C383" s="11" t="n"/>
      <c r="D383" s="11" t="n"/>
      <c r="E383" s="11" t="n"/>
      <c r="F383" s="11" t="n"/>
      <c r="G383" s="34" t="n"/>
      <c r="H383" s="11" t="n"/>
      <c r="I383" s="33">
        <f>IF(A383="","",DANH_MUC!$L$4&amp;"?ref="&amp;A383)</f>
        <v/>
      </c>
      <c r="J383" s="33">
        <f>IF(A383="","",IF(COUNTIF($A$2:$A$495,A383)&gt;1,"TRÙNG",""))</f>
        <v/>
      </c>
      <c r="K383" s="33">
        <f>IF(A383="","",COUNTIF(DATA_MASTER!$I$2:$I$5000,A383))</f>
        <v/>
      </c>
      <c r="L383" s="33">
        <f>IF(A383="","",COUNTIFS(DATA_MASTER!$I$2:$I$5000,A383,DATA_MASTER!$T$2:$T$5000,"Có"))</f>
        <v/>
      </c>
      <c r="M383" s="33">
        <f>IF(A383="","",COUNTIFS(ORDERS!$E$2:$E$4995,A383,ORDERS!$L$2:$L$4995,"Đã chuyển khoản"))</f>
        <v/>
      </c>
      <c r="N383" s="11" t="n"/>
    </row>
    <row r="384" ht="14.25" customHeight="1" s="40">
      <c r="A384" s="11" t="n"/>
      <c r="B384" s="11" t="n"/>
      <c r="C384" s="11" t="n"/>
      <c r="D384" s="11" t="n"/>
      <c r="E384" s="11" t="n"/>
      <c r="F384" s="11" t="n"/>
      <c r="G384" s="34" t="n"/>
      <c r="H384" s="11" t="n"/>
      <c r="I384" s="33">
        <f>IF(A384="","",DANH_MUC!$L$4&amp;"?ref="&amp;A384)</f>
        <v/>
      </c>
      <c r="J384" s="33">
        <f>IF(A384="","",IF(COUNTIF($A$2:$A$495,A384)&gt;1,"TRÙNG",""))</f>
        <v/>
      </c>
      <c r="K384" s="33">
        <f>IF(A384="","",COUNTIF(DATA_MASTER!$I$2:$I$5000,A384))</f>
        <v/>
      </c>
      <c r="L384" s="33">
        <f>IF(A384="","",COUNTIFS(DATA_MASTER!$I$2:$I$5000,A384,DATA_MASTER!$T$2:$T$5000,"Có"))</f>
        <v/>
      </c>
      <c r="M384" s="33">
        <f>IF(A384="","",COUNTIFS(ORDERS!$E$2:$E$4995,A384,ORDERS!$L$2:$L$4995,"Đã chuyển khoản"))</f>
        <v/>
      </c>
      <c r="N384" s="11" t="n"/>
    </row>
    <row r="385" ht="14.25" customHeight="1" s="40">
      <c r="A385" s="11" t="n"/>
      <c r="B385" s="11" t="n"/>
      <c r="C385" s="11" t="n"/>
      <c r="D385" s="11" t="n"/>
      <c r="E385" s="11" t="n"/>
      <c r="F385" s="11" t="n"/>
      <c r="G385" s="34" t="n"/>
      <c r="H385" s="11" t="n"/>
      <c r="I385" s="33">
        <f>IF(A385="","",DANH_MUC!$L$4&amp;"?ref="&amp;A385)</f>
        <v/>
      </c>
      <c r="J385" s="33">
        <f>IF(A385="","",IF(COUNTIF($A$2:$A$495,A385)&gt;1,"TRÙNG",""))</f>
        <v/>
      </c>
      <c r="K385" s="33">
        <f>IF(A385="","",COUNTIF(DATA_MASTER!$I$2:$I$5000,A385))</f>
        <v/>
      </c>
      <c r="L385" s="33">
        <f>IF(A385="","",COUNTIFS(DATA_MASTER!$I$2:$I$5000,A385,DATA_MASTER!$T$2:$T$5000,"Có"))</f>
        <v/>
      </c>
      <c r="M385" s="33">
        <f>IF(A385="","",COUNTIFS(ORDERS!$E$2:$E$4995,A385,ORDERS!$L$2:$L$4995,"Đã chuyển khoản"))</f>
        <v/>
      </c>
      <c r="N385" s="11" t="n"/>
    </row>
    <row r="386" ht="14.25" customHeight="1" s="40">
      <c r="A386" s="11" t="n"/>
      <c r="B386" s="11" t="n"/>
      <c r="C386" s="11" t="n"/>
      <c r="D386" s="11" t="n"/>
      <c r="E386" s="11" t="n"/>
      <c r="F386" s="11" t="n"/>
      <c r="G386" s="34" t="n"/>
      <c r="H386" s="11" t="n"/>
      <c r="I386" s="33">
        <f>IF(A386="","",DANH_MUC!$L$4&amp;"?ref="&amp;A386)</f>
        <v/>
      </c>
      <c r="J386" s="33">
        <f>IF(A386="","",IF(COUNTIF($A$2:$A$495,A386)&gt;1,"TRÙNG",""))</f>
        <v/>
      </c>
      <c r="K386" s="33">
        <f>IF(A386="","",COUNTIF(DATA_MASTER!$I$2:$I$5000,A386))</f>
        <v/>
      </c>
      <c r="L386" s="33">
        <f>IF(A386="","",COUNTIFS(DATA_MASTER!$I$2:$I$5000,A386,DATA_MASTER!$T$2:$T$5000,"Có"))</f>
        <v/>
      </c>
      <c r="M386" s="33">
        <f>IF(A386="","",COUNTIFS(ORDERS!$E$2:$E$4995,A386,ORDERS!$L$2:$L$4995,"Đã chuyển khoản"))</f>
        <v/>
      </c>
      <c r="N386" s="11" t="n"/>
    </row>
    <row r="387" ht="14.25" customHeight="1" s="40">
      <c r="A387" s="11" t="n"/>
      <c r="B387" s="11" t="n"/>
      <c r="C387" s="11" t="n"/>
      <c r="D387" s="11" t="n"/>
      <c r="E387" s="11" t="n"/>
      <c r="F387" s="11" t="n"/>
      <c r="G387" s="34" t="n"/>
      <c r="H387" s="11" t="n"/>
      <c r="I387" s="33">
        <f>IF(A387="","",DANH_MUC!$L$4&amp;"?ref="&amp;A387)</f>
        <v/>
      </c>
      <c r="J387" s="33">
        <f>IF(A387="","",IF(COUNTIF($A$2:$A$495,A387)&gt;1,"TRÙNG",""))</f>
        <v/>
      </c>
      <c r="K387" s="33">
        <f>IF(A387="","",COUNTIF(DATA_MASTER!$I$2:$I$5000,A387))</f>
        <v/>
      </c>
      <c r="L387" s="33">
        <f>IF(A387="","",COUNTIFS(DATA_MASTER!$I$2:$I$5000,A387,DATA_MASTER!$T$2:$T$5000,"Có"))</f>
        <v/>
      </c>
      <c r="M387" s="33">
        <f>IF(A387="","",COUNTIFS(ORDERS!$E$2:$E$4995,A387,ORDERS!$L$2:$L$4995,"Đã chuyển khoản"))</f>
        <v/>
      </c>
      <c r="N387" s="11" t="n"/>
    </row>
    <row r="388" ht="14.25" customHeight="1" s="40">
      <c r="A388" s="11" t="n"/>
      <c r="B388" s="11" t="n"/>
      <c r="C388" s="11" t="n"/>
      <c r="D388" s="11" t="n"/>
      <c r="E388" s="11" t="n"/>
      <c r="F388" s="11" t="n"/>
      <c r="G388" s="34" t="n"/>
      <c r="H388" s="11" t="n"/>
      <c r="I388" s="33">
        <f>IF(A388="","",DANH_MUC!$L$4&amp;"?ref="&amp;A388)</f>
        <v/>
      </c>
      <c r="J388" s="33">
        <f>IF(A388="","",IF(COUNTIF($A$2:$A$495,A388)&gt;1,"TRÙNG",""))</f>
        <v/>
      </c>
      <c r="K388" s="33">
        <f>IF(A388="","",COUNTIF(DATA_MASTER!$I$2:$I$5000,A388))</f>
        <v/>
      </c>
      <c r="L388" s="33">
        <f>IF(A388="","",COUNTIFS(DATA_MASTER!$I$2:$I$5000,A388,DATA_MASTER!$T$2:$T$5000,"Có"))</f>
        <v/>
      </c>
      <c r="M388" s="33">
        <f>IF(A388="","",COUNTIFS(ORDERS!$E$2:$E$4995,A388,ORDERS!$L$2:$L$4995,"Đã chuyển khoản"))</f>
        <v/>
      </c>
      <c r="N388" s="11" t="n"/>
    </row>
    <row r="389" ht="14.25" customHeight="1" s="40">
      <c r="A389" s="11" t="n"/>
      <c r="B389" s="11" t="n"/>
      <c r="C389" s="11" t="n"/>
      <c r="D389" s="11" t="n"/>
      <c r="E389" s="11" t="n"/>
      <c r="F389" s="11" t="n"/>
      <c r="G389" s="34" t="n"/>
      <c r="H389" s="11" t="n"/>
      <c r="I389" s="33">
        <f>IF(A389="","",DANH_MUC!$L$4&amp;"?ref="&amp;A389)</f>
        <v/>
      </c>
      <c r="J389" s="33">
        <f>IF(A389="","",IF(COUNTIF($A$2:$A$495,A389)&gt;1,"TRÙNG",""))</f>
        <v/>
      </c>
      <c r="K389" s="33">
        <f>IF(A389="","",COUNTIF(DATA_MASTER!$I$2:$I$5000,A389))</f>
        <v/>
      </c>
      <c r="L389" s="33">
        <f>IF(A389="","",COUNTIFS(DATA_MASTER!$I$2:$I$5000,A389,DATA_MASTER!$T$2:$T$5000,"Có"))</f>
        <v/>
      </c>
      <c r="M389" s="33">
        <f>IF(A389="","",COUNTIFS(ORDERS!$E$2:$E$4995,A389,ORDERS!$L$2:$L$4995,"Đã chuyển khoản"))</f>
        <v/>
      </c>
      <c r="N389" s="11" t="n"/>
    </row>
    <row r="390" ht="14.25" customHeight="1" s="40">
      <c r="A390" s="11" t="n"/>
      <c r="B390" s="11" t="n"/>
      <c r="C390" s="11" t="n"/>
      <c r="D390" s="11" t="n"/>
      <c r="E390" s="11" t="n"/>
      <c r="F390" s="11" t="n"/>
      <c r="G390" s="34" t="n"/>
      <c r="H390" s="11" t="n"/>
      <c r="I390" s="33">
        <f>IF(A390="","",DANH_MUC!$L$4&amp;"?ref="&amp;A390)</f>
        <v/>
      </c>
      <c r="J390" s="33">
        <f>IF(A390="","",IF(COUNTIF($A$2:$A$495,A390)&gt;1,"TRÙNG",""))</f>
        <v/>
      </c>
      <c r="K390" s="33">
        <f>IF(A390="","",COUNTIF(DATA_MASTER!$I$2:$I$5000,A390))</f>
        <v/>
      </c>
      <c r="L390" s="33">
        <f>IF(A390="","",COUNTIFS(DATA_MASTER!$I$2:$I$5000,A390,DATA_MASTER!$T$2:$T$5000,"Có"))</f>
        <v/>
      </c>
      <c r="M390" s="33">
        <f>IF(A390="","",COUNTIFS(ORDERS!$E$2:$E$4995,A390,ORDERS!$L$2:$L$4995,"Đã chuyển khoản"))</f>
        <v/>
      </c>
      <c r="N390" s="11" t="n"/>
    </row>
    <row r="391" ht="14.25" customHeight="1" s="40">
      <c r="A391" s="11" t="n"/>
      <c r="B391" s="11" t="n"/>
      <c r="C391" s="11" t="n"/>
      <c r="D391" s="11" t="n"/>
      <c r="E391" s="11" t="n"/>
      <c r="F391" s="11" t="n"/>
      <c r="G391" s="34" t="n"/>
      <c r="H391" s="11" t="n"/>
      <c r="I391" s="33">
        <f>IF(A391="","",DANH_MUC!$L$4&amp;"?ref="&amp;A391)</f>
        <v/>
      </c>
      <c r="J391" s="33">
        <f>IF(A391="","",IF(COUNTIF($A$2:$A$495,A391)&gt;1,"TRÙNG",""))</f>
        <v/>
      </c>
      <c r="K391" s="33">
        <f>IF(A391="","",COUNTIF(DATA_MASTER!$I$2:$I$5000,A391))</f>
        <v/>
      </c>
      <c r="L391" s="33">
        <f>IF(A391="","",COUNTIFS(DATA_MASTER!$I$2:$I$5000,A391,DATA_MASTER!$T$2:$T$5000,"Có"))</f>
        <v/>
      </c>
      <c r="M391" s="33">
        <f>IF(A391="","",COUNTIFS(ORDERS!$E$2:$E$4995,A391,ORDERS!$L$2:$L$4995,"Đã chuyển khoản"))</f>
        <v/>
      </c>
      <c r="N391" s="11" t="n"/>
    </row>
    <row r="392" ht="14.25" customHeight="1" s="40">
      <c r="A392" s="11" t="n"/>
      <c r="B392" s="11" t="n"/>
      <c r="C392" s="11" t="n"/>
      <c r="D392" s="11" t="n"/>
      <c r="E392" s="11" t="n"/>
      <c r="F392" s="11" t="n"/>
      <c r="G392" s="34" t="n"/>
      <c r="H392" s="11" t="n"/>
      <c r="I392" s="33">
        <f>IF(A392="","",DANH_MUC!$L$4&amp;"?ref="&amp;A392)</f>
        <v/>
      </c>
      <c r="J392" s="33">
        <f>IF(A392="","",IF(COUNTIF($A$2:$A$495,A392)&gt;1,"TRÙNG",""))</f>
        <v/>
      </c>
      <c r="K392" s="33">
        <f>IF(A392="","",COUNTIF(DATA_MASTER!$I$2:$I$5000,A392))</f>
        <v/>
      </c>
      <c r="L392" s="33">
        <f>IF(A392="","",COUNTIFS(DATA_MASTER!$I$2:$I$5000,A392,DATA_MASTER!$T$2:$T$5000,"Có"))</f>
        <v/>
      </c>
      <c r="M392" s="33">
        <f>IF(A392="","",COUNTIFS(ORDERS!$E$2:$E$4995,A392,ORDERS!$L$2:$L$4995,"Đã chuyển khoản"))</f>
        <v/>
      </c>
      <c r="N392" s="11" t="n"/>
    </row>
    <row r="393" ht="14.25" customHeight="1" s="40">
      <c r="A393" s="11" t="n"/>
      <c r="B393" s="11" t="n"/>
      <c r="C393" s="11" t="n"/>
      <c r="D393" s="11" t="n"/>
      <c r="E393" s="11" t="n"/>
      <c r="F393" s="11" t="n"/>
      <c r="G393" s="34" t="n"/>
      <c r="H393" s="11" t="n"/>
      <c r="I393" s="33">
        <f>IF(A393="","",DANH_MUC!$L$4&amp;"?ref="&amp;A393)</f>
        <v/>
      </c>
      <c r="J393" s="33">
        <f>IF(A393="","",IF(COUNTIF($A$2:$A$495,A393)&gt;1,"TRÙNG",""))</f>
        <v/>
      </c>
      <c r="K393" s="33">
        <f>IF(A393="","",COUNTIF(DATA_MASTER!$I$2:$I$5000,A393))</f>
        <v/>
      </c>
      <c r="L393" s="33">
        <f>IF(A393="","",COUNTIFS(DATA_MASTER!$I$2:$I$5000,A393,DATA_MASTER!$T$2:$T$5000,"Có"))</f>
        <v/>
      </c>
      <c r="M393" s="33">
        <f>IF(A393="","",COUNTIFS(ORDERS!$E$2:$E$4995,A393,ORDERS!$L$2:$L$4995,"Đã chuyển khoản"))</f>
        <v/>
      </c>
      <c r="N393" s="11" t="n"/>
    </row>
    <row r="394" ht="14.25" customHeight="1" s="40">
      <c r="A394" s="11" t="n"/>
      <c r="B394" s="11" t="n"/>
      <c r="C394" s="11" t="n"/>
      <c r="D394" s="11" t="n"/>
      <c r="E394" s="11" t="n"/>
      <c r="F394" s="11" t="n"/>
      <c r="G394" s="34" t="n"/>
      <c r="H394" s="11" t="n"/>
      <c r="I394" s="33">
        <f>IF(A394="","",DANH_MUC!$L$4&amp;"?ref="&amp;A394)</f>
        <v/>
      </c>
      <c r="J394" s="33">
        <f>IF(A394="","",IF(COUNTIF($A$2:$A$495,A394)&gt;1,"TRÙNG",""))</f>
        <v/>
      </c>
      <c r="K394" s="33">
        <f>IF(A394="","",COUNTIF(DATA_MASTER!$I$2:$I$5000,A394))</f>
        <v/>
      </c>
      <c r="L394" s="33">
        <f>IF(A394="","",COUNTIFS(DATA_MASTER!$I$2:$I$5000,A394,DATA_MASTER!$T$2:$T$5000,"Có"))</f>
        <v/>
      </c>
      <c r="M394" s="33">
        <f>IF(A394="","",COUNTIFS(ORDERS!$E$2:$E$4995,A394,ORDERS!$L$2:$L$4995,"Đã chuyển khoản"))</f>
        <v/>
      </c>
      <c r="N394" s="11" t="n"/>
    </row>
    <row r="395" ht="14.25" customHeight="1" s="40">
      <c r="A395" s="11" t="n"/>
      <c r="B395" s="11" t="n"/>
      <c r="C395" s="11" t="n"/>
      <c r="D395" s="11" t="n"/>
      <c r="E395" s="11" t="n"/>
      <c r="F395" s="11" t="n"/>
      <c r="G395" s="34" t="n"/>
      <c r="H395" s="11" t="n"/>
      <c r="I395" s="33">
        <f>IF(A395="","",DANH_MUC!$L$4&amp;"?ref="&amp;A395)</f>
        <v/>
      </c>
      <c r="J395" s="33">
        <f>IF(A395="","",IF(COUNTIF($A$2:$A$495,A395)&gt;1,"TRÙNG",""))</f>
        <v/>
      </c>
      <c r="K395" s="33">
        <f>IF(A395="","",COUNTIF(DATA_MASTER!$I$2:$I$5000,A395))</f>
        <v/>
      </c>
      <c r="L395" s="33">
        <f>IF(A395="","",COUNTIFS(DATA_MASTER!$I$2:$I$5000,A395,DATA_MASTER!$T$2:$T$5000,"Có"))</f>
        <v/>
      </c>
      <c r="M395" s="33">
        <f>IF(A395="","",COUNTIFS(ORDERS!$E$2:$E$4995,A395,ORDERS!$L$2:$L$4995,"Đã chuyển khoản"))</f>
        <v/>
      </c>
      <c r="N395" s="11" t="n"/>
    </row>
    <row r="396" ht="14.25" customHeight="1" s="40">
      <c r="A396" s="11" t="n"/>
      <c r="B396" s="11" t="n"/>
      <c r="C396" s="11" t="n"/>
      <c r="D396" s="11" t="n"/>
      <c r="E396" s="11" t="n"/>
      <c r="F396" s="11" t="n"/>
      <c r="G396" s="34" t="n"/>
      <c r="H396" s="11" t="n"/>
      <c r="I396" s="33">
        <f>IF(A396="","",DANH_MUC!$L$4&amp;"?ref="&amp;A396)</f>
        <v/>
      </c>
      <c r="J396" s="33">
        <f>IF(A396="","",IF(COUNTIF($A$2:$A$495,A396)&gt;1,"TRÙNG",""))</f>
        <v/>
      </c>
      <c r="K396" s="33">
        <f>IF(A396="","",COUNTIF(DATA_MASTER!$I$2:$I$5000,A396))</f>
        <v/>
      </c>
      <c r="L396" s="33">
        <f>IF(A396="","",COUNTIFS(DATA_MASTER!$I$2:$I$5000,A396,DATA_MASTER!$T$2:$T$5000,"Có"))</f>
        <v/>
      </c>
      <c r="M396" s="33">
        <f>IF(A396="","",COUNTIFS(ORDERS!$E$2:$E$4995,A396,ORDERS!$L$2:$L$4995,"Đã chuyển khoản"))</f>
        <v/>
      </c>
      <c r="N396" s="11" t="n"/>
    </row>
    <row r="397" ht="14.25" customHeight="1" s="40">
      <c r="A397" s="11" t="n"/>
      <c r="B397" s="11" t="n"/>
      <c r="C397" s="11" t="n"/>
      <c r="D397" s="11" t="n"/>
      <c r="E397" s="11" t="n"/>
      <c r="F397" s="11" t="n"/>
      <c r="G397" s="34" t="n"/>
      <c r="H397" s="11" t="n"/>
      <c r="I397" s="33">
        <f>IF(A397="","",DANH_MUC!$L$4&amp;"?ref="&amp;A397)</f>
        <v/>
      </c>
      <c r="J397" s="33">
        <f>IF(A397="","",IF(COUNTIF($A$2:$A$495,A397)&gt;1,"TRÙNG",""))</f>
        <v/>
      </c>
      <c r="K397" s="33">
        <f>IF(A397="","",COUNTIF(DATA_MASTER!$I$2:$I$5000,A397))</f>
        <v/>
      </c>
      <c r="L397" s="33">
        <f>IF(A397="","",COUNTIFS(DATA_MASTER!$I$2:$I$5000,A397,DATA_MASTER!$T$2:$T$5000,"Có"))</f>
        <v/>
      </c>
      <c r="M397" s="33">
        <f>IF(A397="","",COUNTIFS(ORDERS!$E$2:$E$4995,A397,ORDERS!$L$2:$L$4995,"Đã chuyển khoản"))</f>
        <v/>
      </c>
      <c r="N397" s="11" t="n"/>
    </row>
    <row r="398" ht="14.25" customHeight="1" s="40">
      <c r="A398" s="11" t="n"/>
      <c r="B398" s="11" t="n"/>
      <c r="C398" s="11" t="n"/>
      <c r="D398" s="11" t="n"/>
      <c r="E398" s="11" t="n"/>
      <c r="F398" s="11" t="n"/>
      <c r="G398" s="34" t="n"/>
      <c r="H398" s="11" t="n"/>
      <c r="I398" s="33">
        <f>IF(A398="","",DANH_MUC!$L$4&amp;"?ref="&amp;A398)</f>
        <v/>
      </c>
      <c r="J398" s="33">
        <f>IF(A398="","",IF(COUNTIF($A$2:$A$495,A398)&gt;1,"TRÙNG",""))</f>
        <v/>
      </c>
      <c r="K398" s="33">
        <f>IF(A398="","",COUNTIF(DATA_MASTER!$I$2:$I$5000,A398))</f>
        <v/>
      </c>
      <c r="L398" s="33">
        <f>IF(A398="","",COUNTIFS(DATA_MASTER!$I$2:$I$5000,A398,DATA_MASTER!$T$2:$T$5000,"Có"))</f>
        <v/>
      </c>
      <c r="M398" s="33">
        <f>IF(A398="","",COUNTIFS(ORDERS!$E$2:$E$4995,A398,ORDERS!$L$2:$L$4995,"Đã chuyển khoản"))</f>
        <v/>
      </c>
      <c r="N398" s="11" t="n"/>
    </row>
    <row r="399" ht="14.25" customHeight="1" s="40">
      <c r="A399" s="11" t="n"/>
      <c r="B399" s="11" t="n"/>
      <c r="C399" s="11" t="n"/>
      <c r="D399" s="11" t="n"/>
      <c r="E399" s="11" t="n"/>
      <c r="F399" s="11" t="n"/>
      <c r="G399" s="34" t="n"/>
      <c r="H399" s="11" t="n"/>
      <c r="I399" s="33">
        <f>IF(A399="","",DANH_MUC!$L$4&amp;"?ref="&amp;A399)</f>
        <v/>
      </c>
      <c r="J399" s="33">
        <f>IF(A399="","",IF(COUNTIF($A$2:$A$495,A399)&gt;1,"TRÙNG",""))</f>
        <v/>
      </c>
      <c r="K399" s="33">
        <f>IF(A399="","",COUNTIF(DATA_MASTER!$I$2:$I$5000,A399))</f>
        <v/>
      </c>
      <c r="L399" s="33">
        <f>IF(A399="","",COUNTIFS(DATA_MASTER!$I$2:$I$5000,A399,DATA_MASTER!$T$2:$T$5000,"Có"))</f>
        <v/>
      </c>
      <c r="M399" s="33">
        <f>IF(A399="","",COUNTIFS(ORDERS!$E$2:$E$4995,A399,ORDERS!$L$2:$L$4995,"Đã chuyển khoản"))</f>
        <v/>
      </c>
      <c r="N399" s="11" t="n"/>
    </row>
    <row r="400" ht="14.25" customHeight="1" s="40">
      <c r="A400" s="11" t="n"/>
      <c r="B400" s="11" t="n"/>
      <c r="C400" s="11" t="n"/>
      <c r="D400" s="11" t="n"/>
      <c r="E400" s="11" t="n"/>
      <c r="F400" s="11" t="n"/>
      <c r="G400" s="34" t="n"/>
      <c r="H400" s="11" t="n"/>
      <c r="I400" s="33">
        <f>IF(A400="","",DANH_MUC!$L$4&amp;"?ref="&amp;A400)</f>
        <v/>
      </c>
      <c r="J400" s="33">
        <f>IF(A400="","",IF(COUNTIF($A$2:$A$495,A400)&gt;1,"TRÙNG",""))</f>
        <v/>
      </c>
      <c r="K400" s="33">
        <f>IF(A400="","",COUNTIF(DATA_MASTER!$I$2:$I$5000,A400))</f>
        <v/>
      </c>
      <c r="L400" s="33">
        <f>IF(A400="","",COUNTIFS(DATA_MASTER!$I$2:$I$5000,A400,DATA_MASTER!$T$2:$T$5000,"Có"))</f>
        <v/>
      </c>
      <c r="M400" s="33">
        <f>IF(A400="","",COUNTIFS(ORDERS!$E$2:$E$4995,A400,ORDERS!$L$2:$L$4995,"Đã chuyển khoản"))</f>
        <v/>
      </c>
      <c r="N400" s="11" t="n"/>
    </row>
    <row r="401" ht="14.25" customHeight="1" s="40">
      <c r="A401" s="11" t="n"/>
      <c r="B401" s="11" t="n"/>
      <c r="C401" s="11" t="n"/>
      <c r="D401" s="11" t="n"/>
      <c r="E401" s="11" t="n"/>
      <c r="F401" s="11" t="n"/>
      <c r="G401" s="34" t="n"/>
      <c r="H401" s="11" t="n"/>
      <c r="I401" s="33">
        <f>IF(A401="","",DANH_MUC!$L$4&amp;"?ref="&amp;A401)</f>
        <v/>
      </c>
      <c r="J401" s="33">
        <f>IF(A401="","",IF(COUNTIF($A$2:$A$495,A401)&gt;1,"TRÙNG",""))</f>
        <v/>
      </c>
      <c r="K401" s="33">
        <f>IF(A401="","",COUNTIF(DATA_MASTER!$I$2:$I$5000,A401))</f>
        <v/>
      </c>
      <c r="L401" s="33">
        <f>IF(A401="","",COUNTIFS(DATA_MASTER!$I$2:$I$5000,A401,DATA_MASTER!$T$2:$T$5000,"Có"))</f>
        <v/>
      </c>
      <c r="M401" s="33">
        <f>IF(A401="","",COUNTIFS(ORDERS!$E$2:$E$4995,A401,ORDERS!$L$2:$L$4995,"Đã chuyển khoản"))</f>
        <v/>
      </c>
      <c r="N401" s="11" t="n"/>
    </row>
    <row r="402" ht="14.25" customHeight="1" s="40">
      <c r="A402" s="11" t="n"/>
      <c r="B402" s="11" t="n"/>
      <c r="C402" s="11" t="n"/>
      <c r="D402" s="11" t="n"/>
      <c r="E402" s="11" t="n"/>
      <c r="F402" s="11" t="n"/>
      <c r="G402" s="34" t="n"/>
      <c r="H402" s="11" t="n"/>
      <c r="I402" s="33">
        <f>IF(A402="","",DANH_MUC!$L$4&amp;"?ref="&amp;A402)</f>
        <v/>
      </c>
      <c r="J402" s="33">
        <f>IF(A402="","",IF(COUNTIF($A$2:$A$495,A402)&gt;1,"TRÙNG",""))</f>
        <v/>
      </c>
      <c r="K402" s="33">
        <f>IF(A402="","",COUNTIF(DATA_MASTER!$I$2:$I$5000,A402))</f>
        <v/>
      </c>
      <c r="L402" s="33">
        <f>IF(A402="","",COUNTIFS(DATA_MASTER!$I$2:$I$5000,A402,DATA_MASTER!$T$2:$T$5000,"Có"))</f>
        <v/>
      </c>
      <c r="M402" s="33">
        <f>IF(A402="","",COUNTIFS(ORDERS!$E$2:$E$4995,A402,ORDERS!$L$2:$L$4995,"Đã chuyển khoản"))</f>
        <v/>
      </c>
      <c r="N402" s="11" t="n"/>
    </row>
    <row r="403" ht="14.25" customHeight="1" s="40">
      <c r="A403" s="11" t="n"/>
      <c r="B403" s="11" t="n"/>
      <c r="C403" s="11" t="n"/>
      <c r="D403" s="11" t="n"/>
      <c r="E403" s="11" t="n"/>
      <c r="F403" s="11" t="n"/>
      <c r="G403" s="34" t="n"/>
      <c r="H403" s="11" t="n"/>
      <c r="I403" s="33">
        <f>IF(A403="","",DANH_MUC!$L$4&amp;"?ref="&amp;A403)</f>
        <v/>
      </c>
      <c r="J403" s="33">
        <f>IF(A403="","",IF(COUNTIF($A$2:$A$495,A403)&gt;1,"TRÙNG",""))</f>
        <v/>
      </c>
      <c r="K403" s="33">
        <f>IF(A403="","",COUNTIF(DATA_MASTER!$I$2:$I$5000,A403))</f>
        <v/>
      </c>
      <c r="L403" s="33">
        <f>IF(A403="","",COUNTIFS(DATA_MASTER!$I$2:$I$5000,A403,DATA_MASTER!$T$2:$T$5000,"Có"))</f>
        <v/>
      </c>
      <c r="M403" s="33">
        <f>IF(A403="","",COUNTIFS(ORDERS!$E$2:$E$4995,A403,ORDERS!$L$2:$L$4995,"Đã chuyển khoản"))</f>
        <v/>
      </c>
      <c r="N403" s="11" t="n"/>
    </row>
    <row r="404" ht="14.25" customHeight="1" s="40">
      <c r="A404" s="11" t="n"/>
      <c r="B404" s="11" t="n"/>
      <c r="C404" s="11" t="n"/>
      <c r="D404" s="11" t="n"/>
      <c r="E404" s="11" t="n"/>
      <c r="F404" s="11" t="n"/>
      <c r="G404" s="34" t="n"/>
      <c r="H404" s="11" t="n"/>
      <c r="I404" s="33">
        <f>IF(A404="","",DANH_MUC!$L$4&amp;"?ref="&amp;A404)</f>
        <v/>
      </c>
      <c r="J404" s="33">
        <f>IF(A404="","",IF(COUNTIF($A$2:$A$495,A404)&gt;1,"TRÙNG",""))</f>
        <v/>
      </c>
      <c r="K404" s="33">
        <f>IF(A404="","",COUNTIF(DATA_MASTER!$I$2:$I$5000,A404))</f>
        <v/>
      </c>
      <c r="L404" s="33">
        <f>IF(A404="","",COUNTIFS(DATA_MASTER!$I$2:$I$5000,A404,DATA_MASTER!$T$2:$T$5000,"Có"))</f>
        <v/>
      </c>
      <c r="M404" s="33">
        <f>IF(A404="","",COUNTIFS(ORDERS!$E$2:$E$4995,A404,ORDERS!$L$2:$L$4995,"Đã chuyển khoản"))</f>
        <v/>
      </c>
      <c r="N404" s="11" t="n"/>
    </row>
    <row r="405" ht="14.25" customHeight="1" s="40">
      <c r="A405" s="11" t="n"/>
      <c r="B405" s="11" t="n"/>
      <c r="C405" s="11" t="n"/>
      <c r="D405" s="11" t="n"/>
      <c r="E405" s="11" t="n"/>
      <c r="F405" s="11" t="n"/>
      <c r="G405" s="34" t="n"/>
      <c r="H405" s="11" t="n"/>
      <c r="I405" s="33">
        <f>IF(A405="","",DANH_MUC!$L$4&amp;"?ref="&amp;A405)</f>
        <v/>
      </c>
      <c r="J405" s="33">
        <f>IF(A405="","",IF(COUNTIF($A$2:$A$495,A405)&gt;1,"TRÙNG",""))</f>
        <v/>
      </c>
      <c r="K405" s="33">
        <f>IF(A405="","",COUNTIF(DATA_MASTER!$I$2:$I$5000,A405))</f>
        <v/>
      </c>
      <c r="L405" s="33">
        <f>IF(A405="","",COUNTIFS(DATA_MASTER!$I$2:$I$5000,A405,DATA_MASTER!$T$2:$T$5000,"Có"))</f>
        <v/>
      </c>
      <c r="M405" s="33">
        <f>IF(A405="","",COUNTIFS(ORDERS!$E$2:$E$4995,A405,ORDERS!$L$2:$L$4995,"Đã chuyển khoản"))</f>
        <v/>
      </c>
      <c r="N405" s="11" t="n"/>
    </row>
    <row r="406" ht="14.25" customHeight="1" s="40">
      <c r="A406" s="11" t="n"/>
      <c r="B406" s="11" t="n"/>
      <c r="C406" s="11" t="n"/>
      <c r="D406" s="11" t="n"/>
      <c r="E406" s="11" t="n"/>
      <c r="F406" s="11" t="n"/>
      <c r="G406" s="34" t="n"/>
      <c r="H406" s="11" t="n"/>
      <c r="I406" s="33">
        <f>IF(A406="","",DANH_MUC!$L$4&amp;"?ref="&amp;A406)</f>
        <v/>
      </c>
      <c r="J406" s="33">
        <f>IF(A406="","",IF(COUNTIF($A$2:$A$495,A406)&gt;1,"TRÙNG",""))</f>
        <v/>
      </c>
      <c r="K406" s="33">
        <f>IF(A406="","",COUNTIF(DATA_MASTER!$I$2:$I$5000,A406))</f>
        <v/>
      </c>
      <c r="L406" s="33">
        <f>IF(A406="","",COUNTIFS(DATA_MASTER!$I$2:$I$5000,A406,DATA_MASTER!$T$2:$T$5000,"Có"))</f>
        <v/>
      </c>
      <c r="M406" s="33">
        <f>IF(A406="","",COUNTIFS(ORDERS!$E$2:$E$4995,A406,ORDERS!$L$2:$L$4995,"Đã chuyển khoản"))</f>
        <v/>
      </c>
      <c r="N406" s="11" t="n"/>
    </row>
    <row r="407" ht="14.25" customHeight="1" s="40">
      <c r="A407" s="11" t="n"/>
      <c r="B407" s="11" t="n"/>
      <c r="C407" s="11" t="n"/>
      <c r="D407" s="11" t="n"/>
      <c r="E407" s="11" t="n"/>
      <c r="F407" s="11" t="n"/>
      <c r="G407" s="34" t="n"/>
      <c r="H407" s="11" t="n"/>
      <c r="I407" s="33">
        <f>IF(A407="","",DANH_MUC!$L$4&amp;"?ref="&amp;A407)</f>
        <v/>
      </c>
      <c r="J407" s="33">
        <f>IF(A407="","",IF(COUNTIF($A$2:$A$495,A407)&gt;1,"TRÙNG",""))</f>
        <v/>
      </c>
      <c r="K407" s="33">
        <f>IF(A407="","",COUNTIF(DATA_MASTER!$I$2:$I$5000,A407))</f>
        <v/>
      </c>
      <c r="L407" s="33">
        <f>IF(A407="","",COUNTIFS(DATA_MASTER!$I$2:$I$5000,A407,DATA_MASTER!$T$2:$T$5000,"Có"))</f>
        <v/>
      </c>
      <c r="M407" s="33">
        <f>IF(A407="","",COUNTIFS(ORDERS!$E$2:$E$4995,A407,ORDERS!$L$2:$L$4995,"Đã chuyển khoản"))</f>
        <v/>
      </c>
      <c r="N407" s="11" t="n"/>
    </row>
    <row r="408" ht="14.25" customHeight="1" s="40">
      <c r="A408" s="11" t="n"/>
      <c r="B408" s="11" t="n"/>
      <c r="C408" s="11" t="n"/>
      <c r="D408" s="11" t="n"/>
      <c r="E408" s="11" t="n"/>
      <c r="F408" s="11" t="n"/>
      <c r="G408" s="34" t="n"/>
      <c r="H408" s="11" t="n"/>
      <c r="I408" s="33">
        <f>IF(A408="","",DANH_MUC!$L$4&amp;"?ref="&amp;A408)</f>
        <v/>
      </c>
      <c r="J408" s="33">
        <f>IF(A408="","",IF(COUNTIF($A$2:$A$495,A408)&gt;1,"TRÙNG",""))</f>
        <v/>
      </c>
      <c r="K408" s="33">
        <f>IF(A408="","",COUNTIF(DATA_MASTER!$I$2:$I$5000,A408))</f>
        <v/>
      </c>
      <c r="L408" s="33">
        <f>IF(A408="","",COUNTIFS(DATA_MASTER!$I$2:$I$5000,A408,DATA_MASTER!$T$2:$T$5000,"Có"))</f>
        <v/>
      </c>
      <c r="M408" s="33">
        <f>IF(A408="","",COUNTIFS(ORDERS!$E$2:$E$4995,A408,ORDERS!$L$2:$L$4995,"Đã chuyển khoản"))</f>
        <v/>
      </c>
      <c r="N408" s="11" t="n"/>
    </row>
    <row r="409" ht="14.25" customHeight="1" s="40">
      <c r="A409" s="11" t="n"/>
      <c r="B409" s="11" t="n"/>
      <c r="C409" s="11" t="n"/>
      <c r="D409" s="11" t="n"/>
      <c r="E409" s="11" t="n"/>
      <c r="F409" s="11" t="n"/>
      <c r="G409" s="34" t="n"/>
      <c r="H409" s="11" t="n"/>
      <c r="I409" s="33">
        <f>IF(A409="","",DANH_MUC!$L$4&amp;"?ref="&amp;A409)</f>
        <v/>
      </c>
      <c r="J409" s="33">
        <f>IF(A409="","",IF(COUNTIF($A$2:$A$495,A409)&gt;1,"TRÙNG",""))</f>
        <v/>
      </c>
      <c r="K409" s="33">
        <f>IF(A409="","",COUNTIF(DATA_MASTER!$I$2:$I$5000,A409))</f>
        <v/>
      </c>
      <c r="L409" s="33">
        <f>IF(A409="","",COUNTIFS(DATA_MASTER!$I$2:$I$5000,A409,DATA_MASTER!$T$2:$T$5000,"Có"))</f>
        <v/>
      </c>
      <c r="M409" s="33">
        <f>IF(A409="","",COUNTIFS(ORDERS!$E$2:$E$4995,A409,ORDERS!$L$2:$L$4995,"Đã chuyển khoản"))</f>
        <v/>
      </c>
      <c r="N409" s="11" t="n"/>
    </row>
    <row r="410" ht="14.25" customHeight="1" s="40">
      <c r="A410" s="11" t="n"/>
      <c r="B410" s="11" t="n"/>
      <c r="C410" s="11" t="n"/>
      <c r="D410" s="11" t="n"/>
      <c r="E410" s="11" t="n"/>
      <c r="F410" s="11" t="n"/>
      <c r="G410" s="34" t="n"/>
      <c r="H410" s="11" t="n"/>
      <c r="I410" s="33">
        <f>IF(A410="","",DANH_MUC!$L$4&amp;"?ref="&amp;A410)</f>
        <v/>
      </c>
      <c r="J410" s="33">
        <f>IF(A410="","",IF(COUNTIF($A$2:$A$495,A410)&gt;1,"TRÙNG",""))</f>
        <v/>
      </c>
      <c r="K410" s="33">
        <f>IF(A410="","",COUNTIF(DATA_MASTER!$I$2:$I$5000,A410))</f>
        <v/>
      </c>
      <c r="L410" s="33">
        <f>IF(A410="","",COUNTIFS(DATA_MASTER!$I$2:$I$5000,A410,DATA_MASTER!$T$2:$T$5000,"Có"))</f>
        <v/>
      </c>
      <c r="M410" s="33">
        <f>IF(A410="","",COUNTIFS(ORDERS!$E$2:$E$4995,A410,ORDERS!$L$2:$L$4995,"Đã chuyển khoản"))</f>
        <v/>
      </c>
      <c r="N410" s="11" t="n"/>
    </row>
    <row r="411" ht="14.25" customHeight="1" s="40">
      <c r="A411" s="11" t="n"/>
      <c r="B411" s="11" t="n"/>
      <c r="C411" s="11" t="n"/>
      <c r="D411" s="11" t="n"/>
      <c r="E411" s="11" t="n"/>
      <c r="F411" s="11" t="n"/>
      <c r="G411" s="34" t="n"/>
      <c r="H411" s="11" t="n"/>
      <c r="I411" s="33">
        <f>IF(A411="","",DANH_MUC!$L$4&amp;"?ref="&amp;A411)</f>
        <v/>
      </c>
      <c r="J411" s="33">
        <f>IF(A411="","",IF(COUNTIF($A$2:$A$495,A411)&gt;1,"TRÙNG",""))</f>
        <v/>
      </c>
      <c r="K411" s="33">
        <f>IF(A411="","",COUNTIF(DATA_MASTER!$I$2:$I$5000,A411))</f>
        <v/>
      </c>
      <c r="L411" s="33">
        <f>IF(A411="","",COUNTIFS(DATA_MASTER!$I$2:$I$5000,A411,DATA_MASTER!$T$2:$T$5000,"Có"))</f>
        <v/>
      </c>
      <c r="M411" s="33">
        <f>IF(A411="","",COUNTIFS(ORDERS!$E$2:$E$4995,A411,ORDERS!$L$2:$L$4995,"Đã chuyển khoản"))</f>
        <v/>
      </c>
      <c r="N411" s="11" t="n"/>
    </row>
    <row r="412" ht="14.25" customHeight="1" s="40">
      <c r="A412" s="11" t="n"/>
      <c r="B412" s="11" t="n"/>
      <c r="C412" s="11" t="n"/>
      <c r="D412" s="11" t="n"/>
      <c r="E412" s="11" t="n"/>
      <c r="F412" s="11" t="n"/>
      <c r="G412" s="34" t="n"/>
      <c r="H412" s="11" t="n"/>
      <c r="I412" s="33">
        <f>IF(A412="","",DANH_MUC!$L$4&amp;"?ref="&amp;A412)</f>
        <v/>
      </c>
      <c r="J412" s="33">
        <f>IF(A412="","",IF(COUNTIF($A$2:$A$495,A412)&gt;1,"TRÙNG",""))</f>
        <v/>
      </c>
      <c r="K412" s="33">
        <f>IF(A412="","",COUNTIF(DATA_MASTER!$I$2:$I$5000,A412))</f>
        <v/>
      </c>
      <c r="L412" s="33">
        <f>IF(A412="","",COUNTIFS(DATA_MASTER!$I$2:$I$5000,A412,DATA_MASTER!$T$2:$T$5000,"Có"))</f>
        <v/>
      </c>
      <c r="M412" s="33">
        <f>IF(A412="","",COUNTIFS(ORDERS!$E$2:$E$4995,A412,ORDERS!$L$2:$L$4995,"Đã chuyển khoản"))</f>
        <v/>
      </c>
      <c r="N412" s="11" t="n"/>
    </row>
    <row r="413" ht="14.25" customHeight="1" s="40">
      <c r="A413" s="11" t="n"/>
      <c r="B413" s="11" t="n"/>
      <c r="C413" s="11" t="n"/>
      <c r="D413" s="11" t="n"/>
      <c r="E413" s="11" t="n"/>
      <c r="F413" s="11" t="n"/>
      <c r="G413" s="34" t="n"/>
      <c r="H413" s="11" t="n"/>
      <c r="I413" s="33">
        <f>IF(A413="","",DANH_MUC!$L$4&amp;"?ref="&amp;A413)</f>
        <v/>
      </c>
      <c r="J413" s="33">
        <f>IF(A413="","",IF(COUNTIF($A$2:$A$495,A413)&gt;1,"TRÙNG",""))</f>
        <v/>
      </c>
      <c r="K413" s="33">
        <f>IF(A413="","",COUNTIF(DATA_MASTER!$I$2:$I$5000,A413))</f>
        <v/>
      </c>
      <c r="L413" s="33">
        <f>IF(A413="","",COUNTIFS(DATA_MASTER!$I$2:$I$5000,A413,DATA_MASTER!$T$2:$T$5000,"Có"))</f>
        <v/>
      </c>
      <c r="M413" s="33">
        <f>IF(A413="","",COUNTIFS(ORDERS!$E$2:$E$4995,A413,ORDERS!$L$2:$L$4995,"Đã chuyển khoản"))</f>
        <v/>
      </c>
      <c r="N413" s="11" t="n"/>
    </row>
    <row r="414" ht="14.25" customHeight="1" s="40">
      <c r="A414" s="11" t="n"/>
      <c r="B414" s="11" t="n"/>
      <c r="C414" s="11" t="n"/>
      <c r="D414" s="11" t="n"/>
      <c r="E414" s="11" t="n"/>
      <c r="F414" s="11" t="n"/>
      <c r="G414" s="34" t="n"/>
      <c r="H414" s="11" t="n"/>
      <c r="I414" s="33">
        <f>IF(A414="","",DANH_MUC!$L$4&amp;"?ref="&amp;A414)</f>
        <v/>
      </c>
      <c r="J414" s="33">
        <f>IF(A414="","",IF(COUNTIF($A$2:$A$495,A414)&gt;1,"TRÙNG",""))</f>
        <v/>
      </c>
      <c r="K414" s="33">
        <f>IF(A414="","",COUNTIF(DATA_MASTER!$I$2:$I$5000,A414))</f>
        <v/>
      </c>
      <c r="L414" s="33">
        <f>IF(A414="","",COUNTIFS(DATA_MASTER!$I$2:$I$5000,A414,DATA_MASTER!$T$2:$T$5000,"Có"))</f>
        <v/>
      </c>
      <c r="M414" s="33">
        <f>IF(A414="","",COUNTIFS(ORDERS!$E$2:$E$4995,A414,ORDERS!$L$2:$L$4995,"Đã chuyển khoản"))</f>
        <v/>
      </c>
      <c r="N414" s="11" t="n"/>
    </row>
    <row r="415" ht="14.25" customHeight="1" s="40">
      <c r="A415" s="11" t="n"/>
      <c r="B415" s="11" t="n"/>
      <c r="C415" s="11" t="n"/>
      <c r="D415" s="11" t="n"/>
      <c r="E415" s="11" t="n"/>
      <c r="F415" s="11" t="n"/>
      <c r="G415" s="34" t="n"/>
      <c r="H415" s="11" t="n"/>
      <c r="I415" s="33">
        <f>IF(A415="","",DANH_MUC!$L$4&amp;"?ref="&amp;A415)</f>
        <v/>
      </c>
      <c r="J415" s="33">
        <f>IF(A415="","",IF(COUNTIF($A$2:$A$495,A415)&gt;1,"TRÙNG",""))</f>
        <v/>
      </c>
      <c r="K415" s="33">
        <f>IF(A415="","",COUNTIF(DATA_MASTER!$I$2:$I$5000,A415))</f>
        <v/>
      </c>
      <c r="L415" s="33">
        <f>IF(A415="","",COUNTIFS(DATA_MASTER!$I$2:$I$5000,A415,DATA_MASTER!$T$2:$T$5000,"Có"))</f>
        <v/>
      </c>
      <c r="M415" s="33">
        <f>IF(A415="","",COUNTIFS(ORDERS!$E$2:$E$4995,A415,ORDERS!$L$2:$L$4995,"Đã chuyển khoản"))</f>
        <v/>
      </c>
      <c r="N415" s="11" t="n"/>
    </row>
    <row r="416" ht="14.25" customHeight="1" s="40">
      <c r="A416" s="11" t="n"/>
      <c r="B416" s="11" t="n"/>
      <c r="C416" s="11" t="n"/>
      <c r="D416" s="11" t="n"/>
      <c r="E416" s="11" t="n"/>
      <c r="F416" s="11" t="n"/>
      <c r="G416" s="34" t="n"/>
      <c r="H416" s="11" t="n"/>
      <c r="I416" s="33">
        <f>IF(A416="","",DANH_MUC!$L$4&amp;"?ref="&amp;A416)</f>
        <v/>
      </c>
      <c r="J416" s="33">
        <f>IF(A416="","",IF(COUNTIF($A$2:$A$495,A416)&gt;1,"TRÙNG",""))</f>
        <v/>
      </c>
      <c r="K416" s="33">
        <f>IF(A416="","",COUNTIF(DATA_MASTER!$I$2:$I$5000,A416))</f>
        <v/>
      </c>
      <c r="L416" s="33">
        <f>IF(A416="","",COUNTIFS(DATA_MASTER!$I$2:$I$5000,A416,DATA_MASTER!$T$2:$T$5000,"Có"))</f>
        <v/>
      </c>
      <c r="M416" s="33">
        <f>IF(A416="","",COUNTIFS(ORDERS!$E$2:$E$4995,A416,ORDERS!$L$2:$L$4995,"Đã chuyển khoản"))</f>
        <v/>
      </c>
      <c r="N416" s="11" t="n"/>
    </row>
    <row r="417" ht="14.25" customHeight="1" s="40">
      <c r="A417" s="11" t="n"/>
      <c r="B417" s="11" t="n"/>
      <c r="C417" s="11" t="n"/>
      <c r="D417" s="11" t="n"/>
      <c r="E417" s="11" t="n"/>
      <c r="F417" s="11" t="n"/>
      <c r="G417" s="34" t="n"/>
      <c r="H417" s="11" t="n"/>
      <c r="I417" s="33">
        <f>IF(A417="","",DANH_MUC!$L$4&amp;"?ref="&amp;A417)</f>
        <v/>
      </c>
      <c r="J417" s="33">
        <f>IF(A417="","",IF(COUNTIF($A$2:$A$495,A417)&gt;1,"TRÙNG",""))</f>
        <v/>
      </c>
      <c r="K417" s="33">
        <f>IF(A417="","",COUNTIF(DATA_MASTER!$I$2:$I$5000,A417))</f>
        <v/>
      </c>
      <c r="L417" s="33">
        <f>IF(A417="","",COUNTIFS(DATA_MASTER!$I$2:$I$5000,A417,DATA_MASTER!$T$2:$T$5000,"Có"))</f>
        <v/>
      </c>
      <c r="M417" s="33">
        <f>IF(A417="","",COUNTIFS(ORDERS!$E$2:$E$4995,A417,ORDERS!$L$2:$L$4995,"Đã chuyển khoản"))</f>
        <v/>
      </c>
      <c r="N417" s="11" t="n"/>
    </row>
    <row r="418" ht="14.25" customHeight="1" s="40">
      <c r="A418" s="11" t="n"/>
      <c r="B418" s="11" t="n"/>
      <c r="C418" s="11" t="n"/>
      <c r="D418" s="11" t="n"/>
      <c r="E418" s="11" t="n"/>
      <c r="F418" s="11" t="n"/>
      <c r="G418" s="34" t="n"/>
      <c r="H418" s="11" t="n"/>
      <c r="I418" s="33">
        <f>IF(A418="","",DANH_MUC!$L$4&amp;"?ref="&amp;A418)</f>
        <v/>
      </c>
      <c r="J418" s="33">
        <f>IF(A418="","",IF(COUNTIF($A$2:$A$495,A418)&gt;1,"TRÙNG",""))</f>
        <v/>
      </c>
      <c r="K418" s="33">
        <f>IF(A418="","",COUNTIF(DATA_MASTER!$I$2:$I$5000,A418))</f>
        <v/>
      </c>
      <c r="L418" s="33">
        <f>IF(A418="","",COUNTIFS(DATA_MASTER!$I$2:$I$5000,A418,DATA_MASTER!$T$2:$T$5000,"Có"))</f>
        <v/>
      </c>
      <c r="M418" s="33">
        <f>IF(A418="","",COUNTIFS(ORDERS!$E$2:$E$4995,A418,ORDERS!$L$2:$L$4995,"Đã chuyển khoản"))</f>
        <v/>
      </c>
      <c r="N418" s="11" t="n"/>
    </row>
    <row r="419" ht="14.25" customHeight="1" s="40">
      <c r="A419" s="11" t="n"/>
      <c r="B419" s="11" t="n"/>
      <c r="C419" s="11" t="n"/>
      <c r="D419" s="11" t="n"/>
      <c r="E419" s="11" t="n"/>
      <c r="F419" s="11" t="n"/>
      <c r="G419" s="34" t="n"/>
      <c r="H419" s="11" t="n"/>
      <c r="I419" s="33">
        <f>IF(A419="","",DANH_MUC!$L$4&amp;"?ref="&amp;A419)</f>
        <v/>
      </c>
      <c r="J419" s="33">
        <f>IF(A419="","",IF(COUNTIF($A$2:$A$495,A419)&gt;1,"TRÙNG",""))</f>
        <v/>
      </c>
      <c r="K419" s="33">
        <f>IF(A419="","",COUNTIF(DATA_MASTER!$I$2:$I$5000,A419))</f>
        <v/>
      </c>
      <c r="L419" s="33">
        <f>IF(A419="","",COUNTIFS(DATA_MASTER!$I$2:$I$5000,A419,DATA_MASTER!$T$2:$T$5000,"Có"))</f>
        <v/>
      </c>
      <c r="M419" s="33">
        <f>IF(A419="","",COUNTIFS(ORDERS!$E$2:$E$4995,A419,ORDERS!$L$2:$L$4995,"Đã chuyển khoản"))</f>
        <v/>
      </c>
      <c r="N419" s="11" t="n"/>
    </row>
    <row r="420" ht="14.25" customHeight="1" s="40">
      <c r="A420" s="11" t="n"/>
      <c r="B420" s="11" t="n"/>
      <c r="C420" s="11" t="n"/>
      <c r="D420" s="11" t="n"/>
      <c r="E420" s="11" t="n"/>
      <c r="F420" s="11" t="n"/>
      <c r="G420" s="34" t="n"/>
      <c r="H420" s="11" t="n"/>
      <c r="I420" s="33">
        <f>IF(A420="","",DANH_MUC!$L$4&amp;"?ref="&amp;A420)</f>
        <v/>
      </c>
      <c r="J420" s="33">
        <f>IF(A420="","",IF(COUNTIF($A$2:$A$495,A420)&gt;1,"TRÙNG",""))</f>
        <v/>
      </c>
      <c r="K420" s="33">
        <f>IF(A420="","",COUNTIF(DATA_MASTER!$I$2:$I$5000,A420))</f>
        <v/>
      </c>
      <c r="L420" s="33">
        <f>IF(A420="","",COUNTIFS(DATA_MASTER!$I$2:$I$5000,A420,DATA_MASTER!$T$2:$T$5000,"Có"))</f>
        <v/>
      </c>
      <c r="M420" s="33">
        <f>IF(A420="","",COUNTIFS(ORDERS!$E$2:$E$4995,A420,ORDERS!$L$2:$L$4995,"Đã chuyển khoản"))</f>
        <v/>
      </c>
      <c r="N420" s="11" t="n"/>
    </row>
    <row r="421" ht="14.25" customHeight="1" s="40">
      <c r="A421" s="11" t="n"/>
      <c r="B421" s="11" t="n"/>
      <c r="C421" s="11" t="n"/>
      <c r="D421" s="11" t="n"/>
      <c r="E421" s="11" t="n"/>
      <c r="F421" s="11" t="n"/>
      <c r="G421" s="34" t="n"/>
      <c r="H421" s="11" t="n"/>
      <c r="I421" s="33">
        <f>IF(A421="","",DANH_MUC!$L$4&amp;"?ref="&amp;A421)</f>
        <v/>
      </c>
      <c r="J421" s="33">
        <f>IF(A421="","",IF(COUNTIF($A$2:$A$495,A421)&gt;1,"TRÙNG",""))</f>
        <v/>
      </c>
      <c r="K421" s="33">
        <f>IF(A421="","",COUNTIF(DATA_MASTER!$I$2:$I$5000,A421))</f>
        <v/>
      </c>
      <c r="L421" s="33">
        <f>IF(A421="","",COUNTIFS(DATA_MASTER!$I$2:$I$5000,A421,DATA_MASTER!$T$2:$T$5000,"Có"))</f>
        <v/>
      </c>
      <c r="M421" s="33">
        <f>IF(A421="","",COUNTIFS(ORDERS!$E$2:$E$4995,A421,ORDERS!$L$2:$L$4995,"Đã chuyển khoản"))</f>
        <v/>
      </c>
      <c r="N421" s="11" t="n"/>
    </row>
    <row r="422" ht="14.25" customHeight="1" s="40">
      <c r="A422" s="11" t="n"/>
      <c r="B422" s="11" t="n"/>
      <c r="C422" s="11" t="n"/>
      <c r="D422" s="11" t="n"/>
      <c r="E422" s="11" t="n"/>
      <c r="F422" s="11" t="n"/>
      <c r="G422" s="34" t="n"/>
      <c r="H422" s="11" t="n"/>
      <c r="I422" s="33">
        <f>IF(A422="","",DANH_MUC!$L$4&amp;"?ref="&amp;A422)</f>
        <v/>
      </c>
      <c r="J422" s="33">
        <f>IF(A422="","",IF(COUNTIF($A$2:$A$495,A422)&gt;1,"TRÙNG",""))</f>
        <v/>
      </c>
      <c r="K422" s="33">
        <f>IF(A422="","",COUNTIF(DATA_MASTER!$I$2:$I$5000,A422))</f>
        <v/>
      </c>
      <c r="L422" s="33">
        <f>IF(A422="","",COUNTIFS(DATA_MASTER!$I$2:$I$5000,A422,DATA_MASTER!$T$2:$T$5000,"Có"))</f>
        <v/>
      </c>
      <c r="M422" s="33">
        <f>IF(A422="","",COUNTIFS(ORDERS!$E$2:$E$4995,A422,ORDERS!$L$2:$L$4995,"Đã chuyển khoản"))</f>
        <v/>
      </c>
      <c r="N422" s="11" t="n"/>
    </row>
    <row r="423" ht="14.25" customHeight="1" s="40">
      <c r="A423" s="11" t="n"/>
      <c r="B423" s="11" t="n"/>
      <c r="C423" s="11" t="n"/>
      <c r="D423" s="11" t="n"/>
      <c r="E423" s="11" t="n"/>
      <c r="F423" s="11" t="n"/>
      <c r="G423" s="34" t="n"/>
      <c r="H423" s="11" t="n"/>
      <c r="I423" s="33">
        <f>IF(A423="","",DANH_MUC!$L$4&amp;"?ref="&amp;A423)</f>
        <v/>
      </c>
      <c r="J423" s="33">
        <f>IF(A423="","",IF(COUNTIF($A$2:$A$495,A423)&gt;1,"TRÙNG",""))</f>
        <v/>
      </c>
      <c r="K423" s="33">
        <f>IF(A423="","",COUNTIF(DATA_MASTER!$I$2:$I$5000,A423))</f>
        <v/>
      </c>
      <c r="L423" s="33">
        <f>IF(A423="","",COUNTIFS(DATA_MASTER!$I$2:$I$5000,A423,DATA_MASTER!$T$2:$T$5000,"Có"))</f>
        <v/>
      </c>
      <c r="M423" s="33">
        <f>IF(A423="","",COUNTIFS(ORDERS!$E$2:$E$4995,A423,ORDERS!$L$2:$L$4995,"Đã chuyển khoản"))</f>
        <v/>
      </c>
      <c r="N423" s="11" t="n"/>
    </row>
    <row r="424" ht="14.25" customHeight="1" s="40">
      <c r="A424" s="11" t="n"/>
      <c r="B424" s="11" t="n"/>
      <c r="C424" s="11" t="n"/>
      <c r="D424" s="11" t="n"/>
      <c r="E424" s="11" t="n"/>
      <c r="F424" s="11" t="n"/>
      <c r="G424" s="34" t="n"/>
      <c r="H424" s="11" t="n"/>
      <c r="I424" s="33">
        <f>IF(A424="","",DANH_MUC!$L$4&amp;"?ref="&amp;A424)</f>
        <v/>
      </c>
      <c r="J424" s="33">
        <f>IF(A424="","",IF(COUNTIF($A$2:$A$495,A424)&gt;1,"TRÙNG",""))</f>
        <v/>
      </c>
      <c r="K424" s="33">
        <f>IF(A424="","",COUNTIF(DATA_MASTER!$I$2:$I$5000,A424))</f>
        <v/>
      </c>
      <c r="L424" s="33">
        <f>IF(A424="","",COUNTIFS(DATA_MASTER!$I$2:$I$5000,A424,DATA_MASTER!$T$2:$T$5000,"Có"))</f>
        <v/>
      </c>
      <c r="M424" s="33">
        <f>IF(A424="","",COUNTIFS(ORDERS!$E$2:$E$4995,A424,ORDERS!$L$2:$L$4995,"Đã chuyển khoản"))</f>
        <v/>
      </c>
      <c r="N424" s="11" t="n"/>
    </row>
    <row r="425" ht="14.25" customHeight="1" s="40">
      <c r="A425" s="11" t="n"/>
      <c r="B425" s="11" t="n"/>
      <c r="C425" s="11" t="n"/>
      <c r="D425" s="11" t="n"/>
      <c r="E425" s="11" t="n"/>
      <c r="F425" s="11" t="n"/>
      <c r="G425" s="34" t="n"/>
      <c r="H425" s="11" t="n"/>
      <c r="I425" s="33">
        <f>IF(A425="","",DANH_MUC!$L$4&amp;"?ref="&amp;A425)</f>
        <v/>
      </c>
      <c r="J425" s="33">
        <f>IF(A425="","",IF(COUNTIF($A$2:$A$495,A425)&gt;1,"TRÙNG",""))</f>
        <v/>
      </c>
      <c r="K425" s="33">
        <f>IF(A425="","",COUNTIF(DATA_MASTER!$I$2:$I$5000,A425))</f>
        <v/>
      </c>
      <c r="L425" s="33">
        <f>IF(A425="","",COUNTIFS(DATA_MASTER!$I$2:$I$5000,A425,DATA_MASTER!$T$2:$T$5000,"Có"))</f>
        <v/>
      </c>
      <c r="M425" s="33">
        <f>IF(A425="","",COUNTIFS(ORDERS!$E$2:$E$4995,A425,ORDERS!$L$2:$L$4995,"Đã chuyển khoản"))</f>
        <v/>
      </c>
      <c r="N425" s="11" t="n"/>
    </row>
    <row r="426" ht="14.25" customHeight="1" s="40">
      <c r="A426" s="11" t="n"/>
      <c r="B426" s="11" t="n"/>
      <c r="C426" s="11" t="n"/>
      <c r="D426" s="11" t="n"/>
      <c r="E426" s="11" t="n"/>
      <c r="F426" s="11" t="n"/>
      <c r="G426" s="34" t="n"/>
      <c r="H426" s="11" t="n"/>
      <c r="I426" s="33">
        <f>IF(A426="","",DANH_MUC!$L$4&amp;"?ref="&amp;A426)</f>
        <v/>
      </c>
      <c r="J426" s="33">
        <f>IF(A426="","",IF(COUNTIF($A$2:$A$495,A426)&gt;1,"TRÙNG",""))</f>
        <v/>
      </c>
      <c r="K426" s="33">
        <f>IF(A426="","",COUNTIF(DATA_MASTER!$I$2:$I$5000,A426))</f>
        <v/>
      </c>
      <c r="L426" s="33">
        <f>IF(A426="","",COUNTIFS(DATA_MASTER!$I$2:$I$5000,A426,DATA_MASTER!$T$2:$T$5000,"Có"))</f>
        <v/>
      </c>
      <c r="M426" s="33">
        <f>IF(A426="","",COUNTIFS(ORDERS!$E$2:$E$4995,A426,ORDERS!$L$2:$L$4995,"Đã chuyển khoản"))</f>
        <v/>
      </c>
      <c r="N426" s="11" t="n"/>
    </row>
    <row r="427" ht="14.25" customHeight="1" s="40">
      <c r="A427" s="11" t="n"/>
      <c r="B427" s="11" t="n"/>
      <c r="C427" s="11" t="n"/>
      <c r="D427" s="11" t="n"/>
      <c r="E427" s="11" t="n"/>
      <c r="F427" s="11" t="n"/>
      <c r="G427" s="34" t="n"/>
      <c r="H427" s="11" t="n"/>
      <c r="I427" s="33">
        <f>IF(A427="","",DANH_MUC!$L$4&amp;"?ref="&amp;A427)</f>
        <v/>
      </c>
      <c r="J427" s="33">
        <f>IF(A427="","",IF(COUNTIF($A$2:$A$495,A427)&gt;1,"TRÙNG",""))</f>
        <v/>
      </c>
      <c r="K427" s="33">
        <f>IF(A427="","",COUNTIF(DATA_MASTER!$I$2:$I$5000,A427))</f>
        <v/>
      </c>
      <c r="L427" s="33">
        <f>IF(A427="","",COUNTIFS(DATA_MASTER!$I$2:$I$5000,A427,DATA_MASTER!$T$2:$T$5000,"Có"))</f>
        <v/>
      </c>
      <c r="M427" s="33">
        <f>IF(A427="","",COUNTIFS(ORDERS!$E$2:$E$4995,A427,ORDERS!$L$2:$L$4995,"Đã chuyển khoản"))</f>
        <v/>
      </c>
      <c r="N427" s="11" t="n"/>
    </row>
    <row r="428" ht="14.25" customHeight="1" s="40">
      <c r="A428" s="11" t="n"/>
      <c r="B428" s="11" t="n"/>
      <c r="C428" s="11" t="n"/>
      <c r="D428" s="11" t="n"/>
      <c r="E428" s="11" t="n"/>
      <c r="F428" s="11" t="n"/>
      <c r="G428" s="34" t="n"/>
      <c r="H428" s="11" t="n"/>
      <c r="I428" s="33">
        <f>IF(A428="","",DANH_MUC!$L$4&amp;"?ref="&amp;A428)</f>
        <v/>
      </c>
      <c r="J428" s="33">
        <f>IF(A428="","",IF(COUNTIF($A$2:$A$495,A428)&gt;1,"TRÙNG",""))</f>
        <v/>
      </c>
      <c r="K428" s="33">
        <f>IF(A428="","",COUNTIF(DATA_MASTER!$I$2:$I$5000,A428))</f>
        <v/>
      </c>
      <c r="L428" s="33">
        <f>IF(A428="","",COUNTIFS(DATA_MASTER!$I$2:$I$5000,A428,DATA_MASTER!$T$2:$T$5000,"Có"))</f>
        <v/>
      </c>
      <c r="M428" s="33">
        <f>IF(A428="","",COUNTIFS(ORDERS!$E$2:$E$4995,A428,ORDERS!$L$2:$L$4995,"Đã chuyển khoản"))</f>
        <v/>
      </c>
      <c r="N428" s="11" t="n"/>
    </row>
    <row r="429" ht="14.25" customHeight="1" s="40">
      <c r="A429" s="11" t="n"/>
      <c r="B429" s="11" t="n"/>
      <c r="C429" s="11" t="n"/>
      <c r="D429" s="11" t="n"/>
      <c r="E429" s="11" t="n"/>
      <c r="F429" s="11" t="n"/>
      <c r="G429" s="34" t="n"/>
      <c r="H429" s="11" t="n"/>
      <c r="I429" s="33">
        <f>IF(A429="","",DANH_MUC!$L$4&amp;"?ref="&amp;A429)</f>
        <v/>
      </c>
      <c r="J429" s="33">
        <f>IF(A429="","",IF(COUNTIF($A$2:$A$495,A429)&gt;1,"TRÙNG",""))</f>
        <v/>
      </c>
      <c r="K429" s="33">
        <f>IF(A429="","",COUNTIF(DATA_MASTER!$I$2:$I$5000,A429))</f>
        <v/>
      </c>
      <c r="L429" s="33">
        <f>IF(A429="","",COUNTIFS(DATA_MASTER!$I$2:$I$5000,A429,DATA_MASTER!$T$2:$T$5000,"Có"))</f>
        <v/>
      </c>
      <c r="M429" s="33">
        <f>IF(A429="","",COUNTIFS(ORDERS!$E$2:$E$4995,A429,ORDERS!$L$2:$L$4995,"Đã chuyển khoản"))</f>
        <v/>
      </c>
      <c r="N429" s="11" t="n"/>
    </row>
    <row r="430" ht="14.25" customHeight="1" s="40">
      <c r="A430" s="11" t="n"/>
      <c r="B430" s="11" t="n"/>
      <c r="C430" s="11" t="n"/>
      <c r="D430" s="11" t="n"/>
      <c r="E430" s="11" t="n"/>
      <c r="F430" s="11" t="n"/>
      <c r="G430" s="34" t="n"/>
      <c r="H430" s="11" t="n"/>
      <c r="I430" s="33">
        <f>IF(A430="","",DANH_MUC!$L$4&amp;"?ref="&amp;A430)</f>
        <v/>
      </c>
      <c r="J430" s="33">
        <f>IF(A430="","",IF(COUNTIF($A$2:$A$495,A430)&gt;1,"TRÙNG",""))</f>
        <v/>
      </c>
      <c r="K430" s="33">
        <f>IF(A430="","",COUNTIF(DATA_MASTER!$I$2:$I$5000,A430))</f>
        <v/>
      </c>
      <c r="L430" s="33">
        <f>IF(A430="","",COUNTIFS(DATA_MASTER!$I$2:$I$5000,A430,DATA_MASTER!$T$2:$T$5000,"Có"))</f>
        <v/>
      </c>
      <c r="M430" s="33">
        <f>IF(A430="","",COUNTIFS(ORDERS!$E$2:$E$4995,A430,ORDERS!$L$2:$L$4995,"Đã chuyển khoản"))</f>
        <v/>
      </c>
      <c r="N430" s="11" t="n"/>
    </row>
    <row r="431" ht="14.25" customHeight="1" s="40">
      <c r="A431" s="11" t="n"/>
      <c r="B431" s="11" t="n"/>
      <c r="C431" s="11" t="n"/>
      <c r="D431" s="11" t="n"/>
      <c r="E431" s="11" t="n"/>
      <c r="F431" s="11" t="n"/>
      <c r="G431" s="34" t="n"/>
      <c r="H431" s="11" t="n"/>
      <c r="I431" s="33">
        <f>IF(A431="","",DANH_MUC!$L$4&amp;"?ref="&amp;A431)</f>
        <v/>
      </c>
      <c r="J431" s="33">
        <f>IF(A431="","",IF(COUNTIF($A$2:$A$495,A431)&gt;1,"TRÙNG",""))</f>
        <v/>
      </c>
      <c r="K431" s="33">
        <f>IF(A431="","",COUNTIF(DATA_MASTER!$I$2:$I$5000,A431))</f>
        <v/>
      </c>
      <c r="L431" s="33">
        <f>IF(A431="","",COUNTIFS(DATA_MASTER!$I$2:$I$5000,A431,DATA_MASTER!$T$2:$T$5000,"Có"))</f>
        <v/>
      </c>
      <c r="M431" s="33">
        <f>IF(A431="","",COUNTIFS(ORDERS!$E$2:$E$4995,A431,ORDERS!$L$2:$L$4995,"Đã chuyển khoản"))</f>
        <v/>
      </c>
      <c r="N431" s="11" t="n"/>
    </row>
    <row r="432" ht="14.25" customHeight="1" s="40">
      <c r="A432" s="11" t="n"/>
      <c r="B432" s="11" t="n"/>
      <c r="C432" s="11" t="n"/>
      <c r="D432" s="11" t="n"/>
      <c r="E432" s="11" t="n"/>
      <c r="F432" s="11" t="n"/>
      <c r="G432" s="34" t="n"/>
      <c r="H432" s="11" t="n"/>
      <c r="I432" s="33">
        <f>IF(A432="","",DANH_MUC!$L$4&amp;"?ref="&amp;A432)</f>
        <v/>
      </c>
      <c r="J432" s="33">
        <f>IF(A432="","",IF(COUNTIF($A$2:$A$495,A432)&gt;1,"TRÙNG",""))</f>
        <v/>
      </c>
      <c r="K432" s="33">
        <f>IF(A432="","",COUNTIF(DATA_MASTER!$I$2:$I$5000,A432))</f>
        <v/>
      </c>
      <c r="L432" s="33">
        <f>IF(A432="","",COUNTIFS(DATA_MASTER!$I$2:$I$5000,A432,DATA_MASTER!$T$2:$T$5000,"Có"))</f>
        <v/>
      </c>
      <c r="M432" s="33">
        <f>IF(A432="","",COUNTIFS(ORDERS!$E$2:$E$4995,A432,ORDERS!$L$2:$L$4995,"Đã chuyển khoản"))</f>
        <v/>
      </c>
      <c r="N432" s="11" t="n"/>
    </row>
    <row r="433" ht="14.25" customHeight="1" s="40">
      <c r="A433" s="11" t="n"/>
      <c r="B433" s="11" t="n"/>
      <c r="C433" s="11" t="n"/>
      <c r="D433" s="11" t="n"/>
      <c r="E433" s="11" t="n"/>
      <c r="F433" s="11" t="n"/>
      <c r="G433" s="34" t="n"/>
      <c r="H433" s="11" t="n"/>
      <c r="I433" s="33">
        <f>IF(A433="","",DANH_MUC!$L$4&amp;"?ref="&amp;A433)</f>
        <v/>
      </c>
      <c r="J433" s="33">
        <f>IF(A433="","",IF(COUNTIF($A$2:$A$495,A433)&gt;1,"TRÙNG",""))</f>
        <v/>
      </c>
      <c r="K433" s="33">
        <f>IF(A433="","",COUNTIF(DATA_MASTER!$I$2:$I$5000,A433))</f>
        <v/>
      </c>
      <c r="L433" s="33">
        <f>IF(A433="","",COUNTIFS(DATA_MASTER!$I$2:$I$5000,A433,DATA_MASTER!$T$2:$T$5000,"Có"))</f>
        <v/>
      </c>
      <c r="M433" s="33">
        <f>IF(A433="","",COUNTIFS(ORDERS!$E$2:$E$4995,A433,ORDERS!$L$2:$L$4995,"Đã chuyển khoản"))</f>
        <v/>
      </c>
      <c r="N433" s="11" t="n"/>
    </row>
    <row r="434" ht="14.25" customHeight="1" s="40">
      <c r="A434" s="11" t="n"/>
      <c r="B434" s="11" t="n"/>
      <c r="C434" s="11" t="n"/>
      <c r="D434" s="11" t="n"/>
      <c r="E434" s="11" t="n"/>
      <c r="F434" s="11" t="n"/>
      <c r="G434" s="34" t="n"/>
      <c r="H434" s="11" t="n"/>
      <c r="I434" s="33">
        <f>IF(A434="","",DANH_MUC!$L$4&amp;"?ref="&amp;A434)</f>
        <v/>
      </c>
      <c r="J434" s="33">
        <f>IF(A434="","",IF(COUNTIF($A$2:$A$495,A434)&gt;1,"TRÙNG",""))</f>
        <v/>
      </c>
      <c r="K434" s="33">
        <f>IF(A434="","",COUNTIF(DATA_MASTER!$I$2:$I$5000,A434))</f>
        <v/>
      </c>
      <c r="L434" s="33">
        <f>IF(A434="","",COUNTIFS(DATA_MASTER!$I$2:$I$5000,A434,DATA_MASTER!$T$2:$T$5000,"Có"))</f>
        <v/>
      </c>
      <c r="M434" s="33">
        <f>IF(A434="","",COUNTIFS(ORDERS!$E$2:$E$4995,A434,ORDERS!$L$2:$L$4995,"Đã chuyển khoản"))</f>
        <v/>
      </c>
      <c r="N434" s="11" t="n"/>
    </row>
    <row r="435" ht="14.25" customHeight="1" s="40">
      <c r="A435" s="11" t="n"/>
      <c r="B435" s="11" t="n"/>
      <c r="C435" s="11" t="n"/>
      <c r="D435" s="11" t="n"/>
      <c r="E435" s="11" t="n"/>
      <c r="F435" s="11" t="n"/>
      <c r="G435" s="34" t="n"/>
      <c r="H435" s="11" t="n"/>
      <c r="I435" s="33">
        <f>IF(A435="","",DANH_MUC!$L$4&amp;"?ref="&amp;A435)</f>
        <v/>
      </c>
      <c r="J435" s="33">
        <f>IF(A435="","",IF(COUNTIF($A$2:$A$495,A435)&gt;1,"TRÙNG",""))</f>
        <v/>
      </c>
      <c r="K435" s="33">
        <f>IF(A435="","",COUNTIF(DATA_MASTER!$I$2:$I$5000,A435))</f>
        <v/>
      </c>
      <c r="L435" s="33">
        <f>IF(A435="","",COUNTIFS(DATA_MASTER!$I$2:$I$5000,A435,DATA_MASTER!$T$2:$T$5000,"Có"))</f>
        <v/>
      </c>
      <c r="M435" s="33">
        <f>IF(A435="","",COUNTIFS(ORDERS!$E$2:$E$4995,A435,ORDERS!$L$2:$L$4995,"Đã chuyển khoản"))</f>
        <v/>
      </c>
      <c r="N435" s="11" t="n"/>
    </row>
    <row r="436" ht="14.25" customHeight="1" s="40">
      <c r="A436" s="11" t="n"/>
      <c r="B436" s="11" t="n"/>
      <c r="C436" s="11" t="n"/>
      <c r="D436" s="11" t="n"/>
      <c r="E436" s="11" t="n"/>
      <c r="F436" s="11" t="n"/>
      <c r="G436" s="34" t="n"/>
      <c r="H436" s="11" t="n"/>
      <c r="I436" s="33">
        <f>IF(A436="","",DANH_MUC!$L$4&amp;"?ref="&amp;A436)</f>
        <v/>
      </c>
      <c r="J436" s="33">
        <f>IF(A436="","",IF(COUNTIF($A$2:$A$495,A436)&gt;1,"TRÙNG",""))</f>
        <v/>
      </c>
      <c r="K436" s="33">
        <f>IF(A436="","",COUNTIF(DATA_MASTER!$I$2:$I$5000,A436))</f>
        <v/>
      </c>
      <c r="L436" s="33">
        <f>IF(A436="","",COUNTIFS(DATA_MASTER!$I$2:$I$5000,A436,DATA_MASTER!$T$2:$T$5000,"Có"))</f>
        <v/>
      </c>
      <c r="M436" s="33">
        <f>IF(A436="","",COUNTIFS(ORDERS!$E$2:$E$4995,A436,ORDERS!$L$2:$L$4995,"Đã chuyển khoản"))</f>
        <v/>
      </c>
      <c r="N436" s="11" t="n"/>
    </row>
    <row r="437" ht="14.25" customHeight="1" s="40">
      <c r="A437" s="11" t="n"/>
      <c r="B437" s="11" t="n"/>
      <c r="C437" s="11" t="n"/>
      <c r="D437" s="11" t="n"/>
      <c r="E437" s="11" t="n"/>
      <c r="F437" s="11" t="n"/>
      <c r="G437" s="34" t="n"/>
      <c r="H437" s="11" t="n"/>
      <c r="I437" s="33">
        <f>IF(A437="","",DANH_MUC!$L$4&amp;"?ref="&amp;A437)</f>
        <v/>
      </c>
      <c r="J437" s="33">
        <f>IF(A437="","",IF(COUNTIF($A$2:$A$495,A437)&gt;1,"TRÙNG",""))</f>
        <v/>
      </c>
      <c r="K437" s="33">
        <f>IF(A437="","",COUNTIF(DATA_MASTER!$I$2:$I$5000,A437))</f>
        <v/>
      </c>
      <c r="L437" s="33">
        <f>IF(A437="","",COUNTIFS(DATA_MASTER!$I$2:$I$5000,A437,DATA_MASTER!$T$2:$T$5000,"Có"))</f>
        <v/>
      </c>
      <c r="M437" s="33">
        <f>IF(A437="","",COUNTIFS(ORDERS!$E$2:$E$4995,A437,ORDERS!$L$2:$L$4995,"Đã chuyển khoản"))</f>
        <v/>
      </c>
      <c r="N437" s="11" t="n"/>
    </row>
    <row r="438" ht="14.25" customHeight="1" s="40">
      <c r="A438" s="11" t="n"/>
      <c r="B438" s="11" t="n"/>
      <c r="C438" s="11" t="n"/>
      <c r="D438" s="11" t="n"/>
      <c r="E438" s="11" t="n"/>
      <c r="F438" s="11" t="n"/>
      <c r="G438" s="34" t="n"/>
      <c r="H438" s="11" t="n"/>
      <c r="I438" s="33">
        <f>IF(A438="","",DANH_MUC!$L$4&amp;"?ref="&amp;A438)</f>
        <v/>
      </c>
      <c r="J438" s="33">
        <f>IF(A438="","",IF(COUNTIF($A$2:$A$495,A438)&gt;1,"TRÙNG",""))</f>
        <v/>
      </c>
      <c r="K438" s="33">
        <f>IF(A438="","",COUNTIF(DATA_MASTER!$I$2:$I$5000,A438))</f>
        <v/>
      </c>
      <c r="L438" s="33">
        <f>IF(A438="","",COUNTIFS(DATA_MASTER!$I$2:$I$5000,A438,DATA_MASTER!$T$2:$T$5000,"Có"))</f>
        <v/>
      </c>
      <c r="M438" s="33">
        <f>IF(A438="","",COUNTIFS(ORDERS!$E$2:$E$4995,A438,ORDERS!$L$2:$L$4995,"Đã chuyển khoản"))</f>
        <v/>
      </c>
      <c r="N438" s="11" t="n"/>
    </row>
    <row r="439" ht="14.25" customHeight="1" s="40">
      <c r="A439" s="11" t="n"/>
      <c r="B439" s="11" t="n"/>
      <c r="C439" s="11" t="n"/>
      <c r="D439" s="11" t="n"/>
      <c r="E439" s="11" t="n"/>
      <c r="F439" s="11" t="n"/>
      <c r="G439" s="34" t="n"/>
      <c r="H439" s="11" t="n"/>
      <c r="I439" s="33">
        <f>IF(A439="","",DANH_MUC!$L$4&amp;"?ref="&amp;A439)</f>
        <v/>
      </c>
      <c r="J439" s="33">
        <f>IF(A439="","",IF(COUNTIF($A$2:$A$495,A439)&gt;1,"TRÙNG",""))</f>
        <v/>
      </c>
      <c r="K439" s="33">
        <f>IF(A439="","",COUNTIF(DATA_MASTER!$I$2:$I$5000,A439))</f>
        <v/>
      </c>
      <c r="L439" s="33">
        <f>IF(A439="","",COUNTIFS(DATA_MASTER!$I$2:$I$5000,A439,DATA_MASTER!$T$2:$T$5000,"Có"))</f>
        <v/>
      </c>
      <c r="M439" s="33">
        <f>IF(A439="","",COUNTIFS(ORDERS!$E$2:$E$4995,A439,ORDERS!$L$2:$L$4995,"Đã chuyển khoản"))</f>
        <v/>
      </c>
      <c r="N439" s="11" t="n"/>
    </row>
    <row r="440" ht="14.25" customHeight="1" s="40">
      <c r="A440" s="11" t="n"/>
      <c r="B440" s="11" t="n"/>
      <c r="C440" s="11" t="n"/>
      <c r="D440" s="11" t="n"/>
      <c r="E440" s="11" t="n"/>
      <c r="F440" s="11" t="n"/>
      <c r="G440" s="34" t="n"/>
      <c r="H440" s="11" t="n"/>
      <c r="I440" s="33">
        <f>IF(A440="","",DANH_MUC!$L$4&amp;"?ref="&amp;A440)</f>
        <v/>
      </c>
      <c r="J440" s="33">
        <f>IF(A440="","",IF(COUNTIF($A$2:$A$495,A440)&gt;1,"TRÙNG",""))</f>
        <v/>
      </c>
      <c r="K440" s="33">
        <f>IF(A440="","",COUNTIF(DATA_MASTER!$I$2:$I$5000,A440))</f>
        <v/>
      </c>
      <c r="L440" s="33">
        <f>IF(A440="","",COUNTIFS(DATA_MASTER!$I$2:$I$5000,A440,DATA_MASTER!$T$2:$T$5000,"Có"))</f>
        <v/>
      </c>
      <c r="M440" s="33">
        <f>IF(A440="","",COUNTIFS(ORDERS!$E$2:$E$4995,A440,ORDERS!$L$2:$L$4995,"Đã chuyển khoản"))</f>
        <v/>
      </c>
      <c r="N440" s="11" t="n"/>
    </row>
    <row r="441" ht="14.25" customHeight="1" s="40">
      <c r="A441" s="11" t="n"/>
      <c r="B441" s="11" t="n"/>
      <c r="C441" s="11" t="n"/>
      <c r="D441" s="11" t="n"/>
      <c r="E441" s="11" t="n"/>
      <c r="F441" s="11" t="n"/>
      <c r="G441" s="34" t="n"/>
      <c r="H441" s="11" t="n"/>
      <c r="I441" s="33">
        <f>IF(A441="","",DANH_MUC!$L$4&amp;"?ref="&amp;A441)</f>
        <v/>
      </c>
      <c r="J441" s="33">
        <f>IF(A441="","",IF(COUNTIF($A$2:$A$495,A441)&gt;1,"TRÙNG",""))</f>
        <v/>
      </c>
      <c r="K441" s="33">
        <f>IF(A441="","",COUNTIF(DATA_MASTER!$I$2:$I$5000,A441))</f>
        <v/>
      </c>
      <c r="L441" s="33">
        <f>IF(A441="","",COUNTIFS(DATA_MASTER!$I$2:$I$5000,A441,DATA_MASTER!$T$2:$T$5000,"Có"))</f>
        <v/>
      </c>
      <c r="M441" s="33">
        <f>IF(A441="","",COUNTIFS(ORDERS!$E$2:$E$4995,A441,ORDERS!$L$2:$L$4995,"Đã chuyển khoản"))</f>
        <v/>
      </c>
      <c r="N441" s="11" t="n"/>
    </row>
    <row r="442" ht="14.25" customHeight="1" s="40">
      <c r="A442" s="11" t="n"/>
      <c r="B442" s="11" t="n"/>
      <c r="C442" s="11" t="n"/>
      <c r="D442" s="11" t="n"/>
      <c r="E442" s="11" t="n"/>
      <c r="F442" s="11" t="n"/>
      <c r="G442" s="34" t="n"/>
      <c r="H442" s="11" t="n"/>
      <c r="I442" s="33">
        <f>IF(A442="","",DANH_MUC!$L$4&amp;"?ref="&amp;A442)</f>
        <v/>
      </c>
      <c r="J442" s="33">
        <f>IF(A442="","",IF(COUNTIF($A$2:$A$495,A442)&gt;1,"TRÙNG",""))</f>
        <v/>
      </c>
      <c r="K442" s="33">
        <f>IF(A442="","",COUNTIF(DATA_MASTER!$I$2:$I$5000,A442))</f>
        <v/>
      </c>
      <c r="L442" s="33">
        <f>IF(A442="","",COUNTIFS(DATA_MASTER!$I$2:$I$5000,A442,DATA_MASTER!$T$2:$T$5000,"Có"))</f>
        <v/>
      </c>
      <c r="M442" s="33">
        <f>IF(A442="","",COUNTIFS(ORDERS!$E$2:$E$4995,A442,ORDERS!$L$2:$L$4995,"Đã chuyển khoản"))</f>
        <v/>
      </c>
      <c r="N442" s="11" t="n"/>
    </row>
    <row r="443" ht="14.25" customHeight="1" s="40">
      <c r="A443" s="11" t="n"/>
      <c r="B443" s="11" t="n"/>
      <c r="C443" s="11" t="n"/>
      <c r="D443" s="11" t="n"/>
      <c r="E443" s="11" t="n"/>
      <c r="F443" s="11" t="n"/>
      <c r="G443" s="34" t="n"/>
      <c r="H443" s="11" t="n"/>
      <c r="I443" s="33">
        <f>IF(A443="","",DANH_MUC!$L$4&amp;"?ref="&amp;A443)</f>
        <v/>
      </c>
      <c r="J443" s="33">
        <f>IF(A443="","",IF(COUNTIF($A$2:$A$495,A443)&gt;1,"TRÙNG",""))</f>
        <v/>
      </c>
      <c r="K443" s="33">
        <f>IF(A443="","",COUNTIF(DATA_MASTER!$I$2:$I$5000,A443))</f>
        <v/>
      </c>
      <c r="L443" s="33">
        <f>IF(A443="","",COUNTIFS(DATA_MASTER!$I$2:$I$5000,A443,DATA_MASTER!$T$2:$T$5000,"Có"))</f>
        <v/>
      </c>
      <c r="M443" s="33">
        <f>IF(A443="","",COUNTIFS(ORDERS!$E$2:$E$4995,A443,ORDERS!$L$2:$L$4995,"Đã chuyển khoản"))</f>
        <v/>
      </c>
      <c r="N443" s="11" t="n"/>
    </row>
    <row r="444" ht="14.25" customHeight="1" s="40">
      <c r="A444" s="11" t="n"/>
      <c r="B444" s="11" t="n"/>
      <c r="C444" s="11" t="n"/>
      <c r="D444" s="11" t="n"/>
      <c r="E444" s="11" t="n"/>
      <c r="F444" s="11" t="n"/>
      <c r="G444" s="34" t="n"/>
      <c r="H444" s="11" t="n"/>
      <c r="I444" s="33">
        <f>IF(A444="","",DANH_MUC!$L$4&amp;"?ref="&amp;A444)</f>
        <v/>
      </c>
      <c r="J444" s="33">
        <f>IF(A444="","",IF(COUNTIF($A$2:$A$495,A444)&gt;1,"TRÙNG",""))</f>
        <v/>
      </c>
      <c r="K444" s="33">
        <f>IF(A444="","",COUNTIF(DATA_MASTER!$I$2:$I$5000,A444))</f>
        <v/>
      </c>
      <c r="L444" s="33">
        <f>IF(A444="","",COUNTIFS(DATA_MASTER!$I$2:$I$5000,A444,DATA_MASTER!$T$2:$T$5000,"Có"))</f>
        <v/>
      </c>
      <c r="M444" s="33">
        <f>IF(A444="","",COUNTIFS(ORDERS!$E$2:$E$4995,A444,ORDERS!$L$2:$L$4995,"Đã chuyển khoản"))</f>
        <v/>
      </c>
      <c r="N444" s="11" t="n"/>
    </row>
    <row r="445" ht="14.25" customHeight="1" s="40">
      <c r="A445" s="11" t="n"/>
      <c r="B445" s="11" t="n"/>
      <c r="C445" s="11" t="n"/>
      <c r="D445" s="11" t="n"/>
      <c r="E445" s="11" t="n"/>
      <c r="F445" s="11" t="n"/>
      <c r="G445" s="34" t="n"/>
      <c r="H445" s="11" t="n"/>
      <c r="I445" s="33">
        <f>IF(A445="","",DANH_MUC!$L$4&amp;"?ref="&amp;A445)</f>
        <v/>
      </c>
      <c r="J445" s="33">
        <f>IF(A445="","",IF(COUNTIF($A$2:$A$495,A445)&gt;1,"TRÙNG",""))</f>
        <v/>
      </c>
      <c r="K445" s="33">
        <f>IF(A445="","",COUNTIF(DATA_MASTER!$I$2:$I$5000,A445))</f>
        <v/>
      </c>
      <c r="L445" s="33">
        <f>IF(A445="","",COUNTIFS(DATA_MASTER!$I$2:$I$5000,A445,DATA_MASTER!$T$2:$T$5000,"Có"))</f>
        <v/>
      </c>
      <c r="M445" s="33">
        <f>IF(A445="","",COUNTIFS(ORDERS!$E$2:$E$4995,A445,ORDERS!$L$2:$L$4995,"Đã chuyển khoản"))</f>
        <v/>
      </c>
      <c r="N445" s="11" t="n"/>
    </row>
    <row r="446" ht="14.25" customHeight="1" s="40">
      <c r="A446" s="11" t="n"/>
      <c r="B446" s="11" t="n"/>
      <c r="C446" s="11" t="n"/>
      <c r="D446" s="11" t="n"/>
      <c r="E446" s="11" t="n"/>
      <c r="F446" s="11" t="n"/>
      <c r="G446" s="34" t="n"/>
      <c r="H446" s="11" t="n"/>
      <c r="I446" s="33">
        <f>IF(A446="","",DANH_MUC!$L$4&amp;"?ref="&amp;A446)</f>
        <v/>
      </c>
      <c r="J446" s="33">
        <f>IF(A446="","",IF(COUNTIF($A$2:$A$495,A446)&gt;1,"TRÙNG",""))</f>
        <v/>
      </c>
      <c r="K446" s="33">
        <f>IF(A446="","",COUNTIF(DATA_MASTER!$I$2:$I$5000,A446))</f>
        <v/>
      </c>
      <c r="L446" s="33">
        <f>IF(A446="","",COUNTIFS(DATA_MASTER!$I$2:$I$5000,A446,DATA_MASTER!$T$2:$T$5000,"Có"))</f>
        <v/>
      </c>
      <c r="M446" s="33">
        <f>IF(A446="","",COUNTIFS(ORDERS!$E$2:$E$4995,A446,ORDERS!$L$2:$L$4995,"Đã chuyển khoản"))</f>
        <v/>
      </c>
      <c r="N446" s="11" t="n"/>
    </row>
    <row r="447" ht="14.25" customHeight="1" s="40">
      <c r="A447" s="11" t="n"/>
      <c r="B447" s="11" t="n"/>
      <c r="C447" s="11" t="n"/>
      <c r="D447" s="11" t="n"/>
      <c r="E447" s="11" t="n"/>
      <c r="F447" s="11" t="n"/>
      <c r="G447" s="34" t="n"/>
      <c r="H447" s="11" t="n"/>
      <c r="I447" s="33">
        <f>IF(A447="","",DANH_MUC!$L$4&amp;"?ref="&amp;A447)</f>
        <v/>
      </c>
      <c r="J447" s="33">
        <f>IF(A447="","",IF(COUNTIF($A$2:$A$495,A447)&gt;1,"TRÙNG",""))</f>
        <v/>
      </c>
      <c r="K447" s="33">
        <f>IF(A447="","",COUNTIF(DATA_MASTER!$I$2:$I$5000,A447))</f>
        <v/>
      </c>
      <c r="L447" s="33">
        <f>IF(A447="","",COUNTIFS(DATA_MASTER!$I$2:$I$5000,A447,DATA_MASTER!$T$2:$T$5000,"Có"))</f>
        <v/>
      </c>
      <c r="M447" s="33">
        <f>IF(A447="","",COUNTIFS(ORDERS!$E$2:$E$4995,A447,ORDERS!$L$2:$L$4995,"Đã chuyển khoản"))</f>
        <v/>
      </c>
      <c r="N447" s="11" t="n"/>
    </row>
    <row r="448" ht="14.25" customHeight="1" s="40">
      <c r="A448" s="11" t="n"/>
      <c r="B448" s="11" t="n"/>
      <c r="C448" s="11" t="n"/>
      <c r="D448" s="11" t="n"/>
      <c r="E448" s="11" t="n"/>
      <c r="F448" s="11" t="n"/>
      <c r="G448" s="34" t="n"/>
      <c r="H448" s="11" t="n"/>
      <c r="I448" s="33">
        <f>IF(A448="","",DANH_MUC!$L$4&amp;"?ref="&amp;A448)</f>
        <v/>
      </c>
      <c r="J448" s="33">
        <f>IF(A448="","",IF(COUNTIF($A$2:$A$495,A448)&gt;1,"TRÙNG",""))</f>
        <v/>
      </c>
      <c r="K448" s="33">
        <f>IF(A448="","",COUNTIF(DATA_MASTER!$I$2:$I$5000,A448))</f>
        <v/>
      </c>
      <c r="L448" s="33">
        <f>IF(A448="","",COUNTIFS(DATA_MASTER!$I$2:$I$5000,A448,DATA_MASTER!$T$2:$T$5000,"Có"))</f>
        <v/>
      </c>
      <c r="M448" s="33">
        <f>IF(A448="","",COUNTIFS(ORDERS!$E$2:$E$4995,A448,ORDERS!$L$2:$L$4995,"Đã chuyển khoản"))</f>
        <v/>
      </c>
      <c r="N448" s="11" t="n"/>
    </row>
    <row r="449" ht="14.25" customHeight="1" s="40">
      <c r="A449" s="11" t="n"/>
      <c r="B449" s="11" t="n"/>
      <c r="C449" s="11" t="n"/>
      <c r="D449" s="11" t="n"/>
      <c r="E449" s="11" t="n"/>
      <c r="F449" s="11" t="n"/>
      <c r="G449" s="34" t="n"/>
      <c r="H449" s="11" t="n"/>
      <c r="I449" s="33">
        <f>IF(A449="","",DANH_MUC!$L$4&amp;"?ref="&amp;A449)</f>
        <v/>
      </c>
      <c r="J449" s="33">
        <f>IF(A449="","",IF(COUNTIF($A$2:$A$495,A449)&gt;1,"TRÙNG",""))</f>
        <v/>
      </c>
      <c r="K449" s="33">
        <f>IF(A449="","",COUNTIF(DATA_MASTER!$I$2:$I$5000,A449))</f>
        <v/>
      </c>
      <c r="L449" s="33">
        <f>IF(A449="","",COUNTIFS(DATA_MASTER!$I$2:$I$5000,A449,DATA_MASTER!$T$2:$T$5000,"Có"))</f>
        <v/>
      </c>
      <c r="M449" s="33">
        <f>IF(A449="","",COUNTIFS(ORDERS!$E$2:$E$4995,A449,ORDERS!$L$2:$L$4995,"Đã chuyển khoản"))</f>
        <v/>
      </c>
      <c r="N449" s="11" t="n"/>
    </row>
    <row r="450" ht="14.25" customHeight="1" s="40">
      <c r="A450" s="11" t="n"/>
      <c r="B450" s="11" t="n"/>
      <c r="C450" s="11" t="n"/>
      <c r="D450" s="11" t="n"/>
      <c r="E450" s="11" t="n"/>
      <c r="F450" s="11" t="n"/>
      <c r="G450" s="34" t="n"/>
      <c r="H450" s="11" t="n"/>
      <c r="I450" s="33">
        <f>IF(A450="","",DANH_MUC!$L$4&amp;"?ref="&amp;A450)</f>
        <v/>
      </c>
      <c r="J450" s="33">
        <f>IF(A450="","",IF(COUNTIF($A$2:$A$495,A450)&gt;1,"TRÙNG",""))</f>
        <v/>
      </c>
      <c r="K450" s="33">
        <f>IF(A450="","",COUNTIF(DATA_MASTER!$I$2:$I$5000,A450))</f>
        <v/>
      </c>
      <c r="L450" s="33">
        <f>IF(A450="","",COUNTIFS(DATA_MASTER!$I$2:$I$5000,A450,DATA_MASTER!$T$2:$T$5000,"Có"))</f>
        <v/>
      </c>
      <c r="M450" s="33">
        <f>IF(A450="","",COUNTIFS(ORDERS!$E$2:$E$4995,A450,ORDERS!$L$2:$L$4995,"Đã chuyển khoản"))</f>
        <v/>
      </c>
      <c r="N450" s="11" t="n"/>
    </row>
    <row r="451" ht="14.25" customHeight="1" s="40">
      <c r="A451" s="11" t="n"/>
      <c r="B451" s="11" t="n"/>
      <c r="C451" s="11" t="n"/>
      <c r="D451" s="11" t="n"/>
      <c r="E451" s="11" t="n"/>
      <c r="F451" s="11" t="n"/>
      <c r="G451" s="34" t="n"/>
      <c r="H451" s="11" t="n"/>
      <c r="I451" s="33">
        <f>IF(A451="","",DANH_MUC!$L$4&amp;"?ref="&amp;A451)</f>
        <v/>
      </c>
      <c r="J451" s="33">
        <f>IF(A451="","",IF(COUNTIF($A$2:$A$495,A451)&gt;1,"TRÙNG",""))</f>
        <v/>
      </c>
      <c r="K451" s="33">
        <f>IF(A451="","",COUNTIF(DATA_MASTER!$I$2:$I$5000,A451))</f>
        <v/>
      </c>
      <c r="L451" s="33">
        <f>IF(A451="","",COUNTIFS(DATA_MASTER!$I$2:$I$5000,A451,DATA_MASTER!$T$2:$T$5000,"Có"))</f>
        <v/>
      </c>
      <c r="M451" s="33">
        <f>IF(A451="","",COUNTIFS(ORDERS!$E$2:$E$4995,A451,ORDERS!$L$2:$L$4995,"Đã chuyển khoản"))</f>
        <v/>
      </c>
      <c r="N451" s="11" t="n"/>
    </row>
    <row r="452" ht="14.25" customHeight="1" s="40">
      <c r="A452" s="11" t="n"/>
      <c r="B452" s="11" t="n"/>
      <c r="C452" s="11" t="n"/>
      <c r="D452" s="11" t="n"/>
      <c r="E452" s="11" t="n"/>
      <c r="F452" s="11" t="n"/>
      <c r="G452" s="34" t="n"/>
      <c r="H452" s="11" t="n"/>
      <c r="I452" s="33">
        <f>IF(A452="","",DANH_MUC!$L$4&amp;"?ref="&amp;A452)</f>
        <v/>
      </c>
      <c r="J452" s="33">
        <f>IF(A452="","",IF(COUNTIF($A$2:$A$495,A452)&gt;1,"TRÙNG",""))</f>
        <v/>
      </c>
      <c r="K452" s="33">
        <f>IF(A452="","",COUNTIF(DATA_MASTER!$I$2:$I$5000,A452))</f>
        <v/>
      </c>
      <c r="L452" s="33">
        <f>IF(A452="","",COUNTIFS(DATA_MASTER!$I$2:$I$5000,A452,DATA_MASTER!$T$2:$T$5000,"Có"))</f>
        <v/>
      </c>
      <c r="M452" s="33">
        <f>IF(A452="","",COUNTIFS(ORDERS!$E$2:$E$4995,A452,ORDERS!$L$2:$L$4995,"Đã chuyển khoản"))</f>
        <v/>
      </c>
      <c r="N452" s="11" t="n"/>
    </row>
    <row r="453" ht="14.25" customHeight="1" s="40">
      <c r="A453" s="11" t="n"/>
      <c r="B453" s="11" t="n"/>
      <c r="C453" s="11" t="n"/>
      <c r="D453" s="11" t="n"/>
      <c r="E453" s="11" t="n"/>
      <c r="F453" s="11" t="n"/>
      <c r="G453" s="34" t="n"/>
      <c r="H453" s="11" t="n"/>
      <c r="I453" s="33">
        <f>IF(A453="","",DANH_MUC!$L$4&amp;"?ref="&amp;A453)</f>
        <v/>
      </c>
      <c r="J453" s="33">
        <f>IF(A453="","",IF(COUNTIF($A$2:$A$495,A453)&gt;1,"TRÙNG",""))</f>
        <v/>
      </c>
      <c r="K453" s="33">
        <f>IF(A453="","",COUNTIF(DATA_MASTER!$I$2:$I$5000,A453))</f>
        <v/>
      </c>
      <c r="L453" s="33">
        <f>IF(A453="","",COUNTIFS(DATA_MASTER!$I$2:$I$5000,A453,DATA_MASTER!$T$2:$T$5000,"Có"))</f>
        <v/>
      </c>
      <c r="M453" s="33">
        <f>IF(A453="","",COUNTIFS(ORDERS!$E$2:$E$4995,A453,ORDERS!$L$2:$L$4995,"Đã chuyển khoản"))</f>
        <v/>
      </c>
      <c r="N453" s="11" t="n"/>
    </row>
    <row r="454" ht="14.25" customHeight="1" s="40">
      <c r="A454" s="11" t="n"/>
      <c r="B454" s="11" t="n"/>
      <c r="C454" s="11" t="n"/>
      <c r="D454" s="11" t="n"/>
      <c r="E454" s="11" t="n"/>
      <c r="F454" s="11" t="n"/>
      <c r="G454" s="34" t="n"/>
      <c r="H454" s="11" t="n"/>
      <c r="I454" s="33">
        <f>IF(A454="","",DANH_MUC!$L$4&amp;"?ref="&amp;A454)</f>
        <v/>
      </c>
      <c r="J454" s="33">
        <f>IF(A454="","",IF(COUNTIF($A$2:$A$495,A454)&gt;1,"TRÙNG",""))</f>
        <v/>
      </c>
      <c r="K454" s="33">
        <f>IF(A454="","",COUNTIF(DATA_MASTER!$I$2:$I$5000,A454))</f>
        <v/>
      </c>
      <c r="L454" s="33">
        <f>IF(A454="","",COUNTIFS(DATA_MASTER!$I$2:$I$5000,A454,DATA_MASTER!$T$2:$T$5000,"Có"))</f>
        <v/>
      </c>
      <c r="M454" s="33">
        <f>IF(A454="","",COUNTIFS(ORDERS!$E$2:$E$4995,A454,ORDERS!$L$2:$L$4995,"Đã chuyển khoản"))</f>
        <v/>
      </c>
      <c r="N454" s="11" t="n"/>
    </row>
    <row r="455" ht="14.25" customHeight="1" s="40">
      <c r="A455" s="11" t="n"/>
      <c r="B455" s="11" t="n"/>
      <c r="C455" s="11" t="n"/>
      <c r="D455" s="11" t="n"/>
      <c r="E455" s="11" t="n"/>
      <c r="F455" s="11" t="n"/>
      <c r="G455" s="34" t="n"/>
      <c r="H455" s="11" t="n"/>
      <c r="I455" s="33">
        <f>IF(A455="","",DANH_MUC!$L$4&amp;"?ref="&amp;A455)</f>
        <v/>
      </c>
      <c r="J455" s="33">
        <f>IF(A455="","",IF(COUNTIF($A$2:$A$495,A455)&gt;1,"TRÙNG",""))</f>
        <v/>
      </c>
      <c r="K455" s="33">
        <f>IF(A455="","",COUNTIF(DATA_MASTER!$I$2:$I$5000,A455))</f>
        <v/>
      </c>
      <c r="L455" s="33">
        <f>IF(A455="","",COUNTIFS(DATA_MASTER!$I$2:$I$5000,A455,DATA_MASTER!$T$2:$T$5000,"Có"))</f>
        <v/>
      </c>
      <c r="M455" s="33">
        <f>IF(A455="","",COUNTIFS(ORDERS!$E$2:$E$4995,A455,ORDERS!$L$2:$L$4995,"Đã chuyển khoản"))</f>
        <v/>
      </c>
      <c r="N455" s="11" t="n"/>
    </row>
    <row r="456" ht="14.25" customHeight="1" s="40">
      <c r="A456" s="11" t="n"/>
      <c r="B456" s="11" t="n"/>
      <c r="C456" s="11" t="n"/>
      <c r="D456" s="11" t="n"/>
      <c r="E456" s="11" t="n"/>
      <c r="F456" s="11" t="n"/>
      <c r="G456" s="34" t="n"/>
      <c r="H456" s="11" t="n"/>
      <c r="I456" s="33">
        <f>IF(A456="","",DANH_MUC!$L$4&amp;"?ref="&amp;A456)</f>
        <v/>
      </c>
      <c r="J456" s="33">
        <f>IF(A456="","",IF(COUNTIF($A$2:$A$495,A456)&gt;1,"TRÙNG",""))</f>
        <v/>
      </c>
      <c r="K456" s="33">
        <f>IF(A456="","",COUNTIF(DATA_MASTER!$I$2:$I$5000,A456))</f>
        <v/>
      </c>
      <c r="L456" s="33">
        <f>IF(A456="","",COUNTIFS(DATA_MASTER!$I$2:$I$5000,A456,DATA_MASTER!$T$2:$T$5000,"Có"))</f>
        <v/>
      </c>
      <c r="M456" s="33">
        <f>IF(A456="","",COUNTIFS(ORDERS!$E$2:$E$4995,A456,ORDERS!$L$2:$L$4995,"Đã chuyển khoản"))</f>
        <v/>
      </c>
      <c r="N456" s="11" t="n"/>
    </row>
    <row r="457" ht="14.25" customHeight="1" s="40">
      <c r="A457" s="11" t="n"/>
      <c r="B457" s="11" t="n"/>
      <c r="C457" s="11" t="n"/>
      <c r="D457" s="11" t="n"/>
      <c r="E457" s="11" t="n"/>
      <c r="F457" s="11" t="n"/>
      <c r="G457" s="34" t="n"/>
      <c r="H457" s="11" t="n"/>
      <c r="I457" s="33">
        <f>IF(A457="","",DANH_MUC!$L$4&amp;"?ref="&amp;A457)</f>
        <v/>
      </c>
      <c r="J457" s="33">
        <f>IF(A457="","",IF(COUNTIF($A$2:$A$495,A457)&gt;1,"TRÙNG",""))</f>
        <v/>
      </c>
      <c r="K457" s="33">
        <f>IF(A457="","",COUNTIF(DATA_MASTER!$I$2:$I$5000,A457))</f>
        <v/>
      </c>
      <c r="L457" s="33">
        <f>IF(A457="","",COUNTIFS(DATA_MASTER!$I$2:$I$5000,A457,DATA_MASTER!$T$2:$T$5000,"Có"))</f>
        <v/>
      </c>
      <c r="M457" s="33">
        <f>IF(A457="","",COUNTIFS(ORDERS!$E$2:$E$4995,A457,ORDERS!$L$2:$L$4995,"Đã chuyển khoản"))</f>
        <v/>
      </c>
      <c r="N457" s="11" t="n"/>
    </row>
    <row r="458" ht="14.25" customHeight="1" s="40">
      <c r="A458" s="11" t="n"/>
      <c r="B458" s="11" t="n"/>
      <c r="C458" s="11" t="n"/>
      <c r="D458" s="11" t="n"/>
      <c r="E458" s="11" t="n"/>
      <c r="F458" s="11" t="n"/>
      <c r="G458" s="34" t="n"/>
      <c r="H458" s="11" t="n"/>
      <c r="I458" s="33">
        <f>IF(A458="","",DANH_MUC!$L$4&amp;"?ref="&amp;A458)</f>
        <v/>
      </c>
      <c r="J458" s="33">
        <f>IF(A458="","",IF(COUNTIF($A$2:$A$495,A458)&gt;1,"TRÙNG",""))</f>
        <v/>
      </c>
      <c r="K458" s="33">
        <f>IF(A458="","",COUNTIF(DATA_MASTER!$I$2:$I$5000,A458))</f>
        <v/>
      </c>
      <c r="L458" s="33">
        <f>IF(A458="","",COUNTIFS(DATA_MASTER!$I$2:$I$5000,A458,DATA_MASTER!$T$2:$T$5000,"Có"))</f>
        <v/>
      </c>
      <c r="M458" s="33">
        <f>IF(A458="","",COUNTIFS(ORDERS!$E$2:$E$4995,A458,ORDERS!$L$2:$L$4995,"Đã chuyển khoản"))</f>
        <v/>
      </c>
      <c r="N458" s="11" t="n"/>
    </row>
    <row r="459" ht="14.25" customHeight="1" s="40">
      <c r="A459" s="11" t="n"/>
      <c r="B459" s="11" t="n"/>
      <c r="C459" s="11" t="n"/>
      <c r="D459" s="11" t="n"/>
      <c r="E459" s="11" t="n"/>
      <c r="F459" s="11" t="n"/>
      <c r="G459" s="34" t="n"/>
      <c r="H459" s="11" t="n"/>
      <c r="I459" s="33">
        <f>IF(A459="","",DANH_MUC!$L$4&amp;"?ref="&amp;A459)</f>
        <v/>
      </c>
      <c r="J459" s="33">
        <f>IF(A459="","",IF(COUNTIF($A$2:$A$495,A459)&gt;1,"TRÙNG",""))</f>
        <v/>
      </c>
      <c r="K459" s="33">
        <f>IF(A459="","",COUNTIF(DATA_MASTER!$I$2:$I$5000,A459))</f>
        <v/>
      </c>
      <c r="L459" s="33">
        <f>IF(A459="","",COUNTIFS(DATA_MASTER!$I$2:$I$5000,A459,DATA_MASTER!$T$2:$T$5000,"Có"))</f>
        <v/>
      </c>
      <c r="M459" s="33">
        <f>IF(A459="","",COUNTIFS(ORDERS!$E$2:$E$4995,A459,ORDERS!$L$2:$L$4995,"Đã chuyển khoản"))</f>
        <v/>
      </c>
      <c r="N459" s="11" t="n"/>
    </row>
    <row r="460" ht="14.25" customHeight="1" s="40">
      <c r="A460" s="11" t="n"/>
      <c r="B460" s="11" t="n"/>
      <c r="C460" s="11" t="n"/>
      <c r="D460" s="11" t="n"/>
      <c r="E460" s="11" t="n"/>
      <c r="F460" s="11" t="n"/>
      <c r="G460" s="34" t="n"/>
      <c r="H460" s="11" t="n"/>
      <c r="I460" s="33">
        <f>IF(A460="","",DANH_MUC!$L$4&amp;"?ref="&amp;A460)</f>
        <v/>
      </c>
      <c r="J460" s="33">
        <f>IF(A460="","",IF(COUNTIF($A$2:$A$495,A460)&gt;1,"TRÙNG",""))</f>
        <v/>
      </c>
      <c r="K460" s="33">
        <f>IF(A460="","",COUNTIF(DATA_MASTER!$I$2:$I$5000,A460))</f>
        <v/>
      </c>
      <c r="L460" s="33">
        <f>IF(A460="","",COUNTIFS(DATA_MASTER!$I$2:$I$5000,A460,DATA_MASTER!$T$2:$T$5000,"Có"))</f>
        <v/>
      </c>
      <c r="M460" s="33">
        <f>IF(A460="","",COUNTIFS(ORDERS!$E$2:$E$4995,A460,ORDERS!$L$2:$L$4995,"Đã chuyển khoản"))</f>
        <v/>
      </c>
      <c r="N460" s="11" t="n"/>
    </row>
    <row r="461" ht="14.25" customHeight="1" s="40">
      <c r="A461" s="11" t="n"/>
      <c r="B461" s="11" t="n"/>
      <c r="C461" s="11" t="n"/>
      <c r="D461" s="11" t="n"/>
      <c r="E461" s="11" t="n"/>
      <c r="F461" s="11" t="n"/>
      <c r="G461" s="34" t="n"/>
      <c r="H461" s="11" t="n"/>
      <c r="I461" s="33">
        <f>IF(A461="","",DANH_MUC!$L$4&amp;"?ref="&amp;A461)</f>
        <v/>
      </c>
      <c r="J461" s="33">
        <f>IF(A461="","",IF(COUNTIF($A$2:$A$495,A461)&gt;1,"TRÙNG",""))</f>
        <v/>
      </c>
      <c r="K461" s="33">
        <f>IF(A461="","",COUNTIF(DATA_MASTER!$I$2:$I$5000,A461))</f>
        <v/>
      </c>
      <c r="L461" s="33">
        <f>IF(A461="","",COUNTIFS(DATA_MASTER!$I$2:$I$5000,A461,DATA_MASTER!$T$2:$T$5000,"Có"))</f>
        <v/>
      </c>
      <c r="M461" s="33">
        <f>IF(A461="","",COUNTIFS(ORDERS!$E$2:$E$4995,A461,ORDERS!$L$2:$L$4995,"Đã chuyển khoản"))</f>
        <v/>
      </c>
      <c r="N461" s="11" t="n"/>
    </row>
    <row r="462" ht="14.25" customHeight="1" s="40">
      <c r="A462" s="11" t="n"/>
      <c r="B462" s="11" t="n"/>
      <c r="C462" s="11" t="n"/>
      <c r="D462" s="11" t="n"/>
      <c r="E462" s="11" t="n"/>
      <c r="F462" s="11" t="n"/>
      <c r="G462" s="34" t="n"/>
      <c r="H462" s="11" t="n"/>
      <c r="I462" s="33">
        <f>IF(A462="","",DANH_MUC!$L$4&amp;"?ref="&amp;A462)</f>
        <v/>
      </c>
      <c r="J462" s="33">
        <f>IF(A462="","",IF(COUNTIF($A$2:$A$495,A462)&gt;1,"TRÙNG",""))</f>
        <v/>
      </c>
      <c r="K462" s="33">
        <f>IF(A462="","",COUNTIF(DATA_MASTER!$I$2:$I$5000,A462))</f>
        <v/>
      </c>
      <c r="L462" s="33">
        <f>IF(A462="","",COUNTIFS(DATA_MASTER!$I$2:$I$5000,A462,DATA_MASTER!$T$2:$T$5000,"Có"))</f>
        <v/>
      </c>
      <c r="M462" s="33">
        <f>IF(A462="","",COUNTIFS(ORDERS!$E$2:$E$4995,A462,ORDERS!$L$2:$L$4995,"Đã chuyển khoản"))</f>
        <v/>
      </c>
      <c r="N462" s="11" t="n"/>
    </row>
    <row r="463" ht="14.25" customHeight="1" s="40">
      <c r="A463" s="11" t="n"/>
      <c r="B463" s="11" t="n"/>
      <c r="C463" s="11" t="n"/>
      <c r="D463" s="11" t="n"/>
      <c r="E463" s="11" t="n"/>
      <c r="F463" s="11" t="n"/>
      <c r="G463" s="34" t="n"/>
      <c r="H463" s="11" t="n"/>
      <c r="I463" s="33">
        <f>IF(A463="","",DANH_MUC!$L$4&amp;"?ref="&amp;A463)</f>
        <v/>
      </c>
      <c r="J463" s="33">
        <f>IF(A463="","",IF(COUNTIF($A$2:$A$495,A463)&gt;1,"TRÙNG",""))</f>
        <v/>
      </c>
      <c r="K463" s="33">
        <f>IF(A463="","",COUNTIF(DATA_MASTER!$I$2:$I$5000,A463))</f>
        <v/>
      </c>
      <c r="L463" s="33">
        <f>IF(A463="","",COUNTIFS(DATA_MASTER!$I$2:$I$5000,A463,DATA_MASTER!$T$2:$T$5000,"Có"))</f>
        <v/>
      </c>
      <c r="M463" s="33">
        <f>IF(A463="","",COUNTIFS(ORDERS!$E$2:$E$4995,A463,ORDERS!$L$2:$L$4995,"Đã chuyển khoản"))</f>
        <v/>
      </c>
      <c r="N463" s="11" t="n"/>
    </row>
    <row r="464" ht="14.25" customHeight="1" s="40">
      <c r="A464" s="11" t="n"/>
      <c r="B464" s="11" t="n"/>
      <c r="C464" s="11" t="n"/>
      <c r="D464" s="11" t="n"/>
      <c r="E464" s="11" t="n"/>
      <c r="F464" s="11" t="n"/>
      <c r="G464" s="34" t="n"/>
      <c r="H464" s="11" t="n"/>
      <c r="I464" s="33">
        <f>IF(A464="","",DANH_MUC!$L$4&amp;"?ref="&amp;A464)</f>
        <v/>
      </c>
      <c r="J464" s="33">
        <f>IF(A464="","",IF(COUNTIF($A$2:$A$495,A464)&gt;1,"TRÙNG",""))</f>
        <v/>
      </c>
      <c r="K464" s="33">
        <f>IF(A464="","",COUNTIF(DATA_MASTER!$I$2:$I$5000,A464))</f>
        <v/>
      </c>
      <c r="L464" s="33">
        <f>IF(A464="","",COUNTIFS(DATA_MASTER!$I$2:$I$5000,A464,DATA_MASTER!$T$2:$T$5000,"Có"))</f>
        <v/>
      </c>
      <c r="M464" s="33">
        <f>IF(A464="","",COUNTIFS(ORDERS!$E$2:$E$4995,A464,ORDERS!$L$2:$L$4995,"Đã chuyển khoản"))</f>
        <v/>
      </c>
      <c r="N464" s="11" t="n"/>
    </row>
    <row r="465" ht="14.25" customHeight="1" s="40">
      <c r="A465" s="11" t="n"/>
      <c r="B465" s="11" t="n"/>
      <c r="C465" s="11" t="n"/>
      <c r="D465" s="11" t="n"/>
      <c r="E465" s="11" t="n"/>
      <c r="F465" s="11" t="n"/>
      <c r="G465" s="34" t="n"/>
      <c r="H465" s="11" t="n"/>
      <c r="I465" s="33">
        <f>IF(A465="","",DANH_MUC!$L$4&amp;"?ref="&amp;A465)</f>
        <v/>
      </c>
      <c r="J465" s="33">
        <f>IF(A465="","",IF(COUNTIF($A$2:$A$495,A465)&gt;1,"TRÙNG",""))</f>
        <v/>
      </c>
      <c r="K465" s="33">
        <f>IF(A465="","",COUNTIF(DATA_MASTER!$I$2:$I$5000,A465))</f>
        <v/>
      </c>
      <c r="L465" s="33">
        <f>IF(A465="","",COUNTIFS(DATA_MASTER!$I$2:$I$5000,A465,DATA_MASTER!$T$2:$T$5000,"Có"))</f>
        <v/>
      </c>
      <c r="M465" s="33">
        <f>IF(A465="","",COUNTIFS(ORDERS!$E$2:$E$4995,A465,ORDERS!$L$2:$L$4995,"Đã chuyển khoản"))</f>
        <v/>
      </c>
      <c r="N465" s="11" t="n"/>
    </row>
    <row r="466" ht="14.25" customHeight="1" s="40">
      <c r="A466" s="11" t="n"/>
      <c r="B466" s="11" t="n"/>
      <c r="C466" s="11" t="n"/>
      <c r="D466" s="11" t="n"/>
      <c r="E466" s="11" t="n"/>
      <c r="F466" s="11" t="n"/>
      <c r="G466" s="34" t="n"/>
      <c r="H466" s="11" t="n"/>
      <c r="I466" s="33">
        <f>IF(A466="","",DANH_MUC!$L$4&amp;"?ref="&amp;A466)</f>
        <v/>
      </c>
      <c r="J466" s="33">
        <f>IF(A466="","",IF(COUNTIF($A$2:$A$495,A466)&gt;1,"TRÙNG",""))</f>
        <v/>
      </c>
      <c r="K466" s="33">
        <f>IF(A466="","",COUNTIF(DATA_MASTER!$I$2:$I$5000,A466))</f>
        <v/>
      </c>
      <c r="L466" s="33">
        <f>IF(A466="","",COUNTIFS(DATA_MASTER!$I$2:$I$5000,A466,DATA_MASTER!$T$2:$T$5000,"Có"))</f>
        <v/>
      </c>
      <c r="M466" s="33">
        <f>IF(A466="","",COUNTIFS(ORDERS!$E$2:$E$4995,A466,ORDERS!$L$2:$L$4995,"Đã chuyển khoản"))</f>
        <v/>
      </c>
      <c r="N466" s="11" t="n"/>
    </row>
    <row r="467" ht="14.25" customHeight="1" s="40">
      <c r="A467" s="11" t="n"/>
      <c r="B467" s="11" t="n"/>
      <c r="C467" s="11" t="n"/>
      <c r="D467" s="11" t="n"/>
      <c r="E467" s="11" t="n"/>
      <c r="F467" s="11" t="n"/>
      <c r="G467" s="34" t="n"/>
      <c r="H467" s="11" t="n"/>
      <c r="I467" s="33">
        <f>IF(A467="","",DANH_MUC!$L$4&amp;"?ref="&amp;A467)</f>
        <v/>
      </c>
      <c r="J467" s="33">
        <f>IF(A467="","",IF(COUNTIF($A$2:$A$495,A467)&gt;1,"TRÙNG",""))</f>
        <v/>
      </c>
      <c r="K467" s="33">
        <f>IF(A467="","",COUNTIF(DATA_MASTER!$I$2:$I$5000,A467))</f>
        <v/>
      </c>
      <c r="L467" s="33">
        <f>IF(A467="","",COUNTIFS(DATA_MASTER!$I$2:$I$5000,A467,DATA_MASTER!$T$2:$T$5000,"Có"))</f>
        <v/>
      </c>
      <c r="M467" s="33">
        <f>IF(A467="","",COUNTIFS(ORDERS!$E$2:$E$4995,A467,ORDERS!$L$2:$L$4995,"Đã chuyển khoản"))</f>
        <v/>
      </c>
      <c r="N467" s="11" t="n"/>
    </row>
    <row r="468" ht="14.25" customHeight="1" s="40">
      <c r="A468" s="11" t="n"/>
      <c r="B468" s="11" t="n"/>
      <c r="C468" s="11" t="n"/>
      <c r="D468" s="11" t="n"/>
      <c r="E468" s="11" t="n"/>
      <c r="F468" s="11" t="n"/>
      <c r="G468" s="34" t="n"/>
      <c r="H468" s="11" t="n"/>
      <c r="I468" s="33">
        <f>IF(A468="","",DANH_MUC!$L$4&amp;"?ref="&amp;A468)</f>
        <v/>
      </c>
      <c r="J468" s="33">
        <f>IF(A468="","",IF(COUNTIF($A$2:$A$495,A468)&gt;1,"TRÙNG",""))</f>
        <v/>
      </c>
      <c r="K468" s="33">
        <f>IF(A468="","",COUNTIF(DATA_MASTER!$I$2:$I$5000,A468))</f>
        <v/>
      </c>
      <c r="L468" s="33">
        <f>IF(A468="","",COUNTIFS(DATA_MASTER!$I$2:$I$5000,A468,DATA_MASTER!$T$2:$T$5000,"Có"))</f>
        <v/>
      </c>
      <c r="M468" s="33">
        <f>IF(A468="","",COUNTIFS(ORDERS!$E$2:$E$4995,A468,ORDERS!$L$2:$L$4995,"Đã chuyển khoản"))</f>
        <v/>
      </c>
      <c r="N468" s="11" t="n"/>
    </row>
    <row r="469" ht="14.25" customHeight="1" s="40">
      <c r="A469" s="11" t="n"/>
      <c r="B469" s="11" t="n"/>
      <c r="C469" s="11" t="n"/>
      <c r="D469" s="11" t="n"/>
      <c r="E469" s="11" t="n"/>
      <c r="F469" s="11" t="n"/>
      <c r="G469" s="34" t="n"/>
      <c r="H469" s="11" t="n"/>
      <c r="I469" s="33">
        <f>IF(A469="","",DANH_MUC!$L$4&amp;"?ref="&amp;A469)</f>
        <v/>
      </c>
      <c r="J469" s="33">
        <f>IF(A469="","",IF(COUNTIF($A$2:$A$495,A469)&gt;1,"TRÙNG",""))</f>
        <v/>
      </c>
      <c r="K469" s="33">
        <f>IF(A469="","",COUNTIF(DATA_MASTER!$I$2:$I$5000,A469))</f>
        <v/>
      </c>
      <c r="L469" s="33">
        <f>IF(A469="","",COUNTIFS(DATA_MASTER!$I$2:$I$5000,A469,DATA_MASTER!$T$2:$T$5000,"Có"))</f>
        <v/>
      </c>
      <c r="M469" s="33">
        <f>IF(A469="","",COUNTIFS(ORDERS!$E$2:$E$4995,A469,ORDERS!$L$2:$L$4995,"Đã chuyển khoản"))</f>
        <v/>
      </c>
      <c r="N469" s="11" t="n"/>
    </row>
    <row r="470" ht="14.25" customHeight="1" s="40">
      <c r="A470" s="11" t="n"/>
      <c r="B470" s="11" t="n"/>
      <c r="C470" s="11" t="n"/>
      <c r="D470" s="11" t="n"/>
      <c r="E470" s="11" t="n"/>
      <c r="F470" s="11" t="n"/>
      <c r="G470" s="34" t="n"/>
      <c r="H470" s="11" t="n"/>
      <c r="I470" s="33">
        <f>IF(A470="","",DANH_MUC!$L$4&amp;"?ref="&amp;A470)</f>
        <v/>
      </c>
      <c r="J470" s="33">
        <f>IF(A470="","",IF(COUNTIF($A$2:$A$495,A470)&gt;1,"TRÙNG",""))</f>
        <v/>
      </c>
      <c r="K470" s="33">
        <f>IF(A470="","",COUNTIF(DATA_MASTER!$I$2:$I$5000,A470))</f>
        <v/>
      </c>
      <c r="L470" s="33">
        <f>IF(A470="","",COUNTIFS(DATA_MASTER!$I$2:$I$5000,A470,DATA_MASTER!$T$2:$T$5000,"Có"))</f>
        <v/>
      </c>
      <c r="M470" s="33">
        <f>IF(A470="","",COUNTIFS(ORDERS!$E$2:$E$4995,A470,ORDERS!$L$2:$L$4995,"Đã chuyển khoản"))</f>
        <v/>
      </c>
      <c r="N470" s="11" t="n"/>
    </row>
    <row r="471" ht="14.25" customHeight="1" s="40">
      <c r="A471" s="11" t="n"/>
      <c r="B471" s="11" t="n"/>
      <c r="C471" s="11" t="n"/>
      <c r="D471" s="11" t="n"/>
      <c r="E471" s="11" t="n"/>
      <c r="F471" s="11" t="n"/>
      <c r="G471" s="34" t="n"/>
      <c r="H471" s="11" t="n"/>
      <c r="I471" s="33">
        <f>IF(A471="","",DANH_MUC!$L$4&amp;"?ref="&amp;A471)</f>
        <v/>
      </c>
      <c r="J471" s="33">
        <f>IF(A471="","",IF(COUNTIF($A$2:$A$495,A471)&gt;1,"TRÙNG",""))</f>
        <v/>
      </c>
      <c r="K471" s="33">
        <f>IF(A471="","",COUNTIF(DATA_MASTER!$I$2:$I$5000,A471))</f>
        <v/>
      </c>
      <c r="L471" s="33">
        <f>IF(A471="","",COUNTIFS(DATA_MASTER!$I$2:$I$5000,A471,DATA_MASTER!$T$2:$T$5000,"Có"))</f>
        <v/>
      </c>
      <c r="M471" s="33">
        <f>IF(A471="","",COUNTIFS(ORDERS!$E$2:$E$4995,A471,ORDERS!$L$2:$L$4995,"Đã chuyển khoản"))</f>
        <v/>
      </c>
      <c r="N471" s="11" t="n"/>
    </row>
    <row r="472" ht="14.25" customHeight="1" s="40">
      <c r="A472" s="11" t="n"/>
      <c r="B472" s="11" t="n"/>
      <c r="C472" s="11" t="n"/>
      <c r="D472" s="11" t="n"/>
      <c r="E472" s="11" t="n"/>
      <c r="F472" s="11" t="n"/>
      <c r="G472" s="34" t="n"/>
      <c r="H472" s="11" t="n"/>
      <c r="I472" s="33">
        <f>IF(A472="","",DANH_MUC!$L$4&amp;"?ref="&amp;A472)</f>
        <v/>
      </c>
      <c r="J472" s="33">
        <f>IF(A472="","",IF(COUNTIF($A$2:$A$495,A472)&gt;1,"TRÙNG",""))</f>
        <v/>
      </c>
      <c r="K472" s="33">
        <f>IF(A472="","",COUNTIF(DATA_MASTER!$I$2:$I$5000,A472))</f>
        <v/>
      </c>
      <c r="L472" s="33">
        <f>IF(A472="","",COUNTIFS(DATA_MASTER!$I$2:$I$5000,A472,DATA_MASTER!$T$2:$T$5000,"Có"))</f>
        <v/>
      </c>
      <c r="M472" s="33">
        <f>IF(A472="","",COUNTIFS(ORDERS!$E$2:$E$4995,A472,ORDERS!$L$2:$L$4995,"Đã chuyển khoản"))</f>
        <v/>
      </c>
      <c r="N472" s="11" t="n"/>
    </row>
    <row r="473" ht="14.25" customHeight="1" s="40">
      <c r="A473" s="11" t="n"/>
      <c r="B473" s="11" t="n"/>
      <c r="C473" s="11" t="n"/>
      <c r="D473" s="11" t="n"/>
      <c r="E473" s="11" t="n"/>
      <c r="F473" s="11" t="n"/>
      <c r="G473" s="34" t="n"/>
      <c r="H473" s="11" t="n"/>
      <c r="I473" s="33">
        <f>IF(A473="","",DANH_MUC!$L$4&amp;"?ref="&amp;A473)</f>
        <v/>
      </c>
      <c r="J473" s="33">
        <f>IF(A473="","",IF(COUNTIF($A$2:$A$495,A473)&gt;1,"TRÙNG",""))</f>
        <v/>
      </c>
      <c r="K473" s="33">
        <f>IF(A473="","",COUNTIF(DATA_MASTER!$I$2:$I$5000,A473))</f>
        <v/>
      </c>
      <c r="L473" s="33">
        <f>IF(A473="","",COUNTIFS(DATA_MASTER!$I$2:$I$5000,A473,DATA_MASTER!$T$2:$T$5000,"Có"))</f>
        <v/>
      </c>
      <c r="M473" s="33">
        <f>IF(A473="","",COUNTIFS(ORDERS!$E$2:$E$4995,A473,ORDERS!$L$2:$L$4995,"Đã chuyển khoản"))</f>
        <v/>
      </c>
      <c r="N473" s="11" t="n"/>
    </row>
    <row r="474" ht="14.25" customHeight="1" s="40">
      <c r="A474" s="11" t="n"/>
      <c r="B474" s="11" t="n"/>
      <c r="C474" s="11" t="n"/>
      <c r="D474" s="11" t="n"/>
      <c r="E474" s="11" t="n"/>
      <c r="F474" s="11" t="n"/>
      <c r="G474" s="34" t="n"/>
      <c r="H474" s="11" t="n"/>
      <c r="I474" s="33">
        <f>IF(A474="","",DANH_MUC!$L$4&amp;"?ref="&amp;A474)</f>
        <v/>
      </c>
      <c r="J474" s="33">
        <f>IF(A474="","",IF(COUNTIF($A$2:$A$495,A474)&gt;1,"TRÙNG",""))</f>
        <v/>
      </c>
      <c r="K474" s="33">
        <f>IF(A474="","",COUNTIF(DATA_MASTER!$I$2:$I$5000,A474))</f>
        <v/>
      </c>
      <c r="L474" s="33">
        <f>IF(A474="","",COUNTIFS(DATA_MASTER!$I$2:$I$5000,A474,DATA_MASTER!$T$2:$T$5000,"Có"))</f>
        <v/>
      </c>
      <c r="M474" s="33">
        <f>IF(A474="","",COUNTIFS(ORDERS!$E$2:$E$4995,A474,ORDERS!$L$2:$L$4995,"Đã chuyển khoản"))</f>
        <v/>
      </c>
      <c r="N474" s="11" t="n"/>
    </row>
    <row r="475" ht="14.25" customHeight="1" s="40">
      <c r="A475" s="11" t="n"/>
      <c r="B475" s="11" t="n"/>
      <c r="C475" s="11" t="n"/>
      <c r="D475" s="11" t="n"/>
      <c r="E475" s="11" t="n"/>
      <c r="F475" s="11" t="n"/>
      <c r="G475" s="34" t="n"/>
      <c r="H475" s="11" t="n"/>
      <c r="I475" s="33">
        <f>IF(A475="","",DANH_MUC!$L$4&amp;"?ref="&amp;A475)</f>
        <v/>
      </c>
      <c r="J475" s="33">
        <f>IF(A475="","",IF(COUNTIF($A$2:$A$495,A475)&gt;1,"TRÙNG",""))</f>
        <v/>
      </c>
      <c r="K475" s="33">
        <f>IF(A475="","",COUNTIF(DATA_MASTER!$I$2:$I$5000,A475))</f>
        <v/>
      </c>
      <c r="L475" s="33">
        <f>IF(A475="","",COUNTIFS(DATA_MASTER!$I$2:$I$5000,A475,DATA_MASTER!$T$2:$T$5000,"Có"))</f>
        <v/>
      </c>
      <c r="M475" s="33">
        <f>IF(A475="","",COUNTIFS(ORDERS!$E$2:$E$4995,A475,ORDERS!$L$2:$L$4995,"Đã chuyển khoản"))</f>
        <v/>
      </c>
      <c r="N475" s="11" t="n"/>
    </row>
    <row r="476" ht="14.25" customHeight="1" s="40">
      <c r="A476" s="11" t="n"/>
      <c r="B476" s="11" t="n"/>
      <c r="C476" s="11" t="n"/>
      <c r="D476" s="11" t="n"/>
      <c r="E476" s="11" t="n"/>
      <c r="F476" s="11" t="n"/>
      <c r="G476" s="34" t="n"/>
      <c r="H476" s="11" t="n"/>
      <c r="I476" s="33">
        <f>IF(A476="","",DANH_MUC!$L$4&amp;"?ref="&amp;A476)</f>
        <v/>
      </c>
      <c r="J476" s="33">
        <f>IF(A476="","",IF(COUNTIF($A$2:$A$495,A476)&gt;1,"TRÙNG",""))</f>
        <v/>
      </c>
      <c r="K476" s="33">
        <f>IF(A476="","",COUNTIF(DATA_MASTER!$I$2:$I$5000,A476))</f>
        <v/>
      </c>
      <c r="L476" s="33">
        <f>IF(A476="","",COUNTIFS(DATA_MASTER!$I$2:$I$5000,A476,DATA_MASTER!$T$2:$T$5000,"Có"))</f>
        <v/>
      </c>
      <c r="M476" s="33">
        <f>IF(A476="","",COUNTIFS(ORDERS!$E$2:$E$4995,A476,ORDERS!$L$2:$L$4995,"Đã chuyển khoản"))</f>
        <v/>
      </c>
      <c r="N476" s="11" t="n"/>
    </row>
    <row r="477" ht="14.25" customHeight="1" s="40">
      <c r="A477" s="11" t="n"/>
      <c r="B477" s="11" t="n"/>
      <c r="C477" s="11" t="n"/>
      <c r="D477" s="11" t="n"/>
      <c r="E477" s="11" t="n"/>
      <c r="F477" s="11" t="n"/>
      <c r="G477" s="34" t="n"/>
      <c r="H477" s="11" t="n"/>
      <c r="I477" s="33">
        <f>IF(A477="","",DANH_MUC!$L$4&amp;"?ref="&amp;A477)</f>
        <v/>
      </c>
      <c r="J477" s="33">
        <f>IF(A477="","",IF(COUNTIF($A$2:$A$495,A477)&gt;1,"TRÙNG",""))</f>
        <v/>
      </c>
      <c r="K477" s="33">
        <f>IF(A477="","",COUNTIF(DATA_MASTER!$I$2:$I$5000,A477))</f>
        <v/>
      </c>
      <c r="L477" s="33">
        <f>IF(A477="","",COUNTIFS(DATA_MASTER!$I$2:$I$5000,A477,DATA_MASTER!$T$2:$T$5000,"Có"))</f>
        <v/>
      </c>
      <c r="M477" s="33">
        <f>IF(A477="","",COUNTIFS(ORDERS!$E$2:$E$4995,A477,ORDERS!$L$2:$L$4995,"Đã chuyển khoản"))</f>
        <v/>
      </c>
      <c r="N477" s="11" t="n"/>
    </row>
    <row r="478" ht="14.25" customHeight="1" s="40">
      <c r="A478" s="11" t="n"/>
      <c r="B478" s="11" t="n"/>
      <c r="C478" s="11" t="n"/>
      <c r="D478" s="11" t="n"/>
      <c r="E478" s="11" t="n"/>
      <c r="F478" s="11" t="n"/>
      <c r="G478" s="34" t="n"/>
      <c r="H478" s="11" t="n"/>
      <c r="I478" s="33">
        <f>IF(A478="","",DANH_MUC!$L$4&amp;"?ref="&amp;A478)</f>
        <v/>
      </c>
      <c r="J478" s="33">
        <f>IF(A478="","",IF(COUNTIF($A$2:$A$495,A478)&gt;1,"TRÙNG",""))</f>
        <v/>
      </c>
      <c r="K478" s="33">
        <f>IF(A478="","",COUNTIF(DATA_MASTER!$I$2:$I$5000,A478))</f>
        <v/>
      </c>
      <c r="L478" s="33">
        <f>IF(A478="","",COUNTIFS(DATA_MASTER!$I$2:$I$5000,A478,DATA_MASTER!$T$2:$T$5000,"Có"))</f>
        <v/>
      </c>
      <c r="M478" s="33">
        <f>IF(A478="","",COUNTIFS(ORDERS!$E$2:$E$4995,A478,ORDERS!$L$2:$L$4995,"Đã chuyển khoản"))</f>
        <v/>
      </c>
      <c r="N478" s="11" t="n"/>
    </row>
    <row r="479" ht="14.25" customHeight="1" s="40">
      <c r="A479" s="11" t="n"/>
      <c r="B479" s="11" t="n"/>
      <c r="C479" s="11" t="n"/>
      <c r="D479" s="11" t="n"/>
      <c r="E479" s="11" t="n"/>
      <c r="F479" s="11" t="n"/>
      <c r="G479" s="34" t="n"/>
      <c r="H479" s="11" t="n"/>
      <c r="I479" s="33">
        <f>IF(A479="","",DANH_MUC!$L$4&amp;"?ref="&amp;A479)</f>
        <v/>
      </c>
      <c r="J479" s="33">
        <f>IF(A479="","",IF(COUNTIF($A$2:$A$495,A479)&gt;1,"TRÙNG",""))</f>
        <v/>
      </c>
      <c r="K479" s="33">
        <f>IF(A479="","",COUNTIF(DATA_MASTER!$I$2:$I$5000,A479))</f>
        <v/>
      </c>
      <c r="L479" s="33">
        <f>IF(A479="","",COUNTIFS(DATA_MASTER!$I$2:$I$5000,A479,DATA_MASTER!$T$2:$T$5000,"Có"))</f>
        <v/>
      </c>
      <c r="M479" s="33">
        <f>IF(A479="","",COUNTIFS(ORDERS!$E$2:$E$4995,A479,ORDERS!$L$2:$L$4995,"Đã chuyển khoản"))</f>
        <v/>
      </c>
      <c r="N479" s="11" t="n"/>
    </row>
    <row r="480" ht="14.25" customHeight="1" s="40">
      <c r="A480" s="11" t="n"/>
      <c r="B480" s="11" t="n"/>
      <c r="C480" s="11" t="n"/>
      <c r="D480" s="11" t="n"/>
      <c r="E480" s="11" t="n"/>
      <c r="F480" s="11" t="n"/>
      <c r="G480" s="34" t="n"/>
      <c r="H480" s="11" t="n"/>
      <c r="I480" s="33">
        <f>IF(A480="","",DANH_MUC!$L$4&amp;"?ref="&amp;A480)</f>
        <v/>
      </c>
      <c r="J480" s="33">
        <f>IF(A480="","",IF(COUNTIF($A$2:$A$495,A480)&gt;1,"TRÙNG",""))</f>
        <v/>
      </c>
      <c r="K480" s="33">
        <f>IF(A480="","",COUNTIF(DATA_MASTER!$I$2:$I$5000,A480))</f>
        <v/>
      </c>
      <c r="L480" s="33">
        <f>IF(A480="","",COUNTIFS(DATA_MASTER!$I$2:$I$5000,A480,DATA_MASTER!$T$2:$T$5000,"Có"))</f>
        <v/>
      </c>
      <c r="M480" s="33">
        <f>IF(A480="","",COUNTIFS(ORDERS!$E$2:$E$4995,A480,ORDERS!$L$2:$L$4995,"Đã chuyển khoản"))</f>
        <v/>
      </c>
      <c r="N480" s="11" t="n"/>
    </row>
    <row r="481" ht="14.25" customHeight="1" s="40">
      <c r="A481" s="11" t="n"/>
      <c r="B481" s="11" t="n"/>
      <c r="C481" s="11" t="n"/>
      <c r="D481" s="11" t="n"/>
      <c r="E481" s="11" t="n"/>
      <c r="F481" s="11" t="n"/>
      <c r="G481" s="34" t="n"/>
      <c r="H481" s="11" t="n"/>
      <c r="I481" s="33">
        <f>IF(A481="","",DANH_MUC!$L$4&amp;"?ref="&amp;A481)</f>
        <v/>
      </c>
      <c r="J481" s="33">
        <f>IF(A481="","",IF(COUNTIF($A$2:$A$495,A481)&gt;1,"TRÙNG",""))</f>
        <v/>
      </c>
      <c r="K481" s="33">
        <f>IF(A481="","",COUNTIF(DATA_MASTER!$I$2:$I$5000,A481))</f>
        <v/>
      </c>
      <c r="L481" s="33">
        <f>IF(A481="","",COUNTIFS(DATA_MASTER!$I$2:$I$5000,A481,DATA_MASTER!$T$2:$T$5000,"Có"))</f>
        <v/>
      </c>
      <c r="M481" s="33">
        <f>IF(A481="","",COUNTIFS(ORDERS!$E$2:$E$4995,A481,ORDERS!$L$2:$L$4995,"Đã chuyển khoản"))</f>
        <v/>
      </c>
      <c r="N481" s="11" t="n"/>
    </row>
    <row r="482" ht="14.25" customHeight="1" s="40">
      <c r="A482" s="11" t="n"/>
      <c r="B482" s="11" t="n"/>
      <c r="C482" s="11" t="n"/>
      <c r="D482" s="11" t="n"/>
      <c r="E482" s="11" t="n"/>
      <c r="F482" s="11" t="n"/>
      <c r="G482" s="34" t="n"/>
      <c r="H482" s="11" t="n"/>
      <c r="I482" s="33">
        <f>IF(A482="","",DANH_MUC!$L$4&amp;"?ref="&amp;A482)</f>
        <v/>
      </c>
      <c r="J482" s="33">
        <f>IF(A482="","",IF(COUNTIF($A$2:$A$495,A482)&gt;1,"TRÙNG",""))</f>
        <v/>
      </c>
      <c r="K482" s="33">
        <f>IF(A482="","",COUNTIF(DATA_MASTER!$I$2:$I$5000,A482))</f>
        <v/>
      </c>
      <c r="L482" s="33">
        <f>IF(A482="","",COUNTIFS(DATA_MASTER!$I$2:$I$5000,A482,DATA_MASTER!$T$2:$T$5000,"Có"))</f>
        <v/>
      </c>
      <c r="M482" s="33">
        <f>IF(A482="","",COUNTIFS(ORDERS!$E$2:$E$4995,A482,ORDERS!$L$2:$L$4995,"Đã chuyển khoản"))</f>
        <v/>
      </c>
      <c r="N482" s="11" t="n"/>
    </row>
    <row r="483" ht="14.25" customHeight="1" s="40">
      <c r="A483" s="11" t="n"/>
      <c r="B483" s="11" t="n"/>
      <c r="C483" s="11" t="n"/>
      <c r="D483" s="11" t="n"/>
      <c r="E483" s="11" t="n"/>
      <c r="F483" s="11" t="n"/>
      <c r="G483" s="34" t="n"/>
      <c r="H483" s="11" t="n"/>
      <c r="I483" s="33">
        <f>IF(A483="","",DANH_MUC!$L$4&amp;"?ref="&amp;A483)</f>
        <v/>
      </c>
      <c r="J483" s="33">
        <f>IF(A483="","",IF(COUNTIF($A$2:$A$495,A483)&gt;1,"TRÙNG",""))</f>
        <v/>
      </c>
      <c r="K483" s="33">
        <f>IF(A483="","",COUNTIF(DATA_MASTER!$I$2:$I$5000,A483))</f>
        <v/>
      </c>
      <c r="L483" s="33">
        <f>IF(A483="","",COUNTIFS(DATA_MASTER!$I$2:$I$5000,A483,DATA_MASTER!$T$2:$T$5000,"Có"))</f>
        <v/>
      </c>
      <c r="M483" s="33">
        <f>IF(A483="","",COUNTIFS(ORDERS!$E$2:$E$4995,A483,ORDERS!$L$2:$L$4995,"Đã chuyển khoản"))</f>
        <v/>
      </c>
      <c r="N483" s="11" t="n"/>
    </row>
    <row r="484" ht="14.25" customHeight="1" s="40">
      <c r="A484" s="11" t="n"/>
      <c r="B484" s="11" t="n"/>
      <c r="C484" s="11" t="n"/>
      <c r="D484" s="11" t="n"/>
      <c r="E484" s="11" t="n"/>
      <c r="F484" s="11" t="n"/>
      <c r="G484" s="34" t="n"/>
      <c r="H484" s="11" t="n"/>
      <c r="I484" s="33">
        <f>IF(A484="","",DANH_MUC!$L$4&amp;"?ref="&amp;A484)</f>
        <v/>
      </c>
      <c r="J484" s="33">
        <f>IF(A484="","",IF(COUNTIF($A$2:$A$495,A484)&gt;1,"TRÙNG",""))</f>
        <v/>
      </c>
      <c r="K484" s="33">
        <f>IF(A484="","",COUNTIF(DATA_MASTER!$I$2:$I$5000,A484))</f>
        <v/>
      </c>
      <c r="L484" s="33">
        <f>IF(A484="","",COUNTIFS(DATA_MASTER!$I$2:$I$5000,A484,DATA_MASTER!$T$2:$T$5000,"Có"))</f>
        <v/>
      </c>
      <c r="M484" s="33">
        <f>IF(A484="","",COUNTIFS(ORDERS!$E$2:$E$4995,A484,ORDERS!$L$2:$L$4995,"Đã chuyển khoản"))</f>
        <v/>
      </c>
      <c r="N484" s="11" t="n"/>
    </row>
    <row r="485" ht="14.25" customHeight="1" s="40">
      <c r="A485" s="11" t="n"/>
      <c r="B485" s="11" t="n"/>
      <c r="C485" s="11" t="n"/>
      <c r="D485" s="11" t="n"/>
      <c r="E485" s="11" t="n"/>
      <c r="F485" s="11" t="n"/>
      <c r="G485" s="34" t="n"/>
      <c r="H485" s="11" t="n"/>
      <c r="I485" s="33">
        <f>IF(A485="","",DANH_MUC!$L$4&amp;"?ref="&amp;A485)</f>
        <v/>
      </c>
      <c r="J485" s="33">
        <f>IF(A485="","",IF(COUNTIF($A$2:$A$495,A485)&gt;1,"TRÙNG",""))</f>
        <v/>
      </c>
      <c r="K485" s="33">
        <f>IF(A485="","",COUNTIF(DATA_MASTER!$I$2:$I$5000,A485))</f>
        <v/>
      </c>
      <c r="L485" s="33">
        <f>IF(A485="","",COUNTIFS(DATA_MASTER!$I$2:$I$5000,A485,DATA_MASTER!$T$2:$T$5000,"Có"))</f>
        <v/>
      </c>
      <c r="M485" s="33">
        <f>IF(A485="","",COUNTIFS(ORDERS!$E$2:$E$4995,A485,ORDERS!$L$2:$L$4995,"Đã chuyển khoản"))</f>
        <v/>
      </c>
      <c r="N485" s="11" t="n"/>
    </row>
    <row r="486" ht="14.25" customHeight="1" s="40">
      <c r="A486" s="11" t="n"/>
      <c r="B486" s="11" t="n"/>
      <c r="C486" s="11" t="n"/>
      <c r="D486" s="11" t="n"/>
      <c r="E486" s="11" t="n"/>
      <c r="F486" s="11" t="n"/>
      <c r="G486" s="34" t="n"/>
      <c r="H486" s="11" t="n"/>
      <c r="I486" s="33">
        <f>IF(A486="","",DANH_MUC!$L$4&amp;"?ref="&amp;A486)</f>
        <v/>
      </c>
      <c r="J486" s="33">
        <f>IF(A486="","",IF(COUNTIF($A$2:$A$495,A486)&gt;1,"TRÙNG",""))</f>
        <v/>
      </c>
      <c r="K486" s="33">
        <f>IF(A486="","",COUNTIF(DATA_MASTER!$I$2:$I$5000,A486))</f>
        <v/>
      </c>
      <c r="L486" s="33">
        <f>IF(A486="","",COUNTIFS(DATA_MASTER!$I$2:$I$5000,A486,DATA_MASTER!$T$2:$T$5000,"Có"))</f>
        <v/>
      </c>
      <c r="M486" s="33">
        <f>IF(A486="","",COUNTIFS(ORDERS!$E$2:$E$4995,A486,ORDERS!$L$2:$L$4995,"Đã chuyển khoản"))</f>
        <v/>
      </c>
      <c r="N486" s="11" t="n"/>
    </row>
    <row r="487" ht="14.25" customHeight="1" s="40">
      <c r="A487" s="11" t="n"/>
      <c r="B487" s="11" t="n"/>
      <c r="C487" s="11" t="n"/>
      <c r="D487" s="11" t="n"/>
      <c r="E487" s="11" t="n"/>
      <c r="F487" s="11" t="n"/>
      <c r="G487" s="34" t="n"/>
      <c r="H487" s="11" t="n"/>
      <c r="I487" s="33">
        <f>IF(A487="","",DANH_MUC!$L$4&amp;"?ref="&amp;A487)</f>
        <v/>
      </c>
      <c r="J487" s="33">
        <f>IF(A487="","",IF(COUNTIF($A$2:$A$495,A487)&gt;1,"TRÙNG",""))</f>
        <v/>
      </c>
      <c r="K487" s="33">
        <f>IF(A487="","",COUNTIF(DATA_MASTER!$I$2:$I$5000,A487))</f>
        <v/>
      </c>
      <c r="L487" s="33">
        <f>IF(A487="","",COUNTIFS(DATA_MASTER!$I$2:$I$5000,A487,DATA_MASTER!$T$2:$T$5000,"Có"))</f>
        <v/>
      </c>
      <c r="M487" s="33">
        <f>IF(A487="","",COUNTIFS(ORDERS!$E$2:$E$4995,A487,ORDERS!$L$2:$L$4995,"Đã chuyển khoản"))</f>
        <v/>
      </c>
      <c r="N487" s="11" t="n"/>
    </row>
    <row r="488" ht="14.25" customHeight="1" s="40">
      <c r="A488" s="11" t="n"/>
      <c r="B488" s="11" t="n"/>
      <c r="C488" s="11" t="n"/>
      <c r="D488" s="11" t="n"/>
      <c r="E488" s="11" t="n"/>
      <c r="F488" s="11" t="n"/>
      <c r="G488" s="34" t="n"/>
      <c r="H488" s="11" t="n"/>
      <c r="I488" s="33">
        <f>IF(A488="","",DANH_MUC!$L$4&amp;"?ref="&amp;A488)</f>
        <v/>
      </c>
      <c r="J488" s="33">
        <f>IF(A488="","",IF(COUNTIF($A$2:$A$495,A488)&gt;1,"TRÙNG",""))</f>
        <v/>
      </c>
      <c r="K488" s="33">
        <f>IF(A488="","",COUNTIF(DATA_MASTER!$I$2:$I$5000,A488))</f>
        <v/>
      </c>
      <c r="L488" s="33">
        <f>IF(A488="","",COUNTIFS(DATA_MASTER!$I$2:$I$5000,A488,DATA_MASTER!$T$2:$T$5000,"Có"))</f>
        <v/>
      </c>
      <c r="M488" s="33">
        <f>IF(A488="","",COUNTIFS(ORDERS!$E$2:$E$4995,A488,ORDERS!$L$2:$L$4995,"Đã chuyển khoản"))</f>
        <v/>
      </c>
      <c r="N488" s="11" t="n"/>
    </row>
    <row r="489" ht="14.25" customHeight="1" s="40">
      <c r="A489" s="11" t="n"/>
      <c r="B489" s="11" t="n"/>
      <c r="C489" s="11" t="n"/>
      <c r="D489" s="11" t="n"/>
      <c r="E489" s="11" t="n"/>
      <c r="F489" s="11" t="n"/>
      <c r="G489" s="34" t="n"/>
      <c r="H489" s="11" t="n"/>
      <c r="I489" s="33">
        <f>IF(A489="","",DANH_MUC!$L$4&amp;"?ref="&amp;A489)</f>
        <v/>
      </c>
      <c r="J489" s="33">
        <f>IF(A489="","",IF(COUNTIF($A$2:$A$495,A489)&gt;1,"TRÙNG",""))</f>
        <v/>
      </c>
      <c r="K489" s="33">
        <f>IF(A489="","",COUNTIF(DATA_MASTER!$I$2:$I$5000,A489))</f>
        <v/>
      </c>
      <c r="L489" s="33">
        <f>IF(A489="","",COUNTIFS(DATA_MASTER!$I$2:$I$5000,A489,DATA_MASTER!$T$2:$T$5000,"Có"))</f>
        <v/>
      </c>
      <c r="M489" s="33">
        <f>IF(A489="","",COUNTIFS(ORDERS!$E$2:$E$4995,A489,ORDERS!$L$2:$L$4995,"Đã chuyển khoản"))</f>
        <v/>
      </c>
      <c r="N489" s="11" t="n"/>
    </row>
    <row r="490" ht="14.25" customHeight="1" s="40">
      <c r="A490" s="11" t="n"/>
      <c r="B490" s="11" t="n"/>
      <c r="C490" s="11" t="n"/>
      <c r="D490" s="11" t="n"/>
      <c r="E490" s="11" t="n"/>
      <c r="F490" s="11" t="n"/>
      <c r="G490" s="34" t="n"/>
      <c r="H490" s="11" t="n"/>
      <c r="I490" s="33">
        <f>IF(A490="","",DANH_MUC!$L$4&amp;"?ref="&amp;A490)</f>
        <v/>
      </c>
      <c r="J490" s="33">
        <f>IF(A490="","",IF(COUNTIF($A$2:$A$495,A490)&gt;1,"TRÙNG",""))</f>
        <v/>
      </c>
      <c r="K490" s="33">
        <f>IF(A490="","",COUNTIF(DATA_MASTER!$I$2:$I$5000,A490))</f>
        <v/>
      </c>
      <c r="L490" s="33">
        <f>IF(A490="","",COUNTIFS(DATA_MASTER!$I$2:$I$5000,A490,DATA_MASTER!$T$2:$T$5000,"Có"))</f>
        <v/>
      </c>
      <c r="M490" s="33">
        <f>IF(A490="","",COUNTIFS(ORDERS!$E$2:$E$4995,A490,ORDERS!$L$2:$L$4995,"Đã chuyển khoản"))</f>
        <v/>
      </c>
      <c r="N490" s="11" t="n"/>
    </row>
    <row r="491" ht="14.25" customHeight="1" s="40">
      <c r="A491" s="11" t="n"/>
      <c r="B491" s="11" t="n"/>
      <c r="C491" s="11" t="n"/>
      <c r="D491" s="11" t="n"/>
      <c r="E491" s="11" t="n"/>
      <c r="F491" s="11" t="n"/>
      <c r="G491" s="34" t="n"/>
      <c r="H491" s="11" t="n"/>
      <c r="I491" s="33">
        <f>IF(A491="","",DANH_MUC!$L$4&amp;"?ref="&amp;A491)</f>
        <v/>
      </c>
      <c r="J491" s="33">
        <f>IF(A491="","",IF(COUNTIF($A$2:$A$495,A491)&gt;1,"TRÙNG",""))</f>
        <v/>
      </c>
      <c r="K491" s="33">
        <f>IF(A491="","",COUNTIF(DATA_MASTER!$I$2:$I$5000,A491))</f>
        <v/>
      </c>
      <c r="L491" s="33">
        <f>IF(A491="","",COUNTIFS(DATA_MASTER!$I$2:$I$5000,A491,DATA_MASTER!$T$2:$T$5000,"Có"))</f>
        <v/>
      </c>
      <c r="M491" s="33">
        <f>IF(A491="","",COUNTIFS(ORDERS!$E$2:$E$4995,A491,ORDERS!$L$2:$L$4995,"Đã chuyển khoản"))</f>
        <v/>
      </c>
      <c r="N491" s="11" t="n"/>
    </row>
    <row r="492" ht="14.25" customHeight="1" s="40">
      <c r="A492" s="11" t="n"/>
      <c r="B492" s="11" t="n"/>
      <c r="C492" s="11" t="n"/>
      <c r="D492" s="11" t="n"/>
      <c r="E492" s="11" t="n"/>
      <c r="F492" s="11" t="n"/>
      <c r="G492" s="34" t="n"/>
      <c r="H492" s="11" t="n"/>
      <c r="I492" s="33">
        <f>IF(A492="","",DANH_MUC!$L$4&amp;"?ref="&amp;A492)</f>
        <v/>
      </c>
      <c r="J492" s="33">
        <f>IF(A492="","",IF(COUNTIF($A$2:$A$495,A492)&gt;1,"TRÙNG",""))</f>
        <v/>
      </c>
      <c r="K492" s="33">
        <f>IF(A492="","",COUNTIF(DATA_MASTER!$I$2:$I$5000,A492))</f>
        <v/>
      </c>
      <c r="L492" s="33">
        <f>IF(A492="","",COUNTIFS(DATA_MASTER!$I$2:$I$5000,A492,DATA_MASTER!$T$2:$T$5000,"Có"))</f>
        <v/>
      </c>
      <c r="M492" s="33">
        <f>IF(A492="","",COUNTIFS(ORDERS!$E$2:$E$4995,A492,ORDERS!$L$2:$L$4995,"Đã chuyển khoản"))</f>
        <v/>
      </c>
      <c r="N492" s="11" t="n"/>
    </row>
    <row r="493" ht="14.25" customHeight="1" s="40">
      <c r="A493" s="11" t="n"/>
      <c r="B493" s="11" t="n"/>
      <c r="C493" s="11" t="n"/>
      <c r="D493" s="11" t="n"/>
      <c r="E493" s="11" t="n"/>
      <c r="F493" s="11" t="n"/>
      <c r="G493" s="34" t="n"/>
      <c r="H493" s="11" t="n"/>
      <c r="I493" s="33">
        <f>IF(A493="","",DANH_MUC!$L$4&amp;"?ref="&amp;A493)</f>
        <v/>
      </c>
      <c r="J493" s="33">
        <f>IF(A493="","",IF(COUNTIF($A$2:$A$495,A493)&gt;1,"TRÙNG",""))</f>
        <v/>
      </c>
      <c r="K493" s="33">
        <f>IF(A493="","",COUNTIF(DATA_MASTER!$I$2:$I$5000,A493))</f>
        <v/>
      </c>
      <c r="L493" s="33">
        <f>IF(A493="","",COUNTIFS(DATA_MASTER!$I$2:$I$5000,A493,DATA_MASTER!$T$2:$T$5000,"Có"))</f>
        <v/>
      </c>
      <c r="M493" s="33">
        <f>IF(A493="","",COUNTIFS(ORDERS!$E$2:$E$4995,A493,ORDERS!$L$2:$L$4995,"Đã chuyển khoản"))</f>
        <v/>
      </c>
      <c r="N493" s="11" t="n"/>
    </row>
    <row r="494" ht="14.25" customHeight="1" s="40">
      <c r="A494" s="11" t="n"/>
      <c r="B494" s="11" t="n"/>
      <c r="C494" s="11" t="n"/>
      <c r="D494" s="11" t="n"/>
      <c r="E494" s="11" t="n"/>
      <c r="F494" s="11" t="n"/>
      <c r="G494" s="34" t="n"/>
      <c r="H494" s="11" t="n"/>
      <c r="I494" s="33">
        <f>IF(A494="","",DANH_MUC!$L$4&amp;"?ref="&amp;A494)</f>
        <v/>
      </c>
      <c r="J494" s="33">
        <f>IF(A494="","",IF(COUNTIF($A$2:$A$495,A494)&gt;1,"TRÙNG",""))</f>
        <v/>
      </c>
      <c r="K494" s="33">
        <f>IF(A494="","",COUNTIF(DATA_MASTER!$I$2:$I$5000,A494))</f>
        <v/>
      </c>
      <c r="L494" s="33">
        <f>IF(A494="","",COUNTIFS(DATA_MASTER!$I$2:$I$5000,A494,DATA_MASTER!$T$2:$T$5000,"Có"))</f>
        <v/>
      </c>
      <c r="M494" s="33">
        <f>IF(A494="","",COUNTIFS(ORDERS!$E$2:$E$4995,A494,ORDERS!$L$2:$L$4995,"Đã chuyển khoản"))</f>
        <v/>
      </c>
      <c r="N494" s="11" t="n"/>
    </row>
    <row r="495" ht="14.25" customHeight="1" s="40">
      <c r="A495" s="11" t="n"/>
      <c r="B495" s="11" t="n"/>
      <c r="C495" s="11" t="n"/>
      <c r="D495" s="11" t="n"/>
      <c r="E495" s="11" t="n"/>
      <c r="F495" s="11" t="n"/>
      <c r="G495" s="34" t="n"/>
      <c r="H495" s="11" t="n"/>
      <c r="I495" s="33">
        <f>IF(A495="","",DANH_MUC!$L$4&amp;"?ref="&amp;A495)</f>
        <v/>
      </c>
      <c r="J495" s="33">
        <f>IF(A495="","",IF(COUNTIF($A$2:$A$495,A495)&gt;1,"TRÙNG",""))</f>
        <v/>
      </c>
      <c r="K495" s="33">
        <f>IF(A495="","",COUNTIF(DATA_MASTER!$I$2:$I$5000,A495))</f>
        <v/>
      </c>
      <c r="L495" s="33">
        <f>IF(A495="","",COUNTIFS(DATA_MASTER!$I$2:$I$5000,A495,DATA_MASTER!$T$2:$T$5000,"Có"))</f>
        <v/>
      </c>
      <c r="M495" s="33">
        <f>IF(A495="","",COUNTIFS(ORDERS!$E$2:$E$4995,A495,ORDERS!$L$2:$L$4995,"Đã chuyển khoản"))</f>
        <v/>
      </c>
      <c r="N495" s="11" t="n"/>
    </row>
    <row r="496" ht="14.25" customHeight="1" s="40"/>
    <row r="497" ht="14.25" customHeight="1" s="40"/>
    <row r="498" ht="14.25" customHeight="1" s="40"/>
    <row r="499" ht="14.25" customHeight="1" s="40"/>
    <row r="500" ht="14.25" customHeight="1" s="40"/>
    <row r="501" ht="14.25" customHeight="1" s="40"/>
    <row r="502" ht="14.25" customHeight="1" s="40"/>
    <row r="503" ht="14.25" customHeight="1" s="40"/>
    <row r="504" ht="14.25" customHeight="1" s="40"/>
    <row r="505" ht="14.25" customHeight="1" s="40"/>
    <row r="506" ht="14.25" customHeight="1" s="40"/>
    <row r="507" ht="14.25" customHeight="1" s="40"/>
    <row r="508" ht="14.25" customHeight="1" s="40"/>
    <row r="509" ht="14.25" customHeight="1" s="40"/>
    <row r="510" ht="14.25" customHeight="1" s="40"/>
    <row r="511" ht="14.25" customHeight="1" s="40"/>
    <row r="512" ht="14.25" customHeight="1" s="40"/>
    <row r="513" ht="14.25" customHeight="1" s="40"/>
    <row r="514" ht="14.25" customHeight="1" s="40"/>
    <row r="515" ht="14.25" customHeight="1" s="40"/>
    <row r="516" ht="14.25" customHeight="1" s="40"/>
    <row r="517" ht="14.25" customHeight="1" s="40"/>
    <row r="518" ht="14.25" customHeight="1" s="40"/>
    <row r="519" ht="14.25" customHeight="1" s="40"/>
    <row r="520" ht="14.25" customHeight="1" s="40"/>
    <row r="521" ht="14.25" customHeight="1" s="40"/>
    <row r="522" ht="14.25" customHeight="1" s="40"/>
    <row r="523" ht="14.25" customHeight="1" s="40"/>
    <row r="524" ht="14.25" customHeight="1" s="40"/>
    <row r="525" ht="14.25" customHeight="1" s="40"/>
    <row r="526" ht="14.25" customHeight="1" s="40"/>
    <row r="527" ht="14.25" customHeight="1" s="40"/>
    <row r="528" ht="14.25" customHeight="1" s="40"/>
    <row r="529" ht="14.25" customHeight="1" s="40"/>
    <row r="530" ht="14.25" customHeight="1" s="40"/>
    <row r="531" ht="14.25" customHeight="1" s="40"/>
    <row r="532" ht="14.25" customHeight="1" s="40"/>
    <row r="533" ht="14.25" customHeight="1" s="40"/>
    <row r="534" ht="14.25" customHeight="1" s="40"/>
    <row r="535" ht="14.25" customHeight="1" s="40"/>
    <row r="536" ht="14.25" customHeight="1" s="40"/>
    <row r="537" ht="14.25" customHeight="1" s="40"/>
    <row r="538" ht="14.25" customHeight="1" s="40"/>
    <row r="539" ht="14.25" customHeight="1" s="40"/>
    <row r="540" ht="14.25" customHeight="1" s="40"/>
    <row r="541" ht="14.25" customHeight="1" s="40"/>
    <row r="542" ht="14.25" customHeight="1" s="40"/>
    <row r="543" ht="14.25" customHeight="1" s="40"/>
    <row r="544" ht="14.25" customHeight="1" s="40"/>
    <row r="545" ht="14.25" customHeight="1" s="40"/>
    <row r="546" ht="14.25" customHeight="1" s="40"/>
    <row r="547" ht="14.25" customHeight="1" s="40"/>
    <row r="548" ht="14.25" customHeight="1" s="40"/>
    <row r="549" ht="14.25" customHeight="1" s="40"/>
    <row r="550" ht="14.25" customHeight="1" s="40"/>
    <row r="551" ht="14.25" customHeight="1" s="40"/>
    <row r="552" ht="14.25" customHeight="1" s="40"/>
    <row r="553" ht="14.25" customHeight="1" s="40"/>
    <row r="554" ht="14.25" customHeight="1" s="40"/>
    <row r="555" ht="14.25" customHeight="1" s="40"/>
    <row r="556" ht="14.25" customHeight="1" s="40"/>
    <row r="557" ht="14.25" customHeight="1" s="40"/>
    <row r="558" ht="14.25" customHeight="1" s="40"/>
    <row r="559" ht="14.25" customHeight="1" s="40"/>
    <row r="560" ht="14.25" customHeight="1" s="40"/>
    <row r="561" ht="14.25" customHeight="1" s="40"/>
    <row r="562" ht="14.25" customHeight="1" s="40"/>
    <row r="563" ht="14.25" customHeight="1" s="40"/>
    <row r="564" ht="14.25" customHeight="1" s="40"/>
    <row r="565" ht="14.25" customHeight="1" s="40"/>
    <row r="566" ht="14.25" customHeight="1" s="40"/>
    <row r="567" ht="14.25" customHeight="1" s="40"/>
    <row r="568" ht="14.25" customHeight="1" s="40"/>
    <row r="569" ht="14.25" customHeight="1" s="40"/>
    <row r="570" ht="14.25" customHeight="1" s="40"/>
    <row r="571" ht="14.25" customHeight="1" s="40"/>
    <row r="572" ht="14.25" customHeight="1" s="40"/>
    <row r="573" ht="14.25" customHeight="1" s="40"/>
    <row r="574" ht="14.25" customHeight="1" s="40"/>
    <row r="575" ht="14.25" customHeight="1" s="40"/>
    <row r="576" ht="14.25" customHeight="1" s="40"/>
    <row r="577" ht="14.25" customHeight="1" s="40"/>
    <row r="578" ht="14.25" customHeight="1" s="40"/>
    <row r="579" ht="14.25" customHeight="1" s="40"/>
    <row r="580" ht="14.25" customHeight="1" s="40"/>
    <row r="581" ht="14.25" customHeight="1" s="40"/>
    <row r="582" ht="14.25" customHeight="1" s="40"/>
    <row r="583" ht="14.25" customHeight="1" s="40"/>
    <row r="584" ht="14.25" customHeight="1" s="40"/>
    <row r="585" ht="14.25" customHeight="1" s="40"/>
    <row r="586" ht="14.25" customHeight="1" s="40"/>
    <row r="587" ht="14.25" customHeight="1" s="40"/>
    <row r="588" ht="14.25" customHeight="1" s="40"/>
    <row r="589" ht="14.25" customHeight="1" s="40"/>
    <row r="590" ht="14.25" customHeight="1" s="40"/>
    <row r="591" ht="14.25" customHeight="1" s="40"/>
    <row r="592" ht="14.25" customHeight="1" s="40"/>
    <row r="593" ht="14.25" customHeight="1" s="40"/>
    <row r="594" ht="14.25" customHeight="1" s="40"/>
    <row r="595" ht="14.25" customHeight="1" s="40"/>
    <row r="596" ht="14.25" customHeight="1" s="40"/>
    <row r="597" ht="14.25" customHeight="1" s="40"/>
    <row r="598" ht="14.25" customHeight="1" s="40"/>
    <row r="599" ht="14.25" customHeight="1" s="40"/>
    <row r="600" ht="14.25" customHeight="1" s="40"/>
    <row r="601" ht="14.25" customHeight="1" s="40"/>
    <row r="602" ht="14.25" customHeight="1" s="40"/>
    <row r="603" ht="14.25" customHeight="1" s="40"/>
    <row r="604" ht="14.25" customHeight="1" s="40"/>
    <row r="605" ht="14.25" customHeight="1" s="40"/>
    <row r="606" ht="14.25" customHeight="1" s="40"/>
    <row r="607" ht="14.25" customHeight="1" s="40"/>
    <row r="608" ht="14.25" customHeight="1" s="40"/>
    <row r="609" ht="14.25" customHeight="1" s="40"/>
    <row r="610" ht="14.25" customHeight="1" s="40"/>
    <row r="611" ht="14.25" customHeight="1" s="40"/>
    <row r="612" ht="14.25" customHeight="1" s="40"/>
    <row r="613" ht="14.25" customHeight="1" s="40"/>
    <row r="614" ht="14.25" customHeight="1" s="40"/>
    <row r="615" ht="14.25" customHeight="1" s="40"/>
    <row r="616" ht="14.25" customHeight="1" s="40"/>
    <row r="617" ht="14.25" customHeight="1" s="40"/>
    <row r="618" ht="14.25" customHeight="1" s="40"/>
    <row r="619" ht="14.25" customHeight="1" s="40"/>
    <row r="620" ht="14.25" customHeight="1" s="40"/>
    <row r="621" ht="14.25" customHeight="1" s="40"/>
    <row r="622" ht="14.25" customHeight="1" s="40"/>
    <row r="623" ht="14.25" customHeight="1" s="40"/>
    <row r="624" ht="14.25" customHeight="1" s="40"/>
    <row r="625" ht="14.25" customHeight="1" s="40"/>
    <row r="626" ht="14.25" customHeight="1" s="40"/>
    <row r="627" ht="14.25" customHeight="1" s="40"/>
    <row r="628" ht="14.25" customHeight="1" s="40"/>
    <row r="629" ht="14.25" customHeight="1" s="40"/>
    <row r="630" ht="14.25" customHeight="1" s="40"/>
    <row r="631" ht="14.25" customHeight="1" s="40"/>
    <row r="632" ht="14.25" customHeight="1" s="40"/>
    <row r="633" ht="14.25" customHeight="1" s="40"/>
    <row r="634" ht="14.25" customHeight="1" s="40"/>
    <row r="635" ht="14.25" customHeight="1" s="40"/>
    <row r="636" ht="14.25" customHeight="1" s="40"/>
    <row r="637" ht="14.25" customHeight="1" s="40"/>
    <row r="638" ht="14.25" customHeight="1" s="40"/>
    <row r="639" ht="14.25" customHeight="1" s="40"/>
    <row r="640" ht="14.25" customHeight="1" s="40"/>
    <row r="641" ht="14.25" customHeight="1" s="40"/>
    <row r="642" ht="14.25" customHeight="1" s="40"/>
    <row r="643" ht="14.25" customHeight="1" s="40"/>
    <row r="644" ht="14.25" customHeight="1" s="40"/>
    <row r="645" ht="14.25" customHeight="1" s="40"/>
    <row r="646" ht="14.25" customHeight="1" s="40"/>
    <row r="647" ht="14.25" customHeight="1" s="40"/>
    <row r="648" ht="14.25" customHeight="1" s="40"/>
    <row r="649" ht="14.25" customHeight="1" s="40"/>
    <row r="650" ht="14.25" customHeight="1" s="40"/>
    <row r="651" ht="14.25" customHeight="1" s="40"/>
    <row r="652" ht="14.25" customHeight="1" s="40"/>
    <row r="653" ht="14.25" customHeight="1" s="40"/>
    <row r="654" ht="14.25" customHeight="1" s="40"/>
    <row r="655" ht="14.25" customHeight="1" s="40"/>
    <row r="656" ht="14.25" customHeight="1" s="40"/>
    <row r="657" ht="14.25" customHeight="1" s="40"/>
    <row r="658" ht="14.25" customHeight="1" s="40"/>
    <row r="659" ht="14.25" customHeight="1" s="40"/>
    <row r="660" ht="14.25" customHeight="1" s="40"/>
    <row r="661" ht="14.25" customHeight="1" s="40"/>
    <row r="662" ht="14.25" customHeight="1" s="40"/>
    <row r="663" ht="14.25" customHeight="1" s="40"/>
    <row r="664" ht="14.25" customHeight="1" s="40"/>
    <row r="665" ht="14.25" customHeight="1" s="40"/>
    <row r="666" ht="14.25" customHeight="1" s="40"/>
    <row r="667" ht="14.25" customHeight="1" s="40"/>
    <row r="668" ht="14.25" customHeight="1" s="40"/>
    <row r="669" ht="14.25" customHeight="1" s="40"/>
    <row r="670" ht="14.25" customHeight="1" s="40"/>
    <row r="671" ht="14.25" customHeight="1" s="40"/>
    <row r="672" ht="14.25" customHeight="1" s="40"/>
    <row r="673" ht="14.25" customHeight="1" s="40"/>
    <row r="674" ht="14.25" customHeight="1" s="40"/>
    <row r="675" ht="14.25" customHeight="1" s="40"/>
    <row r="676" ht="14.25" customHeight="1" s="40"/>
    <row r="677" ht="14.25" customHeight="1" s="40"/>
    <row r="678" ht="14.25" customHeight="1" s="40"/>
    <row r="679" ht="14.25" customHeight="1" s="40"/>
    <row r="680" ht="14.25" customHeight="1" s="40"/>
    <row r="681" ht="14.25" customHeight="1" s="40"/>
    <row r="682" ht="14.25" customHeight="1" s="40"/>
    <row r="683" ht="14.25" customHeight="1" s="40"/>
    <row r="684" ht="14.25" customHeight="1" s="40"/>
    <row r="685" ht="14.25" customHeight="1" s="40"/>
    <row r="686" ht="14.25" customHeight="1" s="40"/>
    <row r="687" ht="14.25" customHeight="1" s="40"/>
    <row r="688" ht="14.25" customHeight="1" s="40"/>
    <row r="689" ht="14.25" customHeight="1" s="40"/>
    <row r="690" ht="14.25" customHeight="1" s="40"/>
    <row r="691" ht="14.25" customHeight="1" s="40"/>
    <row r="692" ht="14.25" customHeight="1" s="40"/>
    <row r="693" ht="14.25" customHeight="1" s="40"/>
    <row r="694" ht="14.25" customHeight="1" s="40"/>
    <row r="695" ht="14.25" customHeight="1" s="40"/>
    <row r="696" ht="14.25" customHeight="1" s="40"/>
    <row r="697" ht="14.25" customHeight="1" s="40"/>
    <row r="698" ht="14.25" customHeight="1" s="40"/>
    <row r="699" ht="14.25" customHeight="1" s="40"/>
    <row r="700" ht="14.25" customHeight="1" s="40"/>
    <row r="701" ht="14.25" customHeight="1" s="40"/>
    <row r="702" ht="14.25" customHeight="1" s="40"/>
    <row r="703" ht="14.25" customHeight="1" s="40"/>
    <row r="704" ht="14.25" customHeight="1" s="40"/>
    <row r="705" ht="14.25" customHeight="1" s="40"/>
    <row r="706" ht="14.25" customHeight="1" s="40"/>
    <row r="707" ht="14.25" customHeight="1" s="40"/>
    <row r="708" ht="14.25" customHeight="1" s="40"/>
    <row r="709" ht="14.25" customHeight="1" s="40"/>
    <row r="710" ht="14.25" customHeight="1" s="40"/>
    <row r="711" ht="14.25" customHeight="1" s="40"/>
    <row r="712" ht="14.25" customHeight="1" s="40"/>
    <row r="713" ht="14.25" customHeight="1" s="40"/>
    <row r="714" ht="14.25" customHeight="1" s="40"/>
    <row r="715" ht="14.25" customHeight="1" s="40"/>
    <row r="716" ht="14.25" customHeight="1" s="40"/>
    <row r="717" ht="14.25" customHeight="1" s="40"/>
    <row r="718" ht="14.25" customHeight="1" s="40"/>
    <row r="719" ht="14.25" customHeight="1" s="40"/>
    <row r="720" ht="14.25" customHeight="1" s="40"/>
    <row r="721" ht="14.25" customHeight="1" s="40"/>
    <row r="722" ht="14.25" customHeight="1" s="40"/>
    <row r="723" ht="14.25" customHeight="1" s="40"/>
    <row r="724" ht="14.25" customHeight="1" s="40"/>
    <row r="725" ht="14.25" customHeight="1" s="40"/>
    <row r="726" ht="14.25" customHeight="1" s="40"/>
    <row r="727" ht="14.25" customHeight="1" s="40"/>
    <row r="728" ht="14.25" customHeight="1" s="40"/>
    <row r="729" ht="14.25" customHeight="1" s="40"/>
    <row r="730" ht="14.25" customHeight="1" s="40"/>
    <row r="731" ht="14.25" customHeight="1" s="40"/>
    <row r="732" ht="14.25" customHeight="1" s="40"/>
    <row r="733" ht="14.25" customHeight="1" s="40"/>
    <row r="734" ht="14.25" customHeight="1" s="40"/>
    <row r="735" ht="14.25" customHeight="1" s="40"/>
    <row r="736" ht="14.25" customHeight="1" s="40"/>
    <row r="737" ht="14.25" customHeight="1" s="40"/>
    <row r="738" ht="14.25" customHeight="1" s="40"/>
    <row r="739" ht="14.25" customHeight="1" s="40"/>
    <row r="740" ht="14.25" customHeight="1" s="40"/>
    <row r="741" ht="14.25" customHeight="1" s="40"/>
    <row r="742" ht="14.25" customHeight="1" s="40"/>
    <row r="743" ht="14.25" customHeight="1" s="40"/>
    <row r="744" ht="14.25" customHeight="1" s="40"/>
    <row r="745" ht="14.25" customHeight="1" s="40"/>
    <row r="746" ht="14.25" customHeight="1" s="40"/>
    <row r="747" ht="14.25" customHeight="1" s="40"/>
    <row r="748" ht="14.25" customHeight="1" s="40"/>
    <row r="749" ht="14.25" customHeight="1" s="40"/>
    <row r="750" ht="14.25" customHeight="1" s="40"/>
    <row r="751" ht="14.25" customHeight="1" s="40"/>
    <row r="752" ht="14.25" customHeight="1" s="40"/>
    <row r="753" ht="14.25" customHeight="1" s="40"/>
    <row r="754" ht="14.25" customHeight="1" s="40"/>
    <row r="755" ht="14.25" customHeight="1" s="40"/>
    <row r="756" ht="14.25" customHeight="1" s="40"/>
    <row r="757" ht="14.25" customHeight="1" s="40"/>
    <row r="758" ht="14.25" customHeight="1" s="40"/>
    <row r="759" ht="14.25" customHeight="1" s="40"/>
    <row r="760" ht="14.25" customHeight="1" s="40"/>
    <row r="761" ht="14.25" customHeight="1" s="40"/>
    <row r="762" ht="14.25" customHeight="1" s="40"/>
    <row r="763" ht="14.25" customHeight="1" s="40"/>
    <row r="764" ht="14.25" customHeight="1" s="40"/>
    <row r="765" ht="14.25" customHeight="1" s="40"/>
    <row r="766" ht="14.25" customHeight="1" s="40"/>
    <row r="767" ht="14.25" customHeight="1" s="40"/>
    <row r="768" ht="14.25" customHeight="1" s="40"/>
    <row r="769" ht="14.25" customHeight="1" s="40"/>
    <row r="770" ht="14.25" customHeight="1" s="40"/>
    <row r="771" ht="14.25" customHeight="1" s="40"/>
    <row r="772" ht="14.25" customHeight="1" s="40"/>
    <row r="773" ht="14.25" customHeight="1" s="40"/>
    <row r="774" ht="14.25" customHeight="1" s="40"/>
    <row r="775" ht="14.25" customHeight="1" s="40"/>
    <row r="776" ht="14.25" customHeight="1" s="40"/>
    <row r="777" ht="14.25" customHeight="1" s="40"/>
    <row r="778" ht="14.25" customHeight="1" s="40"/>
    <row r="779" ht="14.25" customHeight="1" s="40"/>
    <row r="780" ht="14.25" customHeight="1" s="40"/>
    <row r="781" ht="14.25" customHeight="1" s="40"/>
    <row r="782" ht="14.25" customHeight="1" s="40"/>
    <row r="783" ht="14.25" customHeight="1" s="40"/>
    <row r="784" ht="14.25" customHeight="1" s="40"/>
    <row r="785" ht="14.25" customHeight="1" s="40"/>
    <row r="786" ht="14.25" customHeight="1" s="40"/>
    <row r="787" ht="14.25" customHeight="1" s="40"/>
    <row r="788" ht="14.25" customHeight="1" s="40"/>
    <row r="789" ht="14.25" customHeight="1" s="40"/>
    <row r="790" ht="14.25" customHeight="1" s="40"/>
    <row r="791" ht="14.25" customHeight="1" s="40"/>
    <row r="792" ht="14.25" customHeight="1" s="40"/>
    <row r="793" ht="14.25" customHeight="1" s="40"/>
    <row r="794" ht="14.25" customHeight="1" s="40"/>
    <row r="795" ht="14.25" customHeight="1" s="40"/>
    <row r="796" ht="14.25" customHeight="1" s="40"/>
    <row r="797" ht="14.25" customHeight="1" s="40"/>
    <row r="798" ht="14.25" customHeight="1" s="40"/>
    <row r="799" ht="14.25" customHeight="1" s="40"/>
    <row r="800" ht="14.25" customHeight="1" s="40"/>
    <row r="801" ht="14.25" customHeight="1" s="40"/>
    <row r="802" ht="14.25" customHeight="1" s="40"/>
    <row r="803" ht="14.25" customHeight="1" s="40"/>
    <row r="804" ht="14.25" customHeight="1" s="40"/>
    <row r="805" ht="14.25" customHeight="1" s="40"/>
    <row r="806" ht="14.25" customHeight="1" s="40"/>
    <row r="807" ht="14.25" customHeight="1" s="40"/>
    <row r="808" ht="14.25" customHeight="1" s="40"/>
    <row r="809" ht="14.25" customHeight="1" s="40"/>
    <row r="810" ht="14.25" customHeight="1" s="40"/>
    <row r="811" ht="14.25" customHeight="1" s="40"/>
    <row r="812" ht="14.25" customHeight="1" s="40"/>
    <row r="813" ht="14.25" customHeight="1" s="40"/>
    <row r="814" ht="14.25" customHeight="1" s="40"/>
    <row r="815" ht="14.25" customHeight="1" s="40"/>
    <row r="816" ht="14.25" customHeight="1" s="40"/>
    <row r="817" ht="14.25" customHeight="1" s="40"/>
    <row r="818" ht="14.25" customHeight="1" s="40"/>
    <row r="819" ht="14.25" customHeight="1" s="40"/>
    <row r="820" ht="14.25" customHeight="1" s="40"/>
    <row r="821" ht="14.25" customHeight="1" s="40"/>
    <row r="822" ht="14.25" customHeight="1" s="40"/>
    <row r="823" ht="14.25" customHeight="1" s="40"/>
    <row r="824" ht="14.25" customHeight="1" s="40"/>
    <row r="825" ht="14.25" customHeight="1" s="40"/>
    <row r="826" ht="14.25" customHeight="1" s="40"/>
    <row r="827" ht="14.25" customHeight="1" s="40"/>
    <row r="828" ht="14.25" customHeight="1" s="40"/>
    <row r="829" ht="14.25" customHeight="1" s="40"/>
    <row r="830" ht="14.25" customHeight="1" s="40"/>
    <row r="831" ht="14.25" customHeight="1" s="40"/>
    <row r="832" ht="14.25" customHeight="1" s="40"/>
    <row r="833" ht="14.25" customHeight="1" s="40"/>
    <row r="834" ht="14.25" customHeight="1" s="40"/>
    <row r="835" ht="14.25" customHeight="1" s="40"/>
    <row r="836" ht="14.25" customHeight="1" s="40"/>
    <row r="837" ht="14.25" customHeight="1" s="40"/>
    <row r="838" ht="14.25" customHeight="1" s="40"/>
    <row r="839" ht="14.25" customHeight="1" s="40"/>
    <row r="840" ht="14.25" customHeight="1" s="40"/>
    <row r="841" ht="14.25" customHeight="1" s="40"/>
    <row r="842" ht="14.25" customHeight="1" s="40"/>
    <row r="843" ht="14.25" customHeight="1" s="40"/>
    <row r="844" ht="14.25" customHeight="1" s="40"/>
    <row r="845" ht="14.25" customHeight="1" s="40"/>
    <row r="846" ht="14.25" customHeight="1" s="40"/>
    <row r="847" ht="14.25" customHeight="1" s="40"/>
    <row r="848" ht="14.25" customHeight="1" s="40"/>
    <row r="849" ht="14.25" customHeight="1" s="40"/>
    <row r="850" ht="14.25" customHeight="1" s="40"/>
    <row r="851" ht="14.25" customHeight="1" s="40"/>
    <row r="852" ht="14.25" customHeight="1" s="40"/>
    <row r="853" ht="14.25" customHeight="1" s="40"/>
    <row r="854" ht="14.25" customHeight="1" s="40"/>
    <row r="855" ht="14.25" customHeight="1" s="40"/>
    <row r="856" ht="14.25" customHeight="1" s="40"/>
    <row r="857" ht="14.25" customHeight="1" s="40"/>
    <row r="858" ht="14.25" customHeight="1" s="40"/>
    <row r="859" ht="14.25" customHeight="1" s="40"/>
    <row r="860" ht="14.25" customHeight="1" s="40"/>
    <row r="861" ht="14.25" customHeight="1" s="40"/>
    <row r="862" ht="14.25" customHeight="1" s="40"/>
    <row r="863" ht="14.25" customHeight="1" s="40"/>
    <row r="864" ht="14.25" customHeight="1" s="40"/>
    <row r="865" ht="14.25" customHeight="1" s="40"/>
    <row r="866" ht="14.25" customHeight="1" s="40"/>
    <row r="867" ht="14.25" customHeight="1" s="40"/>
    <row r="868" ht="14.25" customHeight="1" s="40"/>
    <row r="869" ht="14.25" customHeight="1" s="40"/>
    <row r="870" ht="14.25" customHeight="1" s="40"/>
    <row r="871" ht="14.25" customHeight="1" s="40"/>
    <row r="872" ht="14.25" customHeight="1" s="40"/>
    <row r="873" ht="14.25" customHeight="1" s="40"/>
    <row r="874" ht="14.25" customHeight="1" s="40"/>
    <row r="875" ht="14.25" customHeight="1" s="40"/>
    <row r="876" ht="14.25" customHeight="1" s="40"/>
    <row r="877" ht="14.25" customHeight="1" s="40"/>
    <row r="878" ht="14.25" customHeight="1" s="40"/>
    <row r="879" ht="14.25" customHeight="1" s="40"/>
    <row r="880" ht="14.25" customHeight="1" s="40"/>
    <row r="881" ht="14.25" customHeight="1" s="40"/>
    <row r="882" ht="14.25" customHeight="1" s="40"/>
    <row r="883" ht="14.25" customHeight="1" s="40"/>
    <row r="884" ht="14.25" customHeight="1" s="40"/>
    <row r="885" ht="14.25" customHeight="1" s="40"/>
    <row r="886" ht="14.25" customHeight="1" s="40"/>
    <row r="887" ht="14.25" customHeight="1" s="40"/>
    <row r="888" ht="14.25" customHeight="1" s="40"/>
    <row r="889" ht="14.25" customHeight="1" s="40"/>
    <row r="890" ht="14.25" customHeight="1" s="40"/>
    <row r="891" ht="14.25" customHeight="1" s="40"/>
    <row r="892" ht="14.25" customHeight="1" s="40"/>
    <row r="893" ht="14.25" customHeight="1" s="40"/>
    <row r="894" ht="14.25" customHeight="1" s="40"/>
    <row r="895" ht="14.25" customHeight="1" s="40"/>
    <row r="896" ht="14.25" customHeight="1" s="40"/>
    <row r="897" ht="14.25" customHeight="1" s="40"/>
    <row r="898" ht="14.25" customHeight="1" s="40"/>
    <row r="899" ht="14.25" customHeight="1" s="40"/>
    <row r="900" ht="14.25" customHeight="1" s="40"/>
    <row r="901" ht="14.25" customHeight="1" s="40"/>
    <row r="902" ht="14.25" customHeight="1" s="40"/>
    <row r="903" ht="14.25" customHeight="1" s="40"/>
    <row r="904" ht="14.25" customHeight="1" s="40"/>
    <row r="905" ht="14.25" customHeight="1" s="40"/>
    <row r="906" ht="14.25" customHeight="1" s="40"/>
    <row r="907" ht="14.25" customHeight="1" s="40"/>
    <row r="908" ht="14.25" customHeight="1" s="40"/>
    <row r="909" ht="14.25" customHeight="1" s="40"/>
    <row r="910" ht="14.25" customHeight="1" s="40"/>
    <row r="911" ht="14.25" customHeight="1" s="40"/>
    <row r="912" ht="14.25" customHeight="1" s="40"/>
    <row r="913" ht="14.25" customHeight="1" s="40"/>
    <row r="914" ht="14.25" customHeight="1" s="40"/>
    <row r="915" ht="14.25" customHeight="1" s="40"/>
    <row r="916" ht="14.25" customHeight="1" s="40"/>
    <row r="917" ht="14.25" customHeight="1" s="40"/>
    <row r="918" ht="14.25" customHeight="1" s="40"/>
    <row r="919" ht="14.25" customHeight="1" s="40"/>
    <row r="920" ht="14.25" customHeight="1" s="40"/>
    <row r="921" ht="14.25" customHeight="1" s="40"/>
    <row r="922" ht="14.25" customHeight="1" s="40"/>
    <row r="923" ht="14.25" customHeight="1" s="40"/>
    <row r="924" ht="14.25" customHeight="1" s="40"/>
    <row r="925" ht="14.25" customHeight="1" s="40"/>
    <row r="926" ht="14.25" customHeight="1" s="40"/>
    <row r="927" ht="14.25" customHeight="1" s="40"/>
    <row r="928" ht="14.25" customHeight="1" s="40"/>
    <row r="929" ht="14.25" customHeight="1" s="40"/>
    <row r="930" ht="14.25" customHeight="1" s="40"/>
    <row r="931" ht="14.25" customHeight="1" s="40"/>
    <row r="932" ht="14.25" customHeight="1" s="40"/>
    <row r="933" ht="14.25" customHeight="1" s="40"/>
    <row r="934" ht="14.25" customHeight="1" s="40"/>
    <row r="935" ht="14.25" customHeight="1" s="40"/>
    <row r="936" ht="14.25" customHeight="1" s="40"/>
    <row r="937" ht="14.25" customHeight="1" s="40"/>
    <row r="938" ht="14.25" customHeight="1" s="40"/>
    <row r="939" ht="14.25" customHeight="1" s="40"/>
    <row r="940" ht="14.25" customHeight="1" s="40"/>
    <row r="941" ht="14.25" customHeight="1" s="40"/>
    <row r="942" ht="14.25" customHeight="1" s="40"/>
    <row r="943" ht="14.25" customHeight="1" s="40"/>
    <row r="944" ht="14.25" customHeight="1" s="40"/>
    <row r="945" ht="14.25" customHeight="1" s="40"/>
    <row r="946" ht="14.25" customHeight="1" s="40"/>
    <row r="947" ht="14.25" customHeight="1" s="40"/>
    <row r="948" ht="14.25" customHeight="1" s="40"/>
    <row r="949" ht="14.25" customHeight="1" s="40"/>
    <row r="950" ht="14.25" customHeight="1" s="40"/>
    <row r="951" ht="14.25" customHeight="1" s="40"/>
    <row r="952" ht="14.25" customHeight="1" s="40"/>
    <row r="953" ht="14.25" customHeight="1" s="40"/>
    <row r="954" ht="14.25" customHeight="1" s="40"/>
    <row r="955" ht="14.25" customHeight="1" s="40"/>
    <row r="956" ht="14.25" customHeight="1" s="40"/>
    <row r="957" ht="14.25" customHeight="1" s="40"/>
    <row r="958" ht="14.25" customHeight="1" s="40"/>
    <row r="959" ht="14.25" customHeight="1" s="40"/>
    <row r="960" ht="14.25" customHeight="1" s="40"/>
    <row r="961" ht="14.25" customHeight="1" s="40"/>
    <row r="962" ht="14.25" customHeight="1" s="40"/>
    <row r="963" ht="14.25" customHeight="1" s="40"/>
    <row r="964" ht="14.25" customHeight="1" s="40"/>
    <row r="965" ht="14.25" customHeight="1" s="40"/>
    <row r="966" ht="14.25" customHeight="1" s="40"/>
    <row r="967" ht="14.25" customHeight="1" s="40"/>
    <row r="968" ht="14.25" customHeight="1" s="40"/>
    <row r="969" ht="14.25" customHeight="1" s="40"/>
    <row r="970" ht="14.25" customHeight="1" s="40"/>
    <row r="971" ht="14.25" customHeight="1" s="40"/>
    <row r="972" ht="14.25" customHeight="1" s="40"/>
    <row r="973" ht="14.25" customHeight="1" s="40"/>
    <row r="974" ht="14.25" customHeight="1" s="40"/>
    <row r="975" ht="14.25" customHeight="1" s="40"/>
    <row r="976" ht="14.25" customHeight="1" s="40"/>
    <row r="977" ht="14.25" customHeight="1" s="40"/>
    <row r="978" ht="14.25" customHeight="1" s="40"/>
    <row r="979" ht="14.25" customHeight="1" s="40"/>
    <row r="980" ht="14.25" customHeight="1" s="40"/>
    <row r="981" ht="14.25" customHeight="1" s="40"/>
    <row r="982" ht="14.25" customHeight="1" s="40"/>
    <row r="983" ht="14.25" customHeight="1" s="40"/>
    <row r="984" ht="14.25" customHeight="1" s="40"/>
    <row r="985" ht="14.25" customHeight="1" s="40"/>
    <row r="986" ht="14.25" customHeight="1" s="40"/>
    <row r="987" ht="14.25" customHeight="1" s="40"/>
    <row r="988" ht="14.25" customHeight="1" s="40"/>
    <row r="989" ht="14.25" customHeight="1" s="40"/>
    <row r="990" ht="14.25" customHeight="1" s="40"/>
    <row r="991" ht="14.25" customHeight="1" s="40"/>
    <row r="992" ht="14.25" customHeight="1" s="40"/>
    <row r="993" ht="14.25" customHeight="1" s="40"/>
    <row r="994" ht="14.25" customHeight="1" s="40"/>
  </sheetData>
  <autoFilter ref="$A$1:$N$1">
    <sortState ref="A1:N1">
      <sortCondition ref="A1"/>
    </sortState>
  </autoFilter>
  <conditionalFormatting sqref="J2:J495">
    <cfRule type="expression" priority="1" dxfId="3">
      <formula>$J2="TRÙNG"</formula>
    </cfRule>
  </conditionalFormatting>
  <dataValidations count="4">
    <dataValidation sqref="H2:H495" showDropDown="0" showInputMessage="1" showErrorMessage="1" allowBlank="1" prompt="Giá trị không hợp lệ - Chọn giá trị trong danh sách." type="list">
      <formula1>DANH_MUC!$C$2:$C$3</formula1>
    </dataValidation>
    <dataValidation sqref="G2:G495" showDropDown="0" showInputMessage="1" showErrorMessage="1" allowBlank="1" prompt="Nhập ngày (dd/mm/yyyy)." type="date" operator="greaterThan">
      <formula1>DATE(2025,1,1)</formula1>
    </dataValidation>
    <dataValidation sqref="D2:D495" showDropDown="0" showInputMessage="1" showErrorMessage="1" allowBlank="1" prompt="Giá trị không hợp lệ - Chọn giá trị trong danh sách." type="list">
      <formula1>DANH_MUC!$A$2:$A$4</formula1>
    </dataValidation>
    <dataValidation sqref="C2:C495" showDropDown="0" showInputMessage="1" showErrorMessage="1" allowBlank="1" prompt="Click and enter a value from range" type="list">
      <formula1>DANH_MUC!$B$2:$B$10</formula1>
    </dataValidation>
  </dataValidations>
  <pageMargins left="0.75" right="0.75" top="1" bottom="1" header="0" footer="0"/>
  <pageSetup orientation="portrait" paperSize="9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20" customWidth="1" style="40" min="1" max="9"/>
    <col width="8.710000000000001" customWidth="1" style="40" min="10" max="10"/>
    <col width="42" customWidth="1" style="40" min="11" max="11"/>
    <col width="40" customWidth="1" style="40" min="12" max="12"/>
    <col width="8.710000000000001" customWidth="1" style="40" min="13" max="26"/>
  </cols>
  <sheetData>
    <row r="1" ht="30" customHeight="1" s="40">
      <c r="A1" s="15" t="inlineStr">
        <is>
          <t>Team</t>
        </is>
      </c>
      <c r="B1" s="15" t="inlineStr">
        <is>
          <t>Loại nguồn</t>
        </is>
      </c>
      <c r="C1" s="15" t="inlineStr">
        <is>
          <t>Trạng thái nguồn</t>
        </is>
      </c>
      <c r="D1" s="15" t="inlineStr">
        <is>
          <t>Tình trạng mẹ</t>
        </is>
      </c>
      <c r="E1" s="15" t="inlineStr">
        <is>
          <t>Có/Không</t>
        </is>
      </c>
      <c r="F1" s="15" t="inlineStr">
        <is>
          <t>Hình thức TT</t>
        </is>
      </c>
      <c r="G1" s="15" t="inlineStr">
        <is>
          <t>Trạng thái TT</t>
        </is>
      </c>
      <c r="H1" s="15" t="inlineStr">
        <is>
          <t>Trạng thái giao</t>
        </is>
      </c>
      <c r="I1" s="15" t="inlineStr">
        <is>
          <t>Tỉnh/Thành phố</t>
        </is>
      </c>
      <c r="K1" s="36" t="inlineStr">
        <is>
          <t>CẤU HÌNH</t>
        </is>
      </c>
      <c r="L1" s="36" t="inlineStr">
        <is>
          <t>Giá trị</t>
        </is>
      </c>
    </row>
    <row r="2" ht="14.25" customHeight="1" s="40">
      <c r="A2" s="24" t="inlineStr">
        <is>
          <t>ZM</t>
        </is>
      </c>
      <c r="B2" s="24" t="inlineStr">
        <is>
          <t>NHS</t>
        </is>
      </c>
      <c r="C2" s="24" t="inlineStr">
        <is>
          <t>Active</t>
        </is>
      </c>
      <c r="D2" s="24" t="inlineStr">
        <is>
          <t>Đang mang thai</t>
        </is>
      </c>
      <c r="E2" s="24" t="inlineStr">
        <is>
          <t>Có</t>
        </is>
      </c>
      <c r="F2" s="24" t="inlineStr">
        <is>
          <t>Chuyển khoản QR</t>
        </is>
      </c>
      <c r="G2" s="24" t="inlineStr">
        <is>
          <t>Chờ chuyển khoản</t>
        </is>
      </c>
      <c r="H2" s="24" t="inlineStr">
        <is>
          <t>Chờ giao</t>
        </is>
      </c>
      <c r="I2" s="24" t="inlineStr">
        <is>
          <t>Hồ Chí Minh</t>
        </is>
      </c>
      <c r="K2" s="11" t="inlineStr">
        <is>
          <t>KPI data hợp lệ (Aptamil)</t>
        </is>
      </c>
      <c r="L2" s="38" t="n">
        <v>2517</v>
      </c>
    </row>
    <row r="3" ht="14.25" customHeight="1" s="40">
      <c r="A3" s="24" t="inlineStr">
        <is>
          <t>CDB</t>
        </is>
      </c>
      <c r="B3" s="24" t="inlineStr">
        <is>
          <t>Event</t>
        </is>
      </c>
      <c r="C3" s="24" t="inlineStr">
        <is>
          <t>Inactive</t>
        </is>
      </c>
      <c r="D3" s="24" t="inlineStr">
        <is>
          <t>Đã sinh</t>
        </is>
      </c>
      <c r="E3" s="24" t="inlineStr">
        <is>
          <t>Không</t>
        </is>
      </c>
      <c r="F3" s="24" t="inlineStr">
        <is>
          <t>COD</t>
        </is>
      </c>
      <c r="G3" s="24" t="inlineStr">
        <is>
          <t>Đã chuyển khoản</t>
        </is>
      </c>
      <c r="H3" s="24" t="inlineStr">
        <is>
          <t>Đang giao</t>
        </is>
      </c>
      <c r="I3" s="24" t="inlineStr">
        <is>
          <t>Hà Nội</t>
        </is>
      </c>
      <c r="K3" s="11" t="inlineStr">
        <is>
          <t>KPI user mới / tuần</t>
        </is>
      </c>
      <c r="L3" s="38" t="n">
        <v>210</v>
      </c>
    </row>
    <row r="4" ht="14.25" customHeight="1" s="40">
      <c r="A4" s="24" t="inlineStr">
        <is>
          <t>Chưa xác định</t>
        </is>
      </c>
      <c r="B4" s="24" t="inlineStr">
        <is>
          <t>Team</t>
        </is>
      </c>
      <c r="F4" s="24" t="inlineStr">
        <is>
          <t>Khác</t>
        </is>
      </c>
      <c r="G4" s="24" t="inlineStr">
        <is>
          <t>Hủy</t>
        </is>
      </c>
      <c r="H4" s="24" t="inlineStr">
        <is>
          <t>Đã giao</t>
        </is>
      </c>
      <c r="I4" s="24" t="inlineStr">
        <is>
          <t>Hải Phòng</t>
        </is>
      </c>
      <c r="K4" s="11" t="inlineStr">
        <is>
          <t>Link form gốc (gắn ?ref=)</t>
        </is>
      </c>
      <c r="L4" s="38" t="inlineStr">
        <is>
          <t>https://uudaihoivien.z-moms.com/</t>
        </is>
      </c>
    </row>
    <row r="5" ht="14.25" customHeight="1" s="40">
      <c r="B5" s="24" t="inlineStr">
        <is>
          <t>Khác</t>
        </is>
      </c>
      <c r="H5" s="24" t="inlineStr">
        <is>
          <t>Hoàn hàng</t>
        </is>
      </c>
      <c r="I5" s="24" t="inlineStr">
        <is>
          <t>Đà Nẵng</t>
        </is>
      </c>
      <c r="K5" s="11" t="inlineStr">
        <is>
          <t>Bắt buộc: Đồng ý đăng ký hội viên</t>
        </is>
      </c>
      <c r="L5" s="38" t="inlineStr">
        <is>
          <t>Có</t>
        </is>
      </c>
    </row>
    <row r="6" ht="14.25" customHeight="1" s="40">
      <c r="B6" s="31" t="inlineStr">
        <is>
          <t>Seeding</t>
        </is>
      </c>
      <c r="H6" s="24" t="inlineStr">
        <is>
          <t>Hủy</t>
        </is>
      </c>
      <c r="I6" s="24" t="inlineStr">
        <is>
          <t>Cần Thơ</t>
        </is>
      </c>
      <c r="K6" s="11" t="inlineStr">
        <is>
          <t>Bắt buộc: Đã đọc chính sách Aptamil</t>
        </is>
      </c>
      <c r="L6" s="38" t="inlineStr">
        <is>
          <t>Không</t>
        </is>
      </c>
    </row>
    <row r="7" ht="14.25" customHeight="1" s="40">
      <c r="B7" s="31" t="inlineStr">
        <is>
          <t>Sales</t>
        </is>
      </c>
      <c r="I7" s="24" t="inlineStr">
        <is>
          <t>Huế</t>
        </is>
      </c>
      <c r="K7" s="11" t="inlineStr">
        <is>
          <t>Bắt buộc: Đồng ý nhận thông báo</t>
        </is>
      </c>
      <c r="L7" s="38" t="inlineStr">
        <is>
          <t>Không</t>
        </is>
      </c>
    </row>
    <row r="8" ht="14.25" customHeight="1" s="40">
      <c r="I8" s="24" t="inlineStr">
        <is>
          <t>An Giang</t>
        </is>
      </c>
      <c r="K8" s="11" t="inlineStr">
        <is>
          <t>Bắt buộc: Đồng ý chia sẻ để đăng ký Aptaclub</t>
        </is>
      </c>
      <c r="L8" s="38" t="inlineStr">
        <is>
          <t>Có</t>
        </is>
      </c>
    </row>
    <row r="9" ht="14.25" customHeight="1" s="40">
      <c r="I9" s="24" t="inlineStr">
        <is>
          <t>Bắc Ninh</t>
        </is>
      </c>
      <c r="K9" s="11" t="inlineStr">
        <is>
          <t>Data "Chưa xác định" tính là hợp lệ?</t>
        </is>
      </c>
      <c r="L9" s="38" t="inlineStr">
        <is>
          <t>Có</t>
        </is>
      </c>
    </row>
    <row r="10" ht="14.25" customHeight="1" s="40">
      <c r="I10" s="24" t="inlineStr">
        <is>
          <t>Cà Mau</t>
        </is>
      </c>
    </row>
    <row r="11" ht="14.25" customHeight="1" s="40">
      <c r="I11" s="24" t="inlineStr">
        <is>
          <t>Cao Bằng</t>
        </is>
      </c>
    </row>
    <row r="12" ht="14.25" customHeight="1" s="40">
      <c r="I12" s="24" t="inlineStr">
        <is>
          <t>Đắk Lắk</t>
        </is>
      </c>
    </row>
    <row r="13" ht="14.25" customHeight="1" s="40">
      <c r="I13" s="24" t="inlineStr">
        <is>
          <t>Điện Biên</t>
        </is>
      </c>
    </row>
    <row r="14" ht="14.25" customHeight="1" s="40">
      <c r="I14" s="24" t="inlineStr">
        <is>
          <t>Đồng Nai</t>
        </is>
      </c>
    </row>
    <row r="15" ht="14.25" customHeight="1" s="40">
      <c r="I15" s="24" t="inlineStr">
        <is>
          <t>Đồng Tháp</t>
        </is>
      </c>
    </row>
    <row r="16" ht="14.25" customHeight="1" s="40">
      <c r="I16" s="24" t="inlineStr">
        <is>
          <t>Gia Lai</t>
        </is>
      </c>
    </row>
    <row r="17" ht="14.25" customHeight="1" s="40">
      <c r="I17" s="24" t="inlineStr">
        <is>
          <t>Hà Tĩnh</t>
        </is>
      </c>
    </row>
    <row r="18" ht="14.25" customHeight="1" s="40">
      <c r="I18" s="24" t="inlineStr">
        <is>
          <t>Hưng Yên</t>
        </is>
      </c>
    </row>
    <row r="19" ht="14.25" customHeight="1" s="40">
      <c r="I19" s="24" t="inlineStr">
        <is>
          <t>Khánh Hòa</t>
        </is>
      </c>
    </row>
    <row r="20" ht="14.25" customHeight="1" s="40">
      <c r="I20" s="24" t="inlineStr">
        <is>
          <t>Lai Châu</t>
        </is>
      </c>
    </row>
    <row r="21" ht="14.25" customHeight="1" s="40">
      <c r="I21" s="24" t="inlineStr">
        <is>
          <t>Lâm Đồng</t>
        </is>
      </c>
    </row>
    <row r="22" ht="14.25" customHeight="1" s="40">
      <c r="I22" s="24" t="inlineStr">
        <is>
          <t>Lạng Sơn</t>
        </is>
      </c>
    </row>
    <row r="23" ht="14.25" customHeight="1" s="40">
      <c r="I23" s="24" t="inlineStr">
        <is>
          <t>Lào Cai</t>
        </is>
      </c>
    </row>
    <row r="24" ht="14.25" customHeight="1" s="40">
      <c r="I24" s="24" t="inlineStr">
        <is>
          <t>Nghệ An</t>
        </is>
      </c>
    </row>
    <row r="25" ht="14.25" customHeight="1" s="40">
      <c r="I25" s="24" t="inlineStr">
        <is>
          <t>Ninh Bình</t>
        </is>
      </c>
    </row>
    <row r="26" ht="14.25" customHeight="1" s="40">
      <c r="I26" s="24" t="inlineStr">
        <is>
          <t>Phú Thọ</t>
        </is>
      </c>
    </row>
    <row r="27" ht="14.25" customHeight="1" s="40">
      <c r="I27" s="24" t="inlineStr">
        <is>
          <t>Quảng Ngãi</t>
        </is>
      </c>
    </row>
    <row r="28" ht="14.25" customHeight="1" s="40">
      <c r="I28" s="24" t="inlineStr">
        <is>
          <t>Quảng Ninh</t>
        </is>
      </c>
    </row>
    <row r="29" ht="14.25" customHeight="1" s="40">
      <c r="I29" s="24" t="inlineStr">
        <is>
          <t>Quảng Trị</t>
        </is>
      </c>
    </row>
    <row r="30" ht="14.25" customHeight="1" s="40">
      <c r="I30" s="24" t="inlineStr">
        <is>
          <t>Sơn La</t>
        </is>
      </c>
    </row>
    <row r="31" ht="14.25" customHeight="1" s="40">
      <c r="I31" s="24" t="inlineStr">
        <is>
          <t>Tây Ninh</t>
        </is>
      </c>
    </row>
    <row r="32" ht="14.25" customHeight="1" s="40">
      <c r="I32" s="24" t="inlineStr">
        <is>
          <t>Thái Nguyên</t>
        </is>
      </c>
    </row>
    <row r="33" ht="14.25" customHeight="1" s="40">
      <c r="I33" s="24" t="inlineStr">
        <is>
          <t>Thanh Hóa</t>
        </is>
      </c>
    </row>
    <row r="34" ht="14.25" customHeight="1" s="40">
      <c r="I34" s="24" t="inlineStr">
        <is>
          <t>Tuyên Quang</t>
        </is>
      </c>
    </row>
    <row r="35" ht="14.25" customHeight="1" s="40">
      <c r="I35" s="24" t="inlineStr">
        <is>
          <t>Vĩnh Long</t>
        </is>
      </c>
    </row>
    <row r="36" ht="14.25" customHeight="1" s="40"/>
    <row r="37" ht="14.25" customHeight="1" s="40">
      <c r="I37" s="39" t="inlineStr">
        <is>
          <t>Danh sách 34 tỉnh/thành sau sáp nhập 01/07/2025. Ô Tỉnh/TP chỉ cảnh báo (không chặn) để vẫn nhập được tên cũ.</t>
        </is>
      </c>
    </row>
    <row r="38" ht="14.25" customHeight="1" s="40"/>
    <row r="39" ht="14.25" customHeight="1" s="40"/>
    <row r="40" ht="14.25" customHeight="1" s="40"/>
    <row r="41" ht="14.25" customHeight="1" s="40"/>
    <row r="42" ht="14.25" customHeight="1" s="40"/>
    <row r="43" ht="14.25" customHeight="1" s="40"/>
    <row r="44" ht="14.25" customHeight="1" s="40"/>
    <row r="45" ht="14.25" customHeight="1" s="40"/>
    <row r="46" ht="14.25" customHeight="1" s="40"/>
    <row r="47" ht="14.25" customHeight="1" s="40"/>
    <row r="48" ht="14.25" customHeight="1" s="40"/>
    <row r="49" ht="14.25" customHeight="1" s="40"/>
    <row r="50" ht="14.25" customHeight="1" s="40"/>
    <row r="51" ht="14.25" customHeight="1" s="40"/>
    <row r="52" ht="14.25" customHeight="1" s="40"/>
    <row r="53" ht="14.25" customHeight="1" s="40"/>
    <row r="54" ht="14.25" customHeight="1" s="40"/>
    <row r="55" ht="14.25" customHeight="1" s="40"/>
    <row r="56" ht="14.25" customHeight="1" s="40"/>
    <row r="57" ht="14.25" customHeight="1" s="40"/>
    <row r="58" ht="14.25" customHeight="1" s="40"/>
    <row r="59" ht="14.25" customHeight="1" s="40"/>
    <row r="60" ht="14.25" customHeight="1" s="40"/>
    <row r="61" ht="14.25" customHeight="1" s="40"/>
    <row r="62" ht="14.25" customHeight="1" s="40"/>
    <row r="63" ht="14.25" customHeight="1" s="40"/>
    <row r="64" ht="14.25" customHeight="1" s="40"/>
    <row r="65" ht="14.25" customHeight="1" s="40"/>
    <row r="66" ht="14.25" customHeight="1" s="40"/>
    <row r="67" ht="14.25" customHeight="1" s="40"/>
    <row r="68" ht="14.25" customHeight="1" s="40"/>
    <row r="69" ht="14.25" customHeight="1" s="40"/>
    <row r="70" ht="14.25" customHeight="1" s="40"/>
    <row r="71" ht="14.25" customHeight="1" s="40"/>
    <row r="72" ht="14.25" customHeight="1" s="40"/>
    <row r="73" ht="14.25" customHeight="1" s="40"/>
    <row r="74" ht="14.25" customHeight="1" s="40"/>
    <row r="75" ht="14.25" customHeight="1" s="40"/>
    <row r="76" ht="14.25" customHeight="1" s="40"/>
    <row r="77" ht="14.25" customHeight="1" s="40"/>
    <row r="78" ht="14.25" customHeight="1" s="40"/>
    <row r="79" ht="14.25" customHeight="1" s="40"/>
    <row r="80" ht="14.25" customHeight="1" s="40"/>
    <row r="81" ht="14.25" customHeight="1" s="40"/>
    <row r="82" ht="14.25" customHeight="1" s="40"/>
    <row r="83" ht="14.25" customHeight="1" s="40"/>
    <row r="84" ht="14.25" customHeight="1" s="40"/>
    <row r="85" ht="14.25" customHeight="1" s="40"/>
    <row r="86" ht="14.25" customHeight="1" s="40"/>
    <row r="87" ht="14.25" customHeight="1" s="40"/>
    <row r="88" ht="14.25" customHeight="1" s="40"/>
    <row r="89" ht="14.25" customHeight="1" s="40"/>
    <row r="90" ht="14.25" customHeight="1" s="40"/>
    <row r="91" ht="14.25" customHeight="1" s="40"/>
    <row r="92" ht="14.25" customHeight="1" s="40"/>
    <row r="93" ht="14.25" customHeight="1" s="40"/>
    <row r="94" ht="14.25" customHeight="1" s="40"/>
    <row r="95" ht="14.25" customHeight="1" s="40"/>
    <row r="96" ht="14.25" customHeight="1" s="40"/>
    <row r="97" ht="14.25" customHeight="1" s="40"/>
    <row r="98" ht="14.25" customHeight="1" s="40"/>
    <row r="99" ht="14.25" customHeight="1" s="40"/>
    <row r="100" ht="14.25" customHeight="1" s="40"/>
    <row r="101" ht="14.25" customHeight="1" s="40"/>
    <row r="102" ht="14.25" customHeight="1" s="40"/>
    <row r="103" ht="14.25" customHeight="1" s="40"/>
    <row r="104" ht="14.25" customHeight="1" s="40"/>
    <row r="105" ht="14.25" customHeight="1" s="40"/>
    <row r="106" ht="14.25" customHeight="1" s="40"/>
    <row r="107" ht="14.25" customHeight="1" s="40"/>
    <row r="108" ht="14.25" customHeight="1" s="40"/>
    <row r="109" ht="14.25" customHeight="1" s="40"/>
    <row r="110" ht="14.25" customHeight="1" s="40"/>
    <row r="111" ht="14.25" customHeight="1" s="40"/>
    <row r="112" ht="14.25" customHeight="1" s="40"/>
    <row r="113" ht="14.25" customHeight="1" s="40"/>
    <row r="114" ht="14.25" customHeight="1" s="40"/>
    <row r="115" ht="14.25" customHeight="1" s="40"/>
    <row r="116" ht="14.25" customHeight="1" s="40"/>
    <row r="117" ht="14.25" customHeight="1" s="40"/>
    <row r="118" ht="14.25" customHeight="1" s="40"/>
    <row r="119" ht="14.25" customHeight="1" s="40"/>
    <row r="120" ht="14.25" customHeight="1" s="40"/>
    <row r="121" ht="14.25" customHeight="1" s="40"/>
    <row r="122" ht="14.25" customHeight="1" s="40"/>
    <row r="123" ht="14.25" customHeight="1" s="40"/>
    <row r="124" ht="14.25" customHeight="1" s="40"/>
    <row r="125" ht="14.25" customHeight="1" s="40"/>
    <row r="126" ht="14.25" customHeight="1" s="40"/>
    <row r="127" ht="14.25" customHeight="1" s="40"/>
    <row r="128" ht="14.25" customHeight="1" s="40"/>
    <row r="129" ht="14.25" customHeight="1" s="40"/>
    <row r="130" ht="14.25" customHeight="1" s="40"/>
    <row r="131" ht="14.25" customHeight="1" s="40"/>
    <row r="132" ht="14.25" customHeight="1" s="40"/>
    <row r="133" ht="14.25" customHeight="1" s="40"/>
    <row r="134" ht="14.25" customHeight="1" s="40"/>
    <row r="135" ht="14.25" customHeight="1" s="40"/>
    <row r="136" ht="14.25" customHeight="1" s="40"/>
    <row r="137" ht="14.25" customHeight="1" s="40"/>
    <row r="138" ht="14.25" customHeight="1" s="40"/>
    <row r="139" ht="14.25" customHeight="1" s="40"/>
    <row r="140" ht="14.25" customHeight="1" s="40"/>
    <row r="141" ht="14.25" customHeight="1" s="40"/>
    <row r="142" ht="14.25" customHeight="1" s="40"/>
    <row r="143" ht="14.25" customHeight="1" s="40"/>
    <row r="144" ht="14.25" customHeight="1" s="40"/>
    <row r="145" ht="14.25" customHeight="1" s="40"/>
    <row r="146" ht="14.25" customHeight="1" s="40"/>
    <row r="147" ht="14.25" customHeight="1" s="40"/>
    <row r="148" ht="14.25" customHeight="1" s="40"/>
    <row r="149" ht="14.25" customHeight="1" s="40"/>
    <row r="150" ht="14.25" customHeight="1" s="40"/>
    <row r="151" ht="14.25" customHeight="1" s="40"/>
    <row r="152" ht="14.25" customHeight="1" s="40"/>
    <row r="153" ht="14.25" customHeight="1" s="40"/>
    <row r="154" ht="14.25" customHeight="1" s="40"/>
    <row r="155" ht="14.25" customHeight="1" s="40"/>
    <row r="156" ht="14.25" customHeight="1" s="40"/>
    <row r="157" ht="14.25" customHeight="1" s="40"/>
    <row r="158" ht="14.25" customHeight="1" s="40"/>
    <row r="159" ht="14.25" customHeight="1" s="40"/>
    <row r="160" ht="14.25" customHeight="1" s="40"/>
    <row r="161" ht="14.25" customHeight="1" s="40"/>
    <row r="162" ht="14.25" customHeight="1" s="40"/>
    <row r="163" ht="14.25" customHeight="1" s="40"/>
    <row r="164" ht="14.25" customHeight="1" s="40"/>
    <row r="165" ht="14.25" customHeight="1" s="40"/>
    <row r="166" ht="14.25" customHeight="1" s="40"/>
    <row r="167" ht="14.25" customHeight="1" s="40"/>
    <row r="168" ht="14.25" customHeight="1" s="40"/>
    <row r="169" ht="14.25" customHeight="1" s="40"/>
    <row r="170" ht="14.25" customHeight="1" s="40"/>
    <row r="171" ht="14.25" customHeight="1" s="40"/>
    <row r="172" ht="14.25" customHeight="1" s="40"/>
    <row r="173" ht="14.25" customHeight="1" s="40"/>
    <row r="174" ht="14.25" customHeight="1" s="40"/>
    <row r="175" ht="14.25" customHeight="1" s="40"/>
    <row r="176" ht="14.25" customHeight="1" s="40"/>
    <row r="177" ht="14.25" customHeight="1" s="40"/>
    <row r="178" ht="14.25" customHeight="1" s="40"/>
    <row r="179" ht="14.25" customHeight="1" s="40"/>
    <row r="180" ht="14.25" customHeight="1" s="40"/>
    <row r="181" ht="14.25" customHeight="1" s="40"/>
    <row r="182" ht="14.25" customHeight="1" s="40"/>
    <row r="183" ht="14.25" customHeight="1" s="40"/>
    <row r="184" ht="14.25" customHeight="1" s="40"/>
    <row r="185" ht="14.25" customHeight="1" s="40"/>
    <row r="186" ht="14.25" customHeight="1" s="40"/>
    <row r="187" ht="14.25" customHeight="1" s="40"/>
    <row r="188" ht="14.25" customHeight="1" s="40"/>
    <row r="189" ht="14.25" customHeight="1" s="40"/>
    <row r="190" ht="14.25" customHeight="1" s="40"/>
    <row r="191" ht="14.25" customHeight="1" s="40"/>
    <row r="192" ht="14.25" customHeight="1" s="40"/>
    <row r="193" ht="14.25" customHeight="1" s="40"/>
    <row r="194" ht="14.25" customHeight="1" s="40"/>
    <row r="195" ht="14.25" customHeight="1" s="40"/>
    <row r="196" ht="14.25" customHeight="1" s="40"/>
    <row r="197" ht="14.25" customHeight="1" s="40"/>
    <row r="198" ht="14.25" customHeight="1" s="40"/>
    <row r="199" ht="14.25" customHeight="1" s="40"/>
    <row r="200" ht="14.25" customHeight="1" s="40"/>
    <row r="201" ht="14.25" customHeight="1" s="40"/>
    <row r="202" ht="14.25" customHeight="1" s="40"/>
    <row r="203" ht="14.25" customHeight="1" s="40"/>
    <row r="204" ht="14.25" customHeight="1" s="40"/>
    <row r="205" ht="14.25" customHeight="1" s="40"/>
    <row r="206" ht="14.25" customHeight="1" s="40"/>
    <row r="207" ht="14.25" customHeight="1" s="40"/>
    <row r="208" ht="14.25" customHeight="1" s="40"/>
    <row r="209" ht="14.25" customHeight="1" s="40"/>
    <row r="210" ht="14.25" customHeight="1" s="40"/>
    <row r="211" ht="14.25" customHeight="1" s="40"/>
    <row r="212" ht="14.25" customHeight="1" s="40"/>
    <row r="213" ht="14.25" customHeight="1" s="40"/>
    <row r="214" ht="14.25" customHeight="1" s="40"/>
    <row r="215" ht="14.25" customHeight="1" s="40"/>
    <row r="216" ht="14.25" customHeight="1" s="40"/>
    <row r="217" ht="14.25" customHeight="1" s="40"/>
    <row r="218" ht="14.25" customHeight="1" s="40"/>
    <row r="219" ht="14.25" customHeight="1" s="40"/>
    <row r="220" ht="14.25" customHeight="1" s="40"/>
    <row r="221" ht="14.25" customHeight="1" s="40"/>
    <row r="222" ht="14.25" customHeight="1" s="40"/>
    <row r="223" ht="14.25" customHeight="1" s="40"/>
    <row r="224" ht="14.25" customHeight="1" s="40"/>
    <row r="225" ht="14.25" customHeight="1" s="40"/>
    <row r="226" ht="14.25" customHeight="1" s="40"/>
    <row r="227" ht="14.25" customHeight="1" s="40"/>
    <row r="228" ht="14.25" customHeight="1" s="40"/>
    <row r="229" ht="14.25" customHeight="1" s="40"/>
    <row r="230" ht="14.25" customHeight="1" s="40"/>
    <row r="231" ht="14.25" customHeight="1" s="40"/>
    <row r="232" ht="14.25" customHeight="1" s="40"/>
    <row r="233" ht="14.25" customHeight="1" s="40"/>
    <row r="234" ht="14.25" customHeight="1" s="40"/>
    <row r="235" ht="14.25" customHeight="1" s="40"/>
    <row r="236" ht="14.25" customHeight="1" s="40"/>
    <row r="237" ht="14.25" customHeight="1" s="40"/>
    <row r="238" ht="14.25" customHeight="1" s="40"/>
    <row r="239" ht="14.25" customHeight="1" s="40"/>
    <row r="240" ht="14.25" customHeight="1" s="40"/>
    <row r="241" ht="14.25" customHeight="1" s="40"/>
    <row r="242" ht="14.25" customHeight="1" s="40"/>
    <row r="243" ht="14.25" customHeight="1" s="40"/>
    <row r="244" ht="14.25" customHeight="1" s="40"/>
    <row r="245" ht="14.25" customHeight="1" s="40"/>
    <row r="246" ht="14.25" customHeight="1" s="40"/>
    <row r="247" ht="14.25" customHeight="1" s="40"/>
    <row r="248" ht="14.25" customHeight="1" s="40"/>
    <row r="249" ht="14.25" customHeight="1" s="40"/>
    <row r="250" ht="14.25" customHeight="1" s="40"/>
    <row r="251" ht="14.25" customHeight="1" s="40"/>
    <row r="252" ht="14.25" customHeight="1" s="40"/>
    <row r="253" ht="14.25" customHeight="1" s="40"/>
    <row r="254" ht="14.25" customHeight="1" s="40"/>
    <row r="255" ht="14.25" customHeight="1" s="40"/>
    <row r="256" ht="14.25" customHeight="1" s="40"/>
    <row r="257" ht="14.25" customHeight="1" s="40"/>
    <row r="258" ht="14.25" customHeight="1" s="40"/>
    <row r="259" ht="14.25" customHeight="1" s="40"/>
    <row r="260" ht="14.25" customHeight="1" s="40"/>
    <row r="261" ht="14.25" customHeight="1" s="40"/>
    <row r="262" ht="14.25" customHeight="1" s="40"/>
    <row r="263" ht="14.25" customHeight="1" s="40"/>
    <row r="264" ht="14.25" customHeight="1" s="40"/>
    <row r="265" ht="14.25" customHeight="1" s="40"/>
    <row r="266" ht="14.25" customHeight="1" s="40"/>
    <row r="267" ht="14.25" customHeight="1" s="40"/>
    <row r="268" ht="14.25" customHeight="1" s="40"/>
    <row r="269" ht="14.25" customHeight="1" s="40"/>
    <row r="270" ht="14.25" customHeight="1" s="40"/>
    <row r="271" ht="14.25" customHeight="1" s="40"/>
    <row r="272" ht="14.25" customHeight="1" s="40"/>
    <row r="273" ht="14.25" customHeight="1" s="40"/>
    <row r="274" ht="14.25" customHeight="1" s="40"/>
    <row r="275" ht="14.25" customHeight="1" s="40"/>
    <row r="276" ht="14.25" customHeight="1" s="40"/>
    <row r="277" ht="14.25" customHeight="1" s="40"/>
    <row r="278" ht="14.25" customHeight="1" s="40"/>
    <row r="279" ht="14.25" customHeight="1" s="40"/>
    <row r="280" ht="14.25" customHeight="1" s="40"/>
    <row r="281" ht="14.25" customHeight="1" s="40"/>
    <row r="282" ht="14.25" customHeight="1" s="40"/>
    <row r="283" ht="14.25" customHeight="1" s="40"/>
    <row r="284" ht="14.25" customHeight="1" s="40"/>
    <row r="285" ht="14.25" customHeight="1" s="40"/>
    <row r="286" ht="14.25" customHeight="1" s="40"/>
    <row r="287" ht="14.25" customHeight="1" s="40"/>
    <row r="288" ht="14.25" customHeight="1" s="40"/>
    <row r="289" ht="14.25" customHeight="1" s="40"/>
    <row r="290" ht="14.25" customHeight="1" s="40"/>
    <row r="291" ht="14.25" customHeight="1" s="40"/>
    <row r="292" ht="14.25" customHeight="1" s="40"/>
    <row r="293" ht="14.25" customHeight="1" s="40"/>
    <row r="294" ht="14.25" customHeight="1" s="40"/>
    <row r="295" ht="14.25" customHeight="1" s="40"/>
    <row r="296" ht="14.25" customHeight="1" s="40"/>
    <row r="297" ht="14.25" customHeight="1" s="40"/>
    <row r="298" ht="14.25" customHeight="1" s="40"/>
    <row r="299" ht="14.25" customHeight="1" s="40"/>
    <row r="300" ht="14.25" customHeight="1" s="40"/>
    <row r="301" ht="14.25" customHeight="1" s="40"/>
    <row r="302" ht="14.25" customHeight="1" s="40"/>
    <row r="303" ht="14.25" customHeight="1" s="40"/>
    <row r="304" ht="14.25" customHeight="1" s="40"/>
    <row r="305" ht="14.25" customHeight="1" s="40"/>
    <row r="306" ht="14.25" customHeight="1" s="40"/>
    <row r="307" ht="14.25" customHeight="1" s="40"/>
    <row r="308" ht="14.25" customHeight="1" s="40"/>
    <row r="309" ht="14.25" customHeight="1" s="40"/>
    <row r="310" ht="14.25" customHeight="1" s="40"/>
    <row r="311" ht="14.25" customHeight="1" s="40"/>
    <row r="312" ht="14.25" customHeight="1" s="40"/>
    <row r="313" ht="14.25" customHeight="1" s="40"/>
    <row r="314" ht="14.25" customHeight="1" s="40"/>
    <row r="315" ht="14.25" customHeight="1" s="40"/>
    <row r="316" ht="14.25" customHeight="1" s="40"/>
    <row r="317" ht="14.25" customHeight="1" s="40"/>
    <row r="318" ht="14.25" customHeight="1" s="40"/>
    <row r="319" ht="14.25" customHeight="1" s="40"/>
    <row r="320" ht="14.25" customHeight="1" s="40"/>
    <row r="321" ht="14.25" customHeight="1" s="40"/>
    <row r="322" ht="14.25" customHeight="1" s="40"/>
    <row r="323" ht="14.25" customHeight="1" s="40"/>
    <row r="324" ht="14.25" customHeight="1" s="40"/>
    <row r="325" ht="14.25" customHeight="1" s="40"/>
    <row r="326" ht="14.25" customHeight="1" s="40"/>
    <row r="327" ht="14.25" customHeight="1" s="40"/>
    <row r="328" ht="14.25" customHeight="1" s="40"/>
    <row r="329" ht="14.25" customHeight="1" s="40"/>
    <row r="330" ht="14.25" customHeight="1" s="40"/>
    <row r="331" ht="14.25" customHeight="1" s="40"/>
    <row r="332" ht="14.25" customHeight="1" s="40"/>
    <row r="333" ht="14.25" customHeight="1" s="40"/>
    <row r="334" ht="14.25" customHeight="1" s="40"/>
    <row r="335" ht="14.25" customHeight="1" s="40"/>
    <row r="336" ht="14.25" customHeight="1" s="40"/>
    <row r="337" ht="14.25" customHeight="1" s="40"/>
    <row r="338" ht="14.25" customHeight="1" s="40"/>
    <row r="339" ht="14.25" customHeight="1" s="40"/>
    <row r="340" ht="14.25" customHeight="1" s="40"/>
    <row r="341" ht="14.25" customHeight="1" s="40"/>
    <row r="342" ht="14.25" customHeight="1" s="40"/>
    <row r="343" ht="14.25" customHeight="1" s="40"/>
    <row r="344" ht="14.25" customHeight="1" s="40"/>
    <row r="345" ht="14.25" customHeight="1" s="40"/>
    <row r="346" ht="14.25" customHeight="1" s="40"/>
    <row r="347" ht="14.25" customHeight="1" s="40"/>
    <row r="348" ht="14.25" customHeight="1" s="40"/>
    <row r="349" ht="14.25" customHeight="1" s="40"/>
    <row r="350" ht="14.25" customHeight="1" s="40"/>
    <row r="351" ht="14.25" customHeight="1" s="40"/>
    <row r="352" ht="14.25" customHeight="1" s="40"/>
    <row r="353" ht="14.25" customHeight="1" s="40"/>
    <row r="354" ht="14.25" customHeight="1" s="40"/>
    <row r="355" ht="14.25" customHeight="1" s="40"/>
    <row r="356" ht="14.25" customHeight="1" s="40"/>
    <row r="357" ht="14.25" customHeight="1" s="40"/>
    <row r="358" ht="14.25" customHeight="1" s="40"/>
    <row r="359" ht="14.25" customHeight="1" s="40"/>
    <row r="360" ht="14.25" customHeight="1" s="40"/>
    <row r="361" ht="14.25" customHeight="1" s="40"/>
    <row r="362" ht="14.25" customHeight="1" s="40"/>
    <row r="363" ht="14.25" customHeight="1" s="40"/>
    <row r="364" ht="14.25" customHeight="1" s="40"/>
    <row r="365" ht="14.25" customHeight="1" s="40"/>
    <row r="366" ht="14.25" customHeight="1" s="40"/>
    <row r="367" ht="14.25" customHeight="1" s="40"/>
    <row r="368" ht="14.25" customHeight="1" s="40"/>
    <row r="369" ht="14.25" customHeight="1" s="40"/>
    <row r="370" ht="14.25" customHeight="1" s="40"/>
    <row r="371" ht="14.25" customHeight="1" s="40"/>
    <row r="372" ht="14.25" customHeight="1" s="40"/>
    <row r="373" ht="14.25" customHeight="1" s="40"/>
    <row r="374" ht="14.25" customHeight="1" s="40"/>
    <row r="375" ht="14.25" customHeight="1" s="40"/>
    <row r="376" ht="14.25" customHeight="1" s="40"/>
    <row r="377" ht="14.25" customHeight="1" s="40"/>
    <row r="378" ht="14.25" customHeight="1" s="40"/>
    <row r="379" ht="14.25" customHeight="1" s="40"/>
    <row r="380" ht="14.25" customHeight="1" s="40"/>
    <row r="381" ht="14.25" customHeight="1" s="40"/>
    <row r="382" ht="14.25" customHeight="1" s="40"/>
    <row r="383" ht="14.25" customHeight="1" s="40"/>
    <row r="384" ht="14.25" customHeight="1" s="40"/>
    <row r="385" ht="14.25" customHeight="1" s="40"/>
    <row r="386" ht="14.25" customHeight="1" s="40"/>
    <row r="387" ht="14.25" customHeight="1" s="40"/>
    <row r="388" ht="14.25" customHeight="1" s="40"/>
    <row r="389" ht="14.25" customHeight="1" s="40"/>
    <row r="390" ht="14.25" customHeight="1" s="40"/>
    <row r="391" ht="14.25" customHeight="1" s="40"/>
    <row r="392" ht="14.25" customHeight="1" s="40"/>
    <row r="393" ht="14.25" customHeight="1" s="40"/>
    <row r="394" ht="14.25" customHeight="1" s="40"/>
    <row r="395" ht="14.25" customHeight="1" s="40"/>
    <row r="396" ht="14.25" customHeight="1" s="40"/>
    <row r="397" ht="14.25" customHeight="1" s="40"/>
    <row r="398" ht="14.25" customHeight="1" s="40"/>
    <row r="399" ht="14.25" customHeight="1" s="40"/>
    <row r="400" ht="14.25" customHeight="1" s="40"/>
    <row r="401" ht="14.25" customHeight="1" s="40"/>
    <row r="402" ht="14.25" customHeight="1" s="40"/>
    <row r="403" ht="14.25" customHeight="1" s="40"/>
    <row r="404" ht="14.25" customHeight="1" s="40"/>
    <row r="405" ht="14.25" customHeight="1" s="40"/>
    <row r="406" ht="14.25" customHeight="1" s="40"/>
    <row r="407" ht="14.25" customHeight="1" s="40"/>
    <row r="408" ht="14.25" customHeight="1" s="40"/>
    <row r="409" ht="14.25" customHeight="1" s="40"/>
    <row r="410" ht="14.25" customHeight="1" s="40"/>
    <row r="411" ht="14.25" customHeight="1" s="40"/>
    <row r="412" ht="14.25" customHeight="1" s="40"/>
    <row r="413" ht="14.25" customHeight="1" s="40"/>
    <row r="414" ht="14.25" customHeight="1" s="40"/>
    <row r="415" ht="14.25" customHeight="1" s="40"/>
    <row r="416" ht="14.25" customHeight="1" s="40"/>
    <row r="417" ht="14.25" customHeight="1" s="40"/>
    <row r="418" ht="14.25" customHeight="1" s="40"/>
    <row r="419" ht="14.25" customHeight="1" s="40"/>
    <row r="420" ht="14.25" customHeight="1" s="40"/>
    <row r="421" ht="14.25" customHeight="1" s="40"/>
    <row r="422" ht="14.25" customHeight="1" s="40"/>
    <row r="423" ht="14.25" customHeight="1" s="40"/>
    <row r="424" ht="14.25" customHeight="1" s="40"/>
    <row r="425" ht="14.25" customHeight="1" s="40"/>
    <row r="426" ht="14.25" customHeight="1" s="40"/>
    <row r="427" ht="14.25" customHeight="1" s="40"/>
    <row r="428" ht="14.25" customHeight="1" s="40"/>
    <row r="429" ht="14.25" customHeight="1" s="40"/>
    <row r="430" ht="14.25" customHeight="1" s="40"/>
    <row r="431" ht="14.25" customHeight="1" s="40"/>
    <row r="432" ht="14.25" customHeight="1" s="40"/>
    <row r="433" ht="14.25" customHeight="1" s="40"/>
    <row r="434" ht="14.25" customHeight="1" s="40"/>
    <row r="435" ht="14.25" customHeight="1" s="40"/>
    <row r="436" ht="14.25" customHeight="1" s="40"/>
    <row r="437" ht="14.25" customHeight="1" s="40"/>
    <row r="438" ht="14.25" customHeight="1" s="40"/>
    <row r="439" ht="14.25" customHeight="1" s="40"/>
    <row r="440" ht="14.25" customHeight="1" s="40"/>
    <row r="441" ht="14.25" customHeight="1" s="40"/>
    <row r="442" ht="14.25" customHeight="1" s="40"/>
    <row r="443" ht="14.25" customHeight="1" s="40"/>
    <row r="444" ht="14.25" customHeight="1" s="40"/>
    <row r="445" ht="14.25" customHeight="1" s="40"/>
    <row r="446" ht="14.25" customHeight="1" s="40"/>
    <row r="447" ht="14.25" customHeight="1" s="40"/>
    <row r="448" ht="14.25" customHeight="1" s="40"/>
    <row r="449" ht="14.25" customHeight="1" s="40"/>
    <row r="450" ht="14.25" customHeight="1" s="40"/>
    <row r="451" ht="14.25" customHeight="1" s="40"/>
    <row r="452" ht="14.25" customHeight="1" s="40"/>
    <row r="453" ht="14.25" customHeight="1" s="40"/>
    <row r="454" ht="14.25" customHeight="1" s="40"/>
    <row r="455" ht="14.25" customHeight="1" s="40"/>
    <row r="456" ht="14.25" customHeight="1" s="40"/>
    <row r="457" ht="14.25" customHeight="1" s="40"/>
    <row r="458" ht="14.25" customHeight="1" s="40"/>
    <row r="459" ht="14.25" customHeight="1" s="40"/>
    <row r="460" ht="14.25" customHeight="1" s="40"/>
    <row r="461" ht="14.25" customHeight="1" s="40"/>
    <row r="462" ht="14.25" customHeight="1" s="40"/>
    <row r="463" ht="14.25" customHeight="1" s="40"/>
    <row r="464" ht="14.25" customHeight="1" s="40"/>
    <row r="465" ht="14.25" customHeight="1" s="40"/>
    <row r="466" ht="14.25" customHeight="1" s="40"/>
    <row r="467" ht="14.25" customHeight="1" s="40"/>
    <row r="468" ht="14.25" customHeight="1" s="40"/>
    <row r="469" ht="14.25" customHeight="1" s="40"/>
    <row r="470" ht="14.25" customHeight="1" s="40"/>
    <row r="471" ht="14.25" customHeight="1" s="40"/>
    <row r="472" ht="14.25" customHeight="1" s="40"/>
    <row r="473" ht="14.25" customHeight="1" s="40"/>
    <row r="474" ht="14.25" customHeight="1" s="40"/>
    <row r="475" ht="14.25" customHeight="1" s="40"/>
    <row r="476" ht="14.25" customHeight="1" s="40"/>
    <row r="477" ht="14.25" customHeight="1" s="40"/>
    <row r="478" ht="14.25" customHeight="1" s="40"/>
    <row r="479" ht="14.25" customHeight="1" s="40"/>
    <row r="480" ht="14.25" customHeight="1" s="40"/>
    <row r="481" ht="14.25" customHeight="1" s="40"/>
    <row r="482" ht="14.25" customHeight="1" s="40"/>
    <row r="483" ht="14.25" customHeight="1" s="40"/>
    <row r="484" ht="14.25" customHeight="1" s="40"/>
    <row r="485" ht="14.25" customHeight="1" s="40"/>
    <row r="486" ht="14.25" customHeight="1" s="40"/>
    <row r="487" ht="14.25" customHeight="1" s="40"/>
    <row r="488" ht="14.25" customHeight="1" s="40"/>
    <row r="489" ht="14.25" customHeight="1" s="40"/>
    <row r="490" ht="14.25" customHeight="1" s="40"/>
    <row r="491" ht="14.25" customHeight="1" s="40"/>
    <row r="492" ht="14.25" customHeight="1" s="40"/>
    <row r="493" ht="14.25" customHeight="1" s="40"/>
    <row r="494" ht="14.25" customHeight="1" s="40"/>
    <row r="495" ht="14.25" customHeight="1" s="40"/>
    <row r="496" ht="14.25" customHeight="1" s="40"/>
    <row r="497" ht="14.25" customHeight="1" s="40"/>
    <row r="498" ht="14.25" customHeight="1" s="40"/>
    <row r="499" ht="14.25" customHeight="1" s="40"/>
    <row r="500" ht="14.25" customHeight="1" s="40"/>
    <row r="501" ht="14.25" customHeight="1" s="40"/>
    <row r="502" ht="14.25" customHeight="1" s="40"/>
    <row r="503" ht="14.25" customHeight="1" s="40"/>
    <row r="504" ht="14.25" customHeight="1" s="40"/>
    <row r="505" ht="14.25" customHeight="1" s="40"/>
    <row r="506" ht="14.25" customHeight="1" s="40"/>
    <row r="507" ht="14.25" customHeight="1" s="40"/>
    <row r="508" ht="14.25" customHeight="1" s="40"/>
    <row r="509" ht="14.25" customHeight="1" s="40"/>
    <row r="510" ht="14.25" customHeight="1" s="40"/>
    <row r="511" ht="14.25" customHeight="1" s="40"/>
    <row r="512" ht="14.25" customHeight="1" s="40"/>
    <row r="513" ht="14.25" customHeight="1" s="40"/>
    <row r="514" ht="14.25" customHeight="1" s="40"/>
    <row r="515" ht="14.25" customHeight="1" s="40"/>
    <row r="516" ht="14.25" customHeight="1" s="40"/>
    <row r="517" ht="14.25" customHeight="1" s="40"/>
    <row r="518" ht="14.25" customHeight="1" s="40"/>
    <row r="519" ht="14.25" customHeight="1" s="40"/>
    <row r="520" ht="14.25" customHeight="1" s="40"/>
    <row r="521" ht="14.25" customHeight="1" s="40"/>
    <row r="522" ht="14.25" customHeight="1" s="40"/>
    <row r="523" ht="14.25" customHeight="1" s="40"/>
    <row r="524" ht="14.25" customHeight="1" s="40"/>
    <row r="525" ht="14.25" customHeight="1" s="40"/>
    <row r="526" ht="14.25" customHeight="1" s="40"/>
    <row r="527" ht="14.25" customHeight="1" s="40"/>
    <row r="528" ht="14.25" customHeight="1" s="40"/>
    <row r="529" ht="14.25" customHeight="1" s="40"/>
    <row r="530" ht="14.25" customHeight="1" s="40"/>
    <row r="531" ht="14.25" customHeight="1" s="40"/>
    <row r="532" ht="14.25" customHeight="1" s="40"/>
    <row r="533" ht="14.25" customHeight="1" s="40"/>
    <row r="534" ht="14.25" customHeight="1" s="40"/>
    <row r="535" ht="14.25" customHeight="1" s="40"/>
    <row r="536" ht="14.25" customHeight="1" s="40"/>
    <row r="537" ht="14.25" customHeight="1" s="40"/>
    <row r="538" ht="14.25" customHeight="1" s="40"/>
    <row r="539" ht="14.25" customHeight="1" s="40"/>
    <row r="540" ht="14.25" customHeight="1" s="40"/>
    <row r="541" ht="14.25" customHeight="1" s="40"/>
    <row r="542" ht="14.25" customHeight="1" s="40"/>
    <row r="543" ht="14.25" customHeight="1" s="40"/>
    <row r="544" ht="14.25" customHeight="1" s="40"/>
    <row r="545" ht="14.25" customHeight="1" s="40"/>
    <row r="546" ht="14.25" customHeight="1" s="40"/>
    <row r="547" ht="14.25" customHeight="1" s="40"/>
    <row r="548" ht="14.25" customHeight="1" s="40"/>
    <row r="549" ht="14.25" customHeight="1" s="40"/>
    <row r="550" ht="14.25" customHeight="1" s="40"/>
    <row r="551" ht="14.25" customHeight="1" s="40"/>
    <row r="552" ht="14.25" customHeight="1" s="40"/>
    <row r="553" ht="14.25" customHeight="1" s="40"/>
    <row r="554" ht="14.25" customHeight="1" s="40"/>
    <row r="555" ht="14.25" customHeight="1" s="40"/>
    <row r="556" ht="14.25" customHeight="1" s="40"/>
    <row r="557" ht="14.25" customHeight="1" s="40"/>
    <row r="558" ht="14.25" customHeight="1" s="40"/>
    <row r="559" ht="14.25" customHeight="1" s="40"/>
    <row r="560" ht="14.25" customHeight="1" s="40"/>
    <row r="561" ht="14.25" customHeight="1" s="40"/>
    <row r="562" ht="14.25" customHeight="1" s="40"/>
    <row r="563" ht="14.25" customHeight="1" s="40"/>
    <row r="564" ht="14.25" customHeight="1" s="40"/>
    <row r="565" ht="14.25" customHeight="1" s="40"/>
    <row r="566" ht="14.25" customHeight="1" s="40"/>
    <row r="567" ht="14.25" customHeight="1" s="40"/>
    <row r="568" ht="14.25" customHeight="1" s="40"/>
    <row r="569" ht="14.25" customHeight="1" s="40"/>
    <row r="570" ht="14.25" customHeight="1" s="40"/>
    <row r="571" ht="14.25" customHeight="1" s="40"/>
    <row r="572" ht="14.25" customHeight="1" s="40"/>
    <row r="573" ht="14.25" customHeight="1" s="40"/>
    <row r="574" ht="14.25" customHeight="1" s="40"/>
    <row r="575" ht="14.25" customHeight="1" s="40"/>
    <row r="576" ht="14.25" customHeight="1" s="40"/>
    <row r="577" ht="14.25" customHeight="1" s="40"/>
    <row r="578" ht="14.25" customHeight="1" s="40"/>
    <row r="579" ht="14.25" customHeight="1" s="40"/>
    <row r="580" ht="14.25" customHeight="1" s="40"/>
    <row r="581" ht="14.25" customHeight="1" s="40"/>
    <row r="582" ht="14.25" customHeight="1" s="40"/>
    <row r="583" ht="14.25" customHeight="1" s="40"/>
    <row r="584" ht="14.25" customHeight="1" s="40"/>
    <row r="585" ht="14.25" customHeight="1" s="40"/>
    <row r="586" ht="14.25" customHeight="1" s="40"/>
    <row r="587" ht="14.25" customHeight="1" s="40"/>
    <row r="588" ht="14.25" customHeight="1" s="40"/>
    <row r="589" ht="14.25" customHeight="1" s="40"/>
    <row r="590" ht="14.25" customHeight="1" s="40"/>
    <row r="591" ht="14.25" customHeight="1" s="40"/>
    <row r="592" ht="14.25" customHeight="1" s="40"/>
    <row r="593" ht="14.25" customHeight="1" s="40"/>
    <row r="594" ht="14.25" customHeight="1" s="40"/>
    <row r="595" ht="14.25" customHeight="1" s="40"/>
    <row r="596" ht="14.25" customHeight="1" s="40"/>
    <row r="597" ht="14.25" customHeight="1" s="40"/>
    <row r="598" ht="14.25" customHeight="1" s="40"/>
    <row r="599" ht="14.25" customHeight="1" s="40"/>
    <row r="600" ht="14.25" customHeight="1" s="40"/>
    <row r="601" ht="14.25" customHeight="1" s="40"/>
    <row r="602" ht="14.25" customHeight="1" s="40"/>
    <row r="603" ht="14.25" customHeight="1" s="40"/>
    <row r="604" ht="14.25" customHeight="1" s="40"/>
    <row r="605" ht="14.25" customHeight="1" s="40"/>
    <row r="606" ht="14.25" customHeight="1" s="40"/>
    <row r="607" ht="14.25" customHeight="1" s="40"/>
    <row r="608" ht="14.25" customHeight="1" s="40"/>
    <row r="609" ht="14.25" customHeight="1" s="40"/>
    <row r="610" ht="14.25" customHeight="1" s="40"/>
    <row r="611" ht="14.25" customHeight="1" s="40"/>
    <row r="612" ht="14.25" customHeight="1" s="40"/>
    <row r="613" ht="14.25" customHeight="1" s="40"/>
    <row r="614" ht="14.25" customHeight="1" s="40"/>
    <row r="615" ht="14.25" customHeight="1" s="40"/>
    <row r="616" ht="14.25" customHeight="1" s="40"/>
    <row r="617" ht="14.25" customHeight="1" s="40"/>
    <row r="618" ht="14.25" customHeight="1" s="40"/>
    <row r="619" ht="14.25" customHeight="1" s="40"/>
    <row r="620" ht="14.25" customHeight="1" s="40"/>
    <row r="621" ht="14.25" customHeight="1" s="40"/>
    <row r="622" ht="14.25" customHeight="1" s="40"/>
    <row r="623" ht="14.25" customHeight="1" s="40"/>
    <row r="624" ht="14.25" customHeight="1" s="40"/>
    <row r="625" ht="14.25" customHeight="1" s="40"/>
    <row r="626" ht="14.25" customHeight="1" s="40"/>
    <row r="627" ht="14.25" customHeight="1" s="40"/>
    <row r="628" ht="14.25" customHeight="1" s="40"/>
    <row r="629" ht="14.25" customHeight="1" s="40"/>
    <row r="630" ht="14.25" customHeight="1" s="40"/>
    <row r="631" ht="14.25" customHeight="1" s="40"/>
    <row r="632" ht="14.25" customHeight="1" s="40"/>
    <row r="633" ht="14.25" customHeight="1" s="40"/>
    <row r="634" ht="14.25" customHeight="1" s="40"/>
    <row r="635" ht="14.25" customHeight="1" s="40"/>
    <row r="636" ht="14.25" customHeight="1" s="40"/>
    <row r="637" ht="14.25" customHeight="1" s="40"/>
    <row r="638" ht="14.25" customHeight="1" s="40"/>
    <row r="639" ht="14.25" customHeight="1" s="40"/>
    <row r="640" ht="14.25" customHeight="1" s="40"/>
    <row r="641" ht="14.25" customHeight="1" s="40"/>
    <row r="642" ht="14.25" customHeight="1" s="40"/>
    <row r="643" ht="14.25" customHeight="1" s="40"/>
    <row r="644" ht="14.25" customHeight="1" s="40"/>
    <row r="645" ht="14.25" customHeight="1" s="40"/>
    <row r="646" ht="14.25" customHeight="1" s="40"/>
    <row r="647" ht="14.25" customHeight="1" s="40"/>
    <row r="648" ht="14.25" customHeight="1" s="40"/>
    <row r="649" ht="14.25" customHeight="1" s="40"/>
    <row r="650" ht="14.25" customHeight="1" s="40"/>
    <row r="651" ht="14.25" customHeight="1" s="40"/>
    <row r="652" ht="14.25" customHeight="1" s="40"/>
    <row r="653" ht="14.25" customHeight="1" s="40"/>
    <row r="654" ht="14.25" customHeight="1" s="40"/>
    <row r="655" ht="14.25" customHeight="1" s="40"/>
    <row r="656" ht="14.25" customHeight="1" s="40"/>
    <row r="657" ht="14.25" customHeight="1" s="40"/>
    <row r="658" ht="14.25" customHeight="1" s="40"/>
    <row r="659" ht="14.25" customHeight="1" s="40"/>
    <row r="660" ht="14.25" customHeight="1" s="40"/>
    <row r="661" ht="14.25" customHeight="1" s="40"/>
    <row r="662" ht="14.25" customHeight="1" s="40"/>
    <row r="663" ht="14.25" customHeight="1" s="40"/>
    <row r="664" ht="14.25" customHeight="1" s="40"/>
    <row r="665" ht="14.25" customHeight="1" s="40"/>
    <row r="666" ht="14.25" customHeight="1" s="40"/>
    <row r="667" ht="14.25" customHeight="1" s="40"/>
    <row r="668" ht="14.25" customHeight="1" s="40"/>
    <row r="669" ht="14.25" customHeight="1" s="40"/>
    <row r="670" ht="14.25" customHeight="1" s="40"/>
    <row r="671" ht="14.25" customHeight="1" s="40"/>
    <row r="672" ht="14.25" customHeight="1" s="40"/>
    <row r="673" ht="14.25" customHeight="1" s="40"/>
    <row r="674" ht="14.25" customHeight="1" s="40"/>
    <row r="675" ht="14.25" customHeight="1" s="40"/>
    <row r="676" ht="14.25" customHeight="1" s="40"/>
    <row r="677" ht="14.25" customHeight="1" s="40"/>
    <row r="678" ht="14.25" customHeight="1" s="40"/>
    <row r="679" ht="14.25" customHeight="1" s="40"/>
    <row r="680" ht="14.25" customHeight="1" s="40"/>
    <row r="681" ht="14.25" customHeight="1" s="40"/>
    <row r="682" ht="14.25" customHeight="1" s="40"/>
    <row r="683" ht="14.25" customHeight="1" s="40"/>
    <row r="684" ht="14.25" customHeight="1" s="40"/>
    <row r="685" ht="14.25" customHeight="1" s="40"/>
    <row r="686" ht="14.25" customHeight="1" s="40"/>
    <row r="687" ht="14.25" customHeight="1" s="40"/>
    <row r="688" ht="14.25" customHeight="1" s="40"/>
    <row r="689" ht="14.25" customHeight="1" s="40"/>
    <row r="690" ht="14.25" customHeight="1" s="40"/>
    <row r="691" ht="14.25" customHeight="1" s="40"/>
    <row r="692" ht="14.25" customHeight="1" s="40"/>
    <row r="693" ht="14.25" customHeight="1" s="40"/>
    <row r="694" ht="14.25" customHeight="1" s="40"/>
    <row r="695" ht="14.25" customHeight="1" s="40"/>
    <row r="696" ht="14.25" customHeight="1" s="40"/>
    <row r="697" ht="14.25" customHeight="1" s="40"/>
    <row r="698" ht="14.25" customHeight="1" s="40"/>
    <row r="699" ht="14.25" customHeight="1" s="40"/>
    <row r="700" ht="14.25" customHeight="1" s="40"/>
    <row r="701" ht="14.25" customHeight="1" s="40"/>
    <row r="702" ht="14.25" customHeight="1" s="40"/>
    <row r="703" ht="14.25" customHeight="1" s="40"/>
    <row r="704" ht="14.25" customHeight="1" s="40"/>
    <row r="705" ht="14.25" customHeight="1" s="40"/>
    <row r="706" ht="14.25" customHeight="1" s="40"/>
    <row r="707" ht="14.25" customHeight="1" s="40"/>
    <row r="708" ht="14.25" customHeight="1" s="40"/>
    <row r="709" ht="14.25" customHeight="1" s="40"/>
    <row r="710" ht="14.25" customHeight="1" s="40"/>
    <row r="711" ht="14.25" customHeight="1" s="40"/>
    <row r="712" ht="14.25" customHeight="1" s="40"/>
    <row r="713" ht="14.25" customHeight="1" s="40"/>
    <row r="714" ht="14.25" customHeight="1" s="40"/>
    <row r="715" ht="14.25" customHeight="1" s="40"/>
    <row r="716" ht="14.25" customHeight="1" s="40"/>
    <row r="717" ht="14.25" customHeight="1" s="40"/>
    <row r="718" ht="14.25" customHeight="1" s="40"/>
    <row r="719" ht="14.25" customHeight="1" s="40"/>
    <row r="720" ht="14.25" customHeight="1" s="40"/>
    <row r="721" ht="14.25" customHeight="1" s="40"/>
    <row r="722" ht="14.25" customHeight="1" s="40"/>
    <row r="723" ht="14.25" customHeight="1" s="40"/>
    <row r="724" ht="14.25" customHeight="1" s="40"/>
    <row r="725" ht="14.25" customHeight="1" s="40"/>
    <row r="726" ht="14.25" customHeight="1" s="40"/>
    <row r="727" ht="14.25" customHeight="1" s="40"/>
    <row r="728" ht="14.25" customHeight="1" s="40"/>
    <row r="729" ht="14.25" customHeight="1" s="40"/>
    <row r="730" ht="14.25" customHeight="1" s="40"/>
    <row r="731" ht="14.25" customHeight="1" s="40"/>
    <row r="732" ht="14.25" customHeight="1" s="40"/>
    <row r="733" ht="14.25" customHeight="1" s="40"/>
    <row r="734" ht="14.25" customHeight="1" s="40"/>
    <row r="735" ht="14.25" customHeight="1" s="40"/>
    <row r="736" ht="14.25" customHeight="1" s="40"/>
    <row r="737" ht="14.25" customHeight="1" s="40"/>
    <row r="738" ht="14.25" customHeight="1" s="40"/>
    <row r="739" ht="14.25" customHeight="1" s="40"/>
    <row r="740" ht="14.25" customHeight="1" s="40"/>
    <row r="741" ht="14.25" customHeight="1" s="40"/>
    <row r="742" ht="14.25" customHeight="1" s="40"/>
    <row r="743" ht="14.25" customHeight="1" s="40"/>
    <row r="744" ht="14.25" customHeight="1" s="40"/>
    <row r="745" ht="14.25" customHeight="1" s="40"/>
    <row r="746" ht="14.25" customHeight="1" s="40"/>
    <row r="747" ht="14.25" customHeight="1" s="40"/>
    <row r="748" ht="14.25" customHeight="1" s="40"/>
    <row r="749" ht="14.25" customHeight="1" s="40"/>
    <row r="750" ht="14.25" customHeight="1" s="40"/>
    <row r="751" ht="14.25" customHeight="1" s="40"/>
    <row r="752" ht="14.25" customHeight="1" s="40"/>
    <row r="753" ht="14.25" customHeight="1" s="40"/>
    <row r="754" ht="14.25" customHeight="1" s="40"/>
    <row r="755" ht="14.25" customHeight="1" s="40"/>
    <row r="756" ht="14.25" customHeight="1" s="40"/>
    <row r="757" ht="14.25" customHeight="1" s="40"/>
    <row r="758" ht="14.25" customHeight="1" s="40"/>
    <row r="759" ht="14.25" customHeight="1" s="40"/>
    <row r="760" ht="14.25" customHeight="1" s="40"/>
    <row r="761" ht="14.25" customHeight="1" s="40"/>
    <row r="762" ht="14.25" customHeight="1" s="40"/>
    <row r="763" ht="14.25" customHeight="1" s="40"/>
    <row r="764" ht="14.25" customHeight="1" s="40"/>
    <row r="765" ht="14.25" customHeight="1" s="40"/>
    <row r="766" ht="14.25" customHeight="1" s="40"/>
    <row r="767" ht="14.25" customHeight="1" s="40"/>
    <row r="768" ht="14.25" customHeight="1" s="40"/>
    <row r="769" ht="14.25" customHeight="1" s="40"/>
    <row r="770" ht="14.25" customHeight="1" s="40"/>
    <row r="771" ht="14.25" customHeight="1" s="40"/>
    <row r="772" ht="14.25" customHeight="1" s="40"/>
    <row r="773" ht="14.25" customHeight="1" s="40"/>
    <row r="774" ht="14.25" customHeight="1" s="40"/>
    <row r="775" ht="14.25" customHeight="1" s="40"/>
    <row r="776" ht="14.25" customHeight="1" s="40"/>
    <row r="777" ht="14.25" customHeight="1" s="40"/>
    <row r="778" ht="14.25" customHeight="1" s="40"/>
    <row r="779" ht="14.25" customHeight="1" s="40"/>
    <row r="780" ht="14.25" customHeight="1" s="40"/>
    <row r="781" ht="14.25" customHeight="1" s="40"/>
    <row r="782" ht="14.25" customHeight="1" s="40"/>
    <row r="783" ht="14.25" customHeight="1" s="40"/>
    <row r="784" ht="14.25" customHeight="1" s="40"/>
    <row r="785" ht="14.25" customHeight="1" s="40"/>
    <row r="786" ht="14.25" customHeight="1" s="40"/>
    <row r="787" ht="14.25" customHeight="1" s="40"/>
    <row r="788" ht="14.25" customHeight="1" s="40"/>
    <row r="789" ht="14.25" customHeight="1" s="40"/>
    <row r="790" ht="14.25" customHeight="1" s="40"/>
    <row r="791" ht="14.25" customHeight="1" s="40"/>
    <row r="792" ht="14.25" customHeight="1" s="40"/>
    <row r="793" ht="14.25" customHeight="1" s="40"/>
    <row r="794" ht="14.25" customHeight="1" s="40"/>
    <row r="795" ht="14.25" customHeight="1" s="40"/>
    <row r="796" ht="14.25" customHeight="1" s="40"/>
    <row r="797" ht="14.25" customHeight="1" s="40"/>
    <row r="798" ht="14.25" customHeight="1" s="40"/>
    <row r="799" ht="14.25" customHeight="1" s="40"/>
    <row r="800" ht="14.25" customHeight="1" s="40"/>
    <row r="801" ht="14.25" customHeight="1" s="40"/>
    <row r="802" ht="14.25" customHeight="1" s="40"/>
    <row r="803" ht="14.25" customHeight="1" s="40"/>
    <row r="804" ht="14.25" customHeight="1" s="40"/>
    <row r="805" ht="14.25" customHeight="1" s="40"/>
    <row r="806" ht="14.25" customHeight="1" s="40"/>
    <row r="807" ht="14.25" customHeight="1" s="40"/>
    <row r="808" ht="14.25" customHeight="1" s="40"/>
    <row r="809" ht="14.25" customHeight="1" s="40"/>
    <row r="810" ht="14.25" customHeight="1" s="40"/>
    <row r="811" ht="14.25" customHeight="1" s="40"/>
    <row r="812" ht="14.25" customHeight="1" s="40"/>
    <row r="813" ht="14.25" customHeight="1" s="40"/>
    <row r="814" ht="14.25" customHeight="1" s="40"/>
    <row r="815" ht="14.25" customHeight="1" s="40"/>
    <row r="816" ht="14.25" customHeight="1" s="40"/>
    <row r="817" ht="14.25" customHeight="1" s="40"/>
    <row r="818" ht="14.25" customHeight="1" s="40"/>
    <row r="819" ht="14.25" customHeight="1" s="40"/>
    <row r="820" ht="14.25" customHeight="1" s="40"/>
    <row r="821" ht="14.25" customHeight="1" s="40"/>
    <row r="822" ht="14.25" customHeight="1" s="40"/>
    <row r="823" ht="14.25" customHeight="1" s="40"/>
    <row r="824" ht="14.25" customHeight="1" s="40"/>
    <row r="825" ht="14.25" customHeight="1" s="40"/>
    <row r="826" ht="14.25" customHeight="1" s="40"/>
    <row r="827" ht="14.25" customHeight="1" s="40"/>
    <row r="828" ht="14.25" customHeight="1" s="40"/>
    <row r="829" ht="14.25" customHeight="1" s="40"/>
    <row r="830" ht="14.25" customHeight="1" s="40"/>
    <row r="831" ht="14.25" customHeight="1" s="40"/>
    <row r="832" ht="14.25" customHeight="1" s="40"/>
    <row r="833" ht="14.25" customHeight="1" s="40"/>
    <row r="834" ht="14.25" customHeight="1" s="40"/>
    <row r="835" ht="14.25" customHeight="1" s="40"/>
    <row r="836" ht="14.25" customHeight="1" s="40"/>
    <row r="837" ht="14.25" customHeight="1" s="40"/>
    <row r="838" ht="14.25" customHeight="1" s="40"/>
    <row r="839" ht="14.25" customHeight="1" s="40"/>
    <row r="840" ht="14.25" customHeight="1" s="40"/>
    <row r="841" ht="14.25" customHeight="1" s="40"/>
    <row r="842" ht="14.25" customHeight="1" s="40"/>
    <row r="843" ht="14.25" customHeight="1" s="40"/>
    <row r="844" ht="14.25" customHeight="1" s="40"/>
    <row r="845" ht="14.25" customHeight="1" s="40"/>
    <row r="846" ht="14.25" customHeight="1" s="40"/>
    <row r="847" ht="14.25" customHeight="1" s="40"/>
    <row r="848" ht="14.25" customHeight="1" s="40"/>
    <row r="849" ht="14.25" customHeight="1" s="40"/>
    <row r="850" ht="14.25" customHeight="1" s="40"/>
    <row r="851" ht="14.25" customHeight="1" s="40"/>
    <row r="852" ht="14.25" customHeight="1" s="40"/>
    <row r="853" ht="14.25" customHeight="1" s="40"/>
    <row r="854" ht="14.25" customHeight="1" s="40"/>
    <row r="855" ht="14.25" customHeight="1" s="40"/>
    <row r="856" ht="14.25" customHeight="1" s="40"/>
    <row r="857" ht="14.25" customHeight="1" s="40"/>
    <row r="858" ht="14.25" customHeight="1" s="40"/>
    <row r="859" ht="14.25" customHeight="1" s="40"/>
    <row r="860" ht="14.25" customHeight="1" s="40"/>
    <row r="861" ht="14.25" customHeight="1" s="40"/>
    <row r="862" ht="14.25" customHeight="1" s="40"/>
    <row r="863" ht="14.25" customHeight="1" s="40"/>
    <row r="864" ht="14.25" customHeight="1" s="40"/>
    <row r="865" ht="14.25" customHeight="1" s="40"/>
    <row r="866" ht="14.25" customHeight="1" s="40"/>
    <row r="867" ht="14.25" customHeight="1" s="40"/>
    <row r="868" ht="14.25" customHeight="1" s="40"/>
    <row r="869" ht="14.25" customHeight="1" s="40"/>
    <row r="870" ht="14.25" customHeight="1" s="40"/>
    <row r="871" ht="14.25" customHeight="1" s="40"/>
    <row r="872" ht="14.25" customHeight="1" s="40"/>
    <row r="873" ht="14.25" customHeight="1" s="40"/>
    <row r="874" ht="14.25" customHeight="1" s="40"/>
    <row r="875" ht="14.25" customHeight="1" s="40"/>
    <row r="876" ht="14.25" customHeight="1" s="40"/>
    <row r="877" ht="14.25" customHeight="1" s="40"/>
    <row r="878" ht="14.25" customHeight="1" s="40"/>
    <row r="879" ht="14.25" customHeight="1" s="40"/>
    <row r="880" ht="14.25" customHeight="1" s="40"/>
    <row r="881" ht="14.25" customHeight="1" s="40"/>
    <row r="882" ht="14.25" customHeight="1" s="40"/>
    <row r="883" ht="14.25" customHeight="1" s="40"/>
    <row r="884" ht="14.25" customHeight="1" s="40"/>
    <row r="885" ht="14.25" customHeight="1" s="40"/>
    <row r="886" ht="14.25" customHeight="1" s="40"/>
    <row r="887" ht="14.25" customHeight="1" s="40"/>
    <row r="888" ht="14.25" customHeight="1" s="40"/>
    <row r="889" ht="14.25" customHeight="1" s="40"/>
    <row r="890" ht="14.25" customHeight="1" s="40"/>
    <row r="891" ht="14.25" customHeight="1" s="40"/>
    <row r="892" ht="14.25" customHeight="1" s="40"/>
    <row r="893" ht="14.25" customHeight="1" s="40"/>
    <row r="894" ht="14.25" customHeight="1" s="40"/>
    <row r="895" ht="14.25" customHeight="1" s="40"/>
    <row r="896" ht="14.25" customHeight="1" s="40"/>
    <row r="897" ht="14.25" customHeight="1" s="40"/>
    <row r="898" ht="14.25" customHeight="1" s="40"/>
    <row r="899" ht="14.25" customHeight="1" s="40"/>
    <row r="900" ht="14.25" customHeight="1" s="40"/>
    <row r="901" ht="14.25" customHeight="1" s="40"/>
    <row r="902" ht="14.25" customHeight="1" s="40"/>
    <row r="903" ht="14.25" customHeight="1" s="40"/>
    <row r="904" ht="14.25" customHeight="1" s="40"/>
    <row r="905" ht="14.25" customHeight="1" s="40"/>
    <row r="906" ht="14.25" customHeight="1" s="40"/>
    <row r="907" ht="14.25" customHeight="1" s="40"/>
    <row r="908" ht="14.25" customHeight="1" s="40"/>
    <row r="909" ht="14.25" customHeight="1" s="40"/>
    <row r="910" ht="14.25" customHeight="1" s="40"/>
    <row r="911" ht="14.25" customHeight="1" s="40"/>
    <row r="912" ht="14.25" customHeight="1" s="40"/>
    <row r="913" ht="14.25" customHeight="1" s="40"/>
    <row r="914" ht="14.25" customHeight="1" s="40"/>
    <row r="915" ht="14.25" customHeight="1" s="40"/>
    <row r="916" ht="14.25" customHeight="1" s="40"/>
    <row r="917" ht="14.25" customHeight="1" s="40"/>
    <row r="918" ht="14.25" customHeight="1" s="40"/>
    <row r="919" ht="14.25" customHeight="1" s="40"/>
    <row r="920" ht="14.25" customHeight="1" s="40"/>
    <row r="921" ht="14.25" customHeight="1" s="40"/>
    <row r="922" ht="14.25" customHeight="1" s="40"/>
    <row r="923" ht="14.25" customHeight="1" s="40"/>
    <row r="924" ht="14.25" customHeight="1" s="40"/>
    <row r="925" ht="14.25" customHeight="1" s="40"/>
    <row r="926" ht="14.25" customHeight="1" s="40"/>
    <row r="927" ht="14.25" customHeight="1" s="40"/>
    <row r="928" ht="14.25" customHeight="1" s="40"/>
    <row r="929" ht="14.25" customHeight="1" s="40"/>
    <row r="930" ht="14.25" customHeight="1" s="40"/>
    <row r="931" ht="14.25" customHeight="1" s="40"/>
    <row r="932" ht="14.25" customHeight="1" s="40"/>
    <row r="933" ht="14.25" customHeight="1" s="40"/>
    <row r="934" ht="14.25" customHeight="1" s="40"/>
    <row r="935" ht="14.25" customHeight="1" s="40"/>
    <row r="936" ht="14.25" customHeight="1" s="40"/>
    <row r="937" ht="14.25" customHeight="1" s="40"/>
    <row r="938" ht="14.25" customHeight="1" s="40"/>
    <row r="939" ht="14.25" customHeight="1" s="40"/>
    <row r="940" ht="14.25" customHeight="1" s="40"/>
    <row r="941" ht="14.25" customHeight="1" s="40"/>
    <row r="942" ht="14.25" customHeight="1" s="40"/>
    <row r="943" ht="14.25" customHeight="1" s="40"/>
    <row r="944" ht="14.25" customHeight="1" s="40"/>
    <row r="945" ht="14.25" customHeight="1" s="40"/>
    <row r="946" ht="14.25" customHeight="1" s="40"/>
    <row r="947" ht="14.25" customHeight="1" s="40"/>
    <row r="948" ht="14.25" customHeight="1" s="40"/>
    <row r="949" ht="14.25" customHeight="1" s="40"/>
    <row r="950" ht="14.25" customHeight="1" s="40"/>
    <row r="951" ht="14.25" customHeight="1" s="40"/>
    <row r="952" ht="14.25" customHeight="1" s="40"/>
    <row r="953" ht="14.25" customHeight="1" s="40"/>
    <row r="954" ht="14.25" customHeight="1" s="40"/>
    <row r="955" ht="14.25" customHeight="1" s="40"/>
    <row r="956" ht="14.25" customHeight="1" s="40"/>
    <row r="957" ht="14.25" customHeight="1" s="40"/>
    <row r="958" ht="14.25" customHeight="1" s="40"/>
    <row r="959" ht="14.25" customHeight="1" s="40"/>
    <row r="960" ht="14.25" customHeight="1" s="40"/>
    <row r="961" ht="14.25" customHeight="1" s="40"/>
    <row r="962" ht="14.25" customHeight="1" s="40"/>
    <row r="963" ht="14.25" customHeight="1" s="40"/>
    <row r="964" ht="14.25" customHeight="1" s="40"/>
    <row r="965" ht="14.25" customHeight="1" s="40"/>
    <row r="966" ht="14.25" customHeight="1" s="40"/>
    <row r="967" ht="14.25" customHeight="1" s="40"/>
    <row r="968" ht="14.25" customHeight="1" s="40"/>
    <row r="969" ht="14.25" customHeight="1" s="40"/>
    <row r="970" ht="14.25" customHeight="1" s="40"/>
    <row r="971" ht="14.25" customHeight="1" s="40"/>
    <row r="972" ht="14.25" customHeight="1" s="40"/>
    <row r="973" ht="14.25" customHeight="1" s="40"/>
    <row r="974" ht="14.25" customHeight="1" s="40"/>
    <row r="975" ht="14.25" customHeight="1" s="40"/>
    <row r="976" ht="14.25" customHeight="1" s="40"/>
    <row r="977" ht="14.25" customHeight="1" s="40"/>
    <row r="978" ht="14.25" customHeight="1" s="40"/>
    <row r="979" ht="14.25" customHeight="1" s="40"/>
    <row r="980" ht="14.25" customHeight="1" s="40"/>
    <row r="981" ht="14.25" customHeight="1" s="40"/>
    <row r="982" ht="14.25" customHeight="1" s="40"/>
    <row r="983" ht="14.25" customHeight="1" s="40"/>
    <row r="984" ht="14.25" customHeight="1" s="40"/>
    <row r="985" ht="14.25" customHeight="1" s="40"/>
    <row r="986" ht="14.25" customHeight="1" s="40"/>
    <row r="987" ht="14.25" customHeight="1" s="40"/>
    <row r="988" ht="14.25" customHeight="1" s="40"/>
    <row r="989" ht="14.25" customHeight="1" s="40"/>
    <row r="990" ht="14.25" customHeight="1" s="40"/>
    <row r="991" ht="14.25" customHeight="1" s="40"/>
    <row r="992" ht="14.25" customHeight="1" s="40"/>
    <row r="993" ht="14.25" customHeight="1" s="40"/>
    <row r="994" ht="14.25" customHeight="1" s="40"/>
    <row r="995" ht="14.25" customHeight="1" s="40"/>
    <row r="996" ht="14.25" customHeight="1" s="40"/>
    <row r="997" ht="14.25" customHeight="1" s="40"/>
    <row r="998" ht="14.25" customHeight="1" s="40"/>
    <row r="999" ht="14.25" customHeight="1" s="40"/>
    <row r="1000" ht="14.25" customHeight="1" s="40"/>
  </sheetData>
  <dataValidations count="1">
    <dataValidation sqref="L5:L9" showDropDown="0" showInputMessage="1" showErrorMessage="1" allowBlank="1" prompt="Giá trị không hợp lệ - Chọn giá trị trong danh sách." type="list">
      <formula1>$E$2:$E$3</formula1>
    </dataValidation>
  </dataValidations>
  <pageMargins left="0.75" right="0.75" top="1" bottom="1" header="0" footer="0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2026-10-01T02:31:26Z</dcterms:created>
  <dcterms:modified xmlns:dcterms="http://purl.org/dc/terms/" xmlns:xsi="http://www.w3.org/2001/XMLSchema-instance" xsi:type="dcterms:W3CDTF">2026-10-09T09:03:59Z</dcterms:modified>
</cp:coreProperties>
</file>